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T:\rvo\IV_Processpecialisten_RB\Opdrachten 2026\Opmaak PDF\Sana\"/>
    </mc:Choice>
  </mc:AlternateContent>
  <xr:revisionPtr revIDLastSave="0" documentId="14_{845B5905-03A6-4D99-BFE2-EA74B14647E7}" xr6:coauthVersionLast="47" xr6:coauthVersionMax="47" xr10:uidLastSave="{00000000-0000-0000-0000-000000000000}"/>
  <bookViews>
    <workbookView xWindow="-120" yWindow="-120" windowWidth="21840" windowHeight="13020" tabRatio="949" xr2:uid="{00000000-000D-0000-FFFF-FFFF00000000}"/>
  </bookViews>
  <sheets>
    <sheet name="Toelichting aanvraag" sheetId="20" r:id="rId1"/>
    <sheet name="1. Aanvraaggegevens" sheetId="13" r:id="rId2"/>
    <sheet name="2. Projectdeelnemers" sheetId="6" r:id="rId3"/>
    <sheet name="3. Deelprestaties" sheetId="21" r:id="rId4"/>
    <sheet name="4. Rekenhulp loonkosten aanvr." sheetId="16" r:id="rId5"/>
    <sheet name="5. Kosten uitvoering project" sheetId="17" r:id="rId6"/>
    <sheet name="6. Begrotingsoverzicht" sheetId="25" r:id="rId7"/>
    <sheet name="Beoordeeld begrotingsoverzicht" sheetId="35" state="hidden" r:id="rId8"/>
    <sheet name="Toelichting betaalverzoek" sheetId="29" r:id="rId9"/>
    <sheet name="7. Rekenhulp loonkosten bet.vz." sheetId="34" r:id="rId10"/>
    <sheet name="8. Uitgaven betaalverzoek" sheetId="31" r:id="rId11"/>
    <sheet name="9. Betalingsoverzicht" sheetId="30" r:id="rId12"/>
    <sheet name="Beoordeeld betalingsoverzicht" sheetId="36" state="hidden" r:id="rId13"/>
    <sheet name="Openstelling_Activiteit" sheetId="32" state="hidden" r:id="rId14"/>
    <sheet name="Spec_Activiteit" sheetId="40" state="hidden" r:id="rId15"/>
    <sheet name="Kosten_Posten" sheetId="39" state="hidden" r:id="rId16"/>
    <sheet name="SubsidieTabel" sheetId="27" state="hidden" r:id="rId17"/>
    <sheet name="SubsidieTabel_DB" sheetId="38" state="hidden" r:id="rId18"/>
    <sheet name="Lijsten" sheetId="26" state="hidden" r:id="rId19"/>
    <sheet name="Lijsten_Betalingsverzoek" sheetId="37" state="hidden" r:id="rId20"/>
    <sheet name="Spec_Lijsten" sheetId="41" state="hidden" r:id="rId21"/>
    <sheet name="Kostentypen" sheetId="11" state="hidden" r:id="rId22"/>
    <sheet name="Vast tarief" sheetId="12" state="hidden" r:id="rId23"/>
    <sheet name="Berekeningsmethode" sheetId="22" state="hidden" r:id="rId24"/>
  </sheets>
  <definedNames>
    <definedName name="_xlnm._FilterDatabase" localSheetId="5" hidden="1">'5. Kosten uitvoering project'!$A$5:$Y$251</definedName>
    <definedName name="_xlnm._FilterDatabase" localSheetId="10" hidden="1">'8. Uitgaven betaalverzoek'!$C$2:$F$2002</definedName>
    <definedName name="Activiteit_DB">OFFSET(Lijsten_Betalingsverzoek!$J$1,1,0,IF(COUNTIF(Lijsten_Betalingsverzoek!$J$1:$J$100,"&lt;&gt;"&amp;"")&gt;1,COUNTIF(Lijsten_Betalingsverzoek!$J$1:$J$100,"&lt;&gt;"&amp;"")-1,COUNTIF(Lijsten_Betalingsverzoek!$J$1:$J$100,"&lt;&gt;"&amp;"")))</definedName>
    <definedName name="Activiteit_Open">OFFSET(Lijsten!$AJ$1,1,1,IF(COUNTIF(Lijsten!$AJ$1:$AJ$100,"&lt;&gt;"&amp;"")&gt;1,COUNTIF(Lijsten!$AJ$1:$AJ$100,"&lt;&gt;"&amp;"")-1,COUNTIF(Lijsten!$AJ$1:$AJ$100,"&lt;&gt;"&amp;"")))</definedName>
    <definedName name="Activiteit_Sortering">Lijsten!$X$2:$Y$14</definedName>
    <definedName name="Activiteiten_Lijst">Lijsten!$AK$1:$AL$100</definedName>
    <definedName name="Activiteiten_Uniek_Aanvraag">OFFSET(Lijsten!$X$1,1,,IF(COUNTIF(Lijsten!$X$1:$X$100,"&lt;&gt;"&amp;"")&gt;1,COUNTIF(Lijsten!$X$1:$X$100,"&lt;&gt;"&amp;"")-1,COUNTIF(Lijsten!$X$1:$X$100,"&lt;&gt;"&amp;"")))</definedName>
    <definedName name="Activiteiten_Uniek_DB">OFFSET(Lijsten_Betalingsverzoek!$A$1,1,,IF(COUNTIF(Lijsten_Betalingsverzoek!$A$1:$A$100,"&lt;&gt;"&amp;"")&gt;1,COUNTIF(Lijsten_Betalingsverzoek!$A$1:$A$100,"&lt;&gt;"&amp;"")-1,COUNTIF(Lijsten_Betalingsverzoek!$A$1:$A$100,"&lt;&gt;"&amp;"")))</definedName>
    <definedName name="Activiteiten_Uniek_Sort">OFFSET(Lijsten!$AA$1,1,,IF(COUNTIF(Lijsten!$AA$1:$AA$100,"&lt;&gt;"&amp;"")&gt;1,COUNTIF(Lijsten!$AA$1:$AA$100,"&lt;&gt;"&amp;"")-1,COUNTIF(Lijsten!$AA$1:$AA$100,"&lt;&gt;"&amp;"")))</definedName>
    <definedName name="Activiteiten_Uniek_Sort_DB">OFFSET(Lijsten_Betalingsverzoek!$D$1,1,,IF(COUNTIF(Lijsten_Betalingsverzoek!$D$1:$D$100,"&lt;&gt;"&amp;"")&gt;1,COUNTIF(Lijsten_Betalingsverzoek!$D$1:$D$100,"&lt;&gt;"&amp;"")-1,COUNTIF(Lijsten_Betalingsverzoek!$D$1:$D$100,"&lt;&gt;"&amp;"")))</definedName>
    <definedName name="_xlnm.Print_Area" localSheetId="3">'3. Deelprestaties'!$A$1:$L$42</definedName>
    <definedName name="_xlnm.Print_Area" localSheetId="4">'4. Rekenhulp loonkosten aanvr.'!$A$1:$W$54</definedName>
    <definedName name="_xlnm.Print_Area" localSheetId="5">'5. Kosten uitvoering project'!$A$1:$X$250</definedName>
    <definedName name="_xlnm.Print_Area" localSheetId="9">'7. Rekenhulp loonkosten bet.vz.'!$A$1:$Y$54</definedName>
    <definedName name="_xlnm.Print_Area" localSheetId="10">'8. Uitgaven betaalverzoek'!$B$1:$Z$2001</definedName>
    <definedName name="_xlnm.Print_Titles" localSheetId="3">'3. Deelprestaties'!$A:$A,'3. Deelprestaties'!$1:$4</definedName>
    <definedName name="_xlnm.Print_Titles" localSheetId="4">'4. Rekenhulp loonkosten aanvr.'!$A:$A,'4. Rekenhulp loonkosten aanvr.'!$1:$4</definedName>
    <definedName name="_xlnm.Print_Titles" localSheetId="5">'5. Kosten uitvoering project'!$A:$A,'5. Kosten uitvoering project'!$1:$5</definedName>
    <definedName name="_xlnm.Print_Titles" localSheetId="9">'7. Rekenhulp loonkosten bet.vz.'!$A:$A,'7. Rekenhulp loonkosten bet.vz.'!$1:$4</definedName>
    <definedName name="_xlnm.Print_Titles" localSheetId="10">'8. Uitgaven betaalverzoek'!$B:$B,'8. Uitgaven betaalverzoek'!$1:$1</definedName>
    <definedName name="Beoord_Forfait_Aanvraag">'Beoordeeld begrotingsoverzicht'!$C$23</definedName>
    <definedName name="Beoord_Subsidie_Aanvraag">'Beoordeeld begrotingsoverzicht'!$E$41</definedName>
    <definedName name="Beoord_Subsidie_Aanvraag_Min">'Beoordeeld begrotingsoverzicht'!$E$42</definedName>
    <definedName name="Beoord_Totaal_Project">'Beoordeeld begrotingsoverzicht'!$C$24</definedName>
    <definedName name="DB_KostenType" localSheetId="10">'8. Uitgaven betaalverzoek'!$F1</definedName>
    <definedName name="DB_Loonkosten">'7. Rekenhulp loonkosten bet.vz.'!$A$5:$Y$54</definedName>
    <definedName name="Deelbetaling_Uniek">OFFSET(Lijsten!$T$1,1,,IF(COUNTIF(Lijsten!$T$1:$T$100,"&lt;&gt;"&amp;"")&gt;1,COUNTIF(Lijsten!$T$1:$T$100,"&lt;&gt;"&amp;"")-1,COUNTIF(Lijsten!$T$1:$T$100,"&lt;&gt;"&amp;"")))</definedName>
    <definedName name="Deelnemers">'2. Projectdeelnemers'!$B$5:$B$34</definedName>
    <definedName name="Deelnemers_Uniek">OFFSET(Lijsten!$A$1,1,,IF(COUNTIF(Lijsten!$A$1:$A$100,"?*")&gt;1,COUNTIF(Lijsten!$A$1:$A$100,"?*")-1,COUNTIF(Lijsten!$A$1:$A$100,"?*")))</definedName>
    <definedName name="Exporteren">#REF!</definedName>
    <definedName name="ExportNamen">#REF!</definedName>
    <definedName name="ExportNamenLijst">#REF!</definedName>
    <definedName name="Forfait_Aanvraag">'6. Begrotingsoverzicht'!$C$23</definedName>
    <definedName name="Gebied1_1">'1. Aanvraaggegevens'!$C$2:$C$6</definedName>
    <definedName name="Gebied1_2">'1. Aanvraaggegevens'!$C$8</definedName>
    <definedName name="Gebied10_1">Tb_Openstelling[]</definedName>
    <definedName name="Gebied10_2">Openstelling_Activiteit!$M$4:$P$2000</definedName>
    <definedName name="Gebied10_3">Openstelling_Activiteit!$R$4:$AJ$2000</definedName>
    <definedName name="Gebied10_Extra">Tb_Activiteiten[[#Headers],[Arbeidskosten]:[Projectleider/Expert]]</definedName>
    <definedName name="Gebied11_1">Spec_Activiteit!$C$2:$AJ$1500</definedName>
    <definedName name="Gebied2_1">'2. Projectdeelnemers'!$B$5:$D$34</definedName>
    <definedName name="Gebied2_2">'2. Projectdeelnemers'!$I$5:$J$34</definedName>
    <definedName name="Gebied3_1">'3. Deelprestaties'!$B$5:$C$34</definedName>
    <definedName name="Gebied3_2">'3. Deelprestaties'!$J$5:$K$34</definedName>
    <definedName name="Gebied4_1">'4. Rekenhulp loonkosten aanvr.'!$B$5:$G$54</definedName>
    <definedName name="Gebied4_2">'4. Rekenhulp loonkosten aanvr.'!$K$5:$O$54</definedName>
    <definedName name="Gebied4_3">'4. Rekenhulp loonkosten aanvr.'!$X$5:$Y$54</definedName>
    <definedName name="Gebied5_1">'5. Kosten uitvoering project'!$B$6:$G$250</definedName>
    <definedName name="Gebied5_2">'5. Kosten uitvoering project'!$I$6:$I$250</definedName>
    <definedName name="Gebied5_3">'5. Kosten uitvoering project'!$L$6:$O$250</definedName>
    <definedName name="Gebied5_4">'5. Kosten uitvoering project'!$Y$6:$Y$250</definedName>
    <definedName name="Gebied6_1">'6. Begrotingsoverzicht'!$E$42</definedName>
    <definedName name="Gebied7_1">'7. Rekenhulp loonkosten bet.vz.'!$B$5:$G$54</definedName>
    <definedName name="Gebied7_2">'7. Rekenhulp loonkosten bet.vz.'!$K$5:$K$54</definedName>
    <definedName name="Gebied7_3">'7. Rekenhulp loonkosten bet.vz.'!$L$5:$P$54</definedName>
    <definedName name="Gebied7_4">'7. Rekenhulp loonkosten bet.vz.'!$T$5:$T$54</definedName>
    <definedName name="Gebied8_1">'8. Uitgaven betaalverzoek'!$A$2:$A$2001</definedName>
    <definedName name="Gebied8_2">'8. Uitgaven betaalverzoek'!$C$2:$L$2001</definedName>
    <definedName name="Gebied8_3">'8. Uitgaven betaalverzoek'!$Q$2:$T$2001</definedName>
    <definedName name="Gebied8_4">'8. Uitgaven betaalverzoek'!$AC$2:$AD$2001</definedName>
    <definedName name="Gebied9_1">'9. Betalingsoverzicht'!$C$10:$E$13</definedName>
    <definedName name="InlaadNamen">#REF!</definedName>
    <definedName name="InlaadNamenLijst">#REF!</definedName>
    <definedName name="Inladen">#REF!</definedName>
    <definedName name="Keuze_DB_Nr">'9. Betalingsoverzicht'!$C$10</definedName>
    <definedName name="Keuze_DB_Nr_BEO">'Beoordeeld betalingsoverzicht'!$C$10</definedName>
    <definedName name="Keuze_EindDatum">'9. Betalingsoverzicht'!$C$13</definedName>
    <definedName name="Keuze_Exporteren">#REF!</definedName>
    <definedName name="Keuze_Inladen">#REF!</definedName>
    <definedName name="Keuze_Ja_Nee">Lijsten!$V$2:$V$3</definedName>
    <definedName name="Keuze_OntvangstDatum">'9. Betalingsoverzicht'!$C$11</definedName>
    <definedName name="Keuze_Zaak_Nr">'9. Betalingsoverzicht'!$C$12</definedName>
    <definedName name="Kolom_VKO_BET">'8. Uitgaven betaalverzoek'!$AE$1</definedName>
    <definedName name="Kop_Tarief_Vast">Lijsten!$L$1:$P$1</definedName>
    <definedName name="Kosten_1">Kostentypen!$E$3</definedName>
    <definedName name="Kosten_Soorten">OFFSET(Kosten_1,,,COUNTIF(Kosten_1:'Kostentypen'!$E$21,"?*"))</definedName>
    <definedName name="Kosten_Type">OFFSET(Kostentypen!$A$21,MATCH('5. Kosten uitvoering project'!$E1,Kostentypen!$A$21:$A$32,0)-1,1,,COUNTIF(OFFSET(Kostentypen!$A$21,MATCH('5. Kosten uitvoering project'!$E1,Kostentypen!$A$21:$A$32,0)-1,,,20),"?*")-1)</definedName>
    <definedName name="Kosten_Type_DB">OFFSET(Kostentypen!$A$35,MATCH('8. Uitgaven betaalverzoek'!$E1,Kostentypen!$A$35:$A$46,0)-1,1,,COUNTIF(OFFSET(Kostentypen!$A$35,MATCH('8. Uitgaven betaalverzoek'!$E1,Kostentypen!$A$35:$A$46,0)-1,,,20),"?*")-1)</definedName>
    <definedName name="Kostentype">Kostentypen!$E$2:$E$15</definedName>
    <definedName name="KostenType_Uniek">OFFSET(Lijsten!$E$1,1,,IF(COUNTIF(Lijsten!$E$1:$E$20,"?*")&gt;1,COUNTIF(Lijsten!$E$1:$E$20,"?*")-1,COUNTIF(Lijsten!$E$1:$E$20,"?*")))</definedName>
    <definedName name="Loon_Nr_Uniek_Aanvraag">_xlfn.SWITCH(LEFT('5. Kosten uitvoering project'!$F1,6),"Vergoe",OFFSET(Lijsten!$R$1,1,,IF(COUNTA(Lijsten!$R$1:$R$100)&gt;1,COUNTA(Lijsten!$R$1:$R$100)-1,COUNTA(Lijsten!$R$1:$R$100))),"Arbeid",OFFSET(Lijsten!$AG$1,1,,IF(COUNTA(Lijsten!$AG$1:$AG$100)&gt;1,COUNTA(Lijsten!$AG$1:$AG$100)-1,COUNTA(Lijsten!$AG$1:$AG$100))))</definedName>
    <definedName name="Loonkosten">'4. Rekenhulp loonkosten aanvr.'!$A$5:$W$54</definedName>
    <definedName name="Loonkosten_Data">'4. Rekenhulp loonkosten aanvr.'!$B$5:$G$54</definedName>
    <definedName name="LoonkostenNr">'4. Rekenhulp loonkosten aanvr.'!$A$5:$A$54</definedName>
    <definedName name="Max_Bijdrage_Natura">Lijsten_Betalingsverzoek!$M$2</definedName>
    <definedName name="Max_DB_Grond_Aanvraag">Lijsten_Betalingsverzoek!$N$3</definedName>
    <definedName name="Max_DB_Grond_Beoord">Lijsten_Betalingsverzoek!$N$4</definedName>
    <definedName name="Max_DB_Natura_Aanvraag">Lijsten_Betalingsverzoek!$M$3</definedName>
    <definedName name="Max_DB_Natura_Beoord">Lijsten_Betalingsverzoek!$M$4</definedName>
    <definedName name="Max_Grond">Lijsten_Betalingsverzoek!$N$2</definedName>
    <definedName name="Max_Subsidie_Open">Lijsten!$AE$2</definedName>
    <definedName name="Mdw_DB" localSheetId="10">IF(LEFT('8. Uitgaven betaalverzoek'!DB_KostenType,6)="Arbeid",IF(RIGHT('8. Uitgaven betaalverzoek'!$F1,3)="IKS",MedewerkersIKS_Uniek,Medewerkers_Uniek),"")</definedName>
    <definedName name="Medewerker_DB">_xlfn.SWITCH(LEFT('8. Uitgaven betaalverzoek'!$F1,6),"Vergoe",OFFSET(Lijsten!$R$1,1,,IF(COUNTA(Lijsten!$R$1:$R$100)&gt;1,COUNTA(Lijsten!$R$1:$R$100)-1,COUNTA(Lijsten!$R$1:$R$100))),"Arbeid",IF(RIGHT('8. Uitgaven betaalverzoek'!DB_KostenType,3)="IKS",MedewerkersIKS_Uniek,IF(LEFT('8. Uitgaven betaalverzoek'!$G1,4)="Loon",Medewerkers_Uniek,"")))</definedName>
    <definedName name="Medewerkers_Uniek">OFFSET(Lijsten!$H$1,1,,IF(COUNTIF(Lijsten!$H$1:$H$100,"?*")&gt;1,COUNTIF(Lijsten!$H$1:$H$100,"?*")-1,COUNTIF(Lijsten!$H$1:$H$100,"?*")))</definedName>
    <definedName name="MedewerkersIKS_Uniek">OFFSET(Lijsten!$H$1,1,,IF(COUNTIF(Lijsten!$H$1:$H$100,"?*")&gt;1,COUNTIF(Lijsten!$H$1:$H$100,"?*")-1,COUNTIF(Lijsten!$H$1:$H$100,"?*")))</definedName>
    <definedName name="Methode_Keuze">'1. Aanvraaggegevens'!$C$8</definedName>
    <definedName name="Methode_Uniek">OFFSET(Berekeningsmethode!$C$1,1,,IF(COUNTIFS(Berekeningsmethode!$C$1:$C$100,"&lt;&gt;"&amp;"",Berekeningsmethode!$C$1:$C$100,"&lt;&gt;"&amp;"-")&gt;1,COUNTIFS(Berekeningsmethode!$C$1:$C$100,"&lt;&gt;"&amp;"",Berekeningsmethode!$C$1:$C$100,"&lt;&gt;"&amp;"-")-1,COUNTIFS(Berekeningsmethode!$C$1:$C$100,"&lt;&gt;"&amp;"",Berekeningsmethode!$C$1:$C$100,"&lt;&gt;"&amp;"-")))</definedName>
    <definedName name="Min_Subsidie_Open">Lijsten!$AD$2</definedName>
    <definedName name="Openstelling_Keuze">'1. Aanvraaggegevens'!$C$2</definedName>
    <definedName name="Openstellingen">Tb_Openstelling[Openstelling]</definedName>
    <definedName name="Penvoerder">'1. Aanvraaggegevens'!$C$4</definedName>
    <definedName name="Posten_Uniek">OFFSET(Kosten_Posten!$E$1,1,0,IF(COUNTIF(Kosten_Posten!$E$1:$E$100,"&lt;&gt;"&amp;"")&gt;1,COUNTIF(Kosten_Posten!$E$1:$E$100,"&lt;&gt;"&amp;"")-1,COUNTIF(Kosten_Posten!$E$1:$E$100,"&lt;&gt;"&amp;"")))</definedName>
    <definedName name="Prestaties">'3. Deelprestaties'!$B$5:$B$34</definedName>
    <definedName name="Prestaties_Uniek">OFFSET(Lijsten!$C$1,1,,IF(COUNTIF(Lijsten!$C$1:$C$100,"?*")&gt;1,COUNTIF(Lijsten!$C$1:$C$100,"?*")-1,COUNTIF(Lijsten!$C$1:$C$100,"?*")))</definedName>
    <definedName name="ProjectNaam">'1. Aanvraaggegevens'!$C$5</definedName>
    <definedName name="RelatieNummer">'1. Aanvraaggegevens'!$C$3</definedName>
    <definedName name="Spec_Arbeid">OFFSET(Lijsten!$L$1,1,0,IF(COUNTIF(Lijsten!$L$1:$L$100,"&lt;&gt;"&amp;"")&gt;1,COUNTIF(Lijsten!$L$1:$L$100,"&lt;&gt;"&amp;"")-1,COUNTIF(Lijsten!$L$1:$L$100,"&lt;&gt;"&amp;"")))</definedName>
    <definedName name="Spec_arbeid_DB">IF('8. Uitgaven betaalverzoek'!$F1="Arbeidskosten",OFFSET(Kostentypen!$A$77,MATCH('8. Uitgaven betaalverzoek'!$E1,Kostentypen!$A$77:$A$88,0)-1,1,,COUNTIF(OFFSET(Kostentypen!$A$77,MATCH('8. Uitgaven betaalverzoek'!$E1,Kostentypen!$A$77:$A$88,0)-1,,,20),"?*")-1),"")</definedName>
    <definedName name="Spec_Arbeid_Nw">_xlfn.SWITCH('5. Kosten uitvoering project'!$F1,"Arbeidskosten",OFFSET(Kostentypen!$A$77,MATCH('5. Kosten uitvoering project'!$E1,Kostentypen!$A$77:$A$88,0)-1,1,,COUNTIF(OFFSET(Kostentypen!$A$77,MATCH('5. Kosten uitvoering project'!$E1,Kostentypen!$A$77:$A$88,0)-1,,,20),"?*")-1),"Arbeidskosten - vast tarief (excl eigen arbeid)",OFFSET(Kostentypen!$A$119,MATCH('5. Kosten uitvoering project'!$E1,Kostentypen!$A$119:$A$130,0)-1,1,,COUNTIF(OFFSET(Kostentypen!$A$119,MATCH('5. Kosten uitvoering project'!$E1,Kostentypen!$A$119:$A$130,0)-1,,,20),"?*")-1),"Vergoeding",OFFSET(Kostentypen!$A$161,MATCH('5. Kosten uitvoering project'!$E1,Kostentypen!$A$161:$A$172,0)-1,1,,COUNTIF(OFFSET(Kostentypen!$A$161,MATCH('5. Kosten uitvoering project'!$E1,Kostentypen!$A$161:$A$172,0)-1,,,40),"?*")-1))</definedName>
    <definedName name="Spec_Arbeid_Nw_DB">_xlfn.SWITCH('8. Uitgaven betaalverzoek'!$F1,"Arbeidskosten",OFFSET(Kostentypen!$A$77,MATCH('8. Uitgaven betaalverzoek'!$E1,Kostentypen!$A$77:$A$88,0)-1,1,,COUNTIF(OFFSET(Kostentypen!$A$77,MATCH('8. Uitgaven betaalverzoek'!$E1,Kostentypen!$A$77:$A$88,0)-1,,,20),"?*")-1),"Arbeidskosten - vast tarief (excl eigen arbeid)",OFFSET(Kostentypen!$A$119,MATCH('8. Uitgaven betaalverzoek'!$E1,Kostentypen!$A$119:$A$130,0)-1,1,,COUNTIF(OFFSET(Kostentypen!$A$119,MATCH('8. Uitgaven betaalverzoek'!$E1,Kostentypen!$A$119:$A$130,0)-1,,,20),"?*")-1),"Vergoeding",OFFSET(Kostentypen!$A$161,MATCH('8. Uitgaven betaalverzoek'!$E1,Kostentypen!$A$161:$A$172,0)-1,1,,COUNTIF(OFFSET(Kostentypen!$A$161,MATCH('8. Uitgaven betaalverzoek'!$E1,Kostentypen!$A$161:$A$172,0)-1,,,40),"?*")-1))</definedName>
    <definedName name="SubActiviteiten">OFFSET(SubActiviteit_1,,,COUNTIF(SubActiviteit_1:#REF!,"?*"))</definedName>
    <definedName name="Subsidie_Aanvraag">'6. Begrotingsoverzicht'!$E$41</definedName>
    <definedName name="Subsidie_Aanvraag_Min">'6. Begrotingsoverzicht'!$E$42</definedName>
    <definedName name="Subsidie_Tabel">Openstelling_Activiteit!$A$3:$G$1000</definedName>
    <definedName name="Tb_Kostentype">Kostentypen!$E$2:$E$14</definedName>
    <definedName name="Tb_Tarieven">Lijsten!$L$2:$P$20</definedName>
    <definedName name="Tonen_Vergoeding">#REF!</definedName>
    <definedName name="Totaal_aangevraagd">'5. Kosten uitvoering project'!$R$4</definedName>
    <definedName name="Totaal_Beoordeeld">'5. Kosten uitvoering project'!$S$4</definedName>
    <definedName name="Totaal_Project">'6. Begrotingsoverzicht'!$C$24</definedName>
    <definedName name="Uniek_Kostenposten">IFERROR(OFFSET(Kostentypen!$A$21,MATCH(Kostentypen!XFD1048575,Kostentypen!$A$21:$A$32,0)-1,1,,COUNTIF(OFFSET(Kostentypen!$A$21,MATCH(Kostentypen!XFD1048575,Kostentypen!$A$21:$A$32,0)-1,,,20),"?*")-1),"")</definedName>
    <definedName name="Vergoeding_Aanvraag">#REF!</definedName>
    <definedName name="Vergoeding_Beoordeeld">#REF!</definedName>
    <definedName name="Vergoeding_Betaling">#REF!</definedName>
    <definedName name="Vergoeding_Betaling_Beoordeling">#REF!</definedName>
    <definedName name="Voorbereiding_van_het_projectvoorstel">Kostentypen!$B$21:$L$21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250" i="17" l="1"/>
  <c r="X249" i="17"/>
  <c r="X248" i="17"/>
  <c r="X247" i="17"/>
  <c r="X246" i="17"/>
  <c r="X245" i="17"/>
  <c r="X244" i="17"/>
  <c r="X243" i="17"/>
  <c r="X242" i="17"/>
  <c r="X241" i="17"/>
  <c r="X240" i="17"/>
  <c r="X239" i="17"/>
  <c r="X238" i="17"/>
  <c r="X237" i="17"/>
  <c r="X236" i="17"/>
  <c r="X235" i="17"/>
  <c r="X234" i="17"/>
  <c r="X233" i="17"/>
  <c r="X232" i="17"/>
  <c r="X231" i="17"/>
  <c r="X230" i="17"/>
  <c r="X229" i="17"/>
  <c r="X228" i="17"/>
  <c r="X227" i="17"/>
  <c r="X226" i="17"/>
  <c r="X225" i="17"/>
  <c r="X224" i="17"/>
  <c r="X223" i="17"/>
  <c r="X222" i="17"/>
  <c r="X221" i="17"/>
  <c r="X220" i="17"/>
  <c r="X219" i="17"/>
  <c r="X218" i="17"/>
  <c r="X217" i="17"/>
  <c r="X216" i="17"/>
  <c r="X215" i="17"/>
  <c r="X214" i="17"/>
  <c r="X213" i="17"/>
  <c r="X212" i="17"/>
  <c r="X211" i="17"/>
  <c r="X210" i="17"/>
  <c r="X209" i="17"/>
  <c r="X208" i="17"/>
  <c r="X207" i="17"/>
  <c r="X206" i="17"/>
  <c r="X205" i="17"/>
  <c r="X204" i="17"/>
  <c r="X203" i="17"/>
  <c r="X202" i="17"/>
  <c r="X201" i="17"/>
  <c r="X200" i="17"/>
  <c r="X199" i="17"/>
  <c r="X198" i="17"/>
  <c r="X197" i="17"/>
  <c r="X196" i="17"/>
  <c r="X195" i="17"/>
  <c r="X194" i="17"/>
  <c r="X193" i="17"/>
  <c r="X192" i="17"/>
  <c r="X191" i="17"/>
  <c r="X190" i="17"/>
  <c r="X189" i="17"/>
  <c r="X188" i="17"/>
  <c r="X187" i="17"/>
  <c r="X186" i="17"/>
  <c r="X185" i="17"/>
  <c r="X184" i="17"/>
  <c r="X183" i="17"/>
  <c r="X182" i="17"/>
  <c r="X181" i="17"/>
  <c r="X180" i="17"/>
  <c r="X179" i="17"/>
  <c r="X178" i="17"/>
  <c r="X177" i="17"/>
  <c r="X176" i="17"/>
  <c r="X175" i="17"/>
  <c r="X174" i="17"/>
  <c r="X173" i="17"/>
  <c r="X172" i="17"/>
  <c r="X171" i="17"/>
  <c r="X170" i="17"/>
  <c r="X169" i="17"/>
  <c r="X168" i="17"/>
  <c r="X167" i="17"/>
  <c r="X166" i="17"/>
  <c r="X165" i="17"/>
  <c r="X164" i="17"/>
  <c r="X163" i="17"/>
  <c r="X162" i="17"/>
  <c r="X161" i="17"/>
  <c r="X160" i="17"/>
  <c r="X159" i="17"/>
  <c r="X158" i="17"/>
  <c r="X157" i="17"/>
  <c r="X156" i="17"/>
  <c r="X155" i="17"/>
  <c r="X154" i="17"/>
  <c r="X153" i="17"/>
  <c r="X152" i="17"/>
  <c r="X151" i="17"/>
  <c r="X150" i="17"/>
  <c r="X149" i="17"/>
  <c r="X148" i="17"/>
  <c r="X147" i="17"/>
  <c r="X146" i="17"/>
  <c r="X145" i="17"/>
  <c r="X144" i="17"/>
  <c r="X143" i="17"/>
  <c r="X142" i="17"/>
  <c r="X141" i="17"/>
  <c r="X140" i="17"/>
  <c r="X139" i="17"/>
  <c r="X138" i="17"/>
  <c r="X137" i="17"/>
  <c r="X136" i="17"/>
  <c r="X135" i="17"/>
  <c r="X134" i="17"/>
  <c r="X133" i="17"/>
  <c r="X132" i="17"/>
  <c r="X131" i="17"/>
  <c r="X130" i="17"/>
  <c r="X129" i="17"/>
  <c r="X128" i="17"/>
  <c r="X127" i="17"/>
  <c r="X126" i="17"/>
  <c r="X125" i="17"/>
  <c r="X124" i="17"/>
  <c r="X123" i="17"/>
  <c r="X122" i="17"/>
  <c r="X121" i="17"/>
  <c r="X120" i="17"/>
  <c r="X119" i="17"/>
  <c r="X118" i="17"/>
  <c r="X117" i="17"/>
  <c r="X116" i="17"/>
  <c r="X115" i="17"/>
  <c r="X114" i="17"/>
  <c r="X113" i="17"/>
  <c r="X112" i="17"/>
  <c r="X111" i="17"/>
  <c r="X110" i="17"/>
  <c r="X109" i="17"/>
  <c r="X108" i="17"/>
  <c r="X107" i="17"/>
  <c r="X106" i="17"/>
  <c r="X105" i="17"/>
  <c r="X104" i="17"/>
  <c r="X103" i="17"/>
  <c r="X102" i="17"/>
  <c r="X101" i="17"/>
  <c r="X100" i="17"/>
  <c r="X99" i="17"/>
  <c r="X98" i="17"/>
  <c r="X97" i="17"/>
  <c r="X96" i="17"/>
  <c r="X95" i="17"/>
  <c r="X94" i="17"/>
  <c r="X93" i="17"/>
  <c r="X92" i="17"/>
  <c r="X91" i="17"/>
  <c r="X90" i="17"/>
  <c r="X89" i="17"/>
  <c r="X88" i="17"/>
  <c r="X87" i="17"/>
  <c r="X86" i="17"/>
  <c r="X85" i="17"/>
  <c r="X84" i="17"/>
  <c r="X83" i="17"/>
  <c r="X82" i="17"/>
  <c r="X81" i="17"/>
  <c r="X80" i="17"/>
  <c r="X79" i="17"/>
  <c r="X78" i="17"/>
  <c r="X77" i="17"/>
  <c r="X76" i="17"/>
  <c r="X75" i="17"/>
  <c r="X74" i="17"/>
  <c r="X73" i="17"/>
  <c r="X72" i="17"/>
  <c r="X71" i="17"/>
  <c r="X70" i="17"/>
  <c r="X69" i="17"/>
  <c r="X68" i="17"/>
  <c r="X67" i="17"/>
  <c r="X66" i="17"/>
  <c r="X65" i="17"/>
  <c r="X64" i="17"/>
  <c r="X63" i="17"/>
  <c r="X62" i="17"/>
  <c r="X61" i="17"/>
  <c r="X60" i="17"/>
  <c r="X59" i="17"/>
  <c r="X58" i="17"/>
  <c r="X57" i="17"/>
  <c r="X56" i="17"/>
  <c r="X55" i="17"/>
  <c r="X54" i="17"/>
  <c r="X53" i="17"/>
  <c r="X52" i="17"/>
  <c r="X51" i="17"/>
  <c r="X50" i="17"/>
  <c r="X49" i="17"/>
  <c r="X48" i="17"/>
  <c r="X47" i="17"/>
  <c r="X46" i="17"/>
  <c r="X45" i="17"/>
  <c r="X44" i="17"/>
  <c r="X43" i="17"/>
  <c r="X42" i="17"/>
  <c r="X41" i="17"/>
  <c r="X40" i="17"/>
  <c r="X39" i="17"/>
  <c r="X38" i="17"/>
  <c r="X37" i="17"/>
  <c r="X36" i="17"/>
  <c r="X35" i="17"/>
  <c r="X34" i="17"/>
  <c r="X33" i="17"/>
  <c r="X32" i="17"/>
  <c r="X31" i="17"/>
  <c r="X30" i="17"/>
  <c r="X29" i="17"/>
  <c r="X28" i="17"/>
  <c r="X27" i="17"/>
  <c r="X26" i="17"/>
  <c r="X25" i="17"/>
  <c r="X24" i="17"/>
  <c r="X23" i="17"/>
  <c r="X22" i="17"/>
  <c r="X21" i="17"/>
  <c r="X20" i="17"/>
  <c r="X19" i="17"/>
  <c r="X18" i="17"/>
  <c r="X17" i="17"/>
  <c r="X16" i="17"/>
  <c r="X15" i="17"/>
  <c r="X14" i="17"/>
  <c r="X13" i="17"/>
  <c r="X12" i="17"/>
  <c r="X11" i="17"/>
  <c r="X10" i="17"/>
  <c r="X9" i="17"/>
  <c r="X8" i="17"/>
  <c r="X7" i="17"/>
  <c r="X6" i="17"/>
  <c r="B33" i="36"/>
  <c r="L3" i="17"/>
  <c r="P7" i="17"/>
  <c r="Q7" i="17"/>
  <c r="P8" i="17"/>
  <c r="Q8" i="17"/>
  <c r="P9" i="17"/>
  <c r="Q9" i="17"/>
  <c r="P10" i="17"/>
  <c r="Q10" i="17"/>
  <c r="P11" i="17"/>
  <c r="Q11" i="17"/>
  <c r="P12" i="17"/>
  <c r="Q12" i="17"/>
  <c r="P13" i="17"/>
  <c r="Q13" i="17"/>
  <c r="P14" i="17"/>
  <c r="Q14" i="17"/>
  <c r="P15" i="17"/>
  <c r="Q15" i="17"/>
  <c r="P16" i="17"/>
  <c r="Q16" i="17"/>
  <c r="P17" i="17"/>
  <c r="Q17" i="17"/>
  <c r="P18" i="17"/>
  <c r="Q18" i="17"/>
  <c r="P19" i="17"/>
  <c r="Q19" i="17"/>
  <c r="P20" i="17"/>
  <c r="Q20" i="17"/>
  <c r="P21" i="17"/>
  <c r="Q21" i="17"/>
  <c r="P22" i="17"/>
  <c r="Q22" i="17"/>
  <c r="P23" i="17"/>
  <c r="Q23" i="17"/>
  <c r="P24" i="17"/>
  <c r="Q24" i="17"/>
  <c r="P25" i="17"/>
  <c r="Q25" i="17"/>
  <c r="P26" i="17"/>
  <c r="Q26" i="17"/>
  <c r="P27" i="17"/>
  <c r="Q27" i="17"/>
  <c r="P28" i="17"/>
  <c r="Q28" i="17"/>
  <c r="P29" i="17"/>
  <c r="Q29" i="17"/>
  <c r="P30" i="17"/>
  <c r="Q30" i="17"/>
  <c r="P31" i="17"/>
  <c r="Q31" i="17"/>
  <c r="P32" i="17"/>
  <c r="Q32" i="17"/>
  <c r="P33" i="17"/>
  <c r="Q33" i="17"/>
  <c r="P34" i="17"/>
  <c r="Q34" i="17"/>
  <c r="P35" i="17"/>
  <c r="Q35" i="17"/>
  <c r="P36" i="17"/>
  <c r="Q36" i="17"/>
  <c r="P37" i="17"/>
  <c r="Q37" i="17"/>
  <c r="P38" i="17"/>
  <c r="Q38" i="17"/>
  <c r="P39" i="17"/>
  <c r="Q39" i="17"/>
  <c r="P40" i="17"/>
  <c r="Q40" i="17"/>
  <c r="P41" i="17"/>
  <c r="Q41" i="17"/>
  <c r="P42" i="17"/>
  <c r="Q42" i="17"/>
  <c r="P43" i="17"/>
  <c r="Q43" i="17"/>
  <c r="P44" i="17"/>
  <c r="Q44" i="17"/>
  <c r="P45" i="17"/>
  <c r="Q45" i="17"/>
  <c r="P46" i="17"/>
  <c r="Q46" i="17"/>
  <c r="P47" i="17"/>
  <c r="Q47" i="17"/>
  <c r="P48" i="17"/>
  <c r="Q48" i="17"/>
  <c r="P49" i="17"/>
  <c r="Q49" i="17"/>
  <c r="P50" i="17"/>
  <c r="Q50" i="17"/>
  <c r="P51" i="17"/>
  <c r="Q51" i="17"/>
  <c r="P52" i="17"/>
  <c r="Q52" i="17"/>
  <c r="P53" i="17"/>
  <c r="Q53" i="17"/>
  <c r="P54" i="17"/>
  <c r="Q54" i="17"/>
  <c r="P55" i="17"/>
  <c r="Q55" i="17"/>
  <c r="P56" i="17"/>
  <c r="Q56" i="17"/>
  <c r="P57" i="17"/>
  <c r="Q57" i="17"/>
  <c r="P58" i="17"/>
  <c r="Q58" i="17"/>
  <c r="P59" i="17"/>
  <c r="Q59" i="17"/>
  <c r="P60" i="17"/>
  <c r="Q60" i="17"/>
  <c r="P61" i="17"/>
  <c r="Q61" i="17"/>
  <c r="P62" i="17"/>
  <c r="Q62" i="17"/>
  <c r="P63" i="17"/>
  <c r="Q63" i="17"/>
  <c r="P64" i="17"/>
  <c r="Q64" i="17"/>
  <c r="P65" i="17"/>
  <c r="Q65" i="17"/>
  <c r="P66" i="17"/>
  <c r="Q66" i="17"/>
  <c r="P67" i="17"/>
  <c r="Q67" i="17"/>
  <c r="P68" i="17"/>
  <c r="Q68" i="17"/>
  <c r="P69" i="17"/>
  <c r="Q69" i="17"/>
  <c r="P70" i="17"/>
  <c r="Q70" i="17"/>
  <c r="P71" i="17"/>
  <c r="Q71" i="17"/>
  <c r="P72" i="17"/>
  <c r="Q72" i="17"/>
  <c r="P73" i="17"/>
  <c r="Q73" i="17"/>
  <c r="P74" i="17"/>
  <c r="Q74" i="17"/>
  <c r="P75" i="17"/>
  <c r="Q75" i="17"/>
  <c r="P76" i="17"/>
  <c r="Q76" i="17"/>
  <c r="P77" i="17"/>
  <c r="Q77" i="17"/>
  <c r="P78" i="17"/>
  <c r="Q78" i="17"/>
  <c r="P79" i="17"/>
  <c r="Q79" i="17"/>
  <c r="P80" i="17"/>
  <c r="Q80" i="17"/>
  <c r="P81" i="17"/>
  <c r="Q81" i="17"/>
  <c r="P82" i="17"/>
  <c r="Q82" i="17"/>
  <c r="P83" i="17"/>
  <c r="Q83" i="17"/>
  <c r="P84" i="17"/>
  <c r="Q84" i="17"/>
  <c r="P85" i="17"/>
  <c r="Q85" i="17"/>
  <c r="P86" i="17"/>
  <c r="Q86" i="17"/>
  <c r="P87" i="17"/>
  <c r="Q87" i="17"/>
  <c r="P88" i="17"/>
  <c r="Q88" i="17"/>
  <c r="P89" i="17"/>
  <c r="Q89" i="17"/>
  <c r="P90" i="17"/>
  <c r="Q90" i="17"/>
  <c r="P91" i="17"/>
  <c r="Q91" i="17"/>
  <c r="P92" i="17"/>
  <c r="Q92" i="17"/>
  <c r="P93" i="17"/>
  <c r="Q93" i="17"/>
  <c r="P94" i="17"/>
  <c r="Q94" i="17"/>
  <c r="P95" i="17"/>
  <c r="Q95" i="17"/>
  <c r="P96" i="17"/>
  <c r="Q96" i="17"/>
  <c r="P97" i="17"/>
  <c r="Q97" i="17"/>
  <c r="P98" i="17"/>
  <c r="Q98" i="17"/>
  <c r="P99" i="17"/>
  <c r="Q99" i="17"/>
  <c r="P100" i="17"/>
  <c r="Q100" i="17"/>
  <c r="P101" i="17"/>
  <c r="Q101" i="17"/>
  <c r="P102" i="17"/>
  <c r="Q102" i="17"/>
  <c r="P103" i="17"/>
  <c r="Q103" i="17"/>
  <c r="P104" i="17"/>
  <c r="Q104" i="17"/>
  <c r="P105" i="17"/>
  <c r="Q105" i="17"/>
  <c r="P106" i="17"/>
  <c r="Q106" i="17"/>
  <c r="P107" i="17"/>
  <c r="Q107" i="17"/>
  <c r="P108" i="17"/>
  <c r="Q108" i="17"/>
  <c r="P109" i="17"/>
  <c r="Q109" i="17"/>
  <c r="P110" i="17"/>
  <c r="Q110" i="17"/>
  <c r="P111" i="17"/>
  <c r="Q111" i="17"/>
  <c r="P112" i="17"/>
  <c r="Q112" i="17"/>
  <c r="P113" i="17"/>
  <c r="Q113" i="17"/>
  <c r="P114" i="17"/>
  <c r="Q114" i="17"/>
  <c r="P115" i="17"/>
  <c r="Q115" i="17"/>
  <c r="P116" i="17"/>
  <c r="Q116" i="17"/>
  <c r="P117" i="17"/>
  <c r="Q117" i="17"/>
  <c r="P118" i="17"/>
  <c r="Q118" i="17"/>
  <c r="P119" i="17"/>
  <c r="Q119" i="17"/>
  <c r="P120" i="17"/>
  <c r="Q120" i="17"/>
  <c r="P121" i="17"/>
  <c r="Q121" i="17"/>
  <c r="P122" i="17"/>
  <c r="Q122" i="17"/>
  <c r="P123" i="17"/>
  <c r="Q123" i="17"/>
  <c r="P124" i="17"/>
  <c r="Q124" i="17"/>
  <c r="P125" i="17"/>
  <c r="Q125" i="17"/>
  <c r="P126" i="17"/>
  <c r="Q126" i="17"/>
  <c r="P127" i="17"/>
  <c r="Q127" i="17"/>
  <c r="P128" i="17"/>
  <c r="Q128" i="17"/>
  <c r="P129" i="17"/>
  <c r="Q129" i="17"/>
  <c r="P130" i="17"/>
  <c r="Q130" i="17"/>
  <c r="P131" i="17"/>
  <c r="Q131" i="17"/>
  <c r="P132" i="17"/>
  <c r="Q132" i="17"/>
  <c r="P133" i="17"/>
  <c r="Q133" i="17"/>
  <c r="P134" i="17"/>
  <c r="Q134" i="17"/>
  <c r="P135" i="17"/>
  <c r="Q135" i="17"/>
  <c r="P136" i="17"/>
  <c r="Q136" i="17"/>
  <c r="P137" i="17"/>
  <c r="Q137" i="17"/>
  <c r="P138" i="17"/>
  <c r="Q138" i="17"/>
  <c r="P139" i="17"/>
  <c r="Q139" i="17"/>
  <c r="P140" i="17"/>
  <c r="Q140" i="17"/>
  <c r="P141" i="17"/>
  <c r="Q141" i="17"/>
  <c r="P142" i="17"/>
  <c r="Q142" i="17"/>
  <c r="P143" i="17"/>
  <c r="Q143" i="17"/>
  <c r="P144" i="17"/>
  <c r="Q144" i="17"/>
  <c r="P145" i="17"/>
  <c r="Q145" i="17"/>
  <c r="P146" i="17"/>
  <c r="Q146" i="17"/>
  <c r="P147" i="17"/>
  <c r="Q147" i="17"/>
  <c r="P148" i="17"/>
  <c r="Q148" i="17"/>
  <c r="P149" i="17"/>
  <c r="Q149" i="17"/>
  <c r="P150" i="17"/>
  <c r="Q150" i="17"/>
  <c r="P151" i="17"/>
  <c r="Q151" i="17"/>
  <c r="P152" i="17"/>
  <c r="Q152" i="17"/>
  <c r="P153" i="17"/>
  <c r="Q153" i="17"/>
  <c r="P154" i="17"/>
  <c r="Q154" i="17"/>
  <c r="P155" i="17"/>
  <c r="Q155" i="17"/>
  <c r="P156" i="17"/>
  <c r="Q156" i="17"/>
  <c r="P157" i="17"/>
  <c r="Q157" i="17"/>
  <c r="P158" i="17"/>
  <c r="Q158" i="17"/>
  <c r="P159" i="17"/>
  <c r="Q159" i="17"/>
  <c r="P160" i="17"/>
  <c r="Q160" i="17"/>
  <c r="P161" i="17"/>
  <c r="Q161" i="17"/>
  <c r="P162" i="17"/>
  <c r="Q162" i="17"/>
  <c r="P163" i="17"/>
  <c r="Q163" i="17"/>
  <c r="P164" i="17"/>
  <c r="Q164" i="17"/>
  <c r="P165" i="17"/>
  <c r="Q165" i="17"/>
  <c r="P166" i="17"/>
  <c r="Q166" i="17"/>
  <c r="P167" i="17"/>
  <c r="Q167" i="17"/>
  <c r="P168" i="17"/>
  <c r="Q168" i="17"/>
  <c r="P169" i="17"/>
  <c r="Q169" i="17"/>
  <c r="P170" i="17"/>
  <c r="Q170" i="17"/>
  <c r="P171" i="17"/>
  <c r="Q171" i="17"/>
  <c r="P172" i="17"/>
  <c r="Q172" i="17"/>
  <c r="P173" i="17"/>
  <c r="Q173" i="17"/>
  <c r="P174" i="17"/>
  <c r="Q174" i="17"/>
  <c r="P175" i="17"/>
  <c r="Q175" i="17"/>
  <c r="P176" i="17"/>
  <c r="Q176" i="17"/>
  <c r="P177" i="17"/>
  <c r="Q177" i="17"/>
  <c r="P178" i="17"/>
  <c r="Q178" i="17"/>
  <c r="P179" i="17"/>
  <c r="Q179" i="17"/>
  <c r="P180" i="17"/>
  <c r="Q180" i="17"/>
  <c r="P181" i="17"/>
  <c r="Q181" i="17"/>
  <c r="P182" i="17"/>
  <c r="Q182" i="17"/>
  <c r="P183" i="17"/>
  <c r="Q183" i="17"/>
  <c r="P184" i="17"/>
  <c r="Q184" i="17"/>
  <c r="P185" i="17"/>
  <c r="Q185" i="17"/>
  <c r="P186" i="17"/>
  <c r="Q186" i="17"/>
  <c r="P187" i="17"/>
  <c r="Q187" i="17"/>
  <c r="P188" i="17"/>
  <c r="Q188" i="17"/>
  <c r="P189" i="17"/>
  <c r="Q189" i="17"/>
  <c r="P190" i="17"/>
  <c r="Q190" i="17"/>
  <c r="P191" i="17"/>
  <c r="Q191" i="17"/>
  <c r="P192" i="17"/>
  <c r="Q192" i="17"/>
  <c r="P193" i="17"/>
  <c r="Q193" i="17"/>
  <c r="P194" i="17"/>
  <c r="Q194" i="17"/>
  <c r="P195" i="17"/>
  <c r="Q195" i="17"/>
  <c r="P196" i="17"/>
  <c r="Q196" i="17"/>
  <c r="P197" i="17"/>
  <c r="Q197" i="17"/>
  <c r="P198" i="17"/>
  <c r="Q198" i="17"/>
  <c r="P199" i="17"/>
  <c r="Q199" i="17"/>
  <c r="P200" i="17"/>
  <c r="Q200" i="17"/>
  <c r="P201" i="17"/>
  <c r="Q201" i="17"/>
  <c r="P202" i="17"/>
  <c r="Q202" i="17"/>
  <c r="P203" i="17"/>
  <c r="Q203" i="17"/>
  <c r="P204" i="17"/>
  <c r="Q204" i="17"/>
  <c r="P205" i="17"/>
  <c r="Q205" i="17"/>
  <c r="P206" i="17"/>
  <c r="Q206" i="17"/>
  <c r="P207" i="17"/>
  <c r="Q207" i="17"/>
  <c r="P208" i="17"/>
  <c r="Q208" i="17"/>
  <c r="P209" i="17"/>
  <c r="Q209" i="17"/>
  <c r="P210" i="17"/>
  <c r="Q210" i="17"/>
  <c r="P211" i="17"/>
  <c r="Q211" i="17"/>
  <c r="P212" i="17"/>
  <c r="Q212" i="17"/>
  <c r="P213" i="17"/>
  <c r="Q213" i="17"/>
  <c r="P214" i="17"/>
  <c r="Q214" i="17"/>
  <c r="P215" i="17"/>
  <c r="Q215" i="17"/>
  <c r="P216" i="17"/>
  <c r="Q216" i="17"/>
  <c r="P217" i="17"/>
  <c r="Q217" i="17"/>
  <c r="P218" i="17"/>
  <c r="Q218" i="17"/>
  <c r="P219" i="17"/>
  <c r="Q219" i="17"/>
  <c r="P220" i="17"/>
  <c r="Q220" i="17"/>
  <c r="P221" i="17"/>
  <c r="Q221" i="17"/>
  <c r="P222" i="17"/>
  <c r="Q222" i="17"/>
  <c r="P223" i="17"/>
  <c r="Q223" i="17"/>
  <c r="P224" i="17"/>
  <c r="Q224" i="17"/>
  <c r="P225" i="17"/>
  <c r="Q225" i="17"/>
  <c r="P226" i="17"/>
  <c r="Q226" i="17"/>
  <c r="P227" i="17"/>
  <c r="Q227" i="17"/>
  <c r="P228" i="17"/>
  <c r="Q228" i="17"/>
  <c r="P229" i="17"/>
  <c r="Q229" i="17"/>
  <c r="P230" i="17"/>
  <c r="Q230" i="17"/>
  <c r="P231" i="17"/>
  <c r="Q231" i="17"/>
  <c r="P232" i="17"/>
  <c r="Q232" i="17"/>
  <c r="P233" i="17"/>
  <c r="Q233" i="17"/>
  <c r="P234" i="17"/>
  <c r="Q234" i="17"/>
  <c r="P235" i="17"/>
  <c r="Q235" i="17"/>
  <c r="P236" i="17"/>
  <c r="Q236" i="17"/>
  <c r="P237" i="17"/>
  <c r="Q237" i="17"/>
  <c r="P238" i="17"/>
  <c r="Q238" i="17"/>
  <c r="P239" i="17"/>
  <c r="Q239" i="17"/>
  <c r="P240" i="17"/>
  <c r="Q240" i="17"/>
  <c r="P241" i="17"/>
  <c r="Q241" i="17"/>
  <c r="P242" i="17"/>
  <c r="Q242" i="17"/>
  <c r="P243" i="17"/>
  <c r="Q243" i="17"/>
  <c r="P244" i="17"/>
  <c r="Q244" i="17"/>
  <c r="P245" i="17"/>
  <c r="Q245" i="17"/>
  <c r="P246" i="17"/>
  <c r="Q246" i="17"/>
  <c r="P247" i="17"/>
  <c r="Q247" i="17"/>
  <c r="P248" i="17"/>
  <c r="Q248" i="17"/>
  <c r="P249" i="17"/>
  <c r="Q249" i="17"/>
  <c r="P250" i="17"/>
  <c r="Q250" i="17"/>
  <c r="U3" i="31"/>
  <c r="V3" i="31"/>
  <c r="U4" i="31"/>
  <c r="V4" i="31"/>
  <c r="U5" i="31"/>
  <c r="V5" i="31"/>
  <c r="U6" i="31"/>
  <c r="V6" i="31"/>
  <c r="U7" i="31"/>
  <c r="V7" i="31"/>
  <c r="U8" i="31"/>
  <c r="V8" i="31"/>
  <c r="U9" i="31"/>
  <c r="V9" i="31"/>
  <c r="U10" i="31"/>
  <c r="V10" i="31"/>
  <c r="U11" i="31"/>
  <c r="V11" i="31"/>
  <c r="U12" i="31"/>
  <c r="V12" i="31"/>
  <c r="U13" i="31"/>
  <c r="V13" i="31"/>
  <c r="U14" i="31"/>
  <c r="V14" i="31"/>
  <c r="U15" i="31"/>
  <c r="V15" i="31"/>
  <c r="U16" i="31"/>
  <c r="V16" i="31"/>
  <c r="U17" i="31"/>
  <c r="V17" i="31"/>
  <c r="U18" i="31"/>
  <c r="V18" i="31"/>
  <c r="U19" i="31"/>
  <c r="V19" i="31"/>
  <c r="U20" i="31"/>
  <c r="V20" i="31"/>
  <c r="U21" i="31"/>
  <c r="V21" i="31"/>
  <c r="U22" i="31"/>
  <c r="V22" i="31"/>
  <c r="U23" i="31"/>
  <c r="V23" i="31"/>
  <c r="U24" i="31"/>
  <c r="V24" i="31"/>
  <c r="U25" i="31"/>
  <c r="V25" i="31"/>
  <c r="U26" i="31"/>
  <c r="V26" i="31"/>
  <c r="U27" i="31"/>
  <c r="V27" i="31"/>
  <c r="U28" i="31"/>
  <c r="V28" i="31"/>
  <c r="U29" i="31"/>
  <c r="V29" i="31"/>
  <c r="U30" i="31"/>
  <c r="V30" i="31"/>
  <c r="U31" i="31"/>
  <c r="V31" i="31"/>
  <c r="U32" i="31"/>
  <c r="V32" i="31"/>
  <c r="U33" i="31"/>
  <c r="V33" i="31"/>
  <c r="U34" i="31"/>
  <c r="V34" i="31"/>
  <c r="U35" i="31"/>
  <c r="V35" i="31"/>
  <c r="U36" i="31"/>
  <c r="V36" i="31"/>
  <c r="U37" i="31"/>
  <c r="V37" i="31"/>
  <c r="U38" i="31"/>
  <c r="V38" i="31"/>
  <c r="U39" i="31"/>
  <c r="V39" i="31"/>
  <c r="U40" i="31"/>
  <c r="V40" i="31"/>
  <c r="U41" i="31"/>
  <c r="V41" i="31"/>
  <c r="U42" i="31"/>
  <c r="V42" i="31"/>
  <c r="U43" i="31"/>
  <c r="V43" i="31"/>
  <c r="U44" i="31"/>
  <c r="V44" i="31"/>
  <c r="U45" i="31"/>
  <c r="V45" i="31"/>
  <c r="U46" i="31"/>
  <c r="V46" i="31"/>
  <c r="U47" i="31"/>
  <c r="V47" i="31"/>
  <c r="U48" i="31"/>
  <c r="V48" i="31"/>
  <c r="U49" i="31"/>
  <c r="V49" i="31"/>
  <c r="U50" i="31"/>
  <c r="V50" i="31"/>
  <c r="U51" i="31"/>
  <c r="V51" i="31"/>
  <c r="U52" i="31"/>
  <c r="V52" i="31"/>
  <c r="U53" i="31"/>
  <c r="V53" i="31"/>
  <c r="U54" i="31"/>
  <c r="V54" i="31"/>
  <c r="U55" i="31"/>
  <c r="V55" i="31"/>
  <c r="U56" i="31"/>
  <c r="V56" i="31"/>
  <c r="U57" i="31"/>
  <c r="V57" i="31"/>
  <c r="U58" i="31"/>
  <c r="V58" i="31"/>
  <c r="U59" i="31"/>
  <c r="V59" i="31"/>
  <c r="U60" i="31"/>
  <c r="V60" i="31"/>
  <c r="U61" i="31"/>
  <c r="V61" i="31"/>
  <c r="U62" i="31"/>
  <c r="V62" i="31"/>
  <c r="U63" i="31"/>
  <c r="V63" i="31"/>
  <c r="U64" i="31"/>
  <c r="V64" i="31"/>
  <c r="U65" i="31"/>
  <c r="V65" i="31"/>
  <c r="U66" i="31"/>
  <c r="V66" i="31"/>
  <c r="U67" i="31"/>
  <c r="V67" i="31"/>
  <c r="U68" i="31"/>
  <c r="V68" i="31"/>
  <c r="U69" i="31"/>
  <c r="V69" i="31"/>
  <c r="U70" i="31"/>
  <c r="V70" i="31"/>
  <c r="U71" i="31"/>
  <c r="V71" i="31"/>
  <c r="U72" i="31"/>
  <c r="V72" i="31"/>
  <c r="U73" i="31"/>
  <c r="V73" i="31"/>
  <c r="U74" i="31"/>
  <c r="V74" i="31"/>
  <c r="U75" i="31"/>
  <c r="V75" i="31"/>
  <c r="U76" i="31"/>
  <c r="V76" i="31"/>
  <c r="U77" i="31"/>
  <c r="V77" i="31"/>
  <c r="U78" i="31"/>
  <c r="V78" i="31"/>
  <c r="U79" i="31"/>
  <c r="V79" i="31"/>
  <c r="U80" i="31"/>
  <c r="V80" i="31"/>
  <c r="U81" i="31"/>
  <c r="V81" i="31"/>
  <c r="U82" i="31"/>
  <c r="V82" i="31"/>
  <c r="U83" i="31"/>
  <c r="V83" i="31"/>
  <c r="U84" i="31"/>
  <c r="V84" i="31"/>
  <c r="U85" i="31"/>
  <c r="V85" i="31"/>
  <c r="U86" i="31"/>
  <c r="V86" i="31"/>
  <c r="U87" i="31"/>
  <c r="V87" i="31"/>
  <c r="U88" i="31"/>
  <c r="V88" i="31"/>
  <c r="U89" i="31"/>
  <c r="V89" i="31"/>
  <c r="U90" i="31"/>
  <c r="V90" i="31"/>
  <c r="U91" i="31"/>
  <c r="V91" i="31"/>
  <c r="U92" i="31"/>
  <c r="V92" i="31"/>
  <c r="U93" i="31"/>
  <c r="V93" i="31"/>
  <c r="U94" i="31"/>
  <c r="V94" i="31"/>
  <c r="U95" i="31"/>
  <c r="V95" i="31"/>
  <c r="U96" i="31"/>
  <c r="V96" i="31"/>
  <c r="U97" i="31"/>
  <c r="V97" i="31"/>
  <c r="U98" i="31"/>
  <c r="V98" i="31"/>
  <c r="U99" i="31"/>
  <c r="V99" i="31"/>
  <c r="U100" i="31"/>
  <c r="V100" i="31"/>
  <c r="U101" i="31"/>
  <c r="V101" i="31"/>
  <c r="U102" i="31"/>
  <c r="V102" i="31"/>
  <c r="U103" i="31"/>
  <c r="V103" i="31"/>
  <c r="U104" i="31"/>
  <c r="V104" i="31"/>
  <c r="U105" i="31"/>
  <c r="V105" i="31"/>
  <c r="U106" i="31"/>
  <c r="V106" i="31"/>
  <c r="U107" i="31"/>
  <c r="V107" i="31"/>
  <c r="U108" i="31"/>
  <c r="V108" i="31"/>
  <c r="U109" i="31"/>
  <c r="V109" i="31"/>
  <c r="U110" i="31"/>
  <c r="V110" i="31"/>
  <c r="U111" i="31"/>
  <c r="V111" i="31"/>
  <c r="U112" i="31"/>
  <c r="V112" i="31"/>
  <c r="U113" i="31"/>
  <c r="V113" i="31"/>
  <c r="U114" i="31"/>
  <c r="V114" i="31"/>
  <c r="U115" i="31"/>
  <c r="V115" i="31"/>
  <c r="U116" i="31"/>
  <c r="V116" i="31"/>
  <c r="U117" i="31"/>
  <c r="V117" i="31"/>
  <c r="U118" i="31"/>
  <c r="V118" i="31"/>
  <c r="U119" i="31"/>
  <c r="V119" i="31"/>
  <c r="U120" i="31"/>
  <c r="V120" i="31"/>
  <c r="U121" i="31"/>
  <c r="V121" i="31"/>
  <c r="U122" i="31"/>
  <c r="V122" i="31"/>
  <c r="U123" i="31"/>
  <c r="V123" i="31"/>
  <c r="U124" i="31"/>
  <c r="V124" i="31"/>
  <c r="U125" i="31"/>
  <c r="V125" i="31"/>
  <c r="U126" i="31"/>
  <c r="V126" i="31"/>
  <c r="U127" i="31"/>
  <c r="V127" i="31"/>
  <c r="U128" i="31"/>
  <c r="V128" i="31"/>
  <c r="U129" i="31"/>
  <c r="V129" i="31"/>
  <c r="U130" i="31"/>
  <c r="V130" i="31"/>
  <c r="U131" i="31"/>
  <c r="V131" i="31"/>
  <c r="U132" i="31"/>
  <c r="V132" i="31"/>
  <c r="U133" i="31"/>
  <c r="V133" i="31"/>
  <c r="U134" i="31"/>
  <c r="V134" i="31"/>
  <c r="U135" i="31"/>
  <c r="V135" i="31"/>
  <c r="U136" i="31"/>
  <c r="V136" i="31"/>
  <c r="U137" i="31"/>
  <c r="V137" i="31"/>
  <c r="U138" i="31"/>
  <c r="V138" i="31"/>
  <c r="U139" i="31"/>
  <c r="V139" i="31"/>
  <c r="U140" i="31"/>
  <c r="V140" i="31"/>
  <c r="U141" i="31"/>
  <c r="V141" i="31"/>
  <c r="U142" i="31"/>
  <c r="V142" i="31"/>
  <c r="U143" i="31"/>
  <c r="V143" i="31"/>
  <c r="U144" i="31"/>
  <c r="V144" i="31"/>
  <c r="U145" i="31"/>
  <c r="V145" i="31"/>
  <c r="U146" i="31"/>
  <c r="V146" i="31"/>
  <c r="U147" i="31"/>
  <c r="V147" i="31"/>
  <c r="U148" i="31"/>
  <c r="V148" i="31"/>
  <c r="U149" i="31"/>
  <c r="V149" i="31"/>
  <c r="U150" i="31"/>
  <c r="V150" i="31"/>
  <c r="U151" i="31"/>
  <c r="V151" i="31"/>
  <c r="U152" i="31"/>
  <c r="V152" i="31"/>
  <c r="U153" i="31"/>
  <c r="V153" i="31"/>
  <c r="U154" i="31"/>
  <c r="V154" i="31"/>
  <c r="U155" i="31"/>
  <c r="V155" i="31"/>
  <c r="U156" i="31"/>
  <c r="V156" i="31"/>
  <c r="U157" i="31"/>
  <c r="V157" i="31"/>
  <c r="U158" i="31"/>
  <c r="V158" i="31"/>
  <c r="U159" i="31"/>
  <c r="V159" i="31"/>
  <c r="U160" i="31"/>
  <c r="V160" i="31"/>
  <c r="U161" i="31"/>
  <c r="V161" i="31"/>
  <c r="U162" i="31"/>
  <c r="V162" i="31"/>
  <c r="U163" i="31"/>
  <c r="V163" i="31"/>
  <c r="U164" i="31"/>
  <c r="V164" i="31"/>
  <c r="U165" i="31"/>
  <c r="V165" i="31"/>
  <c r="U166" i="31"/>
  <c r="V166" i="31"/>
  <c r="U167" i="31"/>
  <c r="V167" i="31"/>
  <c r="U168" i="31"/>
  <c r="V168" i="31"/>
  <c r="U169" i="31"/>
  <c r="V169" i="31"/>
  <c r="U170" i="31"/>
  <c r="V170" i="31"/>
  <c r="U171" i="31"/>
  <c r="V171" i="31"/>
  <c r="U172" i="31"/>
  <c r="V172" i="31"/>
  <c r="U173" i="31"/>
  <c r="V173" i="31"/>
  <c r="U174" i="31"/>
  <c r="V174" i="31"/>
  <c r="U175" i="31"/>
  <c r="V175" i="31"/>
  <c r="U176" i="31"/>
  <c r="V176" i="31"/>
  <c r="U177" i="31"/>
  <c r="V177" i="31"/>
  <c r="U178" i="31"/>
  <c r="V178" i="31"/>
  <c r="U179" i="31"/>
  <c r="V179" i="31"/>
  <c r="U180" i="31"/>
  <c r="V180" i="31"/>
  <c r="U181" i="31"/>
  <c r="V181" i="31"/>
  <c r="U182" i="31"/>
  <c r="V182" i="31"/>
  <c r="U183" i="31"/>
  <c r="V183" i="31"/>
  <c r="U184" i="31"/>
  <c r="V184" i="31"/>
  <c r="U185" i="31"/>
  <c r="V185" i="31"/>
  <c r="U186" i="31"/>
  <c r="V186" i="31"/>
  <c r="U187" i="31"/>
  <c r="V187" i="31"/>
  <c r="U188" i="31"/>
  <c r="V188" i="31"/>
  <c r="U189" i="31"/>
  <c r="V189" i="31"/>
  <c r="U190" i="31"/>
  <c r="V190" i="31"/>
  <c r="U191" i="31"/>
  <c r="V191" i="31"/>
  <c r="U192" i="31"/>
  <c r="V192" i="31"/>
  <c r="U193" i="31"/>
  <c r="V193" i="31"/>
  <c r="U194" i="31"/>
  <c r="V194" i="31"/>
  <c r="U195" i="31"/>
  <c r="V195" i="31"/>
  <c r="U196" i="31"/>
  <c r="V196" i="31"/>
  <c r="U197" i="31"/>
  <c r="V197" i="31"/>
  <c r="U198" i="31"/>
  <c r="V198" i="31"/>
  <c r="U199" i="31"/>
  <c r="V199" i="31"/>
  <c r="U200" i="31"/>
  <c r="V200" i="31"/>
  <c r="U201" i="31"/>
  <c r="V201" i="31"/>
  <c r="U202" i="31"/>
  <c r="V202" i="31"/>
  <c r="U203" i="31"/>
  <c r="V203" i="31"/>
  <c r="U204" i="31"/>
  <c r="V204" i="31"/>
  <c r="U205" i="31"/>
  <c r="V205" i="31"/>
  <c r="U206" i="31"/>
  <c r="V206" i="31"/>
  <c r="U207" i="31"/>
  <c r="V207" i="31"/>
  <c r="U208" i="31"/>
  <c r="V208" i="31"/>
  <c r="U209" i="31"/>
  <c r="V209" i="31"/>
  <c r="U210" i="31"/>
  <c r="V210" i="31"/>
  <c r="U211" i="31"/>
  <c r="V211" i="31"/>
  <c r="U212" i="31"/>
  <c r="V212" i="31"/>
  <c r="U213" i="31"/>
  <c r="V213" i="31"/>
  <c r="U214" i="31"/>
  <c r="V214" i="31"/>
  <c r="U215" i="31"/>
  <c r="V215" i="31"/>
  <c r="U216" i="31"/>
  <c r="V216" i="31"/>
  <c r="U217" i="31"/>
  <c r="V217" i="31"/>
  <c r="U218" i="31"/>
  <c r="V218" i="31"/>
  <c r="U219" i="31"/>
  <c r="V219" i="31"/>
  <c r="U220" i="31"/>
  <c r="V220" i="31"/>
  <c r="U221" i="31"/>
  <c r="V221" i="31"/>
  <c r="U222" i="31"/>
  <c r="V222" i="31"/>
  <c r="U223" i="31"/>
  <c r="V223" i="31"/>
  <c r="U224" i="31"/>
  <c r="V224" i="31"/>
  <c r="U225" i="31"/>
  <c r="V225" i="31"/>
  <c r="U226" i="31"/>
  <c r="V226" i="31"/>
  <c r="U227" i="31"/>
  <c r="V227" i="31"/>
  <c r="U228" i="31"/>
  <c r="V228" i="31"/>
  <c r="U229" i="31"/>
  <c r="V229" i="31"/>
  <c r="U230" i="31"/>
  <c r="V230" i="31"/>
  <c r="U231" i="31"/>
  <c r="V231" i="31"/>
  <c r="U232" i="31"/>
  <c r="V232" i="31"/>
  <c r="U233" i="31"/>
  <c r="V233" i="31"/>
  <c r="U234" i="31"/>
  <c r="V234" i="31"/>
  <c r="U235" i="31"/>
  <c r="V235" i="31"/>
  <c r="U236" i="31"/>
  <c r="V236" i="31"/>
  <c r="U237" i="31"/>
  <c r="V237" i="31"/>
  <c r="U238" i="31"/>
  <c r="V238" i="31"/>
  <c r="U239" i="31"/>
  <c r="V239" i="31"/>
  <c r="U240" i="31"/>
  <c r="V240" i="31"/>
  <c r="U241" i="31"/>
  <c r="V241" i="31"/>
  <c r="U242" i="31"/>
  <c r="V242" i="31"/>
  <c r="U243" i="31"/>
  <c r="V243" i="31"/>
  <c r="U244" i="31"/>
  <c r="V244" i="31"/>
  <c r="U245" i="31"/>
  <c r="V245" i="31"/>
  <c r="U246" i="31"/>
  <c r="V246" i="31"/>
  <c r="U247" i="31"/>
  <c r="V247" i="31"/>
  <c r="U248" i="31"/>
  <c r="V248" i="31"/>
  <c r="U249" i="31"/>
  <c r="V249" i="31"/>
  <c r="U250" i="31"/>
  <c r="V250" i="31"/>
  <c r="U251" i="31"/>
  <c r="V251" i="31"/>
  <c r="U252" i="31"/>
  <c r="V252" i="31"/>
  <c r="U253" i="31"/>
  <c r="V253" i="31"/>
  <c r="U254" i="31"/>
  <c r="V254" i="31"/>
  <c r="U255" i="31"/>
  <c r="V255" i="31"/>
  <c r="U256" i="31"/>
  <c r="V256" i="31"/>
  <c r="U257" i="31"/>
  <c r="V257" i="31"/>
  <c r="U258" i="31"/>
  <c r="V258" i="31"/>
  <c r="U259" i="31"/>
  <c r="V259" i="31"/>
  <c r="U260" i="31"/>
  <c r="V260" i="31"/>
  <c r="U261" i="31"/>
  <c r="V261" i="31"/>
  <c r="U262" i="31"/>
  <c r="V262" i="31"/>
  <c r="U263" i="31"/>
  <c r="V263" i="31"/>
  <c r="U264" i="31"/>
  <c r="V264" i="31"/>
  <c r="U265" i="31"/>
  <c r="V265" i="31"/>
  <c r="U266" i="31"/>
  <c r="V266" i="31"/>
  <c r="U267" i="31"/>
  <c r="V267" i="31"/>
  <c r="U268" i="31"/>
  <c r="V268" i="31"/>
  <c r="U269" i="31"/>
  <c r="V269" i="31"/>
  <c r="U270" i="31"/>
  <c r="V270" i="31"/>
  <c r="U271" i="31"/>
  <c r="V271" i="31"/>
  <c r="U272" i="31"/>
  <c r="V272" i="31"/>
  <c r="U273" i="31"/>
  <c r="V273" i="31"/>
  <c r="U274" i="31"/>
  <c r="V274" i="31"/>
  <c r="U275" i="31"/>
  <c r="V275" i="31"/>
  <c r="U276" i="31"/>
  <c r="V276" i="31"/>
  <c r="U277" i="31"/>
  <c r="V277" i="31"/>
  <c r="U278" i="31"/>
  <c r="V278" i="31"/>
  <c r="U279" i="31"/>
  <c r="V279" i="31"/>
  <c r="U280" i="31"/>
  <c r="V280" i="31"/>
  <c r="U281" i="31"/>
  <c r="V281" i="31"/>
  <c r="U282" i="31"/>
  <c r="V282" i="31"/>
  <c r="U283" i="31"/>
  <c r="V283" i="31"/>
  <c r="U284" i="31"/>
  <c r="V284" i="31"/>
  <c r="U285" i="31"/>
  <c r="V285" i="31"/>
  <c r="U286" i="31"/>
  <c r="V286" i="31"/>
  <c r="U287" i="31"/>
  <c r="V287" i="31"/>
  <c r="U288" i="31"/>
  <c r="V288" i="31"/>
  <c r="U289" i="31"/>
  <c r="V289" i="31"/>
  <c r="U290" i="31"/>
  <c r="V290" i="31"/>
  <c r="U291" i="31"/>
  <c r="V291" i="31"/>
  <c r="U292" i="31"/>
  <c r="V292" i="31"/>
  <c r="U293" i="31"/>
  <c r="V293" i="31"/>
  <c r="U294" i="31"/>
  <c r="V294" i="31"/>
  <c r="U295" i="31"/>
  <c r="V295" i="31"/>
  <c r="U296" i="31"/>
  <c r="V296" i="31"/>
  <c r="U297" i="31"/>
  <c r="V297" i="31"/>
  <c r="U298" i="31"/>
  <c r="V298" i="31"/>
  <c r="U299" i="31"/>
  <c r="V299" i="31"/>
  <c r="U300" i="31"/>
  <c r="V300" i="31"/>
  <c r="U301" i="31"/>
  <c r="V301" i="31"/>
  <c r="U302" i="31"/>
  <c r="V302" i="31"/>
  <c r="U303" i="31"/>
  <c r="V303" i="31"/>
  <c r="U304" i="31"/>
  <c r="V304" i="31"/>
  <c r="U305" i="31"/>
  <c r="V305" i="31"/>
  <c r="U306" i="31"/>
  <c r="V306" i="31"/>
  <c r="U307" i="31"/>
  <c r="V307" i="31"/>
  <c r="U308" i="31"/>
  <c r="V308" i="31"/>
  <c r="U309" i="31"/>
  <c r="V309" i="31"/>
  <c r="U310" i="31"/>
  <c r="V310" i="31"/>
  <c r="U311" i="31"/>
  <c r="V311" i="31"/>
  <c r="U312" i="31"/>
  <c r="V312" i="31"/>
  <c r="U313" i="31"/>
  <c r="V313" i="31"/>
  <c r="U314" i="31"/>
  <c r="V314" i="31"/>
  <c r="U315" i="31"/>
  <c r="V315" i="31"/>
  <c r="U316" i="31"/>
  <c r="V316" i="31"/>
  <c r="U317" i="31"/>
  <c r="V317" i="31"/>
  <c r="U318" i="31"/>
  <c r="V318" i="31"/>
  <c r="U319" i="31"/>
  <c r="V319" i="31"/>
  <c r="U320" i="31"/>
  <c r="V320" i="31"/>
  <c r="U321" i="31"/>
  <c r="V321" i="31"/>
  <c r="U322" i="31"/>
  <c r="V322" i="31"/>
  <c r="U323" i="31"/>
  <c r="V323" i="31"/>
  <c r="U324" i="31"/>
  <c r="V324" i="31"/>
  <c r="U325" i="31"/>
  <c r="V325" i="31"/>
  <c r="U326" i="31"/>
  <c r="V326" i="31"/>
  <c r="U327" i="31"/>
  <c r="V327" i="31"/>
  <c r="U328" i="31"/>
  <c r="V328" i="31"/>
  <c r="U329" i="31"/>
  <c r="V329" i="31"/>
  <c r="U330" i="31"/>
  <c r="V330" i="31"/>
  <c r="U331" i="31"/>
  <c r="V331" i="31"/>
  <c r="U332" i="31"/>
  <c r="V332" i="31"/>
  <c r="U333" i="31"/>
  <c r="V333" i="31"/>
  <c r="U334" i="31"/>
  <c r="V334" i="31"/>
  <c r="U335" i="31"/>
  <c r="V335" i="31"/>
  <c r="U336" i="31"/>
  <c r="V336" i="31"/>
  <c r="U337" i="31"/>
  <c r="V337" i="31"/>
  <c r="U338" i="31"/>
  <c r="V338" i="31"/>
  <c r="U339" i="31"/>
  <c r="V339" i="31"/>
  <c r="U340" i="31"/>
  <c r="V340" i="31"/>
  <c r="U341" i="31"/>
  <c r="V341" i="31"/>
  <c r="U342" i="31"/>
  <c r="V342" i="31"/>
  <c r="U343" i="31"/>
  <c r="V343" i="31"/>
  <c r="U344" i="31"/>
  <c r="V344" i="31"/>
  <c r="U345" i="31"/>
  <c r="V345" i="31"/>
  <c r="U346" i="31"/>
  <c r="V346" i="31"/>
  <c r="U347" i="31"/>
  <c r="V347" i="31"/>
  <c r="U348" i="31"/>
  <c r="V348" i="31"/>
  <c r="U349" i="31"/>
  <c r="V349" i="31"/>
  <c r="U350" i="31"/>
  <c r="V350" i="31"/>
  <c r="U351" i="31"/>
  <c r="V351" i="31"/>
  <c r="U352" i="31"/>
  <c r="V352" i="31"/>
  <c r="U353" i="31"/>
  <c r="V353" i="31"/>
  <c r="U354" i="31"/>
  <c r="V354" i="31"/>
  <c r="U355" i="31"/>
  <c r="V355" i="31"/>
  <c r="U356" i="31"/>
  <c r="V356" i="31"/>
  <c r="U357" i="31"/>
  <c r="V357" i="31"/>
  <c r="U358" i="31"/>
  <c r="V358" i="31"/>
  <c r="U359" i="31"/>
  <c r="V359" i="31"/>
  <c r="U360" i="31"/>
  <c r="V360" i="31"/>
  <c r="U361" i="31"/>
  <c r="V361" i="31"/>
  <c r="U362" i="31"/>
  <c r="V362" i="31"/>
  <c r="U363" i="31"/>
  <c r="V363" i="31"/>
  <c r="U364" i="31"/>
  <c r="V364" i="31"/>
  <c r="U365" i="31"/>
  <c r="V365" i="31"/>
  <c r="U366" i="31"/>
  <c r="V366" i="31"/>
  <c r="U367" i="31"/>
  <c r="V367" i="31"/>
  <c r="U368" i="31"/>
  <c r="V368" i="31"/>
  <c r="U369" i="31"/>
  <c r="V369" i="31"/>
  <c r="U370" i="31"/>
  <c r="V370" i="31"/>
  <c r="U371" i="31"/>
  <c r="V371" i="31"/>
  <c r="U372" i="31"/>
  <c r="V372" i="31"/>
  <c r="U373" i="31"/>
  <c r="V373" i="31"/>
  <c r="U374" i="31"/>
  <c r="V374" i="31"/>
  <c r="U375" i="31"/>
  <c r="V375" i="31"/>
  <c r="U376" i="31"/>
  <c r="V376" i="31"/>
  <c r="U377" i="31"/>
  <c r="V377" i="31"/>
  <c r="U378" i="31"/>
  <c r="V378" i="31"/>
  <c r="U379" i="31"/>
  <c r="V379" i="31"/>
  <c r="U380" i="31"/>
  <c r="V380" i="31"/>
  <c r="U381" i="31"/>
  <c r="V381" i="31"/>
  <c r="U382" i="31"/>
  <c r="V382" i="31"/>
  <c r="U383" i="31"/>
  <c r="V383" i="31"/>
  <c r="U384" i="31"/>
  <c r="V384" i="31"/>
  <c r="U385" i="31"/>
  <c r="V385" i="31"/>
  <c r="U386" i="31"/>
  <c r="V386" i="31"/>
  <c r="U387" i="31"/>
  <c r="V387" i="31"/>
  <c r="U388" i="31"/>
  <c r="V388" i="31"/>
  <c r="U389" i="31"/>
  <c r="V389" i="31"/>
  <c r="U390" i="31"/>
  <c r="V390" i="31"/>
  <c r="U391" i="31"/>
  <c r="V391" i="31"/>
  <c r="U392" i="31"/>
  <c r="V392" i="31"/>
  <c r="U393" i="31"/>
  <c r="V393" i="31"/>
  <c r="U394" i="31"/>
  <c r="V394" i="31"/>
  <c r="U395" i="31"/>
  <c r="V395" i="31"/>
  <c r="U396" i="31"/>
  <c r="V396" i="31"/>
  <c r="U397" i="31"/>
  <c r="V397" i="31"/>
  <c r="U398" i="31"/>
  <c r="V398" i="31"/>
  <c r="U399" i="31"/>
  <c r="V399" i="31"/>
  <c r="U400" i="31"/>
  <c r="V400" i="31"/>
  <c r="U401" i="31"/>
  <c r="V401" i="31"/>
  <c r="U402" i="31"/>
  <c r="V402" i="31"/>
  <c r="U403" i="31"/>
  <c r="V403" i="31"/>
  <c r="U404" i="31"/>
  <c r="V404" i="31"/>
  <c r="U405" i="31"/>
  <c r="V405" i="31"/>
  <c r="U406" i="31"/>
  <c r="V406" i="31"/>
  <c r="U407" i="31"/>
  <c r="V407" i="31"/>
  <c r="U408" i="31"/>
  <c r="V408" i="31"/>
  <c r="U409" i="31"/>
  <c r="V409" i="31"/>
  <c r="U410" i="31"/>
  <c r="V410" i="31"/>
  <c r="U411" i="31"/>
  <c r="V411" i="31"/>
  <c r="U412" i="31"/>
  <c r="V412" i="31"/>
  <c r="U413" i="31"/>
  <c r="V413" i="31"/>
  <c r="U414" i="31"/>
  <c r="V414" i="31"/>
  <c r="U415" i="31"/>
  <c r="V415" i="31"/>
  <c r="U416" i="31"/>
  <c r="V416" i="31"/>
  <c r="U417" i="31"/>
  <c r="V417" i="31"/>
  <c r="U418" i="31"/>
  <c r="V418" i="31"/>
  <c r="U419" i="31"/>
  <c r="V419" i="31"/>
  <c r="U420" i="31"/>
  <c r="V420" i="31"/>
  <c r="U421" i="31"/>
  <c r="V421" i="31"/>
  <c r="U422" i="31"/>
  <c r="V422" i="31"/>
  <c r="U423" i="31"/>
  <c r="V423" i="31"/>
  <c r="U424" i="31"/>
  <c r="V424" i="31"/>
  <c r="U425" i="31"/>
  <c r="V425" i="31"/>
  <c r="U426" i="31"/>
  <c r="V426" i="31"/>
  <c r="U427" i="31"/>
  <c r="V427" i="31"/>
  <c r="U428" i="31"/>
  <c r="V428" i="31"/>
  <c r="U429" i="31"/>
  <c r="V429" i="31"/>
  <c r="U430" i="31"/>
  <c r="V430" i="31"/>
  <c r="U431" i="31"/>
  <c r="V431" i="31"/>
  <c r="U432" i="31"/>
  <c r="V432" i="31"/>
  <c r="U433" i="31"/>
  <c r="V433" i="31"/>
  <c r="U434" i="31"/>
  <c r="V434" i="31"/>
  <c r="U435" i="31"/>
  <c r="V435" i="31"/>
  <c r="U436" i="31"/>
  <c r="V436" i="31"/>
  <c r="U437" i="31"/>
  <c r="V437" i="31"/>
  <c r="U438" i="31"/>
  <c r="V438" i="31"/>
  <c r="U439" i="31"/>
  <c r="V439" i="31"/>
  <c r="U440" i="31"/>
  <c r="V440" i="31"/>
  <c r="U441" i="31"/>
  <c r="V441" i="31"/>
  <c r="U442" i="31"/>
  <c r="V442" i="31"/>
  <c r="U443" i="31"/>
  <c r="V443" i="31"/>
  <c r="U444" i="31"/>
  <c r="V444" i="31"/>
  <c r="U445" i="31"/>
  <c r="V445" i="31"/>
  <c r="U446" i="31"/>
  <c r="V446" i="31"/>
  <c r="U447" i="31"/>
  <c r="V447" i="31"/>
  <c r="U448" i="31"/>
  <c r="V448" i="31"/>
  <c r="U449" i="31"/>
  <c r="V449" i="31"/>
  <c r="U450" i="31"/>
  <c r="V450" i="31"/>
  <c r="U451" i="31"/>
  <c r="V451" i="31"/>
  <c r="U452" i="31"/>
  <c r="V452" i="31"/>
  <c r="U453" i="31"/>
  <c r="V453" i="31"/>
  <c r="U454" i="31"/>
  <c r="V454" i="31"/>
  <c r="U455" i="31"/>
  <c r="V455" i="31"/>
  <c r="U456" i="31"/>
  <c r="V456" i="31"/>
  <c r="U457" i="31"/>
  <c r="V457" i="31"/>
  <c r="U458" i="31"/>
  <c r="V458" i="31"/>
  <c r="U459" i="31"/>
  <c r="V459" i="31"/>
  <c r="U460" i="31"/>
  <c r="V460" i="31"/>
  <c r="U461" i="31"/>
  <c r="V461" i="31"/>
  <c r="U462" i="31"/>
  <c r="V462" i="31"/>
  <c r="U463" i="31"/>
  <c r="V463" i="31"/>
  <c r="U464" i="31"/>
  <c r="V464" i="31"/>
  <c r="U465" i="31"/>
  <c r="V465" i="31"/>
  <c r="U466" i="31"/>
  <c r="V466" i="31"/>
  <c r="U467" i="31"/>
  <c r="V467" i="31"/>
  <c r="U468" i="31"/>
  <c r="V468" i="31"/>
  <c r="U469" i="31"/>
  <c r="V469" i="31"/>
  <c r="U470" i="31"/>
  <c r="V470" i="31"/>
  <c r="U471" i="31"/>
  <c r="V471" i="31"/>
  <c r="U472" i="31"/>
  <c r="V472" i="31"/>
  <c r="U473" i="31"/>
  <c r="V473" i="31"/>
  <c r="U474" i="31"/>
  <c r="V474" i="31"/>
  <c r="U475" i="31"/>
  <c r="V475" i="31"/>
  <c r="U476" i="31"/>
  <c r="V476" i="31"/>
  <c r="U477" i="31"/>
  <c r="V477" i="31"/>
  <c r="U478" i="31"/>
  <c r="V478" i="31"/>
  <c r="U479" i="31"/>
  <c r="V479" i="31"/>
  <c r="U480" i="31"/>
  <c r="V480" i="31"/>
  <c r="U481" i="31"/>
  <c r="V481" i="31"/>
  <c r="U482" i="31"/>
  <c r="V482" i="31"/>
  <c r="U483" i="31"/>
  <c r="V483" i="31"/>
  <c r="U484" i="31"/>
  <c r="V484" i="31"/>
  <c r="U485" i="31"/>
  <c r="V485" i="31"/>
  <c r="U486" i="31"/>
  <c r="V486" i="31"/>
  <c r="U487" i="31"/>
  <c r="V487" i="31"/>
  <c r="U488" i="31"/>
  <c r="V488" i="31"/>
  <c r="U489" i="31"/>
  <c r="V489" i="31"/>
  <c r="U490" i="31"/>
  <c r="V490" i="31"/>
  <c r="U491" i="31"/>
  <c r="V491" i="31"/>
  <c r="U492" i="31"/>
  <c r="V492" i="31"/>
  <c r="U493" i="31"/>
  <c r="V493" i="31"/>
  <c r="U494" i="31"/>
  <c r="V494" i="31"/>
  <c r="U495" i="31"/>
  <c r="V495" i="31"/>
  <c r="U496" i="31"/>
  <c r="V496" i="31"/>
  <c r="U497" i="31"/>
  <c r="V497" i="31"/>
  <c r="U498" i="31"/>
  <c r="V498" i="31"/>
  <c r="U499" i="31"/>
  <c r="V499" i="31"/>
  <c r="U500" i="31"/>
  <c r="V500" i="31"/>
  <c r="U501" i="31"/>
  <c r="V501" i="31"/>
  <c r="U502" i="31"/>
  <c r="V502" i="31"/>
  <c r="U503" i="31"/>
  <c r="V503" i="31"/>
  <c r="U504" i="31"/>
  <c r="V504" i="31"/>
  <c r="U505" i="31"/>
  <c r="V505" i="31"/>
  <c r="U506" i="31"/>
  <c r="V506" i="31"/>
  <c r="U507" i="31"/>
  <c r="V507" i="31"/>
  <c r="U508" i="31"/>
  <c r="V508" i="31"/>
  <c r="U509" i="31"/>
  <c r="V509" i="31"/>
  <c r="U510" i="31"/>
  <c r="V510" i="31"/>
  <c r="U511" i="31"/>
  <c r="V511" i="31"/>
  <c r="U512" i="31"/>
  <c r="V512" i="31"/>
  <c r="U513" i="31"/>
  <c r="V513" i="31"/>
  <c r="U514" i="31"/>
  <c r="V514" i="31"/>
  <c r="U515" i="31"/>
  <c r="V515" i="31"/>
  <c r="U516" i="31"/>
  <c r="V516" i="31"/>
  <c r="U517" i="31"/>
  <c r="V517" i="31"/>
  <c r="U518" i="31"/>
  <c r="V518" i="31"/>
  <c r="U519" i="31"/>
  <c r="V519" i="31"/>
  <c r="U520" i="31"/>
  <c r="V520" i="31"/>
  <c r="U521" i="31"/>
  <c r="V521" i="31"/>
  <c r="U522" i="31"/>
  <c r="V522" i="31"/>
  <c r="U523" i="31"/>
  <c r="V523" i="31"/>
  <c r="U524" i="31"/>
  <c r="V524" i="31"/>
  <c r="U525" i="31"/>
  <c r="V525" i="31"/>
  <c r="U526" i="31"/>
  <c r="V526" i="31"/>
  <c r="U527" i="31"/>
  <c r="V527" i="31"/>
  <c r="U528" i="31"/>
  <c r="V528" i="31"/>
  <c r="U529" i="31"/>
  <c r="V529" i="31"/>
  <c r="U530" i="31"/>
  <c r="V530" i="31"/>
  <c r="U531" i="31"/>
  <c r="V531" i="31"/>
  <c r="U532" i="31"/>
  <c r="V532" i="31"/>
  <c r="U533" i="31"/>
  <c r="V533" i="31"/>
  <c r="U534" i="31"/>
  <c r="V534" i="31"/>
  <c r="U535" i="31"/>
  <c r="V535" i="31"/>
  <c r="U536" i="31"/>
  <c r="V536" i="31"/>
  <c r="U537" i="31"/>
  <c r="V537" i="31"/>
  <c r="U538" i="31"/>
  <c r="V538" i="31"/>
  <c r="U539" i="31"/>
  <c r="V539" i="31"/>
  <c r="U540" i="31"/>
  <c r="V540" i="31"/>
  <c r="U541" i="31"/>
  <c r="V541" i="31"/>
  <c r="U542" i="31"/>
  <c r="V542" i="31"/>
  <c r="U543" i="31"/>
  <c r="V543" i="31"/>
  <c r="U544" i="31"/>
  <c r="V544" i="31"/>
  <c r="U545" i="31"/>
  <c r="V545" i="31"/>
  <c r="U546" i="31"/>
  <c r="V546" i="31"/>
  <c r="U547" i="31"/>
  <c r="V547" i="31"/>
  <c r="U548" i="31"/>
  <c r="V548" i="31"/>
  <c r="U549" i="31"/>
  <c r="V549" i="31"/>
  <c r="U550" i="31"/>
  <c r="V550" i="31"/>
  <c r="U551" i="31"/>
  <c r="V551" i="31"/>
  <c r="U552" i="31"/>
  <c r="V552" i="31"/>
  <c r="U553" i="31"/>
  <c r="V553" i="31"/>
  <c r="U554" i="31"/>
  <c r="V554" i="31"/>
  <c r="U555" i="31"/>
  <c r="V555" i="31"/>
  <c r="U556" i="31"/>
  <c r="V556" i="31"/>
  <c r="U557" i="31"/>
  <c r="V557" i="31"/>
  <c r="U558" i="31"/>
  <c r="V558" i="31"/>
  <c r="U559" i="31"/>
  <c r="V559" i="31"/>
  <c r="U560" i="31"/>
  <c r="V560" i="31"/>
  <c r="U561" i="31"/>
  <c r="V561" i="31"/>
  <c r="U562" i="31"/>
  <c r="V562" i="31"/>
  <c r="U563" i="31"/>
  <c r="V563" i="31"/>
  <c r="U564" i="31"/>
  <c r="V564" i="31"/>
  <c r="U565" i="31"/>
  <c r="V565" i="31"/>
  <c r="U566" i="31"/>
  <c r="V566" i="31"/>
  <c r="U567" i="31"/>
  <c r="V567" i="31"/>
  <c r="U568" i="31"/>
  <c r="V568" i="31"/>
  <c r="U569" i="31"/>
  <c r="V569" i="31"/>
  <c r="U570" i="31"/>
  <c r="V570" i="31"/>
  <c r="U571" i="31"/>
  <c r="V571" i="31"/>
  <c r="U572" i="31"/>
  <c r="V572" i="31"/>
  <c r="U573" i="31"/>
  <c r="V573" i="31"/>
  <c r="U574" i="31"/>
  <c r="V574" i="31"/>
  <c r="U575" i="31"/>
  <c r="V575" i="31"/>
  <c r="U576" i="31"/>
  <c r="V576" i="31"/>
  <c r="U577" i="31"/>
  <c r="V577" i="31"/>
  <c r="U578" i="31"/>
  <c r="V578" i="31"/>
  <c r="U579" i="31"/>
  <c r="V579" i="31"/>
  <c r="U580" i="31"/>
  <c r="V580" i="31"/>
  <c r="U581" i="31"/>
  <c r="V581" i="31"/>
  <c r="U582" i="31"/>
  <c r="V582" i="31"/>
  <c r="U583" i="31"/>
  <c r="V583" i="31"/>
  <c r="U584" i="31"/>
  <c r="V584" i="31"/>
  <c r="U585" i="31"/>
  <c r="V585" i="31"/>
  <c r="U586" i="31"/>
  <c r="V586" i="31"/>
  <c r="U587" i="31"/>
  <c r="V587" i="31"/>
  <c r="U588" i="31"/>
  <c r="V588" i="31"/>
  <c r="U589" i="31"/>
  <c r="V589" i="31"/>
  <c r="U590" i="31"/>
  <c r="V590" i="31"/>
  <c r="U591" i="31"/>
  <c r="V591" i="31"/>
  <c r="U592" i="31"/>
  <c r="V592" i="31"/>
  <c r="U593" i="31"/>
  <c r="V593" i="31"/>
  <c r="U594" i="31"/>
  <c r="V594" i="31"/>
  <c r="U595" i="31"/>
  <c r="V595" i="31"/>
  <c r="U596" i="31"/>
  <c r="V596" i="31"/>
  <c r="U597" i="31"/>
  <c r="V597" i="31"/>
  <c r="U598" i="31"/>
  <c r="V598" i="31"/>
  <c r="U599" i="31"/>
  <c r="V599" i="31"/>
  <c r="U600" i="31"/>
  <c r="V600" i="31"/>
  <c r="U601" i="31"/>
  <c r="V601" i="31"/>
  <c r="U602" i="31"/>
  <c r="V602" i="31"/>
  <c r="U603" i="31"/>
  <c r="V603" i="31"/>
  <c r="U604" i="31"/>
  <c r="V604" i="31"/>
  <c r="U605" i="31"/>
  <c r="V605" i="31"/>
  <c r="U606" i="31"/>
  <c r="V606" i="31"/>
  <c r="U607" i="31"/>
  <c r="V607" i="31"/>
  <c r="U608" i="31"/>
  <c r="V608" i="31"/>
  <c r="U609" i="31"/>
  <c r="V609" i="31"/>
  <c r="U610" i="31"/>
  <c r="V610" i="31"/>
  <c r="U611" i="31"/>
  <c r="V611" i="31"/>
  <c r="U612" i="31"/>
  <c r="V612" i="31"/>
  <c r="U613" i="31"/>
  <c r="V613" i="31"/>
  <c r="U614" i="31"/>
  <c r="V614" i="31"/>
  <c r="U615" i="31"/>
  <c r="V615" i="31"/>
  <c r="U616" i="31"/>
  <c r="V616" i="31"/>
  <c r="U617" i="31"/>
  <c r="V617" i="31"/>
  <c r="U618" i="31"/>
  <c r="V618" i="31"/>
  <c r="U619" i="31"/>
  <c r="V619" i="31"/>
  <c r="U620" i="31"/>
  <c r="V620" i="31"/>
  <c r="U621" i="31"/>
  <c r="V621" i="31"/>
  <c r="U622" i="31"/>
  <c r="V622" i="31"/>
  <c r="U623" i="31"/>
  <c r="V623" i="31"/>
  <c r="U624" i="31"/>
  <c r="V624" i="31"/>
  <c r="U625" i="31"/>
  <c r="V625" i="31"/>
  <c r="U626" i="31"/>
  <c r="V626" i="31"/>
  <c r="U627" i="31"/>
  <c r="V627" i="31"/>
  <c r="U628" i="31"/>
  <c r="V628" i="31"/>
  <c r="U629" i="31"/>
  <c r="V629" i="31"/>
  <c r="U630" i="31"/>
  <c r="V630" i="31"/>
  <c r="U631" i="31"/>
  <c r="V631" i="31"/>
  <c r="U632" i="31"/>
  <c r="V632" i="31"/>
  <c r="U633" i="31"/>
  <c r="V633" i="31"/>
  <c r="U634" i="31"/>
  <c r="V634" i="31"/>
  <c r="U635" i="31"/>
  <c r="V635" i="31"/>
  <c r="U636" i="31"/>
  <c r="V636" i="31"/>
  <c r="U637" i="31"/>
  <c r="V637" i="31"/>
  <c r="U638" i="31"/>
  <c r="V638" i="31"/>
  <c r="U639" i="31"/>
  <c r="V639" i="31"/>
  <c r="U640" i="31"/>
  <c r="V640" i="31"/>
  <c r="U641" i="31"/>
  <c r="V641" i="31"/>
  <c r="U642" i="31"/>
  <c r="V642" i="31"/>
  <c r="U643" i="31"/>
  <c r="V643" i="31"/>
  <c r="U644" i="31"/>
  <c r="V644" i="31"/>
  <c r="U645" i="31"/>
  <c r="V645" i="31"/>
  <c r="U646" i="31"/>
  <c r="V646" i="31"/>
  <c r="U647" i="31"/>
  <c r="V647" i="31"/>
  <c r="U648" i="31"/>
  <c r="V648" i="31"/>
  <c r="U649" i="31"/>
  <c r="V649" i="31"/>
  <c r="U650" i="31"/>
  <c r="V650" i="31"/>
  <c r="U651" i="31"/>
  <c r="V651" i="31"/>
  <c r="U652" i="31"/>
  <c r="V652" i="31"/>
  <c r="U653" i="31"/>
  <c r="V653" i="31"/>
  <c r="U654" i="31"/>
  <c r="V654" i="31"/>
  <c r="U655" i="31"/>
  <c r="V655" i="31"/>
  <c r="U656" i="31"/>
  <c r="V656" i="31"/>
  <c r="U657" i="31"/>
  <c r="V657" i="31"/>
  <c r="U658" i="31"/>
  <c r="V658" i="31"/>
  <c r="U659" i="31"/>
  <c r="V659" i="31"/>
  <c r="U660" i="31"/>
  <c r="V660" i="31"/>
  <c r="U661" i="31"/>
  <c r="V661" i="31"/>
  <c r="U662" i="31"/>
  <c r="V662" i="31"/>
  <c r="U663" i="31"/>
  <c r="V663" i="31"/>
  <c r="U664" i="31"/>
  <c r="V664" i="31"/>
  <c r="U665" i="31"/>
  <c r="V665" i="31"/>
  <c r="U666" i="31"/>
  <c r="V666" i="31"/>
  <c r="U667" i="31"/>
  <c r="V667" i="31"/>
  <c r="U668" i="31"/>
  <c r="V668" i="31"/>
  <c r="U669" i="31"/>
  <c r="V669" i="31"/>
  <c r="U670" i="31"/>
  <c r="V670" i="31"/>
  <c r="U671" i="31"/>
  <c r="V671" i="31"/>
  <c r="U672" i="31"/>
  <c r="V672" i="31"/>
  <c r="U673" i="31"/>
  <c r="V673" i="31"/>
  <c r="U674" i="31"/>
  <c r="V674" i="31"/>
  <c r="U675" i="31"/>
  <c r="V675" i="31"/>
  <c r="U676" i="31"/>
  <c r="V676" i="31"/>
  <c r="U677" i="31"/>
  <c r="V677" i="31"/>
  <c r="U678" i="31"/>
  <c r="V678" i="31"/>
  <c r="U679" i="31"/>
  <c r="V679" i="31"/>
  <c r="U680" i="31"/>
  <c r="V680" i="31"/>
  <c r="U681" i="31"/>
  <c r="V681" i="31"/>
  <c r="U682" i="31"/>
  <c r="V682" i="31"/>
  <c r="U683" i="31"/>
  <c r="V683" i="31"/>
  <c r="U684" i="31"/>
  <c r="V684" i="31"/>
  <c r="U685" i="31"/>
  <c r="V685" i="31"/>
  <c r="U686" i="31"/>
  <c r="V686" i="31"/>
  <c r="U687" i="31"/>
  <c r="V687" i="31"/>
  <c r="U688" i="31"/>
  <c r="V688" i="31"/>
  <c r="U689" i="31"/>
  <c r="V689" i="31"/>
  <c r="U690" i="31"/>
  <c r="V690" i="31"/>
  <c r="U691" i="31"/>
  <c r="V691" i="31"/>
  <c r="U692" i="31"/>
  <c r="V692" i="31"/>
  <c r="U693" i="31"/>
  <c r="V693" i="31"/>
  <c r="U694" i="31"/>
  <c r="V694" i="31"/>
  <c r="U695" i="31"/>
  <c r="V695" i="31"/>
  <c r="U696" i="31"/>
  <c r="V696" i="31"/>
  <c r="U697" i="31"/>
  <c r="V697" i="31"/>
  <c r="U698" i="31"/>
  <c r="V698" i="31"/>
  <c r="U699" i="31"/>
  <c r="V699" i="31"/>
  <c r="U700" i="31"/>
  <c r="V700" i="31"/>
  <c r="U701" i="31"/>
  <c r="V701" i="31"/>
  <c r="U702" i="31"/>
  <c r="V702" i="31"/>
  <c r="U703" i="31"/>
  <c r="V703" i="31"/>
  <c r="U704" i="31"/>
  <c r="V704" i="31"/>
  <c r="U705" i="31"/>
  <c r="V705" i="31"/>
  <c r="U706" i="31"/>
  <c r="V706" i="31"/>
  <c r="U707" i="31"/>
  <c r="V707" i="31"/>
  <c r="U708" i="31"/>
  <c r="V708" i="31"/>
  <c r="U709" i="31"/>
  <c r="V709" i="31"/>
  <c r="U710" i="31"/>
  <c r="V710" i="31"/>
  <c r="U711" i="31"/>
  <c r="V711" i="31"/>
  <c r="U712" i="31"/>
  <c r="V712" i="31"/>
  <c r="U713" i="31"/>
  <c r="V713" i="31"/>
  <c r="U714" i="31"/>
  <c r="V714" i="31"/>
  <c r="U715" i="31"/>
  <c r="V715" i="31"/>
  <c r="U716" i="31"/>
  <c r="V716" i="31"/>
  <c r="U717" i="31"/>
  <c r="V717" i="31"/>
  <c r="U718" i="31"/>
  <c r="V718" i="31"/>
  <c r="U719" i="31"/>
  <c r="V719" i="31"/>
  <c r="U720" i="31"/>
  <c r="V720" i="31"/>
  <c r="U721" i="31"/>
  <c r="V721" i="31"/>
  <c r="U722" i="31"/>
  <c r="V722" i="31"/>
  <c r="U723" i="31"/>
  <c r="V723" i="31"/>
  <c r="U724" i="31"/>
  <c r="V724" i="31"/>
  <c r="U725" i="31"/>
  <c r="V725" i="31"/>
  <c r="U726" i="31"/>
  <c r="V726" i="31"/>
  <c r="U727" i="31"/>
  <c r="V727" i="31"/>
  <c r="U728" i="31"/>
  <c r="V728" i="31"/>
  <c r="U729" i="31"/>
  <c r="V729" i="31"/>
  <c r="U730" i="31"/>
  <c r="V730" i="31"/>
  <c r="U731" i="31"/>
  <c r="V731" i="31"/>
  <c r="U732" i="31"/>
  <c r="V732" i="31"/>
  <c r="U733" i="31"/>
  <c r="V733" i="31"/>
  <c r="U734" i="31"/>
  <c r="V734" i="31"/>
  <c r="U735" i="31"/>
  <c r="V735" i="31"/>
  <c r="U736" i="31"/>
  <c r="V736" i="31"/>
  <c r="U737" i="31"/>
  <c r="V737" i="31"/>
  <c r="U738" i="31"/>
  <c r="V738" i="31"/>
  <c r="U739" i="31"/>
  <c r="V739" i="31"/>
  <c r="U740" i="31"/>
  <c r="V740" i="31"/>
  <c r="U741" i="31"/>
  <c r="V741" i="31"/>
  <c r="U742" i="31"/>
  <c r="V742" i="31"/>
  <c r="U743" i="31"/>
  <c r="V743" i="31"/>
  <c r="U744" i="31"/>
  <c r="V744" i="31"/>
  <c r="U745" i="31"/>
  <c r="V745" i="31"/>
  <c r="U746" i="31"/>
  <c r="V746" i="31"/>
  <c r="U747" i="31"/>
  <c r="V747" i="31"/>
  <c r="U748" i="31"/>
  <c r="V748" i="31"/>
  <c r="U749" i="31"/>
  <c r="V749" i="31"/>
  <c r="U750" i="31"/>
  <c r="V750" i="31"/>
  <c r="U751" i="31"/>
  <c r="V751" i="31"/>
  <c r="U752" i="31"/>
  <c r="V752" i="31"/>
  <c r="U753" i="31"/>
  <c r="V753" i="31"/>
  <c r="U754" i="31"/>
  <c r="V754" i="31"/>
  <c r="U755" i="31"/>
  <c r="V755" i="31"/>
  <c r="U756" i="31"/>
  <c r="V756" i="31"/>
  <c r="U757" i="31"/>
  <c r="V757" i="31"/>
  <c r="U758" i="31"/>
  <c r="V758" i="31"/>
  <c r="U759" i="31"/>
  <c r="V759" i="31"/>
  <c r="U760" i="31"/>
  <c r="V760" i="31"/>
  <c r="U761" i="31"/>
  <c r="V761" i="31"/>
  <c r="U762" i="31"/>
  <c r="V762" i="31"/>
  <c r="U763" i="31"/>
  <c r="V763" i="31"/>
  <c r="U764" i="31"/>
  <c r="V764" i="31"/>
  <c r="U765" i="31"/>
  <c r="V765" i="31"/>
  <c r="U766" i="31"/>
  <c r="V766" i="31"/>
  <c r="U767" i="31"/>
  <c r="V767" i="31"/>
  <c r="U768" i="31"/>
  <c r="V768" i="31"/>
  <c r="U769" i="31"/>
  <c r="V769" i="31"/>
  <c r="U770" i="31"/>
  <c r="V770" i="31"/>
  <c r="U771" i="31"/>
  <c r="V771" i="31"/>
  <c r="U772" i="31"/>
  <c r="V772" i="31"/>
  <c r="U773" i="31"/>
  <c r="V773" i="31"/>
  <c r="U774" i="31"/>
  <c r="V774" i="31"/>
  <c r="U775" i="31"/>
  <c r="V775" i="31"/>
  <c r="U776" i="31"/>
  <c r="V776" i="31"/>
  <c r="U777" i="31"/>
  <c r="V777" i="31"/>
  <c r="U778" i="31"/>
  <c r="V778" i="31"/>
  <c r="U779" i="31"/>
  <c r="V779" i="31"/>
  <c r="U780" i="31"/>
  <c r="V780" i="31"/>
  <c r="U781" i="31"/>
  <c r="V781" i="31"/>
  <c r="U782" i="31"/>
  <c r="V782" i="31"/>
  <c r="U783" i="31"/>
  <c r="V783" i="31"/>
  <c r="U784" i="31"/>
  <c r="V784" i="31"/>
  <c r="U785" i="31"/>
  <c r="V785" i="31"/>
  <c r="U786" i="31"/>
  <c r="V786" i="31"/>
  <c r="U787" i="31"/>
  <c r="V787" i="31"/>
  <c r="U788" i="31"/>
  <c r="V788" i="31"/>
  <c r="U789" i="31"/>
  <c r="V789" i="31"/>
  <c r="U790" i="31"/>
  <c r="V790" i="31"/>
  <c r="U791" i="31"/>
  <c r="V791" i="31"/>
  <c r="U792" i="31"/>
  <c r="V792" i="31"/>
  <c r="U793" i="31"/>
  <c r="V793" i="31"/>
  <c r="U794" i="31"/>
  <c r="V794" i="31"/>
  <c r="U795" i="31"/>
  <c r="V795" i="31"/>
  <c r="U796" i="31"/>
  <c r="V796" i="31"/>
  <c r="U797" i="31"/>
  <c r="V797" i="31"/>
  <c r="U798" i="31"/>
  <c r="V798" i="31"/>
  <c r="U799" i="31"/>
  <c r="V799" i="31"/>
  <c r="U800" i="31"/>
  <c r="V800" i="31"/>
  <c r="U801" i="31"/>
  <c r="V801" i="31"/>
  <c r="U802" i="31"/>
  <c r="V802" i="31"/>
  <c r="U803" i="31"/>
  <c r="V803" i="31"/>
  <c r="U804" i="31"/>
  <c r="V804" i="31"/>
  <c r="U805" i="31"/>
  <c r="V805" i="31"/>
  <c r="U806" i="31"/>
  <c r="V806" i="31"/>
  <c r="U807" i="31"/>
  <c r="V807" i="31"/>
  <c r="U808" i="31"/>
  <c r="V808" i="31"/>
  <c r="U809" i="31"/>
  <c r="V809" i="31"/>
  <c r="U810" i="31"/>
  <c r="V810" i="31"/>
  <c r="U811" i="31"/>
  <c r="V811" i="31"/>
  <c r="U812" i="31"/>
  <c r="V812" i="31"/>
  <c r="U813" i="31"/>
  <c r="V813" i="31"/>
  <c r="U814" i="31"/>
  <c r="V814" i="31"/>
  <c r="U815" i="31"/>
  <c r="V815" i="31"/>
  <c r="U816" i="31"/>
  <c r="V816" i="31"/>
  <c r="U817" i="31"/>
  <c r="V817" i="31"/>
  <c r="U818" i="31"/>
  <c r="V818" i="31"/>
  <c r="U819" i="31"/>
  <c r="V819" i="31"/>
  <c r="U820" i="31"/>
  <c r="V820" i="31"/>
  <c r="U821" i="31"/>
  <c r="V821" i="31"/>
  <c r="U822" i="31"/>
  <c r="V822" i="31"/>
  <c r="U823" i="31"/>
  <c r="V823" i="31"/>
  <c r="U824" i="31"/>
  <c r="V824" i="31"/>
  <c r="U825" i="31"/>
  <c r="V825" i="31"/>
  <c r="U826" i="31"/>
  <c r="V826" i="31"/>
  <c r="U827" i="31"/>
  <c r="V827" i="31"/>
  <c r="U828" i="31"/>
  <c r="V828" i="31"/>
  <c r="U829" i="31"/>
  <c r="V829" i="31"/>
  <c r="U830" i="31"/>
  <c r="V830" i="31"/>
  <c r="U831" i="31"/>
  <c r="V831" i="31"/>
  <c r="U832" i="31"/>
  <c r="V832" i="31"/>
  <c r="U833" i="31"/>
  <c r="V833" i="31"/>
  <c r="U834" i="31"/>
  <c r="V834" i="31"/>
  <c r="U835" i="31"/>
  <c r="V835" i="31"/>
  <c r="U836" i="31"/>
  <c r="V836" i="31"/>
  <c r="U837" i="31"/>
  <c r="V837" i="31"/>
  <c r="U838" i="31"/>
  <c r="V838" i="31"/>
  <c r="U839" i="31"/>
  <c r="V839" i="31"/>
  <c r="U840" i="31"/>
  <c r="V840" i="31"/>
  <c r="U841" i="31"/>
  <c r="V841" i="31"/>
  <c r="U842" i="31"/>
  <c r="V842" i="31"/>
  <c r="U843" i="31"/>
  <c r="V843" i="31"/>
  <c r="U844" i="31"/>
  <c r="V844" i="31"/>
  <c r="U845" i="31"/>
  <c r="V845" i="31"/>
  <c r="U846" i="31"/>
  <c r="V846" i="31"/>
  <c r="U847" i="31"/>
  <c r="V847" i="31"/>
  <c r="U848" i="31"/>
  <c r="V848" i="31"/>
  <c r="U849" i="31"/>
  <c r="V849" i="31"/>
  <c r="U850" i="31"/>
  <c r="V850" i="31"/>
  <c r="U851" i="31"/>
  <c r="V851" i="31"/>
  <c r="U852" i="31"/>
  <c r="V852" i="31"/>
  <c r="U853" i="31"/>
  <c r="V853" i="31"/>
  <c r="U854" i="31"/>
  <c r="V854" i="31"/>
  <c r="U855" i="31"/>
  <c r="V855" i="31"/>
  <c r="U856" i="31"/>
  <c r="V856" i="31"/>
  <c r="U857" i="31"/>
  <c r="V857" i="31"/>
  <c r="U858" i="31"/>
  <c r="V858" i="31"/>
  <c r="U859" i="31"/>
  <c r="V859" i="31"/>
  <c r="U860" i="31"/>
  <c r="V860" i="31"/>
  <c r="U861" i="31"/>
  <c r="V861" i="31"/>
  <c r="U862" i="31"/>
  <c r="V862" i="31"/>
  <c r="U863" i="31"/>
  <c r="V863" i="31"/>
  <c r="U864" i="31"/>
  <c r="V864" i="31"/>
  <c r="U865" i="31"/>
  <c r="V865" i="31"/>
  <c r="U866" i="31"/>
  <c r="V866" i="31"/>
  <c r="U867" i="31"/>
  <c r="V867" i="31"/>
  <c r="U868" i="31"/>
  <c r="V868" i="31"/>
  <c r="U869" i="31"/>
  <c r="V869" i="31"/>
  <c r="U870" i="31"/>
  <c r="V870" i="31"/>
  <c r="U871" i="31"/>
  <c r="V871" i="31"/>
  <c r="U872" i="31"/>
  <c r="V872" i="31"/>
  <c r="U873" i="31"/>
  <c r="V873" i="31"/>
  <c r="U874" i="31"/>
  <c r="V874" i="31"/>
  <c r="U875" i="31"/>
  <c r="V875" i="31"/>
  <c r="U876" i="31"/>
  <c r="V876" i="31"/>
  <c r="U877" i="31"/>
  <c r="V877" i="31"/>
  <c r="U878" i="31"/>
  <c r="V878" i="31"/>
  <c r="U879" i="31"/>
  <c r="V879" i="31"/>
  <c r="U880" i="31"/>
  <c r="V880" i="31"/>
  <c r="U881" i="31"/>
  <c r="V881" i="31"/>
  <c r="U882" i="31"/>
  <c r="V882" i="31"/>
  <c r="U883" i="31"/>
  <c r="V883" i="31"/>
  <c r="U884" i="31"/>
  <c r="V884" i="31"/>
  <c r="U885" i="31"/>
  <c r="V885" i="31"/>
  <c r="U886" i="31"/>
  <c r="V886" i="31"/>
  <c r="U887" i="31"/>
  <c r="V887" i="31"/>
  <c r="U888" i="31"/>
  <c r="V888" i="31"/>
  <c r="U889" i="31"/>
  <c r="V889" i="31"/>
  <c r="U890" i="31"/>
  <c r="V890" i="31"/>
  <c r="U891" i="31"/>
  <c r="V891" i="31"/>
  <c r="U892" i="31"/>
  <c r="V892" i="31"/>
  <c r="U893" i="31"/>
  <c r="V893" i="31"/>
  <c r="U894" i="31"/>
  <c r="V894" i="31"/>
  <c r="U895" i="31"/>
  <c r="V895" i="31"/>
  <c r="U896" i="31"/>
  <c r="V896" i="31"/>
  <c r="U897" i="31"/>
  <c r="V897" i="31"/>
  <c r="U898" i="31"/>
  <c r="V898" i="31"/>
  <c r="U899" i="31"/>
  <c r="V899" i="31"/>
  <c r="U900" i="31"/>
  <c r="V900" i="31"/>
  <c r="U901" i="31"/>
  <c r="V901" i="31"/>
  <c r="U902" i="31"/>
  <c r="V902" i="31"/>
  <c r="U903" i="31"/>
  <c r="V903" i="31"/>
  <c r="U904" i="31"/>
  <c r="V904" i="31"/>
  <c r="U905" i="31"/>
  <c r="V905" i="31"/>
  <c r="U906" i="31"/>
  <c r="V906" i="31"/>
  <c r="U907" i="31"/>
  <c r="V907" i="31"/>
  <c r="U908" i="31"/>
  <c r="V908" i="31"/>
  <c r="U909" i="31"/>
  <c r="V909" i="31"/>
  <c r="U910" i="31"/>
  <c r="V910" i="31"/>
  <c r="U911" i="31"/>
  <c r="V911" i="31"/>
  <c r="U912" i="31"/>
  <c r="V912" i="31"/>
  <c r="U913" i="31"/>
  <c r="V913" i="31"/>
  <c r="U914" i="31"/>
  <c r="V914" i="31"/>
  <c r="U915" i="31"/>
  <c r="V915" i="31"/>
  <c r="U916" i="31"/>
  <c r="V916" i="31"/>
  <c r="U917" i="31"/>
  <c r="V917" i="31"/>
  <c r="U918" i="31"/>
  <c r="V918" i="31"/>
  <c r="U919" i="31"/>
  <c r="V919" i="31"/>
  <c r="U920" i="31"/>
  <c r="V920" i="31"/>
  <c r="U921" i="31"/>
  <c r="V921" i="31"/>
  <c r="U922" i="31"/>
  <c r="V922" i="31"/>
  <c r="U923" i="31"/>
  <c r="V923" i="31"/>
  <c r="U924" i="31"/>
  <c r="V924" i="31"/>
  <c r="U925" i="31"/>
  <c r="V925" i="31"/>
  <c r="U926" i="31"/>
  <c r="V926" i="31"/>
  <c r="U927" i="31"/>
  <c r="V927" i="31"/>
  <c r="U928" i="31"/>
  <c r="V928" i="31"/>
  <c r="U929" i="31"/>
  <c r="V929" i="31"/>
  <c r="U930" i="31"/>
  <c r="V930" i="31"/>
  <c r="U931" i="31"/>
  <c r="V931" i="31"/>
  <c r="U932" i="31"/>
  <c r="V932" i="31"/>
  <c r="U933" i="31"/>
  <c r="V933" i="31"/>
  <c r="U934" i="31"/>
  <c r="V934" i="31"/>
  <c r="U935" i="31"/>
  <c r="V935" i="31"/>
  <c r="U936" i="31"/>
  <c r="V936" i="31"/>
  <c r="U937" i="31"/>
  <c r="V937" i="31"/>
  <c r="U938" i="31"/>
  <c r="V938" i="31"/>
  <c r="U939" i="31"/>
  <c r="V939" i="31"/>
  <c r="U940" i="31"/>
  <c r="V940" i="31"/>
  <c r="U941" i="31"/>
  <c r="V941" i="31"/>
  <c r="U942" i="31"/>
  <c r="V942" i="31"/>
  <c r="U943" i="31"/>
  <c r="V943" i="31"/>
  <c r="U944" i="31"/>
  <c r="V944" i="31"/>
  <c r="U945" i="31"/>
  <c r="V945" i="31"/>
  <c r="U946" i="31"/>
  <c r="V946" i="31"/>
  <c r="U947" i="31"/>
  <c r="V947" i="31"/>
  <c r="U948" i="31"/>
  <c r="V948" i="31"/>
  <c r="U949" i="31"/>
  <c r="V949" i="31"/>
  <c r="U950" i="31"/>
  <c r="V950" i="31"/>
  <c r="U951" i="31"/>
  <c r="V951" i="31"/>
  <c r="U952" i="31"/>
  <c r="V952" i="31"/>
  <c r="U953" i="31"/>
  <c r="V953" i="31"/>
  <c r="U954" i="31"/>
  <c r="V954" i="31"/>
  <c r="U955" i="31"/>
  <c r="V955" i="31"/>
  <c r="U956" i="31"/>
  <c r="V956" i="31"/>
  <c r="U957" i="31"/>
  <c r="V957" i="31"/>
  <c r="U958" i="31"/>
  <c r="V958" i="31"/>
  <c r="U959" i="31"/>
  <c r="V959" i="31"/>
  <c r="U960" i="31"/>
  <c r="V960" i="31"/>
  <c r="U961" i="31"/>
  <c r="V961" i="31"/>
  <c r="U962" i="31"/>
  <c r="V962" i="31"/>
  <c r="U963" i="31"/>
  <c r="V963" i="31"/>
  <c r="U964" i="31"/>
  <c r="V964" i="31"/>
  <c r="U965" i="31"/>
  <c r="V965" i="31"/>
  <c r="U966" i="31"/>
  <c r="V966" i="31"/>
  <c r="U967" i="31"/>
  <c r="V967" i="31"/>
  <c r="U968" i="31"/>
  <c r="V968" i="31"/>
  <c r="U969" i="31"/>
  <c r="V969" i="31"/>
  <c r="U970" i="31"/>
  <c r="V970" i="31"/>
  <c r="U971" i="31"/>
  <c r="V971" i="31"/>
  <c r="U972" i="31"/>
  <c r="V972" i="31"/>
  <c r="U973" i="31"/>
  <c r="V973" i="31"/>
  <c r="U974" i="31"/>
  <c r="V974" i="31"/>
  <c r="U975" i="31"/>
  <c r="V975" i="31"/>
  <c r="U976" i="31"/>
  <c r="V976" i="31"/>
  <c r="U977" i="31"/>
  <c r="V977" i="31"/>
  <c r="U978" i="31"/>
  <c r="V978" i="31"/>
  <c r="U979" i="31"/>
  <c r="V979" i="31"/>
  <c r="U980" i="31"/>
  <c r="V980" i="31"/>
  <c r="U981" i="31"/>
  <c r="V981" i="31"/>
  <c r="U982" i="31"/>
  <c r="V982" i="31"/>
  <c r="U983" i="31"/>
  <c r="V983" i="31"/>
  <c r="U984" i="31"/>
  <c r="V984" i="31"/>
  <c r="U985" i="31"/>
  <c r="V985" i="31"/>
  <c r="U986" i="31"/>
  <c r="V986" i="31"/>
  <c r="U987" i="31"/>
  <c r="V987" i="31"/>
  <c r="U988" i="31"/>
  <c r="V988" i="31"/>
  <c r="U989" i="31"/>
  <c r="V989" i="31"/>
  <c r="U990" i="31"/>
  <c r="V990" i="31"/>
  <c r="U991" i="31"/>
  <c r="V991" i="31"/>
  <c r="U992" i="31"/>
  <c r="V992" i="31"/>
  <c r="U993" i="31"/>
  <c r="V993" i="31"/>
  <c r="U994" i="31"/>
  <c r="V994" i="31"/>
  <c r="U995" i="31"/>
  <c r="V995" i="31"/>
  <c r="U996" i="31"/>
  <c r="V996" i="31"/>
  <c r="U997" i="31"/>
  <c r="V997" i="31"/>
  <c r="U998" i="31"/>
  <c r="V998" i="31"/>
  <c r="U999" i="31"/>
  <c r="V999" i="31"/>
  <c r="U1000" i="31"/>
  <c r="V1000" i="31"/>
  <c r="U1001" i="31"/>
  <c r="V1001" i="31"/>
  <c r="U1002" i="31"/>
  <c r="V1002" i="31"/>
  <c r="U1003" i="31"/>
  <c r="V1003" i="31"/>
  <c r="U1004" i="31"/>
  <c r="V1004" i="31"/>
  <c r="U1005" i="31"/>
  <c r="V1005" i="31"/>
  <c r="U1006" i="31"/>
  <c r="V1006" i="31"/>
  <c r="U1007" i="31"/>
  <c r="V1007" i="31"/>
  <c r="U1008" i="31"/>
  <c r="V1008" i="31"/>
  <c r="U1009" i="31"/>
  <c r="V1009" i="31"/>
  <c r="U1010" i="31"/>
  <c r="V1010" i="31"/>
  <c r="U1011" i="31"/>
  <c r="V1011" i="31"/>
  <c r="U1012" i="31"/>
  <c r="V1012" i="31"/>
  <c r="U1013" i="31"/>
  <c r="V1013" i="31"/>
  <c r="U1014" i="31"/>
  <c r="V1014" i="31"/>
  <c r="U1015" i="31"/>
  <c r="V1015" i="31"/>
  <c r="U1016" i="31"/>
  <c r="V1016" i="31"/>
  <c r="U1017" i="31"/>
  <c r="V1017" i="31"/>
  <c r="U1018" i="31"/>
  <c r="V1018" i="31"/>
  <c r="U1019" i="31"/>
  <c r="V1019" i="31"/>
  <c r="U1020" i="31"/>
  <c r="V1020" i="31"/>
  <c r="U1021" i="31"/>
  <c r="V1021" i="31"/>
  <c r="U1022" i="31"/>
  <c r="V1022" i="31"/>
  <c r="U1023" i="31"/>
  <c r="V1023" i="31"/>
  <c r="U1024" i="31"/>
  <c r="V1024" i="31"/>
  <c r="U1025" i="31"/>
  <c r="V1025" i="31"/>
  <c r="U1026" i="31"/>
  <c r="V1026" i="31"/>
  <c r="U1027" i="31"/>
  <c r="V1027" i="31"/>
  <c r="U1028" i="31"/>
  <c r="V1028" i="31"/>
  <c r="U1029" i="31"/>
  <c r="V1029" i="31"/>
  <c r="U1030" i="31"/>
  <c r="V1030" i="31"/>
  <c r="U1031" i="31"/>
  <c r="V1031" i="31"/>
  <c r="U1032" i="31"/>
  <c r="V1032" i="31"/>
  <c r="U1033" i="31"/>
  <c r="V1033" i="31"/>
  <c r="U1034" i="31"/>
  <c r="V1034" i="31"/>
  <c r="U1035" i="31"/>
  <c r="V1035" i="31"/>
  <c r="U1036" i="31"/>
  <c r="V1036" i="31"/>
  <c r="U1037" i="31"/>
  <c r="V1037" i="31"/>
  <c r="U1038" i="31"/>
  <c r="V1038" i="31"/>
  <c r="U1039" i="31"/>
  <c r="V1039" i="31"/>
  <c r="U1040" i="31"/>
  <c r="V1040" i="31"/>
  <c r="U1041" i="31"/>
  <c r="V1041" i="31"/>
  <c r="U1042" i="31"/>
  <c r="V1042" i="31"/>
  <c r="U1043" i="31"/>
  <c r="V1043" i="31"/>
  <c r="U1044" i="31"/>
  <c r="V1044" i="31"/>
  <c r="U1045" i="31"/>
  <c r="V1045" i="31"/>
  <c r="U1046" i="31"/>
  <c r="V1046" i="31"/>
  <c r="U1047" i="31"/>
  <c r="V1047" i="31"/>
  <c r="U1048" i="31"/>
  <c r="V1048" i="31"/>
  <c r="U1049" i="31"/>
  <c r="V1049" i="31"/>
  <c r="U1050" i="31"/>
  <c r="V1050" i="31"/>
  <c r="U1051" i="31"/>
  <c r="V1051" i="31"/>
  <c r="U1052" i="31"/>
  <c r="V1052" i="31"/>
  <c r="U1053" i="31"/>
  <c r="V1053" i="31"/>
  <c r="U1054" i="31"/>
  <c r="V1054" i="31"/>
  <c r="U1055" i="31"/>
  <c r="V1055" i="31"/>
  <c r="U1056" i="31"/>
  <c r="V1056" i="31"/>
  <c r="U1057" i="31"/>
  <c r="V1057" i="31"/>
  <c r="U1058" i="31"/>
  <c r="V1058" i="31"/>
  <c r="U1059" i="31"/>
  <c r="V1059" i="31"/>
  <c r="U1060" i="31"/>
  <c r="V1060" i="31"/>
  <c r="U1061" i="31"/>
  <c r="V1061" i="31"/>
  <c r="U1062" i="31"/>
  <c r="V1062" i="31"/>
  <c r="U1063" i="31"/>
  <c r="V1063" i="31"/>
  <c r="U1064" i="31"/>
  <c r="V1064" i="31"/>
  <c r="U1065" i="31"/>
  <c r="V1065" i="31"/>
  <c r="U1066" i="31"/>
  <c r="V1066" i="31"/>
  <c r="U1067" i="31"/>
  <c r="V1067" i="31"/>
  <c r="U1068" i="31"/>
  <c r="V1068" i="31"/>
  <c r="U1069" i="31"/>
  <c r="V1069" i="31"/>
  <c r="U1070" i="31"/>
  <c r="V1070" i="31"/>
  <c r="U1071" i="31"/>
  <c r="V1071" i="31"/>
  <c r="U1072" i="31"/>
  <c r="V1072" i="31"/>
  <c r="U1073" i="31"/>
  <c r="V1073" i="31"/>
  <c r="U1074" i="31"/>
  <c r="V1074" i="31"/>
  <c r="U1075" i="31"/>
  <c r="V1075" i="31"/>
  <c r="U1076" i="31"/>
  <c r="V1076" i="31"/>
  <c r="U1077" i="31"/>
  <c r="V1077" i="31"/>
  <c r="U1078" i="31"/>
  <c r="V1078" i="31"/>
  <c r="U1079" i="31"/>
  <c r="V1079" i="31"/>
  <c r="U1080" i="31"/>
  <c r="V1080" i="31"/>
  <c r="U1081" i="31"/>
  <c r="V1081" i="31"/>
  <c r="U1082" i="31"/>
  <c r="V1082" i="31"/>
  <c r="U1083" i="31"/>
  <c r="V1083" i="31"/>
  <c r="U1084" i="31"/>
  <c r="V1084" i="31"/>
  <c r="U1085" i="31"/>
  <c r="V1085" i="31"/>
  <c r="U1086" i="31"/>
  <c r="V1086" i="31"/>
  <c r="U1087" i="31"/>
  <c r="V1087" i="31"/>
  <c r="U1088" i="31"/>
  <c r="V1088" i="31"/>
  <c r="U1089" i="31"/>
  <c r="V1089" i="31"/>
  <c r="U1090" i="31"/>
  <c r="V1090" i="31"/>
  <c r="U1091" i="31"/>
  <c r="V1091" i="31"/>
  <c r="U1092" i="31"/>
  <c r="V1092" i="31"/>
  <c r="U1093" i="31"/>
  <c r="V1093" i="31"/>
  <c r="U1094" i="31"/>
  <c r="V1094" i="31"/>
  <c r="U1095" i="31"/>
  <c r="V1095" i="31"/>
  <c r="U1096" i="31"/>
  <c r="V1096" i="31"/>
  <c r="U1097" i="31"/>
  <c r="V1097" i="31"/>
  <c r="U1098" i="31"/>
  <c r="V1098" i="31"/>
  <c r="U1099" i="31"/>
  <c r="V1099" i="31"/>
  <c r="U1100" i="31"/>
  <c r="V1100" i="31"/>
  <c r="U1101" i="31"/>
  <c r="V1101" i="31"/>
  <c r="U1102" i="31"/>
  <c r="V1102" i="31"/>
  <c r="U1103" i="31"/>
  <c r="V1103" i="31"/>
  <c r="U1104" i="31"/>
  <c r="V1104" i="31"/>
  <c r="U1105" i="31"/>
  <c r="V1105" i="31"/>
  <c r="U1106" i="31"/>
  <c r="V1106" i="31"/>
  <c r="U1107" i="31"/>
  <c r="V1107" i="31"/>
  <c r="U1108" i="31"/>
  <c r="V1108" i="31"/>
  <c r="U1109" i="31"/>
  <c r="V1109" i="31"/>
  <c r="U1110" i="31"/>
  <c r="V1110" i="31"/>
  <c r="U1111" i="31"/>
  <c r="V1111" i="31"/>
  <c r="U1112" i="31"/>
  <c r="V1112" i="31"/>
  <c r="U1113" i="31"/>
  <c r="V1113" i="31"/>
  <c r="U1114" i="31"/>
  <c r="V1114" i="31"/>
  <c r="U1115" i="31"/>
  <c r="V1115" i="31"/>
  <c r="U1116" i="31"/>
  <c r="V1116" i="31"/>
  <c r="U1117" i="31"/>
  <c r="V1117" i="31"/>
  <c r="U1118" i="31"/>
  <c r="V1118" i="31"/>
  <c r="U1119" i="31"/>
  <c r="V1119" i="31"/>
  <c r="U1120" i="31"/>
  <c r="V1120" i="31"/>
  <c r="U1121" i="31"/>
  <c r="V1121" i="31"/>
  <c r="U1122" i="31"/>
  <c r="V1122" i="31"/>
  <c r="U1123" i="31"/>
  <c r="V1123" i="31"/>
  <c r="U1124" i="31"/>
  <c r="V1124" i="31"/>
  <c r="U1125" i="31"/>
  <c r="V1125" i="31"/>
  <c r="U1126" i="31"/>
  <c r="V1126" i="31"/>
  <c r="U1127" i="31"/>
  <c r="V1127" i="31"/>
  <c r="U1128" i="31"/>
  <c r="V1128" i="31"/>
  <c r="U1129" i="31"/>
  <c r="V1129" i="31"/>
  <c r="U1130" i="31"/>
  <c r="V1130" i="31"/>
  <c r="U1131" i="31"/>
  <c r="V1131" i="31"/>
  <c r="U1132" i="31"/>
  <c r="V1132" i="31"/>
  <c r="U1133" i="31"/>
  <c r="V1133" i="31"/>
  <c r="U1134" i="31"/>
  <c r="V1134" i="31"/>
  <c r="U1135" i="31"/>
  <c r="V1135" i="31"/>
  <c r="U1136" i="31"/>
  <c r="V1136" i="31"/>
  <c r="U1137" i="31"/>
  <c r="V1137" i="31"/>
  <c r="U1138" i="31"/>
  <c r="V1138" i="31"/>
  <c r="U1139" i="31"/>
  <c r="V1139" i="31"/>
  <c r="U1140" i="31"/>
  <c r="V1140" i="31"/>
  <c r="U1141" i="31"/>
  <c r="V1141" i="31"/>
  <c r="U1142" i="31"/>
  <c r="V1142" i="31"/>
  <c r="U1143" i="31"/>
  <c r="V1143" i="31"/>
  <c r="U1144" i="31"/>
  <c r="V1144" i="31"/>
  <c r="U1145" i="31"/>
  <c r="V1145" i="31"/>
  <c r="U1146" i="31"/>
  <c r="V1146" i="31"/>
  <c r="U1147" i="31"/>
  <c r="V1147" i="31"/>
  <c r="U1148" i="31"/>
  <c r="V1148" i="31"/>
  <c r="U1149" i="31"/>
  <c r="V1149" i="31"/>
  <c r="U1150" i="31"/>
  <c r="V1150" i="31"/>
  <c r="U1151" i="31"/>
  <c r="V1151" i="31"/>
  <c r="U1152" i="31"/>
  <c r="V1152" i="31"/>
  <c r="U1153" i="31"/>
  <c r="V1153" i="31"/>
  <c r="U1154" i="31"/>
  <c r="V1154" i="31"/>
  <c r="U1155" i="31"/>
  <c r="V1155" i="31"/>
  <c r="U1156" i="31"/>
  <c r="V1156" i="31"/>
  <c r="U1157" i="31"/>
  <c r="V1157" i="31"/>
  <c r="U1158" i="31"/>
  <c r="V1158" i="31"/>
  <c r="U1159" i="31"/>
  <c r="V1159" i="31"/>
  <c r="U1160" i="31"/>
  <c r="V1160" i="31"/>
  <c r="U1161" i="31"/>
  <c r="V1161" i="31"/>
  <c r="U1162" i="31"/>
  <c r="V1162" i="31"/>
  <c r="U1163" i="31"/>
  <c r="V1163" i="31"/>
  <c r="U1164" i="31"/>
  <c r="V1164" i="31"/>
  <c r="U1165" i="31"/>
  <c r="V1165" i="31"/>
  <c r="U1166" i="31"/>
  <c r="V1166" i="31"/>
  <c r="U1167" i="31"/>
  <c r="V1167" i="31"/>
  <c r="U1168" i="31"/>
  <c r="V1168" i="31"/>
  <c r="U1169" i="31"/>
  <c r="V1169" i="31"/>
  <c r="U1170" i="31"/>
  <c r="V1170" i="31"/>
  <c r="U1171" i="31"/>
  <c r="V1171" i="31"/>
  <c r="U1172" i="31"/>
  <c r="V1172" i="31"/>
  <c r="U1173" i="31"/>
  <c r="V1173" i="31"/>
  <c r="U1174" i="31"/>
  <c r="V1174" i="31"/>
  <c r="U1175" i="31"/>
  <c r="V1175" i="31"/>
  <c r="U1176" i="31"/>
  <c r="V1176" i="31"/>
  <c r="U1177" i="31"/>
  <c r="V1177" i="31"/>
  <c r="U1178" i="31"/>
  <c r="V1178" i="31"/>
  <c r="U1179" i="31"/>
  <c r="V1179" i="31"/>
  <c r="U1180" i="31"/>
  <c r="V1180" i="31"/>
  <c r="U1181" i="31"/>
  <c r="V1181" i="31"/>
  <c r="U1182" i="31"/>
  <c r="V1182" i="31"/>
  <c r="U1183" i="31"/>
  <c r="V1183" i="31"/>
  <c r="U1184" i="31"/>
  <c r="V1184" i="31"/>
  <c r="U1185" i="31"/>
  <c r="V1185" i="31"/>
  <c r="U1186" i="31"/>
  <c r="V1186" i="31"/>
  <c r="U1187" i="31"/>
  <c r="V1187" i="31"/>
  <c r="U1188" i="31"/>
  <c r="V1188" i="31"/>
  <c r="U1189" i="31"/>
  <c r="V1189" i="31"/>
  <c r="U1190" i="31"/>
  <c r="V1190" i="31"/>
  <c r="U1191" i="31"/>
  <c r="V1191" i="31"/>
  <c r="U1192" i="31"/>
  <c r="V1192" i="31"/>
  <c r="U1193" i="31"/>
  <c r="V1193" i="31"/>
  <c r="U1194" i="31"/>
  <c r="V1194" i="31"/>
  <c r="U1195" i="31"/>
  <c r="V1195" i="31"/>
  <c r="U1196" i="31"/>
  <c r="V1196" i="31"/>
  <c r="U1197" i="31"/>
  <c r="V1197" i="31"/>
  <c r="U1198" i="31"/>
  <c r="V1198" i="31"/>
  <c r="U1199" i="31"/>
  <c r="V1199" i="31"/>
  <c r="U1200" i="31"/>
  <c r="V1200" i="31"/>
  <c r="U1201" i="31"/>
  <c r="V1201" i="31"/>
  <c r="U1202" i="31"/>
  <c r="V1202" i="31"/>
  <c r="U1203" i="31"/>
  <c r="V1203" i="31"/>
  <c r="U1204" i="31"/>
  <c r="V1204" i="31"/>
  <c r="U1205" i="31"/>
  <c r="V1205" i="31"/>
  <c r="U1206" i="31"/>
  <c r="V1206" i="31"/>
  <c r="U1207" i="31"/>
  <c r="V1207" i="31"/>
  <c r="U1208" i="31"/>
  <c r="V1208" i="31"/>
  <c r="U1209" i="31"/>
  <c r="V1209" i="31"/>
  <c r="U1210" i="31"/>
  <c r="V1210" i="31"/>
  <c r="U1211" i="31"/>
  <c r="V1211" i="31"/>
  <c r="U1212" i="31"/>
  <c r="V1212" i="31"/>
  <c r="U1213" i="31"/>
  <c r="V1213" i="31"/>
  <c r="U1214" i="31"/>
  <c r="V1214" i="31"/>
  <c r="U1215" i="31"/>
  <c r="V1215" i="31"/>
  <c r="U1216" i="31"/>
  <c r="V1216" i="31"/>
  <c r="U1217" i="31"/>
  <c r="V1217" i="31"/>
  <c r="U1218" i="31"/>
  <c r="V1218" i="31"/>
  <c r="U1219" i="31"/>
  <c r="V1219" i="31"/>
  <c r="U1220" i="31"/>
  <c r="V1220" i="31"/>
  <c r="U1221" i="31"/>
  <c r="V1221" i="31"/>
  <c r="U1222" i="31"/>
  <c r="V1222" i="31"/>
  <c r="U1223" i="31"/>
  <c r="V1223" i="31"/>
  <c r="U1224" i="31"/>
  <c r="V1224" i="31"/>
  <c r="U1225" i="31"/>
  <c r="V1225" i="31"/>
  <c r="U1226" i="31"/>
  <c r="V1226" i="31"/>
  <c r="U1227" i="31"/>
  <c r="V1227" i="31"/>
  <c r="U1228" i="31"/>
  <c r="V1228" i="31"/>
  <c r="U1229" i="31"/>
  <c r="V1229" i="31"/>
  <c r="U1230" i="31"/>
  <c r="V1230" i="31"/>
  <c r="U1231" i="31"/>
  <c r="V1231" i="31"/>
  <c r="U1232" i="31"/>
  <c r="V1232" i="31"/>
  <c r="U1233" i="31"/>
  <c r="V1233" i="31"/>
  <c r="U1234" i="31"/>
  <c r="V1234" i="31"/>
  <c r="U1235" i="31"/>
  <c r="V1235" i="31"/>
  <c r="U1236" i="31"/>
  <c r="V1236" i="31"/>
  <c r="U1237" i="31"/>
  <c r="V1237" i="31"/>
  <c r="U1238" i="31"/>
  <c r="V1238" i="31"/>
  <c r="U1239" i="31"/>
  <c r="V1239" i="31"/>
  <c r="U1240" i="31"/>
  <c r="V1240" i="31"/>
  <c r="U1241" i="31"/>
  <c r="V1241" i="31"/>
  <c r="U1242" i="31"/>
  <c r="V1242" i="31"/>
  <c r="U1243" i="31"/>
  <c r="V1243" i="31"/>
  <c r="U1244" i="31"/>
  <c r="V1244" i="31"/>
  <c r="U1245" i="31"/>
  <c r="V1245" i="31"/>
  <c r="U1246" i="31"/>
  <c r="V1246" i="31"/>
  <c r="U1247" i="31"/>
  <c r="V1247" i="31"/>
  <c r="U1248" i="31"/>
  <c r="V1248" i="31"/>
  <c r="U1249" i="31"/>
  <c r="V1249" i="31"/>
  <c r="U1250" i="31"/>
  <c r="V1250" i="31"/>
  <c r="U1251" i="31"/>
  <c r="V1251" i="31"/>
  <c r="U1252" i="31"/>
  <c r="V1252" i="31"/>
  <c r="U1253" i="31"/>
  <c r="V1253" i="31"/>
  <c r="U1254" i="31"/>
  <c r="V1254" i="31"/>
  <c r="U1255" i="31"/>
  <c r="V1255" i="31"/>
  <c r="U1256" i="31"/>
  <c r="V1256" i="31"/>
  <c r="U1257" i="31"/>
  <c r="V1257" i="31"/>
  <c r="U1258" i="31"/>
  <c r="V1258" i="31"/>
  <c r="U1259" i="31"/>
  <c r="V1259" i="31"/>
  <c r="U1260" i="31"/>
  <c r="V1260" i="31"/>
  <c r="U1261" i="31"/>
  <c r="V1261" i="31"/>
  <c r="U1262" i="31"/>
  <c r="V1262" i="31"/>
  <c r="U1263" i="31"/>
  <c r="V1263" i="31"/>
  <c r="U1264" i="31"/>
  <c r="V1264" i="31"/>
  <c r="U1265" i="31"/>
  <c r="V1265" i="31"/>
  <c r="U1266" i="31"/>
  <c r="V1266" i="31"/>
  <c r="U1267" i="31"/>
  <c r="V1267" i="31"/>
  <c r="U1268" i="31"/>
  <c r="V1268" i="31"/>
  <c r="U1269" i="31"/>
  <c r="V1269" i="31"/>
  <c r="U1270" i="31"/>
  <c r="V1270" i="31"/>
  <c r="U1271" i="31"/>
  <c r="V1271" i="31"/>
  <c r="U1272" i="31"/>
  <c r="V1272" i="31"/>
  <c r="U1273" i="31"/>
  <c r="V1273" i="31"/>
  <c r="U1274" i="31"/>
  <c r="V1274" i="31"/>
  <c r="U1275" i="31"/>
  <c r="V1275" i="31"/>
  <c r="U1276" i="31"/>
  <c r="V1276" i="31"/>
  <c r="U1277" i="31"/>
  <c r="V1277" i="31"/>
  <c r="U1278" i="31"/>
  <c r="V1278" i="31"/>
  <c r="U1279" i="31"/>
  <c r="V1279" i="31"/>
  <c r="U1280" i="31"/>
  <c r="V1280" i="31"/>
  <c r="U1281" i="31"/>
  <c r="V1281" i="31"/>
  <c r="U1282" i="31"/>
  <c r="V1282" i="31"/>
  <c r="U1283" i="31"/>
  <c r="V1283" i="31"/>
  <c r="U1284" i="31"/>
  <c r="V1284" i="31"/>
  <c r="U1285" i="31"/>
  <c r="V1285" i="31"/>
  <c r="U1286" i="31"/>
  <c r="V1286" i="31"/>
  <c r="U1287" i="31"/>
  <c r="V1287" i="31"/>
  <c r="U1288" i="31"/>
  <c r="V1288" i="31"/>
  <c r="U1289" i="31"/>
  <c r="V1289" i="31"/>
  <c r="U1290" i="31"/>
  <c r="V1290" i="31"/>
  <c r="U1291" i="31"/>
  <c r="V1291" i="31"/>
  <c r="U1292" i="31"/>
  <c r="V1292" i="31"/>
  <c r="U1293" i="31"/>
  <c r="V1293" i="31"/>
  <c r="U1294" i="31"/>
  <c r="V1294" i="31"/>
  <c r="U1295" i="31"/>
  <c r="V1295" i="31"/>
  <c r="U1296" i="31"/>
  <c r="V1296" i="31"/>
  <c r="U1297" i="31"/>
  <c r="V1297" i="31"/>
  <c r="U1298" i="31"/>
  <c r="V1298" i="31"/>
  <c r="U1299" i="31"/>
  <c r="V1299" i="31"/>
  <c r="U1300" i="31"/>
  <c r="V1300" i="31"/>
  <c r="U1301" i="31"/>
  <c r="V1301" i="31"/>
  <c r="U1302" i="31"/>
  <c r="V1302" i="31"/>
  <c r="U1303" i="31"/>
  <c r="V1303" i="31"/>
  <c r="U1304" i="31"/>
  <c r="V1304" i="31"/>
  <c r="U1305" i="31"/>
  <c r="V1305" i="31"/>
  <c r="U1306" i="31"/>
  <c r="V1306" i="31"/>
  <c r="U1307" i="31"/>
  <c r="V1307" i="31"/>
  <c r="U1308" i="31"/>
  <c r="V1308" i="31"/>
  <c r="U1309" i="31"/>
  <c r="V1309" i="31"/>
  <c r="U1310" i="31"/>
  <c r="V1310" i="31"/>
  <c r="U1311" i="31"/>
  <c r="V1311" i="31"/>
  <c r="U1312" i="31"/>
  <c r="V1312" i="31"/>
  <c r="U1313" i="31"/>
  <c r="V1313" i="31"/>
  <c r="U1314" i="31"/>
  <c r="V1314" i="31"/>
  <c r="U1315" i="31"/>
  <c r="V1315" i="31"/>
  <c r="U1316" i="31"/>
  <c r="V1316" i="31"/>
  <c r="U1317" i="31"/>
  <c r="V1317" i="31"/>
  <c r="U1318" i="31"/>
  <c r="V1318" i="31"/>
  <c r="U1319" i="31"/>
  <c r="V1319" i="31"/>
  <c r="U1320" i="31"/>
  <c r="V1320" i="31"/>
  <c r="U1321" i="31"/>
  <c r="V1321" i="31"/>
  <c r="U1322" i="31"/>
  <c r="V1322" i="31"/>
  <c r="U1323" i="31"/>
  <c r="V1323" i="31"/>
  <c r="U1324" i="31"/>
  <c r="V1324" i="31"/>
  <c r="U1325" i="31"/>
  <c r="V1325" i="31"/>
  <c r="U1326" i="31"/>
  <c r="V1326" i="31"/>
  <c r="U1327" i="31"/>
  <c r="V1327" i="31"/>
  <c r="U1328" i="31"/>
  <c r="V1328" i="31"/>
  <c r="U1329" i="31"/>
  <c r="V1329" i="31"/>
  <c r="U1330" i="31"/>
  <c r="V1330" i="31"/>
  <c r="U1331" i="31"/>
  <c r="V1331" i="31"/>
  <c r="U1332" i="31"/>
  <c r="V1332" i="31"/>
  <c r="U1333" i="31"/>
  <c r="V1333" i="31"/>
  <c r="U1334" i="31"/>
  <c r="V1334" i="31"/>
  <c r="U1335" i="31"/>
  <c r="V1335" i="31"/>
  <c r="U1336" i="31"/>
  <c r="V1336" i="31"/>
  <c r="U1337" i="31"/>
  <c r="V1337" i="31"/>
  <c r="U1338" i="31"/>
  <c r="V1338" i="31"/>
  <c r="U1339" i="31"/>
  <c r="V1339" i="31"/>
  <c r="U1340" i="31"/>
  <c r="V1340" i="31"/>
  <c r="U1341" i="31"/>
  <c r="V1341" i="31"/>
  <c r="U1342" i="31"/>
  <c r="V1342" i="31"/>
  <c r="U1343" i="31"/>
  <c r="V1343" i="31"/>
  <c r="U1344" i="31"/>
  <c r="V1344" i="31"/>
  <c r="U1345" i="31"/>
  <c r="V1345" i="31"/>
  <c r="U1346" i="31"/>
  <c r="V1346" i="31"/>
  <c r="U1347" i="31"/>
  <c r="V1347" i="31"/>
  <c r="U1348" i="31"/>
  <c r="V1348" i="31"/>
  <c r="U1349" i="31"/>
  <c r="V1349" i="31"/>
  <c r="U1350" i="31"/>
  <c r="V1350" i="31"/>
  <c r="U1351" i="31"/>
  <c r="V1351" i="31"/>
  <c r="U1352" i="31"/>
  <c r="V1352" i="31"/>
  <c r="U1353" i="31"/>
  <c r="V1353" i="31"/>
  <c r="U1354" i="31"/>
  <c r="V1354" i="31"/>
  <c r="U1355" i="31"/>
  <c r="V1355" i="31"/>
  <c r="U1356" i="31"/>
  <c r="V1356" i="31"/>
  <c r="U1357" i="31"/>
  <c r="V1357" i="31"/>
  <c r="U1358" i="31"/>
  <c r="V1358" i="31"/>
  <c r="U1359" i="31"/>
  <c r="V1359" i="31"/>
  <c r="U1360" i="31"/>
  <c r="V1360" i="31"/>
  <c r="U1361" i="31"/>
  <c r="V1361" i="31"/>
  <c r="U1362" i="31"/>
  <c r="V1362" i="31"/>
  <c r="U1363" i="31"/>
  <c r="V1363" i="31"/>
  <c r="U1364" i="31"/>
  <c r="V1364" i="31"/>
  <c r="U1365" i="31"/>
  <c r="V1365" i="31"/>
  <c r="U1366" i="31"/>
  <c r="V1366" i="31"/>
  <c r="U1367" i="31"/>
  <c r="V1367" i="31"/>
  <c r="U1368" i="31"/>
  <c r="V1368" i="31"/>
  <c r="U1369" i="31"/>
  <c r="V1369" i="31"/>
  <c r="U1370" i="31"/>
  <c r="V1370" i="31"/>
  <c r="U1371" i="31"/>
  <c r="V1371" i="31"/>
  <c r="U1372" i="31"/>
  <c r="V1372" i="31"/>
  <c r="U1373" i="31"/>
  <c r="V1373" i="31"/>
  <c r="U1374" i="31"/>
  <c r="V1374" i="31"/>
  <c r="U1375" i="31"/>
  <c r="V1375" i="31"/>
  <c r="U1376" i="31"/>
  <c r="V1376" i="31"/>
  <c r="U1377" i="31"/>
  <c r="V1377" i="31"/>
  <c r="U1378" i="31"/>
  <c r="V1378" i="31"/>
  <c r="U1379" i="31"/>
  <c r="V1379" i="31"/>
  <c r="U1380" i="31"/>
  <c r="V1380" i="31"/>
  <c r="U1381" i="31"/>
  <c r="V1381" i="31"/>
  <c r="U1382" i="31"/>
  <c r="V1382" i="31"/>
  <c r="U1383" i="31"/>
  <c r="V1383" i="31"/>
  <c r="U1384" i="31"/>
  <c r="V1384" i="31"/>
  <c r="U1385" i="31"/>
  <c r="V1385" i="31"/>
  <c r="U1386" i="31"/>
  <c r="V1386" i="31"/>
  <c r="U1387" i="31"/>
  <c r="V1387" i="31"/>
  <c r="U1388" i="31"/>
  <c r="V1388" i="31"/>
  <c r="U1389" i="31"/>
  <c r="V1389" i="31"/>
  <c r="U1390" i="31"/>
  <c r="V1390" i="31"/>
  <c r="U1391" i="31"/>
  <c r="V1391" i="31"/>
  <c r="U1392" i="31"/>
  <c r="V1392" i="31"/>
  <c r="U1393" i="31"/>
  <c r="V1393" i="31"/>
  <c r="U1394" i="31"/>
  <c r="V1394" i="31"/>
  <c r="U1395" i="31"/>
  <c r="V1395" i="31"/>
  <c r="U1396" i="31"/>
  <c r="V1396" i="31"/>
  <c r="U1397" i="31"/>
  <c r="V1397" i="31"/>
  <c r="U1398" i="31"/>
  <c r="V1398" i="31"/>
  <c r="U1399" i="31"/>
  <c r="V1399" i="31"/>
  <c r="U1400" i="31"/>
  <c r="V1400" i="31"/>
  <c r="U1401" i="31"/>
  <c r="V1401" i="31"/>
  <c r="U1402" i="31"/>
  <c r="V1402" i="31"/>
  <c r="U1403" i="31"/>
  <c r="V1403" i="31"/>
  <c r="U1404" i="31"/>
  <c r="V1404" i="31"/>
  <c r="U1405" i="31"/>
  <c r="V1405" i="31"/>
  <c r="U1406" i="31"/>
  <c r="V1406" i="31"/>
  <c r="U1407" i="31"/>
  <c r="V1407" i="31"/>
  <c r="U1408" i="31"/>
  <c r="V1408" i="31"/>
  <c r="U1409" i="31"/>
  <c r="V1409" i="31"/>
  <c r="U1410" i="31"/>
  <c r="V1410" i="31"/>
  <c r="U1411" i="31"/>
  <c r="V1411" i="31"/>
  <c r="U1412" i="31"/>
  <c r="V1412" i="31"/>
  <c r="U1413" i="31"/>
  <c r="V1413" i="31"/>
  <c r="U1414" i="31"/>
  <c r="V1414" i="31"/>
  <c r="U1415" i="31"/>
  <c r="V1415" i="31"/>
  <c r="U1416" i="31"/>
  <c r="V1416" i="31"/>
  <c r="U1417" i="31"/>
  <c r="V1417" i="31"/>
  <c r="U1418" i="31"/>
  <c r="V1418" i="31"/>
  <c r="U1419" i="31"/>
  <c r="V1419" i="31"/>
  <c r="U1420" i="31"/>
  <c r="V1420" i="31"/>
  <c r="U1421" i="31"/>
  <c r="V1421" i="31"/>
  <c r="U1422" i="31"/>
  <c r="V1422" i="31"/>
  <c r="U1423" i="31"/>
  <c r="V1423" i="31"/>
  <c r="U1424" i="31"/>
  <c r="V1424" i="31"/>
  <c r="U1425" i="31"/>
  <c r="V1425" i="31"/>
  <c r="U1426" i="31"/>
  <c r="V1426" i="31"/>
  <c r="U1427" i="31"/>
  <c r="V1427" i="31"/>
  <c r="U1428" i="31"/>
  <c r="V1428" i="31"/>
  <c r="U1429" i="31"/>
  <c r="V1429" i="31"/>
  <c r="U1430" i="31"/>
  <c r="V1430" i="31"/>
  <c r="U1431" i="31"/>
  <c r="V1431" i="31"/>
  <c r="U1432" i="31"/>
  <c r="V1432" i="31"/>
  <c r="U1433" i="31"/>
  <c r="V1433" i="31"/>
  <c r="U1434" i="31"/>
  <c r="V1434" i="31"/>
  <c r="U1435" i="31"/>
  <c r="V1435" i="31"/>
  <c r="U1436" i="31"/>
  <c r="V1436" i="31"/>
  <c r="U1437" i="31"/>
  <c r="V1437" i="31"/>
  <c r="U1438" i="31"/>
  <c r="V1438" i="31"/>
  <c r="U1439" i="31"/>
  <c r="V1439" i="31"/>
  <c r="U1440" i="31"/>
  <c r="V1440" i="31"/>
  <c r="U1441" i="31"/>
  <c r="V1441" i="31"/>
  <c r="U1442" i="31"/>
  <c r="V1442" i="31"/>
  <c r="U1443" i="31"/>
  <c r="V1443" i="31"/>
  <c r="U1444" i="31"/>
  <c r="V1444" i="31"/>
  <c r="U1445" i="31"/>
  <c r="V1445" i="31"/>
  <c r="U1446" i="31"/>
  <c r="V1446" i="31"/>
  <c r="U1447" i="31"/>
  <c r="V1447" i="31"/>
  <c r="U1448" i="31"/>
  <c r="V1448" i="31"/>
  <c r="U1449" i="31"/>
  <c r="V1449" i="31"/>
  <c r="U1450" i="31"/>
  <c r="V1450" i="31"/>
  <c r="U1451" i="31"/>
  <c r="V1451" i="31"/>
  <c r="U1452" i="31"/>
  <c r="V1452" i="31"/>
  <c r="U1453" i="31"/>
  <c r="V1453" i="31"/>
  <c r="U1454" i="31"/>
  <c r="V1454" i="31"/>
  <c r="U1455" i="31"/>
  <c r="V1455" i="31"/>
  <c r="U1456" i="31"/>
  <c r="V1456" i="31"/>
  <c r="U1457" i="31"/>
  <c r="V1457" i="31"/>
  <c r="U1458" i="31"/>
  <c r="V1458" i="31"/>
  <c r="U1459" i="31"/>
  <c r="V1459" i="31"/>
  <c r="U1460" i="31"/>
  <c r="V1460" i="31"/>
  <c r="U1461" i="31"/>
  <c r="V1461" i="31"/>
  <c r="U1462" i="31"/>
  <c r="V1462" i="31"/>
  <c r="U1463" i="31"/>
  <c r="V1463" i="31"/>
  <c r="U1464" i="31"/>
  <c r="V1464" i="31"/>
  <c r="U1465" i="31"/>
  <c r="V1465" i="31"/>
  <c r="U1466" i="31"/>
  <c r="V1466" i="31"/>
  <c r="U1467" i="31"/>
  <c r="V1467" i="31"/>
  <c r="U1468" i="31"/>
  <c r="V1468" i="31"/>
  <c r="U1469" i="31"/>
  <c r="V1469" i="31"/>
  <c r="U1470" i="31"/>
  <c r="V1470" i="31"/>
  <c r="U1471" i="31"/>
  <c r="V1471" i="31"/>
  <c r="U1472" i="31"/>
  <c r="V1472" i="31"/>
  <c r="U1473" i="31"/>
  <c r="V1473" i="31"/>
  <c r="U1474" i="31"/>
  <c r="V1474" i="31"/>
  <c r="U1475" i="31"/>
  <c r="V1475" i="31"/>
  <c r="U1476" i="31"/>
  <c r="V1476" i="31"/>
  <c r="U1477" i="31"/>
  <c r="V1477" i="31"/>
  <c r="U1478" i="31"/>
  <c r="V1478" i="31"/>
  <c r="U1479" i="31"/>
  <c r="V1479" i="31"/>
  <c r="U1480" i="31"/>
  <c r="V1480" i="31"/>
  <c r="U1481" i="31"/>
  <c r="V1481" i="31"/>
  <c r="U1482" i="31"/>
  <c r="V1482" i="31"/>
  <c r="U1483" i="31"/>
  <c r="V1483" i="31"/>
  <c r="U1484" i="31"/>
  <c r="V1484" i="31"/>
  <c r="U1485" i="31"/>
  <c r="V1485" i="31"/>
  <c r="U1486" i="31"/>
  <c r="V1486" i="31"/>
  <c r="U1487" i="31"/>
  <c r="V1487" i="31"/>
  <c r="U1488" i="31"/>
  <c r="V1488" i="31"/>
  <c r="U1489" i="31"/>
  <c r="V1489" i="31"/>
  <c r="U1490" i="31"/>
  <c r="V1490" i="31"/>
  <c r="U1491" i="31"/>
  <c r="V1491" i="31"/>
  <c r="U1492" i="31"/>
  <c r="V1492" i="31"/>
  <c r="U1493" i="31"/>
  <c r="V1493" i="31"/>
  <c r="U1494" i="31"/>
  <c r="V1494" i="31"/>
  <c r="U1495" i="31"/>
  <c r="V1495" i="31"/>
  <c r="U1496" i="31"/>
  <c r="V1496" i="31"/>
  <c r="U1497" i="31"/>
  <c r="V1497" i="31"/>
  <c r="U1498" i="31"/>
  <c r="V1498" i="31"/>
  <c r="U1499" i="31"/>
  <c r="V1499" i="31"/>
  <c r="U1500" i="31"/>
  <c r="V1500" i="31"/>
  <c r="U1501" i="31"/>
  <c r="V1501" i="31"/>
  <c r="U1502" i="31"/>
  <c r="V1502" i="31"/>
  <c r="U1503" i="31"/>
  <c r="V1503" i="31"/>
  <c r="U1504" i="31"/>
  <c r="V1504" i="31"/>
  <c r="U1505" i="31"/>
  <c r="V1505" i="31"/>
  <c r="U1506" i="31"/>
  <c r="V1506" i="31"/>
  <c r="U1507" i="31"/>
  <c r="V1507" i="31"/>
  <c r="U1508" i="31"/>
  <c r="V1508" i="31"/>
  <c r="U1509" i="31"/>
  <c r="V1509" i="31"/>
  <c r="U1510" i="31"/>
  <c r="V1510" i="31"/>
  <c r="U1511" i="31"/>
  <c r="V1511" i="31"/>
  <c r="U1512" i="31"/>
  <c r="V1512" i="31"/>
  <c r="U1513" i="31"/>
  <c r="V1513" i="31"/>
  <c r="U1514" i="31"/>
  <c r="V1514" i="31"/>
  <c r="U1515" i="31"/>
  <c r="V1515" i="31"/>
  <c r="U1516" i="31"/>
  <c r="V1516" i="31"/>
  <c r="U1517" i="31"/>
  <c r="V1517" i="31"/>
  <c r="U1518" i="31"/>
  <c r="V1518" i="31"/>
  <c r="U1519" i="31"/>
  <c r="V1519" i="31"/>
  <c r="U1520" i="31"/>
  <c r="V1520" i="31"/>
  <c r="U1521" i="31"/>
  <c r="V1521" i="31"/>
  <c r="U1522" i="31"/>
  <c r="V1522" i="31"/>
  <c r="U1523" i="31"/>
  <c r="V1523" i="31"/>
  <c r="U1524" i="31"/>
  <c r="V1524" i="31"/>
  <c r="U1525" i="31"/>
  <c r="V1525" i="31"/>
  <c r="U1526" i="31"/>
  <c r="V1526" i="31"/>
  <c r="U1527" i="31"/>
  <c r="V1527" i="31"/>
  <c r="U1528" i="31"/>
  <c r="V1528" i="31"/>
  <c r="U1529" i="31"/>
  <c r="V1529" i="31"/>
  <c r="U1530" i="31"/>
  <c r="V1530" i="31"/>
  <c r="U1531" i="31"/>
  <c r="V1531" i="31"/>
  <c r="U1532" i="31"/>
  <c r="V1532" i="31"/>
  <c r="U1533" i="31"/>
  <c r="V1533" i="31"/>
  <c r="U1534" i="31"/>
  <c r="V1534" i="31"/>
  <c r="U1535" i="31"/>
  <c r="V1535" i="31"/>
  <c r="U1536" i="31"/>
  <c r="V1536" i="31"/>
  <c r="U1537" i="31"/>
  <c r="V1537" i="31"/>
  <c r="U1538" i="31"/>
  <c r="V1538" i="31"/>
  <c r="U1539" i="31"/>
  <c r="V1539" i="31"/>
  <c r="U1540" i="31"/>
  <c r="V1540" i="31"/>
  <c r="U1541" i="31"/>
  <c r="V1541" i="31"/>
  <c r="U1542" i="31"/>
  <c r="V1542" i="31"/>
  <c r="U1543" i="31"/>
  <c r="V1543" i="31"/>
  <c r="U1544" i="31"/>
  <c r="V1544" i="31"/>
  <c r="U1545" i="31"/>
  <c r="V1545" i="31"/>
  <c r="U1546" i="31"/>
  <c r="V1546" i="31"/>
  <c r="U1547" i="31"/>
  <c r="V1547" i="31"/>
  <c r="U1548" i="31"/>
  <c r="V1548" i="31"/>
  <c r="U1549" i="31"/>
  <c r="V1549" i="31"/>
  <c r="U1550" i="31"/>
  <c r="V1550" i="31"/>
  <c r="U1551" i="31"/>
  <c r="V1551" i="31"/>
  <c r="U1552" i="31"/>
  <c r="V1552" i="31"/>
  <c r="U1553" i="31"/>
  <c r="V1553" i="31"/>
  <c r="U1554" i="31"/>
  <c r="V1554" i="31"/>
  <c r="U1555" i="31"/>
  <c r="V1555" i="31"/>
  <c r="U1556" i="31"/>
  <c r="V1556" i="31"/>
  <c r="U1557" i="31"/>
  <c r="V1557" i="31"/>
  <c r="U1558" i="31"/>
  <c r="V1558" i="31"/>
  <c r="U1559" i="31"/>
  <c r="V1559" i="31"/>
  <c r="U1560" i="31"/>
  <c r="V1560" i="31"/>
  <c r="U1561" i="31"/>
  <c r="V1561" i="31"/>
  <c r="U1562" i="31"/>
  <c r="V1562" i="31"/>
  <c r="U1563" i="31"/>
  <c r="V1563" i="31"/>
  <c r="U1564" i="31"/>
  <c r="V1564" i="31"/>
  <c r="U1565" i="31"/>
  <c r="V1565" i="31"/>
  <c r="U1566" i="31"/>
  <c r="V1566" i="31"/>
  <c r="U1567" i="31"/>
  <c r="V1567" i="31"/>
  <c r="U1568" i="31"/>
  <c r="V1568" i="31"/>
  <c r="U1569" i="31"/>
  <c r="V1569" i="31"/>
  <c r="U1570" i="31"/>
  <c r="V1570" i="31"/>
  <c r="U1571" i="31"/>
  <c r="V1571" i="31"/>
  <c r="U1572" i="31"/>
  <c r="V1572" i="31"/>
  <c r="U1573" i="31"/>
  <c r="V1573" i="31"/>
  <c r="U1574" i="31"/>
  <c r="V1574" i="31"/>
  <c r="U1575" i="31"/>
  <c r="V1575" i="31"/>
  <c r="U1576" i="31"/>
  <c r="V1576" i="31"/>
  <c r="U1577" i="31"/>
  <c r="V1577" i="31"/>
  <c r="U1578" i="31"/>
  <c r="V1578" i="31"/>
  <c r="U1579" i="31"/>
  <c r="V1579" i="31"/>
  <c r="U1580" i="31"/>
  <c r="V1580" i="31"/>
  <c r="U1581" i="31"/>
  <c r="V1581" i="31"/>
  <c r="U1582" i="31"/>
  <c r="V1582" i="31"/>
  <c r="U1583" i="31"/>
  <c r="V1583" i="31"/>
  <c r="U1584" i="31"/>
  <c r="V1584" i="31"/>
  <c r="U1585" i="31"/>
  <c r="V1585" i="31"/>
  <c r="U1586" i="31"/>
  <c r="V1586" i="31"/>
  <c r="U1587" i="31"/>
  <c r="V1587" i="31"/>
  <c r="U1588" i="31"/>
  <c r="V1588" i="31"/>
  <c r="U1589" i="31"/>
  <c r="V1589" i="31"/>
  <c r="U1590" i="31"/>
  <c r="V1590" i="31"/>
  <c r="U1591" i="31"/>
  <c r="V1591" i="31"/>
  <c r="U1592" i="31"/>
  <c r="V1592" i="31"/>
  <c r="U1593" i="31"/>
  <c r="V1593" i="31"/>
  <c r="U1594" i="31"/>
  <c r="V1594" i="31"/>
  <c r="U1595" i="31"/>
  <c r="V1595" i="31"/>
  <c r="U1596" i="31"/>
  <c r="V1596" i="31"/>
  <c r="U1597" i="31"/>
  <c r="V1597" i="31"/>
  <c r="U1598" i="31"/>
  <c r="V1598" i="31"/>
  <c r="U1599" i="31"/>
  <c r="V1599" i="31"/>
  <c r="U1600" i="31"/>
  <c r="V1600" i="31"/>
  <c r="U1601" i="31"/>
  <c r="V1601" i="31"/>
  <c r="U1602" i="31"/>
  <c r="V1602" i="31"/>
  <c r="U1603" i="31"/>
  <c r="V1603" i="31"/>
  <c r="U1604" i="31"/>
  <c r="V1604" i="31"/>
  <c r="U1605" i="31"/>
  <c r="V1605" i="31"/>
  <c r="U1606" i="31"/>
  <c r="V1606" i="31"/>
  <c r="U1607" i="31"/>
  <c r="V1607" i="31"/>
  <c r="U1608" i="31"/>
  <c r="V1608" i="31"/>
  <c r="U1609" i="31"/>
  <c r="V1609" i="31"/>
  <c r="U1610" i="31"/>
  <c r="V1610" i="31"/>
  <c r="U1611" i="31"/>
  <c r="V1611" i="31"/>
  <c r="U1612" i="31"/>
  <c r="V1612" i="31"/>
  <c r="U1613" i="31"/>
  <c r="V1613" i="31"/>
  <c r="U1614" i="31"/>
  <c r="V1614" i="31"/>
  <c r="U1615" i="31"/>
  <c r="V1615" i="31"/>
  <c r="U1616" i="31"/>
  <c r="V1616" i="31"/>
  <c r="U1617" i="31"/>
  <c r="V1617" i="31"/>
  <c r="U1618" i="31"/>
  <c r="V1618" i="31"/>
  <c r="U1619" i="31"/>
  <c r="V1619" i="31"/>
  <c r="U1620" i="31"/>
  <c r="V1620" i="31"/>
  <c r="U1621" i="31"/>
  <c r="V1621" i="31"/>
  <c r="U1622" i="31"/>
  <c r="V1622" i="31"/>
  <c r="U1623" i="31"/>
  <c r="V1623" i="31"/>
  <c r="U1624" i="31"/>
  <c r="V1624" i="31"/>
  <c r="U1625" i="31"/>
  <c r="V1625" i="31"/>
  <c r="U1626" i="31"/>
  <c r="V1626" i="31"/>
  <c r="U1627" i="31"/>
  <c r="V1627" i="31"/>
  <c r="U1628" i="31"/>
  <c r="V1628" i="31"/>
  <c r="U1629" i="31"/>
  <c r="V1629" i="31"/>
  <c r="U1630" i="31"/>
  <c r="V1630" i="31"/>
  <c r="U1631" i="31"/>
  <c r="V1631" i="31"/>
  <c r="U1632" i="31"/>
  <c r="V1632" i="31"/>
  <c r="U1633" i="31"/>
  <c r="V1633" i="31"/>
  <c r="U1634" i="31"/>
  <c r="V1634" i="31"/>
  <c r="U1635" i="31"/>
  <c r="V1635" i="31"/>
  <c r="U1636" i="31"/>
  <c r="V1636" i="31"/>
  <c r="U1637" i="31"/>
  <c r="V1637" i="31"/>
  <c r="U1638" i="31"/>
  <c r="V1638" i="31"/>
  <c r="U1639" i="31"/>
  <c r="V1639" i="31"/>
  <c r="U1640" i="31"/>
  <c r="V1640" i="31"/>
  <c r="U1641" i="31"/>
  <c r="V1641" i="31"/>
  <c r="U1642" i="31"/>
  <c r="V1642" i="31"/>
  <c r="U1643" i="31"/>
  <c r="V1643" i="31"/>
  <c r="U1644" i="31"/>
  <c r="V1644" i="31"/>
  <c r="U1645" i="31"/>
  <c r="V1645" i="31"/>
  <c r="U1646" i="31"/>
  <c r="V1646" i="31"/>
  <c r="U1647" i="31"/>
  <c r="V1647" i="31"/>
  <c r="U1648" i="31"/>
  <c r="V1648" i="31"/>
  <c r="U1649" i="31"/>
  <c r="V1649" i="31"/>
  <c r="U1650" i="31"/>
  <c r="V1650" i="31"/>
  <c r="U1651" i="31"/>
  <c r="V1651" i="31"/>
  <c r="U1652" i="31"/>
  <c r="V1652" i="31"/>
  <c r="U1653" i="31"/>
  <c r="V1653" i="31"/>
  <c r="U1654" i="31"/>
  <c r="V1654" i="31"/>
  <c r="U1655" i="31"/>
  <c r="V1655" i="31"/>
  <c r="U1656" i="31"/>
  <c r="V1656" i="31"/>
  <c r="U1657" i="31"/>
  <c r="V1657" i="31"/>
  <c r="U1658" i="31"/>
  <c r="V1658" i="31"/>
  <c r="U1659" i="31"/>
  <c r="V1659" i="31"/>
  <c r="U1660" i="31"/>
  <c r="V1660" i="31"/>
  <c r="U1661" i="31"/>
  <c r="V1661" i="31"/>
  <c r="U1662" i="31"/>
  <c r="V1662" i="31"/>
  <c r="U1663" i="31"/>
  <c r="V1663" i="31"/>
  <c r="U1664" i="31"/>
  <c r="V1664" i="31"/>
  <c r="U1665" i="31"/>
  <c r="V1665" i="31"/>
  <c r="U1666" i="31"/>
  <c r="V1666" i="31"/>
  <c r="U1667" i="31"/>
  <c r="V1667" i="31"/>
  <c r="U1668" i="31"/>
  <c r="V1668" i="31"/>
  <c r="U1669" i="31"/>
  <c r="V1669" i="31"/>
  <c r="U1670" i="31"/>
  <c r="V1670" i="31"/>
  <c r="U1671" i="31"/>
  <c r="V1671" i="31"/>
  <c r="U1672" i="31"/>
  <c r="V1672" i="31"/>
  <c r="U1673" i="31"/>
  <c r="V1673" i="31"/>
  <c r="U1674" i="31"/>
  <c r="V1674" i="31"/>
  <c r="U1675" i="31"/>
  <c r="V1675" i="31"/>
  <c r="U1676" i="31"/>
  <c r="V1676" i="31"/>
  <c r="U1677" i="31"/>
  <c r="V1677" i="31"/>
  <c r="U1678" i="31"/>
  <c r="V1678" i="31"/>
  <c r="U1679" i="31"/>
  <c r="V1679" i="31"/>
  <c r="U1680" i="31"/>
  <c r="V1680" i="31"/>
  <c r="U1681" i="31"/>
  <c r="V1681" i="31"/>
  <c r="U1682" i="31"/>
  <c r="V1682" i="31"/>
  <c r="U1683" i="31"/>
  <c r="V1683" i="31"/>
  <c r="U1684" i="31"/>
  <c r="V1684" i="31"/>
  <c r="U1685" i="31"/>
  <c r="V1685" i="31"/>
  <c r="U1686" i="31"/>
  <c r="V1686" i="31"/>
  <c r="U1687" i="31"/>
  <c r="V1687" i="31"/>
  <c r="U1688" i="31"/>
  <c r="V1688" i="31"/>
  <c r="U1689" i="31"/>
  <c r="V1689" i="31"/>
  <c r="U1690" i="31"/>
  <c r="V1690" i="31"/>
  <c r="U1691" i="31"/>
  <c r="V1691" i="31"/>
  <c r="U1692" i="31"/>
  <c r="V1692" i="31"/>
  <c r="U1693" i="31"/>
  <c r="V1693" i="31"/>
  <c r="U1694" i="31"/>
  <c r="V1694" i="31"/>
  <c r="U1695" i="31"/>
  <c r="V1695" i="31"/>
  <c r="U1696" i="31"/>
  <c r="V1696" i="31"/>
  <c r="U1697" i="31"/>
  <c r="V1697" i="31"/>
  <c r="U1698" i="31"/>
  <c r="V1698" i="31"/>
  <c r="U1699" i="31"/>
  <c r="V1699" i="31"/>
  <c r="U1700" i="31"/>
  <c r="V1700" i="31"/>
  <c r="U1701" i="31"/>
  <c r="V1701" i="31"/>
  <c r="U1702" i="31"/>
  <c r="V1702" i="31"/>
  <c r="U1703" i="31"/>
  <c r="V1703" i="31"/>
  <c r="U1704" i="31"/>
  <c r="V1704" i="31"/>
  <c r="U1705" i="31"/>
  <c r="V1705" i="31"/>
  <c r="U1706" i="31"/>
  <c r="V1706" i="31"/>
  <c r="U1707" i="31"/>
  <c r="V1707" i="31"/>
  <c r="U1708" i="31"/>
  <c r="V1708" i="31"/>
  <c r="U1709" i="31"/>
  <c r="V1709" i="31"/>
  <c r="U1710" i="31"/>
  <c r="V1710" i="31"/>
  <c r="U1711" i="31"/>
  <c r="V1711" i="31"/>
  <c r="U1712" i="31"/>
  <c r="V1712" i="31"/>
  <c r="U1713" i="31"/>
  <c r="V1713" i="31"/>
  <c r="U1714" i="31"/>
  <c r="V1714" i="31"/>
  <c r="U1715" i="31"/>
  <c r="V1715" i="31"/>
  <c r="U1716" i="31"/>
  <c r="V1716" i="31"/>
  <c r="U1717" i="31"/>
  <c r="V1717" i="31"/>
  <c r="U1718" i="31"/>
  <c r="V1718" i="31"/>
  <c r="U1719" i="31"/>
  <c r="V1719" i="31"/>
  <c r="U1720" i="31"/>
  <c r="V1720" i="31"/>
  <c r="U1721" i="31"/>
  <c r="V1721" i="31"/>
  <c r="U1722" i="31"/>
  <c r="V1722" i="31"/>
  <c r="U1723" i="31"/>
  <c r="V1723" i="31"/>
  <c r="U1724" i="31"/>
  <c r="V1724" i="31"/>
  <c r="U1725" i="31"/>
  <c r="V1725" i="31"/>
  <c r="U1726" i="31"/>
  <c r="V1726" i="31"/>
  <c r="U1727" i="31"/>
  <c r="V1727" i="31"/>
  <c r="U1728" i="31"/>
  <c r="V1728" i="31"/>
  <c r="U1729" i="31"/>
  <c r="V1729" i="31"/>
  <c r="U1730" i="31"/>
  <c r="V1730" i="31"/>
  <c r="U1731" i="31"/>
  <c r="V1731" i="31"/>
  <c r="U1732" i="31"/>
  <c r="V1732" i="31"/>
  <c r="U1733" i="31"/>
  <c r="V1733" i="31"/>
  <c r="U1734" i="31"/>
  <c r="V1734" i="31"/>
  <c r="U1735" i="31"/>
  <c r="V1735" i="31"/>
  <c r="U1736" i="31"/>
  <c r="V1736" i="31"/>
  <c r="U1737" i="31"/>
  <c r="V1737" i="31"/>
  <c r="U1738" i="31"/>
  <c r="V1738" i="31"/>
  <c r="U1739" i="31"/>
  <c r="V1739" i="31"/>
  <c r="U1740" i="31"/>
  <c r="V1740" i="31"/>
  <c r="U1741" i="31"/>
  <c r="V1741" i="31"/>
  <c r="U1742" i="31"/>
  <c r="V1742" i="31"/>
  <c r="U1743" i="31"/>
  <c r="V1743" i="31"/>
  <c r="U1744" i="31"/>
  <c r="V1744" i="31"/>
  <c r="U1745" i="31"/>
  <c r="V1745" i="31"/>
  <c r="U1746" i="31"/>
  <c r="V1746" i="31"/>
  <c r="U1747" i="31"/>
  <c r="V1747" i="31"/>
  <c r="U1748" i="31"/>
  <c r="V1748" i="31"/>
  <c r="U1749" i="31"/>
  <c r="V1749" i="31"/>
  <c r="U1750" i="31"/>
  <c r="V1750" i="31"/>
  <c r="U1751" i="31"/>
  <c r="V1751" i="31"/>
  <c r="U1752" i="31"/>
  <c r="V1752" i="31"/>
  <c r="U1753" i="31"/>
  <c r="V1753" i="31"/>
  <c r="U1754" i="31"/>
  <c r="V1754" i="31"/>
  <c r="U1755" i="31"/>
  <c r="V1755" i="31"/>
  <c r="U1756" i="31"/>
  <c r="V1756" i="31"/>
  <c r="U1757" i="31"/>
  <c r="V1757" i="31"/>
  <c r="U1758" i="31"/>
  <c r="V1758" i="31"/>
  <c r="U1759" i="31"/>
  <c r="V1759" i="31"/>
  <c r="U1760" i="31"/>
  <c r="V1760" i="31"/>
  <c r="U1761" i="31"/>
  <c r="V1761" i="31"/>
  <c r="U1762" i="31"/>
  <c r="V1762" i="31"/>
  <c r="U1763" i="31"/>
  <c r="V1763" i="31"/>
  <c r="U1764" i="31"/>
  <c r="V1764" i="31"/>
  <c r="U1765" i="31"/>
  <c r="V1765" i="31"/>
  <c r="U1766" i="31"/>
  <c r="V1766" i="31"/>
  <c r="U1767" i="31"/>
  <c r="V1767" i="31"/>
  <c r="U1768" i="31"/>
  <c r="V1768" i="31"/>
  <c r="U1769" i="31"/>
  <c r="V1769" i="31"/>
  <c r="U1770" i="31"/>
  <c r="V1770" i="31"/>
  <c r="U1771" i="31"/>
  <c r="V1771" i="31"/>
  <c r="U1772" i="31"/>
  <c r="V1772" i="31"/>
  <c r="U1773" i="31"/>
  <c r="V1773" i="31"/>
  <c r="U1774" i="31"/>
  <c r="V1774" i="31"/>
  <c r="U1775" i="31"/>
  <c r="V1775" i="31"/>
  <c r="U1776" i="31"/>
  <c r="V1776" i="31"/>
  <c r="U1777" i="31"/>
  <c r="V1777" i="31"/>
  <c r="U1778" i="31"/>
  <c r="V1778" i="31"/>
  <c r="U1779" i="31"/>
  <c r="V1779" i="31"/>
  <c r="U1780" i="31"/>
  <c r="V1780" i="31"/>
  <c r="U1781" i="31"/>
  <c r="V1781" i="31"/>
  <c r="U1782" i="31"/>
  <c r="V1782" i="31"/>
  <c r="U1783" i="31"/>
  <c r="V1783" i="31"/>
  <c r="U1784" i="31"/>
  <c r="V1784" i="31"/>
  <c r="U1785" i="31"/>
  <c r="V1785" i="31"/>
  <c r="U1786" i="31"/>
  <c r="V1786" i="31"/>
  <c r="U1787" i="31"/>
  <c r="V1787" i="31"/>
  <c r="U1788" i="31"/>
  <c r="V1788" i="31"/>
  <c r="U1789" i="31"/>
  <c r="V1789" i="31"/>
  <c r="U1790" i="31"/>
  <c r="V1790" i="31"/>
  <c r="U1791" i="31"/>
  <c r="V1791" i="31"/>
  <c r="U1792" i="31"/>
  <c r="V1792" i="31"/>
  <c r="U1793" i="31"/>
  <c r="V1793" i="31"/>
  <c r="U1794" i="31"/>
  <c r="V1794" i="31"/>
  <c r="U1795" i="31"/>
  <c r="V1795" i="31"/>
  <c r="U1796" i="31"/>
  <c r="V1796" i="31"/>
  <c r="U1797" i="31"/>
  <c r="V1797" i="31"/>
  <c r="U1798" i="31"/>
  <c r="V1798" i="31"/>
  <c r="U1799" i="31"/>
  <c r="V1799" i="31"/>
  <c r="U1800" i="31"/>
  <c r="V1800" i="31"/>
  <c r="U1801" i="31"/>
  <c r="V1801" i="31"/>
  <c r="U1802" i="31"/>
  <c r="V1802" i="31"/>
  <c r="U1803" i="31"/>
  <c r="V1803" i="31"/>
  <c r="U1804" i="31"/>
  <c r="V1804" i="31"/>
  <c r="U1805" i="31"/>
  <c r="V1805" i="31"/>
  <c r="U1806" i="31"/>
  <c r="V1806" i="31"/>
  <c r="U1807" i="31"/>
  <c r="V1807" i="31"/>
  <c r="U1808" i="31"/>
  <c r="V1808" i="31"/>
  <c r="U1809" i="31"/>
  <c r="V1809" i="31"/>
  <c r="U1810" i="31"/>
  <c r="V1810" i="31"/>
  <c r="U1811" i="31"/>
  <c r="V1811" i="31"/>
  <c r="U1812" i="31"/>
  <c r="V1812" i="31"/>
  <c r="U1813" i="31"/>
  <c r="V1813" i="31"/>
  <c r="U1814" i="31"/>
  <c r="V1814" i="31"/>
  <c r="U1815" i="31"/>
  <c r="V1815" i="31"/>
  <c r="U1816" i="31"/>
  <c r="V1816" i="31"/>
  <c r="U1817" i="31"/>
  <c r="V1817" i="31"/>
  <c r="U1818" i="31"/>
  <c r="V1818" i="31"/>
  <c r="U1819" i="31"/>
  <c r="V1819" i="31"/>
  <c r="U1820" i="31"/>
  <c r="V1820" i="31"/>
  <c r="U1821" i="31"/>
  <c r="V1821" i="31"/>
  <c r="U1822" i="31"/>
  <c r="V1822" i="31"/>
  <c r="U1823" i="31"/>
  <c r="V1823" i="31"/>
  <c r="U1824" i="31"/>
  <c r="V1824" i="31"/>
  <c r="U1825" i="31"/>
  <c r="V1825" i="31"/>
  <c r="U1826" i="31"/>
  <c r="V1826" i="31"/>
  <c r="U1827" i="31"/>
  <c r="V1827" i="31"/>
  <c r="U1828" i="31"/>
  <c r="V1828" i="31"/>
  <c r="U1829" i="31"/>
  <c r="V1829" i="31"/>
  <c r="U1830" i="31"/>
  <c r="V1830" i="31"/>
  <c r="U1831" i="31"/>
  <c r="V1831" i="31"/>
  <c r="U1832" i="31"/>
  <c r="V1832" i="31"/>
  <c r="U1833" i="31"/>
  <c r="V1833" i="31"/>
  <c r="U1834" i="31"/>
  <c r="V1834" i="31"/>
  <c r="U1835" i="31"/>
  <c r="V1835" i="31"/>
  <c r="U1836" i="31"/>
  <c r="V1836" i="31"/>
  <c r="U1837" i="31"/>
  <c r="V1837" i="31"/>
  <c r="U1838" i="31"/>
  <c r="V1838" i="31"/>
  <c r="U1839" i="31"/>
  <c r="V1839" i="31"/>
  <c r="U1840" i="31"/>
  <c r="V1840" i="31"/>
  <c r="U1841" i="31"/>
  <c r="V1841" i="31"/>
  <c r="U1842" i="31"/>
  <c r="V1842" i="31"/>
  <c r="U1843" i="31"/>
  <c r="V1843" i="31"/>
  <c r="U1844" i="31"/>
  <c r="V1844" i="31"/>
  <c r="U1845" i="31"/>
  <c r="V1845" i="31"/>
  <c r="U1846" i="31"/>
  <c r="V1846" i="31"/>
  <c r="U1847" i="31"/>
  <c r="V1847" i="31"/>
  <c r="U1848" i="31"/>
  <c r="V1848" i="31"/>
  <c r="U1849" i="31"/>
  <c r="V1849" i="31"/>
  <c r="U1850" i="31"/>
  <c r="V1850" i="31"/>
  <c r="U1851" i="31"/>
  <c r="V1851" i="31"/>
  <c r="U1852" i="31"/>
  <c r="V1852" i="31"/>
  <c r="U1853" i="31"/>
  <c r="V1853" i="31"/>
  <c r="U1854" i="31"/>
  <c r="V1854" i="31"/>
  <c r="U1855" i="31"/>
  <c r="V1855" i="31"/>
  <c r="U1856" i="31"/>
  <c r="V1856" i="31"/>
  <c r="U1857" i="31"/>
  <c r="V1857" i="31"/>
  <c r="U1858" i="31"/>
  <c r="V1858" i="31"/>
  <c r="U1859" i="31"/>
  <c r="V1859" i="31"/>
  <c r="U1860" i="31"/>
  <c r="V1860" i="31"/>
  <c r="U1861" i="31"/>
  <c r="V1861" i="31"/>
  <c r="U1862" i="31"/>
  <c r="V1862" i="31"/>
  <c r="U1863" i="31"/>
  <c r="V1863" i="31"/>
  <c r="U1864" i="31"/>
  <c r="V1864" i="31"/>
  <c r="U1865" i="31"/>
  <c r="V1865" i="31"/>
  <c r="U1866" i="31"/>
  <c r="V1866" i="31"/>
  <c r="U1867" i="31"/>
  <c r="V1867" i="31"/>
  <c r="U1868" i="31"/>
  <c r="V1868" i="31"/>
  <c r="U1869" i="31"/>
  <c r="V1869" i="31"/>
  <c r="U1870" i="31"/>
  <c r="V1870" i="31"/>
  <c r="U1871" i="31"/>
  <c r="V1871" i="31"/>
  <c r="U1872" i="31"/>
  <c r="V1872" i="31"/>
  <c r="U1873" i="31"/>
  <c r="V1873" i="31"/>
  <c r="U1874" i="31"/>
  <c r="V1874" i="31"/>
  <c r="U1875" i="31"/>
  <c r="V1875" i="31"/>
  <c r="U1876" i="31"/>
  <c r="V1876" i="31"/>
  <c r="U1877" i="31"/>
  <c r="V1877" i="31"/>
  <c r="U1878" i="31"/>
  <c r="V1878" i="31"/>
  <c r="U1879" i="31"/>
  <c r="V1879" i="31"/>
  <c r="U1880" i="31"/>
  <c r="V1880" i="31"/>
  <c r="U1881" i="31"/>
  <c r="V1881" i="31"/>
  <c r="U1882" i="31"/>
  <c r="V1882" i="31"/>
  <c r="U1883" i="31"/>
  <c r="V1883" i="31"/>
  <c r="U1884" i="31"/>
  <c r="V1884" i="31"/>
  <c r="U1885" i="31"/>
  <c r="V1885" i="31"/>
  <c r="U1886" i="31"/>
  <c r="V1886" i="31"/>
  <c r="U1887" i="31"/>
  <c r="V1887" i="31"/>
  <c r="U1888" i="31"/>
  <c r="V1888" i="31"/>
  <c r="U1889" i="31"/>
  <c r="V1889" i="31"/>
  <c r="U1890" i="31"/>
  <c r="V1890" i="31"/>
  <c r="U1891" i="31"/>
  <c r="V1891" i="31"/>
  <c r="U1892" i="31"/>
  <c r="V1892" i="31"/>
  <c r="U1893" i="31"/>
  <c r="V1893" i="31"/>
  <c r="U1894" i="31"/>
  <c r="V1894" i="31"/>
  <c r="U1895" i="31"/>
  <c r="V1895" i="31"/>
  <c r="U1896" i="31"/>
  <c r="V1896" i="31"/>
  <c r="U1897" i="31"/>
  <c r="V1897" i="31"/>
  <c r="U1898" i="31"/>
  <c r="V1898" i="31"/>
  <c r="U1899" i="31"/>
  <c r="V1899" i="31"/>
  <c r="U1900" i="31"/>
  <c r="V1900" i="31"/>
  <c r="U1901" i="31"/>
  <c r="V1901" i="31"/>
  <c r="U1902" i="31"/>
  <c r="V1902" i="31"/>
  <c r="U1903" i="31"/>
  <c r="V1903" i="31"/>
  <c r="U1904" i="31"/>
  <c r="V1904" i="31"/>
  <c r="U1905" i="31"/>
  <c r="V1905" i="31"/>
  <c r="U1906" i="31"/>
  <c r="V1906" i="31"/>
  <c r="U1907" i="31"/>
  <c r="V1907" i="31"/>
  <c r="U1908" i="31"/>
  <c r="V1908" i="31"/>
  <c r="U1909" i="31"/>
  <c r="V1909" i="31"/>
  <c r="U1910" i="31"/>
  <c r="V1910" i="31"/>
  <c r="U1911" i="31"/>
  <c r="V1911" i="31"/>
  <c r="U1912" i="31"/>
  <c r="V1912" i="31"/>
  <c r="U1913" i="31"/>
  <c r="V1913" i="31"/>
  <c r="U1914" i="31"/>
  <c r="V1914" i="31"/>
  <c r="U1915" i="31"/>
  <c r="V1915" i="31"/>
  <c r="U1916" i="31"/>
  <c r="V1916" i="31"/>
  <c r="U1917" i="31"/>
  <c r="V1917" i="31"/>
  <c r="U1918" i="31"/>
  <c r="V1918" i="31"/>
  <c r="U1919" i="31"/>
  <c r="V1919" i="31"/>
  <c r="U1920" i="31"/>
  <c r="V1920" i="31"/>
  <c r="U1921" i="31"/>
  <c r="V1921" i="31"/>
  <c r="U1922" i="31"/>
  <c r="V1922" i="31"/>
  <c r="U1923" i="31"/>
  <c r="V1923" i="31"/>
  <c r="U1924" i="31"/>
  <c r="V1924" i="31"/>
  <c r="U1925" i="31"/>
  <c r="V1925" i="31"/>
  <c r="U1926" i="31"/>
  <c r="V1926" i="31"/>
  <c r="U1927" i="31"/>
  <c r="V1927" i="31"/>
  <c r="U1928" i="31"/>
  <c r="V1928" i="31"/>
  <c r="U1929" i="31"/>
  <c r="V1929" i="31"/>
  <c r="U1930" i="31"/>
  <c r="V1930" i="31"/>
  <c r="U1931" i="31"/>
  <c r="V1931" i="31"/>
  <c r="U1932" i="31"/>
  <c r="V1932" i="31"/>
  <c r="U1933" i="31"/>
  <c r="V1933" i="31"/>
  <c r="U1934" i="31"/>
  <c r="V1934" i="31"/>
  <c r="U1935" i="31"/>
  <c r="V1935" i="31"/>
  <c r="U1936" i="31"/>
  <c r="V1936" i="31"/>
  <c r="U1937" i="31"/>
  <c r="V1937" i="31"/>
  <c r="U1938" i="31"/>
  <c r="V1938" i="31"/>
  <c r="U1939" i="31"/>
  <c r="V1939" i="31"/>
  <c r="U1940" i="31"/>
  <c r="V1940" i="31"/>
  <c r="U1941" i="31"/>
  <c r="V1941" i="31"/>
  <c r="U1942" i="31"/>
  <c r="V1942" i="31"/>
  <c r="U1943" i="31"/>
  <c r="V1943" i="31"/>
  <c r="U1944" i="31"/>
  <c r="V1944" i="31"/>
  <c r="U1945" i="31"/>
  <c r="V1945" i="31"/>
  <c r="U1946" i="31"/>
  <c r="V1946" i="31"/>
  <c r="U1947" i="31"/>
  <c r="V1947" i="31"/>
  <c r="U1948" i="31"/>
  <c r="V1948" i="31"/>
  <c r="U1949" i="31"/>
  <c r="V1949" i="31"/>
  <c r="U1950" i="31"/>
  <c r="V1950" i="31"/>
  <c r="U1951" i="31"/>
  <c r="V1951" i="31"/>
  <c r="U1952" i="31"/>
  <c r="V1952" i="31"/>
  <c r="U1953" i="31"/>
  <c r="V1953" i="31"/>
  <c r="U1954" i="31"/>
  <c r="V1954" i="31"/>
  <c r="U1955" i="31"/>
  <c r="V1955" i="31"/>
  <c r="U1956" i="31"/>
  <c r="V1956" i="31"/>
  <c r="U1957" i="31"/>
  <c r="V1957" i="31"/>
  <c r="U1958" i="31"/>
  <c r="V1958" i="31"/>
  <c r="U1959" i="31"/>
  <c r="V1959" i="31"/>
  <c r="U1960" i="31"/>
  <c r="V1960" i="31"/>
  <c r="U1961" i="31"/>
  <c r="V1961" i="31"/>
  <c r="U1962" i="31"/>
  <c r="V1962" i="31"/>
  <c r="U1963" i="31"/>
  <c r="V1963" i="31"/>
  <c r="U1964" i="31"/>
  <c r="V1964" i="31"/>
  <c r="U1965" i="31"/>
  <c r="V1965" i="31"/>
  <c r="U1966" i="31"/>
  <c r="V1966" i="31"/>
  <c r="U1967" i="31"/>
  <c r="V1967" i="31"/>
  <c r="U1968" i="31"/>
  <c r="V1968" i="31"/>
  <c r="U1969" i="31"/>
  <c r="V1969" i="31"/>
  <c r="U1970" i="31"/>
  <c r="V1970" i="31"/>
  <c r="U1971" i="31"/>
  <c r="V1971" i="31"/>
  <c r="U1972" i="31"/>
  <c r="V1972" i="31"/>
  <c r="U1973" i="31"/>
  <c r="V1973" i="31"/>
  <c r="U1974" i="31"/>
  <c r="V1974" i="31"/>
  <c r="U1975" i="31"/>
  <c r="V1975" i="31"/>
  <c r="U1976" i="31"/>
  <c r="V1976" i="31"/>
  <c r="U1977" i="31"/>
  <c r="V1977" i="31"/>
  <c r="U1978" i="31"/>
  <c r="V1978" i="31"/>
  <c r="U1979" i="31"/>
  <c r="V1979" i="31"/>
  <c r="U1980" i="31"/>
  <c r="V1980" i="31"/>
  <c r="U1981" i="31"/>
  <c r="V1981" i="31"/>
  <c r="U1982" i="31"/>
  <c r="V1982" i="31"/>
  <c r="U1983" i="31"/>
  <c r="V1983" i="31"/>
  <c r="U1984" i="31"/>
  <c r="V1984" i="31"/>
  <c r="U1985" i="31"/>
  <c r="V1985" i="31"/>
  <c r="U1986" i="31"/>
  <c r="V1986" i="31"/>
  <c r="U1987" i="31"/>
  <c r="V1987" i="31"/>
  <c r="U1988" i="31"/>
  <c r="V1988" i="31"/>
  <c r="U1989" i="31"/>
  <c r="V1989" i="31"/>
  <c r="U1990" i="31"/>
  <c r="V1990" i="31"/>
  <c r="U1991" i="31"/>
  <c r="V1991" i="31"/>
  <c r="U1992" i="31"/>
  <c r="V1992" i="31"/>
  <c r="U1993" i="31"/>
  <c r="V1993" i="31"/>
  <c r="U1994" i="31"/>
  <c r="V1994" i="31"/>
  <c r="U1995" i="31"/>
  <c r="V1995" i="31"/>
  <c r="U1996" i="31"/>
  <c r="V1996" i="31"/>
  <c r="U1997" i="31"/>
  <c r="V1997" i="31"/>
  <c r="U1998" i="31"/>
  <c r="V1998" i="31"/>
  <c r="U1999" i="31"/>
  <c r="V1999" i="31"/>
  <c r="U2000" i="31"/>
  <c r="V2000" i="31"/>
  <c r="U2001" i="31"/>
  <c r="V2001" i="31"/>
  <c r="U2" i="31"/>
  <c r="V2" i="31"/>
  <c r="W251" i="17"/>
  <c r="T251" i="17"/>
  <c r="P6" i="17"/>
  <c r="Q6" i="17" l="1"/>
  <c r="P3" i="17"/>
  <c r="U1" i="31"/>
  <c r="Q1" i="31"/>
  <c r="B51" i="35" a="1"/>
  <c r="B51" i="35"/>
  <c r="B51" i="25" a="1"/>
  <c r="B51" i="25"/>
  <c r="B2" i="39" l="1"/>
  <c r="C2" i="39"/>
  <c r="B3" i="39"/>
  <c r="Q4" i="32"/>
  <c r="B11" i="39"/>
  <c r="C11" i="39"/>
  <c r="B4" i="39"/>
  <c r="C4" i="39"/>
  <c r="B6" i="39"/>
  <c r="C6" i="39"/>
  <c r="B7" i="39"/>
  <c r="C7" i="39"/>
  <c r="B8" i="39"/>
  <c r="C8" i="39"/>
  <c r="B9" i="39"/>
  <c r="C9" i="39"/>
  <c r="B10" i="39"/>
  <c r="C10" i="39"/>
  <c r="B12" i="39"/>
  <c r="C12" i="39"/>
  <c r="B5" i="39"/>
  <c r="C5" i="39"/>
  <c r="C14" i="35"/>
  <c r="C15" i="35"/>
  <c r="C16" i="35"/>
  <c r="C17" i="35"/>
  <c r="C18" i="35"/>
  <c r="C19" i="35"/>
  <c r="C20" i="35"/>
  <c r="C21" i="35"/>
  <c r="A2" i="27" a="1"/>
  <c r="A2" i="27"/>
  <c r="T2" i="27"/>
  <c r="T3" i="27"/>
  <c r="T4" i="27"/>
  <c r="T5" i="27"/>
  <c r="T6" i="27"/>
  <c r="T7" i="27"/>
  <c r="T8" i="27"/>
  <c r="T9" i="27"/>
  <c r="T10" i="27"/>
  <c r="T11" i="27"/>
  <c r="T12" i="27"/>
  <c r="T13" i="27"/>
  <c r="T14" i="27"/>
  <c r="T15" i="27"/>
  <c r="T16" i="27"/>
  <c r="T17" i="27"/>
  <c r="T18" i="27"/>
  <c r="T19" i="27"/>
  <c r="T20" i="27"/>
  <c r="T21" i="27"/>
  <c r="T22" i="27"/>
  <c r="T23" i="27"/>
  <c r="T24" i="27"/>
  <c r="T25" i="27"/>
  <c r="T26" i="27"/>
  <c r="T27" i="27"/>
  <c r="T28" i="27"/>
  <c r="T29" i="27"/>
  <c r="T30" i="27"/>
  <c r="T31" i="27"/>
  <c r="T32" i="27"/>
  <c r="T33" i="27"/>
  <c r="T34" i="27"/>
  <c r="T35" i="27"/>
  <c r="T36" i="27"/>
  <c r="T37" i="27"/>
  <c r="T38" i="27"/>
  <c r="T39" i="27"/>
  <c r="T40" i="27"/>
  <c r="T41" i="27"/>
  <c r="T42" i="27"/>
  <c r="T43" i="27"/>
  <c r="T44" i="27"/>
  <c r="T45" i="27"/>
  <c r="T46" i="27"/>
  <c r="T47" i="27"/>
  <c r="T48" i="27"/>
  <c r="T49" i="27"/>
  <c r="T50" i="27"/>
  <c r="T51" i="27"/>
  <c r="T52" i="27"/>
  <c r="T53" i="27"/>
  <c r="T54" i="27"/>
  <c r="T55" i="27"/>
  <c r="T56" i="27"/>
  <c r="T57" i="27"/>
  <c r="T58" i="27"/>
  <c r="T59" i="27"/>
  <c r="T60" i="27"/>
  <c r="T61" i="27"/>
  <c r="T62" i="27"/>
  <c r="T63" i="27"/>
  <c r="T64" i="27"/>
  <c r="T65" i="27"/>
  <c r="T66" i="27"/>
  <c r="T67" i="27"/>
  <c r="T68" i="27"/>
  <c r="T69" i="27"/>
  <c r="T70" i="27"/>
  <c r="T71" i="27"/>
  <c r="T72" i="27"/>
  <c r="T73" i="27"/>
  <c r="T74" i="27"/>
  <c r="T75" i="27"/>
  <c r="T76" i="27"/>
  <c r="T77" i="27"/>
  <c r="T78" i="27"/>
  <c r="T79" i="27"/>
  <c r="T80" i="27"/>
  <c r="T81" i="27"/>
  <c r="T82" i="27"/>
  <c r="T83" i="27"/>
  <c r="T84" i="27"/>
  <c r="T85" i="27"/>
  <c r="T86" i="27"/>
  <c r="T87" i="27"/>
  <c r="T88" i="27"/>
  <c r="T89" i="27"/>
  <c r="T90" i="27"/>
  <c r="T91" i="27"/>
  <c r="T92" i="27"/>
  <c r="T93" i="27"/>
  <c r="T94" i="27"/>
  <c r="T95" i="27"/>
  <c r="T96" i="27"/>
  <c r="T97" i="27"/>
  <c r="T98" i="27"/>
  <c r="T99" i="27"/>
  <c r="T100" i="27"/>
  <c r="G2" i="27"/>
  <c r="I2" i="27"/>
  <c r="G3" i="27"/>
  <c r="I3" i="27"/>
  <c r="K3" i="27" s="1"/>
  <c r="G4" i="27"/>
  <c r="I4" i="27"/>
  <c r="K4" i="27"/>
  <c r="G5" i="27"/>
  <c r="K5" i="27" s="1"/>
  <c r="I5" i="27"/>
  <c r="G6" i="27"/>
  <c r="I6" i="27"/>
  <c r="G7" i="27"/>
  <c r="I7" i="27"/>
  <c r="G8" i="27"/>
  <c r="I8" i="27"/>
  <c r="K8" i="27"/>
  <c r="G9" i="27"/>
  <c r="I9" i="27"/>
  <c r="G10" i="27"/>
  <c r="I10" i="27"/>
  <c r="G11" i="27"/>
  <c r="I11" i="27"/>
  <c r="K11" i="27" s="1"/>
  <c r="G12" i="27"/>
  <c r="K12" i="27" s="1"/>
  <c r="I12" i="27"/>
  <c r="G13" i="27"/>
  <c r="K13" i="27" s="1"/>
  <c r="I13" i="27"/>
  <c r="G14" i="27"/>
  <c r="K14" i="27" s="1"/>
  <c r="I14" i="27"/>
  <c r="G15" i="27"/>
  <c r="I15" i="27"/>
  <c r="G16" i="27"/>
  <c r="K16" i="27" s="1"/>
  <c r="I16" i="27"/>
  <c r="G17" i="27"/>
  <c r="I17" i="27"/>
  <c r="G18" i="27"/>
  <c r="I18" i="27"/>
  <c r="G19" i="27"/>
  <c r="I19" i="27"/>
  <c r="K19" i="27" s="1"/>
  <c r="G20" i="27"/>
  <c r="I20" i="27"/>
  <c r="K20" i="27" s="1"/>
  <c r="G21" i="27"/>
  <c r="K21" i="27" s="1"/>
  <c r="I21" i="27"/>
  <c r="G22" i="27"/>
  <c r="K22" i="27" s="1"/>
  <c r="I22" i="27"/>
  <c r="G23" i="27"/>
  <c r="I23" i="27"/>
  <c r="G24" i="27"/>
  <c r="I24" i="27"/>
  <c r="K24" i="27"/>
  <c r="G25" i="27"/>
  <c r="I25" i="27"/>
  <c r="G26" i="27"/>
  <c r="I26" i="27"/>
  <c r="G27" i="27"/>
  <c r="I27" i="27"/>
  <c r="K27" i="27" s="1"/>
  <c r="G28" i="27"/>
  <c r="K28" i="27" s="1"/>
  <c r="I28" i="27"/>
  <c r="G29" i="27"/>
  <c r="K29" i="27" s="1"/>
  <c r="I29" i="27"/>
  <c r="G30" i="27"/>
  <c r="K30" i="27" s="1"/>
  <c r="I30" i="27"/>
  <c r="G31" i="27"/>
  <c r="I31" i="27"/>
  <c r="G32" i="27"/>
  <c r="K32" i="27" s="1"/>
  <c r="I32" i="27"/>
  <c r="G33" i="27"/>
  <c r="I33" i="27"/>
  <c r="G34" i="27"/>
  <c r="I34" i="27"/>
  <c r="G35" i="27"/>
  <c r="I35" i="27"/>
  <c r="K35" i="27" s="1"/>
  <c r="G36" i="27"/>
  <c r="I36" i="27"/>
  <c r="K36" i="27"/>
  <c r="G37" i="27"/>
  <c r="K37" i="27" s="1"/>
  <c r="I37" i="27"/>
  <c r="G38" i="27"/>
  <c r="I38" i="27"/>
  <c r="G39" i="27"/>
  <c r="I39" i="27"/>
  <c r="G40" i="27"/>
  <c r="I40" i="27"/>
  <c r="K40" i="27"/>
  <c r="G41" i="27"/>
  <c r="I41" i="27"/>
  <c r="G42" i="27"/>
  <c r="I42" i="27"/>
  <c r="G43" i="27"/>
  <c r="I43" i="27"/>
  <c r="K43" i="27" s="1"/>
  <c r="G44" i="27"/>
  <c r="K44" i="27" s="1"/>
  <c r="I44" i="27"/>
  <c r="G45" i="27"/>
  <c r="K45" i="27" s="1"/>
  <c r="I45" i="27"/>
  <c r="G46" i="27"/>
  <c r="K46" i="27" s="1"/>
  <c r="I46" i="27"/>
  <c r="G47" i="27"/>
  <c r="I47" i="27"/>
  <c r="G48" i="27"/>
  <c r="K48" i="27" s="1"/>
  <c r="I48" i="27"/>
  <c r="G49" i="27"/>
  <c r="I49" i="27"/>
  <c r="G50" i="27"/>
  <c r="I50" i="27"/>
  <c r="G51" i="27"/>
  <c r="I51" i="27"/>
  <c r="K51" i="27" s="1"/>
  <c r="G52" i="27"/>
  <c r="I52" i="27"/>
  <c r="K52" i="27" s="1"/>
  <c r="G53" i="27"/>
  <c r="K53" i="27" s="1"/>
  <c r="I53" i="27"/>
  <c r="G54" i="27"/>
  <c r="K54" i="27" s="1"/>
  <c r="I54" i="27"/>
  <c r="G55" i="27"/>
  <c r="I55" i="27"/>
  <c r="G56" i="27"/>
  <c r="I56" i="27"/>
  <c r="K56" i="27"/>
  <c r="G57" i="27"/>
  <c r="I57" i="27"/>
  <c r="G58" i="27"/>
  <c r="I58" i="27"/>
  <c r="G59" i="27"/>
  <c r="I59" i="27"/>
  <c r="K59" i="27" s="1"/>
  <c r="G60" i="27"/>
  <c r="K60" i="27" s="1"/>
  <c r="I60" i="27"/>
  <c r="G61" i="27"/>
  <c r="K61" i="27" s="1"/>
  <c r="I61" i="27"/>
  <c r="G62" i="27"/>
  <c r="K62" i="27" s="1"/>
  <c r="I62" i="27"/>
  <c r="G63" i="27"/>
  <c r="I63" i="27"/>
  <c r="G64" i="27"/>
  <c r="K64" i="27" s="1"/>
  <c r="I64" i="27"/>
  <c r="G65" i="27"/>
  <c r="I65" i="27"/>
  <c r="G66" i="27"/>
  <c r="I66" i="27"/>
  <c r="G67" i="27"/>
  <c r="I67" i="27"/>
  <c r="K67" i="27" s="1"/>
  <c r="G68" i="27"/>
  <c r="I68" i="27"/>
  <c r="K68" i="27" s="1"/>
  <c r="G69" i="27"/>
  <c r="K69" i="27" s="1"/>
  <c r="I69" i="27"/>
  <c r="G70" i="27"/>
  <c r="K70" i="27" s="1"/>
  <c r="I70" i="27"/>
  <c r="G71" i="27"/>
  <c r="I71" i="27"/>
  <c r="G72" i="27"/>
  <c r="I72" i="27"/>
  <c r="K72" i="27"/>
  <c r="G73" i="27"/>
  <c r="I73" i="27"/>
  <c r="G74" i="27"/>
  <c r="I74" i="27"/>
  <c r="G75" i="27"/>
  <c r="I75" i="27"/>
  <c r="K75" i="27" s="1"/>
  <c r="G76" i="27"/>
  <c r="K76" i="27" s="1"/>
  <c r="I76" i="27"/>
  <c r="G77" i="27"/>
  <c r="K77" i="27" s="1"/>
  <c r="I77" i="27"/>
  <c r="G78" i="27"/>
  <c r="K78" i="27" s="1"/>
  <c r="I78" i="27"/>
  <c r="G79" i="27"/>
  <c r="I79" i="27"/>
  <c r="G80" i="27"/>
  <c r="K80" i="27" s="1"/>
  <c r="I80" i="27"/>
  <c r="G81" i="27"/>
  <c r="I81" i="27"/>
  <c r="G82" i="27"/>
  <c r="I82" i="27"/>
  <c r="G83" i="27"/>
  <c r="I83" i="27"/>
  <c r="K83" i="27" s="1"/>
  <c r="G84" i="27"/>
  <c r="I84" i="27"/>
  <c r="K84" i="27" s="1"/>
  <c r="G85" i="27"/>
  <c r="K85" i="27" s="1"/>
  <c r="I85" i="27"/>
  <c r="G86" i="27"/>
  <c r="K86" i="27" s="1"/>
  <c r="I86" i="27"/>
  <c r="G87" i="27"/>
  <c r="I87" i="27"/>
  <c r="G88" i="27"/>
  <c r="I88" i="27"/>
  <c r="K88" i="27"/>
  <c r="G89" i="27"/>
  <c r="I89" i="27"/>
  <c r="G90" i="27"/>
  <c r="I90" i="27"/>
  <c r="G91" i="27"/>
  <c r="I91" i="27"/>
  <c r="K91" i="27" s="1"/>
  <c r="G92" i="27"/>
  <c r="K92" i="27" s="1"/>
  <c r="I92" i="27"/>
  <c r="G93" i="27"/>
  <c r="K93" i="27" s="1"/>
  <c r="I93" i="27"/>
  <c r="G94" i="27"/>
  <c r="K94" i="27" s="1"/>
  <c r="I94" i="27"/>
  <c r="G95" i="27"/>
  <c r="I95" i="27"/>
  <c r="G96" i="27"/>
  <c r="K96" i="27" s="1"/>
  <c r="I96" i="27"/>
  <c r="G97" i="27"/>
  <c r="I97" i="27"/>
  <c r="G98" i="27"/>
  <c r="I98" i="27"/>
  <c r="G99" i="27"/>
  <c r="I99" i="27"/>
  <c r="K99" i="27" s="1"/>
  <c r="G100" i="27"/>
  <c r="I100" i="27"/>
  <c r="K100" i="27" s="1"/>
  <c r="R2" i="27"/>
  <c r="R3" i="27"/>
  <c r="R4" i="27"/>
  <c r="R5" i="27"/>
  <c r="R6" i="27"/>
  <c r="R7" i="27"/>
  <c r="R8" i="27"/>
  <c r="R9" i="27"/>
  <c r="R10" i="27"/>
  <c r="R11" i="27"/>
  <c r="R12" i="27"/>
  <c r="R13" i="27"/>
  <c r="R14" i="27"/>
  <c r="R15" i="27"/>
  <c r="R16" i="27"/>
  <c r="R17" i="27"/>
  <c r="R18" i="27"/>
  <c r="R19" i="27"/>
  <c r="R20" i="27"/>
  <c r="R21" i="27"/>
  <c r="R22" i="27"/>
  <c r="R23" i="27"/>
  <c r="R24" i="27"/>
  <c r="R25" i="27"/>
  <c r="R26" i="27"/>
  <c r="R27" i="27"/>
  <c r="R28" i="27"/>
  <c r="R29" i="27"/>
  <c r="R30" i="27"/>
  <c r="R31" i="27"/>
  <c r="R32" i="27"/>
  <c r="R33" i="27"/>
  <c r="R34" i="27"/>
  <c r="R35" i="27"/>
  <c r="R36" i="27"/>
  <c r="R37" i="27"/>
  <c r="R38" i="27"/>
  <c r="R39" i="27"/>
  <c r="R40" i="27"/>
  <c r="R41" i="27"/>
  <c r="R42" i="27"/>
  <c r="R43" i="27"/>
  <c r="R44" i="27"/>
  <c r="R45" i="27"/>
  <c r="R46" i="27"/>
  <c r="R47" i="27"/>
  <c r="R48" i="27"/>
  <c r="R49" i="27"/>
  <c r="R50" i="27"/>
  <c r="R51" i="27"/>
  <c r="R52" i="27"/>
  <c r="R53" i="27"/>
  <c r="R54" i="27"/>
  <c r="R55" i="27"/>
  <c r="R56" i="27"/>
  <c r="R57" i="27"/>
  <c r="R58" i="27"/>
  <c r="R59" i="27"/>
  <c r="R60" i="27"/>
  <c r="R61" i="27"/>
  <c r="R62" i="27"/>
  <c r="R63" i="27"/>
  <c r="R64" i="27"/>
  <c r="R65" i="27"/>
  <c r="R66" i="27"/>
  <c r="R67" i="27"/>
  <c r="R68" i="27"/>
  <c r="R69" i="27"/>
  <c r="R70" i="27"/>
  <c r="R71" i="27"/>
  <c r="R72" i="27"/>
  <c r="R73" i="27"/>
  <c r="R74" i="27"/>
  <c r="R75" i="27"/>
  <c r="R76" i="27"/>
  <c r="R77" i="27"/>
  <c r="R78" i="27"/>
  <c r="R79" i="27"/>
  <c r="R80" i="27"/>
  <c r="R81" i="27"/>
  <c r="R82" i="27"/>
  <c r="R83" i="27"/>
  <c r="R84" i="27"/>
  <c r="R85" i="27"/>
  <c r="R86" i="27"/>
  <c r="R87" i="27"/>
  <c r="R88" i="27"/>
  <c r="R89" i="27"/>
  <c r="R90" i="27"/>
  <c r="R91" i="27"/>
  <c r="R92" i="27"/>
  <c r="R93" i="27"/>
  <c r="R94" i="27"/>
  <c r="R95" i="27"/>
  <c r="R96" i="27"/>
  <c r="R97" i="27"/>
  <c r="R98" i="27"/>
  <c r="R99" i="27"/>
  <c r="R100" i="27"/>
  <c r="P2" i="27"/>
  <c r="P3" i="27"/>
  <c r="P4" i="27"/>
  <c r="P5" i="27"/>
  <c r="P6" i="27"/>
  <c r="P7" i="27"/>
  <c r="P8" i="27"/>
  <c r="P9" i="27"/>
  <c r="P10" i="27"/>
  <c r="P11" i="27"/>
  <c r="P12" i="27"/>
  <c r="P13" i="27"/>
  <c r="P14" i="27"/>
  <c r="P15" i="27"/>
  <c r="P16" i="27"/>
  <c r="P17" i="27"/>
  <c r="P18" i="27"/>
  <c r="P19" i="27"/>
  <c r="P20" i="27"/>
  <c r="P21" i="27"/>
  <c r="P22" i="27"/>
  <c r="P23" i="27"/>
  <c r="P24" i="27"/>
  <c r="P25" i="27"/>
  <c r="P26" i="27"/>
  <c r="P27" i="27"/>
  <c r="P28" i="27"/>
  <c r="P29" i="27"/>
  <c r="P30" i="27"/>
  <c r="P31" i="27"/>
  <c r="P32" i="27"/>
  <c r="P33" i="27"/>
  <c r="P34" i="27"/>
  <c r="P35" i="27"/>
  <c r="P36" i="27"/>
  <c r="P37" i="27"/>
  <c r="P38" i="27"/>
  <c r="P39" i="27"/>
  <c r="P40" i="27"/>
  <c r="P41" i="27"/>
  <c r="P42" i="27"/>
  <c r="P43" i="27"/>
  <c r="P44" i="27"/>
  <c r="P45" i="27"/>
  <c r="P46" i="27"/>
  <c r="P47" i="27"/>
  <c r="P48" i="27"/>
  <c r="P49" i="27"/>
  <c r="P50" i="27"/>
  <c r="P51" i="27"/>
  <c r="P52" i="27"/>
  <c r="P53" i="27"/>
  <c r="P54" i="27"/>
  <c r="P55" i="27"/>
  <c r="P56" i="27"/>
  <c r="P57" i="27"/>
  <c r="P58" i="27"/>
  <c r="P59" i="27"/>
  <c r="P60" i="27"/>
  <c r="P61" i="27"/>
  <c r="P62" i="27"/>
  <c r="P63" i="27"/>
  <c r="P64" i="27"/>
  <c r="P65" i="27"/>
  <c r="P66" i="27"/>
  <c r="P67" i="27"/>
  <c r="P68" i="27"/>
  <c r="P69" i="27"/>
  <c r="P70" i="27"/>
  <c r="P71" i="27"/>
  <c r="P72" i="27"/>
  <c r="P73" i="27"/>
  <c r="P74" i="27"/>
  <c r="P75" i="27"/>
  <c r="P76" i="27"/>
  <c r="P77" i="27"/>
  <c r="P78" i="27"/>
  <c r="P79" i="27"/>
  <c r="P80" i="27"/>
  <c r="P81" i="27"/>
  <c r="P82" i="27"/>
  <c r="P83" i="27"/>
  <c r="P84" i="27"/>
  <c r="P85" i="27"/>
  <c r="P86" i="27"/>
  <c r="P87" i="27"/>
  <c r="P88" i="27"/>
  <c r="P89" i="27"/>
  <c r="P90" i="27"/>
  <c r="P91" i="27"/>
  <c r="P92" i="27"/>
  <c r="P93" i="27"/>
  <c r="P94" i="27"/>
  <c r="P95" i="27"/>
  <c r="P96" i="27"/>
  <c r="P97" i="27"/>
  <c r="P98" i="27"/>
  <c r="P99" i="27"/>
  <c r="P100" i="27"/>
  <c r="AD2" i="27"/>
  <c r="AD15" i="27"/>
  <c r="AD3" i="27"/>
  <c r="AD16" i="27"/>
  <c r="AD4" i="27"/>
  <c r="AD17" i="27"/>
  <c r="AD5" i="27"/>
  <c r="AD18" i="27"/>
  <c r="AH15" i="27" a="1"/>
  <c r="AH15" i="27"/>
  <c r="AE15" i="27"/>
  <c r="AF15" i="27"/>
  <c r="AG15" i="27"/>
  <c r="AJ15" i="27"/>
  <c r="AL15" i="27" s="1"/>
  <c r="AK15" i="27"/>
  <c r="AM15" i="27" s="1"/>
  <c r="AN15" i="27"/>
  <c r="AH16" i="27" a="1"/>
  <c r="AH16" i="27"/>
  <c r="AE16" i="27"/>
  <c r="AF16" i="27"/>
  <c r="AG16" i="27"/>
  <c r="AJ16" i="27"/>
  <c r="AL16" i="27" s="1"/>
  <c r="AK16" i="27"/>
  <c r="AM16" i="27" s="1"/>
  <c r="AN16" i="27"/>
  <c r="AH17" i="27" a="1"/>
  <c r="AH17" i="27"/>
  <c r="AE17" i="27"/>
  <c r="AF17" i="27"/>
  <c r="AG17" i="27"/>
  <c r="AJ17" i="27"/>
  <c r="AL17" i="27" s="1"/>
  <c r="AK17" i="27"/>
  <c r="AM17" i="27" s="1"/>
  <c r="AN17" i="27"/>
  <c r="AH18" i="27" a="1"/>
  <c r="AH18" i="27"/>
  <c r="AE18" i="27"/>
  <c r="AF18" i="27"/>
  <c r="AG18" i="27"/>
  <c r="AJ18" i="27"/>
  <c r="AK18" i="27"/>
  <c r="AL18" i="27"/>
  <c r="AM18" i="27"/>
  <c r="AN18" i="27"/>
  <c r="AD6" i="27"/>
  <c r="AD19" i="27"/>
  <c r="AH19" i="27" a="1"/>
  <c r="AH19" i="27"/>
  <c r="AE19" i="27"/>
  <c r="AF19" i="27"/>
  <c r="AG19" i="27"/>
  <c r="AJ19" i="27"/>
  <c r="AK19" i="27"/>
  <c r="AL19" i="27"/>
  <c r="AM19" i="27"/>
  <c r="AN19" i="27"/>
  <c r="AD7" i="27"/>
  <c r="AD20" i="27"/>
  <c r="AH20" i="27" a="1"/>
  <c r="AH20" i="27"/>
  <c r="AE20" i="27"/>
  <c r="AF20" i="27"/>
  <c r="AG20" i="27"/>
  <c r="AJ20" i="27"/>
  <c r="AK20" i="27"/>
  <c r="AL20" i="27"/>
  <c r="AM20" i="27"/>
  <c r="AN20" i="27"/>
  <c r="AD8" i="27"/>
  <c r="AD21" i="27"/>
  <c r="AH21" i="27" a="1"/>
  <c r="AH21" i="27"/>
  <c r="AE21" i="27"/>
  <c r="AF21" i="27"/>
  <c r="AG21" i="27"/>
  <c r="AJ21" i="27"/>
  <c r="AK21" i="27"/>
  <c r="AL21" i="27"/>
  <c r="AM21" i="27"/>
  <c r="AN21" i="27"/>
  <c r="AD9" i="27"/>
  <c r="AD22" i="27"/>
  <c r="AH22" i="27" a="1"/>
  <c r="AH22" i="27"/>
  <c r="AE22" i="27"/>
  <c r="AF22" i="27"/>
  <c r="AG22" i="27"/>
  <c r="AJ22" i="27"/>
  <c r="AK22" i="27"/>
  <c r="AL22" i="27"/>
  <c r="AM22" i="27"/>
  <c r="AN22" i="27"/>
  <c r="AD10" i="27"/>
  <c r="AD23" i="27"/>
  <c r="AH23" i="27" a="1"/>
  <c r="AH23" i="27"/>
  <c r="AE23" i="27"/>
  <c r="AF23" i="27"/>
  <c r="AG23" i="27"/>
  <c r="AJ23" i="27"/>
  <c r="AK23" i="27"/>
  <c r="AL23" i="27"/>
  <c r="AM23" i="27"/>
  <c r="AN23" i="27"/>
  <c r="AD11" i="27"/>
  <c r="AD24" i="27"/>
  <c r="AH24" i="27" a="1"/>
  <c r="AH24" i="27"/>
  <c r="AE24" i="27"/>
  <c r="AF24" i="27"/>
  <c r="AG24" i="27"/>
  <c r="AJ24" i="27"/>
  <c r="AK24" i="27"/>
  <c r="AL24" i="27"/>
  <c r="AM24" i="27"/>
  <c r="AN24" i="27"/>
  <c r="AD12" i="27"/>
  <c r="AD25" i="27"/>
  <c r="AH25" i="27" a="1"/>
  <c r="AH25" i="27"/>
  <c r="AE25" i="27"/>
  <c r="AF25" i="27"/>
  <c r="AG25" i="27"/>
  <c r="AJ25" i="27"/>
  <c r="AK25" i="27"/>
  <c r="AL25" i="27"/>
  <c r="AM25" i="27"/>
  <c r="AN25" i="27"/>
  <c r="C2" i="27"/>
  <c r="C3" i="27"/>
  <c r="C4" i="27"/>
  <c r="C5" i="27"/>
  <c r="C6" i="27"/>
  <c r="C7" i="27"/>
  <c r="C8" i="27"/>
  <c r="C9" i="27"/>
  <c r="C10" i="27"/>
  <c r="C11" i="27"/>
  <c r="C12" i="27"/>
  <c r="C13" i="27"/>
  <c r="C14" i="27"/>
  <c r="C15" i="27"/>
  <c r="C16" i="27"/>
  <c r="C17" i="27"/>
  <c r="C18" i="27"/>
  <c r="C19" i="27"/>
  <c r="C20" i="27"/>
  <c r="C21" i="27"/>
  <c r="C22" i="27"/>
  <c r="C23" i="27"/>
  <c r="C24" i="27"/>
  <c r="C25" i="27"/>
  <c r="C26" i="27"/>
  <c r="C27" i="27"/>
  <c r="C28" i="27"/>
  <c r="C29" i="27"/>
  <c r="C30" i="27"/>
  <c r="C31" i="27"/>
  <c r="C32" i="27"/>
  <c r="C33" i="27"/>
  <c r="C34" i="27"/>
  <c r="C35" i="27"/>
  <c r="C36" i="27"/>
  <c r="C37" i="27"/>
  <c r="C38" i="27"/>
  <c r="C39" i="27"/>
  <c r="C40" i="27"/>
  <c r="C41" i="27"/>
  <c r="C42" i="27"/>
  <c r="C43" i="27"/>
  <c r="C44" i="27"/>
  <c r="C45" i="27"/>
  <c r="C46" i="27"/>
  <c r="C47" i="27"/>
  <c r="C48" i="27"/>
  <c r="C49" i="27"/>
  <c r="C50" i="27"/>
  <c r="C51" i="27"/>
  <c r="C52" i="27"/>
  <c r="C53" i="27"/>
  <c r="C54" i="27"/>
  <c r="C55" i="27"/>
  <c r="C56" i="27"/>
  <c r="C57" i="27"/>
  <c r="C58" i="27"/>
  <c r="C59" i="27"/>
  <c r="C60" i="27"/>
  <c r="C61" i="27"/>
  <c r="C62" i="27"/>
  <c r="C63" i="27"/>
  <c r="C64" i="27"/>
  <c r="C65" i="27"/>
  <c r="C66" i="27"/>
  <c r="C67" i="27"/>
  <c r="C68" i="27"/>
  <c r="C69" i="27"/>
  <c r="C70" i="27"/>
  <c r="C71" i="27"/>
  <c r="C72" i="27"/>
  <c r="C73" i="27"/>
  <c r="C74" i="27"/>
  <c r="C75" i="27"/>
  <c r="C76" i="27"/>
  <c r="C77" i="27"/>
  <c r="C78" i="27"/>
  <c r="C79" i="27"/>
  <c r="C80" i="27"/>
  <c r="C81" i="27"/>
  <c r="C82" i="27"/>
  <c r="C83" i="27"/>
  <c r="C84" i="27"/>
  <c r="C85" i="27"/>
  <c r="C86" i="27"/>
  <c r="C87" i="27"/>
  <c r="C88" i="27"/>
  <c r="C89" i="27"/>
  <c r="C90" i="27"/>
  <c r="C91" i="27"/>
  <c r="C92" i="27"/>
  <c r="C93" i="27"/>
  <c r="C94" i="27"/>
  <c r="C95" i="27"/>
  <c r="C96" i="27"/>
  <c r="C97" i="27"/>
  <c r="C98" i="27"/>
  <c r="C99" i="27"/>
  <c r="C100" i="27"/>
  <c r="C14" i="25"/>
  <c r="C15" i="25"/>
  <c r="C16" i="25"/>
  <c r="C17" i="25"/>
  <c r="C18" i="25"/>
  <c r="C19" i="25"/>
  <c r="C20" i="25"/>
  <c r="C21" i="25"/>
  <c r="S2" i="27"/>
  <c r="S3" i="27"/>
  <c r="S4" i="27"/>
  <c r="S5" i="27"/>
  <c r="S6" i="27"/>
  <c r="S7" i="27"/>
  <c r="S8" i="27"/>
  <c r="S9" i="27"/>
  <c r="S10" i="27"/>
  <c r="S11" i="27"/>
  <c r="S12" i="27"/>
  <c r="S13" i="27"/>
  <c r="S14" i="27"/>
  <c r="S15" i="27"/>
  <c r="S16" i="27"/>
  <c r="S17" i="27"/>
  <c r="S18" i="27"/>
  <c r="S19" i="27"/>
  <c r="S20" i="27"/>
  <c r="S21" i="27"/>
  <c r="S22" i="27"/>
  <c r="S23" i="27"/>
  <c r="S24" i="27"/>
  <c r="S25" i="27"/>
  <c r="S26" i="27"/>
  <c r="S27" i="27"/>
  <c r="S28" i="27"/>
  <c r="S29" i="27"/>
  <c r="S30" i="27"/>
  <c r="S31" i="27"/>
  <c r="S32" i="27"/>
  <c r="S33" i="27"/>
  <c r="S34" i="27"/>
  <c r="S35" i="27"/>
  <c r="S36" i="27"/>
  <c r="S37" i="27"/>
  <c r="S38" i="27"/>
  <c r="S39" i="27"/>
  <c r="S40" i="27"/>
  <c r="S41" i="27"/>
  <c r="S42" i="27"/>
  <c r="S43" i="27"/>
  <c r="S44" i="27"/>
  <c r="S45" i="27"/>
  <c r="S46" i="27"/>
  <c r="S47" i="27"/>
  <c r="S48" i="27"/>
  <c r="S49" i="27"/>
  <c r="S50" i="27"/>
  <c r="S51" i="27"/>
  <c r="S52" i="27"/>
  <c r="S53" i="27"/>
  <c r="S54" i="27"/>
  <c r="S55" i="27"/>
  <c r="S56" i="27"/>
  <c r="S57" i="27"/>
  <c r="S58" i="27"/>
  <c r="S59" i="27"/>
  <c r="S60" i="27"/>
  <c r="S61" i="27"/>
  <c r="S62" i="27"/>
  <c r="S63" i="27"/>
  <c r="S64" i="27"/>
  <c r="S65" i="27"/>
  <c r="S66" i="27"/>
  <c r="S67" i="27"/>
  <c r="S68" i="27"/>
  <c r="S69" i="27"/>
  <c r="S70" i="27"/>
  <c r="S71" i="27"/>
  <c r="S72" i="27"/>
  <c r="S73" i="27"/>
  <c r="S74" i="27"/>
  <c r="S75" i="27"/>
  <c r="S76" i="27"/>
  <c r="S77" i="27"/>
  <c r="S78" i="27"/>
  <c r="S79" i="27"/>
  <c r="S80" i="27"/>
  <c r="S81" i="27"/>
  <c r="S82" i="27"/>
  <c r="S83" i="27"/>
  <c r="S84" i="27"/>
  <c r="S85" i="27"/>
  <c r="S86" i="27"/>
  <c r="S87" i="27"/>
  <c r="S88" i="27"/>
  <c r="S89" i="27"/>
  <c r="S90" i="27"/>
  <c r="S91" i="27"/>
  <c r="S92" i="27"/>
  <c r="S93" i="27"/>
  <c r="S94" i="27"/>
  <c r="S95" i="27"/>
  <c r="S96" i="27"/>
  <c r="S97" i="27"/>
  <c r="S98" i="27"/>
  <c r="S99" i="27"/>
  <c r="S100" i="27"/>
  <c r="F2" i="27"/>
  <c r="J2" i="27" s="1"/>
  <c r="H2" i="27"/>
  <c r="F3" i="27"/>
  <c r="H3" i="27"/>
  <c r="F4" i="27"/>
  <c r="H4" i="27"/>
  <c r="F5" i="27"/>
  <c r="H5" i="27"/>
  <c r="J5" i="27"/>
  <c r="F6" i="27"/>
  <c r="H6" i="27"/>
  <c r="F7" i="27"/>
  <c r="H7" i="27"/>
  <c r="F8" i="27"/>
  <c r="H8" i="27"/>
  <c r="J8" i="27" s="1"/>
  <c r="F9" i="27"/>
  <c r="J9" i="27" s="1"/>
  <c r="H9" i="27"/>
  <c r="F10" i="27"/>
  <c r="H10" i="27"/>
  <c r="F11" i="27"/>
  <c r="J11" i="27" s="1"/>
  <c r="H11" i="27"/>
  <c r="F12" i="27"/>
  <c r="H12" i="27"/>
  <c r="J12" i="27" s="1"/>
  <c r="F13" i="27"/>
  <c r="J13" i="27" s="1"/>
  <c r="H13" i="27"/>
  <c r="F14" i="27"/>
  <c r="H14" i="27"/>
  <c r="F15" i="27"/>
  <c r="H15" i="27"/>
  <c r="F16" i="27"/>
  <c r="H16" i="27"/>
  <c r="J16" i="27" s="1"/>
  <c r="F17" i="27"/>
  <c r="H17" i="27"/>
  <c r="J17" i="27"/>
  <c r="F18" i="27"/>
  <c r="J18" i="27" s="1"/>
  <c r="H18" i="27"/>
  <c r="F19" i="27"/>
  <c r="H19" i="27"/>
  <c r="F20" i="27"/>
  <c r="H20" i="27"/>
  <c r="F21" i="27"/>
  <c r="H21" i="27"/>
  <c r="J21" i="27"/>
  <c r="F22" i="27"/>
  <c r="H22" i="27"/>
  <c r="F23" i="27"/>
  <c r="H23" i="27"/>
  <c r="F24" i="27"/>
  <c r="H24" i="27"/>
  <c r="J24" i="27" s="1"/>
  <c r="F25" i="27"/>
  <c r="J25" i="27" s="1"/>
  <c r="H25" i="27"/>
  <c r="F26" i="27"/>
  <c r="H26" i="27"/>
  <c r="F27" i="27"/>
  <c r="J27" i="27" s="1"/>
  <c r="H27" i="27"/>
  <c r="F28" i="27"/>
  <c r="H28" i="27"/>
  <c r="J28" i="27" s="1"/>
  <c r="F29" i="27"/>
  <c r="J29" i="27" s="1"/>
  <c r="H29" i="27"/>
  <c r="F30" i="27"/>
  <c r="H30" i="27"/>
  <c r="F31" i="27"/>
  <c r="H31" i="27"/>
  <c r="F32" i="27"/>
  <c r="H32" i="27"/>
  <c r="J32" i="27" s="1"/>
  <c r="F33" i="27"/>
  <c r="H33" i="27"/>
  <c r="J33" i="27"/>
  <c r="F34" i="27"/>
  <c r="J34" i="27" s="1"/>
  <c r="H34" i="27"/>
  <c r="F35" i="27"/>
  <c r="H35" i="27"/>
  <c r="F36" i="27"/>
  <c r="H36" i="27"/>
  <c r="F37" i="27"/>
  <c r="H37" i="27"/>
  <c r="J37" i="27"/>
  <c r="F38" i="27"/>
  <c r="H38" i="27"/>
  <c r="F39" i="27"/>
  <c r="H39" i="27"/>
  <c r="F40" i="27"/>
  <c r="H40" i="27"/>
  <c r="J40" i="27" s="1"/>
  <c r="F41" i="27"/>
  <c r="J41" i="27" s="1"/>
  <c r="H41" i="27"/>
  <c r="F42" i="27"/>
  <c r="H42" i="27"/>
  <c r="F43" i="27"/>
  <c r="J43" i="27" s="1"/>
  <c r="H43" i="27"/>
  <c r="F44" i="27"/>
  <c r="H44" i="27"/>
  <c r="J44" i="27" s="1"/>
  <c r="F45" i="27"/>
  <c r="J45" i="27" s="1"/>
  <c r="H45" i="27"/>
  <c r="F46" i="27"/>
  <c r="H46" i="27"/>
  <c r="F47" i="27"/>
  <c r="H47" i="27"/>
  <c r="F48" i="27"/>
  <c r="H48" i="27"/>
  <c r="J48" i="27" s="1"/>
  <c r="F49" i="27"/>
  <c r="H49" i="27"/>
  <c r="J49" i="27"/>
  <c r="F50" i="27"/>
  <c r="J50" i="27" s="1"/>
  <c r="H50" i="27"/>
  <c r="F51" i="27"/>
  <c r="H51" i="27"/>
  <c r="F52" i="27"/>
  <c r="H52" i="27"/>
  <c r="F53" i="27"/>
  <c r="H53" i="27"/>
  <c r="J53" i="27"/>
  <c r="F54" i="27"/>
  <c r="H54" i="27"/>
  <c r="F55" i="27"/>
  <c r="H55" i="27"/>
  <c r="F56" i="27"/>
  <c r="H56" i="27"/>
  <c r="J56" i="27" s="1"/>
  <c r="F57" i="27"/>
  <c r="J57" i="27" s="1"/>
  <c r="H57" i="27"/>
  <c r="F58" i="27"/>
  <c r="H58" i="27"/>
  <c r="F59" i="27"/>
  <c r="J59" i="27" s="1"/>
  <c r="H59" i="27"/>
  <c r="F60" i="27"/>
  <c r="H60" i="27"/>
  <c r="J60" i="27" s="1"/>
  <c r="F61" i="27"/>
  <c r="J61" i="27" s="1"/>
  <c r="H61" i="27"/>
  <c r="F62" i="27"/>
  <c r="H62" i="27"/>
  <c r="F63" i="27"/>
  <c r="H63" i="27"/>
  <c r="F64" i="27"/>
  <c r="H64" i="27"/>
  <c r="J64" i="27" s="1"/>
  <c r="F65" i="27"/>
  <c r="H65" i="27"/>
  <c r="J65" i="27"/>
  <c r="F66" i="27"/>
  <c r="J66" i="27" s="1"/>
  <c r="H66" i="27"/>
  <c r="F67" i="27"/>
  <c r="H67" i="27"/>
  <c r="F68" i="27"/>
  <c r="H68" i="27"/>
  <c r="F69" i="27"/>
  <c r="H69" i="27"/>
  <c r="J69" i="27"/>
  <c r="F70" i="27"/>
  <c r="H70" i="27"/>
  <c r="F71" i="27"/>
  <c r="H71" i="27"/>
  <c r="F72" i="27"/>
  <c r="H72" i="27"/>
  <c r="J72" i="27" s="1"/>
  <c r="F73" i="27"/>
  <c r="J73" i="27" s="1"/>
  <c r="H73" i="27"/>
  <c r="F74" i="27"/>
  <c r="H74" i="27"/>
  <c r="F75" i="27"/>
  <c r="J75" i="27" s="1"/>
  <c r="H75" i="27"/>
  <c r="F76" i="27"/>
  <c r="H76" i="27"/>
  <c r="J76" i="27" s="1"/>
  <c r="F77" i="27"/>
  <c r="J77" i="27" s="1"/>
  <c r="H77" i="27"/>
  <c r="F78" i="27"/>
  <c r="H78" i="27"/>
  <c r="F79" i="27"/>
  <c r="H79" i="27"/>
  <c r="F80" i="27"/>
  <c r="H80" i="27"/>
  <c r="J80" i="27" s="1"/>
  <c r="F81" i="27"/>
  <c r="H81" i="27"/>
  <c r="J81" i="27"/>
  <c r="F82" i="27"/>
  <c r="J82" i="27" s="1"/>
  <c r="H82" i="27"/>
  <c r="F83" i="27"/>
  <c r="H83" i="27"/>
  <c r="F84" i="27"/>
  <c r="H84" i="27"/>
  <c r="F85" i="27"/>
  <c r="H85" i="27"/>
  <c r="J85" i="27"/>
  <c r="F86" i="27"/>
  <c r="H86" i="27"/>
  <c r="F87" i="27"/>
  <c r="H87" i="27"/>
  <c r="F88" i="27"/>
  <c r="H88" i="27"/>
  <c r="J88" i="27" s="1"/>
  <c r="F89" i="27"/>
  <c r="J89" i="27" s="1"/>
  <c r="H89" i="27"/>
  <c r="F90" i="27"/>
  <c r="H90" i="27"/>
  <c r="F91" i="27"/>
  <c r="J91" i="27" s="1"/>
  <c r="H91" i="27"/>
  <c r="F92" i="27"/>
  <c r="H92" i="27"/>
  <c r="J92" i="27" s="1"/>
  <c r="F93" i="27"/>
  <c r="J93" i="27" s="1"/>
  <c r="H93" i="27"/>
  <c r="F94" i="27"/>
  <c r="H94" i="27"/>
  <c r="F95" i="27"/>
  <c r="H95" i="27"/>
  <c r="F96" i="27"/>
  <c r="H96" i="27"/>
  <c r="J96" i="27" s="1"/>
  <c r="F97" i="27"/>
  <c r="H97" i="27"/>
  <c r="J97" i="27"/>
  <c r="F98" i="27"/>
  <c r="J98" i="27" s="1"/>
  <c r="H98" i="27"/>
  <c r="F99" i="27"/>
  <c r="H99" i="27"/>
  <c r="F100" i="27"/>
  <c r="H100" i="27"/>
  <c r="Q2" i="27"/>
  <c r="Q3" i="27"/>
  <c r="Q4" i="27"/>
  <c r="Q5" i="27"/>
  <c r="Q6" i="27"/>
  <c r="Q7" i="27"/>
  <c r="Q8" i="27"/>
  <c r="Q9" i="27"/>
  <c r="Q10" i="27"/>
  <c r="Q11" i="27"/>
  <c r="Q12" i="27"/>
  <c r="Q13" i="27"/>
  <c r="Q14" i="27"/>
  <c r="Q15" i="27"/>
  <c r="Q16" i="27"/>
  <c r="Q17" i="27"/>
  <c r="Q18" i="27"/>
  <c r="Q19" i="27"/>
  <c r="Q20" i="27"/>
  <c r="Q21" i="27"/>
  <c r="Q22" i="27"/>
  <c r="Q23" i="27"/>
  <c r="Q24" i="27"/>
  <c r="Q25" i="27"/>
  <c r="Q26" i="27"/>
  <c r="Q27" i="27"/>
  <c r="Q28" i="27"/>
  <c r="Q29" i="27"/>
  <c r="Q30" i="27"/>
  <c r="Q31" i="27"/>
  <c r="Q32" i="27"/>
  <c r="Q33" i="27"/>
  <c r="Q34" i="27"/>
  <c r="Q35" i="27"/>
  <c r="Q36" i="27"/>
  <c r="Q37" i="27"/>
  <c r="Q38" i="27"/>
  <c r="Q39" i="27"/>
  <c r="Q40" i="27"/>
  <c r="Q41" i="27"/>
  <c r="Q42" i="27"/>
  <c r="Q43" i="27"/>
  <c r="Q44" i="27"/>
  <c r="Q45" i="27"/>
  <c r="Q46" i="27"/>
  <c r="Q47" i="27"/>
  <c r="Q48" i="27"/>
  <c r="Q49" i="27"/>
  <c r="Q50" i="27"/>
  <c r="Q51" i="27"/>
  <c r="Q52" i="27"/>
  <c r="Q53" i="27"/>
  <c r="Q54" i="27"/>
  <c r="Q55" i="27"/>
  <c r="Q56" i="27"/>
  <c r="Q57" i="27"/>
  <c r="Q58" i="27"/>
  <c r="Q59" i="27"/>
  <c r="Q60" i="27"/>
  <c r="Q61" i="27"/>
  <c r="Q62" i="27"/>
  <c r="Q63" i="27"/>
  <c r="Q64" i="27"/>
  <c r="Q65" i="27"/>
  <c r="Q66" i="27"/>
  <c r="Q67" i="27"/>
  <c r="Q68" i="27"/>
  <c r="Q69" i="27"/>
  <c r="Q70" i="27"/>
  <c r="Q71" i="27"/>
  <c r="Q72" i="27"/>
  <c r="Q73" i="27"/>
  <c r="Q74" i="27"/>
  <c r="Q75" i="27"/>
  <c r="Q76" i="27"/>
  <c r="Q77" i="27"/>
  <c r="Q78" i="27"/>
  <c r="Q79" i="27"/>
  <c r="Q80" i="27"/>
  <c r="Q81" i="27"/>
  <c r="Q82" i="27"/>
  <c r="Q83" i="27"/>
  <c r="Q84" i="27"/>
  <c r="Q85" i="27"/>
  <c r="Q86" i="27"/>
  <c r="Q87" i="27"/>
  <c r="Q88" i="27"/>
  <c r="Q89" i="27"/>
  <c r="Q90" i="27"/>
  <c r="Q91" i="27"/>
  <c r="Q92" i="27"/>
  <c r="Q93" i="27"/>
  <c r="Q94" i="27"/>
  <c r="Q95" i="27"/>
  <c r="Q96" i="27"/>
  <c r="Q97" i="27"/>
  <c r="Q98" i="27"/>
  <c r="Q99" i="27"/>
  <c r="Q100" i="27"/>
  <c r="O2" i="27"/>
  <c r="O3" i="27"/>
  <c r="O4" i="27"/>
  <c r="O5" i="27"/>
  <c r="O6" i="27"/>
  <c r="O7" i="27"/>
  <c r="O8" i="27"/>
  <c r="O9" i="27"/>
  <c r="O10" i="27"/>
  <c r="O11" i="27"/>
  <c r="O12" i="27"/>
  <c r="O13" i="27"/>
  <c r="O14" i="27"/>
  <c r="O15" i="27"/>
  <c r="O16" i="27"/>
  <c r="O17" i="27"/>
  <c r="O18" i="27"/>
  <c r="O19" i="27"/>
  <c r="O20" i="27"/>
  <c r="O21" i="27"/>
  <c r="O22" i="27"/>
  <c r="O23" i="27"/>
  <c r="O24" i="27"/>
  <c r="O25" i="27"/>
  <c r="O26" i="27"/>
  <c r="O27" i="27"/>
  <c r="O28" i="27"/>
  <c r="O29" i="27"/>
  <c r="O30" i="27"/>
  <c r="O31" i="27"/>
  <c r="O32" i="27"/>
  <c r="O33" i="27"/>
  <c r="O34" i="27"/>
  <c r="O35" i="27"/>
  <c r="O36" i="27"/>
  <c r="O37" i="27"/>
  <c r="O38" i="27"/>
  <c r="O39" i="27"/>
  <c r="O40" i="27"/>
  <c r="O41" i="27"/>
  <c r="O42" i="27"/>
  <c r="O43" i="27"/>
  <c r="O44" i="27"/>
  <c r="O45" i="27"/>
  <c r="O46" i="27"/>
  <c r="O47" i="27"/>
  <c r="O48" i="27"/>
  <c r="O49" i="27"/>
  <c r="O50" i="27"/>
  <c r="O51" i="27"/>
  <c r="O52" i="27"/>
  <c r="O53" i="27"/>
  <c r="O54" i="27"/>
  <c r="O55" i="27"/>
  <c r="O56" i="27"/>
  <c r="O57" i="27"/>
  <c r="O58" i="27"/>
  <c r="O59" i="27"/>
  <c r="O60" i="27"/>
  <c r="O61" i="27"/>
  <c r="O62" i="27"/>
  <c r="O63" i="27"/>
  <c r="O64" i="27"/>
  <c r="O65" i="27"/>
  <c r="O66" i="27"/>
  <c r="O67" i="27"/>
  <c r="O68" i="27"/>
  <c r="O69" i="27"/>
  <c r="O70" i="27"/>
  <c r="O71" i="27"/>
  <c r="O72" i="27"/>
  <c r="O73" i="27"/>
  <c r="O74" i="27"/>
  <c r="O75" i="27"/>
  <c r="O76" i="27"/>
  <c r="O77" i="27"/>
  <c r="O78" i="27"/>
  <c r="O79" i="27"/>
  <c r="O80" i="27"/>
  <c r="O81" i="27"/>
  <c r="O82" i="27"/>
  <c r="O83" i="27"/>
  <c r="O84" i="27"/>
  <c r="O85" i="27"/>
  <c r="O86" i="27"/>
  <c r="O87" i="27"/>
  <c r="O88" i="27"/>
  <c r="O89" i="27"/>
  <c r="O90" i="27"/>
  <c r="O91" i="27"/>
  <c r="O92" i="27"/>
  <c r="O93" i="27"/>
  <c r="O94" i="27"/>
  <c r="O95" i="27"/>
  <c r="O96" i="27"/>
  <c r="O97" i="27"/>
  <c r="O98" i="27"/>
  <c r="O99" i="27"/>
  <c r="O100" i="27"/>
  <c r="H45" i="25" a="1"/>
  <c r="H45" i="25" s="1"/>
  <c r="A2" i="40" a="1"/>
  <c r="A2" i="40"/>
  <c r="A2" i="41" a="1"/>
  <c r="A2" i="41"/>
  <c r="A1" i="41"/>
  <c r="A147" i="11" a="1"/>
  <c r="A147" i="11" s="1"/>
  <c r="B147" i="11" s="1" a="1"/>
  <c r="B147" i="11" s="1"/>
  <c r="B175" i="11" s="1"/>
  <c r="B161" i="11" s="1" a="1"/>
  <c r="B161" i="11" s="1"/>
  <c r="C1" i="40"/>
  <c r="C1" i="41" s="1"/>
  <c r="AK2" i="41"/>
  <c r="D1" i="40"/>
  <c r="D1" i="41" s="1"/>
  <c r="AL2" i="41"/>
  <c r="E1" i="40"/>
  <c r="E1" i="41" s="1"/>
  <c r="AM2" i="41"/>
  <c r="F1" i="40"/>
  <c r="F1" i="41" s="1"/>
  <c r="AN2" i="41"/>
  <c r="G1" i="40"/>
  <c r="G1" i="41" s="1"/>
  <c r="AO2" i="41"/>
  <c r="H1" i="40"/>
  <c r="H1" i="41" s="1"/>
  <c r="AP2" i="41"/>
  <c r="I1" i="40"/>
  <c r="I1" i="41" s="1"/>
  <c r="AQ2" i="41"/>
  <c r="J1" i="40"/>
  <c r="J1" i="41" s="1"/>
  <c r="AR2" i="41"/>
  <c r="K1" i="40"/>
  <c r="K1" i="41" s="1"/>
  <c r="AS2" i="41"/>
  <c r="L1" i="40"/>
  <c r="L1" i="41" s="1"/>
  <c r="AT2" i="41"/>
  <c r="M1" i="40"/>
  <c r="M1" i="41" s="1"/>
  <c r="AU2" i="41"/>
  <c r="N1" i="40"/>
  <c r="N1" i="41" s="1"/>
  <c r="AV2" i="41"/>
  <c r="O1" i="40"/>
  <c r="O1" i="41" s="1"/>
  <c r="AW2" i="41"/>
  <c r="P1" i="40"/>
  <c r="P1" i="41" s="1"/>
  <c r="AX2" i="41"/>
  <c r="Q1" i="40"/>
  <c r="Q1" i="41" s="1"/>
  <c r="AY2" i="41"/>
  <c r="R1" i="40"/>
  <c r="R1" i="41" s="1"/>
  <c r="AZ2" i="41"/>
  <c r="S1" i="40"/>
  <c r="S1" i="41" s="1"/>
  <c r="BA2" i="41"/>
  <c r="T1" i="40"/>
  <c r="T1" i="41" s="1"/>
  <c r="BB2" i="41"/>
  <c r="U1" i="40"/>
  <c r="U1" i="41" s="1"/>
  <c r="BC2" i="41"/>
  <c r="V1" i="40"/>
  <c r="V1" i="41" s="1"/>
  <c r="BD2" i="41"/>
  <c r="W1" i="40"/>
  <c r="W1" i="41" s="1"/>
  <c r="BE2" i="41"/>
  <c r="X1" i="40"/>
  <c r="X1" i="41" s="1"/>
  <c r="BF2" i="41"/>
  <c r="Y1" i="40"/>
  <c r="Y1" i="41" s="1"/>
  <c r="BG2" i="41"/>
  <c r="Z1" i="40"/>
  <c r="Z1" i="41" s="1"/>
  <c r="BH2" i="41"/>
  <c r="AA1" i="40"/>
  <c r="AA1" i="41" s="1"/>
  <c r="BI2" i="41"/>
  <c r="AB1" i="40"/>
  <c r="AB1" i="41" s="1"/>
  <c r="BJ2" i="41"/>
  <c r="AC1" i="40"/>
  <c r="AC1" i="41" s="1"/>
  <c r="BK2" i="41"/>
  <c r="AD1" i="40"/>
  <c r="AD1" i="41" s="1"/>
  <c r="BL2" i="41"/>
  <c r="AE1" i="40"/>
  <c r="AE1" i="41" s="1"/>
  <c r="BM2" i="41"/>
  <c r="AF1" i="40"/>
  <c r="AF1" i="41" s="1"/>
  <c r="BN2" i="41"/>
  <c r="AG1" i="40"/>
  <c r="AG1" i="41" s="1"/>
  <c r="BO2" i="41"/>
  <c r="AH1" i="40"/>
  <c r="AH1" i="41" s="1"/>
  <c r="BP2" i="41"/>
  <c r="AI1" i="40"/>
  <c r="AI1" i="41" s="1"/>
  <c r="BQ2" i="41"/>
  <c r="AJ1" i="40"/>
  <c r="AJ1" i="41" s="1"/>
  <c r="BR2" i="41"/>
  <c r="B1" i="41"/>
  <c r="C175" i="11"/>
  <c r="D175" i="11"/>
  <c r="E175" i="11"/>
  <c r="F175" i="11"/>
  <c r="G175" i="11"/>
  <c r="H175" i="11"/>
  <c r="I175" i="11"/>
  <c r="J175" i="11"/>
  <c r="K175" i="11"/>
  <c r="L175" i="11"/>
  <c r="M175" i="11"/>
  <c r="N175" i="11"/>
  <c r="O175" i="11"/>
  <c r="P175" i="11"/>
  <c r="Q175" i="11"/>
  <c r="R175" i="11"/>
  <c r="S175" i="11"/>
  <c r="T175" i="11"/>
  <c r="U175" i="11"/>
  <c r="V175" i="11"/>
  <c r="W175" i="11"/>
  <c r="X175" i="11"/>
  <c r="Y175" i="11"/>
  <c r="Z175" i="11"/>
  <c r="AA175" i="11"/>
  <c r="AB175" i="11"/>
  <c r="AC175" i="11"/>
  <c r="AD175" i="11"/>
  <c r="AE175" i="11"/>
  <c r="AF175" i="11"/>
  <c r="AG175" i="11"/>
  <c r="AH175" i="11"/>
  <c r="AI175" i="11"/>
  <c r="AK3" i="41"/>
  <c r="AL3" i="41"/>
  <c r="AM3" i="41"/>
  <c r="AN3" i="41"/>
  <c r="AO3" i="41"/>
  <c r="AP3" i="41"/>
  <c r="AQ3" i="41"/>
  <c r="AR3" i="41"/>
  <c r="AS3" i="41"/>
  <c r="AT3" i="41"/>
  <c r="AU3" i="41"/>
  <c r="AV3" i="41"/>
  <c r="AW3" i="41"/>
  <c r="AX3" i="41"/>
  <c r="AY3" i="41"/>
  <c r="AZ3" i="41"/>
  <c r="BA3" i="41"/>
  <c r="BB3" i="41"/>
  <c r="BC3" i="41"/>
  <c r="BD3" i="41"/>
  <c r="BE3" i="41"/>
  <c r="BF3" i="41"/>
  <c r="BG3" i="41"/>
  <c r="BH3" i="41"/>
  <c r="BI3" i="41"/>
  <c r="BJ3" i="41"/>
  <c r="BK3" i="41"/>
  <c r="BL3" i="41"/>
  <c r="BM3" i="41"/>
  <c r="BN3" i="41"/>
  <c r="BO3" i="41"/>
  <c r="BP3" i="41"/>
  <c r="BQ3" i="41"/>
  <c r="BR3" i="41"/>
  <c r="B148" i="11" a="1"/>
  <c r="B148" i="11" s="1"/>
  <c r="B176" i="11" s="1"/>
  <c r="B162" i="11" s="1" a="1"/>
  <c r="B162" i="11" s="1"/>
  <c r="C176" i="11"/>
  <c r="D176" i="11"/>
  <c r="E176" i="11"/>
  <c r="F176" i="11"/>
  <c r="G176" i="11"/>
  <c r="H176" i="11"/>
  <c r="I176" i="11"/>
  <c r="J176" i="11"/>
  <c r="K176" i="11"/>
  <c r="L176" i="11"/>
  <c r="M176" i="11"/>
  <c r="N176" i="11"/>
  <c r="O176" i="11"/>
  <c r="P176" i="11"/>
  <c r="Q176" i="11"/>
  <c r="R176" i="11"/>
  <c r="S176" i="11"/>
  <c r="T176" i="11"/>
  <c r="U176" i="11"/>
  <c r="V176" i="11"/>
  <c r="W176" i="11"/>
  <c r="X176" i="11"/>
  <c r="Y176" i="11"/>
  <c r="Z176" i="11"/>
  <c r="AA176" i="11"/>
  <c r="AB176" i="11"/>
  <c r="AC176" i="11"/>
  <c r="AD176" i="11"/>
  <c r="AE176" i="11"/>
  <c r="AF176" i="11"/>
  <c r="AG176" i="11"/>
  <c r="AH176" i="11"/>
  <c r="AI176" i="11"/>
  <c r="B149" i="11" a="1"/>
  <c r="B149" i="11" s="1"/>
  <c r="B177" i="11" s="1"/>
  <c r="B163" i="11" s="1" a="1"/>
  <c r="B163" i="11" s="1"/>
  <c r="C177" i="11"/>
  <c r="D177" i="11"/>
  <c r="E177" i="11"/>
  <c r="F177" i="11"/>
  <c r="G177" i="11"/>
  <c r="H177" i="11"/>
  <c r="I177" i="11"/>
  <c r="J177" i="11"/>
  <c r="K177" i="11"/>
  <c r="L177" i="11"/>
  <c r="M177" i="11"/>
  <c r="N177" i="11"/>
  <c r="O177" i="11"/>
  <c r="P177" i="11"/>
  <c r="Q177" i="11"/>
  <c r="R177" i="11"/>
  <c r="S177" i="11"/>
  <c r="T177" i="11"/>
  <c r="U177" i="11"/>
  <c r="V177" i="11"/>
  <c r="W177" i="11"/>
  <c r="X177" i="11"/>
  <c r="Y177" i="11"/>
  <c r="Z177" i="11"/>
  <c r="AA177" i="11"/>
  <c r="AB177" i="11"/>
  <c r="AC177" i="11"/>
  <c r="AD177" i="11"/>
  <c r="AE177" i="11"/>
  <c r="AF177" i="11"/>
  <c r="AG177" i="11"/>
  <c r="AH177" i="11"/>
  <c r="AI177" i="11"/>
  <c r="B150" i="11" a="1"/>
  <c r="B150" i="11" s="1"/>
  <c r="B178" i="11" s="1"/>
  <c r="B164" i="11" s="1" a="1"/>
  <c r="B164" i="11" s="1"/>
  <c r="C178" i="11"/>
  <c r="D178" i="11"/>
  <c r="E178" i="11"/>
  <c r="F178" i="11"/>
  <c r="G178" i="11"/>
  <c r="H178" i="11"/>
  <c r="I178" i="11"/>
  <c r="J178" i="11"/>
  <c r="K178" i="11"/>
  <c r="L178" i="11"/>
  <c r="M178" i="11"/>
  <c r="N178" i="11"/>
  <c r="O178" i="11"/>
  <c r="P178" i="11"/>
  <c r="Q178" i="11"/>
  <c r="R178" i="11"/>
  <c r="S178" i="11"/>
  <c r="T178" i="11"/>
  <c r="U178" i="11"/>
  <c r="V178" i="11"/>
  <c r="W178" i="11"/>
  <c r="X178" i="11"/>
  <c r="Y178" i="11"/>
  <c r="Z178" i="11"/>
  <c r="AA178" i="11"/>
  <c r="AB178" i="11"/>
  <c r="AC178" i="11"/>
  <c r="AD178" i="11"/>
  <c r="AE178" i="11"/>
  <c r="AF178" i="11"/>
  <c r="AG178" i="11"/>
  <c r="AH178" i="11"/>
  <c r="AI178" i="11"/>
  <c r="B151" i="11" a="1"/>
  <c r="B151" i="11" s="1"/>
  <c r="B179" i="11" s="1"/>
  <c r="B165" i="11" s="1" a="1"/>
  <c r="B165" i="11" s="1"/>
  <c r="C179" i="11"/>
  <c r="D179" i="11"/>
  <c r="E179" i="11"/>
  <c r="F179" i="11"/>
  <c r="G179" i="11"/>
  <c r="H179" i="11"/>
  <c r="I179" i="11"/>
  <c r="J179" i="11"/>
  <c r="K179" i="11"/>
  <c r="L179" i="11"/>
  <c r="M179" i="11"/>
  <c r="N179" i="11"/>
  <c r="O179" i="11"/>
  <c r="P179" i="11"/>
  <c r="Q179" i="11"/>
  <c r="R179" i="11"/>
  <c r="S179" i="11"/>
  <c r="T179" i="11"/>
  <c r="U179" i="11"/>
  <c r="V179" i="11"/>
  <c r="W179" i="11"/>
  <c r="X179" i="11"/>
  <c r="Y179" i="11"/>
  <c r="Z179" i="11"/>
  <c r="AA179" i="11"/>
  <c r="AB179" i="11"/>
  <c r="AC179" i="11"/>
  <c r="AD179" i="11"/>
  <c r="AE179" i="11"/>
  <c r="AF179" i="11"/>
  <c r="AG179" i="11"/>
  <c r="AH179" i="11"/>
  <c r="AI179" i="11"/>
  <c r="B152" i="11" a="1"/>
  <c r="B152" i="11" s="1"/>
  <c r="B180" i="11" s="1"/>
  <c r="B166" i="11" s="1" a="1"/>
  <c r="B166" i="11" s="1"/>
  <c r="C180" i="11"/>
  <c r="D180" i="11"/>
  <c r="E180" i="11"/>
  <c r="F180" i="11"/>
  <c r="G180" i="11"/>
  <c r="H180" i="11"/>
  <c r="I180" i="11"/>
  <c r="J180" i="11"/>
  <c r="K180" i="11"/>
  <c r="L180" i="11"/>
  <c r="M180" i="11"/>
  <c r="N180" i="11"/>
  <c r="O180" i="11"/>
  <c r="P180" i="11"/>
  <c r="Q180" i="11"/>
  <c r="R180" i="11"/>
  <c r="S180" i="11"/>
  <c r="T180" i="11"/>
  <c r="U180" i="11"/>
  <c r="V180" i="11"/>
  <c r="W180" i="11"/>
  <c r="X180" i="11"/>
  <c r="Y180" i="11"/>
  <c r="Z180" i="11"/>
  <c r="AA180" i="11"/>
  <c r="AB180" i="11"/>
  <c r="AC180" i="11"/>
  <c r="AD180" i="11"/>
  <c r="AE180" i="11"/>
  <c r="AF180" i="11"/>
  <c r="AG180" i="11"/>
  <c r="AH180" i="11"/>
  <c r="AI180" i="11"/>
  <c r="B153" i="11" a="1"/>
  <c r="B153" i="11" s="1"/>
  <c r="B181" i="11" s="1"/>
  <c r="B167" i="11" s="1" a="1"/>
  <c r="B167" i="11" s="1"/>
  <c r="C181" i="11"/>
  <c r="D181" i="11"/>
  <c r="E181" i="11"/>
  <c r="F181" i="11"/>
  <c r="G181" i="11"/>
  <c r="H181" i="11"/>
  <c r="I181" i="11"/>
  <c r="J181" i="11"/>
  <c r="K181" i="11"/>
  <c r="L181" i="11"/>
  <c r="M181" i="11"/>
  <c r="N181" i="11"/>
  <c r="O181" i="11"/>
  <c r="P181" i="11"/>
  <c r="Q181" i="11"/>
  <c r="R181" i="11"/>
  <c r="S181" i="11"/>
  <c r="T181" i="11"/>
  <c r="U181" i="11"/>
  <c r="V181" i="11"/>
  <c r="W181" i="11"/>
  <c r="X181" i="11"/>
  <c r="Y181" i="11"/>
  <c r="Z181" i="11"/>
  <c r="AA181" i="11"/>
  <c r="AB181" i="11"/>
  <c r="AC181" i="11"/>
  <c r="AD181" i="11"/>
  <c r="AE181" i="11"/>
  <c r="AF181" i="11"/>
  <c r="AG181" i="11"/>
  <c r="AH181" i="11"/>
  <c r="AI181" i="11"/>
  <c r="B154" i="11" a="1"/>
  <c r="B154" i="11" s="1"/>
  <c r="B182" i="11" s="1"/>
  <c r="B168" i="11" s="1" a="1"/>
  <c r="B168" i="11" s="1"/>
  <c r="C182" i="11"/>
  <c r="D182" i="11"/>
  <c r="E182" i="11"/>
  <c r="F182" i="11"/>
  <c r="G182" i="11"/>
  <c r="H182" i="11"/>
  <c r="I182" i="11"/>
  <c r="J182" i="11"/>
  <c r="K182" i="11"/>
  <c r="L182" i="11"/>
  <c r="M182" i="11"/>
  <c r="N182" i="11"/>
  <c r="O182" i="11"/>
  <c r="P182" i="11"/>
  <c r="Q182" i="11"/>
  <c r="R182" i="11"/>
  <c r="S182" i="11"/>
  <c r="T182" i="11"/>
  <c r="U182" i="11"/>
  <c r="V182" i="11"/>
  <c r="W182" i="11"/>
  <c r="X182" i="11"/>
  <c r="Y182" i="11"/>
  <c r="Z182" i="11"/>
  <c r="AA182" i="11"/>
  <c r="AB182" i="11"/>
  <c r="AC182" i="11"/>
  <c r="AD182" i="11"/>
  <c r="AE182" i="11"/>
  <c r="AF182" i="11"/>
  <c r="AG182" i="11"/>
  <c r="AH182" i="11"/>
  <c r="AI182" i="11"/>
  <c r="B155" i="11" a="1"/>
  <c r="B155" i="11" s="1"/>
  <c r="B183" i="11" s="1"/>
  <c r="B169" i="11" s="1" a="1"/>
  <c r="B169" i="11" s="1"/>
  <c r="C183" i="11"/>
  <c r="D183" i="11"/>
  <c r="E183" i="11"/>
  <c r="F183" i="11"/>
  <c r="G183" i="11"/>
  <c r="H183" i="11"/>
  <c r="I183" i="11"/>
  <c r="J183" i="11"/>
  <c r="K183" i="11"/>
  <c r="L183" i="11"/>
  <c r="M183" i="11"/>
  <c r="N183" i="11"/>
  <c r="O183" i="11"/>
  <c r="P183" i="11"/>
  <c r="Q183" i="11"/>
  <c r="R183" i="11"/>
  <c r="S183" i="11"/>
  <c r="T183" i="11"/>
  <c r="U183" i="11"/>
  <c r="V183" i="11"/>
  <c r="W183" i="11"/>
  <c r="X183" i="11"/>
  <c r="Y183" i="11"/>
  <c r="Z183" i="11"/>
  <c r="AA183" i="11"/>
  <c r="AB183" i="11"/>
  <c r="AC183" i="11"/>
  <c r="AD183" i="11"/>
  <c r="AE183" i="11"/>
  <c r="AF183" i="11"/>
  <c r="AG183" i="11"/>
  <c r="AH183" i="11"/>
  <c r="AI183" i="11"/>
  <c r="B156" i="11" a="1"/>
  <c r="B156" i="11" s="1"/>
  <c r="B184" i="11" s="1"/>
  <c r="B170" i="11" s="1" a="1"/>
  <c r="B170" i="11" s="1"/>
  <c r="C184" i="11"/>
  <c r="D184" i="11"/>
  <c r="E184" i="11"/>
  <c r="F184" i="11"/>
  <c r="G184" i="11"/>
  <c r="H184" i="11"/>
  <c r="I184" i="11"/>
  <c r="J184" i="11"/>
  <c r="K184" i="11"/>
  <c r="L184" i="11"/>
  <c r="M184" i="11"/>
  <c r="N184" i="11"/>
  <c r="O184" i="11"/>
  <c r="P184" i="11"/>
  <c r="Q184" i="11"/>
  <c r="R184" i="11"/>
  <c r="S184" i="11"/>
  <c r="T184" i="11"/>
  <c r="U184" i="11"/>
  <c r="V184" i="11"/>
  <c r="W184" i="11"/>
  <c r="X184" i="11"/>
  <c r="Y184" i="11"/>
  <c r="Z184" i="11"/>
  <c r="AA184" i="11"/>
  <c r="AB184" i="11"/>
  <c r="AC184" i="11"/>
  <c r="AD184" i="11"/>
  <c r="AE184" i="11"/>
  <c r="AF184" i="11"/>
  <c r="AG184" i="11"/>
  <c r="AH184" i="11"/>
  <c r="AI184" i="11"/>
  <c r="B157" i="11" a="1"/>
  <c r="B157" i="11" s="1"/>
  <c r="B185" i="11" s="1"/>
  <c r="B171" i="11" s="1" a="1"/>
  <c r="B171" i="11" s="1"/>
  <c r="C185" i="11"/>
  <c r="D185" i="11"/>
  <c r="E185" i="11"/>
  <c r="F185" i="11"/>
  <c r="G185" i="11"/>
  <c r="H185" i="11"/>
  <c r="I185" i="11"/>
  <c r="J185" i="11"/>
  <c r="K185" i="11"/>
  <c r="L185" i="11"/>
  <c r="M185" i="11"/>
  <c r="N185" i="11"/>
  <c r="O185" i="11"/>
  <c r="P185" i="11"/>
  <c r="Q185" i="11"/>
  <c r="R185" i="11"/>
  <c r="S185" i="11"/>
  <c r="T185" i="11"/>
  <c r="U185" i="11"/>
  <c r="V185" i="11"/>
  <c r="W185" i="11"/>
  <c r="X185" i="11"/>
  <c r="Y185" i="11"/>
  <c r="Z185" i="11"/>
  <c r="AA185" i="11"/>
  <c r="AB185" i="11"/>
  <c r="AC185" i="11"/>
  <c r="AD185" i="11"/>
  <c r="AE185" i="11"/>
  <c r="AF185" i="11"/>
  <c r="AG185" i="11"/>
  <c r="AH185" i="11"/>
  <c r="AI185" i="11"/>
  <c r="B158" i="11" a="1"/>
  <c r="B158" i="11" s="1"/>
  <c r="B186" i="11" s="1"/>
  <c r="B172" i="11" s="1" a="1"/>
  <c r="B172" i="11" s="1"/>
  <c r="C186" i="11"/>
  <c r="D186" i="11"/>
  <c r="E186" i="11"/>
  <c r="F186" i="11"/>
  <c r="G186" i="11"/>
  <c r="H186" i="11"/>
  <c r="I186" i="11"/>
  <c r="J186" i="11"/>
  <c r="K186" i="11"/>
  <c r="L186" i="11"/>
  <c r="M186" i="11"/>
  <c r="N186" i="11"/>
  <c r="O186" i="11"/>
  <c r="P186" i="11"/>
  <c r="Q186" i="11"/>
  <c r="R186" i="11"/>
  <c r="S186" i="11"/>
  <c r="T186" i="11"/>
  <c r="U186" i="11"/>
  <c r="V186" i="11"/>
  <c r="W186" i="11"/>
  <c r="X186" i="11"/>
  <c r="Y186" i="11"/>
  <c r="Z186" i="11"/>
  <c r="AA186" i="11"/>
  <c r="AB186" i="11"/>
  <c r="AC186" i="11"/>
  <c r="AD186" i="11"/>
  <c r="AE186" i="11"/>
  <c r="AF186" i="11"/>
  <c r="AG186" i="11"/>
  <c r="AH186" i="11"/>
  <c r="AI186" i="11"/>
  <c r="AK4" i="32"/>
  <c r="AL4" i="32"/>
  <c r="AM4" i="32"/>
  <c r="AN4" i="32"/>
  <c r="AO4" i="32"/>
  <c r="AP4" i="32"/>
  <c r="AQ4" i="32"/>
  <c r="AR4" i="32"/>
  <c r="AS4" i="32"/>
  <c r="AT4" i="32"/>
  <c r="AU4" i="32"/>
  <c r="AV4" i="32"/>
  <c r="AW4" i="32"/>
  <c r="AX4" i="32"/>
  <c r="AY4" i="32"/>
  <c r="AZ4" i="32"/>
  <c r="BA4" i="32"/>
  <c r="AK5" i="32"/>
  <c r="AL5" i="32"/>
  <c r="AM5" i="32"/>
  <c r="AN5" i="32"/>
  <c r="AO5" i="32"/>
  <c r="AP5" i="32"/>
  <c r="AQ5" i="32"/>
  <c r="Q5" i="32"/>
  <c r="C3" i="39" s="1"/>
  <c r="E2" i="39" s="1" a="1"/>
  <c r="E2" i="39" s="1"/>
  <c r="AR5" i="32"/>
  <c r="AS5" i="32"/>
  <c r="AT5" i="32"/>
  <c r="AU5" i="32"/>
  <c r="AV5" i="32"/>
  <c r="AW5" i="32"/>
  <c r="AX5" i="32"/>
  <c r="AY5" i="32"/>
  <c r="AZ5" i="32"/>
  <c r="BA5" i="32"/>
  <c r="AK6" i="32"/>
  <c r="AL6" i="32"/>
  <c r="AM6" i="32"/>
  <c r="AN6" i="32"/>
  <c r="AO6" i="32"/>
  <c r="AP6" i="32"/>
  <c r="AQ6" i="32"/>
  <c r="Q6" i="32"/>
  <c r="AR6" i="32"/>
  <c r="AS6" i="32"/>
  <c r="AT6" i="32"/>
  <c r="AU6" i="32"/>
  <c r="AV6" i="32"/>
  <c r="AW6" i="32"/>
  <c r="AX6" i="32"/>
  <c r="AY6" i="32"/>
  <c r="AZ6" i="32"/>
  <c r="BA6" i="32"/>
  <c r="AK7" i="32"/>
  <c r="AL7" i="32"/>
  <c r="AM7" i="32"/>
  <c r="AN7" i="32"/>
  <c r="AO7" i="32"/>
  <c r="AP7" i="32"/>
  <c r="AQ7" i="32"/>
  <c r="Q7" i="32"/>
  <c r="AR7" i="32"/>
  <c r="AS7" i="32"/>
  <c r="AT7" i="32"/>
  <c r="AU7" i="32"/>
  <c r="AV7" i="32"/>
  <c r="AW7" i="32"/>
  <c r="AX7" i="32"/>
  <c r="AY7" i="32"/>
  <c r="AZ7" i="32"/>
  <c r="BA7" i="32"/>
  <c r="AK8" i="32"/>
  <c r="AL8" i="32"/>
  <c r="AM8" i="32"/>
  <c r="AN8" i="32"/>
  <c r="AO8" i="32"/>
  <c r="AP8" i="32"/>
  <c r="AQ8" i="32"/>
  <c r="Q8" i="32"/>
  <c r="AR8" i="32"/>
  <c r="AS8" i="32"/>
  <c r="AT8" i="32"/>
  <c r="AU8" i="32"/>
  <c r="AV8" i="32"/>
  <c r="AW8" i="32"/>
  <c r="AX8" i="32"/>
  <c r="AY8" i="32"/>
  <c r="AZ8" i="32"/>
  <c r="BA8" i="32"/>
  <c r="AK9" i="32"/>
  <c r="AL9" i="32"/>
  <c r="AM9" i="32"/>
  <c r="AN9" i="32"/>
  <c r="AO9" i="32"/>
  <c r="AP9" i="32"/>
  <c r="AQ9" i="32"/>
  <c r="Q9" i="32"/>
  <c r="AR9" i="32"/>
  <c r="AS9" i="32"/>
  <c r="AT9" i="32"/>
  <c r="AU9" i="32"/>
  <c r="AV9" i="32"/>
  <c r="AW9" i="32"/>
  <c r="AX9" i="32"/>
  <c r="AY9" i="32"/>
  <c r="AZ9" i="32"/>
  <c r="BA9" i="32"/>
  <c r="AK10" i="32"/>
  <c r="AL10" i="32"/>
  <c r="AM10" i="32"/>
  <c r="AN10" i="32"/>
  <c r="AO10" i="32"/>
  <c r="AP10" i="32"/>
  <c r="AQ10" i="32"/>
  <c r="Q10" i="32"/>
  <c r="AR10" i="32"/>
  <c r="AS10" i="32"/>
  <c r="AT10" i="32"/>
  <c r="AU10" i="32"/>
  <c r="AV10" i="32"/>
  <c r="AW10" i="32"/>
  <c r="AX10" i="32"/>
  <c r="AY10" i="32"/>
  <c r="AZ10" i="32"/>
  <c r="BA10" i="32"/>
  <c r="AK11" i="32"/>
  <c r="AL11" i="32"/>
  <c r="AM11" i="32"/>
  <c r="AN11" i="32"/>
  <c r="AO11" i="32"/>
  <c r="AP11" i="32"/>
  <c r="AQ11" i="32"/>
  <c r="Q11" i="32"/>
  <c r="AR11" i="32"/>
  <c r="AS11" i="32"/>
  <c r="AT11" i="32"/>
  <c r="AU11" i="32"/>
  <c r="AV11" i="32"/>
  <c r="AW11" i="32"/>
  <c r="AX11" i="32"/>
  <c r="AY11" i="32"/>
  <c r="AZ11" i="32"/>
  <c r="BA11" i="32"/>
  <c r="AK12" i="32"/>
  <c r="AL12" i="32"/>
  <c r="AM12" i="32"/>
  <c r="AN12" i="32"/>
  <c r="AO12" i="32"/>
  <c r="AP12" i="32"/>
  <c r="AQ12" i="32"/>
  <c r="Q12" i="32"/>
  <c r="AR12" i="32"/>
  <c r="AS12" i="32"/>
  <c r="AT12" i="32"/>
  <c r="AU12" i="32"/>
  <c r="AV12" i="32"/>
  <c r="AW12" i="32"/>
  <c r="AX12" i="32"/>
  <c r="AY12" i="32"/>
  <c r="AZ12" i="32"/>
  <c r="BA12" i="32"/>
  <c r="AK13" i="32"/>
  <c r="AL13" i="32"/>
  <c r="AM13" i="32"/>
  <c r="AN13" i="32"/>
  <c r="AO13" i="32"/>
  <c r="AP13" i="32"/>
  <c r="AQ13" i="32"/>
  <c r="Q13" i="32"/>
  <c r="AR13" i="32"/>
  <c r="AS13" i="32"/>
  <c r="AT13" i="32"/>
  <c r="AU13" i="32"/>
  <c r="AV13" i="32"/>
  <c r="AW13" i="32"/>
  <c r="AX13" i="32"/>
  <c r="AY13" i="32"/>
  <c r="AZ13" i="32"/>
  <c r="BA13" i="32"/>
  <c r="AK14" i="32"/>
  <c r="AL14" i="32"/>
  <c r="AM14" i="32"/>
  <c r="AN14" i="32"/>
  <c r="AO14" i="32"/>
  <c r="AP14" i="32"/>
  <c r="AQ14" i="32"/>
  <c r="Q14" i="32"/>
  <c r="AR14" i="32"/>
  <c r="AS14" i="32"/>
  <c r="AT14" i="32"/>
  <c r="AU14" i="32"/>
  <c r="AV14" i="32"/>
  <c r="AW14" i="32"/>
  <c r="AX14" i="32"/>
  <c r="AY14" i="32"/>
  <c r="AZ14" i="32"/>
  <c r="BA14" i="32"/>
  <c r="AK15" i="32"/>
  <c r="AL15" i="32"/>
  <c r="AM15" i="32"/>
  <c r="AN15" i="32"/>
  <c r="AO15" i="32"/>
  <c r="AP15" i="32"/>
  <c r="AQ15" i="32"/>
  <c r="Q15" i="32"/>
  <c r="AR15" i="32"/>
  <c r="AS15" i="32"/>
  <c r="AT15" i="32"/>
  <c r="AU15" i="32"/>
  <c r="AV15" i="32"/>
  <c r="AW15" i="32"/>
  <c r="AX15" i="32"/>
  <c r="AY15" i="32"/>
  <c r="AZ15" i="32"/>
  <c r="BA15" i="32"/>
  <c r="AK16" i="32"/>
  <c r="AL16" i="32"/>
  <c r="AM16" i="32"/>
  <c r="AN16" i="32"/>
  <c r="AO16" i="32"/>
  <c r="AP16" i="32"/>
  <c r="AQ16" i="32"/>
  <c r="Q16" i="32"/>
  <c r="AR16" i="32"/>
  <c r="AS16" i="32"/>
  <c r="AT16" i="32"/>
  <c r="AU16" i="32"/>
  <c r="AV16" i="32"/>
  <c r="AW16" i="32"/>
  <c r="AX16" i="32"/>
  <c r="AY16" i="32"/>
  <c r="AZ16" i="32"/>
  <c r="BA16" i="32"/>
  <c r="AK17" i="32"/>
  <c r="AL17" i="32"/>
  <c r="AM17" i="32"/>
  <c r="AN17" i="32"/>
  <c r="AO17" i="32"/>
  <c r="AP17" i="32"/>
  <c r="AQ17" i="32"/>
  <c r="Q17" i="32"/>
  <c r="AR17" i="32"/>
  <c r="AS17" i="32"/>
  <c r="AT17" i="32"/>
  <c r="AU17" i="32"/>
  <c r="AV17" i="32"/>
  <c r="AW17" i="32"/>
  <c r="AX17" i="32"/>
  <c r="AY17" i="32"/>
  <c r="AZ17" i="32"/>
  <c r="BA17" i="32"/>
  <c r="AK18" i="32"/>
  <c r="AL18" i="32"/>
  <c r="AM18" i="32"/>
  <c r="AN18" i="32"/>
  <c r="AO18" i="32"/>
  <c r="AP18" i="32"/>
  <c r="AQ18" i="32"/>
  <c r="Q18" i="32"/>
  <c r="AR18" i="32"/>
  <c r="AS18" i="32"/>
  <c r="AT18" i="32"/>
  <c r="AU18" i="32"/>
  <c r="AV18" i="32"/>
  <c r="AW18" i="32"/>
  <c r="AX18" i="32"/>
  <c r="AY18" i="32"/>
  <c r="AZ18" i="32"/>
  <c r="BA18" i="32"/>
  <c r="AK19" i="32"/>
  <c r="AL19" i="32"/>
  <c r="AM19" i="32"/>
  <c r="AN19" i="32"/>
  <c r="AO19" i="32"/>
  <c r="AP19" i="32"/>
  <c r="AQ19" i="32"/>
  <c r="Q19" i="32"/>
  <c r="AR19" i="32"/>
  <c r="AS19" i="32"/>
  <c r="AT19" i="32"/>
  <c r="AU19" i="32"/>
  <c r="AV19" i="32"/>
  <c r="AW19" i="32"/>
  <c r="AX19" i="32"/>
  <c r="AY19" i="32"/>
  <c r="AZ19" i="32"/>
  <c r="BA19" i="32"/>
  <c r="AK20" i="32"/>
  <c r="AL20" i="32"/>
  <c r="AM20" i="32"/>
  <c r="AN20" i="32"/>
  <c r="AO20" i="32"/>
  <c r="AP20" i="32"/>
  <c r="AQ20" i="32"/>
  <c r="Q20" i="32"/>
  <c r="AR20" i="32"/>
  <c r="AS20" i="32"/>
  <c r="AT20" i="32"/>
  <c r="AU20" i="32"/>
  <c r="AV20" i="32"/>
  <c r="AW20" i="32"/>
  <c r="AX20" i="32"/>
  <c r="AY20" i="32"/>
  <c r="AZ20" i="32"/>
  <c r="BA20" i="32"/>
  <c r="AK21" i="32"/>
  <c r="AL21" i="32"/>
  <c r="AM21" i="32"/>
  <c r="AN21" i="32"/>
  <c r="AO21" i="32"/>
  <c r="AP21" i="32"/>
  <c r="AQ21" i="32"/>
  <c r="Q21" i="32"/>
  <c r="AR21" i="32"/>
  <c r="AS21" i="32"/>
  <c r="AT21" i="32"/>
  <c r="AU21" i="32"/>
  <c r="AV21" i="32"/>
  <c r="AW21" i="32"/>
  <c r="AX21" i="32"/>
  <c r="AY21" i="32"/>
  <c r="AZ21" i="32"/>
  <c r="BA21" i="32"/>
  <c r="AK22" i="32"/>
  <c r="AL22" i="32"/>
  <c r="AM22" i="32"/>
  <c r="AN22" i="32"/>
  <c r="AO22" i="32"/>
  <c r="AP22" i="32"/>
  <c r="AQ22" i="32"/>
  <c r="Q22" i="32"/>
  <c r="AR22" i="32"/>
  <c r="AS22" i="32"/>
  <c r="AT22" i="32"/>
  <c r="AU22" i="32"/>
  <c r="AV22" i="32"/>
  <c r="AW22" i="32"/>
  <c r="AX22" i="32"/>
  <c r="AY22" i="32"/>
  <c r="AZ22" i="32"/>
  <c r="BA22" i="32"/>
  <c r="AK23" i="32"/>
  <c r="AL23" i="32"/>
  <c r="AM23" i="32"/>
  <c r="AN23" i="32"/>
  <c r="AO23" i="32"/>
  <c r="AP23" i="32"/>
  <c r="AQ23" i="32"/>
  <c r="Q23" i="32"/>
  <c r="AR23" i="32"/>
  <c r="AS23" i="32"/>
  <c r="AT23" i="32"/>
  <c r="AU23" i="32"/>
  <c r="AV23" i="32"/>
  <c r="AW23" i="32"/>
  <c r="AX23" i="32"/>
  <c r="AY23" i="32"/>
  <c r="AZ23" i="32"/>
  <c r="BA23" i="32"/>
  <c r="AK24" i="32"/>
  <c r="AL24" i="32"/>
  <c r="AM24" i="32"/>
  <c r="AN24" i="32"/>
  <c r="AO24" i="32"/>
  <c r="AP24" i="32"/>
  <c r="AQ24" i="32"/>
  <c r="Q24" i="32"/>
  <c r="AR24" i="32"/>
  <c r="AS24" i="32"/>
  <c r="AT24" i="32"/>
  <c r="AU24" i="32"/>
  <c r="AV24" i="32"/>
  <c r="AW24" i="32"/>
  <c r="AX24" i="32"/>
  <c r="AY24" i="32"/>
  <c r="AZ24" i="32"/>
  <c r="BA24" i="32"/>
  <c r="AK25" i="32"/>
  <c r="AL25" i="32"/>
  <c r="AM25" i="32"/>
  <c r="AN25" i="32"/>
  <c r="AO25" i="32"/>
  <c r="AP25" i="32"/>
  <c r="AQ25" i="32"/>
  <c r="Q25" i="32"/>
  <c r="AR25" i="32"/>
  <c r="AS25" i="32"/>
  <c r="AT25" i="32"/>
  <c r="AU25" i="32"/>
  <c r="AV25" i="32"/>
  <c r="AW25" i="32"/>
  <c r="AX25" i="32"/>
  <c r="AY25" i="32"/>
  <c r="AZ25" i="32"/>
  <c r="BA25" i="32"/>
  <c r="AK26" i="32"/>
  <c r="AL26" i="32"/>
  <c r="AM26" i="32"/>
  <c r="AN26" i="32"/>
  <c r="AO26" i="32"/>
  <c r="AP26" i="32"/>
  <c r="AQ26" i="32"/>
  <c r="Q26" i="32"/>
  <c r="AR26" i="32"/>
  <c r="AS26" i="32"/>
  <c r="AT26" i="32"/>
  <c r="AU26" i="32"/>
  <c r="AV26" i="32"/>
  <c r="AW26" i="32"/>
  <c r="AX26" i="32"/>
  <c r="AY26" i="32"/>
  <c r="AZ26" i="32"/>
  <c r="BA26" i="32"/>
  <c r="AK27" i="32"/>
  <c r="AL27" i="32"/>
  <c r="AM27" i="32"/>
  <c r="AN27" i="32"/>
  <c r="AO27" i="32"/>
  <c r="AP27" i="32"/>
  <c r="AQ27" i="32"/>
  <c r="Q27" i="32"/>
  <c r="AR27" i="32"/>
  <c r="AS27" i="32"/>
  <c r="AT27" i="32"/>
  <c r="AU27" i="32"/>
  <c r="AV27" i="32"/>
  <c r="AW27" i="32"/>
  <c r="AX27" i="32"/>
  <c r="AY27" i="32"/>
  <c r="AZ27" i="32"/>
  <c r="BA27" i="32"/>
  <c r="AK28" i="32"/>
  <c r="AL28" i="32"/>
  <c r="AM28" i="32"/>
  <c r="AN28" i="32"/>
  <c r="AO28" i="32"/>
  <c r="AP28" i="32"/>
  <c r="AQ28" i="32"/>
  <c r="Q28" i="32"/>
  <c r="AR28" i="32"/>
  <c r="AS28" i="32"/>
  <c r="AT28" i="32"/>
  <c r="AU28" i="32"/>
  <c r="AV28" i="32"/>
  <c r="AW28" i="32"/>
  <c r="AX28" i="32"/>
  <c r="AY28" i="32"/>
  <c r="AZ28" i="32"/>
  <c r="BA28" i="32"/>
  <c r="AK29" i="32"/>
  <c r="AL29" i="32"/>
  <c r="AM29" i="32"/>
  <c r="AN29" i="32"/>
  <c r="AO29" i="32"/>
  <c r="AP29" i="32"/>
  <c r="AQ29" i="32"/>
  <c r="Q29" i="32"/>
  <c r="AR29" i="32"/>
  <c r="AS29" i="32"/>
  <c r="AT29" i="32"/>
  <c r="AU29" i="32"/>
  <c r="AV29" i="32"/>
  <c r="AW29" i="32"/>
  <c r="AX29" i="32"/>
  <c r="AY29" i="32"/>
  <c r="AZ29" i="32"/>
  <c r="BA29" i="32"/>
  <c r="AK30" i="32"/>
  <c r="AL30" i="32"/>
  <c r="AM30" i="32"/>
  <c r="AN30" i="32"/>
  <c r="AO30" i="32"/>
  <c r="AP30" i="32"/>
  <c r="AQ30" i="32"/>
  <c r="Q30" i="32"/>
  <c r="AR30" i="32"/>
  <c r="AS30" i="32"/>
  <c r="AT30" i="32"/>
  <c r="AU30" i="32"/>
  <c r="AV30" i="32"/>
  <c r="AW30" i="32"/>
  <c r="AX30" i="32"/>
  <c r="AY30" i="32"/>
  <c r="AZ30" i="32"/>
  <c r="BA30" i="32"/>
  <c r="AK31" i="32"/>
  <c r="AL31" i="32"/>
  <c r="AM31" i="32"/>
  <c r="AN31" i="32"/>
  <c r="AO31" i="32"/>
  <c r="AP31" i="32"/>
  <c r="AQ31" i="32"/>
  <c r="Q31" i="32"/>
  <c r="AR31" i="32"/>
  <c r="AS31" i="32"/>
  <c r="AT31" i="32"/>
  <c r="AU31" i="32"/>
  <c r="AV31" i="32"/>
  <c r="AW31" i="32"/>
  <c r="AX31" i="32"/>
  <c r="AY31" i="32"/>
  <c r="AZ31" i="32"/>
  <c r="BA31" i="32"/>
  <c r="AK32" i="32"/>
  <c r="AL32" i="32"/>
  <c r="AM32" i="32"/>
  <c r="AN32" i="32"/>
  <c r="AO32" i="32"/>
  <c r="AP32" i="32"/>
  <c r="AQ32" i="32"/>
  <c r="Q32" i="32"/>
  <c r="AR32" i="32"/>
  <c r="AS32" i="32"/>
  <c r="AT32" i="32"/>
  <c r="AU32" i="32"/>
  <c r="AV32" i="32"/>
  <c r="AW32" i="32"/>
  <c r="AX32" i="32"/>
  <c r="AY32" i="32"/>
  <c r="AZ32" i="32"/>
  <c r="BA32" i="32"/>
  <c r="AK33" i="32"/>
  <c r="AL33" i="32"/>
  <c r="AM33" i="32"/>
  <c r="AN33" i="32"/>
  <c r="AO33" i="32"/>
  <c r="AP33" i="32"/>
  <c r="AQ33" i="32"/>
  <c r="Q33" i="32"/>
  <c r="AR33" i="32"/>
  <c r="AS33" i="32"/>
  <c r="AT33" i="32"/>
  <c r="AU33" i="32"/>
  <c r="AV33" i="32"/>
  <c r="AW33" i="32"/>
  <c r="AX33" i="32"/>
  <c r="AY33" i="32"/>
  <c r="AZ33" i="32"/>
  <c r="BA33" i="32"/>
  <c r="AK34" i="32"/>
  <c r="AL34" i="32"/>
  <c r="AM34" i="32"/>
  <c r="AN34" i="32"/>
  <c r="AO34" i="32"/>
  <c r="AP34" i="32"/>
  <c r="AQ34" i="32"/>
  <c r="Q34" i="32"/>
  <c r="AR34" i="32"/>
  <c r="AS34" i="32"/>
  <c r="AT34" i="32"/>
  <c r="AU34" i="32"/>
  <c r="AV34" i="32"/>
  <c r="AW34" i="32"/>
  <c r="AX34" i="32"/>
  <c r="AY34" i="32"/>
  <c r="AZ34" i="32"/>
  <c r="BA34" i="32"/>
  <c r="AK35" i="32"/>
  <c r="AL35" i="32"/>
  <c r="AM35" i="32"/>
  <c r="AN35" i="32"/>
  <c r="AO35" i="32"/>
  <c r="AP35" i="32"/>
  <c r="AQ35" i="32"/>
  <c r="Q35" i="32"/>
  <c r="AR35" i="32"/>
  <c r="AS35" i="32"/>
  <c r="AT35" i="32"/>
  <c r="AU35" i="32"/>
  <c r="AV35" i="32"/>
  <c r="AW35" i="32"/>
  <c r="AX35" i="32"/>
  <c r="AY35" i="32"/>
  <c r="AZ35" i="32"/>
  <c r="BA35" i="32"/>
  <c r="AK36" i="32"/>
  <c r="AL36" i="32"/>
  <c r="AM36" i="32"/>
  <c r="AN36" i="32"/>
  <c r="AO36" i="32"/>
  <c r="AP36" i="32"/>
  <c r="AQ36" i="32"/>
  <c r="Q36" i="32"/>
  <c r="AR36" i="32"/>
  <c r="AS36" i="32"/>
  <c r="AT36" i="32"/>
  <c r="AU36" i="32"/>
  <c r="AV36" i="32"/>
  <c r="AW36" i="32"/>
  <c r="AX36" i="32"/>
  <c r="AY36" i="32"/>
  <c r="AZ36" i="32"/>
  <c r="BA36" i="32"/>
  <c r="AK37" i="32"/>
  <c r="AL37" i="32"/>
  <c r="AM37" i="32"/>
  <c r="AN37" i="32"/>
  <c r="AO37" i="32"/>
  <c r="AP37" i="32"/>
  <c r="AQ37" i="32"/>
  <c r="Q37" i="32"/>
  <c r="AR37" i="32"/>
  <c r="AS37" i="32"/>
  <c r="AT37" i="32"/>
  <c r="AU37" i="32"/>
  <c r="AV37" i="32"/>
  <c r="AW37" i="32"/>
  <c r="AX37" i="32"/>
  <c r="AY37" i="32"/>
  <c r="AZ37" i="32"/>
  <c r="BA37" i="32"/>
  <c r="AK38" i="32"/>
  <c r="AL38" i="32"/>
  <c r="AM38" i="32"/>
  <c r="AN38" i="32"/>
  <c r="AO38" i="32"/>
  <c r="AP38" i="32"/>
  <c r="AQ38" i="32"/>
  <c r="Q38" i="32"/>
  <c r="AR38" i="32"/>
  <c r="AS38" i="32"/>
  <c r="AT38" i="32"/>
  <c r="AU38" i="32"/>
  <c r="AV38" i="32"/>
  <c r="AW38" i="32"/>
  <c r="AX38" i="32"/>
  <c r="AY38" i="32"/>
  <c r="AZ38" i="32"/>
  <c r="BA38" i="32"/>
  <c r="AK39" i="32"/>
  <c r="AL39" i="32"/>
  <c r="AM39" i="32"/>
  <c r="AN39" i="32"/>
  <c r="AO39" i="32"/>
  <c r="AP39" i="32"/>
  <c r="AQ39" i="32"/>
  <c r="Q39" i="32"/>
  <c r="AR39" i="32"/>
  <c r="AS39" i="32"/>
  <c r="AT39" i="32"/>
  <c r="AU39" i="32"/>
  <c r="AV39" i="32"/>
  <c r="AW39" i="32"/>
  <c r="AX39" i="32"/>
  <c r="AY39" i="32"/>
  <c r="AZ39" i="32"/>
  <c r="BA39" i="32"/>
  <c r="AK40" i="32"/>
  <c r="AL40" i="32"/>
  <c r="AM40" i="32"/>
  <c r="AN40" i="32"/>
  <c r="AO40" i="32"/>
  <c r="AP40" i="32"/>
  <c r="AQ40" i="32"/>
  <c r="Q40" i="32"/>
  <c r="AR40" i="32"/>
  <c r="AS40" i="32"/>
  <c r="AT40" i="32"/>
  <c r="AU40" i="32"/>
  <c r="AV40" i="32"/>
  <c r="AW40" i="32"/>
  <c r="AX40" i="32"/>
  <c r="AY40" i="32"/>
  <c r="AZ40" i="32"/>
  <c r="BA40" i="32"/>
  <c r="AK41" i="32"/>
  <c r="AL41" i="32"/>
  <c r="AM41" i="32"/>
  <c r="AN41" i="32"/>
  <c r="AO41" i="32"/>
  <c r="AP41" i="32"/>
  <c r="AQ41" i="32"/>
  <c r="Q41" i="32"/>
  <c r="AR41" i="32"/>
  <c r="AS41" i="32"/>
  <c r="AT41" i="32"/>
  <c r="AU41" i="32"/>
  <c r="AV41" i="32"/>
  <c r="AW41" i="32"/>
  <c r="AX41" i="32"/>
  <c r="AY41" i="32"/>
  <c r="AZ41" i="32"/>
  <c r="BA41" i="32"/>
  <c r="AK42" i="32"/>
  <c r="AL42" i="32"/>
  <c r="AM42" i="32"/>
  <c r="AN42" i="32"/>
  <c r="AO42" i="32"/>
  <c r="AP42" i="32"/>
  <c r="AQ42" i="32"/>
  <c r="Q42" i="32"/>
  <c r="AR42" i="32"/>
  <c r="AS42" i="32"/>
  <c r="AT42" i="32"/>
  <c r="AU42" i="32"/>
  <c r="AV42" i="32"/>
  <c r="AW42" i="32"/>
  <c r="AX42" i="32"/>
  <c r="AY42" i="32"/>
  <c r="AZ42" i="32"/>
  <c r="BA42" i="32"/>
  <c r="AK43" i="32"/>
  <c r="AL43" i="32"/>
  <c r="AM43" i="32"/>
  <c r="AN43" i="32"/>
  <c r="AO43" i="32"/>
  <c r="AP43" i="32"/>
  <c r="AQ43" i="32"/>
  <c r="Q43" i="32"/>
  <c r="AR43" i="32"/>
  <c r="AS43" i="32"/>
  <c r="AT43" i="32"/>
  <c r="AU43" i="32"/>
  <c r="AV43" i="32"/>
  <c r="AW43" i="32"/>
  <c r="AX43" i="32"/>
  <c r="AY43" i="32"/>
  <c r="AZ43" i="32"/>
  <c r="BA43" i="32"/>
  <c r="AK44" i="32"/>
  <c r="AL44" i="32"/>
  <c r="AM44" i="32"/>
  <c r="AN44" i="32"/>
  <c r="AO44" i="32"/>
  <c r="AP44" i="32"/>
  <c r="AQ44" i="32"/>
  <c r="Q44" i="32"/>
  <c r="AR44" i="32"/>
  <c r="AS44" i="32"/>
  <c r="AT44" i="32"/>
  <c r="AU44" i="32"/>
  <c r="AV44" i="32"/>
  <c r="AW44" i="32"/>
  <c r="AX44" i="32"/>
  <c r="AY44" i="32"/>
  <c r="AZ44" i="32"/>
  <c r="BA44" i="32"/>
  <c r="AK45" i="32"/>
  <c r="AL45" i="32"/>
  <c r="AM45" i="32"/>
  <c r="AN45" i="32"/>
  <c r="AO45" i="32"/>
  <c r="AP45" i="32"/>
  <c r="AQ45" i="32"/>
  <c r="Q45" i="32"/>
  <c r="AR45" i="32"/>
  <c r="AS45" i="32"/>
  <c r="AT45" i="32"/>
  <c r="AU45" i="32"/>
  <c r="AV45" i="32"/>
  <c r="AW45" i="32"/>
  <c r="AX45" i="32"/>
  <c r="AY45" i="32"/>
  <c r="AZ45" i="32"/>
  <c r="BA45" i="32"/>
  <c r="AK46" i="32"/>
  <c r="AL46" i="32"/>
  <c r="AM46" i="32"/>
  <c r="AN46" i="32"/>
  <c r="AO46" i="32"/>
  <c r="AP46" i="32"/>
  <c r="AQ46" i="32"/>
  <c r="Q46" i="32"/>
  <c r="AR46" i="32"/>
  <c r="AS46" i="32"/>
  <c r="AT46" i="32"/>
  <c r="AU46" i="32"/>
  <c r="AV46" i="32"/>
  <c r="AW46" i="32"/>
  <c r="AX46" i="32"/>
  <c r="AY46" i="32"/>
  <c r="AZ46" i="32"/>
  <c r="BA46" i="32"/>
  <c r="AK47" i="32"/>
  <c r="AL47" i="32"/>
  <c r="AM47" i="32"/>
  <c r="AN47" i="32"/>
  <c r="AO47" i="32"/>
  <c r="AP47" i="32"/>
  <c r="AQ47" i="32"/>
  <c r="Q47" i="32"/>
  <c r="AR47" i="32"/>
  <c r="AS47" i="32"/>
  <c r="AT47" i="32"/>
  <c r="AU47" i="32"/>
  <c r="AV47" i="32"/>
  <c r="AW47" i="32"/>
  <c r="AX47" i="32"/>
  <c r="AY47" i="32"/>
  <c r="AZ47" i="32"/>
  <c r="BA47" i="32"/>
  <c r="AK48" i="32"/>
  <c r="AL48" i="32"/>
  <c r="AM48" i="32"/>
  <c r="AN48" i="32"/>
  <c r="AO48" i="32"/>
  <c r="AP48" i="32"/>
  <c r="AQ48" i="32"/>
  <c r="Q48" i="32"/>
  <c r="AR48" i="32"/>
  <c r="AS48" i="32"/>
  <c r="AT48" i="32"/>
  <c r="AU48" i="32"/>
  <c r="AV48" i="32"/>
  <c r="AW48" i="32"/>
  <c r="AX48" i="32"/>
  <c r="AY48" i="32"/>
  <c r="AZ48" i="32"/>
  <c r="BA48" i="32"/>
  <c r="AK49" i="32"/>
  <c r="AL49" i="32"/>
  <c r="AM49" i="32"/>
  <c r="AN49" i="32"/>
  <c r="AO49" i="32"/>
  <c r="AP49" i="32"/>
  <c r="AQ49" i="32"/>
  <c r="Q49" i="32"/>
  <c r="AR49" i="32"/>
  <c r="AS49" i="32"/>
  <c r="AT49" i="32"/>
  <c r="AU49" i="32"/>
  <c r="AV49" i="32"/>
  <c r="AW49" i="32"/>
  <c r="AX49" i="32"/>
  <c r="AY49" i="32"/>
  <c r="AZ49" i="32"/>
  <c r="BA49" i="32"/>
  <c r="AK50" i="32"/>
  <c r="AL50" i="32"/>
  <c r="AM50" i="32"/>
  <c r="AN50" i="32"/>
  <c r="AO50" i="32"/>
  <c r="AP50" i="32"/>
  <c r="AQ50" i="32"/>
  <c r="Q50" i="32"/>
  <c r="AR50" i="32"/>
  <c r="AS50" i="32"/>
  <c r="AT50" i="32"/>
  <c r="AU50" i="32"/>
  <c r="AV50" i="32"/>
  <c r="AW50" i="32"/>
  <c r="AX50" i="32"/>
  <c r="AY50" i="32"/>
  <c r="AZ50" i="32"/>
  <c r="BA50" i="32"/>
  <c r="AK51" i="32"/>
  <c r="AL51" i="32"/>
  <c r="AM51" i="32"/>
  <c r="AN51" i="32"/>
  <c r="AO51" i="32"/>
  <c r="AP51" i="32"/>
  <c r="AQ51" i="32"/>
  <c r="Q51" i="32"/>
  <c r="AR51" i="32"/>
  <c r="AS51" i="32"/>
  <c r="AT51" i="32"/>
  <c r="AU51" i="32"/>
  <c r="AV51" i="32"/>
  <c r="AW51" i="32"/>
  <c r="AX51" i="32"/>
  <c r="AY51" i="32"/>
  <c r="AZ51" i="32"/>
  <c r="BA51" i="32"/>
  <c r="AK52" i="32"/>
  <c r="AL52" i="32"/>
  <c r="AM52" i="32"/>
  <c r="AN52" i="32"/>
  <c r="AO52" i="32"/>
  <c r="AP52" i="32"/>
  <c r="AQ52" i="32"/>
  <c r="Q52" i="32"/>
  <c r="AR52" i="32"/>
  <c r="AS52" i="32"/>
  <c r="AT52" i="32"/>
  <c r="AU52" i="32"/>
  <c r="AV52" i="32"/>
  <c r="AW52" i="32"/>
  <c r="AX52" i="32"/>
  <c r="AY52" i="32"/>
  <c r="AZ52" i="32"/>
  <c r="BA52" i="32"/>
  <c r="AK53" i="32"/>
  <c r="AL53" i="32"/>
  <c r="AM53" i="32"/>
  <c r="AN53" i="32"/>
  <c r="AO53" i="32"/>
  <c r="AP53" i="32"/>
  <c r="AQ53" i="32"/>
  <c r="Q53" i="32"/>
  <c r="AR53" i="32"/>
  <c r="AS53" i="32"/>
  <c r="AT53" i="32"/>
  <c r="AU53" i="32"/>
  <c r="AV53" i="32"/>
  <c r="AW53" i="32"/>
  <c r="AX53" i="32"/>
  <c r="AY53" i="32"/>
  <c r="AZ53" i="32"/>
  <c r="BA53" i="32"/>
  <c r="AK54" i="32"/>
  <c r="AL54" i="32"/>
  <c r="AM54" i="32"/>
  <c r="AN54" i="32"/>
  <c r="AO54" i="32"/>
  <c r="AP54" i="32"/>
  <c r="AQ54" i="32"/>
  <c r="Q54" i="32"/>
  <c r="AR54" i="32"/>
  <c r="AS54" i="32"/>
  <c r="AT54" i="32"/>
  <c r="AU54" i="32"/>
  <c r="AV54" i="32"/>
  <c r="AW54" i="32"/>
  <c r="AX54" i="32"/>
  <c r="AY54" i="32"/>
  <c r="AZ54" i="32"/>
  <c r="BA54" i="32"/>
  <c r="AK55" i="32"/>
  <c r="AL55" i="32"/>
  <c r="AM55" i="32"/>
  <c r="AN55" i="32"/>
  <c r="AO55" i="32"/>
  <c r="AP55" i="32"/>
  <c r="AQ55" i="32"/>
  <c r="Q55" i="32"/>
  <c r="AR55" i="32"/>
  <c r="AS55" i="32"/>
  <c r="AT55" i="32"/>
  <c r="AU55" i="32"/>
  <c r="AV55" i="32"/>
  <c r="AW55" i="32"/>
  <c r="AX55" i="32"/>
  <c r="AY55" i="32"/>
  <c r="AZ55" i="32"/>
  <c r="BA55" i="32"/>
  <c r="AK56" i="32"/>
  <c r="AL56" i="32"/>
  <c r="AM56" i="32"/>
  <c r="AN56" i="32"/>
  <c r="AO56" i="32"/>
  <c r="AP56" i="32"/>
  <c r="AQ56" i="32"/>
  <c r="Q56" i="32"/>
  <c r="AR56" i="32"/>
  <c r="AS56" i="32"/>
  <c r="AT56" i="32"/>
  <c r="AU56" i="32"/>
  <c r="AV56" i="32"/>
  <c r="AW56" i="32"/>
  <c r="AX56" i="32"/>
  <c r="AY56" i="32"/>
  <c r="AZ56" i="32"/>
  <c r="BA56" i="32"/>
  <c r="AK57" i="32"/>
  <c r="AL57" i="32"/>
  <c r="AM57" i="32"/>
  <c r="AN57" i="32"/>
  <c r="AO57" i="32"/>
  <c r="AP57" i="32"/>
  <c r="AQ57" i="32"/>
  <c r="Q57" i="32"/>
  <c r="AR57" i="32"/>
  <c r="AS57" i="32"/>
  <c r="AT57" i="32"/>
  <c r="AU57" i="32"/>
  <c r="AV57" i="32"/>
  <c r="AW57" i="32"/>
  <c r="AX57" i="32"/>
  <c r="AY57" i="32"/>
  <c r="AZ57" i="32"/>
  <c r="BA57" i="32"/>
  <c r="AK58" i="32"/>
  <c r="AL58" i="32"/>
  <c r="AM58" i="32"/>
  <c r="AN58" i="32"/>
  <c r="AO58" i="32"/>
  <c r="AP58" i="32"/>
  <c r="AQ58" i="32"/>
  <c r="Q58" i="32"/>
  <c r="AR58" i="32"/>
  <c r="AS58" i="32"/>
  <c r="AT58" i="32"/>
  <c r="AU58" i="32"/>
  <c r="AV58" i="32"/>
  <c r="AW58" i="32"/>
  <c r="AX58" i="32"/>
  <c r="AY58" i="32"/>
  <c r="AZ58" i="32"/>
  <c r="BA58" i="32"/>
  <c r="AK59" i="32"/>
  <c r="AL59" i="32"/>
  <c r="AM59" i="32"/>
  <c r="AN59" i="32"/>
  <c r="AO59" i="32"/>
  <c r="AP59" i="32"/>
  <c r="AQ59" i="32"/>
  <c r="Q59" i="32"/>
  <c r="AR59" i="32"/>
  <c r="AS59" i="32"/>
  <c r="AT59" i="32"/>
  <c r="AU59" i="32"/>
  <c r="AV59" i="32"/>
  <c r="AW59" i="32"/>
  <c r="AX59" i="32"/>
  <c r="AY59" i="32"/>
  <c r="AZ59" i="32"/>
  <c r="BA59" i="32"/>
  <c r="AK60" i="32"/>
  <c r="AL60" i="32"/>
  <c r="AM60" i="32"/>
  <c r="AN60" i="32"/>
  <c r="AO60" i="32"/>
  <c r="AP60" i="32"/>
  <c r="AQ60" i="32"/>
  <c r="Q60" i="32"/>
  <c r="AR60" i="32"/>
  <c r="AS60" i="32"/>
  <c r="AT60" i="32"/>
  <c r="AU60" i="32"/>
  <c r="AV60" i="32"/>
  <c r="AW60" i="32"/>
  <c r="AX60" i="32"/>
  <c r="AY60" i="32"/>
  <c r="AZ60" i="32"/>
  <c r="BA60" i="32"/>
  <c r="AK61" i="32"/>
  <c r="AL61" i="32"/>
  <c r="AM61" i="32"/>
  <c r="AN61" i="32"/>
  <c r="AO61" i="32"/>
  <c r="AP61" i="32"/>
  <c r="AQ61" i="32"/>
  <c r="Q61" i="32"/>
  <c r="AR61" i="32"/>
  <c r="AS61" i="32"/>
  <c r="AT61" i="32"/>
  <c r="AU61" i="32"/>
  <c r="AV61" i="32"/>
  <c r="AW61" i="32"/>
  <c r="AX61" i="32"/>
  <c r="AY61" i="32"/>
  <c r="AZ61" i="32"/>
  <c r="BA61" i="32"/>
  <c r="AK62" i="32"/>
  <c r="AL62" i="32"/>
  <c r="AM62" i="32"/>
  <c r="AN62" i="32"/>
  <c r="AO62" i="32"/>
  <c r="AP62" i="32"/>
  <c r="AQ62" i="32"/>
  <c r="Q62" i="32"/>
  <c r="AR62" i="32"/>
  <c r="AS62" i="32"/>
  <c r="AT62" i="32"/>
  <c r="AU62" i="32"/>
  <c r="AV62" i="32"/>
  <c r="AW62" i="32"/>
  <c r="AX62" i="32"/>
  <c r="AY62" i="32"/>
  <c r="AZ62" i="32"/>
  <c r="BA62" i="32"/>
  <c r="AK63" i="32"/>
  <c r="AL63" i="32"/>
  <c r="AM63" i="32"/>
  <c r="AN63" i="32"/>
  <c r="AO63" i="32"/>
  <c r="AP63" i="32"/>
  <c r="AQ63" i="32"/>
  <c r="Q63" i="32"/>
  <c r="AR63" i="32"/>
  <c r="AS63" i="32"/>
  <c r="AT63" i="32"/>
  <c r="AU63" i="32"/>
  <c r="AV63" i="32"/>
  <c r="AW63" i="32"/>
  <c r="AX63" i="32"/>
  <c r="AY63" i="32"/>
  <c r="AZ63" i="32"/>
  <c r="BA63" i="32"/>
  <c r="AK64" i="32"/>
  <c r="AL64" i="32"/>
  <c r="AM64" i="32"/>
  <c r="AN64" i="32"/>
  <c r="AO64" i="32"/>
  <c r="AP64" i="32"/>
  <c r="AQ64" i="32"/>
  <c r="Q64" i="32"/>
  <c r="AR64" i="32"/>
  <c r="AS64" i="32"/>
  <c r="AT64" i="32"/>
  <c r="AU64" i="32"/>
  <c r="AV64" i="32"/>
  <c r="AW64" i="32"/>
  <c r="AX64" i="32"/>
  <c r="AY64" i="32"/>
  <c r="AZ64" i="32"/>
  <c r="BA64" i="32"/>
  <c r="AK65" i="32"/>
  <c r="AL65" i="32"/>
  <c r="AM65" i="32"/>
  <c r="AN65" i="32"/>
  <c r="AO65" i="32"/>
  <c r="AP65" i="32"/>
  <c r="AQ65" i="32"/>
  <c r="Q65" i="32"/>
  <c r="AR65" i="32"/>
  <c r="AS65" i="32"/>
  <c r="AT65" i="32"/>
  <c r="AU65" i="32"/>
  <c r="AV65" i="32"/>
  <c r="AW65" i="32"/>
  <c r="AX65" i="32"/>
  <c r="AY65" i="32"/>
  <c r="AZ65" i="32"/>
  <c r="BA65" i="32"/>
  <c r="AK66" i="32"/>
  <c r="AL66" i="32"/>
  <c r="AM66" i="32"/>
  <c r="AN66" i="32"/>
  <c r="AO66" i="32"/>
  <c r="AP66" i="32"/>
  <c r="AQ66" i="32"/>
  <c r="Q66" i="32"/>
  <c r="AR66" i="32"/>
  <c r="AS66" i="32"/>
  <c r="AT66" i="32"/>
  <c r="AU66" i="32"/>
  <c r="AV66" i="32"/>
  <c r="AW66" i="32"/>
  <c r="AX66" i="32"/>
  <c r="AY66" i="32"/>
  <c r="AZ66" i="32"/>
  <c r="BA66" i="32"/>
  <c r="AK67" i="32"/>
  <c r="AL67" i="32"/>
  <c r="AM67" i="32"/>
  <c r="AN67" i="32"/>
  <c r="AO67" i="32"/>
  <c r="AP67" i="32"/>
  <c r="AQ67" i="32"/>
  <c r="Q67" i="32"/>
  <c r="AR67" i="32"/>
  <c r="AS67" i="32"/>
  <c r="AT67" i="32"/>
  <c r="AU67" i="32"/>
  <c r="AV67" i="32"/>
  <c r="AW67" i="32"/>
  <c r="AX67" i="32"/>
  <c r="AY67" i="32"/>
  <c r="AZ67" i="32"/>
  <c r="BA67" i="32"/>
  <c r="AK68" i="32"/>
  <c r="AL68" i="32"/>
  <c r="AM68" i="32"/>
  <c r="AN68" i="32"/>
  <c r="AO68" i="32"/>
  <c r="AP68" i="32"/>
  <c r="AQ68" i="32"/>
  <c r="Q68" i="32"/>
  <c r="AR68" i="32"/>
  <c r="AS68" i="32"/>
  <c r="AT68" i="32"/>
  <c r="AU68" i="32"/>
  <c r="AV68" i="32"/>
  <c r="AW68" i="32"/>
  <c r="AX68" i="32"/>
  <c r="AY68" i="32"/>
  <c r="AZ68" i="32"/>
  <c r="BA68" i="32"/>
  <c r="AK69" i="32"/>
  <c r="AL69" i="32"/>
  <c r="AM69" i="32"/>
  <c r="AN69" i="32"/>
  <c r="AO69" i="32"/>
  <c r="AP69" i="32"/>
  <c r="AQ69" i="32"/>
  <c r="Q69" i="32"/>
  <c r="AR69" i="32"/>
  <c r="AS69" i="32"/>
  <c r="AT69" i="32"/>
  <c r="AU69" i="32"/>
  <c r="AV69" i="32"/>
  <c r="AW69" i="32"/>
  <c r="AX69" i="32"/>
  <c r="AY69" i="32"/>
  <c r="AZ69" i="32"/>
  <c r="BA69" i="32"/>
  <c r="AK70" i="32"/>
  <c r="AL70" i="32"/>
  <c r="AM70" i="32"/>
  <c r="AN70" i="32"/>
  <c r="AO70" i="32"/>
  <c r="AP70" i="32"/>
  <c r="AQ70" i="32"/>
  <c r="Q70" i="32"/>
  <c r="AR70" i="32"/>
  <c r="AS70" i="32"/>
  <c r="AT70" i="32"/>
  <c r="AU70" i="32"/>
  <c r="AV70" i="32"/>
  <c r="AW70" i="32"/>
  <c r="AX70" i="32"/>
  <c r="AY70" i="32"/>
  <c r="AZ70" i="32"/>
  <c r="BA70" i="32"/>
  <c r="AK71" i="32"/>
  <c r="AL71" i="32"/>
  <c r="AM71" i="32"/>
  <c r="AN71" i="32"/>
  <c r="AO71" i="32"/>
  <c r="AP71" i="32"/>
  <c r="AQ71" i="32"/>
  <c r="Q71" i="32"/>
  <c r="AR71" i="32"/>
  <c r="AS71" i="32"/>
  <c r="AT71" i="32"/>
  <c r="AU71" i="32"/>
  <c r="AV71" i="32"/>
  <c r="AW71" i="32"/>
  <c r="AX71" i="32"/>
  <c r="AY71" i="32"/>
  <c r="AZ71" i="32"/>
  <c r="BA71" i="32"/>
  <c r="AK72" i="32"/>
  <c r="AL72" i="32"/>
  <c r="AM72" i="32"/>
  <c r="AN72" i="32"/>
  <c r="AO72" i="32"/>
  <c r="AP72" i="32"/>
  <c r="AQ72" i="32"/>
  <c r="Q72" i="32"/>
  <c r="AR72" i="32"/>
  <c r="AS72" i="32"/>
  <c r="AT72" i="32"/>
  <c r="AU72" i="32"/>
  <c r="AV72" i="32"/>
  <c r="AW72" i="32"/>
  <c r="AX72" i="32"/>
  <c r="AY72" i="32"/>
  <c r="AZ72" i="32"/>
  <c r="BA72" i="32"/>
  <c r="AK73" i="32"/>
  <c r="AL73" i="32"/>
  <c r="AM73" i="32"/>
  <c r="AN73" i="32"/>
  <c r="AO73" i="32"/>
  <c r="AP73" i="32"/>
  <c r="AQ73" i="32"/>
  <c r="Q73" i="32"/>
  <c r="AR73" i="32"/>
  <c r="AS73" i="32"/>
  <c r="AT73" i="32"/>
  <c r="AU73" i="32"/>
  <c r="AV73" i="32"/>
  <c r="AW73" i="32"/>
  <c r="AX73" i="32"/>
  <c r="AY73" i="32"/>
  <c r="AZ73" i="32"/>
  <c r="BA73" i="32"/>
  <c r="AK74" i="32"/>
  <c r="AL74" i="32"/>
  <c r="AM74" i="32"/>
  <c r="AN74" i="32"/>
  <c r="AO74" i="32"/>
  <c r="AP74" i="32"/>
  <c r="AQ74" i="32"/>
  <c r="Q74" i="32"/>
  <c r="AR74" i="32"/>
  <c r="AS74" i="32"/>
  <c r="AT74" i="32"/>
  <c r="AU74" i="32"/>
  <c r="AV74" i="32"/>
  <c r="AW74" i="32"/>
  <c r="AX74" i="32"/>
  <c r="AY74" i="32"/>
  <c r="AZ74" i="32"/>
  <c r="BA74" i="32"/>
  <c r="AK75" i="32"/>
  <c r="AL75" i="32"/>
  <c r="AM75" i="32"/>
  <c r="AN75" i="32"/>
  <c r="AO75" i="32"/>
  <c r="AP75" i="32"/>
  <c r="AQ75" i="32"/>
  <c r="Q75" i="32"/>
  <c r="AR75" i="32"/>
  <c r="AS75" i="32"/>
  <c r="AT75" i="32"/>
  <c r="AU75" i="32"/>
  <c r="AV75" i="32"/>
  <c r="AW75" i="32"/>
  <c r="AX75" i="32"/>
  <c r="AY75" i="32"/>
  <c r="AZ75" i="32"/>
  <c r="BA75" i="32"/>
  <c r="AK76" i="32"/>
  <c r="AL76" i="32"/>
  <c r="AM76" i="32"/>
  <c r="AN76" i="32"/>
  <c r="AO76" i="32"/>
  <c r="AP76" i="32"/>
  <c r="AQ76" i="32"/>
  <c r="Q76" i="32"/>
  <c r="AR76" i="32"/>
  <c r="AS76" i="32"/>
  <c r="AT76" i="32"/>
  <c r="AU76" i="32"/>
  <c r="AV76" i="32"/>
  <c r="AW76" i="32"/>
  <c r="AX76" i="32"/>
  <c r="AY76" i="32"/>
  <c r="AZ76" i="32"/>
  <c r="BA76" i="32"/>
  <c r="AK77" i="32"/>
  <c r="AL77" i="32"/>
  <c r="AM77" i="32"/>
  <c r="AN77" i="32"/>
  <c r="AO77" i="32"/>
  <c r="AP77" i="32"/>
  <c r="AQ77" i="32"/>
  <c r="Q77" i="32"/>
  <c r="AR77" i="32"/>
  <c r="AS77" i="32"/>
  <c r="AT77" i="32"/>
  <c r="AU77" i="32"/>
  <c r="AV77" i="32"/>
  <c r="AW77" i="32"/>
  <c r="AX77" i="32"/>
  <c r="AY77" i="32"/>
  <c r="AZ77" i="32"/>
  <c r="BA77" i="32"/>
  <c r="AK78" i="32"/>
  <c r="AL78" i="32"/>
  <c r="AM78" i="32"/>
  <c r="AN78" i="32"/>
  <c r="AO78" i="32"/>
  <c r="AP78" i="32"/>
  <c r="AQ78" i="32"/>
  <c r="Q78" i="32"/>
  <c r="AR78" i="32"/>
  <c r="AS78" i="32"/>
  <c r="AT78" i="32"/>
  <c r="AU78" i="32"/>
  <c r="AV78" i="32"/>
  <c r="AW78" i="32"/>
  <c r="AX78" i="32"/>
  <c r="AY78" i="32"/>
  <c r="AZ78" i="32"/>
  <c r="BA78" i="32"/>
  <c r="AK79" i="32"/>
  <c r="AL79" i="32"/>
  <c r="AM79" i="32"/>
  <c r="AN79" i="32"/>
  <c r="AO79" i="32"/>
  <c r="AP79" i="32"/>
  <c r="AQ79" i="32"/>
  <c r="Q79" i="32"/>
  <c r="AR79" i="32"/>
  <c r="AS79" i="32"/>
  <c r="AT79" i="32"/>
  <c r="AU79" i="32"/>
  <c r="AV79" i="32"/>
  <c r="AW79" i="32"/>
  <c r="AX79" i="32"/>
  <c r="AY79" i="32"/>
  <c r="AZ79" i="32"/>
  <c r="BA79" i="32"/>
  <c r="AK80" i="32"/>
  <c r="AL80" i="32"/>
  <c r="AM80" i="32"/>
  <c r="AN80" i="32"/>
  <c r="AO80" i="32"/>
  <c r="AP80" i="32"/>
  <c r="AQ80" i="32"/>
  <c r="Q80" i="32"/>
  <c r="AR80" i="32"/>
  <c r="AS80" i="32"/>
  <c r="AT80" i="32"/>
  <c r="AU80" i="32"/>
  <c r="AV80" i="32"/>
  <c r="AW80" i="32"/>
  <c r="AX80" i="32"/>
  <c r="AY80" i="32"/>
  <c r="AZ80" i="32"/>
  <c r="BA80" i="32"/>
  <c r="AK81" i="32"/>
  <c r="AL81" i="32"/>
  <c r="AM81" i="32"/>
  <c r="AN81" i="32"/>
  <c r="AO81" i="32"/>
  <c r="AP81" i="32"/>
  <c r="AQ81" i="32"/>
  <c r="Q81" i="32"/>
  <c r="AR81" i="32"/>
  <c r="AS81" i="32"/>
  <c r="AT81" i="32"/>
  <c r="AU81" i="32"/>
  <c r="AV81" i="32"/>
  <c r="AW81" i="32"/>
  <c r="AX81" i="32"/>
  <c r="AY81" i="32"/>
  <c r="AZ81" i="32"/>
  <c r="BA81" i="32"/>
  <c r="AK82" i="32"/>
  <c r="AL82" i="32"/>
  <c r="AM82" i="32"/>
  <c r="AN82" i="32"/>
  <c r="AO82" i="32"/>
  <c r="AP82" i="32"/>
  <c r="AQ82" i="32"/>
  <c r="Q82" i="32"/>
  <c r="AR82" i="32"/>
  <c r="AS82" i="32"/>
  <c r="AT82" i="32"/>
  <c r="AU82" i="32"/>
  <c r="AV82" i="32"/>
  <c r="AW82" i="32"/>
  <c r="AX82" i="32"/>
  <c r="AY82" i="32"/>
  <c r="AZ82" i="32"/>
  <c r="BA82" i="32"/>
  <c r="AK83" i="32"/>
  <c r="AL83" i="32"/>
  <c r="AM83" i="32"/>
  <c r="AN83" i="32"/>
  <c r="AO83" i="32"/>
  <c r="AP83" i="32"/>
  <c r="AQ83" i="32"/>
  <c r="Q83" i="32"/>
  <c r="AR83" i="32"/>
  <c r="AS83" i="32"/>
  <c r="AT83" i="32"/>
  <c r="AU83" i="32"/>
  <c r="AV83" i="32"/>
  <c r="AW83" i="32"/>
  <c r="AX83" i="32"/>
  <c r="AY83" i="32"/>
  <c r="AZ83" i="32"/>
  <c r="BA83" i="32"/>
  <c r="AK84" i="32"/>
  <c r="AL84" i="32"/>
  <c r="AM84" i="32"/>
  <c r="AN84" i="32"/>
  <c r="AO84" i="32"/>
  <c r="AP84" i="32"/>
  <c r="AQ84" i="32"/>
  <c r="Q84" i="32"/>
  <c r="AR84" i="32"/>
  <c r="AS84" i="32"/>
  <c r="AT84" i="32"/>
  <c r="AU84" i="32"/>
  <c r="AV84" i="32"/>
  <c r="AW84" i="32"/>
  <c r="AX84" i="32"/>
  <c r="AY84" i="32"/>
  <c r="AZ84" i="32"/>
  <c r="BA84" i="32"/>
  <c r="AK85" i="32"/>
  <c r="AL85" i="32"/>
  <c r="AM85" i="32"/>
  <c r="AN85" i="32"/>
  <c r="AO85" i="32"/>
  <c r="AP85" i="32"/>
  <c r="AQ85" i="32"/>
  <c r="Q85" i="32"/>
  <c r="AR85" i="32"/>
  <c r="AS85" i="32"/>
  <c r="AT85" i="32"/>
  <c r="AU85" i="32"/>
  <c r="AV85" i="32"/>
  <c r="AW85" i="32"/>
  <c r="AX85" i="32"/>
  <c r="AY85" i="32"/>
  <c r="AZ85" i="32"/>
  <c r="BA85" i="32"/>
  <c r="AK86" i="32"/>
  <c r="AL86" i="32"/>
  <c r="AM86" i="32"/>
  <c r="AN86" i="32"/>
  <c r="AO86" i="32"/>
  <c r="AP86" i="32"/>
  <c r="AQ86" i="32"/>
  <c r="Q86" i="32"/>
  <c r="AR86" i="32"/>
  <c r="AS86" i="32"/>
  <c r="AT86" i="32"/>
  <c r="AU86" i="32"/>
  <c r="AV86" i="32"/>
  <c r="AW86" i="32"/>
  <c r="AX86" i="32"/>
  <c r="AY86" i="32"/>
  <c r="AZ86" i="32"/>
  <c r="BA86" i="32"/>
  <c r="AK87" i="32"/>
  <c r="AL87" i="32"/>
  <c r="AM87" i="32"/>
  <c r="AN87" i="32"/>
  <c r="AO87" i="32"/>
  <c r="AP87" i="32"/>
  <c r="AQ87" i="32"/>
  <c r="Q87" i="32"/>
  <c r="AR87" i="32"/>
  <c r="AS87" i="32"/>
  <c r="AT87" i="32"/>
  <c r="AU87" i="32"/>
  <c r="AV87" i="32"/>
  <c r="AW87" i="32"/>
  <c r="AX87" i="32"/>
  <c r="AY87" i="32"/>
  <c r="AZ87" i="32"/>
  <c r="BA87" i="32"/>
  <c r="AK88" i="32"/>
  <c r="AL88" i="32"/>
  <c r="AM88" i="32"/>
  <c r="AN88" i="32"/>
  <c r="AO88" i="32"/>
  <c r="AP88" i="32"/>
  <c r="AQ88" i="32"/>
  <c r="Q88" i="32"/>
  <c r="AR88" i="32"/>
  <c r="AS88" i="32"/>
  <c r="AT88" i="32"/>
  <c r="AU88" i="32"/>
  <c r="AV88" i="32"/>
  <c r="AW88" i="32"/>
  <c r="AX88" i="32"/>
  <c r="AY88" i="32"/>
  <c r="AZ88" i="32"/>
  <c r="BA88" i="32"/>
  <c r="AK89" i="32"/>
  <c r="AL89" i="32"/>
  <c r="AM89" i="32"/>
  <c r="AN89" i="32"/>
  <c r="AO89" i="32"/>
  <c r="AP89" i="32"/>
  <c r="AQ89" i="32"/>
  <c r="Q89" i="32"/>
  <c r="AR89" i="32"/>
  <c r="AS89" i="32"/>
  <c r="AT89" i="32"/>
  <c r="AU89" i="32"/>
  <c r="AV89" i="32"/>
  <c r="AW89" i="32"/>
  <c r="AX89" i="32"/>
  <c r="AY89" i="32"/>
  <c r="AZ89" i="32"/>
  <c r="BA89" i="32"/>
  <c r="AK90" i="32"/>
  <c r="AL90" i="32"/>
  <c r="AM90" i="32"/>
  <c r="AN90" i="32"/>
  <c r="AO90" i="32"/>
  <c r="AP90" i="32"/>
  <c r="AQ90" i="32"/>
  <c r="Q90" i="32"/>
  <c r="AR90" i="32"/>
  <c r="AS90" i="32"/>
  <c r="AT90" i="32"/>
  <c r="AU90" i="32"/>
  <c r="AV90" i="32"/>
  <c r="AW90" i="32"/>
  <c r="AX90" i="32"/>
  <c r="AY90" i="32"/>
  <c r="AZ90" i="32"/>
  <c r="BA90" i="32"/>
  <c r="AK91" i="32"/>
  <c r="AL91" i="32"/>
  <c r="AM91" i="32"/>
  <c r="AN91" i="32"/>
  <c r="AO91" i="32"/>
  <c r="AP91" i="32"/>
  <c r="AQ91" i="32"/>
  <c r="Q91" i="32"/>
  <c r="AR91" i="32"/>
  <c r="AS91" i="32"/>
  <c r="AT91" i="32"/>
  <c r="AU91" i="32"/>
  <c r="AV91" i="32"/>
  <c r="AW91" i="32"/>
  <c r="AX91" i="32"/>
  <c r="AY91" i="32"/>
  <c r="AZ91" i="32"/>
  <c r="BA91" i="32"/>
  <c r="AK92" i="32"/>
  <c r="AL92" i="32"/>
  <c r="AM92" i="32"/>
  <c r="AN92" i="32"/>
  <c r="AO92" i="32"/>
  <c r="AP92" i="32"/>
  <c r="AQ92" i="32"/>
  <c r="Q92" i="32"/>
  <c r="AR92" i="32"/>
  <c r="AS92" i="32"/>
  <c r="AT92" i="32"/>
  <c r="AU92" i="32"/>
  <c r="AV92" i="32"/>
  <c r="AW92" i="32"/>
  <c r="AX92" i="32"/>
  <c r="AY92" i="32"/>
  <c r="AZ92" i="32"/>
  <c r="BA92" i="32"/>
  <c r="AK93" i="32"/>
  <c r="AL93" i="32"/>
  <c r="AM93" i="32"/>
  <c r="AN93" i="32"/>
  <c r="AO93" i="32"/>
  <c r="AP93" i="32"/>
  <c r="AQ93" i="32"/>
  <c r="Q93" i="32"/>
  <c r="AR93" i="32"/>
  <c r="AS93" i="32"/>
  <c r="AT93" i="32"/>
  <c r="AU93" i="32"/>
  <c r="AV93" i="32"/>
  <c r="AW93" i="32"/>
  <c r="AX93" i="32"/>
  <c r="AY93" i="32"/>
  <c r="AZ93" i="32"/>
  <c r="BA93" i="32"/>
  <c r="AK94" i="32"/>
  <c r="AL94" i="32"/>
  <c r="AM94" i="32"/>
  <c r="AN94" i="32"/>
  <c r="AO94" i="32"/>
  <c r="AP94" i="32"/>
  <c r="AQ94" i="32"/>
  <c r="Q94" i="32"/>
  <c r="AR94" i="32"/>
  <c r="AS94" i="32"/>
  <c r="AT94" i="32"/>
  <c r="AU94" i="32"/>
  <c r="AV94" i="32"/>
  <c r="AW94" i="32"/>
  <c r="AX94" i="32"/>
  <c r="AY94" i="32"/>
  <c r="AZ94" i="32"/>
  <c r="BA94" i="32"/>
  <c r="AK95" i="32"/>
  <c r="AL95" i="32"/>
  <c r="AM95" i="32"/>
  <c r="AN95" i="32"/>
  <c r="AO95" i="32"/>
  <c r="AP95" i="32"/>
  <c r="AQ95" i="32"/>
  <c r="Q95" i="32"/>
  <c r="AR95" i="32"/>
  <c r="AS95" i="32"/>
  <c r="AT95" i="32"/>
  <c r="AU95" i="32"/>
  <c r="AV95" i="32"/>
  <c r="AW95" i="32"/>
  <c r="AX95" i="32"/>
  <c r="AY95" i="32"/>
  <c r="AZ95" i="32"/>
  <c r="BA95" i="32"/>
  <c r="AK96" i="32"/>
  <c r="AL96" i="32"/>
  <c r="AM96" i="32"/>
  <c r="AN96" i="32"/>
  <c r="AO96" i="32"/>
  <c r="AP96" i="32"/>
  <c r="AQ96" i="32"/>
  <c r="Q96" i="32"/>
  <c r="AR96" i="32"/>
  <c r="AS96" i="32"/>
  <c r="AT96" i="32"/>
  <c r="AU96" i="32"/>
  <c r="AV96" i="32"/>
  <c r="AW96" i="32"/>
  <c r="AX96" i="32"/>
  <c r="AY96" i="32"/>
  <c r="AZ96" i="32"/>
  <c r="BA96" i="32"/>
  <c r="AK97" i="32"/>
  <c r="AL97" i="32"/>
  <c r="AM97" i="32"/>
  <c r="AN97" i="32"/>
  <c r="AO97" i="32"/>
  <c r="AP97" i="32"/>
  <c r="AQ97" i="32"/>
  <c r="Q97" i="32"/>
  <c r="AR97" i="32"/>
  <c r="AS97" i="32"/>
  <c r="AT97" i="32"/>
  <c r="AU97" i="32"/>
  <c r="AV97" i="32"/>
  <c r="AW97" i="32"/>
  <c r="AX97" i="32"/>
  <c r="AY97" i="32"/>
  <c r="AZ97" i="32"/>
  <c r="BA97" i="32"/>
  <c r="AK98" i="32"/>
  <c r="AL98" i="32"/>
  <c r="AM98" i="32"/>
  <c r="AN98" i="32"/>
  <c r="AO98" i="32"/>
  <c r="AP98" i="32"/>
  <c r="AQ98" i="32"/>
  <c r="Q98" i="32"/>
  <c r="AR98" i="32"/>
  <c r="AS98" i="32"/>
  <c r="AT98" i="32"/>
  <c r="AU98" i="32"/>
  <c r="AV98" i="32"/>
  <c r="AW98" i="32"/>
  <c r="AX98" i="32"/>
  <c r="AY98" i="32"/>
  <c r="AZ98" i="32"/>
  <c r="BA98" i="32"/>
  <c r="AK99" i="32"/>
  <c r="AL99" i="32"/>
  <c r="AM99" i="32"/>
  <c r="AN99" i="32"/>
  <c r="AO99" i="32"/>
  <c r="AP99" i="32"/>
  <c r="AQ99" i="32"/>
  <c r="Q99" i="32"/>
  <c r="AR99" i="32"/>
  <c r="AS99" i="32"/>
  <c r="AT99" i="32"/>
  <c r="AU99" i="32"/>
  <c r="AV99" i="32"/>
  <c r="AW99" i="32"/>
  <c r="AX99" i="32"/>
  <c r="AY99" i="32"/>
  <c r="AZ99" i="32"/>
  <c r="BA99" i="32"/>
  <c r="AK100" i="32"/>
  <c r="AL100" i="32"/>
  <c r="AM100" i="32"/>
  <c r="AN100" i="32"/>
  <c r="AO100" i="32"/>
  <c r="AP100" i="32"/>
  <c r="AQ100" i="32"/>
  <c r="Q100" i="32"/>
  <c r="AR100" i="32"/>
  <c r="AS100" i="32"/>
  <c r="AT100" i="32"/>
  <c r="AU100" i="32"/>
  <c r="AV100" i="32"/>
  <c r="AW100" i="32"/>
  <c r="AX100" i="32"/>
  <c r="AY100" i="32"/>
  <c r="AZ100" i="32"/>
  <c r="BA100" i="32"/>
  <c r="AK101" i="32"/>
  <c r="AL101" i="32"/>
  <c r="AM101" i="32"/>
  <c r="AN101" i="32"/>
  <c r="AO101" i="32"/>
  <c r="AP101" i="32"/>
  <c r="AQ101" i="32"/>
  <c r="Q101" i="32"/>
  <c r="AR101" i="32"/>
  <c r="AS101" i="32"/>
  <c r="AT101" i="32"/>
  <c r="AU101" i="32"/>
  <c r="AV101" i="32"/>
  <c r="AW101" i="32"/>
  <c r="AX101" i="32"/>
  <c r="AY101" i="32"/>
  <c r="AZ101" i="32"/>
  <c r="BA101" i="32"/>
  <c r="AK102" i="32"/>
  <c r="AL102" i="32"/>
  <c r="AM102" i="32"/>
  <c r="AN102" i="32"/>
  <c r="AO102" i="32"/>
  <c r="AP102" i="32"/>
  <c r="AQ102" i="32"/>
  <c r="Q102" i="32"/>
  <c r="AR102" i="32"/>
  <c r="AS102" i="32"/>
  <c r="AT102" i="32"/>
  <c r="AU102" i="32"/>
  <c r="AV102" i="32"/>
  <c r="AW102" i="32"/>
  <c r="AX102" i="32"/>
  <c r="AY102" i="32"/>
  <c r="AZ102" i="32"/>
  <c r="BA102" i="32"/>
  <c r="AK103" i="32"/>
  <c r="AL103" i="32"/>
  <c r="AM103" i="32"/>
  <c r="AN103" i="32"/>
  <c r="AO103" i="32"/>
  <c r="AP103" i="32"/>
  <c r="AQ103" i="32"/>
  <c r="Q103" i="32"/>
  <c r="AR103" i="32"/>
  <c r="AS103" i="32"/>
  <c r="AT103" i="32"/>
  <c r="AU103" i="32"/>
  <c r="AV103" i="32"/>
  <c r="AW103" i="32"/>
  <c r="AX103" i="32"/>
  <c r="AY103" i="32"/>
  <c r="AZ103" i="32"/>
  <c r="BA103" i="32"/>
  <c r="AK104" i="32"/>
  <c r="AL104" i="32"/>
  <c r="AM104" i="32"/>
  <c r="AN104" i="32"/>
  <c r="AO104" i="32"/>
  <c r="AP104" i="32"/>
  <c r="AQ104" i="32"/>
  <c r="Q104" i="32"/>
  <c r="AR104" i="32"/>
  <c r="AS104" i="32"/>
  <c r="AT104" i="32"/>
  <c r="AU104" i="32"/>
  <c r="AV104" i="32"/>
  <c r="AW104" i="32"/>
  <c r="AX104" i="32"/>
  <c r="AY104" i="32"/>
  <c r="AZ104" i="32"/>
  <c r="BA104" i="32"/>
  <c r="AK105" i="32"/>
  <c r="AL105" i="32"/>
  <c r="AM105" i="32"/>
  <c r="AN105" i="32"/>
  <c r="AO105" i="32"/>
  <c r="AP105" i="32"/>
  <c r="AQ105" i="32"/>
  <c r="Q105" i="32"/>
  <c r="AR105" i="32"/>
  <c r="AS105" i="32"/>
  <c r="AT105" i="32"/>
  <c r="AU105" i="32"/>
  <c r="AV105" i="32"/>
  <c r="AW105" i="32"/>
  <c r="AX105" i="32"/>
  <c r="AY105" i="32"/>
  <c r="AZ105" i="32"/>
  <c r="BA105" i="32"/>
  <c r="AK106" i="32"/>
  <c r="AL106" i="32"/>
  <c r="AM106" i="32"/>
  <c r="AN106" i="32"/>
  <c r="AO106" i="32"/>
  <c r="AP106" i="32"/>
  <c r="AQ106" i="32"/>
  <c r="Q106" i="32"/>
  <c r="AR106" i="32"/>
  <c r="AS106" i="32"/>
  <c r="AT106" i="32"/>
  <c r="AU106" i="32"/>
  <c r="AV106" i="32"/>
  <c r="AW106" i="32"/>
  <c r="AX106" i="32"/>
  <c r="AY106" i="32"/>
  <c r="AZ106" i="32"/>
  <c r="BA106" i="32"/>
  <c r="AK107" i="32"/>
  <c r="AL107" i="32"/>
  <c r="AM107" i="32"/>
  <c r="AN107" i="32"/>
  <c r="AO107" i="32"/>
  <c r="AP107" i="32"/>
  <c r="AQ107" i="32"/>
  <c r="Q107" i="32"/>
  <c r="AR107" i="32"/>
  <c r="AS107" i="32"/>
  <c r="AT107" i="32"/>
  <c r="AU107" i="32"/>
  <c r="AV107" i="32"/>
  <c r="AW107" i="32"/>
  <c r="AX107" i="32"/>
  <c r="AY107" i="32"/>
  <c r="AZ107" i="32"/>
  <c r="BA107" i="32"/>
  <c r="AK108" i="32"/>
  <c r="AL108" i="32"/>
  <c r="AM108" i="32"/>
  <c r="AN108" i="32"/>
  <c r="AO108" i="32"/>
  <c r="AP108" i="32"/>
  <c r="AQ108" i="32"/>
  <c r="Q108" i="32"/>
  <c r="AR108" i="32"/>
  <c r="AS108" i="32"/>
  <c r="AT108" i="32"/>
  <c r="AU108" i="32"/>
  <c r="AV108" i="32"/>
  <c r="AW108" i="32"/>
  <c r="AX108" i="32"/>
  <c r="AY108" i="32"/>
  <c r="AZ108" i="32"/>
  <c r="BA108" i="32"/>
  <c r="AK109" i="32"/>
  <c r="AL109" i="32"/>
  <c r="AM109" i="32"/>
  <c r="AN109" i="32"/>
  <c r="AO109" i="32"/>
  <c r="AP109" i="32"/>
  <c r="AQ109" i="32"/>
  <c r="Q109" i="32"/>
  <c r="AR109" i="32"/>
  <c r="AS109" i="32"/>
  <c r="AT109" i="32"/>
  <c r="AU109" i="32"/>
  <c r="AV109" i="32"/>
  <c r="AW109" i="32"/>
  <c r="AX109" i="32"/>
  <c r="AY109" i="32"/>
  <c r="AZ109" i="32"/>
  <c r="BA109" i="32"/>
  <c r="AK110" i="32"/>
  <c r="AL110" i="32"/>
  <c r="AM110" i="32"/>
  <c r="AN110" i="32"/>
  <c r="AO110" i="32"/>
  <c r="AP110" i="32"/>
  <c r="AQ110" i="32"/>
  <c r="Q110" i="32"/>
  <c r="AR110" i="32"/>
  <c r="AS110" i="32"/>
  <c r="AT110" i="32"/>
  <c r="AU110" i="32"/>
  <c r="AV110" i="32"/>
  <c r="AW110" i="32"/>
  <c r="AX110" i="32"/>
  <c r="AY110" i="32"/>
  <c r="AZ110" i="32"/>
  <c r="BA110" i="32"/>
  <c r="AK111" i="32"/>
  <c r="AL111" i="32"/>
  <c r="AM111" i="32"/>
  <c r="AN111" i="32"/>
  <c r="AO111" i="32"/>
  <c r="AP111" i="32"/>
  <c r="AQ111" i="32"/>
  <c r="Q111" i="32"/>
  <c r="AR111" i="32"/>
  <c r="AS111" i="32"/>
  <c r="AT111" i="32"/>
  <c r="AU111" i="32"/>
  <c r="AV111" i="32"/>
  <c r="AW111" i="32"/>
  <c r="AX111" i="32"/>
  <c r="AY111" i="32"/>
  <c r="AZ111" i="32"/>
  <c r="BA111" i="32"/>
  <c r="AK112" i="32"/>
  <c r="AL112" i="32"/>
  <c r="AM112" i="32"/>
  <c r="AN112" i="32"/>
  <c r="AO112" i="32"/>
  <c r="AP112" i="32"/>
  <c r="AQ112" i="32"/>
  <c r="Q112" i="32"/>
  <c r="AR112" i="32"/>
  <c r="AS112" i="32"/>
  <c r="AT112" i="32"/>
  <c r="AU112" i="32"/>
  <c r="AV112" i="32"/>
  <c r="AW112" i="32"/>
  <c r="AX112" i="32"/>
  <c r="AY112" i="32"/>
  <c r="AZ112" i="32"/>
  <c r="BA112" i="32"/>
  <c r="AK113" i="32"/>
  <c r="AL113" i="32"/>
  <c r="AM113" i="32"/>
  <c r="AN113" i="32"/>
  <c r="AO113" i="32"/>
  <c r="AP113" i="32"/>
  <c r="AQ113" i="32"/>
  <c r="Q113" i="32"/>
  <c r="AR113" i="32"/>
  <c r="AS113" i="32"/>
  <c r="AT113" i="32"/>
  <c r="AU113" i="32"/>
  <c r="AV113" i="32"/>
  <c r="AW113" i="32"/>
  <c r="AX113" i="32"/>
  <c r="AY113" i="32"/>
  <c r="AZ113" i="32"/>
  <c r="BA113" i="32"/>
  <c r="AK114" i="32"/>
  <c r="AL114" i="32"/>
  <c r="AM114" i="32"/>
  <c r="AN114" i="32"/>
  <c r="AO114" i="32"/>
  <c r="AP114" i="32"/>
  <c r="AQ114" i="32"/>
  <c r="Q114" i="32"/>
  <c r="AR114" i="32"/>
  <c r="AS114" i="32"/>
  <c r="AT114" i="32"/>
  <c r="AU114" i="32"/>
  <c r="AV114" i="32"/>
  <c r="AW114" i="32"/>
  <c r="AX114" i="32"/>
  <c r="AY114" i="32"/>
  <c r="AZ114" i="32"/>
  <c r="BA114" i="32"/>
  <c r="AK115" i="32"/>
  <c r="AL115" i="32"/>
  <c r="AM115" i="32"/>
  <c r="AN115" i="32"/>
  <c r="AO115" i="32"/>
  <c r="AP115" i="32"/>
  <c r="AQ115" i="32"/>
  <c r="Q115" i="32"/>
  <c r="AR115" i="32"/>
  <c r="AS115" i="32"/>
  <c r="AT115" i="32"/>
  <c r="AU115" i="32"/>
  <c r="AV115" i="32"/>
  <c r="AW115" i="32"/>
  <c r="AX115" i="32"/>
  <c r="AY115" i="32"/>
  <c r="AZ115" i="32"/>
  <c r="BA115" i="32"/>
  <c r="AK116" i="32"/>
  <c r="AL116" i="32"/>
  <c r="AM116" i="32"/>
  <c r="AN116" i="32"/>
  <c r="AO116" i="32"/>
  <c r="AP116" i="32"/>
  <c r="AQ116" i="32"/>
  <c r="Q116" i="32"/>
  <c r="AR116" i="32"/>
  <c r="AS116" i="32"/>
  <c r="AT116" i="32"/>
  <c r="AU116" i="32"/>
  <c r="AV116" i="32"/>
  <c r="AW116" i="32"/>
  <c r="AX116" i="32"/>
  <c r="AY116" i="32"/>
  <c r="AZ116" i="32"/>
  <c r="BA116" i="32"/>
  <c r="AK117" i="32"/>
  <c r="AL117" i="32"/>
  <c r="AM117" i="32"/>
  <c r="AN117" i="32"/>
  <c r="AO117" i="32"/>
  <c r="AP117" i="32"/>
  <c r="AQ117" i="32"/>
  <c r="Q117" i="32"/>
  <c r="AR117" i="32"/>
  <c r="AS117" i="32"/>
  <c r="AT117" i="32"/>
  <c r="AU117" i="32"/>
  <c r="AV117" i="32"/>
  <c r="AW117" i="32"/>
  <c r="AX117" i="32"/>
  <c r="AY117" i="32"/>
  <c r="AZ117" i="32"/>
  <c r="BA117" i="32"/>
  <c r="AK118" i="32"/>
  <c r="AL118" i="32"/>
  <c r="AM118" i="32"/>
  <c r="AN118" i="32"/>
  <c r="AO118" i="32"/>
  <c r="AP118" i="32"/>
  <c r="AQ118" i="32"/>
  <c r="Q118" i="32"/>
  <c r="AR118" i="32"/>
  <c r="AS118" i="32"/>
  <c r="AT118" i="32"/>
  <c r="AU118" i="32"/>
  <c r="AV118" i="32"/>
  <c r="AW118" i="32"/>
  <c r="AX118" i="32"/>
  <c r="AY118" i="32"/>
  <c r="AZ118" i="32"/>
  <c r="BA118" i="32"/>
  <c r="AK119" i="32"/>
  <c r="AL119" i="32"/>
  <c r="AM119" i="32"/>
  <c r="AN119" i="32"/>
  <c r="AO119" i="32"/>
  <c r="AP119" i="32"/>
  <c r="AQ119" i="32"/>
  <c r="Q119" i="32"/>
  <c r="AR119" i="32"/>
  <c r="AS119" i="32"/>
  <c r="AT119" i="32"/>
  <c r="AU119" i="32"/>
  <c r="AV119" i="32"/>
  <c r="AW119" i="32"/>
  <c r="AX119" i="32"/>
  <c r="AY119" i="32"/>
  <c r="AZ119" i="32"/>
  <c r="BA119" i="32"/>
  <c r="AK120" i="32"/>
  <c r="AL120" i="32"/>
  <c r="AM120" i="32"/>
  <c r="AN120" i="32"/>
  <c r="AO120" i="32"/>
  <c r="AP120" i="32"/>
  <c r="AQ120" i="32"/>
  <c r="Q120" i="32"/>
  <c r="AR120" i="32"/>
  <c r="AS120" i="32"/>
  <c r="AT120" i="32"/>
  <c r="AU120" i="32"/>
  <c r="AV120" i="32"/>
  <c r="AW120" i="32"/>
  <c r="AX120" i="32"/>
  <c r="AY120" i="32"/>
  <c r="AZ120" i="32"/>
  <c r="BA120" i="32"/>
  <c r="AK121" i="32"/>
  <c r="AL121" i="32"/>
  <c r="AM121" i="32"/>
  <c r="AN121" i="32"/>
  <c r="AO121" i="32"/>
  <c r="AP121" i="32"/>
  <c r="AQ121" i="32"/>
  <c r="Q121" i="32"/>
  <c r="AR121" i="32"/>
  <c r="AS121" i="32"/>
  <c r="AT121" i="32"/>
  <c r="AU121" i="32"/>
  <c r="AV121" i="32"/>
  <c r="AW121" i="32"/>
  <c r="AX121" i="32"/>
  <c r="AY121" i="32"/>
  <c r="AZ121" i="32"/>
  <c r="BA121" i="32"/>
  <c r="AK122" i="32"/>
  <c r="AL122" i="32"/>
  <c r="AM122" i="32"/>
  <c r="AN122" i="32"/>
  <c r="AO122" i="32"/>
  <c r="AP122" i="32"/>
  <c r="AQ122" i="32"/>
  <c r="Q122" i="32"/>
  <c r="AR122" i="32"/>
  <c r="AS122" i="32"/>
  <c r="AT122" i="32"/>
  <c r="AU122" i="32"/>
  <c r="AV122" i="32"/>
  <c r="AW122" i="32"/>
  <c r="AX122" i="32"/>
  <c r="AY122" i="32"/>
  <c r="AZ122" i="32"/>
  <c r="BA122" i="32"/>
  <c r="AK123" i="32"/>
  <c r="AL123" i="32"/>
  <c r="AM123" i="32"/>
  <c r="AN123" i="32"/>
  <c r="AO123" i="32"/>
  <c r="AP123" i="32"/>
  <c r="AQ123" i="32"/>
  <c r="Q123" i="32"/>
  <c r="AR123" i="32"/>
  <c r="AS123" i="32"/>
  <c r="AT123" i="32"/>
  <c r="AU123" i="32"/>
  <c r="AV123" i="32"/>
  <c r="AW123" i="32"/>
  <c r="AX123" i="32"/>
  <c r="AY123" i="32"/>
  <c r="AZ123" i="32"/>
  <c r="BA123" i="32"/>
  <c r="AK124" i="32"/>
  <c r="AL124" i="32"/>
  <c r="AM124" i="32"/>
  <c r="AN124" i="32"/>
  <c r="AO124" i="32"/>
  <c r="AP124" i="32"/>
  <c r="AQ124" i="32"/>
  <c r="Q124" i="32"/>
  <c r="AR124" i="32"/>
  <c r="AS124" i="32"/>
  <c r="AT124" i="32"/>
  <c r="AU124" i="32"/>
  <c r="AV124" i="32"/>
  <c r="AW124" i="32"/>
  <c r="AX124" i="32"/>
  <c r="AY124" i="32"/>
  <c r="AZ124" i="32"/>
  <c r="BA124" i="32"/>
  <c r="AK125" i="32"/>
  <c r="AL125" i="32"/>
  <c r="AM125" i="32"/>
  <c r="AN125" i="32"/>
  <c r="AO125" i="32"/>
  <c r="AP125" i="32"/>
  <c r="AQ125" i="32"/>
  <c r="Q125" i="32"/>
  <c r="AR125" i="32"/>
  <c r="AS125" i="32"/>
  <c r="AT125" i="32"/>
  <c r="AU125" i="32"/>
  <c r="AV125" i="32"/>
  <c r="AW125" i="32"/>
  <c r="AX125" i="32"/>
  <c r="AY125" i="32"/>
  <c r="AZ125" i="32"/>
  <c r="BA125" i="32"/>
  <c r="AK126" i="32"/>
  <c r="AL126" i="32"/>
  <c r="AM126" i="32"/>
  <c r="AN126" i="32"/>
  <c r="AO126" i="32"/>
  <c r="AP126" i="32"/>
  <c r="AQ126" i="32"/>
  <c r="Q126" i="32"/>
  <c r="AR126" i="32"/>
  <c r="AS126" i="32"/>
  <c r="AT126" i="32"/>
  <c r="AU126" i="32"/>
  <c r="AV126" i="32"/>
  <c r="AW126" i="32"/>
  <c r="AX126" i="32"/>
  <c r="AY126" i="32"/>
  <c r="AZ126" i="32"/>
  <c r="BA126" i="32"/>
  <c r="AK127" i="32"/>
  <c r="AL127" i="32"/>
  <c r="AM127" i="32"/>
  <c r="AN127" i="32"/>
  <c r="AO127" i="32"/>
  <c r="AP127" i="32"/>
  <c r="AQ127" i="32"/>
  <c r="Q127" i="32"/>
  <c r="AR127" i="32"/>
  <c r="AS127" i="32"/>
  <c r="AT127" i="32"/>
  <c r="AU127" i="32"/>
  <c r="AV127" i="32"/>
  <c r="AW127" i="32"/>
  <c r="AX127" i="32"/>
  <c r="AY127" i="32"/>
  <c r="AZ127" i="32"/>
  <c r="BA127" i="32"/>
  <c r="AK128" i="32"/>
  <c r="AL128" i="32"/>
  <c r="AM128" i="32"/>
  <c r="AN128" i="32"/>
  <c r="AO128" i="32"/>
  <c r="AP128" i="32"/>
  <c r="AQ128" i="32"/>
  <c r="Q128" i="32"/>
  <c r="AR128" i="32"/>
  <c r="AS128" i="32"/>
  <c r="AT128" i="32"/>
  <c r="AU128" i="32"/>
  <c r="AV128" i="32"/>
  <c r="AW128" i="32"/>
  <c r="AX128" i="32"/>
  <c r="AY128" i="32"/>
  <c r="AZ128" i="32"/>
  <c r="BA128" i="32"/>
  <c r="AK129" i="32"/>
  <c r="AL129" i="32"/>
  <c r="AM129" i="32"/>
  <c r="AN129" i="32"/>
  <c r="AO129" i="32"/>
  <c r="AP129" i="32"/>
  <c r="AQ129" i="32"/>
  <c r="Q129" i="32"/>
  <c r="AR129" i="32"/>
  <c r="AS129" i="32"/>
  <c r="AT129" i="32"/>
  <c r="AU129" i="32"/>
  <c r="AV129" i="32"/>
  <c r="AW129" i="32"/>
  <c r="AX129" i="32"/>
  <c r="AY129" i="32"/>
  <c r="AZ129" i="32"/>
  <c r="BA129" i="32"/>
  <c r="AK130" i="32"/>
  <c r="AL130" i="32"/>
  <c r="AM130" i="32"/>
  <c r="AN130" i="32"/>
  <c r="AO130" i="32"/>
  <c r="AP130" i="32"/>
  <c r="AQ130" i="32"/>
  <c r="Q130" i="32"/>
  <c r="AR130" i="32"/>
  <c r="AS130" i="32"/>
  <c r="AT130" i="32"/>
  <c r="AU130" i="32"/>
  <c r="AV130" i="32"/>
  <c r="AW130" i="32"/>
  <c r="AX130" i="32"/>
  <c r="AY130" i="32"/>
  <c r="AZ130" i="32"/>
  <c r="BA130" i="32"/>
  <c r="AK131" i="32"/>
  <c r="AL131" i="32"/>
  <c r="AM131" i="32"/>
  <c r="AN131" i="32"/>
  <c r="AO131" i="32"/>
  <c r="AP131" i="32"/>
  <c r="AQ131" i="32"/>
  <c r="Q131" i="32"/>
  <c r="AR131" i="32"/>
  <c r="AS131" i="32"/>
  <c r="AT131" i="32"/>
  <c r="AU131" i="32"/>
  <c r="AV131" i="32"/>
  <c r="AW131" i="32"/>
  <c r="AX131" i="32"/>
  <c r="AY131" i="32"/>
  <c r="AZ131" i="32"/>
  <c r="BA131" i="32"/>
  <c r="AK132" i="32"/>
  <c r="AL132" i="32"/>
  <c r="AM132" i="32"/>
  <c r="AN132" i="32"/>
  <c r="AO132" i="32"/>
  <c r="AP132" i="32"/>
  <c r="AQ132" i="32"/>
  <c r="Q132" i="32"/>
  <c r="AR132" i="32"/>
  <c r="AS132" i="32"/>
  <c r="AT132" i="32"/>
  <c r="AU132" i="32"/>
  <c r="AV132" i="32"/>
  <c r="AW132" i="32"/>
  <c r="AX132" i="32"/>
  <c r="AY132" i="32"/>
  <c r="AZ132" i="32"/>
  <c r="BA132" i="32"/>
  <c r="AK133" i="32"/>
  <c r="AL133" i="32"/>
  <c r="AM133" i="32"/>
  <c r="AN133" i="32"/>
  <c r="AO133" i="32"/>
  <c r="AP133" i="32"/>
  <c r="AQ133" i="32"/>
  <c r="Q133" i="32"/>
  <c r="AR133" i="32"/>
  <c r="AS133" i="32"/>
  <c r="AT133" i="32"/>
  <c r="AU133" i="32"/>
  <c r="AV133" i="32"/>
  <c r="AW133" i="32"/>
  <c r="AX133" i="32"/>
  <c r="AY133" i="32"/>
  <c r="AZ133" i="32"/>
  <c r="BA133" i="32"/>
  <c r="AK134" i="32"/>
  <c r="AL134" i="32"/>
  <c r="AM134" i="32"/>
  <c r="AN134" i="32"/>
  <c r="AO134" i="32"/>
  <c r="AP134" i="32"/>
  <c r="AQ134" i="32"/>
  <c r="Q134" i="32"/>
  <c r="AR134" i="32"/>
  <c r="AS134" i="32"/>
  <c r="AT134" i="32"/>
  <c r="AU134" i="32"/>
  <c r="AV134" i="32"/>
  <c r="AW134" i="32"/>
  <c r="AX134" i="32"/>
  <c r="AY134" i="32"/>
  <c r="AZ134" i="32"/>
  <c r="BA134" i="32"/>
  <c r="AK135" i="32"/>
  <c r="AL135" i="32"/>
  <c r="AM135" i="32"/>
  <c r="AN135" i="32"/>
  <c r="AO135" i="32"/>
  <c r="AP135" i="32"/>
  <c r="AQ135" i="32"/>
  <c r="Q135" i="32"/>
  <c r="AR135" i="32"/>
  <c r="AS135" i="32"/>
  <c r="AT135" i="32"/>
  <c r="AU135" i="32"/>
  <c r="AV135" i="32"/>
  <c r="AW135" i="32"/>
  <c r="AX135" i="32"/>
  <c r="AY135" i="32"/>
  <c r="AZ135" i="32"/>
  <c r="BA135" i="32"/>
  <c r="AK136" i="32"/>
  <c r="AL136" i="32"/>
  <c r="AM136" i="32"/>
  <c r="AN136" i="32"/>
  <c r="AO136" i="32"/>
  <c r="AP136" i="32"/>
  <c r="AQ136" i="32"/>
  <c r="Q136" i="32"/>
  <c r="AR136" i="32"/>
  <c r="AS136" i="32"/>
  <c r="AT136" i="32"/>
  <c r="AU136" i="32"/>
  <c r="AV136" i="32"/>
  <c r="AW136" i="32"/>
  <c r="AX136" i="32"/>
  <c r="AY136" i="32"/>
  <c r="AZ136" i="32"/>
  <c r="BA136" i="32"/>
  <c r="AK137" i="32"/>
  <c r="AL137" i="32"/>
  <c r="AM137" i="32"/>
  <c r="AN137" i="32"/>
  <c r="AO137" i="32"/>
  <c r="AP137" i="32"/>
  <c r="AQ137" i="32"/>
  <c r="Q137" i="32"/>
  <c r="AR137" i="32"/>
  <c r="AS137" i="32"/>
  <c r="AT137" i="32"/>
  <c r="AU137" i="32"/>
  <c r="AV137" i="32"/>
  <c r="AW137" i="32"/>
  <c r="AX137" i="32"/>
  <c r="AY137" i="32"/>
  <c r="AZ137" i="32"/>
  <c r="BA137" i="32"/>
  <c r="AK138" i="32"/>
  <c r="AL138" i="32"/>
  <c r="AM138" i="32"/>
  <c r="AN138" i="32"/>
  <c r="AO138" i="32"/>
  <c r="AP138" i="32"/>
  <c r="AQ138" i="32"/>
  <c r="Q138" i="32"/>
  <c r="AR138" i="32"/>
  <c r="AS138" i="32"/>
  <c r="AT138" i="32"/>
  <c r="AU138" i="32"/>
  <c r="AV138" i="32"/>
  <c r="AW138" i="32"/>
  <c r="AX138" i="32"/>
  <c r="AY138" i="32"/>
  <c r="AZ138" i="32"/>
  <c r="BA138" i="32"/>
  <c r="AK139" i="32"/>
  <c r="AL139" i="32"/>
  <c r="AM139" i="32"/>
  <c r="AN139" i="32"/>
  <c r="AO139" i="32"/>
  <c r="AP139" i="32"/>
  <c r="AQ139" i="32"/>
  <c r="Q139" i="32"/>
  <c r="AR139" i="32"/>
  <c r="AS139" i="32"/>
  <c r="AT139" i="32"/>
  <c r="AU139" i="32"/>
  <c r="AV139" i="32"/>
  <c r="AW139" i="32"/>
  <c r="AX139" i="32"/>
  <c r="AY139" i="32"/>
  <c r="AZ139" i="32"/>
  <c r="BA139" i="32"/>
  <c r="AK140" i="32"/>
  <c r="AL140" i="32"/>
  <c r="AM140" i="32"/>
  <c r="AN140" i="32"/>
  <c r="AO140" i="32"/>
  <c r="AP140" i="32"/>
  <c r="AQ140" i="32"/>
  <c r="Q140" i="32"/>
  <c r="AR140" i="32"/>
  <c r="AS140" i="32"/>
  <c r="AT140" i="32"/>
  <c r="AU140" i="32"/>
  <c r="AV140" i="32"/>
  <c r="AW140" i="32"/>
  <c r="AX140" i="32"/>
  <c r="AY140" i="32"/>
  <c r="AZ140" i="32"/>
  <c r="BA140" i="32"/>
  <c r="AK141" i="32"/>
  <c r="AL141" i="32"/>
  <c r="AM141" i="32"/>
  <c r="AN141" i="32"/>
  <c r="AO141" i="32"/>
  <c r="AP141" i="32"/>
  <c r="AQ141" i="32"/>
  <c r="Q141" i="32"/>
  <c r="AR141" i="32"/>
  <c r="AS141" i="32"/>
  <c r="AT141" i="32"/>
  <c r="AU141" i="32"/>
  <c r="AV141" i="32"/>
  <c r="AW141" i="32"/>
  <c r="AX141" i="32"/>
  <c r="AY141" i="32"/>
  <c r="AZ141" i="32"/>
  <c r="BA141" i="32"/>
  <c r="AK142" i="32"/>
  <c r="AL142" i="32"/>
  <c r="AM142" i="32"/>
  <c r="AN142" i="32"/>
  <c r="AO142" i="32"/>
  <c r="AP142" i="32"/>
  <c r="AQ142" i="32"/>
  <c r="Q142" i="32"/>
  <c r="AR142" i="32"/>
  <c r="AS142" i="32"/>
  <c r="AT142" i="32"/>
  <c r="AU142" i="32"/>
  <c r="AV142" i="32"/>
  <c r="AW142" i="32"/>
  <c r="AX142" i="32"/>
  <c r="AY142" i="32"/>
  <c r="AZ142" i="32"/>
  <c r="BA142" i="32"/>
  <c r="AK143" i="32"/>
  <c r="AL143" i="32"/>
  <c r="AM143" i="32"/>
  <c r="AN143" i="32"/>
  <c r="AO143" i="32"/>
  <c r="AP143" i="32"/>
  <c r="AQ143" i="32"/>
  <c r="Q143" i="32"/>
  <c r="AR143" i="32"/>
  <c r="AS143" i="32"/>
  <c r="AT143" i="32"/>
  <c r="AU143" i="32"/>
  <c r="AV143" i="32"/>
  <c r="AW143" i="32"/>
  <c r="AX143" i="32"/>
  <c r="AY143" i="32"/>
  <c r="AZ143" i="32"/>
  <c r="BA143" i="32"/>
  <c r="AK144" i="32"/>
  <c r="AL144" i="32"/>
  <c r="AM144" i="32"/>
  <c r="AN144" i="32"/>
  <c r="AO144" i="32"/>
  <c r="AP144" i="32"/>
  <c r="AQ144" i="32"/>
  <c r="Q144" i="32"/>
  <c r="AR144" i="32"/>
  <c r="AS144" i="32"/>
  <c r="AT144" i="32"/>
  <c r="AU144" i="32"/>
  <c r="AV144" i="32"/>
  <c r="AW144" i="32"/>
  <c r="AX144" i="32"/>
  <c r="AY144" i="32"/>
  <c r="AZ144" i="32"/>
  <c r="BA144" i="32"/>
  <c r="AK145" i="32"/>
  <c r="AL145" i="32"/>
  <c r="AM145" i="32"/>
  <c r="AN145" i="32"/>
  <c r="AO145" i="32"/>
  <c r="AP145" i="32"/>
  <c r="AQ145" i="32"/>
  <c r="Q145" i="32"/>
  <c r="AR145" i="32"/>
  <c r="AS145" i="32"/>
  <c r="AT145" i="32"/>
  <c r="AU145" i="32"/>
  <c r="AV145" i="32"/>
  <c r="AW145" i="32"/>
  <c r="AX145" i="32"/>
  <c r="AY145" i="32"/>
  <c r="AZ145" i="32"/>
  <c r="BA145" i="32"/>
  <c r="AK146" i="32"/>
  <c r="AL146" i="32"/>
  <c r="AM146" i="32"/>
  <c r="AN146" i="32"/>
  <c r="AO146" i="32"/>
  <c r="AP146" i="32"/>
  <c r="AQ146" i="32"/>
  <c r="Q146" i="32"/>
  <c r="AR146" i="32"/>
  <c r="AS146" i="32"/>
  <c r="AT146" i="32"/>
  <c r="AU146" i="32"/>
  <c r="AV146" i="32"/>
  <c r="AW146" i="32"/>
  <c r="AX146" i="32"/>
  <c r="AY146" i="32"/>
  <c r="AZ146" i="32"/>
  <c r="BA146" i="32"/>
  <c r="AK147" i="32"/>
  <c r="AL147" i="32"/>
  <c r="AM147" i="32"/>
  <c r="AN147" i="32"/>
  <c r="AO147" i="32"/>
  <c r="AP147" i="32"/>
  <c r="AQ147" i="32"/>
  <c r="Q147" i="32"/>
  <c r="AR147" i="32"/>
  <c r="AS147" i="32"/>
  <c r="AT147" i="32"/>
  <c r="AU147" i="32"/>
  <c r="AV147" i="32"/>
  <c r="AW147" i="32"/>
  <c r="AX147" i="32"/>
  <c r="AY147" i="32"/>
  <c r="AZ147" i="32"/>
  <c r="BA147" i="32"/>
  <c r="AK148" i="32"/>
  <c r="AL148" i="32"/>
  <c r="AM148" i="32"/>
  <c r="AN148" i="32"/>
  <c r="AO148" i="32"/>
  <c r="AP148" i="32"/>
  <c r="AQ148" i="32"/>
  <c r="Q148" i="32"/>
  <c r="AR148" i="32"/>
  <c r="AS148" i="32"/>
  <c r="AT148" i="32"/>
  <c r="AU148" i="32"/>
  <c r="AV148" i="32"/>
  <c r="AW148" i="32"/>
  <c r="AX148" i="32"/>
  <c r="AY148" i="32"/>
  <c r="AZ148" i="32"/>
  <c r="BA148" i="32"/>
  <c r="AK149" i="32"/>
  <c r="AL149" i="32"/>
  <c r="AM149" i="32"/>
  <c r="AN149" i="32"/>
  <c r="AO149" i="32"/>
  <c r="AP149" i="32"/>
  <c r="AQ149" i="32"/>
  <c r="Q149" i="32"/>
  <c r="AR149" i="32"/>
  <c r="AS149" i="32"/>
  <c r="AT149" i="32"/>
  <c r="AU149" i="32"/>
  <c r="AV149" i="32"/>
  <c r="AW149" i="32"/>
  <c r="AX149" i="32"/>
  <c r="AY149" i="32"/>
  <c r="AZ149" i="32"/>
  <c r="BA149" i="32"/>
  <c r="AK150" i="32"/>
  <c r="AL150" i="32"/>
  <c r="AM150" i="32"/>
  <c r="AN150" i="32"/>
  <c r="AO150" i="32"/>
  <c r="AP150" i="32"/>
  <c r="AQ150" i="32"/>
  <c r="Q150" i="32"/>
  <c r="AR150" i="32"/>
  <c r="AS150" i="32"/>
  <c r="AT150" i="32"/>
  <c r="AU150" i="32"/>
  <c r="AV150" i="32"/>
  <c r="AW150" i="32"/>
  <c r="AX150" i="32"/>
  <c r="AY150" i="32"/>
  <c r="AZ150" i="32"/>
  <c r="BA150" i="32"/>
  <c r="AK151" i="32"/>
  <c r="AL151" i="32"/>
  <c r="AM151" i="32"/>
  <c r="AN151" i="32"/>
  <c r="AO151" i="32"/>
  <c r="AP151" i="32"/>
  <c r="AQ151" i="32"/>
  <c r="Q151" i="32"/>
  <c r="AR151" i="32"/>
  <c r="AS151" i="32"/>
  <c r="AT151" i="32"/>
  <c r="AU151" i="32"/>
  <c r="AV151" i="32"/>
  <c r="AW151" i="32"/>
  <c r="AX151" i="32"/>
  <c r="AY151" i="32"/>
  <c r="AZ151" i="32"/>
  <c r="BA151" i="32"/>
  <c r="AK152" i="32"/>
  <c r="AL152" i="32"/>
  <c r="AM152" i="32"/>
  <c r="AN152" i="32"/>
  <c r="AO152" i="32"/>
  <c r="AP152" i="32"/>
  <c r="AQ152" i="32"/>
  <c r="Q152" i="32"/>
  <c r="AR152" i="32"/>
  <c r="AS152" i="32"/>
  <c r="AT152" i="32"/>
  <c r="AU152" i="32"/>
  <c r="AV152" i="32"/>
  <c r="AW152" i="32"/>
  <c r="AX152" i="32"/>
  <c r="AY152" i="32"/>
  <c r="AZ152" i="32"/>
  <c r="BA152" i="32"/>
  <c r="AK153" i="32"/>
  <c r="AL153" i="32"/>
  <c r="AM153" i="32"/>
  <c r="AN153" i="32"/>
  <c r="AO153" i="32"/>
  <c r="AP153" i="32"/>
  <c r="AQ153" i="32"/>
  <c r="Q153" i="32"/>
  <c r="AR153" i="32"/>
  <c r="AS153" i="32"/>
  <c r="AT153" i="32"/>
  <c r="AU153" i="32"/>
  <c r="AV153" i="32"/>
  <c r="AW153" i="32"/>
  <c r="AX153" i="32"/>
  <c r="AY153" i="32"/>
  <c r="AZ153" i="32"/>
  <c r="BA153" i="32"/>
  <c r="AK154" i="32"/>
  <c r="AL154" i="32"/>
  <c r="AM154" i="32"/>
  <c r="AN154" i="32"/>
  <c r="AO154" i="32"/>
  <c r="AP154" i="32"/>
  <c r="AQ154" i="32"/>
  <c r="Q154" i="32"/>
  <c r="AR154" i="32"/>
  <c r="AS154" i="32"/>
  <c r="AT154" i="32"/>
  <c r="AU154" i="32"/>
  <c r="AV154" i="32"/>
  <c r="AW154" i="32"/>
  <c r="AX154" i="32"/>
  <c r="AY154" i="32"/>
  <c r="AZ154" i="32"/>
  <c r="BA154" i="32"/>
  <c r="AK155" i="32"/>
  <c r="AL155" i="32"/>
  <c r="AM155" i="32"/>
  <c r="AN155" i="32"/>
  <c r="AO155" i="32"/>
  <c r="AP155" i="32"/>
  <c r="AQ155" i="32"/>
  <c r="Q155" i="32"/>
  <c r="AR155" i="32"/>
  <c r="AS155" i="32"/>
  <c r="AT155" i="32"/>
  <c r="AU155" i="32"/>
  <c r="AV155" i="32"/>
  <c r="AW155" i="32"/>
  <c r="AX155" i="32"/>
  <c r="AY155" i="32"/>
  <c r="AZ155" i="32"/>
  <c r="BA155" i="32"/>
  <c r="AK156" i="32"/>
  <c r="AL156" i="32"/>
  <c r="AM156" i="32"/>
  <c r="AN156" i="32"/>
  <c r="AO156" i="32"/>
  <c r="AP156" i="32"/>
  <c r="AQ156" i="32"/>
  <c r="Q156" i="32"/>
  <c r="AR156" i="32"/>
  <c r="AS156" i="32"/>
  <c r="AT156" i="32"/>
  <c r="AU156" i="32"/>
  <c r="AV156" i="32"/>
  <c r="AW156" i="32"/>
  <c r="AX156" i="32"/>
  <c r="AY156" i="32"/>
  <c r="AZ156" i="32"/>
  <c r="BA156" i="32"/>
  <c r="AK157" i="32"/>
  <c r="AL157" i="32"/>
  <c r="AM157" i="32"/>
  <c r="AN157" i="32"/>
  <c r="AO157" i="32"/>
  <c r="AP157" i="32"/>
  <c r="AQ157" i="32"/>
  <c r="Q157" i="32"/>
  <c r="AR157" i="32"/>
  <c r="AS157" i="32"/>
  <c r="AT157" i="32"/>
  <c r="AU157" i="32"/>
  <c r="AV157" i="32"/>
  <c r="AW157" i="32"/>
  <c r="AX157" i="32"/>
  <c r="AY157" i="32"/>
  <c r="AZ157" i="32"/>
  <c r="BA157" i="32"/>
  <c r="AK158" i="32"/>
  <c r="AL158" i="32"/>
  <c r="AM158" i="32"/>
  <c r="AN158" i="32"/>
  <c r="AO158" i="32"/>
  <c r="AP158" i="32"/>
  <c r="AQ158" i="32"/>
  <c r="Q158" i="32"/>
  <c r="AR158" i="32"/>
  <c r="AS158" i="32"/>
  <c r="AT158" i="32"/>
  <c r="AU158" i="32"/>
  <c r="AV158" i="32"/>
  <c r="AW158" i="32"/>
  <c r="AX158" i="32"/>
  <c r="AY158" i="32"/>
  <c r="AZ158" i="32"/>
  <c r="BA158" i="32"/>
  <c r="AK159" i="32"/>
  <c r="AL159" i="32"/>
  <c r="AM159" i="32"/>
  <c r="AN159" i="32"/>
  <c r="AO159" i="32"/>
  <c r="AP159" i="32"/>
  <c r="AQ159" i="32"/>
  <c r="Q159" i="32"/>
  <c r="AR159" i="32"/>
  <c r="AS159" i="32"/>
  <c r="AT159" i="32"/>
  <c r="AU159" i="32"/>
  <c r="AV159" i="32"/>
  <c r="AW159" i="32"/>
  <c r="AX159" i="32"/>
  <c r="AY159" i="32"/>
  <c r="AZ159" i="32"/>
  <c r="BA159" i="32"/>
  <c r="AK160" i="32"/>
  <c r="AL160" i="32"/>
  <c r="AM160" i="32"/>
  <c r="AN160" i="32"/>
  <c r="AO160" i="32"/>
  <c r="AP160" i="32"/>
  <c r="AQ160" i="32"/>
  <c r="Q160" i="32"/>
  <c r="AR160" i="32"/>
  <c r="AS160" i="32"/>
  <c r="AT160" i="32"/>
  <c r="AU160" i="32"/>
  <c r="AV160" i="32"/>
  <c r="AW160" i="32"/>
  <c r="AX160" i="32"/>
  <c r="AY160" i="32"/>
  <c r="AZ160" i="32"/>
  <c r="BA160" i="32"/>
  <c r="AK161" i="32"/>
  <c r="AL161" i="32"/>
  <c r="AM161" i="32"/>
  <c r="AN161" i="32"/>
  <c r="AO161" i="32"/>
  <c r="AP161" i="32"/>
  <c r="AQ161" i="32"/>
  <c r="Q161" i="32"/>
  <c r="AR161" i="32"/>
  <c r="AS161" i="32"/>
  <c r="AT161" i="32"/>
  <c r="AU161" i="32"/>
  <c r="AV161" i="32"/>
  <c r="AW161" i="32"/>
  <c r="AX161" i="32"/>
  <c r="AY161" i="32"/>
  <c r="AZ161" i="32"/>
  <c r="BA161" i="32"/>
  <c r="AK162" i="32"/>
  <c r="AL162" i="32"/>
  <c r="AM162" i="32"/>
  <c r="AN162" i="32"/>
  <c r="AO162" i="32"/>
  <c r="AP162" i="32"/>
  <c r="AQ162" i="32"/>
  <c r="Q162" i="32"/>
  <c r="AR162" i="32"/>
  <c r="AS162" i="32"/>
  <c r="AT162" i="32"/>
  <c r="AU162" i="32"/>
  <c r="AV162" i="32"/>
  <c r="AW162" i="32"/>
  <c r="AX162" i="32"/>
  <c r="AY162" i="32"/>
  <c r="AZ162" i="32"/>
  <c r="BA162" i="32"/>
  <c r="AK163" i="32"/>
  <c r="AL163" i="32"/>
  <c r="AM163" i="32"/>
  <c r="AN163" i="32"/>
  <c r="AO163" i="32"/>
  <c r="AP163" i="32"/>
  <c r="AQ163" i="32"/>
  <c r="Q163" i="32"/>
  <c r="AR163" i="32"/>
  <c r="AS163" i="32"/>
  <c r="AT163" i="32"/>
  <c r="AU163" i="32"/>
  <c r="AV163" i="32"/>
  <c r="AW163" i="32"/>
  <c r="AX163" i="32"/>
  <c r="AY163" i="32"/>
  <c r="AZ163" i="32"/>
  <c r="BA163" i="32"/>
  <c r="AK164" i="32"/>
  <c r="AL164" i="32"/>
  <c r="AM164" i="32"/>
  <c r="AN164" i="32"/>
  <c r="AO164" i="32"/>
  <c r="AP164" i="32"/>
  <c r="AQ164" i="32"/>
  <c r="Q164" i="32"/>
  <c r="AR164" i="32"/>
  <c r="AS164" i="32"/>
  <c r="AT164" i="32"/>
  <c r="AU164" i="32"/>
  <c r="AV164" i="32"/>
  <c r="AW164" i="32"/>
  <c r="AX164" i="32"/>
  <c r="AY164" i="32"/>
  <c r="AZ164" i="32"/>
  <c r="BA164" i="32"/>
  <c r="AK165" i="32"/>
  <c r="AL165" i="32"/>
  <c r="AM165" i="32"/>
  <c r="AN165" i="32"/>
  <c r="AO165" i="32"/>
  <c r="AP165" i="32"/>
  <c r="AQ165" i="32"/>
  <c r="Q165" i="32"/>
  <c r="AR165" i="32"/>
  <c r="AS165" i="32"/>
  <c r="AT165" i="32"/>
  <c r="AU165" i="32"/>
  <c r="AV165" i="32"/>
  <c r="AW165" i="32"/>
  <c r="AX165" i="32"/>
  <c r="AY165" i="32"/>
  <c r="AZ165" i="32"/>
  <c r="BA165" i="32"/>
  <c r="AK166" i="32"/>
  <c r="AL166" i="32"/>
  <c r="AM166" i="32"/>
  <c r="AN166" i="32"/>
  <c r="AO166" i="32"/>
  <c r="AP166" i="32"/>
  <c r="AQ166" i="32"/>
  <c r="Q166" i="32"/>
  <c r="AR166" i="32"/>
  <c r="AS166" i="32"/>
  <c r="AT166" i="32"/>
  <c r="AU166" i="32"/>
  <c r="AV166" i="32"/>
  <c r="AW166" i="32"/>
  <c r="AX166" i="32"/>
  <c r="AY166" i="32"/>
  <c r="AZ166" i="32"/>
  <c r="BA166" i="32"/>
  <c r="AK167" i="32"/>
  <c r="AL167" i="32"/>
  <c r="AM167" i="32"/>
  <c r="AN167" i="32"/>
  <c r="AO167" i="32"/>
  <c r="AP167" i="32"/>
  <c r="AQ167" i="32"/>
  <c r="Q167" i="32"/>
  <c r="AR167" i="32"/>
  <c r="AS167" i="32"/>
  <c r="AT167" i="32"/>
  <c r="AU167" i="32"/>
  <c r="AV167" i="32"/>
  <c r="AW167" i="32"/>
  <c r="AX167" i="32"/>
  <c r="AY167" i="32"/>
  <c r="AZ167" i="32"/>
  <c r="BA167" i="32"/>
  <c r="AK168" i="32"/>
  <c r="AL168" i="32"/>
  <c r="AM168" i="32"/>
  <c r="AN168" i="32"/>
  <c r="AO168" i="32"/>
  <c r="AP168" i="32"/>
  <c r="AQ168" i="32"/>
  <c r="Q168" i="32"/>
  <c r="AR168" i="32"/>
  <c r="AS168" i="32"/>
  <c r="AT168" i="32"/>
  <c r="AU168" i="32"/>
  <c r="AV168" i="32"/>
  <c r="AW168" i="32"/>
  <c r="AX168" i="32"/>
  <c r="AY168" i="32"/>
  <c r="AZ168" i="32"/>
  <c r="BA168" i="32"/>
  <c r="AK169" i="32"/>
  <c r="AL169" i="32"/>
  <c r="AM169" i="32"/>
  <c r="AN169" i="32"/>
  <c r="AO169" i="32"/>
  <c r="AP169" i="32"/>
  <c r="AQ169" i="32"/>
  <c r="Q169" i="32"/>
  <c r="AR169" i="32"/>
  <c r="AS169" i="32"/>
  <c r="AT169" i="32"/>
  <c r="AU169" i="32"/>
  <c r="AV169" i="32"/>
  <c r="AW169" i="32"/>
  <c r="AX169" i="32"/>
  <c r="AY169" i="32"/>
  <c r="AZ169" i="32"/>
  <c r="BA169" i="32"/>
  <c r="AK170" i="32"/>
  <c r="AL170" i="32"/>
  <c r="AM170" i="32"/>
  <c r="AN170" i="32"/>
  <c r="AO170" i="32"/>
  <c r="AP170" i="32"/>
  <c r="AQ170" i="32"/>
  <c r="Q170" i="32"/>
  <c r="AR170" i="32"/>
  <c r="AS170" i="32"/>
  <c r="AT170" i="32"/>
  <c r="AU170" i="32"/>
  <c r="AV170" i="32"/>
  <c r="AW170" i="32"/>
  <c r="AX170" i="32"/>
  <c r="AY170" i="32"/>
  <c r="AZ170" i="32"/>
  <c r="BA170" i="32"/>
  <c r="AK171" i="32"/>
  <c r="AL171" i="32"/>
  <c r="AM171" i="32"/>
  <c r="AN171" i="32"/>
  <c r="AO171" i="32"/>
  <c r="AP171" i="32"/>
  <c r="AQ171" i="32"/>
  <c r="Q171" i="32"/>
  <c r="AR171" i="32"/>
  <c r="AS171" i="32"/>
  <c r="AT171" i="32"/>
  <c r="AU171" i="32"/>
  <c r="AV171" i="32"/>
  <c r="AW171" i="32"/>
  <c r="AX171" i="32"/>
  <c r="AY171" i="32"/>
  <c r="AZ171" i="32"/>
  <c r="BA171" i="32"/>
  <c r="AK172" i="32"/>
  <c r="AL172" i="32"/>
  <c r="AM172" i="32"/>
  <c r="AN172" i="32"/>
  <c r="AO172" i="32"/>
  <c r="AP172" i="32"/>
  <c r="AQ172" i="32"/>
  <c r="Q172" i="32"/>
  <c r="AR172" i="32"/>
  <c r="AS172" i="32"/>
  <c r="AT172" i="32"/>
  <c r="AU172" i="32"/>
  <c r="AV172" i="32"/>
  <c r="AW172" i="32"/>
  <c r="AX172" i="32"/>
  <c r="AY172" i="32"/>
  <c r="AZ172" i="32"/>
  <c r="BA172" i="32"/>
  <c r="AK173" i="32"/>
  <c r="AL173" i="32"/>
  <c r="AM173" i="32"/>
  <c r="AN173" i="32"/>
  <c r="AO173" i="32"/>
  <c r="AP173" i="32"/>
  <c r="AQ173" i="32"/>
  <c r="Q173" i="32"/>
  <c r="AR173" i="32"/>
  <c r="AS173" i="32"/>
  <c r="AT173" i="32"/>
  <c r="AU173" i="32"/>
  <c r="AV173" i="32"/>
  <c r="AW173" i="32"/>
  <c r="AX173" i="32"/>
  <c r="AY173" i="32"/>
  <c r="AZ173" i="32"/>
  <c r="BA173" i="32"/>
  <c r="AK174" i="32"/>
  <c r="AL174" i="32"/>
  <c r="AM174" i="32"/>
  <c r="AN174" i="32"/>
  <c r="AO174" i="32"/>
  <c r="AP174" i="32"/>
  <c r="AQ174" i="32"/>
  <c r="Q174" i="32"/>
  <c r="AR174" i="32"/>
  <c r="AS174" i="32"/>
  <c r="AT174" i="32"/>
  <c r="AU174" i="32"/>
  <c r="AV174" i="32"/>
  <c r="AW174" i="32"/>
  <c r="AX174" i="32"/>
  <c r="AY174" i="32"/>
  <c r="AZ174" i="32"/>
  <c r="BA174" i="32"/>
  <c r="AK175" i="32"/>
  <c r="AL175" i="32"/>
  <c r="AM175" i="32"/>
  <c r="AN175" i="32"/>
  <c r="AO175" i="32"/>
  <c r="AP175" i="32"/>
  <c r="AQ175" i="32"/>
  <c r="Q175" i="32"/>
  <c r="AR175" i="32"/>
  <c r="AS175" i="32"/>
  <c r="AT175" i="32"/>
  <c r="AU175" i="32"/>
  <c r="AV175" i="32"/>
  <c r="AW175" i="32"/>
  <c r="AX175" i="32"/>
  <c r="AY175" i="32"/>
  <c r="AZ175" i="32"/>
  <c r="BA175" i="32"/>
  <c r="AK176" i="32"/>
  <c r="AL176" i="32"/>
  <c r="AM176" i="32"/>
  <c r="AN176" i="32"/>
  <c r="AO176" i="32"/>
  <c r="AP176" i="32"/>
  <c r="AQ176" i="32"/>
  <c r="Q176" i="32"/>
  <c r="AR176" i="32"/>
  <c r="AS176" i="32"/>
  <c r="AT176" i="32"/>
  <c r="AU176" i="32"/>
  <c r="AV176" i="32"/>
  <c r="AW176" i="32"/>
  <c r="AX176" i="32"/>
  <c r="AY176" i="32"/>
  <c r="AZ176" i="32"/>
  <c r="BA176" i="32"/>
  <c r="AK177" i="32"/>
  <c r="AL177" i="32"/>
  <c r="AM177" i="32"/>
  <c r="AN177" i="32"/>
  <c r="AO177" i="32"/>
  <c r="AP177" i="32"/>
  <c r="AQ177" i="32"/>
  <c r="Q177" i="32"/>
  <c r="AR177" i="32"/>
  <c r="AS177" i="32"/>
  <c r="AT177" i="32"/>
  <c r="AU177" i="32"/>
  <c r="AV177" i="32"/>
  <c r="AW177" i="32"/>
  <c r="AX177" i="32"/>
  <c r="AY177" i="32"/>
  <c r="AZ177" i="32"/>
  <c r="BA177" i="32"/>
  <c r="AK178" i="32"/>
  <c r="AL178" i="32"/>
  <c r="AM178" i="32"/>
  <c r="AN178" i="32"/>
  <c r="AO178" i="32"/>
  <c r="AP178" i="32"/>
  <c r="AQ178" i="32"/>
  <c r="Q178" i="32"/>
  <c r="AR178" i="32"/>
  <c r="AS178" i="32"/>
  <c r="AT178" i="32"/>
  <c r="AU178" i="32"/>
  <c r="AV178" i="32"/>
  <c r="AW178" i="32"/>
  <c r="AX178" i="32"/>
  <c r="AY178" i="32"/>
  <c r="AZ178" i="32"/>
  <c r="BA178" i="32"/>
  <c r="AK179" i="32"/>
  <c r="AL179" i="32"/>
  <c r="AM179" i="32"/>
  <c r="AN179" i="32"/>
  <c r="AO179" i="32"/>
  <c r="AP179" i="32"/>
  <c r="AQ179" i="32"/>
  <c r="Q179" i="32"/>
  <c r="AR179" i="32"/>
  <c r="AS179" i="32"/>
  <c r="AT179" i="32"/>
  <c r="AU179" i="32"/>
  <c r="AV179" i="32"/>
  <c r="AW179" i="32"/>
  <c r="AX179" i="32"/>
  <c r="AY179" i="32"/>
  <c r="AZ179" i="32"/>
  <c r="BA179" i="32"/>
  <c r="AK180" i="32"/>
  <c r="AL180" i="32"/>
  <c r="AM180" i="32"/>
  <c r="AN180" i="32"/>
  <c r="AO180" i="32"/>
  <c r="AP180" i="32"/>
  <c r="AQ180" i="32"/>
  <c r="Q180" i="32"/>
  <c r="AR180" i="32"/>
  <c r="AS180" i="32"/>
  <c r="AT180" i="32"/>
  <c r="AU180" i="32"/>
  <c r="AV180" i="32"/>
  <c r="AW180" i="32"/>
  <c r="AX180" i="32"/>
  <c r="AY180" i="32"/>
  <c r="AZ180" i="32"/>
  <c r="BA180" i="32"/>
  <c r="AK181" i="32"/>
  <c r="AL181" i="32"/>
  <c r="AM181" i="32"/>
  <c r="AN181" i="32"/>
  <c r="AO181" i="32"/>
  <c r="AP181" i="32"/>
  <c r="AQ181" i="32"/>
  <c r="Q181" i="32"/>
  <c r="AR181" i="32"/>
  <c r="AS181" i="32"/>
  <c r="AT181" i="32"/>
  <c r="AU181" i="32"/>
  <c r="AV181" i="32"/>
  <c r="AW181" i="32"/>
  <c r="AX181" i="32"/>
  <c r="AY181" i="32"/>
  <c r="AZ181" i="32"/>
  <c r="BA181" i="32"/>
  <c r="AK182" i="32"/>
  <c r="AL182" i="32"/>
  <c r="AM182" i="32"/>
  <c r="AN182" i="32"/>
  <c r="AO182" i="32"/>
  <c r="AP182" i="32"/>
  <c r="AQ182" i="32"/>
  <c r="Q182" i="32"/>
  <c r="AR182" i="32"/>
  <c r="AS182" i="32"/>
  <c r="AT182" i="32"/>
  <c r="AU182" i="32"/>
  <c r="AV182" i="32"/>
  <c r="AW182" i="32"/>
  <c r="AX182" i="32"/>
  <c r="AY182" i="32"/>
  <c r="AZ182" i="32"/>
  <c r="BA182" i="32"/>
  <c r="AK183" i="32"/>
  <c r="AL183" i="32"/>
  <c r="AM183" i="32"/>
  <c r="AN183" i="32"/>
  <c r="AO183" i="32"/>
  <c r="AP183" i="32"/>
  <c r="AQ183" i="32"/>
  <c r="Q183" i="32"/>
  <c r="AR183" i="32"/>
  <c r="AS183" i="32"/>
  <c r="AT183" i="32"/>
  <c r="AU183" i="32"/>
  <c r="AV183" i="32"/>
  <c r="AW183" i="32"/>
  <c r="AX183" i="32"/>
  <c r="AY183" i="32"/>
  <c r="AZ183" i="32"/>
  <c r="BA183" i="32"/>
  <c r="AK184" i="32"/>
  <c r="AL184" i="32"/>
  <c r="AM184" i="32"/>
  <c r="AN184" i="32"/>
  <c r="AO184" i="32"/>
  <c r="AP184" i="32"/>
  <c r="AQ184" i="32"/>
  <c r="Q184" i="32"/>
  <c r="AR184" i="32"/>
  <c r="AS184" i="32"/>
  <c r="AT184" i="32"/>
  <c r="AU184" i="32"/>
  <c r="AV184" i="32"/>
  <c r="AW184" i="32"/>
  <c r="AX184" i="32"/>
  <c r="AY184" i="32"/>
  <c r="AZ184" i="32"/>
  <c r="BA184" i="32"/>
  <c r="AK185" i="32"/>
  <c r="AL185" i="32"/>
  <c r="AM185" i="32"/>
  <c r="AN185" i="32"/>
  <c r="AO185" i="32"/>
  <c r="AP185" i="32"/>
  <c r="AQ185" i="32"/>
  <c r="Q185" i="32"/>
  <c r="AR185" i="32"/>
  <c r="AS185" i="32"/>
  <c r="AT185" i="32"/>
  <c r="AU185" i="32"/>
  <c r="AV185" i="32"/>
  <c r="AW185" i="32"/>
  <c r="AX185" i="32"/>
  <c r="AY185" i="32"/>
  <c r="AZ185" i="32"/>
  <c r="BA185" i="32"/>
  <c r="AK186" i="32"/>
  <c r="AL186" i="32"/>
  <c r="AM186" i="32"/>
  <c r="AN186" i="32"/>
  <c r="AO186" i="32"/>
  <c r="AP186" i="32"/>
  <c r="AQ186" i="32"/>
  <c r="Q186" i="32"/>
  <c r="AR186" i="32"/>
  <c r="AS186" i="32"/>
  <c r="AT186" i="32"/>
  <c r="AU186" i="32"/>
  <c r="AV186" i="32"/>
  <c r="AW186" i="32"/>
  <c r="AX186" i="32"/>
  <c r="AY186" i="32"/>
  <c r="AZ186" i="32"/>
  <c r="BA186" i="32"/>
  <c r="AK187" i="32"/>
  <c r="AL187" i="32"/>
  <c r="AM187" i="32"/>
  <c r="AN187" i="32"/>
  <c r="AO187" i="32"/>
  <c r="AP187" i="32"/>
  <c r="AQ187" i="32"/>
  <c r="Q187" i="32"/>
  <c r="AR187" i="32"/>
  <c r="AS187" i="32"/>
  <c r="AT187" i="32"/>
  <c r="AU187" i="32"/>
  <c r="AV187" i="32"/>
  <c r="AW187" i="32"/>
  <c r="AX187" i="32"/>
  <c r="AY187" i="32"/>
  <c r="AZ187" i="32"/>
  <c r="BA187" i="32"/>
  <c r="AK188" i="32"/>
  <c r="AL188" i="32"/>
  <c r="AM188" i="32"/>
  <c r="AN188" i="32"/>
  <c r="AO188" i="32"/>
  <c r="AP188" i="32"/>
  <c r="AQ188" i="32"/>
  <c r="Q188" i="32"/>
  <c r="AR188" i="32"/>
  <c r="AS188" i="32"/>
  <c r="AT188" i="32"/>
  <c r="AU188" i="32"/>
  <c r="AV188" i="32"/>
  <c r="AW188" i="32"/>
  <c r="AX188" i="32"/>
  <c r="AY188" i="32"/>
  <c r="AZ188" i="32"/>
  <c r="BA188" i="32"/>
  <c r="AK189" i="32"/>
  <c r="AL189" i="32"/>
  <c r="AM189" i="32"/>
  <c r="AN189" i="32"/>
  <c r="AO189" i="32"/>
  <c r="AP189" i="32"/>
  <c r="AQ189" i="32"/>
  <c r="Q189" i="32"/>
  <c r="AR189" i="32"/>
  <c r="AS189" i="32"/>
  <c r="AT189" i="32"/>
  <c r="AU189" i="32"/>
  <c r="AV189" i="32"/>
  <c r="AW189" i="32"/>
  <c r="AX189" i="32"/>
  <c r="AY189" i="32"/>
  <c r="AZ189" i="32"/>
  <c r="BA189" i="32"/>
  <c r="AK190" i="32"/>
  <c r="AL190" i="32"/>
  <c r="AM190" i="32"/>
  <c r="AN190" i="32"/>
  <c r="AO190" i="32"/>
  <c r="AP190" i="32"/>
  <c r="AQ190" i="32"/>
  <c r="Q190" i="32"/>
  <c r="AR190" i="32"/>
  <c r="AS190" i="32"/>
  <c r="AT190" i="32"/>
  <c r="AU190" i="32"/>
  <c r="AV190" i="32"/>
  <c r="AW190" i="32"/>
  <c r="AX190" i="32"/>
  <c r="AY190" i="32"/>
  <c r="AZ190" i="32"/>
  <c r="BA190" i="32"/>
  <c r="AK191" i="32"/>
  <c r="AL191" i="32"/>
  <c r="AM191" i="32"/>
  <c r="AN191" i="32"/>
  <c r="AO191" i="32"/>
  <c r="AP191" i="32"/>
  <c r="AQ191" i="32"/>
  <c r="Q191" i="32"/>
  <c r="AR191" i="32"/>
  <c r="AS191" i="32"/>
  <c r="AT191" i="32"/>
  <c r="AU191" i="32"/>
  <c r="AV191" i="32"/>
  <c r="AW191" i="32"/>
  <c r="AX191" i="32"/>
  <c r="AY191" i="32"/>
  <c r="AZ191" i="32"/>
  <c r="BA191" i="32"/>
  <c r="AK192" i="32"/>
  <c r="AL192" i="32"/>
  <c r="AM192" i="32"/>
  <c r="AN192" i="32"/>
  <c r="AO192" i="32"/>
  <c r="AP192" i="32"/>
  <c r="AQ192" i="32"/>
  <c r="Q192" i="32"/>
  <c r="AR192" i="32"/>
  <c r="AS192" i="32"/>
  <c r="AT192" i="32"/>
  <c r="AU192" i="32"/>
  <c r="AV192" i="32"/>
  <c r="AW192" i="32"/>
  <c r="AX192" i="32"/>
  <c r="AY192" i="32"/>
  <c r="AZ192" i="32"/>
  <c r="BA192" i="32"/>
  <c r="AK193" i="32"/>
  <c r="AL193" i="32"/>
  <c r="AM193" i="32"/>
  <c r="AN193" i="32"/>
  <c r="AO193" i="32"/>
  <c r="AP193" i="32"/>
  <c r="AQ193" i="32"/>
  <c r="Q193" i="32"/>
  <c r="AR193" i="32"/>
  <c r="AS193" i="32"/>
  <c r="AT193" i="32"/>
  <c r="AU193" i="32"/>
  <c r="AV193" i="32"/>
  <c r="AW193" i="32"/>
  <c r="AX193" i="32"/>
  <c r="AY193" i="32"/>
  <c r="AZ193" i="32"/>
  <c r="BA193" i="32"/>
  <c r="AK194" i="32"/>
  <c r="AL194" i="32"/>
  <c r="AM194" i="32"/>
  <c r="AN194" i="32"/>
  <c r="AO194" i="32"/>
  <c r="AP194" i="32"/>
  <c r="AQ194" i="32"/>
  <c r="Q194" i="32"/>
  <c r="AR194" i="32"/>
  <c r="AS194" i="32"/>
  <c r="AT194" i="32"/>
  <c r="AU194" i="32"/>
  <c r="AV194" i="32"/>
  <c r="AW194" i="32"/>
  <c r="AX194" i="32"/>
  <c r="AY194" i="32"/>
  <c r="AZ194" i="32"/>
  <c r="BA194" i="32"/>
  <c r="AK195" i="32"/>
  <c r="AL195" i="32"/>
  <c r="AM195" i="32"/>
  <c r="AN195" i="32"/>
  <c r="AO195" i="32"/>
  <c r="AP195" i="32"/>
  <c r="AQ195" i="32"/>
  <c r="Q195" i="32"/>
  <c r="AR195" i="32"/>
  <c r="AS195" i="32"/>
  <c r="AT195" i="32"/>
  <c r="AU195" i="32"/>
  <c r="AV195" i="32"/>
  <c r="AW195" i="32"/>
  <c r="AX195" i="32"/>
  <c r="AY195" i="32"/>
  <c r="AZ195" i="32"/>
  <c r="BA195" i="32"/>
  <c r="AK196" i="32"/>
  <c r="AL196" i="32"/>
  <c r="AM196" i="32"/>
  <c r="AN196" i="32"/>
  <c r="AO196" i="32"/>
  <c r="AP196" i="32"/>
  <c r="AQ196" i="32"/>
  <c r="Q196" i="32"/>
  <c r="AR196" i="32"/>
  <c r="AS196" i="32"/>
  <c r="AT196" i="32"/>
  <c r="AU196" i="32"/>
  <c r="AV196" i="32"/>
  <c r="AW196" i="32"/>
  <c r="AX196" i="32"/>
  <c r="AY196" i="32"/>
  <c r="AZ196" i="32"/>
  <c r="BA196" i="32"/>
  <c r="AK197" i="32"/>
  <c r="AL197" i="32"/>
  <c r="AM197" i="32"/>
  <c r="AN197" i="32"/>
  <c r="AO197" i="32"/>
  <c r="AP197" i="32"/>
  <c r="AQ197" i="32"/>
  <c r="Q197" i="32"/>
  <c r="AR197" i="32"/>
  <c r="AS197" i="32"/>
  <c r="AT197" i="32"/>
  <c r="AU197" i="32"/>
  <c r="AV197" i="32"/>
  <c r="AW197" i="32"/>
  <c r="AX197" i="32"/>
  <c r="AY197" i="32"/>
  <c r="AZ197" i="32"/>
  <c r="BA197" i="32"/>
  <c r="AK198" i="32"/>
  <c r="AL198" i="32"/>
  <c r="AM198" i="32"/>
  <c r="AN198" i="32"/>
  <c r="AO198" i="32"/>
  <c r="AP198" i="32"/>
  <c r="AQ198" i="32"/>
  <c r="Q198" i="32"/>
  <c r="AR198" i="32"/>
  <c r="AS198" i="32"/>
  <c r="AT198" i="32"/>
  <c r="AU198" i="32"/>
  <c r="AV198" i="32"/>
  <c r="AW198" i="32"/>
  <c r="AX198" i="32"/>
  <c r="AY198" i="32"/>
  <c r="AZ198" i="32"/>
  <c r="BA198" i="32"/>
  <c r="AK199" i="32"/>
  <c r="AL199" i="32"/>
  <c r="AM199" i="32"/>
  <c r="AN199" i="32"/>
  <c r="AO199" i="32"/>
  <c r="AP199" i="32"/>
  <c r="AQ199" i="32"/>
  <c r="Q199" i="32"/>
  <c r="AR199" i="32"/>
  <c r="AS199" i="32"/>
  <c r="AT199" i="32"/>
  <c r="AU199" i="32"/>
  <c r="AV199" i="32"/>
  <c r="AW199" i="32"/>
  <c r="AX199" i="32"/>
  <c r="AY199" i="32"/>
  <c r="AZ199" i="32"/>
  <c r="BA199" i="32"/>
  <c r="AK200" i="32"/>
  <c r="AL200" i="32"/>
  <c r="AM200" i="32"/>
  <c r="AN200" i="32"/>
  <c r="AO200" i="32"/>
  <c r="AP200" i="32"/>
  <c r="AQ200" i="32"/>
  <c r="Q200" i="32"/>
  <c r="AR200" i="32"/>
  <c r="AS200" i="32"/>
  <c r="AT200" i="32"/>
  <c r="AU200" i="32"/>
  <c r="AV200" i="32"/>
  <c r="AW200" i="32"/>
  <c r="AX200" i="32"/>
  <c r="AY200" i="32"/>
  <c r="AZ200" i="32"/>
  <c r="BA200" i="32"/>
  <c r="AK201" i="32"/>
  <c r="AL201" i="32"/>
  <c r="AM201" i="32"/>
  <c r="AN201" i="32"/>
  <c r="AO201" i="32"/>
  <c r="AP201" i="32"/>
  <c r="AQ201" i="32"/>
  <c r="Q201" i="32"/>
  <c r="AR201" i="32"/>
  <c r="AS201" i="32"/>
  <c r="AT201" i="32"/>
  <c r="AU201" i="32"/>
  <c r="AV201" i="32"/>
  <c r="AW201" i="32"/>
  <c r="AX201" i="32"/>
  <c r="AY201" i="32"/>
  <c r="AZ201" i="32"/>
  <c r="BA201" i="32"/>
  <c r="AK202" i="32"/>
  <c r="AL202" i="32"/>
  <c r="AM202" i="32"/>
  <c r="AN202" i="32"/>
  <c r="AO202" i="32"/>
  <c r="AP202" i="32"/>
  <c r="AQ202" i="32"/>
  <c r="Q202" i="32"/>
  <c r="AR202" i="32"/>
  <c r="AS202" i="32"/>
  <c r="AT202" i="32"/>
  <c r="AU202" i="32"/>
  <c r="AV202" i="32"/>
  <c r="AW202" i="32"/>
  <c r="AX202" i="32"/>
  <c r="AY202" i="32"/>
  <c r="AZ202" i="32"/>
  <c r="BA202" i="32"/>
  <c r="AK203" i="32"/>
  <c r="AL203" i="32"/>
  <c r="AM203" i="32"/>
  <c r="AN203" i="32"/>
  <c r="AO203" i="32"/>
  <c r="AP203" i="32"/>
  <c r="AQ203" i="32"/>
  <c r="Q203" i="32"/>
  <c r="AR203" i="32"/>
  <c r="AS203" i="32"/>
  <c r="AT203" i="32"/>
  <c r="AU203" i="32"/>
  <c r="AV203" i="32"/>
  <c r="AW203" i="32"/>
  <c r="AX203" i="32"/>
  <c r="AY203" i="32"/>
  <c r="AZ203" i="32"/>
  <c r="BA203" i="32"/>
  <c r="AK204" i="32"/>
  <c r="AL204" i="32"/>
  <c r="AM204" i="32"/>
  <c r="AN204" i="32"/>
  <c r="AO204" i="32"/>
  <c r="AP204" i="32"/>
  <c r="AQ204" i="32"/>
  <c r="Q204" i="32"/>
  <c r="AR204" i="32"/>
  <c r="AS204" i="32"/>
  <c r="AT204" i="32"/>
  <c r="AU204" i="32"/>
  <c r="AV204" i="32"/>
  <c r="AW204" i="32"/>
  <c r="AX204" i="32"/>
  <c r="AY204" i="32"/>
  <c r="AZ204" i="32"/>
  <c r="BA204" i="32"/>
  <c r="AK205" i="32"/>
  <c r="AL205" i="32"/>
  <c r="AM205" i="32"/>
  <c r="AN205" i="32"/>
  <c r="AO205" i="32"/>
  <c r="AP205" i="32"/>
  <c r="AQ205" i="32"/>
  <c r="Q205" i="32"/>
  <c r="AR205" i="32"/>
  <c r="AS205" i="32"/>
  <c r="AT205" i="32"/>
  <c r="AU205" i="32"/>
  <c r="AV205" i="32"/>
  <c r="AW205" i="32"/>
  <c r="AX205" i="32"/>
  <c r="AY205" i="32"/>
  <c r="AZ205" i="32"/>
  <c r="BA205" i="32"/>
  <c r="AK206" i="32"/>
  <c r="AL206" i="32"/>
  <c r="AM206" i="32"/>
  <c r="AN206" i="32"/>
  <c r="AO206" i="32"/>
  <c r="AP206" i="32"/>
  <c r="AQ206" i="32"/>
  <c r="Q206" i="32"/>
  <c r="AR206" i="32"/>
  <c r="AS206" i="32"/>
  <c r="AT206" i="32"/>
  <c r="AU206" i="32"/>
  <c r="AV206" i="32"/>
  <c r="AW206" i="32"/>
  <c r="AX206" i="32"/>
  <c r="AY206" i="32"/>
  <c r="AZ206" i="32"/>
  <c r="BA206" i="32"/>
  <c r="AK207" i="32"/>
  <c r="AL207" i="32"/>
  <c r="AM207" i="32"/>
  <c r="AN207" i="32"/>
  <c r="AO207" i="32"/>
  <c r="AP207" i="32"/>
  <c r="AQ207" i="32"/>
  <c r="Q207" i="32"/>
  <c r="AR207" i="32"/>
  <c r="AS207" i="32"/>
  <c r="AT207" i="32"/>
  <c r="AU207" i="32"/>
  <c r="AV207" i="32"/>
  <c r="AW207" i="32"/>
  <c r="AX207" i="32"/>
  <c r="AY207" i="32"/>
  <c r="AZ207" i="32"/>
  <c r="BA207" i="32"/>
  <c r="AK208" i="32"/>
  <c r="AL208" i="32"/>
  <c r="AM208" i="32"/>
  <c r="AN208" i="32"/>
  <c r="AO208" i="32"/>
  <c r="AP208" i="32"/>
  <c r="AQ208" i="32"/>
  <c r="Q208" i="32"/>
  <c r="AR208" i="32"/>
  <c r="AS208" i="32"/>
  <c r="AT208" i="32"/>
  <c r="AU208" i="32"/>
  <c r="AV208" i="32"/>
  <c r="AW208" i="32"/>
  <c r="AX208" i="32"/>
  <c r="AY208" i="32"/>
  <c r="AZ208" i="32"/>
  <c r="BA208" i="32"/>
  <c r="AK209" i="32"/>
  <c r="AL209" i="32"/>
  <c r="AM209" i="32"/>
  <c r="AN209" i="32"/>
  <c r="AO209" i="32"/>
  <c r="AP209" i="32"/>
  <c r="AQ209" i="32"/>
  <c r="Q209" i="32"/>
  <c r="AR209" i="32"/>
  <c r="AS209" i="32"/>
  <c r="AT209" i="32"/>
  <c r="AU209" i="32"/>
  <c r="AV209" i="32"/>
  <c r="AW209" i="32"/>
  <c r="AX209" i="32"/>
  <c r="AY209" i="32"/>
  <c r="AZ209" i="32"/>
  <c r="BA209" i="32"/>
  <c r="AK210" i="32"/>
  <c r="AL210" i="32"/>
  <c r="AM210" i="32"/>
  <c r="AN210" i="32"/>
  <c r="AO210" i="32"/>
  <c r="AP210" i="32"/>
  <c r="AQ210" i="32"/>
  <c r="Q210" i="32"/>
  <c r="AR210" i="32"/>
  <c r="AS210" i="32"/>
  <c r="AT210" i="32"/>
  <c r="AU210" i="32"/>
  <c r="AV210" i="32"/>
  <c r="AW210" i="32"/>
  <c r="AX210" i="32"/>
  <c r="AY210" i="32"/>
  <c r="AZ210" i="32"/>
  <c r="BA210" i="32"/>
  <c r="AK211" i="32"/>
  <c r="AL211" i="32"/>
  <c r="AM211" i="32"/>
  <c r="AN211" i="32"/>
  <c r="AO211" i="32"/>
  <c r="AP211" i="32"/>
  <c r="AQ211" i="32"/>
  <c r="Q211" i="32"/>
  <c r="AR211" i="32"/>
  <c r="AS211" i="32"/>
  <c r="AT211" i="32"/>
  <c r="AU211" i="32"/>
  <c r="AV211" i="32"/>
  <c r="AW211" i="32"/>
  <c r="AX211" i="32"/>
  <c r="AY211" i="32"/>
  <c r="AZ211" i="32"/>
  <c r="BA211" i="32"/>
  <c r="AK212" i="32"/>
  <c r="AL212" i="32"/>
  <c r="AM212" i="32"/>
  <c r="AN212" i="32"/>
  <c r="AO212" i="32"/>
  <c r="AP212" i="32"/>
  <c r="AQ212" i="32"/>
  <c r="Q212" i="32"/>
  <c r="AR212" i="32"/>
  <c r="AS212" i="32"/>
  <c r="AT212" i="32"/>
  <c r="AU212" i="32"/>
  <c r="AV212" i="32"/>
  <c r="AW212" i="32"/>
  <c r="AX212" i="32"/>
  <c r="AY212" i="32"/>
  <c r="AZ212" i="32"/>
  <c r="BA212" i="32"/>
  <c r="AK213" i="32"/>
  <c r="AL213" i="32"/>
  <c r="AM213" i="32"/>
  <c r="AN213" i="32"/>
  <c r="AO213" i="32"/>
  <c r="AP213" i="32"/>
  <c r="AQ213" i="32"/>
  <c r="Q213" i="32"/>
  <c r="AR213" i="32"/>
  <c r="AS213" i="32"/>
  <c r="AT213" i="32"/>
  <c r="AU213" i="32"/>
  <c r="AV213" i="32"/>
  <c r="AW213" i="32"/>
  <c r="AX213" i="32"/>
  <c r="AY213" i="32"/>
  <c r="AZ213" i="32"/>
  <c r="BA213" i="32"/>
  <c r="AK214" i="32"/>
  <c r="AL214" i="32"/>
  <c r="AM214" i="32"/>
  <c r="AN214" i="32"/>
  <c r="AO214" i="32"/>
  <c r="AP214" i="32"/>
  <c r="AQ214" i="32"/>
  <c r="Q214" i="32"/>
  <c r="AR214" i="32"/>
  <c r="AS214" i="32"/>
  <c r="AT214" i="32"/>
  <c r="AU214" i="32"/>
  <c r="AV214" i="32"/>
  <c r="AW214" i="32"/>
  <c r="AX214" i="32"/>
  <c r="AY214" i="32"/>
  <c r="AZ214" i="32"/>
  <c r="BA214" i="32"/>
  <c r="AK215" i="32"/>
  <c r="AL215" i="32"/>
  <c r="AM215" i="32"/>
  <c r="AN215" i="32"/>
  <c r="AO215" i="32"/>
  <c r="AP215" i="32"/>
  <c r="AQ215" i="32"/>
  <c r="Q215" i="32"/>
  <c r="AR215" i="32"/>
  <c r="AS215" i="32"/>
  <c r="AT215" i="32"/>
  <c r="AU215" i="32"/>
  <c r="AV215" i="32"/>
  <c r="AW215" i="32"/>
  <c r="AX215" i="32"/>
  <c r="AY215" i="32"/>
  <c r="AZ215" i="32"/>
  <c r="BA215" i="32"/>
  <c r="AK216" i="32"/>
  <c r="AL216" i="32"/>
  <c r="AM216" i="32"/>
  <c r="AN216" i="32"/>
  <c r="AO216" i="32"/>
  <c r="AP216" i="32"/>
  <c r="AQ216" i="32"/>
  <c r="Q216" i="32"/>
  <c r="AR216" i="32"/>
  <c r="AS216" i="32"/>
  <c r="AT216" i="32"/>
  <c r="AU216" i="32"/>
  <c r="AV216" i="32"/>
  <c r="AW216" i="32"/>
  <c r="AX216" i="32"/>
  <c r="AY216" i="32"/>
  <c r="AZ216" i="32"/>
  <c r="BA216" i="32"/>
  <c r="AK217" i="32"/>
  <c r="AL217" i="32"/>
  <c r="AM217" i="32"/>
  <c r="AN217" i="32"/>
  <c r="AO217" i="32"/>
  <c r="AP217" i="32"/>
  <c r="AQ217" i="32"/>
  <c r="Q217" i="32"/>
  <c r="AR217" i="32"/>
  <c r="AS217" i="32"/>
  <c r="AT217" i="32"/>
  <c r="AU217" i="32"/>
  <c r="AV217" i="32"/>
  <c r="AW217" i="32"/>
  <c r="AX217" i="32"/>
  <c r="AY217" i="32"/>
  <c r="AZ217" i="32"/>
  <c r="BA217" i="32"/>
  <c r="AK218" i="32"/>
  <c r="AL218" i="32"/>
  <c r="AM218" i="32"/>
  <c r="AN218" i="32"/>
  <c r="AO218" i="32"/>
  <c r="AP218" i="32"/>
  <c r="AQ218" i="32"/>
  <c r="Q218" i="32"/>
  <c r="AR218" i="32"/>
  <c r="AS218" i="32"/>
  <c r="AT218" i="32"/>
  <c r="AU218" i="32"/>
  <c r="AV218" i="32"/>
  <c r="AW218" i="32"/>
  <c r="AX218" i="32"/>
  <c r="AY218" i="32"/>
  <c r="AZ218" i="32"/>
  <c r="BA218" i="32"/>
  <c r="AK219" i="32"/>
  <c r="AL219" i="32"/>
  <c r="AM219" i="32"/>
  <c r="AN219" i="32"/>
  <c r="AO219" i="32"/>
  <c r="AP219" i="32"/>
  <c r="AQ219" i="32"/>
  <c r="Q219" i="32"/>
  <c r="AR219" i="32"/>
  <c r="AS219" i="32"/>
  <c r="AT219" i="32"/>
  <c r="AU219" i="32"/>
  <c r="AV219" i="32"/>
  <c r="AW219" i="32"/>
  <c r="AX219" i="32"/>
  <c r="AY219" i="32"/>
  <c r="AZ219" i="32"/>
  <c r="BA219" i="32"/>
  <c r="AK220" i="32"/>
  <c r="AL220" i="32"/>
  <c r="AM220" i="32"/>
  <c r="AN220" i="32"/>
  <c r="AO220" i="32"/>
  <c r="AP220" i="32"/>
  <c r="AQ220" i="32"/>
  <c r="Q220" i="32"/>
  <c r="AR220" i="32"/>
  <c r="AS220" i="32"/>
  <c r="AT220" i="32"/>
  <c r="AU220" i="32"/>
  <c r="AV220" i="32"/>
  <c r="AW220" i="32"/>
  <c r="AX220" i="32"/>
  <c r="AY220" i="32"/>
  <c r="AZ220" i="32"/>
  <c r="BA220" i="32"/>
  <c r="AK221" i="32"/>
  <c r="AL221" i="32"/>
  <c r="AM221" i="32"/>
  <c r="AN221" i="32"/>
  <c r="AO221" i="32"/>
  <c r="AP221" i="32"/>
  <c r="AQ221" i="32"/>
  <c r="Q221" i="32"/>
  <c r="AR221" i="32"/>
  <c r="AS221" i="32"/>
  <c r="AT221" i="32"/>
  <c r="AU221" i="32"/>
  <c r="AV221" i="32"/>
  <c r="AW221" i="32"/>
  <c r="AX221" i="32"/>
  <c r="AY221" i="32"/>
  <c r="AZ221" i="32"/>
  <c r="BA221" i="32"/>
  <c r="AK222" i="32"/>
  <c r="AL222" i="32"/>
  <c r="AM222" i="32"/>
  <c r="AN222" i="32"/>
  <c r="AO222" i="32"/>
  <c r="AP222" i="32"/>
  <c r="AQ222" i="32"/>
  <c r="Q222" i="32"/>
  <c r="AR222" i="32"/>
  <c r="AS222" i="32"/>
  <c r="AT222" i="32"/>
  <c r="AU222" i="32"/>
  <c r="AV222" i="32"/>
  <c r="AW222" i="32"/>
  <c r="AX222" i="32"/>
  <c r="AY222" i="32"/>
  <c r="AZ222" i="32"/>
  <c r="BA222" i="32"/>
  <c r="AK223" i="32"/>
  <c r="AL223" i="32"/>
  <c r="AM223" i="32"/>
  <c r="AN223" i="32"/>
  <c r="AO223" i="32"/>
  <c r="AP223" i="32"/>
  <c r="AQ223" i="32"/>
  <c r="Q223" i="32"/>
  <c r="AR223" i="32"/>
  <c r="AS223" i="32"/>
  <c r="AT223" i="32"/>
  <c r="AU223" i="32"/>
  <c r="AV223" i="32"/>
  <c r="AW223" i="32"/>
  <c r="AX223" i="32"/>
  <c r="AY223" i="32"/>
  <c r="AZ223" i="32"/>
  <c r="BA223" i="32"/>
  <c r="AK224" i="32"/>
  <c r="AL224" i="32"/>
  <c r="AM224" i="32"/>
  <c r="AN224" i="32"/>
  <c r="AO224" i="32"/>
  <c r="AP224" i="32"/>
  <c r="AQ224" i="32"/>
  <c r="Q224" i="32"/>
  <c r="AR224" i="32"/>
  <c r="AS224" i="32"/>
  <c r="AT224" i="32"/>
  <c r="AU224" i="32"/>
  <c r="AV224" i="32"/>
  <c r="AW224" i="32"/>
  <c r="AX224" i="32"/>
  <c r="AY224" i="32"/>
  <c r="AZ224" i="32"/>
  <c r="BA224" i="32"/>
  <c r="AK225" i="32"/>
  <c r="AL225" i="32"/>
  <c r="AM225" i="32"/>
  <c r="AN225" i="32"/>
  <c r="AO225" i="32"/>
  <c r="AP225" i="32"/>
  <c r="AQ225" i="32"/>
  <c r="Q225" i="32"/>
  <c r="AR225" i="32"/>
  <c r="AS225" i="32"/>
  <c r="AT225" i="32"/>
  <c r="AU225" i="32"/>
  <c r="AV225" i="32"/>
  <c r="AW225" i="32"/>
  <c r="AX225" i="32"/>
  <c r="AY225" i="32"/>
  <c r="AZ225" i="32"/>
  <c r="BA225" i="32"/>
  <c r="AK226" i="32"/>
  <c r="AL226" i="32"/>
  <c r="AM226" i="32"/>
  <c r="AN226" i="32"/>
  <c r="AO226" i="32"/>
  <c r="AP226" i="32"/>
  <c r="AQ226" i="32"/>
  <c r="Q226" i="32"/>
  <c r="AR226" i="32"/>
  <c r="AS226" i="32"/>
  <c r="AT226" i="32"/>
  <c r="AU226" i="32"/>
  <c r="AV226" i="32"/>
  <c r="AW226" i="32"/>
  <c r="AX226" i="32"/>
  <c r="AY226" i="32"/>
  <c r="AZ226" i="32"/>
  <c r="BA226" i="32"/>
  <c r="AK227" i="32"/>
  <c r="AL227" i="32"/>
  <c r="AM227" i="32"/>
  <c r="AN227" i="32"/>
  <c r="AO227" i="32"/>
  <c r="AP227" i="32"/>
  <c r="AQ227" i="32"/>
  <c r="Q227" i="32"/>
  <c r="AR227" i="32"/>
  <c r="AS227" i="32"/>
  <c r="AT227" i="32"/>
  <c r="AU227" i="32"/>
  <c r="AV227" i="32"/>
  <c r="AW227" i="32"/>
  <c r="AX227" i="32"/>
  <c r="AY227" i="32"/>
  <c r="AZ227" i="32"/>
  <c r="BA227" i="32"/>
  <c r="AK228" i="32"/>
  <c r="AL228" i="32"/>
  <c r="AM228" i="32"/>
  <c r="AN228" i="32"/>
  <c r="AO228" i="32"/>
  <c r="AP228" i="32"/>
  <c r="AQ228" i="32"/>
  <c r="Q228" i="32"/>
  <c r="AR228" i="32"/>
  <c r="AS228" i="32"/>
  <c r="AT228" i="32"/>
  <c r="AU228" i="32"/>
  <c r="AV228" i="32"/>
  <c r="AW228" i="32"/>
  <c r="AX228" i="32"/>
  <c r="AY228" i="32"/>
  <c r="AZ228" i="32"/>
  <c r="BA228" i="32"/>
  <c r="AK229" i="32"/>
  <c r="AL229" i="32"/>
  <c r="AM229" i="32"/>
  <c r="AN229" i="32"/>
  <c r="AO229" i="32"/>
  <c r="AP229" i="32"/>
  <c r="AQ229" i="32"/>
  <c r="Q229" i="32"/>
  <c r="AR229" i="32"/>
  <c r="AS229" i="32"/>
  <c r="AT229" i="32"/>
  <c r="AU229" i="32"/>
  <c r="AV229" i="32"/>
  <c r="AW229" i="32"/>
  <c r="AX229" i="32"/>
  <c r="AY229" i="32"/>
  <c r="AZ229" i="32"/>
  <c r="BA229" i="32"/>
  <c r="AK230" i="32"/>
  <c r="AL230" i="32"/>
  <c r="AM230" i="32"/>
  <c r="AN230" i="32"/>
  <c r="AO230" i="32"/>
  <c r="AP230" i="32"/>
  <c r="AQ230" i="32"/>
  <c r="Q230" i="32"/>
  <c r="AR230" i="32"/>
  <c r="AS230" i="32"/>
  <c r="AT230" i="32"/>
  <c r="AU230" i="32"/>
  <c r="AV230" i="32"/>
  <c r="AW230" i="32"/>
  <c r="AX230" i="32"/>
  <c r="AY230" i="32"/>
  <c r="AZ230" i="32"/>
  <c r="BA230" i="32"/>
  <c r="AK231" i="32"/>
  <c r="AL231" i="32"/>
  <c r="AM231" i="32"/>
  <c r="AN231" i="32"/>
  <c r="AO231" i="32"/>
  <c r="AP231" i="32"/>
  <c r="AQ231" i="32"/>
  <c r="Q231" i="32"/>
  <c r="AR231" i="32"/>
  <c r="AS231" i="32"/>
  <c r="AT231" i="32"/>
  <c r="AU231" i="32"/>
  <c r="AV231" i="32"/>
  <c r="AW231" i="32"/>
  <c r="AX231" i="32"/>
  <c r="AY231" i="32"/>
  <c r="AZ231" i="32"/>
  <c r="BA231" i="32"/>
  <c r="AK232" i="32"/>
  <c r="AL232" i="32"/>
  <c r="AM232" i="32"/>
  <c r="AN232" i="32"/>
  <c r="AO232" i="32"/>
  <c r="AP232" i="32"/>
  <c r="AQ232" i="32"/>
  <c r="Q232" i="32"/>
  <c r="AR232" i="32"/>
  <c r="AS232" i="32"/>
  <c r="AT232" i="32"/>
  <c r="AU232" i="32"/>
  <c r="AV232" i="32"/>
  <c r="AW232" i="32"/>
  <c r="AX232" i="32"/>
  <c r="AY232" i="32"/>
  <c r="AZ232" i="32"/>
  <c r="BA232" i="32"/>
  <c r="AK233" i="32"/>
  <c r="AL233" i="32"/>
  <c r="AM233" i="32"/>
  <c r="AN233" i="32"/>
  <c r="AO233" i="32"/>
  <c r="AP233" i="32"/>
  <c r="AQ233" i="32"/>
  <c r="Q233" i="32"/>
  <c r="AR233" i="32"/>
  <c r="AS233" i="32"/>
  <c r="AT233" i="32"/>
  <c r="AU233" i="32"/>
  <c r="AV233" i="32"/>
  <c r="AW233" i="32"/>
  <c r="AX233" i="32"/>
  <c r="AY233" i="32"/>
  <c r="AZ233" i="32"/>
  <c r="BA233" i="32"/>
  <c r="AK234" i="32"/>
  <c r="AL234" i="32"/>
  <c r="AM234" i="32"/>
  <c r="AN234" i="32"/>
  <c r="AO234" i="32"/>
  <c r="AP234" i="32"/>
  <c r="AQ234" i="32"/>
  <c r="Q234" i="32"/>
  <c r="AR234" i="32"/>
  <c r="AS234" i="32"/>
  <c r="AT234" i="32"/>
  <c r="AU234" i="32"/>
  <c r="AV234" i="32"/>
  <c r="AW234" i="32"/>
  <c r="AX234" i="32"/>
  <c r="AY234" i="32"/>
  <c r="AZ234" i="32"/>
  <c r="BA234" i="32"/>
  <c r="AK235" i="32"/>
  <c r="AL235" i="32"/>
  <c r="AM235" i="32"/>
  <c r="AN235" i="32"/>
  <c r="AO235" i="32"/>
  <c r="AP235" i="32"/>
  <c r="AQ235" i="32"/>
  <c r="Q235" i="32"/>
  <c r="AR235" i="32"/>
  <c r="AS235" i="32"/>
  <c r="AT235" i="32"/>
  <c r="AU235" i="32"/>
  <c r="AV235" i="32"/>
  <c r="AW235" i="32"/>
  <c r="AX235" i="32"/>
  <c r="AY235" i="32"/>
  <c r="AZ235" i="32"/>
  <c r="BA235" i="32"/>
  <c r="AK236" i="32"/>
  <c r="AL236" i="32"/>
  <c r="AM236" i="32"/>
  <c r="AN236" i="32"/>
  <c r="AO236" i="32"/>
  <c r="AP236" i="32"/>
  <c r="AQ236" i="32"/>
  <c r="Q236" i="32"/>
  <c r="AR236" i="32"/>
  <c r="AS236" i="32"/>
  <c r="AT236" i="32"/>
  <c r="AU236" i="32"/>
  <c r="AV236" i="32"/>
  <c r="AW236" i="32"/>
  <c r="AX236" i="32"/>
  <c r="AY236" i="32"/>
  <c r="AZ236" i="32"/>
  <c r="BA236" i="32"/>
  <c r="AK237" i="32"/>
  <c r="AL237" i="32"/>
  <c r="AM237" i="32"/>
  <c r="AN237" i="32"/>
  <c r="AO237" i="32"/>
  <c r="AP237" i="32"/>
  <c r="AQ237" i="32"/>
  <c r="Q237" i="32"/>
  <c r="AR237" i="32"/>
  <c r="AS237" i="32"/>
  <c r="AT237" i="32"/>
  <c r="AU237" i="32"/>
  <c r="AV237" i="32"/>
  <c r="AW237" i="32"/>
  <c r="AX237" i="32"/>
  <c r="AY237" i="32"/>
  <c r="AZ237" i="32"/>
  <c r="BA237" i="32"/>
  <c r="AK238" i="32"/>
  <c r="AL238" i="32"/>
  <c r="AM238" i="32"/>
  <c r="AN238" i="32"/>
  <c r="AO238" i="32"/>
  <c r="AP238" i="32"/>
  <c r="AQ238" i="32"/>
  <c r="Q238" i="32"/>
  <c r="AR238" i="32"/>
  <c r="AS238" i="32"/>
  <c r="AT238" i="32"/>
  <c r="AU238" i="32"/>
  <c r="AV238" i="32"/>
  <c r="AW238" i="32"/>
  <c r="AX238" i="32"/>
  <c r="AY238" i="32"/>
  <c r="AZ238" i="32"/>
  <c r="BA238" i="32"/>
  <c r="AK239" i="32"/>
  <c r="AL239" i="32"/>
  <c r="AM239" i="32"/>
  <c r="AN239" i="32"/>
  <c r="AO239" i="32"/>
  <c r="AP239" i="32"/>
  <c r="AQ239" i="32"/>
  <c r="Q239" i="32"/>
  <c r="AR239" i="32"/>
  <c r="AS239" i="32"/>
  <c r="AT239" i="32"/>
  <c r="AU239" i="32"/>
  <c r="AV239" i="32"/>
  <c r="AW239" i="32"/>
  <c r="AX239" i="32"/>
  <c r="AY239" i="32"/>
  <c r="AZ239" i="32"/>
  <c r="BA239" i="32"/>
  <c r="AK240" i="32"/>
  <c r="AL240" i="32"/>
  <c r="AM240" i="32"/>
  <c r="AN240" i="32"/>
  <c r="AO240" i="32"/>
  <c r="AP240" i="32"/>
  <c r="AQ240" i="32"/>
  <c r="Q240" i="32"/>
  <c r="AR240" i="32"/>
  <c r="AS240" i="32"/>
  <c r="AT240" i="32"/>
  <c r="AU240" i="32"/>
  <c r="AV240" i="32"/>
  <c r="AW240" i="32"/>
  <c r="AX240" i="32"/>
  <c r="AY240" i="32"/>
  <c r="AZ240" i="32"/>
  <c r="BA240" i="32"/>
  <c r="AK241" i="32"/>
  <c r="AL241" i="32"/>
  <c r="AM241" i="32"/>
  <c r="AN241" i="32"/>
  <c r="AO241" i="32"/>
  <c r="AP241" i="32"/>
  <c r="AQ241" i="32"/>
  <c r="Q241" i="32"/>
  <c r="AR241" i="32"/>
  <c r="AS241" i="32"/>
  <c r="AT241" i="32"/>
  <c r="AU241" i="32"/>
  <c r="AV241" i="32"/>
  <c r="AW241" i="32"/>
  <c r="AX241" i="32"/>
  <c r="AY241" i="32"/>
  <c r="AZ241" i="32"/>
  <c r="BA241" i="32"/>
  <c r="AK242" i="32"/>
  <c r="AL242" i="32"/>
  <c r="AM242" i="32"/>
  <c r="AN242" i="32"/>
  <c r="AO242" i="32"/>
  <c r="AP242" i="32"/>
  <c r="AQ242" i="32"/>
  <c r="Q242" i="32"/>
  <c r="AR242" i="32"/>
  <c r="AS242" i="32"/>
  <c r="AT242" i="32"/>
  <c r="AU242" i="32"/>
  <c r="AV242" i="32"/>
  <c r="AW242" i="32"/>
  <c r="AX242" i="32"/>
  <c r="AY242" i="32"/>
  <c r="AZ242" i="32"/>
  <c r="BA242" i="32"/>
  <c r="AK243" i="32"/>
  <c r="AL243" i="32"/>
  <c r="AM243" i="32"/>
  <c r="AN243" i="32"/>
  <c r="AO243" i="32"/>
  <c r="AP243" i="32"/>
  <c r="AQ243" i="32"/>
  <c r="Q243" i="32"/>
  <c r="AR243" i="32"/>
  <c r="AS243" i="32"/>
  <c r="AT243" i="32"/>
  <c r="AU243" i="32"/>
  <c r="AV243" i="32"/>
  <c r="AW243" i="32"/>
  <c r="AX243" i="32"/>
  <c r="AY243" i="32"/>
  <c r="AZ243" i="32"/>
  <c r="BA243" i="32"/>
  <c r="AK244" i="32"/>
  <c r="AL244" i="32"/>
  <c r="AM244" i="32"/>
  <c r="AN244" i="32"/>
  <c r="AO244" i="32"/>
  <c r="AP244" i="32"/>
  <c r="AQ244" i="32"/>
  <c r="Q244" i="32"/>
  <c r="AR244" i="32"/>
  <c r="AS244" i="32"/>
  <c r="AT244" i="32"/>
  <c r="AU244" i="32"/>
  <c r="AV244" i="32"/>
  <c r="AW244" i="32"/>
  <c r="AX244" i="32"/>
  <c r="AY244" i="32"/>
  <c r="AZ244" i="32"/>
  <c r="BA244" i="32"/>
  <c r="AK245" i="32"/>
  <c r="AL245" i="32"/>
  <c r="AM245" i="32"/>
  <c r="AN245" i="32"/>
  <c r="AO245" i="32"/>
  <c r="AP245" i="32"/>
  <c r="AQ245" i="32"/>
  <c r="Q245" i="32"/>
  <c r="AR245" i="32"/>
  <c r="AS245" i="32"/>
  <c r="AT245" i="32"/>
  <c r="AU245" i="32"/>
  <c r="AV245" i="32"/>
  <c r="AW245" i="32"/>
  <c r="AX245" i="32"/>
  <c r="AY245" i="32"/>
  <c r="AZ245" i="32"/>
  <c r="BA245" i="32"/>
  <c r="AK246" i="32"/>
  <c r="AL246" i="32"/>
  <c r="AM246" i="32"/>
  <c r="AN246" i="32"/>
  <c r="AO246" i="32"/>
  <c r="AP246" i="32"/>
  <c r="AQ246" i="32"/>
  <c r="Q246" i="32"/>
  <c r="AR246" i="32"/>
  <c r="AS246" i="32"/>
  <c r="AT246" i="32"/>
  <c r="AU246" i="32"/>
  <c r="AV246" i="32"/>
  <c r="AW246" i="32"/>
  <c r="AX246" i="32"/>
  <c r="AY246" i="32"/>
  <c r="AZ246" i="32"/>
  <c r="BA246" i="32"/>
  <c r="AK247" i="32"/>
  <c r="AL247" i="32"/>
  <c r="AM247" i="32"/>
  <c r="AN247" i="32"/>
  <c r="AO247" i="32"/>
  <c r="AP247" i="32"/>
  <c r="AQ247" i="32"/>
  <c r="Q247" i="32"/>
  <c r="AR247" i="32"/>
  <c r="AS247" i="32"/>
  <c r="AT247" i="32"/>
  <c r="AU247" i="32"/>
  <c r="AV247" i="32"/>
  <c r="AW247" i="32"/>
  <c r="AX247" i="32"/>
  <c r="AY247" i="32"/>
  <c r="AZ247" i="32"/>
  <c r="BA247" i="32"/>
  <c r="AK248" i="32"/>
  <c r="AL248" i="32"/>
  <c r="AM248" i="32"/>
  <c r="AN248" i="32"/>
  <c r="AO248" i="32"/>
  <c r="AP248" i="32"/>
  <c r="AQ248" i="32"/>
  <c r="Q248" i="32"/>
  <c r="AR248" i="32"/>
  <c r="AS248" i="32"/>
  <c r="AT248" i="32"/>
  <c r="AU248" i="32"/>
  <c r="AV248" i="32"/>
  <c r="AW248" i="32"/>
  <c r="AX248" i="32"/>
  <c r="AY248" i="32"/>
  <c r="AZ248" i="32"/>
  <c r="BA248" i="32"/>
  <c r="AK249" i="32"/>
  <c r="AL249" i="32"/>
  <c r="AM249" i="32"/>
  <c r="AN249" i="32"/>
  <c r="AO249" i="32"/>
  <c r="AP249" i="32"/>
  <c r="AQ249" i="32"/>
  <c r="Q249" i="32"/>
  <c r="AR249" i="32"/>
  <c r="AS249" i="32"/>
  <c r="AT249" i="32"/>
  <c r="AU249" i="32"/>
  <c r="AV249" i="32"/>
  <c r="AW249" i="32"/>
  <c r="AX249" i="32"/>
  <c r="AY249" i="32"/>
  <c r="AZ249" i="32"/>
  <c r="BA249" i="32"/>
  <c r="AK250" i="32"/>
  <c r="AL250" i="32"/>
  <c r="AM250" i="32"/>
  <c r="AN250" i="32"/>
  <c r="AO250" i="32"/>
  <c r="AP250" i="32"/>
  <c r="AQ250" i="32"/>
  <c r="Q250" i="32"/>
  <c r="AR250" i="32"/>
  <c r="AS250" i="32"/>
  <c r="AT250" i="32"/>
  <c r="AU250" i="32"/>
  <c r="AV250" i="32"/>
  <c r="AW250" i="32"/>
  <c r="AX250" i="32"/>
  <c r="AY250" i="32"/>
  <c r="AZ250" i="32"/>
  <c r="BA250" i="32"/>
  <c r="AK251" i="32"/>
  <c r="AL251" i="32"/>
  <c r="AM251" i="32"/>
  <c r="AN251" i="32"/>
  <c r="AO251" i="32"/>
  <c r="AP251" i="32"/>
  <c r="AQ251" i="32"/>
  <c r="Q251" i="32"/>
  <c r="AR251" i="32"/>
  <c r="AS251" i="32"/>
  <c r="AT251" i="32"/>
  <c r="AU251" i="32"/>
  <c r="AV251" i="32"/>
  <c r="AW251" i="32"/>
  <c r="AX251" i="32"/>
  <c r="AY251" i="32"/>
  <c r="AZ251" i="32"/>
  <c r="BA251" i="32"/>
  <c r="AK252" i="32"/>
  <c r="AL252" i="32"/>
  <c r="AM252" i="32"/>
  <c r="AN252" i="32"/>
  <c r="AO252" i="32"/>
  <c r="AP252" i="32"/>
  <c r="AQ252" i="32"/>
  <c r="Q252" i="32"/>
  <c r="AR252" i="32"/>
  <c r="AS252" i="32"/>
  <c r="AT252" i="32"/>
  <c r="AU252" i="32"/>
  <c r="AV252" i="32"/>
  <c r="AW252" i="32"/>
  <c r="AX252" i="32"/>
  <c r="AY252" i="32"/>
  <c r="AZ252" i="32"/>
  <c r="BA252" i="32"/>
  <c r="AK253" i="32"/>
  <c r="AL253" i="32"/>
  <c r="AM253" i="32"/>
  <c r="AN253" i="32"/>
  <c r="AO253" i="32"/>
  <c r="AP253" i="32"/>
  <c r="AQ253" i="32"/>
  <c r="Q253" i="32"/>
  <c r="AR253" i="32"/>
  <c r="AS253" i="32"/>
  <c r="AT253" i="32"/>
  <c r="AU253" i="32"/>
  <c r="AV253" i="32"/>
  <c r="AW253" i="32"/>
  <c r="AX253" i="32"/>
  <c r="AY253" i="32"/>
  <c r="AZ253" i="32"/>
  <c r="BA253" i="32"/>
  <c r="AK254" i="32"/>
  <c r="AL254" i="32"/>
  <c r="AM254" i="32"/>
  <c r="AN254" i="32"/>
  <c r="AO254" i="32"/>
  <c r="AP254" i="32"/>
  <c r="AQ254" i="32"/>
  <c r="Q254" i="32"/>
  <c r="AR254" i="32"/>
  <c r="AS254" i="32"/>
  <c r="AT254" i="32"/>
  <c r="AU254" i="32"/>
  <c r="AV254" i="32"/>
  <c r="AW254" i="32"/>
  <c r="AX254" i="32"/>
  <c r="AY254" i="32"/>
  <c r="AZ254" i="32"/>
  <c r="BA254" i="32"/>
  <c r="AK255" i="32"/>
  <c r="AL255" i="32"/>
  <c r="AM255" i="32"/>
  <c r="AN255" i="32"/>
  <c r="AO255" i="32"/>
  <c r="AP255" i="32"/>
  <c r="AQ255" i="32"/>
  <c r="Q255" i="32"/>
  <c r="AR255" i="32"/>
  <c r="AS255" i="32"/>
  <c r="AT255" i="32"/>
  <c r="AU255" i="32"/>
  <c r="AV255" i="32"/>
  <c r="AW255" i="32"/>
  <c r="AX255" i="32"/>
  <c r="AY255" i="32"/>
  <c r="AZ255" i="32"/>
  <c r="BA255" i="32"/>
  <c r="AK256" i="32"/>
  <c r="AL256" i="32"/>
  <c r="AM256" i="32"/>
  <c r="AN256" i="32"/>
  <c r="AO256" i="32"/>
  <c r="AP256" i="32"/>
  <c r="AQ256" i="32"/>
  <c r="Q256" i="32"/>
  <c r="AR256" i="32"/>
  <c r="AS256" i="32"/>
  <c r="AT256" i="32"/>
  <c r="AU256" i="32"/>
  <c r="AV256" i="32"/>
  <c r="AW256" i="32"/>
  <c r="AX256" i="32"/>
  <c r="AY256" i="32"/>
  <c r="AZ256" i="32"/>
  <c r="BA256" i="32"/>
  <c r="AK257" i="32"/>
  <c r="AL257" i="32"/>
  <c r="AM257" i="32"/>
  <c r="AN257" i="32"/>
  <c r="AO257" i="32"/>
  <c r="AP257" i="32"/>
  <c r="AQ257" i="32"/>
  <c r="Q257" i="32"/>
  <c r="AR257" i="32"/>
  <c r="AS257" i="32"/>
  <c r="AT257" i="32"/>
  <c r="AU257" i="32"/>
  <c r="AV257" i="32"/>
  <c r="AW257" i="32"/>
  <c r="AX257" i="32"/>
  <c r="AY257" i="32"/>
  <c r="AZ257" i="32"/>
  <c r="BA257" i="32"/>
  <c r="AK258" i="32"/>
  <c r="AL258" i="32"/>
  <c r="AM258" i="32"/>
  <c r="AN258" i="32"/>
  <c r="AO258" i="32"/>
  <c r="AP258" i="32"/>
  <c r="AQ258" i="32"/>
  <c r="Q258" i="32"/>
  <c r="AR258" i="32"/>
  <c r="AS258" i="32"/>
  <c r="AT258" i="32"/>
  <c r="AU258" i="32"/>
  <c r="AV258" i="32"/>
  <c r="AW258" i="32"/>
  <c r="AX258" i="32"/>
  <c r="AY258" i="32"/>
  <c r="AZ258" i="32"/>
  <c r="BA258" i="32"/>
  <c r="AK259" i="32"/>
  <c r="AL259" i="32"/>
  <c r="AM259" i="32"/>
  <c r="AN259" i="32"/>
  <c r="AO259" i="32"/>
  <c r="AP259" i="32"/>
  <c r="AQ259" i="32"/>
  <c r="Q259" i="32"/>
  <c r="AR259" i="32"/>
  <c r="AS259" i="32"/>
  <c r="AT259" i="32"/>
  <c r="AU259" i="32"/>
  <c r="AV259" i="32"/>
  <c r="AW259" i="32"/>
  <c r="AX259" i="32"/>
  <c r="AY259" i="32"/>
  <c r="AZ259" i="32"/>
  <c r="BA259" i="32"/>
  <c r="AK260" i="32"/>
  <c r="AL260" i="32"/>
  <c r="AM260" i="32"/>
  <c r="AN260" i="32"/>
  <c r="AO260" i="32"/>
  <c r="AP260" i="32"/>
  <c r="AQ260" i="32"/>
  <c r="Q260" i="32"/>
  <c r="AR260" i="32"/>
  <c r="AS260" i="32"/>
  <c r="AT260" i="32"/>
  <c r="AU260" i="32"/>
  <c r="AV260" i="32"/>
  <c r="AW260" i="32"/>
  <c r="AX260" i="32"/>
  <c r="AY260" i="32"/>
  <c r="AZ260" i="32"/>
  <c r="BA260" i="32"/>
  <c r="AK261" i="32"/>
  <c r="AL261" i="32"/>
  <c r="AM261" i="32"/>
  <c r="AN261" i="32"/>
  <c r="AO261" i="32"/>
  <c r="AP261" i="32"/>
  <c r="AQ261" i="32"/>
  <c r="Q261" i="32"/>
  <c r="AR261" i="32"/>
  <c r="AS261" i="32"/>
  <c r="AT261" i="32"/>
  <c r="AU261" i="32"/>
  <c r="AV261" i="32"/>
  <c r="AW261" i="32"/>
  <c r="AX261" i="32"/>
  <c r="AY261" i="32"/>
  <c r="AZ261" i="32"/>
  <c r="BA261" i="32"/>
  <c r="AK262" i="32"/>
  <c r="AL262" i="32"/>
  <c r="AM262" i="32"/>
  <c r="AN262" i="32"/>
  <c r="AO262" i="32"/>
  <c r="AP262" i="32"/>
  <c r="AQ262" i="32"/>
  <c r="Q262" i="32"/>
  <c r="AR262" i="32"/>
  <c r="AS262" i="32"/>
  <c r="AT262" i="32"/>
  <c r="AU262" i="32"/>
  <c r="AV262" i="32"/>
  <c r="AW262" i="32"/>
  <c r="AX262" i="32"/>
  <c r="AY262" i="32"/>
  <c r="AZ262" i="32"/>
  <c r="BA262" i="32"/>
  <c r="AK263" i="32"/>
  <c r="AL263" i="32"/>
  <c r="AM263" i="32"/>
  <c r="AN263" i="32"/>
  <c r="AO263" i="32"/>
  <c r="AP263" i="32"/>
  <c r="AQ263" i="32"/>
  <c r="Q263" i="32"/>
  <c r="AR263" i="32"/>
  <c r="AS263" i="32"/>
  <c r="AT263" i="32"/>
  <c r="AU263" i="32"/>
  <c r="AV263" i="32"/>
  <c r="AW263" i="32"/>
  <c r="AX263" i="32"/>
  <c r="AY263" i="32"/>
  <c r="AZ263" i="32"/>
  <c r="BA263" i="32"/>
  <c r="AK264" i="32"/>
  <c r="AL264" i="32"/>
  <c r="AM264" i="32"/>
  <c r="AN264" i="32"/>
  <c r="AO264" i="32"/>
  <c r="AP264" i="32"/>
  <c r="AQ264" i="32"/>
  <c r="Q264" i="32"/>
  <c r="AR264" i="32"/>
  <c r="AS264" i="32"/>
  <c r="AT264" i="32"/>
  <c r="AU264" i="32"/>
  <c r="AV264" i="32"/>
  <c r="AW264" i="32"/>
  <c r="AX264" i="32"/>
  <c r="AY264" i="32"/>
  <c r="AZ264" i="32"/>
  <c r="BA264" i="32"/>
  <c r="AK265" i="32"/>
  <c r="AL265" i="32"/>
  <c r="AM265" i="32"/>
  <c r="AN265" i="32"/>
  <c r="AO265" i="32"/>
  <c r="AP265" i="32"/>
  <c r="AQ265" i="32"/>
  <c r="Q265" i="32"/>
  <c r="AR265" i="32"/>
  <c r="AS265" i="32"/>
  <c r="AT265" i="32"/>
  <c r="AU265" i="32"/>
  <c r="AV265" i="32"/>
  <c r="AW265" i="32"/>
  <c r="AX265" i="32"/>
  <c r="AY265" i="32"/>
  <c r="AZ265" i="32"/>
  <c r="BA265" i="32"/>
  <c r="AK266" i="32"/>
  <c r="AL266" i="32"/>
  <c r="AM266" i="32"/>
  <c r="AN266" i="32"/>
  <c r="AO266" i="32"/>
  <c r="AP266" i="32"/>
  <c r="AQ266" i="32"/>
  <c r="Q266" i="32"/>
  <c r="AR266" i="32"/>
  <c r="AS266" i="32"/>
  <c r="AT266" i="32"/>
  <c r="AU266" i="32"/>
  <c r="AV266" i="32"/>
  <c r="AW266" i="32"/>
  <c r="AX266" i="32"/>
  <c r="AY266" i="32"/>
  <c r="AZ266" i="32"/>
  <c r="BA266" i="32"/>
  <c r="AK267" i="32"/>
  <c r="AL267" i="32"/>
  <c r="AM267" i="32"/>
  <c r="AN267" i="32"/>
  <c r="AO267" i="32"/>
  <c r="AP267" i="32"/>
  <c r="AQ267" i="32"/>
  <c r="Q267" i="32"/>
  <c r="AR267" i="32"/>
  <c r="AS267" i="32"/>
  <c r="AT267" i="32"/>
  <c r="AU267" i="32"/>
  <c r="AV267" i="32"/>
  <c r="AW267" i="32"/>
  <c r="AX267" i="32"/>
  <c r="AY267" i="32"/>
  <c r="AZ267" i="32"/>
  <c r="BA267" i="32"/>
  <c r="AK268" i="32"/>
  <c r="AL268" i="32"/>
  <c r="AM268" i="32"/>
  <c r="AN268" i="32"/>
  <c r="AO268" i="32"/>
  <c r="AP268" i="32"/>
  <c r="AQ268" i="32"/>
  <c r="Q268" i="32"/>
  <c r="AR268" i="32"/>
  <c r="AS268" i="32"/>
  <c r="AT268" i="32"/>
  <c r="AU268" i="32"/>
  <c r="AV268" i="32"/>
  <c r="AW268" i="32"/>
  <c r="AX268" i="32"/>
  <c r="AY268" i="32"/>
  <c r="AZ268" i="32"/>
  <c r="BA268" i="32"/>
  <c r="AK269" i="32"/>
  <c r="AL269" i="32"/>
  <c r="AM269" i="32"/>
  <c r="AN269" i="32"/>
  <c r="AO269" i="32"/>
  <c r="AP269" i="32"/>
  <c r="AQ269" i="32"/>
  <c r="Q269" i="32"/>
  <c r="AR269" i="32"/>
  <c r="AS269" i="32"/>
  <c r="AT269" i="32"/>
  <c r="AU269" i="32"/>
  <c r="AV269" i="32"/>
  <c r="AW269" i="32"/>
  <c r="AX269" i="32"/>
  <c r="AY269" i="32"/>
  <c r="AZ269" i="32"/>
  <c r="BA269" i="32"/>
  <c r="AK270" i="32"/>
  <c r="AL270" i="32"/>
  <c r="AM270" i="32"/>
  <c r="AN270" i="32"/>
  <c r="AO270" i="32"/>
  <c r="AP270" i="32"/>
  <c r="AQ270" i="32"/>
  <c r="Q270" i="32"/>
  <c r="AR270" i="32"/>
  <c r="AS270" i="32"/>
  <c r="AT270" i="32"/>
  <c r="AU270" i="32"/>
  <c r="AV270" i="32"/>
  <c r="AW270" i="32"/>
  <c r="AX270" i="32"/>
  <c r="AY270" i="32"/>
  <c r="AZ270" i="32"/>
  <c r="BA270" i="32"/>
  <c r="AK271" i="32"/>
  <c r="AL271" i="32"/>
  <c r="AM271" i="32"/>
  <c r="AN271" i="32"/>
  <c r="AO271" i="32"/>
  <c r="AP271" i="32"/>
  <c r="AQ271" i="32"/>
  <c r="Q271" i="32"/>
  <c r="AR271" i="32"/>
  <c r="AS271" i="32"/>
  <c r="AT271" i="32"/>
  <c r="AU271" i="32"/>
  <c r="AV271" i="32"/>
  <c r="AW271" i="32"/>
  <c r="AX271" i="32"/>
  <c r="AY271" i="32"/>
  <c r="AZ271" i="32"/>
  <c r="BA271" i="32"/>
  <c r="AK272" i="32"/>
  <c r="AL272" i="32"/>
  <c r="AM272" i="32"/>
  <c r="AN272" i="32"/>
  <c r="AO272" i="32"/>
  <c r="AP272" i="32"/>
  <c r="AQ272" i="32"/>
  <c r="Q272" i="32"/>
  <c r="AR272" i="32"/>
  <c r="AS272" i="32"/>
  <c r="AT272" i="32"/>
  <c r="AU272" i="32"/>
  <c r="AV272" i="32"/>
  <c r="AW272" i="32"/>
  <c r="AX272" i="32"/>
  <c r="AY272" i="32"/>
  <c r="AZ272" i="32"/>
  <c r="BA272" i="32"/>
  <c r="AK273" i="32"/>
  <c r="AL273" i="32"/>
  <c r="AM273" i="32"/>
  <c r="AN273" i="32"/>
  <c r="AO273" i="32"/>
  <c r="AP273" i="32"/>
  <c r="AQ273" i="32"/>
  <c r="Q273" i="32"/>
  <c r="AR273" i="32"/>
  <c r="AS273" i="32"/>
  <c r="AT273" i="32"/>
  <c r="AU273" i="32"/>
  <c r="AV273" i="32"/>
  <c r="AW273" i="32"/>
  <c r="AX273" i="32"/>
  <c r="AY273" i="32"/>
  <c r="AZ273" i="32"/>
  <c r="BA273" i="32"/>
  <c r="AK274" i="32"/>
  <c r="AL274" i="32"/>
  <c r="AM274" i="32"/>
  <c r="AN274" i="32"/>
  <c r="AO274" i="32"/>
  <c r="AP274" i="32"/>
  <c r="AQ274" i="32"/>
  <c r="Q274" i="32"/>
  <c r="AR274" i="32"/>
  <c r="AS274" i="32"/>
  <c r="AT274" i="32"/>
  <c r="AU274" i="32"/>
  <c r="AV274" i="32"/>
  <c r="AW274" i="32"/>
  <c r="AX274" i="32"/>
  <c r="AY274" i="32"/>
  <c r="AZ274" i="32"/>
  <c r="BA274" i="32"/>
  <c r="AK275" i="32"/>
  <c r="AL275" i="32"/>
  <c r="AM275" i="32"/>
  <c r="AN275" i="32"/>
  <c r="AO275" i="32"/>
  <c r="AP275" i="32"/>
  <c r="AQ275" i="32"/>
  <c r="Q275" i="32"/>
  <c r="AR275" i="32"/>
  <c r="AS275" i="32"/>
  <c r="AT275" i="32"/>
  <c r="AU275" i="32"/>
  <c r="AV275" i="32"/>
  <c r="AW275" i="32"/>
  <c r="AX275" i="32"/>
  <c r="AY275" i="32"/>
  <c r="AZ275" i="32"/>
  <c r="BA275" i="32"/>
  <c r="AK276" i="32"/>
  <c r="AL276" i="32"/>
  <c r="AM276" i="32"/>
  <c r="AN276" i="32"/>
  <c r="AO276" i="32"/>
  <c r="AP276" i="32"/>
  <c r="AQ276" i="32"/>
  <c r="Q276" i="32"/>
  <c r="AR276" i="32"/>
  <c r="AS276" i="32"/>
  <c r="AT276" i="32"/>
  <c r="AU276" i="32"/>
  <c r="AV276" i="32"/>
  <c r="AW276" i="32"/>
  <c r="AX276" i="32"/>
  <c r="AY276" i="32"/>
  <c r="AZ276" i="32"/>
  <c r="BA276" i="32"/>
  <c r="AK277" i="32"/>
  <c r="AL277" i="32"/>
  <c r="AM277" i="32"/>
  <c r="AN277" i="32"/>
  <c r="AO277" i="32"/>
  <c r="AP277" i="32"/>
  <c r="AQ277" i="32"/>
  <c r="Q277" i="32"/>
  <c r="AR277" i="32"/>
  <c r="AS277" i="32"/>
  <c r="AT277" i="32"/>
  <c r="AU277" i="32"/>
  <c r="AV277" i="32"/>
  <c r="AW277" i="32"/>
  <c r="AX277" i="32"/>
  <c r="AY277" i="32"/>
  <c r="AZ277" i="32"/>
  <c r="BA277" i="32"/>
  <c r="AK278" i="32"/>
  <c r="AL278" i="32"/>
  <c r="AM278" i="32"/>
  <c r="AN278" i="32"/>
  <c r="AO278" i="32"/>
  <c r="AP278" i="32"/>
  <c r="AQ278" i="32"/>
  <c r="Q278" i="32"/>
  <c r="AR278" i="32"/>
  <c r="AS278" i="32"/>
  <c r="AT278" i="32"/>
  <c r="AU278" i="32"/>
  <c r="AV278" i="32"/>
  <c r="AW278" i="32"/>
  <c r="AX278" i="32"/>
  <c r="AY278" i="32"/>
  <c r="AZ278" i="32"/>
  <c r="BA278" i="32"/>
  <c r="AK279" i="32"/>
  <c r="AL279" i="32"/>
  <c r="AM279" i="32"/>
  <c r="AN279" i="32"/>
  <c r="AO279" i="32"/>
  <c r="AP279" i="32"/>
  <c r="AQ279" i="32"/>
  <c r="Q279" i="32"/>
  <c r="AR279" i="32"/>
  <c r="AS279" i="32"/>
  <c r="AT279" i="32"/>
  <c r="AU279" i="32"/>
  <c r="AV279" i="32"/>
  <c r="AW279" i="32"/>
  <c r="AX279" i="32"/>
  <c r="AY279" i="32"/>
  <c r="AZ279" i="32"/>
  <c r="BA279" i="32"/>
  <c r="AK280" i="32"/>
  <c r="AL280" i="32"/>
  <c r="AM280" i="32"/>
  <c r="AN280" i="32"/>
  <c r="AO280" i="32"/>
  <c r="AP280" i="32"/>
  <c r="AQ280" i="32"/>
  <c r="Q280" i="32"/>
  <c r="AR280" i="32"/>
  <c r="AS280" i="32"/>
  <c r="AT280" i="32"/>
  <c r="AU280" i="32"/>
  <c r="AV280" i="32"/>
  <c r="AW280" i="32"/>
  <c r="AX280" i="32"/>
  <c r="AY280" i="32"/>
  <c r="AZ280" i="32"/>
  <c r="BA280" i="32"/>
  <c r="AK281" i="32"/>
  <c r="AL281" i="32"/>
  <c r="AM281" i="32"/>
  <c r="AN281" i="32"/>
  <c r="AO281" i="32"/>
  <c r="AP281" i="32"/>
  <c r="AQ281" i="32"/>
  <c r="Q281" i="32"/>
  <c r="AR281" i="32"/>
  <c r="AS281" i="32"/>
  <c r="AT281" i="32"/>
  <c r="AU281" i="32"/>
  <c r="AV281" i="32"/>
  <c r="AW281" i="32"/>
  <c r="AX281" i="32"/>
  <c r="AY281" i="32"/>
  <c r="AZ281" i="32"/>
  <c r="BA281" i="32"/>
  <c r="AK282" i="32"/>
  <c r="AL282" i="32"/>
  <c r="AM282" i="32"/>
  <c r="AN282" i="32"/>
  <c r="AO282" i="32"/>
  <c r="AP282" i="32"/>
  <c r="AQ282" i="32"/>
  <c r="Q282" i="32"/>
  <c r="AR282" i="32"/>
  <c r="AS282" i="32"/>
  <c r="AT282" i="32"/>
  <c r="AU282" i="32"/>
  <c r="AV282" i="32"/>
  <c r="AW282" i="32"/>
  <c r="AX282" i="32"/>
  <c r="AY282" i="32"/>
  <c r="AZ282" i="32"/>
  <c r="BA282" i="32"/>
  <c r="AK283" i="32"/>
  <c r="AL283" i="32"/>
  <c r="AM283" i="32"/>
  <c r="AN283" i="32"/>
  <c r="AO283" i="32"/>
  <c r="AP283" i="32"/>
  <c r="AQ283" i="32"/>
  <c r="Q283" i="32"/>
  <c r="AR283" i="32"/>
  <c r="AS283" i="32"/>
  <c r="AT283" i="32"/>
  <c r="AU283" i="32"/>
  <c r="AV283" i="32"/>
  <c r="AW283" i="32"/>
  <c r="AX283" i="32"/>
  <c r="AY283" i="32"/>
  <c r="AZ283" i="32"/>
  <c r="BA283" i="32"/>
  <c r="AK284" i="32"/>
  <c r="AL284" i="32"/>
  <c r="AM284" i="32"/>
  <c r="AN284" i="32"/>
  <c r="AO284" i="32"/>
  <c r="AP284" i="32"/>
  <c r="AQ284" i="32"/>
  <c r="Q284" i="32"/>
  <c r="AR284" i="32"/>
  <c r="AS284" i="32"/>
  <c r="AT284" i="32"/>
  <c r="AU284" i="32"/>
  <c r="AV284" i="32"/>
  <c r="AW284" i="32"/>
  <c r="AX284" i="32"/>
  <c r="AY284" i="32"/>
  <c r="AZ284" i="32"/>
  <c r="BA284" i="32"/>
  <c r="AK285" i="32"/>
  <c r="AL285" i="32"/>
  <c r="AM285" i="32"/>
  <c r="AN285" i="32"/>
  <c r="AO285" i="32"/>
  <c r="AP285" i="32"/>
  <c r="AQ285" i="32"/>
  <c r="Q285" i="32"/>
  <c r="AR285" i="32"/>
  <c r="AS285" i="32"/>
  <c r="AT285" i="32"/>
  <c r="AU285" i="32"/>
  <c r="AV285" i="32"/>
  <c r="AW285" i="32"/>
  <c r="AX285" i="32"/>
  <c r="AY285" i="32"/>
  <c r="AZ285" i="32"/>
  <c r="BA285" i="32"/>
  <c r="AK286" i="32"/>
  <c r="AL286" i="32"/>
  <c r="AM286" i="32"/>
  <c r="AN286" i="32"/>
  <c r="AO286" i="32"/>
  <c r="AP286" i="32"/>
  <c r="AQ286" i="32"/>
  <c r="Q286" i="32"/>
  <c r="AR286" i="32"/>
  <c r="AS286" i="32"/>
  <c r="AT286" i="32"/>
  <c r="AU286" i="32"/>
  <c r="AV286" i="32"/>
  <c r="AW286" i="32"/>
  <c r="AX286" i="32"/>
  <c r="AY286" i="32"/>
  <c r="AZ286" i="32"/>
  <c r="BA286" i="32"/>
  <c r="AK287" i="32"/>
  <c r="AL287" i="32"/>
  <c r="AM287" i="32"/>
  <c r="AN287" i="32"/>
  <c r="AO287" i="32"/>
  <c r="AP287" i="32"/>
  <c r="AQ287" i="32"/>
  <c r="Q287" i="32"/>
  <c r="AR287" i="32"/>
  <c r="AS287" i="32"/>
  <c r="AT287" i="32"/>
  <c r="AU287" i="32"/>
  <c r="AV287" i="32"/>
  <c r="AW287" i="32"/>
  <c r="AX287" i="32"/>
  <c r="AY287" i="32"/>
  <c r="AZ287" i="32"/>
  <c r="BA287" i="32"/>
  <c r="AK288" i="32"/>
  <c r="AL288" i="32"/>
  <c r="AM288" i="32"/>
  <c r="AN288" i="32"/>
  <c r="AO288" i="32"/>
  <c r="AP288" i="32"/>
  <c r="AQ288" i="32"/>
  <c r="Q288" i="32"/>
  <c r="AR288" i="32"/>
  <c r="AS288" i="32"/>
  <c r="AT288" i="32"/>
  <c r="AU288" i="32"/>
  <c r="AV288" i="32"/>
  <c r="AW288" i="32"/>
  <c r="AX288" i="32"/>
  <c r="AY288" i="32"/>
  <c r="AZ288" i="32"/>
  <c r="BA288" i="32"/>
  <c r="AK289" i="32"/>
  <c r="AL289" i="32"/>
  <c r="AM289" i="32"/>
  <c r="AN289" i="32"/>
  <c r="AO289" i="32"/>
  <c r="AP289" i="32"/>
  <c r="AQ289" i="32"/>
  <c r="Q289" i="32"/>
  <c r="AR289" i="32"/>
  <c r="AS289" i="32"/>
  <c r="AT289" i="32"/>
  <c r="AU289" i="32"/>
  <c r="AV289" i="32"/>
  <c r="AW289" i="32"/>
  <c r="AX289" i="32"/>
  <c r="AY289" i="32"/>
  <c r="AZ289" i="32"/>
  <c r="BA289" i="32"/>
  <c r="AK290" i="32"/>
  <c r="AL290" i="32"/>
  <c r="AM290" i="32"/>
  <c r="AN290" i="32"/>
  <c r="AO290" i="32"/>
  <c r="AP290" i="32"/>
  <c r="AQ290" i="32"/>
  <c r="Q290" i="32"/>
  <c r="AR290" i="32"/>
  <c r="AS290" i="32"/>
  <c r="AT290" i="32"/>
  <c r="AU290" i="32"/>
  <c r="AV290" i="32"/>
  <c r="AW290" i="32"/>
  <c r="AX290" i="32"/>
  <c r="AY290" i="32"/>
  <c r="AZ290" i="32"/>
  <c r="BA290" i="32"/>
  <c r="AK291" i="32"/>
  <c r="AL291" i="32"/>
  <c r="AM291" i="32"/>
  <c r="AN291" i="32"/>
  <c r="AO291" i="32"/>
  <c r="AP291" i="32"/>
  <c r="AQ291" i="32"/>
  <c r="Q291" i="32"/>
  <c r="AR291" i="32"/>
  <c r="AS291" i="32"/>
  <c r="AT291" i="32"/>
  <c r="AU291" i="32"/>
  <c r="AV291" i="32"/>
  <c r="AW291" i="32"/>
  <c r="AX291" i="32"/>
  <c r="AY291" i="32"/>
  <c r="AZ291" i="32"/>
  <c r="BA291" i="32"/>
  <c r="AK292" i="32"/>
  <c r="AL292" i="32"/>
  <c r="AM292" i="32"/>
  <c r="AN292" i="32"/>
  <c r="AO292" i="32"/>
  <c r="AP292" i="32"/>
  <c r="AQ292" i="32"/>
  <c r="Q292" i="32"/>
  <c r="AR292" i="32"/>
  <c r="AS292" i="32"/>
  <c r="AT292" i="32"/>
  <c r="AU292" i="32"/>
  <c r="AV292" i="32"/>
  <c r="AW292" i="32"/>
  <c r="AX292" i="32"/>
  <c r="AY292" i="32"/>
  <c r="AZ292" i="32"/>
  <c r="BA292" i="32"/>
  <c r="AK293" i="32"/>
  <c r="AL293" i="32"/>
  <c r="AM293" i="32"/>
  <c r="AN293" i="32"/>
  <c r="AO293" i="32"/>
  <c r="AP293" i="32"/>
  <c r="AQ293" i="32"/>
  <c r="Q293" i="32"/>
  <c r="AR293" i="32"/>
  <c r="AS293" i="32"/>
  <c r="AT293" i="32"/>
  <c r="AU293" i="32"/>
  <c r="AV293" i="32"/>
  <c r="AW293" i="32"/>
  <c r="AX293" i="32"/>
  <c r="AY293" i="32"/>
  <c r="AZ293" i="32"/>
  <c r="BA293" i="32"/>
  <c r="AK294" i="32"/>
  <c r="AL294" i="32"/>
  <c r="AM294" i="32"/>
  <c r="AN294" i="32"/>
  <c r="AO294" i="32"/>
  <c r="AP294" i="32"/>
  <c r="AQ294" i="32"/>
  <c r="Q294" i="32"/>
  <c r="AR294" i="32"/>
  <c r="AS294" i="32"/>
  <c r="AT294" i="32"/>
  <c r="AU294" i="32"/>
  <c r="AV294" i="32"/>
  <c r="AW294" i="32"/>
  <c r="AX294" i="32"/>
  <c r="AY294" i="32"/>
  <c r="AZ294" i="32"/>
  <c r="BA294" i="32"/>
  <c r="AK295" i="32"/>
  <c r="AL295" i="32"/>
  <c r="AM295" i="32"/>
  <c r="AN295" i="32"/>
  <c r="AO295" i="32"/>
  <c r="AP295" i="32"/>
  <c r="AQ295" i="32"/>
  <c r="Q295" i="32"/>
  <c r="AR295" i="32"/>
  <c r="AS295" i="32"/>
  <c r="AT295" i="32"/>
  <c r="AU295" i="32"/>
  <c r="AV295" i="32"/>
  <c r="AW295" i="32"/>
  <c r="AX295" i="32"/>
  <c r="AY295" i="32"/>
  <c r="AZ295" i="32"/>
  <c r="BA295" i="32"/>
  <c r="AK296" i="32"/>
  <c r="AL296" i="32"/>
  <c r="AM296" i="32"/>
  <c r="AN296" i="32"/>
  <c r="AO296" i="32"/>
  <c r="AP296" i="32"/>
  <c r="AQ296" i="32"/>
  <c r="Q296" i="32"/>
  <c r="AR296" i="32"/>
  <c r="AS296" i="32"/>
  <c r="AT296" i="32"/>
  <c r="AU296" i="32"/>
  <c r="AV296" i="32"/>
  <c r="AW296" i="32"/>
  <c r="AX296" i="32"/>
  <c r="AY296" i="32"/>
  <c r="AZ296" i="32"/>
  <c r="BA296" i="32"/>
  <c r="AK297" i="32"/>
  <c r="AL297" i="32"/>
  <c r="AM297" i="32"/>
  <c r="AN297" i="32"/>
  <c r="AO297" i="32"/>
  <c r="AP297" i="32"/>
  <c r="AQ297" i="32"/>
  <c r="Q297" i="32"/>
  <c r="AR297" i="32"/>
  <c r="AS297" i="32"/>
  <c r="AT297" i="32"/>
  <c r="AU297" i="32"/>
  <c r="AV297" i="32"/>
  <c r="AW297" i="32"/>
  <c r="AX297" i="32"/>
  <c r="AY297" i="32"/>
  <c r="AZ297" i="32"/>
  <c r="BA297" i="32"/>
  <c r="AK298" i="32"/>
  <c r="AL298" i="32"/>
  <c r="AM298" i="32"/>
  <c r="AN298" i="32"/>
  <c r="AO298" i="32"/>
  <c r="AP298" i="32"/>
  <c r="AQ298" i="32"/>
  <c r="Q298" i="32"/>
  <c r="AR298" i="32"/>
  <c r="AS298" i="32"/>
  <c r="AT298" i="32"/>
  <c r="AU298" i="32"/>
  <c r="AV298" i="32"/>
  <c r="AW298" i="32"/>
  <c r="AX298" i="32"/>
  <c r="AY298" i="32"/>
  <c r="AZ298" i="32"/>
  <c r="BA298" i="32"/>
  <c r="AK299" i="32"/>
  <c r="AL299" i="32"/>
  <c r="AM299" i="32"/>
  <c r="AN299" i="32"/>
  <c r="AO299" i="32"/>
  <c r="AP299" i="32"/>
  <c r="AQ299" i="32"/>
  <c r="Q299" i="32"/>
  <c r="AR299" i="32"/>
  <c r="AS299" i="32"/>
  <c r="AT299" i="32"/>
  <c r="AU299" i="32"/>
  <c r="AV299" i="32"/>
  <c r="AW299" i="32"/>
  <c r="AX299" i="32"/>
  <c r="AY299" i="32"/>
  <c r="AZ299" i="32"/>
  <c r="BA299" i="32"/>
  <c r="AK300" i="32"/>
  <c r="AL300" i="32"/>
  <c r="AM300" i="32"/>
  <c r="AN300" i="32"/>
  <c r="AO300" i="32"/>
  <c r="AP300" i="32"/>
  <c r="AQ300" i="32"/>
  <c r="Q300" i="32"/>
  <c r="AR300" i="32"/>
  <c r="AS300" i="32"/>
  <c r="AT300" i="32"/>
  <c r="AU300" i="32"/>
  <c r="AV300" i="32"/>
  <c r="AW300" i="32"/>
  <c r="AX300" i="32"/>
  <c r="AY300" i="32"/>
  <c r="AZ300" i="32"/>
  <c r="BA300" i="32"/>
  <c r="AK301" i="32"/>
  <c r="AL301" i="32"/>
  <c r="AM301" i="32"/>
  <c r="AN301" i="32"/>
  <c r="AO301" i="32"/>
  <c r="AP301" i="32"/>
  <c r="AQ301" i="32"/>
  <c r="Q301" i="32"/>
  <c r="AR301" i="32"/>
  <c r="AS301" i="32"/>
  <c r="AT301" i="32"/>
  <c r="AU301" i="32"/>
  <c r="AV301" i="32"/>
  <c r="AW301" i="32"/>
  <c r="AX301" i="32"/>
  <c r="AY301" i="32"/>
  <c r="AZ301" i="32"/>
  <c r="BA301" i="32"/>
  <c r="AK302" i="32"/>
  <c r="AL302" i="32"/>
  <c r="AM302" i="32"/>
  <c r="AN302" i="32"/>
  <c r="AO302" i="32"/>
  <c r="AP302" i="32"/>
  <c r="AQ302" i="32"/>
  <c r="Q302" i="32"/>
  <c r="AR302" i="32"/>
  <c r="AS302" i="32"/>
  <c r="AT302" i="32"/>
  <c r="AU302" i="32"/>
  <c r="AV302" i="32"/>
  <c r="AW302" i="32"/>
  <c r="AX302" i="32"/>
  <c r="AY302" i="32"/>
  <c r="AZ302" i="32"/>
  <c r="BA302" i="32"/>
  <c r="AK303" i="32"/>
  <c r="AL303" i="32"/>
  <c r="AM303" i="32"/>
  <c r="AN303" i="32"/>
  <c r="AO303" i="32"/>
  <c r="AP303" i="32"/>
  <c r="AQ303" i="32"/>
  <c r="Q303" i="32"/>
  <c r="AR303" i="32"/>
  <c r="AS303" i="32"/>
  <c r="AT303" i="32"/>
  <c r="AU303" i="32"/>
  <c r="AV303" i="32"/>
  <c r="AW303" i="32"/>
  <c r="AX303" i="32"/>
  <c r="AY303" i="32"/>
  <c r="AZ303" i="32"/>
  <c r="BA303" i="32"/>
  <c r="AK304" i="32"/>
  <c r="AL304" i="32"/>
  <c r="AM304" i="32"/>
  <c r="AN304" i="32"/>
  <c r="AO304" i="32"/>
  <c r="AP304" i="32"/>
  <c r="AQ304" i="32"/>
  <c r="Q304" i="32"/>
  <c r="AR304" i="32"/>
  <c r="AS304" i="32"/>
  <c r="AT304" i="32"/>
  <c r="AU304" i="32"/>
  <c r="AV304" i="32"/>
  <c r="AW304" i="32"/>
  <c r="AX304" i="32"/>
  <c r="AY304" i="32"/>
  <c r="AZ304" i="32"/>
  <c r="BA304" i="32"/>
  <c r="AK305" i="32"/>
  <c r="AL305" i="32"/>
  <c r="AM305" i="32"/>
  <c r="AN305" i="32"/>
  <c r="AO305" i="32"/>
  <c r="AP305" i="32"/>
  <c r="AQ305" i="32"/>
  <c r="Q305" i="32"/>
  <c r="AR305" i="32"/>
  <c r="AS305" i="32"/>
  <c r="AT305" i="32"/>
  <c r="AU305" i="32"/>
  <c r="AV305" i="32"/>
  <c r="AW305" i="32"/>
  <c r="AX305" i="32"/>
  <c r="AY305" i="32"/>
  <c r="AZ305" i="32"/>
  <c r="BA305" i="32"/>
  <c r="AK306" i="32"/>
  <c r="AL306" i="32"/>
  <c r="AM306" i="32"/>
  <c r="AN306" i="32"/>
  <c r="AO306" i="32"/>
  <c r="AP306" i="32"/>
  <c r="AQ306" i="32"/>
  <c r="Q306" i="32"/>
  <c r="AR306" i="32"/>
  <c r="AS306" i="32"/>
  <c r="AT306" i="32"/>
  <c r="AU306" i="32"/>
  <c r="AV306" i="32"/>
  <c r="AW306" i="32"/>
  <c r="AX306" i="32"/>
  <c r="AY306" i="32"/>
  <c r="AZ306" i="32"/>
  <c r="BA306" i="32"/>
  <c r="AK307" i="32"/>
  <c r="AL307" i="32"/>
  <c r="AM307" i="32"/>
  <c r="AN307" i="32"/>
  <c r="AO307" i="32"/>
  <c r="AP307" i="32"/>
  <c r="AQ307" i="32"/>
  <c r="Q307" i="32"/>
  <c r="AR307" i="32"/>
  <c r="AS307" i="32"/>
  <c r="AT307" i="32"/>
  <c r="AU307" i="32"/>
  <c r="AV307" i="32"/>
  <c r="AW307" i="32"/>
  <c r="AX307" i="32"/>
  <c r="AY307" i="32"/>
  <c r="AZ307" i="32"/>
  <c r="BA307" i="32"/>
  <c r="AK308" i="32"/>
  <c r="AL308" i="32"/>
  <c r="AM308" i="32"/>
  <c r="AN308" i="32"/>
  <c r="AO308" i="32"/>
  <c r="AP308" i="32"/>
  <c r="AQ308" i="32"/>
  <c r="Q308" i="32"/>
  <c r="AR308" i="32"/>
  <c r="AS308" i="32"/>
  <c r="AT308" i="32"/>
  <c r="AU308" i="32"/>
  <c r="AV308" i="32"/>
  <c r="AW308" i="32"/>
  <c r="AX308" i="32"/>
  <c r="AY308" i="32"/>
  <c r="AZ308" i="32"/>
  <c r="BA308" i="32"/>
  <c r="AK309" i="32"/>
  <c r="AL309" i="32"/>
  <c r="AM309" i="32"/>
  <c r="AN309" i="32"/>
  <c r="AO309" i="32"/>
  <c r="AP309" i="32"/>
  <c r="AQ309" i="32"/>
  <c r="Q309" i="32"/>
  <c r="AR309" i="32"/>
  <c r="AS309" i="32"/>
  <c r="AT309" i="32"/>
  <c r="AU309" i="32"/>
  <c r="AV309" i="32"/>
  <c r="AW309" i="32"/>
  <c r="AX309" i="32"/>
  <c r="AY309" i="32"/>
  <c r="AZ309" i="32"/>
  <c r="BA309" i="32"/>
  <c r="AK310" i="32"/>
  <c r="AL310" i="32"/>
  <c r="AM310" i="32"/>
  <c r="AN310" i="32"/>
  <c r="AO310" i="32"/>
  <c r="AP310" i="32"/>
  <c r="AQ310" i="32"/>
  <c r="Q310" i="32"/>
  <c r="AR310" i="32"/>
  <c r="AS310" i="32"/>
  <c r="AT310" i="32"/>
  <c r="AU310" i="32"/>
  <c r="AV310" i="32"/>
  <c r="AW310" i="32"/>
  <c r="AX310" i="32"/>
  <c r="AY310" i="32"/>
  <c r="AZ310" i="32"/>
  <c r="BA310" i="32"/>
  <c r="AK311" i="32"/>
  <c r="AL311" i="32"/>
  <c r="AM311" i="32"/>
  <c r="AN311" i="32"/>
  <c r="AO311" i="32"/>
  <c r="AP311" i="32"/>
  <c r="AQ311" i="32"/>
  <c r="Q311" i="32"/>
  <c r="AR311" i="32"/>
  <c r="AS311" i="32"/>
  <c r="AT311" i="32"/>
  <c r="AU311" i="32"/>
  <c r="AV311" i="32"/>
  <c r="AW311" i="32"/>
  <c r="AX311" i="32"/>
  <c r="AY311" i="32"/>
  <c r="AZ311" i="32"/>
  <c r="BA311" i="32"/>
  <c r="AK312" i="32"/>
  <c r="AL312" i="32"/>
  <c r="AM312" i="32"/>
  <c r="AN312" i="32"/>
  <c r="AO312" i="32"/>
  <c r="AP312" i="32"/>
  <c r="AQ312" i="32"/>
  <c r="Q312" i="32"/>
  <c r="AR312" i="32"/>
  <c r="AS312" i="32"/>
  <c r="AT312" i="32"/>
  <c r="AU312" i="32"/>
  <c r="AV312" i="32"/>
  <c r="AW312" i="32"/>
  <c r="AX312" i="32"/>
  <c r="AY312" i="32"/>
  <c r="AZ312" i="32"/>
  <c r="BA312" i="32"/>
  <c r="AK313" i="32"/>
  <c r="AL313" i="32"/>
  <c r="AM313" i="32"/>
  <c r="AN313" i="32"/>
  <c r="AO313" i="32"/>
  <c r="AP313" i="32"/>
  <c r="AQ313" i="32"/>
  <c r="Q313" i="32"/>
  <c r="AR313" i="32"/>
  <c r="AS313" i="32"/>
  <c r="AT313" i="32"/>
  <c r="AU313" i="32"/>
  <c r="AV313" i="32"/>
  <c r="AW313" i="32"/>
  <c r="AX313" i="32"/>
  <c r="AY313" i="32"/>
  <c r="AZ313" i="32"/>
  <c r="BA313" i="32"/>
  <c r="AK314" i="32"/>
  <c r="AL314" i="32"/>
  <c r="AM314" i="32"/>
  <c r="AN314" i="32"/>
  <c r="AO314" i="32"/>
  <c r="AP314" i="32"/>
  <c r="AQ314" i="32"/>
  <c r="Q314" i="32"/>
  <c r="AR314" i="32"/>
  <c r="AS314" i="32"/>
  <c r="AT314" i="32"/>
  <c r="AU314" i="32"/>
  <c r="AV314" i="32"/>
  <c r="AW314" i="32"/>
  <c r="AX314" i="32"/>
  <c r="AY314" i="32"/>
  <c r="AZ314" i="32"/>
  <c r="BA314" i="32"/>
  <c r="AK315" i="32"/>
  <c r="AL315" i="32"/>
  <c r="AM315" i="32"/>
  <c r="AN315" i="32"/>
  <c r="AO315" i="32"/>
  <c r="AP315" i="32"/>
  <c r="AQ315" i="32"/>
  <c r="Q315" i="32"/>
  <c r="AR315" i="32"/>
  <c r="AS315" i="32"/>
  <c r="AT315" i="32"/>
  <c r="AU315" i="32"/>
  <c r="AV315" i="32"/>
  <c r="AW315" i="32"/>
  <c r="AX315" i="32"/>
  <c r="AY315" i="32"/>
  <c r="AZ315" i="32"/>
  <c r="BA315" i="32"/>
  <c r="AK316" i="32"/>
  <c r="AL316" i="32"/>
  <c r="AM316" i="32"/>
  <c r="AN316" i="32"/>
  <c r="AO316" i="32"/>
  <c r="AP316" i="32"/>
  <c r="AQ316" i="32"/>
  <c r="Q316" i="32"/>
  <c r="AR316" i="32"/>
  <c r="AS316" i="32"/>
  <c r="AT316" i="32"/>
  <c r="AU316" i="32"/>
  <c r="AV316" i="32"/>
  <c r="AW316" i="32"/>
  <c r="AX316" i="32"/>
  <c r="AY316" i="32"/>
  <c r="AZ316" i="32"/>
  <c r="BA316" i="32"/>
  <c r="AK317" i="32"/>
  <c r="AL317" i="32"/>
  <c r="AM317" i="32"/>
  <c r="AN317" i="32"/>
  <c r="AO317" i="32"/>
  <c r="AP317" i="32"/>
  <c r="AQ317" i="32"/>
  <c r="Q317" i="32"/>
  <c r="AR317" i="32"/>
  <c r="AS317" i="32"/>
  <c r="AT317" i="32"/>
  <c r="AU317" i="32"/>
  <c r="AV317" i="32"/>
  <c r="AW317" i="32"/>
  <c r="AX317" i="32"/>
  <c r="AY317" i="32"/>
  <c r="AZ317" i="32"/>
  <c r="BA317" i="32"/>
  <c r="AK318" i="32"/>
  <c r="AL318" i="32"/>
  <c r="AM318" i="32"/>
  <c r="AN318" i="32"/>
  <c r="AO318" i="32"/>
  <c r="AP318" i="32"/>
  <c r="AQ318" i="32"/>
  <c r="Q318" i="32"/>
  <c r="AR318" i="32"/>
  <c r="AS318" i="32"/>
  <c r="AT318" i="32"/>
  <c r="AU318" i="32"/>
  <c r="AV318" i="32"/>
  <c r="AW318" i="32"/>
  <c r="AX318" i="32"/>
  <c r="AY318" i="32"/>
  <c r="AZ318" i="32"/>
  <c r="BA318" i="32"/>
  <c r="AK319" i="32"/>
  <c r="AL319" i="32"/>
  <c r="AM319" i="32"/>
  <c r="AN319" i="32"/>
  <c r="AO319" i="32"/>
  <c r="AP319" i="32"/>
  <c r="AQ319" i="32"/>
  <c r="Q319" i="32"/>
  <c r="AR319" i="32"/>
  <c r="AS319" i="32"/>
  <c r="AT319" i="32"/>
  <c r="AU319" i="32"/>
  <c r="AV319" i="32"/>
  <c r="AW319" i="32"/>
  <c r="AX319" i="32"/>
  <c r="AY319" i="32"/>
  <c r="AZ319" i="32"/>
  <c r="BA319" i="32"/>
  <c r="AK320" i="32"/>
  <c r="AL320" i="32"/>
  <c r="AM320" i="32"/>
  <c r="AN320" i="32"/>
  <c r="AO320" i="32"/>
  <c r="AP320" i="32"/>
  <c r="AQ320" i="32"/>
  <c r="Q320" i="32"/>
  <c r="AR320" i="32"/>
  <c r="AS320" i="32"/>
  <c r="AT320" i="32"/>
  <c r="AU320" i="32"/>
  <c r="AV320" i="32"/>
  <c r="AW320" i="32"/>
  <c r="AX320" i="32"/>
  <c r="AY320" i="32"/>
  <c r="AZ320" i="32"/>
  <c r="BA320" i="32"/>
  <c r="AK321" i="32"/>
  <c r="AL321" i="32"/>
  <c r="AM321" i="32"/>
  <c r="AN321" i="32"/>
  <c r="AO321" i="32"/>
  <c r="AP321" i="32"/>
  <c r="AQ321" i="32"/>
  <c r="Q321" i="32"/>
  <c r="AR321" i="32"/>
  <c r="AS321" i="32"/>
  <c r="AT321" i="32"/>
  <c r="AU321" i="32"/>
  <c r="AV321" i="32"/>
  <c r="AW321" i="32"/>
  <c r="AX321" i="32"/>
  <c r="AY321" i="32"/>
  <c r="AZ321" i="32"/>
  <c r="BA321" i="32"/>
  <c r="AK322" i="32"/>
  <c r="AL322" i="32"/>
  <c r="AM322" i="32"/>
  <c r="AN322" i="32"/>
  <c r="AO322" i="32"/>
  <c r="AP322" i="32"/>
  <c r="AQ322" i="32"/>
  <c r="Q322" i="32"/>
  <c r="AR322" i="32"/>
  <c r="AS322" i="32"/>
  <c r="AT322" i="32"/>
  <c r="AU322" i="32"/>
  <c r="AV322" i="32"/>
  <c r="AW322" i="32"/>
  <c r="AX322" i="32"/>
  <c r="AY322" i="32"/>
  <c r="AZ322" i="32"/>
  <c r="BA322" i="32"/>
  <c r="AK323" i="32"/>
  <c r="AL323" i="32"/>
  <c r="AM323" i="32"/>
  <c r="AN323" i="32"/>
  <c r="AO323" i="32"/>
  <c r="AP323" i="32"/>
  <c r="AQ323" i="32"/>
  <c r="Q323" i="32"/>
  <c r="AR323" i="32"/>
  <c r="AS323" i="32"/>
  <c r="AT323" i="32"/>
  <c r="AU323" i="32"/>
  <c r="AV323" i="32"/>
  <c r="AW323" i="32"/>
  <c r="AX323" i="32"/>
  <c r="AY323" i="32"/>
  <c r="AZ323" i="32"/>
  <c r="BA323" i="32"/>
  <c r="AK324" i="32"/>
  <c r="AL324" i="32"/>
  <c r="AM324" i="32"/>
  <c r="AN324" i="32"/>
  <c r="AO324" i="32"/>
  <c r="AP324" i="32"/>
  <c r="AQ324" i="32"/>
  <c r="Q324" i="32"/>
  <c r="AR324" i="32"/>
  <c r="AS324" i="32"/>
  <c r="AT324" i="32"/>
  <c r="AU324" i="32"/>
  <c r="AV324" i="32"/>
  <c r="AW324" i="32"/>
  <c r="AX324" i="32"/>
  <c r="AY324" i="32"/>
  <c r="AZ324" i="32"/>
  <c r="BA324" i="32"/>
  <c r="AK325" i="32"/>
  <c r="AL325" i="32"/>
  <c r="AM325" i="32"/>
  <c r="AN325" i="32"/>
  <c r="AO325" i="32"/>
  <c r="AP325" i="32"/>
  <c r="AQ325" i="32"/>
  <c r="Q325" i="32"/>
  <c r="AR325" i="32"/>
  <c r="AS325" i="32"/>
  <c r="AT325" i="32"/>
  <c r="AU325" i="32"/>
  <c r="AV325" i="32"/>
  <c r="AW325" i="32"/>
  <c r="AX325" i="32"/>
  <c r="AY325" i="32"/>
  <c r="AZ325" i="32"/>
  <c r="BA325" i="32"/>
  <c r="AK326" i="32"/>
  <c r="AL326" i="32"/>
  <c r="AM326" i="32"/>
  <c r="AN326" i="32"/>
  <c r="AO326" i="32"/>
  <c r="AP326" i="32"/>
  <c r="AQ326" i="32"/>
  <c r="Q326" i="32"/>
  <c r="AR326" i="32"/>
  <c r="AS326" i="32"/>
  <c r="AT326" i="32"/>
  <c r="AU326" i="32"/>
  <c r="AV326" i="32"/>
  <c r="AW326" i="32"/>
  <c r="AX326" i="32"/>
  <c r="AY326" i="32"/>
  <c r="AZ326" i="32"/>
  <c r="BA326" i="32"/>
  <c r="AK327" i="32"/>
  <c r="AL327" i="32"/>
  <c r="AM327" i="32"/>
  <c r="AN327" i="32"/>
  <c r="AO327" i="32"/>
  <c r="AP327" i="32"/>
  <c r="AQ327" i="32"/>
  <c r="Q327" i="32"/>
  <c r="AR327" i="32"/>
  <c r="AS327" i="32"/>
  <c r="AT327" i="32"/>
  <c r="AU327" i="32"/>
  <c r="AV327" i="32"/>
  <c r="AW327" i="32"/>
  <c r="AX327" i="32"/>
  <c r="AY327" i="32"/>
  <c r="AZ327" i="32"/>
  <c r="BA327" i="32"/>
  <c r="AK328" i="32"/>
  <c r="AL328" i="32"/>
  <c r="AM328" i="32"/>
  <c r="AN328" i="32"/>
  <c r="AO328" i="32"/>
  <c r="AP328" i="32"/>
  <c r="AQ328" i="32"/>
  <c r="Q328" i="32"/>
  <c r="AR328" i="32"/>
  <c r="AS328" i="32"/>
  <c r="AT328" i="32"/>
  <c r="AU328" i="32"/>
  <c r="AV328" i="32"/>
  <c r="AW328" i="32"/>
  <c r="AX328" i="32"/>
  <c r="AY328" i="32"/>
  <c r="AZ328" i="32"/>
  <c r="BA328" i="32"/>
  <c r="AK329" i="32"/>
  <c r="AL329" i="32"/>
  <c r="AM329" i="32"/>
  <c r="AN329" i="32"/>
  <c r="AO329" i="32"/>
  <c r="AP329" i="32"/>
  <c r="AQ329" i="32"/>
  <c r="Q329" i="32"/>
  <c r="AR329" i="32"/>
  <c r="AS329" i="32"/>
  <c r="AT329" i="32"/>
  <c r="AU329" i="32"/>
  <c r="AV329" i="32"/>
  <c r="AW329" i="32"/>
  <c r="AX329" i="32"/>
  <c r="AY329" i="32"/>
  <c r="AZ329" i="32"/>
  <c r="BA329" i="32"/>
  <c r="AK330" i="32"/>
  <c r="AL330" i="32"/>
  <c r="AM330" i="32"/>
  <c r="AN330" i="32"/>
  <c r="AO330" i="32"/>
  <c r="AP330" i="32"/>
  <c r="AQ330" i="32"/>
  <c r="Q330" i="32"/>
  <c r="AR330" i="32"/>
  <c r="AS330" i="32"/>
  <c r="AT330" i="32"/>
  <c r="AU330" i="32"/>
  <c r="AV330" i="32"/>
  <c r="AW330" i="32"/>
  <c r="AX330" i="32"/>
  <c r="AY330" i="32"/>
  <c r="AZ330" i="32"/>
  <c r="BA330" i="32"/>
  <c r="AK331" i="32"/>
  <c r="AL331" i="32"/>
  <c r="AM331" i="32"/>
  <c r="AN331" i="32"/>
  <c r="AO331" i="32"/>
  <c r="AP331" i="32"/>
  <c r="AQ331" i="32"/>
  <c r="Q331" i="32"/>
  <c r="AR331" i="32"/>
  <c r="AS331" i="32"/>
  <c r="AT331" i="32"/>
  <c r="AU331" i="32"/>
  <c r="AV331" i="32"/>
  <c r="AW331" i="32"/>
  <c r="AX331" i="32"/>
  <c r="AY331" i="32"/>
  <c r="AZ331" i="32"/>
  <c r="BA331" i="32"/>
  <c r="AK332" i="32"/>
  <c r="AL332" i="32"/>
  <c r="AM332" i="32"/>
  <c r="AN332" i="32"/>
  <c r="AO332" i="32"/>
  <c r="AP332" i="32"/>
  <c r="AQ332" i="32"/>
  <c r="Q332" i="32"/>
  <c r="AR332" i="32"/>
  <c r="AS332" i="32"/>
  <c r="AT332" i="32"/>
  <c r="AU332" i="32"/>
  <c r="AV332" i="32"/>
  <c r="AW332" i="32"/>
  <c r="AX332" i="32"/>
  <c r="AY332" i="32"/>
  <c r="AZ332" i="32"/>
  <c r="BA332" i="32"/>
  <c r="AK333" i="32"/>
  <c r="AL333" i="32"/>
  <c r="AM333" i="32"/>
  <c r="AN333" i="32"/>
  <c r="AO333" i="32"/>
  <c r="AP333" i="32"/>
  <c r="AQ333" i="32"/>
  <c r="Q333" i="32"/>
  <c r="AR333" i="32"/>
  <c r="AS333" i="32"/>
  <c r="AT333" i="32"/>
  <c r="AU333" i="32"/>
  <c r="AV333" i="32"/>
  <c r="AW333" i="32"/>
  <c r="AX333" i="32"/>
  <c r="AY333" i="32"/>
  <c r="AZ333" i="32"/>
  <c r="BA333" i="32"/>
  <c r="AK334" i="32"/>
  <c r="AL334" i="32"/>
  <c r="AM334" i="32"/>
  <c r="AN334" i="32"/>
  <c r="AO334" i="32"/>
  <c r="AP334" i="32"/>
  <c r="AQ334" i="32"/>
  <c r="Q334" i="32"/>
  <c r="AR334" i="32"/>
  <c r="AS334" i="32"/>
  <c r="AT334" i="32"/>
  <c r="AU334" i="32"/>
  <c r="AV334" i="32"/>
  <c r="AW334" i="32"/>
  <c r="AX334" i="32"/>
  <c r="AY334" i="32"/>
  <c r="AZ334" i="32"/>
  <c r="BA334" i="32"/>
  <c r="AK335" i="32"/>
  <c r="AL335" i="32"/>
  <c r="AM335" i="32"/>
  <c r="AN335" i="32"/>
  <c r="AO335" i="32"/>
  <c r="AP335" i="32"/>
  <c r="AQ335" i="32"/>
  <c r="Q335" i="32"/>
  <c r="AR335" i="32"/>
  <c r="AS335" i="32"/>
  <c r="AT335" i="32"/>
  <c r="AU335" i="32"/>
  <c r="AV335" i="32"/>
  <c r="AW335" i="32"/>
  <c r="AX335" i="32"/>
  <c r="AY335" i="32"/>
  <c r="AZ335" i="32"/>
  <c r="BA335" i="32"/>
  <c r="AK336" i="32"/>
  <c r="AL336" i="32"/>
  <c r="AM336" i="32"/>
  <c r="AN336" i="32"/>
  <c r="AO336" i="32"/>
  <c r="AP336" i="32"/>
  <c r="AQ336" i="32"/>
  <c r="Q336" i="32"/>
  <c r="AR336" i="32"/>
  <c r="AS336" i="32"/>
  <c r="AT336" i="32"/>
  <c r="AU336" i="32"/>
  <c r="AV336" i="32"/>
  <c r="AW336" i="32"/>
  <c r="AX336" i="32"/>
  <c r="AY336" i="32"/>
  <c r="AZ336" i="32"/>
  <c r="BA336" i="32"/>
  <c r="AK337" i="32"/>
  <c r="AL337" i="32"/>
  <c r="AM337" i="32"/>
  <c r="AN337" i="32"/>
  <c r="AO337" i="32"/>
  <c r="AP337" i="32"/>
  <c r="AQ337" i="32"/>
  <c r="Q337" i="32"/>
  <c r="AR337" i="32"/>
  <c r="AS337" i="32"/>
  <c r="AT337" i="32"/>
  <c r="AU337" i="32"/>
  <c r="AV337" i="32"/>
  <c r="AW337" i="32"/>
  <c r="AX337" i="32"/>
  <c r="AY337" i="32"/>
  <c r="AZ337" i="32"/>
  <c r="BA337" i="32"/>
  <c r="AK338" i="32"/>
  <c r="AL338" i="32"/>
  <c r="AM338" i="32"/>
  <c r="AN338" i="32"/>
  <c r="AO338" i="32"/>
  <c r="AP338" i="32"/>
  <c r="AQ338" i="32"/>
  <c r="Q338" i="32"/>
  <c r="AR338" i="32"/>
  <c r="AS338" i="32"/>
  <c r="AT338" i="32"/>
  <c r="AU338" i="32"/>
  <c r="AV338" i="32"/>
  <c r="AW338" i="32"/>
  <c r="AX338" i="32"/>
  <c r="AY338" i="32"/>
  <c r="AZ338" i="32"/>
  <c r="BA338" i="32"/>
  <c r="AK339" i="32"/>
  <c r="AL339" i="32"/>
  <c r="AM339" i="32"/>
  <c r="AN339" i="32"/>
  <c r="AO339" i="32"/>
  <c r="AP339" i="32"/>
  <c r="AQ339" i="32"/>
  <c r="Q339" i="32"/>
  <c r="AR339" i="32"/>
  <c r="AS339" i="32"/>
  <c r="AT339" i="32"/>
  <c r="AU339" i="32"/>
  <c r="AV339" i="32"/>
  <c r="AW339" i="32"/>
  <c r="AX339" i="32"/>
  <c r="AY339" i="32"/>
  <c r="AZ339" i="32"/>
  <c r="BA339" i="32"/>
  <c r="AK340" i="32"/>
  <c r="AL340" i="32"/>
  <c r="AM340" i="32"/>
  <c r="AN340" i="32"/>
  <c r="AO340" i="32"/>
  <c r="AP340" i="32"/>
  <c r="AQ340" i="32"/>
  <c r="Q340" i="32"/>
  <c r="AR340" i="32"/>
  <c r="AS340" i="32"/>
  <c r="AT340" i="32"/>
  <c r="AU340" i="32"/>
  <c r="AV340" i="32"/>
  <c r="AW340" i="32"/>
  <c r="AX340" i="32"/>
  <c r="AY340" i="32"/>
  <c r="AZ340" i="32"/>
  <c r="BA340" i="32"/>
  <c r="AK341" i="32"/>
  <c r="AL341" i="32"/>
  <c r="AM341" i="32"/>
  <c r="AN341" i="32"/>
  <c r="AO341" i="32"/>
  <c r="AP341" i="32"/>
  <c r="AQ341" i="32"/>
  <c r="Q341" i="32"/>
  <c r="AR341" i="32"/>
  <c r="AS341" i="32"/>
  <c r="AT341" i="32"/>
  <c r="AU341" i="32"/>
  <c r="AV341" i="32"/>
  <c r="AW341" i="32"/>
  <c r="AX341" i="32"/>
  <c r="AY341" i="32"/>
  <c r="AZ341" i="32"/>
  <c r="BA341" i="32"/>
  <c r="AK342" i="32"/>
  <c r="AL342" i="32"/>
  <c r="AM342" i="32"/>
  <c r="AN342" i="32"/>
  <c r="AO342" i="32"/>
  <c r="AP342" i="32"/>
  <c r="AQ342" i="32"/>
  <c r="Q342" i="32"/>
  <c r="AR342" i="32"/>
  <c r="AS342" i="32"/>
  <c r="AT342" i="32"/>
  <c r="AU342" i="32"/>
  <c r="AV342" i="32"/>
  <c r="AW342" i="32"/>
  <c r="AX342" i="32"/>
  <c r="AY342" i="32"/>
  <c r="AZ342" i="32"/>
  <c r="BA342" i="32"/>
  <c r="AK343" i="32"/>
  <c r="AL343" i="32"/>
  <c r="AM343" i="32"/>
  <c r="AN343" i="32"/>
  <c r="AO343" i="32"/>
  <c r="AP343" i="32"/>
  <c r="AQ343" i="32"/>
  <c r="Q343" i="32"/>
  <c r="AR343" i="32"/>
  <c r="AS343" i="32"/>
  <c r="AT343" i="32"/>
  <c r="AU343" i="32"/>
  <c r="AV343" i="32"/>
  <c r="AW343" i="32"/>
  <c r="AX343" i="32"/>
  <c r="AY343" i="32"/>
  <c r="AZ343" i="32"/>
  <c r="BA343" i="32"/>
  <c r="AK344" i="32"/>
  <c r="AL344" i="32"/>
  <c r="AM344" i="32"/>
  <c r="AN344" i="32"/>
  <c r="AO344" i="32"/>
  <c r="AP344" i="32"/>
  <c r="AQ344" i="32"/>
  <c r="Q344" i="32"/>
  <c r="AR344" i="32"/>
  <c r="AS344" i="32"/>
  <c r="AT344" i="32"/>
  <c r="AU344" i="32"/>
  <c r="AV344" i="32"/>
  <c r="AW344" i="32"/>
  <c r="AX344" i="32"/>
  <c r="AY344" i="32"/>
  <c r="AZ344" i="32"/>
  <c r="BA344" i="32"/>
  <c r="AK345" i="32"/>
  <c r="AL345" i="32"/>
  <c r="AM345" i="32"/>
  <c r="AN345" i="32"/>
  <c r="AO345" i="32"/>
  <c r="AP345" i="32"/>
  <c r="AQ345" i="32"/>
  <c r="Q345" i="32"/>
  <c r="AR345" i="32"/>
  <c r="AS345" i="32"/>
  <c r="AT345" i="32"/>
  <c r="AU345" i="32"/>
  <c r="AV345" i="32"/>
  <c r="AW345" i="32"/>
  <c r="AX345" i="32"/>
  <c r="AY345" i="32"/>
  <c r="AZ345" i="32"/>
  <c r="BA345" i="32"/>
  <c r="AK346" i="32"/>
  <c r="AL346" i="32"/>
  <c r="AM346" i="32"/>
  <c r="AN346" i="32"/>
  <c r="AO346" i="32"/>
  <c r="AP346" i="32"/>
  <c r="AQ346" i="32"/>
  <c r="Q346" i="32"/>
  <c r="AR346" i="32"/>
  <c r="AS346" i="32"/>
  <c r="AT346" i="32"/>
  <c r="AU346" i="32"/>
  <c r="AV346" i="32"/>
  <c r="AW346" i="32"/>
  <c r="AX346" i="32"/>
  <c r="AY346" i="32"/>
  <c r="AZ346" i="32"/>
  <c r="BA346" i="32"/>
  <c r="AK347" i="32"/>
  <c r="AL347" i="32"/>
  <c r="AM347" i="32"/>
  <c r="AN347" i="32"/>
  <c r="AO347" i="32"/>
  <c r="AP347" i="32"/>
  <c r="AQ347" i="32"/>
  <c r="Q347" i="32"/>
  <c r="AR347" i="32"/>
  <c r="AS347" i="32"/>
  <c r="AT347" i="32"/>
  <c r="AU347" i="32"/>
  <c r="AV347" i="32"/>
  <c r="AW347" i="32"/>
  <c r="AX347" i="32"/>
  <c r="AY347" i="32"/>
  <c r="AZ347" i="32"/>
  <c r="BA347" i="32"/>
  <c r="AK348" i="32"/>
  <c r="AL348" i="32"/>
  <c r="AM348" i="32"/>
  <c r="AN348" i="32"/>
  <c r="AO348" i="32"/>
  <c r="AP348" i="32"/>
  <c r="AQ348" i="32"/>
  <c r="Q348" i="32"/>
  <c r="AR348" i="32"/>
  <c r="AS348" i="32"/>
  <c r="AT348" i="32"/>
  <c r="AU348" i="32"/>
  <c r="AV348" i="32"/>
  <c r="AW348" i="32"/>
  <c r="AX348" i="32"/>
  <c r="AY348" i="32"/>
  <c r="AZ348" i="32"/>
  <c r="BA348" i="32"/>
  <c r="AK349" i="32"/>
  <c r="AL349" i="32"/>
  <c r="AM349" i="32"/>
  <c r="AN349" i="32"/>
  <c r="AO349" i="32"/>
  <c r="AP349" i="32"/>
  <c r="AQ349" i="32"/>
  <c r="Q349" i="32"/>
  <c r="AR349" i="32"/>
  <c r="AS349" i="32"/>
  <c r="AT349" i="32"/>
  <c r="AU349" i="32"/>
  <c r="AV349" i="32"/>
  <c r="AW349" i="32"/>
  <c r="AX349" i="32"/>
  <c r="AY349" i="32"/>
  <c r="AZ349" i="32"/>
  <c r="BA349" i="32"/>
  <c r="AK350" i="32"/>
  <c r="AL350" i="32"/>
  <c r="AM350" i="32"/>
  <c r="AN350" i="32"/>
  <c r="AO350" i="32"/>
  <c r="AP350" i="32"/>
  <c r="AQ350" i="32"/>
  <c r="Q350" i="32"/>
  <c r="AR350" i="32"/>
  <c r="AS350" i="32"/>
  <c r="AT350" i="32"/>
  <c r="AU350" i="32"/>
  <c r="AV350" i="32"/>
  <c r="AW350" i="32"/>
  <c r="AX350" i="32"/>
  <c r="AY350" i="32"/>
  <c r="AZ350" i="32"/>
  <c r="BA350" i="32"/>
  <c r="AK351" i="32"/>
  <c r="AL351" i="32"/>
  <c r="AM351" i="32"/>
  <c r="AN351" i="32"/>
  <c r="AO351" i="32"/>
  <c r="AP351" i="32"/>
  <c r="AQ351" i="32"/>
  <c r="Q351" i="32"/>
  <c r="AR351" i="32"/>
  <c r="AS351" i="32"/>
  <c r="AT351" i="32"/>
  <c r="AU351" i="32"/>
  <c r="AV351" i="32"/>
  <c r="AW351" i="32"/>
  <c r="AX351" i="32"/>
  <c r="AY351" i="32"/>
  <c r="AZ351" i="32"/>
  <c r="BA351" i="32"/>
  <c r="AK352" i="32"/>
  <c r="AL352" i="32"/>
  <c r="AM352" i="32"/>
  <c r="AN352" i="32"/>
  <c r="AO352" i="32"/>
  <c r="AP352" i="32"/>
  <c r="AQ352" i="32"/>
  <c r="Q352" i="32"/>
  <c r="AR352" i="32"/>
  <c r="AS352" i="32"/>
  <c r="AT352" i="32"/>
  <c r="AU352" i="32"/>
  <c r="AV352" i="32"/>
  <c r="AW352" i="32"/>
  <c r="AX352" i="32"/>
  <c r="AY352" i="32"/>
  <c r="AZ352" i="32"/>
  <c r="BA352" i="32"/>
  <c r="AK353" i="32"/>
  <c r="AL353" i="32"/>
  <c r="AM353" i="32"/>
  <c r="AN353" i="32"/>
  <c r="AO353" i="32"/>
  <c r="AP353" i="32"/>
  <c r="AQ353" i="32"/>
  <c r="Q353" i="32"/>
  <c r="AR353" i="32"/>
  <c r="AS353" i="32"/>
  <c r="AT353" i="32"/>
  <c r="AU353" i="32"/>
  <c r="AV353" i="32"/>
  <c r="AW353" i="32"/>
  <c r="AX353" i="32"/>
  <c r="AY353" i="32"/>
  <c r="AZ353" i="32"/>
  <c r="BA353" i="32"/>
  <c r="AK354" i="32"/>
  <c r="AL354" i="32"/>
  <c r="AM354" i="32"/>
  <c r="AN354" i="32"/>
  <c r="AO354" i="32"/>
  <c r="AP354" i="32"/>
  <c r="AQ354" i="32"/>
  <c r="Q354" i="32"/>
  <c r="AR354" i="32"/>
  <c r="AS354" i="32"/>
  <c r="AT354" i="32"/>
  <c r="AU354" i="32"/>
  <c r="AV354" i="32"/>
  <c r="AW354" i="32"/>
  <c r="AX354" i="32"/>
  <c r="AY354" i="32"/>
  <c r="AZ354" i="32"/>
  <c r="BA354" i="32"/>
  <c r="AK355" i="32"/>
  <c r="AL355" i="32"/>
  <c r="AM355" i="32"/>
  <c r="AN355" i="32"/>
  <c r="AO355" i="32"/>
  <c r="AP355" i="32"/>
  <c r="AQ355" i="32"/>
  <c r="Q355" i="32"/>
  <c r="AR355" i="32"/>
  <c r="AS355" i="32"/>
  <c r="AT355" i="32"/>
  <c r="AU355" i="32"/>
  <c r="AV355" i="32"/>
  <c r="AW355" i="32"/>
  <c r="AX355" i="32"/>
  <c r="AY355" i="32"/>
  <c r="AZ355" i="32"/>
  <c r="BA355" i="32"/>
  <c r="AK356" i="32"/>
  <c r="AL356" i="32"/>
  <c r="AM356" i="32"/>
  <c r="AN356" i="32"/>
  <c r="AO356" i="32"/>
  <c r="AP356" i="32"/>
  <c r="AQ356" i="32"/>
  <c r="Q356" i="32"/>
  <c r="AR356" i="32"/>
  <c r="AS356" i="32"/>
  <c r="AT356" i="32"/>
  <c r="AU356" i="32"/>
  <c r="AV356" i="32"/>
  <c r="AW356" i="32"/>
  <c r="AX356" i="32"/>
  <c r="AY356" i="32"/>
  <c r="AZ356" i="32"/>
  <c r="BA356" i="32"/>
  <c r="AK357" i="32"/>
  <c r="AL357" i="32"/>
  <c r="AM357" i="32"/>
  <c r="AN357" i="32"/>
  <c r="AO357" i="32"/>
  <c r="AP357" i="32"/>
  <c r="AQ357" i="32"/>
  <c r="Q357" i="32"/>
  <c r="AR357" i="32"/>
  <c r="AS357" i="32"/>
  <c r="AT357" i="32"/>
  <c r="AU357" i="32"/>
  <c r="AV357" i="32"/>
  <c r="AW357" i="32"/>
  <c r="AX357" i="32"/>
  <c r="AY357" i="32"/>
  <c r="AZ357" i="32"/>
  <c r="BA357" i="32"/>
  <c r="AK358" i="32"/>
  <c r="AL358" i="32"/>
  <c r="AM358" i="32"/>
  <c r="AN358" i="32"/>
  <c r="AO358" i="32"/>
  <c r="AP358" i="32"/>
  <c r="AQ358" i="32"/>
  <c r="Q358" i="32"/>
  <c r="AR358" i="32"/>
  <c r="AS358" i="32"/>
  <c r="AT358" i="32"/>
  <c r="AU358" i="32"/>
  <c r="AV358" i="32"/>
  <c r="AW358" i="32"/>
  <c r="AX358" i="32"/>
  <c r="AY358" i="32"/>
  <c r="AZ358" i="32"/>
  <c r="BA358" i="32"/>
  <c r="AK359" i="32"/>
  <c r="AL359" i="32"/>
  <c r="AM359" i="32"/>
  <c r="AN359" i="32"/>
  <c r="AO359" i="32"/>
  <c r="AP359" i="32"/>
  <c r="AQ359" i="32"/>
  <c r="Q359" i="32"/>
  <c r="AR359" i="32"/>
  <c r="AS359" i="32"/>
  <c r="AT359" i="32"/>
  <c r="AU359" i="32"/>
  <c r="AV359" i="32"/>
  <c r="AW359" i="32"/>
  <c r="AX359" i="32"/>
  <c r="AY359" i="32"/>
  <c r="AZ359" i="32"/>
  <c r="BA359" i="32"/>
  <c r="AK360" i="32"/>
  <c r="AL360" i="32"/>
  <c r="AM360" i="32"/>
  <c r="AN360" i="32"/>
  <c r="AO360" i="32"/>
  <c r="AP360" i="32"/>
  <c r="AQ360" i="32"/>
  <c r="Q360" i="32"/>
  <c r="AR360" i="32"/>
  <c r="AS360" i="32"/>
  <c r="AT360" i="32"/>
  <c r="AU360" i="32"/>
  <c r="AV360" i="32"/>
  <c r="AW360" i="32"/>
  <c r="AX360" i="32"/>
  <c r="AY360" i="32"/>
  <c r="AZ360" i="32"/>
  <c r="BA360" i="32"/>
  <c r="AK361" i="32"/>
  <c r="AL361" i="32"/>
  <c r="AM361" i="32"/>
  <c r="AN361" i="32"/>
  <c r="AO361" i="32"/>
  <c r="AP361" i="32"/>
  <c r="AQ361" i="32"/>
  <c r="Q361" i="32"/>
  <c r="AR361" i="32"/>
  <c r="AS361" i="32"/>
  <c r="AT361" i="32"/>
  <c r="AU361" i="32"/>
  <c r="AV361" i="32"/>
  <c r="AW361" i="32"/>
  <c r="AX361" i="32"/>
  <c r="AY361" i="32"/>
  <c r="AZ361" i="32"/>
  <c r="BA361" i="32"/>
  <c r="AK362" i="32"/>
  <c r="AL362" i="32"/>
  <c r="AM362" i="32"/>
  <c r="AN362" i="32"/>
  <c r="AO362" i="32"/>
  <c r="AP362" i="32"/>
  <c r="AQ362" i="32"/>
  <c r="Q362" i="32"/>
  <c r="AR362" i="32"/>
  <c r="AS362" i="32"/>
  <c r="AT362" i="32"/>
  <c r="AU362" i="32"/>
  <c r="AV362" i="32"/>
  <c r="AW362" i="32"/>
  <c r="AX362" i="32"/>
  <c r="AY362" i="32"/>
  <c r="AZ362" i="32"/>
  <c r="BA362" i="32"/>
  <c r="AK363" i="32"/>
  <c r="AL363" i="32"/>
  <c r="AM363" i="32"/>
  <c r="AN363" i="32"/>
  <c r="AO363" i="32"/>
  <c r="AP363" i="32"/>
  <c r="AQ363" i="32"/>
  <c r="Q363" i="32"/>
  <c r="AR363" i="32"/>
  <c r="AS363" i="32"/>
  <c r="AT363" i="32"/>
  <c r="AU363" i="32"/>
  <c r="AV363" i="32"/>
  <c r="AW363" i="32"/>
  <c r="AX363" i="32"/>
  <c r="AY363" i="32"/>
  <c r="AZ363" i="32"/>
  <c r="BA363" i="32"/>
  <c r="AK364" i="32"/>
  <c r="AL364" i="32"/>
  <c r="AM364" i="32"/>
  <c r="AN364" i="32"/>
  <c r="AO364" i="32"/>
  <c r="AP364" i="32"/>
  <c r="AQ364" i="32"/>
  <c r="Q364" i="32"/>
  <c r="AR364" i="32"/>
  <c r="AS364" i="32"/>
  <c r="AT364" i="32"/>
  <c r="AU364" i="32"/>
  <c r="AV364" i="32"/>
  <c r="AW364" i="32"/>
  <c r="AX364" i="32"/>
  <c r="AY364" i="32"/>
  <c r="AZ364" i="32"/>
  <c r="BA364" i="32"/>
  <c r="AK365" i="32"/>
  <c r="AL365" i="32"/>
  <c r="AM365" i="32"/>
  <c r="AN365" i="32"/>
  <c r="AO365" i="32"/>
  <c r="AP365" i="32"/>
  <c r="AQ365" i="32"/>
  <c r="Q365" i="32"/>
  <c r="AR365" i="32"/>
  <c r="AS365" i="32"/>
  <c r="AT365" i="32"/>
  <c r="AU365" i="32"/>
  <c r="AV365" i="32"/>
  <c r="AW365" i="32"/>
  <c r="AX365" i="32"/>
  <c r="AY365" i="32"/>
  <c r="AZ365" i="32"/>
  <c r="BA365" i="32"/>
  <c r="AK366" i="32"/>
  <c r="AL366" i="32"/>
  <c r="AM366" i="32"/>
  <c r="AN366" i="32"/>
  <c r="AO366" i="32"/>
  <c r="AP366" i="32"/>
  <c r="AQ366" i="32"/>
  <c r="Q366" i="32"/>
  <c r="AR366" i="32"/>
  <c r="AS366" i="32"/>
  <c r="AT366" i="32"/>
  <c r="AU366" i="32"/>
  <c r="AV366" i="32"/>
  <c r="AW366" i="32"/>
  <c r="AX366" i="32"/>
  <c r="AY366" i="32"/>
  <c r="AZ366" i="32"/>
  <c r="BA366" i="32"/>
  <c r="AK367" i="32"/>
  <c r="AL367" i="32"/>
  <c r="AM367" i="32"/>
  <c r="AN367" i="32"/>
  <c r="AO367" i="32"/>
  <c r="AP367" i="32"/>
  <c r="AQ367" i="32"/>
  <c r="Q367" i="32"/>
  <c r="AR367" i="32"/>
  <c r="AS367" i="32"/>
  <c r="AT367" i="32"/>
  <c r="AU367" i="32"/>
  <c r="AV367" i="32"/>
  <c r="AW367" i="32"/>
  <c r="AX367" i="32"/>
  <c r="AY367" i="32"/>
  <c r="AZ367" i="32"/>
  <c r="BA367" i="32"/>
  <c r="AK368" i="32"/>
  <c r="AL368" i="32"/>
  <c r="AM368" i="32"/>
  <c r="AN368" i="32"/>
  <c r="AO368" i="32"/>
  <c r="AP368" i="32"/>
  <c r="AQ368" i="32"/>
  <c r="Q368" i="32"/>
  <c r="AR368" i="32"/>
  <c r="AS368" i="32"/>
  <c r="AT368" i="32"/>
  <c r="AU368" i="32"/>
  <c r="AV368" i="32"/>
  <c r="AW368" i="32"/>
  <c r="AX368" i="32"/>
  <c r="AY368" i="32"/>
  <c r="AZ368" i="32"/>
  <c r="BA368" i="32"/>
  <c r="AK369" i="32"/>
  <c r="AL369" i="32"/>
  <c r="AM369" i="32"/>
  <c r="AN369" i="32"/>
  <c r="AO369" i="32"/>
  <c r="AP369" i="32"/>
  <c r="AQ369" i="32"/>
  <c r="Q369" i="32"/>
  <c r="AR369" i="32"/>
  <c r="AS369" i="32"/>
  <c r="AT369" i="32"/>
  <c r="AU369" i="32"/>
  <c r="AV369" i="32"/>
  <c r="AW369" i="32"/>
  <c r="AX369" i="32"/>
  <c r="AY369" i="32"/>
  <c r="AZ369" i="32"/>
  <c r="BA369" i="32"/>
  <c r="AK370" i="32"/>
  <c r="AL370" i="32"/>
  <c r="AM370" i="32"/>
  <c r="AN370" i="32"/>
  <c r="AO370" i="32"/>
  <c r="AP370" i="32"/>
  <c r="AQ370" i="32"/>
  <c r="Q370" i="32"/>
  <c r="AR370" i="32"/>
  <c r="AS370" i="32"/>
  <c r="AT370" i="32"/>
  <c r="AU370" i="32"/>
  <c r="AV370" i="32"/>
  <c r="AW370" i="32"/>
  <c r="AX370" i="32"/>
  <c r="AY370" i="32"/>
  <c r="AZ370" i="32"/>
  <c r="BA370" i="32"/>
  <c r="AK371" i="32"/>
  <c r="AL371" i="32"/>
  <c r="AM371" i="32"/>
  <c r="AN371" i="32"/>
  <c r="AO371" i="32"/>
  <c r="AP371" i="32"/>
  <c r="AQ371" i="32"/>
  <c r="Q371" i="32"/>
  <c r="AR371" i="32"/>
  <c r="AS371" i="32"/>
  <c r="AT371" i="32"/>
  <c r="AU371" i="32"/>
  <c r="AV371" i="32"/>
  <c r="AW371" i="32"/>
  <c r="AX371" i="32"/>
  <c r="AY371" i="32"/>
  <c r="AZ371" i="32"/>
  <c r="BA371" i="32"/>
  <c r="AK372" i="32"/>
  <c r="AL372" i="32"/>
  <c r="AM372" i="32"/>
  <c r="AN372" i="32"/>
  <c r="AO372" i="32"/>
  <c r="AP372" i="32"/>
  <c r="AQ372" i="32"/>
  <c r="Q372" i="32"/>
  <c r="AR372" i="32"/>
  <c r="AS372" i="32"/>
  <c r="AT372" i="32"/>
  <c r="AU372" i="32"/>
  <c r="AV372" i="32"/>
  <c r="AW372" i="32"/>
  <c r="AX372" i="32"/>
  <c r="AY372" i="32"/>
  <c r="AZ372" i="32"/>
  <c r="BA372" i="32"/>
  <c r="AK373" i="32"/>
  <c r="AL373" i="32"/>
  <c r="AM373" i="32"/>
  <c r="AN373" i="32"/>
  <c r="AO373" i="32"/>
  <c r="AP373" i="32"/>
  <c r="AQ373" i="32"/>
  <c r="Q373" i="32"/>
  <c r="AR373" i="32"/>
  <c r="AS373" i="32"/>
  <c r="AT373" i="32"/>
  <c r="AU373" i="32"/>
  <c r="AV373" i="32"/>
  <c r="AW373" i="32"/>
  <c r="AX373" i="32"/>
  <c r="AY373" i="32"/>
  <c r="AZ373" i="32"/>
  <c r="BA373" i="32"/>
  <c r="AK374" i="32"/>
  <c r="AL374" i="32"/>
  <c r="AM374" i="32"/>
  <c r="AN374" i="32"/>
  <c r="AO374" i="32"/>
  <c r="AP374" i="32"/>
  <c r="AQ374" i="32"/>
  <c r="Q374" i="32"/>
  <c r="AR374" i="32"/>
  <c r="AS374" i="32"/>
  <c r="AT374" i="32"/>
  <c r="AU374" i="32"/>
  <c r="AV374" i="32"/>
  <c r="AW374" i="32"/>
  <c r="AX374" i="32"/>
  <c r="AY374" i="32"/>
  <c r="AZ374" i="32"/>
  <c r="BA374" i="32"/>
  <c r="AK375" i="32"/>
  <c r="AL375" i="32"/>
  <c r="AM375" i="32"/>
  <c r="AN375" i="32"/>
  <c r="AO375" i="32"/>
  <c r="AP375" i="32"/>
  <c r="AQ375" i="32"/>
  <c r="Q375" i="32"/>
  <c r="AR375" i="32"/>
  <c r="AS375" i="32"/>
  <c r="AT375" i="32"/>
  <c r="AU375" i="32"/>
  <c r="AV375" i="32"/>
  <c r="AW375" i="32"/>
  <c r="AX375" i="32"/>
  <c r="AY375" i="32"/>
  <c r="AZ375" i="32"/>
  <c r="BA375" i="32"/>
  <c r="AK376" i="32"/>
  <c r="AL376" i="32"/>
  <c r="AM376" i="32"/>
  <c r="AN376" i="32"/>
  <c r="AO376" i="32"/>
  <c r="AP376" i="32"/>
  <c r="AQ376" i="32"/>
  <c r="Q376" i="32"/>
  <c r="AR376" i="32"/>
  <c r="AS376" i="32"/>
  <c r="AT376" i="32"/>
  <c r="AU376" i="32"/>
  <c r="AV376" i="32"/>
  <c r="AW376" i="32"/>
  <c r="AX376" i="32"/>
  <c r="AY376" i="32"/>
  <c r="AZ376" i="32"/>
  <c r="BA376" i="32"/>
  <c r="AK377" i="32"/>
  <c r="AL377" i="32"/>
  <c r="AM377" i="32"/>
  <c r="AN377" i="32"/>
  <c r="AO377" i="32"/>
  <c r="AP377" i="32"/>
  <c r="AQ377" i="32"/>
  <c r="Q377" i="32"/>
  <c r="AR377" i="32"/>
  <c r="AS377" i="32"/>
  <c r="AT377" i="32"/>
  <c r="AU377" i="32"/>
  <c r="AV377" i="32"/>
  <c r="AW377" i="32"/>
  <c r="AX377" i="32"/>
  <c r="AY377" i="32"/>
  <c r="AZ377" i="32"/>
  <c r="BA377" i="32"/>
  <c r="AK378" i="32"/>
  <c r="AL378" i="32"/>
  <c r="AM378" i="32"/>
  <c r="AN378" i="32"/>
  <c r="AO378" i="32"/>
  <c r="AP378" i="32"/>
  <c r="AQ378" i="32"/>
  <c r="Q378" i="32"/>
  <c r="AR378" i="32"/>
  <c r="AS378" i="32"/>
  <c r="AT378" i="32"/>
  <c r="AU378" i="32"/>
  <c r="AV378" i="32"/>
  <c r="AW378" i="32"/>
  <c r="AX378" i="32"/>
  <c r="AY378" i="32"/>
  <c r="AZ378" i="32"/>
  <c r="BA378" i="32"/>
  <c r="AK379" i="32"/>
  <c r="AL379" i="32"/>
  <c r="AM379" i="32"/>
  <c r="AN379" i="32"/>
  <c r="AO379" i="32"/>
  <c r="AP379" i="32"/>
  <c r="AQ379" i="32"/>
  <c r="Q379" i="32"/>
  <c r="AR379" i="32"/>
  <c r="AS379" i="32"/>
  <c r="AT379" i="32"/>
  <c r="AU379" i="32"/>
  <c r="AV379" i="32"/>
  <c r="AW379" i="32"/>
  <c r="AX379" i="32"/>
  <c r="AY379" i="32"/>
  <c r="AZ379" i="32"/>
  <c r="BA379" i="32"/>
  <c r="AK380" i="32"/>
  <c r="AL380" i="32"/>
  <c r="AM380" i="32"/>
  <c r="AN380" i="32"/>
  <c r="AO380" i="32"/>
  <c r="AP380" i="32"/>
  <c r="AQ380" i="32"/>
  <c r="Q380" i="32"/>
  <c r="AR380" i="32"/>
  <c r="AS380" i="32"/>
  <c r="AT380" i="32"/>
  <c r="AU380" i="32"/>
  <c r="AV380" i="32"/>
  <c r="AW380" i="32"/>
  <c r="AX380" i="32"/>
  <c r="AY380" i="32"/>
  <c r="AZ380" i="32"/>
  <c r="BA380" i="32"/>
  <c r="AK381" i="32"/>
  <c r="AL381" i="32"/>
  <c r="AM381" i="32"/>
  <c r="AN381" i="32"/>
  <c r="AO381" i="32"/>
  <c r="AP381" i="32"/>
  <c r="AQ381" i="32"/>
  <c r="Q381" i="32"/>
  <c r="AR381" i="32"/>
  <c r="AS381" i="32"/>
  <c r="AT381" i="32"/>
  <c r="AU381" i="32"/>
  <c r="AV381" i="32"/>
  <c r="AW381" i="32"/>
  <c r="AX381" i="32"/>
  <c r="AY381" i="32"/>
  <c r="AZ381" i="32"/>
  <c r="BA381" i="32"/>
  <c r="AK382" i="32"/>
  <c r="AL382" i="32"/>
  <c r="AM382" i="32"/>
  <c r="AN382" i="32"/>
  <c r="AO382" i="32"/>
  <c r="AP382" i="32"/>
  <c r="AQ382" i="32"/>
  <c r="Q382" i="32"/>
  <c r="AR382" i="32"/>
  <c r="AS382" i="32"/>
  <c r="AT382" i="32"/>
  <c r="AU382" i="32"/>
  <c r="AV382" i="32"/>
  <c r="AW382" i="32"/>
  <c r="AX382" i="32"/>
  <c r="AY382" i="32"/>
  <c r="AZ382" i="32"/>
  <c r="BA382" i="32"/>
  <c r="AK383" i="32"/>
  <c r="AL383" i="32"/>
  <c r="AM383" i="32"/>
  <c r="AN383" i="32"/>
  <c r="AO383" i="32"/>
  <c r="AP383" i="32"/>
  <c r="AQ383" i="32"/>
  <c r="Q383" i="32"/>
  <c r="AR383" i="32"/>
  <c r="AS383" i="32"/>
  <c r="AT383" i="32"/>
  <c r="AU383" i="32"/>
  <c r="AV383" i="32"/>
  <c r="AW383" i="32"/>
  <c r="AX383" i="32"/>
  <c r="AY383" i="32"/>
  <c r="AZ383" i="32"/>
  <c r="BA383" i="32"/>
  <c r="AK384" i="32"/>
  <c r="AL384" i="32"/>
  <c r="AM384" i="32"/>
  <c r="AN384" i="32"/>
  <c r="AO384" i="32"/>
  <c r="AP384" i="32"/>
  <c r="AQ384" i="32"/>
  <c r="Q384" i="32"/>
  <c r="AR384" i="32"/>
  <c r="AS384" i="32"/>
  <c r="AT384" i="32"/>
  <c r="AU384" i="32"/>
  <c r="AV384" i="32"/>
  <c r="AW384" i="32"/>
  <c r="AX384" i="32"/>
  <c r="AY384" i="32"/>
  <c r="AZ384" i="32"/>
  <c r="BA384" i="32"/>
  <c r="AK385" i="32"/>
  <c r="AL385" i="32"/>
  <c r="AM385" i="32"/>
  <c r="AN385" i="32"/>
  <c r="AO385" i="32"/>
  <c r="AP385" i="32"/>
  <c r="AQ385" i="32"/>
  <c r="Q385" i="32"/>
  <c r="AR385" i="32"/>
  <c r="AS385" i="32"/>
  <c r="AT385" i="32"/>
  <c r="AU385" i="32"/>
  <c r="AV385" i="32"/>
  <c r="AW385" i="32"/>
  <c r="AX385" i="32"/>
  <c r="AY385" i="32"/>
  <c r="AZ385" i="32"/>
  <c r="BA385" i="32"/>
  <c r="AK386" i="32"/>
  <c r="AL386" i="32"/>
  <c r="AM386" i="32"/>
  <c r="AN386" i="32"/>
  <c r="AO386" i="32"/>
  <c r="AP386" i="32"/>
  <c r="AQ386" i="32"/>
  <c r="Q386" i="32"/>
  <c r="AR386" i="32"/>
  <c r="AS386" i="32"/>
  <c r="AT386" i="32"/>
  <c r="AU386" i="32"/>
  <c r="AV386" i="32"/>
  <c r="AW386" i="32"/>
  <c r="AX386" i="32"/>
  <c r="AY386" i="32"/>
  <c r="AZ386" i="32"/>
  <c r="BA386" i="32"/>
  <c r="AK387" i="32"/>
  <c r="AL387" i="32"/>
  <c r="AM387" i="32"/>
  <c r="AN387" i="32"/>
  <c r="AO387" i="32"/>
  <c r="AP387" i="32"/>
  <c r="AQ387" i="32"/>
  <c r="Q387" i="32"/>
  <c r="AR387" i="32"/>
  <c r="AS387" i="32"/>
  <c r="AT387" i="32"/>
  <c r="AU387" i="32"/>
  <c r="AV387" i="32"/>
  <c r="AW387" i="32"/>
  <c r="AX387" i="32"/>
  <c r="AY387" i="32"/>
  <c r="AZ387" i="32"/>
  <c r="BA387" i="32"/>
  <c r="AK388" i="32"/>
  <c r="AL388" i="32"/>
  <c r="AM388" i="32"/>
  <c r="AN388" i="32"/>
  <c r="AO388" i="32"/>
  <c r="AP388" i="32"/>
  <c r="AQ388" i="32"/>
  <c r="Q388" i="32"/>
  <c r="AR388" i="32"/>
  <c r="AS388" i="32"/>
  <c r="AT388" i="32"/>
  <c r="AU388" i="32"/>
  <c r="AV388" i="32"/>
  <c r="AW388" i="32"/>
  <c r="AX388" i="32"/>
  <c r="AY388" i="32"/>
  <c r="AZ388" i="32"/>
  <c r="BA388" i="32"/>
  <c r="AK389" i="32"/>
  <c r="AL389" i="32"/>
  <c r="AM389" i="32"/>
  <c r="AN389" i="32"/>
  <c r="AO389" i="32"/>
  <c r="AP389" i="32"/>
  <c r="AQ389" i="32"/>
  <c r="Q389" i="32"/>
  <c r="AR389" i="32"/>
  <c r="AS389" i="32"/>
  <c r="AT389" i="32"/>
  <c r="AU389" i="32"/>
  <c r="AV389" i="32"/>
  <c r="AW389" i="32"/>
  <c r="AX389" i="32"/>
  <c r="AY389" i="32"/>
  <c r="AZ389" i="32"/>
  <c r="BA389" i="32"/>
  <c r="AK390" i="32"/>
  <c r="AL390" i="32"/>
  <c r="AM390" i="32"/>
  <c r="AN390" i="32"/>
  <c r="AO390" i="32"/>
  <c r="AP390" i="32"/>
  <c r="AQ390" i="32"/>
  <c r="Q390" i="32"/>
  <c r="AR390" i="32"/>
  <c r="AS390" i="32"/>
  <c r="AT390" i="32"/>
  <c r="AU390" i="32"/>
  <c r="AV390" i="32"/>
  <c r="AW390" i="32"/>
  <c r="AX390" i="32"/>
  <c r="AY390" i="32"/>
  <c r="AZ390" i="32"/>
  <c r="BA390" i="32"/>
  <c r="AK391" i="32"/>
  <c r="AL391" i="32"/>
  <c r="AM391" i="32"/>
  <c r="AN391" i="32"/>
  <c r="AO391" i="32"/>
  <c r="AP391" i="32"/>
  <c r="AQ391" i="32"/>
  <c r="Q391" i="32"/>
  <c r="AR391" i="32"/>
  <c r="AS391" i="32"/>
  <c r="AT391" i="32"/>
  <c r="AU391" i="32"/>
  <c r="AV391" i="32"/>
  <c r="AW391" i="32"/>
  <c r="AX391" i="32"/>
  <c r="AY391" i="32"/>
  <c r="AZ391" i="32"/>
  <c r="BA391" i="32"/>
  <c r="AK392" i="32"/>
  <c r="AL392" i="32"/>
  <c r="AM392" i="32"/>
  <c r="AN392" i="32"/>
  <c r="AO392" i="32"/>
  <c r="AP392" i="32"/>
  <c r="AQ392" i="32"/>
  <c r="Q392" i="32"/>
  <c r="AR392" i="32"/>
  <c r="AS392" i="32"/>
  <c r="AT392" i="32"/>
  <c r="AU392" i="32"/>
  <c r="AV392" i="32"/>
  <c r="AW392" i="32"/>
  <c r="AX392" i="32"/>
  <c r="AY392" i="32"/>
  <c r="AZ392" i="32"/>
  <c r="BA392" i="32"/>
  <c r="AK393" i="32"/>
  <c r="AL393" i="32"/>
  <c r="AM393" i="32"/>
  <c r="AN393" i="32"/>
  <c r="AO393" i="32"/>
  <c r="AP393" i="32"/>
  <c r="AQ393" i="32"/>
  <c r="Q393" i="32"/>
  <c r="AR393" i="32"/>
  <c r="AS393" i="32"/>
  <c r="AT393" i="32"/>
  <c r="AU393" i="32"/>
  <c r="AV393" i="32"/>
  <c r="AW393" i="32"/>
  <c r="AX393" i="32"/>
  <c r="AY393" i="32"/>
  <c r="AZ393" i="32"/>
  <c r="BA393" i="32"/>
  <c r="AK394" i="32"/>
  <c r="AL394" i="32"/>
  <c r="AM394" i="32"/>
  <c r="AN394" i="32"/>
  <c r="AO394" i="32"/>
  <c r="AP394" i="32"/>
  <c r="AQ394" i="32"/>
  <c r="Q394" i="32"/>
  <c r="AR394" i="32"/>
  <c r="AS394" i="32"/>
  <c r="AT394" i="32"/>
  <c r="AU394" i="32"/>
  <c r="AV394" i="32"/>
  <c r="AW394" i="32"/>
  <c r="AX394" i="32"/>
  <c r="AY394" i="32"/>
  <c r="AZ394" i="32"/>
  <c r="BA394" i="32"/>
  <c r="AK395" i="32"/>
  <c r="AL395" i="32"/>
  <c r="AM395" i="32"/>
  <c r="AN395" i="32"/>
  <c r="AO395" i="32"/>
  <c r="AP395" i="32"/>
  <c r="AQ395" i="32"/>
  <c r="Q395" i="32"/>
  <c r="AR395" i="32"/>
  <c r="AS395" i="32"/>
  <c r="AT395" i="32"/>
  <c r="AU395" i="32"/>
  <c r="AV395" i="32"/>
  <c r="AW395" i="32"/>
  <c r="AX395" i="32"/>
  <c r="AY395" i="32"/>
  <c r="AZ395" i="32"/>
  <c r="BA395" i="32"/>
  <c r="AK396" i="32"/>
  <c r="AL396" i="32"/>
  <c r="AM396" i="32"/>
  <c r="AN396" i="32"/>
  <c r="AO396" i="32"/>
  <c r="AP396" i="32"/>
  <c r="AQ396" i="32"/>
  <c r="Q396" i="32"/>
  <c r="AR396" i="32"/>
  <c r="AS396" i="32"/>
  <c r="AT396" i="32"/>
  <c r="AU396" i="32"/>
  <c r="AV396" i="32"/>
  <c r="AW396" i="32"/>
  <c r="AX396" i="32"/>
  <c r="AY396" i="32"/>
  <c r="AZ396" i="32"/>
  <c r="BA396" i="32"/>
  <c r="AK397" i="32"/>
  <c r="AL397" i="32"/>
  <c r="AM397" i="32"/>
  <c r="AN397" i="32"/>
  <c r="AO397" i="32"/>
  <c r="AP397" i="32"/>
  <c r="AQ397" i="32"/>
  <c r="Q397" i="32"/>
  <c r="AR397" i="32"/>
  <c r="AS397" i="32"/>
  <c r="AT397" i="32"/>
  <c r="AU397" i="32"/>
  <c r="AV397" i="32"/>
  <c r="AW397" i="32"/>
  <c r="AX397" i="32"/>
  <c r="AY397" i="32"/>
  <c r="AZ397" i="32"/>
  <c r="BA397" i="32"/>
  <c r="AK398" i="32"/>
  <c r="AL398" i="32"/>
  <c r="AM398" i="32"/>
  <c r="AN398" i="32"/>
  <c r="AO398" i="32"/>
  <c r="AP398" i="32"/>
  <c r="AQ398" i="32"/>
  <c r="Q398" i="32"/>
  <c r="AR398" i="32"/>
  <c r="AS398" i="32"/>
  <c r="AT398" i="32"/>
  <c r="AU398" i="32"/>
  <c r="AV398" i="32"/>
  <c r="AW398" i="32"/>
  <c r="AX398" i="32"/>
  <c r="AY398" i="32"/>
  <c r="AZ398" i="32"/>
  <c r="BA398" i="32"/>
  <c r="AK399" i="32"/>
  <c r="AL399" i="32"/>
  <c r="AM399" i="32"/>
  <c r="AN399" i="32"/>
  <c r="AO399" i="32"/>
  <c r="AP399" i="32"/>
  <c r="AQ399" i="32"/>
  <c r="Q399" i="32"/>
  <c r="AR399" i="32"/>
  <c r="AS399" i="32"/>
  <c r="AT399" i="32"/>
  <c r="AU399" i="32"/>
  <c r="AV399" i="32"/>
  <c r="AW399" i="32"/>
  <c r="AX399" i="32"/>
  <c r="AY399" i="32"/>
  <c r="AZ399" i="32"/>
  <c r="BA399" i="32"/>
  <c r="AK400" i="32"/>
  <c r="AL400" i="32"/>
  <c r="AM400" i="32"/>
  <c r="AN400" i="32"/>
  <c r="AO400" i="32"/>
  <c r="AP400" i="32"/>
  <c r="AQ400" i="32"/>
  <c r="Q400" i="32"/>
  <c r="AR400" i="32"/>
  <c r="AS400" i="32"/>
  <c r="AT400" i="32"/>
  <c r="AU400" i="32"/>
  <c r="AV400" i="32"/>
  <c r="AW400" i="32"/>
  <c r="AX400" i="32"/>
  <c r="AY400" i="32"/>
  <c r="AZ400" i="32"/>
  <c r="BA400" i="32"/>
  <c r="AK401" i="32"/>
  <c r="AL401" i="32"/>
  <c r="AM401" i="32"/>
  <c r="AN401" i="32"/>
  <c r="AO401" i="32"/>
  <c r="AP401" i="32"/>
  <c r="AQ401" i="32"/>
  <c r="Q401" i="32"/>
  <c r="AR401" i="32"/>
  <c r="AS401" i="32"/>
  <c r="AT401" i="32"/>
  <c r="AU401" i="32"/>
  <c r="AV401" i="32"/>
  <c r="AW401" i="32"/>
  <c r="AX401" i="32"/>
  <c r="AY401" i="32"/>
  <c r="AZ401" i="32"/>
  <c r="BA401" i="32"/>
  <c r="AK402" i="32"/>
  <c r="AL402" i="32"/>
  <c r="AM402" i="32"/>
  <c r="AN402" i="32"/>
  <c r="AO402" i="32"/>
  <c r="AP402" i="32"/>
  <c r="AQ402" i="32"/>
  <c r="Q402" i="32"/>
  <c r="AR402" i="32"/>
  <c r="AS402" i="32"/>
  <c r="AT402" i="32"/>
  <c r="AU402" i="32"/>
  <c r="AV402" i="32"/>
  <c r="AW402" i="32"/>
  <c r="AX402" i="32"/>
  <c r="AY402" i="32"/>
  <c r="AZ402" i="32"/>
  <c r="BA402" i="32"/>
  <c r="AK403" i="32"/>
  <c r="AL403" i="32"/>
  <c r="AM403" i="32"/>
  <c r="AN403" i="32"/>
  <c r="AO403" i="32"/>
  <c r="AP403" i="32"/>
  <c r="AQ403" i="32"/>
  <c r="Q403" i="32"/>
  <c r="AR403" i="32"/>
  <c r="AS403" i="32"/>
  <c r="AT403" i="32"/>
  <c r="AU403" i="32"/>
  <c r="AV403" i="32"/>
  <c r="AW403" i="32"/>
  <c r="AX403" i="32"/>
  <c r="AY403" i="32"/>
  <c r="AZ403" i="32"/>
  <c r="BA403" i="32"/>
  <c r="AK404" i="32"/>
  <c r="AL404" i="32"/>
  <c r="AM404" i="32"/>
  <c r="AN404" i="32"/>
  <c r="AO404" i="32"/>
  <c r="AP404" i="32"/>
  <c r="AQ404" i="32"/>
  <c r="Q404" i="32"/>
  <c r="AR404" i="32"/>
  <c r="AS404" i="32"/>
  <c r="AT404" i="32"/>
  <c r="AU404" i="32"/>
  <c r="AV404" i="32"/>
  <c r="AW404" i="32"/>
  <c r="AX404" i="32"/>
  <c r="AY404" i="32"/>
  <c r="AZ404" i="32"/>
  <c r="BA404" i="32"/>
  <c r="AK405" i="32"/>
  <c r="AL405" i="32"/>
  <c r="AM405" i="32"/>
  <c r="AN405" i="32"/>
  <c r="AO405" i="32"/>
  <c r="AP405" i="32"/>
  <c r="AQ405" i="32"/>
  <c r="Q405" i="32"/>
  <c r="AR405" i="32"/>
  <c r="AS405" i="32"/>
  <c r="AT405" i="32"/>
  <c r="AU405" i="32"/>
  <c r="AV405" i="32"/>
  <c r="AW405" i="32"/>
  <c r="AX405" i="32"/>
  <c r="AY405" i="32"/>
  <c r="AZ405" i="32"/>
  <c r="BA405" i="32"/>
  <c r="AK406" i="32"/>
  <c r="AL406" i="32"/>
  <c r="AM406" i="32"/>
  <c r="AN406" i="32"/>
  <c r="AO406" i="32"/>
  <c r="AP406" i="32"/>
  <c r="AQ406" i="32"/>
  <c r="Q406" i="32"/>
  <c r="AR406" i="32"/>
  <c r="AS406" i="32"/>
  <c r="AT406" i="32"/>
  <c r="AU406" i="32"/>
  <c r="AV406" i="32"/>
  <c r="AW406" i="32"/>
  <c r="AX406" i="32"/>
  <c r="AY406" i="32"/>
  <c r="AZ406" i="32"/>
  <c r="BA406" i="32"/>
  <c r="AK407" i="32"/>
  <c r="AL407" i="32"/>
  <c r="AM407" i="32"/>
  <c r="AN407" i="32"/>
  <c r="AO407" i="32"/>
  <c r="AP407" i="32"/>
  <c r="AQ407" i="32"/>
  <c r="Q407" i="32"/>
  <c r="AR407" i="32"/>
  <c r="AS407" i="32"/>
  <c r="AT407" i="32"/>
  <c r="AU407" i="32"/>
  <c r="AV407" i="32"/>
  <c r="AW407" i="32"/>
  <c r="AX407" i="32"/>
  <c r="AY407" i="32"/>
  <c r="AZ407" i="32"/>
  <c r="BA407" i="32"/>
  <c r="AK408" i="32"/>
  <c r="AL408" i="32"/>
  <c r="AM408" i="32"/>
  <c r="AN408" i="32"/>
  <c r="AO408" i="32"/>
  <c r="AP408" i="32"/>
  <c r="AQ408" i="32"/>
  <c r="Q408" i="32"/>
  <c r="AR408" i="32"/>
  <c r="AS408" i="32"/>
  <c r="AT408" i="32"/>
  <c r="AU408" i="32"/>
  <c r="AV408" i="32"/>
  <c r="AW408" i="32"/>
  <c r="AX408" i="32"/>
  <c r="AY408" i="32"/>
  <c r="AZ408" i="32"/>
  <c r="BA408" i="32"/>
  <c r="AK409" i="32"/>
  <c r="AL409" i="32"/>
  <c r="AM409" i="32"/>
  <c r="AN409" i="32"/>
  <c r="AO409" i="32"/>
  <c r="AP409" i="32"/>
  <c r="AQ409" i="32"/>
  <c r="Q409" i="32"/>
  <c r="AR409" i="32"/>
  <c r="AS409" i="32"/>
  <c r="AT409" i="32"/>
  <c r="AU409" i="32"/>
  <c r="AV409" i="32"/>
  <c r="AW409" i="32"/>
  <c r="AX409" i="32"/>
  <c r="AY409" i="32"/>
  <c r="AZ409" i="32"/>
  <c r="BA409" i="32"/>
  <c r="AK410" i="32"/>
  <c r="AL410" i="32"/>
  <c r="AM410" i="32"/>
  <c r="AN410" i="32"/>
  <c r="AO410" i="32"/>
  <c r="AP410" i="32"/>
  <c r="AQ410" i="32"/>
  <c r="Q410" i="32"/>
  <c r="AR410" i="32"/>
  <c r="AS410" i="32"/>
  <c r="AT410" i="32"/>
  <c r="AU410" i="32"/>
  <c r="AV410" i="32"/>
  <c r="AW410" i="32"/>
  <c r="AX410" i="32"/>
  <c r="AY410" i="32"/>
  <c r="AZ410" i="32"/>
  <c r="BA410" i="32"/>
  <c r="AK411" i="32"/>
  <c r="AL411" i="32"/>
  <c r="AM411" i="32"/>
  <c r="AN411" i="32"/>
  <c r="AO411" i="32"/>
  <c r="AP411" i="32"/>
  <c r="AQ411" i="32"/>
  <c r="Q411" i="32"/>
  <c r="AR411" i="32"/>
  <c r="AS411" i="32"/>
  <c r="AT411" i="32"/>
  <c r="AU411" i="32"/>
  <c r="AV411" i="32"/>
  <c r="AW411" i="32"/>
  <c r="AX411" i="32"/>
  <c r="AY411" i="32"/>
  <c r="AZ411" i="32"/>
  <c r="BA411" i="32"/>
  <c r="AK412" i="32"/>
  <c r="AL412" i="32"/>
  <c r="AM412" i="32"/>
  <c r="AN412" i="32"/>
  <c r="AO412" i="32"/>
  <c r="AP412" i="32"/>
  <c r="AQ412" i="32"/>
  <c r="Q412" i="32"/>
  <c r="AR412" i="32"/>
  <c r="AS412" i="32"/>
  <c r="AT412" i="32"/>
  <c r="AU412" i="32"/>
  <c r="AV412" i="32"/>
  <c r="AW412" i="32"/>
  <c r="AX412" i="32"/>
  <c r="AY412" i="32"/>
  <c r="AZ412" i="32"/>
  <c r="BA412" i="32"/>
  <c r="AK413" i="32"/>
  <c r="AL413" i="32"/>
  <c r="AM413" i="32"/>
  <c r="AN413" i="32"/>
  <c r="AO413" i="32"/>
  <c r="AP413" i="32"/>
  <c r="AQ413" i="32"/>
  <c r="Q413" i="32"/>
  <c r="AR413" i="32"/>
  <c r="AS413" i="32"/>
  <c r="AT413" i="32"/>
  <c r="AU413" i="32"/>
  <c r="AV413" i="32"/>
  <c r="AW413" i="32"/>
  <c r="AX413" i="32"/>
  <c r="AY413" i="32"/>
  <c r="AZ413" i="32"/>
  <c r="BA413" i="32"/>
  <c r="AK414" i="32"/>
  <c r="AL414" i="32"/>
  <c r="AM414" i="32"/>
  <c r="AN414" i="32"/>
  <c r="AO414" i="32"/>
  <c r="AP414" i="32"/>
  <c r="AQ414" i="32"/>
  <c r="Q414" i="32"/>
  <c r="AR414" i="32"/>
  <c r="AS414" i="32"/>
  <c r="AT414" i="32"/>
  <c r="AU414" i="32"/>
  <c r="AV414" i="32"/>
  <c r="AW414" i="32"/>
  <c r="AX414" i="32"/>
  <c r="AY414" i="32"/>
  <c r="AZ414" i="32"/>
  <c r="BA414" i="32"/>
  <c r="AK415" i="32"/>
  <c r="AL415" i="32"/>
  <c r="AM415" i="32"/>
  <c r="AN415" i="32"/>
  <c r="AO415" i="32"/>
  <c r="AP415" i="32"/>
  <c r="AQ415" i="32"/>
  <c r="Q415" i="32"/>
  <c r="AR415" i="32"/>
  <c r="AS415" i="32"/>
  <c r="AT415" i="32"/>
  <c r="AU415" i="32"/>
  <c r="AV415" i="32"/>
  <c r="AW415" i="32"/>
  <c r="AX415" i="32"/>
  <c r="AY415" i="32"/>
  <c r="AZ415" i="32"/>
  <c r="BA415" i="32"/>
  <c r="AK416" i="32"/>
  <c r="AL416" i="32"/>
  <c r="AM416" i="32"/>
  <c r="AN416" i="32"/>
  <c r="AO416" i="32"/>
  <c r="AP416" i="32"/>
  <c r="AQ416" i="32"/>
  <c r="Q416" i="32"/>
  <c r="AR416" i="32"/>
  <c r="AS416" i="32"/>
  <c r="AT416" i="32"/>
  <c r="AU416" i="32"/>
  <c r="AV416" i="32"/>
  <c r="AW416" i="32"/>
  <c r="AX416" i="32"/>
  <c r="AY416" i="32"/>
  <c r="AZ416" i="32"/>
  <c r="BA416" i="32"/>
  <c r="AK417" i="32"/>
  <c r="AL417" i="32"/>
  <c r="AM417" i="32"/>
  <c r="AN417" i="32"/>
  <c r="AO417" i="32"/>
  <c r="AP417" i="32"/>
  <c r="AQ417" i="32"/>
  <c r="Q417" i="32"/>
  <c r="AR417" i="32"/>
  <c r="AS417" i="32"/>
  <c r="AT417" i="32"/>
  <c r="AU417" i="32"/>
  <c r="AV417" i="32"/>
  <c r="AW417" i="32"/>
  <c r="AX417" i="32"/>
  <c r="AY417" i="32"/>
  <c r="AZ417" i="32"/>
  <c r="BA417" i="32"/>
  <c r="AK418" i="32"/>
  <c r="AL418" i="32"/>
  <c r="AM418" i="32"/>
  <c r="AN418" i="32"/>
  <c r="AO418" i="32"/>
  <c r="AP418" i="32"/>
  <c r="AQ418" i="32"/>
  <c r="Q418" i="32"/>
  <c r="AR418" i="32"/>
  <c r="AS418" i="32"/>
  <c r="AT418" i="32"/>
  <c r="AU418" i="32"/>
  <c r="AV418" i="32"/>
  <c r="AW418" i="32"/>
  <c r="AX418" i="32"/>
  <c r="AY418" i="32"/>
  <c r="AZ418" i="32"/>
  <c r="BA418" i="32"/>
  <c r="AK419" i="32"/>
  <c r="AL419" i="32"/>
  <c r="AM419" i="32"/>
  <c r="AN419" i="32"/>
  <c r="AO419" i="32"/>
  <c r="AP419" i="32"/>
  <c r="AQ419" i="32"/>
  <c r="Q419" i="32"/>
  <c r="AR419" i="32"/>
  <c r="AS419" i="32"/>
  <c r="AT419" i="32"/>
  <c r="AU419" i="32"/>
  <c r="AV419" i="32"/>
  <c r="AW419" i="32"/>
  <c r="AX419" i="32"/>
  <c r="AY419" i="32"/>
  <c r="AZ419" i="32"/>
  <c r="BA419" i="32"/>
  <c r="AK420" i="32"/>
  <c r="AL420" i="32"/>
  <c r="AM420" i="32"/>
  <c r="AN420" i="32"/>
  <c r="AO420" i="32"/>
  <c r="AP420" i="32"/>
  <c r="AQ420" i="32"/>
  <c r="Q420" i="32"/>
  <c r="AR420" i="32"/>
  <c r="AS420" i="32"/>
  <c r="AT420" i="32"/>
  <c r="AU420" i="32"/>
  <c r="AV420" i="32"/>
  <c r="AW420" i="32"/>
  <c r="AX420" i="32"/>
  <c r="AY420" i="32"/>
  <c r="AZ420" i="32"/>
  <c r="BA420" i="32"/>
  <c r="AK421" i="32"/>
  <c r="AL421" i="32"/>
  <c r="AM421" i="32"/>
  <c r="AN421" i="32"/>
  <c r="AO421" i="32"/>
  <c r="AP421" i="32"/>
  <c r="AQ421" i="32"/>
  <c r="Q421" i="32"/>
  <c r="AR421" i="32"/>
  <c r="AS421" i="32"/>
  <c r="AT421" i="32"/>
  <c r="AU421" i="32"/>
  <c r="AV421" i="32"/>
  <c r="AW421" i="32"/>
  <c r="AX421" i="32"/>
  <c r="AY421" i="32"/>
  <c r="AZ421" i="32"/>
  <c r="BA421" i="32"/>
  <c r="AK422" i="32"/>
  <c r="AL422" i="32"/>
  <c r="AM422" i="32"/>
  <c r="AN422" i="32"/>
  <c r="AO422" i="32"/>
  <c r="AP422" i="32"/>
  <c r="AQ422" i="32"/>
  <c r="Q422" i="32"/>
  <c r="AR422" i="32"/>
  <c r="AS422" i="32"/>
  <c r="AT422" i="32"/>
  <c r="AU422" i="32"/>
  <c r="AV422" i="32"/>
  <c r="AW422" i="32"/>
  <c r="AX422" i="32"/>
  <c r="AY422" i="32"/>
  <c r="AZ422" i="32"/>
  <c r="BA422" i="32"/>
  <c r="AK423" i="32"/>
  <c r="AL423" i="32"/>
  <c r="AM423" i="32"/>
  <c r="AN423" i="32"/>
  <c r="AO423" i="32"/>
  <c r="AP423" i="32"/>
  <c r="AQ423" i="32"/>
  <c r="Q423" i="32"/>
  <c r="AR423" i="32"/>
  <c r="AS423" i="32"/>
  <c r="AT423" i="32"/>
  <c r="AU423" i="32"/>
  <c r="AV423" i="32"/>
  <c r="AW423" i="32"/>
  <c r="AX423" i="32"/>
  <c r="AY423" i="32"/>
  <c r="AZ423" i="32"/>
  <c r="BA423" i="32"/>
  <c r="AK424" i="32"/>
  <c r="AL424" i="32"/>
  <c r="AM424" i="32"/>
  <c r="AN424" i="32"/>
  <c r="AO424" i="32"/>
  <c r="AP424" i="32"/>
  <c r="AQ424" i="32"/>
  <c r="Q424" i="32"/>
  <c r="AR424" i="32"/>
  <c r="AS424" i="32"/>
  <c r="AT424" i="32"/>
  <c r="AU424" i="32"/>
  <c r="AV424" i="32"/>
  <c r="AW424" i="32"/>
  <c r="AX424" i="32"/>
  <c r="AY424" i="32"/>
  <c r="AZ424" i="32"/>
  <c r="BA424" i="32"/>
  <c r="AK425" i="32"/>
  <c r="AL425" i="32"/>
  <c r="AM425" i="32"/>
  <c r="AN425" i="32"/>
  <c r="AO425" i="32"/>
  <c r="AP425" i="32"/>
  <c r="AQ425" i="32"/>
  <c r="Q425" i="32"/>
  <c r="AR425" i="32"/>
  <c r="AS425" i="32"/>
  <c r="AT425" i="32"/>
  <c r="AU425" i="32"/>
  <c r="AV425" i="32"/>
  <c r="AW425" i="32"/>
  <c r="AX425" i="32"/>
  <c r="AY425" i="32"/>
  <c r="AZ425" i="32"/>
  <c r="BA425" i="32"/>
  <c r="AK426" i="32"/>
  <c r="AL426" i="32"/>
  <c r="AM426" i="32"/>
  <c r="AN426" i="32"/>
  <c r="AO426" i="32"/>
  <c r="AP426" i="32"/>
  <c r="AQ426" i="32"/>
  <c r="Q426" i="32"/>
  <c r="AR426" i="32"/>
  <c r="AS426" i="32"/>
  <c r="AT426" i="32"/>
  <c r="AU426" i="32"/>
  <c r="AV426" i="32"/>
  <c r="AW426" i="32"/>
  <c r="AX426" i="32"/>
  <c r="AY426" i="32"/>
  <c r="AZ426" i="32"/>
  <c r="BA426" i="32"/>
  <c r="AK427" i="32"/>
  <c r="AL427" i="32"/>
  <c r="AM427" i="32"/>
  <c r="AN427" i="32"/>
  <c r="AO427" i="32"/>
  <c r="AP427" i="32"/>
  <c r="AQ427" i="32"/>
  <c r="Q427" i="32"/>
  <c r="AR427" i="32"/>
  <c r="AS427" i="32"/>
  <c r="AT427" i="32"/>
  <c r="AU427" i="32"/>
  <c r="AV427" i="32"/>
  <c r="AW427" i="32"/>
  <c r="AX427" i="32"/>
  <c r="AY427" i="32"/>
  <c r="AZ427" i="32"/>
  <c r="BA427" i="32"/>
  <c r="AK428" i="32"/>
  <c r="AL428" i="32"/>
  <c r="AM428" i="32"/>
  <c r="AN428" i="32"/>
  <c r="AO428" i="32"/>
  <c r="AP428" i="32"/>
  <c r="AQ428" i="32"/>
  <c r="Q428" i="32"/>
  <c r="AR428" i="32"/>
  <c r="AS428" i="32"/>
  <c r="AT428" i="32"/>
  <c r="AU428" i="32"/>
  <c r="AV428" i="32"/>
  <c r="AW428" i="32"/>
  <c r="AX428" i="32"/>
  <c r="AY428" i="32"/>
  <c r="AZ428" i="32"/>
  <c r="BA428" i="32"/>
  <c r="AK429" i="32"/>
  <c r="AL429" i="32"/>
  <c r="AM429" i="32"/>
  <c r="AN429" i="32"/>
  <c r="AO429" i="32"/>
  <c r="AP429" i="32"/>
  <c r="AQ429" i="32"/>
  <c r="Q429" i="32"/>
  <c r="AR429" i="32"/>
  <c r="AS429" i="32"/>
  <c r="AT429" i="32"/>
  <c r="AU429" i="32"/>
  <c r="AV429" i="32"/>
  <c r="AW429" i="32"/>
  <c r="AX429" i="32"/>
  <c r="AY429" i="32"/>
  <c r="AZ429" i="32"/>
  <c r="BA429" i="32"/>
  <c r="AK430" i="32"/>
  <c r="AL430" i="32"/>
  <c r="AM430" i="32"/>
  <c r="AN430" i="32"/>
  <c r="AO430" i="32"/>
  <c r="AP430" i="32"/>
  <c r="AQ430" i="32"/>
  <c r="Q430" i="32"/>
  <c r="AR430" i="32"/>
  <c r="AS430" i="32"/>
  <c r="AT430" i="32"/>
  <c r="AU430" i="32"/>
  <c r="AV430" i="32"/>
  <c r="AW430" i="32"/>
  <c r="AX430" i="32"/>
  <c r="AY430" i="32"/>
  <c r="AZ430" i="32"/>
  <c r="BA430" i="32"/>
  <c r="AK431" i="32"/>
  <c r="AL431" i="32"/>
  <c r="AM431" i="32"/>
  <c r="AN431" i="32"/>
  <c r="AO431" i="32"/>
  <c r="AP431" i="32"/>
  <c r="AQ431" i="32"/>
  <c r="Q431" i="32"/>
  <c r="AR431" i="32"/>
  <c r="AS431" i="32"/>
  <c r="AT431" i="32"/>
  <c r="AU431" i="32"/>
  <c r="AV431" i="32"/>
  <c r="AW431" i="32"/>
  <c r="AX431" i="32"/>
  <c r="AY431" i="32"/>
  <c r="AZ431" i="32"/>
  <c r="BA431" i="32"/>
  <c r="AK432" i="32"/>
  <c r="AL432" i="32"/>
  <c r="AM432" i="32"/>
  <c r="AN432" i="32"/>
  <c r="AO432" i="32"/>
  <c r="AP432" i="32"/>
  <c r="AQ432" i="32"/>
  <c r="Q432" i="32"/>
  <c r="AR432" i="32"/>
  <c r="AS432" i="32"/>
  <c r="AT432" i="32"/>
  <c r="AU432" i="32"/>
  <c r="AV432" i="32"/>
  <c r="AW432" i="32"/>
  <c r="AX432" i="32"/>
  <c r="AY432" i="32"/>
  <c r="AZ432" i="32"/>
  <c r="BA432" i="32"/>
  <c r="AK433" i="32"/>
  <c r="AL433" i="32"/>
  <c r="AM433" i="32"/>
  <c r="AN433" i="32"/>
  <c r="AO433" i="32"/>
  <c r="AP433" i="32"/>
  <c r="AQ433" i="32"/>
  <c r="Q433" i="32"/>
  <c r="AR433" i="32"/>
  <c r="AS433" i="32"/>
  <c r="AT433" i="32"/>
  <c r="AU433" i="32"/>
  <c r="AV433" i="32"/>
  <c r="AW433" i="32"/>
  <c r="AX433" i="32"/>
  <c r="AY433" i="32"/>
  <c r="AZ433" i="32"/>
  <c r="BA433" i="32"/>
  <c r="AK434" i="32"/>
  <c r="AL434" i="32"/>
  <c r="AM434" i="32"/>
  <c r="AN434" i="32"/>
  <c r="AO434" i="32"/>
  <c r="AP434" i="32"/>
  <c r="AQ434" i="32"/>
  <c r="Q434" i="32"/>
  <c r="AR434" i="32"/>
  <c r="AS434" i="32"/>
  <c r="AT434" i="32"/>
  <c r="AU434" i="32"/>
  <c r="AV434" i="32"/>
  <c r="AW434" i="32"/>
  <c r="AX434" i="32"/>
  <c r="AY434" i="32"/>
  <c r="AZ434" i="32"/>
  <c r="BA434" i="32"/>
  <c r="AK435" i="32"/>
  <c r="AL435" i="32"/>
  <c r="AM435" i="32"/>
  <c r="AN435" i="32"/>
  <c r="AO435" i="32"/>
  <c r="AP435" i="32"/>
  <c r="AQ435" i="32"/>
  <c r="Q435" i="32"/>
  <c r="AR435" i="32"/>
  <c r="AS435" i="32"/>
  <c r="AT435" i="32"/>
  <c r="AU435" i="32"/>
  <c r="AV435" i="32"/>
  <c r="AW435" i="32"/>
  <c r="AX435" i="32"/>
  <c r="AY435" i="32"/>
  <c r="AZ435" i="32"/>
  <c r="BA435" i="32"/>
  <c r="AK436" i="32"/>
  <c r="AL436" i="32"/>
  <c r="AM436" i="32"/>
  <c r="AN436" i="32"/>
  <c r="AO436" i="32"/>
  <c r="AP436" i="32"/>
  <c r="AQ436" i="32"/>
  <c r="Q436" i="32"/>
  <c r="AR436" i="32"/>
  <c r="AS436" i="32"/>
  <c r="AT436" i="32"/>
  <c r="AU436" i="32"/>
  <c r="AV436" i="32"/>
  <c r="AW436" i="32"/>
  <c r="AX436" i="32"/>
  <c r="AY436" i="32"/>
  <c r="AZ436" i="32"/>
  <c r="BA436" i="32"/>
  <c r="AK437" i="32"/>
  <c r="AL437" i="32"/>
  <c r="AM437" i="32"/>
  <c r="AN437" i="32"/>
  <c r="AO437" i="32"/>
  <c r="AP437" i="32"/>
  <c r="AQ437" i="32"/>
  <c r="Q437" i="32"/>
  <c r="AR437" i="32"/>
  <c r="AS437" i="32"/>
  <c r="AT437" i="32"/>
  <c r="AU437" i="32"/>
  <c r="AV437" i="32"/>
  <c r="AW437" i="32"/>
  <c r="AX437" i="32"/>
  <c r="AY437" i="32"/>
  <c r="AZ437" i="32"/>
  <c r="BA437" i="32"/>
  <c r="AK438" i="32"/>
  <c r="AL438" i="32"/>
  <c r="AM438" i="32"/>
  <c r="AN438" i="32"/>
  <c r="AO438" i="32"/>
  <c r="AP438" i="32"/>
  <c r="AQ438" i="32"/>
  <c r="Q438" i="32"/>
  <c r="AR438" i="32"/>
  <c r="AS438" i="32"/>
  <c r="AT438" i="32"/>
  <c r="AU438" i="32"/>
  <c r="AV438" i="32"/>
  <c r="AW438" i="32"/>
  <c r="AX438" i="32"/>
  <c r="AY438" i="32"/>
  <c r="AZ438" i="32"/>
  <c r="BA438" i="32"/>
  <c r="AK439" i="32"/>
  <c r="AL439" i="32"/>
  <c r="AM439" i="32"/>
  <c r="AN439" i="32"/>
  <c r="AO439" i="32"/>
  <c r="AP439" i="32"/>
  <c r="AQ439" i="32"/>
  <c r="Q439" i="32"/>
  <c r="AR439" i="32"/>
  <c r="AS439" i="32"/>
  <c r="AT439" i="32"/>
  <c r="AU439" i="32"/>
  <c r="AV439" i="32"/>
  <c r="AW439" i="32"/>
  <c r="AX439" i="32"/>
  <c r="AY439" i="32"/>
  <c r="AZ439" i="32"/>
  <c r="BA439" i="32"/>
  <c r="AK440" i="32"/>
  <c r="AL440" i="32"/>
  <c r="AM440" i="32"/>
  <c r="AN440" i="32"/>
  <c r="AO440" i="32"/>
  <c r="AP440" i="32"/>
  <c r="AQ440" i="32"/>
  <c r="Q440" i="32"/>
  <c r="AR440" i="32"/>
  <c r="AS440" i="32"/>
  <c r="AT440" i="32"/>
  <c r="AU440" i="32"/>
  <c r="AV440" i="32"/>
  <c r="AW440" i="32"/>
  <c r="AX440" i="32"/>
  <c r="AY440" i="32"/>
  <c r="AZ440" i="32"/>
  <c r="BA440" i="32"/>
  <c r="AK441" i="32"/>
  <c r="AL441" i="32"/>
  <c r="AM441" i="32"/>
  <c r="AN441" i="32"/>
  <c r="AO441" i="32"/>
  <c r="AP441" i="32"/>
  <c r="AQ441" i="32"/>
  <c r="Q441" i="32"/>
  <c r="AR441" i="32"/>
  <c r="AS441" i="32"/>
  <c r="AT441" i="32"/>
  <c r="AU441" i="32"/>
  <c r="AV441" i="32"/>
  <c r="AW441" i="32"/>
  <c r="AX441" i="32"/>
  <c r="AY441" i="32"/>
  <c r="AZ441" i="32"/>
  <c r="BA441" i="32"/>
  <c r="AK442" i="32"/>
  <c r="AL442" i="32"/>
  <c r="AM442" i="32"/>
  <c r="AN442" i="32"/>
  <c r="AO442" i="32"/>
  <c r="AP442" i="32"/>
  <c r="AQ442" i="32"/>
  <c r="Q442" i="32"/>
  <c r="AR442" i="32"/>
  <c r="AS442" i="32"/>
  <c r="AT442" i="32"/>
  <c r="AU442" i="32"/>
  <c r="AV442" i="32"/>
  <c r="AW442" i="32"/>
  <c r="AX442" i="32"/>
  <c r="AY442" i="32"/>
  <c r="AZ442" i="32"/>
  <c r="BA442" i="32"/>
  <c r="AK443" i="32"/>
  <c r="AL443" i="32"/>
  <c r="AM443" i="32"/>
  <c r="AN443" i="32"/>
  <c r="AO443" i="32"/>
  <c r="AP443" i="32"/>
  <c r="AQ443" i="32"/>
  <c r="Q443" i="32"/>
  <c r="AR443" i="32"/>
  <c r="AS443" i="32"/>
  <c r="AT443" i="32"/>
  <c r="AU443" i="32"/>
  <c r="AV443" i="32"/>
  <c r="AW443" i="32"/>
  <c r="AX443" i="32"/>
  <c r="AY443" i="32"/>
  <c r="AZ443" i="32"/>
  <c r="BA443" i="32"/>
  <c r="AK444" i="32"/>
  <c r="AL444" i="32"/>
  <c r="AM444" i="32"/>
  <c r="AN444" i="32"/>
  <c r="AO444" i="32"/>
  <c r="AP444" i="32"/>
  <c r="AQ444" i="32"/>
  <c r="Q444" i="32"/>
  <c r="AR444" i="32"/>
  <c r="AS444" i="32"/>
  <c r="AT444" i="32"/>
  <c r="AU444" i="32"/>
  <c r="AV444" i="32"/>
  <c r="AW444" i="32"/>
  <c r="AX444" i="32"/>
  <c r="AY444" i="32"/>
  <c r="AZ444" i="32"/>
  <c r="BA444" i="32"/>
  <c r="AK445" i="32"/>
  <c r="AL445" i="32"/>
  <c r="AM445" i="32"/>
  <c r="AN445" i="32"/>
  <c r="AO445" i="32"/>
  <c r="AP445" i="32"/>
  <c r="AQ445" i="32"/>
  <c r="Q445" i="32"/>
  <c r="AR445" i="32"/>
  <c r="AS445" i="32"/>
  <c r="AT445" i="32"/>
  <c r="AU445" i="32"/>
  <c r="AV445" i="32"/>
  <c r="AW445" i="32"/>
  <c r="AX445" i="32"/>
  <c r="AY445" i="32"/>
  <c r="AZ445" i="32"/>
  <c r="BA445" i="32"/>
  <c r="AK446" i="32"/>
  <c r="AL446" i="32"/>
  <c r="AM446" i="32"/>
  <c r="AN446" i="32"/>
  <c r="AO446" i="32"/>
  <c r="AP446" i="32"/>
  <c r="AQ446" i="32"/>
  <c r="Q446" i="32"/>
  <c r="AR446" i="32"/>
  <c r="AS446" i="32"/>
  <c r="AT446" i="32"/>
  <c r="AU446" i="32"/>
  <c r="AV446" i="32"/>
  <c r="AW446" i="32"/>
  <c r="AX446" i="32"/>
  <c r="AY446" i="32"/>
  <c r="AZ446" i="32"/>
  <c r="BA446" i="32"/>
  <c r="AK447" i="32"/>
  <c r="AL447" i="32"/>
  <c r="AM447" i="32"/>
  <c r="AN447" i="32"/>
  <c r="AO447" i="32"/>
  <c r="AP447" i="32"/>
  <c r="AQ447" i="32"/>
  <c r="Q447" i="32"/>
  <c r="AR447" i="32"/>
  <c r="AS447" i="32"/>
  <c r="AT447" i="32"/>
  <c r="AU447" i="32"/>
  <c r="AV447" i="32"/>
  <c r="AW447" i="32"/>
  <c r="AX447" i="32"/>
  <c r="AY447" i="32"/>
  <c r="AZ447" i="32"/>
  <c r="BA447" i="32"/>
  <c r="AK448" i="32"/>
  <c r="AL448" i="32"/>
  <c r="AM448" i="32"/>
  <c r="AN448" i="32"/>
  <c r="AO448" i="32"/>
  <c r="AP448" i="32"/>
  <c r="AQ448" i="32"/>
  <c r="Q448" i="32"/>
  <c r="AR448" i="32"/>
  <c r="AS448" i="32"/>
  <c r="AT448" i="32"/>
  <c r="AU448" i="32"/>
  <c r="AV448" i="32"/>
  <c r="AW448" i="32"/>
  <c r="AX448" i="32"/>
  <c r="AY448" i="32"/>
  <c r="AZ448" i="32"/>
  <c r="BA448" i="32"/>
  <c r="AK449" i="32"/>
  <c r="AL449" i="32"/>
  <c r="AM449" i="32"/>
  <c r="AN449" i="32"/>
  <c r="AO449" i="32"/>
  <c r="AP449" i="32"/>
  <c r="AQ449" i="32"/>
  <c r="Q449" i="32"/>
  <c r="AR449" i="32"/>
  <c r="AS449" i="32"/>
  <c r="AT449" i="32"/>
  <c r="AU449" i="32"/>
  <c r="AV449" i="32"/>
  <c r="AW449" i="32"/>
  <c r="AX449" i="32"/>
  <c r="AY449" i="32"/>
  <c r="AZ449" i="32"/>
  <c r="BA449" i="32"/>
  <c r="AK450" i="32"/>
  <c r="AL450" i="32"/>
  <c r="AM450" i="32"/>
  <c r="AN450" i="32"/>
  <c r="AO450" i="32"/>
  <c r="AP450" i="32"/>
  <c r="AQ450" i="32"/>
  <c r="Q450" i="32"/>
  <c r="AR450" i="32"/>
  <c r="AS450" i="32"/>
  <c r="AT450" i="32"/>
  <c r="AU450" i="32"/>
  <c r="AV450" i="32"/>
  <c r="AW450" i="32"/>
  <c r="AX450" i="32"/>
  <c r="AY450" i="32"/>
  <c r="AZ450" i="32"/>
  <c r="BA450" i="32"/>
  <c r="AK451" i="32"/>
  <c r="AL451" i="32"/>
  <c r="AM451" i="32"/>
  <c r="AN451" i="32"/>
  <c r="AO451" i="32"/>
  <c r="AP451" i="32"/>
  <c r="AQ451" i="32"/>
  <c r="Q451" i="32"/>
  <c r="AR451" i="32"/>
  <c r="AS451" i="32"/>
  <c r="AT451" i="32"/>
  <c r="AU451" i="32"/>
  <c r="AV451" i="32"/>
  <c r="AW451" i="32"/>
  <c r="AX451" i="32"/>
  <c r="AY451" i="32"/>
  <c r="AZ451" i="32"/>
  <c r="BA451" i="32"/>
  <c r="AK452" i="32"/>
  <c r="AL452" i="32"/>
  <c r="AM452" i="32"/>
  <c r="AN452" i="32"/>
  <c r="AO452" i="32"/>
  <c r="AP452" i="32"/>
  <c r="AQ452" i="32"/>
  <c r="Q452" i="32"/>
  <c r="AR452" i="32"/>
  <c r="AS452" i="32"/>
  <c r="AT452" i="32"/>
  <c r="AU452" i="32"/>
  <c r="AV452" i="32"/>
  <c r="AW452" i="32"/>
  <c r="AX452" i="32"/>
  <c r="AY452" i="32"/>
  <c r="AZ452" i="32"/>
  <c r="BA452" i="32"/>
  <c r="AK453" i="32"/>
  <c r="AL453" i="32"/>
  <c r="AM453" i="32"/>
  <c r="AN453" i="32"/>
  <c r="AO453" i="32"/>
  <c r="AP453" i="32"/>
  <c r="AQ453" i="32"/>
  <c r="Q453" i="32"/>
  <c r="AR453" i="32"/>
  <c r="AS453" i="32"/>
  <c r="AT453" i="32"/>
  <c r="AU453" i="32"/>
  <c r="AV453" i="32"/>
  <c r="AW453" i="32"/>
  <c r="AX453" i="32"/>
  <c r="AY453" i="32"/>
  <c r="AZ453" i="32"/>
  <c r="BA453" i="32"/>
  <c r="AK454" i="32"/>
  <c r="AL454" i="32"/>
  <c r="AM454" i="32"/>
  <c r="AN454" i="32"/>
  <c r="AO454" i="32"/>
  <c r="AP454" i="32"/>
  <c r="AQ454" i="32"/>
  <c r="Q454" i="32"/>
  <c r="AR454" i="32"/>
  <c r="AS454" i="32"/>
  <c r="AT454" i="32"/>
  <c r="AU454" i="32"/>
  <c r="AV454" i="32"/>
  <c r="AW454" i="32"/>
  <c r="AX454" i="32"/>
  <c r="AY454" i="32"/>
  <c r="AZ454" i="32"/>
  <c r="BA454" i="32"/>
  <c r="AK455" i="32"/>
  <c r="AL455" i="32"/>
  <c r="AM455" i="32"/>
  <c r="AN455" i="32"/>
  <c r="AO455" i="32"/>
  <c r="AP455" i="32"/>
  <c r="AQ455" i="32"/>
  <c r="Q455" i="32"/>
  <c r="AR455" i="32"/>
  <c r="AS455" i="32"/>
  <c r="AT455" i="32"/>
  <c r="AU455" i="32"/>
  <c r="AV455" i="32"/>
  <c r="AW455" i="32"/>
  <c r="AX455" i="32"/>
  <c r="AY455" i="32"/>
  <c r="AZ455" i="32"/>
  <c r="BA455" i="32"/>
  <c r="AK456" i="32"/>
  <c r="AL456" i="32"/>
  <c r="AM456" i="32"/>
  <c r="AN456" i="32"/>
  <c r="AO456" i="32"/>
  <c r="AP456" i="32"/>
  <c r="AQ456" i="32"/>
  <c r="Q456" i="32"/>
  <c r="AR456" i="32"/>
  <c r="AS456" i="32"/>
  <c r="AT456" i="32"/>
  <c r="AU456" i="32"/>
  <c r="AV456" i="32"/>
  <c r="AW456" i="32"/>
  <c r="AX456" i="32"/>
  <c r="AY456" i="32"/>
  <c r="AZ456" i="32"/>
  <c r="BA456" i="32"/>
  <c r="AK457" i="32"/>
  <c r="AL457" i="32"/>
  <c r="AM457" i="32"/>
  <c r="AN457" i="32"/>
  <c r="AO457" i="32"/>
  <c r="AP457" i="32"/>
  <c r="AQ457" i="32"/>
  <c r="Q457" i="32"/>
  <c r="AR457" i="32"/>
  <c r="AS457" i="32"/>
  <c r="AT457" i="32"/>
  <c r="AU457" i="32"/>
  <c r="AV457" i="32"/>
  <c r="AW457" i="32"/>
  <c r="AX457" i="32"/>
  <c r="AY457" i="32"/>
  <c r="AZ457" i="32"/>
  <c r="BA457" i="32"/>
  <c r="AK458" i="32"/>
  <c r="AL458" i="32"/>
  <c r="AM458" i="32"/>
  <c r="AN458" i="32"/>
  <c r="AO458" i="32"/>
  <c r="AP458" i="32"/>
  <c r="AQ458" i="32"/>
  <c r="Q458" i="32"/>
  <c r="AR458" i="32"/>
  <c r="AS458" i="32"/>
  <c r="AT458" i="32"/>
  <c r="AU458" i="32"/>
  <c r="AV458" i="32"/>
  <c r="AW458" i="32"/>
  <c r="AX458" i="32"/>
  <c r="AY458" i="32"/>
  <c r="AZ458" i="32"/>
  <c r="BA458" i="32"/>
  <c r="AK459" i="32"/>
  <c r="AL459" i="32"/>
  <c r="AM459" i="32"/>
  <c r="AN459" i="32"/>
  <c r="AO459" i="32"/>
  <c r="AP459" i="32"/>
  <c r="AQ459" i="32"/>
  <c r="Q459" i="32"/>
  <c r="AR459" i="32"/>
  <c r="AS459" i="32"/>
  <c r="AT459" i="32"/>
  <c r="AU459" i="32"/>
  <c r="AV459" i="32"/>
  <c r="AW459" i="32"/>
  <c r="AX459" i="32"/>
  <c r="AY459" i="32"/>
  <c r="AZ459" i="32"/>
  <c r="BA459" i="32"/>
  <c r="AK460" i="32"/>
  <c r="AL460" i="32"/>
  <c r="AM460" i="32"/>
  <c r="AN460" i="32"/>
  <c r="AO460" i="32"/>
  <c r="AP460" i="32"/>
  <c r="AQ460" i="32"/>
  <c r="Q460" i="32"/>
  <c r="AR460" i="32"/>
  <c r="AS460" i="32"/>
  <c r="AT460" i="32"/>
  <c r="AU460" i="32"/>
  <c r="AV460" i="32"/>
  <c r="AW460" i="32"/>
  <c r="AX460" i="32"/>
  <c r="AY460" i="32"/>
  <c r="AZ460" i="32"/>
  <c r="BA460" i="32"/>
  <c r="AK461" i="32"/>
  <c r="AL461" i="32"/>
  <c r="AM461" i="32"/>
  <c r="AN461" i="32"/>
  <c r="AO461" i="32"/>
  <c r="AP461" i="32"/>
  <c r="AQ461" i="32"/>
  <c r="Q461" i="32"/>
  <c r="AR461" i="32"/>
  <c r="AS461" i="32"/>
  <c r="AT461" i="32"/>
  <c r="AU461" i="32"/>
  <c r="AV461" i="32"/>
  <c r="AW461" i="32"/>
  <c r="AX461" i="32"/>
  <c r="AY461" i="32"/>
  <c r="AZ461" i="32"/>
  <c r="BA461" i="32"/>
  <c r="AK462" i="32"/>
  <c r="AL462" i="32"/>
  <c r="AM462" i="32"/>
  <c r="AN462" i="32"/>
  <c r="AO462" i="32"/>
  <c r="AP462" i="32"/>
  <c r="AQ462" i="32"/>
  <c r="Q462" i="32"/>
  <c r="AR462" i="32"/>
  <c r="AS462" i="32"/>
  <c r="AT462" i="32"/>
  <c r="AU462" i="32"/>
  <c r="AV462" i="32"/>
  <c r="AW462" i="32"/>
  <c r="AX462" i="32"/>
  <c r="AY462" i="32"/>
  <c r="AZ462" i="32"/>
  <c r="BA462" i="32"/>
  <c r="AK463" i="32"/>
  <c r="AL463" i="32"/>
  <c r="AM463" i="32"/>
  <c r="AN463" i="32"/>
  <c r="AO463" i="32"/>
  <c r="AP463" i="32"/>
  <c r="AQ463" i="32"/>
  <c r="Q463" i="32"/>
  <c r="AR463" i="32"/>
  <c r="AS463" i="32"/>
  <c r="AT463" i="32"/>
  <c r="AU463" i="32"/>
  <c r="AV463" i="32"/>
  <c r="AW463" i="32"/>
  <c r="AX463" i="32"/>
  <c r="AY463" i="32"/>
  <c r="AZ463" i="32"/>
  <c r="BA463" i="32"/>
  <c r="AK464" i="32"/>
  <c r="AL464" i="32"/>
  <c r="AM464" i="32"/>
  <c r="AN464" i="32"/>
  <c r="AO464" i="32"/>
  <c r="AP464" i="32"/>
  <c r="AQ464" i="32"/>
  <c r="Q464" i="32"/>
  <c r="AR464" i="32"/>
  <c r="AS464" i="32"/>
  <c r="AT464" i="32"/>
  <c r="AU464" i="32"/>
  <c r="AV464" i="32"/>
  <c r="AW464" i="32"/>
  <c r="AX464" i="32"/>
  <c r="AY464" i="32"/>
  <c r="AZ464" i="32"/>
  <c r="BA464" i="32"/>
  <c r="AK465" i="32"/>
  <c r="AL465" i="32"/>
  <c r="AM465" i="32"/>
  <c r="AN465" i="32"/>
  <c r="AO465" i="32"/>
  <c r="AP465" i="32"/>
  <c r="AQ465" i="32"/>
  <c r="Q465" i="32"/>
  <c r="AR465" i="32"/>
  <c r="AS465" i="32"/>
  <c r="AT465" i="32"/>
  <c r="AU465" i="32"/>
  <c r="AV465" i="32"/>
  <c r="AW465" i="32"/>
  <c r="AX465" i="32"/>
  <c r="AY465" i="32"/>
  <c r="AZ465" i="32"/>
  <c r="BA465" i="32"/>
  <c r="AK466" i="32"/>
  <c r="AL466" i="32"/>
  <c r="AM466" i="32"/>
  <c r="AN466" i="32"/>
  <c r="AO466" i="32"/>
  <c r="AP466" i="32"/>
  <c r="AQ466" i="32"/>
  <c r="Q466" i="32"/>
  <c r="AR466" i="32"/>
  <c r="AS466" i="32"/>
  <c r="AT466" i="32"/>
  <c r="AU466" i="32"/>
  <c r="AV466" i="32"/>
  <c r="AW466" i="32"/>
  <c r="AX466" i="32"/>
  <c r="AY466" i="32"/>
  <c r="AZ466" i="32"/>
  <c r="BA466" i="32"/>
  <c r="AK467" i="32"/>
  <c r="AL467" i="32"/>
  <c r="AM467" i="32"/>
  <c r="AN467" i="32"/>
  <c r="AO467" i="32"/>
  <c r="AP467" i="32"/>
  <c r="AQ467" i="32"/>
  <c r="Q467" i="32"/>
  <c r="AR467" i="32"/>
  <c r="AS467" i="32"/>
  <c r="AT467" i="32"/>
  <c r="AU467" i="32"/>
  <c r="AV467" i="32"/>
  <c r="AW467" i="32"/>
  <c r="AX467" i="32"/>
  <c r="AY467" i="32"/>
  <c r="AZ467" i="32"/>
  <c r="BA467" i="32"/>
  <c r="AK468" i="32"/>
  <c r="AL468" i="32"/>
  <c r="AM468" i="32"/>
  <c r="AN468" i="32"/>
  <c r="AO468" i="32"/>
  <c r="AP468" i="32"/>
  <c r="AQ468" i="32"/>
  <c r="Q468" i="32"/>
  <c r="AR468" i="32"/>
  <c r="AS468" i="32"/>
  <c r="AT468" i="32"/>
  <c r="AU468" i="32"/>
  <c r="AV468" i="32"/>
  <c r="AW468" i="32"/>
  <c r="AX468" i="32"/>
  <c r="AY468" i="32"/>
  <c r="AZ468" i="32"/>
  <c r="BA468" i="32"/>
  <c r="AK469" i="32"/>
  <c r="AL469" i="32"/>
  <c r="AM469" i="32"/>
  <c r="AN469" i="32"/>
  <c r="AO469" i="32"/>
  <c r="AP469" i="32"/>
  <c r="AQ469" i="32"/>
  <c r="Q469" i="32"/>
  <c r="AR469" i="32"/>
  <c r="AS469" i="32"/>
  <c r="AT469" i="32"/>
  <c r="AU469" i="32"/>
  <c r="AV469" i="32"/>
  <c r="AW469" i="32"/>
  <c r="AX469" i="32"/>
  <c r="AY469" i="32"/>
  <c r="AZ469" i="32"/>
  <c r="BA469" i="32"/>
  <c r="AK470" i="32"/>
  <c r="AL470" i="32"/>
  <c r="AM470" i="32"/>
  <c r="AN470" i="32"/>
  <c r="AO470" i="32"/>
  <c r="AP470" i="32"/>
  <c r="AQ470" i="32"/>
  <c r="Q470" i="32"/>
  <c r="AR470" i="32"/>
  <c r="AS470" i="32"/>
  <c r="AT470" i="32"/>
  <c r="AU470" i="32"/>
  <c r="AV470" i="32"/>
  <c r="AW470" i="32"/>
  <c r="AX470" i="32"/>
  <c r="AY470" i="32"/>
  <c r="AZ470" i="32"/>
  <c r="BA470" i="32"/>
  <c r="AK471" i="32"/>
  <c r="AL471" i="32"/>
  <c r="AM471" i="32"/>
  <c r="AN471" i="32"/>
  <c r="AO471" i="32"/>
  <c r="AP471" i="32"/>
  <c r="AQ471" i="32"/>
  <c r="Q471" i="32"/>
  <c r="AR471" i="32"/>
  <c r="AS471" i="32"/>
  <c r="AT471" i="32"/>
  <c r="AU471" i="32"/>
  <c r="AV471" i="32"/>
  <c r="AW471" i="32"/>
  <c r="AX471" i="32"/>
  <c r="AY471" i="32"/>
  <c r="AZ471" i="32"/>
  <c r="BA471" i="32"/>
  <c r="AK472" i="32"/>
  <c r="AL472" i="32"/>
  <c r="AM472" i="32"/>
  <c r="AN472" i="32"/>
  <c r="AO472" i="32"/>
  <c r="AP472" i="32"/>
  <c r="AQ472" i="32"/>
  <c r="Q472" i="32"/>
  <c r="AR472" i="32"/>
  <c r="AS472" i="32"/>
  <c r="AT472" i="32"/>
  <c r="AU472" i="32"/>
  <c r="AV472" i="32"/>
  <c r="AW472" i="32"/>
  <c r="AX472" i="32"/>
  <c r="AY472" i="32"/>
  <c r="AZ472" i="32"/>
  <c r="BA472" i="32"/>
  <c r="AK473" i="32"/>
  <c r="AL473" i="32"/>
  <c r="AM473" i="32"/>
  <c r="AN473" i="32"/>
  <c r="AO473" i="32"/>
  <c r="AP473" i="32"/>
  <c r="AQ473" i="32"/>
  <c r="Q473" i="32"/>
  <c r="AR473" i="32"/>
  <c r="AS473" i="32"/>
  <c r="AT473" i="32"/>
  <c r="AU473" i="32"/>
  <c r="AV473" i="32"/>
  <c r="AW473" i="32"/>
  <c r="AX473" i="32"/>
  <c r="AY473" i="32"/>
  <c r="AZ473" i="32"/>
  <c r="BA473" i="32"/>
  <c r="AK474" i="32"/>
  <c r="AL474" i="32"/>
  <c r="AM474" i="32"/>
  <c r="AN474" i="32"/>
  <c r="AO474" i="32"/>
  <c r="AP474" i="32"/>
  <c r="AQ474" i="32"/>
  <c r="Q474" i="32"/>
  <c r="AR474" i="32"/>
  <c r="AS474" i="32"/>
  <c r="AT474" i="32"/>
  <c r="AU474" i="32"/>
  <c r="AV474" i="32"/>
  <c r="AW474" i="32"/>
  <c r="AX474" i="32"/>
  <c r="AY474" i="32"/>
  <c r="AZ474" i="32"/>
  <c r="BA474" i="32"/>
  <c r="AK475" i="32"/>
  <c r="AL475" i="32"/>
  <c r="AM475" i="32"/>
  <c r="AN475" i="32"/>
  <c r="AO475" i="32"/>
  <c r="AP475" i="32"/>
  <c r="AQ475" i="32"/>
  <c r="Q475" i="32"/>
  <c r="AR475" i="32"/>
  <c r="AS475" i="32"/>
  <c r="AT475" i="32"/>
  <c r="AU475" i="32"/>
  <c r="AV475" i="32"/>
  <c r="AW475" i="32"/>
  <c r="AX475" i="32"/>
  <c r="AY475" i="32"/>
  <c r="AZ475" i="32"/>
  <c r="BA475" i="32"/>
  <c r="AK476" i="32"/>
  <c r="AL476" i="32"/>
  <c r="AM476" i="32"/>
  <c r="AN476" i="32"/>
  <c r="AO476" i="32"/>
  <c r="AP476" i="32"/>
  <c r="AQ476" i="32"/>
  <c r="Q476" i="32"/>
  <c r="AR476" i="32"/>
  <c r="AS476" i="32"/>
  <c r="AT476" i="32"/>
  <c r="AU476" i="32"/>
  <c r="AV476" i="32"/>
  <c r="AW476" i="32"/>
  <c r="AX476" i="32"/>
  <c r="AY476" i="32"/>
  <c r="AZ476" i="32"/>
  <c r="BA476" i="32"/>
  <c r="AK477" i="32"/>
  <c r="AL477" i="32"/>
  <c r="AM477" i="32"/>
  <c r="AN477" i="32"/>
  <c r="AO477" i="32"/>
  <c r="AP477" i="32"/>
  <c r="AQ477" i="32"/>
  <c r="Q477" i="32"/>
  <c r="AR477" i="32"/>
  <c r="AS477" i="32"/>
  <c r="AT477" i="32"/>
  <c r="AU477" i="32"/>
  <c r="AV477" i="32"/>
  <c r="AW477" i="32"/>
  <c r="AX477" i="32"/>
  <c r="AY477" i="32"/>
  <c r="AZ477" i="32"/>
  <c r="BA477" i="32"/>
  <c r="AK478" i="32"/>
  <c r="AL478" i="32"/>
  <c r="AM478" i="32"/>
  <c r="AN478" i="32"/>
  <c r="AO478" i="32"/>
  <c r="AP478" i="32"/>
  <c r="AQ478" i="32"/>
  <c r="Q478" i="32"/>
  <c r="AR478" i="32"/>
  <c r="AS478" i="32"/>
  <c r="AT478" i="32"/>
  <c r="AU478" i="32"/>
  <c r="AV478" i="32"/>
  <c r="AW478" i="32"/>
  <c r="AX478" i="32"/>
  <c r="AY478" i="32"/>
  <c r="AZ478" i="32"/>
  <c r="BA478" i="32"/>
  <c r="AK479" i="32"/>
  <c r="AL479" i="32"/>
  <c r="AM479" i="32"/>
  <c r="AN479" i="32"/>
  <c r="AO479" i="32"/>
  <c r="AP479" i="32"/>
  <c r="AQ479" i="32"/>
  <c r="Q479" i="32"/>
  <c r="AR479" i="32"/>
  <c r="AS479" i="32"/>
  <c r="AT479" i="32"/>
  <c r="AU479" i="32"/>
  <c r="AV479" i="32"/>
  <c r="AW479" i="32"/>
  <c r="AX479" i="32"/>
  <c r="AY479" i="32"/>
  <c r="AZ479" i="32"/>
  <c r="BA479" i="32"/>
  <c r="AK480" i="32"/>
  <c r="AL480" i="32"/>
  <c r="AM480" i="32"/>
  <c r="AN480" i="32"/>
  <c r="AO480" i="32"/>
  <c r="AP480" i="32"/>
  <c r="AQ480" i="32"/>
  <c r="Q480" i="32"/>
  <c r="AR480" i="32"/>
  <c r="AS480" i="32"/>
  <c r="AT480" i="32"/>
  <c r="AU480" i="32"/>
  <c r="AV480" i="32"/>
  <c r="AW480" i="32"/>
  <c r="AX480" i="32"/>
  <c r="AY480" i="32"/>
  <c r="AZ480" i="32"/>
  <c r="BA480" i="32"/>
  <c r="AK481" i="32"/>
  <c r="AL481" i="32"/>
  <c r="AM481" i="32"/>
  <c r="AN481" i="32"/>
  <c r="AO481" i="32"/>
  <c r="AP481" i="32"/>
  <c r="AQ481" i="32"/>
  <c r="Q481" i="32"/>
  <c r="AR481" i="32"/>
  <c r="AS481" i="32"/>
  <c r="AT481" i="32"/>
  <c r="AU481" i="32"/>
  <c r="AV481" i="32"/>
  <c r="AW481" i="32"/>
  <c r="AX481" i="32"/>
  <c r="AY481" i="32"/>
  <c r="AZ481" i="32"/>
  <c r="BA481" i="32"/>
  <c r="AK482" i="32"/>
  <c r="AL482" i="32"/>
  <c r="AM482" i="32"/>
  <c r="AN482" i="32"/>
  <c r="AO482" i="32"/>
  <c r="AP482" i="32"/>
  <c r="AQ482" i="32"/>
  <c r="Q482" i="32"/>
  <c r="AR482" i="32"/>
  <c r="AS482" i="32"/>
  <c r="AT482" i="32"/>
  <c r="AU482" i="32"/>
  <c r="AV482" i="32"/>
  <c r="AW482" i="32"/>
  <c r="AX482" i="32"/>
  <c r="AY482" i="32"/>
  <c r="AZ482" i="32"/>
  <c r="BA482" i="32"/>
  <c r="AK483" i="32"/>
  <c r="AL483" i="32"/>
  <c r="AM483" i="32"/>
  <c r="AN483" i="32"/>
  <c r="AO483" i="32"/>
  <c r="AP483" i="32"/>
  <c r="AQ483" i="32"/>
  <c r="Q483" i="32"/>
  <c r="AR483" i="32"/>
  <c r="AS483" i="32"/>
  <c r="AT483" i="32"/>
  <c r="AU483" i="32"/>
  <c r="AV483" i="32"/>
  <c r="AW483" i="32"/>
  <c r="AX483" i="32"/>
  <c r="AY483" i="32"/>
  <c r="AZ483" i="32"/>
  <c r="BA483" i="32"/>
  <c r="AK484" i="32"/>
  <c r="AL484" i="32"/>
  <c r="AM484" i="32"/>
  <c r="AN484" i="32"/>
  <c r="AO484" i="32"/>
  <c r="AP484" i="32"/>
  <c r="AQ484" i="32"/>
  <c r="Q484" i="32"/>
  <c r="AR484" i="32"/>
  <c r="AS484" i="32"/>
  <c r="AT484" i="32"/>
  <c r="AU484" i="32"/>
  <c r="AV484" i="32"/>
  <c r="AW484" i="32"/>
  <c r="AX484" i="32"/>
  <c r="AY484" i="32"/>
  <c r="AZ484" i="32"/>
  <c r="BA484" i="32"/>
  <c r="AK485" i="32"/>
  <c r="AL485" i="32"/>
  <c r="AM485" i="32"/>
  <c r="AN485" i="32"/>
  <c r="AO485" i="32"/>
  <c r="AP485" i="32"/>
  <c r="AQ485" i="32"/>
  <c r="Q485" i="32"/>
  <c r="AR485" i="32"/>
  <c r="AS485" i="32"/>
  <c r="AT485" i="32"/>
  <c r="AU485" i="32"/>
  <c r="AV485" i="32"/>
  <c r="AW485" i="32"/>
  <c r="AX485" i="32"/>
  <c r="AY485" i="32"/>
  <c r="AZ485" i="32"/>
  <c r="BA485" i="32"/>
  <c r="AK486" i="32"/>
  <c r="AL486" i="32"/>
  <c r="AM486" i="32"/>
  <c r="AN486" i="32"/>
  <c r="AO486" i="32"/>
  <c r="AP486" i="32"/>
  <c r="AQ486" i="32"/>
  <c r="Q486" i="32"/>
  <c r="AR486" i="32"/>
  <c r="AS486" i="32"/>
  <c r="AT486" i="32"/>
  <c r="AU486" i="32"/>
  <c r="AV486" i="32"/>
  <c r="AW486" i="32"/>
  <c r="AX486" i="32"/>
  <c r="AY486" i="32"/>
  <c r="AZ486" i="32"/>
  <c r="BA486" i="32"/>
  <c r="AK487" i="32"/>
  <c r="AL487" i="32"/>
  <c r="AM487" i="32"/>
  <c r="AN487" i="32"/>
  <c r="AO487" i="32"/>
  <c r="AP487" i="32"/>
  <c r="AQ487" i="32"/>
  <c r="Q487" i="32"/>
  <c r="AR487" i="32"/>
  <c r="AS487" i="32"/>
  <c r="AT487" i="32"/>
  <c r="AU487" i="32"/>
  <c r="AV487" i="32"/>
  <c r="AW487" i="32"/>
  <c r="AX487" i="32"/>
  <c r="AY487" i="32"/>
  <c r="AZ487" i="32"/>
  <c r="BA487" i="32"/>
  <c r="AK488" i="32"/>
  <c r="AL488" i="32"/>
  <c r="AM488" i="32"/>
  <c r="AN488" i="32"/>
  <c r="AO488" i="32"/>
  <c r="AP488" i="32"/>
  <c r="AQ488" i="32"/>
  <c r="Q488" i="32"/>
  <c r="AR488" i="32"/>
  <c r="AS488" i="32"/>
  <c r="AT488" i="32"/>
  <c r="AU488" i="32"/>
  <c r="AV488" i="32"/>
  <c r="AW488" i="32"/>
  <c r="AX488" i="32"/>
  <c r="AY488" i="32"/>
  <c r="AZ488" i="32"/>
  <c r="BA488" i="32"/>
  <c r="AK489" i="32"/>
  <c r="AL489" i="32"/>
  <c r="AM489" i="32"/>
  <c r="AN489" i="32"/>
  <c r="AO489" i="32"/>
  <c r="AP489" i="32"/>
  <c r="AQ489" i="32"/>
  <c r="Q489" i="32"/>
  <c r="AR489" i="32"/>
  <c r="AS489" i="32"/>
  <c r="AT489" i="32"/>
  <c r="AU489" i="32"/>
  <c r="AV489" i="32"/>
  <c r="AW489" i="32"/>
  <c r="AX489" i="32"/>
  <c r="AY489" i="32"/>
  <c r="AZ489" i="32"/>
  <c r="BA489" i="32"/>
  <c r="AK490" i="32"/>
  <c r="AL490" i="32"/>
  <c r="AM490" i="32"/>
  <c r="AN490" i="32"/>
  <c r="AO490" i="32"/>
  <c r="AP490" i="32"/>
  <c r="AQ490" i="32"/>
  <c r="Q490" i="32"/>
  <c r="AR490" i="32"/>
  <c r="AS490" i="32"/>
  <c r="AT490" i="32"/>
  <c r="AU490" i="32"/>
  <c r="AV490" i="32"/>
  <c r="AW490" i="32"/>
  <c r="AX490" i="32"/>
  <c r="AY490" i="32"/>
  <c r="AZ490" i="32"/>
  <c r="BA490" i="32"/>
  <c r="AK491" i="32"/>
  <c r="AL491" i="32"/>
  <c r="AM491" i="32"/>
  <c r="AN491" i="32"/>
  <c r="AO491" i="32"/>
  <c r="AP491" i="32"/>
  <c r="AQ491" i="32"/>
  <c r="Q491" i="32"/>
  <c r="AR491" i="32"/>
  <c r="AS491" i="32"/>
  <c r="AT491" i="32"/>
  <c r="AU491" i="32"/>
  <c r="AV491" i="32"/>
  <c r="AW491" i="32"/>
  <c r="AX491" i="32"/>
  <c r="AY491" i="32"/>
  <c r="AZ491" i="32"/>
  <c r="BA491" i="32"/>
  <c r="AK492" i="32"/>
  <c r="AL492" i="32"/>
  <c r="AM492" i="32"/>
  <c r="AN492" i="32"/>
  <c r="AO492" i="32"/>
  <c r="AP492" i="32"/>
  <c r="AQ492" i="32"/>
  <c r="Q492" i="32"/>
  <c r="AR492" i="32"/>
  <c r="AS492" i="32"/>
  <c r="AT492" i="32"/>
  <c r="AU492" i="32"/>
  <c r="AV492" i="32"/>
  <c r="AW492" i="32"/>
  <c r="AX492" i="32"/>
  <c r="AY492" i="32"/>
  <c r="AZ492" i="32"/>
  <c r="BA492" i="32"/>
  <c r="AK493" i="32"/>
  <c r="AL493" i="32"/>
  <c r="AM493" i="32"/>
  <c r="AN493" i="32"/>
  <c r="AO493" i="32"/>
  <c r="AP493" i="32"/>
  <c r="AQ493" i="32"/>
  <c r="Q493" i="32"/>
  <c r="AR493" i="32"/>
  <c r="AS493" i="32"/>
  <c r="AT493" i="32"/>
  <c r="AU493" i="32"/>
  <c r="AV493" i="32"/>
  <c r="AW493" i="32"/>
  <c r="AX493" i="32"/>
  <c r="AY493" i="32"/>
  <c r="AZ493" i="32"/>
  <c r="BA493" i="32"/>
  <c r="AK494" i="32"/>
  <c r="AL494" i="32"/>
  <c r="AM494" i="32"/>
  <c r="AN494" i="32"/>
  <c r="AO494" i="32"/>
  <c r="AP494" i="32"/>
  <c r="AQ494" i="32"/>
  <c r="Q494" i="32"/>
  <c r="AR494" i="32"/>
  <c r="AS494" i="32"/>
  <c r="AT494" i="32"/>
  <c r="AU494" i="32"/>
  <c r="AV494" i="32"/>
  <c r="AW494" i="32"/>
  <c r="AX494" i="32"/>
  <c r="AY494" i="32"/>
  <c r="AZ494" i="32"/>
  <c r="BA494" i="32"/>
  <c r="AK495" i="32"/>
  <c r="AL495" i="32"/>
  <c r="AM495" i="32"/>
  <c r="AN495" i="32"/>
  <c r="AO495" i="32"/>
  <c r="AP495" i="32"/>
  <c r="AQ495" i="32"/>
  <c r="Q495" i="32"/>
  <c r="AR495" i="32"/>
  <c r="AS495" i="32"/>
  <c r="AT495" i="32"/>
  <c r="AU495" i="32"/>
  <c r="AV495" i="32"/>
  <c r="AW495" i="32"/>
  <c r="AX495" i="32"/>
  <c r="AY495" i="32"/>
  <c r="AZ495" i="32"/>
  <c r="BA495" i="32"/>
  <c r="AK496" i="32"/>
  <c r="AL496" i="32"/>
  <c r="AM496" i="32"/>
  <c r="AN496" i="32"/>
  <c r="AO496" i="32"/>
  <c r="AP496" i="32"/>
  <c r="AQ496" i="32"/>
  <c r="Q496" i="32"/>
  <c r="AR496" i="32"/>
  <c r="AS496" i="32"/>
  <c r="AT496" i="32"/>
  <c r="AU496" i="32"/>
  <c r="AV496" i="32"/>
  <c r="AW496" i="32"/>
  <c r="AX496" i="32"/>
  <c r="AY496" i="32"/>
  <c r="AZ496" i="32"/>
  <c r="BA496" i="32"/>
  <c r="AK497" i="32"/>
  <c r="AL497" i="32"/>
  <c r="AM497" i="32"/>
  <c r="AN497" i="32"/>
  <c r="AO497" i="32"/>
  <c r="AP497" i="32"/>
  <c r="AQ497" i="32"/>
  <c r="Q497" i="32"/>
  <c r="AR497" i="32"/>
  <c r="AS497" i="32"/>
  <c r="AT497" i="32"/>
  <c r="AU497" i="32"/>
  <c r="AV497" i="32"/>
  <c r="AW497" i="32"/>
  <c r="AX497" i="32"/>
  <c r="AY497" i="32"/>
  <c r="AZ497" i="32"/>
  <c r="BA497" i="32"/>
  <c r="AK498" i="32"/>
  <c r="AL498" i="32"/>
  <c r="AM498" i="32"/>
  <c r="AN498" i="32"/>
  <c r="AO498" i="32"/>
  <c r="AP498" i="32"/>
  <c r="AQ498" i="32"/>
  <c r="Q498" i="32"/>
  <c r="AR498" i="32"/>
  <c r="AS498" i="32"/>
  <c r="AT498" i="32"/>
  <c r="AU498" i="32"/>
  <c r="AV498" i="32"/>
  <c r="AW498" i="32"/>
  <c r="AX498" i="32"/>
  <c r="AY498" i="32"/>
  <c r="AZ498" i="32"/>
  <c r="BA498" i="32"/>
  <c r="AK499" i="32"/>
  <c r="AL499" i="32"/>
  <c r="AM499" i="32"/>
  <c r="AN499" i="32"/>
  <c r="AO499" i="32"/>
  <c r="AP499" i="32"/>
  <c r="AQ499" i="32"/>
  <c r="Q499" i="32"/>
  <c r="AR499" i="32"/>
  <c r="AS499" i="32"/>
  <c r="AT499" i="32"/>
  <c r="AU499" i="32"/>
  <c r="AV499" i="32"/>
  <c r="AW499" i="32"/>
  <c r="AX499" i="32"/>
  <c r="AY499" i="32"/>
  <c r="AZ499" i="32"/>
  <c r="BA499" i="32"/>
  <c r="AK500" i="32"/>
  <c r="AL500" i="32"/>
  <c r="AM500" i="32"/>
  <c r="AN500" i="32"/>
  <c r="AO500" i="32"/>
  <c r="AP500" i="32"/>
  <c r="AQ500" i="32"/>
  <c r="Q500" i="32"/>
  <c r="AR500" i="32"/>
  <c r="AS500" i="32"/>
  <c r="AT500" i="32"/>
  <c r="AU500" i="32"/>
  <c r="AV500" i="32"/>
  <c r="AW500" i="32"/>
  <c r="AX500" i="32"/>
  <c r="AY500" i="32"/>
  <c r="AZ500" i="32"/>
  <c r="BA500" i="32"/>
  <c r="AK501" i="32"/>
  <c r="AL501" i="32"/>
  <c r="AM501" i="32"/>
  <c r="AN501" i="32"/>
  <c r="AO501" i="32"/>
  <c r="AP501" i="32"/>
  <c r="AQ501" i="32"/>
  <c r="Q501" i="32"/>
  <c r="AR501" i="32"/>
  <c r="AS501" i="32"/>
  <c r="AT501" i="32"/>
  <c r="AU501" i="32"/>
  <c r="AV501" i="32"/>
  <c r="AW501" i="32"/>
  <c r="AX501" i="32"/>
  <c r="AY501" i="32"/>
  <c r="AZ501" i="32"/>
  <c r="BA501" i="32"/>
  <c r="AK502" i="32"/>
  <c r="AL502" i="32"/>
  <c r="AM502" i="32"/>
  <c r="AN502" i="32"/>
  <c r="AO502" i="32"/>
  <c r="AP502" i="32"/>
  <c r="AQ502" i="32"/>
  <c r="Q502" i="32"/>
  <c r="AR502" i="32"/>
  <c r="AS502" i="32"/>
  <c r="AT502" i="32"/>
  <c r="AU502" i="32"/>
  <c r="AV502" i="32"/>
  <c r="AW502" i="32"/>
  <c r="AX502" i="32"/>
  <c r="AY502" i="32"/>
  <c r="AZ502" i="32"/>
  <c r="BA502" i="32"/>
  <c r="AK503" i="32"/>
  <c r="AL503" i="32"/>
  <c r="AM503" i="32"/>
  <c r="AN503" i="32"/>
  <c r="AO503" i="32"/>
  <c r="AP503" i="32"/>
  <c r="AQ503" i="32"/>
  <c r="Q503" i="32"/>
  <c r="AR503" i="32"/>
  <c r="AS503" i="32"/>
  <c r="AT503" i="32"/>
  <c r="AU503" i="32"/>
  <c r="AV503" i="32"/>
  <c r="AW503" i="32"/>
  <c r="AX503" i="32"/>
  <c r="AY503" i="32"/>
  <c r="AZ503" i="32"/>
  <c r="BA503" i="32"/>
  <c r="AK504" i="32"/>
  <c r="AL504" i="32"/>
  <c r="AM504" i="32"/>
  <c r="AN504" i="32"/>
  <c r="AO504" i="32"/>
  <c r="AP504" i="32"/>
  <c r="AQ504" i="32"/>
  <c r="Q504" i="32"/>
  <c r="AR504" i="32"/>
  <c r="AS504" i="32"/>
  <c r="AT504" i="32"/>
  <c r="AU504" i="32"/>
  <c r="AV504" i="32"/>
  <c r="AW504" i="32"/>
  <c r="AX504" i="32"/>
  <c r="AY504" i="32"/>
  <c r="AZ504" i="32"/>
  <c r="BA504" i="32"/>
  <c r="AK505" i="32"/>
  <c r="AL505" i="32"/>
  <c r="AM505" i="32"/>
  <c r="AN505" i="32"/>
  <c r="AO505" i="32"/>
  <c r="AP505" i="32"/>
  <c r="AQ505" i="32"/>
  <c r="Q505" i="32"/>
  <c r="AR505" i="32"/>
  <c r="AS505" i="32"/>
  <c r="AT505" i="32"/>
  <c r="AU505" i="32"/>
  <c r="AV505" i="32"/>
  <c r="AW505" i="32"/>
  <c r="AX505" i="32"/>
  <c r="AY505" i="32"/>
  <c r="AZ505" i="32"/>
  <c r="BA505" i="32"/>
  <c r="AK506" i="32"/>
  <c r="AL506" i="32"/>
  <c r="AM506" i="32"/>
  <c r="AN506" i="32"/>
  <c r="AO506" i="32"/>
  <c r="AP506" i="32"/>
  <c r="AQ506" i="32"/>
  <c r="Q506" i="32"/>
  <c r="AR506" i="32"/>
  <c r="AS506" i="32"/>
  <c r="AT506" i="32"/>
  <c r="AU506" i="32"/>
  <c r="AV506" i="32"/>
  <c r="AW506" i="32"/>
  <c r="AX506" i="32"/>
  <c r="AY506" i="32"/>
  <c r="AZ506" i="32"/>
  <c r="BA506" i="32"/>
  <c r="AK507" i="32"/>
  <c r="AL507" i="32"/>
  <c r="AM507" i="32"/>
  <c r="AN507" i="32"/>
  <c r="AO507" i="32"/>
  <c r="AP507" i="32"/>
  <c r="AQ507" i="32"/>
  <c r="Q507" i="32"/>
  <c r="AR507" i="32"/>
  <c r="AS507" i="32"/>
  <c r="AT507" i="32"/>
  <c r="AU507" i="32"/>
  <c r="AV507" i="32"/>
  <c r="AW507" i="32"/>
  <c r="AX507" i="32"/>
  <c r="AY507" i="32"/>
  <c r="AZ507" i="32"/>
  <c r="BA507" i="32"/>
  <c r="AK508" i="32"/>
  <c r="AL508" i="32"/>
  <c r="AM508" i="32"/>
  <c r="AN508" i="32"/>
  <c r="AO508" i="32"/>
  <c r="AP508" i="32"/>
  <c r="AQ508" i="32"/>
  <c r="Q508" i="32"/>
  <c r="AR508" i="32"/>
  <c r="AS508" i="32"/>
  <c r="AT508" i="32"/>
  <c r="AU508" i="32"/>
  <c r="AV508" i="32"/>
  <c r="AW508" i="32"/>
  <c r="AX508" i="32"/>
  <c r="AY508" i="32"/>
  <c r="AZ508" i="32"/>
  <c r="BA508" i="32"/>
  <c r="AK509" i="32"/>
  <c r="AL509" i="32"/>
  <c r="AM509" i="32"/>
  <c r="AN509" i="32"/>
  <c r="AO509" i="32"/>
  <c r="AP509" i="32"/>
  <c r="AQ509" i="32"/>
  <c r="Q509" i="32"/>
  <c r="AR509" i="32"/>
  <c r="AS509" i="32"/>
  <c r="AT509" i="32"/>
  <c r="AU509" i="32"/>
  <c r="AV509" i="32"/>
  <c r="AW509" i="32"/>
  <c r="AX509" i="32"/>
  <c r="AY509" i="32"/>
  <c r="AZ509" i="32"/>
  <c r="BA509" i="32"/>
  <c r="AK510" i="32"/>
  <c r="AL510" i="32"/>
  <c r="AM510" i="32"/>
  <c r="AN510" i="32"/>
  <c r="AO510" i="32"/>
  <c r="AP510" i="32"/>
  <c r="AQ510" i="32"/>
  <c r="Q510" i="32"/>
  <c r="AR510" i="32"/>
  <c r="AS510" i="32"/>
  <c r="AT510" i="32"/>
  <c r="AU510" i="32"/>
  <c r="AV510" i="32"/>
  <c r="AW510" i="32"/>
  <c r="AX510" i="32"/>
  <c r="AY510" i="32"/>
  <c r="AZ510" i="32"/>
  <c r="BA510" i="32"/>
  <c r="AK511" i="32"/>
  <c r="AL511" i="32"/>
  <c r="AM511" i="32"/>
  <c r="AN511" i="32"/>
  <c r="AO511" i="32"/>
  <c r="AP511" i="32"/>
  <c r="AQ511" i="32"/>
  <c r="Q511" i="32"/>
  <c r="AR511" i="32"/>
  <c r="AS511" i="32"/>
  <c r="AT511" i="32"/>
  <c r="AU511" i="32"/>
  <c r="AV511" i="32"/>
  <c r="AW511" i="32"/>
  <c r="AX511" i="32"/>
  <c r="AY511" i="32"/>
  <c r="AZ511" i="32"/>
  <c r="BA511" i="32"/>
  <c r="AK512" i="32"/>
  <c r="AL512" i="32"/>
  <c r="AM512" i="32"/>
  <c r="AN512" i="32"/>
  <c r="AO512" i="32"/>
  <c r="AP512" i="32"/>
  <c r="AQ512" i="32"/>
  <c r="Q512" i="32"/>
  <c r="AR512" i="32"/>
  <c r="AS512" i="32"/>
  <c r="AT512" i="32"/>
  <c r="AU512" i="32"/>
  <c r="AV512" i="32"/>
  <c r="AW512" i="32"/>
  <c r="AX512" i="32"/>
  <c r="AY512" i="32"/>
  <c r="AZ512" i="32"/>
  <c r="BA512" i="32"/>
  <c r="AK513" i="32"/>
  <c r="AL513" i="32"/>
  <c r="AM513" i="32"/>
  <c r="AN513" i="32"/>
  <c r="AO513" i="32"/>
  <c r="AP513" i="32"/>
  <c r="AQ513" i="32"/>
  <c r="Q513" i="32"/>
  <c r="AR513" i="32"/>
  <c r="AS513" i="32"/>
  <c r="AT513" i="32"/>
  <c r="AU513" i="32"/>
  <c r="AV513" i="32"/>
  <c r="AW513" i="32"/>
  <c r="AX513" i="32"/>
  <c r="AY513" i="32"/>
  <c r="AZ513" i="32"/>
  <c r="BA513" i="32"/>
  <c r="AK514" i="32"/>
  <c r="AL514" i="32"/>
  <c r="AM514" i="32"/>
  <c r="AN514" i="32"/>
  <c r="AO514" i="32"/>
  <c r="AP514" i="32"/>
  <c r="AQ514" i="32"/>
  <c r="Q514" i="32"/>
  <c r="AR514" i="32"/>
  <c r="AS514" i="32"/>
  <c r="AT514" i="32"/>
  <c r="AU514" i="32"/>
  <c r="AV514" i="32"/>
  <c r="AW514" i="32"/>
  <c r="AX514" i="32"/>
  <c r="AY514" i="32"/>
  <c r="AZ514" i="32"/>
  <c r="BA514" i="32"/>
  <c r="AK515" i="32"/>
  <c r="AL515" i="32"/>
  <c r="AM515" i="32"/>
  <c r="AN515" i="32"/>
  <c r="AO515" i="32"/>
  <c r="AP515" i="32"/>
  <c r="AQ515" i="32"/>
  <c r="Q515" i="32"/>
  <c r="AR515" i="32"/>
  <c r="AS515" i="32"/>
  <c r="AT515" i="32"/>
  <c r="AU515" i="32"/>
  <c r="AV515" i="32"/>
  <c r="AW515" i="32"/>
  <c r="AX515" i="32"/>
  <c r="AY515" i="32"/>
  <c r="AZ515" i="32"/>
  <c r="BA515" i="32"/>
  <c r="AK516" i="32"/>
  <c r="AL516" i="32"/>
  <c r="AM516" i="32"/>
  <c r="AN516" i="32"/>
  <c r="AO516" i="32"/>
  <c r="AP516" i="32"/>
  <c r="AQ516" i="32"/>
  <c r="Q516" i="32"/>
  <c r="AR516" i="32"/>
  <c r="AS516" i="32"/>
  <c r="AT516" i="32"/>
  <c r="AU516" i="32"/>
  <c r="AV516" i="32"/>
  <c r="AW516" i="32"/>
  <c r="AX516" i="32"/>
  <c r="AY516" i="32"/>
  <c r="AZ516" i="32"/>
  <c r="BA516" i="32"/>
  <c r="AK517" i="32"/>
  <c r="AL517" i="32"/>
  <c r="AM517" i="32"/>
  <c r="AN517" i="32"/>
  <c r="AO517" i="32"/>
  <c r="AP517" i="32"/>
  <c r="AQ517" i="32"/>
  <c r="Q517" i="32"/>
  <c r="AR517" i="32"/>
  <c r="AS517" i="32"/>
  <c r="AT517" i="32"/>
  <c r="AU517" i="32"/>
  <c r="AV517" i="32"/>
  <c r="AW517" i="32"/>
  <c r="AX517" i="32"/>
  <c r="AY517" i="32"/>
  <c r="AZ517" i="32"/>
  <c r="BA517" i="32"/>
  <c r="AK518" i="32"/>
  <c r="AL518" i="32"/>
  <c r="AM518" i="32"/>
  <c r="AN518" i="32"/>
  <c r="AO518" i="32"/>
  <c r="AP518" i="32"/>
  <c r="AQ518" i="32"/>
  <c r="Q518" i="32"/>
  <c r="AR518" i="32"/>
  <c r="AS518" i="32"/>
  <c r="AT518" i="32"/>
  <c r="AU518" i="32"/>
  <c r="AV518" i="32"/>
  <c r="AW518" i="32"/>
  <c r="AX518" i="32"/>
  <c r="AY518" i="32"/>
  <c r="AZ518" i="32"/>
  <c r="BA518" i="32"/>
  <c r="AK519" i="32"/>
  <c r="AL519" i="32"/>
  <c r="AM519" i="32"/>
  <c r="AN519" i="32"/>
  <c r="AO519" i="32"/>
  <c r="AP519" i="32"/>
  <c r="AQ519" i="32"/>
  <c r="Q519" i="32"/>
  <c r="AR519" i="32"/>
  <c r="AS519" i="32"/>
  <c r="AT519" i="32"/>
  <c r="AU519" i="32"/>
  <c r="AV519" i="32"/>
  <c r="AW519" i="32"/>
  <c r="AX519" i="32"/>
  <c r="AY519" i="32"/>
  <c r="AZ519" i="32"/>
  <c r="BA519" i="32"/>
  <c r="AK520" i="32"/>
  <c r="AL520" i="32"/>
  <c r="AM520" i="32"/>
  <c r="AN520" i="32"/>
  <c r="AO520" i="32"/>
  <c r="AP520" i="32"/>
  <c r="AQ520" i="32"/>
  <c r="Q520" i="32"/>
  <c r="AR520" i="32"/>
  <c r="AS520" i="32"/>
  <c r="AT520" i="32"/>
  <c r="AU520" i="32"/>
  <c r="AV520" i="32"/>
  <c r="AW520" i="32"/>
  <c r="AX520" i="32"/>
  <c r="AY520" i="32"/>
  <c r="AZ520" i="32"/>
  <c r="BA520" i="32"/>
  <c r="AK521" i="32"/>
  <c r="AL521" i="32"/>
  <c r="AM521" i="32"/>
  <c r="AN521" i="32"/>
  <c r="AO521" i="32"/>
  <c r="AP521" i="32"/>
  <c r="AQ521" i="32"/>
  <c r="Q521" i="32"/>
  <c r="AR521" i="32"/>
  <c r="AS521" i="32"/>
  <c r="AT521" i="32"/>
  <c r="AU521" i="32"/>
  <c r="AV521" i="32"/>
  <c r="AW521" i="32"/>
  <c r="AX521" i="32"/>
  <c r="AY521" i="32"/>
  <c r="AZ521" i="32"/>
  <c r="BA521" i="32"/>
  <c r="AK522" i="32"/>
  <c r="AL522" i="32"/>
  <c r="AM522" i="32"/>
  <c r="AN522" i="32"/>
  <c r="AO522" i="32"/>
  <c r="AP522" i="32"/>
  <c r="AQ522" i="32"/>
  <c r="Q522" i="32"/>
  <c r="AR522" i="32"/>
  <c r="AS522" i="32"/>
  <c r="AT522" i="32"/>
  <c r="AU522" i="32"/>
  <c r="AV522" i="32"/>
  <c r="AW522" i="32"/>
  <c r="AX522" i="32"/>
  <c r="AY522" i="32"/>
  <c r="AZ522" i="32"/>
  <c r="BA522" i="32"/>
  <c r="AK523" i="32"/>
  <c r="AL523" i="32"/>
  <c r="AM523" i="32"/>
  <c r="AN523" i="32"/>
  <c r="AO523" i="32"/>
  <c r="AP523" i="32"/>
  <c r="AQ523" i="32"/>
  <c r="Q523" i="32"/>
  <c r="AR523" i="32"/>
  <c r="AS523" i="32"/>
  <c r="AT523" i="32"/>
  <c r="AU523" i="32"/>
  <c r="AV523" i="32"/>
  <c r="AW523" i="32"/>
  <c r="AX523" i="32"/>
  <c r="AY523" i="32"/>
  <c r="AZ523" i="32"/>
  <c r="BA523" i="32"/>
  <c r="AK524" i="32"/>
  <c r="AL524" i="32"/>
  <c r="AM524" i="32"/>
  <c r="AN524" i="32"/>
  <c r="AO524" i="32"/>
  <c r="AP524" i="32"/>
  <c r="AQ524" i="32"/>
  <c r="Q524" i="32"/>
  <c r="AR524" i="32"/>
  <c r="AS524" i="32"/>
  <c r="AT524" i="32"/>
  <c r="AU524" i="32"/>
  <c r="AV524" i="32"/>
  <c r="AW524" i="32"/>
  <c r="AX524" i="32"/>
  <c r="AY524" i="32"/>
  <c r="AZ524" i="32"/>
  <c r="BA524" i="32"/>
  <c r="AK525" i="32"/>
  <c r="AL525" i="32"/>
  <c r="AM525" i="32"/>
  <c r="AN525" i="32"/>
  <c r="AO525" i="32"/>
  <c r="AP525" i="32"/>
  <c r="AQ525" i="32"/>
  <c r="Q525" i="32"/>
  <c r="AR525" i="32"/>
  <c r="AS525" i="32"/>
  <c r="AT525" i="32"/>
  <c r="AU525" i="32"/>
  <c r="AV525" i="32"/>
  <c r="AW525" i="32"/>
  <c r="AX525" i="32"/>
  <c r="AY525" i="32"/>
  <c r="AZ525" i="32"/>
  <c r="BA525" i="32"/>
  <c r="AK526" i="32"/>
  <c r="AL526" i="32"/>
  <c r="AM526" i="32"/>
  <c r="AN526" i="32"/>
  <c r="AO526" i="32"/>
  <c r="AP526" i="32"/>
  <c r="AQ526" i="32"/>
  <c r="Q526" i="32"/>
  <c r="AR526" i="32"/>
  <c r="AS526" i="32"/>
  <c r="AT526" i="32"/>
  <c r="AU526" i="32"/>
  <c r="AV526" i="32"/>
  <c r="AW526" i="32"/>
  <c r="AX526" i="32"/>
  <c r="AY526" i="32"/>
  <c r="AZ526" i="32"/>
  <c r="BA526" i="32"/>
  <c r="AK527" i="32"/>
  <c r="AL527" i="32"/>
  <c r="AM527" i="32"/>
  <c r="AN527" i="32"/>
  <c r="AO527" i="32"/>
  <c r="AP527" i="32"/>
  <c r="AQ527" i="32"/>
  <c r="Q527" i="32"/>
  <c r="AR527" i="32"/>
  <c r="AS527" i="32"/>
  <c r="AT527" i="32"/>
  <c r="AU527" i="32"/>
  <c r="AV527" i="32"/>
  <c r="AW527" i="32"/>
  <c r="AX527" i="32"/>
  <c r="AY527" i="32"/>
  <c r="AZ527" i="32"/>
  <c r="BA527" i="32"/>
  <c r="AK528" i="32"/>
  <c r="AL528" i="32"/>
  <c r="AM528" i="32"/>
  <c r="AN528" i="32"/>
  <c r="AO528" i="32"/>
  <c r="AP528" i="32"/>
  <c r="AQ528" i="32"/>
  <c r="Q528" i="32"/>
  <c r="AR528" i="32"/>
  <c r="AS528" i="32"/>
  <c r="AT528" i="32"/>
  <c r="AU528" i="32"/>
  <c r="AV528" i="32"/>
  <c r="AW528" i="32"/>
  <c r="AX528" i="32"/>
  <c r="AY528" i="32"/>
  <c r="AZ528" i="32"/>
  <c r="BA528" i="32"/>
  <c r="AK529" i="32"/>
  <c r="AL529" i="32"/>
  <c r="AM529" i="32"/>
  <c r="AN529" i="32"/>
  <c r="AO529" i="32"/>
  <c r="AP529" i="32"/>
  <c r="AQ529" i="32"/>
  <c r="Q529" i="32"/>
  <c r="AR529" i="32"/>
  <c r="AS529" i="32"/>
  <c r="AT529" i="32"/>
  <c r="AU529" i="32"/>
  <c r="AV529" i="32"/>
  <c r="AW529" i="32"/>
  <c r="AX529" i="32"/>
  <c r="AY529" i="32"/>
  <c r="AZ529" i="32"/>
  <c r="BA529" i="32"/>
  <c r="AK530" i="32"/>
  <c r="AL530" i="32"/>
  <c r="AM530" i="32"/>
  <c r="AN530" i="32"/>
  <c r="AO530" i="32"/>
  <c r="AP530" i="32"/>
  <c r="AQ530" i="32"/>
  <c r="Q530" i="32"/>
  <c r="AR530" i="32"/>
  <c r="AS530" i="32"/>
  <c r="AT530" i="32"/>
  <c r="AU530" i="32"/>
  <c r="AV530" i="32"/>
  <c r="AW530" i="32"/>
  <c r="AX530" i="32"/>
  <c r="AY530" i="32"/>
  <c r="AZ530" i="32"/>
  <c r="BA530" i="32"/>
  <c r="AK531" i="32"/>
  <c r="AL531" i="32"/>
  <c r="AM531" i="32"/>
  <c r="AN531" i="32"/>
  <c r="AO531" i="32"/>
  <c r="AP531" i="32"/>
  <c r="AQ531" i="32"/>
  <c r="Q531" i="32"/>
  <c r="AR531" i="32"/>
  <c r="AS531" i="32"/>
  <c r="AT531" i="32"/>
  <c r="AU531" i="32"/>
  <c r="AV531" i="32"/>
  <c r="AW531" i="32"/>
  <c r="AX531" i="32"/>
  <c r="AY531" i="32"/>
  <c r="AZ531" i="32"/>
  <c r="BA531" i="32"/>
  <c r="AK532" i="32"/>
  <c r="AL532" i="32"/>
  <c r="AM532" i="32"/>
  <c r="AN532" i="32"/>
  <c r="AO532" i="32"/>
  <c r="AP532" i="32"/>
  <c r="AQ532" i="32"/>
  <c r="Q532" i="32"/>
  <c r="AR532" i="32"/>
  <c r="AS532" i="32"/>
  <c r="AT532" i="32"/>
  <c r="AU532" i="32"/>
  <c r="AV532" i="32"/>
  <c r="AW532" i="32"/>
  <c r="AX532" i="32"/>
  <c r="AY532" i="32"/>
  <c r="AZ532" i="32"/>
  <c r="BA532" i="32"/>
  <c r="AK533" i="32"/>
  <c r="AL533" i="32"/>
  <c r="AM533" i="32"/>
  <c r="AN533" i="32"/>
  <c r="AO533" i="32"/>
  <c r="AP533" i="32"/>
  <c r="AQ533" i="32"/>
  <c r="Q533" i="32"/>
  <c r="AR533" i="32"/>
  <c r="AS533" i="32"/>
  <c r="AT533" i="32"/>
  <c r="AU533" i="32"/>
  <c r="AV533" i="32"/>
  <c r="AW533" i="32"/>
  <c r="AX533" i="32"/>
  <c r="AY533" i="32"/>
  <c r="AZ533" i="32"/>
  <c r="BA533" i="32"/>
  <c r="AK534" i="32"/>
  <c r="AL534" i="32"/>
  <c r="AM534" i="32"/>
  <c r="AN534" i="32"/>
  <c r="AO534" i="32"/>
  <c r="AP534" i="32"/>
  <c r="AQ534" i="32"/>
  <c r="Q534" i="32"/>
  <c r="AR534" i="32"/>
  <c r="AS534" i="32"/>
  <c r="AT534" i="32"/>
  <c r="AU534" i="32"/>
  <c r="AV534" i="32"/>
  <c r="AW534" i="32"/>
  <c r="AX534" i="32"/>
  <c r="AY534" i="32"/>
  <c r="AZ534" i="32"/>
  <c r="BA534" i="32"/>
  <c r="AK535" i="32"/>
  <c r="AL535" i="32"/>
  <c r="AM535" i="32"/>
  <c r="AN535" i="32"/>
  <c r="AO535" i="32"/>
  <c r="AP535" i="32"/>
  <c r="AQ535" i="32"/>
  <c r="Q535" i="32"/>
  <c r="AR535" i="32"/>
  <c r="AS535" i="32"/>
  <c r="AT535" i="32"/>
  <c r="AU535" i="32"/>
  <c r="AV535" i="32"/>
  <c r="AW535" i="32"/>
  <c r="AX535" i="32"/>
  <c r="AY535" i="32"/>
  <c r="AZ535" i="32"/>
  <c r="BA535" i="32"/>
  <c r="AK536" i="32"/>
  <c r="AL536" i="32"/>
  <c r="AM536" i="32"/>
  <c r="AN536" i="32"/>
  <c r="AO536" i="32"/>
  <c r="AP536" i="32"/>
  <c r="AQ536" i="32"/>
  <c r="Q536" i="32"/>
  <c r="AR536" i="32"/>
  <c r="AS536" i="32"/>
  <c r="AT536" i="32"/>
  <c r="AU536" i="32"/>
  <c r="AV536" i="32"/>
  <c r="AW536" i="32"/>
  <c r="AX536" i="32"/>
  <c r="AY536" i="32"/>
  <c r="AZ536" i="32"/>
  <c r="BA536" i="32"/>
  <c r="AK537" i="32"/>
  <c r="AL537" i="32"/>
  <c r="AM537" i="32"/>
  <c r="AN537" i="32"/>
  <c r="AO537" i="32"/>
  <c r="AP537" i="32"/>
  <c r="AQ537" i="32"/>
  <c r="Q537" i="32"/>
  <c r="AR537" i="32"/>
  <c r="AS537" i="32"/>
  <c r="AT537" i="32"/>
  <c r="AU537" i="32"/>
  <c r="AV537" i="32"/>
  <c r="AW537" i="32"/>
  <c r="AX537" i="32"/>
  <c r="AY537" i="32"/>
  <c r="AZ537" i="32"/>
  <c r="BA537" i="32"/>
  <c r="AK538" i="32"/>
  <c r="AL538" i="32"/>
  <c r="AM538" i="32"/>
  <c r="AN538" i="32"/>
  <c r="AO538" i="32"/>
  <c r="AP538" i="32"/>
  <c r="AQ538" i="32"/>
  <c r="Q538" i="32"/>
  <c r="AR538" i="32"/>
  <c r="AS538" i="32"/>
  <c r="AT538" i="32"/>
  <c r="AU538" i="32"/>
  <c r="AV538" i="32"/>
  <c r="AW538" i="32"/>
  <c r="AX538" i="32"/>
  <c r="AY538" i="32"/>
  <c r="AZ538" i="32"/>
  <c r="BA538" i="32"/>
  <c r="AK539" i="32"/>
  <c r="AL539" i="32"/>
  <c r="AM539" i="32"/>
  <c r="AN539" i="32"/>
  <c r="AO539" i="32"/>
  <c r="AP539" i="32"/>
  <c r="AQ539" i="32"/>
  <c r="Q539" i="32"/>
  <c r="AR539" i="32"/>
  <c r="AS539" i="32"/>
  <c r="AT539" i="32"/>
  <c r="AU539" i="32"/>
  <c r="AV539" i="32"/>
  <c r="AW539" i="32"/>
  <c r="AX539" i="32"/>
  <c r="AY539" i="32"/>
  <c r="AZ539" i="32"/>
  <c r="BA539" i="32"/>
  <c r="AK540" i="32"/>
  <c r="AL540" i="32"/>
  <c r="AM540" i="32"/>
  <c r="AN540" i="32"/>
  <c r="AO540" i="32"/>
  <c r="AP540" i="32"/>
  <c r="AQ540" i="32"/>
  <c r="Q540" i="32"/>
  <c r="AR540" i="32"/>
  <c r="AS540" i="32"/>
  <c r="AT540" i="32"/>
  <c r="AU540" i="32"/>
  <c r="AV540" i="32"/>
  <c r="AW540" i="32"/>
  <c r="AX540" i="32"/>
  <c r="AY540" i="32"/>
  <c r="AZ540" i="32"/>
  <c r="BA540" i="32"/>
  <c r="AK541" i="32"/>
  <c r="AL541" i="32"/>
  <c r="AM541" i="32"/>
  <c r="AN541" i="32"/>
  <c r="AO541" i="32"/>
  <c r="AP541" i="32"/>
  <c r="AQ541" i="32"/>
  <c r="Q541" i="32"/>
  <c r="AR541" i="32"/>
  <c r="AS541" i="32"/>
  <c r="AT541" i="32"/>
  <c r="AU541" i="32"/>
  <c r="AV541" i="32"/>
  <c r="AW541" i="32"/>
  <c r="AX541" i="32"/>
  <c r="AY541" i="32"/>
  <c r="AZ541" i="32"/>
  <c r="BA541" i="32"/>
  <c r="AK542" i="32"/>
  <c r="AL542" i="32"/>
  <c r="AM542" i="32"/>
  <c r="AN542" i="32"/>
  <c r="AO542" i="32"/>
  <c r="AP542" i="32"/>
  <c r="AQ542" i="32"/>
  <c r="Q542" i="32"/>
  <c r="AR542" i="32"/>
  <c r="AS542" i="32"/>
  <c r="AT542" i="32"/>
  <c r="AU542" i="32"/>
  <c r="AV542" i="32"/>
  <c r="AW542" i="32"/>
  <c r="AX542" i="32"/>
  <c r="AY542" i="32"/>
  <c r="AZ542" i="32"/>
  <c r="BA542" i="32"/>
  <c r="AK543" i="32"/>
  <c r="AL543" i="32"/>
  <c r="AM543" i="32"/>
  <c r="AN543" i="32"/>
  <c r="AO543" i="32"/>
  <c r="AP543" i="32"/>
  <c r="AQ543" i="32"/>
  <c r="Q543" i="32"/>
  <c r="AR543" i="32"/>
  <c r="AS543" i="32"/>
  <c r="AT543" i="32"/>
  <c r="AU543" i="32"/>
  <c r="AV543" i="32"/>
  <c r="AW543" i="32"/>
  <c r="AX543" i="32"/>
  <c r="AY543" i="32"/>
  <c r="AZ543" i="32"/>
  <c r="BA543" i="32"/>
  <c r="AK544" i="32"/>
  <c r="AL544" i="32"/>
  <c r="AM544" i="32"/>
  <c r="AN544" i="32"/>
  <c r="AO544" i="32"/>
  <c r="AP544" i="32"/>
  <c r="AQ544" i="32"/>
  <c r="Q544" i="32"/>
  <c r="AR544" i="32"/>
  <c r="AS544" i="32"/>
  <c r="AT544" i="32"/>
  <c r="AU544" i="32"/>
  <c r="AV544" i="32"/>
  <c r="AW544" i="32"/>
  <c r="AX544" i="32"/>
  <c r="AY544" i="32"/>
  <c r="AZ544" i="32"/>
  <c r="BA544" i="32"/>
  <c r="AK545" i="32"/>
  <c r="AL545" i="32"/>
  <c r="AM545" i="32"/>
  <c r="AN545" i="32"/>
  <c r="AO545" i="32"/>
  <c r="AP545" i="32"/>
  <c r="AQ545" i="32"/>
  <c r="Q545" i="32"/>
  <c r="AR545" i="32"/>
  <c r="AS545" i="32"/>
  <c r="AT545" i="32"/>
  <c r="AU545" i="32"/>
  <c r="AV545" i="32"/>
  <c r="AW545" i="32"/>
  <c r="AX545" i="32"/>
  <c r="AY545" i="32"/>
  <c r="AZ545" i="32"/>
  <c r="BA545" i="32"/>
  <c r="AK546" i="32"/>
  <c r="AL546" i="32"/>
  <c r="AM546" i="32"/>
  <c r="AN546" i="32"/>
  <c r="AO546" i="32"/>
  <c r="AP546" i="32"/>
  <c r="AQ546" i="32"/>
  <c r="Q546" i="32"/>
  <c r="AR546" i="32"/>
  <c r="AS546" i="32"/>
  <c r="AT546" i="32"/>
  <c r="AU546" i="32"/>
  <c r="AV546" i="32"/>
  <c r="AW546" i="32"/>
  <c r="AX546" i="32"/>
  <c r="AY546" i="32"/>
  <c r="AZ546" i="32"/>
  <c r="BA546" i="32"/>
  <c r="AK547" i="32"/>
  <c r="AL547" i="32"/>
  <c r="AM547" i="32"/>
  <c r="AN547" i="32"/>
  <c r="AO547" i="32"/>
  <c r="AP547" i="32"/>
  <c r="AQ547" i="32"/>
  <c r="Q547" i="32"/>
  <c r="AR547" i="32"/>
  <c r="AS547" i="32"/>
  <c r="AT547" i="32"/>
  <c r="AU547" i="32"/>
  <c r="AV547" i="32"/>
  <c r="AW547" i="32"/>
  <c r="AX547" i="32"/>
  <c r="AY547" i="32"/>
  <c r="AZ547" i="32"/>
  <c r="BA547" i="32"/>
  <c r="AK548" i="32"/>
  <c r="AL548" i="32"/>
  <c r="AM548" i="32"/>
  <c r="AN548" i="32"/>
  <c r="AO548" i="32"/>
  <c r="AP548" i="32"/>
  <c r="AQ548" i="32"/>
  <c r="Q548" i="32"/>
  <c r="AR548" i="32"/>
  <c r="AS548" i="32"/>
  <c r="AT548" i="32"/>
  <c r="AU548" i="32"/>
  <c r="AV548" i="32"/>
  <c r="AW548" i="32"/>
  <c r="AX548" i="32"/>
  <c r="AY548" i="32"/>
  <c r="AZ548" i="32"/>
  <c r="BA548" i="32"/>
  <c r="AK549" i="32"/>
  <c r="AL549" i="32"/>
  <c r="AM549" i="32"/>
  <c r="AN549" i="32"/>
  <c r="AO549" i="32"/>
  <c r="AP549" i="32"/>
  <c r="AQ549" i="32"/>
  <c r="Q549" i="32"/>
  <c r="AR549" i="32"/>
  <c r="AS549" i="32"/>
  <c r="AT549" i="32"/>
  <c r="AU549" i="32"/>
  <c r="AV549" i="32"/>
  <c r="AW549" i="32"/>
  <c r="AX549" i="32"/>
  <c r="AY549" i="32"/>
  <c r="AZ549" i="32"/>
  <c r="BA549" i="32"/>
  <c r="AK550" i="32"/>
  <c r="AL550" i="32"/>
  <c r="AM550" i="32"/>
  <c r="AN550" i="32"/>
  <c r="AO550" i="32"/>
  <c r="AP550" i="32"/>
  <c r="AQ550" i="32"/>
  <c r="Q550" i="32"/>
  <c r="AR550" i="32"/>
  <c r="AS550" i="32"/>
  <c r="AT550" i="32"/>
  <c r="AU550" i="32"/>
  <c r="AV550" i="32"/>
  <c r="AW550" i="32"/>
  <c r="AX550" i="32"/>
  <c r="AY550" i="32"/>
  <c r="AZ550" i="32"/>
  <c r="BA550" i="32"/>
  <c r="AK551" i="32"/>
  <c r="AL551" i="32"/>
  <c r="AM551" i="32"/>
  <c r="AN551" i="32"/>
  <c r="AO551" i="32"/>
  <c r="AP551" i="32"/>
  <c r="AQ551" i="32"/>
  <c r="Q551" i="32"/>
  <c r="AR551" i="32"/>
  <c r="AS551" i="32"/>
  <c r="AT551" i="32"/>
  <c r="AU551" i="32"/>
  <c r="AV551" i="32"/>
  <c r="AW551" i="32"/>
  <c r="AX551" i="32"/>
  <c r="AY551" i="32"/>
  <c r="AZ551" i="32"/>
  <c r="BA551" i="32"/>
  <c r="AK552" i="32"/>
  <c r="AL552" i="32"/>
  <c r="AM552" i="32"/>
  <c r="AN552" i="32"/>
  <c r="AO552" i="32"/>
  <c r="AP552" i="32"/>
  <c r="AQ552" i="32"/>
  <c r="Q552" i="32"/>
  <c r="AR552" i="32"/>
  <c r="AS552" i="32"/>
  <c r="AT552" i="32"/>
  <c r="AU552" i="32"/>
  <c r="AV552" i="32"/>
  <c r="AW552" i="32"/>
  <c r="AX552" i="32"/>
  <c r="AY552" i="32"/>
  <c r="AZ552" i="32"/>
  <c r="BA552" i="32"/>
  <c r="AK553" i="32"/>
  <c r="AL553" i="32"/>
  <c r="AM553" i="32"/>
  <c r="AN553" i="32"/>
  <c r="AO553" i="32"/>
  <c r="AP553" i="32"/>
  <c r="AQ553" i="32"/>
  <c r="Q553" i="32"/>
  <c r="AR553" i="32"/>
  <c r="AS553" i="32"/>
  <c r="AT553" i="32"/>
  <c r="AU553" i="32"/>
  <c r="AV553" i="32"/>
  <c r="AW553" i="32"/>
  <c r="AX553" i="32"/>
  <c r="AY553" i="32"/>
  <c r="AZ553" i="32"/>
  <c r="BA553" i="32"/>
  <c r="AK554" i="32"/>
  <c r="AL554" i="32"/>
  <c r="AM554" i="32"/>
  <c r="AN554" i="32"/>
  <c r="AO554" i="32"/>
  <c r="AP554" i="32"/>
  <c r="AQ554" i="32"/>
  <c r="Q554" i="32"/>
  <c r="AR554" i="32"/>
  <c r="AS554" i="32"/>
  <c r="AT554" i="32"/>
  <c r="AU554" i="32"/>
  <c r="AV554" i="32"/>
  <c r="AW554" i="32"/>
  <c r="AX554" i="32"/>
  <c r="AY554" i="32"/>
  <c r="AZ554" i="32"/>
  <c r="BA554" i="32"/>
  <c r="AK555" i="32"/>
  <c r="AL555" i="32"/>
  <c r="AM555" i="32"/>
  <c r="AN555" i="32"/>
  <c r="AO555" i="32"/>
  <c r="AP555" i="32"/>
  <c r="AQ555" i="32"/>
  <c r="Q555" i="32"/>
  <c r="AR555" i="32"/>
  <c r="AS555" i="32"/>
  <c r="AT555" i="32"/>
  <c r="AU555" i="32"/>
  <c r="AV555" i="32"/>
  <c r="AW555" i="32"/>
  <c r="AX555" i="32"/>
  <c r="AY555" i="32"/>
  <c r="AZ555" i="32"/>
  <c r="BA555" i="32"/>
  <c r="AK556" i="32"/>
  <c r="AL556" i="32"/>
  <c r="AM556" i="32"/>
  <c r="AN556" i="32"/>
  <c r="AO556" i="32"/>
  <c r="AP556" i="32"/>
  <c r="AQ556" i="32"/>
  <c r="Q556" i="32"/>
  <c r="AR556" i="32"/>
  <c r="AS556" i="32"/>
  <c r="AT556" i="32"/>
  <c r="AU556" i="32"/>
  <c r="AV556" i="32"/>
  <c r="AW556" i="32"/>
  <c r="AX556" i="32"/>
  <c r="AY556" i="32"/>
  <c r="AZ556" i="32"/>
  <c r="BA556" i="32"/>
  <c r="AK557" i="32"/>
  <c r="AL557" i="32"/>
  <c r="AM557" i="32"/>
  <c r="AN557" i="32"/>
  <c r="AO557" i="32"/>
  <c r="AP557" i="32"/>
  <c r="AQ557" i="32"/>
  <c r="Q557" i="32"/>
  <c r="AR557" i="32"/>
  <c r="AS557" i="32"/>
  <c r="AT557" i="32"/>
  <c r="AU557" i="32"/>
  <c r="AV557" i="32"/>
  <c r="AW557" i="32"/>
  <c r="AX557" i="32"/>
  <c r="AY557" i="32"/>
  <c r="AZ557" i="32"/>
  <c r="BA557" i="32"/>
  <c r="AK558" i="32"/>
  <c r="AL558" i="32"/>
  <c r="AM558" i="32"/>
  <c r="AN558" i="32"/>
  <c r="AO558" i="32"/>
  <c r="AP558" i="32"/>
  <c r="AQ558" i="32"/>
  <c r="Q558" i="32"/>
  <c r="AR558" i="32"/>
  <c r="AS558" i="32"/>
  <c r="AT558" i="32"/>
  <c r="AU558" i="32"/>
  <c r="AV558" i="32"/>
  <c r="AW558" i="32"/>
  <c r="AX558" i="32"/>
  <c r="AY558" i="32"/>
  <c r="AZ558" i="32"/>
  <c r="BA558" i="32"/>
  <c r="AK559" i="32"/>
  <c r="AL559" i="32"/>
  <c r="AM559" i="32"/>
  <c r="AN559" i="32"/>
  <c r="AO559" i="32"/>
  <c r="AP559" i="32"/>
  <c r="AQ559" i="32"/>
  <c r="Q559" i="32"/>
  <c r="AR559" i="32"/>
  <c r="AS559" i="32"/>
  <c r="AT559" i="32"/>
  <c r="AU559" i="32"/>
  <c r="AV559" i="32"/>
  <c r="AW559" i="32"/>
  <c r="AX559" i="32"/>
  <c r="AY559" i="32"/>
  <c r="AZ559" i="32"/>
  <c r="BA559" i="32"/>
  <c r="AK560" i="32"/>
  <c r="AL560" i="32"/>
  <c r="AM560" i="32"/>
  <c r="AN560" i="32"/>
  <c r="AO560" i="32"/>
  <c r="AP560" i="32"/>
  <c r="AQ560" i="32"/>
  <c r="Q560" i="32"/>
  <c r="AR560" i="32"/>
  <c r="AS560" i="32"/>
  <c r="AT560" i="32"/>
  <c r="AU560" i="32"/>
  <c r="AV560" i="32"/>
  <c r="AW560" i="32"/>
  <c r="AX560" i="32"/>
  <c r="AY560" i="32"/>
  <c r="AZ560" i="32"/>
  <c r="BA560" i="32"/>
  <c r="AK561" i="32"/>
  <c r="AL561" i="32"/>
  <c r="AM561" i="32"/>
  <c r="AN561" i="32"/>
  <c r="AO561" i="32"/>
  <c r="AP561" i="32"/>
  <c r="AQ561" i="32"/>
  <c r="Q561" i="32"/>
  <c r="AR561" i="32"/>
  <c r="AS561" i="32"/>
  <c r="AT561" i="32"/>
  <c r="AU561" i="32"/>
  <c r="AV561" i="32"/>
  <c r="AW561" i="32"/>
  <c r="AX561" i="32"/>
  <c r="AY561" i="32"/>
  <c r="AZ561" i="32"/>
  <c r="BA561" i="32"/>
  <c r="AK562" i="32"/>
  <c r="AL562" i="32"/>
  <c r="AM562" i="32"/>
  <c r="AN562" i="32"/>
  <c r="AO562" i="32"/>
  <c r="AP562" i="32"/>
  <c r="AQ562" i="32"/>
  <c r="Q562" i="32"/>
  <c r="AR562" i="32"/>
  <c r="AS562" i="32"/>
  <c r="AT562" i="32"/>
  <c r="AU562" i="32"/>
  <c r="AV562" i="32"/>
  <c r="AW562" i="32"/>
  <c r="AX562" i="32"/>
  <c r="AY562" i="32"/>
  <c r="AZ562" i="32"/>
  <c r="BA562" i="32"/>
  <c r="AK563" i="32"/>
  <c r="AL563" i="32"/>
  <c r="AM563" i="32"/>
  <c r="AN563" i="32"/>
  <c r="AO563" i="32"/>
  <c r="AP563" i="32"/>
  <c r="AQ563" i="32"/>
  <c r="Q563" i="32"/>
  <c r="AR563" i="32"/>
  <c r="AS563" i="32"/>
  <c r="AT563" i="32"/>
  <c r="AU563" i="32"/>
  <c r="AV563" i="32"/>
  <c r="AW563" i="32"/>
  <c r="AX563" i="32"/>
  <c r="AY563" i="32"/>
  <c r="AZ563" i="32"/>
  <c r="BA563" i="32"/>
  <c r="AK564" i="32"/>
  <c r="AL564" i="32"/>
  <c r="AM564" i="32"/>
  <c r="AN564" i="32"/>
  <c r="AO564" i="32"/>
  <c r="AP564" i="32"/>
  <c r="AQ564" i="32"/>
  <c r="Q564" i="32"/>
  <c r="AR564" i="32"/>
  <c r="AS564" i="32"/>
  <c r="AT564" i="32"/>
  <c r="AU564" i="32"/>
  <c r="AV564" i="32"/>
  <c r="AW564" i="32"/>
  <c r="AX564" i="32"/>
  <c r="AY564" i="32"/>
  <c r="AZ564" i="32"/>
  <c r="BA564" i="32"/>
  <c r="AK565" i="32"/>
  <c r="AL565" i="32"/>
  <c r="AM565" i="32"/>
  <c r="AN565" i="32"/>
  <c r="AO565" i="32"/>
  <c r="AP565" i="32"/>
  <c r="AQ565" i="32"/>
  <c r="Q565" i="32"/>
  <c r="AR565" i="32"/>
  <c r="AS565" i="32"/>
  <c r="AT565" i="32"/>
  <c r="AU565" i="32"/>
  <c r="AV565" i="32"/>
  <c r="AW565" i="32"/>
  <c r="AX565" i="32"/>
  <c r="AY565" i="32"/>
  <c r="AZ565" i="32"/>
  <c r="BA565" i="32"/>
  <c r="AK566" i="32"/>
  <c r="AL566" i="32"/>
  <c r="AM566" i="32"/>
  <c r="AN566" i="32"/>
  <c r="AO566" i="32"/>
  <c r="AP566" i="32"/>
  <c r="AQ566" i="32"/>
  <c r="Q566" i="32"/>
  <c r="AR566" i="32"/>
  <c r="AS566" i="32"/>
  <c r="AT566" i="32"/>
  <c r="AU566" i="32"/>
  <c r="AV566" i="32"/>
  <c r="AW566" i="32"/>
  <c r="AX566" i="32"/>
  <c r="AY566" i="32"/>
  <c r="AZ566" i="32"/>
  <c r="BA566" i="32"/>
  <c r="AK567" i="32"/>
  <c r="AL567" i="32"/>
  <c r="AM567" i="32"/>
  <c r="AN567" i="32"/>
  <c r="AO567" i="32"/>
  <c r="AP567" i="32"/>
  <c r="AQ567" i="32"/>
  <c r="Q567" i="32"/>
  <c r="AR567" i="32"/>
  <c r="AS567" i="32"/>
  <c r="AT567" i="32"/>
  <c r="AU567" i="32"/>
  <c r="AV567" i="32"/>
  <c r="AW567" i="32"/>
  <c r="AX567" i="32"/>
  <c r="AY567" i="32"/>
  <c r="AZ567" i="32"/>
  <c r="BA567" i="32"/>
  <c r="AK568" i="32"/>
  <c r="AL568" i="32"/>
  <c r="AM568" i="32"/>
  <c r="AN568" i="32"/>
  <c r="AO568" i="32"/>
  <c r="AP568" i="32"/>
  <c r="AQ568" i="32"/>
  <c r="Q568" i="32"/>
  <c r="AR568" i="32"/>
  <c r="AS568" i="32"/>
  <c r="AT568" i="32"/>
  <c r="AU568" i="32"/>
  <c r="AV568" i="32"/>
  <c r="AW568" i="32"/>
  <c r="AX568" i="32"/>
  <c r="AY568" i="32"/>
  <c r="AZ568" i="32"/>
  <c r="BA568" i="32"/>
  <c r="AK569" i="32"/>
  <c r="AL569" i="32"/>
  <c r="AM569" i="32"/>
  <c r="AN569" i="32"/>
  <c r="AO569" i="32"/>
  <c r="AP569" i="32"/>
  <c r="AQ569" i="32"/>
  <c r="Q569" i="32"/>
  <c r="AR569" i="32"/>
  <c r="AS569" i="32"/>
  <c r="AT569" i="32"/>
  <c r="AU569" i="32"/>
  <c r="AV569" i="32"/>
  <c r="AW569" i="32"/>
  <c r="AX569" i="32"/>
  <c r="AY569" i="32"/>
  <c r="AZ569" i="32"/>
  <c r="BA569" i="32"/>
  <c r="AK570" i="32"/>
  <c r="AL570" i="32"/>
  <c r="AM570" i="32"/>
  <c r="AN570" i="32"/>
  <c r="AO570" i="32"/>
  <c r="AP570" i="32"/>
  <c r="AQ570" i="32"/>
  <c r="Q570" i="32"/>
  <c r="AR570" i="32"/>
  <c r="AS570" i="32"/>
  <c r="AT570" i="32"/>
  <c r="AU570" i="32"/>
  <c r="AV570" i="32"/>
  <c r="AW570" i="32"/>
  <c r="AX570" i="32"/>
  <c r="AY570" i="32"/>
  <c r="AZ570" i="32"/>
  <c r="BA570" i="32"/>
  <c r="AK571" i="32"/>
  <c r="AL571" i="32"/>
  <c r="AM571" i="32"/>
  <c r="AN571" i="32"/>
  <c r="AO571" i="32"/>
  <c r="AP571" i="32"/>
  <c r="AQ571" i="32"/>
  <c r="Q571" i="32"/>
  <c r="AR571" i="32"/>
  <c r="AS571" i="32"/>
  <c r="AT571" i="32"/>
  <c r="AU571" i="32"/>
  <c r="AV571" i="32"/>
  <c r="AW571" i="32"/>
  <c r="AX571" i="32"/>
  <c r="AY571" i="32"/>
  <c r="AZ571" i="32"/>
  <c r="BA571" i="32"/>
  <c r="AK572" i="32"/>
  <c r="AL572" i="32"/>
  <c r="AM572" i="32"/>
  <c r="AN572" i="32"/>
  <c r="AO572" i="32"/>
  <c r="AP572" i="32"/>
  <c r="AQ572" i="32"/>
  <c r="Q572" i="32"/>
  <c r="AR572" i="32"/>
  <c r="AS572" i="32"/>
  <c r="AT572" i="32"/>
  <c r="AU572" i="32"/>
  <c r="AV572" i="32"/>
  <c r="AW572" i="32"/>
  <c r="AX572" i="32"/>
  <c r="AY572" i="32"/>
  <c r="AZ572" i="32"/>
  <c r="BA572" i="32"/>
  <c r="AK573" i="32"/>
  <c r="AL573" i="32"/>
  <c r="AM573" i="32"/>
  <c r="AN573" i="32"/>
  <c r="AO573" i="32"/>
  <c r="AP573" i="32"/>
  <c r="AQ573" i="32"/>
  <c r="Q573" i="32"/>
  <c r="AR573" i="32"/>
  <c r="AS573" i="32"/>
  <c r="AT573" i="32"/>
  <c r="AU573" i="32"/>
  <c r="AV573" i="32"/>
  <c r="AW573" i="32"/>
  <c r="AX573" i="32"/>
  <c r="AY573" i="32"/>
  <c r="AZ573" i="32"/>
  <c r="BA573" i="32"/>
  <c r="AK574" i="32"/>
  <c r="AL574" i="32"/>
  <c r="AM574" i="32"/>
  <c r="AN574" i="32"/>
  <c r="AO574" i="32"/>
  <c r="AP574" i="32"/>
  <c r="AQ574" i="32"/>
  <c r="Q574" i="32"/>
  <c r="AR574" i="32"/>
  <c r="AS574" i="32"/>
  <c r="AT574" i="32"/>
  <c r="AU574" i="32"/>
  <c r="AV574" i="32"/>
  <c r="AW574" i="32"/>
  <c r="AX574" i="32"/>
  <c r="AY574" i="32"/>
  <c r="AZ574" i="32"/>
  <c r="BA574" i="32"/>
  <c r="AK575" i="32"/>
  <c r="AL575" i="32"/>
  <c r="AM575" i="32"/>
  <c r="AN575" i="32"/>
  <c r="AO575" i="32"/>
  <c r="AP575" i="32"/>
  <c r="AQ575" i="32"/>
  <c r="Q575" i="32"/>
  <c r="AR575" i="32"/>
  <c r="AS575" i="32"/>
  <c r="AT575" i="32"/>
  <c r="AU575" i="32"/>
  <c r="AV575" i="32"/>
  <c r="AW575" i="32"/>
  <c r="AX575" i="32"/>
  <c r="AY575" i="32"/>
  <c r="AZ575" i="32"/>
  <c r="BA575" i="32"/>
  <c r="AK576" i="32"/>
  <c r="AL576" i="32"/>
  <c r="AM576" i="32"/>
  <c r="AN576" i="32"/>
  <c r="AO576" i="32"/>
  <c r="AP576" i="32"/>
  <c r="AQ576" i="32"/>
  <c r="Q576" i="32"/>
  <c r="AR576" i="32"/>
  <c r="AS576" i="32"/>
  <c r="AT576" i="32"/>
  <c r="AU576" i="32"/>
  <c r="AV576" i="32"/>
  <c r="AW576" i="32"/>
  <c r="AX576" i="32"/>
  <c r="AY576" i="32"/>
  <c r="AZ576" i="32"/>
  <c r="BA576" i="32"/>
  <c r="AK577" i="32"/>
  <c r="AL577" i="32"/>
  <c r="AM577" i="32"/>
  <c r="AN577" i="32"/>
  <c r="AO577" i="32"/>
  <c r="AP577" i="32"/>
  <c r="AQ577" i="32"/>
  <c r="Q577" i="32"/>
  <c r="AR577" i="32"/>
  <c r="AS577" i="32"/>
  <c r="AT577" i="32"/>
  <c r="AU577" i="32"/>
  <c r="AV577" i="32"/>
  <c r="AW577" i="32"/>
  <c r="AX577" i="32"/>
  <c r="AY577" i="32"/>
  <c r="AZ577" i="32"/>
  <c r="BA577" i="32"/>
  <c r="AK578" i="32"/>
  <c r="AL578" i="32"/>
  <c r="AM578" i="32"/>
  <c r="AN578" i="32"/>
  <c r="AO578" i="32"/>
  <c r="AP578" i="32"/>
  <c r="AQ578" i="32"/>
  <c r="Q578" i="32"/>
  <c r="AR578" i="32"/>
  <c r="AS578" i="32"/>
  <c r="AT578" i="32"/>
  <c r="AU578" i="32"/>
  <c r="AV578" i="32"/>
  <c r="AW578" i="32"/>
  <c r="AX578" i="32"/>
  <c r="AY578" i="32"/>
  <c r="AZ578" i="32"/>
  <c r="BA578" i="32"/>
  <c r="AK579" i="32"/>
  <c r="AL579" i="32"/>
  <c r="AM579" i="32"/>
  <c r="AN579" i="32"/>
  <c r="AO579" i="32"/>
  <c r="AP579" i="32"/>
  <c r="AQ579" i="32"/>
  <c r="Q579" i="32"/>
  <c r="AR579" i="32"/>
  <c r="AS579" i="32"/>
  <c r="AT579" i="32"/>
  <c r="AU579" i="32"/>
  <c r="AV579" i="32"/>
  <c r="AW579" i="32"/>
  <c r="AX579" i="32"/>
  <c r="AY579" i="32"/>
  <c r="AZ579" i="32"/>
  <c r="BA579" i="32"/>
  <c r="AK580" i="32"/>
  <c r="AL580" i="32"/>
  <c r="AM580" i="32"/>
  <c r="AN580" i="32"/>
  <c r="AO580" i="32"/>
  <c r="AP580" i="32"/>
  <c r="AQ580" i="32"/>
  <c r="Q580" i="32"/>
  <c r="AR580" i="32"/>
  <c r="AS580" i="32"/>
  <c r="AT580" i="32"/>
  <c r="AU580" i="32"/>
  <c r="AV580" i="32"/>
  <c r="AW580" i="32"/>
  <c r="AX580" i="32"/>
  <c r="AY580" i="32"/>
  <c r="AZ580" i="32"/>
  <c r="BA580" i="32"/>
  <c r="AK581" i="32"/>
  <c r="AL581" i="32"/>
  <c r="AM581" i="32"/>
  <c r="AN581" i="32"/>
  <c r="AO581" i="32"/>
  <c r="AP581" i="32"/>
  <c r="AQ581" i="32"/>
  <c r="Q581" i="32"/>
  <c r="AR581" i="32"/>
  <c r="AS581" i="32"/>
  <c r="AT581" i="32"/>
  <c r="AU581" i="32"/>
  <c r="AV581" i="32"/>
  <c r="AW581" i="32"/>
  <c r="AX581" i="32"/>
  <c r="AY581" i="32"/>
  <c r="AZ581" i="32"/>
  <c r="BA581" i="32"/>
  <c r="AK582" i="32"/>
  <c r="AL582" i="32"/>
  <c r="AM582" i="32"/>
  <c r="AN582" i="32"/>
  <c r="AO582" i="32"/>
  <c r="AP582" i="32"/>
  <c r="AQ582" i="32"/>
  <c r="Q582" i="32"/>
  <c r="AR582" i="32"/>
  <c r="AS582" i="32"/>
  <c r="AT582" i="32"/>
  <c r="AU582" i="32"/>
  <c r="AV582" i="32"/>
  <c r="AW582" i="32"/>
  <c r="AX582" i="32"/>
  <c r="AY582" i="32"/>
  <c r="AZ582" i="32"/>
  <c r="BA582" i="32"/>
  <c r="AK583" i="32"/>
  <c r="AL583" i="32"/>
  <c r="AM583" i="32"/>
  <c r="AN583" i="32"/>
  <c r="AO583" i="32"/>
  <c r="AP583" i="32"/>
  <c r="AQ583" i="32"/>
  <c r="Q583" i="32"/>
  <c r="AR583" i="32"/>
  <c r="AS583" i="32"/>
  <c r="AT583" i="32"/>
  <c r="AU583" i="32"/>
  <c r="AV583" i="32"/>
  <c r="AW583" i="32"/>
  <c r="AX583" i="32"/>
  <c r="AY583" i="32"/>
  <c r="AZ583" i="32"/>
  <c r="BA583" i="32"/>
  <c r="AK584" i="32"/>
  <c r="AL584" i="32"/>
  <c r="AM584" i="32"/>
  <c r="AN584" i="32"/>
  <c r="AO584" i="32"/>
  <c r="AP584" i="32"/>
  <c r="AQ584" i="32"/>
  <c r="Q584" i="32"/>
  <c r="AR584" i="32"/>
  <c r="AS584" i="32"/>
  <c r="AT584" i="32"/>
  <c r="AU584" i="32"/>
  <c r="AV584" i="32"/>
  <c r="AW584" i="32"/>
  <c r="AX584" i="32"/>
  <c r="AY584" i="32"/>
  <c r="AZ584" i="32"/>
  <c r="BA584" i="32"/>
  <c r="AK585" i="32"/>
  <c r="AL585" i="32"/>
  <c r="AM585" i="32"/>
  <c r="AN585" i="32"/>
  <c r="AO585" i="32"/>
  <c r="AP585" i="32"/>
  <c r="AQ585" i="32"/>
  <c r="Q585" i="32"/>
  <c r="AR585" i="32"/>
  <c r="AS585" i="32"/>
  <c r="AT585" i="32"/>
  <c r="AU585" i="32"/>
  <c r="AV585" i="32"/>
  <c r="AW585" i="32"/>
  <c r="AX585" i="32"/>
  <c r="AY585" i="32"/>
  <c r="AZ585" i="32"/>
  <c r="BA585" i="32"/>
  <c r="AK586" i="32"/>
  <c r="AL586" i="32"/>
  <c r="AM586" i="32"/>
  <c r="AN586" i="32"/>
  <c r="AO586" i="32"/>
  <c r="AP586" i="32"/>
  <c r="AQ586" i="32"/>
  <c r="Q586" i="32"/>
  <c r="AR586" i="32"/>
  <c r="AS586" i="32"/>
  <c r="AT586" i="32"/>
  <c r="AU586" i="32"/>
  <c r="AV586" i="32"/>
  <c r="AW586" i="32"/>
  <c r="AX586" i="32"/>
  <c r="AY586" i="32"/>
  <c r="AZ586" i="32"/>
  <c r="BA586" i="32"/>
  <c r="AK587" i="32"/>
  <c r="AL587" i="32"/>
  <c r="AM587" i="32"/>
  <c r="AN587" i="32"/>
  <c r="AO587" i="32"/>
  <c r="AP587" i="32"/>
  <c r="AQ587" i="32"/>
  <c r="Q587" i="32"/>
  <c r="AR587" i="32"/>
  <c r="AS587" i="32"/>
  <c r="AT587" i="32"/>
  <c r="AU587" i="32"/>
  <c r="AV587" i="32"/>
  <c r="AW587" i="32"/>
  <c r="AX587" i="32"/>
  <c r="AY587" i="32"/>
  <c r="AZ587" i="32"/>
  <c r="BA587" i="32"/>
  <c r="AK588" i="32"/>
  <c r="AL588" i="32"/>
  <c r="AM588" i="32"/>
  <c r="AN588" i="32"/>
  <c r="AO588" i="32"/>
  <c r="AP588" i="32"/>
  <c r="AQ588" i="32"/>
  <c r="Q588" i="32"/>
  <c r="AR588" i="32"/>
  <c r="AS588" i="32"/>
  <c r="AT588" i="32"/>
  <c r="AU588" i="32"/>
  <c r="AV588" i="32"/>
  <c r="AW588" i="32"/>
  <c r="AX588" i="32"/>
  <c r="AY588" i="32"/>
  <c r="AZ588" i="32"/>
  <c r="BA588" i="32"/>
  <c r="AK589" i="32"/>
  <c r="AL589" i="32"/>
  <c r="AM589" i="32"/>
  <c r="AN589" i="32"/>
  <c r="AO589" i="32"/>
  <c r="AP589" i="32"/>
  <c r="AQ589" i="32"/>
  <c r="Q589" i="32"/>
  <c r="AR589" i="32"/>
  <c r="AS589" i="32"/>
  <c r="AT589" i="32"/>
  <c r="AU589" i="32"/>
  <c r="AV589" i="32"/>
  <c r="AW589" i="32"/>
  <c r="AX589" i="32"/>
  <c r="AY589" i="32"/>
  <c r="AZ589" i="32"/>
  <c r="BA589" i="32"/>
  <c r="AK590" i="32"/>
  <c r="AL590" i="32"/>
  <c r="AM590" i="32"/>
  <c r="AN590" i="32"/>
  <c r="AO590" i="32"/>
  <c r="AP590" i="32"/>
  <c r="AQ590" i="32"/>
  <c r="Q590" i="32"/>
  <c r="AR590" i="32"/>
  <c r="AS590" i="32"/>
  <c r="AT590" i="32"/>
  <c r="AU590" i="32"/>
  <c r="AV590" i="32"/>
  <c r="AW590" i="32"/>
  <c r="AX590" i="32"/>
  <c r="AY590" i="32"/>
  <c r="AZ590" i="32"/>
  <c r="BA590" i="32"/>
  <c r="AK591" i="32"/>
  <c r="AL591" i="32"/>
  <c r="AM591" i="32"/>
  <c r="AN591" i="32"/>
  <c r="AO591" i="32"/>
  <c r="AP591" i="32"/>
  <c r="AQ591" i="32"/>
  <c r="Q591" i="32"/>
  <c r="AR591" i="32"/>
  <c r="AS591" i="32"/>
  <c r="AT591" i="32"/>
  <c r="AU591" i="32"/>
  <c r="AV591" i="32"/>
  <c r="AW591" i="32"/>
  <c r="AX591" i="32"/>
  <c r="AY591" i="32"/>
  <c r="AZ591" i="32"/>
  <c r="BA591" i="32"/>
  <c r="AK592" i="32"/>
  <c r="AL592" i="32"/>
  <c r="AM592" i="32"/>
  <c r="AN592" i="32"/>
  <c r="AO592" i="32"/>
  <c r="AP592" i="32"/>
  <c r="AQ592" i="32"/>
  <c r="Q592" i="32"/>
  <c r="AR592" i="32"/>
  <c r="AS592" i="32"/>
  <c r="AT592" i="32"/>
  <c r="AU592" i="32"/>
  <c r="AV592" i="32"/>
  <c r="AW592" i="32"/>
  <c r="AX592" i="32"/>
  <c r="AY592" i="32"/>
  <c r="AZ592" i="32"/>
  <c r="BA592" i="32"/>
  <c r="AK593" i="32"/>
  <c r="AL593" i="32"/>
  <c r="AM593" i="32"/>
  <c r="AN593" i="32"/>
  <c r="AO593" i="32"/>
  <c r="AP593" i="32"/>
  <c r="AQ593" i="32"/>
  <c r="Q593" i="32"/>
  <c r="AR593" i="32"/>
  <c r="AS593" i="32"/>
  <c r="AT593" i="32"/>
  <c r="AU593" i="32"/>
  <c r="AV593" i="32"/>
  <c r="AW593" i="32"/>
  <c r="AX593" i="32"/>
  <c r="AY593" i="32"/>
  <c r="AZ593" i="32"/>
  <c r="BA593" i="32"/>
  <c r="AK594" i="32"/>
  <c r="AL594" i="32"/>
  <c r="AM594" i="32"/>
  <c r="AN594" i="32"/>
  <c r="AO594" i="32"/>
  <c r="AP594" i="32"/>
  <c r="AQ594" i="32"/>
  <c r="Q594" i="32"/>
  <c r="AR594" i="32"/>
  <c r="AS594" i="32"/>
  <c r="AT594" i="32"/>
  <c r="AU594" i="32"/>
  <c r="AV594" i="32"/>
  <c r="AW594" i="32"/>
  <c r="AX594" i="32"/>
  <c r="AY594" i="32"/>
  <c r="AZ594" i="32"/>
  <c r="BA594" i="32"/>
  <c r="AK595" i="32"/>
  <c r="AL595" i="32"/>
  <c r="AM595" i="32"/>
  <c r="AN595" i="32"/>
  <c r="AO595" i="32"/>
  <c r="AP595" i="32"/>
  <c r="AQ595" i="32"/>
  <c r="Q595" i="32"/>
  <c r="AR595" i="32"/>
  <c r="AS595" i="32"/>
  <c r="AT595" i="32"/>
  <c r="AU595" i="32"/>
  <c r="AV595" i="32"/>
  <c r="AW595" i="32"/>
  <c r="AX595" i="32"/>
  <c r="AY595" i="32"/>
  <c r="AZ595" i="32"/>
  <c r="BA595" i="32"/>
  <c r="AK596" i="32"/>
  <c r="AL596" i="32"/>
  <c r="AM596" i="32"/>
  <c r="AN596" i="32"/>
  <c r="AO596" i="32"/>
  <c r="AP596" i="32"/>
  <c r="AQ596" i="32"/>
  <c r="Q596" i="32"/>
  <c r="AR596" i="32"/>
  <c r="AS596" i="32"/>
  <c r="AT596" i="32"/>
  <c r="AU596" i="32"/>
  <c r="AV596" i="32"/>
  <c r="AW596" i="32"/>
  <c r="AX596" i="32"/>
  <c r="AY596" i="32"/>
  <c r="AZ596" i="32"/>
  <c r="BA596" i="32"/>
  <c r="AK597" i="32"/>
  <c r="AL597" i="32"/>
  <c r="AM597" i="32"/>
  <c r="AN597" i="32"/>
  <c r="AO597" i="32"/>
  <c r="AP597" i="32"/>
  <c r="AQ597" i="32"/>
  <c r="Q597" i="32"/>
  <c r="AR597" i="32"/>
  <c r="AS597" i="32"/>
  <c r="AT597" i="32"/>
  <c r="AU597" i="32"/>
  <c r="AV597" i="32"/>
  <c r="AW597" i="32"/>
  <c r="AX597" i="32"/>
  <c r="AY597" i="32"/>
  <c r="AZ597" i="32"/>
  <c r="BA597" i="32"/>
  <c r="AK598" i="32"/>
  <c r="AL598" i="32"/>
  <c r="AM598" i="32"/>
  <c r="AN598" i="32"/>
  <c r="AO598" i="32"/>
  <c r="AP598" i="32"/>
  <c r="AQ598" i="32"/>
  <c r="Q598" i="32"/>
  <c r="AR598" i="32"/>
  <c r="AS598" i="32"/>
  <c r="AT598" i="32"/>
  <c r="AU598" i="32"/>
  <c r="AV598" i="32"/>
  <c r="AW598" i="32"/>
  <c r="AX598" i="32"/>
  <c r="AY598" i="32"/>
  <c r="AZ598" i="32"/>
  <c r="BA598" i="32"/>
  <c r="AK599" i="32"/>
  <c r="AL599" i="32"/>
  <c r="AM599" i="32"/>
  <c r="AN599" i="32"/>
  <c r="AO599" i="32"/>
  <c r="AP599" i="32"/>
  <c r="AQ599" i="32"/>
  <c r="Q599" i="32"/>
  <c r="AR599" i="32"/>
  <c r="AS599" i="32"/>
  <c r="AT599" i="32"/>
  <c r="AU599" i="32"/>
  <c r="AV599" i="32"/>
  <c r="AW599" i="32"/>
  <c r="AX599" i="32"/>
  <c r="AY599" i="32"/>
  <c r="AZ599" i="32"/>
  <c r="BA599" i="32"/>
  <c r="AK600" i="32"/>
  <c r="AL600" i="32"/>
  <c r="AM600" i="32"/>
  <c r="AN600" i="32"/>
  <c r="AO600" i="32"/>
  <c r="AP600" i="32"/>
  <c r="AQ600" i="32"/>
  <c r="Q600" i="32"/>
  <c r="AR600" i="32"/>
  <c r="AS600" i="32"/>
  <c r="AT600" i="32"/>
  <c r="AU600" i="32"/>
  <c r="AV600" i="32"/>
  <c r="AW600" i="32"/>
  <c r="AX600" i="32"/>
  <c r="AY600" i="32"/>
  <c r="AZ600" i="32"/>
  <c r="BA600" i="32"/>
  <c r="AK601" i="32"/>
  <c r="AL601" i="32"/>
  <c r="AM601" i="32"/>
  <c r="AN601" i="32"/>
  <c r="AO601" i="32"/>
  <c r="AP601" i="32"/>
  <c r="AQ601" i="32"/>
  <c r="Q601" i="32"/>
  <c r="AR601" i="32"/>
  <c r="AS601" i="32"/>
  <c r="AT601" i="32"/>
  <c r="AU601" i="32"/>
  <c r="AV601" i="32"/>
  <c r="AW601" i="32"/>
  <c r="AX601" i="32"/>
  <c r="AY601" i="32"/>
  <c r="AZ601" i="32"/>
  <c r="BA601" i="32"/>
  <c r="AK602" i="32"/>
  <c r="AL602" i="32"/>
  <c r="AM602" i="32"/>
  <c r="AN602" i="32"/>
  <c r="AO602" i="32"/>
  <c r="AP602" i="32"/>
  <c r="AQ602" i="32"/>
  <c r="Q602" i="32"/>
  <c r="AR602" i="32"/>
  <c r="AS602" i="32"/>
  <c r="AT602" i="32"/>
  <c r="AU602" i="32"/>
  <c r="AV602" i="32"/>
  <c r="AW602" i="32"/>
  <c r="AX602" i="32"/>
  <c r="AY602" i="32"/>
  <c r="AZ602" i="32"/>
  <c r="BA602" i="32"/>
  <c r="AK603" i="32"/>
  <c r="AL603" i="32"/>
  <c r="AM603" i="32"/>
  <c r="AN603" i="32"/>
  <c r="AO603" i="32"/>
  <c r="AP603" i="32"/>
  <c r="AQ603" i="32"/>
  <c r="Q603" i="32"/>
  <c r="AR603" i="32"/>
  <c r="AS603" i="32"/>
  <c r="AT603" i="32"/>
  <c r="AU603" i="32"/>
  <c r="AV603" i="32"/>
  <c r="AW603" i="32"/>
  <c r="AX603" i="32"/>
  <c r="AY603" i="32"/>
  <c r="AZ603" i="32"/>
  <c r="BA603" i="32"/>
  <c r="AK604" i="32"/>
  <c r="AL604" i="32"/>
  <c r="AM604" i="32"/>
  <c r="AN604" i="32"/>
  <c r="AO604" i="32"/>
  <c r="AP604" i="32"/>
  <c r="AQ604" i="32"/>
  <c r="Q604" i="32"/>
  <c r="AR604" i="32"/>
  <c r="AS604" i="32"/>
  <c r="AT604" i="32"/>
  <c r="AU604" i="32"/>
  <c r="AV604" i="32"/>
  <c r="AW604" i="32"/>
  <c r="AX604" i="32"/>
  <c r="AY604" i="32"/>
  <c r="AZ604" i="32"/>
  <c r="BA604" i="32"/>
  <c r="AK605" i="32"/>
  <c r="AL605" i="32"/>
  <c r="AM605" i="32"/>
  <c r="AN605" i="32"/>
  <c r="AO605" i="32"/>
  <c r="AP605" i="32"/>
  <c r="AQ605" i="32"/>
  <c r="Q605" i="32"/>
  <c r="AR605" i="32"/>
  <c r="AS605" i="32"/>
  <c r="AT605" i="32"/>
  <c r="AU605" i="32"/>
  <c r="AV605" i="32"/>
  <c r="AW605" i="32"/>
  <c r="AX605" i="32"/>
  <c r="AY605" i="32"/>
  <c r="AZ605" i="32"/>
  <c r="BA605" i="32"/>
  <c r="AK606" i="32"/>
  <c r="AL606" i="32"/>
  <c r="AM606" i="32"/>
  <c r="AN606" i="32"/>
  <c r="AO606" i="32"/>
  <c r="AP606" i="32"/>
  <c r="AQ606" i="32"/>
  <c r="Q606" i="32"/>
  <c r="AR606" i="32"/>
  <c r="AS606" i="32"/>
  <c r="AT606" i="32"/>
  <c r="AU606" i="32"/>
  <c r="AV606" i="32"/>
  <c r="AW606" i="32"/>
  <c r="AX606" i="32"/>
  <c r="AY606" i="32"/>
  <c r="AZ606" i="32"/>
  <c r="BA606" i="32"/>
  <c r="AK607" i="32"/>
  <c r="AL607" i="32"/>
  <c r="AM607" i="32"/>
  <c r="AN607" i="32"/>
  <c r="AO607" i="32"/>
  <c r="AP607" i="32"/>
  <c r="AQ607" i="32"/>
  <c r="Q607" i="32"/>
  <c r="AR607" i="32"/>
  <c r="AS607" i="32"/>
  <c r="AT607" i="32"/>
  <c r="AU607" i="32"/>
  <c r="AV607" i="32"/>
  <c r="AW607" i="32"/>
  <c r="AX607" i="32"/>
  <c r="AY607" i="32"/>
  <c r="AZ607" i="32"/>
  <c r="BA607" i="32"/>
  <c r="AK608" i="32"/>
  <c r="AL608" i="32"/>
  <c r="AM608" i="32"/>
  <c r="AN608" i="32"/>
  <c r="AO608" i="32"/>
  <c r="AP608" i="32"/>
  <c r="AQ608" i="32"/>
  <c r="Q608" i="32"/>
  <c r="AR608" i="32"/>
  <c r="AS608" i="32"/>
  <c r="AT608" i="32"/>
  <c r="AU608" i="32"/>
  <c r="AV608" i="32"/>
  <c r="AW608" i="32"/>
  <c r="AX608" i="32"/>
  <c r="AY608" i="32"/>
  <c r="AZ608" i="32"/>
  <c r="BA608" i="32"/>
  <c r="AK609" i="32"/>
  <c r="AL609" i="32"/>
  <c r="AM609" i="32"/>
  <c r="AN609" i="32"/>
  <c r="AO609" i="32"/>
  <c r="AP609" i="32"/>
  <c r="AQ609" i="32"/>
  <c r="Q609" i="32"/>
  <c r="AR609" i="32"/>
  <c r="AS609" i="32"/>
  <c r="AT609" i="32"/>
  <c r="AU609" i="32"/>
  <c r="AV609" i="32"/>
  <c r="AW609" i="32"/>
  <c r="AX609" i="32"/>
  <c r="AY609" i="32"/>
  <c r="AZ609" i="32"/>
  <c r="BA609" i="32"/>
  <c r="AK610" i="32"/>
  <c r="AL610" i="32"/>
  <c r="AM610" i="32"/>
  <c r="AN610" i="32"/>
  <c r="AO610" i="32"/>
  <c r="AP610" i="32"/>
  <c r="AQ610" i="32"/>
  <c r="Q610" i="32"/>
  <c r="AR610" i="32"/>
  <c r="AS610" i="32"/>
  <c r="AT610" i="32"/>
  <c r="AU610" i="32"/>
  <c r="AV610" i="32"/>
  <c r="AW610" i="32"/>
  <c r="AX610" i="32"/>
  <c r="AY610" i="32"/>
  <c r="AZ610" i="32"/>
  <c r="BA610" i="32"/>
  <c r="AK611" i="32"/>
  <c r="AL611" i="32"/>
  <c r="AM611" i="32"/>
  <c r="AN611" i="32"/>
  <c r="AO611" i="32"/>
  <c r="AP611" i="32"/>
  <c r="AQ611" i="32"/>
  <c r="Q611" i="32"/>
  <c r="AR611" i="32"/>
  <c r="AS611" i="32"/>
  <c r="AT611" i="32"/>
  <c r="AU611" i="32"/>
  <c r="AV611" i="32"/>
  <c r="AW611" i="32"/>
  <c r="AX611" i="32"/>
  <c r="AY611" i="32"/>
  <c r="AZ611" i="32"/>
  <c r="BA611" i="32"/>
  <c r="AK612" i="32"/>
  <c r="AL612" i="32"/>
  <c r="AM612" i="32"/>
  <c r="AN612" i="32"/>
  <c r="AO612" i="32"/>
  <c r="AP612" i="32"/>
  <c r="AQ612" i="32"/>
  <c r="Q612" i="32"/>
  <c r="AR612" i="32"/>
  <c r="AS612" i="32"/>
  <c r="AT612" i="32"/>
  <c r="AU612" i="32"/>
  <c r="AV612" i="32"/>
  <c r="AW612" i="32"/>
  <c r="AX612" i="32"/>
  <c r="AY612" i="32"/>
  <c r="AZ612" i="32"/>
  <c r="BA612" i="32"/>
  <c r="AK613" i="32"/>
  <c r="AL613" i="32"/>
  <c r="AM613" i="32"/>
  <c r="AN613" i="32"/>
  <c r="AO613" i="32"/>
  <c r="AP613" i="32"/>
  <c r="AQ613" i="32"/>
  <c r="Q613" i="32"/>
  <c r="AR613" i="32"/>
  <c r="AS613" i="32"/>
  <c r="AT613" i="32"/>
  <c r="AU613" i="32"/>
  <c r="AV613" i="32"/>
  <c r="AW613" i="32"/>
  <c r="AX613" i="32"/>
  <c r="AY613" i="32"/>
  <c r="AZ613" i="32"/>
  <c r="BA613" i="32"/>
  <c r="AK614" i="32"/>
  <c r="AL614" i="32"/>
  <c r="AM614" i="32"/>
  <c r="AN614" i="32"/>
  <c r="AO614" i="32"/>
  <c r="AP614" i="32"/>
  <c r="AQ614" i="32"/>
  <c r="Q614" i="32"/>
  <c r="AR614" i="32"/>
  <c r="AS614" i="32"/>
  <c r="AT614" i="32"/>
  <c r="AU614" i="32"/>
  <c r="AV614" i="32"/>
  <c r="AW614" i="32"/>
  <c r="AX614" i="32"/>
  <c r="AY614" i="32"/>
  <c r="AZ614" i="32"/>
  <c r="BA614" i="32"/>
  <c r="AK615" i="32"/>
  <c r="AL615" i="32"/>
  <c r="AM615" i="32"/>
  <c r="AN615" i="32"/>
  <c r="AO615" i="32"/>
  <c r="AP615" i="32"/>
  <c r="AQ615" i="32"/>
  <c r="Q615" i="32"/>
  <c r="AR615" i="32"/>
  <c r="AS615" i="32"/>
  <c r="AT615" i="32"/>
  <c r="AU615" i="32"/>
  <c r="AV615" i="32"/>
  <c r="AW615" i="32"/>
  <c r="AX615" i="32"/>
  <c r="AY615" i="32"/>
  <c r="AZ615" i="32"/>
  <c r="BA615" i="32"/>
  <c r="AK616" i="32"/>
  <c r="AL616" i="32"/>
  <c r="AM616" i="32"/>
  <c r="AN616" i="32"/>
  <c r="AO616" i="32"/>
  <c r="AP616" i="32"/>
  <c r="AQ616" i="32"/>
  <c r="Q616" i="32"/>
  <c r="AR616" i="32"/>
  <c r="AS616" i="32"/>
  <c r="AT616" i="32"/>
  <c r="AU616" i="32"/>
  <c r="AV616" i="32"/>
  <c r="AW616" i="32"/>
  <c r="AX616" i="32"/>
  <c r="AY616" i="32"/>
  <c r="AZ616" i="32"/>
  <c r="BA616" i="32"/>
  <c r="AK617" i="32"/>
  <c r="AL617" i="32"/>
  <c r="AM617" i="32"/>
  <c r="AN617" i="32"/>
  <c r="AO617" i="32"/>
  <c r="AP617" i="32"/>
  <c r="AQ617" i="32"/>
  <c r="Q617" i="32"/>
  <c r="AR617" i="32"/>
  <c r="AS617" i="32"/>
  <c r="AT617" i="32"/>
  <c r="AU617" i="32"/>
  <c r="AV617" i="32"/>
  <c r="AW617" i="32"/>
  <c r="AX617" i="32"/>
  <c r="AY617" i="32"/>
  <c r="AZ617" i="32"/>
  <c r="BA617" i="32"/>
  <c r="AK618" i="32"/>
  <c r="AL618" i="32"/>
  <c r="AM618" i="32"/>
  <c r="AN618" i="32"/>
  <c r="AO618" i="32"/>
  <c r="AP618" i="32"/>
  <c r="AQ618" i="32"/>
  <c r="Q618" i="32"/>
  <c r="AR618" i="32"/>
  <c r="AS618" i="32"/>
  <c r="AT618" i="32"/>
  <c r="AU618" i="32"/>
  <c r="AV618" i="32"/>
  <c r="AW618" i="32"/>
  <c r="AX618" i="32"/>
  <c r="AY618" i="32"/>
  <c r="AZ618" i="32"/>
  <c r="BA618" i="32"/>
  <c r="AK619" i="32"/>
  <c r="AL619" i="32"/>
  <c r="AM619" i="32"/>
  <c r="AN619" i="32"/>
  <c r="AO619" i="32"/>
  <c r="AP619" i="32"/>
  <c r="AQ619" i="32"/>
  <c r="Q619" i="32"/>
  <c r="AR619" i="32"/>
  <c r="AS619" i="32"/>
  <c r="AT619" i="32"/>
  <c r="AU619" i="32"/>
  <c r="AV619" i="32"/>
  <c r="AW619" i="32"/>
  <c r="AX619" i="32"/>
  <c r="AY619" i="32"/>
  <c r="AZ619" i="32"/>
  <c r="BA619" i="32"/>
  <c r="AK620" i="32"/>
  <c r="AL620" i="32"/>
  <c r="AM620" i="32"/>
  <c r="AN620" i="32"/>
  <c r="AO620" i="32"/>
  <c r="AP620" i="32"/>
  <c r="AQ620" i="32"/>
  <c r="Q620" i="32"/>
  <c r="AR620" i="32"/>
  <c r="AS620" i="32"/>
  <c r="AT620" i="32"/>
  <c r="AU620" i="32"/>
  <c r="AV620" i="32"/>
  <c r="AW620" i="32"/>
  <c r="AX620" i="32"/>
  <c r="AY620" i="32"/>
  <c r="AZ620" i="32"/>
  <c r="BA620" i="32"/>
  <c r="AK621" i="32"/>
  <c r="AL621" i="32"/>
  <c r="AM621" i="32"/>
  <c r="AN621" i="32"/>
  <c r="AO621" i="32"/>
  <c r="AP621" i="32"/>
  <c r="AQ621" i="32"/>
  <c r="Q621" i="32"/>
  <c r="AR621" i="32"/>
  <c r="AS621" i="32"/>
  <c r="AT621" i="32"/>
  <c r="AU621" i="32"/>
  <c r="AV621" i="32"/>
  <c r="AW621" i="32"/>
  <c r="AX621" i="32"/>
  <c r="AY621" i="32"/>
  <c r="AZ621" i="32"/>
  <c r="BA621" i="32"/>
  <c r="AK622" i="32"/>
  <c r="AL622" i="32"/>
  <c r="AM622" i="32"/>
  <c r="AN622" i="32"/>
  <c r="AO622" i="32"/>
  <c r="AP622" i="32"/>
  <c r="AQ622" i="32"/>
  <c r="Q622" i="32"/>
  <c r="AR622" i="32"/>
  <c r="AS622" i="32"/>
  <c r="AT622" i="32"/>
  <c r="AU622" i="32"/>
  <c r="AV622" i="32"/>
  <c r="AW622" i="32"/>
  <c r="AX622" i="32"/>
  <c r="AY622" i="32"/>
  <c r="AZ622" i="32"/>
  <c r="BA622" i="32"/>
  <c r="AK623" i="32"/>
  <c r="AL623" i="32"/>
  <c r="AM623" i="32"/>
  <c r="AN623" i="32"/>
  <c r="AO623" i="32"/>
  <c r="AP623" i="32"/>
  <c r="AQ623" i="32"/>
  <c r="Q623" i="32"/>
  <c r="AR623" i="32"/>
  <c r="AS623" i="32"/>
  <c r="AT623" i="32"/>
  <c r="AU623" i="32"/>
  <c r="AV623" i="32"/>
  <c r="AW623" i="32"/>
  <c r="AX623" i="32"/>
  <c r="AY623" i="32"/>
  <c r="AZ623" i="32"/>
  <c r="BA623" i="32"/>
  <c r="AK624" i="32"/>
  <c r="AL624" i="32"/>
  <c r="AM624" i="32"/>
  <c r="AN624" i="32"/>
  <c r="AO624" i="32"/>
  <c r="AP624" i="32"/>
  <c r="AQ624" i="32"/>
  <c r="Q624" i="32"/>
  <c r="AR624" i="32"/>
  <c r="AS624" i="32"/>
  <c r="AT624" i="32"/>
  <c r="AU624" i="32"/>
  <c r="AV624" i="32"/>
  <c r="AW624" i="32"/>
  <c r="AX624" i="32"/>
  <c r="AY624" i="32"/>
  <c r="AZ624" i="32"/>
  <c r="BA624" i="32"/>
  <c r="AK625" i="32"/>
  <c r="AL625" i="32"/>
  <c r="AM625" i="32"/>
  <c r="AN625" i="32"/>
  <c r="AO625" i="32"/>
  <c r="AP625" i="32"/>
  <c r="AQ625" i="32"/>
  <c r="Q625" i="32"/>
  <c r="AR625" i="32"/>
  <c r="AS625" i="32"/>
  <c r="AT625" i="32"/>
  <c r="AU625" i="32"/>
  <c r="AV625" i="32"/>
  <c r="AW625" i="32"/>
  <c r="AX625" i="32"/>
  <c r="AY625" i="32"/>
  <c r="AZ625" i="32"/>
  <c r="BA625" i="32"/>
  <c r="AK626" i="32"/>
  <c r="AL626" i="32"/>
  <c r="AM626" i="32"/>
  <c r="AN626" i="32"/>
  <c r="AO626" i="32"/>
  <c r="AP626" i="32"/>
  <c r="AQ626" i="32"/>
  <c r="Q626" i="32"/>
  <c r="AR626" i="32"/>
  <c r="AS626" i="32"/>
  <c r="AT626" i="32"/>
  <c r="AU626" i="32"/>
  <c r="AV626" i="32"/>
  <c r="AW626" i="32"/>
  <c r="AX626" i="32"/>
  <c r="AY626" i="32"/>
  <c r="AZ626" i="32"/>
  <c r="BA626" i="32"/>
  <c r="AK627" i="32"/>
  <c r="AL627" i="32"/>
  <c r="AM627" i="32"/>
  <c r="AN627" i="32"/>
  <c r="AO627" i="32"/>
  <c r="AP627" i="32"/>
  <c r="AQ627" i="32"/>
  <c r="Q627" i="32"/>
  <c r="AR627" i="32"/>
  <c r="AS627" i="32"/>
  <c r="AT627" i="32"/>
  <c r="AU627" i="32"/>
  <c r="AV627" i="32"/>
  <c r="AW627" i="32"/>
  <c r="AX627" i="32"/>
  <c r="AY627" i="32"/>
  <c r="AZ627" i="32"/>
  <c r="BA627" i="32"/>
  <c r="AK628" i="32"/>
  <c r="AL628" i="32"/>
  <c r="AM628" i="32"/>
  <c r="AN628" i="32"/>
  <c r="AO628" i="32"/>
  <c r="AP628" i="32"/>
  <c r="AQ628" i="32"/>
  <c r="Q628" i="32"/>
  <c r="AR628" i="32"/>
  <c r="AS628" i="32"/>
  <c r="AT628" i="32"/>
  <c r="AU628" i="32"/>
  <c r="AV628" i="32"/>
  <c r="AW628" i="32"/>
  <c r="AX628" i="32"/>
  <c r="AY628" i="32"/>
  <c r="AZ628" i="32"/>
  <c r="BA628" i="32"/>
  <c r="AK629" i="32"/>
  <c r="AL629" i="32"/>
  <c r="AM629" i="32"/>
  <c r="AN629" i="32"/>
  <c r="AO629" i="32"/>
  <c r="AP629" i="32"/>
  <c r="AQ629" i="32"/>
  <c r="Q629" i="32"/>
  <c r="AR629" i="32"/>
  <c r="AS629" i="32"/>
  <c r="AT629" i="32"/>
  <c r="AU629" i="32"/>
  <c r="AV629" i="32"/>
  <c r="AW629" i="32"/>
  <c r="AX629" i="32"/>
  <c r="AY629" i="32"/>
  <c r="AZ629" i="32"/>
  <c r="BA629" i="32"/>
  <c r="AK630" i="32"/>
  <c r="AL630" i="32"/>
  <c r="AM630" i="32"/>
  <c r="AN630" i="32"/>
  <c r="AO630" i="32"/>
  <c r="AP630" i="32"/>
  <c r="AQ630" i="32"/>
  <c r="Q630" i="32"/>
  <c r="AR630" i="32"/>
  <c r="AS630" i="32"/>
  <c r="AT630" i="32"/>
  <c r="AU630" i="32"/>
  <c r="AV630" i="32"/>
  <c r="AW630" i="32"/>
  <c r="AX630" i="32"/>
  <c r="AY630" i="32"/>
  <c r="AZ630" i="32"/>
  <c r="BA630" i="32"/>
  <c r="AK631" i="32"/>
  <c r="AL631" i="32"/>
  <c r="AM631" i="32"/>
  <c r="AN631" i="32"/>
  <c r="AO631" i="32"/>
  <c r="AP631" i="32"/>
  <c r="AQ631" i="32"/>
  <c r="Q631" i="32"/>
  <c r="AR631" i="32"/>
  <c r="AS631" i="32"/>
  <c r="AT631" i="32"/>
  <c r="AU631" i="32"/>
  <c r="AV631" i="32"/>
  <c r="AW631" i="32"/>
  <c r="AX631" i="32"/>
  <c r="AY631" i="32"/>
  <c r="AZ631" i="32"/>
  <c r="BA631" i="32"/>
  <c r="AK632" i="32"/>
  <c r="AL632" i="32"/>
  <c r="AM632" i="32"/>
  <c r="AN632" i="32"/>
  <c r="AO632" i="32"/>
  <c r="AP632" i="32"/>
  <c r="AQ632" i="32"/>
  <c r="Q632" i="32"/>
  <c r="AR632" i="32"/>
  <c r="AS632" i="32"/>
  <c r="AT632" i="32"/>
  <c r="AU632" i="32"/>
  <c r="AV632" i="32"/>
  <c r="AW632" i="32"/>
  <c r="AX632" i="32"/>
  <c r="AY632" i="32"/>
  <c r="AZ632" i="32"/>
  <c r="BA632" i="32"/>
  <c r="AK633" i="32"/>
  <c r="AL633" i="32"/>
  <c r="AM633" i="32"/>
  <c r="AN633" i="32"/>
  <c r="AO633" i="32"/>
  <c r="AP633" i="32"/>
  <c r="AQ633" i="32"/>
  <c r="Q633" i="32"/>
  <c r="AR633" i="32"/>
  <c r="AS633" i="32"/>
  <c r="AT633" i="32"/>
  <c r="AU633" i="32"/>
  <c r="AV633" i="32"/>
  <c r="AW633" i="32"/>
  <c r="AX633" i="32"/>
  <c r="AY633" i="32"/>
  <c r="AZ633" i="32"/>
  <c r="BA633" i="32"/>
  <c r="AK634" i="32"/>
  <c r="AL634" i="32"/>
  <c r="AM634" i="32"/>
  <c r="AN634" i="32"/>
  <c r="AO634" i="32"/>
  <c r="AP634" i="32"/>
  <c r="AQ634" i="32"/>
  <c r="Q634" i="32"/>
  <c r="AR634" i="32"/>
  <c r="AS634" i="32"/>
  <c r="AT634" i="32"/>
  <c r="AU634" i="32"/>
  <c r="AV634" i="32"/>
  <c r="AW634" i="32"/>
  <c r="AX634" i="32"/>
  <c r="AY634" i="32"/>
  <c r="AZ634" i="32"/>
  <c r="BA634" i="32"/>
  <c r="AK635" i="32"/>
  <c r="AL635" i="32"/>
  <c r="AM635" i="32"/>
  <c r="AN635" i="32"/>
  <c r="AO635" i="32"/>
  <c r="AP635" i="32"/>
  <c r="AQ635" i="32"/>
  <c r="Q635" i="32"/>
  <c r="AR635" i="32"/>
  <c r="AS635" i="32"/>
  <c r="AT635" i="32"/>
  <c r="AU635" i="32"/>
  <c r="AV635" i="32"/>
  <c r="AW635" i="32"/>
  <c r="AX635" i="32"/>
  <c r="AY635" i="32"/>
  <c r="AZ635" i="32"/>
  <c r="BA635" i="32"/>
  <c r="AK636" i="32"/>
  <c r="AL636" i="32"/>
  <c r="AM636" i="32"/>
  <c r="AN636" i="32"/>
  <c r="AO636" i="32"/>
  <c r="AP636" i="32"/>
  <c r="AQ636" i="32"/>
  <c r="Q636" i="32"/>
  <c r="AR636" i="32"/>
  <c r="AS636" i="32"/>
  <c r="AT636" i="32"/>
  <c r="AU636" i="32"/>
  <c r="AV636" i="32"/>
  <c r="AW636" i="32"/>
  <c r="AX636" i="32"/>
  <c r="AY636" i="32"/>
  <c r="AZ636" i="32"/>
  <c r="BA636" i="32"/>
  <c r="AK637" i="32"/>
  <c r="AL637" i="32"/>
  <c r="AM637" i="32"/>
  <c r="AN637" i="32"/>
  <c r="AO637" i="32"/>
  <c r="AP637" i="32"/>
  <c r="AQ637" i="32"/>
  <c r="Q637" i="32"/>
  <c r="AR637" i="32"/>
  <c r="AS637" i="32"/>
  <c r="AT637" i="32"/>
  <c r="AU637" i="32"/>
  <c r="AV637" i="32"/>
  <c r="AW637" i="32"/>
  <c r="AX637" i="32"/>
  <c r="AY637" i="32"/>
  <c r="AZ637" i="32"/>
  <c r="BA637" i="32"/>
  <c r="AK638" i="32"/>
  <c r="AL638" i="32"/>
  <c r="AM638" i="32"/>
  <c r="AN638" i="32"/>
  <c r="AO638" i="32"/>
  <c r="AP638" i="32"/>
  <c r="AQ638" i="32"/>
  <c r="Q638" i="32"/>
  <c r="AR638" i="32"/>
  <c r="AS638" i="32"/>
  <c r="AT638" i="32"/>
  <c r="AU638" i="32"/>
  <c r="AV638" i="32"/>
  <c r="AW638" i="32"/>
  <c r="AX638" i="32"/>
  <c r="AY638" i="32"/>
  <c r="AZ638" i="32"/>
  <c r="BA638" i="32"/>
  <c r="AK639" i="32"/>
  <c r="AL639" i="32"/>
  <c r="AM639" i="32"/>
  <c r="AN639" i="32"/>
  <c r="AO639" i="32"/>
  <c r="AP639" i="32"/>
  <c r="AQ639" i="32"/>
  <c r="Q639" i="32"/>
  <c r="AR639" i="32"/>
  <c r="AS639" i="32"/>
  <c r="AT639" i="32"/>
  <c r="AU639" i="32"/>
  <c r="AV639" i="32"/>
  <c r="AW639" i="32"/>
  <c r="AX639" i="32"/>
  <c r="AY639" i="32"/>
  <c r="AZ639" i="32"/>
  <c r="BA639" i="32"/>
  <c r="AK640" i="32"/>
  <c r="AL640" i="32"/>
  <c r="AM640" i="32"/>
  <c r="AN640" i="32"/>
  <c r="AO640" i="32"/>
  <c r="AP640" i="32"/>
  <c r="AQ640" i="32"/>
  <c r="Q640" i="32"/>
  <c r="AR640" i="32"/>
  <c r="AS640" i="32"/>
  <c r="AT640" i="32"/>
  <c r="AU640" i="32"/>
  <c r="AV640" i="32"/>
  <c r="AW640" i="32"/>
  <c r="AX640" i="32"/>
  <c r="AY640" i="32"/>
  <c r="AZ640" i="32"/>
  <c r="BA640" i="32"/>
  <c r="AK641" i="32"/>
  <c r="AL641" i="32"/>
  <c r="AM641" i="32"/>
  <c r="AN641" i="32"/>
  <c r="AO641" i="32"/>
  <c r="AP641" i="32"/>
  <c r="AQ641" i="32"/>
  <c r="Q641" i="32"/>
  <c r="AR641" i="32"/>
  <c r="AS641" i="32"/>
  <c r="AT641" i="32"/>
  <c r="AU641" i="32"/>
  <c r="AV641" i="32"/>
  <c r="AW641" i="32"/>
  <c r="AX641" i="32"/>
  <c r="AY641" i="32"/>
  <c r="AZ641" i="32"/>
  <c r="BA641" i="32"/>
  <c r="AK642" i="32"/>
  <c r="AL642" i="32"/>
  <c r="AM642" i="32"/>
  <c r="AN642" i="32"/>
  <c r="AO642" i="32"/>
  <c r="AP642" i="32"/>
  <c r="AQ642" i="32"/>
  <c r="Q642" i="32"/>
  <c r="AR642" i="32"/>
  <c r="AS642" i="32"/>
  <c r="AT642" i="32"/>
  <c r="AU642" i="32"/>
  <c r="AV642" i="32"/>
  <c r="AW642" i="32"/>
  <c r="AX642" i="32"/>
  <c r="AY642" i="32"/>
  <c r="AZ642" i="32"/>
  <c r="BA642" i="32"/>
  <c r="AK643" i="32"/>
  <c r="AL643" i="32"/>
  <c r="AM643" i="32"/>
  <c r="AN643" i="32"/>
  <c r="AO643" i="32"/>
  <c r="AP643" i="32"/>
  <c r="AQ643" i="32"/>
  <c r="Q643" i="32"/>
  <c r="AR643" i="32"/>
  <c r="AS643" i="32"/>
  <c r="AT643" i="32"/>
  <c r="AU643" i="32"/>
  <c r="AV643" i="32"/>
  <c r="AW643" i="32"/>
  <c r="AX643" i="32"/>
  <c r="AY643" i="32"/>
  <c r="AZ643" i="32"/>
  <c r="BA643" i="32"/>
  <c r="AK644" i="32"/>
  <c r="AL644" i="32"/>
  <c r="AM644" i="32"/>
  <c r="AN644" i="32"/>
  <c r="AO644" i="32"/>
  <c r="AP644" i="32"/>
  <c r="AQ644" i="32"/>
  <c r="Q644" i="32"/>
  <c r="AR644" i="32"/>
  <c r="AS644" i="32"/>
  <c r="AT644" i="32"/>
  <c r="AU644" i="32"/>
  <c r="AV644" i="32"/>
  <c r="AW644" i="32"/>
  <c r="AX644" i="32"/>
  <c r="AY644" i="32"/>
  <c r="AZ644" i="32"/>
  <c r="BA644" i="32"/>
  <c r="AK645" i="32"/>
  <c r="AL645" i="32"/>
  <c r="AM645" i="32"/>
  <c r="AN645" i="32"/>
  <c r="AO645" i="32"/>
  <c r="AP645" i="32"/>
  <c r="AQ645" i="32"/>
  <c r="Q645" i="32"/>
  <c r="AR645" i="32"/>
  <c r="AS645" i="32"/>
  <c r="AT645" i="32"/>
  <c r="AU645" i="32"/>
  <c r="AV645" i="32"/>
  <c r="AW645" i="32"/>
  <c r="AX645" i="32"/>
  <c r="AY645" i="32"/>
  <c r="AZ645" i="32"/>
  <c r="BA645" i="32"/>
  <c r="AK646" i="32"/>
  <c r="AL646" i="32"/>
  <c r="AM646" i="32"/>
  <c r="AN646" i="32"/>
  <c r="AO646" i="32"/>
  <c r="AP646" i="32"/>
  <c r="AQ646" i="32"/>
  <c r="Q646" i="32"/>
  <c r="AR646" i="32"/>
  <c r="AS646" i="32"/>
  <c r="AT646" i="32"/>
  <c r="AU646" i="32"/>
  <c r="AV646" i="32"/>
  <c r="AW646" i="32"/>
  <c r="AX646" i="32"/>
  <c r="AY646" i="32"/>
  <c r="AZ646" i="32"/>
  <c r="BA646" i="32"/>
  <c r="AK647" i="32"/>
  <c r="AL647" i="32"/>
  <c r="AM647" i="32"/>
  <c r="AN647" i="32"/>
  <c r="AO647" i="32"/>
  <c r="AP647" i="32"/>
  <c r="AQ647" i="32"/>
  <c r="Q647" i="32"/>
  <c r="AR647" i="32"/>
  <c r="AS647" i="32"/>
  <c r="AT647" i="32"/>
  <c r="AU647" i="32"/>
  <c r="AV647" i="32"/>
  <c r="AW647" i="32"/>
  <c r="AX647" i="32"/>
  <c r="AY647" i="32"/>
  <c r="AZ647" i="32"/>
  <c r="BA647" i="32"/>
  <c r="AK648" i="32"/>
  <c r="AL648" i="32"/>
  <c r="AM648" i="32"/>
  <c r="AN648" i="32"/>
  <c r="AO648" i="32"/>
  <c r="AP648" i="32"/>
  <c r="AQ648" i="32"/>
  <c r="Q648" i="32"/>
  <c r="AR648" i="32"/>
  <c r="AS648" i="32"/>
  <c r="AT648" i="32"/>
  <c r="AU648" i="32"/>
  <c r="AV648" i="32"/>
  <c r="AW648" i="32"/>
  <c r="AX648" i="32"/>
  <c r="AY648" i="32"/>
  <c r="AZ648" i="32"/>
  <c r="BA648" i="32"/>
  <c r="AK649" i="32"/>
  <c r="AL649" i="32"/>
  <c r="AM649" i="32"/>
  <c r="AN649" i="32"/>
  <c r="AO649" i="32"/>
  <c r="AP649" i="32"/>
  <c r="AQ649" i="32"/>
  <c r="Q649" i="32"/>
  <c r="AR649" i="32"/>
  <c r="AS649" i="32"/>
  <c r="AT649" i="32"/>
  <c r="AU649" i="32"/>
  <c r="AV649" i="32"/>
  <c r="AW649" i="32"/>
  <c r="AX649" i="32"/>
  <c r="AY649" i="32"/>
  <c r="AZ649" i="32"/>
  <c r="BA649" i="32"/>
  <c r="AK650" i="32"/>
  <c r="AL650" i="32"/>
  <c r="AM650" i="32"/>
  <c r="AN650" i="32"/>
  <c r="AO650" i="32"/>
  <c r="AP650" i="32"/>
  <c r="AQ650" i="32"/>
  <c r="Q650" i="32"/>
  <c r="AR650" i="32"/>
  <c r="AS650" i="32"/>
  <c r="AT650" i="32"/>
  <c r="AU650" i="32"/>
  <c r="AV650" i="32"/>
  <c r="AW650" i="32"/>
  <c r="AX650" i="32"/>
  <c r="AY650" i="32"/>
  <c r="AZ650" i="32"/>
  <c r="BA650" i="32"/>
  <c r="AK651" i="32"/>
  <c r="AL651" i="32"/>
  <c r="AM651" i="32"/>
  <c r="AN651" i="32"/>
  <c r="AO651" i="32"/>
  <c r="AP651" i="32"/>
  <c r="AQ651" i="32"/>
  <c r="Q651" i="32"/>
  <c r="AR651" i="32"/>
  <c r="AS651" i="32"/>
  <c r="AT651" i="32"/>
  <c r="AU651" i="32"/>
  <c r="AV651" i="32"/>
  <c r="AW651" i="32"/>
  <c r="AX651" i="32"/>
  <c r="AY651" i="32"/>
  <c r="AZ651" i="32"/>
  <c r="BA651" i="32"/>
  <c r="AK652" i="32"/>
  <c r="AL652" i="32"/>
  <c r="AM652" i="32"/>
  <c r="AN652" i="32"/>
  <c r="AO652" i="32"/>
  <c r="AP652" i="32"/>
  <c r="AQ652" i="32"/>
  <c r="Q652" i="32"/>
  <c r="AR652" i="32"/>
  <c r="AS652" i="32"/>
  <c r="AT652" i="32"/>
  <c r="AU652" i="32"/>
  <c r="AV652" i="32"/>
  <c r="AW652" i="32"/>
  <c r="AX652" i="32"/>
  <c r="AY652" i="32"/>
  <c r="AZ652" i="32"/>
  <c r="BA652" i="32"/>
  <c r="AK653" i="32"/>
  <c r="AL653" i="32"/>
  <c r="AM653" i="32"/>
  <c r="AN653" i="32"/>
  <c r="AO653" i="32"/>
  <c r="AP653" i="32"/>
  <c r="AQ653" i="32"/>
  <c r="Q653" i="32"/>
  <c r="AR653" i="32"/>
  <c r="AS653" i="32"/>
  <c r="AT653" i="32"/>
  <c r="AU653" i="32"/>
  <c r="AV653" i="32"/>
  <c r="AW653" i="32"/>
  <c r="AX653" i="32"/>
  <c r="AY653" i="32"/>
  <c r="AZ653" i="32"/>
  <c r="BA653" i="32"/>
  <c r="AK654" i="32"/>
  <c r="AL654" i="32"/>
  <c r="AM654" i="32"/>
  <c r="AN654" i="32"/>
  <c r="AO654" i="32"/>
  <c r="AP654" i="32"/>
  <c r="AQ654" i="32"/>
  <c r="Q654" i="32"/>
  <c r="AR654" i="32"/>
  <c r="AS654" i="32"/>
  <c r="AT654" i="32"/>
  <c r="AU654" i="32"/>
  <c r="AV654" i="32"/>
  <c r="AW654" i="32"/>
  <c r="AX654" i="32"/>
  <c r="AY654" i="32"/>
  <c r="AZ654" i="32"/>
  <c r="BA654" i="32"/>
  <c r="AK655" i="32"/>
  <c r="AL655" i="32"/>
  <c r="AM655" i="32"/>
  <c r="AN655" i="32"/>
  <c r="AO655" i="32"/>
  <c r="AP655" i="32"/>
  <c r="AQ655" i="32"/>
  <c r="Q655" i="32"/>
  <c r="AR655" i="32"/>
  <c r="AS655" i="32"/>
  <c r="AT655" i="32"/>
  <c r="AU655" i="32"/>
  <c r="AV655" i="32"/>
  <c r="AW655" i="32"/>
  <c r="AX655" i="32"/>
  <c r="AY655" i="32"/>
  <c r="AZ655" i="32"/>
  <c r="BA655" i="32"/>
  <c r="AK656" i="32"/>
  <c r="AL656" i="32"/>
  <c r="AM656" i="32"/>
  <c r="AN656" i="32"/>
  <c r="AO656" i="32"/>
  <c r="AP656" i="32"/>
  <c r="AQ656" i="32"/>
  <c r="Q656" i="32"/>
  <c r="AR656" i="32"/>
  <c r="AS656" i="32"/>
  <c r="AT656" i="32"/>
  <c r="AU656" i="32"/>
  <c r="AV656" i="32"/>
  <c r="AW656" i="32"/>
  <c r="AX656" i="32"/>
  <c r="AY656" i="32"/>
  <c r="AZ656" i="32"/>
  <c r="BA656" i="32"/>
  <c r="AK657" i="32"/>
  <c r="AL657" i="32"/>
  <c r="AM657" i="32"/>
  <c r="AN657" i="32"/>
  <c r="AO657" i="32"/>
  <c r="AP657" i="32"/>
  <c r="AQ657" i="32"/>
  <c r="Q657" i="32"/>
  <c r="AR657" i="32"/>
  <c r="AS657" i="32"/>
  <c r="AT657" i="32"/>
  <c r="AU657" i="32"/>
  <c r="AV657" i="32"/>
  <c r="AW657" i="32"/>
  <c r="AX657" i="32"/>
  <c r="AY657" i="32"/>
  <c r="AZ657" i="32"/>
  <c r="BA657" i="32"/>
  <c r="AK658" i="32"/>
  <c r="AL658" i="32"/>
  <c r="AM658" i="32"/>
  <c r="AN658" i="32"/>
  <c r="AO658" i="32"/>
  <c r="AP658" i="32"/>
  <c r="AQ658" i="32"/>
  <c r="Q658" i="32"/>
  <c r="AR658" i="32"/>
  <c r="AS658" i="32"/>
  <c r="AT658" i="32"/>
  <c r="AU658" i="32"/>
  <c r="AV658" i="32"/>
  <c r="AW658" i="32"/>
  <c r="AX658" i="32"/>
  <c r="AY658" i="32"/>
  <c r="AZ658" i="32"/>
  <c r="BA658" i="32"/>
  <c r="AK659" i="32"/>
  <c r="AL659" i="32"/>
  <c r="AM659" i="32"/>
  <c r="AN659" i="32"/>
  <c r="AO659" i="32"/>
  <c r="AP659" i="32"/>
  <c r="AQ659" i="32"/>
  <c r="Q659" i="32"/>
  <c r="AR659" i="32"/>
  <c r="AS659" i="32"/>
  <c r="AT659" i="32"/>
  <c r="AU659" i="32"/>
  <c r="AV659" i="32"/>
  <c r="AW659" i="32"/>
  <c r="AX659" i="32"/>
  <c r="AY659" i="32"/>
  <c r="AZ659" i="32"/>
  <c r="BA659" i="32"/>
  <c r="AK660" i="32"/>
  <c r="AL660" i="32"/>
  <c r="AM660" i="32"/>
  <c r="AN660" i="32"/>
  <c r="AO660" i="32"/>
  <c r="AP660" i="32"/>
  <c r="AQ660" i="32"/>
  <c r="Q660" i="32"/>
  <c r="AR660" i="32"/>
  <c r="AS660" i="32"/>
  <c r="AT660" i="32"/>
  <c r="AU660" i="32"/>
  <c r="AV660" i="32"/>
  <c r="AW660" i="32"/>
  <c r="AX660" i="32"/>
  <c r="AY660" i="32"/>
  <c r="AZ660" i="32"/>
  <c r="BA660" i="32"/>
  <c r="AK661" i="32"/>
  <c r="AL661" i="32"/>
  <c r="AM661" i="32"/>
  <c r="AN661" i="32"/>
  <c r="AO661" i="32"/>
  <c r="AP661" i="32"/>
  <c r="AQ661" i="32"/>
  <c r="Q661" i="32"/>
  <c r="AR661" i="32"/>
  <c r="AS661" i="32"/>
  <c r="AT661" i="32"/>
  <c r="AU661" i="32"/>
  <c r="AV661" i="32"/>
  <c r="AW661" i="32"/>
  <c r="AX661" i="32"/>
  <c r="AY661" i="32"/>
  <c r="AZ661" i="32"/>
  <c r="BA661" i="32"/>
  <c r="AK662" i="32"/>
  <c r="AL662" i="32"/>
  <c r="AM662" i="32"/>
  <c r="AN662" i="32"/>
  <c r="AO662" i="32"/>
  <c r="AP662" i="32"/>
  <c r="AQ662" i="32"/>
  <c r="Q662" i="32"/>
  <c r="AR662" i="32"/>
  <c r="AS662" i="32"/>
  <c r="AT662" i="32"/>
  <c r="AU662" i="32"/>
  <c r="AV662" i="32"/>
  <c r="AW662" i="32"/>
  <c r="AX662" i="32"/>
  <c r="AY662" i="32"/>
  <c r="AZ662" i="32"/>
  <c r="BA662" i="32"/>
  <c r="AK663" i="32"/>
  <c r="AL663" i="32"/>
  <c r="AM663" i="32"/>
  <c r="AN663" i="32"/>
  <c r="AO663" i="32"/>
  <c r="AP663" i="32"/>
  <c r="AQ663" i="32"/>
  <c r="Q663" i="32"/>
  <c r="AR663" i="32"/>
  <c r="AS663" i="32"/>
  <c r="AT663" i="32"/>
  <c r="AU663" i="32"/>
  <c r="AV663" i="32"/>
  <c r="AW663" i="32"/>
  <c r="AX663" i="32"/>
  <c r="AY663" i="32"/>
  <c r="AZ663" i="32"/>
  <c r="BA663" i="32"/>
  <c r="AK664" i="32"/>
  <c r="AL664" i="32"/>
  <c r="AM664" i="32"/>
  <c r="AN664" i="32"/>
  <c r="AO664" i="32"/>
  <c r="AP664" i="32"/>
  <c r="AQ664" i="32"/>
  <c r="Q664" i="32"/>
  <c r="AR664" i="32"/>
  <c r="AS664" i="32"/>
  <c r="AT664" i="32"/>
  <c r="AU664" i="32"/>
  <c r="AV664" i="32"/>
  <c r="AW664" i="32"/>
  <c r="AX664" i="32"/>
  <c r="AY664" i="32"/>
  <c r="AZ664" i="32"/>
  <c r="BA664" i="32"/>
  <c r="AK665" i="32"/>
  <c r="AL665" i="32"/>
  <c r="AM665" i="32"/>
  <c r="AN665" i="32"/>
  <c r="AO665" i="32"/>
  <c r="AP665" i="32"/>
  <c r="AQ665" i="32"/>
  <c r="Q665" i="32"/>
  <c r="AR665" i="32"/>
  <c r="AS665" i="32"/>
  <c r="AT665" i="32"/>
  <c r="AU665" i="32"/>
  <c r="AV665" i="32"/>
  <c r="AW665" i="32"/>
  <c r="AX665" i="32"/>
  <c r="AY665" i="32"/>
  <c r="AZ665" i="32"/>
  <c r="BA665" i="32"/>
  <c r="AK666" i="32"/>
  <c r="AL666" i="32"/>
  <c r="AM666" i="32"/>
  <c r="AN666" i="32"/>
  <c r="AO666" i="32"/>
  <c r="AP666" i="32"/>
  <c r="AQ666" i="32"/>
  <c r="Q666" i="32"/>
  <c r="AR666" i="32"/>
  <c r="AS666" i="32"/>
  <c r="AT666" i="32"/>
  <c r="AU666" i="32"/>
  <c r="AV666" i="32"/>
  <c r="AW666" i="32"/>
  <c r="AX666" i="32"/>
  <c r="AY666" i="32"/>
  <c r="AZ666" i="32"/>
  <c r="BA666" i="32"/>
  <c r="AK667" i="32"/>
  <c r="AL667" i="32"/>
  <c r="AM667" i="32"/>
  <c r="AN667" i="32"/>
  <c r="AO667" i="32"/>
  <c r="AP667" i="32"/>
  <c r="AQ667" i="32"/>
  <c r="Q667" i="32"/>
  <c r="AR667" i="32"/>
  <c r="AS667" i="32"/>
  <c r="AT667" i="32"/>
  <c r="AU667" i="32"/>
  <c r="AV667" i="32"/>
  <c r="AW667" i="32"/>
  <c r="AX667" i="32"/>
  <c r="AY667" i="32"/>
  <c r="AZ667" i="32"/>
  <c r="BA667" i="32"/>
  <c r="AK668" i="32"/>
  <c r="AL668" i="32"/>
  <c r="AM668" i="32"/>
  <c r="AN668" i="32"/>
  <c r="AO668" i="32"/>
  <c r="AP668" i="32"/>
  <c r="AQ668" i="32"/>
  <c r="Q668" i="32"/>
  <c r="AR668" i="32"/>
  <c r="AS668" i="32"/>
  <c r="AT668" i="32"/>
  <c r="AU668" i="32"/>
  <c r="AV668" i="32"/>
  <c r="AW668" i="32"/>
  <c r="AX668" i="32"/>
  <c r="AY668" i="32"/>
  <c r="AZ668" i="32"/>
  <c r="BA668" i="32"/>
  <c r="AK669" i="32"/>
  <c r="AL669" i="32"/>
  <c r="AM669" i="32"/>
  <c r="AN669" i="32"/>
  <c r="AO669" i="32"/>
  <c r="AP669" i="32"/>
  <c r="AQ669" i="32"/>
  <c r="Q669" i="32"/>
  <c r="AR669" i="32"/>
  <c r="AS669" i="32"/>
  <c r="AT669" i="32"/>
  <c r="AU669" i="32"/>
  <c r="AV669" i="32"/>
  <c r="AW669" i="32"/>
  <c r="AX669" i="32"/>
  <c r="AY669" i="32"/>
  <c r="AZ669" i="32"/>
  <c r="BA669" i="32"/>
  <c r="AK670" i="32"/>
  <c r="AL670" i="32"/>
  <c r="AM670" i="32"/>
  <c r="AN670" i="32"/>
  <c r="AO670" i="32"/>
  <c r="AP670" i="32"/>
  <c r="AQ670" i="32"/>
  <c r="Q670" i="32"/>
  <c r="AR670" i="32"/>
  <c r="AS670" i="32"/>
  <c r="AT670" i="32"/>
  <c r="AU670" i="32"/>
  <c r="AV670" i="32"/>
  <c r="AW670" i="32"/>
  <c r="AX670" i="32"/>
  <c r="AY670" i="32"/>
  <c r="AZ670" i="32"/>
  <c r="BA670" i="32"/>
  <c r="AK671" i="32"/>
  <c r="AL671" i="32"/>
  <c r="AM671" i="32"/>
  <c r="AN671" i="32"/>
  <c r="AO671" i="32"/>
  <c r="AP671" i="32"/>
  <c r="AQ671" i="32"/>
  <c r="Q671" i="32"/>
  <c r="AR671" i="32"/>
  <c r="AS671" i="32"/>
  <c r="AT671" i="32"/>
  <c r="AU671" i="32"/>
  <c r="AV671" i="32"/>
  <c r="AW671" i="32"/>
  <c r="AX671" i="32"/>
  <c r="AY671" i="32"/>
  <c r="AZ671" i="32"/>
  <c r="BA671" i="32"/>
  <c r="AK672" i="32"/>
  <c r="AL672" i="32"/>
  <c r="AM672" i="32"/>
  <c r="AN672" i="32"/>
  <c r="AO672" i="32"/>
  <c r="AP672" i="32"/>
  <c r="AQ672" i="32"/>
  <c r="Q672" i="32"/>
  <c r="AR672" i="32"/>
  <c r="AS672" i="32"/>
  <c r="AT672" i="32"/>
  <c r="AU672" i="32"/>
  <c r="AV672" i="32"/>
  <c r="AW672" i="32"/>
  <c r="AX672" i="32"/>
  <c r="AY672" i="32"/>
  <c r="AZ672" i="32"/>
  <c r="BA672" i="32"/>
  <c r="AK673" i="32"/>
  <c r="AL673" i="32"/>
  <c r="AM673" i="32"/>
  <c r="AN673" i="32"/>
  <c r="AO673" i="32"/>
  <c r="AP673" i="32"/>
  <c r="AQ673" i="32"/>
  <c r="Q673" i="32"/>
  <c r="AR673" i="32"/>
  <c r="AS673" i="32"/>
  <c r="AT673" i="32"/>
  <c r="AU673" i="32"/>
  <c r="AV673" i="32"/>
  <c r="AW673" i="32"/>
  <c r="AX673" i="32"/>
  <c r="AY673" i="32"/>
  <c r="AZ673" i="32"/>
  <c r="BA673" i="32"/>
  <c r="AK674" i="32"/>
  <c r="AL674" i="32"/>
  <c r="AM674" i="32"/>
  <c r="AN674" i="32"/>
  <c r="AO674" i="32"/>
  <c r="AP674" i="32"/>
  <c r="AQ674" i="32"/>
  <c r="Q674" i="32"/>
  <c r="AR674" i="32"/>
  <c r="AS674" i="32"/>
  <c r="AT674" i="32"/>
  <c r="AU674" i="32"/>
  <c r="AV674" i="32"/>
  <c r="AW674" i="32"/>
  <c r="AX674" i="32"/>
  <c r="AY674" i="32"/>
  <c r="AZ674" i="32"/>
  <c r="BA674" i="32"/>
  <c r="AK675" i="32"/>
  <c r="AL675" i="32"/>
  <c r="AM675" i="32"/>
  <c r="AN675" i="32"/>
  <c r="AO675" i="32"/>
  <c r="AP675" i="32"/>
  <c r="AQ675" i="32"/>
  <c r="Q675" i="32"/>
  <c r="AR675" i="32"/>
  <c r="AS675" i="32"/>
  <c r="AT675" i="32"/>
  <c r="AU675" i="32"/>
  <c r="AV675" i="32"/>
  <c r="AW675" i="32"/>
  <c r="AX675" i="32"/>
  <c r="AY675" i="32"/>
  <c r="AZ675" i="32"/>
  <c r="BA675" i="32"/>
  <c r="AK676" i="32"/>
  <c r="AL676" i="32"/>
  <c r="AM676" i="32"/>
  <c r="AN676" i="32"/>
  <c r="AO676" i="32"/>
  <c r="AP676" i="32"/>
  <c r="AQ676" i="32"/>
  <c r="Q676" i="32"/>
  <c r="AR676" i="32"/>
  <c r="AS676" i="32"/>
  <c r="AT676" i="32"/>
  <c r="AU676" i="32"/>
  <c r="AV676" i="32"/>
  <c r="AW676" i="32"/>
  <c r="AX676" i="32"/>
  <c r="AY676" i="32"/>
  <c r="AZ676" i="32"/>
  <c r="BA676" i="32"/>
  <c r="AK677" i="32"/>
  <c r="AL677" i="32"/>
  <c r="AM677" i="32"/>
  <c r="AN677" i="32"/>
  <c r="AO677" i="32"/>
  <c r="AP677" i="32"/>
  <c r="AQ677" i="32"/>
  <c r="Q677" i="32"/>
  <c r="AR677" i="32"/>
  <c r="AS677" i="32"/>
  <c r="AT677" i="32"/>
  <c r="AU677" i="32"/>
  <c r="AV677" i="32"/>
  <c r="AW677" i="32"/>
  <c r="AX677" i="32"/>
  <c r="AY677" i="32"/>
  <c r="AZ677" i="32"/>
  <c r="BA677" i="32"/>
  <c r="AK678" i="32"/>
  <c r="AL678" i="32"/>
  <c r="AM678" i="32"/>
  <c r="AN678" i="32"/>
  <c r="AO678" i="32"/>
  <c r="AP678" i="32"/>
  <c r="AQ678" i="32"/>
  <c r="Q678" i="32"/>
  <c r="AR678" i="32"/>
  <c r="AS678" i="32"/>
  <c r="AT678" i="32"/>
  <c r="AU678" i="32"/>
  <c r="AV678" i="32"/>
  <c r="AW678" i="32"/>
  <c r="AX678" i="32"/>
  <c r="AY678" i="32"/>
  <c r="AZ678" i="32"/>
  <c r="BA678" i="32"/>
  <c r="AK679" i="32"/>
  <c r="AL679" i="32"/>
  <c r="AM679" i="32"/>
  <c r="AN679" i="32"/>
  <c r="AO679" i="32"/>
  <c r="AP679" i="32"/>
  <c r="AQ679" i="32"/>
  <c r="Q679" i="32"/>
  <c r="AR679" i="32"/>
  <c r="AS679" i="32"/>
  <c r="AT679" i="32"/>
  <c r="AU679" i="32"/>
  <c r="AV679" i="32"/>
  <c r="AW679" i="32"/>
  <c r="AX679" i="32"/>
  <c r="AY679" i="32"/>
  <c r="AZ679" i="32"/>
  <c r="BA679" i="32"/>
  <c r="AK680" i="32"/>
  <c r="AL680" i="32"/>
  <c r="AM680" i="32"/>
  <c r="AN680" i="32"/>
  <c r="AO680" i="32"/>
  <c r="AP680" i="32"/>
  <c r="AQ680" i="32"/>
  <c r="Q680" i="32"/>
  <c r="AR680" i="32"/>
  <c r="AS680" i="32"/>
  <c r="AT680" i="32"/>
  <c r="AU680" i="32"/>
  <c r="AV680" i="32"/>
  <c r="AW680" i="32"/>
  <c r="AX680" i="32"/>
  <c r="AY680" i="32"/>
  <c r="AZ680" i="32"/>
  <c r="BA680" i="32"/>
  <c r="AK681" i="32"/>
  <c r="AL681" i="32"/>
  <c r="AM681" i="32"/>
  <c r="AN681" i="32"/>
  <c r="AO681" i="32"/>
  <c r="AP681" i="32"/>
  <c r="AQ681" i="32"/>
  <c r="Q681" i="32"/>
  <c r="AR681" i="32"/>
  <c r="AS681" i="32"/>
  <c r="AT681" i="32"/>
  <c r="AU681" i="32"/>
  <c r="AV681" i="32"/>
  <c r="AW681" i="32"/>
  <c r="AX681" i="32"/>
  <c r="AY681" i="32"/>
  <c r="AZ681" i="32"/>
  <c r="BA681" i="32"/>
  <c r="AK682" i="32"/>
  <c r="AL682" i="32"/>
  <c r="AM682" i="32"/>
  <c r="AN682" i="32"/>
  <c r="AO682" i="32"/>
  <c r="AP682" i="32"/>
  <c r="AQ682" i="32"/>
  <c r="Q682" i="32"/>
  <c r="AR682" i="32"/>
  <c r="AS682" i="32"/>
  <c r="AT682" i="32"/>
  <c r="AU682" i="32"/>
  <c r="AV682" i="32"/>
  <c r="AW682" i="32"/>
  <c r="AX682" i="32"/>
  <c r="AY682" i="32"/>
  <c r="AZ682" i="32"/>
  <c r="BA682" i="32"/>
  <c r="AK683" i="32"/>
  <c r="AL683" i="32"/>
  <c r="AM683" i="32"/>
  <c r="AN683" i="32"/>
  <c r="AO683" i="32"/>
  <c r="AP683" i="32"/>
  <c r="AQ683" i="32"/>
  <c r="Q683" i="32"/>
  <c r="AR683" i="32"/>
  <c r="AS683" i="32"/>
  <c r="AT683" i="32"/>
  <c r="AU683" i="32"/>
  <c r="AV683" i="32"/>
  <c r="AW683" i="32"/>
  <c r="AX683" i="32"/>
  <c r="AY683" i="32"/>
  <c r="AZ683" i="32"/>
  <c r="BA683" i="32"/>
  <c r="AK684" i="32"/>
  <c r="AL684" i="32"/>
  <c r="AM684" i="32"/>
  <c r="AN684" i="32"/>
  <c r="AO684" i="32"/>
  <c r="AP684" i="32"/>
  <c r="AQ684" i="32"/>
  <c r="Q684" i="32"/>
  <c r="AR684" i="32"/>
  <c r="AS684" i="32"/>
  <c r="AT684" i="32"/>
  <c r="AU684" i="32"/>
  <c r="AV684" i="32"/>
  <c r="AW684" i="32"/>
  <c r="AX684" i="32"/>
  <c r="AY684" i="32"/>
  <c r="AZ684" i="32"/>
  <c r="BA684" i="32"/>
  <c r="AK685" i="32"/>
  <c r="AL685" i="32"/>
  <c r="AM685" i="32"/>
  <c r="AN685" i="32"/>
  <c r="AO685" i="32"/>
  <c r="AP685" i="32"/>
  <c r="AQ685" i="32"/>
  <c r="Q685" i="32"/>
  <c r="AR685" i="32"/>
  <c r="AS685" i="32"/>
  <c r="AT685" i="32"/>
  <c r="AU685" i="32"/>
  <c r="AV685" i="32"/>
  <c r="AW685" i="32"/>
  <c r="AX685" i="32"/>
  <c r="AY685" i="32"/>
  <c r="AZ685" i="32"/>
  <c r="BA685" i="32"/>
  <c r="AK686" i="32"/>
  <c r="AL686" i="32"/>
  <c r="AM686" i="32"/>
  <c r="AN686" i="32"/>
  <c r="AO686" i="32"/>
  <c r="AP686" i="32"/>
  <c r="AQ686" i="32"/>
  <c r="Q686" i="32"/>
  <c r="AR686" i="32"/>
  <c r="AS686" i="32"/>
  <c r="AT686" i="32"/>
  <c r="AU686" i="32"/>
  <c r="AV686" i="32"/>
  <c r="AW686" i="32"/>
  <c r="AX686" i="32"/>
  <c r="AY686" i="32"/>
  <c r="AZ686" i="32"/>
  <c r="BA686" i="32"/>
  <c r="AK687" i="32"/>
  <c r="AL687" i="32"/>
  <c r="AM687" i="32"/>
  <c r="AN687" i="32"/>
  <c r="AO687" i="32"/>
  <c r="AP687" i="32"/>
  <c r="AQ687" i="32"/>
  <c r="Q687" i="32"/>
  <c r="AR687" i="32"/>
  <c r="AS687" i="32"/>
  <c r="AT687" i="32"/>
  <c r="AU687" i="32"/>
  <c r="AV687" i="32"/>
  <c r="AW687" i="32"/>
  <c r="AX687" i="32"/>
  <c r="AY687" i="32"/>
  <c r="AZ687" i="32"/>
  <c r="BA687" i="32"/>
  <c r="AK688" i="32"/>
  <c r="AL688" i="32"/>
  <c r="AM688" i="32"/>
  <c r="AN688" i="32"/>
  <c r="AO688" i="32"/>
  <c r="AP688" i="32"/>
  <c r="AQ688" i="32"/>
  <c r="Q688" i="32"/>
  <c r="AR688" i="32"/>
  <c r="AS688" i="32"/>
  <c r="AT688" i="32"/>
  <c r="AU688" i="32"/>
  <c r="AV688" i="32"/>
  <c r="AW688" i="32"/>
  <c r="AX688" i="32"/>
  <c r="AY688" i="32"/>
  <c r="AZ688" i="32"/>
  <c r="BA688" i="32"/>
  <c r="AK689" i="32"/>
  <c r="AL689" i="32"/>
  <c r="AM689" i="32"/>
  <c r="AN689" i="32"/>
  <c r="AO689" i="32"/>
  <c r="AP689" i="32"/>
  <c r="AQ689" i="32"/>
  <c r="Q689" i="32"/>
  <c r="AR689" i="32"/>
  <c r="AS689" i="32"/>
  <c r="AT689" i="32"/>
  <c r="AU689" i="32"/>
  <c r="AV689" i="32"/>
  <c r="AW689" i="32"/>
  <c r="AX689" i="32"/>
  <c r="AY689" i="32"/>
  <c r="AZ689" i="32"/>
  <c r="BA689" i="32"/>
  <c r="AK690" i="32"/>
  <c r="AL690" i="32"/>
  <c r="AM690" i="32"/>
  <c r="AN690" i="32"/>
  <c r="AO690" i="32"/>
  <c r="AP690" i="32"/>
  <c r="AQ690" i="32"/>
  <c r="Q690" i="32"/>
  <c r="AR690" i="32"/>
  <c r="AS690" i="32"/>
  <c r="AT690" i="32"/>
  <c r="AU690" i="32"/>
  <c r="AV690" i="32"/>
  <c r="AW690" i="32"/>
  <c r="AX690" i="32"/>
  <c r="AY690" i="32"/>
  <c r="AZ690" i="32"/>
  <c r="BA690" i="32"/>
  <c r="AK691" i="32"/>
  <c r="AL691" i="32"/>
  <c r="AM691" i="32"/>
  <c r="AN691" i="32"/>
  <c r="AO691" i="32"/>
  <c r="AP691" i="32"/>
  <c r="AQ691" i="32"/>
  <c r="Q691" i="32"/>
  <c r="AR691" i="32"/>
  <c r="AS691" i="32"/>
  <c r="AT691" i="32"/>
  <c r="AU691" i="32"/>
  <c r="AV691" i="32"/>
  <c r="AW691" i="32"/>
  <c r="AX691" i="32"/>
  <c r="AY691" i="32"/>
  <c r="AZ691" i="32"/>
  <c r="BA691" i="32"/>
  <c r="AK692" i="32"/>
  <c r="AL692" i="32"/>
  <c r="AM692" i="32"/>
  <c r="AN692" i="32"/>
  <c r="AO692" i="32"/>
  <c r="AP692" i="32"/>
  <c r="AQ692" i="32"/>
  <c r="Q692" i="32"/>
  <c r="AR692" i="32"/>
  <c r="AS692" i="32"/>
  <c r="AT692" i="32"/>
  <c r="AU692" i="32"/>
  <c r="AV692" i="32"/>
  <c r="AW692" i="32"/>
  <c r="AX692" i="32"/>
  <c r="AY692" i="32"/>
  <c r="AZ692" i="32"/>
  <c r="BA692" i="32"/>
  <c r="AK693" i="32"/>
  <c r="AL693" i="32"/>
  <c r="AM693" i="32"/>
  <c r="AN693" i="32"/>
  <c r="AO693" i="32"/>
  <c r="AP693" i="32"/>
  <c r="AQ693" i="32"/>
  <c r="Q693" i="32"/>
  <c r="AR693" i="32"/>
  <c r="AS693" i="32"/>
  <c r="AT693" i="32"/>
  <c r="AU693" i="32"/>
  <c r="AV693" i="32"/>
  <c r="AW693" i="32"/>
  <c r="AX693" i="32"/>
  <c r="AY693" i="32"/>
  <c r="AZ693" i="32"/>
  <c r="BA693" i="32"/>
  <c r="AK694" i="32"/>
  <c r="AL694" i="32"/>
  <c r="AM694" i="32"/>
  <c r="AN694" i="32"/>
  <c r="AO694" i="32"/>
  <c r="AP694" i="32"/>
  <c r="AQ694" i="32"/>
  <c r="Q694" i="32"/>
  <c r="AR694" i="32"/>
  <c r="AS694" i="32"/>
  <c r="AT694" i="32"/>
  <c r="AU694" i="32"/>
  <c r="AV694" i="32"/>
  <c r="AW694" i="32"/>
  <c r="AX694" i="32"/>
  <c r="AY694" i="32"/>
  <c r="AZ694" i="32"/>
  <c r="BA694" i="32"/>
  <c r="AK695" i="32"/>
  <c r="AL695" i="32"/>
  <c r="AM695" i="32"/>
  <c r="AN695" i="32"/>
  <c r="AO695" i="32"/>
  <c r="AP695" i="32"/>
  <c r="AQ695" i="32"/>
  <c r="Q695" i="32"/>
  <c r="AR695" i="32"/>
  <c r="AS695" i="32"/>
  <c r="AT695" i="32"/>
  <c r="AU695" i="32"/>
  <c r="AV695" i="32"/>
  <c r="AW695" i="32"/>
  <c r="AX695" i="32"/>
  <c r="AY695" i="32"/>
  <c r="AZ695" i="32"/>
  <c r="BA695" i="32"/>
  <c r="AK696" i="32"/>
  <c r="AL696" i="32"/>
  <c r="AM696" i="32"/>
  <c r="AN696" i="32"/>
  <c r="AO696" i="32"/>
  <c r="AP696" i="32"/>
  <c r="AQ696" i="32"/>
  <c r="Q696" i="32"/>
  <c r="AR696" i="32"/>
  <c r="AS696" i="32"/>
  <c r="AT696" i="32"/>
  <c r="AU696" i="32"/>
  <c r="AV696" i="32"/>
  <c r="AW696" i="32"/>
  <c r="AX696" i="32"/>
  <c r="AY696" i="32"/>
  <c r="AZ696" i="32"/>
  <c r="BA696" i="32"/>
  <c r="AK697" i="32"/>
  <c r="AL697" i="32"/>
  <c r="AM697" i="32"/>
  <c r="AN697" i="32"/>
  <c r="AO697" i="32"/>
  <c r="AP697" i="32"/>
  <c r="AQ697" i="32"/>
  <c r="Q697" i="32"/>
  <c r="AR697" i="32"/>
  <c r="AS697" i="32"/>
  <c r="AT697" i="32"/>
  <c r="AU697" i="32"/>
  <c r="AV697" i="32"/>
  <c r="AW697" i="32"/>
  <c r="AX697" i="32"/>
  <c r="AY697" i="32"/>
  <c r="AZ697" i="32"/>
  <c r="BA697" i="32"/>
  <c r="AK698" i="32"/>
  <c r="AL698" i="32"/>
  <c r="AM698" i="32"/>
  <c r="AN698" i="32"/>
  <c r="AO698" i="32"/>
  <c r="AP698" i="32"/>
  <c r="AQ698" i="32"/>
  <c r="Q698" i="32"/>
  <c r="AR698" i="32"/>
  <c r="AS698" i="32"/>
  <c r="AT698" i="32"/>
  <c r="AU698" i="32"/>
  <c r="AV698" i="32"/>
  <c r="AW698" i="32"/>
  <c r="AX698" i="32"/>
  <c r="AY698" i="32"/>
  <c r="AZ698" i="32"/>
  <c r="BA698" i="32"/>
  <c r="AK699" i="32"/>
  <c r="AL699" i="32"/>
  <c r="AM699" i="32"/>
  <c r="AN699" i="32"/>
  <c r="AO699" i="32"/>
  <c r="AP699" i="32"/>
  <c r="AQ699" i="32"/>
  <c r="Q699" i="32"/>
  <c r="AR699" i="32"/>
  <c r="AS699" i="32"/>
  <c r="AT699" i="32"/>
  <c r="AU699" i="32"/>
  <c r="AV699" i="32"/>
  <c r="AW699" i="32"/>
  <c r="AX699" i="32"/>
  <c r="AY699" i="32"/>
  <c r="AZ699" i="32"/>
  <c r="BA699" i="32"/>
  <c r="AK700" i="32"/>
  <c r="AL700" i="32"/>
  <c r="AM700" i="32"/>
  <c r="AN700" i="32"/>
  <c r="AO700" i="32"/>
  <c r="AP700" i="32"/>
  <c r="AQ700" i="32"/>
  <c r="Q700" i="32"/>
  <c r="AR700" i="32"/>
  <c r="AS700" i="32"/>
  <c r="AT700" i="32"/>
  <c r="AU700" i="32"/>
  <c r="AV700" i="32"/>
  <c r="AW700" i="32"/>
  <c r="AX700" i="32"/>
  <c r="AY700" i="32"/>
  <c r="AZ700" i="32"/>
  <c r="BA700" i="32"/>
  <c r="AK701" i="32"/>
  <c r="AL701" i="32"/>
  <c r="AM701" i="32"/>
  <c r="AN701" i="32"/>
  <c r="AO701" i="32"/>
  <c r="AP701" i="32"/>
  <c r="AQ701" i="32"/>
  <c r="Q701" i="32"/>
  <c r="AR701" i="32"/>
  <c r="AS701" i="32"/>
  <c r="AT701" i="32"/>
  <c r="AU701" i="32"/>
  <c r="AV701" i="32"/>
  <c r="AW701" i="32"/>
  <c r="AX701" i="32"/>
  <c r="AY701" i="32"/>
  <c r="AZ701" i="32"/>
  <c r="BA701" i="32"/>
  <c r="AK702" i="32"/>
  <c r="AL702" i="32"/>
  <c r="AM702" i="32"/>
  <c r="AN702" i="32"/>
  <c r="AO702" i="32"/>
  <c r="AP702" i="32"/>
  <c r="AQ702" i="32"/>
  <c r="Q702" i="32"/>
  <c r="AR702" i="32"/>
  <c r="AS702" i="32"/>
  <c r="AT702" i="32"/>
  <c r="AU702" i="32"/>
  <c r="AV702" i="32"/>
  <c r="AW702" i="32"/>
  <c r="AX702" i="32"/>
  <c r="AY702" i="32"/>
  <c r="AZ702" i="32"/>
  <c r="BA702" i="32"/>
  <c r="AK703" i="32"/>
  <c r="AL703" i="32"/>
  <c r="AM703" i="32"/>
  <c r="AN703" i="32"/>
  <c r="AO703" i="32"/>
  <c r="AP703" i="32"/>
  <c r="AQ703" i="32"/>
  <c r="Q703" i="32"/>
  <c r="AR703" i="32"/>
  <c r="AS703" i="32"/>
  <c r="AT703" i="32"/>
  <c r="AU703" i="32"/>
  <c r="AV703" i="32"/>
  <c r="AW703" i="32"/>
  <c r="AX703" i="32"/>
  <c r="AY703" i="32"/>
  <c r="AZ703" i="32"/>
  <c r="BA703" i="32"/>
  <c r="AK704" i="32"/>
  <c r="AL704" i="32"/>
  <c r="AM704" i="32"/>
  <c r="AN704" i="32"/>
  <c r="AO704" i="32"/>
  <c r="AP704" i="32"/>
  <c r="AQ704" i="32"/>
  <c r="Q704" i="32"/>
  <c r="AR704" i="32"/>
  <c r="AS704" i="32"/>
  <c r="AT704" i="32"/>
  <c r="AU704" i="32"/>
  <c r="AV704" i="32"/>
  <c r="AW704" i="32"/>
  <c r="AX704" i="32"/>
  <c r="AY704" i="32"/>
  <c r="AZ704" i="32"/>
  <c r="BA704" i="32"/>
  <c r="AK705" i="32"/>
  <c r="AL705" i="32"/>
  <c r="AM705" i="32"/>
  <c r="AN705" i="32"/>
  <c r="AO705" i="32"/>
  <c r="AP705" i="32"/>
  <c r="AQ705" i="32"/>
  <c r="Q705" i="32"/>
  <c r="AR705" i="32"/>
  <c r="AS705" i="32"/>
  <c r="AT705" i="32"/>
  <c r="AU705" i="32"/>
  <c r="AV705" i="32"/>
  <c r="AW705" i="32"/>
  <c r="AX705" i="32"/>
  <c r="AY705" i="32"/>
  <c r="AZ705" i="32"/>
  <c r="BA705" i="32"/>
  <c r="AK706" i="32"/>
  <c r="AL706" i="32"/>
  <c r="AM706" i="32"/>
  <c r="AN706" i="32"/>
  <c r="AO706" i="32"/>
  <c r="AP706" i="32"/>
  <c r="AQ706" i="32"/>
  <c r="Q706" i="32"/>
  <c r="AR706" i="32"/>
  <c r="AS706" i="32"/>
  <c r="AT706" i="32"/>
  <c r="AU706" i="32"/>
  <c r="AV706" i="32"/>
  <c r="AW706" i="32"/>
  <c r="AX706" i="32"/>
  <c r="AY706" i="32"/>
  <c r="AZ706" i="32"/>
  <c r="BA706" i="32"/>
  <c r="AK707" i="32"/>
  <c r="AL707" i="32"/>
  <c r="AM707" i="32"/>
  <c r="AN707" i="32"/>
  <c r="AO707" i="32"/>
  <c r="AP707" i="32"/>
  <c r="AQ707" i="32"/>
  <c r="Q707" i="32"/>
  <c r="AR707" i="32"/>
  <c r="AS707" i="32"/>
  <c r="AT707" i="32"/>
  <c r="AU707" i="32"/>
  <c r="AV707" i="32"/>
  <c r="AW707" i="32"/>
  <c r="AX707" i="32"/>
  <c r="AY707" i="32"/>
  <c r="AZ707" i="32"/>
  <c r="BA707" i="32"/>
  <c r="AK708" i="32"/>
  <c r="AL708" i="32"/>
  <c r="AM708" i="32"/>
  <c r="AN708" i="32"/>
  <c r="AO708" i="32"/>
  <c r="AP708" i="32"/>
  <c r="AQ708" i="32"/>
  <c r="Q708" i="32"/>
  <c r="AR708" i="32"/>
  <c r="AS708" i="32"/>
  <c r="AT708" i="32"/>
  <c r="AU708" i="32"/>
  <c r="AV708" i="32"/>
  <c r="AW708" i="32"/>
  <c r="AX708" i="32"/>
  <c r="AY708" i="32"/>
  <c r="AZ708" i="32"/>
  <c r="BA708" i="32"/>
  <c r="AK709" i="32"/>
  <c r="AL709" i="32"/>
  <c r="AM709" i="32"/>
  <c r="AN709" i="32"/>
  <c r="AO709" i="32"/>
  <c r="AP709" i="32"/>
  <c r="AQ709" i="32"/>
  <c r="Q709" i="32"/>
  <c r="AR709" i="32"/>
  <c r="AS709" i="32"/>
  <c r="AT709" i="32"/>
  <c r="AU709" i="32"/>
  <c r="AV709" i="32"/>
  <c r="AW709" i="32"/>
  <c r="AX709" i="32"/>
  <c r="AY709" i="32"/>
  <c r="AZ709" i="32"/>
  <c r="BA709" i="32"/>
  <c r="AK710" i="32"/>
  <c r="AL710" i="32"/>
  <c r="AM710" i="32"/>
  <c r="AN710" i="32"/>
  <c r="AO710" i="32"/>
  <c r="AP710" i="32"/>
  <c r="AQ710" i="32"/>
  <c r="Q710" i="32"/>
  <c r="AR710" i="32"/>
  <c r="AS710" i="32"/>
  <c r="AT710" i="32"/>
  <c r="AU710" i="32"/>
  <c r="AV710" i="32"/>
  <c r="AW710" i="32"/>
  <c r="AX710" i="32"/>
  <c r="AY710" i="32"/>
  <c r="AZ710" i="32"/>
  <c r="BA710" i="32"/>
  <c r="AK711" i="32"/>
  <c r="AL711" i="32"/>
  <c r="AM711" i="32"/>
  <c r="AN711" i="32"/>
  <c r="AO711" i="32"/>
  <c r="AP711" i="32"/>
  <c r="AQ711" i="32"/>
  <c r="Q711" i="32"/>
  <c r="AR711" i="32"/>
  <c r="AS711" i="32"/>
  <c r="AT711" i="32"/>
  <c r="AU711" i="32"/>
  <c r="AV711" i="32"/>
  <c r="AW711" i="32"/>
  <c r="AX711" i="32"/>
  <c r="AY711" i="32"/>
  <c r="AZ711" i="32"/>
  <c r="BA711" i="32"/>
  <c r="AK712" i="32"/>
  <c r="AL712" i="32"/>
  <c r="AM712" i="32"/>
  <c r="AN712" i="32"/>
  <c r="AO712" i="32"/>
  <c r="AP712" i="32"/>
  <c r="AQ712" i="32"/>
  <c r="Q712" i="32"/>
  <c r="AR712" i="32"/>
  <c r="AS712" i="32"/>
  <c r="AT712" i="32"/>
  <c r="AU712" i="32"/>
  <c r="AV712" i="32"/>
  <c r="AW712" i="32"/>
  <c r="AX712" i="32"/>
  <c r="AY712" i="32"/>
  <c r="AZ712" i="32"/>
  <c r="BA712" i="32"/>
  <c r="AK713" i="32"/>
  <c r="AL713" i="32"/>
  <c r="AM713" i="32"/>
  <c r="AN713" i="32"/>
  <c r="AO713" i="32"/>
  <c r="AP713" i="32"/>
  <c r="AQ713" i="32"/>
  <c r="Q713" i="32"/>
  <c r="AR713" i="32"/>
  <c r="AS713" i="32"/>
  <c r="AT713" i="32"/>
  <c r="AU713" i="32"/>
  <c r="AV713" i="32"/>
  <c r="AW713" i="32"/>
  <c r="AX713" i="32"/>
  <c r="AY713" i="32"/>
  <c r="AZ713" i="32"/>
  <c r="BA713" i="32"/>
  <c r="AK714" i="32"/>
  <c r="AL714" i="32"/>
  <c r="AM714" i="32"/>
  <c r="AN714" i="32"/>
  <c r="AO714" i="32"/>
  <c r="AP714" i="32"/>
  <c r="AQ714" i="32"/>
  <c r="Q714" i="32"/>
  <c r="AR714" i="32"/>
  <c r="AS714" i="32"/>
  <c r="AT714" i="32"/>
  <c r="AU714" i="32"/>
  <c r="AV714" i="32"/>
  <c r="AW714" i="32"/>
  <c r="AX714" i="32"/>
  <c r="AY714" i="32"/>
  <c r="AZ714" i="32"/>
  <c r="BA714" i="32"/>
  <c r="AK715" i="32"/>
  <c r="AL715" i="32"/>
  <c r="AM715" i="32"/>
  <c r="AN715" i="32"/>
  <c r="AO715" i="32"/>
  <c r="AP715" i="32"/>
  <c r="AQ715" i="32"/>
  <c r="Q715" i="32"/>
  <c r="AR715" i="32"/>
  <c r="AS715" i="32"/>
  <c r="AT715" i="32"/>
  <c r="AU715" i="32"/>
  <c r="AV715" i="32"/>
  <c r="AW715" i="32"/>
  <c r="AX715" i="32"/>
  <c r="AY715" i="32"/>
  <c r="AZ715" i="32"/>
  <c r="BA715" i="32"/>
  <c r="AK716" i="32"/>
  <c r="AL716" i="32"/>
  <c r="AM716" i="32"/>
  <c r="AN716" i="32"/>
  <c r="AO716" i="32"/>
  <c r="AP716" i="32"/>
  <c r="AQ716" i="32"/>
  <c r="Q716" i="32"/>
  <c r="AR716" i="32"/>
  <c r="AS716" i="32"/>
  <c r="AT716" i="32"/>
  <c r="AU716" i="32"/>
  <c r="AV716" i="32"/>
  <c r="AW716" i="32"/>
  <c r="AX716" i="32"/>
  <c r="AY716" i="32"/>
  <c r="AZ716" i="32"/>
  <c r="BA716" i="32"/>
  <c r="AK717" i="32"/>
  <c r="AL717" i="32"/>
  <c r="AM717" i="32"/>
  <c r="AN717" i="32"/>
  <c r="AO717" i="32"/>
  <c r="AP717" i="32"/>
  <c r="AQ717" i="32"/>
  <c r="Q717" i="32"/>
  <c r="AR717" i="32"/>
  <c r="AS717" i="32"/>
  <c r="AT717" i="32"/>
  <c r="AU717" i="32"/>
  <c r="AV717" i="32"/>
  <c r="AW717" i="32"/>
  <c r="AX717" i="32"/>
  <c r="AY717" i="32"/>
  <c r="AZ717" i="32"/>
  <c r="BA717" i="32"/>
  <c r="AK718" i="32"/>
  <c r="AL718" i="32"/>
  <c r="AM718" i="32"/>
  <c r="AN718" i="32"/>
  <c r="AO718" i="32"/>
  <c r="AP718" i="32"/>
  <c r="AQ718" i="32"/>
  <c r="Q718" i="32"/>
  <c r="AR718" i="32"/>
  <c r="AS718" i="32"/>
  <c r="AT718" i="32"/>
  <c r="AU718" i="32"/>
  <c r="AV718" i="32"/>
  <c r="AW718" i="32"/>
  <c r="AX718" i="32"/>
  <c r="AY718" i="32"/>
  <c r="AZ718" i="32"/>
  <c r="BA718" i="32"/>
  <c r="AK719" i="32"/>
  <c r="AL719" i="32"/>
  <c r="AM719" i="32"/>
  <c r="AN719" i="32"/>
  <c r="AO719" i="32"/>
  <c r="AP719" i="32"/>
  <c r="AQ719" i="32"/>
  <c r="Q719" i="32"/>
  <c r="AR719" i="32"/>
  <c r="AS719" i="32"/>
  <c r="AT719" i="32"/>
  <c r="AU719" i="32"/>
  <c r="AV719" i="32"/>
  <c r="AW719" i="32"/>
  <c r="AX719" i="32"/>
  <c r="AY719" i="32"/>
  <c r="AZ719" i="32"/>
  <c r="BA719" i="32"/>
  <c r="AK720" i="32"/>
  <c r="AL720" i="32"/>
  <c r="AM720" i="32"/>
  <c r="AN720" i="32"/>
  <c r="AO720" i="32"/>
  <c r="AP720" i="32"/>
  <c r="AQ720" i="32"/>
  <c r="Q720" i="32"/>
  <c r="AR720" i="32"/>
  <c r="AS720" i="32"/>
  <c r="AT720" i="32"/>
  <c r="AU720" i="32"/>
  <c r="AV720" i="32"/>
  <c r="AW720" i="32"/>
  <c r="AX720" i="32"/>
  <c r="AY720" i="32"/>
  <c r="AZ720" i="32"/>
  <c r="BA720" i="32"/>
  <c r="AK721" i="32"/>
  <c r="AL721" i="32"/>
  <c r="AM721" i="32"/>
  <c r="AN721" i="32"/>
  <c r="AO721" i="32"/>
  <c r="AP721" i="32"/>
  <c r="AQ721" i="32"/>
  <c r="Q721" i="32"/>
  <c r="AR721" i="32"/>
  <c r="AS721" i="32"/>
  <c r="AT721" i="32"/>
  <c r="AU721" i="32"/>
  <c r="AV721" i="32"/>
  <c r="AW721" i="32"/>
  <c r="AX721" i="32"/>
  <c r="AY721" i="32"/>
  <c r="AZ721" i="32"/>
  <c r="BA721" i="32"/>
  <c r="AK722" i="32"/>
  <c r="AL722" i="32"/>
  <c r="AM722" i="32"/>
  <c r="AN722" i="32"/>
  <c r="AO722" i="32"/>
  <c r="AP722" i="32"/>
  <c r="AQ722" i="32"/>
  <c r="Q722" i="32"/>
  <c r="AR722" i="32"/>
  <c r="AS722" i="32"/>
  <c r="AT722" i="32"/>
  <c r="AU722" i="32"/>
  <c r="AV722" i="32"/>
  <c r="AW722" i="32"/>
  <c r="AX722" i="32"/>
  <c r="AY722" i="32"/>
  <c r="AZ722" i="32"/>
  <c r="BA722" i="32"/>
  <c r="AK723" i="32"/>
  <c r="AL723" i="32"/>
  <c r="AM723" i="32"/>
  <c r="AN723" i="32"/>
  <c r="AO723" i="32"/>
  <c r="AP723" i="32"/>
  <c r="AQ723" i="32"/>
  <c r="Q723" i="32"/>
  <c r="AR723" i="32"/>
  <c r="AS723" i="32"/>
  <c r="AT723" i="32"/>
  <c r="AU723" i="32"/>
  <c r="AV723" i="32"/>
  <c r="AW723" i="32"/>
  <c r="AX723" i="32"/>
  <c r="AY723" i="32"/>
  <c r="AZ723" i="32"/>
  <c r="BA723" i="32"/>
  <c r="AK724" i="32"/>
  <c r="AL724" i="32"/>
  <c r="AM724" i="32"/>
  <c r="AN724" i="32"/>
  <c r="AO724" i="32"/>
  <c r="AP724" i="32"/>
  <c r="AQ724" i="32"/>
  <c r="Q724" i="32"/>
  <c r="AR724" i="32"/>
  <c r="AS724" i="32"/>
  <c r="AT724" i="32"/>
  <c r="AU724" i="32"/>
  <c r="AV724" i="32"/>
  <c r="AW724" i="32"/>
  <c r="AX724" i="32"/>
  <c r="AY724" i="32"/>
  <c r="AZ724" i="32"/>
  <c r="BA724" i="32"/>
  <c r="AK725" i="32"/>
  <c r="AL725" i="32"/>
  <c r="AM725" i="32"/>
  <c r="AN725" i="32"/>
  <c r="AO725" i="32"/>
  <c r="AP725" i="32"/>
  <c r="AQ725" i="32"/>
  <c r="Q725" i="32"/>
  <c r="AR725" i="32"/>
  <c r="AS725" i="32"/>
  <c r="AT725" i="32"/>
  <c r="AU725" i="32"/>
  <c r="AV725" i="32"/>
  <c r="AW725" i="32"/>
  <c r="AX725" i="32"/>
  <c r="AY725" i="32"/>
  <c r="AZ725" i="32"/>
  <c r="BA725" i="32"/>
  <c r="AK726" i="32"/>
  <c r="AL726" i="32"/>
  <c r="AM726" i="32"/>
  <c r="AN726" i="32"/>
  <c r="AO726" i="32"/>
  <c r="AP726" i="32"/>
  <c r="AQ726" i="32"/>
  <c r="Q726" i="32"/>
  <c r="AR726" i="32"/>
  <c r="AS726" i="32"/>
  <c r="AT726" i="32"/>
  <c r="AU726" i="32"/>
  <c r="AV726" i="32"/>
  <c r="AW726" i="32"/>
  <c r="AX726" i="32"/>
  <c r="AY726" i="32"/>
  <c r="AZ726" i="32"/>
  <c r="BA726" i="32"/>
  <c r="AK727" i="32"/>
  <c r="AL727" i="32"/>
  <c r="AM727" i="32"/>
  <c r="AN727" i="32"/>
  <c r="AO727" i="32"/>
  <c r="AP727" i="32"/>
  <c r="AQ727" i="32"/>
  <c r="Q727" i="32"/>
  <c r="AR727" i="32"/>
  <c r="AS727" i="32"/>
  <c r="AT727" i="32"/>
  <c r="AU727" i="32"/>
  <c r="AV727" i="32"/>
  <c r="AW727" i="32"/>
  <c r="AX727" i="32"/>
  <c r="AY727" i="32"/>
  <c r="AZ727" i="32"/>
  <c r="BA727" i="32"/>
  <c r="AK728" i="32"/>
  <c r="AL728" i="32"/>
  <c r="AM728" i="32"/>
  <c r="AN728" i="32"/>
  <c r="AO728" i="32"/>
  <c r="AP728" i="32"/>
  <c r="AQ728" i="32"/>
  <c r="Q728" i="32"/>
  <c r="AR728" i="32"/>
  <c r="AS728" i="32"/>
  <c r="AT728" i="32"/>
  <c r="AU728" i="32"/>
  <c r="AV728" i="32"/>
  <c r="AW728" i="32"/>
  <c r="AX728" i="32"/>
  <c r="AY728" i="32"/>
  <c r="AZ728" i="32"/>
  <c r="BA728" i="32"/>
  <c r="AK729" i="32"/>
  <c r="AL729" i="32"/>
  <c r="AM729" i="32"/>
  <c r="AN729" i="32"/>
  <c r="AO729" i="32"/>
  <c r="AP729" i="32"/>
  <c r="AQ729" i="32"/>
  <c r="Q729" i="32"/>
  <c r="AR729" i="32"/>
  <c r="AS729" i="32"/>
  <c r="AT729" i="32"/>
  <c r="AU729" i="32"/>
  <c r="AV729" i="32"/>
  <c r="AW729" i="32"/>
  <c r="AX729" i="32"/>
  <c r="AY729" i="32"/>
  <c r="AZ729" i="32"/>
  <c r="BA729" i="32"/>
  <c r="AK730" i="32"/>
  <c r="AL730" i="32"/>
  <c r="AM730" i="32"/>
  <c r="AN730" i="32"/>
  <c r="AO730" i="32"/>
  <c r="AP730" i="32"/>
  <c r="AQ730" i="32"/>
  <c r="Q730" i="32"/>
  <c r="AR730" i="32"/>
  <c r="AS730" i="32"/>
  <c r="AT730" i="32"/>
  <c r="AU730" i="32"/>
  <c r="AV730" i="32"/>
  <c r="AW730" i="32"/>
  <c r="AX730" i="32"/>
  <c r="AY730" i="32"/>
  <c r="AZ730" i="32"/>
  <c r="BA730" i="32"/>
  <c r="AK731" i="32"/>
  <c r="AL731" i="32"/>
  <c r="AM731" i="32"/>
  <c r="AN731" i="32"/>
  <c r="AO731" i="32"/>
  <c r="AP731" i="32"/>
  <c r="AQ731" i="32"/>
  <c r="Q731" i="32"/>
  <c r="AR731" i="32"/>
  <c r="AS731" i="32"/>
  <c r="AT731" i="32"/>
  <c r="AU731" i="32"/>
  <c r="AV731" i="32"/>
  <c r="AW731" i="32"/>
  <c r="AX731" i="32"/>
  <c r="AY731" i="32"/>
  <c r="AZ731" i="32"/>
  <c r="BA731" i="32"/>
  <c r="AK732" i="32"/>
  <c r="AL732" i="32"/>
  <c r="AM732" i="32"/>
  <c r="AN732" i="32"/>
  <c r="AO732" i="32"/>
  <c r="AP732" i="32"/>
  <c r="AQ732" i="32"/>
  <c r="Q732" i="32"/>
  <c r="AR732" i="32"/>
  <c r="AS732" i="32"/>
  <c r="AT732" i="32"/>
  <c r="AU732" i="32"/>
  <c r="AV732" i="32"/>
  <c r="AW732" i="32"/>
  <c r="AX732" i="32"/>
  <c r="AY732" i="32"/>
  <c r="AZ732" i="32"/>
  <c r="BA732" i="32"/>
  <c r="AK733" i="32"/>
  <c r="AL733" i="32"/>
  <c r="AM733" i="32"/>
  <c r="AN733" i="32"/>
  <c r="AO733" i="32"/>
  <c r="AP733" i="32"/>
  <c r="AQ733" i="32"/>
  <c r="Q733" i="32"/>
  <c r="AR733" i="32"/>
  <c r="AS733" i="32"/>
  <c r="AT733" i="32"/>
  <c r="AU733" i="32"/>
  <c r="AV733" i="32"/>
  <c r="AW733" i="32"/>
  <c r="AX733" i="32"/>
  <c r="AY733" i="32"/>
  <c r="AZ733" i="32"/>
  <c r="BA733" i="32"/>
  <c r="AK734" i="32"/>
  <c r="AL734" i="32"/>
  <c r="AM734" i="32"/>
  <c r="AN734" i="32"/>
  <c r="AO734" i="32"/>
  <c r="AP734" i="32"/>
  <c r="AQ734" i="32"/>
  <c r="Q734" i="32"/>
  <c r="AR734" i="32"/>
  <c r="AS734" i="32"/>
  <c r="AT734" i="32"/>
  <c r="AU734" i="32"/>
  <c r="AV734" i="32"/>
  <c r="AW734" i="32"/>
  <c r="AX734" i="32"/>
  <c r="AY734" i="32"/>
  <c r="AZ734" i="32"/>
  <c r="BA734" i="32"/>
  <c r="AK735" i="32"/>
  <c r="AL735" i="32"/>
  <c r="AM735" i="32"/>
  <c r="AN735" i="32"/>
  <c r="AO735" i="32"/>
  <c r="AP735" i="32"/>
  <c r="AQ735" i="32"/>
  <c r="Q735" i="32"/>
  <c r="AR735" i="32"/>
  <c r="AS735" i="32"/>
  <c r="AT735" i="32"/>
  <c r="AU735" i="32"/>
  <c r="AV735" i="32"/>
  <c r="AW735" i="32"/>
  <c r="AX735" i="32"/>
  <c r="AY735" i="32"/>
  <c r="AZ735" i="32"/>
  <c r="BA735" i="32"/>
  <c r="AK736" i="32"/>
  <c r="AL736" i="32"/>
  <c r="AM736" i="32"/>
  <c r="AN736" i="32"/>
  <c r="AO736" i="32"/>
  <c r="AP736" i="32"/>
  <c r="AQ736" i="32"/>
  <c r="Q736" i="32"/>
  <c r="AR736" i="32"/>
  <c r="AS736" i="32"/>
  <c r="AT736" i="32"/>
  <c r="AU736" i="32"/>
  <c r="AV736" i="32"/>
  <c r="AW736" i="32"/>
  <c r="AX736" i="32"/>
  <c r="AY736" i="32"/>
  <c r="AZ736" i="32"/>
  <c r="BA736" i="32"/>
  <c r="AK737" i="32"/>
  <c r="AL737" i="32"/>
  <c r="AM737" i="32"/>
  <c r="AN737" i="32"/>
  <c r="AO737" i="32"/>
  <c r="AP737" i="32"/>
  <c r="AQ737" i="32"/>
  <c r="Q737" i="32"/>
  <c r="AR737" i="32"/>
  <c r="AS737" i="32"/>
  <c r="AT737" i="32"/>
  <c r="AU737" i="32"/>
  <c r="AV737" i="32"/>
  <c r="AW737" i="32"/>
  <c r="AX737" i="32"/>
  <c r="AY737" i="32"/>
  <c r="AZ737" i="32"/>
  <c r="BA737" i="32"/>
  <c r="AK738" i="32"/>
  <c r="AL738" i="32"/>
  <c r="AM738" i="32"/>
  <c r="AN738" i="32"/>
  <c r="AO738" i="32"/>
  <c r="AP738" i="32"/>
  <c r="AQ738" i="32"/>
  <c r="Q738" i="32"/>
  <c r="AR738" i="32"/>
  <c r="AS738" i="32"/>
  <c r="AT738" i="32"/>
  <c r="AU738" i="32"/>
  <c r="AV738" i="32"/>
  <c r="AW738" i="32"/>
  <c r="AX738" i="32"/>
  <c r="AY738" i="32"/>
  <c r="AZ738" i="32"/>
  <c r="BA738" i="32"/>
  <c r="AK739" i="32"/>
  <c r="AL739" i="32"/>
  <c r="AM739" i="32"/>
  <c r="AN739" i="32"/>
  <c r="AO739" i="32"/>
  <c r="AP739" i="32"/>
  <c r="AQ739" i="32"/>
  <c r="Q739" i="32"/>
  <c r="AR739" i="32"/>
  <c r="AS739" i="32"/>
  <c r="AT739" i="32"/>
  <c r="AU739" i="32"/>
  <c r="AV739" i="32"/>
  <c r="AW739" i="32"/>
  <c r="AX739" i="32"/>
  <c r="AY739" i="32"/>
  <c r="AZ739" i="32"/>
  <c r="BA739" i="32"/>
  <c r="AK740" i="32"/>
  <c r="AL740" i="32"/>
  <c r="AM740" i="32"/>
  <c r="AN740" i="32"/>
  <c r="AO740" i="32"/>
  <c r="AP740" i="32"/>
  <c r="AQ740" i="32"/>
  <c r="Q740" i="32"/>
  <c r="AR740" i="32"/>
  <c r="AS740" i="32"/>
  <c r="AT740" i="32"/>
  <c r="AU740" i="32"/>
  <c r="AV740" i="32"/>
  <c r="AW740" i="32"/>
  <c r="AX740" i="32"/>
  <c r="AY740" i="32"/>
  <c r="AZ740" i="32"/>
  <c r="BA740" i="32"/>
  <c r="AK741" i="32"/>
  <c r="AL741" i="32"/>
  <c r="AM741" i="32"/>
  <c r="AN741" i="32"/>
  <c r="AO741" i="32"/>
  <c r="AP741" i="32"/>
  <c r="AQ741" i="32"/>
  <c r="Q741" i="32"/>
  <c r="AR741" i="32"/>
  <c r="AS741" i="32"/>
  <c r="AT741" i="32"/>
  <c r="AU741" i="32"/>
  <c r="AV741" i="32"/>
  <c r="AW741" i="32"/>
  <c r="AX741" i="32"/>
  <c r="AY741" i="32"/>
  <c r="AZ741" i="32"/>
  <c r="BA741" i="32"/>
  <c r="AK742" i="32"/>
  <c r="AL742" i="32"/>
  <c r="AM742" i="32"/>
  <c r="AN742" i="32"/>
  <c r="AO742" i="32"/>
  <c r="AP742" i="32"/>
  <c r="AQ742" i="32"/>
  <c r="Q742" i="32"/>
  <c r="AR742" i="32"/>
  <c r="AS742" i="32"/>
  <c r="AT742" i="32"/>
  <c r="AU742" i="32"/>
  <c r="AV742" i="32"/>
  <c r="AW742" i="32"/>
  <c r="AX742" i="32"/>
  <c r="AY742" i="32"/>
  <c r="AZ742" i="32"/>
  <c r="BA742" i="32"/>
  <c r="AK743" i="32"/>
  <c r="AL743" i="32"/>
  <c r="AM743" i="32"/>
  <c r="AN743" i="32"/>
  <c r="AO743" i="32"/>
  <c r="AP743" i="32"/>
  <c r="AQ743" i="32"/>
  <c r="Q743" i="32"/>
  <c r="AR743" i="32"/>
  <c r="AS743" i="32"/>
  <c r="AT743" i="32"/>
  <c r="AU743" i="32"/>
  <c r="AV743" i="32"/>
  <c r="AW743" i="32"/>
  <c r="AX743" i="32"/>
  <c r="AY743" i="32"/>
  <c r="AZ743" i="32"/>
  <c r="BA743" i="32"/>
  <c r="AK744" i="32"/>
  <c r="AL744" i="32"/>
  <c r="AM744" i="32"/>
  <c r="AN744" i="32"/>
  <c r="AO744" i="32"/>
  <c r="AP744" i="32"/>
  <c r="AQ744" i="32"/>
  <c r="Q744" i="32"/>
  <c r="AR744" i="32"/>
  <c r="AS744" i="32"/>
  <c r="AT744" i="32"/>
  <c r="AU744" i="32"/>
  <c r="AV744" i="32"/>
  <c r="AW744" i="32"/>
  <c r="AX744" i="32"/>
  <c r="AY744" i="32"/>
  <c r="AZ744" i="32"/>
  <c r="BA744" i="32"/>
  <c r="AK745" i="32"/>
  <c r="AL745" i="32"/>
  <c r="AM745" i="32"/>
  <c r="AN745" i="32"/>
  <c r="AO745" i="32"/>
  <c r="AP745" i="32"/>
  <c r="AQ745" i="32"/>
  <c r="Q745" i="32"/>
  <c r="AR745" i="32"/>
  <c r="AS745" i="32"/>
  <c r="AT745" i="32"/>
  <c r="AU745" i="32"/>
  <c r="AV745" i="32"/>
  <c r="AW745" i="32"/>
  <c r="AX745" i="32"/>
  <c r="AY745" i="32"/>
  <c r="AZ745" i="32"/>
  <c r="BA745" i="32"/>
  <c r="AK746" i="32"/>
  <c r="AL746" i="32"/>
  <c r="AM746" i="32"/>
  <c r="AN746" i="32"/>
  <c r="AO746" i="32"/>
  <c r="AP746" i="32"/>
  <c r="AQ746" i="32"/>
  <c r="Q746" i="32"/>
  <c r="AR746" i="32"/>
  <c r="AS746" i="32"/>
  <c r="AT746" i="32"/>
  <c r="AU746" i="32"/>
  <c r="AV746" i="32"/>
  <c r="AW746" i="32"/>
  <c r="AX746" i="32"/>
  <c r="AY746" i="32"/>
  <c r="AZ746" i="32"/>
  <c r="BA746" i="32"/>
  <c r="AK747" i="32"/>
  <c r="AL747" i="32"/>
  <c r="AM747" i="32"/>
  <c r="AN747" i="32"/>
  <c r="AO747" i="32"/>
  <c r="AP747" i="32"/>
  <c r="AQ747" i="32"/>
  <c r="Q747" i="32"/>
  <c r="AR747" i="32"/>
  <c r="AS747" i="32"/>
  <c r="AT747" i="32"/>
  <c r="AU747" i="32"/>
  <c r="AV747" i="32"/>
  <c r="AW747" i="32"/>
  <c r="AX747" i="32"/>
  <c r="AY747" i="32"/>
  <c r="AZ747" i="32"/>
  <c r="BA747" i="32"/>
  <c r="AK748" i="32"/>
  <c r="AL748" i="32"/>
  <c r="AM748" i="32"/>
  <c r="AN748" i="32"/>
  <c r="AO748" i="32"/>
  <c r="AP748" i="32"/>
  <c r="AQ748" i="32"/>
  <c r="Q748" i="32"/>
  <c r="AR748" i="32"/>
  <c r="AS748" i="32"/>
  <c r="AT748" i="32"/>
  <c r="AU748" i="32"/>
  <c r="AV748" i="32"/>
  <c r="AW748" i="32"/>
  <c r="AX748" i="32"/>
  <c r="AY748" i="32"/>
  <c r="AZ748" i="32"/>
  <c r="BA748" i="32"/>
  <c r="AK749" i="32"/>
  <c r="AL749" i="32"/>
  <c r="AM749" i="32"/>
  <c r="AN749" i="32"/>
  <c r="AO749" i="32"/>
  <c r="AP749" i="32"/>
  <c r="AQ749" i="32"/>
  <c r="Q749" i="32"/>
  <c r="AR749" i="32"/>
  <c r="AS749" i="32"/>
  <c r="AT749" i="32"/>
  <c r="AU749" i="32"/>
  <c r="AV749" i="32"/>
  <c r="AW749" i="32"/>
  <c r="AX749" i="32"/>
  <c r="AY749" i="32"/>
  <c r="AZ749" i="32"/>
  <c r="BA749" i="32"/>
  <c r="AK750" i="32"/>
  <c r="AL750" i="32"/>
  <c r="AM750" i="32"/>
  <c r="AN750" i="32"/>
  <c r="AO750" i="32"/>
  <c r="AP750" i="32"/>
  <c r="AQ750" i="32"/>
  <c r="Q750" i="32"/>
  <c r="AR750" i="32"/>
  <c r="AS750" i="32"/>
  <c r="AT750" i="32"/>
  <c r="AU750" i="32"/>
  <c r="AV750" i="32"/>
  <c r="AW750" i="32"/>
  <c r="AX750" i="32"/>
  <c r="AY750" i="32"/>
  <c r="AZ750" i="32"/>
  <c r="BA750" i="32"/>
  <c r="AK751" i="32"/>
  <c r="AL751" i="32"/>
  <c r="AM751" i="32"/>
  <c r="AN751" i="32"/>
  <c r="AO751" i="32"/>
  <c r="AP751" i="32"/>
  <c r="AQ751" i="32"/>
  <c r="Q751" i="32"/>
  <c r="AR751" i="32"/>
  <c r="AS751" i="32"/>
  <c r="AT751" i="32"/>
  <c r="AU751" i="32"/>
  <c r="AV751" i="32"/>
  <c r="AW751" i="32"/>
  <c r="AX751" i="32"/>
  <c r="AY751" i="32"/>
  <c r="AZ751" i="32"/>
  <c r="BA751" i="32"/>
  <c r="AK752" i="32"/>
  <c r="AL752" i="32"/>
  <c r="AM752" i="32"/>
  <c r="AN752" i="32"/>
  <c r="AO752" i="32"/>
  <c r="AP752" i="32"/>
  <c r="AQ752" i="32"/>
  <c r="Q752" i="32"/>
  <c r="AR752" i="32"/>
  <c r="AS752" i="32"/>
  <c r="AT752" i="32"/>
  <c r="AU752" i="32"/>
  <c r="AV752" i="32"/>
  <c r="AW752" i="32"/>
  <c r="AX752" i="32"/>
  <c r="AY752" i="32"/>
  <c r="AZ752" i="32"/>
  <c r="BA752" i="32"/>
  <c r="AK753" i="32"/>
  <c r="AL753" i="32"/>
  <c r="AM753" i="32"/>
  <c r="AN753" i="32"/>
  <c r="AO753" i="32"/>
  <c r="AP753" i="32"/>
  <c r="AQ753" i="32"/>
  <c r="Q753" i="32"/>
  <c r="AR753" i="32"/>
  <c r="AS753" i="32"/>
  <c r="AT753" i="32"/>
  <c r="AU753" i="32"/>
  <c r="AV753" i="32"/>
  <c r="AW753" i="32"/>
  <c r="AX753" i="32"/>
  <c r="AY753" i="32"/>
  <c r="AZ753" i="32"/>
  <c r="BA753" i="32"/>
  <c r="AK754" i="32"/>
  <c r="AL754" i="32"/>
  <c r="AM754" i="32"/>
  <c r="AN754" i="32"/>
  <c r="AO754" i="32"/>
  <c r="AP754" i="32"/>
  <c r="AQ754" i="32"/>
  <c r="Q754" i="32"/>
  <c r="AR754" i="32"/>
  <c r="AS754" i="32"/>
  <c r="AT754" i="32"/>
  <c r="AU754" i="32"/>
  <c r="AV754" i="32"/>
  <c r="AW754" i="32"/>
  <c r="AX754" i="32"/>
  <c r="AY754" i="32"/>
  <c r="AZ754" i="32"/>
  <c r="BA754" i="32"/>
  <c r="AK755" i="32"/>
  <c r="AL755" i="32"/>
  <c r="AM755" i="32"/>
  <c r="AN755" i="32"/>
  <c r="AO755" i="32"/>
  <c r="AP755" i="32"/>
  <c r="AQ755" i="32"/>
  <c r="Q755" i="32"/>
  <c r="AR755" i="32"/>
  <c r="AS755" i="32"/>
  <c r="AT755" i="32"/>
  <c r="AU755" i="32"/>
  <c r="AV755" i="32"/>
  <c r="AW755" i="32"/>
  <c r="AX755" i="32"/>
  <c r="AY755" i="32"/>
  <c r="AZ755" i="32"/>
  <c r="BA755" i="32"/>
  <c r="AK756" i="32"/>
  <c r="AL756" i="32"/>
  <c r="AM756" i="32"/>
  <c r="AN756" i="32"/>
  <c r="AO756" i="32"/>
  <c r="AP756" i="32"/>
  <c r="AQ756" i="32"/>
  <c r="Q756" i="32"/>
  <c r="AR756" i="32"/>
  <c r="AS756" i="32"/>
  <c r="AT756" i="32"/>
  <c r="AU756" i="32"/>
  <c r="AV756" i="32"/>
  <c r="AW756" i="32"/>
  <c r="AX756" i="32"/>
  <c r="AY756" i="32"/>
  <c r="AZ756" i="32"/>
  <c r="BA756" i="32"/>
  <c r="AK757" i="32"/>
  <c r="AL757" i="32"/>
  <c r="AM757" i="32"/>
  <c r="AN757" i="32"/>
  <c r="AO757" i="32"/>
  <c r="AP757" i="32"/>
  <c r="AQ757" i="32"/>
  <c r="Q757" i="32"/>
  <c r="AR757" i="32"/>
  <c r="AS757" i="32"/>
  <c r="AT757" i="32"/>
  <c r="AU757" i="32"/>
  <c r="AV757" i="32"/>
  <c r="AW757" i="32"/>
  <c r="AX757" i="32"/>
  <c r="AY757" i="32"/>
  <c r="AZ757" i="32"/>
  <c r="BA757" i="32"/>
  <c r="AK758" i="32"/>
  <c r="AL758" i="32"/>
  <c r="AM758" i="32"/>
  <c r="AN758" i="32"/>
  <c r="AO758" i="32"/>
  <c r="AP758" i="32"/>
  <c r="AQ758" i="32"/>
  <c r="Q758" i="32"/>
  <c r="AR758" i="32"/>
  <c r="AS758" i="32"/>
  <c r="AT758" i="32"/>
  <c r="AU758" i="32"/>
  <c r="AV758" i="32"/>
  <c r="AW758" i="32"/>
  <c r="AX758" i="32"/>
  <c r="AY758" i="32"/>
  <c r="AZ758" i="32"/>
  <c r="BA758" i="32"/>
  <c r="AK759" i="32"/>
  <c r="AL759" i="32"/>
  <c r="AM759" i="32"/>
  <c r="AN759" i="32"/>
  <c r="AO759" i="32"/>
  <c r="AP759" i="32"/>
  <c r="AQ759" i="32"/>
  <c r="Q759" i="32"/>
  <c r="AR759" i="32"/>
  <c r="AS759" i="32"/>
  <c r="AT759" i="32"/>
  <c r="AU759" i="32"/>
  <c r="AV759" i="32"/>
  <c r="AW759" i="32"/>
  <c r="AX759" i="32"/>
  <c r="AY759" i="32"/>
  <c r="AZ759" i="32"/>
  <c r="BA759" i="32"/>
  <c r="AK760" i="32"/>
  <c r="AL760" i="32"/>
  <c r="AM760" i="32"/>
  <c r="AN760" i="32"/>
  <c r="AO760" i="32"/>
  <c r="AP760" i="32"/>
  <c r="AQ760" i="32"/>
  <c r="Q760" i="32"/>
  <c r="AR760" i="32"/>
  <c r="AS760" i="32"/>
  <c r="AT760" i="32"/>
  <c r="AU760" i="32"/>
  <c r="AV760" i="32"/>
  <c r="AW760" i="32"/>
  <c r="AX760" i="32"/>
  <c r="AY760" i="32"/>
  <c r="AZ760" i="32"/>
  <c r="BA760" i="32"/>
  <c r="AK761" i="32"/>
  <c r="AL761" i="32"/>
  <c r="AM761" i="32"/>
  <c r="AN761" i="32"/>
  <c r="AO761" i="32"/>
  <c r="AP761" i="32"/>
  <c r="AQ761" i="32"/>
  <c r="Q761" i="32"/>
  <c r="AR761" i="32"/>
  <c r="AS761" i="32"/>
  <c r="AT761" i="32"/>
  <c r="AU761" i="32"/>
  <c r="AV761" i="32"/>
  <c r="AW761" i="32"/>
  <c r="AX761" i="32"/>
  <c r="AY761" i="32"/>
  <c r="AZ761" i="32"/>
  <c r="BA761" i="32"/>
  <c r="AK762" i="32"/>
  <c r="AL762" i="32"/>
  <c r="AM762" i="32"/>
  <c r="AN762" i="32"/>
  <c r="AO762" i="32"/>
  <c r="AP762" i="32"/>
  <c r="AQ762" i="32"/>
  <c r="Q762" i="32"/>
  <c r="AR762" i="32"/>
  <c r="AS762" i="32"/>
  <c r="AT762" i="32"/>
  <c r="AU762" i="32"/>
  <c r="AV762" i="32"/>
  <c r="AW762" i="32"/>
  <c r="AX762" i="32"/>
  <c r="AY762" i="32"/>
  <c r="AZ762" i="32"/>
  <c r="BA762" i="32"/>
  <c r="AK763" i="32"/>
  <c r="AL763" i="32"/>
  <c r="AM763" i="32"/>
  <c r="AN763" i="32"/>
  <c r="AO763" i="32"/>
  <c r="AP763" i="32"/>
  <c r="AQ763" i="32"/>
  <c r="Q763" i="32"/>
  <c r="AR763" i="32"/>
  <c r="AS763" i="32"/>
  <c r="AT763" i="32"/>
  <c r="AU763" i="32"/>
  <c r="AV763" i="32"/>
  <c r="AW763" i="32"/>
  <c r="AX763" i="32"/>
  <c r="AY763" i="32"/>
  <c r="AZ763" i="32"/>
  <c r="BA763" i="32"/>
  <c r="AK764" i="32"/>
  <c r="AL764" i="32"/>
  <c r="AM764" i="32"/>
  <c r="AN764" i="32"/>
  <c r="AO764" i="32"/>
  <c r="AP764" i="32"/>
  <c r="AQ764" i="32"/>
  <c r="Q764" i="32"/>
  <c r="AR764" i="32"/>
  <c r="AS764" i="32"/>
  <c r="AT764" i="32"/>
  <c r="AU764" i="32"/>
  <c r="AV764" i="32"/>
  <c r="AW764" i="32"/>
  <c r="AX764" i="32"/>
  <c r="AY764" i="32"/>
  <c r="AZ764" i="32"/>
  <c r="BA764" i="32"/>
  <c r="AK765" i="32"/>
  <c r="AL765" i="32"/>
  <c r="AM765" i="32"/>
  <c r="AN765" i="32"/>
  <c r="AO765" i="32"/>
  <c r="AP765" i="32"/>
  <c r="AQ765" i="32"/>
  <c r="Q765" i="32"/>
  <c r="AR765" i="32"/>
  <c r="AS765" i="32"/>
  <c r="AT765" i="32"/>
  <c r="AU765" i="32"/>
  <c r="AV765" i="32"/>
  <c r="AW765" i="32"/>
  <c r="AX765" i="32"/>
  <c r="AY765" i="32"/>
  <c r="AZ765" i="32"/>
  <c r="BA765" i="32"/>
  <c r="AK766" i="32"/>
  <c r="AL766" i="32"/>
  <c r="AM766" i="32"/>
  <c r="AN766" i="32"/>
  <c r="AO766" i="32"/>
  <c r="AP766" i="32"/>
  <c r="AQ766" i="32"/>
  <c r="Q766" i="32"/>
  <c r="AR766" i="32"/>
  <c r="AS766" i="32"/>
  <c r="AT766" i="32"/>
  <c r="AU766" i="32"/>
  <c r="AV766" i="32"/>
  <c r="AW766" i="32"/>
  <c r="AX766" i="32"/>
  <c r="AY766" i="32"/>
  <c r="AZ766" i="32"/>
  <c r="BA766" i="32"/>
  <c r="AK767" i="32"/>
  <c r="AL767" i="32"/>
  <c r="AM767" i="32"/>
  <c r="AN767" i="32"/>
  <c r="AO767" i="32"/>
  <c r="AP767" i="32"/>
  <c r="AQ767" i="32"/>
  <c r="Q767" i="32"/>
  <c r="AR767" i="32"/>
  <c r="AS767" i="32"/>
  <c r="AT767" i="32"/>
  <c r="AU767" i="32"/>
  <c r="AV767" i="32"/>
  <c r="AW767" i="32"/>
  <c r="AX767" i="32"/>
  <c r="AY767" i="32"/>
  <c r="AZ767" i="32"/>
  <c r="BA767" i="32"/>
  <c r="AK768" i="32"/>
  <c r="AL768" i="32"/>
  <c r="AM768" i="32"/>
  <c r="AN768" i="32"/>
  <c r="AO768" i="32"/>
  <c r="AP768" i="32"/>
  <c r="AQ768" i="32"/>
  <c r="Q768" i="32"/>
  <c r="AR768" i="32"/>
  <c r="AS768" i="32"/>
  <c r="AT768" i="32"/>
  <c r="AU768" i="32"/>
  <c r="AV768" i="32"/>
  <c r="AW768" i="32"/>
  <c r="AX768" i="32"/>
  <c r="AY768" i="32"/>
  <c r="AZ768" i="32"/>
  <c r="BA768" i="32"/>
  <c r="AK769" i="32"/>
  <c r="AL769" i="32"/>
  <c r="AM769" i="32"/>
  <c r="AN769" i="32"/>
  <c r="AO769" i="32"/>
  <c r="AP769" i="32"/>
  <c r="AQ769" i="32"/>
  <c r="Q769" i="32"/>
  <c r="AR769" i="32"/>
  <c r="AS769" i="32"/>
  <c r="AT769" i="32"/>
  <c r="AU769" i="32"/>
  <c r="AV769" i="32"/>
  <c r="AW769" i="32"/>
  <c r="AX769" i="32"/>
  <c r="AY769" i="32"/>
  <c r="AZ769" i="32"/>
  <c r="BA769" i="32"/>
  <c r="AK770" i="32"/>
  <c r="AL770" i="32"/>
  <c r="AM770" i="32"/>
  <c r="AN770" i="32"/>
  <c r="AO770" i="32"/>
  <c r="AP770" i="32"/>
  <c r="AQ770" i="32"/>
  <c r="Q770" i="32"/>
  <c r="AR770" i="32"/>
  <c r="AS770" i="32"/>
  <c r="AT770" i="32"/>
  <c r="AU770" i="32"/>
  <c r="AV770" i="32"/>
  <c r="AW770" i="32"/>
  <c r="AX770" i="32"/>
  <c r="AY770" i="32"/>
  <c r="AZ770" i="32"/>
  <c r="BA770" i="32"/>
  <c r="AK771" i="32"/>
  <c r="AL771" i="32"/>
  <c r="AM771" i="32"/>
  <c r="AN771" i="32"/>
  <c r="AO771" i="32"/>
  <c r="AP771" i="32"/>
  <c r="AQ771" i="32"/>
  <c r="Q771" i="32"/>
  <c r="AR771" i="32"/>
  <c r="AS771" i="32"/>
  <c r="AT771" i="32"/>
  <c r="AU771" i="32"/>
  <c r="AV771" i="32"/>
  <c r="AW771" i="32"/>
  <c r="AX771" i="32"/>
  <c r="AY771" i="32"/>
  <c r="AZ771" i="32"/>
  <c r="BA771" i="32"/>
  <c r="AK772" i="32"/>
  <c r="AL772" i="32"/>
  <c r="AM772" i="32"/>
  <c r="AN772" i="32"/>
  <c r="AO772" i="32"/>
  <c r="AP772" i="32"/>
  <c r="AQ772" i="32"/>
  <c r="Q772" i="32"/>
  <c r="AR772" i="32"/>
  <c r="AS772" i="32"/>
  <c r="AT772" i="32"/>
  <c r="AU772" i="32"/>
  <c r="AV772" i="32"/>
  <c r="AW772" i="32"/>
  <c r="AX772" i="32"/>
  <c r="AY772" i="32"/>
  <c r="AZ772" i="32"/>
  <c r="BA772" i="32"/>
  <c r="AK773" i="32"/>
  <c r="AL773" i="32"/>
  <c r="AM773" i="32"/>
  <c r="AN773" i="32"/>
  <c r="AO773" i="32"/>
  <c r="AP773" i="32"/>
  <c r="AQ773" i="32"/>
  <c r="Q773" i="32"/>
  <c r="AR773" i="32"/>
  <c r="AS773" i="32"/>
  <c r="AT773" i="32"/>
  <c r="AU773" i="32"/>
  <c r="AV773" i="32"/>
  <c r="AW773" i="32"/>
  <c r="AX773" i="32"/>
  <c r="AY773" i="32"/>
  <c r="AZ773" i="32"/>
  <c r="BA773" i="32"/>
  <c r="AK774" i="32"/>
  <c r="AL774" i="32"/>
  <c r="AM774" i="32"/>
  <c r="AN774" i="32"/>
  <c r="AO774" i="32"/>
  <c r="AP774" i="32"/>
  <c r="AQ774" i="32"/>
  <c r="Q774" i="32"/>
  <c r="AR774" i="32"/>
  <c r="AS774" i="32"/>
  <c r="AT774" i="32"/>
  <c r="AU774" i="32"/>
  <c r="AV774" i="32"/>
  <c r="AW774" i="32"/>
  <c r="AX774" i="32"/>
  <c r="AY774" i="32"/>
  <c r="AZ774" i="32"/>
  <c r="BA774" i="32"/>
  <c r="AK775" i="32"/>
  <c r="AL775" i="32"/>
  <c r="AM775" i="32"/>
  <c r="AN775" i="32"/>
  <c r="AO775" i="32"/>
  <c r="AP775" i="32"/>
  <c r="AQ775" i="32"/>
  <c r="Q775" i="32"/>
  <c r="AR775" i="32"/>
  <c r="AS775" i="32"/>
  <c r="AT775" i="32"/>
  <c r="AU775" i="32"/>
  <c r="AV775" i="32"/>
  <c r="AW775" i="32"/>
  <c r="AX775" i="32"/>
  <c r="AY775" i="32"/>
  <c r="AZ775" i="32"/>
  <c r="BA775" i="32"/>
  <c r="AK776" i="32"/>
  <c r="AL776" i="32"/>
  <c r="AM776" i="32"/>
  <c r="AN776" i="32"/>
  <c r="AO776" i="32"/>
  <c r="AP776" i="32"/>
  <c r="AQ776" i="32"/>
  <c r="Q776" i="32"/>
  <c r="AR776" i="32"/>
  <c r="AS776" i="32"/>
  <c r="AT776" i="32"/>
  <c r="AU776" i="32"/>
  <c r="AV776" i="32"/>
  <c r="AW776" i="32"/>
  <c r="AX776" i="32"/>
  <c r="AY776" i="32"/>
  <c r="AZ776" i="32"/>
  <c r="BA776" i="32"/>
  <c r="AK777" i="32"/>
  <c r="AL777" i="32"/>
  <c r="AM777" i="32"/>
  <c r="AN777" i="32"/>
  <c r="AO777" i="32"/>
  <c r="AP777" i="32"/>
  <c r="AQ777" i="32"/>
  <c r="Q777" i="32"/>
  <c r="AR777" i="32"/>
  <c r="AS777" i="32"/>
  <c r="AT777" i="32"/>
  <c r="AU777" i="32"/>
  <c r="AV777" i="32"/>
  <c r="AW777" i="32"/>
  <c r="AX777" i="32"/>
  <c r="AY777" i="32"/>
  <c r="AZ777" i="32"/>
  <c r="BA777" i="32"/>
  <c r="AK778" i="32"/>
  <c r="AL778" i="32"/>
  <c r="AM778" i="32"/>
  <c r="AN778" i="32"/>
  <c r="AO778" i="32"/>
  <c r="AP778" i="32"/>
  <c r="AQ778" i="32"/>
  <c r="Q778" i="32"/>
  <c r="AR778" i="32"/>
  <c r="AS778" i="32"/>
  <c r="AT778" i="32"/>
  <c r="AU778" i="32"/>
  <c r="AV778" i="32"/>
  <c r="AW778" i="32"/>
  <c r="AX778" i="32"/>
  <c r="AY778" i="32"/>
  <c r="AZ778" i="32"/>
  <c r="BA778" i="32"/>
  <c r="AK779" i="32"/>
  <c r="AL779" i="32"/>
  <c r="AM779" i="32"/>
  <c r="AN779" i="32"/>
  <c r="AO779" i="32"/>
  <c r="AP779" i="32"/>
  <c r="AQ779" i="32"/>
  <c r="Q779" i="32"/>
  <c r="AR779" i="32"/>
  <c r="AS779" i="32"/>
  <c r="AT779" i="32"/>
  <c r="AU779" i="32"/>
  <c r="AV779" i="32"/>
  <c r="AW779" i="32"/>
  <c r="AX779" i="32"/>
  <c r="AY779" i="32"/>
  <c r="AZ779" i="32"/>
  <c r="BA779" i="32"/>
  <c r="AK780" i="32"/>
  <c r="AL780" i="32"/>
  <c r="AM780" i="32"/>
  <c r="AN780" i="32"/>
  <c r="AO780" i="32"/>
  <c r="AP780" i="32"/>
  <c r="AQ780" i="32"/>
  <c r="Q780" i="32"/>
  <c r="AR780" i="32"/>
  <c r="AS780" i="32"/>
  <c r="AT780" i="32"/>
  <c r="AU780" i="32"/>
  <c r="AV780" i="32"/>
  <c r="AW780" i="32"/>
  <c r="AX780" i="32"/>
  <c r="AY780" i="32"/>
  <c r="AZ780" i="32"/>
  <c r="BA780" i="32"/>
  <c r="AK781" i="32"/>
  <c r="AL781" i="32"/>
  <c r="AM781" i="32"/>
  <c r="AN781" i="32"/>
  <c r="AO781" i="32"/>
  <c r="AP781" i="32"/>
  <c r="AQ781" i="32"/>
  <c r="Q781" i="32"/>
  <c r="AR781" i="32"/>
  <c r="AS781" i="32"/>
  <c r="AT781" i="32"/>
  <c r="AU781" i="32"/>
  <c r="AV781" i="32"/>
  <c r="AW781" i="32"/>
  <c r="AX781" i="32"/>
  <c r="AY781" i="32"/>
  <c r="AZ781" i="32"/>
  <c r="BA781" i="32"/>
  <c r="AK782" i="32"/>
  <c r="AL782" i="32"/>
  <c r="AM782" i="32"/>
  <c r="AN782" i="32"/>
  <c r="AO782" i="32"/>
  <c r="AP782" i="32"/>
  <c r="AQ782" i="32"/>
  <c r="Q782" i="32"/>
  <c r="AR782" i="32"/>
  <c r="AS782" i="32"/>
  <c r="AT782" i="32"/>
  <c r="AU782" i="32"/>
  <c r="AV782" i="32"/>
  <c r="AW782" i="32"/>
  <c r="AX782" i="32"/>
  <c r="AY782" i="32"/>
  <c r="AZ782" i="32"/>
  <c r="BA782" i="32"/>
  <c r="AK783" i="32"/>
  <c r="AL783" i="32"/>
  <c r="AM783" i="32"/>
  <c r="AN783" i="32"/>
  <c r="AO783" i="32"/>
  <c r="AP783" i="32"/>
  <c r="AQ783" i="32"/>
  <c r="Q783" i="32"/>
  <c r="AR783" i="32"/>
  <c r="AS783" i="32"/>
  <c r="AT783" i="32"/>
  <c r="AU783" i="32"/>
  <c r="AV783" i="32"/>
  <c r="AW783" i="32"/>
  <c r="AX783" i="32"/>
  <c r="AY783" i="32"/>
  <c r="AZ783" i="32"/>
  <c r="BA783" i="32"/>
  <c r="AK784" i="32"/>
  <c r="AL784" i="32"/>
  <c r="AM784" i="32"/>
  <c r="AN784" i="32"/>
  <c r="AO784" i="32"/>
  <c r="AP784" i="32"/>
  <c r="AQ784" i="32"/>
  <c r="Q784" i="32"/>
  <c r="AR784" i="32"/>
  <c r="AS784" i="32"/>
  <c r="AT784" i="32"/>
  <c r="AU784" i="32"/>
  <c r="AV784" i="32"/>
  <c r="AW784" i="32"/>
  <c r="AX784" i="32"/>
  <c r="AY784" i="32"/>
  <c r="AZ784" i="32"/>
  <c r="BA784" i="32"/>
  <c r="AK785" i="32"/>
  <c r="AL785" i="32"/>
  <c r="AM785" i="32"/>
  <c r="AN785" i="32"/>
  <c r="AO785" i="32"/>
  <c r="AP785" i="32"/>
  <c r="AQ785" i="32"/>
  <c r="Q785" i="32"/>
  <c r="AR785" i="32"/>
  <c r="AS785" i="32"/>
  <c r="AT785" i="32"/>
  <c r="AU785" i="32"/>
  <c r="AV785" i="32"/>
  <c r="AW785" i="32"/>
  <c r="AX785" i="32"/>
  <c r="AY785" i="32"/>
  <c r="AZ785" i="32"/>
  <c r="BA785" i="32"/>
  <c r="AK786" i="32"/>
  <c r="AL786" i="32"/>
  <c r="AM786" i="32"/>
  <c r="AN786" i="32"/>
  <c r="AO786" i="32"/>
  <c r="AP786" i="32"/>
  <c r="AQ786" i="32"/>
  <c r="Q786" i="32"/>
  <c r="AR786" i="32"/>
  <c r="AS786" i="32"/>
  <c r="AT786" i="32"/>
  <c r="AU786" i="32"/>
  <c r="AV786" i="32"/>
  <c r="AW786" i="32"/>
  <c r="AX786" i="32"/>
  <c r="AY786" i="32"/>
  <c r="AZ786" i="32"/>
  <c r="BA786" i="32"/>
  <c r="AK787" i="32"/>
  <c r="AL787" i="32"/>
  <c r="AM787" i="32"/>
  <c r="AN787" i="32"/>
  <c r="AO787" i="32"/>
  <c r="AP787" i="32"/>
  <c r="AQ787" i="32"/>
  <c r="Q787" i="32"/>
  <c r="AR787" i="32"/>
  <c r="AS787" i="32"/>
  <c r="AT787" i="32"/>
  <c r="AU787" i="32"/>
  <c r="AV787" i="32"/>
  <c r="AW787" i="32"/>
  <c r="AX787" i="32"/>
  <c r="AY787" i="32"/>
  <c r="AZ787" i="32"/>
  <c r="BA787" i="32"/>
  <c r="AK788" i="32"/>
  <c r="AL788" i="32"/>
  <c r="AM788" i="32"/>
  <c r="AN788" i="32"/>
  <c r="AO788" i="32"/>
  <c r="AP788" i="32"/>
  <c r="AQ788" i="32"/>
  <c r="Q788" i="32"/>
  <c r="AR788" i="32"/>
  <c r="AS788" i="32"/>
  <c r="AT788" i="32"/>
  <c r="AU788" i="32"/>
  <c r="AV788" i="32"/>
  <c r="AW788" i="32"/>
  <c r="AX788" i="32"/>
  <c r="AY788" i="32"/>
  <c r="AZ788" i="32"/>
  <c r="BA788" i="32"/>
  <c r="AK789" i="32"/>
  <c r="AL789" i="32"/>
  <c r="AM789" i="32"/>
  <c r="AN789" i="32"/>
  <c r="AO789" i="32"/>
  <c r="AP789" i="32"/>
  <c r="AQ789" i="32"/>
  <c r="Q789" i="32"/>
  <c r="AR789" i="32"/>
  <c r="AS789" i="32"/>
  <c r="AT789" i="32"/>
  <c r="AU789" i="32"/>
  <c r="AV789" i="32"/>
  <c r="AW789" i="32"/>
  <c r="AX789" i="32"/>
  <c r="AY789" i="32"/>
  <c r="AZ789" i="32"/>
  <c r="BA789" i="32"/>
  <c r="AK790" i="32"/>
  <c r="AL790" i="32"/>
  <c r="AM790" i="32"/>
  <c r="AN790" i="32"/>
  <c r="AO790" i="32"/>
  <c r="AP790" i="32"/>
  <c r="AQ790" i="32"/>
  <c r="Q790" i="32"/>
  <c r="AR790" i="32"/>
  <c r="AS790" i="32"/>
  <c r="AT790" i="32"/>
  <c r="AU790" i="32"/>
  <c r="AV790" i="32"/>
  <c r="AW790" i="32"/>
  <c r="AX790" i="32"/>
  <c r="AY790" i="32"/>
  <c r="AZ790" i="32"/>
  <c r="BA790" i="32"/>
  <c r="AK791" i="32"/>
  <c r="AL791" i="32"/>
  <c r="AM791" i="32"/>
  <c r="AN791" i="32"/>
  <c r="AO791" i="32"/>
  <c r="AP791" i="32"/>
  <c r="AQ791" i="32"/>
  <c r="Q791" i="32"/>
  <c r="AR791" i="32"/>
  <c r="AS791" i="32"/>
  <c r="AT791" i="32"/>
  <c r="AU791" i="32"/>
  <c r="AV791" i="32"/>
  <c r="AW791" i="32"/>
  <c r="AX791" i="32"/>
  <c r="AY791" i="32"/>
  <c r="AZ791" i="32"/>
  <c r="BA791" i="32"/>
  <c r="AK792" i="32"/>
  <c r="AL792" i="32"/>
  <c r="AM792" i="32"/>
  <c r="AN792" i="32"/>
  <c r="AO792" i="32"/>
  <c r="AP792" i="32"/>
  <c r="AQ792" i="32"/>
  <c r="Q792" i="32"/>
  <c r="AR792" i="32"/>
  <c r="AS792" i="32"/>
  <c r="AT792" i="32"/>
  <c r="AU792" i="32"/>
  <c r="AV792" i="32"/>
  <c r="AW792" i="32"/>
  <c r="AX792" i="32"/>
  <c r="AY792" i="32"/>
  <c r="AZ792" i="32"/>
  <c r="BA792" i="32"/>
  <c r="AK793" i="32"/>
  <c r="AL793" i="32"/>
  <c r="AM793" i="32"/>
  <c r="AN793" i="32"/>
  <c r="AO793" i="32"/>
  <c r="AP793" i="32"/>
  <c r="AQ793" i="32"/>
  <c r="Q793" i="32"/>
  <c r="AR793" i="32"/>
  <c r="AS793" i="32"/>
  <c r="AT793" i="32"/>
  <c r="AU793" i="32"/>
  <c r="AV793" i="32"/>
  <c r="AW793" i="32"/>
  <c r="AX793" i="32"/>
  <c r="AY793" i="32"/>
  <c r="AZ793" i="32"/>
  <c r="BA793" i="32"/>
  <c r="AK794" i="32"/>
  <c r="AL794" i="32"/>
  <c r="AM794" i="32"/>
  <c r="AN794" i="32"/>
  <c r="AO794" i="32"/>
  <c r="AP794" i="32"/>
  <c r="AQ794" i="32"/>
  <c r="Q794" i="32"/>
  <c r="AR794" i="32"/>
  <c r="AS794" i="32"/>
  <c r="AT794" i="32"/>
  <c r="AU794" i="32"/>
  <c r="AV794" i="32"/>
  <c r="AW794" i="32"/>
  <c r="AX794" i="32"/>
  <c r="AY794" i="32"/>
  <c r="AZ794" i="32"/>
  <c r="BA794" i="32"/>
  <c r="AK795" i="32"/>
  <c r="AL795" i="32"/>
  <c r="AM795" i="32"/>
  <c r="AN795" i="32"/>
  <c r="AO795" i="32"/>
  <c r="AP795" i="32"/>
  <c r="AQ795" i="32"/>
  <c r="Q795" i="32"/>
  <c r="AR795" i="32"/>
  <c r="AS795" i="32"/>
  <c r="AT795" i="32"/>
  <c r="AU795" i="32"/>
  <c r="AV795" i="32"/>
  <c r="AW795" i="32"/>
  <c r="AX795" i="32"/>
  <c r="AY795" i="32"/>
  <c r="AZ795" i="32"/>
  <c r="BA795" i="32"/>
  <c r="AK796" i="32"/>
  <c r="AL796" i="32"/>
  <c r="AM796" i="32"/>
  <c r="AN796" i="32"/>
  <c r="AO796" i="32"/>
  <c r="AP796" i="32"/>
  <c r="AQ796" i="32"/>
  <c r="Q796" i="32"/>
  <c r="AR796" i="32"/>
  <c r="AS796" i="32"/>
  <c r="AT796" i="32"/>
  <c r="AU796" i="32"/>
  <c r="AV796" i="32"/>
  <c r="AW796" i="32"/>
  <c r="AX796" i="32"/>
  <c r="AY796" i="32"/>
  <c r="AZ796" i="32"/>
  <c r="BA796" i="32"/>
  <c r="AK797" i="32"/>
  <c r="AL797" i="32"/>
  <c r="AM797" i="32"/>
  <c r="AN797" i="32"/>
  <c r="AO797" i="32"/>
  <c r="AP797" i="32"/>
  <c r="AQ797" i="32"/>
  <c r="Q797" i="32"/>
  <c r="AR797" i="32"/>
  <c r="AS797" i="32"/>
  <c r="AT797" i="32"/>
  <c r="AU797" i="32"/>
  <c r="AV797" i="32"/>
  <c r="AW797" i="32"/>
  <c r="AX797" i="32"/>
  <c r="AY797" i="32"/>
  <c r="AZ797" i="32"/>
  <c r="BA797" i="32"/>
  <c r="AK798" i="32"/>
  <c r="AL798" i="32"/>
  <c r="AM798" i="32"/>
  <c r="AN798" i="32"/>
  <c r="AO798" i="32"/>
  <c r="AP798" i="32"/>
  <c r="AQ798" i="32"/>
  <c r="Q798" i="32"/>
  <c r="AR798" i="32"/>
  <c r="AS798" i="32"/>
  <c r="AT798" i="32"/>
  <c r="AU798" i="32"/>
  <c r="AV798" i="32"/>
  <c r="AW798" i="32"/>
  <c r="AX798" i="32"/>
  <c r="AY798" i="32"/>
  <c r="AZ798" i="32"/>
  <c r="BA798" i="32"/>
  <c r="AK799" i="32"/>
  <c r="AL799" i="32"/>
  <c r="AM799" i="32"/>
  <c r="AN799" i="32"/>
  <c r="AO799" i="32"/>
  <c r="AP799" i="32"/>
  <c r="AQ799" i="32"/>
  <c r="Q799" i="32"/>
  <c r="AR799" i="32"/>
  <c r="AS799" i="32"/>
  <c r="AT799" i="32"/>
  <c r="AU799" i="32"/>
  <c r="AV799" i="32"/>
  <c r="AW799" i="32"/>
  <c r="AX799" i="32"/>
  <c r="AY799" i="32"/>
  <c r="AZ799" i="32"/>
  <c r="BA799" i="32"/>
  <c r="AK800" i="32"/>
  <c r="AL800" i="32"/>
  <c r="AM800" i="32"/>
  <c r="AN800" i="32"/>
  <c r="AO800" i="32"/>
  <c r="AP800" i="32"/>
  <c r="AQ800" i="32"/>
  <c r="Q800" i="32"/>
  <c r="AR800" i="32"/>
  <c r="AS800" i="32"/>
  <c r="AT800" i="32"/>
  <c r="AU800" i="32"/>
  <c r="AV800" i="32"/>
  <c r="AW800" i="32"/>
  <c r="AX800" i="32"/>
  <c r="AY800" i="32"/>
  <c r="AZ800" i="32"/>
  <c r="BA800" i="32"/>
  <c r="AK801" i="32"/>
  <c r="AL801" i="32"/>
  <c r="AM801" i="32"/>
  <c r="AN801" i="32"/>
  <c r="AO801" i="32"/>
  <c r="AP801" i="32"/>
  <c r="AQ801" i="32"/>
  <c r="Q801" i="32"/>
  <c r="AR801" i="32"/>
  <c r="AS801" i="32"/>
  <c r="AT801" i="32"/>
  <c r="AU801" i="32"/>
  <c r="AV801" i="32"/>
  <c r="AW801" i="32"/>
  <c r="AX801" i="32"/>
  <c r="AY801" i="32"/>
  <c r="AZ801" i="32"/>
  <c r="BA801" i="32"/>
  <c r="AK802" i="32"/>
  <c r="AL802" i="32"/>
  <c r="AM802" i="32"/>
  <c r="AN802" i="32"/>
  <c r="AO802" i="32"/>
  <c r="AP802" i="32"/>
  <c r="AQ802" i="32"/>
  <c r="Q802" i="32"/>
  <c r="AR802" i="32"/>
  <c r="AS802" i="32"/>
  <c r="AT802" i="32"/>
  <c r="AU802" i="32"/>
  <c r="AV802" i="32"/>
  <c r="AW802" i="32"/>
  <c r="AX802" i="32"/>
  <c r="AY802" i="32"/>
  <c r="AZ802" i="32"/>
  <c r="BA802" i="32"/>
  <c r="AK803" i="32"/>
  <c r="AL803" i="32"/>
  <c r="AM803" i="32"/>
  <c r="AN803" i="32"/>
  <c r="AO803" i="32"/>
  <c r="AP803" i="32"/>
  <c r="AQ803" i="32"/>
  <c r="Q803" i="32"/>
  <c r="AR803" i="32"/>
  <c r="AS803" i="32"/>
  <c r="AT803" i="32"/>
  <c r="AU803" i="32"/>
  <c r="AV803" i="32"/>
  <c r="AW803" i="32"/>
  <c r="AX803" i="32"/>
  <c r="AY803" i="32"/>
  <c r="AZ803" i="32"/>
  <c r="BA803" i="32"/>
  <c r="AK804" i="32"/>
  <c r="AL804" i="32"/>
  <c r="AM804" i="32"/>
  <c r="AN804" i="32"/>
  <c r="AO804" i="32"/>
  <c r="AP804" i="32"/>
  <c r="AQ804" i="32"/>
  <c r="Q804" i="32"/>
  <c r="AR804" i="32"/>
  <c r="AS804" i="32"/>
  <c r="AT804" i="32"/>
  <c r="AU804" i="32"/>
  <c r="AV804" i="32"/>
  <c r="AW804" i="32"/>
  <c r="AX804" i="32"/>
  <c r="AY804" i="32"/>
  <c r="AZ804" i="32"/>
  <c r="BA804" i="32"/>
  <c r="AK805" i="32"/>
  <c r="AL805" i="32"/>
  <c r="AM805" i="32"/>
  <c r="AN805" i="32"/>
  <c r="AO805" i="32"/>
  <c r="AP805" i="32"/>
  <c r="AQ805" i="32"/>
  <c r="Q805" i="32"/>
  <c r="AR805" i="32"/>
  <c r="AS805" i="32"/>
  <c r="AT805" i="32"/>
  <c r="AU805" i="32"/>
  <c r="AV805" i="32"/>
  <c r="AW805" i="32"/>
  <c r="AX805" i="32"/>
  <c r="AY805" i="32"/>
  <c r="AZ805" i="32"/>
  <c r="BA805" i="32"/>
  <c r="AK806" i="32"/>
  <c r="AL806" i="32"/>
  <c r="AM806" i="32"/>
  <c r="AN806" i="32"/>
  <c r="AO806" i="32"/>
  <c r="AP806" i="32"/>
  <c r="AQ806" i="32"/>
  <c r="Q806" i="32"/>
  <c r="AR806" i="32"/>
  <c r="AS806" i="32"/>
  <c r="AT806" i="32"/>
  <c r="AU806" i="32"/>
  <c r="AV806" i="32"/>
  <c r="AW806" i="32"/>
  <c r="AX806" i="32"/>
  <c r="AY806" i="32"/>
  <c r="AZ806" i="32"/>
  <c r="BA806" i="32"/>
  <c r="AK807" i="32"/>
  <c r="AL807" i="32"/>
  <c r="AM807" i="32"/>
  <c r="AN807" i="32"/>
  <c r="AO807" i="32"/>
  <c r="AP807" i="32"/>
  <c r="AQ807" i="32"/>
  <c r="Q807" i="32"/>
  <c r="AR807" i="32"/>
  <c r="AS807" i="32"/>
  <c r="AT807" i="32"/>
  <c r="AU807" i="32"/>
  <c r="AV807" i="32"/>
  <c r="AW807" i="32"/>
  <c r="AX807" i="32"/>
  <c r="AY807" i="32"/>
  <c r="AZ807" i="32"/>
  <c r="BA807" i="32"/>
  <c r="AK808" i="32"/>
  <c r="AL808" i="32"/>
  <c r="AM808" i="32"/>
  <c r="AN808" i="32"/>
  <c r="AO808" i="32"/>
  <c r="AP808" i="32"/>
  <c r="AQ808" i="32"/>
  <c r="Q808" i="32"/>
  <c r="AR808" i="32"/>
  <c r="AS808" i="32"/>
  <c r="AT808" i="32"/>
  <c r="AU808" i="32"/>
  <c r="AV808" i="32"/>
  <c r="AW808" i="32"/>
  <c r="AX808" i="32"/>
  <c r="AY808" i="32"/>
  <c r="AZ808" i="32"/>
  <c r="BA808" i="32"/>
  <c r="AK809" i="32"/>
  <c r="AL809" i="32"/>
  <c r="AM809" i="32"/>
  <c r="AN809" i="32"/>
  <c r="AO809" i="32"/>
  <c r="AP809" i="32"/>
  <c r="AQ809" i="32"/>
  <c r="Q809" i="32"/>
  <c r="AR809" i="32"/>
  <c r="AS809" i="32"/>
  <c r="AT809" i="32"/>
  <c r="AU809" i="32"/>
  <c r="AV809" i="32"/>
  <c r="AW809" i="32"/>
  <c r="AX809" i="32"/>
  <c r="AY809" i="32"/>
  <c r="AZ809" i="32"/>
  <c r="BA809" i="32"/>
  <c r="AK810" i="32"/>
  <c r="AL810" i="32"/>
  <c r="AM810" i="32"/>
  <c r="AN810" i="32"/>
  <c r="AO810" i="32"/>
  <c r="AP810" i="32"/>
  <c r="AQ810" i="32"/>
  <c r="Q810" i="32"/>
  <c r="AR810" i="32"/>
  <c r="AS810" i="32"/>
  <c r="AT810" i="32"/>
  <c r="AU810" i="32"/>
  <c r="AV810" i="32"/>
  <c r="AW810" i="32"/>
  <c r="AX810" i="32"/>
  <c r="AY810" i="32"/>
  <c r="AZ810" i="32"/>
  <c r="BA810" i="32"/>
  <c r="AK811" i="32"/>
  <c r="AL811" i="32"/>
  <c r="AM811" i="32"/>
  <c r="AN811" i="32"/>
  <c r="AO811" i="32"/>
  <c r="AP811" i="32"/>
  <c r="AQ811" i="32"/>
  <c r="Q811" i="32"/>
  <c r="AR811" i="32"/>
  <c r="AS811" i="32"/>
  <c r="AT811" i="32"/>
  <c r="AU811" i="32"/>
  <c r="AV811" i="32"/>
  <c r="AW811" i="32"/>
  <c r="AX811" i="32"/>
  <c r="AY811" i="32"/>
  <c r="AZ811" i="32"/>
  <c r="BA811" i="32"/>
  <c r="AK812" i="32"/>
  <c r="AL812" i="32"/>
  <c r="AM812" i="32"/>
  <c r="AN812" i="32"/>
  <c r="AO812" i="32"/>
  <c r="AP812" i="32"/>
  <c r="AQ812" i="32"/>
  <c r="Q812" i="32"/>
  <c r="AR812" i="32"/>
  <c r="AS812" i="32"/>
  <c r="AT812" i="32"/>
  <c r="AU812" i="32"/>
  <c r="AV812" i="32"/>
  <c r="AW812" i="32"/>
  <c r="AX812" i="32"/>
  <c r="AY812" i="32"/>
  <c r="AZ812" i="32"/>
  <c r="BA812" i="32"/>
  <c r="AK813" i="32"/>
  <c r="AL813" i="32"/>
  <c r="AM813" i="32"/>
  <c r="AN813" i="32"/>
  <c r="AO813" i="32"/>
  <c r="AP813" i="32"/>
  <c r="AQ813" i="32"/>
  <c r="Q813" i="32"/>
  <c r="AR813" i="32"/>
  <c r="AS813" i="32"/>
  <c r="AT813" i="32"/>
  <c r="AU813" i="32"/>
  <c r="AV813" i="32"/>
  <c r="AW813" i="32"/>
  <c r="AX813" i="32"/>
  <c r="AY813" i="32"/>
  <c r="AZ813" i="32"/>
  <c r="BA813" i="32"/>
  <c r="AK814" i="32"/>
  <c r="AL814" i="32"/>
  <c r="AM814" i="32"/>
  <c r="AN814" i="32"/>
  <c r="AO814" i="32"/>
  <c r="AP814" i="32"/>
  <c r="AQ814" i="32"/>
  <c r="Q814" i="32"/>
  <c r="AR814" i="32"/>
  <c r="AS814" i="32"/>
  <c r="AT814" i="32"/>
  <c r="AU814" i="32"/>
  <c r="AV814" i="32"/>
  <c r="AW814" i="32"/>
  <c r="AX814" i="32"/>
  <c r="AY814" i="32"/>
  <c r="AZ814" i="32"/>
  <c r="BA814" i="32"/>
  <c r="AK815" i="32"/>
  <c r="AL815" i="32"/>
  <c r="AM815" i="32"/>
  <c r="AN815" i="32"/>
  <c r="AO815" i="32"/>
  <c r="AP815" i="32"/>
  <c r="AQ815" i="32"/>
  <c r="Q815" i="32"/>
  <c r="AR815" i="32"/>
  <c r="AS815" i="32"/>
  <c r="AT815" i="32"/>
  <c r="AU815" i="32"/>
  <c r="AV815" i="32"/>
  <c r="AW815" i="32"/>
  <c r="AX815" i="32"/>
  <c r="AY815" i="32"/>
  <c r="AZ815" i="32"/>
  <c r="BA815" i="32"/>
  <c r="AK816" i="32"/>
  <c r="AL816" i="32"/>
  <c r="AM816" i="32"/>
  <c r="AN816" i="32"/>
  <c r="AO816" i="32"/>
  <c r="AP816" i="32"/>
  <c r="AQ816" i="32"/>
  <c r="Q816" i="32"/>
  <c r="AR816" i="32"/>
  <c r="AS816" i="32"/>
  <c r="AT816" i="32"/>
  <c r="AU816" i="32"/>
  <c r="AV816" i="32"/>
  <c r="AW816" i="32"/>
  <c r="AX816" i="32"/>
  <c r="AY816" i="32"/>
  <c r="AZ816" i="32"/>
  <c r="BA816" i="32"/>
  <c r="AK817" i="32"/>
  <c r="AL817" i="32"/>
  <c r="AM817" i="32"/>
  <c r="AN817" i="32"/>
  <c r="AO817" i="32"/>
  <c r="AP817" i="32"/>
  <c r="AQ817" i="32"/>
  <c r="Q817" i="32"/>
  <c r="AR817" i="32"/>
  <c r="AS817" i="32"/>
  <c r="AT817" i="32"/>
  <c r="AU817" i="32"/>
  <c r="AV817" i="32"/>
  <c r="AW817" i="32"/>
  <c r="AX817" i="32"/>
  <c r="AY817" i="32"/>
  <c r="AZ817" i="32"/>
  <c r="BA817" i="32"/>
  <c r="AK818" i="32"/>
  <c r="AL818" i="32"/>
  <c r="AM818" i="32"/>
  <c r="AN818" i="32"/>
  <c r="AO818" i="32"/>
  <c r="AP818" i="32"/>
  <c r="AQ818" i="32"/>
  <c r="Q818" i="32"/>
  <c r="AR818" i="32"/>
  <c r="AS818" i="32"/>
  <c r="AT818" i="32"/>
  <c r="AU818" i="32"/>
  <c r="AV818" i="32"/>
  <c r="AW818" i="32"/>
  <c r="AX818" i="32"/>
  <c r="AY818" i="32"/>
  <c r="AZ818" i="32"/>
  <c r="BA818" i="32"/>
  <c r="AK819" i="32"/>
  <c r="AL819" i="32"/>
  <c r="AM819" i="32"/>
  <c r="AN819" i="32"/>
  <c r="AO819" i="32"/>
  <c r="AP819" i="32"/>
  <c r="AQ819" i="32"/>
  <c r="Q819" i="32"/>
  <c r="AR819" i="32"/>
  <c r="AS819" i="32"/>
  <c r="AT819" i="32"/>
  <c r="AU819" i="32"/>
  <c r="AV819" i="32"/>
  <c r="AW819" i="32"/>
  <c r="AX819" i="32"/>
  <c r="AY819" i="32"/>
  <c r="AZ819" i="32"/>
  <c r="BA819" i="32"/>
  <c r="AK820" i="32"/>
  <c r="AL820" i="32"/>
  <c r="AM820" i="32"/>
  <c r="AN820" i="32"/>
  <c r="AO820" i="32"/>
  <c r="AP820" i="32"/>
  <c r="AQ820" i="32"/>
  <c r="Q820" i="32"/>
  <c r="AR820" i="32"/>
  <c r="AS820" i="32"/>
  <c r="AT820" i="32"/>
  <c r="AU820" i="32"/>
  <c r="AV820" i="32"/>
  <c r="AW820" i="32"/>
  <c r="AX820" i="32"/>
  <c r="AY820" i="32"/>
  <c r="AZ820" i="32"/>
  <c r="BA820" i="32"/>
  <c r="AK821" i="32"/>
  <c r="AL821" i="32"/>
  <c r="AM821" i="32"/>
  <c r="AN821" i="32"/>
  <c r="AO821" i="32"/>
  <c r="AP821" i="32"/>
  <c r="AQ821" i="32"/>
  <c r="Q821" i="32"/>
  <c r="AR821" i="32"/>
  <c r="AS821" i="32"/>
  <c r="AT821" i="32"/>
  <c r="AU821" i="32"/>
  <c r="AV821" i="32"/>
  <c r="AW821" i="32"/>
  <c r="AX821" i="32"/>
  <c r="AY821" i="32"/>
  <c r="AZ821" i="32"/>
  <c r="BA821" i="32"/>
  <c r="AK822" i="32"/>
  <c r="AL822" i="32"/>
  <c r="AM822" i="32"/>
  <c r="AN822" i="32"/>
  <c r="AO822" i="32"/>
  <c r="AP822" i="32"/>
  <c r="AQ822" i="32"/>
  <c r="Q822" i="32"/>
  <c r="AR822" i="32"/>
  <c r="AS822" i="32"/>
  <c r="AT822" i="32"/>
  <c r="AU822" i="32"/>
  <c r="AV822" i="32"/>
  <c r="AW822" i="32"/>
  <c r="AX822" i="32"/>
  <c r="AY822" i="32"/>
  <c r="AZ822" i="32"/>
  <c r="BA822" i="32"/>
  <c r="AK823" i="32"/>
  <c r="AL823" i="32"/>
  <c r="AM823" i="32"/>
  <c r="AN823" i="32"/>
  <c r="AO823" i="32"/>
  <c r="AP823" i="32"/>
  <c r="AQ823" i="32"/>
  <c r="Q823" i="32"/>
  <c r="AR823" i="32"/>
  <c r="AS823" i="32"/>
  <c r="AT823" i="32"/>
  <c r="AU823" i="32"/>
  <c r="AV823" i="32"/>
  <c r="AW823" i="32"/>
  <c r="AX823" i="32"/>
  <c r="AY823" i="32"/>
  <c r="AZ823" i="32"/>
  <c r="BA823" i="32"/>
  <c r="AK824" i="32"/>
  <c r="AL824" i="32"/>
  <c r="AM824" i="32"/>
  <c r="AN824" i="32"/>
  <c r="AO824" i="32"/>
  <c r="AP824" i="32"/>
  <c r="AQ824" i="32"/>
  <c r="Q824" i="32"/>
  <c r="AR824" i="32"/>
  <c r="AS824" i="32"/>
  <c r="AT824" i="32"/>
  <c r="AU824" i="32"/>
  <c r="AV824" i="32"/>
  <c r="AW824" i="32"/>
  <c r="AX824" i="32"/>
  <c r="AY824" i="32"/>
  <c r="AZ824" i="32"/>
  <c r="BA824" i="32"/>
  <c r="AK825" i="32"/>
  <c r="AL825" i="32"/>
  <c r="AM825" i="32"/>
  <c r="AN825" i="32"/>
  <c r="AO825" i="32"/>
  <c r="AP825" i="32"/>
  <c r="AQ825" i="32"/>
  <c r="Q825" i="32"/>
  <c r="AR825" i="32"/>
  <c r="AS825" i="32"/>
  <c r="AT825" i="32"/>
  <c r="AU825" i="32"/>
  <c r="AV825" i="32"/>
  <c r="AW825" i="32"/>
  <c r="AX825" i="32"/>
  <c r="AY825" i="32"/>
  <c r="AZ825" i="32"/>
  <c r="BA825" i="32"/>
  <c r="AK826" i="32"/>
  <c r="AL826" i="32"/>
  <c r="AM826" i="32"/>
  <c r="AN826" i="32"/>
  <c r="AO826" i="32"/>
  <c r="AP826" i="32"/>
  <c r="AQ826" i="32"/>
  <c r="Q826" i="32"/>
  <c r="AR826" i="32"/>
  <c r="AS826" i="32"/>
  <c r="AT826" i="32"/>
  <c r="AU826" i="32"/>
  <c r="AV826" i="32"/>
  <c r="AW826" i="32"/>
  <c r="AX826" i="32"/>
  <c r="AY826" i="32"/>
  <c r="AZ826" i="32"/>
  <c r="BA826" i="32"/>
  <c r="AK827" i="32"/>
  <c r="AL827" i="32"/>
  <c r="AM827" i="32"/>
  <c r="AN827" i="32"/>
  <c r="AO827" i="32"/>
  <c r="AP827" i="32"/>
  <c r="AQ827" i="32"/>
  <c r="Q827" i="32"/>
  <c r="AR827" i="32"/>
  <c r="AS827" i="32"/>
  <c r="AT827" i="32"/>
  <c r="AU827" i="32"/>
  <c r="AV827" i="32"/>
  <c r="AW827" i="32"/>
  <c r="AX827" i="32"/>
  <c r="AY827" i="32"/>
  <c r="AZ827" i="32"/>
  <c r="BA827" i="32"/>
  <c r="AK828" i="32"/>
  <c r="AL828" i="32"/>
  <c r="AM828" i="32"/>
  <c r="AN828" i="32"/>
  <c r="AO828" i="32"/>
  <c r="AP828" i="32"/>
  <c r="AQ828" i="32"/>
  <c r="Q828" i="32"/>
  <c r="AR828" i="32"/>
  <c r="AS828" i="32"/>
  <c r="AT828" i="32"/>
  <c r="AU828" i="32"/>
  <c r="AV828" i="32"/>
  <c r="AW828" i="32"/>
  <c r="AX828" i="32"/>
  <c r="AY828" i="32"/>
  <c r="AZ828" i="32"/>
  <c r="BA828" i="32"/>
  <c r="AK829" i="32"/>
  <c r="AL829" i="32"/>
  <c r="AM829" i="32"/>
  <c r="AN829" i="32"/>
  <c r="AO829" i="32"/>
  <c r="AP829" i="32"/>
  <c r="AQ829" i="32"/>
  <c r="Q829" i="32"/>
  <c r="AR829" i="32"/>
  <c r="AS829" i="32"/>
  <c r="AT829" i="32"/>
  <c r="AU829" i="32"/>
  <c r="AV829" i="32"/>
  <c r="AW829" i="32"/>
  <c r="AX829" i="32"/>
  <c r="AY829" i="32"/>
  <c r="AZ829" i="32"/>
  <c r="BA829" i="32"/>
  <c r="AK830" i="32"/>
  <c r="AL830" i="32"/>
  <c r="AM830" i="32"/>
  <c r="AN830" i="32"/>
  <c r="AO830" i="32"/>
  <c r="AP830" i="32"/>
  <c r="AQ830" i="32"/>
  <c r="Q830" i="32"/>
  <c r="AR830" i="32"/>
  <c r="AS830" i="32"/>
  <c r="AT830" i="32"/>
  <c r="AU830" i="32"/>
  <c r="AV830" i="32"/>
  <c r="AW830" i="32"/>
  <c r="AX830" i="32"/>
  <c r="AY830" i="32"/>
  <c r="AZ830" i="32"/>
  <c r="BA830" i="32"/>
  <c r="AK831" i="32"/>
  <c r="AL831" i="32"/>
  <c r="AM831" i="32"/>
  <c r="AN831" i="32"/>
  <c r="AO831" i="32"/>
  <c r="AP831" i="32"/>
  <c r="AQ831" i="32"/>
  <c r="Q831" i="32"/>
  <c r="AR831" i="32"/>
  <c r="AS831" i="32"/>
  <c r="AT831" i="32"/>
  <c r="AU831" i="32"/>
  <c r="AV831" i="32"/>
  <c r="AW831" i="32"/>
  <c r="AX831" i="32"/>
  <c r="AY831" i="32"/>
  <c r="AZ831" i="32"/>
  <c r="BA831" i="32"/>
  <c r="AK832" i="32"/>
  <c r="AL832" i="32"/>
  <c r="AM832" i="32"/>
  <c r="AN832" i="32"/>
  <c r="AO832" i="32"/>
  <c r="AP832" i="32"/>
  <c r="AQ832" i="32"/>
  <c r="Q832" i="32"/>
  <c r="AR832" i="32"/>
  <c r="AS832" i="32"/>
  <c r="AT832" i="32"/>
  <c r="AU832" i="32"/>
  <c r="AV832" i="32"/>
  <c r="AW832" i="32"/>
  <c r="AX832" i="32"/>
  <c r="AY832" i="32"/>
  <c r="AZ832" i="32"/>
  <c r="BA832" i="32"/>
  <c r="AK833" i="32"/>
  <c r="AL833" i="32"/>
  <c r="AM833" i="32"/>
  <c r="AN833" i="32"/>
  <c r="AO833" i="32"/>
  <c r="AP833" i="32"/>
  <c r="AQ833" i="32"/>
  <c r="Q833" i="32"/>
  <c r="AR833" i="32"/>
  <c r="AS833" i="32"/>
  <c r="AT833" i="32"/>
  <c r="AU833" i="32"/>
  <c r="AV833" i="32"/>
  <c r="AW833" i="32"/>
  <c r="AX833" i="32"/>
  <c r="AY833" i="32"/>
  <c r="AZ833" i="32"/>
  <c r="BA833" i="32"/>
  <c r="AK834" i="32"/>
  <c r="AL834" i="32"/>
  <c r="AM834" i="32"/>
  <c r="AN834" i="32"/>
  <c r="AO834" i="32"/>
  <c r="AP834" i="32"/>
  <c r="AQ834" i="32"/>
  <c r="Q834" i="32"/>
  <c r="AR834" i="32"/>
  <c r="AS834" i="32"/>
  <c r="AT834" i="32"/>
  <c r="AU834" i="32"/>
  <c r="AV834" i="32"/>
  <c r="AW834" i="32"/>
  <c r="AX834" i="32"/>
  <c r="AY834" i="32"/>
  <c r="AZ834" i="32"/>
  <c r="BA834" i="32"/>
  <c r="AK835" i="32"/>
  <c r="AL835" i="32"/>
  <c r="AM835" i="32"/>
  <c r="AN835" i="32"/>
  <c r="AO835" i="32"/>
  <c r="AP835" i="32"/>
  <c r="AQ835" i="32"/>
  <c r="Q835" i="32"/>
  <c r="AR835" i="32"/>
  <c r="AS835" i="32"/>
  <c r="AT835" i="32"/>
  <c r="AU835" i="32"/>
  <c r="AV835" i="32"/>
  <c r="AW835" i="32"/>
  <c r="AX835" i="32"/>
  <c r="AY835" i="32"/>
  <c r="AZ835" i="32"/>
  <c r="BA835" i="32"/>
  <c r="AK836" i="32"/>
  <c r="AL836" i="32"/>
  <c r="AM836" i="32"/>
  <c r="AN836" i="32"/>
  <c r="AO836" i="32"/>
  <c r="AP836" i="32"/>
  <c r="AQ836" i="32"/>
  <c r="Q836" i="32"/>
  <c r="AR836" i="32"/>
  <c r="AS836" i="32"/>
  <c r="AT836" i="32"/>
  <c r="AU836" i="32"/>
  <c r="AV836" i="32"/>
  <c r="AW836" i="32"/>
  <c r="AX836" i="32"/>
  <c r="AY836" i="32"/>
  <c r="AZ836" i="32"/>
  <c r="BA836" i="32"/>
  <c r="AK837" i="32"/>
  <c r="AL837" i="32"/>
  <c r="AM837" i="32"/>
  <c r="AN837" i="32"/>
  <c r="AO837" i="32"/>
  <c r="AP837" i="32"/>
  <c r="AQ837" i="32"/>
  <c r="Q837" i="32"/>
  <c r="AR837" i="32"/>
  <c r="AS837" i="32"/>
  <c r="AT837" i="32"/>
  <c r="AU837" i="32"/>
  <c r="AV837" i="32"/>
  <c r="AW837" i="32"/>
  <c r="AX837" i="32"/>
  <c r="AY837" i="32"/>
  <c r="AZ837" i="32"/>
  <c r="BA837" i="32"/>
  <c r="AK838" i="32"/>
  <c r="AL838" i="32"/>
  <c r="AM838" i="32"/>
  <c r="AN838" i="32"/>
  <c r="AO838" i="32"/>
  <c r="AP838" i="32"/>
  <c r="AQ838" i="32"/>
  <c r="Q838" i="32"/>
  <c r="AR838" i="32"/>
  <c r="AS838" i="32"/>
  <c r="AT838" i="32"/>
  <c r="AU838" i="32"/>
  <c r="AV838" i="32"/>
  <c r="AW838" i="32"/>
  <c r="AX838" i="32"/>
  <c r="AY838" i="32"/>
  <c r="AZ838" i="32"/>
  <c r="BA838" i="32"/>
  <c r="AK839" i="32"/>
  <c r="AL839" i="32"/>
  <c r="AM839" i="32"/>
  <c r="AN839" i="32"/>
  <c r="AO839" i="32"/>
  <c r="AP839" i="32"/>
  <c r="AQ839" i="32"/>
  <c r="Q839" i="32"/>
  <c r="AR839" i="32"/>
  <c r="AS839" i="32"/>
  <c r="AT839" i="32"/>
  <c r="AU839" i="32"/>
  <c r="AV839" i="32"/>
  <c r="AW839" i="32"/>
  <c r="AX839" i="32"/>
  <c r="AY839" i="32"/>
  <c r="AZ839" i="32"/>
  <c r="BA839" i="32"/>
  <c r="AK840" i="32"/>
  <c r="AL840" i="32"/>
  <c r="AM840" i="32"/>
  <c r="AN840" i="32"/>
  <c r="AO840" i="32"/>
  <c r="AP840" i="32"/>
  <c r="AQ840" i="32"/>
  <c r="Q840" i="32"/>
  <c r="AR840" i="32"/>
  <c r="AS840" i="32"/>
  <c r="AT840" i="32"/>
  <c r="AU840" i="32"/>
  <c r="AV840" i="32"/>
  <c r="AW840" i="32"/>
  <c r="AX840" i="32"/>
  <c r="AY840" i="32"/>
  <c r="AZ840" i="32"/>
  <c r="BA840" i="32"/>
  <c r="AK841" i="32"/>
  <c r="AL841" i="32"/>
  <c r="AM841" i="32"/>
  <c r="AN841" i="32"/>
  <c r="AO841" i="32"/>
  <c r="AP841" i="32"/>
  <c r="AQ841" i="32"/>
  <c r="Q841" i="32"/>
  <c r="AR841" i="32"/>
  <c r="AS841" i="32"/>
  <c r="AT841" i="32"/>
  <c r="AU841" i="32"/>
  <c r="AV841" i="32"/>
  <c r="AW841" i="32"/>
  <c r="AX841" i="32"/>
  <c r="AY841" i="32"/>
  <c r="AZ841" i="32"/>
  <c r="BA841" i="32"/>
  <c r="AK842" i="32"/>
  <c r="AL842" i="32"/>
  <c r="AM842" i="32"/>
  <c r="AN842" i="32"/>
  <c r="AO842" i="32"/>
  <c r="AP842" i="32"/>
  <c r="AQ842" i="32"/>
  <c r="Q842" i="32"/>
  <c r="AR842" i="32"/>
  <c r="AS842" i="32"/>
  <c r="AT842" i="32"/>
  <c r="AU842" i="32"/>
  <c r="AV842" i="32"/>
  <c r="AW842" i="32"/>
  <c r="AX842" i="32"/>
  <c r="AY842" i="32"/>
  <c r="AZ842" i="32"/>
  <c r="BA842" i="32"/>
  <c r="AK843" i="32"/>
  <c r="AL843" i="32"/>
  <c r="AM843" i="32"/>
  <c r="AN843" i="32"/>
  <c r="AO843" i="32"/>
  <c r="AP843" i="32"/>
  <c r="AQ843" i="32"/>
  <c r="Q843" i="32"/>
  <c r="AR843" i="32"/>
  <c r="AS843" i="32"/>
  <c r="AT843" i="32"/>
  <c r="AU843" i="32"/>
  <c r="AV843" i="32"/>
  <c r="AW843" i="32"/>
  <c r="AX843" i="32"/>
  <c r="AY843" i="32"/>
  <c r="AZ843" i="32"/>
  <c r="BA843" i="32"/>
  <c r="AK844" i="32"/>
  <c r="AL844" i="32"/>
  <c r="AM844" i="32"/>
  <c r="AN844" i="32"/>
  <c r="AO844" i="32"/>
  <c r="AP844" i="32"/>
  <c r="AQ844" i="32"/>
  <c r="Q844" i="32"/>
  <c r="AR844" i="32"/>
  <c r="AS844" i="32"/>
  <c r="AT844" i="32"/>
  <c r="AU844" i="32"/>
  <c r="AV844" i="32"/>
  <c r="AW844" i="32"/>
  <c r="AX844" i="32"/>
  <c r="AY844" i="32"/>
  <c r="AZ844" i="32"/>
  <c r="BA844" i="32"/>
  <c r="AK845" i="32"/>
  <c r="AL845" i="32"/>
  <c r="AM845" i="32"/>
  <c r="AN845" i="32"/>
  <c r="AO845" i="32"/>
  <c r="AP845" i="32"/>
  <c r="AQ845" i="32"/>
  <c r="Q845" i="32"/>
  <c r="AR845" i="32"/>
  <c r="AS845" i="32"/>
  <c r="AT845" i="32"/>
  <c r="AU845" i="32"/>
  <c r="AV845" i="32"/>
  <c r="AW845" i="32"/>
  <c r="AX845" i="32"/>
  <c r="AY845" i="32"/>
  <c r="AZ845" i="32"/>
  <c r="BA845" i="32"/>
  <c r="AK846" i="32"/>
  <c r="AL846" i="32"/>
  <c r="AM846" i="32"/>
  <c r="AN846" i="32"/>
  <c r="AO846" i="32"/>
  <c r="AP846" i="32"/>
  <c r="AQ846" i="32"/>
  <c r="Q846" i="32"/>
  <c r="AR846" i="32"/>
  <c r="AS846" i="32"/>
  <c r="AT846" i="32"/>
  <c r="AU846" i="32"/>
  <c r="AV846" i="32"/>
  <c r="AW846" i="32"/>
  <c r="AX846" i="32"/>
  <c r="AY846" i="32"/>
  <c r="AZ846" i="32"/>
  <c r="BA846" i="32"/>
  <c r="AK847" i="32"/>
  <c r="AL847" i="32"/>
  <c r="AM847" i="32"/>
  <c r="AN847" i="32"/>
  <c r="AO847" i="32"/>
  <c r="AP847" i="32"/>
  <c r="AQ847" i="32"/>
  <c r="Q847" i="32"/>
  <c r="AR847" i="32"/>
  <c r="AS847" i="32"/>
  <c r="AT847" i="32"/>
  <c r="AU847" i="32"/>
  <c r="AV847" i="32"/>
  <c r="AW847" i="32"/>
  <c r="AX847" i="32"/>
  <c r="AY847" i="32"/>
  <c r="AZ847" i="32"/>
  <c r="BA847" i="32"/>
  <c r="AK848" i="32"/>
  <c r="AL848" i="32"/>
  <c r="AM848" i="32"/>
  <c r="AN848" i="32"/>
  <c r="AO848" i="32"/>
  <c r="AP848" i="32"/>
  <c r="AQ848" i="32"/>
  <c r="Q848" i="32"/>
  <c r="AR848" i="32"/>
  <c r="AS848" i="32"/>
  <c r="AT848" i="32"/>
  <c r="AU848" i="32"/>
  <c r="AV848" i="32"/>
  <c r="AW848" i="32"/>
  <c r="AX848" i="32"/>
  <c r="AY848" i="32"/>
  <c r="AZ848" i="32"/>
  <c r="BA848" i="32"/>
  <c r="AK849" i="32"/>
  <c r="AL849" i="32"/>
  <c r="AM849" i="32"/>
  <c r="AN849" i="32"/>
  <c r="AO849" i="32"/>
  <c r="AP849" i="32"/>
  <c r="AQ849" i="32"/>
  <c r="Q849" i="32"/>
  <c r="AR849" i="32"/>
  <c r="AS849" i="32"/>
  <c r="AT849" i="32"/>
  <c r="AU849" i="32"/>
  <c r="AV849" i="32"/>
  <c r="AW849" i="32"/>
  <c r="AX849" i="32"/>
  <c r="AY849" i="32"/>
  <c r="AZ849" i="32"/>
  <c r="BA849" i="32"/>
  <c r="AK850" i="32"/>
  <c r="AL850" i="32"/>
  <c r="AM850" i="32"/>
  <c r="AN850" i="32"/>
  <c r="AO850" i="32"/>
  <c r="AP850" i="32"/>
  <c r="AQ850" i="32"/>
  <c r="Q850" i="32"/>
  <c r="AR850" i="32"/>
  <c r="AS850" i="32"/>
  <c r="AT850" i="32"/>
  <c r="AU850" i="32"/>
  <c r="AV850" i="32"/>
  <c r="AW850" i="32"/>
  <c r="AX850" i="32"/>
  <c r="AY850" i="32"/>
  <c r="AZ850" i="32"/>
  <c r="BA850" i="32"/>
  <c r="AK851" i="32"/>
  <c r="AL851" i="32"/>
  <c r="AM851" i="32"/>
  <c r="AN851" i="32"/>
  <c r="AO851" i="32"/>
  <c r="AP851" i="32"/>
  <c r="AQ851" i="32"/>
  <c r="Q851" i="32"/>
  <c r="AR851" i="32"/>
  <c r="AS851" i="32"/>
  <c r="AT851" i="32"/>
  <c r="AU851" i="32"/>
  <c r="AV851" i="32"/>
  <c r="AW851" i="32"/>
  <c r="AX851" i="32"/>
  <c r="AY851" i="32"/>
  <c r="AZ851" i="32"/>
  <c r="BA851" i="32"/>
  <c r="AK852" i="32"/>
  <c r="AL852" i="32"/>
  <c r="AM852" i="32"/>
  <c r="AN852" i="32"/>
  <c r="AO852" i="32"/>
  <c r="AP852" i="32"/>
  <c r="AQ852" i="32"/>
  <c r="Q852" i="32"/>
  <c r="AR852" i="32"/>
  <c r="AS852" i="32"/>
  <c r="AT852" i="32"/>
  <c r="AU852" i="32"/>
  <c r="AV852" i="32"/>
  <c r="AW852" i="32"/>
  <c r="AX852" i="32"/>
  <c r="AY852" i="32"/>
  <c r="AZ852" i="32"/>
  <c r="BA852" i="32"/>
  <c r="AK853" i="32"/>
  <c r="AL853" i="32"/>
  <c r="AM853" i="32"/>
  <c r="AN853" i="32"/>
  <c r="AO853" i="32"/>
  <c r="AP853" i="32"/>
  <c r="AQ853" i="32"/>
  <c r="Q853" i="32"/>
  <c r="AR853" i="32"/>
  <c r="AS853" i="32"/>
  <c r="AT853" i="32"/>
  <c r="AU853" i="32"/>
  <c r="AV853" i="32"/>
  <c r="AW853" i="32"/>
  <c r="AX853" i="32"/>
  <c r="AY853" i="32"/>
  <c r="AZ853" i="32"/>
  <c r="BA853" i="32"/>
  <c r="AK854" i="32"/>
  <c r="AL854" i="32"/>
  <c r="AM854" i="32"/>
  <c r="AN854" i="32"/>
  <c r="AO854" i="32"/>
  <c r="AP854" i="32"/>
  <c r="AQ854" i="32"/>
  <c r="Q854" i="32"/>
  <c r="AR854" i="32"/>
  <c r="AS854" i="32"/>
  <c r="AT854" i="32"/>
  <c r="AU854" i="32"/>
  <c r="AV854" i="32"/>
  <c r="AW854" i="32"/>
  <c r="AX854" i="32"/>
  <c r="AY854" i="32"/>
  <c r="AZ854" i="32"/>
  <c r="BA854" i="32"/>
  <c r="AK855" i="32"/>
  <c r="AL855" i="32"/>
  <c r="AM855" i="32"/>
  <c r="AN855" i="32"/>
  <c r="AO855" i="32"/>
  <c r="AP855" i="32"/>
  <c r="AQ855" i="32"/>
  <c r="Q855" i="32"/>
  <c r="AR855" i="32"/>
  <c r="AS855" i="32"/>
  <c r="AT855" i="32"/>
  <c r="AU855" i="32"/>
  <c r="AV855" i="32"/>
  <c r="AW855" i="32"/>
  <c r="AX855" i="32"/>
  <c r="AY855" i="32"/>
  <c r="AZ855" i="32"/>
  <c r="BA855" i="32"/>
  <c r="AK856" i="32"/>
  <c r="AL856" i="32"/>
  <c r="AM856" i="32"/>
  <c r="AN856" i="32"/>
  <c r="AO856" i="32"/>
  <c r="AP856" i="32"/>
  <c r="AQ856" i="32"/>
  <c r="Q856" i="32"/>
  <c r="AR856" i="32"/>
  <c r="AS856" i="32"/>
  <c r="AT856" i="32"/>
  <c r="AU856" i="32"/>
  <c r="AV856" i="32"/>
  <c r="AW856" i="32"/>
  <c r="AX856" i="32"/>
  <c r="AY856" i="32"/>
  <c r="AZ856" i="32"/>
  <c r="BA856" i="32"/>
  <c r="AK857" i="32"/>
  <c r="AL857" i="32"/>
  <c r="AM857" i="32"/>
  <c r="AN857" i="32"/>
  <c r="AO857" i="32"/>
  <c r="AP857" i="32"/>
  <c r="AQ857" i="32"/>
  <c r="Q857" i="32"/>
  <c r="AR857" i="32"/>
  <c r="AS857" i="32"/>
  <c r="AT857" i="32"/>
  <c r="AU857" i="32"/>
  <c r="AV857" i="32"/>
  <c r="AW857" i="32"/>
  <c r="AX857" i="32"/>
  <c r="AY857" i="32"/>
  <c r="AZ857" i="32"/>
  <c r="BA857" i="32"/>
  <c r="AK858" i="32"/>
  <c r="AL858" i="32"/>
  <c r="AM858" i="32"/>
  <c r="AN858" i="32"/>
  <c r="AO858" i="32"/>
  <c r="AP858" i="32"/>
  <c r="AQ858" i="32"/>
  <c r="Q858" i="32"/>
  <c r="AR858" i="32"/>
  <c r="AS858" i="32"/>
  <c r="AT858" i="32"/>
  <c r="AU858" i="32"/>
  <c r="AV858" i="32"/>
  <c r="AW858" i="32"/>
  <c r="AX858" i="32"/>
  <c r="AY858" i="32"/>
  <c r="AZ858" i="32"/>
  <c r="BA858" i="32"/>
  <c r="AK859" i="32"/>
  <c r="AL859" i="32"/>
  <c r="AM859" i="32"/>
  <c r="AN859" i="32"/>
  <c r="AO859" i="32"/>
  <c r="AP859" i="32"/>
  <c r="AQ859" i="32"/>
  <c r="Q859" i="32"/>
  <c r="AR859" i="32"/>
  <c r="AS859" i="32"/>
  <c r="AT859" i="32"/>
  <c r="AU859" i="32"/>
  <c r="AV859" i="32"/>
  <c r="AW859" i="32"/>
  <c r="AX859" i="32"/>
  <c r="AY859" i="32"/>
  <c r="AZ859" i="32"/>
  <c r="BA859" i="32"/>
  <c r="AK860" i="32"/>
  <c r="AL860" i="32"/>
  <c r="AM860" i="32"/>
  <c r="AN860" i="32"/>
  <c r="AO860" i="32"/>
  <c r="AP860" i="32"/>
  <c r="AQ860" i="32"/>
  <c r="Q860" i="32"/>
  <c r="AR860" i="32"/>
  <c r="AS860" i="32"/>
  <c r="AT860" i="32"/>
  <c r="AU860" i="32"/>
  <c r="AV860" i="32"/>
  <c r="AW860" i="32"/>
  <c r="AX860" i="32"/>
  <c r="AY860" i="32"/>
  <c r="AZ860" i="32"/>
  <c r="BA860" i="32"/>
  <c r="AK861" i="32"/>
  <c r="AL861" i="32"/>
  <c r="AM861" i="32"/>
  <c r="AN861" i="32"/>
  <c r="AO861" i="32"/>
  <c r="AP861" i="32"/>
  <c r="AQ861" i="32"/>
  <c r="Q861" i="32"/>
  <c r="AR861" i="32"/>
  <c r="AS861" i="32"/>
  <c r="AT861" i="32"/>
  <c r="AU861" i="32"/>
  <c r="AV861" i="32"/>
  <c r="AW861" i="32"/>
  <c r="AX861" i="32"/>
  <c r="AY861" i="32"/>
  <c r="AZ861" i="32"/>
  <c r="BA861" i="32"/>
  <c r="AK862" i="32"/>
  <c r="AL862" i="32"/>
  <c r="AM862" i="32"/>
  <c r="AN862" i="32"/>
  <c r="AO862" i="32"/>
  <c r="AP862" i="32"/>
  <c r="AQ862" i="32"/>
  <c r="Q862" i="32"/>
  <c r="AR862" i="32"/>
  <c r="AS862" i="32"/>
  <c r="AT862" i="32"/>
  <c r="AU862" i="32"/>
  <c r="AV862" i="32"/>
  <c r="AW862" i="32"/>
  <c r="AX862" i="32"/>
  <c r="AY862" i="32"/>
  <c r="AZ862" i="32"/>
  <c r="BA862" i="32"/>
  <c r="AK863" i="32"/>
  <c r="AL863" i="32"/>
  <c r="AM863" i="32"/>
  <c r="AN863" i="32"/>
  <c r="AO863" i="32"/>
  <c r="AP863" i="32"/>
  <c r="AQ863" i="32"/>
  <c r="Q863" i="32"/>
  <c r="AR863" i="32"/>
  <c r="AS863" i="32"/>
  <c r="AT863" i="32"/>
  <c r="AU863" i="32"/>
  <c r="AV863" i="32"/>
  <c r="AW863" i="32"/>
  <c r="AX863" i="32"/>
  <c r="AY863" i="32"/>
  <c r="AZ863" i="32"/>
  <c r="BA863" i="32"/>
  <c r="AK864" i="32"/>
  <c r="AL864" i="32"/>
  <c r="AM864" i="32"/>
  <c r="AN864" i="32"/>
  <c r="AO864" i="32"/>
  <c r="AP864" i="32"/>
  <c r="AQ864" i="32"/>
  <c r="Q864" i="32"/>
  <c r="AR864" i="32"/>
  <c r="AS864" i="32"/>
  <c r="AT864" i="32"/>
  <c r="AU864" i="32"/>
  <c r="AV864" i="32"/>
  <c r="AW864" i="32"/>
  <c r="AX864" i="32"/>
  <c r="AY864" i="32"/>
  <c r="AZ864" i="32"/>
  <c r="BA864" i="32"/>
  <c r="AK865" i="32"/>
  <c r="AL865" i="32"/>
  <c r="AM865" i="32"/>
  <c r="AN865" i="32"/>
  <c r="AO865" i="32"/>
  <c r="AP865" i="32"/>
  <c r="AQ865" i="32"/>
  <c r="Q865" i="32"/>
  <c r="AR865" i="32"/>
  <c r="AS865" i="32"/>
  <c r="AT865" i="32"/>
  <c r="AU865" i="32"/>
  <c r="AV865" i="32"/>
  <c r="AW865" i="32"/>
  <c r="AX865" i="32"/>
  <c r="AY865" i="32"/>
  <c r="AZ865" i="32"/>
  <c r="BA865" i="32"/>
  <c r="AK866" i="32"/>
  <c r="AL866" i="32"/>
  <c r="AM866" i="32"/>
  <c r="AN866" i="32"/>
  <c r="AO866" i="32"/>
  <c r="AP866" i="32"/>
  <c r="AQ866" i="32"/>
  <c r="Q866" i="32"/>
  <c r="AR866" i="32"/>
  <c r="AS866" i="32"/>
  <c r="AT866" i="32"/>
  <c r="AU866" i="32"/>
  <c r="AV866" i="32"/>
  <c r="AW866" i="32"/>
  <c r="AX866" i="32"/>
  <c r="AY866" i="32"/>
  <c r="AZ866" i="32"/>
  <c r="BA866" i="32"/>
  <c r="AK867" i="32"/>
  <c r="AL867" i="32"/>
  <c r="AM867" i="32"/>
  <c r="AN867" i="32"/>
  <c r="AO867" i="32"/>
  <c r="AP867" i="32"/>
  <c r="AQ867" i="32"/>
  <c r="Q867" i="32"/>
  <c r="AR867" i="32"/>
  <c r="AS867" i="32"/>
  <c r="AT867" i="32"/>
  <c r="AU867" i="32"/>
  <c r="AV867" i="32"/>
  <c r="AW867" i="32"/>
  <c r="AX867" i="32"/>
  <c r="AY867" i="32"/>
  <c r="AZ867" i="32"/>
  <c r="BA867" i="32"/>
  <c r="AK868" i="32"/>
  <c r="AL868" i="32"/>
  <c r="AM868" i="32"/>
  <c r="AN868" i="32"/>
  <c r="AO868" i="32"/>
  <c r="AP868" i="32"/>
  <c r="AQ868" i="32"/>
  <c r="Q868" i="32"/>
  <c r="AR868" i="32"/>
  <c r="AS868" i="32"/>
  <c r="AT868" i="32"/>
  <c r="AU868" i="32"/>
  <c r="AV868" i="32"/>
  <c r="AW868" i="32"/>
  <c r="AX868" i="32"/>
  <c r="AY868" i="32"/>
  <c r="AZ868" i="32"/>
  <c r="BA868" i="32"/>
  <c r="AK869" i="32"/>
  <c r="AL869" i="32"/>
  <c r="AM869" i="32"/>
  <c r="AN869" i="32"/>
  <c r="AO869" i="32"/>
  <c r="AP869" i="32"/>
  <c r="AQ869" i="32"/>
  <c r="Q869" i="32"/>
  <c r="AR869" i="32"/>
  <c r="AS869" i="32"/>
  <c r="AT869" i="32"/>
  <c r="AU869" i="32"/>
  <c r="AV869" i="32"/>
  <c r="AW869" i="32"/>
  <c r="AX869" i="32"/>
  <c r="AY869" i="32"/>
  <c r="AZ869" i="32"/>
  <c r="BA869" i="32"/>
  <c r="AK870" i="32"/>
  <c r="AL870" i="32"/>
  <c r="AM870" i="32"/>
  <c r="AN870" i="32"/>
  <c r="AO870" i="32"/>
  <c r="AP870" i="32"/>
  <c r="AQ870" i="32"/>
  <c r="Q870" i="32"/>
  <c r="AR870" i="32"/>
  <c r="AS870" i="32"/>
  <c r="AT870" i="32"/>
  <c r="AU870" i="32"/>
  <c r="AV870" i="32"/>
  <c r="AW870" i="32"/>
  <c r="AX870" i="32"/>
  <c r="AY870" i="32"/>
  <c r="AZ870" i="32"/>
  <c r="BA870" i="32"/>
  <c r="AK871" i="32"/>
  <c r="AL871" i="32"/>
  <c r="AM871" i="32"/>
  <c r="AN871" i="32"/>
  <c r="AO871" i="32"/>
  <c r="AP871" i="32"/>
  <c r="AQ871" i="32"/>
  <c r="Q871" i="32"/>
  <c r="AR871" i="32"/>
  <c r="AS871" i="32"/>
  <c r="AT871" i="32"/>
  <c r="AU871" i="32"/>
  <c r="AV871" i="32"/>
  <c r="AW871" i="32"/>
  <c r="AX871" i="32"/>
  <c r="AY871" i="32"/>
  <c r="AZ871" i="32"/>
  <c r="BA871" i="32"/>
  <c r="AK872" i="32"/>
  <c r="AL872" i="32"/>
  <c r="AM872" i="32"/>
  <c r="AN872" i="32"/>
  <c r="AO872" i="32"/>
  <c r="AP872" i="32"/>
  <c r="AQ872" i="32"/>
  <c r="Q872" i="32"/>
  <c r="AR872" i="32"/>
  <c r="AS872" i="32"/>
  <c r="AT872" i="32"/>
  <c r="AU872" i="32"/>
  <c r="AV872" i="32"/>
  <c r="AW872" i="32"/>
  <c r="AX872" i="32"/>
  <c r="AY872" i="32"/>
  <c r="AZ872" i="32"/>
  <c r="BA872" i="32"/>
  <c r="AK873" i="32"/>
  <c r="AL873" i="32"/>
  <c r="AM873" i="32"/>
  <c r="AN873" i="32"/>
  <c r="AO873" i="32"/>
  <c r="AP873" i="32"/>
  <c r="AQ873" i="32"/>
  <c r="Q873" i="32"/>
  <c r="AR873" i="32"/>
  <c r="AS873" i="32"/>
  <c r="AT873" i="32"/>
  <c r="AU873" i="32"/>
  <c r="AV873" i="32"/>
  <c r="AW873" i="32"/>
  <c r="AX873" i="32"/>
  <c r="AY873" i="32"/>
  <c r="AZ873" i="32"/>
  <c r="BA873" i="32"/>
  <c r="AK874" i="32"/>
  <c r="AL874" i="32"/>
  <c r="AM874" i="32"/>
  <c r="AN874" i="32"/>
  <c r="AO874" i="32"/>
  <c r="AP874" i="32"/>
  <c r="AQ874" i="32"/>
  <c r="Q874" i="32"/>
  <c r="AR874" i="32"/>
  <c r="AS874" i="32"/>
  <c r="AT874" i="32"/>
  <c r="AU874" i="32"/>
  <c r="AV874" i="32"/>
  <c r="AW874" i="32"/>
  <c r="AX874" i="32"/>
  <c r="AY874" i="32"/>
  <c r="AZ874" i="32"/>
  <c r="BA874" i="32"/>
  <c r="AK875" i="32"/>
  <c r="AL875" i="32"/>
  <c r="AM875" i="32"/>
  <c r="AN875" i="32"/>
  <c r="AO875" i="32"/>
  <c r="AP875" i="32"/>
  <c r="AQ875" i="32"/>
  <c r="Q875" i="32"/>
  <c r="AR875" i="32"/>
  <c r="AS875" i="32"/>
  <c r="AT875" i="32"/>
  <c r="AU875" i="32"/>
  <c r="AV875" i="32"/>
  <c r="AW875" i="32"/>
  <c r="AX875" i="32"/>
  <c r="AY875" i="32"/>
  <c r="AZ875" i="32"/>
  <c r="BA875" i="32"/>
  <c r="AK876" i="32"/>
  <c r="AL876" i="32"/>
  <c r="AM876" i="32"/>
  <c r="AN876" i="32"/>
  <c r="AO876" i="32"/>
  <c r="AP876" i="32"/>
  <c r="AQ876" i="32"/>
  <c r="Q876" i="32"/>
  <c r="AR876" i="32"/>
  <c r="AS876" i="32"/>
  <c r="AT876" i="32"/>
  <c r="AU876" i="32"/>
  <c r="AV876" i="32"/>
  <c r="AW876" i="32"/>
  <c r="AX876" i="32"/>
  <c r="AY876" i="32"/>
  <c r="AZ876" i="32"/>
  <c r="BA876" i="32"/>
  <c r="AK877" i="32"/>
  <c r="AL877" i="32"/>
  <c r="AM877" i="32"/>
  <c r="AN877" i="32"/>
  <c r="AO877" i="32"/>
  <c r="AP877" i="32"/>
  <c r="AQ877" i="32"/>
  <c r="Q877" i="32"/>
  <c r="AR877" i="32"/>
  <c r="AS877" i="32"/>
  <c r="AT877" i="32"/>
  <c r="AU877" i="32"/>
  <c r="AV877" i="32"/>
  <c r="AW877" i="32"/>
  <c r="AX877" i="32"/>
  <c r="AY877" i="32"/>
  <c r="AZ877" i="32"/>
  <c r="BA877" i="32"/>
  <c r="AK878" i="32"/>
  <c r="AL878" i="32"/>
  <c r="AM878" i="32"/>
  <c r="AN878" i="32"/>
  <c r="AO878" i="32"/>
  <c r="AP878" i="32"/>
  <c r="AQ878" i="32"/>
  <c r="Q878" i="32"/>
  <c r="AR878" i="32"/>
  <c r="AS878" i="32"/>
  <c r="AT878" i="32"/>
  <c r="AU878" i="32"/>
  <c r="AV878" i="32"/>
  <c r="AW878" i="32"/>
  <c r="AX878" i="32"/>
  <c r="AY878" i="32"/>
  <c r="AZ878" i="32"/>
  <c r="BA878" i="32"/>
  <c r="AK879" i="32"/>
  <c r="AL879" i="32"/>
  <c r="AM879" i="32"/>
  <c r="AN879" i="32"/>
  <c r="AO879" i="32"/>
  <c r="AP879" i="32"/>
  <c r="AQ879" i="32"/>
  <c r="Q879" i="32"/>
  <c r="AR879" i="32"/>
  <c r="AS879" i="32"/>
  <c r="AT879" i="32"/>
  <c r="AU879" i="32"/>
  <c r="AV879" i="32"/>
  <c r="AW879" i="32"/>
  <c r="AX879" i="32"/>
  <c r="AY879" i="32"/>
  <c r="AZ879" i="32"/>
  <c r="BA879" i="32"/>
  <c r="AK880" i="32"/>
  <c r="AL880" i="32"/>
  <c r="AM880" i="32"/>
  <c r="AN880" i="32"/>
  <c r="AO880" i="32"/>
  <c r="AP880" i="32"/>
  <c r="AQ880" i="32"/>
  <c r="Q880" i="32"/>
  <c r="AR880" i="32"/>
  <c r="AS880" i="32"/>
  <c r="AT880" i="32"/>
  <c r="AU880" i="32"/>
  <c r="AV880" i="32"/>
  <c r="AW880" i="32"/>
  <c r="AX880" i="32"/>
  <c r="AY880" i="32"/>
  <c r="AZ880" i="32"/>
  <c r="BA880" i="32"/>
  <c r="AK881" i="32"/>
  <c r="AL881" i="32"/>
  <c r="AM881" i="32"/>
  <c r="AN881" i="32"/>
  <c r="AO881" i="32"/>
  <c r="AP881" i="32"/>
  <c r="AQ881" i="32"/>
  <c r="Q881" i="32"/>
  <c r="AR881" i="32"/>
  <c r="AS881" i="32"/>
  <c r="AT881" i="32"/>
  <c r="AU881" i="32"/>
  <c r="AV881" i="32"/>
  <c r="AW881" i="32"/>
  <c r="AX881" i="32"/>
  <c r="AY881" i="32"/>
  <c r="AZ881" i="32"/>
  <c r="BA881" i="32"/>
  <c r="AK882" i="32"/>
  <c r="AL882" i="32"/>
  <c r="AM882" i="32"/>
  <c r="AN882" i="32"/>
  <c r="AO882" i="32"/>
  <c r="AP882" i="32"/>
  <c r="AQ882" i="32"/>
  <c r="Q882" i="32"/>
  <c r="AR882" i="32"/>
  <c r="AS882" i="32"/>
  <c r="AT882" i="32"/>
  <c r="AU882" i="32"/>
  <c r="AV882" i="32"/>
  <c r="AW882" i="32"/>
  <c r="AX882" i="32"/>
  <c r="AY882" i="32"/>
  <c r="AZ882" i="32"/>
  <c r="BA882" i="32"/>
  <c r="AK883" i="32"/>
  <c r="AL883" i="32"/>
  <c r="AM883" i="32"/>
  <c r="AN883" i="32"/>
  <c r="AO883" i="32"/>
  <c r="AP883" i="32"/>
  <c r="AQ883" i="32"/>
  <c r="Q883" i="32"/>
  <c r="AR883" i="32"/>
  <c r="AS883" i="32"/>
  <c r="AT883" i="32"/>
  <c r="AU883" i="32"/>
  <c r="AV883" i="32"/>
  <c r="AW883" i="32"/>
  <c r="AX883" i="32"/>
  <c r="AY883" i="32"/>
  <c r="AZ883" i="32"/>
  <c r="BA883" i="32"/>
  <c r="AK884" i="32"/>
  <c r="AL884" i="32"/>
  <c r="AM884" i="32"/>
  <c r="AN884" i="32"/>
  <c r="AO884" i="32"/>
  <c r="AP884" i="32"/>
  <c r="AQ884" i="32"/>
  <c r="Q884" i="32"/>
  <c r="AR884" i="32"/>
  <c r="AS884" i="32"/>
  <c r="AT884" i="32"/>
  <c r="AU884" i="32"/>
  <c r="AV884" i="32"/>
  <c r="AW884" i="32"/>
  <c r="AX884" i="32"/>
  <c r="AY884" i="32"/>
  <c r="AZ884" i="32"/>
  <c r="BA884" i="32"/>
  <c r="AK885" i="32"/>
  <c r="AL885" i="32"/>
  <c r="AM885" i="32"/>
  <c r="AN885" i="32"/>
  <c r="AO885" i="32"/>
  <c r="AP885" i="32"/>
  <c r="AQ885" i="32"/>
  <c r="Q885" i="32"/>
  <c r="AR885" i="32"/>
  <c r="AS885" i="32"/>
  <c r="AT885" i="32"/>
  <c r="AU885" i="32"/>
  <c r="AV885" i="32"/>
  <c r="AW885" i="32"/>
  <c r="AX885" i="32"/>
  <c r="AY885" i="32"/>
  <c r="AZ885" i="32"/>
  <c r="BA885" i="32"/>
  <c r="AK886" i="32"/>
  <c r="AL886" i="32"/>
  <c r="AM886" i="32"/>
  <c r="AN886" i="32"/>
  <c r="AO886" i="32"/>
  <c r="AP886" i="32"/>
  <c r="AQ886" i="32"/>
  <c r="Q886" i="32"/>
  <c r="AR886" i="32"/>
  <c r="AS886" i="32"/>
  <c r="AT886" i="32"/>
  <c r="AU886" i="32"/>
  <c r="AV886" i="32"/>
  <c r="AW886" i="32"/>
  <c r="AX886" i="32"/>
  <c r="AY886" i="32"/>
  <c r="AZ886" i="32"/>
  <c r="BA886" i="32"/>
  <c r="AK887" i="32"/>
  <c r="AL887" i="32"/>
  <c r="AM887" i="32"/>
  <c r="AN887" i="32"/>
  <c r="AO887" i="32"/>
  <c r="AP887" i="32"/>
  <c r="AQ887" i="32"/>
  <c r="Q887" i="32"/>
  <c r="AR887" i="32"/>
  <c r="AS887" i="32"/>
  <c r="AT887" i="32"/>
  <c r="AU887" i="32"/>
  <c r="AV887" i="32"/>
  <c r="AW887" i="32"/>
  <c r="AX887" i="32"/>
  <c r="AY887" i="32"/>
  <c r="AZ887" i="32"/>
  <c r="BA887" i="32"/>
  <c r="AK888" i="32"/>
  <c r="AL888" i="32"/>
  <c r="AM888" i="32"/>
  <c r="AN888" i="32"/>
  <c r="AO888" i="32"/>
  <c r="AP888" i="32"/>
  <c r="AQ888" i="32"/>
  <c r="Q888" i="32"/>
  <c r="AR888" i="32"/>
  <c r="AS888" i="32"/>
  <c r="AT888" i="32"/>
  <c r="AU888" i="32"/>
  <c r="AV888" i="32"/>
  <c r="AW888" i="32"/>
  <c r="AX888" i="32"/>
  <c r="AY888" i="32"/>
  <c r="AZ888" i="32"/>
  <c r="BA888" i="32"/>
  <c r="AK889" i="32"/>
  <c r="AL889" i="32"/>
  <c r="AM889" i="32"/>
  <c r="AN889" i="32"/>
  <c r="AO889" i="32"/>
  <c r="AP889" i="32"/>
  <c r="AQ889" i="32"/>
  <c r="Q889" i="32"/>
  <c r="AR889" i="32"/>
  <c r="AS889" i="32"/>
  <c r="AT889" i="32"/>
  <c r="AU889" i="32"/>
  <c r="AV889" i="32"/>
  <c r="AW889" i="32"/>
  <c r="AX889" i="32"/>
  <c r="AY889" i="32"/>
  <c r="AZ889" i="32"/>
  <c r="BA889" i="32"/>
  <c r="AK890" i="32"/>
  <c r="AL890" i="32"/>
  <c r="AM890" i="32"/>
  <c r="AN890" i="32"/>
  <c r="AO890" i="32"/>
  <c r="AP890" i="32"/>
  <c r="AQ890" i="32"/>
  <c r="Q890" i="32"/>
  <c r="AR890" i="32"/>
  <c r="AS890" i="32"/>
  <c r="AT890" i="32"/>
  <c r="AU890" i="32"/>
  <c r="AV890" i="32"/>
  <c r="AW890" i="32"/>
  <c r="AX890" i="32"/>
  <c r="AY890" i="32"/>
  <c r="AZ890" i="32"/>
  <c r="BA890" i="32"/>
  <c r="AK891" i="32"/>
  <c r="AL891" i="32"/>
  <c r="AM891" i="32"/>
  <c r="AN891" i="32"/>
  <c r="AO891" i="32"/>
  <c r="AP891" i="32"/>
  <c r="AQ891" i="32"/>
  <c r="Q891" i="32"/>
  <c r="AR891" i="32"/>
  <c r="AS891" i="32"/>
  <c r="AT891" i="32"/>
  <c r="AU891" i="32"/>
  <c r="AV891" i="32"/>
  <c r="AW891" i="32"/>
  <c r="AX891" i="32"/>
  <c r="AY891" i="32"/>
  <c r="AZ891" i="32"/>
  <c r="BA891" i="32"/>
  <c r="AK892" i="32"/>
  <c r="AL892" i="32"/>
  <c r="AM892" i="32"/>
  <c r="AN892" i="32"/>
  <c r="AO892" i="32"/>
  <c r="AP892" i="32"/>
  <c r="AQ892" i="32"/>
  <c r="Q892" i="32"/>
  <c r="AR892" i="32"/>
  <c r="AS892" i="32"/>
  <c r="AT892" i="32"/>
  <c r="AU892" i="32"/>
  <c r="AV892" i="32"/>
  <c r="AW892" i="32"/>
  <c r="AX892" i="32"/>
  <c r="AY892" i="32"/>
  <c r="AZ892" i="32"/>
  <c r="BA892" i="32"/>
  <c r="AK893" i="32"/>
  <c r="AL893" i="32"/>
  <c r="AM893" i="32"/>
  <c r="AN893" i="32"/>
  <c r="AO893" i="32"/>
  <c r="AP893" i="32"/>
  <c r="AQ893" i="32"/>
  <c r="Q893" i="32"/>
  <c r="AR893" i="32"/>
  <c r="AS893" i="32"/>
  <c r="AT893" i="32"/>
  <c r="AU893" i="32"/>
  <c r="AV893" i="32"/>
  <c r="AW893" i="32"/>
  <c r="AX893" i="32"/>
  <c r="AY893" i="32"/>
  <c r="AZ893" i="32"/>
  <c r="BA893" i="32"/>
  <c r="AK894" i="32"/>
  <c r="AL894" i="32"/>
  <c r="AM894" i="32"/>
  <c r="AN894" i="32"/>
  <c r="AO894" i="32"/>
  <c r="AP894" i="32"/>
  <c r="AQ894" i="32"/>
  <c r="Q894" i="32"/>
  <c r="AR894" i="32"/>
  <c r="AS894" i="32"/>
  <c r="AT894" i="32"/>
  <c r="AU894" i="32"/>
  <c r="AV894" i="32"/>
  <c r="AW894" i="32"/>
  <c r="AX894" i="32"/>
  <c r="AY894" i="32"/>
  <c r="AZ894" i="32"/>
  <c r="BA894" i="32"/>
  <c r="AK895" i="32"/>
  <c r="AL895" i="32"/>
  <c r="AM895" i="32"/>
  <c r="AN895" i="32"/>
  <c r="AO895" i="32"/>
  <c r="AP895" i="32"/>
  <c r="AQ895" i="32"/>
  <c r="Q895" i="32"/>
  <c r="AR895" i="32"/>
  <c r="AS895" i="32"/>
  <c r="AT895" i="32"/>
  <c r="AU895" i="32"/>
  <c r="AV895" i="32"/>
  <c r="AW895" i="32"/>
  <c r="AX895" i="32"/>
  <c r="AY895" i="32"/>
  <c r="AZ895" i="32"/>
  <c r="BA895" i="32"/>
  <c r="AK896" i="32"/>
  <c r="AL896" i="32"/>
  <c r="AM896" i="32"/>
  <c r="AN896" i="32"/>
  <c r="AO896" i="32"/>
  <c r="AP896" i="32"/>
  <c r="AQ896" i="32"/>
  <c r="Q896" i="32"/>
  <c r="AR896" i="32"/>
  <c r="AS896" i="32"/>
  <c r="AT896" i="32"/>
  <c r="AU896" i="32"/>
  <c r="AV896" i="32"/>
  <c r="AW896" i="32"/>
  <c r="AX896" i="32"/>
  <c r="AY896" i="32"/>
  <c r="AZ896" i="32"/>
  <c r="BA896" i="32"/>
  <c r="AK897" i="32"/>
  <c r="AL897" i="32"/>
  <c r="AM897" i="32"/>
  <c r="AN897" i="32"/>
  <c r="AO897" i="32"/>
  <c r="AP897" i="32"/>
  <c r="AQ897" i="32"/>
  <c r="Q897" i="32"/>
  <c r="AR897" i="32"/>
  <c r="AS897" i="32"/>
  <c r="AT897" i="32"/>
  <c r="AU897" i="32"/>
  <c r="AV897" i="32"/>
  <c r="AW897" i="32"/>
  <c r="AX897" i="32"/>
  <c r="AY897" i="32"/>
  <c r="AZ897" i="32"/>
  <c r="BA897" i="32"/>
  <c r="AK898" i="32"/>
  <c r="AL898" i="32"/>
  <c r="AM898" i="32"/>
  <c r="AN898" i="32"/>
  <c r="AO898" i="32"/>
  <c r="AP898" i="32"/>
  <c r="AQ898" i="32"/>
  <c r="Q898" i="32"/>
  <c r="AR898" i="32"/>
  <c r="AS898" i="32"/>
  <c r="AT898" i="32"/>
  <c r="AU898" i="32"/>
  <c r="AV898" i="32"/>
  <c r="AW898" i="32"/>
  <c r="AX898" i="32"/>
  <c r="AY898" i="32"/>
  <c r="AZ898" i="32"/>
  <c r="BA898" i="32"/>
  <c r="AK899" i="32"/>
  <c r="AL899" i="32"/>
  <c r="AM899" i="32"/>
  <c r="AN899" i="32"/>
  <c r="AO899" i="32"/>
  <c r="AP899" i="32"/>
  <c r="AQ899" i="32"/>
  <c r="Q899" i="32"/>
  <c r="AR899" i="32"/>
  <c r="AS899" i="32"/>
  <c r="AT899" i="32"/>
  <c r="AU899" i="32"/>
  <c r="AV899" i="32"/>
  <c r="AW899" i="32"/>
  <c r="AX899" i="32"/>
  <c r="AY899" i="32"/>
  <c r="AZ899" i="32"/>
  <c r="BA899" i="32"/>
  <c r="AK900" i="32"/>
  <c r="AL900" i="32"/>
  <c r="AM900" i="32"/>
  <c r="AN900" i="32"/>
  <c r="AO900" i="32"/>
  <c r="AP900" i="32"/>
  <c r="AQ900" i="32"/>
  <c r="Q900" i="32"/>
  <c r="AR900" i="32"/>
  <c r="AS900" i="32"/>
  <c r="AT900" i="32"/>
  <c r="AU900" i="32"/>
  <c r="AV900" i="32"/>
  <c r="AW900" i="32"/>
  <c r="AX900" i="32"/>
  <c r="AY900" i="32"/>
  <c r="AZ900" i="32"/>
  <c r="BA900" i="32"/>
  <c r="AK901" i="32"/>
  <c r="AL901" i="32"/>
  <c r="AM901" i="32"/>
  <c r="AN901" i="32"/>
  <c r="AO901" i="32"/>
  <c r="AP901" i="32"/>
  <c r="AQ901" i="32"/>
  <c r="Q901" i="32"/>
  <c r="AR901" i="32"/>
  <c r="AS901" i="32"/>
  <c r="AT901" i="32"/>
  <c r="AU901" i="32"/>
  <c r="AV901" i="32"/>
  <c r="AW901" i="32"/>
  <c r="AX901" i="32"/>
  <c r="AY901" i="32"/>
  <c r="AZ901" i="32"/>
  <c r="BA901" i="32"/>
  <c r="AK902" i="32"/>
  <c r="AL902" i="32"/>
  <c r="AM902" i="32"/>
  <c r="AN902" i="32"/>
  <c r="AO902" i="32"/>
  <c r="AP902" i="32"/>
  <c r="AQ902" i="32"/>
  <c r="Q902" i="32"/>
  <c r="AR902" i="32"/>
  <c r="AS902" i="32"/>
  <c r="AT902" i="32"/>
  <c r="AU902" i="32"/>
  <c r="AV902" i="32"/>
  <c r="AW902" i="32"/>
  <c r="AX902" i="32"/>
  <c r="AY902" i="32"/>
  <c r="AZ902" i="32"/>
  <c r="BA902" i="32"/>
  <c r="AK903" i="32"/>
  <c r="AL903" i="32"/>
  <c r="AM903" i="32"/>
  <c r="AN903" i="32"/>
  <c r="AO903" i="32"/>
  <c r="AP903" i="32"/>
  <c r="AQ903" i="32"/>
  <c r="Q903" i="32"/>
  <c r="AR903" i="32"/>
  <c r="AS903" i="32"/>
  <c r="AT903" i="32"/>
  <c r="AU903" i="32"/>
  <c r="AV903" i="32"/>
  <c r="AW903" i="32"/>
  <c r="AX903" i="32"/>
  <c r="AY903" i="32"/>
  <c r="AZ903" i="32"/>
  <c r="BA903" i="32"/>
  <c r="AK904" i="32"/>
  <c r="AL904" i="32"/>
  <c r="AM904" i="32"/>
  <c r="AN904" i="32"/>
  <c r="AO904" i="32"/>
  <c r="AP904" i="32"/>
  <c r="AQ904" i="32"/>
  <c r="Q904" i="32"/>
  <c r="AR904" i="32"/>
  <c r="AS904" i="32"/>
  <c r="AT904" i="32"/>
  <c r="AU904" i="32"/>
  <c r="AV904" i="32"/>
  <c r="AW904" i="32"/>
  <c r="AX904" i="32"/>
  <c r="AY904" i="32"/>
  <c r="AZ904" i="32"/>
  <c r="BA904" i="32"/>
  <c r="AK905" i="32"/>
  <c r="AL905" i="32"/>
  <c r="AM905" i="32"/>
  <c r="AN905" i="32"/>
  <c r="AO905" i="32"/>
  <c r="AP905" i="32"/>
  <c r="AQ905" i="32"/>
  <c r="Q905" i="32"/>
  <c r="AR905" i="32"/>
  <c r="AS905" i="32"/>
  <c r="AT905" i="32"/>
  <c r="AU905" i="32"/>
  <c r="AV905" i="32"/>
  <c r="AW905" i="32"/>
  <c r="AX905" i="32"/>
  <c r="AY905" i="32"/>
  <c r="AZ905" i="32"/>
  <c r="BA905" i="32"/>
  <c r="AK906" i="32"/>
  <c r="AL906" i="32"/>
  <c r="AM906" i="32"/>
  <c r="AN906" i="32"/>
  <c r="AO906" i="32"/>
  <c r="AP906" i="32"/>
  <c r="AQ906" i="32"/>
  <c r="Q906" i="32"/>
  <c r="AR906" i="32"/>
  <c r="AS906" i="32"/>
  <c r="AT906" i="32"/>
  <c r="AU906" i="32"/>
  <c r="AV906" i="32"/>
  <c r="AW906" i="32"/>
  <c r="AX906" i="32"/>
  <c r="AY906" i="32"/>
  <c r="AZ906" i="32"/>
  <c r="BA906" i="32"/>
  <c r="AK907" i="32"/>
  <c r="AL907" i="32"/>
  <c r="AM907" i="32"/>
  <c r="AN907" i="32"/>
  <c r="AO907" i="32"/>
  <c r="AP907" i="32"/>
  <c r="AQ907" i="32"/>
  <c r="Q907" i="32"/>
  <c r="AR907" i="32"/>
  <c r="AS907" i="32"/>
  <c r="AT907" i="32"/>
  <c r="AU907" i="32"/>
  <c r="AV907" i="32"/>
  <c r="AW907" i="32"/>
  <c r="AX907" i="32"/>
  <c r="AY907" i="32"/>
  <c r="AZ907" i="32"/>
  <c r="BA907" i="32"/>
  <c r="AK908" i="32"/>
  <c r="AL908" i="32"/>
  <c r="AM908" i="32"/>
  <c r="AN908" i="32"/>
  <c r="AO908" i="32"/>
  <c r="AP908" i="32"/>
  <c r="AQ908" i="32"/>
  <c r="Q908" i="32"/>
  <c r="AR908" i="32"/>
  <c r="AS908" i="32"/>
  <c r="AT908" i="32"/>
  <c r="AU908" i="32"/>
  <c r="AV908" i="32"/>
  <c r="AW908" i="32"/>
  <c r="AX908" i="32"/>
  <c r="AY908" i="32"/>
  <c r="AZ908" i="32"/>
  <c r="BA908" i="32"/>
  <c r="AK909" i="32"/>
  <c r="AL909" i="32"/>
  <c r="AM909" i="32"/>
  <c r="AN909" i="32"/>
  <c r="AO909" i="32"/>
  <c r="AP909" i="32"/>
  <c r="AQ909" i="32"/>
  <c r="Q909" i="32"/>
  <c r="AR909" i="32"/>
  <c r="AS909" i="32"/>
  <c r="AT909" i="32"/>
  <c r="AU909" i="32"/>
  <c r="AV909" i="32"/>
  <c r="AW909" i="32"/>
  <c r="AX909" i="32"/>
  <c r="AY909" i="32"/>
  <c r="AZ909" i="32"/>
  <c r="BA909" i="32"/>
  <c r="AK910" i="32"/>
  <c r="AL910" i="32"/>
  <c r="AM910" i="32"/>
  <c r="AN910" i="32"/>
  <c r="AO910" i="32"/>
  <c r="AP910" i="32"/>
  <c r="AQ910" i="32"/>
  <c r="Q910" i="32"/>
  <c r="AR910" i="32"/>
  <c r="AS910" i="32"/>
  <c r="AT910" i="32"/>
  <c r="AU910" i="32"/>
  <c r="AV910" i="32"/>
  <c r="AW910" i="32"/>
  <c r="AX910" i="32"/>
  <c r="AY910" i="32"/>
  <c r="AZ910" i="32"/>
  <c r="BA910" i="32"/>
  <c r="AK911" i="32"/>
  <c r="AL911" i="32"/>
  <c r="AM911" i="32"/>
  <c r="AN911" i="32"/>
  <c r="AO911" i="32"/>
  <c r="AP911" i="32"/>
  <c r="AQ911" i="32"/>
  <c r="Q911" i="32"/>
  <c r="AR911" i="32"/>
  <c r="AS911" i="32"/>
  <c r="AT911" i="32"/>
  <c r="AU911" i="32"/>
  <c r="AV911" i="32"/>
  <c r="AW911" i="32"/>
  <c r="AX911" i="32"/>
  <c r="AY911" i="32"/>
  <c r="AZ911" i="32"/>
  <c r="BA911" i="32"/>
  <c r="AK912" i="32"/>
  <c r="AL912" i="32"/>
  <c r="AM912" i="32"/>
  <c r="AN912" i="32"/>
  <c r="AO912" i="32"/>
  <c r="AP912" i="32"/>
  <c r="AQ912" i="32"/>
  <c r="Q912" i="32"/>
  <c r="AR912" i="32"/>
  <c r="AS912" i="32"/>
  <c r="AT912" i="32"/>
  <c r="AU912" i="32"/>
  <c r="AV912" i="32"/>
  <c r="AW912" i="32"/>
  <c r="AX912" i="32"/>
  <c r="AY912" i="32"/>
  <c r="AZ912" i="32"/>
  <c r="BA912" i="32"/>
  <c r="AK913" i="32"/>
  <c r="AL913" i="32"/>
  <c r="AM913" i="32"/>
  <c r="AN913" i="32"/>
  <c r="AO913" i="32"/>
  <c r="AP913" i="32"/>
  <c r="AQ913" i="32"/>
  <c r="Q913" i="32"/>
  <c r="AR913" i="32"/>
  <c r="AS913" i="32"/>
  <c r="AT913" i="32"/>
  <c r="AU913" i="32"/>
  <c r="AV913" i="32"/>
  <c r="AW913" i="32"/>
  <c r="AX913" i="32"/>
  <c r="AY913" i="32"/>
  <c r="AZ913" i="32"/>
  <c r="BA913" i="32"/>
  <c r="AK914" i="32"/>
  <c r="AL914" i="32"/>
  <c r="AM914" i="32"/>
  <c r="AN914" i="32"/>
  <c r="AO914" i="32"/>
  <c r="AP914" i="32"/>
  <c r="AQ914" i="32"/>
  <c r="Q914" i="32"/>
  <c r="AR914" i="32"/>
  <c r="AS914" i="32"/>
  <c r="AT914" i="32"/>
  <c r="AU914" i="32"/>
  <c r="AV914" i="32"/>
  <c r="AW914" i="32"/>
  <c r="AX914" i="32"/>
  <c r="AY914" i="32"/>
  <c r="AZ914" i="32"/>
  <c r="BA914" i="32"/>
  <c r="AK915" i="32"/>
  <c r="AL915" i="32"/>
  <c r="AM915" i="32"/>
  <c r="AN915" i="32"/>
  <c r="AO915" i="32"/>
  <c r="AP915" i="32"/>
  <c r="AQ915" i="32"/>
  <c r="Q915" i="32"/>
  <c r="AR915" i="32"/>
  <c r="AS915" i="32"/>
  <c r="AT915" i="32"/>
  <c r="AU915" i="32"/>
  <c r="AV915" i="32"/>
  <c r="AW915" i="32"/>
  <c r="AX915" i="32"/>
  <c r="AY915" i="32"/>
  <c r="AZ915" i="32"/>
  <c r="BA915" i="32"/>
  <c r="AK916" i="32"/>
  <c r="AL916" i="32"/>
  <c r="AM916" i="32"/>
  <c r="AN916" i="32"/>
  <c r="AO916" i="32"/>
  <c r="AP916" i="32"/>
  <c r="AQ916" i="32"/>
  <c r="Q916" i="32"/>
  <c r="AR916" i="32"/>
  <c r="AS916" i="32"/>
  <c r="AT916" i="32"/>
  <c r="AU916" i="32"/>
  <c r="AV916" i="32"/>
  <c r="AW916" i="32"/>
  <c r="AX916" i="32"/>
  <c r="AY916" i="32"/>
  <c r="AZ916" i="32"/>
  <c r="BA916" i="32"/>
  <c r="AK917" i="32"/>
  <c r="AL917" i="32"/>
  <c r="AM917" i="32"/>
  <c r="AN917" i="32"/>
  <c r="AO917" i="32"/>
  <c r="AP917" i="32"/>
  <c r="AQ917" i="32"/>
  <c r="Q917" i="32"/>
  <c r="AR917" i="32"/>
  <c r="AS917" i="32"/>
  <c r="AT917" i="32"/>
  <c r="AU917" i="32"/>
  <c r="AV917" i="32"/>
  <c r="AW917" i="32"/>
  <c r="AX917" i="32"/>
  <c r="AY917" i="32"/>
  <c r="AZ917" i="32"/>
  <c r="BA917" i="32"/>
  <c r="AK918" i="32"/>
  <c r="AL918" i="32"/>
  <c r="AM918" i="32"/>
  <c r="AN918" i="32"/>
  <c r="AO918" i="32"/>
  <c r="AP918" i="32"/>
  <c r="AQ918" i="32"/>
  <c r="Q918" i="32"/>
  <c r="AR918" i="32"/>
  <c r="AS918" i="32"/>
  <c r="AT918" i="32"/>
  <c r="AU918" i="32"/>
  <c r="AV918" i="32"/>
  <c r="AW918" i="32"/>
  <c r="AX918" i="32"/>
  <c r="AY918" i="32"/>
  <c r="AZ918" i="32"/>
  <c r="BA918" i="32"/>
  <c r="AK919" i="32"/>
  <c r="AL919" i="32"/>
  <c r="AM919" i="32"/>
  <c r="AN919" i="32"/>
  <c r="AO919" i="32"/>
  <c r="AP919" i="32"/>
  <c r="AQ919" i="32"/>
  <c r="Q919" i="32"/>
  <c r="AR919" i="32"/>
  <c r="AS919" i="32"/>
  <c r="AT919" i="32"/>
  <c r="AU919" i="32"/>
  <c r="AV919" i="32"/>
  <c r="AW919" i="32"/>
  <c r="AX919" i="32"/>
  <c r="AY919" i="32"/>
  <c r="AZ919" i="32"/>
  <c r="BA919" i="32"/>
  <c r="AK920" i="32"/>
  <c r="AL920" i="32"/>
  <c r="AM920" i="32"/>
  <c r="AN920" i="32"/>
  <c r="AO920" i="32"/>
  <c r="AP920" i="32"/>
  <c r="AQ920" i="32"/>
  <c r="Q920" i="32"/>
  <c r="AR920" i="32"/>
  <c r="AS920" i="32"/>
  <c r="AT920" i="32"/>
  <c r="AU920" i="32"/>
  <c r="AV920" i="32"/>
  <c r="AW920" i="32"/>
  <c r="AX920" i="32"/>
  <c r="AY920" i="32"/>
  <c r="AZ920" i="32"/>
  <c r="BA920" i="32"/>
  <c r="AK921" i="32"/>
  <c r="AL921" i="32"/>
  <c r="AM921" i="32"/>
  <c r="AN921" i="32"/>
  <c r="AO921" i="32"/>
  <c r="AP921" i="32"/>
  <c r="AQ921" i="32"/>
  <c r="Q921" i="32"/>
  <c r="AR921" i="32"/>
  <c r="AS921" i="32"/>
  <c r="AT921" i="32"/>
  <c r="AU921" i="32"/>
  <c r="AV921" i="32"/>
  <c r="AW921" i="32"/>
  <c r="AX921" i="32"/>
  <c r="AY921" i="32"/>
  <c r="AZ921" i="32"/>
  <c r="BA921" i="32"/>
  <c r="AK922" i="32"/>
  <c r="AL922" i="32"/>
  <c r="AM922" i="32"/>
  <c r="AN922" i="32"/>
  <c r="AO922" i="32"/>
  <c r="AP922" i="32"/>
  <c r="AQ922" i="32"/>
  <c r="Q922" i="32"/>
  <c r="AR922" i="32"/>
  <c r="AS922" i="32"/>
  <c r="AT922" i="32"/>
  <c r="AU922" i="32"/>
  <c r="AV922" i="32"/>
  <c r="AW922" i="32"/>
  <c r="AX922" i="32"/>
  <c r="AY922" i="32"/>
  <c r="AZ922" i="32"/>
  <c r="BA922" i="32"/>
  <c r="AK923" i="32"/>
  <c r="AL923" i="32"/>
  <c r="AM923" i="32"/>
  <c r="AN923" i="32"/>
  <c r="AO923" i="32"/>
  <c r="AP923" i="32"/>
  <c r="AQ923" i="32"/>
  <c r="Q923" i="32"/>
  <c r="AR923" i="32"/>
  <c r="AS923" i="32"/>
  <c r="AT923" i="32"/>
  <c r="AU923" i="32"/>
  <c r="AV923" i="32"/>
  <c r="AW923" i="32"/>
  <c r="AX923" i="32"/>
  <c r="AY923" i="32"/>
  <c r="AZ923" i="32"/>
  <c r="BA923" i="32"/>
  <c r="AK924" i="32"/>
  <c r="AL924" i="32"/>
  <c r="AM924" i="32"/>
  <c r="AN924" i="32"/>
  <c r="AO924" i="32"/>
  <c r="AP924" i="32"/>
  <c r="AQ924" i="32"/>
  <c r="Q924" i="32"/>
  <c r="AR924" i="32"/>
  <c r="AS924" i="32"/>
  <c r="AT924" i="32"/>
  <c r="AU924" i="32"/>
  <c r="AV924" i="32"/>
  <c r="AW924" i="32"/>
  <c r="AX924" i="32"/>
  <c r="AY924" i="32"/>
  <c r="AZ924" i="32"/>
  <c r="BA924" i="32"/>
  <c r="AK925" i="32"/>
  <c r="AL925" i="32"/>
  <c r="AM925" i="32"/>
  <c r="AN925" i="32"/>
  <c r="AO925" i="32"/>
  <c r="AP925" i="32"/>
  <c r="AQ925" i="32"/>
  <c r="Q925" i="32"/>
  <c r="AR925" i="32"/>
  <c r="AS925" i="32"/>
  <c r="AT925" i="32"/>
  <c r="AU925" i="32"/>
  <c r="AV925" i="32"/>
  <c r="AW925" i="32"/>
  <c r="AX925" i="32"/>
  <c r="AY925" i="32"/>
  <c r="AZ925" i="32"/>
  <c r="BA925" i="32"/>
  <c r="AK926" i="32"/>
  <c r="AL926" i="32"/>
  <c r="AM926" i="32"/>
  <c r="AN926" i="32"/>
  <c r="AO926" i="32"/>
  <c r="AP926" i="32"/>
  <c r="AQ926" i="32"/>
  <c r="Q926" i="32"/>
  <c r="AR926" i="32"/>
  <c r="AS926" i="32"/>
  <c r="AT926" i="32"/>
  <c r="AU926" i="32"/>
  <c r="AV926" i="32"/>
  <c r="AW926" i="32"/>
  <c r="AX926" i="32"/>
  <c r="AY926" i="32"/>
  <c r="AZ926" i="32"/>
  <c r="BA926" i="32"/>
  <c r="AK927" i="32"/>
  <c r="AL927" i="32"/>
  <c r="AM927" i="32"/>
  <c r="AN927" i="32"/>
  <c r="AO927" i="32"/>
  <c r="AP927" i="32"/>
  <c r="AQ927" i="32"/>
  <c r="Q927" i="32"/>
  <c r="AR927" i="32"/>
  <c r="AS927" i="32"/>
  <c r="AT927" i="32"/>
  <c r="AU927" i="32"/>
  <c r="AV927" i="32"/>
  <c r="AW927" i="32"/>
  <c r="AX927" i="32"/>
  <c r="AY927" i="32"/>
  <c r="AZ927" i="32"/>
  <c r="BA927" i="32"/>
  <c r="AK928" i="32"/>
  <c r="AL928" i="32"/>
  <c r="AM928" i="32"/>
  <c r="AN928" i="32"/>
  <c r="AO928" i="32"/>
  <c r="AP928" i="32"/>
  <c r="AQ928" i="32"/>
  <c r="Q928" i="32"/>
  <c r="AR928" i="32"/>
  <c r="AS928" i="32"/>
  <c r="AT928" i="32"/>
  <c r="AU928" i="32"/>
  <c r="AV928" i="32"/>
  <c r="AW928" i="32"/>
  <c r="AX928" i="32"/>
  <c r="AY928" i="32"/>
  <c r="AZ928" i="32"/>
  <c r="BA928" i="32"/>
  <c r="AK929" i="32"/>
  <c r="AL929" i="32"/>
  <c r="AM929" i="32"/>
  <c r="AN929" i="32"/>
  <c r="AO929" i="32"/>
  <c r="AP929" i="32"/>
  <c r="AQ929" i="32"/>
  <c r="Q929" i="32"/>
  <c r="AR929" i="32"/>
  <c r="AS929" i="32"/>
  <c r="AT929" i="32"/>
  <c r="AU929" i="32"/>
  <c r="AV929" i="32"/>
  <c r="AW929" i="32"/>
  <c r="AX929" i="32"/>
  <c r="AY929" i="32"/>
  <c r="AZ929" i="32"/>
  <c r="BA929" i="32"/>
  <c r="AK930" i="32"/>
  <c r="AL930" i="32"/>
  <c r="AM930" i="32"/>
  <c r="AN930" i="32"/>
  <c r="AO930" i="32"/>
  <c r="AP930" i="32"/>
  <c r="AQ930" i="32"/>
  <c r="Q930" i="32"/>
  <c r="AR930" i="32"/>
  <c r="AS930" i="32"/>
  <c r="AT930" i="32"/>
  <c r="AU930" i="32"/>
  <c r="AV930" i="32"/>
  <c r="AW930" i="32"/>
  <c r="AX930" i="32"/>
  <c r="AY930" i="32"/>
  <c r="AZ930" i="32"/>
  <c r="BA930" i="32"/>
  <c r="AK931" i="32"/>
  <c r="AL931" i="32"/>
  <c r="AM931" i="32"/>
  <c r="AN931" i="32"/>
  <c r="AO931" i="32"/>
  <c r="AP931" i="32"/>
  <c r="AQ931" i="32"/>
  <c r="Q931" i="32"/>
  <c r="AR931" i="32"/>
  <c r="AS931" i="32"/>
  <c r="AT931" i="32"/>
  <c r="AU931" i="32"/>
  <c r="AV931" i="32"/>
  <c r="AW931" i="32"/>
  <c r="AX931" i="32"/>
  <c r="AY931" i="32"/>
  <c r="AZ931" i="32"/>
  <c r="BA931" i="32"/>
  <c r="AK932" i="32"/>
  <c r="AL932" i="32"/>
  <c r="AM932" i="32"/>
  <c r="AN932" i="32"/>
  <c r="AO932" i="32"/>
  <c r="AP932" i="32"/>
  <c r="AQ932" i="32"/>
  <c r="Q932" i="32"/>
  <c r="AR932" i="32"/>
  <c r="AS932" i="32"/>
  <c r="AT932" i="32"/>
  <c r="AU932" i="32"/>
  <c r="AV932" i="32"/>
  <c r="AW932" i="32"/>
  <c r="AX932" i="32"/>
  <c r="AY932" i="32"/>
  <c r="AZ932" i="32"/>
  <c r="BA932" i="32"/>
  <c r="AK933" i="32"/>
  <c r="AL933" i="32"/>
  <c r="AM933" i="32"/>
  <c r="AN933" i="32"/>
  <c r="AO933" i="32"/>
  <c r="AP933" i="32"/>
  <c r="AQ933" i="32"/>
  <c r="Q933" i="32"/>
  <c r="AR933" i="32"/>
  <c r="AS933" i="32"/>
  <c r="AT933" i="32"/>
  <c r="AU933" i="32"/>
  <c r="AV933" i="32"/>
  <c r="AW933" i="32"/>
  <c r="AX933" i="32"/>
  <c r="AY933" i="32"/>
  <c r="AZ933" i="32"/>
  <c r="BA933" i="32"/>
  <c r="AK934" i="32"/>
  <c r="AL934" i="32"/>
  <c r="AM934" i="32"/>
  <c r="AN934" i="32"/>
  <c r="AO934" i="32"/>
  <c r="AP934" i="32"/>
  <c r="AQ934" i="32"/>
  <c r="Q934" i="32"/>
  <c r="AR934" i="32"/>
  <c r="AS934" i="32"/>
  <c r="AT934" i="32"/>
  <c r="AU934" i="32"/>
  <c r="AV934" i="32"/>
  <c r="AW934" i="32"/>
  <c r="AX934" i="32"/>
  <c r="AY934" i="32"/>
  <c r="AZ934" i="32"/>
  <c r="BA934" i="32"/>
  <c r="AK935" i="32"/>
  <c r="AL935" i="32"/>
  <c r="AM935" i="32"/>
  <c r="AN935" i="32"/>
  <c r="AO935" i="32"/>
  <c r="AP935" i="32"/>
  <c r="AQ935" i="32"/>
  <c r="Q935" i="32"/>
  <c r="AR935" i="32"/>
  <c r="AS935" i="32"/>
  <c r="AT935" i="32"/>
  <c r="AU935" i="32"/>
  <c r="AV935" i="32"/>
  <c r="AW935" i="32"/>
  <c r="AX935" i="32"/>
  <c r="AY935" i="32"/>
  <c r="AZ935" i="32"/>
  <c r="BA935" i="32"/>
  <c r="AK936" i="32"/>
  <c r="AL936" i="32"/>
  <c r="AM936" i="32"/>
  <c r="AN936" i="32"/>
  <c r="AO936" i="32"/>
  <c r="AP936" i="32"/>
  <c r="AQ936" i="32"/>
  <c r="Q936" i="32"/>
  <c r="AR936" i="32"/>
  <c r="AS936" i="32"/>
  <c r="AT936" i="32"/>
  <c r="AU936" i="32"/>
  <c r="AV936" i="32"/>
  <c r="AW936" i="32"/>
  <c r="AX936" i="32"/>
  <c r="AY936" i="32"/>
  <c r="AZ936" i="32"/>
  <c r="BA936" i="32"/>
  <c r="AK937" i="32"/>
  <c r="AL937" i="32"/>
  <c r="AM937" i="32"/>
  <c r="AN937" i="32"/>
  <c r="AO937" i="32"/>
  <c r="AP937" i="32"/>
  <c r="AQ937" i="32"/>
  <c r="Q937" i="32"/>
  <c r="AR937" i="32"/>
  <c r="AS937" i="32"/>
  <c r="AT937" i="32"/>
  <c r="AU937" i="32"/>
  <c r="AV937" i="32"/>
  <c r="AW937" i="32"/>
  <c r="AX937" i="32"/>
  <c r="AY937" i="32"/>
  <c r="AZ937" i="32"/>
  <c r="BA937" i="32"/>
  <c r="AK938" i="32"/>
  <c r="AL938" i="32"/>
  <c r="AM938" i="32"/>
  <c r="AN938" i="32"/>
  <c r="AO938" i="32"/>
  <c r="AP938" i="32"/>
  <c r="AQ938" i="32"/>
  <c r="Q938" i="32"/>
  <c r="AR938" i="32"/>
  <c r="AS938" i="32"/>
  <c r="AT938" i="32"/>
  <c r="AU938" i="32"/>
  <c r="AV938" i="32"/>
  <c r="AW938" i="32"/>
  <c r="AX938" i="32"/>
  <c r="AY938" i="32"/>
  <c r="AZ938" i="32"/>
  <c r="BA938" i="32"/>
  <c r="AK939" i="32"/>
  <c r="AL939" i="32"/>
  <c r="AM939" i="32"/>
  <c r="AN939" i="32"/>
  <c r="AO939" i="32"/>
  <c r="AP939" i="32"/>
  <c r="AQ939" i="32"/>
  <c r="Q939" i="32"/>
  <c r="AR939" i="32"/>
  <c r="AS939" i="32"/>
  <c r="AT939" i="32"/>
  <c r="AU939" i="32"/>
  <c r="AV939" i="32"/>
  <c r="AW939" i="32"/>
  <c r="AX939" i="32"/>
  <c r="AY939" i="32"/>
  <c r="AZ939" i="32"/>
  <c r="BA939" i="32"/>
  <c r="AK940" i="32"/>
  <c r="AL940" i="32"/>
  <c r="AM940" i="32"/>
  <c r="AN940" i="32"/>
  <c r="AO940" i="32"/>
  <c r="AP940" i="32"/>
  <c r="AQ940" i="32"/>
  <c r="Q940" i="32"/>
  <c r="AR940" i="32"/>
  <c r="AS940" i="32"/>
  <c r="AT940" i="32"/>
  <c r="AU940" i="32"/>
  <c r="AV940" i="32"/>
  <c r="AW940" i="32"/>
  <c r="AX940" i="32"/>
  <c r="AY940" i="32"/>
  <c r="AZ940" i="32"/>
  <c r="BA940" i="32"/>
  <c r="AK941" i="32"/>
  <c r="AL941" i="32"/>
  <c r="AM941" i="32"/>
  <c r="AN941" i="32"/>
  <c r="AO941" i="32"/>
  <c r="AP941" i="32"/>
  <c r="AQ941" i="32"/>
  <c r="Q941" i="32"/>
  <c r="AR941" i="32"/>
  <c r="AS941" i="32"/>
  <c r="AT941" i="32"/>
  <c r="AU941" i="32"/>
  <c r="AV941" i="32"/>
  <c r="AW941" i="32"/>
  <c r="AX941" i="32"/>
  <c r="AY941" i="32"/>
  <c r="AZ941" i="32"/>
  <c r="BA941" i="32"/>
  <c r="AK942" i="32"/>
  <c r="AL942" i="32"/>
  <c r="AM942" i="32"/>
  <c r="AN942" i="32"/>
  <c r="AO942" i="32"/>
  <c r="AP942" i="32"/>
  <c r="AQ942" i="32"/>
  <c r="Q942" i="32"/>
  <c r="AR942" i="32"/>
  <c r="AS942" i="32"/>
  <c r="AT942" i="32"/>
  <c r="AU942" i="32"/>
  <c r="AV942" i="32"/>
  <c r="AW942" i="32"/>
  <c r="AX942" i="32"/>
  <c r="AY942" i="32"/>
  <c r="AZ942" i="32"/>
  <c r="BA942" i="32"/>
  <c r="AK943" i="32"/>
  <c r="AL943" i="32"/>
  <c r="AM943" i="32"/>
  <c r="AN943" i="32"/>
  <c r="AO943" i="32"/>
  <c r="AP943" i="32"/>
  <c r="AQ943" i="32"/>
  <c r="Q943" i="32"/>
  <c r="AR943" i="32"/>
  <c r="AS943" i="32"/>
  <c r="AT943" i="32"/>
  <c r="AU943" i="32"/>
  <c r="AV943" i="32"/>
  <c r="AW943" i="32"/>
  <c r="AX943" i="32"/>
  <c r="AY943" i="32"/>
  <c r="AZ943" i="32"/>
  <c r="BA943" i="32"/>
  <c r="AK944" i="32"/>
  <c r="AL944" i="32"/>
  <c r="AM944" i="32"/>
  <c r="AN944" i="32"/>
  <c r="AO944" i="32"/>
  <c r="AP944" i="32"/>
  <c r="AQ944" i="32"/>
  <c r="Q944" i="32"/>
  <c r="AR944" i="32"/>
  <c r="AS944" i="32"/>
  <c r="AT944" i="32"/>
  <c r="AU944" i="32"/>
  <c r="AV944" i="32"/>
  <c r="AW944" i="32"/>
  <c r="AX944" i="32"/>
  <c r="AY944" i="32"/>
  <c r="AZ944" i="32"/>
  <c r="BA944" i="32"/>
  <c r="AK945" i="32"/>
  <c r="AL945" i="32"/>
  <c r="AM945" i="32"/>
  <c r="AN945" i="32"/>
  <c r="AO945" i="32"/>
  <c r="AP945" i="32"/>
  <c r="AQ945" i="32"/>
  <c r="Q945" i="32"/>
  <c r="AR945" i="32"/>
  <c r="AS945" i="32"/>
  <c r="AT945" i="32"/>
  <c r="AU945" i="32"/>
  <c r="AV945" i="32"/>
  <c r="AW945" i="32"/>
  <c r="AX945" i="32"/>
  <c r="AY945" i="32"/>
  <c r="AZ945" i="32"/>
  <c r="BA945" i="32"/>
  <c r="AK946" i="32"/>
  <c r="AL946" i="32"/>
  <c r="AM946" i="32"/>
  <c r="AN946" i="32"/>
  <c r="AO946" i="32"/>
  <c r="AP946" i="32"/>
  <c r="AQ946" i="32"/>
  <c r="Q946" i="32"/>
  <c r="AR946" i="32"/>
  <c r="AS946" i="32"/>
  <c r="AT946" i="32"/>
  <c r="AU946" i="32"/>
  <c r="AV946" i="32"/>
  <c r="AW946" i="32"/>
  <c r="AX946" i="32"/>
  <c r="AY946" i="32"/>
  <c r="AZ946" i="32"/>
  <c r="BA946" i="32"/>
  <c r="AK947" i="32"/>
  <c r="AL947" i="32"/>
  <c r="AM947" i="32"/>
  <c r="AN947" i="32"/>
  <c r="AO947" i="32"/>
  <c r="AP947" i="32"/>
  <c r="AQ947" i="32"/>
  <c r="Q947" i="32"/>
  <c r="AR947" i="32"/>
  <c r="AS947" i="32"/>
  <c r="AT947" i="32"/>
  <c r="AU947" i="32"/>
  <c r="AV947" i="32"/>
  <c r="AW947" i="32"/>
  <c r="AX947" i="32"/>
  <c r="AY947" i="32"/>
  <c r="AZ947" i="32"/>
  <c r="BA947" i="32"/>
  <c r="AK948" i="32"/>
  <c r="AL948" i="32"/>
  <c r="AM948" i="32"/>
  <c r="AN948" i="32"/>
  <c r="AO948" i="32"/>
  <c r="AP948" i="32"/>
  <c r="AQ948" i="32"/>
  <c r="Q948" i="32"/>
  <c r="AR948" i="32"/>
  <c r="AS948" i="32"/>
  <c r="AT948" i="32"/>
  <c r="AU948" i="32"/>
  <c r="AV948" i="32"/>
  <c r="AW948" i="32"/>
  <c r="AX948" i="32"/>
  <c r="AY948" i="32"/>
  <c r="AZ948" i="32"/>
  <c r="BA948" i="32"/>
  <c r="AK949" i="32"/>
  <c r="AL949" i="32"/>
  <c r="AM949" i="32"/>
  <c r="AN949" i="32"/>
  <c r="AO949" i="32"/>
  <c r="AP949" i="32"/>
  <c r="AQ949" i="32"/>
  <c r="Q949" i="32"/>
  <c r="AR949" i="32"/>
  <c r="AS949" i="32"/>
  <c r="AT949" i="32"/>
  <c r="AU949" i="32"/>
  <c r="AV949" i="32"/>
  <c r="AW949" i="32"/>
  <c r="AX949" i="32"/>
  <c r="AY949" i="32"/>
  <c r="AZ949" i="32"/>
  <c r="BA949" i="32"/>
  <c r="AK950" i="32"/>
  <c r="AL950" i="32"/>
  <c r="AM950" i="32"/>
  <c r="AN950" i="32"/>
  <c r="AO950" i="32"/>
  <c r="AP950" i="32"/>
  <c r="AQ950" i="32"/>
  <c r="Q950" i="32"/>
  <c r="AR950" i="32"/>
  <c r="AS950" i="32"/>
  <c r="AT950" i="32"/>
  <c r="AU950" i="32"/>
  <c r="AV950" i="32"/>
  <c r="AW950" i="32"/>
  <c r="AX950" i="32"/>
  <c r="AY950" i="32"/>
  <c r="AZ950" i="32"/>
  <c r="BA950" i="32"/>
  <c r="AK951" i="32"/>
  <c r="AL951" i="32"/>
  <c r="AM951" i="32"/>
  <c r="AN951" i="32"/>
  <c r="AO951" i="32"/>
  <c r="AP951" i="32"/>
  <c r="AQ951" i="32"/>
  <c r="Q951" i="32"/>
  <c r="AR951" i="32"/>
  <c r="AS951" i="32"/>
  <c r="AT951" i="32"/>
  <c r="AU951" i="32"/>
  <c r="AV951" i="32"/>
  <c r="AW951" i="32"/>
  <c r="AX951" i="32"/>
  <c r="AY951" i="32"/>
  <c r="AZ951" i="32"/>
  <c r="BA951" i="32"/>
  <c r="AK952" i="32"/>
  <c r="AL952" i="32"/>
  <c r="AM952" i="32"/>
  <c r="AN952" i="32"/>
  <c r="AO952" i="32"/>
  <c r="AP952" i="32"/>
  <c r="AQ952" i="32"/>
  <c r="Q952" i="32"/>
  <c r="AR952" i="32"/>
  <c r="AS952" i="32"/>
  <c r="AT952" i="32"/>
  <c r="AU952" i="32"/>
  <c r="AV952" i="32"/>
  <c r="AW952" i="32"/>
  <c r="AX952" i="32"/>
  <c r="AY952" i="32"/>
  <c r="AZ952" i="32"/>
  <c r="BA952" i="32"/>
  <c r="AK953" i="32"/>
  <c r="AL953" i="32"/>
  <c r="AM953" i="32"/>
  <c r="AN953" i="32"/>
  <c r="AO953" i="32"/>
  <c r="AP953" i="32"/>
  <c r="AQ953" i="32"/>
  <c r="Q953" i="32"/>
  <c r="AR953" i="32"/>
  <c r="AS953" i="32"/>
  <c r="AT953" i="32"/>
  <c r="AU953" i="32"/>
  <c r="AV953" i="32"/>
  <c r="AW953" i="32"/>
  <c r="AX953" i="32"/>
  <c r="AY953" i="32"/>
  <c r="AZ953" i="32"/>
  <c r="BA953" i="32"/>
  <c r="AK954" i="32"/>
  <c r="AL954" i="32"/>
  <c r="AM954" i="32"/>
  <c r="AN954" i="32"/>
  <c r="AO954" i="32"/>
  <c r="AP954" i="32"/>
  <c r="AQ954" i="32"/>
  <c r="Q954" i="32"/>
  <c r="AR954" i="32"/>
  <c r="AS954" i="32"/>
  <c r="AT954" i="32"/>
  <c r="AU954" i="32"/>
  <c r="AV954" i="32"/>
  <c r="AW954" i="32"/>
  <c r="AX954" i="32"/>
  <c r="AY954" i="32"/>
  <c r="AZ954" i="32"/>
  <c r="BA954" i="32"/>
  <c r="AK955" i="32"/>
  <c r="AL955" i="32"/>
  <c r="AM955" i="32"/>
  <c r="AN955" i="32"/>
  <c r="AO955" i="32"/>
  <c r="AP955" i="32"/>
  <c r="AQ955" i="32"/>
  <c r="Q955" i="32"/>
  <c r="AR955" i="32"/>
  <c r="AS955" i="32"/>
  <c r="AT955" i="32"/>
  <c r="AU955" i="32"/>
  <c r="AV955" i="32"/>
  <c r="AW955" i="32"/>
  <c r="AX955" i="32"/>
  <c r="AY955" i="32"/>
  <c r="AZ955" i="32"/>
  <c r="BA955" i="32"/>
  <c r="AK956" i="32"/>
  <c r="AL956" i="32"/>
  <c r="AM956" i="32"/>
  <c r="AN956" i="32"/>
  <c r="AO956" i="32"/>
  <c r="AP956" i="32"/>
  <c r="AQ956" i="32"/>
  <c r="Q956" i="32"/>
  <c r="AR956" i="32"/>
  <c r="AS956" i="32"/>
  <c r="AT956" i="32"/>
  <c r="AU956" i="32"/>
  <c r="AV956" i="32"/>
  <c r="AW956" i="32"/>
  <c r="AX956" i="32"/>
  <c r="AY956" i="32"/>
  <c r="AZ956" i="32"/>
  <c r="BA956" i="32"/>
  <c r="AK957" i="32"/>
  <c r="AL957" i="32"/>
  <c r="AM957" i="32"/>
  <c r="AN957" i="32"/>
  <c r="AO957" i="32"/>
  <c r="AP957" i="32"/>
  <c r="AQ957" i="32"/>
  <c r="Q957" i="32"/>
  <c r="AR957" i="32"/>
  <c r="AS957" i="32"/>
  <c r="AT957" i="32"/>
  <c r="AU957" i="32"/>
  <c r="AV957" i="32"/>
  <c r="AW957" i="32"/>
  <c r="AX957" i="32"/>
  <c r="AY957" i="32"/>
  <c r="AZ957" i="32"/>
  <c r="BA957" i="32"/>
  <c r="AK958" i="32"/>
  <c r="AL958" i="32"/>
  <c r="AM958" i="32"/>
  <c r="AN958" i="32"/>
  <c r="AO958" i="32"/>
  <c r="AP958" i="32"/>
  <c r="AQ958" i="32"/>
  <c r="Q958" i="32"/>
  <c r="AR958" i="32"/>
  <c r="AS958" i="32"/>
  <c r="AT958" i="32"/>
  <c r="AU958" i="32"/>
  <c r="AV958" i="32"/>
  <c r="AW958" i="32"/>
  <c r="AX958" i="32"/>
  <c r="AY958" i="32"/>
  <c r="AZ958" i="32"/>
  <c r="BA958" i="32"/>
  <c r="AK959" i="32"/>
  <c r="AL959" i="32"/>
  <c r="AM959" i="32"/>
  <c r="AN959" i="32"/>
  <c r="AO959" i="32"/>
  <c r="AP959" i="32"/>
  <c r="AQ959" i="32"/>
  <c r="Q959" i="32"/>
  <c r="AR959" i="32"/>
  <c r="AS959" i="32"/>
  <c r="AT959" i="32"/>
  <c r="AU959" i="32"/>
  <c r="AV959" i="32"/>
  <c r="AW959" i="32"/>
  <c r="AX959" i="32"/>
  <c r="AY959" i="32"/>
  <c r="AZ959" i="32"/>
  <c r="BA959" i="32"/>
  <c r="AK960" i="32"/>
  <c r="AL960" i="32"/>
  <c r="AM960" i="32"/>
  <c r="AN960" i="32"/>
  <c r="AO960" i="32"/>
  <c r="AP960" i="32"/>
  <c r="AQ960" i="32"/>
  <c r="Q960" i="32"/>
  <c r="AR960" i="32"/>
  <c r="AS960" i="32"/>
  <c r="AT960" i="32"/>
  <c r="AU960" i="32"/>
  <c r="AV960" i="32"/>
  <c r="AW960" i="32"/>
  <c r="AX960" i="32"/>
  <c r="AY960" i="32"/>
  <c r="AZ960" i="32"/>
  <c r="BA960" i="32"/>
  <c r="AK961" i="32"/>
  <c r="AL961" i="32"/>
  <c r="AM961" i="32"/>
  <c r="AN961" i="32"/>
  <c r="AO961" i="32"/>
  <c r="AP961" i="32"/>
  <c r="AQ961" i="32"/>
  <c r="Q961" i="32"/>
  <c r="AR961" i="32"/>
  <c r="AS961" i="32"/>
  <c r="AT961" i="32"/>
  <c r="AU961" i="32"/>
  <c r="AV961" i="32"/>
  <c r="AW961" i="32"/>
  <c r="AX961" i="32"/>
  <c r="AY961" i="32"/>
  <c r="AZ961" i="32"/>
  <c r="BA961" i="32"/>
  <c r="AK962" i="32"/>
  <c r="AL962" i="32"/>
  <c r="AM962" i="32"/>
  <c r="AN962" i="32"/>
  <c r="AO962" i="32"/>
  <c r="AP962" i="32"/>
  <c r="AQ962" i="32"/>
  <c r="Q962" i="32"/>
  <c r="AR962" i="32"/>
  <c r="AS962" i="32"/>
  <c r="AT962" i="32"/>
  <c r="AU962" i="32"/>
  <c r="AV962" i="32"/>
  <c r="AW962" i="32"/>
  <c r="AX962" i="32"/>
  <c r="AY962" i="32"/>
  <c r="AZ962" i="32"/>
  <c r="BA962" i="32"/>
  <c r="AK963" i="32"/>
  <c r="AL963" i="32"/>
  <c r="AM963" i="32"/>
  <c r="AN963" i="32"/>
  <c r="AO963" i="32"/>
  <c r="AP963" i="32"/>
  <c r="AQ963" i="32"/>
  <c r="Q963" i="32"/>
  <c r="AR963" i="32"/>
  <c r="AS963" i="32"/>
  <c r="AT963" i="32"/>
  <c r="AU963" i="32"/>
  <c r="AV963" i="32"/>
  <c r="AW963" i="32"/>
  <c r="AX963" i="32"/>
  <c r="AY963" i="32"/>
  <c r="AZ963" i="32"/>
  <c r="BA963" i="32"/>
  <c r="AK964" i="32"/>
  <c r="AL964" i="32"/>
  <c r="AM964" i="32"/>
  <c r="AN964" i="32"/>
  <c r="AO964" i="32"/>
  <c r="AP964" i="32"/>
  <c r="AQ964" i="32"/>
  <c r="Q964" i="32"/>
  <c r="AR964" i="32"/>
  <c r="AS964" i="32"/>
  <c r="AT964" i="32"/>
  <c r="AU964" i="32"/>
  <c r="AV964" i="32"/>
  <c r="AW964" i="32"/>
  <c r="AX964" i="32"/>
  <c r="AY964" i="32"/>
  <c r="AZ964" i="32"/>
  <c r="BA964" i="32"/>
  <c r="AK965" i="32"/>
  <c r="AL965" i="32"/>
  <c r="AM965" i="32"/>
  <c r="AN965" i="32"/>
  <c r="AO965" i="32"/>
  <c r="AP965" i="32"/>
  <c r="AQ965" i="32"/>
  <c r="Q965" i="32"/>
  <c r="AR965" i="32"/>
  <c r="AS965" i="32"/>
  <c r="AT965" i="32"/>
  <c r="AU965" i="32"/>
  <c r="AV965" i="32"/>
  <c r="AW965" i="32"/>
  <c r="AX965" i="32"/>
  <c r="AY965" i="32"/>
  <c r="AZ965" i="32"/>
  <c r="BA965" i="32"/>
  <c r="AK966" i="32"/>
  <c r="AL966" i="32"/>
  <c r="AM966" i="32"/>
  <c r="AN966" i="32"/>
  <c r="AO966" i="32"/>
  <c r="AP966" i="32"/>
  <c r="AQ966" i="32"/>
  <c r="Q966" i="32"/>
  <c r="AR966" i="32"/>
  <c r="AS966" i="32"/>
  <c r="AT966" i="32"/>
  <c r="AU966" i="32"/>
  <c r="AV966" i="32"/>
  <c r="AW966" i="32"/>
  <c r="AX966" i="32"/>
  <c r="AY966" i="32"/>
  <c r="AZ966" i="32"/>
  <c r="BA966" i="32"/>
  <c r="AK967" i="32"/>
  <c r="AL967" i="32"/>
  <c r="AM967" i="32"/>
  <c r="AN967" i="32"/>
  <c r="AO967" i="32"/>
  <c r="AP967" i="32"/>
  <c r="AQ967" i="32"/>
  <c r="Q967" i="32"/>
  <c r="AR967" i="32"/>
  <c r="AS967" i="32"/>
  <c r="AT967" i="32"/>
  <c r="AU967" i="32"/>
  <c r="AV967" i="32"/>
  <c r="AW967" i="32"/>
  <c r="AX967" i="32"/>
  <c r="AY967" i="32"/>
  <c r="AZ967" i="32"/>
  <c r="BA967" i="32"/>
  <c r="AK968" i="32"/>
  <c r="AL968" i="32"/>
  <c r="AM968" i="32"/>
  <c r="AN968" i="32"/>
  <c r="AO968" i="32"/>
  <c r="AP968" i="32"/>
  <c r="AQ968" i="32"/>
  <c r="Q968" i="32"/>
  <c r="AR968" i="32"/>
  <c r="AS968" i="32"/>
  <c r="AT968" i="32"/>
  <c r="AU968" i="32"/>
  <c r="AV968" i="32"/>
  <c r="AW968" i="32"/>
  <c r="AX968" i="32"/>
  <c r="AY968" i="32"/>
  <c r="AZ968" i="32"/>
  <c r="BA968" i="32"/>
  <c r="AK969" i="32"/>
  <c r="AL969" i="32"/>
  <c r="AM969" i="32"/>
  <c r="AN969" i="32"/>
  <c r="AO969" i="32"/>
  <c r="AP969" i="32"/>
  <c r="AQ969" i="32"/>
  <c r="Q969" i="32"/>
  <c r="AR969" i="32"/>
  <c r="AS969" i="32"/>
  <c r="AT969" i="32"/>
  <c r="AU969" i="32"/>
  <c r="AV969" i="32"/>
  <c r="AW969" i="32"/>
  <c r="AX969" i="32"/>
  <c r="AY969" i="32"/>
  <c r="AZ969" i="32"/>
  <c r="BA969" i="32"/>
  <c r="AK970" i="32"/>
  <c r="AL970" i="32"/>
  <c r="AM970" i="32"/>
  <c r="AN970" i="32"/>
  <c r="AO970" i="32"/>
  <c r="AP970" i="32"/>
  <c r="AQ970" i="32"/>
  <c r="Q970" i="32"/>
  <c r="AR970" i="32"/>
  <c r="AS970" i="32"/>
  <c r="AT970" i="32"/>
  <c r="AU970" i="32"/>
  <c r="AV970" i="32"/>
  <c r="AW970" i="32"/>
  <c r="AX970" i="32"/>
  <c r="AY970" i="32"/>
  <c r="AZ970" i="32"/>
  <c r="BA970" i="32"/>
  <c r="AK971" i="32"/>
  <c r="AL971" i="32"/>
  <c r="AM971" i="32"/>
  <c r="AN971" i="32"/>
  <c r="AO971" i="32"/>
  <c r="AP971" i="32"/>
  <c r="AQ971" i="32"/>
  <c r="Q971" i="32"/>
  <c r="AR971" i="32"/>
  <c r="AS971" i="32"/>
  <c r="AT971" i="32"/>
  <c r="AU971" i="32"/>
  <c r="AV971" i="32"/>
  <c r="AW971" i="32"/>
  <c r="AX971" i="32"/>
  <c r="AY971" i="32"/>
  <c r="AZ971" i="32"/>
  <c r="BA971" i="32"/>
  <c r="AK972" i="32"/>
  <c r="AL972" i="32"/>
  <c r="AM972" i="32"/>
  <c r="AN972" i="32"/>
  <c r="AO972" i="32"/>
  <c r="AP972" i="32"/>
  <c r="AQ972" i="32"/>
  <c r="Q972" i="32"/>
  <c r="AR972" i="32"/>
  <c r="AS972" i="32"/>
  <c r="AT972" i="32"/>
  <c r="AU972" i="32"/>
  <c r="AV972" i="32"/>
  <c r="AW972" i="32"/>
  <c r="AX972" i="32"/>
  <c r="AY972" i="32"/>
  <c r="AZ972" i="32"/>
  <c r="BA972" i="32"/>
  <c r="AK973" i="32"/>
  <c r="AL973" i="32"/>
  <c r="AM973" i="32"/>
  <c r="AN973" i="32"/>
  <c r="AO973" i="32"/>
  <c r="AP973" i="32"/>
  <c r="AQ973" i="32"/>
  <c r="Q973" i="32"/>
  <c r="AR973" i="32"/>
  <c r="AS973" i="32"/>
  <c r="AT973" i="32"/>
  <c r="AU973" i="32"/>
  <c r="AV973" i="32"/>
  <c r="AW973" i="32"/>
  <c r="AX973" i="32"/>
  <c r="AY973" i="32"/>
  <c r="AZ973" i="32"/>
  <c r="BA973" i="32"/>
  <c r="AK974" i="32"/>
  <c r="AL974" i="32"/>
  <c r="AM974" i="32"/>
  <c r="AN974" i="32"/>
  <c r="AO974" i="32"/>
  <c r="AP974" i="32"/>
  <c r="AQ974" i="32"/>
  <c r="Q974" i="32"/>
  <c r="AR974" i="32"/>
  <c r="AS974" i="32"/>
  <c r="AT974" i="32"/>
  <c r="AU974" i="32"/>
  <c r="AV974" i="32"/>
  <c r="AW974" i="32"/>
  <c r="AX974" i="32"/>
  <c r="AY974" i="32"/>
  <c r="AZ974" i="32"/>
  <c r="BA974" i="32"/>
  <c r="AK975" i="32"/>
  <c r="AL975" i="32"/>
  <c r="AM975" i="32"/>
  <c r="AN975" i="32"/>
  <c r="AO975" i="32"/>
  <c r="AP975" i="32"/>
  <c r="AQ975" i="32"/>
  <c r="Q975" i="32"/>
  <c r="AR975" i="32"/>
  <c r="AS975" i="32"/>
  <c r="AT975" i="32"/>
  <c r="AU975" i="32"/>
  <c r="AV975" i="32"/>
  <c r="AW975" i="32"/>
  <c r="AX975" i="32"/>
  <c r="AY975" i="32"/>
  <c r="AZ975" i="32"/>
  <c r="BA975" i="32"/>
  <c r="AK976" i="32"/>
  <c r="AL976" i="32"/>
  <c r="AM976" i="32"/>
  <c r="AN976" i="32"/>
  <c r="AO976" i="32"/>
  <c r="AP976" i="32"/>
  <c r="AQ976" i="32"/>
  <c r="Q976" i="32"/>
  <c r="AR976" i="32"/>
  <c r="AS976" i="32"/>
  <c r="AT976" i="32"/>
  <c r="AU976" i="32"/>
  <c r="AV976" i="32"/>
  <c r="AW976" i="32"/>
  <c r="AX976" i="32"/>
  <c r="AY976" i="32"/>
  <c r="AZ976" i="32"/>
  <c r="BA976" i="32"/>
  <c r="AK977" i="32"/>
  <c r="AL977" i="32"/>
  <c r="AM977" i="32"/>
  <c r="AN977" i="32"/>
  <c r="AO977" i="32"/>
  <c r="AP977" i="32"/>
  <c r="AQ977" i="32"/>
  <c r="Q977" i="32"/>
  <c r="AR977" i="32"/>
  <c r="AS977" i="32"/>
  <c r="AT977" i="32"/>
  <c r="AU977" i="32"/>
  <c r="AV977" i="32"/>
  <c r="AW977" i="32"/>
  <c r="AX977" i="32"/>
  <c r="AY977" i="32"/>
  <c r="AZ977" i="32"/>
  <c r="BA977" i="32"/>
  <c r="AK978" i="32"/>
  <c r="AL978" i="32"/>
  <c r="AM978" i="32"/>
  <c r="AN978" i="32"/>
  <c r="AO978" i="32"/>
  <c r="AP978" i="32"/>
  <c r="AQ978" i="32"/>
  <c r="Q978" i="32"/>
  <c r="AR978" i="32"/>
  <c r="AS978" i="32"/>
  <c r="AT978" i="32"/>
  <c r="AU978" i="32"/>
  <c r="AV978" i="32"/>
  <c r="AW978" i="32"/>
  <c r="AX978" i="32"/>
  <c r="AY978" i="32"/>
  <c r="AZ978" i="32"/>
  <c r="BA978" i="32"/>
  <c r="AK979" i="32"/>
  <c r="AL979" i="32"/>
  <c r="AM979" i="32"/>
  <c r="AN979" i="32"/>
  <c r="AO979" i="32"/>
  <c r="AP979" i="32"/>
  <c r="AQ979" i="32"/>
  <c r="Q979" i="32"/>
  <c r="AR979" i="32"/>
  <c r="AS979" i="32"/>
  <c r="AT979" i="32"/>
  <c r="AU979" i="32"/>
  <c r="AV979" i="32"/>
  <c r="AW979" i="32"/>
  <c r="AX979" i="32"/>
  <c r="AY979" i="32"/>
  <c r="AZ979" i="32"/>
  <c r="BA979" i="32"/>
  <c r="AK980" i="32"/>
  <c r="AL980" i="32"/>
  <c r="AM980" i="32"/>
  <c r="AN980" i="32"/>
  <c r="AO980" i="32"/>
  <c r="AP980" i="32"/>
  <c r="AQ980" i="32"/>
  <c r="Q980" i="32"/>
  <c r="AR980" i="32"/>
  <c r="AS980" i="32"/>
  <c r="AT980" i="32"/>
  <c r="AU980" i="32"/>
  <c r="AV980" i="32"/>
  <c r="AW980" i="32"/>
  <c r="AX980" i="32"/>
  <c r="AY980" i="32"/>
  <c r="AZ980" i="32"/>
  <c r="BA980" i="32"/>
  <c r="AK981" i="32"/>
  <c r="AL981" i="32"/>
  <c r="AM981" i="32"/>
  <c r="AN981" i="32"/>
  <c r="AO981" i="32"/>
  <c r="AP981" i="32"/>
  <c r="AQ981" i="32"/>
  <c r="Q981" i="32"/>
  <c r="AR981" i="32"/>
  <c r="AS981" i="32"/>
  <c r="AT981" i="32"/>
  <c r="AU981" i="32"/>
  <c r="AV981" i="32"/>
  <c r="AW981" i="32"/>
  <c r="AX981" i="32"/>
  <c r="AY981" i="32"/>
  <c r="AZ981" i="32"/>
  <c r="BA981" i="32"/>
  <c r="AK982" i="32"/>
  <c r="AL982" i="32"/>
  <c r="AM982" i="32"/>
  <c r="AN982" i="32"/>
  <c r="AO982" i="32"/>
  <c r="AP982" i="32"/>
  <c r="AQ982" i="32"/>
  <c r="Q982" i="32"/>
  <c r="AR982" i="32"/>
  <c r="AS982" i="32"/>
  <c r="AT982" i="32"/>
  <c r="AU982" i="32"/>
  <c r="AV982" i="32"/>
  <c r="AW982" i="32"/>
  <c r="AX982" i="32"/>
  <c r="AY982" i="32"/>
  <c r="AZ982" i="32"/>
  <c r="BA982" i="32"/>
  <c r="AK983" i="32"/>
  <c r="AL983" i="32"/>
  <c r="AM983" i="32"/>
  <c r="AN983" i="32"/>
  <c r="AO983" i="32"/>
  <c r="AP983" i="32"/>
  <c r="AQ983" i="32"/>
  <c r="Q983" i="32"/>
  <c r="AR983" i="32"/>
  <c r="AS983" i="32"/>
  <c r="AT983" i="32"/>
  <c r="AU983" i="32"/>
  <c r="AV983" i="32"/>
  <c r="AW983" i="32"/>
  <c r="AX983" i="32"/>
  <c r="AY983" i="32"/>
  <c r="AZ983" i="32"/>
  <c r="BA983" i="32"/>
  <c r="AK984" i="32"/>
  <c r="AL984" i="32"/>
  <c r="AM984" i="32"/>
  <c r="AN984" i="32"/>
  <c r="AO984" i="32"/>
  <c r="AP984" i="32"/>
  <c r="AQ984" i="32"/>
  <c r="Q984" i="32"/>
  <c r="AR984" i="32"/>
  <c r="AS984" i="32"/>
  <c r="AT984" i="32"/>
  <c r="AU984" i="32"/>
  <c r="AV984" i="32"/>
  <c r="AW984" i="32"/>
  <c r="AX984" i="32"/>
  <c r="AY984" i="32"/>
  <c r="AZ984" i="32"/>
  <c r="BA984" i="32"/>
  <c r="AK985" i="32"/>
  <c r="AL985" i="32"/>
  <c r="AM985" i="32"/>
  <c r="AN985" i="32"/>
  <c r="AO985" i="32"/>
  <c r="AP985" i="32"/>
  <c r="AQ985" i="32"/>
  <c r="Q985" i="32"/>
  <c r="AR985" i="32"/>
  <c r="AS985" i="32"/>
  <c r="AT985" i="32"/>
  <c r="AU985" i="32"/>
  <c r="AV985" i="32"/>
  <c r="AW985" i="32"/>
  <c r="AX985" i="32"/>
  <c r="AY985" i="32"/>
  <c r="AZ985" i="32"/>
  <c r="BA985" i="32"/>
  <c r="AK986" i="32"/>
  <c r="AL986" i="32"/>
  <c r="AM986" i="32"/>
  <c r="AN986" i="32"/>
  <c r="AO986" i="32"/>
  <c r="AP986" i="32"/>
  <c r="AQ986" i="32"/>
  <c r="Q986" i="32"/>
  <c r="AR986" i="32"/>
  <c r="AS986" i="32"/>
  <c r="AT986" i="32"/>
  <c r="AU986" i="32"/>
  <c r="AV986" i="32"/>
  <c r="AW986" i="32"/>
  <c r="AX986" i="32"/>
  <c r="AY986" i="32"/>
  <c r="AZ986" i="32"/>
  <c r="BA986" i="32"/>
  <c r="AK987" i="32"/>
  <c r="AL987" i="32"/>
  <c r="AM987" i="32"/>
  <c r="AN987" i="32"/>
  <c r="AO987" i="32"/>
  <c r="AP987" i="32"/>
  <c r="AQ987" i="32"/>
  <c r="Q987" i="32"/>
  <c r="AR987" i="32"/>
  <c r="AS987" i="32"/>
  <c r="AT987" i="32"/>
  <c r="AU987" i="32"/>
  <c r="AV987" i="32"/>
  <c r="AW987" i="32"/>
  <c r="AX987" i="32"/>
  <c r="AY987" i="32"/>
  <c r="AZ987" i="32"/>
  <c r="BA987" i="32"/>
  <c r="AK988" i="32"/>
  <c r="AL988" i="32"/>
  <c r="AM988" i="32"/>
  <c r="AN988" i="32"/>
  <c r="AO988" i="32"/>
  <c r="AP988" i="32"/>
  <c r="AQ988" i="32"/>
  <c r="Q988" i="32"/>
  <c r="AR988" i="32"/>
  <c r="AS988" i="32"/>
  <c r="AT988" i="32"/>
  <c r="AU988" i="32"/>
  <c r="AV988" i="32"/>
  <c r="AW988" i="32"/>
  <c r="AX988" i="32"/>
  <c r="AY988" i="32"/>
  <c r="AZ988" i="32"/>
  <c r="BA988" i="32"/>
  <c r="AK989" i="32"/>
  <c r="AL989" i="32"/>
  <c r="AM989" i="32"/>
  <c r="AN989" i="32"/>
  <c r="AO989" i="32"/>
  <c r="AP989" i="32"/>
  <c r="AQ989" i="32"/>
  <c r="Q989" i="32"/>
  <c r="AR989" i="32"/>
  <c r="AS989" i="32"/>
  <c r="AT989" i="32"/>
  <c r="AU989" i="32"/>
  <c r="AV989" i="32"/>
  <c r="AW989" i="32"/>
  <c r="AX989" i="32"/>
  <c r="AY989" i="32"/>
  <c r="AZ989" i="32"/>
  <c r="BA989" i="32"/>
  <c r="AK990" i="32"/>
  <c r="AL990" i="32"/>
  <c r="AM990" i="32"/>
  <c r="AN990" i="32"/>
  <c r="AO990" i="32"/>
  <c r="AP990" i="32"/>
  <c r="AQ990" i="32"/>
  <c r="Q990" i="32"/>
  <c r="AR990" i="32"/>
  <c r="AS990" i="32"/>
  <c r="AT990" i="32"/>
  <c r="AU990" i="32"/>
  <c r="AV990" i="32"/>
  <c r="AW990" i="32"/>
  <c r="AX990" i="32"/>
  <c r="AY990" i="32"/>
  <c r="AZ990" i="32"/>
  <c r="BA990" i="32"/>
  <c r="AK991" i="32"/>
  <c r="AL991" i="32"/>
  <c r="AM991" i="32"/>
  <c r="AN991" i="32"/>
  <c r="AO991" i="32"/>
  <c r="AP991" i="32"/>
  <c r="AQ991" i="32"/>
  <c r="Q991" i="32"/>
  <c r="AR991" i="32"/>
  <c r="AS991" i="32"/>
  <c r="AT991" i="32"/>
  <c r="AU991" i="32"/>
  <c r="AV991" i="32"/>
  <c r="AW991" i="32"/>
  <c r="AX991" i="32"/>
  <c r="AY991" i="32"/>
  <c r="AZ991" i="32"/>
  <c r="BA991" i="32"/>
  <c r="AK992" i="32"/>
  <c r="AL992" i="32"/>
  <c r="AM992" i="32"/>
  <c r="AN992" i="32"/>
  <c r="AO992" i="32"/>
  <c r="AP992" i="32"/>
  <c r="AQ992" i="32"/>
  <c r="Q992" i="32"/>
  <c r="AR992" i="32"/>
  <c r="AS992" i="32"/>
  <c r="AT992" i="32"/>
  <c r="AU992" i="32"/>
  <c r="AV992" i="32"/>
  <c r="AW992" i="32"/>
  <c r="AX992" i="32"/>
  <c r="AY992" i="32"/>
  <c r="AZ992" i="32"/>
  <c r="BA992" i="32"/>
  <c r="AK993" i="32"/>
  <c r="AL993" i="32"/>
  <c r="AM993" i="32"/>
  <c r="AN993" i="32"/>
  <c r="AO993" i="32"/>
  <c r="AP993" i="32"/>
  <c r="AQ993" i="32"/>
  <c r="Q993" i="32"/>
  <c r="AR993" i="32"/>
  <c r="AS993" i="32"/>
  <c r="AT993" i="32"/>
  <c r="AU993" i="32"/>
  <c r="AV993" i="32"/>
  <c r="AW993" i="32"/>
  <c r="AX993" i="32"/>
  <c r="AY993" i="32"/>
  <c r="AZ993" i="32"/>
  <c r="BA993" i="32"/>
  <c r="AK994" i="32"/>
  <c r="AL994" i="32"/>
  <c r="AM994" i="32"/>
  <c r="AN994" i="32"/>
  <c r="AO994" i="32"/>
  <c r="AP994" i="32"/>
  <c r="AQ994" i="32"/>
  <c r="Q994" i="32"/>
  <c r="AR994" i="32"/>
  <c r="AS994" i="32"/>
  <c r="AT994" i="32"/>
  <c r="AU994" i="32"/>
  <c r="AV994" i="32"/>
  <c r="AW994" i="32"/>
  <c r="AX994" i="32"/>
  <c r="AY994" i="32"/>
  <c r="AZ994" i="32"/>
  <c r="BA994" i="32"/>
  <c r="AK995" i="32"/>
  <c r="AL995" i="32"/>
  <c r="AM995" i="32"/>
  <c r="AN995" i="32"/>
  <c r="AO995" i="32"/>
  <c r="AP995" i="32"/>
  <c r="AQ995" i="32"/>
  <c r="Q995" i="32"/>
  <c r="AR995" i="32"/>
  <c r="AS995" i="32"/>
  <c r="AT995" i="32"/>
  <c r="AU995" i="32"/>
  <c r="AV995" i="32"/>
  <c r="AW995" i="32"/>
  <c r="AX995" i="32"/>
  <c r="AY995" i="32"/>
  <c r="AZ995" i="32"/>
  <c r="BA995" i="32"/>
  <c r="AK996" i="32"/>
  <c r="AL996" i="32"/>
  <c r="AM996" i="32"/>
  <c r="AN996" i="32"/>
  <c r="AO996" i="32"/>
  <c r="AP996" i="32"/>
  <c r="AQ996" i="32"/>
  <c r="Q996" i="32"/>
  <c r="AR996" i="32"/>
  <c r="AS996" i="32"/>
  <c r="AT996" i="32"/>
  <c r="AU996" i="32"/>
  <c r="AV996" i="32"/>
  <c r="AW996" i="32"/>
  <c r="AX996" i="32"/>
  <c r="AY996" i="32"/>
  <c r="AZ996" i="32"/>
  <c r="BA996" i="32"/>
  <c r="AK997" i="32"/>
  <c r="AL997" i="32"/>
  <c r="AM997" i="32"/>
  <c r="AN997" i="32"/>
  <c r="AO997" i="32"/>
  <c r="AP997" i="32"/>
  <c r="AQ997" i="32"/>
  <c r="Q997" i="32"/>
  <c r="AR997" i="32"/>
  <c r="AS997" i="32"/>
  <c r="AT997" i="32"/>
  <c r="AU997" i="32"/>
  <c r="AV997" i="32"/>
  <c r="AW997" i="32"/>
  <c r="AX997" i="32"/>
  <c r="AY997" i="32"/>
  <c r="AZ997" i="32"/>
  <c r="BA997" i="32"/>
  <c r="AK998" i="32"/>
  <c r="AL998" i="32"/>
  <c r="AM998" i="32"/>
  <c r="AN998" i="32"/>
  <c r="AO998" i="32"/>
  <c r="AP998" i="32"/>
  <c r="AQ998" i="32"/>
  <c r="Q998" i="32"/>
  <c r="AR998" i="32"/>
  <c r="AS998" i="32"/>
  <c r="AT998" i="32"/>
  <c r="AU998" i="32"/>
  <c r="AV998" i="32"/>
  <c r="AW998" i="32"/>
  <c r="AX998" i="32"/>
  <c r="AY998" i="32"/>
  <c r="AZ998" i="32"/>
  <c r="BA998" i="32"/>
  <c r="AK999" i="32"/>
  <c r="AL999" i="32"/>
  <c r="AM999" i="32"/>
  <c r="AN999" i="32"/>
  <c r="AO999" i="32"/>
  <c r="AP999" i="32"/>
  <c r="AQ999" i="32"/>
  <c r="Q999" i="32"/>
  <c r="AR999" i="32"/>
  <c r="AS999" i="32"/>
  <c r="AT999" i="32"/>
  <c r="AU999" i="32"/>
  <c r="AV999" i="32"/>
  <c r="AW999" i="32"/>
  <c r="AX999" i="32"/>
  <c r="AY999" i="32"/>
  <c r="AZ999" i="32"/>
  <c r="BA999" i="32"/>
  <c r="AK1000" i="32"/>
  <c r="AL1000" i="32"/>
  <c r="AM1000" i="32"/>
  <c r="AN1000" i="32"/>
  <c r="AO1000" i="32"/>
  <c r="AP1000" i="32"/>
  <c r="AQ1000" i="32"/>
  <c r="Q1000" i="32"/>
  <c r="AR1000" i="32"/>
  <c r="AS1000" i="32"/>
  <c r="AT1000" i="32"/>
  <c r="AU1000" i="32"/>
  <c r="AV1000" i="32"/>
  <c r="AW1000" i="32"/>
  <c r="AX1000" i="32"/>
  <c r="AY1000" i="32"/>
  <c r="AZ1000" i="32"/>
  <c r="BA1000" i="32"/>
  <c r="AK1001" i="32"/>
  <c r="AL1001" i="32"/>
  <c r="AM1001" i="32"/>
  <c r="AN1001" i="32"/>
  <c r="AO1001" i="32"/>
  <c r="AP1001" i="32"/>
  <c r="AQ1001" i="32"/>
  <c r="Q1001" i="32"/>
  <c r="AR1001" i="32"/>
  <c r="AS1001" i="32"/>
  <c r="AT1001" i="32"/>
  <c r="AU1001" i="32"/>
  <c r="AV1001" i="32"/>
  <c r="AW1001" i="32"/>
  <c r="AX1001" i="32"/>
  <c r="AY1001" i="32"/>
  <c r="AZ1001" i="32"/>
  <c r="BA1001" i="32"/>
  <c r="AK1002" i="32"/>
  <c r="AL1002" i="32"/>
  <c r="AM1002" i="32"/>
  <c r="AN1002" i="32"/>
  <c r="AO1002" i="32"/>
  <c r="AP1002" i="32"/>
  <c r="AQ1002" i="32"/>
  <c r="Q1002" i="32"/>
  <c r="AR1002" i="32"/>
  <c r="AS1002" i="32"/>
  <c r="AT1002" i="32"/>
  <c r="AU1002" i="32"/>
  <c r="AV1002" i="32"/>
  <c r="AW1002" i="32"/>
  <c r="AX1002" i="32"/>
  <c r="AY1002" i="32"/>
  <c r="AZ1002" i="32"/>
  <c r="BA1002" i="32"/>
  <c r="AK1003" i="32"/>
  <c r="AL1003" i="32"/>
  <c r="AM1003" i="32"/>
  <c r="AN1003" i="32"/>
  <c r="AO1003" i="32"/>
  <c r="AP1003" i="32"/>
  <c r="AQ1003" i="32"/>
  <c r="Q1003" i="32"/>
  <c r="AR1003" i="32"/>
  <c r="AS1003" i="32"/>
  <c r="AT1003" i="32"/>
  <c r="AU1003" i="32"/>
  <c r="AV1003" i="32"/>
  <c r="AW1003" i="32"/>
  <c r="AX1003" i="32"/>
  <c r="AY1003" i="32"/>
  <c r="AZ1003" i="32"/>
  <c r="BA1003" i="32"/>
  <c r="AK1004" i="32"/>
  <c r="AL1004" i="32"/>
  <c r="AM1004" i="32"/>
  <c r="AN1004" i="32"/>
  <c r="AO1004" i="32"/>
  <c r="AP1004" i="32"/>
  <c r="AQ1004" i="32"/>
  <c r="Q1004" i="32"/>
  <c r="AR1004" i="32"/>
  <c r="AS1004" i="32"/>
  <c r="AT1004" i="32"/>
  <c r="AU1004" i="32"/>
  <c r="AV1004" i="32"/>
  <c r="AW1004" i="32"/>
  <c r="AX1004" i="32"/>
  <c r="AY1004" i="32"/>
  <c r="AZ1004" i="32"/>
  <c r="BA1004" i="32"/>
  <c r="AK1005" i="32"/>
  <c r="AL1005" i="32"/>
  <c r="AM1005" i="32"/>
  <c r="AN1005" i="32"/>
  <c r="AO1005" i="32"/>
  <c r="AP1005" i="32"/>
  <c r="AQ1005" i="32"/>
  <c r="Q1005" i="32"/>
  <c r="AR1005" i="32"/>
  <c r="AS1005" i="32"/>
  <c r="AT1005" i="32"/>
  <c r="AU1005" i="32"/>
  <c r="AV1005" i="32"/>
  <c r="AW1005" i="32"/>
  <c r="AX1005" i="32"/>
  <c r="AY1005" i="32"/>
  <c r="AZ1005" i="32"/>
  <c r="BA1005" i="32"/>
  <c r="AK1006" i="32"/>
  <c r="AL1006" i="32"/>
  <c r="AM1006" i="32"/>
  <c r="AN1006" i="32"/>
  <c r="AO1006" i="32"/>
  <c r="AP1006" i="32"/>
  <c r="AQ1006" i="32"/>
  <c r="Q1006" i="32"/>
  <c r="AR1006" i="32"/>
  <c r="AS1006" i="32"/>
  <c r="AT1006" i="32"/>
  <c r="AU1006" i="32"/>
  <c r="AV1006" i="32"/>
  <c r="AW1006" i="32"/>
  <c r="AX1006" i="32"/>
  <c r="AY1006" i="32"/>
  <c r="AZ1006" i="32"/>
  <c r="BA1006" i="32"/>
  <c r="AK1007" i="32"/>
  <c r="AL1007" i="32"/>
  <c r="AM1007" i="32"/>
  <c r="AN1007" i="32"/>
  <c r="AO1007" i="32"/>
  <c r="AP1007" i="32"/>
  <c r="AQ1007" i="32"/>
  <c r="Q1007" i="32"/>
  <c r="AR1007" i="32"/>
  <c r="AS1007" i="32"/>
  <c r="AT1007" i="32"/>
  <c r="AU1007" i="32"/>
  <c r="AV1007" i="32"/>
  <c r="AW1007" i="32"/>
  <c r="AX1007" i="32"/>
  <c r="AY1007" i="32"/>
  <c r="AZ1007" i="32"/>
  <c r="BA1007" i="32"/>
  <c r="AK1008" i="32"/>
  <c r="AL1008" i="32"/>
  <c r="AM1008" i="32"/>
  <c r="AN1008" i="32"/>
  <c r="AO1008" i="32"/>
  <c r="AP1008" i="32"/>
  <c r="AQ1008" i="32"/>
  <c r="Q1008" i="32"/>
  <c r="AR1008" i="32"/>
  <c r="AS1008" i="32"/>
  <c r="AT1008" i="32"/>
  <c r="AU1008" i="32"/>
  <c r="AV1008" i="32"/>
  <c r="AW1008" i="32"/>
  <c r="AX1008" i="32"/>
  <c r="AY1008" i="32"/>
  <c r="AZ1008" i="32"/>
  <c r="BA1008" i="32"/>
  <c r="AK1009" i="32"/>
  <c r="AL1009" i="32"/>
  <c r="AM1009" i="32"/>
  <c r="AN1009" i="32"/>
  <c r="AO1009" i="32"/>
  <c r="AP1009" i="32"/>
  <c r="AQ1009" i="32"/>
  <c r="Q1009" i="32"/>
  <c r="AR1009" i="32"/>
  <c r="AS1009" i="32"/>
  <c r="AT1009" i="32"/>
  <c r="AU1009" i="32"/>
  <c r="AV1009" i="32"/>
  <c r="AW1009" i="32"/>
  <c r="AX1009" i="32"/>
  <c r="AY1009" i="32"/>
  <c r="AZ1009" i="32"/>
  <c r="BA1009" i="32"/>
  <c r="AK1010" i="32"/>
  <c r="AL1010" i="32"/>
  <c r="AM1010" i="32"/>
  <c r="AN1010" i="32"/>
  <c r="AO1010" i="32"/>
  <c r="AP1010" i="32"/>
  <c r="AQ1010" i="32"/>
  <c r="Q1010" i="32"/>
  <c r="AR1010" i="32"/>
  <c r="AS1010" i="32"/>
  <c r="AT1010" i="32"/>
  <c r="AU1010" i="32"/>
  <c r="AV1010" i="32"/>
  <c r="AW1010" i="32"/>
  <c r="AX1010" i="32"/>
  <c r="AY1010" i="32"/>
  <c r="AZ1010" i="32"/>
  <c r="BA1010" i="32"/>
  <c r="AK1011" i="32"/>
  <c r="AL1011" i="32"/>
  <c r="AM1011" i="32"/>
  <c r="AN1011" i="32"/>
  <c r="AO1011" i="32"/>
  <c r="AP1011" i="32"/>
  <c r="AQ1011" i="32"/>
  <c r="Q1011" i="32"/>
  <c r="AR1011" i="32"/>
  <c r="AS1011" i="32"/>
  <c r="AT1011" i="32"/>
  <c r="AU1011" i="32"/>
  <c r="AV1011" i="32"/>
  <c r="AW1011" i="32"/>
  <c r="AX1011" i="32"/>
  <c r="AY1011" i="32"/>
  <c r="AZ1011" i="32"/>
  <c r="BA1011" i="32"/>
  <c r="AK1012" i="32"/>
  <c r="AL1012" i="32"/>
  <c r="AM1012" i="32"/>
  <c r="AN1012" i="32"/>
  <c r="AO1012" i="32"/>
  <c r="AP1012" i="32"/>
  <c r="AQ1012" i="32"/>
  <c r="Q1012" i="32"/>
  <c r="AR1012" i="32"/>
  <c r="AS1012" i="32"/>
  <c r="AT1012" i="32"/>
  <c r="AU1012" i="32"/>
  <c r="AV1012" i="32"/>
  <c r="AW1012" i="32"/>
  <c r="AX1012" i="32"/>
  <c r="AY1012" i="32"/>
  <c r="AZ1012" i="32"/>
  <c r="BA1012" i="32"/>
  <c r="AK1013" i="32"/>
  <c r="AL1013" i="32"/>
  <c r="AM1013" i="32"/>
  <c r="AN1013" i="32"/>
  <c r="AO1013" i="32"/>
  <c r="AP1013" i="32"/>
  <c r="AQ1013" i="32"/>
  <c r="Q1013" i="32"/>
  <c r="AR1013" i="32"/>
  <c r="AS1013" i="32"/>
  <c r="AT1013" i="32"/>
  <c r="AU1013" i="32"/>
  <c r="AV1013" i="32"/>
  <c r="AW1013" i="32"/>
  <c r="AX1013" i="32"/>
  <c r="AY1013" i="32"/>
  <c r="AZ1013" i="32"/>
  <c r="BA1013" i="32"/>
  <c r="AK1014" i="32"/>
  <c r="AL1014" i="32"/>
  <c r="AM1014" i="32"/>
  <c r="AN1014" i="32"/>
  <c r="AO1014" i="32"/>
  <c r="AP1014" i="32"/>
  <c r="AQ1014" i="32"/>
  <c r="Q1014" i="32"/>
  <c r="AR1014" i="32"/>
  <c r="AS1014" i="32"/>
  <c r="AT1014" i="32"/>
  <c r="AU1014" i="32"/>
  <c r="AV1014" i="32"/>
  <c r="AW1014" i="32"/>
  <c r="AX1014" i="32"/>
  <c r="AY1014" i="32"/>
  <c r="AZ1014" i="32"/>
  <c r="BA1014" i="32"/>
  <c r="AK1015" i="32"/>
  <c r="AL1015" i="32"/>
  <c r="AM1015" i="32"/>
  <c r="AN1015" i="32"/>
  <c r="AO1015" i="32"/>
  <c r="AP1015" i="32"/>
  <c r="AQ1015" i="32"/>
  <c r="Q1015" i="32"/>
  <c r="AR1015" i="32"/>
  <c r="AS1015" i="32"/>
  <c r="AT1015" i="32"/>
  <c r="AU1015" i="32"/>
  <c r="AV1015" i="32"/>
  <c r="AW1015" i="32"/>
  <c r="AX1015" i="32"/>
  <c r="AY1015" i="32"/>
  <c r="AZ1015" i="32"/>
  <c r="BA1015" i="32"/>
  <c r="AK1016" i="32"/>
  <c r="AL1016" i="32"/>
  <c r="AM1016" i="32"/>
  <c r="AN1016" i="32"/>
  <c r="AO1016" i="32"/>
  <c r="AP1016" i="32"/>
  <c r="AQ1016" i="32"/>
  <c r="Q1016" i="32"/>
  <c r="AR1016" i="32"/>
  <c r="AS1016" i="32"/>
  <c r="AT1016" i="32"/>
  <c r="AU1016" i="32"/>
  <c r="AV1016" i="32"/>
  <c r="AW1016" i="32"/>
  <c r="AX1016" i="32"/>
  <c r="AY1016" i="32"/>
  <c r="AZ1016" i="32"/>
  <c r="BA1016" i="32"/>
  <c r="AK1017" i="32"/>
  <c r="AL1017" i="32"/>
  <c r="AM1017" i="32"/>
  <c r="AN1017" i="32"/>
  <c r="AO1017" i="32"/>
  <c r="AP1017" i="32"/>
  <c r="AQ1017" i="32"/>
  <c r="Q1017" i="32"/>
  <c r="AR1017" i="32"/>
  <c r="AS1017" i="32"/>
  <c r="AT1017" i="32"/>
  <c r="AU1017" i="32"/>
  <c r="AV1017" i="32"/>
  <c r="AW1017" i="32"/>
  <c r="AX1017" i="32"/>
  <c r="AY1017" i="32"/>
  <c r="AZ1017" i="32"/>
  <c r="BA1017" i="32"/>
  <c r="AK1018" i="32"/>
  <c r="AL1018" i="32"/>
  <c r="AM1018" i="32"/>
  <c r="AN1018" i="32"/>
  <c r="AO1018" i="32"/>
  <c r="AP1018" i="32"/>
  <c r="AQ1018" i="32"/>
  <c r="Q1018" i="32"/>
  <c r="AR1018" i="32"/>
  <c r="AS1018" i="32"/>
  <c r="AT1018" i="32"/>
  <c r="AU1018" i="32"/>
  <c r="AV1018" i="32"/>
  <c r="AW1018" i="32"/>
  <c r="AX1018" i="32"/>
  <c r="AY1018" i="32"/>
  <c r="AZ1018" i="32"/>
  <c r="BA1018" i="32"/>
  <c r="AK1019" i="32"/>
  <c r="AL1019" i="32"/>
  <c r="AM1019" i="32"/>
  <c r="AN1019" i="32"/>
  <c r="AO1019" i="32"/>
  <c r="AP1019" i="32"/>
  <c r="AQ1019" i="32"/>
  <c r="Q1019" i="32"/>
  <c r="AR1019" i="32"/>
  <c r="AS1019" i="32"/>
  <c r="AT1019" i="32"/>
  <c r="AU1019" i="32"/>
  <c r="AV1019" i="32"/>
  <c r="AW1019" i="32"/>
  <c r="AX1019" i="32"/>
  <c r="AY1019" i="32"/>
  <c r="AZ1019" i="32"/>
  <c r="BA1019" i="32"/>
  <c r="AK1020" i="32"/>
  <c r="AL1020" i="32"/>
  <c r="AM1020" i="32"/>
  <c r="AN1020" i="32"/>
  <c r="AO1020" i="32"/>
  <c r="AP1020" i="32"/>
  <c r="AQ1020" i="32"/>
  <c r="Q1020" i="32"/>
  <c r="AR1020" i="32"/>
  <c r="AS1020" i="32"/>
  <c r="AT1020" i="32"/>
  <c r="AU1020" i="32"/>
  <c r="AV1020" i="32"/>
  <c r="AW1020" i="32"/>
  <c r="AX1020" i="32"/>
  <c r="AY1020" i="32"/>
  <c r="AZ1020" i="32"/>
  <c r="BA1020" i="32"/>
  <c r="AK1021" i="32"/>
  <c r="AL1021" i="32"/>
  <c r="AM1021" i="32"/>
  <c r="AN1021" i="32"/>
  <c r="AO1021" i="32"/>
  <c r="AP1021" i="32"/>
  <c r="AQ1021" i="32"/>
  <c r="Q1021" i="32"/>
  <c r="AR1021" i="32"/>
  <c r="AS1021" i="32"/>
  <c r="AT1021" i="32"/>
  <c r="AU1021" i="32"/>
  <c r="AV1021" i="32"/>
  <c r="AW1021" i="32"/>
  <c r="AX1021" i="32"/>
  <c r="AY1021" i="32"/>
  <c r="AZ1021" i="32"/>
  <c r="BA1021" i="32"/>
  <c r="AK1022" i="32"/>
  <c r="AL1022" i="32"/>
  <c r="AM1022" i="32"/>
  <c r="AN1022" i="32"/>
  <c r="AO1022" i="32"/>
  <c r="AP1022" i="32"/>
  <c r="AQ1022" i="32"/>
  <c r="Q1022" i="32"/>
  <c r="AR1022" i="32"/>
  <c r="AS1022" i="32"/>
  <c r="AT1022" i="32"/>
  <c r="AU1022" i="32"/>
  <c r="AV1022" i="32"/>
  <c r="AW1022" i="32"/>
  <c r="AX1022" i="32"/>
  <c r="AY1022" i="32"/>
  <c r="AZ1022" i="32"/>
  <c r="BA1022" i="32"/>
  <c r="AK1023" i="32"/>
  <c r="AL1023" i="32"/>
  <c r="AM1023" i="32"/>
  <c r="AN1023" i="32"/>
  <c r="AO1023" i="32"/>
  <c r="AP1023" i="32"/>
  <c r="AQ1023" i="32"/>
  <c r="Q1023" i="32"/>
  <c r="AR1023" i="32"/>
  <c r="AS1023" i="32"/>
  <c r="AT1023" i="32"/>
  <c r="AU1023" i="32"/>
  <c r="AV1023" i="32"/>
  <c r="AW1023" i="32"/>
  <c r="AX1023" i="32"/>
  <c r="AY1023" i="32"/>
  <c r="AZ1023" i="32"/>
  <c r="BA1023" i="32"/>
  <c r="AK1024" i="32"/>
  <c r="AL1024" i="32"/>
  <c r="AM1024" i="32"/>
  <c r="AN1024" i="32"/>
  <c r="AO1024" i="32"/>
  <c r="AP1024" i="32"/>
  <c r="AQ1024" i="32"/>
  <c r="Q1024" i="32"/>
  <c r="AR1024" i="32"/>
  <c r="AS1024" i="32"/>
  <c r="AT1024" i="32"/>
  <c r="AU1024" i="32"/>
  <c r="AV1024" i="32"/>
  <c r="AW1024" i="32"/>
  <c r="AX1024" i="32"/>
  <c r="AY1024" i="32"/>
  <c r="AZ1024" i="32"/>
  <c r="BA1024" i="32"/>
  <c r="AK1025" i="32"/>
  <c r="AL1025" i="32"/>
  <c r="AM1025" i="32"/>
  <c r="AN1025" i="32"/>
  <c r="AO1025" i="32"/>
  <c r="AP1025" i="32"/>
  <c r="AQ1025" i="32"/>
  <c r="Q1025" i="32"/>
  <c r="AR1025" i="32"/>
  <c r="AS1025" i="32"/>
  <c r="AT1025" i="32"/>
  <c r="AU1025" i="32"/>
  <c r="AV1025" i="32"/>
  <c r="AW1025" i="32"/>
  <c r="AX1025" i="32"/>
  <c r="AY1025" i="32"/>
  <c r="AZ1025" i="32"/>
  <c r="BA1025" i="32"/>
  <c r="AK1026" i="32"/>
  <c r="AL1026" i="32"/>
  <c r="AM1026" i="32"/>
  <c r="AN1026" i="32"/>
  <c r="AO1026" i="32"/>
  <c r="AP1026" i="32"/>
  <c r="AQ1026" i="32"/>
  <c r="Q1026" i="32"/>
  <c r="AR1026" i="32"/>
  <c r="AS1026" i="32"/>
  <c r="AT1026" i="32"/>
  <c r="AU1026" i="32"/>
  <c r="AV1026" i="32"/>
  <c r="AW1026" i="32"/>
  <c r="AX1026" i="32"/>
  <c r="AY1026" i="32"/>
  <c r="AZ1026" i="32"/>
  <c r="BA1026" i="32"/>
  <c r="AK1027" i="32"/>
  <c r="AL1027" i="32"/>
  <c r="AM1027" i="32"/>
  <c r="AN1027" i="32"/>
  <c r="AO1027" i="32"/>
  <c r="AP1027" i="32"/>
  <c r="AQ1027" i="32"/>
  <c r="Q1027" i="32"/>
  <c r="AR1027" i="32"/>
  <c r="AS1027" i="32"/>
  <c r="AT1027" i="32"/>
  <c r="AU1027" i="32"/>
  <c r="AV1027" i="32"/>
  <c r="AW1027" i="32"/>
  <c r="AX1027" i="32"/>
  <c r="AY1027" i="32"/>
  <c r="AZ1027" i="32"/>
  <c r="BA1027" i="32"/>
  <c r="AK1028" i="32"/>
  <c r="AL1028" i="32"/>
  <c r="AM1028" i="32"/>
  <c r="AN1028" i="32"/>
  <c r="AO1028" i="32"/>
  <c r="AP1028" i="32"/>
  <c r="AQ1028" i="32"/>
  <c r="Q1028" i="32"/>
  <c r="AR1028" i="32"/>
  <c r="AS1028" i="32"/>
  <c r="AT1028" i="32"/>
  <c r="AU1028" i="32"/>
  <c r="AV1028" i="32"/>
  <c r="AW1028" i="32"/>
  <c r="AX1028" i="32"/>
  <c r="AY1028" i="32"/>
  <c r="AZ1028" i="32"/>
  <c r="BA1028" i="32"/>
  <c r="AK1029" i="32"/>
  <c r="AL1029" i="32"/>
  <c r="AM1029" i="32"/>
  <c r="AN1029" i="32"/>
  <c r="AO1029" i="32"/>
  <c r="AP1029" i="32"/>
  <c r="AQ1029" i="32"/>
  <c r="Q1029" i="32"/>
  <c r="AR1029" i="32"/>
  <c r="AS1029" i="32"/>
  <c r="AT1029" i="32"/>
  <c r="AU1029" i="32"/>
  <c r="AV1029" i="32"/>
  <c r="AW1029" i="32"/>
  <c r="AX1029" i="32"/>
  <c r="AY1029" i="32"/>
  <c r="AZ1029" i="32"/>
  <c r="BA1029" i="32"/>
  <c r="AK1030" i="32"/>
  <c r="AL1030" i="32"/>
  <c r="AM1030" i="32"/>
  <c r="AN1030" i="32"/>
  <c r="AO1030" i="32"/>
  <c r="AP1030" i="32"/>
  <c r="AQ1030" i="32"/>
  <c r="Q1030" i="32"/>
  <c r="AR1030" i="32"/>
  <c r="AS1030" i="32"/>
  <c r="AT1030" i="32"/>
  <c r="AU1030" i="32"/>
  <c r="AV1030" i="32"/>
  <c r="AW1030" i="32"/>
  <c r="AX1030" i="32"/>
  <c r="AY1030" i="32"/>
  <c r="AZ1030" i="32"/>
  <c r="BA1030" i="32"/>
  <c r="AK1031" i="32"/>
  <c r="AL1031" i="32"/>
  <c r="AM1031" i="32"/>
  <c r="AN1031" i="32"/>
  <c r="AO1031" i="32"/>
  <c r="AP1031" i="32"/>
  <c r="AQ1031" i="32"/>
  <c r="Q1031" i="32"/>
  <c r="AR1031" i="32"/>
  <c r="AS1031" i="32"/>
  <c r="AT1031" i="32"/>
  <c r="AU1031" i="32"/>
  <c r="AV1031" i="32"/>
  <c r="AW1031" i="32"/>
  <c r="AX1031" i="32"/>
  <c r="AY1031" i="32"/>
  <c r="AZ1031" i="32"/>
  <c r="BA1031" i="32"/>
  <c r="AK1032" i="32"/>
  <c r="AL1032" i="32"/>
  <c r="AM1032" i="32"/>
  <c r="AN1032" i="32"/>
  <c r="AO1032" i="32"/>
  <c r="AP1032" i="32"/>
  <c r="AQ1032" i="32"/>
  <c r="Q1032" i="32"/>
  <c r="AR1032" i="32"/>
  <c r="AS1032" i="32"/>
  <c r="AT1032" i="32"/>
  <c r="AU1032" i="32"/>
  <c r="AV1032" i="32"/>
  <c r="AW1032" i="32"/>
  <c r="AX1032" i="32"/>
  <c r="AY1032" i="32"/>
  <c r="AZ1032" i="32"/>
  <c r="BA1032" i="32"/>
  <c r="AK1033" i="32"/>
  <c r="AL1033" i="32"/>
  <c r="AM1033" i="32"/>
  <c r="AN1033" i="32"/>
  <c r="AO1033" i="32"/>
  <c r="AP1033" i="32"/>
  <c r="AQ1033" i="32"/>
  <c r="Q1033" i="32"/>
  <c r="AR1033" i="32"/>
  <c r="AS1033" i="32"/>
  <c r="AT1033" i="32"/>
  <c r="AU1033" i="32"/>
  <c r="AV1033" i="32"/>
  <c r="AW1033" i="32"/>
  <c r="AX1033" i="32"/>
  <c r="AY1033" i="32"/>
  <c r="AZ1033" i="32"/>
  <c r="BA1033" i="32"/>
  <c r="AK1034" i="32"/>
  <c r="AL1034" i="32"/>
  <c r="AM1034" i="32"/>
  <c r="AN1034" i="32"/>
  <c r="AO1034" i="32"/>
  <c r="AP1034" i="32"/>
  <c r="AQ1034" i="32"/>
  <c r="Q1034" i="32"/>
  <c r="AR1034" i="32"/>
  <c r="AS1034" i="32"/>
  <c r="AT1034" i="32"/>
  <c r="AU1034" i="32"/>
  <c r="AV1034" i="32"/>
  <c r="AW1034" i="32"/>
  <c r="AX1034" i="32"/>
  <c r="AY1034" i="32"/>
  <c r="AZ1034" i="32"/>
  <c r="BA1034" i="32"/>
  <c r="AK1035" i="32"/>
  <c r="AL1035" i="32"/>
  <c r="AM1035" i="32"/>
  <c r="AN1035" i="32"/>
  <c r="AO1035" i="32"/>
  <c r="AP1035" i="32"/>
  <c r="AQ1035" i="32"/>
  <c r="Q1035" i="32"/>
  <c r="AR1035" i="32"/>
  <c r="AS1035" i="32"/>
  <c r="AT1035" i="32"/>
  <c r="AU1035" i="32"/>
  <c r="AV1035" i="32"/>
  <c r="AW1035" i="32"/>
  <c r="AX1035" i="32"/>
  <c r="AY1035" i="32"/>
  <c r="AZ1035" i="32"/>
  <c r="BA1035" i="32"/>
  <c r="AK1036" i="32"/>
  <c r="AL1036" i="32"/>
  <c r="AM1036" i="32"/>
  <c r="AN1036" i="32"/>
  <c r="AO1036" i="32"/>
  <c r="AP1036" i="32"/>
  <c r="AQ1036" i="32"/>
  <c r="Q1036" i="32"/>
  <c r="AR1036" i="32"/>
  <c r="AS1036" i="32"/>
  <c r="AT1036" i="32"/>
  <c r="AU1036" i="32"/>
  <c r="AV1036" i="32"/>
  <c r="AW1036" i="32"/>
  <c r="AX1036" i="32"/>
  <c r="AY1036" i="32"/>
  <c r="AZ1036" i="32"/>
  <c r="BA1036" i="32"/>
  <c r="AK1037" i="32"/>
  <c r="AL1037" i="32"/>
  <c r="AM1037" i="32"/>
  <c r="AN1037" i="32"/>
  <c r="AO1037" i="32"/>
  <c r="AP1037" i="32"/>
  <c r="AQ1037" i="32"/>
  <c r="Q1037" i="32"/>
  <c r="AR1037" i="32"/>
  <c r="AS1037" i="32"/>
  <c r="AT1037" i="32"/>
  <c r="AU1037" i="32"/>
  <c r="AV1037" i="32"/>
  <c r="AW1037" i="32"/>
  <c r="AX1037" i="32"/>
  <c r="AY1037" i="32"/>
  <c r="AZ1037" i="32"/>
  <c r="BA1037" i="32"/>
  <c r="AK1038" i="32"/>
  <c r="AL1038" i="32"/>
  <c r="AM1038" i="32"/>
  <c r="AN1038" i="32"/>
  <c r="AO1038" i="32"/>
  <c r="AP1038" i="32"/>
  <c r="AQ1038" i="32"/>
  <c r="Q1038" i="32"/>
  <c r="AR1038" i="32"/>
  <c r="AS1038" i="32"/>
  <c r="AT1038" i="32"/>
  <c r="AU1038" i="32"/>
  <c r="AV1038" i="32"/>
  <c r="AW1038" i="32"/>
  <c r="AX1038" i="32"/>
  <c r="AY1038" i="32"/>
  <c r="AZ1038" i="32"/>
  <c r="BA1038" i="32"/>
  <c r="AK1039" i="32"/>
  <c r="AL1039" i="32"/>
  <c r="AM1039" i="32"/>
  <c r="AN1039" i="32"/>
  <c r="AO1039" i="32"/>
  <c r="AP1039" i="32"/>
  <c r="AQ1039" i="32"/>
  <c r="Q1039" i="32"/>
  <c r="AR1039" i="32"/>
  <c r="AS1039" i="32"/>
  <c r="AT1039" i="32"/>
  <c r="AU1039" i="32"/>
  <c r="AV1039" i="32"/>
  <c r="AW1039" i="32"/>
  <c r="AX1039" i="32"/>
  <c r="AY1039" i="32"/>
  <c r="AZ1039" i="32"/>
  <c r="BA1039" i="32"/>
  <c r="AK1040" i="32"/>
  <c r="AL1040" i="32"/>
  <c r="AM1040" i="32"/>
  <c r="AN1040" i="32"/>
  <c r="AO1040" i="32"/>
  <c r="AP1040" i="32"/>
  <c r="AQ1040" i="32"/>
  <c r="Q1040" i="32"/>
  <c r="AR1040" i="32"/>
  <c r="AS1040" i="32"/>
  <c r="AT1040" i="32"/>
  <c r="AU1040" i="32"/>
  <c r="AV1040" i="32"/>
  <c r="AW1040" i="32"/>
  <c r="AX1040" i="32"/>
  <c r="AY1040" i="32"/>
  <c r="AZ1040" i="32"/>
  <c r="BA1040" i="32"/>
  <c r="AK1041" i="32"/>
  <c r="AL1041" i="32"/>
  <c r="AM1041" i="32"/>
  <c r="AN1041" i="32"/>
  <c r="AO1041" i="32"/>
  <c r="AP1041" i="32"/>
  <c r="AQ1041" i="32"/>
  <c r="Q1041" i="32"/>
  <c r="AR1041" i="32"/>
  <c r="AS1041" i="32"/>
  <c r="AT1041" i="32"/>
  <c r="AU1041" i="32"/>
  <c r="AV1041" i="32"/>
  <c r="AW1041" i="32"/>
  <c r="AX1041" i="32"/>
  <c r="AY1041" i="32"/>
  <c r="AZ1041" i="32"/>
  <c r="BA1041" i="32"/>
  <c r="AK1042" i="32"/>
  <c r="AL1042" i="32"/>
  <c r="AM1042" i="32"/>
  <c r="AN1042" i="32"/>
  <c r="AO1042" i="32"/>
  <c r="AP1042" i="32"/>
  <c r="AQ1042" i="32"/>
  <c r="Q1042" i="32"/>
  <c r="AR1042" i="32"/>
  <c r="AS1042" i="32"/>
  <c r="AT1042" i="32"/>
  <c r="AU1042" i="32"/>
  <c r="AV1042" i="32"/>
  <c r="AW1042" i="32"/>
  <c r="AX1042" i="32"/>
  <c r="AY1042" i="32"/>
  <c r="AZ1042" i="32"/>
  <c r="BA1042" i="32"/>
  <c r="AK1043" i="32"/>
  <c r="AL1043" i="32"/>
  <c r="AM1043" i="32"/>
  <c r="AN1043" i="32"/>
  <c r="AO1043" i="32"/>
  <c r="AP1043" i="32"/>
  <c r="AQ1043" i="32"/>
  <c r="Q1043" i="32"/>
  <c r="AR1043" i="32"/>
  <c r="AS1043" i="32"/>
  <c r="AT1043" i="32"/>
  <c r="AU1043" i="32"/>
  <c r="AV1043" i="32"/>
  <c r="AW1043" i="32"/>
  <c r="AX1043" i="32"/>
  <c r="AY1043" i="32"/>
  <c r="AZ1043" i="32"/>
  <c r="BA1043" i="32"/>
  <c r="AK1044" i="32"/>
  <c r="AL1044" i="32"/>
  <c r="AM1044" i="32"/>
  <c r="AN1044" i="32"/>
  <c r="AO1044" i="32"/>
  <c r="AP1044" i="32"/>
  <c r="AQ1044" i="32"/>
  <c r="Q1044" i="32"/>
  <c r="AR1044" i="32"/>
  <c r="AS1044" i="32"/>
  <c r="AT1044" i="32"/>
  <c r="AU1044" i="32"/>
  <c r="AV1044" i="32"/>
  <c r="AW1044" i="32"/>
  <c r="AX1044" i="32"/>
  <c r="AY1044" i="32"/>
  <c r="AZ1044" i="32"/>
  <c r="BA1044" i="32"/>
  <c r="AK1045" i="32"/>
  <c r="AL1045" i="32"/>
  <c r="AM1045" i="32"/>
  <c r="AN1045" i="32"/>
  <c r="AO1045" i="32"/>
  <c r="AP1045" i="32"/>
  <c r="AQ1045" i="32"/>
  <c r="Q1045" i="32"/>
  <c r="AR1045" i="32"/>
  <c r="AS1045" i="32"/>
  <c r="AT1045" i="32"/>
  <c r="AU1045" i="32"/>
  <c r="AV1045" i="32"/>
  <c r="AW1045" i="32"/>
  <c r="AX1045" i="32"/>
  <c r="AY1045" i="32"/>
  <c r="AZ1045" i="32"/>
  <c r="BA1045" i="32"/>
  <c r="AK1046" i="32"/>
  <c r="AL1046" i="32"/>
  <c r="AM1046" i="32"/>
  <c r="AN1046" i="32"/>
  <c r="AO1046" i="32"/>
  <c r="AP1046" i="32"/>
  <c r="AQ1046" i="32"/>
  <c r="Q1046" i="32"/>
  <c r="AR1046" i="32"/>
  <c r="AS1046" i="32"/>
  <c r="AT1046" i="32"/>
  <c r="AU1046" i="32"/>
  <c r="AV1046" i="32"/>
  <c r="AW1046" i="32"/>
  <c r="AX1046" i="32"/>
  <c r="AY1046" i="32"/>
  <c r="AZ1046" i="32"/>
  <c r="BA1046" i="32"/>
  <c r="AK1047" i="32"/>
  <c r="AL1047" i="32"/>
  <c r="AM1047" i="32"/>
  <c r="AN1047" i="32"/>
  <c r="AO1047" i="32"/>
  <c r="AP1047" i="32"/>
  <c r="AQ1047" i="32"/>
  <c r="Q1047" i="32"/>
  <c r="AR1047" i="32"/>
  <c r="AS1047" i="32"/>
  <c r="AT1047" i="32"/>
  <c r="AU1047" i="32"/>
  <c r="AV1047" i="32"/>
  <c r="AW1047" i="32"/>
  <c r="AX1047" i="32"/>
  <c r="AY1047" i="32"/>
  <c r="AZ1047" i="32"/>
  <c r="BA1047" i="32"/>
  <c r="AK1048" i="32"/>
  <c r="AL1048" i="32"/>
  <c r="AM1048" i="32"/>
  <c r="AN1048" i="32"/>
  <c r="AO1048" i="32"/>
  <c r="AP1048" i="32"/>
  <c r="AQ1048" i="32"/>
  <c r="Q1048" i="32"/>
  <c r="AR1048" i="32"/>
  <c r="AS1048" i="32"/>
  <c r="AT1048" i="32"/>
  <c r="AU1048" i="32"/>
  <c r="AV1048" i="32"/>
  <c r="AW1048" i="32"/>
  <c r="AX1048" i="32"/>
  <c r="AY1048" i="32"/>
  <c r="AZ1048" i="32"/>
  <c r="BA1048" i="32"/>
  <c r="AK1049" i="32"/>
  <c r="AL1049" i="32"/>
  <c r="AM1049" i="32"/>
  <c r="AN1049" i="32"/>
  <c r="AO1049" i="32"/>
  <c r="AP1049" i="32"/>
  <c r="AQ1049" i="32"/>
  <c r="Q1049" i="32"/>
  <c r="AR1049" i="32"/>
  <c r="AS1049" i="32"/>
  <c r="AT1049" i="32"/>
  <c r="AU1049" i="32"/>
  <c r="AV1049" i="32"/>
  <c r="AW1049" i="32"/>
  <c r="AX1049" i="32"/>
  <c r="AY1049" i="32"/>
  <c r="AZ1049" i="32"/>
  <c r="BA1049" i="32"/>
  <c r="AK1050" i="32"/>
  <c r="AL1050" i="32"/>
  <c r="AM1050" i="32"/>
  <c r="AN1050" i="32"/>
  <c r="AO1050" i="32"/>
  <c r="AP1050" i="32"/>
  <c r="AQ1050" i="32"/>
  <c r="Q1050" i="32"/>
  <c r="AR1050" i="32"/>
  <c r="AS1050" i="32"/>
  <c r="AT1050" i="32"/>
  <c r="AU1050" i="32"/>
  <c r="AV1050" i="32"/>
  <c r="AW1050" i="32"/>
  <c r="AX1050" i="32"/>
  <c r="AY1050" i="32"/>
  <c r="AZ1050" i="32"/>
  <c r="BA1050" i="32"/>
  <c r="AK1051" i="32"/>
  <c r="AL1051" i="32"/>
  <c r="AM1051" i="32"/>
  <c r="AN1051" i="32"/>
  <c r="AO1051" i="32"/>
  <c r="AP1051" i="32"/>
  <c r="AQ1051" i="32"/>
  <c r="Q1051" i="32"/>
  <c r="AR1051" i="32"/>
  <c r="AS1051" i="32"/>
  <c r="AT1051" i="32"/>
  <c r="AU1051" i="32"/>
  <c r="AV1051" i="32"/>
  <c r="AW1051" i="32"/>
  <c r="AX1051" i="32"/>
  <c r="AY1051" i="32"/>
  <c r="AZ1051" i="32"/>
  <c r="BA1051" i="32"/>
  <c r="AK1052" i="32"/>
  <c r="AL1052" i="32"/>
  <c r="AM1052" i="32"/>
  <c r="AN1052" i="32"/>
  <c r="AO1052" i="32"/>
  <c r="AP1052" i="32"/>
  <c r="AQ1052" i="32"/>
  <c r="Q1052" i="32"/>
  <c r="AR1052" i="32"/>
  <c r="AS1052" i="32"/>
  <c r="AT1052" i="32"/>
  <c r="AU1052" i="32"/>
  <c r="AV1052" i="32"/>
  <c r="AW1052" i="32"/>
  <c r="AX1052" i="32"/>
  <c r="AY1052" i="32"/>
  <c r="AZ1052" i="32"/>
  <c r="BA1052" i="32"/>
  <c r="AK1053" i="32"/>
  <c r="AL1053" i="32"/>
  <c r="AM1053" i="32"/>
  <c r="AN1053" i="32"/>
  <c r="AO1053" i="32"/>
  <c r="AP1053" i="32"/>
  <c r="AQ1053" i="32"/>
  <c r="Q1053" i="32"/>
  <c r="AR1053" i="32"/>
  <c r="AS1053" i="32"/>
  <c r="AT1053" i="32"/>
  <c r="AU1053" i="32"/>
  <c r="AV1053" i="32"/>
  <c r="AW1053" i="32"/>
  <c r="AX1053" i="32"/>
  <c r="AY1053" i="32"/>
  <c r="AZ1053" i="32"/>
  <c r="BA1053" i="32"/>
  <c r="AK1054" i="32"/>
  <c r="AL1054" i="32"/>
  <c r="AM1054" i="32"/>
  <c r="AN1054" i="32"/>
  <c r="AO1054" i="32"/>
  <c r="AP1054" i="32"/>
  <c r="AQ1054" i="32"/>
  <c r="Q1054" i="32"/>
  <c r="AR1054" i="32"/>
  <c r="AS1054" i="32"/>
  <c r="AT1054" i="32"/>
  <c r="AU1054" i="32"/>
  <c r="AV1054" i="32"/>
  <c r="AW1054" i="32"/>
  <c r="AX1054" i="32"/>
  <c r="AY1054" i="32"/>
  <c r="AZ1054" i="32"/>
  <c r="BA1054" i="32"/>
  <c r="AK1055" i="32"/>
  <c r="AL1055" i="32"/>
  <c r="AM1055" i="32"/>
  <c r="AN1055" i="32"/>
  <c r="AO1055" i="32"/>
  <c r="AP1055" i="32"/>
  <c r="AQ1055" i="32"/>
  <c r="Q1055" i="32"/>
  <c r="AR1055" i="32"/>
  <c r="AS1055" i="32"/>
  <c r="AT1055" i="32"/>
  <c r="AU1055" i="32"/>
  <c r="AV1055" i="32"/>
  <c r="AW1055" i="32"/>
  <c r="AX1055" i="32"/>
  <c r="AY1055" i="32"/>
  <c r="AZ1055" i="32"/>
  <c r="BA1055" i="32"/>
  <c r="AK1056" i="32"/>
  <c r="AL1056" i="32"/>
  <c r="AM1056" i="32"/>
  <c r="AN1056" i="32"/>
  <c r="AO1056" i="32"/>
  <c r="AP1056" i="32"/>
  <c r="AQ1056" i="32"/>
  <c r="Q1056" i="32"/>
  <c r="AR1056" i="32"/>
  <c r="AS1056" i="32"/>
  <c r="AT1056" i="32"/>
  <c r="AU1056" i="32"/>
  <c r="AV1056" i="32"/>
  <c r="AW1056" i="32"/>
  <c r="AX1056" i="32"/>
  <c r="AY1056" i="32"/>
  <c r="AZ1056" i="32"/>
  <c r="BA1056" i="32"/>
  <c r="AK1057" i="32"/>
  <c r="AL1057" i="32"/>
  <c r="AM1057" i="32"/>
  <c r="AN1057" i="32"/>
  <c r="AO1057" i="32"/>
  <c r="AP1057" i="32"/>
  <c r="AQ1057" i="32"/>
  <c r="Q1057" i="32"/>
  <c r="AR1057" i="32"/>
  <c r="AS1057" i="32"/>
  <c r="AT1057" i="32"/>
  <c r="AU1057" i="32"/>
  <c r="AV1057" i="32"/>
  <c r="AW1057" i="32"/>
  <c r="AX1057" i="32"/>
  <c r="AY1057" i="32"/>
  <c r="AZ1057" i="32"/>
  <c r="BA1057" i="32"/>
  <c r="AK1058" i="32"/>
  <c r="AL1058" i="32"/>
  <c r="AM1058" i="32"/>
  <c r="AN1058" i="32"/>
  <c r="AO1058" i="32"/>
  <c r="AP1058" i="32"/>
  <c r="AQ1058" i="32"/>
  <c r="Q1058" i="32"/>
  <c r="AR1058" i="32"/>
  <c r="AS1058" i="32"/>
  <c r="AT1058" i="32"/>
  <c r="AU1058" i="32"/>
  <c r="AV1058" i="32"/>
  <c r="AW1058" i="32"/>
  <c r="AX1058" i="32"/>
  <c r="AY1058" i="32"/>
  <c r="AZ1058" i="32"/>
  <c r="BA1058" i="32"/>
  <c r="AK1059" i="32"/>
  <c r="AL1059" i="32"/>
  <c r="AM1059" i="32"/>
  <c r="AN1059" i="32"/>
  <c r="AO1059" i="32"/>
  <c r="AP1059" i="32"/>
  <c r="AQ1059" i="32"/>
  <c r="Q1059" i="32"/>
  <c r="AR1059" i="32"/>
  <c r="AS1059" i="32"/>
  <c r="AT1059" i="32"/>
  <c r="AU1059" i="32"/>
  <c r="AV1059" i="32"/>
  <c r="AW1059" i="32"/>
  <c r="AX1059" i="32"/>
  <c r="AY1059" i="32"/>
  <c r="AZ1059" i="32"/>
  <c r="BA1059" i="32"/>
  <c r="AK1060" i="32"/>
  <c r="AL1060" i="32"/>
  <c r="AM1060" i="32"/>
  <c r="AN1060" i="32"/>
  <c r="AO1060" i="32"/>
  <c r="AP1060" i="32"/>
  <c r="AQ1060" i="32"/>
  <c r="Q1060" i="32"/>
  <c r="AR1060" i="32"/>
  <c r="AS1060" i="32"/>
  <c r="AT1060" i="32"/>
  <c r="AU1060" i="32"/>
  <c r="AV1060" i="32"/>
  <c r="AW1060" i="32"/>
  <c r="AX1060" i="32"/>
  <c r="AY1060" i="32"/>
  <c r="AZ1060" i="32"/>
  <c r="BA1060" i="32"/>
  <c r="AK1061" i="32"/>
  <c r="AL1061" i="32"/>
  <c r="AM1061" i="32"/>
  <c r="AN1061" i="32"/>
  <c r="AO1061" i="32"/>
  <c r="AP1061" i="32"/>
  <c r="AQ1061" i="32"/>
  <c r="Q1061" i="32"/>
  <c r="AR1061" i="32"/>
  <c r="AS1061" i="32"/>
  <c r="AT1061" i="32"/>
  <c r="AU1061" i="32"/>
  <c r="AV1061" i="32"/>
  <c r="AW1061" i="32"/>
  <c r="AX1061" i="32"/>
  <c r="AY1061" i="32"/>
  <c r="AZ1061" i="32"/>
  <c r="BA1061" i="32"/>
  <c r="AK1062" i="32"/>
  <c r="AL1062" i="32"/>
  <c r="AM1062" i="32"/>
  <c r="AN1062" i="32"/>
  <c r="AO1062" i="32"/>
  <c r="AP1062" i="32"/>
  <c r="AQ1062" i="32"/>
  <c r="Q1062" i="32"/>
  <c r="AR1062" i="32"/>
  <c r="AS1062" i="32"/>
  <c r="AT1062" i="32"/>
  <c r="AU1062" i="32"/>
  <c r="AV1062" i="32"/>
  <c r="AW1062" i="32"/>
  <c r="AX1062" i="32"/>
  <c r="AY1062" i="32"/>
  <c r="AZ1062" i="32"/>
  <c r="BA1062" i="32"/>
  <c r="AK1063" i="32"/>
  <c r="AL1063" i="32"/>
  <c r="AM1063" i="32"/>
  <c r="AN1063" i="32"/>
  <c r="AO1063" i="32"/>
  <c r="AP1063" i="32"/>
  <c r="AQ1063" i="32"/>
  <c r="Q1063" i="32"/>
  <c r="AR1063" i="32"/>
  <c r="AS1063" i="32"/>
  <c r="AT1063" i="32"/>
  <c r="AU1063" i="32"/>
  <c r="AV1063" i="32"/>
  <c r="AW1063" i="32"/>
  <c r="AX1063" i="32"/>
  <c r="AY1063" i="32"/>
  <c r="AZ1063" i="32"/>
  <c r="BA1063" i="32"/>
  <c r="AK1064" i="32"/>
  <c r="AL1064" i="32"/>
  <c r="AM1064" i="32"/>
  <c r="AN1064" i="32"/>
  <c r="AO1064" i="32"/>
  <c r="AP1064" i="32"/>
  <c r="AQ1064" i="32"/>
  <c r="Q1064" i="32"/>
  <c r="AR1064" i="32"/>
  <c r="AS1064" i="32"/>
  <c r="AT1064" i="32"/>
  <c r="AU1064" i="32"/>
  <c r="AV1064" i="32"/>
  <c r="AW1064" i="32"/>
  <c r="AX1064" i="32"/>
  <c r="AY1064" i="32"/>
  <c r="AZ1064" i="32"/>
  <c r="BA1064" i="32"/>
  <c r="AK1065" i="32"/>
  <c r="AL1065" i="32"/>
  <c r="AM1065" i="32"/>
  <c r="AN1065" i="32"/>
  <c r="AO1065" i="32"/>
  <c r="AP1065" i="32"/>
  <c r="AQ1065" i="32"/>
  <c r="Q1065" i="32"/>
  <c r="AR1065" i="32"/>
  <c r="AS1065" i="32"/>
  <c r="AT1065" i="32"/>
  <c r="AU1065" i="32"/>
  <c r="AV1065" i="32"/>
  <c r="AW1065" i="32"/>
  <c r="AX1065" i="32"/>
  <c r="AY1065" i="32"/>
  <c r="AZ1065" i="32"/>
  <c r="BA1065" i="32"/>
  <c r="AK1066" i="32"/>
  <c r="AL1066" i="32"/>
  <c r="AM1066" i="32"/>
  <c r="AN1066" i="32"/>
  <c r="AO1066" i="32"/>
  <c r="AP1066" i="32"/>
  <c r="AQ1066" i="32"/>
  <c r="Q1066" i="32"/>
  <c r="AR1066" i="32"/>
  <c r="AS1066" i="32"/>
  <c r="AT1066" i="32"/>
  <c r="AU1066" i="32"/>
  <c r="AV1066" i="32"/>
  <c r="AW1066" i="32"/>
  <c r="AX1066" i="32"/>
  <c r="AY1066" i="32"/>
  <c r="AZ1066" i="32"/>
  <c r="BA1066" i="32"/>
  <c r="AK1067" i="32"/>
  <c r="AL1067" i="32"/>
  <c r="AM1067" i="32"/>
  <c r="AN1067" i="32"/>
  <c r="AO1067" i="32"/>
  <c r="AP1067" i="32"/>
  <c r="AQ1067" i="32"/>
  <c r="Q1067" i="32"/>
  <c r="AR1067" i="32"/>
  <c r="AS1067" i="32"/>
  <c r="AT1067" i="32"/>
  <c r="AU1067" i="32"/>
  <c r="AV1067" i="32"/>
  <c r="AW1067" i="32"/>
  <c r="AX1067" i="32"/>
  <c r="AY1067" i="32"/>
  <c r="AZ1067" i="32"/>
  <c r="BA1067" i="32"/>
  <c r="AK1068" i="32"/>
  <c r="AL1068" i="32"/>
  <c r="AM1068" i="32"/>
  <c r="AN1068" i="32"/>
  <c r="AO1068" i="32"/>
  <c r="AP1068" i="32"/>
  <c r="AQ1068" i="32"/>
  <c r="Q1068" i="32"/>
  <c r="AR1068" i="32"/>
  <c r="AS1068" i="32"/>
  <c r="AT1068" i="32"/>
  <c r="AU1068" i="32"/>
  <c r="AV1068" i="32"/>
  <c r="AW1068" i="32"/>
  <c r="AX1068" i="32"/>
  <c r="AY1068" i="32"/>
  <c r="AZ1068" i="32"/>
  <c r="BA1068" i="32"/>
  <c r="AK1069" i="32"/>
  <c r="AL1069" i="32"/>
  <c r="AM1069" i="32"/>
  <c r="AN1069" i="32"/>
  <c r="AO1069" i="32"/>
  <c r="AP1069" i="32"/>
  <c r="AQ1069" i="32"/>
  <c r="Q1069" i="32"/>
  <c r="AR1069" i="32"/>
  <c r="AS1069" i="32"/>
  <c r="AT1069" i="32"/>
  <c r="AU1069" i="32"/>
  <c r="AV1069" i="32"/>
  <c r="AW1069" i="32"/>
  <c r="AX1069" i="32"/>
  <c r="AY1069" i="32"/>
  <c r="AZ1069" i="32"/>
  <c r="BA1069" i="32"/>
  <c r="AK1070" i="32"/>
  <c r="AL1070" i="32"/>
  <c r="AM1070" i="32"/>
  <c r="AN1070" i="32"/>
  <c r="AO1070" i="32"/>
  <c r="AP1070" i="32"/>
  <c r="AQ1070" i="32"/>
  <c r="Q1070" i="32"/>
  <c r="AR1070" i="32"/>
  <c r="AS1070" i="32"/>
  <c r="AT1070" i="32"/>
  <c r="AU1070" i="32"/>
  <c r="AV1070" i="32"/>
  <c r="AW1070" i="32"/>
  <c r="AX1070" i="32"/>
  <c r="AY1070" i="32"/>
  <c r="AZ1070" i="32"/>
  <c r="BA1070" i="32"/>
  <c r="AK1071" i="32"/>
  <c r="AL1071" i="32"/>
  <c r="AM1071" i="32"/>
  <c r="AN1071" i="32"/>
  <c r="AO1071" i="32"/>
  <c r="AP1071" i="32"/>
  <c r="AQ1071" i="32"/>
  <c r="Q1071" i="32"/>
  <c r="AR1071" i="32"/>
  <c r="AS1071" i="32"/>
  <c r="AT1071" i="32"/>
  <c r="AU1071" i="32"/>
  <c r="AV1071" i="32"/>
  <c r="AW1071" i="32"/>
  <c r="AX1071" i="32"/>
  <c r="AY1071" i="32"/>
  <c r="AZ1071" i="32"/>
  <c r="BA1071" i="32"/>
  <c r="AK1072" i="32"/>
  <c r="AL1072" i="32"/>
  <c r="AM1072" i="32"/>
  <c r="AN1072" i="32"/>
  <c r="AO1072" i="32"/>
  <c r="AP1072" i="32"/>
  <c r="AQ1072" i="32"/>
  <c r="Q1072" i="32"/>
  <c r="AR1072" i="32"/>
  <c r="AS1072" i="32"/>
  <c r="AT1072" i="32"/>
  <c r="AU1072" i="32"/>
  <c r="AV1072" i="32"/>
  <c r="AW1072" i="32"/>
  <c r="AX1072" i="32"/>
  <c r="AY1072" i="32"/>
  <c r="AZ1072" i="32"/>
  <c r="BA1072" i="32"/>
  <c r="AK1073" i="32"/>
  <c r="AL1073" i="32"/>
  <c r="AM1073" i="32"/>
  <c r="AN1073" i="32"/>
  <c r="AO1073" i="32"/>
  <c r="AP1073" i="32"/>
  <c r="AQ1073" i="32"/>
  <c r="Q1073" i="32"/>
  <c r="AR1073" i="32"/>
  <c r="AS1073" i="32"/>
  <c r="AT1073" i="32"/>
  <c r="AU1073" i="32"/>
  <c r="AV1073" i="32"/>
  <c r="AW1073" i="32"/>
  <c r="AX1073" i="32"/>
  <c r="AY1073" i="32"/>
  <c r="AZ1073" i="32"/>
  <c r="BA1073" i="32"/>
  <c r="AK1074" i="32"/>
  <c r="AL1074" i="32"/>
  <c r="AM1074" i="32"/>
  <c r="AN1074" i="32"/>
  <c r="AO1074" i="32"/>
  <c r="AP1074" i="32"/>
  <c r="AQ1074" i="32"/>
  <c r="Q1074" i="32"/>
  <c r="AR1074" i="32"/>
  <c r="AS1074" i="32"/>
  <c r="AT1074" i="32"/>
  <c r="AU1074" i="32"/>
  <c r="AV1074" i="32"/>
  <c r="AW1074" i="32"/>
  <c r="AX1074" i="32"/>
  <c r="AY1074" i="32"/>
  <c r="AZ1074" i="32"/>
  <c r="BA1074" i="32"/>
  <c r="AK1075" i="32"/>
  <c r="AL1075" i="32"/>
  <c r="AM1075" i="32"/>
  <c r="AN1075" i="32"/>
  <c r="AO1075" i="32"/>
  <c r="AP1075" i="32"/>
  <c r="AQ1075" i="32"/>
  <c r="Q1075" i="32"/>
  <c r="AR1075" i="32"/>
  <c r="AS1075" i="32"/>
  <c r="AT1075" i="32"/>
  <c r="AU1075" i="32"/>
  <c r="AV1075" i="32"/>
  <c r="AW1075" i="32"/>
  <c r="AX1075" i="32"/>
  <c r="AY1075" i="32"/>
  <c r="AZ1075" i="32"/>
  <c r="BA1075" i="32"/>
  <c r="AK1076" i="32"/>
  <c r="AL1076" i="32"/>
  <c r="AM1076" i="32"/>
  <c r="AN1076" i="32"/>
  <c r="AO1076" i="32"/>
  <c r="AP1076" i="32"/>
  <c r="AQ1076" i="32"/>
  <c r="Q1076" i="32"/>
  <c r="AR1076" i="32"/>
  <c r="AS1076" i="32"/>
  <c r="AT1076" i="32"/>
  <c r="AU1076" i="32"/>
  <c r="AV1076" i="32"/>
  <c r="AW1076" i="32"/>
  <c r="AX1076" i="32"/>
  <c r="AY1076" i="32"/>
  <c r="AZ1076" i="32"/>
  <c r="BA1076" i="32"/>
  <c r="AK1077" i="32"/>
  <c r="AL1077" i="32"/>
  <c r="AM1077" i="32"/>
  <c r="AN1077" i="32"/>
  <c r="AO1077" i="32"/>
  <c r="AP1077" i="32"/>
  <c r="AQ1077" i="32"/>
  <c r="Q1077" i="32"/>
  <c r="AR1077" i="32"/>
  <c r="AS1077" i="32"/>
  <c r="AT1077" i="32"/>
  <c r="AU1077" i="32"/>
  <c r="AV1077" i="32"/>
  <c r="AW1077" i="32"/>
  <c r="AX1077" i="32"/>
  <c r="AY1077" i="32"/>
  <c r="AZ1077" i="32"/>
  <c r="BA1077" i="32"/>
  <c r="AK1078" i="32"/>
  <c r="AL1078" i="32"/>
  <c r="AM1078" i="32"/>
  <c r="AN1078" i="32"/>
  <c r="AO1078" i="32"/>
  <c r="AP1078" i="32"/>
  <c r="AQ1078" i="32"/>
  <c r="Q1078" i="32"/>
  <c r="AR1078" i="32"/>
  <c r="AS1078" i="32"/>
  <c r="AT1078" i="32"/>
  <c r="AU1078" i="32"/>
  <c r="AV1078" i="32"/>
  <c r="AW1078" i="32"/>
  <c r="AX1078" i="32"/>
  <c r="AY1078" i="32"/>
  <c r="AZ1078" i="32"/>
  <c r="BA1078" i="32"/>
  <c r="AK1079" i="32"/>
  <c r="AL1079" i="32"/>
  <c r="AM1079" i="32"/>
  <c r="AN1079" i="32"/>
  <c r="AO1079" i="32"/>
  <c r="AP1079" i="32"/>
  <c r="AQ1079" i="32"/>
  <c r="Q1079" i="32"/>
  <c r="AR1079" i="32"/>
  <c r="AS1079" i="32"/>
  <c r="AT1079" i="32"/>
  <c r="AU1079" i="32"/>
  <c r="AV1079" i="32"/>
  <c r="AW1079" i="32"/>
  <c r="AX1079" i="32"/>
  <c r="AY1079" i="32"/>
  <c r="AZ1079" i="32"/>
  <c r="BA1079" i="32"/>
  <c r="AK1080" i="32"/>
  <c r="AL1080" i="32"/>
  <c r="AM1080" i="32"/>
  <c r="AN1080" i="32"/>
  <c r="AO1080" i="32"/>
  <c r="AP1080" i="32"/>
  <c r="AQ1080" i="32"/>
  <c r="Q1080" i="32"/>
  <c r="AR1080" i="32"/>
  <c r="AS1080" i="32"/>
  <c r="AT1080" i="32"/>
  <c r="AU1080" i="32"/>
  <c r="AV1080" i="32"/>
  <c r="AW1080" i="32"/>
  <c r="AX1080" i="32"/>
  <c r="AY1080" i="32"/>
  <c r="AZ1080" i="32"/>
  <c r="BA1080" i="32"/>
  <c r="AK1081" i="32"/>
  <c r="AL1081" i="32"/>
  <c r="AM1081" i="32"/>
  <c r="AN1081" i="32"/>
  <c r="AO1081" i="32"/>
  <c r="AP1081" i="32"/>
  <c r="AQ1081" i="32"/>
  <c r="Q1081" i="32"/>
  <c r="AR1081" i="32"/>
  <c r="AS1081" i="32"/>
  <c r="AT1081" i="32"/>
  <c r="AU1081" i="32"/>
  <c r="AV1081" i="32"/>
  <c r="AW1081" i="32"/>
  <c r="AX1081" i="32"/>
  <c r="AY1081" i="32"/>
  <c r="AZ1081" i="32"/>
  <c r="BA1081" i="32"/>
  <c r="AK1082" i="32"/>
  <c r="AL1082" i="32"/>
  <c r="AM1082" i="32"/>
  <c r="AN1082" i="32"/>
  <c r="AO1082" i="32"/>
  <c r="AP1082" i="32"/>
  <c r="AQ1082" i="32"/>
  <c r="Q1082" i="32"/>
  <c r="AR1082" i="32"/>
  <c r="AS1082" i="32"/>
  <c r="AT1082" i="32"/>
  <c r="AU1082" i="32"/>
  <c r="AV1082" i="32"/>
  <c r="AW1082" i="32"/>
  <c r="AX1082" i="32"/>
  <c r="AY1082" i="32"/>
  <c r="AZ1082" i="32"/>
  <c r="BA1082" i="32"/>
  <c r="AK1083" i="32"/>
  <c r="AL1083" i="32"/>
  <c r="AM1083" i="32"/>
  <c r="AN1083" i="32"/>
  <c r="AO1083" i="32"/>
  <c r="AP1083" i="32"/>
  <c r="AQ1083" i="32"/>
  <c r="Q1083" i="32"/>
  <c r="AR1083" i="32"/>
  <c r="AS1083" i="32"/>
  <c r="AT1083" i="32"/>
  <c r="AU1083" i="32"/>
  <c r="AV1083" i="32"/>
  <c r="AW1083" i="32"/>
  <c r="AX1083" i="32"/>
  <c r="AY1083" i="32"/>
  <c r="AZ1083" i="32"/>
  <c r="BA1083" i="32"/>
  <c r="AK1084" i="32"/>
  <c r="AL1084" i="32"/>
  <c r="AM1084" i="32"/>
  <c r="AN1084" i="32"/>
  <c r="AO1084" i="32"/>
  <c r="AP1084" i="32"/>
  <c r="AQ1084" i="32"/>
  <c r="Q1084" i="32"/>
  <c r="AR1084" i="32"/>
  <c r="AS1084" i="32"/>
  <c r="AT1084" i="32"/>
  <c r="AU1084" i="32"/>
  <c r="AV1084" i="32"/>
  <c r="AW1084" i="32"/>
  <c r="AX1084" i="32"/>
  <c r="AY1084" i="32"/>
  <c r="AZ1084" i="32"/>
  <c r="BA1084" i="32"/>
  <c r="AK1085" i="32"/>
  <c r="AL1085" i="32"/>
  <c r="AM1085" i="32"/>
  <c r="AN1085" i="32"/>
  <c r="AO1085" i="32"/>
  <c r="AP1085" i="32"/>
  <c r="AQ1085" i="32"/>
  <c r="Q1085" i="32"/>
  <c r="AR1085" i="32"/>
  <c r="AS1085" i="32"/>
  <c r="AT1085" i="32"/>
  <c r="AU1085" i="32"/>
  <c r="AV1085" i="32"/>
  <c r="AW1085" i="32"/>
  <c r="AX1085" i="32"/>
  <c r="AY1085" i="32"/>
  <c r="AZ1085" i="32"/>
  <c r="BA1085" i="32"/>
  <c r="AK1086" i="32"/>
  <c r="AL1086" i="32"/>
  <c r="AM1086" i="32"/>
  <c r="AN1086" i="32"/>
  <c r="AO1086" i="32"/>
  <c r="AP1086" i="32"/>
  <c r="AQ1086" i="32"/>
  <c r="Q1086" i="32"/>
  <c r="AR1086" i="32"/>
  <c r="AS1086" i="32"/>
  <c r="AT1086" i="32"/>
  <c r="AU1086" i="32"/>
  <c r="AV1086" i="32"/>
  <c r="AW1086" i="32"/>
  <c r="AX1086" i="32"/>
  <c r="AY1086" i="32"/>
  <c r="AZ1086" i="32"/>
  <c r="BA1086" i="32"/>
  <c r="AK1087" i="32"/>
  <c r="AL1087" i="32"/>
  <c r="AM1087" i="32"/>
  <c r="AN1087" i="32"/>
  <c r="AO1087" i="32"/>
  <c r="AP1087" i="32"/>
  <c r="AQ1087" i="32"/>
  <c r="Q1087" i="32"/>
  <c r="AR1087" i="32"/>
  <c r="AS1087" i="32"/>
  <c r="AT1087" i="32"/>
  <c r="AU1087" i="32"/>
  <c r="AV1087" i="32"/>
  <c r="AW1087" i="32"/>
  <c r="AX1087" i="32"/>
  <c r="AY1087" i="32"/>
  <c r="AZ1087" i="32"/>
  <c r="BA1087" i="32"/>
  <c r="AK1088" i="32"/>
  <c r="AL1088" i="32"/>
  <c r="AM1088" i="32"/>
  <c r="AN1088" i="32"/>
  <c r="AO1088" i="32"/>
  <c r="AP1088" i="32"/>
  <c r="AQ1088" i="32"/>
  <c r="Q1088" i="32"/>
  <c r="AR1088" i="32"/>
  <c r="AS1088" i="32"/>
  <c r="AT1088" i="32"/>
  <c r="AU1088" i="32"/>
  <c r="AV1088" i="32"/>
  <c r="AW1088" i="32"/>
  <c r="AX1088" i="32"/>
  <c r="AY1088" i="32"/>
  <c r="AZ1088" i="32"/>
  <c r="BA1088" i="32"/>
  <c r="AK1089" i="32"/>
  <c r="AL1089" i="32"/>
  <c r="AM1089" i="32"/>
  <c r="AN1089" i="32"/>
  <c r="AO1089" i="32"/>
  <c r="AP1089" i="32"/>
  <c r="AQ1089" i="32"/>
  <c r="Q1089" i="32"/>
  <c r="AR1089" i="32"/>
  <c r="AS1089" i="32"/>
  <c r="AT1089" i="32"/>
  <c r="AU1089" i="32"/>
  <c r="AV1089" i="32"/>
  <c r="AW1089" i="32"/>
  <c r="AX1089" i="32"/>
  <c r="AY1089" i="32"/>
  <c r="AZ1089" i="32"/>
  <c r="BA1089" i="32"/>
  <c r="AK1090" i="32"/>
  <c r="AL1090" i="32"/>
  <c r="AM1090" i="32"/>
  <c r="AN1090" i="32"/>
  <c r="AO1090" i="32"/>
  <c r="AP1090" i="32"/>
  <c r="AQ1090" i="32"/>
  <c r="Q1090" i="32"/>
  <c r="AR1090" i="32"/>
  <c r="AS1090" i="32"/>
  <c r="AT1090" i="32"/>
  <c r="AU1090" i="32"/>
  <c r="AV1090" i="32"/>
  <c r="AW1090" i="32"/>
  <c r="AX1090" i="32"/>
  <c r="AY1090" i="32"/>
  <c r="AZ1090" i="32"/>
  <c r="BA1090" i="32"/>
  <c r="AK1091" i="32"/>
  <c r="AL1091" i="32"/>
  <c r="AM1091" i="32"/>
  <c r="AN1091" i="32"/>
  <c r="AO1091" i="32"/>
  <c r="AP1091" i="32"/>
  <c r="AQ1091" i="32"/>
  <c r="Q1091" i="32"/>
  <c r="AR1091" i="32"/>
  <c r="AS1091" i="32"/>
  <c r="AT1091" i="32"/>
  <c r="AU1091" i="32"/>
  <c r="AV1091" i="32"/>
  <c r="AW1091" i="32"/>
  <c r="AX1091" i="32"/>
  <c r="AY1091" i="32"/>
  <c r="AZ1091" i="32"/>
  <c r="BA1091" i="32"/>
  <c r="AK1092" i="32"/>
  <c r="AL1092" i="32"/>
  <c r="AM1092" i="32"/>
  <c r="AN1092" i="32"/>
  <c r="AO1092" i="32"/>
  <c r="AP1092" i="32"/>
  <c r="AQ1092" i="32"/>
  <c r="Q1092" i="32"/>
  <c r="AR1092" i="32"/>
  <c r="AS1092" i="32"/>
  <c r="AT1092" i="32"/>
  <c r="AU1092" i="32"/>
  <c r="AV1092" i="32"/>
  <c r="AW1092" i="32"/>
  <c r="AX1092" i="32"/>
  <c r="AY1092" i="32"/>
  <c r="AZ1092" i="32"/>
  <c r="BA1092" i="32"/>
  <c r="AK1093" i="32"/>
  <c r="AL1093" i="32"/>
  <c r="AM1093" i="32"/>
  <c r="AN1093" i="32"/>
  <c r="AO1093" i="32"/>
  <c r="AP1093" i="32"/>
  <c r="AQ1093" i="32"/>
  <c r="Q1093" i="32"/>
  <c r="AR1093" i="32"/>
  <c r="AS1093" i="32"/>
  <c r="AT1093" i="32"/>
  <c r="AU1093" i="32"/>
  <c r="AV1093" i="32"/>
  <c r="AW1093" i="32"/>
  <c r="AX1093" i="32"/>
  <c r="AY1093" i="32"/>
  <c r="AZ1093" i="32"/>
  <c r="BA1093" i="32"/>
  <c r="AK1094" i="32"/>
  <c r="AL1094" i="32"/>
  <c r="AM1094" i="32"/>
  <c r="AN1094" i="32"/>
  <c r="AO1094" i="32"/>
  <c r="AP1094" i="32"/>
  <c r="AQ1094" i="32"/>
  <c r="Q1094" i="32"/>
  <c r="AR1094" i="32"/>
  <c r="AS1094" i="32"/>
  <c r="AT1094" i="32"/>
  <c r="AU1094" i="32"/>
  <c r="AV1094" i="32"/>
  <c r="AW1094" i="32"/>
  <c r="AX1094" i="32"/>
  <c r="AY1094" i="32"/>
  <c r="AZ1094" i="32"/>
  <c r="BA1094" i="32"/>
  <c r="AK1095" i="32"/>
  <c r="AL1095" i="32"/>
  <c r="AM1095" i="32"/>
  <c r="AN1095" i="32"/>
  <c r="AO1095" i="32"/>
  <c r="AP1095" i="32"/>
  <c r="AQ1095" i="32"/>
  <c r="Q1095" i="32"/>
  <c r="AR1095" i="32"/>
  <c r="AS1095" i="32"/>
  <c r="AT1095" i="32"/>
  <c r="AU1095" i="32"/>
  <c r="AV1095" i="32"/>
  <c r="AW1095" i="32"/>
  <c r="AX1095" i="32"/>
  <c r="AY1095" i="32"/>
  <c r="AZ1095" i="32"/>
  <c r="BA1095" i="32"/>
  <c r="AK1096" i="32"/>
  <c r="AL1096" i="32"/>
  <c r="AM1096" i="32"/>
  <c r="AN1096" i="32"/>
  <c r="AO1096" i="32"/>
  <c r="AP1096" i="32"/>
  <c r="AQ1096" i="32"/>
  <c r="Q1096" i="32"/>
  <c r="AR1096" i="32"/>
  <c r="AS1096" i="32"/>
  <c r="AT1096" i="32"/>
  <c r="AU1096" i="32"/>
  <c r="AV1096" i="32"/>
  <c r="AW1096" i="32"/>
  <c r="AX1096" i="32"/>
  <c r="AY1096" i="32"/>
  <c r="AZ1096" i="32"/>
  <c r="BA1096" i="32"/>
  <c r="AK1097" i="32"/>
  <c r="AL1097" i="32"/>
  <c r="AM1097" i="32"/>
  <c r="AN1097" i="32"/>
  <c r="AO1097" i="32"/>
  <c r="AP1097" i="32"/>
  <c r="AQ1097" i="32"/>
  <c r="Q1097" i="32"/>
  <c r="AR1097" i="32"/>
  <c r="AS1097" i="32"/>
  <c r="AT1097" i="32"/>
  <c r="AU1097" i="32"/>
  <c r="AV1097" i="32"/>
  <c r="AW1097" i="32"/>
  <c r="AX1097" i="32"/>
  <c r="AY1097" i="32"/>
  <c r="AZ1097" i="32"/>
  <c r="BA1097" i="32"/>
  <c r="AK1098" i="32"/>
  <c r="AL1098" i="32"/>
  <c r="AM1098" i="32"/>
  <c r="AN1098" i="32"/>
  <c r="AO1098" i="32"/>
  <c r="AP1098" i="32"/>
  <c r="AQ1098" i="32"/>
  <c r="Q1098" i="32"/>
  <c r="AR1098" i="32"/>
  <c r="AS1098" i="32"/>
  <c r="AT1098" i="32"/>
  <c r="AU1098" i="32"/>
  <c r="AV1098" i="32"/>
  <c r="AW1098" i="32"/>
  <c r="AX1098" i="32"/>
  <c r="AY1098" i="32"/>
  <c r="AZ1098" i="32"/>
  <c r="BA1098" i="32"/>
  <c r="AK1099" i="32"/>
  <c r="AL1099" i="32"/>
  <c r="AM1099" i="32"/>
  <c r="AN1099" i="32"/>
  <c r="AO1099" i="32"/>
  <c r="AP1099" i="32"/>
  <c r="AQ1099" i="32"/>
  <c r="Q1099" i="32"/>
  <c r="AR1099" i="32"/>
  <c r="AS1099" i="32"/>
  <c r="AT1099" i="32"/>
  <c r="AU1099" i="32"/>
  <c r="AV1099" i="32"/>
  <c r="AW1099" i="32"/>
  <c r="AX1099" i="32"/>
  <c r="AY1099" i="32"/>
  <c r="AZ1099" i="32"/>
  <c r="BA1099" i="32"/>
  <c r="AK1100" i="32"/>
  <c r="AL1100" i="32"/>
  <c r="AM1100" i="32"/>
  <c r="AN1100" i="32"/>
  <c r="AO1100" i="32"/>
  <c r="AP1100" i="32"/>
  <c r="AQ1100" i="32"/>
  <c r="Q1100" i="32"/>
  <c r="AR1100" i="32"/>
  <c r="AS1100" i="32"/>
  <c r="AT1100" i="32"/>
  <c r="AU1100" i="32"/>
  <c r="AV1100" i="32"/>
  <c r="AW1100" i="32"/>
  <c r="AX1100" i="32"/>
  <c r="AY1100" i="32"/>
  <c r="AZ1100" i="32"/>
  <c r="BA1100" i="32"/>
  <c r="AK1101" i="32"/>
  <c r="AL1101" i="32"/>
  <c r="AM1101" i="32"/>
  <c r="AN1101" i="32"/>
  <c r="AO1101" i="32"/>
  <c r="AP1101" i="32"/>
  <c r="AQ1101" i="32"/>
  <c r="Q1101" i="32"/>
  <c r="AR1101" i="32"/>
  <c r="AS1101" i="32"/>
  <c r="AT1101" i="32"/>
  <c r="AU1101" i="32"/>
  <c r="AV1101" i="32"/>
  <c r="AW1101" i="32"/>
  <c r="AX1101" i="32"/>
  <c r="AY1101" i="32"/>
  <c r="AZ1101" i="32"/>
  <c r="BA1101" i="32"/>
  <c r="AK1102" i="32"/>
  <c r="AL1102" i="32"/>
  <c r="AM1102" i="32"/>
  <c r="AN1102" i="32"/>
  <c r="AO1102" i="32"/>
  <c r="AP1102" i="32"/>
  <c r="AQ1102" i="32"/>
  <c r="Q1102" i="32"/>
  <c r="AR1102" i="32"/>
  <c r="AS1102" i="32"/>
  <c r="AT1102" i="32"/>
  <c r="AU1102" i="32"/>
  <c r="AV1102" i="32"/>
  <c r="AW1102" i="32"/>
  <c r="AX1102" i="32"/>
  <c r="AY1102" i="32"/>
  <c r="AZ1102" i="32"/>
  <c r="BA1102" i="32"/>
  <c r="AK1103" i="32"/>
  <c r="AL1103" i="32"/>
  <c r="AM1103" i="32"/>
  <c r="AN1103" i="32"/>
  <c r="AO1103" i="32"/>
  <c r="AP1103" i="32"/>
  <c r="AQ1103" i="32"/>
  <c r="Q1103" i="32"/>
  <c r="AR1103" i="32"/>
  <c r="AS1103" i="32"/>
  <c r="AT1103" i="32"/>
  <c r="AU1103" i="32"/>
  <c r="AV1103" i="32"/>
  <c r="AW1103" i="32"/>
  <c r="AX1103" i="32"/>
  <c r="AY1103" i="32"/>
  <c r="AZ1103" i="32"/>
  <c r="BA1103" i="32"/>
  <c r="AK1104" i="32"/>
  <c r="AL1104" i="32"/>
  <c r="AM1104" i="32"/>
  <c r="AN1104" i="32"/>
  <c r="AO1104" i="32"/>
  <c r="AP1104" i="32"/>
  <c r="AQ1104" i="32"/>
  <c r="Q1104" i="32"/>
  <c r="AR1104" i="32"/>
  <c r="AS1104" i="32"/>
  <c r="AT1104" i="32"/>
  <c r="AU1104" i="32"/>
  <c r="AV1104" i="32"/>
  <c r="AW1104" i="32"/>
  <c r="AX1104" i="32"/>
  <c r="AY1104" i="32"/>
  <c r="AZ1104" i="32"/>
  <c r="BA1104" i="32"/>
  <c r="AK1105" i="32"/>
  <c r="AL1105" i="32"/>
  <c r="AM1105" i="32"/>
  <c r="AN1105" i="32"/>
  <c r="AO1105" i="32"/>
  <c r="AP1105" i="32"/>
  <c r="AQ1105" i="32"/>
  <c r="Q1105" i="32"/>
  <c r="AR1105" i="32"/>
  <c r="AS1105" i="32"/>
  <c r="AT1105" i="32"/>
  <c r="AU1105" i="32"/>
  <c r="AV1105" i="32"/>
  <c r="AW1105" i="32"/>
  <c r="AX1105" i="32"/>
  <c r="AY1105" i="32"/>
  <c r="AZ1105" i="32"/>
  <c r="BA1105" i="32"/>
  <c r="AK1106" i="32"/>
  <c r="AL1106" i="32"/>
  <c r="AM1106" i="32"/>
  <c r="AN1106" i="32"/>
  <c r="AO1106" i="32"/>
  <c r="AP1106" i="32"/>
  <c r="AQ1106" i="32"/>
  <c r="Q1106" i="32"/>
  <c r="AR1106" i="32"/>
  <c r="AS1106" i="32"/>
  <c r="AT1106" i="32"/>
  <c r="AU1106" i="32"/>
  <c r="AV1106" i="32"/>
  <c r="AW1106" i="32"/>
  <c r="AX1106" i="32"/>
  <c r="AY1106" i="32"/>
  <c r="AZ1106" i="32"/>
  <c r="BA1106" i="32"/>
  <c r="AK1107" i="32"/>
  <c r="AL1107" i="32"/>
  <c r="AM1107" i="32"/>
  <c r="AN1107" i="32"/>
  <c r="AO1107" i="32"/>
  <c r="AP1107" i="32"/>
  <c r="AQ1107" i="32"/>
  <c r="Q1107" i="32"/>
  <c r="AR1107" i="32"/>
  <c r="AS1107" i="32"/>
  <c r="AT1107" i="32"/>
  <c r="AU1107" i="32"/>
  <c r="AV1107" i="32"/>
  <c r="AW1107" i="32"/>
  <c r="AX1107" i="32"/>
  <c r="AY1107" i="32"/>
  <c r="AZ1107" i="32"/>
  <c r="BA1107" i="32"/>
  <c r="AK1108" i="32"/>
  <c r="AL1108" i="32"/>
  <c r="AM1108" i="32"/>
  <c r="AN1108" i="32"/>
  <c r="AO1108" i="32"/>
  <c r="AP1108" i="32"/>
  <c r="AQ1108" i="32"/>
  <c r="Q1108" i="32"/>
  <c r="AR1108" i="32"/>
  <c r="AS1108" i="32"/>
  <c r="AT1108" i="32"/>
  <c r="AU1108" i="32"/>
  <c r="AV1108" i="32"/>
  <c r="AW1108" i="32"/>
  <c r="AX1108" i="32"/>
  <c r="AY1108" i="32"/>
  <c r="AZ1108" i="32"/>
  <c r="BA1108" i="32"/>
  <c r="AK1109" i="32"/>
  <c r="AL1109" i="32"/>
  <c r="AM1109" i="32"/>
  <c r="AN1109" i="32"/>
  <c r="AO1109" i="32"/>
  <c r="AP1109" i="32"/>
  <c r="AQ1109" i="32"/>
  <c r="Q1109" i="32"/>
  <c r="AR1109" i="32"/>
  <c r="AS1109" i="32"/>
  <c r="AT1109" i="32"/>
  <c r="AU1109" i="32"/>
  <c r="AV1109" i="32"/>
  <c r="AW1109" i="32"/>
  <c r="AX1109" i="32"/>
  <c r="AY1109" i="32"/>
  <c r="AZ1109" i="32"/>
  <c r="BA1109" i="32"/>
  <c r="AK1110" i="32"/>
  <c r="AL1110" i="32"/>
  <c r="AM1110" i="32"/>
  <c r="AN1110" i="32"/>
  <c r="AO1110" i="32"/>
  <c r="AP1110" i="32"/>
  <c r="AQ1110" i="32"/>
  <c r="Q1110" i="32"/>
  <c r="AR1110" i="32"/>
  <c r="AS1110" i="32"/>
  <c r="AT1110" i="32"/>
  <c r="AU1110" i="32"/>
  <c r="AV1110" i="32"/>
  <c r="AW1110" i="32"/>
  <c r="AX1110" i="32"/>
  <c r="AY1110" i="32"/>
  <c r="AZ1110" i="32"/>
  <c r="BA1110" i="32"/>
  <c r="AK1111" i="32"/>
  <c r="AL1111" i="32"/>
  <c r="AM1111" i="32"/>
  <c r="AN1111" i="32"/>
  <c r="AO1111" i="32"/>
  <c r="AP1111" i="32"/>
  <c r="AQ1111" i="32"/>
  <c r="Q1111" i="32"/>
  <c r="AR1111" i="32"/>
  <c r="AS1111" i="32"/>
  <c r="AT1111" i="32"/>
  <c r="AU1111" i="32"/>
  <c r="AV1111" i="32"/>
  <c r="AW1111" i="32"/>
  <c r="AX1111" i="32"/>
  <c r="AY1111" i="32"/>
  <c r="AZ1111" i="32"/>
  <c r="BA1111" i="32"/>
  <c r="AK1112" i="32"/>
  <c r="AL1112" i="32"/>
  <c r="AM1112" i="32"/>
  <c r="AN1112" i="32"/>
  <c r="AO1112" i="32"/>
  <c r="AP1112" i="32"/>
  <c r="AQ1112" i="32"/>
  <c r="Q1112" i="32"/>
  <c r="AR1112" i="32"/>
  <c r="AS1112" i="32"/>
  <c r="AT1112" i="32"/>
  <c r="AU1112" i="32"/>
  <c r="AV1112" i="32"/>
  <c r="AW1112" i="32"/>
  <c r="AX1112" i="32"/>
  <c r="AY1112" i="32"/>
  <c r="AZ1112" i="32"/>
  <c r="BA1112" i="32"/>
  <c r="AK1113" i="32"/>
  <c r="AL1113" i="32"/>
  <c r="AM1113" i="32"/>
  <c r="AN1113" i="32"/>
  <c r="AO1113" i="32"/>
  <c r="AP1113" i="32"/>
  <c r="AQ1113" i="32"/>
  <c r="Q1113" i="32"/>
  <c r="AR1113" i="32"/>
  <c r="AS1113" i="32"/>
  <c r="AT1113" i="32"/>
  <c r="AU1113" i="32"/>
  <c r="AV1113" i="32"/>
  <c r="AW1113" i="32"/>
  <c r="AX1113" i="32"/>
  <c r="AY1113" i="32"/>
  <c r="AZ1113" i="32"/>
  <c r="BA1113" i="32"/>
  <c r="AK1114" i="32"/>
  <c r="AL1114" i="32"/>
  <c r="AM1114" i="32"/>
  <c r="AN1114" i="32"/>
  <c r="AO1114" i="32"/>
  <c r="AP1114" i="32"/>
  <c r="AQ1114" i="32"/>
  <c r="Q1114" i="32"/>
  <c r="AR1114" i="32"/>
  <c r="AS1114" i="32"/>
  <c r="AT1114" i="32"/>
  <c r="AU1114" i="32"/>
  <c r="AV1114" i="32"/>
  <c r="AW1114" i="32"/>
  <c r="AX1114" i="32"/>
  <c r="AY1114" i="32"/>
  <c r="AZ1114" i="32"/>
  <c r="BA1114" i="32"/>
  <c r="AK1115" i="32"/>
  <c r="AL1115" i="32"/>
  <c r="AM1115" i="32"/>
  <c r="AN1115" i="32"/>
  <c r="AO1115" i="32"/>
  <c r="AP1115" i="32"/>
  <c r="AQ1115" i="32"/>
  <c r="Q1115" i="32"/>
  <c r="AR1115" i="32"/>
  <c r="AS1115" i="32"/>
  <c r="AT1115" i="32"/>
  <c r="AU1115" i="32"/>
  <c r="AV1115" i="32"/>
  <c r="AW1115" i="32"/>
  <c r="AX1115" i="32"/>
  <c r="AY1115" i="32"/>
  <c r="AZ1115" i="32"/>
  <c r="BA1115" i="32"/>
  <c r="AK1116" i="32"/>
  <c r="AL1116" i="32"/>
  <c r="AM1116" i="32"/>
  <c r="AN1116" i="32"/>
  <c r="AO1116" i="32"/>
  <c r="AP1116" i="32"/>
  <c r="AQ1116" i="32"/>
  <c r="Q1116" i="32"/>
  <c r="AR1116" i="32"/>
  <c r="AS1116" i="32"/>
  <c r="AT1116" i="32"/>
  <c r="AU1116" i="32"/>
  <c r="AV1116" i="32"/>
  <c r="AW1116" i="32"/>
  <c r="AX1116" i="32"/>
  <c r="AY1116" i="32"/>
  <c r="AZ1116" i="32"/>
  <c r="BA1116" i="32"/>
  <c r="AK1117" i="32"/>
  <c r="AL1117" i="32"/>
  <c r="AM1117" i="32"/>
  <c r="AN1117" i="32"/>
  <c r="AO1117" i="32"/>
  <c r="AP1117" i="32"/>
  <c r="AQ1117" i="32"/>
  <c r="Q1117" i="32"/>
  <c r="AR1117" i="32"/>
  <c r="AS1117" i="32"/>
  <c r="AT1117" i="32"/>
  <c r="AU1117" i="32"/>
  <c r="AV1117" i="32"/>
  <c r="AW1117" i="32"/>
  <c r="AX1117" i="32"/>
  <c r="AY1117" i="32"/>
  <c r="AZ1117" i="32"/>
  <c r="BA1117" i="32"/>
  <c r="AK1118" i="32"/>
  <c r="AL1118" i="32"/>
  <c r="AM1118" i="32"/>
  <c r="AN1118" i="32"/>
  <c r="AO1118" i="32"/>
  <c r="AP1118" i="32"/>
  <c r="AQ1118" i="32"/>
  <c r="Q1118" i="32"/>
  <c r="AR1118" i="32"/>
  <c r="AS1118" i="32"/>
  <c r="AT1118" i="32"/>
  <c r="AU1118" i="32"/>
  <c r="AV1118" i="32"/>
  <c r="AW1118" i="32"/>
  <c r="AX1118" i="32"/>
  <c r="AY1118" i="32"/>
  <c r="AZ1118" i="32"/>
  <c r="BA1118" i="32"/>
  <c r="AK1119" i="32"/>
  <c r="AL1119" i="32"/>
  <c r="AM1119" i="32"/>
  <c r="AN1119" i="32"/>
  <c r="AO1119" i="32"/>
  <c r="AP1119" i="32"/>
  <c r="AQ1119" i="32"/>
  <c r="Q1119" i="32"/>
  <c r="AR1119" i="32"/>
  <c r="AS1119" i="32"/>
  <c r="AT1119" i="32"/>
  <c r="AU1119" i="32"/>
  <c r="AV1119" i="32"/>
  <c r="AW1119" i="32"/>
  <c r="AX1119" i="32"/>
  <c r="AY1119" i="32"/>
  <c r="AZ1119" i="32"/>
  <c r="BA1119" i="32"/>
  <c r="AK1120" i="32"/>
  <c r="AL1120" i="32"/>
  <c r="AM1120" i="32"/>
  <c r="AN1120" i="32"/>
  <c r="AO1120" i="32"/>
  <c r="AP1120" i="32"/>
  <c r="AQ1120" i="32"/>
  <c r="Q1120" i="32"/>
  <c r="AR1120" i="32"/>
  <c r="AS1120" i="32"/>
  <c r="AT1120" i="32"/>
  <c r="AU1120" i="32"/>
  <c r="AV1120" i="32"/>
  <c r="AW1120" i="32"/>
  <c r="AX1120" i="32"/>
  <c r="AY1120" i="32"/>
  <c r="AZ1120" i="32"/>
  <c r="BA1120" i="32"/>
  <c r="AK1121" i="32"/>
  <c r="AL1121" i="32"/>
  <c r="AM1121" i="32"/>
  <c r="AN1121" i="32"/>
  <c r="AO1121" i="32"/>
  <c r="AP1121" i="32"/>
  <c r="AQ1121" i="32"/>
  <c r="Q1121" i="32"/>
  <c r="AR1121" i="32"/>
  <c r="AS1121" i="32"/>
  <c r="AT1121" i="32"/>
  <c r="AU1121" i="32"/>
  <c r="AV1121" i="32"/>
  <c r="AW1121" i="32"/>
  <c r="AX1121" i="32"/>
  <c r="AY1121" i="32"/>
  <c r="AZ1121" i="32"/>
  <c r="BA1121" i="32"/>
  <c r="AK1122" i="32"/>
  <c r="AL1122" i="32"/>
  <c r="AM1122" i="32"/>
  <c r="AN1122" i="32"/>
  <c r="AO1122" i="32"/>
  <c r="AP1122" i="32"/>
  <c r="AQ1122" i="32"/>
  <c r="Q1122" i="32"/>
  <c r="AR1122" i="32"/>
  <c r="AS1122" i="32"/>
  <c r="AT1122" i="32"/>
  <c r="AU1122" i="32"/>
  <c r="AV1122" i="32"/>
  <c r="AW1122" i="32"/>
  <c r="AX1122" i="32"/>
  <c r="AY1122" i="32"/>
  <c r="AZ1122" i="32"/>
  <c r="BA1122" i="32"/>
  <c r="AK1123" i="32"/>
  <c r="AL1123" i="32"/>
  <c r="AM1123" i="32"/>
  <c r="AN1123" i="32"/>
  <c r="AO1123" i="32"/>
  <c r="AP1123" i="32"/>
  <c r="AQ1123" i="32"/>
  <c r="Q1123" i="32"/>
  <c r="AR1123" i="32"/>
  <c r="AS1123" i="32"/>
  <c r="AT1123" i="32"/>
  <c r="AU1123" i="32"/>
  <c r="AV1123" i="32"/>
  <c r="AW1123" i="32"/>
  <c r="AX1123" i="32"/>
  <c r="AY1123" i="32"/>
  <c r="AZ1123" i="32"/>
  <c r="BA1123" i="32"/>
  <c r="AK1124" i="32"/>
  <c r="AL1124" i="32"/>
  <c r="AM1124" i="32"/>
  <c r="AN1124" i="32"/>
  <c r="AO1124" i="32"/>
  <c r="AP1124" i="32"/>
  <c r="AQ1124" i="32"/>
  <c r="Q1124" i="32"/>
  <c r="AR1124" i="32"/>
  <c r="AS1124" i="32"/>
  <c r="AT1124" i="32"/>
  <c r="AU1124" i="32"/>
  <c r="AV1124" i="32"/>
  <c r="AW1124" i="32"/>
  <c r="AX1124" i="32"/>
  <c r="AY1124" i="32"/>
  <c r="AZ1124" i="32"/>
  <c r="BA1124" i="32"/>
  <c r="AK1125" i="32"/>
  <c r="AL1125" i="32"/>
  <c r="AM1125" i="32"/>
  <c r="AN1125" i="32"/>
  <c r="AO1125" i="32"/>
  <c r="AP1125" i="32"/>
  <c r="AQ1125" i="32"/>
  <c r="Q1125" i="32"/>
  <c r="AR1125" i="32"/>
  <c r="AS1125" i="32"/>
  <c r="AT1125" i="32"/>
  <c r="AU1125" i="32"/>
  <c r="AV1125" i="32"/>
  <c r="AW1125" i="32"/>
  <c r="AX1125" i="32"/>
  <c r="AY1125" i="32"/>
  <c r="AZ1125" i="32"/>
  <c r="BA1125" i="32"/>
  <c r="AK1126" i="32"/>
  <c r="AL1126" i="32"/>
  <c r="AM1126" i="32"/>
  <c r="AN1126" i="32"/>
  <c r="AO1126" i="32"/>
  <c r="AP1126" i="32"/>
  <c r="AQ1126" i="32"/>
  <c r="Q1126" i="32"/>
  <c r="AR1126" i="32"/>
  <c r="AS1126" i="32"/>
  <c r="AT1126" i="32"/>
  <c r="AU1126" i="32"/>
  <c r="AV1126" i="32"/>
  <c r="AW1126" i="32"/>
  <c r="AX1126" i="32"/>
  <c r="AY1126" i="32"/>
  <c r="AZ1126" i="32"/>
  <c r="BA1126" i="32"/>
  <c r="AK1127" i="32"/>
  <c r="AL1127" i="32"/>
  <c r="AM1127" i="32"/>
  <c r="AN1127" i="32"/>
  <c r="AO1127" i="32"/>
  <c r="AP1127" i="32"/>
  <c r="AQ1127" i="32"/>
  <c r="Q1127" i="32"/>
  <c r="AR1127" i="32"/>
  <c r="AS1127" i="32"/>
  <c r="AT1127" i="32"/>
  <c r="AU1127" i="32"/>
  <c r="AV1127" i="32"/>
  <c r="AW1127" i="32"/>
  <c r="AX1127" i="32"/>
  <c r="AY1127" i="32"/>
  <c r="AZ1127" i="32"/>
  <c r="BA1127" i="32"/>
  <c r="AK1128" i="32"/>
  <c r="AL1128" i="32"/>
  <c r="AM1128" i="32"/>
  <c r="AN1128" i="32"/>
  <c r="AO1128" i="32"/>
  <c r="AP1128" i="32"/>
  <c r="AQ1128" i="32"/>
  <c r="Q1128" i="32"/>
  <c r="AR1128" i="32"/>
  <c r="AS1128" i="32"/>
  <c r="AT1128" i="32"/>
  <c r="AU1128" i="32"/>
  <c r="AV1128" i="32"/>
  <c r="AW1128" i="32"/>
  <c r="AX1128" i="32"/>
  <c r="AY1128" i="32"/>
  <c r="AZ1128" i="32"/>
  <c r="BA1128" i="32"/>
  <c r="AK1129" i="32"/>
  <c r="AL1129" i="32"/>
  <c r="AM1129" i="32"/>
  <c r="AN1129" i="32"/>
  <c r="AO1129" i="32"/>
  <c r="AP1129" i="32"/>
  <c r="AQ1129" i="32"/>
  <c r="Q1129" i="32"/>
  <c r="AR1129" i="32"/>
  <c r="AS1129" i="32"/>
  <c r="AT1129" i="32"/>
  <c r="AU1129" i="32"/>
  <c r="AV1129" i="32"/>
  <c r="AW1129" i="32"/>
  <c r="AX1129" i="32"/>
  <c r="AY1129" i="32"/>
  <c r="AZ1129" i="32"/>
  <c r="BA1129" i="32"/>
  <c r="AK1130" i="32"/>
  <c r="AL1130" i="32"/>
  <c r="AM1130" i="32"/>
  <c r="AN1130" i="32"/>
  <c r="AO1130" i="32"/>
  <c r="AP1130" i="32"/>
  <c r="AQ1130" i="32"/>
  <c r="Q1130" i="32"/>
  <c r="AR1130" i="32"/>
  <c r="AS1130" i="32"/>
  <c r="AT1130" i="32"/>
  <c r="AU1130" i="32"/>
  <c r="AV1130" i="32"/>
  <c r="AW1130" i="32"/>
  <c r="AX1130" i="32"/>
  <c r="AY1130" i="32"/>
  <c r="AZ1130" i="32"/>
  <c r="BA1130" i="32"/>
  <c r="AK1131" i="32"/>
  <c r="AL1131" i="32"/>
  <c r="AM1131" i="32"/>
  <c r="AN1131" i="32"/>
  <c r="AO1131" i="32"/>
  <c r="AP1131" i="32"/>
  <c r="AQ1131" i="32"/>
  <c r="Q1131" i="32"/>
  <c r="AR1131" i="32"/>
  <c r="AS1131" i="32"/>
  <c r="AT1131" i="32"/>
  <c r="AU1131" i="32"/>
  <c r="AV1131" i="32"/>
  <c r="AW1131" i="32"/>
  <c r="AX1131" i="32"/>
  <c r="AY1131" i="32"/>
  <c r="AZ1131" i="32"/>
  <c r="BA1131" i="32"/>
  <c r="AK1132" i="32"/>
  <c r="AL1132" i="32"/>
  <c r="AM1132" i="32"/>
  <c r="AN1132" i="32"/>
  <c r="AO1132" i="32"/>
  <c r="AP1132" i="32"/>
  <c r="AQ1132" i="32"/>
  <c r="Q1132" i="32"/>
  <c r="AR1132" i="32"/>
  <c r="AS1132" i="32"/>
  <c r="AT1132" i="32"/>
  <c r="AU1132" i="32"/>
  <c r="AV1132" i="32"/>
  <c r="AW1132" i="32"/>
  <c r="AX1132" i="32"/>
  <c r="AY1132" i="32"/>
  <c r="AZ1132" i="32"/>
  <c r="BA1132" i="32"/>
  <c r="AK1133" i="32"/>
  <c r="AL1133" i="32"/>
  <c r="AM1133" i="32"/>
  <c r="AN1133" i="32"/>
  <c r="AO1133" i="32"/>
  <c r="AP1133" i="32"/>
  <c r="AQ1133" i="32"/>
  <c r="Q1133" i="32"/>
  <c r="AR1133" i="32"/>
  <c r="AS1133" i="32"/>
  <c r="AT1133" i="32"/>
  <c r="AU1133" i="32"/>
  <c r="AV1133" i="32"/>
  <c r="AW1133" i="32"/>
  <c r="AX1133" i="32"/>
  <c r="AY1133" i="32"/>
  <c r="AZ1133" i="32"/>
  <c r="BA1133" i="32"/>
  <c r="AK1134" i="32"/>
  <c r="AL1134" i="32"/>
  <c r="AM1134" i="32"/>
  <c r="AN1134" i="32"/>
  <c r="AO1134" i="32"/>
  <c r="AP1134" i="32"/>
  <c r="AQ1134" i="32"/>
  <c r="Q1134" i="32"/>
  <c r="AR1134" i="32"/>
  <c r="AS1134" i="32"/>
  <c r="AT1134" i="32"/>
  <c r="AU1134" i="32"/>
  <c r="AV1134" i="32"/>
  <c r="AW1134" i="32"/>
  <c r="AX1134" i="32"/>
  <c r="AY1134" i="32"/>
  <c r="AZ1134" i="32"/>
  <c r="BA1134" i="32"/>
  <c r="AK1135" i="32"/>
  <c r="AL1135" i="32"/>
  <c r="AM1135" i="32"/>
  <c r="AN1135" i="32"/>
  <c r="AO1135" i="32"/>
  <c r="AP1135" i="32"/>
  <c r="AQ1135" i="32"/>
  <c r="Q1135" i="32"/>
  <c r="AR1135" i="32"/>
  <c r="AS1135" i="32"/>
  <c r="AT1135" i="32"/>
  <c r="AU1135" i="32"/>
  <c r="AV1135" i="32"/>
  <c r="AW1135" i="32"/>
  <c r="AX1135" i="32"/>
  <c r="AY1135" i="32"/>
  <c r="AZ1135" i="32"/>
  <c r="BA1135" i="32"/>
  <c r="AK1136" i="32"/>
  <c r="AL1136" i="32"/>
  <c r="AM1136" i="32"/>
  <c r="AN1136" i="32"/>
  <c r="AO1136" i="32"/>
  <c r="AP1136" i="32"/>
  <c r="AQ1136" i="32"/>
  <c r="Q1136" i="32"/>
  <c r="AR1136" i="32"/>
  <c r="AS1136" i="32"/>
  <c r="AT1136" i="32"/>
  <c r="AU1136" i="32"/>
  <c r="AV1136" i="32"/>
  <c r="AW1136" i="32"/>
  <c r="AX1136" i="32"/>
  <c r="AY1136" i="32"/>
  <c r="AZ1136" i="32"/>
  <c r="BA1136" i="32"/>
  <c r="AK1137" i="32"/>
  <c r="AL1137" i="32"/>
  <c r="AM1137" i="32"/>
  <c r="AN1137" i="32"/>
  <c r="AO1137" i="32"/>
  <c r="AP1137" i="32"/>
  <c r="AQ1137" i="32"/>
  <c r="Q1137" i="32"/>
  <c r="AR1137" i="32"/>
  <c r="AS1137" i="32"/>
  <c r="AT1137" i="32"/>
  <c r="AU1137" i="32"/>
  <c r="AV1137" i="32"/>
  <c r="AW1137" i="32"/>
  <c r="AX1137" i="32"/>
  <c r="AY1137" i="32"/>
  <c r="AZ1137" i="32"/>
  <c r="BA1137" i="32"/>
  <c r="AK1138" i="32"/>
  <c r="AL1138" i="32"/>
  <c r="AM1138" i="32"/>
  <c r="AN1138" i="32"/>
  <c r="AO1138" i="32"/>
  <c r="AP1138" i="32"/>
  <c r="AQ1138" i="32"/>
  <c r="Q1138" i="32"/>
  <c r="AR1138" i="32"/>
  <c r="AS1138" i="32"/>
  <c r="AT1138" i="32"/>
  <c r="AU1138" i="32"/>
  <c r="AV1138" i="32"/>
  <c r="AW1138" i="32"/>
  <c r="AX1138" i="32"/>
  <c r="AY1138" i="32"/>
  <c r="AZ1138" i="32"/>
  <c r="BA1138" i="32"/>
  <c r="AK1139" i="32"/>
  <c r="AL1139" i="32"/>
  <c r="AM1139" i="32"/>
  <c r="AN1139" i="32"/>
  <c r="AO1139" i="32"/>
  <c r="AP1139" i="32"/>
  <c r="AQ1139" i="32"/>
  <c r="Q1139" i="32"/>
  <c r="AR1139" i="32"/>
  <c r="AS1139" i="32"/>
  <c r="AT1139" i="32"/>
  <c r="AU1139" i="32"/>
  <c r="AV1139" i="32"/>
  <c r="AW1139" i="32"/>
  <c r="AX1139" i="32"/>
  <c r="AY1139" i="32"/>
  <c r="AZ1139" i="32"/>
  <c r="BA1139" i="32"/>
  <c r="AK1140" i="32"/>
  <c r="AL1140" i="32"/>
  <c r="AM1140" i="32"/>
  <c r="AN1140" i="32"/>
  <c r="AO1140" i="32"/>
  <c r="AP1140" i="32"/>
  <c r="AQ1140" i="32"/>
  <c r="Q1140" i="32"/>
  <c r="AR1140" i="32"/>
  <c r="AS1140" i="32"/>
  <c r="AT1140" i="32"/>
  <c r="AU1140" i="32"/>
  <c r="AV1140" i="32"/>
  <c r="AW1140" i="32"/>
  <c r="AX1140" i="32"/>
  <c r="AY1140" i="32"/>
  <c r="AZ1140" i="32"/>
  <c r="BA1140" i="32"/>
  <c r="AK1141" i="32"/>
  <c r="AL1141" i="32"/>
  <c r="AM1141" i="32"/>
  <c r="AN1141" i="32"/>
  <c r="AO1141" i="32"/>
  <c r="AP1141" i="32"/>
  <c r="AQ1141" i="32"/>
  <c r="Q1141" i="32"/>
  <c r="AR1141" i="32"/>
  <c r="AS1141" i="32"/>
  <c r="AT1141" i="32"/>
  <c r="AU1141" i="32"/>
  <c r="AV1141" i="32"/>
  <c r="AW1141" i="32"/>
  <c r="AX1141" i="32"/>
  <c r="AY1141" i="32"/>
  <c r="AZ1141" i="32"/>
  <c r="BA1141" i="32"/>
  <c r="AK1142" i="32"/>
  <c r="AL1142" i="32"/>
  <c r="AM1142" i="32"/>
  <c r="AN1142" i="32"/>
  <c r="AO1142" i="32"/>
  <c r="AP1142" i="32"/>
  <c r="AQ1142" i="32"/>
  <c r="Q1142" i="32"/>
  <c r="AR1142" i="32"/>
  <c r="AS1142" i="32"/>
  <c r="AT1142" i="32"/>
  <c r="AU1142" i="32"/>
  <c r="AV1142" i="32"/>
  <c r="AW1142" i="32"/>
  <c r="AX1142" i="32"/>
  <c r="AY1142" i="32"/>
  <c r="AZ1142" i="32"/>
  <c r="BA1142" i="32"/>
  <c r="AK1143" i="32"/>
  <c r="AL1143" i="32"/>
  <c r="AM1143" i="32"/>
  <c r="AN1143" i="32"/>
  <c r="AO1143" i="32"/>
  <c r="AP1143" i="32"/>
  <c r="AQ1143" i="32"/>
  <c r="Q1143" i="32"/>
  <c r="AR1143" i="32"/>
  <c r="AS1143" i="32"/>
  <c r="AT1143" i="32"/>
  <c r="AU1143" i="32"/>
  <c r="AV1143" i="32"/>
  <c r="AW1143" i="32"/>
  <c r="AX1143" i="32"/>
  <c r="AY1143" i="32"/>
  <c r="AZ1143" i="32"/>
  <c r="BA1143" i="32"/>
  <c r="AK1144" i="32"/>
  <c r="AL1144" i="32"/>
  <c r="AM1144" i="32"/>
  <c r="AN1144" i="32"/>
  <c r="AO1144" i="32"/>
  <c r="AP1144" i="32"/>
  <c r="AQ1144" i="32"/>
  <c r="Q1144" i="32"/>
  <c r="AR1144" i="32"/>
  <c r="AS1144" i="32"/>
  <c r="AT1144" i="32"/>
  <c r="AU1144" i="32"/>
  <c r="AV1144" i="32"/>
  <c r="AW1144" i="32"/>
  <c r="AX1144" i="32"/>
  <c r="AY1144" i="32"/>
  <c r="AZ1144" i="32"/>
  <c r="BA1144" i="32"/>
  <c r="AK1145" i="32"/>
  <c r="AL1145" i="32"/>
  <c r="AM1145" i="32"/>
  <c r="AN1145" i="32"/>
  <c r="AO1145" i="32"/>
  <c r="AP1145" i="32"/>
  <c r="AQ1145" i="32"/>
  <c r="Q1145" i="32"/>
  <c r="AR1145" i="32"/>
  <c r="AS1145" i="32"/>
  <c r="AT1145" i="32"/>
  <c r="AU1145" i="32"/>
  <c r="AV1145" i="32"/>
  <c r="AW1145" i="32"/>
  <c r="AX1145" i="32"/>
  <c r="AY1145" i="32"/>
  <c r="AZ1145" i="32"/>
  <c r="BA1145" i="32"/>
  <c r="AK1146" i="32"/>
  <c r="AL1146" i="32"/>
  <c r="AM1146" i="32"/>
  <c r="AN1146" i="32"/>
  <c r="AO1146" i="32"/>
  <c r="AP1146" i="32"/>
  <c r="AQ1146" i="32"/>
  <c r="Q1146" i="32"/>
  <c r="AR1146" i="32"/>
  <c r="AS1146" i="32"/>
  <c r="AT1146" i="32"/>
  <c r="AU1146" i="32"/>
  <c r="AV1146" i="32"/>
  <c r="AW1146" i="32"/>
  <c r="AX1146" i="32"/>
  <c r="AY1146" i="32"/>
  <c r="AZ1146" i="32"/>
  <c r="BA1146" i="32"/>
  <c r="AK1147" i="32"/>
  <c r="AL1147" i="32"/>
  <c r="AM1147" i="32"/>
  <c r="AN1147" i="32"/>
  <c r="AO1147" i="32"/>
  <c r="AP1147" i="32"/>
  <c r="AQ1147" i="32"/>
  <c r="Q1147" i="32"/>
  <c r="AR1147" i="32"/>
  <c r="AS1147" i="32"/>
  <c r="AT1147" i="32"/>
  <c r="AU1147" i="32"/>
  <c r="AV1147" i="32"/>
  <c r="AW1147" i="32"/>
  <c r="AX1147" i="32"/>
  <c r="AY1147" i="32"/>
  <c r="AZ1147" i="32"/>
  <c r="BA1147" i="32"/>
  <c r="AK1148" i="32"/>
  <c r="AL1148" i="32"/>
  <c r="AM1148" i="32"/>
  <c r="AN1148" i="32"/>
  <c r="AO1148" i="32"/>
  <c r="AP1148" i="32"/>
  <c r="AQ1148" i="32"/>
  <c r="Q1148" i="32"/>
  <c r="AR1148" i="32"/>
  <c r="AS1148" i="32"/>
  <c r="AT1148" i="32"/>
  <c r="AU1148" i="32"/>
  <c r="AV1148" i="32"/>
  <c r="AW1148" i="32"/>
  <c r="AX1148" i="32"/>
  <c r="AY1148" i="32"/>
  <c r="AZ1148" i="32"/>
  <c r="BA1148" i="32"/>
  <c r="AK1149" i="32"/>
  <c r="AL1149" i="32"/>
  <c r="AM1149" i="32"/>
  <c r="AN1149" i="32"/>
  <c r="AO1149" i="32"/>
  <c r="AP1149" i="32"/>
  <c r="AQ1149" i="32"/>
  <c r="Q1149" i="32"/>
  <c r="AR1149" i="32"/>
  <c r="AS1149" i="32"/>
  <c r="AT1149" i="32"/>
  <c r="AU1149" i="32"/>
  <c r="AV1149" i="32"/>
  <c r="AW1149" i="32"/>
  <c r="AX1149" i="32"/>
  <c r="AY1149" i="32"/>
  <c r="AZ1149" i="32"/>
  <c r="BA1149" i="32"/>
  <c r="AK1150" i="32"/>
  <c r="AL1150" i="32"/>
  <c r="AM1150" i="32"/>
  <c r="AN1150" i="32"/>
  <c r="AO1150" i="32"/>
  <c r="AP1150" i="32"/>
  <c r="AQ1150" i="32"/>
  <c r="Q1150" i="32"/>
  <c r="AR1150" i="32"/>
  <c r="AS1150" i="32"/>
  <c r="AT1150" i="32"/>
  <c r="AU1150" i="32"/>
  <c r="AV1150" i="32"/>
  <c r="AW1150" i="32"/>
  <c r="AX1150" i="32"/>
  <c r="AY1150" i="32"/>
  <c r="AZ1150" i="32"/>
  <c r="BA1150" i="32"/>
  <c r="AK1151" i="32"/>
  <c r="AL1151" i="32"/>
  <c r="AM1151" i="32"/>
  <c r="AN1151" i="32"/>
  <c r="AO1151" i="32"/>
  <c r="AP1151" i="32"/>
  <c r="AQ1151" i="32"/>
  <c r="Q1151" i="32"/>
  <c r="AR1151" i="32"/>
  <c r="AS1151" i="32"/>
  <c r="AT1151" i="32"/>
  <c r="AU1151" i="32"/>
  <c r="AV1151" i="32"/>
  <c r="AW1151" i="32"/>
  <c r="AX1151" i="32"/>
  <c r="AY1151" i="32"/>
  <c r="AZ1151" i="32"/>
  <c r="BA1151" i="32"/>
  <c r="AK1152" i="32"/>
  <c r="AL1152" i="32"/>
  <c r="AM1152" i="32"/>
  <c r="AN1152" i="32"/>
  <c r="AO1152" i="32"/>
  <c r="AP1152" i="32"/>
  <c r="AQ1152" i="32"/>
  <c r="Q1152" i="32"/>
  <c r="AR1152" i="32"/>
  <c r="AS1152" i="32"/>
  <c r="AT1152" i="32"/>
  <c r="AU1152" i="32"/>
  <c r="AV1152" i="32"/>
  <c r="AW1152" i="32"/>
  <c r="AX1152" i="32"/>
  <c r="AY1152" i="32"/>
  <c r="AZ1152" i="32"/>
  <c r="BA1152" i="32"/>
  <c r="AK1153" i="32"/>
  <c r="AL1153" i="32"/>
  <c r="AM1153" i="32"/>
  <c r="AN1153" i="32"/>
  <c r="AO1153" i="32"/>
  <c r="AP1153" i="32"/>
  <c r="AQ1153" i="32"/>
  <c r="Q1153" i="32"/>
  <c r="AR1153" i="32"/>
  <c r="AS1153" i="32"/>
  <c r="AT1153" i="32"/>
  <c r="AU1153" i="32"/>
  <c r="AV1153" i="32"/>
  <c r="AW1153" i="32"/>
  <c r="AX1153" i="32"/>
  <c r="AY1153" i="32"/>
  <c r="AZ1153" i="32"/>
  <c r="BA1153" i="32"/>
  <c r="AK1154" i="32"/>
  <c r="AL1154" i="32"/>
  <c r="AM1154" i="32"/>
  <c r="AN1154" i="32"/>
  <c r="AO1154" i="32"/>
  <c r="AP1154" i="32"/>
  <c r="AQ1154" i="32"/>
  <c r="Q1154" i="32"/>
  <c r="AR1154" i="32"/>
  <c r="AS1154" i="32"/>
  <c r="AT1154" i="32"/>
  <c r="AU1154" i="32"/>
  <c r="AV1154" i="32"/>
  <c r="AW1154" i="32"/>
  <c r="AX1154" i="32"/>
  <c r="AY1154" i="32"/>
  <c r="AZ1154" i="32"/>
  <c r="BA1154" i="32"/>
  <c r="AK1155" i="32"/>
  <c r="AL1155" i="32"/>
  <c r="AM1155" i="32"/>
  <c r="AN1155" i="32"/>
  <c r="AO1155" i="32"/>
  <c r="AP1155" i="32"/>
  <c r="AQ1155" i="32"/>
  <c r="Q1155" i="32"/>
  <c r="AR1155" i="32"/>
  <c r="AS1155" i="32"/>
  <c r="AT1155" i="32"/>
  <c r="AU1155" i="32"/>
  <c r="AV1155" i="32"/>
  <c r="AW1155" i="32"/>
  <c r="AX1155" i="32"/>
  <c r="AY1155" i="32"/>
  <c r="AZ1155" i="32"/>
  <c r="BA1155" i="32"/>
  <c r="AK1156" i="32"/>
  <c r="AL1156" i="32"/>
  <c r="AM1156" i="32"/>
  <c r="AN1156" i="32"/>
  <c r="AO1156" i="32"/>
  <c r="AP1156" i="32"/>
  <c r="AQ1156" i="32"/>
  <c r="Q1156" i="32"/>
  <c r="AR1156" i="32"/>
  <c r="AS1156" i="32"/>
  <c r="AT1156" i="32"/>
  <c r="AU1156" i="32"/>
  <c r="AV1156" i="32"/>
  <c r="AW1156" i="32"/>
  <c r="AX1156" i="32"/>
  <c r="AY1156" i="32"/>
  <c r="AZ1156" i="32"/>
  <c r="BA1156" i="32"/>
  <c r="AK1157" i="32"/>
  <c r="AL1157" i="32"/>
  <c r="AM1157" i="32"/>
  <c r="AN1157" i="32"/>
  <c r="AO1157" i="32"/>
  <c r="AP1157" i="32"/>
  <c r="AQ1157" i="32"/>
  <c r="Q1157" i="32"/>
  <c r="AR1157" i="32"/>
  <c r="AS1157" i="32"/>
  <c r="AT1157" i="32"/>
  <c r="AU1157" i="32"/>
  <c r="AV1157" i="32"/>
  <c r="AW1157" i="32"/>
  <c r="AX1157" i="32"/>
  <c r="AY1157" i="32"/>
  <c r="AZ1157" i="32"/>
  <c r="BA1157" i="32"/>
  <c r="AK1158" i="32"/>
  <c r="AL1158" i="32"/>
  <c r="AM1158" i="32"/>
  <c r="AN1158" i="32"/>
  <c r="AO1158" i="32"/>
  <c r="AP1158" i="32"/>
  <c r="AQ1158" i="32"/>
  <c r="Q1158" i="32"/>
  <c r="AR1158" i="32"/>
  <c r="AS1158" i="32"/>
  <c r="AT1158" i="32"/>
  <c r="AU1158" i="32"/>
  <c r="AV1158" i="32"/>
  <c r="AW1158" i="32"/>
  <c r="AX1158" i="32"/>
  <c r="AY1158" i="32"/>
  <c r="AZ1158" i="32"/>
  <c r="BA1158" i="32"/>
  <c r="AK1159" i="32"/>
  <c r="AL1159" i="32"/>
  <c r="AM1159" i="32"/>
  <c r="AN1159" i="32"/>
  <c r="AO1159" i="32"/>
  <c r="AP1159" i="32"/>
  <c r="AQ1159" i="32"/>
  <c r="Q1159" i="32"/>
  <c r="AR1159" i="32"/>
  <c r="AS1159" i="32"/>
  <c r="AT1159" i="32"/>
  <c r="AU1159" i="32"/>
  <c r="AV1159" i="32"/>
  <c r="AW1159" i="32"/>
  <c r="AX1159" i="32"/>
  <c r="AY1159" i="32"/>
  <c r="AZ1159" i="32"/>
  <c r="BA1159" i="32"/>
  <c r="AK1160" i="32"/>
  <c r="AL1160" i="32"/>
  <c r="AM1160" i="32"/>
  <c r="AN1160" i="32"/>
  <c r="AO1160" i="32"/>
  <c r="AP1160" i="32"/>
  <c r="AQ1160" i="32"/>
  <c r="Q1160" i="32"/>
  <c r="AR1160" i="32"/>
  <c r="AS1160" i="32"/>
  <c r="AT1160" i="32"/>
  <c r="AU1160" i="32"/>
  <c r="AV1160" i="32"/>
  <c r="AW1160" i="32"/>
  <c r="AX1160" i="32"/>
  <c r="AY1160" i="32"/>
  <c r="AZ1160" i="32"/>
  <c r="BA1160" i="32"/>
  <c r="AK1161" i="32"/>
  <c r="AL1161" i="32"/>
  <c r="AM1161" i="32"/>
  <c r="AN1161" i="32"/>
  <c r="AO1161" i="32"/>
  <c r="AP1161" i="32"/>
  <c r="AQ1161" i="32"/>
  <c r="Q1161" i="32"/>
  <c r="AR1161" i="32"/>
  <c r="AS1161" i="32"/>
  <c r="AT1161" i="32"/>
  <c r="AU1161" i="32"/>
  <c r="AV1161" i="32"/>
  <c r="AW1161" i="32"/>
  <c r="AX1161" i="32"/>
  <c r="AY1161" i="32"/>
  <c r="AZ1161" i="32"/>
  <c r="BA1161" i="32"/>
  <c r="AK1162" i="32"/>
  <c r="AL1162" i="32"/>
  <c r="AM1162" i="32"/>
  <c r="AN1162" i="32"/>
  <c r="AO1162" i="32"/>
  <c r="AP1162" i="32"/>
  <c r="AQ1162" i="32"/>
  <c r="Q1162" i="32"/>
  <c r="AR1162" i="32"/>
  <c r="AS1162" i="32"/>
  <c r="AT1162" i="32"/>
  <c r="AU1162" i="32"/>
  <c r="AV1162" i="32"/>
  <c r="AW1162" i="32"/>
  <c r="AX1162" i="32"/>
  <c r="AY1162" i="32"/>
  <c r="AZ1162" i="32"/>
  <c r="BA1162" i="32"/>
  <c r="AK1163" i="32"/>
  <c r="AL1163" i="32"/>
  <c r="AM1163" i="32"/>
  <c r="AN1163" i="32"/>
  <c r="AO1163" i="32"/>
  <c r="AP1163" i="32"/>
  <c r="AQ1163" i="32"/>
  <c r="Q1163" i="32"/>
  <c r="AR1163" i="32"/>
  <c r="AS1163" i="32"/>
  <c r="AT1163" i="32"/>
  <c r="AU1163" i="32"/>
  <c r="AV1163" i="32"/>
  <c r="AW1163" i="32"/>
  <c r="AX1163" i="32"/>
  <c r="AY1163" i="32"/>
  <c r="AZ1163" i="32"/>
  <c r="BA1163" i="32"/>
  <c r="AK1164" i="32"/>
  <c r="AL1164" i="32"/>
  <c r="AM1164" i="32"/>
  <c r="AN1164" i="32"/>
  <c r="AO1164" i="32"/>
  <c r="AP1164" i="32"/>
  <c r="AQ1164" i="32"/>
  <c r="Q1164" i="32"/>
  <c r="AR1164" i="32"/>
  <c r="AS1164" i="32"/>
  <c r="AT1164" i="32"/>
  <c r="AU1164" i="32"/>
  <c r="AV1164" i="32"/>
  <c r="AW1164" i="32"/>
  <c r="AX1164" i="32"/>
  <c r="AY1164" i="32"/>
  <c r="AZ1164" i="32"/>
  <c r="BA1164" i="32"/>
  <c r="AK1165" i="32"/>
  <c r="AL1165" i="32"/>
  <c r="AM1165" i="32"/>
  <c r="AN1165" i="32"/>
  <c r="AO1165" i="32"/>
  <c r="AP1165" i="32"/>
  <c r="AQ1165" i="32"/>
  <c r="Q1165" i="32"/>
  <c r="AR1165" i="32"/>
  <c r="AS1165" i="32"/>
  <c r="AT1165" i="32"/>
  <c r="AU1165" i="32"/>
  <c r="AV1165" i="32"/>
  <c r="AW1165" i="32"/>
  <c r="AX1165" i="32"/>
  <c r="AY1165" i="32"/>
  <c r="AZ1165" i="32"/>
  <c r="BA1165" i="32"/>
  <c r="AK1166" i="32"/>
  <c r="AL1166" i="32"/>
  <c r="AM1166" i="32"/>
  <c r="AN1166" i="32"/>
  <c r="AO1166" i="32"/>
  <c r="AP1166" i="32"/>
  <c r="AQ1166" i="32"/>
  <c r="Q1166" i="32"/>
  <c r="AR1166" i="32"/>
  <c r="AS1166" i="32"/>
  <c r="AT1166" i="32"/>
  <c r="AU1166" i="32"/>
  <c r="AV1166" i="32"/>
  <c r="AW1166" i="32"/>
  <c r="AX1166" i="32"/>
  <c r="AY1166" i="32"/>
  <c r="AZ1166" i="32"/>
  <c r="BA1166" i="32"/>
  <c r="AK1167" i="32"/>
  <c r="AL1167" i="32"/>
  <c r="AM1167" i="32"/>
  <c r="AN1167" i="32"/>
  <c r="AO1167" i="32"/>
  <c r="AP1167" i="32"/>
  <c r="AQ1167" i="32"/>
  <c r="Q1167" i="32"/>
  <c r="AR1167" i="32"/>
  <c r="AS1167" i="32"/>
  <c r="AT1167" i="32"/>
  <c r="AU1167" i="32"/>
  <c r="AV1167" i="32"/>
  <c r="AW1167" i="32"/>
  <c r="AX1167" i="32"/>
  <c r="AY1167" i="32"/>
  <c r="AZ1167" i="32"/>
  <c r="BA1167" i="32"/>
  <c r="AK1168" i="32"/>
  <c r="AL1168" i="32"/>
  <c r="AM1168" i="32"/>
  <c r="AN1168" i="32"/>
  <c r="AO1168" i="32"/>
  <c r="AP1168" i="32"/>
  <c r="AQ1168" i="32"/>
  <c r="Q1168" i="32"/>
  <c r="AR1168" i="32"/>
  <c r="AS1168" i="32"/>
  <c r="AT1168" i="32"/>
  <c r="AU1168" i="32"/>
  <c r="AV1168" i="32"/>
  <c r="AW1168" i="32"/>
  <c r="AX1168" i="32"/>
  <c r="AY1168" i="32"/>
  <c r="AZ1168" i="32"/>
  <c r="BA1168" i="32"/>
  <c r="AK1169" i="32"/>
  <c r="AL1169" i="32"/>
  <c r="AM1169" i="32"/>
  <c r="AN1169" i="32"/>
  <c r="AO1169" i="32"/>
  <c r="AP1169" i="32"/>
  <c r="AQ1169" i="32"/>
  <c r="Q1169" i="32"/>
  <c r="AR1169" i="32"/>
  <c r="AS1169" i="32"/>
  <c r="AT1169" i="32"/>
  <c r="AU1169" i="32"/>
  <c r="AV1169" i="32"/>
  <c r="AW1169" i="32"/>
  <c r="AX1169" i="32"/>
  <c r="AY1169" i="32"/>
  <c r="AZ1169" i="32"/>
  <c r="BA1169" i="32"/>
  <c r="AK1170" i="32"/>
  <c r="AL1170" i="32"/>
  <c r="AM1170" i="32"/>
  <c r="AN1170" i="32"/>
  <c r="AO1170" i="32"/>
  <c r="AP1170" i="32"/>
  <c r="AQ1170" i="32"/>
  <c r="Q1170" i="32"/>
  <c r="AR1170" i="32"/>
  <c r="AS1170" i="32"/>
  <c r="AT1170" i="32"/>
  <c r="AU1170" i="32"/>
  <c r="AV1170" i="32"/>
  <c r="AW1170" i="32"/>
  <c r="AX1170" i="32"/>
  <c r="AY1170" i="32"/>
  <c r="AZ1170" i="32"/>
  <c r="BA1170" i="32"/>
  <c r="AK1171" i="32"/>
  <c r="AL1171" i="32"/>
  <c r="AM1171" i="32"/>
  <c r="AN1171" i="32"/>
  <c r="AO1171" i="32"/>
  <c r="AP1171" i="32"/>
  <c r="AQ1171" i="32"/>
  <c r="Q1171" i="32"/>
  <c r="AR1171" i="32"/>
  <c r="AS1171" i="32"/>
  <c r="AT1171" i="32"/>
  <c r="AU1171" i="32"/>
  <c r="AV1171" i="32"/>
  <c r="AW1171" i="32"/>
  <c r="AX1171" i="32"/>
  <c r="AY1171" i="32"/>
  <c r="AZ1171" i="32"/>
  <c r="BA1171" i="32"/>
  <c r="AK1172" i="32"/>
  <c r="AL1172" i="32"/>
  <c r="AM1172" i="32"/>
  <c r="AN1172" i="32"/>
  <c r="AO1172" i="32"/>
  <c r="AP1172" i="32"/>
  <c r="AQ1172" i="32"/>
  <c r="Q1172" i="32"/>
  <c r="AR1172" i="32"/>
  <c r="AS1172" i="32"/>
  <c r="AT1172" i="32"/>
  <c r="AU1172" i="32"/>
  <c r="AV1172" i="32"/>
  <c r="AW1172" i="32"/>
  <c r="AX1172" i="32"/>
  <c r="AY1172" i="32"/>
  <c r="AZ1172" i="32"/>
  <c r="BA1172" i="32"/>
  <c r="AK1173" i="32"/>
  <c r="AL1173" i="32"/>
  <c r="AM1173" i="32"/>
  <c r="AN1173" i="32"/>
  <c r="AO1173" i="32"/>
  <c r="AP1173" i="32"/>
  <c r="AQ1173" i="32"/>
  <c r="Q1173" i="32"/>
  <c r="AR1173" i="32"/>
  <c r="AS1173" i="32"/>
  <c r="AT1173" i="32"/>
  <c r="AU1173" i="32"/>
  <c r="AV1173" i="32"/>
  <c r="AW1173" i="32"/>
  <c r="AX1173" i="32"/>
  <c r="AY1173" i="32"/>
  <c r="AZ1173" i="32"/>
  <c r="BA1173" i="32"/>
  <c r="AK1174" i="32"/>
  <c r="AL1174" i="32"/>
  <c r="AM1174" i="32"/>
  <c r="AN1174" i="32"/>
  <c r="AO1174" i="32"/>
  <c r="AP1174" i="32"/>
  <c r="AQ1174" i="32"/>
  <c r="Q1174" i="32"/>
  <c r="AR1174" i="32"/>
  <c r="AS1174" i="32"/>
  <c r="AT1174" i="32"/>
  <c r="AU1174" i="32"/>
  <c r="AV1174" i="32"/>
  <c r="AW1174" i="32"/>
  <c r="AX1174" i="32"/>
  <c r="AY1174" i="32"/>
  <c r="AZ1174" i="32"/>
  <c r="BA1174" i="32"/>
  <c r="AK1175" i="32"/>
  <c r="AL1175" i="32"/>
  <c r="AM1175" i="32"/>
  <c r="AN1175" i="32"/>
  <c r="AO1175" i="32"/>
  <c r="AP1175" i="32"/>
  <c r="AQ1175" i="32"/>
  <c r="Q1175" i="32"/>
  <c r="AR1175" i="32"/>
  <c r="AS1175" i="32"/>
  <c r="AT1175" i="32"/>
  <c r="AU1175" i="32"/>
  <c r="AV1175" i="32"/>
  <c r="AW1175" i="32"/>
  <c r="AX1175" i="32"/>
  <c r="AY1175" i="32"/>
  <c r="AZ1175" i="32"/>
  <c r="BA1175" i="32"/>
  <c r="AK1176" i="32"/>
  <c r="AL1176" i="32"/>
  <c r="AM1176" i="32"/>
  <c r="AN1176" i="32"/>
  <c r="AO1176" i="32"/>
  <c r="AP1176" i="32"/>
  <c r="AQ1176" i="32"/>
  <c r="Q1176" i="32"/>
  <c r="AR1176" i="32"/>
  <c r="AS1176" i="32"/>
  <c r="AT1176" i="32"/>
  <c r="AU1176" i="32"/>
  <c r="AV1176" i="32"/>
  <c r="AW1176" i="32"/>
  <c r="AX1176" i="32"/>
  <c r="AY1176" i="32"/>
  <c r="AZ1176" i="32"/>
  <c r="BA1176" i="32"/>
  <c r="AK1177" i="32"/>
  <c r="AL1177" i="32"/>
  <c r="AM1177" i="32"/>
  <c r="AN1177" i="32"/>
  <c r="AO1177" i="32"/>
  <c r="AP1177" i="32"/>
  <c r="AQ1177" i="32"/>
  <c r="Q1177" i="32"/>
  <c r="AR1177" i="32"/>
  <c r="AS1177" i="32"/>
  <c r="AT1177" i="32"/>
  <c r="AU1177" i="32"/>
  <c r="AV1177" i="32"/>
  <c r="AW1177" i="32"/>
  <c r="AX1177" i="32"/>
  <c r="AY1177" i="32"/>
  <c r="AZ1177" i="32"/>
  <c r="BA1177" i="32"/>
  <c r="AK1178" i="32"/>
  <c r="AL1178" i="32"/>
  <c r="AM1178" i="32"/>
  <c r="AN1178" i="32"/>
  <c r="AO1178" i="32"/>
  <c r="AP1178" i="32"/>
  <c r="AQ1178" i="32"/>
  <c r="Q1178" i="32"/>
  <c r="AR1178" i="32"/>
  <c r="AS1178" i="32"/>
  <c r="AT1178" i="32"/>
  <c r="AU1178" i="32"/>
  <c r="AV1178" i="32"/>
  <c r="AW1178" i="32"/>
  <c r="AX1178" i="32"/>
  <c r="AY1178" i="32"/>
  <c r="AZ1178" i="32"/>
  <c r="BA1178" i="32"/>
  <c r="AK1179" i="32"/>
  <c r="AL1179" i="32"/>
  <c r="AM1179" i="32"/>
  <c r="AN1179" i="32"/>
  <c r="AO1179" i="32"/>
  <c r="AP1179" i="32"/>
  <c r="AQ1179" i="32"/>
  <c r="Q1179" i="32"/>
  <c r="AR1179" i="32"/>
  <c r="AS1179" i="32"/>
  <c r="AT1179" i="32"/>
  <c r="AU1179" i="32"/>
  <c r="AV1179" i="32"/>
  <c r="AW1179" i="32"/>
  <c r="AX1179" i="32"/>
  <c r="AY1179" i="32"/>
  <c r="AZ1179" i="32"/>
  <c r="BA1179" i="32"/>
  <c r="AK1180" i="32"/>
  <c r="AL1180" i="32"/>
  <c r="AM1180" i="32"/>
  <c r="AN1180" i="32"/>
  <c r="AO1180" i="32"/>
  <c r="AP1180" i="32"/>
  <c r="AQ1180" i="32"/>
  <c r="Q1180" i="32"/>
  <c r="AR1180" i="32"/>
  <c r="AS1180" i="32"/>
  <c r="AT1180" i="32"/>
  <c r="AU1180" i="32"/>
  <c r="AV1180" i="32"/>
  <c r="AW1180" i="32"/>
  <c r="AX1180" i="32"/>
  <c r="AY1180" i="32"/>
  <c r="AZ1180" i="32"/>
  <c r="BA1180" i="32"/>
  <c r="AK1181" i="32"/>
  <c r="AL1181" i="32"/>
  <c r="AM1181" i="32"/>
  <c r="AN1181" i="32"/>
  <c r="AO1181" i="32"/>
  <c r="AP1181" i="32"/>
  <c r="AQ1181" i="32"/>
  <c r="Q1181" i="32"/>
  <c r="AR1181" i="32"/>
  <c r="AS1181" i="32"/>
  <c r="AT1181" i="32"/>
  <c r="AU1181" i="32"/>
  <c r="AV1181" i="32"/>
  <c r="AW1181" i="32"/>
  <c r="AX1181" i="32"/>
  <c r="AY1181" i="32"/>
  <c r="AZ1181" i="32"/>
  <c r="BA1181" i="32"/>
  <c r="AK1182" i="32"/>
  <c r="AL1182" i="32"/>
  <c r="AM1182" i="32"/>
  <c r="AN1182" i="32"/>
  <c r="AO1182" i="32"/>
  <c r="AP1182" i="32"/>
  <c r="AQ1182" i="32"/>
  <c r="Q1182" i="32"/>
  <c r="AR1182" i="32"/>
  <c r="AS1182" i="32"/>
  <c r="AT1182" i="32"/>
  <c r="AU1182" i="32"/>
  <c r="AV1182" i="32"/>
  <c r="AW1182" i="32"/>
  <c r="AX1182" i="32"/>
  <c r="AY1182" i="32"/>
  <c r="AZ1182" i="32"/>
  <c r="BA1182" i="32"/>
  <c r="AK1183" i="32"/>
  <c r="AL1183" i="32"/>
  <c r="AM1183" i="32"/>
  <c r="AN1183" i="32"/>
  <c r="AO1183" i="32"/>
  <c r="AP1183" i="32"/>
  <c r="AQ1183" i="32"/>
  <c r="Q1183" i="32"/>
  <c r="AR1183" i="32"/>
  <c r="AS1183" i="32"/>
  <c r="AT1183" i="32"/>
  <c r="AU1183" i="32"/>
  <c r="AV1183" i="32"/>
  <c r="AW1183" i="32"/>
  <c r="AX1183" i="32"/>
  <c r="AY1183" i="32"/>
  <c r="AZ1183" i="32"/>
  <c r="BA1183" i="32"/>
  <c r="AK1184" i="32"/>
  <c r="AL1184" i="32"/>
  <c r="AM1184" i="32"/>
  <c r="AN1184" i="32"/>
  <c r="AO1184" i="32"/>
  <c r="AP1184" i="32"/>
  <c r="AQ1184" i="32"/>
  <c r="Q1184" i="32"/>
  <c r="AR1184" i="32"/>
  <c r="AS1184" i="32"/>
  <c r="AT1184" i="32"/>
  <c r="AU1184" i="32"/>
  <c r="AV1184" i="32"/>
  <c r="AW1184" i="32"/>
  <c r="AX1184" i="32"/>
  <c r="AY1184" i="32"/>
  <c r="AZ1184" i="32"/>
  <c r="BA1184" i="32"/>
  <c r="AK1185" i="32"/>
  <c r="AL1185" i="32"/>
  <c r="AM1185" i="32"/>
  <c r="AN1185" i="32"/>
  <c r="AO1185" i="32"/>
  <c r="AP1185" i="32"/>
  <c r="AQ1185" i="32"/>
  <c r="Q1185" i="32"/>
  <c r="AR1185" i="32"/>
  <c r="AS1185" i="32"/>
  <c r="AT1185" i="32"/>
  <c r="AU1185" i="32"/>
  <c r="AV1185" i="32"/>
  <c r="AW1185" i="32"/>
  <c r="AX1185" i="32"/>
  <c r="AY1185" i="32"/>
  <c r="AZ1185" i="32"/>
  <c r="BA1185" i="32"/>
  <c r="AK1186" i="32"/>
  <c r="AL1186" i="32"/>
  <c r="AM1186" i="32"/>
  <c r="AN1186" i="32"/>
  <c r="AO1186" i="32"/>
  <c r="AP1186" i="32"/>
  <c r="AQ1186" i="32"/>
  <c r="Q1186" i="32"/>
  <c r="AR1186" i="32"/>
  <c r="AS1186" i="32"/>
  <c r="AT1186" i="32"/>
  <c r="AU1186" i="32"/>
  <c r="AV1186" i="32"/>
  <c r="AW1186" i="32"/>
  <c r="AX1186" i="32"/>
  <c r="AY1186" i="32"/>
  <c r="AZ1186" i="32"/>
  <c r="BA1186" i="32"/>
  <c r="AK1187" i="32"/>
  <c r="AL1187" i="32"/>
  <c r="AM1187" i="32"/>
  <c r="AN1187" i="32"/>
  <c r="AO1187" i="32"/>
  <c r="AP1187" i="32"/>
  <c r="AQ1187" i="32"/>
  <c r="Q1187" i="32"/>
  <c r="AR1187" i="32"/>
  <c r="AS1187" i="32"/>
  <c r="AT1187" i="32"/>
  <c r="AU1187" i="32"/>
  <c r="AV1187" i="32"/>
  <c r="AW1187" i="32"/>
  <c r="AX1187" i="32"/>
  <c r="AY1187" i="32"/>
  <c r="AZ1187" i="32"/>
  <c r="BA1187" i="32"/>
  <c r="AK1188" i="32"/>
  <c r="AL1188" i="32"/>
  <c r="AM1188" i="32"/>
  <c r="AN1188" i="32"/>
  <c r="AO1188" i="32"/>
  <c r="AP1188" i="32"/>
  <c r="AQ1188" i="32"/>
  <c r="Q1188" i="32"/>
  <c r="AR1188" i="32"/>
  <c r="AS1188" i="32"/>
  <c r="AT1188" i="32"/>
  <c r="AU1188" i="32"/>
  <c r="AV1188" i="32"/>
  <c r="AW1188" i="32"/>
  <c r="AX1188" i="32"/>
  <c r="AY1188" i="32"/>
  <c r="AZ1188" i="32"/>
  <c r="BA1188" i="32"/>
  <c r="AK1189" i="32"/>
  <c r="AL1189" i="32"/>
  <c r="AM1189" i="32"/>
  <c r="AN1189" i="32"/>
  <c r="AO1189" i="32"/>
  <c r="AP1189" i="32"/>
  <c r="AQ1189" i="32"/>
  <c r="Q1189" i="32"/>
  <c r="AR1189" i="32"/>
  <c r="AS1189" i="32"/>
  <c r="AT1189" i="32"/>
  <c r="AU1189" i="32"/>
  <c r="AV1189" i="32"/>
  <c r="AW1189" i="32"/>
  <c r="AX1189" i="32"/>
  <c r="AY1189" i="32"/>
  <c r="AZ1189" i="32"/>
  <c r="BA1189" i="32"/>
  <c r="AK1190" i="32"/>
  <c r="AL1190" i="32"/>
  <c r="AM1190" i="32"/>
  <c r="AN1190" i="32"/>
  <c r="AO1190" i="32"/>
  <c r="AP1190" i="32"/>
  <c r="AQ1190" i="32"/>
  <c r="Q1190" i="32"/>
  <c r="AR1190" i="32"/>
  <c r="AS1190" i="32"/>
  <c r="AT1190" i="32"/>
  <c r="AU1190" i="32"/>
  <c r="AV1190" i="32"/>
  <c r="AW1190" i="32"/>
  <c r="AX1190" i="32"/>
  <c r="AY1190" i="32"/>
  <c r="AZ1190" i="32"/>
  <c r="BA1190" i="32"/>
  <c r="AK1191" i="32"/>
  <c r="AL1191" i="32"/>
  <c r="AM1191" i="32"/>
  <c r="AN1191" i="32"/>
  <c r="AO1191" i="32"/>
  <c r="AP1191" i="32"/>
  <c r="AQ1191" i="32"/>
  <c r="Q1191" i="32"/>
  <c r="AR1191" i="32"/>
  <c r="AS1191" i="32"/>
  <c r="AT1191" i="32"/>
  <c r="AU1191" i="32"/>
  <c r="AV1191" i="32"/>
  <c r="AW1191" i="32"/>
  <c r="AX1191" i="32"/>
  <c r="AY1191" i="32"/>
  <c r="AZ1191" i="32"/>
  <c r="BA1191" i="32"/>
  <c r="AK1192" i="32"/>
  <c r="AL1192" i="32"/>
  <c r="AM1192" i="32"/>
  <c r="AN1192" i="32"/>
  <c r="AO1192" i="32"/>
  <c r="AP1192" i="32"/>
  <c r="AQ1192" i="32"/>
  <c r="Q1192" i="32"/>
  <c r="AR1192" i="32"/>
  <c r="AS1192" i="32"/>
  <c r="AT1192" i="32"/>
  <c r="AU1192" i="32"/>
  <c r="AV1192" i="32"/>
  <c r="AW1192" i="32"/>
  <c r="AX1192" i="32"/>
  <c r="AY1192" i="32"/>
  <c r="AZ1192" i="32"/>
  <c r="BA1192" i="32"/>
  <c r="AK1193" i="32"/>
  <c r="AL1193" i="32"/>
  <c r="AM1193" i="32"/>
  <c r="AN1193" i="32"/>
  <c r="AO1193" i="32"/>
  <c r="AP1193" i="32"/>
  <c r="AQ1193" i="32"/>
  <c r="Q1193" i="32"/>
  <c r="AR1193" i="32"/>
  <c r="AS1193" i="32"/>
  <c r="AT1193" i="32"/>
  <c r="AU1193" i="32"/>
  <c r="AV1193" i="32"/>
  <c r="AW1193" i="32"/>
  <c r="AX1193" i="32"/>
  <c r="AY1193" i="32"/>
  <c r="AZ1193" i="32"/>
  <c r="BA1193" i="32"/>
  <c r="AK1194" i="32"/>
  <c r="AL1194" i="32"/>
  <c r="AM1194" i="32"/>
  <c r="AN1194" i="32"/>
  <c r="AO1194" i="32"/>
  <c r="AP1194" i="32"/>
  <c r="AQ1194" i="32"/>
  <c r="Q1194" i="32"/>
  <c r="AR1194" i="32"/>
  <c r="AS1194" i="32"/>
  <c r="AT1194" i="32"/>
  <c r="AU1194" i="32"/>
  <c r="AV1194" i="32"/>
  <c r="AW1194" i="32"/>
  <c r="AX1194" i="32"/>
  <c r="AY1194" i="32"/>
  <c r="AZ1194" i="32"/>
  <c r="BA1194" i="32"/>
  <c r="AK1195" i="32"/>
  <c r="AL1195" i="32"/>
  <c r="AM1195" i="32"/>
  <c r="AN1195" i="32"/>
  <c r="AO1195" i="32"/>
  <c r="AP1195" i="32"/>
  <c r="AQ1195" i="32"/>
  <c r="Q1195" i="32"/>
  <c r="AR1195" i="32"/>
  <c r="AS1195" i="32"/>
  <c r="AT1195" i="32"/>
  <c r="AU1195" i="32"/>
  <c r="AV1195" i="32"/>
  <c r="AW1195" i="32"/>
  <c r="AX1195" i="32"/>
  <c r="AY1195" i="32"/>
  <c r="AZ1195" i="32"/>
  <c r="BA1195" i="32"/>
  <c r="AK1196" i="32"/>
  <c r="AL1196" i="32"/>
  <c r="AM1196" i="32"/>
  <c r="AN1196" i="32"/>
  <c r="AO1196" i="32"/>
  <c r="AP1196" i="32"/>
  <c r="AQ1196" i="32"/>
  <c r="Q1196" i="32"/>
  <c r="AR1196" i="32"/>
  <c r="AS1196" i="32"/>
  <c r="AT1196" i="32"/>
  <c r="AU1196" i="32"/>
  <c r="AV1196" i="32"/>
  <c r="AW1196" i="32"/>
  <c r="AX1196" i="32"/>
  <c r="AY1196" i="32"/>
  <c r="AZ1196" i="32"/>
  <c r="BA1196" i="32"/>
  <c r="AK1197" i="32"/>
  <c r="AL1197" i="32"/>
  <c r="AM1197" i="32"/>
  <c r="AN1197" i="32"/>
  <c r="AO1197" i="32"/>
  <c r="AP1197" i="32"/>
  <c r="AQ1197" i="32"/>
  <c r="Q1197" i="32"/>
  <c r="AR1197" i="32"/>
  <c r="AS1197" i="32"/>
  <c r="AT1197" i="32"/>
  <c r="AU1197" i="32"/>
  <c r="AV1197" i="32"/>
  <c r="AW1197" i="32"/>
  <c r="AX1197" i="32"/>
  <c r="AY1197" i="32"/>
  <c r="AZ1197" i="32"/>
  <c r="BA1197" i="32"/>
  <c r="AK1198" i="32"/>
  <c r="AL1198" i="32"/>
  <c r="AM1198" i="32"/>
  <c r="AN1198" i="32"/>
  <c r="AO1198" i="32"/>
  <c r="AP1198" i="32"/>
  <c r="AQ1198" i="32"/>
  <c r="Q1198" i="32"/>
  <c r="AR1198" i="32"/>
  <c r="AS1198" i="32"/>
  <c r="AT1198" i="32"/>
  <c r="AU1198" i="32"/>
  <c r="AV1198" i="32"/>
  <c r="AW1198" i="32"/>
  <c r="AX1198" i="32"/>
  <c r="AY1198" i="32"/>
  <c r="AZ1198" i="32"/>
  <c r="BA1198" i="32"/>
  <c r="AK1199" i="32"/>
  <c r="AL1199" i="32"/>
  <c r="AM1199" i="32"/>
  <c r="AN1199" i="32"/>
  <c r="AO1199" i="32"/>
  <c r="AP1199" i="32"/>
  <c r="AQ1199" i="32"/>
  <c r="Q1199" i="32"/>
  <c r="AR1199" i="32"/>
  <c r="AS1199" i="32"/>
  <c r="AT1199" i="32"/>
  <c r="AU1199" i="32"/>
  <c r="AV1199" i="32"/>
  <c r="AW1199" i="32"/>
  <c r="AX1199" i="32"/>
  <c r="AY1199" i="32"/>
  <c r="AZ1199" i="32"/>
  <c r="BA1199" i="32"/>
  <c r="AK1200" i="32"/>
  <c r="AL1200" i="32"/>
  <c r="AM1200" i="32"/>
  <c r="AN1200" i="32"/>
  <c r="AO1200" i="32"/>
  <c r="AP1200" i="32"/>
  <c r="AQ1200" i="32"/>
  <c r="Q1200" i="32"/>
  <c r="AR1200" i="32"/>
  <c r="AS1200" i="32"/>
  <c r="AT1200" i="32"/>
  <c r="AU1200" i="32"/>
  <c r="AV1200" i="32"/>
  <c r="AW1200" i="32"/>
  <c r="AX1200" i="32"/>
  <c r="AY1200" i="32"/>
  <c r="AZ1200" i="32"/>
  <c r="BA1200" i="32"/>
  <c r="AK1201" i="32"/>
  <c r="AL1201" i="32"/>
  <c r="AM1201" i="32"/>
  <c r="AN1201" i="32"/>
  <c r="AO1201" i="32"/>
  <c r="AP1201" i="32"/>
  <c r="AQ1201" i="32"/>
  <c r="Q1201" i="32"/>
  <c r="AR1201" i="32"/>
  <c r="AS1201" i="32"/>
  <c r="AT1201" i="32"/>
  <c r="AU1201" i="32"/>
  <c r="AV1201" i="32"/>
  <c r="AW1201" i="32"/>
  <c r="AX1201" i="32"/>
  <c r="AY1201" i="32"/>
  <c r="AZ1201" i="32"/>
  <c r="BA1201" i="32"/>
  <c r="AK1202" i="32"/>
  <c r="AL1202" i="32"/>
  <c r="AM1202" i="32"/>
  <c r="AN1202" i="32"/>
  <c r="AO1202" i="32"/>
  <c r="AP1202" i="32"/>
  <c r="AQ1202" i="32"/>
  <c r="Q1202" i="32"/>
  <c r="AR1202" i="32"/>
  <c r="AS1202" i="32"/>
  <c r="AT1202" i="32"/>
  <c r="AU1202" i="32"/>
  <c r="AV1202" i="32"/>
  <c r="AW1202" i="32"/>
  <c r="AX1202" i="32"/>
  <c r="AY1202" i="32"/>
  <c r="AZ1202" i="32"/>
  <c r="BA1202" i="32"/>
  <c r="AK1203" i="32"/>
  <c r="AL1203" i="32"/>
  <c r="AM1203" i="32"/>
  <c r="AN1203" i="32"/>
  <c r="AO1203" i="32"/>
  <c r="AP1203" i="32"/>
  <c r="AQ1203" i="32"/>
  <c r="Q1203" i="32"/>
  <c r="AR1203" i="32"/>
  <c r="AS1203" i="32"/>
  <c r="AT1203" i="32"/>
  <c r="AU1203" i="32"/>
  <c r="AV1203" i="32"/>
  <c r="AW1203" i="32"/>
  <c r="AX1203" i="32"/>
  <c r="AY1203" i="32"/>
  <c r="AZ1203" i="32"/>
  <c r="BA1203" i="32"/>
  <c r="AK1204" i="32"/>
  <c r="AL1204" i="32"/>
  <c r="AM1204" i="32"/>
  <c r="AN1204" i="32"/>
  <c r="AO1204" i="32"/>
  <c r="AP1204" i="32"/>
  <c r="AQ1204" i="32"/>
  <c r="Q1204" i="32"/>
  <c r="AR1204" i="32"/>
  <c r="AS1204" i="32"/>
  <c r="AT1204" i="32"/>
  <c r="AU1204" i="32"/>
  <c r="AV1204" i="32"/>
  <c r="AW1204" i="32"/>
  <c r="AX1204" i="32"/>
  <c r="AY1204" i="32"/>
  <c r="AZ1204" i="32"/>
  <c r="BA1204" i="32"/>
  <c r="AK1205" i="32"/>
  <c r="AL1205" i="32"/>
  <c r="AM1205" i="32"/>
  <c r="AN1205" i="32"/>
  <c r="AO1205" i="32"/>
  <c r="AP1205" i="32"/>
  <c r="AQ1205" i="32"/>
  <c r="Q1205" i="32"/>
  <c r="AR1205" i="32"/>
  <c r="AS1205" i="32"/>
  <c r="AT1205" i="32"/>
  <c r="AU1205" i="32"/>
  <c r="AV1205" i="32"/>
  <c r="AW1205" i="32"/>
  <c r="AX1205" i="32"/>
  <c r="AY1205" i="32"/>
  <c r="AZ1205" i="32"/>
  <c r="BA1205" i="32"/>
  <c r="AK1206" i="32"/>
  <c r="AL1206" i="32"/>
  <c r="AM1206" i="32"/>
  <c r="AN1206" i="32"/>
  <c r="AO1206" i="32"/>
  <c r="AP1206" i="32"/>
  <c r="AQ1206" i="32"/>
  <c r="Q1206" i="32"/>
  <c r="AR1206" i="32"/>
  <c r="AS1206" i="32"/>
  <c r="AT1206" i="32"/>
  <c r="AU1206" i="32"/>
  <c r="AV1206" i="32"/>
  <c r="AW1206" i="32"/>
  <c r="AX1206" i="32"/>
  <c r="AY1206" i="32"/>
  <c r="AZ1206" i="32"/>
  <c r="BA1206" i="32"/>
  <c r="AK1207" i="32"/>
  <c r="AL1207" i="32"/>
  <c r="AM1207" i="32"/>
  <c r="AN1207" i="32"/>
  <c r="AO1207" i="32"/>
  <c r="AP1207" i="32"/>
  <c r="AQ1207" i="32"/>
  <c r="Q1207" i="32"/>
  <c r="AR1207" i="32"/>
  <c r="AS1207" i="32"/>
  <c r="AT1207" i="32"/>
  <c r="AU1207" i="32"/>
  <c r="AV1207" i="32"/>
  <c r="AW1207" i="32"/>
  <c r="AX1207" i="32"/>
  <c r="AY1207" i="32"/>
  <c r="AZ1207" i="32"/>
  <c r="BA1207" i="32"/>
  <c r="AK1208" i="32"/>
  <c r="AL1208" i="32"/>
  <c r="AM1208" i="32"/>
  <c r="AN1208" i="32"/>
  <c r="AO1208" i="32"/>
  <c r="AP1208" i="32"/>
  <c r="AQ1208" i="32"/>
  <c r="Q1208" i="32"/>
  <c r="AR1208" i="32"/>
  <c r="AS1208" i="32"/>
  <c r="AT1208" i="32"/>
  <c r="AU1208" i="32"/>
  <c r="AV1208" i="32"/>
  <c r="AW1208" i="32"/>
  <c r="AX1208" i="32"/>
  <c r="AY1208" i="32"/>
  <c r="AZ1208" i="32"/>
  <c r="BA1208" i="32"/>
  <c r="AK1209" i="32"/>
  <c r="AL1209" i="32"/>
  <c r="AM1209" i="32"/>
  <c r="AN1209" i="32"/>
  <c r="AO1209" i="32"/>
  <c r="AP1209" i="32"/>
  <c r="AQ1209" i="32"/>
  <c r="Q1209" i="32"/>
  <c r="AR1209" i="32"/>
  <c r="AS1209" i="32"/>
  <c r="AT1209" i="32"/>
  <c r="AU1209" i="32"/>
  <c r="AV1209" i="32"/>
  <c r="AW1209" i="32"/>
  <c r="AX1209" i="32"/>
  <c r="AY1209" i="32"/>
  <c r="AZ1209" i="32"/>
  <c r="BA1209" i="32"/>
  <c r="AK1210" i="32"/>
  <c r="AL1210" i="32"/>
  <c r="AM1210" i="32"/>
  <c r="AN1210" i="32"/>
  <c r="AO1210" i="32"/>
  <c r="AP1210" i="32"/>
  <c r="AQ1210" i="32"/>
  <c r="Q1210" i="32"/>
  <c r="AR1210" i="32"/>
  <c r="AS1210" i="32"/>
  <c r="AT1210" i="32"/>
  <c r="AU1210" i="32"/>
  <c r="AV1210" i="32"/>
  <c r="AW1210" i="32"/>
  <c r="AX1210" i="32"/>
  <c r="AY1210" i="32"/>
  <c r="AZ1210" i="32"/>
  <c r="BA1210" i="32"/>
  <c r="AK1211" i="32"/>
  <c r="AL1211" i="32"/>
  <c r="AM1211" i="32"/>
  <c r="AN1211" i="32"/>
  <c r="AO1211" i="32"/>
  <c r="AP1211" i="32"/>
  <c r="AQ1211" i="32"/>
  <c r="Q1211" i="32"/>
  <c r="AR1211" i="32"/>
  <c r="AS1211" i="32"/>
  <c r="AT1211" i="32"/>
  <c r="AU1211" i="32"/>
  <c r="AV1211" i="32"/>
  <c r="AW1211" i="32"/>
  <c r="AX1211" i="32"/>
  <c r="AY1211" i="32"/>
  <c r="AZ1211" i="32"/>
  <c r="BA1211" i="32"/>
  <c r="AK1212" i="32"/>
  <c r="AL1212" i="32"/>
  <c r="AM1212" i="32"/>
  <c r="AN1212" i="32"/>
  <c r="AO1212" i="32"/>
  <c r="AP1212" i="32"/>
  <c r="AQ1212" i="32"/>
  <c r="Q1212" i="32"/>
  <c r="AR1212" i="32"/>
  <c r="AS1212" i="32"/>
  <c r="AT1212" i="32"/>
  <c r="AU1212" i="32"/>
  <c r="AV1212" i="32"/>
  <c r="AW1212" i="32"/>
  <c r="AX1212" i="32"/>
  <c r="AY1212" i="32"/>
  <c r="AZ1212" i="32"/>
  <c r="BA1212" i="32"/>
  <c r="AK1213" i="32"/>
  <c r="AL1213" i="32"/>
  <c r="AM1213" i="32"/>
  <c r="AN1213" i="32"/>
  <c r="AO1213" i="32"/>
  <c r="AP1213" i="32"/>
  <c r="AQ1213" i="32"/>
  <c r="Q1213" i="32"/>
  <c r="AR1213" i="32"/>
  <c r="AS1213" i="32"/>
  <c r="AT1213" i="32"/>
  <c r="AU1213" i="32"/>
  <c r="AV1213" i="32"/>
  <c r="AW1213" i="32"/>
  <c r="AX1213" i="32"/>
  <c r="AY1213" i="32"/>
  <c r="AZ1213" i="32"/>
  <c r="BA1213" i="32"/>
  <c r="AK1214" i="32"/>
  <c r="AL1214" i="32"/>
  <c r="AM1214" i="32"/>
  <c r="AN1214" i="32"/>
  <c r="AO1214" i="32"/>
  <c r="AP1214" i="32"/>
  <c r="AQ1214" i="32"/>
  <c r="Q1214" i="32"/>
  <c r="AR1214" i="32"/>
  <c r="AS1214" i="32"/>
  <c r="AT1214" i="32"/>
  <c r="AU1214" i="32"/>
  <c r="AV1214" i="32"/>
  <c r="AW1214" i="32"/>
  <c r="AX1214" i="32"/>
  <c r="AY1214" i="32"/>
  <c r="AZ1214" i="32"/>
  <c r="BA1214" i="32"/>
  <c r="AK1215" i="32"/>
  <c r="AL1215" i="32"/>
  <c r="AM1215" i="32"/>
  <c r="AN1215" i="32"/>
  <c r="AO1215" i="32"/>
  <c r="AP1215" i="32"/>
  <c r="AQ1215" i="32"/>
  <c r="Q1215" i="32"/>
  <c r="AR1215" i="32"/>
  <c r="AS1215" i="32"/>
  <c r="AT1215" i="32"/>
  <c r="AU1215" i="32"/>
  <c r="AV1215" i="32"/>
  <c r="AW1215" i="32"/>
  <c r="AX1215" i="32"/>
  <c r="AY1215" i="32"/>
  <c r="AZ1215" i="32"/>
  <c r="BA1215" i="32"/>
  <c r="AK1216" i="32"/>
  <c r="AL1216" i="32"/>
  <c r="AM1216" i="32"/>
  <c r="AN1216" i="32"/>
  <c r="AO1216" i="32"/>
  <c r="AP1216" i="32"/>
  <c r="AQ1216" i="32"/>
  <c r="Q1216" i="32"/>
  <c r="AR1216" i="32"/>
  <c r="AS1216" i="32"/>
  <c r="AT1216" i="32"/>
  <c r="AU1216" i="32"/>
  <c r="AV1216" i="32"/>
  <c r="AW1216" i="32"/>
  <c r="AX1216" i="32"/>
  <c r="AY1216" i="32"/>
  <c r="AZ1216" i="32"/>
  <c r="BA1216" i="32"/>
  <c r="AK1217" i="32"/>
  <c r="AL1217" i="32"/>
  <c r="AM1217" i="32"/>
  <c r="AN1217" i="32"/>
  <c r="AO1217" i="32"/>
  <c r="AP1217" i="32"/>
  <c r="AQ1217" i="32"/>
  <c r="Q1217" i="32"/>
  <c r="AR1217" i="32"/>
  <c r="AS1217" i="32"/>
  <c r="AT1217" i="32"/>
  <c r="AU1217" i="32"/>
  <c r="AV1217" i="32"/>
  <c r="AW1217" i="32"/>
  <c r="AX1217" i="32"/>
  <c r="AY1217" i="32"/>
  <c r="AZ1217" i="32"/>
  <c r="BA1217" i="32"/>
  <c r="AK1218" i="32"/>
  <c r="AL1218" i="32"/>
  <c r="AM1218" i="32"/>
  <c r="AN1218" i="32"/>
  <c r="AO1218" i="32"/>
  <c r="AP1218" i="32"/>
  <c r="AQ1218" i="32"/>
  <c r="Q1218" i="32"/>
  <c r="AR1218" i="32"/>
  <c r="AS1218" i="32"/>
  <c r="AT1218" i="32"/>
  <c r="AU1218" i="32"/>
  <c r="AV1218" i="32"/>
  <c r="AW1218" i="32"/>
  <c r="AX1218" i="32"/>
  <c r="AY1218" i="32"/>
  <c r="AZ1218" i="32"/>
  <c r="BA1218" i="32"/>
  <c r="AK1219" i="32"/>
  <c r="AL1219" i="32"/>
  <c r="AM1219" i="32"/>
  <c r="AN1219" i="32"/>
  <c r="AO1219" i="32"/>
  <c r="AP1219" i="32"/>
  <c r="AQ1219" i="32"/>
  <c r="Q1219" i="32"/>
  <c r="AR1219" i="32"/>
  <c r="AS1219" i="32"/>
  <c r="AT1219" i="32"/>
  <c r="AU1219" i="32"/>
  <c r="AV1219" i="32"/>
  <c r="AW1219" i="32"/>
  <c r="AX1219" i="32"/>
  <c r="AY1219" i="32"/>
  <c r="AZ1219" i="32"/>
  <c r="BA1219" i="32"/>
  <c r="AK1220" i="32"/>
  <c r="AL1220" i="32"/>
  <c r="AM1220" i="32"/>
  <c r="AN1220" i="32"/>
  <c r="AO1220" i="32"/>
  <c r="AP1220" i="32"/>
  <c r="AQ1220" i="32"/>
  <c r="Q1220" i="32"/>
  <c r="AR1220" i="32"/>
  <c r="AS1220" i="32"/>
  <c r="AT1220" i="32"/>
  <c r="AU1220" i="32"/>
  <c r="AV1220" i="32"/>
  <c r="AW1220" i="32"/>
  <c r="AX1220" i="32"/>
  <c r="AY1220" i="32"/>
  <c r="AZ1220" i="32"/>
  <c r="BA1220" i="32"/>
  <c r="AK1221" i="32"/>
  <c r="AL1221" i="32"/>
  <c r="AM1221" i="32"/>
  <c r="AN1221" i="32"/>
  <c r="AO1221" i="32"/>
  <c r="AP1221" i="32"/>
  <c r="AQ1221" i="32"/>
  <c r="Q1221" i="32"/>
  <c r="AR1221" i="32"/>
  <c r="AS1221" i="32"/>
  <c r="AT1221" i="32"/>
  <c r="AU1221" i="32"/>
  <c r="AV1221" i="32"/>
  <c r="AW1221" i="32"/>
  <c r="AX1221" i="32"/>
  <c r="AY1221" i="32"/>
  <c r="AZ1221" i="32"/>
  <c r="BA1221" i="32"/>
  <c r="AK1222" i="32"/>
  <c r="AL1222" i="32"/>
  <c r="AM1222" i="32"/>
  <c r="AN1222" i="32"/>
  <c r="AO1222" i="32"/>
  <c r="AP1222" i="32"/>
  <c r="AQ1222" i="32"/>
  <c r="Q1222" i="32"/>
  <c r="AR1222" i="32"/>
  <c r="AS1222" i="32"/>
  <c r="AT1222" i="32"/>
  <c r="AU1222" i="32"/>
  <c r="AV1222" i="32"/>
  <c r="AW1222" i="32"/>
  <c r="AX1222" i="32"/>
  <c r="AY1222" i="32"/>
  <c r="AZ1222" i="32"/>
  <c r="BA1222" i="32"/>
  <c r="AK1223" i="32"/>
  <c r="AL1223" i="32"/>
  <c r="AM1223" i="32"/>
  <c r="AN1223" i="32"/>
  <c r="AO1223" i="32"/>
  <c r="AP1223" i="32"/>
  <c r="AQ1223" i="32"/>
  <c r="Q1223" i="32"/>
  <c r="AR1223" i="32"/>
  <c r="AS1223" i="32"/>
  <c r="AT1223" i="32"/>
  <c r="AU1223" i="32"/>
  <c r="AV1223" i="32"/>
  <c r="AW1223" i="32"/>
  <c r="AX1223" i="32"/>
  <c r="AY1223" i="32"/>
  <c r="AZ1223" i="32"/>
  <c r="BA1223" i="32"/>
  <c r="AK1224" i="32"/>
  <c r="AL1224" i="32"/>
  <c r="AM1224" i="32"/>
  <c r="AN1224" i="32"/>
  <c r="AO1224" i="32"/>
  <c r="AP1224" i="32"/>
  <c r="AQ1224" i="32"/>
  <c r="Q1224" i="32"/>
  <c r="AR1224" i="32"/>
  <c r="AS1224" i="32"/>
  <c r="AT1224" i="32"/>
  <c r="AU1224" i="32"/>
  <c r="AV1224" i="32"/>
  <c r="AW1224" i="32"/>
  <c r="AX1224" i="32"/>
  <c r="AY1224" i="32"/>
  <c r="AZ1224" i="32"/>
  <c r="BA1224" i="32"/>
  <c r="AK1225" i="32"/>
  <c r="AL1225" i="32"/>
  <c r="AM1225" i="32"/>
  <c r="AN1225" i="32"/>
  <c r="AO1225" i="32"/>
  <c r="AP1225" i="32"/>
  <c r="AQ1225" i="32"/>
  <c r="Q1225" i="32"/>
  <c r="AR1225" i="32"/>
  <c r="AS1225" i="32"/>
  <c r="AT1225" i="32"/>
  <c r="AU1225" i="32"/>
  <c r="AV1225" i="32"/>
  <c r="AW1225" i="32"/>
  <c r="AX1225" i="32"/>
  <c r="AY1225" i="32"/>
  <c r="AZ1225" i="32"/>
  <c r="BA1225" i="32"/>
  <c r="AK1226" i="32"/>
  <c r="AL1226" i="32"/>
  <c r="AM1226" i="32"/>
  <c r="AN1226" i="32"/>
  <c r="AO1226" i="32"/>
  <c r="AP1226" i="32"/>
  <c r="AQ1226" i="32"/>
  <c r="Q1226" i="32"/>
  <c r="AR1226" i="32"/>
  <c r="AS1226" i="32"/>
  <c r="AT1226" i="32"/>
  <c r="AU1226" i="32"/>
  <c r="AV1226" i="32"/>
  <c r="AW1226" i="32"/>
  <c r="AX1226" i="32"/>
  <c r="AY1226" i="32"/>
  <c r="AZ1226" i="32"/>
  <c r="BA1226" i="32"/>
  <c r="AK1227" i="32"/>
  <c r="AL1227" i="32"/>
  <c r="AM1227" i="32"/>
  <c r="AN1227" i="32"/>
  <c r="AO1227" i="32"/>
  <c r="AP1227" i="32"/>
  <c r="AQ1227" i="32"/>
  <c r="Q1227" i="32"/>
  <c r="AR1227" i="32"/>
  <c r="AS1227" i="32"/>
  <c r="AT1227" i="32"/>
  <c r="AU1227" i="32"/>
  <c r="AV1227" i="32"/>
  <c r="AW1227" i="32"/>
  <c r="AX1227" i="32"/>
  <c r="AY1227" i="32"/>
  <c r="AZ1227" i="32"/>
  <c r="BA1227" i="32"/>
  <c r="AK1228" i="32"/>
  <c r="AL1228" i="32"/>
  <c r="AM1228" i="32"/>
  <c r="AN1228" i="32"/>
  <c r="AO1228" i="32"/>
  <c r="AP1228" i="32"/>
  <c r="AQ1228" i="32"/>
  <c r="Q1228" i="32"/>
  <c r="AR1228" i="32"/>
  <c r="AS1228" i="32"/>
  <c r="AT1228" i="32"/>
  <c r="AU1228" i="32"/>
  <c r="AV1228" i="32"/>
  <c r="AW1228" i="32"/>
  <c r="AX1228" i="32"/>
  <c r="AY1228" i="32"/>
  <c r="AZ1228" i="32"/>
  <c r="BA1228" i="32"/>
  <c r="AK1229" i="32"/>
  <c r="AL1229" i="32"/>
  <c r="AM1229" i="32"/>
  <c r="AN1229" i="32"/>
  <c r="AO1229" i="32"/>
  <c r="AP1229" i="32"/>
  <c r="AQ1229" i="32"/>
  <c r="Q1229" i="32"/>
  <c r="AR1229" i="32"/>
  <c r="AS1229" i="32"/>
  <c r="AT1229" i="32"/>
  <c r="AU1229" i="32"/>
  <c r="AV1229" i="32"/>
  <c r="AW1229" i="32"/>
  <c r="AX1229" i="32"/>
  <c r="AY1229" i="32"/>
  <c r="AZ1229" i="32"/>
  <c r="BA1229" i="32"/>
  <c r="AK1230" i="32"/>
  <c r="AL1230" i="32"/>
  <c r="AM1230" i="32"/>
  <c r="AN1230" i="32"/>
  <c r="AO1230" i="32"/>
  <c r="AP1230" i="32"/>
  <c r="AQ1230" i="32"/>
  <c r="Q1230" i="32"/>
  <c r="AR1230" i="32"/>
  <c r="AS1230" i="32"/>
  <c r="AT1230" i="32"/>
  <c r="AU1230" i="32"/>
  <c r="AV1230" i="32"/>
  <c r="AW1230" i="32"/>
  <c r="AX1230" i="32"/>
  <c r="AY1230" i="32"/>
  <c r="AZ1230" i="32"/>
  <c r="BA1230" i="32"/>
  <c r="AK1231" i="32"/>
  <c r="AL1231" i="32"/>
  <c r="AM1231" i="32"/>
  <c r="AN1231" i="32"/>
  <c r="AO1231" i="32"/>
  <c r="AP1231" i="32"/>
  <c r="AQ1231" i="32"/>
  <c r="Q1231" i="32"/>
  <c r="AR1231" i="32"/>
  <c r="AS1231" i="32"/>
  <c r="AT1231" i="32"/>
  <c r="AU1231" i="32"/>
  <c r="AV1231" i="32"/>
  <c r="AW1231" i="32"/>
  <c r="AX1231" i="32"/>
  <c r="AY1231" i="32"/>
  <c r="AZ1231" i="32"/>
  <c r="BA1231" i="32"/>
  <c r="AK1232" i="32"/>
  <c r="AL1232" i="32"/>
  <c r="AM1232" i="32"/>
  <c r="AN1232" i="32"/>
  <c r="AO1232" i="32"/>
  <c r="AP1232" i="32"/>
  <c r="AQ1232" i="32"/>
  <c r="Q1232" i="32"/>
  <c r="AR1232" i="32"/>
  <c r="AS1232" i="32"/>
  <c r="AT1232" i="32"/>
  <c r="AU1232" i="32"/>
  <c r="AV1232" i="32"/>
  <c r="AW1232" i="32"/>
  <c r="AX1232" i="32"/>
  <c r="AY1232" i="32"/>
  <c r="AZ1232" i="32"/>
  <c r="BA1232" i="32"/>
  <c r="AK1233" i="32"/>
  <c r="AL1233" i="32"/>
  <c r="AM1233" i="32"/>
  <c r="AN1233" i="32"/>
  <c r="AO1233" i="32"/>
  <c r="AP1233" i="32"/>
  <c r="AQ1233" i="32"/>
  <c r="Q1233" i="32"/>
  <c r="AR1233" i="32"/>
  <c r="AS1233" i="32"/>
  <c r="AT1233" i="32"/>
  <c r="AU1233" i="32"/>
  <c r="AV1233" i="32"/>
  <c r="AW1233" i="32"/>
  <c r="AX1233" i="32"/>
  <c r="AY1233" i="32"/>
  <c r="AZ1233" i="32"/>
  <c r="BA1233" i="32"/>
  <c r="AK1234" i="32"/>
  <c r="AL1234" i="32"/>
  <c r="AM1234" i="32"/>
  <c r="AN1234" i="32"/>
  <c r="AO1234" i="32"/>
  <c r="AP1234" i="32"/>
  <c r="AQ1234" i="32"/>
  <c r="Q1234" i="32"/>
  <c r="AR1234" i="32"/>
  <c r="AS1234" i="32"/>
  <c r="AT1234" i="32"/>
  <c r="AU1234" i="32"/>
  <c r="AV1234" i="32"/>
  <c r="AW1234" i="32"/>
  <c r="AX1234" i="32"/>
  <c r="AY1234" i="32"/>
  <c r="AZ1234" i="32"/>
  <c r="BA1234" i="32"/>
  <c r="AK1235" i="32"/>
  <c r="AL1235" i="32"/>
  <c r="AM1235" i="32"/>
  <c r="AN1235" i="32"/>
  <c r="AO1235" i="32"/>
  <c r="AP1235" i="32"/>
  <c r="AQ1235" i="32"/>
  <c r="Q1235" i="32"/>
  <c r="AR1235" i="32"/>
  <c r="AS1235" i="32"/>
  <c r="AT1235" i="32"/>
  <c r="AU1235" i="32"/>
  <c r="AV1235" i="32"/>
  <c r="AW1235" i="32"/>
  <c r="AX1235" i="32"/>
  <c r="AY1235" i="32"/>
  <c r="AZ1235" i="32"/>
  <c r="BA1235" i="32"/>
  <c r="AK1236" i="32"/>
  <c r="AL1236" i="32"/>
  <c r="AM1236" i="32"/>
  <c r="AN1236" i="32"/>
  <c r="AO1236" i="32"/>
  <c r="AP1236" i="32"/>
  <c r="AQ1236" i="32"/>
  <c r="Q1236" i="32"/>
  <c r="AR1236" i="32"/>
  <c r="AS1236" i="32"/>
  <c r="AT1236" i="32"/>
  <c r="AU1236" i="32"/>
  <c r="AV1236" i="32"/>
  <c r="AW1236" i="32"/>
  <c r="AX1236" i="32"/>
  <c r="AY1236" i="32"/>
  <c r="AZ1236" i="32"/>
  <c r="BA1236" i="32"/>
  <c r="AK1237" i="32"/>
  <c r="AL1237" i="32"/>
  <c r="AM1237" i="32"/>
  <c r="AN1237" i="32"/>
  <c r="AO1237" i="32"/>
  <c r="AP1237" i="32"/>
  <c r="AQ1237" i="32"/>
  <c r="Q1237" i="32"/>
  <c r="AR1237" i="32"/>
  <c r="AS1237" i="32"/>
  <c r="AT1237" i="32"/>
  <c r="AU1237" i="32"/>
  <c r="AV1237" i="32"/>
  <c r="AW1237" i="32"/>
  <c r="AX1237" i="32"/>
  <c r="AY1237" i="32"/>
  <c r="AZ1237" i="32"/>
  <c r="BA1237" i="32"/>
  <c r="AK1238" i="32"/>
  <c r="AL1238" i="32"/>
  <c r="AM1238" i="32"/>
  <c r="AN1238" i="32"/>
  <c r="AO1238" i="32"/>
  <c r="AP1238" i="32"/>
  <c r="AQ1238" i="32"/>
  <c r="Q1238" i="32"/>
  <c r="AR1238" i="32"/>
  <c r="AS1238" i="32"/>
  <c r="AT1238" i="32"/>
  <c r="AU1238" i="32"/>
  <c r="AV1238" i="32"/>
  <c r="AW1238" i="32"/>
  <c r="AX1238" i="32"/>
  <c r="AY1238" i="32"/>
  <c r="AZ1238" i="32"/>
  <c r="BA1238" i="32"/>
  <c r="AK1239" i="32"/>
  <c r="AL1239" i="32"/>
  <c r="AM1239" i="32"/>
  <c r="AN1239" i="32"/>
  <c r="AO1239" i="32"/>
  <c r="AP1239" i="32"/>
  <c r="AQ1239" i="32"/>
  <c r="Q1239" i="32"/>
  <c r="AR1239" i="32"/>
  <c r="AS1239" i="32"/>
  <c r="AT1239" i="32"/>
  <c r="AU1239" i="32"/>
  <c r="AV1239" i="32"/>
  <c r="AW1239" i="32"/>
  <c r="AX1239" i="32"/>
  <c r="AY1239" i="32"/>
  <c r="AZ1239" i="32"/>
  <c r="BA1239" i="32"/>
  <c r="AK1240" i="32"/>
  <c r="AL1240" i="32"/>
  <c r="AM1240" i="32"/>
  <c r="AN1240" i="32"/>
  <c r="AO1240" i="32"/>
  <c r="AP1240" i="32"/>
  <c r="AQ1240" i="32"/>
  <c r="Q1240" i="32"/>
  <c r="AR1240" i="32"/>
  <c r="AS1240" i="32"/>
  <c r="AT1240" i="32"/>
  <c r="AU1240" i="32"/>
  <c r="AV1240" i="32"/>
  <c r="AW1240" i="32"/>
  <c r="AX1240" i="32"/>
  <c r="AY1240" i="32"/>
  <c r="AZ1240" i="32"/>
  <c r="BA1240" i="32"/>
  <c r="AK1241" i="32"/>
  <c r="AL1241" i="32"/>
  <c r="AM1241" i="32"/>
  <c r="AN1241" i="32"/>
  <c r="AO1241" i="32"/>
  <c r="AP1241" i="32"/>
  <c r="AQ1241" i="32"/>
  <c r="Q1241" i="32"/>
  <c r="AR1241" i="32"/>
  <c r="AS1241" i="32"/>
  <c r="AT1241" i="32"/>
  <c r="AU1241" i="32"/>
  <c r="AV1241" i="32"/>
  <c r="AW1241" i="32"/>
  <c r="AX1241" i="32"/>
  <c r="AY1241" i="32"/>
  <c r="AZ1241" i="32"/>
  <c r="BA1241" i="32"/>
  <c r="AK1242" i="32"/>
  <c r="AL1242" i="32"/>
  <c r="AM1242" i="32"/>
  <c r="AN1242" i="32"/>
  <c r="AO1242" i="32"/>
  <c r="AP1242" i="32"/>
  <c r="AQ1242" i="32"/>
  <c r="Q1242" i="32"/>
  <c r="AR1242" i="32"/>
  <c r="AS1242" i="32"/>
  <c r="AT1242" i="32"/>
  <c r="AU1242" i="32"/>
  <c r="AV1242" i="32"/>
  <c r="AW1242" i="32"/>
  <c r="AX1242" i="32"/>
  <c r="AY1242" i="32"/>
  <c r="AZ1242" i="32"/>
  <c r="BA1242" i="32"/>
  <c r="AK1243" i="32"/>
  <c r="AL1243" i="32"/>
  <c r="AM1243" i="32"/>
  <c r="AN1243" i="32"/>
  <c r="AO1243" i="32"/>
  <c r="AP1243" i="32"/>
  <c r="AQ1243" i="32"/>
  <c r="Q1243" i="32"/>
  <c r="AR1243" i="32"/>
  <c r="AS1243" i="32"/>
  <c r="AT1243" i="32"/>
  <c r="AU1243" i="32"/>
  <c r="AV1243" i="32"/>
  <c r="AW1243" i="32"/>
  <c r="AX1243" i="32"/>
  <c r="AY1243" i="32"/>
  <c r="AZ1243" i="32"/>
  <c r="BA1243" i="32"/>
  <c r="AK1244" i="32"/>
  <c r="AL1244" i="32"/>
  <c r="AM1244" i="32"/>
  <c r="AN1244" i="32"/>
  <c r="AO1244" i="32"/>
  <c r="AP1244" i="32"/>
  <c r="AQ1244" i="32"/>
  <c r="Q1244" i="32"/>
  <c r="AR1244" i="32"/>
  <c r="AS1244" i="32"/>
  <c r="AT1244" i="32"/>
  <c r="AU1244" i="32"/>
  <c r="AV1244" i="32"/>
  <c r="AW1244" i="32"/>
  <c r="AX1244" i="32"/>
  <c r="AY1244" i="32"/>
  <c r="AZ1244" i="32"/>
  <c r="BA1244" i="32"/>
  <c r="AK1245" i="32"/>
  <c r="AL1245" i="32"/>
  <c r="AM1245" i="32"/>
  <c r="AN1245" i="32"/>
  <c r="AO1245" i="32"/>
  <c r="AP1245" i="32"/>
  <c r="AQ1245" i="32"/>
  <c r="Q1245" i="32"/>
  <c r="AR1245" i="32"/>
  <c r="AS1245" i="32"/>
  <c r="AT1245" i="32"/>
  <c r="AU1245" i="32"/>
  <c r="AV1245" i="32"/>
  <c r="AW1245" i="32"/>
  <c r="AX1245" i="32"/>
  <c r="AY1245" i="32"/>
  <c r="AZ1245" i="32"/>
  <c r="BA1245" i="32"/>
  <c r="AK1246" i="32"/>
  <c r="AL1246" i="32"/>
  <c r="AM1246" i="32"/>
  <c r="AN1246" i="32"/>
  <c r="AO1246" i="32"/>
  <c r="AP1246" i="32"/>
  <c r="AQ1246" i="32"/>
  <c r="Q1246" i="32"/>
  <c r="AR1246" i="32"/>
  <c r="AS1246" i="32"/>
  <c r="AT1246" i="32"/>
  <c r="AU1246" i="32"/>
  <c r="AV1246" i="32"/>
  <c r="AW1246" i="32"/>
  <c r="AX1246" i="32"/>
  <c r="AY1246" i="32"/>
  <c r="AZ1246" i="32"/>
  <c r="BA1246" i="32"/>
  <c r="AK1247" i="32"/>
  <c r="AL1247" i="32"/>
  <c r="AM1247" i="32"/>
  <c r="AN1247" i="32"/>
  <c r="AO1247" i="32"/>
  <c r="AP1247" i="32"/>
  <c r="AQ1247" i="32"/>
  <c r="Q1247" i="32"/>
  <c r="AR1247" i="32"/>
  <c r="AS1247" i="32"/>
  <c r="AT1247" i="32"/>
  <c r="AU1247" i="32"/>
  <c r="AV1247" i="32"/>
  <c r="AW1247" i="32"/>
  <c r="AX1247" i="32"/>
  <c r="AY1247" i="32"/>
  <c r="AZ1247" i="32"/>
  <c r="BA1247" i="32"/>
  <c r="AK1248" i="32"/>
  <c r="AL1248" i="32"/>
  <c r="AM1248" i="32"/>
  <c r="AN1248" i="32"/>
  <c r="AO1248" i="32"/>
  <c r="AP1248" i="32"/>
  <c r="AQ1248" i="32"/>
  <c r="Q1248" i="32"/>
  <c r="AR1248" i="32"/>
  <c r="AS1248" i="32"/>
  <c r="AT1248" i="32"/>
  <c r="AU1248" i="32"/>
  <c r="AV1248" i="32"/>
  <c r="AW1248" i="32"/>
  <c r="AX1248" i="32"/>
  <c r="AY1248" i="32"/>
  <c r="AZ1248" i="32"/>
  <c r="BA1248" i="32"/>
  <c r="AK1249" i="32"/>
  <c r="AL1249" i="32"/>
  <c r="AM1249" i="32"/>
  <c r="AN1249" i="32"/>
  <c r="AO1249" i="32"/>
  <c r="AP1249" i="32"/>
  <c r="AQ1249" i="32"/>
  <c r="Q1249" i="32"/>
  <c r="AR1249" i="32"/>
  <c r="AS1249" i="32"/>
  <c r="AT1249" i="32"/>
  <c r="AU1249" i="32"/>
  <c r="AV1249" i="32"/>
  <c r="AW1249" i="32"/>
  <c r="AX1249" i="32"/>
  <c r="AY1249" i="32"/>
  <c r="AZ1249" i="32"/>
  <c r="BA1249" i="32"/>
  <c r="AK1250" i="32"/>
  <c r="AL1250" i="32"/>
  <c r="AM1250" i="32"/>
  <c r="AN1250" i="32"/>
  <c r="AO1250" i="32"/>
  <c r="AP1250" i="32"/>
  <c r="AQ1250" i="32"/>
  <c r="Q1250" i="32"/>
  <c r="AR1250" i="32"/>
  <c r="AS1250" i="32"/>
  <c r="AT1250" i="32"/>
  <c r="AU1250" i="32"/>
  <c r="AV1250" i="32"/>
  <c r="AW1250" i="32"/>
  <c r="AX1250" i="32"/>
  <c r="AY1250" i="32"/>
  <c r="AZ1250" i="32"/>
  <c r="BA1250" i="32"/>
  <c r="AK1251" i="32"/>
  <c r="AL1251" i="32"/>
  <c r="AM1251" i="32"/>
  <c r="AN1251" i="32"/>
  <c r="AO1251" i="32"/>
  <c r="AP1251" i="32"/>
  <c r="AQ1251" i="32"/>
  <c r="Q1251" i="32"/>
  <c r="AR1251" i="32"/>
  <c r="AS1251" i="32"/>
  <c r="AT1251" i="32"/>
  <c r="AU1251" i="32"/>
  <c r="AV1251" i="32"/>
  <c r="AW1251" i="32"/>
  <c r="AX1251" i="32"/>
  <c r="AY1251" i="32"/>
  <c r="AZ1251" i="32"/>
  <c r="BA1251" i="32"/>
  <c r="AK1252" i="32"/>
  <c r="AL1252" i="32"/>
  <c r="AM1252" i="32"/>
  <c r="AN1252" i="32"/>
  <c r="AO1252" i="32"/>
  <c r="AP1252" i="32"/>
  <c r="AQ1252" i="32"/>
  <c r="Q1252" i="32"/>
  <c r="AR1252" i="32"/>
  <c r="AS1252" i="32"/>
  <c r="AT1252" i="32"/>
  <c r="AU1252" i="32"/>
  <c r="AV1252" i="32"/>
  <c r="AW1252" i="32"/>
  <c r="AX1252" i="32"/>
  <c r="AY1252" i="32"/>
  <c r="AZ1252" i="32"/>
  <c r="BA1252" i="32"/>
  <c r="AK1253" i="32"/>
  <c r="AL1253" i="32"/>
  <c r="AM1253" i="32"/>
  <c r="AN1253" i="32"/>
  <c r="AO1253" i="32"/>
  <c r="AP1253" i="32"/>
  <c r="AQ1253" i="32"/>
  <c r="Q1253" i="32"/>
  <c r="AR1253" i="32"/>
  <c r="AS1253" i="32"/>
  <c r="AT1253" i="32"/>
  <c r="AU1253" i="32"/>
  <c r="AV1253" i="32"/>
  <c r="AW1253" i="32"/>
  <c r="AX1253" i="32"/>
  <c r="AY1253" i="32"/>
  <c r="AZ1253" i="32"/>
  <c r="BA1253" i="32"/>
  <c r="AK1254" i="32"/>
  <c r="AL1254" i="32"/>
  <c r="AM1254" i="32"/>
  <c r="AN1254" i="32"/>
  <c r="AO1254" i="32"/>
  <c r="AP1254" i="32"/>
  <c r="AQ1254" i="32"/>
  <c r="Q1254" i="32"/>
  <c r="AR1254" i="32"/>
  <c r="AS1254" i="32"/>
  <c r="AT1254" i="32"/>
  <c r="AU1254" i="32"/>
  <c r="AV1254" i="32"/>
  <c r="AW1254" i="32"/>
  <c r="AX1254" i="32"/>
  <c r="AY1254" i="32"/>
  <c r="AZ1254" i="32"/>
  <c r="BA1254" i="32"/>
  <c r="AK1255" i="32"/>
  <c r="AL1255" i="32"/>
  <c r="AM1255" i="32"/>
  <c r="AN1255" i="32"/>
  <c r="AO1255" i="32"/>
  <c r="AP1255" i="32"/>
  <c r="AQ1255" i="32"/>
  <c r="Q1255" i="32"/>
  <c r="AR1255" i="32"/>
  <c r="AS1255" i="32"/>
  <c r="AT1255" i="32"/>
  <c r="AU1255" i="32"/>
  <c r="AV1255" i="32"/>
  <c r="AW1255" i="32"/>
  <c r="AX1255" i="32"/>
  <c r="AY1255" i="32"/>
  <c r="AZ1255" i="32"/>
  <c r="BA1255" i="32"/>
  <c r="AK1256" i="32"/>
  <c r="AL1256" i="32"/>
  <c r="AM1256" i="32"/>
  <c r="AN1256" i="32"/>
  <c r="AO1256" i="32"/>
  <c r="AP1256" i="32"/>
  <c r="AQ1256" i="32"/>
  <c r="Q1256" i="32"/>
  <c r="AR1256" i="32"/>
  <c r="AS1256" i="32"/>
  <c r="AT1256" i="32"/>
  <c r="AU1256" i="32"/>
  <c r="AV1256" i="32"/>
  <c r="AW1256" i="32"/>
  <c r="AX1256" i="32"/>
  <c r="AY1256" i="32"/>
  <c r="AZ1256" i="32"/>
  <c r="BA1256" i="32"/>
  <c r="AK1257" i="32"/>
  <c r="AL1257" i="32"/>
  <c r="AM1257" i="32"/>
  <c r="AN1257" i="32"/>
  <c r="AO1257" i="32"/>
  <c r="AP1257" i="32"/>
  <c r="AQ1257" i="32"/>
  <c r="Q1257" i="32"/>
  <c r="AR1257" i="32"/>
  <c r="AS1257" i="32"/>
  <c r="AT1257" i="32"/>
  <c r="AU1257" i="32"/>
  <c r="AV1257" i="32"/>
  <c r="AW1257" i="32"/>
  <c r="AX1257" i="32"/>
  <c r="AY1257" i="32"/>
  <c r="AZ1257" i="32"/>
  <c r="BA1257" i="32"/>
  <c r="AK1258" i="32"/>
  <c r="AL1258" i="32"/>
  <c r="AM1258" i="32"/>
  <c r="AN1258" i="32"/>
  <c r="AO1258" i="32"/>
  <c r="AP1258" i="32"/>
  <c r="AQ1258" i="32"/>
  <c r="Q1258" i="32"/>
  <c r="AR1258" i="32"/>
  <c r="AS1258" i="32"/>
  <c r="AT1258" i="32"/>
  <c r="AU1258" i="32"/>
  <c r="AV1258" i="32"/>
  <c r="AW1258" i="32"/>
  <c r="AX1258" i="32"/>
  <c r="AY1258" i="32"/>
  <c r="AZ1258" i="32"/>
  <c r="BA1258" i="32"/>
  <c r="AK1259" i="32"/>
  <c r="AL1259" i="32"/>
  <c r="AM1259" i="32"/>
  <c r="AN1259" i="32"/>
  <c r="AO1259" i="32"/>
  <c r="AP1259" i="32"/>
  <c r="AQ1259" i="32"/>
  <c r="Q1259" i="32"/>
  <c r="AR1259" i="32"/>
  <c r="AS1259" i="32"/>
  <c r="AT1259" i="32"/>
  <c r="AU1259" i="32"/>
  <c r="AV1259" i="32"/>
  <c r="AW1259" i="32"/>
  <c r="AX1259" i="32"/>
  <c r="AY1259" i="32"/>
  <c r="AZ1259" i="32"/>
  <c r="BA1259" i="32"/>
  <c r="AK1260" i="32"/>
  <c r="AL1260" i="32"/>
  <c r="AM1260" i="32"/>
  <c r="AN1260" i="32"/>
  <c r="AO1260" i="32"/>
  <c r="AP1260" i="32"/>
  <c r="AQ1260" i="32"/>
  <c r="Q1260" i="32"/>
  <c r="AR1260" i="32"/>
  <c r="AS1260" i="32"/>
  <c r="AT1260" i="32"/>
  <c r="AU1260" i="32"/>
  <c r="AV1260" i="32"/>
  <c r="AW1260" i="32"/>
  <c r="AX1260" i="32"/>
  <c r="AY1260" i="32"/>
  <c r="AZ1260" i="32"/>
  <c r="BA1260" i="32"/>
  <c r="AK1261" i="32"/>
  <c r="AL1261" i="32"/>
  <c r="AM1261" i="32"/>
  <c r="AN1261" i="32"/>
  <c r="AO1261" i="32"/>
  <c r="AP1261" i="32"/>
  <c r="AQ1261" i="32"/>
  <c r="Q1261" i="32"/>
  <c r="AR1261" i="32"/>
  <c r="AS1261" i="32"/>
  <c r="AT1261" i="32"/>
  <c r="AU1261" i="32"/>
  <c r="AV1261" i="32"/>
  <c r="AW1261" i="32"/>
  <c r="AX1261" i="32"/>
  <c r="AY1261" i="32"/>
  <c r="AZ1261" i="32"/>
  <c r="BA1261" i="32"/>
  <c r="AK1262" i="32"/>
  <c r="AL1262" i="32"/>
  <c r="AM1262" i="32"/>
  <c r="AN1262" i="32"/>
  <c r="AO1262" i="32"/>
  <c r="AP1262" i="32"/>
  <c r="AQ1262" i="32"/>
  <c r="Q1262" i="32"/>
  <c r="AR1262" i="32"/>
  <c r="AS1262" i="32"/>
  <c r="AT1262" i="32"/>
  <c r="AU1262" i="32"/>
  <c r="AV1262" i="32"/>
  <c r="AW1262" i="32"/>
  <c r="AX1262" i="32"/>
  <c r="AY1262" i="32"/>
  <c r="AZ1262" i="32"/>
  <c r="BA1262" i="32"/>
  <c r="AK1263" i="32"/>
  <c r="AL1263" i="32"/>
  <c r="AM1263" i="32"/>
  <c r="AN1263" i="32"/>
  <c r="AO1263" i="32"/>
  <c r="AP1263" i="32"/>
  <c r="AQ1263" i="32"/>
  <c r="Q1263" i="32"/>
  <c r="AR1263" i="32"/>
  <c r="AS1263" i="32"/>
  <c r="AT1263" i="32"/>
  <c r="AU1263" i="32"/>
  <c r="AV1263" i="32"/>
  <c r="AW1263" i="32"/>
  <c r="AX1263" i="32"/>
  <c r="AY1263" i="32"/>
  <c r="AZ1263" i="32"/>
  <c r="BA1263" i="32"/>
  <c r="AK1264" i="32"/>
  <c r="AL1264" i="32"/>
  <c r="AM1264" i="32"/>
  <c r="AN1264" i="32"/>
  <c r="AO1264" i="32"/>
  <c r="AP1264" i="32"/>
  <c r="AQ1264" i="32"/>
  <c r="Q1264" i="32"/>
  <c r="AR1264" i="32"/>
  <c r="AS1264" i="32"/>
  <c r="AT1264" i="32"/>
  <c r="AU1264" i="32"/>
  <c r="AV1264" i="32"/>
  <c r="AW1264" i="32"/>
  <c r="AX1264" i="32"/>
  <c r="AY1264" i="32"/>
  <c r="AZ1264" i="32"/>
  <c r="BA1264" i="32"/>
  <c r="AK1265" i="32"/>
  <c r="AL1265" i="32"/>
  <c r="AM1265" i="32"/>
  <c r="AN1265" i="32"/>
  <c r="AO1265" i="32"/>
  <c r="AP1265" i="32"/>
  <c r="AQ1265" i="32"/>
  <c r="Q1265" i="32"/>
  <c r="AR1265" i="32"/>
  <c r="AS1265" i="32"/>
  <c r="AT1265" i="32"/>
  <c r="AU1265" i="32"/>
  <c r="AV1265" i="32"/>
  <c r="AW1265" i="32"/>
  <c r="AX1265" i="32"/>
  <c r="AY1265" i="32"/>
  <c r="AZ1265" i="32"/>
  <c r="BA1265" i="32"/>
  <c r="AK1266" i="32"/>
  <c r="AL1266" i="32"/>
  <c r="AM1266" i="32"/>
  <c r="AN1266" i="32"/>
  <c r="AO1266" i="32"/>
  <c r="AP1266" i="32"/>
  <c r="AQ1266" i="32"/>
  <c r="Q1266" i="32"/>
  <c r="AR1266" i="32"/>
  <c r="AS1266" i="32"/>
  <c r="AT1266" i="32"/>
  <c r="AU1266" i="32"/>
  <c r="AV1266" i="32"/>
  <c r="AW1266" i="32"/>
  <c r="AX1266" i="32"/>
  <c r="AY1266" i="32"/>
  <c r="AZ1266" i="32"/>
  <c r="BA1266" i="32"/>
  <c r="AK1267" i="32"/>
  <c r="AL1267" i="32"/>
  <c r="AM1267" i="32"/>
  <c r="AN1267" i="32"/>
  <c r="AO1267" i="32"/>
  <c r="AP1267" i="32"/>
  <c r="AQ1267" i="32"/>
  <c r="Q1267" i="32"/>
  <c r="AR1267" i="32"/>
  <c r="AS1267" i="32"/>
  <c r="AT1267" i="32"/>
  <c r="AU1267" i="32"/>
  <c r="AV1267" i="32"/>
  <c r="AW1267" i="32"/>
  <c r="AX1267" i="32"/>
  <c r="AY1267" i="32"/>
  <c r="AZ1267" i="32"/>
  <c r="BA1267" i="32"/>
  <c r="AK1268" i="32"/>
  <c r="AL1268" i="32"/>
  <c r="AM1268" i="32"/>
  <c r="AN1268" i="32"/>
  <c r="AO1268" i="32"/>
  <c r="AP1268" i="32"/>
  <c r="AQ1268" i="32"/>
  <c r="Q1268" i="32"/>
  <c r="AR1268" i="32"/>
  <c r="AS1268" i="32"/>
  <c r="AT1268" i="32"/>
  <c r="AU1268" i="32"/>
  <c r="AV1268" i="32"/>
  <c r="AW1268" i="32"/>
  <c r="AX1268" i="32"/>
  <c r="AY1268" i="32"/>
  <c r="AZ1268" i="32"/>
  <c r="BA1268" i="32"/>
  <c r="AK1269" i="32"/>
  <c r="AL1269" i="32"/>
  <c r="AM1269" i="32"/>
  <c r="AN1269" i="32"/>
  <c r="AO1269" i="32"/>
  <c r="AP1269" i="32"/>
  <c r="AQ1269" i="32"/>
  <c r="Q1269" i="32"/>
  <c r="AR1269" i="32"/>
  <c r="AS1269" i="32"/>
  <c r="AT1269" i="32"/>
  <c r="AU1269" i="32"/>
  <c r="AV1269" i="32"/>
  <c r="AW1269" i="32"/>
  <c r="AX1269" i="32"/>
  <c r="AY1269" i="32"/>
  <c r="AZ1269" i="32"/>
  <c r="BA1269" i="32"/>
  <c r="AK1270" i="32"/>
  <c r="AL1270" i="32"/>
  <c r="AM1270" i="32"/>
  <c r="AN1270" i="32"/>
  <c r="AO1270" i="32"/>
  <c r="AP1270" i="32"/>
  <c r="AQ1270" i="32"/>
  <c r="Q1270" i="32"/>
  <c r="AR1270" i="32"/>
  <c r="AS1270" i="32"/>
  <c r="AT1270" i="32"/>
  <c r="AU1270" i="32"/>
  <c r="AV1270" i="32"/>
  <c r="AW1270" i="32"/>
  <c r="AX1270" i="32"/>
  <c r="AY1270" i="32"/>
  <c r="AZ1270" i="32"/>
  <c r="BA1270" i="32"/>
  <c r="AK1271" i="32"/>
  <c r="AL1271" i="32"/>
  <c r="AM1271" i="32"/>
  <c r="AN1271" i="32"/>
  <c r="AO1271" i="32"/>
  <c r="AP1271" i="32"/>
  <c r="AQ1271" i="32"/>
  <c r="Q1271" i="32"/>
  <c r="AR1271" i="32"/>
  <c r="AS1271" i="32"/>
  <c r="AT1271" i="32"/>
  <c r="AU1271" i="32"/>
  <c r="AV1271" i="32"/>
  <c r="AW1271" i="32"/>
  <c r="AX1271" i="32"/>
  <c r="AY1271" i="32"/>
  <c r="AZ1271" i="32"/>
  <c r="BA1271" i="32"/>
  <c r="AK1272" i="32"/>
  <c r="AL1272" i="32"/>
  <c r="AM1272" i="32"/>
  <c r="AN1272" i="32"/>
  <c r="AO1272" i="32"/>
  <c r="AP1272" i="32"/>
  <c r="AQ1272" i="32"/>
  <c r="Q1272" i="32"/>
  <c r="AR1272" i="32"/>
  <c r="AS1272" i="32"/>
  <c r="AT1272" i="32"/>
  <c r="AU1272" i="32"/>
  <c r="AV1272" i="32"/>
  <c r="AW1272" i="32"/>
  <c r="AX1272" i="32"/>
  <c r="AY1272" i="32"/>
  <c r="AZ1272" i="32"/>
  <c r="BA1272" i="32"/>
  <c r="AK1273" i="32"/>
  <c r="AL1273" i="32"/>
  <c r="AM1273" i="32"/>
  <c r="AN1273" i="32"/>
  <c r="AO1273" i="32"/>
  <c r="AP1273" i="32"/>
  <c r="AQ1273" i="32"/>
  <c r="Q1273" i="32"/>
  <c r="AR1273" i="32"/>
  <c r="AS1273" i="32"/>
  <c r="AT1273" i="32"/>
  <c r="AU1273" i="32"/>
  <c r="AV1273" i="32"/>
  <c r="AW1273" i="32"/>
  <c r="AX1273" i="32"/>
  <c r="AY1273" i="32"/>
  <c r="AZ1273" i="32"/>
  <c r="BA1273" i="32"/>
  <c r="AK1274" i="32"/>
  <c r="AL1274" i="32"/>
  <c r="AM1274" i="32"/>
  <c r="AN1274" i="32"/>
  <c r="AO1274" i="32"/>
  <c r="AP1274" i="32"/>
  <c r="AQ1274" i="32"/>
  <c r="Q1274" i="32"/>
  <c r="AR1274" i="32"/>
  <c r="AS1274" i="32"/>
  <c r="AT1274" i="32"/>
  <c r="AU1274" i="32"/>
  <c r="AV1274" i="32"/>
  <c r="AW1274" i="32"/>
  <c r="AX1274" i="32"/>
  <c r="AY1274" i="32"/>
  <c r="AZ1274" i="32"/>
  <c r="BA1274" i="32"/>
  <c r="AK1275" i="32"/>
  <c r="AL1275" i="32"/>
  <c r="AM1275" i="32"/>
  <c r="AN1275" i="32"/>
  <c r="AO1275" i="32"/>
  <c r="AP1275" i="32"/>
  <c r="AQ1275" i="32"/>
  <c r="Q1275" i="32"/>
  <c r="AR1275" i="32"/>
  <c r="AS1275" i="32"/>
  <c r="AT1275" i="32"/>
  <c r="AU1275" i="32"/>
  <c r="AV1275" i="32"/>
  <c r="AW1275" i="32"/>
  <c r="AX1275" i="32"/>
  <c r="AY1275" i="32"/>
  <c r="AZ1275" i="32"/>
  <c r="BA1275" i="32"/>
  <c r="AK1276" i="32"/>
  <c r="AL1276" i="32"/>
  <c r="AM1276" i="32"/>
  <c r="AN1276" i="32"/>
  <c r="AO1276" i="32"/>
  <c r="AP1276" i="32"/>
  <c r="AQ1276" i="32"/>
  <c r="Q1276" i="32"/>
  <c r="AR1276" i="32"/>
  <c r="AS1276" i="32"/>
  <c r="AT1276" i="32"/>
  <c r="AU1276" i="32"/>
  <c r="AV1276" i="32"/>
  <c r="AW1276" i="32"/>
  <c r="AX1276" i="32"/>
  <c r="AY1276" i="32"/>
  <c r="AZ1276" i="32"/>
  <c r="BA1276" i="32"/>
  <c r="AK1277" i="32"/>
  <c r="AL1277" i="32"/>
  <c r="AM1277" i="32"/>
  <c r="AN1277" i="32"/>
  <c r="AO1277" i="32"/>
  <c r="AP1277" i="32"/>
  <c r="AQ1277" i="32"/>
  <c r="Q1277" i="32"/>
  <c r="AR1277" i="32"/>
  <c r="AS1277" i="32"/>
  <c r="AT1277" i="32"/>
  <c r="AU1277" i="32"/>
  <c r="AV1277" i="32"/>
  <c r="AW1277" i="32"/>
  <c r="AX1277" i="32"/>
  <c r="AY1277" i="32"/>
  <c r="AZ1277" i="32"/>
  <c r="BA1277" i="32"/>
  <c r="AK1278" i="32"/>
  <c r="AL1278" i="32"/>
  <c r="AM1278" i="32"/>
  <c r="AN1278" i="32"/>
  <c r="AO1278" i="32"/>
  <c r="AP1278" i="32"/>
  <c r="AQ1278" i="32"/>
  <c r="Q1278" i="32"/>
  <c r="AR1278" i="32"/>
  <c r="AS1278" i="32"/>
  <c r="AT1278" i="32"/>
  <c r="AU1278" i="32"/>
  <c r="AV1278" i="32"/>
  <c r="AW1278" i="32"/>
  <c r="AX1278" i="32"/>
  <c r="AY1278" i="32"/>
  <c r="AZ1278" i="32"/>
  <c r="BA1278" i="32"/>
  <c r="AK1279" i="32"/>
  <c r="AL1279" i="32"/>
  <c r="AM1279" i="32"/>
  <c r="AN1279" i="32"/>
  <c r="AO1279" i="32"/>
  <c r="AP1279" i="32"/>
  <c r="AQ1279" i="32"/>
  <c r="Q1279" i="32"/>
  <c r="AR1279" i="32"/>
  <c r="AS1279" i="32"/>
  <c r="AT1279" i="32"/>
  <c r="AU1279" i="32"/>
  <c r="AV1279" i="32"/>
  <c r="AW1279" i="32"/>
  <c r="AX1279" i="32"/>
  <c r="AY1279" i="32"/>
  <c r="AZ1279" i="32"/>
  <c r="BA1279" i="32"/>
  <c r="AK1280" i="32"/>
  <c r="AL1280" i="32"/>
  <c r="AM1280" i="32"/>
  <c r="AN1280" i="32"/>
  <c r="AO1280" i="32"/>
  <c r="AP1280" i="32"/>
  <c r="AQ1280" i="32"/>
  <c r="Q1280" i="32"/>
  <c r="AR1280" i="32"/>
  <c r="AS1280" i="32"/>
  <c r="AT1280" i="32"/>
  <c r="AU1280" i="32"/>
  <c r="AV1280" i="32"/>
  <c r="AW1280" i="32"/>
  <c r="AX1280" i="32"/>
  <c r="AY1280" i="32"/>
  <c r="AZ1280" i="32"/>
  <c r="BA1280" i="32"/>
  <c r="AK1281" i="32"/>
  <c r="AL1281" i="32"/>
  <c r="AM1281" i="32"/>
  <c r="AN1281" i="32"/>
  <c r="AO1281" i="32"/>
  <c r="AP1281" i="32"/>
  <c r="AQ1281" i="32"/>
  <c r="Q1281" i="32"/>
  <c r="AR1281" i="32"/>
  <c r="AS1281" i="32"/>
  <c r="AT1281" i="32"/>
  <c r="AU1281" i="32"/>
  <c r="AV1281" i="32"/>
  <c r="AW1281" i="32"/>
  <c r="AX1281" i="32"/>
  <c r="AY1281" i="32"/>
  <c r="AZ1281" i="32"/>
  <c r="BA1281" i="32"/>
  <c r="AK1282" i="32"/>
  <c r="AL1282" i="32"/>
  <c r="AM1282" i="32"/>
  <c r="AN1282" i="32"/>
  <c r="AO1282" i="32"/>
  <c r="AP1282" i="32"/>
  <c r="AQ1282" i="32"/>
  <c r="Q1282" i="32"/>
  <c r="AR1282" i="32"/>
  <c r="AS1282" i="32"/>
  <c r="AT1282" i="32"/>
  <c r="AU1282" i="32"/>
  <c r="AV1282" i="32"/>
  <c r="AW1282" i="32"/>
  <c r="AX1282" i="32"/>
  <c r="AY1282" i="32"/>
  <c r="AZ1282" i="32"/>
  <c r="BA1282" i="32"/>
  <c r="AK1283" i="32"/>
  <c r="AL1283" i="32"/>
  <c r="AM1283" i="32"/>
  <c r="AN1283" i="32"/>
  <c r="AO1283" i="32"/>
  <c r="AP1283" i="32"/>
  <c r="AQ1283" i="32"/>
  <c r="Q1283" i="32"/>
  <c r="AR1283" i="32"/>
  <c r="AS1283" i="32"/>
  <c r="AT1283" i="32"/>
  <c r="AU1283" i="32"/>
  <c r="AV1283" i="32"/>
  <c r="AW1283" i="32"/>
  <c r="AX1283" i="32"/>
  <c r="AY1283" i="32"/>
  <c r="AZ1283" i="32"/>
  <c r="BA1283" i="32"/>
  <c r="AK1284" i="32"/>
  <c r="AL1284" i="32"/>
  <c r="AM1284" i="32"/>
  <c r="AN1284" i="32"/>
  <c r="AO1284" i="32"/>
  <c r="AP1284" i="32"/>
  <c r="AQ1284" i="32"/>
  <c r="Q1284" i="32"/>
  <c r="AR1284" i="32"/>
  <c r="AS1284" i="32"/>
  <c r="AT1284" i="32"/>
  <c r="AU1284" i="32"/>
  <c r="AV1284" i="32"/>
  <c r="AW1284" i="32"/>
  <c r="AX1284" i="32"/>
  <c r="AY1284" i="32"/>
  <c r="AZ1284" i="32"/>
  <c r="BA1284" i="32"/>
  <c r="AK1285" i="32"/>
  <c r="AL1285" i="32"/>
  <c r="AM1285" i="32"/>
  <c r="AN1285" i="32"/>
  <c r="AO1285" i="32"/>
  <c r="AP1285" i="32"/>
  <c r="AQ1285" i="32"/>
  <c r="Q1285" i="32"/>
  <c r="AR1285" i="32"/>
  <c r="AS1285" i="32"/>
  <c r="AT1285" i="32"/>
  <c r="AU1285" i="32"/>
  <c r="AV1285" i="32"/>
  <c r="AW1285" i="32"/>
  <c r="AX1285" i="32"/>
  <c r="AY1285" i="32"/>
  <c r="AZ1285" i="32"/>
  <c r="BA1285" i="32"/>
  <c r="AK1286" i="32"/>
  <c r="AL1286" i="32"/>
  <c r="AM1286" i="32"/>
  <c r="AN1286" i="32"/>
  <c r="AO1286" i="32"/>
  <c r="AP1286" i="32"/>
  <c r="AQ1286" i="32"/>
  <c r="Q1286" i="32"/>
  <c r="AR1286" i="32"/>
  <c r="AS1286" i="32"/>
  <c r="AT1286" i="32"/>
  <c r="AU1286" i="32"/>
  <c r="AV1286" i="32"/>
  <c r="AW1286" i="32"/>
  <c r="AX1286" i="32"/>
  <c r="AY1286" i="32"/>
  <c r="AZ1286" i="32"/>
  <c r="BA1286" i="32"/>
  <c r="AK1287" i="32"/>
  <c r="AL1287" i="32"/>
  <c r="AM1287" i="32"/>
  <c r="AN1287" i="32"/>
  <c r="AO1287" i="32"/>
  <c r="AP1287" i="32"/>
  <c r="AQ1287" i="32"/>
  <c r="Q1287" i="32"/>
  <c r="AR1287" i="32"/>
  <c r="AS1287" i="32"/>
  <c r="AT1287" i="32"/>
  <c r="AU1287" i="32"/>
  <c r="AV1287" i="32"/>
  <c r="AW1287" i="32"/>
  <c r="AX1287" i="32"/>
  <c r="AY1287" i="32"/>
  <c r="AZ1287" i="32"/>
  <c r="BA1287" i="32"/>
  <c r="AK1288" i="32"/>
  <c r="AL1288" i="32"/>
  <c r="AM1288" i="32"/>
  <c r="AN1288" i="32"/>
  <c r="AO1288" i="32"/>
  <c r="AP1288" i="32"/>
  <c r="AQ1288" i="32"/>
  <c r="Q1288" i="32"/>
  <c r="AR1288" i="32"/>
  <c r="AS1288" i="32"/>
  <c r="AT1288" i="32"/>
  <c r="AU1288" i="32"/>
  <c r="AV1288" i="32"/>
  <c r="AW1288" i="32"/>
  <c r="AX1288" i="32"/>
  <c r="AY1288" i="32"/>
  <c r="AZ1288" i="32"/>
  <c r="BA1288" i="32"/>
  <c r="AK1289" i="32"/>
  <c r="AL1289" i="32"/>
  <c r="AM1289" i="32"/>
  <c r="AN1289" i="32"/>
  <c r="AO1289" i="32"/>
  <c r="AP1289" i="32"/>
  <c r="AQ1289" i="32"/>
  <c r="Q1289" i="32"/>
  <c r="AR1289" i="32"/>
  <c r="AS1289" i="32"/>
  <c r="AT1289" i="32"/>
  <c r="AU1289" i="32"/>
  <c r="AV1289" i="32"/>
  <c r="AW1289" i="32"/>
  <c r="AX1289" i="32"/>
  <c r="AY1289" i="32"/>
  <c r="AZ1289" i="32"/>
  <c r="BA1289" i="32"/>
  <c r="AK1290" i="32"/>
  <c r="AL1290" i="32"/>
  <c r="AM1290" i="32"/>
  <c r="AN1290" i="32"/>
  <c r="AO1290" i="32"/>
  <c r="AP1290" i="32"/>
  <c r="AQ1290" i="32"/>
  <c r="Q1290" i="32"/>
  <c r="AR1290" i="32"/>
  <c r="AS1290" i="32"/>
  <c r="AT1290" i="32"/>
  <c r="AU1290" i="32"/>
  <c r="AV1290" i="32"/>
  <c r="AW1290" i="32"/>
  <c r="AX1290" i="32"/>
  <c r="AY1290" i="32"/>
  <c r="AZ1290" i="32"/>
  <c r="BA1290" i="32"/>
  <c r="AK1291" i="32"/>
  <c r="AL1291" i="32"/>
  <c r="AM1291" i="32"/>
  <c r="AN1291" i="32"/>
  <c r="AO1291" i="32"/>
  <c r="AP1291" i="32"/>
  <c r="AQ1291" i="32"/>
  <c r="Q1291" i="32"/>
  <c r="AR1291" i="32"/>
  <c r="AS1291" i="32"/>
  <c r="AT1291" i="32"/>
  <c r="AU1291" i="32"/>
  <c r="AV1291" i="32"/>
  <c r="AW1291" i="32"/>
  <c r="AX1291" i="32"/>
  <c r="AY1291" i="32"/>
  <c r="AZ1291" i="32"/>
  <c r="BA1291" i="32"/>
  <c r="AK1292" i="32"/>
  <c r="AL1292" i="32"/>
  <c r="AM1292" i="32"/>
  <c r="AN1292" i="32"/>
  <c r="AO1292" i="32"/>
  <c r="AP1292" i="32"/>
  <c r="AQ1292" i="32"/>
  <c r="Q1292" i="32"/>
  <c r="AR1292" i="32"/>
  <c r="AS1292" i="32"/>
  <c r="AT1292" i="32"/>
  <c r="AU1292" i="32"/>
  <c r="AV1292" i="32"/>
  <c r="AW1292" i="32"/>
  <c r="AX1292" i="32"/>
  <c r="AY1292" i="32"/>
  <c r="AZ1292" i="32"/>
  <c r="BA1292" i="32"/>
  <c r="AK1293" i="32"/>
  <c r="AL1293" i="32"/>
  <c r="AM1293" i="32"/>
  <c r="AN1293" i="32"/>
  <c r="AO1293" i="32"/>
  <c r="AP1293" i="32"/>
  <c r="AQ1293" i="32"/>
  <c r="Q1293" i="32"/>
  <c r="AR1293" i="32"/>
  <c r="AS1293" i="32"/>
  <c r="AT1293" i="32"/>
  <c r="AU1293" i="32"/>
  <c r="AV1293" i="32"/>
  <c r="AW1293" i="32"/>
  <c r="AX1293" i="32"/>
  <c r="AY1293" i="32"/>
  <c r="AZ1293" i="32"/>
  <c r="BA1293" i="32"/>
  <c r="AK1294" i="32"/>
  <c r="AL1294" i="32"/>
  <c r="AM1294" i="32"/>
  <c r="AN1294" i="32"/>
  <c r="AO1294" i="32"/>
  <c r="AP1294" i="32"/>
  <c r="AQ1294" i="32"/>
  <c r="Q1294" i="32"/>
  <c r="AR1294" i="32"/>
  <c r="AS1294" i="32"/>
  <c r="AT1294" i="32"/>
  <c r="AU1294" i="32"/>
  <c r="AV1294" i="32"/>
  <c r="AW1294" i="32"/>
  <c r="AX1294" i="32"/>
  <c r="AY1294" i="32"/>
  <c r="AZ1294" i="32"/>
  <c r="BA1294" i="32"/>
  <c r="AK1295" i="32"/>
  <c r="AL1295" i="32"/>
  <c r="AM1295" i="32"/>
  <c r="AN1295" i="32"/>
  <c r="AO1295" i="32"/>
  <c r="AP1295" i="32"/>
  <c r="AQ1295" i="32"/>
  <c r="Q1295" i="32"/>
  <c r="AR1295" i="32"/>
  <c r="AS1295" i="32"/>
  <c r="AT1295" i="32"/>
  <c r="AU1295" i="32"/>
  <c r="AV1295" i="32"/>
  <c r="AW1295" i="32"/>
  <c r="AX1295" i="32"/>
  <c r="AY1295" i="32"/>
  <c r="AZ1295" i="32"/>
  <c r="BA1295" i="32"/>
  <c r="AK1296" i="32"/>
  <c r="AL1296" i="32"/>
  <c r="AM1296" i="32"/>
  <c r="AN1296" i="32"/>
  <c r="AO1296" i="32"/>
  <c r="AP1296" i="32"/>
  <c r="AQ1296" i="32"/>
  <c r="Q1296" i="32"/>
  <c r="AR1296" i="32"/>
  <c r="AS1296" i="32"/>
  <c r="AT1296" i="32"/>
  <c r="AU1296" i="32"/>
  <c r="AV1296" i="32"/>
  <c r="AW1296" i="32"/>
  <c r="AX1296" i="32"/>
  <c r="AY1296" i="32"/>
  <c r="AZ1296" i="32"/>
  <c r="BA1296" i="32"/>
  <c r="AK1297" i="32"/>
  <c r="AL1297" i="32"/>
  <c r="AM1297" i="32"/>
  <c r="AN1297" i="32"/>
  <c r="AO1297" i="32"/>
  <c r="AP1297" i="32"/>
  <c r="AQ1297" i="32"/>
  <c r="Q1297" i="32"/>
  <c r="AR1297" i="32"/>
  <c r="AS1297" i="32"/>
  <c r="AT1297" i="32"/>
  <c r="AU1297" i="32"/>
  <c r="AV1297" i="32"/>
  <c r="AW1297" i="32"/>
  <c r="AX1297" i="32"/>
  <c r="AY1297" i="32"/>
  <c r="AZ1297" i="32"/>
  <c r="BA1297" i="32"/>
  <c r="AK1298" i="32"/>
  <c r="AL1298" i="32"/>
  <c r="AM1298" i="32"/>
  <c r="AN1298" i="32"/>
  <c r="AO1298" i="32"/>
  <c r="AP1298" i="32"/>
  <c r="AQ1298" i="32"/>
  <c r="Q1298" i="32"/>
  <c r="AR1298" i="32"/>
  <c r="AS1298" i="32"/>
  <c r="AT1298" i="32"/>
  <c r="AU1298" i="32"/>
  <c r="AV1298" i="32"/>
  <c r="AW1298" i="32"/>
  <c r="AX1298" i="32"/>
  <c r="AY1298" i="32"/>
  <c r="AZ1298" i="32"/>
  <c r="BA1298" i="32"/>
  <c r="AK1299" i="32"/>
  <c r="AL1299" i="32"/>
  <c r="AM1299" i="32"/>
  <c r="AN1299" i="32"/>
  <c r="AO1299" i="32"/>
  <c r="AP1299" i="32"/>
  <c r="AQ1299" i="32"/>
  <c r="Q1299" i="32"/>
  <c r="AR1299" i="32"/>
  <c r="AS1299" i="32"/>
  <c r="AT1299" i="32"/>
  <c r="AU1299" i="32"/>
  <c r="AV1299" i="32"/>
  <c r="AW1299" i="32"/>
  <c r="AX1299" i="32"/>
  <c r="AY1299" i="32"/>
  <c r="AZ1299" i="32"/>
  <c r="BA1299" i="32"/>
  <c r="AK1300" i="32"/>
  <c r="AL1300" i="32"/>
  <c r="AM1300" i="32"/>
  <c r="AN1300" i="32"/>
  <c r="AO1300" i="32"/>
  <c r="AP1300" i="32"/>
  <c r="AQ1300" i="32"/>
  <c r="Q1300" i="32"/>
  <c r="AR1300" i="32"/>
  <c r="AS1300" i="32"/>
  <c r="AT1300" i="32"/>
  <c r="AU1300" i="32"/>
  <c r="AV1300" i="32"/>
  <c r="AW1300" i="32"/>
  <c r="AX1300" i="32"/>
  <c r="AY1300" i="32"/>
  <c r="AZ1300" i="32"/>
  <c r="BA1300" i="32"/>
  <c r="AK1301" i="32"/>
  <c r="AL1301" i="32"/>
  <c r="AM1301" i="32"/>
  <c r="AN1301" i="32"/>
  <c r="AO1301" i="32"/>
  <c r="AP1301" i="32"/>
  <c r="AQ1301" i="32"/>
  <c r="Q1301" i="32"/>
  <c r="AR1301" i="32"/>
  <c r="AS1301" i="32"/>
  <c r="AT1301" i="32"/>
  <c r="AU1301" i="32"/>
  <c r="AV1301" i="32"/>
  <c r="AW1301" i="32"/>
  <c r="AX1301" i="32"/>
  <c r="AY1301" i="32"/>
  <c r="AZ1301" i="32"/>
  <c r="BA1301" i="32"/>
  <c r="AK1302" i="32"/>
  <c r="AL1302" i="32"/>
  <c r="AM1302" i="32"/>
  <c r="AN1302" i="32"/>
  <c r="AO1302" i="32"/>
  <c r="AP1302" i="32"/>
  <c r="AQ1302" i="32"/>
  <c r="Q1302" i="32"/>
  <c r="AR1302" i="32"/>
  <c r="AS1302" i="32"/>
  <c r="AT1302" i="32"/>
  <c r="AU1302" i="32"/>
  <c r="AV1302" i="32"/>
  <c r="AW1302" i="32"/>
  <c r="AX1302" i="32"/>
  <c r="AY1302" i="32"/>
  <c r="AZ1302" i="32"/>
  <c r="BA1302" i="32"/>
  <c r="AK1303" i="32"/>
  <c r="AL1303" i="32"/>
  <c r="AM1303" i="32"/>
  <c r="AN1303" i="32"/>
  <c r="AO1303" i="32"/>
  <c r="AP1303" i="32"/>
  <c r="AQ1303" i="32"/>
  <c r="Q1303" i="32"/>
  <c r="AR1303" i="32"/>
  <c r="AS1303" i="32"/>
  <c r="AT1303" i="32"/>
  <c r="AU1303" i="32"/>
  <c r="AV1303" i="32"/>
  <c r="AW1303" i="32"/>
  <c r="AX1303" i="32"/>
  <c r="AY1303" i="32"/>
  <c r="AZ1303" i="32"/>
  <c r="BA1303" i="32"/>
  <c r="AK1304" i="32"/>
  <c r="AL1304" i="32"/>
  <c r="AM1304" i="32"/>
  <c r="AN1304" i="32"/>
  <c r="AO1304" i="32"/>
  <c r="AP1304" i="32"/>
  <c r="AQ1304" i="32"/>
  <c r="Q1304" i="32"/>
  <c r="AR1304" i="32"/>
  <c r="AS1304" i="32"/>
  <c r="AT1304" i="32"/>
  <c r="AU1304" i="32"/>
  <c r="AV1304" i="32"/>
  <c r="AW1304" i="32"/>
  <c r="AX1304" i="32"/>
  <c r="AY1304" i="32"/>
  <c r="AZ1304" i="32"/>
  <c r="BA1304" i="32"/>
  <c r="AK1305" i="32"/>
  <c r="AL1305" i="32"/>
  <c r="AM1305" i="32"/>
  <c r="AN1305" i="32"/>
  <c r="AO1305" i="32"/>
  <c r="AP1305" i="32"/>
  <c r="AQ1305" i="32"/>
  <c r="Q1305" i="32"/>
  <c r="AR1305" i="32"/>
  <c r="AS1305" i="32"/>
  <c r="AT1305" i="32"/>
  <c r="AU1305" i="32"/>
  <c r="AV1305" i="32"/>
  <c r="AW1305" i="32"/>
  <c r="AX1305" i="32"/>
  <c r="AY1305" i="32"/>
  <c r="AZ1305" i="32"/>
  <c r="BA1305" i="32"/>
  <c r="AK1306" i="32"/>
  <c r="AL1306" i="32"/>
  <c r="AM1306" i="32"/>
  <c r="AN1306" i="32"/>
  <c r="AO1306" i="32"/>
  <c r="AP1306" i="32"/>
  <c r="AQ1306" i="32"/>
  <c r="Q1306" i="32"/>
  <c r="AR1306" i="32"/>
  <c r="AS1306" i="32"/>
  <c r="AT1306" i="32"/>
  <c r="AU1306" i="32"/>
  <c r="AV1306" i="32"/>
  <c r="AW1306" i="32"/>
  <c r="AX1306" i="32"/>
  <c r="AY1306" i="32"/>
  <c r="AZ1306" i="32"/>
  <c r="BA1306" i="32"/>
  <c r="AK1307" i="32"/>
  <c r="AL1307" i="32"/>
  <c r="AM1307" i="32"/>
  <c r="AN1307" i="32"/>
  <c r="AO1307" i="32"/>
  <c r="AP1307" i="32"/>
  <c r="AQ1307" i="32"/>
  <c r="Q1307" i="32"/>
  <c r="AR1307" i="32"/>
  <c r="AS1307" i="32"/>
  <c r="AT1307" i="32"/>
  <c r="AU1307" i="32"/>
  <c r="AV1307" i="32"/>
  <c r="AW1307" i="32"/>
  <c r="AX1307" i="32"/>
  <c r="AY1307" i="32"/>
  <c r="AZ1307" i="32"/>
  <c r="BA1307" i="32"/>
  <c r="AK1308" i="32"/>
  <c r="AL1308" i="32"/>
  <c r="AM1308" i="32"/>
  <c r="AN1308" i="32"/>
  <c r="AO1308" i="32"/>
  <c r="AP1308" i="32"/>
  <c r="AQ1308" i="32"/>
  <c r="Q1308" i="32"/>
  <c r="AR1308" i="32"/>
  <c r="AS1308" i="32"/>
  <c r="AT1308" i="32"/>
  <c r="AU1308" i="32"/>
  <c r="AV1308" i="32"/>
  <c r="AW1308" i="32"/>
  <c r="AX1308" i="32"/>
  <c r="AY1308" i="32"/>
  <c r="AZ1308" i="32"/>
  <c r="BA1308" i="32"/>
  <c r="AK1309" i="32"/>
  <c r="AL1309" i="32"/>
  <c r="AM1309" i="32"/>
  <c r="AN1309" i="32"/>
  <c r="AO1309" i="32"/>
  <c r="AP1309" i="32"/>
  <c r="AQ1309" i="32"/>
  <c r="Q1309" i="32"/>
  <c r="AR1309" i="32"/>
  <c r="AS1309" i="32"/>
  <c r="AT1309" i="32"/>
  <c r="AU1309" i="32"/>
  <c r="AV1309" i="32"/>
  <c r="AW1309" i="32"/>
  <c r="AX1309" i="32"/>
  <c r="AY1309" i="32"/>
  <c r="AZ1309" i="32"/>
  <c r="BA1309" i="32"/>
  <c r="AK1310" i="32"/>
  <c r="AL1310" i="32"/>
  <c r="AM1310" i="32"/>
  <c r="AN1310" i="32"/>
  <c r="AO1310" i="32"/>
  <c r="AP1310" i="32"/>
  <c r="AQ1310" i="32"/>
  <c r="Q1310" i="32"/>
  <c r="AR1310" i="32"/>
  <c r="AS1310" i="32"/>
  <c r="AT1310" i="32"/>
  <c r="AU1310" i="32"/>
  <c r="AV1310" i="32"/>
  <c r="AW1310" i="32"/>
  <c r="AX1310" i="32"/>
  <c r="AY1310" i="32"/>
  <c r="AZ1310" i="32"/>
  <c r="BA1310" i="32"/>
  <c r="AK1311" i="32"/>
  <c r="AL1311" i="32"/>
  <c r="AM1311" i="32"/>
  <c r="AN1311" i="32"/>
  <c r="AO1311" i="32"/>
  <c r="AP1311" i="32"/>
  <c r="AQ1311" i="32"/>
  <c r="Q1311" i="32"/>
  <c r="AR1311" i="32"/>
  <c r="AS1311" i="32"/>
  <c r="AT1311" i="32"/>
  <c r="AU1311" i="32"/>
  <c r="AV1311" i="32"/>
  <c r="AW1311" i="32"/>
  <c r="AX1311" i="32"/>
  <c r="AY1311" i="32"/>
  <c r="AZ1311" i="32"/>
  <c r="BA1311" i="32"/>
  <c r="AK1312" i="32"/>
  <c r="AL1312" i="32"/>
  <c r="AM1312" i="32"/>
  <c r="AN1312" i="32"/>
  <c r="AO1312" i="32"/>
  <c r="AP1312" i="32"/>
  <c r="AQ1312" i="32"/>
  <c r="Q1312" i="32"/>
  <c r="AR1312" i="32"/>
  <c r="AS1312" i="32"/>
  <c r="AT1312" i="32"/>
  <c r="AU1312" i="32"/>
  <c r="AV1312" i="32"/>
  <c r="AW1312" i="32"/>
  <c r="AX1312" i="32"/>
  <c r="AY1312" i="32"/>
  <c r="AZ1312" i="32"/>
  <c r="BA1312" i="32"/>
  <c r="AK1313" i="32"/>
  <c r="AL1313" i="32"/>
  <c r="AM1313" i="32"/>
  <c r="AN1313" i="32"/>
  <c r="AO1313" i="32"/>
  <c r="AP1313" i="32"/>
  <c r="AQ1313" i="32"/>
  <c r="Q1313" i="32"/>
  <c r="AR1313" i="32"/>
  <c r="AS1313" i="32"/>
  <c r="AT1313" i="32"/>
  <c r="AU1313" i="32"/>
  <c r="AV1313" i="32"/>
  <c r="AW1313" i="32"/>
  <c r="AX1313" i="32"/>
  <c r="AY1313" i="32"/>
  <c r="AZ1313" i="32"/>
  <c r="BA1313" i="32"/>
  <c r="AK1314" i="32"/>
  <c r="AL1314" i="32"/>
  <c r="AM1314" i="32"/>
  <c r="AN1314" i="32"/>
  <c r="AO1314" i="32"/>
  <c r="AP1314" i="32"/>
  <c r="AQ1314" i="32"/>
  <c r="Q1314" i="32"/>
  <c r="AR1314" i="32"/>
  <c r="AS1314" i="32"/>
  <c r="AT1314" i="32"/>
  <c r="AU1314" i="32"/>
  <c r="AV1314" i="32"/>
  <c r="AW1314" i="32"/>
  <c r="AX1314" i="32"/>
  <c r="AY1314" i="32"/>
  <c r="AZ1314" i="32"/>
  <c r="BA1314" i="32"/>
  <c r="AK1315" i="32"/>
  <c r="AL1315" i="32"/>
  <c r="AM1315" i="32"/>
  <c r="AN1315" i="32"/>
  <c r="AO1315" i="32"/>
  <c r="AP1315" i="32"/>
  <c r="AQ1315" i="32"/>
  <c r="Q1315" i="32"/>
  <c r="AR1315" i="32"/>
  <c r="AS1315" i="32"/>
  <c r="AT1315" i="32"/>
  <c r="AU1315" i="32"/>
  <c r="AV1315" i="32"/>
  <c r="AW1315" i="32"/>
  <c r="AX1315" i="32"/>
  <c r="AY1315" i="32"/>
  <c r="AZ1315" i="32"/>
  <c r="BA1315" i="32"/>
  <c r="AK1316" i="32"/>
  <c r="AL1316" i="32"/>
  <c r="AM1316" i="32"/>
  <c r="AN1316" i="32"/>
  <c r="AO1316" i="32"/>
  <c r="AP1316" i="32"/>
  <c r="AQ1316" i="32"/>
  <c r="Q1316" i="32"/>
  <c r="AR1316" i="32"/>
  <c r="AS1316" i="32"/>
  <c r="AT1316" i="32"/>
  <c r="AU1316" i="32"/>
  <c r="AV1316" i="32"/>
  <c r="AW1316" i="32"/>
  <c r="AX1316" i="32"/>
  <c r="AY1316" i="32"/>
  <c r="AZ1316" i="32"/>
  <c r="BA1316" i="32"/>
  <c r="AK1317" i="32"/>
  <c r="AL1317" i="32"/>
  <c r="AM1317" i="32"/>
  <c r="AN1317" i="32"/>
  <c r="AO1317" i="32"/>
  <c r="AP1317" i="32"/>
  <c r="AQ1317" i="32"/>
  <c r="Q1317" i="32"/>
  <c r="AR1317" i="32"/>
  <c r="AS1317" i="32"/>
  <c r="AT1317" i="32"/>
  <c r="AU1317" i="32"/>
  <c r="AV1317" i="32"/>
  <c r="AW1317" i="32"/>
  <c r="AX1317" i="32"/>
  <c r="AY1317" i="32"/>
  <c r="AZ1317" i="32"/>
  <c r="BA1317" i="32"/>
  <c r="AK1318" i="32"/>
  <c r="AL1318" i="32"/>
  <c r="AM1318" i="32"/>
  <c r="AN1318" i="32"/>
  <c r="AO1318" i="32"/>
  <c r="AP1318" i="32"/>
  <c r="AQ1318" i="32"/>
  <c r="Q1318" i="32"/>
  <c r="AR1318" i="32"/>
  <c r="AS1318" i="32"/>
  <c r="AT1318" i="32"/>
  <c r="AU1318" i="32"/>
  <c r="AV1318" i="32"/>
  <c r="AW1318" i="32"/>
  <c r="AX1318" i="32"/>
  <c r="AY1318" i="32"/>
  <c r="AZ1318" i="32"/>
  <c r="BA1318" i="32"/>
  <c r="AK1319" i="32"/>
  <c r="AL1319" i="32"/>
  <c r="AM1319" i="32"/>
  <c r="AN1319" i="32"/>
  <c r="AO1319" i="32"/>
  <c r="AP1319" i="32"/>
  <c r="AQ1319" i="32"/>
  <c r="Q1319" i="32"/>
  <c r="AR1319" i="32"/>
  <c r="AS1319" i="32"/>
  <c r="AT1319" i="32"/>
  <c r="AU1319" i="32"/>
  <c r="AV1319" i="32"/>
  <c r="AW1319" i="32"/>
  <c r="AX1319" i="32"/>
  <c r="AY1319" i="32"/>
  <c r="AZ1319" i="32"/>
  <c r="BA1319" i="32"/>
  <c r="AK1320" i="32"/>
  <c r="AL1320" i="32"/>
  <c r="AM1320" i="32"/>
  <c r="AN1320" i="32"/>
  <c r="AO1320" i="32"/>
  <c r="AP1320" i="32"/>
  <c r="AQ1320" i="32"/>
  <c r="Q1320" i="32"/>
  <c r="AR1320" i="32"/>
  <c r="AS1320" i="32"/>
  <c r="AT1320" i="32"/>
  <c r="AU1320" i="32"/>
  <c r="AV1320" i="32"/>
  <c r="AW1320" i="32"/>
  <c r="AX1320" i="32"/>
  <c r="AY1320" i="32"/>
  <c r="AZ1320" i="32"/>
  <c r="BA1320" i="32"/>
  <c r="AK1321" i="32"/>
  <c r="AL1321" i="32"/>
  <c r="AM1321" i="32"/>
  <c r="AN1321" i="32"/>
  <c r="AO1321" i="32"/>
  <c r="AP1321" i="32"/>
  <c r="AQ1321" i="32"/>
  <c r="Q1321" i="32"/>
  <c r="AR1321" i="32"/>
  <c r="AS1321" i="32"/>
  <c r="AT1321" i="32"/>
  <c r="AU1321" i="32"/>
  <c r="AV1321" i="32"/>
  <c r="AW1321" i="32"/>
  <c r="AX1321" i="32"/>
  <c r="AY1321" i="32"/>
  <c r="AZ1321" i="32"/>
  <c r="BA1321" i="32"/>
  <c r="AK1322" i="32"/>
  <c r="AL1322" i="32"/>
  <c r="AM1322" i="32"/>
  <c r="AN1322" i="32"/>
  <c r="AO1322" i="32"/>
  <c r="AP1322" i="32"/>
  <c r="AQ1322" i="32"/>
  <c r="Q1322" i="32"/>
  <c r="AR1322" i="32"/>
  <c r="AS1322" i="32"/>
  <c r="AT1322" i="32"/>
  <c r="AU1322" i="32"/>
  <c r="AV1322" i="32"/>
  <c r="AW1322" i="32"/>
  <c r="AX1322" i="32"/>
  <c r="AY1322" i="32"/>
  <c r="AZ1322" i="32"/>
  <c r="BA1322" i="32"/>
  <c r="AK1323" i="32"/>
  <c r="AL1323" i="32"/>
  <c r="AM1323" i="32"/>
  <c r="AN1323" i="32"/>
  <c r="AO1323" i="32"/>
  <c r="AP1323" i="32"/>
  <c r="AQ1323" i="32"/>
  <c r="Q1323" i="32"/>
  <c r="AR1323" i="32"/>
  <c r="AS1323" i="32"/>
  <c r="AT1323" i="32"/>
  <c r="AU1323" i="32"/>
  <c r="AV1323" i="32"/>
  <c r="AW1323" i="32"/>
  <c r="AX1323" i="32"/>
  <c r="AY1323" i="32"/>
  <c r="AZ1323" i="32"/>
  <c r="BA1323" i="32"/>
  <c r="AK1324" i="32"/>
  <c r="AL1324" i="32"/>
  <c r="AM1324" i="32"/>
  <c r="AN1324" i="32"/>
  <c r="AO1324" i="32"/>
  <c r="AP1324" i="32"/>
  <c r="AQ1324" i="32"/>
  <c r="Q1324" i="32"/>
  <c r="AR1324" i="32"/>
  <c r="AS1324" i="32"/>
  <c r="AT1324" i="32"/>
  <c r="AU1324" i="32"/>
  <c r="AV1324" i="32"/>
  <c r="AW1324" i="32"/>
  <c r="AX1324" i="32"/>
  <c r="AY1324" i="32"/>
  <c r="AZ1324" i="32"/>
  <c r="BA1324" i="32"/>
  <c r="AK1325" i="32"/>
  <c r="AL1325" i="32"/>
  <c r="AM1325" i="32"/>
  <c r="AN1325" i="32"/>
  <c r="AO1325" i="32"/>
  <c r="AP1325" i="32"/>
  <c r="AQ1325" i="32"/>
  <c r="Q1325" i="32"/>
  <c r="AR1325" i="32"/>
  <c r="AS1325" i="32"/>
  <c r="AT1325" i="32"/>
  <c r="AU1325" i="32"/>
  <c r="AV1325" i="32"/>
  <c r="AW1325" i="32"/>
  <c r="AX1325" i="32"/>
  <c r="AY1325" i="32"/>
  <c r="AZ1325" i="32"/>
  <c r="BA1325" i="32"/>
  <c r="AK1326" i="32"/>
  <c r="AL1326" i="32"/>
  <c r="AM1326" i="32"/>
  <c r="AN1326" i="32"/>
  <c r="AO1326" i="32"/>
  <c r="AP1326" i="32"/>
  <c r="AQ1326" i="32"/>
  <c r="Q1326" i="32"/>
  <c r="AR1326" i="32"/>
  <c r="AS1326" i="32"/>
  <c r="AT1326" i="32"/>
  <c r="AU1326" i="32"/>
  <c r="AV1326" i="32"/>
  <c r="AW1326" i="32"/>
  <c r="AX1326" i="32"/>
  <c r="AY1326" i="32"/>
  <c r="AZ1326" i="32"/>
  <c r="BA1326" i="32"/>
  <c r="AK1327" i="32"/>
  <c r="AL1327" i="32"/>
  <c r="AM1327" i="32"/>
  <c r="AN1327" i="32"/>
  <c r="AO1327" i="32"/>
  <c r="AP1327" i="32"/>
  <c r="AQ1327" i="32"/>
  <c r="Q1327" i="32"/>
  <c r="AR1327" i="32"/>
  <c r="AS1327" i="32"/>
  <c r="AT1327" i="32"/>
  <c r="AU1327" i="32"/>
  <c r="AV1327" i="32"/>
  <c r="AW1327" i="32"/>
  <c r="AX1327" i="32"/>
  <c r="AY1327" i="32"/>
  <c r="AZ1327" i="32"/>
  <c r="BA1327" i="32"/>
  <c r="AK1328" i="32"/>
  <c r="AL1328" i="32"/>
  <c r="AM1328" i="32"/>
  <c r="AN1328" i="32"/>
  <c r="AO1328" i="32"/>
  <c r="AP1328" i="32"/>
  <c r="AQ1328" i="32"/>
  <c r="Q1328" i="32"/>
  <c r="AR1328" i="32"/>
  <c r="AS1328" i="32"/>
  <c r="AT1328" i="32"/>
  <c r="AU1328" i="32"/>
  <c r="AV1328" i="32"/>
  <c r="AW1328" i="32"/>
  <c r="AX1328" i="32"/>
  <c r="AY1328" i="32"/>
  <c r="AZ1328" i="32"/>
  <c r="BA1328" i="32"/>
  <c r="AK1329" i="32"/>
  <c r="AL1329" i="32"/>
  <c r="AM1329" i="32"/>
  <c r="AN1329" i="32"/>
  <c r="AO1329" i="32"/>
  <c r="AP1329" i="32"/>
  <c r="AQ1329" i="32"/>
  <c r="Q1329" i="32"/>
  <c r="AR1329" i="32"/>
  <c r="AS1329" i="32"/>
  <c r="AT1329" i="32"/>
  <c r="AU1329" i="32"/>
  <c r="AV1329" i="32"/>
  <c r="AW1329" i="32"/>
  <c r="AX1329" i="32"/>
  <c r="AY1329" i="32"/>
  <c r="AZ1329" i="32"/>
  <c r="BA1329" i="32"/>
  <c r="AK1330" i="32"/>
  <c r="AL1330" i="32"/>
  <c r="AM1330" i="32"/>
  <c r="AN1330" i="32"/>
  <c r="AO1330" i="32"/>
  <c r="AP1330" i="32"/>
  <c r="AQ1330" i="32"/>
  <c r="Q1330" i="32"/>
  <c r="AR1330" i="32"/>
  <c r="AS1330" i="32"/>
  <c r="AT1330" i="32"/>
  <c r="AU1330" i="32"/>
  <c r="AV1330" i="32"/>
  <c r="AW1330" i="32"/>
  <c r="AX1330" i="32"/>
  <c r="AY1330" i="32"/>
  <c r="AZ1330" i="32"/>
  <c r="BA1330" i="32"/>
  <c r="AK1331" i="32"/>
  <c r="AL1331" i="32"/>
  <c r="AM1331" i="32"/>
  <c r="AN1331" i="32"/>
  <c r="AO1331" i="32"/>
  <c r="AP1331" i="32"/>
  <c r="AQ1331" i="32"/>
  <c r="Q1331" i="32"/>
  <c r="AR1331" i="32"/>
  <c r="AS1331" i="32"/>
  <c r="AT1331" i="32"/>
  <c r="AU1331" i="32"/>
  <c r="AV1331" i="32"/>
  <c r="AW1331" i="32"/>
  <c r="AX1331" i="32"/>
  <c r="AY1331" i="32"/>
  <c r="AZ1331" i="32"/>
  <c r="BA1331" i="32"/>
  <c r="AK1332" i="32"/>
  <c r="AL1332" i="32"/>
  <c r="AM1332" i="32"/>
  <c r="AN1332" i="32"/>
  <c r="AO1332" i="32"/>
  <c r="AP1332" i="32"/>
  <c r="AQ1332" i="32"/>
  <c r="Q1332" i="32"/>
  <c r="AR1332" i="32"/>
  <c r="AS1332" i="32"/>
  <c r="AT1332" i="32"/>
  <c r="AU1332" i="32"/>
  <c r="AV1332" i="32"/>
  <c r="AW1332" i="32"/>
  <c r="AX1332" i="32"/>
  <c r="AY1332" i="32"/>
  <c r="AZ1332" i="32"/>
  <c r="BA1332" i="32"/>
  <c r="AK1333" i="32"/>
  <c r="AL1333" i="32"/>
  <c r="AM1333" i="32"/>
  <c r="AN1333" i="32"/>
  <c r="AO1333" i="32"/>
  <c r="AP1333" i="32"/>
  <c r="AQ1333" i="32"/>
  <c r="Q1333" i="32"/>
  <c r="AR1333" i="32"/>
  <c r="AS1333" i="32"/>
  <c r="AT1333" i="32"/>
  <c r="AU1333" i="32"/>
  <c r="AV1333" i="32"/>
  <c r="AW1333" i="32"/>
  <c r="AX1333" i="32"/>
  <c r="AY1333" i="32"/>
  <c r="AZ1333" i="32"/>
  <c r="BA1333" i="32"/>
  <c r="AK1334" i="32"/>
  <c r="AL1334" i="32"/>
  <c r="AM1334" i="32"/>
  <c r="AN1334" i="32"/>
  <c r="AO1334" i="32"/>
  <c r="AP1334" i="32"/>
  <c r="AQ1334" i="32"/>
  <c r="Q1334" i="32"/>
  <c r="AR1334" i="32"/>
  <c r="AS1334" i="32"/>
  <c r="AT1334" i="32"/>
  <c r="AU1334" i="32"/>
  <c r="AV1334" i="32"/>
  <c r="AW1334" i="32"/>
  <c r="AX1334" i="32"/>
  <c r="AY1334" i="32"/>
  <c r="AZ1334" i="32"/>
  <c r="BA1334" i="32"/>
  <c r="AK1335" i="32"/>
  <c r="AL1335" i="32"/>
  <c r="AM1335" i="32"/>
  <c r="AN1335" i="32"/>
  <c r="AO1335" i="32"/>
  <c r="AP1335" i="32"/>
  <c r="AQ1335" i="32"/>
  <c r="Q1335" i="32"/>
  <c r="AR1335" i="32"/>
  <c r="AS1335" i="32"/>
  <c r="AT1335" i="32"/>
  <c r="AU1335" i="32"/>
  <c r="AV1335" i="32"/>
  <c r="AW1335" i="32"/>
  <c r="AX1335" i="32"/>
  <c r="AY1335" i="32"/>
  <c r="AZ1335" i="32"/>
  <c r="BA1335" i="32"/>
  <c r="AK1336" i="32"/>
  <c r="AL1336" i="32"/>
  <c r="AM1336" i="32"/>
  <c r="AN1336" i="32"/>
  <c r="AO1336" i="32"/>
  <c r="AP1336" i="32"/>
  <c r="AQ1336" i="32"/>
  <c r="Q1336" i="32"/>
  <c r="AR1336" i="32"/>
  <c r="AS1336" i="32"/>
  <c r="AT1336" i="32"/>
  <c r="AU1336" i="32"/>
  <c r="AV1336" i="32"/>
  <c r="AW1336" i="32"/>
  <c r="AX1336" i="32"/>
  <c r="AY1336" i="32"/>
  <c r="AZ1336" i="32"/>
  <c r="BA1336" i="32"/>
  <c r="AK1337" i="32"/>
  <c r="AL1337" i="32"/>
  <c r="AM1337" i="32"/>
  <c r="AN1337" i="32"/>
  <c r="AO1337" i="32"/>
  <c r="AP1337" i="32"/>
  <c r="AQ1337" i="32"/>
  <c r="Q1337" i="32"/>
  <c r="AR1337" i="32"/>
  <c r="AS1337" i="32"/>
  <c r="AT1337" i="32"/>
  <c r="AU1337" i="32"/>
  <c r="AV1337" i="32"/>
  <c r="AW1337" i="32"/>
  <c r="AX1337" i="32"/>
  <c r="AY1337" i="32"/>
  <c r="AZ1337" i="32"/>
  <c r="BA1337" i="32"/>
  <c r="AK1338" i="32"/>
  <c r="AL1338" i="32"/>
  <c r="AM1338" i="32"/>
  <c r="AN1338" i="32"/>
  <c r="AO1338" i="32"/>
  <c r="AP1338" i="32"/>
  <c r="AQ1338" i="32"/>
  <c r="Q1338" i="32"/>
  <c r="AR1338" i="32"/>
  <c r="AS1338" i="32"/>
  <c r="AT1338" i="32"/>
  <c r="AU1338" i="32"/>
  <c r="AV1338" i="32"/>
  <c r="AW1338" i="32"/>
  <c r="AX1338" i="32"/>
  <c r="AY1338" i="32"/>
  <c r="AZ1338" i="32"/>
  <c r="BA1338" i="32"/>
  <c r="AK1339" i="32"/>
  <c r="AL1339" i="32"/>
  <c r="AM1339" i="32"/>
  <c r="AN1339" i="32"/>
  <c r="AO1339" i="32"/>
  <c r="AP1339" i="32"/>
  <c r="AQ1339" i="32"/>
  <c r="Q1339" i="32"/>
  <c r="AR1339" i="32"/>
  <c r="AS1339" i="32"/>
  <c r="AT1339" i="32"/>
  <c r="AU1339" i="32"/>
  <c r="AV1339" i="32"/>
  <c r="AW1339" i="32"/>
  <c r="AX1339" i="32"/>
  <c r="AY1339" i="32"/>
  <c r="AZ1339" i="32"/>
  <c r="BA1339" i="32"/>
  <c r="AK1340" i="32"/>
  <c r="AL1340" i="32"/>
  <c r="AM1340" i="32"/>
  <c r="AN1340" i="32"/>
  <c r="AO1340" i="32"/>
  <c r="AP1340" i="32"/>
  <c r="AQ1340" i="32"/>
  <c r="Q1340" i="32"/>
  <c r="AR1340" i="32"/>
  <c r="AS1340" i="32"/>
  <c r="AT1340" i="32"/>
  <c r="AU1340" i="32"/>
  <c r="AV1340" i="32"/>
  <c r="AW1340" i="32"/>
  <c r="AX1340" i="32"/>
  <c r="AY1340" i="32"/>
  <c r="AZ1340" i="32"/>
  <c r="BA1340" i="32"/>
  <c r="AK1341" i="32"/>
  <c r="AL1341" i="32"/>
  <c r="AM1341" i="32"/>
  <c r="AN1341" i="32"/>
  <c r="AO1341" i="32"/>
  <c r="AP1341" i="32"/>
  <c r="AQ1341" i="32"/>
  <c r="Q1341" i="32"/>
  <c r="AR1341" i="32"/>
  <c r="AS1341" i="32"/>
  <c r="AT1341" i="32"/>
  <c r="AU1341" i="32"/>
  <c r="AV1341" i="32"/>
  <c r="AW1341" i="32"/>
  <c r="AX1341" i="32"/>
  <c r="AY1341" i="32"/>
  <c r="AZ1341" i="32"/>
  <c r="BA1341" i="32"/>
  <c r="AK1342" i="32"/>
  <c r="AL1342" i="32"/>
  <c r="AM1342" i="32"/>
  <c r="AN1342" i="32"/>
  <c r="AO1342" i="32"/>
  <c r="AP1342" i="32"/>
  <c r="AQ1342" i="32"/>
  <c r="Q1342" i="32"/>
  <c r="AR1342" i="32"/>
  <c r="AS1342" i="32"/>
  <c r="AT1342" i="32"/>
  <c r="AU1342" i="32"/>
  <c r="AV1342" i="32"/>
  <c r="AW1342" i="32"/>
  <c r="AX1342" i="32"/>
  <c r="AY1342" i="32"/>
  <c r="AZ1342" i="32"/>
  <c r="BA1342" i="32"/>
  <c r="AK1343" i="32"/>
  <c r="AL1343" i="32"/>
  <c r="AM1343" i="32"/>
  <c r="AN1343" i="32"/>
  <c r="AO1343" i="32"/>
  <c r="AP1343" i="32"/>
  <c r="AQ1343" i="32"/>
  <c r="Q1343" i="32"/>
  <c r="AR1343" i="32"/>
  <c r="AS1343" i="32"/>
  <c r="AT1343" i="32"/>
  <c r="AU1343" i="32"/>
  <c r="AV1343" i="32"/>
  <c r="AW1343" i="32"/>
  <c r="AX1343" i="32"/>
  <c r="AY1343" i="32"/>
  <c r="AZ1343" i="32"/>
  <c r="BA1343" i="32"/>
  <c r="AK1344" i="32"/>
  <c r="AL1344" i="32"/>
  <c r="AM1344" i="32"/>
  <c r="AN1344" i="32"/>
  <c r="AO1344" i="32"/>
  <c r="AP1344" i="32"/>
  <c r="AQ1344" i="32"/>
  <c r="Q1344" i="32"/>
  <c r="AR1344" i="32"/>
  <c r="AS1344" i="32"/>
  <c r="AT1344" i="32"/>
  <c r="AU1344" i="32"/>
  <c r="AV1344" i="32"/>
  <c r="AW1344" i="32"/>
  <c r="AX1344" i="32"/>
  <c r="AY1344" i="32"/>
  <c r="AZ1344" i="32"/>
  <c r="BA1344" i="32"/>
  <c r="AK1345" i="32"/>
  <c r="AL1345" i="32"/>
  <c r="AM1345" i="32"/>
  <c r="AN1345" i="32"/>
  <c r="AO1345" i="32"/>
  <c r="AP1345" i="32"/>
  <c r="AQ1345" i="32"/>
  <c r="Q1345" i="32"/>
  <c r="AR1345" i="32"/>
  <c r="AS1345" i="32"/>
  <c r="AT1345" i="32"/>
  <c r="AU1345" i="32"/>
  <c r="AV1345" i="32"/>
  <c r="AW1345" i="32"/>
  <c r="AX1345" i="32"/>
  <c r="AY1345" i="32"/>
  <c r="AZ1345" i="32"/>
  <c r="BA1345" i="32"/>
  <c r="AK1346" i="32"/>
  <c r="AL1346" i="32"/>
  <c r="AM1346" i="32"/>
  <c r="AN1346" i="32"/>
  <c r="AO1346" i="32"/>
  <c r="AP1346" i="32"/>
  <c r="AQ1346" i="32"/>
  <c r="Q1346" i="32"/>
  <c r="AR1346" i="32"/>
  <c r="AS1346" i="32"/>
  <c r="AT1346" i="32"/>
  <c r="AU1346" i="32"/>
  <c r="AV1346" i="32"/>
  <c r="AW1346" i="32"/>
  <c r="AX1346" i="32"/>
  <c r="AY1346" i="32"/>
  <c r="AZ1346" i="32"/>
  <c r="BA1346" i="32"/>
  <c r="AK1347" i="32"/>
  <c r="AL1347" i="32"/>
  <c r="AM1347" i="32"/>
  <c r="AN1347" i="32"/>
  <c r="AO1347" i="32"/>
  <c r="AP1347" i="32"/>
  <c r="AQ1347" i="32"/>
  <c r="Q1347" i="32"/>
  <c r="AR1347" i="32"/>
  <c r="AS1347" i="32"/>
  <c r="AT1347" i="32"/>
  <c r="AU1347" i="32"/>
  <c r="AV1347" i="32"/>
  <c r="AW1347" i="32"/>
  <c r="AX1347" i="32"/>
  <c r="AY1347" i="32"/>
  <c r="AZ1347" i="32"/>
  <c r="BA1347" i="32"/>
  <c r="AK1348" i="32"/>
  <c r="AL1348" i="32"/>
  <c r="AM1348" i="32"/>
  <c r="AN1348" i="32"/>
  <c r="AO1348" i="32"/>
  <c r="AP1348" i="32"/>
  <c r="AQ1348" i="32"/>
  <c r="Q1348" i="32"/>
  <c r="AR1348" i="32"/>
  <c r="AS1348" i="32"/>
  <c r="AT1348" i="32"/>
  <c r="AU1348" i="32"/>
  <c r="AV1348" i="32"/>
  <c r="AW1348" i="32"/>
  <c r="AX1348" i="32"/>
  <c r="AY1348" i="32"/>
  <c r="AZ1348" i="32"/>
  <c r="BA1348" i="32"/>
  <c r="AK1349" i="32"/>
  <c r="AL1349" i="32"/>
  <c r="AM1349" i="32"/>
  <c r="AN1349" i="32"/>
  <c r="AO1349" i="32"/>
  <c r="AP1349" i="32"/>
  <c r="AQ1349" i="32"/>
  <c r="Q1349" i="32"/>
  <c r="AR1349" i="32"/>
  <c r="AS1349" i="32"/>
  <c r="AT1349" i="32"/>
  <c r="AU1349" i="32"/>
  <c r="AV1349" i="32"/>
  <c r="AW1349" i="32"/>
  <c r="AX1349" i="32"/>
  <c r="AY1349" i="32"/>
  <c r="AZ1349" i="32"/>
  <c r="BA1349" i="32"/>
  <c r="AK1350" i="32"/>
  <c r="AL1350" i="32"/>
  <c r="AM1350" i="32"/>
  <c r="AN1350" i="32"/>
  <c r="AO1350" i="32"/>
  <c r="AP1350" i="32"/>
  <c r="AQ1350" i="32"/>
  <c r="Q1350" i="32"/>
  <c r="AR1350" i="32"/>
  <c r="AS1350" i="32"/>
  <c r="AT1350" i="32"/>
  <c r="AU1350" i="32"/>
  <c r="AV1350" i="32"/>
  <c r="AW1350" i="32"/>
  <c r="AX1350" i="32"/>
  <c r="AY1350" i="32"/>
  <c r="AZ1350" i="32"/>
  <c r="BA1350" i="32"/>
  <c r="AK1351" i="32"/>
  <c r="AL1351" i="32"/>
  <c r="AM1351" i="32"/>
  <c r="AN1351" i="32"/>
  <c r="AO1351" i="32"/>
  <c r="AP1351" i="32"/>
  <c r="AQ1351" i="32"/>
  <c r="Q1351" i="32"/>
  <c r="AR1351" i="32"/>
  <c r="AS1351" i="32"/>
  <c r="AT1351" i="32"/>
  <c r="AU1351" i="32"/>
  <c r="AV1351" i="32"/>
  <c r="AW1351" i="32"/>
  <c r="AX1351" i="32"/>
  <c r="AY1351" i="32"/>
  <c r="AZ1351" i="32"/>
  <c r="BA1351" i="32"/>
  <c r="AK1352" i="32"/>
  <c r="AL1352" i="32"/>
  <c r="AM1352" i="32"/>
  <c r="AN1352" i="32"/>
  <c r="AO1352" i="32"/>
  <c r="AP1352" i="32"/>
  <c r="AQ1352" i="32"/>
  <c r="Q1352" i="32"/>
  <c r="AR1352" i="32"/>
  <c r="AS1352" i="32"/>
  <c r="AT1352" i="32"/>
  <c r="AU1352" i="32"/>
  <c r="AV1352" i="32"/>
  <c r="AW1352" i="32"/>
  <c r="AX1352" i="32"/>
  <c r="AY1352" i="32"/>
  <c r="AZ1352" i="32"/>
  <c r="BA1352" i="32"/>
  <c r="AK1353" i="32"/>
  <c r="AL1353" i="32"/>
  <c r="AM1353" i="32"/>
  <c r="AN1353" i="32"/>
  <c r="AO1353" i="32"/>
  <c r="AP1353" i="32"/>
  <c r="AQ1353" i="32"/>
  <c r="Q1353" i="32"/>
  <c r="AR1353" i="32"/>
  <c r="AS1353" i="32"/>
  <c r="AT1353" i="32"/>
  <c r="AU1353" i="32"/>
  <c r="AV1353" i="32"/>
  <c r="AW1353" i="32"/>
  <c r="AX1353" i="32"/>
  <c r="AY1353" i="32"/>
  <c r="AZ1353" i="32"/>
  <c r="BA1353" i="32"/>
  <c r="AK1354" i="32"/>
  <c r="AL1354" i="32"/>
  <c r="AM1354" i="32"/>
  <c r="AN1354" i="32"/>
  <c r="AO1354" i="32"/>
  <c r="AP1354" i="32"/>
  <c r="AQ1354" i="32"/>
  <c r="Q1354" i="32"/>
  <c r="AR1354" i="32"/>
  <c r="AS1354" i="32"/>
  <c r="AT1354" i="32"/>
  <c r="AU1354" i="32"/>
  <c r="AV1354" i="32"/>
  <c r="AW1354" i="32"/>
  <c r="AX1354" i="32"/>
  <c r="AY1354" i="32"/>
  <c r="AZ1354" i="32"/>
  <c r="BA1354" i="32"/>
  <c r="AK1355" i="32"/>
  <c r="AL1355" i="32"/>
  <c r="AM1355" i="32"/>
  <c r="AN1355" i="32"/>
  <c r="AO1355" i="32"/>
  <c r="AP1355" i="32"/>
  <c r="AQ1355" i="32"/>
  <c r="Q1355" i="32"/>
  <c r="AR1355" i="32"/>
  <c r="AS1355" i="32"/>
  <c r="AT1355" i="32"/>
  <c r="AU1355" i="32"/>
  <c r="AV1355" i="32"/>
  <c r="AW1355" i="32"/>
  <c r="AX1355" i="32"/>
  <c r="AY1355" i="32"/>
  <c r="AZ1355" i="32"/>
  <c r="BA1355" i="32"/>
  <c r="AK1356" i="32"/>
  <c r="AL1356" i="32"/>
  <c r="AM1356" i="32"/>
  <c r="AN1356" i="32"/>
  <c r="AO1356" i="32"/>
  <c r="AP1356" i="32"/>
  <c r="AQ1356" i="32"/>
  <c r="Q1356" i="32"/>
  <c r="AR1356" i="32"/>
  <c r="AS1356" i="32"/>
  <c r="AT1356" i="32"/>
  <c r="AU1356" i="32"/>
  <c r="AV1356" i="32"/>
  <c r="AW1356" i="32"/>
  <c r="AX1356" i="32"/>
  <c r="AY1356" i="32"/>
  <c r="AZ1356" i="32"/>
  <c r="BA1356" i="32"/>
  <c r="AK1357" i="32"/>
  <c r="AL1357" i="32"/>
  <c r="AM1357" i="32"/>
  <c r="AN1357" i="32"/>
  <c r="AO1357" i="32"/>
  <c r="AP1357" i="32"/>
  <c r="AQ1357" i="32"/>
  <c r="Q1357" i="32"/>
  <c r="AR1357" i="32"/>
  <c r="AS1357" i="32"/>
  <c r="AT1357" i="32"/>
  <c r="AU1357" i="32"/>
  <c r="AV1357" i="32"/>
  <c r="AW1357" i="32"/>
  <c r="AX1357" i="32"/>
  <c r="AY1357" i="32"/>
  <c r="AZ1357" i="32"/>
  <c r="BA1357" i="32"/>
  <c r="AK1358" i="32"/>
  <c r="AL1358" i="32"/>
  <c r="AM1358" i="32"/>
  <c r="AN1358" i="32"/>
  <c r="AO1358" i="32"/>
  <c r="AP1358" i="32"/>
  <c r="AQ1358" i="32"/>
  <c r="Q1358" i="32"/>
  <c r="AR1358" i="32"/>
  <c r="AS1358" i="32"/>
  <c r="AT1358" i="32"/>
  <c r="AU1358" i="32"/>
  <c r="AV1358" i="32"/>
  <c r="AW1358" i="32"/>
  <c r="AX1358" i="32"/>
  <c r="AY1358" i="32"/>
  <c r="AZ1358" i="32"/>
  <c r="BA1358" i="32"/>
  <c r="AK1359" i="32"/>
  <c r="AL1359" i="32"/>
  <c r="AM1359" i="32"/>
  <c r="AN1359" i="32"/>
  <c r="AO1359" i="32"/>
  <c r="AP1359" i="32"/>
  <c r="AQ1359" i="32"/>
  <c r="Q1359" i="32"/>
  <c r="AR1359" i="32"/>
  <c r="AS1359" i="32"/>
  <c r="AT1359" i="32"/>
  <c r="AU1359" i="32"/>
  <c r="AV1359" i="32"/>
  <c r="AW1359" i="32"/>
  <c r="AX1359" i="32"/>
  <c r="AY1359" i="32"/>
  <c r="AZ1359" i="32"/>
  <c r="BA1359" i="32"/>
  <c r="AK1360" i="32"/>
  <c r="AL1360" i="32"/>
  <c r="AM1360" i="32"/>
  <c r="AN1360" i="32"/>
  <c r="AO1360" i="32"/>
  <c r="AP1360" i="32"/>
  <c r="AQ1360" i="32"/>
  <c r="Q1360" i="32"/>
  <c r="AR1360" i="32"/>
  <c r="AS1360" i="32"/>
  <c r="AT1360" i="32"/>
  <c r="AU1360" i="32"/>
  <c r="AV1360" i="32"/>
  <c r="AW1360" i="32"/>
  <c r="AX1360" i="32"/>
  <c r="AY1360" i="32"/>
  <c r="AZ1360" i="32"/>
  <c r="BA1360" i="32"/>
  <c r="AK1361" i="32"/>
  <c r="AL1361" i="32"/>
  <c r="AM1361" i="32"/>
  <c r="AN1361" i="32"/>
  <c r="AO1361" i="32"/>
  <c r="AP1361" i="32"/>
  <c r="AQ1361" i="32"/>
  <c r="Q1361" i="32"/>
  <c r="AR1361" i="32"/>
  <c r="AS1361" i="32"/>
  <c r="AT1361" i="32"/>
  <c r="AU1361" i="32"/>
  <c r="AV1361" i="32"/>
  <c r="AW1361" i="32"/>
  <c r="AX1361" i="32"/>
  <c r="AY1361" i="32"/>
  <c r="AZ1361" i="32"/>
  <c r="BA1361" i="32"/>
  <c r="AK1362" i="32"/>
  <c r="AL1362" i="32"/>
  <c r="AM1362" i="32"/>
  <c r="AN1362" i="32"/>
  <c r="AO1362" i="32"/>
  <c r="AP1362" i="32"/>
  <c r="AQ1362" i="32"/>
  <c r="Q1362" i="32"/>
  <c r="AR1362" i="32"/>
  <c r="AS1362" i="32"/>
  <c r="AT1362" i="32"/>
  <c r="AU1362" i="32"/>
  <c r="AV1362" i="32"/>
  <c r="AW1362" i="32"/>
  <c r="AX1362" i="32"/>
  <c r="AY1362" i="32"/>
  <c r="AZ1362" i="32"/>
  <c r="BA1362" i="32"/>
  <c r="AK1363" i="32"/>
  <c r="AL1363" i="32"/>
  <c r="AM1363" i="32"/>
  <c r="AN1363" i="32"/>
  <c r="AO1363" i="32"/>
  <c r="AP1363" i="32"/>
  <c r="AQ1363" i="32"/>
  <c r="Q1363" i="32"/>
  <c r="AR1363" i="32"/>
  <c r="AS1363" i="32"/>
  <c r="AT1363" i="32"/>
  <c r="AU1363" i="32"/>
  <c r="AV1363" i="32"/>
  <c r="AW1363" i="32"/>
  <c r="AX1363" i="32"/>
  <c r="AY1363" i="32"/>
  <c r="AZ1363" i="32"/>
  <c r="BA1363" i="32"/>
  <c r="AK1364" i="32"/>
  <c r="AL1364" i="32"/>
  <c r="AM1364" i="32"/>
  <c r="AN1364" i="32"/>
  <c r="AO1364" i="32"/>
  <c r="AP1364" i="32"/>
  <c r="AQ1364" i="32"/>
  <c r="Q1364" i="32"/>
  <c r="AR1364" i="32"/>
  <c r="AS1364" i="32"/>
  <c r="AT1364" i="32"/>
  <c r="AU1364" i="32"/>
  <c r="AV1364" i="32"/>
  <c r="AW1364" i="32"/>
  <c r="AX1364" i="32"/>
  <c r="AY1364" i="32"/>
  <c r="AZ1364" i="32"/>
  <c r="BA1364" i="32"/>
  <c r="AK1365" i="32"/>
  <c r="AL1365" i="32"/>
  <c r="AM1365" i="32"/>
  <c r="AN1365" i="32"/>
  <c r="AO1365" i="32"/>
  <c r="AP1365" i="32"/>
  <c r="AQ1365" i="32"/>
  <c r="Q1365" i="32"/>
  <c r="AR1365" i="32"/>
  <c r="AS1365" i="32"/>
  <c r="AT1365" i="32"/>
  <c r="AU1365" i="32"/>
  <c r="AV1365" i="32"/>
  <c r="AW1365" i="32"/>
  <c r="AX1365" i="32"/>
  <c r="AY1365" i="32"/>
  <c r="AZ1365" i="32"/>
  <c r="BA1365" i="32"/>
  <c r="AK1366" i="32"/>
  <c r="AL1366" i="32"/>
  <c r="AM1366" i="32"/>
  <c r="AN1366" i="32"/>
  <c r="AO1366" i="32"/>
  <c r="AP1366" i="32"/>
  <c r="AQ1366" i="32"/>
  <c r="Q1366" i="32"/>
  <c r="AR1366" i="32"/>
  <c r="AS1366" i="32"/>
  <c r="AT1366" i="32"/>
  <c r="AU1366" i="32"/>
  <c r="AV1366" i="32"/>
  <c r="AW1366" i="32"/>
  <c r="AX1366" i="32"/>
  <c r="AY1366" i="32"/>
  <c r="AZ1366" i="32"/>
  <c r="BA1366" i="32"/>
  <c r="AK1367" i="32"/>
  <c r="AL1367" i="32"/>
  <c r="AM1367" i="32"/>
  <c r="AN1367" i="32"/>
  <c r="AO1367" i="32"/>
  <c r="AP1367" i="32"/>
  <c r="AQ1367" i="32"/>
  <c r="Q1367" i="32"/>
  <c r="AR1367" i="32"/>
  <c r="AS1367" i="32"/>
  <c r="AT1367" i="32"/>
  <c r="AU1367" i="32"/>
  <c r="AV1367" i="32"/>
  <c r="AW1367" i="32"/>
  <c r="AX1367" i="32"/>
  <c r="AY1367" i="32"/>
  <c r="AZ1367" i="32"/>
  <c r="BA1367" i="32"/>
  <c r="AK1368" i="32"/>
  <c r="AL1368" i="32"/>
  <c r="AM1368" i="32"/>
  <c r="AN1368" i="32"/>
  <c r="AO1368" i="32"/>
  <c r="AP1368" i="32"/>
  <c r="AQ1368" i="32"/>
  <c r="Q1368" i="32"/>
  <c r="AR1368" i="32"/>
  <c r="AS1368" i="32"/>
  <c r="AT1368" i="32"/>
  <c r="AU1368" i="32"/>
  <c r="AV1368" i="32"/>
  <c r="AW1368" i="32"/>
  <c r="AX1368" i="32"/>
  <c r="AY1368" i="32"/>
  <c r="AZ1368" i="32"/>
  <c r="BA1368" i="32"/>
  <c r="AK1369" i="32"/>
  <c r="AL1369" i="32"/>
  <c r="AM1369" i="32"/>
  <c r="AN1369" i="32"/>
  <c r="AO1369" i="32"/>
  <c r="AP1369" i="32"/>
  <c r="AQ1369" i="32"/>
  <c r="Q1369" i="32"/>
  <c r="AR1369" i="32"/>
  <c r="AS1369" i="32"/>
  <c r="AT1369" i="32"/>
  <c r="AU1369" i="32"/>
  <c r="AV1369" i="32"/>
  <c r="AW1369" i="32"/>
  <c r="AX1369" i="32"/>
  <c r="AY1369" i="32"/>
  <c r="AZ1369" i="32"/>
  <c r="BA1369" i="32"/>
  <c r="AK1370" i="32"/>
  <c r="AL1370" i="32"/>
  <c r="AM1370" i="32"/>
  <c r="AN1370" i="32"/>
  <c r="AO1370" i="32"/>
  <c r="AP1370" i="32"/>
  <c r="AQ1370" i="32"/>
  <c r="Q1370" i="32"/>
  <c r="AR1370" i="32"/>
  <c r="AS1370" i="32"/>
  <c r="AT1370" i="32"/>
  <c r="AU1370" i="32"/>
  <c r="AV1370" i="32"/>
  <c r="AW1370" i="32"/>
  <c r="AX1370" i="32"/>
  <c r="AY1370" i="32"/>
  <c r="AZ1370" i="32"/>
  <c r="BA1370" i="32"/>
  <c r="AK1371" i="32"/>
  <c r="AL1371" i="32"/>
  <c r="AM1371" i="32"/>
  <c r="AN1371" i="32"/>
  <c r="AO1371" i="32"/>
  <c r="AP1371" i="32"/>
  <c r="AQ1371" i="32"/>
  <c r="Q1371" i="32"/>
  <c r="AR1371" i="32"/>
  <c r="AS1371" i="32"/>
  <c r="AT1371" i="32"/>
  <c r="AU1371" i="32"/>
  <c r="AV1371" i="32"/>
  <c r="AW1371" i="32"/>
  <c r="AX1371" i="32"/>
  <c r="AY1371" i="32"/>
  <c r="AZ1371" i="32"/>
  <c r="BA1371" i="32"/>
  <c r="AK1372" i="32"/>
  <c r="AL1372" i="32"/>
  <c r="AM1372" i="32"/>
  <c r="AN1372" i="32"/>
  <c r="AO1372" i="32"/>
  <c r="AP1372" i="32"/>
  <c r="AQ1372" i="32"/>
  <c r="Q1372" i="32"/>
  <c r="AR1372" i="32"/>
  <c r="AS1372" i="32"/>
  <c r="AT1372" i="32"/>
  <c r="AU1372" i="32"/>
  <c r="AV1372" i="32"/>
  <c r="AW1372" i="32"/>
  <c r="AX1372" i="32"/>
  <c r="AY1372" i="32"/>
  <c r="AZ1372" i="32"/>
  <c r="BA1372" i="32"/>
  <c r="AK1373" i="32"/>
  <c r="AL1373" i="32"/>
  <c r="AM1373" i="32"/>
  <c r="AN1373" i="32"/>
  <c r="AO1373" i="32"/>
  <c r="AP1373" i="32"/>
  <c r="AQ1373" i="32"/>
  <c r="Q1373" i="32"/>
  <c r="AR1373" i="32"/>
  <c r="AS1373" i="32"/>
  <c r="AT1373" i="32"/>
  <c r="AU1373" i="32"/>
  <c r="AV1373" i="32"/>
  <c r="AW1373" i="32"/>
  <c r="AX1373" i="32"/>
  <c r="AY1373" i="32"/>
  <c r="AZ1373" i="32"/>
  <c r="BA1373" i="32"/>
  <c r="AK1374" i="32"/>
  <c r="AL1374" i="32"/>
  <c r="AM1374" i="32"/>
  <c r="AN1374" i="32"/>
  <c r="AO1374" i="32"/>
  <c r="AP1374" i="32"/>
  <c r="AQ1374" i="32"/>
  <c r="Q1374" i="32"/>
  <c r="AR1374" i="32"/>
  <c r="AS1374" i="32"/>
  <c r="AT1374" i="32"/>
  <c r="AU1374" i="32"/>
  <c r="AV1374" i="32"/>
  <c r="AW1374" i="32"/>
  <c r="AX1374" i="32"/>
  <c r="AY1374" i="32"/>
  <c r="AZ1374" i="32"/>
  <c r="BA1374" i="32"/>
  <c r="AK1375" i="32"/>
  <c r="AL1375" i="32"/>
  <c r="AM1375" i="32"/>
  <c r="AN1375" i="32"/>
  <c r="AO1375" i="32"/>
  <c r="AP1375" i="32"/>
  <c r="AQ1375" i="32"/>
  <c r="Q1375" i="32"/>
  <c r="AR1375" i="32"/>
  <c r="AS1375" i="32"/>
  <c r="AT1375" i="32"/>
  <c r="AU1375" i="32"/>
  <c r="AV1375" i="32"/>
  <c r="AW1375" i="32"/>
  <c r="AX1375" i="32"/>
  <c r="AY1375" i="32"/>
  <c r="AZ1375" i="32"/>
  <c r="BA1375" i="32"/>
  <c r="AK1376" i="32"/>
  <c r="AL1376" i="32"/>
  <c r="AM1376" i="32"/>
  <c r="AN1376" i="32"/>
  <c r="AO1376" i="32"/>
  <c r="AP1376" i="32"/>
  <c r="AQ1376" i="32"/>
  <c r="Q1376" i="32"/>
  <c r="AR1376" i="32"/>
  <c r="AS1376" i="32"/>
  <c r="AT1376" i="32"/>
  <c r="AU1376" i="32"/>
  <c r="AV1376" i="32"/>
  <c r="AW1376" i="32"/>
  <c r="AX1376" i="32"/>
  <c r="AY1376" i="32"/>
  <c r="AZ1376" i="32"/>
  <c r="BA1376" i="32"/>
  <c r="AK1377" i="32"/>
  <c r="AL1377" i="32"/>
  <c r="AM1377" i="32"/>
  <c r="AN1377" i="32"/>
  <c r="AO1377" i="32"/>
  <c r="AP1377" i="32"/>
  <c r="AQ1377" i="32"/>
  <c r="Q1377" i="32"/>
  <c r="AR1377" i="32"/>
  <c r="AS1377" i="32"/>
  <c r="AT1377" i="32"/>
  <c r="AU1377" i="32"/>
  <c r="AV1377" i="32"/>
  <c r="AW1377" i="32"/>
  <c r="AX1377" i="32"/>
  <c r="AY1377" i="32"/>
  <c r="AZ1377" i="32"/>
  <c r="BA1377" i="32"/>
  <c r="AK1378" i="32"/>
  <c r="AL1378" i="32"/>
  <c r="AM1378" i="32"/>
  <c r="AN1378" i="32"/>
  <c r="AO1378" i="32"/>
  <c r="AP1378" i="32"/>
  <c r="AQ1378" i="32"/>
  <c r="Q1378" i="32"/>
  <c r="AR1378" i="32"/>
  <c r="AS1378" i="32"/>
  <c r="AT1378" i="32"/>
  <c r="AU1378" i="32"/>
  <c r="AV1378" i="32"/>
  <c r="AW1378" i="32"/>
  <c r="AX1378" i="32"/>
  <c r="AY1378" i="32"/>
  <c r="AZ1378" i="32"/>
  <c r="BA1378" i="32"/>
  <c r="AK1379" i="32"/>
  <c r="AL1379" i="32"/>
  <c r="AM1379" i="32"/>
  <c r="AN1379" i="32"/>
  <c r="AO1379" i="32"/>
  <c r="AP1379" i="32"/>
  <c r="AQ1379" i="32"/>
  <c r="Q1379" i="32"/>
  <c r="AR1379" i="32"/>
  <c r="AS1379" i="32"/>
  <c r="AT1379" i="32"/>
  <c r="AU1379" i="32"/>
  <c r="AV1379" i="32"/>
  <c r="AW1379" i="32"/>
  <c r="AX1379" i="32"/>
  <c r="AY1379" i="32"/>
  <c r="AZ1379" i="32"/>
  <c r="BA1379" i="32"/>
  <c r="AK1380" i="32"/>
  <c r="AL1380" i="32"/>
  <c r="AM1380" i="32"/>
  <c r="AN1380" i="32"/>
  <c r="AO1380" i="32"/>
  <c r="AP1380" i="32"/>
  <c r="AQ1380" i="32"/>
  <c r="Q1380" i="32"/>
  <c r="AR1380" i="32"/>
  <c r="AS1380" i="32"/>
  <c r="AT1380" i="32"/>
  <c r="AU1380" i="32"/>
  <c r="AV1380" i="32"/>
  <c r="AW1380" i="32"/>
  <c r="AX1380" i="32"/>
  <c r="AY1380" i="32"/>
  <c r="AZ1380" i="32"/>
  <c r="BA1380" i="32"/>
  <c r="AK1381" i="32"/>
  <c r="AL1381" i="32"/>
  <c r="AM1381" i="32"/>
  <c r="AN1381" i="32"/>
  <c r="AO1381" i="32"/>
  <c r="AP1381" i="32"/>
  <c r="AQ1381" i="32"/>
  <c r="Q1381" i="32"/>
  <c r="AR1381" i="32"/>
  <c r="AS1381" i="32"/>
  <c r="AT1381" i="32"/>
  <c r="AU1381" i="32"/>
  <c r="AV1381" i="32"/>
  <c r="AW1381" i="32"/>
  <c r="AX1381" i="32"/>
  <c r="AY1381" i="32"/>
  <c r="AZ1381" i="32"/>
  <c r="BA1381" i="32"/>
  <c r="AK1382" i="32"/>
  <c r="AL1382" i="32"/>
  <c r="AM1382" i="32"/>
  <c r="AN1382" i="32"/>
  <c r="AO1382" i="32"/>
  <c r="AP1382" i="32"/>
  <c r="AQ1382" i="32"/>
  <c r="Q1382" i="32"/>
  <c r="AR1382" i="32"/>
  <c r="AS1382" i="32"/>
  <c r="AT1382" i="32"/>
  <c r="AU1382" i="32"/>
  <c r="AV1382" i="32"/>
  <c r="AW1382" i="32"/>
  <c r="AX1382" i="32"/>
  <c r="AY1382" i="32"/>
  <c r="AZ1382" i="32"/>
  <c r="BA1382" i="32"/>
  <c r="AK1383" i="32"/>
  <c r="AL1383" i="32"/>
  <c r="AM1383" i="32"/>
  <c r="AN1383" i="32"/>
  <c r="AO1383" i="32"/>
  <c r="AP1383" i="32"/>
  <c r="AQ1383" i="32"/>
  <c r="Q1383" i="32"/>
  <c r="AR1383" i="32"/>
  <c r="AS1383" i="32"/>
  <c r="AT1383" i="32"/>
  <c r="AU1383" i="32"/>
  <c r="AV1383" i="32"/>
  <c r="AW1383" i="32"/>
  <c r="AX1383" i="32"/>
  <c r="AY1383" i="32"/>
  <c r="AZ1383" i="32"/>
  <c r="BA1383" i="32"/>
  <c r="AK1384" i="32"/>
  <c r="AL1384" i="32"/>
  <c r="AM1384" i="32"/>
  <c r="AN1384" i="32"/>
  <c r="AO1384" i="32"/>
  <c r="AP1384" i="32"/>
  <c r="AQ1384" i="32"/>
  <c r="Q1384" i="32"/>
  <c r="AR1384" i="32"/>
  <c r="AS1384" i="32"/>
  <c r="AT1384" i="32"/>
  <c r="AU1384" i="32"/>
  <c r="AV1384" i="32"/>
  <c r="AW1384" i="32"/>
  <c r="AX1384" i="32"/>
  <c r="AY1384" i="32"/>
  <c r="AZ1384" i="32"/>
  <c r="BA1384" i="32"/>
  <c r="AK1385" i="32"/>
  <c r="AL1385" i="32"/>
  <c r="AM1385" i="32"/>
  <c r="AN1385" i="32"/>
  <c r="AO1385" i="32"/>
  <c r="AP1385" i="32"/>
  <c r="AQ1385" i="32"/>
  <c r="Q1385" i="32"/>
  <c r="AR1385" i="32"/>
  <c r="AS1385" i="32"/>
  <c r="AT1385" i="32"/>
  <c r="AU1385" i="32"/>
  <c r="AV1385" i="32"/>
  <c r="AW1385" i="32"/>
  <c r="AX1385" i="32"/>
  <c r="AY1385" i="32"/>
  <c r="AZ1385" i="32"/>
  <c r="BA1385" i="32"/>
  <c r="AK1386" i="32"/>
  <c r="AL1386" i="32"/>
  <c r="AM1386" i="32"/>
  <c r="AN1386" i="32"/>
  <c r="AO1386" i="32"/>
  <c r="AP1386" i="32"/>
  <c r="AQ1386" i="32"/>
  <c r="Q1386" i="32"/>
  <c r="AR1386" i="32"/>
  <c r="AS1386" i="32"/>
  <c r="AT1386" i="32"/>
  <c r="AU1386" i="32"/>
  <c r="AV1386" i="32"/>
  <c r="AW1386" i="32"/>
  <c r="AX1386" i="32"/>
  <c r="AY1386" i="32"/>
  <c r="AZ1386" i="32"/>
  <c r="BA1386" i="32"/>
  <c r="AK1387" i="32"/>
  <c r="AL1387" i="32"/>
  <c r="AM1387" i="32"/>
  <c r="AN1387" i="32"/>
  <c r="AO1387" i="32"/>
  <c r="AP1387" i="32"/>
  <c r="AQ1387" i="32"/>
  <c r="Q1387" i="32"/>
  <c r="AR1387" i="32"/>
  <c r="AS1387" i="32"/>
  <c r="AT1387" i="32"/>
  <c r="AU1387" i="32"/>
  <c r="AV1387" i="32"/>
  <c r="AW1387" i="32"/>
  <c r="AX1387" i="32"/>
  <c r="AY1387" i="32"/>
  <c r="AZ1387" i="32"/>
  <c r="BA1387" i="32"/>
  <c r="AK1388" i="32"/>
  <c r="AL1388" i="32"/>
  <c r="AM1388" i="32"/>
  <c r="AN1388" i="32"/>
  <c r="AO1388" i="32"/>
  <c r="AP1388" i="32"/>
  <c r="AQ1388" i="32"/>
  <c r="Q1388" i="32"/>
  <c r="AR1388" i="32"/>
  <c r="AS1388" i="32"/>
  <c r="AT1388" i="32"/>
  <c r="AU1388" i="32"/>
  <c r="AV1388" i="32"/>
  <c r="AW1388" i="32"/>
  <c r="AX1388" i="32"/>
  <c r="AY1388" i="32"/>
  <c r="AZ1388" i="32"/>
  <c r="BA1388" i="32"/>
  <c r="AK1389" i="32"/>
  <c r="AL1389" i="32"/>
  <c r="AM1389" i="32"/>
  <c r="AN1389" i="32"/>
  <c r="AO1389" i="32"/>
  <c r="AP1389" i="32"/>
  <c r="AQ1389" i="32"/>
  <c r="Q1389" i="32"/>
  <c r="AR1389" i="32"/>
  <c r="AS1389" i="32"/>
  <c r="AT1389" i="32"/>
  <c r="AU1389" i="32"/>
  <c r="AV1389" i="32"/>
  <c r="AW1389" i="32"/>
  <c r="AX1389" i="32"/>
  <c r="AY1389" i="32"/>
  <c r="AZ1389" i="32"/>
  <c r="BA1389" i="32"/>
  <c r="AK1390" i="32"/>
  <c r="AL1390" i="32"/>
  <c r="AM1390" i="32"/>
  <c r="AN1390" i="32"/>
  <c r="AO1390" i="32"/>
  <c r="AP1390" i="32"/>
  <c r="AQ1390" i="32"/>
  <c r="Q1390" i="32"/>
  <c r="AR1390" i="32"/>
  <c r="AS1390" i="32"/>
  <c r="AT1390" i="32"/>
  <c r="AU1390" i="32"/>
  <c r="AV1390" i="32"/>
  <c r="AW1390" i="32"/>
  <c r="AX1390" i="32"/>
  <c r="AY1390" i="32"/>
  <c r="AZ1390" i="32"/>
  <c r="BA1390" i="32"/>
  <c r="AK1391" i="32"/>
  <c r="AL1391" i="32"/>
  <c r="AM1391" i="32"/>
  <c r="AN1391" i="32"/>
  <c r="AO1391" i="32"/>
  <c r="AP1391" i="32"/>
  <c r="AQ1391" i="32"/>
  <c r="Q1391" i="32"/>
  <c r="AR1391" i="32"/>
  <c r="AS1391" i="32"/>
  <c r="AT1391" i="32"/>
  <c r="AU1391" i="32"/>
  <c r="AV1391" i="32"/>
  <c r="AW1391" i="32"/>
  <c r="AX1391" i="32"/>
  <c r="AY1391" i="32"/>
  <c r="AZ1391" i="32"/>
  <c r="BA1391" i="32"/>
  <c r="AK1392" i="32"/>
  <c r="AL1392" i="32"/>
  <c r="AM1392" i="32"/>
  <c r="AN1392" i="32"/>
  <c r="AO1392" i="32"/>
  <c r="AP1392" i="32"/>
  <c r="AQ1392" i="32"/>
  <c r="Q1392" i="32"/>
  <c r="AR1392" i="32"/>
  <c r="AS1392" i="32"/>
  <c r="AT1392" i="32"/>
  <c r="AU1392" i="32"/>
  <c r="AV1392" i="32"/>
  <c r="AW1392" i="32"/>
  <c r="AX1392" i="32"/>
  <c r="AY1392" i="32"/>
  <c r="AZ1392" i="32"/>
  <c r="BA1392" i="32"/>
  <c r="AK1393" i="32"/>
  <c r="AL1393" i="32"/>
  <c r="AM1393" i="32"/>
  <c r="AN1393" i="32"/>
  <c r="AO1393" i="32"/>
  <c r="AP1393" i="32"/>
  <c r="AQ1393" i="32"/>
  <c r="Q1393" i="32"/>
  <c r="AR1393" i="32"/>
  <c r="AS1393" i="32"/>
  <c r="AT1393" i="32"/>
  <c r="AU1393" i="32"/>
  <c r="AV1393" i="32"/>
  <c r="AW1393" i="32"/>
  <c r="AX1393" i="32"/>
  <c r="AY1393" i="32"/>
  <c r="AZ1393" i="32"/>
  <c r="BA1393" i="32"/>
  <c r="AK1394" i="32"/>
  <c r="AL1394" i="32"/>
  <c r="AM1394" i="32"/>
  <c r="AN1394" i="32"/>
  <c r="AO1394" i="32"/>
  <c r="AP1394" i="32"/>
  <c r="AQ1394" i="32"/>
  <c r="Q1394" i="32"/>
  <c r="AR1394" i="32"/>
  <c r="AS1394" i="32"/>
  <c r="AT1394" i="32"/>
  <c r="AU1394" i="32"/>
  <c r="AV1394" i="32"/>
  <c r="AW1394" i="32"/>
  <c r="AX1394" i="32"/>
  <c r="AY1394" i="32"/>
  <c r="AZ1394" i="32"/>
  <c r="BA1394" i="32"/>
  <c r="AK1395" i="32"/>
  <c r="AL1395" i="32"/>
  <c r="AM1395" i="32"/>
  <c r="AN1395" i="32"/>
  <c r="AO1395" i="32"/>
  <c r="AP1395" i="32"/>
  <c r="AQ1395" i="32"/>
  <c r="Q1395" i="32"/>
  <c r="AR1395" i="32"/>
  <c r="AS1395" i="32"/>
  <c r="AT1395" i="32"/>
  <c r="AU1395" i="32"/>
  <c r="AV1395" i="32"/>
  <c r="AW1395" i="32"/>
  <c r="AX1395" i="32"/>
  <c r="AY1395" i="32"/>
  <c r="AZ1395" i="32"/>
  <c r="BA1395" i="32"/>
  <c r="AK1396" i="32"/>
  <c r="AL1396" i="32"/>
  <c r="AM1396" i="32"/>
  <c r="AN1396" i="32"/>
  <c r="AO1396" i="32"/>
  <c r="AP1396" i="32"/>
  <c r="AQ1396" i="32"/>
  <c r="Q1396" i="32"/>
  <c r="AR1396" i="32"/>
  <c r="AS1396" i="32"/>
  <c r="AT1396" i="32"/>
  <c r="AU1396" i="32"/>
  <c r="AV1396" i="32"/>
  <c r="AW1396" i="32"/>
  <c r="AX1396" i="32"/>
  <c r="AY1396" i="32"/>
  <c r="AZ1396" i="32"/>
  <c r="BA1396" i="32"/>
  <c r="AK1397" i="32"/>
  <c r="AL1397" i="32"/>
  <c r="AM1397" i="32"/>
  <c r="AN1397" i="32"/>
  <c r="AO1397" i="32"/>
  <c r="AP1397" i="32"/>
  <c r="AQ1397" i="32"/>
  <c r="Q1397" i="32"/>
  <c r="AR1397" i="32"/>
  <c r="AS1397" i="32"/>
  <c r="AT1397" i="32"/>
  <c r="AU1397" i="32"/>
  <c r="AV1397" i="32"/>
  <c r="AW1397" i="32"/>
  <c r="AX1397" i="32"/>
  <c r="AY1397" i="32"/>
  <c r="AZ1397" i="32"/>
  <c r="BA1397" i="32"/>
  <c r="AK1398" i="32"/>
  <c r="AL1398" i="32"/>
  <c r="AM1398" i="32"/>
  <c r="AN1398" i="32"/>
  <c r="AO1398" i="32"/>
  <c r="AP1398" i="32"/>
  <c r="AQ1398" i="32"/>
  <c r="Q1398" i="32"/>
  <c r="AR1398" i="32"/>
  <c r="AS1398" i="32"/>
  <c r="AT1398" i="32"/>
  <c r="AU1398" i="32"/>
  <c r="AV1398" i="32"/>
  <c r="AW1398" i="32"/>
  <c r="AX1398" i="32"/>
  <c r="AY1398" i="32"/>
  <c r="AZ1398" i="32"/>
  <c r="BA1398" i="32"/>
  <c r="AK1399" i="32"/>
  <c r="AL1399" i="32"/>
  <c r="AM1399" i="32"/>
  <c r="AN1399" i="32"/>
  <c r="AO1399" i="32"/>
  <c r="AP1399" i="32"/>
  <c r="AQ1399" i="32"/>
  <c r="Q1399" i="32"/>
  <c r="AR1399" i="32"/>
  <c r="AS1399" i="32"/>
  <c r="AT1399" i="32"/>
  <c r="AU1399" i="32"/>
  <c r="AV1399" i="32"/>
  <c r="AW1399" i="32"/>
  <c r="AX1399" i="32"/>
  <c r="AY1399" i="32"/>
  <c r="AZ1399" i="32"/>
  <c r="BA1399" i="32"/>
  <c r="AK1400" i="32"/>
  <c r="AL1400" i="32"/>
  <c r="AM1400" i="32"/>
  <c r="AN1400" i="32"/>
  <c r="AO1400" i="32"/>
  <c r="AP1400" i="32"/>
  <c r="AQ1400" i="32"/>
  <c r="Q1400" i="32"/>
  <c r="AR1400" i="32"/>
  <c r="AS1400" i="32"/>
  <c r="AT1400" i="32"/>
  <c r="AU1400" i="32"/>
  <c r="AV1400" i="32"/>
  <c r="AW1400" i="32"/>
  <c r="AX1400" i="32"/>
  <c r="AY1400" i="32"/>
  <c r="AZ1400" i="32"/>
  <c r="BA1400" i="32"/>
  <c r="AK1401" i="32"/>
  <c r="AL1401" i="32"/>
  <c r="AM1401" i="32"/>
  <c r="AN1401" i="32"/>
  <c r="AO1401" i="32"/>
  <c r="AP1401" i="32"/>
  <c r="AQ1401" i="32"/>
  <c r="Q1401" i="32"/>
  <c r="AR1401" i="32"/>
  <c r="AS1401" i="32"/>
  <c r="AT1401" i="32"/>
  <c r="AU1401" i="32"/>
  <c r="AV1401" i="32"/>
  <c r="AW1401" i="32"/>
  <c r="AX1401" i="32"/>
  <c r="AY1401" i="32"/>
  <c r="AZ1401" i="32"/>
  <c r="BA1401" i="32"/>
  <c r="AK1402" i="32"/>
  <c r="AL1402" i="32"/>
  <c r="AM1402" i="32"/>
  <c r="AN1402" i="32"/>
  <c r="AO1402" i="32"/>
  <c r="AP1402" i="32"/>
  <c r="AQ1402" i="32"/>
  <c r="Q1402" i="32"/>
  <c r="AR1402" i="32"/>
  <c r="AS1402" i="32"/>
  <c r="AT1402" i="32"/>
  <c r="AU1402" i="32"/>
  <c r="AV1402" i="32"/>
  <c r="AW1402" i="32"/>
  <c r="AX1402" i="32"/>
  <c r="AY1402" i="32"/>
  <c r="AZ1402" i="32"/>
  <c r="BA1402" i="32"/>
  <c r="AK1403" i="32"/>
  <c r="AL1403" i="32"/>
  <c r="AM1403" i="32"/>
  <c r="AN1403" i="32"/>
  <c r="AO1403" i="32"/>
  <c r="AP1403" i="32"/>
  <c r="AQ1403" i="32"/>
  <c r="Q1403" i="32"/>
  <c r="AR1403" i="32"/>
  <c r="AS1403" i="32"/>
  <c r="AT1403" i="32"/>
  <c r="AU1403" i="32"/>
  <c r="AV1403" i="32"/>
  <c r="AW1403" i="32"/>
  <c r="AX1403" i="32"/>
  <c r="AY1403" i="32"/>
  <c r="AZ1403" i="32"/>
  <c r="BA1403" i="32"/>
  <c r="AK1404" i="32"/>
  <c r="AL1404" i="32"/>
  <c r="AM1404" i="32"/>
  <c r="AN1404" i="32"/>
  <c r="AO1404" i="32"/>
  <c r="AP1404" i="32"/>
  <c r="AQ1404" i="32"/>
  <c r="Q1404" i="32"/>
  <c r="AR1404" i="32"/>
  <c r="AS1404" i="32"/>
  <c r="AT1404" i="32"/>
  <c r="AU1404" i="32"/>
  <c r="AV1404" i="32"/>
  <c r="AW1404" i="32"/>
  <c r="AX1404" i="32"/>
  <c r="AY1404" i="32"/>
  <c r="AZ1404" i="32"/>
  <c r="BA1404" i="32"/>
  <c r="AK1405" i="32"/>
  <c r="AL1405" i="32"/>
  <c r="AM1405" i="32"/>
  <c r="AN1405" i="32"/>
  <c r="AO1405" i="32"/>
  <c r="AP1405" i="32"/>
  <c r="AQ1405" i="32"/>
  <c r="Q1405" i="32"/>
  <c r="AR1405" i="32"/>
  <c r="AS1405" i="32"/>
  <c r="AT1405" i="32"/>
  <c r="AU1405" i="32"/>
  <c r="AV1405" i="32"/>
  <c r="AW1405" i="32"/>
  <c r="AX1405" i="32"/>
  <c r="AY1405" i="32"/>
  <c r="AZ1405" i="32"/>
  <c r="BA1405" i="32"/>
  <c r="AK1406" i="32"/>
  <c r="AL1406" i="32"/>
  <c r="AM1406" i="32"/>
  <c r="AN1406" i="32"/>
  <c r="AO1406" i="32"/>
  <c r="AP1406" i="32"/>
  <c r="AQ1406" i="32"/>
  <c r="Q1406" i="32"/>
  <c r="AR1406" i="32"/>
  <c r="AS1406" i="32"/>
  <c r="AT1406" i="32"/>
  <c r="AU1406" i="32"/>
  <c r="AV1406" i="32"/>
  <c r="AW1406" i="32"/>
  <c r="AX1406" i="32"/>
  <c r="AY1406" i="32"/>
  <c r="AZ1406" i="32"/>
  <c r="BA1406" i="32"/>
  <c r="AK1407" i="32"/>
  <c r="AL1407" i="32"/>
  <c r="AM1407" i="32"/>
  <c r="AN1407" i="32"/>
  <c r="AO1407" i="32"/>
  <c r="AP1407" i="32"/>
  <c r="AQ1407" i="32"/>
  <c r="Q1407" i="32"/>
  <c r="AR1407" i="32"/>
  <c r="AS1407" i="32"/>
  <c r="AT1407" i="32"/>
  <c r="AU1407" i="32"/>
  <c r="AV1407" i="32"/>
  <c r="AW1407" i="32"/>
  <c r="AX1407" i="32"/>
  <c r="AY1407" i="32"/>
  <c r="AZ1407" i="32"/>
  <c r="BA1407" i="32"/>
  <c r="AK1408" i="32"/>
  <c r="AL1408" i="32"/>
  <c r="AM1408" i="32"/>
  <c r="AN1408" i="32"/>
  <c r="AO1408" i="32"/>
  <c r="AP1408" i="32"/>
  <c r="AQ1408" i="32"/>
  <c r="Q1408" i="32"/>
  <c r="AR1408" i="32"/>
  <c r="AS1408" i="32"/>
  <c r="AT1408" i="32"/>
  <c r="AU1408" i="32"/>
  <c r="AV1408" i="32"/>
  <c r="AW1408" i="32"/>
  <c r="AX1408" i="32"/>
  <c r="AY1408" i="32"/>
  <c r="AZ1408" i="32"/>
  <c r="BA1408" i="32"/>
  <c r="AK1409" i="32"/>
  <c r="AL1409" i="32"/>
  <c r="AM1409" i="32"/>
  <c r="AN1409" i="32"/>
  <c r="AO1409" i="32"/>
  <c r="AP1409" i="32"/>
  <c r="AQ1409" i="32"/>
  <c r="Q1409" i="32"/>
  <c r="AR1409" i="32"/>
  <c r="AS1409" i="32"/>
  <c r="AT1409" i="32"/>
  <c r="AU1409" i="32"/>
  <c r="AV1409" i="32"/>
  <c r="AW1409" i="32"/>
  <c r="AX1409" i="32"/>
  <c r="AY1409" i="32"/>
  <c r="AZ1409" i="32"/>
  <c r="BA1409" i="32"/>
  <c r="AK1410" i="32"/>
  <c r="AL1410" i="32"/>
  <c r="AM1410" i="32"/>
  <c r="AN1410" i="32"/>
  <c r="AO1410" i="32"/>
  <c r="AP1410" i="32"/>
  <c r="AQ1410" i="32"/>
  <c r="Q1410" i="32"/>
  <c r="AR1410" i="32"/>
  <c r="AS1410" i="32"/>
  <c r="AT1410" i="32"/>
  <c r="AU1410" i="32"/>
  <c r="AV1410" i="32"/>
  <c r="AW1410" i="32"/>
  <c r="AX1410" i="32"/>
  <c r="AY1410" i="32"/>
  <c r="AZ1410" i="32"/>
  <c r="BA1410" i="32"/>
  <c r="AK1411" i="32"/>
  <c r="AL1411" i="32"/>
  <c r="AM1411" i="32"/>
  <c r="AN1411" i="32"/>
  <c r="AO1411" i="32"/>
  <c r="AP1411" i="32"/>
  <c r="AQ1411" i="32"/>
  <c r="Q1411" i="32"/>
  <c r="AR1411" i="32"/>
  <c r="AS1411" i="32"/>
  <c r="AT1411" i="32"/>
  <c r="AU1411" i="32"/>
  <c r="AV1411" i="32"/>
  <c r="AW1411" i="32"/>
  <c r="AX1411" i="32"/>
  <c r="AY1411" i="32"/>
  <c r="AZ1411" i="32"/>
  <c r="BA1411" i="32"/>
  <c r="AK1412" i="32"/>
  <c r="AL1412" i="32"/>
  <c r="AM1412" i="32"/>
  <c r="AN1412" i="32"/>
  <c r="AO1412" i="32"/>
  <c r="AP1412" i="32"/>
  <c r="AQ1412" i="32"/>
  <c r="Q1412" i="32"/>
  <c r="AR1412" i="32"/>
  <c r="AS1412" i="32"/>
  <c r="AT1412" i="32"/>
  <c r="AU1412" i="32"/>
  <c r="AV1412" i="32"/>
  <c r="AW1412" i="32"/>
  <c r="AX1412" i="32"/>
  <c r="AY1412" i="32"/>
  <c r="AZ1412" i="32"/>
  <c r="BA1412" i="32"/>
  <c r="AK1413" i="32"/>
  <c r="AL1413" i="32"/>
  <c r="AM1413" i="32"/>
  <c r="AN1413" i="32"/>
  <c r="AO1413" i="32"/>
  <c r="AP1413" i="32"/>
  <c r="AQ1413" i="32"/>
  <c r="Q1413" i="32"/>
  <c r="AR1413" i="32"/>
  <c r="AS1413" i="32"/>
  <c r="AT1413" i="32"/>
  <c r="AU1413" i="32"/>
  <c r="AV1413" i="32"/>
  <c r="AW1413" i="32"/>
  <c r="AX1413" i="32"/>
  <c r="AY1413" i="32"/>
  <c r="AZ1413" i="32"/>
  <c r="BA1413" i="32"/>
  <c r="AK1414" i="32"/>
  <c r="AL1414" i="32"/>
  <c r="AM1414" i="32"/>
  <c r="AN1414" i="32"/>
  <c r="AO1414" i="32"/>
  <c r="AP1414" i="32"/>
  <c r="AQ1414" i="32"/>
  <c r="Q1414" i="32"/>
  <c r="AR1414" i="32"/>
  <c r="AS1414" i="32"/>
  <c r="AT1414" i="32"/>
  <c r="AU1414" i="32"/>
  <c r="AV1414" i="32"/>
  <c r="AW1414" i="32"/>
  <c r="AX1414" i="32"/>
  <c r="AY1414" i="32"/>
  <c r="AZ1414" i="32"/>
  <c r="BA1414" i="32"/>
  <c r="AK1415" i="32"/>
  <c r="AL1415" i="32"/>
  <c r="AM1415" i="32"/>
  <c r="AN1415" i="32"/>
  <c r="AO1415" i="32"/>
  <c r="AP1415" i="32"/>
  <c r="AQ1415" i="32"/>
  <c r="Q1415" i="32"/>
  <c r="AR1415" i="32"/>
  <c r="AS1415" i="32"/>
  <c r="AT1415" i="32"/>
  <c r="AU1415" i="32"/>
  <c r="AV1415" i="32"/>
  <c r="AW1415" i="32"/>
  <c r="AX1415" i="32"/>
  <c r="AY1415" i="32"/>
  <c r="AZ1415" i="32"/>
  <c r="BA1415" i="32"/>
  <c r="AK1416" i="32"/>
  <c r="AL1416" i="32"/>
  <c r="AM1416" i="32"/>
  <c r="AN1416" i="32"/>
  <c r="AO1416" i="32"/>
  <c r="AP1416" i="32"/>
  <c r="AQ1416" i="32"/>
  <c r="Q1416" i="32"/>
  <c r="AR1416" i="32"/>
  <c r="AS1416" i="32"/>
  <c r="AT1416" i="32"/>
  <c r="AU1416" i="32"/>
  <c r="AV1416" i="32"/>
  <c r="AW1416" i="32"/>
  <c r="AX1416" i="32"/>
  <c r="AY1416" i="32"/>
  <c r="AZ1416" i="32"/>
  <c r="BA1416" i="32"/>
  <c r="AK1417" i="32"/>
  <c r="AL1417" i="32"/>
  <c r="AM1417" i="32"/>
  <c r="AN1417" i="32"/>
  <c r="AO1417" i="32"/>
  <c r="AP1417" i="32"/>
  <c r="AQ1417" i="32"/>
  <c r="Q1417" i="32"/>
  <c r="AR1417" i="32"/>
  <c r="AS1417" i="32"/>
  <c r="AT1417" i="32"/>
  <c r="AU1417" i="32"/>
  <c r="AV1417" i="32"/>
  <c r="AW1417" i="32"/>
  <c r="AX1417" i="32"/>
  <c r="AY1417" i="32"/>
  <c r="AZ1417" i="32"/>
  <c r="BA1417" i="32"/>
  <c r="AK1418" i="32"/>
  <c r="AL1418" i="32"/>
  <c r="AM1418" i="32"/>
  <c r="AN1418" i="32"/>
  <c r="AO1418" i="32"/>
  <c r="AP1418" i="32"/>
  <c r="AQ1418" i="32"/>
  <c r="Q1418" i="32"/>
  <c r="AR1418" i="32"/>
  <c r="AS1418" i="32"/>
  <c r="AT1418" i="32"/>
  <c r="AU1418" i="32"/>
  <c r="AV1418" i="32"/>
  <c r="AW1418" i="32"/>
  <c r="AX1418" i="32"/>
  <c r="AY1418" i="32"/>
  <c r="AZ1418" i="32"/>
  <c r="BA1418" i="32"/>
  <c r="AK1419" i="32"/>
  <c r="AL1419" i="32"/>
  <c r="AM1419" i="32"/>
  <c r="AN1419" i="32"/>
  <c r="AO1419" i="32"/>
  <c r="AP1419" i="32"/>
  <c r="AQ1419" i="32"/>
  <c r="Q1419" i="32"/>
  <c r="AR1419" i="32"/>
  <c r="AS1419" i="32"/>
  <c r="AT1419" i="32"/>
  <c r="AU1419" i="32"/>
  <c r="AV1419" i="32"/>
  <c r="AW1419" i="32"/>
  <c r="AX1419" i="32"/>
  <c r="AY1419" i="32"/>
  <c r="AZ1419" i="32"/>
  <c r="BA1419" i="32"/>
  <c r="AK1420" i="32"/>
  <c r="AL1420" i="32"/>
  <c r="AM1420" i="32"/>
  <c r="AN1420" i="32"/>
  <c r="AO1420" i="32"/>
  <c r="AP1420" i="32"/>
  <c r="AQ1420" i="32"/>
  <c r="Q1420" i="32"/>
  <c r="AR1420" i="32"/>
  <c r="AS1420" i="32"/>
  <c r="AT1420" i="32"/>
  <c r="AU1420" i="32"/>
  <c r="AV1420" i="32"/>
  <c r="AW1420" i="32"/>
  <c r="AX1420" i="32"/>
  <c r="AY1420" i="32"/>
  <c r="AZ1420" i="32"/>
  <c r="BA1420" i="32"/>
  <c r="AK1421" i="32"/>
  <c r="AL1421" i="32"/>
  <c r="AM1421" i="32"/>
  <c r="AN1421" i="32"/>
  <c r="AO1421" i="32"/>
  <c r="AP1421" i="32"/>
  <c r="AQ1421" i="32"/>
  <c r="Q1421" i="32"/>
  <c r="AR1421" i="32"/>
  <c r="AS1421" i="32"/>
  <c r="AT1421" i="32"/>
  <c r="AU1421" i="32"/>
  <c r="AV1421" i="32"/>
  <c r="AW1421" i="32"/>
  <c r="AX1421" i="32"/>
  <c r="AY1421" i="32"/>
  <c r="AZ1421" i="32"/>
  <c r="BA1421" i="32"/>
  <c r="AK1422" i="32"/>
  <c r="AL1422" i="32"/>
  <c r="AM1422" i="32"/>
  <c r="AN1422" i="32"/>
  <c r="AO1422" i="32"/>
  <c r="AP1422" i="32"/>
  <c r="AQ1422" i="32"/>
  <c r="Q1422" i="32"/>
  <c r="AR1422" i="32"/>
  <c r="AS1422" i="32"/>
  <c r="AT1422" i="32"/>
  <c r="AU1422" i="32"/>
  <c r="AV1422" i="32"/>
  <c r="AW1422" i="32"/>
  <c r="AX1422" i="32"/>
  <c r="AY1422" i="32"/>
  <c r="AZ1422" i="32"/>
  <c r="BA1422" i="32"/>
  <c r="AK1423" i="32"/>
  <c r="AL1423" i="32"/>
  <c r="AM1423" i="32"/>
  <c r="AN1423" i="32"/>
  <c r="AO1423" i="32"/>
  <c r="AP1423" i="32"/>
  <c r="AQ1423" i="32"/>
  <c r="Q1423" i="32"/>
  <c r="AR1423" i="32"/>
  <c r="AS1423" i="32"/>
  <c r="AT1423" i="32"/>
  <c r="AU1423" i="32"/>
  <c r="AV1423" i="32"/>
  <c r="AW1423" i="32"/>
  <c r="AX1423" i="32"/>
  <c r="AY1423" i="32"/>
  <c r="AZ1423" i="32"/>
  <c r="BA1423" i="32"/>
  <c r="AK1424" i="32"/>
  <c r="AL1424" i="32"/>
  <c r="AM1424" i="32"/>
  <c r="AN1424" i="32"/>
  <c r="AO1424" i="32"/>
  <c r="AP1424" i="32"/>
  <c r="AQ1424" i="32"/>
  <c r="Q1424" i="32"/>
  <c r="AR1424" i="32"/>
  <c r="AS1424" i="32"/>
  <c r="AT1424" i="32"/>
  <c r="AU1424" i="32"/>
  <c r="AV1424" i="32"/>
  <c r="AW1424" i="32"/>
  <c r="AX1424" i="32"/>
  <c r="AY1424" i="32"/>
  <c r="AZ1424" i="32"/>
  <c r="BA1424" i="32"/>
  <c r="AK1425" i="32"/>
  <c r="AL1425" i="32"/>
  <c r="AM1425" i="32"/>
  <c r="AN1425" i="32"/>
  <c r="AO1425" i="32"/>
  <c r="AP1425" i="32"/>
  <c r="AQ1425" i="32"/>
  <c r="Q1425" i="32"/>
  <c r="AR1425" i="32"/>
  <c r="AS1425" i="32"/>
  <c r="AT1425" i="32"/>
  <c r="AU1425" i="32"/>
  <c r="AV1425" i="32"/>
  <c r="AW1425" i="32"/>
  <c r="AX1425" i="32"/>
  <c r="AY1425" i="32"/>
  <c r="AZ1425" i="32"/>
  <c r="BA1425" i="32"/>
  <c r="AK1426" i="32"/>
  <c r="AL1426" i="32"/>
  <c r="AM1426" i="32"/>
  <c r="AN1426" i="32"/>
  <c r="AO1426" i="32"/>
  <c r="AP1426" i="32"/>
  <c r="AQ1426" i="32"/>
  <c r="Q1426" i="32"/>
  <c r="AR1426" i="32"/>
  <c r="AS1426" i="32"/>
  <c r="AT1426" i="32"/>
  <c r="AU1426" i="32"/>
  <c r="AV1426" i="32"/>
  <c r="AW1426" i="32"/>
  <c r="AX1426" i="32"/>
  <c r="AY1426" i="32"/>
  <c r="AZ1426" i="32"/>
  <c r="BA1426" i="32"/>
  <c r="AK1427" i="32"/>
  <c r="AL1427" i="32"/>
  <c r="AM1427" i="32"/>
  <c r="AN1427" i="32"/>
  <c r="AO1427" i="32"/>
  <c r="AP1427" i="32"/>
  <c r="AQ1427" i="32"/>
  <c r="Q1427" i="32"/>
  <c r="AR1427" i="32"/>
  <c r="AS1427" i="32"/>
  <c r="AT1427" i="32"/>
  <c r="AU1427" i="32"/>
  <c r="AV1427" i="32"/>
  <c r="AW1427" i="32"/>
  <c r="AX1427" i="32"/>
  <c r="AY1427" i="32"/>
  <c r="AZ1427" i="32"/>
  <c r="BA1427" i="32"/>
  <c r="AK1428" i="32"/>
  <c r="AL1428" i="32"/>
  <c r="AM1428" i="32"/>
  <c r="AN1428" i="32"/>
  <c r="AO1428" i="32"/>
  <c r="AP1428" i="32"/>
  <c r="AQ1428" i="32"/>
  <c r="Q1428" i="32"/>
  <c r="AR1428" i="32"/>
  <c r="AS1428" i="32"/>
  <c r="AT1428" i="32"/>
  <c r="AU1428" i="32"/>
  <c r="AV1428" i="32"/>
  <c r="AW1428" i="32"/>
  <c r="AX1428" i="32"/>
  <c r="AY1428" i="32"/>
  <c r="AZ1428" i="32"/>
  <c r="BA1428" i="32"/>
  <c r="AK1429" i="32"/>
  <c r="AL1429" i="32"/>
  <c r="AM1429" i="32"/>
  <c r="AN1429" i="32"/>
  <c r="AO1429" i="32"/>
  <c r="AP1429" i="32"/>
  <c r="AQ1429" i="32"/>
  <c r="Q1429" i="32"/>
  <c r="AR1429" i="32"/>
  <c r="AS1429" i="32"/>
  <c r="AT1429" i="32"/>
  <c r="AU1429" i="32"/>
  <c r="AV1429" i="32"/>
  <c r="AW1429" i="32"/>
  <c r="AX1429" i="32"/>
  <c r="AY1429" i="32"/>
  <c r="AZ1429" i="32"/>
  <c r="BA1429" i="32"/>
  <c r="AK1430" i="32"/>
  <c r="AL1430" i="32"/>
  <c r="AM1430" i="32"/>
  <c r="AN1430" i="32"/>
  <c r="AO1430" i="32"/>
  <c r="AP1430" i="32"/>
  <c r="AQ1430" i="32"/>
  <c r="Q1430" i="32"/>
  <c r="AR1430" i="32"/>
  <c r="AS1430" i="32"/>
  <c r="AT1430" i="32"/>
  <c r="AU1430" i="32"/>
  <c r="AV1430" i="32"/>
  <c r="AW1430" i="32"/>
  <c r="AX1430" i="32"/>
  <c r="AY1430" i="32"/>
  <c r="AZ1430" i="32"/>
  <c r="BA1430" i="32"/>
  <c r="AK1431" i="32"/>
  <c r="AL1431" i="32"/>
  <c r="AM1431" i="32"/>
  <c r="AN1431" i="32"/>
  <c r="AO1431" i="32"/>
  <c r="AP1431" i="32"/>
  <c r="AQ1431" i="32"/>
  <c r="Q1431" i="32"/>
  <c r="AR1431" i="32"/>
  <c r="AS1431" i="32"/>
  <c r="AT1431" i="32"/>
  <c r="AU1431" i="32"/>
  <c r="AV1431" i="32"/>
  <c r="AW1431" i="32"/>
  <c r="AX1431" i="32"/>
  <c r="AY1431" i="32"/>
  <c r="AZ1431" i="32"/>
  <c r="BA1431" i="32"/>
  <c r="AK1432" i="32"/>
  <c r="AL1432" i="32"/>
  <c r="AM1432" i="32"/>
  <c r="AN1432" i="32"/>
  <c r="AO1432" i="32"/>
  <c r="AP1432" i="32"/>
  <c r="AQ1432" i="32"/>
  <c r="Q1432" i="32"/>
  <c r="AR1432" i="32"/>
  <c r="AS1432" i="32"/>
  <c r="AT1432" i="32"/>
  <c r="AU1432" i="32"/>
  <c r="AV1432" i="32"/>
  <c r="AW1432" i="32"/>
  <c r="AX1432" i="32"/>
  <c r="AY1432" i="32"/>
  <c r="AZ1432" i="32"/>
  <c r="BA1432" i="32"/>
  <c r="AK1433" i="32"/>
  <c r="AL1433" i="32"/>
  <c r="AM1433" i="32"/>
  <c r="AN1433" i="32"/>
  <c r="AO1433" i="32"/>
  <c r="AP1433" i="32"/>
  <c r="AQ1433" i="32"/>
  <c r="Q1433" i="32"/>
  <c r="AR1433" i="32"/>
  <c r="AS1433" i="32"/>
  <c r="AT1433" i="32"/>
  <c r="AU1433" i="32"/>
  <c r="AV1433" i="32"/>
  <c r="AW1433" i="32"/>
  <c r="AX1433" i="32"/>
  <c r="AY1433" i="32"/>
  <c r="AZ1433" i="32"/>
  <c r="BA1433" i="32"/>
  <c r="AK1434" i="32"/>
  <c r="AL1434" i="32"/>
  <c r="AM1434" i="32"/>
  <c r="AN1434" i="32"/>
  <c r="AO1434" i="32"/>
  <c r="AP1434" i="32"/>
  <c r="AQ1434" i="32"/>
  <c r="Q1434" i="32"/>
  <c r="AR1434" i="32"/>
  <c r="AS1434" i="32"/>
  <c r="AT1434" i="32"/>
  <c r="AU1434" i="32"/>
  <c r="AV1434" i="32"/>
  <c r="AW1434" i="32"/>
  <c r="AX1434" i="32"/>
  <c r="AY1434" i="32"/>
  <c r="AZ1434" i="32"/>
  <c r="BA1434" i="32"/>
  <c r="AK1435" i="32"/>
  <c r="AL1435" i="32"/>
  <c r="AM1435" i="32"/>
  <c r="AN1435" i="32"/>
  <c r="AO1435" i="32"/>
  <c r="AP1435" i="32"/>
  <c r="AQ1435" i="32"/>
  <c r="Q1435" i="32"/>
  <c r="AR1435" i="32"/>
  <c r="AS1435" i="32"/>
  <c r="AT1435" i="32"/>
  <c r="AU1435" i="32"/>
  <c r="AV1435" i="32"/>
  <c r="AW1435" i="32"/>
  <c r="AX1435" i="32"/>
  <c r="AY1435" i="32"/>
  <c r="AZ1435" i="32"/>
  <c r="BA1435" i="32"/>
  <c r="AK1436" i="32"/>
  <c r="AL1436" i="32"/>
  <c r="AM1436" i="32"/>
  <c r="AN1436" i="32"/>
  <c r="AO1436" i="32"/>
  <c r="AP1436" i="32"/>
  <c r="AQ1436" i="32"/>
  <c r="Q1436" i="32"/>
  <c r="AR1436" i="32"/>
  <c r="AS1436" i="32"/>
  <c r="AT1436" i="32"/>
  <c r="AU1436" i="32"/>
  <c r="AV1436" i="32"/>
  <c r="AW1436" i="32"/>
  <c r="AX1436" i="32"/>
  <c r="AY1436" i="32"/>
  <c r="AZ1436" i="32"/>
  <c r="BA1436" i="32"/>
  <c r="AK1437" i="32"/>
  <c r="AL1437" i="32"/>
  <c r="AM1437" i="32"/>
  <c r="AN1437" i="32"/>
  <c r="AO1437" i="32"/>
  <c r="AP1437" i="32"/>
  <c r="AQ1437" i="32"/>
  <c r="Q1437" i="32"/>
  <c r="AR1437" i="32"/>
  <c r="AS1437" i="32"/>
  <c r="AT1437" i="32"/>
  <c r="AU1437" i="32"/>
  <c r="AV1437" i="32"/>
  <c r="AW1437" i="32"/>
  <c r="AX1437" i="32"/>
  <c r="AY1437" i="32"/>
  <c r="AZ1437" i="32"/>
  <c r="BA1437" i="32"/>
  <c r="AK1438" i="32"/>
  <c r="AL1438" i="32"/>
  <c r="AM1438" i="32"/>
  <c r="AN1438" i="32"/>
  <c r="AO1438" i="32"/>
  <c r="AP1438" i="32"/>
  <c r="AQ1438" i="32"/>
  <c r="Q1438" i="32"/>
  <c r="AR1438" i="32"/>
  <c r="AS1438" i="32"/>
  <c r="AT1438" i="32"/>
  <c r="AU1438" i="32"/>
  <c r="AV1438" i="32"/>
  <c r="AW1438" i="32"/>
  <c r="AX1438" i="32"/>
  <c r="AY1438" i="32"/>
  <c r="AZ1438" i="32"/>
  <c r="BA1438" i="32"/>
  <c r="AK1439" i="32"/>
  <c r="AL1439" i="32"/>
  <c r="AM1439" i="32"/>
  <c r="AN1439" i="32"/>
  <c r="AO1439" i="32"/>
  <c r="AP1439" i="32"/>
  <c r="AQ1439" i="32"/>
  <c r="Q1439" i="32"/>
  <c r="AR1439" i="32"/>
  <c r="AS1439" i="32"/>
  <c r="AT1439" i="32"/>
  <c r="AU1439" i="32"/>
  <c r="AV1439" i="32"/>
  <c r="AW1439" i="32"/>
  <c r="AX1439" i="32"/>
  <c r="AY1439" i="32"/>
  <c r="AZ1439" i="32"/>
  <c r="BA1439" i="32"/>
  <c r="AK1440" i="32"/>
  <c r="AL1440" i="32"/>
  <c r="AM1440" i="32"/>
  <c r="AN1440" i="32"/>
  <c r="AO1440" i="32"/>
  <c r="AP1440" i="32"/>
  <c r="AQ1440" i="32"/>
  <c r="Q1440" i="32"/>
  <c r="AR1440" i="32"/>
  <c r="AS1440" i="32"/>
  <c r="AT1440" i="32"/>
  <c r="AU1440" i="32"/>
  <c r="AV1440" i="32"/>
  <c r="AW1440" i="32"/>
  <c r="AX1440" i="32"/>
  <c r="AY1440" i="32"/>
  <c r="AZ1440" i="32"/>
  <c r="BA1440" i="32"/>
  <c r="AK1441" i="32"/>
  <c r="AL1441" i="32"/>
  <c r="AM1441" i="32"/>
  <c r="AN1441" i="32"/>
  <c r="AO1441" i="32"/>
  <c r="AP1441" i="32"/>
  <c r="AQ1441" i="32"/>
  <c r="Q1441" i="32"/>
  <c r="AR1441" i="32"/>
  <c r="AS1441" i="32"/>
  <c r="AT1441" i="32"/>
  <c r="AU1441" i="32"/>
  <c r="AV1441" i="32"/>
  <c r="AW1441" i="32"/>
  <c r="AX1441" i="32"/>
  <c r="AY1441" i="32"/>
  <c r="AZ1441" i="32"/>
  <c r="BA1441" i="32"/>
  <c r="AK1442" i="32"/>
  <c r="AL1442" i="32"/>
  <c r="AM1442" i="32"/>
  <c r="AN1442" i="32"/>
  <c r="AO1442" i="32"/>
  <c r="AP1442" i="32"/>
  <c r="AQ1442" i="32"/>
  <c r="Q1442" i="32"/>
  <c r="AR1442" i="32"/>
  <c r="AS1442" i="32"/>
  <c r="AT1442" i="32"/>
  <c r="AU1442" i="32"/>
  <c r="AV1442" i="32"/>
  <c r="AW1442" i="32"/>
  <c r="AX1442" i="32"/>
  <c r="AY1442" i="32"/>
  <c r="AZ1442" i="32"/>
  <c r="BA1442" i="32"/>
  <c r="AK1443" i="32"/>
  <c r="AL1443" i="32"/>
  <c r="AM1443" i="32"/>
  <c r="AN1443" i="32"/>
  <c r="AO1443" i="32"/>
  <c r="AP1443" i="32"/>
  <c r="AQ1443" i="32"/>
  <c r="Q1443" i="32"/>
  <c r="AR1443" i="32"/>
  <c r="AS1443" i="32"/>
  <c r="AT1443" i="32"/>
  <c r="AU1443" i="32"/>
  <c r="AV1443" i="32"/>
  <c r="AW1443" i="32"/>
  <c r="AX1443" i="32"/>
  <c r="AY1443" i="32"/>
  <c r="AZ1443" i="32"/>
  <c r="BA1443" i="32"/>
  <c r="AK1444" i="32"/>
  <c r="AL1444" i="32"/>
  <c r="AM1444" i="32"/>
  <c r="AN1444" i="32"/>
  <c r="AO1444" i="32"/>
  <c r="AP1444" i="32"/>
  <c r="AQ1444" i="32"/>
  <c r="Q1444" i="32"/>
  <c r="AR1444" i="32"/>
  <c r="AS1444" i="32"/>
  <c r="AT1444" i="32"/>
  <c r="AU1444" i="32"/>
  <c r="AV1444" i="32"/>
  <c r="AW1444" i="32"/>
  <c r="AX1444" i="32"/>
  <c r="AY1444" i="32"/>
  <c r="AZ1444" i="32"/>
  <c r="BA1444" i="32"/>
  <c r="AK1445" i="32"/>
  <c r="AL1445" i="32"/>
  <c r="AM1445" i="32"/>
  <c r="AN1445" i="32"/>
  <c r="AO1445" i="32"/>
  <c r="AP1445" i="32"/>
  <c r="AQ1445" i="32"/>
  <c r="Q1445" i="32"/>
  <c r="AR1445" i="32"/>
  <c r="AS1445" i="32"/>
  <c r="AT1445" i="32"/>
  <c r="AU1445" i="32"/>
  <c r="AV1445" i="32"/>
  <c r="AW1445" i="32"/>
  <c r="AX1445" i="32"/>
  <c r="AY1445" i="32"/>
  <c r="AZ1445" i="32"/>
  <c r="BA1445" i="32"/>
  <c r="AK1446" i="32"/>
  <c r="AL1446" i="32"/>
  <c r="AM1446" i="32"/>
  <c r="AN1446" i="32"/>
  <c r="AO1446" i="32"/>
  <c r="AP1446" i="32"/>
  <c r="AQ1446" i="32"/>
  <c r="Q1446" i="32"/>
  <c r="AR1446" i="32"/>
  <c r="AS1446" i="32"/>
  <c r="AT1446" i="32"/>
  <c r="AU1446" i="32"/>
  <c r="AV1446" i="32"/>
  <c r="AW1446" i="32"/>
  <c r="AX1446" i="32"/>
  <c r="AY1446" i="32"/>
  <c r="AZ1446" i="32"/>
  <c r="BA1446" i="32"/>
  <c r="AK1447" i="32"/>
  <c r="AL1447" i="32"/>
  <c r="AM1447" i="32"/>
  <c r="AN1447" i="32"/>
  <c r="AO1447" i="32"/>
  <c r="AP1447" i="32"/>
  <c r="AQ1447" i="32"/>
  <c r="Q1447" i="32"/>
  <c r="AR1447" i="32"/>
  <c r="AS1447" i="32"/>
  <c r="AT1447" i="32"/>
  <c r="AU1447" i="32"/>
  <c r="AV1447" i="32"/>
  <c r="AW1447" i="32"/>
  <c r="AX1447" i="32"/>
  <c r="AY1447" i="32"/>
  <c r="AZ1447" i="32"/>
  <c r="BA1447" i="32"/>
  <c r="AK1448" i="32"/>
  <c r="AL1448" i="32"/>
  <c r="AM1448" i="32"/>
  <c r="AN1448" i="32"/>
  <c r="AO1448" i="32"/>
  <c r="AP1448" i="32"/>
  <c r="AQ1448" i="32"/>
  <c r="Q1448" i="32"/>
  <c r="AR1448" i="32"/>
  <c r="AS1448" i="32"/>
  <c r="AT1448" i="32"/>
  <c r="AU1448" i="32"/>
  <c r="AV1448" i="32"/>
  <c r="AW1448" i="32"/>
  <c r="AX1448" i="32"/>
  <c r="AY1448" i="32"/>
  <c r="AZ1448" i="32"/>
  <c r="BA1448" i="32"/>
  <c r="AK1449" i="32"/>
  <c r="AL1449" i="32"/>
  <c r="AM1449" i="32"/>
  <c r="AN1449" i="32"/>
  <c r="AO1449" i="32"/>
  <c r="AP1449" i="32"/>
  <c r="AQ1449" i="32"/>
  <c r="Q1449" i="32"/>
  <c r="AR1449" i="32"/>
  <c r="AS1449" i="32"/>
  <c r="AT1449" i="32"/>
  <c r="AU1449" i="32"/>
  <c r="AV1449" i="32"/>
  <c r="AW1449" i="32"/>
  <c r="AX1449" i="32"/>
  <c r="AY1449" i="32"/>
  <c r="AZ1449" i="32"/>
  <c r="BA1449" i="32"/>
  <c r="AK1450" i="32"/>
  <c r="AL1450" i="32"/>
  <c r="AM1450" i="32"/>
  <c r="AN1450" i="32"/>
  <c r="AO1450" i="32"/>
  <c r="AP1450" i="32"/>
  <c r="AQ1450" i="32"/>
  <c r="Q1450" i="32"/>
  <c r="AR1450" i="32"/>
  <c r="AS1450" i="32"/>
  <c r="AT1450" i="32"/>
  <c r="AU1450" i="32"/>
  <c r="AV1450" i="32"/>
  <c r="AW1450" i="32"/>
  <c r="AX1450" i="32"/>
  <c r="AY1450" i="32"/>
  <c r="AZ1450" i="32"/>
  <c r="BA1450" i="32"/>
  <c r="AK1451" i="32"/>
  <c r="AL1451" i="32"/>
  <c r="AM1451" i="32"/>
  <c r="AN1451" i="32"/>
  <c r="AO1451" i="32"/>
  <c r="AP1451" i="32"/>
  <c r="AQ1451" i="32"/>
  <c r="Q1451" i="32"/>
  <c r="AR1451" i="32"/>
  <c r="AS1451" i="32"/>
  <c r="AT1451" i="32"/>
  <c r="AU1451" i="32"/>
  <c r="AV1451" i="32"/>
  <c r="AW1451" i="32"/>
  <c r="AX1451" i="32"/>
  <c r="AY1451" i="32"/>
  <c r="AZ1451" i="32"/>
  <c r="BA1451" i="32"/>
  <c r="AK1452" i="32"/>
  <c r="AL1452" i="32"/>
  <c r="AM1452" i="32"/>
  <c r="AN1452" i="32"/>
  <c r="AO1452" i="32"/>
  <c r="AP1452" i="32"/>
  <c r="AQ1452" i="32"/>
  <c r="Q1452" i="32"/>
  <c r="AR1452" i="32"/>
  <c r="AS1452" i="32"/>
  <c r="AT1452" i="32"/>
  <c r="AU1452" i="32"/>
  <c r="AV1452" i="32"/>
  <c r="AW1452" i="32"/>
  <c r="AX1452" i="32"/>
  <c r="AY1452" i="32"/>
  <c r="AZ1452" i="32"/>
  <c r="BA1452" i="32"/>
  <c r="AK1453" i="32"/>
  <c r="AL1453" i="32"/>
  <c r="AM1453" i="32"/>
  <c r="AN1453" i="32"/>
  <c r="AO1453" i="32"/>
  <c r="AP1453" i="32"/>
  <c r="AQ1453" i="32"/>
  <c r="Q1453" i="32"/>
  <c r="AR1453" i="32"/>
  <c r="AS1453" i="32"/>
  <c r="AT1453" i="32"/>
  <c r="AU1453" i="32"/>
  <c r="AV1453" i="32"/>
  <c r="AW1453" i="32"/>
  <c r="AX1453" i="32"/>
  <c r="AY1453" i="32"/>
  <c r="AZ1453" i="32"/>
  <c r="BA1453" i="32"/>
  <c r="AK1454" i="32"/>
  <c r="AL1454" i="32"/>
  <c r="AM1454" i="32"/>
  <c r="AN1454" i="32"/>
  <c r="AO1454" i="32"/>
  <c r="AP1454" i="32"/>
  <c r="AQ1454" i="32"/>
  <c r="Q1454" i="32"/>
  <c r="AR1454" i="32"/>
  <c r="AS1454" i="32"/>
  <c r="AT1454" i="32"/>
  <c r="AU1454" i="32"/>
  <c r="AV1454" i="32"/>
  <c r="AW1454" i="32"/>
  <c r="AX1454" i="32"/>
  <c r="AY1454" i="32"/>
  <c r="AZ1454" i="32"/>
  <c r="BA1454" i="32"/>
  <c r="AK1455" i="32"/>
  <c r="AL1455" i="32"/>
  <c r="AM1455" i="32"/>
  <c r="AN1455" i="32"/>
  <c r="AO1455" i="32"/>
  <c r="AP1455" i="32"/>
  <c r="AQ1455" i="32"/>
  <c r="Q1455" i="32"/>
  <c r="AR1455" i="32"/>
  <c r="AS1455" i="32"/>
  <c r="AT1455" i="32"/>
  <c r="AU1455" i="32"/>
  <c r="AV1455" i="32"/>
  <c r="AW1455" i="32"/>
  <c r="AX1455" i="32"/>
  <c r="AY1455" i="32"/>
  <c r="AZ1455" i="32"/>
  <c r="BA1455" i="32"/>
  <c r="AK1456" i="32"/>
  <c r="AL1456" i="32"/>
  <c r="AM1456" i="32"/>
  <c r="AN1456" i="32"/>
  <c r="AO1456" i="32"/>
  <c r="AP1456" i="32"/>
  <c r="AQ1456" i="32"/>
  <c r="Q1456" i="32"/>
  <c r="AR1456" i="32"/>
  <c r="AS1456" i="32"/>
  <c r="AT1456" i="32"/>
  <c r="AU1456" i="32"/>
  <c r="AV1456" i="32"/>
  <c r="AW1456" i="32"/>
  <c r="AX1456" i="32"/>
  <c r="AY1456" i="32"/>
  <c r="AZ1456" i="32"/>
  <c r="BA1456" i="32"/>
  <c r="AK1457" i="32"/>
  <c r="AL1457" i="32"/>
  <c r="AM1457" i="32"/>
  <c r="AN1457" i="32"/>
  <c r="AO1457" i="32"/>
  <c r="AP1457" i="32"/>
  <c r="AQ1457" i="32"/>
  <c r="Q1457" i="32"/>
  <c r="AR1457" i="32"/>
  <c r="AS1457" i="32"/>
  <c r="AT1457" i="32"/>
  <c r="AU1457" i="32"/>
  <c r="AV1457" i="32"/>
  <c r="AW1457" i="32"/>
  <c r="AX1457" i="32"/>
  <c r="AY1457" i="32"/>
  <c r="AZ1457" i="32"/>
  <c r="BA1457" i="32"/>
  <c r="AK1458" i="32"/>
  <c r="AL1458" i="32"/>
  <c r="AM1458" i="32"/>
  <c r="AN1458" i="32"/>
  <c r="AO1458" i="32"/>
  <c r="AP1458" i="32"/>
  <c r="AQ1458" i="32"/>
  <c r="Q1458" i="32"/>
  <c r="AR1458" i="32"/>
  <c r="AS1458" i="32"/>
  <c r="AT1458" i="32"/>
  <c r="AU1458" i="32"/>
  <c r="AV1458" i="32"/>
  <c r="AW1458" i="32"/>
  <c r="AX1458" i="32"/>
  <c r="AY1458" i="32"/>
  <c r="AZ1458" i="32"/>
  <c r="BA1458" i="32"/>
  <c r="AK1459" i="32"/>
  <c r="AL1459" i="32"/>
  <c r="AM1459" i="32"/>
  <c r="AN1459" i="32"/>
  <c r="AO1459" i="32"/>
  <c r="AP1459" i="32"/>
  <c r="AQ1459" i="32"/>
  <c r="Q1459" i="32"/>
  <c r="AR1459" i="32"/>
  <c r="AS1459" i="32"/>
  <c r="AT1459" i="32"/>
  <c r="AU1459" i="32"/>
  <c r="AV1459" i="32"/>
  <c r="AW1459" i="32"/>
  <c r="AX1459" i="32"/>
  <c r="AY1459" i="32"/>
  <c r="AZ1459" i="32"/>
  <c r="BA1459" i="32"/>
  <c r="AK1460" i="32"/>
  <c r="AL1460" i="32"/>
  <c r="AM1460" i="32"/>
  <c r="AN1460" i="32"/>
  <c r="AO1460" i="32"/>
  <c r="AP1460" i="32"/>
  <c r="AQ1460" i="32"/>
  <c r="Q1460" i="32"/>
  <c r="AR1460" i="32"/>
  <c r="AS1460" i="32"/>
  <c r="AT1460" i="32"/>
  <c r="AU1460" i="32"/>
  <c r="AV1460" i="32"/>
  <c r="AW1460" i="32"/>
  <c r="AX1460" i="32"/>
  <c r="AY1460" i="32"/>
  <c r="AZ1460" i="32"/>
  <c r="BA1460" i="32"/>
  <c r="AK1461" i="32"/>
  <c r="AL1461" i="32"/>
  <c r="AM1461" i="32"/>
  <c r="AN1461" i="32"/>
  <c r="AO1461" i="32"/>
  <c r="AP1461" i="32"/>
  <c r="AQ1461" i="32"/>
  <c r="Q1461" i="32"/>
  <c r="AR1461" i="32"/>
  <c r="AS1461" i="32"/>
  <c r="AT1461" i="32"/>
  <c r="AU1461" i="32"/>
  <c r="AV1461" i="32"/>
  <c r="AW1461" i="32"/>
  <c r="AX1461" i="32"/>
  <c r="AY1461" i="32"/>
  <c r="AZ1461" i="32"/>
  <c r="BA1461" i="32"/>
  <c r="AK1462" i="32"/>
  <c r="AL1462" i="32"/>
  <c r="AM1462" i="32"/>
  <c r="AN1462" i="32"/>
  <c r="AO1462" i="32"/>
  <c r="AP1462" i="32"/>
  <c r="AQ1462" i="32"/>
  <c r="Q1462" i="32"/>
  <c r="AR1462" i="32"/>
  <c r="AS1462" i="32"/>
  <c r="AT1462" i="32"/>
  <c r="AU1462" i="32"/>
  <c r="AV1462" i="32"/>
  <c r="AW1462" i="32"/>
  <c r="AX1462" i="32"/>
  <c r="AY1462" i="32"/>
  <c r="AZ1462" i="32"/>
  <c r="BA1462" i="32"/>
  <c r="AK1463" i="32"/>
  <c r="AL1463" i="32"/>
  <c r="AM1463" i="32"/>
  <c r="AN1463" i="32"/>
  <c r="AO1463" i="32"/>
  <c r="AP1463" i="32"/>
  <c r="AQ1463" i="32"/>
  <c r="Q1463" i="32"/>
  <c r="AR1463" i="32"/>
  <c r="AS1463" i="32"/>
  <c r="AT1463" i="32"/>
  <c r="AU1463" i="32"/>
  <c r="AV1463" i="32"/>
  <c r="AW1463" i="32"/>
  <c r="AX1463" i="32"/>
  <c r="AY1463" i="32"/>
  <c r="AZ1463" i="32"/>
  <c r="BA1463" i="32"/>
  <c r="AK1464" i="32"/>
  <c r="AL1464" i="32"/>
  <c r="AM1464" i="32"/>
  <c r="AN1464" i="32"/>
  <c r="AO1464" i="32"/>
  <c r="AP1464" i="32"/>
  <c r="AQ1464" i="32"/>
  <c r="Q1464" i="32"/>
  <c r="AR1464" i="32"/>
  <c r="AS1464" i="32"/>
  <c r="AT1464" i="32"/>
  <c r="AU1464" i="32"/>
  <c r="AV1464" i="32"/>
  <c r="AW1464" i="32"/>
  <c r="AX1464" i="32"/>
  <c r="AY1464" i="32"/>
  <c r="AZ1464" i="32"/>
  <c r="BA1464" i="32"/>
  <c r="AK1465" i="32"/>
  <c r="AL1465" i="32"/>
  <c r="AM1465" i="32"/>
  <c r="AN1465" i="32"/>
  <c r="AO1465" i="32"/>
  <c r="AP1465" i="32"/>
  <c r="AQ1465" i="32"/>
  <c r="Q1465" i="32"/>
  <c r="AR1465" i="32"/>
  <c r="AS1465" i="32"/>
  <c r="AT1465" i="32"/>
  <c r="AU1465" i="32"/>
  <c r="AV1465" i="32"/>
  <c r="AW1465" i="32"/>
  <c r="AX1465" i="32"/>
  <c r="AY1465" i="32"/>
  <c r="AZ1465" i="32"/>
  <c r="BA1465" i="32"/>
  <c r="AK1466" i="32"/>
  <c r="AL1466" i="32"/>
  <c r="AM1466" i="32"/>
  <c r="AN1466" i="32"/>
  <c r="AO1466" i="32"/>
  <c r="AP1466" i="32"/>
  <c r="AQ1466" i="32"/>
  <c r="Q1466" i="32"/>
  <c r="AR1466" i="32"/>
  <c r="AS1466" i="32"/>
  <c r="AT1466" i="32"/>
  <c r="AU1466" i="32"/>
  <c r="AV1466" i="32"/>
  <c r="AW1466" i="32"/>
  <c r="AX1466" i="32"/>
  <c r="AY1466" i="32"/>
  <c r="AZ1466" i="32"/>
  <c r="BA1466" i="32"/>
  <c r="AK1467" i="32"/>
  <c r="AL1467" i="32"/>
  <c r="AM1467" i="32"/>
  <c r="AN1467" i="32"/>
  <c r="AO1467" i="32"/>
  <c r="AP1467" i="32"/>
  <c r="AQ1467" i="32"/>
  <c r="Q1467" i="32"/>
  <c r="AR1467" i="32"/>
  <c r="AS1467" i="32"/>
  <c r="AT1467" i="32"/>
  <c r="AU1467" i="32"/>
  <c r="AV1467" i="32"/>
  <c r="AW1467" i="32"/>
  <c r="AX1467" i="32"/>
  <c r="AY1467" i="32"/>
  <c r="AZ1467" i="32"/>
  <c r="BA1467" i="32"/>
  <c r="AK1468" i="32"/>
  <c r="AL1468" i="32"/>
  <c r="AM1468" i="32"/>
  <c r="AN1468" i="32"/>
  <c r="AO1468" i="32"/>
  <c r="AP1468" i="32"/>
  <c r="AQ1468" i="32"/>
  <c r="Q1468" i="32"/>
  <c r="AR1468" i="32"/>
  <c r="AS1468" i="32"/>
  <c r="AT1468" i="32"/>
  <c r="AU1468" i="32"/>
  <c r="AV1468" i="32"/>
  <c r="AW1468" i="32"/>
  <c r="AX1468" i="32"/>
  <c r="AY1468" i="32"/>
  <c r="AZ1468" i="32"/>
  <c r="BA1468" i="32"/>
  <c r="AK1469" i="32"/>
  <c r="AL1469" i="32"/>
  <c r="AM1469" i="32"/>
  <c r="AN1469" i="32"/>
  <c r="AO1469" i="32"/>
  <c r="AP1469" i="32"/>
  <c r="AQ1469" i="32"/>
  <c r="Q1469" i="32"/>
  <c r="AR1469" i="32"/>
  <c r="AS1469" i="32"/>
  <c r="AT1469" i="32"/>
  <c r="AU1469" i="32"/>
  <c r="AV1469" i="32"/>
  <c r="AW1469" i="32"/>
  <c r="AX1469" i="32"/>
  <c r="AY1469" i="32"/>
  <c r="AZ1469" i="32"/>
  <c r="BA1469" i="32"/>
  <c r="AK1470" i="32"/>
  <c r="AL1470" i="32"/>
  <c r="AM1470" i="32"/>
  <c r="AN1470" i="32"/>
  <c r="AO1470" i="32"/>
  <c r="AP1470" i="32"/>
  <c r="AQ1470" i="32"/>
  <c r="Q1470" i="32"/>
  <c r="AR1470" i="32"/>
  <c r="AS1470" i="32"/>
  <c r="AT1470" i="32"/>
  <c r="AU1470" i="32"/>
  <c r="AV1470" i="32"/>
  <c r="AW1470" i="32"/>
  <c r="AX1470" i="32"/>
  <c r="AY1470" i="32"/>
  <c r="AZ1470" i="32"/>
  <c r="BA1470" i="32"/>
  <c r="AK1471" i="32"/>
  <c r="AL1471" i="32"/>
  <c r="AM1471" i="32"/>
  <c r="AN1471" i="32"/>
  <c r="AO1471" i="32"/>
  <c r="AP1471" i="32"/>
  <c r="AQ1471" i="32"/>
  <c r="Q1471" i="32"/>
  <c r="AR1471" i="32"/>
  <c r="AS1471" i="32"/>
  <c r="AT1471" i="32"/>
  <c r="AU1471" i="32"/>
  <c r="AV1471" i="32"/>
  <c r="AW1471" i="32"/>
  <c r="AX1471" i="32"/>
  <c r="AY1471" i="32"/>
  <c r="AZ1471" i="32"/>
  <c r="BA1471" i="32"/>
  <c r="AK1472" i="32"/>
  <c r="AL1472" i="32"/>
  <c r="AM1472" i="32"/>
  <c r="AN1472" i="32"/>
  <c r="AO1472" i="32"/>
  <c r="AP1472" i="32"/>
  <c r="AQ1472" i="32"/>
  <c r="Q1472" i="32"/>
  <c r="AR1472" i="32"/>
  <c r="AS1472" i="32"/>
  <c r="AT1472" i="32"/>
  <c r="AU1472" i="32"/>
  <c r="AV1472" i="32"/>
  <c r="AW1472" i="32"/>
  <c r="AX1472" i="32"/>
  <c r="AY1472" i="32"/>
  <c r="AZ1472" i="32"/>
  <c r="BA1472" i="32"/>
  <c r="AK1473" i="32"/>
  <c r="AL1473" i="32"/>
  <c r="AM1473" i="32"/>
  <c r="AN1473" i="32"/>
  <c r="AO1473" i="32"/>
  <c r="AP1473" i="32"/>
  <c r="AQ1473" i="32"/>
  <c r="Q1473" i="32"/>
  <c r="AR1473" i="32"/>
  <c r="AS1473" i="32"/>
  <c r="AT1473" i="32"/>
  <c r="AU1473" i="32"/>
  <c r="AV1473" i="32"/>
  <c r="AW1473" i="32"/>
  <c r="AX1473" i="32"/>
  <c r="AY1473" i="32"/>
  <c r="AZ1473" i="32"/>
  <c r="BA1473" i="32"/>
  <c r="AK1474" i="32"/>
  <c r="AL1474" i="32"/>
  <c r="AM1474" i="32"/>
  <c r="AN1474" i="32"/>
  <c r="AO1474" i="32"/>
  <c r="AP1474" i="32"/>
  <c r="AQ1474" i="32"/>
  <c r="Q1474" i="32"/>
  <c r="AR1474" i="32"/>
  <c r="AS1474" i="32"/>
  <c r="AT1474" i="32"/>
  <c r="AU1474" i="32"/>
  <c r="AV1474" i="32"/>
  <c r="AW1474" i="32"/>
  <c r="AX1474" i="32"/>
  <c r="AY1474" i="32"/>
  <c r="AZ1474" i="32"/>
  <c r="BA1474" i="32"/>
  <c r="AK1475" i="32"/>
  <c r="AL1475" i="32"/>
  <c r="AM1475" i="32"/>
  <c r="AN1475" i="32"/>
  <c r="AO1475" i="32"/>
  <c r="AP1475" i="32"/>
  <c r="AQ1475" i="32"/>
  <c r="Q1475" i="32"/>
  <c r="AR1475" i="32"/>
  <c r="AS1475" i="32"/>
  <c r="AT1475" i="32"/>
  <c r="AU1475" i="32"/>
  <c r="AV1475" i="32"/>
  <c r="AW1475" i="32"/>
  <c r="AX1475" i="32"/>
  <c r="AY1475" i="32"/>
  <c r="AZ1475" i="32"/>
  <c r="BA1475" i="32"/>
  <c r="AK1476" i="32"/>
  <c r="AL1476" i="32"/>
  <c r="AM1476" i="32"/>
  <c r="AN1476" i="32"/>
  <c r="AO1476" i="32"/>
  <c r="AP1476" i="32"/>
  <c r="AQ1476" i="32"/>
  <c r="Q1476" i="32"/>
  <c r="AR1476" i="32"/>
  <c r="AS1476" i="32"/>
  <c r="AT1476" i="32"/>
  <c r="AU1476" i="32"/>
  <c r="AV1476" i="32"/>
  <c r="AW1476" i="32"/>
  <c r="AX1476" i="32"/>
  <c r="AY1476" i="32"/>
  <c r="AZ1476" i="32"/>
  <c r="BA1476" i="32"/>
  <c r="AK1477" i="32"/>
  <c r="AL1477" i="32"/>
  <c r="AM1477" i="32"/>
  <c r="AN1477" i="32"/>
  <c r="AO1477" i="32"/>
  <c r="AP1477" i="32"/>
  <c r="AQ1477" i="32"/>
  <c r="Q1477" i="32"/>
  <c r="AR1477" i="32"/>
  <c r="AS1477" i="32"/>
  <c r="AT1477" i="32"/>
  <c r="AU1477" i="32"/>
  <c r="AV1477" i="32"/>
  <c r="AW1477" i="32"/>
  <c r="AX1477" i="32"/>
  <c r="AY1477" i="32"/>
  <c r="AZ1477" i="32"/>
  <c r="BA1477" i="32"/>
  <c r="AK1478" i="32"/>
  <c r="AL1478" i="32"/>
  <c r="AM1478" i="32"/>
  <c r="AN1478" i="32"/>
  <c r="AO1478" i="32"/>
  <c r="AP1478" i="32"/>
  <c r="AQ1478" i="32"/>
  <c r="Q1478" i="32"/>
  <c r="AR1478" i="32"/>
  <c r="AS1478" i="32"/>
  <c r="AT1478" i="32"/>
  <c r="AU1478" i="32"/>
  <c r="AV1478" i="32"/>
  <c r="AW1478" i="32"/>
  <c r="AX1478" i="32"/>
  <c r="AY1478" i="32"/>
  <c r="AZ1478" i="32"/>
  <c r="BA1478" i="32"/>
  <c r="AK1479" i="32"/>
  <c r="AL1479" i="32"/>
  <c r="AM1479" i="32"/>
  <c r="AN1479" i="32"/>
  <c r="AO1479" i="32"/>
  <c r="AP1479" i="32"/>
  <c r="AQ1479" i="32"/>
  <c r="Q1479" i="32"/>
  <c r="AR1479" i="32"/>
  <c r="AS1479" i="32"/>
  <c r="AT1479" i="32"/>
  <c r="AU1479" i="32"/>
  <c r="AV1479" i="32"/>
  <c r="AW1479" i="32"/>
  <c r="AX1479" i="32"/>
  <c r="AY1479" i="32"/>
  <c r="AZ1479" i="32"/>
  <c r="BA1479" i="32"/>
  <c r="AK1480" i="32"/>
  <c r="AL1480" i="32"/>
  <c r="AM1480" i="32"/>
  <c r="AN1480" i="32"/>
  <c r="AO1480" i="32"/>
  <c r="AP1480" i="32"/>
  <c r="AQ1480" i="32"/>
  <c r="Q1480" i="32"/>
  <c r="AR1480" i="32"/>
  <c r="AS1480" i="32"/>
  <c r="AT1480" i="32"/>
  <c r="AU1480" i="32"/>
  <c r="AV1480" i="32"/>
  <c r="AW1480" i="32"/>
  <c r="AX1480" i="32"/>
  <c r="AY1480" i="32"/>
  <c r="AZ1480" i="32"/>
  <c r="BA1480" i="32"/>
  <c r="AK1481" i="32"/>
  <c r="AL1481" i="32"/>
  <c r="AM1481" i="32"/>
  <c r="AN1481" i="32"/>
  <c r="AO1481" i="32"/>
  <c r="AP1481" i="32"/>
  <c r="AQ1481" i="32"/>
  <c r="Q1481" i="32"/>
  <c r="AR1481" i="32"/>
  <c r="AS1481" i="32"/>
  <c r="AT1481" i="32"/>
  <c r="AU1481" i="32"/>
  <c r="AV1481" i="32"/>
  <c r="AW1481" i="32"/>
  <c r="AX1481" i="32"/>
  <c r="AY1481" i="32"/>
  <c r="AZ1481" i="32"/>
  <c r="BA1481" i="32"/>
  <c r="AK1482" i="32"/>
  <c r="AL1482" i="32"/>
  <c r="AM1482" i="32"/>
  <c r="AN1482" i="32"/>
  <c r="AO1482" i="32"/>
  <c r="AP1482" i="32"/>
  <c r="AQ1482" i="32"/>
  <c r="Q1482" i="32"/>
  <c r="AR1482" i="32"/>
  <c r="AS1482" i="32"/>
  <c r="AT1482" i="32"/>
  <c r="AU1482" i="32"/>
  <c r="AV1482" i="32"/>
  <c r="AW1482" i="32"/>
  <c r="AX1482" i="32"/>
  <c r="AY1482" i="32"/>
  <c r="AZ1482" i="32"/>
  <c r="BA1482" i="32"/>
  <c r="AK1483" i="32"/>
  <c r="AL1483" i="32"/>
  <c r="AM1483" i="32"/>
  <c r="AN1483" i="32"/>
  <c r="AO1483" i="32"/>
  <c r="AP1483" i="32"/>
  <c r="AQ1483" i="32"/>
  <c r="Q1483" i="32"/>
  <c r="AR1483" i="32"/>
  <c r="AS1483" i="32"/>
  <c r="AT1483" i="32"/>
  <c r="AU1483" i="32"/>
  <c r="AV1483" i="32"/>
  <c r="AW1483" i="32"/>
  <c r="AX1483" i="32"/>
  <c r="AY1483" i="32"/>
  <c r="AZ1483" i="32"/>
  <c r="BA1483" i="32"/>
  <c r="AK1484" i="32"/>
  <c r="AL1484" i="32"/>
  <c r="AM1484" i="32"/>
  <c r="AN1484" i="32"/>
  <c r="AO1484" i="32"/>
  <c r="AP1484" i="32"/>
  <c r="AQ1484" i="32"/>
  <c r="Q1484" i="32"/>
  <c r="AR1484" i="32"/>
  <c r="AS1484" i="32"/>
  <c r="AT1484" i="32"/>
  <c r="AU1484" i="32"/>
  <c r="AV1484" i="32"/>
  <c r="AW1484" i="32"/>
  <c r="AX1484" i="32"/>
  <c r="AY1484" i="32"/>
  <c r="AZ1484" i="32"/>
  <c r="BA1484" i="32"/>
  <c r="AK1485" i="32"/>
  <c r="AL1485" i="32"/>
  <c r="AM1485" i="32"/>
  <c r="AN1485" i="32"/>
  <c r="AO1485" i="32"/>
  <c r="AP1485" i="32"/>
  <c r="AQ1485" i="32"/>
  <c r="Q1485" i="32"/>
  <c r="AR1485" i="32"/>
  <c r="AS1485" i="32"/>
  <c r="AT1485" i="32"/>
  <c r="AU1485" i="32"/>
  <c r="AV1485" i="32"/>
  <c r="AW1485" i="32"/>
  <c r="AX1485" i="32"/>
  <c r="AY1485" i="32"/>
  <c r="AZ1485" i="32"/>
  <c r="BA1485" i="32"/>
  <c r="AK1486" i="32"/>
  <c r="AL1486" i="32"/>
  <c r="AM1486" i="32"/>
  <c r="AN1486" i="32"/>
  <c r="AO1486" i="32"/>
  <c r="AP1486" i="32"/>
  <c r="AQ1486" i="32"/>
  <c r="Q1486" i="32"/>
  <c r="AR1486" i="32"/>
  <c r="AS1486" i="32"/>
  <c r="AT1486" i="32"/>
  <c r="AU1486" i="32"/>
  <c r="AV1486" i="32"/>
  <c r="AW1486" i="32"/>
  <c r="AX1486" i="32"/>
  <c r="AY1486" i="32"/>
  <c r="AZ1486" i="32"/>
  <c r="BA1486" i="32"/>
  <c r="AK1487" i="32"/>
  <c r="AL1487" i="32"/>
  <c r="AM1487" i="32"/>
  <c r="AN1487" i="32"/>
  <c r="AO1487" i="32"/>
  <c r="AP1487" i="32"/>
  <c r="AQ1487" i="32"/>
  <c r="Q1487" i="32"/>
  <c r="AR1487" i="32"/>
  <c r="AS1487" i="32"/>
  <c r="AT1487" i="32"/>
  <c r="AU1487" i="32"/>
  <c r="AV1487" i="32"/>
  <c r="AW1487" i="32"/>
  <c r="AX1487" i="32"/>
  <c r="AY1487" i="32"/>
  <c r="AZ1487" i="32"/>
  <c r="BA1487" i="32"/>
  <c r="AK1488" i="32"/>
  <c r="AL1488" i="32"/>
  <c r="AM1488" i="32"/>
  <c r="AN1488" i="32"/>
  <c r="AO1488" i="32"/>
  <c r="AP1488" i="32"/>
  <c r="AQ1488" i="32"/>
  <c r="Q1488" i="32"/>
  <c r="AR1488" i="32"/>
  <c r="AS1488" i="32"/>
  <c r="AT1488" i="32"/>
  <c r="AU1488" i="32"/>
  <c r="AV1488" i="32"/>
  <c r="AW1488" i="32"/>
  <c r="AX1488" i="32"/>
  <c r="AY1488" i="32"/>
  <c r="AZ1488" i="32"/>
  <c r="BA1488" i="32"/>
  <c r="AK1489" i="32"/>
  <c r="AL1489" i="32"/>
  <c r="AM1489" i="32"/>
  <c r="AN1489" i="32"/>
  <c r="AO1489" i="32"/>
  <c r="AP1489" i="32"/>
  <c r="AQ1489" i="32"/>
  <c r="Q1489" i="32"/>
  <c r="AR1489" i="32"/>
  <c r="AS1489" i="32"/>
  <c r="AT1489" i="32"/>
  <c r="AU1489" i="32"/>
  <c r="AV1489" i="32"/>
  <c r="AW1489" i="32"/>
  <c r="AX1489" i="32"/>
  <c r="AY1489" i="32"/>
  <c r="AZ1489" i="32"/>
  <c r="BA1489" i="32"/>
  <c r="AK1490" i="32"/>
  <c r="AL1490" i="32"/>
  <c r="AM1490" i="32"/>
  <c r="AN1490" i="32"/>
  <c r="AO1490" i="32"/>
  <c r="AP1490" i="32"/>
  <c r="AQ1490" i="32"/>
  <c r="Q1490" i="32"/>
  <c r="AR1490" i="32"/>
  <c r="AS1490" i="32"/>
  <c r="AT1490" i="32"/>
  <c r="AU1490" i="32"/>
  <c r="AV1490" i="32"/>
  <c r="AW1490" i="32"/>
  <c r="AX1490" i="32"/>
  <c r="AY1490" i="32"/>
  <c r="AZ1490" i="32"/>
  <c r="BA1490" i="32"/>
  <c r="AK1491" i="32"/>
  <c r="AL1491" i="32"/>
  <c r="AM1491" i="32"/>
  <c r="AN1491" i="32"/>
  <c r="AO1491" i="32"/>
  <c r="AP1491" i="32"/>
  <c r="AQ1491" i="32"/>
  <c r="Q1491" i="32"/>
  <c r="AR1491" i="32"/>
  <c r="AS1491" i="32"/>
  <c r="AT1491" i="32"/>
  <c r="AU1491" i="32"/>
  <c r="AV1491" i="32"/>
  <c r="AW1491" i="32"/>
  <c r="AX1491" i="32"/>
  <c r="AY1491" i="32"/>
  <c r="AZ1491" i="32"/>
  <c r="BA1491" i="32"/>
  <c r="AK1492" i="32"/>
  <c r="AL1492" i="32"/>
  <c r="AM1492" i="32"/>
  <c r="AN1492" i="32"/>
  <c r="AO1492" i="32"/>
  <c r="AP1492" i="32"/>
  <c r="AQ1492" i="32"/>
  <c r="Q1492" i="32"/>
  <c r="AR1492" i="32"/>
  <c r="AS1492" i="32"/>
  <c r="AT1492" i="32"/>
  <c r="AU1492" i="32"/>
  <c r="AV1492" i="32"/>
  <c r="AW1492" i="32"/>
  <c r="AX1492" i="32"/>
  <c r="AY1492" i="32"/>
  <c r="AZ1492" i="32"/>
  <c r="BA1492" i="32"/>
  <c r="AK1493" i="32"/>
  <c r="AL1493" i="32"/>
  <c r="AM1493" i="32"/>
  <c r="AN1493" i="32"/>
  <c r="AO1493" i="32"/>
  <c r="AP1493" i="32"/>
  <c r="AQ1493" i="32"/>
  <c r="Q1493" i="32"/>
  <c r="AR1493" i="32"/>
  <c r="AS1493" i="32"/>
  <c r="AT1493" i="32"/>
  <c r="AU1493" i="32"/>
  <c r="AV1493" i="32"/>
  <c r="AW1493" i="32"/>
  <c r="AX1493" i="32"/>
  <c r="AY1493" i="32"/>
  <c r="AZ1493" i="32"/>
  <c r="BA1493" i="32"/>
  <c r="AK1494" i="32"/>
  <c r="AL1494" i="32"/>
  <c r="AM1494" i="32"/>
  <c r="AN1494" i="32"/>
  <c r="AO1494" i="32"/>
  <c r="AP1494" i="32"/>
  <c r="AQ1494" i="32"/>
  <c r="Q1494" i="32"/>
  <c r="AR1494" i="32"/>
  <c r="AS1494" i="32"/>
  <c r="AT1494" i="32"/>
  <c r="AU1494" i="32"/>
  <c r="AV1494" i="32"/>
  <c r="AW1494" i="32"/>
  <c r="AX1494" i="32"/>
  <c r="AY1494" i="32"/>
  <c r="AZ1494" i="32"/>
  <c r="BA1494" i="32"/>
  <c r="AK1495" i="32"/>
  <c r="AL1495" i="32"/>
  <c r="AM1495" i="32"/>
  <c r="AN1495" i="32"/>
  <c r="AO1495" i="32"/>
  <c r="AP1495" i="32"/>
  <c r="AQ1495" i="32"/>
  <c r="Q1495" i="32"/>
  <c r="AR1495" i="32"/>
  <c r="AS1495" i="32"/>
  <c r="AT1495" i="32"/>
  <c r="AU1495" i="32"/>
  <c r="AV1495" i="32"/>
  <c r="AW1495" i="32"/>
  <c r="AX1495" i="32"/>
  <c r="AY1495" i="32"/>
  <c r="AZ1495" i="32"/>
  <c r="BA1495" i="32"/>
  <c r="AK1496" i="32"/>
  <c r="AL1496" i="32"/>
  <c r="AM1496" i="32"/>
  <c r="AN1496" i="32"/>
  <c r="AO1496" i="32"/>
  <c r="AP1496" i="32"/>
  <c r="AQ1496" i="32"/>
  <c r="Q1496" i="32"/>
  <c r="AR1496" i="32"/>
  <c r="AS1496" i="32"/>
  <c r="AT1496" i="32"/>
  <c r="AU1496" i="32"/>
  <c r="AV1496" i="32"/>
  <c r="AW1496" i="32"/>
  <c r="AX1496" i="32"/>
  <c r="AY1496" i="32"/>
  <c r="AZ1496" i="32"/>
  <c r="BA1496" i="32"/>
  <c r="AK1497" i="32"/>
  <c r="AL1497" i="32"/>
  <c r="AM1497" i="32"/>
  <c r="AN1497" i="32"/>
  <c r="AO1497" i="32"/>
  <c r="AP1497" i="32"/>
  <c r="AQ1497" i="32"/>
  <c r="Q1497" i="32"/>
  <c r="AR1497" i="32"/>
  <c r="AS1497" i="32"/>
  <c r="AT1497" i="32"/>
  <c r="AU1497" i="32"/>
  <c r="AV1497" i="32"/>
  <c r="AW1497" i="32"/>
  <c r="AX1497" i="32"/>
  <c r="AY1497" i="32"/>
  <c r="AZ1497" i="32"/>
  <c r="BA1497" i="32"/>
  <c r="AK1498" i="32"/>
  <c r="AL1498" i="32"/>
  <c r="AM1498" i="32"/>
  <c r="AN1498" i="32"/>
  <c r="AO1498" i="32"/>
  <c r="AP1498" i="32"/>
  <c r="AQ1498" i="32"/>
  <c r="Q1498" i="32"/>
  <c r="AR1498" i="32"/>
  <c r="AS1498" i="32"/>
  <c r="AT1498" i="32"/>
  <c r="AU1498" i="32"/>
  <c r="AV1498" i="32"/>
  <c r="AW1498" i="32"/>
  <c r="AX1498" i="32"/>
  <c r="AY1498" i="32"/>
  <c r="AZ1498" i="32"/>
  <c r="BA1498" i="32"/>
  <c r="AK1499" i="32"/>
  <c r="AL1499" i="32"/>
  <c r="AM1499" i="32"/>
  <c r="AN1499" i="32"/>
  <c r="AO1499" i="32"/>
  <c r="AP1499" i="32"/>
  <c r="AQ1499" i="32"/>
  <c r="Q1499" i="32"/>
  <c r="AR1499" i="32"/>
  <c r="AS1499" i="32"/>
  <c r="AT1499" i="32"/>
  <c r="AU1499" i="32"/>
  <c r="AV1499" i="32"/>
  <c r="AW1499" i="32"/>
  <c r="AX1499" i="32"/>
  <c r="AY1499" i="32"/>
  <c r="AZ1499" i="32"/>
  <c r="BA1499" i="32"/>
  <c r="AK1500" i="32"/>
  <c r="AL1500" i="32"/>
  <c r="AM1500" i="32"/>
  <c r="AN1500" i="32"/>
  <c r="AO1500" i="32"/>
  <c r="AP1500" i="32"/>
  <c r="AQ1500" i="32"/>
  <c r="Q1500" i="32"/>
  <c r="AR1500" i="32"/>
  <c r="AS1500" i="32"/>
  <c r="AT1500" i="32"/>
  <c r="AU1500" i="32"/>
  <c r="AV1500" i="32"/>
  <c r="AW1500" i="32"/>
  <c r="AX1500" i="32"/>
  <c r="AY1500" i="32"/>
  <c r="AZ1500" i="32"/>
  <c r="BA1500" i="32"/>
  <c r="AJ2" i="26" a="1"/>
  <c r="AJ2" i="26"/>
  <c r="A21" i="11" a="1"/>
  <c r="A21" i="11" s="1"/>
  <c r="H248" i="17" s="1"/>
  <c r="A12" i="11"/>
  <c r="A13" i="11"/>
  <c r="A14" i="11"/>
  <c r="A15" i="11"/>
  <c r="J6" i="17" a="1"/>
  <c r="J6" i="17"/>
  <c r="K6" i="17" a="1"/>
  <c r="K6" i="17"/>
  <c r="C8" i="35"/>
  <c r="X2" i="26" a="1"/>
  <c r="X2" i="26"/>
  <c r="Y2" i="26"/>
  <c r="AA2" i="26" a="1"/>
  <c r="AA2" i="26" s="1"/>
  <c r="C30" i="35"/>
  <c r="C31" i="35"/>
  <c r="C32" i="35"/>
  <c r="C33" i="35"/>
  <c r="C34" i="35"/>
  <c r="C35" i="35"/>
  <c r="C36" i="35"/>
  <c r="C37" i="35"/>
  <c r="C38" i="35"/>
  <c r="D30" i="35"/>
  <c r="D31" i="35"/>
  <c r="D32" i="35"/>
  <c r="D33" i="35"/>
  <c r="D34" i="35"/>
  <c r="D35" i="35"/>
  <c r="D36" i="35"/>
  <c r="D37" i="35"/>
  <c r="D38" i="35"/>
  <c r="C23" i="25"/>
  <c r="C8" i="25"/>
  <c r="C30" i="25"/>
  <c r="C31" i="25"/>
  <c r="C32" i="25"/>
  <c r="C33" i="25"/>
  <c r="C34" i="25"/>
  <c r="C35" i="25"/>
  <c r="C36" i="25"/>
  <c r="C37" i="25"/>
  <c r="C38" i="25"/>
  <c r="D30" i="25"/>
  <c r="D31" i="25"/>
  <c r="D32" i="25"/>
  <c r="D33" i="25"/>
  <c r="D34" i="25"/>
  <c r="D35" i="25"/>
  <c r="D36" i="25"/>
  <c r="D37" i="25"/>
  <c r="D38" i="25"/>
  <c r="AY4" i="41"/>
  <c r="AZ4" i="41"/>
  <c r="BA4" i="41"/>
  <c r="BB4" i="41"/>
  <c r="BC4" i="41"/>
  <c r="BD4" i="41"/>
  <c r="BE4" i="41"/>
  <c r="BF4" i="41"/>
  <c r="BG4" i="41"/>
  <c r="BH4" i="41"/>
  <c r="BI4" i="41"/>
  <c r="BJ4" i="41"/>
  <c r="BK4" i="41"/>
  <c r="BL4" i="41"/>
  <c r="BM4" i="41"/>
  <c r="BN4" i="41"/>
  <c r="BO4" i="41"/>
  <c r="BP4" i="41"/>
  <c r="BQ4" i="41"/>
  <c r="BR4" i="41"/>
  <c r="AY5" i="41"/>
  <c r="AZ5" i="41"/>
  <c r="BA5" i="41"/>
  <c r="BB5" i="41"/>
  <c r="BC5" i="41"/>
  <c r="BD5" i="41"/>
  <c r="BE5" i="41"/>
  <c r="BF5" i="41"/>
  <c r="BG5" i="41"/>
  <c r="BH5" i="41"/>
  <c r="BI5" i="41"/>
  <c r="BJ5" i="41"/>
  <c r="BK5" i="41"/>
  <c r="BL5" i="41"/>
  <c r="BM5" i="41"/>
  <c r="BN5" i="41"/>
  <c r="BO5" i="41"/>
  <c r="BP5" i="41"/>
  <c r="BQ5" i="41"/>
  <c r="BR5" i="41"/>
  <c r="AY6" i="41"/>
  <c r="AZ6" i="41"/>
  <c r="BA6" i="41"/>
  <c r="BB6" i="41"/>
  <c r="BC6" i="41"/>
  <c r="BD6" i="41"/>
  <c r="BE6" i="41"/>
  <c r="BF6" i="41"/>
  <c r="BG6" i="41"/>
  <c r="BH6" i="41"/>
  <c r="BI6" i="41"/>
  <c r="BJ6" i="41"/>
  <c r="BK6" i="41"/>
  <c r="BL6" i="41"/>
  <c r="BM6" i="41"/>
  <c r="BN6" i="41"/>
  <c r="BO6" i="41"/>
  <c r="BP6" i="41"/>
  <c r="BQ6" i="41"/>
  <c r="BR6" i="41"/>
  <c r="AY7" i="41"/>
  <c r="AZ7" i="41"/>
  <c r="BA7" i="41"/>
  <c r="BB7" i="41"/>
  <c r="BC7" i="41"/>
  <c r="BD7" i="41"/>
  <c r="BE7" i="41"/>
  <c r="BF7" i="41"/>
  <c r="BG7" i="41"/>
  <c r="BH7" i="41"/>
  <c r="BI7" i="41"/>
  <c r="BJ7" i="41"/>
  <c r="BK7" i="41"/>
  <c r="BL7" i="41"/>
  <c r="BM7" i="41"/>
  <c r="BN7" i="41"/>
  <c r="BO7" i="41"/>
  <c r="BP7" i="41"/>
  <c r="BQ7" i="41"/>
  <c r="BR7" i="41"/>
  <c r="AY8" i="41"/>
  <c r="AZ8" i="41"/>
  <c r="BA8" i="41"/>
  <c r="BB8" i="41"/>
  <c r="BC8" i="41"/>
  <c r="BD8" i="41"/>
  <c r="BE8" i="41"/>
  <c r="BF8" i="41"/>
  <c r="BG8" i="41"/>
  <c r="BH8" i="41"/>
  <c r="BI8" i="41"/>
  <c r="BJ8" i="41"/>
  <c r="BK8" i="41"/>
  <c r="BL8" i="41"/>
  <c r="BM8" i="41"/>
  <c r="BN8" i="41"/>
  <c r="BO8" i="41"/>
  <c r="BP8" i="41"/>
  <c r="BQ8" i="41"/>
  <c r="BR8" i="41"/>
  <c r="AY9" i="41"/>
  <c r="AZ9" i="41"/>
  <c r="BA9" i="41"/>
  <c r="BB9" i="41"/>
  <c r="BC9" i="41"/>
  <c r="BD9" i="41"/>
  <c r="BE9" i="41"/>
  <c r="BF9" i="41"/>
  <c r="BG9" i="41"/>
  <c r="BH9" i="41"/>
  <c r="BI9" i="41"/>
  <c r="BJ9" i="41"/>
  <c r="BK9" i="41"/>
  <c r="BL9" i="41"/>
  <c r="BM9" i="41"/>
  <c r="BN9" i="41"/>
  <c r="BO9" i="41"/>
  <c r="BP9" i="41"/>
  <c r="BQ9" i="41"/>
  <c r="BR9" i="41"/>
  <c r="AY10" i="41"/>
  <c r="AZ10" i="41"/>
  <c r="BA10" i="41"/>
  <c r="BB10" i="41"/>
  <c r="BC10" i="41"/>
  <c r="BD10" i="41"/>
  <c r="BE10" i="41"/>
  <c r="BF10" i="41"/>
  <c r="BG10" i="41"/>
  <c r="BH10" i="41"/>
  <c r="BI10" i="41"/>
  <c r="BJ10" i="41"/>
  <c r="BK10" i="41"/>
  <c r="BL10" i="41"/>
  <c r="BM10" i="41"/>
  <c r="BN10" i="41"/>
  <c r="BO10" i="41"/>
  <c r="BP10" i="41"/>
  <c r="BQ10" i="41"/>
  <c r="BR10" i="41"/>
  <c r="AY11" i="41"/>
  <c r="AZ11" i="41"/>
  <c r="BA11" i="41"/>
  <c r="BB11" i="41"/>
  <c r="BC11" i="41"/>
  <c r="BD11" i="41"/>
  <c r="BE11" i="41"/>
  <c r="BF11" i="41"/>
  <c r="BG11" i="41"/>
  <c r="BH11" i="41"/>
  <c r="BI11" i="41"/>
  <c r="BJ11" i="41"/>
  <c r="BK11" i="41"/>
  <c r="BL11" i="41"/>
  <c r="BM11" i="41"/>
  <c r="BN11" i="41"/>
  <c r="BO11" i="41"/>
  <c r="BP11" i="41"/>
  <c r="BQ11" i="41"/>
  <c r="BR11" i="41"/>
  <c r="AY12" i="41"/>
  <c r="AZ12" i="41"/>
  <c r="BA12" i="41"/>
  <c r="BB12" i="41"/>
  <c r="BC12" i="41"/>
  <c r="BD12" i="41"/>
  <c r="BE12" i="41"/>
  <c r="BF12" i="41"/>
  <c r="BG12" i="41"/>
  <c r="BH12" i="41"/>
  <c r="BI12" i="41"/>
  <c r="BJ12" i="41"/>
  <c r="BK12" i="41"/>
  <c r="BL12" i="41"/>
  <c r="BM12" i="41"/>
  <c r="BN12" i="41"/>
  <c r="BO12" i="41"/>
  <c r="BP12" i="41"/>
  <c r="BQ12" i="41"/>
  <c r="BR12" i="41"/>
  <c r="AY13" i="41"/>
  <c r="AZ13" i="41"/>
  <c r="BA13" i="41"/>
  <c r="BB13" i="41"/>
  <c r="BC13" i="41"/>
  <c r="BD13" i="41"/>
  <c r="BE13" i="41"/>
  <c r="BF13" i="41"/>
  <c r="BG13" i="41"/>
  <c r="BH13" i="41"/>
  <c r="BI13" i="41"/>
  <c r="BJ13" i="41"/>
  <c r="BK13" i="41"/>
  <c r="BL13" i="41"/>
  <c r="BM13" i="41"/>
  <c r="BN13" i="41"/>
  <c r="BO13" i="41"/>
  <c r="BP13" i="41"/>
  <c r="BQ13" i="41"/>
  <c r="BR13" i="41"/>
  <c r="AY14" i="41"/>
  <c r="AZ14" i="41"/>
  <c r="BA14" i="41"/>
  <c r="BB14" i="41"/>
  <c r="BC14" i="41"/>
  <c r="BD14" i="41"/>
  <c r="BE14" i="41"/>
  <c r="BF14" i="41"/>
  <c r="BG14" i="41"/>
  <c r="BH14" i="41"/>
  <c r="BI14" i="41"/>
  <c r="BJ14" i="41"/>
  <c r="BK14" i="41"/>
  <c r="BL14" i="41"/>
  <c r="BM14" i="41"/>
  <c r="BN14" i="41"/>
  <c r="BO14" i="41"/>
  <c r="BP14" i="41"/>
  <c r="BQ14" i="41"/>
  <c r="BR14" i="41"/>
  <c r="P43" i="26"/>
  <c r="P44" i="26"/>
  <c r="P45" i="26"/>
  <c r="P46" i="26"/>
  <c r="P47" i="26"/>
  <c r="P48" i="26"/>
  <c r="P49" i="26"/>
  <c r="P50" i="26"/>
  <c r="P51" i="26"/>
  <c r="P52" i="26"/>
  <c r="AB100" i="27"/>
  <c r="AA100" i="27"/>
  <c r="AB99" i="27"/>
  <c r="AA99" i="27"/>
  <c r="AB98" i="27"/>
  <c r="AA98" i="27"/>
  <c r="AB97" i="27"/>
  <c r="AA97" i="27"/>
  <c r="AB96" i="27"/>
  <c r="AA96" i="27"/>
  <c r="AB95" i="27"/>
  <c r="AA95" i="27"/>
  <c r="AB94" i="27"/>
  <c r="AA94" i="27"/>
  <c r="AB93" i="27"/>
  <c r="AA93" i="27"/>
  <c r="AB92" i="27"/>
  <c r="AA92" i="27"/>
  <c r="AB91" i="27"/>
  <c r="AA91" i="27"/>
  <c r="AB90" i="27"/>
  <c r="AA90" i="27"/>
  <c r="AB89" i="27"/>
  <c r="AA89" i="27"/>
  <c r="AB88" i="27"/>
  <c r="AA88" i="27"/>
  <c r="AB87" i="27"/>
  <c r="AA87" i="27"/>
  <c r="AB86" i="27"/>
  <c r="AA86" i="27"/>
  <c r="AB85" i="27"/>
  <c r="AA85" i="27"/>
  <c r="AB84" i="27"/>
  <c r="AA84" i="27"/>
  <c r="AB83" i="27"/>
  <c r="AA83" i="27"/>
  <c r="AB82" i="27"/>
  <c r="AA82" i="27"/>
  <c r="AB81" i="27"/>
  <c r="AA81" i="27"/>
  <c r="AB80" i="27"/>
  <c r="AA80" i="27"/>
  <c r="AB79" i="27"/>
  <c r="AA79" i="27"/>
  <c r="AB78" i="27"/>
  <c r="AA78" i="27"/>
  <c r="AB77" i="27"/>
  <c r="AA77" i="27"/>
  <c r="AB76" i="27"/>
  <c r="AA76" i="27"/>
  <c r="AB75" i="27"/>
  <c r="AA75" i="27"/>
  <c r="AB74" i="27"/>
  <c r="AA74" i="27"/>
  <c r="AB73" i="27"/>
  <c r="AA73" i="27"/>
  <c r="AB72" i="27"/>
  <c r="AA72" i="27"/>
  <c r="AB71" i="27"/>
  <c r="AA71" i="27"/>
  <c r="AB70" i="27"/>
  <c r="AA70" i="27"/>
  <c r="AB69" i="27"/>
  <c r="AA69" i="27"/>
  <c r="AB68" i="27"/>
  <c r="AA68" i="27"/>
  <c r="AB67" i="27"/>
  <c r="AA67" i="27"/>
  <c r="AB66" i="27"/>
  <c r="AA66" i="27"/>
  <c r="AB65" i="27"/>
  <c r="AA65" i="27"/>
  <c r="AB64" i="27"/>
  <c r="AA64" i="27"/>
  <c r="AB63" i="27"/>
  <c r="AA63" i="27"/>
  <c r="AB62" i="27"/>
  <c r="AA62" i="27"/>
  <c r="AB61" i="27"/>
  <c r="AA61" i="27"/>
  <c r="AB60" i="27"/>
  <c r="AA60" i="27"/>
  <c r="AB59" i="27"/>
  <c r="AA59" i="27"/>
  <c r="AB58" i="27"/>
  <c r="AA58" i="27"/>
  <c r="AB57" i="27"/>
  <c r="AA57" i="27"/>
  <c r="AB56" i="27"/>
  <c r="AA56" i="27"/>
  <c r="AB55" i="27"/>
  <c r="AA55" i="27"/>
  <c r="AB54" i="27"/>
  <c r="AA54" i="27"/>
  <c r="AB53" i="27"/>
  <c r="AA53" i="27"/>
  <c r="AB52" i="27"/>
  <c r="AA52" i="27"/>
  <c r="AB51" i="27"/>
  <c r="AA51" i="27"/>
  <c r="AB50" i="27"/>
  <c r="AA50" i="27"/>
  <c r="AB49" i="27"/>
  <c r="AA49" i="27"/>
  <c r="AB48" i="27"/>
  <c r="AA48" i="27"/>
  <c r="AB47" i="27"/>
  <c r="AA47" i="27"/>
  <c r="AB46" i="27"/>
  <c r="AA46" i="27"/>
  <c r="AB45" i="27"/>
  <c r="AA45" i="27"/>
  <c r="AB44" i="27"/>
  <c r="AA44" i="27"/>
  <c r="AB43" i="27"/>
  <c r="AA43" i="27"/>
  <c r="AB42" i="27"/>
  <c r="AA42" i="27"/>
  <c r="AB41" i="27"/>
  <c r="AA41" i="27"/>
  <c r="AB40" i="27"/>
  <c r="AA40" i="27"/>
  <c r="AB39" i="27"/>
  <c r="AA39" i="27"/>
  <c r="AB38" i="27"/>
  <c r="AA38" i="27"/>
  <c r="AB37" i="27"/>
  <c r="AA37" i="27"/>
  <c r="AB36" i="27"/>
  <c r="AA36" i="27"/>
  <c r="AB35" i="27"/>
  <c r="AA35" i="27"/>
  <c r="AB34" i="27"/>
  <c r="AA34" i="27"/>
  <c r="AB33" i="27"/>
  <c r="AA33" i="27"/>
  <c r="AB32" i="27"/>
  <c r="AA32" i="27"/>
  <c r="AB31" i="27"/>
  <c r="AA31" i="27"/>
  <c r="AB30" i="27"/>
  <c r="AA30" i="27"/>
  <c r="AB29" i="27"/>
  <c r="AA29" i="27"/>
  <c r="AB28" i="27"/>
  <c r="AA28" i="27"/>
  <c r="AB27" i="27"/>
  <c r="AA27" i="27"/>
  <c r="AB26" i="27"/>
  <c r="AA26" i="27"/>
  <c r="AB25" i="27"/>
  <c r="AA25" i="27"/>
  <c r="AB24" i="27"/>
  <c r="AA24" i="27"/>
  <c r="AB23" i="27"/>
  <c r="AA23" i="27"/>
  <c r="AB22" i="27"/>
  <c r="AA22" i="27"/>
  <c r="AB21" i="27"/>
  <c r="AA21" i="27"/>
  <c r="AB20" i="27"/>
  <c r="AA20" i="27"/>
  <c r="AB19" i="27"/>
  <c r="AA19" i="27"/>
  <c r="AB18" i="27"/>
  <c r="AA18" i="27"/>
  <c r="AB17" i="27"/>
  <c r="AA17" i="27"/>
  <c r="AB16" i="27"/>
  <c r="AA16" i="27"/>
  <c r="AB15" i="27"/>
  <c r="AA15" i="27"/>
  <c r="AB14" i="27"/>
  <c r="AA14" i="27"/>
  <c r="AB13" i="27"/>
  <c r="AA13" i="27"/>
  <c r="AB12" i="27"/>
  <c r="AA12" i="27"/>
  <c r="AB11" i="27"/>
  <c r="AA11" i="27"/>
  <c r="AB10" i="27"/>
  <c r="AA10" i="27"/>
  <c r="AB9" i="27"/>
  <c r="AA9" i="27"/>
  <c r="AB8" i="27"/>
  <c r="AA8" i="27"/>
  <c r="AB7" i="27"/>
  <c r="AA7" i="27"/>
  <c r="AB6" i="27"/>
  <c r="AA6" i="27"/>
  <c r="AB5" i="27"/>
  <c r="AA5" i="27"/>
  <c r="AB4" i="27"/>
  <c r="AA4" i="27"/>
  <c r="AB3" i="27"/>
  <c r="AA3" i="27"/>
  <c r="X100" i="27"/>
  <c r="W100" i="27"/>
  <c r="X99" i="27"/>
  <c r="W99" i="27"/>
  <c r="X98" i="27"/>
  <c r="W98" i="27"/>
  <c r="X97" i="27"/>
  <c r="W97" i="27"/>
  <c r="X96" i="27"/>
  <c r="W96" i="27"/>
  <c r="X95" i="27"/>
  <c r="W95" i="27"/>
  <c r="X94" i="27"/>
  <c r="W94" i="27"/>
  <c r="X93" i="27"/>
  <c r="W93" i="27"/>
  <c r="X92" i="27"/>
  <c r="W92" i="27"/>
  <c r="X91" i="27"/>
  <c r="W91" i="27"/>
  <c r="X90" i="27"/>
  <c r="W90" i="27"/>
  <c r="X89" i="27"/>
  <c r="W89" i="27"/>
  <c r="X88" i="27"/>
  <c r="W88" i="27"/>
  <c r="X87" i="27"/>
  <c r="W87" i="27"/>
  <c r="X86" i="27"/>
  <c r="W86" i="27"/>
  <c r="X85" i="27"/>
  <c r="W85" i="27"/>
  <c r="X84" i="27"/>
  <c r="W84" i="27"/>
  <c r="X83" i="27"/>
  <c r="W83" i="27"/>
  <c r="X82" i="27"/>
  <c r="W82" i="27"/>
  <c r="X81" i="27"/>
  <c r="W81" i="27"/>
  <c r="X80" i="27"/>
  <c r="W80" i="27"/>
  <c r="X79" i="27"/>
  <c r="W79" i="27"/>
  <c r="X78" i="27"/>
  <c r="W78" i="27"/>
  <c r="X77" i="27"/>
  <c r="W77" i="27"/>
  <c r="X76" i="27"/>
  <c r="W76" i="27"/>
  <c r="X75" i="27"/>
  <c r="W75" i="27"/>
  <c r="X74" i="27"/>
  <c r="W74" i="27"/>
  <c r="X73" i="27"/>
  <c r="W73" i="27"/>
  <c r="X72" i="27"/>
  <c r="W72" i="27"/>
  <c r="X71" i="27"/>
  <c r="W71" i="27"/>
  <c r="X70" i="27"/>
  <c r="W70" i="27"/>
  <c r="X69" i="27"/>
  <c r="W69" i="27"/>
  <c r="X68" i="27"/>
  <c r="W68" i="27"/>
  <c r="X67" i="27"/>
  <c r="W67" i="27"/>
  <c r="X66" i="27"/>
  <c r="W66" i="27"/>
  <c r="X65" i="27"/>
  <c r="W65" i="27"/>
  <c r="X64" i="27"/>
  <c r="W64" i="27"/>
  <c r="X63" i="27"/>
  <c r="W63" i="27"/>
  <c r="X62" i="27"/>
  <c r="W62" i="27"/>
  <c r="X61" i="27"/>
  <c r="W61" i="27"/>
  <c r="X60" i="27"/>
  <c r="W60" i="27"/>
  <c r="X59" i="27"/>
  <c r="W59" i="27"/>
  <c r="X58" i="27"/>
  <c r="W58" i="27"/>
  <c r="X57" i="27"/>
  <c r="W57" i="27"/>
  <c r="X56" i="27"/>
  <c r="W56" i="27"/>
  <c r="X55" i="27"/>
  <c r="W55" i="27"/>
  <c r="X54" i="27"/>
  <c r="W54" i="27"/>
  <c r="X53" i="27"/>
  <c r="W53" i="27"/>
  <c r="X52" i="27"/>
  <c r="W52" i="27"/>
  <c r="X51" i="27"/>
  <c r="W51" i="27"/>
  <c r="X50" i="27"/>
  <c r="W50" i="27"/>
  <c r="X49" i="27"/>
  <c r="W49" i="27"/>
  <c r="X48" i="27"/>
  <c r="W48" i="27"/>
  <c r="X47" i="27"/>
  <c r="W47" i="27"/>
  <c r="X46" i="27"/>
  <c r="W46" i="27"/>
  <c r="X45" i="27"/>
  <c r="W45" i="27"/>
  <c r="X44" i="27"/>
  <c r="W44" i="27"/>
  <c r="X43" i="27"/>
  <c r="W43" i="27"/>
  <c r="X42" i="27"/>
  <c r="W42" i="27"/>
  <c r="X41" i="27"/>
  <c r="W41" i="27"/>
  <c r="X40" i="27"/>
  <c r="W40" i="27"/>
  <c r="X39" i="27"/>
  <c r="W39" i="27"/>
  <c r="X38" i="27"/>
  <c r="W38" i="27"/>
  <c r="X37" i="27"/>
  <c r="W37" i="27"/>
  <c r="X36" i="27"/>
  <c r="W36" i="27"/>
  <c r="X35" i="27"/>
  <c r="W35" i="27"/>
  <c r="X34" i="27"/>
  <c r="W34" i="27"/>
  <c r="X33" i="27"/>
  <c r="W33" i="27"/>
  <c r="X32" i="27"/>
  <c r="W32" i="27"/>
  <c r="X31" i="27"/>
  <c r="W31" i="27"/>
  <c r="X30" i="27"/>
  <c r="W30" i="27"/>
  <c r="X29" i="27"/>
  <c r="W29" i="27"/>
  <c r="X28" i="27"/>
  <c r="W28" i="27"/>
  <c r="X27" i="27"/>
  <c r="W27" i="27"/>
  <c r="X26" i="27"/>
  <c r="W26" i="27"/>
  <c r="X25" i="27"/>
  <c r="W25" i="27"/>
  <c r="X24" i="27"/>
  <c r="W24" i="27"/>
  <c r="X23" i="27"/>
  <c r="W23" i="27"/>
  <c r="X22" i="27"/>
  <c r="W22" i="27"/>
  <c r="X21" i="27"/>
  <c r="W21" i="27"/>
  <c r="X20" i="27"/>
  <c r="W20" i="27"/>
  <c r="X19" i="27"/>
  <c r="W19" i="27"/>
  <c r="X18" i="27"/>
  <c r="W18" i="27"/>
  <c r="X17" i="27"/>
  <c r="W17" i="27"/>
  <c r="X16" i="27"/>
  <c r="W16" i="27"/>
  <c r="X15" i="27"/>
  <c r="W15" i="27"/>
  <c r="X14" i="27"/>
  <c r="W14" i="27"/>
  <c r="X13" i="27"/>
  <c r="W13" i="27"/>
  <c r="X12" i="27"/>
  <c r="W12" i="27"/>
  <c r="X11" i="27"/>
  <c r="W11" i="27"/>
  <c r="X10" i="27"/>
  <c r="W10" i="27"/>
  <c r="X9" i="27"/>
  <c r="W9" i="27"/>
  <c r="X8" i="27"/>
  <c r="W8" i="27"/>
  <c r="X7" i="27"/>
  <c r="W7" i="27"/>
  <c r="X6" i="27"/>
  <c r="W6" i="27"/>
  <c r="X5" i="27"/>
  <c r="W5" i="27"/>
  <c r="X4" i="27"/>
  <c r="W4" i="27"/>
  <c r="X3" i="27"/>
  <c r="W3" i="27"/>
  <c r="Z100" i="27"/>
  <c r="Y100" i="27"/>
  <c r="Z99" i="27"/>
  <c r="Y99" i="27"/>
  <c r="Z98" i="27"/>
  <c r="Y98" i="27"/>
  <c r="Z97" i="27"/>
  <c r="Y97" i="27"/>
  <c r="Z96" i="27"/>
  <c r="Y96" i="27"/>
  <c r="Z95" i="27"/>
  <c r="Y95" i="27"/>
  <c r="Z94" i="27"/>
  <c r="Y94" i="27"/>
  <c r="Z93" i="27"/>
  <c r="Y93" i="27"/>
  <c r="Z92" i="27"/>
  <c r="Y92" i="27"/>
  <c r="Z91" i="27"/>
  <c r="Y91" i="27"/>
  <c r="Z90" i="27"/>
  <c r="Y90" i="27"/>
  <c r="Z89" i="27"/>
  <c r="Y89" i="27"/>
  <c r="Z88" i="27"/>
  <c r="Y88" i="27"/>
  <c r="Z87" i="27"/>
  <c r="Y87" i="27"/>
  <c r="Z86" i="27"/>
  <c r="Y86" i="27"/>
  <c r="Z85" i="27"/>
  <c r="Y85" i="27"/>
  <c r="Z84" i="27"/>
  <c r="Y84" i="27"/>
  <c r="Z83" i="27"/>
  <c r="Y83" i="27"/>
  <c r="Z82" i="27"/>
  <c r="Y82" i="27"/>
  <c r="Z81" i="27"/>
  <c r="Y81" i="27"/>
  <c r="Z80" i="27"/>
  <c r="Y80" i="27"/>
  <c r="Z79" i="27"/>
  <c r="Y79" i="27"/>
  <c r="Z78" i="27"/>
  <c r="Y78" i="27"/>
  <c r="Z77" i="27"/>
  <c r="Y77" i="27"/>
  <c r="Z76" i="27"/>
  <c r="Y76" i="27"/>
  <c r="Z75" i="27"/>
  <c r="Y75" i="27"/>
  <c r="Z74" i="27"/>
  <c r="Y74" i="27"/>
  <c r="Z73" i="27"/>
  <c r="Y73" i="27"/>
  <c r="Z72" i="27"/>
  <c r="Y72" i="27"/>
  <c r="Z71" i="27"/>
  <c r="Y71" i="27"/>
  <c r="Z70" i="27"/>
  <c r="Y70" i="27"/>
  <c r="Z69" i="27"/>
  <c r="Y69" i="27"/>
  <c r="Z68" i="27"/>
  <c r="Y68" i="27"/>
  <c r="Z67" i="27"/>
  <c r="Y67" i="27"/>
  <c r="Z66" i="27"/>
  <c r="Y66" i="27"/>
  <c r="Z65" i="27"/>
  <c r="Y65" i="27"/>
  <c r="Z64" i="27"/>
  <c r="Y64" i="27"/>
  <c r="Z63" i="27"/>
  <c r="Y63" i="27"/>
  <c r="Z62" i="27"/>
  <c r="Y62" i="27"/>
  <c r="Z61" i="27"/>
  <c r="Y61" i="27"/>
  <c r="Z60" i="27"/>
  <c r="Y60" i="27"/>
  <c r="Z59" i="27"/>
  <c r="Y59" i="27"/>
  <c r="Z58" i="27"/>
  <c r="Y58" i="27"/>
  <c r="Z57" i="27"/>
  <c r="Y57" i="27"/>
  <c r="Z56" i="27"/>
  <c r="Y56" i="27"/>
  <c r="Z55" i="27"/>
  <c r="Y55" i="27"/>
  <c r="Z54" i="27"/>
  <c r="Y54" i="27"/>
  <c r="Z53" i="27"/>
  <c r="Y53" i="27"/>
  <c r="Z52" i="27"/>
  <c r="Y52" i="27"/>
  <c r="Z51" i="27"/>
  <c r="Y51" i="27"/>
  <c r="Z50" i="27"/>
  <c r="Y50" i="27"/>
  <c r="Z49" i="27"/>
  <c r="Y49" i="27"/>
  <c r="Z48" i="27"/>
  <c r="Y48" i="27"/>
  <c r="Z47" i="27"/>
  <c r="Y47" i="27"/>
  <c r="Z46" i="27"/>
  <c r="Y46" i="27"/>
  <c r="Z45" i="27"/>
  <c r="Y45" i="27"/>
  <c r="Z44" i="27"/>
  <c r="Y44" i="27"/>
  <c r="Z43" i="27"/>
  <c r="Y43" i="27"/>
  <c r="Z42" i="27"/>
  <c r="Y42" i="27"/>
  <c r="Z41" i="27"/>
  <c r="Y41" i="27"/>
  <c r="Z40" i="27"/>
  <c r="Y40" i="27"/>
  <c r="Z39" i="27"/>
  <c r="Y39" i="27"/>
  <c r="Z38" i="27"/>
  <c r="Y38" i="27"/>
  <c r="Z37" i="27"/>
  <c r="Y37" i="27"/>
  <c r="Z36" i="27"/>
  <c r="Y36" i="27"/>
  <c r="Z35" i="27"/>
  <c r="Y35" i="27"/>
  <c r="Z34" i="27"/>
  <c r="Y34" i="27"/>
  <c r="Z33" i="27"/>
  <c r="Y33" i="27"/>
  <c r="Z32" i="27"/>
  <c r="Y32" i="27"/>
  <c r="Z31" i="27"/>
  <c r="Y31" i="27"/>
  <c r="Z30" i="27"/>
  <c r="Y30" i="27"/>
  <c r="Z29" i="27"/>
  <c r="Y29" i="27"/>
  <c r="Z28" i="27"/>
  <c r="Y28" i="27"/>
  <c r="Z27" i="27"/>
  <c r="Y27" i="27"/>
  <c r="Z26" i="27"/>
  <c r="Y26" i="27"/>
  <c r="Z25" i="27"/>
  <c r="Y25" i="27"/>
  <c r="Z24" i="27"/>
  <c r="Y24" i="27"/>
  <c r="Z23" i="27"/>
  <c r="Y23" i="27"/>
  <c r="Z22" i="27"/>
  <c r="Y22" i="27"/>
  <c r="Z21" i="27"/>
  <c r="Y21" i="27"/>
  <c r="Z20" i="27"/>
  <c r="Y20" i="27"/>
  <c r="Z19" i="27"/>
  <c r="Y19" i="27"/>
  <c r="Z18" i="27"/>
  <c r="Y18" i="27"/>
  <c r="Z17" i="27"/>
  <c r="Y17" i="27"/>
  <c r="Z16" i="27"/>
  <c r="Y16" i="27"/>
  <c r="Z15" i="27"/>
  <c r="Y15" i="27"/>
  <c r="Z14" i="27"/>
  <c r="Y14" i="27"/>
  <c r="Z13" i="27"/>
  <c r="Y13" i="27"/>
  <c r="Z12" i="27"/>
  <c r="Y12" i="27"/>
  <c r="Z11" i="27"/>
  <c r="Y11" i="27"/>
  <c r="Z10" i="27"/>
  <c r="Y10" i="27"/>
  <c r="Z9" i="27"/>
  <c r="Y9" i="27"/>
  <c r="Z8" i="27"/>
  <c r="Y8" i="27"/>
  <c r="Z7" i="27"/>
  <c r="Y7" i="27"/>
  <c r="Z6" i="27"/>
  <c r="Y6" i="27"/>
  <c r="Z5" i="27"/>
  <c r="Y5" i="27"/>
  <c r="Z4" i="27"/>
  <c r="Y4" i="27"/>
  <c r="Z3" i="27"/>
  <c r="Y3" i="27"/>
  <c r="P1" i="26"/>
  <c r="D21" i="35"/>
  <c r="E21" i="35"/>
  <c r="A2" i="37" a="1"/>
  <c r="A2" i="37"/>
  <c r="H14" i="37"/>
  <c r="H13" i="37"/>
  <c r="H12" i="37"/>
  <c r="H11" i="37"/>
  <c r="H10" i="37"/>
  <c r="H9" i="37"/>
  <c r="H8" i="37"/>
  <c r="H7" i="37"/>
  <c r="H6" i="37"/>
  <c r="H5" i="37"/>
  <c r="G2" i="37" a="1"/>
  <c r="G2" i="37" s="1"/>
  <c r="H2" i="37" s="1"/>
  <c r="H3" i="37"/>
  <c r="H4" i="37"/>
  <c r="AL5" i="41"/>
  <c r="AM5" i="41"/>
  <c r="AN5" i="41"/>
  <c r="AO5" i="41"/>
  <c r="AP5" i="41"/>
  <c r="AQ5" i="41"/>
  <c r="AR5" i="41"/>
  <c r="AS5" i="41"/>
  <c r="AT5" i="41"/>
  <c r="AU5" i="41"/>
  <c r="AV5" i="41"/>
  <c r="AW5" i="41"/>
  <c r="AX5" i="41"/>
  <c r="AL6" i="41"/>
  <c r="AM6" i="41"/>
  <c r="AN6" i="41"/>
  <c r="AO6" i="41"/>
  <c r="AP6" i="41"/>
  <c r="AQ6" i="41"/>
  <c r="AR6" i="41"/>
  <c r="AS6" i="41"/>
  <c r="AT6" i="41"/>
  <c r="AU6" i="41"/>
  <c r="AV6" i="41"/>
  <c r="AW6" i="41"/>
  <c r="AX6" i="41"/>
  <c r="AL7" i="41"/>
  <c r="AM7" i="41"/>
  <c r="AN7" i="41"/>
  <c r="AO7" i="41"/>
  <c r="AP7" i="41"/>
  <c r="AQ7" i="41"/>
  <c r="AR7" i="41"/>
  <c r="AS7" i="41"/>
  <c r="AT7" i="41"/>
  <c r="AU7" i="41"/>
  <c r="AV7" i="41"/>
  <c r="AW7" i="41"/>
  <c r="AX7" i="41"/>
  <c r="AL8" i="41"/>
  <c r="AM8" i="41"/>
  <c r="AN8" i="41"/>
  <c r="AO8" i="41"/>
  <c r="AP8" i="41"/>
  <c r="AQ8" i="41"/>
  <c r="AR8" i="41"/>
  <c r="AS8" i="41"/>
  <c r="AT8" i="41"/>
  <c r="AU8" i="41"/>
  <c r="AV8" i="41"/>
  <c r="AW8" i="41"/>
  <c r="AX8" i="41"/>
  <c r="AL9" i="41"/>
  <c r="AM9" i="41"/>
  <c r="AN9" i="41"/>
  <c r="AO9" i="41"/>
  <c r="AP9" i="41"/>
  <c r="AQ9" i="41"/>
  <c r="AR9" i="41"/>
  <c r="AS9" i="41"/>
  <c r="AT9" i="41"/>
  <c r="AU9" i="41"/>
  <c r="AV9" i="41"/>
  <c r="AW9" i="41"/>
  <c r="AX9" i="41"/>
  <c r="AL10" i="41"/>
  <c r="AM10" i="41"/>
  <c r="AN10" i="41"/>
  <c r="AO10" i="41"/>
  <c r="AP10" i="41"/>
  <c r="AQ10" i="41"/>
  <c r="AR10" i="41"/>
  <c r="AS10" i="41"/>
  <c r="AT10" i="41"/>
  <c r="AU10" i="41"/>
  <c r="AV10" i="41"/>
  <c r="AW10" i="41"/>
  <c r="AX10" i="41"/>
  <c r="AL11" i="41"/>
  <c r="AM11" i="41"/>
  <c r="AN11" i="41"/>
  <c r="AO11" i="41"/>
  <c r="AP11" i="41"/>
  <c r="AQ11" i="41"/>
  <c r="AR11" i="41"/>
  <c r="AS11" i="41"/>
  <c r="AT11" i="41"/>
  <c r="AU11" i="41"/>
  <c r="AV11" i="41"/>
  <c r="AW11" i="41"/>
  <c r="AX11" i="41"/>
  <c r="AL12" i="41"/>
  <c r="AM12" i="41"/>
  <c r="AN12" i="41"/>
  <c r="AO12" i="41"/>
  <c r="AP12" i="41"/>
  <c r="AQ12" i="41"/>
  <c r="AR12" i="41"/>
  <c r="AS12" i="41"/>
  <c r="AT12" i="41"/>
  <c r="AU12" i="41"/>
  <c r="AV12" i="41"/>
  <c r="AW12" i="41"/>
  <c r="AX12" i="41"/>
  <c r="AL13" i="41"/>
  <c r="AM13" i="41"/>
  <c r="AN13" i="41"/>
  <c r="AO13" i="41"/>
  <c r="AP13" i="41"/>
  <c r="AQ13" i="41"/>
  <c r="AR13" i="41"/>
  <c r="AS13" i="41"/>
  <c r="AT13" i="41"/>
  <c r="AU13" i="41"/>
  <c r="AV13" i="41"/>
  <c r="AW13" i="41"/>
  <c r="AX13" i="41"/>
  <c r="AL14" i="41"/>
  <c r="AM14" i="41"/>
  <c r="AN14" i="41"/>
  <c r="AO14" i="41"/>
  <c r="AP14" i="41"/>
  <c r="AQ14" i="41"/>
  <c r="AR14" i="41"/>
  <c r="AS14" i="41"/>
  <c r="AT14" i="41"/>
  <c r="AU14" i="41"/>
  <c r="AV14" i="41"/>
  <c r="AW14" i="41"/>
  <c r="AX14" i="41"/>
  <c r="C6" i="25"/>
  <c r="C5" i="25"/>
  <c r="C4" i="25"/>
  <c r="C3" i="25"/>
  <c r="C2" i="25"/>
  <c r="B3" i="37"/>
  <c r="B4" i="37"/>
  <c r="B5" i="37"/>
  <c r="B6" i="37"/>
  <c r="B7" i="37"/>
  <c r="B8" i="37"/>
  <c r="B9" i="37"/>
  <c r="B10" i="37"/>
  <c r="B11" i="37"/>
  <c r="B12" i="37"/>
  <c r="B13" i="37"/>
  <c r="B14" i="37"/>
  <c r="Y5" i="26"/>
  <c r="Y6" i="26"/>
  <c r="Y7" i="26"/>
  <c r="Y8" i="26"/>
  <c r="Y9" i="26"/>
  <c r="Y10" i="26"/>
  <c r="Y11" i="26"/>
  <c r="Y12" i="26"/>
  <c r="Y13" i="26"/>
  <c r="Y14" i="26"/>
  <c r="U5" i="27"/>
  <c r="V5" i="27"/>
  <c r="U6" i="27"/>
  <c r="V6" i="27"/>
  <c r="U7" i="27"/>
  <c r="V7" i="27"/>
  <c r="U8" i="27"/>
  <c r="V8" i="27"/>
  <c r="U9" i="27"/>
  <c r="V9" i="27"/>
  <c r="U10" i="27"/>
  <c r="V10" i="27"/>
  <c r="U11" i="27"/>
  <c r="V11" i="27"/>
  <c r="U12" i="27"/>
  <c r="V12" i="27"/>
  <c r="U13" i="27"/>
  <c r="V13" i="27"/>
  <c r="U14" i="27"/>
  <c r="V14" i="27"/>
  <c r="U15" i="27"/>
  <c r="V15" i="27"/>
  <c r="U16" i="27"/>
  <c r="V16" i="27"/>
  <c r="U17" i="27"/>
  <c r="V17" i="27"/>
  <c r="U18" i="27"/>
  <c r="V18" i="27"/>
  <c r="U19" i="27"/>
  <c r="V19" i="27"/>
  <c r="U20" i="27"/>
  <c r="V20" i="27"/>
  <c r="U21" i="27"/>
  <c r="V21" i="27"/>
  <c r="U22" i="27"/>
  <c r="V22" i="27"/>
  <c r="U23" i="27"/>
  <c r="V23" i="27"/>
  <c r="U24" i="27"/>
  <c r="V24" i="27"/>
  <c r="U25" i="27"/>
  <c r="V25" i="27"/>
  <c r="U26" i="27"/>
  <c r="V26" i="27"/>
  <c r="U27" i="27"/>
  <c r="V27" i="27"/>
  <c r="U28" i="27"/>
  <c r="V28" i="27"/>
  <c r="U29" i="27"/>
  <c r="V29" i="27"/>
  <c r="U30" i="27"/>
  <c r="V30" i="27"/>
  <c r="U31" i="27"/>
  <c r="V31" i="27"/>
  <c r="U32" i="27"/>
  <c r="V32" i="27"/>
  <c r="U33" i="27"/>
  <c r="V33" i="27"/>
  <c r="U34" i="27"/>
  <c r="V34" i="27"/>
  <c r="U35" i="27"/>
  <c r="V35" i="27"/>
  <c r="U36" i="27"/>
  <c r="V36" i="27"/>
  <c r="U37" i="27"/>
  <c r="V37" i="27"/>
  <c r="U38" i="27"/>
  <c r="V38" i="27"/>
  <c r="U39" i="27"/>
  <c r="V39" i="27"/>
  <c r="U40" i="27"/>
  <c r="V40" i="27"/>
  <c r="U41" i="27"/>
  <c r="V41" i="27"/>
  <c r="U42" i="27"/>
  <c r="V42" i="27"/>
  <c r="U43" i="27"/>
  <c r="V43" i="27"/>
  <c r="U44" i="27"/>
  <c r="V44" i="27"/>
  <c r="U45" i="27"/>
  <c r="V45" i="27"/>
  <c r="U46" i="27"/>
  <c r="V46" i="27"/>
  <c r="U47" i="27"/>
  <c r="V47" i="27"/>
  <c r="U48" i="27"/>
  <c r="V48" i="27"/>
  <c r="U49" i="27"/>
  <c r="V49" i="27"/>
  <c r="U50" i="27"/>
  <c r="V50" i="27"/>
  <c r="U51" i="27"/>
  <c r="V51" i="27"/>
  <c r="U52" i="27"/>
  <c r="V52" i="27"/>
  <c r="U53" i="27"/>
  <c r="V53" i="27"/>
  <c r="U54" i="27"/>
  <c r="V54" i="27"/>
  <c r="U55" i="27"/>
  <c r="V55" i="27"/>
  <c r="U56" i="27"/>
  <c r="V56" i="27"/>
  <c r="U57" i="27"/>
  <c r="V57" i="27"/>
  <c r="U58" i="27"/>
  <c r="V58" i="27"/>
  <c r="U59" i="27"/>
  <c r="V59" i="27"/>
  <c r="U60" i="27"/>
  <c r="V60" i="27"/>
  <c r="U61" i="27"/>
  <c r="V61" i="27"/>
  <c r="U62" i="27"/>
  <c r="V62" i="27"/>
  <c r="U63" i="27"/>
  <c r="V63" i="27"/>
  <c r="U64" i="27"/>
  <c r="V64" i="27"/>
  <c r="U65" i="27"/>
  <c r="V65" i="27"/>
  <c r="U66" i="27"/>
  <c r="V66" i="27"/>
  <c r="U67" i="27"/>
  <c r="V67" i="27"/>
  <c r="U68" i="27"/>
  <c r="V68" i="27"/>
  <c r="U69" i="27"/>
  <c r="V69" i="27"/>
  <c r="U70" i="27"/>
  <c r="V70" i="27"/>
  <c r="U71" i="27"/>
  <c r="V71" i="27"/>
  <c r="U72" i="27"/>
  <c r="V72" i="27"/>
  <c r="U73" i="27"/>
  <c r="V73" i="27"/>
  <c r="U74" i="27"/>
  <c r="V74" i="27"/>
  <c r="U75" i="27"/>
  <c r="V75" i="27"/>
  <c r="U76" i="27"/>
  <c r="V76" i="27"/>
  <c r="U77" i="27"/>
  <c r="V77" i="27"/>
  <c r="U78" i="27"/>
  <c r="V78" i="27"/>
  <c r="U79" i="27"/>
  <c r="V79" i="27"/>
  <c r="U80" i="27"/>
  <c r="V80" i="27"/>
  <c r="U81" i="27"/>
  <c r="V81" i="27"/>
  <c r="U82" i="27"/>
  <c r="V82" i="27"/>
  <c r="U83" i="27"/>
  <c r="V83" i="27"/>
  <c r="U84" i="27"/>
  <c r="V84" i="27"/>
  <c r="U85" i="27"/>
  <c r="V85" i="27"/>
  <c r="U86" i="27"/>
  <c r="V86" i="27"/>
  <c r="U87" i="27"/>
  <c r="V87" i="27"/>
  <c r="U88" i="27"/>
  <c r="V88" i="27"/>
  <c r="U89" i="27"/>
  <c r="V89" i="27"/>
  <c r="U90" i="27"/>
  <c r="V90" i="27"/>
  <c r="U91" i="27"/>
  <c r="V91" i="27"/>
  <c r="U92" i="27"/>
  <c r="V92" i="27"/>
  <c r="U93" i="27"/>
  <c r="V93" i="27"/>
  <c r="U94" i="27"/>
  <c r="V94" i="27"/>
  <c r="U95" i="27"/>
  <c r="V95" i="27"/>
  <c r="U96" i="27"/>
  <c r="V96" i="27"/>
  <c r="U97" i="27"/>
  <c r="V97" i="27"/>
  <c r="U98" i="27"/>
  <c r="V98" i="27"/>
  <c r="U99" i="27"/>
  <c r="V99" i="27"/>
  <c r="U100" i="27"/>
  <c r="V100" i="27"/>
  <c r="E32" i="35"/>
  <c r="E33" i="35"/>
  <c r="E34" i="35"/>
  <c r="E35" i="35"/>
  <c r="E36" i="35"/>
  <c r="E37" i="35"/>
  <c r="E38" i="35"/>
  <c r="E32" i="25"/>
  <c r="E33" i="25"/>
  <c r="E34" i="25"/>
  <c r="E35" i="25"/>
  <c r="E36" i="25"/>
  <c r="E37" i="25"/>
  <c r="E38" i="25"/>
  <c r="E42" i="35"/>
  <c r="A6" i="17"/>
  <c r="A7" i="17"/>
  <c r="A8" i="17"/>
  <c r="A9" i="17"/>
  <c r="A10" i="17"/>
  <c r="A11" i="17"/>
  <c r="A12" i="17"/>
  <c r="A13" i="17"/>
  <c r="A14" i="17"/>
  <c r="A15" i="17"/>
  <c r="A16" i="17"/>
  <c r="A17" i="17"/>
  <c r="A18" i="17"/>
  <c r="A19" i="17"/>
  <c r="A20" i="17"/>
  <c r="A21" i="17"/>
  <c r="A22" i="17"/>
  <c r="A23" i="17"/>
  <c r="A24" i="17"/>
  <c r="A25" i="17"/>
  <c r="A26" i="17"/>
  <c r="A27" i="17"/>
  <c r="A28" i="17"/>
  <c r="A29" i="17"/>
  <c r="A30" i="17"/>
  <c r="A31" i="17"/>
  <c r="A32" i="17"/>
  <c r="A33" i="17"/>
  <c r="A34" i="17"/>
  <c r="A35" i="17"/>
  <c r="A36" i="17"/>
  <c r="A37" i="17"/>
  <c r="A38" i="17"/>
  <c r="A39" i="17"/>
  <c r="A40" i="17"/>
  <c r="A41" i="17"/>
  <c r="A42" i="17"/>
  <c r="A43" i="17"/>
  <c r="A44" i="17"/>
  <c r="A45" i="17"/>
  <c r="A46" i="17"/>
  <c r="A47" i="17"/>
  <c r="A48" i="17"/>
  <c r="A49" i="17"/>
  <c r="A50" i="17"/>
  <c r="A51" i="17"/>
  <c r="A52" i="17"/>
  <c r="A53" i="17"/>
  <c r="A54" i="17"/>
  <c r="A55" i="17"/>
  <c r="A56" i="17"/>
  <c r="A57" i="17"/>
  <c r="A58" i="17"/>
  <c r="A59" i="17"/>
  <c r="A60" i="17"/>
  <c r="A61" i="17"/>
  <c r="A62" i="17"/>
  <c r="A63" i="17"/>
  <c r="A64" i="17"/>
  <c r="A65" i="17"/>
  <c r="A66" i="17"/>
  <c r="A67" i="17"/>
  <c r="A68" i="17"/>
  <c r="A69" i="17"/>
  <c r="A70" i="17"/>
  <c r="A71" i="17"/>
  <c r="A72" i="17"/>
  <c r="A73" i="17"/>
  <c r="A74" i="17"/>
  <c r="A75" i="17"/>
  <c r="A76" i="17"/>
  <c r="A77" i="17"/>
  <c r="A78" i="17"/>
  <c r="A79" i="17"/>
  <c r="A80" i="17"/>
  <c r="A81" i="17"/>
  <c r="A82" i="17"/>
  <c r="A83" i="17"/>
  <c r="A84" i="17"/>
  <c r="A85" i="17"/>
  <c r="A86" i="17"/>
  <c r="A87" i="17"/>
  <c r="A88" i="17"/>
  <c r="A89" i="17"/>
  <c r="A90" i="17"/>
  <c r="A91" i="17"/>
  <c r="A92" i="17"/>
  <c r="A93" i="17"/>
  <c r="A94" i="17"/>
  <c r="A95" i="17"/>
  <c r="A96" i="17"/>
  <c r="A97" i="17"/>
  <c r="A98" i="17"/>
  <c r="A99" i="17"/>
  <c r="A100" i="17"/>
  <c r="A101" i="17"/>
  <c r="A102" i="17"/>
  <c r="A103" i="17"/>
  <c r="A104" i="17"/>
  <c r="A105" i="17"/>
  <c r="A106" i="17"/>
  <c r="A107" i="17"/>
  <c r="A108" i="17"/>
  <c r="A109" i="17"/>
  <c r="A110" i="17"/>
  <c r="A111" i="17"/>
  <c r="A112" i="17"/>
  <c r="A113" i="17"/>
  <c r="A114" i="17"/>
  <c r="A115" i="17"/>
  <c r="A116" i="17"/>
  <c r="A117" i="17"/>
  <c r="A118" i="17"/>
  <c r="A119" i="17"/>
  <c r="A120" i="17"/>
  <c r="A121" i="17"/>
  <c r="A122" i="17"/>
  <c r="A123" i="17"/>
  <c r="A124" i="17"/>
  <c r="A125" i="17"/>
  <c r="A126" i="17"/>
  <c r="A127" i="17"/>
  <c r="A128" i="17"/>
  <c r="A129" i="17"/>
  <c r="A130" i="17"/>
  <c r="A131" i="17"/>
  <c r="A132" i="17"/>
  <c r="A133" i="17"/>
  <c r="A134" i="17"/>
  <c r="A135" i="17"/>
  <c r="A136" i="17"/>
  <c r="A137" i="17"/>
  <c r="A138" i="17"/>
  <c r="A139" i="17"/>
  <c r="A140" i="17"/>
  <c r="A141" i="17"/>
  <c r="A142" i="17"/>
  <c r="A143" i="17"/>
  <c r="A144" i="17"/>
  <c r="A145" i="17"/>
  <c r="A146" i="17"/>
  <c r="A147" i="17"/>
  <c r="A148" i="17"/>
  <c r="A149" i="17"/>
  <c r="A150" i="17"/>
  <c r="A151" i="17"/>
  <c r="A152" i="17"/>
  <c r="A153" i="17"/>
  <c r="A154" i="17"/>
  <c r="A155" i="17"/>
  <c r="A156" i="17"/>
  <c r="A157" i="17"/>
  <c r="A158" i="17"/>
  <c r="A159" i="17"/>
  <c r="A160" i="17"/>
  <c r="A161" i="17"/>
  <c r="A162" i="17"/>
  <c r="A163" i="17"/>
  <c r="A164" i="17"/>
  <c r="A165" i="17"/>
  <c r="A166" i="17"/>
  <c r="A167" i="17"/>
  <c r="A168" i="17"/>
  <c r="A169" i="17"/>
  <c r="A170" i="17"/>
  <c r="A171" i="17"/>
  <c r="A172" i="17"/>
  <c r="A173" i="17"/>
  <c r="A174" i="17"/>
  <c r="A175" i="17"/>
  <c r="A176" i="17"/>
  <c r="A177" i="17"/>
  <c r="A178" i="17"/>
  <c r="A179" i="17"/>
  <c r="A180" i="17"/>
  <c r="A181" i="17"/>
  <c r="A182" i="17"/>
  <c r="A183" i="17"/>
  <c r="A184" i="17"/>
  <c r="A185" i="17"/>
  <c r="A186" i="17"/>
  <c r="A187" i="17"/>
  <c r="A188" i="17"/>
  <c r="A189" i="17"/>
  <c r="A190" i="17"/>
  <c r="A191" i="17"/>
  <c r="A192" i="17"/>
  <c r="A193" i="17"/>
  <c r="A194" i="17"/>
  <c r="A195" i="17"/>
  <c r="A196" i="17"/>
  <c r="A197" i="17"/>
  <c r="A198" i="17"/>
  <c r="A199" i="17"/>
  <c r="A200" i="17"/>
  <c r="A201" i="17"/>
  <c r="A202" i="17"/>
  <c r="A203" i="17"/>
  <c r="A204" i="17"/>
  <c r="A205" i="17"/>
  <c r="A206" i="17"/>
  <c r="A207" i="17"/>
  <c r="A208" i="17"/>
  <c r="A209" i="17"/>
  <c r="A210" i="17"/>
  <c r="A211" i="17"/>
  <c r="A212" i="17"/>
  <c r="A213" i="17"/>
  <c r="A214" i="17"/>
  <c r="A215" i="17"/>
  <c r="A216" i="17"/>
  <c r="A217" i="17"/>
  <c r="A218" i="17"/>
  <c r="A219" i="17"/>
  <c r="A220" i="17"/>
  <c r="A221" i="17"/>
  <c r="A222" i="17"/>
  <c r="A223" i="17"/>
  <c r="A224" i="17"/>
  <c r="A225" i="17"/>
  <c r="A226" i="17"/>
  <c r="A227" i="17"/>
  <c r="A228" i="17"/>
  <c r="A229" i="17"/>
  <c r="A230" i="17"/>
  <c r="A231" i="17"/>
  <c r="A232" i="17"/>
  <c r="A233" i="17"/>
  <c r="A234" i="17"/>
  <c r="A235" i="17"/>
  <c r="A236" i="17"/>
  <c r="A237" i="17"/>
  <c r="A238" i="17"/>
  <c r="A239" i="17"/>
  <c r="A240" i="17"/>
  <c r="A241" i="17"/>
  <c r="A242" i="17"/>
  <c r="A243" i="17"/>
  <c r="A244" i="17"/>
  <c r="A245" i="17"/>
  <c r="A246" i="17"/>
  <c r="A247" i="17"/>
  <c r="A248" i="17"/>
  <c r="A249" i="17"/>
  <c r="A250" i="17"/>
  <c r="K40" i="21"/>
  <c r="J40" i="21"/>
  <c r="I21" i="35"/>
  <c r="J21" i="35"/>
  <c r="K21" i="35"/>
  <c r="L21" i="35"/>
  <c r="M21" i="35"/>
  <c r="N21" i="35"/>
  <c r="O21" i="35"/>
  <c r="H26" i="36"/>
  <c r="G26" i="36"/>
  <c r="F26" i="36"/>
  <c r="E26" i="36"/>
  <c r="C26" i="36"/>
  <c r="D26" i="30"/>
  <c r="C26" i="30"/>
  <c r="G21" i="25"/>
  <c r="H21" i="25"/>
  <c r="I21" i="25"/>
  <c r="J21" i="25"/>
  <c r="K21" i="25"/>
  <c r="L21" i="25"/>
  <c r="M21" i="25"/>
  <c r="R3" i="26"/>
  <c r="R4" i="26"/>
  <c r="R5" i="26"/>
  <c r="AK7" i="41"/>
  <c r="AK8" i="41"/>
  <c r="AK9" i="41"/>
  <c r="AK10" i="41"/>
  <c r="AK11" i="41"/>
  <c r="AK12" i="41"/>
  <c r="AK13" i="41"/>
  <c r="AK14" i="41"/>
  <c r="L2" i="26" a="1"/>
  <c r="L2" i="26"/>
  <c r="P32" i="26"/>
  <c r="P31" i="26"/>
  <c r="P30" i="26"/>
  <c r="P29" i="26"/>
  <c r="P28" i="26"/>
  <c r="P27" i="26"/>
  <c r="P26" i="26"/>
  <c r="P25" i="26"/>
  <c r="P24" i="26"/>
  <c r="P23" i="26"/>
  <c r="P22" i="26"/>
  <c r="P21" i="26"/>
  <c r="AK6" i="41"/>
  <c r="AK5" i="41"/>
  <c r="AK4" i="41"/>
  <c r="R1" i="31"/>
  <c r="H1" i="31"/>
  <c r="I3" i="17"/>
  <c r="G144" i="11"/>
  <c r="F144" i="11"/>
  <c r="E144" i="11"/>
  <c r="D144" i="11"/>
  <c r="C144" i="11"/>
  <c r="G143" i="11"/>
  <c r="F143" i="11"/>
  <c r="E143" i="11"/>
  <c r="D143" i="11"/>
  <c r="C143" i="11"/>
  <c r="G142" i="11"/>
  <c r="F142" i="11"/>
  <c r="E142" i="11"/>
  <c r="D142" i="11"/>
  <c r="C142" i="11"/>
  <c r="G141" i="11"/>
  <c r="F141" i="11"/>
  <c r="E141" i="11"/>
  <c r="D141" i="11"/>
  <c r="C141" i="11"/>
  <c r="G140" i="11"/>
  <c r="F140" i="11"/>
  <c r="E140" i="11"/>
  <c r="D140" i="11"/>
  <c r="C140" i="11"/>
  <c r="G139" i="11"/>
  <c r="F139" i="11"/>
  <c r="E139" i="11"/>
  <c r="D139" i="11"/>
  <c r="C139" i="11"/>
  <c r="G138" i="11"/>
  <c r="F138" i="11"/>
  <c r="E138" i="11"/>
  <c r="D138" i="11"/>
  <c r="C138" i="11"/>
  <c r="G137" i="11"/>
  <c r="F137" i="11"/>
  <c r="E137" i="11"/>
  <c r="D137" i="11"/>
  <c r="C137" i="11"/>
  <c r="G136" i="11"/>
  <c r="F136" i="11"/>
  <c r="E136" i="11"/>
  <c r="D136" i="11"/>
  <c r="C136" i="11"/>
  <c r="G135" i="11"/>
  <c r="F135" i="11"/>
  <c r="E135" i="11"/>
  <c r="D135" i="11"/>
  <c r="C135" i="11"/>
  <c r="G133" i="11"/>
  <c r="F133" i="11"/>
  <c r="G134" i="11"/>
  <c r="F134" i="11"/>
  <c r="H3" i="21"/>
  <c r="K3" i="6"/>
  <c r="I3" i="6"/>
  <c r="G3" i="6"/>
  <c r="E3" i="6"/>
  <c r="I40" i="6"/>
  <c r="J3" i="21"/>
  <c r="D3" i="21"/>
  <c r="F3" i="21"/>
  <c r="J40" i="6"/>
  <c r="E7" i="6"/>
  <c r="G7" i="6" s="1"/>
  <c r="K7" i="6"/>
  <c r="F7" i="6"/>
  <c r="H7" i="6" s="1"/>
  <c r="E8" i="6"/>
  <c r="G8" i="6" s="1"/>
  <c r="K8" i="6"/>
  <c r="F8" i="6"/>
  <c r="H8" i="6" s="1"/>
  <c r="E9" i="6"/>
  <c r="G9" i="6" s="1"/>
  <c r="K9" i="6"/>
  <c r="F9" i="6"/>
  <c r="H9" i="6" s="1"/>
  <c r="E10" i="6"/>
  <c r="G10" i="6" s="1"/>
  <c r="F10" i="6"/>
  <c r="H10" i="6" s="1"/>
  <c r="E11" i="6"/>
  <c r="G11" i="6" s="1"/>
  <c r="K11" i="6"/>
  <c r="F11" i="6"/>
  <c r="H11" i="6" s="1"/>
  <c r="E12" i="6"/>
  <c r="G12" i="6" s="1"/>
  <c r="K12" i="6"/>
  <c r="F12" i="6"/>
  <c r="H12" i="6" s="1"/>
  <c r="E13" i="6"/>
  <c r="G13" i="6" s="1"/>
  <c r="K13" i="6"/>
  <c r="F13" i="6"/>
  <c r="H13" i="6" s="1"/>
  <c r="E14" i="6"/>
  <c r="G14" i="6" s="1"/>
  <c r="K14" i="6"/>
  <c r="F14" i="6"/>
  <c r="H14" i="6" s="1"/>
  <c r="E15" i="6"/>
  <c r="G15" i="6" s="1"/>
  <c r="K15" i="6"/>
  <c r="F15" i="6"/>
  <c r="H15" i="6" s="1"/>
  <c r="E16" i="6"/>
  <c r="G16" i="6" s="1"/>
  <c r="K16" i="6"/>
  <c r="F16" i="6"/>
  <c r="H16" i="6" s="1"/>
  <c r="E17" i="6"/>
  <c r="G17" i="6" s="1"/>
  <c r="K17" i="6"/>
  <c r="F17" i="6"/>
  <c r="H17" i="6" s="1"/>
  <c r="E18" i="6"/>
  <c r="G18" i="6" s="1"/>
  <c r="K18" i="6"/>
  <c r="F18" i="6"/>
  <c r="H18" i="6" s="1"/>
  <c r="E19" i="6"/>
  <c r="G19" i="6" s="1"/>
  <c r="K19" i="6"/>
  <c r="F19" i="6"/>
  <c r="H19" i="6" s="1"/>
  <c r="E20" i="6"/>
  <c r="G20" i="6" s="1"/>
  <c r="K20" i="6"/>
  <c r="F20" i="6"/>
  <c r="H20" i="6" s="1"/>
  <c r="E21" i="6"/>
  <c r="G21" i="6" s="1"/>
  <c r="K21" i="6"/>
  <c r="F21" i="6"/>
  <c r="H21" i="6" s="1"/>
  <c r="E22" i="6"/>
  <c r="G22" i="6" s="1"/>
  <c r="K22" i="6"/>
  <c r="F22" i="6"/>
  <c r="H22" i="6" s="1"/>
  <c r="E23" i="6"/>
  <c r="G23" i="6" s="1"/>
  <c r="K23" i="6"/>
  <c r="F23" i="6"/>
  <c r="H23" i="6" s="1"/>
  <c r="E24" i="6"/>
  <c r="G24" i="6" s="1"/>
  <c r="K24" i="6"/>
  <c r="F24" i="6"/>
  <c r="H24" i="6" s="1"/>
  <c r="E25" i="6"/>
  <c r="G25" i="6" s="1"/>
  <c r="K25" i="6"/>
  <c r="F25" i="6"/>
  <c r="H25" i="6" s="1"/>
  <c r="E26" i="6"/>
  <c r="G26" i="6" s="1"/>
  <c r="K26" i="6"/>
  <c r="F26" i="6"/>
  <c r="H26" i="6" s="1"/>
  <c r="E27" i="6"/>
  <c r="G27" i="6" s="1"/>
  <c r="K27" i="6"/>
  <c r="F27" i="6"/>
  <c r="H27" i="6" s="1"/>
  <c r="E28" i="6"/>
  <c r="G28" i="6" s="1"/>
  <c r="K28" i="6"/>
  <c r="F28" i="6"/>
  <c r="H28" i="6" s="1"/>
  <c r="E29" i="6"/>
  <c r="G29" i="6" s="1"/>
  <c r="K29" i="6"/>
  <c r="F29" i="6"/>
  <c r="H29" i="6" s="1"/>
  <c r="E30" i="6"/>
  <c r="G30" i="6" s="1"/>
  <c r="K30" i="6"/>
  <c r="F30" i="6"/>
  <c r="H30" i="6" s="1"/>
  <c r="E31" i="6"/>
  <c r="G31" i="6" s="1"/>
  <c r="K31" i="6"/>
  <c r="F31" i="6"/>
  <c r="H31" i="6" s="1"/>
  <c r="E32" i="6"/>
  <c r="G32" i="6" s="1"/>
  <c r="K32" i="6"/>
  <c r="F32" i="6"/>
  <c r="H32" i="6" s="1"/>
  <c r="E33" i="6"/>
  <c r="G33" i="6" s="1"/>
  <c r="K33" i="6"/>
  <c r="F33" i="6"/>
  <c r="H33" i="6" s="1"/>
  <c r="E34" i="6"/>
  <c r="G34" i="6" s="1"/>
  <c r="K34" i="6"/>
  <c r="F34" i="6"/>
  <c r="H34" i="6" s="1"/>
  <c r="Q6" i="37" a="1"/>
  <c r="Q6" i="37" s="1"/>
  <c r="Q7" i="37" a="1"/>
  <c r="Q7" i="37"/>
  <c r="Q8" i="37" a="1"/>
  <c r="Q8" i="37" s="1"/>
  <c r="Q9" i="37" a="1"/>
  <c r="Q9" i="37" s="1"/>
  <c r="Q10" i="37" a="1"/>
  <c r="Q10" i="37" s="1"/>
  <c r="Q11" i="37" a="1"/>
  <c r="Q11" i="37"/>
  <c r="Q12" i="37" a="1"/>
  <c r="Q12" i="37" s="1"/>
  <c r="Q13" i="37" a="1"/>
  <c r="Q13" i="37"/>
  <c r="Q14" i="37" a="1"/>
  <c r="Q14" i="37" s="1"/>
  <c r="AE37" i="27"/>
  <c r="AE36" i="27"/>
  <c r="AE38" i="27"/>
  <c r="C93" i="11"/>
  <c r="D93" i="11"/>
  <c r="E93" i="11"/>
  <c r="F93" i="11"/>
  <c r="G93" i="11"/>
  <c r="C94" i="11"/>
  <c r="D94" i="11"/>
  <c r="E94" i="11"/>
  <c r="F94" i="11"/>
  <c r="G94" i="11"/>
  <c r="C95" i="11"/>
  <c r="D95" i="11"/>
  <c r="E95" i="11"/>
  <c r="F95" i="11"/>
  <c r="G95" i="11"/>
  <c r="C96" i="11"/>
  <c r="D96" i="11"/>
  <c r="E96" i="11"/>
  <c r="F96" i="11"/>
  <c r="G96" i="11"/>
  <c r="C97" i="11"/>
  <c r="D97" i="11"/>
  <c r="E97" i="11"/>
  <c r="F97" i="11"/>
  <c r="G97" i="11"/>
  <c r="C98" i="11"/>
  <c r="D98" i="11"/>
  <c r="E98" i="11"/>
  <c r="F98" i="11"/>
  <c r="G98" i="11"/>
  <c r="C99" i="11"/>
  <c r="D99" i="11"/>
  <c r="E99" i="11"/>
  <c r="F99" i="11"/>
  <c r="G99" i="11"/>
  <c r="C100" i="11"/>
  <c r="D100" i="11"/>
  <c r="E100" i="11"/>
  <c r="F100" i="11"/>
  <c r="G100" i="11"/>
  <c r="C101" i="11"/>
  <c r="D101" i="11"/>
  <c r="E101" i="11"/>
  <c r="F101" i="11"/>
  <c r="G101" i="11"/>
  <c r="C102" i="11"/>
  <c r="D102" i="11"/>
  <c r="E102" i="11"/>
  <c r="F102" i="11"/>
  <c r="G102" i="11"/>
  <c r="D51" i="11"/>
  <c r="E51" i="11"/>
  <c r="F51" i="11"/>
  <c r="G51" i="11"/>
  <c r="H51" i="11"/>
  <c r="I51" i="11"/>
  <c r="J51" i="11"/>
  <c r="K51" i="11"/>
  <c r="L51" i="11"/>
  <c r="E52" i="11"/>
  <c r="F52" i="11"/>
  <c r="G52" i="11"/>
  <c r="H52" i="11"/>
  <c r="I52" i="11"/>
  <c r="J52" i="11"/>
  <c r="K52" i="11"/>
  <c r="L52" i="11"/>
  <c r="E53" i="11"/>
  <c r="F53" i="11"/>
  <c r="G53" i="11"/>
  <c r="H53" i="11"/>
  <c r="I53" i="11"/>
  <c r="J53" i="11"/>
  <c r="K53" i="11"/>
  <c r="L53" i="11"/>
  <c r="D54" i="11"/>
  <c r="E54" i="11"/>
  <c r="F54" i="11"/>
  <c r="G54" i="11"/>
  <c r="H54" i="11"/>
  <c r="I54" i="11"/>
  <c r="J54" i="11"/>
  <c r="K54" i="11"/>
  <c r="L54" i="11"/>
  <c r="D55" i="11"/>
  <c r="E55" i="11"/>
  <c r="F55" i="11"/>
  <c r="G55" i="11"/>
  <c r="H55" i="11"/>
  <c r="I55" i="11"/>
  <c r="J55" i="11"/>
  <c r="K55" i="11"/>
  <c r="L55" i="11"/>
  <c r="D56" i="11"/>
  <c r="E56" i="11"/>
  <c r="F56" i="11"/>
  <c r="G56" i="11"/>
  <c r="H56" i="11"/>
  <c r="I56" i="11"/>
  <c r="J56" i="11"/>
  <c r="K56" i="11"/>
  <c r="L56" i="11"/>
  <c r="D57" i="11"/>
  <c r="E57" i="11"/>
  <c r="F57" i="11"/>
  <c r="G57" i="11"/>
  <c r="H57" i="11"/>
  <c r="I57" i="11"/>
  <c r="J57" i="11"/>
  <c r="K57" i="11"/>
  <c r="L57" i="11"/>
  <c r="D58" i="11"/>
  <c r="E58" i="11"/>
  <c r="F58" i="11"/>
  <c r="G58" i="11"/>
  <c r="H58" i="11"/>
  <c r="I58" i="11"/>
  <c r="J58" i="11"/>
  <c r="K58" i="11"/>
  <c r="L58" i="11"/>
  <c r="D59" i="11"/>
  <c r="E59" i="11"/>
  <c r="F59" i="11"/>
  <c r="G59" i="11"/>
  <c r="H59" i="11"/>
  <c r="I59" i="11"/>
  <c r="J59" i="11"/>
  <c r="K59" i="11"/>
  <c r="L59" i="11"/>
  <c r="D60" i="11"/>
  <c r="E60" i="11"/>
  <c r="F60" i="11"/>
  <c r="G60" i="11"/>
  <c r="H60" i="11"/>
  <c r="I60" i="11"/>
  <c r="J60" i="11"/>
  <c r="K60" i="11"/>
  <c r="L60" i="11"/>
  <c r="C52" i="36"/>
  <c r="C53" i="36"/>
  <c r="C54" i="36"/>
  <c r="C55" i="36"/>
  <c r="C56" i="36"/>
  <c r="C57" i="36"/>
  <c r="C58" i="36"/>
  <c r="C59" i="36"/>
  <c r="C37" i="36"/>
  <c r="C38" i="36"/>
  <c r="C39" i="36"/>
  <c r="C40" i="36"/>
  <c r="C41" i="36"/>
  <c r="C42" i="36"/>
  <c r="C43" i="36"/>
  <c r="C44" i="36"/>
  <c r="C36" i="30"/>
  <c r="C37" i="30"/>
  <c r="C38" i="30"/>
  <c r="C39" i="30"/>
  <c r="C40" i="30"/>
  <c r="C41" i="30"/>
  <c r="C42" i="30"/>
  <c r="C43" i="30"/>
  <c r="E7" i="21"/>
  <c r="G7" i="21"/>
  <c r="E8" i="21"/>
  <c r="G8" i="21"/>
  <c r="E9" i="21"/>
  <c r="G9" i="21"/>
  <c r="E10" i="21"/>
  <c r="G10" i="21"/>
  <c r="E11" i="21"/>
  <c r="G11" i="21"/>
  <c r="E12" i="21"/>
  <c r="G12" i="21"/>
  <c r="E13" i="21"/>
  <c r="G13" i="21"/>
  <c r="E14" i="21"/>
  <c r="G14" i="21"/>
  <c r="E15" i="21"/>
  <c r="G15" i="21"/>
  <c r="E16" i="21"/>
  <c r="G16" i="21"/>
  <c r="E17" i="21"/>
  <c r="G17" i="21"/>
  <c r="E18" i="21"/>
  <c r="G18" i="21"/>
  <c r="E19" i="21"/>
  <c r="G19" i="21"/>
  <c r="E20" i="21"/>
  <c r="G20" i="21"/>
  <c r="E21" i="21"/>
  <c r="G21" i="21"/>
  <c r="E22" i="21"/>
  <c r="G22" i="21"/>
  <c r="E23" i="21"/>
  <c r="G23" i="21"/>
  <c r="E24" i="21"/>
  <c r="G24" i="21"/>
  <c r="E25" i="21"/>
  <c r="G25" i="21"/>
  <c r="E26" i="21"/>
  <c r="G26" i="21"/>
  <c r="E27" i="21"/>
  <c r="G27" i="21"/>
  <c r="E28" i="21"/>
  <c r="G28" i="21"/>
  <c r="E29" i="21"/>
  <c r="G29" i="21"/>
  <c r="E30" i="21"/>
  <c r="G30" i="21"/>
  <c r="E31" i="21"/>
  <c r="G31" i="21"/>
  <c r="E32" i="21"/>
  <c r="G32" i="21"/>
  <c r="E33" i="21"/>
  <c r="G33" i="21"/>
  <c r="E34" i="21"/>
  <c r="G34" i="21"/>
  <c r="AI3" i="27"/>
  <c r="AI4" i="27"/>
  <c r="AI5" i="27"/>
  <c r="AI6" i="27"/>
  <c r="AI7" i="27"/>
  <c r="AI8" i="27"/>
  <c r="AI9" i="27"/>
  <c r="AI10" i="27"/>
  <c r="AI2" i="27"/>
  <c r="AE8" i="31" a="1"/>
  <c r="AE8" i="31"/>
  <c r="AE9" i="31" a="1"/>
  <c r="AE9" i="31"/>
  <c r="AE10" i="31" a="1"/>
  <c r="AE10" i="31"/>
  <c r="AE11" i="31" a="1"/>
  <c r="AE11" i="31"/>
  <c r="AE12" i="31" a="1"/>
  <c r="AE12" i="31"/>
  <c r="AE13" i="31" a="1"/>
  <c r="AE13" i="31"/>
  <c r="AE14" i="31" a="1"/>
  <c r="AE14" i="31"/>
  <c r="AE15" i="31" a="1"/>
  <c r="AE15" i="31"/>
  <c r="AE16" i="31" a="1"/>
  <c r="AE16" i="31"/>
  <c r="AE17" i="31" a="1"/>
  <c r="AE17" i="31"/>
  <c r="AE18" i="31" a="1"/>
  <c r="AE18" i="31"/>
  <c r="AE19" i="31" a="1"/>
  <c r="AE19" i="31"/>
  <c r="AE20" i="31" a="1"/>
  <c r="AE20" i="31"/>
  <c r="AE21" i="31" a="1"/>
  <c r="AE21" i="31"/>
  <c r="AE22" i="31" a="1"/>
  <c r="AE22" i="31"/>
  <c r="AE23" i="31" a="1"/>
  <c r="AE23" i="31"/>
  <c r="AE24" i="31" a="1"/>
  <c r="AE24" i="31"/>
  <c r="AE25" i="31" a="1"/>
  <c r="AE25" i="31"/>
  <c r="AE26" i="31" a="1"/>
  <c r="AE26" i="31"/>
  <c r="AE27" i="31" a="1"/>
  <c r="AE27" i="31"/>
  <c r="AE28" i="31" a="1"/>
  <c r="AE28" i="31"/>
  <c r="AE29" i="31" a="1"/>
  <c r="AE29" i="31"/>
  <c r="AE30" i="31" a="1"/>
  <c r="AE30" i="31"/>
  <c r="AE31" i="31" a="1"/>
  <c r="AE31" i="31"/>
  <c r="AE32" i="31" a="1"/>
  <c r="AE32" i="31"/>
  <c r="AE33" i="31" a="1"/>
  <c r="AE33" i="31"/>
  <c r="AE34" i="31" a="1"/>
  <c r="AE34" i="31"/>
  <c r="AE35" i="31" a="1"/>
  <c r="AE35" i="31"/>
  <c r="AE36" i="31" a="1"/>
  <c r="AE36" i="31"/>
  <c r="AE37" i="31" a="1"/>
  <c r="AE37" i="31"/>
  <c r="AE38" i="31" a="1"/>
  <c r="AE38" i="31"/>
  <c r="AE39" i="31" a="1"/>
  <c r="AE39" i="31"/>
  <c r="AE40" i="31" a="1"/>
  <c r="AE40" i="31"/>
  <c r="AE41" i="31" a="1"/>
  <c r="AE41" i="31"/>
  <c r="AE42" i="31" a="1"/>
  <c r="AE42" i="31"/>
  <c r="AE43" i="31" a="1"/>
  <c r="AE43" i="31"/>
  <c r="AE44" i="31" a="1"/>
  <c r="AE44" i="31"/>
  <c r="AE45" i="31" a="1"/>
  <c r="AE45" i="31"/>
  <c r="AE46" i="31" a="1"/>
  <c r="AE46" i="31"/>
  <c r="AE47" i="31" a="1"/>
  <c r="AE47" i="31"/>
  <c r="AE48" i="31" a="1"/>
  <c r="AE48" i="31"/>
  <c r="AE49" i="31" a="1"/>
  <c r="AE49" i="31"/>
  <c r="AE50" i="31" a="1"/>
  <c r="AE50" i="31"/>
  <c r="AE51" i="31" a="1"/>
  <c r="AE51" i="31"/>
  <c r="AE52" i="31" a="1"/>
  <c r="AE52" i="31"/>
  <c r="AE53" i="31" a="1"/>
  <c r="AE53" i="31"/>
  <c r="AE54" i="31" a="1"/>
  <c r="AE54" i="31"/>
  <c r="AE55" i="31" a="1"/>
  <c r="AE55" i="31"/>
  <c r="AE56" i="31" a="1"/>
  <c r="AE56" i="31"/>
  <c r="AE57" i="31" a="1"/>
  <c r="AE57" i="31"/>
  <c r="AE58" i="31" a="1"/>
  <c r="AE58" i="31"/>
  <c r="AE59" i="31" a="1"/>
  <c r="AE59" i="31"/>
  <c r="AE60" i="31" a="1"/>
  <c r="AE60" i="31"/>
  <c r="AE61" i="31" a="1"/>
  <c r="AE61" i="31"/>
  <c r="AE62" i="31" a="1"/>
  <c r="AE62" i="31"/>
  <c r="AE63" i="31" a="1"/>
  <c r="AE63" i="31"/>
  <c r="AE64" i="31" a="1"/>
  <c r="AE64" i="31"/>
  <c r="AE65" i="31" a="1"/>
  <c r="AE65" i="31"/>
  <c r="AE66" i="31" a="1"/>
  <c r="AE66" i="31"/>
  <c r="AE67" i="31" a="1"/>
  <c r="AE67" i="31"/>
  <c r="AE68" i="31" a="1"/>
  <c r="AE68" i="31"/>
  <c r="AE69" i="31" a="1"/>
  <c r="AE69" i="31"/>
  <c r="AE70" i="31" a="1"/>
  <c r="AE70" i="31"/>
  <c r="AE71" i="31" a="1"/>
  <c r="AE71" i="31"/>
  <c r="AE72" i="31" a="1"/>
  <c r="AE72" i="31"/>
  <c r="AE73" i="31" a="1"/>
  <c r="AE73" i="31"/>
  <c r="AE74" i="31" a="1"/>
  <c r="AE74" i="31"/>
  <c r="AE75" i="31" a="1"/>
  <c r="AE75" i="31"/>
  <c r="AE76" i="31" a="1"/>
  <c r="AE76" i="31"/>
  <c r="AE77" i="31" a="1"/>
  <c r="AE77" i="31"/>
  <c r="AE78" i="31" a="1"/>
  <c r="AE78" i="31"/>
  <c r="AE79" i="31" a="1"/>
  <c r="AE79" i="31"/>
  <c r="AE80" i="31" a="1"/>
  <c r="AE80" i="31"/>
  <c r="AE81" i="31" a="1"/>
  <c r="AE81" i="31"/>
  <c r="AE82" i="31" a="1"/>
  <c r="AE82" i="31"/>
  <c r="AE83" i="31" a="1"/>
  <c r="AE83" i="31"/>
  <c r="AE84" i="31" a="1"/>
  <c r="AE84" i="31"/>
  <c r="AE85" i="31" a="1"/>
  <c r="AE85" i="31"/>
  <c r="AE86" i="31" a="1"/>
  <c r="AE86" i="31"/>
  <c r="AE87" i="31" a="1"/>
  <c r="AE87" i="31"/>
  <c r="AE88" i="31" a="1"/>
  <c r="AE88" i="31"/>
  <c r="AE89" i="31" a="1"/>
  <c r="AE89" i="31"/>
  <c r="AE90" i="31" a="1"/>
  <c r="AE90" i="31"/>
  <c r="AE91" i="31" a="1"/>
  <c r="AE91" i="31"/>
  <c r="AE92" i="31" a="1"/>
  <c r="AE92" i="31"/>
  <c r="AE93" i="31" a="1"/>
  <c r="AE93" i="31"/>
  <c r="AE94" i="31" a="1"/>
  <c r="AE94" i="31"/>
  <c r="AE95" i="31" a="1"/>
  <c r="AE95" i="31"/>
  <c r="AE96" i="31" a="1"/>
  <c r="AE96" i="31"/>
  <c r="AE97" i="31" a="1"/>
  <c r="AE97" i="31"/>
  <c r="AE98" i="31" a="1"/>
  <c r="AE98" i="31"/>
  <c r="AE99" i="31" a="1"/>
  <c r="AE99" i="31"/>
  <c r="AE100" i="31" a="1"/>
  <c r="AE100" i="31"/>
  <c r="AE101" i="31" a="1"/>
  <c r="AE101" i="31"/>
  <c r="AE102" i="31" a="1"/>
  <c r="AE102" i="31"/>
  <c r="AE103" i="31" a="1"/>
  <c r="AE103" i="31"/>
  <c r="AE104" i="31" a="1"/>
  <c r="AE104" i="31"/>
  <c r="AE105" i="31" a="1"/>
  <c r="AE105" i="31"/>
  <c r="AE106" i="31" a="1"/>
  <c r="AE106" i="31"/>
  <c r="AE107" i="31" a="1"/>
  <c r="AE107" i="31"/>
  <c r="AE108" i="31" a="1"/>
  <c r="AE108" i="31"/>
  <c r="AE109" i="31" a="1"/>
  <c r="AE109" i="31"/>
  <c r="AE110" i="31" a="1"/>
  <c r="AE110" i="31"/>
  <c r="AE111" i="31" a="1"/>
  <c r="AE111" i="31"/>
  <c r="AE112" i="31" a="1"/>
  <c r="AE112" i="31"/>
  <c r="AE113" i="31" a="1"/>
  <c r="AE113" i="31"/>
  <c r="AE114" i="31" a="1"/>
  <c r="AE114" i="31"/>
  <c r="AE115" i="31" a="1"/>
  <c r="AE115" i="31"/>
  <c r="AE116" i="31" a="1"/>
  <c r="AE116" i="31"/>
  <c r="AE117" i="31" a="1"/>
  <c r="AE117" i="31"/>
  <c r="AE118" i="31" a="1"/>
  <c r="AE118" i="31"/>
  <c r="AE119" i="31" a="1"/>
  <c r="AE119" i="31"/>
  <c r="AE120" i="31" a="1"/>
  <c r="AE120" i="31"/>
  <c r="AE121" i="31" a="1"/>
  <c r="AE121" i="31"/>
  <c r="AE122" i="31" a="1"/>
  <c r="AE122" i="31"/>
  <c r="AE123" i="31" a="1"/>
  <c r="AE123" i="31"/>
  <c r="AE124" i="31" a="1"/>
  <c r="AE124" i="31"/>
  <c r="AE125" i="31" a="1"/>
  <c r="AE125" i="31"/>
  <c r="AE126" i="31" a="1"/>
  <c r="AE126" i="31"/>
  <c r="AE127" i="31" a="1"/>
  <c r="AE127" i="31"/>
  <c r="AE128" i="31" a="1"/>
  <c r="AE128" i="31"/>
  <c r="AE129" i="31" a="1"/>
  <c r="AE129" i="31"/>
  <c r="AE130" i="31" a="1"/>
  <c r="AE130" i="31"/>
  <c r="AE131" i="31" a="1"/>
  <c r="AE131" i="31"/>
  <c r="AE132" i="31" a="1"/>
  <c r="AE132" i="31"/>
  <c r="AE133" i="31" a="1"/>
  <c r="AE133" i="31"/>
  <c r="AE134" i="31" a="1"/>
  <c r="AE134" i="31"/>
  <c r="AE135" i="31" a="1"/>
  <c r="AE135" i="31"/>
  <c r="AE136" i="31" a="1"/>
  <c r="AE136" i="31"/>
  <c r="AE137" i="31" a="1"/>
  <c r="AE137" i="31"/>
  <c r="AE138" i="31" a="1"/>
  <c r="AE138" i="31"/>
  <c r="AE139" i="31" a="1"/>
  <c r="AE139" i="31"/>
  <c r="AE140" i="31" a="1"/>
  <c r="AE140" i="31"/>
  <c r="AE141" i="31" a="1"/>
  <c r="AE141" i="31"/>
  <c r="AE142" i="31" a="1"/>
  <c r="AE142" i="31"/>
  <c r="AE143" i="31" a="1"/>
  <c r="AE143" i="31"/>
  <c r="AE144" i="31" a="1"/>
  <c r="AE144" i="31"/>
  <c r="AE145" i="31" a="1"/>
  <c r="AE145" i="31"/>
  <c r="AE146" i="31" a="1"/>
  <c r="AE146" i="31"/>
  <c r="AE147" i="31" a="1"/>
  <c r="AE147" i="31"/>
  <c r="AE148" i="31" a="1"/>
  <c r="AE148" i="31"/>
  <c r="AE149" i="31" a="1"/>
  <c r="AE149" i="31"/>
  <c r="AE150" i="31" a="1"/>
  <c r="AE150" i="31"/>
  <c r="AE151" i="31" a="1"/>
  <c r="AE151" i="31"/>
  <c r="AE152" i="31" a="1"/>
  <c r="AE152" i="31"/>
  <c r="AE153" i="31" a="1"/>
  <c r="AE153" i="31"/>
  <c r="AE154" i="31" a="1"/>
  <c r="AE154" i="31"/>
  <c r="AE155" i="31" a="1"/>
  <c r="AE155" i="31"/>
  <c r="AE156" i="31" a="1"/>
  <c r="AE156" i="31"/>
  <c r="AE157" i="31" a="1"/>
  <c r="AE157" i="31"/>
  <c r="AE158" i="31" a="1"/>
  <c r="AE158" i="31"/>
  <c r="AE159" i="31" a="1"/>
  <c r="AE159" i="31"/>
  <c r="AE160" i="31" a="1"/>
  <c r="AE160" i="31"/>
  <c r="AE161" i="31" a="1"/>
  <c r="AE161" i="31"/>
  <c r="AE162" i="31" a="1"/>
  <c r="AE162" i="31"/>
  <c r="AE163" i="31" a="1"/>
  <c r="AE163" i="31"/>
  <c r="AE164" i="31" a="1"/>
  <c r="AE164" i="31"/>
  <c r="AE165" i="31" a="1"/>
  <c r="AE165" i="31"/>
  <c r="AE166" i="31" a="1"/>
  <c r="AE166" i="31"/>
  <c r="AE167" i="31" a="1"/>
  <c r="AE167" i="31"/>
  <c r="AE168" i="31" a="1"/>
  <c r="AE168" i="31"/>
  <c r="AE169" i="31" a="1"/>
  <c r="AE169" i="31"/>
  <c r="AE170" i="31" a="1"/>
  <c r="AE170" i="31"/>
  <c r="AE171" i="31" a="1"/>
  <c r="AE171" i="31"/>
  <c r="AE172" i="31" a="1"/>
  <c r="AE172" i="31"/>
  <c r="AE173" i="31" a="1"/>
  <c r="AE173" i="31"/>
  <c r="AE174" i="31" a="1"/>
  <c r="AE174" i="31"/>
  <c r="AE175" i="31" a="1"/>
  <c r="AE175" i="31"/>
  <c r="AE176" i="31" a="1"/>
  <c r="AE176" i="31"/>
  <c r="AE177" i="31" a="1"/>
  <c r="AE177" i="31"/>
  <c r="AE178" i="31" a="1"/>
  <c r="AE178" i="31"/>
  <c r="AE179" i="31" a="1"/>
  <c r="AE179" i="31"/>
  <c r="AE180" i="31" a="1"/>
  <c r="AE180" i="31"/>
  <c r="AE181" i="31" a="1"/>
  <c r="AE181" i="31"/>
  <c r="AE182" i="31" a="1"/>
  <c r="AE182" i="31"/>
  <c r="AE183" i="31" a="1"/>
  <c r="AE183" i="31"/>
  <c r="AE184" i="31" a="1"/>
  <c r="AE184" i="31"/>
  <c r="AE185" i="31" a="1"/>
  <c r="AE185" i="31"/>
  <c r="AE186" i="31" a="1"/>
  <c r="AE186" i="31"/>
  <c r="AE187" i="31" a="1"/>
  <c r="AE187" i="31"/>
  <c r="AE188" i="31" a="1"/>
  <c r="AE188" i="31"/>
  <c r="AE189" i="31" a="1"/>
  <c r="AE189" i="31"/>
  <c r="AE190" i="31" a="1"/>
  <c r="AE190" i="31"/>
  <c r="AE191" i="31" a="1"/>
  <c r="AE191" i="31"/>
  <c r="AE192" i="31" a="1"/>
  <c r="AE192" i="31"/>
  <c r="AE193" i="31" a="1"/>
  <c r="AE193" i="31"/>
  <c r="AE194" i="31" a="1"/>
  <c r="AE194" i="31"/>
  <c r="AE195" i="31" a="1"/>
  <c r="AE195" i="31"/>
  <c r="AE196" i="31" a="1"/>
  <c r="AE196" i="31"/>
  <c r="AE197" i="31" a="1"/>
  <c r="AE197" i="31"/>
  <c r="AE198" i="31" a="1"/>
  <c r="AE198" i="31"/>
  <c r="AE199" i="31" a="1"/>
  <c r="AE199" i="31"/>
  <c r="AE200" i="31" a="1"/>
  <c r="AE200" i="31"/>
  <c r="AE201" i="31" a="1"/>
  <c r="AE201" i="31"/>
  <c r="AE202" i="31" a="1"/>
  <c r="AE202" i="31"/>
  <c r="AE203" i="31" a="1"/>
  <c r="AE203" i="31"/>
  <c r="AE204" i="31" a="1"/>
  <c r="AE204" i="31"/>
  <c r="AE205" i="31" a="1"/>
  <c r="AE205" i="31"/>
  <c r="AE206" i="31" a="1"/>
  <c r="AE206" i="31"/>
  <c r="AE207" i="31" a="1"/>
  <c r="AE207" i="31"/>
  <c r="AE208" i="31" a="1"/>
  <c r="AE208" i="31"/>
  <c r="AE209" i="31" a="1"/>
  <c r="AE209" i="31"/>
  <c r="AE210" i="31" a="1"/>
  <c r="AE210" i="31"/>
  <c r="AE211" i="31" a="1"/>
  <c r="AE211" i="31"/>
  <c r="AE212" i="31" a="1"/>
  <c r="AE212" i="31"/>
  <c r="AE213" i="31" a="1"/>
  <c r="AE213" i="31"/>
  <c r="AE214" i="31" a="1"/>
  <c r="AE214" i="31"/>
  <c r="AE215" i="31" a="1"/>
  <c r="AE215" i="31"/>
  <c r="AE216" i="31" a="1"/>
  <c r="AE216" i="31"/>
  <c r="AE217" i="31" a="1"/>
  <c r="AE217" i="31"/>
  <c r="AE218" i="31" a="1"/>
  <c r="AE218" i="31"/>
  <c r="AE219" i="31" a="1"/>
  <c r="AE219" i="31"/>
  <c r="AE220" i="31" a="1"/>
  <c r="AE220" i="31"/>
  <c r="AE221" i="31" a="1"/>
  <c r="AE221" i="31"/>
  <c r="AE222" i="31" a="1"/>
  <c r="AE222" i="31"/>
  <c r="AE223" i="31" a="1"/>
  <c r="AE223" i="31"/>
  <c r="AE224" i="31" a="1"/>
  <c r="AE224" i="31"/>
  <c r="AE225" i="31" a="1"/>
  <c r="AE225" i="31"/>
  <c r="AE226" i="31" a="1"/>
  <c r="AE226" i="31"/>
  <c r="AE227" i="31" a="1"/>
  <c r="AE227" i="31"/>
  <c r="AE228" i="31" a="1"/>
  <c r="AE228" i="31"/>
  <c r="AE229" i="31" a="1"/>
  <c r="AE229" i="31"/>
  <c r="AE230" i="31" a="1"/>
  <c r="AE230" i="31"/>
  <c r="AE231" i="31" a="1"/>
  <c r="AE231" i="31"/>
  <c r="AE232" i="31" a="1"/>
  <c r="AE232" i="31"/>
  <c r="AE233" i="31" a="1"/>
  <c r="AE233" i="31"/>
  <c r="AE234" i="31" a="1"/>
  <c r="AE234" i="31"/>
  <c r="AE235" i="31" a="1"/>
  <c r="AE235" i="31"/>
  <c r="AE236" i="31" a="1"/>
  <c r="AE236" i="31"/>
  <c r="AE237" i="31" a="1"/>
  <c r="AE237" i="31"/>
  <c r="AE238" i="31" a="1"/>
  <c r="AE238" i="31"/>
  <c r="AE239" i="31" a="1"/>
  <c r="AE239" i="31"/>
  <c r="AE240" i="31" a="1"/>
  <c r="AE240" i="31"/>
  <c r="AE241" i="31" a="1"/>
  <c r="AE241" i="31"/>
  <c r="AE242" i="31" a="1"/>
  <c r="AE242" i="31"/>
  <c r="AE243" i="31" a="1"/>
  <c r="AE243" i="31"/>
  <c r="AE244" i="31" a="1"/>
  <c r="AE244" i="31"/>
  <c r="AE245" i="31" a="1"/>
  <c r="AE245" i="31"/>
  <c r="AE246" i="31" a="1"/>
  <c r="AE246" i="31"/>
  <c r="AE247" i="31" a="1"/>
  <c r="AE247" i="31"/>
  <c r="AE248" i="31" a="1"/>
  <c r="AE248" i="31"/>
  <c r="AE249" i="31" a="1"/>
  <c r="AE249" i="31"/>
  <c r="AE250" i="31" a="1"/>
  <c r="AE250" i="31"/>
  <c r="AE251" i="31" a="1"/>
  <c r="AE251" i="31"/>
  <c r="AE252" i="31" a="1"/>
  <c r="AE252" i="31"/>
  <c r="AE253" i="31" a="1"/>
  <c r="AE253" i="31"/>
  <c r="AE254" i="31" a="1"/>
  <c r="AE254" i="31"/>
  <c r="AE255" i="31" a="1"/>
  <c r="AE255" i="31"/>
  <c r="AE256" i="31" a="1"/>
  <c r="AE256" i="31"/>
  <c r="AE257" i="31" a="1"/>
  <c r="AE257" i="31"/>
  <c r="AE258" i="31" a="1"/>
  <c r="AE258" i="31"/>
  <c r="AE259" i="31" a="1"/>
  <c r="AE259" i="31"/>
  <c r="AE260" i="31" a="1"/>
  <c r="AE260" i="31"/>
  <c r="AE261" i="31" a="1"/>
  <c r="AE261" i="31"/>
  <c r="AE262" i="31" a="1"/>
  <c r="AE262" i="31"/>
  <c r="AE263" i="31" a="1"/>
  <c r="AE263" i="31"/>
  <c r="AE264" i="31" a="1"/>
  <c r="AE264" i="31"/>
  <c r="AE265" i="31" a="1"/>
  <c r="AE265" i="31"/>
  <c r="AE266" i="31" a="1"/>
  <c r="AE266" i="31"/>
  <c r="AE267" i="31" a="1"/>
  <c r="AE267" i="31"/>
  <c r="AE268" i="31" a="1"/>
  <c r="AE268" i="31"/>
  <c r="AE269" i="31" a="1"/>
  <c r="AE269" i="31"/>
  <c r="AE270" i="31" a="1"/>
  <c r="AE270" i="31"/>
  <c r="AE271" i="31" a="1"/>
  <c r="AE271" i="31"/>
  <c r="AE272" i="31" a="1"/>
  <c r="AE272" i="31"/>
  <c r="AE273" i="31" a="1"/>
  <c r="AE273" i="31"/>
  <c r="AE274" i="31" a="1"/>
  <c r="AE274" i="31"/>
  <c r="AE275" i="31" a="1"/>
  <c r="AE275" i="31"/>
  <c r="AE276" i="31" a="1"/>
  <c r="AE276" i="31"/>
  <c r="AE277" i="31" a="1"/>
  <c r="AE277" i="31"/>
  <c r="AE278" i="31" a="1"/>
  <c r="AE278" i="31"/>
  <c r="AE279" i="31" a="1"/>
  <c r="AE279" i="31"/>
  <c r="AE280" i="31" a="1"/>
  <c r="AE280" i="31"/>
  <c r="AE281" i="31" a="1"/>
  <c r="AE281" i="31"/>
  <c r="AE282" i="31" a="1"/>
  <c r="AE282" i="31"/>
  <c r="AE283" i="31" a="1"/>
  <c r="AE283" i="31"/>
  <c r="AE284" i="31" a="1"/>
  <c r="AE284" i="31"/>
  <c r="AE285" i="31" a="1"/>
  <c r="AE285" i="31"/>
  <c r="AE286" i="31" a="1"/>
  <c r="AE286" i="31"/>
  <c r="AE287" i="31" a="1"/>
  <c r="AE287" i="31"/>
  <c r="AE288" i="31" a="1"/>
  <c r="AE288" i="31"/>
  <c r="AE289" i="31" a="1"/>
  <c r="AE289" i="31"/>
  <c r="AE290" i="31" a="1"/>
  <c r="AE290" i="31"/>
  <c r="AE291" i="31" a="1"/>
  <c r="AE291" i="31"/>
  <c r="AE292" i="31" a="1"/>
  <c r="AE292" i="31"/>
  <c r="AE293" i="31" a="1"/>
  <c r="AE293" i="31"/>
  <c r="AE294" i="31" a="1"/>
  <c r="AE294" i="31"/>
  <c r="AE295" i="31" a="1"/>
  <c r="AE295" i="31"/>
  <c r="AE296" i="31" a="1"/>
  <c r="AE296" i="31"/>
  <c r="AE297" i="31" a="1"/>
  <c r="AE297" i="31"/>
  <c r="AE298" i="31" a="1"/>
  <c r="AE298" i="31"/>
  <c r="AE299" i="31" a="1"/>
  <c r="AE299" i="31"/>
  <c r="AE300" i="31" a="1"/>
  <c r="AE300" i="31"/>
  <c r="AE301" i="31" a="1"/>
  <c r="AE301" i="31"/>
  <c r="AE302" i="31" a="1"/>
  <c r="AE302" i="31"/>
  <c r="AE303" i="31" a="1"/>
  <c r="AE303" i="31"/>
  <c r="AE304" i="31" a="1"/>
  <c r="AE304" i="31"/>
  <c r="AE305" i="31" a="1"/>
  <c r="AE305" i="31"/>
  <c r="AE306" i="31" a="1"/>
  <c r="AE306" i="31"/>
  <c r="AE307" i="31" a="1"/>
  <c r="AE307" i="31"/>
  <c r="AE308" i="31" a="1"/>
  <c r="AE308" i="31"/>
  <c r="AE309" i="31" a="1"/>
  <c r="AE309" i="31"/>
  <c r="AE310" i="31" a="1"/>
  <c r="AE310" i="31"/>
  <c r="AE311" i="31" a="1"/>
  <c r="AE311" i="31"/>
  <c r="AE312" i="31" a="1"/>
  <c r="AE312" i="31"/>
  <c r="AE313" i="31" a="1"/>
  <c r="AE313" i="31"/>
  <c r="AE314" i="31" a="1"/>
  <c r="AE314" i="31"/>
  <c r="AE315" i="31" a="1"/>
  <c r="AE315" i="31"/>
  <c r="AE316" i="31" a="1"/>
  <c r="AE316" i="31"/>
  <c r="AE317" i="31" a="1"/>
  <c r="AE317" i="31"/>
  <c r="AE318" i="31" a="1"/>
  <c r="AE318" i="31"/>
  <c r="AE319" i="31" a="1"/>
  <c r="AE319" i="31"/>
  <c r="AE320" i="31" a="1"/>
  <c r="AE320" i="31"/>
  <c r="AE321" i="31" a="1"/>
  <c r="AE321" i="31"/>
  <c r="AE322" i="31" a="1"/>
  <c r="AE322" i="31"/>
  <c r="AE323" i="31" a="1"/>
  <c r="AE323" i="31"/>
  <c r="AE324" i="31" a="1"/>
  <c r="AE324" i="31"/>
  <c r="AE325" i="31" a="1"/>
  <c r="AE325" i="31"/>
  <c r="AE326" i="31" a="1"/>
  <c r="AE326" i="31"/>
  <c r="AE327" i="31" a="1"/>
  <c r="AE327" i="31"/>
  <c r="AE328" i="31" a="1"/>
  <c r="AE328" i="31"/>
  <c r="AE329" i="31" a="1"/>
  <c r="AE329" i="31"/>
  <c r="AE330" i="31" a="1"/>
  <c r="AE330" i="31"/>
  <c r="AE331" i="31" a="1"/>
  <c r="AE331" i="31"/>
  <c r="AE332" i="31" a="1"/>
  <c r="AE332" i="31"/>
  <c r="AE333" i="31" a="1"/>
  <c r="AE333" i="31"/>
  <c r="AE334" i="31" a="1"/>
  <c r="AE334" i="31"/>
  <c r="AE335" i="31" a="1"/>
  <c r="AE335" i="31"/>
  <c r="AE336" i="31" a="1"/>
  <c r="AE336" i="31"/>
  <c r="AE337" i="31" a="1"/>
  <c r="AE337" i="31"/>
  <c r="AE338" i="31" a="1"/>
  <c r="AE338" i="31"/>
  <c r="AE339" i="31" a="1"/>
  <c r="AE339" i="31"/>
  <c r="AE340" i="31" a="1"/>
  <c r="AE340" i="31"/>
  <c r="AE341" i="31" a="1"/>
  <c r="AE341" i="31"/>
  <c r="AE342" i="31" a="1"/>
  <c r="AE342" i="31"/>
  <c r="AE343" i="31" a="1"/>
  <c r="AE343" i="31"/>
  <c r="AE344" i="31" a="1"/>
  <c r="AE344" i="31"/>
  <c r="AE345" i="31" a="1"/>
  <c r="AE345" i="31"/>
  <c r="AE346" i="31" a="1"/>
  <c r="AE346" i="31"/>
  <c r="AE347" i="31" a="1"/>
  <c r="AE347" i="31"/>
  <c r="AE348" i="31" a="1"/>
  <c r="AE348" i="31"/>
  <c r="AE349" i="31" a="1"/>
  <c r="AE349" i="31"/>
  <c r="AE350" i="31" a="1"/>
  <c r="AE350" i="31"/>
  <c r="AE351" i="31" a="1"/>
  <c r="AE351" i="31"/>
  <c r="AE352" i="31" a="1"/>
  <c r="AE352" i="31"/>
  <c r="AE353" i="31" a="1"/>
  <c r="AE353" i="31"/>
  <c r="AE354" i="31" a="1"/>
  <c r="AE354" i="31"/>
  <c r="AE355" i="31" a="1"/>
  <c r="AE355" i="31"/>
  <c r="AE356" i="31" a="1"/>
  <c r="AE356" i="31"/>
  <c r="AE357" i="31" a="1"/>
  <c r="AE357" i="31"/>
  <c r="AE358" i="31" a="1"/>
  <c r="AE358" i="31"/>
  <c r="AE359" i="31" a="1"/>
  <c r="AE359" i="31"/>
  <c r="AE360" i="31" a="1"/>
  <c r="AE360" i="31"/>
  <c r="AE361" i="31" a="1"/>
  <c r="AE361" i="31"/>
  <c r="AE362" i="31" a="1"/>
  <c r="AE362" i="31"/>
  <c r="AE363" i="31" a="1"/>
  <c r="AE363" i="31"/>
  <c r="AE364" i="31" a="1"/>
  <c r="AE364" i="31"/>
  <c r="AE365" i="31" a="1"/>
  <c r="AE365" i="31"/>
  <c r="AE366" i="31" a="1"/>
  <c r="AE366" i="31"/>
  <c r="AE367" i="31" a="1"/>
  <c r="AE367" i="31"/>
  <c r="AE368" i="31" a="1"/>
  <c r="AE368" i="31"/>
  <c r="AE369" i="31" a="1"/>
  <c r="AE369" i="31"/>
  <c r="AE370" i="31" a="1"/>
  <c r="AE370" i="31"/>
  <c r="AE371" i="31" a="1"/>
  <c r="AE371" i="31"/>
  <c r="AE372" i="31" a="1"/>
  <c r="AE372" i="31"/>
  <c r="AE373" i="31" a="1"/>
  <c r="AE373" i="31"/>
  <c r="AE374" i="31" a="1"/>
  <c r="AE374" i="31"/>
  <c r="AE375" i="31" a="1"/>
  <c r="AE375" i="31"/>
  <c r="AE376" i="31" a="1"/>
  <c r="AE376" i="31"/>
  <c r="AE377" i="31" a="1"/>
  <c r="AE377" i="31"/>
  <c r="AE378" i="31" a="1"/>
  <c r="AE378" i="31"/>
  <c r="AE379" i="31" a="1"/>
  <c r="AE379" i="31"/>
  <c r="AE380" i="31" a="1"/>
  <c r="AE380" i="31"/>
  <c r="AE381" i="31" a="1"/>
  <c r="AE381" i="31"/>
  <c r="AE382" i="31" a="1"/>
  <c r="AE382" i="31"/>
  <c r="AE383" i="31" a="1"/>
  <c r="AE383" i="31"/>
  <c r="AE384" i="31" a="1"/>
  <c r="AE384" i="31"/>
  <c r="AE385" i="31" a="1"/>
  <c r="AE385" i="31"/>
  <c r="AE386" i="31" a="1"/>
  <c r="AE386" i="31"/>
  <c r="AE387" i="31" a="1"/>
  <c r="AE387" i="31"/>
  <c r="AE388" i="31" a="1"/>
  <c r="AE388" i="31"/>
  <c r="AE389" i="31" a="1"/>
  <c r="AE389" i="31"/>
  <c r="AE390" i="31" a="1"/>
  <c r="AE390" i="31"/>
  <c r="AE391" i="31" a="1"/>
  <c r="AE391" i="31"/>
  <c r="AE392" i="31" a="1"/>
  <c r="AE392" i="31"/>
  <c r="AE393" i="31" a="1"/>
  <c r="AE393" i="31"/>
  <c r="AE394" i="31" a="1"/>
  <c r="AE394" i="31"/>
  <c r="AE395" i="31" a="1"/>
  <c r="AE395" i="31"/>
  <c r="AE396" i="31" a="1"/>
  <c r="AE396" i="31"/>
  <c r="AE397" i="31" a="1"/>
  <c r="AE397" i="31"/>
  <c r="AE398" i="31" a="1"/>
  <c r="AE398" i="31"/>
  <c r="AE399" i="31" a="1"/>
  <c r="AE399" i="31"/>
  <c r="AE400" i="31" a="1"/>
  <c r="AE400" i="31"/>
  <c r="AE401" i="31" a="1"/>
  <c r="AE401" i="31"/>
  <c r="AE402" i="31" a="1"/>
  <c r="AE402" i="31"/>
  <c r="AE403" i="31" a="1"/>
  <c r="AE403" i="31"/>
  <c r="AE404" i="31" a="1"/>
  <c r="AE404" i="31"/>
  <c r="AE405" i="31" a="1"/>
  <c r="AE405" i="31"/>
  <c r="AE406" i="31" a="1"/>
  <c r="AE406" i="31"/>
  <c r="AE407" i="31" a="1"/>
  <c r="AE407" i="31"/>
  <c r="AE408" i="31" a="1"/>
  <c r="AE408" i="31"/>
  <c r="AE409" i="31" a="1"/>
  <c r="AE409" i="31"/>
  <c r="AE410" i="31" a="1"/>
  <c r="AE410" i="31"/>
  <c r="AE411" i="31" a="1"/>
  <c r="AE411" i="31"/>
  <c r="AE412" i="31" a="1"/>
  <c r="AE412" i="31"/>
  <c r="AE413" i="31" a="1"/>
  <c r="AE413" i="31"/>
  <c r="AE414" i="31" a="1"/>
  <c r="AE414" i="31"/>
  <c r="AE415" i="31" a="1"/>
  <c r="AE415" i="31"/>
  <c r="AE416" i="31" a="1"/>
  <c r="AE416" i="31"/>
  <c r="AE417" i="31" a="1"/>
  <c r="AE417" i="31"/>
  <c r="AE418" i="31" a="1"/>
  <c r="AE418" i="31"/>
  <c r="AE419" i="31" a="1"/>
  <c r="AE419" i="31"/>
  <c r="AE420" i="31" a="1"/>
  <c r="AE420" i="31"/>
  <c r="AE421" i="31" a="1"/>
  <c r="AE421" i="31"/>
  <c r="AE422" i="31" a="1"/>
  <c r="AE422" i="31"/>
  <c r="AE423" i="31" a="1"/>
  <c r="AE423" i="31"/>
  <c r="AE424" i="31" a="1"/>
  <c r="AE424" i="31"/>
  <c r="AE425" i="31" a="1"/>
  <c r="AE425" i="31"/>
  <c r="AE426" i="31" a="1"/>
  <c r="AE426" i="31"/>
  <c r="AE427" i="31" a="1"/>
  <c r="AE427" i="31"/>
  <c r="AE428" i="31" a="1"/>
  <c r="AE428" i="31"/>
  <c r="AE429" i="31" a="1"/>
  <c r="AE429" i="31"/>
  <c r="AE430" i="31" a="1"/>
  <c r="AE430" i="31"/>
  <c r="AE431" i="31" a="1"/>
  <c r="AE431" i="31"/>
  <c r="AE432" i="31" a="1"/>
  <c r="AE432" i="31"/>
  <c r="AE433" i="31" a="1"/>
  <c r="AE433" i="31"/>
  <c r="AE434" i="31" a="1"/>
  <c r="AE434" i="31"/>
  <c r="AE435" i="31" a="1"/>
  <c r="AE435" i="31"/>
  <c r="AE436" i="31" a="1"/>
  <c r="AE436" i="31"/>
  <c r="AE437" i="31" a="1"/>
  <c r="AE437" i="31"/>
  <c r="AE438" i="31" a="1"/>
  <c r="AE438" i="31"/>
  <c r="AE439" i="31" a="1"/>
  <c r="AE439" i="31"/>
  <c r="AE440" i="31" a="1"/>
  <c r="AE440" i="31"/>
  <c r="AE441" i="31" a="1"/>
  <c r="AE441" i="31"/>
  <c r="AE442" i="31" a="1"/>
  <c r="AE442" i="31"/>
  <c r="AE443" i="31" a="1"/>
  <c r="AE443" i="31"/>
  <c r="AE444" i="31" a="1"/>
  <c r="AE444" i="31"/>
  <c r="AE445" i="31" a="1"/>
  <c r="AE445" i="31"/>
  <c r="AE446" i="31" a="1"/>
  <c r="AE446" i="31"/>
  <c r="AE447" i="31" a="1"/>
  <c r="AE447" i="31"/>
  <c r="AE448" i="31" a="1"/>
  <c r="AE448" i="31"/>
  <c r="AE449" i="31" a="1"/>
  <c r="AE449" i="31"/>
  <c r="AE450" i="31" a="1"/>
  <c r="AE450" i="31"/>
  <c r="AE451" i="31" a="1"/>
  <c r="AE451" i="31"/>
  <c r="AE452" i="31" a="1"/>
  <c r="AE452" i="31"/>
  <c r="AE453" i="31" a="1"/>
  <c r="AE453" i="31"/>
  <c r="AE454" i="31" a="1"/>
  <c r="AE454" i="31"/>
  <c r="AE455" i="31" a="1"/>
  <c r="AE455" i="31"/>
  <c r="AE456" i="31" a="1"/>
  <c r="AE456" i="31"/>
  <c r="AE457" i="31" a="1"/>
  <c r="AE457" i="31"/>
  <c r="AE458" i="31" a="1"/>
  <c r="AE458" i="31"/>
  <c r="AE459" i="31" a="1"/>
  <c r="AE459" i="31"/>
  <c r="AE460" i="31" a="1"/>
  <c r="AE460" i="31"/>
  <c r="AE461" i="31" a="1"/>
  <c r="AE461" i="31"/>
  <c r="AE462" i="31" a="1"/>
  <c r="AE462" i="31"/>
  <c r="AE463" i="31" a="1"/>
  <c r="AE463" i="31"/>
  <c r="AE464" i="31" a="1"/>
  <c r="AE464" i="31"/>
  <c r="AE465" i="31" a="1"/>
  <c r="AE465" i="31"/>
  <c r="AE466" i="31" a="1"/>
  <c r="AE466" i="31"/>
  <c r="AE467" i="31" a="1"/>
  <c r="AE467" i="31"/>
  <c r="AE468" i="31" a="1"/>
  <c r="AE468" i="31"/>
  <c r="AE469" i="31" a="1"/>
  <c r="AE469" i="31"/>
  <c r="AE470" i="31" a="1"/>
  <c r="AE470" i="31"/>
  <c r="AE471" i="31" a="1"/>
  <c r="AE471" i="31"/>
  <c r="AE472" i="31" a="1"/>
  <c r="AE472" i="31"/>
  <c r="AE473" i="31" a="1"/>
  <c r="AE473" i="31"/>
  <c r="AE474" i="31" a="1"/>
  <c r="AE474" i="31"/>
  <c r="AE475" i="31" a="1"/>
  <c r="AE475" i="31"/>
  <c r="AE476" i="31" a="1"/>
  <c r="AE476" i="31"/>
  <c r="AE477" i="31" a="1"/>
  <c r="AE477" i="31"/>
  <c r="AE478" i="31" a="1"/>
  <c r="AE478" i="31"/>
  <c r="AE479" i="31" a="1"/>
  <c r="AE479" i="31"/>
  <c r="AE480" i="31" a="1"/>
  <c r="AE480" i="31"/>
  <c r="AE481" i="31" a="1"/>
  <c r="AE481" i="31"/>
  <c r="AE482" i="31" a="1"/>
  <c r="AE482" i="31"/>
  <c r="AE483" i="31" a="1"/>
  <c r="AE483" i="31"/>
  <c r="AE484" i="31" a="1"/>
  <c r="AE484" i="31"/>
  <c r="AE485" i="31" a="1"/>
  <c r="AE485" i="31"/>
  <c r="AE486" i="31" a="1"/>
  <c r="AE486" i="31"/>
  <c r="AE487" i="31" a="1"/>
  <c r="AE487" i="31"/>
  <c r="AE488" i="31" a="1"/>
  <c r="AE488" i="31"/>
  <c r="AE489" i="31" a="1"/>
  <c r="AE489" i="31"/>
  <c r="AE490" i="31" a="1"/>
  <c r="AE490" i="31"/>
  <c r="AE491" i="31" a="1"/>
  <c r="AE491" i="31"/>
  <c r="AE492" i="31" a="1"/>
  <c r="AE492" i="31"/>
  <c r="AE493" i="31" a="1"/>
  <c r="AE493" i="31"/>
  <c r="AE494" i="31" a="1"/>
  <c r="AE494" i="31"/>
  <c r="AE495" i="31" a="1"/>
  <c r="AE495" i="31"/>
  <c r="AE496" i="31" a="1"/>
  <c r="AE496" i="31"/>
  <c r="AE497" i="31" a="1"/>
  <c r="AE497" i="31"/>
  <c r="AE498" i="31" a="1"/>
  <c r="AE498" i="31"/>
  <c r="AE499" i="31" a="1"/>
  <c r="AE499" i="31"/>
  <c r="AE500" i="31" a="1"/>
  <c r="AE500" i="31"/>
  <c r="AE501" i="31" a="1"/>
  <c r="AE501" i="31"/>
  <c r="AE502" i="31" a="1"/>
  <c r="AE502" i="31"/>
  <c r="AE503" i="31" a="1"/>
  <c r="AE503" i="31"/>
  <c r="AE504" i="31" a="1"/>
  <c r="AE504" i="31"/>
  <c r="AE505" i="31" a="1"/>
  <c r="AE505" i="31"/>
  <c r="AE506" i="31" a="1"/>
  <c r="AE506" i="31"/>
  <c r="AE507" i="31" a="1"/>
  <c r="AE507" i="31"/>
  <c r="AE508" i="31" a="1"/>
  <c r="AE508" i="31"/>
  <c r="AE509" i="31" a="1"/>
  <c r="AE509" i="31"/>
  <c r="AE510" i="31" a="1"/>
  <c r="AE510" i="31"/>
  <c r="AE511" i="31" a="1"/>
  <c r="AE511" i="31"/>
  <c r="AE512" i="31" a="1"/>
  <c r="AE512" i="31"/>
  <c r="AE513" i="31" a="1"/>
  <c r="AE513" i="31"/>
  <c r="AE514" i="31" a="1"/>
  <c r="AE514" i="31"/>
  <c r="AE515" i="31" a="1"/>
  <c r="AE515" i="31"/>
  <c r="AE516" i="31" a="1"/>
  <c r="AE516" i="31"/>
  <c r="AE517" i="31" a="1"/>
  <c r="AE517" i="31"/>
  <c r="AE518" i="31" a="1"/>
  <c r="AE518" i="31"/>
  <c r="AE519" i="31" a="1"/>
  <c r="AE519" i="31"/>
  <c r="AE520" i="31" a="1"/>
  <c r="AE520" i="31"/>
  <c r="AE521" i="31" a="1"/>
  <c r="AE521" i="31"/>
  <c r="AE522" i="31" a="1"/>
  <c r="AE522" i="31"/>
  <c r="AE523" i="31" a="1"/>
  <c r="AE523" i="31"/>
  <c r="AE524" i="31" a="1"/>
  <c r="AE524" i="31"/>
  <c r="AE525" i="31" a="1"/>
  <c r="AE525" i="31"/>
  <c r="AE526" i="31" a="1"/>
  <c r="AE526" i="31"/>
  <c r="AE527" i="31" a="1"/>
  <c r="AE527" i="31"/>
  <c r="AE528" i="31" a="1"/>
  <c r="AE528" i="31"/>
  <c r="AE529" i="31" a="1"/>
  <c r="AE529" i="31"/>
  <c r="AE530" i="31" a="1"/>
  <c r="AE530" i="31"/>
  <c r="AE531" i="31" a="1"/>
  <c r="AE531" i="31"/>
  <c r="AE532" i="31" a="1"/>
  <c r="AE532" i="31"/>
  <c r="AE533" i="31" a="1"/>
  <c r="AE533" i="31"/>
  <c r="AE534" i="31" a="1"/>
  <c r="AE534" i="31"/>
  <c r="AE535" i="31" a="1"/>
  <c r="AE535" i="31"/>
  <c r="AE536" i="31" a="1"/>
  <c r="AE536" i="31"/>
  <c r="AE537" i="31" a="1"/>
  <c r="AE537" i="31"/>
  <c r="AE538" i="31" a="1"/>
  <c r="AE538" i="31"/>
  <c r="AE539" i="31" a="1"/>
  <c r="AE539" i="31"/>
  <c r="AE540" i="31" a="1"/>
  <c r="AE540" i="31"/>
  <c r="AE541" i="31" a="1"/>
  <c r="AE541" i="31"/>
  <c r="AE542" i="31" a="1"/>
  <c r="AE542" i="31"/>
  <c r="AE543" i="31" a="1"/>
  <c r="AE543" i="31"/>
  <c r="AE544" i="31" a="1"/>
  <c r="AE544" i="31"/>
  <c r="AE545" i="31" a="1"/>
  <c r="AE545" i="31"/>
  <c r="AE546" i="31" a="1"/>
  <c r="AE546" i="31"/>
  <c r="AE547" i="31" a="1"/>
  <c r="AE547" i="31"/>
  <c r="AE548" i="31" a="1"/>
  <c r="AE548" i="31"/>
  <c r="AE549" i="31" a="1"/>
  <c r="AE549" i="31"/>
  <c r="AE550" i="31" a="1"/>
  <c r="AE550" i="31"/>
  <c r="AE551" i="31" a="1"/>
  <c r="AE551" i="31"/>
  <c r="AE552" i="31" a="1"/>
  <c r="AE552" i="31"/>
  <c r="AE553" i="31" a="1"/>
  <c r="AE553" i="31"/>
  <c r="AE554" i="31" a="1"/>
  <c r="AE554" i="31"/>
  <c r="AE555" i="31" a="1"/>
  <c r="AE555" i="31"/>
  <c r="AE556" i="31" a="1"/>
  <c r="AE556" i="31"/>
  <c r="AE557" i="31" a="1"/>
  <c r="AE557" i="31"/>
  <c r="AE558" i="31" a="1"/>
  <c r="AE558" i="31"/>
  <c r="AE559" i="31" a="1"/>
  <c r="AE559" i="31"/>
  <c r="AE560" i="31" a="1"/>
  <c r="AE560" i="31"/>
  <c r="AE561" i="31" a="1"/>
  <c r="AE561" i="31"/>
  <c r="AE562" i="31" a="1"/>
  <c r="AE562" i="31"/>
  <c r="AE563" i="31" a="1"/>
  <c r="AE563" i="31"/>
  <c r="AE564" i="31" a="1"/>
  <c r="AE564" i="31"/>
  <c r="AE565" i="31" a="1"/>
  <c r="AE565" i="31"/>
  <c r="AE566" i="31" a="1"/>
  <c r="AE566" i="31"/>
  <c r="AE567" i="31" a="1"/>
  <c r="AE567" i="31"/>
  <c r="AE568" i="31" a="1"/>
  <c r="AE568" i="31"/>
  <c r="AE569" i="31" a="1"/>
  <c r="AE569" i="31"/>
  <c r="AE570" i="31" a="1"/>
  <c r="AE570" i="31"/>
  <c r="AE571" i="31" a="1"/>
  <c r="AE571" i="31"/>
  <c r="AE572" i="31" a="1"/>
  <c r="AE572" i="31"/>
  <c r="AE573" i="31" a="1"/>
  <c r="AE573" i="31"/>
  <c r="AE574" i="31" a="1"/>
  <c r="AE574" i="31"/>
  <c r="AE575" i="31" a="1"/>
  <c r="AE575" i="31"/>
  <c r="AE576" i="31" a="1"/>
  <c r="AE576" i="31"/>
  <c r="AE577" i="31" a="1"/>
  <c r="AE577" i="31"/>
  <c r="AE578" i="31" a="1"/>
  <c r="AE578" i="31"/>
  <c r="AE579" i="31" a="1"/>
  <c r="AE579" i="31"/>
  <c r="AE580" i="31" a="1"/>
  <c r="AE580" i="31"/>
  <c r="AE581" i="31" a="1"/>
  <c r="AE581" i="31"/>
  <c r="AE582" i="31" a="1"/>
  <c r="AE582" i="31"/>
  <c r="AE583" i="31" a="1"/>
  <c r="AE583" i="31"/>
  <c r="AE584" i="31" a="1"/>
  <c r="AE584" i="31"/>
  <c r="AE585" i="31" a="1"/>
  <c r="AE585" i="31"/>
  <c r="AE586" i="31" a="1"/>
  <c r="AE586" i="31"/>
  <c r="AE587" i="31" a="1"/>
  <c r="AE587" i="31"/>
  <c r="AE588" i="31" a="1"/>
  <c r="AE588" i="31"/>
  <c r="AE589" i="31" a="1"/>
  <c r="AE589" i="31"/>
  <c r="AE590" i="31" a="1"/>
  <c r="AE590" i="31"/>
  <c r="AE591" i="31" a="1"/>
  <c r="AE591" i="31"/>
  <c r="AE592" i="31" a="1"/>
  <c r="AE592" i="31"/>
  <c r="AE593" i="31" a="1"/>
  <c r="AE593" i="31"/>
  <c r="AE594" i="31" a="1"/>
  <c r="AE594" i="31"/>
  <c r="AE595" i="31" a="1"/>
  <c r="AE595" i="31"/>
  <c r="AE596" i="31" a="1"/>
  <c r="AE596" i="31"/>
  <c r="AE597" i="31" a="1"/>
  <c r="AE597" i="31"/>
  <c r="AE598" i="31" a="1"/>
  <c r="AE598" i="31"/>
  <c r="AE599" i="31" a="1"/>
  <c r="AE599" i="31"/>
  <c r="AE600" i="31" a="1"/>
  <c r="AE600" i="31"/>
  <c r="AE601" i="31" a="1"/>
  <c r="AE601" i="31"/>
  <c r="AE602" i="31" a="1"/>
  <c r="AE602" i="31"/>
  <c r="AE603" i="31" a="1"/>
  <c r="AE603" i="31"/>
  <c r="AE604" i="31" a="1"/>
  <c r="AE604" i="31"/>
  <c r="AE605" i="31" a="1"/>
  <c r="AE605" i="31"/>
  <c r="AE606" i="31" a="1"/>
  <c r="AE606" i="31"/>
  <c r="AE607" i="31" a="1"/>
  <c r="AE607" i="31"/>
  <c r="AE608" i="31" a="1"/>
  <c r="AE608" i="31"/>
  <c r="AE609" i="31" a="1"/>
  <c r="AE609" i="31"/>
  <c r="AE610" i="31" a="1"/>
  <c r="AE610" i="31"/>
  <c r="AE611" i="31" a="1"/>
  <c r="AE611" i="31"/>
  <c r="AE612" i="31" a="1"/>
  <c r="AE612" i="31"/>
  <c r="AE613" i="31" a="1"/>
  <c r="AE613" i="31"/>
  <c r="AE614" i="31" a="1"/>
  <c r="AE614" i="31"/>
  <c r="AE615" i="31" a="1"/>
  <c r="AE615" i="31"/>
  <c r="AE616" i="31" a="1"/>
  <c r="AE616" i="31"/>
  <c r="AE617" i="31" a="1"/>
  <c r="AE617" i="31"/>
  <c r="AE618" i="31" a="1"/>
  <c r="AE618" i="31"/>
  <c r="AE619" i="31" a="1"/>
  <c r="AE619" i="31"/>
  <c r="AE620" i="31" a="1"/>
  <c r="AE620" i="31"/>
  <c r="AE621" i="31" a="1"/>
  <c r="AE621" i="31"/>
  <c r="AE622" i="31" a="1"/>
  <c r="AE622" i="31"/>
  <c r="AE623" i="31" a="1"/>
  <c r="AE623" i="31"/>
  <c r="AE624" i="31" a="1"/>
  <c r="AE624" i="31"/>
  <c r="AE625" i="31" a="1"/>
  <c r="AE625" i="31"/>
  <c r="AE626" i="31" a="1"/>
  <c r="AE626" i="31"/>
  <c r="AE627" i="31" a="1"/>
  <c r="AE627" i="31"/>
  <c r="AE628" i="31" a="1"/>
  <c r="AE628" i="31"/>
  <c r="AE629" i="31" a="1"/>
  <c r="AE629" i="31"/>
  <c r="AE630" i="31" a="1"/>
  <c r="AE630" i="31"/>
  <c r="AE631" i="31" a="1"/>
  <c r="AE631" i="31"/>
  <c r="AE632" i="31" a="1"/>
  <c r="AE632" i="31"/>
  <c r="AE633" i="31" a="1"/>
  <c r="AE633" i="31"/>
  <c r="AE634" i="31" a="1"/>
  <c r="AE634" i="31"/>
  <c r="AE635" i="31" a="1"/>
  <c r="AE635" i="31"/>
  <c r="AE636" i="31" a="1"/>
  <c r="AE636" i="31"/>
  <c r="AE637" i="31" a="1"/>
  <c r="AE637" i="31"/>
  <c r="AE638" i="31" a="1"/>
  <c r="AE638" i="31"/>
  <c r="AE639" i="31" a="1"/>
  <c r="AE639" i="31"/>
  <c r="AE640" i="31" a="1"/>
  <c r="AE640" i="31"/>
  <c r="AE641" i="31" a="1"/>
  <c r="AE641" i="31"/>
  <c r="AE642" i="31" a="1"/>
  <c r="AE642" i="31"/>
  <c r="AE643" i="31" a="1"/>
  <c r="AE643" i="31"/>
  <c r="AE644" i="31" a="1"/>
  <c r="AE644" i="31"/>
  <c r="AE645" i="31" a="1"/>
  <c r="AE645" i="31"/>
  <c r="AE646" i="31" a="1"/>
  <c r="AE646" i="31"/>
  <c r="AE647" i="31" a="1"/>
  <c r="AE647" i="31"/>
  <c r="AE648" i="31" a="1"/>
  <c r="AE648" i="31"/>
  <c r="AE649" i="31" a="1"/>
  <c r="AE649" i="31"/>
  <c r="AE650" i="31" a="1"/>
  <c r="AE650" i="31"/>
  <c r="AE651" i="31" a="1"/>
  <c r="AE651" i="31"/>
  <c r="AE652" i="31" a="1"/>
  <c r="AE652" i="31"/>
  <c r="AE653" i="31" a="1"/>
  <c r="AE653" i="31"/>
  <c r="AE654" i="31" a="1"/>
  <c r="AE654" i="31"/>
  <c r="AE655" i="31" a="1"/>
  <c r="AE655" i="31"/>
  <c r="AE656" i="31" a="1"/>
  <c r="AE656" i="31"/>
  <c r="AE657" i="31" a="1"/>
  <c r="AE657" i="31"/>
  <c r="AE658" i="31" a="1"/>
  <c r="AE658" i="31"/>
  <c r="AE659" i="31" a="1"/>
  <c r="AE659" i="31"/>
  <c r="AE660" i="31" a="1"/>
  <c r="AE660" i="31"/>
  <c r="AE661" i="31" a="1"/>
  <c r="AE661" i="31"/>
  <c r="AE662" i="31" a="1"/>
  <c r="AE662" i="31"/>
  <c r="AE663" i="31" a="1"/>
  <c r="AE663" i="31"/>
  <c r="AE664" i="31" a="1"/>
  <c r="AE664" i="31"/>
  <c r="AE665" i="31" a="1"/>
  <c r="AE665" i="31"/>
  <c r="AE666" i="31" a="1"/>
  <c r="AE666" i="31"/>
  <c r="AE667" i="31" a="1"/>
  <c r="AE667" i="31"/>
  <c r="AE668" i="31" a="1"/>
  <c r="AE668" i="31"/>
  <c r="AE669" i="31" a="1"/>
  <c r="AE669" i="31"/>
  <c r="AE670" i="31" a="1"/>
  <c r="AE670" i="31"/>
  <c r="AE671" i="31" a="1"/>
  <c r="AE671" i="31"/>
  <c r="AE672" i="31" a="1"/>
  <c r="AE672" i="31"/>
  <c r="AE673" i="31" a="1"/>
  <c r="AE673" i="31"/>
  <c r="AE674" i="31" a="1"/>
  <c r="AE674" i="31"/>
  <c r="AE675" i="31" a="1"/>
  <c r="AE675" i="31"/>
  <c r="AE676" i="31" a="1"/>
  <c r="AE676" i="31"/>
  <c r="AE677" i="31" a="1"/>
  <c r="AE677" i="31"/>
  <c r="AE678" i="31" a="1"/>
  <c r="AE678" i="31"/>
  <c r="AE679" i="31" a="1"/>
  <c r="AE679" i="31"/>
  <c r="AE680" i="31" a="1"/>
  <c r="AE680" i="31"/>
  <c r="AE681" i="31" a="1"/>
  <c r="AE681" i="31"/>
  <c r="AE682" i="31" a="1"/>
  <c r="AE682" i="31"/>
  <c r="AE683" i="31" a="1"/>
  <c r="AE683" i="31"/>
  <c r="AE684" i="31" a="1"/>
  <c r="AE684" i="31"/>
  <c r="AE685" i="31" a="1"/>
  <c r="AE685" i="31"/>
  <c r="AE686" i="31" a="1"/>
  <c r="AE686" i="31"/>
  <c r="AE687" i="31" a="1"/>
  <c r="AE687" i="31"/>
  <c r="AE688" i="31" a="1"/>
  <c r="AE688" i="31"/>
  <c r="AE689" i="31" a="1"/>
  <c r="AE689" i="31"/>
  <c r="AE690" i="31" a="1"/>
  <c r="AE690" i="31"/>
  <c r="AE691" i="31" a="1"/>
  <c r="AE691" i="31"/>
  <c r="AE692" i="31" a="1"/>
  <c r="AE692" i="31"/>
  <c r="AE693" i="31" a="1"/>
  <c r="AE693" i="31"/>
  <c r="AE694" i="31" a="1"/>
  <c r="AE694" i="31"/>
  <c r="AE695" i="31" a="1"/>
  <c r="AE695" i="31"/>
  <c r="AE696" i="31" a="1"/>
  <c r="AE696" i="31"/>
  <c r="AE697" i="31" a="1"/>
  <c r="AE697" i="31"/>
  <c r="AE698" i="31" a="1"/>
  <c r="AE698" i="31"/>
  <c r="AE699" i="31" a="1"/>
  <c r="AE699" i="31"/>
  <c r="AE700" i="31" a="1"/>
  <c r="AE700" i="31"/>
  <c r="AE701" i="31" a="1"/>
  <c r="AE701" i="31"/>
  <c r="AE702" i="31" a="1"/>
  <c r="AE702" i="31"/>
  <c r="AE703" i="31" a="1"/>
  <c r="AE703" i="31"/>
  <c r="AE704" i="31" a="1"/>
  <c r="AE704" i="31"/>
  <c r="AE705" i="31" a="1"/>
  <c r="AE705" i="31"/>
  <c r="AE706" i="31" a="1"/>
  <c r="AE706" i="31"/>
  <c r="AE707" i="31" a="1"/>
  <c r="AE707" i="31"/>
  <c r="AE708" i="31" a="1"/>
  <c r="AE708" i="31"/>
  <c r="AE709" i="31" a="1"/>
  <c r="AE709" i="31"/>
  <c r="AE710" i="31" a="1"/>
  <c r="AE710" i="31"/>
  <c r="AE711" i="31" a="1"/>
  <c r="AE711" i="31"/>
  <c r="AE712" i="31" a="1"/>
  <c r="AE712" i="31"/>
  <c r="AE713" i="31" a="1"/>
  <c r="AE713" i="31"/>
  <c r="AE714" i="31" a="1"/>
  <c r="AE714" i="31"/>
  <c r="AE715" i="31" a="1"/>
  <c r="AE715" i="31"/>
  <c r="AE716" i="31" a="1"/>
  <c r="AE716" i="31"/>
  <c r="AE717" i="31" a="1"/>
  <c r="AE717" i="31"/>
  <c r="AE718" i="31" a="1"/>
  <c r="AE718" i="31"/>
  <c r="AE719" i="31" a="1"/>
  <c r="AE719" i="31"/>
  <c r="AE720" i="31" a="1"/>
  <c r="AE720" i="31"/>
  <c r="AE721" i="31" a="1"/>
  <c r="AE721" i="31"/>
  <c r="AE722" i="31" a="1"/>
  <c r="AE722" i="31"/>
  <c r="AE723" i="31" a="1"/>
  <c r="AE723" i="31"/>
  <c r="AE724" i="31" a="1"/>
  <c r="AE724" i="31"/>
  <c r="AE725" i="31" a="1"/>
  <c r="AE725" i="31"/>
  <c r="AE726" i="31" a="1"/>
  <c r="AE726" i="31"/>
  <c r="AE727" i="31" a="1"/>
  <c r="AE727" i="31"/>
  <c r="AE728" i="31" a="1"/>
  <c r="AE728" i="31"/>
  <c r="AE729" i="31" a="1"/>
  <c r="AE729" i="31"/>
  <c r="AE730" i="31" a="1"/>
  <c r="AE730" i="31"/>
  <c r="AE731" i="31" a="1"/>
  <c r="AE731" i="31"/>
  <c r="AE732" i="31" a="1"/>
  <c r="AE732" i="31"/>
  <c r="AE733" i="31" a="1"/>
  <c r="AE733" i="31"/>
  <c r="AE734" i="31" a="1"/>
  <c r="AE734" i="31"/>
  <c r="AE735" i="31" a="1"/>
  <c r="AE735" i="31"/>
  <c r="AE736" i="31" a="1"/>
  <c r="AE736" i="31"/>
  <c r="AE737" i="31" a="1"/>
  <c r="AE737" i="31"/>
  <c r="AE738" i="31" a="1"/>
  <c r="AE738" i="31"/>
  <c r="AE739" i="31" a="1"/>
  <c r="AE739" i="31"/>
  <c r="AE740" i="31" a="1"/>
  <c r="AE740" i="31"/>
  <c r="AE741" i="31" a="1"/>
  <c r="AE741" i="31"/>
  <c r="AE742" i="31" a="1"/>
  <c r="AE742" i="31"/>
  <c r="AE743" i="31" a="1"/>
  <c r="AE743" i="31"/>
  <c r="AE744" i="31" a="1"/>
  <c r="AE744" i="31"/>
  <c r="AE745" i="31" a="1"/>
  <c r="AE745" i="31"/>
  <c r="AE746" i="31" a="1"/>
  <c r="AE746" i="31"/>
  <c r="AE747" i="31" a="1"/>
  <c r="AE747" i="31"/>
  <c r="AE748" i="31" a="1"/>
  <c r="AE748" i="31"/>
  <c r="AE749" i="31" a="1"/>
  <c r="AE749" i="31"/>
  <c r="AE750" i="31" a="1"/>
  <c r="AE750" i="31"/>
  <c r="AE751" i="31" a="1"/>
  <c r="AE751" i="31"/>
  <c r="AE752" i="31" a="1"/>
  <c r="AE752" i="31"/>
  <c r="AE753" i="31" a="1"/>
  <c r="AE753" i="31"/>
  <c r="AE754" i="31" a="1"/>
  <c r="AE754" i="31"/>
  <c r="AE755" i="31" a="1"/>
  <c r="AE755" i="31"/>
  <c r="AE756" i="31" a="1"/>
  <c r="AE756" i="31"/>
  <c r="AE757" i="31" a="1"/>
  <c r="AE757" i="31"/>
  <c r="AE758" i="31" a="1"/>
  <c r="AE758" i="31"/>
  <c r="AE759" i="31" a="1"/>
  <c r="AE759" i="31"/>
  <c r="AE760" i="31" a="1"/>
  <c r="AE760" i="31"/>
  <c r="AE761" i="31" a="1"/>
  <c r="AE761" i="31"/>
  <c r="AE762" i="31" a="1"/>
  <c r="AE762" i="31"/>
  <c r="AE763" i="31" a="1"/>
  <c r="AE763" i="31"/>
  <c r="AE764" i="31" a="1"/>
  <c r="AE764" i="31"/>
  <c r="AE765" i="31" a="1"/>
  <c r="AE765" i="31"/>
  <c r="AE766" i="31" a="1"/>
  <c r="AE766" i="31"/>
  <c r="AE767" i="31" a="1"/>
  <c r="AE767" i="31"/>
  <c r="AE768" i="31" a="1"/>
  <c r="AE768" i="31"/>
  <c r="AE769" i="31" a="1"/>
  <c r="AE769" i="31"/>
  <c r="AE770" i="31" a="1"/>
  <c r="AE770" i="31"/>
  <c r="AE771" i="31" a="1"/>
  <c r="AE771" i="31"/>
  <c r="AE772" i="31" a="1"/>
  <c r="AE772" i="31"/>
  <c r="AE773" i="31" a="1"/>
  <c r="AE773" i="31"/>
  <c r="AE774" i="31" a="1"/>
  <c r="AE774" i="31"/>
  <c r="AE775" i="31" a="1"/>
  <c r="AE775" i="31"/>
  <c r="AE776" i="31" a="1"/>
  <c r="AE776" i="31"/>
  <c r="AE777" i="31" a="1"/>
  <c r="AE777" i="31"/>
  <c r="AE778" i="31" a="1"/>
  <c r="AE778" i="31"/>
  <c r="AE779" i="31" a="1"/>
  <c r="AE779" i="31"/>
  <c r="AE780" i="31" a="1"/>
  <c r="AE780" i="31"/>
  <c r="AE781" i="31" a="1"/>
  <c r="AE781" i="31"/>
  <c r="AE782" i="31" a="1"/>
  <c r="AE782" i="31"/>
  <c r="AE783" i="31" a="1"/>
  <c r="AE783" i="31"/>
  <c r="AE784" i="31" a="1"/>
  <c r="AE784" i="31"/>
  <c r="AE785" i="31" a="1"/>
  <c r="AE785" i="31"/>
  <c r="AE786" i="31" a="1"/>
  <c r="AE786" i="31"/>
  <c r="AE787" i="31" a="1"/>
  <c r="AE787" i="31"/>
  <c r="AE788" i="31" a="1"/>
  <c r="AE788" i="31"/>
  <c r="AE789" i="31" a="1"/>
  <c r="AE789" i="31"/>
  <c r="AE790" i="31" a="1"/>
  <c r="AE790" i="31"/>
  <c r="AE791" i="31" a="1"/>
  <c r="AE791" i="31"/>
  <c r="AE792" i="31" a="1"/>
  <c r="AE792" i="31"/>
  <c r="AE793" i="31" a="1"/>
  <c r="AE793" i="31"/>
  <c r="AE794" i="31" a="1"/>
  <c r="AE794" i="31"/>
  <c r="AE795" i="31" a="1"/>
  <c r="AE795" i="31"/>
  <c r="AE796" i="31" a="1"/>
  <c r="AE796" i="31"/>
  <c r="AE797" i="31" a="1"/>
  <c r="AE797" i="31"/>
  <c r="AE798" i="31" a="1"/>
  <c r="AE798" i="31"/>
  <c r="AE799" i="31" a="1"/>
  <c r="AE799" i="31"/>
  <c r="AE800" i="31" a="1"/>
  <c r="AE800" i="31"/>
  <c r="AE801" i="31" a="1"/>
  <c r="AE801" i="31"/>
  <c r="AE802" i="31" a="1"/>
  <c r="AE802" i="31"/>
  <c r="AE803" i="31" a="1"/>
  <c r="AE803" i="31"/>
  <c r="AE804" i="31" a="1"/>
  <c r="AE804" i="31"/>
  <c r="AE805" i="31" a="1"/>
  <c r="AE805" i="31"/>
  <c r="AE806" i="31" a="1"/>
  <c r="AE806" i="31"/>
  <c r="AE807" i="31" a="1"/>
  <c r="AE807" i="31"/>
  <c r="AE808" i="31" a="1"/>
  <c r="AE808" i="31"/>
  <c r="AE809" i="31" a="1"/>
  <c r="AE809" i="31"/>
  <c r="AE810" i="31" a="1"/>
  <c r="AE810" i="31"/>
  <c r="AE811" i="31" a="1"/>
  <c r="AE811" i="31"/>
  <c r="AE812" i="31" a="1"/>
  <c r="AE812" i="31"/>
  <c r="AE813" i="31" a="1"/>
  <c r="AE813" i="31"/>
  <c r="AE814" i="31" a="1"/>
  <c r="AE814" i="31"/>
  <c r="AE815" i="31" a="1"/>
  <c r="AE815" i="31"/>
  <c r="AE816" i="31" a="1"/>
  <c r="AE816" i="31"/>
  <c r="AE817" i="31" a="1"/>
  <c r="AE817" i="31"/>
  <c r="AE818" i="31" a="1"/>
  <c r="AE818" i="31"/>
  <c r="AE819" i="31" a="1"/>
  <c r="AE819" i="31"/>
  <c r="AE820" i="31" a="1"/>
  <c r="AE820" i="31"/>
  <c r="AE821" i="31" a="1"/>
  <c r="AE821" i="31"/>
  <c r="AE822" i="31" a="1"/>
  <c r="AE822" i="31"/>
  <c r="AE823" i="31" a="1"/>
  <c r="AE823" i="31"/>
  <c r="AE824" i="31" a="1"/>
  <c r="AE824" i="31"/>
  <c r="AE825" i="31" a="1"/>
  <c r="AE825" i="31"/>
  <c r="AE826" i="31" a="1"/>
  <c r="AE826" i="31"/>
  <c r="AE827" i="31" a="1"/>
  <c r="AE827" i="31"/>
  <c r="AE828" i="31" a="1"/>
  <c r="AE828" i="31"/>
  <c r="AE829" i="31" a="1"/>
  <c r="AE829" i="31"/>
  <c r="AE830" i="31" a="1"/>
  <c r="AE830" i="31"/>
  <c r="AE831" i="31" a="1"/>
  <c r="AE831" i="31"/>
  <c r="AE832" i="31" a="1"/>
  <c r="AE832" i="31"/>
  <c r="AE833" i="31" a="1"/>
  <c r="AE833" i="31"/>
  <c r="AE834" i="31" a="1"/>
  <c r="AE834" i="31"/>
  <c r="AE835" i="31" a="1"/>
  <c r="AE835" i="31"/>
  <c r="AE836" i="31" a="1"/>
  <c r="AE836" i="31"/>
  <c r="AE837" i="31" a="1"/>
  <c r="AE837" i="31"/>
  <c r="AE838" i="31" a="1"/>
  <c r="AE838" i="31"/>
  <c r="AE839" i="31" a="1"/>
  <c r="AE839" i="31"/>
  <c r="AE840" i="31" a="1"/>
  <c r="AE840" i="31"/>
  <c r="AE841" i="31" a="1"/>
  <c r="AE841" i="31"/>
  <c r="AE842" i="31" a="1"/>
  <c r="AE842" i="31"/>
  <c r="AE843" i="31" a="1"/>
  <c r="AE843" i="31"/>
  <c r="AE844" i="31" a="1"/>
  <c r="AE844" i="31"/>
  <c r="AE845" i="31" a="1"/>
  <c r="AE845" i="31"/>
  <c r="AE846" i="31" a="1"/>
  <c r="AE846" i="31"/>
  <c r="AE847" i="31" a="1"/>
  <c r="AE847" i="31"/>
  <c r="AE848" i="31" a="1"/>
  <c r="AE848" i="31"/>
  <c r="AE849" i="31" a="1"/>
  <c r="AE849" i="31"/>
  <c r="AE850" i="31" a="1"/>
  <c r="AE850" i="31"/>
  <c r="AE851" i="31" a="1"/>
  <c r="AE851" i="31"/>
  <c r="AE852" i="31" a="1"/>
  <c r="AE852" i="31"/>
  <c r="AE853" i="31" a="1"/>
  <c r="AE853" i="31"/>
  <c r="AE854" i="31" a="1"/>
  <c r="AE854" i="31"/>
  <c r="AE855" i="31" a="1"/>
  <c r="AE855" i="31"/>
  <c r="AE856" i="31" a="1"/>
  <c r="AE856" i="31"/>
  <c r="AE857" i="31" a="1"/>
  <c r="AE857" i="31"/>
  <c r="AE858" i="31" a="1"/>
  <c r="AE858" i="31"/>
  <c r="AE859" i="31" a="1"/>
  <c r="AE859" i="31"/>
  <c r="AE860" i="31" a="1"/>
  <c r="AE860" i="31"/>
  <c r="AE861" i="31" a="1"/>
  <c r="AE861" i="31"/>
  <c r="AE862" i="31" a="1"/>
  <c r="AE862" i="31"/>
  <c r="AE863" i="31" a="1"/>
  <c r="AE863" i="31"/>
  <c r="AE864" i="31" a="1"/>
  <c r="AE864" i="31"/>
  <c r="AE865" i="31" a="1"/>
  <c r="AE865" i="31"/>
  <c r="AE866" i="31" a="1"/>
  <c r="AE866" i="31"/>
  <c r="AE867" i="31" a="1"/>
  <c r="AE867" i="31"/>
  <c r="AE868" i="31" a="1"/>
  <c r="AE868" i="31"/>
  <c r="AE869" i="31" a="1"/>
  <c r="AE869" i="31"/>
  <c r="AE870" i="31" a="1"/>
  <c r="AE870" i="31"/>
  <c r="AE871" i="31" a="1"/>
  <c r="AE871" i="31"/>
  <c r="AE872" i="31" a="1"/>
  <c r="AE872" i="31"/>
  <c r="AE873" i="31" a="1"/>
  <c r="AE873" i="31"/>
  <c r="AE874" i="31" a="1"/>
  <c r="AE874" i="31"/>
  <c r="AE875" i="31" a="1"/>
  <c r="AE875" i="31"/>
  <c r="AE876" i="31" a="1"/>
  <c r="AE876" i="31"/>
  <c r="AE877" i="31" a="1"/>
  <c r="AE877" i="31"/>
  <c r="AE878" i="31" a="1"/>
  <c r="AE878" i="31"/>
  <c r="AE879" i="31" a="1"/>
  <c r="AE879" i="31"/>
  <c r="AE880" i="31" a="1"/>
  <c r="AE880" i="31"/>
  <c r="AE881" i="31" a="1"/>
  <c r="AE881" i="31"/>
  <c r="AE882" i="31" a="1"/>
  <c r="AE882" i="31"/>
  <c r="AE883" i="31" a="1"/>
  <c r="AE883" i="31"/>
  <c r="AE884" i="31" a="1"/>
  <c r="AE884" i="31"/>
  <c r="AE885" i="31" a="1"/>
  <c r="AE885" i="31"/>
  <c r="AE886" i="31" a="1"/>
  <c r="AE886" i="31"/>
  <c r="AE887" i="31" a="1"/>
  <c r="AE887" i="31"/>
  <c r="AE888" i="31" a="1"/>
  <c r="AE888" i="31"/>
  <c r="AE889" i="31" a="1"/>
  <c r="AE889" i="31"/>
  <c r="AE890" i="31" a="1"/>
  <c r="AE890" i="31"/>
  <c r="AE891" i="31" a="1"/>
  <c r="AE891" i="31"/>
  <c r="AE892" i="31" a="1"/>
  <c r="AE892" i="31"/>
  <c r="AE893" i="31" a="1"/>
  <c r="AE893" i="31"/>
  <c r="AE894" i="31" a="1"/>
  <c r="AE894" i="31"/>
  <c r="AE895" i="31" a="1"/>
  <c r="AE895" i="31"/>
  <c r="AE896" i="31" a="1"/>
  <c r="AE896" i="31"/>
  <c r="AE897" i="31" a="1"/>
  <c r="AE897" i="31"/>
  <c r="AE898" i="31" a="1"/>
  <c r="AE898" i="31"/>
  <c r="AE899" i="31" a="1"/>
  <c r="AE899" i="31"/>
  <c r="AE900" i="31" a="1"/>
  <c r="AE900" i="31"/>
  <c r="AE901" i="31" a="1"/>
  <c r="AE901" i="31"/>
  <c r="AE902" i="31" a="1"/>
  <c r="AE902" i="31"/>
  <c r="AE903" i="31" a="1"/>
  <c r="AE903" i="31"/>
  <c r="AE904" i="31" a="1"/>
  <c r="AE904" i="31"/>
  <c r="AE905" i="31" a="1"/>
  <c r="AE905" i="31"/>
  <c r="AE906" i="31" a="1"/>
  <c r="AE906" i="31"/>
  <c r="AE907" i="31" a="1"/>
  <c r="AE907" i="31"/>
  <c r="AE908" i="31" a="1"/>
  <c r="AE908" i="31"/>
  <c r="AE909" i="31" a="1"/>
  <c r="AE909" i="31"/>
  <c r="AE910" i="31" a="1"/>
  <c r="AE910" i="31"/>
  <c r="AE911" i="31" a="1"/>
  <c r="AE911" i="31"/>
  <c r="AE912" i="31" a="1"/>
  <c r="AE912" i="31"/>
  <c r="AE913" i="31" a="1"/>
  <c r="AE913" i="31"/>
  <c r="AE914" i="31" a="1"/>
  <c r="AE914" i="31"/>
  <c r="AE915" i="31" a="1"/>
  <c r="AE915" i="31"/>
  <c r="AE916" i="31" a="1"/>
  <c r="AE916" i="31"/>
  <c r="AE917" i="31" a="1"/>
  <c r="AE917" i="31"/>
  <c r="AE918" i="31" a="1"/>
  <c r="AE918" i="31"/>
  <c r="AE919" i="31" a="1"/>
  <c r="AE919" i="31"/>
  <c r="AE920" i="31" a="1"/>
  <c r="AE920" i="31"/>
  <c r="AE921" i="31" a="1"/>
  <c r="AE921" i="31"/>
  <c r="AE922" i="31" a="1"/>
  <c r="AE922" i="31"/>
  <c r="AE923" i="31" a="1"/>
  <c r="AE923" i="31"/>
  <c r="AE924" i="31" a="1"/>
  <c r="AE924" i="31"/>
  <c r="AE925" i="31" a="1"/>
  <c r="AE925" i="31"/>
  <c r="AE926" i="31" a="1"/>
  <c r="AE926" i="31"/>
  <c r="AE927" i="31" a="1"/>
  <c r="AE927" i="31"/>
  <c r="AE928" i="31" a="1"/>
  <c r="AE928" i="31"/>
  <c r="AE929" i="31" a="1"/>
  <c r="AE929" i="31"/>
  <c r="AE930" i="31" a="1"/>
  <c r="AE930" i="31"/>
  <c r="AE931" i="31" a="1"/>
  <c r="AE931" i="31"/>
  <c r="AE932" i="31" a="1"/>
  <c r="AE932" i="31"/>
  <c r="AE933" i="31" a="1"/>
  <c r="AE933" i="31"/>
  <c r="AE934" i="31" a="1"/>
  <c r="AE934" i="31"/>
  <c r="AE935" i="31" a="1"/>
  <c r="AE935" i="31"/>
  <c r="AE936" i="31" a="1"/>
  <c r="AE936" i="31"/>
  <c r="AE937" i="31" a="1"/>
  <c r="AE937" i="31"/>
  <c r="AE938" i="31" a="1"/>
  <c r="AE938" i="31"/>
  <c r="AE939" i="31" a="1"/>
  <c r="AE939" i="31"/>
  <c r="AE940" i="31" a="1"/>
  <c r="AE940" i="31"/>
  <c r="AE941" i="31" a="1"/>
  <c r="AE941" i="31"/>
  <c r="AE942" i="31" a="1"/>
  <c r="AE942" i="31"/>
  <c r="AE943" i="31" a="1"/>
  <c r="AE943" i="31"/>
  <c r="AE944" i="31" a="1"/>
  <c r="AE944" i="31"/>
  <c r="AE945" i="31" a="1"/>
  <c r="AE945" i="31"/>
  <c r="AE946" i="31" a="1"/>
  <c r="AE946" i="31"/>
  <c r="AE947" i="31" a="1"/>
  <c r="AE947" i="31"/>
  <c r="AE948" i="31" a="1"/>
  <c r="AE948" i="31"/>
  <c r="AE949" i="31" a="1"/>
  <c r="AE949" i="31"/>
  <c r="AE950" i="31" a="1"/>
  <c r="AE950" i="31"/>
  <c r="AE951" i="31" a="1"/>
  <c r="AE951" i="31"/>
  <c r="AE952" i="31" a="1"/>
  <c r="AE952" i="31"/>
  <c r="AE953" i="31" a="1"/>
  <c r="AE953" i="31"/>
  <c r="AE954" i="31" a="1"/>
  <c r="AE954" i="31"/>
  <c r="AE955" i="31" a="1"/>
  <c r="AE955" i="31"/>
  <c r="AE956" i="31" a="1"/>
  <c r="AE956" i="31"/>
  <c r="AE957" i="31" a="1"/>
  <c r="AE957" i="31"/>
  <c r="AE958" i="31" a="1"/>
  <c r="AE958" i="31"/>
  <c r="AE959" i="31" a="1"/>
  <c r="AE959" i="31"/>
  <c r="AE960" i="31" a="1"/>
  <c r="AE960" i="31"/>
  <c r="AE961" i="31" a="1"/>
  <c r="AE961" i="31"/>
  <c r="AE962" i="31" a="1"/>
  <c r="AE962" i="31"/>
  <c r="AE963" i="31" a="1"/>
  <c r="AE963" i="31"/>
  <c r="AE964" i="31" a="1"/>
  <c r="AE964" i="31"/>
  <c r="AE965" i="31" a="1"/>
  <c r="AE965" i="31"/>
  <c r="AE966" i="31" a="1"/>
  <c r="AE966" i="31"/>
  <c r="AE967" i="31" a="1"/>
  <c r="AE967" i="31"/>
  <c r="AE968" i="31" a="1"/>
  <c r="AE968" i="31"/>
  <c r="AE969" i="31" a="1"/>
  <c r="AE969" i="31"/>
  <c r="AE970" i="31" a="1"/>
  <c r="AE970" i="31"/>
  <c r="AE971" i="31" a="1"/>
  <c r="AE971" i="31"/>
  <c r="AE972" i="31" a="1"/>
  <c r="AE972" i="31"/>
  <c r="AE973" i="31" a="1"/>
  <c r="AE973" i="31"/>
  <c r="AE974" i="31" a="1"/>
  <c r="AE974" i="31"/>
  <c r="AE975" i="31" a="1"/>
  <c r="AE975" i="31"/>
  <c r="AE976" i="31" a="1"/>
  <c r="AE976" i="31"/>
  <c r="AE977" i="31" a="1"/>
  <c r="AE977" i="31"/>
  <c r="AE978" i="31" a="1"/>
  <c r="AE978" i="31"/>
  <c r="AE979" i="31" a="1"/>
  <c r="AE979" i="31"/>
  <c r="AE980" i="31" a="1"/>
  <c r="AE980" i="31"/>
  <c r="AE981" i="31" a="1"/>
  <c r="AE981" i="31"/>
  <c r="AE982" i="31" a="1"/>
  <c r="AE982" i="31"/>
  <c r="AE983" i="31" a="1"/>
  <c r="AE983" i="31"/>
  <c r="AE984" i="31" a="1"/>
  <c r="AE984" i="31"/>
  <c r="AE985" i="31" a="1"/>
  <c r="AE985" i="31"/>
  <c r="AE986" i="31" a="1"/>
  <c r="AE986" i="31"/>
  <c r="AE987" i="31" a="1"/>
  <c r="AE987" i="31"/>
  <c r="AE988" i="31" a="1"/>
  <c r="AE988" i="31"/>
  <c r="AE989" i="31" a="1"/>
  <c r="AE989" i="31"/>
  <c r="AE990" i="31" a="1"/>
  <c r="AE990" i="31"/>
  <c r="AE991" i="31" a="1"/>
  <c r="AE991" i="31"/>
  <c r="AE992" i="31" a="1"/>
  <c r="AE992" i="31"/>
  <c r="AE993" i="31" a="1"/>
  <c r="AE993" i="31"/>
  <c r="AE994" i="31" a="1"/>
  <c r="AE994" i="31"/>
  <c r="AE995" i="31" a="1"/>
  <c r="AE995" i="31"/>
  <c r="AE996" i="31" a="1"/>
  <c r="AE996" i="31"/>
  <c r="AE997" i="31" a="1"/>
  <c r="AE997" i="31"/>
  <c r="AE998" i="31" a="1"/>
  <c r="AE998" i="31"/>
  <c r="AE999" i="31" a="1"/>
  <c r="AE999" i="31"/>
  <c r="AE1000" i="31" a="1"/>
  <c r="AE1000" i="31"/>
  <c r="AE1001" i="31" a="1"/>
  <c r="AE1001" i="31"/>
  <c r="AE1002" i="31" a="1"/>
  <c r="AE1002" i="31"/>
  <c r="AE1003" i="31" a="1"/>
  <c r="AE1003" i="31"/>
  <c r="AE1004" i="31" a="1"/>
  <c r="AE1004" i="31"/>
  <c r="AE1005" i="31" a="1"/>
  <c r="AE1005" i="31"/>
  <c r="AE1006" i="31" a="1"/>
  <c r="AE1006" i="31"/>
  <c r="AE1007" i="31" a="1"/>
  <c r="AE1007" i="31"/>
  <c r="AE1008" i="31" a="1"/>
  <c r="AE1008" i="31"/>
  <c r="AE1009" i="31" a="1"/>
  <c r="AE1009" i="31"/>
  <c r="AE1010" i="31" a="1"/>
  <c r="AE1010" i="31"/>
  <c r="AE1011" i="31" a="1"/>
  <c r="AE1011" i="31"/>
  <c r="AE1012" i="31" a="1"/>
  <c r="AE1012" i="31"/>
  <c r="AE1013" i="31" a="1"/>
  <c r="AE1013" i="31"/>
  <c r="AE1014" i="31" a="1"/>
  <c r="AE1014" i="31"/>
  <c r="AE1015" i="31" a="1"/>
  <c r="AE1015" i="31"/>
  <c r="AE1016" i="31" a="1"/>
  <c r="AE1016" i="31"/>
  <c r="AE1017" i="31" a="1"/>
  <c r="AE1017" i="31"/>
  <c r="AE1018" i="31" a="1"/>
  <c r="AE1018" i="31"/>
  <c r="AE1019" i="31" a="1"/>
  <c r="AE1019" i="31"/>
  <c r="AE1020" i="31" a="1"/>
  <c r="AE1020" i="31"/>
  <c r="AE1021" i="31" a="1"/>
  <c r="AE1021" i="31"/>
  <c r="AE1022" i="31" a="1"/>
  <c r="AE1022" i="31"/>
  <c r="AE1023" i="31" a="1"/>
  <c r="AE1023" i="31"/>
  <c r="AE1024" i="31" a="1"/>
  <c r="AE1024" i="31"/>
  <c r="AE1025" i="31" a="1"/>
  <c r="AE1025" i="31"/>
  <c r="AE1026" i="31" a="1"/>
  <c r="AE1026" i="31"/>
  <c r="AE1027" i="31" a="1"/>
  <c r="AE1027" i="31"/>
  <c r="AE1028" i="31" a="1"/>
  <c r="AE1028" i="31"/>
  <c r="AE1029" i="31" a="1"/>
  <c r="AE1029" i="31"/>
  <c r="AE1030" i="31" a="1"/>
  <c r="AE1030" i="31"/>
  <c r="AE1031" i="31" a="1"/>
  <c r="AE1031" i="31"/>
  <c r="AE1032" i="31" a="1"/>
  <c r="AE1032" i="31"/>
  <c r="AE1033" i="31" a="1"/>
  <c r="AE1033" i="31"/>
  <c r="AE1034" i="31" a="1"/>
  <c r="AE1034" i="31"/>
  <c r="AE1035" i="31" a="1"/>
  <c r="AE1035" i="31"/>
  <c r="AE1036" i="31" a="1"/>
  <c r="AE1036" i="31"/>
  <c r="AE1037" i="31" a="1"/>
  <c r="AE1037" i="31"/>
  <c r="AE1038" i="31" a="1"/>
  <c r="AE1038" i="31"/>
  <c r="AE1039" i="31" a="1"/>
  <c r="AE1039" i="31"/>
  <c r="AE1040" i="31" a="1"/>
  <c r="AE1040" i="31"/>
  <c r="AE1041" i="31" a="1"/>
  <c r="AE1041" i="31"/>
  <c r="AE1042" i="31" a="1"/>
  <c r="AE1042" i="31"/>
  <c r="AE1043" i="31" a="1"/>
  <c r="AE1043" i="31"/>
  <c r="AE1044" i="31" a="1"/>
  <c r="AE1044" i="31"/>
  <c r="AE1045" i="31" a="1"/>
  <c r="AE1045" i="31"/>
  <c r="AE1046" i="31" a="1"/>
  <c r="AE1046" i="31"/>
  <c r="AE1047" i="31" a="1"/>
  <c r="AE1047" i="31"/>
  <c r="AE1048" i="31" a="1"/>
  <c r="AE1048" i="31"/>
  <c r="AE1049" i="31" a="1"/>
  <c r="AE1049" i="31"/>
  <c r="AE1050" i="31" a="1"/>
  <c r="AE1050" i="31"/>
  <c r="AE1051" i="31" a="1"/>
  <c r="AE1051" i="31"/>
  <c r="AE1052" i="31" a="1"/>
  <c r="AE1052" i="31"/>
  <c r="AE1053" i="31" a="1"/>
  <c r="AE1053" i="31"/>
  <c r="AE1054" i="31" a="1"/>
  <c r="AE1054" i="31"/>
  <c r="AE1055" i="31" a="1"/>
  <c r="AE1055" i="31"/>
  <c r="AE1056" i="31" a="1"/>
  <c r="AE1056" i="31"/>
  <c r="AE1057" i="31" a="1"/>
  <c r="AE1057" i="31"/>
  <c r="AE1058" i="31" a="1"/>
  <c r="AE1058" i="31"/>
  <c r="AE1059" i="31" a="1"/>
  <c r="AE1059" i="31"/>
  <c r="AE1060" i="31" a="1"/>
  <c r="AE1060" i="31"/>
  <c r="AE1061" i="31" a="1"/>
  <c r="AE1061" i="31"/>
  <c r="AE1062" i="31" a="1"/>
  <c r="AE1062" i="31"/>
  <c r="AE1063" i="31" a="1"/>
  <c r="AE1063" i="31"/>
  <c r="AE1064" i="31" a="1"/>
  <c r="AE1064" i="31"/>
  <c r="AE1065" i="31" a="1"/>
  <c r="AE1065" i="31"/>
  <c r="AE1066" i="31" a="1"/>
  <c r="AE1066" i="31"/>
  <c r="AE1067" i="31" a="1"/>
  <c r="AE1067" i="31"/>
  <c r="AE1068" i="31" a="1"/>
  <c r="AE1068" i="31"/>
  <c r="AE1069" i="31" a="1"/>
  <c r="AE1069" i="31"/>
  <c r="AE1070" i="31" a="1"/>
  <c r="AE1070" i="31"/>
  <c r="AE1071" i="31" a="1"/>
  <c r="AE1071" i="31"/>
  <c r="AE1072" i="31" a="1"/>
  <c r="AE1072" i="31"/>
  <c r="AE1073" i="31" a="1"/>
  <c r="AE1073" i="31"/>
  <c r="AE1074" i="31" a="1"/>
  <c r="AE1074" i="31"/>
  <c r="AE1075" i="31" a="1"/>
  <c r="AE1075" i="31"/>
  <c r="AE1076" i="31" a="1"/>
  <c r="AE1076" i="31"/>
  <c r="AE1077" i="31" a="1"/>
  <c r="AE1077" i="31"/>
  <c r="AE1078" i="31" a="1"/>
  <c r="AE1078" i="31"/>
  <c r="AE1079" i="31" a="1"/>
  <c r="AE1079" i="31"/>
  <c r="AE1080" i="31" a="1"/>
  <c r="AE1080" i="31"/>
  <c r="AE1081" i="31" a="1"/>
  <c r="AE1081" i="31"/>
  <c r="AE1082" i="31" a="1"/>
  <c r="AE1082" i="31"/>
  <c r="AE1083" i="31" a="1"/>
  <c r="AE1083" i="31"/>
  <c r="AE1084" i="31" a="1"/>
  <c r="AE1084" i="31"/>
  <c r="AE1085" i="31" a="1"/>
  <c r="AE1085" i="31"/>
  <c r="AE1086" i="31" a="1"/>
  <c r="AE1086" i="31"/>
  <c r="AE1087" i="31" a="1"/>
  <c r="AE1087" i="31"/>
  <c r="AE1088" i="31" a="1"/>
  <c r="AE1088" i="31"/>
  <c r="AE1089" i="31" a="1"/>
  <c r="AE1089" i="31"/>
  <c r="AE1090" i="31" a="1"/>
  <c r="AE1090" i="31"/>
  <c r="AE1091" i="31" a="1"/>
  <c r="AE1091" i="31"/>
  <c r="AE1092" i="31" a="1"/>
  <c r="AE1092" i="31"/>
  <c r="AE1093" i="31" a="1"/>
  <c r="AE1093" i="31"/>
  <c r="AE1094" i="31" a="1"/>
  <c r="AE1094" i="31"/>
  <c r="AE1095" i="31" a="1"/>
  <c r="AE1095" i="31"/>
  <c r="AE1096" i="31" a="1"/>
  <c r="AE1096" i="31"/>
  <c r="AE1097" i="31" a="1"/>
  <c r="AE1097" i="31"/>
  <c r="AE1098" i="31" a="1"/>
  <c r="AE1098" i="31"/>
  <c r="AE1099" i="31" a="1"/>
  <c r="AE1099" i="31"/>
  <c r="AE1100" i="31" a="1"/>
  <c r="AE1100" i="31"/>
  <c r="AE1101" i="31" a="1"/>
  <c r="AE1101" i="31"/>
  <c r="AE1102" i="31" a="1"/>
  <c r="AE1102" i="31"/>
  <c r="AE1103" i="31" a="1"/>
  <c r="AE1103" i="31"/>
  <c r="AE1104" i="31" a="1"/>
  <c r="AE1104" i="31"/>
  <c r="AE1105" i="31" a="1"/>
  <c r="AE1105" i="31"/>
  <c r="AE1106" i="31" a="1"/>
  <c r="AE1106" i="31"/>
  <c r="AE1107" i="31" a="1"/>
  <c r="AE1107" i="31"/>
  <c r="AE1108" i="31" a="1"/>
  <c r="AE1108" i="31"/>
  <c r="AE1109" i="31" a="1"/>
  <c r="AE1109" i="31"/>
  <c r="AE1110" i="31" a="1"/>
  <c r="AE1110" i="31"/>
  <c r="AE1111" i="31" a="1"/>
  <c r="AE1111" i="31"/>
  <c r="AE1112" i="31" a="1"/>
  <c r="AE1112" i="31"/>
  <c r="AE1113" i="31" a="1"/>
  <c r="AE1113" i="31"/>
  <c r="AE1114" i="31" a="1"/>
  <c r="AE1114" i="31"/>
  <c r="AE1115" i="31" a="1"/>
  <c r="AE1115" i="31"/>
  <c r="AE1116" i="31" a="1"/>
  <c r="AE1116" i="31"/>
  <c r="AE1117" i="31" a="1"/>
  <c r="AE1117" i="31"/>
  <c r="AE1118" i="31" a="1"/>
  <c r="AE1118" i="31"/>
  <c r="AE1119" i="31" a="1"/>
  <c r="AE1119" i="31"/>
  <c r="AE1120" i="31" a="1"/>
  <c r="AE1120" i="31"/>
  <c r="AE1121" i="31" a="1"/>
  <c r="AE1121" i="31"/>
  <c r="AE1122" i="31" a="1"/>
  <c r="AE1122" i="31"/>
  <c r="AE1123" i="31" a="1"/>
  <c r="AE1123" i="31"/>
  <c r="AE1124" i="31" a="1"/>
  <c r="AE1124" i="31"/>
  <c r="AE1125" i="31" a="1"/>
  <c r="AE1125" i="31"/>
  <c r="AE1126" i="31" a="1"/>
  <c r="AE1126" i="31"/>
  <c r="AE1127" i="31" a="1"/>
  <c r="AE1127" i="31"/>
  <c r="AE1128" i="31" a="1"/>
  <c r="AE1128" i="31"/>
  <c r="AE1129" i="31" a="1"/>
  <c r="AE1129" i="31"/>
  <c r="AE1130" i="31" a="1"/>
  <c r="AE1130" i="31"/>
  <c r="AE1131" i="31" a="1"/>
  <c r="AE1131" i="31"/>
  <c r="AE1132" i="31" a="1"/>
  <c r="AE1132" i="31"/>
  <c r="AE1133" i="31" a="1"/>
  <c r="AE1133" i="31"/>
  <c r="AE1134" i="31" a="1"/>
  <c r="AE1134" i="31"/>
  <c r="AE1135" i="31" a="1"/>
  <c r="AE1135" i="31"/>
  <c r="AE1136" i="31" a="1"/>
  <c r="AE1136" i="31"/>
  <c r="AE1137" i="31" a="1"/>
  <c r="AE1137" i="31"/>
  <c r="AE1138" i="31" a="1"/>
  <c r="AE1138" i="31"/>
  <c r="AE1139" i="31" a="1"/>
  <c r="AE1139" i="31"/>
  <c r="AE1140" i="31" a="1"/>
  <c r="AE1140" i="31"/>
  <c r="AE1141" i="31" a="1"/>
  <c r="AE1141" i="31"/>
  <c r="AE1142" i="31" a="1"/>
  <c r="AE1142" i="31"/>
  <c r="AE1143" i="31" a="1"/>
  <c r="AE1143" i="31"/>
  <c r="AE1144" i="31" a="1"/>
  <c r="AE1144" i="31"/>
  <c r="AE1145" i="31" a="1"/>
  <c r="AE1145" i="31"/>
  <c r="AE1146" i="31" a="1"/>
  <c r="AE1146" i="31"/>
  <c r="AE1147" i="31" a="1"/>
  <c r="AE1147" i="31"/>
  <c r="AE1148" i="31" a="1"/>
  <c r="AE1148" i="31"/>
  <c r="AE1149" i="31" a="1"/>
  <c r="AE1149" i="31"/>
  <c r="AE1150" i="31" a="1"/>
  <c r="AE1150" i="31"/>
  <c r="AE1151" i="31" a="1"/>
  <c r="AE1151" i="31"/>
  <c r="AE1152" i="31" a="1"/>
  <c r="AE1152" i="31"/>
  <c r="AE1153" i="31" a="1"/>
  <c r="AE1153" i="31"/>
  <c r="AE1154" i="31" a="1"/>
  <c r="AE1154" i="31"/>
  <c r="AE1155" i="31" a="1"/>
  <c r="AE1155" i="31"/>
  <c r="AE1156" i="31" a="1"/>
  <c r="AE1156" i="31"/>
  <c r="AE1157" i="31" a="1"/>
  <c r="AE1157" i="31"/>
  <c r="AE1158" i="31" a="1"/>
  <c r="AE1158" i="31"/>
  <c r="AE1159" i="31" a="1"/>
  <c r="AE1159" i="31"/>
  <c r="AE1160" i="31" a="1"/>
  <c r="AE1160" i="31"/>
  <c r="AE1161" i="31" a="1"/>
  <c r="AE1161" i="31"/>
  <c r="AE1162" i="31" a="1"/>
  <c r="AE1162" i="31"/>
  <c r="AE1163" i="31" a="1"/>
  <c r="AE1163" i="31"/>
  <c r="AE1164" i="31" a="1"/>
  <c r="AE1164" i="31"/>
  <c r="AE1165" i="31" a="1"/>
  <c r="AE1165" i="31"/>
  <c r="AE1166" i="31" a="1"/>
  <c r="AE1166" i="31"/>
  <c r="AE1167" i="31" a="1"/>
  <c r="AE1167" i="31"/>
  <c r="AE1168" i="31" a="1"/>
  <c r="AE1168" i="31"/>
  <c r="AE1169" i="31" a="1"/>
  <c r="AE1169" i="31"/>
  <c r="AE1170" i="31" a="1"/>
  <c r="AE1170" i="31"/>
  <c r="AE1171" i="31" a="1"/>
  <c r="AE1171" i="31"/>
  <c r="AE1172" i="31" a="1"/>
  <c r="AE1172" i="31"/>
  <c r="AE1173" i="31" a="1"/>
  <c r="AE1173" i="31"/>
  <c r="AE1174" i="31" a="1"/>
  <c r="AE1174" i="31"/>
  <c r="AE1175" i="31" a="1"/>
  <c r="AE1175" i="31"/>
  <c r="AE1176" i="31" a="1"/>
  <c r="AE1176" i="31"/>
  <c r="AE1177" i="31" a="1"/>
  <c r="AE1177" i="31"/>
  <c r="AE1178" i="31" a="1"/>
  <c r="AE1178" i="31"/>
  <c r="AE1179" i="31" a="1"/>
  <c r="AE1179" i="31"/>
  <c r="AE1180" i="31" a="1"/>
  <c r="AE1180" i="31"/>
  <c r="AE1181" i="31" a="1"/>
  <c r="AE1181" i="31"/>
  <c r="AE1182" i="31" a="1"/>
  <c r="AE1182" i="31"/>
  <c r="AE1183" i="31" a="1"/>
  <c r="AE1183" i="31"/>
  <c r="AE1184" i="31" a="1"/>
  <c r="AE1184" i="31"/>
  <c r="AE1185" i="31" a="1"/>
  <c r="AE1185" i="31"/>
  <c r="AE1186" i="31" a="1"/>
  <c r="AE1186" i="31"/>
  <c r="AE1187" i="31" a="1"/>
  <c r="AE1187" i="31"/>
  <c r="AE1188" i="31" a="1"/>
  <c r="AE1188" i="31"/>
  <c r="AE1189" i="31" a="1"/>
  <c r="AE1189" i="31"/>
  <c r="AE1190" i="31" a="1"/>
  <c r="AE1190" i="31"/>
  <c r="AE1191" i="31" a="1"/>
  <c r="AE1191" i="31"/>
  <c r="AE1192" i="31" a="1"/>
  <c r="AE1192" i="31"/>
  <c r="AE1193" i="31" a="1"/>
  <c r="AE1193" i="31"/>
  <c r="AE1194" i="31" a="1"/>
  <c r="AE1194" i="31"/>
  <c r="AE1195" i="31" a="1"/>
  <c r="AE1195" i="31"/>
  <c r="AE1196" i="31" a="1"/>
  <c r="AE1196" i="31"/>
  <c r="AE1197" i="31" a="1"/>
  <c r="AE1197" i="31"/>
  <c r="AE1198" i="31" a="1"/>
  <c r="AE1198" i="31"/>
  <c r="AE1199" i="31" a="1"/>
  <c r="AE1199" i="31"/>
  <c r="AE1200" i="31" a="1"/>
  <c r="AE1200" i="31"/>
  <c r="AE1201" i="31" a="1"/>
  <c r="AE1201" i="31"/>
  <c r="AE1202" i="31" a="1"/>
  <c r="AE1202" i="31"/>
  <c r="AE1203" i="31" a="1"/>
  <c r="AE1203" i="31"/>
  <c r="AE1204" i="31" a="1"/>
  <c r="AE1204" i="31"/>
  <c r="AE1205" i="31" a="1"/>
  <c r="AE1205" i="31"/>
  <c r="AE1206" i="31" a="1"/>
  <c r="AE1206" i="31"/>
  <c r="AE1207" i="31" a="1"/>
  <c r="AE1207" i="31"/>
  <c r="AE1208" i="31" a="1"/>
  <c r="AE1208" i="31"/>
  <c r="AE1209" i="31" a="1"/>
  <c r="AE1209" i="31"/>
  <c r="AE1210" i="31" a="1"/>
  <c r="AE1210" i="31"/>
  <c r="AE1211" i="31" a="1"/>
  <c r="AE1211" i="31"/>
  <c r="AE1212" i="31" a="1"/>
  <c r="AE1212" i="31"/>
  <c r="AE1213" i="31" a="1"/>
  <c r="AE1213" i="31"/>
  <c r="AE1214" i="31" a="1"/>
  <c r="AE1214" i="31"/>
  <c r="AE1215" i="31" a="1"/>
  <c r="AE1215" i="31"/>
  <c r="AE1216" i="31" a="1"/>
  <c r="AE1216" i="31"/>
  <c r="AE1217" i="31" a="1"/>
  <c r="AE1217" i="31"/>
  <c r="AE1218" i="31" a="1"/>
  <c r="AE1218" i="31"/>
  <c r="AE1219" i="31" a="1"/>
  <c r="AE1219" i="31"/>
  <c r="AE1220" i="31" a="1"/>
  <c r="AE1220" i="31"/>
  <c r="AE1221" i="31" a="1"/>
  <c r="AE1221" i="31"/>
  <c r="AE1222" i="31" a="1"/>
  <c r="AE1222" i="31"/>
  <c r="AE1223" i="31" a="1"/>
  <c r="AE1223" i="31"/>
  <c r="AE1224" i="31" a="1"/>
  <c r="AE1224" i="31"/>
  <c r="AE1225" i="31" a="1"/>
  <c r="AE1225" i="31"/>
  <c r="AE1226" i="31" a="1"/>
  <c r="AE1226" i="31"/>
  <c r="AE1227" i="31" a="1"/>
  <c r="AE1227" i="31"/>
  <c r="AE1228" i="31" a="1"/>
  <c r="AE1228" i="31"/>
  <c r="AE1229" i="31" a="1"/>
  <c r="AE1229" i="31"/>
  <c r="AE1230" i="31" a="1"/>
  <c r="AE1230" i="31"/>
  <c r="AE1231" i="31" a="1"/>
  <c r="AE1231" i="31"/>
  <c r="AE1232" i="31" a="1"/>
  <c r="AE1232" i="31"/>
  <c r="AE1233" i="31" a="1"/>
  <c r="AE1233" i="31"/>
  <c r="AE1234" i="31" a="1"/>
  <c r="AE1234" i="31"/>
  <c r="AE1235" i="31" a="1"/>
  <c r="AE1235" i="31"/>
  <c r="AE1236" i="31" a="1"/>
  <c r="AE1236" i="31"/>
  <c r="AE1237" i="31" a="1"/>
  <c r="AE1237" i="31"/>
  <c r="AE1238" i="31" a="1"/>
  <c r="AE1238" i="31"/>
  <c r="AE1239" i="31" a="1"/>
  <c r="AE1239" i="31"/>
  <c r="AE1240" i="31" a="1"/>
  <c r="AE1240" i="31"/>
  <c r="AE1241" i="31" a="1"/>
  <c r="AE1241" i="31"/>
  <c r="AE1242" i="31" a="1"/>
  <c r="AE1242" i="31"/>
  <c r="AE1243" i="31" a="1"/>
  <c r="AE1243" i="31"/>
  <c r="AE1244" i="31" a="1"/>
  <c r="AE1244" i="31"/>
  <c r="AE1245" i="31" a="1"/>
  <c r="AE1245" i="31"/>
  <c r="AE1246" i="31" a="1"/>
  <c r="AE1246" i="31"/>
  <c r="AE1247" i="31" a="1"/>
  <c r="AE1247" i="31"/>
  <c r="AE1248" i="31" a="1"/>
  <c r="AE1248" i="31"/>
  <c r="AE1249" i="31" a="1"/>
  <c r="AE1249" i="31"/>
  <c r="AE1250" i="31" a="1"/>
  <c r="AE1250" i="31"/>
  <c r="AE1251" i="31" a="1"/>
  <c r="AE1251" i="31"/>
  <c r="AE1252" i="31" a="1"/>
  <c r="AE1252" i="31"/>
  <c r="AE1253" i="31" a="1"/>
  <c r="AE1253" i="31"/>
  <c r="AE1254" i="31" a="1"/>
  <c r="AE1254" i="31"/>
  <c r="AE1255" i="31" a="1"/>
  <c r="AE1255" i="31"/>
  <c r="AE1256" i="31" a="1"/>
  <c r="AE1256" i="31"/>
  <c r="AE1257" i="31" a="1"/>
  <c r="AE1257" i="31"/>
  <c r="AE1258" i="31" a="1"/>
  <c r="AE1258" i="31"/>
  <c r="AE1259" i="31" a="1"/>
  <c r="AE1259" i="31"/>
  <c r="AE1260" i="31" a="1"/>
  <c r="AE1260" i="31"/>
  <c r="AE1261" i="31" a="1"/>
  <c r="AE1261" i="31"/>
  <c r="AE1262" i="31" a="1"/>
  <c r="AE1262" i="31"/>
  <c r="AE1263" i="31" a="1"/>
  <c r="AE1263" i="31"/>
  <c r="AE1264" i="31" a="1"/>
  <c r="AE1264" i="31"/>
  <c r="AE1265" i="31" a="1"/>
  <c r="AE1265" i="31"/>
  <c r="AE1266" i="31" a="1"/>
  <c r="AE1266" i="31"/>
  <c r="AE1267" i="31" a="1"/>
  <c r="AE1267" i="31"/>
  <c r="AE1268" i="31" a="1"/>
  <c r="AE1268" i="31"/>
  <c r="AE1269" i="31" a="1"/>
  <c r="AE1269" i="31"/>
  <c r="AE1270" i="31" a="1"/>
  <c r="AE1270" i="31"/>
  <c r="AE1271" i="31" a="1"/>
  <c r="AE1271" i="31"/>
  <c r="AE1272" i="31" a="1"/>
  <c r="AE1272" i="31"/>
  <c r="AE1273" i="31" a="1"/>
  <c r="AE1273" i="31"/>
  <c r="AE1274" i="31" a="1"/>
  <c r="AE1274" i="31"/>
  <c r="AE1275" i="31" a="1"/>
  <c r="AE1275" i="31"/>
  <c r="AE1276" i="31" a="1"/>
  <c r="AE1276" i="31"/>
  <c r="AE1277" i="31" a="1"/>
  <c r="AE1277" i="31"/>
  <c r="AE1278" i="31" a="1"/>
  <c r="AE1278" i="31"/>
  <c r="AE1279" i="31" a="1"/>
  <c r="AE1279" i="31"/>
  <c r="AE1280" i="31" a="1"/>
  <c r="AE1280" i="31"/>
  <c r="AE1281" i="31" a="1"/>
  <c r="AE1281" i="31"/>
  <c r="AE1282" i="31" a="1"/>
  <c r="AE1282" i="31"/>
  <c r="AE1283" i="31" a="1"/>
  <c r="AE1283" i="31"/>
  <c r="AE1284" i="31" a="1"/>
  <c r="AE1284" i="31"/>
  <c r="AE1285" i="31" a="1"/>
  <c r="AE1285" i="31"/>
  <c r="AE1286" i="31" a="1"/>
  <c r="AE1286" i="31"/>
  <c r="AE1287" i="31" a="1"/>
  <c r="AE1287" i="31"/>
  <c r="AE1288" i="31" a="1"/>
  <c r="AE1288" i="31"/>
  <c r="AE1289" i="31" a="1"/>
  <c r="AE1289" i="31"/>
  <c r="AE1290" i="31" a="1"/>
  <c r="AE1290" i="31"/>
  <c r="AE1291" i="31" a="1"/>
  <c r="AE1291" i="31"/>
  <c r="AE1292" i="31" a="1"/>
  <c r="AE1292" i="31"/>
  <c r="AE1293" i="31" a="1"/>
  <c r="AE1293" i="31"/>
  <c r="AE1294" i="31" a="1"/>
  <c r="AE1294" i="31"/>
  <c r="AE1295" i="31" a="1"/>
  <c r="AE1295" i="31"/>
  <c r="AE1296" i="31" a="1"/>
  <c r="AE1296" i="31"/>
  <c r="AE1297" i="31" a="1"/>
  <c r="AE1297" i="31"/>
  <c r="AE1298" i="31" a="1"/>
  <c r="AE1298" i="31"/>
  <c r="AE1299" i="31" a="1"/>
  <c r="AE1299" i="31"/>
  <c r="AE1300" i="31" a="1"/>
  <c r="AE1300" i="31"/>
  <c r="AE1301" i="31" a="1"/>
  <c r="AE1301" i="31"/>
  <c r="AE1302" i="31" a="1"/>
  <c r="AE1302" i="31"/>
  <c r="AE1303" i="31" a="1"/>
  <c r="AE1303" i="31"/>
  <c r="AE1304" i="31" a="1"/>
  <c r="AE1304" i="31"/>
  <c r="AE1305" i="31" a="1"/>
  <c r="AE1305" i="31"/>
  <c r="AE1306" i="31" a="1"/>
  <c r="AE1306" i="31"/>
  <c r="AE1307" i="31" a="1"/>
  <c r="AE1307" i="31"/>
  <c r="AE1308" i="31" a="1"/>
  <c r="AE1308" i="31"/>
  <c r="AE1309" i="31" a="1"/>
  <c r="AE1309" i="31"/>
  <c r="AE1310" i="31" a="1"/>
  <c r="AE1310" i="31"/>
  <c r="AE1311" i="31" a="1"/>
  <c r="AE1311" i="31"/>
  <c r="AE1312" i="31" a="1"/>
  <c r="AE1312" i="31"/>
  <c r="AE1313" i="31" a="1"/>
  <c r="AE1313" i="31"/>
  <c r="AE1314" i="31" a="1"/>
  <c r="AE1314" i="31"/>
  <c r="AE1315" i="31" a="1"/>
  <c r="AE1315" i="31"/>
  <c r="AE1316" i="31" a="1"/>
  <c r="AE1316" i="31"/>
  <c r="AE1317" i="31" a="1"/>
  <c r="AE1317" i="31"/>
  <c r="AE1318" i="31" a="1"/>
  <c r="AE1318" i="31"/>
  <c r="AE1319" i="31" a="1"/>
  <c r="AE1319" i="31"/>
  <c r="AE1320" i="31" a="1"/>
  <c r="AE1320" i="31"/>
  <c r="AE1321" i="31" a="1"/>
  <c r="AE1321" i="31"/>
  <c r="AE1322" i="31" a="1"/>
  <c r="AE1322" i="31"/>
  <c r="AE1323" i="31" a="1"/>
  <c r="AE1323" i="31"/>
  <c r="AE1324" i="31" a="1"/>
  <c r="AE1324" i="31"/>
  <c r="AE1325" i="31" a="1"/>
  <c r="AE1325" i="31"/>
  <c r="AE1326" i="31" a="1"/>
  <c r="AE1326" i="31"/>
  <c r="AE1327" i="31" a="1"/>
  <c r="AE1327" i="31"/>
  <c r="AE1328" i="31" a="1"/>
  <c r="AE1328" i="31"/>
  <c r="AE1329" i="31" a="1"/>
  <c r="AE1329" i="31"/>
  <c r="AE1330" i="31" a="1"/>
  <c r="AE1330" i="31"/>
  <c r="AE1331" i="31" a="1"/>
  <c r="AE1331" i="31"/>
  <c r="AE1332" i="31" a="1"/>
  <c r="AE1332" i="31"/>
  <c r="AE1333" i="31" a="1"/>
  <c r="AE1333" i="31"/>
  <c r="AE1334" i="31" a="1"/>
  <c r="AE1334" i="31"/>
  <c r="AE1335" i="31" a="1"/>
  <c r="AE1335" i="31"/>
  <c r="AE1336" i="31" a="1"/>
  <c r="AE1336" i="31"/>
  <c r="AE1337" i="31" a="1"/>
  <c r="AE1337" i="31"/>
  <c r="AE1338" i="31" a="1"/>
  <c r="AE1338" i="31"/>
  <c r="AE1339" i="31" a="1"/>
  <c r="AE1339" i="31"/>
  <c r="AE1340" i="31" a="1"/>
  <c r="AE1340" i="31"/>
  <c r="AE1341" i="31" a="1"/>
  <c r="AE1341" i="31"/>
  <c r="AE1342" i="31" a="1"/>
  <c r="AE1342" i="31"/>
  <c r="AE1343" i="31" a="1"/>
  <c r="AE1343" i="31"/>
  <c r="AE1344" i="31" a="1"/>
  <c r="AE1344" i="31"/>
  <c r="AE1345" i="31" a="1"/>
  <c r="AE1345" i="31"/>
  <c r="AE1346" i="31" a="1"/>
  <c r="AE1346" i="31"/>
  <c r="AE1347" i="31" a="1"/>
  <c r="AE1347" i="31"/>
  <c r="AE1348" i="31" a="1"/>
  <c r="AE1348" i="31"/>
  <c r="AE1349" i="31" a="1"/>
  <c r="AE1349" i="31"/>
  <c r="AE1350" i="31" a="1"/>
  <c r="AE1350" i="31"/>
  <c r="AE1351" i="31" a="1"/>
  <c r="AE1351" i="31"/>
  <c r="AE1352" i="31" a="1"/>
  <c r="AE1352" i="31"/>
  <c r="AE1353" i="31" a="1"/>
  <c r="AE1353" i="31"/>
  <c r="AE1354" i="31" a="1"/>
  <c r="AE1354" i="31"/>
  <c r="AE1355" i="31" a="1"/>
  <c r="AE1355" i="31"/>
  <c r="AE1356" i="31" a="1"/>
  <c r="AE1356" i="31"/>
  <c r="AE1357" i="31" a="1"/>
  <c r="AE1357" i="31"/>
  <c r="AE1358" i="31" a="1"/>
  <c r="AE1358" i="31"/>
  <c r="AE1359" i="31" a="1"/>
  <c r="AE1359" i="31"/>
  <c r="AE1360" i="31" a="1"/>
  <c r="AE1360" i="31"/>
  <c r="AE1361" i="31" a="1"/>
  <c r="AE1361" i="31"/>
  <c r="AE1362" i="31" a="1"/>
  <c r="AE1362" i="31"/>
  <c r="AE1363" i="31" a="1"/>
  <c r="AE1363" i="31"/>
  <c r="AE1364" i="31" a="1"/>
  <c r="AE1364" i="31"/>
  <c r="AE1365" i="31" a="1"/>
  <c r="AE1365" i="31"/>
  <c r="AE1366" i="31" a="1"/>
  <c r="AE1366" i="31"/>
  <c r="AE1367" i="31" a="1"/>
  <c r="AE1367" i="31"/>
  <c r="AE1368" i="31" a="1"/>
  <c r="AE1368" i="31"/>
  <c r="AE1369" i="31" a="1"/>
  <c r="AE1369" i="31"/>
  <c r="AE1370" i="31" a="1"/>
  <c r="AE1370" i="31"/>
  <c r="AE1371" i="31" a="1"/>
  <c r="AE1371" i="31"/>
  <c r="AE1372" i="31" a="1"/>
  <c r="AE1372" i="31"/>
  <c r="AE1373" i="31" a="1"/>
  <c r="AE1373" i="31"/>
  <c r="AE1374" i="31" a="1"/>
  <c r="AE1374" i="31"/>
  <c r="AE1375" i="31" a="1"/>
  <c r="AE1375" i="31"/>
  <c r="AE1376" i="31" a="1"/>
  <c r="AE1376" i="31"/>
  <c r="AE1377" i="31" a="1"/>
  <c r="AE1377" i="31"/>
  <c r="AE1378" i="31" a="1"/>
  <c r="AE1378" i="31"/>
  <c r="AE1379" i="31" a="1"/>
  <c r="AE1379" i="31"/>
  <c r="AE1380" i="31" a="1"/>
  <c r="AE1380" i="31"/>
  <c r="AE1381" i="31" a="1"/>
  <c r="AE1381" i="31"/>
  <c r="AE1382" i="31" a="1"/>
  <c r="AE1382" i="31"/>
  <c r="AE1383" i="31" a="1"/>
  <c r="AE1383" i="31"/>
  <c r="AE1384" i="31" a="1"/>
  <c r="AE1384" i="31"/>
  <c r="AE1385" i="31" a="1"/>
  <c r="AE1385" i="31"/>
  <c r="AE1386" i="31" a="1"/>
  <c r="AE1386" i="31"/>
  <c r="AE1387" i="31" a="1"/>
  <c r="AE1387" i="31"/>
  <c r="AE1388" i="31" a="1"/>
  <c r="AE1388" i="31"/>
  <c r="AE1389" i="31" a="1"/>
  <c r="AE1389" i="31"/>
  <c r="AE1390" i="31" a="1"/>
  <c r="AE1390" i="31"/>
  <c r="AE1391" i="31" a="1"/>
  <c r="AE1391" i="31"/>
  <c r="AE1392" i="31" a="1"/>
  <c r="AE1392" i="31"/>
  <c r="AE1393" i="31" a="1"/>
  <c r="AE1393" i="31"/>
  <c r="AE1394" i="31" a="1"/>
  <c r="AE1394" i="31"/>
  <c r="AE1395" i="31" a="1"/>
  <c r="AE1395" i="31"/>
  <c r="AE1396" i="31" a="1"/>
  <c r="AE1396" i="31"/>
  <c r="AE1397" i="31" a="1"/>
  <c r="AE1397" i="31"/>
  <c r="AE1398" i="31" a="1"/>
  <c r="AE1398" i="31"/>
  <c r="AE1399" i="31" a="1"/>
  <c r="AE1399" i="31"/>
  <c r="AE1400" i="31" a="1"/>
  <c r="AE1400" i="31"/>
  <c r="AE1401" i="31" a="1"/>
  <c r="AE1401" i="31"/>
  <c r="AE1402" i="31" a="1"/>
  <c r="AE1402" i="31"/>
  <c r="AE1403" i="31" a="1"/>
  <c r="AE1403" i="31"/>
  <c r="AE1404" i="31" a="1"/>
  <c r="AE1404" i="31"/>
  <c r="AE1405" i="31" a="1"/>
  <c r="AE1405" i="31"/>
  <c r="AE1406" i="31" a="1"/>
  <c r="AE1406" i="31"/>
  <c r="AE1407" i="31" a="1"/>
  <c r="AE1407" i="31"/>
  <c r="AE1408" i="31" a="1"/>
  <c r="AE1408" i="31"/>
  <c r="AE1409" i="31" a="1"/>
  <c r="AE1409" i="31"/>
  <c r="AE1410" i="31" a="1"/>
  <c r="AE1410" i="31"/>
  <c r="AE1411" i="31" a="1"/>
  <c r="AE1411" i="31"/>
  <c r="AE1412" i="31" a="1"/>
  <c r="AE1412" i="31"/>
  <c r="AE1413" i="31" a="1"/>
  <c r="AE1413" i="31"/>
  <c r="AE1414" i="31" a="1"/>
  <c r="AE1414" i="31"/>
  <c r="AE1415" i="31" a="1"/>
  <c r="AE1415" i="31"/>
  <c r="AE1416" i="31" a="1"/>
  <c r="AE1416" i="31"/>
  <c r="AE1417" i="31" a="1"/>
  <c r="AE1417" i="31"/>
  <c r="AE1418" i="31" a="1"/>
  <c r="AE1418" i="31"/>
  <c r="AE1419" i="31" a="1"/>
  <c r="AE1419" i="31"/>
  <c r="AE1420" i="31" a="1"/>
  <c r="AE1420" i="31"/>
  <c r="AE1421" i="31" a="1"/>
  <c r="AE1421" i="31"/>
  <c r="AE1422" i="31" a="1"/>
  <c r="AE1422" i="31"/>
  <c r="AE1423" i="31" a="1"/>
  <c r="AE1423" i="31"/>
  <c r="AE1424" i="31" a="1"/>
  <c r="AE1424" i="31"/>
  <c r="AE1425" i="31" a="1"/>
  <c r="AE1425" i="31"/>
  <c r="AE1426" i="31" a="1"/>
  <c r="AE1426" i="31"/>
  <c r="AE1427" i="31" a="1"/>
  <c r="AE1427" i="31"/>
  <c r="AE1428" i="31" a="1"/>
  <c r="AE1428" i="31"/>
  <c r="AE1429" i="31" a="1"/>
  <c r="AE1429" i="31"/>
  <c r="AE1430" i="31" a="1"/>
  <c r="AE1430" i="31"/>
  <c r="AE1431" i="31" a="1"/>
  <c r="AE1431" i="31"/>
  <c r="AE1432" i="31" a="1"/>
  <c r="AE1432" i="31"/>
  <c r="AE1433" i="31" a="1"/>
  <c r="AE1433" i="31"/>
  <c r="AE1434" i="31" a="1"/>
  <c r="AE1434" i="31"/>
  <c r="AE1435" i="31" a="1"/>
  <c r="AE1435" i="31"/>
  <c r="AE1436" i="31" a="1"/>
  <c r="AE1436" i="31"/>
  <c r="AE1437" i="31" a="1"/>
  <c r="AE1437" i="31"/>
  <c r="AE1438" i="31" a="1"/>
  <c r="AE1438" i="31"/>
  <c r="AE1439" i="31" a="1"/>
  <c r="AE1439" i="31"/>
  <c r="AE1440" i="31" a="1"/>
  <c r="AE1440" i="31"/>
  <c r="AE1441" i="31" a="1"/>
  <c r="AE1441" i="31"/>
  <c r="AE1442" i="31" a="1"/>
  <c r="AE1442" i="31"/>
  <c r="AE1443" i="31" a="1"/>
  <c r="AE1443" i="31"/>
  <c r="AE1444" i="31" a="1"/>
  <c r="AE1444" i="31"/>
  <c r="AE1445" i="31" a="1"/>
  <c r="AE1445" i="31"/>
  <c r="AE1446" i="31" a="1"/>
  <c r="AE1446" i="31"/>
  <c r="AE1447" i="31" a="1"/>
  <c r="AE1447" i="31"/>
  <c r="AE1448" i="31" a="1"/>
  <c r="AE1448" i="31"/>
  <c r="AE1449" i="31" a="1"/>
  <c r="AE1449" i="31"/>
  <c r="AE1450" i="31" a="1"/>
  <c r="AE1450" i="31"/>
  <c r="AE1451" i="31" a="1"/>
  <c r="AE1451" i="31"/>
  <c r="AE1452" i="31" a="1"/>
  <c r="AE1452" i="31"/>
  <c r="AE1453" i="31" a="1"/>
  <c r="AE1453" i="31"/>
  <c r="AE1454" i="31" a="1"/>
  <c r="AE1454" i="31"/>
  <c r="AE1455" i="31" a="1"/>
  <c r="AE1455" i="31"/>
  <c r="AE1456" i="31" a="1"/>
  <c r="AE1456" i="31"/>
  <c r="AE1457" i="31" a="1"/>
  <c r="AE1457" i="31"/>
  <c r="AE1458" i="31" a="1"/>
  <c r="AE1458" i="31"/>
  <c r="AE1459" i="31" a="1"/>
  <c r="AE1459" i="31"/>
  <c r="AE1460" i="31" a="1"/>
  <c r="AE1460" i="31"/>
  <c r="AE1461" i="31" a="1"/>
  <c r="AE1461" i="31"/>
  <c r="AE1462" i="31" a="1"/>
  <c r="AE1462" i="31"/>
  <c r="AE1463" i="31" a="1"/>
  <c r="AE1463" i="31"/>
  <c r="AE1464" i="31" a="1"/>
  <c r="AE1464" i="31"/>
  <c r="AE1465" i="31" a="1"/>
  <c r="AE1465" i="31"/>
  <c r="AE1466" i="31" a="1"/>
  <c r="AE1466" i="31"/>
  <c r="AE1467" i="31" a="1"/>
  <c r="AE1467" i="31"/>
  <c r="AE1468" i="31" a="1"/>
  <c r="AE1468" i="31"/>
  <c r="AE1469" i="31" a="1"/>
  <c r="AE1469" i="31"/>
  <c r="AE1470" i="31" a="1"/>
  <c r="AE1470" i="31"/>
  <c r="AE1471" i="31" a="1"/>
  <c r="AE1471" i="31"/>
  <c r="AE1472" i="31" a="1"/>
  <c r="AE1472" i="31"/>
  <c r="AE1473" i="31" a="1"/>
  <c r="AE1473" i="31"/>
  <c r="AE1474" i="31" a="1"/>
  <c r="AE1474" i="31"/>
  <c r="AE1475" i="31" a="1"/>
  <c r="AE1475" i="31"/>
  <c r="AE1476" i="31" a="1"/>
  <c r="AE1476" i="31"/>
  <c r="AE1477" i="31" a="1"/>
  <c r="AE1477" i="31"/>
  <c r="AE1478" i="31" a="1"/>
  <c r="AE1478" i="31"/>
  <c r="AE1479" i="31" a="1"/>
  <c r="AE1479" i="31"/>
  <c r="AE1480" i="31" a="1"/>
  <c r="AE1480" i="31"/>
  <c r="AE1481" i="31" a="1"/>
  <c r="AE1481" i="31"/>
  <c r="AE1482" i="31" a="1"/>
  <c r="AE1482" i="31"/>
  <c r="AE1483" i="31" a="1"/>
  <c r="AE1483" i="31"/>
  <c r="AE1484" i="31" a="1"/>
  <c r="AE1484" i="31"/>
  <c r="AE1485" i="31" a="1"/>
  <c r="AE1485" i="31"/>
  <c r="AE1486" i="31" a="1"/>
  <c r="AE1486" i="31"/>
  <c r="AE1487" i="31" a="1"/>
  <c r="AE1487" i="31"/>
  <c r="AE1488" i="31" a="1"/>
  <c r="AE1488" i="31"/>
  <c r="AE1489" i="31" a="1"/>
  <c r="AE1489" i="31"/>
  <c r="AE1490" i="31" a="1"/>
  <c r="AE1490" i="31"/>
  <c r="AE1491" i="31" a="1"/>
  <c r="AE1491" i="31"/>
  <c r="AE1492" i="31" a="1"/>
  <c r="AE1492" i="31"/>
  <c r="AE1493" i="31" a="1"/>
  <c r="AE1493" i="31"/>
  <c r="AE1494" i="31" a="1"/>
  <c r="AE1494" i="31"/>
  <c r="AE1495" i="31" a="1"/>
  <c r="AE1495" i="31"/>
  <c r="AE1496" i="31" a="1"/>
  <c r="AE1496" i="31"/>
  <c r="AE1497" i="31" a="1"/>
  <c r="AE1497" i="31"/>
  <c r="AE1498" i="31" a="1"/>
  <c r="AE1498" i="31"/>
  <c r="AE1499" i="31" a="1"/>
  <c r="AE1499" i="31"/>
  <c r="AE1500" i="31" a="1"/>
  <c r="AE1500" i="31"/>
  <c r="AE1501" i="31" a="1"/>
  <c r="AE1501" i="31"/>
  <c r="AE1502" i="31" a="1"/>
  <c r="AE1502" i="31"/>
  <c r="AE1503" i="31" a="1"/>
  <c r="AE1503" i="31"/>
  <c r="AE1504" i="31" a="1"/>
  <c r="AE1504" i="31"/>
  <c r="AE1505" i="31" a="1"/>
  <c r="AE1505" i="31"/>
  <c r="AE1506" i="31" a="1"/>
  <c r="AE1506" i="31"/>
  <c r="AE1507" i="31" a="1"/>
  <c r="AE1507" i="31"/>
  <c r="AE1508" i="31" a="1"/>
  <c r="AE1508" i="31"/>
  <c r="AE1509" i="31" a="1"/>
  <c r="AE1509" i="31"/>
  <c r="AE1510" i="31" a="1"/>
  <c r="AE1510" i="31"/>
  <c r="AE1511" i="31" a="1"/>
  <c r="AE1511" i="31"/>
  <c r="AE1512" i="31" a="1"/>
  <c r="AE1512" i="31"/>
  <c r="AE1513" i="31" a="1"/>
  <c r="AE1513" i="31"/>
  <c r="AE1514" i="31" a="1"/>
  <c r="AE1514" i="31"/>
  <c r="AE1515" i="31" a="1"/>
  <c r="AE1515" i="31"/>
  <c r="AE1516" i="31" a="1"/>
  <c r="AE1516" i="31"/>
  <c r="AE1517" i="31" a="1"/>
  <c r="AE1517" i="31"/>
  <c r="AE1518" i="31" a="1"/>
  <c r="AE1518" i="31"/>
  <c r="AE1519" i="31" a="1"/>
  <c r="AE1519" i="31"/>
  <c r="AE1520" i="31" a="1"/>
  <c r="AE1520" i="31"/>
  <c r="AE1521" i="31" a="1"/>
  <c r="AE1521" i="31"/>
  <c r="AE1522" i="31" a="1"/>
  <c r="AE1522" i="31"/>
  <c r="AE1523" i="31" a="1"/>
  <c r="AE1523" i="31"/>
  <c r="AE1524" i="31" a="1"/>
  <c r="AE1524" i="31"/>
  <c r="AE1525" i="31" a="1"/>
  <c r="AE1525" i="31"/>
  <c r="AE1526" i="31" a="1"/>
  <c r="AE1526" i="31"/>
  <c r="AE1527" i="31" a="1"/>
  <c r="AE1527" i="31"/>
  <c r="AE1528" i="31" a="1"/>
  <c r="AE1528" i="31"/>
  <c r="AE1529" i="31" a="1"/>
  <c r="AE1529" i="31"/>
  <c r="AE1530" i="31" a="1"/>
  <c r="AE1530" i="31"/>
  <c r="AE1531" i="31" a="1"/>
  <c r="AE1531" i="31"/>
  <c r="AE1532" i="31" a="1"/>
  <c r="AE1532" i="31"/>
  <c r="AE1533" i="31" a="1"/>
  <c r="AE1533" i="31"/>
  <c r="AE1534" i="31" a="1"/>
  <c r="AE1534" i="31"/>
  <c r="AE1535" i="31" a="1"/>
  <c r="AE1535" i="31"/>
  <c r="AE1536" i="31" a="1"/>
  <c r="AE1536" i="31"/>
  <c r="AE1537" i="31" a="1"/>
  <c r="AE1537" i="31"/>
  <c r="AE1538" i="31" a="1"/>
  <c r="AE1538" i="31"/>
  <c r="AE1539" i="31" a="1"/>
  <c r="AE1539" i="31"/>
  <c r="AE1540" i="31" a="1"/>
  <c r="AE1540" i="31"/>
  <c r="AE1541" i="31" a="1"/>
  <c r="AE1541" i="31"/>
  <c r="AE1542" i="31" a="1"/>
  <c r="AE1542" i="31"/>
  <c r="AE1543" i="31" a="1"/>
  <c r="AE1543" i="31"/>
  <c r="AE1544" i="31" a="1"/>
  <c r="AE1544" i="31"/>
  <c r="AE1545" i="31" a="1"/>
  <c r="AE1545" i="31"/>
  <c r="AE1546" i="31" a="1"/>
  <c r="AE1546" i="31"/>
  <c r="AE1547" i="31" a="1"/>
  <c r="AE1547" i="31"/>
  <c r="AE1548" i="31" a="1"/>
  <c r="AE1548" i="31"/>
  <c r="AE1549" i="31" a="1"/>
  <c r="AE1549" i="31"/>
  <c r="AE1550" i="31" a="1"/>
  <c r="AE1550" i="31"/>
  <c r="AE1551" i="31" a="1"/>
  <c r="AE1551" i="31"/>
  <c r="AE1552" i="31" a="1"/>
  <c r="AE1552" i="31"/>
  <c r="AE1553" i="31" a="1"/>
  <c r="AE1553" i="31"/>
  <c r="AE1554" i="31" a="1"/>
  <c r="AE1554" i="31"/>
  <c r="AE1555" i="31" a="1"/>
  <c r="AE1555" i="31"/>
  <c r="AE1556" i="31" a="1"/>
  <c r="AE1556" i="31"/>
  <c r="AE1557" i="31" a="1"/>
  <c r="AE1557" i="31"/>
  <c r="AE1558" i="31" a="1"/>
  <c r="AE1558" i="31"/>
  <c r="AE1559" i="31" a="1"/>
  <c r="AE1559" i="31"/>
  <c r="AE1560" i="31" a="1"/>
  <c r="AE1560" i="31"/>
  <c r="AE1561" i="31" a="1"/>
  <c r="AE1561" i="31"/>
  <c r="AE1562" i="31" a="1"/>
  <c r="AE1562" i="31"/>
  <c r="AE1563" i="31" a="1"/>
  <c r="AE1563" i="31"/>
  <c r="AE1564" i="31" a="1"/>
  <c r="AE1564" i="31"/>
  <c r="AE1565" i="31" a="1"/>
  <c r="AE1565" i="31"/>
  <c r="AE1566" i="31" a="1"/>
  <c r="AE1566" i="31"/>
  <c r="AE1567" i="31" a="1"/>
  <c r="AE1567" i="31"/>
  <c r="AE1568" i="31" a="1"/>
  <c r="AE1568" i="31"/>
  <c r="AE1569" i="31" a="1"/>
  <c r="AE1569" i="31"/>
  <c r="AE1570" i="31" a="1"/>
  <c r="AE1570" i="31"/>
  <c r="AE1571" i="31" a="1"/>
  <c r="AE1571" i="31"/>
  <c r="AE1572" i="31" a="1"/>
  <c r="AE1572" i="31"/>
  <c r="AE1573" i="31" a="1"/>
  <c r="AE1573" i="31"/>
  <c r="AE1574" i="31" a="1"/>
  <c r="AE1574" i="31"/>
  <c r="AE1575" i="31" a="1"/>
  <c r="AE1575" i="31"/>
  <c r="AE1576" i="31" a="1"/>
  <c r="AE1576" i="31"/>
  <c r="AE1577" i="31" a="1"/>
  <c r="AE1577" i="31"/>
  <c r="AE1578" i="31" a="1"/>
  <c r="AE1578" i="31"/>
  <c r="AE1579" i="31" a="1"/>
  <c r="AE1579" i="31"/>
  <c r="AE1580" i="31" a="1"/>
  <c r="AE1580" i="31"/>
  <c r="AE1581" i="31" a="1"/>
  <c r="AE1581" i="31"/>
  <c r="AE1582" i="31" a="1"/>
  <c r="AE1582" i="31"/>
  <c r="AE1583" i="31" a="1"/>
  <c r="AE1583" i="31"/>
  <c r="AE1584" i="31" a="1"/>
  <c r="AE1584" i="31"/>
  <c r="AE1585" i="31" a="1"/>
  <c r="AE1585" i="31"/>
  <c r="AE1586" i="31" a="1"/>
  <c r="AE1586" i="31"/>
  <c r="AE1587" i="31" a="1"/>
  <c r="AE1587" i="31"/>
  <c r="AE1588" i="31" a="1"/>
  <c r="AE1588" i="31"/>
  <c r="AE1589" i="31" a="1"/>
  <c r="AE1589" i="31"/>
  <c r="AE1590" i="31" a="1"/>
  <c r="AE1590" i="31"/>
  <c r="AE1591" i="31" a="1"/>
  <c r="AE1591" i="31"/>
  <c r="AE1592" i="31" a="1"/>
  <c r="AE1592" i="31"/>
  <c r="AE1593" i="31" a="1"/>
  <c r="AE1593" i="31"/>
  <c r="AE1594" i="31" a="1"/>
  <c r="AE1594" i="31"/>
  <c r="AE1595" i="31" a="1"/>
  <c r="AE1595" i="31"/>
  <c r="AE1596" i="31" a="1"/>
  <c r="AE1596" i="31"/>
  <c r="AE1597" i="31" a="1"/>
  <c r="AE1597" i="31"/>
  <c r="AE1598" i="31" a="1"/>
  <c r="AE1598" i="31"/>
  <c r="AE1599" i="31" a="1"/>
  <c r="AE1599" i="31"/>
  <c r="AE1600" i="31" a="1"/>
  <c r="AE1600" i="31"/>
  <c r="AE1601" i="31" a="1"/>
  <c r="AE1601" i="31"/>
  <c r="AE1602" i="31" a="1"/>
  <c r="AE1602" i="31"/>
  <c r="AE1603" i="31" a="1"/>
  <c r="AE1603" i="31"/>
  <c r="AE1604" i="31" a="1"/>
  <c r="AE1604" i="31"/>
  <c r="AE1605" i="31" a="1"/>
  <c r="AE1605" i="31"/>
  <c r="AE1606" i="31" a="1"/>
  <c r="AE1606" i="31"/>
  <c r="AE1607" i="31" a="1"/>
  <c r="AE1607" i="31"/>
  <c r="AE1608" i="31" a="1"/>
  <c r="AE1608" i="31"/>
  <c r="AE1609" i="31" a="1"/>
  <c r="AE1609" i="31"/>
  <c r="AE1610" i="31" a="1"/>
  <c r="AE1610" i="31"/>
  <c r="AE1611" i="31" a="1"/>
  <c r="AE1611" i="31"/>
  <c r="AE1612" i="31" a="1"/>
  <c r="AE1612" i="31"/>
  <c r="AE1613" i="31" a="1"/>
  <c r="AE1613" i="31"/>
  <c r="AE1614" i="31" a="1"/>
  <c r="AE1614" i="31"/>
  <c r="AE1615" i="31" a="1"/>
  <c r="AE1615" i="31"/>
  <c r="AE1616" i="31" a="1"/>
  <c r="AE1616" i="31"/>
  <c r="AE1617" i="31" a="1"/>
  <c r="AE1617" i="31"/>
  <c r="AE1618" i="31" a="1"/>
  <c r="AE1618" i="31"/>
  <c r="AE1619" i="31" a="1"/>
  <c r="AE1619" i="31"/>
  <c r="AE1620" i="31" a="1"/>
  <c r="AE1620" i="31"/>
  <c r="AE1621" i="31" a="1"/>
  <c r="AE1621" i="31"/>
  <c r="AE1622" i="31" a="1"/>
  <c r="AE1622" i="31"/>
  <c r="AE1623" i="31" a="1"/>
  <c r="AE1623" i="31"/>
  <c r="AE1624" i="31" a="1"/>
  <c r="AE1624" i="31"/>
  <c r="AE1625" i="31" a="1"/>
  <c r="AE1625" i="31"/>
  <c r="AE1626" i="31" a="1"/>
  <c r="AE1626" i="31"/>
  <c r="AE1627" i="31" a="1"/>
  <c r="AE1627" i="31"/>
  <c r="AE1628" i="31" a="1"/>
  <c r="AE1628" i="31"/>
  <c r="AE1629" i="31" a="1"/>
  <c r="AE1629" i="31"/>
  <c r="AE1630" i="31" a="1"/>
  <c r="AE1630" i="31"/>
  <c r="AE1631" i="31" a="1"/>
  <c r="AE1631" i="31"/>
  <c r="AE1632" i="31" a="1"/>
  <c r="AE1632" i="31"/>
  <c r="AE1633" i="31" a="1"/>
  <c r="AE1633" i="31"/>
  <c r="AE1634" i="31" a="1"/>
  <c r="AE1634" i="31"/>
  <c r="AE1635" i="31" a="1"/>
  <c r="AE1635" i="31"/>
  <c r="AE1636" i="31" a="1"/>
  <c r="AE1636" i="31"/>
  <c r="AE1637" i="31" a="1"/>
  <c r="AE1637" i="31"/>
  <c r="AE1638" i="31" a="1"/>
  <c r="AE1638" i="31"/>
  <c r="AE1639" i="31" a="1"/>
  <c r="AE1639" i="31"/>
  <c r="AE1640" i="31" a="1"/>
  <c r="AE1640" i="31"/>
  <c r="AE1641" i="31" a="1"/>
  <c r="AE1641" i="31"/>
  <c r="AE1642" i="31" a="1"/>
  <c r="AE1642" i="31"/>
  <c r="AE1643" i="31" a="1"/>
  <c r="AE1643" i="31"/>
  <c r="AE1644" i="31" a="1"/>
  <c r="AE1644" i="31"/>
  <c r="AE1645" i="31" a="1"/>
  <c r="AE1645" i="31"/>
  <c r="AE1646" i="31" a="1"/>
  <c r="AE1646" i="31"/>
  <c r="AE1647" i="31" a="1"/>
  <c r="AE1647" i="31"/>
  <c r="AE1648" i="31" a="1"/>
  <c r="AE1648" i="31"/>
  <c r="AE1649" i="31" a="1"/>
  <c r="AE1649" i="31"/>
  <c r="AE1650" i="31" a="1"/>
  <c r="AE1650" i="31"/>
  <c r="AE1651" i="31" a="1"/>
  <c r="AE1651" i="31"/>
  <c r="AE1652" i="31" a="1"/>
  <c r="AE1652" i="31"/>
  <c r="AE1653" i="31" a="1"/>
  <c r="AE1653" i="31"/>
  <c r="AE1654" i="31" a="1"/>
  <c r="AE1654" i="31"/>
  <c r="AE1655" i="31" a="1"/>
  <c r="AE1655" i="31"/>
  <c r="AE1656" i="31" a="1"/>
  <c r="AE1656" i="31"/>
  <c r="AE1657" i="31" a="1"/>
  <c r="AE1657" i="31"/>
  <c r="AE1658" i="31" a="1"/>
  <c r="AE1658" i="31"/>
  <c r="AE1659" i="31" a="1"/>
  <c r="AE1659" i="31"/>
  <c r="AE1660" i="31" a="1"/>
  <c r="AE1660" i="31"/>
  <c r="AE1661" i="31" a="1"/>
  <c r="AE1661" i="31"/>
  <c r="AE1662" i="31" a="1"/>
  <c r="AE1662" i="31"/>
  <c r="AE1663" i="31" a="1"/>
  <c r="AE1663" i="31"/>
  <c r="AE1664" i="31" a="1"/>
  <c r="AE1664" i="31"/>
  <c r="AE1665" i="31" a="1"/>
  <c r="AE1665" i="31"/>
  <c r="AE1666" i="31" a="1"/>
  <c r="AE1666" i="31"/>
  <c r="AE1667" i="31" a="1"/>
  <c r="AE1667" i="31"/>
  <c r="AE1668" i="31" a="1"/>
  <c r="AE1668" i="31"/>
  <c r="AE1669" i="31" a="1"/>
  <c r="AE1669" i="31"/>
  <c r="AE1670" i="31" a="1"/>
  <c r="AE1670" i="31"/>
  <c r="AE1671" i="31" a="1"/>
  <c r="AE1671" i="31"/>
  <c r="AE1672" i="31" a="1"/>
  <c r="AE1672" i="31"/>
  <c r="AE1673" i="31" a="1"/>
  <c r="AE1673" i="31"/>
  <c r="AE1674" i="31" a="1"/>
  <c r="AE1674" i="31"/>
  <c r="AE1675" i="31" a="1"/>
  <c r="AE1675" i="31"/>
  <c r="AE1676" i="31" a="1"/>
  <c r="AE1676" i="31"/>
  <c r="AE1677" i="31" a="1"/>
  <c r="AE1677" i="31"/>
  <c r="AE1678" i="31" a="1"/>
  <c r="AE1678" i="31"/>
  <c r="AE1679" i="31" a="1"/>
  <c r="AE1679" i="31"/>
  <c r="AE1680" i="31" a="1"/>
  <c r="AE1680" i="31"/>
  <c r="AE1681" i="31" a="1"/>
  <c r="AE1681" i="31"/>
  <c r="AE1682" i="31" a="1"/>
  <c r="AE1682" i="31"/>
  <c r="AE1683" i="31" a="1"/>
  <c r="AE1683" i="31"/>
  <c r="AE1684" i="31" a="1"/>
  <c r="AE1684" i="31"/>
  <c r="AE1685" i="31" a="1"/>
  <c r="AE1685" i="31"/>
  <c r="AE1686" i="31" a="1"/>
  <c r="AE1686" i="31"/>
  <c r="AE1687" i="31" a="1"/>
  <c r="AE1687" i="31"/>
  <c r="AE1688" i="31" a="1"/>
  <c r="AE1688" i="31"/>
  <c r="AE1689" i="31" a="1"/>
  <c r="AE1689" i="31"/>
  <c r="AE1690" i="31" a="1"/>
  <c r="AE1690" i="31"/>
  <c r="AE1691" i="31" a="1"/>
  <c r="AE1691" i="31"/>
  <c r="AE1692" i="31" a="1"/>
  <c r="AE1692" i="31"/>
  <c r="AE1693" i="31" a="1"/>
  <c r="AE1693" i="31"/>
  <c r="AE1694" i="31" a="1"/>
  <c r="AE1694" i="31"/>
  <c r="AE1695" i="31" a="1"/>
  <c r="AE1695" i="31"/>
  <c r="AE1696" i="31" a="1"/>
  <c r="AE1696" i="31"/>
  <c r="AE1697" i="31" a="1"/>
  <c r="AE1697" i="31"/>
  <c r="AE1698" i="31" a="1"/>
  <c r="AE1698" i="31"/>
  <c r="AE1699" i="31" a="1"/>
  <c r="AE1699" i="31"/>
  <c r="AE1700" i="31" a="1"/>
  <c r="AE1700" i="31"/>
  <c r="AE1701" i="31" a="1"/>
  <c r="AE1701" i="31"/>
  <c r="AE1702" i="31" a="1"/>
  <c r="AE1702" i="31"/>
  <c r="AE1703" i="31" a="1"/>
  <c r="AE1703" i="31"/>
  <c r="AE1704" i="31" a="1"/>
  <c r="AE1704" i="31"/>
  <c r="AE1705" i="31" a="1"/>
  <c r="AE1705" i="31"/>
  <c r="AE1706" i="31" a="1"/>
  <c r="AE1706" i="31"/>
  <c r="AE1707" i="31" a="1"/>
  <c r="AE1707" i="31"/>
  <c r="AE1708" i="31" a="1"/>
  <c r="AE1708" i="31"/>
  <c r="AE1709" i="31" a="1"/>
  <c r="AE1709" i="31"/>
  <c r="AE1710" i="31" a="1"/>
  <c r="AE1710" i="31"/>
  <c r="AE1711" i="31" a="1"/>
  <c r="AE1711" i="31"/>
  <c r="AE1712" i="31" a="1"/>
  <c r="AE1712" i="31"/>
  <c r="AE1713" i="31" a="1"/>
  <c r="AE1713" i="31"/>
  <c r="AE1714" i="31" a="1"/>
  <c r="AE1714" i="31"/>
  <c r="AE1715" i="31" a="1"/>
  <c r="AE1715" i="31"/>
  <c r="AE1716" i="31" a="1"/>
  <c r="AE1716" i="31"/>
  <c r="AE1717" i="31" a="1"/>
  <c r="AE1717" i="31"/>
  <c r="AE1718" i="31" a="1"/>
  <c r="AE1718" i="31"/>
  <c r="AE1719" i="31" a="1"/>
  <c r="AE1719" i="31"/>
  <c r="AE1720" i="31" a="1"/>
  <c r="AE1720" i="31"/>
  <c r="AE1721" i="31" a="1"/>
  <c r="AE1721" i="31"/>
  <c r="AE1722" i="31" a="1"/>
  <c r="AE1722" i="31"/>
  <c r="AE1723" i="31" a="1"/>
  <c r="AE1723" i="31"/>
  <c r="AE1724" i="31" a="1"/>
  <c r="AE1724" i="31"/>
  <c r="AE1725" i="31" a="1"/>
  <c r="AE1725" i="31"/>
  <c r="AE1726" i="31" a="1"/>
  <c r="AE1726" i="31"/>
  <c r="AE1727" i="31" a="1"/>
  <c r="AE1727" i="31"/>
  <c r="AE1728" i="31" a="1"/>
  <c r="AE1728" i="31"/>
  <c r="AE1729" i="31" a="1"/>
  <c r="AE1729" i="31"/>
  <c r="AE1730" i="31" a="1"/>
  <c r="AE1730" i="31"/>
  <c r="AE1731" i="31" a="1"/>
  <c r="AE1731" i="31"/>
  <c r="AE1732" i="31" a="1"/>
  <c r="AE1732" i="31"/>
  <c r="AE1733" i="31" a="1"/>
  <c r="AE1733" i="31"/>
  <c r="AE1734" i="31" a="1"/>
  <c r="AE1734" i="31"/>
  <c r="AE1735" i="31" a="1"/>
  <c r="AE1735" i="31"/>
  <c r="AE1736" i="31" a="1"/>
  <c r="AE1736" i="31"/>
  <c r="AE1737" i="31" a="1"/>
  <c r="AE1737" i="31"/>
  <c r="AE1738" i="31" a="1"/>
  <c r="AE1738" i="31"/>
  <c r="AE1739" i="31" a="1"/>
  <c r="AE1739" i="31"/>
  <c r="AE1740" i="31" a="1"/>
  <c r="AE1740" i="31"/>
  <c r="AE1741" i="31" a="1"/>
  <c r="AE1741" i="31"/>
  <c r="AE1742" i="31" a="1"/>
  <c r="AE1742" i="31"/>
  <c r="AE1743" i="31" a="1"/>
  <c r="AE1743" i="31"/>
  <c r="AE1744" i="31" a="1"/>
  <c r="AE1744" i="31"/>
  <c r="AE1745" i="31" a="1"/>
  <c r="AE1745" i="31"/>
  <c r="AE1746" i="31" a="1"/>
  <c r="AE1746" i="31"/>
  <c r="AE1747" i="31" a="1"/>
  <c r="AE1747" i="31"/>
  <c r="AE1748" i="31" a="1"/>
  <c r="AE1748" i="31"/>
  <c r="AE1749" i="31" a="1"/>
  <c r="AE1749" i="31"/>
  <c r="AE1750" i="31" a="1"/>
  <c r="AE1750" i="31"/>
  <c r="AE1751" i="31" a="1"/>
  <c r="AE1751" i="31"/>
  <c r="AE1752" i="31" a="1"/>
  <c r="AE1752" i="31"/>
  <c r="AE1753" i="31" a="1"/>
  <c r="AE1753" i="31"/>
  <c r="AE1754" i="31" a="1"/>
  <c r="AE1754" i="31"/>
  <c r="AE1755" i="31" a="1"/>
  <c r="AE1755" i="31"/>
  <c r="AE1756" i="31" a="1"/>
  <c r="AE1756" i="31"/>
  <c r="AE1757" i="31" a="1"/>
  <c r="AE1757" i="31"/>
  <c r="AE1758" i="31" a="1"/>
  <c r="AE1758" i="31"/>
  <c r="AE1759" i="31" a="1"/>
  <c r="AE1759" i="31"/>
  <c r="AE1760" i="31" a="1"/>
  <c r="AE1760" i="31"/>
  <c r="AE1761" i="31" a="1"/>
  <c r="AE1761" i="31"/>
  <c r="AE1762" i="31" a="1"/>
  <c r="AE1762" i="31"/>
  <c r="AE1763" i="31" a="1"/>
  <c r="AE1763" i="31"/>
  <c r="AE1764" i="31" a="1"/>
  <c r="AE1764" i="31"/>
  <c r="AE1765" i="31" a="1"/>
  <c r="AE1765" i="31"/>
  <c r="AE1766" i="31" a="1"/>
  <c r="AE1766" i="31"/>
  <c r="AE1767" i="31" a="1"/>
  <c r="AE1767" i="31"/>
  <c r="AE1768" i="31" a="1"/>
  <c r="AE1768" i="31"/>
  <c r="AE1769" i="31" a="1"/>
  <c r="AE1769" i="31"/>
  <c r="AE1770" i="31" a="1"/>
  <c r="AE1770" i="31"/>
  <c r="AE1771" i="31" a="1"/>
  <c r="AE1771" i="31"/>
  <c r="AE1772" i="31" a="1"/>
  <c r="AE1772" i="31"/>
  <c r="AE1773" i="31" a="1"/>
  <c r="AE1773" i="31"/>
  <c r="AE1774" i="31" a="1"/>
  <c r="AE1774" i="31"/>
  <c r="AE1775" i="31" a="1"/>
  <c r="AE1775" i="31"/>
  <c r="AE1776" i="31" a="1"/>
  <c r="AE1776" i="31"/>
  <c r="AE1777" i="31" a="1"/>
  <c r="AE1777" i="31"/>
  <c r="AE1778" i="31" a="1"/>
  <c r="AE1778" i="31"/>
  <c r="AE1779" i="31" a="1"/>
  <c r="AE1779" i="31"/>
  <c r="AE1780" i="31" a="1"/>
  <c r="AE1780" i="31"/>
  <c r="AE1781" i="31" a="1"/>
  <c r="AE1781" i="31"/>
  <c r="AE1782" i="31" a="1"/>
  <c r="AE1782" i="31"/>
  <c r="AE1783" i="31" a="1"/>
  <c r="AE1783" i="31"/>
  <c r="AE1784" i="31" a="1"/>
  <c r="AE1784" i="31"/>
  <c r="AE1785" i="31" a="1"/>
  <c r="AE1785" i="31"/>
  <c r="AE1786" i="31" a="1"/>
  <c r="AE1786" i="31"/>
  <c r="AE1787" i="31" a="1"/>
  <c r="AE1787" i="31"/>
  <c r="AE1788" i="31" a="1"/>
  <c r="AE1788" i="31"/>
  <c r="AE1789" i="31" a="1"/>
  <c r="AE1789" i="31"/>
  <c r="AE1790" i="31" a="1"/>
  <c r="AE1790" i="31"/>
  <c r="AE1791" i="31" a="1"/>
  <c r="AE1791" i="31"/>
  <c r="AE1792" i="31" a="1"/>
  <c r="AE1792" i="31"/>
  <c r="AE1793" i="31" a="1"/>
  <c r="AE1793" i="31"/>
  <c r="AE1794" i="31" a="1"/>
  <c r="AE1794" i="31"/>
  <c r="AE1795" i="31" a="1"/>
  <c r="AE1795" i="31"/>
  <c r="AE1796" i="31" a="1"/>
  <c r="AE1796" i="31"/>
  <c r="AE1797" i="31" a="1"/>
  <c r="AE1797" i="31"/>
  <c r="AE1798" i="31" a="1"/>
  <c r="AE1798" i="31"/>
  <c r="AE1799" i="31" a="1"/>
  <c r="AE1799" i="31"/>
  <c r="AE1800" i="31" a="1"/>
  <c r="AE1800" i="31"/>
  <c r="AE1801" i="31" a="1"/>
  <c r="AE1801" i="31"/>
  <c r="AE1802" i="31" a="1"/>
  <c r="AE1802" i="31"/>
  <c r="AE1803" i="31" a="1"/>
  <c r="AE1803" i="31"/>
  <c r="AE1804" i="31" a="1"/>
  <c r="AE1804" i="31"/>
  <c r="AE1805" i="31" a="1"/>
  <c r="AE1805" i="31"/>
  <c r="AE1806" i="31" a="1"/>
  <c r="AE1806" i="31"/>
  <c r="AE1807" i="31" a="1"/>
  <c r="AE1807" i="31"/>
  <c r="AE1808" i="31" a="1"/>
  <c r="AE1808" i="31"/>
  <c r="AE1809" i="31" a="1"/>
  <c r="AE1809" i="31"/>
  <c r="AE1810" i="31" a="1"/>
  <c r="AE1810" i="31"/>
  <c r="AE1811" i="31" a="1"/>
  <c r="AE1811" i="31"/>
  <c r="AE1812" i="31" a="1"/>
  <c r="AE1812" i="31"/>
  <c r="AE1813" i="31" a="1"/>
  <c r="AE1813" i="31"/>
  <c r="AE1814" i="31" a="1"/>
  <c r="AE1814" i="31"/>
  <c r="AE1815" i="31" a="1"/>
  <c r="AE1815" i="31"/>
  <c r="AE1816" i="31" a="1"/>
  <c r="AE1816" i="31"/>
  <c r="AE1817" i="31" a="1"/>
  <c r="AE1817" i="31"/>
  <c r="AE1818" i="31" a="1"/>
  <c r="AE1818" i="31"/>
  <c r="AE1819" i="31" a="1"/>
  <c r="AE1819" i="31"/>
  <c r="AE1820" i="31" a="1"/>
  <c r="AE1820" i="31"/>
  <c r="AE1821" i="31" a="1"/>
  <c r="AE1821" i="31"/>
  <c r="AE1822" i="31" a="1"/>
  <c r="AE1822" i="31"/>
  <c r="AE1823" i="31" a="1"/>
  <c r="AE1823" i="31"/>
  <c r="AE1824" i="31" a="1"/>
  <c r="AE1824" i="31"/>
  <c r="AE1825" i="31" a="1"/>
  <c r="AE1825" i="31"/>
  <c r="AE1826" i="31" a="1"/>
  <c r="AE1826" i="31"/>
  <c r="AE1827" i="31" a="1"/>
  <c r="AE1827" i="31"/>
  <c r="AE1828" i="31" a="1"/>
  <c r="AE1828" i="31"/>
  <c r="AE1829" i="31" a="1"/>
  <c r="AE1829" i="31"/>
  <c r="AE1830" i="31" a="1"/>
  <c r="AE1830" i="31"/>
  <c r="AE1831" i="31" a="1"/>
  <c r="AE1831" i="31"/>
  <c r="AE1832" i="31" a="1"/>
  <c r="AE1832" i="31"/>
  <c r="AE1833" i="31" a="1"/>
  <c r="AE1833" i="31"/>
  <c r="AE1834" i="31" a="1"/>
  <c r="AE1834" i="31"/>
  <c r="AE1835" i="31" a="1"/>
  <c r="AE1835" i="31"/>
  <c r="AE1836" i="31" a="1"/>
  <c r="AE1836" i="31"/>
  <c r="AE1837" i="31" a="1"/>
  <c r="AE1837" i="31"/>
  <c r="AE1838" i="31" a="1"/>
  <c r="AE1838" i="31"/>
  <c r="AE1839" i="31" a="1"/>
  <c r="AE1839" i="31"/>
  <c r="AE1840" i="31" a="1"/>
  <c r="AE1840" i="31"/>
  <c r="AE1841" i="31" a="1"/>
  <c r="AE1841" i="31"/>
  <c r="AE1842" i="31" a="1"/>
  <c r="AE1842" i="31"/>
  <c r="AE1843" i="31" a="1"/>
  <c r="AE1843" i="31"/>
  <c r="AE1844" i="31" a="1"/>
  <c r="AE1844" i="31"/>
  <c r="AE1845" i="31" a="1"/>
  <c r="AE1845" i="31"/>
  <c r="AE1846" i="31" a="1"/>
  <c r="AE1846" i="31"/>
  <c r="AE1847" i="31" a="1"/>
  <c r="AE1847" i="31"/>
  <c r="AE1848" i="31" a="1"/>
  <c r="AE1848" i="31"/>
  <c r="AE1849" i="31" a="1"/>
  <c r="AE1849" i="31"/>
  <c r="AE1850" i="31" a="1"/>
  <c r="AE1850" i="31"/>
  <c r="AE1851" i="31" a="1"/>
  <c r="AE1851" i="31"/>
  <c r="AE1852" i="31" a="1"/>
  <c r="AE1852" i="31"/>
  <c r="AE1853" i="31" a="1"/>
  <c r="AE1853" i="31"/>
  <c r="AE1854" i="31" a="1"/>
  <c r="AE1854" i="31"/>
  <c r="AE1855" i="31" a="1"/>
  <c r="AE1855" i="31"/>
  <c r="AE1856" i="31" a="1"/>
  <c r="AE1856" i="31"/>
  <c r="AE1857" i="31" a="1"/>
  <c r="AE1857" i="31"/>
  <c r="AE1858" i="31" a="1"/>
  <c r="AE1858" i="31"/>
  <c r="AE1859" i="31" a="1"/>
  <c r="AE1859" i="31"/>
  <c r="AE1860" i="31" a="1"/>
  <c r="AE1860" i="31"/>
  <c r="AE1861" i="31" a="1"/>
  <c r="AE1861" i="31"/>
  <c r="AE1862" i="31" a="1"/>
  <c r="AE1862" i="31"/>
  <c r="AE1863" i="31" a="1"/>
  <c r="AE1863" i="31"/>
  <c r="AE1864" i="31" a="1"/>
  <c r="AE1864" i="31"/>
  <c r="AE1865" i="31" a="1"/>
  <c r="AE1865" i="31"/>
  <c r="AE1866" i="31" a="1"/>
  <c r="AE1866" i="31"/>
  <c r="AE1867" i="31" a="1"/>
  <c r="AE1867" i="31"/>
  <c r="AE1868" i="31" a="1"/>
  <c r="AE1868" i="31"/>
  <c r="AE1869" i="31" a="1"/>
  <c r="AE1869" i="31"/>
  <c r="AE1870" i="31" a="1"/>
  <c r="AE1870" i="31"/>
  <c r="AE1871" i="31" a="1"/>
  <c r="AE1871" i="31"/>
  <c r="AE1872" i="31" a="1"/>
  <c r="AE1872" i="31"/>
  <c r="AE1873" i="31" a="1"/>
  <c r="AE1873" i="31"/>
  <c r="AE1874" i="31" a="1"/>
  <c r="AE1874" i="31"/>
  <c r="AE1875" i="31" a="1"/>
  <c r="AE1875" i="31"/>
  <c r="AE1876" i="31" a="1"/>
  <c r="AE1876" i="31"/>
  <c r="AE1877" i="31" a="1"/>
  <c r="AE1877" i="31"/>
  <c r="AE1878" i="31" a="1"/>
  <c r="AE1878" i="31"/>
  <c r="AE1879" i="31" a="1"/>
  <c r="AE1879" i="31"/>
  <c r="AE1880" i="31" a="1"/>
  <c r="AE1880" i="31"/>
  <c r="AE1881" i="31" a="1"/>
  <c r="AE1881" i="31"/>
  <c r="AE1882" i="31" a="1"/>
  <c r="AE1882" i="31"/>
  <c r="AE1883" i="31" a="1"/>
  <c r="AE1883" i="31"/>
  <c r="AE1884" i="31" a="1"/>
  <c r="AE1884" i="31"/>
  <c r="AE1885" i="31" a="1"/>
  <c r="AE1885" i="31"/>
  <c r="AE1886" i="31" a="1"/>
  <c r="AE1886" i="31"/>
  <c r="AE1887" i="31" a="1"/>
  <c r="AE1887" i="31"/>
  <c r="AE1888" i="31" a="1"/>
  <c r="AE1888" i="31"/>
  <c r="AE1889" i="31" a="1"/>
  <c r="AE1889" i="31"/>
  <c r="AE1890" i="31" a="1"/>
  <c r="AE1890" i="31"/>
  <c r="AE1891" i="31" a="1"/>
  <c r="AE1891" i="31"/>
  <c r="AE1892" i="31" a="1"/>
  <c r="AE1892" i="31"/>
  <c r="AE1893" i="31" a="1"/>
  <c r="AE1893" i="31"/>
  <c r="AE1894" i="31" a="1"/>
  <c r="AE1894" i="31"/>
  <c r="AE1895" i="31" a="1"/>
  <c r="AE1895" i="31"/>
  <c r="AE1896" i="31" a="1"/>
  <c r="AE1896" i="31"/>
  <c r="AE1897" i="31" a="1"/>
  <c r="AE1897" i="31"/>
  <c r="AE1898" i="31" a="1"/>
  <c r="AE1898" i="31"/>
  <c r="AE1899" i="31" a="1"/>
  <c r="AE1899" i="31"/>
  <c r="AE1900" i="31" a="1"/>
  <c r="AE1900" i="31"/>
  <c r="AE1901" i="31" a="1"/>
  <c r="AE1901" i="31"/>
  <c r="AE1902" i="31" a="1"/>
  <c r="AE1902" i="31"/>
  <c r="AE1903" i="31" a="1"/>
  <c r="AE1903" i="31"/>
  <c r="AE1904" i="31" a="1"/>
  <c r="AE1904" i="31"/>
  <c r="AE1905" i="31" a="1"/>
  <c r="AE1905" i="31"/>
  <c r="AE1906" i="31" a="1"/>
  <c r="AE1906" i="31"/>
  <c r="AE1907" i="31" a="1"/>
  <c r="AE1907" i="31"/>
  <c r="AE1908" i="31" a="1"/>
  <c r="AE1908" i="31"/>
  <c r="AE1909" i="31" a="1"/>
  <c r="AE1909" i="31"/>
  <c r="AE1910" i="31" a="1"/>
  <c r="AE1910" i="31"/>
  <c r="AE1911" i="31" a="1"/>
  <c r="AE1911" i="31"/>
  <c r="AE1912" i="31" a="1"/>
  <c r="AE1912" i="31"/>
  <c r="AE1913" i="31" a="1"/>
  <c r="AE1913" i="31"/>
  <c r="AE1914" i="31" a="1"/>
  <c r="AE1914" i="31"/>
  <c r="AE1915" i="31" a="1"/>
  <c r="AE1915" i="31"/>
  <c r="AE1916" i="31" a="1"/>
  <c r="AE1916" i="31"/>
  <c r="AE1917" i="31" a="1"/>
  <c r="AE1917" i="31"/>
  <c r="AE1918" i="31" a="1"/>
  <c r="AE1918" i="31"/>
  <c r="AE1919" i="31" a="1"/>
  <c r="AE1919" i="31"/>
  <c r="AE1920" i="31" a="1"/>
  <c r="AE1920" i="31"/>
  <c r="AE1921" i="31" a="1"/>
  <c r="AE1921" i="31"/>
  <c r="AE1922" i="31" a="1"/>
  <c r="AE1922" i="31"/>
  <c r="AE1923" i="31" a="1"/>
  <c r="AE1923" i="31"/>
  <c r="AE1924" i="31" a="1"/>
  <c r="AE1924" i="31"/>
  <c r="AE1925" i="31" a="1"/>
  <c r="AE1925" i="31"/>
  <c r="AE1926" i="31" a="1"/>
  <c r="AE1926" i="31"/>
  <c r="AE1927" i="31" a="1"/>
  <c r="AE1927" i="31"/>
  <c r="AE1928" i="31" a="1"/>
  <c r="AE1928" i="31"/>
  <c r="AE1929" i="31" a="1"/>
  <c r="AE1929" i="31"/>
  <c r="AE1930" i="31" a="1"/>
  <c r="AE1930" i="31"/>
  <c r="AE1931" i="31" a="1"/>
  <c r="AE1931" i="31"/>
  <c r="AE1932" i="31" a="1"/>
  <c r="AE1932" i="31"/>
  <c r="AE1933" i="31" a="1"/>
  <c r="AE1933" i="31"/>
  <c r="AE1934" i="31" a="1"/>
  <c r="AE1934" i="31"/>
  <c r="AE1935" i="31" a="1"/>
  <c r="AE1935" i="31"/>
  <c r="AE1936" i="31" a="1"/>
  <c r="AE1936" i="31"/>
  <c r="AE1937" i="31" a="1"/>
  <c r="AE1937" i="31"/>
  <c r="AE1938" i="31" a="1"/>
  <c r="AE1938" i="31"/>
  <c r="AE1939" i="31" a="1"/>
  <c r="AE1939" i="31"/>
  <c r="AE1940" i="31" a="1"/>
  <c r="AE1940" i="31"/>
  <c r="AE1941" i="31" a="1"/>
  <c r="AE1941" i="31"/>
  <c r="AE1942" i="31" a="1"/>
  <c r="AE1942" i="31"/>
  <c r="AE1943" i="31" a="1"/>
  <c r="AE1943" i="31"/>
  <c r="AE1944" i="31" a="1"/>
  <c r="AE1944" i="31"/>
  <c r="AE1945" i="31" a="1"/>
  <c r="AE1945" i="31"/>
  <c r="AE1946" i="31" a="1"/>
  <c r="AE1946" i="31"/>
  <c r="AE1947" i="31" a="1"/>
  <c r="AE1947" i="31"/>
  <c r="AE1948" i="31" a="1"/>
  <c r="AE1948" i="31"/>
  <c r="AE1949" i="31" a="1"/>
  <c r="AE1949" i="31"/>
  <c r="AE1950" i="31" a="1"/>
  <c r="AE1950" i="31"/>
  <c r="AE1951" i="31" a="1"/>
  <c r="AE1951" i="31"/>
  <c r="AE1952" i="31" a="1"/>
  <c r="AE1952" i="31"/>
  <c r="AE1953" i="31" a="1"/>
  <c r="AE1953" i="31"/>
  <c r="AE1954" i="31" a="1"/>
  <c r="AE1954" i="31"/>
  <c r="AE1955" i="31" a="1"/>
  <c r="AE1955" i="31"/>
  <c r="AE1956" i="31" a="1"/>
  <c r="AE1956" i="31"/>
  <c r="AE1957" i="31" a="1"/>
  <c r="AE1957" i="31"/>
  <c r="AE1958" i="31" a="1"/>
  <c r="AE1958" i="31"/>
  <c r="AE1959" i="31" a="1"/>
  <c r="AE1959" i="31"/>
  <c r="AE1960" i="31" a="1"/>
  <c r="AE1960" i="31"/>
  <c r="AE1961" i="31" a="1"/>
  <c r="AE1961" i="31"/>
  <c r="AE1962" i="31" a="1"/>
  <c r="AE1962" i="31"/>
  <c r="AE1963" i="31" a="1"/>
  <c r="AE1963" i="31"/>
  <c r="AE1964" i="31" a="1"/>
  <c r="AE1964" i="31"/>
  <c r="AE1965" i="31" a="1"/>
  <c r="AE1965" i="31"/>
  <c r="AE1966" i="31" a="1"/>
  <c r="AE1966" i="31"/>
  <c r="AE1967" i="31" a="1"/>
  <c r="AE1967" i="31"/>
  <c r="AE1968" i="31" a="1"/>
  <c r="AE1968" i="31"/>
  <c r="AE1969" i="31" a="1"/>
  <c r="AE1969" i="31"/>
  <c r="AE1970" i="31" a="1"/>
  <c r="AE1970" i="31"/>
  <c r="AE1971" i="31" a="1"/>
  <c r="AE1971" i="31"/>
  <c r="AE1972" i="31" a="1"/>
  <c r="AE1972" i="31"/>
  <c r="AE1973" i="31" a="1"/>
  <c r="AE1973" i="31"/>
  <c r="AE1974" i="31" a="1"/>
  <c r="AE1974" i="31"/>
  <c r="AE1975" i="31" a="1"/>
  <c r="AE1975" i="31"/>
  <c r="AE1976" i="31" a="1"/>
  <c r="AE1976" i="31"/>
  <c r="AE1977" i="31" a="1"/>
  <c r="AE1977" i="31"/>
  <c r="AE1978" i="31" a="1"/>
  <c r="AE1978" i="31"/>
  <c r="AE1979" i="31" a="1"/>
  <c r="AE1979" i="31"/>
  <c r="AE1980" i="31" a="1"/>
  <c r="AE1980" i="31"/>
  <c r="AE1981" i="31" a="1"/>
  <c r="AE1981" i="31"/>
  <c r="AE1982" i="31" a="1"/>
  <c r="AE1982" i="31"/>
  <c r="AE1983" i="31" a="1"/>
  <c r="AE1983" i="31"/>
  <c r="AE1984" i="31" a="1"/>
  <c r="AE1984" i="31"/>
  <c r="AE1985" i="31" a="1"/>
  <c r="AE1985" i="31"/>
  <c r="AE1986" i="31" a="1"/>
  <c r="AE1986" i="31"/>
  <c r="AE1987" i="31" a="1"/>
  <c r="AE1987" i="31"/>
  <c r="AE1988" i="31" a="1"/>
  <c r="AE1988" i="31"/>
  <c r="AE1989" i="31" a="1"/>
  <c r="AE1989" i="31"/>
  <c r="AE1990" i="31" a="1"/>
  <c r="AE1990" i="31"/>
  <c r="AE1991" i="31" a="1"/>
  <c r="AE1991" i="31"/>
  <c r="AE1992" i="31" a="1"/>
  <c r="AE1992" i="31"/>
  <c r="AE1993" i="31" a="1"/>
  <c r="AE1993" i="31"/>
  <c r="AE1994" i="31" a="1"/>
  <c r="AE1994" i="31"/>
  <c r="AE1995" i="31" a="1"/>
  <c r="AE1995" i="31"/>
  <c r="AE1996" i="31" a="1"/>
  <c r="AE1996" i="31"/>
  <c r="AE1997" i="31" a="1"/>
  <c r="AE1997" i="31"/>
  <c r="AE1998" i="31" a="1"/>
  <c r="AE1998" i="31"/>
  <c r="AE1999" i="31" a="1"/>
  <c r="AE1999" i="31"/>
  <c r="AE2000" i="31" a="1"/>
  <c r="AE2000" i="31"/>
  <c r="AE2001" i="31" a="1"/>
  <c r="AE2001" i="31"/>
  <c r="AE3" i="31" a="1"/>
  <c r="AE3" i="31"/>
  <c r="AE4" i="31" a="1"/>
  <c r="AE4" i="31"/>
  <c r="AE5" i="31" a="1"/>
  <c r="AE5" i="31"/>
  <c r="AE6" i="31" a="1"/>
  <c r="AE6" i="31"/>
  <c r="AE7" i="31" a="1"/>
  <c r="AE7" i="31"/>
  <c r="AE2" i="31" a="1"/>
  <c r="AE2" i="31"/>
  <c r="AI12" i="27"/>
  <c r="AI11" i="27"/>
  <c r="L34" i="6"/>
  <c r="L33" i="6"/>
  <c r="L32" i="6"/>
  <c r="L31" i="6"/>
  <c r="L30" i="6"/>
  <c r="L29" i="6"/>
  <c r="L28" i="6"/>
  <c r="L27" i="6"/>
  <c r="L26" i="6"/>
  <c r="L25" i="6"/>
  <c r="L24" i="6"/>
  <c r="L23" i="6"/>
  <c r="L22" i="6"/>
  <c r="L21" i="6"/>
  <c r="L20" i="6"/>
  <c r="L19" i="6"/>
  <c r="L18" i="6"/>
  <c r="L17" i="6"/>
  <c r="L16" i="6"/>
  <c r="L15" i="6"/>
  <c r="L14" i="6"/>
  <c r="L13" i="6"/>
  <c r="L12" i="6"/>
  <c r="L11" i="6"/>
  <c r="L10" i="6"/>
  <c r="L9" i="6"/>
  <c r="L8" i="6"/>
  <c r="L7" i="6"/>
  <c r="P9" i="26"/>
  <c r="P10" i="26"/>
  <c r="P11" i="26"/>
  <c r="P12" i="26"/>
  <c r="P13" i="26"/>
  <c r="P14" i="26"/>
  <c r="P15" i="26"/>
  <c r="P16" i="26"/>
  <c r="P17" i="26"/>
  <c r="P18" i="26"/>
  <c r="P19" i="26"/>
  <c r="P20" i="26"/>
  <c r="AD36" i="27"/>
  <c r="AD35" i="27"/>
  <c r="AD48" i="27"/>
  <c r="AD34" i="27"/>
  <c r="AD47" i="27"/>
  <c r="AD33" i="27"/>
  <c r="AD46" i="27"/>
  <c r="AD32" i="27"/>
  <c r="AD45" i="27"/>
  <c r="AD31" i="27"/>
  <c r="AD44" i="27"/>
  <c r="AD30" i="27"/>
  <c r="AD43" i="27"/>
  <c r="AD29" i="27"/>
  <c r="AD42" i="27"/>
  <c r="B16" i="30" a="1"/>
  <c r="B16" i="30" s="1"/>
  <c r="B16" i="36" a="1"/>
  <c r="B16" i="36" s="1"/>
  <c r="AD28" i="27"/>
  <c r="AD41" i="27"/>
  <c r="AD38" i="27"/>
  <c r="AD37" i="27"/>
  <c r="E14" i="30"/>
  <c r="C2" i="34"/>
  <c r="C2" i="17"/>
  <c r="C1" i="17"/>
  <c r="C2" i="16"/>
  <c r="C2" i="21"/>
  <c r="C2" i="6"/>
  <c r="C10" i="36"/>
  <c r="G15" i="36"/>
  <c r="I13" i="36"/>
  <c r="G13" i="36"/>
  <c r="AH41" i="27" a="1"/>
  <c r="AH41" i="27"/>
  <c r="AE41" i="27"/>
  <c r="AE42" i="27"/>
  <c r="AE43" i="27"/>
  <c r="AE44" i="27"/>
  <c r="AE45" i="27"/>
  <c r="AE46" i="27"/>
  <c r="AE47" i="27"/>
  <c r="AE48" i="27"/>
  <c r="AH48" i="27" a="1"/>
  <c r="AH48" i="27"/>
  <c r="AH47" i="27" a="1"/>
  <c r="AH47" i="27"/>
  <c r="AG47" i="27"/>
  <c r="AF47" i="27"/>
  <c r="AH46" i="27" a="1"/>
  <c r="AH46" i="27"/>
  <c r="AH45" i="27" a="1"/>
  <c r="AH45" i="27"/>
  <c r="AG45" i="27"/>
  <c r="AF45" i="27"/>
  <c r="AH44" i="27" a="1"/>
  <c r="AH44" i="27"/>
  <c r="AH43" i="27" a="1"/>
  <c r="AH43" i="27"/>
  <c r="AH42" i="27" a="1"/>
  <c r="AH42" i="27"/>
  <c r="H15" i="36"/>
  <c r="W1" i="38"/>
  <c r="V1" i="38"/>
  <c r="U1" i="38"/>
  <c r="T1" i="38"/>
  <c r="R1" i="38"/>
  <c r="S1" i="38"/>
  <c r="S100" i="38"/>
  <c r="R100" i="38"/>
  <c r="S99" i="38"/>
  <c r="R99" i="38"/>
  <c r="S98" i="38"/>
  <c r="R98" i="38"/>
  <c r="S97" i="38"/>
  <c r="R97" i="38"/>
  <c r="S96" i="38"/>
  <c r="R96" i="38"/>
  <c r="S95" i="38"/>
  <c r="R95" i="38"/>
  <c r="S94" i="38"/>
  <c r="R94" i="38"/>
  <c r="S93" i="38"/>
  <c r="R93" i="38"/>
  <c r="S92" i="38"/>
  <c r="R92" i="38"/>
  <c r="S91" i="38"/>
  <c r="R91" i="38"/>
  <c r="S90" i="38"/>
  <c r="R90" i="38"/>
  <c r="S89" i="38"/>
  <c r="R89" i="38"/>
  <c r="S88" i="38"/>
  <c r="R88" i="38"/>
  <c r="S87" i="38"/>
  <c r="R87" i="38"/>
  <c r="S86" i="38"/>
  <c r="R86" i="38"/>
  <c r="S85" i="38"/>
  <c r="R85" i="38"/>
  <c r="S84" i="38"/>
  <c r="R84" i="38"/>
  <c r="S83" i="38"/>
  <c r="R83" i="38"/>
  <c r="S82" i="38"/>
  <c r="R82" i="38"/>
  <c r="S81" i="38"/>
  <c r="R81" i="38"/>
  <c r="S80" i="38"/>
  <c r="R80" i="38"/>
  <c r="S79" i="38"/>
  <c r="R79" i="38"/>
  <c r="S78" i="38"/>
  <c r="R78" i="38"/>
  <c r="S77" i="38"/>
  <c r="R77" i="38"/>
  <c r="S76" i="38"/>
  <c r="R76" i="38"/>
  <c r="S75" i="38"/>
  <c r="R75" i="38"/>
  <c r="S74" i="38"/>
  <c r="R74" i="38"/>
  <c r="S73" i="38"/>
  <c r="R73" i="38"/>
  <c r="S72" i="38"/>
  <c r="R72" i="38"/>
  <c r="S71" i="38"/>
  <c r="R71" i="38"/>
  <c r="S70" i="38"/>
  <c r="R70" i="38"/>
  <c r="S69" i="38"/>
  <c r="R69" i="38"/>
  <c r="S68" i="38"/>
  <c r="R68" i="38"/>
  <c r="S67" i="38"/>
  <c r="R67" i="38"/>
  <c r="S66" i="38"/>
  <c r="R66" i="38"/>
  <c r="S65" i="38"/>
  <c r="R65" i="38"/>
  <c r="S64" i="38"/>
  <c r="R64" i="38"/>
  <c r="S63" i="38"/>
  <c r="R63" i="38"/>
  <c r="S62" i="38"/>
  <c r="R62" i="38"/>
  <c r="S61" i="38"/>
  <c r="R61" i="38"/>
  <c r="S60" i="38"/>
  <c r="R60" i="38"/>
  <c r="S59" i="38"/>
  <c r="R59" i="38"/>
  <c r="S58" i="38"/>
  <c r="R58" i="38"/>
  <c r="S57" i="38"/>
  <c r="R57" i="38"/>
  <c r="S56" i="38"/>
  <c r="R56" i="38"/>
  <c r="S55" i="38"/>
  <c r="R55" i="38"/>
  <c r="S54" i="38"/>
  <c r="R54" i="38"/>
  <c r="S53" i="38"/>
  <c r="R53" i="38"/>
  <c r="S52" i="38"/>
  <c r="R52" i="38"/>
  <c r="S51" i="38"/>
  <c r="R51" i="38"/>
  <c r="S50" i="38"/>
  <c r="R50" i="38"/>
  <c r="S49" i="38"/>
  <c r="R49" i="38"/>
  <c r="S48" i="38"/>
  <c r="R48" i="38"/>
  <c r="S47" i="38"/>
  <c r="R47" i="38"/>
  <c r="S46" i="38"/>
  <c r="R46" i="38"/>
  <c r="S45" i="38"/>
  <c r="R45" i="38"/>
  <c r="S44" i="38"/>
  <c r="R44" i="38"/>
  <c r="S43" i="38"/>
  <c r="R43" i="38"/>
  <c r="S42" i="38"/>
  <c r="R42" i="38"/>
  <c r="S41" i="38"/>
  <c r="R41" i="38"/>
  <c r="S40" i="38"/>
  <c r="R40" i="38"/>
  <c r="S39" i="38"/>
  <c r="R39" i="38"/>
  <c r="S38" i="38"/>
  <c r="R38" i="38"/>
  <c r="S37" i="38"/>
  <c r="R37" i="38"/>
  <c r="S36" i="38"/>
  <c r="R36" i="38"/>
  <c r="S35" i="38"/>
  <c r="R35" i="38"/>
  <c r="S34" i="38"/>
  <c r="R34" i="38"/>
  <c r="S33" i="38"/>
  <c r="R33" i="38"/>
  <c r="S32" i="38"/>
  <c r="R32" i="38"/>
  <c r="S31" i="38"/>
  <c r="R31" i="38"/>
  <c r="S30" i="38"/>
  <c r="R30" i="38"/>
  <c r="S29" i="38"/>
  <c r="R29" i="38"/>
  <c r="S28" i="38"/>
  <c r="R28" i="38"/>
  <c r="S27" i="38"/>
  <c r="R27" i="38"/>
  <c r="S26" i="38"/>
  <c r="R26" i="38"/>
  <c r="S25" i="38"/>
  <c r="R25" i="38"/>
  <c r="S24" i="38"/>
  <c r="R24" i="38"/>
  <c r="S23" i="38"/>
  <c r="R23" i="38"/>
  <c r="S22" i="38"/>
  <c r="R22" i="38"/>
  <c r="S21" i="38"/>
  <c r="R21" i="38"/>
  <c r="S20" i="38"/>
  <c r="R20" i="38"/>
  <c r="S19" i="38"/>
  <c r="R19" i="38"/>
  <c r="S18" i="38"/>
  <c r="R18" i="38"/>
  <c r="S17" i="38"/>
  <c r="R17" i="38"/>
  <c r="S16" i="38"/>
  <c r="R16" i="38"/>
  <c r="S15" i="38"/>
  <c r="R15" i="38"/>
  <c r="S14" i="38"/>
  <c r="R14" i="38"/>
  <c r="S13" i="38"/>
  <c r="R13" i="38"/>
  <c r="S12" i="38"/>
  <c r="R12" i="38"/>
  <c r="S11" i="38"/>
  <c r="R11" i="38"/>
  <c r="S10" i="38"/>
  <c r="R10" i="38"/>
  <c r="S9" i="38"/>
  <c r="R9" i="38"/>
  <c r="S8" i="38"/>
  <c r="R8" i="38"/>
  <c r="S7" i="38"/>
  <c r="R7" i="38"/>
  <c r="S6" i="38"/>
  <c r="R6" i="38"/>
  <c r="L1" i="38"/>
  <c r="AD49" i="27"/>
  <c r="AH49" i="27" a="1"/>
  <c r="AH49" i="27"/>
  <c r="AN49" i="27"/>
  <c r="AH36" i="27" a="1"/>
  <c r="AH36" i="27"/>
  <c r="F17" i="36"/>
  <c r="F19" i="36"/>
  <c r="F21" i="36"/>
  <c r="F22" i="36"/>
  <c r="F24" i="36"/>
  <c r="F25" i="36"/>
  <c r="E17" i="36"/>
  <c r="E19" i="36"/>
  <c r="E21" i="36"/>
  <c r="E22" i="36"/>
  <c r="E24" i="36"/>
  <c r="E25" i="36"/>
  <c r="C17" i="30"/>
  <c r="C19" i="30"/>
  <c r="C21" i="30"/>
  <c r="C22" i="30"/>
  <c r="C24" i="30"/>
  <c r="C25" i="30"/>
  <c r="AE50" i="27"/>
  <c r="AE49" i="27"/>
  <c r="AE51" i="27"/>
  <c r="AD51" i="27"/>
  <c r="AH51" i="27" a="1"/>
  <c r="AH51" i="27"/>
  <c r="AH38" i="27" a="1"/>
  <c r="AH38" i="27"/>
  <c r="AH37" i="27" a="1"/>
  <c r="AH37" i="27"/>
  <c r="AD50" i="27"/>
  <c r="AH50" i="27" a="1"/>
  <c r="AH50" i="27"/>
  <c r="AN41" i="27"/>
  <c r="AN42" i="27"/>
  <c r="AN43" i="27"/>
  <c r="AN44" i="27"/>
  <c r="AN45" i="27"/>
  <c r="AK45" i="27"/>
  <c r="AM45" i="27"/>
  <c r="AJ45" i="27"/>
  <c r="AL45" i="27"/>
  <c r="AN46" i="27"/>
  <c r="AN47" i="27"/>
  <c r="AK47" i="27"/>
  <c r="AM47" i="27"/>
  <c r="AJ47" i="27"/>
  <c r="AL47" i="27"/>
  <c r="AN48" i="27"/>
  <c r="AN36" i="27"/>
  <c r="AF38" i="27"/>
  <c r="AG38" i="27"/>
  <c r="AJ38" i="27"/>
  <c r="AK38" i="27"/>
  <c r="AN38" i="27"/>
  <c r="AF51" i="27"/>
  <c r="AG51" i="27"/>
  <c r="AJ51" i="27"/>
  <c r="AK51" i="27"/>
  <c r="AN51" i="27"/>
  <c r="AN50" i="27"/>
  <c r="AN37" i="27"/>
  <c r="D15" i="30"/>
  <c r="H2" i="26" a="1"/>
  <c r="H2" i="26"/>
  <c r="M2" i="31"/>
  <c r="P8" i="26"/>
  <c r="AM51" i="27"/>
  <c r="AL51" i="27"/>
  <c r="AM38" i="27"/>
  <c r="AL38" i="27"/>
  <c r="M2001" i="31"/>
  <c r="M2000" i="31"/>
  <c r="M1999" i="31"/>
  <c r="M1998" i="31"/>
  <c r="M1997" i="31"/>
  <c r="M1996" i="31"/>
  <c r="M1995" i="31"/>
  <c r="M1994" i="31"/>
  <c r="M1993" i="31"/>
  <c r="M1992" i="31"/>
  <c r="M1991" i="31"/>
  <c r="M1990" i="31"/>
  <c r="M1989" i="31"/>
  <c r="M1988" i="31"/>
  <c r="M1987" i="31"/>
  <c r="M1986" i="31"/>
  <c r="M1985" i="31"/>
  <c r="M1984" i="31"/>
  <c r="M1983" i="31"/>
  <c r="M1982" i="31"/>
  <c r="M1981" i="31"/>
  <c r="M1980" i="31"/>
  <c r="M1979" i="31"/>
  <c r="M1978" i="31"/>
  <c r="M1977" i="31"/>
  <c r="M1976" i="31"/>
  <c r="M1975" i="31"/>
  <c r="M1974" i="31"/>
  <c r="M1973" i="31"/>
  <c r="M1972" i="31"/>
  <c r="M1971" i="31"/>
  <c r="M1970" i="31"/>
  <c r="M1969" i="31"/>
  <c r="M1968" i="31"/>
  <c r="M1967" i="31"/>
  <c r="M1966" i="31"/>
  <c r="M1965" i="31"/>
  <c r="M1964" i="31"/>
  <c r="M1963" i="31"/>
  <c r="M1962" i="31"/>
  <c r="M1961" i="31"/>
  <c r="M1960" i="31"/>
  <c r="M1959" i="31"/>
  <c r="M1958" i="31"/>
  <c r="M1957" i="31"/>
  <c r="M1956" i="31"/>
  <c r="M1955" i="31"/>
  <c r="M1954" i="31"/>
  <c r="M1953" i="31"/>
  <c r="M1952" i="31"/>
  <c r="M1951" i="31"/>
  <c r="M1950" i="31"/>
  <c r="M1949" i="31"/>
  <c r="M1948" i="31"/>
  <c r="M1947" i="31"/>
  <c r="M1946" i="31"/>
  <c r="M1945" i="31"/>
  <c r="M1944" i="31"/>
  <c r="M1943" i="31"/>
  <c r="M1942" i="31"/>
  <c r="M1941" i="31"/>
  <c r="M1940" i="31"/>
  <c r="M1939" i="31"/>
  <c r="M1938" i="31"/>
  <c r="M1937" i="31"/>
  <c r="M1936" i="31"/>
  <c r="M1935" i="31"/>
  <c r="M1934" i="31"/>
  <c r="M1933" i="31"/>
  <c r="M1932" i="31"/>
  <c r="M1931" i="31"/>
  <c r="M1930" i="31"/>
  <c r="M1929" i="31"/>
  <c r="M1928" i="31"/>
  <c r="M1927" i="31"/>
  <c r="M1926" i="31"/>
  <c r="M1925" i="31"/>
  <c r="M1924" i="31"/>
  <c r="M1923" i="31"/>
  <c r="M1922" i="31"/>
  <c r="M1921" i="31"/>
  <c r="M1920" i="31"/>
  <c r="M1919" i="31"/>
  <c r="M1918" i="31"/>
  <c r="M1917" i="31"/>
  <c r="M1916" i="31"/>
  <c r="M1915" i="31"/>
  <c r="M1914" i="31"/>
  <c r="M1913" i="31"/>
  <c r="M1912" i="31"/>
  <c r="M1911" i="31"/>
  <c r="M1910" i="31"/>
  <c r="M1909" i="31"/>
  <c r="M1908" i="31"/>
  <c r="M1907" i="31"/>
  <c r="M1906" i="31"/>
  <c r="M1905" i="31"/>
  <c r="M1904" i="31"/>
  <c r="M1903" i="31"/>
  <c r="M1902" i="31"/>
  <c r="M1901" i="31"/>
  <c r="M1900" i="31"/>
  <c r="M1899" i="31"/>
  <c r="M1898" i="31"/>
  <c r="M1897" i="31"/>
  <c r="M1896" i="31"/>
  <c r="M1895" i="31"/>
  <c r="M1894" i="31"/>
  <c r="M1893" i="31"/>
  <c r="M1892" i="31"/>
  <c r="M1891" i="31"/>
  <c r="M1890" i="31"/>
  <c r="M1889" i="31"/>
  <c r="M1888" i="31"/>
  <c r="M1887" i="31"/>
  <c r="M1886" i="31"/>
  <c r="M1885" i="31"/>
  <c r="M1884" i="31"/>
  <c r="M1883" i="31"/>
  <c r="M1882" i="31"/>
  <c r="M1881" i="31"/>
  <c r="M1880" i="31"/>
  <c r="M1879" i="31"/>
  <c r="M1878" i="31"/>
  <c r="M1877" i="31"/>
  <c r="M1876" i="31"/>
  <c r="M1875" i="31"/>
  <c r="M1874" i="31"/>
  <c r="M1873" i="31"/>
  <c r="M1872" i="31"/>
  <c r="M1871" i="31"/>
  <c r="M1870" i="31"/>
  <c r="M1869" i="31"/>
  <c r="M1868" i="31"/>
  <c r="M1867" i="31"/>
  <c r="M1866" i="31"/>
  <c r="M1865" i="31"/>
  <c r="M1864" i="31"/>
  <c r="M1863" i="31"/>
  <c r="M1862" i="31"/>
  <c r="M1861" i="31"/>
  <c r="M1860" i="31"/>
  <c r="M1859" i="31"/>
  <c r="M1858" i="31"/>
  <c r="M1857" i="31"/>
  <c r="M1856" i="31"/>
  <c r="M1855" i="31"/>
  <c r="M1854" i="31"/>
  <c r="M1853" i="31"/>
  <c r="M1852" i="31"/>
  <c r="M1851" i="31"/>
  <c r="M1850" i="31"/>
  <c r="M1849" i="31"/>
  <c r="M1848" i="31"/>
  <c r="M1847" i="31"/>
  <c r="M1846" i="31"/>
  <c r="M1845" i="31"/>
  <c r="M1844" i="31"/>
  <c r="M1843" i="31"/>
  <c r="M1842" i="31"/>
  <c r="M1841" i="31"/>
  <c r="M1840" i="31"/>
  <c r="M1839" i="31"/>
  <c r="M1838" i="31"/>
  <c r="M1837" i="31"/>
  <c r="M1836" i="31"/>
  <c r="M1835" i="31"/>
  <c r="M1834" i="31"/>
  <c r="M1833" i="31"/>
  <c r="M1832" i="31"/>
  <c r="M1831" i="31"/>
  <c r="M1830" i="31"/>
  <c r="M1829" i="31"/>
  <c r="M1828" i="31"/>
  <c r="M1827" i="31"/>
  <c r="M1826" i="31"/>
  <c r="M1825" i="31"/>
  <c r="M1824" i="31"/>
  <c r="M1823" i="31"/>
  <c r="M1822" i="31"/>
  <c r="M1821" i="31"/>
  <c r="M1820" i="31"/>
  <c r="M1819" i="31"/>
  <c r="M1818" i="31"/>
  <c r="M1817" i="31"/>
  <c r="M1816" i="31"/>
  <c r="M1815" i="31"/>
  <c r="M1814" i="31"/>
  <c r="M1813" i="31"/>
  <c r="M1812" i="31"/>
  <c r="M1811" i="31"/>
  <c r="M1810" i="31"/>
  <c r="M1809" i="31"/>
  <c r="M1808" i="31"/>
  <c r="M1807" i="31"/>
  <c r="M1806" i="31"/>
  <c r="M1805" i="31"/>
  <c r="M1804" i="31"/>
  <c r="M1803" i="31"/>
  <c r="M1802" i="31"/>
  <c r="M1801" i="31"/>
  <c r="M1800" i="31"/>
  <c r="M1799" i="31"/>
  <c r="M1798" i="31"/>
  <c r="M1797" i="31"/>
  <c r="M1796" i="31"/>
  <c r="M1795" i="31"/>
  <c r="M1794" i="31"/>
  <c r="M1793" i="31"/>
  <c r="M1792" i="31"/>
  <c r="M1791" i="31"/>
  <c r="M1790" i="31"/>
  <c r="M1789" i="31"/>
  <c r="M1788" i="31"/>
  <c r="M1787" i="31"/>
  <c r="M1786" i="31"/>
  <c r="M1785" i="31"/>
  <c r="M1784" i="31"/>
  <c r="M1783" i="31"/>
  <c r="M1782" i="31"/>
  <c r="M1781" i="31"/>
  <c r="M1780" i="31"/>
  <c r="M1779" i="31"/>
  <c r="M1778" i="31"/>
  <c r="M1777" i="31"/>
  <c r="M1776" i="31"/>
  <c r="M1775" i="31"/>
  <c r="M1774" i="31"/>
  <c r="M1773" i="31"/>
  <c r="M1772" i="31"/>
  <c r="M1771" i="31"/>
  <c r="M1770" i="31"/>
  <c r="M1769" i="31"/>
  <c r="M1768" i="31"/>
  <c r="M1767" i="31"/>
  <c r="M1766" i="31"/>
  <c r="M1765" i="31"/>
  <c r="M1764" i="31"/>
  <c r="M1763" i="31"/>
  <c r="M1762" i="31"/>
  <c r="M1761" i="31"/>
  <c r="M1760" i="31"/>
  <c r="M1759" i="31"/>
  <c r="M1758" i="31"/>
  <c r="M1757" i="31"/>
  <c r="M1756" i="31"/>
  <c r="M1755" i="31"/>
  <c r="M1754" i="31"/>
  <c r="M1753" i="31"/>
  <c r="M1752" i="31"/>
  <c r="M1751" i="31"/>
  <c r="M1750" i="31"/>
  <c r="M1749" i="31"/>
  <c r="M1748" i="31"/>
  <c r="M1747" i="31"/>
  <c r="M1746" i="31"/>
  <c r="M1745" i="31"/>
  <c r="M1744" i="31"/>
  <c r="M1743" i="31"/>
  <c r="M1742" i="31"/>
  <c r="M1741" i="31"/>
  <c r="M1740" i="31"/>
  <c r="M1739" i="31"/>
  <c r="M1738" i="31"/>
  <c r="M1737" i="31"/>
  <c r="M1736" i="31"/>
  <c r="M1735" i="31"/>
  <c r="M1734" i="31"/>
  <c r="M1733" i="31"/>
  <c r="M1732" i="31"/>
  <c r="M1731" i="31"/>
  <c r="M1730" i="31"/>
  <c r="M1729" i="31"/>
  <c r="M1728" i="31"/>
  <c r="M1727" i="31"/>
  <c r="M1726" i="31"/>
  <c r="M1725" i="31"/>
  <c r="M1724" i="31"/>
  <c r="M1723" i="31"/>
  <c r="M1722" i="31"/>
  <c r="M1721" i="31"/>
  <c r="M1720" i="31"/>
  <c r="M1719" i="31"/>
  <c r="M1718" i="31"/>
  <c r="M1717" i="31"/>
  <c r="M1716" i="31"/>
  <c r="M1715" i="31"/>
  <c r="M1714" i="31"/>
  <c r="M1713" i="31"/>
  <c r="M1712" i="31"/>
  <c r="M1711" i="31"/>
  <c r="M1710" i="31"/>
  <c r="M1709" i="31"/>
  <c r="M1708" i="31"/>
  <c r="M1707" i="31"/>
  <c r="M1706" i="31"/>
  <c r="M1705" i="31"/>
  <c r="M1704" i="31"/>
  <c r="M1703" i="31"/>
  <c r="M1702" i="31"/>
  <c r="M1701" i="31"/>
  <c r="M1700" i="31"/>
  <c r="M1699" i="31"/>
  <c r="M1698" i="31"/>
  <c r="M1697" i="31"/>
  <c r="M1696" i="31"/>
  <c r="M1695" i="31"/>
  <c r="M1694" i="31"/>
  <c r="M1693" i="31"/>
  <c r="M1692" i="31"/>
  <c r="M1691" i="31"/>
  <c r="M1690" i="31"/>
  <c r="M1689" i="31"/>
  <c r="M1688" i="31"/>
  <c r="M1687" i="31"/>
  <c r="M1686" i="31"/>
  <c r="M1685" i="31"/>
  <c r="M1684" i="31"/>
  <c r="M1683" i="31"/>
  <c r="M1682" i="31"/>
  <c r="M1681" i="31"/>
  <c r="M1680" i="31"/>
  <c r="M1679" i="31"/>
  <c r="M1678" i="31"/>
  <c r="M1677" i="31"/>
  <c r="M1676" i="31"/>
  <c r="M1675" i="31"/>
  <c r="M1674" i="31"/>
  <c r="M1673" i="31"/>
  <c r="M1672" i="31"/>
  <c r="M1671" i="31"/>
  <c r="M1670" i="31"/>
  <c r="M1669" i="31"/>
  <c r="M1668" i="31"/>
  <c r="M1667" i="31"/>
  <c r="M1666" i="31"/>
  <c r="M1665" i="31"/>
  <c r="M1664" i="31"/>
  <c r="M1663" i="31"/>
  <c r="M1662" i="31"/>
  <c r="M1661" i="31"/>
  <c r="M1660" i="31"/>
  <c r="M1659" i="31"/>
  <c r="M1658" i="31"/>
  <c r="M1657" i="31"/>
  <c r="M1656" i="31"/>
  <c r="M1655" i="31"/>
  <c r="M1654" i="31"/>
  <c r="M1653" i="31"/>
  <c r="M1652" i="31"/>
  <c r="M1651" i="31"/>
  <c r="M1650" i="31"/>
  <c r="M1649" i="31"/>
  <c r="M1648" i="31"/>
  <c r="M1647" i="31"/>
  <c r="M1646" i="31"/>
  <c r="M1645" i="31"/>
  <c r="M1644" i="31"/>
  <c r="M1643" i="31"/>
  <c r="M1642" i="31"/>
  <c r="M1641" i="31"/>
  <c r="M1640" i="31"/>
  <c r="M1639" i="31"/>
  <c r="M1638" i="31"/>
  <c r="M1637" i="31"/>
  <c r="M1636" i="31"/>
  <c r="M1635" i="31"/>
  <c r="M1634" i="31"/>
  <c r="M1633" i="31"/>
  <c r="M1632" i="31"/>
  <c r="M1631" i="31"/>
  <c r="M1630" i="31"/>
  <c r="M1629" i="31"/>
  <c r="M1628" i="31"/>
  <c r="M1627" i="31"/>
  <c r="M1626" i="31"/>
  <c r="M1625" i="31"/>
  <c r="M1624" i="31"/>
  <c r="M1623" i="31"/>
  <c r="M1622" i="31"/>
  <c r="M1621" i="31"/>
  <c r="M1620" i="31"/>
  <c r="M1619" i="31"/>
  <c r="M1618" i="31"/>
  <c r="M1617" i="31"/>
  <c r="M1616" i="31"/>
  <c r="M1615" i="31"/>
  <c r="M1614" i="31"/>
  <c r="M1613" i="31"/>
  <c r="M1612" i="31"/>
  <c r="M1611" i="31"/>
  <c r="M1610" i="31"/>
  <c r="M1609" i="31"/>
  <c r="M1608" i="31"/>
  <c r="M1607" i="31"/>
  <c r="M1606" i="31"/>
  <c r="M1605" i="31"/>
  <c r="M1604" i="31"/>
  <c r="M1603" i="31"/>
  <c r="M1602" i="31"/>
  <c r="M1601" i="31"/>
  <c r="M1600" i="31"/>
  <c r="M1599" i="31"/>
  <c r="M1598" i="31"/>
  <c r="M1597" i="31"/>
  <c r="M1596" i="31"/>
  <c r="M1595" i="31"/>
  <c r="M1594" i="31"/>
  <c r="M1593" i="31"/>
  <c r="M1592" i="31"/>
  <c r="M1591" i="31"/>
  <c r="M1590" i="31"/>
  <c r="M1589" i="31"/>
  <c r="M1588" i="31"/>
  <c r="M1587" i="31"/>
  <c r="M1586" i="31"/>
  <c r="M1585" i="31"/>
  <c r="M1584" i="31"/>
  <c r="M1583" i="31"/>
  <c r="M1582" i="31"/>
  <c r="M1581" i="31"/>
  <c r="M1580" i="31"/>
  <c r="M1579" i="31"/>
  <c r="M1578" i="31"/>
  <c r="M1577" i="31"/>
  <c r="M1576" i="31"/>
  <c r="M1575" i="31"/>
  <c r="M1574" i="31"/>
  <c r="M1573" i="31"/>
  <c r="M1572" i="31"/>
  <c r="M1571" i="31"/>
  <c r="M1570" i="31"/>
  <c r="M1569" i="31"/>
  <c r="M1568" i="31"/>
  <c r="M1567" i="31"/>
  <c r="M1566" i="31"/>
  <c r="M1565" i="31"/>
  <c r="M1564" i="31"/>
  <c r="M1563" i="31"/>
  <c r="M1562" i="31"/>
  <c r="M1561" i="31"/>
  <c r="M1560" i="31"/>
  <c r="M1559" i="31"/>
  <c r="M1558" i="31"/>
  <c r="M1557" i="31"/>
  <c r="M1556" i="31"/>
  <c r="M1555" i="31"/>
  <c r="M1554" i="31"/>
  <c r="M1553" i="31"/>
  <c r="M1552" i="31"/>
  <c r="M1551" i="31"/>
  <c r="M1550" i="31"/>
  <c r="M1549" i="31"/>
  <c r="M1548" i="31"/>
  <c r="M1547" i="31"/>
  <c r="M1546" i="31"/>
  <c r="M1545" i="31"/>
  <c r="M1544" i="31"/>
  <c r="M1543" i="31"/>
  <c r="M1542" i="31"/>
  <c r="M1541" i="31"/>
  <c r="M1540" i="31"/>
  <c r="M1539" i="31"/>
  <c r="M1538" i="31"/>
  <c r="M1537" i="31"/>
  <c r="M1536" i="31"/>
  <c r="M1535" i="31"/>
  <c r="M1534" i="31"/>
  <c r="M1533" i="31"/>
  <c r="M1532" i="31"/>
  <c r="M1531" i="31"/>
  <c r="M1530" i="31"/>
  <c r="M1529" i="31"/>
  <c r="M1528" i="31"/>
  <c r="M1527" i="31"/>
  <c r="M1526" i="31"/>
  <c r="M1525" i="31"/>
  <c r="M1524" i="31"/>
  <c r="M1523" i="31"/>
  <c r="M1522" i="31"/>
  <c r="M1521" i="31"/>
  <c r="M1520" i="31"/>
  <c r="M1519" i="31"/>
  <c r="M1518" i="31"/>
  <c r="M1517" i="31"/>
  <c r="M1516" i="31"/>
  <c r="M1515" i="31"/>
  <c r="M1514" i="31"/>
  <c r="M1513" i="31"/>
  <c r="M1512" i="31"/>
  <c r="M1511" i="31"/>
  <c r="M1510" i="31"/>
  <c r="M1509" i="31"/>
  <c r="M1508" i="31"/>
  <c r="M1507" i="31"/>
  <c r="M1506" i="31"/>
  <c r="M1505" i="31"/>
  <c r="M1504" i="31"/>
  <c r="M1503" i="31"/>
  <c r="M1502" i="31"/>
  <c r="M1501" i="31"/>
  <c r="M1500" i="31"/>
  <c r="M1499" i="31"/>
  <c r="M1498" i="31"/>
  <c r="M1497" i="31"/>
  <c r="M1496" i="31"/>
  <c r="M1495" i="31"/>
  <c r="M1494" i="31"/>
  <c r="M1493" i="31"/>
  <c r="M1492" i="31"/>
  <c r="M1491" i="31"/>
  <c r="M1490" i="31"/>
  <c r="M1489" i="31"/>
  <c r="M1488" i="31"/>
  <c r="M1487" i="31"/>
  <c r="M1486" i="31"/>
  <c r="M1485" i="31"/>
  <c r="M1484" i="31"/>
  <c r="M1483" i="31"/>
  <c r="M1482" i="31"/>
  <c r="M1481" i="31"/>
  <c r="M1480" i="31"/>
  <c r="M1479" i="31"/>
  <c r="M1478" i="31"/>
  <c r="M1477" i="31"/>
  <c r="M1476" i="31"/>
  <c r="M1475" i="31"/>
  <c r="M1474" i="31"/>
  <c r="M1473" i="31"/>
  <c r="M1472" i="31"/>
  <c r="M1471" i="31"/>
  <c r="M1470" i="31"/>
  <c r="M1469" i="31"/>
  <c r="M1468" i="31"/>
  <c r="M1467" i="31"/>
  <c r="M1466" i="31"/>
  <c r="M1465" i="31"/>
  <c r="M1464" i="31"/>
  <c r="M1463" i="31"/>
  <c r="M1462" i="31"/>
  <c r="M1461" i="31"/>
  <c r="M1460" i="31"/>
  <c r="M1459" i="31"/>
  <c r="M1458" i="31"/>
  <c r="M1457" i="31"/>
  <c r="M1456" i="31"/>
  <c r="M1455" i="31"/>
  <c r="M1454" i="31"/>
  <c r="M1453" i="31"/>
  <c r="M1452" i="31"/>
  <c r="M1451" i="31"/>
  <c r="M1450" i="31"/>
  <c r="M1449" i="31"/>
  <c r="M1448" i="31"/>
  <c r="M1447" i="31"/>
  <c r="M1446" i="31"/>
  <c r="M1445" i="31"/>
  <c r="M1444" i="31"/>
  <c r="M1443" i="31"/>
  <c r="M1442" i="31"/>
  <c r="M1441" i="31"/>
  <c r="M1440" i="31"/>
  <c r="M1439" i="31"/>
  <c r="M1438" i="31"/>
  <c r="M1437" i="31"/>
  <c r="M1436" i="31"/>
  <c r="M1435" i="31"/>
  <c r="M1434" i="31"/>
  <c r="M1433" i="31"/>
  <c r="M1432" i="31"/>
  <c r="M1431" i="31"/>
  <c r="M1430" i="31"/>
  <c r="M1429" i="31"/>
  <c r="M1428" i="31"/>
  <c r="M1427" i="31"/>
  <c r="M1426" i="31"/>
  <c r="M1425" i="31"/>
  <c r="M1424" i="31"/>
  <c r="M1423" i="31"/>
  <c r="M1422" i="31"/>
  <c r="M1421" i="31"/>
  <c r="M1420" i="31"/>
  <c r="M1419" i="31"/>
  <c r="M1418" i="31"/>
  <c r="M1417" i="31"/>
  <c r="M1416" i="31"/>
  <c r="M1415" i="31"/>
  <c r="M1414" i="31"/>
  <c r="M1413" i="31"/>
  <c r="M1412" i="31"/>
  <c r="M1411" i="31"/>
  <c r="M1410" i="31"/>
  <c r="M1409" i="31"/>
  <c r="M1408" i="31"/>
  <c r="M1407" i="31"/>
  <c r="M1406" i="31"/>
  <c r="M1405" i="31"/>
  <c r="M1404" i="31"/>
  <c r="M1403" i="31"/>
  <c r="M1402" i="31"/>
  <c r="M1401" i="31"/>
  <c r="M1400" i="31"/>
  <c r="M1399" i="31"/>
  <c r="M1398" i="31"/>
  <c r="M1397" i="31"/>
  <c r="M1396" i="31"/>
  <c r="M1395" i="31"/>
  <c r="M1394" i="31"/>
  <c r="M1393" i="31"/>
  <c r="M1392" i="31"/>
  <c r="M1391" i="31"/>
  <c r="M1390" i="31"/>
  <c r="M1389" i="31"/>
  <c r="M1388" i="31"/>
  <c r="M1387" i="31"/>
  <c r="M1386" i="31"/>
  <c r="M1385" i="31"/>
  <c r="M1384" i="31"/>
  <c r="M1383" i="31"/>
  <c r="M1382" i="31"/>
  <c r="M1381" i="31"/>
  <c r="M1380" i="31"/>
  <c r="M1379" i="31"/>
  <c r="M1378" i="31"/>
  <c r="M1377" i="31"/>
  <c r="M1376" i="31"/>
  <c r="M1375" i="31"/>
  <c r="M1374" i="31"/>
  <c r="M1373" i="31"/>
  <c r="M1372" i="31"/>
  <c r="M1371" i="31"/>
  <c r="M1370" i="31"/>
  <c r="M1369" i="31"/>
  <c r="M1368" i="31"/>
  <c r="M1367" i="31"/>
  <c r="M1366" i="31"/>
  <c r="M1365" i="31"/>
  <c r="M1364" i="31"/>
  <c r="M1363" i="31"/>
  <c r="M1362" i="31"/>
  <c r="M1361" i="31"/>
  <c r="M1360" i="31"/>
  <c r="M1359" i="31"/>
  <c r="M1358" i="31"/>
  <c r="M1357" i="31"/>
  <c r="M1356" i="31"/>
  <c r="M1355" i="31"/>
  <c r="M1354" i="31"/>
  <c r="M1353" i="31"/>
  <c r="M1352" i="31"/>
  <c r="M1351" i="31"/>
  <c r="M1350" i="31"/>
  <c r="M1349" i="31"/>
  <c r="M1348" i="31"/>
  <c r="M1347" i="31"/>
  <c r="M1346" i="31"/>
  <c r="M1345" i="31"/>
  <c r="M1344" i="31"/>
  <c r="M1343" i="31"/>
  <c r="M1342" i="31"/>
  <c r="M1341" i="31"/>
  <c r="M1340" i="31"/>
  <c r="M1339" i="31"/>
  <c r="M1338" i="31"/>
  <c r="M1337" i="31"/>
  <c r="M1336" i="31"/>
  <c r="M1335" i="31"/>
  <c r="M1334" i="31"/>
  <c r="M1333" i="31"/>
  <c r="M1332" i="31"/>
  <c r="M1331" i="31"/>
  <c r="M1330" i="31"/>
  <c r="M1329" i="31"/>
  <c r="M1328" i="31"/>
  <c r="M1327" i="31"/>
  <c r="M1326" i="31"/>
  <c r="M1325" i="31"/>
  <c r="M1324" i="31"/>
  <c r="M1323" i="31"/>
  <c r="M1322" i="31"/>
  <c r="M1321" i="31"/>
  <c r="M1320" i="31"/>
  <c r="M1319" i="31"/>
  <c r="M1318" i="31"/>
  <c r="M1317" i="31"/>
  <c r="M1316" i="31"/>
  <c r="M1315" i="31"/>
  <c r="M1314" i="31"/>
  <c r="M1313" i="31"/>
  <c r="M1312" i="31"/>
  <c r="M1311" i="31"/>
  <c r="M1310" i="31"/>
  <c r="M1309" i="31"/>
  <c r="M1308" i="31"/>
  <c r="M1307" i="31"/>
  <c r="M1306" i="31"/>
  <c r="M1305" i="31"/>
  <c r="M1304" i="31"/>
  <c r="M1303" i="31"/>
  <c r="M1302" i="31"/>
  <c r="M1301" i="31"/>
  <c r="M1300" i="31"/>
  <c r="M1299" i="31"/>
  <c r="M1298" i="31"/>
  <c r="M1297" i="31"/>
  <c r="M1296" i="31"/>
  <c r="M1295" i="31"/>
  <c r="M1294" i="31"/>
  <c r="M1293" i="31"/>
  <c r="M1292" i="31"/>
  <c r="M1291" i="31"/>
  <c r="M1290" i="31"/>
  <c r="M1289" i="31"/>
  <c r="M1288" i="31"/>
  <c r="M1287" i="31"/>
  <c r="M1286" i="31"/>
  <c r="M1285" i="31"/>
  <c r="M1284" i="31"/>
  <c r="M1283" i="31"/>
  <c r="M1282" i="31"/>
  <c r="M1281" i="31"/>
  <c r="M1280" i="31"/>
  <c r="M1279" i="31"/>
  <c r="M1278" i="31"/>
  <c r="M1277" i="31"/>
  <c r="M1276" i="31"/>
  <c r="M1275" i="31"/>
  <c r="M1274" i="31"/>
  <c r="M1273" i="31"/>
  <c r="M1272" i="31"/>
  <c r="M1271" i="31"/>
  <c r="M1270" i="31"/>
  <c r="M1269" i="31"/>
  <c r="M1268" i="31"/>
  <c r="M1267" i="31"/>
  <c r="M1266" i="31"/>
  <c r="M1265" i="31"/>
  <c r="M1264" i="31"/>
  <c r="M1263" i="31"/>
  <c r="M1262" i="31"/>
  <c r="M1261" i="31"/>
  <c r="M1260" i="31"/>
  <c r="M1259" i="31"/>
  <c r="M1258" i="31"/>
  <c r="M1257" i="31"/>
  <c r="M1256" i="31"/>
  <c r="M1255" i="31"/>
  <c r="M1254" i="31"/>
  <c r="M1253" i="31"/>
  <c r="M1252" i="31"/>
  <c r="M1251" i="31"/>
  <c r="M1250" i="31"/>
  <c r="M1249" i="31"/>
  <c r="M1248" i="31"/>
  <c r="M1247" i="31"/>
  <c r="M1246" i="31"/>
  <c r="M1245" i="31"/>
  <c r="M1244" i="31"/>
  <c r="M1243" i="31"/>
  <c r="M1242" i="31"/>
  <c r="M1241" i="31"/>
  <c r="M1240" i="31"/>
  <c r="M1239" i="31"/>
  <c r="M1238" i="31"/>
  <c r="M1237" i="31"/>
  <c r="M1236" i="31"/>
  <c r="M1235" i="31"/>
  <c r="M1234" i="31"/>
  <c r="M1233" i="31"/>
  <c r="M1232" i="31"/>
  <c r="M1231" i="31"/>
  <c r="M1230" i="31"/>
  <c r="M1229" i="31"/>
  <c r="M1228" i="31"/>
  <c r="M1227" i="31"/>
  <c r="M1226" i="31"/>
  <c r="M1225" i="31"/>
  <c r="M1224" i="31"/>
  <c r="M1223" i="31"/>
  <c r="M1222" i="31"/>
  <c r="M1221" i="31"/>
  <c r="M1220" i="31"/>
  <c r="M1219" i="31"/>
  <c r="M1218" i="31"/>
  <c r="M1217" i="31"/>
  <c r="M1216" i="31"/>
  <c r="M1215" i="31"/>
  <c r="M1214" i="31"/>
  <c r="M1213" i="31"/>
  <c r="M1212" i="31"/>
  <c r="M1211" i="31"/>
  <c r="M1210" i="31"/>
  <c r="M1209" i="31"/>
  <c r="M1208" i="31"/>
  <c r="M1207" i="31"/>
  <c r="M1206" i="31"/>
  <c r="M1205" i="31"/>
  <c r="M1204" i="31"/>
  <c r="M1203" i="31"/>
  <c r="M1202" i="31"/>
  <c r="M1201" i="31"/>
  <c r="M1200" i="31"/>
  <c r="M1199" i="31"/>
  <c r="M1198" i="31"/>
  <c r="M1197" i="31"/>
  <c r="M1196" i="31"/>
  <c r="M1195" i="31"/>
  <c r="M1194" i="31"/>
  <c r="M1193" i="31"/>
  <c r="M1192" i="31"/>
  <c r="M1191" i="31"/>
  <c r="M1190" i="31"/>
  <c r="M1189" i="31"/>
  <c r="M1188" i="31"/>
  <c r="M1187" i="31"/>
  <c r="M1186" i="31"/>
  <c r="M1185" i="31"/>
  <c r="M1184" i="31"/>
  <c r="M1183" i="31"/>
  <c r="M1182" i="31"/>
  <c r="M1181" i="31"/>
  <c r="M1180" i="31"/>
  <c r="M1179" i="31"/>
  <c r="M1178" i="31"/>
  <c r="M1177" i="31"/>
  <c r="M1176" i="31"/>
  <c r="M1175" i="31"/>
  <c r="M1174" i="31"/>
  <c r="M1173" i="31"/>
  <c r="M1172" i="31"/>
  <c r="M1171" i="31"/>
  <c r="M1170" i="31"/>
  <c r="M1169" i="31"/>
  <c r="M1168" i="31"/>
  <c r="M1167" i="31"/>
  <c r="M1166" i="31"/>
  <c r="M1165" i="31"/>
  <c r="M1164" i="31"/>
  <c r="M1163" i="31"/>
  <c r="M1162" i="31"/>
  <c r="M1161" i="31"/>
  <c r="M1160" i="31"/>
  <c r="M1159" i="31"/>
  <c r="M1158" i="31"/>
  <c r="M1157" i="31"/>
  <c r="M1156" i="31"/>
  <c r="M1155" i="31"/>
  <c r="M1154" i="31"/>
  <c r="M1153" i="31"/>
  <c r="M1152" i="31"/>
  <c r="M1151" i="31"/>
  <c r="M1150" i="31"/>
  <c r="M1149" i="31"/>
  <c r="M1148" i="31"/>
  <c r="M1147" i="31"/>
  <c r="M1146" i="31"/>
  <c r="M1145" i="31"/>
  <c r="M1144" i="31"/>
  <c r="M1143" i="31"/>
  <c r="M1142" i="31"/>
  <c r="M1141" i="31"/>
  <c r="M1140" i="31"/>
  <c r="M1139" i="31"/>
  <c r="M1138" i="31"/>
  <c r="M1137" i="31"/>
  <c r="M1136" i="31"/>
  <c r="M1135" i="31"/>
  <c r="M1134" i="31"/>
  <c r="M1133" i="31"/>
  <c r="M1132" i="31"/>
  <c r="M1131" i="31"/>
  <c r="M1130" i="31"/>
  <c r="M1129" i="31"/>
  <c r="M1128" i="31"/>
  <c r="M1127" i="31"/>
  <c r="M1126" i="31"/>
  <c r="M1125" i="31"/>
  <c r="M1124" i="31"/>
  <c r="M1123" i="31"/>
  <c r="M1122" i="31"/>
  <c r="M1121" i="31"/>
  <c r="M1120" i="31"/>
  <c r="M1119" i="31"/>
  <c r="M1118" i="31"/>
  <c r="M1117" i="31"/>
  <c r="M1116" i="31"/>
  <c r="M1115" i="31"/>
  <c r="M1114" i="31"/>
  <c r="M1113" i="31"/>
  <c r="M1112" i="31"/>
  <c r="M1111" i="31"/>
  <c r="M1110" i="31"/>
  <c r="M1109" i="31"/>
  <c r="M1108" i="31"/>
  <c r="M1107" i="31"/>
  <c r="M1106" i="31"/>
  <c r="M1105" i="31"/>
  <c r="M1104" i="31"/>
  <c r="M1103" i="31"/>
  <c r="M1102" i="31"/>
  <c r="M1101" i="31"/>
  <c r="M1100" i="31"/>
  <c r="M1099" i="31"/>
  <c r="M1098" i="31"/>
  <c r="M1097" i="31"/>
  <c r="M1096" i="31"/>
  <c r="M1095" i="31"/>
  <c r="M1094" i="31"/>
  <c r="M1093" i="31"/>
  <c r="M1092" i="31"/>
  <c r="M1091" i="31"/>
  <c r="M1090" i="31"/>
  <c r="M1089" i="31"/>
  <c r="M1088" i="31"/>
  <c r="M1087" i="31"/>
  <c r="M1086" i="31"/>
  <c r="M1085" i="31"/>
  <c r="M1084" i="31"/>
  <c r="M1083" i="31"/>
  <c r="M1082" i="31"/>
  <c r="M1081" i="31"/>
  <c r="M1080" i="31"/>
  <c r="M1079" i="31"/>
  <c r="M1078" i="31"/>
  <c r="M1077" i="31"/>
  <c r="M1076" i="31"/>
  <c r="M1075" i="31"/>
  <c r="M1074" i="31"/>
  <c r="M1073" i="31"/>
  <c r="M1072" i="31"/>
  <c r="M1071" i="31"/>
  <c r="M1070" i="31"/>
  <c r="M1069" i="31"/>
  <c r="M1068" i="31"/>
  <c r="M1067" i="31"/>
  <c r="M1066" i="31"/>
  <c r="M1065" i="31"/>
  <c r="M1064" i="31"/>
  <c r="M1063" i="31"/>
  <c r="M1062" i="31"/>
  <c r="M1061" i="31"/>
  <c r="M1060" i="31"/>
  <c r="M1059" i="31"/>
  <c r="M1058" i="31"/>
  <c r="M1057" i="31"/>
  <c r="M1056" i="31"/>
  <c r="M1055" i="31"/>
  <c r="M1054" i="31"/>
  <c r="M1053" i="31"/>
  <c r="M1052" i="31"/>
  <c r="M1051" i="31"/>
  <c r="M1050" i="31"/>
  <c r="M1049" i="31"/>
  <c r="M1048" i="31"/>
  <c r="M1047" i="31"/>
  <c r="M1046" i="31"/>
  <c r="M1045" i="31"/>
  <c r="M1044" i="31"/>
  <c r="M1043" i="31"/>
  <c r="M1042" i="31"/>
  <c r="M1041" i="31"/>
  <c r="M1040" i="31"/>
  <c r="M1039" i="31"/>
  <c r="M1038" i="31"/>
  <c r="M1037" i="31"/>
  <c r="M1036" i="31"/>
  <c r="M1035" i="31"/>
  <c r="M1034" i="31"/>
  <c r="M1033" i="31"/>
  <c r="M1032" i="31"/>
  <c r="M1031" i="31"/>
  <c r="M1030" i="31"/>
  <c r="M1029" i="31"/>
  <c r="M1028" i="31"/>
  <c r="M1027" i="31"/>
  <c r="M1026" i="31"/>
  <c r="M1025" i="31"/>
  <c r="M1024" i="31"/>
  <c r="M1023" i="31"/>
  <c r="M1022" i="31"/>
  <c r="M1021" i="31"/>
  <c r="M1020" i="31"/>
  <c r="M1019" i="31"/>
  <c r="M1018" i="31"/>
  <c r="M1017" i="31"/>
  <c r="M1016" i="31"/>
  <c r="M1015" i="31"/>
  <c r="M1014" i="31"/>
  <c r="M1013" i="31"/>
  <c r="M1012" i="31"/>
  <c r="M1011" i="31"/>
  <c r="M1010" i="31"/>
  <c r="M1009" i="31"/>
  <c r="M1008" i="31"/>
  <c r="M1007" i="31"/>
  <c r="M1006" i="31"/>
  <c r="M1005" i="31"/>
  <c r="M1004" i="31"/>
  <c r="M1003" i="31"/>
  <c r="M1002" i="31"/>
  <c r="M1001" i="31"/>
  <c r="M1000" i="31"/>
  <c r="M999" i="31"/>
  <c r="M998" i="31"/>
  <c r="M997" i="31"/>
  <c r="M996" i="31"/>
  <c r="M994" i="31"/>
  <c r="M993" i="31"/>
  <c r="M992" i="31"/>
  <c r="M991" i="31"/>
  <c r="M990" i="31"/>
  <c r="M989" i="31"/>
  <c r="M988" i="31"/>
  <c r="M987" i="31"/>
  <c r="M986" i="31"/>
  <c r="M985" i="31"/>
  <c r="M984" i="31"/>
  <c r="M983" i="31"/>
  <c r="M982" i="31"/>
  <c r="M981" i="31"/>
  <c r="M980" i="31"/>
  <c r="M979" i="31"/>
  <c r="M978" i="31"/>
  <c r="M977" i="31"/>
  <c r="M976" i="31"/>
  <c r="M975" i="31"/>
  <c r="M974" i="31"/>
  <c r="M973" i="31"/>
  <c r="M972" i="31"/>
  <c r="M971" i="31"/>
  <c r="M970" i="31"/>
  <c r="M969" i="31"/>
  <c r="M968" i="31"/>
  <c r="M967" i="31"/>
  <c r="M966" i="31"/>
  <c r="M965" i="31"/>
  <c r="M964" i="31"/>
  <c r="M963" i="31"/>
  <c r="M962" i="31"/>
  <c r="M961" i="31"/>
  <c r="M960" i="31"/>
  <c r="M959" i="31"/>
  <c r="M958" i="31"/>
  <c r="M957" i="31"/>
  <c r="M956" i="31"/>
  <c r="M955" i="31"/>
  <c r="M954" i="31"/>
  <c r="M953" i="31"/>
  <c r="M952" i="31"/>
  <c r="M951" i="31"/>
  <c r="M950" i="31"/>
  <c r="M949" i="31"/>
  <c r="M948" i="31"/>
  <c r="M947" i="31"/>
  <c r="M946" i="31"/>
  <c r="M945" i="31"/>
  <c r="M944" i="31"/>
  <c r="M943" i="31"/>
  <c r="M942" i="31"/>
  <c r="M941" i="31"/>
  <c r="M940" i="31"/>
  <c r="M939" i="31"/>
  <c r="M938" i="31"/>
  <c r="M937" i="31"/>
  <c r="M936" i="31"/>
  <c r="M935" i="31"/>
  <c r="M934" i="31"/>
  <c r="M933" i="31"/>
  <c r="M932" i="31"/>
  <c r="M931" i="31"/>
  <c r="M930" i="31"/>
  <c r="M929" i="31"/>
  <c r="M928" i="31"/>
  <c r="M927" i="31"/>
  <c r="M926" i="31"/>
  <c r="M925" i="31"/>
  <c r="M924" i="31"/>
  <c r="M923" i="31"/>
  <c r="M922" i="31"/>
  <c r="M921" i="31"/>
  <c r="M920" i="31"/>
  <c r="M919" i="31"/>
  <c r="M918" i="31"/>
  <c r="M917" i="31"/>
  <c r="M916" i="31"/>
  <c r="M915" i="31"/>
  <c r="M914" i="31"/>
  <c r="M913" i="31"/>
  <c r="M912" i="31"/>
  <c r="M911" i="31"/>
  <c r="M910" i="31"/>
  <c r="M909" i="31"/>
  <c r="M908" i="31"/>
  <c r="M907" i="31"/>
  <c r="M906" i="31"/>
  <c r="M905" i="31"/>
  <c r="M904" i="31"/>
  <c r="M903" i="31"/>
  <c r="M902" i="31"/>
  <c r="M901" i="31"/>
  <c r="M900" i="31"/>
  <c r="M899" i="31"/>
  <c r="M898" i="31"/>
  <c r="M897" i="31"/>
  <c r="M896" i="31"/>
  <c r="M895" i="31"/>
  <c r="M894" i="31"/>
  <c r="M893" i="31"/>
  <c r="M892" i="31"/>
  <c r="M891" i="31"/>
  <c r="M890" i="31"/>
  <c r="M889" i="31"/>
  <c r="M888" i="31"/>
  <c r="M887" i="31"/>
  <c r="M886" i="31"/>
  <c r="M885" i="31"/>
  <c r="M884" i="31"/>
  <c r="M883" i="31"/>
  <c r="M882" i="31"/>
  <c r="M881" i="31"/>
  <c r="M880" i="31"/>
  <c r="M879" i="31"/>
  <c r="M878" i="31"/>
  <c r="M877" i="31"/>
  <c r="M876" i="31"/>
  <c r="M875" i="31"/>
  <c r="M874" i="31"/>
  <c r="M873" i="31"/>
  <c r="M872" i="31"/>
  <c r="M871" i="31"/>
  <c r="M870" i="31"/>
  <c r="M869" i="31"/>
  <c r="M868" i="31"/>
  <c r="M867" i="31"/>
  <c r="M866" i="31"/>
  <c r="M865" i="31"/>
  <c r="M864" i="31"/>
  <c r="M863" i="31"/>
  <c r="M862" i="31"/>
  <c r="M861" i="31"/>
  <c r="M860" i="31"/>
  <c r="M859" i="31"/>
  <c r="M858" i="31"/>
  <c r="M857" i="31"/>
  <c r="M856" i="31"/>
  <c r="M855" i="31"/>
  <c r="M854" i="31"/>
  <c r="M853" i="31"/>
  <c r="M852" i="31"/>
  <c r="M851" i="31"/>
  <c r="M850" i="31"/>
  <c r="M849" i="31"/>
  <c r="M848" i="31"/>
  <c r="M847" i="31"/>
  <c r="M846" i="31"/>
  <c r="M845" i="31"/>
  <c r="M844" i="31"/>
  <c r="M843" i="31"/>
  <c r="M842" i="31"/>
  <c r="M841" i="31"/>
  <c r="M840" i="31"/>
  <c r="M839" i="31"/>
  <c r="M838" i="31"/>
  <c r="M837" i="31"/>
  <c r="M836" i="31"/>
  <c r="M835" i="31"/>
  <c r="M834" i="31"/>
  <c r="M833" i="31"/>
  <c r="M832" i="31"/>
  <c r="M831" i="31"/>
  <c r="M830" i="31"/>
  <c r="M829" i="31"/>
  <c r="M828" i="31"/>
  <c r="M827" i="31"/>
  <c r="M826" i="31"/>
  <c r="M825" i="31"/>
  <c r="M824" i="31"/>
  <c r="M823" i="31"/>
  <c r="M822" i="31"/>
  <c r="M821" i="31"/>
  <c r="M820" i="31"/>
  <c r="M819" i="31"/>
  <c r="M818" i="31"/>
  <c r="M817" i="31"/>
  <c r="M816" i="31"/>
  <c r="M815" i="31"/>
  <c r="M814" i="31"/>
  <c r="M813" i="31"/>
  <c r="M812" i="31"/>
  <c r="M811" i="31"/>
  <c r="M810" i="31"/>
  <c r="M809" i="31"/>
  <c r="M808" i="31"/>
  <c r="M807" i="31"/>
  <c r="M806" i="31"/>
  <c r="M805" i="31"/>
  <c r="M804" i="31"/>
  <c r="M803" i="31"/>
  <c r="M802" i="31"/>
  <c r="M801" i="31"/>
  <c r="M800" i="31"/>
  <c r="M799" i="31"/>
  <c r="M798" i="31"/>
  <c r="M797" i="31"/>
  <c r="M796" i="31"/>
  <c r="M795" i="31"/>
  <c r="M794" i="31"/>
  <c r="M793" i="31"/>
  <c r="M792" i="31"/>
  <c r="M791" i="31"/>
  <c r="M790" i="31"/>
  <c r="M789" i="31"/>
  <c r="M788" i="31"/>
  <c r="M787" i="31"/>
  <c r="M786" i="31"/>
  <c r="M785" i="31"/>
  <c r="M784" i="31"/>
  <c r="M783" i="31"/>
  <c r="M782" i="31"/>
  <c r="M781" i="31"/>
  <c r="M780" i="31"/>
  <c r="M779" i="31"/>
  <c r="M778" i="31"/>
  <c r="M777" i="31"/>
  <c r="M776" i="31"/>
  <c r="M775" i="31"/>
  <c r="M774" i="31"/>
  <c r="M773" i="31"/>
  <c r="M772" i="31"/>
  <c r="M771" i="31"/>
  <c r="M770" i="31"/>
  <c r="M769" i="31"/>
  <c r="M768" i="31"/>
  <c r="M767" i="31"/>
  <c r="M766" i="31"/>
  <c r="M765" i="31"/>
  <c r="M764" i="31"/>
  <c r="M763" i="31"/>
  <c r="M762" i="31"/>
  <c r="M761" i="31"/>
  <c r="M760" i="31"/>
  <c r="M759" i="31"/>
  <c r="M758" i="31"/>
  <c r="M757" i="31"/>
  <c r="M756" i="31"/>
  <c r="M755" i="31"/>
  <c r="M754" i="31"/>
  <c r="M753" i="31"/>
  <c r="M752" i="31"/>
  <c r="M751" i="31"/>
  <c r="M750" i="31"/>
  <c r="M749" i="31"/>
  <c r="M748" i="31"/>
  <c r="M747" i="31"/>
  <c r="M746" i="31"/>
  <c r="M745" i="31"/>
  <c r="M744" i="31"/>
  <c r="M743" i="31"/>
  <c r="M742" i="31"/>
  <c r="M741" i="31"/>
  <c r="M740" i="31"/>
  <c r="M739" i="31"/>
  <c r="M738" i="31"/>
  <c r="M737" i="31"/>
  <c r="M736" i="31"/>
  <c r="M735" i="31"/>
  <c r="M734" i="31"/>
  <c r="M733" i="31"/>
  <c r="M732" i="31"/>
  <c r="M731" i="31"/>
  <c r="M730" i="31"/>
  <c r="M729" i="31"/>
  <c r="M728" i="31"/>
  <c r="M727" i="31"/>
  <c r="M726" i="31"/>
  <c r="M725" i="31"/>
  <c r="M724" i="31"/>
  <c r="M723" i="31"/>
  <c r="M722" i="31"/>
  <c r="M721" i="31"/>
  <c r="M720" i="31"/>
  <c r="M719" i="31"/>
  <c r="M718" i="31"/>
  <c r="M717" i="31"/>
  <c r="M716" i="31"/>
  <c r="M715" i="31"/>
  <c r="M714" i="31"/>
  <c r="M713" i="31"/>
  <c r="M712" i="31"/>
  <c r="M711" i="31"/>
  <c r="M710" i="31"/>
  <c r="M709" i="31"/>
  <c r="M708" i="31"/>
  <c r="M707" i="31"/>
  <c r="M706" i="31"/>
  <c r="M705" i="31"/>
  <c r="M704" i="31"/>
  <c r="M703" i="31"/>
  <c r="M702" i="31"/>
  <c r="M701" i="31"/>
  <c r="M700" i="31"/>
  <c r="M699" i="31"/>
  <c r="M698" i="31"/>
  <c r="M697" i="31"/>
  <c r="M696" i="31"/>
  <c r="M695" i="31"/>
  <c r="M694" i="31"/>
  <c r="M693" i="31"/>
  <c r="M692" i="31"/>
  <c r="M691" i="31"/>
  <c r="M690" i="31"/>
  <c r="M689" i="31"/>
  <c r="M688" i="31"/>
  <c r="M687" i="31"/>
  <c r="M686" i="31"/>
  <c r="M685" i="31"/>
  <c r="M684" i="31"/>
  <c r="M683" i="31"/>
  <c r="M682" i="31"/>
  <c r="M681" i="31"/>
  <c r="M680" i="31"/>
  <c r="M679" i="31"/>
  <c r="M678" i="31"/>
  <c r="M677" i="31"/>
  <c r="M676" i="31"/>
  <c r="M675" i="31"/>
  <c r="M674" i="31"/>
  <c r="M673" i="31"/>
  <c r="M672" i="31"/>
  <c r="M671" i="31"/>
  <c r="M670" i="31"/>
  <c r="M669" i="31"/>
  <c r="M668" i="31"/>
  <c r="M667" i="31"/>
  <c r="M666" i="31"/>
  <c r="M665" i="31"/>
  <c r="M664" i="31"/>
  <c r="M663" i="31"/>
  <c r="M662" i="31"/>
  <c r="M661" i="31"/>
  <c r="M660" i="31"/>
  <c r="M659" i="31"/>
  <c r="M658" i="31"/>
  <c r="M657" i="31"/>
  <c r="M656" i="31"/>
  <c r="M655" i="31"/>
  <c r="M654" i="31"/>
  <c r="M653" i="31"/>
  <c r="M652" i="31"/>
  <c r="M651" i="31"/>
  <c r="M650" i="31"/>
  <c r="M649" i="31"/>
  <c r="M648" i="31"/>
  <c r="M647" i="31"/>
  <c r="M646" i="31"/>
  <c r="M645" i="31"/>
  <c r="M644" i="31"/>
  <c r="M643" i="31"/>
  <c r="M642" i="31"/>
  <c r="M641" i="31"/>
  <c r="M640" i="31"/>
  <c r="M639" i="31"/>
  <c r="M638" i="31"/>
  <c r="M637" i="31"/>
  <c r="M636" i="31"/>
  <c r="M635" i="31"/>
  <c r="M634" i="31"/>
  <c r="M633" i="31"/>
  <c r="M632" i="31"/>
  <c r="M631" i="31"/>
  <c r="M630" i="31"/>
  <c r="M629" i="31"/>
  <c r="M628" i="31"/>
  <c r="M627" i="31"/>
  <c r="M626" i="31"/>
  <c r="M625" i="31"/>
  <c r="M624" i="31"/>
  <c r="M623" i="31"/>
  <c r="M622" i="31"/>
  <c r="M621" i="31"/>
  <c r="M620" i="31"/>
  <c r="M619" i="31"/>
  <c r="M618" i="31"/>
  <c r="M617" i="31"/>
  <c r="M616" i="31"/>
  <c r="M615" i="31"/>
  <c r="M614" i="31"/>
  <c r="M613" i="31"/>
  <c r="M612" i="31"/>
  <c r="M611" i="31"/>
  <c r="M610" i="31"/>
  <c r="M609" i="31"/>
  <c r="M608" i="31"/>
  <c r="M607" i="31"/>
  <c r="M606" i="31"/>
  <c r="M605" i="31"/>
  <c r="M604" i="31"/>
  <c r="M603" i="31"/>
  <c r="M602" i="31"/>
  <c r="M601" i="31"/>
  <c r="M600" i="31"/>
  <c r="M599" i="31"/>
  <c r="M598" i="31"/>
  <c r="M597" i="31"/>
  <c r="M596" i="31"/>
  <c r="M595" i="31"/>
  <c r="M594" i="31"/>
  <c r="M593" i="31"/>
  <c r="M592" i="31"/>
  <c r="M591" i="31"/>
  <c r="M590" i="31"/>
  <c r="M589" i="31"/>
  <c r="M588" i="31"/>
  <c r="M587" i="31"/>
  <c r="M586" i="31"/>
  <c r="M585" i="31"/>
  <c r="M584" i="31"/>
  <c r="M583" i="31"/>
  <c r="M582" i="31"/>
  <c r="M581" i="31"/>
  <c r="M580" i="31"/>
  <c r="M579" i="31"/>
  <c r="M578" i="31"/>
  <c r="M577" i="31"/>
  <c r="M576" i="31"/>
  <c r="M575" i="31"/>
  <c r="M574" i="31"/>
  <c r="M573" i="31"/>
  <c r="M572" i="31"/>
  <c r="M571" i="31"/>
  <c r="M570" i="31"/>
  <c r="M569" i="31"/>
  <c r="M568" i="31"/>
  <c r="M567" i="31"/>
  <c r="M566" i="31"/>
  <c r="M565" i="31"/>
  <c r="M564" i="31"/>
  <c r="M563" i="31"/>
  <c r="M562" i="31"/>
  <c r="M561" i="31"/>
  <c r="M560" i="31"/>
  <c r="M559" i="31"/>
  <c r="M558" i="31"/>
  <c r="M557" i="31"/>
  <c r="M556" i="31"/>
  <c r="M555" i="31"/>
  <c r="M554" i="31"/>
  <c r="M553" i="31"/>
  <c r="M552" i="31"/>
  <c r="M551" i="31"/>
  <c r="M550" i="31"/>
  <c r="M549" i="31"/>
  <c r="M548" i="31"/>
  <c r="M547" i="31"/>
  <c r="M546" i="31"/>
  <c r="M545" i="31"/>
  <c r="M544" i="31"/>
  <c r="M543" i="31"/>
  <c r="M542" i="31"/>
  <c r="M541" i="31"/>
  <c r="M540" i="31"/>
  <c r="M539" i="31"/>
  <c r="M538" i="31"/>
  <c r="M537" i="31"/>
  <c r="M536" i="31"/>
  <c r="M535" i="31"/>
  <c r="M534" i="31"/>
  <c r="M533" i="31"/>
  <c r="M532" i="31"/>
  <c r="M531" i="31"/>
  <c r="M530" i="31"/>
  <c r="M529" i="31"/>
  <c r="M528" i="31"/>
  <c r="M527" i="31"/>
  <c r="M526" i="31"/>
  <c r="M525" i="31"/>
  <c r="M524" i="31"/>
  <c r="M523" i="31"/>
  <c r="M522" i="31"/>
  <c r="M521" i="31"/>
  <c r="M520" i="31"/>
  <c r="M519" i="31"/>
  <c r="M518" i="31"/>
  <c r="M517" i="31"/>
  <c r="M516" i="31"/>
  <c r="M515" i="31"/>
  <c r="M514" i="31"/>
  <c r="M513" i="31"/>
  <c r="M512" i="31"/>
  <c r="M511" i="31"/>
  <c r="M510" i="31"/>
  <c r="M509" i="31"/>
  <c r="M508" i="31"/>
  <c r="M507" i="31"/>
  <c r="M506" i="31"/>
  <c r="M505" i="31"/>
  <c r="M504" i="31"/>
  <c r="M503" i="31"/>
  <c r="M502" i="31"/>
  <c r="M501" i="31"/>
  <c r="M500" i="31"/>
  <c r="M499" i="31"/>
  <c r="M498" i="31"/>
  <c r="M497" i="31"/>
  <c r="M496" i="31"/>
  <c r="M495" i="31"/>
  <c r="M494" i="31"/>
  <c r="M493" i="31"/>
  <c r="M492" i="31"/>
  <c r="M491" i="31"/>
  <c r="M490" i="31"/>
  <c r="M489" i="31"/>
  <c r="M488" i="31"/>
  <c r="M487" i="31"/>
  <c r="M486" i="31"/>
  <c r="M485" i="31"/>
  <c r="M484" i="31"/>
  <c r="M483" i="31"/>
  <c r="M482" i="31"/>
  <c r="M481" i="31"/>
  <c r="M480" i="31"/>
  <c r="M479" i="31"/>
  <c r="M478" i="31"/>
  <c r="M477" i="31"/>
  <c r="M476" i="31"/>
  <c r="M475" i="31"/>
  <c r="M474" i="31"/>
  <c r="M473" i="31"/>
  <c r="M472" i="31"/>
  <c r="M471" i="31"/>
  <c r="M470" i="31"/>
  <c r="M469" i="31"/>
  <c r="M468" i="31"/>
  <c r="M467" i="31"/>
  <c r="M466" i="31"/>
  <c r="M465" i="31"/>
  <c r="M464" i="31"/>
  <c r="M463" i="31"/>
  <c r="M462" i="31"/>
  <c r="M461" i="31"/>
  <c r="M460" i="31"/>
  <c r="M459" i="31"/>
  <c r="M458" i="31"/>
  <c r="M457" i="31"/>
  <c r="M456" i="31"/>
  <c r="M455" i="31"/>
  <c r="M454" i="31"/>
  <c r="M453" i="31"/>
  <c r="M452" i="31"/>
  <c r="M451" i="31"/>
  <c r="M450" i="31"/>
  <c r="M449" i="31"/>
  <c r="M448" i="31"/>
  <c r="M447" i="31"/>
  <c r="M446" i="31"/>
  <c r="M445" i="31"/>
  <c r="M444" i="31"/>
  <c r="M443" i="31"/>
  <c r="M442" i="31"/>
  <c r="M441" i="31"/>
  <c r="M440" i="31"/>
  <c r="M439" i="31"/>
  <c r="M438" i="31"/>
  <c r="M437" i="31"/>
  <c r="M436" i="31"/>
  <c r="M435" i="31"/>
  <c r="M434" i="31"/>
  <c r="M433" i="31"/>
  <c r="M432" i="31"/>
  <c r="M431" i="31"/>
  <c r="M430" i="31"/>
  <c r="M429" i="31"/>
  <c r="M428" i="31"/>
  <c r="M427" i="31"/>
  <c r="M426" i="31"/>
  <c r="M425" i="31"/>
  <c r="M424" i="31"/>
  <c r="M423" i="31"/>
  <c r="M422" i="31"/>
  <c r="M421" i="31"/>
  <c r="M420" i="31"/>
  <c r="M419" i="31"/>
  <c r="M418" i="31"/>
  <c r="M417" i="31"/>
  <c r="M416" i="31"/>
  <c r="M415" i="31"/>
  <c r="M414" i="31"/>
  <c r="M413" i="31"/>
  <c r="M412" i="31"/>
  <c r="M411" i="31"/>
  <c r="M410" i="31"/>
  <c r="M409" i="31"/>
  <c r="M408" i="31"/>
  <c r="M407" i="31"/>
  <c r="M406" i="31"/>
  <c r="M405" i="31"/>
  <c r="M404" i="31"/>
  <c r="M403" i="31"/>
  <c r="M402" i="31"/>
  <c r="M401" i="31"/>
  <c r="M400" i="31"/>
  <c r="M399" i="31"/>
  <c r="M398" i="31"/>
  <c r="M397" i="31"/>
  <c r="M396" i="31"/>
  <c r="M395" i="31"/>
  <c r="M394" i="31"/>
  <c r="M393" i="31"/>
  <c r="M392" i="31"/>
  <c r="M391" i="31"/>
  <c r="M390" i="31"/>
  <c r="M389" i="31"/>
  <c r="M388" i="31"/>
  <c r="M387" i="31"/>
  <c r="M386" i="31"/>
  <c r="M385" i="31"/>
  <c r="M384" i="31"/>
  <c r="M383" i="31"/>
  <c r="M382" i="31"/>
  <c r="M381" i="31"/>
  <c r="M380" i="31"/>
  <c r="M379" i="31"/>
  <c r="M378" i="31"/>
  <c r="M377" i="31"/>
  <c r="M376" i="31"/>
  <c r="M375" i="31"/>
  <c r="M374" i="31"/>
  <c r="M373" i="31"/>
  <c r="M372" i="31"/>
  <c r="M371" i="31"/>
  <c r="M370" i="31"/>
  <c r="M369" i="31"/>
  <c r="M368" i="31"/>
  <c r="M367" i="31"/>
  <c r="M366" i="31"/>
  <c r="M365" i="31"/>
  <c r="M364" i="31"/>
  <c r="M363" i="31"/>
  <c r="M362" i="31"/>
  <c r="M361" i="31"/>
  <c r="M360" i="31"/>
  <c r="M359" i="31"/>
  <c r="M358" i="31"/>
  <c r="M357" i="31"/>
  <c r="M356" i="31"/>
  <c r="M355" i="31"/>
  <c r="M354" i="31"/>
  <c r="M353" i="31"/>
  <c r="M352" i="31"/>
  <c r="M351" i="31"/>
  <c r="M350" i="31"/>
  <c r="M349" i="31"/>
  <c r="M348" i="31"/>
  <c r="M347" i="31"/>
  <c r="M346" i="31"/>
  <c r="M345" i="31"/>
  <c r="M344" i="31"/>
  <c r="M343" i="31"/>
  <c r="M342" i="31"/>
  <c r="M341" i="31"/>
  <c r="M340" i="31"/>
  <c r="M339" i="31"/>
  <c r="M338" i="31"/>
  <c r="M337" i="31"/>
  <c r="M336" i="31"/>
  <c r="M335" i="31"/>
  <c r="M334" i="31"/>
  <c r="M333" i="31"/>
  <c r="M332" i="31"/>
  <c r="M331" i="31"/>
  <c r="M330" i="31"/>
  <c r="M329" i="31"/>
  <c r="M328" i="31"/>
  <c r="M327" i="31"/>
  <c r="M326" i="31"/>
  <c r="M325" i="31"/>
  <c r="M324" i="31"/>
  <c r="M323" i="31"/>
  <c r="M322" i="31"/>
  <c r="M321" i="31"/>
  <c r="M320" i="31"/>
  <c r="M319" i="31"/>
  <c r="M318" i="31"/>
  <c r="M317" i="31"/>
  <c r="M316" i="31"/>
  <c r="M315" i="31"/>
  <c r="M314" i="31"/>
  <c r="M313" i="31"/>
  <c r="M312" i="31"/>
  <c r="M311" i="31"/>
  <c r="M310" i="31"/>
  <c r="M309" i="31"/>
  <c r="M308" i="31"/>
  <c r="M307" i="31"/>
  <c r="M306" i="31"/>
  <c r="M305" i="31"/>
  <c r="M304" i="31"/>
  <c r="M303" i="31"/>
  <c r="M302" i="31"/>
  <c r="M301" i="31"/>
  <c r="M300" i="31"/>
  <c r="M299" i="31"/>
  <c r="M298" i="31"/>
  <c r="M297" i="31"/>
  <c r="M296" i="31"/>
  <c r="M295" i="31"/>
  <c r="M294" i="31"/>
  <c r="M293" i="31"/>
  <c r="M292" i="31"/>
  <c r="M291" i="31"/>
  <c r="M290" i="31"/>
  <c r="M289" i="31"/>
  <c r="M288" i="31"/>
  <c r="M287" i="31"/>
  <c r="M286" i="31"/>
  <c r="M285" i="31"/>
  <c r="M284" i="31"/>
  <c r="M283" i="31"/>
  <c r="M282" i="31"/>
  <c r="M281" i="31"/>
  <c r="M280" i="31"/>
  <c r="M279" i="31"/>
  <c r="M278" i="31"/>
  <c r="M277" i="31"/>
  <c r="M276" i="31"/>
  <c r="M275" i="31"/>
  <c r="M274" i="31"/>
  <c r="M273" i="31"/>
  <c r="M272" i="31"/>
  <c r="M271" i="31"/>
  <c r="M270" i="31"/>
  <c r="M269" i="31"/>
  <c r="M268" i="31"/>
  <c r="M267" i="31"/>
  <c r="M266" i="31"/>
  <c r="M265" i="31"/>
  <c r="M264" i="31"/>
  <c r="M263" i="31"/>
  <c r="M262" i="31"/>
  <c r="M261" i="31"/>
  <c r="M260" i="31"/>
  <c r="M259" i="31"/>
  <c r="M258" i="31"/>
  <c r="M257" i="31"/>
  <c r="M256" i="31"/>
  <c r="M255" i="31"/>
  <c r="M254" i="31"/>
  <c r="M253" i="31"/>
  <c r="M252" i="31"/>
  <c r="M251" i="31"/>
  <c r="M250" i="31"/>
  <c r="M249" i="31"/>
  <c r="M248" i="31"/>
  <c r="M247" i="31"/>
  <c r="M246" i="31"/>
  <c r="M245" i="31"/>
  <c r="M244" i="31"/>
  <c r="M243" i="31"/>
  <c r="M242" i="31"/>
  <c r="M241" i="31"/>
  <c r="M240" i="31"/>
  <c r="M239" i="31"/>
  <c r="M238" i="31"/>
  <c r="M237" i="31"/>
  <c r="M236" i="31"/>
  <c r="M235" i="31"/>
  <c r="M234" i="31"/>
  <c r="M233" i="31"/>
  <c r="M232" i="31"/>
  <c r="M231" i="31"/>
  <c r="M230" i="31"/>
  <c r="M229" i="31"/>
  <c r="M228" i="31"/>
  <c r="M227" i="31"/>
  <c r="M226" i="31"/>
  <c r="M225" i="31"/>
  <c r="M224" i="31"/>
  <c r="M223" i="31"/>
  <c r="M222" i="31"/>
  <c r="M221" i="31"/>
  <c r="M220" i="31"/>
  <c r="M219" i="31"/>
  <c r="M218" i="31"/>
  <c r="M217" i="31"/>
  <c r="M216" i="31"/>
  <c r="M215" i="31"/>
  <c r="M214" i="31"/>
  <c r="M213" i="31"/>
  <c r="M212" i="31"/>
  <c r="M211" i="31"/>
  <c r="M210" i="31"/>
  <c r="M209" i="31"/>
  <c r="M208" i="31"/>
  <c r="M207" i="31"/>
  <c r="M206" i="31"/>
  <c r="M205" i="31"/>
  <c r="M204" i="31"/>
  <c r="M203" i="31"/>
  <c r="M202" i="31"/>
  <c r="M201" i="31"/>
  <c r="M200" i="31"/>
  <c r="M199" i="31"/>
  <c r="M198" i="31"/>
  <c r="M197" i="31"/>
  <c r="M196" i="31"/>
  <c r="M195" i="31"/>
  <c r="M194" i="31"/>
  <c r="M193" i="31"/>
  <c r="M192" i="31"/>
  <c r="M191" i="31"/>
  <c r="M190" i="31"/>
  <c r="M189" i="31"/>
  <c r="M188" i="31"/>
  <c r="M187" i="31"/>
  <c r="M186" i="31"/>
  <c r="M185" i="31"/>
  <c r="M184" i="31"/>
  <c r="M183" i="31"/>
  <c r="M182" i="31"/>
  <c r="M181" i="31"/>
  <c r="M180" i="31"/>
  <c r="M179" i="31"/>
  <c r="M178" i="31"/>
  <c r="M177" i="31"/>
  <c r="M176" i="31"/>
  <c r="M175" i="31"/>
  <c r="M174" i="31"/>
  <c r="M173" i="31"/>
  <c r="M172" i="31"/>
  <c r="M171" i="31"/>
  <c r="M170" i="31"/>
  <c r="M169" i="31"/>
  <c r="M168" i="31"/>
  <c r="M167" i="31"/>
  <c r="M166" i="31"/>
  <c r="M165" i="31"/>
  <c r="M164" i="31"/>
  <c r="M163" i="31"/>
  <c r="M162" i="31"/>
  <c r="M161" i="31"/>
  <c r="M160" i="31"/>
  <c r="M159" i="31"/>
  <c r="M158" i="31"/>
  <c r="M157" i="31"/>
  <c r="M156" i="31"/>
  <c r="M155" i="31"/>
  <c r="M154" i="31"/>
  <c r="M153" i="31"/>
  <c r="M152" i="31"/>
  <c r="M151" i="31"/>
  <c r="M150" i="31"/>
  <c r="M149" i="31"/>
  <c r="M148" i="31"/>
  <c r="M147" i="31"/>
  <c r="M146" i="31"/>
  <c r="M145" i="31"/>
  <c r="M144" i="31"/>
  <c r="M143" i="31"/>
  <c r="M142" i="31"/>
  <c r="M141" i="31"/>
  <c r="M140" i="31"/>
  <c r="M139" i="31"/>
  <c r="M138" i="31"/>
  <c r="M137" i="31"/>
  <c r="M136" i="31"/>
  <c r="M135" i="31"/>
  <c r="M134" i="31"/>
  <c r="M133" i="31"/>
  <c r="M132" i="31"/>
  <c r="M131" i="31"/>
  <c r="M130" i="31"/>
  <c r="M129" i="31"/>
  <c r="M128" i="31"/>
  <c r="M127" i="31"/>
  <c r="M126" i="31"/>
  <c r="M125" i="31"/>
  <c r="M124" i="31"/>
  <c r="M123" i="31"/>
  <c r="M122" i="31"/>
  <c r="M121" i="31"/>
  <c r="M120" i="31"/>
  <c r="M119" i="31"/>
  <c r="M118" i="31"/>
  <c r="M117" i="31"/>
  <c r="M116" i="31"/>
  <c r="M115" i="31"/>
  <c r="M114" i="31"/>
  <c r="M113" i="31"/>
  <c r="M112" i="31"/>
  <c r="M111" i="31"/>
  <c r="M110" i="31"/>
  <c r="M109" i="31"/>
  <c r="M108" i="31"/>
  <c r="M107" i="31"/>
  <c r="M106" i="31"/>
  <c r="M105" i="31"/>
  <c r="M104" i="31"/>
  <c r="M103" i="31"/>
  <c r="M102" i="31"/>
  <c r="M101" i="31"/>
  <c r="M100" i="31"/>
  <c r="M99" i="31"/>
  <c r="M98" i="31"/>
  <c r="M97" i="31"/>
  <c r="M96" i="31"/>
  <c r="M95" i="31"/>
  <c r="M94" i="31"/>
  <c r="M93" i="31"/>
  <c r="M92" i="31"/>
  <c r="M91" i="31"/>
  <c r="M90" i="31"/>
  <c r="M89" i="31"/>
  <c r="M88" i="31"/>
  <c r="M87" i="31"/>
  <c r="M86" i="31"/>
  <c r="M85" i="31"/>
  <c r="M84" i="31"/>
  <c r="M83" i="31"/>
  <c r="M82" i="31"/>
  <c r="M81" i="31"/>
  <c r="M80" i="31"/>
  <c r="M79" i="31"/>
  <c r="M78" i="31"/>
  <c r="M77" i="31"/>
  <c r="M76" i="31"/>
  <c r="M75" i="31"/>
  <c r="M74" i="31"/>
  <c r="M73" i="31"/>
  <c r="M72" i="31"/>
  <c r="M71" i="31"/>
  <c r="M70" i="31"/>
  <c r="M69" i="31"/>
  <c r="M68" i="31"/>
  <c r="M67" i="31"/>
  <c r="M66" i="31"/>
  <c r="M65" i="31"/>
  <c r="M64" i="31"/>
  <c r="M63" i="31"/>
  <c r="M62" i="31"/>
  <c r="M61" i="31"/>
  <c r="M60" i="31"/>
  <c r="M59" i="31"/>
  <c r="M58" i="31"/>
  <c r="M57" i="31"/>
  <c r="M56" i="31"/>
  <c r="M55" i="31"/>
  <c r="M54" i="31"/>
  <c r="M53" i="31"/>
  <c r="M52" i="31"/>
  <c r="M51" i="31"/>
  <c r="M50" i="31"/>
  <c r="M49" i="31"/>
  <c r="M48" i="31"/>
  <c r="M47" i="31"/>
  <c r="M46" i="31"/>
  <c r="M45" i="31"/>
  <c r="M44" i="31"/>
  <c r="M43" i="31"/>
  <c r="M42" i="31"/>
  <c r="M41" i="31"/>
  <c r="M40" i="31"/>
  <c r="M39" i="31"/>
  <c r="M38" i="31"/>
  <c r="M37" i="31"/>
  <c r="M36" i="31"/>
  <c r="M35" i="31"/>
  <c r="M34" i="31"/>
  <c r="M33" i="31"/>
  <c r="M32" i="31"/>
  <c r="M31" i="31"/>
  <c r="M30" i="31"/>
  <c r="M29" i="31"/>
  <c r="M28" i="31"/>
  <c r="M27" i="31"/>
  <c r="M26" i="31"/>
  <c r="M25" i="31"/>
  <c r="M24" i="31"/>
  <c r="M23" i="31"/>
  <c r="M22" i="31"/>
  <c r="M21" i="31"/>
  <c r="M20" i="31"/>
  <c r="M19" i="31"/>
  <c r="M18" i="31"/>
  <c r="M17" i="31"/>
  <c r="M16" i="31"/>
  <c r="M15" i="31"/>
  <c r="M14" i="31"/>
  <c r="M13" i="31"/>
  <c r="M12" i="31"/>
  <c r="M11" i="31"/>
  <c r="M10" i="31"/>
  <c r="M9" i="31"/>
  <c r="M8" i="31"/>
  <c r="M7" i="31"/>
  <c r="M6" i="31"/>
  <c r="M5" i="31"/>
  <c r="M4" i="31"/>
  <c r="M3" i="31"/>
  <c r="M995" i="31"/>
  <c r="P2" i="37" a="1"/>
  <c r="AH28" i="27" a="1"/>
  <c r="AH28" i="27"/>
  <c r="AE28" i="27"/>
  <c r="AH29" i="27" a="1"/>
  <c r="AH29" i="27"/>
  <c r="AE29" i="27"/>
  <c r="AH30" i="27" a="1"/>
  <c r="AH30" i="27"/>
  <c r="AE30" i="27"/>
  <c r="AH31" i="27" a="1"/>
  <c r="AH31" i="27"/>
  <c r="AE31" i="27"/>
  <c r="AH32" i="27" a="1"/>
  <c r="AH32" i="27"/>
  <c r="AE32" i="27"/>
  <c r="AH33" i="27" a="1"/>
  <c r="AH33" i="27"/>
  <c r="AE33" i="27"/>
  <c r="AH34" i="27" a="1"/>
  <c r="AH34" i="27"/>
  <c r="AE34" i="27"/>
  <c r="AH35" i="27" a="1"/>
  <c r="AH35" i="27"/>
  <c r="AE35" i="27"/>
  <c r="A2" i="38" a="1"/>
  <c r="A2" i="38"/>
  <c r="AE2" i="26"/>
  <c r="AD2" i="26"/>
  <c r="F2" i="22"/>
  <c r="D2" i="22"/>
  <c r="F3" i="22"/>
  <c r="D3" i="22"/>
  <c r="F4" i="22"/>
  <c r="D4" i="22"/>
  <c r="F5" i="22"/>
  <c r="D5" i="22"/>
  <c r="F6" i="22"/>
  <c r="D6" i="22"/>
  <c r="F7" i="22"/>
  <c r="D7" i="22"/>
  <c r="F8" i="22"/>
  <c r="D8" i="22"/>
  <c r="F9" i="22"/>
  <c r="D9" i="22"/>
  <c r="F10" i="22"/>
  <c r="D10" i="22"/>
  <c r="F11" i="22"/>
  <c r="D11" i="22"/>
  <c r="A5" i="16"/>
  <c r="A6" i="16"/>
  <c r="A7" i="16"/>
  <c r="A8" i="16"/>
  <c r="A9" i="16"/>
  <c r="A10" i="16"/>
  <c r="A11" i="16"/>
  <c r="A12" i="16"/>
  <c r="A13" i="16"/>
  <c r="A14" i="16"/>
  <c r="A15" i="16"/>
  <c r="A16" i="16"/>
  <c r="A17" i="16"/>
  <c r="A18" i="16"/>
  <c r="A19" i="16"/>
  <c r="A20" i="16"/>
  <c r="A21" i="16"/>
  <c r="A22" i="16"/>
  <c r="A23" i="16"/>
  <c r="A24" i="16"/>
  <c r="A25" i="16"/>
  <c r="A26" i="16"/>
  <c r="A27" i="16"/>
  <c r="A28" i="16"/>
  <c r="A29" i="16"/>
  <c r="A30" i="16"/>
  <c r="A31" i="16"/>
  <c r="A32" i="16"/>
  <c r="A33" i="16"/>
  <c r="A34" i="16"/>
  <c r="A35" i="16"/>
  <c r="A36" i="16"/>
  <c r="A37" i="16"/>
  <c r="A38" i="16"/>
  <c r="A39" i="16"/>
  <c r="A40" i="16"/>
  <c r="A41" i="16"/>
  <c r="A42" i="16"/>
  <c r="A43" i="16"/>
  <c r="A44" i="16"/>
  <c r="A45" i="16"/>
  <c r="A46" i="16"/>
  <c r="A47" i="16"/>
  <c r="A48" i="16"/>
  <c r="A49" i="16"/>
  <c r="A50" i="16"/>
  <c r="A51" i="16"/>
  <c r="A52" i="16"/>
  <c r="A53" i="16"/>
  <c r="A54" i="16"/>
  <c r="D5" i="27" a="1"/>
  <c r="D5" i="27"/>
  <c r="D4" i="27" a="1"/>
  <c r="D4" i="27"/>
  <c r="D2" i="27" a="1"/>
  <c r="D2" i="27"/>
  <c r="D3" i="27" a="1"/>
  <c r="D3" i="27"/>
  <c r="D6" i="27" a="1"/>
  <c r="D6" i="27"/>
  <c r="D7" i="27" a="1"/>
  <c r="D7" i="27"/>
  <c r="D8" i="27" a="1"/>
  <c r="D8" i="27"/>
  <c r="D9" i="27" a="1"/>
  <c r="D9" i="27"/>
  <c r="D10" i="27" a="1"/>
  <c r="D10" i="27"/>
  <c r="D11" i="27" a="1"/>
  <c r="D11" i="27"/>
  <c r="D12" i="27" a="1"/>
  <c r="D12" i="27"/>
  <c r="D13" i="27" a="1"/>
  <c r="D13" i="27"/>
  <c r="D14" i="27" a="1"/>
  <c r="D14" i="27"/>
  <c r="D15" i="27" a="1"/>
  <c r="D15" i="27"/>
  <c r="D16" i="27" a="1"/>
  <c r="D16" i="27"/>
  <c r="D17" i="27" a="1"/>
  <c r="D17" i="27"/>
  <c r="D18" i="27" a="1"/>
  <c r="D18" i="27"/>
  <c r="D19" i="27" a="1"/>
  <c r="D19" i="27"/>
  <c r="D20" i="27" a="1"/>
  <c r="D20" i="27"/>
  <c r="D21" i="27" a="1"/>
  <c r="D21" i="27"/>
  <c r="D22" i="27" a="1"/>
  <c r="D22" i="27"/>
  <c r="D23" i="27" a="1"/>
  <c r="D23" i="27"/>
  <c r="D24" i="27" a="1"/>
  <c r="D24" i="27"/>
  <c r="D25" i="27" a="1"/>
  <c r="D25" i="27"/>
  <c r="D26" i="27" a="1"/>
  <c r="D26" i="27"/>
  <c r="D27" i="27" a="1"/>
  <c r="D27" i="27"/>
  <c r="D28" i="27" a="1"/>
  <c r="D28" i="27"/>
  <c r="D29" i="27" a="1"/>
  <c r="D29" i="27"/>
  <c r="D30" i="27" a="1"/>
  <c r="D30" i="27"/>
  <c r="D31" i="27" a="1"/>
  <c r="D31" i="27"/>
  <c r="D32" i="27" a="1"/>
  <c r="D32" i="27"/>
  <c r="D33" i="27" a="1"/>
  <c r="D33" i="27"/>
  <c r="D34" i="27" a="1"/>
  <c r="D34" i="27"/>
  <c r="D35" i="27" a="1"/>
  <c r="D35" i="27"/>
  <c r="D36" i="27" a="1"/>
  <c r="D36" i="27"/>
  <c r="D37" i="27" a="1"/>
  <c r="D37" i="27"/>
  <c r="D38" i="27" a="1"/>
  <c r="D38" i="27"/>
  <c r="D39" i="27" a="1"/>
  <c r="D39" i="27"/>
  <c r="D40" i="27" a="1"/>
  <c r="D40" i="27"/>
  <c r="D41" i="27" a="1"/>
  <c r="D41" i="27"/>
  <c r="D42" i="27" a="1"/>
  <c r="D42" i="27"/>
  <c r="D43" i="27" a="1"/>
  <c r="D43" i="27"/>
  <c r="D44" i="27" a="1"/>
  <c r="D44" i="27"/>
  <c r="D45" i="27" a="1"/>
  <c r="D45" i="27"/>
  <c r="D46" i="27" a="1"/>
  <c r="D46" i="27"/>
  <c r="D47" i="27" a="1"/>
  <c r="D47" i="27"/>
  <c r="D48" i="27" a="1"/>
  <c r="D48" i="27"/>
  <c r="D49" i="27" a="1"/>
  <c r="D49" i="27"/>
  <c r="D50" i="27" a="1"/>
  <c r="D50" i="27"/>
  <c r="D51" i="27" a="1"/>
  <c r="D51" i="27"/>
  <c r="D52" i="27" a="1"/>
  <c r="D52" i="27"/>
  <c r="D53" i="27" a="1"/>
  <c r="D53" i="27"/>
  <c r="D54" i="27" a="1"/>
  <c r="D54" i="27"/>
  <c r="D55" i="27" a="1"/>
  <c r="D55" i="27"/>
  <c r="D56" i="27" a="1"/>
  <c r="D56" i="27"/>
  <c r="D57" i="27" a="1"/>
  <c r="D57" i="27"/>
  <c r="D58" i="27" a="1"/>
  <c r="D58" i="27"/>
  <c r="D59" i="27" a="1"/>
  <c r="D59" i="27"/>
  <c r="D60" i="27" a="1"/>
  <c r="D60" i="27"/>
  <c r="D61" i="27" a="1"/>
  <c r="D61" i="27"/>
  <c r="D62" i="27" a="1"/>
  <c r="D62" i="27"/>
  <c r="D63" i="27" a="1"/>
  <c r="D63" i="27"/>
  <c r="D64" i="27" a="1"/>
  <c r="D64" i="27"/>
  <c r="D65" i="27" a="1"/>
  <c r="D65" i="27"/>
  <c r="D66" i="27" a="1"/>
  <c r="D66" i="27"/>
  <c r="D67" i="27" a="1"/>
  <c r="D67" i="27"/>
  <c r="D68" i="27" a="1"/>
  <c r="D68" i="27"/>
  <c r="D69" i="27" a="1"/>
  <c r="D69" i="27"/>
  <c r="D70" i="27" a="1"/>
  <c r="D70" i="27"/>
  <c r="D71" i="27" a="1"/>
  <c r="D71" i="27"/>
  <c r="D72" i="27" a="1"/>
  <c r="D72" i="27"/>
  <c r="D73" i="27" a="1"/>
  <c r="D73" i="27"/>
  <c r="D74" i="27" a="1"/>
  <c r="D74" i="27"/>
  <c r="D75" i="27" a="1"/>
  <c r="D75" i="27"/>
  <c r="D76" i="27" a="1"/>
  <c r="D76" i="27"/>
  <c r="D77" i="27" a="1"/>
  <c r="D77" i="27"/>
  <c r="D78" i="27" a="1"/>
  <c r="D78" i="27"/>
  <c r="D79" i="27" a="1"/>
  <c r="D79" i="27"/>
  <c r="D80" i="27" a="1"/>
  <c r="D80" i="27"/>
  <c r="D81" i="27" a="1"/>
  <c r="D81" i="27"/>
  <c r="D82" i="27" a="1"/>
  <c r="D82" i="27"/>
  <c r="D83" i="27" a="1"/>
  <c r="D83" i="27"/>
  <c r="D84" i="27" a="1"/>
  <c r="D84" i="27"/>
  <c r="D85" i="27" a="1"/>
  <c r="D85" i="27"/>
  <c r="D86" i="27" a="1"/>
  <c r="D86" i="27"/>
  <c r="D87" i="27" a="1"/>
  <c r="D87" i="27"/>
  <c r="D88" i="27" a="1"/>
  <c r="D88" i="27"/>
  <c r="D89" i="27" a="1"/>
  <c r="D89" i="27"/>
  <c r="D90" i="27" a="1"/>
  <c r="D90" i="27"/>
  <c r="D91" i="27" a="1"/>
  <c r="D91" i="27"/>
  <c r="D92" i="27" a="1"/>
  <c r="D92" i="27"/>
  <c r="D93" i="27" a="1"/>
  <c r="D93" i="27"/>
  <c r="D94" i="27" a="1"/>
  <c r="D94" i="27"/>
  <c r="D95" i="27" a="1"/>
  <c r="D95" i="27"/>
  <c r="D96" i="27" a="1"/>
  <c r="D96" i="27"/>
  <c r="D97" i="27" a="1"/>
  <c r="D97" i="27"/>
  <c r="D98" i="27" a="1"/>
  <c r="D98" i="27"/>
  <c r="D99" i="27" a="1"/>
  <c r="D99" i="27"/>
  <c r="D100" i="27" a="1"/>
  <c r="D100" i="27"/>
  <c r="D8" i="21"/>
  <c r="F8" i="21"/>
  <c r="D9" i="21"/>
  <c r="F9" i="21"/>
  <c r="D10" i="21"/>
  <c r="F10" i="21"/>
  <c r="D11" i="21"/>
  <c r="F11" i="21"/>
  <c r="D12" i="21"/>
  <c r="F12" i="21"/>
  <c r="D13" i="21"/>
  <c r="F13" i="21"/>
  <c r="D14" i="21"/>
  <c r="F14" i="21"/>
  <c r="D15" i="21"/>
  <c r="F15" i="21"/>
  <c r="D16" i="21"/>
  <c r="F16" i="21"/>
  <c r="D17" i="21"/>
  <c r="F17" i="21"/>
  <c r="D18" i="21"/>
  <c r="F18" i="21"/>
  <c r="D19" i="21"/>
  <c r="F19" i="21"/>
  <c r="D20" i="21"/>
  <c r="F20" i="21"/>
  <c r="D21" i="21"/>
  <c r="F21" i="21"/>
  <c r="D22" i="21"/>
  <c r="F22" i="21"/>
  <c r="D23" i="21"/>
  <c r="F23" i="21"/>
  <c r="D24" i="21"/>
  <c r="F24" i="21"/>
  <c r="D25" i="21"/>
  <c r="F25" i="21"/>
  <c r="D26" i="21"/>
  <c r="F26" i="21"/>
  <c r="D27" i="21"/>
  <c r="F27" i="21"/>
  <c r="D28" i="21"/>
  <c r="F28" i="21"/>
  <c r="D29" i="21"/>
  <c r="F29" i="21"/>
  <c r="D30" i="21"/>
  <c r="F30" i="21"/>
  <c r="D31" i="21"/>
  <c r="F31" i="21"/>
  <c r="D32" i="21"/>
  <c r="F32" i="21"/>
  <c r="D33" i="21"/>
  <c r="F33" i="21"/>
  <c r="D34" i="21"/>
  <c r="F34" i="21"/>
  <c r="C7" i="35"/>
  <c r="C13" i="36"/>
  <c r="C12" i="36"/>
  <c r="C11" i="36"/>
  <c r="A5" i="34"/>
  <c r="A6" i="34"/>
  <c r="M6" i="38"/>
  <c r="M7" i="38"/>
  <c r="L6" i="38"/>
  <c r="L7" i="38"/>
  <c r="C8" i="36"/>
  <c r="B28" i="36" a="1"/>
  <c r="B28" i="36"/>
  <c r="C6" i="36"/>
  <c r="C5" i="36"/>
  <c r="C4" i="36"/>
  <c r="C3" i="36"/>
  <c r="C2" i="36"/>
  <c r="C2" i="38" a="1"/>
  <c r="C2" i="38"/>
  <c r="C3" i="38" a="1"/>
  <c r="C3" i="38"/>
  <c r="C4" i="38" a="1"/>
  <c r="C4" i="38"/>
  <c r="C5" i="38" a="1"/>
  <c r="C5" i="38"/>
  <c r="E6" i="38"/>
  <c r="C6" i="38" a="1"/>
  <c r="C6" i="38"/>
  <c r="E7" i="38"/>
  <c r="C7" i="38" a="1"/>
  <c r="C7" i="38"/>
  <c r="E8" i="38"/>
  <c r="C8" i="38" a="1"/>
  <c r="C8" i="38"/>
  <c r="E9" i="38"/>
  <c r="C9" i="38" a="1"/>
  <c r="C9" i="38"/>
  <c r="E10" i="38"/>
  <c r="C10" i="38" a="1"/>
  <c r="C10" i="38"/>
  <c r="E11" i="38"/>
  <c r="C11" i="38" a="1"/>
  <c r="C11" i="38"/>
  <c r="E12" i="38"/>
  <c r="C12" i="38" a="1"/>
  <c r="C12" i="38"/>
  <c r="E13" i="38"/>
  <c r="C13" i="38" a="1"/>
  <c r="C13" i="38"/>
  <c r="E14" i="38"/>
  <c r="C14" i="38" a="1"/>
  <c r="C14" i="38"/>
  <c r="E15" i="38"/>
  <c r="C15" i="38" a="1"/>
  <c r="C15" i="38"/>
  <c r="E16" i="38"/>
  <c r="C16" i="38" a="1"/>
  <c r="C16" i="38"/>
  <c r="E17" i="38"/>
  <c r="C17" i="38" a="1"/>
  <c r="C17" i="38"/>
  <c r="E18" i="38"/>
  <c r="C18" i="38" a="1"/>
  <c r="C18" i="38"/>
  <c r="E19" i="38"/>
  <c r="C19" i="38" a="1"/>
  <c r="C19" i="38"/>
  <c r="E20" i="38"/>
  <c r="C20" i="38" a="1"/>
  <c r="C20" i="38"/>
  <c r="E21" i="38"/>
  <c r="C21" i="38" a="1"/>
  <c r="C21" i="38"/>
  <c r="E22" i="38"/>
  <c r="C22" i="38" a="1"/>
  <c r="C22" i="38"/>
  <c r="E23" i="38"/>
  <c r="C23" i="38" a="1"/>
  <c r="C23" i="38"/>
  <c r="E24" i="38"/>
  <c r="C24" i="38" a="1"/>
  <c r="C24" i="38"/>
  <c r="E25" i="38"/>
  <c r="C25" i="38" a="1"/>
  <c r="C25" i="38"/>
  <c r="E26" i="38"/>
  <c r="C26" i="38" a="1"/>
  <c r="C26" i="38"/>
  <c r="E27" i="38"/>
  <c r="C27" i="38" a="1"/>
  <c r="C27" i="38"/>
  <c r="E28" i="38"/>
  <c r="C28" i="38" a="1"/>
  <c r="C28" i="38"/>
  <c r="E29" i="38"/>
  <c r="C29" i="38" a="1"/>
  <c r="C29" i="38"/>
  <c r="E30" i="38"/>
  <c r="C30" i="38" a="1"/>
  <c r="C30" i="38"/>
  <c r="E31" i="38"/>
  <c r="C31" i="38" a="1"/>
  <c r="C31" i="38"/>
  <c r="E32" i="38"/>
  <c r="C32" i="38" a="1"/>
  <c r="C32" i="38"/>
  <c r="E33" i="38"/>
  <c r="C33" i="38" a="1"/>
  <c r="C33" i="38"/>
  <c r="E34" i="38"/>
  <c r="C34" i="38" a="1"/>
  <c r="C34" i="38"/>
  <c r="E35" i="38"/>
  <c r="C35" i="38" a="1"/>
  <c r="C35" i="38"/>
  <c r="E36" i="38"/>
  <c r="C36" i="38" a="1"/>
  <c r="C36" i="38"/>
  <c r="E37" i="38"/>
  <c r="C37" i="38" a="1"/>
  <c r="C37" i="38"/>
  <c r="E38" i="38"/>
  <c r="C38" i="38" a="1"/>
  <c r="C38" i="38"/>
  <c r="E39" i="38"/>
  <c r="C39" i="38" a="1"/>
  <c r="C39" i="38"/>
  <c r="E40" i="38"/>
  <c r="C40" i="38" a="1"/>
  <c r="C40" i="38"/>
  <c r="E41" i="38"/>
  <c r="C41" i="38" a="1"/>
  <c r="C41" i="38"/>
  <c r="E42" i="38"/>
  <c r="C42" i="38" a="1"/>
  <c r="C42" i="38"/>
  <c r="E43" i="38"/>
  <c r="C43" i="38" a="1"/>
  <c r="C43" i="38"/>
  <c r="E44" i="38"/>
  <c r="C44" i="38" a="1"/>
  <c r="C44" i="38"/>
  <c r="E45" i="38"/>
  <c r="C45" i="38" a="1"/>
  <c r="C45" i="38"/>
  <c r="E46" i="38"/>
  <c r="C46" i="38" a="1"/>
  <c r="C46" i="38"/>
  <c r="E47" i="38"/>
  <c r="C47" i="38" a="1"/>
  <c r="C47" i="38"/>
  <c r="E48" i="38"/>
  <c r="C48" i="38" a="1"/>
  <c r="C48" i="38"/>
  <c r="E49" i="38"/>
  <c r="C49" i="38" a="1"/>
  <c r="C49" i="38"/>
  <c r="E50" i="38"/>
  <c r="C50" i="38" a="1"/>
  <c r="C50" i="38"/>
  <c r="E51" i="38"/>
  <c r="C51" i="38" a="1"/>
  <c r="C51" i="38"/>
  <c r="E52" i="38"/>
  <c r="C52" i="38" a="1"/>
  <c r="C52" i="38"/>
  <c r="E53" i="38"/>
  <c r="C53" i="38" a="1"/>
  <c r="C53" i="38"/>
  <c r="E54" i="38"/>
  <c r="C54" i="38" a="1"/>
  <c r="C54" i="38"/>
  <c r="E55" i="38"/>
  <c r="C55" i="38" a="1"/>
  <c r="C55" i="38"/>
  <c r="E56" i="38"/>
  <c r="C56" i="38" a="1"/>
  <c r="C56" i="38"/>
  <c r="E57" i="38"/>
  <c r="C57" i="38" a="1"/>
  <c r="C57" i="38"/>
  <c r="E58" i="38"/>
  <c r="C58" i="38" a="1"/>
  <c r="C58" i="38"/>
  <c r="E59" i="38"/>
  <c r="C59" i="38" a="1"/>
  <c r="C59" i="38"/>
  <c r="E60" i="38"/>
  <c r="C60" i="38" a="1"/>
  <c r="C60" i="38"/>
  <c r="E61" i="38"/>
  <c r="C61" i="38" a="1"/>
  <c r="C61" i="38"/>
  <c r="E62" i="38"/>
  <c r="C62" i="38" a="1"/>
  <c r="C62" i="38"/>
  <c r="E63" i="38"/>
  <c r="C63" i="38" a="1"/>
  <c r="C63" i="38"/>
  <c r="E64" i="38"/>
  <c r="C64" i="38" a="1"/>
  <c r="C64" i="38"/>
  <c r="E65" i="38"/>
  <c r="C65" i="38" a="1"/>
  <c r="C65" i="38"/>
  <c r="E66" i="38"/>
  <c r="C66" i="38" a="1"/>
  <c r="C66" i="38"/>
  <c r="E67" i="38"/>
  <c r="C67" i="38" a="1"/>
  <c r="C67" i="38"/>
  <c r="E68" i="38"/>
  <c r="C68" i="38" a="1"/>
  <c r="C68" i="38"/>
  <c r="E69" i="38"/>
  <c r="C69" i="38" a="1"/>
  <c r="C69" i="38"/>
  <c r="E70" i="38"/>
  <c r="C70" i="38" a="1"/>
  <c r="C70" i="38"/>
  <c r="E71" i="38"/>
  <c r="C71" i="38" a="1"/>
  <c r="C71" i="38"/>
  <c r="E72" i="38"/>
  <c r="C72" i="38" a="1"/>
  <c r="C72" i="38"/>
  <c r="E73" i="38"/>
  <c r="C73" i="38" a="1"/>
  <c r="C73" i="38"/>
  <c r="E74" i="38"/>
  <c r="C74" i="38" a="1"/>
  <c r="C74" i="38"/>
  <c r="E75" i="38"/>
  <c r="C75" i="38" a="1"/>
  <c r="C75" i="38"/>
  <c r="E76" i="38"/>
  <c r="C76" i="38" a="1"/>
  <c r="C76" i="38"/>
  <c r="E77" i="38"/>
  <c r="C77" i="38" a="1"/>
  <c r="C77" i="38"/>
  <c r="E78" i="38"/>
  <c r="C78" i="38" a="1"/>
  <c r="C78" i="38"/>
  <c r="E79" i="38"/>
  <c r="C79" i="38" a="1"/>
  <c r="C79" i="38"/>
  <c r="E80" i="38"/>
  <c r="C80" i="38" a="1"/>
  <c r="C80" i="38"/>
  <c r="E81" i="38"/>
  <c r="C81" i="38" a="1"/>
  <c r="C81" i="38"/>
  <c r="E82" i="38"/>
  <c r="C82" i="38" a="1"/>
  <c r="C82" i="38"/>
  <c r="E83" i="38"/>
  <c r="C83" i="38" a="1"/>
  <c r="C83" i="38"/>
  <c r="E84" i="38"/>
  <c r="C84" i="38" a="1"/>
  <c r="C84" i="38"/>
  <c r="E85" i="38"/>
  <c r="C85" i="38" a="1"/>
  <c r="C85" i="38"/>
  <c r="E86" i="38"/>
  <c r="C86" i="38" a="1"/>
  <c r="C86" i="38"/>
  <c r="E87" i="38"/>
  <c r="C87" i="38" a="1"/>
  <c r="C87" i="38"/>
  <c r="E88" i="38"/>
  <c r="C88" i="38" a="1"/>
  <c r="C88" i="38"/>
  <c r="E89" i="38"/>
  <c r="C89" i="38" a="1"/>
  <c r="C89" i="38"/>
  <c r="E90" i="38"/>
  <c r="C90" i="38" a="1"/>
  <c r="C90" i="38"/>
  <c r="E91" i="38"/>
  <c r="C91" i="38" a="1"/>
  <c r="C91" i="38"/>
  <c r="E92" i="38"/>
  <c r="C92" i="38" a="1"/>
  <c r="C92" i="38"/>
  <c r="E93" i="38"/>
  <c r="C93" i="38" a="1"/>
  <c r="C93" i="38"/>
  <c r="E94" i="38"/>
  <c r="C94" i="38" a="1"/>
  <c r="C94" i="38"/>
  <c r="E95" i="38"/>
  <c r="C95" i="38" a="1"/>
  <c r="C95" i="38"/>
  <c r="E96" i="38"/>
  <c r="C96" i="38" a="1"/>
  <c r="C96" i="38"/>
  <c r="E97" i="38"/>
  <c r="C97" i="38" a="1"/>
  <c r="C97" i="38"/>
  <c r="E98" i="38"/>
  <c r="C98" i="38" a="1"/>
  <c r="C98" i="38"/>
  <c r="E99" i="38"/>
  <c r="C99" i="38" a="1"/>
  <c r="C99" i="38"/>
  <c r="E100" i="38"/>
  <c r="C100" i="38" a="1"/>
  <c r="C100" i="38"/>
  <c r="L8" i="38"/>
  <c r="L9" i="38"/>
  <c r="L10" i="38"/>
  <c r="L11" i="38"/>
  <c r="L12" i="38"/>
  <c r="L13" i="38"/>
  <c r="L14" i="38"/>
  <c r="L15" i="38"/>
  <c r="L16" i="38"/>
  <c r="L17" i="38"/>
  <c r="L18" i="38"/>
  <c r="L19" i="38"/>
  <c r="L20" i="38"/>
  <c r="L21" i="38"/>
  <c r="L22" i="38"/>
  <c r="L23" i="38"/>
  <c r="L24" i="38"/>
  <c r="L25" i="38"/>
  <c r="L26" i="38"/>
  <c r="L27" i="38"/>
  <c r="L28" i="38"/>
  <c r="L29" i="38"/>
  <c r="L30" i="38"/>
  <c r="L31" i="38"/>
  <c r="L32" i="38"/>
  <c r="L33" i="38"/>
  <c r="L34" i="38"/>
  <c r="L35" i="38"/>
  <c r="L36" i="38"/>
  <c r="L37" i="38"/>
  <c r="L38" i="38"/>
  <c r="L39" i="38"/>
  <c r="L40" i="38"/>
  <c r="L41" i="38"/>
  <c r="L42" i="38"/>
  <c r="L43" i="38"/>
  <c r="L44" i="38"/>
  <c r="L45" i="38"/>
  <c r="L46" i="38"/>
  <c r="L47" i="38"/>
  <c r="L48" i="38"/>
  <c r="L49" i="38"/>
  <c r="L50" i="38"/>
  <c r="L51" i="38"/>
  <c r="L52" i="38"/>
  <c r="L53" i="38"/>
  <c r="L54" i="38"/>
  <c r="L55" i="38"/>
  <c r="L56" i="38"/>
  <c r="L57" i="38"/>
  <c r="L58" i="38"/>
  <c r="L59" i="38"/>
  <c r="L60" i="38"/>
  <c r="L61" i="38"/>
  <c r="L62" i="38"/>
  <c r="L63" i="38"/>
  <c r="L64" i="38"/>
  <c r="L65" i="38"/>
  <c r="L66" i="38"/>
  <c r="L67" i="38"/>
  <c r="L68" i="38"/>
  <c r="L69" i="38"/>
  <c r="L70" i="38"/>
  <c r="L71" i="38"/>
  <c r="L72" i="38"/>
  <c r="L73" i="38"/>
  <c r="L74" i="38"/>
  <c r="L75" i="38"/>
  <c r="L76" i="38"/>
  <c r="L77" i="38"/>
  <c r="L78" i="38"/>
  <c r="L79" i="38"/>
  <c r="L80" i="38"/>
  <c r="L81" i="38"/>
  <c r="L82" i="38"/>
  <c r="L83" i="38"/>
  <c r="L84" i="38"/>
  <c r="L85" i="38"/>
  <c r="L86" i="38"/>
  <c r="L87" i="38"/>
  <c r="L88" i="38"/>
  <c r="L89" i="38"/>
  <c r="L90" i="38"/>
  <c r="L91" i="38"/>
  <c r="L92" i="38"/>
  <c r="L93" i="38"/>
  <c r="L94" i="38"/>
  <c r="L95" i="38"/>
  <c r="L96" i="38"/>
  <c r="L97" i="38"/>
  <c r="L98" i="38"/>
  <c r="L99" i="38"/>
  <c r="L100" i="38"/>
  <c r="P1" i="38"/>
  <c r="B23" i="35" a="1"/>
  <c r="B23" i="35"/>
  <c r="AN28" i="27"/>
  <c r="AN29" i="27"/>
  <c r="AN30" i="27"/>
  <c r="AN31" i="27"/>
  <c r="AN32" i="27"/>
  <c r="AN33" i="27"/>
  <c r="AN34" i="27"/>
  <c r="AN35" i="27"/>
  <c r="M100" i="38"/>
  <c r="M99" i="38"/>
  <c r="M98" i="38"/>
  <c r="M97" i="38"/>
  <c r="M96" i="38"/>
  <c r="M95" i="38"/>
  <c r="M94" i="38"/>
  <c r="M93" i="38"/>
  <c r="M92" i="38"/>
  <c r="M91" i="38"/>
  <c r="M90" i="38"/>
  <c r="M89" i="38"/>
  <c r="M88" i="38"/>
  <c r="M87" i="38"/>
  <c r="M86" i="38"/>
  <c r="M85" i="38"/>
  <c r="M84" i="38"/>
  <c r="M83" i="38"/>
  <c r="M82" i="38"/>
  <c r="M81" i="38"/>
  <c r="M80" i="38"/>
  <c r="M79" i="38"/>
  <c r="M78" i="38"/>
  <c r="M77" i="38"/>
  <c r="M76" i="38"/>
  <c r="M75" i="38"/>
  <c r="M74" i="38"/>
  <c r="M73" i="38"/>
  <c r="M72" i="38"/>
  <c r="M71" i="38"/>
  <c r="M70" i="38"/>
  <c r="M69" i="38"/>
  <c r="M68" i="38"/>
  <c r="M67" i="38"/>
  <c r="M66" i="38"/>
  <c r="M65" i="38"/>
  <c r="M64" i="38"/>
  <c r="M63" i="38"/>
  <c r="M62" i="38"/>
  <c r="M61" i="38"/>
  <c r="M60" i="38"/>
  <c r="M59" i="38"/>
  <c r="M58" i="38"/>
  <c r="M57" i="38"/>
  <c r="M56" i="38"/>
  <c r="M55" i="38"/>
  <c r="M54" i="38"/>
  <c r="M53" i="38"/>
  <c r="M52" i="38"/>
  <c r="M51" i="38"/>
  <c r="M50" i="38"/>
  <c r="M49" i="38"/>
  <c r="M48" i="38"/>
  <c r="M47" i="38"/>
  <c r="M46" i="38"/>
  <c r="M45" i="38"/>
  <c r="M44" i="38"/>
  <c r="M43" i="38"/>
  <c r="M42" i="38"/>
  <c r="M41" i="38"/>
  <c r="M40" i="38"/>
  <c r="M39" i="38"/>
  <c r="M38" i="38"/>
  <c r="M37" i="38"/>
  <c r="M36" i="38"/>
  <c r="M35" i="38"/>
  <c r="M34" i="38"/>
  <c r="M33" i="38"/>
  <c r="M32" i="38"/>
  <c r="M31" i="38"/>
  <c r="M30" i="38"/>
  <c r="M29" i="38"/>
  <c r="M28" i="38"/>
  <c r="M27" i="38"/>
  <c r="M26" i="38"/>
  <c r="M25" i="38"/>
  <c r="M24" i="38"/>
  <c r="M23" i="38"/>
  <c r="M22" i="38"/>
  <c r="M21" i="38"/>
  <c r="M20" i="38"/>
  <c r="M19" i="38"/>
  <c r="M18" i="38"/>
  <c r="M17" i="38"/>
  <c r="M16" i="38"/>
  <c r="M15" i="38"/>
  <c r="M14" i="38"/>
  <c r="M13" i="38"/>
  <c r="M12" i="38"/>
  <c r="M11" i="38"/>
  <c r="M10" i="38"/>
  <c r="M9" i="38"/>
  <c r="M8" i="38"/>
  <c r="Q1" i="38"/>
  <c r="O1" i="38"/>
  <c r="N1" i="38"/>
  <c r="M1" i="38"/>
  <c r="I4" i="26"/>
  <c r="H6" i="34"/>
  <c r="I6" i="34"/>
  <c r="J6" i="34"/>
  <c r="S6" i="34"/>
  <c r="Y6" i="34"/>
  <c r="I3" i="26"/>
  <c r="X6" i="34"/>
  <c r="H6" i="16"/>
  <c r="I6" i="16"/>
  <c r="J6" i="16"/>
  <c r="V6" i="16"/>
  <c r="D2" i="38"/>
  <c r="D5" i="38"/>
  <c r="D4" i="38"/>
  <c r="D3" i="38"/>
  <c r="F100" i="38"/>
  <c r="F99" i="38"/>
  <c r="F98" i="38"/>
  <c r="F97" i="38"/>
  <c r="F96" i="38"/>
  <c r="F95" i="38"/>
  <c r="F94" i="38"/>
  <c r="F93" i="38"/>
  <c r="F92" i="38"/>
  <c r="F91" i="38"/>
  <c r="F90" i="38"/>
  <c r="F89" i="38"/>
  <c r="F88" i="38"/>
  <c r="F87" i="38"/>
  <c r="F86" i="38"/>
  <c r="F85" i="38"/>
  <c r="F84" i="38"/>
  <c r="F83" i="38"/>
  <c r="F82" i="38"/>
  <c r="F81" i="38"/>
  <c r="F80" i="38"/>
  <c r="F79" i="38"/>
  <c r="F78" i="38"/>
  <c r="F77" i="38"/>
  <c r="F76" i="38"/>
  <c r="F75" i="38"/>
  <c r="F74" i="38"/>
  <c r="F73" i="38"/>
  <c r="F72" i="38"/>
  <c r="F71" i="38"/>
  <c r="F70" i="38"/>
  <c r="F69" i="38"/>
  <c r="F68" i="38"/>
  <c r="F67" i="38"/>
  <c r="F66" i="38"/>
  <c r="F65" i="38"/>
  <c r="F64" i="38"/>
  <c r="F63" i="38"/>
  <c r="F62" i="38"/>
  <c r="F61" i="38"/>
  <c r="F60" i="38"/>
  <c r="F59" i="38"/>
  <c r="F58" i="38"/>
  <c r="F57" i="38"/>
  <c r="F56" i="38"/>
  <c r="F55" i="38"/>
  <c r="F54" i="38"/>
  <c r="F53" i="38"/>
  <c r="F52" i="38"/>
  <c r="F51" i="38"/>
  <c r="F50" i="38"/>
  <c r="F49" i="38"/>
  <c r="F48" i="38"/>
  <c r="F47" i="38"/>
  <c r="F46" i="38"/>
  <c r="F45" i="38"/>
  <c r="F44" i="38"/>
  <c r="F43" i="38"/>
  <c r="F42" i="38"/>
  <c r="F41" i="38"/>
  <c r="F40" i="38"/>
  <c r="F39" i="38"/>
  <c r="F38" i="38"/>
  <c r="F37" i="38"/>
  <c r="F36" i="38"/>
  <c r="F35" i="38"/>
  <c r="F34" i="38"/>
  <c r="F33" i="38"/>
  <c r="F32" i="38"/>
  <c r="F31" i="38"/>
  <c r="F30" i="38"/>
  <c r="F29" i="38"/>
  <c r="F28" i="38"/>
  <c r="F27" i="38"/>
  <c r="F26" i="38"/>
  <c r="F25" i="38"/>
  <c r="F24" i="38"/>
  <c r="F23" i="38"/>
  <c r="F22" i="38"/>
  <c r="F21" i="38"/>
  <c r="F20" i="38"/>
  <c r="F19" i="38"/>
  <c r="F18" i="38"/>
  <c r="F17" i="38"/>
  <c r="F16" i="38"/>
  <c r="F15" i="38"/>
  <c r="F14" i="38"/>
  <c r="F13" i="38"/>
  <c r="F12" i="38"/>
  <c r="F11" i="38"/>
  <c r="F10" i="38"/>
  <c r="F9" i="38"/>
  <c r="F8" i="38"/>
  <c r="F7" i="38"/>
  <c r="F6" i="38"/>
  <c r="D100" i="38"/>
  <c r="D99" i="38"/>
  <c r="D98" i="38"/>
  <c r="D97" i="38"/>
  <c r="D96" i="38"/>
  <c r="D95" i="38"/>
  <c r="D94" i="38"/>
  <c r="D93" i="38"/>
  <c r="D92" i="38"/>
  <c r="D91" i="38"/>
  <c r="D90" i="38"/>
  <c r="D89" i="38"/>
  <c r="D88" i="38"/>
  <c r="D87" i="38"/>
  <c r="D86" i="38"/>
  <c r="D85" i="38"/>
  <c r="D84" i="38"/>
  <c r="D83" i="38"/>
  <c r="D82" i="38"/>
  <c r="D81" i="38"/>
  <c r="D80" i="38"/>
  <c r="D79" i="38"/>
  <c r="D78" i="38"/>
  <c r="D77" i="38"/>
  <c r="D76" i="38"/>
  <c r="D75" i="38"/>
  <c r="D74" i="38"/>
  <c r="D73" i="38"/>
  <c r="D72" i="38"/>
  <c r="D71" i="38"/>
  <c r="D70" i="38"/>
  <c r="D69" i="38"/>
  <c r="D68" i="38"/>
  <c r="D67" i="38"/>
  <c r="D66" i="38"/>
  <c r="D65" i="38"/>
  <c r="D64" i="38"/>
  <c r="D63" i="38"/>
  <c r="D62" i="38"/>
  <c r="D61" i="38"/>
  <c r="D60" i="38"/>
  <c r="D59" i="38"/>
  <c r="D58" i="38"/>
  <c r="D57" i="38"/>
  <c r="D56" i="38"/>
  <c r="D55" i="38"/>
  <c r="D54" i="38"/>
  <c r="D53" i="38"/>
  <c r="D52" i="38"/>
  <c r="D51" i="38"/>
  <c r="D50" i="38"/>
  <c r="D49" i="38"/>
  <c r="D48" i="38"/>
  <c r="D47" i="38"/>
  <c r="D46" i="38"/>
  <c r="D45" i="38"/>
  <c r="D44" i="38"/>
  <c r="D43" i="38"/>
  <c r="D42" i="38"/>
  <c r="D41" i="38"/>
  <c r="D40" i="38"/>
  <c r="D39" i="38"/>
  <c r="D38" i="38"/>
  <c r="D37" i="38"/>
  <c r="D36" i="38"/>
  <c r="D35" i="38"/>
  <c r="D34" i="38"/>
  <c r="D33" i="38"/>
  <c r="D32" i="38"/>
  <c r="D31" i="38"/>
  <c r="D30" i="38"/>
  <c r="D29" i="38"/>
  <c r="D28" i="38"/>
  <c r="D27" i="38"/>
  <c r="D26" i="38"/>
  <c r="D25" i="38"/>
  <c r="D24" i="38"/>
  <c r="D23" i="38"/>
  <c r="D22" i="38"/>
  <c r="D21" i="38"/>
  <c r="D20" i="38"/>
  <c r="D19" i="38"/>
  <c r="D18" i="38"/>
  <c r="D17" i="38"/>
  <c r="D16" i="38"/>
  <c r="D15" i="38"/>
  <c r="D14" i="38"/>
  <c r="D13" i="38"/>
  <c r="D12" i="38"/>
  <c r="D11" i="38"/>
  <c r="D10" i="38"/>
  <c r="D9" i="38"/>
  <c r="D8" i="38"/>
  <c r="D7" i="38"/>
  <c r="D6" i="38"/>
  <c r="E2" i="27"/>
  <c r="I2" i="26"/>
  <c r="I5" i="26"/>
  <c r="I6" i="26"/>
  <c r="I7" i="26"/>
  <c r="I8" i="26"/>
  <c r="I9" i="26"/>
  <c r="I10" i="26"/>
  <c r="I11" i="26"/>
  <c r="I12" i="26"/>
  <c r="I13" i="26"/>
  <c r="I14" i="26"/>
  <c r="I15" i="26"/>
  <c r="I16" i="26"/>
  <c r="I17" i="26"/>
  <c r="I18" i="26"/>
  <c r="I19" i="26"/>
  <c r="I20" i="26"/>
  <c r="I21" i="26"/>
  <c r="I22" i="26"/>
  <c r="I23" i="26"/>
  <c r="I24" i="26"/>
  <c r="I25" i="26"/>
  <c r="I26" i="26"/>
  <c r="I27" i="26"/>
  <c r="I28" i="26"/>
  <c r="I29" i="26"/>
  <c r="I30" i="26"/>
  <c r="I31" i="26"/>
  <c r="I32" i="26"/>
  <c r="I33" i="26"/>
  <c r="I34" i="26"/>
  <c r="I35" i="26"/>
  <c r="I36" i="26"/>
  <c r="I37" i="26"/>
  <c r="I38" i="26"/>
  <c r="I39" i="26"/>
  <c r="I40" i="26"/>
  <c r="I41" i="26"/>
  <c r="I42" i="26"/>
  <c r="I43" i="26"/>
  <c r="I44" i="26"/>
  <c r="I45" i="26"/>
  <c r="I46" i="26"/>
  <c r="I47" i="26"/>
  <c r="I48" i="26"/>
  <c r="I49" i="26"/>
  <c r="I50" i="26"/>
  <c r="I51" i="26"/>
  <c r="I52" i="26"/>
  <c r="I53" i="26"/>
  <c r="I54" i="26"/>
  <c r="I55" i="26"/>
  <c r="I56" i="26"/>
  <c r="I57" i="26"/>
  <c r="I58" i="26"/>
  <c r="I59" i="26"/>
  <c r="I60" i="26"/>
  <c r="I61" i="26"/>
  <c r="I62" i="26"/>
  <c r="I63" i="26"/>
  <c r="I64" i="26"/>
  <c r="I65" i="26"/>
  <c r="I66" i="26"/>
  <c r="I67" i="26"/>
  <c r="I68" i="26"/>
  <c r="I69" i="26"/>
  <c r="I70" i="26"/>
  <c r="I71" i="26"/>
  <c r="I72" i="26"/>
  <c r="I73" i="26"/>
  <c r="I74" i="26"/>
  <c r="I75" i="26"/>
  <c r="I76" i="26"/>
  <c r="I77" i="26"/>
  <c r="I78" i="26"/>
  <c r="I79" i="26"/>
  <c r="I80" i="26"/>
  <c r="I81" i="26"/>
  <c r="I82" i="26"/>
  <c r="I83" i="26"/>
  <c r="I84" i="26"/>
  <c r="I85" i="26"/>
  <c r="I86" i="26"/>
  <c r="I87" i="26"/>
  <c r="I88" i="26"/>
  <c r="I89" i="26"/>
  <c r="I90" i="26"/>
  <c r="I91" i="26"/>
  <c r="I92" i="26"/>
  <c r="I93" i="26"/>
  <c r="I94" i="26"/>
  <c r="I95" i="26"/>
  <c r="I96" i="26"/>
  <c r="I97" i="26"/>
  <c r="I98" i="26"/>
  <c r="I99" i="26"/>
  <c r="I100" i="26"/>
  <c r="A7" i="34"/>
  <c r="C8" i="30"/>
  <c r="C6" i="35"/>
  <c r="C5" i="35"/>
  <c r="C4" i="35"/>
  <c r="C3" i="35"/>
  <c r="C2" i="35"/>
  <c r="C1" i="35"/>
  <c r="Y54" i="34"/>
  <c r="S54" i="34"/>
  <c r="R54" i="34"/>
  <c r="Q54" i="34"/>
  <c r="J54" i="34"/>
  <c r="X54" i="34"/>
  <c r="I54" i="34"/>
  <c r="H54" i="34"/>
  <c r="A54" i="34"/>
  <c r="Y53" i="34"/>
  <c r="S53" i="34"/>
  <c r="R53" i="34"/>
  <c r="Q53" i="34"/>
  <c r="J53" i="34"/>
  <c r="X53" i="34"/>
  <c r="I53" i="34"/>
  <c r="H53" i="34"/>
  <c r="A53" i="34"/>
  <c r="Y52" i="34"/>
  <c r="S52" i="34"/>
  <c r="R52" i="34"/>
  <c r="Q52" i="34"/>
  <c r="J52" i="34"/>
  <c r="X52" i="34"/>
  <c r="I52" i="34"/>
  <c r="H52" i="34"/>
  <c r="A52" i="34"/>
  <c r="Y51" i="34"/>
  <c r="S51" i="34"/>
  <c r="R51" i="34"/>
  <c r="Q51" i="34"/>
  <c r="J51" i="34"/>
  <c r="X51" i="34"/>
  <c r="I51" i="34"/>
  <c r="H51" i="34"/>
  <c r="A51" i="34"/>
  <c r="Y50" i="34"/>
  <c r="S50" i="34"/>
  <c r="R50" i="34"/>
  <c r="Q50" i="34"/>
  <c r="J50" i="34"/>
  <c r="X50" i="34"/>
  <c r="I50" i="34"/>
  <c r="H50" i="34"/>
  <c r="A50" i="34"/>
  <c r="Y49" i="34"/>
  <c r="S49" i="34"/>
  <c r="R49" i="34"/>
  <c r="Q49" i="34"/>
  <c r="J49" i="34"/>
  <c r="X49" i="34"/>
  <c r="I49" i="34"/>
  <c r="H49" i="34"/>
  <c r="A49" i="34"/>
  <c r="Y48" i="34"/>
  <c r="S48" i="34"/>
  <c r="R48" i="34"/>
  <c r="Q48" i="34"/>
  <c r="J48" i="34"/>
  <c r="X48" i="34"/>
  <c r="I48" i="34"/>
  <c r="H48" i="34"/>
  <c r="A48" i="34"/>
  <c r="Y47" i="34"/>
  <c r="S47" i="34"/>
  <c r="R47" i="34"/>
  <c r="Q47" i="34"/>
  <c r="J47" i="34"/>
  <c r="X47" i="34"/>
  <c r="I47" i="34"/>
  <c r="H47" i="34"/>
  <c r="A47" i="34"/>
  <c r="Y46" i="34"/>
  <c r="S46" i="34"/>
  <c r="R46" i="34"/>
  <c r="Q46" i="34"/>
  <c r="J46" i="34"/>
  <c r="X46" i="34"/>
  <c r="I46" i="34"/>
  <c r="H46" i="34"/>
  <c r="A46" i="34"/>
  <c r="Y45" i="34"/>
  <c r="S45" i="34"/>
  <c r="R45" i="34"/>
  <c r="Q45" i="34"/>
  <c r="J45" i="34"/>
  <c r="X45" i="34"/>
  <c r="I45" i="34"/>
  <c r="H45" i="34"/>
  <c r="A45" i="34"/>
  <c r="Y44" i="34"/>
  <c r="S44" i="34"/>
  <c r="R44" i="34"/>
  <c r="Q44" i="34"/>
  <c r="J44" i="34"/>
  <c r="X44" i="34"/>
  <c r="I44" i="34"/>
  <c r="H44" i="34"/>
  <c r="A44" i="34"/>
  <c r="Y43" i="34"/>
  <c r="S43" i="34"/>
  <c r="R43" i="34"/>
  <c r="Q43" i="34"/>
  <c r="J43" i="34"/>
  <c r="X43" i="34"/>
  <c r="I43" i="34"/>
  <c r="H43" i="34"/>
  <c r="A43" i="34"/>
  <c r="Y42" i="34"/>
  <c r="S42" i="34"/>
  <c r="R42" i="34"/>
  <c r="Q42" i="34"/>
  <c r="J42" i="34"/>
  <c r="X42" i="34"/>
  <c r="I42" i="34"/>
  <c r="H42" i="34"/>
  <c r="A42" i="34"/>
  <c r="Y41" i="34"/>
  <c r="S41" i="34"/>
  <c r="R41" i="34"/>
  <c r="Q41" i="34"/>
  <c r="J41" i="34"/>
  <c r="X41" i="34"/>
  <c r="I41" i="34"/>
  <c r="H41" i="34"/>
  <c r="A41" i="34"/>
  <c r="Y40" i="34"/>
  <c r="S40" i="34"/>
  <c r="R40" i="34"/>
  <c r="Q40" i="34"/>
  <c r="J40" i="34"/>
  <c r="X40" i="34"/>
  <c r="I40" i="34"/>
  <c r="H40" i="34"/>
  <c r="A40" i="34"/>
  <c r="Y39" i="34"/>
  <c r="S39" i="34"/>
  <c r="R39" i="34"/>
  <c r="Q39" i="34"/>
  <c r="J39" i="34"/>
  <c r="X39" i="34"/>
  <c r="I39" i="34"/>
  <c r="H39" i="34"/>
  <c r="A39" i="34"/>
  <c r="Y38" i="34"/>
  <c r="S38" i="34"/>
  <c r="R38" i="34"/>
  <c r="Q38" i="34"/>
  <c r="J38" i="34"/>
  <c r="X38" i="34"/>
  <c r="I38" i="34"/>
  <c r="H38" i="34"/>
  <c r="A38" i="34"/>
  <c r="Y37" i="34"/>
  <c r="S37" i="34"/>
  <c r="R37" i="34"/>
  <c r="Q37" i="34"/>
  <c r="J37" i="34"/>
  <c r="X37" i="34"/>
  <c r="I37" i="34"/>
  <c r="H37" i="34"/>
  <c r="A37" i="34"/>
  <c r="Y36" i="34"/>
  <c r="S36" i="34"/>
  <c r="R36" i="34"/>
  <c r="Q36" i="34"/>
  <c r="J36" i="34"/>
  <c r="X36" i="34"/>
  <c r="I36" i="34"/>
  <c r="H36" i="34"/>
  <c r="A36" i="34"/>
  <c r="Y35" i="34"/>
  <c r="S35" i="34"/>
  <c r="R35" i="34"/>
  <c r="Q35" i="34"/>
  <c r="J35" i="34"/>
  <c r="X35" i="34"/>
  <c r="I35" i="34"/>
  <c r="H35" i="34"/>
  <c r="A35" i="34"/>
  <c r="Y34" i="34"/>
  <c r="S34" i="34"/>
  <c r="R34" i="34"/>
  <c r="Q34" i="34"/>
  <c r="J34" i="34"/>
  <c r="X34" i="34"/>
  <c r="I34" i="34"/>
  <c r="H34" i="34"/>
  <c r="A34" i="34"/>
  <c r="Y33" i="34"/>
  <c r="S33" i="34"/>
  <c r="R33" i="34"/>
  <c r="Q33" i="34"/>
  <c r="J33" i="34"/>
  <c r="X33" i="34"/>
  <c r="I33" i="34"/>
  <c r="H33" i="34"/>
  <c r="A33" i="34"/>
  <c r="Y32" i="34"/>
  <c r="S32" i="34"/>
  <c r="R32" i="34"/>
  <c r="Q32" i="34"/>
  <c r="J32" i="34"/>
  <c r="X32" i="34"/>
  <c r="I32" i="34"/>
  <c r="H32" i="34"/>
  <c r="A32" i="34"/>
  <c r="Y31" i="34"/>
  <c r="S31" i="34"/>
  <c r="R31" i="34"/>
  <c r="Q31" i="34"/>
  <c r="J31" i="34"/>
  <c r="X31" i="34"/>
  <c r="I31" i="34"/>
  <c r="H31" i="34"/>
  <c r="A31" i="34"/>
  <c r="Y30" i="34"/>
  <c r="S30" i="34"/>
  <c r="R30" i="34"/>
  <c r="Q30" i="34"/>
  <c r="J30" i="34"/>
  <c r="X30" i="34"/>
  <c r="I30" i="34"/>
  <c r="H30" i="34"/>
  <c r="A30" i="34"/>
  <c r="Y29" i="34"/>
  <c r="S29" i="34"/>
  <c r="R29" i="34"/>
  <c r="Q29" i="34"/>
  <c r="J29" i="34"/>
  <c r="X29" i="34"/>
  <c r="I29" i="34"/>
  <c r="H29" i="34"/>
  <c r="A29" i="34"/>
  <c r="Y28" i="34"/>
  <c r="S28" i="34"/>
  <c r="R28" i="34"/>
  <c r="Q28" i="34"/>
  <c r="J28" i="34"/>
  <c r="X28" i="34"/>
  <c r="I28" i="34"/>
  <c r="H28" i="34"/>
  <c r="A28" i="34"/>
  <c r="Y27" i="34"/>
  <c r="S27" i="34"/>
  <c r="R27" i="34"/>
  <c r="Q27" i="34"/>
  <c r="J27" i="34"/>
  <c r="X27" i="34"/>
  <c r="I27" i="34"/>
  <c r="H27" i="34"/>
  <c r="A27" i="34"/>
  <c r="Y26" i="34"/>
  <c r="S26" i="34"/>
  <c r="R26" i="34"/>
  <c r="Q26" i="34"/>
  <c r="J26" i="34"/>
  <c r="X26" i="34"/>
  <c r="I26" i="34"/>
  <c r="H26" i="34"/>
  <c r="A26" i="34"/>
  <c r="Y25" i="34"/>
  <c r="S25" i="34"/>
  <c r="R25" i="34"/>
  <c r="Q25" i="34"/>
  <c r="J25" i="34"/>
  <c r="X25" i="34"/>
  <c r="I25" i="34"/>
  <c r="H25" i="34"/>
  <c r="A25" i="34"/>
  <c r="Y24" i="34"/>
  <c r="S24" i="34"/>
  <c r="R24" i="34"/>
  <c r="Q24" i="34"/>
  <c r="J24" i="34"/>
  <c r="X24" i="34"/>
  <c r="I24" i="34"/>
  <c r="H24" i="34"/>
  <c r="A24" i="34"/>
  <c r="Y23" i="34"/>
  <c r="S23" i="34"/>
  <c r="R23" i="34"/>
  <c r="Q23" i="34"/>
  <c r="J23" i="34"/>
  <c r="X23" i="34"/>
  <c r="I23" i="34"/>
  <c r="H23" i="34"/>
  <c r="A23" i="34"/>
  <c r="Y22" i="34"/>
  <c r="S22" i="34"/>
  <c r="R22" i="34"/>
  <c r="Q22" i="34"/>
  <c r="J22" i="34"/>
  <c r="X22" i="34"/>
  <c r="I22" i="34"/>
  <c r="H22" i="34"/>
  <c r="A22" i="34"/>
  <c r="Y21" i="34"/>
  <c r="S21" i="34"/>
  <c r="R21" i="34"/>
  <c r="Q21" i="34"/>
  <c r="J21" i="34"/>
  <c r="X21" i="34"/>
  <c r="I21" i="34"/>
  <c r="H21" i="34"/>
  <c r="A21" i="34"/>
  <c r="Y20" i="34"/>
  <c r="S20" i="34"/>
  <c r="R20" i="34"/>
  <c r="Q20" i="34"/>
  <c r="J20" i="34"/>
  <c r="X20" i="34"/>
  <c r="I20" i="34"/>
  <c r="H20" i="34"/>
  <c r="A20" i="34"/>
  <c r="Y19" i="34"/>
  <c r="S19" i="34"/>
  <c r="R19" i="34"/>
  <c r="Q19" i="34"/>
  <c r="J19" i="34"/>
  <c r="X19" i="34"/>
  <c r="I19" i="34"/>
  <c r="H19" i="34"/>
  <c r="A19" i="34"/>
  <c r="Y18" i="34"/>
  <c r="S18" i="34"/>
  <c r="R18" i="34"/>
  <c r="Q18" i="34"/>
  <c r="J18" i="34"/>
  <c r="X18" i="34"/>
  <c r="I18" i="34"/>
  <c r="H18" i="34"/>
  <c r="A18" i="34"/>
  <c r="Y17" i="34"/>
  <c r="S17" i="34"/>
  <c r="R17" i="34"/>
  <c r="Q17" i="34"/>
  <c r="J17" i="34"/>
  <c r="X17" i="34"/>
  <c r="I17" i="34"/>
  <c r="H17" i="34"/>
  <c r="A17" i="34"/>
  <c r="Y16" i="34"/>
  <c r="S16" i="34"/>
  <c r="R16" i="34"/>
  <c r="Q16" i="34"/>
  <c r="J16" i="34"/>
  <c r="X16" i="34"/>
  <c r="I16" i="34"/>
  <c r="H16" i="34"/>
  <c r="A16" i="34"/>
  <c r="Y15" i="34"/>
  <c r="S15" i="34"/>
  <c r="R15" i="34"/>
  <c r="Q15" i="34"/>
  <c r="J15" i="34"/>
  <c r="X15" i="34"/>
  <c r="I15" i="34"/>
  <c r="H15" i="34"/>
  <c r="A15" i="34"/>
  <c r="Y14" i="34"/>
  <c r="S14" i="34"/>
  <c r="R14" i="34"/>
  <c r="Q14" i="34"/>
  <c r="J14" i="34"/>
  <c r="X14" i="34"/>
  <c r="I14" i="34"/>
  <c r="H14" i="34"/>
  <c r="A14" i="34"/>
  <c r="Y13" i="34"/>
  <c r="S13" i="34"/>
  <c r="R13" i="34"/>
  <c r="Q13" i="34"/>
  <c r="J13" i="34"/>
  <c r="X13" i="34"/>
  <c r="I13" i="34"/>
  <c r="H13" i="34"/>
  <c r="A13" i="34"/>
  <c r="Y12" i="34"/>
  <c r="S12" i="34"/>
  <c r="R12" i="34"/>
  <c r="Q12" i="34"/>
  <c r="J12" i="34"/>
  <c r="X12" i="34"/>
  <c r="I12" i="34"/>
  <c r="H12" i="34"/>
  <c r="A12" i="34"/>
  <c r="Y11" i="34"/>
  <c r="S11" i="34"/>
  <c r="R11" i="34"/>
  <c r="Q11" i="34"/>
  <c r="J11" i="34"/>
  <c r="X11" i="34"/>
  <c r="I11" i="34"/>
  <c r="H11" i="34"/>
  <c r="A11" i="34"/>
  <c r="Y10" i="34"/>
  <c r="S10" i="34"/>
  <c r="R10" i="34"/>
  <c r="Q10" i="34"/>
  <c r="J10" i="34"/>
  <c r="X10" i="34"/>
  <c r="I10" i="34"/>
  <c r="H10" i="34"/>
  <c r="A10" i="34"/>
  <c r="Y9" i="34"/>
  <c r="S9" i="34"/>
  <c r="R9" i="34"/>
  <c r="Q9" i="34"/>
  <c r="J9" i="34"/>
  <c r="X9" i="34"/>
  <c r="I9" i="34"/>
  <c r="H9" i="34"/>
  <c r="A9" i="34"/>
  <c r="Y8" i="34"/>
  <c r="S8" i="34"/>
  <c r="R8" i="34"/>
  <c r="Q8" i="34"/>
  <c r="J8" i="34"/>
  <c r="X8" i="34"/>
  <c r="I8" i="34"/>
  <c r="H8" i="34"/>
  <c r="A8" i="34"/>
  <c r="Y7" i="34"/>
  <c r="S7" i="34"/>
  <c r="R7" i="34"/>
  <c r="Q7" i="34"/>
  <c r="J7" i="34"/>
  <c r="X7" i="34"/>
  <c r="I7" i="34"/>
  <c r="H7" i="34"/>
  <c r="Q6" i="34"/>
  <c r="R6" i="34"/>
  <c r="R5" i="34"/>
  <c r="Q5" i="34"/>
  <c r="I5" i="34"/>
  <c r="H5" i="34"/>
  <c r="Q2" i="34"/>
  <c r="R6" i="16"/>
  <c r="W6" i="16"/>
  <c r="W8" i="16"/>
  <c r="W9" i="16"/>
  <c r="W10" i="16"/>
  <c r="W11" i="16"/>
  <c r="W12" i="16"/>
  <c r="W13" i="16"/>
  <c r="W14" i="16"/>
  <c r="W15" i="16"/>
  <c r="W16" i="16"/>
  <c r="W17" i="16"/>
  <c r="W18" i="16"/>
  <c r="W19" i="16"/>
  <c r="W20" i="16"/>
  <c r="W21" i="16"/>
  <c r="W22" i="16"/>
  <c r="W23" i="16"/>
  <c r="W24" i="16"/>
  <c r="W25" i="16"/>
  <c r="W26" i="16"/>
  <c r="W27" i="16"/>
  <c r="W28" i="16"/>
  <c r="W29" i="16"/>
  <c r="W30" i="16"/>
  <c r="W31" i="16"/>
  <c r="W32" i="16"/>
  <c r="W33" i="16"/>
  <c r="W34" i="16"/>
  <c r="W35" i="16"/>
  <c r="W36" i="16"/>
  <c r="W37" i="16"/>
  <c r="W38" i="16"/>
  <c r="W39" i="16"/>
  <c r="W40" i="16"/>
  <c r="W41" i="16"/>
  <c r="W42" i="16"/>
  <c r="W43" i="16"/>
  <c r="W44" i="16"/>
  <c r="W45" i="16"/>
  <c r="W46" i="16"/>
  <c r="W47" i="16"/>
  <c r="W48" i="16"/>
  <c r="W49" i="16"/>
  <c r="W50" i="16"/>
  <c r="W51" i="16"/>
  <c r="W52" i="16"/>
  <c r="W53" i="16"/>
  <c r="W54" i="16"/>
  <c r="F4" i="11"/>
  <c r="F3" i="11"/>
  <c r="E4" i="11"/>
  <c r="E3" i="11"/>
  <c r="R7" i="16"/>
  <c r="W7" i="16"/>
  <c r="R8" i="16"/>
  <c r="R9" i="16"/>
  <c r="R10" i="16"/>
  <c r="R11" i="16"/>
  <c r="R12" i="16"/>
  <c r="R13" i="16"/>
  <c r="R14" i="16"/>
  <c r="R15" i="16"/>
  <c r="R16" i="16"/>
  <c r="R17" i="16"/>
  <c r="R18" i="16"/>
  <c r="R19" i="16"/>
  <c r="R20" i="16"/>
  <c r="R21" i="16"/>
  <c r="R22" i="16"/>
  <c r="R23" i="16"/>
  <c r="R24" i="16"/>
  <c r="R25" i="16"/>
  <c r="R26" i="16"/>
  <c r="R27" i="16"/>
  <c r="R28" i="16"/>
  <c r="R29" i="16"/>
  <c r="R30" i="16"/>
  <c r="R31" i="16"/>
  <c r="R32" i="16"/>
  <c r="R33" i="16"/>
  <c r="R34" i="16"/>
  <c r="R35" i="16"/>
  <c r="R36" i="16"/>
  <c r="R37" i="16"/>
  <c r="R38" i="16"/>
  <c r="R39" i="16"/>
  <c r="R40" i="16"/>
  <c r="R41" i="16"/>
  <c r="R42" i="16"/>
  <c r="R43" i="16"/>
  <c r="R44" i="16"/>
  <c r="R45" i="16"/>
  <c r="R46" i="16"/>
  <c r="R47" i="16"/>
  <c r="R48" i="16"/>
  <c r="R49" i="16"/>
  <c r="R50" i="16"/>
  <c r="R51" i="16"/>
  <c r="R52" i="16"/>
  <c r="R53" i="16"/>
  <c r="R54" i="16"/>
  <c r="J7" i="16"/>
  <c r="V7" i="16"/>
  <c r="J8" i="16"/>
  <c r="V8" i="16"/>
  <c r="J9" i="16"/>
  <c r="V9" i="16"/>
  <c r="J10" i="16"/>
  <c r="V10" i="16"/>
  <c r="J11" i="16"/>
  <c r="V11" i="16"/>
  <c r="J12" i="16"/>
  <c r="V12" i="16"/>
  <c r="J13" i="16"/>
  <c r="V13" i="16"/>
  <c r="J14" i="16"/>
  <c r="V14" i="16"/>
  <c r="J15" i="16"/>
  <c r="V15" i="16"/>
  <c r="J16" i="16"/>
  <c r="V16" i="16"/>
  <c r="J17" i="16"/>
  <c r="V17" i="16"/>
  <c r="J18" i="16"/>
  <c r="V18" i="16"/>
  <c r="J19" i="16"/>
  <c r="V19" i="16"/>
  <c r="J20" i="16"/>
  <c r="V20" i="16"/>
  <c r="J21" i="16"/>
  <c r="V21" i="16"/>
  <c r="J22" i="16"/>
  <c r="V22" i="16"/>
  <c r="J23" i="16"/>
  <c r="V23" i="16"/>
  <c r="J24" i="16"/>
  <c r="V24" i="16"/>
  <c r="J25" i="16"/>
  <c r="V25" i="16"/>
  <c r="J26" i="16"/>
  <c r="V26" i="16"/>
  <c r="J27" i="16"/>
  <c r="V27" i="16"/>
  <c r="J28" i="16"/>
  <c r="V28" i="16"/>
  <c r="J29" i="16"/>
  <c r="V29" i="16"/>
  <c r="J30" i="16"/>
  <c r="V30" i="16"/>
  <c r="J31" i="16"/>
  <c r="V31" i="16"/>
  <c r="J32" i="16"/>
  <c r="V32" i="16"/>
  <c r="J33" i="16"/>
  <c r="V33" i="16"/>
  <c r="J34" i="16"/>
  <c r="V34" i="16"/>
  <c r="J35" i="16"/>
  <c r="V35" i="16"/>
  <c r="J36" i="16"/>
  <c r="V36" i="16"/>
  <c r="J37" i="16"/>
  <c r="V37" i="16"/>
  <c r="J38" i="16"/>
  <c r="V38" i="16"/>
  <c r="J39" i="16"/>
  <c r="V39" i="16"/>
  <c r="J40" i="16"/>
  <c r="V40" i="16"/>
  <c r="J41" i="16"/>
  <c r="V41" i="16"/>
  <c r="J42" i="16"/>
  <c r="V42" i="16"/>
  <c r="J43" i="16"/>
  <c r="V43" i="16"/>
  <c r="J44" i="16"/>
  <c r="V44" i="16"/>
  <c r="J45" i="16"/>
  <c r="V45" i="16"/>
  <c r="J46" i="16"/>
  <c r="V46" i="16"/>
  <c r="J47" i="16"/>
  <c r="V47" i="16"/>
  <c r="J48" i="16"/>
  <c r="V48" i="16"/>
  <c r="J49" i="16"/>
  <c r="V49" i="16"/>
  <c r="J50" i="16"/>
  <c r="V50" i="16"/>
  <c r="J51" i="16"/>
  <c r="V51" i="16"/>
  <c r="J52" i="16"/>
  <c r="V52" i="16"/>
  <c r="J53" i="16"/>
  <c r="V53" i="16"/>
  <c r="J54" i="16"/>
  <c r="V54" i="16"/>
  <c r="H2" i="34"/>
  <c r="S5" i="34"/>
  <c r="AG2" i="26" a="1"/>
  <c r="AG2" i="26"/>
  <c r="Q6" i="16"/>
  <c r="Q7" i="16"/>
  <c r="Q8" i="16"/>
  <c r="Q9" i="16"/>
  <c r="Q10" i="16"/>
  <c r="Q11" i="16"/>
  <c r="Q12" i="16"/>
  <c r="Q13" i="16"/>
  <c r="Q14" i="16"/>
  <c r="Q15" i="16"/>
  <c r="Q16" i="16"/>
  <c r="Q17" i="16"/>
  <c r="Q18" i="16"/>
  <c r="Q19" i="16"/>
  <c r="Q20" i="16"/>
  <c r="Q21" i="16"/>
  <c r="Q22" i="16"/>
  <c r="Q23" i="16"/>
  <c r="Q24" i="16"/>
  <c r="Q25" i="16"/>
  <c r="Q26" i="16"/>
  <c r="Q27" i="16"/>
  <c r="Q28" i="16"/>
  <c r="Q29" i="16"/>
  <c r="Q30" i="16"/>
  <c r="Q31" i="16"/>
  <c r="Q32" i="16"/>
  <c r="Q33" i="16"/>
  <c r="Q34" i="16"/>
  <c r="Q35" i="16"/>
  <c r="Q36" i="16"/>
  <c r="Q37" i="16"/>
  <c r="Q38" i="16"/>
  <c r="Q39" i="16"/>
  <c r="Q40" i="16"/>
  <c r="Q41" i="16"/>
  <c r="Q42" i="16"/>
  <c r="Q43" i="16"/>
  <c r="Q44" i="16"/>
  <c r="Q45" i="16"/>
  <c r="Q46" i="16"/>
  <c r="Q47" i="16"/>
  <c r="Q48" i="16"/>
  <c r="Q49" i="16"/>
  <c r="Q50" i="16"/>
  <c r="Q51" i="16"/>
  <c r="Q52" i="16"/>
  <c r="Q53" i="16"/>
  <c r="Q54" i="16"/>
  <c r="Q5" i="16"/>
  <c r="I5" i="16"/>
  <c r="I7" i="16"/>
  <c r="I8" i="16"/>
  <c r="I9" i="16"/>
  <c r="I10" i="16"/>
  <c r="I11" i="16"/>
  <c r="I12" i="16"/>
  <c r="I13" i="16"/>
  <c r="I14" i="16"/>
  <c r="I15" i="16"/>
  <c r="I16" i="16"/>
  <c r="I17" i="16"/>
  <c r="I18" i="16"/>
  <c r="I19" i="16"/>
  <c r="I20" i="16"/>
  <c r="I21" i="16"/>
  <c r="I22" i="16"/>
  <c r="I23" i="16"/>
  <c r="I24" i="16"/>
  <c r="I25" i="16"/>
  <c r="I26" i="16"/>
  <c r="I27" i="16"/>
  <c r="I28" i="16"/>
  <c r="I29" i="16"/>
  <c r="I30" i="16"/>
  <c r="I31" i="16"/>
  <c r="I32" i="16"/>
  <c r="I33" i="16"/>
  <c r="I34" i="16"/>
  <c r="I35" i="16"/>
  <c r="I36" i="16"/>
  <c r="I37" i="16"/>
  <c r="I38" i="16"/>
  <c r="I39" i="16"/>
  <c r="I40" i="16"/>
  <c r="I41" i="16"/>
  <c r="I42" i="16"/>
  <c r="I43" i="16"/>
  <c r="I44" i="16"/>
  <c r="I45" i="16"/>
  <c r="I46" i="16"/>
  <c r="I47" i="16"/>
  <c r="I48" i="16"/>
  <c r="I49" i="16"/>
  <c r="I50" i="16"/>
  <c r="I51" i="16"/>
  <c r="I52" i="16"/>
  <c r="I53" i="16"/>
  <c r="I54" i="16"/>
  <c r="P54" i="16"/>
  <c r="P53" i="16"/>
  <c r="P52" i="16"/>
  <c r="P51" i="16"/>
  <c r="P50" i="16"/>
  <c r="P49" i="16"/>
  <c r="P48" i="16"/>
  <c r="P47" i="16"/>
  <c r="P46" i="16"/>
  <c r="P45" i="16"/>
  <c r="P44" i="16"/>
  <c r="P43" i="16"/>
  <c r="P42" i="16"/>
  <c r="P41" i="16"/>
  <c r="P40" i="16"/>
  <c r="P39" i="16"/>
  <c r="P38" i="16"/>
  <c r="P37" i="16"/>
  <c r="P36" i="16"/>
  <c r="P35" i="16"/>
  <c r="P34" i="16"/>
  <c r="P33" i="16"/>
  <c r="P32" i="16"/>
  <c r="P31" i="16"/>
  <c r="P30" i="16"/>
  <c r="P29" i="16"/>
  <c r="P28" i="16"/>
  <c r="P27" i="16"/>
  <c r="P26" i="16"/>
  <c r="P25" i="16"/>
  <c r="P24" i="16"/>
  <c r="P23" i="16"/>
  <c r="P22" i="16"/>
  <c r="P21" i="16"/>
  <c r="P20" i="16"/>
  <c r="P19" i="16"/>
  <c r="P18" i="16"/>
  <c r="P17" i="16"/>
  <c r="P16" i="16"/>
  <c r="P15" i="16"/>
  <c r="P14" i="16"/>
  <c r="P13" i="16"/>
  <c r="P12" i="16"/>
  <c r="P11" i="16"/>
  <c r="P10" i="16"/>
  <c r="P9" i="16"/>
  <c r="P8" i="16"/>
  <c r="P7" i="16"/>
  <c r="P6" i="16"/>
  <c r="P5" i="16"/>
  <c r="H5" i="16"/>
  <c r="H7" i="16"/>
  <c r="H8" i="16"/>
  <c r="H9" i="16"/>
  <c r="H10" i="16"/>
  <c r="H11" i="16"/>
  <c r="H12" i="16"/>
  <c r="H13" i="16"/>
  <c r="H14" i="16"/>
  <c r="H15" i="16"/>
  <c r="H16" i="16"/>
  <c r="H17" i="16"/>
  <c r="H18" i="16"/>
  <c r="H19" i="16"/>
  <c r="H20" i="16"/>
  <c r="H21" i="16"/>
  <c r="H22" i="16"/>
  <c r="H23" i="16"/>
  <c r="H24" i="16"/>
  <c r="H25" i="16"/>
  <c r="H26" i="16"/>
  <c r="H27" i="16"/>
  <c r="H28" i="16"/>
  <c r="H29" i="16"/>
  <c r="H30" i="16"/>
  <c r="H31" i="16"/>
  <c r="H32" i="16"/>
  <c r="H33" i="16"/>
  <c r="H34" i="16"/>
  <c r="H35" i="16"/>
  <c r="H36" i="16"/>
  <c r="H37" i="16"/>
  <c r="H38" i="16"/>
  <c r="H39" i="16"/>
  <c r="H40" i="16"/>
  <c r="H41" i="16"/>
  <c r="H42" i="16"/>
  <c r="H43" i="16"/>
  <c r="H44" i="16"/>
  <c r="H45" i="16"/>
  <c r="H46" i="16"/>
  <c r="H47" i="16"/>
  <c r="H48" i="16"/>
  <c r="H49" i="16"/>
  <c r="H50" i="16"/>
  <c r="H51" i="16"/>
  <c r="H52" i="16"/>
  <c r="H53" i="16"/>
  <c r="H54" i="16"/>
  <c r="P2" i="16"/>
  <c r="E100" i="27"/>
  <c r="E99" i="27"/>
  <c r="E98" i="27"/>
  <c r="E97" i="27"/>
  <c r="E96" i="27"/>
  <c r="E95" i="27"/>
  <c r="E94" i="27"/>
  <c r="E93" i="27"/>
  <c r="E92" i="27"/>
  <c r="E91" i="27"/>
  <c r="E90" i="27"/>
  <c r="E89" i="27"/>
  <c r="E88" i="27"/>
  <c r="E87" i="27"/>
  <c r="E86" i="27"/>
  <c r="E85" i="27"/>
  <c r="E84" i="27"/>
  <c r="E83" i="27"/>
  <c r="E82" i="27"/>
  <c r="E81" i="27"/>
  <c r="E80" i="27"/>
  <c r="E79" i="27"/>
  <c r="E78" i="27"/>
  <c r="E77" i="27"/>
  <c r="E76" i="27"/>
  <c r="E75" i="27"/>
  <c r="E74" i="27"/>
  <c r="E73" i="27"/>
  <c r="E72" i="27"/>
  <c r="E71" i="27"/>
  <c r="E70" i="27"/>
  <c r="E69" i="27"/>
  <c r="E68" i="27"/>
  <c r="E67" i="27"/>
  <c r="E66" i="27"/>
  <c r="E65" i="27"/>
  <c r="E64" i="27"/>
  <c r="E63" i="27"/>
  <c r="E62" i="27"/>
  <c r="E61" i="27"/>
  <c r="E60" i="27"/>
  <c r="E59" i="27"/>
  <c r="E58" i="27"/>
  <c r="E57" i="27"/>
  <c r="E56" i="27"/>
  <c r="E55" i="27"/>
  <c r="E54" i="27"/>
  <c r="E53" i="27"/>
  <c r="E52" i="27"/>
  <c r="E51" i="27"/>
  <c r="E50" i="27"/>
  <c r="E49" i="27"/>
  <c r="E48" i="27"/>
  <c r="E47" i="27"/>
  <c r="E46" i="27"/>
  <c r="E45" i="27"/>
  <c r="E44" i="27"/>
  <c r="E43" i="27"/>
  <c r="E42" i="27"/>
  <c r="E41" i="27"/>
  <c r="E40" i="27"/>
  <c r="E39" i="27"/>
  <c r="E38" i="27"/>
  <c r="E37" i="27"/>
  <c r="E36" i="27"/>
  <c r="E35" i="27"/>
  <c r="E34" i="27"/>
  <c r="E33" i="27"/>
  <c r="E32" i="27"/>
  <c r="E31" i="27"/>
  <c r="E30" i="27"/>
  <c r="E29" i="27"/>
  <c r="E28" i="27"/>
  <c r="E27" i="27"/>
  <c r="E26" i="27"/>
  <c r="E25" i="27"/>
  <c r="E24" i="27"/>
  <c r="E23" i="27"/>
  <c r="E22" i="27"/>
  <c r="E21" i="27"/>
  <c r="E20" i="27"/>
  <c r="E19" i="27"/>
  <c r="E18" i="27"/>
  <c r="E17" i="27"/>
  <c r="E16" i="27"/>
  <c r="E15" i="27"/>
  <c r="E14" i="27"/>
  <c r="E13" i="27"/>
  <c r="E12" i="27"/>
  <c r="E11" i="27"/>
  <c r="E10" i="27"/>
  <c r="E9" i="27"/>
  <c r="E8" i="27"/>
  <c r="E7" i="27"/>
  <c r="E6" i="27"/>
  <c r="E5" i="27"/>
  <c r="E4" i="27"/>
  <c r="E3" i="27"/>
  <c r="E5" i="11"/>
  <c r="E6" i="11"/>
  <c r="E7" i="11"/>
  <c r="E8" i="11"/>
  <c r="F7" i="11"/>
  <c r="E9" i="11"/>
  <c r="E10" i="11"/>
  <c r="F9" i="11"/>
  <c r="E11" i="11"/>
  <c r="E12" i="11"/>
  <c r="F11" i="11"/>
  <c r="E13" i="11"/>
  <c r="E14" i="11"/>
  <c r="E15" i="11"/>
  <c r="F5" i="11"/>
  <c r="F10" i="11"/>
  <c r="F8" i="11"/>
  <c r="F6" i="11"/>
  <c r="B11" i="31"/>
  <c r="B12" i="31"/>
  <c r="B13" i="31"/>
  <c r="B14" i="31"/>
  <c r="B15" i="31"/>
  <c r="B16" i="31"/>
  <c r="B17" i="31"/>
  <c r="B18" i="31"/>
  <c r="B19" i="31"/>
  <c r="B20" i="31"/>
  <c r="B21" i="31"/>
  <c r="B22" i="31"/>
  <c r="B23" i="31"/>
  <c r="B24" i="31"/>
  <c r="B25" i="31"/>
  <c r="B26" i="31"/>
  <c r="B27" i="31"/>
  <c r="B28" i="31"/>
  <c r="B29" i="31"/>
  <c r="B30" i="31"/>
  <c r="B31" i="31"/>
  <c r="B32" i="31"/>
  <c r="B33" i="31"/>
  <c r="B34" i="31"/>
  <c r="B35" i="31"/>
  <c r="B36" i="31"/>
  <c r="B37" i="31"/>
  <c r="B38" i="31"/>
  <c r="B39" i="31"/>
  <c r="B40" i="31"/>
  <c r="B41" i="31"/>
  <c r="B42" i="31"/>
  <c r="B43" i="31"/>
  <c r="B44" i="31"/>
  <c r="B45" i="31"/>
  <c r="B46" i="31"/>
  <c r="B47" i="31"/>
  <c r="B48" i="31"/>
  <c r="B49" i="31"/>
  <c r="B50" i="31"/>
  <c r="B51" i="31"/>
  <c r="B52" i="31"/>
  <c r="B53" i="31"/>
  <c r="B54" i="31"/>
  <c r="B55" i="31"/>
  <c r="B56" i="31"/>
  <c r="B57" i="31"/>
  <c r="B58" i="31"/>
  <c r="B59" i="31"/>
  <c r="B60" i="31"/>
  <c r="B61" i="31"/>
  <c r="B62" i="31"/>
  <c r="B63" i="31"/>
  <c r="B64" i="31"/>
  <c r="B65" i="31"/>
  <c r="B66" i="31"/>
  <c r="B67" i="31"/>
  <c r="B68" i="31"/>
  <c r="B69" i="31"/>
  <c r="B70" i="31"/>
  <c r="B71" i="31"/>
  <c r="B72" i="31"/>
  <c r="B73" i="31"/>
  <c r="B74" i="31"/>
  <c r="B75" i="31"/>
  <c r="B76" i="31"/>
  <c r="B77" i="31"/>
  <c r="B78" i="31"/>
  <c r="B79" i="31"/>
  <c r="B80" i="31"/>
  <c r="B81" i="31"/>
  <c r="B82" i="31"/>
  <c r="B83" i="31"/>
  <c r="B84" i="31"/>
  <c r="B85" i="31"/>
  <c r="B86" i="31"/>
  <c r="B87" i="31"/>
  <c r="B88" i="31"/>
  <c r="B89" i="31"/>
  <c r="B90" i="31"/>
  <c r="B91" i="31"/>
  <c r="B92" i="31"/>
  <c r="B93" i="31"/>
  <c r="B94" i="31"/>
  <c r="B95" i="31"/>
  <c r="B96" i="31"/>
  <c r="B97" i="31"/>
  <c r="B98" i="31"/>
  <c r="B99" i="31"/>
  <c r="B100" i="31"/>
  <c r="B101" i="31"/>
  <c r="B102" i="31"/>
  <c r="B103" i="31"/>
  <c r="B104" i="31"/>
  <c r="B105" i="31"/>
  <c r="B106" i="31"/>
  <c r="B107" i="31"/>
  <c r="B108" i="31"/>
  <c r="B109" i="31"/>
  <c r="B110" i="31"/>
  <c r="B111" i="31"/>
  <c r="B112" i="31"/>
  <c r="B113" i="31"/>
  <c r="B114" i="31"/>
  <c r="B115" i="31"/>
  <c r="B116" i="31"/>
  <c r="B117" i="31"/>
  <c r="B118" i="31"/>
  <c r="B119" i="31"/>
  <c r="B120" i="31"/>
  <c r="B121" i="31"/>
  <c r="B122" i="31"/>
  <c r="B123" i="31"/>
  <c r="B124" i="31"/>
  <c r="B125" i="31"/>
  <c r="B126" i="31"/>
  <c r="B127" i="31"/>
  <c r="B128" i="31"/>
  <c r="B129" i="31"/>
  <c r="B130" i="31"/>
  <c r="B131" i="31"/>
  <c r="B132" i="31"/>
  <c r="B133" i="31"/>
  <c r="B134" i="31"/>
  <c r="B135" i="31"/>
  <c r="B136" i="31"/>
  <c r="B137" i="31"/>
  <c r="B138" i="31"/>
  <c r="B139" i="31"/>
  <c r="B140" i="31"/>
  <c r="B141" i="31"/>
  <c r="B142" i="31"/>
  <c r="B143" i="31"/>
  <c r="B144" i="31"/>
  <c r="B145" i="31"/>
  <c r="B146" i="31"/>
  <c r="B147" i="31"/>
  <c r="B148" i="31"/>
  <c r="B149" i="31"/>
  <c r="B150" i="31"/>
  <c r="B151" i="31"/>
  <c r="B152" i="31"/>
  <c r="B153" i="31"/>
  <c r="B154" i="31"/>
  <c r="B155" i="31"/>
  <c r="B156" i="31"/>
  <c r="B157" i="31"/>
  <c r="B158" i="31"/>
  <c r="B159" i="31"/>
  <c r="B160" i="31"/>
  <c r="B161" i="31"/>
  <c r="B162" i="31"/>
  <c r="B163" i="31"/>
  <c r="B164" i="31"/>
  <c r="B165" i="31"/>
  <c r="B166" i="31"/>
  <c r="B167" i="31"/>
  <c r="B168" i="31"/>
  <c r="B169" i="31"/>
  <c r="B170" i="31"/>
  <c r="B171" i="31"/>
  <c r="B172" i="31"/>
  <c r="B173" i="31"/>
  <c r="B174" i="31"/>
  <c r="B175" i="31"/>
  <c r="B176" i="31"/>
  <c r="B177" i="31"/>
  <c r="B178" i="31"/>
  <c r="B179" i="31"/>
  <c r="B180" i="31"/>
  <c r="B181" i="31"/>
  <c r="B182" i="31"/>
  <c r="B183" i="31"/>
  <c r="B184" i="31"/>
  <c r="B185" i="31"/>
  <c r="B186" i="31"/>
  <c r="B187" i="31"/>
  <c r="B188" i="31"/>
  <c r="B189" i="31"/>
  <c r="B190" i="31"/>
  <c r="B191" i="31"/>
  <c r="B192" i="31"/>
  <c r="B193" i="31"/>
  <c r="B194" i="31"/>
  <c r="B195" i="31"/>
  <c r="B196" i="31"/>
  <c r="B197" i="31"/>
  <c r="B198" i="31"/>
  <c r="B199" i="31"/>
  <c r="B200" i="31"/>
  <c r="B201" i="31"/>
  <c r="B202" i="31"/>
  <c r="B203" i="31"/>
  <c r="B204" i="31"/>
  <c r="B205" i="31"/>
  <c r="B206" i="31"/>
  <c r="B207" i="31"/>
  <c r="B208" i="31"/>
  <c r="B209" i="31"/>
  <c r="B210" i="31"/>
  <c r="B211" i="31"/>
  <c r="B212" i="31"/>
  <c r="B213" i="31"/>
  <c r="B214" i="31"/>
  <c r="B215" i="31"/>
  <c r="B216" i="31"/>
  <c r="B217" i="31"/>
  <c r="B218" i="31"/>
  <c r="B219" i="31"/>
  <c r="B220" i="31"/>
  <c r="B221" i="31"/>
  <c r="B222" i="31"/>
  <c r="B223" i="31"/>
  <c r="B224" i="31"/>
  <c r="B225" i="31"/>
  <c r="B226" i="31"/>
  <c r="B227" i="31"/>
  <c r="B228" i="31"/>
  <c r="B229" i="31"/>
  <c r="B230" i="31"/>
  <c r="B231" i="31"/>
  <c r="B232" i="31"/>
  <c r="B233" i="31"/>
  <c r="B234" i="31"/>
  <c r="B235" i="31"/>
  <c r="B236" i="31"/>
  <c r="B237" i="31"/>
  <c r="B238" i="31"/>
  <c r="B239" i="31"/>
  <c r="B240" i="31"/>
  <c r="B241" i="31"/>
  <c r="B242" i="31"/>
  <c r="B243" i="31"/>
  <c r="B244" i="31"/>
  <c r="B245" i="31"/>
  <c r="B246" i="31"/>
  <c r="B247" i="31"/>
  <c r="B248" i="31"/>
  <c r="B249" i="31"/>
  <c r="B250" i="31"/>
  <c r="B251" i="31"/>
  <c r="B252" i="31"/>
  <c r="B253" i="31"/>
  <c r="B254" i="31"/>
  <c r="B255" i="31"/>
  <c r="B256" i="31"/>
  <c r="B257" i="31"/>
  <c r="B258" i="31"/>
  <c r="B259" i="31"/>
  <c r="B260" i="31"/>
  <c r="B261" i="31"/>
  <c r="B262" i="31"/>
  <c r="B263" i="31"/>
  <c r="B264" i="31"/>
  <c r="B265" i="31"/>
  <c r="B266" i="31"/>
  <c r="B267" i="31"/>
  <c r="B268" i="31"/>
  <c r="B269" i="31"/>
  <c r="B270" i="31"/>
  <c r="B271" i="31"/>
  <c r="B272" i="31"/>
  <c r="B273" i="31"/>
  <c r="B274" i="31"/>
  <c r="B275" i="31"/>
  <c r="B276" i="31"/>
  <c r="B277" i="31"/>
  <c r="B278" i="31"/>
  <c r="B279" i="31"/>
  <c r="B280" i="31"/>
  <c r="B281" i="31"/>
  <c r="B282" i="31"/>
  <c r="B283" i="31"/>
  <c r="B284" i="31"/>
  <c r="B285" i="31"/>
  <c r="B286" i="31"/>
  <c r="B287" i="31"/>
  <c r="B288" i="31"/>
  <c r="B289" i="31"/>
  <c r="B290" i="31"/>
  <c r="B291" i="31"/>
  <c r="B292" i="31"/>
  <c r="B293" i="31"/>
  <c r="B294" i="31"/>
  <c r="B295" i="31"/>
  <c r="B296" i="31"/>
  <c r="B297" i="31"/>
  <c r="B298" i="31"/>
  <c r="B299" i="31"/>
  <c r="B300" i="31"/>
  <c r="B301" i="31"/>
  <c r="B302" i="31"/>
  <c r="B303" i="31"/>
  <c r="B304" i="31"/>
  <c r="B305" i="31"/>
  <c r="B306" i="31"/>
  <c r="B307" i="31"/>
  <c r="B308" i="31"/>
  <c r="B309" i="31"/>
  <c r="B310" i="31"/>
  <c r="B311" i="31"/>
  <c r="B312" i="31"/>
  <c r="B313" i="31"/>
  <c r="B314" i="31"/>
  <c r="B315" i="31"/>
  <c r="B316" i="31"/>
  <c r="B317" i="31"/>
  <c r="B318" i="31"/>
  <c r="B319" i="31"/>
  <c r="B320" i="31"/>
  <c r="B321" i="31"/>
  <c r="B322" i="31"/>
  <c r="B323" i="31"/>
  <c r="B324" i="31"/>
  <c r="B325" i="31"/>
  <c r="B326" i="31"/>
  <c r="B327" i="31"/>
  <c r="B328" i="31"/>
  <c r="B329" i="31"/>
  <c r="B330" i="31"/>
  <c r="B331" i="31"/>
  <c r="B332" i="31"/>
  <c r="B333" i="31"/>
  <c r="B334" i="31"/>
  <c r="B335" i="31"/>
  <c r="B336" i="31"/>
  <c r="B337" i="31"/>
  <c r="B338" i="31"/>
  <c r="B339" i="31"/>
  <c r="B340" i="31"/>
  <c r="B341" i="31"/>
  <c r="B342" i="31"/>
  <c r="B343" i="31"/>
  <c r="B344" i="31"/>
  <c r="B345" i="31"/>
  <c r="B346" i="31"/>
  <c r="B347" i="31"/>
  <c r="B348" i="31"/>
  <c r="B349" i="31"/>
  <c r="B350" i="31"/>
  <c r="B351" i="31"/>
  <c r="B352" i="31"/>
  <c r="B353" i="31"/>
  <c r="B354" i="31"/>
  <c r="B355" i="31"/>
  <c r="B356" i="31"/>
  <c r="B357" i="31"/>
  <c r="B358" i="31"/>
  <c r="B359" i="31"/>
  <c r="B360" i="31"/>
  <c r="B361" i="31"/>
  <c r="B362" i="31"/>
  <c r="B363" i="31"/>
  <c r="B364" i="31"/>
  <c r="B365" i="31"/>
  <c r="B366" i="31"/>
  <c r="B367" i="31"/>
  <c r="B368" i="31"/>
  <c r="B369" i="31"/>
  <c r="B370" i="31"/>
  <c r="B371" i="31"/>
  <c r="B372" i="31"/>
  <c r="B373" i="31"/>
  <c r="B374" i="31"/>
  <c r="B375" i="31"/>
  <c r="B376" i="31"/>
  <c r="B377" i="31"/>
  <c r="B378" i="31"/>
  <c r="B379" i="31"/>
  <c r="B380" i="31"/>
  <c r="B381" i="31"/>
  <c r="B382" i="31"/>
  <c r="B383" i="31"/>
  <c r="B384" i="31"/>
  <c r="B385" i="31"/>
  <c r="B386" i="31"/>
  <c r="B387" i="31"/>
  <c r="B388" i="31"/>
  <c r="B389" i="31"/>
  <c r="B390" i="31"/>
  <c r="B391" i="31"/>
  <c r="B392" i="31"/>
  <c r="B393" i="31"/>
  <c r="B394" i="31"/>
  <c r="B395" i="31"/>
  <c r="B396" i="31"/>
  <c r="B397" i="31"/>
  <c r="B398" i="31"/>
  <c r="B399" i="31"/>
  <c r="B400" i="31"/>
  <c r="B401" i="31"/>
  <c r="B402" i="31"/>
  <c r="B403" i="31"/>
  <c r="B404" i="31"/>
  <c r="B405" i="31"/>
  <c r="B406" i="31"/>
  <c r="B407" i="31"/>
  <c r="B408" i="31"/>
  <c r="B409" i="31"/>
  <c r="B410" i="31"/>
  <c r="B411" i="31"/>
  <c r="B412" i="31"/>
  <c r="B413" i="31"/>
  <c r="B414" i="31"/>
  <c r="B415" i="31"/>
  <c r="B416" i="31"/>
  <c r="B417" i="31"/>
  <c r="B418" i="31"/>
  <c r="B419" i="31"/>
  <c r="B420" i="31"/>
  <c r="B421" i="31"/>
  <c r="B422" i="31"/>
  <c r="B423" i="31"/>
  <c r="B424" i="31"/>
  <c r="B425" i="31"/>
  <c r="B426" i="31"/>
  <c r="B427" i="31"/>
  <c r="B428" i="31"/>
  <c r="B429" i="31"/>
  <c r="B430" i="31"/>
  <c r="B431" i="31"/>
  <c r="B432" i="31"/>
  <c r="B433" i="31"/>
  <c r="B434" i="31"/>
  <c r="B435" i="31"/>
  <c r="B436" i="31"/>
  <c r="B437" i="31"/>
  <c r="B438" i="31"/>
  <c r="B439" i="31"/>
  <c r="B440" i="31"/>
  <c r="B441" i="31"/>
  <c r="B442" i="31"/>
  <c r="B443" i="31"/>
  <c r="B444" i="31"/>
  <c r="B445" i="31"/>
  <c r="B446" i="31"/>
  <c r="B447" i="31"/>
  <c r="B448" i="31"/>
  <c r="B449" i="31"/>
  <c r="B450" i="31"/>
  <c r="B451" i="31"/>
  <c r="B452" i="31"/>
  <c r="B453" i="31"/>
  <c r="B454" i="31"/>
  <c r="B455" i="31"/>
  <c r="B456" i="31"/>
  <c r="B457" i="31"/>
  <c r="B458" i="31"/>
  <c r="B459" i="31"/>
  <c r="B460" i="31"/>
  <c r="B461" i="31"/>
  <c r="B462" i="31"/>
  <c r="B463" i="31"/>
  <c r="B464" i="31"/>
  <c r="B465" i="31"/>
  <c r="B466" i="31"/>
  <c r="B467" i="31"/>
  <c r="B468" i="31"/>
  <c r="B469" i="31"/>
  <c r="B470" i="31"/>
  <c r="B471" i="31"/>
  <c r="B472" i="31"/>
  <c r="B473" i="31"/>
  <c r="B474" i="31"/>
  <c r="B475" i="31"/>
  <c r="B476" i="31"/>
  <c r="B477" i="31"/>
  <c r="B478" i="31"/>
  <c r="B479" i="31"/>
  <c r="B480" i="31"/>
  <c r="B481" i="31"/>
  <c r="B482" i="31"/>
  <c r="B483" i="31"/>
  <c r="B484" i="31"/>
  <c r="B485" i="31"/>
  <c r="B486" i="31"/>
  <c r="B487" i="31"/>
  <c r="B488" i="31"/>
  <c r="B489" i="31"/>
  <c r="B490" i="31"/>
  <c r="B491" i="31"/>
  <c r="B492" i="31"/>
  <c r="B493" i="31"/>
  <c r="B494" i="31"/>
  <c r="B495" i="31"/>
  <c r="B496" i="31"/>
  <c r="B497" i="31"/>
  <c r="B498" i="31"/>
  <c r="B499" i="31"/>
  <c r="B500" i="31"/>
  <c r="B501" i="31"/>
  <c r="B502" i="31"/>
  <c r="B503" i="31"/>
  <c r="B504" i="31"/>
  <c r="B505" i="31"/>
  <c r="B506" i="31"/>
  <c r="B507" i="31"/>
  <c r="B508" i="31"/>
  <c r="B509" i="31"/>
  <c r="B510" i="31"/>
  <c r="B511" i="31"/>
  <c r="B512" i="31"/>
  <c r="B513" i="31"/>
  <c r="B514" i="31"/>
  <c r="B515" i="31"/>
  <c r="B516" i="31"/>
  <c r="B517" i="31"/>
  <c r="B518" i="31"/>
  <c r="B519" i="31"/>
  <c r="B520" i="31"/>
  <c r="B521" i="31"/>
  <c r="B522" i="31"/>
  <c r="B523" i="31"/>
  <c r="B524" i="31"/>
  <c r="B525" i="31"/>
  <c r="B526" i="31"/>
  <c r="B527" i="31"/>
  <c r="B528" i="31"/>
  <c r="B529" i="31"/>
  <c r="B530" i="31"/>
  <c r="B531" i="31"/>
  <c r="B532" i="31"/>
  <c r="B533" i="31"/>
  <c r="B534" i="31"/>
  <c r="B535" i="31"/>
  <c r="B536" i="31"/>
  <c r="B537" i="31"/>
  <c r="B538" i="31"/>
  <c r="B539" i="31"/>
  <c r="B540" i="31"/>
  <c r="B541" i="31"/>
  <c r="B542" i="31"/>
  <c r="B543" i="31"/>
  <c r="B544" i="31"/>
  <c r="B545" i="31"/>
  <c r="B546" i="31"/>
  <c r="B547" i="31"/>
  <c r="B548" i="31"/>
  <c r="B549" i="31"/>
  <c r="B550" i="31"/>
  <c r="B551" i="31"/>
  <c r="B552" i="31"/>
  <c r="B553" i="31"/>
  <c r="B554" i="31"/>
  <c r="B555" i="31"/>
  <c r="B556" i="31"/>
  <c r="B557" i="31"/>
  <c r="B558" i="31"/>
  <c r="B559" i="31"/>
  <c r="B560" i="31"/>
  <c r="B561" i="31"/>
  <c r="B562" i="31"/>
  <c r="B563" i="31"/>
  <c r="B564" i="31"/>
  <c r="B565" i="31"/>
  <c r="B566" i="31"/>
  <c r="B567" i="31"/>
  <c r="B568" i="31"/>
  <c r="B569" i="31"/>
  <c r="B570" i="31"/>
  <c r="B571" i="31"/>
  <c r="B572" i="31"/>
  <c r="B573" i="31"/>
  <c r="B574" i="31"/>
  <c r="B575" i="31"/>
  <c r="B576" i="31"/>
  <c r="B577" i="31"/>
  <c r="B578" i="31"/>
  <c r="B579" i="31"/>
  <c r="B580" i="31"/>
  <c r="B581" i="31"/>
  <c r="B582" i="31"/>
  <c r="B583" i="31"/>
  <c r="B584" i="31"/>
  <c r="B585" i="31"/>
  <c r="B586" i="31"/>
  <c r="B587" i="31"/>
  <c r="B588" i="31"/>
  <c r="B589" i="31"/>
  <c r="B590" i="31"/>
  <c r="B591" i="31"/>
  <c r="B592" i="31"/>
  <c r="B593" i="31"/>
  <c r="B594" i="31"/>
  <c r="B595" i="31"/>
  <c r="B596" i="31"/>
  <c r="B597" i="31"/>
  <c r="B598" i="31"/>
  <c r="B599" i="31"/>
  <c r="B600" i="31"/>
  <c r="B601" i="31"/>
  <c r="B602" i="31"/>
  <c r="B603" i="31"/>
  <c r="B604" i="31"/>
  <c r="B605" i="31"/>
  <c r="B606" i="31"/>
  <c r="B607" i="31"/>
  <c r="B608" i="31"/>
  <c r="B609" i="31"/>
  <c r="B610" i="31"/>
  <c r="B611" i="31"/>
  <c r="B612" i="31"/>
  <c r="B613" i="31"/>
  <c r="B614" i="31"/>
  <c r="B615" i="31"/>
  <c r="B616" i="31"/>
  <c r="B617" i="31"/>
  <c r="B618" i="31"/>
  <c r="B619" i="31"/>
  <c r="B620" i="31"/>
  <c r="B621" i="31"/>
  <c r="B622" i="31"/>
  <c r="B623" i="31"/>
  <c r="B624" i="31"/>
  <c r="B625" i="31"/>
  <c r="B626" i="31"/>
  <c r="B627" i="31"/>
  <c r="B628" i="31"/>
  <c r="B629" i="31"/>
  <c r="B630" i="31"/>
  <c r="B631" i="31"/>
  <c r="B632" i="31"/>
  <c r="B633" i="31"/>
  <c r="B634" i="31"/>
  <c r="B635" i="31"/>
  <c r="B636" i="31"/>
  <c r="B637" i="31"/>
  <c r="B638" i="31"/>
  <c r="B639" i="31"/>
  <c r="B640" i="31"/>
  <c r="B641" i="31"/>
  <c r="B642" i="31"/>
  <c r="B643" i="31"/>
  <c r="B644" i="31"/>
  <c r="B645" i="31"/>
  <c r="B646" i="31"/>
  <c r="B647" i="31"/>
  <c r="B648" i="31"/>
  <c r="B649" i="31"/>
  <c r="B650" i="31"/>
  <c r="B651" i="31"/>
  <c r="B652" i="31"/>
  <c r="B653" i="31"/>
  <c r="B654" i="31"/>
  <c r="B655" i="31"/>
  <c r="B656" i="31"/>
  <c r="B657" i="31"/>
  <c r="B658" i="31"/>
  <c r="B659" i="31"/>
  <c r="B660" i="31"/>
  <c r="B661" i="31"/>
  <c r="B662" i="31"/>
  <c r="B663" i="31"/>
  <c r="B664" i="31"/>
  <c r="B665" i="31"/>
  <c r="B666" i="31"/>
  <c r="B667" i="31"/>
  <c r="B668" i="31"/>
  <c r="B669" i="31"/>
  <c r="B670" i="31"/>
  <c r="B671" i="31"/>
  <c r="B672" i="31"/>
  <c r="B673" i="31"/>
  <c r="B674" i="31"/>
  <c r="B675" i="31"/>
  <c r="B676" i="31"/>
  <c r="B677" i="31"/>
  <c r="B678" i="31"/>
  <c r="B679" i="31"/>
  <c r="B680" i="31"/>
  <c r="B681" i="31"/>
  <c r="B682" i="31"/>
  <c r="B683" i="31"/>
  <c r="B684" i="31"/>
  <c r="B685" i="31"/>
  <c r="B686" i="31"/>
  <c r="B687" i="31"/>
  <c r="B688" i="31"/>
  <c r="B689" i="31"/>
  <c r="B690" i="31"/>
  <c r="B691" i="31"/>
  <c r="B692" i="31"/>
  <c r="B693" i="31"/>
  <c r="B694" i="31"/>
  <c r="B695" i="31"/>
  <c r="B696" i="31"/>
  <c r="B697" i="31"/>
  <c r="B698" i="31"/>
  <c r="B699" i="31"/>
  <c r="B700" i="31"/>
  <c r="B701" i="31"/>
  <c r="B702" i="31"/>
  <c r="B703" i="31"/>
  <c r="B704" i="31"/>
  <c r="B705" i="31"/>
  <c r="B706" i="31"/>
  <c r="B707" i="31"/>
  <c r="B708" i="31"/>
  <c r="B709" i="31"/>
  <c r="B710" i="31"/>
  <c r="B711" i="31"/>
  <c r="B712" i="31"/>
  <c r="B713" i="31"/>
  <c r="B714" i="31"/>
  <c r="B715" i="31"/>
  <c r="B716" i="31"/>
  <c r="B717" i="31"/>
  <c r="B718" i="31"/>
  <c r="B719" i="31"/>
  <c r="B720" i="31"/>
  <c r="B721" i="31"/>
  <c r="B722" i="31"/>
  <c r="B723" i="31"/>
  <c r="B724" i="31"/>
  <c r="B725" i="31"/>
  <c r="B726" i="31"/>
  <c r="B727" i="31"/>
  <c r="B728" i="31"/>
  <c r="B729" i="31"/>
  <c r="B730" i="31"/>
  <c r="B731" i="31"/>
  <c r="B732" i="31"/>
  <c r="B733" i="31"/>
  <c r="B734" i="31"/>
  <c r="B735" i="31"/>
  <c r="B736" i="31"/>
  <c r="B737" i="31"/>
  <c r="B738" i="31"/>
  <c r="B739" i="31"/>
  <c r="B740" i="31"/>
  <c r="B741" i="31"/>
  <c r="B742" i="31"/>
  <c r="B743" i="31"/>
  <c r="B744" i="31"/>
  <c r="B745" i="31"/>
  <c r="B746" i="31"/>
  <c r="B747" i="31"/>
  <c r="B748" i="31"/>
  <c r="B749" i="31"/>
  <c r="B750" i="31"/>
  <c r="B751" i="31"/>
  <c r="B752" i="31"/>
  <c r="B753" i="31"/>
  <c r="B754" i="31"/>
  <c r="B755" i="31"/>
  <c r="B756" i="31"/>
  <c r="B757" i="31"/>
  <c r="B758" i="31"/>
  <c r="B759" i="31"/>
  <c r="B760" i="31"/>
  <c r="B761" i="31"/>
  <c r="B762" i="31"/>
  <c r="B763" i="31"/>
  <c r="B764" i="31"/>
  <c r="B765" i="31"/>
  <c r="B766" i="31"/>
  <c r="B767" i="31"/>
  <c r="B768" i="31"/>
  <c r="B769" i="31"/>
  <c r="B770" i="31"/>
  <c r="B771" i="31"/>
  <c r="B772" i="31"/>
  <c r="B773" i="31"/>
  <c r="B774" i="31"/>
  <c r="B775" i="31"/>
  <c r="B776" i="31"/>
  <c r="B777" i="31"/>
  <c r="B778" i="31"/>
  <c r="B779" i="31"/>
  <c r="B780" i="31"/>
  <c r="B781" i="31"/>
  <c r="B782" i="31"/>
  <c r="B783" i="31"/>
  <c r="B784" i="31"/>
  <c r="B785" i="31"/>
  <c r="B786" i="31"/>
  <c r="B787" i="31"/>
  <c r="B788" i="31"/>
  <c r="B789" i="31"/>
  <c r="B790" i="31"/>
  <c r="B791" i="31"/>
  <c r="B792" i="31"/>
  <c r="B793" i="31"/>
  <c r="B794" i="31"/>
  <c r="B795" i="31"/>
  <c r="B796" i="31"/>
  <c r="B797" i="31"/>
  <c r="B798" i="31"/>
  <c r="B799" i="31"/>
  <c r="B800" i="31"/>
  <c r="B801" i="31"/>
  <c r="B802" i="31"/>
  <c r="B803" i="31"/>
  <c r="B804" i="31"/>
  <c r="B805" i="31"/>
  <c r="B806" i="31"/>
  <c r="B807" i="31"/>
  <c r="B808" i="31"/>
  <c r="B809" i="31"/>
  <c r="B810" i="31"/>
  <c r="B811" i="31"/>
  <c r="B812" i="31"/>
  <c r="B813" i="31"/>
  <c r="B814" i="31"/>
  <c r="B815" i="31"/>
  <c r="B816" i="31"/>
  <c r="B817" i="31"/>
  <c r="B818" i="31"/>
  <c r="B819" i="31"/>
  <c r="B820" i="31"/>
  <c r="B821" i="31"/>
  <c r="B822" i="31"/>
  <c r="B823" i="31"/>
  <c r="B824" i="31"/>
  <c r="B825" i="31"/>
  <c r="B826" i="31"/>
  <c r="B827" i="31"/>
  <c r="B828" i="31"/>
  <c r="B829" i="31"/>
  <c r="B830" i="31"/>
  <c r="B831" i="31"/>
  <c r="B832" i="31"/>
  <c r="B833" i="31"/>
  <c r="B834" i="31"/>
  <c r="B835" i="31"/>
  <c r="B836" i="31"/>
  <c r="B837" i="31"/>
  <c r="B838" i="31"/>
  <c r="B839" i="31"/>
  <c r="B840" i="31"/>
  <c r="B841" i="31"/>
  <c r="B842" i="31"/>
  <c r="B843" i="31"/>
  <c r="B844" i="31"/>
  <c r="B845" i="31"/>
  <c r="B846" i="31"/>
  <c r="B847" i="31"/>
  <c r="B848" i="31"/>
  <c r="B849" i="31"/>
  <c r="B850" i="31"/>
  <c r="B851" i="31"/>
  <c r="B852" i="31"/>
  <c r="B853" i="31"/>
  <c r="B854" i="31"/>
  <c r="B855" i="31"/>
  <c r="B856" i="31"/>
  <c r="B857" i="31"/>
  <c r="B858" i="31"/>
  <c r="B859" i="31"/>
  <c r="B860" i="31"/>
  <c r="B861" i="31"/>
  <c r="B862" i="31"/>
  <c r="B863" i="31"/>
  <c r="B864" i="31"/>
  <c r="B865" i="31"/>
  <c r="B866" i="31"/>
  <c r="B867" i="31"/>
  <c r="B868" i="31"/>
  <c r="B869" i="31"/>
  <c r="B870" i="31"/>
  <c r="B871" i="31"/>
  <c r="B872" i="31"/>
  <c r="B873" i="31"/>
  <c r="B874" i="31"/>
  <c r="B875" i="31"/>
  <c r="B876" i="31"/>
  <c r="B877" i="31"/>
  <c r="B878" i="31"/>
  <c r="B879" i="31"/>
  <c r="B880" i="31"/>
  <c r="B881" i="31"/>
  <c r="B882" i="31"/>
  <c r="B883" i="31"/>
  <c r="B884" i="31"/>
  <c r="B885" i="31"/>
  <c r="B886" i="31"/>
  <c r="B887" i="31"/>
  <c r="B888" i="31"/>
  <c r="B889" i="31"/>
  <c r="B890" i="31"/>
  <c r="B891" i="31"/>
  <c r="B892" i="31"/>
  <c r="B893" i="31"/>
  <c r="B894" i="31"/>
  <c r="B895" i="31"/>
  <c r="B896" i="31"/>
  <c r="B897" i="31"/>
  <c r="B898" i="31"/>
  <c r="B899" i="31"/>
  <c r="B900" i="31"/>
  <c r="B901" i="31"/>
  <c r="B902" i="31"/>
  <c r="B903" i="31"/>
  <c r="B904" i="31"/>
  <c r="B905" i="31"/>
  <c r="B906" i="31"/>
  <c r="B907" i="31"/>
  <c r="B908" i="31"/>
  <c r="B909" i="31"/>
  <c r="B910" i="31"/>
  <c r="B911" i="31"/>
  <c r="B912" i="31"/>
  <c r="B913" i="31"/>
  <c r="B914" i="31"/>
  <c r="B915" i="31"/>
  <c r="B916" i="31"/>
  <c r="B917" i="31"/>
  <c r="B918" i="31"/>
  <c r="B919" i="31"/>
  <c r="B920" i="31"/>
  <c r="B921" i="31"/>
  <c r="B922" i="31"/>
  <c r="B923" i="31"/>
  <c r="B924" i="31"/>
  <c r="B925" i="31"/>
  <c r="B926" i="31"/>
  <c r="B927" i="31"/>
  <c r="B928" i="31"/>
  <c r="B929" i="31"/>
  <c r="B930" i="31"/>
  <c r="B931" i="31"/>
  <c r="B932" i="31"/>
  <c r="B933" i="31"/>
  <c r="B934" i="31"/>
  <c r="B935" i="31"/>
  <c r="B936" i="31"/>
  <c r="B937" i="31"/>
  <c r="B938" i="31"/>
  <c r="B939" i="31"/>
  <c r="B940" i="31"/>
  <c r="B941" i="31"/>
  <c r="B942" i="31"/>
  <c r="B943" i="31"/>
  <c r="B944" i="31"/>
  <c r="B945" i="31"/>
  <c r="B946" i="31"/>
  <c r="B947" i="31"/>
  <c r="B948" i="31"/>
  <c r="B949" i="31"/>
  <c r="B950" i="31"/>
  <c r="B951" i="31"/>
  <c r="B952" i="31"/>
  <c r="B953" i="31"/>
  <c r="B954" i="31"/>
  <c r="B955" i="31"/>
  <c r="B956" i="31"/>
  <c r="B957" i="31"/>
  <c r="B958" i="31"/>
  <c r="B959" i="31"/>
  <c r="B960" i="31"/>
  <c r="B961" i="31"/>
  <c r="B962" i="31"/>
  <c r="B963" i="31"/>
  <c r="B964" i="31"/>
  <c r="B965" i="31"/>
  <c r="B966" i="31"/>
  <c r="B967" i="31"/>
  <c r="B968" i="31"/>
  <c r="B969" i="31"/>
  <c r="B970" i="31"/>
  <c r="B971" i="31"/>
  <c r="B972" i="31"/>
  <c r="B973" i="31"/>
  <c r="B974" i="31"/>
  <c r="B975" i="31"/>
  <c r="B976" i="31"/>
  <c r="B977" i="31"/>
  <c r="B978" i="31"/>
  <c r="B979" i="31"/>
  <c r="B980" i="31"/>
  <c r="B981" i="31"/>
  <c r="B982" i="31"/>
  <c r="B983" i="31"/>
  <c r="B984" i="31"/>
  <c r="B985" i="31"/>
  <c r="B986" i="31"/>
  <c r="B987" i="31"/>
  <c r="B988" i="31"/>
  <c r="B989" i="31"/>
  <c r="B990" i="31"/>
  <c r="B991" i="31"/>
  <c r="B992" i="31"/>
  <c r="B993" i="31"/>
  <c r="B994" i="31"/>
  <c r="B995" i="31"/>
  <c r="B996" i="31"/>
  <c r="B997" i="31"/>
  <c r="B998" i="31"/>
  <c r="B999" i="31"/>
  <c r="B1000" i="31"/>
  <c r="B1001" i="31"/>
  <c r="B1002" i="31"/>
  <c r="B1003" i="31"/>
  <c r="B1004" i="31"/>
  <c r="B1005" i="31"/>
  <c r="B1006" i="31"/>
  <c r="B1007" i="31"/>
  <c r="B1008" i="31"/>
  <c r="B1009" i="31"/>
  <c r="B1010" i="31"/>
  <c r="B1011" i="31"/>
  <c r="B1012" i="31"/>
  <c r="B1013" i="31"/>
  <c r="B1014" i="31"/>
  <c r="B1015" i="31"/>
  <c r="B1016" i="31"/>
  <c r="B1017" i="31"/>
  <c r="B1018" i="31"/>
  <c r="B1019" i="31"/>
  <c r="B1020" i="31"/>
  <c r="B1021" i="31"/>
  <c r="B1022" i="31"/>
  <c r="B1023" i="31"/>
  <c r="B1024" i="31"/>
  <c r="B1025" i="31"/>
  <c r="B1026" i="31"/>
  <c r="B1027" i="31"/>
  <c r="B1028" i="31"/>
  <c r="B1029" i="31"/>
  <c r="B1030" i="31"/>
  <c r="B1031" i="31"/>
  <c r="B1032" i="31"/>
  <c r="B1033" i="31"/>
  <c r="B1034" i="31"/>
  <c r="B1035" i="31"/>
  <c r="B1036" i="31"/>
  <c r="B1037" i="31"/>
  <c r="B1038" i="31"/>
  <c r="B1039" i="31"/>
  <c r="B1040" i="31"/>
  <c r="B1041" i="31"/>
  <c r="B1042" i="31"/>
  <c r="B1043" i="31"/>
  <c r="B1044" i="31"/>
  <c r="B1045" i="31"/>
  <c r="B1046" i="31"/>
  <c r="B1047" i="31"/>
  <c r="B1048" i="31"/>
  <c r="B1049" i="31"/>
  <c r="B1050" i="31"/>
  <c r="B1051" i="31"/>
  <c r="B1052" i="31"/>
  <c r="B1053" i="31"/>
  <c r="B1054" i="31"/>
  <c r="B1055" i="31"/>
  <c r="B1056" i="31"/>
  <c r="B1057" i="31"/>
  <c r="B1058" i="31"/>
  <c r="B1059" i="31"/>
  <c r="B1060" i="31"/>
  <c r="B1061" i="31"/>
  <c r="B1062" i="31"/>
  <c r="B1063" i="31"/>
  <c r="B1064" i="31"/>
  <c r="B1065" i="31"/>
  <c r="B1066" i="31"/>
  <c r="B1067" i="31"/>
  <c r="B1068" i="31"/>
  <c r="B1069" i="31"/>
  <c r="B1070" i="31"/>
  <c r="B1071" i="31"/>
  <c r="B1072" i="31"/>
  <c r="B1073" i="31"/>
  <c r="B1074" i="31"/>
  <c r="B1075" i="31"/>
  <c r="B1076" i="31"/>
  <c r="B1077" i="31"/>
  <c r="B1078" i="31"/>
  <c r="B1079" i="31"/>
  <c r="B1080" i="31"/>
  <c r="B1081" i="31"/>
  <c r="B1082" i="31"/>
  <c r="B1083" i="31"/>
  <c r="B1084" i="31"/>
  <c r="B1085" i="31"/>
  <c r="B1086" i="31"/>
  <c r="B1087" i="31"/>
  <c r="B1088" i="31"/>
  <c r="B1089" i="31"/>
  <c r="B1090" i="31"/>
  <c r="B1091" i="31"/>
  <c r="B1092" i="31"/>
  <c r="B1093" i="31"/>
  <c r="B1094" i="31"/>
  <c r="B1095" i="31"/>
  <c r="B1096" i="31"/>
  <c r="B1097" i="31"/>
  <c r="B1098" i="31"/>
  <c r="B1099" i="31"/>
  <c r="B1100" i="31"/>
  <c r="B1101" i="31"/>
  <c r="B1102" i="31"/>
  <c r="B1103" i="31"/>
  <c r="B1104" i="31"/>
  <c r="B1105" i="31"/>
  <c r="B1106" i="31"/>
  <c r="B1107" i="31"/>
  <c r="B1108" i="31"/>
  <c r="B1109" i="31"/>
  <c r="B1110" i="31"/>
  <c r="B1111" i="31"/>
  <c r="B1112" i="31"/>
  <c r="B1113" i="31"/>
  <c r="B1114" i="31"/>
  <c r="B1115" i="31"/>
  <c r="B1116" i="31"/>
  <c r="B1117" i="31"/>
  <c r="B1118" i="31"/>
  <c r="B1119" i="31"/>
  <c r="B1120" i="31"/>
  <c r="B1121" i="31"/>
  <c r="B1122" i="31"/>
  <c r="B1123" i="31"/>
  <c r="B1124" i="31"/>
  <c r="B1125" i="31"/>
  <c r="B1126" i="31"/>
  <c r="B1127" i="31"/>
  <c r="B1128" i="31"/>
  <c r="B1129" i="31"/>
  <c r="B1130" i="31"/>
  <c r="B1131" i="31"/>
  <c r="B1132" i="31"/>
  <c r="B1133" i="31"/>
  <c r="B1134" i="31"/>
  <c r="B1135" i="31"/>
  <c r="B1136" i="31"/>
  <c r="B1137" i="31"/>
  <c r="B1138" i="31"/>
  <c r="B1139" i="31"/>
  <c r="B1140" i="31"/>
  <c r="B1141" i="31"/>
  <c r="B1142" i="31"/>
  <c r="B1143" i="31"/>
  <c r="B1144" i="31"/>
  <c r="B1145" i="31"/>
  <c r="B1146" i="31"/>
  <c r="B1147" i="31"/>
  <c r="B1148" i="31"/>
  <c r="B1149" i="31"/>
  <c r="B1150" i="31"/>
  <c r="B1151" i="31"/>
  <c r="B1152" i="31"/>
  <c r="B1153" i="31"/>
  <c r="B1154" i="31"/>
  <c r="B1155" i="31"/>
  <c r="B1156" i="31"/>
  <c r="B1157" i="31"/>
  <c r="B1158" i="31"/>
  <c r="B1159" i="31"/>
  <c r="B1160" i="31"/>
  <c r="B1161" i="31"/>
  <c r="B1162" i="31"/>
  <c r="B1163" i="31"/>
  <c r="B1164" i="31"/>
  <c r="B1165" i="31"/>
  <c r="B1166" i="31"/>
  <c r="B1167" i="31"/>
  <c r="B1168" i="31"/>
  <c r="B1169" i="31"/>
  <c r="B1170" i="31"/>
  <c r="B1171" i="31"/>
  <c r="B1172" i="31"/>
  <c r="B1173" i="31"/>
  <c r="B1174" i="31"/>
  <c r="B1175" i="31"/>
  <c r="B1176" i="31"/>
  <c r="B1177" i="31"/>
  <c r="B1178" i="31"/>
  <c r="B1179" i="31"/>
  <c r="B1180" i="31"/>
  <c r="B1181" i="31"/>
  <c r="B1182" i="31"/>
  <c r="B1183" i="31"/>
  <c r="B1184" i="31"/>
  <c r="B1185" i="31"/>
  <c r="B1186" i="31"/>
  <c r="B1187" i="31"/>
  <c r="B1188" i="31"/>
  <c r="B1189" i="31"/>
  <c r="B1190" i="31"/>
  <c r="B1191" i="31"/>
  <c r="B1192" i="31"/>
  <c r="B1193" i="31"/>
  <c r="B1194" i="31"/>
  <c r="B1195" i="31"/>
  <c r="B1196" i="31"/>
  <c r="B1197" i="31"/>
  <c r="B1198" i="31"/>
  <c r="B1199" i="31"/>
  <c r="B1200" i="31"/>
  <c r="B1201" i="31"/>
  <c r="B1202" i="31"/>
  <c r="B1203" i="31"/>
  <c r="B1204" i="31"/>
  <c r="B1205" i="31"/>
  <c r="B1206" i="31"/>
  <c r="B1207" i="31"/>
  <c r="B1208" i="31"/>
  <c r="B1209" i="31"/>
  <c r="B1210" i="31"/>
  <c r="B1211" i="31"/>
  <c r="B1212" i="31"/>
  <c r="B1213" i="31"/>
  <c r="B1214" i="31"/>
  <c r="B1215" i="31"/>
  <c r="B1216" i="31"/>
  <c r="B1217" i="31"/>
  <c r="B1218" i="31"/>
  <c r="B1219" i="31"/>
  <c r="B1220" i="31"/>
  <c r="B1221" i="31"/>
  <c r="B1222" i="31"/>
  <c r="B1223" i="31"/>
  <c r="B1224" i="31"/>
  <c r="B1225" i="31"/>
  <c r="B1226" i="31"/>
  <c r="B1227" i="31"/>
  <c r="B1228" i="31"/>
  <c r="B1229" i="31"/>
  <c r="B1230" i="31"/>
  <c r="B1231" i="31"/>
  <c r="B1232" i="31"/>
  <c r="B1233" i="31"/>
  <c r="B1234" i="31"/>
  <c r="B1235" i="31"/>
  <c r="B1236" i="31"/>
  <c r="B1237" i="31"/>
  <c r="B1238" i="31"/>
  <c r="B1239" i="31"/>
  <c r="B1240" i="31"/>
  <c r="B1241" i="31"/>
  <c r="B1242" i="31"/>
  <c r="B1243" i="31"/>
  <c r="B1244" i="31"/>
  <c r="B1245" i="31"/>
  <c r="B1246" i="31"/>
  <c r="B1247" i="31"/>
  <c r="B1248" i="31"/>
  <c r="B1249" i="31"/>
  <c r="B1250" i="31"/>
  <c r="B1251" i="31"/>
  <c r="B1252" i="31"/>
  <c r="B1253" i="31"/>
  <c r="B1254" i="31"/>
  <c r="B1255" i="31"/>
  <c r="B1256" i="31"/>
  <c r="B1257" i="31"/>
  <c r="B1258" i="31"/>
  <c r="B1259" i="31"/>
  <c r="B1260" i="31"/>
  <c r="B1261" i="31"/>
  <c r="B1262" i="31"/>
  <c r="B1263" i="31"/>
  <c r="B1264" i="31"/>
  <c r="B1265" i="31"/>
  <c r="B1266" i="31"/>
  <c r="B1267" i="31"/>
  <c r="B1268" i="31"/>
  <c r="B1269" i="31"/>
  <c r="B1270" i="31"/>
  <c r="B1271" i="31"/>
  <c r="B1272" i="31"/>
  <c r="B1273" i="31"/>
  <c r="B1274" i="31"/>
  <c r="B1275" i="31"/>
  <c r="B1276" i="31"/>
  <c r="B1277" i="31"/>
  <c r="B1278" i="31"/>
  <c r="B1279" i="31"/>
  <c r="B1280" i="31"/>
  <c r="B1281" i="31"/>
  <c r="B1282" i="31"/>
  <c r="B1283" i="31"/>
  <c r="B1284" i="31"/>
  <c r="B1285" i="31"/>
  <c r="B1286" i="31"/>
  <c r="B1287" i="31"/>
  <c r="B1288" i="31"/>
  <c r="B1289" i="31"/>
  <c r="B1290" i="31"/>
  <c r="B1291" i="31"/>
  <c r="B1292" i="31"/>
  <c r="B1293" i="31"/>
  <c r="B1294" i="31"/>
  <c r="B1295" i="31"/>
  <c r="B1296" i="31"/>
  <c r="B1297" i="31"/>
  <c r="B1298" i="31"/>
  <c r="B1299" i="31"/>
  <c r="B1300" i="31"/>
  <c r="B1301" i="31"/>
  <c r="B1302" i="31"/>
  <c r="B1303" i="31"/>
  <c r="B1304" i="31"/>
  <c r="B1305" i="31"/>
  <c r="B1306" i="31"/>
  <c r="B1307" i="31"/>
  <c r="B1308" i="31"/>
  <c r="B1309" i="31"/>
  <c r="B1310" i="31"/>
  <c r="B1311" i="31"/>
  <c r="B1312" i="31"/>
  <c r="B1313" i="31"/>
  <c r="B1314" i="31"/>
  <c r="B1315" i="31"/>
  <c r="B1316" i="31"/>
  <c r="B1317" i="31"/>
  <c r="B1318" i="31"/>
  <c r="B1319" i="31"/>
  <c r="B1320" i="31"/>
  <c r="B1321" i="31"/>
  <c r="B1322" i="31"/>
  <c r="B1323" i="31"/>
  <c r="B1324" i="31"/>
  <c r="B1325" i="31"/>
  <c r="B1326" i="31"/>
  <c r="B1327" i="31"/>
  <c r="B1328" i="31"/>
  <c r="B1329" i="31"/>
  <c r="B1330" i="31"/>
  <c r="B1331" i="31"/>
  <c r="B1332" i="31"/>
  <c r="B1333" i="31"/>
  <c r="B1334" i="31"/>
  <c r="B1335" i="31"/>
  <c r="B1336" i="31"/>
  <c r="B1337" i="31"/>
  <c r="B1338" i="31"/>
  <c r="B1339" i="31"/>
  <c r="B1340" i="31"/>
  <c r="B1341" i="31"/>
  <c r="B1342" i="31"/>
  <c r="B1343" i="31"/>
  <c r="B1344" i="31"/>
  <c r="B1345" i="31"/>
  <c r="B1346" i="31"/>
  <c r="B1347" i="31"/>
  <c r="B1348" i="31"/>
  <c r="B1349" i="31"/>
  <c r="B1350" i="31"/>
  <c r="B1351" i="31"/>
  <c r="B1352" i="31"/>
  <c r="B1353" i="31"/>
  <c r="B1354" i="31"/>
  <c r="B1355" i="31"/>
  <c r="B1356" i="31"/>
  <c r="B1357" i="31"/>
  <c r="B1358" i="31"/>
  <c r="B1359" i="31"/>
  <c r="B1360" i="31"/>
  <c r="B1361" i="31"/>
  <c r="B1362" i="31"/>
  <c r="B1363" i="31"/>
  <c r="B1364" i="31"/>
  <c r="B1365" i="31"/>
  <c r="B1366" i="31"/>
  <c r="B1367" i="31"/>
  <c r="B1368" i="31"/>
  <c r="B1369" i="31"/>
  <c r="B1370" i="31"/>
  <c r="B1371" i="31"/>
  <c r="B1372" i="31"/>
  <c r="B1373" i="31"/>
  <c r="B1374" i="31"/>
  <c r="B1375" i="31"/>
  <c r="B1376" i="31"/>
  <c r="B1377" i="31"/>
  <c r="B1378" i="31"/>
  <c r="B1379" i="31"/>
  <c r="B1380" i="31"/>
  <c r="B1381" i="31"/>
  <c r="B1382" i="31"/>
  <c r="B1383" i="31"/>
  <c r="B1384" i="31"/>
  <c r="B1385" i="31"/>
  <c r="B1386" i="31"/>
  <c r="B1387" i="31"/>
  <c r="B1388" i="31"/>
  <c r="B1389" i="31"/>
  <c r="B1390" i="31"/>
  <c r="B1391" i="31"/>
  <c r="B1392" i="31"/>
  <c r="B1393" i="31"/>
  <c r="B1394" i="31"/>
  <c r="B1395" i="31"/>
  <c r="B1396" i="31"/>
  <c r="B1397" i="31"/>
  <c r="B1398" i="31"/>
  <c r="B1399" i="31"/>
  <c r="B1400" i="31"/>
  <c r="B1401" i="31"/>
  <c r="B1402" i="31"/>
  <c r="B1403" i="31"/>
  <c r="B1404" i="31"/>
  <c r="B1405" i="31"/>
  <c r="B1406" i="31"/>
  <c r="B1407" i="31"/>
  <c r="B1408" i="31"/>
  <c r="B1409" i="31"/>
  <c r="B1410" i="31"/>
  <c r="B1411" i="31"/>
  <c r="B1412" i="31"/>
  <c r="B1413" i="31"/>
  <c r="B1414" i="31"/>
  <c r="B1415" i="31"/>
  <c r="B1416" i="31"/>
  <c r="B1417" i="31"/>
  <c r="B1418" i="31"/>
  <c r="B1419" i="31"/>
  <c r="B1420" i="31"/>
  <c r="B1421" i="31"/>
  <c r="B1422" i="31"/>
  <c r="B1423" i="31"/>
  <c r="B1424" i="31"/>
  <c r="B1425" i="31"/>
  <c r="B1426" i="31"/>
  <c r="B1427" i="31"/>
  <c r="B1428" i="31"/>
  <c r="B1429" i="31"/>
  <c r="B1430" i="31"/>
  <c r="B1431" i="31"/>
  <c r="B1432" i="31"/>
  <c r="B1433" i="31"/>
  <c r="B1434" i="31"/>
  <c r="B1435" i="31"/>
  <c r="B1436" i="31"/>
  <c r="B1437" i="31"/>
  <c r="B1438" i="31"/>
  <c r="B1439" i="31"/>
  <c r="B1440" i="31"/>
  <c r="B1441" i="31"/>
  <c r="B1442" i="31"/>
  <c r="B1443" i="31"/>
  <c r="B1444" i="31"/>
  <c r="B1445" i="31"/>
  <c r="B1446" i="31"/>
  <c r="B1447" i="31"/>
  <c r="B1448" i="31"/>
  <c r="B1449" i="31"/>
  <c r="B1450" i="31"/>
  <c r="B1451" i="31"/>
  <c r="B1452" i="31"/>
  <c r="B1453" i="31"/>
  <c r="B1454" i="31"/>
  <c r="B1455" i="31"/>
  <c r="B1456" i="31"/>
  <c r="B1457" i="31"/>
  <c r="B1458" i="31"/>
  <c r="B1459" i="31"/>
  <c r="B1460" i="31"/>
  <c r="B1461" i="31"/>
  <c r="B1462" i="31"/>
  <c r="B1463" i="31"/>
  <c r="B1464" i="31"/>
  <c r="B1465" i="31"/>
  <c r="B1466" i="31"/>
  <c r="B1467" i="31"/>
  <c r="B1468" i="31"/>
  <c r="B1469" i="31"/>
  <c r="B1470" i="31"/>
  <c r="B1471" i="31"/>
  <c r="B1472" i="31"/>
  <c r="B1473" i="31"/>
  <c r="B1474" i="31"/>
  <c r="B1475" i="31"/>
  <c r="B1476" i="31"/>
  <c r="B1477" i="31"/>
  <c r="B1478" i="31"/>
  <c r="B1479" i="31"/>
  <c r="B1480" i="31"/>
  <c r="B1481" i="31"/>
  <c r="B1482" i="31"/>
  <c r="B1483" i="31"/>
  <c r="B1484" i="31"/>
  <c r="B1485" i="31"/>
  <c r="B1486" i="31"/>
  <c r="B1487" i="31"/>
  <c r="B1488" i="31"/>
  <c r="B1489" i="31"/>
  <c r="B1490" i="31"/>
  <c r="B1491" i="31"/>
  <c r="B1492" i="31"/>
  <c r="B1493" i="31"/>
  <c r="B1494" i="31"/>
  <c r="B1495" i="31"/>
  <c r="B1496" i="31"/>
  <c r="B1497" i="31"/>
  <c r="B1498" i="31"/>
  <c r="B1499" i="31"/>
  <c r="B1500" i="31"/>
  <c r="B1501" i="31"/>
  <c r="B1502" i="31"/>
  <c r="B1503" i="31"/>
  <c r="B1504" i="31"/>
  <c r="B1505" i="31"/>
  <c r="B1506" i="31"/>
  <c r="B1507" i="31"/>
  <c r="B1508" i="31"/>
  <c r="B1509" i="31"/>
  <c r="B1510" i="31"/>
  <c r="B1511" i="31"/>
  <c r="B1512" i="31"/>
  <c r="B1513" i="31"/>
  <c r="B1514" i="31"/>
  <c r="B1515" i="31"/>
  <c r="B1516" i="31"/>
  <c r="B1517" i="31"/>
  <c r="B1518" i="31"/>
  <c r="B1519" i="31"/>
  <c r="B1520" i="31"/>
  <c r="B1521" i="31"/>
  <c r="B1522" i="31"/>
  <c r="B1523" i="31"/>
  <c r="B1524" i="31"/>
  <c r="B1525" i="31"/>
  <c r="B1526" i="31"/>
  <c r="B1527" i="31"/>
  <c r="B1528" i="31"/>
  <c r="B1529" i="31"/>
  <c r="B1530" i="31"/>
  <c r="B1531" i="31"/>
  <c r="B1532" i="31"/>
  <c r="B1533" i="31"/>
  <c r="B1534" i="31"/>
  <c r="B1535" i="31"/>
  <c r="B1536" i="31"/>
  <c r="B1537" i="31"/>
  <c r="B1538" i="31"/>
  <c r="B1539" i="31"/>
  <c r="B1540" i="31"/>
  <c r="B1541" i="31"/>
  <c r="B1542" i="31"/>
  <c r="B1543" i="31"/>
  <c r="B1544" i="31"/>
  <c r="B1545" i="31"/>
  <c r="B1546" i="31"/>
  <c r="B1547" i="31"/>
  <c r="B1548" i="31"/>
  <c r="B1549" i="31"/>
  <c r="B1550" i="31"/>
  <c r="B1551" i="31"/>
  <c r="B1552" i="31"/>
  <c r="B1553" i="31"/>
  <c r="B1554" i="31"/>
  <c r="B1555" i="31"/>
  <c r="B1556" i="31"/>
  <c r="B1557" i="31"/>
  <c r="B1558" i="31"/>
  <c r="B1559" i="31"/>
  <c r="B1560" i="31"/>
  <c r="B1561" i="31"/>
  <c r="B1562" i="31"/>
  <c r="B1563" i="31"/>
  <c r="B1564" i="31"/>
  <c r="B1565" i="31"/>
  <c r="B1566" i="31"/>
  <c r="B1567" i="31"/>
  <c r="B1568" i="31"/>
  <c r="B1569" i="31"/>
  <c r="B1570" i="31"/>
  <c r="B1571" i="31"/>
  <c r="B1572" i="31"/>
  <c r="B1573" i="31"/>
  <c r="B1574" i="31"/>
  <c r="B1575" i="31"/>
  <c r="B1576" i="31"/>
  <c r="B1577" i="31"/>
  <c r="B1578" i="31"/>
  <c r="B1579" i="31"/>
  <c r="B1580" i="31"/>
  <c r="B1581" i="31"/>
  <c r="B1582" i="31"/>
  <c r="B1583" i="31"/>
  <c r="B1584" i="31"/>
  <c r="B1585" i="31"/>
  <c r="B1586" i="31"/>
  <c r="B1587" i="31"/>
  <c r="B1588" i="31"/>
  <c r="B1589" i="31"/>
  <c r="B1590" i="31"/>
  <c r="B1591" i="31"/>
  <c r="B1592" i="31"/>
  <c r="B1593" i="31"/>
  <c r="B1594" i="31"/>
  <c r="B1595" i="31"/>
  <c r="B1596" i="31"/>
  <c r="B1597" i="31"/>
  <c r="B1598" i="31"/>
  <c r="B1599" i="31"/>
  <c r="B1600" i="31"/>
  <c r="B1601" i="31"/>
  <c r="B1602" i="31"/>
  <c r="B1603" i="31"/>
  <c r="B1604" i="31"/>
  <c r="B1605" i="31"/>
  <c r="B1606" i="31"/>
  <c r="B1607" i="31"/>
  <c r="B1608" i="31"/>
  <c r="B1609" i="31"/>
  <c r="B1610" i="31"/>
  <c r="B1611" i="31"/>
  <c r="B1612" i="31"/>
  <c r="B1613" i="31"/>
  <c r="B1614" i="31"/>
  <c r="B1615" i="31"/>
  <c r="B1616" i="31"/>
  <c r="B1617" i="31"/>
  <c r="B1618" i="31"/>
  <c r="B1619" i="31"/>
  <c r="B1620" i="31"/>
  <c r="B1621" i="31"/>
  <c r="B1622" i="31"/>
  <c r="B1623" i="31"/>
  <c r="B1624" i="31"/>
  <c r="B1625" i="31"/>
  <c r="B1626" i="31"/>
  <c r="B1627" i="31"/>
  <c r="B1628" i="31"/>
  <c r="B1629" i="31"/>
  <c r="B1630" i="31"/>
  <c r="B1631" i="31"/>
  <c r="B1632" i="31"/>
  <c r="B1633" i="31"/>
  <c r="B1634" i="31"/>
  <c r="B1635" i="31"/>
  <c r="B1636" i="31"/>
  <c r="B1637" i="31"/>
  <c r="B1638" i="31"/>
  <c r="B1639" i="31"/>
  <c r="B1640" i="31"/>
  <c r="B1641" i="31"/>
  <c r="B1642" i="31"/>
  <c r="B1643" i="31"/>
  <c r="B1644" i="31"/>
  <c r="B1645" i="31"/>
  <c r="B1646" i="31"/>
  <c r="B1647" i="31"/>
  <c r="B1648" i="31"/>
  <c r="B1649" i="31"/>
  <c r="B1650" i="31"/>
  <c r="B1651" i="31"/>
  <c r="B1652" i="31"/>
  <c r="B1653" i="31"/>
  <c r="B1654" i="31"/>
  <c r="B1655" i="31"/>
  <c r="B1656" i="31"/>
  <c r="B1657" i="31"/>
  <c r="B1658" i="31"/>
  <c r="B1659" i="31"/>
  <c r="B1660" i="31"/>
  <c r="B1661" i="31"/>
  <c r="B1662" i="31"/>
  <c r="B1663" i="31"/>
  <c r="B1664" i="31"/>
  <c r="B1665" i="31"/>
  <c r="B1666" i="31"/>
  <c r="B1667" i="31"/>
  <c r="B1668" i="31"/>
  <c r="B1669" i="31"/>
  <c r="B1670" i="31"/>
  <c r="B1671" i="31"/>
  <c r="B1672" i="31"/>
  <c r="B1673" i="31"/>
  <c r="B1674" i="31"/>
  <c r="B1675" i="31"/>
  <c r="B1676" i="31"/>
  <c r="B1677" i="31"/>
  <c r="B1678" i="31"/>
  <c r="B1679" i="31"/>
  <c r="B1680" i="31"/>
  <c r="B1681" i="31"/>
  <c r="B1682" i="31"/>
  <c r="B1683" i="31"/>
  <c r="B1684" i="31"/>
  <c r="B1685" i="31"/>
  <c r="B1686" i="31"/>
  <c r="B1687" i="31"/>
  <c r="B1688" i="31"/>
  <c r="B1689" i="31"/>
  <c r="B1690" i="31"/>
  <c r="B1691" i="31"/>
  <c r="B1692" i="31"/>
  <c r="B1693" i="31"/>
  <c r="B1694" i="31"/>
  <c r="B1695" i="31"/>
  <c r="B1696" i="31"/>
  <c r="B1697" i="31"/>
  <c r="B1698" i="31"/>
  <c r="B1699" i="31"/>
  <c r="B1700" i="31"/>
  <c r="B1701" i="31"/>
  <c r="B1702" i="31"/>
  <c r="B1703" i="31"/>
  <c r="B1704" i="31"/>
  <c r="B1705" i="31"/>
  <c r="B1706" i="31"/>
  <c r="B1707" i="31"/>
  <c r="B1708" i="31"/>
  <c r="B1709" i="31"/>
  <c r="B1710" i="31"/>
  <c r="B1711" i="31"/>
  <c r="B1712" i="31"/>
  <c r="B1713" i="31"/>
  <c r="B1714" i="31"/>
  <c r="B1715" i="31"/>
  <c r="B1716" i="31"/>
  <c r="B1717" i="31"/>
  <c r="B1718" i="31"/>
  <c r="B1719" i="31"/>
  <c r="B1720" i="31"/>
  <c r="B1721" i="31"/>
  <c r="B1722" i="31"/>
  <c r="B1723" i="31"/>
  <c r="B1724" i="31"/>
  <c r="B1725" i="31"/>
  <c r="B1726" i="31"/>
  <c r="B1727" i="31"/>
  <c r="B1728" i="31"/>
  <c r="B1729" i="31"/>
  <c r="B1730" i="31"/>
  <c r="B1731" i="31"/>
  <c r="B1732" i="31"/>
  <c r="B1733" i="31"/>
  <c r="B1734" i="31"/>
  <c r="B1735" i="31"/>
  <c r="B1736" i="31"/>
  <c r="B1737" i="31"/>
  <c r="B1738" i="31"/>
  <c r="B1739" i="31"/>
  <c r="B1740" i="31"/>
  <c r="B1741" i="31"/>
  <c r="B1742" i="31"/>
  <c r="B1743" i="31"/>
  <c r="B1744" i="31"/>
  <c r="B1745" i="31"/>
  <c r="B1746" i="31"/>
  <c r="B1747" i="31"/>
  <c r="B1748" i="31"/>
  <c r="B1749" i="31"/>
  <c r="B1750" i="31"/>
  <c r="B1751" i="31"/>
  <c r="B1752" i="31"/>
  <c r="B1753" i="31"/>
  <c r="B1754" i="31"/>
  <c r="B1755" i="31"/>
  <c r="B1756" i="31"/>
  <c r="B1757" i="31"/>
  <c r="B1758" i="31"/>
  <c r="B1759" i="31"/>
  <c r="B1760" i="31"/>
  <c r="B1761" i="31"/>
  <c r="B1762" i="31"/>
  <c r="B1763" i="31"/>
  <c r="B1764" i="31"/>
  <c r="B1765" i="31"/>
  <c r="B1766" i="31"/>
  <c r="B1767" i="31"/>
  <c r="B1768" i="31"/>
  <c r="B1769" i="31"/>
  <c r="B1770" i="31"/>
  <c r="B1771" i="31"/>
  <c r="B1772" i="31"/>
  <c r="B1773" i="31"/>
  <c r="B1774" i="31"/>
  <c r="B1775" i="31"/>
  <c r="B1776" i="31"/>
  <c r="B1777" i="31"/>
  <c r="B1778" i="31"/>
  <c r="B1779" i="31"/>
  <c r="B1780" i="31"/>
  <c r="B1781" i="31"/>
  <c r="B1782" i="31"/>
  <c r="B1783" i="31"/>
  <c r="B1784" i="31"/>
  <c r="B1785" i="31"/>
  <c r="B1786" i="31"/>
  <c r="B1787" i="31"/>
  <c r="B1788" i="31"/>
  <c r="B1789" i="31"/>
  <c r="B1790" i="31"/>
  <c r="B1791" i="31"/>
  <c r="B1792" i="31"/>
  <c r="B1793" i="31"/>
  <c r="B1794" i="31"/>
  <c r="B1795" i="31"/>
  <c r="B1796" i="31"/>
  <c r="B1797" i="31"/>
  <c r="B1798" i="31"/>
  <c r="B1799" i="31"/>
  <c r="B1800" i="31"/>
  <c r="B1801" i="31"/>
  <c r="B1802" i="31"/>
  <c r="B1803" i="31"/>
  <c r="B1804" i="31"/>
  <c r="B1805" i="31"/>
  <c r="B1806" i="31"/>
  <c r="B1807" i="31"/>
  <c r="B1808" i="31"/>
  <c r="B1809" i="31"/>
  <c r="B1810" i="31"/>
  <c r="B1811" i="31"/>
  <c r="B1812" i="31"/>
  <c r="B1813" i="31"/>
  <c r="B1814" i="31"/>
  <c r="B1815" i="31"/>
  <c r="B1816" i="31"/>
  <c r="B1817" i="31"/>
  <c r="B1818" i="31"/>
  <c r="B1819" i="31"/>
  <c r="B1820" i="31"/>
  <c r="B1821" i="31"/>
  <c r="B1822" i="31"/>
  <c r="B1823" i="31"/>
  <c r="B1824" i="31"/>
  <c r="B1825" i="31"/>
  <c r="B1826" i="31"/>
  <c r="B1827" i="31"/>
  <c r="B1828" i="31"/>
  <c r="B1829" i="31"/>
  <c r="B1830" i="31"/>
  <c r="B1831" i="31"/>
  <c r="B1832" i="31"/>
  <c r="B1833" i="31"/>
  <c r="B1834" i="31"/>
  <c r="B1835" i="31"/>
  <c r="B1836" i="31"/>
  <c r="B1837" i="31"/>
  <c r="B1838" i="31"/>
  <c r="B1839" i="31"/>
  <c r="B1840" i="31"/>
  <c r="B1841" i="31"/>
  <c r="B1842" i="31"/>
  <c r="B1843" i="31"/>
  <c r="B1844" i="31"/>
  <c r="B1845" i="31"/>
  <c r="B1846" i="31"/>
  <c r="B1847" i="31"/>
  <c r="B1848" i="31"/>
  <c r="B1849" i="31"/>
  <c r="B1850" i="31"/>
  <c r="B1851" i="31"/>
  <c r="B1852" i="31"/>
  <c r="B1853" i="31"/>
  <c r="B1854" i="31"/>
  <c r="B1855" i="31"/>
  <c r="B1856" i="31"/>
  <c r="B1857" i="31"/>
  <c r="B1858" i="31"/>
  <c r="B1859" i="31"/>
  <c r="B1860" i="31"/>
  <c r="B1861" i="31"/>
  <c r="B1862" i="31"/>
  <c r="B1863" i="31"/>
  <c r="B1864" i="31"/>
  <c r="B1865" i="31"/>
  <c r="B1866" i="31"/>
  <c r="B1867" i="31"/>
  <c r="B1868" i="31"/>
  <c r="B1869" i="31"/>
  <c r="B1870" i="31"/>
  <c r="B1871" i="31"/>
  <c r="B1872" i="31"/>
  <c r="B1873" i="31"/>
  <c r="B1874" i="31"/>
  <c r="B1875" i="31"/>
  <c r="B1876" i="31"/>
  <c r="B1877" i="31"/>
  <c r="B1878" i="31"/>
  <c r="B1879" i="31"/>
  <c r="B1880" i="31"/>
  <c r="B1881" i="31"/>
  <c r="B1882" i="31"/>
  <c r="B1883" i="31"/>
  <c r="B1884" i="31"/>
  <c r="B1885" i="31"/>
  <c r="B1886" i="31"/>
  <c r="B1887" i="31"/>
  <c r="B1888" i="31"/>
  <c r="B1889" i="31"/>
  <c r="B1890" i="31"/>
  <c r="B1891" i="31"/>
  <c r="B1892" i="31"/>
  <c r="B1893" i="31"/>
  <c r="B1894" i="31"/>
  <c r="B1895" i="31"/>
  <c r="B1896" i="31"/>
  <c r="B1897" i="31"/>
  <c r="B1898" i="31"/>
  <c r="B1899" i="31"/>
  <c r="B1900" i="31"/>
  <c r="B1901" i="31"/>
  <c r="B1902" i="31"/>
  <c r="B1903" i="31"/>
  <c r="B1904" i="31"/>
  <c r="B1905" i="31"/>
  <c r="B1906" i="31"/>
  <c r="B1907" i="31"/>
  <c r="B1908" i="31"/>
  <c r="B1909" i="31"/>
  <c r="B1910" i="31"/>
  <c r="B1911" i="31"/>
  <c r="B1912" i="31"/>
  <c r="B1913" i="31"/>
  <c r="B1914" i="31"/>
  <c r="B1915" i="31"/>
  <c r="B1916" i="31"/>
  <c r="B1917" i="31"/>
  <c r="B1918" i="31"/>
  <c r="B1919" i="31"/>
  <c r="B1920" i="31"/>
  <c r="B1921" i="31"/>
  <c r="B1922" i="31"/>
  <c r="B1923" i="31"/>
  <c r="B1924" i="31"/>
  <c r="B1925" i="31"/>
  <c r="B1926" i="31"/>
  <c r="B1927" i="31"/>
  <c r="B1928" i="31"/>
  <c r="B1929" i="31"/>
  <c r="B1930" i="31"/>
  <c r="B1931" i="31"/>
  <c r="B1932" i="31"/>
  <c r="B1933" i="31"/>
  <c r="B1934" i="31"/>
  <c r="B1935" i="31"/>
  <c r="B1936" i="31"/>
  <c r="B1937" i="31"/>
  <c r="B1938" i="31"/>
  <c r="B1939" i="31"/>
  <c r="B1940" i="31"/>
  <c r="B1941" i="31"/>
  <c r="B1942" i="31"/>
  <c r="B1943" i="31"/>
  <c r="B1944" i="31"/>
  <c r="B1945" i="31"/>
  <c r="B1946" i="31"/>
  <c r="B1947" i="31"/>
  <c r="B1948" i="31"/>
  <c r="B1949" i="31"/>
  <c r="B1950" i="31"/>
  <c r="B1951" i="31"/>
  <c r="B1952" i="31"/>
  <c r="B1953" i="31"/>
  <c r="B1954" i="31"/>
  <c r="B1955" i="31"/>
  <c r="B1956" i="31"/>
  <c r="B1957" i="31"/>
  <c r="B1958" i="31"/>
  <c r="B1959" i="31"/>
  <c r="B1960" i="31"/>
  <c r="B1961" i="31"/>
  <c r="B1962" i="31"/>
  <c r="B1963" i="31"/>
  <c r="B1964" i="31"/>
  <c r="B1965" i="31"/>
  <c r="B1966" i="31"/>
  <c r="B1967" i="31"/>
  <c r="B1968" i="31"/>
  <c r="B1969" i="31"/>
  <c r="B1970" i="31"/>
  <c r="B1971" i="31"/>
  <c r="B1972" i="31"/>
  <c r="B1973" i="31"/>
  <c r="B1974" i="31"/>
  <c r="B1975" i="31"/>
  <c r="B1976" i="31"/>
  <c r="B1977" i="31"/>
  <c r="B1978" i="31"/>
  <c r="B1979" i="31"/>
  <c r="B1980" i="31"/>
  <c r="B1981" i="31"/>
  <c r="B1982" i="31"/>
  <c r="B1983" i="31"/>
  <c r="B1984" i="31"/>
  <c r="B1985" i="31"/>
  <c r="B1986" i="31"/>
  <c r="B1987" i="31"/>
  <c r="B1988" i="31"/>
  <c r="B1989" i="31"/>
  <c r="B1990" i="31"/>
  <c r="B1991" i="31"/>
  <c r="B1992" i="31"/>
  <c r="B1993" i="31"/>
  <c r="B1994" i="31"/>
  <c r="B1995" i="31"/>
  <c r="B1996" i="31"/>
  <c r="B1997" i="31"/>
  <c r="B1998" i="31"/>
  <c r="B1999" i="31"/>
  <c r="B2000" i="31"/>
  <c r="B2001" i="31"/>
  <c r="B2" i="31"/>
  <c r="B3" i="31"/>
  <c r="B4" i="31"/>
  <c r="B5" i="31"/>
  <c r="B6" i="31"/>
  <c r="B7" i="31"/>
  <c r="B8" i="31"/>
  <c r="B9" i="31"/>
  <c r="B10" i="31"/>
  <c r="V6" i="26" a="1"/>
  <c r="V6" i="26"/>
  <c r="V7" i="26" a="1"/>
  <c r="V7" i="26"/>
  <c r="V8" i="26" a="1"/>
  <c r="V8" i="26"/>
  <c r="V9" i="26" a="1"/>
  <c r="V9" i="26"/>
  <c r="V10" i="26" a="1"/>
  <c r="V10" i="26"/>
  <c r="V11" i="26" a="1"/>
  <c r="V11" i="26"/>
  <c r="V12" i="26" a="1"/>
  <c r="V12" i="26"/>
  <c r="V13" i="26" a="1"/>
  <c r="V13" i="26"/>
  <c r="V14" i="26" a="1"/>
  <c r="V14" i="26"/>
  <c r="V15" i="26" a="1"/>
  <c r="V15" i="26"/>
  <c r="V16" i="26" a="1"/>
  <c r="V16" i="26"/>
  <c r="V17" i="26" a="1"/>
  <c r="V17" i="26"/>
  <c r="T2" i="26" a="1"/>
  <c r="T2" i="26"/>
  <c r="B28" i="30" a="1"/>
  <c r="B28" i="30"/>
  <c r="C6" i="30"/>
  <c r="C5" i="30"/>
  <c r="C4" i="30"/>
  <c r="C3" i="30"/>
  <c r="C2" i="30"/>
  <c r="C1" i="25"/>
  <c r="A2" i="26" a="1"/>
  <c r="A2" i="26"/>
  <c r="C2" i="26" a="1"/>
  <c r="C2" i="26"/>
  <c r="C3" i="26" a="1"/>
  <c r="C3" i="26"/>
  <c r="C4" i="26" a="1"/>
  <c r="C4" i="26"/>
  <c r="C7" i="13"/>
  <c r="C1" i="13"/>
  <c r="R5" i="16"/>
  <c r="W5" i="16"/>
  <c r="B23" i="25" a="1"/>
  <c r="B23" i="25"/>
  <c r="H2" i="16"/>
  <c r="C5" i="26" a="1"/>
  <c r="C5" i="26"/>
  <c r="C6" i="26" a="1"/>
  <c r="C6" i="26"/>
  <c r="A3" i="26" a="1"/>
  <c r="A3" i="26"/>
  <c r="A4" i="26" a="1"/>
  <c r="A4" i="26"/>
  <c r="A5" i="26" a="1"/>
  <c r="A5" i="26"/>
  <c r="C7" i="26" a="1"/>
  <c r="C7" i="26"/>
  <c r="A6" i="26" a="1"/>
  <c r="A6" i="26"/>
  <c r="C8" i="26" a="1"/>
  <c r="C8" i="26"/>
  <c r="C9" i="26" a="1"/>
  <c r="C9" i="26"/>
  <c r="A7" i="26" a="1"/>
  <c r="A7" i="26"/>
  <c r="C10" i="26" a="1"/>
  <c r="C10" i="26"/>
  <c r="C11" i="26" a="1"/>
  <c r="C11" i="26"/>
  <c r="A8" i="26" a="1"/>
  <c r="A8" i="26"/>
  <c r="C12" i="26" a="1"/>
  <c r="C12" i="26"/>
  <c r="A9" i="26" a="1"/>
  <c r="A9" i="26"/>
  <c r="A10" i="26" a="1"/>
  <c r="A10" i="26"/>
  <c r="A11" i="26" a="1"/>
  <c r="A11" i="26"/>
  <c r="C13" i="26" a="1"/>
  <c r="C13" i="26"/>
  <c r="A12" i="26" a="1"/>
  <c r="A12" i="26"/>
  <c r="C14" i="26" a="1"/>
  <c r="C14" i="26"/>
  <c r="C15" i="26" a="1"/>
  <c r="C15" i="26"/>
  <c r="C16" i="26" a="1"/>
  <c r="C16" i="26"/>
  <c r="C17" i="26" a="1"/>
  <c r="C17" i="26"/>
  <c r="C18" i="26" a="1"/>
  <c r="C18" i="26"/>
  <c r="C19" i="26" a="1"/>
  <c r="C19" i="26"/>
  <c r="C20" i="26" a="1"/>
  <c r="C20" i="26"/>
  <c r="C21" i="26" a="1"/>
  <c r="C21" i="26"/>
  <c r="C22" i="26" a="1"/>
  <c r="C22" i="26"/>
  <c r="C23" i="26" a="1"/>
  <c r="C23" i="26"/>
  <c r="C24" i="26" a="1"/>
  <c r="C24" i="26"/>
  <c r="C25" i="26" a="1"/>
  <c r="C25" i="26"/>
  <c r="C26" i="26" a="1"/>
  <c r="C26" i="26"/>
  <c r="C27" i="26" a="1"/>
  <c r="C27" i="26"/>
  <c r="C28" i="26" a="1"/>
  <c r="C28" i="26"/>
  <c r="C29" i="26" a="1"/>
  <c r="C29" i="26"/>
  <c r="C30" i="26" a="1"/>
  <c r="C30" i="26"/>
  <c r="C31" i="26" a="1"/>
  <c r="C31" i="26"/>
  <c r="C32" i="26" a="1"/>
  <c r="C32" i="26"/>
  <c r="C33" i="26" a="1"/>
  <c r="C33" i="26"/>
  <c r="C34" i="26" a="1"/>
  <c r="C34" i="26"/>
  <c r="C35" i="26" a="1"/>
  <c r="C35" i="26"/>
  <c r="C36" i="26" a="1"/>
  <c r="C36" i="26"/>
  <c r="C37" i="26" a="1"/>
  <c r="C37" i="26"/>
  <c r="C38" i="26" a="1"/>
  <c r="C38" i="26"/>
  <c r="C39" i="26" a="1"/>
  <c r="C39" i="26"/>
  <c r="C40" i="26" a="1"/>
  <c r="C40" i="26"/>
  <c r="C41" i="26" a="1"/>
  <c r="C41" i="26"/>
  <c r="C42" i="26" a="1"/>
  <c r="C42" i="26"/>
  <c r="C43" i="26" a="1"/>
  <c r="C43" i="26"/>
  <c r="C44" i="26" a="1"/>
  <c r="C44" i="26"/>
  <c r="C45" i="26" a="1"/>
  <c r="C45" i="26"/>
  <c r="C46" i="26" a="1"/>
  <c r="C46" i="26"/>
  <c r="C47" i="26" a="1"/>
  <c r="C47" i="26"/>
  <c r="C48" i="26" a="1"/>
  <c r="C48" i="26"/>
  <c r="C49" i="26" a="1"/>
  <c r="C49" i="26"/>
  <c r="C50" i="26" a="1"/>
  <c r="C50" i="26"/>
  <c r="C51" i="26" a="1"/>
  <c r="C51" i="26"/>
  <c r="C52" i="26" a="1"/>
  <c r="C52" i="26"/>
  <c r="C53" i="26" a="1"/>
  <c r="C53" i="26"/>
  <c r="C54" i="26" a="1"/>
  <c r="C54" i="26"/>
  <c r="C55" i="26" a="1"/>
  <c r="C55" i="26"/>
  <c r="C56" i="26" a="1"/>
  <c r="C56" i="26"/>
  <c r="C57" i="26" a="1"/>
  <c r="C57" i="26"/>
  <c r="C58" i="26" a="1"/>
  <c r="C58" i="26"/>
  <c r="C59" i="26" a="1"/>
  <c r="C59" i="26"/>
  <c r="C60" i="26" a="1"/>
  <c r="C60" i="26"/>
  <c r="C61" i="26" a="1"/>
  <c r="C61" i="26"/>
  <c r="C62" i="26" a="1"/>
  <c r="C62" i="26"/>
  <c r="C63" i="26" a="1"/>
  <c r="C63" i="26"/>
  <c r="C64" i="26" a="1"/>
  <c r="C64" i="26"/>
  <c r="C65" i="26" a="1"/>
  <c r="C65" i="26"/>
  <c r="C66" i="26" a="1"/>
  <c r="C66" i="26"/>
  <c r="C67" i="26" a="1"/>
  <c r="C67" i="26"/>
  <c r="C68" i="26" a="1"/>
  <c r="C68" i="26"/>
  <c r="C69" i="26" a="1"/>
  <c r="C69" i="26"/>
  <c r="C70" i="26" a="1"/>
  <c r="C70" i="26"/>
  <c r="C71" i="26" a="1"/>
  <c r="C71" i="26"/>
  <c r="C72" i="26" a="1"/>
  <c r="C72" i="26"/>
  <c r="C73" i="26" a="1"/>
  <c r="C73" i="26"/>
  <c r="C74" i="26" a="1"/>
  <c r="C74" i="26"/>
  <c r="C75" i="26" a="1"/>
  <c r="C75" i="26"/>
  <c r="C76" i="26" a="1"/>
  <c r="C76" i="26"/>
  <c r="C77" i="26" a="1"/>
  <c r="C77" i="26"/>
  <c r="C78" i="26" a="1"/>
  <c r="C78" i="26"/>
  <c r="C79" i="26" a="1"/>
  <c r="C79" i="26"/>
  <c r="C80" i="26" a="1"/>
  <c r="C80" i="26"/>
  <c r="C81" i="26" a="1"/>
  <c r="C81" i="26"/>
  <c r="C82" i="26" a="1"/>
  <c r="C82" i="26"/>
  <c r="C83" i="26" a="1"/>
  <c r="C83" i="26"/>
  <c r="C84" i="26" a="1"/>
  <c r="C84" i="26"/>
  <c r="C85" i="26" a="1"/>
  <c r="C85" i="26"/>
  <c r="C86" i="26" a="1"/>
  <c r="C86" i="26"/>
  <c r="C87" i="26" a="1"/>
  <c r="C87" i="26"/>
  <c r="C88" i="26" a="1"/>
  <c r="C88" i="26"/>
  <c r="C89" i="26" a="1"/>
  <c r="C89" i="26"/>
  <c r="C90" i="26" a="1"/>
  <c r="C90" i="26"/>
  <c r="C91" i="26" a="1"/>
  <c r="C91" i="26"/>
  <c r="C92" i="26" a="1"/>
  <c r="C92" i="26"/>
  <c r="C93" i="26" a="1"/>
  <c r="C93" i="26"/>
  <c r="C94" i="26" a="1"/>
  <c r="C94" i="26"/>
  <c r="C95" i="26" a="1"/>
  <c r="C95" i="26"/>
  <c r="C96" i="26" a="1"/>
  <c r="C96" i="26"/>
  <c r="C97" i="26" a="1"/>
  <c r="C97" i="26"/>
  <c r="C98" i="26" a="1"/>
  <c r="C98" i="26"/>
  <c r="C99" i="26" a="1"/>
  <c r="C99" i="26"/>
  <c r="C100" i="26" a="1"/>
  <c r="C100" i="26"/>
  <c r="A13" i="26" a="1"/>
  <c r="A13" i="26"/>
  <c r="A14" i="26" a="1"/>
  <c r="A14" i="26"/>
  <c r="A15" i="26" a="1"/>
  <c r="A15" i="26"/>
  <c r="A16" i="26" a="1"/>
  <c r="A16" i="26"/>
  <c r="A17" i="26" a="1"/>
  <c r="A17" i="26"/>
  <c r="A18" i="26" a="1"/>
  <c r="A18" i="26"/>
  <c r="A19" i="26" a="1"/>
  <c r="A19" i="26"/>
  <c r="A20" i="26" a="1"/>
  <c r="A20" i="26"/>
  <c r="A21" i="26" a="1"/>
  <c r="A21" i="26"/>
  <c r="A22" i="26" a="1"/>
  <c r="A22" i="26"/>
  <c r="A23" i="26" a="1"/>
  <c r="A23" i="26"/>
  <c r="A24" i="26" a="1"/>
  <c r="A24" i="26"/>
  <c r="A25" i="26" a="1"/>
  <c r="A25" i="26"/>
  <c r="A26" i="26" a="1"/>
  <c r="A26" i="26"/>
  <c r="A27" i="26" a="1"/>
  <c r="A27" i="26"/>
  <c r="A28" i="26" a="1"/>
  <c r="A28" i="26"/>
  <c r="A29" i="26" a="1"/>
  <c r="A29" i="26"/>
  <c r="A30" i="26" a="1"/>
  <c r="A30" i="26"/>
  <c r="A31" i="26" a="1"/>
  <c r="A31" i="26"/>
  <c r="A32" i="26" a="1"/>
  <c r="A32" i="26"/>
  <c r="A33" i="26" a="1"/>
  <c r="A33" i="26"/>
  <c r="A34" i="26" a="1"/>
  <c r="A34" i="26"/>
  <c r="A35" i="26" a="1"/>
  <c r="A35" i="26"/>
  <c r="A36" i="26" a="1"/>
  <c r="A36" i="26"/>
  <c r="A37" i="26" a="1"/>
  <c r="A37" i="26"/>
  <c r="A38" i="26" a="1"/>
  <c r="A38" i="26"/>
  <c r="A39" i="26" a="1"/>
  <c r="A39" i="26"/>
  <c r="A40" i="26" a="1"/>
  <c r="A40" i="26"/>
  <c r="A41" i="26" a="1"/>
  <c r="A41" i="26"/>
  <c r="A42" i="26" a="1"/>
  <c r="A42" i="26"/>
  <c r="A43" i="26" a="1"/>
  <c r="A43" i="26"/>
  <c r="A44" i="26" a="1"/>
  <c r="A44" i="26"/>
  <c r="A45" i="26" a="1"/>
  <c r="A45" i="26"/>
  <c r="A46" i="26" a="1"/>
  <c r="A46" i="26"/>
  <c r="A47" i="26" a="1"/>
  <c r="A47" i="26"/>
  <c r="A48" i="26" a="1"/>
  <c r="A48" i="26"/>
  <c r="A49" i="26" a="1"/>
  <c r="A49" i="26"/>
  <c r="A50" i="26" a="1"/>
  <c r="A50" i="26"/>
  <c r="A51" i="26" a="1"/>
  <c r="A51" i="26"/>
  <c r="A52" i="26" a="1"/>
  <c r="A52" i="26"/>
  <c r="A53" i="26" a="1"/>
  <c r="A53" i="26"/>
  <c r="A54" i="26" a="1"/>
  <c r="A54" i="26"/>
  <c r="A55" i="26" a="1"/>
  <c r="A55" i="26"/>
  <c r="A56" i="26" a="1"/>
  <c r="A56" i="26"/>
  <c r="A57" i="26" a="1"/>
  <c r="A57" i="26"/>
  <c r="A58" i="26" a="1"/>
  <c r="A58" i="26"/>
  <c r="A59" i="26" a="1"/>
  <c r="A59" i="26"/>
  <c r="A60" i="26" a="1"/>
  <c r="A60" i="26"/>
  <c r="A61" i="26" a="1"/>
  <c r="A61" i="26"/>
  <c r="A62" i="26" a="1"/>
  <c r="A62" i="26"/>
  <c r="A63" i="26" a="1"/>
  <c r="A63" i="26"/>
  <c r="A64" i="26" a="1"/>
  <c r="A64" i="26"/>
  <c r="A65" i="26" a="1"/>
  <c r="A65" i="26"/>
  <c r="A66" i="26" a="1"/>
  <c r="A66" i="26"/>
  <c r="A67" i="26" a="1"/>
  <c r="A67" i="26"/>
  <c r="A68" i="26" a="1"/>
  <c r="A68" i="26"/>
  <c r="A69" i="26" a="1"/>
  <c r="A69" i="26"/>
  <c r="A70" i="26" a="1"/>
  <c r="A70" i="26"/>
  <c r="A71" i="26" a="1"/>
  <c r="A71" i="26"/>
  <c r="A72" i="26" a="1"/>
  <c r="A72" i="26"/>
  <c r="A73" i="26" a="1"/>
  <c r="A73" i="26"/>
  <c r="A74" i="26" a="1"/>
  <c r="A74" i="26"/>
  <c r="A75" i="26" a="1"/>
  <c r="A75" i="26"/>
  <c r="A76" i="26" a="1"/>
  <c r="A76" i="26"/>
  <c r="A77" i="26" a="1"/>
  <c r="A77" i="26"/>
  <c r="A78" i="26" a="1"/>
  <c r="A78" i="26"/>
  <c r="A79" i="26" a="1"/>
  <c r="A79" i="26"/>
  <c r="A80" i="26" a="1"/>
  <c r="A80" i="26"/>
  <c r="A81" i="26" a="1"/>
  <c r="A81" i="26"/>
  <c r="A82" i="26" a="1"/>
  <c r="A82" i="26"/>
  <c r="A83" i="26" a="1"/>
  <c r="A83" i="26"/>
  <c r="A84" i="26" a="1"/>
  <c r="A84" i="26"/>
  <c r="A85" i="26" a="1"/>
  <c r="A85" i="26"/>
  <c r="A86" i="26" a="1"/>
  <c r="A86" i="26"/>
  <c r="A87" i="26" a="1"/>
  <c r="A87" i="26"/>
  <c r="A88" i="26" a="1"/>
  <c r="A88" i="26"/>
  <c r="A89" i="26" a="1"/>
  <c r="A89" i="26"/>
  <c r="A90" i="26" a="1"/>
  <c r="A90" i="26"/>
  <c r="A91" i="26" a="1"/>
  <c r="A91" i="26"/>
  <c r="A92" i="26" a="1"/>
  <c r="A92" i="26"/>
  <c r="A93" i="26" a="1"/>
  <c r="A93" i="26"/>
  <c r="A94" i="26" a="1"/>
  <c r="A94" i="26"/>
  <c r="A95" i="26" a="1"/>
  <c r="A95" i="26"/>
  <c r="A96" i="26" a="1"/>
  <c r="A96" i="26"/>
  <c r="A97" i="26" a="1"/>
  <c r="A97" i="26"/>
  <c r="A98" i="26" a="1"/>
  <c r="A98" i="26"/>
  <c r="A99" i="26" a="1"/>
  <c r="A99" i="26"/>
  <c r="A100" i="26" a="1"/>
  <c r="A100" i="26"/>
  <c r="Q5" i="37" a="1"/>
  <c r="Q5" i="37" s="1"/>
  <c r="Q4" i="37" a="1"/>
  <c r="Q4" i="37"/>
  <c r="P2" i="37"/>
  <c r="Q2" i="37" a="1"/>
  <c r="Q2" i="37"/>
  <c r="Q3" i="37" a="1"/>
  <c r="Q3" i="37" s="1"/>
  <c r="L34" i="21" a="1"/>
  <c r="L34" i="21"/>
  <c r="L33" i="21" a="1"/>
  <c r="L33" i="21"/>
  <c r="L32" i="21" a="1"/>
  <c r="L32" i="21"/>
  <c r="L31" i="21" a="1"/>
  <c r="L31" i="21"/>
  <c r="L30" i="21" a="1"/>
  <c r="L30" i="21"/>
  <c r="L29" i="21" a="1"/>
  <c r="L29" i="21"/>
  <c r="L28" i="21" a="1"/>
  <c r="L28" i="21"/>
  <c r="L27" i="21" a="1"/>
  <c r="L27" i="21"/>
  <c r="L26" i="21" a="1"/>
  <c r="L26" i="21"/>
  <c r="L25" i="21" a="1"/>
  <c r="L25" i="21"/>
  <c r="L24" i="21" a="1"/>
  <c r="L24" i="21"/>
  <c r="L23" i="21" a="1"/>
  <c r="L23" i="21"/>
  <c r="L22" i="21" a="1"/>
  <c r="L22" i="21"/>
  <c r="L21" i="21" a="1"/>
  <c r="L21" i="21"/>
  <c r="L20" i="21" a="1"/>
  <c r="L20" i="21"/>
  <c r="L19" i="21" a="1"/>
  <c r="L19" i="21"/>
  <c r="L18" i="21" a="1"/>
  <c r="L18" i="21"/>
  <c r="L17" i="21" a="1"/>
  <c r="L17" i="21"/>
  <c r="L16" i="21" a="1"/>
  <c r="L16" i="21"/>
  <c r="L15" i="21" a="1"/>
  <c r="L15" i="21"/>
  <c r="L14" i="21" a="1"/>
  <c r="L14" i="21"/>
  <c r="L13" i="21" a="1"/>
  <c r="L13" i="21"/>
  <c r="L12" i="21" a="1"/>
  <c r="L12" i="21"/>
  <c r="L11" i="21" a="1"/>
  <c r="L11" i="21"/>
  <c r="L10" i="21" a="1"/>
  <c r="L10" i="21"/>
  <c r="L9" i="21" a="1"/>
  <c r="L9" i="21"/>
  <c r="L8" i="21" a="1"/>
  <c r="L8" i="21"/>
  <c r="U100" i="38"/>
  <c r="T100" i="38"/>
  <c r="U99" i="38"/>
  <c r="T99" i="38"/>
  <c r="U98" i="38"/>
  <c r="T98" i="38"/>
  <c r="U97" i="38"/>
  <c r="T97" i="38"/>
  <c r="U96" i="38"/>
  <c r="T96" i="38"/>
  <c r="U95" i="38"/>
  <c r="T95" i="38"/>
  <c r="U94" i="38"/>
  <c r="T94" i="38"/>
  <c r="U93" i="38"/>
  <c r="T93" i="38"/>
  <c r="U92" i="38"/>
  <c r="T92" i="38"/>
  <c r="U91" i="38"/>
  <c r="T91" i="38"/>
  <c r="U90" i="38"/>
  <c r="T90" i="38"/>
  <c r="U89" i="38"/>
  <c r="T89" i="38"/>
  <c r="U88" i="38"/>
  <c r="T88" i="38"/>
  <c r="U87" i="38"/>
  <c r="T87" i="38"/>
  <c r="U86" i="38"/>
  <c r="T86" i="38"/>
  <c r="U85" i="38"/>
  <c r="T85" i="38"/>
  <c r="U84" i="38"/>
  <c r="T84" i="38"/>
  <c r="U83" i="38"/>
  <c r="T83" i="38"/>
  <c r="U82" i="38"/>
  <c r="T82" i="38"/>
  <c r="U81" i="38"/>
  <c r="T81" i="38"/>
  <c r="U80" i="38"/>
  <c r="T80" i="38"/>
  <c r="U79" i="38"/>
  <c r="T79" i="38"/>
  <c r="U78" i="38"/>
  <c r="T78" i="38"/>
  <c r="U77" i="38"/>
  <c r="T77" i="38"/>
  <c r="U76" i="38"/>
  <c r="T76" i="38"/>
  <c r="U75" i="38"/>
  <c r="T75" i="38"/>
  <c r="U74" i="38"/>
  <c r="T74" i="38"/>
  <c r="U73" i="38"/>
  <c r="T73" i="38"/>
  <c r="U72" i="38"/>
  <c r="T72" i="38"/>
  <c r="U71" i="38"/>
  <c r="T71" i="38"/>
  <c r="U70" i="38"/>
  <c r="T70" i="38"/>
  <c r="U69" i="38"/>
  <c r="T69" i="38"/>
  <c r="U68" i="38"/>
  <c r="T68" i="38"/>
  <c r="U67" i="38"/>
  <c r="T67" i="38"/>
  <c r="U66" i="38"/>
  <c r="T66" i="38"/>
  <c r="U65" i="38"/>
  <c r="T65" i="38"/>
  <c r="U64" i="38"/>
  <c r="T64" i="38"/>
  <c r="U63" i="38"/>
  <c r="T63" i="38"/>
  <c r="U62" i="38"/>
  <c r="T62" i="38"/>
  <c r="U61" i="38"/>
  <c r="T61" i="38"/>
  <c r="U60" i="38"/>
  <c r="T60" i="38"/>
  <c r="U59" i="38"/>
  <c r="T59" i="38"/>
  <c r="U58" i="38"/>
  <c r="T58" i="38"/>
  <c r="U57" i="38"/>
  <c r="T57" i="38"/>
  <c r="U56" i="38"/>
  <c r="T56" i="38"/>
  <c r="U55" i="38"/>
  <c r="T55" i="38"/>
  <c r="U54" i="38"/>
  <c r="T54" i="38"/>
  <c r="U53" i="38"/>
  <c r="T53" i="38"/>
  <c r="U52" i="38"/>
  <c r="T52" i="38"/>
  <c r="U51" i="38"/>
  <c r="T51" i="38"/>
  <c r="U50" i="38"/>
  <c r="T50" i="38"/>
  <c r="U49" i="38"/>
  <c r="T49" i="38"/>
  <c r="U48" i="38"/>
  <c r="T48" i="38"/>
  <c r="U47" i="38"/>
  <c r="T47" i="38"/>
  <c r="U46" i="38"/>
  <c r="T46" i="38"/>
  <c r="U45" i="38"/>
  <c r="T45" i="38"/>
  <c r="U44" i="38"/>
  <c r="T44" i="38"/>
  <c r="U43" i="38"/>
  <c r="T43" i="38"/>
  <c r="U42" i="38"/>
  <c r="T42" i="38"/>
  <c r="U41" i="38"/>
  <c r="T41" i="38"/>
  <c r="U40" i="38"/>
  <c r="T40" i="38"/>
  <c r="U39" i="38"/>
  <c r="T39" i="38"/>
  <c r="U38" i="38"/>
  <c r="T38" i="38"/>
  <c r="U37" i="38"/>
  <c r="T37" i="38"/>
  <c r="U36" i="38"/>
  <c r="T36" i="38"/>
  <c r="U35" i="38"/>
  <c r="T35" i="38"/>
  <c r="U34" i="38"/>
  <c r="T34" i="38"/>
  <c r="U33" i="38"/>
  <c r="T33" i="38"/>
  <c r="U32" i="38"/>
  <c r="T32" i="38"/>
  <c r="U31" i="38"/>
  <c r="T31" i="38"/>
  <c r="U30" i="38"/>
  <c r="T30" i="38"/>
  <c r="U29" i="38"/>
  <c r="T29" i="38"/>
  <c r="U28" i="38"/>
  <c r="T28" i="38"/>
  <c r="U27" i="38"/>
  <c r="T27" i="38"/>
  <c r="U26" i="38"/>
  <c r="T26" i="38"/>
  <c r="U25" i="38"/>
  <c r="T25" i="38"/>
  <c r="U24" i="38"/>
  <c r="T24" i="38"/>
  <c r="U23" i="38"/>
  <c r="T23" i="38"/>
  <c r="U22" i="38"/>
  <c r="T22" i="38"/>
  <c r="U21" i="38"/>
  <c r="T21" i="38"/>
  <c r="U20" i="38"/>
  <c r="T20" i="38"/>
  <c r="U19" i="38"/>
  <c r="T19" i="38"/>
  <c r="U18" i="38"/>
  <c r="T18" i="38"/>
  <c r="U17" i="38"/>
  <c r="T17" i="38"/>
  <c r="U16" i="38"/>
  <c r="T16" i="38"/>
  <c r="U15" i="38"/>
  <c r="T15" i="38"/>
  <c r="U14" i="38"/>
  <c r="T14" i="38"/>
  <c r="U13" i="38"/>
  <c r="T13" i="38"/>
  <c r="U12" i="38"/>
  <c r="T12" i="38"/>
  <c r="U11" i="38"/>
  <c r="T11" i="38"/>
  <c r="U10" i="38"/>
  <c r="T10" i="38"/>
  <c r="U9" i="38"/>
  <c r="T9" i="38"/>
  <c r="U8" i="38"/>
  <c r="T8" i="38"/>
  <c r="U7" i="38"/>
  <c r="T7" i="38"/>
  <c r="U6" i="38"/>
  <c r="T6" i="38"/>
  <c r="O100" i="38"/>
  <c r="N100" i="38"/>
  <c r="H100" i="38"/>
  <c r="G100" i="38"/>
  <c r="O99" i="38"/>
  <c r="N99" i="38"/>
  <c r="H99" i="38"/>
  <c r="G99" i="38"/>
  <c r="O98" i="38"/>
  <c r="N98" i="38"/>
  <c r="H98" i="38"/>
  <c r="G98" i="38"/>
  <c r="O97" i="38"/>
  <c r="N97" i="38"/>
  <c r="H97" i="38"/>
  <c r="G97" i="38"/>
  <c r="O96" i="38"/>
  <c r="N96" i="38"/>
  <c r="H96" i="38"/>
  <c r="G96" i="38"/>
  <c r="O95" i="38"/>
  <c r="N95" i="38"/>
  <c r="H95" i="38"/>
  <c r="G95" i="38"/>
  <c r="O94" i="38"/>
  <c r="N94" i="38"/>
  <c r="H94" i="38"/>
  <c r="G94" i="38"/>
  <c r="O93" i="38"/>
  <c r="N93" i="38"/>
  <c r="H93" i="38"/>
  <c r="G93" i="38"/>
  <c r="O92" i="38"/>
  <c r="N92" i="38"/>
  <c r="H92" i="38"/>
  <c r="G92" i="38"/>
  <c r="O91" i="38"/>
  <c r="N91" i="38"/>
  <c r="H91" i="38"/>
  <c r="G91" i="38"/>
  <c r="O90" i="38"/>
  <c r="N90" i="38"/>
  <c r="H90" i="38"/>
  <c r="G90" i="38"/>
  <c r="O89" i="38"/>
  <c r="N89" i="38"/>
  <c r="H89" i="38"/>
  <c r="G89" i="38"/>
  <c r="O88" i="38"/>
  <c r="N88" i="38"/>
  <c r="H88" i="38"/>
  <c r="G88" i="38"/>
  <c r="O87" i="38"/>
  <c r="N87" i="38"/>
  <c r="H87" i="38"/>
  <c r="G87" i="38"/>
  <c r="O86" i="38"/>
  <c r="N86" i="38"/>
  <c r="H86" i="38"/>
  <c r="G86" i="38"/>
  <c r="O85" i="38"/>
  <c r="N85" i="38"/>
  <c r="H85" i="38"/>
  <c r="G85" i="38"/>
  <c r="O84" i="38"/>
  <c r="N84" i="38"/>
  <c r="H84" i="38"/>
  <c r="G84" i="38"/>
  <c r="O83" i="38"/>
  <c r="N83" i="38"/>
  <c r="H83" i="38"/>
  <c r="G83" i="38"/>
  <c r="O82" i="38"/>
  <c r="N82" i="38"/>
  <c r="H82" i="38"/>
  <c r="G82" i="38"/>
  <c r="O81" i="38"/>
  <c r="N81" i="38"/>
  <c r="H81" i="38"/>
  <c r="G81" i="38"/>
  <c r="O80" i="38"/>
  <c r="N80" i="38"/>
  <c r="H80" i="38"/>
  <c r="G80" i="38"/>
  <c r="O79" i="38"/>
  <c r="N79" i="38"/>
  <c r="H79" i="38"/>
  <c r="G79" i="38"/>
  <c r="O78" i="38"/>
  <c r="N78" i="38"/>
  <c r="H78" i="38"/>
  <c r="G78" i="38"/>
  <c r="O77" i="38"/>
  <c r="N77" i="38"/>
  <c r="H77" i="38"/>
  <c r="G77" i="38"/>
  <c r="O76" i="38"/>
  <c r="N76" i="38"/>
  <c r="H76" i="38"/>
  <c r="G76" i="38"/>
  <c r="O75" i="38"/>
  <c r="N75" i="38"/>
  <c r="H75" i="38"/>
  <c r="G75" i="38"/>
  <c r="O74" i="38"/>
  <c r="N74" i="38"/>
  <c r="H74" i="38"/>
  <c r="G74" i="38"/>
  <c r="O73" i="38"/>
  <c r="N73" i="38"/>
  <c r="H73" i="38"/>
  <c r="G73" i="38"/>
  <c r="O72" i="38"/>
  <c r="N72" i="38"/>
  <c r="H72" i="38"/>
  <c r="G72" i="38"/>
  <c r="O71" i="38"/>
  <c r="N71" i="38"/>
  <c r="H71" i="38"/>
  <c r="G71" i="38"/>
  <c r="O70" i="38"/>
  <c r="N70" i="38"/>
  <c r="H70" i="38"/>
  <c r="G70" i="38"/>
  <c r="O69" i="38"/>
  <c r="N69" i="38"/>
  <c r="H69" i="38"/>
  <c r="G69" i="38"/>
  <c r="O68" i="38"/>
  <c r="N68" i="38"/>
  <c r="H68" i="38"/>
  <c r="G68" i="38"/>
  <c r="O67" i="38"/>
  <c r="N67" i="38"/>
  <c r="H67" i="38"/>
  <c r="G67" i="38"/>
  <c r="O66" i="38"/>
  <c r="N66" i="38"/>
  <c r="H66" i="38"/>
  <c r="G66" i="38"/>
  <c r="O65" i="38"/>
  <c r="N65" i="38"/>
  <c r="H65" i="38"/>
  <c r="G65" i="38"/>
  <c r="O64" i="38"/>
  <c r="N64" i="38"/>
  <c r="H64" i="38"/>
  <c r="G64" i="38"/>
  <c r="O63" i="38"/>
  <c r="N63" i="38"/>
  <c r="H63" i="38"/>
  <c r="G63" i="38"/>
  <c r="O62" i="38"/>
  <c r="N62" i="38"/>
  <c r="H62" i="38"/>
  <c r="G62" i="38"/>
  <c r="O61" i="38"/>
  <c r="N61" i="38"/>
  <c r="H61" i="38"/>
  <c r="G61" i="38"/>
  <c r="O60" i="38"/>
  <c r="N60" i="38"/>
  <c r="H60" i="38"/>
  <c r="G60" i="38"/>
  <c r="O59" i="38"/>
  <c r="N59" i="38"/>
  <c r="H59" i="38"/>
  <c r="G59" i="38"/>
  <c r="O58" i="38"/>
  <c r="N58" i="38"/>
  <c r="H58" i="38"/>
  <c r="G58" i="38"/>
  <c r="O57" i="38"/>
  <c r="N57" i="38"/>
  <c r="H57" i="38"/>
  <c r="G57" i="38"/>
  <c r="O56" i="38"/>
  <c r="N56" i="38"/>
  <c r="H56" i="38"/>
  <c r="G56" i="38"/>
  <c r="O55" i="38"/>
  <c r="N55" i="38"/>
  <c r="H55" i="38"/>
  <c r="G55" i="38"/>
  <c r="O54" i="38"/>
  <c r="N54" i="38"/>
  <c r="H54" i="38"/>
  <c r="G54" i="38"/>
  <c r="O53" i="38"/>
  <c r="N53" i="38"/>
  <c r="H53" i="38"/>
  <c r="G53" i="38"/>
  <c r="O52" i="38"/>
  <c r="N52" i="38"/>
  <c r="H52" i="38"/>
  <c r="G52" i="38"/>
  <c r="O51" i="38"/>
  <c r="N51" i="38"/>
  <c r="H51" i="38"/>
  <c r="G51" i="38"/>
  <c r="O50" i="38"/>
  <c r="N50" i="38"/>
  <c r="H50" i="38"/>
  <c r="G50" i="38"/>
  <c r="O49" i="38"/>
  <c r="N49" i="38"/>
  <c r="H49" i="38"/>
  <c r="G49" i="38"/>
  <c r="O48" i="38"/>
  <c r="N48" i="38"/>
  <c r="H48" i="38"/>
  <c r="G48" i="38"/>
  <c r="O47" i="38"/>
  <c r="N47" i="38"/>
  <c r="H47" i="38"/>
  <c r="G47" i="38"/>
  <c r="O46" i="38"/>
  <c r="N46" i="38"/>
  <c r="H46" i="38"/>
  <c r="G46" i="38"/>
  <c r="O45" i="38"/>
  <c r="N45" i="38"/>
  <c r="H45" i="38"/>
  <c r="G45" i="38"/>
  <c r="O44" i="38"/>
  <c r="N44" i="38"/>
  <c r="H44" i="38"/>
  <c r="G44" i="38"/>
  <c r="O43" i="38"/>
  <c r="N43" i="38"/>
  <c r="H43" i="38"/>
  <c r="G43" i="38"/>
  <c r="O42" i="38"/>
  <c r="N42" i="38"/>
  <c r="H42" i="38"/>
  <c r="G42" i="38"/>
  <c r="O41" i="38"/>
  <c r="N41" i="38"/>
  <c r="H41" i="38"/>
  <c r="G41" i="38"/>
  <c r="O40" i="38"/>
  <c r="N40" i="38"/>
  <c r="H40" i="38"/>
  <c r="G40" i="38"/>
  <c r="O39" i="38"/>
  <c r="N39" i="38"/>
  <c r="H39" i="38"/>
  <c r="G39" i="38"/>
  <c r="O38" i="38"/>
  <c r="N38" i="38"/>
  <c r="H38" i="38"/>
  <c r="G38" i="38"/>
  <c r="O37" i="38"/>
  <c r="N37" i="38"/>
  <c r="H37" i="38"/>
  <c r="G37" i="38"/>
  <c r="O36" i="38"/>
  <c r="N36" i="38"/>
  <c r="H36" i="38"/>
  <c r="G36" i="38"/>
  <c r="O35" i="38"/>
  <c r="N35" i="38"/>
  <c r="H35" i="38"/>
  <c r="G35" i="38"/>
  <c r="O34" i="38"/>
  <c r="N34" i="38"/>
  <c r="H34" i="38"/>
  <c r="G34" i="38"/>
  <c r="O33" i="38"/>
  <c r="N33" i="38"/>
  <c r="H33" i="38"/>
  <c r="G33" i="38"/>
  <c r="O32" i="38"/>
  <c r="N32" i="38"/>
  <c r="H32" i="38"/>
  <c r="G32" i="38"/>
  <c r="O31" i="38"/>
  <c r="N31" i="38"/>
  <c r="H31" i="38"/>
  <c r="G31" i="38"/>
  <c r="O30" i="38"/>
  <c r="N30" i="38"/>
  <c r="H30" i="38"/>
  <c r="G30" i="38"/>
  <c r="O29" i="38"/>
  <c r="N29" i="38"/>
  <c r="H29" i="38"/>
  <c r="G29" i="38"/>
  <c r="O28" i="38"/>
  <c r="N28" i="38"/>
  <c r="H28" i="38"/>
  <c r="G28" i="38"/>
  <c r="O27" i="38"/>
  <c r="N27" i="38"/>
  <c r="H27" i="38"/>
  <c r="G27" i="38"/>
  <c r="O26" i="38"/>
  <c r="N26" i="38"/>
  <c r="H26" i="38"/>
  <c r="G26" i="38"/>
  <c r="O25" i="38"/>
  <c r="N25" i="38"/>
  <c r="H25" i="38"/>
  <c r="G25" i="38"/>
  <c r="O24" i="38"/>
  <c r="N24" i="38"/>
  <c r="H24" i="38"/>
  <c r="G24" i="38"/>
  <c r="O23" i="38"/>
  <c r="N23" i="38"/>
  <c r="H23" i="38"/>
  <c r="G23" i="38"/>
  <c r="O22" i="38"/>
  <c r="N22" i="38"/>
  <c r="H22" i="38"/>
  <c r="G22" i="38"/>
  <c r="O21" i="38"/>
  <c r="N21" i="38"/>
  <c r="H21" i="38"/>
  <c r="G21" i="38"/>
  <c r="O20" i="38"/>
  <c r="N20" i="38"/>
  <c r="H20" i="38"/>
  <c r="G20" i="38"/>
  <c r="O19" i="38"/>
  <c r="N19" i="38"/>
  <c r="H19" i="38"/>
  <c r="G19" i="38"/>
  <c r="O18" i="38"/>
  <c r="N18" i="38"/>
  <c r="H18" i="38"/>
  <c r="G18" i="38"/>
  <c r="O17" i="38"/>
  <c r="N17" i="38"/>
  <c r="H17" i="38"/>
  <c r="G17" i="38"/>
  <c r="O16" i="38"/>
  <c r="N16" i="38"/>
  <c r="H16" i="38"/>
  <c r="G16" i="38"/>
  <c r="O15" i="38"/>
  <c r="N15" i="38"/>
  <c r="H15" i="38"/>
  <c r="G15" i="38"/>
  <c r="O14" i="38"/>
  <c r="N14" i="38"/>
  <c r="H14" i="38"/>
  <c r="G14" i="38"/>
  <c r="O13" i="38"/>
  <c r="N13" i="38"/>
  <c r="H13" i="38"/>
  <c r="G13" i="38"/>
  <c r="O12" i="38"/>
  <c r="N12" i="38"/>
  <c r="H12" i="38"/>
  <c r="G12" i="38"/>
  <c r="O11" i="38"/>
  <c r="N11" i="38"/>
  <c r="H11" i="38"/>
  <c r="G11" i="38"/>
  <c r="O10" i="38"/>
  <c r="N10" i="38"/>
  <c r="H10" i="38"/>
  <c r="G10" i="38"/>
  <c r="O9" i="38"/>
  <c r="N9" i="38"/>
  <c r="H9" i="38"/>
  <c r="G9" i="38"/>
  <c r="O8" i="38"/>
  <c r="N8" i="38"/>
  <c r="H8" i="38"/>
  <c r="G8" i="38"/>
  <c r="O7" i="38"/>
  <c r="N7" i="38"/>
  <c r="H7" i="38"/>
  <c r="G7" i="38"/>
  <c r="O6" i="38"/>
  <c r="N6" i="38"/>
  <c r="H6" i="38"/>
  <c r="G6" i="38"/>
  <c r="O3" i="38"/>
  <c r="N3" i="38"/>
  <c r="AK34" i="27"/>
  <c r="AJ34" i="27"/>
  <c r="J5" i="16"/>
  <c r="V5" i="16"/>
  <c r="C2" i="22" a="1"/>
  <c r="C2" i="22"/>
  <c r="J5" i="34"/>
  <c r="B110" i="11" a="1"/>
  <c r="B110" i="11" s="1"/>
  <c r="B138" i="11" s="1"/>
  <c r="B124" i="11" s="1" a="1"/>
  <c r="B124" i="11" s="1"/>
  <c r="B111" i="11" a="1"/>
  <c r="B111" i="11" s="1"/>
  <c r="B139" i="11" s="1"/>
  <c r="B125" i="11" s="1" a="1"/>
  <c r="B125" i="11" s="1"/>
  <c r="B112" i="11" a="1"/>
  <c r="B112" i="11" s="1"/>
  <c r="B140" i="11" s="1"/>
  <c r="B126" i="11" s="1" a="1"/>
  <c r="B126" i="11" s="1"/>
  <c r="B113" i="11" a="1"/>
  <c r="B113" i="11" s="1"/>
  <c r="B141" i="11" s="1"/>
  <c r="B127" i="11" s="1" a="1"/>
  <c r="B127" i="11" s="1"/>
  <c r="B114" i="11" a="1"/>
  <c r="B114" i="11" s="1"/>
  <c r="B142" i="11" s="1"/>
  <c r="B128" i="11" s="1" a="1"/>
  <c r="B128" i="11" s="1"/>
  <c r="B115" i="11" a="1"/>
  <c r="B115" i="11" s="1"/>
  <c r="B143" i="11" s="1"/>
  <c r="B129" i="11" s="1" a="1"/>
  <c r="B129" i="11" s="1"/>
  <c r="B116" i="11" a="1"/>
  <c r="B116" i="11" s="1"/>
  <c r="B144" i="11" s="1"/>
  <c r="B130" i="11" s="1" a="1"/>
  <c r="B130" i="11" s="1"/>
  <c r="B26" i="11" a="1"/>
  <c r="B26" i="11" s="1"/>
  <c r="B54" i="11" s="1"/>
  <c r="B27" i="11" a="1"/>
  <c r="B27" i="11" s="1"/>
  <c r="B55" i="11" s="1"/>
  <c r="B28" i="11" a="1"/>
  <c r="B28" i="11" s="1"/>
  <c r="B56" i="11" s="1"/>
  <c r="B29" i="11" a="1"/>
  <c r="B29" i="11" s="1"/>
  <c r="B57" i="11" s="1"/>
  <c r="B30" i="11" a="1"/>
  <c r="B30" i="11" s="1"/>
  <c r="B58" i="11" s="1"/>
  <c r="B31" i="11" a="1"/>
  <c r="B31" i="11" s="1"/>
  <c r="B59" i="11" s="1"/>
  <c r="B32" i="11" a="1"/>
  <c r="B32" i="11" s="1"/>
  <c r="B60" i="11" s="1"/>
  <c r="B68" i="11" a="1"/>
  <c r="B68" i="11" s="1"/>
  <c r="B96" i="11" s="1"/>
  <c r="B82" i="11" s="1" a="1"/>
  <c r="B82" i="11" s="1"/>
  <c r="B69" i="11" a="1"/>
  <c r="B69" i="11" s="1"/>
  <c r="B97" i="11" s="1"/>
  <c r="B83" i="11" s="1" a="1"/>
  <c r="B83" i="11" s="1"/>
  <c r="B70" i="11" a="1"/>
  <c r="B70" i="11" s="1"/>
  <c r="B98" i="11" s="1"/>
  <c r="B84" i="11" s="1" a="1"/>
  <c r="B84" i="11" s="1"/>
  <c r="B71" i="11" a="1"/>
  <c r="B71" i="11" s="1"/>
  <c r="B99" i="11" s="1"/>
  <c r="B85" i="11" s="1" a="1"/>
  <c r="B85" i="11" s="1"/>
  <c r="B72" i="11" a="1"/>
  <c r="B72" i="11" s="1"/>
  <c r="B100" i="11" s="1"/>
  <c r="B86" i="11" s="1" a="1"/>
  <c r="B86" i="11" s="1"/>
  <c r="B73" i="11" a="1"/>
  <c r="B73" i="11" s="1"/>
  <c r="B101" i="11" s="1"/>
  <c r="B87" i="11" s="1" a="1"/>
  <c r="B87" i="11" s="1"/>
  <c r="B74" i="11" a="1"/>
  <c r="B74" i="11" s="1"/>
  <c r="B102" i="11" s="1"/>
  <c r="B88" i="11" s="1" a="1"/>
  <c r="B88" i="11" s="1"/>
  <c r="D52" i="36"/>
  <c r="E52" i="36"/>
  <c r="D53" i="36"/>
  <c r="E53" i="36"/>
  <c r="D54" i="36"/>
  <c r="E54" i="36"/>
  <c r="D55" i="36"/>
  <c r="E55" i="36"/>
  <c r="D56" i="36"/>
  <c r="E56" i="36"/>
  <c r="D57" i="36"/>
  <c r="E57" i="36"/>
  <c r="D58" i="36"/>
  <c r="E58" i="36"/>
  <c r="D59" i="36"/>
  <c r="E59" i="36"/>
  <c r="D37" i="36"/>
  <c r="E37" i="36"/>
  <c r="D38" i="36"/>
  <c r="E38" i="36"/>
  <c r="D39" i="36"/>
  <c r="E39" i="36"/>
  <c r="D40" i="36"/>
  <c r="E40" i="36"/>
  <c r="D41" i="36"/>
  <c r="E41" i="36"/>
  <c r="D42" i="36"/>
  <c r="E42" i="36"/>
  <c r="D43" i="36"/>
  <c r="E43" i="36"/>
  <c r="D44" i="36"/>
  <c r="E44" i="36"/>
  <c r="D36" i="30"/>
  <c r="E36" i="30"/>
  <c r="D37" i="30"/>
  <c r="E37" i="30"/>
  <c r="D38" i="30"/>
  <c r="E38" i="30"/>
  <c r="D39" i="30"/>
  <c r="E39" i="30"/>
  <c r="D40" i="30"/>
  <c r="E40" i="30"/>
  <c r="D41" i="30"/>
  <c r="E41" i="30"/>
  <c r="D42" i="30"/>
  <c r="E42" i="30"/>
  <c r="D43" i="30"/>
  <c r="E43" i="30"/>
  <c r="X5" i="34"/>
  <c r="Y5" i="34"/>
  <c r="L5" i="27"/>
  <c r="L4" i="27"/>
  <c r="L2" i="27"/>
  <c r="I2" i="38"/>
  <c r="I3" i="38"/>
  <c r="I4" i="38"/>
  <c r="I5" i="38"/>
  <c r="I6" i="38"/>
  <c r="I7" i="38"/>
  <c r="I8" i="38"/>
  <c r="I9" i="38"/>
  <c r="I10" i="38"/>
  <c r="I11" i="38"/>
  <c r="I12" i="38"/>
  <c r="I13" i="38"/>
  <c r="I14" i="38"/>
  <c r="I15" i="38"/>
  <c r="I16" i="38"/>
  <c r="I17" i="38"/>
  <c r="I18" i="38"/>
  <c r="I19" i="38"/>
  <c r="I20" i="38"/>
  <c r="I21" i="38"/>
  <c r="I22" i="38"/>
  <c r="I23" i="38"/>
  <c r="I24" i="38"/>
  <c r="I25" i="38"/>
  <c r="I26" i="38"/>
  <c r="I27" i="38"/>
  <c r="I28" i="38"/>
  <c r="I29" i="38"/>
  <c r="I30" i="38"/>
  <c r="I31" i="38"/>
  <c r="I32" i="38"/>
  <c r="I33" i="38"/>
  <c r="I34" i="38"/>
  <c r="I35" i="38"/>
  <c r="I36" i="38"/>
  <c r="I37" i="38"/>
  <c r="I38" i="38"/>
  <c r="I39" i="38"/>
  <c r="I40" i="38"/>
  <c r="I41" i="38"/>
  <c r="I42" i="38"/>
  <c r="I43" i="38"/>
  <c r="I44" i="38"/>
  <c r="I45" i="38"/>
  <c r="I46" i="38"/>
  <c r="I47" i="38"/>
  <c r="I48" i="38"/>
  <c r="I49" i="38"/>
  <c r="I50" i="38"/>
  <c r="I51" i="38"/>
  <c r="I52" i="38"/>
  <c r="I53" i="38"/>
  <c r="I54" i="38"/>
  <c r="I55" i="38"/>
  <c r="I56" i="38"/>
  <c r="I57" i="38"/>
  <c r="I58" i="38"/>
  <c r="I59" i="38"/>
  <c r="I60" i="38"/>
  <c r="I61" i="38"/>
  <c r="I62" i="38"/>
  <c r="I63" i="38"/>
  <c r="I64" i="38"/>
  <c r="I65" i="38"/>
  <c r="I66" i="38"/>
  <c r="I67" i="38"/>
  <c r="I68" i="38"/>
  <c r="I69" i="38"/>
  <c r="I70" i="38"/>
  <c r="I71" i="38"/>
  <c r="I72" i="38"/>
  <c r="I73" i="38"/>
  <c r="I74" i="38"/>
  <c r="I75" i="38"/>
  <c r="I76" i="38"/>
  <c r="I77" i="38"/>
  <c r="I78" i="38"/>
  <c r="I79" i="38"/>
  <c r="I80" i="38"/>
  <c r="I81" i="38"/>
  <c r="I82" i="38"/>
  <c r="I83" i="38"/>
  <c r="I84" i="38"/>
  <c r="I85" i="38"/>
  <c r="I86" i="38"/>
  <c r="I87" i="38"/>
  <c r="I88" i="38"/>
  <c r="I89" i="38"/>
  <c r="I90" i="38"/>
  <c r="I91" i="38"/>
  <c r="I92" i="38"/>
  <c r="I93" i="38"/>
  <c r="I94" i="38"/>
  <c r="I95" i="38"/>
  <c r="I96" i="38"/>
  <c r="I97" i="38"/>
  <c r="I98" i="38"/>
  <c r="I99" i="38"/>
  <c r="I100" i="38"/>
  <c r="L3" i="27"/>
  <c r="L6" i="27"/>
  <c r="L7" i="27"/>
  <c r="L8" i="27"/>
  <c r="L9" i="27"/>
  <c r="L10" i="27"/>
  <c r="L11" i="27"/>
  <c r="L12" i="27"/>
  <c r="L13" i="27"/>
  <c r="L14" i="27"/>
  <c r="L15" i="27"/>
  <c r="L16" i="27"/>
  <c r="L17" i="27"/>
  <c r="L18" i="27"/>
  <c r="L19" i="27"/>
  <c r="L20" i="27"/>
  <c r="L21" i="27"/>
  <c r="L22" i="27"/>
  <c r="L23" i="27"/>
  <c r="L24" i="27"/>
  <c r="L25" i="27"/>
  <c r="L26" i="27"/>
  <c r="L27" i="27"/>
  <c r="L28" i="27"/>
  <c r="L29" i="27"/>
  <c r="L30" i="27"/>
  <c r="L31" i="27"/>
  <c r="L32" i="27"/>
  <c r="L33" i="27"/>
  <c r="L34" i="27"/>
  <c r="L35" i="27"/>
  <c r="L36" i="27"/>
  <c r="L37" i="27"/>
  <c r="L38" i="27"/>
  <c r="L39" i="27"/>
  <c r="L40" i="27"/>
  <c r="L41" i="27"/>
  <c r="L42" i="27"/>
  <c r="L43" i="27"/>
  <c r="L44" i="27"/>
  <c r="L45" i="27"/>
  <c r="L46" i="27"/>
  <c r="L47" i="27"/>
  <c r="L48" i="27"/>
  <c r="L49" i="27"/>
  <c r="L50" i="27"/>
  <c r="L51" i="27"/>
  <c r="L52" i="27"/>
  <c r="L53" i="27"/>
  <c r="L54" i="27"/>
  <c r="L55" i="27"/>
  <c r="L56" i="27"/>
  <c r="L57" i="27"/>
  <c r="L58" i="27"/>
  <c r="L59" i="27"/>
  <c r="L60" i="27"/>
  <c r="L61" i="27"/>
  <c r="L62" i="27"/>
  <c r="L63" i="27"/>
  <c r="L64" i="27"/>
  <c r="L65" i="27"/>
  <c r="L66" i="27"/>
  <c r="L67" i="27"/>
  <c r="L68" i="27"/>
  <c r="L69" i="27"/>
  <c r="L70" i="27"/>
  <c r="L71" i="27"/>
  <c r="L72" i="27"/>
  <c r="L73" i="27"/>
  <c r="L74" i="27"/>
  <c r="L75" i="27"/>
  <c r="L76" i="27"/>
  <c r="L77" i="27"/>
  <c r="L78" i="27"/>
  <c r="L79" i="27"/>
  <c r="L80" i="27"/>
  <c r="L81" i="27"/>
  <c r="L82" i="27"/>
  <c r="L83" i="27"/>
  <c r="L84" i="27"/>
  <c r="L85" i="27"/>
  <c r="L86" i="27"/>
  <c r="L87" i="27"/>
  <c r="L88" i="27"/>
  <c r="L89" i="27"/>
  <c r="L90" i="27"/>
  <c r="L91" i="27"/>
  <c r="L92" i="27"/>
  <c r="L93" i="27"/>
  <c r="L94" i="27"/>
  <c r="L95" i="27"/>
  <c r="L96" i="27"/>
  <c r="L97" i="27"/>
  <c r="L98" i="27"/>
  <c r="L99" i="27"/>
  <c r="L100" i="27"/>
  <c r="B24" i="11" a="1"/>
  <c r="B24" i="11" s="1"/>
  <c r="B52" i="11" s="1"/>
  <c r="B25" i="11" a="1"/>
  <c r="B25" i="11" s="1"/>
  <c r="B53" i="11" s="1"/>
  <c r="B22" i="11" a="1"/>
  <c r="B22" i="11" s="1"/>
  <c r="B50" i="11" s="1"/>
  <c r="B23" i="11" a="1"/>
  <c r="B23" i="11" s="1"/>
  <c r="B51" i="11" s="1"/>
  <c r="A175" i="11" a="1"/>
  <c r="A175" i="11" s="1"/>
  <c r="A161" i="11" a="1"/>
  <c r="A161" i="11" s="1"/>
  <c r="A49" i="11" a="1"/>
  <c r="A49" i="11" s="1"/>
  <c r="A133" i="11" a="1"/>
  <c r="A133" i="11" s="1"/>
  <c r="A119" i="11" a="1"/>
  <c r="A119" i="11" s="1"/>
  <c r="A105" i="11" a="1"/>
  <c r="A105" i="11" s="1"/>
  <c r="B105" i="11" s="1" a="1"/>
  <c r="B105" i="11" s="1"/>
  <c r="B133" i="11" s="1"/>
  <c r="B119" i="11" s="1" a="1"/>
  <c r="B119" i="11" s="1"/>
  <c r="C60" i="11"/>
  <c r="C59" i="11"/>
  <c r="C58" i="11"/>
  <c r="C57" i="11"/>
  <c r="C56" i="11"/>
  <c r="C55" i="11"/>
  <c r="C54" i="11"/>
  <c r="C53" i="11"/>
  <c r="C52" i="11"/>
  <c r="C50" i="11"/>
  <c r="D50" i="11"/>
  <c r="E50" i="11"/>
  <c r="F50" i="11"/>
  <c r="G50" i="11"/>
  <c r="H50" i="11"/>
  <c r="I50" i="11"/>
  <c r="J50" i="11"/>
  <c r="K50" i="11"/>
  <c r="L50" i="11"/>
  <c r="I49" i="11"/>
  <c r="J49" i="11"/>
  <c r="K49" i="11"/>
  <c r="L49" i="11"/>
  <c r="H49" i="11"/>
  <c r="F49" i="11"/>
  <c r="V100" i="38"/>
  <c r="W100" i="38"/>
  <c r="V99" i="38"/>
  <c r="W99" i="38"/>
  <c r="V98" i="38"/>
  <c r="W98" i="38"/>
  <c r="V97" i="38"/>
  <c r="W97" i="38"/>
  <c r="V96" i="38"/>
  <c r="W96" i="38"/>
  <c r="V95" i="38"/>
  <c r="W95" i="38"/>
  <c r="V94" i="38"/>
  <c r="W94" i="38"/>
  <c r="V93" i="38"/>
  <c r="W93" i="38"/>
  <c r="V92" i="38"/>
  <c r="W92" i="38"/>
  <c r="V91" i="38"/>
  <c r="W91" i="38"/>
  <c r="V90" i="38"/>
  <c r="W90" i="38"/>
  <c r="V89" i="38"/>
  <c r="W89" i="38"/>
  <c r="V88" i="38"/>
  <c r="W88" i="38"/>
  <c r="V87" i="38"/>
  <c r="W87" i="38"/>
  <c r="V86" i="38"/>
  <c r="W86" i="38"/>
  <c r="V85" i="38"/>
  <c r="W85" i="38"/>
  <c r="V84" i="38"/>
  <c r="W84" i="38"/>
  <c r="V83" i="38"/>
  <c r="W83" i="38"/>
  <c r="V82" i="38"/>
  <c r="W82" i="38"/>
  <c r="V81" i="38"/>
  <c r="W81" i="38"/>
  <c r="V80" i="38"/>
  <c r="W80" i="38"/>
  <c r="V79" i="38"/>
  <c r="W79" i="38"/>
  <c r="V78" i="38"/>
  <c r="W78" i="38"/>
  <c r="V77" i="38"/>
  <c r="W77" i="38"/>
  <c r="V76" i="38"/>
  <c r="W76" i="38"/>
  <c r="V75" i="38"/>
  <c r="W75" i="38"/>
  <c r="V74" i="38"/>
  <c r="W74" i="38"/>
  <c r="V73" i="38"/>
  <c r="W73" i="38"/>
  <c r="V72" i="38"/>
  <c r="W72" i="38"/>
  <c r="V71" i="38"/>
  <c r="W71" i="38"/>
  <c r="V70" i="38"/>
  <c r="W70" i="38"/>
  <c r="V69" i="38"/>
  <c r="W69" i="38"/>
  <c r="V68" i="38"/>
  <c r="W68" i="38"/>
  <c r="V67" i="38"/>
  <c r="W67" i="38"/>
  <c r="V66" i="38"/>
  <c r="W66" i="38"/>
  <c r="V65" i="38"/>
  <c r="W65" i="38"/>
  <c r="V64" i="38"/>
  <c r="W64" i="38"/>
  <c r="V63" i="38"/>
  <c r="W63" i="38"/>
  <c r="V62" i="38"/>
  <c r="W62" i="38"/>
  <c r="V61" i="38"/>
  <c r="W61" i="38"/>
  <c r="V60" i="38"/>
  <c r="W60" i="38"/>
  <c r="V59" i="38"/>
  <c r="W59" i="38"/>
  <c r="V58" i="38"/>
  <c r="W58" i="38"/>
  <c r="V57" i="38"/>
  <c r="W57" i="38"/>
  <c r="V56" i="38"/>
  <c r="W56" i="38"/>
  <c r="V55" i="38"/>
  <c r="W55" i="38"/>
  <c r="V54" i="38"/>
  <c r="W54" i="38"/>
  <c r="V53" i="38"/>
  <c r="W53" i="38"/>
  <c r="V52" i="38"/>
  <c r="W52" i="38"/>
  <c r="V51" i="38"/>
  <c r="W51" i="38"/>
  <c r="V50" i="38"/>
  <c r="W50" i="38"/>
  <c r="V49" i="38"/>
  <c r="W49" i="38"/>
  <c r="V48" i="38"/>
  <c r="W48" i="38"/>
  <c r="V47" i="38"/>
  <c r="W47" i="38"/>
  <c r="V46" i="38"/>
  <c r="W46" i="38"/>
  <c r="V45" i="38"/>
  <c r="W45" i="38"/>
  <c r="V44" i="38"/>
  <c r="W44" i="38"/>
  <c r="V43" i="38"/>
  <c r="W43" i="38"/>
  <c r="V42" i="38"/>
  <c r="W42" i="38"/>
  <c r="V41" i="38"/>
  <c r="W41" i="38"/>
  <c r="V40" i="38"/>
  <c r="W40" i="38"/>
  <c r="V39" i="38"/>
  <c r="W39" i="38"/>
  <c r="V38" i="38"/>
  <c r="W38" i="38"/>
  <c r="V37" i="38"/>
  <c r="W37" i="38"/>
  <c r="V36" i="38"/>
  <c r="W36" i="38"/>
  <c r="V35" i="38"/>
  <c r="W35" i="38"/>
  <c r="V34" i="38"/>
  <c r="W34" i="38"/>
  <c r="V33" i="38"/>
  <c r="W33" i="38"/>
  <c r="V32" i="38"/>
  <c r="W32" i="38"/>
  <c r="V31" i="38"/>
  <c r="W31" i="38"/>
  <c r="V30" i="38"/>
  <c r="W30" i="38"/>
  <c r="V29" i="38"/>
  <c r="W29" i="38"/>
  <c r="V28" i="38"/>
  <c r="W28" i="38"/>
  <c r="V27" i="38"/>
  <c r="W27" i="38"/>
  <c r="V26" i="38"/>
  <c r="W26" i="38"/>
  <c r="V25" i="38"/>
  <c r="W25" i="38"/>
  <c r="V24" i="38"/>
  <c r="W24" i="38"/>
  <c r="V23" i="38"/>
  <c r="W23" i="38"/>
  <c r="V22" i="38"/>
  <c r="W22" i="38"/>
  <c r="V21" i="38"/>
  <c r="W21" i="38"/>
  <c r="V20" i="38"/>
  <c r="W20" i="38"/>
  <c r="V19" i="38"/>
  <c r="W19" i="38"/>
  <c r="V18" i="38"/>
  <c r="W18" i="38"/>
  <c r="V17" i="38"/>
  <c r="W17" i="38"/>
  <c r="V16" i="38"/>
  <c r="W16" i="38"/>
  <c r="V15" i="38"/>
  <c r="W15" i="38"/>
  <c r="V14" i="38"/>
  <c r="W14" i="38"/>
  <c r="V13" i="38"/>
  <c r="W13" i="38"/>
  <c r="V12" i="38"/>
  <c r="W12" i="38"/>
  <c r="V11" i="38"/>
  <c r="W11" i="38"/>
  <c r="V10" i="38"/>
  <c r="W10" i="38"/>
  <c r="V9" i="38"/>
  <c r="W9" i="38"/>
  <c r="V8" i="38"/>
  <c r="W8" i="38"/>
  <c r="V7" i="38"/>
  <c r="W7" i="38"/>
  <c r="V6" i="38"/>
  <c r="W6" i="38"/>
  <c r="J100" i="26"/>
  <c r="J99" i="26"/>
  <c r="J98" i="26"/>
  <c r="J97" i="26"/>
  <c r="J96" i="26"/>
  <c r="J95" i="26"/>
  <c r="J94" i="26"/>
  <c r="J93" i="26"/>
  <c r="J92" i="26"/>
  <c r="J91" i="26"/>
  <c r="J90" i="26"/>
  <c r="J89" i="26"/>
  <c r="J88" i="26"/>
  <c r="J87" i="26"/>
  <c r="J86" i="26"/>
  <c r="J85" i="26"/>
  <c r="J84" i="26"/>
  <c r="J83" i="26"/>
  <c r="J82" i="26"/>
  <c r="J81" i="26"/>
  <c r="J80" i="26"/>
  <c r="J79" i="26"/>
  <c r="J78" i="26"/>
  <c r="J77" i="26"/>
  <c r="J76" i="26"/>
  <c r="J75" i="26"/>
  <c r="J74" i="26"/>
  <c r="J73" i="26"/>
  <c r="J72" i="26"/>
  <c r="J71" i="26"/>
  <c r="J70" i="26"/>
  <c r="J69" i="26"/>
  <c r="J68" i="26"/>
  <c r="J67" i="26"/>
  <c r="J66" i="26"/>
  <c r="J65" i="26"/>
  <c r="J64" i="26"/>
  <c r="J63" i="26"/>
  <c r="J62" i="26"/>
  <c r="J61" i="26"/>
  <c r="J60" i="26"/>
  <c r="J59" i="26"/>
  <c r="J58" i="26"/>
  <c r="J57" i="26"/>
  <c r="J56" i="26"/>
  <c r="J55" i="26"/>
  <c r="J54" i="26"/>
  <c r="J53" i="26"/>
  <c r="J52" i="26"/>
  <c r="J51" i="26"/>
  <c r="J50" i="26"/>
  <c r="J49" i="26"/>
  <c r="J48" i="26"/>
  <c r="J47" i="26"/>
  <c r="J46" i="26"/>
  <c r="J45" i="26"/>
  <c r="J44" i="26"/>
  <c r="J43" i="26"/>
  <c r="J42" i="26"/>
  <c r="J41" i="26"/>
  <c r="J40" i="26"/>
  <c r="J39" i="26"/>
  <c r="J38" i="26"/>
  <c r="J37" i="26"/>
  <c r="J36" i="26"/>
  <c r="J35" i="26"/>
  <c r="J34" i="26"/>
  <c r="J33" i="26"/>
  <c r="J32" i="26"/>
  <c r="J31" i="26"/>
  <c r="J30" i="26"/>
  <c r="J29" i="26"/>
  <c r="J28" i="26"/>
  <c r="J27" i="26"/>
  <c r="J26" i="26"/>
  <c r="J25" i="26"/>
  <c r="J24" i="26"/>
  <c r="J23" i="26"/>
  <c r="J22" i="26"/>
  <c r="J21" i="26"/>
  <c r="J20" i="26"/>
  <c r="J19" i="26"/>
  <c r="J18" i="26"/>
  <c r="J17" i="26"/>
  <c r="J16" i="26"/>
  <c r="J15" i="26"/>
  <c r="J14" i="26"/>
  <c r="J13" i="26"/>
  <c r="J12" i="26"/>
  <c r="J11" i="26"/>
  <c r="J10" i="26"/>
  <c r="J9" i="26"/>
  <c r="J8" i="26"/>
  <c r="J7" i="26"/>
  <c r="J6" i="26"/>
  <c r="J5" i="26"/>
  <c r="J3" i="26"/>
  <c r="J4" i="26"/>
  <c r="J2" i="26"/>
  <c r="A91" i="11" a="1"/>
  <c r="A91" i="11" s="1"/>
  <c r="A77" i="11" a="1"/>
  <c r="A77" i="11" s="1"/>
  <c r="A63" i="11" a="1"/>
  <c r="A63" i="11" s="1"/>
  <c r="B63" i="11" s="1" a="1"/>
  <c r="B63" i="11" s="1"/>
  <c r="B91" i="11" s="1"/>
  <c r="B77" i="11" s="1" a="1"/>
  <c r="B77" i="11" s="1"/>
  <c r="M100" i="27"/>
  <c r="N100" i="27"/>
  <c r="M99" i="27"/>
  <c r="N99" i="27"/>
  <c r="M98" i="27"/>
  <c r="N98" i="27"/>
  <c r="M97" i="27"/>
  <c r="N97" i="27"/>
  <c r="M96" i="27"/>
  <c r="N96" i="27"/>
  <c r="M95" i="27"/>
  <c r="N95" i="27"/>
  <c r="M94" i="27"/>
  <c r="N94" i="27"/>
  <c r="M93" i="27"/>
  <c r="N93" i="27"/>
  <c r="M92" i="27"/>
  <c r="N92" i="27"/>
  <c r="M91" i="27"/>
  <c r="N91" i="27"/>
  <c r="M90" i="27"/>
  <c r="N90" i="27"/>
  <c r="M89" i="27"/>
  <c r="N89" i="27"/>
  <c r="M88" i="27"/>
  <c r="N88" i="27"/>
  <c r="M87" i="27"/>
  <c r="N87" i="27"/>
  <c r="M86" i="27"/>
  <c r="N86" i="27"/>
  <c r="M85" i="27"/>
  <c r="N85" i="27"/>
  <c r="M84" i="27"/>
  <c r="N84" i="27"/>
  <c r="M83" i="27"/>
  <c r="N83" i="27"/>
  <c r="M82" i="27"/>
  <c r="N82" i="27"/>
  <c r="M81" i="27"/>
  <c r="N81" i="27"/>
  <c r="M80" i="27"/>
  <c r="N80" i="27"/>
  <c r="M79" i="27"/>
  <c r="N79" i="27"/>
  <c r="M78" i="27"/>
  <c r="N78" i="27"/>
  <c r="M77" i="27"/>
  <c r="N77" i="27"/>
  <c r="M76" i="27"/>
  <c r="N76" i="27"/>
  <c r="M75" i="27"/>
  <c r="N75" i="27"/>
  <c r="M74" i="27"/>
  <c r="N74" i="27"/>
  <c r="M73" i="27"/>
  <c r="N73" i="27"/>
  <c r="M72" i="27"/>
  <c r="N72" i="27"/>
  <c r="M71" i="27"/>
  <c r="N71" i="27"/>
  <c r="M70" i="27"/>
  <c r="N70" i="27"/>
  <c r="M69" i="27"/>
  <c r="N69" i="27"/>
  <c r="M68" i="27"/>
  <c r="N68" i="27"/>
  <c r="M67" i="27"/>
  <c r="N67" i="27"/>
  <c r="M66" i="27"/>
  <c r="N66" i="27"/>
  <c r="M65" i="27"/>
  <c r="N65" i="27"/>
  <c r="M64" i="27"/>
  <c r="N64" i="27"/>
  <c r="M63" i="27"/>
  <c r="N63" i="27"/>
  <c r="M62" i="27"/>
  <c r="N62" i="27"/>
  <c r="M61" i="27"/>
  <c r="N61" i="27"/>
  <c r="M60" i="27"/>
  <c r="N60" i="27"/>
  <c r="M59" i="27"/>
  <c r="N59" i="27"/>
  <c r="M58" i="27"/>
  <c r="N58" i="27"/>
  <c r="M57" i="27"/>
  <c r="N57" i="27"/>
  <c r="M56" i="27"/>
  <c r="N56" i="27"/>
  <c r="M55" i="27"/>
  <c r="N55" i="27"/>
  <c r="M54" i="27"/>
  <c r="N54" i="27"/>
  <c r="M53" i="27"/>
  <c r="N53" i="27"/>
  <c r="M52" i="27"/>
  <c r="N52" i="27"/>
  <c r="M51" i="27"/>
  <c r="N51" i="27"/>
  <c r="M50" i="27"/>
  <c r="N50" i="27"/>
  <c r="M49" i="27"/>
  <c r="N49" i="27"/>
  <c r="M48" i="27"/>
  <c r="N48" i="27"/>
  <c r="M47" i="27"/>
  <c r="N47" i="27"/>
  <c r="M46" i="27"/>
  <c r="N46" i="27"/>
  <c r="M45" i="27"/>
  <c r="N45" i="27"/>
  <c r="M44" i="27"/>
  <c r="N44" i="27"/>
  <c r="M43" i="27"/>
  <c r="N43" i="27"/>
  <c r="M42" i="27"/>
  <c r="N42" i="27"/>
  <c r="M41" i="27"/>
  <c r="N41" i="27"/>
  <c r="M40" i="27"/>
  <c r="N40" i="27"/>
  <c r="M39" i="27"/>
  <c r="N39" i="27"/>
  <c r="M38" i="27"/>
  <c r="N38" i="27"/>
  <c r="M37" i="27"/>
  <c r="N37" i="27"/>
  <c r="M36" i="27"/>
  <c r="N36" i="27"/>
  <c r="M35" i="27"/>
  <c r="N35" i="27"/>
  <c r="M34" i="27"/>
  <c r="N34" i="27"/>
  <c r="M33" i="27"/>
  <c r="N33" i="27"/>
  <c r="M32" i="27"/>
  <c r="N32" i="27"/>
  <c r="M31" i="27"/>
  <c r="N31" i="27"/>
  <c r="M30" i="27"/>
  <c r="N30" i="27"/>
  <c r="M29" i="27"/>
  <c r="N29" i="27"/>
  <c r="M28" i="27"/>
  <c r="N28" i="27"/>
  <c r="M27" i="27"/>
  <c r="N27" i="27"/>
  <c r="M26" i="27"/>
  <c r="N26" i="27"/>
  <c r="M25" i="27"/>
  <c r="N25" i="27"/>
  <c r="M24" i="27"/>
  <c r="N24" i="27"/>
  <c r="M23" i="27"/>
  <c r="N23" i="27"/>
  <c r="M22" i="27"/>
  <c r="N22" i="27"/>
  <c r="M21" i="27"/>
  <c r="N21" i="27"/>
  <c r="M20" i="27"/>
  <c r="N20" i="27"/>
  <c r="M19" i="27"/>
  <c r="N19" i="27"/>
  <c r="M18" i="27"/>
  <c r="N18" i="27"/>
  <c r="M17" i="27"/>
  <c r="N17" i="27"/>
  <c r="M16" i="27"/>
  <c r="N16" i="27"/>
  <c r="M15" i="27"/>
  <c r="N15" i="27"/>
  <c r="M14" i="27"/>
  <c r="N14" i="27"/>
  <c r="M13" i="27"/>
  <c r="N13" i="27"/>
  <c r="M12" i="27"/>
  <c r="N12" i="27"/>
  <c r="M11" i="27"/>
  <c r="N11" i="27"/>
  <c r="M10" i="27"/>
  <c r="N10" i="27"/>
  <c r="M9" i="27"/>
  <c r="N9" i="27"/>
  <c r="J100" i="38"/>
  <c r="P100" i="38"/>
  <c r="Q100" i="38"/>
  <c r="K100" i="38"/>
  <c r="J99" i="38"/>
  <c r="P99" i="38"/>
  <c r="Q99" i="38"/>
  <c r="K99" i="38"/>
  <c r="J98" i="38"/>
  <c r="P98" i="38"/>
  <c r="Q98" i="38"/>
  <c r="K98" i="38"/>
  <c r="J97" i="38"/>
  <c r="P97" i="38"/>
  <c r="Q97" i="38"/>
  <c r="K97" i="38"/>
  <c r="J96" i="38"/>
  <c r="P96" i="38"/>
  <c r="Q96" i="38"/>
  <c r="K96" i="38"/>
  <c r="J95" i="38"/>
  <c r="P95" i="38"/>
  <c r="Q95" i="38"/>
  <c r="K95" i="38"/>
  <c r="J94" i="38"/>
  <c r="P94" i="38"/>
  <c r="Q94" i="38"/>
  <c r="K94" i="38"/>
  <c r="J93" i="38"/>
  <c r="P93" i="38"/>
  <c r="Q93" i="38"/>
  <c r="K93" i="38"/>
  <c r="J92" i="38"/>
  <c r="P92" i="38"/>
  <c r="Q92" i="38"/>
  <c r="K92" i="38"/>
  <c r="J91" i="38"/>
  <c r="P91" i="38"/>
  <c r="Q91" i="38"/>
  <c r="K91" i="38"/>
  <c r="J90" i="38"/>
  <c r="P90" i="38"/>
  <c r="Q90" i="38"/>
  <c r="K90" i="38"/>
  <c r="J89" i="38"/>
  <c r="P89" i="38"/>
  <c r="Q89" i="38"/>
  <c r="K89" i="38"/>
  <c r="J88" i="38"/>
  <c r="P88" i="38"/>
  <c r="Q88" i="38"/>
  <c r="K88" i="38"/>
  <c r="J87" i="38"/>
  <c r="P87" i="38"/>
  <c r="Q87" i="38"/>
  <c r="K87" i="38"/>
  <c r="J86" i="38"/>
  <c r="P86" i="38"/>
  <c r="Q86" i="38"/>
  <c r="K86" i="38"/>
  <c r="J85" i="38"/>
  <c r="P85" i="38"/>
  <c r="Q85" i="38"/>
  <c r="K85" i="38"/>
  <c r="J84" i="38"/>
  <c r="P84" i="38"/>
  <c r="Q84" i="38"/>
  <c r="K84" i="38"/>
  <c r="J83" i="38"/>
  <c r="P83" i="38"/>
  <c r="Q83" i="38"/>
  <c r="K83" i="38"/>
  <c r="J82" i="38"/>
  <c r="P82" i="38"/>
  <c r="Q82" i="38"/>
  <c r="K82" i="38"/>
  <c r="J81" i="38"/>
  <c r="P81" i="38"/>
  <c r="Q81" i="38"/>
  <c r="K81" i="38"/>
  <c r="J80" i="38"/>
  <c r="P80" i="38"/>
  <c r="Q80" i="38"/>
  <c r="K80" i="38"/>
  <c r="J79" i="38"/>
  <c r="P79" i="38"/>
  <c r="Q79" i="38"/>
  <c r="K79" i="38"/>
  <c r="J78" i="38"/>
  <c r="P78" i="38"/>
  <c r="Q78" i="38"/>
  <c r="K78" i="38"/>
  <c r="J77" i="38"/>
  <c r="P77" i="38"/>
  <c r="Q77" i="38"/>
  <c r="K77" i="38"/>
  <c r="J76" i="38"/>
  <c r="P76" i="38"/>
  <c r="Q76" i="38"/>
  <c r="K76" i="38"/>
  <c r="J75" i="38"/>
  <c r="P75" i="38"/>
  <c r="Q75" i="38"/>
  <c r="K75" i="38"/>
  <c r="J74" i="38"/>
  <c r="P74" i="38"/>
  <c r="Q74" i="38"/>
  <c r="K74" i="38"/>
  <c r="J73" i="38"/>
  <c r="P73" i="38"/>
  <c r="Q73" i="38"/>
  <c r="K73" i="38"/>
  <c r="J72" i="38"/>
  <c r="P72" i="38"/>
  <c r="Q72" i="38"/>
  <c r="K72" i="38"/>
  <c r="J71" i="38"/>
  <c r="P71" i="38"/>
  <c r="Q71" i="38"/>
  <c r="K71" i="38"/>
  <c r="J70" i="38"/>
  <c r="P70" i="38"/>
  <c r="Q70" i="38"/>
  <c r="K70" i="38"/>
  <c r="J69" i="38"/>
  <c r="P69" i="38"/>
  <c r="Q69" i="38"/>
  <c r="K69" i="38"/>
  <c r="J68" i="38"/>
  <c r="P68" i="38"/>
  <c r="Q68" i="38"/>
  <c r="K68" i="38"/>
  <c r="J67" i="38"/>
  <c r="P67" i="38"/>
  <c r="Q67" i="38"/>
  <c r="K67" i="38"/>
  <c r="J66" i="38"/>
  <c r="P66" i="38"/>
  <c r="Q66" i="38"/>
  <c r="K66" i="38"/>
  <c r="J65" i="38"/>
  <c r="P65" i="38"/>
  <c r="Q65" i="38"/>
  <c r="K65" i="38"/>
  <c r="J64" i="38"/>
  <c r="P64" i="38"/>
  <c r="Q64" i="38"/>
  <c r="K64" i="38"/>
  <c r="J63" i="38"/>
  <c r="P63" i="38"/>
  <c r="Q63" i="38"/>
  <c r="K63" i="38"/>
  <c r="J62" i="38"/>
  <c r="P62" i="38"/>
  <c r="Q62" i="38"/>
  <c r="K62" i="38"/>
  <c r="J61" i="38"/>
  <c r="P61" i="38"/>
  <c r="Q61" i="38"/>
  <c r="K61" i="38"/>
  <c r="J60" i="38"/>
  <c r="P60" i="38"/>
  <c r="Q60" i="38"/>
  <c r="K60" i="38"/>
  <c r="J59" i="38"/>
  <c r="P59" i="38"/>
  <c r="Q59" i="38"/>
  <c r="K59" i="38"/>
  <c r="J58" i="38"/>
  <c r="P58" i="38"/>
  <c r="Q58" i="38"/>
  <c r="K58" i="38"/>
  <c r="J57" i="38"/>
  <c r="P57" i="38"/>
  <c r="Q57" i="38"/>
  <c r="K57" i="38"/>
  <c r="J56" i="38"/>
  <c r="P56" i="38"/>
  <c r="Q56" i="38"/>
  <c r="K56" i="38"/>
  <c r="J55" i="38"/>
  <c r="P55" i="38"/>
  <c r="Q55" i="38"/>
  <c r="K55" i="38"/>
  <c r="J54" i="38"/>
  <c r="P54" i="38"/>
  <c r="Q54" i="38"/>
  <c r="K54" i="38"/>
  <c r="J53" i="38"/>
  <c r="P53" i="38"/>
  <c r="Q53" i="38"/>
  <c r="K53" i="38"/>
  <c r="J52" i="38"/>
  <c r="P52" i="38"/>
  <c r="Q52" i="38"/>
  <c r="K52" i="38"/>
  <c r="J51" i="38"/>
  <c r="P51" i="38"/>
  <c r="Q51" i="38"/>
  <c r="K51" i="38"/>
  <c r="J50" i="38"/>
  <c r="P50" i="38"/>
  <c r="Q50" i="38"/>
  <c r="K50" i="38"/>
  <c r="J49" i="38"/>
  <c r="P49" i="38"/>
  <c r="Q49" i="38"/>
  <c r="K49" i="38"/>
  <c r="J48" i="38"/>
  <c r="P48" i="38"/>
  <c r="Q48" i="38"/>
  <c r="K48" i="38"/>
  <c r="J47" i="38"/>
  <c r="P47" i="38"/>
  <c r="Q47" i="38"/>
  <c r="K47" i="38"/>
  <c r="J46" i="38"/>
  <c r="P46" i="38"/>
  <c r="Q46" i="38"/>
  <c r="K46" i="38"/>
  <c r="J45" i="38"/>
  <c r="P45" i="38"/>
  <c r="Q45" i="38"/>
  <c r="K45" i="38"/>
  <c r="J44" i="38"/>
  <c r="P44" i="38"/>
  <c r="Q44" i="38"/>
  <c r="K44" i="38"/>
  <c r="J43" i="38"/>
  <c r="P43" i="38"/>
  <c r="Q43" i="38"/>
  <c r="K43" i="38"/>
  <c r="J42" i="38"/>
  <c r="P42" i="38"/>
  <c r="Q42" i="38"/>
  <c r="K42" i="38"/>
  <c r="J41" i="38"/>
  <c r="P41" i="38"/>
  <c r="Q41" i="38"/>
  <c r="K41" i="38"/>
  <c r="J40" i="38"/>
  <c r="P40" i="38"/>
  <c r="Q40" i="38"/>
  <c r="K40" i="38"/>
  <c r="J39" i="38"/>
  <c r="P39" i="38"/>
  <c r="Q39" i="38"/>
  <c r="K39" i="38"/>
  <c r="J38" i="38"/>
  <c r="P38" i="38"/>
  <c r="Q38" i="38"/>
  <c r="K38" i="38"/>
  <c r="J37" i="38"/>
  <c r="P37" i="38"/>
  <c r="Q37" i="38"/>
  <c r="K37" i="38"/>
  <c r="J36" i="38"/>
  <c r="P36" i="38"/>
  <c r="Q36" i="38"/>
  <c r="K36" i="38"/>
  <c r="J35" i="38"/>
  <c r="P35" i="38"/>
  <c r="Q35" i="38"/>
  <c r="K35" i="38"/>
  <c r="J34" i="38"/>
  <c r="P34" i="38"/>
  <c r="Q34" i="38"/>
  <c r="K34" i="38"/>
  <c r="J33" i="38"/>
  <c r="P33" i="38"/>
  <c r="Q33" i="38"/>
  <c r="K33" i="38"/>
  <c r="J32" i="38"/>
  <c r="P32" i="38"/>
  <c r="Q32" i="38"/>
  <c r="K32" i="38"/>
  <c r="J31" i="38"/>
  <c r="P31" i="38"/>
  <c r="Q31" i="38"/>
  <c r="K31" i="38"/>
  <c r="J30" i="38"/>
  <c r="P30" i="38"/>
  <c r="Q30" i="38"/>
  <c r="K30" i="38"/>
  <c r="J29" i="38"/>
  <c r="P29" i="38"/>
  <c r="Q29" i="38"/>
  <c r="K29" i="38"/>
  <c r="J28" i="38"/>
  <c r="P28" i="38"/>
  <c r="Q28" i="38"/>
  <c r="K28" i="38"/>
  <c r="J27" i="38"/>
  <c r="P27" i="38"/>
  <c r="Q27" i="38"/>
  <c r="K27" i="38"/>
  <c r="J26" i="38"/>
  <c r="P26" i="38"/>
  <c r="Q26" i="38"/>
  <c r="K26" i="38"/>
  <c r="J25" i="38"/>
  <c r="P25" i="38"/>
  <c r="Q25" i="38"/>
  <c r="K25" i="38"/>
  <c r="J24" i="38"/>
  <c r="P24" i="38"/>
  <c r="Q24" i="38"/>
  <c r="K24" i="38"/>
  <c r="J23" i="38"/>
  <c r="P23" i="38"/>
  <c r="Q23" i="38"/>
  <c r="K23" i="38"/>
  <c r="J22" i="38"/>
  <c r="P22" i="38"/>
  <c r="Q22" i="38"/>
  <c r="K22" i="38"/>
  <c r="J21" i="38"/>
  <c r="P21" i="38"/>
  <c r="Q21" i="38"/>
  <c r="K21" i="38"/>
  <c r="J20" i="38"/>
  <c r="P20" i="38"/>
  <c r="Q20" i="38"/>
  <c r="K20" i="38"/>
  <c r="J19" i="38"/>
  <c r="P19" i="38"/>
  <c r="Q19" i="38"/>
  <c r="K19" i="38"/>
  <c r="J18" i="38"/>
  <c r="P18" i="38"/>
  <c r="Q18" i="38"/>
  <c r="K18" i="38"/>
  <c r="J17" i="38"/>
  <c r="P17" i="38"/>
  <c r="Q17" i="38"/>
  <c r="K17" i="38"/>
  <c r="J16" i="38"/>
  <c r="P16" i="38"/>
  <c r="Q16" i="38"/>
  <c r="K16" i="38"/>
  <c r="J15" i="38"/>
  <c r="P15" i="38"/>
  <c r="Q15" i="38"/>
  <c r="K15" i="38"/>
  <c r="J14" i="38"/>
  <c r="P14" i="38"/>
  <c r="Q14" i="38"/>
  <c r="K14" i="38"/>
  <c r="J13" i="38"/>
  <c r="P13" i="38"/>
  <c r="Q13" i="38"/>
  <c r="K13" i="38"/>
  <c r="J12" i="38"/>
  <c r="P12" i="38"/>
  <c r="Q12" i="38"/>
  <c r="K12" i="38"/>
  <c r="J11" i="38"/>
  <c r="P11" i="38"/>
  <c r="Q11" i="38"/>
  <c r="K11" i="38"/>
  <c r="J10" i="38"/>
  <c r="P10" i="38"/>
  <c r="Q10" i="38"/>
  <c r="K10" i="38"/>
  <c r="J9" i="38"/>
  <c r="P9" i="38"/>
  <c r="Q9" i="38"/>
  <c r="K9" i="38"/>
  <c r="J8" i="38"/>
  <c r="P8" i="38"/>
  <c r="Q8" i="38"/>
  <c r="K8" i="38"/>
  <c r="J7" i="38"/>
  <c r="P7" i="38"/>
  <c r="Q7" i="38"/>
  <c r="K7" i="38"/>
  <c r="J6" i="38"/>
  <c r="P6" i="38"/>
  <c r="Q6" i="38"/>
  <c r="K6" i="38"/>
  <c r="A35" i="11" a="1"/>
  <c r="A35" i="11" s="1"/>
  <c r="D53" i="11"/>
  <c r="D52" i="11"/>
  <c r="B66" i="11" a="1"/>
  <c r="B66" i="11" s="1"/>
  <c r="B94" i="11" s="1"/>
  <c r="B80" i="11" s="1" a="1"/>
  <c r="B80" i="11" s="1"/>
  <c r="B67" i="11" a="1"/>
  <c r="B67" i="11" s="1"/>
  <c r="B95" i="11" s="1"/>
  <c r="B81" i="11" s="1" a="1"/>
  <c r="B81" i="11" s="1"/>
  <c r="B108" i="11" a="1"/>
  <c r="B108" i="11" s="1"/>
  <c r="B136" i="11" s="1"/>
  <c r="B122" i="11" s="1" a="1"/>
  <c r="B122" i="11" s="1"/>
  <c r="B109" i="11" a="1"/>
  <c r="B109" i="11" s="1"/>
  <c r="B137" i="11" s="1"/>
  <c r="B123" i="11" s="1" a="1"/>
  <c r="B123" i="11" s="1"/>
  <c r="B64" i="11" a="1"/>
  <c r="B64" i="11" s="1"/>
  <c r="B92" i="11" s="1"/>
  <c r="B78" i="11" s="1" a="1"/>
  <c r="B78" i="11" s="1"/>
  <c r="B65" i="11" a="1"/>
  <c r="B65" i="11" s="1"/>
  <c r="B93" i="11" s="1"/>
  <c r="B79" i="11" s="1" a="1"/>
  <c r="B79" i="11" s="1"/>
  <c r="B106" i="11" a="1"/>
  <c r="B106" i="11" s="1"/>
  <c r="B134" i="11" s="1"/>
  <c r="B120" i="11" s="1" a="1"/>
  <c r="B120" i="11" s="1"/>
  <c r="B107" i="11" a="1"/>
  <c r="B107" i="11" s="1"/>
  <c r="B135" i="11" s="1"/>
  <c r="B121" i="11" s="1" a="1"/>
  <c r="B121" i="11" s="1"/>
  <c r="C51" i="11"/>
  <c r="E133" i="11"/>
  <c r="D133" i="11"/>
  <c r="C133" i="11"/>
  <c r="E134" i="11"/>
  <c r="D134" i="11"/>
  <c r="C134" i="11"/>
  <c r="C92" i="11"/>
  <c r="D92" i="11"/>
  <c r="E92" i="11"/>
  <c r="F92" i="11"/>
  <c r="G92" i="11"/>
  <c r="C91" i="11"/>
  <c r="G91" i="11"/>
  <c r="D91" i="11"/>
  <c r="E91" i="11"/>
  <c r="F91" i="11"/>
  <c r="C49" i="11"/>
  <c r="D49" i="11"/>
  <c r="E49" i="11"/>
  <c r="G49" i="11"/>
  <c r="P3" i="26"/>
  <c r="P4" i="26"/>
  <c r="P5" i="26"/>
  <c r="P6" i="26"/>
  <c r="P7" i="26"/>
  <c r="P2" i="26"/>
  <c r="F4" i="38"/>
  <c r="E4" i="38"/>
  <c r="AG48" i="27"/>
  <c r="AF48" i="27"/>
  <c r="AG44" i="27"/>
  <c r="AG31" i="27"/>
  <c r="AG42" i="27"/>
  <c r="R4" i="38"/>
  <c r="AF42" i="27"/>
  <c r="R5" i="38"/>
  <c r="S5" i="38"/>
  <c r="S4" i="38"/>
  <c r="L4" i="38"/>
  <c r="M4" i="38"/>
  <c r="M3" i="38"/>
  <c r="Q3" i="38"/>
  <c r="L5" i="38"/>
  <c r="AG35" i="27"/>
  <c r="M5" i="38"/>
  <c r="E5" i="38"/>
  <c r="F5" i="38"/>
  <c r="AF32" i="27"/>
  <c r="AG32" i="27"/>
  <c r="N6" i="27"/>
  <c r="D7" i="21"/>
  <c r="F7" i="21"/>
  <c r="G20" i="25"/>
  <c r="H20" i="25"/>
  <c r="I20" i="25"/>
  <c r="J20" i="25"/>
  <c r="K20" i="25"/>
  <c r="L20" i="25"/>
  <c r="M20" i="25"/>
  <c r="AJ48" i="27"/>
  <c r="AL48" i="27"/>
  <c r="AK48" i="27"/>
  <c r="AM48" i="27"/>
  <c r="AF44" i="27"/>
  <c r="AF31" i="27"/>
  <c r="AJ44" i="27"/>
  <c r="AL44" i="27"/>
  <c r="AJ31" i="27"/>
  <c r="AL31" i="27"/>
  <c r="AK44" i="27"/>
  <c r="AM44" i="27"/>
  <c r="AK31" i="27"/>
  <c r="L7" i="21" a="1"/>
  <c r="L7" i="21"/>
  <c r="U4" i="38"/>
  <c r="T4" i="38"/>
  <c r="V4" i="38"/>
  <c r="U5" i="38"/>
  <c r="W5" i="38"/>
  <c r="T5" i="38"/>
  <c r="V5" i="38"/>
  <c r="W4" i="38"/>
  <c r="O4" i="38"/>
  <c r="N4" i="38"/>
  <c r="P4" i="38"/>
  <c r="H5" i="38"/>
  <c r="O5" i="38"/>
  <c r="G5" i="38"/>
  <c r="N5" i="38"/>
  <c r="AK32" i="27"/>
  <c r="H4" i="38"/>
  <c r="K4" i="38"/>
  <c r="AJ32" i="27"/>
  <c r="AL32" i="27"/>
  <c r="G4" i="38"/>
  <c r="J4" i="38"/>
  <c r="AF35" i="27"/>
  <c r="AK35" i="27"/>
  <c r="L3" i="38"/>
  <c r="AJ35" i="27"/>
  <c r="AL35" i="27"/>
  <c r="Q5" i="38"/>
  <c r="P5" i="38"/>
  <c r="K5" i="38"/>
  <c r="J5" i="38"/>
  <c r="N5" i="27"/>
  <c r="N8" i="27"/>
  <c r="M8" i="27"/>
  <c r="M7" i="27"/>
  <c r="M5" i="27"/>
  <c r="Q45" i="25" s="1"/>
  <c r="C25" i="36"/>
  <c r="P3" i="38"/>
  <c r="Q4" i="38"/>
  <c r="M6" i="27"/>
  <c r="I20" i="35"/>
  <c r="J20" i="35"/>
  <c r="K20" i="35"/>
  <c r="L20" i="35"/>
  <c r="M20" i="35"/>
  <c r="N20" i="35"/>
  <c r="O20" i="35"/>
  <c r="N7" i="27"/>
  <c r="AG29" i="27"/>
  <c r="AF29" i="27"/>
  <c r="AG34" i="27"/>
  <c r="AF34" i="27"/>
  <c r="AL34" i="27"/>
  <c r="AM31" i="27"/>
  <c r="AM32" i="27"/>
  <c r="AM34" i="27"/>
  <c r="AM35" i="27"/>
  <c r="AK42" i="27"/>
  <c r="AM42" i="27"/>
  <c r="AK29" i="27"/>
  <c r="AM29" i="27"/>
  <c r="AJ42" i="27"/>
  <c r="AL42" i="27"/>
  <c r="AJ29" i="27"/>
  <c r="AL29" i="27"/>
  <c r="D26" i="36"/>
  <c r="P33" i="26"/>
  <c r="P34" i="26"/>
  <c r="P35" i="26"/>
  <c r="P36" i="26"/>
  <c r="P37" i="26"/>
  <c r="P38" i="26"/>
  <c r="P39" i="26"/>
  <c r="P40" i="26"/>
  <c r="P41" i="26"/>
  <c r="P42" i="26"/>
  <c r="AB2" i="27"/>
  <c r="I46" i="35" s="1" a="1"/>
  <c r="I46" i="35" s="1"/>
  <c r="AA2" i="27"/>
  <c r="X2" i="27"/>
  <c r="W2" i="27"/>
  <c r="Z2" i="27"/>
  <c r="Y2" i="27"/>
  <c r="O3" i="31" a="1"/>
  <c r="O3" i="31"/>
  <c r="P3" i="31" a="1"/>
  <c r="P3" i="31"/>
  <c r="O4" i="31" a="1"/>
  <c r="O4" i="31"/>
  <c r="P4" i="31" a="1"/>
  <c r="P4" i="31"/>
  <c r="O5" i="31" a="1"/>
  <c r="O5" i="31"/>
  <c r="P5" i="31" a="1"/>
  <c r="P5" i="31"/>
  <c r="O6" i="31" a="1"/>
  <c r="O6" i="31"/>
  <c r="P6" i="31" a="1"/>
  <c r="P6" i="31"/>
  <c r="O7" i="31" a="1"/>
  <c r="O7" i="31"/>
  <c r="P7" i="31" a="1"/>
  <c r="P7" i="31"/>
  <c r="O8" i="31" a="1"/>
  <c r="O8" i="31"/>
  <c r="P8" i="31" a="1"/>
  <c r="P8" i="31"/>
  <c r="O9" i="31" a="1"/>
  <c r="O9" i="31"/>
  <c r="P9" i="31" a="1"/>
  <c r="P9" i="31"/>
  <c r="O10" i="31" a="1"/>
  <c r="O10" i="31"/>
  <c r="P10" i="31" a="1"/>
  <c r="P10" i="31"/>
  <c r="O11" i="31" a="1"/>
  <c r="O11" i="31"/>
  <c r="P11" i="31" a="1"/>
  <c r="P11" i="31"/>
  <c r="O12" i="31" a="1"/>
  <c r="O12" i="31"/>
  <c r="P12" i="31" a="1"/>
  <c r="P12" i="31"/>
  <c r="O13" i="31" a="1"/>
  <c r="O13" i="31"/>
  <c r="P13" i="31" a="1"/>
  <c r="P13" i="31"/>
  <c r="O14" i="31" a="1"/>
  <c r="O14" i="31"/>
  <c r="P14" i="31" a="1"/>
  <c r="P14" i="31"/>
  <c r="O15" i="31" a="1"/>
  <c r="O15" i="31"/>
  <c r="P15" i="31" a="1"/>
  <c r="P15" i="31"/>
  <c r="O16" i="31" a="1"/>
  <c r="O16" i="31"/>
  <c r="P16" i="31" a="1"/>
  <c r="P16" i="31"/>
  <c r="O17" i="31" a="1"/>
  <c r="O17" i="31"/>
  <c r="P17" i="31" a="1"/>
  <c r="P17" i="31"/>
  <c r="O18" i="31" a="1"/>
  <c r="O18" i="31"/>
  <c r="P18" i="31" a="1"/>
  <c r="P18" i="31"/>
  <c r="O19" i="31" a="1"/>
  <c r="O19" i="31"/>
  <c r="P19" i="31" a="1"/>
  <c r="P19" i="31"/>
  <c r="O20" i="31" a="1"/>
  <c r="O20" i="31"/>
  <c r="P20" i="31" a="1"/>
  <c r="P20" i="31"/>
  <c r="O21" i="31" a="1"/>
  <c r="O21" i="31"/>
  <c r="P21" i="31" a="1"/>
  <c r="P21" i="31"/>
  <c r="O22" i="31" a="1"/>
  <c r="O22" i="31"/>
  <c r="P22" i="31" a="1"/>
  <c r="P22" i="31"/>
  <c r="O23" i="31" a="1"/>
  <c r="O23" i="31"/>
  <c r="P23" i="31" a="1"/>
  <c r="P23" i="31"/>
  <c r="O24" i="31" a="1"/>
  <c r="O24" i="31"/>
  <c r="P24" i="31" a="1"/>
  <c r="P24" i="31"/>
  <c r="O25" i="31" a="1"/>
  <c r="O25" i="31"/>
  <c r="P25" i="31" a="1"/>
  <c r="P25" i="31"/>
  <c r="O26" i="31" a="1"/>
  <c r="O26" i="31"/>
  <c r="P26" i="31" a="1"/>
  <c r="P26" i="31"/>
  <c r="O27" i="31" a="1"/>
  <c r="O27" i="31"/>
  <c r="P27" i="31" a="1"/>
  <c r="P27" i="31"/>
  <c r="O28" i="31" a="1"/>
  <c r="O28" i="31"/>
  <c r="P28" i="31" a="1"/>
  <c r="P28" i="31"/>
  <c r="O29" i="31" a="1"/>
  <c r="O29" i="31"/>
  <c r="P29" i="31" a="1"/>
  <c r="P29" i="31"/>
  <c r="O30" i="31" a="1"/>
  <c r="O30" i="31"/>
  <c r="P30" i="31" a="1"/>
  <c r="P30" i="31"/>
  <c r="O31" i="31" a="1"/>
  <c r="O31" i="31"/>
  <c r="P31" i="31" a="1"/>
  <c r="P31" i="31"/>
  <c r="O32" i="31" a="1"/>
  <c r="O32" i="31"/>
  <c r="P32" i="31" a="1"/>
  <c r="P32" i="31"/>
  <c r="O33" i="31" a="1"/>
  <c r="O33" i="31"/>
  <c r="P33" i="31" a="1"/>
  <c r="P33" i="31"/>
  <c r="O34" i="31" a="1"/>
  <c r="O34" i="31"/>
  <c r="P34" i="31" a="1"/>
  <c r="P34" i="31"/>
  <c r="O35" i="31" a="1"/>
  <c r="O35" i="31"/>
  <c r="P35" i="31" a="1"/>
  <c r="P35" i="31"/>
  <c r="O36" i="31" a="1"/>
  <c r="O36" i="31"/>
  <c r="P36" i="31" a="1"/>
  <c r="P36" i="31"/>
  <c r="O37" i="31" a="1"/>
  <c r="O37" i="31"/>
  <c r="P37" i="31" a="1"/>
  <c r="P37" i="31"/>
  <c r="O38" i="31" a="1"/>
  <c r="O38" i="31"/>
  <c r="P38" i="31" a="1"/>
  <c r="P38" i="31"/>
  <c r="O39" i="31" a="1"/>
  <c r="O39" i="31"/>
  <c r="P39" i="31" a="1"/>
  <c r="P39" i="31"/>
  <c r="O40" i="31" a="1"/>
  <c r="O40" i="31"/>
  <c r="P40" i="31" a="1"/>
  <c r="P40" i="31"/>
  <c r="O41" i="31" a="1"/>
  <c r="O41" i="31"/>
  <c r="P41" i="31" a="1"/>
  <c r="P41" i="31"/>
  <c r="O42" i="31" a="1"/>
  <c r="O42" i="31"/>
  <c r="P42" i="31" a="1"/>
  <c r="P42" i="31"/>
  <c r="O43" i="31" a="1"/>
  <c r="O43" i="31"/>
  <c r="P43" i="31" a="1"/>
  <c r="P43" i="31"/>
  <c r="O44" i="31" a="1"/>
  <c r="O44" i="31"/>
  <c r="P44" i="31" a="1"/>
  <c r="P44" i="31"/>
  <c r="O45" i="31" a="1"/>
  <c r="O45" i="31"/>
  <c r="P45" i="31" a="1"/>
  <c r="P45" i="31"/>
  <c r="O46" i="31" a="1"/>
  <c r="O46" i="31"/>
  <c r="P46" i="31" a="1"/>
  <c r="P46" i="31"/>
  <c r="O47" i="31" a="1"/>
  <c r="O47" i="31"/>
  <c r="P47" i="31" a="1"/>
  <c r="P47" i="31"/>
  <c r="O48" i="31" a="1"/>
  <c r="O48" i="31"/>
  <c r="P48" i="31" a="1"/>
  <c r="P48" i="31"/>
  <c r="O49" i="31" a="1"/>
  <c r="O49" i="31"/>
  <c r="P49" i="31" a="1"/>
  <c r="P49" i="31"/>
  <c r="O50" i="31" a="1"/>
  <c r="O50" i="31"/>
  <c r="P50" i="31" a="1"/>
  <c r="P50" i="31"/>
  <c r="O51" i="31" a="1"/>
  <c r="O51" i="31"/>
  <c r="P51" i="31" a="1"/>
  <c r="P51" i="31"/>
  <c r="O52" i="31" a="1"/>
  <c r="O52" i="31"/>
  <c r="P52" i="31" a="1"/>
  <c r="P52" i="31"/>
  <c r="O53" i="31" a="1"/>
  <c r="O53" i="31"/>
  <c r="P53" i="31" a="1"/>
  <c r="P53" i="31"/>
  <c r="O54" i="31" a="1"/>
  <c r="O54" i="31"/>
  <c r="P54" i="31" a="1"/>
  <c r="P54" i="31"/>
  <c r="O55" i="31" a="1"/>
  <c r="O55" i="31"/>
  <c r="P55" i="31" a="1"/>
  <c r="P55" i="31"/>
  <c r="O56" i="31" a="1"/>
  <c r="O56" i="31"/>
  <c r="P56" i="31" a="1"/>
  <c r="P56" i="31"/>
  <c r="O57" i="31" a="1"/>
  <c r="O57" i="31"/>
  <c r="P57" i="31" a="1"/>
  <c r="P57" i="31"/>
  <c r="O58" i="31" a="1"/>
  <c r="O58" i="31"/>
  <c r="P58" i="31" a="1"/>
  <c r="P58" i="31"/>
  <c r="O59" i="31" a="1"/>
  <c r="O59" i="31"/>
  <c r="P59" i="31" a="1"/>
  <c r="P59" i="31"/>
  <c r="O60" i="31" a="1"/>
  <c r="O60" i="31"/>
  <c r="P60" i="31" a="1"/>
  <c r="P60" i="31"/>
  <c r="O61" i="31" a="1"/>
  <c r="O61" i="31"/>
  <c r="P61" i="31" a="1"/>
  <c r="P61" i="31"/>
  <c r="O62" i="31" a="1"/>
  <c r="O62" i="31"/>
  <c r="P62" i="31" a="1"/>
  <c r="P62" i="31"/>
  <c r="O63" i="31" a="1"/>
  <c r="O63" i="31"/>
  <c r="P63" i="31" a="1"/>
  <c r="P63" i="31"/>
  <c r="O64" i="31" a="1"/>
  <c r="O64" i="31"/>
  <c r="P64" i="31" a="1"/>
  <c r="P64" i="31"/>
  <c r="O65" i="31" a="1"/>
  <c r="O65" i="31"/>
  <c r="P65" i="31" a="1"/>
  <c r="P65" i="31"/>
  <c r="O66" i="31" a="1"/>
  <c r="O66" i="31"/>
  <c r="P66" i="31" a="1"/>
  <c r="P66" i="31"/>
  <c r="O67" i="31" a="1"/>
  <c r="O67" i="31"/>
  <c r="P67" i="31" a="1"/>
  <c r="P67" i="31"/>
  <c r="O68" i="31" a="1"/>
  <c r="O68" i="31"/>
  <c r="P68" i="31" a="1"/>
  <c r="P68" i="31"/>
  <c r="O69" i="31" a="1"/>
  <c r="O69" i="31"/>
  <c r="P69" i="31" a="1"/>
  <c r="P69" i="31"/>
  <c r="O70" i="31" a="1"/>
  <c r="O70" i="31"/>
  <c r="P70" i="31" a="1"/>
  <c r="P70" i="31"/>
  <c r="O71" i="31" a="1"/>
  <c r="O71" i="31"/>
  <c r="P71" i="31" a="1"/>
  <c r="P71" i="31"/>
  <c r="O72" i="31" a="1"/>
  <c r="O72" i="31"/>
  <c r="P72" i="31" a="1"/>
  <c r="P72" i="31"/>
  <c r="O73" i="31" a="1"/>
  <c r="O73" i="31"/>
  <c r="P73" i="31" a="1"/>
  <c r="P73" i="31"/>
  <c r="O74" i="31" a="1"/>
  <c r="O74" i="31"/>
  <c r="P74" i="31" a="1"/>
  <c r="P74" i="31"/>
  <c r="O75" i="31" a="1"/>
  <c r="O75" i="31"/>
  <c r="P75" i="31" a="1"/>
  <c r="P75" i="31"/>
  <c r="O76" i="31" a="1"/>
  <c r="O76" i="31"/>
  <c r="P76" i="31" a="1"/>
  <c r="P76" i="31"/>
  <c r="O77" i="31" a="1"/>
  <c r="O77" i="31"/>
  <c r="P77" i="31" a="1"/>
  <c r="P77" i="31"/>
  <c r="O78" i="31" a="1"/>
  <c r="O78" i="31"/>
  <c r="P78" i="31" a="1"/>
  <c r="P78" i="31"/>
  <c r="O79" i="31" a="1"/>
  <c r="O79" i="31"/>
  <c r="P79" i="31" a="1"/>
  <c r="P79" i="31"/>
  <c r="O80" i="31" a="1"/>
  <c r="O80" i="31"/>
  <c r="P80" i="31" a="1"/>
  <c r="P80" i="31"/>
  <c r="O81" i="31" a="1"/>
  <c r="O81" i="31"/>
  <c r="P81" i="31" a="1"/>
  <c r="P81" i="31"/>
  <c r="O82" i="31" a="1"/>
  <c r="O82" i="31"/>
  <c r="P82" i="31" a="1"/>
  <c r="P82" i="31"/>
  <c r="O83" i="31" a="1"/>
  <c r="O83" i="31"/>
  <c r="P83" i="31" a="1"/>
  <c r="P83" i="31"/>
  <c r="O84" i="31" a="1"/>
  <c r="O84" i="31"/>
  <c r="P84" i="31" a="1"/>
  <c r="P84" i="31"/>
  <c r="O85" i="31" a="1"/>
  <c r="O85" i="31"/>
  <c r="P85" i="31" a="1"/>
  <c r="P85" i="31"/>
  <c r="O86" i="31" a="1"/>
  <c r="O86" i="31"/>
  <c r="P86" i="31" a="1"/>
  <c r="P86" i="31"/>
  <c r="O87" i="31" a="1"/>
  <c r="O87" i="31"/>
  <c r="P87" i="31" a="1"/>
  <c r="P87" i="31"/>
  <c r="O88" i="31" a="1"/>
  <c r="O88" i="31"/>
  <c r="P88" i="31" a="1"/>
  <c r="P88" i="31"/>
  <c r="O89" i="31" a="1"/>
  <c r="O89" i="31"/>
  <c r="P89" i="31" a="1"/>
  <c r="P89" i="31"/>
  <c r="O90" i="31" a="1"/>
  <c r="O90" i="31"/>
  <c r="P90" i="31" a="1"/>
  <c r="P90" i="31"/>
  <c r="O91" i="31" a="1"/>
  <c r="O91" i="31"/>
  <c r="P91" i="31" a="1"/>
  <c r="P91" i="31"/>
  <c r="O92" i="31" a="1"/>
  <c r="O92" i="31"/>
  <c r="P92" i="31" a="1"/>
  <c r="P92" i="31"/>
  <c r="O93" i="31" a="1"/>
  <c r="O93" i="31"/>
  <c r="P93" i="31" a="1"/>
  <c r="P93" i="31"/>
  <c r="O94" i="31" a="1"/>
  <c r="O94" i="31"/>
  <c r="P94" i="31" a="1"/>
  <c r="P94" i="31"/>
  <c r="O95" i="31" a="1"/>
  <c r="O95" i="31"/>
  <c r="P95" i="31" a="1"/>
  <c r="P95" i="31"/>
  <c r="O96" i="31" a="1"/>
  <c r="O96" i="31"/>
  <c r="P96" i="31" a="1"/>
  <c r="P96" i="31"/>
  <c r="O97" i="31" a="1"/>
  <c r="O97" i="31"/>
  <c r="P97" i="31" a="1"/>
  <c r="P97" i="31"/>
  <c r="O98" i="31" a="1"/>
  <c r="O98" i="31"/>
  <c r="P98" i="31" a="1"/>
  <c r="P98" i="31"/>
  <c r="O99" i="31" a="1"/>
  <c r="O99" i="31"/>
  <c r="P99" i="31" a="1"/>
  <c r="P99" i="31"/>
  <c r="O100" i="31" a="1"/>
  <c r="O100" i="31"/>
  <c r="P100" i="31" a="1"/>
  <c r="P100" i="31"/>
  <c r="O101" i="31" a="1"/>
  <c r="O101" i="31"/>
  <c r="P101" i="31" a="1"/>
  <c r="P101" i="31"/>
  <c r="O102" i="31" a="1"/>
  <c r="O102" i="31"/>
  <c r="P102" i="31" a="1"/>
  <c r="P102" i="31"/>
  <c r="O103" i="31" a="1"/>
  <c r="O103" i="31"/>
  <c r="P103" i="31" a="1"/>
  <c r="P103" i="31"/>
  <c r="O104" i="31" a="1"/>
  <c r="O104" i="31"/>
  <c r="P104" i="31" a="1"/>
  <c r="P104" i="31"/>
  <c r="O105" i="31" a="1"/>
  <c r="O105" i="31"/>
  <c r="P105" i="31" a="1"/>
  <c r="P105" i="31"/>
  <c r="O106" i="31" a="1"/>
  <c r="O106" i="31"/>
  <c r="P106" i="31" a="1"/>
  <c r="P106" i="31"/>
  <c r="O107" i="31" a="1"/>
  <c r="O107" i="31"/>
  <c r="P107" i="31" a="1"/>
  <c r="P107" i="31"/>
  <c r="O108" i="31" a="1"/>
  <c r="O108" i="31"/>
  <c r="P108" i="31" a="1"/>
  <c r="P108" i="31"/>
  <c r="O109" i="31" a="1"/>
  <c r="O109" i="31"/>
  <c r="P109" i="31" a="1"/>
  <c r="P109" i="31"/>
  <c r="O110" i="31" a="1"/>
  <c r="O110" i="31"/>
  <c r="P110" i="31" a="1"/>
  <c r="P110" i="31"/>
  <c r="O111" i="31" a="1"/>
  <c r="O111" i="31"/>
  <c r="P111" i="31" a="1"/>
  <c r="P111" i="31"/>
  <c r="O112" i="31" a="1"/>
  <c r="O112" i="31"/>
  <c r="P112" i="31" a="1"/>
  <c r="P112" i="31"/>
  <c r="O113" i="31" a="1"/>
  <c r="O113" i="31"/>
  <c r="P113" i="31" a="1"/>
  <c r="P113" i="31"/>
  <c r="O114" i="31" a="1"/>
  <c r="O114" i="31"/>
  <c r="P114" i="31" a="1"/>
  <c r="P114" i="31"/>
  <c r="O115" i="31" a="1"/>
  <c r="O115" i="31"/>
  <c r="P115" i="31" a="1"/>
  <c r="P115" i="31"/>
  <c r="O116" i="31" a="1"/>
  <c r="O116" i="31"/>
  <c r="P116" i="31" a="1"/>
  <c r="P116" i="31"/>
  <c r="O117" i="31" a="1"/>
  <c r="O117" i="31"/>
  <c r="P117" i="31" a="1"/>
  <c r="P117" i="31"/>
  <c r="O118" i="31" a="1"/>
  <c r="O118" i="31"/>
  <c r="P118" i="31" a="1"/>
  <c r="P118" i="31"/>
  <c r="O119" i="31" a="1"/>
  <c r="O119" i="31"/>
  <c r="P119" i="31" a="1"/>
  <c r="P119" i="31"/>
  <c r="O120" i="31" a="1"/>
  <c r="O120" i="31"/>
  <c r="P120" i="31" a="1"/>
  <c r="P120" i="31"/>
  <c r="O121" i="31" a="1"/>
  <c r="O121" i="31"/>
  <c r="P121" i="31" a="1"/>
  <c r="P121" i="31"/>
  <c r="O122" i="31" a="1"/>
  <c r="O122" i="31"/>
  <c r="P122" i="31" a="1"/>
  <c r="P122" i="31"/>
  <c r="O123" i="31" a="1"/>
  <c r="O123" i="31"/>
  <c r="P123" i="31" a="1"/>
  <c r="P123" i="31"/>
  <c r="O124" i="31" a="1"/>
  <c r="O124" i="31"/>
  <c r="P124" i="31" a="1"/>
  <c r="P124" i="31"/>
  <c r="O125" i="31" a="1"/>
  <c r="O125" i="31"/>
  <c r="P125" i="31" a="1"/>
  <c r="P125" i="31"/>
  <c r="O126" i="31" a="1"/>
  <c r="O126" i="31"/>
  <c r="P126" i="31" a="1"/>
  <c r="P126" i="31"/>
  <c r="O127" i="31" a="1"/>
  <c r="O127" i="31"/>
  <c r="P127" i="31" a="1"/>
  <c r="P127" i="31"/>
  <c r="O128" i="31" a="1"/>
  <c r="O128" i="31"/>
  <c r="P128" i="31" a="1"/>
  <c r="P128" i="31"/>
  <c r="O129" i="31" a="1"/>
  <c r="O129" i="31"/>
  <c r="P129" i="31" a="1"/>
  <c r="P129" i="31"/>
  <c r="O130" i="31" a="1"/>
  <c r="O130" i="31"/>
  <c r="P130" i="31" a="1"/>
  <c r="P130" i="31"/>
  <c r="O131" i="31" a="1"/>
  <c r="O131" i="31"/>
  <c r="P131" i="31" a="1"/>
  <c r="P131" i="31"/>
  <c r="O132" i="31" a="1"/>
  <c r="O132" i="31"/>
  <c r="P132" i="31" a="1"/>
  <c r="P132" i="31"/>
  <c r="O133" i="31" a="1"/>
  <c r="O133" i="31"/>
  <c r="P133" i="31" a="1"/>
  <c r="P133" i="31"/>
  <c r="O134" i="31" a="1"/>
  <c r="O134" i="31"/>
  <c r="P134" i="31" a="1"/>
  <c r="P134" i="31"/>
  <c r="O135" i="31" a="1"/>
  <c r="O135" i="31"/>
  <c r="P135" i="31" a="1"/>
  <c r="P135" i="31"/>
  <c r="O136" i="31" a="1"/>
  <c r="O136" i="31"/>
  <c r="P136" i="31" a="1"/>
  <c r="P136" i="31"/>
  <c r="O137" i="31" a="1"/>
  <c r="O137" i="31"/>
  <c r="P137" i="31" a="1"/>
  <c r="P137" i="31"/>
  <c r="O138" i="31" a="1"/>
  <c r="O138" i="31"/>
  <c r="P138" i="31" a="1"/>
  <c r="P138" i="31"/>
  <c r="O139" i="31" a="1"/>
  <c r="O139" i="31"/>
  <c r="P139" i="31" a="1"/>
  <c r="P139" i="31"/>
  <c r="O140" i="31" a="1"/>
  <c r="O140" i="31"/>
  <c r="P140" i="31" a="1"/>
  <c r="P140" i="31"/>
  <c r="O141" i="31" a="1"/>
  <c r="O141" i="31"/>
  <c r="P141" i="31" a="1"/>
  <c r="P141" i="31"/>
  <c r="O142" i="31" a="1"/>
  <c r="O142" i="31"/>
  <c r="P142" i="31" a="1"/>
  <c r="P142" i="31"/>
  <c r="O143" i="31" a="1"/>
  <c r="O143" i="31"/>
  <c r="P143" i="31" a="1"/>
  <c r="P143" i="31"/>
  <c r="O144" i="31" a="1"/>
  <c r="O144" i="31"/>
  <c r="P144" i="31" a="1"/>
  <c r="P144" i="31"/>
  <c r="O145" i="31" a="1"/>
  <c r="O145" i="31"/>
  <c r="P145" i="31" a="1"/>
  <c r="P145" i="31"/>
  <c r="O146" i="31" a="1"/>
  <c r="O146" i="31"/>
  <c r="P146" i="31" a="1"/>
  <c r="P146" i="31"/>
  <c r="O147" i="31" a="1"/>
  <c r="O147" i="31"/>
  <c r="P147" i="31" a="1"/>
  <c r="P147" i="31"/>
  <c r="O148" i="31" a="1"/>
  <c r="O148" i="31"/>
  <c r="P148" i="31" a="1"/>
  <c r="P148" i="31"/>
  <c r="O149" i="31" a="1"/>
  <c r="O149" i="31"/>
  <c r="P149" i="31" a="1"/>
  <c r="P149" i="31"/>
  <c r="O150" i="31" a="1"/>
  <c r="O150" i="31"/>
  <c r="P150" i="31" a="1"/>
  <c r="P150" i="31"/>
  <c r="O151" i="31" a="1"/>
  <c r="O151" i="31"/>
  <c r="P151" i="31" a="1"/>
  <c r="P151" i="31"/>
  <c r="O152" i="31" a="1"/>
  <c r="O152" i="31"/>
  <c r="P152" i="31" a="1"/>
  <c r="P152" i="31"/>
  <c r="O153" i="31" a="1"/>
  <c r="O153" i="31"/>
  <c r="P153" i="31" a="1"/>
  <c r="P153" i="31"/>
  <c r="O154" i="31" a="1"/>
  <c r="O154" i="31"/>
  <c r="P154" i="31" a="1"/>
  <c r="P154" i="31"/>
  <c r="O155" i="31" a="1"/>
  <c r="O155" i="31"/>
  <c r="P155" i="31" a="1"/>
  <c r="P155" i="31"/>
  <c r="O156" i="31" a="1"/>
  <c r="O156" i="31"/>
  <c r="P156" i="31" a="1"/>
  <c r="P156" i="31"/>
  <c r="O157" i="31" a="1"/>
  <c r="O157" i="31"/>
  <c r="P157" i="31" a="1"/>
  <c r="P157" i="31"/>
  <c r="O158" i="31" a="1"/>
  <c r="O158" i="31"/>
  <c r="P158" i="31" a="1"/>
  <c r="P158" i="31"/>
  <c r="O159" i="31" a="1"/>
  <c r="O159" i="31"/>
  <c r="P159" i="31" a="1"/>
  <c r="P159" i="31"/>
  <c r="O160" i="31" a="1"/>
  <c r="O160" i="31"/>
  <c r="P160" i="31" a="1"/>
  <c r="P160" i="31"/>
  <c r="O161" i="31" a="1"/>
  <c r="O161" i="31"/>
  <c r="P161" i="31" a="1"/>
  <c r="P161" i="31"/>
  <c r="O162" i="31" a="1"/>
  <c r="O162" i="31"/>
  <c r="P162" i="31" a="1"/>
  <c r="P162" i="31"/>
  <c r="O163" i="31" a="1"/>
  <c r="O163" i="31"/>
  <c r="P163" i="31" a="1"/>
  <c r="P163" i="31"/>
  <c r="O164" i="31" a="1"/>
  <c r="O164" i="31"/>
  <c r="P164" i="31" a="1"/>
  <c r="P164" i="31"/>
  <c r="O165" i="31" a="1"/>
  <c r="O165" i="31"/>
  <c r="P165" i="31" a="1"/>
  <c r="P165" i="31"/>
  <c r="O166" i="31" a="1"/>
  <c r="O166" i="31"/>
  <c r="P166" i="31" a="1"/>
  <c r="P166" i="31"/>
  <c r="O167" i="31" a="1"/>
  <c r="O167" i="31"/>
  <c r="P167" i="31" a="1"/>
  <c r="P167" i="31"/>
  <c r="O168" i="31" a="1"/>
  <c r="O168" i="31"/>
  <c r="P168" i="31" a="1"/>
  <c r="P168" i="31"/>
  <c r="O169" i="31" a="1"/>
  <c r="O169" i="31"/>
  <c r="P169" i="31" a="1"/>
  <c r="P169" i="31"/>
  <c r="O170" i="31" a="1"/>
  <c r="O170" i="31"/>
  <c r="P170" i="31" a="1"/>
  <c r="P170" i="31"/>
  <c r="O171" i="31" a="1"/>
  <c r="O171" i="31"/>
  <c r="P171" i="31" a="1"/>
  <c r="P171" i="31"/>
  <c r="O172" i="31" a="1"/>
  <c r="O172" i="31"/>
  <c r="P172" i="31" a="1"/>
  <c r="P172" i="31"/>
  <c r="O173" i="31" a="1"/>
  <c r="O173" i="31"/>
  <c r="P173" i="31" a="1"/>
  <c r="P173" i="31"/>
  <c r="O174" i="31" a="1"/>
  <c r="O174" i="31"/>
  <c r="P174" i="31" a="1"/>
  <c r="P174" i="31"/>
  <c r="O175" i="31" a="1"/>
  <c r="O175" i="31"/>
  <c r="P175" i="31" a="1"/>
  <c r="P175" i="31"/>
  <c r="O176" i="31" a="1"/>
  <c r="O176" i="31"/>
  <c r="P176" i="31" a="1"/>
  <c r="P176" i="31"/>
  <c r="O177" i="31" a="1"/>
  <c r="O177" i="31"/>
  <c r="P177" i="31" a="1"/>
  <c r="P177" i="31"/>
  <c r="O178" i="31" a="1"/>
  <c r="O178" i="31"/>
  <c r="P178" i="31" a="1"/>
  <c r="P178" i="31"/>
  <c r="O179" i="31" a="1"/>
  <c r="O179" i="31"/>
  <c r="P179" i="31" a="1"/>
  <c r="P179" i="31"/>
  <c r="O180" i="31" a="1"/>
  <c r="O180" i="31"/>
  <c r="P180" i="31" a="1"/>
  <c r="P180" i="31"/>
  <c r="O181" i="31" a="1"/>
  <c r="O181" i="31"/>
  <c r="P181" i="31" a="1"/>
  <c r="P181" i="31"/>
  <c r="O182" i="31" a="1"/>
  <c r="O182" i="31"/>
  <c r="P182" i="31" a="1"/>
  <c r="P182" i="31"/>
  <c r="O183" i="31" a="1"/>
  <c r="O183" i="31"/>
  <c r="P183" i="31" a="1"/>
  <c r="P183" i="31"/>
  <c r="O184" i="31" a="1"/>
  <c r="O184" i="31"/>
  <c r="P184" i="31" a="1"/>
  <c r="P184" i="31"/>
  <c r="O185" i="31" a="1"/>
  <c r="O185" i="31"/>
  <c r="P185" i="31" a="1"/>
  <c r="P185" i="31"/>
  <c r="O186" i="31" a="1"/>
  <c r="O186" i="31"/>
  <c r="P186" i="31" a="1"/>
  <c r="P186" i="31"/>
  <c r="O187" i="31" a="1"/>
  <c r="O187" i="31"/>
  <c r="P187" i="31" a="1"/>
  <c r="P187" i="31"/>
  <c r="O188" i="31" a="1"/>
  <c r="O188" i="31"/>
  <c r="P188" i="31" a="1"/>
  <c r="P188" i="31"/>
  <c r="O189" i="31" a="1"/>
  <c r="O189" i="31"/>
  <c r="P189" i="31" a="1"/>
  <c r="P189" i="31"/>
  <c r="O190" i="31" a="1"/>
  <c r="O190" i="31"/>
  <c r="P190" i="31" a="1"/>
  <c r="P190" i="31"/>
  <c r="O191" i="31" a="1"/>
  <c r="O191" i="31"/>
  <c r="P191" i="31" a="1"/>
  <c r="P191" i="31"/>
  <c r="O192" i="31" a="1"/>
  <c r="O192" i="31"/>
  <c r="P192" i="31" a="1"/>
  <c r="P192" i="31"/>
  <c r="O193" i="31" a="1"/>
  <c r="O193" i="31"/>
  <c r="P193" i="31" a="1"/>
  <c r="P193" i="31"/>
  <c r="O194" i="31" a="1"/>
  <c r="O194" i="31"/>
  <c r="P194" i="31" a="1"/>
  <c r="P194" i="31"/>
  <c r="O195" i="31" a="1"/>
  <c r="O195" i="31"/>
  <c r="P195" i="31" a="1"/>
  <c r="P195" i="31"/>
  <c r="O196" i="31" a="1"/>
  <c r="O196" i="31"/>
  <c r="P196" i="31" a="1"/>
  <c r="P196" i="31"/>
  <c r="O197" i="31" a="1"/>
  <c r="O197" i="31"/>
  <c r="P197" i="31" a="1"/>
  <c r="P197" i="31"/>
  <c r="O198" i="31" a="1"/>
  <c r="O198" i="31"/>
  <c r="P198" i="31" a="1"/>
  <c r="P198" i="31"/>
  <c r="O199" i="31" a="1"/>
  <c r="O199" i="31"/>
  <c r="P199" i="31" a="1"/>
  <c r="P199" i="31"/>
  <c r="O200" i="31" a="1"/>
  <c r="O200" i="31"/>
  <c r="P200" i="31" a="1"/>
  <c r="P200" i="31"/>
  <c r="O201" i="31" a="1"/>
  <c r="O201" i="31"/>
  <c r="P201" i="31" a="1"/>
  <c r="P201" i="31"/>
  <c r="O202" i="31" a="1"/>
  <c r="O202" i="31"/>
  <c r="P202" i="31" a="1"/>
  <c r="P202" i="31"/>
  <c r="O203" i="31" a="1"/>
  <c r="O203" i="31"/>
  <c r="P203" i="31" a="1"/>
  <c r="P203" i="31"/>
  <c r="O204" i="31" a="1"/>
  <c r="O204" i="31"/>
  <c r="P204" i="31" a="1"/>
  <c r="P204" i="31"/>
  <c r="O205" i="31" a="1"/>
  <c r="O205" i="31"/>
  <c r="P205" i="31" a="1"/>
  <c r="P205" i="31"/>
  <c r="O206" i="31" a="1"/>
  <c r="O206" i="31"/>
  <c r="P206" i="31" a="1"/>
  <c r="P206" i="31"/>
  <c r="O207" i="31" a="1"/>
  <c r="O207" i="31"/>
  <c r="P207" i="31" a="1"/>
  <c r="P207" i="31"/>
  <c r="O208" i="31" a="1"/>
  <c r="O208" i="31"/>
  <c r="P208" i="31" a="1"/>
  <c r="P208" i="31"/>
  <c r="O209" i="31" a="1"/>
  <c r="O209" i="31"/>
  <c r="P209" i="31" a="1"/>
  <c r="P209" i="31"/>
  <c r="O210" i="31" a="1"/>
  <c r="O210" i="31"/>
  <c r="P210" i="31" a="1"/>
  <c r="P210" i="31"/>
  <c r="O211" i="31" a="1"/>
  <c r="O211" i="31"/>
  <c r="P211" i="31" a="1"/>
  <c r="P211" i="31"/>
  <c r="O212" i="31" a="1"/>
  <c r="O212" i="31"/>
  <c r="P212" i="31" a="1"/>
  <c r="P212" i="31"/>
  <c r="O213" i="31" a="1"/>
  <c r="O213" i="31"/>
  <c r="P213" i="31" a="1"/>
  <c r="P213" i="31"/>
  <c r="O214" i="31" a="1"/>
  <c r="O214" i="31"/>
  <c r="P214" i="31" a="1"/>
  <c r="P214" i="31"/>
  <c r="O215" i="31" a="1"/>
  <c r="O215" i="31"/>
  <c r="P215" i="31" a="1"/>
  <c r="P215" i="31"/>
  <c r="O216" i="31" a="1"/>
  <c r="O216" i="31"/>
  <c r="P216" i="31" a="1"/>
  <c r="P216" i="31"/>
  <c r="O217" i="31" a="1"/>
  <c r="O217" i="31"/>
  <c r="P217" i="31" a="1"/>
  <c r="P217" i="31"/>
  <c r="O218" i="31" a="1"/>
  <c r="O218" i="31"/>
  <c r="P218" i="31" a="1"/>
  <c r="P218" i="31"/>
  <c r="O219" i="31" a="1"/>
  <c r="O219" i="31"/>
  <c r="P219" i="31" a="1"/>
  <c r="P219" i="31"/>
  <c r="O220" i="31" a="1"/>
  <c r="O220" i="31"/>
  <c r="P220" i="31" a="1"/>
  <c r="P220" i="31"/>
  <c r="O221" i="31" a="1"/>
  <c r="O221" i="31"/>
  <c r="P221" i="31" a="1"/>
  <c r="P221" i="31"/>
  <c r="O222" i="31" a="1"/>
  <c r="O222" i="31"/>
  <c r="P222" i="31" a="1"/>
  <c r="P222" i="31"/>
  <c r="O223" i="31" a="1"/>
  <c r="O223" i="31"/>
  <c r="P223" i="31" a="1"/>
  <c r="P223" i="31"/>
  <c r="O224" i="31" a="1"/>
  <c r="O224" i="31"/>
  <c r="P224" i="31" a="1"/>
  <c r="P224" i="31"/>
  <c r="O225" i="31" a="1"/>
  <c r="O225" i="31"/>
  <c r="P225" i="31" a="1"/>
  <c r="P225" i="31"/>
  <c r="O226" i="31" a="1"/>
  <c r="O226" i="31"/>
  <c r="P226" i="31" a="1"/>
  <c r="P226" i="31"/>
  <c r="O227" i="31" a="1"/>
  <c r="O227" i="31"/>
  <c r="P227" i="31" a="1"/>
  <c r="P227" i="31"/>
  <c r="O228" i="31" a="1"/>
  <c r="O228" i="31"/>
  <c r="P228" i="31" a="1"/>
  <c r="P228" i="31"/>
  <c r="O229" i="31" a="1"/>
  <c r="O229" i="31"/>
  <c r="P229" i="31" a="1"/>
  <c r="P229" i="31"/>
  <c r="O230" i="31" a="1"/>
  <c r="O230" i="31"/>
  <c r="P230" i="31" a="1"/>
  <c r="P230" i="31"/>
  <c r="O231" i="31" a="1"/>
  <c r="O231" i="31"/>
  <c r="P231" i="31" a="1"/>
  <c r="P231" i="31"/>
  <c r="O232" i="31" a="1"/>
  <c r="O232" i="31"/>
  <c r="P232" i="31" a="1"/>
  <c r="P232" i="31"/>
  <c r="O233" i="31" a="1"/>
  <c r="O233" i="31"/>
  <c r="P233" i="31" a="1"/>
  <c r="P233" i="31"/>
  <c r="O234" i="31" a="1"/>
  <c r="O234" i="31"/>
  <c r="P234" i="31" a="1"/>
  <c r="P234" i="31"/>
  <c r="O235" i="31" a="1"/>
  <c r="O235" i="31"/>
  <c r="P235" i="31" a="1"/>
  <c r="P235" i="31"/>
  <c r="O236" i="31" a="1"/>
  <c r="O236" i="31"/>
  <c r="P236" i="31" a="1"/>
  <c r="P236" i="31"/>
  <c r="O237" i="31" a="1"/>
  <c r="O237" i="31"/>
  <c r="P237" i="31" a="1"/>
  <c r="P237" i="31"/>
  <c r="O238" i="31" a="1"/>
  <c r="O238" i="31"/>
  <c r="P238" i="31" a="1"/>
  <c r="P238" i="31"/>
  <c r="O239" i="31" a="1"/>
  <c r="O239" i="31"/>
  <c r="P239" i="31" a="1"/>
  <c r="P239" i="31"/>
  <c r="O240" i="31" a="1"/>
  <c r="O240" i="31"/>
  <c r="P240" i="31" a="1"/>
  <c r="P240" i="31"/>
  <c r="O241" i="31" a="1"/>
  <c r="O241" i="31"/>
  <c r="P241" i="31" a="1"/>
  <c r="P241" i="31"/>
  <c r="O242" i="31" a="1"/>
  <c r="O242" i="31"/>
  <c r="P242" i="31" a="1"/>
  <c r="P242" i="31"/>
  <c r="O243" i="31" a="1"/>
  <c r="O243" i="31"/>
  <c r="P243" i="31" a="1"/>
  <c r="P243" i="31"/>
  <c r="O244" i="31" a="1"/>
  <c r="O244" i="31"/>
  <c r="P244" i="31" a="1"/>
  <c r="P244" i="31"/>
  <c r="O245" i="31" a="1"/>
  <c r="O245" i="31"/>
  <c r="P245" i="31" a="1"/>
  <c r="P245" i="31"/>
  <c r="O246" i="31" a="1"/>
  <c r="O246" i="31"/>
  <c r="P246" i="31" a="1"/>
  <c r="P246" i="31"/>
  <c r="O247" i="31" a="1"/>
  <c r="O247" i="31"/>
  <c r="P247" i="31" a="1"/>
  <c r="P247" i="31"/>
  <c r="O248" i="31" a="1"/>
  <c r="O248" i="31"/>
  <c r="P248" i="31" a="1"/>
  <c r="P248" i="31"/>
  <c r="O249" i="31" a="1"/>
  <c r="O249" i="31"/>
  <c r="P249" i="31" a="1"/>
  <c r="P249" i="31"/>
  <c r="O250" i="31" a="1"/>
  <c r="O250" i="31"/>
  <c r="P250" i="31" a="1"/>
  <c r="P250" i="31"/>
  <c r="O251" i="31" a="1"/>
  <c r="O251" i="31"/>
  <c r="P251" i="31" a="1"/>
  <c r="P251" i="31"/>
  <c r="O252" i="31" a="1"/>
  <c r="O252" i="31"/>
  <c r="P252" i="31" a="1"/>
  <c r="P252" i="31"/>
  <c r="O253" i="31" a="1"/>
  <c r="O253" i="31"/>
  <c r="P253" i="31" a="1"/>
  <c r="P253" i="31"/>
  <c r="O254" i="31" a="1"/>
  <c r="O254" i="31"/>
  <c r="P254" i="31" a="1"/>
  <c r="P254" i="31"/>
  <c r="O255" i="31" a="1"/>
  <c r="O255" i="31"/>
  <c r="P255" i="31" a="1"/>
  <c r="P255" i="31"/>
  <c r="O256" i="31" a="1"/>
  <c r="O256" i="31"/>
  <c r="P256" i="31" a="1"/>
  <c r="P256" i="31"/>
  <c r="O257" i="31" a="1"/>
  <c r="O257" i="31"/>
  <c r="P257" i="31" a="1"/>
  <c r="P257" i="31"/>
  <c r="O258" i="31" a="1"/>
  <c r="O258" i="31"/>
  <c r="P258" i="31" a="1"/>
  <c r="P258" i="31"/>
  <c r="O259" i="31" a="1"/>
  <c r="O259" i="31"/>
  <c r="P259" i="31" a="1"/>
  <c r="P259" i="31"/>
  <c r="O260" i="31" a="1"/>
  <c r="O260" i="31"/>
  <c r="P260" i="31" a="1"/>
  <c r="P260" i="31"/>
  <c r="O261" i="31" a="1"/>
  <c r="O261" i="31"/>
  <c r="P261" i="31" a="1"/>
  <c r="P261" i="31"/>
  <c r="O262" i="31" a="1"/>
  <c r="O262" i="31"/>
  <c r="P262" i="31" a="1"/>
  <c r="P262" i="31"/>
  <c r="O263" i="31" a="1"/>
  <c r="O263" i="31"/>
  <c r="P263" i="31" a="1"/>
  <c r="P263" i="31"/>
  <c r="O264" i="31" a="1"/>
  <c r="O264" i="31"/>
  <c r="P264" i="31" a="1"/>
  <c r="P264" i="31"/>
  <c r="O265" i="31" a="1"/>
  <c r="O265" i="31"/>
  <c r="P265" i="31" a="1"/>
  <c r="P265" i="31"/>
  <c r="O266" i="31" a="1"/>
  <c r="O266" i="31"/>
  <c r="P266" i="31" a="1"/>
  <c r="P266" i="31"/>
  <c r="O267" i="31" a="1"/>
  <c r="O267" i="31"/>
  <c r="P267" i="31" a="1"/>
  <c r="P267" i="31"/>
  <c r="O268" i="31" a="1"/>
  <c r="O268" i="31"/>
  <c r="P268" i="31" a="1"/>
  <c r="P268" i="31"/>
  <c r="O269" i="31" a="1"/>
  <c r="O269" i="31"/>
  <c r="P269" i="31" a="1"/>
  <c r="P269" i="31"/>
  <c r="O270" i="31" a="1"/>
  <c r="O270" i="31"/>
  <c r="P270" i="31" a="1"/>
  <c r="P270" i="31"/>
  <c r="O271" i="31" a="1"/>
  <c r="O271" i="31"/>
  <c r="P271" i="31" a="1"/>
  <c r="P271" i="31"/>
  <c r="O272" i="31" a="1"/>
  <c r="O272" i="31"/>
  <c r="P272" i="31" a="1"/>
  <c r="P272" i="31"/>
  <c r="O273" i="31" a="1"/>
  <c r="O273" i="31"/>
  <c r="P273" i="31" a="1"/>
  <c r="P273" i="31"/>
  <c r="O274" i="31" a="1"/>
  <c r="O274" i="31"/>
  <c r="P274" i="31" a="1"/>
  <c r="P274" i="31"/>
  <c r="O275" i="31" a="1"/>
  <c r="O275" i="31"/>
  <c r="P275" i="31" a="1"/>
  <c r="P275" i="31"/>
  <c r="O276" i="31" a="1"/>
  <c r="O276" i="31"/>
  <c r="P276" i="31" a="1"/>
  <c r="P276" i="31"/>
  <c r="O277" i="31" a="1"/>
  <c r="O277" i="31"/>
  <c r="P277" i="31" a="1"/>
  <c r="P277" i="31"/>
  <c r="O278" i="31" a="1"/>
  <c r="O278" i="31"/>
  <c r="P278" i="31" a="1"/>
  <c r="P278" i="31"/>
  <c r="O279" i="31" a="1"/>
  <c r="O279" i="31"/>
  <c r="P279" i="31" a="1"/>
  <c r="P279" i="31"/>
  <c r="O280" i="31" a="1"/>
  <c r="O280" i="31"/>
  <c r="P280" i="31" a="1"/>
  <c r="P280" i="31"/>
  <c r="O281" i="31" a="1"/>
  <c r="O281" i="31"/>
  <c r="P281" i="31" a="1"/>
  <c r="P281" i="31"/>
  <c r="O282" i="31" a="1"/>
  <c r="O282" i="31"/>
  <c r="P282" i="31" a="1"/>
  <c r="P282" i="31"/>
  <c r="O283" i="31" a="1"/>
  <c r="O283" i="31"/>
  <c r="P283" i="31" a="1"/>
  <c r="P283" i="31"/>
  <c r="O284" i="31" a="1"/>
  <c r="O284" i="31"/>
  <c r="P284" i="31" a="1"/>
  <c r="P284" i="31"/>
  <c r="O285" i="31" a="1"/>
  <c r="O285" i="31"/>
  <c r="P285" i="31" a="1"/>
  <c r="P285" i="31"/>
  <c r="O286" i="31" a="1"/>
  <c r="O286" i="31"/>
  <c r="P286" i="31" a="1"/>
  <c r="P286" i="31"/>
  <c r="O287" i="31" a="1"/>
  <c r="O287" i="31"/>
  <c r="P287" i="31" a="1"/>
  <c r="P287" i="31"/>
  <c r="O288" i="31" a="1"/>
  <c r="O288" i="31"/>
  <c r="P288" i="31" a="1"/>
  <c r="P288" i="31"/>
  <c r="O289" i="31" a="1"/>
  <c r="O289" i="31"/>
  <c r="P289" i="31" a="1"/>
  <c r="P289" i="31"/>
  <c r="O290" i="31" a="1"/>
  <c r="O290" i="31"/>
  <c r="P290" i="31" a="1"/>
  <c r="P290" i="31"/>
  <c r="O291" i="31" a="1"/>
  <c r="O291" i="31"/>
  <c r="P291" i="31" a="1"/>
  <c r="P291" i="31"/>
  <c r="O292" i="31" a="1"/>
  <c r="O292" i="31"/>
  <c r="P292" i="31" a="1"/>
  <c r="P292" i="31"/>
  <c r="O293" i="31" a="1"/>
  <c r="O293" i="31"/>
  <c r="P293" i="31" a="1"/>
  <c r="P293" i="31"/>
  <c r="O294" i="31" a="1"/>
  <c r="O294" i="31"/>
  <c r="P294" i="31" a="1"/>
  <c r="P294" i="31"/>
  <c r="O295" i="31" a="1"/>
  <c r="O295" i="31"/>
  <c r="P295" i="31" a="1"/>
  <c r="P295" i="31"/>
  <c r="O296" i="31" a="1"/>
  <c r="O296" i="31"/>
  <c r="P296" i="31" a="1"/>
  <c r="P296" i="31"/>
  <c r="O297" i="31" a="1"/>
  <c r="O297" i="31"/>
  <c r="P297" i="31" a="1"/>
  <c r="P297" i="31"/>
  <c r="O298" i="31" a="1"/>
  <c r="O298" i="31"/>
  <c r="P298" i="31" a="1"/>
  <c r="P298" i="31"/>
  <c r="O299" i="31" a="1"/>
  <c r="O299" i="31"/>
  <c r="P299" i="31" a="1"/>
  <c r="P299" i="31"/>
  <c r="O300" i="31" a="1"/>
  <c r="O300" i="31"/>
  <c r="P300" i="31" a="1"/>
  <c r="P300" i="31"/>
  <c r="O301" i="31" a="1"/>
  <c r="O301" i="31"/>
  <c r="P301" i="31" a="1"/>
  <c r="P301" i="31"/>
  <c r="O302" i="31" a="1"/>
  <c r="O302" i="31"/>
  <c r="P302" i="31" a="1"/>
  <c r="P302" i="31"/>
  <c r="O303" i="31" a="1"/>
  <c r="O303" i="31"/>
  <c r="P303" i="31" a="1"/>
  <c r="P303" i="31"/>
  <c r="O304" i="31" a="1"/>
  <c r="O304" i="31"/>
  <c r="P304" i="31" a="1"/>
  <c r="P304" i="31"/>
  <c r="O305" i="31" a="1"/>
  <c r="O305" i="31"/>
  <c r="P305" i="31" a="1"/>
  <c r="P305" i="31"/>
  <c r="O306" i="31" a="1"/>
  <c r="O306" i="31"/>
  <c r="P306" i="31" a="1"/>
  <c r="P306" i="31"/>
  <c r="O307" i="31" a="1"/>
  <c r="O307" i="31"/>
  <c r="P307" i="31" a="1"/>
  <c r="P307" i="31"/>
  <c r="O308" i="31" a="1"/>
  <c r="O308" i="31"/>
  <c r="P308" i="31" a="1"/>
  <c r="P308" i="31"/>
  <c r="O309" i="31" a="1"/>
  <c r="O309" i="31"/>
  <c r="P309" i="31" a="1"/>
  <c r="P309" i="31"/>
  <c r="O310" i="31" a="1"/>
  <c r="O310" i="31"/>
  <c r="P310" i="31" a="1"/>
  <c r="P310" i="31"/>
  <c r="O311" i="31" a="1"/>
  <c r="O311" i="31"/>
  <c r="P311" i="31" a="1"/>
  <c r="P311" i="31"/>
  <c r="O312" i="31" a="1"/>
  <c r="O312" i="31"/>
  <c r="P312" i="31" a="1"/>
  <c r="P312" i="31"/>
  <c r="O313" i="31" a="1"/>
  <c r="O313" i="31"/>
  <c r="P313" i="31" a="1"/>
  <c r="P313" i="31"/>
  <c r="O314" i="31" a="1"/>
  <c r="O314" i="31"/>
  <c r="P314" i="31" a="1"/>
  <c r="P314" i="31"/>
  <c r="O315" i="31" a="1"/>
  <c r="O315" i="31"/>
  <c r="P315" i="31" a="1"/>
  <c r="P315" i="31"/>
  <c r="O316" i="31" a="1"/>
  <c r="O316" i="31"/>
  <c r="P316" i="31" a="1"/>
  <c r="P316" i="31"/>
  <c r="O317" i="31" a="1"/>
  <c r="O317" i="31"/>
  <c r="P317" i="31" a="1"/>
  <c r="P317" i="31"/>
  <c r="O318" i="31" a="1"/>
  <c r="O318" i="31"/>
  <c r="P318" i="31" a="1"/>
  <c r="P318" i="31"/>
  <c r="O319" i="31" a="1"/>
  <c r="O319" i="31"/>
  <c r="P319" i="31" a="1"/>
  <c r="P319" i="31"/>
  <c r="O320" i="31" a="1"/>
  <c r="O320" i="31"/>
  <c r="P320" i="31" a="1"/>
  <c r="P320" i="31"/>
  <c r="O321" i="31" a="1"/>
  <c r="O321" i="31"/>
  <c r="P321" i="31" a="1"/>
  <c r="P321" i="31"/>
  <c r="O322" i="31" a="1"/>
  <c r="O322" i="31"/>
  <c r="P322" i="31" a="1"/>
  <c r="P322" i="31"/>
  <c r="O323" i="31" a="1"/>
  <c r="O323" i="31"/>
  <c r="P323" i="31" a="1"/>
  <c r="P323" i="31"/>
  <c r="O324" i="31" a="1"/>
  <c r="O324" i="31"/>
  <c r="P324" i="31" a="1"/>
  <c r="P324" i="31"/>
  <c r="O325" i="31" a="1"/>
  <c r="O325" i="31"/>
  <c r="P325" i="31" a="1"/>
  <c r="P325" i="31"/>
  <c r="O326" i="31" a="1"/>
  <c r="O326" i="31"/>
  <c r="P326" i="31" a="1"/>
  <c r="P326" i="31"/>
  <c r="O327" i="31" a="1"/>
  <c r="O327" i="31"/>
  <c r="P327" i="31" a="1"/>
  <c r="P327" i="31"/>
  <c r="O328" i="31" a="1"/>
  <c r="O328" i="31"/>
  <c r="P328" i="31" a="1"/>
  <c r="P328" i="31"/>
  <c r="O329" i="31" a="1"/>
  <c r="O329" i="31"/>
  <c r="P329" i="31" a="1"/>
  <c r="P329" i="31"/>
  <c r="O330" i="31" a="1"/>
  <c r="O330" i="31"/>
  <c r="P330" i="31" a="1"/>
  <c r="P330" i="31"/>
  <c r="O331" i="31" a="1"/>
  <c r="O331" i="31"/>
  <c r="P331" i="31" a="1"/>
  <c r="P331" i="31"/>
  <c r="O332" i="31" a="1"/>
  <c r="O332" i="31"/>
  <c r="P332" i="31" a="1"/>
  <c r="P332" i="31"/>
  <c r="O333" i="31" a="1"/>
  <c r="O333" i="31"/>
  <c r="P333" i="31" a="1"/>
  <c r="P333" i="31"/>
  <c r="O334" i="31" a="1"/>
  <c r="O334" i="31"/>
  <c r="P334" i="31" a="1"/>
  <c r="P334" i="31"/>
  <c r="O335" i="31" a="1"/>
  <c r="O335" i="31"/>
  <c r="P335" i="31" a="1"/>
  <c r="P335" i="31"/>
  <c r="O336" i="31" a="1"/>
  <c r="O336" i="31"/>
  <c r="P336" i="31" a="1"/>
  <c r="P336" i="31"/>
  <c r="O337" i="31" a="1"/>
  <c r="O337" i="31"/>
  <c r="P337" i="31" a="1"/>
  <c r="P337" i="31"/>
  <c r="O338" i="31" a="1"/>
  <c r="O338" i="31"/>
  <c r="P338" i="31" a="1"/>
  <c r="P338" i="31"/>
  <c r="O339" i="31" a="1"/>
  <c r="O339" i="31"/>
  <c r="P339" i="31" a="1"/>
  <c r="P339" i="31"/>
  <c r="O340" i="31" a="1"/>
  <c r="O340" i="31"/>
  <c r="P340" i="31" a="1"/>
  <c r="P340" i="31"/>
  <c r="O341" i="31" a="1"/>
  <c r="O341" i="31"/>
  <c r="P341" i="31" a="1"/>
  <c r="P341" i="31"/>
  <c r="O342" i="31" a="1"/>
  <c r="O342" i="31"/>
  <c r="P342" i="31" a="1"/>
  <c r="P342" i="31"/>
  <c r="O343" i="31" a="1"/>
  <c r="O343" i="31"/>
  <c r="P343" i="31" a="1"/>
  <c r="P343" i="31"/>
  <c r="O344" i="31" a="1"/>
  <c r="O344" i="31"/>
  <c r="P344" i="31" a="1"/>
  <c r="P344" i="31"/>
  <c r="O345" i="31" a="1"/>
  <c r="O345" i="31"/>
  <c r="P345" i="31" a="1"/>
  <c r="P345" i="31"/>
  <c r="O346" i="31" a="1"/>
  <c r="O346" i="31"/>
  <c r="P346" i="31" a="1"/>
  <c r="P346" i="31"/>
  <c r="O347" i="31" a="1"/>
  <c r="O347" i="31"/>
  <c r="P347" i="31" a="1"/>
  <c r="P347" i="31"/>
  <c r="O348" i="31" a="1"/>
  <c r="O348" i="31"/>
  <c r="P348" i="31" a="1"/>
  <c r="P348" i="31"/>
  <c r="O349" i="31" a="1"/>
  <c r="O349" i="31"/>
  <c r="P349" i="31" a="1"/>
  <c r="P349" i="31"/>
  <c r="O350" i="31" a="1"/>
  <c r="O350" i="31"/>
  <c r="P350" i="31" a="1"/>
  <c r="P350" i="31"/>
  <c r="O351" i="31" a="1"/>
  <c r="O351" i="31"/>
  <c r="P351" i="31" a="1"/>
  <c r="P351" i="31"/>
  <c r="O352" i="31" a="1"/>
  <c r="O352" i="31"/>
  <c r="P352" i="31" a="1"/>
  <c r="P352" i="31"/>
  <c r="O353" i="31" a="1"/>
  <c r="O353" i="31"/>
  <c r="P353" i="31" a="1"/>
  <c r="P353" i="31"/>
  <c r="O354" i="31" a="1"/>
  <c r="O354" i="31"/>
  <c r="P354" i="31" a="1"/>
  <c r="P354" i="31"/>
  <c r="O355" i="31" a="1"/>
  <c r="O355" i="31"/>
  <c r="P355" i="31" a="1"/>
  <c r="P355" i="31"/>
  <c r="O356" i="31" a="1"/>
  <c r="O356" i="31"/>
  <c r="P356" i="31" a="1"/>
  <c r="P356" i="31"/>
  <c r="O357" i="31" a="1"/>
  <c r="O357" i="31"/>
  <c r="P357" i="31" a="1"/>
  <c r="P357" i="31"/>
  <c r="O358" i="31" a="1"/>
  <c r="O358" i="31"/>
  <c r="P358" i="31" a="1"/>
  <c r="P358" i="31"/>
  <c r="O359" i="31" a="1"/>
  <c r="O359" i="31"/>
  <c r="P359" i="31" a="1"/>
  <c r="P359" i="31"/>
  <c r="O360" i="31" a="1"/>
  <c r="O360" i="31"/>
  <c r="P360" i="31" a="1"/>
  <c r="P360" i="31"/>
  <c r="O361" i="31" a="1"/>
  <c r="O361" i="31"/>
  <c r="P361" i="31" a="1"/>
  <c r="P361" i="31"/>
  <c r="O362" i="31" a="1"/>
  <c r="O362" i="31"/>
  <c r="P362" i="31" a="1"/>
  <c r="P362" i="31"/>
  <c r="O363" i="31" a="1"/>
  <c r="O363" i="31"/>
  <c r="P363" i="31" a="1"/>
  <c r="P363" i="31"/>
  <c r="O364" i="31" a="1"/>
  <c r="O364" i="31"/>
  <c r="P364" i="31" a="1"/>
  <c r="P364" i="31"/>
  <c r="O365" i="31" a="1"/>
  <c r="O365" i="31"/>
  <c r="P365" i="31" a="1"/>
  <c r="P365" i="31"/>
  <c r="O366" i="31" a="1"/>
  <c r="O366" i="31"/>
  <c r="P366" i="31" a="1"/>
  <c r="P366" i="31"/>
  <c r="O367" i="31" a="1"/>
  <c r="O367" i="31"/>
  <c r="P367" i="31" a="1"/>
  <c r="P367" i="31"/>
  <c r="O368" i="31" a="1"/>
  <c r="O368" i="31"/>
  <c r="P368" i="31" a="1"/>
  <c r="P368" i="31"/>
  <c r="O369" i="31" a="1"/>
  <c r="O369" i="31"/>
  <c r="P369" i="31" a="1"/>
  <c r="P369" i="31"/>
  <c r="O370" i="31" a="1"/>
  <c r="O370" i="31"/>
  <c r="P370" i="31" a="1"/>
  <c r="P370" i="31"/>
  <c r="O371" i="31" a="1"/>
  <c r="O371" i="31"/>
  <c r="P371" i="31" a="1"/>
  <c r="P371" i="31"/>
  <c r="O372" i="31" a="1"/>
  <c r="O372" i="31"/>
  <c r="P372" i="31" a="1"/>
  <c r="P372" i="31"/>
  <c r="O373" i="31" a="1"/>
  <c r="O373" i="31"/>
  <c r="P373" i="31" a="1"/>
  <c r="P373" i="31"/>
  <c r="O374" i="31" a="1"/>
  <c r="O374" i="31"/>
  <c r="P374" i="31" a="1"/>
  <c r="P374" i="31"/>
  <c r="O375" i="31" a="1"/>
  <c r="O375" i="31"/>
  <c r="P375" i="31" a="1"/>
  <c r="P375" i="31"/>
  <c r="O376" i="31" a="1"/>
  <c r="O376" i="31"/>
  <c r="P376" i="31" a="1"/>
  <c r="P376" i="31"/>
  <c r="O377" i="31" a="1"/>
  <c r="O377" i="31"/>
  <c r="P377" i="31" a="1"/>
  <c r="P377" i="31"/>
  <c r="O378" i="31" a="1"/>
  <c r="O378" i="31"/>
  <c r="P378" i="31" a="1"/>
  <c r="P378" i="31"/>
  <c r="O379" i="31" a="1"/>
  <c r="O379" i="31"/>
  <c r="P379" i="31" a="1"/>
  <c r="P379" i="31"/>
  <c r="O380" i="31" a="1"/>
  <c r="O380" i="31"/>
  <c r="P380" i="31" a="1"/>
  <c r="P380" i="31"/>
  <c r="O381" i="31" a="1"/>
  <c r="O381" i="31"/>
  <c r="P381" i="31" a="1"/>
  <c r="P381" i="31"/>
  <c r="O382" i="31" a="1"/>
  <c r="O382" i="31"/>
  <c r="P382" i="31" a="1"/>
  <c r="P382" i="31"/>
  <c r="O383" i="31" a="1"/>
  <c r="O383" i="31"/>
  <c r="P383" i="31" a="1"/>
  <c r="P383" i="31"/>
  <c r="O384" i="31" a="1"/>
  <c r="O384" i="31"/>
  <c r="P384" i="31" a="1"/>
  <c r="P384" i="31"/>
  <c r="O385" i="31" a="1"/>
  <c r="O385" i="31"/>
  <c r="P385" i="31" a="1"/>
  <c r="P385" i="31"/>
  <c r="O386" i="31" a="1"/>
  <c r="O386" i="31"/>
  <c r="P386" i="31" a="1"/>
  <c r="P386" i="31"/>
  <c r="O387" i="31" a="1"/>
  <c r="O387" i="31"/>
  <c r="P387" i="31" a="1"/>
  <c r="P387" i="31"/>
  <c r="O388" i="31" a="1"/>
  <c r="O388" i="31"/>
  <c r="P388" i="31" a="1"/>
  <c r="P388" i="31"/>
  <c r="O389" i="31" a="1"/>
  <c r="O389" i="31"/>
  <c r="P389" i="31" a="1"/>
  <c r="P389" i="31"/>
  <c r="O390" i="31" a="1"/>
  <c r="O390" i="31"/>
  <c r="P390" i="31" a="1"/>
  <c r="P390" i="31"/>
  <c r="O391" i="31" a="1"/>
  <c r="O391" i="31"/>
  <c r="P391" i="31" a="1"/>
  <c r="P391" i="31"/>
  <c r="O392" i="31" a="1"/>
  <c r="O392" i="31"/>
  <c r="P392" i="31" a="1"/>
  <c r="P392" i="31"/>
  <c r="O393" i="31" a="1"/>
  <c r="O393" i="31"/>
  <c r="P393" i="31" a="1"/>
  <c r="P393" i="31"/>
  <c r="O394" i="31" a="1"/>
  <c r="O394" i="31"/>
  <c r="P394" i="31" a="1"/>
  <c r="P394" i="31"/>
  <c r="O395" i="31" a="1"/>
  <c r="O395" i="31"/>
  <c r="P395" i="31" a="1"/>
  <c r="P395" i="31"/>
  <c r="O396" i="31" a="1"/>
  <c r="O396" i="31"/>
  <c r="P396" i="31" a="1"/>
  <c r="P396" i="31"/>
  <c r="O397" i="31" a="1"/>
  <c r="O397" i="31"/>
  <c r="P397" i="31" a="1"/>
  <c r="P397" i="31"/>
  <c r="O398" i="31" a="1"/>
  <c r="O398" i="31"/>
  <c r="P398" i="31" a="1"/>
  <c r="P398" i="31"/>
  <c r="O399" i="31" a="1"/>
  <c r="O399" i="31"/>
  <c r="P399" i="31" a="1"/>
  <c r="P399" i="31"/>
  <c r="O400" i="31" a="1"/>
  <c r="O400" i="31"/>
  <c r="P400" i="31" a="1"/>
  <c r="P400" i="31"/>
  <c r="O401" i="31" a="1"/>
  <c r="O401" i="31"/>
  <c r="P401" i="31" a="1"/>
  <c r="P401" i="31"/>
  <c r="O402" i="31" a="1"/>
  <c r="O402" i="31"/>
  <c r="P402" i="31" a="1"/>
  <c r="P402" i="31"/>
  <c r="O403" i="31" a="1"/>
  <c r="O403" i="31"/>
  <c r="P403" i="31" a="1"/>
  <c r="P403" i="31"/>
  <c r="O404" i="31" a="1"/>
  <c r="O404" i="31"/>
  <c r="P404" i="31" a="1"/>
  <c r="P404" i="31"/>
  <c r="O405" i="31" a="1"/>
  <c r="O405" i="31"/>
  <c r="P405" i="31" a="1"/>
  <c r="P405" i="31"/>
  <c r="O406" i="31" a="1"/>
  <c r="O406" i="31"/>
  <c r="P406" i="31" a="1"/>
  <c r="P406" i="31"/>
  <c r="O407" i="31" a="1"/>
  <c r="O407" i="31"/>
  <c r="P407" i="31" a="1"/>
  <c r="P407" i="31"/>
  <c r="O408" i="31" a="1"/>
  <c r="O408" i="31"/>
  <c r="P408" i="31" a="1"/>
  <c r="P408" i="31"/>
  <c r="O409" i="31" a="1"/>
  <c r="O409" i="31"/>
  <c r="P409" i="31" a="1"/>
  <c r="P409" i="31"/>
  <c r="O410" i="31" a="1"/>
  <c r="O410" i="31"/>
  <c r="P410" i="31" a="1"/>
  <c r="P410" i="31"/>
  <c r="O411" i="31" a="1"/>
  <c r="O411" i="31"/>
  <c r="P411" i="31" a="1"/>
  <c r="P411" i="31"/>
  <c r="O412" i="31" a="1"/>
  <c r="O412" i="31"/>
  <c r="P412" i="31" a="1"/>
  <c r="P412" i="31"/>
  <c r="O413" i="31" a="1"/>
  <c r="O413" i="31"/>
  <c r="P413" i="31" a="1"/>
  <c r="P413" i="31"/>
  <c r="O414" i="31" a="1"/>
  <c r="O414" i="31"/>
  <c r="P414" i="31" a="1"/>
  <c r="P414" i="31"/>
  <c r="O415" i="31" a="1"/>
  <c r="O415" i="31"/>
  <c r="P415" i="31" a="1"/>
  <c r="P415" i="31"/>
  <c r="O416" i="31" a="1"/>
  <c r="O416" i="31"/>
  <c r="P416" i="31" a="1"/>
  <c r="P416" i="31"/>
  <c r="O417" i="31" a="1"/>
  <c r="O417" i="31"/>
  <c r="P417" i="31" a="1"/>
  <c r="P417" i="31"/>
  <c r="O418" i="31" a="1"/>
  <c r="O418" i="31"/>
  <c r="P418" i="31" a="1"/>
  <c r="P418" i="31"/>
  <c r="O419" i="31" a="1"/>
  <c r="O419" i="31"/>
  <c r="P419" i="31" a="1"/>
  <c r="P419" i="31"/>
  <c r="O420" i="31" a="1"/>
  <c r="O420" i="31"/>
  <c r="P420" i="31" a="1"/>
  <c r="P420" i="31"/>
  <c r="O421" i="31" a="1"/>
  <c r="O421" i="31"/>
  <c r="P421" i="31" a="1"/>
  <c r="P421" i="31"/>
  <c r="O422" i="31" a="1"/>
  <c r="O422" i="31"/>
  <c r="P422" i="31" a="1"/>
  <c r="P422" i="31"/>
  <c r="O423" i="31" a="1"/>
  <c r="O423" i="31"/>
  <c r="P423" i="31" a="1"/>
  <c r="P423" i="31"/>
  <c r="O424" i="31" a="1"/>
  <c r="O424" i="31"/>
  <c r="P424" i="31" a="1"/>
  <c r="P424" i="31"/>
  <c r="O425" i="31" a="1"/>
  <c r="O425" i="31"/>
  <c r="P425" i="31" a="1"/>
  <c r="P425" i="31"/>
  <c r="O426" i="31" a="1"/>
  <c r="O426" i="31"/>
  <c r="P426" i="31" a="1"/>
  <c r="P426" i="31"/>
  <c r="O427" i="31" a="1"/>
  <c r="O427" i="31"/>
  <c r="P427" i="31" a="1"/>
  <c r="P427" i="31"/>
  <c r="O428" i="31" a="1"/>
  <c r="O428" i="31"/>
  <c r="P428" i="31" a="1"/>
  <c r="P428" i="31"/>
  <c r="O429" i="31" a="1"/>
  <c r="O429" i="31"/>
  <c r="P429" i="31" a="1"/>
  <c r="P429" i="31"/>
  <c r="O430" i="31" a="1"/>
  <c r="O430" i="31"/>
  <c r="P430" i="31" a="1"/>
  <c r="P430" i="31"/>
  <c r="O431" i="31" a="1"/>
  <c r="O431" i="31"/>
  <c r="P431" i="31" a="1"/>
  <c r="P431" i="31"/>
  <c r="O432" i="31" a="1"/>
  <c r="O432" i="31"/>
  <c r="P432" i="31" a="1"/>
  <c r="P432" i="31"/>
  <c r="O433" i="31" a="1"/>
  <c r="O433" i="31"/>
  <c r="P433" i="31" a="1"/>
  <c r="P433" i="31"/>
  <c r="O434" i="31" a="1"/>
  <c r="O434" i="31"/>
  <c r="P434" i="31" a="1"/>
  <c r="P434" i="31"/>
  <c r="O435" i="31" a="1"/>
  <c r="O435" i="31"/>
  <c r="P435" i="31" a="1"/>
  <c r="P435" i="31"/>
  <c r="O436" i="31" a="1"/>
  <c r="O436" i="31"/>
  <c r="P436" i="31" a="1"/>
  <c r="P436" i="31"/>
  <c r="O437" i="31" a="1"/>
  <c r="O437" i="31"/>
  <c r="P437" i="31" a="1"/>
  <c r="P437" i="31"/>
  <c r="O438" i="31" a="1"/>
  <c r="O438" i="31"/>
  <c r="P438" i="31" a="1"/>
  <c r="P438" i="31"/>
  <c r="O439" i="31" a="1"/>
  <c r="O439" i="31"/>
  <c r="P439" i="31" a="1"/>
  <c r="P439" i="31"/>
  <c r="O440" i="31" a="1"/>
  <c r="O440" i="31"/>
  <c r="P440" i="31" a="1"/>
  <c r="P440" i="31"/>
  <c r="O441" i="31" a="1"/>
  <c r="O441" i="31"/>
  <c r="P441" i="31" a="1"/>
  <c r="P441" i="31"/>
  <c r="O442" i="31" a="1"/>
  <c r="O442" i="31"/>
  <c r="P442" i="31" a="1"/>
  <c r="P442" i="31"/>
  <c r="O443" i="31" a="1"/>
  <c r="O443" i="31"/>
  <c r="P443" i="31" a="1"/>
  <c r="P443" i="31"/>
  <c r="O444" i="31" a="1"/>
  <c r="O444" i="31"/>
  <c r="P444" i="31" a="1"/>
  <c r="P444" i="31"/>
  <c r="O445" i="31" a="1"/>
  <c r="O445" i="31"/>
  <c r="P445" i="31" a="1"/>
  <c r="P445" i="31"/>
  <c r="O446" i="31" a="1"/>
  <c r="O446" i="31"/>
  <c r="P446" i="31" a="1"/>
  <c r="P446" i="31"/>
  <c r="O447" i="31" a="1"/>
  <c r="O447" i="31"/>
  <c r="P447" i="31" a="1"/>
  <c r="P447" i="31"/>
  <c r="O448" i="31" a="1"/>
  <c r="O448" i="31"/>
  <c r="P448" i="31" a="1"/>
  <c r="P448" i="31"/>
  <c r="O449" i="31" a="1"/>
  <c r="O449" i="31"/>
  <c r="P449" i="31" a="1"/>
  <c r="P449" i="31"/>
  <c r="O450" i="31" a="1"/>
  <c r="O450" i="31"/>
  <c r="P450" i="31" a="1"/>
  <c r="P450" i="31"/>
  <c r="O451" i="31" a="1"/>
  <c r="O451" i="31"/>
  <c r="P451" i="31" a="1"/>
  <c r="P451" i="31"/>
  <c r="O452" i="31" a="1"/>
  <c r="O452" i="31"/>
  <c r="P452" i="31" a="1"/>
  <c r="P452" i="31"/>
  <c r="O453" i="31" a="1"/>
  <c r="O453" i="31"/>
  <c r="P453" i="31" a="1"/>
  <c r="P453" i="31"/>
  <c r="O454" i="31" a="1"/>
  <c r="O454" i="31"/>
  <c r="P454" i="31" a="1"/>
  <c r="P454" i="31"/>
  <c r="O455" i="31" a="1"/>
  <c r="O455" i="31"/>
  <c r="P455" i="31" a="1"/>
  <c r="P455" i="31"/>
  <c r="O456" i="31" a="1"/>
  <c r="O456" i="31"/>
  <c r="P456" i="31" a="1"/>
  <c r="P456" i="31"/>
  <c r="O457" i="31" a="1"/>
  <c r="O457" i="31"/>
  <c r="P457" i="31" a="1"/>
  <c r="P457" i="31"/>
  <c r="O458" i="31" a="1"/>
  <c r="O458" i="31"/>
  <c r="P458" i="31" a="1"/>
  <c r="P458" i="31"/>
  <c r="O459" i="31" a="1"/>
  <c r="O459" i="31"/>
  <c r="P459" i="31" a="1"/>
  <c r="P459" i="31"/>
  <c r="O460" i="31" a="1"/>
  <c r="O460" i="31"/>
  <c r="P460" i="31" a="1"/>
  <c r="P460" i="31"/>
  <c r="O461" i="31" a="1"/>
  <c r="O461" i="31"/>
  <c r="P461" i="31" a="1"/>
  <c r="P461" i="31"/>
  <c r="O462" i="31" a="1"/>
  <c r="O462" i="31"/>
  <c r="P462" i="31" a="1"/>
  <c r="P462" i="31"/>
  <c r="O463" i="31" a="1"/>
  <c r="O463" i="31"/>
  <c r="P463" i="31" a="1"/>
  <c r="P463" i="31"/>
  <c r="O464" i="31" a="1"/>
  <c r="O464" i="31"/>
  <c r="P464" i="31" a="1"/>
  <c r="P464" i="31"/>
  <c r="O465" i="31" a="1"/>
  <c r="O465" i="31"/>
  <c r="P465" i="31" a="1"/>
  <c r="P465" i="31"/>
  <c r="O466" i="31" a="1"/>
  <c r="O466" i="31"/>
  <c r="P466" i="31" a="1"/>
  <c r="P466" i="31"/>
  <c r="O467" i="31" a="1"/>
  <c r="O467" i="31"/>
  <c r="P467" i="31" a="1"/>
  <c r="P467" i="31"/>
  <c r="O468" i="31" a="1"/>
  <c r="O468" i="31"/>
  <c r="P468" i="31" a="1"/>
  <c r="P468" i="31"/>
  <c r="O469" i="31" a="1"/>
  <c r="O469" i="31"/>
  <c r="P469" i="31" a="1"/>
  <c r="P469" i="31"/>
  <c r="O470" i="31" a="1"/>
  <c r="O470" i="31"/>
  <c r="P470" i="31" a="1"/>
  <c r="P470" i="31"/>
  <c r="O471" i="31" a="1"/>
  <c r="O471" i="31"/>
  <c r="P471" i="31" a="1"/>
  <c r="P471" i="31"/>
  <c r="O472" i="31" a="1"/>
  <c r="O472" i="31"/>
  <c r="P472" i="31" a="1"/>
  <c r="P472" i="31"/>
  <c r="O473" i="31" a="1"/>
  <c r="O473" i="31"/>
  <c r="P473" i="31" a="1"/>
  <c r="P473" i="31"/>
  <c r="O474" i="31" a="1"/>
  <c r="O474" i="31"/>
  <c r="P474" i="31" a="1"/>
  <c r="P474" i="31"/>
  <c r="O475" i="31" a="1"/>
  <c r="O475" i="31"/>
  <c r="P475" i="31" a="1"/>
  <c r="P475" i="31"/>
  <c r="O476" i="31" a="1"/>
  <c r="O476" i="31"/>
  <c r="P476" i="31" a="1"/>
  <c r="P476" i="31"/>
  <c r="O477" i="31" a="1"/>
  <c r="O477" i="31"/>
  <c r="P477" i="31" a="1"/>
  <c r="P477" i="31"/>
  <c r="O478" i="31" a="1"/>
  <c r="O478" i="31"/>
  <c r="P478" i="31" a="1"/>
  <c r="P478" i="31"/>
  <c r="O479" i="31" a="1"/>
  <c r="O479" i="31"/>
  <c r="P479" i="31" a="1"/>
  <c r="P479" i="31"/>
  <c r="O480" i="31" a="1"/>
  <c r="O480" i="31"/>
  <c r="P480" i="31" a="1"/>
  <c r="P480" i="31"/>
  <c r="O481" i="31" a="1"/>
  <c r="O481" i="31"/>
  <c r="P481" i="31" a="1"/>
  <c r="P481" i="31"/>
  <c r="O482" i="31" a="1"/>
  <c r="O482" i="31"/>
  <c r="P482" i="31" a="1"/>
  <c r="P482" i="31"/>
  <c r="O483" i="31" a="1"/>
  <c r="O483" i="31"/>
  <c r="P483" i="31" a="1"/>
  <c r="P483" i="31"/>
  <c r="O484" i="31" a="1"/>
  <c r="O484" i="31"/>
  <c r="P484" i="31" a="1"/>
  <c r="P484" i="31"/>
  <c r="O485" i="31" a="1"/>
  <c r="O485" i="31"/>
  <c r="P485" i="31" a="1"/>
  <c r="P485" i="31"/>
  <c r="O486" i="31" a="1"/>
  <c r="O486" i="31"/>
  <c r="P486" i="31" a="1"/>
  <c r="P486" i="31"/>
  <c r="O487" i="31" a="1"/>
  <c r="O487" i="31"/>
  <c r="P487" i="31" a="1"/>
  <c r="P487" i="31"/>
  <c r="O488" i="31" a="1"/>
  <c r="O488" i="31"/>
  <c r="P488" i="31" a="1"/>
  <c r="P488" i="31"/>
  <c r="O489" i="31" a="1"/>
  <c r="O489" i="31"/>
  <c r="P489" i="31" a="1"/>
  <c r="P489" i="31"/>
  <c r="O490" i="31" a="1"/>
  <c r="O490" i="31"/>
  <c r="P490" i="31" a="1"/>
  <c r="P490" i="31"/>
  <c r="O491" i="31" a="1"/>
  <c r="O491" i="31"/>
  <c r="P491" i="31" a="1"/>
  <c r="P491" i="31"/>
  <c r="O492" i="31" a="1"/>
  <c r="O492" i="31"/>
  <c r="P492" i="31" a="1"/>
  <c r="P492" i="31"/>
  <c r="O493" i="31" a="1"/>
  <c r="O493" i="31"/>
  <c r="P493" i="31" a="1"/>
  <c r="P493" i="31"/>
  <c r="O494" i="31" a="1"/>
  <c r="O494" i="31"/>
  <c r="P494" i="31" a="1"/>
  <c r="P494" i="31"/>
  <c r="O495" i="31" a="1"/>
  <c r="O495" i="31"/>
  <c r="P495" i="31" a="1"/>
  <c r="P495" i="31"/>
  <c r="O496" i="31" a="1"/>
  <c r="O496" i="31"/>
  <c r="P496" i="31" a="1"/>
  <c r="P496" i="31"/>
  <c r="O497" i="31" a="1"/>
  <c r="O497" i="31"/>
  <c r="P497" i="31" a="1"/>
  <c r="P497" i="31"/>
  <c r="O498" i="31" a="1"/>
  <c r="O498" i="31"/>
  <c r="P498" i="31" a="1"/>
  <c r="P498" i="31"/>
  <c r="O499" i="31" a="1"/>
  <c r="O499" i="31"/>
  <c r="P499" i="31" a="1"/>
  <c r="P499" i="31"/>
  <c r="O500" i="31" a="1"/>
  <c r="O500" i="31"/>
  <c r="P500" i="31" a="1"/>
  <c r="P500" i="31"/>
  <c r="O501" i="31" a="1"/>
  <c r="O501" i="31"/>
  <c r="P501" i="31" a="1"/>
  <c r="P501" i="31"/>
  <c r="O502" i="31" a="1"/>
  <c r="O502" i="31"/>
  <c r="P502" i="31" a="1"/>
  <c r="P502" i="31"/>
  <c r="O503" i="31" a="1"/>
  <c r="O503" i="31"/>
  <c r="P503" i="31" a="1"/>
  <c r="P503" i="31"/>
  <c r="O504" i="31" a="1"/>
  <c r="O504" i="31"/>
  <c r="P504" i="31" a="1"/>
  <c r="P504" i="31"/>
  <c r="O505" i="31" a="1"/>
  <c r="O505" i="31"/>
  <c r="P505" i="31" a="1"/>
  <c r="P505" i="31"/>
  <c r="O506" i="31" a="1"/>
  <c r="O506" i="31"/>
  <c r="P506" i="31" a="1"/>
  <c r="P506" i="31"/>
  <c r="O507" i="31" a="1"/>
  <c r="O507" i="31"/>
  <c r="P507" i="31" a="1"/>
  <c r="P507" i="31"/>
  <c r="O508" i="31" a="1"/>
  <c r="O508" i="31"/>
  <c r="P508" i="31" a="1"/>
  <c r="P508" i="31"/>
  <c r="O509" i="31" a="1"/>
  <c r="O509" i="31"/>
  <c r="P509" i="31" a="1"/>
  <c r="P509" i="31"/>
  <c r="O510" i="31" a="1"/>
  <c r="O510" i="31"/>
  <c r="P510" i="31" a="1"/>
  <c r="P510" i="31"/>
  <c r="O511" i="31" a="1"/>
  <c r="O511" i="31"/>
  <c r="P511" i="31" a="1"/>
  <c r="P511" i="31"/>
  <c r="O512" i="31" a="1"/>
  <c r="O512" i="31"/>
  <c r="P512" i="31" a="1"/>
  <c r="P512" i="31"/>
  <c r="O513" i="31" a="1"/>
  <c r="O513" i="31"/>
  <c r="P513" i="31" a="1"/>
  <c r="P513" i="31"/>
  <c r="O514" i="31" a="1"/>
  <c r="O514" i="31"/>
  <c r="P514" i="31" a="1"/>
  <c r="P514" i="31"/>
  <c r="O515" i="31" a="1"/>
  <c r="O515" i="31"/>
  <c r="P515" i="31" a="1"/>
  <c r="P515" i="31"/>
  <c r="O516" i="31" a="1"/>
  <c r="O516" i="31"/>
  <c r="P516" i="31" a="1"/>
  <c r="P516" i="31"/>
  <c r="O517" i="31" a="1"/>
  <c r="O517" i="31"/>
  <c r="P517" i="31" a="1"/>
  <c r="P517" i="31"/>
  <c r="O518" i="31" a="1"/>
  <c r="O518" i="31"/>
  <c r="P518" i="31" a="1"/>
  <c r="P518" i="31"/>
  <c r="O519" i="31" a="1"/>
  <c r="O519" i="31"/>
  <c r="P519" i="31" a="1"/>
  <c r="P519" i="31"/>
  <c r="O520" i="31" a="1"/>
  <c r="O520" i="31"/>
  <c r="P520" i="31" a="1"/>
  <c r="P520" i="31"/>
  <c r="O521" i="31" a="1"/>
  <c r="O521" i="31"/>
  <c r="P521" i="31" a="1"/>
  <c r="P521" i="31"/>
  <c r="O522" i="31" a="1"/>
  <c r="O522" i="31"/>
  <c r="P522" i="31" a="1"/>
  <c r="P522" i="31"/>
  <c r="O523" i="31" a="1"/>
  <c r="O523" i="31"/>
  <c r="P523" i="31" a="1"/>
  <c r="P523" i="31"/>
  <c r="O524" i="31" a="1"/>
  <c r="O524" i="31"/>
  <c r="P524" i="31" a="1"/>
  <c r="P524" i="31"/>
  <c r="O525" i="31" a="1"/>
  <c r="O525" i="31"/>
  <c r="P525" i="31" a="1"/>
  <c r="P525" i="31"/>
  <c r="O526" i="31" a="1"/>
  <c r="O526" i="31"/>
  <c r="P526" i="31" a="1"/>
  <c r="P526" i="31"/>
  <c r="O527" i="31" a="1"/>
  <c r="O527" i="31"/>
  <c r="P527" i="31" a="1"/>
  <c r="P527" i="31"/>
  <c r="O528" i="31" a="1"/>
  <c r="O528" i="31"/>
  <c r="P528" i="31" a="1"/>
  <c r="P528" i="31"/>
  <c r="O529" i="31" a="1"/>
  <c r="O529" i="31"/>
  <c r="P529" i="31" a="1"/>
  <c r="P529" i="31"/>
  <c r="O530" i="31" a="1"/>
  <c r="O530" i="31"/>
  <c r="P530" i="31" a="1"/>
  <c r="P530" i="31"/>
  <c r="O531" i="31" a="1"/>
  <c r="O531" i="31"/>
  <c r="P531" i="31" a="1"/>
  <c r="P531" i="31"/>
  <c r="O532" i="31" a="1"/>
  <c r="O532" i="31"/>
  <c r="P532" i="31" a="1"/>
  <c r="P532" i="31"/>
  <c r="O533" i="31" a="1"/>
  <c r="O533" i="31"/>
  <c r="P533" i="31" a="1"/>
  <c r="P533" i="31"/>
  <c r="O534" i="31" a="1"/>
  <c r="O534" i="31"/>
  <c r="P534" i="31" a="1"/>
  <c r="P534" i="31"/>
  <c r="O535" i="31" a="1"/>
  <c r="O535" i="31"/>
  <c r="P535" i="31" a="1"/>
  <c r="P535" i="31"/>
  <c r="O536" i="31" a="1"/>
  <c r="O536" i="31"/>
  <c r="P536" i="31" a="1"/>
  <c r="P536" i="31"/>
  <c r="O537" i="31" a="1"/>
  <c r="O537" i="31"/>
  <c r="P537" i="31" a="1"/>
  <c r="P537" i="31"/>
  <c r="O538" i="31" a="1"/>
  <c r="O538" i="31"/>
  <c r="P538" i="31" a="1"/>
  <c r="P538" i="31"/>
  <c r="O539" i="31" a="1"/>
  <c r="O539" i="31"/>
  <c r="P539" i="31" a="1"/>
  <c r="P539" i="31"/>
  <c r="O540" i="31" a="1"/>
  <c r="O540" i="31"/>
  <c r="P540" i="31" a="1"/>
  <c r="P540" i="31"/>
  <c r="O541" i="31" a="1"/>
  <c r="O541" i="31"/>
  <c r="P541" i="31" a="1"/>
  <c r="P541" i="31"/>
  <c r="O542" i="31" a="1"/>
  <c r="O542" i="31"/>
  <c r="P542" i="31" a="1"/>
  <c r="P542" i="31"/>
  <c r="O543" i="31" a="1"/>
  <c r="O543" i="31"/>
  <c r="P543" i="31" a="1"/>
  <c r="P543" i="31"/>
  <c r="O544" i="31" a="1"/>
  <c r="O544" i="31"/>
  <c r="P544" i="31" a="1"/>
  <c r="P544" i="31"/>
  <c r="O545" i="31" a="1"/>
  <c r="O545" i="31"/>
  <c r="P545" i="31" a="1"/>
  <c r="P545" i="31"/>
  <c r="O546" i="31" a="1"/>
  <c r="O546" i="31"/>
  <c r="P546" i="31" a="1"/>
  <c r="P546" i="31"/>
  <c r="O547" i="31" a="1"/>
  <c r="O547" i="31"/>
  <c r="P547" i="31" a="1"/>
  <c r="P547" i="31"/>
  <c r="O548" i="31" a="1"/>
  <c r="O548" i="31"/>
  <c r="P548" i="31" a="1"/>
  <c r="P548" i="31"/>
  <c r="O549" i="31" a="1"/>
  <c r="O549" i="31"/>
  <c r="P549" i="31" a="1"/>
  <c r="P549" i="31"/>
  <c r="O550" i="31" a="1"/>
  <c r="O550" i="31"/>
  <c r="P550" i="31" a="1"/>
  <c r="P550" i="31"/>
  <c r="O551" i="31" a="1"/>
  <c r="O551" i="31"/>
  <c r="P551" i="31" a="1"/>
  <c r="P551" i="31"/>
  <c r="O552" i="31" a="1"/>
  <c r="O552" i="31"/>
  <c r="P552" i="31" a="1"/>
  <c r="P552" i="31"/>
  <c r="O553" i="31" a="1"/>
  <c r="O553" i="31"/>
  <c r="P553" i="31" a="1"/>
  <c r="P553" i="31"/>
  <c r="O554" i="31" a="1"/>
  <c r="O554" i="31"/>
  <c r="P554" i="31" a="1"/>
  <c r="P554" i="31"/>
  <c r="O555" i="31" a="1"/>
  <c r="O555" i="31"/>
  <c r="P555" i="31" a="1"/>
  <c r="P555" i="31"/>
  <c r="O556" i="31" a="1"/>
  <c r="O556" i="31"/>
  <c r="P556" i="31" a="1"/>
  <c r="P556" i="31"/>
  <c r="O557" i="31" a="1"/>
  <c r="O557" i="31"/>
  <c r="P557" i="31" a="1"/>
  <c r="P557" i="31"/>
  <c r="O558" i="31" a="1"/>
  <c r="O558" i="31"/>
  <c r="P558" i="31" a="1"/>
  <c r="P558" i="31"/>
  <c r="O559" i="31" a="1"/>
  <c r="O559" i="31"/>
  <c r="P559" i="31" a="1"/>
  <c r="P559" i="31"/>
  <c r="O560" i="31" a="1"/>
  <c r="O560" i="31"/>
  <c r="P560" i="31" a="1"/>
  <c r="P560" i="31"/>
  <c r="O561" i="31" a="1"/>
  <c r="O561" i="31"/>
  <c r="P561" i="31" a="1"/>
  <c r="P561" i="31"/>
  <c r="O562" i="31" a="1"/>
  <c r="O562" i="31"/>
  <c r="P562" i="31" a="1"/>
  <c r="P562" i="31"/>
  <c r="O563" i="31" a="1"/>
  <c r="O563" i="31"/>
  <c r="P563" i="31" a="1"/>
  <c r="P563" i="31"/>
  <c r="O564" i="31" a="1"/>
  <c r="O564" i="31"/>
  <c r="P564" i="31" a="1"/>
  <c r="P564" i="31"/>
  <c r="O565" i="31" a="1"/>
  <c r="O565" i="31"/>
  <c r="P565" i="31" a="1"/>
  <c r="P565" i="31"/>
  <c r="O566" i="31" a="1"/>
  <c r="O566" i="31"/>
  <c r="P566" i="31" a="1"/>
  <c r="P566" i="31"/>
  <c r="O567" i="31" a="1"/>
  <c r="O567" i="31"/>
  <c r="P567" i="31" a="1"/>
  <c r="P567" i="31"/>
  <c r="O568" i="31" a="1"/>
  <c r="O568" i="31"/>
  <c r="P568" i="31" a="1"/>
  <c r="P568" i="31"/>
  <c r="O569" i="31" a="1"/>
  <c r="O569" i="31"/>
  <c r="P569" i="31" a="1"/>
  <c r="P569" i="31"/>
  <c r="O570" i="31" a="1"/>
  <c r="O570" i="31"/>
  <c r="P570" i="31" a="1"/>
  <c r="P570" i="31"/>
  <c r="O571" i="31" a="1"/>
  <c r="O571" i="31"/>
  <c r="P571" i="31" a="1"/>
  <c r="P571" i="31"/>
  <c r="O572" i="31" a="1"/>
  <c r="O572" i="31"/>
  <c r="P572" i="31" a="1"/>
  <c r="P572" i="31"/>
  <c r="O573" i="31" a="1"/>
  <c r="O573" i="31"/>
  <c r="P573" i="31" a="1"/>
  <c r="P573" i="31"/>
  <c r="O574" i="31" a="1"/>
  <c r="O574" i="31"/>
  <c r="P574" i="31" a="1"/>
  <c r="P574" i="31"/>
  <c r="O575" i="31" a="1"/>
  <c r="O575" i="31"/>
  <c r="P575" i="31" a="1"/>
  <c r="P575" i="31"/>
  <c r="O576" i="31" a="1"/>
  <c r="O576" i="31"/>
  <c r="P576" i="31" a="1"/>
  <c r="P576" i="31"/>
  <c r="O577" i="31" a="1"/>
  <c r="O577" i="31"/>
  <c r="P577" i="31" a="1"/>
  <c r="P577" i="31"/>
  <c r="O578" i="31" a="1"/>
  <c r="O578" i="31"/>
  <c r="P578" i="31" a="1"/>
  <c r="P578" i="31"/>
  <c r="O579" i="31" a="1"/>
  <c r="O579" i="31"/>
  <c r="P579" i="31" a="1"/>
  <c r="P579" i="31"/>
  <c r="O580" i="31" a="1"/>
  <c r="O580" i="31"/>
  <c r="P580" i="31" a="1"/>
  <c r="P580" i="31"/>
  <c r="O581" i="31" a="1"/>
  <c r="O581" i="31"/>
  <c r="P581" i="31" a="1"/>
  <c r="P581" i="31"/>
  <c r="O582" i="31" a="1"/>
  <c r="O582" i="31"/>
  <c r="P582" i="31" a="1"/>
  <c r="P582" i="31"/>
  <c r="O583" i="31" a="1"/>
  <c r="O583" i="31"/>
  <c r="P583" i="31" a="1"/>
  <c r="P583" i="31"/>
  <c r="O584" i="31" a="1"/>
  <c r="O584" i="31"/>
  <c r="P584" i="31" a="1"/>
  <c r="P584" i="31"/>
  <c r="O585" i="31" a="1"/>
  <c r="O585" i="31"/>
  <c r="P585" i="31" a="1"/>
  <c r="P585" i="31"/>
  <c r="O586" i="31" a="1"/>
  <c r="O586" i="31"/>
  <c r="P586" i="31" a="1"/>
  <c r="P586" i="31"/>
  <c r="O587" i="31" a="1"/>
  <c r="O587" i="31"/>
  <c r="P587" i="31" a="1"/>
  <c r="P587" i="31"/>
  <c r="O588" i="31" a="1"/>
  <c r="O588" i="31"/>
  <c r="P588" i="31" a="1"/>
  <c r="P588" i="31"/>
  <c r="O589" i="31" a="1"/>
  <c r="O589" i="31"/>
  <c r="P589" i="31" a="1"/>
  <c r="P589" i="31"/>
  <c r="O590" i="31" a="1"/>
  <c r="O590" i="31"/>
  <c r="P590" i="31" a="1"/>
  <c r="P590" i="31"/>
  <c r="O591" i="31" a="1"/>
  <c r="O591" i="31"/>
  <c r="P591" i="31" a="1"/>
  <c r="P591" i="31"/>
  <c r="O592" i="31" a="1"/>
  <c r="O592" i="31"/>
  <c r="P592" i="31" a="1"/>
  <c r="P592" i="31"/>
  <c r="O593" i="31" a="1"/>
  <c r="O593" i="31"/>
  <c r="P593" i="31" a="1"/>
  <c r="P593" i="31"/>
  <c r="O594" i="31" a="1"/>
  <c r="O594" i="31"/>
  <c r="P594" i="31" a="1"/>
  <c r="P594" i="31"/>
  <c r="O595" i="31" a="1"/>
  <c r="O595" i="31"/>
  <c r="P595" i="31" a="1"/>
  <c r="P595" i="31"/>
  <c r="O596" i="31" a="1"/>
  <c r="O596" i="31"/>
  <c r="P596" i="31" a="1"/>
  <c r="P596" i="31"/>
  <c r="O597" i="31" a="1"/>
  <c r="O597" i="31"/>
  <c r="P597" i="31" a="1"/>
  <c r="P597" i="31"/>
  <c r="O598" i="31" a="1"/>
  <c r="O598" i="31"/>
  <c r="P598" i="31" a="1"/>
  <c r="P598" i="31"/>
  <c r="O599" i="31" a="1"/>
  <c r="O599" i="31"/>
  <c r="P599" i="31" a="1"/>
  <c r="P599" i="31"/>
  <c r="O600" i="31" a="1"/>
  <c r="O600" i="31"/>
  <c r="P600" i="31" a="1"/>
  <c r="P600" i="31"/>
  <c r="O601" i="31" a="1"/>
  <c r="O601" i="31"/>
  <c r="P601" i="31" a="1"/>
  <c r="P601" i="31"/>
  <c r="O602" i="31" a="1"/>
  <c r="O602" i="31"/>
  <c r="P602" i="31" a="1"/>
  <c r="P602" i="31"/>
  <c r="O603" i="31" a="1"/>
  <c r="O603" i="31"/>
  <c r="P603" i="31" a="1"/>
  <c r="P603" i="31"/>
  <c r="O604" i="31" a="1"/>
  <c r="O604" i="31"/>
  <c r="P604" i="31" a="1"/>
  <c r="P604" i="31"/>
  <c r="O605" i="31" a="1"/>
  <c r="O605" i="31"/>
  <c r="P605" i="31" a="1"/>
  <c r="P605" i="31"/>
  <c r="O606" i="31" a="1"/>
  <c r="O606" i="31"/>
  <c r="P606" i="31" a="1"/>
  <c r="P606" i="31"/>
  <c r="O607" i="31" a="1"/>
  <c r="O607" i="31"/>
  <c r="P607" i="31" a="1"/>
  <c r="P607" i="31"/>
  <c r="O608" i="31" a="1"/>
  <c r="O608" i="31"/>
  <c r="P608" i="31" a="1"/>
  <c r="P608" i="31"/>
  <c r="O609" i="31" a="1"/>
  <c r="O609" i="31"/>
  <c r="P609" i="31" a="1"/>
  <c r="P609" i="31"/>
  <c r="O610" i="31" a="1"/>
  <c r="O610" i="31"/>
  <c r="P610" i="31" a="1"/>
  <c r="P610" i="31"/>
  <c r="O611" i="31" a="1"/>
  <c r="O611" i="31"/>
  <c r="P611" i="31" a="1"/>
  <c r="P611" i="31"/>
  <c r="O612" i="31" a="1"/>
  <c r="O612" i="31"/>
  <c r="P612" i="31" a="1"/>
  <c r="P612" i="31"/>
  <c r="O613" i="31" a="1"/>
  <c r="O613" i="31"/>
  <c r="P613" i="31" a="1"/>
  <c r="P613" i="31"/>
  <c r="O614" i="31" a="1"/>
  <c r="O614" i="31"/>
  <c r="P614" i="31" a="1"/>
  <c r="P614" i="31"/>
  <c r="O615" i="31" a="1"/>
  <c r="O615" i="31"/>
  <c r="P615" i="31" a="1"/>
  <c r="P615" i="31"/>
  <c r="O616" i="31" a="1"/>
  <c r="O616" i="31"/>
  <c r="P616" i="31" a="1"/>
  <c r="P616" i="31"/>
  <c r="O617" i="31" a="1"/>
  <c r="O617" i="31"/>
  <c r="P617" i="31" a="1"/>
  <c r="P617" i="31"/>
  <c r="O618" i="31" a="1"/>
  <c r="O618" i="31"/>
  <c r="P618" i="31" a="1"/>
  <c r="P618" i="31"/>
  <c r="O619" i="31" a="1"/>
  <c r="O619" i="31"/>
  <c r="P619" i="31" a="1"/>
  <c r="P619" i="31"/>
  <c r="O620" i="31" a="1"/>
  <c r="O620" i="31"/>
  <c r="P620" i="31" a="1"/>
  <c r="P620" i="31"/>
  <c r="O621" i="31" a="1"/>
  <c r="O621" i="31"/>
  <c r="P621" i="31" a="1"/>
  <c r="P621" i="31"/>
  <c r="O622" i="31" a="1"/>
  <c r="O622" i="31"/>
  <c r="P622" i="31" a="1"/>
  <c r="P622" i="31"/>
  <c r="O623" i="31" a="1"/>
  <c r="O623" i="31"/>
  <c r="P623" i="31" a="1"/>
  <c r="P623" i="31"/>
  <c r="O624" i="31" a="1"/>
  <c r="O624" i="31"/>
  <c r="P624" i="31" a="1"/>
  <c r="P624" i="31"/>
  <c r="O625" i="31" a="1"/>
  <c r="O625" i="31"/>
  <c r="P625" i="31" a="1"/>
  <c r="P625" i="31"/>
  <c r="O626" i="31" a="1"/>
  <c r="O626" i="31"/>
  <c r="P626" i="31" a="1"/>
  <c r="P626" i="31"/>
  <c r="O627" i="31" a="1"/>
  <c r="O627" i="31"/>
  <c r="P627" i="31" a="1"/>
  <c r="P627" i="31"/>
  <c r="O628" i="31" a="1"/>
  <c r="O628" i="31"/>
  <c r="P628" i="31" a="1"/>
  <c r="P628" i="31"/>
  <c r="O629" i="31" a="1"/>
  <c r="O629" i="31"/>
  <c r="P629" i="31" a="1"/>
  <c r="P629" i="31"/>
  <c r="O630" i="31" a="1"/>
  <c r="O630" i="31"/>
  <c r="P630" i="31" a="1"/>
  <c r="P630" i="31"/>
  <c r="O631" i="31" a="1"/>
  <c r="O631" i="31"/>
  <c r="P631" i="31" a="1"/>
  <c r="P631" i="31"/>
  <c r="O632" i="31" a="1"/>
  <c r="O632" i="31"/>
  <c r="P632" i="31" a="1"/>
  <c r="P632" i="31"/>
  <c r="O633" i="31" a="1"/>
  <c r="O633" i="31"/>
  <c r="P633" i="31" a="1"/>
  <c r="P633" i="31"/>
  <c r="O634" i="31" a="1"/>
  <c r="O634" i="31"/>
  <c r="P634" i="31" a="1"/>
  <c r="P634" i="31"/>
  <c r="O635" i="31" a="1"/>
  <c r="O635" i="31"/>
  <c r="P635" i="31" a="1"/>
  <c r="P635" i="31"/>
  <c r="O636" i="31" a="1"/>
  <c r="O636" i="31"/>
  <c r="P636" i="31" a="1"/>
  <c r="P636" i="31"/>
  <c r="O637" i="31" a="1"/>
  <c r="O637" i="31"/>
  <c r="P637" i="31" a="1"/>
  <c r="P637" i="31"/>
  <c r="O638" i="31" a="1"/>
  <c r="O638" i="31"/>
  <c r="P638" i="31" a="1"/>
  <c r="P638" i="31"/>
  <c r="O639" i="31" a="1"/>
  <c r="O639" i="31"/>
  <c r="P639" i="31" a="1"/>
  <c r="P639" i="31"/>
  <c r="O640" i="31" a="1"/>
  <c r="O640" i="31"/>
  <c r="P640" i="31" a="1"/>
  <c r="P640" i="31"/>
  <c r="O641" i="31" a="1"/>
  <c r="O641" i="31"/>
  <c r="P641" i="31" a="1"/>
  <c r="P641" i="31"/>
  <c r="O642" i="31" a="1"/>
  <c r="O642" i="31"/>
  <c r="P642" i="31" a="1"/>
  <c r="P642" i="31"/>
  <c r="O643" i="31" a="1"/>
  <c r="O643" i="31"/>
  <c r="P643" i="31" a="1"/>
  <c r="P643" i="31"/>
  <c r="O644" i="31" a="1"/>
  <c r="O644" i="31"/>
  <c r="P644" i="31" a="1"/>
  <c r="P644" i="31"/>
  <c r="O645" i="31" a="1"/>
  <c r="O645" i="31"/>
  <c r="P645" i="31" a="1"/>
  <c r="P645" i="31"/>
  <c r="O646" i="31" a="1"/>
  <c r="O646" i="31"/>
  <c r="P646" i="31" a="1"/>
  <c r="P646" i="31"/>
  <c r="O647" i="31" a="1"/>
  <c r="O647" i="31"/>
  <c r="P647" i="31" a="1"/>
  <c r="P647" i="31"/>
  <c r="O648" i="31" a="1"/>
  <c r="O648" i="31"/>
  <c r="P648" i="31" a="1"/>
  <c r="P648" i="31"/>
  <c r="O649" i="31" a="1"/>
  <c r="O649" i="31"/>
  <c r="P649" i="31" a="1"/>
  <c r="P649" i="31"/>
  <c r="O650" i="31" a="1"/>
  <c r="O650" i="31"/>
  <c r="P650" i="31" a="1"/>
  <c r="P650" i="31"/>
  <c r="O651" i="31" a="1"/>
  <c r="O651" i="31"/>
  <c r="P651" i="31" a="1"/>
  <c r="P651" i="31"/>
  <c r="O652" i="31" a="1"/>
  <c r="O652" i="31"/>
  <c r="P652" i="31" a="1"/>
  <c r="P652" i="31"/>
  <c r="O653" i="31" a="1"/>
  <c r="O653" i="31"/>
  <c r="P653" i="31" a="1"/>
  <c r="P653" i="31"/>
  <c r="O654" i="31" a="1"/>
  <c r="O654" i="31"/>
  <c r="P654" i="31" a="1"/>
  <c r="P654" i="31"/>
  <c r="O655" i="31" a="1"/>
  <c r="O655" i="31"/>
  <c r="P655" i="31" a="1"/>
  <c r="P655" i="31"/>
  <c r="O656" i="31" a="1"/>
  <c r="O656" i="31"/>
  <c r="P656" i="31" a="1"/>
  <c r="P656" i="31"/>
  <c r="O657" i="31" a="1"/>
  <c r="O657" i="31"/>
  <c r="P657" i="31" a="1"/>
  <c r="P657" i="31"/>
  <c r="O658" i="31" a="1"/>
  <c r="O658" i="31"/>
  <c r="P658" i="31" a="1"/>
  <c r="P658" i="31"/>
  <c r="O659" i="31" a="1"/>
  <c r="O659" i="31"/>
  <c r="P659" i="31" a="1"/>
  <c r="P659" i="31"/>
  <c r="O660" i="31" a="1"/>
  <c r="O660" i="31"/>
  <c r="P660" i="31" a="1"/>
  <c r="P660" i="31"/>
  <c r="O661" i="31" a="1"/>
  <c r="O661" i="31"/>
  <c r="P661" i="31" a="1"/>
  <c r="P661" i="31"/>
  <c r="O662" i="31" a="1"/>
  <c r="O662" i="31"/>
  <c r="P662" i="31" a="1"/>
  <c r="P662" i="31"/>
  <c r="O663" i="31" a="1"/>
  <c r="O663" i="31"/>
  <c r="P663" i="31" a="1"/>
  <c r="P663" i="31"/>
  <c r="O664" i="31" a="1"/>
  <c r="O664" i="31"/>
  <c r="P664" i="31" a="1"/>
  <c r="P664" i="31"/>
  <c r="O665" i="31" a="1"/>
  <c r="O665" i="31"/>
  <c r="P665" i="31" a="1"/>
  <c r="P665" i="31"/>
  <c r="O666" i="31" a="1"/>
  <c r="O666" i="31"/>
  <c r="P666" i="31" a="1"/>
  <c r="P666" i="31"/>
  <c r="O667" i="31" a="1"/>
  <c r="O667" i="31"/>
  <c r="P667" i="31" a="1"/>
  <c r="P667" i="31"/>
  <c r="O668" i="31" a="1"/>
  <c r="O668" i="31"/>
  <c r="P668" i="31" a="1"/>
  <c r="P668" i="31"/>
  <c r="O669" i="31" a="1"/>
  <c r="O669" i="31"/>
  <c r="P669" i="31" a="1"/>
  <c r="P669" i="31"/>
  <c r="O670" i="31" a="1"/>
  <c r="O670" i="31"/>
  <c r="P670" i="31" a="1"/>
  <c r="P670" i="31"/>
  <c r="O671" i="31" a="1"/>
  <c r="O671" i="31"/>
  <c r="P671" i="31" a="1"/>
  <c r="P671" i="31"/>
  <c r="O672" i="31" a="1"/>
  <c r="O672" i="31"/>
  <c r="P672" i="31" a="1"/>
  <c r="P672" i="31"/>
  <c r="O673" i="31" a="1"/>
  <c r="O673" i="31"/>
  <c r="P673" i="31" a="1"/>
  <c r="P673" i="31"/>
  <c r="O674" i="31" a="1"/>
  <c r="O674" i="31"/>
  <c r="P674" i="31" a="1"/>
  <c r="P674" i="31"/>
  <c r="O675" i="31" a="1"/>
  <c r="O675" i="31"/>
  <c r="P675" i="31" a="1"/>
  <c r="P675" i="31"/>
  <c r="O676" i="31" a="1"/>
  <c r="O676" i="31"/>
  <c r="P676" i="31" a="1"/>
  <c r="P676" i="31"/>
  <c r="O677" i="31" a="1"/>
  <c r="O677" i="31"/>
  <c r="P677" i="31" a="1"/>
  <c r="P677" i="31"/>
  <c r="O678" i="31" a="1"/>
  <c r="O678" i="31"/>
  <c r="P678" i="31" a="1"/>
  <c r="P678" i="31"/>
  <c r="O679" i="31" a="1"/>
  <c r="O679" i="31"/>
  <c r="P679" i="31" a="1"/>
  <c r="P679" i="31"/>
  <c r="O680" i="31" a="1"/>
  <c r="O680" i="31"/>
  <c r="P680" i="31" a="1"/>
  <c r="P680" i="31"/>
  <c r="O681" i="31" a="1"/>
  <c r="O681" i="31"/>
  <c r="P681" i="31" a="1"/>
  <c r="P681" i="31"/>
  <c r="O682" i="31" a="1"/>
  <c r="O682" i="31"/>
  <c r="P682" i="31" a="1"/>
  <c r="P682" i="31"/>
  <c r="O683" i="31" a="1"/>
  <c r="O683" i="31"/>
  <c r="P683" i="31" a="1"/>
  <c r="P683" i="31"/>
  <c r="O684" i="31" a="1"/>
  <c r="O684" i="31"/>
  <c r="P684" i="31" a="1"/>
  <c r="P684" i="31"/>
  <c r="O685" i="31" a="1"/>
  <c r="O685" i="31"/>
  <c r="P685" i="31" a="1"/>
  <c r="P685" i="31"/>
  <c r="O686" i="31" a="1"/>
  <c r="O686" i="31"/>
  <c r="P686" i="31" a="1"/>
  <c r="P686" i="31"/>
  <c r="O687" i="31" a="1"/>
  <c r="O687" i="31"/>
  <c r="P687" i="31" a="1"/>
  <c r="P687" i="31"/>
  <c r="O688" i="31" a="1"/>
  <c r="O688" i="31"/>
  <c r="P688" i="31" a="1"/>
  <c r="P688" i="31"/>
  <c r="O689" i="31" a="1"/>
  <c r="O689" i="31"/>
  <c r="P689" i="31" a="1"/>
  <c r="P689" i="31"/>
  <c r="O690" i="31" a="1"/>
  <c r="O690" i="31"/>
  <c r="P690" i="31" a="1"/>
  <c r="P690" i="31"/>
  <c r="O691" i="31" a="1"/>
  <c r="O691" i="31"/>
  <c r="P691" i="31" a="1"/>
  <c r="P691" i="31"/>
  <c r="O692" i="31" a="1"/>
  <c r="O692" i="31"/>
  <c r="P692" i="31" a="1"/>
  <c r="P692" i="31"/>
  <c r="O693" i="31" a="1"/>
  <c r="O693" i="31"/>
  <c r="P693" i="31" a="1"/>
  <c r="P693" i="31"/>
  <c r="O694" i="31" a="1"/>
  <c r="O694" i="31"/>
  <c r="P694" i="31" a="1"/>
  <c r="P694" i="31"/>
  <c r="O695" i="31" a="1"/>
  <c r="O695" i="31"/>
  <c r="P695" i="31" a="1"/>
  <c r="P695" i="31"/>
  <c r="O696" i="31" a="1"/>
  <c r="O696" i="31"/>
  <c r="P696" i="31" a="1"/>
  <c r="P696" i="31"/>
  <c r="O697" i="31" a="1"/>
  <c r="O697" i="31"/>
  <c r="P697" i="31" a="1"/>
  <c r="P697" i="31"/>
  <c r="O698" i="31" a="1"/>
  <c r="O698" i="31"/>
  <c r="P698" i="31" a="1"/>
  <c r="P698" i="31"/>
  <c r="O699" i="31" a="1"/>
  <c r="O699" i="31"/>
  <c r="P699" i="31" a="1"/>
  <c r="P699" i="31"/>
  <c r="O700" i="31" a="1"/>
  <c r="O700" i="31"/>
  <c r="P700" i="31" a="1"/>
  <c r="P700" i="31"/>
  <c r="O701" i="31" a="1"/>
  <c r="O701" i="31"/>
  <c r="P701" i="31" a="1"/>
  <c r="P701" i="31"/>
  <c r="O702" i="31" a="1"/>
  <c r="O702" i="31"/>
  <c r="P702" i="31" a="1"/>
  <c r="P702" i="31"/>
  <c r="O703" i="31" a="1"/>
  <c r="O703" i="31"/>
  <c r="P703" i="31" a="1"/>
  <c r="P703" i="31"/>
  <c r="O704" i="31" a="1"/>
  <c r="O704" i="31"/>
  <c r="P704" i="31" a="1"/>
  <c r="P704" i="31"/>
  <c r="O705" i="31" a="1"/>
  <c r="O705" i="31"/>
  <c r="P705" i="31" a="1"/>
  <c r="P705" i="31"/>
  <c r="O706" i="31" a="1"/>
  <c r="O706" i="31"/>
  <c r="P706" i="31" a="1"/>
  <c r="P706" i="31"/>
  <c r="O707" i="31" a="1"/>
  <c r="O707" i="31"/>
  <c r="P707" i="31" a="1"/>
  <c r="P707" i="31"/>
  <c r="O708" i="31" a="1"/>
  <c r="O708" i="31"/>
  <c r="P708" i="31" a="1"/>
  <c r="P708" i="31"/>
  <c r="O709" i="31" a="1"/>
  <c r="O709" i="31"/>
  <c r="P709" i="31" a="1"/>
  <c r="P709" i="31"/>
  <c r="O710" i="31" a="1"/>
  <c r="O710" i="31"/>
  <c r="P710" i="31" a="1"/>
  <c r="P710" i="31"/>
  <c r="O711" i="31" a="1"/>
  <c r="O711" i="31"/>
  <c r="P711" i="31" a="1"/>
  <c r="P711" i="31"/>
  <c r="O712" i="31" a="1"/>
  <c r="O712" i="31"/>
  <c r="P712" i="31" a="1"/>
  <c r="P712" i="31"/>
  <c r="O713" i="31" a="1"/>
  <c r="O713" i="31"/>
  <c r="P713" i="31" a="1"/>
  <c r="P713" i="31"/>
  <c r="O714" i="31" a="1"/>
  <c r="O714" i="31"/>
  <c r="P714" i="31" a="1"/>
  <c r="P714" i="31"/>
  <c r="O715" i="31" a="1"/>
  <c r="O715" i="31"/>
  <c r="P715" i="31" a="1"/>
  <c r="P715" i="31"/>
  <c r="O716" i="31" a="1"/>
  <c r="O716" i="31"/>
  <c r="P716" i="31" a="1"/>
  <c r="P716" i="31"/>
  <c r="O717" i="31" a="1"/>
  <c r="O717" i="31"/>
  <c r="P717" i="31" a="1"/>
  <c r="P717" i="31"/>
  <c r="O718" i="31" a="1"/>
  <c r="O718" i="31"/>
  <c r="P718" i="31" a="1"/>
  <c r="P718" i="31"/>
  <c r="O719" i="31" a="1"/>
  <c r="O719" i="31"/>
  <c r="P719" i="31" a="1"/>
  <c r="P719" i="31"/>
  <c r="O720" i="31" a="1"/>
  <c r="O720" i="31"/>
  <c r="P720" i="31" a="1"/>
  <c r="P720" i="31"/>
  <c r="O721" i="31" a="1"/>
  <c r="O721" i="31"/>
  <c r="P721" i="31" a="1"/>
  <c r="P721" i="31"/>
  <c r="O722" i="31" a="1"/>
  <c r="O722" i="31"/>
  <c r="P722" i="31" a="1"/>
  <c r="P722" i="31"/>
  <c r="O723" i="31" a="1"/>
  <c r="O723" i="31"/>
  <c r="P723" i="31" a="1"/>
  <c r="P723" i="31"/>
  <c r="O724" i="31" a="1"/>
  <c r="O724" i="31"/>
  <c r="P724" i="31" a="1"/>
  <c r="P724" i="31"/>
  <c r="O725" i="31" a="1"/>
  <c r="O725" i="31"/>
  <c r="P725" i="31" a="1"/>
  <c r="P725" i="31"/>
  <c r="O726" i="31" a="1"/>
  <c r="O726" i="31"/>
  <c r="P726" i="31" a="1"/>
  <c r="P726" i="31"/>
  <c r="O727" i="31" a="1"/>
  <c r="O727" i="31"/>
  <c r="P727" i="31" a="1"/>
  <c r="P727" i="31"/>
  <c r="O728" i="31" a="1"/>
  <c r="O728" i="31"/>
  <c r="P728" i="31" a="1"/>
  <c r="P728" i="31"/>
  <c r="O729" i="31" a="1"/>
  <c r="O729" i="31"/>
  <c r="P729" i="31" a="1"/>
  <c r="P729" i="31"/>
  <c r="O730" i="31" a="1"/>
  <c r="O730" i="31"/>
  <c r="P730" i="31" a="1"/>
  <c r="P730" i="31"/>
  <c r="O731" i="31" a="1"/>
  <c r="O731" i="31"/>
  <c r="P731" i="31" a="1"/>
  <c r="P731" i="31"/>
  <c r="O732" i="31" a="1"/>
  <c r="O732" i="31"/>
  <c r="P732" i="31" a="1"/>
  <c r="P732" i="31"/>
  <c r="O733" i="31" a="1"/>
  <c r="O733" i="31"/>
  <c r="P733" i="31" a="1"/>
  <c r="P733" i="31"/>
  <c r="O734" i="31" a="1"/>
  <c r="O734" i="31"/>
  <c r="P734" i="31" a="1"/>
  <c r="P734" i="31"/>
  <c r="O735" i="31" a="1"/>
  <c r="O735" i="31"/>
  <c r="P735" i="31" a="1"/>
  <c r="P735" i="31"/>
  <c r="O736" i="31" a="1"/>
  <c r="O736" i="31"/>
  <c r="P736" i="31" a="1"/>
  <c r="P736" i="31"/>
  <c r="O737" i="31" a="1"/>
  <c r="O737" i="31"/>
  <c r="P737" i="31" a="1"/>
  <c r="P737" i="31"/>
  <c r="O738" i="31" a="1"/>
  <c r="O738" i="31"/>
  <c r="P738" i="31" a="1"/>
  <c r="P738" i="31"/>
  <c r="O739" i="31" a="1"/>
  <c r="O739" i="31"/>
  <c r="P739" i="31" a="1"/>
  <c r="P739" i="31"/>
  <c r="O740" i="31" a="1"/>
  <c r="O740" i="31"/>
  <c r="P740" i="31" a="1"/>
  <c r="P740" i="31"/>
  <c r="O741" i="31" a="1"/>
  <c r="O741" i="31"/>
  <c r="P741" i="31" a="1"/>
  <c r="P741" i="31"/>
  <c r="O742" i="31" a="1"/>
  <c r="O742" i="31"/>
  <c r="P742" i="31" a="1"/>
  <c r="P742" i="31"/>
  <c r="O743" i="31" a="1"/>
  <c r="O743" i="31"/>
  <c r="P743" i="31" a="1"/>
  <c r="P743" i="31"/>
  <c r="O744" i="31" a="1"/>
  <c r="O744" i="31"/>
  <c r="P744" i="31" a="1"/>
  <c r="P744" i="31"/>
  <c r="O745" i="31" a="1"/>
  <c r="O745" i="31"/>
  <c r="P745" i="31" a="1"/>
  <c r="P745" i="31"/>
  <c r="O746" i="31" a="1"/>
  <c r="O746" i="31"/>
  <c r="P746" i="31" a="1"/>
  <c r="P746" i="31"/>
  <c r="O747" i="31" a="1"/>
  <c r="O747" i="31"/>
  <c r="P747" i="31" a="1"/>
  <c r="P747" i="31"/>
  <c r="O748" i="31" a="1"/>
  <c r="O748" i="31"/>
  <c r="P748" i="31" a="1"/>
  <c r="P748" i="31"/>
  <c r="O749" i="31" a="1"/>
  <c r="O749" i="31"/>
  <c r="P749" i="31" a="1"/>
  <c r="P749" i="31"/>
  <c r="O750" i="31" a="1"/>
  <c r="O750" i="31"/>
  <c r="P750" i="31" a="1"/>
  <c r="P750" i="31"/>
  <c r="O751" i="31" a="1"/>
  <c r="O751" i="31"/>
  <c r="P751" i="31" a="1"/>
  <c r="P751" i="31"/>
  <c r="O752" i="31" a="1"/>
  <c r="O752" i="31"/>
  <c r="P752" i="31" a="1"/>
  <c r="P752" i="31"/>
  <c r="O753" i="31" a="1"/>
  <c r="O753" i="31"/>
  <c r="P753" i="31" a="1"/>
  <c r="P753" i="31"/>
  <c r="O754" i="31" a="1"/>
  <c r="O754" i="31"/>
  <c r="P754" i="31" a="1"/>
  <c r="P754" i="31"/>
  <c r="O755" i="31" a="1"/>
  <c r="O755" i="31"/>
  <c r="P755" i="31" a="1"/>
  <c r="P755" i="31"/>
  <c r="O756" i="31" a="1"/>
  <c r="O756" i="31"/>
  <c r="P756" i="31" a="1"/>
  <c r="P756" i="31"/>
  <c r="O757" i="31" a="1"/>
  <c r="O757" i="31"/>
  <c r="P757" i="31" a="1"/>
  <c r="P757" i="31"/>
  <c r="O758" i="31" a="1"/>
  <c r="O758" i="31"/>
  <c r="P758" i="31" a="1"/>
  <c r="P758" i="31"/>
  <c r="O759" i="31" a="1"/>
  <c r="O759" i="31"/>
  <c r="P759" i="31" a="1"/>
  <c r="P759" i="31"/>
  <c r="O760" i="31" a="1"/>
  <c r="O760" i="31"/>
  <c r="P760" i="31" a="1"/>
  <c r="P760" i="31"/>
  <c r="O761" i="31" a="1"/>
  <c r="O761" i="31"/>
  <c r="P761" i="31" a="1"/>
  <c r="P761" i="31"/>
  <c r="O762" i="31" a="1"/>
  <c r="O762" i="31"/>
  <c r="P762" i="31" a="1"/>
  <c r="P762" i="31"/>
  <c r="O763" i="31" a="1"/>
  <c r="O763" i="31"/>
  <c r="P763" i="31" a="1"/>
  <c r="P763" i="31"/>
  <c r="O764" i="31" a="1"/>
  <c r="O764" i="31"/>
  <c r="P764" i="31" a="1"/>
  <c r="P764" i="31"/>
  <c r="O765" i="31" a="1"/>
  <c r="O765" i="31"/>
  <c r="P765" i="31" a="1"/>
  <c r="P765" i="31"/>
  <c r="O766" i="31" a="1"/>
  <c r="O766" i="31"/>
  <c r="P766" i="31" a="1"/>
  <c r="P766" i="31"/>
  <c r="O767" i="31" a="1"/>
  <c r="O767" i="31"/>
  <c r="P767" i="31" a="1"/>
  <c r="P767" i="31"/>
  <c r="O768" i="31" a="1"/>
  <c r="O768" i="31"/>
  <c r="P768" i="31" a="1"/>
  <c r="P768" i="31"/>
  <c r="O769" i="31" a="1"/>
  <c r="O769" i="31"/>
  <c r="P769" i="31" a="1"/>
  <c r="P769" i="31"/>
  <c r="O770" i="31" a="1"/>
  <c r="O770" i="31"/>
  <c r="P770" i="31" a="1"/>
  <c r="P770" i="31"/>
  <c r="O771" i="31" a="1"/>
  <c r="O771" i="31"/>
  <c r="P771" i="31" a="1"/>
  <c r="P771" i="31"/>
  <c r="O772" i="31" a="1"/>
  <c r="O772" i="31"/>
  <c r="P772" i="31" a="1"/>
  <c r="P772" i="31"/>
  <c r="O773" i="31" a="1"/>
  <c r="O773" i="31"/>
  <c r="P773" i="31" a="1"/>
  <c r="P773" i="31"/>
  <c r="O774" i="31" a="1"/>
  <c r="O774" i="31"/>
  <c r="P774" i="31" a="1"/>
  <c r="P774" i="31"/>
  <c r="O775" i="31" a="1"/>
  <c r="O775" i="31"/>
  <c r="P775" i="31" a="1"/>
  <c r="P775" i="31"/>
  <c r="O776" i="31" a="1"/>
  <c r="O776" i="31"/>
  <c r="P776" i="31" a="1"/>
  <c r="P776" i="31"/>
  <c r="O777" i="31" a="1"/>
  <c r="O777" i="31"/>
  <c r="P777" i="31" a="1"/>
  <c r="P777" i="31"/>
  <c r="O778" i="31" a="1"/>
  <c r="O778" i="31"/>
  <c r="P778" i="31" a="1"/>
  <c r="P778" i="31"/>
  <c r="O779" i="31" a="1"/>
  <c r="O779" i="31"/>
  <c r="P779" i="31" a="1"/>
  <c r="P779" i="31"/>
  <c r="O780" i="31" a="1"/>
  <c r="O780" i="31"/>
  <c r="P780" i="31" a="1"/>
  <c r="P780" i="31"/>
  <c r="O781" i="31" a="1"/>
  <c r="O781" i="31"/>
  <c r="P781" i="31" a="1"/>
  <c r="P781" i="31"/>
  <c r="O782" i="31" a="1"/>
  <c r="O782" i="31"/>
  <c r="P782" i="31" a="1"/>
  <c r="P782" i="31"/>
  <c r="O783" i="31" a="1"/>
  <c r="O783" i="31"/>
  <c r="P783" i="31" a="1"/>
  <c r="P783" i="31"/>
  <c r="O784" i="31" a="1"/>
  <c r="O784" i="31"/>
  <c r="P784" i="31" a="1"/>
  <c r="P784" i="31"/>
  <c r="O785" i="31" a="1"/>
  <c r="O785" i="31"/>
  <c r="P785" i="31" a="1"/>
  <c r="P785" i="31"/>
  <c r="O786" i="31" a="1"/>
  <c r="O786" i="31"/>
  <c r="P786" i="31" a="1"/>
  <c r="P786" i="31"/>
  <c r="O787" i="31" a="1"/>
  <c r="O787" i="31"/>
  <c r="P787" i="31" a="1"/>
  <c r="P787" i="31"/>
  <c r="O788" i="31" a="1"/>
  <c r="O788" i="31"/>
  <c r="P788" i="31" a="1"/>
  <c r="P788" i="31"/>
  <c r="O789" i="31" a="1"/>
  <c r="O789" i="31"/>
  <c r="P789" i="31" a="1"/>
  <c r="P789" i="31"/>
  <c r="O790" i="31" a="1"/>
  <c r="O790" i="31"/>
  <c r="P790" i="31" a="1"/>
  <c r="P790" i="31"/>
  <c r="O791" i="31" a="1"/>
  <c r="O791" i="31"/>
  <c r="P791" i="31" a="1"/>
  <c r="P791" i="31"/>
  <c r="O792" i="31" a="1"/>
  <c r="O792" i="31"/>
  <c r="P792" i="31" a="1"/>
  <c r="P792" i="31"/>
  <c r="O793" i="31" a="1"/>
  <c r="O793" i="31"/>
  <c r="P793" i="31" a="1"/>
  <c r="P793" i="31"/>
  <c r="O794" i="31" a="1"/>
  <c r="O794" i="31"/>
  <c r="P794" i="31" a="1"/>
  <c r="P794" i="31"/>
  <c r="O795" i="31" a="1"/>
  <c r="O795" i="31"/>
  <c r="P795" i="31" a="1"/>
  <c r="P795" i="31"/>
  <c r="O796" i="31" a="1"/>
  <c r="O796" i="31"/>
  <c r="P796" i="31" a="1"/>
  <c r="P796" i="31"/>
  <c r="O797" i="31" a="1"/>
  <c r="O797" i="31"/>
  <c r="P797" i="31" a="1"/>
  <c r="P797" i="31"/>
  <c r="O798" i="31" a="1"/>
  <c r="O798" i="31"/>
  <c r="P798" i="31" a="1"/>
  <c r="P798" i="31"/>
  <c r="O799" i="31" a="1"/>
  <c r="O799" i="31"/>
  <c r="P799" i="31" a="1"/>
  <c r="P799" i="31"/>
  <c r="O800" i="31" a="1"/>
  <c r="O800" i="31"/>
  <c r="P800" i="31" a="1"/>
  <c r="P800" i="31"/>
  <c r="O801" i="31" a="1"/>
  <c r="O801" i="31"/>
  <c r="P801" i="31" a="1"/>
  <c r="P801" i="31"/>
  <c r="O802" i="31" a="1"/>
  <c r="O802" i="31"/>
  <c r="P802" i="31" a="1"/>
  <c r="P802" i="31"/>
  <c r="O803" i="31" a="1"/>
  <c r="O803" i="31"/>
  <c r="P803" i="31" a="1"/>
  <c r="P803" i="31"/>
  <c r="O804" i="31" a="1"/>
  <c r="O804" i="31"/>
  <c r="P804" i="31" a="1"/>
  <c r="P804" i="31"/>
  <c r="O805" i="31" a="1"/>
  <c r="O805" i="31"/>
  <c r="P805" i="31" a="1"/>
  <c r="P805" i="31"/>
  <c r="O806" i="31" a="1"/>
  <c r="O806" i="31"/>
  <c r="P806" i="31" a="1"/>
  <c r="P806" i="31"/>
  <c r="O807" i="31" a="1"/>
  <c r="O807" i="31"/>
  <c r="P807" i="31" a="1"/>
  <c r="P807" i="31"/>
  <c r="O808" i="31" a="1"/>
  <c r="O808" i="31"/>
  <c r="P808" i="31" a="1"/>
  <c r="P808" i="31"/>
  <c r="O809" i="31" a="1"/>
  <c r="O809" i="31"/>
  <c r="P809" i="31" a="1"/>
  <c r="P809" i="31"/>
  <c r="O810" i="31" a="1"/>
  <c r="O810" i="31"/>
  <c r="P810" i="31" a="1"/>
  <c r="P810" i="31"/>
  <c r="O811" i="31" a="1"/>
  <c r="O811" i="31"/>
  <c r="P811" i="31" a="1"/>
  <c r="P811" i="31"/>
  <c r="O812" i="31" a="1"/>
  <c r="O812" i="31"/>
  <c r="P812" i="31" a="1"/>
  <c r="P812" i="31"/>
  <c r="O813" i="31" a="1"/>
  <c r="O813" i="31"/>
  <c r="P813" i="31" a="1"/>
  <c r="P813" i="31"/>
  <c r="O814" i="31" a="1"/>
  <c r="O814" i="31"/>
  <c r="P814" i="31" a="1"/>
  <c r="P814" i="31"/>
  <c r="O815" i="31" a="1"/>
  <c r="O815" i="31"/>
  <c r="P815" i="31" a="1"/>
  <c r="P815" i="31"/>
  <c r="O816" i="31" a="1"/>
  <c r="O816" i="31"/>
  <c r="P816" i="31" a="1"/>
  <c r="P816" i="31"/>
  <c r="O817" i="31" a="1"/>
  <c r="O817" i="31"/>
  <c r="P817" i="31" a="1"/>
  <c r="P817" i="31"/>
  <c r="O818" i="31" a="1"/>
  <c r="O818" i="31"/>
  <c r="P818" i="31" a="1"/>
  <c r="P818" i="31"/>
  <c r="O819" i="31" a="1"/>
  <c r="O819" i="31"/>
  <c r="P819" i="31" a="1"/>
  <c r="P819" i="31"/>
  <c r="O820" i="31" a="1"/>
  <c r="O820" i="31"/>
  <c r="P820" i="31" a="1"/>
  <c r="P820" i="31"/>
  <c r="O821" i="31" a="1"/>
  <c r="O821" i="31"/>
  <c r="P821" i="31" a="1"/>
  <c r="P821" i="31"/>
  <c r="O822" i="31" a="1"/>
  <c r="O822" i="31"/>
  <c r="P822" i="31" a="1"/>
  <c r="P822" i="31"/>
  <c r="O823" i="31" a="1"/>
  <c r="O823" i="31"/>
  <c r="P823" i="31" a="1"/>
  <c r="P823" i="31"/>
  <c r="O824" i="31" a="1"/>
  <c r="O824" i="31"/>
  <c r="P824" i="31" a="1"/>
  <c r="P824" i="31"/>
  <c r="O825" i="31" a="1"/>
  <c r="O825" i="31"/>
  <c r="P825" i="31" a="1"/>
  <c r="P825" i="31"/>
  <c r="O826" i="31" a="1"/>
  <c r="O826" i="31"/>
  <c r="P826" i="31" a="1"/>
  <c r="P826" i="31"/>
  <c r="O827" i="31" a="1"/>
  <c r="O827" i="31"/>
  <c r="P827" i="31" a="1"/>
  <c r="P827" i="31"/>
  <c r="O828" i="31" a="1"/>
  <c r="O828" i="31"/>
  <c r="P828" i="31" a="1"/>
  <c r="P828" i="31"/>
  <c r="O829" i="31" a="1"/>
  <c r="O829" i="31"/>
  <c r="P829" i="31" a="1"/>
  <c r="P829" i="31"/>
  <c r="O830" i="31" a="1"/>
  <c r="O830" i="31"/>
  <c r="P830" i="31" a="1"/>
  <c r="P830" i="31"/>
  <c r="O831" i="31" a="1"/>
  <c r="O831" i="31"/>
  <c r="P831" i="31" a="1"/>
  <c r="P831" i="31"/>
  <c r="O832" i="31" a="1"/>
  <c r="O832" i="31"/>
  <c r="P832" i="31" a="1"/>
  <c r="P832" i="31"/>
  <c r="O833" i="31" a="1"/>
  <c r="O833" i="31"/>
  <c r="P833" i="31" a="1"/>
  <c r="P833" i="31"/>
  <c r="O834" i="31" a="1"/>
  <c r="O834" i="31"/>
  <c r="P834" i="31" a="1"/>
  <c r="P834" i="31"/>
  <c r="O835" i="31" a="1"/>
  <c r="O835" i="31"/>
  <c r="P835" i="31" a="1"/>
  <c r="P835" i="31"/>
  <c r="O836" i="31" a="1"/>
  <c r="O836" i="31"/>
  <c r="P836" i="31" a="1"/>
  <c r="P836" i="31"/>
  <c r="O837" i="31" a="1"/>
  <c r="O837" i="31"/>
  <c r="P837" i="31" a="1"/>
  <c r="P837" i="31"/>
  <c r="O838" i="31" a="1"/>
  <c r="O838" i="31"/>
  <c r="P838" i="31" a="1"/>
  <c r="P838" i="31"/>
  <c r="O839" i="31" a="1"/>
  <c r="O839" i="31"/>
  <c r="P839" i="31" a="1"/>
  <c r="P839" i="31"/>
  <c r="O840" i="31" a="1"/>
  <c r="O840" i="31"/>
  <c r="P840" i="31" a="1"/>
  <c r="P840" i="31"/>
  <c r="O841" i="31" a="1"/>
  <c r="O841" i="31"/>
  <c r="P841" i="31" a="1"/>
  <c r="P841" i="31"/>
  <c r="O842" i="31" a="1"/>
  <c r="O842" i="31"/>
  <c r="P842" i="31" a="1"/>
  <c r="P842" i="31"/>
  <c r="O843" i="31" a="1"/>
  <c r="O843" i="31"/>
  <c r="P843" i="31" a="1"/>
  <c r="P843" i="31"/>
  <c r="O844" i="31" a="1"/>
  <c r="O844" i="31"/>
  <c r="P844" i="31" a="1"/>
  <c r="P844" i="31"/>
  <c r="O845" i="31" a="1"/>
  <c r="O845" i="31"/>
  <c r="P845" i="31" a="1"/>
  <c r="P845" i="31"/>
  <c r="O846" i="31" a="1"/>
  <c r="O846" i="31"/>
  <c r="P846" i="31" a="1"/>
  <c r="P846" i="31"/>
  <c r="O847" i="31" a="1"/>
  <c r="O847" i="31"/>
  <c r="P847" i="31" a="1"/>
  <c r="P847" i="31"/>
  <c r="O848" i="31" a="1"/>
  <c r="O848" i="31"/>
  <c r="P848" i="31" a="1"/>
  <c r="P848" i="31"/>
  <c r="O849" i="31" a="1"/>
  <c r="O849" i="31"/>
  <c r="P849" i="31" a="1"/>
  <c r="P849" i="31"/>
  <c r="O850" i="31" a="1"/>
  <c r="O850" i="31"/>
  <c r="P850" i="31" a="1"/>
  <c r="P850" i="31"/>
  <c r="O851" i="31" a="1"/>
  <c r="O851" i="31"/>
  <c r="P851" i="31" a="1"/>
  <c r="P851" i="31"/>
  <c r="O852" i="31" a="1"/>
  <c r="O852" i="31"/>
  <c r="P852" i="31" a="1"/>
  <c r="P852" i="31"/>
  <c r="O853" i="31" a="1"/>
  <c r="O853" i="31"/>
  <c r="P853" i="31" a="1"/>
  <c r="P853" i="31"/>
  <c r="O854" i="31" a="1"/>
  <c r="O854" i="31"/>
  <c r="P854" i="31" a="1"/>
  <c r="P854" i="31"/>
  <c r="O855" i="31" a="1"/>
  <c r="O855" i="31"/>
  <c r="P855" i="31" a="1"/>
  <c r="P855" i="31"/>
  <c r="O856" i="31" a="1"/>
  <c r="O856" i="31"/>
  <c r="P856" i="31" a="1"/>
  <c r="P856" i="31"/>
  <c r="O857" i="31" a="1"/>
  <c r="O857" i="31"/>
  <c r="P857" i="31" a="1"/>
  <c r="P857" i="31"/>
  <c r="O858" i="31" a="1"/>
  <c r="O858" i="31"/>
  <c r="P858" i="31" a="1"/>
  <c r="P858" i="31"/>
  <c r="O859" i="31" a="1"/>
  <c r="O859" i="31"/>
  <c r="P859" i="31" a="1"/>
  <c r="P859" i="31"/>
  <c r="O860" i="31" a="1"/>
  <c r="O860" i="31"/>
  <c r="P860" i="31" a="1"/>
  <c r="P860" i="31"/>
  <c r="O861" i="31" a="1"/>
  <c r="O861" i="31"/>
  <c r="P861" i="31" a="1"/>
  <c r="P861" i="31"/>
  <c r="O862" i="31" a="1"/>
  <c r="O862" i="31"/>
  <c r="P862" i="31" a="1"/>
  <c r="P862" i="31"/>
  <c r="O863" i="31" a="1"/>
  <c r="O863" i="31"/>
  <c r="P863" i="31" a="1"/>
  <c r="P863" i="31"/>
  <c r="O864" i="31" a="1"/>
  <c r="O864" i="31"/>
  <c r="P864" i="31" a="1"/>
  <c r="P864" i="31"/>
  <c r="O865" i="31" a="1"/>
  <c r="O865" i="31"/>
  <c r="P865" i="31" a="1"/>
  <c r="P865" i="31"/>
  <c r="O866" i="31" a="1"/>
  <c r="O866" i="31"/>
  <c r="P866" i="31" a="1"/>
  <c r="P866" i="31"/>
  <c r="O867" i="31" a="1"/>
  <c r="O867" i="31"/>
  <c r="P867" i="31" a="1"/>
  <c r="P867" i="31"/>
  <c r="O868" i="31" a="1"/>
  <c r="O868" i="31"/>
  <c r="P868" i="31" a="1"/>
  <c r="P868" i="31"/>
  <c r="O869" i="31" a="1"/>
  <c r="O869" i="31"/>
  <c r="P869" i="31" a="1"/>
  <c r="P869" i="31"/>
  <c r="O870" i="31" a="1"/>
  <c r="O870" i="31"/>
  <c r="P870" i="31" a="1"/>
  <c r="P870" i="31"/>
  <c r="O871" i="31" a="1"/>
  <c r="O871" i="31"/>
  <c r="P871" i="31" a="1"/>
  <c r="P871" i="31"/>
  <c r="O872" i="31" a="1"/>
  <c r="O872" i="31"/>
  <c r="P872" i="31" a="1"/>
  <c r="P872" i="31"/>
  <c r="O873" i="31" a="1"/>
  <c r="O873" i="31"/>
  <c r="P873" i="31" a="1"/>
  <c r="P873" i="31"/>
  <c r="O874" i="31" a="1"/>
  <c r="O874" i="31"/>
  <c r="P874" i="31" a="1"/>
  <c r="P874" i="31"/>
  <c r="O875" i="31" a="1"/>
  <c r="O875" i="31"/>
  <c r="P875" i="31" a="1"/>
  <c r="P875" i="31"/>
  <c r="O876" i="31" a="1"/>
  <c r="O876" i="31"/>
  <c r="P876" i="31" a="1"/>
  <c r="P876" i="31"/>
  <c r="O877" i="31" a="1"/>
  <c r="O877" i="31"/>
  <c r="P877" i="31" a="1"/>
  <c r="P877" i="31"/>
  <c r="O878" i="31" a="1"/>
  <c r="O878" i="31"/>
  <c r="P878" i="31" a="1"/>
  <c r="P878" i="31"/>
  <c r="O879" i="31" a="1"/>
  <c r="O879" i="31"/>
  <c r="P879" i="31" a="1"/>
  <c r="P879" i="31"/>
  <c r="O880" i="31" a="1"/>
  <c r="O880" i="31"/>
  <c r="P880" i="31" a="1"/>
  <c r="P880" i="31"/>
  <c r="O881" i="31" a="1"/>
  <c r="O881" i="31"/>
  <c r="P881" i="31" a="1"/>
  <c r="P881" i="31"/>
  <c r="O882" i="31" a="1"/>
  <c r="O882" i="31"/>
  <c r="P882" i="31" a="1"/>
  <c r="P882" i="31"/>
  <c r="O883" i="31" a="1"/>
  <c r="O883" i="31"/>
  <c r="P883" i="31" a="1"/>
  <c r="P883" i="31"/>
  <c r="O884" i="31" a="1"/>
  <c r="O884" i="31"/>
  <c r="P884" i="31" a="1"/>
  <c r="P884" i="31"/>
  <c r="O885" i="31" a="1"/>
  <c r="O885" i="31"/>
  <c r="P885" i="31" a="1"/>
  <c r="P885" i="31"/>
  <c r="O886" i="31" a="1"/>
  <c r="O886" i="31"/>
  <c r="P886" i="31" a="1"/>
  <c r="P886" i="31"/>
  <c r="O887" i="31" a="1"/>
  <c r="O887" i="31"/>
  <c r="P887" i="31" a="1"/>
  <c r="P887" i="31"/>
  <c r="O888" i="31" a="1"/>
  <c r="O888" i="31"/>
  <c r="P888" i="31" a="1"/>
  <c r="P888" i="31"/>
  <c r="O889" i="31" a="1"/>
  <c r="O889" i="31"/>
  <c r="P889" i="31" a="1"/>
  <c r="P889" i="31"/>
  <c r="O890" i="31" a="1"/>
  <c r="O890" i="31"/>
  <c r="P890" i="31" a="1"/>
  <c r="P890" i="31"/>
  <c r="O891" i="31" a="1"/>
  <c r="O891" i="31"/>
  <c r="P891" i="31" a="1"/>
  <c r="P891" i="31"/>
  <c r="O892" i="31" a="1"/>
  <c r="O892" i="31"/>
  <c r="P892" i="31" a="1"/>
  <c r="P892" i="31"/>
  <c r="O893" i="31" a="1"/>
  <c r="O893" i="31"/>
  <c r="P893" i="31" a="1"/>
  <c r="P893" i="31"/>
  <c r="O894" i="31" a="1"/>
  <c r="O894" i="31"/>
  <c r="P894" i="31" a="1"/>
  <c r="P894" i="31"/>
  <c r="O895" i="31" a="1"/>
  <c r="O895" i="31"/>
  <c r="P895" i="31" a="1"/>
  <c r="P895" i="31"/>
  <c r="O896" i="31" a="1"/>
  <c r="O896" i="31"/>
  <c r="P896" i="31" a="1"/>
  <c r="P896" i="31"/>
  <c r="O897" i="31" a="1"/>
  <c r="O897" i="31"/>
  <c r="P897" i="31" a="1"/>
  <c r="P897" i="31"/>
  <c r="O898" i="31" a="1"/>
  <c r="O898" i="31"/>
  <c r="P898" i="31" a="1"/>
  <c r="P898" i="31"/>
  <c r="O899" i="31" a="1"/>
  <c r="O899" i="31"/>
  <c r="P899" i="31" a="1"/>
  <c r="P899" i="31"/>
  <c r="O900" i="31" a="1"/>
  <c r="O900" i="31"/>
  <c r="P900" i="31" a="1"/>
  <c r="P900" i="31"/>
  <c r="O901" i="31" a="1"/>
  <c r="O901" i="31"/>
  <c r="P901" i="31" a="1"/>
  <c r="P901" i="31"/>
  <c r="O902" i="31" a="1"/>
  <c r="O902" i="31"/>
  <c r="P902" i="31" a="1"/>
  <c r="P902" i="31"/>
  <c r="O903" i="31" a="1"/>
  <c r="O903" i="31"/>
  <c r="P903" i="31" a="1"/>
  <c r="P903" i="31"/>
  <c r="O904" i="31" a="1"/>
  <c r="O904" i="31"/>
  <c r="P904" i="31" a="1"/>
  <c r="P904" i="31"/>
  <c r="O905" i="31" a="1"/>
  <c r="O905" i="31"/>
  <c r="P905" i="31" a="1"/>
  <c r="P905" i="31"/>
  <c r="O906" i="31" a="1"/>
  <c r="O906" i="31"/>
  <c r="P906" i="31" a="1"/>
  <c r="P906" i="31"/>
  <c r="O907" i="31" a="1"/>
  <c r="O907" i="31"/>
  <c r="P907" i="31" a="1"/>
  <c r="P907" i="31"/>
  <c r="O908" i="31" a="1"/>
  <c r="O908" i="31"/>
  <c r="P908" i="31" a="1"/>
  <c r="P908" i="31"/>
  <c r="O909" i="31" a="1"/>
  <c r="O909" i="31"/>
  <c r="P909" i="31" a="1"/>
  <c r="P909" i="31"/>
  <c r="O910" i="31" a="1"/>
  <c r="O910" i="31"/>
  <c r="P910" i="31" a="1"/>
  <c r="P910" i="31"/>
  <c r="O911" i="31" a="1"/>
  <c r="O911" i="31"/>
  <c r="P911" i="31" a="1"/>
  <c r="P911" i="31"/>
  <c r="O912" i="31" a="1"/>
  <c r="O912" i="31"/>
  <c r="P912" i="31" a="1"/>
  <c r="P912" i="31"/>
  <c r="O913" i="31" a="1"/>
  <c r="O913" i="31"/>
  <c r="P913" i="31" a="1"/>
  <c r="P913" i="31"/>
  <c r="O914" i="31" a="1"/>
  <c r="O914" i="31"/>
  <c r="P914" i="31" a="1"/>
  <c r="P914" i="31"/>
  <c r="O915" i="31" a="1"/>
  <c r="O915" i="31"/>
  <c r="P915" i="31" a="1"/>
  <c r="P915" i="31"/>
  <c r="O916" i="31" a="1"/>
  <c r="O916" i="31"/>
  <c r="P916" i="31" a="1"/>
  <c r="P916" i="31"/>
  <c r="O917" i="31" a="1"/>
  <c r="O917" i="31"/>
  <c r="P917" i="31" a="1"/>
  <c r="P917" i="31"/>
  <c r="O918" i="31" a="1"/>
  <c r="O918" i="31"/>
  <c r="P918" i="31" a="1"/>
  <c r="P918" i="31"/>
  <c r="O919" i="31" a="1"/>
  <c r="O919" i="31"/>
  <c r="P919" i="31" a="1"/>
  <c r="P919" i="31"/>
  <c r="O920" i="31" a="1"/>
  <c r="O920" i="31"/>
  <c r="P920" i="31" a="1"/>
  <c r="P920" i="31"/>
  <c r="O921" i="31" a="1"/>
  <c r="O921" i="31"/>
  <c r="P921" i="31" a="1"/>
  <c r="P921" i="31"/>
  <c r="O922" i="31" a="1"/>
  <c r="O922" i="31"/>
  <c r="P922" i="31" a="1"/>
  <c r="P922" i="31"/>
  <c r="O923" i="31" a="1"/>
  <c r="O923" i="31"/>
  <c r="P923" i="31" a="1"/>
  <c r="P923" i="31"/>
  <c r="O924" i="31" a="1"/>
  <c r="O924" i="31"/>
  <c r="P924" i="31" a="1"/>
  <c r="P924" i="31"/>
  <c r="O925" i="31" a="1"/>
  <c r="O925" i="31"/>
  <c r="P925" i="31" a="1"/>
  <c r="P925" i="31"/>
  <c r="O926" i="31" a="1"/>
  <c r="O926" i="31"/>
  <c r="P926" i="31" a="1"/>
  <c r="P926" i="31"/>
  <c r="O927" i="31" a="1"/>
  <c r="O927" i="31"/>
  <c r="P927" i="31" a="1"/>
  <c r="P927" i="31"/>
  <c r="O928" i="31" a="1"/>
  <c r="O928" i="31"/>
  <c r="P928" i="31" a="1"/>
  <c r="P928" i="31"/>
  <c r="O929" i="31" a="1"/>
  <c r="O929" i="31"/>
  <c r="P929" i="31" a="1"/>
  <c r="P929" i="31"/>
  <c r="O930" i="31" a="1"/>
  <c r="O930" i="31"/>
  <c r="P930" i="31" a="1"/>
  <c r="P930" i="31"/>
  <c r="O931" i="31" a="1"/>
  <c r="O931" i="31"/>
  <c r="P931" i="31" a="1"/>
  <c r="P931" i="31"/>
  <c r="O932" i="31" a="1"/>
  <c r="O932" i="31"/>
  <c r="P932" i="31" a="1"/>
  <c r="P932" i="31"/>
  <c r="O933" i="31" a="1"/>
  <c r="O933" i="31"/>
  <c r="P933" i="31" a="1"/>
  <c r="P933" i="31"/>
  <c r="O934" i="31" a="1"/>
  <c r="O934" i="31"/>
  <c r="P934" i="31" a="1"/>
  <c r="P934" i="31"/>
  <c r="O935" i="31" a="1"/>
  <c r="O935" i="31"/>
  <c r="P935" i="31" a="1"/>
  <c r="P935" i="31"/>
  <c r="O936" i="31" a="1"/>
  <c r="O936" i="31"/>
  <c r="P936" i="31" a="1"/>
  <c r="P936" i="31"/>
  <c r="O937" i="31" a="1"/>
  <c r="O937" i="31"/>
  <c r="P937" i="31" a="1"/>
  <c r="P937" i="31"/>
  <c r="O938" i="31" a="1"/>
  <c r="O938" i="31"/>
  <c r="P938" i="31" a="1"/>
  <c r="P938" i="31"/>
  <c r="O939" i="31" a="1"/>
  <c r="O939" i="31"/>
  <c r="P939" i="31" a="1"/>
  <c r="P939" i="31"/>
  <c r="O940" i="31" a="1"/>
  <c r="O940" i="31"/>
  <c r="P940" i="31" a="1"/>
  <c r="P940" i="31"/>
  <c r="O941" i="31" a="1"/>
  <c r="O941" i="31"/>
  <c r="P941" i="31" a="1"/>
  <c r="P941" i="31"/>
  <c r="O942" i="31" a="1"/>
  <c r="O942" i="31"/>
  <c r="P942" i="31" a="1"/>
  <c r="P942" i="31"/>
  <c r="O943" i="31" a="1"/>
  <c r="O943" i="31"/>
  <c r="P943" i="31" a="1"/>
  <c r="P943" i="31"/>
  <c r="O944" i="31" a="1"/>
  <c r="O944" i="31"/>
  <c r="P944" i="31" a="1"/>
  <c r="P944" i="31"/>
  <c r="O945" i="31" a="1"/>
  <c r="O945" i="31"/>
  <c r="P945" i="31" a="1"/>
  <c r="P945" i="31"/>
  <c r="O946" i="31" a="1"/>
  <c r="O946" i="31"/>
  <c r="P946" i="31" a="1"/>
  <c r="P946" i="31"/>
  <c r="O947" i="31" a="1"/>
  <c r="O947" i="31"/>
  <c r="P947" i="31" a="1"/>
  <c r="P947" i="31"/>
  <c r="O948" i="31" a="1"/>
  <c r="O948" i="31"/>
  <c r="P948" i="31" a="1"/>
  <c r="P948" i="31"/>
  <c r="O949" i="31" a="1"/>
  <c r="O949" i="31"/>
  <c r="P949" i="31" a="1"/>
  <c r="P949" i="31"/>
  <c r="O950" i="31" a="1"/>
  <c r="O950" i="31"/>
  <c r="P950" i="31" a="1"/>
  <c r="P950" i="31"/>
  <c r="O951" i="31" a="1"/>
  <c r="O951" i="31"/>
  <c r="P951" i="31" a="1"/>
  <c r="P951" i="31"/>
  <c r="O952" i="31" a="1"/>
  <c r="O952" i="31"/>
  <c r="P952" i="31" a="1"/>
  <c r="P952" i="31"/>
  <c r="O953" i="31" a="1"/>
  <c r="O953" i="31"/>
  <c r="P953" i="31" a="1"/>
  <c r="P953" i="31"/>
  <c r="O954" i="31" a="1"/>
  <c r="O954" i="31"/>
  <c r="P954" i="31" a="1"/>
  <c r="P954" i="31"/>
  <c r="O955" i="31" a="1"/>
  <c r="O955" i="31"/>
  <c r="P955" i="31" a="1"/>
  <c r="P955" i="31"/>
  <c r="O956" i="31" a="1"/>
  <c r="O956" i="31"/>
  <c r="P956" i="31" a="1"/>
  <c r="P956" i="31"/>
  <c r="O957" i="31" a="1"/>
  <c r="O957" i="31"/>
  <c r="P957" i="31" a="1"/>
  <c r="P957" i="31"/>
  <c r="O958" i="31" a="1"/>
  <c r="O958" i="31"/>
  <c r="P958" i="31" a="1"/>
  <c r="P958" i="31"/>
  <c r="O959" i="31" a="1"/>
  <c r="O959" i="31"/>
  <c r="P959" i="31" a="1"/>
  <c r="P959" i="31"/>
  <c r="O960" i="31" a="1"/>
  <c r="O960" i="31"/>
  <c r="P960" i="31" a="1"/>
  <c r="P960" i="31"/>
  <c r="O961" i="31" a="1"/>
  <c r="O961" i="31"/>
  <c r="P961" i="31" a="1"/>
  <c r="P961" i="31"/>
  <c r="O962" i="31" a="1"/>
  <c r="O962" i="31"/>
  <c r="P962" i="31" a="1"/>
  <c r="P962" i="31"/>
  <c r="O963" i="31" a="1"/>
  <c r="O963" i="31"/>
  <c r="P963" i="31" a="1"/>
  <c r="P963" i="31"/>
  <c r="O964" i="31" a="1"/>
  <c r="O964" i="31"/>
  <c r="P964" i="31" a="1"/>
  <c r="P964" i="31"/>
  <c r="O965" i="31" a="1"/>
  <c r="O965" i="31"/>
  <c r="P965" i="31" a="1"/>
  <c r="P965" i="31"/>
  <c r="O966" i="31" a="1"/>
  <c r="O966" i="31"/>
  <c r="P966" i="31" a="1"/>
  <c r="P966" i="31"/>
  <c r="O967" i="31" a="1"/>
  <c r="O967" i="31"/>
  <c r="P967" i="31" a="1"/>
  <c r="P967" i="31"/>
  <c r="O968" i="31" a="1"/>
  <c r="O968" i="31"/>
  <c r="P968" i="31" a="1"/>
  <c r="P968" i="31"/>
  <c r="O969" i="31" a="1"/>
  <c r="O969" i="31"/>
  <c r="P969" i="31" a="1"/>
  <c r="P969" i="31"/>
  <c r="O970" i="31" a="1"/>
  <c r="O970" i="31"/>
  <c r="P970" i="31" a="1"/>
  <c r="P970" i="31"/>
  <c r="O971" i="31" a="1"/>
  <c r="O971" i="31"/>
  <c r="P971" i="31" a="1"/>
  <c r="P971" i="31"/>
  <c r="O972" i="31" a="1"/>
  <c r="O972" i="31"/>
  <c r="P972" i="31" a="1"/>
  <c r="P972" i="31"/>
  <c r="O973" i="31" a="1"/>
  <c r="O973" i="31"/>
  <c r="P973" i="31" a="1"/>
  <c r="P973" i="31"/>
  <c r="O974" i="31" a="1"/>
  <c r="O974" i="31"/>
  <c r="P974" i="31" a="1"/>
  <c r="P974" i="31"/>
  <c r="O975" i="31" a="1"/>
  <c r="O975" i="31"/>
  <c r="P975" i="31" a="1"/>
  <c r="P975" i="31"/>
  <c r="O976" i="31" a="1"/>
  <c r="O976" i="31"/>
  <c r="P976" i="31" a="1"/>
  <c r="P976" i="31"/>
  <c r="O977" i="31" a="1"/>
  <c r="O977" i="31"/>
  <c r="P977" i="31" a="1"/>
  <c r="P977" i="31"/>
  <c r="O978" i="31" a="1"/>
  <c r="O978" i="31"/>
  <c r="P978" i="31" a="1"/>
  <c r="P978" i="31"/>
  <c r="O979" i="31" a="1"/>
  <c r="O979" i="31"/>
  <c r="P979" i="31" a="1"/>
  <c r="P979" i="31"/>
  <c r="O980" i="31" a="1"/>
  <c r="O980" i="31"/>
  <c r="P980" i="31" a="1"/>
  <c r="P980" i="31"/>
  <c r="O981" i="31" a="1"/>
  <c r="O981" i="31"/>
  <c r="P981" i="31" a="1"/>
  <c r="P981" i="31"/>
  <c r="O982" i="31" a="1"/>
  <c r="O982" i="31"/>
  <c r="P982" i="31" a="1"/>
  <c r="P982" i="31"/>
  <c r="O983" i="31" a="1"/>
  <c r="O983" i="31"/>
  <c r="P983" i="31" a="1"/>
  <c r="P983" i="31"/>
  <c r="O984" i="31" a="1"/>
  <c r="O984" i="31"/>
  <c r="P984" i="31" a="1"/>
  <c r="P984" i="31"/>
  <c r="O985" i="31" a="1"/>
  <c r="O985" i="31"/>
  <c r="P985" i="31" a="1"/>
  <c r="P985" i="31"/>
  <c r="O986" i="31" a="1"/>
  <c r="O986" i="31"/>
  <c r="P986" i="31" a="1"/>
  <c r="P986" i="31"/>
  <c r="O987" i="31" a="1"/>
  <c r="O987" i="31"/>
  <c r="P987" i="31" a="1"/>
  <c r="P987" i="31"/>
  <c r="O988" i="31" a="1"/>
  <c r="O988" i="31"/>
  <c r="P988" i="31" a="1"/>
  <c r="P988" i="31"/>
  <c r="O989" i="31" a="1"/>
  <c r="O989" i="31"/>
  <c r="P989" i="31" a="1"/>
  <c r="P989" i="31"/>
  <c r="O990" i="31" a="1"/>
  <c r="O990" i="31"/>
  <c r="P990" i="31" a="1"/>
  <c r="P990" i="31"/>
  <c r="O991" i="31" a="1"/>
  <c r="O991" i="31"/>
  <c r="P991" i="31" a="1"/>
  <c r="P991" i="31"/>
  <c r="O992" i="31" a="1"/>
  <c r="O992" i="31"/>
  <c r="P992" i="31" a="1"/>
  <c r="P992" i="31"/>
  <c r="O993" i="31" a="1"/>
  <c r="O993" i="31"/>
  <c r="P993" i="31" a="1"/>
  <c r="P993" i="31"/>
  <c r="O994" i="31" a="1"/>
  <c r="O994" i="31"/>
  <c r="P994" i="31" a="1"/>
  <c r="P994" i="31"/>
  <c r="O995" i="31" a="1"/>
  <c r="O995" i="31"/>
  <c r="P995" i="31" a="1"/>
  <c r="P995" i="31"/>
  <c r="O996" i="31" a="1"/>
  <c r="O996" i="31"/>
  <c r="P996" i="31" a="1"/>
  <c r="P996" i="31"/>
  <c r="O997" i="31" a="1"/>
  <c r="O997" i="31"/>
  <c r="P997" i="31" a="1"/>
  <c r="P997" i="31"/>
  <c r="O998" i="31" a="1"/>
  <c r="O998" i="31"/>
  <c r="P998" i="31" a="1"/>
  <c r="P998" i="31"/>
  <c r="O999" i="31" a="1"/>
  <c r="O999" i="31"/>
  <c r="P999" i="31" a="1"/>
  <c r="P999" i="31"/>
  <c r="O1000" i="31" a="1"/>
  <c r="O1000" i="31"/>
  <c r="P1000" i="31" a="1"/>
  <c r="P1000" i="31"/>
  <c r="O1001" i="31" a="1"/>
  <c r="O1001" i="31"/>
  <c r="P1001" i="31" a="1"/>
  <c r="P1001" i="31"/>
  <c r="O1002" i="31" a="1"/>
  <c r="O1002" i="31"/>
  <c r="P1002" i="31" a="1"/>
  <c r="P1002" i="31"/>
  <c r="O1003" i="31" a="1"/>
  <c r="O1003" i="31"/>
  <c r="P1003" i="31" a="1"/>
  <c r="P1003" i="31"/>
  <c r="O1004" i="31" a="1"/>
  <c r="O1004" i="31"/>
  <c r="P1004" i="31" a="1"/>
  <c r="P1004" i="31"/>
  <c r="O1005" i="31" a="1"/>
  <c r="O1005" i="31"/>
  <c r="P1005" i="31" a="1"/>
  <c r="P1005" i="31"/>
  <c r="O1006" i="31" a="1"/>
  <c r="O1006" i="31"/>
  <c r="P1006" i="31" a="1"/>
  <c r="P1006" i="31"/>
  <c r="O1007" i="31" a="1"/>
  <c r="O1007" i="31"/>
  <c r="P1007" i="31" a="1"/>
  <c r="P1007" i="31"/>
  <c r="O1008" i="31" a="1"/>
  <c r="O1008" i="31"/>
  <c r="P1008" i="31" a="1"/>
  <c r="P1008" i="31"/>
  <c r="O1009" i="31" a="1"/>
  <c r="O1009" i="31"/>
  <c r="P1009" i="31" a="1"/>
  <c r="P1009" i="31"/>
  <c r="O1010" i="31" a="1"/>
  <c r="O1010" i="31"/>
  <c r="P1010" i="31" a="1"/>
  <c r="P1010" i="31"/>
  <c r="O1011" i="31" a="1"/>
  <c r="O1011" i="31"/>
  <c r="P1011" i="31" a="1"/>
  <c r="P1011" i="31"/>
  <c r="O1012" i="31" a="1"/>
  <c r="O1012" i="31"/>
  <c r="P1012" i="31" a="1"/>
  <c r="P1012" i="31"/>
  <c r="O1013" i="31" a="1"/>
  <c r="O1013" i="31"/>
  <c r="P1013" i="31" a="1"/>
  <c r="P1013" i="31"/>
  <c r="O1014" i="31" a="1"/>
  <c r="O1014" i="31"/>
  <c r="P1014" i="31" a="1"/>
  <c r="P1014" i="31"/>
  <c r="O1015" i="31" a="1"/>
  <c r="O1015" i="31"/>
  <c r="P1015" i="31" a="1"/>
  <c r="P1015" i="31"/>
  <c r="O1016" i="31" a="1"/>
  <c r="O1016" i="31"/>
  <c r="P1016" i="31" a="1"/>
  <c r="P1016" i="31"/>
  <c r="O1017" i="31" a="1"/>
  <c r="O1017" i="31"/>
  <c r="P1017" i="31" a="1"/>
  <c r="P1017" i="31"/>
  <c r="O1018" i="31" a="1"/>
  <c r="O1018" i="31"/>
  <c r="P1018" i="31" a="1"/>
  <c r="P1018" i="31"/>
  <c r="O1019" i="31" a="1"/>
  <c r="O1019" i="31"/>
  <c r="P1019" i="31" a="1"/>
  <c r="P1019" i="31"/>
  <c r="O1020" i="31" a="1"/>
  <c r="O1020" i="31"/>
  <c r="P1020" i="31" a="1"/>
  <c r="P1020" i="31"/>
  <c r="O1021" i="31" a="1"/>
  <c r="O1021" i="31"/>
  <c r="P1021" i="31" a="1"/>
  <c r="P1021" i="31"/>
  <c r="O1022" i="31" a="1"/>
  <c r="O1022" i="31"/>
  <c r="P1022" i="31" a="1"/>
  <c r="P1022" i="31"/>
  <c r="O1023" i="31" a="1"/>
  <c r="O1023" i="31"/>
  <c r="P1023" i="31" a="1"/>
  <c r="P1023" i="31"/>
  <c r="O1024" i="31" a="1"/>
  <c r="O1024" i="31"/>
  <c r="P1024" i="31" a="1"/>
  <c r="P1024" i="31"/>
  <c r="O1025" i="31" a="1"/>
  <c r="O1025" i="31"/>
  <c r="P1025" i="31" a="1"/>
  <c r="P1025" i="31"/>
  <c r="O1026" i="31" a="1"/>
  <c r="O1026" i="31"/>
  <c r="P1026" i="31" a="1"/>
  <c r="P1026" i="31"/>
  <c r="O1027" i="31" a="1"/>
  <c r="O1027" i="31"/>
  <c r="P1027" i="31" a="1"/>
  <c r="P1027" i="31"/>
  <c r="O1028" i="31" a="1"/>
  <c r="O1028" i="31"/>
  <c r="P1028" i="31" a="1"/>
  <c r="P1028" i="31"/>
  <c r="O1029" i="31" a="1"/>
  <c r="O1029" i="31"/>
  <c r="P1029" i="31" a="1"/>
  <c r="P1029" i="31"/>
  <c r="O1030" i="31" a="1"/>
  <c r="O1030" i="31"/>
  <c r="P1030" i="31" a="1"/>
  <c r="P1030" i="31"/>
  <c r="O1031" i="31" a="1"/>
  <c r="O1031" i="31"/>
  <c r="P1031" i="31" a="1"/>
  <c r="P1031" i="31"/>
  <c r="O1032" i="31" a="1"/>
  <c r="O1032" i="31"/>
  <c r="P1032" i="31" a="1"/>
  <c r="P1032" i="31"/>
  <c r="O1033" i="31" a="1"/>
  <c r="O1033" i="31"/>
  <c r="P1033" i="31" a="1"/>
  <c r="P1033" i="31"/>
  <c r="O1034" i="31" a="1"/>
  <c r="O1034" i="31"/>
  <c r="P1034" i="31" a="1"/>
  <c r="P1034" i="31"/>
  <c r="O1035" i="31" a="1"/>
  <c r="O1035" i="31"/>
  <c r="P1035" i="31" a="1"/>
  <c r="P1035" i="31"/>
  <c r="O1036" i="31" a="1"/>
  <c r="O1036" i="31"/>
  <c r="P1036" i="31" a="1"/>
  <c r="P1036" i="31"/>
  <c r="O1037" i="31" a="1"/>
  <c r="O1037" i="31"/>
  <c r="P1037" i="31" a="1"/>
  <c r="P1037" i="31"/>
  <c r="O1038" i="31" a="1"/>
  <c r="O1038" i="31"/>
  <c r="P1038" i="31" a="1"/>
  <c r="P1038" i="31"/>
  <c r="O1039" i="31" a="1"/>
  <c r="O1039" i="31"/>
  <c r="P1039" i="31" a="1"/>
  <c r="P1039" i="31"/>
  <c r="O1040" i="31" a="1"/>
  <c r="O1040" i="31"/>
  <c r="P1040" i="31" a="1"/>
  <c r="P1040" i="31"/>
  <c r="O1041" i="31" a="1"/>
  <c r="O1041" i="31"/>
  <c r="P1041" i="31" a="1"/>
  <c r="P1041" i="31"/>
  <c r="O1042" i="31" a="1"/>
  <c r="O1042" i="31"/>
  <c r="P1042" i="31" a="1"/>
  <c r="P1042" i="31"/>
  <c r="O1043" i="31" a="1"/>
  <c r="O1043" i="31"/>
  <c r="P1043" i="31" a="1"/>
  <c r="P1043" i="31"/>
  <c r="O1044" i="31" a="1"/>
  <c r="O1044" i="31"/>
  <c r="P1044" i="31" a="1"/>
  <c r="P1044" i="31"/>
  <c r="O1045" i="31" a="1"/>
  <c r="O1045" i="31"/>
  <c r="P1045" i="31" a="1"/>
  <c r="P1045" i="31"/>
  <c r="O1046" i="31" a="1"/>
  <c r="O1046" i="31"/>
  <c r="P1046" i="31" a="1"/>
  <c r="P1046" i="31"/>
  <c r="O1047" i="31" a="1"/>
  <c r="O1047" i="31"/>
  <c r="P1047" i="31" a="1"/>
  <c r="P1047" i="31"/>
  <c r="O1048" i="31" a="1"/>
  <c r="O1048" i="31"/>
  <c r="P1048" i="31" a="1"/>
  <c r="P1048" i="31"/>
  <c r="O1049" i="31" a="1"/>
  <c r="O1049" i="31"/>
  <c r="P1049" i="31" a="1"/>
  <c r="P1049" i="31"/>
  <c r="O1050" i="31" a="1"/>
  <c r="O1050" i="31"/>
  <c r="P1050" i="31" a="1"/>
  <c r="P1050" i="31"/>
  <c r="O1051" i="31" a="1"/>
  <c r="O1051" i="31"/>
  <c r="P1051" i="31" a="1"/>
  <c r="P1051" i="31"/>
  <c r="O1052" i="31" a="1"/>
  <c r="O1052" i="31"/>
  <c r="P1052" i="31" a="1"/>
  <c r="P1052" i="31"/>
  <c r="O1053" i="31" a="1"/>
  <c r="O1053" i="31"/>
  <c r="P1053" i="31" a="1"/>
  <c r="P1053" i="31"/>
  <c r="O1054" i="31" a="1"/>
  <c r="O1054" i="31"/>
  <c r="P1054" i="31" a="1"/>
  <c r="P1054" i="31"/>
  <c r="O1055" i="31" a="1"/>
  <c r="O1055" i="31"/>
  <c r="P1055" i="31" a="1"/>
  <c r="P1055" i="31"/>
  <c r="O1056" i="31" a="1"/>
  <c r="O1056" i="31"/>
  <c r="P1056" i="31" a="1"/>
  <c r="P1056" i="31"/>
  <c r="O1057" i="31" a="1"/>
  <c r="O1057" i="31"/>
  <c r="P1057" i="31" a="1"/>
  <c r="P1057" i="31"/>
  <c r="O1058" i="31" a="1"/>
  <c r="O1058" i="31"/>
  <c r="P1058" i="31" a="1"/>
  <c r="P1058" i="31"/>
  <c r="O1059" i="31" a="1"/>
  <c r="O1059" i="31"/>
  <c r="P1059" i="31" a="1"/>
  <c r="P1059" i="31"/>
  <c r="O1060" i="31" a="1"/>
  <c r="O1060" i="31"/>
  <c r="P1060" i="31" a="1"/>
  <c r="P1060" i="31"/>
  <c r="O1061" i="31" a="1"/>
  <c r="O1061" i="31"/>
  <c r="P1061" i="31" a="1"/>
  <c r="P1061" i="31"/>
  <c r="O1062" i="31" a="1"/>
  <c r="O1062" i="31"/>
  <c r="P1062" i="31" a="1"/>
  <c r="P1062" i="31"/>
  <c r="O1063" i="31" a="1"/>
  <c r="O1063" i="31"/>
  <c r="P1063" i="31" a="1"/>
  <c r="P1063" i="31"/>
  <c r="O1064" i="31" a="1"/>
  <c r="O1064" i="31"/>
  <c r="P1064" i="31" a="1"/>
  <c r="P1064" i="31"/>
  <c r="O1065" i="31" a="1"/>
  <c r="O1065" i="31"/>
  <c r="P1065" i="31" a="1"/>
  <c r="P1065" i="31"/>
  <c r="O1066" i="31" a="1"/>
  <c r="O1066" i="31"/>
  <c r="P1066" i="31" a="1"/>
  <c r="P1066" i="31"/>
  <c r="O1067" i="31" a="1"/>
  <c r="O1067" i="31"/>
  <c r="P1067" i="31" a="1"/>
  <c r="P1067" i="31"/>
  <c r="O1068" i="31" a="1"/>
  <c r="O1068" i="31"/>
  <c r="P1068" i="31" a="1"/>
  <c r="P1068" i="31"/>
  <c r="O1069" i="31" a="1"/>
  <c r="O1069" i="31"/>
  <c r="P1069" i="31" a="1"/>
  <c r="P1069" i="31"/>
  <c r="O1070" i="31" a="1"/>
  <c r="O1070" i="31"/>
  <c r="P1070" i="31" a="1"/>
  <c r="P1070" i="31"/>
  <c r="O1071" i="31" a="1"/>
  <c r="O1071" i="31"/>
  <c r="P1071" i="31" a="1"/>
  <c r="P1071" i="31"/>
  <c r="O1072" i="31" a="1"/>
  <c r="O1072" i="31"/>
  <c r="P1072" i="31" a="1"/>
  <c r="P1072" i="31"/>
  <c r="O1073" i="31" a="1"/>
  <c r="O1073" i="31"/>
  <c r="P1073" i="31" a="1"/>
  <c r="P1073" i="31"/>
  <c r="O1074" i="31" a="1"/>
  <c r="O1074" i="31"/>
  <c r="P1074" i="31" a="1"/>
  <c r="P1074" i="31"/>
  <c r="O1075" i="31" a="1"/>
  <c r="O1075" i="31"/>
  <c r="P1075" i="31" a="1"/>
  <c r="P1075" i="31"/>
  <c r="O1076" i="31" a="1"/>
  <c r="O1076" i="31"/>
  <c r="P1076" i="31" a="1"/>
  <c r="P1076" i="31"/>
  <c r="O1077" i="31" a="1"/>
  <c r="O1077" i="31"/>
  <c r="P1077" i="31" a="1"/>
  <c r="P1077" i="31"/>
  <c r="O1078" i="31" a="1"/>
  <c r="O1078" i="31"/>
  <c r="P1078" i="31" a="1"/>
  <c r="P1078" i="31"/>
  <c r="O1079" i="31" a="1"/>
  <c r="O1079" i="31"/>
  <c r="P1079" i="31" a="1"/>
  <c r="P1079" i="31"/>
  <c r="O1080" i="31" a="1"/>
  <c r="O1080" i="31"/>
  <c r="P1080" i="31" a="1"/>
  <c r="P1080" i="31"/>
  <c r="O1081" i="31" a="1"/>
  <c r="O1081" i="31"/>
  <c r="P1081" i="31" a="1"/>
  <c r="P1081" i="31"/>
  <c r="O1082" i="31" a="1"/>
  <c r="O1082" i="31"/>
  <c r="P1082" i="31" a="1"/>
  <c r="P1082" i="31"/>
  <c r="O1083" i="31" a="1"/>
  <c r="O1083" i="31"/>
  <c r="P1083" i="31" a="1"/>
  <c r="P1083" i="31"/>
  <c r="O1084" i="31" a="1"/>
  <c r="O1084" i="31"/>
  <c r="P1084" i="31" a="1"/>
  <c r="P1084" i="31"/>
  <c r="O1085" i="31" a="1"/>
  <c r="O1085" i="31"/>
  <c r="P1085" i="31" a="1"/>
  <c r="P1085" i="31"/>
  <c r="O1086" i="31" a="1"/>
  <c r="O1086" i="31"/>
  <c r="P1086" i="31" a="1"/>
  <c r="P1086" i="31"/>
  <c r="O1087" i="31" a="1"/>
  <c r="O1087" i="31"/>
  <c r="P1087" i="31" a="1"/>
  <c r="P1087" i="31"/>
  <c r="O1088" i="31" a="1"/>
  <c r="O1088" i="31"/>
  <c r="P1088" i="31" a="1"/>
  <c r="P1088" i="31"/>
  <c r="O1089" i="31" a="1"/>
  <c r="O1089" i="31"/>
  <c r="P1089" i="31" a="1"/>
  <c r="P1089" i="31"/>
  <c r="O1090" i="31" a="1"/>
  <c r="O1090" i="31"/>
  <c r="P1090" i="31" a="1"/>
  <c r="P1090" i="31"/>
  <c r="O1091" i="31" a="1"/>
  <c r="O1091" i="31"/>
  <c r="P1091" i="31" a="1"/>
  <c r="P1091" i="31"/>
  <c r="O1092" i="31" a="1"/>
  <c r="O1092" i="31"/>
  <c r="P1092" i="31" a="1"/>
  <c r="P1092" i="31"/>
  <c r="O1093" i="31" a="1"/>
  <c r="O1093" i="31"/>
  <c r="P1093" i="31" a="1"/>
  <c r="P1093" i="31"/>
  <c r="O1094" i="31" a="1"/>
  <c r="O1094" i="31"/>
  <c r="P1094" i="31" a="1"/>
  <c r="P1094" i="31"/>
  <c r="O1095" i="31" a="1"/>
  <c r="O1095" i="31"/>
  <c r="P1095" i="31" a="1"/>
  <c r="P1095" i="31"/>
  <c r="O1096" i="31" a="1"/>
  <c r="O1096" i="31"/>
  <c r="P1096" i="31" a="1"/>
  <c r="P1096" i="31"/>
  <c r="O1097" i="31" a="1"/>
  <c r="O1097" i="31"/>
  <c r="P1097" i="31" a="1"/>
  <c r="P1097" i="31"/>
  <c r="O1098" i="31" a="1"/>
  <c r="O1098" i="31"/>
  <c r="P1098" i="31" a="1"/>
  <c r="P1098" i="31"/>
  <c r="O1099" i="31" a="1"/>
  <c r="O1099" i="31"/>
  <c r="P1099" i="31" a="1"/>
  <c r="P1099" i="31"/>
  <c r="O1100" i="31" a="1"/>
  <c r="O1100" i="31"/>
  <c r="P1100" i="31" a="1"/>
  <c r="P1100" i="31"/>
  <c r="O1101" i="31" a="1"/>
  <c r="O1101" i="31"/>
  <c r="P1101" i="31" a="1"/>
  <c r="P1101" i="31"/>
  <c r="O1102" i="31" a="1"/>
  <c r="O1102" i="31"/>
  <c r="P1102" i="31" a="1"/>
  <c r="P1102" i="31"/>
  <c r="O1103" i="31" a="1"/>
  <c r="O1103" i="31"/>
  <c r="P1103" i="31" a="1"/>
  <c r="P1103" i="31"/>
  <c r="O1104" i="31" a="1"/>
  <c r="O1104" i="31"/>
  <c r="P1104" i="31" a="1"/>
  <c r="P1104" i="31"/>
  <c r="O1105" i="31" a="1"/>
  <c r="O1105" i="31"/>
  <c r="P1105" i="31" a="1"/>
  <c r="P1105" i="31"/>
  <c r="O1106" i="31" a="1"/>
  <c r="O1106" i="31"/>
  <c r="P1106" i="31" a="1"/>
  <c r="P1106" i="31"/>
  <c r="O1107" i="31" a="1"/>
  <c r="O1107" i="31"/>
  <c r="P1107" i="31" a="1"/>
  <c r="P1107" i="31"/>
  <c r="O1108" i="31" a="1"/>
  <c r="O1108" i="31"/>
  <c r="P1108" i="31" a="1"/>
  <c r="P1108" i="31"/>
  <c r="O1109" i="31" a="1"/>
  <c r="O1109" i="31"/>
  <c r="P1109" i="31" a="1"/>
  <c r="P1109" i="31"/>
  <c r="O1110" i="31" a="1"/>
  <c r="O1110" i="31"/>
  <c r="P1110" i="31" a="1"/>
  <c r="P1110" i="31"/>
  <c r="O1111" i="31" a="1"/>
  <c r="O1111" i="31"/>
  <c r="P1111" i="31" a="1"/>
  <c r="P1111" i="31"/>
  <c r="O1112" i="31" a="1"/>
  <c r="O1112" i="31"/>
  <c r="P1112" i="31" a="1"/>
  <c r="P1112" i="31"/>
  <c r="O1113" i="31" a="1"/>
  <c r="O1113" i="31"/>
  <c r="P1113" i="31" a="1"/>
  <c r="P1113" i="31"/>
  <c r="O1114" i="31" a="1"/>
  <c r="O1114" i="31"/>
  <c r="P1114" i="31" a="1"/>
  <c r="P1114" i="31"/>
  <c r="O1115" i="31" a="1"/>
  <c r="O1115" i="31"/>
  <c r="P1115" i="31" a="1"/>
  <c r="P1115" i="31"/>
  <c r="O1116" i="31" a="1"/>
  <c r="O1116" i="31"/>
  <c r="P1116" i="31" a="1"/>
  <c r="P1116" i="31"/>
  <c r="O1117" i="31" a="1"/>
  <c r="O1117" i="31"/>
  <c r="P1117" i="31" a="1"/>
  <c r="P1117" i="31"/>
  <c r="O1118" i="31" a="1"/>
  <c r="O1118" i="31"/>
  <c r="P1118" i="31" a="1"/>
  <c r="P1118" i="31"/>
  <c r="O1119" i="31" a="1"/>
  <c r="O1119" i="31"/>
  <c r="P1119" i="31" a="1"/>
  <c r="P1119" i="31"/>
  <c r="O1120" i="31" a="1"/>
  <c r="O1120" i="31"/>
  <c r="P1120" i="31" a="1"/>
  <c r="P1120" i="31"/>
  <c r="O1121" i="31" a="1"/>
  <c r="O1121" i="31"/>
  <c r="P1121" i="31" a="1"/>
  <c r="P1121" i="31"/>
  <c r="O1122" i="31" a="1"/>
  <c r="O1122" i="31"/>
  <c r="P1122" i="31" a="1"/>
  <c r="P1122" i="31"/>
  <c r="O1123" i="31" a="1"/>
  <c r="O1123" i="31"/>
  <c r="P1123" i="31" a="1"/>
  <c r="P1123" i="31"/>
  <c r="O1124" i="31" a="1"/>
  <c r="O1124" i="31"/>
  <c r="P1124" i="31" a="1"/>
  <c r="P1124" i="31"/>
  <c r="O1125" i="31" a="1"/>
  <c r="O1125" i="31"/>
  <c r="P1125" i="31" a="1"/>
  <c r="P1125" i="31"/>
  <c r="O1126" i="31" a="1"/>
  <c r="O1126" i="31"/>
  <c r="P1126" i="31" a="1"/>
  <c r="P1126" i="31"/>
  <c r="O1127" i="31" a="1"/>
  <c r="O1127" i="31"/>
  <c r="P1127" i="31" a="1"/>
  <c r="P1127" i="31"/>
  <c r="O1128" i="31" a="1"/>
  <c r="O1128" i="31"/>
  <c r="P1128" i="31" a="1"/>
  <c r="P1128" i="31"/>
  <c r="O1129" i="31" a="1"/>
  <c r="O1129" i="31"/>
  <c r="P1129" i="31" a="1"/>
  <c r="P1129" i="31"/>
  <c r="O1130" i="31" a="1"/>
  <c r="O1130" i="31"/>
  <c r="P1130" i="31" a="1"/>
  <c r="P1130" i="31"/>
  <c r="O1131" i="31" a="1"/>
  <c r="O1131" i="31"/>
  <c r="P1131" i="31" a="1"/>
  <c r="P1131" i="31"/>
  <c r="O1132" i="31" a="1"/>
  <c r="O1132" i="31"/>
  <c r="P1132" i="31" a="1"/>
  <c r="P1132" i="31"/>
  <c r="O1133" i="31" a="1"/>
  <c r="O1133" i="31"/>
  <c r="P1133" i="31" a="1"/>
  <c r="P1133" i="31"/>
  <c r="O1134" i="31" a="1"/>
  <c r="O1134" i="31"/>
  <c r="P1134" i="31" a="1"/>
  <c r="P1134" i="31"/>
  <c r="O1135" i="31" a="1"/>
  <c r="O1135" i="31"/>
  <c r="P1135" i="31" a="1"/>
  <c r="P1135" i="31"/>
  <c r="O1136" i="31" a="1"/>
  <c r="O1136" i="31"/>
  <c r="P1136" i="31" a="1"/>
  <c r="P1136" i="31"/>
  <c r="O1137" i="31" a="1"/>
  <c r="O1137" i="31"/>
  <c r="P1137" i="31" a="1"/>
  <c r="P1137" i="31"/>
  <c r="O1138" i="31" a="1"/>
  <c r="O1138" i="31"/>
  <c r="P1138" i="31" a="1"/>
  <c r="P1138" i="31"/>
  <c r="O1139" i="31" a="1"/>
  <c r="O1139" i="31"/>
  <c r="P1139" i="31" a="1"/>
  <c r="P1139" i="31"/>
  <c r="O1140" i="31" a="1"/>
  <c r="O1140" i="31"/>
  <c r="P1140" i="31" a="1"/>
  <c r="P1140" i="31"/>
  <c r="O1141" i="31" a="1"/>
  <c r="O1141" i="31"/>
  <c r="P1141" i="31" a="1"/>
  <c r="P1141" i="31"/>
  <c r="O1142" i="31" a="1"/>
  <c r="O1142" i="31"/>
  <c r="P1142" i="31" a="1"/>
  <c r="P1142" i="31"/>
  <c r="O1143" i="31" a="1"/>
  <c r="O1143" i="31"/>
  <c r="P1143" i="31" a="1"/>
  <c r="P1143" i="31"/>
  <c r="O1144" i="31" a="1"/>
  <c r="O1144" i="31"/>
  <c r="P1144" i="31" a="1"/>
  <c r="P1144" i="31"/>
  <c r="O1145" i="31" a="1"/>
  <c r="O1145" i="31"/>
  <c r="P1145" i="31" a="1"/>
  <c r="P1145" i="31"/>
  <c r="O1146" i="31" a="1"/>
  <c r="O1146" i="31"/>
  <c r="P1146" i="31" a="1"/>
  <c r="P1146" i="31"/>
  <c r="O1147" i="31" a="1"/>
  <c r="O1147" i="31"/>
  <c r="P1147" i="31" a="1"/>
  <c r="P1147" i="31"/>
  <c r="O1148" i="31" a="1"/>
  <c r="O1148" i="31"/>
  <c r="P1148" i="31" a="1"/>
  <c r="P1148" i="31"/>
  <c r="O1149" i="31" a="1"/>
  <c r="O1149" i="31"/>
  <c r="P1149" i="31" a="1"/>
  <c r="P1149" i="31"/>
  <c r="O1150" i="31" a="1"/>
  <c r="O1150" i="31"/>
  <c r="P1150" i="31" a="1"/>
  <c r="P1150" i="31"/>
  <c r="O1151" i="31" a="1"/>
  <c r="O1151" i="31"/>
  <c r="P1151" i="31" a="1"/>
  <c r="P1151" i="31"/>
  <c r="O1152" i="31" a="1"/>
  <c r="O1152" i="31"/>
  <c r="P1152" i="31" a="1"/>
  <c r="P1152" i="31"/>
  <c r="O1153" i="31" a="1"/>
  <c r="O1153" i="31"/>
  <c r="P1153" i="31" a="1"/>
  <c r="P1153" i="31"/>
  <c r="O1154" i="31" a="1"/>
  <c r="O1154" i="31"/>
  <c r="P1154" i="31" a="1"/>
  <c r="P1154" i="31"/>
  <c r="O1155" i="31" a="1"/>
  <c r="O1155" i="31"/>
  <c r="P1155" i="31" a="1"/>
  <c r="P1155" i="31"/>
  <c r="O1156" i="31" a="1"/>
  <c r="O1156" i="31"/>
  <c r="P1156" i="31" a="1"/>
  <c r="P1156" i="31"/>
  <c r="O1157" i="31" a="1"/>
  <c r="O1157" i="31"/>
  <c r="P1157" i="31" a="1"/>
  <c r="P1157" i="31"/>
  <c r="O1158" i="31" a="1"/>
  <c r="O1158" i="31"/>
  <c r="P1158" i="31" a="1"/>
  <c r="P1158" i="31"/>
  <c r="O1159" i="31" a="1"/>
  <c r="O1159" i="31"/>
  <c r="P1159" i="31" a="1"/>
  <c r="P1159" i="31"/>
  <c r="O1160" i="31" a="1"/>
  <c r="O1160" i="31"/>
  <c r="P1160" i="31" a="1"/>
  <c r="P1160" i="31"/>
  <c r="O1161" i="31" a="1"/>
  <c r="O1161" i="31"/>
  <c r="P1161" i="31" a="1"/>
  <c r="P1161" i="31"/>
  <c r="O1162" i="31" a="1"/>
  <c r="O1162" i="31"/>
  <c r="P1162" i="31" a="1"/>
  <c r="P1162" i="31"/>
  <c r="O1163" i="31" a="1"/>
  <c r="O1163" i="31"/>
  <c r="P1163" i="31" a="1"/>
  <c r="P1163" i="31"/>
  <c r="O1164" i="31" a="1"/>
  <c r="O1164" i="31"/>
  <c r="P1164" i="31" a="1"/>
  <c r="P1164" i="31"/>
  <c r="O1165" i="31" a="1"/>
  <c r="O1165" i="31"/>
  <c r="P1165" i="31" a="1"/>
  <c r="P1165" i="31"/>
  <c r="O1166" i="31" a="1"/>
  <c r="O1166" i="31"/>
  <c r="P1166" i="31" a="1"/>
  <c r="P1166" i="31"/>
  <c r="O1167" i="31" a="1"/>
  <c r="O1167" i="31"/>
  <c r="P1167" i="31" a="1"/>
  <c r="P1167" i="31"/>
  <c r="O1168" i="31" a="1"/>
  <c r="O1168" i="31"/>
  <c r="P1168" i="31" a="1"/>
  <c r="P1168" i="31"/>
  <c r="O1169" i="31" a="1"/>
  <c r="O1169" i="31"/>
  <c r="P1169" i="31" a="1"/>
  <c r="P1169" i="31"/>
  <c r="O1170" i="31" a="1"/>
  <c r="O1170" i="31"/>
  <c r="P1170" i="31" a="1"/>
  <c r="P1170" i="31"/>
  <c r="O1171" i="31" a="1"/>
  <c r="O1171" i="31"/>
  <c r="P1171" i="31" a="1"/>
  <c r="P1171" i="31"/>
  <c r="O1172" i="31" a="1"/>
  <c r="O1172" i="31"/>
  <c r="P1172" i="31" a="1"/>
  <c r="P1172" i="31"/>
  <c r="O1173" i="31" a="1"/>
  <c r="O1173" i="31"/>
  <c r="P1173" i="31" a="1"/>
  <c r="P1173" i="31"/>
  <c r="O1174" i="31" a="1"/>
  <c r="O1174" i="31"/>
  <c r="P1174" i="31" a="1"/>
  <c r="P1174" i="31"/>
  <c r="O1175" i="31" a="1"/>
  <c r="O1175" i="31"/>
  <c r="P1175" i="31" a="1"/>
  <c r="P1175" i="31"/>
  <c r="O1176" i="31" a="1"/>
  <c r="O1176" i="31"/>
  <c r="P1176" i="31" a="1"/>
  <c r="P1176" i="31"/>
  <c r="O1177" i="31" a="1"/>
  <c r="O1177" i="31"/>
  <c r="P1177" i="31" a="1"/>
  <c r="P1177" i="31"/>
  <c r="O1178" i="31" a="1"/>
  <c r="O1178" i="31"/>
  <c r="P1178" i="31" a="1"/>
  <c r="P1178" i="31"/>
  <c r="O1179" i="31" a="1"/>
  <c r="O1179" i="31"/>
  <c r="P1179" i="31" a="1"/>
  <c r="P1179" i="31"/>
  <c r="O1180" i="31" a="1"/>
  <c r="O1180" i="31"/>
  <c r="P1180" i="31" a="1"/>
  <c r="P1180" i="31"/>
  <c r="O1181" i="31" a="1"/>
  <c r="O1181" i="31"/>
  <c r="P1181" i="31" a="1"/>
  <c r="P1181" i="31"/>
  <c r="O1182" i="31" a="1"/>
  <c r="O1182" i="31"/>
  <c r="P1182" i="31" a="1"/>
  <c r="P1182" i="31"/>
  <c r="O1183" i="31" a="1"/>
  <c r="O1183" i="31"/>
  <c r="P1183" i="31" a="1"/>
  <c r="P1183" i="31"/>
  <c r="O1184" i="31" a="1"/>
  <c r="O1184" i="31"/>
  <c r="P1184" i="31" a="1"/>
  <c r="P1184" i="31"/>
  <c r="O1185" i="31" a="1"/>
  <c r="O1185" i="31"/>
  <c r="P1185" i="31" a="1"/>
  <c r="P1185" i="31"/>
  <c r="O1186" i="31" a="1"/>
  <c r="O1186" i="31"/>
  <c r="P1186" i="31" a="1"/>
  <c r="P1186" i="31"/>
  <c r="O1187" i="31" a="1"/>
  <c r="O1187" i="31"/>
  <c r="P1187" i="31" a="1"/>
  <c r="P1187" i="31"/>
  <c r="O1188" i="31" a="1"/>
  <c r="O1188" i="31"/>
  <c r="P1188" i="31" a="1"/>
  <c r="P1188" i="31"/>
  <c r="O1189" i="31" a="1"/>
  <c r="O1189" i="31"/>
  <c r="P1189" i="31" a="1"/>
  <c r="P1189" i="31"/>
  <c r="O1190" i="31" a="1"/>
  <c r="O1190" i="31"/>
  <c r="P1190" i="31" a="1"/>
  <c r="P1190" i="31"/>
  <c r="O1191" i="31" a="1"/>
  <c r="O1191" i="31"/>
  <c r="P1191" i="31" a="1"/>
  <c r="P1191" i="31"/>
  <c r="O1192" i="31" a="1"/>
  <c r="O1192" i="31"/>
  <c r="P1192" i="31" a="1"/>
  <c r="P1192" i="31"/>
  <c r="O1193" i="31" a="1"/>
  <c r="O1193" i="31"/>
  <c r="P1193" i="31" a="1"/>
  <c r="P1193" i="31"/>
  <c r="O1194" i="31" a="1"/>
  <c r="O1194" i="31"/>
  <c r="P1194" i="31" a="1"/>
  <c r="P1194" i="31"/>
  <c r="O1195" i="31" a="1"/>
  <c r="O1195" i="31"/>
  <c r="P1195" i="31" a="1"/>
  <c r="P1195" i="31"/>
  <c r="O1196" i="31" a="1"/>
  <c r="O1196" i="31"/>
  <c r="P1196" i="31" a="1"/>
  <c r="P1196" i="31"/>
  <c r="O1197" i="31" a="1"/>
  <c r="O1197" i="31"/>
  <c r="P1197" i="31" a="1"/>
  <c r="P1197" i="31"/>
  <c r="O1198" i="31" a="1"/>
  <c r="O1198" i="31"/>
  <c r="P1198" i="31" a="1"/>
  <c r="P1198" i="31"/>
  <c r="O1199" i="31" a="1"/>
  <c r="O1199" i="31"/>
  <c r="P1199" i="31" a="1"/>
  <c r="P1199" i="31"/>
  <c r="O1200" i="31" a="1"/>
  <c r="O1200" i="31"/>
  <c r="P1200" i="31" a="1"/>
  <c r="P1200" i="31"/>
  <c r="O1201" i="31" a="1"/>
  <c r="O1201" i="31"/>
  <c r="P1201" i="31" a="1"/>
  <c r="P1201" i="31"/>
  <c r="O1202" i="31" a="1"/>
  <c r="O1202" i="31"/>
  <c r="P1202" i="31" a="1"/>
  <c r="P1202" i="31"/>
  <c r="O1203" i="31" a="1"/>
  <c r="O1203" i="31"/>
  <c r="P1203" i="31" a="1"/>
  <c r="P1203" i="31"/>
  <c r="O1204" i="31" a="1"/>
  <c r="O1204" i="31"/>
  <c r="P1204" i="31" a="1"/>
  <c r="P1204" i="31"/>
  <c r="O1205" i="31" a="1"/>
  <c r="O1205" i="31"/>
  <c r="P1205" i="31" a="1"/>
  <c r="P1205" i="31"/>
  <c r="O1206" i="31" a="1"/>
  <c r="O1206" i="31"/>
  <c r="P1206" i="31" a="1"/>
  <c r="P1206" i="31"/>
  <c r="O1207" i="31" a="1"/>
  <c r="O1207" i="31"/>
  <c r="P1207" i="31" a="1"/>
  <c r="P1207" i="31"/>
  <c r="O1208" i="31" a="1"/>
  <c r="O1208" i="31"/>
  <c r="P1208" i="31" a="1"/>
  <c r="P1208" i="31"/>
  <c r="O1209" i="31" a="1"/>
  <c r="O1209" i="31"/>
  <c r="P1209" i="31" a="1"/>
  <c r="P1209" i="31"/>
  <c r="O1210" i="31" a="1"/>
  <c r="O1210" i="31"/>
  <c r="P1210" i="31" a="1"/>
  <c r="P1210" i="31"/>
  <c r="O1211" i="31" a="1"/>
  <c r="O1211" i="31"/>
  <c r="P1211" i="31" a="1"/>
  <c r="P1211" i="31"/>
  <c r="O1212" i="31" a="1"/>
  <c r="O1212" i="31"/>
  <c r="P1212" i="31" a="1"/>
  <c r="P1212" i="31"/>
  <c r="O1213" i="31" a="1"/>
  <c r="O1213" i="31"/>
  <c r="P1213" i="31" a="1"/>
  <c r="P1213" i="31"/>
  <c r="O1214" i="31" a="1"/>
  <c r="O1214" i="31"/>
  <c r="P1214" i="31" a="1"/>
  <c r="P1214" i="31"/>
  <c r="O1215" i="31" a="1"/>
  <c r="O1215" i="31"/>
  <c r="P1215" i="31" a="1"/>
  <c r="P1215" i="31"/>
  <c r="O1216" i="31" a="1"/>
  <c r="O1216" i="31"/>
  <c r="P1216" i="31" a="1"/>
  <c r="P1216" i="31"/>
  <c r="O1217" i="31" a="1"/>
  <c r="O1217" i="31"/>
  <c r="P1217" i="31" a="1"/>
  <c r="P1217" i="31"/>
  <c r="O1218" i="31" a="1"/>
  <c r="O1218" i="31"/>
  <c r="P1218" i="31" a="1"/>
  <c r="P1218" i="31"/>
  <c r="O1219" i="31" a="1"/>
  <c r="O1219" i="31"/>
  <c r="P1219" i="31" a="1"/>
  <c r="P1219" i="31"/>
  <c r="O1220" i="31" a="1"/>
  <c r="O1220" i="31"/>
  <c r="P1220" i="31" a="1"/>
  <c r="P1220" i="31"/>
  <c r="O1221" i="31" a="1"/>
  <c r="O1221" i="31"/>
  <c r="P1221" i="31" a="1"/>
  <c r="P1221" i="31"/>
  <c r="O1222" i="31" a="1"/>
  <c r="O1222" i="31"/>
  <c r="P1222" i="31" a="1"/>
  <c r="P1222" i="31"/>
  <c r="O1223" i="31" a="1"/>
  <c r="O1223" i="31"/>
  <c r="P1223" i="31" a="1"/>
  <c r="P1223" i="31"/>
  <c r="O1224" i="31" a="1"/>
  <c r="O1224" i="31"/>
  <c r="P1224" i="31" a="1"/>
  <c r="P1224" i="31"/>
  <c r="O1225" i="31" a="1"/>
  <c r="O1225" i="31"/>
  <c r="P1225" i="31" a="1"/>
  <c r="P1225" i="31"/>
  <c r="O1226" i="31" a="1"/>
  <c r="O1226" i="31"/>
  <c r="P1226" i="31" a="1"/>
  <c r="P1226" i="31"/>
  <c r="O1227" i="31" a="1"/>
  <c r="O1227" i="31"/>
  <c r="P1227" i="31" a="1"/>
  <c r="P1227" i="31"/>
  <c r="O1228" i="31" a="1"/>
  <c r="O1228" i="31"/>
  <c r="P1228" i="31" a="1"/>
  <c r="P1228" i="31"/>
  <c r="O1229" i="31" a="1"/>
  <c r="O1229" i="31"/>
  <c r="P1229" i="31" a="1"/>
  <c r="P1229" i="31"/>
  <c r="O1230" i="31" a="1"/>
  <c r="O1230" i="31"/>
  <c r="P1230" i="31" a="1"/>
  <c r="P1230" i="31"/>
  <c r="O1231" i="31" a="1"/>
  <c r="O1231" i="31"/>
  <c r="P1231" i="31" a="1"/>
  <c r="P1231" i="31"/>
  <c r="O1232" i="31" a="1"/>
  <c r="O1232" i="31"/>
  <c r="P1232" i="31" a="1"/>
  <c r="P1232" i="31"/>
  <c r="O1233" i="31" a="1"/>
  <c r="O1233" i="31"/>
  <c r="P1233" i="31" a="1"/>
  <c r="P1233" i="31"/>
  <c r="O1234" i="31" a="1"/>
  <c r="O1234" i="31"/>
  <c r="P1234" i="31" a="1"/>
  <c r="P1234" i="31"/>
  <c r="O1235" i="31" a="1"/>
  <c r="O1235" i="31"/>
  <c r="P1235" i="31" a="1"/>
  <c r="P1235" i="31"/>
  <c r="O1236" i="31" a="1"/>
  <c r="O1236" i="31"/>
  <c r="P1236" i="31" a="1"/>
  <c r="P1236" i="31"/>
  <c r="O1237" i="31" a="1"/>
  <c r="O1237" i="31"/>
  <c r="P1237" i="31" a="1"/>
  <c r="P1237" i="31"/>
  <c r="O1238" i="31" a="1"/>
  <c r="O1238" i="31"/>
  <c r="P1238" i="31" a="1"/>
  <c r="P1238" i="31"/>
  <c r="O1239" i="31" a="1"/>
  <c r="O1239" i="31"/>
  <c r="P1239" i="31" a="1"/>
  <c r="P1239" i="31"/>
  <c r="O1240" i="31" a="1"/>
  <c r="O1240" i="31"/>
  <c r="P1240" i="31" a="1"/>
  <c r="P1240" i="31"/>
  <c r="O1241" i="31" a="1"/>
  <c r="O1241" i="31"/>
  <c r="P1241" i="31" a="1"/>
  <c r="P1241" i="31"/>
  <c r="O1242" i="31" a="1"/>
  <c r="O1242" i="31"/>
  <c r="P1242" i="31" a="1"/>
  <c r="P1242" i="31"/>
  <c r="O1243" i="31" a="1"/>
  <c r="O1243" i="31"/>
  <c r="P1243" i="31" a="1"/>
  <c r="P1243" i="31"/>
  <c r="O1244" i="31" a="1"/>
  <c r="O1244" i="31"/>
  <c r="P1244" i="31" a="1"/>
  <c r="P1244" i="31"/>
  <c r="O1245" i="31" a="1"/>
  <c r="O1245" i="31"/>
  <c r="P1245" i="31" a="1"/>
  <c r="P1245" i="31"/>
  <c r="O1246" i="31" a="1"/>
  <c r="O1246" i="31"/>
  <c r="P1246" i="31" a="1"/>
  <c r="P1246" i="31"/>
  <c r="O1247" i="31" a="1"/>
  <c r="O1247" i="31"/>
  <c r="P1247" i="31" a="1"/>
  <c r="P1247" i="31"/>
  <c r="O1248" i="31" a="1"/>
  <c r="O1248" i="31"/>
  <c r="P1248" i="31" a="1"/>
  <c r="P1248" i="31"/>
  <c r="O1249" i="31" a="1"/>
  <c r="O1249" i="31"/>
  <c r="P1249" i="31" a="1"/>
  <c r="P1249" i="31"/>
  <c r="O1250" i="31" a="1"/>
  <c r="O1250" i="31"/>
  <c r="P1250" i="31" a="1"/>
  <c r="P1250" i="31"/>
  <c r="O1251" i="31" a="1"/>
  <c r="O1251" i="31"/>
  <c r="P1251" i="31" a="1"/>
  <c r="P1251" i="31"/>
  <c r="O1252" i="31" a="1"/>
  <c r="O1252" i="31"/>
  <c r="P1252" i="31" a="1"/>
  <c r="P1252" i="31"/>
  <c r="O1253" i="31" a="1"/>
  <c r="O1253" i="31"/>
  <c r="P1253" i="31" a="1"/>
  <c r="P1253" i="31"/>
  <c r="O1254" i="31" a="1"/>
  <c r="O1254" i="31"/>
  <c r="P1254" i="31" a="1"/>
  <c r="P1254" i="31"/>
  <c r="O1255" i="31" a="1"/>
  <c r="O1255" i="31"/>
  <c r="P1255" i="31" a="1"/>
  <c r="P1255" i="31"/>
  <c r="O1256" i="31" a="1"/>
  <c r="O1256" i="31"/>
  <c r="P1256" i="31" a="1"/>
  <c r="P1256" i="31"/>
  <c r="O1257" i="31" a="1"/>
  <c r="O1257" i="31"/>
  <c r="P1257" i="31" a="1"/>
  <c r="P1257" i="31"/>
  <c r="O1258" i="31" a="1"/>
  <c r="O1258" i="31"/>
  <c r="P1258" i="31" a="1"/>
  <c r="P1258" i="31"/>
  <c r="O1259" i="31" a="1"/>
  <c r="O1259" i="31"/>
  <c r="P1259" i="31" a="1"/>
  <c r="P1259" i="31"/>
  <c r="O1260" i="31" a="1"/>
  <c r="O1260" i="31"/>
  <c r="P1260" i="31" a="1"/>
  <c r="P1260" i="31"/>
  <c r="O1261" i="31" a="1"/>
  <c r="O1261" i="31"/>
  <c r="P1261" i="31" a="1"/>
  <c r="P1261" i="31"/>
  <c r="O1262" i="31" a="1"/>
  <c r="O1262" i="31"/>
  <c r="P1262" i="31" a="1"/>
  <c r="P1262" i="31"/>
  <c r="O1263" i="31" a="1"/>
  <c r="O1263" i="31"/>
  <c r="P1263" i="31" a="1"/>
  <c r="P1263" i="31"/>
  <c r="O1264" i="31" a="1"/>
  <c r="O1264" i="31"/>
  <c r="P1264" i="31" a="1"/>
  <c r="P1264" i="31"/>
  <c r="O1265" i="31" a="1"/>
  <c r="O1265" i="31"/>
  <c r="P1265" i="31" a="1"/>
  <c r="P1265" i="31"/>
  <c r="O1266" i="31" a="1"/>
  <c r="O1266" i="31"/>
  <c r="P1266" i="31" a="1"/>
  <c r="P1266" i="31"/>
  <c r="O1267" i="31" a="1"/>
  <c r="O1267" i="31"/>
  <c r="P1267" i="31" a="1"/>
  <c r="P1267" i="31"/>
  <c r="O1268" i="31" a="1"/>
  <c r="O1268" i="31"/>
  <c r="P1268" i="31" a="1"/>
  <c r="P1268" i="31"/>
  <c r="O1269" i="31" a="1"/>
  <c r="O1269" i="31"/>
  <c r="P1269" i="31" a="1"/>
  <c r="P1269" i="31"/>
  <c r="O1270" i="31" a="1"/>
  <c r="O1270" i="31"/>
  <c r="P1270" i="31" a="1"/>
  <c r="P1270" i="31"/>
  <c r="O1271" i="31" a="1"/>
  <c r="O1271" i="31"/>
  <c r="P1271" i="31" a="1"/>
  <c r="P1271" i="31"/>
  <c r="O1272" i="31" a="1"/>
  <c r="O1272" i="31"/>
  <c r="P1272" i="31" a="1"/>
  <c r="P1272" i="31"/>
  <c r="O1273" i="31" a="1"/>
  <c r="O1273" i="31"/>
  <c r="P1273" i="31" a="1"/>
  <c r="P1273" i="31"/>
  <c r="O1274" i="31" a="1"/>
  <c r="O1274" i="31"/>
  <c r="P1274" i="31" a="1"/>
  <c r="P1274" i="31"/>
  <c r="O1275" i="31" a="1"/>
  <c r="O1275" i="31"/>
  <c r="P1275" i="31" a="1"/>
  <c r="P1275" i="31"/>
  <c r="O1276" i="31" a="1"/>
  <c r="O1276" i="31"/>
  <c r="P1276" i="31" a="1"/>
  <c r="P1276" i="31"/>
  <c r="O1277" i="31" a="1"/>
  <c r="O1277" i="31"/>
  <c r="P1277" i="31" a="1"/>
  <c r="P1277" i="31"/>
  <c r="O1278" i="31" a="1"/>
  <c r="O1278" i="31"/>
  <c r="P1278" i="31" a="1"/>
  <c r="P1278" i="31"/>
  <c r="O1279" i="31" a="1"/>
  <c r="O1279" i="31"/>
  <c r="P1279" i="31" a="1"/>
  <c r="P1279" i="31"/>
  <c r="O1280" i="31" a="1"/>
  <c r="O1280" i="31"/>
  <c r="P1280" i="31" a="1"/>
  <c r="P1280" i="31"/>
  <c r="O1281" i="31" a="1"/>
  <c r="O1281" i="31"/>
  <c r="P1281" i="31" a="1"/>
  <c r="P1281" i="31"/>
  <c r="O1282" i="31" a="1"/>
  <c r="O1282" i="31"/>
  <c r="P1282" i="31" a="1"/>
  <c r="P1282" i="31"/>
  <c r="O1283" i="31" a="1"/>
  <c r="O1283" i="31"/>
  <c r="P1283" i="31" a="1"/>
  <c r="P1283" i="31"/>
  <c r="O1284" i="31" a="1"/>
  <c r="O1284" i="31"/>
  <c r="P1284" i="31" a="1"/>
  <c r="P1284" i="31"/>
  <c r="O1285" i="31" a="1"/>
  <c r="O1285" i="31"/>
  <c r="P1285" i="31" a="1"/>
  <c r="P1285" i="31"/>
  <c r="O1286" i="31" a="1"/>
  <c r="O1286" i="31"/>
  <c r="P1286" i="31" a="1"/>
  <c r="P1286" i="31"/>
  <c r="O1287" i="31" a="1"/>
  <c r="O1287" i="31"/>
  <c r="P1287" i="31" a="1"/>
  <c r="P1287" i="31"/>
  <c r="O1288" i="31" a="1"/>
  <c r="O1288" i="31"/>
  <c r="P1288" i="31" a="1"/>
  <c r="P1288" i="31"/>
  <c r="O1289" i="31" a="1"/>
  <c r="O1289" i="31"/>
  <c r="P1289" i="31" a="1"/>
  <c r="P1289" i="31"/>
  <c r="O1290" i="31" a="1"/>
  <c r="O1290" i="31"/>
  <c r="P1290" i="31" a="1"/>
  <c r="P1290" i="31"/>
  <c r="O1291" i="31" a="1"/>
  <c r="O1291" i="31"/>
  <c r="P1291" i="31" a="1"/>
  <c r="P1291" i="31"/>
  <c r="O1292" i="31" a="1"/>
  <c r="O1292" i="31"/>
  <c r="P1292" i="31" a="1"/>
  <c r="P1292" i="31"/>
  <c r="O1293" i="31" a="1"/>
  <c r="O1293" i="31"/>
  <c r="P1293" i="31" a="1"/>
  <c r="P1293" i="31"/>
  <c r="O1294" i="31" a="1"/>
  <c r="O1294" i="31"/>
  <c r="P1294" i="31" a="1"/>
  <c r="P1294" i="31"/>
  <c r="O1295" i="31" a="1"/>
  <c r="O1295" i="31"/>
  <c r="P1295" i="31" a="1"/>
  <c r="P1295" i="31"/>
  <c r="O1296" i="31" a="1"/>
  <c r="O1296" i="31"/>
  <c r="P1296" i="31" a="1"/>
  <c r="P1296" i="31"/>
  <c r="O1297" i="31" a="1"/>
  <c r="O1297" i="31"/>
  <c r="P1297" i="31" a="1"/>
  <c r="P1297" i="31"/>
  <c r="O1298" i="31" a="1"/>
  <c r="O1298" i="31"/>
  <c r="P1298" i="31" a="1"/>
  <c r="P1298" i="31"/>
  <c r="O1299" i="31" a="1"/>
  <c r="O1299" i="31"/>
  <c r="P1299" i="31" a="1"/>
  <c r="P1299" i="31"/>
  <c r="O1300" i="31" a="1"/>
  <c r="O1300" i="31"/>
  <c r="P1300" i="31" a="1"/>
  <c r="P1300" i="31"/>
  <c r="O1301" i="31" a="1"/>
  <c r="O1301" i="31"/>
  <c r="P1301" i="31" a="1"/>
  <c r="P1301" i="31"/>
  <c r="O1302" i="31" a="1"/>
  <c r="O1302" i="31"/>
  <c r="P1302" i="31" a="1"/>
  <c r="P1302" i="31"/>
  <c r="O1303" i="31" a="1"/>
  <c r="O1303" i="31"/>
  <c r="P1303" i="31" a="1"/>
  <c r="P1303" i="31"/>
  <c r="O1304" i="31" a="1"/>
  <c r="O1304" i="31"/>
  <c r="P1304" i="31" a="1"/>
  <c r="P1304" i="31"/>
  <c r="O1305" i="31" a="1"/>
  <c r="O1305" i="31"/>
  <c r="P1305" i="31" a="1"/>
  <c r="P1305" i="31"/>
  <c r="O1306" i="31" a="1"/>
  <c r="O1306" i="31"/>
  <c r="P1306" i="31" a="1"/>
  <c r="P1306" i="31"/>
  <c r="O1307" i="31" a="1"/>
  <c r="O1307" i="31"/>
  <c r="P1307" i="31" a="1"/>
  <c r="P1307" i="31"/>
  <c r="O1308" i="31" a="1"/>
  <c r="O1308" i="31"/>
  <c r="P1308" i="31" a="1"/>
  <c r="P1308" i="31"/>
  <c r="O1309" i="31" a="1"/>
  <c r="O1309" i="31"/>
  <c r="P1309" i="31" a="1"/>
  <c r="P1309" i="31"/>
  <c r="O1310" i="31" a="1"/>
  <c r="O1310" i="31"/>
  <c r="P1310" i="31" a="1"/>
  <c r="P1310" i="31"/>
  <c r="O1311" i="31" a="1"/>
  <c r="O1311" i="31"/>
  <c r="P1311" i="31" a="1"/>
  <c r="P1311" i="31"/>
  <c r="O1312" i="31" a="1"/>
  <c r="O1312" i="31"/>
  <c r="P1312" i="31" a="1"/>
  <c r="P1312" i="31"/>
  <c r="O1313" i="31" a="1"/>
  <c r="O1313" i="31"/>
  <c r="P1313" i="31" a="1"/>
  <c r="P1313" i="31"/>
  <c r="O1314" i="31" a="1"/>
  <c r="O1314" i="31"/>
  <c r="P1314" i="31" a="1"/>
  <c r="P1314" i="31"/>
  <c r="O1315" i="31" a="1"/>
  <c r="O1315" i="31"/>
  <c r="P1315" i="31" a="1"/>
  <c r="P1315" i="31"/>
  <c r="O1316" i="31" a="1"/>
  <c r="O1316" i="31"/>
  <c r="P1316" i="31" a="1"/>
  <c r="P1316" i="31"/>
  <c r="O1317" i="31" a="1"/>
  <c r="O1317" i="31"/>
  <c r="P1317" i="31" a="1"/>
  <c r="P1317" i="31"/>
  <c r="O1318" i="31" a="1"/>
  <c r="O1318" i="31"/>
  <c r="P1318" i="31" a="1"/>
  <c r="P1318" i="31"/>
  <c r="O1319" i="31" a="1"/>
  <c r="O1319" i="31"/>
  <c r="P1319" i="31" a="1"/>
  <c r="P1319" i="31"/>
  <c r="O1320" i="31" a="1"/>
  <c r="O1320" i="31"/>
  <c r="P1320" i="31" a="1"/>
  <c r="P1320" i="31"/>
  <c r="O1321" i="31" a="1"/>
  <c r="O1321" i="31"/>
  <c r="P1321" i="31" a="1"/>
  <c r="P1321" i="31"/>
  <c r="O1322" i="31" a="1"/>
  <c r="O1322" i="31"/>
  <c r="P1322" i="31" a="1"/>
  <c r="P1322" i="31"/>
  <c r="O1323" i="31" a="1"/>
  <c r="O1323" i="31"/>
  <c r="P1323" i="31" a="1"/>
  <c r="P1323" i="31"/>
  <c r="O1324" i="31" a="1"/>
  <c r="O1324" i="31"/>
  <c r="P1324" i="31" a="1"/>
  <c r="P1324" i="31"/>
  <c r="O1325" i="31" a="1"/>
  <c r="O1325" i="31"/>
  <c r="P1325" i="31" a="1"/>
  <c r="P1325" i="31"/>
  <c r="O1326" i="31" a="1"/>
  <c r="O1326" i="31"/>
  <c r="P1326" i="31" a="1"/>
  <c r="P1326" i="31"/>
  <c r="O1327" i="31" a="1"/>
  <c r="O1327" i="31"/>
  <c r="P1327" i="31" a="1"/>
  <c r="P1327" i="31"/>
  <c r="O1328" i="31" a="1"/>
  <c r="O1328" i="31"/>
  <c r="P1328" i="31" a="1"/>
  <c r="P1328" i="31"/>
  <c r="O1329" i="31" a="1"/>
  <c r="O1329" i="31"/>
  <c r="P1329" i="31" a="1"/>
  <c r="P1329" i="31"/>
  <c r="O1330" i="31" a="1"/>
  <c r="O1330" i="31"/>
  <c r="P1330" i="31" a="1"/>
  <c r="P1330" i="31"/>
  <c r="O1331" i="31" a="1"/>
  <c r="O1331" i="31"/>
  <c r="P1331" i="31" a="1"/>
  <c r="P1331" i="31"/>
  <c r="O1332" i="31" a="1"/>
  <c r="O1332" i="31"/>
  <c r="P1332" i="31" a="1"/>
  <c r="P1332" i="31"/>
  <c r="O1333" i="31" a="1"/>
  <c r="O1333" i="31"/>
  <c r="P1333" i="31" a="1"/>
  <c r="P1333" i="31"/>
  <c r="O1334" i="31" a="1"/>
  <c r="O1334" i="31"/>
  <c r="P1334" i="31" a="1"/>
  <c r="P1334" i="31"/>
  <c r="O1335" i="31" a="1"/>
  <c r="O1335" i="31"/>
  <c r="P1335" i="31" a="1"/>
  <c r="P1335" i="31"/>
  <c r="O1336" i="31" a="1"/>
  <c r="O1336" i="31"/>
  <c r="P1336" i="31" a="1"/>
  <c r="P1336" i="31"/>
  <c r="O1337" i="31" a="1"/>
  <c r="O1337" i="31"/>
  <c r="P1337" i="31" a="1"/>
  <c r="P1337" i="31"/>
  <c r="O1338" i="31" a="1"/>
  <c r="O1338" i="31"/>
  <c r="P1338" i="31" a="1"/>
  <c r="P1338" i="31"/>
  <c r="O1339" i="31" a="1"/>
  <c r="O1339" i="31"/>
  <c r="P1339" i="31" a="1"/>
  <c r="P1339" i="31"/>
  <c r="O1340" i="31" a="1"/>
  <c r="O1340" i="31"/>
  <c r="P1340" i="31" a="1"/>
  <c r="P1340" i="31"/>
  <c r="O1341" i="31" a="1"/>
  <c r="O1341" i="31"/>
  <c r="P1341" i="31" a="1"/>
  <c r="P1341" i="31"/>
  <c r="O1342" i="31" a="1"/>
  <c r="O1342" i="31"/>
  <c r="P1342" i="31" a="1"/>
  <c r="P1342" i="31"/>
  <c r="O1343" i="31" a="1"/>
  <c r="O1343" i="31"/>
  <c r="P1343" i="31" a="1"/>
  <c r="P1343" i="31"/>
  <c r="O1344" i="31" a="1"/>
  <c r="O1344" i="31"/>
  <c r="P1344" i="31" a="1"/>
  <c r="P1344" i="31"/>
  <c r="O1345" i="31" a="1"/>
  <c r="O1345" i="31"/>
  <c r="P1345" i="31" a="1"/>
  <c r="P1345" i="31"/>
  <c r="O1346" i="31" a="1"/>
  <c r="O1346" i="31"/>
  <c r="P1346" i="31" a="1"/>
  <c r="P1346" i="31"/>
  <c r="O1347" i="31" a="1"/>
  <c r="O1347" i="31"/>
  <c r="P1347" i="31" a="1"/>
  <c r="P1347" i="31"/>
  <c r="O1348" i="31" a="1"/>
  <c r="O1348" i="31"/>
  <c r="P1348" i="31" a="1"/>
  <c r="P1348" i="31"/>
  <c r="O1349" i="31" a="1"/>
  <c r="O1349" i="31"/>
  <c r="P1349" i="31" a="1"/>
  <c r="P1349" i="31"/>
  <c r="O1350" i="31" a="1"/>
  <c r="O1350" i="31"/>
  <c r="P1350" i="31" a="1"/>
  <c r="P1350" i="31"/>
  <c r="O1351" i="31" a="1"/>
  <c r="O1351" i="31"/>
  <c r="P1351" i="31" a="1"/>
  <c r="P1351" i="31"/>
  <c r="O1352" i="31" a="1"/>
  <c r="O1352" i="31"/>
  <c r="P1352" i="31" a="1"/>
  <c r="P1352" i="31"/>
  <c r="O1353" i="31" a="1"/>
  <c r="O1353" i="31"/>
  <c r="P1353" i="31" a="1"/>
  <c r="P1353" i="31"/>
  <c r="O1354" i="31" a="1"/>
  <c r="O1354" i="31"/>
  <c r="P1354" i="31" a="1"/>
  <c r="P1354" i="31"/>
  <c r="O1355" i="31" a="1"/>
  <c r="O1355" i="31"/>
  <c r="P1355" i="31" a="1"/>
  <c r="P1355" i="31"/>
  <c r="O1356" i="31" a="1"/>
  <c r="O1356" i="31"/>
  <c r="P1356" i="31" a="1"/>
  <c r="P1356" i="31"/>
  <c r="O1357" i="31" a="1"/>
  <c r="O1357" i="31"/>
  <c r="P1357" i="31" a="1"/>
  <c r="P1357" i="31"/>
  <c r="O1358" i="31" a="1"/>
  <c r="O1358" i="31"/>
  <c r="P1358" i="31" a="1"/>
  <c r="P1358" i="31"/>
  <c r="O1359" i="31" a="1"/>
  <c r="O1359" i="31"/>
  <c r="P1359" i="31" a="1"/>
  <c r="P1359" i="31"/>
  <c r="O1360" i="31" a="1"/>
  <c r="O1360" i="31"/>
  <c r="P1360" i="31" a="1"/>
  <c r="P1360" i="31"/>
  <c r="O1361" i="31" a="1"/>
  <c r="O1361" i="31"/>
  <c r="P1361" i="31" a="1"/>
  <c r="P1361" i="31"/>
  <c r="O1362" i="31" a="1"/>
  <c r="O1362" i="31"/>
  <c r="P1362" i="31" a="1"/>
  <c r="P1362" i="31"/>
  <c r="O1363" i="31" a="1"/>
  <c r="O1363" i="31"/>
  <c r="P1363" i="31" a="1"/>
  <c r="P1363" i="31"/>
  <c r="O1364" i="31" a="1"/>
  <c r="O1364" i="31"/>
  <c r="P1364" i="31" a="1"/>
  <c r="P1364" i="31"/>
  <c r="O1365" i="31" a="1"/>
  <c r="O1365" i="31"/>
  <c r="P1365" i="31" a="1"/>
  <c r="P1365" i="31"/>
  <c r="O1366" i="31" a="1"/>
  <c r="O1366" i="31"/>
  <c r="P1366" i="31" a="1"/>
  <c r="P1366" i="31"/>
  <c r="O1367" i="31" a="1"/>
  <c r="O1367" i="31"/>
  <c r="P1367" i="31" a="1"/>
  <c r="P1367" i="31"/>
  <c r="O1368" i="31" a="1"/>
  <c r="O1368" i="31"/>
  <c r="P1368" i="31" a="1"/>
  <c r="P1368" i="31"/>
  <c r="O1369" i="31" a="1"/>
  <c r="O1369" i="31"/>
  <c r="P1369" i="31" a="1"/>
  <c r="P1369" i="31"/>
  <c r="O1370" i="31" a="1"/>
  <c r="O1370" i="31"/>
  <c r="P1370" i="31" a="1"/>
  <c r="P1370" i="31"/>
  <c r="O1371" i="31" a="1"/>
  <c r="O1371" i="31"/>
  <c r="P1371" i="31" a="1"/>
  <c r="P1371" i="31"/>
  <c r="O1372" i="31" a="1"/>
  <c r="O1372" i="31"/>
  <c r="P1372" i="31" a="1"/>
  <c r="P1372" i="31"/>
  <c r="O1373" i="31" a="1"/>
  <c r="O1373" i="31"/>
  <c r="P1373" i="31" a="1"/>
  <c r="P1373" i="31"/>
  <c r="O1374" i="31" a="1"/>
  <c r="O1374" i="31"/>
  <c r="P1374" i="31" a="1"/>
  <c r="P1374" i="31"/>
  <c r="O1375" i="31" a="1"/>
  <c r="O1375" i="31"/>
  <c r="P1375" i="31" a="1"/>
  <c r="P1375" i="31"/>
  <c r="O1376" i="31" a="1"/>
  <c r="O1376" i="31"/>
  <c r="P1376" i="31" a="1"/>
  <c r="P1376" i="31"/>
  <c r="O1377" i="31" a="1"/>
  <c r="O1377" i="31"/>
  <c r="P1377" i="31" a="1"/>
  <c r="P1377" i="31"/>
  <c r="O1378" i="31" a="1"/>
  <c r="O1378" i="31"/>
  <c r="P1378" i="31" a="1"/>
  <c r="P1378" i="31"/>
  <c r="O1379" i="31" a="1"/>
  <c r="O1379" i="31"/>
  <c r="P1379" i="31" a="1"/>
  <c r="P1379" i="31"/>
  <c r="O1380" i="31" a="1"/>
  <c r="O1380" i="31"/>
  <c r="P1380" i="31" a="1"/>
  <c r="P1380" i="31"/>
  <c r="O1381" i="31" a="1"/>
  <c r="O1381" i="31"/>
  <c r="P1381" i="31" a="1"/>
  <c r="P1381" i="31"/>
  <c r="O1382" i="31" a="1"/>
  <c r="O1382" i="31"/>
  <c r="P1382" i="31" a="1"/>
  <c r="P1382" i="31"/>
  <c r="O1383" i="31" a="1"/>
  <c r="O1383" i="31"/>
  <c r="P1383" i="31" a="1"/>
  <c r="P1383" i="31"/>
  <c r="O1384" i="31" a="1"/>
  <c r="O1384" i="31"/>
  <c r="P1384" i="31" a="1"/>
  <c r="P1384" i="31"/>
  <c r="O1385" i="31" a="1"/>
  <c r="O1385" i="31"/>
  <c r="P1385" i="31" a="1"/>
  <c r="P1385" i="31"/>
  <c r="O1386" i="31" a="1"/>
  <c r="O1386" i="31"/>
  <c r="P1386" i="31" a="1"/>
  <c r="P1386" i="31"/>
  <c r="O1387" i="31" a="1"/>
  <c r="O1387" i="31"/>
  <c r="P1387" i="31" a="1"/>
  <c r="P1387" i="31"/>
  <c r="O1388" i="31" a="1"/>
  <c r="O1388" i="31"/>
  <c r="P1388" i="31" a="1"/>
  <c r="P1388" i="31"/>
  <c r="O1389" i="31" a="1"/>
  <c r="O1389" i="31"/>
  <c r="P1389" i="31" a="1"/>
  <c r="P1389" i="31"/>
  <c r="O1390" i="31" a="1"/>
  <c r="O1390" i="31"/>
  <c r="P1390" i="31" a="1"/>
  <c r="P1390" i="31"/>
  <c r="O1391" i="31" a="1"/>
  <c r="O1391" i="31"/>
  <c r="P1391" i="31" a="1"/>
  <c r="P1391" i="31"/>
  <c r="O1392" i="31" a="1"/>
  <c r="O1392" i="31"/>
  <c r="P1392" i="31" a="1"/>
  <c r="P1392" i="31"/>
  <c r="O1393" i="31" a="1"/>
  <c r="O1393" i="31"/>
  <c r="P1393" i="31" a="1"/>
  <c r="P1393" i="31"/>
  <c r="O1394" i="31" a="1"/>
  <c r="O1394" i="31"/>
  <c r="P1394" i="31" a="1"/>
  <c r="P1394" i="31"/>
  <c r="O1395" i="31" a="1"/>
  <c r="O1395" i="31"/>
  <c r="P1395" i="31" a="1"/>
  <c r="P1395" i="31"/>
  <c r="O1396" i="31" a="1"/>
  <c r="O1396" i="31"/>
  <c r="P1396" i="31" a="1"/>
  <c r="P1396" i="31"/>
  <c r="O1397" i="31" a="1"/>
  <c r="O1397" i="31"/>
  <c r="P1397" i="31" a="1"/>
  <c r="P1397" i="31"/>
  <c r="O1398" i="31" a="1"/>
  <c r="O1398" i="31"/>
  <c r="P1398" i="31" a="1"/>
  <c r="P1398" i="31"/>
  <c r="O1399" i="31" a="1"/>
  <c r="O1399" i="31"/>
  <c r="P1399" i="31" a="1"/>
  <c r="P1399" i="31"/>
  <c r="O1400" i="31" a="1"/>
  <c r="O1400" i="31"/>
  <c r="P1400" i="31" a="1"/>
  <c r="P1400" i="31"/>
  <c r="O1401" i="31" a="1"/>
  <c r="O1401" i="31"/>
  <c r="P1401" i="31" a="1"/>
  <c r="P1401" i="31"/>
  <c r="O1402" i="31" a="1"/>
  <c r="O1402" i="31"/>
  <c r="P1402" i="31" a="1"/>
  <c r="P1402" i="31"/>
  <c r="O1403" i="31" a="1"/>
  <c r="O1403" i="31"/>
  <c r="P1403" i="31" a="1"/>
  <c r="P1403" i="31"/>
  <c r="O1404" i="31" a="1"/>
  <c r="O1404" i="31"/>
  <c r="P1404" i="31" a="1"/>
  <c r="P1404" i="31"/>
  <c r="O1405" i="31" a="1"/>
  <c r="O1405" i="31"/>
  <c r="P1405" i="31" a="1"/>
  <c r="P1405" i="31"/>
  <c r="O1406" i="31" a="1"/>
  <c r="O1406" i="31"/>
  <c r="P1406" i="31" a="1"/>
  <c r="P1406" i="31"/>
  <c r="O1407" i="31" a="1"/>
  <c r="O1407" i="31"/>
  <c r="P1407" i="31" a="1"/>
  <c r="P1407" i="31"/>
  <c r="O1408" i="31" a="1"/>
  <c r="O1408" i="31"/>
  <c r="P1408" i="31" a="1"/>
  <c r="P1408" i="31"/>
  <c r="O1409" i="31" a="1"/>
  <c r="O1409" i="31"/>
  <c r="P1409" i="31" a="1"/>
  <c r="P1409" i="31"/>
  <c r="O1410" i="31" a="1"/>
  <c r="O1410" i="31"/>
  <c r="P1410" i="31" a="1"/>
  <c r="P1410" i="31"/>
  <c r="O1411" i="31" a="1"/>
  <c r="O1411" i="31"/>
  <c r="P1411" i="31" a="1"/>
  <c r="P1411" i="31"/>
  <c r="O1412" i="31" a="1"/>
  <c r="O1412" i="31"/>
  <c r="P1412" i="31" a="1"/>
  <c r="P1412" i="31"/>
  <c r="O1413" i="31" a="1"/>
  <c r="O1413" i="31"/>
  <c r="P1413" i="31" a="1"/>
  <c r="P1413" i="31"/>
  <c r="O1414" i="31" a="1"/>
  <c r="O1414" i="31"/>
  <c r="P1414" i="31" a="1"/>
  <c r="P1414" i="31"/>
  <c r="O1415" i="31" a="1"/>
  <c r="O1415" i="31"/>
  <c r="P1415" i="31" a="1"/>
  <c r="P1415" i="31"/>
  <c r="O1416" i="31" a="1"/>
  <c r="O1416" i="31"/>
  <c r="P1416" i="31" a="1"/>
  <c r="P1416" i="31"/>
  <c r="O1417" i="31" a="1"/>
  <c r="O1417" i="31"/>
  <c r="P1417" i="31" a="1"/>
  <c r="P1417" i="31"/>
  <c r="O1418" i="31" a="1"/>
  <c r="O1418" i="31"/>
  <c r="P1418" i="31" a="1"/>
  <c r="P1418" i="31"/>
  <c r="O1419" i="31" a="1"/>
  <c r="O1419" i="31"/>
  <c r="P1419" i="31" a="1"/>
  <c r="P1419" i="31"/>
  <c r="O1420" i="31" a="1"/>
  <c r="O1420" i="31"/>
  <c r="P1420" i="31" a="1"/>
  <c r="P1420" i="31"/>
  <c r="O1421" i="31" a="1"/>
  <c r="O1421" i="31"/>
  <c r="P1421" i="31" a="1"/>
  <c r="P1421" i="31"/>
  <c r="O1422" i="31" a="1"/>
  <c r="O1422" i="31"/>
  <c r="P1422" i="31" a="1"/>
  <c r="P1422" i="31"/>
  <c r="O1423" i="31" a="1"/>
  <c r="O1423" i="31"/>
  <c r="P1423" i="31" a="1"/>
  <c r="P1423" i="31"/>
  <c r="O1424" i="31" a="1"/>
  <c r="O1424" i="31"/>
  <c r="P1424" i="31" a="1"/>
  <c r="P1424" i="31"/>
  <c r="O1425" i="31" a="1"/>
  <c r="O1425" i="31"/>
  <c r="P1425" i="31" a="1"/>
  <c r="P1425" i="31"/>
  <c r="O1426" i="31" a="1"/>
  <c r="O1426" i="31"/>
  <c r="P1426" i="31" a="1"/>
  <c r="P1426" i="31"/>
  <c r="O1427" i="31" a="1"/>
  <c r="O1427" i="31"/>
  <c r="P1427" i="31" a="1"/>
  <c r="P1427" i="31"/>
  <c r="O1428" i="31" a="1"/>
  <c r="O1428" i="31"/>
  <c r="P1428" i="31" a="1"/>
  <c r="P1428" i="31"/>
  <c r="O1429" i="31" a="1"/>
  <c r="O1429" i="31"/>
  <c r="P1429" i="31" a="1"/>
  <c r="P1429" i="31"/>
  <c r="O1430" i="31" a="1"/>
  <c r="O1430" i="31"/>
  <c r="P1430" i="31" a="1"/>
  <c r="P1430" i="31"/>
  <c r="O1431" i="31" a="1"/>
  <c r="O1431" i="31"/>
  <c r="P1431" i="31" a="1"/>
  <c r="P1431" i="31"/>
  <c r="O1432" i="31" a="1"/>
  <c r="O1432" i="31"/>
  <c r="P1432" i="31" a="1"/>
  <c r="P1432" i="31"/>
  <c r="O1433" i="31" a="1"/>
  <c r="O1433" i="31"/>
  <c r="P1433" i="31" a="1"/>
  <c r="P1433" i="31"/>
  <c r="O1434" i="31" a="1"/>
  <c r="O1434" i="31"/>
  <c r="P1434" i="31" a="1"/>
  <c r="P1434" i="31"/>
  <c r="O1435" i="31" a="1"/>
  <c r="O1435" i="31"/>
  <c r="P1435" i="31" a="1"/>
  <c r="P1435" i="31"/>
  <c r="O1436" i="31" a="1"/>
  <c r="O1436" i="31"/>
  <c r="P1436" i="31" a="1"/>
  <c r="P1436" i="31"/>
  <c r="O1437" i="31" a="1"/>
  <c r="O1437" i="31"/>
  <c r="P1437" i="31" a="1"/>
  <c r="P1437" i="31"/>
  <c r="O1438" i="31" a="1"/>
  <c r="O1438" i="31"/>
  <c r="P1438" i="31" a="1"/>
  <c r="P1438" i="31"/>
  <c r="O1439" i="31" a="1"/>
  <c r="O1439" i="31"/>
  <c r="P1439" i="31" a="1"/>
  <c r="P1439" i="31"/>
  <c r="O1440" i="31" a="1"/>
  <c r="O1440" i="31"/>
  <c r="P1440" i="31" a="1"/>
  <c r="P1440" i="31"/>
  <c r="O1441" i="31" a="1"/>
  <c r="O1441" i="31"/>
  <c r="P1441" i="31" a="1"/>
  <c r="P1441" i="31"/>
  <c r="O1442" i="31" a="1"/>
  <c r="O1442" i="31"/>
  <c r="P1442" i="31" a="1"/>
  <c r="P1442" i="31"/>
  <c r="O1443" i="31" a="1"/>
  <c r="O1443" i="31"/>
  <c r="P1443" i="31" a="1"/>
  <c r="P1443" i="31"/>
  <c r="O1444" i="31" a="1"/>
  <c r="O1444" i="31"/>
  <c r="P1444" i="31" a="1"/>
  <c r="P1444" i="31"/>
  <c r="O1445" i="31" a="1"/>
  <c r="O1445" i="31"/>
  <c r="P1445" i="31" a="1"/>
  <c r="P1445" i="31"/>
  <c r="O1446" i="31" a="1"/>
  <c r="O1446" i="31"/>
  <c r="P1446" i="31" a="1"/>
  <c r="P1446" i="31"/>
  <c r="O1447" i="31" a="1"/>
  <c r="O1447" i="31"/>
  <c r="P1447" i="31" a="1"/>
  <c r="P1447" i="31"/>
  <c r="O1448" i="31" a="1"/>
  <c r="O1448" i="31"/>
  <c r="P1448" i="31" a="1"/>
  <c r="P1448" i="31"/>
  <c r="O1449" i="31" a="1"/>
  <c r="O1449" i="31"/>
  <c r="P1449" i="31" a="1"/>
  <c r="P1449" i="31"/>
  <c r="O1450" i="31" a="1"/>
  <c r="O1450" i="31"/>
  <c r="P1450" i="31" a="1"/>
  <c r="P1450" i="31"/>
  <c r="O1451" i="31" a="1"/>
  <c r="O1451" i="31"/>
  <c r="P1451" i="31" a="1"/>
  <c r="P1451" i="31"/>
  <c r="O1452" i="31" a="1"/>
  <c r="O1452" i="31"/>
  <c r="P1452" i="31" a="1"/>
  <c r="P1452" i="31"/>
  <c r="O1453" i="31" a="1"/>
  <c r="O1453" i="31"/>
  <c r="P1453" i="31" a="1"/>
  <c r="P1453" i="31"/>
  <c r="O1454" i="31" a="1"/>
  <c r="O1454" i="31"/>
  <c r="P1454" i="31" a="1"/>
  <c r="P1454" i="31"/>
  <c r="O1455" i="31" a="1"/>
  <c r="O1455" i="31"/>
  <c r="P1455" i="31" a="1"/>
  <c r="P1455" i="31"/>
  <c r="O1456" i="31" a="1"/>
  <c r="O1456" i="31"/>
  <c r="P1456" i="31" a="1"/>
  <c r="P1456" i="31"/>
  <c r="O1457" i="31" a="1"/>
  <c r="O1457" i="31"/>
  <c r="P1457" i="31" a="1"/>
  <c r="P1457" i="31"/>
  <c r="O1458" i="31" a="1"/>
  <c r="O1458" i="31"/>
  <c r="P1458" i="31" a="1"/>
  <c r="P1458" i="31"/>
  <c r="O1459" i="31" a="1"/>
  <c r="O1459" i="31"/>
  <c r="P1459" i="31" a="1"/>
  <c r="P1459" i="31"/>
  <c r="O1460" i="31" a="1"/>
  <c r="O1460" i="31"/>
  <c r="P1460" i="31" a="1"/>
  <c r="P1460" i="31"/>
  <c r="O1461" i="31" a="1"/>
  <c r="O1461" i="31"/>
  <c r="P1461" i="31" a="1"/>
  <c r="P1461" i="31"/>
  <c r="O1462" i="31" a="1"/>
  <c r="O1462" i="31"/>
  <c r="P1462" i="31" a="1"/>
  <c r="P1462" i="31"/>
  <c r="O1463" i="31" a="1"/>
  <c r="O1463" i="31"/>
  <c r="P1463" i="31" a="1"/>
  <c r="P1463" i="31"/>
  <c r="O1464" i="31" a="1"/>
  <c r="O1464" i="31"/>
  <c r="P1464" i="31" a="1"/>
  <c r="P1464" i="31"/>
  <c r="O1465" i="31" a="1"/>
  <c r="O1465" i="31"/>
  <c r="P1465" i="31" a="1"/>
  <c r="P1465" i="31"/>
  <c r="O1466" i="31" a="1"/>
  <c r="O1466" i="31"/>
  <c r="P1466" i="31" a="1"/>
  <c r="P1466" i="31"/>
  <c r="O1467" i="31" a="1"/>
  <c r="O1467" i="31"/>
  <c r="P1467" i="31" a="1"/>
  <c r="P1467" i="31"/>
  <c r="O1468" i="31" a="1"/>
  <c r="O1468" i="31"/>
  <c r="P1468" i="31" a="1"/>
  <c r="P1468" i="31"/>
  <c r="O1469" i="31" a="1"/>
  <c r="O1469" i="31"/>
  <c r="P1469" i="31" a="1"/>
  <c r="P1469" i="31"/>
  <c r="O1470" i="31" a="1"/>
  <c r="O1470" i="31"/>
  <c r="P1470" i="31" a="1"/>
  <c r="P1470" i="31"/>
  <c r="O1471" i="31" a="1"/>
  <c r="O1471" i="31"/>
  <c r="P1471" i="31" a="1"/>
  <c r="P1471" i="31"/>
  <c r="O1472" i="31" a="1"/>
  <c r="O1472" i="31"/>
  <c r="P1472" i="31" a="1"/>
  <c r="P1472" i="31"/>
  <c r="O1473" i="31" a="1"/>
  <c r="O1473" i="31"/>
  <c r="P1473" i="31" a="1"/>
  <c r="P1473" i="31"/>
  <c r="O1474" i="31" a="1"/>
  <c r="O1474" i="31"/>
  <c r="P1474" i="31" a="1"/>
  <c r="P1474" i="31"/>
  <c r="O1475" i="31" a="1"/>
  <c r="O1475" i="31"/>
  <c r="P1475" i="31" a="1"/>
  <c r="P1475" i="31"/>
  <c r="O1476" i="31" a="1"/>
  <c r="O1476" i="31"/>
  <c r="P1476" i="31" a="1"/>
  <c r="P1476" i="31"/>
  <c r="O1477" i="31" a="1"/>
  <c r="O1477" i="31"/>
  <c r="P1477" i="31" a="1"/>
  <c r="P1477" i="31"/>
  <c r="O1478" i="31" a="1"/>
  <c r="O1478" i="31"/>
  <c r="P1478" i="31" a="1"/>
  <c r="P1478" i="31"/>
  <c r="O1479" i="31" a="1"/>
  <c r="O1479" i="31"/>
  <c r="P1479" i="31" a="1"/>
  <c r="P1479" i="31"/>
  <c r="O1480" i="31" a="1"/>
  <c r="O1480" i="31"/>
  <c r="P1480" i="31" a="1"/>
  <c r="P1480" i="31"/>
  <c r="O1481" i="31" a="1"/>
  <c r="O1481" i="31"/>
  <c r="P1481" i="31" a="1"/>
  <c r="P1481" i="31"/>
  <c r="O1482" i="31" a="1"/>
  <c r="O1482" i="31"/>
  <c r="P1482" i="31" a="1"/>
  <c r="P1482" i="31"/>
  <c r="O1483" i="31" a="1"/>
  <c r="O1483" i="31"/>
  <c r="P1483" i="31" a="1"/>
  <c r="P1483" i="31"/>
  <c r="O1484" i="31" a="1"/>
  <c r="O1484" i="31"/>
  <c r="P1484" i="31" a="1"/>
  <c r="P1484" i="31"/>
  <c r="O1485" i="31" a="1"/>
  <c r="O1485" i="31"/>
  <c r="P1485" i="31" a="1"/>
  <c r="P1485" i="31"/>
  <c r="O1486" i="31" a="1"/>
  <c r="O1486" i="31"/>
  <c r="P1486" i="31" a="1"/>
  <c r="P1486" i="31"/>
  <c r="O1487" i="31" a="1"/>
  <c r="O1487" i="31"/>
  <c r="P1487" i="31" a="1"/>
  <c r="P1487" i="31"/>
  <c r="O1488" i="31" a="1"/>
  <c r="O1488" i="31"/>
  <c r="P1488" i="31" a="1"/>
  <c r="P1488" i="31"/>
  <c r="O1489" i="31" a="1"/>
  <c r="O1489" i="31"/>
  <c r="P1489" i="31" a="1"/>
  <c r="P1489" i="31"/>
  <c r="O1490" i="31" a="1"/>
  <c r="O1490" i="31"/>
  <c r="P1490" i="31" a="1"/>
  <c r="P1490" i="31"/>
  <c r="O1491" i="31" a="1"/>
  <c r="O1491" i="31"/>
  <c r="P1491" i="31" a="1"/>
  <c r="P1491" i="31"/>
  <c r="O1492" i="31" a="1"/>
  <c r="O1492" i="31"/>
  <c r="P1492" i="31" a="1"/>
  <c r="P1492" i="31"/>
  <c r="O1493" i="31" a="1"/>
  <c r="O1493" i="31"/>
  <c r="P1493" i="31" a="1"/>
  <c r="P1493" i="31"/>
  <c r="O1494" i="31" a="1"/>
  <c r="O1494" i="31"/>
  <c r="P1494" i="31" a="1"/>
  <c r="P1494" i="31"/>
  <c r="O1495" i="31" a="1"/>
  <c r="O1495" i="31"/>
  <c r="P1495" i="31" a="1"/>
  <c r="P1495" i="31"/>
  <c r="O1496" i="31" a="1"/>
  <c r="O1496" i="31"/>
  <c r="P1496" i="31" a="1"/>
  <c r="P1496" i="31"/>
  <c r="O1497" i="31" a="1"/>
  <c r="O1497" i="31"/>
  <c r="P1497" i="31" a="1"/>
  <c r="P1497" i="31"/>
  <c r="O1498" i="31" a="1"/>
  <c r="O1498" i="31"/>
  <c r="P1498" i="31" a="1"/>
  <c r="P1498" i="31"/>
  <c r="O1499" i="31" a="1"/>
  <c r="O1499" i="31"/>
  <c r="P1499" i="31" a="1"/>
  <c r="P1499" i="31"/>
  <c r="O1500" i="31" a="1"/>
  <c r="O1500" i="31"/>
  <c r="P1500" i="31" a="1"/>
  <c r="P1500" i="31"/>
  <c r="O1501" i="31" a="1"/>
  <c r="O1501" i="31"/>
  <c r="P1501" i="31" a="1"/>
  <c r="P1501" i="31"/>
  <c r="O1502" i="31" a="1"/>
  <c r="O1502" i="31"/>
  <c r="P1502" i="31" a="1"/>
  <c r="P1502" i="31"/>
  <c r="O1503" i="31" a="1"/>
  <c r="O1503" i="31"/>
  <c r="P1503" i="31" a="1"/>
  <c r="P1503" i="31"/>
  <c r="O1504" i="31" a="1"/>
  <c r="O1504" i="31"/>
  <c r="P1504" i="31" a="1"/>
  <c r="P1504" i="31"/>
  <c r="O1505" i="31" a="1"/>
  <c r="O1505" i="31"/>
  <c r="P1505" i="31" a="1"/>
  <c r="P1505" i="31"/>
  <c r="O1506" i="31" a="1"/>
  <c r="O1506" i="31"/>
  <c r="P1506" i="31" a="1"/>
  <c r="P1506" i="31"/>
  <c r="O1507" i="31" a="1"/>
  <c r="O1507" i="31"/>
  <c r="P1507" i="31" a="1"/>
  <c r="P1507" i="31"/>
  <c r="O1508" i="31" a="1"/>
  <c r="O1508" i="31"/>
  <c r="P1508" i="31" a="1"/>
  <c r="P1508" i="31"/>
  <c r="O1509" i="31" a="1"/>
  <c r="O1509" i="31"/>
  <c r="P1509" i="31" a="1"/>
  <c r="P1509" i="31"/>
  <c r="O1510" i="31" a="1"/>
  <c r="O1510" i="31"/>
  <c r="P1510" i="31" a="1"/>
  <c r="P1510" i="31"/>
  <c r="O1511" i="31" a="1"/>
  <c r="O1511" i="31"/>
  <c r="P1511" i="31" a="1"/>
  <c r="P1511" i="31"/>
  <c r="O1512" i="31" a="1"/>
  <c r="O1512" i="31"/>
  <c r="P1512" i="31" a="1"/>
  <c r="P1512" i="31"/>
  <c r="O1513" i="31" a="1"/>
  <c r="O1513" i="31"/>
  <c r="P1513" i="31" a="1"/>
  <c r="P1513" i="31"/>
  <c r="O1514" i="31" a="1"/>
  <c r="O1514" i="31"/>
  <c r="P1514" i="31" a="1"/>
  <c r="P1514" i="31"/>
  <c r="O1515" i="31" a="1"/>
  <c r="O1515" i="31"/>
  <c r="P1515" i="31" a="1"/>
  <c r="P1515" i="31"/>
  <c r="O1516" i="31" a="1"/>
  <c r="O1516" i="31"/>
  <c r="P1516" i="31" a="1"/>
  <c r="P1516" i="31"/>
  <c r="O1517" i="31" a="1"/>
  <c r="O1517" i="31"/>
  <c r="P1517" i="31" a="1"/>
  <c r="P1517" i="31"/>
  <c r="O1518" i="31" a="1"/>
  <c r="O1518" i="31"/>
  <c r="P1518" i="31" a="1"/>
  <c r="P1518" i="31"/>
  <c r="O1519" i="31" a="1"/>
  <c r="O1519" i="31"/>
  <c r="P1519" i="31" a="1"/>
  <c r="P1519" i="31"/>
  <c r="O1520" i="31" a="1"/>
  <c r="O1520" i="31"/>
  <c r="P1520" i="31" a="1"/>
  <c r="P1520" i="31"/>
  <c r="O1521" i="31" a="1"/>
  <c r="O1521" i="31"/>
  <c r="P1521" i="31" a="1"/>
  <c r="P1521" i="31"/>
  <c r="O1522" i="31" a="1"/>
  <c r="O1522" i="31"/>
  <c r="P1522" i="31" a="1"/>
  <c r="P1522" i="31"/>
  <c r="O1523" i="31" a="1"/>
  <c r="O1523" i="31"/>
  <c r="P1523" i="31" a="1"/>
  <c r="P1523" i="31"/>
  <c r="O1524" i="31" a="1"/>
  <c r="O1524" i="31"/>
  <c r="P1524" i="31" a="1"/>
  <c r="P1524" i="31"/>
  <c r="O1525" i="31" a="1"/>
  <c r="O1525" i="31"/>
  <c r="P1525" i="31" a="1"/>
  <c r="P1525" i="31"/>
  <c r="O1526" i="31" a="1"/>
  <c r="O1526" i="31"/>
  <c r="P1526" i="31" a="1"/>
  <c r="P1526" i="31"/>
  <c r="O1527" i="31" a="1"/>
  <c r="O1527" i="31"/>
  <c r="P1527" i="31" a="1"/>
  <c r="P1527" i="31"/>
  <c r="O1528" i="31" a="1"/>
  <c r="O1528" i="31"/>
  <c r="P1528" i="31" a="1"/>
  <c r="P1528" i="31"/>
  <c r="O1529" i="31" a="1"/>
  <c r="O1529" i="31"/>
  <c r="P1529" i="31" a="1"/>
  <c r="P1529" i="31"/>
  <c r="O1530" i="31" a="1"/>
  <c r="O1530" i="31"/>
  <c r="P1530" i="31" a="1"/>
  <c r="P1530" i="31"/>
  <c r="O1531" i="31" a="1"/>
  <c r="O1531" i="31"/>
  <c r="P1531" i="31" a="1"/>
  <c r="P1531" i="31"/>
  <c r="O1532" i="31" a="1"/>
  <c r="O1532" i="31"/>
  <c r="P1532" i="31" a="1"/>
  <c r="P1532" i="31"/>
  <c r="O1533" i="31" a="1"/>
  <c r="O1533" i="31"/>
  <c r="P1533" i="31" a="1"/>
  <c r="P1533" i="31"/>
  <c r="O1534" i="31" a="1"/>
  <c r="O1534" i="31"/>
  <c r="P1534" i="31" a="1"/>
  <c r="P1534" i="31"/>
  <c r="O1535" i="31" a="1"/>
  <c r="O1535" i="31"/>
  <c r="P1535" i="31" a="1"/>
  <c r="P1535" i="31"/>
  <c r="O1536" i="31" a="1"/>
  <c r="O1536" i="31"/>
  <c r="P1536" i="31" a="1"/>
  <c r="P1536" i="31"/>
  <c r="O1537" i="31" a="1"/>
  <c r="O1537" i="31"/>
  <c r="P1537" i="31" a="1"/>
  <c r="P1537" i="31"/>
  <c r="O1538" i="31" a="1"/>
  <c r="O1538" i="31"/>
  <c r="P1538" i="31" a="1"/>
  <c r="P1538" i="31"/>
  <c r="O1539" i="31" a="1"/>
  <c r="O1539" i="31"/>
  <c r="P1539" i="31" a="1"/>
  <c r="P1539" i="31"/>
  <c r="O1540" i="31" a="1"/>
  <c r="O1540" i="31"/>
  <c r="P1540" i="31" a="1"/>
  <c r="P1540" i="31"/>
  <c r="O1541" i="31" a="1"/>
  <c r="O1541" i="31"/>
  <c r="P1541" i="31" a="1"/>
  <c r="P1541" i="31"/>
  <c r="O1542" i="31" a="1"/>
  <c r="O1542" i="31"/>
  <c r="P1542" i="31" a="1"/>
  <c r="P1542" i="31"/>
  <c r="O1543" i="31" a="1"/>
  <c r="O1543" i="31"/>
  <c r="P1543" i="31" a="1"/>
  <c r="P1543" i="31"/>
  <c r="O1544" i="31" a="1"/>
  <c r="O1544" i="31"/>
  <c r="P1544" i="31" a="1"/>
  <c r="P1544" i="31"/>
  <c r="O1545" i="31" a="1"/>
  <c r="O1545" i="31"/>
  <c r="P1545" i="31" a="1"/>
  <c r="P1545" i="31"/>
  <c r="O1546" i="31" a="1"/>
  <c r="O1546" i="31"/>
  <c r="P1546" i="31" a="1"/>
  <c r="P1546" i="31"/>
  <c r="O1547" i="31" a="1"/>
  <c r="O1547" i="31"/>
  <c r="P1547" i="31" a="1"/>
  <c r="P1547" i="31"/>
  <c r="O1548" i="31" a="1"/>
  <c r="O1548" i="31"/>
  <c r="P1548" i="31" a="1"/>
  <c r="P1548" i="31"/>
  <c r="O1549" i="31" a="1"/>
  <c r="O1549" i="31"/>
  <c r="P1549" i="31" a="1"/>
  <c r="P1549" i="31"/>
  <c r="O1550" i="31" a="1"/>
  <c r="O1550" i="31"/>
  <c r="P1550" i="31" a="1"/>
  <c r="P1550" i="31"/>
  <c r="O1551" i="31" a="1"/>
  <c r="O1551" i="31"/>
  <c r="P1551" i="31" a="1"/>
  <c r="P1551" i="31"/>
  <c r="O1552" i="31" a="1"/>
  <c r="O1552" i="31"/>
  <c r="P1552" i="31" a="1"/>
  <c r="P1552" i="31"/>
  <c r="O1553" i="31" a="1"/>
  <c r="O1553" i="31"/>
  <c r="P1553" i="31" a="1"/>
  <c r="P1553" i="31"/>
  <c r="O1554" i="31" a="1"/>
  <c r="O1554" i="31"/>
  <c r="P1554" i="31" a="1"/>
  <c r="P1554" i="31"/>
  <c r="O1555" i="31" a="1"/>
  <c r="O1555" i="31"/>
  <c r="P1555" i="31" a="1"/>
  <c r="P1555" i="31"/>
  <c r="O1556" i="31" a="1"/>
  <c r="O1556" i="31"/>
  <c r="P1556" i="31" a="1"/>
  <c r="P1556" i="31"/>
  <c r="O1557" i="31" a="1"/>
  <c r="O1557" i="31"/>
  <c r="P1557" i="31" a="1"/>
  <c r="P1557" i="31"/>
  <c r="O1558" i="31" a="1"/>
  <c r="O1558" i="31"/>
  <c r="P1558" i="31" a="1"/>
  <c r="P1558" i="31"/>
  <c r="O1559" i="31" a="1"/>
  <c r="O1559" i="31"/>
  <c r="P1559" i="31" a="1"/>
  <c r="P1559" i="31"/>
  <c r="O1560" i="31" a="1"/>
  <c r="O1560" i="31"/>
  <c r="P1560" i="31" a="1"/>
  <c r="P1560" i="31"/>
  <c r="O1561" i="31" a="1"/>
  <c r="O1561" i="31"/>
  <c r="P1561" i="31" a="1"/>
  <c r="P1561" i="31"/>
  <c r="O1562" i="31" a="1"/>
  <c r="O1562" i="31"/>
  <c r="P1562" i="31" a="1"/>
  <c r="P1562" i="31"/>
  <c r="O1563" i="31" a="1"/>
  <c r="O1563" i="31"/>
  <c r="P1563" i="31" a="1"/>
  <c r="P1563" i="31"/>
  <c r="O1564" i="31" a="1"/>
  <c r="O1564" i="31"/>
  <c r="P1564" i="31" a="1"/>
  <c r="P1564" i="31"/>
  <c r="O1565" i="31" a="1"/>
  <c r="O1565" i="31"/>
  <c r="P1565" i="31" a="1"/>
  <c r="P1565" i="31"/>
  <c r="O1566" i="31" a="1"/>
  <c r="O1566" i="31"/>
  <c r="P1566" i="31" a="1"/>
  <c r="P1566" i="31"/>
  <c r="O1567" i="31" a="1"/>
  <c r="O1567" i="31"/>
  <c r="P1567" i="31" a="1"/>
  <c r="P1567" i="31"/>
  <c r="O1568" i="31" a="1"/>
  <c r="O1568" i="31"/>
  <c r="P1568" i="31" a="1"/>
  <c r="P1568" i="31"/>
  <c r="O1569" i="31" a="1"/>
  <c r="O1569" i="31"/>
  <c r="P1569" i="31" a="1"/>
  <c r="P1569" i="31"/>
  <c r="O1570" i="31" a="1"/>
  <c r="O1570" i="31"/>
  <c r="P1570" i="31" a="1"/>
  <c r="P1570" i="31"/>
  <c r="O1571" i="31" a="1"/>
  <c r="O1571" i="31"/>
  <c r="P1571" i="31" a="1"/>
  <c r="P1571" i="31"/>
  <c r="O1572" i="31" a="1"/>
  <c r="O1572" i="31"/>
  <c r="P1572" i="31" a="1"/>
  <c r="P1572" i="31"/>
  <c r="O1573" i="31" a="1"/>
  <c r="O1573" i="31"/>
  <c r="P1573" i="31" a="1"/>
  <c r="P1573" i="31"/>
  <c r="O1574" i="31" a="1"/>
  <c r="O1574" i="31"/>
  <c r="P1574" i="31" a="1"/>
  <c r="P1574" i="31"/>
  <c r="O1575" i="31" a="1"/>
  <c r="O1575" i="31"/>
  <c r="P1575" i="31" a="1"/>
  <c r="P1575" i="31"/>
  <c r="O1576" i="31" a="1"/>
  <c r="O1576" i="31"/>
  <c r="P1576" i="31" a="1"/>
  <c r="P1576" i="31"/>
  <c r="O1577" i="31" a="1"/>
  <c r="O1577" i="31"/>
  <c r="P1577" i="31" a="1"/>
  <c r="P1577" i="31"/>
  <c r="O1578" i="31" a="1"/>
  <c r="O1578" i="31"/>
  <c r="P1578" i="31" a="1"/>
  <c r="P1578" i="31"/>
  <c r="O1579" i="31" a="1"/>
  <c r="O1579" i="31"/>
  <c r="P1579" i="31" a="1"/>
  <c r="P1579" i="31"/>
  <c r="O1580" i="31" a="1"/>
  <c r="O1580" i="31"/>
  <c r="P1580" i="31" a="1"/>
  <c r="P1580" i="31"/>
  <c r="O1581" i="31" a="1"/>
  <c r="O1581" i="31"/>
  <c r="P1581" i="31" a="1"/>
  <c r="P1581" i="31"/>
  <c r="O1582" i="31" a="1"/>
  <c r="O1582" i="31"/>
  <c r="P1582" i="31" a="1"/>
  <c r="P1582" i="31"/>
  <c r="O1583" i="31" a="1"/>
  <c r="O1583" i="31"/>
  <c r="P1583" i="31" a="1"/>
  <c r="P1583" i="31"/>
  <c r="O1584" i="31" a="1"/>
  <c r="O1584" i="31"/>
  <c r="P1584" i="31" a="1"/>
  <c r="P1584" i="31"/>
  <c r="O1585" i="31" a="1"/>
  <c r="O1585" i="31"/>
  <c r="P1585" i="31" a="1"/>
  <c r="P1585" i="31"/>
  <c r="O1586" i="31" a="1"/>
  <c r="O1586" i="31"/>
  <c r="P1586" i="31" a="1"/>
  <c r="P1586" i="31"/>
  <c r="O1587" i="31" a="1"/>
  <c r="O1587" i="31"/>
  <c r="P1587" i="31" a="1"/>
  <c r="P1587" i="31"/>
  <c r="O1588" i="31" a="1"/>
  <c r="O1588" i="31"/>
  <c r="P1588" i="31" a="1"/>
  <c r="P1588" i="31"/>
  <c r="O1589" i="31" a="1"/>
  <c r="O1589" i="31"/>
  <c r="P1589" i="31" a="1"/>
  <c r="P1589" i="31"/>
  <c r="O1590" i="31" a="1"/>
  <c r="O1590" i="31"/>
  <c r="P1590" i="31" a="1"/>
  <c r="P1590" i="31"/>
  <c r="O1591" i="31" a="1"/>
  <c r="O1591" i="31"/>
  <c r="P1591" i="31" a="1"/>
  <c r="P1591" i="31"/>
  <c r="O1592" i="31" a="1"/>
  <c r="O1592" i="31"/>
  <c r="P1592" i="31" a="1"/>
  <c r="P1592" i="31"/>
  <c r="O1593" i="31" a="1"/>
  <c r="O1593" i="31"/>
  <c r="P1593" i="31" a="1"/>
  <c r="P1593" i="31"/>
  <c r="O1594" i="31" a="1"/>
  <c r="O1594" i="31"/>
  <c r="P1594" i="31" a="1"/>
  <c r="P1594" i="31"/>
  <c r="O1595" i="31" a="1"/>
  <c r="O1595" i="31"/>
  <c r="P1595" i="31" a="1"/>
  <c r="P1595" i="31"/>
  <c r="O1596" i="31" a="1"/>
  <c r="O1596" i="31"/>
  <c r="P1596" i="31" a="1"/>
  <c r="P1596" i="31"/>
  <c r="O1597" i="31" a="1"/>
  <c r="O1597" i="31"/>
  <c r="P1597" i="31" a="1"/>
  <c r="P1597" i="31"/>
  <c r="O1598" i="31" a="1"/>
  <c r="O1598" i="31"/>
  <c r="P1598" i="31" a="1"/>
  <c r="P1598" i="31"/>
  <c r="O1599" i="31" a="1"/>
  <c r="O1599" i="31"/>
  <c r="P1599" i="31" a="1"/>
  <c r="P1599" i="31"/>
  <c r="O1600" i="31" a="1"/>
  <c r="O1600" i="31"/>
  <c r="P1600" i="31" a="1"/>
  <c r="P1600" i="31"/>
  <c r="O1601" i="31" a="1"/>
  <c r="O1601" i="31"/>
  <c r="P1601" i="31" a="1"/>
  <c r="P1601" i="31"/>
  <c r="O1602" i="31" a="1"/>
  <c r="O1602" i="31"/>
  <c r="P1602" i="31" a="1"/>
  <c r="P1602" i="31"/>
  <c r="O1603" i="31" a="1"/>
  <c r="O1603" i="31"/>
  <c r="P1603" i="31" a="1"/>
  <c r="P1603" i="31"/>
  <c r="O1604" i="31" a="1"/>
  <c r="O1604" i="31"/>
  <c r="P1604" i="31" a="1"/>
  <c r="P1604" i="31"/>
  <c r="O1605" i="31" a="1"/>
  <c r="O1605" i="31"/>
  <c r="P1605" i="31" a="1"/>
  <c r="P1605" i="31"/>
  <c r="O1606" i="31" a="1"/>
  <c r="O1606" i="31"/>
  <c r="P1606" i="31" a="1"/>
  <c r="P1606" i="31"/>
  <c r="O1607" i="31" a="1"/>
  <c r="O1607" i="31"/>
  <c r="P1607" i="31" a="1"/>
  <c r="P1607" i="31"/>
  <c r="O1608" i="31" a="1"/>
  <c r="O1608" i="31"/>
  <c r="P1608" i="31" a="1"/>
  <c r="P1608" i="31"/>
  <c r="O1609" i="31" a="1"/>
  <c r="O1609" i="31"/>
  <c r="P1609" i="31" a="1"/>
  <c r="P1609" i="31"/>
  <c r="O1610" i="31" a="1"/>
  <c r="O1610" i="31"/>
  <c r="P1610" i="31" a="1"/>
  <c r="P1610" i="31"/>
  <c r="O1611" i="31" a="1"/>
  <c r="O1611" i="31"/>
  <c r="P1611" i="31" a="1"/>
  <c r="P1611" i="31"/>
  <c r="O1612" i="31" a="1"/>
  <c r="O1612" i="31"/>
  <c r="P1612" i="31" a="1"/>
  <c r="P1612" i="31"/>
  <c r="O1613" i="31" a="1"/>
  <c r="O1613" i="31"/>
  <c r="P1613" i="31" a="1"/>
  <c r="P1613" i="31"/>
  <c r="O1614" i="31" a="1"/>
  <c r="O1614" i="31"/>
  <c r="P1614" i="31" a="1"/>
  <c r="P1614" i="31"/>
  <c r="O1615" i="31" a="1"/>
  <c r="O1615" i="31"/>
  <c r="P1615" i="31" a="1"/>
  <c r="P1615" i="31"/>
  <c r="O1616" i="31" a="1"/>
  <c r="O1616" i="31"/>
  <c r="P1616" i="31" a="1"/>
  <c r="P1616" i="31"/>
  <c r="O1617" i="31" a="1"/>
  <c r="O1617" i="31"/>
  <c r="P1617" i="31" a="1"/>
  <c r="P1617" i="31"/>
  <c r="O1618" i="31" a="1"/>
  <c r="O1618" i="31"/>
  <c r="P1618" i="31" a="1"/>
  <c r="P1618" i="31"/>
  <c r="O1619" i="31" a="1"/>
  <c r="O1619" i="31"/>
  <c r="P1619" i="31" a="1"/>
  <c r="P1619" i="31"/>
  <c r="O1620" i="31" a="1"/>
  <c r="O1620" i="31"/>
  <c r="P1620" i="31" a="1"/>
  <c r="P1620" i="31"/>
  <c r="O1621" i="31" a="1"/>
  <c r="O1621" i="31"/>
  <c r="P1621" i="31" a="1"/>
  <c r="P1621" i="31"/>
  <c r="O1622" i="31" a="1"/>
  <c r="O1622" i="31"/>
  <c r="P1622" i="31" a="1"/>
  <c r="P1622" i="31"/>
  <c r="O1623" i="31" a="1"/>
  <c r="O1623" i="31"/>
  <c r="P1623" i="31" a="1"/>
  <c r="P1623" i="31"/>
  <c r="O1624" i="31" a="1"/>
  <c r="O1624" i="31"/>
  <c r="P1624" i="31" a="1"/>
  <c r="P1624" i="31"/>
  <c r="O1625" i="31" a="1"/>
  <c r="O1625" i="31"/>
  <c r="P1625" i="31" a="1"/>
  <c r="P1625" i="31"/>
  <c r="O1626" i="31" a="1"/>
  <c r="O1626" i="31"/>
  <c r="P1626" i="31" a="1"/>
  <c r="P1626" i="31"/>
  <c r="O1627" i="31" a="1"/>
  <c r="O1627" i="31"/>
  <c r="P1627" i="31" a="1"/>
  <c r="P1627" i="31"/>
  <c r="O1628" i="31" a="1"/>
  <c r="O1628" i="31"/>
  <c r="P1628" i="31" a="1"/>
  <c r="P1628" i="31"/>
  <c r="O1629" i="31" a="1"/>
  <c r="O1629" i="31"/>
  <c r="P1629" i="31" a="1"/>
  <c r="P1629" i="31"/>
  <c r="O1630" i="31" a="1"/>
  <c r="O1630" i="31"/>
  <c r="P1630" i="31" a="1"/>
  <c r="P1630" i="31"/>
  <c r="O1631" i="31" a="1"/>
  <c r="O1631" i="31"/>
  <c r="P1631" i="31" a="1"/>
  <c r="P1631" i="31"/>
  <c r="O1632" i="31" a="1"/>
  <c r="O1632" i="31"/>
  <c r="P1632" i="31" a="1"/>
  <c r="P1632" i="31"/>
  <c r="O1633" i="31" a="1"/>
  <c r="O1633" i="31"/>
  <c r="P1633" i="31" a="1"/>
  <c r="P1633" i="31"/>
  <c r="O1634" i="31" a="1"/>
  <c r="O1634" i="31"/>
  <c r="P1634" i="31" a="1"/>
  <c r="P1634" i="31"/>
  <c r="O1635" i="31" a="1"/>
  <c r="O1635" i="31"/>
  <c r="P1635" i="31" a="1"/>
  <c r="P1635" i="31"/>
  <c r="O1636" i="31" a="1"/>
  <c r="O1636" i="31"/>
  <c r="P1636" i="31" a="1"/>
  <c r="P1636" i="31"/>
  <c r="O1637" i="31" a="1"/>
  <c r="O1637" i="31"/>
  <c r="P1637" i="31" a="1"/>
  <c r="P1637" i="31"/>
  <c r="O1638" i="31" a="1"/>
  <c r="O1638" i="31"/>
  <c r="P1638" i="31" a="1"/>
  <c r="P1638" i="31"/>
  <c r="O1639" i="31" a="1"/>
  <c r="O1639" i="31"/>
  <c r="P1639" i="31" a="1"/>
  <c r="P1639" i="31"/>
  <c r="O1640" i="31" a="1"/>
  <c r="O1640" i="31"/>
  <c r="P1640" i="31" a="1"/>
  <c r="P1640" i="31"/>
  <c r="O1641" i="31" a="1"/>
  <c r="O1641" i="31"/>
  <c r="P1641" i="31" a="1"/>
  <c r="P1641" i="31"/>
  <c r="O1642" i="31" a="1"/>
  <c r="O1642" i="31"/>
  <c r="P1642" i="31" a="1"/>
  <c r="P1642" i="31"/>
  <c r="O1643" i="31" a="1"/>
  <c r="O1643" i="31"/>
  <c r="P1643" i="31" a="1"/>
  <c r="P1643" i="31"/>
  <c r="O1644" i="31" a="1"/>
  <c r="O1644" i="31"/>
  <c r="P1644" i="31" a="1"/>
  <c r="P1644" i="31"/>
  <c r="O1645" i="31" a="1"/>
  <c r="O1645" i="31"/>
  <c r="P1645" i="31" a="1"/>
  <c r="P1645" i="31"/>
  <c r="O1646" i="31" a="1"/>
  <c r="O1646" i="31"/>
  <c r="P1646" i="31" a="1"/>
  <c r="P1646" i="31"/>
  <c r="O1647" i="31" a="1"/>
  <c r="O1647" i="31"/>
  <c r="P1647" i="31" a="1"/>
  <c r="P1647" i="31"/>
  <c r="O1648" i="31" a="1"/>
  <c r="O1648" i="31"/>
  <c r="P1648" i="31" a="1"/>
  <c r="P1648" i="31"/>
  <c r="O1649" i="31" a="1"/>
  <c r="O1649" i="31"/>
  <c r="P1649" i="31" a="1"/>
  <c r="P1649" i="31"/>
  <c r="O1650" i="31" a="1"/>
  <c r="O1650" i="31"/>
  <c r="P1650" i="31" a="1"/>
  <c r="P1650" i="31"/>
  <c r="O1651" i="31" a="1"/>
  <c r="O1651" i="31"/>
  <c r="P1651" i="31" a="1"/>
  <c r="P1651" i="31"/>
  <c r="O1652" i="31" a="1"/>
  <c r="O1652" i="31"/>
  <c r="P1652" i="31" a="1"/>
  <c r="P1652" i="31"/>
  <c r="O1653" i="31" a="1"/>
  <c r="O1653" i="31"/>
  <c r="P1653" i="31" a="1"/>
  <c r="P1653" i="31"/>
  <c r="O1654" i="31" a="1"/>
  <c r="O1654" i="31"/>
  <c r="P1654" i="31" a="1"/>
  <c r="P1654" i="31"/>
  <c r="O1655" i="31" a="1"/>
  <c r="O1655" i="31"/>
  <c r="P1655" i="31" a="1"/>
  <c r="P1655" i="31"/>
  <c r="O1656" i="31" a="1"/>
  <c r="O1656" i="31"/>
  <c r="P1656" i="31" a="1"/>
  <c r="P1656" i="31"/>
  <c r="O1657" i="31" a="1"/>
  <c r="O1657" i="31"/>
  <c r="P1657" i="31" a="1"/>
  <c r="P1657" i="31"/>
  <c r="O1658" i="31" a="1"/>
  <c r="O1658" i="31"/>
  <c r="P1658" i="31" a="1"/>
  <c r="P1658" i="31"/>
  <c r="O1659" i="31" a="1"/>
  <c r="O1659" i="31"/>
  <c r="P1659" i="31" a="1"/>
  <c r="P1659" i="31"/>
  <c r="O1660" i="31" a="1"/>
  <c r="O1660" i="31"/>
  <c r="P1660" i="31" a="1"/>
  <c r="P1660" i="31"/>
  <c r="O1661" i="31" a="1"/>
  <c r="O1661" i="31"/>
  <c r="P1661" i="31" a="1"/>
  <c r="P1661" i="31"/>
  <c r="O1662" i="31" a="1"/>
  <c r="O1662" i="31"/>
  <c r="P1662" i="31" a="1"/>
  <c r="P1662" i="31"/>
  <c r="O1663" i="31" a="1"/>
  <c r="O1663" i="31"/>
  <c r="P1663" i="31" a="1"/>
  <c r="P1663" i="31"/>
  <c r="O1664" i="31" a="1"/>
  <c r="O1664" i="31"/>
  <c r="P1664" i="31" a="1"/>
  <c r="P1664" i="31"/>
  <c r="O1665" i="31" a="1"/>
  <c r="O1665" i="31"/>
  <c r="P1665" i="31" a="1"/>
  <c r="P1665" i="31"/>
  <c r="O1666" i="31" a="1"/>
  <c r="O1666" i="31"/>
  <c r="P1666" i="31" a="1"/>
  <c r="P1666" i="31"/>
  <c r="O1667" i="31" a="1"/>
  <c r="O1667" i="31"/>
  <c r="P1667" i="31" a="1"/>
  <c r="P1667" i="31"/>
  <c r="O1668" i="31" a="1"/>
  <c r="O1668" i="31"/>
  <c r="P1668" i="31" a="1"/>
  <c r="P1668" i="31"/>
  <c r="O1669" i="31" a="1"/>
  <c r="O1669" i="31"/>
  <c r="P1669" i="31" a="1"/>
  <c r="P1669" i="31"/>
  <c r="O1670" i="31" a="1"/>
  <c r="O1670" i="31"/>
  <c r="P1670" i="31" a="1"/>
  <c r="P1670" i="31"/>
  <c r="O1671" i="31" a="1"/>
  <c r="O1671" i="31"/>
  <c r="P1671" i="31" a="1"/>
  <c r="P1671" i="31"/>
  <c r="O1672" i="31" a="1"/>
  <c r="O1672" i="31"/>
  <c r="P1672" i="31" a="1"/>
  <c r="P1672" i="31"/>
  <c r="O1673" i="31" a="1"/>
  <c r="O1673" i="31"/>
  <c r="P1673" i="31" a="1"/>
  <c r="P1673" i="31"/>
  <c r="O1674" i="31" a="1"/>
  <c r="O1674" i="31"/>
  <c r="P1674" i="31" a="1"/>
  <c r="P1674" i="31"/>
  <c r="O1675" i="31" a="1"/>
  <c r="O1675" i="31"/>
  <c r="P1675" i="31" a="1"/>
  <c r="P1675" i="31"/>
  <c r="O1676" i="31" a="1"/>
  <c r="O1676" i="31"/>
  <c r="P1676" i="31" a="1"/>
  <c r="P1676" i="31"/>
  <c r="O1677" i="31" a="1"/>
  <c r="O1677" i="31"/>
  <c r="P1677" i="31" a="1"/>
  <c r="P1677" i="31"/>
  <c r="O1678" i="31" a="1"/>
  <c r="O1678" i="31"/>
  <c r="P1678" i="31" a="1"/>
  <c r="P1678" i="31"/>
  <c r="O1679" i="31" a="1"/>
  <c r="O1679" i="31"/>
  <c r="P1679" i="31" a="1"/>
  <c r="P1679" i="31"/>
  <c r="O1680" i="31" a="1"/>
  <c r="O1680" i="31"/>
  <c r="P1680" i="31" a="1"/>
  <c r="P1680" i="31"/>
  <c r="O1681" i="31" a="1"/>
  <c r="O1681" i="31"/>
  <c r="P1681" i="31" a="1"/>
  <c r="P1681" i="31"/>
  <c r="O1682" i="31" a="1"/>
  <c r="O1682" i="31"/>
  <c r="P1682" i="31" a="1"/>
  <c r="P1682" i="31"/>
  <c r="O1683" i="31" a="1"/>
  <c r="O1683" i="31"/>
  <c r="P1683" i="31" a="1"/>
  <c r="P1683" i="31"/>
  <c r="O1684" i="31" a="1"/>
  <c r="O1684" i="31"/>
  <c r="P1684" i="31" a="1"/>
  <c r="P1684" i="31"/>
  <c r="O1685" i="31" a="1"/>
  <c r="O1685" i="31"/>
  <c r="P1685" i="31" a="1"/>
  <c r="P1685" i="31"/>
  <c r="O1686" i="31" a="1"/>
  <c r="O1686" i="31"/>
  <c r="P1686" i="31" a="1"/>
  <c r="P1686" i="31"/>
  <c r="O1687" i="31" a="1"/>
  <c r="O1687" i="31"/>
  <c r="P1687" i="31" a="1"/>
  <c r="P1687" i="31"/>
  <c r="O1688" i="31" a="1"/>
  <c r="O1688" i="31"/>
  <c r="P1688" i="31" a="1"/>
  <c r="P1688" i="31"/>
  <c r="O1689" i="31" a="1"/>
  <c r="O1689" i="31"/>
  <c r="P1689" i="31" a="1"/>
  <c r="P1689" i="31"/>
  <c r="O1690" i="31" a="1"/>
  <c r="O1690" i="31"/>
  <c r="P1690" i="31" a="1"/>
  <c r="P1690" i="31"/>
  <c r="O1691" i="31" a="1"/>
  <c r="O1691" i="31"/>
  <c r="P1691" i="31" a="1"/>
  <c r="P1691" i="31"/>
  <c r="O1692" i="31" a="1"/>
  <c r="O1692" i="31"/>
  <c r="P1692" i="31" a="1"/>
  <c r="P1692" i="31"/>
  <c r="O1693" i="31" a="1"/>
  <c r="O1693" i="31"/>
  <c r="P1693" i="31" a="1"/>
  <c r="P1693" i="31"/>
  <c r="O1694" i="31" a="1"/>
  <c r="O1694" i="31"/>
  <c r="P1694" i="31" a="1"/>
  <c r="P1694" i="31"/>
  <c r="O1695" i="31" a="1"/>
  <c r="O1695" i="31"/>
  <c r="P1695" i="31" a="1"/>
  <c r="P1695" i="31"/>
  <c r="O1696" i="31" a="1"/>
  <c r="O1696" i="31"/>
  <c r="P1696" i="31" a="1"/>
  <c r="P1696" i="31"/>
  <c r="O1697" i="31" a="1"/>
  <c r="O1697" i="31"/>
  <c r="P1697" i="31" a="1"/>
  <c r="P1697" i="31"/>
  <c r="O1698" i="31" a="1"/>
  <c r="O1698" i="31"/>
  <c r="P1698" i="31" a="1"/>
  <c r="P1698" i="31"/>
  <c r="O1699" i="31" a="1"/>
  <c r="O1699" i="31"/>
  <c r="P1699" i="31" a="1"/>
  <c r="P1699" i="31"/>
  <c r="O1700" i="31" a="1"/>
  <c r="O1700" i="31"/>
  <c r="P1700" i="31" a="1"/>
  <c r="P1700" i="31"/>
  <c r="O1701" i="31" a="1"/>
  <c r="O1701" i="31"/>
  <c r="P1701" i="31" a="1"/>
  <c r="P1701" i="31"/>
  <c r="O1702" i="31" a="1"/>
  <c r="O1702" i="31"/>
  <c r="P1702" i="31" a="1"/>
  <c r="P1702" i="31"/>
  <c r="O1703" i="31" a="1"/>
  <c r="O1703" i="31"/>
  <c r="P1703" i="31" a="1"/>
  <c r="P1703" i="31"/>
  <c r="O1704" i="31" a="1"/>
  <c r="O1704" i="31"/>
  <c r="P1704" i="31" a="1"/>
  <c r="P1704" i="31"/>
  <c r="O1705" i="31" a="1"/>
  <c r="O1705" i="31"/>
  <c r="P1705" i="31" a="1"/>
  <c r="P1705" i="31"/>
  <c r="O1706" i="31" a="1"/>
  <c r="O1706" i="31"/>
  <c r="P1706" i="31" a="1"/>
  <c r="P1706" i="31"/>
  <c r="O1707" i="31" a="1"/>
  <c r="O1707" i="31"/>
  <c r="P1707" i="31" a="1"/>
  <c r="P1707" i="31"/>
  <c r="O1708" i="31" a="1"/>
  <c r="O1708" i="31"/>
  <c r="P1708" i="31" a="1"/>
  <c r="P1708" i="31"/>
  <c r="O1709" i="31" a="1"/>
  <c r="O1709" i="31"/>
  <c r="P1709" i="31" a="1"/>
  <c r="P1709" i="31"/>
  <c r="O1710" i="31" a="1"/>
  <c r="O1710" i="31"/>
  <c r="P1710" i="31" a="1"/>
  <c r="P1710" i="31"/>
  <c r="O1711" i="31" a="1"/>
  <c r="O1711" i="31"/>
  <c r="P1711" i="31" a="1"/>
  <c r="P1711" i="31"/>
  <c r="O1712" i="31" a="1"/>
  <c r="O1712" i="31"/>
  <c r="P1712" i="31" a="1"/>
  <c r="P1712" i="31"/>
  <c r="O1713" i="31" a="1"/>
  <c r="O1713" i="31"/>
  <c r="P1713" i="31" a="1"/>
  <c r="P1713" i="31"/>
  <c r="O1714" i="31" a="1"/>
  <c r="O1714" i="31"/>
  <c r="P1714" i="31" a="1"/>
  <c r="P1714" i="31"/>
  <c r="O1715" i="31" a="1"/>
  <c r="O1715" i="31"/>
  <c r="P1715" i="31" a="1"/>
  <c r="P1715" i="31"/>
  <c r="O1716" i="31" a="1"/>
  <c r="O1716" i="31"/>
  <c r="P1716" i="31" a="1"/>
  <c r="P1716" i="31"/>
  <c r="O1717" i="31" a="1"/>
  <c r="O1717" i="31"/>
  <c r="P1717" i="31" a="1"/>
  <c r="P1717" i="31"/>
  <c r="O1718" i="31" a="1"/>
  <c r="O1718" i="31"/>
  <c r="P1718" i="31" a="1"/>
  <c r="P1718" i="31"/>
  <c r="O1719" i="31" a="1"/>
  <c r="O1719" i="31"/>
  <c r="P1719" i="31" a="1"/>
  <c r="P1719" i="31"/>
  <c r="O1720" i="31" a="1"/>
  <c r="O1720" i="31"/>
  <c r="P1720" i="31" a="1"/>
  <c r="P1720" i="31"/>
  <c r="O1721" i="31" a="1"/>
  <c r="O1721" i="31"/>
  <c r="P1721" i="31" a="1"/>
  <c r="P1721" i="31"/>
  <c r="O1722" i="31" a="1"/>
  <c r="O1722" i="31"/>
  <c r="P1722" i="31" a="1"/>
  <c r="P1722" i="31"/>
  <c r="O1723" i="31" a="1"/>
  <c r="O1723" i="31"/>
  <c r="P1723" i="31" a="1"/>
  <c r="P1723" i="31"/>
  <c r="O1724" i="31" a="1"/>
  <c r="O1724" i="31"/>
  <c r="P1724" i="31" a="1"/>
  <c r="P1724" i="31"/>
  <c r="O1725" i="31" a="1"/>
  <c r="O1725" i="31"/>
  <c r="P1725" i="31" a="1"/>
  <c r="P1725" i="31"/>
  <c r="O1726" i="31" a="1"/>
  <c r="O1726" i="31"/>
  <c r="P1726" i="31" a="1"/>
  <c r="P1726" i="31"/>
  <c r="O1727" i="31" a="1"/>
  <c r="O1727" i="31"/>
  <c r="P1727" i="31" a="1"/>
  <c r="P1727" i="31"/>
  <c r="O1728" i="31" a="1"/>
  <c r="O1728" i="31"/>
  <c r="P1728" i="31" a="1"/>
  <c r="P1728" i="31"/>
  <c r="O1729" i="31" a="1"/>
  <c r="O1729" i="31"/>
  <c r="P1729" i="31" a="1"/>
  <c r="P1729" i="31"/>
  <c r="O1730" i="31" a="1"/>
  <c r="O1730" i="31"/>
  <c r="P1730" i="31" a="1"/>
  <c r="P1730" i="31"/>
  <c r="O1731" i="31" a="1"/>
  <c r="O1731" i="31"/>
  <c r="P1731" i="31" a="1"/>
  <c r="P1731" i="31"/>
  <c r="O1732" i="31" a="1"/>
  <c r="O1732" i="31"/>
  <c r="P1732" i="31" a="1"/>
  <c r="P1732" i="31"/>
  <c r="O1733" i="31" a="1"/>
  <c r="O1733" i="31"/>
  <c r="P1733" i="31" a="1"/>
  <c r="P1733" i="31"/>
  <c r="O1734" i="31" a="1"/>
  <c r="O1734" i="31"/>
  <c r="P1734" i="31" a="1"/>
  <c r="P1734" i="31"/>
  <c r="O1735" i="31" a="1"/>
  <c r="O1735" i="31"/>
  <c r="P1735" i="31" a="1"/>
  <c r="P1735" i="31"/>
  <c r="O1736" i="31" a="1"/>
  <c r="O1736" i="31"/>
  <c r="P1736" i="31" a="1"/>
  <c r="P1736" i="31"/>
  <c r="O1737" i="31" a="1"/>
  <c r="O1737" i="31"/>
  <c r="P1737" i="31" a="1"/>
  <c r="P1737" i="31"/>
  <c r="O1738" i="31" a="1"/>
  <c r="O1738" i="31"/>
  <c r="P1738" i="31" a="1"/>
  <c r="P1738" i="31"/>
  <c r="O1739" i="31" a="1"/>
  <c r="O1739" i="31"/>
  <c r="P1739" i="31" a="1"/>
  <c r="P1739" i="31"/>
  <c r="O1740" i="31" a="1"/>
  <c r="O1740" i="31"/>
  <c r="P1740" i="31" a="1"/>
  <c r="P1740" i="31"/>
  <c r="O1741" i="31" a="1"/>
  <c r="O1741" i="31"/>
  <c r="P1741" i="31" a="1"/>
  <c r="P1741" i="31"/>
  <c r="O1742" i="31" a="1"/>
  <c r="O1742" i="31"/>
  <c r="P1742" i="31" a="1"/>
  <c r="P1742" i="31"/>
  <c r="O1743" i="31" a="1"/>
  <c r="O1743" i="31"/>
  <c r="P1743" i="31" a="1"/>
  <c r="P1743" i="31"/>
  <c r="O1744" i="31" a="1"/>
  <c r="O1744" i="31"/>
  <c r="P1744" i="31" a="1"/>
  <c r="P1744" i="31"/>
  <c r="O1745" i="31" a="1"/>
  <c r="O1745" i="31"/>
  <c r="P1745" i="31" a="1"/>
  <c r="P1745" i="31"/>
  <c r="O1746" i="31" a="1"/>
  <c r="O1746" i="31"/>
  <c r="P1746" i="31" a="1"/>
  <c r="P1746" i="31"/>
  <c r="O1747" i="31" a="1"/>
  <c r="O1747" i="31"/>
  <c r="P1747" i="31" a="1"/>
  <c r="P1747" i="31"/>
  <c r="O1748" i="31" a="1"/>
  <c r="O1748" i="31"/>
  <c r="P1748" i="31" a="1"/>
  <c r="P1748" i="31"/>
  <c r="O1749" i="31" a="1"/>
  <c r="O1749" i="31"/>
  <c r="P1749" i="31" a="1"/>
  <c r="P1749" i="31"/>
  <c r="O1750" i="31" a="1"/>
  <c r="O1750" i="31"/>
  <c r="P1750" i="31" a="1"/>
  <c r="P1750" i="31"/>
  <c r="O1751" i="31" a="1"/>
  <c r="O1751" i="31"/>
  <c r="P1751" i="31" a="1"/>
  <c r="P1751" i="31"/>
  <c r="O1752" i="31" a="1"/>
  <c r="O1752" i="31"/>
  <c r="P1752" i="31" a="1"/>
  <c r="P1752" i="31"/>
  <c r="O1753" i="31" a="1"/>
  <c r="O1753" i="31"/>
  <c r="P1753" i="31" a="1"/>
  <c r="P1753" i="31"/>
  <c r="O1754" i="31" a="1"/>
  <c r="O1754" i="31"/>
  <c r="P1754" i="31" a="1"/>
  <c r="P1754" i="31"/>
  <c r="O1755" i="31" a="1"/>
  <c r="O1755" i="31"/>
  <c r="P1755" i="31" a="1"/>
  <c r="P1755" i="31"/>
  <c r="O1756" i="31" a="1"/>
  <c r="O1756" i="31"/>
  <c r="P1756" i="31" a="1"/>
  <c r="P1756" i="31"/>
  <c r="O1757" i="31" a="1"/>
  <c r="O1757" i="31"/>
  <c r="P1757" i="31" a="1"/>
  <c r="P1757" i="31"/>
  <c r="O1758" i="31" a="1"/>
  <c r="O1758" i="31"/>
  <c r="P1758" i="31" a="1"/>
  <c r="P1758" i="31"/>
  <c r="O1759" i="31" a="1"/>
  <c r="O1759" i="31"/>
  <c r="P1759" i="31" a="1"/>
  <c r="P1759" i="31"/>
  <c r="O1760" i="31" a="1"/>
  <c r="O1760" i="31"/>
  <c r="P1760" i="31" a="1"/>
  <c r="P1760" i="31"/>
  <c r="O1761" i="31" a="1"/>
  <c r="O1761" i="31"/>
  <c r="P1761" i="31" a="1"/>
  <c r="P1761" i="31"/>
  <c r="O1762" i="31" a="1"/>
  <c r="O1762" i="31"/>
  <c r="P1762" i="31" a="1"/>
  <c r="P1762" i="31"/>
  <c r="O1763" i="31" a="1"/>
  <c r="O1763" i="31"/>
  <c r="P1763" i="31" a="1"/>
  <c r="P1763" i="31"/>
  <c r="O1764" i="31" a="1"/>
  <c r="O1764" i="31"/>
  <c r="P1764" i="31" a="1"/>
  <c r="P1764" i="31"/>
  <c r="O1765" i="31" a="1"/>
  <c r="O1765" i="31"/>
  <c r="P1765" i="31" a="1"/>
  <c r="P1765" i="31"/>
  <c r="O1766" i="31" a="1"/>
  <c r="O1766" i="31"/>
  <c r="P1766" i="31" a="1"/>
  <c r="P1766" i="31"/>
  <c r="O1767" i="31" a="1"/>
  <c r="O1767" i="31"/>
  <c r="P1767" i="31" a="1"/>
  <c r="P1767" i="31"/>
  <c r="O1768" i="31" a="1"/>
  <c r="O1768" i="31"/>
  <c r="P1768" i="31" a="1"/>
  <c r="P1768" i="31"/>
  <c r="O1769" i="31" a="1"/>
  <c r="O1769" i="31"/>
  <c r="P1769" i="31" a="1"/>
  <c r="P1769" i="31"/>
  <c r="O1770" i="31" a="1"/>
  <c r="O1770" i="31"/>
  <c r="P1770" i="31" a="1"/>
  <c r="P1770" i="31"/>
  <c r="O1771" i="31" a="1"/>
  <c r="O1771" i="31"/>
  <c r="P1771" i="31" a="1"/>
  <c r="P1771" i="31"/>
  <c r="O1772" i="31" a="1"/>
  <c r="O1772" i="31"/>
  <c r="P1772" i="31" a="1"/>
  <c r="P1772" i="31"/>
  <c r="O1773" i="31" a="1"/>
  <c r="O1773" i="31"/>
  <c r="P1773" i="31" a="1"/>
  <c r="P1773" i="31"/>
  <c r="O1774" i="31" a="1"/>
  <c r="O1774" i="31"/>
  <c r="P1774" i="31" a="1"/>
  <c r="P1774" i="31"/>
  <c r="O1775" i="31" a="1"/>
  <c r="O1775" i="31"/>
  <c r="P1775" i="31" a="1"/>
  <c r="P1775" i="31"/>
  <c r="O1776" i="31" a="1"/>
  <c r="O1776" i="31"/>
  <c r="P1776" i="31" a="1"/>
  <c r="P1776" i="31"/>
  <c r="O1777" i="31" a="1"/>
  <c r="O1777" i="31"/>
  <c r="P1777" i="31" a="1"/>
  <c r="P1777" i="31"/>
  <c r="O1778" i="31" a="1"/>
  <c r="O1778" i="31"/>
  <c r="P1778" i="31" a="1"/>
  <c r="P1778" i="31"/>
  <c r="O1779" i="31" a="1"/>
  <c r="O1779" i="31"/>
  <c r="P1779" i="31" a="1"/>
  <c r="P1779" i="31"/>
  <c r="O1780" i="31" a="1"/>
  <c r="O1780" i="31"/>
  <c r="P1780" i="31" a="1"/>
  <c r="P1780" i="31"/>
  <c r="O1781" i="31" a="1"/>
  <c r="O1781" i="31"/>
  <c r="P1781" i="31" a="1"/>
  <c r="P1781" i="31"/>
  <c r="O1782" i="31" a="1"/>
  <c r="O1782" i="31"/>
  <c r="P1782" i="31" a="1"/>
  <c r="P1782" i="31"/>
  <c r="O1783" i="31" a="1"/>
  <c r="O1783" i="31"/>
  <c r="P1783" i="31" a="1"/>
  <c r="P1783" i="31"/>
  <c r="O1784" i="31" a="1"/>
  <c r="O1784" i="31"/>
  <c r="P1784" i="31" a="1"/>
  <c r="P1784" i="31"/>
  <c r="O1785" i="31" a="1"/>
  <c r="O1785" i="31"/>
  <c r="P1785" i="31" a="1"/>
  <c r="P1785" i="31"/>
  <c r="O1786" i="31" a="1"/>
  <c r="O1786" i="31"/>
  <c r="P1786" i="31" a="1"/>
  <c r="P1786" i="31"/>
  <c r="O1787" i="31" a="1"/>
  <c r="O1787" i="31"/>
  <c r="P1787" i="31" a="1"/>
  <c r="P1787" i="31"/>
  <c r="O1788" i="31" a="1"/>
  <c r="O1788" i="31"/>
  <c r="P1788" i="31" a="1"/>
  <c r="P1788" i="31"/>
  <c r="O1789" i="31" a="1"/>
  <c r="O1789" i="31"/>
  <c r="P1789" i="31" a="1"/>
  <c r="P1789" i="31"/>
  <c r="O1790" i="31" a="1"/>
  <c r="O1790" i="31"/>
  <c r="P1790" i="31" a="1"/>
  <c r="P1790" i="31"/>
  <c r="O1791" i="31" a="1"/>
  <c r="O1791" i="31"/>
  <c r="P1791" i="31" a="1"/>
  <c r="P1791" i="31"/>
  <c r="O1792" i="31" a="1"/>
  <c r="O1792" i="31"/>
  <c r="P1792" i="31" a="1"/>
  <c r="P1792" i="31"/>
  <c r="O1793" i="31" a="1"/>
  <c r="O1793" i="31"/>
  <c r="P1793" i="31" a="1"/>
  <c r="P1793" i="31"/>
  <c r="O1794" i="31" a="1"/>
  <c r="O1794" i="31"/>
  <c r="P1794" i="31" a="1"/>
  <c r="P1794" i="31"/>
  <c r="O1795" i="31" a="1"/>
  <c r="O1795" i="31"/>
  <c r="P1795" i="31" a="1"/>
  <c r="P1795" i="31"/>
  <c r="O1796" i="31" a="1"/>
  <c r="O1796" i="31"/>
  <c r="P1796" i="31" a="1"/>
  <c r="P1796" i="31"/>
  <c r="O1797" i="31" a="1"/>
  <c r="O1797" i="31"/>
  <c r="P1797" i="31" a="1"/>
  <c r="P1797" i="31"/>
  <c r="O1798" i="31" a="1"/>
  <c r="O1798" i="31"/>
  <c r="P1798" i="31" a="1"/>
  <c r="P1798" i="31"/>
  <c r="O1799" i="31" a="1"/>
  <c r="O1799" i="31"/>
  <c r="P1799" i="31" a="1"/>
  <c r="P1799" i="31"/>
  <c r="O1800" i="31" a="1"/>
  <c r="O1800" i="31"/>
  <c r="P1800" i="31" a="1"/>
  <c r="P1800" i="31"/>
  <c r="O1801" i="31" a="1"/>
  <c r="O1801" i="31"/>
  <c r="P1801" i="31" a="1"/>
  <c r="P1801" i="31"/>
  <c r="O1802" i="31" a="1"/>
  <c r="O1802" i="31"/>
  <c r="P1802" i="31" a="1"/>
  <c r="P1802" i="31"/>
  <c r="O1803" i="31" a="1"/>
  <c r="O1803" i="31"/>
  <c r="P1803" i="31" a="1"/>
  <c r="P1803" i="31"/>
  <c r="O1804" i="31" a="1"/>
  <c r="O1804" i="31"/>
  <c r="P1804" i="31" a="1"/>
  <c r="P1804" i="31"/>
  <c r="O1805" i="31" a="1"/>
  <c r="O1805" i="31"/>
  <c r="P1805" i="31" a="1"/>
  <c r="P1805" i="31"/>
  <c r="O1806" i="31" a="1"/>
  <c r="O1806" i="31"/>
  <c r="P1806" i="31" a="1"/>
  <c r="P1806" i="31"/>
  <c r="O1807" i="31" a="1"/>
  <c r="O1807" i="31"/>
  <c r="P1807" i="31" a="1"/>
  <c r="P1807" i="31"/>
  <c r="O1808" i="31" a="1"/>
  <c r="O1808" i="31"/>
  <c r="P1808" i="31" a="1"/>
  <c r="P1808" i="31"/>
  <c r="O1809" i="31" a="1"/>
  <c r="O1809" i="31"/>
  <c r="P1809" i="31" a="1"/>
  <c r="P1809" i="31"/>
  <c r="O1810" i="31" a="1"/>
  <c r="O1810" i="31"/>
  <c r="P1810" i="31" a="1"/>
  <c r="P1810" i="31"/>
  <c r="O1811" i="31" a="1"/>
  <c r="O1811" i="31"/>
  <c r="P1811" i="31" a="1"/>
  <c r="P1811" i="31"/>
  <c r="O1812" i="31" a="1"/>
  <c r="O1812" i="31"/>
  <c r="P1812" i="31" a="1"/>
  <c r="P1812" i="31"/>
  <c r="O1813" i="31" a="1"/>
  <c r="O1813" i="31"/>
  <c r="P1813" i="31" a="1"/>
  <c r="P1813" i="31"/>
  <c r="O1814" i="31" a="1"/>
  <c r="O1814" i="31"/>
  <c r="P1814" i="31" a="1"/>
  <c r="P1814" i="31"/>
  <c r="O1815" i="31" a="1"/>
  <c r="O1815" i="31"/>
  <c r="P1815" i="31" a="1"/>
  <c r="P1815" i="31"/>
  <c r="O1816" i="31" a="1"/>
  <c r="O1816" i="31"/>
  <c r="P1816" i="31" a="1"/>
  <c r="P1816" i="31"/>
  <c r="O1817" i="31" a="1"/>
  <c r="O1817" i="31"/>
  <c r="P1817" i="31" a="1"/>
  <c r="P1817" i="31"/>
  <c r="O1818" i="31" a="1"/>
  <c r="O1818" i="31"/>
  <c r="P1818" i="31" a="1"/>
  <c r="P1818" i="31"/>
  <c r="O1819" i="31" a="1"/>
  <c r="O1819" i="31"/>
  <c r="P1819" i="31" a="1"/>
  <c r="P1819" i="31"/>
  <c r="O1820" i="31" a="1"/>
  <c r="O1820" i="31"/>
  <c r="P1820" i="31" a="1"/>
  <c r="P1820" i="31"/>
  <c r="O1821" i="31" a="1"/>
  <c r="O1821" i="31"/>
  <c r="P1821" i="31" a="1"/>
  <c r="P1821" i="31"/>
  <c r="O1822" i="31" a="1"/>
  <c r="O1822" i="31"/>
  <c r="P1822" i="31" a="1"/>
  <c r="P1822" i="31"/>
  <c r="O1823" i="31" a="1"/>
  <c r="O1823" i="31"/>
  <c r="P1823" i="31" a="1"/>
  <c r="P1823" i="31"/>
  <c r="O1824" i="31" a="1"/>
  <c r="O1824" i="31"/>
  <c r="P1824" i="31" a="1"/>
  <c r="P1824" i="31"/>
  <c r="O1825" i="31" a="1"/>
  <c r="O1825" i="31"/>
  <c r="P1825" i="31" a="1"/>
  <c r="P1825" i="31"/>
  <c r="O1826" i="31" a="1"/>
  <c r="O1826" i="31"/>
  <c r="P1826" i="31" a="1"/>
  <c r="P1826" i="31"/>
  <c r="O1827" i="31" a="1"/>
  <c r="O1827" i="31"/>
  <c r="P1827" i="31" a="1"/>
  <c r="P1827" i="31"/>
  <c r="O1828" i="31" a="1"/>
  <c r="O1828" i="31"/>
  <c r="P1828" i="31" a="1"/>
  <c r="P1828" i="31"/>
  <c r="O1829" i="31" a="1"/>
  <c r="O1829" i="31"/>
  <c r="P1829" i="31" a="1"/>
  <c r="P1829" i="31"/>
  <c r="O1830" i="31" a="1"/>
  <c r="O1830" i="31"/>
  <c r="P1830" i="31" a="1"/>
  <c r="P1830" i="31"/>
  <c r="O1831" i="31" a="1"/>
  <c r="O1831" i="31"/>
  <c r="P1831" i="31" a="1"/>
  <c r="P1831" i="31"/>
  <c r="O1832" i="31" a="1"/>
  <c r="O1832" i="31"/>
  <c r="P1832" i="31" a="1"/>
  <c r="P1832" i="31"/>
  <c r="O1833" i="31" a="1"/>
  <c r="O1833" i="31"/>
  <c r="P1833" i="31" a="1"/>
  <c r="P1833" i="31"/>
  <c r="O1834" i="31" a="1"/>
  <c r="O1834" i="31"/>
  <c r="P1834" i="31" a="1"/>
  <c r="P1834" i="31"/>
  <c r="O1835" i="31" a="1"/>
  <c r="O1835" i="31"/>
  <c r="P1835" i="31" a="1"/>
  <c r="P1835" i="31"/>
  <c r="O1836" i="31" a="1"/>
  <c r="O1836" i="31"/>
  <c r="P1836" i="31" a="1"/>
  <c r="P1836" i="31"/>
  <c r="O1837" i="31" a="1"/>
  <c r="O1837" i="31"/>
  <c r="P1837" i="31" a="1"/>
  <c r="P1837" i="31"/>
  <c r="O1838" i="31" a="1"/>
  <c r="O1838" i="31"/>
  <c r="P1838" i="31" a="1"/>
  <c r="P1838" i="31"/>
  <c r="O1839" i="31" a="1"/>
  <c r="O1839" i="31"/>
  <c r="P1839" i="31" a="1"/>
  <c r="P1839" i="31"/>
  <c r="O1840" i="31" a="1"/>
  <c r="O1840" i="31"/>
  <c r="P1840" i="31" a="1"/>
  <c r="P1840" i="31"/>
  <c r="O1841" i="31" a="1"/>
  <c r="O1841" i="31"/>
  <c r="P1841" i="31" a="1"/>
  <c r="P1841" i="31"/>
  <c r="O1842" i="31" a="1"/>
  <c r="O1842" i="31"/>
  <c r="P1842" i="31" a="1"/>
  <c r="P1842" i="31"/>
  <c r="O1843" i="31" a="1"/>
  <c r="O1843" i="31"/>
  <c r="P1843" i="31" a="1"/>
  <c r="P1843" i="31"/>
  <c r="O1844" i="31" a="1"/>
  <c r="O1844" i="31"/>
  <c r="P1844" i="31" a="1"/>
  <c r="P1844" i="31"/>
  <c r="O1845" i="31" a="1"/>
  <c r="O1845" i="31"/>
  <c r="P1845" i="31" a="1"/>
  <c r="P1845" i="31"/>
  <c r="O1846" i="31" a="1"/>
  <c r="O1846" i="31"/>
  <c r="P1846" i="31" a="1"/>
  <c r="P1846" i="31"/>
  <c r="O1847" i="31" a="1"/>
  <c r="O1847" i="31"/>
  <c r="P1847" i="31" a="1"/>
  <c r="P1847" i="31"/>
  <c r="O1848" i="31" a="1"/>
  <c r="O1848" i="31"/>
  <c r="P1848" i="31" a="1"/>
  <c r="P1848" i="31"/>
  <c r="O1849" i="31" a="1"/>
  <c r="O1849" i="31"/>
  <c r="P1849" i="31" a="1"/>
  <c r="P1849" i="31"/>
  <c r="O1850" i="31" a="1"/>
  <c r="O1850" i="31"/>
  <c r="P1850" i="31" a="1"/>
  <c r="P1850" i="31"/>
  <c r="O1851" i="31" a="1"/>
  <c r="O1851" i="31"/>
  <c r="P1851" i="31" a="1"/>
  <c r="P1851" i="31"/>
  <c r="O1852" i="31" a="1"/>
  <c r="O1852" i="31"/>
  <c r="P1852" i="31" a="1"/>
  <c r="P1852" i="31"/>
  <c r="O1853" i="31" a="1"/>
  <c r="O1853" i="31"/>
  <c r="P1853" i="31" a="1"/>
  <c r="P1853" i="31"/>
  <c r="O1854" i="31" a="1"/>
  <c r="O1854" i="31"/>
  <c r="P1854" i="31" a="1"/>
  <c r="P1854" i="31"/>
  <c r="O1855" i="31" a="1"/>
  <c r="O1855" i="31"/>
  <c r="P1855" i="31" a="1"/>
  <c r="P1855" i="31"/>
  <c r="O1856" i="31" a="1"/>
  <c r="O1856" i="31"/>
  <c r="P1856" i="31" a="1"/>
  <c r="P1856" i="31"/>
  <c r="O1857" i="31" a="1"/>
  <c r="O1857" i="31"/>
  <c r="P1857" i="31" a="1"/>
  <c r="P1857" i="31"/>
  <c r="O1858" i="31" a="1"/>
  <c r="O1858" i="31"/>
  <c r="P1858" i="31" a="1"/>
  <c r="P1858" i="31"/>
  <c r="O1859" i="31" a="1"/>
  <c r="O1859" i="31"/>
  <c r="P1859" i="31" a="1"/>
  <c r="P1859" i="31"/>
  <c r="O1860" i="31" a="1"/>
  <c r="O1860" i="31"/>
  <c r="P1860" i="31" a="1"/>
  <c r="P1860" i="31"/>
  <c r="O1861" i="31" a="1"/>
  <c r="O1861" i="31"/>
  <c r="P1861" i="31" a="1"/>
  <c r="P1861" i="31"/>
  <c r="O1862" i="31" a="1"/>
  <c r="O1862" i="31"/>
  <c r="P1862" i="31" a="1"/>
  <c r="P1862" i="31"/>
  <c r="O1863" i="31" a="1"/>
  <c r="O1863" i="31"/>
  <c r="P1863" i="31" a="1"/>
  <c r="P1863" i="31"/>
  <c r="O1864" i="31" a="1"/>
  <c r="O1864" i="31"/>
  <c r="P1864" i="31" a="1"/>
  <c r="P1864" i="31"/>
  <c r="O1865" i="31" a="1"/>
  <c r="O1865" i="31"/>
  <c r="P1865" i="31" a="1"/>
  <c r="P1865" i="31"/>
  <c r="O1866" i="31" a="1"/>
  <c r="O1866" i="31"/>
  <c r="P1866" i="31" a="1"/>
  <c r="P1866" i="31"/>
  <c r="O1867" i="31" a="1"/>
  <c r="O1867" i="31"/>
  <c r="P1867" i="31" a="1"/>
  <c r="P1867" i="31"/>
  <c r="O1868" i="31" a="1"/>
  <c r="O1868" i="31"/>
  <c r="P1868" i="31" a="1"/>
  <c r="P1868" i="31"/>
  <c r="O1869" i="31" a="1"/>
  <c r="O1869" i="31"/>
  <c r="P1869" i="31" a="1"/>
  <c r="P1869" i="31"/>
  <c r="O1870" i="31" a="1"/>
  <c r="O1870" i="31"/>
  <c r="P1870" i="31" a="1"/>
  <c r="P1870" i="31"/>
  <c r="O1871" i="31" a="1"/>
  <c r="O1871" i="31"/>
  <c r="P1871" i="31" a="1"/>
  <c r="P1871" i="31"/>
  <c r="O1872" i="31" a="1"/>
  <c r="O1872" i="31"/>
  <c r="P1872" i="31" a="1"/>
  <c r="P1872" i="31"/>
  <c r="O1873" i="31" a="1"/>
  <c r="O1873" i="31"/>
  <c r="P1873" i="31" a="1"/>
  <c r="P1873" i="31"/>
  <c r="O1874" i="31" a="1"/>
  <c r="O1874" i="31"/>
  <c r="P1874" i="31" a="1"/>
  <c r="P1874" i="31"/>
  <c r="O1875" i="31" a="1"/>
  <c r="O1875" i="31"/>
  <c r="P1875" i="31" a="1"/>
  <c r="P1875" i="31"/>
  <c r="O1876" i="31" a="1"/>
  <c r="O1876" i="31"/>
  <c r="P1876" i="31" a="1"/>
  <c r="P1876" i="31"/>
  <c r="O1877" i="31" a="1"/>
  <c r="O1877" i="31"/>
  <c r="P1877" i="31" a="1"/>
  <c r="P1877" i="31"/>
  <c r="O1878" i="31" a="1"/>
  <c r="O1878" i="31"/>
  <c r="P1878" i="31" a="1"/>
  <c r="P1878" i="31"/>
  <c r="O1879" i="31" a="1"/>
  <c r="O1879" i="31"/>
  <c r="P1879" i="31" a="1"/>
  <c r="P1879" i="31"/>
  <c r="O1880" i="31" a="1"/>
  <c r="O1880" i="31"/>
  <c r="P1880" i="31" a="1"/>
  <c r="P1880" i="31"/>
  <c r="O1881" i="31" a="1"/>
  <c r="O1881" i="31"/>
  <c r="P1881" i="31" a="1"/>
  <c r="P1881" i="31"/>
  <c r="O1882" i="31" a="1"/>
  <c r="O1882" i="31"/>
  <c r="P1882" i="31" a="1"/>
  <c r="P1882" i="31"/>
  <c r="O1883" i="31" a="1"/>
  <c r="O1883" i="31"/>
  <c r="P1883" i="31" a="1"/>
  <c r="P1883" i="31"/>
  <c r="O1884" i="31" a="1"/>
  <c r="O1884" i="31"/>
  <c r="P1884" i="31" a="1"/>
  <c r="P1884" i="31"/>
  <c r="O1885" i="31" a="1"/>
  <c r="O1885" i="31"/>
  <c r="P1885" i="31" a="1"/>
  <c r="P1885" i="31"/>
  <c r="O1886" i="31" a="1"/>
  <c r="O1886" i="31"/>
  <c r="P1886" i="31" a="1"/>
  <c r="P1886" i="31"/>
  <c r="O1887" i="31" a="1"/>
  <c r="O1887" i="31"/>
  <c r="P1887" i="31" a="1"/>
  <c r="P1887" i="31"/>
  <c r="O1888" i="31" a="1"/>
  <c r="O1888" i="31"/>
  <c r="P1888" i="31" a="1"/>
  <c r="P1888" i="31"/>
  <c r="O1889" i="31" a="1"/>
  <c r="O1889" i="31"/>
  <c r="P1889" i="31" a="1"/>
  <c r="P1889" i="31"/>
  <c r="O1890" i="31" a="1"/>
  <c r="O1890" i="31"/>
  <c r="P1890" i="31" a="1"/>
  <c r="P1890" i="31"/>
  <c r="O1891" i="31" a="1"/>
  <c r="O1891" i="31"/>
  <c r="P1891" i="31" a="1"/>
  <c r="P1891" i="31"/>
  <c r="O1892" i="31" a="1"/>
  <c r="O1892" i="31"/>
  <c r="P1892" i="31" a="1"/>
  <c r="P1892" i="31"/>
  <c r="O1893" i="31" a="1"/>
  <c r="O1893" i="31"/>
  <c r="P1893" i="31" a="1"/>
  <c r="P1893" i="31"/>
  <c r="O1894" i="31" a="1"/>
  <c r="O1894" i="31"/>
  <c r="P1894" i="31" a="1"/>
  <c r="P1894" i="31"/>
  <c r="O1895" i="31" a="1"/>
  <c r="O1895" i="31"/>
  <c r="P1895" i="31" a="1"/>
  <c r="P1895" i="31"/>
  <c r="O1896" i="31" a="1"/>
  <c r="O1896" i="31"/>
  <c r="P1896" i="31" a="1"/>
  <c r="P1896" i="31"/>
  <c r="O1897" i="31" a="1"/>
  <c r="O1897" i="31"/>
  <c r="P1897" i="31" a="1"/>
  <c r="P1897" i="31"/>
  <c r="O1898" i="31" a="1"/>
  <c r="O1898" i="31"/>
  <c r="P1898" i="31" a="1"/>
  <c r="P1898" i="31"/>
  <c r="O1899" i="31" a="1"/>
  <c r="O1899" i="31"/>
  <c r="P1899" i="31" a="1"/>
  <c r="P1899" i="31"/>
  <c r="O1900" i="31" a="1"/>
  <c r="O1900" i="31"/>
  <c r="P1900" i="31" a="1"/>
  <c r="P1900" i="31"/>
  <c r="O1901" i="31" a="1"/>
  <c r="O1901" i="31"/>
  <c r="P1901" i="31" a="1"/>
  <c r="P1901" i="31"/>
  <c r="O1902" i="31" a="1"/>
  <c r="O1902" i="31"/>
  <c r="P1902" i="31" a="1"/>
  <c r="P1902" i="31"/>
  <c r="O1903" i="31" a="1"/>
  <c r="O1903" i="31"/>
  <c r="P1903" i="31" a="1"/>
  <c r="P1903" i="31"/>
  <c r="O1904" i="31" a="1"/>
  <c r="O1904" i="31"/>
  <c r="P1904" i="31" a="1"/>
  <c r="P1904" i="31"/>
  <c r="O1905" i="31" a="1"/>
  <c r="O1905" i="31"/>
  <c r="P1905" i="31" a="1"/>
  <c r="P1905" i="31"/>
  <c r="O1906" i="31" a="1"/>
  <c r="O1906" i="31"/>
  <c r="P1906" i="31" a="1"/>
  <c r="P1906" i="31"/>
  <c r="O1907" i="31" a="1"/>
  <c r="O1907" i="31"/>
  <c r="P1907" i="31" a="1"/>
  <c r="P1907" i="31"/>
  <c r="O1908" i="31" a="1"/>
  <c r="O1908" i="31"/>
  <c r="P1908" i="31" a="1"/>
  <c r="P1908" i="31"/>
  <c r="O1909" i="31" a="1"/>
  <c r="O1909" i="31"/>
  <c r="P1909" i="31" a="1"/>
  <c r="P1909" i="31"/>
  <c r="O1910" i="31" a="1"/>
  <c r="O1910" i="31"/>
  <c r="P1910" i="31" a="1"/>
  <c r="P1910" i="31"/>
  <c r="O1911" i="31" a="1"/>
  <c r="O1911" i="31"/>
  <c r="P1911" i="31" a="1"/>
  <c r="P1911" i="31"/>
  <c r="O1912" i="31" a="1"/>
  <c r="O1912" i="31"/>
  <c r="P1912" i="31" a="1"/>
  <c r="P1912" i="31"/>
  <c r="O1913" i="31" a="1"/>
  <c r="O1913" i="31"/>
  <c r="P1913" i="31" a="1"/>
  <c r="P1913" i="31"/>
  <c r="O1914" i="31" a="1"/>
  <c r="O1914" i="31"/>
  <c r="P1914" i="31" a="1"/>
  <c r="P1914" i="31"/>
  <c r="O1915" i="31" a="1"/>
  <c r="O1915" i="31"/>
  <c r="P1915" i="31" a="1"/>
  <c r="P1915" i="31"/>
  <c r="O1916" i="31" a="1"/>
  <c r="O1916" i="31"/>
  <c r="P1916" i="31" a="1"/>
  <c r="P1916" i="31"/>
  <c r="O1917" i="31" a="1"/>
  <c r="O1917" i="31"/>
  <c r="P1917" i="31" a="1"/>
  <c r="P1917" i="31"/>
  <c r="O1918" i="31" a="1"/>
  <c r="O1918" i="31"/>
  <c r="P1918" i="31" a="1"/>
  <c r="P1918" i="31"/>
  <c r="O1919" i="31" a="1"/>
  <c r="O1919" i="31"/>
  <c r="P1919" i="31" a="1"/>
  <c r="P1919" i="31"/>
  <c r="O1920" i="31" a="1"/>
  <c r="O1920" i="31"/>
  <c r="P1920" i="31" a="1"/>
  <c r="P1920" i="31"/>
  <c r="O1921" i="31" a="1"/>
  <c r="O1921" i="31"/>
  <c r="P1921" i="31" a="1"/>
  <c r="P1921" i="31"/>
  <c r="O1922" i="31" a="1"/>
  <c r="O1922" i="31"/>
  <c r="P1922" i="31" a="1"/>
  <c r="P1922" i="31"/>
  <c r="O1923" i="31" a="1"/>
  <c r="O1923" i="31"/>
  <c r="P1923" i="31" a="1"/>
  <c r="P1923" i="31"/>
  <c r="O1924" i="31" a="1"/>
  <c r="O1924" i="31"/>
  <c r="P1924" i="31" a="1"/>
  <c r="P1924" i="31"/>
  <c r="O1925" i="31" a="1"/>
  <c r="O1925" i="31"/>
  <c r="P1925" i="31" a="1"/>
  <c r="P1925" i="31"/>
  <c r="O1926" i="31" a="1"/>
  <c r="O1926" i="31"/>
  <c r="P1926" i="31" a="1"/>
  <c r="P1926" i="31"/>
  <c r="O1927" i="31" a="1"/>
  <c r="O1927" i="31"/>
  <c r="P1927" i="31" a="1"/>
  <c r="P1927" i="31"/>
  <c r="O1928" i="31" a="1"/>
  <c r="O1928" i="31"/>
  <c r="P1928" i="31" a="1"/>
  <c r="P1928" i="31"/>
  <c r="O1929" i="31" a="1"/>
  <c r="O1929" i="31"/>
  <c r="P1929" i="31" a="1"/>
  <c r="P1929" i="31"/>
  <c r="O1930" i="31" a="1"/>
  <c r="O1930" i="31"/>
  <c r="P1930" i="31" a="1"/>
  <c r="P1930" i="31"/>
  <c r="O1931" i="31" a="1"/>
  <c r="O1931" i="31"/>
  <c r="P1931" i="31" a="1"/>
  <c r="P1931" i="31"/>
  <c r="O1932" i="31" a="1"/>
  <c r="O1932" i="31"/>
  <c r="P1932" i="31" a="1"/>
  <c r="P1932" i="31"/>
  <c r="O1933" i="31" a="1"/>
  <c r="O1933" i="31"/>
  <c r="P1933" i="31" a="1"/>
  <c r="P1933" i="31"/>
  <c r="O1934" i="31" a="1"/>
  <c r="O1934" i="31"/>
  <c r="P1934" i="31" a="1"/>
  <c r="P1934" i="31"/>
  <c r="O1935" i="31" a="1"/>
  <c r="O1935" i="31"/>
  <c r="P1935" i="31" a="1"/>
  <c r="P1935" i="31"/>
  <c r="O1936" i="31" a="1"/>
  <c r="O1936" i="31"/>
  <c r="P1936" i="31" a="1"/>
  <c r="P1936" i="31"/>
  <c r="O1937" i="31" a="1"/>
  <c r="O1937" i="31"/>
  <c r="P1937" i="31" a="1"/>
  <c r="P1937" i="31"/>
  <c r="O1938" i="31" a="1"/>
  <c r="O1938" i="31"/>
  <c r="P1938" i="31" a="1"/>
  <c r="P1938" i="31"/>
  <c r="O1939" i="31" a="1"/>
  <c r="O1939" i="31"/>
  <c r="P1939" i="31" a="1"/>
  <c r="P1939" i="31"/>
  <c r="O1940" i="31" a="1"/>
  <c r="O1940" i="31"/>
  <c r="P1940" i="31" a="1"/>
  <c r="P1940" i="31"/>
  <c r="O1941" i="31" a="1"/>
  <c r="O1941" i="31"/>
  <c r="P1941" i="31" a="1"/>
  <c r="P1941" i="31"/>
  <c r="O1942" i="31" a="1"/>
  <c r="O1942" i="31"/>
  <c r="P1942" i="31" a="1"/>
  <c r="P1942" i="31"/>
  <c r="O1943" i="31" a="1"/>
  <c r="O1943" i="31"/>
  <c r="P1943" i="31" a="1"/>
  <c r="P1943" i="31"/>
  <c r="O1944" i="31" a="1"/>
  <c r="O1944" i="31"/>
  <c r="P1944" i="31" a="1"/>
  <c r="P1944" i="31"/>
  <c r="O1945" i="31" a="1"/>
  <c r="O1945" i="31"/>
  <c r="P1945" i="31" a="1"/>
  <c r="P1945" i="31"/>
  <c r="O1946" i="31" a="1"/>
  <c r="O1946" i="31"/>
  <c r="P1946" i="31" a="1"/>
  <c r="P1946" i="31"/>
  <c r="O1947" i="31" a="1"/>
  <c r="O1947" i="31"/>
  <c r="P1947" i="31" a="1"/>
  <c r="P1947" i="31"/>
  <c r="O1948" i="31" a="1"/>
  <c r="O1948" i="31"/>
  <c r="P1948" i="31" a="1"/>
  <c r="P1948" i="31"/>
  <c r="O1949" i="31" a="1"/>
  <c r="O1949" i="31"/>
  <c r="P1949" i="31" a="1"/>
  <c r="P1949" i="31"/>
  <c r="O1950" i="31" a="1"/>
  <c r="O1950" i="31"/>
  <c r="P1950" i="31" a="1"/>
  <c r="P1950" i="31"/>
  <c r="O1951" i="31" a="1"/>
  <c r="O1951" i="31"/>
  <c r="P1951" i="31" a="1"/>
  <c r="P1951" i="31"/>
  <c r="O1952" i="31" a="1"/>
  <c r="O1952" i="31"/>
  <c r="P1952" i="31" a="1"/>
  <c r="P1952" i="31"/>
  <c r="O1953" i="31" a="1"/>
  <c r="O1953" i="31"/>
  <c r="P1953" i="31" a="1"/>
  <c r="P1953" i="31"/>
  <c r="O1954" i="31" a="1"/>
  <c r="O1954" i="31"/>
  <c r="P1954" i="31" a="1"/>
  <c r="P1954" i="31"/>
  <c r="O1955" i="31" a="1"/>
  <c r="O1955" i="31"/>
  <c r="P1955" i="31" a="1"/>
  <c r="P1955" i="31"/>
  <c r="O1956" i="31" a="1"/>
  <c r="O1956" i="31"/>
  <c r="P1956" i="31" a="1"/>
  <c r="P1956" i="31"/>
  <c r="O1957" i="31" a="1"/>
  <c r="O1957" i="31"/>
  <c r="P1957" i="31" a="1"/>
  <c r="P1957" i="31"/>
  <c r="O1958" i="31" a="1"/>
  <c r="O1958" i="31"/>
  <c r="P1958" i="31" a="1"/>
  <c r="P1958" i="31"/>
  <c r="O1959" i="31" a="1"/>
  <c r="O1959" i="31"/>
  <c r="P1959" i="31" a="1"/>
  <c r="P1959" i="31"/>
  <c r="O1960" i="31" a="1"/>
  <c r="O1960" i="31"/>
  <c r="P1960" i="31" a="1"/>
  <c r="P1960" i="31"/>
  <c r="O1961" i="31" a="1"/>
  <c r="O1961" i="31"/>
  <c r="P1961" i="31" a="1"/>
  <c r="P1961" i="31"/>
  <c r="O1962" i="31" a="1"/>
  <c r="O1962" i="31"/>
  <c r="P1962" i="31" a="1"/>
  <c r="P1962" i="31"/>
  <c r="O1963" i="31" a="1"/>
  <c r="O1963" i="31"/>
  <c r="P1963" i="31" a="1"/>
  <c r="P1963" i="31"/>
  <c r="O1964" i="31" a="1"/>
  <c r="O1964" i="31"/>
  <c r="P1964" i="31" a="1"/>
  <c r="P1964" i="31"/>
  <c r="O1965" i="31" a="1"/>
  <c r="O1965" i="31"/>
  <c r="P1965" i="31" a="1"/>
  <c r="P1965" i="31"/>
  <c r="O1966" i="31" a="1"/>
  <c r="O1966" i="31"/>
  <c r="P1966" i="31" a="1"/>
  <c r="P1966" i="31"/>
  <c r="O1967" i="31" a="1"/>
  <c r="O1967" i="31"/>
  <c r="P1967" i="31" a="1"/>
  <c r="P1967" i="31"/>
  <c r="O1968" i="31" a="1"/>
  <c r="O1968" i="31"/>
  <c r="P1968" i="31" a="1"/>
  <c r="P1968" i="31"/>
  <c r="O1969" i="31" a="1"/>
  <c r="O1969" i="31"/>
  <c r="P1969" i="31" a="1"/>
  <c r="P1969" i="31"/>
  <c r="O1970" i="31" a="1"/>
  <c r="O1970" i="31"/>
  <c r="P1970" i="31" a="1"/>
  <c r="P1970" i="31"/>
  <c r="O1971" i="31" a="1"/>
  <c r="O1971" i="31"/>
  <c r="P1971" i="31" a="1"/>
  <c r="P1971" i="31"/>
  <c r="O1972" i="31" a="1"/>
  <c r="O1972" i="31"/>
  <c r="P1972" i="31" a="1"/>
  <c r="P1972" i="31"/>
  <c r="O1973" i="31" a="1"/>
  <c r="O1973" i="31"/>
  <c r="P1973" i="31" a="1"/>
  <c r="P1973" i="31"/>
  <c r="O1974" i="31" a="1"/>
  <c r="O1974" i="31"/>
  <c r="P1974" i="31" a="1"/>
  <c r="P1974" i="31"/>
  <c r="O1975" i="31" a="1"/>
  <c r="O1975" i="31"/>
  <c r="P1975" i="31" a="1"/>
  <c r="P1975" i="31"/>
  <c r="O1976" i="31" a="1"/>
  <c r="O1976" i="31"/>
  <c r="P1976" i="31" a="1"/>
  <c r="P1976" i="31"/>
  <c r="O1977" i="31" a="1"/>
  <c r="O1977" i="31"/>
  <c r="P1977" i="31" a="1"/>
  <c r="P1977" i="31"/>
  <c r="O1978" i="31" a="1"/>
  <c r="O1978" i="31"/>
  <c r="P1978" i="31" a="1"/>
  <c r="P1978" i="31"/>
  <c r="O1979" i="31" a="1"/>
  <c r="O1979" i="31"/>
  <c r="P1979" i="31" a="1"/>
  <c r="P1979" i="31"/>
  <c r="O1980" i="31" a="1"/>
  <c r="O1980" i="31"/>
  <c r="P1980" i="31" a="1"/>
  <c r="P1980" i="31"/>
  <c r="O1981" i="31" a="1"/>
  <c r="O1981" i="31"/>
  <c r="P1981" i="31" a="1"/>
  <c r="P1981" i="31"/>
  <c r="O1982" i="31" a="1"/>
  <c r="O1982" i="31"/>
  <c r="P1982" i="31" a="1"/>
  <c r="P1982" i="31"/>
  <c r="O1983" i="31" a="1"/>
  <c r="O1983" i="31"/>
  <c r="P1983" i="31" a="1"/>
  <c r="P1983" i="31"/>
  <c r="O1984" i="31" a="1"/>
  <c r="O1984" i="31"/>
  <c r="P1984" i="31" a="1"/>
  <c r="P1984" i="31"/>
  <c r="O1985" i="31" a="1"/>
  <c r="O1985" i="31"/>
  <c r="P1985" i="31" a="1"/>
  <c r="P1985" i="31"/>
  <c r="O1986" i="31" a="1"/>
  <c r="O1986" i="31"/>
  <c r="P1986" i="31" a="1"/>
  <c r="P1986" i="31"/>
  <c r="O1987" i="31" a="1"/>
  <c r="O1987" i="31"/>
  <c r="P1987" i="31" a="1"/>
  <c r="P1987" i="31"/>
  <c r="O1988" i="31" a="1"/>
  <c r="O1988" i="31"/>
  <c r="P1988" i="31" a="1"/>
  <c r="P1988" i="31"/>
  <c r="O1989" i="31" a="1"/>
  <c r="O1989" i="31"/>
  <c r="P1989" i="31" a="1"/>
  <c r="P1989" i="31"/>
  <c r="O1990" i="31" a="1"/>
  <c r="O1990" i="31"/>
  <c r="P1990" i="31" a="1"/>
  <c r="P1990" i="31"/>
  <c r="O1991" i="31" a="1"/>
  <c r="O1991" i="31"/>
  <c r="P1991" i="31" a="1"/>
  <c r="P1991" i="31"/>
  <c r="O1992" i="31" a="1"/>
  <c r="O1992" i="31"/>
  <c r="P1992" i="31" a="1"/>
  <c r="P1992" i="31"/>
  <c r="O1993" i="31" a="1"/>
  <c r="O1993" i="31"/>
  <c r="P1993" i="31" a="1"/>
  <c r="P1993" i="31"/>
  <c r="O1994" i="31" a="1"/>
  <c r="O1994" i="31"/>
  <c r="P1994" i="31" a="1"/>
  <c r="P1994" i="31"/>
  <c r="O1995" i="31" a="1"/>
  <c r="O1995" i="31"/>
  <c r="P1995" i="31" a="1"/>
  <c r="P1995" i="31"/>
  <c r="O1996" i="31" a="1"/>
  <c r="O1996" i="31"/>
  <c r="P1996" i="31" a="1"/>
  <c r="P1996" i="31"/>
  <c r="O1997" i="31" a="1"/>
  <c r="O1997" i="31"/>
  <c r="P1997" i="31" a="1"/>
  <c r="P1997" i="31"/>
  <c r="O1998" i="31" a="1"/>
  <c r="O1998" i="31"/>
  <c r="P1998" i="31" a="1"/>
  <c r="P1998" i="31"/>
  <c r="O1999" i="31" a="1"/>
  <c r="O1999" i="31"/>
  <c r="P1999" i="31" a="1"/>
  <c r="P1999" i="31"/>
  <c r="O2000" i="31" a="1"/>
  <c r="O2000" i="31"/>
  <c r="P2000" i="31" a="1"/>
  <c r="P2000" i="31"/>
  <c r="O2001" i="31" a="1"/>
  <c r="O2001" i="31"/>
  <c r="P2001" i="31" a="1"/>
  <c r="P2001" i="31"/>
  <c r="J7" i="17" a="1"/>
  <c r="J7" i="17"/>
  <c r="K7" i="17" a="1"/>
  <c r="K7" i="17"/>
  <c r="J8" i="17" a="1"/>
  <c r="J8" i="17"/>
  <c r="K8" i="17" a="1"/>
  <c r="K8" i="17"/>
  <c r="J9" i="17" a="1"/>
  <c r="J9" i="17"/>
  <c r="K9" i="17" a="1"/>
  <c r="K9" i="17"/>
  <c r="J10" i="17" a="1"/>
  <c r="J10" i="17"/>
  <c r="K10" i="17" a="1"/>
  <c r="K10" i="17"/>
  <c r="J11" i="17" a="1"/>
  <c r="J11" i="17"/>
  <c r="K11" i="17" a="1"/>
  <c r="K11" i="17"/>
  <c r="J12" i="17" a="1"/>
  <c r="J12" i="17"/>
  <c r="K12" i="17" a="1"/>
  <c r="K12" i="17"/>
  <c r="J13" i="17" a="1"/>
  <c r="J13" i="17"/>
  <c r="K13" i="17" a="1"/>
  <c r="K13" i="17"/>
  <c r="J14" i="17" a="1"/>
  <c r="J14" i="17"/>
  <c r="K14" i="17" a="1"/>
  <c r="K14" i="17"/>
  <c r="J15" i="17" a="1"/>
  <c r="J15" i="17"/>
  <c r="K15" i="17" a="1"/>
  <c r="K15" i="17"/>
  <c r="J16" i="17" a="1"/>
  <c r="J16" i="17"/>
  <c r="K16" i="17" a="1"/>
  <c r="K16" i="17"/>
  <c r="J17" i="17" a="1"/>
  <c r="J17" i="17"/>
  <c r="K17" i="17" a="1"/>
  <c r="K17" i="17"/>
  <c r="J18" i="17" a="1"/>
  <c r="J18" i="17"/>
  <c r="K18" i="17" a="1"/>
  <c r="K18" i="17"/>
  <c r="J19" i="17" a="1"/>
  <c r="J19" i="17"/>
  <c r="K19" i="17" a="1"/>
  <c r="K19" i="17"/>
  <c r="J20" i="17" a="1"/>
  <c r="J20" i="17"/>
  <c r="K20" i="17" a="1"/>
  <c r="K20" i="17"/>
  <c r="J21" i="17" a="1"/>
  <c r="J21" i="17"/>
  <c r="K21" i="17" a="1"/>
  <c r="K21" i="17"/>
  <c r="J22" i="17" a="1"/>
  <c r="J22" i="17"/>
  <c r="K22" i="17" a="1"/>
  <c r="K22" i="17"/>
  <c r="J23" i="17" a="1"/>
  <c r="J23" i="17"/>
  <c r="K23" i="17" a="1"/>
  <c r="K23" i="17"/>
  <c r="J24" i="17" a="1"/>
  <c r="J24" i="17"/>
  <c r="K24" i="17" a="1"/>
  <c r="K24" i="17"/>
  <c r="J25" i="17" a="1"/>
  <c r="J25" i="17"/>
  <c r="K25" i="17" a="1"/>
  <c r="K25" i="17"/>
  <c r="J26" i="17" a="1"/>
  <c r="J26" i="17"/>
  <c r="K26" i="17" a="1"/>
  <c r="K26" i="17"/>
  <c r="J27" i="17" a="1"/>
  <c r="J27" i="17"/>
  <c r="K27" i="17" a="1"/>
  <c r="K27" i="17"/>
  <c r="J28" i="17" a="1"/>
  <c r="J28" i="17"/>
  <c r="K28" i="17" a="1"/>
  <c r="K28" i="17"/>
  <c r="J29" i="17" a="1"/>
  <c r="J29" i="17"/>
  <c r="K29" i="17" a="1"/>
  <c r="K29" i="17"/>
  <c r="J30" i="17" a="1"/>
  <c r="J30" i="17"/>
  <c r="K30" i="17" a="1"/>
  <c r="K30" i="17"/>
  <c r="J31" i="17" a="1"/>
  <c r="J31" i="17"/>
  <c r="K31" i="17" a="1"/>
  <c r="K31" i="17"/>
  <c r="J32" i="17" a="1"/>
  <c r="J32" i="17"/>
  <c r="K32" i="17" a="1"/>
  <c r="K32" i="17"/>
  <c r="J33" i="17" a="1"/>
  <c r="J33" i="17"/>
  <c r="K33" i="17" a="1"/>
  <c r="K33" i="17"/>
  <c r="J34" i="17" a="1"/>
  <c r="J34" i="17"/>
  <c r="K34" i="17" a="1"/>
  <c r="K34" i="17"/>
  <c r="J35" i="17" a="1"/>
  <c r="J35" i="17"/>
  <c r="K35" i="17" a="1"/>
  <c r="K35" i="17"/>
  <c r="J36" i="17" a="1"/>
  <c r="J36" i="17"/>
  <c r="K36" i="17" a="1"/>
  <c r="K36" i="17"/>
  <c r="J37" i="17" a="1"/>
  <c r="J37" i="17"/>
  <c r="K37" i="17" a="1"/>
  <c r="K37" i="17"/>
  <c r="J38" i="17" a="1"/>
  <c r="J38" i="17"/>
  <c r="K38" i="17" a="1"/>
  <c r="K38" i="17"/>
  <c r="J39" i="17" a="1"/>
  <c r="J39" i="17"/>
  <c r="K39" i="17" a="1"/>
  <c r="K39" i="17"/>
  <c r="J40" i="17" a="1"/>
  <c r="J40" i="17"/>
  <c r="K40" i="17" a="1"/>
  <c r="K40" i="17"/>
  <c r="J41" i="17" a="1"/>
  <c r="J41" i="17"/>
  <c r="K41" i="17" a="1"/>
  <c r="K41" i="17"/>
  <c r="J42" i="17" a="1"/>
  <c r="J42" i="17"/>
  <c r="K42" i="17" a="1"/>
  <c r="K42" i="17"/>
  <c r="J43" i="17" a="1"/>
  <c r="J43" i="17"/>
  <c r="K43" i="17" a="1"/>
  <c r="K43" i="17"/>
  <c r="J44" i="17" a="1"/>
  <c r="J44" i="17"/>
  <c r="K44" i="17" a="1"/>
  <c r="K44" i="17"/>
  <c r="J45" i="17" a="1"/>
  <c r="J45" i="17"/>
  <c r="K45" i="17" a="1"/>
  <c r="K45" i="17"/>
  <c r="J46" i="17" a="1"/>
  <c r="J46" i="17"/>
  <c r="K46" i="17" a="1"/>
  <c r="K46" i="17"/>
  <c r="J47" i="17" a="1"/>
  <c r="J47" i="17"/>
  <c r="K47" i="17" a="1"/>
  <c r="K47" i="17"/>
  <c r="J48" i="17" a="1"/>
  <c r="J48" i="17"/>
  <c r="K48" i="17" a="1"/>
  <c r="K48" i="17"/>
  <c r="J49" i="17" a="1"/>
  <c r="J49" i="17"/>
  <c r="K49" i="17" a="1"/>
  <c r="K49" i="17"/>
  <c r="J50" i="17" a="1"/>
  <c r="J50" i="17"/>
  <c r="K50" i="17" a="1"/>
  <c r="K50" i="17"/>
  <c r="J51" i="17" a="1"/>
  <c r="J51" i="17"/>
  <c r="K51" i="17" a="1"/>
  <c r="K51" i="17"/>
  <c r="J52" i="17" a="1"/>
  <c r="J52" i="17"/>
  <c r="K52" i="17" a="1"/>
  <c r="K52" i="17"/>
  <c r="J53" i="17" a="1"/>
  <c r="J53" i="17"/>
  <c r="K53" i="17" a="1"/>
  <c r="K53" i="17"/>
  <c r="J54" i="17" a="1"/>
  <c r="J54" i="17"/>
  <c r="K54" i="17" a="1"/>
  <c r="K54" i="17"/>
  <c r="J55" i="17" a="1"/>
  <c r="J55" i="17"/>
  <c r="K55" i="17" a="1"/>
  <c r="K55" i="17"/>
  <c r="J56" i="17" a="1"/>
  <c r="J56" i="17"/>
  <c r="K56" i="17" a="1"/>
  <c r="K56" i="17"/>
  <c r="J57" i="17" a="1"/>
  <c r="J57" i="17"/>
  <c r="K57" i="17" a="1"/>
  <c r="K57" i="17"/>
  <c r="J58" i="17" a="1"/>
  <c r="J58" i="17"/>
  <c r="K58" i="17" a="1"/>
  <c r="K58" i="17"/>
  <c r="J59" i="17" a="1"/>
  <c r="J59" i="17"/>
  <c r="K59" i="17" a="1"/>
  <c r="K59" i="17"/>
  <c r="J60" i="17" a="1"/>
  <c r="J60" i="17"/>
  <c r="K60" i="17" a="1"/>
  <c r="K60" i="17"/>
  <c r="J61" i="17" a="1"/>
  <c r="J61" i="17"/>
  <c r="K61" i="17" a="1"/>
  <c r="K61" i="17"/>
  <c r="J62" i="17" a="1"/>
  <c r="J62" i="17"/>
  <c r="K62" i="17" a="1"/>
  <c r="K62" i="17"/>
  <c r="J63" i="17" a="1"/>
  <c r="J63" i="17"/>
  <c r="K63" i="17" a="1"/>
  <c r="K63" i="17"/>
  <c r="J64" i="17" a="1"/>
  <c r="J64" i="17"/>
  <c r="K64" i="17" a="1"/>
  <c r="K64" i="17"/>
  <c r="J65" i="17" a="1"/>
  <c r="J65" i="17"/>
  <c r="K65" i="17" a="1"/>
  <c r="K65" i="17"/>
  <c r="J66" i="17" a="1"/>
  <c r="J66" i="17"/>
  <c r="K66" i="17" a="1"/>
  <c r="K66" i="17"/>
  <c r="J67" i="17" a="1"/>
  <c r="J67" i="17"/>
  <c r="K67" i="17" a="1"/>
  <c r="K67" i="17"/>
  <c r="J68" i="17" a="1"/>
  <c r="J68" i="17"/>
  <c r="K68" i="17" a="1"/>
  <c r="K68" i="17"/>
  <c r="J69" i="17" a="1"/>
  <c r="J69" i="17"/>
  <c r="K69" i="17" a="1"/>
  <c r="K69" i="17"/>
  <c r="J70" i="17" a="1"/>
  <c r="J70" i="17"/>
  <c r="K70" i="17" a="1"/>
  <c r="K70" i="17"/>
  <c r="J71" i="17" a="1"/>
  <c r="J71" i="17"/>
  <c r="K71" i="17" a="1"/>
  <c r="K71" i="17"/>
  <c r="J72" i="17" a="1"/>
  <c r="J72" i="17"/>
  <c r="K72" i="17" a="1"/>
  <c r="K72" i="17"/>
  <c r="J73" i="17" a="1"/>
  <c r="J73" i="17"/>
  <c r="K73" i="17" a="1"/>
  <c r="K73" i="17"/>
  <c r="J74" i="17" a="1"/>
  <c r="J74" i="17"/>
  <c r="K74" i="17" a="1"/>
  <c r="K74" i="17"/>
  <c r="J75" i="17" a="1"/>
  <c r="J75" i="17"/>
  <c r="K75" i="17" a="1"/>
  <c r="K75" i="17"/>
  <c r="J76" i="17" a="1"/>
  <c r="J76" i="17"/>
  <c r="K76" i="17" a="1"/>
  <c r="K76" i="17"/>
  <c r="J77" i="17" a="1"/>
  <c r="J77" i="17"/>
  <c r="K77" i="17" a="1"/>
  <c r="K77" i="17"/>
  <c r="J78" i="17" a="1"/>
  <c r="J78" i="17"/>
  <c r="K78" i="17" a="1"/>
  <c r="K78" i="17"/>
  <c r="J79" i="17" a="1"/>
  <c r="J79" i="17"/>
  <c r="K79" i="17" a="1"/>
  <c r="K79" i="17"/>
  <c r="J80" i="17" a="1"/>
  <c r="J80" i="17"/>
  <c r="K80" i="17" a="1"/>
  <c r="K80" i="17"/>
  <c r="J81" i="17" a="1"/>
  <c r="J81" i="17"/>
  <c r="K81" i="17" a="1"/>
  <c r="K81" i="17"/>
  <c r="J82" i="17" a="1"/>
  <c r="J82" i="17"/>
  <c r="K82" i="17" a="1"/>
  <c r="K82" i="17"/>
  <c r="J83" i="17" a="1"/>
  <c r="J83" i="17"/>
  <c r="K83" i="17" a="1"/>
  <c r="K83" i="17"/>
  <c r="J84" i="17" a="1"/>
  <c r="J84" i="17"/>
  <c r="K84" i="17" a="1"/>
  <c r="K84" i="17"/>
  <c r="J85" i="17" a="1"/>
  <c r="J85" i="17"/>
  <c r="K85" i="17" a="1"/>
  <c r="K85" i="17"/>
  <c r="J86" i="17" a="1"/>
  <c r="J86" i="17"/>
  <c r="K86" i="17" a="1"/>
  <c r="K86" i="17"/>
  <c r="J87" i="17" a="1"/>
  <c r="J87" i="17"/>
  <c r="K87" i="17" a="1"/>
  <c r="K87" i="17"/>
  <c r="J88" i="17" a="1"/>
  <c r="J88" i="17"/>
  <c r="K88" i="17" a="1"/>
  <c r="K88" i="17"/>
  <c r="J89" i="17" a="1"/>
  <c r="J89" i="17"/>
  <c r="K89" i="17" a="1"/>
  <c r="K89" i="17"/>
  <c r="J90" i="17" a="1"/>
  <c r="J90" i="17"/>
  <c r="K90" i="17" a="1"/>
  <c r="K90" i="17"/>
  <c r="J91" i="17" a="1"/>
  <c r="J91" i="17"/>
  <c r="K91" i="17" a="1"/>
  <c r="K91" i="17"/>
  <c r="J92" i="17" a="1"/>
  <c r="J92" i="17"/>
  <c r="K92" i="17" a="1"/>
  <c r="K92" i="17"/>
  <c r="J93" i="17" a="1"/>
  <c r="J93" i="17"/>
  <c r="K93" i="17" a="1"/>
  <c r="K93" i="17"/>
  <c r="J94" i="17" a="1"/>
  <c r="J94" i="17"/>
  <c r="K94" i="17" a="1"/>
  <c r="K94" i="17"/>
  <c r="J95" i="17" a="1"/>
  <c r="J95" i="17"/>
  <c r="K95" i="17" a="1"/>
  <c r="K95" i="17"/>
  <c r="J96" i="17" a="1"/>
  <c r="J96" i="17"/>
  <c r="K96" i="17" a="1"/>
  <c r="K96" i="17"/>
  <c r="J97" i="17" a="1"/>
  <c r="J97" i="17"/>
  <c r="K97" i="17" a="1"/>
  <c r="K97" i="17"/>
  <c r="J98" i="17" a="1"/>
  <c r="J98" i="17"/>
  <c r="K98" i="17" a="1"/>
  <c r="K98" i="17"/>
  <c r="J99" i="17" a="1"/>
  <c r="J99" i="17"/>
  <c r="K99" i="17" a="1"/>
  <c r="K99" i="17"/>
  <c r="J100" i="17" a="1"/>
  <c r="J100" i="17"/>
  <c r="K100" i="17" a="1"/>
  <c r="K100" i="17"/>
  <c r="J101" i="17" a="1"/>
  <c r="J101" i="17"/>
  <c r="K101" i="17" a="1"/>
  <c r="K101" i="17"/>
  <c r="J102" i="17" a="1"/>
  <c r="J102" i="17"/>
  <c r="K102" i="17" a="1"/>
  <c r="K102" i="17"/>
  <c r="J103" i="17" a="1"/>
  <c r="J103" i="17"/>
  <c r="K103" i="17" a="1"/>
  <c r="K103" i="17"/>
  <c r="J104" i="17" a="1"/>
  <c r="J104" i="17"/>
  <c r="K104" i="17" a="1"/>
  <c r="K104" i="17"/>
  <c r="J105" i="17" a="1"/>
  <c r="J105" i="17"/>
  <c r="K105" i="17" a="1"/>
  <c r="K105" i="17"/>
  <c r="J106" i="17" a="1"/>
  <c r="J106" i="17"/>
  <c r="K106" i="17" a="1"/>
  <c r="K106" i="17"/>
  <c r="J107" i="17" a="1"/>
  <c r="J107" i="17"/>
  <c r="K107" i="17" a="1"/>
  <c r="K107" i="17"/>
  <c r="J108" i="17" a="1"/>
  <c r="J108" i="17"/>
  <c r="K108" i="17" a="1"/>
  <c r="K108" i="17"/>
  <c r="J109" i="17" a="1"/>
  <c r="J109" i="17"/>
  <c r="K109" i="17" a="1"/>
  <c r="K109" i="17"/>
  <c r="J110" i="17" a="1"/>
  <c r="J110" i="17"/>
  <c r="K110" i="17" a="1"/>
  <c r="K110" i="17"/>
  <c r="J111" i="17" a="1"/>
  <c r="J111" i="17"/>
  <c r="K111" i="17" a="1"/>
  <c r="K111" i="17"/>
  <c r="J112" i="17" a="1"/>
  <c r="J112" i="17"/>
  <c r="K112" i="17" a="1"/>
  <c r="K112" i="17"/>
  <c r="J113" i="17" a="1"/>
  <c r="J113" i="17"/>
  <c r="K113" i="17" a="1"/>
  <c r="K113" i="17"/>
  <c r="J114" i="17" a="1"/>
  <c r="J114" i="17"/>
  <c r="K114" i="17" a="1"/>
  <c r="K114" i="17"/>
  <c r="J115" i="17" a="1"/>
  <c r="J115" i="17"/>
  <c r="K115" i="17" a="1"/>
  <c r="K115" i="17"/>
  <c r="J116" i="17" a="1"/>
  <c r="J116" i="17"/>
  <c r="K116" i="17" a="1"/>
  <c r="K116" i="17"/>
  <c r="J117" i="17" a="1"/>
  <c r="J117" i="17"/>
  <c r="K117" i="17" a="1"/>
  <c r="K117" i="17"/>
  <c r="J118" i="17" a="1"/>
  <c r="J118" i="17"/>
  <c r="K118" i="17" a="1"/>
  <c r="K118" i="17"/>
  <c r="J119" i="17" a="1"/>
  <c r="J119" i="17"/>
  <c r="K119" i="17" a="1"/>
  <c r="K119" i="17"/>
  <c r="J120" i="17" a="1"/>
  <c r="J120" i="17"/>
  <c r="K120" i="17" a="1"/>
  <c r="K120" i="17"/>
  <c r="J121" i="17" a="1"/>
  <c r="J121" i="17"/>
  <c r="K121" i="17" a="1"/>
  <c r="K121" i="17"/>
  <c r="J122" i="17" a="1"/>
  <c r="J122" i="17"/>
  <c r="K122" i="17" a="1"/>
  <c r="K122" i="17"/>
  <c r="J123" i="17" a="1"/>
  <c r="J123" i="17"/>
  <c r="K123" i="17" a="1"/>
  <c r="K123" i="17"/>
  <c r="J124" i="17" a="1"/>
  <c r="J124" i="17"/>
  <c r="K124" i="17" a="1"/>
  <c r="K124" i="17"/>
  <c r="J125" i="17" a="1"/>
  <c r="J125" i="17"/>
  <c r="K125" i="17" a="1"/>
  <c r="K125" i="17"/>
  <c r="J126" i="17" a="1"/>
  <c r="J126" i="17"/>
  <c r="K126" i="17" a="1"/>
  <c r="K126" i="17"/>
  <c r="J127" i="17" a="1"/>
  <c r="J127" i="17"/>
  <c r="K127" i="17" a="1"/>
  <c r="K127" i="17"/>
  <c r="J128" i="17" a="1"/>
  <c r="J128" i="17"/>
  <c r="K128" i="17" a="1"/>
  <c r="K128" i="17"/>
  <c r="J129" i="17" a="1"/>
  <c r="J129" i="17"/>
  <c r="K129" i="17" a="1"/>
  <c r="K129" i="17"/>
  <c r="J130" i="17" a="1"/>
  <c r="J130" i="17"/>
  <c r="K130" i="17" a="1"/>
  <c r="K130" i="17"/>
  <c r="J131" i="17" a="1"/>
  <c r="J131" i="17"/>
  <c r="K131" i="17" a="1"/>
  <c r="K131" i="17"/>
  <c r="J132" i="17" a="1"/>
  <c r="J132" i="17"/>
  <c r="K132" i="17" a="1"/>
  <c r="K132" i="17"/>
  <c r="J133" i="17" a="1"/>
  <c r="J133" i="17"/>
  <c r="K133" i="17" a="1"/>
  <c r="K133" i="17"/>
  <c r="J134" i="17" a="1"/>
  <c r="J134" i="17"/>
  <c r="K134" i="17" a="1"/>
  <c r="K134" i="17"/>
  <c r="J135" i="17" a="1"/>
  <c r="J135" i="17"/>
  <c r="K135" i="17" a="1"/>
  <c r="K135" i="17"/>
  <c r="J136" i="17" a="1"/>
  <c r="J136" i="17"/>
  <c r="K136" i="17" a="1"/>
  <c r="K136" i="17"/>
  <c r="J137" i="17" a="1"/>
  <c r="J137" i="17"/>
  <c r="K137" i="17" a="1"/>
  <c r="K137" i="17"/>
  <c r="J138" i="17" a="1"/>
  <c r="J138" i="17"/>
  <c r="K138" i="17" a="1"/>
  <c r="K138" i="17"/>
  <c r="J139" i="17" a="1"/>
  <c r="J139" i="17"/>
  <c r="K139" i="17" a="1"/>
  <c r="K139" i="17"/>
  <c r="J140" i="17" a="1"/>
  <c r="J140" i="17"/>
  <c r="K140" i="17" a="1"/>
  <c r="K140" i="17"/>
  <c r="J141" i="17" a="1"/>
  <c r="J141" i="17"/>
  <c r="K141" i="17" a="1"/>
  <c r="K141" i="17"/>
  <c r="J142" i="17" a="1"/>
  <c r="J142" i="17"/>
  <c r="K142" i="17" a="1"/>
  <c r="K142" i="17"/>
  <c r="J143" i="17" a="1"/>
  <c r="J143" i="17"/>
  <c r="K143" i="17" a="1"/>
  <c r="K143" i="17"/>
  <c r="J144" i="17" a="1"/>
  <c r="J144" i="17"/>
  <c r="K144" i="17" a="1"/>
  <c r="K144" i="17"/>
  <c r="J145" i="17" a="1"/>
  <c r="J145" i="17"/>
  <c r="K145" i="17" a="1"/>
  <c r="K145" i="17"/>
  <c r="J146" i="17" a="1"/>
  <c r="J146" i="17"/>
  <c r="K146" i="17" a="1"/>
  <c r="K146" i="17"/>
  <c r="J147" i="17" a="1"/>
  <c r="J147" i="17"/>
  <c r="K147" i="17" a="1"/>
  <c r="K147" i="17"/>
  <c r="J148" i="17" a="1"/>
  <c r="J148" i="17"/>
  <c r="K148" i="17" a="1"/>
  <c r="K148" i="17"/>
  <c r="J149" i="17" a="1"/>
  <c r="J149" i="17"/>
  <c r="K149" i="17" a="1"/>
  <c r="K149" i="17"/>
  <c r="J150" i="17" a="1"/>
  <c r="J150" i="17"/>
  <c r="K150" i="17" a="1"/>
  <c r="K150" i="17"/>
  <c r="J151" i="17" a="1"/>
  <c r="J151" i="17"/>
  <c r="K151" i="17" a="1"/>
  <c r="K151" i="17"/>
  <c r="J152" i="17" a="1"/>
  <c r="J152" i="17"/>
  <c r="K152" i="17" a="1"/>
  <c r="K152" i="17"/>
  <c r="J153" i="17" a="1"/>
  <c r="J153" i="17"/>
  <c r="K153" i="17" a="1"/>
  <c r="K153" i="17"/>
  <c r="J154" i="17" a="1"/>
  <c r="J154" i="17"/>
  <c r="K154" i="17" a="1"/>
  <c r="K154" i="17"/>
  <c r="J155" i="17" a="1"/>
  <c r="J155" i="17"/>
  <c r="K155" i="17" a="1"/>
  <c r="K155" i="17"/>
  <c r="J156" i="17" a="1"/>
  <c r="J156" i="17"/>
  <c r="K156" i="17" a="1"/>
  <c r="K156" i="17"/>
  <c r="J157" i="17" a="1"/>
  <c r="J157" i="17"/>
  <c r="K157" i="17" a="1"/>
  <c r="K157" i="17"/>
  <c r="J158" i="17" a="1"/>
  <c r="J158" i="17"/>
  <c r="K158" i="17" a="1"/>
  <c r="K158" i="17"/>
  <c r="J159" i="17" a="1"/>
  <c r="J159" i="17"/>
  <c r="K159" i="17" a="1"/>
  <c r="K159" i="17"/>
  <c r="J160" i="17" a="1"/>
  <c r="J160" i="17"/>
  <c r="K160" i="17" a="1"/>
  <c r="K160" i="17"/>
  <c r="J161" i="17" a="1"/>
  <c r="J161" i="17"/>
  <c r="K161" i="17" a="1"/>
  <c r="K161" i="17"/>
  <c r="J162" i="17" a="1"/>
  <c r="J162" i="17"/>
  <c r="K162" i="17" a="1"/>
  <c r="K162" i="17"/>
  <c r="J163" i="17" a="1"/>
  <c r="J163" i="17"/>
  <c r="K163" i="17" a="1"/>
  <c r="K163" i="17"/>
  <c r="J164" i="17" a="1"/>
  <c r="J164" i="17"/>
  <c r="K164" i="17" a="1"/>
  <c r="K164" i="17"/>
  <c r="J165" i="17" a="1"/>
  <c r="J165" i="17"/>
  <c r="K165" i="17" a="1"/>
  <c r="K165" i="17"/>
  <c r="J166" i="17" a="1"/>
  <c r="J166" i="17"/>
  <c r="K166" i="17" a="1"/>
  <c r="K166" i="17"/>
  <c r="J167" i="17" a="1"/>
  <c r="J167" i="17"/>
  <c r="K167" i="17" a="1"/>
  <c r="K167" i="17"/>
  <c r="J168" i="17" a="1"/>
  <c r="J168" i="17"/>
  <c r="K168" i="17" a="1"/>
  <c r="K168" i="17"/>
  <c r="J169" i="17" a="1"/>
  <c r="J169" i="17"/>
  <c r="K169" i="17" a="1"/>
  <c r="K169" i="17"/>
  <c r="J170" i="17" a="1"/>
  <c r="J170" i="17"/>
  <c r="K170" i="17" a="1"/>
  <c r="K170" i="17"/>
  <c r="J171" i="17" a="1"/>
  <c r="J171" i="17"/>
  <c r="K171" i="17" a="1"/>
  <c r="K171" i="17"/>
  <c r="J172" i="17" a="1"/>
  <c r="J172" i="17"/>
  <c r="K172" i="17" a="1"/>
  <c r="K172" i="17"/>
  <c r="J173" i="17" a="1"/>
  <c r="J173" i="17"/>
  <c r="K173" i="17" a="1"/>
  <c r="K173" i="17"/>
  <c r="J174" i="17" a="1"/>
  <c r="J174" i="17"/>
  <c r="K174" i="17" a="1"/>
  <c r="K174" i="17"/>
  <c r="J175" i="17" a="1"/>
  <c r="J175" i="17"/>
  <c r="K175" i="17" a="1"/>
  <c r="K175" i="17"/>
  <c r="J176" i="17" a="1"/>
  <c r="J176" i="17"/>
  <c r="K176" i="17" a="1"/>
  <c r="K176" i="17"/>
  <c r="J177" i="17" a="1"/>
  <c r="J177" i="17"/>
  <c r="K177" i="17" a="1"/>
  <c r="K177" i="17"/>
  <c r="J178" i="17" a="1"/>
  <c r="J178" i="17"/>
  <c r="K178" i="17" a="1"/>
  <c r="K178" i="17"/>
  <c r="J179" i="17" a="1"/>
  <c r="J179" i="17"/>
  <c r="K179" i="17" a="1"/>
  <c r="K179" i="17"/>
  <c r="J180" i="17" a="1"/>
  <c r="J180" i="17"/>
  <c r="K180" i="17" a="1"/>
  <c r="K180" i="17"/>
  <c r="J181" i="17" a="1"/>
  <c r="J181" i="17"/>
  <c r="K181" i="17" a="1"/>
  <c r="K181" i="17"/>
  <c r="J182" i="17" a="1"/>
  <c r="J182" i="17"/>
  <c r="K182" i="17" a="1"/>
  <c r="K182" i="17"/>
  <c r="J183" i="17" a="1"/>
  <c r="J183" i="17"/>
  <c r="K183" i="17" a="1"/>
  <c r="K183" i="17"/>
  <c r="J184" i="17" a="1"/>
  <c r="J184" i="17"/>
  <c r="K184" i="17" a="1"/>
  <c r="K184" i="17"/>
  <c r="J185" i="17" a="1"/>
  <c r="J185" i="17"/>
  <c r="K185" i="17" a="1"/>
  <c r="K185" i="17"/>
  <c r="J186" i="17" a="1"/>
  <c r="J186" i="17"/>
  <c r="K186" i="17" a="1"/>
  <c r="K186" i="17"/>
  <c r="J187" i="17" a="1"/>
  <c r="J187" i="17"/>
  <c r="K187" i="17" a="1"/>
  <c r="K187" i="17"/>
  <c r="J188" i="17" a="1"/>
  <c r="J188" i="17"/>
  <c r="K188" i="17" a="1"/>
  <c r="K188" i="17"/>
  <c r="J189" i="17" a="1"/>
  <c r="J189" i="17"/>
  <c r="K189" i="17" a="1"/>
  <c r="K189" i="17"/>
  <c r="J190" i="17" a="1"/>
  <c r="J190" i="17"/>
  <c r="K190" i="17" a="1"/>
  <c r="K190" i="17"/>
  <c r="J191" i="17" a="1"/>
  <c r="J191" i="17"/>
  <c r="K191" i="17" a="1"/>
  <c r="K191" i="17"/>
  <c r="J192" i="17" a="1"/>
  <c r="J192" i="17"/>
  <c r="K192" i="17" a="1"/>
  <c r="K192" i="17"/>
  <c r="J193" i="17" a="1"/>
  <c r="J193" i="17"/>
  <c r="K193" i="17" a="1"/>
  <c r="K193" i="17"/>
  <c r="J194" i="17" a="1"/>
  <c r="J194" i="17"/>
  <c r="K194" i="17" a="1"/>
  <c r="K194" i="17"/>
  <c r="J195" i="17" a="1"/>
  <c r="J195" i="17"/>
  <c r="K195" i="17" a="1"/>
  <c r="K195" i="17"/>
  <c r="J196" i="17" a="1"/>
  <c r="J196" i="17"/>
  <c r="K196" i="17" a="1"/>
  <c r="K196" i="17"/>
  <c r="J197" i="17" a="1"/>
  <c r="J197" i="17"/>
  <c r="K197" i="17" a="1"/>
  <c r="K197" i="17"/>
  <c r="J198" i="17" a="1"/>
  <c r="J198" i="17"/>
  <c r="K198" i="17" a="1"/>
  <c r="K198" i="17"/>
  <c r="J199" i="17" a="1"/>
  <c r="J199" i="17"/>
  <c r="K199" i="17" a="1"/>
  <c r="K199" i="17"/>
  <c r="J200" i="17" a="1"/>
  <c r="J200" i="17"/>
  <c r="K200" i="17" a="1"/>
  <c r="K200" i="17"/>
  <c r="J201" i="17" a="1"/>
  <c r="J201" i="17"/>
  <c r="K201" i="17" a="1"/>
  <c r="K201" i="17"/>
  <c r="J202" i="17" a="1"/>
  <c r="J202" i="17"/>
  <c r="K202" i="17" a="1"/>
  <c r="K202" i="17"/>
  <c r="J203" i="17" a="1"/>
  <c r="J203" i="17"/>
  <c r="K203" i="17" a="1"/>
  <c r="K203" i="17"/>
  <c r="J204" i="17" a="1"/>
  <c r="J204" i="17"/>
  <c r="K204" i="17" a="1"/>
  <c r="K204" i="17"/>
  <c r="J205" i="17" a="1"/>
  <c r="J205" i="17"/>
  <c r="K205" i="17" a="1"/>
  <c r="K205" i="17"/>
  <c r="J206" i="17" a="1"/>
  <c r="J206" i="17"/>
  <c r="K206" i="17" a="1"/>
  <c r="K206" i="17"/>
  <c r="J207" i="17" a="1"/>
  <c r="J207" i="17"/>
  <c r="K207" i="17" a="1"/>
  <c r="K207" i="17"/>
  <c r="J208" i="17" a="1"/>
  <c r="J208" i="17"/>
  <c r="K208" i="17" a="1"/>
  <c r="K208" i="17"/>
  <c r="J209" i="17" a="1"/>
  <c r="J209" i="17"/>
  <c r="K209" i="17" a="1"/>
  <c r="K209" i="17"/>
  <c r="J210" i="17" a="1"/>
  <c r="J210" i="17"/>
  <c r="K210" i="17" a="1"/>
  <c r="K210" i="17"/>
  <c r="J211" i="17" a="1"/>
  <c r="J211" i="17"/>
  <c r="K211" i="17" a="1"/>
  <c r="K211" i="17"/>
  <c r="J212" i="17" a="1"/>
  <c r="J212" i="17"/>
  <c r="K212" i="17" a="1"/>
  <c r="K212" i="17"/>
  <c r="J213" i="17" a="1"/>
  <c r="J213" i="17"/>
  <c r="K213" i="17" a="1"/>
  <c r="K213" i="17"/>
  <c r="J214" i="17" a="1"/>
  <c r="J214" i="17"/>
  <c r="K214" i="17" a="1"/>
  <c r="K214" i="17"/>
  <c r="J215" i="17" a="1"/>
  <c r="J215" i="17"/>
  <c r="K215" i="17" a="1"/>
  <c r="K215" i="17"/>
  <c r="J216" i="17" a="1"/>
  <c r="J216" i="17"/>
  <c r="K216" i="17" a="1"/>
  <c r="K216" i="17"/>
  <c r="J217" i="17" a="1"/>
  <c r="J217" i="17"/>
  <c r="K217" i="17" a="1"/>
  <c r="K217" i="17"/>
  <c r="J218" i="17" a="1"/>
  <c r="J218" i="17"/>
  <c r="K218" i="17" a="1"/>
  <c r="K218" i="17"/>
  <c r="J219" i="17" a="1"/>
  <c r="J219" i="17"/>
  <c r="K219" i="17" a="1"/>
  <c r="K219" i="17"/>
  <c r="J220" i="17" a="1"/>
  <c r="J220" i="17"/>
  <c r="K220" i="17" a="1"/>
  <c r="K220" i="17"/>
  <c r="J221" i="17" a="1"/>
  <c r="J221" i="17"/>
  <c r="K221" i="17" a="1"/>
  <c r="K221" i="17"/>
  <c r="J222" i="17" a="1"/>
  <c r="J222" i="17"/>
  <c r="K222" i="17" a="1"/>
  <c r="K222" i="17"/>
  <c r="J223" i="17" a="1"/>
  <c r="J223" i="17"/>
  <c r="K223" i="17" a="1"/>
  <c r="K223" i="17"/>
  <c r="J224" i="17" a="1"/>
  <c r="J224" i="17"/>
  <c r="K224" i="17" a="1"/>
  <c r="K224" i="17"/>
  <c r="J225" i="17" a="1"/>
  <c r="J225" i="17"/>
  <c r="K225" i="17" a="1"/>
  <c r="K225" i="17"/>
  <c r="J226" i="17" a="1"/>
  <c r="J226" i="17"/>
  <c r="K226" i="17" a="1"/>
  <c r="K226" i="17"/>
  <c r="J227" i="17" a="1"/>
  <c r="J227" i="17"/>
  <c r="K227" i="17" a="1"/>
  <c r="K227" i="17"/>
  <c r="J228" i="17" a="1"/>
  <c r="J228" i="17"/>
  <c r="K228" i="17" a="1"/>
  <c r="K228" i="17"/>
  <c r="J229" i="17" a="1"/>
  <c r="J229" i="17"/>
  <c r="K229" i="17" a="1"/>
  <c r="K229" i="17"/>
  <c r="J230" i="17" a="1"/>
  <c r="J230" i="17"/>
  <c r="K230" i="17" a="1"/>
  <c r="K230" i="17"/>
  <c r="J231" i="17" a="1"/>
  <c r="J231" i="17"/>
  <c r="K231" i="17" a="1"/>
  <c r="K231" i="17"/>
  <c r="J232" i="17" a="1"/>
  <c r="J232" i="17"/>
  <c r="K232" i="17" a="1"/>
  <c r="K232" i="17"/>
  <c r="J233" i="17" a="1"/>
  <c r="J233" i="17"/>
  <c r="K233" i="17" a="1"/>
  <c r="K233" i="17"/>
  <c r="J234" i="17" a="1"/>
  <c r="J234" i="17"/>
  <c r="K234" i="17" a="1"/>
  <c r="K234" i="17"/>
  <c r="J235" i="17" a="1"/>
  <c r="J235" i="17"/>
  <c r="K235" i="17" a="1"/>
  <c r="K235" i="17"/>
  <c r="J236" i="17" a="1"/>
  <c r="J236" i="17"/>
  <c r="K236" i="17" a="1"/>
  <c r="K236" i="17"/>
  <c r="J237" i="17" a="1"/>
  <c r="J237" i="17"/>
  <c r="K237" i="17" a="1"/>
  <c r="K237" i="17"/>
  <c r="J238" i="17" a="1"/>
  <c r="J238" i="17"/>
  <c r="K238" i="17" a="1"/>
  <c r="K238" i="17"/>
  <c r="J239" i="17" a="1"/>
  <c r="J239" i="17"/>
  <c r="K239" i="17" a="1"/>
  <c r="K239" i="17"/>
  <c r="J240" i="17" a="1"/>
  <c r="J240" i="17"/>
  <c r="K240" i="17" a="1"/>
  <c r="K240" i="17"/>
  <c r="J241" i="17" a="1"/>
  <c r="J241" i="17"/>
  <c r="K241" i="17" a="1"/>
  <c r="K241" i="17"/>
  <c r="J242" i="17" a="1"/>
  <c r="J242" i="17"/>
  <c r="K242" i="17" a="1"/>
  <c r="K242" i="17"/>
  <c r="J243" i="17" a="1"/>
  <c r="J243" i="17"/>
  <c r="K243" i="17" a="1"/>
  <c r="K243" i="17"/>
  <c r="J244" i="17" a="1"/>
  <c r="J244" i="17"/>
  <c r="K244" i="17" a="1"/>
  <c r="K244" i="17"/>
  <c r="J245" i="17" a="1"/>
  <c r="J245" i="17"/>
  <c r="K245" i="17" a="1"/>
  <c r="K245" i="17"/>
  <c r="J246" i="17" a="1"/>
  <c r="J246" i="17"/>
  <c r="K246" i="17" a="1"/>
  <c r="K246" i="17"/>
  <c r="J247" i="17" a="1"/>
  <c r="J247" i="17"/>
  <c r="K247" i="17" a="1"/>
  <c r="K247" i="17"/>
  <c r="J248" i="17" a="1"/>
  <c r="J248" i="17"/>
  <c r="K248" i="17" a="1"/>
  <c r="K248" i="17"/>
  <c r="J249" i="17" a="1"/>
  <c r="J249" i="17"/>
  <c r="K249" i="17" a="1"/>
  <c r="K249" i="17"/>
  <c r="J250" i="17" a="1"/>
  <c r="J250" i="17"/>
  <c r="K250" i="17" a="1"/>
  <c r="K250" i="17"/>
  <c r="T6" i="16"/>
  <c r="U6" i="16"/>
  <c r="T7" i="16"/>
  <c r="U7" i="16"/>
  <c r="T8" i="16"/>
  <c r="U8" i="16"/>
  <c r="T9" i="16"/>
  <c r="U9" i="16"/>
  <c r="T10" i="16"/>
  <c r="U10" i="16"/>
  <c r="T11" i="16"/>
  <c r="U11" i="16"/>
  <c r="T12" i="16"/>
  <c r="U12" i="16"/>
  <c r="T13" i="16"/>
  <c r="U13" i="16"/>
  <c r="T14" i="16"/>
  <c r="U14" i="16"/>
  <c r="T15" i="16"/>
  <c r="U15" i="16"/>
  <c r="T16" i="16"/>
  <c r="U16" i="16"/>
  <c r="T17" i="16"/>
  <c r="U17" i="16"/>
  <c r="T18" i="16"/>
  <c r="U18" i="16"/>
  <c r="T19" i="16"/>
  <c r="U19" i="16"/>
  <c r="T20" i="16"/>
  <c r="U20" i="16"/>
  <c r="T21" i="16"/>
  <c r="U21" i="16"/>
  <c r="T22" i="16"/>
  <c r="U22" i="16"/>
  <c r="T23" i="16"/>
  <c r="U23" i="16"/>
  <c r="T24" i="16"/>
  <c r="U24" i="16"/>
  <c r="T25" i="16"/>
  <c r="U25" i="16"/>
  <c r="T26" i="16"/>
  <c r="U26" i="16"/>
  <c r="T27" i="16"/>
  <c r="U27" i="16"/>
  <c r="T28" i="16"/>
  <c r="U28" i="16"/>
  <c r="T29" i="16"/>
  <c r="U29" i="16"/>
  <c r="T30" i="16"/>
  <c r="U30" i="16"/>
  <c r="T31" i="16"/>
  <c r="U31" i="16"/>
  <c r="T32" i="16"/>
  <c r="U32" i="16"/>
  <c r="T33" i="16"/>
  <c r="U33" i="16"/>
  <c r="T34" i="16"/>
  <c r="U34" i="16"/>
  <c r="T35" i="16"/>
  <c r="U35" i="16"/>
  <c r="T36" i="16"/>
  <c r="U36" i="16"/>
  <c r="T37" i="16"/>
  <c r="U37" i="16"/>
  <c r="T38" i="16"/>
  <c r="U38" i="16"/>
  <c r="T39" i="16"/>
  <c r="U39" i="16"/>
  <c r="T40" i="16"/>
  <c r="U40" i="16"/>
  <c r="T41" i="16"/>
  <c r="U41" i="16"/>
  <c r="T42" i="16"/>
  <c r="U42" i="16"/>
  <c r="T43" i="16"/>
  <c r="U43" i="16"/>
  <c r="T44" i="16"/>
  <c r="U44" i="16"/>
  <c r="T45" i="16"/>
  <c r="U45" i="16"/>
  <c r="T46" i="16"/>
  <c r="U46" i="16"/>
  <c r="T47" i="16"/>
  <c r="U47" i="16"/>
  <c r="T48" i="16"/>
  <c r="U48" i="16"/>
  <c r="T49" i="16"/>
  <c r="U49" i="16"/>
  <c r="T50" i="16"/>
  <c r="U50" i="16"/>
  <c r="T51" i="16"/>
  <c r="U51" i="16"/>
  <c r="T52" i="16"/>
  <c r="U52" i="16"/>
  <c r="T53" i="16"/>
  <c r="U53" i="16"/>
  <c r="T54" i="16"/>
  <c r="U54" i="16"/>
  <c r="T5" i="16"/>
  <c r="U5" i="16"/>
  <c r="V6" i="34"/>
  <c r="W6" i="34"/>
  <c r="V7" i="34"/>
  <c r="W7" i="34"/>
  <c r="V8" i="34"/>
  <c r="W8" i="34"/>
  <c r="V9" i="34"/>
  <c r="W9" i="34"/>
  <c r="V10" i="34"/>
  <c r="W10" i="34"/>
  <c r="V11" i="34"/>
  <c r="W11" i="34"/>
  <c r="V12" i="34"/>
  <c r="W12" i="34"/>
  <c r="V13" i="34"/>
  <c r="W13" i="34"/>
  <c r="V14" i="34"/>
  <c r="W14" i="34"/>
  <c r="V15" i="34"/>
  <c r="W15" i="34"/>
  <c r="V16" i="34"/>
  <c r="W16" i="34"/>
  <c r="V17" i="34"/>
  <c r="W17" i="34"/>
  <c r="V18" i="34"/>
  <c r="W18" i="34"/>
  <c r="V19" i="34"/>
  <c r="W19" i="34"/>
  <c r="V20" i="34"/>
  <c r="W20" i="34"/>
  <c r="V21" i="34"/>
  <c r="W21" i="34"/>
  <c r="V22" i="34"/>
  <c r="W22" i="34"/>
  <c r="V23" i="34"/>
  <c r="W23" i="34"/>
  <c r="V24" i="34"/>
  <c r="W24" i="34"/>
  <c r="V25" i="34"/>
  <c r="W25" i="34"/>
  <c r="V26" i="34"/>
  <c r="W26" i="34"/>
  <c r="V27" i="34"/>
  <c r="W27" i="34"/>
  <c r="V28" i="34"/>
  <c r="W28" i="34"/>
  <c r="V29" i="34"/>
  <c r="W29" i="34"/>
  <c r="V30" i="34"/>
  <c r="W30" i="34"/>
  <c r="V31" i="34"/>
  <c r="W31" i="34"/>
  <c r="V32" i="34"/>
  <c r="W32" i="34"/>
  <c r="V33" i="34"/>
  <c r="W33" i="34"/>
  <c r="V34" i="34"/>
  <c r="W34" i="34"/>
  <c r="V35" i="34"/>
  <c r="W35" i="34"/>
  <c r="V36" i="34"/>
  <c r="W36" i="34"/>
  <c r="V37" i="34"/>
  <c r="W37" i="34"/>
  <c r="V38" i="34"/>
  <c r="W38" i="34"/>
  <c r="V39" i="34"/>
  <c r="W39" i="34"/>
  <c r="V40" i="34"/>
  <c r="W40" i="34"/>
  <c r="V41" i="34"/>
  <c r="W41" i="34"/>
  <c r="V42" i="34"/>
  <c r="W42" i="34"/>
  <c r="V43" i="34"/>
  <c r="W43" i="34"/>
  <c r="V44" i="34"/>
  <c r="W44" i="34"/>
  <c r="V45" i="34"/>
  <c r="W45" i="34"/>
  <c r="V46" i="34"/>
  <c r="W46" i="34"/>
  <c r="V47" i="34"/>
  <c r="W47" i="34"/>
  <c r="V48" i="34"/>
  <c r="W48" i="34"/>
  <c r="V49" i="34"/>
  <c r="W49" i="34"/>
  <c r="V50" i="34"/>
  <c r="W50" i="34"/>
  <c r="V51" i="34"/>
  <c r="W51" i="34"/>
  <c r="V52" i="34"/>
  <c r="W52" i="34"/>
  <c r="V53" i="34"/>
  <c r="W53" i="34"/>
  <c r="V54" i="34"/>
  <c r="W54" i="34"/>
  <c r="V5" i="34"/>
  <c r="W5" i="34"/>
  <c r="D5" i="21"/>
  <c r="D6" i="21"/>
  <c r="AX4" i="41"/>
  <c r="AV4" i="41"/>
  <c r="AW4" i="41"/>
  <c r="E6" i="21"/>
  <c r="G6" i="21"/>
  <c r="G26" i="30"/>
  <c r="H26" i="30"/>
  <c r="I26" i="30"/>
  <c r="J26" i="30"/>
  <c r="K26" i="30"/>
  <c r="L26" i="30"/>
  <c r="M26" i="30"/>
  <c r="N26" i="30"/>
  <c r="K26" i="36"/>
  <c r="L26" i="36"/>
  <c r="M26" i="36"/>
  <c r="N26" i="36"/>
  <c r="O26" i="36"/>
  <c r="P26" i="36"/>
  <c r="Q26" i="36"/>
  <c r="R26" i="36"/>
  <c r="G25" i="30"/>
  <c r="H25" i="30"/>
  <c r="I25" i="30"/>
  <c r="J25" i="30"/>
  <c r="K25" i="30"/>
  <c r="L25" i="30"/>
  <c r="M25" i="30"/>
  <c r="N25" i="30"/>
  <c r="G24" i="30"/>
  <c r="H24" i="30"/>
  <c r="I24" i="30"/>
  <c r="J24" i="30"/>
  <c r="K24" i="30"/>
  <c r="L24" i="30"/>
  <c r="M24" i="30"/>
  <c r="N24" i="30"/>
  <c r="G22" i="30"/>
  <c r="H22" i="30"/>
  <c r="I22" i="30"/>
  <c r="J22" i="30"/>
  <c r="K22" i="30"/>
  <c r="L22" i="30"/>
  <c r="M22" i="30"/>
  <c r="N22" i="30"/>
  <c r="G21" i="30"/>
  <c r="H21" i="30"/>
  <c r="I21" i="30"/>
  <c r="J21" i="30"/>
  <c r="K21" i="30"/>
  <c r="L21" i="30"/>
  <c r="M21" i="30"/>
  <c r="N21" i="30"/>
  <c r="G19" i="30"/>
  <c r="H19" i="30"/>
  <c r="I19" i="30"/>
  <c r="J19" i="30"/>
  <c r="K19" i="30"/>
  <c r="L19" i="30"/>
  <c r="M19" i="30"/>
  <c r="N19" i="30"/>
  <c r="G17" i="30"/>
  <c r="H17" i="30"/>
  <c r="I17" i="30"/>
  <c r="J17" i="30"/>
  <c r="K17" i="30"/>
  <c r="L17" i="30"/>
  <c r="M17" i="30"/>
  <c r="N17" i="30"/>
  <c r="K25" i="36"/>
  <c r="L25" i="36"/>
  <c r="M25" i="36"/>
  <c r="N25" i="36"/>
  <c r="O25" i="36"/>
  <c r="P25" i="36"/>
  <c r="Q25" i="36"/>
  <c r="R25" i="36"/>
  <c r="K24" i="36"/>
  <c r="L24" i="36"/>
  <c r="M24" i="36"/>
  <c r="N24" i="36"/>
  <c r="O24" i="36"/>
  <c r="P24" i="36"/>
  <c r="Q24" i="36"/>
  <c r="R24" i="36"/>
  <c r="K22" i="36"/>
  <c r="L22" i="36"/>
  <c r="M22" i="36"/>
  <c r="N22" i="36"/>
  <c r="O22" i="36"/>
  <c r="P22" i="36"/>
  <c r="Q22" i="36"/>
  <c r="R22" i="36"/>
  <c r="K21" i="36"/>
  <c r="L21" i="36"/>
  <c r="M21" i="36"/>
  <c r="N21" i="36"/>
  <c r="O21" i="36"/>
  <c r="P21" i="36"/>
  <c r="Q21" i="36"/>
  <c r="R21" i="36"/>
  <c r="K19" i="36"/>
  <c r="L19" i="36"/>
  <c r="M19" i="36"/>
  <c r="N19" i="36"/>
  <c r="O19" i="36"/>
  <c r="P19" i="36"/>
  <c r="Q19" i="36"/>
  <c r="R19" i="36"/>
  <c r="K17" i="36"/>
  <c r="L17" i="36"/>
  <c r="M17" i="36"/>
  <c r="N17" i="36"/>
  <c r="O17" i="36"/>
  <c r="P17" i="36"/>
  <c r="Q17" i="36"/>
  <c r="R17" i="36"/>
  <c r="N3" i="31"/>
  <c r="N7" i="31"/>
  <c r="N11" i="31"/>
  <c r="N15" i="31"/>
  <c r="N19" i="31"/>
  <c r="N23" i="31"/>
  <c r="N27" i="31"/>
  <c r="N31" i="31"/>
  <c r="N35" i="31"/>
  <c r="N39" i="31"/>
  <c r="N43" i="31"/>
  <c r="N47" i="31"/>
  <c r="N51" i="31"/>
  <c r="N55" i="31"/>
  <c r="N59" i="31"/>
  <c r="N63" i="31"/>
  <c r="N67" i="31"/>
  <c r="N71" i="31"/>
  <c r="N75" i="31"/>
  <c r="N79" i="31"/>
  <c r="N83" i="31"/>
  <c r="N87" i="31"/>
  <c r="N91" i="31"/>
  <c r="N95" i="31"/>
  <c r="N99" i="31"/>
  <c r="N103" i="31"/>
  <c r="N107" i="31"/>
  <c r="N111" i="31"/>
  <c r="N115" i="31"/>
  <c r="N119" i="31"/>
  <c r="N123" i="31"/>
  <c r="N126" i="31"/>
  <c r="N127" i="31"/>
  <c r="N128" i="31"/>
  <c r="N129" i="31"/>
  <c r="N130" i="31"/>
  <c r="N131" i="31"/>
  <c r="N132" i="31"/>
  <c r="N133" i="31"/>
  <c r="N134" i="31"/>
  <c r="N135" i="31"/>
  <c r="N136" i="31"/>
  <c r="N137" i="31"/>
  <c r="N138" i="31"/>
  <c r="N139" i="31"/>
  <c r="N140" i="31"/>
  <c r="N141" i="31"/>
  <c r="N142" i="31"/>
  <c r="N143" i="31"/>
  <c r="N144" i="31"/>
  <c r="N145" i="31"/>
  <c r="N146" i="31"/>
  <c r="N147" i="31"/>
  <c r="N148" i="31"/>
  <c r="N149" i="31"/>
  <c r="N150" i="31"/>
  <c r="N151" i="31"/>
  <c r="N152" i="31"/>
  <c r="N153" i="31"/>
  <c r="N154" i="31"/>
  <c r="N155" i="31"/>
  <c r="N156" i="31"/>
  <c r="N157" i="31"/>
  <c r="N158" i="31"/>
  <c r="N159" i="31"/>
  <c r="N160" i="31"/>
  <c r="N161" i="31"/>
  <c r="N162" i="31"/>
  <c r="N163" i="31"/>
  <c r="N164" i="31"/>
  <c r="N165" i="31"/>
  <c r="N166" i="31"/>
  <c r="N167" i="31"/>
  <c r="N168" i="31"/>
  <c r="N169" i="31"/>
  <c r="N170" i="31"/>
  <c r="N171" i="31"/>
  <c r="N172" i="31"/>
  <c r="N173" i="31"/>
  <c r="N174" i="31"/>
  <c r="N175" i="31"/>
  <c r="N176" i="31"/>
  <c r="N177" i="31"/>
  <c r="N178" i="31"/>
  <c r="N179" i="31"/>
  <c r="N180" i="31"/>
  <c r="N181" i="31"/>
  <c r="N182" i="31"/>
  <c r="N183" i="31"/>
  <c r="N184" i="31"/>
  <c r="N185" i="31"/>
  <c r="N186" i="31"/>
  <c r="N187" i="31"/>
  <c r="N188" i="31"/>
  <c r="N189" i="31"/>
  <c r="N190" i="31"/>
  <c r="N191" i="31"/>
  <c r="N192" i="31"/>
  <c r="N193" i="31"/>
  <c r="N194" i="31"/>
  <c r="N195" i="31"/>
  <c r="N196" i="31"/>
  <c r="N197" i="31"/>
  <c r="N198" i="31"/>
  <c r="N199" i="31"/>
  <c r="N200" i="31"/>
  <c r="N201" i="31"/>
  <c r="N202" i="31"/>
  <c r="N203" i="31"/>
  <c r="N204" i="31"/>
  <c r="N205" i="31"/>
  <c r="N206" i="31"/>
  <c r="N207" i="31"/>
  <c r="N208" i="31"/>
  <c r="N209" i="31"/>
  <c r="N210" i="31"/>
  <c r="N211" i="31"/>
  <c r="N212" i="31"/>
  <c r="N213" i="31"/>
  <c r="N214" i="31"/>
  <c r="N215" i="31"/>
  <c r="N216" i="31"/>
  <c r="N217" i="31"/>
  <c r="N218" i="31"/>
  <c r="N219" i="31"/>
  <c r="N220" i="31"/>
  <c r="N221" i="31"/>
  <c r="N222" i="31"/>
  <c r="N223" i="31"/>
  <c r="N224" i="31"/>
  <c r="N225" i="31"/>
  <c r="N226" i="31"/>
  <c r="N227" i="31"/>
  <c r="N228" i="31"/>
  <c r="N229" i="31"/>
  <c r="N230" i="31"/>
  <c r="N231" i="31"/>
  <c r="N232" i="31"/>
  <c r="N233" i="31"/>
  <c r="N234" i="31"/>
  <c r="N235" i="31"/>
  <c r="N236" i="31"/>
  <c r="N237" i="31"/>
  <c r="N238" i="31"/>
  <c r="N239" i="31"/>
  <c r="N240" i="31"/>
  <c r="N241" i="31"/>
  <c r="N242" i="31"/>
  <c r="N243" i="31"/>
  <c r="N244" i="31"/>
  <c r="N245" i="31"/>
  <c r="N246" i="31"/>
  <c r="N247" i="31"/>
  <c r="N248" i="31"/>
  <c r="N249" i="31"/>
  <c r="N250" i="31"/>
  <c r="N251" i="31"/>
  <c r="N252" i="31"/>
  <c r="N253" i="31"/>
  <c r="N254" i="31"/>
  <c r="N255" i="31"/>
  <c r="N256" i="31"/>
  <c r="N257" i="31"/>
  <c r="N258" i="31"/>
  <c r="N259" i="31"/>
  <c r="N260" i="31"/>
  <c r="N261" i="31"/>
  <c r="N262" i="31"/>
  <c r="N263" i="31"/>
  <c r="N264" i="31"/>
  <c r="N265" i="31"/>
  <c r="N266" i="31"/>
  <c r="N267" i="31"/>
  <c r="N268" i="31"/>
  <c r="N269" i="31"/>
  <c r="N270" i="31"/>
  <c r="N271" i="31"/>
  <c r="N272" i="31"/>
  <c r="N273" i="31"/>
  <c r="N274" i="31"/>
  <c r="N275" i="31"/>
  <c r="N276" i="31"/>
  <c r="N277" i="31"/>
  <c r="N278" i="31"/>
  <c r="N279" i="31"/>
  <c r="N280" i="31"/>
  <c r="N281" i="31"/>
  <c r="N282" i="31"/>
  <c r="N283" i="31"/>
  <c r="N284" i="31"/>
  <c r="N285" i="31"/>
  <c r="N286" i="31"/>
  <c r="N287" i="31"/>
  <c r="N288" i="31"/>
  <c r="N289" i="31"/>
  <c r="N290" i="31"/>
  <c r="N291" i="31"/>
  <c r="N292" i="31"/>
  <c r="N293" i="31"/>
  <c r="N294" i="31"/>
  <c r="N295" i="31"/>
  <c r="N296" i="31"/>
  <c r="N297" i="31"/>
  <c r="N298" i="31"/>
  <c r="N299" i="31"/>
  <c r="N300" i="31"/>
  <c r="N301" i="31"/>
  <c r="N302" i="31"/>
  <c r="N303" i="31"/>
  <c r="N304" i="31"/>
  <c r="N305" i="31"/>
  <c r="N306" i="31"/>
  <c r="N307" i="31"/>
  <c r="N308" i="31"/>
  <c r="N309" i="31"/>
  <c r="N310" i="31"/>
  <c r="N311" i="31"/>
  <c r="N312" i="31"/>
  <c r="N313" i="31"/>
  <c r="N314" i="31"/>
  <c r="N315" i="31"/>
  <c r="N316" i="31"/>
  <c r="N317" i="31"/>
  <c r="N318" i="31"/>
  <c r="N319" i="31"/>
  <c r="N320" i="31"/>
  <c r="N321" i="31"/>
  <c r="N322" i="31"/>
  <c r="N323" i="31"/>
  <c r="N324" i="31"/>
  <c r="N325" i="31"/>
  <c r="N326" i="31"/>
  <c r="N327" i="31"/>
  <c r="N328" i="31"/>
  <c r="N329" i="31"/>
  <c r="N330" i="31"/>
  <c r="N331" i="31"/>
  <c r="N332" i="31"/>
  <c r="N333" i="31"/>
  <c r="N334" i="31"/>
  <c r="N335" i="31"/>
  <c r="N336" i="31"/>
  <c r="N337" i="31"/>
  <c r="N338" i="31"/>
  <c r="N339" i="31"/>
  <c r="N340" i="31"/>
  <c r="N341" i="31"/>
  <c r="N342" i="31"/>
  <c r="N343" i="31"/>
  <c r="N344" i="31"/>
  <c r="N345" i="31"/>
  <c r="N346" i="31"/>
  <c r="N347" i="31"/>
  <c r="N348" i="31"/>
  <c r="N349" i="31"/>
  <c r="N350" i="31"/>
  <c r="N351" i="31"/>
  <c r="N352" i="31"/>
  <c r="N353" i="31"/>
  <c r="N354" i="31"/>
  <c r="N355" i="31"/>
  <c r="N356" i="31"/>
  <c r="N357" i="31"/>
  <c r="N358" i="31"/>
  <c r="N359" i="31"/>
  <c r="N360" i="31"/>
  <c r="N361" i="31"/>
  <c r="N362" i="31"/>
  <c r="N363" i="31"/>
  <c r="N364" i="31"/>
  <c r="N365" i="31"/>
  <c r="N366" i="31"/>
  <c r="N367" i="31"/>
  <c r="N368" i="31"/>
  <c r="N369" i="31"/>
  <c r="N370" i="31"/>
  <c r="N371" i="31"/>
  <c r="N372" i="31"/>
  <c r="N373" i="31"/>
  <c r="N374" i="31"/>
  <c r="N375" i="31"/>
  <c r="N376" i="31"/>
  <c r="N377" i="31"/>
  <c r="N378" i="31"/>
  <c r="N379" i="31"/>
  <c r="N380" i="31"/>
  <c r="N381" i="31"/>
  <c r="N382" i="31"/>
  <c r="N383" i="31"/>
  <c r="N384" i="31"/>
  <c r="N385" i="31"/>
  <c r="N386" i="31"/>
  <c r="N387" i="31"/>
  <c r="N388" i="31"/>
  <c r="N389" i="31"/>
  <c r="N390" i="31"/>
  <c r="N391" i="31"/>
  <c r="N392" i="31"/>
  <c r="N393" i="31"/>
  <c r="N394" i="31"/>
  <c r="N395" i="31"/>
  <c r="N396" i="31"/>
  <c r="N397" i="31"/>
  <c r="N398" i="31"/>
  <c r="N399" i="31"/>
  <c r="N400" i="31"/>
  <c r="N401" i="31"/>
  <c r="N402" i="31"/>
  <c r="N403" i="31"/>
  <c r="N404" i="31"/>
  <c r="N405" i="31"/>
  <c r="N406" i="31"/>
  <c r="N407" i="31"/>
  <c r="N408" i="31"/>
  <c r="N409" i="31"/>
  <c r="N410" i="31"/>
  <c r="N411" i="31"/>
  <c r="N412" i="31"/>
  <c r="N413" i="31"/>
  <c r="N414" i="31"/>
  <c r="N415" i="31"/>
  <c r="N416" i="31"/>
  <c r="N417" i="31"/>
  <c r="N418" i="31"/>
  <c r="N419" i="31"/>
  <c r="N420" i="31"/>
  <c r="N421" i="31"/>
  <c r="N422" i="31"/>
  <c r="N423" i="31"/>
  <c r="N424" i="31"/>
  <c r="N425" i="31"/>
  <c r="N426" i="31"/>
  <c r="N427" i="31"/>
  <c r="N428" i="31"/>
  <c r="N429" i="31"/>
  <c r="N430" i="31"/>
  <c r="N431" i="31"/>
  <c r="N432" i="31"/>
  <c r="N433" i="31"/>
  <c r="N434" i="31"/>
  <c r="N435" i="31"/>
  <c r="N436" i="31"/>
  <c r="N437" i="31"/>
  <c r="N438" i="31"/>
  <c r="N439" i="31"/>
  <c r="N440" i="31"/>
  <c r="N441" i="31"/>
  <c r="N442" i="31"/>
  <c r="N443" i="31"/>
  <c r="N444" i="31"/>
  <c r="N445" i="31"/>
  <c r="N446" i="31"/>
  <c r="N447" i="31"/>
  <c r="N448" i="31"/>
  <c r="N449" i="31"/>
  <c r="N450" i="31"/>
  <c r="N451" i="31"/>
  <c r="N452" i="31"/>
  <c r="N453" i="31"/>
  <c r="N454" i="31"/>
  <c r="N455" i="31"/>
  <c r="N456" i="31"/>
  <c r="N457" i="31"/>
  <c r="N458" i="31"/>
  <c r="N459" i="31"/>
  <c r="N460" i="31"/>
  <c r="N461" i="31"/>
  <c r="N462" i="31"/>
  <c r="N463" i="31"/>
  <c r="N464" i="31"/>
  <c r="N465" i="31"/>
  <c r="N466" i="31"/>
  <c r="N467" i="31"/>
  <c r="N468" i="31"/>
  <c r="N469" i="31"/>
  <c r="N470" i="31"/>
  <c r="N471" i="31"/>
  <c r="N472" i="31"/>
  <c r="N473" i="31"/>
  <c r="N474" i="31"/>
  <c r="N475" i="31"/>
  <c r="N476" i="31"/>
  <c r="N477" i="31"/>
  <c r="N478" i="31"/>
  <c r="N479" i="31"/>
  <c r="N480" i="31"/>
  <c r="N481" i="31"/>
  <c r="N482" i="31"/>
  <c r="N483" i="31"/>
  <c r="N484" i="31"/>
  <c r="N485" i="31"/>
  <c r="N486" i="31"/>
  <c r="N487" i="31"/>
  <c r="N488" i="31"/>
  <c r="N489" i="31"/>
  <c r="N490" i="31"/>
  <c r="N491" i="31"/>
  <c r="N492" i="31"/>
  <c r="N493" i="31"/>
  <c r="N494" i="31"/>
  <c r="N495" i="31"/>
  <c r="N496" i="31"/>
  <c r="N497" i="31"/>
  <c r="N498" i="31"/>
  <c r="N499" i="31"/>
  <c r="N500" i="31"/>
  <c r="N501" i="31"/>
  <c r="N502" i="31"/>
  <c r="N503" i="31"/>
  <c r="N504" i="31"/>
  <c r="N505" i="31"/>
  <c r="N506" i="31"/>
  <c r="N507" i="31"/>
  <c r="N508" i="31"/>
  <c r="N509" i="31"/>
  <c r="N510" i="31"/>
  <c r="N511" i="31"/>
  <c r="N512" i="31"/>
  <c r="N513" i="31"/>
  <c r="N514" i="31"/>
  <c r="N515" i="31"/>
  <c r="N516" i="31"/>
  <c r="N517" i="31"/>
  <c r="N518" i="31"/>
  <c r="N519" i="31"/>
  <c r="N520" i="31"/>
  <c r="N521" i="31"/>
  <c r="N522" i="31"/>
  <c r="N523" i="31"/>
  <c r="N524" i="31"/>
  <c r="N525" i="31"/>
  <c r="N526" i="31"/>
  <c r="N527" i="31"/>
  <c r="N528" i="31"/>
  <c r="N529" i="31"/>
  <c r="N530" i="31"/>
  <c r="N531" i="31"/>
  <c r="N532" i="31"/>
  <c r="N533" i="31"/>
  <c r="N534" i="31"/>
  <c r="N535" i="31"/>
  <c r="N536" i="31"/>
  <c r="N537" i="31"/>
  <c r="N538" i="31"/>
  <c r="N539" i="31"/>
  <c r="N540" i="31"/>
  <c r="N541" i="31"/>
  <c r="N542" i="31"/>
  <c r="N543" i="31"/>
  <c r="N544" i="31"/>
  <c r="N545" i="31"/>
  <c r="N546" i="31"/>
  <c r="N547" i="31"/>
  <c r="N548" i="31"/>
  <c r="N549" i="31"/>
  <c r="N550" i="31"/>
  <c r="N551" i="31"/>
  <c r="N552" i="31"/>
  <c r="N553" i="31"/>
  <c r="N554" i="31"/>
  <c r="N555" i="31"/>
  <c r="N556" i="31"/>
  <c r="N557" i="31"/>
  <c r="N558" i="31"/>
  <c r="N559" i="31"/>
  <c r="N560" i="31"/>
  <c r="N561" i="31"/>
  <c r="N562" i="31"/>
  <c r="N563" i="31"/>
  <c r="N564" i="31"/>
  <c r="N565" i="31"/>
  <c r="N566" i="31"/>
  <c r="N567" i="31"/>
  <c r="N568" i="31"/>
  <c r="N569" i="31"/>
  <c r="N570" i="31"/>
  <c r="N571" i="31"/>
  <c r="N572" i="31"/>
  <c r="N573" i="31"/>
  <c r="N574" i="31"/>
  <c r="N575" i="31"/>
  <c r="N576" i="31"/>
  <c r="N577" i="31"/>
  <c r="N578" i="31"/>
  <c r="N579" i="31"/>
  <c r="N580" i="31"/>
  <c r="N581" i="31"/>
  <c r="N582" i="31"/>
  <c r="N583" i="31"/>
  <c r="N584" i="31"/>
  <c r="N585" i="31"/>
  <c r="N586" i="31"/>
  <c r="N587" i="31"/>
  <c r="N588" i="31"/>
  <c r="N589" i="31"/>
  <c r="N590" i="31"/>
  <c r="N591" i="31"/>
  <c r="N592" i="31"/>
  <c r="N593" i="31"/>
  <c r="N594" i="31"/>
  <c r="N595" i="31"/>
  <c r="N596" i="31"/>
  <c r="N597" i="31"/>
  <c r="N598" i="31"/>
  <c r="N599" i="31"/>
  <c r="N600" i="31"/>
  <c r="N601" i="31"/>
  <c r="N602" i="31"/>
  <c r="N603" i="31"/>
  <c r="N604" i="31"/>
  <c r="N605" i="31"/>
  <c r="N606" i="31"/>
  <c r="N607" i="31"/>
  <c r="N608" i="31"/>
  <c r="N609" i="31"/>
  <c r="N610" i="31"/>
  <c r="N611" i="31"/>
  <c r="N612" i="31"/>
  <c r="N613" i="31"/>
  <c r="N614" i="31"/>
  <c r="N615" i="31"/>
  <c r="N616" i="31"/>
  <c r="N617" i="31"/>
  <c r="N618" i="31"/>
  <c r="N619" i="31"/>
  <c r="N620" i="31"/>
  <c r="N621" i="31"/>
  <c r="N622" i="31"/>
  <c r="N623" i="31"/>
  <c r="N624" i="31"/>
  <c r="N625" i="31"/>
  <c r="N626" i="31"/>
  <c r="N627" i="31"/>
  <c r="N628" i="31"/>
  <c r="N629" i="31"/>
  <c r="N630" i="31"/>
  <c r="N631" i="31"/>
  <c r="N632" i="31"/>
  <c r="N633" i="31"/>
  <c r="N634" i="31"/>
  <c r="N635" i="31"/>
  <c r="N636" i="31"/>
  <c r="N637" i="31"/>
  <c r="N638" i="31"/>
  <c r="N639" i="31"/>
  <c r="N640" i="31"/>
  <c r="N641" i="31"/>
  <c r="N642" i="31"/>
  <c r="N643" i="31"/>
  <c r="N644" i="31"/>
  <c r="N645" i="31"/>
  <c r="N646" i="31"/>
  <c r="N647" i="31"/>
  <c r="N648" i="31"/>
  <c r="N649" i="31"/>
  <c r="N650" i="31"/>
  <c r="N651" i="31"/>
  <c r="N652" i="31"/>
  <c r="N653" i="31"/>
  <c r="N654" i="31"/>
  <c r="N655" i="31"/>
  <c r="N656" i="31"/>
  <c r="N657" i="31"/>
  <c r="N658" i="31"/>
  <c r="N659" i="31"/>
  <c r="N660" i="31"/>
  <c r="N661" i="31"/>
  <c r="N662" i="31"/>
  <c r="N663" i="31"/>
  <c r="N664" i="31"/>
  <c r="N665" i="31"/>
  <c r="N666" i="31"/>
  <c r="N667" i="31"/>
  <c r="N668" i="31"/>
  <c r="N669" i="31"/>
  <c r="N670" i="31"/>
  <c r="N671" i="31"/>
  <c r="N672" i="31"/>
  <c r="N673" i="31"/>
  <c r="N674" i="31"/>
  <c r="N675" i="31"/>
  <c r="N676" i="31"/>
  <c r="N677" i="31"/>
  <c r="N678" i="31"/>
  <c r="N679" i="31"/>
  <c r="N680" i="31"/>
  <c r="N681" i="31"/>
  <c r="N682" i="31"/>
  <c r="N683" i="31"/>
  <c r="N684" i="31"/>
  <c r="N685" i="31"/>
  <c r="N686" i="31"/>
  <c r="N687" i="31"/>
  <c r="N688" i="31"/>
  <c r="N689" i="31"/>
  <c r="N690" i="31"/>
  <c r="N691" i="31"/>
  <c r="N692" i="31"/>
  <c r="N693" i="31"/>
  <c r="N694" i="31"/>
  <c r="N695" i="31"/>
  <c r="N696" i="31"/>
  <c r="N697" i="31"/>
  <c r="N698" i="31"/>
  <c r="N699" i="31"/>
  <c r="N700" i="31"/>
  <c r="N701" i="31"/>
  <c r="N702" i="31"/>
  <c r="N703" i="31"/>
  <c r="N704" i="31"/>
  <c r="N705" i="31"/>
  <c r="N706" i="31"/>
  <c r="N707" i="31"/>
  <c r="N708" i="31"/>
  <c r="N709" i="31"/>
  <c r="N710" i="31"/>
  <c r="N711" i="31"/>
  <c r="N712" i="31"/>
  <c r="N713" i="31"/>
  <c r="N714" i="31"/>
  <c r="N715" i="31"/>
  <c r="N716" i="31"/>
  <c r="N717" i="31"/>
  <c r="N718" i="31"/>
  <c r="N719" i="31"/>
  <c r="N720" i="31"/>
  <c r="N721" i="31"/>
  <c r="N722" i="31"/>
  <c r="N723" i="31"/>
  <c r="N724" i="31"/>
  <c r="N725" i="31"/>
  <c r="N726" i="31"/>
  <c r="N727" i="31"/>
  <c r="N728" i="31"/>
  <c r="N729" i="31"/>
  <c r="N730" i="31"/>
  <c r="N731" i="31"/>
  <c r="N732" i="31"/>
  <c r="N733" i="31"/>
  <c r="N734" i="31"/>
  <c r="N735" i="31"/>
  <c r="N736" i="31"/>
  <c r="N737" i="31"/>
  <c r="N738" i="31"/>
  <c r="N739" i="31"/>
  <c r="N740" i="31"/>
  <c r="N741" i="31"/>
  <c r="N742" i="31"/>
  <c r="N743" i="31"/>
  <c r="N744" i="31"/>
  <c r="N745" i="31"/>
  <c r="N746" i="31"/>
  <c r="N747" i="31"/>
  <c r="N748" i="31"/>
  <c r="N749" i="31"/>
  <c r="N750" i="31"/>
  <c r="N751" i="31"/>
  <c r="N752" i="31"/>
  <c r="N753" i="31"/>
  <c r="N754" i="31"/>
  <c r="N755" i="31"/>
  <c r="N756" i="31"/>
  <c r="N757" i="31"/>
  <c r="N758" i="31"/>
  <c r="N759" i="31"/>
  <c r="N760" i="31"/>
  <c r="N761" i="31"/>
  <c r="N762" i="31"/>
  <c r="N763" i="31"/>
  <c r="N764" i="31"/>
  <c r="N765" i="31"/>
  <c r="N766" i="31"/>
  <c r="N767" i="31"/>
  <c r="N768" i="31"/>
  <c r="N769" i="31"/>
  <c r="N770" i="31"/>
  <c r="N771" i="31"/>
  <c r="N772" i="31"/>
  <c r="N773" i="31"/>
  <c r="N774" i="31"/>
  <c r="N775" i="31"/>
  <c r="N776" i="31"/>
  <c r="N777" i="31"/>
  <c r="N778" i="31"/>
  <c r="N779" i="31"/>
  <c r="N780" i="31"/>
  <c r="N781" i="31"/>
  <c r="N782" i="31"/>
  <c r="N783" i="31"/>
  <c r="N784" i="31"/>
  <c r="N785" i="31"/>
  <c r="N786" i="31"/>
  <c r="N787" i="31"/>
  <c r="N788" i="31"/>
  <c r="N789" i="31"/>
  <c r="N790" i="31"/>
  <c r="N791" i="31"/>
  <c r="N792" i="31"/>
  <c r="N793" i="31"/>
  <c r="N794" i="31"/>
  <c r="N795" i="31"/>
  <c r="N796" i="31"/>
  <c r="N797" i="31"/>
  <c r="N798" i="31"/>
  <c r="N799" i="31"/>
  <c r="N800" i="31"/>
  <c r="N801" i="31"/>
  <c r="N802" i="31"/>
  <c r="N803" i="31"/>
  <c r="N804" i="31"/>
  <c r="N805" i="31"/>
  <c r="N806" i="31"/>
  <c r="N807" i="31"/>
  <c r="N808" i="31"/>
  <c r="N809" i="31"/>
  <c r="N810" i="31"/>
  <c r="N811" i="31"/>
  <c r="N812" i="31"/>
  <c r="N813" i="31"/>
  <c r="N814" i="31"/>
  <c r="N815" i="31"/>
  <c r="N816" i="31"/>
  <c r="N817" i="31"/>
  <c r="N818" i="31"/>
  <c r="N819" i="31"/>
  <c r="N820" i="31"/>
  <c r="N821" i="31"/>
  <c r="N822" i="31"/>
  <c r="N823" i="31"/>
  <c r="N824" i="31"/>
  <c r="N825" i="31"/>
  <c r="N826" i="31"/>
  <c r="N827" i="31"/>
  <c r="N828" i="31"/>
  <c r="N829" i="31"/>
  <c r="N830" i="31"/>
  <c r="N831" i="31"/>
  <c r="N832" i="31"/>
  <c r="N833" i="31"/>
  <c r="N834" i="31"/>
  <c r="N835" i="31"/>
  <c r="N836" i="31"/>
  <c r="N837" i="31"/>
  <c r="N838" i="31"/>
  <c r="N839" i="31"/>
  <c r="N840" i="31"/>
  <c r="N841" i="31"/>
  <c r="N842" i="31"/>
  <c r="N843" i="31"/>
  <c r="N844" i="31"/>
  <c r="N845" i="31"/>
  <c r="N846" i="31"/>
  <c r="N847" i="31"/>
  <c r="N848" i="31"/>
  <c r="N849" i="31"/>
  <c r="N850" i="31"/>
  <c r="N851" i="31"/>
  <c r="N852" i="31"/>
  <c r="N853" i="31"/>
  <c r="N854" i="31"/>
  <c r="N855" i="31"/>
  <c r="N856" i="31"/>
  <c r="N857" i="31"/>
  <c r="N858" i="31"/>
  <c r="N859" i="31"/>
  <c r="N860" i="31"/>
  <c r="N861" i="31"/>
  <c r="N862" i="31"/>
  <c r="N863" i="31"/>
  <c r="N864" i="31"/>
  <c r="N865" i="31"/>
  <c r="N866" i="31"/>
  <c r="N867" i="31"/>
  <c r="N868" i="31"/>
  <c r="N869" i="31"/>
  <c r="N870" i="31"/>
  <c r="N871" i="31"/>
  <c r="N872" i="31"/>
  <c r="N873" i="31"/>
  <c r="N874" i="31"/>
  <c r="N875" i="31"/>
  <c r="N876" i="31"/>
  <c r="N877" i="31"/>
  <c r="N878" i="31"/>
  <c r="N879" i="31"/>
  <c r="N880" i="31"/>
  <c r="N881" i="31"/>
  <c r="N882" i="31"/>
  <c r="N883" i="31"/>
  <c r="N884" i="31"/>
  <c r="N885" i="31"/>
  <c r="N886" i="31"/>
  <c r="N887" i="31"/>
  <c r="N888" i="31"/>
  <c r="N889" i="31"/>
  <c r="N890" i="31"/>
  <c r="N891" i="31"/>
  <c r="N892" i="31"/>
  <c r="N893" i="31"/>
  <c r="N894" i="31"/>
  <c r="N895" i="31"/>
  <c r="N896" i="31"/>
  <c r="N897" i="31"/>
  <c r="N898" i="31"/>
  <c r="N899" i="31"/>
  <c r="N900" i="31"/>
  <c r="N901" i="31"/>
  <c r="N902" i="31"/>
  <c r="N903" i="31"/>
  <c r="N904" i="31"/>
  <c r="N905" i="31"/>
  <c r="N906" i="31"/>
  <c r="N907" i="31"/>
  <c r="N908" i="31"/>
  <c r="N909" i="31"/>
  <c r="N910" i="31"/>
  <c r="N911" i="31"/>
  <c r="N912" i="31"/>
  <c r="N913" i="31"/>
  <c r="N914" i="31"/>
  <c r="N915" i="31"/>
  <c r="N916" i="31"/>
  <c r="N917" i="31"/>
  <c r="N918" i="31"/>
  <c r="N919" i="31"/>
  <c r="N920" i="31"/>
  <c r="N921" i="31"/>
  <c r="N922" i="31"/>
  <c r="N923" i="31"/>
  <c r="N924" i="31"/>
  <c r="N925" i="31"/>
  <c r="N926" i="31"/>
  <c r="N927" i="31"/>
  <c r="N928" i="31"/>
  <c r="N929" i="31"/>
  <c r="N930" i="31"/>
  <c r="N931" i="31"/>
  <c r="N932" i="31"/>
  <c r="N933" i="31"/>
  <c r="N934" i="31"/>
  <c r="N935" i="31"/>
  <c r="N936" i="31"/>
  <c r="N937" i="31"/>
  <c r="N938" i="31"/>
  <c r="N939" i="31"/>
  <c r="N940" i="31"/>
  <c r="N941" i="31"/>
  <c r="N942" i="31"/>
  <c r="N943" i="31"/>
  <c r="N944" i="31"/>
  <c r="N945" i="31"/>
  <c r="N946" i="31"/>
  <c r="N947" i="31"/>
  <c r="N948" i="31"/>
  <c r="N949" i="31"/>
  <c r="N950" i="31"/>
  <c r="N951" i="31"/>
  <c r="N952" i="31"/>
  <c r="N953" i="31"/>
  <c r="N954" i="31"/>
  <c r="N955" i="31"/>
  <c r="N956" i="31"/>
  <c r="N957" i="31"/>
  <c r="N958" i="31"/>
  <c r="N959" i="31"/>
  <c r="N960" i="31"/>
  <c r="N961" i="31"/>
  <c r="N962" i="31"/>
  <c r="N963" i="31"/>
  <c r="N964" i="31"/>
  <c r="N965" i="31"/>
  <c r="N966" i="31"/>
  <c r="N967" i="31"/>
  <c r="N968" i="31"/>
  <c r="N969" i="31"/>
  <c r="N970" i="31"/>
  <c r="N971" i="31"/>
  <c r="N972" i="31"/>
  <c r="N973" i="31"/>
  <c r="N974" i="31"/>
  <c r="N975" i="31"/>
  <c r="N976" i="31"/>
  <c r="N977" i="31"/>
  <c r="N978" i="31"/>
  <c r="N979" i="31"/>
  <c r="N980" i="31"/>
  <c r="N981" i="31"/>
  <c r="N982" i="31"/>
  <c r="N983" i="31"/>
  <c r="N984" i="31"/>
  <c r="N985" i="31"/>
  <c r="N986" i="31"/>
  <c r="N987" i="31"/>
  <c r="N988" i="31"/>
  <c r="N989" i="31"/>
  <c r="N990" i="31"/>
  <c r="N991" i="31"/>
  <c r="N992" i="31"/>
  <c r="N993" i="31"/>
  <c r="N994" i="31"/>
  <c r="N995" i="31"/>
  <c r="N996" i="31"/>
  <c r="N997" i="31"/>
  <c r="N998" i="31"/>
  <c r="N999" i="31"/>
  <c r="N1000" i="31"/>
  <c r="N1001" i="31"/>
  <c r="N1002" i="31"/>
  <c r="N1003" i="31"/>
  <c r="N1004" i="31"/>
  <c r="N1005" i="31"/>
  <c r="N1006" i="31"/>
  <c r="N1007" i="31"/>
  <c r="N1008" i="31"/>
  <c r="N1009" i="31"/>
  <c r="N1010" i="31"/>
  <c r="N1011" i="31"/>
  <c r="N1012" i="31"/>
  <c r="N1013" i="31"/>
  <c r="N1014" i="31"/>
  <c r="N1015" i="31"/>
  <c r="N1016" i="31"/>
  <c r="N1017" i="31"/>
  <c r="N1018" i="31"/>
  <c r="N1019" i="31"/>
  <c r="N1020" i="31"/>
  <c r="N1021" i="31"/>
  <c r="N1022" i="31"/>
  <c r="N1023" i="31"/>
  <c r="N1024" i="31"/>
  <c r="N1025" i="31"/>
  <c r="N1026" i="31"/>
  <c r="N1027" i="31"/>
  <c r="N1028" i="31"/>
  <c r="N1029" i="31"/>
  <c r="N1030" i="31"/>
  <c r="N1031" i="31"/>
  <c r="N1032" i="31"/>
  <c r="N1033" i="31"/>
  <c r="N1034" i="31"/>
  <c r="N1035" i="31"/>
  <c r="N1036" i="31"/>
  <c r="N1037" i="31"/>
  <c r="N1038" i="31"/>
  <c r="N1039" i="31"/>
  <c r="N1040" i="31"/>
  <c r="N1041" i="31"/>
  <c r="N1042" i="31"/>
  <c r="N1043" i="31"/>
  <c r="N1044" i="31"/>
  <c r="N1045" i="31"/>
  <c r="N1046" i="31"/>
  <c r="N1047" i="31"/>
  <c r="N1048" i="31"/>
  <c r="N1049" i="31"/>
  <c r="N1050" i="31"/>
  <c r="N1051" i="31"/>
  <c r="N1052" i="31"/>
  <c r="N1053" i="31"/>
  <c r="N1054" i="31"/>
  <c r="N1055" i="31"/>
  <c r="N1056" i="31"/>
  <c r="N1057" i="31"/>
  <c r="N1058" i="31"/>
  <c r="N1059" i="31"/>
  <c r="N1060" i="31"/>
  <c r="N1061" i="31"/>
  <c r="N1062" i="31"/>
  <c r="N1063" i="31"/>
  <c r="N1064" i="31"/>
  <c r="N1065" i="31"/>
  <c r="N1066" i="31"/>
  <c r="N1067" i="31"/>
  <c r="N1068" i="31"/>
  <c r="N1069" i="31"/>
  <c r="N1070" i="31"/>
  <c r="N1071" i="31"/>
  <c r="N1072" i="31"/>
  <c r="N1073" i="31"/>
  <c r="N1074" i="31"/>
  <c r="N1075" i="31"/>
  <c r="N1076" i="31"/>
  <c r="N1077" i="31"/>
  <c r="N1078" i="31"/>
  <c r="N1079" i="31"/>
  <c r="N1080" i="31"/>
  <c r="N1081" i="31"/>
  <c r="N1082" i="31"/>
  <c r="N1083" i="31"/>
  <c r="N1084" i="31"/>
  <c r="N1085" i="31"/>
  <c r="N1086" i="31"/>
  <c r="N1087" i="31"/>
  <c r="N1088" i="31"/>
  <c r="N1089" i="31"/>
  <c r="N1090" i="31"/>
  <c r="N1091" i="31"/>
  <c r="N1092" i="31"/>
  <c r="N1093" i="31"/>
  <c r="N1094" i="31"/>
  <c r="N1095" i="31"/>
  <c r="N1096" i="31"/>
  <c r="N1097" i="31"/>
  <c r="N1098" i="31"/>
  <c r="N1099" i="31"/>
  <c r="N1100" i="31"/>
  <c r="N1101" i="31"/>
  <c r="N1102" i="31"/>
  <c r="N1103" i="31"/>
  <c r="N1104" i="31"/>
  <c r="N1105" i="31"/>
  <c r="N1106" i="31"/>
  <c r="N1107" i="31"/>
  <c r="N1108" i="31"/>
  <c r="N1109" i="31"/>
  <c r="N1110" i="31"/>
  <c r="N1111" i="31"/>
  <c r="N1112" i="31"/>
  <c r="N1113" i="31"/>
  <c r="N1114" i="31"/>
  <c r="N1115" i="31"/>
  <c r="N1116" i="31"/>
  <c r="N1117" i="31"/>
  <c r="N1118" i="31"/>
  <c r="N1119" i="31"/>
  <c r="N1120" i="31"/>
  <c r="N1121" i="31"/>
  <c r="N1122" i="31"/>
  <c r="N1123" i="31"/>
  <c r="N1124" i="31"/>
  <c r="N1125" i="31"/>
  <c r="N1126" i="31"/>
  <c r="N1127" i="31"/>
  <c r="N1128" i="31"/>
  <c r="N1129" i="31"/>
  <c r="N1130" i="31"/>
  <c r="N1131" i="31"/>
  <c r="N1132" i="31"/>
  <c r="N1133" i="31"/>
  <c r="N1134" i="31"/>
  <c r="N1135" i="31"/>
  <c r="N1136" i="31"/>
  <c r="N1137" i="31"/>
  <c r="N1138" i="31"/>
  <c r="N1139" i="31"/>
  <c r="N1140" i="31"/>
  <c r="N1141" i="31"/>
  <c r="N1142" i="31"/>
  <c r="N1143" i="31"/>
  <c r="N1144" i="31"/>
  <c r="N1145" i="31"/>
  <c r="N1146" i="31"/>
  <c r="N1147" i="31"/>
  <c r="N1148" i="31"/>
  <c r="N1149" i="31"/>
  <c r="N1150" i="31"/>
  <c r="N1151" i="31"/>
  <c r="N1152" i="31"/>
  <c r="N1153" i="31"/>
  <c r="N1154" i="31"/>
  <c r="N1155" i="31"/>
  <c r="N1156" i="31"/>
  <c r="N1157" i="31"/>
  <c r="N1158" i="31"/>
  <c r="N1159" i="31"/>
  <c r="N1160" i="31"/>
  <c r="N1161" i="31"/>
  <c r="N1162" i="31"/>
  <c r="N1163" i="31"/>
  <c r="N1164" i="31"/>
  <c r="N1165" i="31"/>
  <c r="N1166" i="31"/>
  <c r="N1167" i="31"/>
  <c r="N1168" i="31"/>
  <c r="N1169" i="31"/>
  <c r="N1170" i="31"/>
  <c r="N1171" i="31"/>
  <c r="N1172" i="31"/>
  <c r="N1173" i="31"/>
  <c r="N1174" i="31"/>
  <c r="N1175" i="31"/>
  <c r="N1176" i="31"/>
  <c r="N1177" i="31"/>
  <c r="N1178" i="31"/>
  <c r="N1179" i="31"/>
  <c r="N1180" i="31"/>
  <c r="N1181" i="31"/>
  <c r="N1182" i="31"/>
  <c r="N1183" i="31"/>
  <c r="N1184" i="31"/>
  <c r="N1185" i="31"/>
  <c r="N1186" i="31"/>
  <c r="N1187" i="31"/>
  <c r="N1188" i="31"/>
  <c r="N1189" i="31"/>
  <c r="N1190" i="31"/>
  <c r="N1191" i="31"/>
  <c r="N1192" i="31"/>
  <c r="N1193" i="31"/>
  <c r="N1194" i="31"/>
  <c r="N1195" i="31"/>
  <c r="N1196" i="31"/>
  <c r="N1197" i="31"/>
  <c r="N1198" i="31"/>
  <c r="N1199" i="31"/>
  <c r="N1200" i="31"/>
  <c r="N1201" i="31"/>
  <c r="N1202" i="31"/>
  <c r="N1203" i="31"/>
  <c r="N1204" i="31"/>
  <c r="N1205" i="31"/>
  <c r="N1206" i="31"/>
  <c r="N1207" i="31"/>
  <c r="N1208" i="31"/>
  <c r="N1209" i="31"/>
  <c r="N1210" i="31"/>
  <c r="N1211" i="31"/>
  <c r="N1212" i="31"/>
  <c r="N1213" i="31"/>
  <c r="N1214" i="31"/>
  <c r="N1215" i="31"/>
  <c r="N1216" i="31"/>
  <c r="N1217" i="31"/>
  <c r="N1218" i="31"/>
  <c r="N1219" i="31"/>
  <c r="N1220" i="31"/>
  <c r="N1221" i="31"/>
  <c r="N1222" i="31"/>
  <c r="N1223" i="31"/>
  <c r="N1224" i="31"/>
  <c r="N1225" i="31"/>
  <c r="N1226" i="31"/>
  <c r="N1227" i="31"/>
  <c r="N1228" i="31"/>
  <c r="N1229" i="31"/>
  <c r="N1230" i="31"/>
  <c r="N1231" i="31"/>
  <c r="N1232" i="31"/>
  <c r="N1233" i="31"/>
  <c r="N1234" i="31"/>
  <c r="N1235" i="31"/>
  <c r="N1236" i="31"/>
  <c r="N1237" i="31"/>
  <c r="N1238" i="31"/>
  <c r="N1239" i="31"/>
  <c r="N1240" i="31"/>
  <c r="N1241" i="31"/>
  <c r="N1242" i="31"/>
  <c r="N1243" i="31"/>
  <c r="N1244" i="31"/>
  <c r="N1245" i="31"/>
  <c r="N1246" i="31"/>
  <c r="N1247" i="31"/>
  <c r="N1248" i="31"/>
  <c r="N1249" i="31"/>
  <c r="N1250" i="31"/>
  <c r="N1251" i="31"/>
  <c r="N1252" i="31"/>
  <c r="N1253" i="31"/>
  <c r="N1254" i="31"/>
  <c r="N1255" i="31"/>
  <c r="N1256" i="31"/>
  <c r="N1257" i="31"/>
  <c r="N1258" i="31"/>
  <c r="N1259" i="31"/>
  <c r="N1260" i="31"/>
  <c r="N1261" i="31"/>
  <c r="N1262" i="31"/>
  <c r="N1263" i="31"/>
  <c r="N1264" i="31"/>
  <c r="N1265" i="31"/>
  <c r="N1266" i="31"/>
  <c r="N1267" i="31"/>
  <c r="N1268" i="31"/>
  <c r="N1269" i="31"/>
  <c r="N1270" i="31"/>
  <c r="N1271" i="31"/>
  <c r="N1272" i="31"/>
  <c r="N1273" i="31"/>
  <c r="N1274" i="31"/>
  <c r="N1275" i="31"/>
  <c r="N1276" i="31"/>
  <c r="N1277" i="31"/>
  <c r="N1278" i="31"/>
  <c r="N1279" i="31"/>
  <c r="N1280" i="31"/>
  <c r="N1281" i="31"/>
  <c r="N1282" i="31"/>
  <c r="N1283" i="31"/>
  <c r="N1284" i="31"/>
  <c r="N1285" i="31"/>
  <c r="N1286" i="31"/>
  <c r="N1287" i="31"/>
  <c r="N1288" i="31"/>
  <c r="N1289" i="31"/>
  <c r="N1290" i="31"/>
  <c r="N1291" i="31"/>
  <c r="N1292" i="31"/>
  <c r="N1293" i="31"/>
  <c r="N1294" i="31"/>
  <c r="N1295" i="31"/>
  <c r="N1296" i="31"/>
  <c r="N1297" i="31"/>
  <c r="N1298" i="31"/>
  <c r="N1299" i="31"/>
  <c r="N1300" i="31"/>
  <c r="N1301" i="31"/>
  <c r="N1302" i="31"/>
  <c r="N1303" i="31"/>
  <c r="N1304" i="31"/>
  <c r="N1305" i="31"/>
  <c r="N1306" i="31"/>
  <c r="N1307" i="31"/>
  <c r="N1308" i="31"/>
  <c r="N1309" i="31"/>
  <c r="N1310" i="31"/>
  <c r="N1311" i="31"/>
  <c r="N1312" i="31"/>
  <c r="N1313" i="31"/>
  <c r="N1314" i="31"/>
  <c r="N1315" i="31"/>
  <c r="N1316" i="31"/>
  <c r="N1317" i="31"/>
  <c r="N1318" i="31"/>
  <c r="N1319" i="31"/>
  <c r="N1320" i="31"/>
  <c r="N1321" i="31"/>
  <c r="N1322" i="31"/>
  <c r="N1323" i="31"/>
  <c r="N1324" i="31"/>
  <c r="N1325" i="31"/>
  <c r="N1326" i="31"/>
  <c r="N1327" i="31"/>
  <c r="N1328" i="31"/>
  <c r="N1329" i="31"/>
  <c r="N1330" i="31"/>
  <c r="N1331" i="31"/>
  <c r="N1332" i="31"/>
  <c r="N1333" i="31"/>
  <c r="N1334" i="31"/>
  <c r="N1335" i="31"/>
  <c r="N1336" i="31"/>
  <c r="N1337" i="31"/>
  <c r="N1338" i="31"/>
  <c r="N1339" i="31"/>
  <c r="N1340" i="31"/>
  <c r="N1341" i="31"/>
  <c r="N1342" i="31"/>
  <c r="N1343" i="31"/>
  <c r="N1344" i="31"/>
  <c r="N1345" i="31"/>
  <c r="N1346" i="31"/>
  <c r="N1347" i="31"/>
  <c r="N1348" i="31"/>
  <c r="N1349" i="31"/>
  <c r="N1350" i="31"/>
  <c r="N1351" i="31"/>
  <c r="N1352" i="31"/>
  <c r="N1353" i="31"/>
  <c r="N1354" i="31"/>
  <c r="N1355" i="31"/>
  <c r="N1356" i="31"/>
  <c r="N1357" i="31"/>
  <c r="N1358" i="31"/>
  <c r="N1359" i="31"/>
  <c r="N1360" i="31"/>
  <c r="N1361" i="31"/>
  <c r="N1362" i="31"/>
  <c r="N1363" i="31"/>
  <c r="N1364" i="31"/>
  <c r="N1365" i="31"/>
  <c r="N1366" i="31"/>
  <c r="N1367" i="31"/>
  <c r="N1368" i="31"/>
  <c r="N1369" i="31"/>
  <c r="N1370" i="31"/>
  <c r="N1371" i="31"/>
  <c r="N1372" i="31"/>
  <c r="N1373" i="31"/>
  <c r="N1374" i="31"/>
  <c r="N1375" i="31"/>
  <c r="N1376" i="31"/>
  <c r="N1377" i="31"/>
  <c r="N1378" i="31"/>
  <c r="N1379" i="31"/>
  <c r="N1380" i="31"/>
  <c r="N1381" i="31"/>
  <c r="N1382" i="31"/>
  <c r="N1383" i="31"/>
  <c r="N1384" i="31"/>
  <c r="N1385" i="31"/>
  <c r="N1386" i="31"/>
  <c r="N1387" i="31"/>
  <c r="N1388" i="31"/>
  <c r="N1389" i="31"/>
  <c r="N1390" i="31"/>
  <c r="N1391" i="31"/>
  <c r="N1392" i="31"/>
  <c r="N1393" i="31"/>
  <c r="N1394" i="31"/>
  <c r="N1395" i="31"/>
  <c r="N1396" i="31"/>
  <c r="N1397" i="31"/>
  <c r="N1398" i="31"/>
  <c r="N1399" i="31"/>
  <c r="N1400" i="31"/>
  <c r="N1401" i="31"/>
  <c r="N1402" i="31"/>
  <c r="N1403" i="31"/>
  <c r="N1404" i="31"/>
  <c r="N1405" i="31"/>
  <c r="N1406" i="31"/>
  <c r="N1407" i="31"/>
  <c r="N1408" i="31"/>
  <c r="N1409" i="31"/>
  <c r="N1410" i="31"/>
  <c r="N1411" i="31"/>
  <c r="N1412" i="31"/>
  <c r="N1413" i="31"/>
  <c r="N1414" i="31"/>
  <c r="N1415" i="31"/>
  <c r="N1416" i="31"/>
  <c r="N1417" i="31"/>
  <c r="N1418" i="31"/>
  <c r="N1419" i="31"/>
  <c r="N1420" i="31"/>
  <c r="N1421" i="31"/>
  <c r="N1422" i="31"/>
  <c r="N1423" i="31"/>
  <c r="N1424" i="31"/>
  <c r="N1425" i="31"/>
  <c r="N1426" i="31"/>
  <c r="N1427" i="31"/>
  <c r="N1428" i="31"/>
  <c r="N1429" i="31"/>
  <c r="N1430" i="31"/>
  <c r="N1431" i="31"/>
  <c r="N1432" i="31"/>
  <c r="N1433" i="31"/>
  <c r="N1434" i="31"/>
  <c r="N1435" i="31"/>
  <c r="N1436" i="31"/>
  <c r="N1437" i="31"/>
  <c r="N1438" i="31"/>
  <c r="N1439" i="31"/>
  <c r="N1440" i="31"/>
  <c r="N1441" i="31"/>
  <c r="N1442" i="31"/>
  <c r="N1443" i="31"/>
  <c r="N1444" i="31"/>
  <c r="N1445" i="31"/>
  <c r="N1446" i="31"/>
  <c r="N1447" i="31"/>
  <c r="N1448" i="31"/>
  <c r="N1449" i="31"/>
  <c r="N1450" i="31"/>
  <c r="N1451" i="31"/>
  <c r="N1452" i="31"/>
  <c r="N1453" i="31"/>
  <c r="N1454" i="31"/>
  <c r="N1455" i="31"/>
  <c r="N1456" i="31"/>
  <c r="N1457" i="31"/>
  <c r="N1458" i="31"/>
  <c r="N1459" i="31"/>
  <c r="N1460" i="31"/>
  <c r="N1461" i="31"/>
  <c r="N1462" i="31"/>
  <c r="N1463" i="31"/>
  <c r="N1464" i="31"/>
  <c r="N1465" i="31"/>
  <c r="N1466" i="31"/>
  <c r="N1467" i="31"/>
  <c r="N1468" i="31"/>
  <c r="N1469" i="31"/>
  <c r="N1470" i="31"/>
  <c r="N1471" i="31"/>
  <c r="N1472" i="31"/>
  <c r="N1473" i="31"/>
  <c r="N1474" i="31"/>
  <c r="N1475" i="31"/>
  <c r="N1476" i="31"/>
  <c r="N1477" i="31"/>
  <c r="N1478" i="31"/>
  <c r="N1479" i="31"/>
  <c r="N1480" i="31"/>
  <c r="N1481" i="31"/>
  <c r="N1482" i="31"/>
  <c r="N1483" i="31"/>
  <c r="N1484" i="31"/>
  <c r="N1485" i="31"/>
  <c r="N1486" i="31"/>
  <c r="N1487" i="31"/>
  <c r="N1488" i="31"/>
  <c r="N1489" i="31"/>
  <c r="N1490" i="31"/>
  <c r="N1491" i="31"/>
  <c r="N1492" i="31"/>
  <c r="N1493" i="31"/>
  <c r="N1494" i="31"/>
  <c r="N1495" i="31"/>
  <c r="N1496" i="31"/>
  <c r="N1497" i="31"/>
  <c r="N1498" i="31"/>
  <c r="N1499" i="31"/>
  <c r="N1500" i="31"/>
  <c r="N1501" i="31"/>
  <c r="N1502" i="31"/>
  <c r="N1503" i="31"/>
  <c r="N1504" i="31"/>
  <c r="N1505" i="31"/>
  <c r="N1506" i="31"/>
  <c r="N1507" i="31"/>
  <c r="N1508" i="31"/>
  <c r="N1509" i="31"/>
  <c r="N1510" i="31"/>
  <c r="N1511" i="31"/>
  <c r="N1512" i="31"/>
  <c r="N1513" i="31"/>
  <c r="N1514" i="31"/>
  <c r="N1515" i="31"/>
  <c r="N1516" i="31"/>
  <c r="N1517" i="31"/>
  <c r="N1518" i="31"/>
  <c r="N1519" i="31"/>
  <c r="N1520" i="31"/>
  <c r="N1521" i="31"/>
  <c r="N1522" i="31"/>
  <c r="N1523" i="31"/>
  <c r="N1524" i="31"/>
  <c r="N1525" i="31"/>
  <c r="N1526" i="31"/>
  <c r="N1527" i="31"/>
  <c r="N1528" i="31"/>
  <c r="N1529" i="31"/>
  <c r="N1530" i="31"/>
  <c r="N1531" i="31"/>
  <c r="N1532" i="31"/>
  <c r="N1533" i="31"/>
  <c r="N1534" i="31"/>
  <c r="N1535" i="31"/>
  <c r="N1536" i="31"/>
  <c r="N1537" i="31"/>
  <c r="N1538" i="31"/>
  <c r="N1539" i="31"/>
  <c r="N1540" i="31"/>
  <c r="N1541" i="31"/>
  <c r="N1542" i="31"/>
  <c r="N1543" i="31"/>
  <c r="N1544" i="31"/>
  <c r="N1545" i="31"/>
  <c r="N1546" i="31"/>
  <c r="N1547" i="31"/>
  <c r="N1548" i="31"/>
  <c r="N1549" i="31"/>
  <c r="N1550" i="31"/>
  <c r="N1551" i="31"/>
  <c r="N1552" i="31"/>
  <c r="N1553" i="31"/>
  <c r="N1554" i="31"/>
  <c r="N1555" i="31"/>
  <c r="N1556" i="31"/>
  <c r="N1557" i="31"/>
  <c r="N1558" i="31"/>
  <c r="N1559" i="31"/>
  <c r="N1560" i="31"/>
  <c r="N1561" i="31"/>
  <c r="N1562" i="31"/>
  <c r="N1563" i="31"/>
  <c r="N1564" i="31"/>
  <c r="N1565" i="31"/>
  <c r="N1566" i="31"/>
  <c r="N1567" i="31"/>
  <c r="N1568" i="31"/>
  <c r="N1569" i="31"/>
  <c r="N1570" i="31"/>
  <c r="N1571" i="31"/>
  <c r="N1572" i="31"/>
  <c r="N1573" i="31"/>
  <c r="N1574" i="31"/>
  <c r="N1575" i="31"/>
  <c r="N1576" i="31"/>
  <c r="N1577" i="31"/>
  <c r="N1578" i="31"/>
  <c r="N1579" i="31"/>
  <c r="N1580" i="31"/>
  <c r="N1581" i="31"/>
  <c r="N1582" i="31"/>
  <c r="N1583" i="31"/>
  <c r="N1584" i="31"/>
  <c r="N1585" i="31"/>
  <c r="N1586" i="31"/>
  <c r="N1587" i="31"/>
  <c r="N1588" i="31"/>
  <c r="N1589" i="31"/>
  <c r="N1590" i="31"/>
  <c r="N1591" i="31"/>
  <c r="N1592" i="31"/>
  <c r="N1593" i="31"/>
  <c r="N1594" i="31"/>
  <c r="N1595" i="31"/>
  <c r="N1596" i="31"/>
  <c r="N1597" i="31"/>
  <c r="N1598" i="31"/>
  <c r="N1599" i="31"/>
  <c r="N1600" i="31"/>
  <c r="N1601" i="31"/>
  <c r="N1602" i="31"/>
  <c r="N1603" i="31"/>
  <c r="N1604" i="31"/>
  <c r="N1605" i="31"/>
  <c r="N1606" i="31"/>
  <c r="N1607" i="31"/>
  <c r="N1608" i="31"/>
  <c r="N1609" i="31"/>
  <c r="N1610" i="31"/>
  <c r="N1611" i="31"/>
  <c r="N1612" i="31"/>
  <c r="N1613" i="31"/>
  <c r="N1614" i="31"/>
  <c r="N1615" i="31"/>
  <c r="N1616" i="31"/>
  <c r="N1617" i="31"/>
  <c r="N1618" i="31"/>
  <c r="N1619" i="31"/>
  <c r="N1620" i="31"/>
  <c r="N1621" i="31"/>
  <c r="N1622" i="31"/>
  <c r="N1623" i="31"/>
  <c r="N1624" i="31"/>
  <c r="N1625" i="31"/>
  <c r="N1626" i="31"/>
  <c r="N1627" i="31"/>
  <c r="N1628" i="31"/>
  <c r="N1629" i="31"/>
  <c r="N1630" i="31"/>
  <c r="N1631" i="31"/>
  <c r="N1632" i="31"/>
  <c r="N1633" i="31"/>
  <c r="N1634" i="31"/>
  <c r="N1635" i="31"/>
  <c r="N1636" i="31"/>
  <c r="N1637" i="31"/>
  <c r="N1638" i="31"/>
  <c r="N1639" i="31"/>
  <c r="N1640" i="31"/>
  <c r="N1641" i="31"/>
  <c r="N1642" i="31"/>
  <c r="N1643" i="31"/>
  <c r="N1644" i="31"/>
  <c r="N1645" i="31"/>
  <c r="N1646" i="31"/>
  <c r="N1647" i="31"/>
  <c r="N1648" i="31"/>
  <c r="N1649" i="31"/>
  <c r="N1650" i="31"/>
  <c r="N1651" i="31"/>
  <c r="N1652" i="31"/>
  <c r="N1653" i="31"/>
  <c r="N1654" i="31"/>
  <c r="N1655" i="31"/>
  <c r="N1656" i="31"/>
  <c r="N1657" i="31"/>
  <c r="N1658" i="31"/>
  <c r="N1659" i="31"/>
  <c r="N1660" i="31"/>
  <c r="N1661" i="31"/>
  <c r="N1662" i="31"/>
  <c r="N1663" i="31"/>
  <c r="N1664" i="31"/>
  <c r="N1665" i="31"/>
  <c r="N1666" i="31"/>
  <c r="N1667" i="31"/>
  <c r="N1668" i="31"/>
  <c r="N1669" i="31"/>
  <c r="N1670" i="31"/>
  <c r="N1671" i="31"/>
  <c r="N1672" i="31"/>
  <c r="N1673" i="31"/>
  <c r="N1674" i="31"/>
  <c r="N1675" i="31"/>
  <c r="N1676" i="31"/>
  <c r="N1677" i="31"/>
  <c r="N1678" i="31"/>
  <c r="N1679" i="31"/>
  <c r="N1680" i="31"/>
  <c r="N1681" i="31"/>
  <c r="N1682" i="31"/>
  <c r="N1683" i="31"/>
  <c r="N1684" i="31"/>
  <c r="N1685" i="31"/>
  <c r="N1686" i="31"/>
  <c r="N1687" i="31"/>
  <c r="N1688" i="31"/>
  <c r="N1689" i="31"/>
  <c r="N1690" i="31"/>
  <c r="N1691" i="31"/>
  <c r="N1692" i="31"/>
  <c r="N1693" i="31"/>
  <c r="N1694" i="31"/>
  <c r="N1695" i="31"/>
  <c r="N1696" i="31"/>
  <c r="N1697" i="31"/>
  <c r="N1698" i="31"/>
  <c r="N1699" i="31"/>
  <c r="N1700" i="31"/>
  <c r="N1701" i="31"/>
  <c r="N1702" i="31"/>
  <c r="N1703" i="31"/>
  <c r="N1704" i="31"/>
  <c r="N1705" i="31"/>
  <c r="N1706" i="31"/>
  <c r="N1707" i="31"/>
  <c r="N1708" i="31"/>
  <c r="N1709" i="31"/>
  <c r="N1710" i="31"/>
  <c r="N1711" i="31"/>
  <c r="N1712" i="31"/>
  <c r="N1713" i="31"/>
  <c r="N1714" i="31"/>
  <c r="N1715" i="31"/>
  <c r="N1716" i="31"/>
  <c r="N1717" i="31"/>
  <c r="N1718" i="31"/>
  <c r="N1719" i="31"/>
  <c r="N1720" i="31"/>
  <c r="N1721" i="31"/>
  <c r="N1722" i="31"/>
  <c r="N1723" i="31"/>
  <c r="N1724" i="31"/>
  <c r="N1725" i="31"/>
  <c r="N1726" i="31"/>
  <c r="N1727" i="31"/>
  <c r="N1728" i="31"/>
  <c r="N1729" i="31"/>
  <c r="N1730" i="31"/>
  <c r="N1731" i="31"/>
  <c r="N1732" i="31"/>
  <c r="N1733" i="31"/>
  <c r="N1734" i="31"/>
  <c r="N1735" i="31"/>
  <c r="N1736" i="31"/>
  <c r="N1737" i="31"/>
  <c r="N1738" i="31"/>
  <c r="N1739" i="31"/>
  <c r="N1740" i="31"/>
  <c r="N1741" i="31"/>
  <c r="N1742" i="31"/>
  <c r="N1743" i="31"/>
  <c r="N1744" i="31"/>
  <c r="N1745" i="31"/>
  <c r="N1746" i="31"/>
  <c r="N1747" i="31"/>
  <c r="N1748" i="31"/>
  <c r="N1749" i="31"/>
  <c r="N1750" i="31"/>
  <c r="N1751" i="31"/>
  <c r="N1752" i="31"/>
  <c r="N1753" i="31"/>
  <c r="N1754" i="31"/>
  <c r="N1755" i="31"/>
  <c r="N1756" i="31"/>
  <c r="N1757" i="31"/>
  <c r="N1758" i="31"/>
  <c r="N1759" i="31"/>
  <c r="N1760" i="31"/>
  <c r="N1761" i="31"/>
  <c r="N1762" i="31"/>
  <c r="N1763" i="31"/>
  <c r="N1764" i="31"/>
  <c r="N1765" i="31"/>
  <c r="N1766" i="31"/>
  <c r="N1767" i="31"/>
  <c r="N1768" i="31"/>
  <c r="N1769" i="31"/>
  <c r="N1770" i="31"/>
  <c r="N1771" i="31"/>
  <c r="N1772" i="31"/>
  <c r="N1773" i="31"/>
  <c r="N1774" i="31"/>
  <c r="N1775" i="31"/>
  <c r="N1776" i="31"/>
  <c r="N1777" i="31"/>
  <c r="N1778" i="31"/>
  <c r="N1779" i="31"/>
  <c r="N1780" i="31"/>
  <c r="N1781" i="31"/>
  <c r="N1782" i="31"/>
  <c r="N1783" i="31"/>
  <c r="N1784" i="31"/>
  <c r="N1785" i="31"/>
  <c r="N1786" i="31"/>
  <c r="N1787" i="31"/>
  <c r="N1788" i="31"/>
  <c r="N1789" i="31"/>
  <c r="N1790" i="31"/>
  <c r="N1791" i="31"/>
  <c r="N1792" i="31"/>
  <c r="N1793" i="31"/>
  <c r="N1794" i="31"/>
  <c r="N1795" i="31"/>
  <c r="N1796" i="31"/>
  <c r="N1797" i="31"/>
  <c r="N1798" i="31"/>
  <c r="N1799" i="31"/>
  <c r="N1800" i="31"/>
  <c r="N1801" i="31"/>
  <c r="N1802" i="31"/>
  <c r="N1803" i="31"/>
  <c r="N1804" i="31"/>
  <c r="N1805" i="31"/>
  <c r="N1806" i="31"/>
  <c r="N1807" i="31"/>
  <c r="N1808" i="31"/>
  <c r="N1809" i="31"/>
  <c r="N1810" i="31"/>
  <c r="N1811" i="31"/>
  <c r="N1812" i="31"/>
  <c r="N1813" i="31"/>
  <c r="N1814" i="31"/>
  <c r="N1815" i="31"/>
  <c r="N1816" i="31"/>
  <c r="N1817" i="31"/>
  <c r="N1818" i="31"/>
  <c r="N1819" i="31"/>
  <c r="N1820" i="31"/>
  <c r="N1821" i="31"/>
  <c r="N1822" i="31"/>
  <c r="N1823" i="31"/>
  <c r="N1824" i="31"/>
  <c r="N1825" i="31"/>
  <c r="N1826" i="31"/>
  <c r="N1827" i="31"/>
  <c r="N1828" i="31"/>
  <c r="N1829" i="31"/>
  <c r="N1830" i="31"/>
  <c r="N1831" i="31"/>
  <c r="N1832" i="31"/>
  <c r="N1833" i="31"/>
  <c r="N1834" i="31"/>
  <c r="N1835" i="31"/>
  <c r="N1836" i="31"/>
  <c r="N1837" i="31"/>
  <c r="N1838" i="31"/>
  <c r="N1839" i="31"/>
  <c r="N1840" i="31"/>
  <c r="N1841" i="31"/>
  <c r="N1842" i="31"/>
  <c r="N1843" i="31"/>
  <c r="N1844" i="31"/>
  <c r="N1845" i="31"/>
  <c r="N1846" i="31"/>
  <c r="N1847" i="31"/>
  <c r="N1848" i="31"/>
  <c r="N1849" i="31"/>
  <c r="N1850" i="31"/>
  <c r="N1851" i="31"/>
  <c r="N1852" i="31"/>
  <c r="N1853" i="31"/>
  <c r="N1854" i="31"/>
  <c r="N1855" i="31"/>
  <c r="N1856" i="31"/>
  <c r="N1857" i="31"/>
  <c r="N1858" i="31"/>
  <c r="N1859" i="31"/>
  <c r="N1860" i="31"/>
  <c r="N1861" i="31"/>
  <c r="N1862" i="31"/>
  <c r="N1863" i="31"/>
  <c r="N1864" i="31"/>
  <c r="N1865" i="31"/>
  <c r="N1866" i="31"/>
  <c r="N1867" i="31"/>
  <c r="N1868" i="31"/>
  <c r="N1869" i="31"/>
  <c r="N1870" i="31"/>
  <c r="N1871" i="31"/>
  <c r="N1872" i="31"/>
  <c r="N1873" i="31"/>
  <c r="N1874" i="31"/>
  <c r="N1875" i="31"/>
  <c r="N1876" i="31"/>
  <c r="N1877" i="31"/>
  <c r="N1878" i="31"/>
  <c r="N1879" i="31"/>
  <c r="N1880" i="31"/>
  <c r="N1881" i="31"/>
  <c r="N1882" i="31"/>
  <c r="N1883" i="31"/>
  <c r="N1884" i="31"/>
  <c r="N1885" i="31"/>
  <c r="N1886" i="31"/>
  <c r="N1887" i="31"/>
  <c r="N1888" i="31"/>
  <c r="N1889" i="31"/>
  <c r="N1890" i="31"/>
  <c r="N1891" i="31"/>
  <c r="N1892" i="31"/>
  <c r="N1893" i="31"/>
  <c r="N1894" i="31"/>
  <c r="N1895" i="31"/>
  <c r="N1896" i="31"/>
  <c r="N1897" i="31"/>
  <c r="N1898" i="31"/>
  <c r="N1899" i="31"/>
  <c r="N1900" i="31"/>
  <c r="N1901" i="31"/>
  <c r="N1902" i="31"/>
  <c r="N1903" i="31"/>
  <c r="N1904" i="31"/>
  <c r="N1905" i="31"/>
  <c r="N1906" i="31"/>
  <c r="N1907" i="31"/>
  <c r="N1908" i="31"/>
  <c r="N1909" i="31"/>
  <c r="N1910" i="31"/>
  <c r="N1911" i="31"/>
  <c r="N1912" i="31"/>
  <c r="N1913" i="31"/>
  <c r="N1914" i="31"/>
  <c r="N1915" i="31"/>
  <c r="N1916" i="31"/>
  <c r="N1917" i="31"/>
  <c r="N1918" i="31"/>
  <c r="N1919" i="31"/>
  <c r="N1920" i="31"/>
  <c r="N1921" i="31"/>
  <c r="N1922" i="31"/>
  <c r="N1923" i="31"/>
  <c r="N1924" i="31"/>
  <c r="N1925" i="31"/>
  <c r="N1926" i="31"/>
  <c r="N1927" i="31"/>
  <c r="N1928" i="31"/>
  <c r="N1929" i="31"/>
  <c r="N1930" i="31"/>
  <c r="N1931" i="31"/>
  <c r="N1932" i="31"/>
  <c r="N1933" i="31"/>
  <c r="N1934" i="31"/>
  <c r="N1935" i="31"/>
  <c r="N1936" i="31"/>
  <c r="N1937" i="31"/>
  <c r="N1938" i="31"/>
  <c r="N1939" i="31"/>
  <c r="N1940" i="31"/>
  <c r="N1941" i="31"/>
  <c r="N1942" i="31"/>
  <c r="N1943" i="31"/>
  <c r="N1944" i="31"/>
  <c r="N1945" i="31"/>
  <c r="N1946" i="31"/>
  <c r="N1947" i="31"/>
  <c r="N1948" i="31"/>
  <c r="N1949" i="31"/>
  <c r="N1950" i="31"/>
  <c r="N1951" i="31"/>
  <c r="N1952" i="31"/>
  <c r="N1953" i="31"/>
  <c r="N1954" i="31"/>
  <c r="N1955" i="31"/>
  <c r="N1956" i="31"/>
  <c r="N1957" i="31"/>
  <c r="N1958" i="31"/>
  <c r="N1959" i="31"/>
  <c r="N1960" i="31"/>
  <c r="N1961" i="31"/>
  <c r="N1962" i="31"/>
  <c r="N1963" i="31"/>
  <c r="N1964" i="31"/>
  <c r="N1965" i="31"/>
  <c r="N1966" i="31"/>
  <c r="N1967" i="31"/>
  <c r="N1968" i="31"/>
  <c r="N1969" i="31"/>
  <c r="N1970" i="31"/>
  <c r="N1971" i="31"/>
  <c r="N1972" i="31"/>
  <c r="N1973" i="31"/>
  <c r="N1974" i="31"/>
  <c r="N1975" i="31"/>
  <c r="N1976" i="31"/>
  <c r="N1977" i="31"/>
  <c r="N1978" i="31"/>
  <c r="N1979" i="31"/>
  <c r="N1980" i="31"/>
  <c r="N1981" i="31"/>
  <c r="N1982" i="31"/>
  <c r="N1983" i="31"/>
  <c r="N1984" i="31"/>
  <c r="N1985" i="31"/>
  <c r="N1986" i="31"/>
  <c r="N1987" i="31"/>
  <c r="N1988" i="31"/>
  <c r="N1989" i="31"/>
  <c r="N1990" i="31"/>
  <c r="N1991" i="31"/>
  <c r="N1992" i="31"/>
  <c r="N1993" i="31"/>
  <c r="N1994" i="31"/>
  <c r="N1995" i="31"/>
  <c r="N1996" i="31"/>
  <c r="N1997" i="31"/>
  <c r="N1998" i="31"/>
  <c r="N1999" i="31"/>
  <c r="N2000" i="31"/>
  <c r="N2001" i="31"/>
  <c r="B2" i="37"/>
  <c r="D2" i="37" a="1"/>
  <c r="D2" i="37" s="1"/>
  <c r="AL4" i="41"/>
  <c r="AM4" i="41"/>
  <c r="AN4" i="41"/>
  <c r="AR4" i="41"/>
  <c r="AS4" i="41"/>
  <c r="AT4" i="41"/>
  <c r="AU4" i="41"/>
  <c r="AQ4" i="41"/>
  <c r="AP4" i="41"/>
  <c r="AO4" i="41"/>
  <c r="C24" i="36"/>
  <c r="F5" i="6"/>
  <c r="H5" i="6" s="1"/>
  <c r="E5" i="6"/>
  <c r="G5" i="6" s="1"/>
  <c r="E15" i="30" a="1"/>
  <c r="E15" i="30" s="1"/>
  <c r="I15" i="36" a="1"/>
  <c r="I15" i="36" s="1"/>
  <c r="Y3" i="26"/>
  <c r="Y4" i="26"/>
  <c r="I46" i="25" a="1"/>
  <c r="I46" i="25" s="1"/>
  <c r="K32" i="35" a="1"/>
  <c r="K32" i="35" s="1"/>
  <c r="K33" i="35" a="1"/>
  <c r="K33" i="35"/>
  <c r="K34" i="35" a="1"/>
  <c r="K34" i="35" s="1"/>
  <c r="K35" i="35" a="1"/>
  <c r="K35" i="35" s="1"/>
  <c r="K36" i="35" a="1"/>
  <c r="K36" i="35" s="1"/>
  <c r="K37" i="35" a="1"/>
  <c r="K37" i="35" s="1"/>
  <c r="K38" i="35" a="1"/>
  <c r="K38" i="35" s="1"/>
  <c r="K32" i="25" a="1"/>
  <c r="K32" i="25"/>
  <c r="K33" i="25" a="1"/>
  <c r="K33" i="25" s="1"/>
  <c r="K34" i="25" a="1"/>
  <c r="K34" i="25" s="1"/>
  <c r="K35" i="25" a="1"/>
  <c r="K35" i="25" s="1"/>
  <c r="K36" i="25" a="1"/>
  <c r="K36" i="25" s="1"/>
  <c r="K37" i="25" a="1"/>
  <c r="K37" i="25" s="1"/>
  <c r="K38" i="25" a="1"/>
  <c r="K38" i="25" s="1"/>
  <c r="P2" i="31" a="1"/>
  <c r="P2" i="31"/>
  <c r="O2" i="31" a="1"/>
  <c r="O2" i="31"/>
  <c r="H46" i="35" a="1"/>
  <c r="H46" i="35" s="1"/>
  <c r="H46" i="25" a="1"/>
  <c r="H46" i="25" s="1"/>
  <c r="C23" i="36"/>
  <c r="L6" i="21" a="1"/>
  <c r="L6" i="21"/>
  <c r="E5" i="21"/>
  <c r="L5" i="21" a="1"/>
  <c r="L5" i="21"/>
  <c r="D35" i="21"/>
  <c r="F6" i="6"/>
  <c r="H6" i="6" s="1"/>
  <c r="H35" i="6" s="1"/>
  <c r="E6" i="6"/>
  <c r="G6" i="6" s="1"/>
  <c r="G35" i="6" s="1"/>
  <c r="J26" i="36"/>
  <c r="J25" i="36"/>
  <c r="J24" i="36"/>
  <c r="J22" i="36"/>
  <c r="J21" i="36"/>
  <c r="J19" i="36"/>
  <c r="J17" i="36"/>
  <c r="F26" i="30"/>
  <c r="F25" i="30"/>
  <c r="F24" i="30"/>
  <c r="F22" i="30"/>
  <c r="F21" i="30"/>
  <c r="F19" i="30"/>
  <c r="F17" i="30"/>
  <c r="G16" i="25"/>
  <c r="H16" i="25"/>
  <c r="I16" i="25"/>
  <c r="J16" i="25"/>
  <c r="K16" i="25"/>
  <c r="L16" i="25"/>
  <c r="M16" i="25"/>
  <c r="G14" i="25"/>
  <c r="H14" i="25"/>
  <c r="I14" i="25"/>
  <c r="J14" i="25"/>
  <c r="K14" i="25"/>
  <c r="L14" i="25"/>
  <c r="M14" i="25"/>
  <c r="C19" i="36"/>
  <c r="I18" i="35"/>
  <c r="J18" i="35"/>
  <c r="K18" i="35"/>
  <c r="L18" i="35"/>
  <c r="M18" i="35"/>
  <c r="N18" i="35"/>
  <c r="O18" i="35"/>
  <c r="U4" i="27"/>
  <c r="M4" i="27"/>
  <c r="V4" i="27"/>
  <c r="N4" i="27"/>
  <c r="U3" i="27"/>
  <c r="M3" i="27"/>
  <c r="V3" i="27"/>
  <c r="N3" i="27"/>
  <c r="C20" i="36"/>
  <c r="M2" i="38"/>
  <c r="L2" i="38"/>
  <c r="G17" i="25"/>
  <c r="H17" i="25"/>
  <c r="I17" i="25"/>
  <c r="J17" i="25"/>
  <c r="K17" i="25"/>
  <c r="L17" i="25"/>
  <c r="M17" i="25"/>
  <c r="I19" i="35"/>
  <c r="J19" i="35"/>
  <c r="K19" i="35"/>
  <c r="L19" i="35"/>
  <c r="M19" i="35"/>
  <c r="N19" i="35"/>
  <c r="O19" i="35"/>
  <c r="E35" i="6"/>
  <c r="L5" i="6"/>
  <c r="F35" i="6"/>
  <c r="E23" i="36"/>
  <c r="C23" i="30"/>
  <c r="AF36" i="27"/>
  <c r="AF49" i="27"/>
  <c r="F23" i="36"/>
  <c r="AG36" i="27"/>
  <c r="AG49" i="27"/>
  <c r="N2" i="38"/>
  <c r="P2" i="38"/>
  <c r="AF41" i="27"/>
  <c r="AF28" i="27"/>
  <c r="O2" i="38"/>
  <c r="Q2" i="38"/>
  <c r="AG41" i="27"/>
  <c r="AG28" i="27"/>
  <c r="G18" i="25"/>
  <c r="H18" i="25"/>
  <c r="I18" i="25"/>
  <c r="J18" i="25"/>
  <c r="K18" i="25"/>
  <c r="L18" i="25"/>
  <c r="M18" i="25"/>
  <c r="G19" i="25"/>
  <c r="H19" i="25"/>
  <c r="I19" i="25"/>
  <c r="J19" i="25"/>
  <c r="K19" i="25"/>
  <c r="L19" i="25"/>
  <c r="M19" i="25"/>
  <c r="G5" i="21"/>
  <c r="G35" i="21"/>
  <c r="E35" i="21"/>
  <c r="B42" i="21"/>
  <c r="L6" i="6"/>
  <c r="L40" i="6"/>
  <c r="U3" i="38"/>
  <c r="H3" i="38"/>
  <c r="T3" i="38"/>
  <c r="G3" i="38"/>
  <c r="AG43" i="27"/>
  <c r="S3" i="38"/>
  <c r="W3" i="38"/>
  <c r="F3" i="38"/>
  <c r="K3" i="38"/>
  <c r="AG30" i="27"/>
  <c r="AF43" i="27"/>
  <c r="E3" i="38"/>
  <c r="J3" i="38"/>
  <c r="R3" i="38"/>
  <c r="V3" i="38"/>
  <c r="AF30" i="27"/>
  <c r="E20" i="36"/>
  <c r="C20" i="30"/>
  <c r="AF46" i="27"/>
  <c r="AF33" i="27"/>
  <c r="F20" i="36"/>
  <c r="AG46" i="27"/>
  <c r="AG33" i="27"/>
  <c r="C21" i="36"/>
  <c r="I14" i="35"/>
  <c r="J14" i="35"/>
  <c r="K14" i="35"/>
  <c r="L14" i="35"/>
  <c r="M14" i="35"/>
  <c r="N14" i="35"/>
  <c r="O14" i="35"/>
  <c r="I15" i="35"/>
  <c r="J15" i="35"/>
  <c r="K15" i="35"/>
  <c r="L15" i="35"/>
  <c r="M15" i="35"/>
  <c r="N15" i="35"/>
  <c r="O15" i="35"/>
  <c r="G15" i="25"/>
  <c r="H15" i="25"/>
  <c r="I15" i="25"/>
  <c r="J15" i="25"/>
  <c r="K15" i="25"/>
  <c r="L15" i="25"/>
  <c r="M15" i="25"/>
  <c r="E18" i="36"/>
  <c r="C18" i="30"/>
  <c r="E2" i="38"/>
  <c r="R2" i="38"/>
  <c r="AF50" i="27"/>
  <c r="AF37" i="27"/>
  <c r="F18" i="36"/>
  <c r="AG50" i="27"/>
  <c r="AG37" i="27"/>
  <c r="S2" i="38"/>
  <c r="F2" i="38"/>
  <c r="V2" i="27"/>
  <c r="N2" i="27"/>
  <c r="C22" i="36"/>
  <c r="M2" i="27"/>
  <c r="U2" i="27"/>
  <c r="D51" i="36"/>
  <c r="C51" i="36"/>
  <c r="E51" i="36"/>
  <c r="D36" i="36"/>
  <c r="C36" i="36"/>
  <c r="E36" i="36"/>
  <c r="D35" i="30"/>
  <c r="C35" i="30"/>
  <c r="E35" i="30"/>
  <c r="AK36" i="27"/>
  <c r="AK49" i="27"/>
  <c r="AJ36" i="27"/>
  <c r="AJ49" i="27"/>
  <c r="AM49" i="27"/>
  <c r="AM36" i="27"/>
  <c r="AL49" i="27"/>
  <c r="AL36" i="27"/>
  <c r="G23" i="30"/>
  <c r="H23" i="30"/>
  <c r="I23" i="30"/>
  <c r="J23" i="30"/>
  <c r="K23" i="30"/>
  <c r="L23" i="30"/>
  <c r="M23" i="30"/>
  <c r="N23" i="30"/>
  <c r="F23" i="30"/>
  <c r="K23" i="36"/>
  <c r="L23" i="36"/>
  <c r="M23" i="36"/>
  <c r="N23" i="36"/>
  <c r="O23" i="36"/>
  <c r="P23" i="36"/>
  <c r="Q23" i="36"/>
  <c r="R23" i="36"/>
  <c r="J23" i="36"/>
  <c r="AK41" i="27"/>
  <c r="AM41" i="27"/>
  <c r="AK28" i="27"/>
  <c r="AM28" i="27"/>
  <c r="AJ41" i="27"/>
  <c r="AL41" i="27"/>
  <c r="AJ28" i="27"/>
  <c r="AL28" i="27"/>
  <c r="C28" i="36"/>
  <c r="F5" i="21"/>
  <c r="F6" i="21"/>
  <c r="AK43" i="27"/>
  <c r="AK30" i="27"/>
  <c r="AJ43" i="27"/>
  <c r="AJ30" i="27"/>
  <c r="AL30" i="27"/>
  <c r="AL43" i="27"/>
  <c r="AM30" i="27"/>
  <c r="AM43" i="27"/>
  <c r="AK46" i="27"/>
  <c r="AK33" i="27"/>
  <c r="AJ46" i="27"/>
  <c r="AJ33" i="27"/>
  <c r="AM33" i="27"/>
  <c r="AM46" i="27"/>
  <c r="AL33" i="27"/>
  <c r="AL46" i="27"/>
  <c r="G20" i="30"/>
  <c r="H20" i="30"/>
  <c r="I20" i="30"/>
  <c r="J20" i="30"/>
  <c r="K20" i="30"/>
  <c r="L20" i="30"/>
  <c r="M20" i="30"/>
  <c r="N20" i="30"/>
  <c r="F20" i="30"/>
  <c r="K20" i="36"/>
  <c r="L20" i="36"/>
  <c r="M20" i="36"/>
  <c r="N20" i="36"/>
  <c r="O20" i="36"/>
  <c r="P20" i="36"/>
  <c r="Q20" i="36"/>
  <c r="R20" i="36"/>
  <c r="J20" i="36"/>
  <c r="I16" i="35"/>
  <c r="J16" i="35"/>
  <c r="K16" i="35"/>
  <c r="L16" i="35"/>
  <c r="M16" i="35"/>
  <c r="N16" i="35"/>
  <c r="O16" i="35"/>
  <c r="AK50" i="27"/>
  <c r="AK37" i="27"/>
  <c r="AM37" i="27"/>
  <c r="H2" i="38"/>
  <c r="U2" i="38"/>
  <c r="F18" i="30"/>
  <c r="G18" i="30"/>
  <c r="H18" i="30"/>
  <c r="I18" i="30"/>
  <c r="J18" i="30"/>
  <c r="K18" i="30"/>
  <c r="L18" i="30"/>
  <c r="M18" i="30"/>
  <c r="N18" i="30"/>
  <c r="J18" i="36"/>
  <c r="K18" i="36"/>
  <c r="L18" i="36"/>
  <c r="M18" i="36"/>
  <c r="N18" i="36"/>
  <c r="O18" i="36"/>
  <c r="P18" i="36"/>
  <c r="Q18" i="36"/>
  <c r="R18" i="36"/>
  <c r="AJ50" i="27"/>
  <c r="AJ37" i="27"/>
  <c r="G2" i="38"/>
  <c r="J2" i="38"/>
  <c r="T2" i="38"/>
  <c r="V2" i="38"/>
  <c r="Q59" i="25"/>
  <c r="I17" i="35"/>
  <c r="J17" i="35"/>
  <c r="K17" i="35"/>
  <c r="L17" i="35"/>
  <c r="M17" i="35"/>
  <c r="N17" i="35"/>
  <c r="O17" i="35"/>
  <c r="M23" i="25"/>
  <c r="L23" i="25"/>
  <c r="K23" i="25"/>
  <c r="J23" i="25"/>
  <c r="I23" i="25"/>
  <c r="H23" i="25"/>
  <c r="G23" i="25"/>
  <c r="E37" i="6"/>
  <c r="D37" i="21"/>
  <c r="F35" i="21"/>
  <c r="D28" i="30"/>
  <c r="AL37" i="27"/>
  <c r="D17" i="30"/>
  <c r="D18" i="30"/>
  <c r="D19" i="30"/>
  <c r="D20" i="30"/>
  <c r="D21" i="30"/>
  <c r="D22" i="30"/>
  <c r="D23" i="30"/>
  <c r="D24" i="30"/>
  <c r="D25" i="30"/>
  <c r="G28" i="36"/>
  <c r="H18" i="36"/>
  <c r="AL50" i="27"/>
  <c r="H17" i="36"/>
  <c r="H19" i="36"/>
  <c r="H20" i="36"/>
  <c r="H21" i="36"/>
  <c r="H22" i="36"/>
  <c r="H23" i="36"/>
  <c r="H24" i="36"/>
  <c r="H25" i="36"/>
  <c r="G17" i="36"/>
  <c r="G18" i="36"/>
  <c r="G19" i="36"/>
  <c r="G20" i="36"/>
  <c r="G21" i="36"/>
  <c r="G22" i="36"/>
  <c r="G23" i="36"/>
  <c r="G24" i="36"/>
  <c r="G25" i="36"/>
  <c r="W2" i="38"/>
  <c r="K2" i="38"/>
  <c r="H28" i="36"/>
  <c r="AM50" i="27"/>
  <c r="D14" i="35"/>
  <c r="E14" i="35"/>
  <c r="D19" i="36" s="1"/>
  <c r="D15" i="35"/>
  <c r="E15" i="35"/>
  <c r="D16" i="35"/>
  <c r="E16" i="35"/>
  <c r="D21" i="36" s="1"/>
  <c r="D17" i="35"/>
  <c r="E17" i="35"/>
  <c r="D18" i="35"/>
  <c r="E18" i="35"/>
  <c r="D23" i="36" s="1"/>
  <c r="D19" i="35"/>
  <c r="E19" i="35"/>
  <c r="D20" i="35"/>
  <c r="E20" i="35"/>
  <c r="D25" i="36" s="1"/>
  <c r="H21" i="35"/>
  <c r="F21" i="25"/>
  <c r="K31" i="25" a="1"/>
  <c r="K31" i="25"/>
  <c r="K30" i="25" a="1"/>
  <c r="K30" i="25" s="1"/>
  <c r="E30" i="25"/>
  <c r="E23" i="25"/>
  <c r="F23" i="25"/>
  <c r="F15" i="25"/>
  <c r="E15" i="25"/>
  <c r="F18" i="25"/>
  <c r="E18" i="25"/>
  <c r="F19" i="25"/>
  <c r="E19" i="25"/>
  <c r="F17" i="25"/>
  <c r="E17" i="25"/>
  <c r="F14" i="25"/>
  <c r="E14" i="25"/>
  <c r="F20" i="25"/>
  <c r="E20" i="25"/>
  <c r="F16" i="25"/>
  <c r="E16" i="25"/>
  <c r="E21" i="25"/>
  <c r="H15" i="35"/>
  <c r="G15" i="35"/>
  <c r="H20" i="35"/>
  <c r="G20" i="35"/>
  <c r="H16" i="35"/>
  <c r="G16" i="35"/>
  <c r="H14" i="35"/>
  <c r="G14" i="35"/>
  <c r="H17" i="35"/>
  <c r="G17" i="35"/>
  <c r="H18" i="35"/>
  <c r="G18" i="35"/>
  <c r="H19" i="35"/>
  <c r="G19" i="35"/>
  <c r="G21" i="35"/>
  <c r="K31" i="35" a="1"/>
  <c r="K31" i="35"/>
  <c r="K30" i="35" a="1"/>
  <c r="K30" i="35" s="1"/>
  <c r="E30" i="35"/>
  <c r="E31" i="35"/>
  <c r="E31" i="25"/>
  <c r="D20" i="36"/>
  <c r="D22" i="36"/>
  <c r="D24" i="36"/>
  <c r="K10" i="6"/>
  <c r="K5" i="6"/>
  <c r="K6" i="6"/>
  <c r="K40" i="6"/>
  <c r="H77" i="17" l="1"/>
  <c r="H161" i="17"/>
  <c r="H45" i="17"/>
  <c r="H193" i="17"/>
  <c r="R193" i="17" s="1" a="1"/>
  <c r="R193" i="17" s="1"/>
  <c r="U193" i="17" s="1" a="1"/>
  <c r="U193" i="17" s="1"/>
  <c r="H13" i="17"/>
  <c r="H225" i="17"/>
  <c r="H129" i="17"/>
  <c r="H81" i="17"/>
  <c r="S81" i="17" s="1" a="1"/>
  <c r="S81" i="17" s="1"/>
  <c r="H49" i="17"/>
  <c r="H17" i="17"/>
  <c r="R17" i="17" s="1" a="1"/>
  <c r="R17" i="17" s="1"/>
  <c r="U17" i="17" s="1" a="1"/>
  <c r="U17" i="17" s="1"/>
  <c r="H125" i="17"/>
  <c r="H157" i="17"/>
  <c r="S157" i="17" s="1" a="1"/>
  <c r="S157" i="17" s="1"/>
  <c r="H189" i="17"/>
  <c r="H221" i="17"/>
  <c r="R221" i="17" s="1" a="1"/>
  <c r="R221" i="17" s="1"/>
  <c r="U221" i="17" s="1" a="1"/>
  <c r="U221" i="17" s="1"/>
  <c r="C23" i="35"/>
  <c r="J100" i="27"/>
  <c r="J95" i="27"/>
  <c r="J86" i="27"/>
  <c r="J84" i="27"/>
  <c r="J79" i="27"/>
  <c r="J70" i="27"/>
  <c r="J68" i="27"/>
  <c r="J63" i="27"/>
  <c r="J54" i="27"/>
  <c r="J52" i="27"/>
  <c r="J47" i="27"/>
  <c r="J38" i="27"/>
  <c r="J36" i="27"/>
  <c r="J31" i="27"/>
  <c r="J22" i="27"/>
  <c r="J20" i="27"/>
  <c r="J15" i="27"/>
  <c r="J6" i="27"/>
  <c r="J4" i="27"/>
  <c r="H45" i="35" a="1"/>
  <c r="H45" i="35" s="1"/>
  <c r="K98" i="27"/>
  <c r="K89" i="27"/>
  <c r="K87" i="27"/>
  <c r="K82" i="27"/>
  <c r="K73" i="27"/>
  <c r="K71" i="27"/>
  <c r="K66" i="27"/>
  <c r="K57" i="27"/>
  <c r="K55" i="27"/>
  <c r="K50" i="27"/>
  <c r="K41" i="27"/>
  <c r="K39" i="27"/>
  <c r="K34" i="27"/>
  <c r="K25" i="27"/>
  <c r="K23" i="27"/>
  <c r="K18" i="27"/>
  <c r="K9" i="27"/>
  <c r="K7" i="27"/>
  <c r="K2" i="27"/>
  <c r="H97" i="17"/>
  <c r="H65" i="17"/>
  <c r="R65" i="17" s="1" a="1"/>
  <c r="R65" i="17" s="1"/>
  <c r="U65" i="17" s="1" a="1"/>
  <c r="U65" i="17" s="1"/>
  <c r="H33" i="17"/>
  <c r="H109" i="17"/>
  <c r="R109" i="17" s="1" a="1"/>
  <c r="R109" i="17" s="1"/>
  <c r="U109" i="17" s="1" a="1"/>
  <c r="U109" i="17" s="1"/>
  <c r="H141" i="17"/>
  <c r="H173" i="17"/>
  <c r="R173" i="17" s="1" a="1"/>
  <c r="R173" i="17" s="1"/>
  <c r="U173" i="17" s="1" a="1"/>
  <c r="U173" i="17" s="1"/>
  <c r="H205" i="17"/>
  <c r="H237" i="17"/>
  <c r="S237" i="17" s="1" a="1"/>
  <c r="S237" i="17" s="1"/>
  <c r="J94" i="27"/>
  <c r="J87" i="27"/>
  <c r="J78" i="27"/>
  <c r="J71" i="27"/>
  <c r="J62" i="27"/>
  <c r="J55" i="27"/>
  <c r="J46" i="27"/>
  <c r="J39" i="27"/>
  <c r="J30" i="27"/>
  <c r="J23" i="27"/>
  <c r="J14" i="27"/>
  <c r="J7" i="27"/>
  <c r="K97" i="27"/>
  <c r="K95" i="27"/>
  <c r="K90" i="27"/>
  <c r="K81" i="27"/>
  <c r="K79" i="27"/>
  <c r="K74" i="27"/>
  <c r="K65" i="27"/>
  <c r="K63" i="27"/>
  <c r="K58" i="27"/>
  <c r="K49" i="27"/>
  <c r="K47" i="27"/>
  <c r="K42" i="27"/>
  <c r="K33" i="27"/>
  <c r="K31" i="27"/>
  <c r="K26" i="27"/>
  <c r="K17" i="27"/>
  <c r="K15" i="27"/>
  <c r="K10" i="27"/>
  <c r="H93" i="17"/>
  <c r="H61" i="17"/>
  <c r="R61" i="17" s="1" a="1"/>
  <c r="R61" i="17" s="1"/>
  <c r="U61" i="17" s="1" a="1"/>
  <c r="U61" i="17" s="1"/>
  <c r="H29" i="17"/>
  <c r="H113" i="17"/>
  <c r="S113" i="17" s="1" a="1"/>
  <c r="S113" i="17" s="1"/>
  <c r="H145" i="17"/>
  <c r="H177" i="17"/>
  <c r="R177" i="17" s="1" a="1"/>
  <c r="R177" i="17" s="1"/>
  <c r="U177" i="17" s="1" a="1"/>
  <c r="U177" i="17" s="1"/>
  <c r="H209" i="17"/>
  <c r="H241" i="17"/>
  <c r="R241" i="17" s="1" a="1"/>
  <c r="R241" i="17" s="1"/>
  <c r="U241" i="17" s="1" a="1"/>
  <c r="U241" i="17" s="1"/>
  <c r="B38" i="11" a="1"/>
  <c r="B38" i="11" s="1"/>
  <c r="B46" i="11" a="1"/>
  <c r="B46" i="11" s="1"/>
  <c r="B42" i="11" a="1"/>
  <c r="B42" i="11" s="1"/>
  <c r="J99" i="27"/>
  <c r="J90" i="27"/>
  <c r="J83" i="27"/>
  <c r="J74" i="27"/>
  <c r="J67" i="27"/>
  <c r="J58" i="27"/>
  <c r="J51" i="27"/>
  <c r="J42" i="27"/>
  <c r="J35" i="27"/>
  <c r="J26" i="27"/>
  <c r="J19" i="27"/>
  <c r="J10" i="27"/>
  <c r="J3" i="27"/>
  <c r="K38" i="27"/>
  <c r="K6" i="27"/>
  <c r="I47" i="35" a="1"/>
  <c r="I47" i="35" s="1"/>
  <c r="F44" i="25"/>
  <c r="I45" i="25" a="1"/>
  <c r="I45" i="25" s="1"/>
  <c r="J2" i="37" a="1"/>
  <c r="J2" i="37" s="1"/>
  <c r="B37" i="11" a="1"/>
  <c r="B37" i="11" s="1"/>
  <c r="B45" i="11" a="1"/>
  <c r="B45" i="11" s="1"/>
  <c r="B41" i="11" a="1"/>
  <c r="B41" i="11" s="1"/>
  <c r="B36" i="11" a="1"/>
  <c r="B36" i="11" s="1"/>
  <c r="B44" i="11" a="1"/>
  <c r="B44" i="11" s="1"/>
  <c r="B40" i="11" a="1"/>
  <c r="B40" i="11" s="1"/>
  <c r="B39" i="11" a="1"/>
  <c r="B39" i="11" s="1"/>
  <c r="B43" i="11" a="1"/>
  <c r="B43" i="11" s="1"/>
  <c r="H250" i="17"/>
  <c r="H89" i="17"/>
  <c r="S89" i="17" s="1" a="1"/>
  <c r="S89" i="17" s="1"/>
  <c r="H73" i="17"/>
  <c r="R73" i="17" s="1" a="1"/>
  <c r="R73" i="17" s="1"/>
  <c r="U73" i="17" s="1" a="1"/>
  <c r="U73" i="17" s="1"/>
  <c r="H57" i="17"/>
  <c r="S57" i="17" s="1" a="1"/>
  <c r="S57" i="17" s="1"/>
  <c r="H41" i="17"/>
  <c r="H25" i="17"/>
  <c r="S25" i="17" s="1" a="1"/>
  <c r="S25" i="17" s="1"/>
  <c r="H9" i="17"/>
  <c r="S9" i="17" s="1" a="1"/>
  <c r="S9" i="17" s="1"/>
  <c r="H117" i="17"/>
  <c r="S117" i="17" s="1" a="1"/>
  <c r="S117" i="17" s="1"/>
  <c r="H133" i="17"/>
  <c r="H149" i="17"/>
  <c r="R149" i="17" s="1" a="1"/>
  <c r="R149" i="17" s="1"/>
  <c r="U149" i="17" s="1" a="1"/>
  <c r="U149" i="17" s="1"/>
  <c r="H165" i="17"/>
  <c r="S165" i="17" s="1" a="1"/>
  <c r="S165" i="17" s="1"/>
  <c r="H181" i="17"/>
  <c r="R181" i="17" s="1" a="1"/>
  <c r="R181" i="17" s="1"/>
  <c r="U181" i="17" s="1" a="1"/>
  <c r="U181" i="17" s="1"/>
  <c r="H197" i="17"/>
  <c r="H213" i="17"/>
  <c r="R213" i="17" s="1" a="1"/>
  <c r="R213" i="17" s="1"/>
  <c r="U213" i="17" s="1" a="1"/>
  <c r="U213" i="17" s="1"/>
  <c r="H229" i="17"/>
  <c r="S229" i="17" s="1" a="1"/>
  <c r="S229" i="17" s="1"/>
  <c r="H245" i="17"/>
  <c r="R245" i="17" s="1" a="1"/>
  <c r="R245" i="17" s="1"/>
  <c r="U245" i="17" s="1" a="1"/>
  <c r="U245" i="17" s="1"/>
  <c r="H101" i="17"/>
  <c r="H85" i="17"/>
  <c r="S85" i="17" s="1" a="1"/>
  <c r="S85" i="17" s="1"/>
  <c r="H69" i="17"/>
  <c r="R69" i="17" s="1" a="1"/>
  <c r="R69" i="17" s="1"/>
  <c r="U69" i="17" s="1" a="1"/>
  <c r="U69" i="17" s="1"/>
  <c r="H53" i="17"/>
  <c r="R53" i="17" s="1" a="1"/>
  <c r="R53" i="17" s="1"/>
  <c r="U53" i="17" s="1" a="1"/>
  <c r="U53" i="17" s="1"/>
  <c r="H37" i="17"/>
  <c r="H21" i="17"/>
  <c r="R21" i="17" s="1" a="1"/>
  <c r="R21" i="17" s="1"/>
  <c r="U21" i="17" s="1" a="1"/>
  <c r="U21" i="17" s="1"/>
  <c r="H105" i="17"/>
  <c r="R105" i="17" s="1" a="1"/>
  <c r="R105" i="17" s="1"/>
  <c r="U105" i="17" s="1" a="1"/>
  <c r="U105" i="17" s="1"/>
  <c r="H121" i="17"/>
  <c r="R121" i="17" s="1" a="1"/>
  <c r="R121" i="17" s="1"/>
  <c r="U121" i="17" s="1" a="1"/>
  <c r="U121" i="17" s="1"/>
  <c r="H137" i="17"/>
  <c r="H153" i="17"/>
  <c r="R153" i="17" s="1" a="1"/>
  <c r="R153" i="17" s="1"/>
  <c r="U153" i="17" s="1" a="1"/>
  <c r="U153" i="17" s="1"/>
  <c r="H169" i="17"/>
  <c r="S169" i="17" s="1" a="1"/>
  <c r="S169" i="17" s="1"/>
  <c r="H185" i="17"/>
  <c r="R185" i="17" s="1" a="1"/>
  <c r="R185" i="17" s="1"/>
  <c r="U185" i="17" s="1" a="1"/>
  <c r="U185" i="17" s="1"/>
  <c r="H201" i="17"/>
  <c r="H217" i="17"/>
  <c r="R217" i="17" s="1" a="1"/>
  <c r="R217" i="17" s="1"/>
  <c r="U217" i="17" s="1" a="1"/>
  <c r="U217" i="17" s="1"/>
  <c r="H233" i="17"/>
  <c r="R233" i="17" s="1" a="1"/>
  <c r="R233" i="17" s="1"/>
  <c r="U233" i="17" s="1" a="1"/>
  <c r="U233" i="17" s="1"/>
  <c r="E23" i="30"/>
  <c r="E24" i="30"/>
  <c r="E17" i="30"/>
  <c r="E25" i="30"/>
  <c r="E18" i="30"/>
  <c r="E26" i="30"/>
  <c r="E19" i="30"/>
  <c r="E20" i="30"/>
  <c r="E21" i="30"/>
  <c r="E22" i="30"/>
  <c r="I21" i="36"/>
  <c r="I22" i="36"/>
  <c r="I23" i="36"/>
  <c r="I24" i="36"/>
  <c r="I17" i="36"/>
  <c r="I25" i="36"/>
  <c r="I20" i="36"/>
  <c r="I18" i="36"/>
  <c r="I26" i="36"/>
  <c r="I19" i="36"/>
  <c r="H16" i="36"/>
  <c r="H27" i="36" s="1"/>
  <c r="H29" i="36" s="1"/>
  <c r="F16" i="36"/>
  <c r="F27" i="36" s="1"/>
  <c r="G16" i="36"/>
  <c r="G27" i="36" s="1"/>
  <c r="G29" i="36" s="1"/>
  <c r="E16" i="36"/>
  <c r="C16" i="30"/>
  <c r="D16" i="30"/>
  <c r="D27" i="30" s="1"/>
  <c r="D29" i="30" s="1"/>
  <c r="B29" i="35" a="1"/>
  <c r="B29" i="35" s="1"/>
  <c r="D29" i="35" s="1"/>
  <c r="F10" i="35" a="1"/>
  <c r="F10" i="35" s="1"/>
  <c r="F15" i="35" s="1"/>
  <c r="D10" i="25" a="1"/>
  <c r="D10" i="25" s="1"/>
  <c r="D16" i="25" s="1"/>
  <c r="B29" i="25" a="1"/>
  <c r="B29" i="25" s="1"/>
  <c r="D29" i="25" s="1"/>
  <c r="G41" i="12"/>
  <c r="G33" i="12"/>
  <c r="G25" i="12"/>
  <c r="G15" i="12"/>
  <c r="G14" i="12"/>
  <c r="G40" i="12"/>
  <c r="G32" i="12"/>
  <c r="G24" i="12"/>
  <c r="G18" i="12"/>
  <c r="G3" i="12"/>
  <c r="G39" i="12"/>
  <c r="G31" i="12"/>
  <c r="G23" i="12"/>
  <c r="G17" i="12"/>
  <c r="G4" i="12"/>
  <c r="G38" i="12"/>
  <c r="G30" i="12"/>
  <c r="G22" i="12"/>
  <c r="G5" i="12"/>
  <c r="G37" i="12"/>
  <c r="G29" i="12"/>
  <c r="G21" i="12"/>
  <c r="G10" i="12"/>
  <c r="G6" i="12"/>
  <c r="G36" i="12"/>
  <c r="G28" i="12"/>
  <c r="G20" i="12"/>
  <c r="G11" i="12"/>
  <c r="G7" i="12"/>
  <c r="G43" i="12"/>
  <c r="G35" i="12"/>
  <c r="G27" i="12"/>
  <c r="G19" i="12"/>
  <c r="G12" i="12"/>
  <c r="G8" i="12"/>
  <c r="G42" i="12"/>
  <c r="G34" i="12"/>
  <c r="G26" i="12"/>
  <c r="G16" i="12"/>
  <c r="G13" i="12"/>
  <c r="G9" i="12"/>
  <c r="F42" i="12"/>
  <c r="F34" i="12"/>
  <c r="F26" i="12"/>
  <c r="F11" i="12"/>
  <c r="F41" i="12"/>
  <c r="F33" i="12"/>
  <c r="F25" i="12"/>
  <c r="F15" i="12"/>
  <c r="F4" i="12"/>
  <c r="F40" i="12"/>
  <c r="F32" i="12"/>
  <c r="F24" i="12"/>
  <c r="F18" i="12"/>
  <c r="F5" i="12"/>
  <c r="F13" i="12"/>
  <c r="F39" i="12"/>
  <c r="F31" i="12"/>
  <c r="F23" i="12"/>
  <c r="F17" i="12"/>
  <c r="F6" i="12"/>
  <c r="F14" i="12"/>
  <c r="F12" i="12"/>
  <c r="F38" i="12"/>
  <c r="F30" i="12"/>
  <c r="F22" i="12"/>
  <c r="F7" i="12"/>
  <c r="F3" i="12"/>
  <c r="F37" i="12"/>
  <c r="F29" i="12"/>
  <c r="F21" i="12"/>
  <c r="F8" i="12"/>
  <c r="F36" i="12"/>
  <c r="F28" i="12"/>
  <c r="F20" i="12"/>
  <c r="F9" i="12"/>
  <c r="F43" i="12"/>
  <c r="F35" i="12"/>
  <c r="F27" i="12"/>
  <c r="F19" i="12"/>
  <c r="F10" i="12"/>
  <c r="F16" i="12"/>
  <c r="B34" i="30" a="1"/>
  <c r="B34" i="30" s="1"/>
  <c r="B35" i="36" a="1"/>
  <c r="B35" i="36" s="1"/>
  <c r="B50" i="36" a="1"/>
  <c r="B50" i="36" s="1"/>
  <c r="B21" i="11" a="1"/>
  <c r="B21" i="11" s="1"/>
  <c r="B49" i="11" s="1"/>
  <c r="B35" i="11" s="1" a="1"/>
  <c r="B35" i="11" s="1"/>
  <c r="H249" i="17"/>
  <c r="R249" i="17" s="1" a="1"/>
  <c r="R249" i="17" s="1"/>
  <c r="U249" i="17" s="1" a="1"/>
  <c r="U249" i="17" s="1"/>
  <c r="H239" i="17"/>
  <c r="R239" i="17" s="1" a="1"/>
  <c r="R239" i="17" s="1"/>
  <c r="U239" i="17" s="1" a="1"/>
  <c r="U239" i="17" s="1"/>
  <c r="H231" i="17"/>
  <c r="R231" i="17" s="1" a="1"/>
  <c r="R231" i="17" s="1"/>
  <c r="U231" i="17" s="1" a="1"/>
  <c r="U231" i="17" s="1"/>
  <c r="H223" i="17"/>
  <c r="R223" i="17" s="1" a="1"/>
  <c r="R223" i="17" s="1"/>
  <c r="U223" i="17" s="1" a="1"/>
  <c r="U223" i="17" s="1"/>
  <c r="H215" i="17"/>
  <c r="S215" i="17" s="1" a="1"/>
  <c r="S215" i="17" s="1"/>
  <c r="H207" i="17"/>
  <c r="R207" i="17" s="1" a="1"/>
  <c r="R207" i="17" s="1"/>
  <c r="U207" i="17" s="1" a="1"/>
  <c r="U207" i="17" s="1"/>
  <c r="H199" i="17"/>
  <c r="S199" i="17" s="1" a="1"/>
  <c r="S199" i="17" s="1"/>
  <c r="H191" i="17"/>
  <c r="R191" i="17" s="1" a="1"/>
  <c r="R191" i="17" s="1"/>
  <c r="U191" i="17" s="1" a="1"/>
  <c r="U191" i="17" s="1"/>
  <c r="H183" i="17"/>
  <c r="S183" i="17" s="1" a="1"/>
  <c r="S183" i="17" s="1"/>
  <c r="H175" i="17"/>
  <c r="R175" i="17" s="1" a="1"/>
  <c r="R175" i="17" s="1"/>
  <c r="U175" i="17" s="1" a="1"/>
  <c r="U175" i="17" s="1"/>
  <c r="H167" i="17"/>
  <c r="R167" i="17" s="1" a="1"/>
  <c r="R167" i="17" s="1"/>
  <c r="U167" i="17" s="1" a="1"/>
  <c r="U167" i="17" s="1"/>
  <c r="H159" i="17"/>
  <c r="S159" i="17" s="1" a="1"/>
  <c r="S159" i="17" s="1"/>
  <c r="H151" i="17"/>
  <c r="R151" i="17" s="1" a="1"/>
  <c r="R151" i="17" s="1"/>
  <c r="U151" i="17" s="1" a="1"/>
  <c r="U151" i="17" s="1"/>
  <c r="H143" i="17"/>
  <c r="S143" i="17" s="1" a="1"/>
  <c r="S143" i="17" s="1"/>
  <c r="H135" i="17"/>
  <c r="S135" i="17" s="1" a="1"/>
  <c r="S135" i="17" s="1"/>
  <c r="H127" i="17"/>
  <c r="R127" i="17" s="1" a="1"/>
  <c r="R127" i="17" s="1"/>
  <c r="U127" i="17" s="1" a="1"/>
  <c r="U127" i="17" s="1"/>
  <c r="H119" i="17"/>
  <c r="S119" i="17" s="1" a="1"/>
  <c r="S119" i="17" s="1"/>
  <c r="H111" i="17"/>
  <c r="R111" i="17" s="1" a="1"/>
  <c r="R111" i="17" s="1"/>
  <c r="U111" i="17" s="1" a="1"/>
  <c r="U111" i="17" s="1"/>
  <c r="H7" i="17"/>
  <c r="S7" i="17" s="1" a="1"/>
  <c r="S7" i="17" s="1"/>
  <c r="H15" i="17"/>
  <c r="R15" i="17" s="1" a="1"/>
  <c r="R15" i="17" s="1"/>
  <c r="U15" i="17" s="1" a="1"/>
  <c r="U15" i="17" s="1"/>
  <c r="H23" i="17"/>
  <c r="R23" i="17" s="1" a="1"/>
  <c r="R23" i="17" s="1"/>
  <c r="U23" i="17" s="1" a="1"/>
  <c r="U23" i="17" s="1"/>
  <c r="H31" i="17"/>
  <c r="R31" i="17" s="1" a="1"/>
  <c r="R31" i="17" s="1"/>
  <c r="U31" i="17" s="1" a="1"/>
  <c r="U31" i="17" s="1"/>
  <c r="H39" i="17"/>
  <c r="R39" i="17" s="1" a="1"/>
  <c r="R39" i="17" s="1"/>
  <c r="U39" i="17" s="1" a="1"/>
  <c r="U39" i="17" s="1"/>
  <c r="H47" i="17"/>
  <c r="S47" i="17" s="1" a="1"/>
  <c r="S47" i="17" s="1"/>
  <c r="H55" i="17"/>
  <c r="S55" i="17" s="1" a="1"/>
  <c r="S55" i="17" s="1"/>
  <c r="H63" i="17"/>
  <c r="R63" i="17" s="1" a="1"/>
  <c r="R63" i="17" s="1"/>
  <c r="U63" i="17" s="1" a="1"/>
  <c r="U63" i="17" s="1"/>
  <c r="H71" i="17"/>
  <c r="R71" i="17" s="1" a="1"/>
  <c r="R71" i="17" s="1"/>
  <c r="U71" i="17" s="1" a="1"/>
  <c r="U71" i="17" s="1"/>
  <c r="H79" i="17"/>
  <c r="S79" i="17" s="1" a="1"/>
  <c r="S79" i="17" s="1"/>
  <c r="H87" i="17"/>
  <c r="R87" i="17" s="1" a="1"/>
  <c r="R87" i="17" s="1"/>
  <c r="U87" i="17" s="1" a="1"/>
  <c r="U87" i="17" s="1"/>
  <c r="H95" i="17"/>
  <c r="R95" i="17" s="1" a="1"/>
  <c r="R95" i="17" s="1"/>
  <c r="U95" i="17" s="1" a="1"/>
  <c r="U95" i="17" s="1"/>
  <c r="H103" i="17"/>
  <c r="R103" i="17" s="1" a="1"/>
  <c r="R103" i="17" s="1"/>
  <c r="U103" i="17" s="1" a="1"/>
  <c r="U103" i="17" s="1"/>
  <c r="N5" i="31"/>
  <c r="N13" i="31"/>
  <c r="N21" i="31"/>
  <c r="W21" i="31" s="1" a="1"/>
  <c r="W21" i="31" s="1"/>
  <c r="Z21" i="31" s="1" a="1"/>
  <c r="Z21" i="31" s="1"/>
  <c r="N29" i="31"/>
  <c r="N37" i="31"/>
  <c r="X37" i="31" s="1" a="1"/>
  <c r="X37" i="31" s="1"/>
  <c r="N45" i="31"/>
  <c r="N53" i="31"/>
  <c r="N61" i="31"/>
  <c r="X61" i="31" s="1" a="1"/>
  <c r="X61" i="31" s="1"/>
  <c r="N69" i="31"/>
  <c r="N77" i="31"/>
  <c r="N85" i="31"/>
  <c r="W85" i="31" s="1" a="1"/>
  <c r="W85" i="31" s="1"/>
  <c r="Z85" i="31" s="1" a="1"/>
  <c r="Z85" i="31" s="1"/>
  <c r="N93" i="31"/>
  <c r="N101" i="31"/>
  <c r="W101" i="31" s="1" a="1"/>
  <c r="W101" i="31" s="1"/>
  <c r="Z101" i="31" s="1" a="1"/>
  <c r="Z101" i="31" s="1"/>
  <c r="N109" i="31"/>
  <c r="N117" i="31"/>
  <c r="N125" i="31"/>
  <c r="X125" i="31" s="1" a="1"/>
  <c r="X125" i="31" s="1"/>
  <c r="H246" i="17"/>
  <c r="R246" i="17" s="1" a="1"/>
  <c r="R246" i="17" s="1"/>
  <c r="U246" i="17" s="1" a="1"/>
  <c r="U246" i="17" s="1"/>
  <c r="H238" i="17"/>
  <c r="R238" i="17" s="1" a="1"/>
  <c r="R238" i="17" s="1"/>
  <c r="U238" i="17" s="1" a="1"/>
  <c r="U238" i="17" s="1"/>
  <c r="H230" i="17"/>
  <c r="R230" i="17" s="1" a="1"/>
  <c r="R230" i="17" s="1"/>
  <c r="U230" i="17" s="1" a="1"/>
  <c r="U230" i="17" s="1"/>
  <c r="H222" i="17"/>
  <c r="S222" i="17" s="1" a="1"/>
  <c r="S222" i="17" s="1"/>
  <c r="H214" i="17"/>
  <c r="R214" i="17" s="1" a="1"/>
  <c r="R214" i="17" s="1"/>
  <c r="U214" i="17" s="1" a="1"/>
  <c r="U214" i="17" s="1"/>
  <c r="H206" i="17"/>
  <c r="R206" i="17" s="1" a="1"/>
  <c r="R206" i="17" s="1"/>
  <c r="U206" i="17" s="1" a="1"/>
  <c r="U206" i="17" s="1"/>
  <c r="H198" i="17"/>
  <c r="R198" i="17" s="1" a="1"/>
  <c r="R198" i="17" s="1"/>
  <c r="U198" i="17" s="1" a="1"/>
  <c r="U198" i="17" s="1"/>
  <c r="H190" i="17"/>
  <c r="R190" i="17" s="1" a="1"/>
  <c r="R190" i="17" s="1"/>
  <c r="U190" i="17" s="1" a="1"/>
  <c r="U190" i="17" s="1"/>
  <c r="H182" i="17"/>
  <c r="R182" i="17" s="1" a="1"/>
  <c r="R182" i="17" s="1"/>
  <c r="U182" i="17" s="1" a="1"/>
  <c r="U182" i="17" s="1"/>
  <c r="H174" i="17"/>
  <c r="R174" i="17" s="1" a="1"/>
  <c r="R174" i="17" s="1"/>
  <c r="U174" i="17" s="1" a="1"/>
  <c r="U174" i="17" s="1"/>
  <c r="H166" i="17"/>
  <c r="R166" i="17" s="1" a="1"/>
  <c r="R166" i="17" s="1"/>
  <c r="U166" i="17" s="1" a="1"/>
  <c r="U166" i="17" s="1"/>
  <c r="H158" i="17"/>
  <c r="R158" i="17" s="1" a="1"/>
  <c r="R158" i="17" s="1"/>
  <c r="U158" i="17" s="1" a="1"/>
  <c r="U158" i="17" s="1"/>
  <c r="H150" i="17"/>
  <c r="R150" i="17" s="1" a="1"/>
  <c r="R150" i="17" s="1"/>
  <c r="U150" i="17" s="1" a="1"/>
  <c r="U150" i="17" s="1"/>
  <c r="H142" i="17"/>
  <c r="S142" i="17" s="1" a="1"/>
  <c r="S142" i="17" s="1"/>
  <c r="H134" i="17"/>
  <c r="R134" i="17" s="1" a="1"/>
  <c r="R134" i="17" s="1"/>
  <c r="U134" i="17" s="1" a="1"/>
  <c r="U134" i="17" s="1"/>
  <c r="H126" i="17"/>
  <c r="R126" i="17" s="1" a="1"/>
  <c r="R126" i="17" s="1"/>
  <c r="U126" i="17" s="1" a="1"/>
  <c r="U126" i="17" s="1"/>
  <c r="H118" i="17"/>
  <c r="S118" i="17" s="1" a="1"/>
  <c r="S118" i="17" s="1"/>
  <c r="H110" i="17"/>
  <c r="R110" i="17" s="1" a="1"/>
  <c r="R110" i="17" s="1"/>
  <c r="U110" i="17" s="1" a="1"/>
  <c r="U110" i="17" s="1"/>
  <c r="H8" i="17"/>
  <c r="R8" i="17" s="1" a="1"/>
  <c r="R8" i="17" s="1"/>
  <c r="U8" i="17" s="1" a="1"/>
  <c r="U8" i="17" s="1"/>
  <c r="H16" i="17"/>
  <c r="S16" i="17" s="1" a="1"/>
  <c r="S16" i="17" s="1"/>
  <c r="H24" i="17"/>
  <c r="R24" i="17" s="1" a="1"/>
  <c r="R24" i="17" s="1"/>
  <c r="U24" i="17" s="1" a="1"/>
  <c r="U24" i="17" s="1"/>
  <c r="H32" i="17"/>
  <c r="R32" i="17" s="1" a="1"/>
  <c r="R32" i="17" s="1"/>
  <c r="U32" i="17" s="1" a="1"/>
  <c r="U32" i="17" s="1"/>
  <c r="H40" i="17"/>
  <c r="S40" i="17" s="1" a="1"/>
  <c r="S40" i="17" s="1"/>
  <c r="H48" i="17"/>
  <c r="R48" i="17" s="1" a="1"/>
  <c r="R48" i="17" s="1"/>
  <c r="U48" i="17" s="1" a="1"/>
  <c r="U48" i="17" s="1"/>
  <c r="H56" i="17"/>
  <c r="S56" i="17" s="1" a="1"/>
  <c r="S56" i="17" s="1"/>
  <c r="H64" i="17"/>
  <c r="R64" i="17" s="1" a="1"/>
  <c r="R64" i="17" s="1"/>
  <c r="U64" i="17" s="1" a="1"/>
  <c r="U64" i="17" s="1"/>
  <c r="H72" i="17"/>
  <c r="S72" i="17" s="1" a="1"/>
  <c r="S72" i="17" s="1"/>
  <c r="H80" i="17"/>
  <c r="R80" i="17" s="1" a="1"/>
  <c r="R80" i="17" s="1"/>
  <c r="U80" i="17" s="1" a="1"/>
  <c r="U80" i="17" s="1"/>
  <c r="H88" i="17"/>
  <c r="R88" i="17" s="1" a="1"/>
  <c r="R88" i="17" s="1"/>
  <c r="U88" i="17" s="1" a="1"/>
  <c r="U88" i="17" s="1"/>
  <c r="H96" i="17"/>
  <c r="R96" i="17" s="1" a="1"/>
  <c r="R96" i="17" s="1"/>
  <c r="U96" i="17" s="1" a="1"/>
  <c r="U96" i="17" s="1"/>
  <c r="H104" i="17"/>
  <c r="R104" i="17" s="1" a="1"/>
  <c r="R104" i="17" s="1"/>
  <c r="U104" i="17" s="1" a="1"/>
  <c r="U104" i="17" s="1"/>
  <c r="N6" i="31"/>
  <c r="X6" i="31" s="1" a="1"/>
  <c r="X6" i="31" s="1"/>
  <c r="N14" i="31"/>
  <c r="X14" i="31" s="1" a="1"/>
  <c r="X14" i="31" s="1"/>
  <c r="N22" i="31"/>
  <c r="N30" i="31"/>
  <c r="W30" i="31" s="1" a="1"/>
  <c r="W30" i="31" s="1"/>
  <c r="Z30" i="31" s="1" a="1"/>
  <c r="Z30" i="31" s="1"/>
  <c r="N38" i="31"/>
  <c r="N46" i="31"/>
  <c r="X46" i="31" s="1" a="1"/>
  <c r="X46" i="31" s="1"/>
  <c r="N54" i="31"/>
  <c r="N62" i="31"/>
  <c r="N70" i="31"/>
  <c r="X70" i="31" s="1" a="1"/>
  <c r="X70" i="31" s="1"/>
  <c r="N78" i="31"/>
  <c r="W78" i="31" s="1" a="1"/>
  <c r="W78" i="31" s="1"/>
  <c r="Z78" i="31" s="1" a="1"/>
  <c r="Z78" i="31" s="1"/>
  <c r="N86" i="31"/>
  <c r="N94" i="31"/>
  <c r="W94" i="31" s="1" a="1"/>
  <c r="W94" i="31" s="1"/>
  <c r="Z94" i="31" s="1" a="1"/>
  <c r="Z94" i="31" s="1"/>
  <c r="N102" i="31"/>
  <c r="N110" i="31"/>
  <c r="W110" i="31" s="1" a="1"/>
  <c r="W110" i="31" s="1"/>
  <c r="Z110" i="31" s="1" a="1"/>
  <c r="Z110" i="31" s="1"/>
  <c r="N118" i="31"/>
  <c r="H244" i="17"/>
  <c r="R244" i="17" s="1" a="1"/>
  <c r="R244" i="17" s="1"/>
  <c r="U244" i="17" s="1" a="1"/>
  <c r="U244" i="17" s="1"/>
  <c r="H236" i="17"/>
  <c r="R236" i="17" s="1" a="1"/>
  <c r="R236" i="17" s="1"/>
  <c r="U236" i="17" s="1" a="1"/>
  <c r="U236" i="17" s="1"/>
  <c r="H228" i="17"/>
  <c r="R228" i="17" s="1" a="1"/>
  <c r="R228" i="17" s="1"/>
  <c r="U228" i="17" s="1" a="1"/>
  <c r="U228" i="17" s="1"/>
  <c r="H220" i="17"/>
  <c r="R220" i="17" s="1" a="1"/>
  <c r="R220" i="17" s="1"/>
  <c r="U220" i="17" s="1" a="1"/>
  <c r="U220" i="17" s="1"/>
  <c r="H212" i="17"/>
  <c r="S212" i="17" s="1" a="1"/>
  <c r="S212" i="17" s="1"/>
  <c r="H204" i="17"/>
  <c r="R204" i="17" s="1" a="1"/>
  <c r="R204" i="17" s="1"/>
  <c r="U204" i="17" s="1" a="1"/>
  <c r="U204" i="17" s="1"/>
  <c r="H196" i="17"/>
  <c r="R196" i="17" s="1" a="1"/>
  <c r="R196" i="17" s="1"/>
  <c r="U196" i="17" s="1" a="1"/>
  <c r="U196" i="17" s="1"/>
  <c r="H188" i="17"/>
  <c r="S188" i="17" s="1" a="1"/>
  <c r="S188" i="17" s="1"/>
  <c r="H180" i="17"/>
  <c r="R180" i="17" s="1" a="1"/>
  <c r="R180" i="17" s="1"/>
  <c r="U180" i="17" s="1" a="1"/>
  <c r="U180" i="17" s="1"/>
  <c r="H172" i="17"/>
  <c r="R172" i="17" s="1" a="1"/>
  <c r="R172" i="17" s="1"/>
  <c r="U172" i="17" s="1" a="1"/>
  <c r="U172" i="17" s="1"/>
  <c r="H164" i="17"/>
  <c r="S164" i="17" s="1" a="1"/>
  <c r="S164" i="17" s="1"/>
  <c r="H156" i="17"/>
  <c r="S156" i="17" s="1" a="1"/>
  <c r="S156" i="17" s="1"/>
  <c r="H148" i="17"/>
  <c r="R148" i="17" s="1" a="1"/>
  <c r="R148" i="17" s="1"/>
  <c r="U148" i="17" s="1" a="1"/>
  <c r="U148" i="17" s="1"/>
  <c r="H140" i="17"/>
  <c r="R140" i="17" s="1" a="1"/>
  <c r="R140" i="17" s="1"/>
  <c r="U140" i="17" s="1" a="1"/>
  <c r="U140" i="17" s="1"/>
  <c r="H132" i="17"/>
  <c r="S132" i="17" s="1" a="1"/>
  <c r="S132" i="17" s="1"/>
  <c r="H124" i="17"/>
  <c r="R124" i="17" s="1" a="1"/>
  <c r="R124" i="17" s="1"/>
  <c r="U124" i="17" s="1" a="1"/>
  <c r="U124" i="17" s="1"/>
  <c r="H116" i="17"/>
  <c r="S116" i="17" s="1" a="1"/>
  <c r="S116" i="17" s="1"/>
  <c r="H108" i="17"/>
  <c r="R108" i="17" s="1" a="1"/>
  <c r="R108" i="17" s="1"/>
  <c r="U108" i="17" s="1" a="1"/>
  <c r="U108" i="17" s="1"/>
  <c r="H10" i="17"/>
  <c r="R10" i="17" s="1" a="1"/>
  <c r="R10" i="17" s="1"/>
  <c r="U10" i="17" s="1" a="1"/>
  <c r="U10" i="17" s="1"/>
  <c r="H18" i="17"/>
  <c r="R18" i="17" s="1" a="1"/>
  <c r="R18" i="17" s="1"/>
  <c r="U18" i="17" s="1" a="1"/>
  <c r="U18" i="17" s="1"/>
  <c r="H26" i="17"/>
  <c r="R26" i="17" s="1" a="1"/>
  <c r="R26" i="17" s="1"/>
  <c r="U26" i="17" s="1" a="1"/>
  <c r="U26" i="17" s="1"/>
  <c r="H34" i="17"/>
  <c r="R34" i="17" s="1" a="1"/>
  <c r="R34" i="17" s="1"/>
  <c r="U34" i="17" s="1" a="1"/>
  <c r="U34" i="17" s="1"/>
  <c r="H42" i="17"/>
  <c r="S42" i="17" s="1" a="1"/>
  <c r="S42" i="17" s="1"/>
  <c r="H50" i="17"/>
  <c r="R50" i="17" s="1" a="1"/>
  <c r="R50" i="17" s="1"/>
  <c r="U50" i="17" s="1" a="1"/>
  <c r="U50" i="17" s="1"/>
  <c r="H58" i="17"/>
  <c r="R58" i="17" s="1" a="1"/>
  <c r="R58" i="17" s="1"/>
  <c r="U58" i="17" s="1" a="1"/>
  <c r="U58" i="17" s="1"/>
  <c r="H66" i="17"/>
  <c r="S66" i="17" s="1" a="1"/>
  <c r="S66" i="17" s="1"/>
  <c r="H74" i="17"/>
  <c r="S74" i="17" s="1" a="1"/>
  <c r="S74" i="17" s="1"/>
  <c r="H82" i="17"/>
  <c r="R82" i="17" s="1" a="1"/>
  <c r="R82" i="17" s="1"/>
  <c r="U82" i="17" s="1" a="1"/>
  <c r="U82" i="17" s="1"/>
  <c r="H90" i="17"/>
  <c r="R90" i="17" s="1" a="1"/>
  <c r="R90" i="17" s="1"/>
  <c r="U90" i="17" s="1" a="1"/>
  <c r="U90" i="17" s="1"/>
  <c r="H98" i="17"/>
  <c r="R98" i="17" s="1" a="1"/>
  <c r="R98" i="17" s="1"/>
  <c r="U98" i="17" s="1" a="1"/>
  <c r="U98" i="17" s="1"/>
  <c r="N8" i="31"/>
  <c r="X8" i="31" s="1" a="1"/>
  <c r="X8" i="31" s="1"/>
  <c r="N16" i="31"/>
  <c r="N24" i="31"/>
  <c r="N32" i="31"/>
  <c r="X32" i="31" s="1" a="1"/>
  <c r="X32" i="31" s="1"/>
  <c r="N40" i="31"/>
  <c r="N48" i="31"/>
  <c r="N56" i="31"/>
  <c r="X56" i="31" s="1" a="1"/>
  <c r="X56" i="31" s="1"/>
  <c r="N64" i="31"/>
  <c r="N72" i="31"/>
  <c r="W72" i="31" s="1" a="1"/>
  <c r="W72" i="31" s="1"/>
  <c r="Z72" i="31" s="1" a="1"/>
  <c r="Z72" i="31" s="1"/>
  <c r="N80" i="31"/>
  <c r="N88" i="31"/>
  <c r="N96" i="31"/>
  <c r="X96" i="31" s="1" a="1"/>
  <c r="X96" i="31" s="1"/>
  <c r="N104" i="31"/>
  <c r="N112" i="31"/>
  <c r="N120" i="31"/>
  <c r="X120" i="31" s="1" a="1"/>
  <c r="X120" i="31" s="1"/>
  <c r="H243" i="17"/>
  <c r="S243" i="17" s="1" a="1"/>
  <c r="S243" i="17" s="1"/>
  <c r="H235" i="17"/>
  <c r="R235" i="17" s="1" a="1"/>
  <c r="R235" i="17" s="1"/>
  <c r="U235" i="17" s="1" a="1"/>
  <c r="U235" i="17" s="1"/>
  <c r="H227" i="17"/>
  <c r="R227" i="17" s="1" a="1"/>
  <c r="R227" i="17" s="1"/>
  <c r="U227" i="17" s="1" a="1"/>
  <c r="U227" i="17" s="1"/>
  <c r="H219" i="17"/>
  <c r="S219" i="17" s="1" a="1"/>
  <c r="S219" i="17" s="1"/>
  <c r="H211" i="17"/>
  <c r="S211" i="17" s="1" a="1"/>
  <c r="S211" i="17" s="1"/>
  <c r="H203" i="17"/>
  <c r="S203" i="17" s="1" a="1"/>
  <c r="S203" i="17" s="1"/>
  <c r="H195" i="17"/>
  <c r="S195" i="17" s="1" a="1"/>
  <c r="S195" i="17" s="1"/>
  <c r="H187" i="17"/>
  <c r="R187" i="17" s="1" a="1"/>
  <c r="R187" i="17" s="1"/>
  <c r="U187" i="17" s="1" a="1"/>
  <c r="U187" i="17" s="1"/>
  <c r="H179" i="17"/>
  <c r="S179" i="17" s="1" a="1"/>
  <c r="S179" i="17" s="1"/>
  <c r="H171" i="17"/>
  <c r="R171" i="17" s="1" a="1"/>
  <c r="R171" i="17" s="1"/>
  <c r="U171" i="17" s="1" a="1"/>
  <c r="U171" i="17" s="1"/>
  <c r="H163" i="17"/>
  <c r="R163" i="17" s="1" a="1"/>
  <c r="R163" i="17" s="1"/>
  <c r="U163" i="17" s="1" a="1"/>
  <c r="U163" i="17" s="1"/>
  <c r="H155" i="17"/>
  <c r="S155" i="17" s="1" a="1"/>
  <c r="S155" i="17" s="1"/>
  <c r="H147" i="17"/>
  <c r="S147" i="17" s="1" a="1"/>
  <c r="S147" i="17" s="1"/>
  <c r="H139" i="17"/>
  <c r="S139" i="17" s="1" a="1"/>
  <c r="S139" i="17" s="1"/>
  <c r="H131" i="17"/>
  <c r="R131" i="17" s="1" a="1"/>
  <c r="R131" i="17" s="1"/>
  <c r="U131" i="17" s="1" a="1"/>
  <c r="U131" i="17" s="1"/>
  <c r="H123" i="17"/>
  <c r="R123" i="17" s="1" a="1"/>
  <c r="R123" i="17" s="1"/>
  <c r="U123" i="17" s="1" a="1"/>
  <c r="U123" i="17" s="1"/>
  <c r="H115" i="17"/>
  <c r="R115" i="17" s="1" a="1"/>
  <c r="R115" i="17" s="1"/>
  <c r="U115" i="17" s="1" a="1"/>
  <c r="U115" i="17" s="1"/>
  <c r="H107" i="17"/>
  <c r="R107" i="17" s="1" a="1"/>
  <c r="R107" i="17" s="1"/>
  <c r="U107" i="17" s="1" a="1"/>
  <c r="U107" i="17" s="1"/>
  <c r="H11" i="17"/>
  <c r="R11" i="17" s="1" a="1"/>
  <c r="R11" i="17" s="1"/>
  <c r="U11" i="17" s="1" a="1"/>
  <c r="U11" i="17" s="1"/>
  <c r="H19" i="17"/>
  <c r="S19" i="17" s="1" a="1"/>
  <c r="S19" i="17" s="1"/>
  <c r="H27" i="17"/>
  <c r="R27" i="17" s="1" a="1"/>
  <c r="R27" i="17" s="1"/>
  <c r="U27" i="17" s="1" a="1"/>
  <c r="U27" i="17" s="1"/>
  <c r="H35" i="17"/>
  <c r="S35" i="17" s="1" a="1"/>
  <c r="S35" i="17" s="1"/>
  <c r="H43" i="17"/>
  <c r="R43" i="17" s="1" a="1"/>
  <c r="R43" i="17" s="1"/>
  <c r="U43" i="17" s="1" a="1"/>
  <c r="U43" i="17" s="1"/>
  <c r="H51" i="17"/>
  <c r="S51" i="17" s="1" a="1"/>
  <c r="S51" i="17" s="1"/>
  <c r="H59" i="17"/>
  <c r="R59" i="17" s="1" a="1"/>
  <c r="R59" i="17" s="1"/>
  <c r="U59" i="17" s="1" a="1"/>
  <c r="U59" i="17" s="1"/>
  <c r="H67" i="17"/>
  <c r="R67" i="17" s="1" a="1"/>
  <c r="R67" i="17" s="1"/>
  <c r="U67" i="17" s="1" a="1"/>
  <c r="U67" i="17" s="1"/>
  <c r="H75" i="17"/>
  <c r="S75" i="17" s="1" a="1"/>
  <c r="S75" i="17" s="1"/>
  <c r="H83" i="17"/>
  <c r="R83" i="17" s="1" a="1"/>
  <c r="R83" i="17" s="1"/>
  <c r="U83" i="17" s="1" a="1"/>
  <c r="U83" i="17" s="1"/>
  <c r="H91" i="17"/>
  <c r="R91" i="17" s="1" a="1"/>
  <c r="R91" i="17" s="1"/>
  <c r="U91" i="17" s="1" a="1"/>
  <c r="U91" i="17" s="1"/>
  <c r="H99" i="17"/>
  <c r="S99" i="17" s="1" a="1"/>
  <c r="S99" i="17" s="1"/>
  <c r="N9" i="31"/>
  <c r="N17" i="31"/>
  <c r="X17" i="31" s="1" a="1"/>
  <c r="X17" i="31" s="1"/>
  <c r="N25" i="31"/>
  <c r="N33" i="31"/>
  <c r="X33" i="31" s="1" a="1"/>
  <c r="X33" i="31" s="1"/>
  <c r="N41" i="31"/>
  <c r="N49" i="31"/>
  <c r="N57" i="31"/>
  <c r="X57" i="31" s="1" a="1"/>
  <c r="X57" i="31" s="1"/>
  <c r="N65" i="31"/>
  <c r="W65" i="31" s="1" a="1"/>
  <c r="W65" i="31" s="1"/>
  <c r="Z65" i="31" s="1" a="1"/>
  <c r="Z65" i="31" s="1"/>
  <c r="N73" i="31"/>
  <c r="N81" i="31"/>
  <c r="X81" i="31" s="1" a="1"/>
  <c r="X81" i="31" s="1"/>
  <c r="N89" i="31"/>
  <c r="N97" i="31"/>
  <c r="W97" i="31" s="1" a="1"/>
  <c r="W97" i="31" s="1"/>
  <c r="Z97" i="31" s="1" a="1"/>
  <c r="Z97" i="31" s="1"/>
  <c r="N105" i="31"/>
  <c r="N113" i="31"/>
  <c r="N121" i="31"/>
  <c r="X121" i="31" s="1" a="1"/>
  <c r="X121" i="31" s="1"/>
  <c r="H6" i="17"/>
  <c r="H242" i="17"/>
  <c r="R242" i="17" s="1" a="1"/>
  <c r="R242" i="17" s="1"/>
  <c r="U242" i="17" s="1" a="1"/>
  <c r="U242" i="17" s="1"/>
  <c r="H234" i="17"/>
  <c r="R234" i="17" s="1" a="1"/>
  <c r="R234" i="17" s="1"/>
  <c r="U234" i="17" s="1" a="1"/>
  <c r="U234" i="17" s="1"/>
  <c r="H226" i="17"/>
  <c r="R226" i="17" s="1" a="1"/>
  <c r="R226" i="17" s="1"/>
  <c r="U226" i="17" s="1" a="1"/>
  <c r="U226" i="17" s="1"/>
  <c r="H218" i="17"/>
  <c r="R218" i="17" s="1" a="1"/>
  <c r="R218" i="17" s="1"/>
  <c r="U218" i="17" s="1" a="1"/>
  <c r="U218" i="17" s="1"/>
  <c r="H210" i="17"/>
  <c r="R210" i="17" s="1" a="1"/>
  <c r="R210" i="17" s="1"/>
  <c r="U210" i="17" s="1" a="1"/>
  <c r="U210" i="17" s="1"/>
  <c r="H202" i="17"/>
  <c r="R202" i="17" s="1" a="1"/>
  <c r="R202" i="17" s="1"/>
  <c r="U202" i="17" s="1" a="1"/>
  <c r="U202" i="17" s="1"/>
  <c r="H194" i="17"/>
  <c r="R194" i="17" s="1" a="1"/>
  <c r="R194" i="17" s="1"/>
  <c r="U194" i="17" s="1" a="1"/>
  <c r="U194" i="17" s="1"/>
  <c r="H186" i="17"/>
  <c r="R186" i="17" s="1" a="1"/>
  <c r="R186" i="17" s="1"/>
  <c r="U186" i="17" s="1" a="1"/>
  <c r="U186" i="17" s="1"/>
  <c r="H178" i="17"/>
  <c r="R178" i="17" s="1" a="1"/>
  <c r="R178" i="17" s="1"/>
  <c r="U178" i="17" s="1" a="1"/>
  <c r="U178" i="17" s="1"/>
  <c r="H170" i="17"/>
  <c r="R170" i="17" s="1" a="1"/>
  <c r="R170" i="17" s="1"/>
  <c r="U170" i="17" s="1" a="1"/>
  <c r="U170" i="17" s="1"/>
  <c r="H162" i="17"/>
  <c r="R162" i="17" s="1" a="1"/>
  <c r="R162" i="17" s="1"/>
  <c r="U162" i="17" s="1" a="1"/>
  <c r="U162" i="17" s="1"/>
  <c r="H154" i="17"/>
  <c r="S154" i="17" s="1" a="1"/>
  <c r="S154" i="17" s="1"/>
  <c r="H146" i="17"/>
  <c r="R146" i="17" s="1" a="1"/>
  <c r="R146" i="17" s="1"/>
  <c r="U146" i="17" s="1" a="1"/>
  <c r="U146" i="17" s="1"/>
  <c r="H138" i="17"/>
  <c r="R138" i="17" s="1" a="1"/>
  <c r="R138" i="17" s="1"/>
  <c r="U138" i="17" s="1" a="1"/>
  <c r="U138" i="17" s="1"/>
  <c r="H130" i="17"/>
  <c r="R130" i="17" s="1" a="1"/>
  <c r="R130" i="17" s="1"/>
  <c r="U130" i="17" s="1" a="1"/>
  <c r="U130" i="17" s="1"/>
  <c r="H122" i="17"/>
  <c r="S122" i="17" s="1" a="1"/>
  <c r="S122" i="17" s="1"/>
  <c r="H114" i="17"/>
  <c r="S114" i="17" s="1" a="1"/>
  <c r="S114" i="17" s="1"/>
  <c r="H106" i="17"/>
  <c r="R106" i="17" s="1" a="1"/>
  <c r="R106" i="17" s="1"/>
  <c r="U106" i="17" s="1" a="1"/>
  <c r="U106" i="17" s="1"/>
  <c r="H12" i="17"/>
  <c r="R12" i="17" s="1" a="1"/>
  <c r="R12" i="17" s="1"/>
  <c r="U12" i="17" s="1" a="1"/>
  <c r="U12" i="17" s="1"/>
  <c r="H20" i="17"/>
  <c r="R20" i="17" s="1" a="1"/>
  <c r="R20" i="17" s="1"/>
  <c r="U20" i="17" s="1" a="1"/>
  <c r="U20" i="17" s="1"/>
  <c r="H28" i="17"/>
  <c r="R28" i="17" s="1" a="1"/>
  <c r="R28" i="17" s="1"/>
  <c r="U28" i="17" s="1" a="1"/>
  <c r="U28" i="17" s="1"/>
  <c r="H36" i="17"/>
  <c r="R36" i="17" s="1" a="1"/>
  <c r="R36" i="17" s="1"/>
  <c r="U36" i="17" s="1" a="1"/>
  <c r="U36" i="17" s="1"/>
  <c r="H44" i="17"/>
  <c r="R44" i="17" s="1" a="1"/>
  <c r="R44" i="17" s="1"/>
  <c r="U44" i="17" s="1" a="1"/>
  <c r="U44" i="17" s="1"/>
  <c r="H52" i="17"/>
  <c r="S52" i="17" s="1" a="1"/>
  <c r="S52" i="17" s="1"/>
  <c r="H60" i="17"/>
  <c r="R60" i="17" s="1" a="1"/>
  <c r="R60" i="17" s="1"/>
  <c r="U60" i="17" s="1" a="1"/>
  <c r="U60" i="17" s="1"/>
  <c r="H68" i="17"/>
  <c r="S68" i="17" s="1" a="1"/>
  <c r="S68" i="17" s="1"/>
  <c r="H76" i="17"/>
  <c r="R76" i="17" s="1" a="1"/>
  <c r="R76" i="17" s="1"/>
  <c r="U76" i="17" s="1" a="1"/>
  <c r="U76" i="17" s="1"/>
  <c r="H84" i="17"/>
  <c r="R84" i="17" s="1" a="1"/>
  <c r="R84" i="17" s="1"/>
  <c r="U84" i="17" s="1" a="1"/>
  <c r="U84" i="17" s="1"/>
  <c r="H92" i="17"/>
  <c r="R92" i="17" s="1" a="1"/>
  <c r="R92" i="17" s="1"/>
  <c r="U92" i="17" s="1" a="1"/>
  <c r="U92" i="17" s="1"/>
  <c r="H100" i="17"/>
  <c r="R100" i="17" s="1" a="1"/>
  <c r="R100" i="17" s="1"/>
  <c r="U100" i="17" s="1" a="1"/>
  <c r="U100" i="17" s="1"/>
  <c r="N2" i="31"/>
  <c r="N10" i="31"/>
  <c r="X10" i="31" s="1" a="1"/>
  <c r="X10" i="31" s="1"/>
  <c r="N18" i="31"/>
  <c r="N26" i="31"/>
  <c r="W26" i="31" s="1" a="1"/>
  <c r="W26" i="31" s="1"/>
  <c r="Z26" i="31" s="1" a="1"/>
  <c r="Z26" i="31" s="1"/>
  <c r="N34" i="31"/>
  <c r="N42" i="31"/>
  <c r="N50" i="31"/>
  <c r="N58" i="31"/>
  <c r="N66" i="31"/>
  <c r="X66" i="31" s="1" a="1"/>
  <c r="X66" i="31" s="1"/>
  <c r="N74" i="31"/>
  <c r="W74" i="31" s="1" a="1"/>
  <c r="W74" i="31" s="1"/>
  <c r="Z74" i="31" s="1" a="1"/>
  <c r="Z74" i="31" s="1"/>
  <c r="N82" i="31"/>
  <c r="N90" i="31"/>
  <c r="W90" i="31" s="1" a="1"/>
  <c r="W90" i="31" s="1"/>
  <c r="Z90" i="31" s="1" a="1"/>
  <c r="Z90" i="31" s="1"/>
  <c r="N98" i="31"/>
  <c r="N106" i="31"/>
  <c r="N114" i="31"/>
  <c r="N122" i="31"/>
  <c r="H247" i="17"/>
  <c r="R247" i="17" s="1" a="1"/>
  <c r="R247" i="17" s="1"/>
  <c r="U247" i="17" s="1" a="1"/>
  <c r="U247" i="17" s="1"/>
  <c r="H240" i="17"/>
  <c r="R240" i="17" s="1" a="1"/>
  <c r="R240" i="17" s="1"/>
  <c r="U240" i="17" s="1" a="1"/>
  <c r="U240" i="17" s="1"/>
  <c r="H232" i="17"/>
  <c r="S232" i="17" s="1" a="1"/>
  <c r="S232" i="17" s="1"/>
  <c r="H224" i="17"/>
  <c r="S224" i="17" s="1" a="1"/>
  <c r="S224" i="17" s="1"/>
  <c r="H216" i="17"/>
  <c r="S216" i="17" s="1" a="1"/>
  <c r="S216" i="17" s="1"/>
  <c r="H208" i="17"/>
  <c r="R208" i="17" s="1" a="1"/>
  <c r="R208" i="17" s="1"/>
  <c r="U208" i="17" s="1" a="1"/>
  <c r="U208" i="17" s="1"/>
  <c r="H200" i="17"/>
  <c r="R200" i="17" s="1" a="1"/>
  <c r="R200" i="17" s="1"/>
  <c r="U200" i="17" s="1" a="1"/>
  <c r="U200" i="17" s="1"/>
  <c r="H192" i="17"/>
  <c r="S192" i="17" s="1" a="1"/>
  <c r="S192" i="17" s="1"/>
  <c r="H184" i="17"/>
  <c r="R184" i="17" s="1" a="1"/>
  <c r="R184" i="17" s="1"/>
  <c r="U184" i="17" s="1" a="1"/>
  <c r="U184" i="17" s="1"/>
  <c r="H176" i="17"/>
  <c r="S176" i="17" s="1" a="1"/>
  <c r="S176" i="17" s="1"/>
  <c r="H168" i="17"/>
  <c r="R168" i="17" s="1" a="1"/>
  <c r="R168" i="17" s="1"/>
  <c r="U168" i="17" s="1" a="1"/>
  <c r="U168" i="17" s="1"/>
  <c r="H160" i="17"/>
  <c r="R160" i="17" s="1" a="1"/>
  <c r="R160" i="17" s="1"/>
  <c r="U160" i="17" s="1" a="1"/>
  <c r="U160" i="17" s="1"/>
  <c r="H152" i="17"/>
  <c r="S152" i="17" s="1" a="1"/>
  <c r="S152" i="17" s="1"/>
  <c r="H144" i="17"/>
  <c r="S144" i="17" s="1" a="1"/>
  <c r="S144" i="17" s="1"/>
  <c r="H136" i="17"/>
  <c r="R136" i="17" s="1" a="1"/>
  <c r="R136" i="17" s="1"/>
  <c r="U136" i="17" s="1" a="1"/>
  <c r="U136" i="17" s="1"/>
  <c r="H128" i="17"/>
  <c r="S128" i="17" s="1" a="1"/>
  <c r="S128" i="17" s="1"/>
  <c r="H120" i="17"/>
  <c r="R120" i="17" s="1" a="1"/>
  <c r="R120" i="17" s="1"/>
  <c r="U120" i="17" s="1" a="1"/>
  <c r="U120" i="17" s="1"/>
  <c r="H112" i="17"/>
  <c r="R112" i="17" s="1" a="1"/>
  <c r="R112" i="17" s="1"/>
  <c r="U112" i="17" s="1" a="1"/>
  <c r="U112" i="17" s="1"/>
  <c r="H14" i="17"/>
  <c r="R14" i="17" s="1" a="1"/>
  <c r="R14" i="17" s="1"/>
  <c r="U14" i="17" s="1" a="1"/>
  <c r="U14" i="17" s="1"/>
  <c r="H22" i="17"/>
  <c r="R22" i="17" s="1" a="1"/>
  <c r="R22" i="17" s="1"/>
  <c r="U22" i="17" s="1" a="1"/>
  <c r="U22" i="17" s="1"/>
  <c r="H30" i="17"/>
  <c r="S30" i="17" s="1" a="1"/>
  <c r="S30" i="17" s="1"/>
  <c r="H38" i="17"/>
  <c r="S38" i="17" s="1" a="1"/>
  <c r="S38" i="17" s="1"/>
  <c r="H46" i="17"/>
  <c r="R46" i="17" s="1" a="1"/>
  <c r="R46" i="17" s="1"/>
  <c r="U46" i="17" s="1" a="1"/>
  <c r="U46" i="17" s="1"/>
  <c r="H54" i="17"/>
  <c r="S54" i="17" s="1" a="1"/>
  <c r="S54" i="17" s="1"/>
  <c r="H62" i="17"/>
  <c r="S62" i="17" s="1" a="1"/>
  <c r="S62" i="17" s="1"/>
  <c r="H70" i="17"/>
  <c r="R70" i="17" s="1" a="1"/>
  <c r="R70" i="17" s="1"/>
  <c r="U70" i="17" s="1" a="1"/>
  <c r="U70" i="17" s="1"/>
  <c r="H78" i="17"/>
  <c r="R78" i="17" s="1" a="1"/>
  <c r="R78" i="17" s="1"/>
  <c r="U78" i="17" s="1" a="1"/>
  <c r="U78" i="17" s="1"/>
  <c r="H86" i="17"/>
  <c r="R86" i="17" s="1" a="1"/>
  <c r="R86" i="17" s="1"/>
  <c r="U86" i="17" s="1" a="1"/>
  <c r="U86" i="17" s="1"/>
  <c r="H94" i="17"/>
  <c r="R94" i="17" s="1" a="1"/>
  <c r="R94" i="17" s="1"/>
  <c r="U94" i="17" s="1" a="1"/>
  <c r="U94" i="17" s="1"/>
  <c r="H102" i="17"/>
  <c r="S102" i="17" s="1" a="1"/>
  <c r="S102" i="17" s="1"/>
  <c r="N4" i="31"/>
  <c r="N12" i="31"/>
  <c r="N20" i="31"/>
  <c r="X20" i="31" s="1" a="1"/>
  <c r="X20" i="31" s="1"/>
  <c r="N28" i="31"/>
  <c r="X28" i="31" s="1" a="1"/>
  <c r="X28" i="31" s="1"/>
  <c r="N36" i="31"/>
  <c r="N44" i="31"/>
  <c r="X44" i="31" s="1" a="1"/>
  <c r="X44" i="31" s="1"/>
  <c r="N52" i="31"/>
  <c r="N60" i="31"/>
  <c r="N68" i="31"/>
  <c r="N76" i="31"/>
  <c r="N84" i="31"/>
  <c r="X84" i="31" s="1" a="1"/>
  <c r="X84" i="31" s="1"/>
  <c r="N92" i="31"/>
  <c r="W92" i="31" s="1" a="1"/>
  <c r="W92" i="31" s="1"/>
  <c r="Z92" i="31" s="1" a="1"/>
  <c r="Z92" i="31" s="1"/>
  <c r="N100" i="31"/>
  <c r="N108" i="31"/>
  <c r="X108" i="31" s="1" a="1"/>
  <c r="X108" i="31" s="1"/>
  <c r="N116" i="31"/>
  <c r="N124" i="31"/>
  <c r="B11" i="35" a="1"/>
  <c r="B11" i="25" a="1"/>
  <c r="R113" i="17" a="1"/>
  <c r="R113" i="17" s="1"/>
  <c r="U113" i="17" s="1" a="1"/>
  <c r="U113" i="17" s="1"/>
  <c r="R117" i="17" a="1"/>
  <c r="R117" i="17" s="1"/>
  <c r="U117" i="17" s="1" a="1"/>
  <c r="U117" i="17" s="1"/>
  <c r="R125" i="17" a="1"/>
  <c r="R125" i="17" s="1"/>
  <c r="U125" i="17" s="1" a="1"/>
  <c r="U125" i="17" s="1"/>
  <c r="S125" i="17" a="1"/>
  <c r="S125" i="17" s="1"/>
  <c r="R129" i="17" a="1"/>
  <c r="R129" i="17" s="1"/>
  <c r="U129" i="17" s="1" a="1"/>
  <c r="U129" i="17" s="1"/>
  <c r="S129" i="17" a="1"/>
  <c r="S129" i="17" s="1"/>
  <c r="R133" i="17" a="1"/>
  <c r="R133" i="17" s="1"/>
  <c r="U133" i="17" s="1" a="1"/>
  <c r="U133" i="17" s="1"/>
  <c r="S133" i="17" a="1"/>
  <c r="S133" i="17" s="1"/>
  <c r="R137" i="17" a="1"/>
  <c r="R137" i="17" s="1"/>
  <c r="U137" i="17" s="1" a="1"/>
  <c r="U137" i="17" s="1"/>
  <c r="S137" i="17" a="1"/>
  <c r="S137" i="17" s="1"/>
  <c r="R141" i="17" a="1"/>
  <c r="R141" i="17" s="1"/>
  <c r="U141" i="17" s="1" a="1"/>
  <c r="U141" i="17" s="1"/>
  <c r="S141" i="17" a="1"/>
  <c r="S141" i="17" s="1"/>
  <c r="R143" i="17" a="1"/>
  <c r="R143" i="17" s="1"/>
  <c r="U143" i="17" s="1" a="1"/>
  <c r="U143" i="17" s="1"/>
  <c r="R145" i="17" a="1"/>
  <c r="R145" i="17" s="1"/>
  <c r="U145" i="17" s="1" a="1"/>
  <c r="U145" i="17" s="1"/>
  <c r="S145" i="17" a="1"/>
  <c r="S145" i="17" s="1"/>
  <c r="R157" i="17" a="1"/>
  <c r="R157" i="17" s="1"/>
  <c r="U157" i="17" s="1" a="1"/>
  <c r="U157" i="17" s="1"/>
  <c r="R161" i="17" a="1"/>
  <c r="R161" i="17" s="1"/>
  <c r="U161" i="17" s="1" a="1"/>
  <c r="U161" i="17" s="1"/>
  <c r="S161" i="17" a="1"/>
  <c r="S161" i="17" s="1"/>
  <c r="S167" i="17" a="1"/>
  <c r="S167" i="17" s="1"/>
  <c r="S177" i="17" a="1"/>
  <c r="S177" i="17" s="1"/>
  <c r="S181" i="17" a="1"/>
  <c r="S181" i="17" s="1"/>
  <c r="R189" i="17" a="1"/>
  <c r="R189" i="17" s="1"/>
  <c r="U189" i="17" s="1" a="1"/>
  <c r="U189" i="17" s="1"/>
  <c r="S189" i="17" a="1"/>
  <c r="S189" i="17" s="1"/>
  <c r="S193" i="17" a="1"/>
  <c r="S193" i="17" s="1"/>
  <c r="R197" i="17" a="1"/>
  <c r="R197" i="17" s="1"/>
  <c r="U197" i="17" s="1" a="1"/>
  <c r="U197" i="17" s="1"/>
  <c r="S197" i="17" a="1"/>
  <c r="S197" i="17" s="1"/>
  <c r="S198" i="17" a="1"/>
  <c r="S198" i="17" s="1"/>
  <c r="R201" i="17" a="1"/>
  <c r="R201" i="17" s="1"/>
  <c r="U201" i="17" s="1" a="1"/>
  <c r="U201" i="17" s="1"/>
  <c r="S201" i="17" a="1"/>
  <c r="S201" i="17" s="1"/>
  <c r="R205" i="17" a="1"/>
  <c r="R205" i="17" s="1"/>
  <c r="U205" i="17" s="1" a="1"/>
  <c r="U205" i="17" s="1"/>
  <c r="S205" i="17" a="1"/>
  <c r="S205" i="17" s="1"/>
  <c r="S207" i="17" a="1"/>
  <c r="S207" i="17" s="1"/>
  <c r="R209" i="17" a="1"/>
  <c r="R209" i="17" s="1"/>
  <c r="U209" i="17" s="1" a="1"/>
  <c r="U209" i="17" s="1"/>
  <c r="S209" i="17" a="1"/>
  <c r="S209" i="17" s="1"/>
  <c r="S221" i="17" a="1"/>
  <c r="S221" i="17" s="1"/>
  <c r="R225" i="17" a="1"/>
  <c r="R225" i="17" s="1"/>
  <c r="U225" i="17" s="1" a="1"/>
  <c r="U225" i="17" s="1"/>
  <c r="S225" i="17" a="1"/>
  <c r="S225" i="17" s="1"/>
  <c r="R229" i="17" a="1"/>
  <c r="R229" i="17" s="1"/>
  <c r="U229" i="17" s="1" a="1"/>
  <c r="U229" i="17" s="1"/>
  <c r="R237" i="17" a="1"/>
  <c r="R237" i="17" s="1"/>
  <c r="U237" i="17" s="1" a="1"/>
  <c r="U237" i="17" s="1"/>
  <c r="R248" i="17" a="1"/>
  <c r="R248" i="17" s="1"/>
  <c r="U248" i="17" s="1" a="1"/>
  <c r="U248" i="17" s="1"/>
  <c r="S248" i="17" a="1"/>
  <c r="S248" i="17" s="1"/>
  <c r="R9" i="17" a="1"/>
  <c r="R9" i="17" s="1"/>
  <c r="U9" i="17" s="1" a="1"/>
  <c r="U9" i="17" s="1"/>
  <c r="R250" i="17" a="1"/>
  <c r="R250" i="17" s="1"/>
  <c r="U250" i="17" s="1" a="1"/>
  <c r="U250" i="17" s="1"/>
  <c r="S250" i="17" a="1"/>
  <c r="S250" i="17" s="1"/>
  <c r="S104" i="17" a="1"/>
  <c r="S104" i="17" s="1"/>
  <c r="R101" i="17" a="1"/>
  <c r="R101" i="17" s="1"/>
  <c r="U101" i="17" s="1" a="1"/>
  <c r="U101" i="17" s="1"/>
  <c r="S101" i="17" a="1"/>
  <c r="S101" i="17" s="1"/>
  <c r="R97" i="17" a="1"/>
  <c r="R97" i="17" s="1"/>
  <c r="U97" i="17" s="1" a="1"/>
  <c r="U97" i="17" s="1"/>
  <c r="S97" i="17" a="1"/>
  <c r="S97" i="17" s="1"/>
  <c r="S95" i="17" a="1"/>
  <c r="S95" i="17" s="1"/>
  <c r="R93" i="17" a="1"/>
  <c r="R93" i="17" s="1"/>
  <c r="U93" i="17" s="1" a="1"/>
  <c r="U93" i="17" s="1"/>
  <c r="S93" i="17" a="1"/>
  <c r="S93" i="17" s="1"/>
  <c r="R81" i="17" a="1"/>
  <c r="R81" i="17" s="1"/>
  <c r="U81" i="17" s="1" a="1"/>
  <c r="U81" i="17" s="1"/>
  <c r="R77" i="17" a="1"/>
  <c r="R77" i="17" s="1"/>
  <c r="U77" i="17" s="1" a="1"/>
  <c r="U77" i="17" s="1"/>
  <c r="S77" i="17" a="1"/>
  <c r="S77" i="17" s="1"/>
  <c r="S69" i="17" a="1"/>
  <c r="S69" i="17" s="1"/>
  <c r="S61" i="17" a="1"/>
  <c r="S61" i="17" s="1"/>
  <c r="R57" i="17" a="1"/>
  <c r="R57" i="17" s="1"/>
  <c r="U57" i="17" s="1" a="1"/>
  <c r="U57" i="17" s="1"/>
  <c r="R49" i="17" a="1"/>
  <c r="R49" i="17" s="1"/>
  <c r="U49" i="17" s="1" a="1"/>
  <c r="U49" i="17" s="1"/>
  <c r="S49" i="17" a="1"/>
  <c r="S49" i="17" s="1"/>
  <c r="R45" i="17" a="1"/>
  <c r="R45" i="17" s="1"/>
  <c r="U45" i="17" s="1" a="1"/>
  <c r="U45" i="17" s="1"/>
  <c r="S45" i="17" a="1"/>
  <c r="S45" i="17" s="1"/>
  <c r="R41" i="17" a="1"/>
  <c r="R41" i="17" s="1"/>
  <c r="U41" i="17" s="1" a="1"/>
  <c r="U41" i="17" s="1"/>
  <c r="S41" i="17" a="1"/>
  <c r="S41" i="17" s="1"/>
  <c r="R40" i="17" a="1"/>
  <c r="R40" i="17" s="1"/>
  <c r="U40" i="17" s="1" a="1"/>
  <c r="U40" i="17" s="1"/>
  <c r="R37" i="17" a="1"/>
  <c r="R37" i="17" s="1"/>
  <c r="U37" i="17" s="1" a="1"/>
  <c r="U37" i="17" s="1"/>
  <c r="S37" i="17" a="1"/>
  <c r="S37" i="17" s="1"/>
  <c r="R33" i="17" a="1"/>
  <c r="R33" i="17" s="1"/>
  <c r="U33" i="17" s="1" a="1"/>
  <c r="U33" i="17" s="1"/>
  <c r="S33" i="17" a="1"/>
  <c r="S33" i="17" s="1"/>
  <c r="S31" i="17" a="1"/>
  <c r="S31" i="17" s="1"/>
  <c r="R29" i="17" a="1"/>
  <c r="R29" i="17" s="1"/>
  <c r="U29" i="17" s="1" a="1"/>
  <c r="U29" i="17" s="1"/>
  <c r="S29" i="17" a="1"/>
  <c r="S29" i="17" s="1"/>
  <c r="R25" i="17" a="1"/>
  <c r="R25" i="17" s="1"/>
  <c r="U25" i="17" s="1" a="1"/>
  <c r="U25" i="17" s="1"/>
  <c r="R13" i="17" a="1"/>
  <c r="R13" i="17" s="1"/>
  <c r="U13" i="17" s="1" a="1"/>
  <c r="U13" i="17" s="1"/>
  <c r="S13" i="17" a="1"/>
  <c r="S13" i="17" s="1"/>
  <c r="W2001" i="31" a="1"/>
  <c r="W2001" i="31" s="1"/>
  <c r="Z2001" i="31" s="1" a="1"/>
  <c r="Z2001" i="31" s="1"/>
  <c r="X2001" i="31" a="1"/>
  <c r="X2001" i="31" s="1"/>
  <c r="W2000" i="31" a="1"/>
  <c r="W2000" i="31" s="1"/>
  <c r="Z2000" i="31" s="1" a="1"/>
  <c r="Z2000" i="31" s="1"/>
  <c r="X2000" i="31" a="1"/>
  <c r="X2000" i="31" s="1"/>
  <c r="W1999" i="31" a="1"/>
  <c r="W1999" i="31" s="1"/>
  <c r="Z1999" i="31" s="1" a="1"/>
  <c r="Z1999" i="31" s="1"/>
  <c r="X1999" i="31" a="1"/>
  <c r="X1999" i="31" s="1"/>
  <c r="W1998" i="31" a="1"/>
  <c r="W1998" i="31" s="1"/>
  <c r="Z1998" i="31" s="1" a="1"/>
  <c r="Z1998" i="31" s="1"/>
  <c r="X1998" i="31" a="1"/>
  <c r="X1998" i="31" s="1"/>
  <c r="W1997" i="31" a="1"/>
  <c r="W1997" i="31" s="1"/>
  <c r="Z1997" i="31" s="1" a="1"/>
  <c r="Z1997" i="31" s="1"/>
  <c r="X1997" i="31" a="1"/>
  <c r="X1997" i="31" s="1"/>
  <c r="W1996" i="31" a="1"/>
  <c r="W1996" i="31" s="1"/>
  <c r="Z1996" i="31" s="1" a="1"/>
  <c r="Z1996" i="31" s="1"/>
  <c r="X1996" i="31" a="1"/>
  <c r="X1996" i="31" s="1"/>
  <c r="W1995" i="31" a="1"/>
  <c r="W1995" i="31" s="1"/>
  <c r="Z1995" i="31" s="1" a="1"/>
  <c r="Z1995" i="31" s="1"/>
  <c r="X1995" i="31" a="1"/>
  <c r="X1995" i="31" s="1"/>
  <c r="W1994" i="31" a="1"/>
  <c r="W1994" i="31" s="1"/>
  <c r="Z1994" i="31" s="1" a="1"/>
  <c r="Z1994" i="31" s="1"/>
  <c r="X1994" i="31" a="1"/>
  <c r="X1994" i="31" s="1"/>
  <c r="W1993" i="31" a="1"/>
  <c r="W1993" i="31" s="1"/>
  <c r="Z1993" i="31" s="1" a="1"/>
  <c r="Z1993" i="31" s="1"/>
  <c r="X1993" i="31" a="1"/>
  <c r="X1993" i="31" s="1"/>
  <c r="W1992" i="31" a="1"/>
  <c r="W1992" i="31" s="1"/>
  <c r="Z1992" i="31" s="1" a="1"/>
  <c r="Z1992" i="31" s="1"/>
  <c r="X1992" i="31" a="1"/>
  <c r="X1992" i="31" s="1"/>
  <c r="W1991" i="31" a="1"/>
  <c r="W1991" i="31" s="1"/>
  <c r="Z1991" i="31" s="1" a="1"/>
  <c r="Z1991" i="31" s="1"/>
  <c r="X1991" i="31" a="1"/>
  <c r="X1991" i="31" s="1"/>
  <c r="W1990" i="31" a="1"/>
  <c r="W1990" i="31" s="1"/>
  <c r="Z1990" i="31" s="1" a="1"/>
  <c r="Z1990" i="31" s="1"/>
  <c r="X1990" i="31" a="1"/>
  <c r="X1990" i="31" s="1"/>
  <c r="W1989" i="31" a="1"/>
  <c r="W1989" i="31" s="1"/>
  <c r="Z1989" i="31" s="1" a="1"/>
  <c r="Z1989" i="31" s="1"/>
  <c r="X1989" i="31" a="1"/>
  <c r="X1989" i="31" s="1"/>
  <c r="W1988" i="31" a="1"/>
  <c r="W1988" i="31" s="1"/>
  <c r="Z1988" i="31" s="1" a="1"/>
  <c r="Z1988" i="31" s="1"/>
  <c r="X1988" i="31" a="1"/>
  <c r="X1988" i="31" s="1"/>
  <c r="W1987" i="31" a="1"/>
  <c r="W1987" i="31" s="1"/>
  <c r="Z1987" i="31" s="1" a="1"/>
  <c r="Z1987" i="31" s="1"/>
  <c r="X1987" i="31" a="1"/>
  <c r="X1987" i="31" s="1"/>
  <c r="W1986" i="31" a="1"/>
  <c r="W1986" i="31" s="1"/>
  <c r="Z1986" i="31" s="1" a="1"/>
  <c r="Z1986" i="31" s="1"/>
  <c r="X1986" i="31" a="1"/>
  <c r="X1986" i="31" s="1"/>
  <c r="W1985" i="31" a="1"/>
  <c r="W1985" i="31" s="1"/>
  <c r="Z1985" i="31" s="1" a="1"/>
  <c r="Z1985" i="31" s="1"/>
  <c r="X1985" i="31" a="1"/>
  <c r="X1985" i="31" s="1"/>
  <c r="W1984" i="31" a="1"/>
  <c r="W1984" i="31" s="1"/>
  <c r="Z1984" i="31" s="1" a="1"/>
  <c r="Z1984" i="31" s="1"/>
  <c r="X1984" i="31" a="1"/>
  <c r="X1984" i="31" s="1"/>
  <c r="W1983" i="31" a="1"/>
  <c r="W1983" i="31" s="1"/>
  <c r="Z1983" i="31" s="1" a="1"/>
  <c r="Z1983" i="31" s="1"/>
  <c r="X1983" i="31" a="1"/>
  <c r="X1983" i="31" s="1"/>
  <c r="W1982" i="31" a="1"/>
  <c r="W1982" i="31" s="1"/>
  <c r="Z1982" i="31" s="1" a="1"/>
  <c r="Z1982" i="31" s="1"/>
  <c r="X1982" i="31" a="1"/>
  <c r="X1982" i="31" s="1"/>
  <c r="W1981" i="31" a="1"/>
  <c r="W1981" i="31" s="1"/>
  <c r="Z1981" i="31" s="1" a="1"/>
  <c r="Z1981" i="31" s="1"/>
  <c r="X1981" i="31" a="1"/>
  <c r="X1981" i="31" s="1"/>
  <c r="W1980" i="31" a="1"/>
  <c r="W1980" i="31" s="1"/>
  <c r="Z1980" i="31" s="1" a="1"/>
  <c r="Z1980" i="31" s="1"/>
  <c r="X1980" i="31" a="1"/>
  <c r="X1980" i="31" s="1"/>
  <c r="W1979" i="31" a="1"/>
  <c r="W1979" i="31" s="1"/>
  <c r="Z1979" i="31" s="1" a="1"/>
  <c r="Z1979" i="31" s="1"/>
  <c r="X1979" i="31" a="1"/>
  <c r="X1979" i="31" s="1"/>
  <c r="W1978" i="31" a="1"/>
  <c r="W1978" i="31" s="1"/>
  <c r="Z1978" i="31" s="1" a="1"/>
  <c r="Z1978" i="31" s="1"/>
  <c r="X1978" i="31" a="1"/>
  <c r="X1978" i="31" s="1"/>
  <c r="W1977" i="31" a="1"/>
  <c r="W1977" i="31" s="1"/>
  <c r="Z1977" i="31" s="1" a="1"/>
  <c r="Z1977" i="31" s="1"/>
  <c r="X1977" i="31" a="1"/>
  <c r="X1977" i="31" s="1"/>
  <c r="W1976" i="31" a="1"/>
  <c r="W1976" i="31" s="1"/>
  <c r="Z1976" i="31" s="1" a="1"/>
  <c r="Z1976" i="31" s="1"/>
  <c r="X1976" i="31" a="1"/>
  <c r="X1976" i="31" s="1"/>
  <c r="W1975" i="31" a="1"/>
  <c r="W1975" i="31" s="1"/>
  <c r="Z1975" i="31" s="1" a="1"/>
  <c r="Z1975" i="31" s="1"/>
  <c r="X1975" i="31" a="1"/>
  <c r="X1975" i="31" s="1"/>
  <c r="W1974" i="31" a="1"/>
  <c r="W1974" i="31" s="1"/>
  <c r="Z1974" i="31" s="1" a="1"/>
  <c r="Z1974" i="31" s="1"/>
  <c r="X1974" i="31" a="1"/>
  <c r="X1974" i="31" s="1"/>
  <c r="W1973" i="31" a="1"/>
  <c r="W1973" i="31" s="1"/>
  <c r="Z1973" i="31" s="1" a="1"/>
  <c r="Z1973" i="31" s="1"/>
  <c r="X1973" i="31" a="1"/>
  <c r="X1973" i="31" s="1"/>
  <c r="W1972" i="31" a="1"/>
  <c r="W1972" i="31" s="1"/>
  <c r="Z1972" i="31" s="1" a="1"/>
  <c r="Z1972" i="31" s="1"/>
  <c r="X1972" i="31" a="1"/>
  <c r="X1972" i="31" s="1"/>
  <c r="W1971" i="31" a="1"/>
  <c r="W1971" i="31" s="1"/>
  <c r="Z1971" i="31" s="1" a="1"/>
  <c r="Z1971" i="31" s="1"/>
  <c r="X1971" i="31" a="1"/>
  <c r="X1971" i="31" s="1"/>
  <c r="W1970" i="31" a="1"/>
  <c r="W1970" i="31" s="1"/>
  <c r="Z1970" i="31" s="1" a="1"/>
  <c r="Z1970" i="31" s="1"/>
  <c r="X1970" i="31" a="1"/>
  <c r="X1970" i="31" s="1"/>
  <c r="W1969" i="31" a="1"/>
  <c r="W1969" i="31" s="1"/>
  <c r="Z1969" i="31" s="1" a="1"/>
  <c r="Z1969" i="31" s="1"/>
  <c r="X1969" i="31" a="1"/>
  <c r="X1969" i="31" s="1"/>
  <c r="W1968" i="31" a="1"/>
  <c r="W1968" i="31" s="1"/>
  <c r="Z1968" i="31" s="1" a="1"/>
  <c r="Z1968" i="31" s="1"/>
  <c r="X1968" i="31" a="1"/>
  <c r="X1968" i="31" s="1"/>
  <c r="W1967" i="31" a="1"/>
  <c r="W1967" i="31" s="1"/>
  <c r="Z1967" i="31" s="1" a="1"/>
  <c r="Z1967" i="31" s="1"/>
  <c r="X1967" i="31" a="1"/>
  <c r="X1967" i="31" s="1"/>
  <c r="W1966" i="31" a="1"/>
  <c r="W1966" i="31" s="1"/>
  <c r="Z1966" i="31" s="1" a="1"/>
  <c r="Z1966" i="31" s="1"/>
  <c r="X1966" i="31" a="1"/>
  <c r="X1966" i="31" s="1"/>
  <c r="W1965" i="31" a="1"/>
  <c r="W1965" i="31" s="1"/>
  <c r="Z1965" i="31" s="1" a="1"/>
  <c r="Z1965" i="31" s="1"/>
  <c r="X1965" i="31" a="1"/>
  <c r="X1965" i="31" s="1"/>
  <c r="W1964" i="31" a="1"/>
  <c r="W1964" i="31" s="1"/>
  <c r="Z1964" i="31" s="1" a="1"/>
  <c r="Z1964" i="31" s="1"/>
  <c r="X1964" i="31" a="1"/>
  <c r="X1964" i="31" s="1"/>
  <c r="W1963" i="31" a="1"/>
  <c r="W1963" i="31" s="1"/>
  <c r="Z1963" i="31" s="1" a="1"/>
  <c r="Z1963" i="31" s="1"/>
  <c r="X1963" i="31" a="1"/>
  <c r="X1963" i="31" s="1"/>
  <c r="W1962" i="31" a="1"/>
  <c r="W1962" i="31" s="1"/>
  <c r="Z1962" i="31" s="1" a="1"/>
  <c r="Z1962" i="31" s="1"/>
  <c r="X1962" i="31" a="1"/>
  <c r="X1962" i="31" s="1"/>
  <c r="W1961" i="31" a="1"/>
  <c r="W1961" i="31" s="1"/>
  <c r="Z1961" i="31" s="1" a="1"/>
  <c r="Z1961" i="31" s="1"/>
  <c r="X1961" i="31" a="1"/>
  <c r="X1961" i="31" s="1"/>
  <c r="W1960" i="31" a="1"/>
  <c r="W1960" i="31" s="1"/>
  <c r="Z1960" i="31" s="1" a="1"/>
  <c r="Z1960" i="31" s="1"/>
  <c r="X1960" i="31" a="1"/>
  <c r="X1960" i="31" s="1"/>
  <c r="W1959" i="31" a="1"/>
  <c r="W1959" i="31" s="1"/>
  <c r="Z1959" i="31" s="1" a="1"/>
  <c r="Z1959" i="31" s="1"/>
  <c r="X1959" i="31" a="1"/>
  <c r="X1959" i="31" s="1"/>
  <c r="W1958" i="31" a="1"/>
  <c r="W1958" i="31" s="1"/>
  <c r="Z1958" i="31" s="1" a="1"/>
  <c r="Z1958" i="31" s="1"/>
  <c r="X1958" i="31" a="1"/>
  <c r="X1958" i="31" s="1"/>
  <c r="W1957" i="31" a="1"/>
  <c r="W1957" i="31" s="1"/>
  <c r="Z1957" i="31" s="1" a="1"/>
  <c r="Z1957" i="31" s="1"/>
  <c r="X1957" i="31" a="1"/>
  <c r="X1957" i="31" s="1"/>
  <c r="W1956" i="31" a="1"/>
  <c r="W1956" i="31" s="1"/>
  <c r="Z1956" i="31" s="1" a="1"/>
  <c r="Z1956" i="31" s="1"/>
  <c r="X1956" i="31" a="1"/>
  <c r="X1956" i="31" s="1"/>
  <c r="W1955" i="31" a="1"/>
  <c r="W1955" i="31" s="1"/>
  <c r="Z1955" i="31" s="1" a="1"/>
  <c r="Z1955" i="31" s="1"/>
  <c r="X1955" i="31" a="1"/>
  <c r="X1955" i="31" s="1"/>
  <c r="W1954" i="31" a="1"/>
  <c r="W1954" i="31" s="1"/>
  <c r="Z1954" i="31" s="1" a="1"/>
  <c r="Z1954" i="31" s="1"/>
  <c r="X1954" i="31" a="1"/>
  <c r="X1954" i="31" s="1"/>
  <c r="W1953" i="31" a="1"/>
  <c r="W1953" i="31" s="1"/>
  <c r="Z1953" i="31" s="1" a="1"/>
  <c r="Z1953" i="31" s="1"/>
  <c r="X1953" i="31" a="1"/>
  <c r="X1953" i="31" s="1"/>
  <c r="W1952" i="31" a="1"/>
  <c r="W1952" i="31" s="1"/>
  <c r="Z1952" i="31" s="1" a="1"/>
  <c r="Z1952" i="31" s="1"/>
  <c r="X1952" i="31" a="1"/>
  <c r="X1952" i="31" s="1"/>
  <c r="W1951" i="31" a="1"/>
  <c r="W1951" i="31" s="1"/>
  <c r="Z1951" i="31" s="1" a="1"/>
  <c r="Z1951" i="31" s="1"/>
  <c r="X1951" i="31" a="1"/>
  <c r="X1951" i="31" s="1"/>
  <c r="W1950" i="31" a="1"/>
  <c r="W1950" i="31" s="1"/>
  <c r="Z1950" i="31" s="1" a="1"/>
  <c r="Z1950" i="31" s="1"/>
  <c r="X1950" i="31" a="1"/>
  <c r="X1950" i="31" s="1"/>
  <c r="W1949" i="31" a="1"/>
  <c r="W1949" i="31" s="1"/>
  <c r="Z1949" i="31" s="1" a="1"/>
  <c r="Z1949" i="31" s="1"/>
  <c r="X1949" i="31" a="1"/>
  <c r="X1949" i="31" s="1"/>
  <c r="W1948" i="31" a="1"/>
  <c r="W1948" i="31" s="1"/>
  <c r="Z1948" i="31" s="1" a="1"/>
  <c r="Z1948" i="31" s="1"/>
  <c r="X1948" i="31" a="1"/>
  <c r="X1948" i="31" s="1"/>
  <c r="W1947" i="31" a="1"/>
  <c r="W1947" i="31" s="1"/>
  <c r="Z1947" i="31" s="1" a="1"/>
  <c r="Z1947" i="31" s="1"/>
  <c r="X1947" i="31" a="1"/>
  <c r="X1947" i="31" s="1"/>
  <c r="W1946" i="31" a="1"/>
  <c r="W1946" i="31" s="1"/>
  <c r="Z1946" i="31" s="1" a="1"/>
  <c r="Z1946" i="31" s="1"/>
  <c r="X1946" i="31" a="1"/>
  <c r="X1946" i="31" s="1"/>
  <c r="W1945" i="31" a="1"/>
  <c r="W1945" i="31" s="1"/>
  <c r="Z1945" i="31" s="1" a="1"/>
  <c r="Z1945" i="31" s="1"/>
  <c r="X1945" i="31" a="1"/>
  <c r="X1945" i="31" s="1"/>
  <c r="W1944" i="31" a="1"/>
  <c r="W1944" i="31" s="1"/>
  <c r="Z1944" i="31" s="1" a="1"/>
  <c r="Z1944" i="31" s="1"/>
  <c r="X1944" i="31" a="1"/>
  <c r="X1944" i="31" s="1"/>
  <c r="W1943" i="31" a="1"/>
  <c r="W1943" i="31" s="1"/>
  <c r="Z1943" i="31" s="1" a="1"/>
  <c r="Z1943" i="31" s="1"/>
  <c r="X1943" i="31" a="1"/>
  <c r="X1943" i="31" s="1"/>
  <c r="W1942" i="31" a="1"/>
  <c r="W1942" i="31" s="1"/>
  <c r="Z1942" i="31" s="1" a="1"/>
  <c r="Z1942" i="31" s="1"/>
  <c r="X1942" i="31" a="1"/>
  <c r="X1942" i="31" s="1"/>
  <c r="W1941" i="31" a="1"/>
  <c r="W1941" i="31" s="1"/>
  <c r="Z1941" i="31" s="1" a="1"/>
  <c r="Z1941" i="31" s="1"/>
  <c r="X1941" i="31" a="1"/>
  <c r="X1941" i="31" s="1"/>
  <c r="W1940" i="31" a="1"/>
  <c r="W1940" i="31" s="1"/>
  <c r="Z1940" i="31" s="1" a="1"/>
  <c r="Z1940" i="31" s="1"/>
  <c r="X1940" i="31" a="1"/>
  <c r="X1940" i="31" s="1"/>
  <c r="W1939" i="31" a="1"/>
  <c r="W1939" i="31" s="1"/>
  <c r="Z1939" i="31" s="1" a="1"/>
  <c r="Z1939" i="31" s="1"/>
  <c r="X1939" i="31" a="1"/>
  <c r="X1939" i="31" s="1"/>
  <c r="W1938" i="31" a="1"/>
  <c r="W1938" i="31" s="1"/>
  <c r="Z1938" i="31" s="1" a="1"/>
  <c r="Z1938" i="31" s="1"/>
  <c r="X1938" i="31" a="1"/>
  <c r="X1938" i="31" s="1"/>
  <c r="W1937" i="31" a="1"/>
  <c r="W1937" i="31" s="1"/>
  <c r="Z1937" i="31" s="1" a="1"/>
  <c r="Z1937" i="31" s="1"/>
  <c r="X1937" i="31" a="1"/>
  <c r="X1937" i="31" s="1"/>
  <c r="W1936" i="31" a="1"/>
  <c r="W1936" i="31" s="1"/>
  <c r="Z1936" i="31" s="1" a="1"/>
  <c r="Z1936" i="31" s="1"/>
  <c r="X1936" i="31" a="1"/>
  <c r="X1936" i="31" s="1"/>
  <c r="W1935" i="31" a="1"/>
  <c r="W1935" i="31" s="1"/>
  <c r="Z1935" i="31" s="1" a="1"/>
  <c r="Z1935" i="31" s="1"/>
  <c r="X1935" i="31" a="1"/>
  <c r="X1935" i="31" s="1"/>
  <c r="W1934" i="31" a="1"/>
  <c r="W1934" i="31" s="1"/>
  <c r="Z1934" i="31" s="1" a="1"/>
  <c r="Z1934" i="31" s="1"/>
  <c r="X1934" i="31" a="1"/>
  <c r="X1934" i="31" s="1"/>
  <c r="W1933" i="31" a="1"/>
  <c r="W1933" i="31" s="1"/>
  <c r="Z1933" i="31" s="1" a="1"/>
  <c r="Z1933" i="31" s="1"/>
  <c r="X1933" i="31" a="1"/>
  <c r="X1933" i="31" s="1"/>
  <c r="W1932" i="31" a="1"/>
  <c r="W1932" i="31" s="1"/>
  <c r="Z1932" i="31" s="1" a="1"/>
  <c r="Z1932" i="31" s="1"/>
  <c r="X1932" i="31" a="1"/>
  <c r="X1932" i="31" s="1"/>
  <c r="W1931" i="31" a="1"/>
  <c r="W1931" i="31" s="1"/>
  <c r="Z1931" i="31" s="1" a="1"/>
  <c r="Z1931" i="31" s="1"/>
  <c r="X1931" i="31" a="1"/>
  <c r="X1931" i="31" s="1"/>
  <c r="W1930" i="31" a="1"/>
  <c r="W1930" i="31" s="1"/>
  <c r="Z1930" i="31" s="1" a="1"/>
  <c r="Z1930" i="31" s="1"/>
  <c r="X1930" i="31" a="1"/>
  <c r="X1930" i="31" s="1"/>
  <c r="W1929" i="31" a="1"/>
  <c r="W1929" i="31" s="1"/>
  <c r="Z1929" i="31" s="1" a="1"/>
  <c r="Z1929" i="31" s="1"/>
  <c r="X1929" i="31" a="1"/>
  <c r="X1929" i="31" s="1"/>
  <c r="W1928" i="31" a="1"/>
  <c r="W1928" i="31" s="1"/>
  <c r="Z1928" i="31" s="1" a="1"/>
  <c r="Z1928" i="31" s="1"/>
  <c r="X1928" i="31" a="1"/>
  <c r="X1928" i="31" s="1"/>
  <c r="W1927" i="31" a="1"/>
  <c r="W1927" i="31" s="1"/>
  <c r="Z1927" i="31" s="1" a="1"/>
  <c r="Z1927" i="31" s="1"/>
  <c r="X1927" i="31" a="1"/>
  <c r="X1927" i="31" s="1"/>
  <c r="W1926" i="31" a="1"/>
  <c r="W1926" i="31" s="1"/>
  <c r="Z1926" i="31" s="1" a="1"/>
  <c r="Z1926" i="31" s="1"/>
  <c r="X1926" i="31" a="1"/>
  <c r="X1926" i="31" s="1"/>
  <c r="W1925" i="31" a="1"/>
  <c r="W1925" i="31" s="1"/>
  <c r="Z1925" i="31" s="1" a="1"/>
  <c r="Z1925" i="31" s="1"/>
  <c r="X1925" i="31" a="1"/>
  <c r="X1925" i="31" s="1"/>
  <c r="W1924" i="31" a="1"/>
  <c r="W1924" i="31" s="1"/>
  <c r="Z1924" i="31" s="1" a="1"/>
  <c r="Z1924" i="31" s="1"/>
  <c r="X1924" i="31" a="1"/>
  <c r="X1924" i="31" s="1"/>
  <c r="W1923" i="31" a="1"/>
  <c r="W1923" i="31" s="1"/>
  <c r="Z1923" i="31" s="1" a="1"/>
  <c r="Z1923" i="31" s="1"/>
  <c r="X1923" i="31" a="1"/>
  <c r="X1923" i="31" s="1"/>
  <c r="W1922" i="31" a="1"/>
  <c r="W1922" i="31" s="1"/>
  <c r="Z1922" i="31" s="1" a="1"/>
  <c r="Z1922" i="31" s="1"/>
  <c r="X1922" i="31" a="1"/>
  <c r="X1922" i="31" s="1"/>
  <c r="W1921" i="31" a="1"/>
  <c r="W1921" i="31" s="1"/>
  <c r="Z1921" i="31" s="1" a="1"/>
  <c r="Z1921" i="31" s="1"/>
  <c r="X1921" i="31" a="1"/>
  <c r="X1921" i="31" s="1"/>
  <c r="W1920" i="31" a="1"/>
  <c r="W1920" i="31" s="1"/>
  <c r="Z1920" i="31" s="1" a="1"/>
  <c r="Z1920" i="31" s="1"/>
  <c r="X1920" i="31" a="1"/>
  <c r="X1920" i="31" s="1"/>
  <c r="W1919" i="31" a="1"/>
  <c r="W1919" i="31" s="1"/>
  <c r="Z1919" i="31" s="1" a="1"/>
  <c r="Z1919" i="31" s="1"/>
  <c r="X1919" i="31" a="1"/>
  <c r="X1919" i="31" s="1"/>
  <c r="W1918" i="31" a="1"/>
  <c r="W1918" i="31" s="1"/>
  <c r="Z1918" i="31" s="1" a="1"/>
  <c r="Z1918" i="31" s="1"/>
  <c r="X1918" i="31" a="1"/>
  <c r="X1918" i="31" s="1"/>
  <c r="W1917" i="31" a="1"/>
  <c r="W1917" i="31" s="1"/>
  <c r="Z1917" i="31" s="1" a="1"/>
  <c r="Z1917" i="31" s="1"/>
  <c r="X1917" i="31" a="1"/>
  <c r="X1917" i="31" s="1"/>
  <c r="W1916" i="31" a="1"/>
  <c r="W1916" i="31" s="1"/>
  <c r="Z1916" i="31" s="1" a="1"/>
  <c r="Z1916" i="31" s="1"/>
  <c r="X1916" i="31" a="1"/>
  <c r="X1916" i="31" s="1"/>
  <c r="W1915" i="31" a="1"/>
  <c r="W1915" i="31" s="1"/>
  <c r="Z1915" i="31" s="1" a="1"/>
  <c r="Z1915" i="31" s="1"/>
  <c r="X1915" i="31" a="1"/>
  <c r="X1915" i="31" s="1"/>
  <c r="W1914" i="31" a="1"/>
  <c r="W1914" i="31" s="1"/>
  <c r="Z1914" i="31" s="1" a="1"/>
  <c r="Z1914" i="31" s="1"/>
  <c r="X1914" i="31" a="1"/>
  <c r="X1914" i="31" s="1"/>
  <c r="W1913" i="31" a="1"/>
  <c r="W1913" i="31" s="1"/>
  <c r="Z1913" i="31" s="1" a="1"/>
  <c r="Z1913" i="31" s="1"/>
  <c r="X1913" i="31" a="1"/>
  <c r="X1913" i="31" s="1"/>
  <c r="W1912" i="31" a="1"/>
  <c r="W1912" i="31" s="1"/>
  <c r="Z1912" i="31" s="1" a="1"/>
  <c r="Z1912" i="31" s="1"/>
  <c r="X1912" i="31" a="1"/>
  <c r="X1912" i="31" s="1"/>
  <c r="W1911" i="31" a="1"/>
  <c r="W1911" i="31" s="1"/>
  <c r="Z1911" i="31" s="1" a="1"/>
  <c r="Z1911" i="31" s="1"/>
  <c r="X1911" i="31" a="1"/>
  <c r="X1911" i="31" s="1"/>
  <c r="W1910" i="31" a="1"/>
  <c r="W1910" i="31" s="1"/>
  <c r="Z1910" i="31" s="1" a="1"/>
  <c r="Z1910" i="31" s="1"/>
  <c r="X1910" i="31" a="1"/>
  <c r="X1910" i="31" s="1"/>
  <c r="W1909" i="31" a="1"/>
  <c r="W1909" i="31" s="1"/>
  <c r="Z1909" i="31" s="1" a="1"/>
  <c r="Z1909" i="31" s="1"/>
  <c r="X1909" i="31" a="1"/>
  <c r="X1909" i="31" s="1"/>
  <c r="W1908" i="31" a="1"/>
  <c r="W1908" i="31" s="1"/>
  <c r="Z1908" i="31" s="1" a="1"/>
  <c r="Z1908" i="31" s="1"/>
  <c r="X1908" i="31" a="1"/>
  <c r="X1908" i="31" s="1"/>
  <c r="W1907" i="31" a="1"/>
  <c r="W1907" i="31" s="1"/>
  <c r="Z1907" i="31" s="1" a="1"/>
  <c r="Z1907" i="31" s="1"/>
  <c r="X1907" i="31" a="1"/>
  <c r="X1907" i="31" s="1"/>
  <c r="W1906" i="31" a="1"/>
  <c r="W1906" i="31" s="1"/>
  <c r="Z1906" i="31" s="1" a="1"/>
  <c r="Z1906" i="31" s="1"/>
  <c r="X1906" i="31" a="1"/>
  <c r="X1906" i="31" s="1"/>
  <c r="W1905" i="31" a="1"/>
  <c r="W1905" i="31" s="1"/>
  <c r="Z1905" i="31" s="1" a="1"/>
  <c r="Z1905" i="31" s="1"/>
  <c r="X1905" i="31" a="1"/>
  <c r="X1905" i="31" s="1"/>
  <c r="W1904" i="31" a="1"/>
  <c r="W1904" i="31" s="1"/>
  <c r="Z1904" i="31" s="1" a="1"/>
  <c r="Z1904" i="31" s="1"/>
  <c r="X1904" i="31" a="1"/>
  <c r="X1904" i="31" s="1"/>
  <c r="W1903" i="31" a="1"/>
  <c r="W1903" i="31" s="1"/>
  <c r="Z1903" i="31" s="1" a="1"/>
  <c r="Z1903" i="31" s="1"/>
  <c r="X1903" i="31" a="1"/>
  <c r="X1903" i="31" s="1"/>
  <c r="W1902" i="31" a="1"/>
  <c r="W1902" i="31" s="1"/>
  <c r="Z1902" i="31" s="1" a="1"/>
  <c r="Z1902" i="31" s="1"/>
  <c r="X1902" i="31" a="1"/>
  <c r="X1902" i="31" s="1"/>
  <c r="W1901" i="31" a="1"/>
  <c r="W1901" i="31" s="1"/>
  <c r="Z1901" i="31" s="1" a="1"/>
  <c r="Z1901" i="31" s="1"/>
  <c r="X1901" i="31" a="1"/>
  <c r="X1901" i="31" s="1"/>
  <c r="W1900" i="31" a="1"/>
  <c r="W1900" i="31" s="1"/>
  <c r="Z1900" i="31" s="1" a="1"/>
  <c r="Z1900" i="31" s="1"/>
  <c r="X1900" i="31" a="1"/>
  <c r="X1900" i="31" s="1"/>
  <c r="W1899" i="31" a="1"/>
  <c r="W1899" i="31" s="1"/>
  <c r="Z1899" i="31" s="1" a="1"/>
  <c r="Z1899" i="31" s="1"/>
  <c r="X1899" i="31" a="1"/>
  <c r="X1899" i="31" s="1"/>
  <c r="W1898" i="31" a="1"/>
  <c r="W1898" i="31" s="1"/>
  <c r="Z1898" i="31" s="1" a="1"/>
  <c r="Z1898" i="31" s="1"/>
  <c r="X1898" i="31" a="1"/>
  <c r="X1898" i="31" s="1"/>
  <c r="W1897" i="31" a="1"/>
  <c r="W1897" i="31" s="1"/>
  <c r="Z1897" i="31" s="1" a="1"/>
  <c r="Z1897" i="31" s="1"/>
  <c r="X1897" i="31" a="1"/>
  <c r="X1897" i="31" s="1"/>
  <c r="W1896" i="31" a="1"/>
  <c r="W1896" i="31" s="1"/>
  <c r="Z1896" i="31" s="1" a="1"/>
  <c r="Z1896" i="31" s="1"/>
  <c r="X1896" i="31" a="1"/>
  <c r="X1896" i="31" s="1"/>
  <c r="W1895" i="31" a="1"/>
  <c r="W1895" i="31" s="1"/>
  <c r="Z1895" i="31" s="1" a="1"/>
  <c r="Z1895" i="31" s="1"/>
  <c r="X1895" i="31" a="1"/>
  <c r="X1895" i="31" s="1"/>
  <c r="W1894" i="31" a="1"/>
  <c r="W1894" i="31" s="1"/>
  <c r="Z1894" i="31" s="1" a="1"/>
  <c r="Z1894" i="31" s="1"/>
  <c r="X1894" i="31" a="1"/>
  <c r="X1894" i="31" s="1"/>
  <c r="W1893" i="31" a="1"/>
  <c r="W1893" i="31" s="1"/>
  <c r="Z1893" i="31" s="1" a="1"/>
  <c r="Z1893" i="31" s="1"/>
  <c r="X1893" i="31" a="1"/>
  <c r="X1893" i="31" s="1"/>
  <c r="W1892" i="31" a="1"/>
  <c r="W1892" i="31" s="1"/>
  <c r="Z1892" i="31" s="1" a="1"/>
  <c r="Z1892" i="31" s="1"/>
  <c r="X1892" i="31" a="1"/>
  <c r="X1892" i="31" s="1"/>
  <c r="W1891" i="31" a="1"/>
  <c r="W1891" i="31" s="1"/>
  <c r="Z1891" i="31" s="1" a="1"/>
  <c r="Z1891" i="31" s="1"/>
  <c r="X1891" i="31" a="1"/>
  <c r="X1891" i="31" s="1"/>
  <c r="W1890" i="31" a="1"/>
  <c r="W1890" i="31" s="1"/>
  <c r="Z1890" i="31" s="1" a="1"/>
  <c r="Z1890" i="31" s="1"/>
  <c r="X1890" i="31" a="1"/>
  <c r="X1890" i="31" s="1"/>
  <c r="W1889" i="31" a="1"/>
  <c r="W1889" i="31" s="1"/>
  <c r="Z1889" i="31" s="1" a="1"/>
  <c r="Z1889" i="31" s="1"/>
  <c r="X1889" i="31" a="1"/>
  <c r="X1889" i="31" s="1"/>
  <c r="W1888" i="31" a="1"/>
  <c r="W1888" i="31" s="1"/>
  <c r="Z1888" i="31" s="1" a="1"/>
  <c r="Z1888" i="31" s="1"/>
  <c r="X1888" i="31" a="1"/>
  <c r="X1888" i="31" s="1"/>
  <c r="W1887" i="31" a="1"/>
  <c r="W1887" i="31" s="1"/>
  <c r="Z1887" i="31" s="1" a="1"/>
  <c r="Z1887" i="31" s="1"/>
  <c r="X1887" i="31" a="1"/>
  <c r="X1887" i="31" s="1"/>
  <c r="W1886" i="31" a="1"/>
  <c r="W1886" i="31" s="1"/>
  <c r="Z1886" i="31" s="1" a="1"/>
  <c r="Z1886" i="31" s="1"/>
  <c r="X1886" i="31" a="1"/>
  <c r="X1886" i="31" s="1"/>
  <c r="W1885" i="31" a="1"/>
  <c r="W1885" i="31" s="1"/>
  <c r="Z1885" i="31" s="1" a="1"/>
  <c r="Z1885" i="31" s="1"/>
  <c r="X1885" i="31" a="1"/>
  <c r="X1885" i="31" s="1"/>
  <c r="W1884" i="31" a="1"/>
  <c r="W1884" i="31" s="1"/>
  <c r="Z1884" i="31" s="1" a="1"/>
  <c r="Z1884" i="31" s="1"/>
  <c r="X1884" i="31" a="1"/>
  <c r="X1884" i="31" s="1"/>
  <c r="W1883" i="31" a="1"/>
  <c r="W1883" i="31" s="1"/>
  <c r="Z1883" i="31" s="1" a="1"/>
  <c r="Z1883" i="31" s="1"/>
  <c r="X1883" i="31" a="1"/>
  <c r="X1883" i="31" s="1"/>
  <c r="W1882" i="31" a="1"/>
  <c r="W1882" i="31" s="1"/>
  <c r="Z1882" i="31" s="1" a="1"/>
  <c r="Z1882" i="31" s="1"/>
  <c r="X1882" i="31" a="1"/>
  <c r="X1882" i="31" s="1"/>
  <c r="W1881" i="31" a="1"/>
  <c r="W1881" i="31" s="1"/>
  <c r="Z1881" i="31" s="1" a="1"/>
  <c r="Z1881" i="31" s="1"/>
  <c r="X1881" i="31" a="1"/>
  <c r="X1881" i="31" s="1"/>
  <c r="W1880" i="31" a="1"/>
  <c r="W1880" i="31" s="1"/>
  <c r="Z1880" i="31" s="1" a="1"/>
  <c r="Z1880" i="31" s="1"/>
  <c r="X1880" i="31" a="1"/>
  <c r="X1880" i="31" s="1"/>
  <c r="W1879" i="31" a="1"/>
  <c r="W1879" i="31" s="1"/>
  <c r="Z1879" i="31" s="1" a="1"/>
  <c r="Z1879" i="31" s="1"/>
  <c r="X1879" i="31" a="1"/>
  <c r="X1879" i="31" s="1"/>
  <c r="W1878" i="31" a="1"/>
  <c r="W1878" i="31" s="1"/>
  <c r="Z1878" i="31" s="1" a="1"/>
  <c r="Z1878" i="31" s="1"/>
  <c r="X1878" i="31" a="1"/>
  <c r="X1878" i="31" s="1"/>
  <c r="W1877" i="31" a="1"/>
  <c r="W1877" i="31" s="1"/>
  <c r="Z1877" i="31" s="1" a="1"/>
  <c r="Z1877" i="31" s="1"/>
  <c r="X1877" i="31" a="1"/>
  <c r="X1877" i="31" s="1"/>
  <c r="W1876" i="31" a="1"/>
  <c r="W1876" i="31" s="1"/>
  <c r="Z1876" i="31" s="1" a="1"/>
  <c r="Z1876" i="31" s="1"/>
  <c r="X1876" i="31" a="1"/>
  <c r="X1876" i="31" s="1"/>
  <c r="W1875" i="31" a="1"/>
  <c r="W1875" i="31" s="1"/>
  <c r="Z1875" i="31" s="1" a="1"/>
  <c r="Z1875" i="31" s="1"/>
  <c r="X1875" i="31" a="1"/>
  <c r="X1875" i="31" s="1"/>
  <c r="W1874" i="31" a="1"/>
  <c r="W1874" i="31" s="1"/>
  <c r="Z1874" i="31" s="1" a="1"/>
  <c r="Z1874" i="31" s="1"/>
  <c r="X1874" i="31" a="1"/>
  <c r="X1874" i="31" s="1"/>
  <c r="W1873" i="31" a="1"/>
  <c r="W1873" i="31" s="1"/>
  <c r="Z1873" i="31" s="1" a="1"/>
  <c r="Z1873" i="31" s="1"/>
  <c r="X1873" i="31" a="1"/>
  <c r="X1873" i="31" s="1"/>
  <c r="W1872" i="31" a="1"/>
  <c r="W1872" i="31" s="1"/>
  <c r="Z1872" i="31" s="1" a="1"/>
  <c r="Z1872" i="31" s="1"/>
  <c r="X1872" i="31" a="1"/>
  <c r="X1872" i="31" s="1"/>
  <c r="W1871" i="31" a="1"/>
  <c r="W1871" i="31" s="1"/>
  <c r="Z1871" i="31" s="1" a="1"/>
  <c r="Z1871" i="31" s="1"/>
  <c r="X1871" i="31" a="1"/>
  <c r="X1871" i="31" s="1"/>
  <c r="W1870" i="31" a="1"/>
  <c r="W1870" i="31" s="1"/>
  <c r="Z1870" i="31" s="1" a="1"/>
  <c r="Z1870" i="31" s="1"/>
  <c r="X1870" i="31" a="1"/>
  <c r="X1870" i="31" s="1"/>
  <c r="W1869" i="31" a="1"/>
  <c r="W1869" i="31" s="1"/>
  <c r="Z1869" i="31" s="1" a="1"/>
  <c r="Z1869" i="31" s="1"/>
  <c r="X1869" i="31" a="1"/>
  <c r="X1869" i="31" s="1"/>
  <c r="W1868" i="31" a="1"/>
  <c r="W1868" i="31" s="1"/>
  <c r="Z1868" i="31" s="1" a="1"/>
  <c r="Z1868" i="31" s="1"/>
  <c r="X1868" i="31" a="1"/>
  <c r="X1868" i="31" s="1"/>
  <c r="W1867" i="31" a="1"/>
  <c r="W1867" i="31" s="1"/>
  <c r="Z1867" i="31" s="1" a="1"/>
  <c r="Z1867" i="31" s="1"/>
  <c r="X1867" i="31" a="1"/>
  <c r="X1867" i="31" s="1"/>
  <c r="W1866" i="31" a="1"/>
  <c r="W1866" i="31" s="1"/>
  <c r="Z1866" i="31" s="1" a="1"/>
  <c r="Z1866" i="31" s="1"/>
  <c r="X1866" i="31" a="1"/>
  <c r="X1866" i="31" s="1"/>
  <c r="W1865" i="31" a="1"/>
  <c r="W1865" i="31" s="1"/>
  <c r="Z1865" i="31" s="1" a="1"/>
  <c r="Z1865" i="31" s="1"/>
  <c r="X1865" i="31" a="1"/>
  <c r="X1865" i="31" s="1"/>
  <c r="W1864" i="31" a="1"/>
  <c r="W1864" i="31" s="1"/>
  <c r="Z1864" i="31" s="1" a="1"/>
  <c r="Z1864" i="31" s="1"/>
  <c r="X1864" i="31" a="1"/>
  <c r="X1864" i="31" s="1"/>
  <c r="W1863" i="31" a="1"/>
  <c r="W1863" i="31" s="1"/>
  <c r="Z1863" i="31" s="1" a="1"/>
  <c r="Z1863" i="31" s="1"/>
  <c r="X1863" i="31" a="1"/>
  <c r="X1863" i="31" s="1"/>
  <c r="W1862" i="31" a="1"/>
  <c r="W1862" i="31" s="1"/>
  <c r="Z1862" i="31" s="1" a="1"/>
  <c r="Z1862" i="31" s="1"/>
  <c r="X1862" i="31" a="1"/>
  <c r="X1862" i="31" s="1"/>
  <c r="W1861" i="31" a="1"/>
  <c r="W1861" i="31" s="1"/>
  <c r="Z1861" i="31" s="1" a="1"/>
  <c r="Z1861" i="31" s="1"/>
  <c r="X1861" i="31" a="1"/>
  <c r="X1861" i="31" s="1"/>
  <c r="W1860" i="31" a="1"/>
  <c r="W1860" i="31" s="1"/>
  <c r="Z1860" i="31" s="1" a="1"/>
  <c r="Z1860" i="31" s="1"/>
  <c r="X1860" i="31" a="1"/>
  <c r="X1860" i="31" s="1"/>
  <c r="W1859" i="31" a="1"/>
  <c r="W1859" i="31" s="1"/>
  <c r="Z1859" i="31" s="1" a="1"/>
  <c r="Z1859" i="31" s="1"/>
  <c r="X1859" i="31" a="1"/>
  <c r="X1859" i="31" s="1"/>
  <c r="W1858" i="31" a="1"/>
  <c r="W1858" i="31" s="1"/>
  <c r="Z1858" i="31" s="1" a="1"/>
  <c r="Z1858" i="31" s="1"/>
  <c r="X1858" i="31" a="1"/>
  <c r="X1858" i="31" s="1"/>
  <c r="W1857" i="31" a="1"/>
  <c r="W1857" i="31" s="1"/>
  <c r="Z1857" i="31" s="1" a="1"/>
  <c r="Z1857" i="31" s="1"/>
  <c r="X1857" i="31" a="1"/>
  <c r="X1857" i="31" s="1"/>
  <c r="W1856" i="31" a="1"/>
  <c r="W1856" i="31" s="1"/>
  <c r="Z1856" i="31" s="1" a="1"/>
  <c r="Z1856" i="31" s="1"/>
  <c r="X1856" i="31" a="1"/>
  <c r="X1856" i="31" s="1"/>
  <c r="W1855" i="31" a="1"/>
  <c r="W1855" i="31" s="1"/>
  <c r="Z1855" i="31" s="1" a="1"/>
  <c r="Z1855" i="31" s="1"/>
  <c r="X1855" i="31" a="1"/>
  <c r="X1855" i="31" s="1"/>
  <c r="W1854" i="31" a="1"/>
  <c r="W1854" i="31" s="1"/>
  <c r="Z1854" i="31" s="1" a="1"/>
  <c r="Z1854" i="31" s="1"/>
  <c r="X1854" i="31" a="1"/>
  <c r="X1854" i="31" s="1"/>
  <c r="W1853" i="31" a="1"/>
  <c r="W1853" i="31" s="1"/>
  <c r="Z1853" i="31" s="1" a="1"/>
  <c r="Z1853" i="31" s="1"/>
  <c r="X1853" i="31" a="1"/>
  <c r="X1853" i="31" s="1"/>
  <c r="W1852" i="31" a="1"/>
  <c r="W1852" i="31" s="1"/>
  <c r="Z1852" i="31" s="1" a="1"/>
  <c r="Z1852" i="31" s="1"/>
  <c r="X1852" i="31" a="1"/>
  <c r="X1852" i="31" s="1"/>
  <c r="W1851" i="31" a="1"/>
  <c r="W1851" i="31" s="1"/>
  <c r="Z1851" i="31" s="1" a="1"/>
  <c r="Z1851" i="31" s="1"/>
  <c r="X1851" i="31" a="1"/>
  <c r="X1851" i="31" s="1"/>
  <c r="W1850" i="31" a="1"/>
  <c r="W1850" i="31" s="1"/>
  <c r="Z1850" i="31" s="1" a="1"/>
  <c r="Z1850" i="31" s="1"/>
  <c r="X1850" i="31" a="1"/>
  <c r="X1850" i="31" s="1"/>
  <c r="W1849" i="31" a="1"/>
  <c r="W1849" i="31" s="1"/>
  <c r="Z1849" i="31" s="1" a="1"/>
  <c r="Z1849" i="31" s="1"/>
  <c r="X1849" i="31" a="1"/>
  <c r="X1849" i="31" s="1"/>
  <c r="W1848" i="31" a="1"/>
  <c r="W1848" i="31" s="1"/>
  <c r="Z1848" i="31" s="1" a="1"/>
  <c r="Z1848" i="31" s="1"/>
  <c r="X1848" i="31" a="1"/>
  <c r="X1848" i="31" s="1"/>
  <c r="W1847" i="31" a="1"/>
  <c r="W1847" i="31" s="1"/>
  <c r="Z1847" i="31" s="1" a="1"/>
  <c r="Z1847" i="31" s="1"/>
  <c r="X1847" i="31" a="1"/>
  <c r="X1847" i="31" s="1"/>
  <c r="W1846" i="31" a="1"/>
  <c r="W1846" i="31" s="1"/>
  <c r="Z1846" i="31" s="1" a="1"/>
  <c r="Z1846" i="31" s="1"/>
  <c r="X1846" i="31" a="1"/>
  <c r="X1846" i="31" s="1"/>
  <c r="W1845" i="31" a="1"/>
  <c r="W1845" i="31" s="1"/>
  <c r="Z1845" i="31" s="1" a="1"/>
  <c r="Z1845" i="31" s="1"/>
  <c r="X1845" i="31" a="1"/>
  <c r="X1845" i="31" s="1"/>
  <c r="W1844" i="31" a="1"/>
  <c r="W1844" i="31" s="1"/>
  <c r="Z1844" i="31" s="1" a="1"/>
  <c r="Z1844" i="31" s="1"/>
  <c r="X1844" i="31" a="1"/>
  <c r="X1844" i="31" s="1"/>
  <c r="W1843" i="31" a="1"/>
  <c r="W1843" i="31" s="1"/>
  <c r="Z1843" i="31" s="1" a="1"/>
  <c r="Z1843" i="31" s="1"/>
  <c r="X1843" i="31" a="1"/>
  <c r="X1843" i="31" s="1"/>
  <c r="W1842" i="31" a="1"/>
  <c r="W1842" i="31" s="1"/>
  <c r="Z1842" i="31" s="1" a="1"/>
  <c r="Z1842" i="31" s="1"/>
  <c r="X1842" i="31" a="1"/>
  <c r="X1842" i="31" s="1"/>
  <c r="W1841" i="31" a="1"/>
  <c r="W1841" i="31" s="1"/>
  <c r="Z1841" i="31" s="1" a="1"/>
  <c r="Z1841" i="31" s="1"/>
  <c r="X1841" i="31" a="1"/>
  <c r="X1841" i="31" s="1"/>
  <c r="W1840" i="31" a="1"/>
  <c r="W1840" i="31" s="1"/>
  <c r="Z1840" i="31" s="1" a="1"/>
  <c r="Z1840" i="31" s="1"/>
  <c r="X1840" i="31" a="1"/>
  <c r="X1840" i="31" s="1"/>
  <c r="W1839" i="31" a="1"/>
  <c r="W1839" i="31" s="1"/>
  <c r="Z1839" i="31" s="1" a="1"/>
  <c r="Z1839" i="31" s="1"/>
  <c r="X1839" i="31" a="1"/>
  <c r="X1839" i="31" s="1"/>
  <c r="W1838" i="31" a="1"/>
  <c r="W1838" i="31" s="1"/>
  <c r="Z1838" i="31" s="1" a="1"/>
  <c r="Z1838" i="31" s="1"/>
  <c r="X1838" i="31" a="1"/>
  <c r="X1838" i="31" s="1"/>
  <c r="W1837" i="31" a="1"/>
  <c r="W1837" i="31" s="1"/>
  <c r="Z1837" i="31" s="1" a="1"/>
  <c r="Z1837" i="31" s="1"/>
  <c r="X1837" i="31" a="1"/>
  <c r="X1837" i="31" s="1"/>
  <c r="W1836" i="31" a="1"/>
  <c r="W1836" i="31" s="1"/>
  <c r="Z1836" i="31" s="1" a="1"/>
  <c r="Z1836" i="31" s="1"/>
  <c r="X1836" i="31" a="1"/>
  <c r="X1836" i="31" s="1"/>
  <c r="W1835" i="31" a="1"/>
  <c r="W1835" i="31" s="1"/>
  <c r="Z1835" i="31" s="1" a="1"/>
  <c r="Z1835" i="31" s="1"/>
  <c r="X1835" i="31" a="1"/>
  <c r="X1835" i="31" s="1"/>
  <c r="W1834" i="31" a="1"/>
  <c r="W1834" i="31" s="1"/>
  <c r="Z1834" i="31" s="1" a="1"/>
  <c r="Z1834" i="31" s="1"/>
  <c r="X1834" i="31" a="1"/>
  <c r="X1834" i="31" s="1"/>
  <c r="W1833" i="31" a="1"/>
  <c r="W1833" i="31" s="1"/>
  <c r="Z1833" i="31" s="1" a="1"/>
  <c r="Z1833" i="31" s="1"/>
  <c r="X1833" i="31" a="1"/>
  <c r="X1833" i="31" s="1"/>
  <c r="W1832" i="31" a="1"/>
  <c r="W1832" i="31" s="1"/>
  <c r="Z1832" i="31" s="1" a="1"/>
  <c r="Z1832" i="31" s="1"/>
  <c r="X1832" i="31" a="1"/>
  <c r="X1832" i="31" s="1"/>
  <c r="W1831" i="31" a="1"/>
  <c r="W1831" i="31" s="1"/>
  <c r="Z1831" i="31" s="1" a="1"/>
  <c r="Z1831" i="31" s="1"/>
  <c r="X1831" i="31" a="1"/>
  <c r="X1831" i="31" s="1"/>
  <c r="W1830" i="31" a="1"/>
  <c r="W1830" i="31" s="1"/>
  <c r="Z1830" i="31" s="1" a="1"/>
  <c r="Z1830" i="31" s="1"/>
  <c r="X1830" i="31" a="1"/>
  <c r="X1830" i="31" s="1"/>
  <c r="W1829" i="31" a="1"/>
  <c r="W1829" i="31" s="1"/>
  <c r="Z1829" i="31" s="1" a="1"/>
  <c r="Z1829" i="31" s="1"/>
  <c r="X1829" i="31" a="1"/>
  <c r="X1829" i="31" s="1"/>
  <c r="W1828" i="31" a="1"/>
  <c r="W1828" i="31" s="1"/>
  <c r="Z1828" i="31" s="1" a="1"/>
  <c r="Z1828" i="31" s="1"/>
  <c r="X1828" i="31" a="1"/>
  <c r="X1828" i="31" s="1"/>
  <c r="W1827" i="31" a="1"/>
  <c r="W1827" i="31" s="1"/>
  <c r="Z1827" i="31" s="1" a="1"/>
  <c r="Z1827" i="31" s="1"/>
  <c r="X1827" i="31" a="1"/>
  <c r="X1827" i="31" s="1"/>
  <c r="W1826" i="31" a="1"/>
  <c r="W1826" i="31" s="1"/>
  <c r="Z1826" i="31" s="1" a="1"/>
  <c r="Z1826" i="31" s="1"/>
  <c r="X1826" i="31" a="1"/>
  <c r="X1826" i="31" s="1"/>
  <c r="W1825" i="31" a="1"/>
  <c r="W1825" i="31" s="1"/>
  <c r="Z1825" i="31" s="1" a="1"/>
  <c r="Z1825" i="31" s="1"/>
  <c r="X1825" i="31" a="1"/>
  <c r="X1825" i="31" s="1"/>
  <c r="W1824" i="31" a="1"/>
  <c r="W1824" i="31" s="1"/>
  <c r="Z1824" i="31" s="1" a="1"/>
  <c r="Z1824" i="31" s="1"/>
  <c r="X1824" i="31" a="1"/>
  <c r="X1824" i="31" s="1"/>
  <c r="W1823" i="31" a="1"/>
  <c r="W1823" i="31" s="1"/>
  <c r="Z1823" i="31" s="1" a="1"/>
  <c r="Z1823" i="31" s="1"/>
  <c r="X1823" i="31" a="1"/>
  <c r="X1823" i="31" s="1"/>
  <c r="W1822" i="31" a="1"/>
  <c r="W1822" i="31" s="1"/>
  <c r="Z1822" i="31" s="1" a="1"/>
  <c r="Z1822" i="31" s="1"/>
  <c r="X1822" i="31" a="1"/>
  <c r="X1822" i="31" s="1"/>
  <c r="W1821" i="31" a="1"/>
  <c r="W1821" i="31" s="1"/>
  <c r="Z1821" i="31" s="1" a="1"/>
  <c r="Z1821" i="31" s="1"/>
  <c r="X1821" i="31" a="1"/>
  <c r="X1821" i="31" s="1"/>
  <c r="W1820" i="31" a="1"/>
  <c r="W1820" i="31" s="1"/>
  <c r="Z1820" i="31" s="1" a="1"/>
  <c r="Z1820" i="31" s="1"/>
  <c r="X1820" i="31" a="1"/>
  <c r="X1820" i="31" s="1"/>
  <c r="W1819" i="31" a="1"/>
  <c r="W1819" i="31" s="1"/>
  <c r="Z1819" i="31" s="1" a="1"/>
  <c r="Z1819" i="31" s="1"/>
  <c r="X1819" i="31" a="1"/>
  <c r="X1819" i="31" s="1"/>
  <c r="W1818" i="31" a="1"/>
  <c r="W1818" i="31" s="1"/>
  <c r="Z1818" i="31" s="1" a="1"/>
  <c r="Z1818" i="31" s="1"/>
  <c r="X1818" i="31" a="1"/>
  <c r="X1818" i="31" s="1"/>
  <c r="W1817" i="31" a="1"/>
  <c r="W1817" i="31" s="1"/>
  <c r="Z1817" i="31" s="1" a="1"/>
  <c r="Z1817" i="31" s="1"/>
  <c r="X1817" i="31" a="1"/>
  <c r="X1817" i="31" s="1"/>
  <c r="W1816" i="31" a="1"/>
  <c r="W1816" i="31" s="1"/>
  <c r="Z1816" i="31" s="1" a="1"/>
  <c r="Z1816" i="31" s="1"/>
  <c r="X1816" i="31" a="1"/>
  <c r="X1816" i="31" s="1"/>
  <c r="W1815" i="31" a="1"/>
  <c r="W1815" i="31" s="1"/>
  <c r="Z1815" i="31" s="1" a="1"/>
  <c r="Z1815" i="31" s="1"/>
  <c r="X1815" i="31" a="1"/>
  <c r="X1815" i="31" s="1"/>
  <c r="W1814" i="31" a="1"/>
  <c r="W1814" i="31" s="1"/>
  <c r="Z1814" i="31" s="1" a="1"/>
  <c r="Z1814" i="31" s="1"/>
  <c r="X1814" i="31" a="1"/>
  <c r="X1814" i="31" s="1"/>
  <c r="W1813" i="31" a="1"/>
  <c r="W1813" i="31" s="1"/>
  <c r="Z1813" i="31" s="1" a="1"/>
  <c r="Z1813" i="31" s="1"/>
  <c r="X1813" i="31" a="1"/>
  <c r="X1813" i="31" s="1"/>
  <c r="W1812" i="31" a="1"/>
  <c r="W1812" i="31" s="1"/>
  <c r="Z1812" i="31" s="1" a="1"/>
  <c r="Z1812" i="31" s="1"/>
  <c r="X1812" i="31" a="1"/>
  <c r="X1812" i="31" s="1"/>
  <c r="W1811" i="31" a="1"/>
  <c r="W1811" i="31" s="1"/>
  <c r="Z1811" i="31" s="1" a="1"/>
  <c r="Z1811" i="31" s="1"/>
  <c r="X1811" i="31" a="1"/>
  <c r="X1811" i="31" s="1"/>
  <c r="W1810" i="31" a="1"/>
  <c r="W1810" i="31" s="1"/>
  <c r="Z1810" i="31" s="1" a="1"/>
  <c r="Z1810" i="31" s="1"/>
  <c r="X1810" i="31" a="1"/>
  <c r="X1810" i="31" s="1"/>
  <c r="W1809" i="31" a="1"/>
  <c r="W1809" i="31" s="1"/>
  <c r="Z1809" i="31" s="1" a="1"/>
  <c r="Z1809" i="31" s="1"/>
  <c r="X1809" i="31" a="1"/>
  <c r="X1809" i="31" s="1"/>
  <c r="W1808" i="31" a="1"/>
  <c r="W1808" i="31" s="1"/>
  <c r="Z1808" i="31" s="1" a="1"/>
  <c r="Z1808" i="31" s="1"/>
  <c r="X1808" i="31" a="1"/>
  <c r="X1808" i="31" s="1"/>
  <c r="W1807" i="31" a="1"/>
  <c r="W1807" i="31" s="1"/>
  <c r="Z1807" i="31" s="1" a="1"/>
  <c r="Z1807" i="31" s="1"/>
  <c r="X1807" i="31" a="1"/>
  <c r="X1807" i="31" s="1"/>
  <c r="W1806" i="31" a="1"/>
  <c r="W1806" i="31" s="1"/>
  <c r="Z1806" i="31" s="1" a="1"/>
  <c r="Z1806" i="31" s="1"/>
  <c r="X1806" i="31" a="1"/>
  <c r="X1806" i="31" s="1"/>
  <c r="W1805" i="31" a="1"/>
  <c r="W1805" i="31" s="1"/>
  <c r="Z1805" i="31" s="1" a="1"/>
  <c r="Z1805" i="31" s="1"/>
  <c r="X1805" i="31" a="1"/>
  <c r="X1805" i="31" s="1"/>
  <c r="W1804" i="31" a="1"/>
  <c r="W1804" i="31" s="1"/>
  <c r="Z1804" i="31" s="1" a="1"/>
  <c r="Z1804" i="31" s="1"/>
  <c r="X1804" i="31" a="1"/>
  <c r="X1804" i="31" s="1"/>
  <c r="W1803" i="31" a="1"/>
  <c r="W1803" i="31" s="1"/>
  <c r="Z1803" i="31" s="1" a="1"/>
  <c r="Z1803" i="31" s="1"/>
  <c r="X1803" i="31" a="1"/>
  <c r="X1803" i="31" s="1"/>
  <c r="W1802" i="31" a="1"/>
  <c r="W1802" i="31" s="1"/>
  <c r="Z1802" i="31" s="1" a="1"/>
  <c r="Z1802" i="31" s="1"/>
  <c r="X1802" i="31" a="1"/>
  <c r="X1802" i="31" s="1"/>
  <c r="W1801" i="31" a="1"/>
  <c r="W1801" i="31" s="1"/>
  <c r="Z1801" i="31" s="1" a="1"/>
  <c r="Z1801" i="31" s="1"/>
  <c r="X1801" i="31" a="1"/>
  <c r="X1801" i="31" s="1"/>
  <c r="W1800" i="31" a="1"/>
  <c r="W1800" i="31" s="1"/>
  <c r="Z1800" i="31" s="1" a="1"/>
  <c r="Z1800" i="31" s="1"/>
  <c r="X1800" i="31" a="1"/>
  <c r="X1800" i="31" s="1"/>
  <c r="W1799" i="31" a="1"/>
  <c r="W1799" i="31" s="1"/>
  <c r="Z1799" i="31" s="1" a="1"/>
  <c r="Z1799" i="31" s="1"/>
  <c r="X1799" i="31" a="1"/>
  <c r="X1799" i="31" s="1"/>
  <c r="W1798" i="31" a="1"/>
  <c r="W1798" i="31" s="1"/>
  <c r="Z1798" i="31" s="1" a="1"/>
  <c r="Z1798" i="31" s="1"/>
  <c r="X1798" i="31" a="1"/>
  <c r="X1798" i="31" s="1"/>
  <c r="W1797" i="31" a="1"/>
  <c r="W1797" i="31" s="1"/>
  <c r="Z1797" i="31" s="1" a="1"/>
  <c r="Z1797" i="31" s="1"/>
  <c r="X1797" i="31" a="1"/>
  <c r="X1797" i="31" s="1"/>
  <c r="W1796" i="31" a="1"/>
  <c r="W1796" i="31" s="1"/>
  <c r="Z1796" i="31" s="1" a="1"/>
  <c r="Z1796" i="31" s="1"/>
  <c r="X1796" i="31" a="1"/>
  <c r="X1796" i="31" s="1"/>
  <c r="W1795" i="31" a="1"/>
  <c r="W1795" i="31" s="1"/>
  <c r="Z1795" i="31" s="1" a="1"/>
  <c r="Z1795" i="31" s="1"/>
  <c r="X1795" i="31" a="1"/>
  <c r="X1795" i="31" s="1"/>
  <c r="W1794" i="31" a="1"/>
  <c r="W1794" i="31" s="1"/>
  <c r="Z1794" i="31" s="1" a="1"/>
  <c r="Z1794" i="31" s="1"/>
  <c r="X1794" i="31" a="1"/>
  <c r="X1794" i="31" s="1"/>
  <c r="W1793" i="31" a="1"/>
  <c r="W1793" i="31" s="1"/>
  <c r="Z1793" i="31" s="1" a="1"/>
  <c r="Z1793" i="31" s="1"/>
  <c r="X1793" i="31" a="1"/>
  <c r="X1793" i="31" s="1"/>
  <c r="W1792" i="31" a="1"/>
  <c r="W1792" i="31" s="1"/>
  <c r="Z1792" i="31" s="1" a="1"/>
  <c r="Z1792" i="31" s="1"/>
  <c r="X1792" i="31" a="1"/>
  <c r="X1792" i="31" s="1"/>
  <c r="W1791" i="31" a="1"/>
  <c r="W1791" i="31" s="1"/>
  <c r="Z1791" i="31" s="1" a="1"/>
  <c r="Z1791" i="31" s="1"/>
  <c r="X1791" i="31" a="1"/>
  <c r="X1791" i="31" s="1"/>
  <c r="W1790" i="31" a="1"/>
  <c r="W1790" i="31" s="1"/>
  <c r="Z1790" i="31" s="1" a="1"/>
  <c r="Z1790" i="31" s="1"/>
  <c r="X1790" i="31" a="1"/>
  <c r="X1790" i="31" s="1"/>
  <c r="W1789" i="31" a="1"/>
  <c r="W1789" i="31" s="1"/>
  <c r="Z1789" i="31" s="1" a="1"/>
  <c r="Z1789" i="31" s="1"/>
  <c r="X1789" i="31" a="1"/>
  <c r="X1789" i="31" s="1"/>
  <c r="W1788" i="31" a="1"/>
  <c r="W1788" i="31" s="1"/>
  <c r="Z1788" i="31" s="1" a="1"/>
  <c r="Z1788" i="31" s="1"/>
  <c r="X1788" i="31" a="1"/>
  <c r="X1788" i="31" s="1"/>
  <c r="W1787" i="31" a="1"/>
  <c r="W1787" i="31" s="1"/>
  <c r="Z1787" i="31" s="1" a="1"/>
  <c r="Z1787" i="31" s="1"/>
  <c r="X1787" i="31" a="1"/>
  <c r="X1787" i="31" s="1"/>
  <c r="W1786" i="31" a="1"/>
  <c r="W1786" i="31" s="1"/>
  <c r="Z1786" i="31" s="1" a="1"/>
  <c r="Z1786" i="31" s="1"/>
  <c r="X1786" i="31" a="1"/>
  <c r="X1786" i="31" s="1"/>
  <c r="W1785" i="31" a="1"/>
  <c r="W1785" i="31" s="1"/>
  <c r="Z1785" i="31" s="1" a="1"/>
  <c r="Z1785" i="31" s="1"/>
  <c r="X1785" i="31" a="1"/>
  <c r="X1785" i="31" s="1"/>
  <c r="W1784" i="31" a="1"/>
  <c r="W1784" i="31" s="1"/>
  <c r="Z1784" i="31" s="1" a="1"/>
  <c r="Z1784" i="31" s="1"/>
  <c r="X1784" i="31" a="1"/>
  <c r="X1784" i="31" s="1"/>
  <c r="W1783" i="31" a="1"/>
  <c r="W1783" i="31" s="1"/>
  <c r="Z1783" i="31" s="1" a="1"/>
  <c r="Z1783" i="31" s="1"/>
  <c r="X1783" i="31" a="1"/>
  <c r="X1783" i="31" s="1"/>
  <c r="W1782" i="31" a="1"/>
  <c r="W1782" i="31" s="1"/>
  <c r="Z1782" i="31" s="1" a="1"/>
  <c r="Z1782" i="31" s="1"/>
  <c r="X1782" i="31" a="1"/>
  <c r="X1782" i="31" s="1"/>
  <c r="W1781" i="31" a="1"/>
  <c r="W1781" i="31" s="1"/>
  <c r="Z1781" i="31" s="1" a="1"/>
  <c r="Z1781" i="31" s="1"/>
  <c r="X1781" i="31" a="1"/>
  <c r="X1781" i="31" s="1"/>
  <c r="W1780" i="31" a="1"/>
  <c r="W1780" i="31" s="1"/>
  <c r="Z1780" i="31" s="1" a="1"/>
  <c r="Z1780" i="31" s="1"/>
  <c r="X1780" i="31" a="1"/>
  <c r="X1780" i="31" s="1"/>
  <c r="W1779" i="31" a="1"/>
  <c r="W1779" i="31" s="1"/>
  <c r="Z1779" i="31" s="1" a="1"/>
  <c r="Z1779" i="31" s="1"/>
  <c r="X1779" i="31" a="1"/>
  <c r="X1779" i="31" s="1"/>
  <c r="W1778" i="31" a="1"/>
  <c r="W1778" i="31" s="1"/>
  <c r="Z1778" i="31" s="1" a="1"/>
  <c r="Z1778" i="31" s="1"/>
  <c r="X1778" i="31" a="1"/>
  <c r="X1778" i="31" s="1"/>
  <c r="W1777" i="31" a="1"/>
  <c r="W1777" i="31" s="1"/>
  <c r="Z1777" i="31" s="1" a="1"/>
  <c r="Z1777" i="31" s="1"/>
  <c r="X1777" i="31" a="1"/>
  <c r="X1777" i="31" s="1"/>
  <c r="W1776" i="31" a="1"/>
  <c r="W1776" i="31" s="1"/>
  <c r="Z1776" i="31" s="1" a="1"/>
  <c r="Z1776" i="31" s="1"/>
  <c r="X1776" i="31" a="1"/>
  <c r="X1776" i="31" s="1"/>
  <c r="W1775" i="31" a="1"/>
  <c r="W1775" i="31" s="1"/>
  <c r="Z1775" i="31" s="1" a="1"/>
  <c r="Z1775" i="31" s="1"/>
  <c r="X1775" i="31" a="1"/>
  <c r="X1775" i="31" s="1"/>
  <c r="W1774" i="31" a="1"/>
  <c r="W1774" i="31" s="1"/>
  <c r="Z1774" i="31" s="1" a="1"/>
  <c r="Z1774" i="31" s="1"/>
  <c r="X1774" i="31" a="1"/>
  <c r="X1774" i="31" s="1"/>
  <c r="W1773" i="31" a="1"/>
  <c r="W1773" i="31" s="1"/>
  <c r="Z1773" i="31" s="1" a="1"/>
  <c r="Z1773" i="31" s="1"/>
  <c r="X1773" i="31" a="1"/>
  <c r="X1773" i="31" s="1"/>
  <c r="W1772" i="31" a="1"/>
  <c r="W1772" i="31" s="1"/>
  <c r="Z1772" i="31" s="1" a="1"/>
  <c r="Z1772" i="31" s="1"/>
  <c r="X1772" i="31" a="1"/>
  <c r="X1772" i="31" s="1"/>
  <c r="W1771" i="31" a="1"/>
  <c r="W1771" i="31" s="1"/>
  <c r="Z1771" i="31" s="1" a="1"/>
  <c r="Z1771" i="31" s="1"/>
  <c r="X1771" i="31" a="1"/>
  <c r="X1771" i="31" s="1"/>
  <c r="W1770" i="31" a="1"/>
  <c r="W1770" i="31" s="1"/>
  <c r="Z1770" i="31" s="1" a="1"/>
  <c r="Z1770" i="31" s="1"/>
  <c r="X1770" i="31" a="1"/>
  <c r="X1770" i="31" s="1"/>
  <c r="W1769" i="31" a="1"/>
  <c r="W1769" i="31" s="1"/>
  <c r="Z1769" i="31" s="1" a="1"/>
  <c r="Z1769" i="31" s="1"/>
  <c r="X1769" i="31" a="1"/>
  <c r="X1769" i="31" s="1"/>
  <c r="W1768" i="31" a="1"/>
  <c r="W1768" i="31" s="1"/>
  <c r="Z1768" i="31" s="1" a="1"/>
  <c r="Z1768" i="31" s="1"/>
  <c r="X1768" i="31" a="1"/>
  <c r="X1768" i="31" s="1"/>
  <c r="W1767" i="31" a="1"/>
  <c r="W1767" i="31" s="1"/>
  <c r="Z1767" i="31" s="1" a="1"/>
  <c r="Z1767" i="31" s="1"/>
  <c r="X1767" i="31" a="1"/>
  <c r="X1767" i="31" s="1"/>
  <c r="W1766" i="31" a="1"/>
  <c r="W1766" i="31" s="1"/>
  <c r="Z1766" i="31" s="1" a="1"/>
  <c r="Z1766" i="31" s="1"/>
  <c r="X1766" i="31" a="1"/>
  <c r="X1766" i="31" s="1"/>
  <c r="W1765" i="31" a="1"/>
  <c r="W1765" i="31" s="1"/>
  <c r="Z1765" i="31" s="1" a="1"/>
  <c r="Z1765" i="31" s="1"/>
  <c r="X1765" i="31" a="1"/>
  <c r="X1765" i="31" s="1"/>
  <c r="W1764" i="31" a="1"/>
  <c r="W1764" i="31" s="1"/>
  <c r="Z1764" i="31" s="1" a="1"/>
  <c r="Z1764" i="31" s="1"/>
  <c r="X1764" i="31" a="1"/>
  <c r="X1764" i="31" s="1"/>
  <c r="W1763" i="31" a="1"/>
  <c r="W1763" i="31" s="1"/>
  <c r="Z1763" i="31" s="1" a="1"/>
  <c r="Z1763" i="31" s="1"/>
  <c r="X1763" i="31" a="1"/>
  <c r="X1763" i="31" s="1"/>
  <c r="W1762" i="31" a="1"/>
  <c r="W1762" i="31" s="1"/>
  <c r="Z1762" i="31" s="1" a="1"/>
  <c r="Z1762" i="31" s="1"/>
  <c r="X1762" i="31" a="1"/>
  <c r="X1762" i="31" s="1"/>
  <c r="W1761" i="31" a="1"/>
  <c r="W1761" i="31" s="1"/>
  <c r="Z1761" i="31" s="1" a="1"/>
  <c r="Z1761" i="31" s="1"/>
  <c r="X1761" i="31" a="1"/>
  <c r="X1761" i="31" s="1"/>
  <c r="W1760" i="31" a="1"/>
  <c r="W1760" i="31" s="1"/>
  <c r="Z1760" i="31" s="1" a="1"/>
  <c r="Z1760" i="31" s="1"/>
  <c r="X1760" i="31" a="1"/>
  <c r="X1760" i="31" s="1"/>
  <c r="W1759" i="31" a="1"/>
  <c r="W1759" i="31" s="1"/>
  <c r="Z1759" i="31" s="1" a="1"/>
  <c r="Z1759" i="31" s="1"/>
  <c r="X1759" i="31" a="1"/>
  <c r="X1759" i="31" s="1"/>
  <c r="W1758" i="31" a="1"/>
  <c r="W1758" i="31" s="1"/>
  <c r="Z1758" i="31" s="1" a="1"/>
  <c r="Z1758" i="31" s="1"/>
  <c r="X1758" i="31" a="1"/>
  <c r="X1758" i="31" s="1"/>
  <c r="W1757" i="31" a="1"/>
  <c r="W1757" i="31" s="1"/>
  <c r="Z1757" i="31" s="1" a="1"/>
  <c r="Z1757" i="31" s="1"/>
  <c r="X1757" i="31" a="1"/>
  <c r="X1757" i="31" s="1"/>
  <c r="W1756" i="31" a="1"/>
  <c r="W1756" i="31" s="1"/>
  <c r="Z1756" i="31" s="1" a="1"/>
  <c r="Z1756" i="31" s="1"/>
  <c r="X1756" i="31" a="1"/>
  <c r="X1756" i="31" s="1"/>
  <c r="W1755" i="31" a="1"/>
  <c r="W1755" i="31" s="1"/>
  <c r="Z1755" i="31" s="1" a="1"/>
  <c r="Z1755" i="31" s="1"/>
  <c r="X1755" i="31" a="1"/>
  <c r="X1755" i="31" s="1"/>
  <c r="W1754" i="31" a="1"/>
  <c r="W1754" i="31" s="1"/>
  <c r="Z1754" i="31" s="1" a="1"/>
  <c r="Z1754" i="31" s="1"/>
  <c r="X1754" i="31" a="1"/>
  <c r="X1754" i="31" s="1"/>
  <c r="W1753" i="31" a="1"/>
  <c r="W1753" i="31" s="1"/>
  <c r="Z1753" i="31" s="1" a="1"/>
  <c r="Z1753" i="31" s="1"/>
  <c r="X1753" i="31" a="1"/>
  <c r="X1753" i="31" s="1"/>
  <c r="W1752" i="31" a="1"/>
  <c r="W1752" i="31" s="1"/>
  <c r="Z1752" i="31" s="1" a="1"/>
  <c r="Z1752" i="31" s="1"/>
  <c r="X1752" i="31" a="1"/>
  <c r="X1752" i="31" s="1"/>
  <c r="W1751" i="31" a="1"/>
  <c r="W1751" i="31" s="1"/>
  <c r="Z1751" i="31" s="1" a="1"/>
  <c r="Z1751" i="31" s="1"/>
  <c r="X1751" i="31" a="1"/>
  <c r="X1751" i="31" s="1"/>
  <c r="W1750" i="31" a="1"/>
  <c r="W1750" i="31" s="1"/>
  <c r="Z1750" i="31" s="1" a="1"/>
  <c r="Z1750" i="31" s="1"/>
  <c r="X1750" i="31" a="1"/>
  <c r="X1750" i="31" s="1"/>
  <c r="W1749" i="31" a="1"/>
  <c r="W1749" i="31" s="1"/>
  <c r="Z1749" i="31" s="1" a="1"/>
  <c r="Z1749" i="31" s="1"/>
  <c r="X1749" i="31" a="1"/>
  <c r="X1749" i="31" s="1"/>
  <c r="W1748" i="31" a="1"/>
  <c r="W1748" i="31" s="1"/>
  <c r="Z1748" i="31" s="1" a="1"/>
  <c r="Z1748" i="31" s="1"/>
  <c r="X1748" i="31" a="1"/>
  <c r="X1748" i="31" s="1"/>
  <c r="W1747" i="31" a="1"/>
  <c r="W1747" i="31" s="1"/>
  <c r="Z1747" i="31" s="1" a="1"/>
  <c r="Z1747" i="31" s="1"/>
  <c r="X1747" i="31" a="1"/>
  <c r="X1747" i="31" s="1"/>
  <c r="W1746" i="31" a="1"/>
  <c r="W1746" i="31" s="1"/>
  <c r="Z1746" i="31" s="1" a="1"/>
  <c r="Z1746" i="31" s="1"/>
  <c r="X1746" i="31" a="1"/>
  <c r="X1746" i="31" s="1"/>
  <c r="W1745" i="31" a="1"/>
  <c r="W1745" i="31" s="1"/>
  <c r="Z1745" i="31" s="1" a="1"/>
  <c r="Z1745" i="31" s="1"/>
  <c r="X1745" i="31" a="1"/>
  <c r="X1745" i="31" s="1"/>
  <c r="W1744" i="31" a="1"/>
  <c r="W1744" i="31" s="1"/>
  <c r="Z1744" i="31" s="1" a="1"/>
  <c r="Z1744" i="31" s="1"/>
  <c r="X1744" i="31" a="1"/>
  <c r="X1744" i="31" s="1"/>
  <c r="W1743" i="31" a="1"/>
  <c r="W1743" i="31" s="1"/>
  <c r="Z1743" i="31" s="1" a="1"/>
  <c r="Z1743" i="31" s="1"/>
  <c r="X1743" i="31" a="1"/>
  <c r="X1743" i="31" s="1"/>
  <c r="W1742" i="31" a="1"/>
  <c r="W1742" i="31" s="1"/>
  <c r="Z1742" i="31" s="1" a="1"/>
  <c r="Z1742" i="31" s="1"/>
  <c r="X1742" i="31" a="1"/>
  <c r="X1742" i="31" s="1"/>
  <c r="W1741" i="31" a="1"/>
  <c r="W1741" i="31" s="1"/>
  <c r="Z1741" i="31" s="1" a="1"/>
  <c r="Z1741" i="31" s="1"/>
  <c r="X1741" i="31" a="1"/>
  <c r="X1741" i="31" s="1"/>
  <c r="W1740" i="31" a="1"/>
  <c r="W1740" i="31" s="1"/>
  <c r="Z1740" i="31" s="1" a="1"/>
  <c r="Z1740" i="31" s="1"/>
  <c r="X1740" i="31" a="1"/>
  <c r="X1740" i="31" s="1"/>
  <c r="W1739" i="31" a="1"/>
  <c r="W1739" i="31" s="1"/>
  <c r="Z1739" i="31" s="1" a="1"/>
  <c r="Z1739" i="31" s="1"/>
  <c r="X1739" i="31" a="1"/>
  <c r="X1739" i="31" s="1"/>
  <c r="W1738" i="31" a="1"/>
  <c r="W1738" i="31" s="1"/>
  <c r="Z1738" i="31" s="1" a="1"/>
  <c r="Z1738" i="31" s="1"/>
  <c r="X1738" i="31" a="1"/>
  <c r="X1738" i="31" s="1"/>
  <c r="W1737" i="31" a="1"/>
  <c r="W1737" i="31" s="1"/>
  <c r="Z1737" i="31" s="1" a="1"/>
  <c r="Z1737" i="31" s="1"/>
  <c r="X1737" i="31" a="1"/>
  <c r="X1737" i="31" s="1"/>
  <c r="W1736" i="31" a="1"/>
  <c r="W1736" i="31" s="1"/>
  <c r="Z1736" i="31" s="1" a="1"/>
  <c r="Z1736" i="31" s="1"/>
  <c r="X1736" i="31" a="1"/>
  <c r="X1736" i="31" s="1"/>
  <c r="W1735" i="31" a="1"/>
  <c r="W1735" i="31" s="1"/>
  <c r="Z1735" i="31" s="1" a="1"/>
  <c r="Z1735" i="31" s="1"/>
  <c r="X1735" i="31" a="1"/>
  <c r="X1735" i="31" s="1"/>
  <c r="W1734" i="31" a="1"/>
  <c r="W1734" i="31" s="1"/>
  <c r="Z1734" i="31" s="1" a="1"/>
  <c r="Z1734" i="31" s="1"/>
  <c r="X1734" i="31" a="1"/>
  <c r="X1734" i="31" s="1"/>
  <c r="W1733" i="31" a="1"/>
  <c r="W1733" i="31" s="1"/>
  <c r="Z1733" i="31" s="1" a="1"/>
  <c r="Z1733" i="31" s="1"/>
  <c r="X1733" i="31" a="1"/>
  <c r="X1733" i="31" s="1"/>
  <c r="W1732" i="31" a="1"/>
  <c r="W1732" i="31" s="1"/>
  <c r="Z1732" i="31" s="1" a="1"/>
  <c r="Z1732" i="31" s="1"/>
  <c r="X1732" i="31" a="1"/>
  <c r="X1732" i="31" s="1"/>
  <c r="W1731" i="31" a="1"/>
  <c r="W1731" i="31" s="1"/>
  <c r="Z1731" i="31" s="1" a="1"/>
  <c r="Z1731" i="31" s="1"/>
  <c r="X1731" i="31" a="1"/>
  <c r="X1731" i="31" s="1"/>
  <c r="W1730" i="31" a="1"/>
  <c r="W1730" i="31" s="1"/>
  <c r="Z1730" i="31" s="1" a="1"/>
  <c r="Z1730" i="31" s="1"/>
  <c r="X1730" i="31" a="1"/>
  <c r="X1730" i="31" s="1"/>
  <c r="W1729" i="31" a="1"/>
  <c r="W1729" i="31" s="1"/>
  <c r="Z1729" i="31" s="1" a="1"/>
  <c r="Z1729" i="31" s="1"/>
  <c r="X1729" i="31" a="1"/>
  <c r="X1729" i="31" s="1"/>
  <c r="W1728" i="31" a="1"/>
  <c r="W1728" i="31" s="1"/>
  <c r="Z1728" i="31" s="1" a="1"/>
  <c r="Z1728" i="31" s="1"/>
  <c r="X1728" i="31" a="1"/>
  <c r="X1728" i="31" s="1"/>
  <c r="W1727" i="31" a="1"/>
  <c r="W1727" i="31" s="1"/>
  <c r="Z1727" i="31" s="1" a="1"/>
  <c r="Z1727" i="31" s="1"/>
  <c r="X1727" i="31" a="1"/>
  <c r="X1727" i="31" s="1"/>
  <c r="W1726" i="31" a="1"/>
  <c r="W1726" i="31" s="1"/>
  <c r="Z1726" i="31" s="1" a="1"/>
  <c r="Z1726" i="31" s="1"/>
  <c r="X1726" i="31" a="1"/>
  <c r="X1726" i="31" s="1"/>
  <c r="W1725" i="31" a="1"/>
  <c r="W1725" i="31" s="1"/>
  <c r="Z1725" i="31" s="1" a="1"/>
  <c r="Z1725" i="31" s="1"/>
  <c r="X1725" i="31" a="1"/>
  <c r="X1725" i="31" s="1"/>
  <c r="W1724" i="31" a="1"/>
  <c r="W1724" i="31" s="1"/>
  <c r="Z1724" i="31" s="1" a="1"/>
  <c r="Z1724" i="31" s="1"/>
  <c r="X1724" i="31" a="1"/>
  <c r="X1724" i="31" s="1"/>
  <c r="W1723" i="31" a="1"/>
  <c r="W1723" i="31" s="1"/>
  <c r="Z1723" i="31" s="1" a="1"/>
  <c r="Z1723" i="31" s="1"/>
  <c r="X1723" i="31" a="1"/>
  <c r="X1723" i="31" s="1"/>
  <c r="W1722" i="31" a="1"/>
  <c r="W1722" i="31" s="1"/>
  <c r="Z1722" i="31" s="1" a="1"/>
  <c r="Z1722" i="31" s="1"/>
  <c r="X1722" i="31" a="1"/>
  <c r="X1722" i="31" s="1"/>
  <c r="W1721" i="31" a="1"/>
  <c r="W1721" i="31" s="1"/>
  <c r="Z1721" i="31" s="1" a="1"/>
  <c r="Z1721" i="31" s="1"/>
  <c r="X1721" i="31" a="1"/>
  <c r="X1721" i="31" s="1"/>
  <c r="W1720" i="31" a="1"/>
  <c r="W1720" i="31" s="1"/>
  <c r="Z1720" i="31" s="1" a="1"/>
  <c r="Z1720" i="31" s="1"/>
  <c r="X1720" i="31" a="1"/>
  <c r="X1720" i="31" s="1"/>
  <c r="W1719" i="31" a="1"/>
  <c r="W1719" i="31" s="1"/>
  <c r="Z1719" i="31" s="1" a="1"/>
  <c r="Z1719" i="31" s="1"/>
  <c r="X1719" i="31" a="1"/>
  <c r="X1719" i="31" s="1"/>
  <c r="W1718" i="31" a="1"/>
  <c r="W1718" i="31" s="1"/>
  <c r="Z1718" i="31" s="1" a="1"/>
  <c r="Z1718" i="31" s="1"/>
  <c r="X1718" i="31" a="1"/>
  <c r="X1718" i="31" s="1"/>
  <c r="W1717" i="31" a="1"/>
  <c r="W1717" i="31" s="1"/>
  <c r="Z1717" i="31" s="1" a="1"/>
  <c r="Z1717" i="31" s="1"/>
  <c r="X1717" i="31" a="1"/>
  <c r="X1717" i="31" s="1"/>
  <c r="W1716" i="31" a="1"/>
  <c r="W1716" i="31" s="1"/>
  <c r="Z1716" i="31" s="1" a="1"/>
  <c r="Z1716" i="31" s="1"/>
  <c r="X1716" i="31" a="1"/>
  <c r="X1716" i="31" s="1"/>
  <c r="W1715" i="31" a="1"/>
  <c r="W1715" i="31" s="1"/>
  <c r="Z1715" i="31" s="1" a="1"/>
  <c r="Z1715" i="31" s="1"/>
  <c r="X1715" i="31" a="1"/>
  <c r="X1715" i="31" s="1"/>
  <c r="W1714" i="31" a="1"/>
  <c r="W1714" i="31" s="1"/>
  <c r="Z1714" i="31" s="1" a="1"/>
  <c r="Z1714" i="31" s="1"/>
  <c r="X1714" i="31" a="1"/>
  <c r="X1714" i="31" s="1"/>
  <c r="W1713" i="31" a="1"/>
  <c r="W1713" i="31" s="1"/>
  <c r="Z1713" i="31" s="1" a="1"/>
  <c r="Z1713" i="31" s="1"/>
  <c r="X1713" i="31" a="1"/>
  <c r="X1713" i="31" s="1"/>
  <c r="W1712" i="31" a="1"/>
  <c r="W1712" i="31" s="1"/>
  <c r="Z1712" i="31" s="1" a="1"/>
  <c r="Z1712" i="31" s="1"/>
  <c r="X1712" i="31" a="1"/>
  <c r="X1712" i="31" s="1"/>
  <c r="W1711" i="31" a="1"/>
  <c r="W1711" i="31" s="1"/>
  <c r="Z1711" i="31" s="1" a="1"/>
  <c r="Z1711" i="31" s="1"/>
  <c r="X1711" i="31" a="1"/>
  <c r="X1711" i="31" s="1"/>
  <c r="W1710" i="31" a="1"/>
  <c r="W1710" i="31" s="1"/>
  <c r="Z1710" i="31" s="1" a="1"/>
  <c r="Z1710" i="31" s="1"/>
  <c r="X1710" i="31" a="1"/>
  <c r="X1710" i="31" s="1"/>
  <c r="W1709" i="31" a="1"/>
  <c r="W1709" i="31" s="1"/>
  <c r="Z1709" i="31" s="1" a="1"/>
  <c r="Z1709" i="31" s="1"/>
  <c r="X1709" i="31" a="1"/>
  <c r="X1709" i="31" s="1"/>
  <c r="W1708" i="31" a="1"/>
  <c r="W1708" i="31" s="1"/>
  <c r="Z1708" i="31" s="1" a="1"/>
  <c r="Z1708" i="31" s="1"/>
  <c r="X1708" i="31" a="1"/>
  <c r="X1708" i="31" s="1"/>
  <c r="W1707" i="31" a="1"/>
  <c r="W1707" i="31" s="1"/>
  <c r="Z1707" i="31" s="1" a="1"/>
  <c r="Z1707" i="31" s="1"/>
  <c r="X1707" i="31" a="1"/>
  <c r="X1707" i="31" s="1"/>
  <c r="W1706" i="31" a="1"/>
  <c r="W1706" i="31" s="1"/>
  <c r="Z1706" i="31" s="1" a="1"/>
  <c r="Z1706" i="31" s="1"/>
  <c r="X1706" i="31" a="1"/>
  <c r="X1706" i="31" s="1"/>
  <c r="W1705" i="31" a="1"/>
  <c r="W1705" i="31" s="1"/>
  <c r="Z1705" i="31" s="1" a="1"/>
  <c r="Z1705" i="31" s="1"/>
  <c r="X1705" i="31" a="1"/>
  <c r="X1705" i="31" s="1"/>
  <c r="W1704" i="31" a="1"/>
  <c r="W1704" i="31" s="1"/>
  <c r="Z1704" i="31" s="1" a="1"/>
  <c r="Z1704" i="31" s="1"/>
  <c r="X1704" i="31" a="1"/>
  <c r="X1704" i="31" s="1"/>
  <c r="W1703" i="31" a="1"/>
  <c r="W1703" i="31" s="1"/>
  <c r="Z1703" i="31" s="1" a="1"/>
  <c r="Z1703" i="31" s="1"/>
  <c r="X1703" i="31" a="1"/>
  <c r="X1703" i="31" s="1"/>
  <c r="W1702" i="31" a="1"/>
  <c r="W1702" i="31" s="1"/>
  <c r="Z1702" i="31" s="1" a="1"/>
  <c r="Z1702" i="31" s="1"/>
  <c r="X1702" i="31" a="1"/>
  <c r="X1702" i="31" s="1"/>
  <c r="W1701" i="31" a="1"/>
  <c r="W1701" i="31" s="1"/>
  <c r="Z1701" i="31" s="1" a="1"/>
  <c r="Z1701" i="31" s="1"/>
  <c r="X1701" i="31" a="1"/>
  <c r="X1701" i="31" s="1"/>
  <c r="W1700" i="31" a="1"/>
  <c r="W1700" i="31" s="1"/>
  <c r="Z1700" i="31" s="1" a="1"/>
  <c r="Z1700" i="31" s="1"/>
  <c r="X1700" i="31" a="1"/>
  <c r="X1700" i="31" s="1"/>
  <c r="W1699" i="31" a="1"/>
  <c r="W1699" i="31" s="1"/>
  <c r="Z1699" i="31" s="1" a="1"/>
  <c r="Z1699" i="31" s="1"/>
  <c r="X1699" i="31" a="1"/>
  <c r="X1699" i="31" s="1"/>
  <c r="W1698" i="31" a="1"/>
  <c r="W1698" i="31" s="1"/>
  <c r="Z1698" i="31" s="1" a="1"/>
  <c r="Z1698" i="31" s="1"/>
  <c r="X1698" i="31" a="1"/>
  <c r="X1698" i="31" s="1"/>
  <c r="W1697" i="31" a="1"/>
  <c r="W1697" i="31" s="1"/>
  <c r="Z1697" i="31" s="1" a="1"/>
  <c r="Z1697" i="31" s="1"/>
  <c r="X1697" i="31" a="1"/>
  <c r="X1697" i="31" s="1"/>
  <c r="W1696" i="31" a="1"/>
  <c r="W1696" i="31" s="1"/>
  <c r="Z1696" i="31" s="1" a="1"/>
  <c r="Z1696" i="31" s="1"/>
  <c r="X1696" i="31" a="1"/>
  <c r="X1696" i="31" s="1"/>
  <c r="W1695" i="31" a="1"/>
  <c r="W1695" i="31" s="1"/>
  <c r="Z1695" i="31" s="1" a="1"/>
  <c r="Z1695" i="31" s="1"/>
  <c r="X1695" i="31" a="1"/>
  <c r="X1695" i="31" s="1"/>
  <c r="W1694" i="31" a="1"/>
  <c r="W1694" i="31" s="1"/>
  <c r="Z1694" i="31" s="1" a="1"/>
  <c r="Z1694" i="31" s="1"/>
  <c r="X1694" i="31" a="1"/>
  <c r="X1694" i="31" s="1"/>
  <c r="W1693" i="31" a="1"/>
  <c r="W1693" i="31" s="1"/>
  <c r="Z1693" i="31" s="1" a="1"/>
  <c r="Z1693" i="31" s="1"/>
  <c r="X1693" i="31" a="1"/>
  <c r="X1693" i="31" s="1"/>
  <c r="W1692" i="31" a="1"/>
  <c r="W1692" i="31" s="1"/>
  <c r="Z1692" i="31" s="1" a="1"/>
  <c r="Z1692" i="31" s="1"/>
  <c r="X1692" i="31" a="1"/>
  <c r="X1692" i="31" s="1"/>
  <c r="W1691" i="31" a="1"/>
  <c r="W1691" i="31" s="1"/>
  <c r="Z1691" i="31" s="1" a="1"/>
  <c r="Z1691" i="31" s="1"/>
  <c r="X1691" i="31" a="1"/>
  <c r="X1691" i="31" s="1"/>
  <c r="W1690" i="31" a="1"/>
  <c r="W1690" i="31" s="1"/>
  <c r="Z1690" i="31" s="1" a="1"/>
  <c r="Z1690" i="31" s="1"/>
  <c r="X1690" i="31" a="1"/>
  <c r="X1690" i="31" s="1"/>
  <c r="W1689" i="31" a="1"/>
  <c r="W1689" i="31" s="1"/>
  <c r="Z1689" i="31" s="1" a="1"/>
  <c r="Z1689" i="31" s="1"/>
  <c r="X1689" i="31" a="1"/>
  <c r="X1689" i="31" s="1"/>
  <c r="W1688" i="31" a="1"/>
  <c r="W1688" i="31" s="1"/>
  <c r="Z1688" i="31" s="1" a="1"/>
  <c r="Z1688" i="31" s="1"/>
  <c r="X1688" i="31" a="1"/>
  <c r="X1688" i="31" s="1"/>
  <c r="W1687" i="31" a="1"/>
  <c r="W1687" i="31" s="1"/>
  <c r="Z1687" i="31" s="1" a="1"/>
  <c r="Z1687" i="31" s="1"/>
  <c r="X1687" i="31" a="1"/>
  <c r="X1687" i="31" s="1"/>
  <c r="W1686" i="31" a="1"/>
  <c r="W1686" i="31" s="1"/>
  <c r="Z1686" i="31" s="1" a="1"/>
  <c r="Z1686" i="31" s="1"/>
  <c r="X1686" i="31" a="1"/>
  <c r="X1686" i="31" s="1"/>
  <c r="W1685" i="31" a="1"/>
  <c r="W1685" i="31" s="1"/>
  <c r="Z1685" i="31" s="1" a="1"/>
  <c r="Z1685" i="31" s="1"/>
  <c r="X1685" i="31" a="1"/>
  <c r="X1685" i="31" s="1"/>
  <c r="W1684" i="31" a="1"/>
  <c r="W1684" i="31" s="1"/>
  <c r="Z1684" i="31" s="1" a="1"/>
  <c r="Z1684" i="31" s="1"/>
  <c r="X1684" i="31" a="1"/>
  <c r="X1684" i="31" s="1"/>
  <c r="W1683" i="31" a="1"/>
  <c r="W1683" i="31" s="1"/>
  <c r="Z1683" i="31" s="1" a="1"/>
  <c r="Z1683" i="31" s="1"/>
  <c r="X1683" i="31" a="1"/>
  <c r="X1683" i="31" s="1"/>
  <c r="W1682" i="31" a="1"/>
  <c r="W1682" i="31" s="1"/>
  <c r="Z1682" i="31" s="1" a="1"/>
  <c r="Z1682" i="31" s="1"/>
  <c r="X1682" i="31" a="1"/>
  <c r="X1682" i="31" s="1"/>
  <c r="W1681" i="31" a="1"/>
  <c r="W1681" i="31" s="1"/>
  <c r="Z1681" i="31" s="1" a="1"/>
  <c r="Z1681" i="31" s="1"/>
  <c r="X1681" i="31" a="1"/>
  <c r="X1681" i="31" s="1"/>
  <c r="W1680" i="31" a="1"/>
  <c r="W1680" i="31" s="1"/>
  <c r="Z1680" i="31" s="1" a="1"/>
  <c r="Z1680" i="31" s="1"/>
  <c r="X1680" i="31" a="1"/>
  <c r="X1680" i="31" s="1"/>
  <c r="W1679" i="31" a="1"/>
  <c r="W1679" i="31" s="1"/>
  <c r="Z1679" i="31" s="1" a="1"/>
  <c r="Z1679" i="31" s="1"/>
  <c r="X1679" i="31" a="1"/>
  <c r="X1679" i="31" s="1"/>
  <c r="W1678" i="31" a="1"/>
  <c r="W1678" i="31" s="1"/>
  <c r="Z1678" i="31" s="1" a="1"/>
  <c r="Z1678" i="31" s="1"/>
  <c r="X1678" i="31" a="1"/>
  <c r="X1678" i="31" s="1"/>
  <c r="W1677" i="31" a="1"/>
  <c r="W1677" i="31" s="1"/>
  <c r="Z1677" i="31" s="1" a="1"/>
  <c r="Z1677" i="31" s="1"/>
  <c r="X1677" i="31" a="1"/>
  <c r="X1677" i="31" s="1"/>
  <c r="W1676" i="31" a="1"/>
  <c r="W1676" i="31" s="1"/>
  <c r="Z1676" i="31" s="1" a="1"/>
  <c r="Z1676" i="31" s="1"/>
  <c r="X1676" i="31" a="1"/>
  <c r="X1676" i="31" s="1"/>
  <c r="W1675" i="31" a="1"/>
  <c r="W1675" i="31" s="1"/>
  <c r="Z1675" i="31" s="1" a="1"/>
  <c r="Z1675" i="31" s="1"/>
  <c r="X1675" i="31" a="1"/>
  <c r="X1675" i="31" s="1"/>
  <c r="W1674" i="31" a="1"/>
  <c r="W1674" i="31" s="1"/>
  <c r="Z1674" i="31" s="1" a="1"/>
  <c r="Z1674" i="31" s="1"/>
  <c r="X1674" i="31" a="1"/>
  <c r="X1674" i="31" s="1"/>
  <c r="W1673" i="31" a="1"/>
  <c r="W1673" i="31" s="1"/>
  <c r="Z1673" i="31" s="1" a="1"/>
  <c r="Z1673" i="31" s="1"/>
  <c r="X1673" i="31" a="1"/>
  <c r="X1673" i="31" s="1"/>
  <c r="W1672" i="31" a="1"/>
  <c r="W1672" i="31" s="1"/>
  <c r="Z1672" i="31" s="1" a="1"/>
  <c r="Z1672" i="31" s="1"/>
  <c r="X1672" i="31" a="1"/>
  <c r="X1672" i="31" s="1"/>
  <c r="W1671" i="31" a="1"/>
  <c r="W1671" i="31" s="1"/>
  <c r="Z1671" i="31" s="1" a="1"/>
  <c r="Z1671" i="31" s="1"/>
  <c r="X1671" i="31" a="1"/>
  <c r="X1671" i="31" s="1"/>
  <c r="W1670" i="31" a="1"/>
  <c r="W1670" i="31" s="1"/>
  <c r="Z1670" i="31" s="1" a="1"/>
  <c r="Z1670" i="31" s="1"/>
  <c r="X1670" i="31" a="1"/>
  <c r="X1670" i="31" s="1"/>
  <c r="W1669" i="31" a="1"/>
  <c r="W1669" i="31" s="1"/>
  <c r="Z1669" i="31" s="1" a="1"/>
  <c r="Z1669" i="31" s="1"/>
  <c r="X1669" i="31" a="1"/>
  <c r="X1669" i="31" s="1"/>
  <c r="W1668" i="31" a="1"/>
  <c r="W1668" i="31" s="1"/>
  <c r="Z1668" i="31" s="1" a="1"/>
  <c r="Z1668" i="31" s="1"/>
  <c r="X1668" i="31" a="1"/>
  <c r="X1668" i="31" s="1"/>
  <c r="W1667" i="31" a="1"/>
  <c r="W1667" i="31" s="1"/>
  <c r="Z1667" i="31" s="1" a="1"/>
  <c r="Z1667" i="31" s="1"/>
  <c r="X1667" i="31" a="1"/>
  <c r="X1667" i="31" s="1"/>
  <c r="W1666" i="31" a="1"/>
  <c r="W1666" i="31" s="1"/>
  <c r="Z1666" i="31" s="1" a="1"/>
  <c r="Z1666" i="31" s="1"/>
  <c r="X1666" i="31" a="1"/>
  <c r="X1666" i="31" s="1"/>
  <c r="W1665" i="31" a="1"/>
  <c r="W1665" i="31" s="1"/>
  <c r="Z1665" i="31" s="1" a="1"/>
  <c r="Z1665" i="31" s="1"/>
  <c r="X1665" i="31" a="1"/>
  <c r="X1665" i="31" s="1"/>
  <c r="W1664" i="31" a="1"/>
  <c r="W1664" i="31" s="1"/>
  <c r="Z1664" i="31" s="1" a="1"/>
  <c r="Z1664" i="31" s="1"/>
  <c r="X1664" i="31" a="1"/>
  <c r="X1664" i="31" s="1"/>
  <c r="W1663" i="31" a="1"/>
  <c r="W1663" i="31" s="1"/>
  <c r="Z1663" i="31" s="1" a="1"/>
  <c r="Z1663" i="31" s="1"/>
  <c r="X1663" i="31" a="1"/>
  <c r="X1663" i="31" s="1"/>
  <c r="W1662" i="31" a="1"/>
  <c r="W1662" i="31" s="1"/>
  <c r="Z1662" i="31" s="1" a="1"/>
  <c r="Z1662" i="31" s="1"/>
  <c r="X1662" i="31" a="1"/>
  <c r="X1662" i="31" s="1"/>
  <c r="W1661" i="31" a="1"/>
  <c r="W1661" i="31" s="1"/>
  <c r="Z1661" i="31" s="1" a="1"/>
  <c r="Z1661" i="31" s="1"/>
  <c r="X1661" i="31" a="1"/>
  <c r="X1661" i="31" s="1"/>
  <c r="W1660" i="31" a="1"/>
  <c r="W1660" i="31" s="1"/>
  <c r="Z1660" i="31" s="1" a="1"/>
  <c r="Z1660" i="31" s="1"/>
  <c r="X1660" i="31" a="1"/>
  <c r="X1660" i="31" s="1"/>
  <c r="W1659" i="31" a="1"/>
  <c r="W1659" i="31" s="1"/>
  <c r="Z1659" i="31" s="1" a="1"/>
  <c r="Z1659" i="31" s="1"/>
  <c r="X1659" i="31" a="1"/>
  <c r="X1659" i="31" s="1"/>
  <c r="W1658" i="31" a="1"/>
  <c r="W1658" i="31" s="1"/>
  <c r="Z1658" i="31" s="1" a="1"/>
  <c r="Z1658" i="31" s="1"/>
  <c r="X1658" i="31" a="1"/>
  <c r="X1658" i="31" s="1"/>
  <c r="W1657" i="31" a="1"/>
  <c r="W1657" i="31" s="1"/>
  <c r="Z1657" i="31" s="1" a="1"/>
  <c r="Z1657" i="31" s="1"/>
  <c r="X1657" i="31" a="1"/>
  <c r="X1657" i="31" s="1"/>
  <c r="W1656" i="31" a="1"/>
  <c r="W1656" i="31" s="1"/>
  <c r="Z1656" i="31" s="1" a="1"/>
  <c r="Z1656" i="31" s="1"/>
  <c r="X1656" i="31" a="1"/>
  <c r="X1656" i="31" s="1"/>
  <c r="W1655" i="31" a="1"/>
  <c r="W1655" i="31" s="1"/>
  <c r="Z1655" i="31" s="1" a="1"/>
  <c r="Z1655" i="31" s="1"/>
  <c r="X1655" i="31" a="1"/>
  <c r="X1655" i="31" s="1"/>
  <c r="W1654" i="31" a="1"/>
  <c r="W1654" i="31" s="1"/>
  <c r="Z1654" i="31" s="1" a="1"/>
  <c r="Z1654" i="31" s="1"/>
  <c r="X1654" i="31" a="1"/>
  <c r="X1654" i="31" s="1"/>
  <c r="W1653" i="31" a="1"/>
  <c r="W1653" i="31" s="1"/>
  <c r="Z1653" i="31" s="1" a="1"/>
  <c r="Z1653" i="31" s="1"/>
  <c r="X1653" i="31" a="1"/>
  <c r="X1653" i="31" s="1"/>
  <c r="W1652" i="31" a="1"/>
  <c r="W1652" i="31" s="1"/>
  <c r="Z1652" i="31" s="1" a="1"/>
  <c r="Z1652" i="31" s="1"/>
  <c r="X1652" i="31" a="1"/>
  <c r="X1652" i="31" s="1"/>
  <c r="W1651" i="31" a="1"/>
  <c r="W1651" i="31" s="1"/>
  <c r="Z1651" i="31" s="1" a="1"/>
  <c r="Z1651" i="31" s="1"/>
  <c r="X1651" i="31" a="1"/>
  <c r="X1651" i="31" s="1"/>
  <c r="W1650" i="31" a="1"/>
  <c r="W1650" i="31" s="1"/>
  <c r="Z1650" i="31" s="1" a="1"/>
  <c r="Z1650" i="31" s="1"/>
  <c r="X1650" i="31" a="1"/>
  <c r="X1650" i="31" s="1"/>
  <c r="W1649" i="31" a="1"/>
  <c r="W1649" i="31" s="1"/>
  <c r="Z1649" i="31" s="1" a="1"/>
  <c r="Z1649" i="31" s="1"/>
  <c r="X1649" i="31" a="1"/>
  <c r="X1649" i="31" s="1"/>
  <c r="W1648" i="31" a="1"/>
  <c r="W1648" i="31" s="1"/>
  <c r="Z1648" i="31" s="1" a="1"/>
  <c r="Z1648" i="31" s="1"/>
  <c r="X1648" i="31" a="1"/>
  <c r="X1648" i="31" s="1"/>
  <c r="W1647" i="31" a="1"/>
  <c r="W1647" i="31" s="1"/>
  <c r="Z1647" i="31" s="1" a="1"/>
  <c r="Z1647" i="31" s="1"/>
  <c r="X1647" i="31" a="1"/>
  <c r="X1647" i="31" s="1"/>
  <c r="W1646" i="31" a="1"/>
  <c r="W1646" i="31" s="1"/>
  <c r="Z1646" i="31" s="1" a="1"/>
  <c r="Z1646" i="31" s="1"/>
  <c r="X1646" i="31" a="1"/>
  <c r="X1646" i="31" s="1"/>
  <c r="W1645" i="31" a="1"/>
  <c r="W1645" i="31" s="1"/>
  <c r="Z1645" i="31" s="1" a="1"/>
  <c r="Z1645" i="31" s="1"/>
  <c r="X1645" i="31" a="1"/>
  <c r="X1645" i="31" s="1"/>
  <c r="W1644" i="31" a="1"/>
  <c r="W1644" i="31" s="1"/>
  <c r="Z1644" i="31" s="1" a="1"/>
  <c r="Z1644" i="31" s="1"/>
  <c r="X1644" i="31" a="1"/>
  <c r="X1644" i="31" s="1"/>
  <c r="W1643" i="31" a="1"/>
  <c r="W1643" i="31" s="1"/>
  <c r="Z1643" i="31" s="1" a="1"/>
  <c r="Z1643" i="31" s="1"/>
  <c r="X1643" i="31" a="1"/>
  <c r="X1643" i="31" s="1"/>
  <c r="W1642" i="31" a="1"/>
  <c r="W1642" i="31" s="1"/>
  <c r="Z1642" i="31" s="1" a="1"/>
  <c r="Z1642" i="31" s="1"/>
  <c r="X1642" i="31" a="1"/>
  <c r="X1642" i="31" s="1"/>
  <c r="W1641" i="31" a="1"/>
  <c r="W1641" i="31" s="1"/>
  <c r="Z1641" i="31" s="1" a="1"/>
  <c r="Z1641" i="31" s="1"/>
  <c r="X1641" i="31" a="1"/>
  <c r="X1641" i="31" s="1"/>
  <c r="W1640" i="31" a="1"/>
  <c r="W1640" i="31" s="1"/>
  <c r="Z1640" i="31" s="1" a="1"/>
  <c r="Z1640" i="31" s="1"/>
  <c r="X1640" i="31" a="1"/>
  <c r="X1640" i="31" s="1"/>
  <c r="W1639" i="31" a="1"/>
  <c r="W1639" i="31" s="1"/>
  <c r="Z1639" i="31" s="1" a="1"/>
  <c r="Z1639" i="31" s="1"/>
  <c r="X1639" i="31" a="1"/>
  <c r="X1639" i="31" s="1"/>
  <c r="W1638" i="31" a="1"/>
  <c r="W1638" i="31" s="1"/>
  <c r="Z1638" i="31" s="1" a="1"/>
  <c r="Z1638" i="31" s="1"/>
  <c r="X1638" i="31" a="1"/>
  <c r="X1638" i="31" s="1"/>
  <c r="W1637" i="31" a="1"/>
  <c r="W1637" i="31" s="1"/>
  <c r="Z1637" i="31" s="1" a="1"/>
  <c r="Z1637" i="31" s="1"/>
  <c r="X1637" i="31" a="1"/>
  <c r="X1637" i="31" s="1"/>
  <c r="W1636" i="31" a="1"/>
  <c r="W1636" i="31" s="1"/>
  <c r="Z1636" i="31" s="1" a="1"/>
  <c r="Z1636" i="31" s="1"/>
  <c r="X1636" i="31" a="1"/>
  <c r="X1636" i="31" s="1"/>
  <c r="W1635" i="31" a="1"/>
  <c r="W1635" i="31" s="1"/>
  <c r="Z1635" i="31" s="1" a="1"/>
  <c r="Z1635" i="31" s="1"/>
  <c r="X1635" i="31" a="1"/>
  <c r="X1635" i="31" s="1"/>
  <c r="W1634" i="31" a="1"/>
  <c r="W1634" i="31" s="1"/>
  <c r="Z1634" i="31" s="1" a="1"/>
  <c r="Z1634" i="31" s="1"/>
  <c r="X1634" i="31" a="1"/>
  <c r="X1634" i="31" s="1"/>
  <c r="W1633" i="31" a="1"/>
  <c r="W1633" i="31" s="1"/>
  <c r="Z1633" i="31" s="1" a="1"/>
  <c r="Z1633" i="31" s="1"/>
  <c r="X1633" i="31" a="1"/>
  <c r="X1633" i="31" s="1"/>
  <c r="W1632" i="31" a="1"/>
  <c r="W1632" i="31" s="1"/>
  <c r="Z1632" i="31" s="1" a="1"/>
  <c r="Z1632" i="31" s="1"/>
  <c r="X1632" i="31" a="1"/>
  <c r="X1632" i="31" s="1"/>
  <c r="W1631" i="31" a="1"/>
  <c r="W1631" i="31" s="1"/>
  <c r="Z1631" i="31" s="1" a="1"/>
  <c r="Z1631" i="31" s="1"/>
  <c r="X1631" i="31" a="1"/>
  <c r="X1631" i="31" s="1"/>
  <c r="W1630" i="31" a="1"/>
  <c r="W1630" i="31" s="1"/>
  <c r="Z1630" i="31" s="1" a="1"/>
  <c r="Z1630" i="31" s="1"/>
  <c r="X1630" i="31" a="1"/>
  <c r="X1630" i="31" s="1"/>
  <c r="W1629" i="31" a="1"/>
  <c r="W1629" i="31" s="1"/>
  <c r="Z1629" i="31" s="1" a="1"/>
  <c r="Z1629" i="31" s="1"/>
  <c r="X1629" i="31" a="1"/>
  <c r="X1629" i="31" s="1"/>
  <c r="W1628" i="31" a="1"/>
  <c r="W1628" i="31" s="1"/>
  <c r="Z1628" i="31" s="1" a="1"/>
  <c r="Z1628" i="31" s="1"/>
  <c r="X1628" i="31" a="1"/>
  <c r="X1628" i="31" s="1"/>
  <c r="W1627" i="31" a="1"/>
  <c r="W1627" i="31" s="1"/>
  <c r="Z1627" i="31" s="1" a="1"/>
  <c r="Z1627" i="31" s="1"/>
  <c r="X1627" i="31" a="1"/>
  <c r="X1627" i="31" s="1"/>
  <c r="W1626" i="31" a="1"/>
  <c r="W1626" i="31" s="1"/>
  <c r="Z1626" i="31" s="1" a="1"/>
  <c r="Z1626" i="31" s="1"/>
  <c r="X1626" i="31" a="1"/>
  <c r="X1626" i="31" s="1"/>
  <c r="W1625" i="31" a="1"/>
  <c r="W1625" i="31" s="1"/>
  <c r="Z1625" i="31" s="1" a="1"/>
  <c r="Z1625" i="31" s="1"/>
  <c r="X1625" i="31" a="1"/>
  <c r="X1625" i="31" s="1"/>
  <c r="W1624" i="31" a="1"/>
  <c r="W1624" i="31" s="1"/>
  <c r="Z1624" i="31" s="1" a="1"/>
  <c r="Z1624" i="31" s="1"/>
  <c r="X1624" i="31" a="1"/>
  <c r="X1624" i="31" s="1"/>
  <c r="W1623" i="31" a="1"/>
  <c r="W1623" i="31" s="1"/>
  <c r="Z1623" i="31" s="1" a="1"/>
  <c r="Z1623" i="31" s="1"/>
  <c r="X1623" i="31" a="1"/>
  <c r="X1623" i="31" s="1"/>
  <c r="W1622" i="31" a="1"/>
  <c r="W1622" i="31" s="1"/>
  <c r="Z1622" i="31" s="1" a="1"/>
  <c r="Z1622" i="31" s="1"/>
  <c r="X1622" i="31" a="1"/>
  <c r="X1622" i="31" s="1"/>
  <c r="W1621" i="31" a="1"/>
  <c r="W1621" i="31" s="1"/>
  <c r="Z1621" i="31" s="1" a="1"/>
  <c r="Z1621" i="31" s="1"/>
  <c r="X1621" i="31" a="1"/>
  <c r="X1621" i="31" s="1"/>
  <c r="W1620" i="31" a="1"/>
  <c r="W1620" i="31" s="1"/>
  <c r="Z1620" i="31" s="1" a="1"/>
  <c r="Z1620" i="31" s="1"/>
  <c r="X1620" i="31" a="1"/>
  <c r="X1620" i="31" s="1"/>
  <c r="W1619" i="31" a="1"/>
  <c r="W1619" i="31" s="1"/>
  <c r="Z1619" i="31" s="1" a="1"/>
  <c r="Z1619" i="31" s="1"/>
  <c r="X1619" i="31" a="1"/>
  <c r="X1619" i="31" s="1"/>
  <c r="W1618" i="31" a="1"/>
  <c r="W1618" i="31" s="1"/>
  <c r="Z1618" i="31" s="1" a="1"/>
  <c r="Z1618" i="31" s="1"/>
  <c r="X1618" i="31" a="1"/>
  <c r="X1618" i="31" s="1"/>
  <c r="W1617" i="31" a="1"/>
  <c r="W1617" i="31" s="1"/>
  <c r="Z1617" i="31" s="1" a="1"/>
  <c r="Z1617" i="31" s="1"/>
  <c r="X1617" i="31" a="1"/>
  <c r="X1617" i="31" s="1"/>
  <c r="W1616" i="31" a="1"/>
  <c r="W1616" i="31" s="1"/>
  <c r="Z1616" i="31" s="1" a="1"/>
  <c r="Z1616" i="31" s="1"/>
  <c r="X1616" i="31" a="1"/>
  <c r="X1616" i="31" s="1"/>
  <c r="W1615" i="31" a="1"/>
  <c r="W1615" i="31" s="1"/>
  <c r="Z1615" i="31" s="1" a="1"/>
  <c r="Z1615" i="31" s="1"/>
  <c r="X1615" i="31" a="1"/>
  <c r="X1615" i="31" s="1"/>
  <c r="W1614" i="31" a="1"/>
  <c r="W1614" i="31" s="1"/>
  <c r="Z1614" i="31" s="1" a="1"/>
  <c r="Z1614" i="31" s="1"/>
  <c r="X1614" i="31" a="1"/>
  <c r="X1614" i="31" s="1"/>
  <c r="W1613" i="31" a="1"/>
  <c r="W1613" i="31" s="1"/>
  <c r="Z1613" i="31" s="1" a="1"/>
  <c r="Z1613" i="31" s="1"/>
  <c r="X1613" i="31" a="1"/>
  <c r="X1613" i="31" s="1"/>
  <c r="W1612" i="31" a="1"/>
  <c r="W1612" i="31" s="1"/>
  <c r="Z1612" i="31" s="1" a="1"/>
  <c r="Z1612" i="31" s="1"/>
  <c r="X1612" i="31" a="1"/>
  <c r="X1612" i="31" s="1"/>
  <c r="W1611" i="31" a="1"/>
  <c r="W1611" i="31" s="1"/>
  <c r="Z1611" i="31" s="1" a="1"/>
  <c r="Z1611" i="31" s="1"/>
  <c r="X1611" i="31" a="1"/>
  <c r="X1611" i="31" s="1"/>
  <c r="W1610" i="31" a="1"/>
  <c r="W1610" i="31" s="1"/>
  <c r="Z1610" i="31" s="1" a="1"/>
  <c r="Z1610" i="31" s="1"/>
  <c r="X1610" i="31" a="1"/>
  <c r="X1610" i="31" s="1"/>
  <c r="W1609" i="31" a="1"/>
  <c r="W1609" i="31" s="1"/>
  <c r="Z1609" i="31" s="1" a="1"/>
  <c r="Z1609" i="31" s="1"/>
  <c r="X1609" i="31" a="1"/>
  <c r="X1609" i="31" s="1"/>
  <c r="W1608" i="31" a="1"/>
  <c r="W1608" i="31" s="1"/>
  <c r="Z1608" i="31" s="1" a="1"/>
  <c r="Z1608" i="31" s="1"/>
  <c r="X1608" i="31" a="1"/>
  <c r="X1608" i="31" s="1"/>
  <c r="W1607" i="31" a="1"/>
  <c r="W1607" i="31" s="1"/>
  <c r="Z1607" i="31" s="1" a="1"/>
  <c r="Z1607" i="31" s="1"/>
  <c r="X1607" i="31" a="1"/>
  <c r="X1607" i="31" s="1"/>
  <c r="W1606" i="31" a="1"/>
  <c r="W1606" i="31" s="1"/>
  <c r="Z1606" i="31" s="1" a="1"/>
  <c r="Z1606" i="31" s="1"/>
  <c r="X1606" i="31" a="1"/>
  <c r="X1606" i="31" s="1"/>
  <c r="W1605" i="31" a="1"/>
  <c r="W1605" i="31" s="1"/>
  <c r="Z1605" i="31" s="1" a="1"/>
  <c r="Z1605" i="31" s="1"/>
  <c r="X1605" i="31" a="1"/>
  <c r="X1605" i="31" s="1"/>
  <c r="W1604" i="31" a="1"/>
  <c r="W1604" i="31" s="1"/>
  <c r="Z1604" i="31" s="1" a="1"/>
  <c r="Z1604" i="31" s="1"/>
  <c r="X1604" i="31" a="1"/>
  <c r="X1604" i="31" s="1"/>
  <c r="W1603" i="31" a="1"/>
  <c r="W1603" i="31" s="1"/>
  <c r="Z1603" i="31" s="1" a="1"/>
  <c r="Z1603" i="31" s="1"/>
  <c r="X1603" i="31" a="1"/>
  <c r="X1603" i="31" s="1"/>
  <c r="W1602" i="31" a="1"/>
  <c r="W1602" i="31" s="1"/>
  <c r="Z1602" i="31" s="1" a="1"/>
  <c r="Z1602" i="31" s="1"/>
  <c r="X1602" i="31" a="1"/>
  <c r="X1602" i="31" s="1"/>
  <c r="W1601" i="31" a="1"/>
  <c r="W1601" i="31" s="1"/>
  <c r="Z1601" i="31" s="1" a="1"/>
  <c r="Z1601" i="31" s="1"/>
  <c r="X1601" i="31" a="1"/>
  <c r="X1601" i="31" s="1"/>
  <c r="W1600" i="31" a="1"/>
  <c r="W1600" i="31" s="1"/>
  <c r="Z1600" i="31" s="1" a="1"/>
  <c r="Z1600" i="31" s="1"/>
  <c r="X1600" i="31" a="1"/>
  <c r="X1600" i="31" s="1"/>
  <c r="W1599" i="31" a="1"/>
  <c r="W1599" i="31" s="1"/>
  <c r="Z1599" i="31" s="1" a="1"/>
  <c r="Z1599" i="31" s="1"/>
  <c r="X1599" i="31" a="1"/>
  <c r="X1599" i="31" s="1"/>
  <c r="W1598" i="31" a="1"/>
  <c r="W1598" i="31" s="1"/>
  <c r="Z1598" i="31" s="1" a="1"/>
  <c r="Z1598" i="31" s="1"/>
  <c r="X1598" i="31" a="1"/>
  <c r="X1598" i="31" s="1"/>
  <c r="W1597" i="31" a="1"/>
  <c r="W1597" i="31" s="1"/>
  <c r="Z1597" i="31" s="1" a="1"/>
  <c r="Z1597" i="31" s="1"/>
  <c r="X1597" i="31" a="1"/>
  <c r="X1597" i="31" s="1"/>
  <c r="W1596" i="31" a="1"/>
  <c r="W1596" i="31" s="1"/>
  <c r="Z1596" i="31" s="1" a="1"/>
  <c r="Z1596" i="31" s="1"/>
  <c r="X1596" i="31" a="1"/>
  <c r="X1596" i="31" s="1"/>
  <c r="W1595" i="31" a="1"/>
  <c r="W1595" i="31" s="1"/>
  <c r="Z1595" i="31" s="1" a="1"/>
  <c r="Z1595" i="31" s="1"/>
  <c r="X1595" i="31" a="1"/>
  <c r="X1595" i="31" s="1"/>
  <c r="W1594" i="31" a="1"/>
  <c r="W1594" i="31" s="1"/>
  <c r="Z1594" i="31" s="1" a="1"/>
  <c r="Z1594" i="31" s="1"/>
  <c r="X1594" i="31" a="1"/>
  <c r="X1594" i="31" s="1"/>
  <c r="W1593" i="31" a="1"/>
  <c r="W1593" i="31" s="1"/>
  <c r="Z1593" i="31" s="1" a="1"/>
  <c r="Z1593" i="31" s="1"/>
  <c r="X1593" i="31" a="1"/>
  <c r="X1593" i="31" s="1"/>
  <c r="W1592" i="31" a="1"/>
  <c r="W1592" i="31" s="1"/>
  <c r="Z1592" i="31" s="1" a="1"/>
  <c r="Z1592" i="31" s="1"/>
  <c r="X1592" i="31" a="1"/>
  <c r="X1592" i="31" s="1"/>
  <c r="W1591" i="31" a="1"/>
  <c r="W1591" i="31" s="1"/>
  <c r="Z1591" i="31" s="1" a="1"/>
  <c r="Z1591" i="31" s="1"/>
  <c r="X1591" i="31" a="1"/>
  <c r="X1591" i="31" s="1"/>
  <c r="W1590" i="31" a="1"/>
  <c r="W1590" i="31" s="1"/>
  <c r="Z1590" i="31" s="1" a="1"/>
  <c r="Z1590" i="31" s="1"/>
  <c r="X1590" i="31" a="1"/>
  <c r="X1590" i="31" s="1"/>
  <c r="W1589" i="31" a="1"/>
  <c r="W1589" i="31" s="1"/>
  <c r="Z1589" i="31" s="1" a="1"/>
  <c r="Z1589" i="31" s="1"/>
  <c r="X1589" i="31" a="1"/>
  <c r="X1589" i="31" s="1"/>
  <c r="W1588" i="31" a="1"/>
  <c r="W1588" i="31" s="1"/>
  <c r="Z1588" i="31" s="1" a="1"/>
  <c r="Z1588" i="31" s="1"/>
  <c r="X1588" i="31" a="1"/>
  <c r="X1588" i="31" s="1"/>
  <c r="W1587" i="31" a="1"/>
  <c r="W1587" i="31" s="1"/>
  <c r="Z1587" i="31" s="1" a="1"/>
  <c r="Z1587" i="31" s="1"/>
  <c r="X1587" i="31" a="1"/>
  <c r="X1587" i="31" s="1"/>
  <c r="W1586" i="31" a="1"/>
  <c r="W1586" i="31" s="1"/>
  <c r="Z1586" i="31" s="1" a="1"/>
  <c r="Z1586" i="31" s="1"/>
  <c r="X1586" i="31" a="1"/>
  <c r="X1586" i="31" s="1"/>
  <c r="W1585" i="31" a="1"/>
  <c r="W1585" i="31" s="1"/>
  <c r="Z1585" i="31" s="1" a="1"/>
  <c r="Z1585" i="31" s="1"/>
  <c r="X1585" i="31" a="1"/>
  <c r="X1585" i="31" s="1"/>
  <c r="W1584" i="31" a="1"/>
  <c r="W1584" i="31" s="1"/>
  <c r="Z1584" i="31" s="1" a="1"/>
  <c r="Z1584" i="31" s="1"/>
  <c r="X1584" i="31" a="1"/>
  <c r="X1584" i="31" s="1"/>
  <c r="W1583" i="31" a="1"/>
  <c r="W1583" i="31" s="1"/>
  <c r="Z1583" i="31" s="1" a="1"/>
  <c r="Z1583" i="31" s="1"/>
  <c r="X1583" i="31" a="1"/>
  <c r="X1583" i="31" s="1"/>
  <c r="W1582" i="31" a="1"/>
  <c r="W1582" i="31" s="1"/>
  <c r="Z1582" i="31" s="1" a="1"/>
  <c r="Z1582" i="31" s="1"/>
  <c r="X1582" i="31" a="1"/>
  <c r="X1582" i="31" s="1"/>
  <c r="W1581" i="31" a="1"/>
  <c r="W1581" i="31" s="1"/>
  <c r="Z1581" i="31" s="1" a="1"/>
  <c r="Z1581" i="31" s="1"/>
  <c r="X1581" i="31" a="1"/>
  <c r="X1581" i="31" s="1"/>
  <c r="W1580" i="31" a="1"/>
  <c r="W1580" i="31" s="1"/>
  <c r="Z1580" i="31" s="1" a="1"/>
  <c r="Z1580" i="31" s="1"/>
  <c r="X1580" i="31" a="1"/>
  <c r="X1580" i="31" s="1"/>
  <c r="W1579" i="31" a="1"/>
  <c r="W1579" i="31" s="1"/>
  <c r="Z1579" i="31" s="1" a="1"/>
  <c r="Z1579" i="31" s="1"/>
  <c r="X1579" i="31" a="1"/>
  <c r="X1579" i="31" s="1"/>
  <c r="W1578" i="31" a="1"/>
  <c r="W1578" i="31" s="1"/>
  <c r="Z1578" i="31" s="1" a="1"/>
  <c r="Z1578" i="31" s="1"/>
  <c r="X1578" i="31" a="1"/>
  <c r="X1578" i="31" s="1"/>
  <c r="W1577" i="31" a="1"/>
  <c r="W1577" i="31" s="1"/>
  <c r="Z1577" i="31" s="1" a="1"/>
  <c r="Z1577" i="31" s="1"/>
  <c r="X1577" i="31" a="1"/>
  <c r="X1577" i="31" s="1"/>
  <c r="W1576" i="31" a="1"/>
  <c r="W1576" i="31" s="1"/>
  <c r="Z1576" i="31" s="1" a="1"/>
  <c r="Z1576" i="31" s="1"/>
  <c r="X1576" i="31" a="1"/>
  <c r="X1576" i="31" s="1"/>
  <c r="W1575" i="31" a="1"/>
  <c r="W1575" i="31" s="1"/>
  <c r="Z1575" i="31" s="1" a="1"/>
  <c r="Z1575" i="31" s="1"/>
  <c r="X1575" i="31" a="1"/>
  <c r="X1575" i="31" s="1"/>
  <c r="W1574" i="31" a="1"/>
  <c r="W1574" i="31" s="1"/>
  <c r="Z1574" i="31" s="1" a="1"/>
  <c r="Z1574" i="31" s="1"/>
  <c r="X1574" i="31" a="1"/>
  <c r="X1574" i="31" s="1"/>
  <c r="W1573" i="31" a="1"/>
  <c r="W1573" i="31" s="1"/>
  <c r="Z1573" i="31" s="1" a="1"/>
  <c r="Z1573" i="31" s="1"/>
  <c r="X1573" i="31" a="1"/>
  <c r="X1573" i="31" s="1"/>
  <c r="W1572" i="31" a="1"/>
  <c r="W1572" i="31" s="1"/>
  <c r="Z1572" i="31" s="1" a="1"/>
  <c r="Z1572" i="31" s="1"/>
  <c r="X1572" i="31" a="1"/>
  <c r="X1572" i="31" s="1"/>
  <c r="W1571" i="31" a="1"/>
  <c r="W1571" i="31" s="1"/>
  <c r="Z1571" i="31" s="1" a="1"/>
  <c r="Z1571" i="31" s="1"/>
  <c r="X1571" i="31" a="1"/>
  <c r="X1571" i="31" s="1"/>
  <c r="W1570" i="31" a="1"/>
  <c r="W1570" i="31" s="1"/>
  <c r="Z1570" i="31" s="1" a="1"/>
  <c r="Z1570" i="31" s="1"/>
  <c r="X1570" i="31" a="1"/>
  <c r="X1570" i="31" s="1"/>
  <c r="W1569" i="31" a="1"/>
  <c r="W1569" i="31" s="1"/>
  <c r="Z1569" i="31" s="1" a="1"/>
  <c r="Z1569" i="31" s="1"/>
  <c r="X1569" i="31" a="1"/>
  <c r="X1569" i="31" s="1"/>
  <c r="W1568" i="31" a="1"/>
  <c r="W1568" i="31" s="1"/>
  <c r="Z1568" i="31" s="1" a="1"/>
  <c r="Z1568" i="31" s="1"/>
  <c r="X1568" i="31" a="1"/>
  <c r="X1568" i="31" s="1"/>
  <c r="W1567" i="31" a="1"/>
  <c r="W1567" i="31" s="1"/>
  <c r="Z1567" i="31" s="1" a="1"/>
  <c r="Z1567" i="31" s="1"/>
  <c r="X1567" i="31" a="1"/>
  <c r="X1567" i="31" s="1"/>
  <c r="W1566" i="31" a="1"/>
  <c r="W1566" i="31" s="1"/>
  <c r="Z1566" i="31" s="1" a="1"/>
  <c r="Z1566" i="31" s="1"/>
  <c r="X1566" i="31" a="1"/>
  <c r="X1566" i="31" s="1"/>
  <c r="W1565" i="31" a="1"/>
  <c r="W1565" i="31" s="1"/>
  <c r="Z1565" i="31" s="1" a="1"/>
  <c r="Z1565" i="31" s="1"/>
  <c r="X1565" i="31" a="1"/>
  <c r="X1565" i="31" s="1"/>
  <c r="W1564" i="31" a="1"/>
  <c r="W1564" i="31" s="1"/>
  <c r="Z1564" i="31" s="1" a="1"/>
  <c r="Z1564" i="31" s="1"/>
  <c r="X1564" i="31" a="1"/>
  <c r="X1564" i="31" s="1"/>
  <c r="W1563" i="31" a="1"/>
  <c r="W1563" i="31" s="1"/>
  <c r="Z1563" i="31" s="1" a="1"/>
  <c r="Z1563" i="31" s="1"/>
  <c r="X1563" i="31" a="1"/>
  <c r="X1563" i="31" s="1"/>
  <c r="W1562" i="31" a="1"/>
  <c r="W1562" i="31" s="1"/>
  <c r="Z1562" i="31" s="1" a="1"/>
  <c r="Z1562" i="31" s="1"/>
  <c r="X1562" i="31" a="1"/>
  <c r="X1562" i="31" s="1"/>
  <c r="W1561" i="31" a="1"/>
  <c r="W1561" i="31" s="1"/>
  <c r="Z1561" i="31" s="1" a="1"/>
  <c r="Z1561" i="31" s="1"/>
  <c r="X1561" i="31" a="1"/>
  <c r="X1561" i="31" s="1"/>
  <c r="W1560" i="31" a="1"/>
  <c r="W1560" i="31" s="1"/>
  <c r="Z1560" i="31" s="1" a="1"/>
  <c r="Z1560" i="31" s="1"/>
  <c r="X1560" i="31" a="1"/>
  <c r="X1560" i="31" s="1"/>
  <c r="W1559" i="31" a="1"/>
  <c r="W1559" i="31" s="1"/>
  <c r="Z1559" i="31" s="1" a="1"/>
  <c r="Z1559" i="31" s="1"/>
  <c r="X1559" i="31" a="1"/>
  <c r="X1559" i="31" s="1"/>
  <c r="W1558" i="31" a="1"/>
  <c r="W1558" i="31" s="1"/>
  <c r="Z1558" i="31" s="1" a="1"/>
  <c r="Z1558" i="31" s="1"/>
  <c r="X1558" i="31" a="1"/>
  <c r="X1558" i="31" s="1"/>
  <c r="W1557" i="31" a="1"/>
  <c r="W1557" i="31" s="1"/>
  <c r="Z1557" i="31" s="1" a="1"/>
  <c r="Z1557" i="31" s="1"/>
  <c r="X1557" i="31" a="1"/>
  <c r="X1557" i="31" s="1"/>
  <c r="W1556" i="31" a="1"/>
  <c r="W1556" i="31" s="1"/>
  <c r="Z1556" i="31" s="1" a="1"/>
  <c r="Z1556" i="31" s="1"/>
  <c r="X1556" i="31" a="1"/>
  <c r="X1556" i="31" s="1"/>
  <c r="W1555" i="31" a="1"/>
  <c r="W1555" i="31" s="1"/>
  <c r="Z1555" i="31" s="1" a="1"/>
  <c r="Z1555" i="31" s="1"/>
  <c r="X1555" i="31" a="1"/>
  <c r="X1555" i="31" s="1"/>
  <c r="W1554" i="31" a="1"/>
  <c r="W1554" i="31" s="1"/>
  <c r="Z1554" i="31" s="1" a="1"/>
  <c r="Z1554" i="31" s="1"/>
  <c r="X1554" i="31" a="1"/>
  <c r="X1554" i="31" s="1"/>
  <c r="W1553" i="31" a="1"/>
  <c r="W1553" i="31" s="1"/>
  <c r="Z1553" i="31" s="1" a="1"/>
  <c r="Z1553" i="31" s="1"/>
  <c r="X1553" i="31" a="1"/>
  <c r="X1553" i="31" s="1"/>
  <c r="W1552" i="31" a="1"/>
  <c r="W1552" i="31" s="1"/>
  <c r="Z1552" i="31" s="1" a="1"/>
  <c r="Z1552" i="31" s="1"/>
  <c r="X1552" i="31" a="1"/>
  <c r="X1552" i="31" s="1"/>
  <c r="W1551" i="31" a="1"/>
  <c r="W1551" i="31" s="1"/>
  <c r="Z1551" i="31" s="1" a="1"/>
  <c r="Z1551" i="31" s="1"/>
  <c r="X1551" i="31" a="1"/>
  <c r="X1551" i="31" s="1"/>
  <c r="W1550" i="31" a="1"/>
  <c r="W1550" i="31" s="1"/>
  <c r="Z1550" i="31" s="1" a="1"/>
  <c r="Z1550" i="31" s="1"/>
  <c r="X1550" i="31" a="1"/>
  <c r="X1550" i="31" s="1"/>
  <c r="W1549" i="31" a="1"/>
  <c r="W1549" i="31" s="1"/>
  <c r="Z1549" i="31" s="1" a="1"/>
  <c r="Z1549" i="31" s="1"/>
  <c r="X1549" i="31" a="1"/>
  <c r="X1549" i="31" s="1"/>
  <c r="W1548" i="31" a="1"/>
  <c r="W1548" i="31" s="1"/>
  <c r="Z1548" i="31" s="1" a="1"/>
  <c r="Z1548" i="31" s="1"/>
  <c r="X1548" i="31" a="1"/>
  <c r="X1548" i="31" s="1"/>
  <c r="W1547" i="31" a="1"/>
  <c r="W1547" i="31" s="1"/>
  <c r="Z1547" i="31" s="1" a="1"/>
  <c r="Z1547" i="31" s="1"/>
  <c r="X1547" i="31" a="1"/>
  <c r="X1547" i="31" s="1"/>
  <c r="W1546" i="31" a="1"/>
  <c r="W1546" i="31" s="1"/>
  <c r="Z1546" i="31" s="1" a="1"/>
  <c r="Z1546" i="31" s="1"/>
  <c r="X1546" i="31" a="1"/>
  <c r="X1546" i="31" s="1"/>
  <c r="W1545" i="31" a="1"/>
  <c r="W1545" i="31" s="1"/>
  <c r="Z1545" i="31" s="1" a="1"/>
  <c r="Z1545" i="31" s="1"/>
  <c r="X1545" i="31" a="1"/>
  <c r="X1545" i="31" s="1"/>
  <c r="W1544" i="31" a="1"/>
  <c r="W1544" i="31" s="1"/>
  <c r="Z1544" i="31" s="1" a="1"/>
  <c r="Z1544" i="31" s="1"/>
  <c r="X1544" i="31" a="1"/>
  <c r="X1544" i="31" s="1"/>
  <c r="W1543" i="31" a="1"/>
  <c r="W1543" i="31" s="1"/>
  <c r="Z1543" i="31" s="1" a="1"/>
  <c r="Z1543" i="31" s="1"/>
  <c r="X1543" i="31" a="1"/>
  <c r="X1543" i="31" s="1"/>
  <c r="W1542" i="31" a="1"/>
  <c r="W1542" i="31" s="1"/>
  <c r="Z1542" i="31" s="1" a="1"/>
  <c r="Z1542" i="31" s="1"/>
  <c r="X1542" i="31" a="1"/>
  <c r="X1542" i="31" s="1"/>
  <c r="W1541" i="31" a="1"/>
  <c r="W1541" i="31" s="1"/>
  <c r="Z1541" i="31" s="1" a="1"/>
  <c r="Z1541" i="31" s="1"/>
  <c r="X1541" i="31" a="1"/>
  <c r="X1541" i="31" s="1"/>
  <c r="W1540" i="31" a="1"/>
  <c r="W1540" i="31" s="1"/>
  <c r="Z1540" i="31" s="1" a="1"/>
  <c r="Z1540" i="31" s="1"/>
  <c r="X1540" i="31" a="1"/>
  <c r="X1540" i="31" s="1"/>
  <c r="W1539" i="31" a="1"/>
  <c r="W1539" i="31" s="1"/>
  <c r="Z1539" i="31" s="1" a="1"/>
  <c r="Z1539" i="31" s="1"/>
  <c r="X1539" i="31" a="1"/>
  <c r="X1539" i="31" s="1"/>
  <c r="W1538" i="31" a="1"/>
  <c r="W1538" i="31" s="1"/>
  <c r="Z1538" i="31" s="1" a="1"/>
  <c r="Z1538" i="31" s="1"/>
  <c r="X1538" i="31" a="1"/>
  <c r="X1538" i="31" s="1"/>
  <c r="W1537" i="31" a="1"/>
  <c r="W1537" i="31" s="1"/>
  <c r="Z1537" i="31" s="1" a="1"/>
  <c r="Z1537" i="31" s="1"/>
  <c r="X1537" i="31" a="1"/>
  <c r="X1537" i="31" s="1"/>
  <c r="W1536" i="31" a="1"/>
  <c r="W1536" i="31" s="1"/>
  <c r="Z1536" i="31" s="1" a="1"/>
  <c r="Z1536" i="31" s="1"/>
  <c r="X1536" i="31" a="1"/>
  <c r="X1536" i="31" s="1"/>
  <c r="W1535" i="31" a="1"/>
  <c r="W1535" i="31" s="1"/>
  <c r="Z1535" i="31" s="1" a="1"/>
  <c r="Z1535" i="31" s="1"/>
  <c r="X1535" i="31" a="1"/>
  <c r="X1535" i="31" s="1"/>
  <c r="W1534" i="31" a="1"/>
  <c r="W1534" i="31" s="1"/>
  <c r="Z1534" i="31" s="1" a="1"/>
  <c r="Z1534" i="31" s="1"/>
  <c r="X1534" i="31" a="1"/>
  <c r="X1534" i="31" s="1"/>
  <c r="W1533" i="31" a="1"/>
  <c r="W1533" i="31" s="1"/>
  <c r="Z1533" i="31" s="1" a="1"/>
  <c r="Z1533" i="31" s="1"/>
  <c r="X1533" i="31" a="1"/>
  <c r="X1533" i="31" s="1"/>
  <c r="W1532" i="31" a="1"/>
  <c r="W1532" i="31" s="1"/>
  <c r="Z1532" i="31" s="1" a="1"/>
  <c r="Z1532" i="31" s="1"/>
  <c r="X1532" i="31" a="1"/>
  <c r="X1532" i="31" s="1"/>
  <c r="W1531" i="31" a="1"/>
  <c r="W1531" i="31" s="1"/>
  <c r="Z1531" i="31" s="1" a="1"/>
  <c r="Z1531" i="31" s="1"/>
  <c r="X1531" i="31" a="1"/>
  <c r="X1531" i="31" s="1"/>
  <c r="W1530" i="31" a="1"/>
  <c r="W1530" i="31" s="1"/>
  <c r="Z1530" i="31" s="1" a="1"/>
  <c r="Z1530" i="31" s="1"/>
  <c r="X1530" i="31" a="1"/>
  <c r="X1530" i="31" s="1"/>
  <c r="W1529" i="31" a="1"/>
  <c r="W1529" i="31" s="1"/>
  <c r="Z1529" i="31" s="1" a="1"/>
  <c r="Z1529" i="31" s="1"/>
  <c r="X1529" i="31" a="1"/>
  <c r="X1529" i="31" s="1"/>
  <c r="W1528" i="31" a="1"/>
  <c r="W1528" i="31" s="1"/>
  <c r="Z1528" i="31" s="1" a="1"/>
  <c r="Z1528" i="31" s="1"/>
  <c r="X1528" i="31" a="1"/>
  <c r="X1528" i="31" s="1"/>
  <c r="W1527" i="31" a="1"/>
  <c r="W1527" i="31" s="1"/>
  <c r="Z1527" i="31" s="1" a="1"/>
  <c r="Z1527" i="31" s="1"/>
  <c r="X1527" i="31" a="1"/>
  <c r="X1527" i="31" s="1"/>
  <c r="W1526" i="31" a="1"/>
  <c r="W1526" i="31" s="1"/>
  <c r="Z1526" i="31" s="1" a="1"/>
  <c r="Z1526" i="31" s="1"/>
  <c r="X1526" i="31" a="1"/>
  <c r="X1526" i="31" s="1"/>
  <c r="W1525" i="31" a="1"/>
  <c r="W1525" i="31" s="1"/>
  <c r="Z1525" i="31" s="1" a="1"/>
  <c r="Z1525" i="31" s="1"/>
  <c r="X1525" i="31" a="1"/>
  <c r="X1525" i="31" s="1"/>
  <c r="W1524" i="31" a="1"/>
  <c r="W1524" i="31" s="1"/>
  <c r="Z1524" i="31" s="1" a="1"/>
  <c r="Z1524" i="31" s="1"/>
  <c r="X1524" i="31" a="1"/>
  <c r="X1524" i="31" s="1"/>
  <c r="W1523" i="31" a="1"/>
  <c r="W1523" i="31" s="1"/>
  <c r="Z1523" i="31" s="1" a="1"/>
  <c r="Z1523" i="31" s="1"/>
  <c r="X1523" i="31" a="1"/>
  <c r="X1523" i="31" s="1"/>
  <c r="W1522" i="31" a="1"/>
  <c r="W1522" i="31" s="1"/>
  <c r="Z1522" i="31" s="1" a="1"/>
  <c r="Z1522" i="31" s="1"/>
  <c r="X1522" i="31" a="1"/>
  <c r="X1522" i="31" s="1"/>
  <c r="W1521" i="31" a="1"/>
  <c r="W1521" i="31" s="1"/>
  <c r="Z1521" i="31" s="1" a="1"/>
  <c r="Z1521" i="31" s="1"/>
  <c r="X1521" i="31" a="1"/>
  <c r="X1521" i="31" s="1"/>
  <c r="W1520" i="31" a="1"/>
  <c r="W1520" i="31" s="1"/>
  <c r="Z1520" i="31" s="1" a="1"/>
  <c r="Z1520" i="31" s="1"/>
  <c r="X1520" i="31" a="1"/>
  <c r="X1520" i="31" s="1"/>
  <c r="W1519" i="31" a="1"/>
  <c r="W1519" i="31" s="1"/>
  <c r="Z1519" i="31" s="1" a="1"/>
  <c r="Z1519" i="31" s="1"/>
  <c r="X1519" i="31" a="1"/>
  <c r="X1519" i="31" s="1"/>
  <c r="W1518" i="31" a="1"/>
  <c r="W1518" i="31" s="1"/>
  <c r="Z1518" i="31" s="1" a="1"/>
  <c r="Z1518" i="31" s="1"/>
  <c r="X1518" i="31" a="1"/>
  <c r="X1518" i="31" s="1"/>
  <c r="W1517" i="31" a="1"/>
  <c r="W1517" i="31" s="1"/>
  <c r="Z1517" i="31" s="1" a="1"/>
  <c r="Z1517" i="31" s="1"/>
  <c r="X1517" i="31" a="1"/>
  <c r="X1517" i="31" s="1"/>
  <c r="W1516" i="31" a="1"/>
  <c r="W1516" i="31" s="1"/>
  <c r="Z1516" i="31" s="1" a="1"/>
  <c r="Z1516" i="31" s="1"/>
  <c r="X1516" i="31" a="1"/>
  <c r="X1516" i="31" s="1"/>
  <c r="W1515" i="31" a="1"/>
  <c r="W1515" i="31" s="1"/>
  <c r="Z1515" i="31" s="1" a="1"/>
  <c r="Z1515" i="31" s="1"/>
  <c r="X1515" i="31" a="1"/>
  <c r="X1515" i="31" s="1"/>
  <c r="W1514" i="31" a="1"/>
  <c r="W1514" i="31" s="1"/>
  <c r="Z1514" i="31" s="1" a="1"/>
  <c r="Z1514" i="31" s="1"/>
  <c r="X1514" i="31" a="1"/>
  <c r="X1514" i="31" s="1"/>
  <c r="W1513" i="31" a="1"/>
  <c r="W1513" i="31" s="1"/>
  <c r="Z1513" i="31" s="1" a="1"/>
  <c r="Z1513" i="31" s="1"/>
  <c r="X1513" i="31" a="1"/>
  <c r="X1513" i="31" s="1"/>
  <c r="W1512" i="31" a="1"/>
  <c r="W1512" i="31" s="1"/>
  <c r="Z1512" i="31" s="1" a="1"/>
  <c r="Z1512" i="31" s="1"/>
  <c r="X1512" i="31" a="1"/>
  <c r="X1512" i="31" s="1"/>
  <c r="W1511" i="31" a="1"/>
  <c r="W1511" i="31" s="1"/>
  <c r="Z1511" i="31" s="1" a="1"/>
  <c r="Z1511" i="31" s="1"/>
  <c r="X1511" i="31" a="1"/>
  <c r="X1511" i="31" s="1"/>
  <c r="W1510" i="31" a="1"/>
  <c r="W1510" i="31" s="1"/>
  <c r="Z1510" i="31" s="1" a="1"/>
  <c r="Z1510" i="31" s="1"/>
  <c r="X1510" i="31" a="1"/>
  <c r="X1510" i="31" s="1"/>
  <c r="W1509" i="31" a="1"/>
  <c r="W1509" i="31" s="1"/>
  <c r="Z1509" i="31" s="1" a="1"/>
  <c r="Z1509" i="31" s="1"/>
  <c r="X1509" i="31" a="1"/>
  <c r="X1509" i="31" s="1"/>
  <c r="W1508" i="31" a="1"/>
  <c r="W1508" i="31" s="1"/>
  <c r="Z1508" i="31" s="1" a="1"/>
  <c r="Z1508" i="31" s="1"/>
  <c r="X1508" i="31" a="1"/>
  <c r="X1508" i="31" s="1"/>
  <c r="W1507" i="31" a="1"/>
  <c r="W1507" i="31" s="1"/>
  <c r="Z1507" i="31" s="1" a="1"/>
  <c r="Z1507" i="31" s="1"/>
  <c r="X1507" i="31" a="1"/>
  <c r="X1507" i="31" s="1"/>
  <c r="W1506" i="31" a="1"/>
  <c r="W1506" i="31" s="1"/>
  <c r="Z1506" i="31" s="1" a="1"/>
  <c r="Z1506" i="31" s="1"/>
  <c r="X1506" i="31" a="1"/>
  <c r="X1506" i="31" s="1"/>
  <c r="W1505" i="31" a="1"/>
  <c r="W1505" i="31" s="1"/>
  <c r="Z1505" i="31" s="1" a="1"/>
  <c r="Z1505" i="31" s="1"/>
  <c r="X1505" i="31" a="1"/>
  <c r="X1505" i="31" s="1"/>
  <c r="W1504" i="31" a="1"/>
  <c r="W1504" i="31" s="1"/>
  <c r="Z1504" i="31" s="1" a="1"/>
  <c r="Z1504" i="31" s="1"/>
  <c r="X1504" i="31" a="1"/>
  <c r="X1504" i="31" s="1"/>
  <c r="W1503" i="31" a="1"/>
  <c r="W1503" i="31" s="1"/>
  <c r="Z1503" i="31" s="1" a="1"/>
  <c r="Z1503" i="31" s="1"/>
  <c r="X1503" i="31" a="1"/>
  <c r="X1503" i="31" s="1"/>
  <c r="W1502" i="31" a="1"/>
  <c r="W1502" i="31" s="1"/>
  <c r="Z1502" i="31" s="1" a="1"/>
  <c r="Z1502" i="31" s="1"/>
  <c r="X1502" i="31" a="1"/>
  <c r="X1502" i="31" s="1"/>
  <c r="W1501" i="31" a="1"/>
  <c r="W1501" i="31" s="1"/>
  <c r="Z1501" i="31" s="1" a="1"/>
  <c r="Z1501" i="31" s="1"/>
  <c r="X1501" i="31" a="1"/>
  <c r="X1501" i="31" s="1"/>
  <c r="W1500" i="31" a="1"/>
  <c r="W1500" i="31" s="1"/>
  <c r="Z1500" i="31" s="1" a="1"/>
  <c r="Z1500" i="31" s="1"/>
  <c r="X1500" i="31" a="1"/>
  <c r="X1500" i="31" s="1"/>
  <c r="W1499" i="31" a="1"/>
  <c r="W1499" i="31" s="1"/>
  <c r="Z1499" i="31" s="1" a="1"/>
  <c r="Z1499" i="31" s="1"/>
  <c r="X1499" i="31" a="1"/>
  <c r="X1499" i="31" s="1"/>
  <c r="W1498" i="31" a="1"/>
  <c r="W1498" i="31" s="1"/>
  <c r="Z1498" i="31" s="1" a="1"/>
  <c r="Z1498" i="31" s="1"/>
  <c r="X1498" i="31" a="1"/>
  <c r="X1498" i="31" s="1"/>
  <c r="W1497" i="31" a="1"/>
  <c r="W1497" i="31" s="1"/>
  <c r="Z1497" i="31" s="1" a="1"/>
  <c r="Z1497" i="31" s="1"/>
  <c r="X1497" i="31" a="1"/>
  <c r="X1497" i="31" s="1"/>
  <c r="W1496" i="31" a="1"/>
  <c r="W1496" i="31" s="1"/>
  <c r="Z1496" i="31" s="1" a="1"/>
  <c r="Z1496" i="31" s="1"/>
  <c r="X1496" i="31" a="1"/>
  <c r="X1496" i="31" s="1"/>
  <c r="W1495" i="31" a="1"/>
  <c r="W1495" i="31" s="1"/>
  <c r="Z1495" i="31" s="1" a="1"/>
  <c r="Z1495" i="31" s="1"/>
  <c r="X1495" i="31" a="1"/>
  <c r="X1495" i="31" s="1"/>
  <c r="W1494" i="31" a="1"/>
  <c r="W1494" i="31" s="1"/>
  <c r="Z1494" i="31" s="1" a="1"/>
  <c r="Z1494" i="31" s="1"/>
  <c r="X1494" i="31" a="1"/>
  <c r="X1494" i="31" s="1"/>
  <c r="W1493" i="31" a="1"/>
  <c r="W1493" i="31" s="1"/>
  <c r="Z1493" i="31" s="1" a="1"/>
  <c r="Z1493" i="31" s="1"/>
  <c r="X1493" i="31" a="1"/>
  <c r="X1493" i="31" s="1"/>
  <c r="W1492" i="31" a="1"/>
  <c r="W1492" i="31" s="1"/>
  <c r="Z1492" i="31" s="1" a="1"/>
  <c r="Z1492" i="31" s="1"/>
  <c r="X1492" i="31" a="1"/>
  <c r="X1492" i="31" s="1"/>
  <c r="W1491" i="31" a="1"/>
  <c r="W1491" i="31" s="1"/>
  <c r="Z1491" i="31" s="1" a="1"/>
  <c r="Z1491" i="31" s="1"/>
  <c r="X1491" i="31" a="1"/>
  <c r="X1491" i="31" s="1"/>
  <c r="W1490" i="31" a="1"/>
  <c r="W1490" i="31" s="1"/>
  <c r="Z1490" i="31" s="1" a="1"/>
  <c r="Z1490" i="31" s="1"/>
  <c r="X1490" i="31" a="1"/>
  <c r="X1490" i="31" s="1"/>
  <c r="W1489" i="31" a="1"/>
  <c r="W1489" i="31" s="1"/>
  <c r="Z1489" i="31" s="1" a="1"/>
  <c r="Z1489" i="31" s="1"/>
  <c r="X1489" i="31" a="1"/>
  <c r="X1489" i="31" s="1"/>
  <c r="W1488" i="31" a="1"/>
  <c r="W1488" i="31" s="1"/>
  <c r="Z1488" i="31" s="1" a="1"/>
  <c r="Z1488" i="31" s="1"/>
  <c r="X1488" i="31" a="1"/>
  <c r="X1488" i="31" s="1"/>
  <c r="W1487" i="31" a="1"/>
  <c r="W1487" i="31" s="1"/>
  <c r="Z1487" i="31" s="1" a="1"/>
  <c r="Z1487" i="31" s="1"/>
  <c r="X1487" i="31" a="1"/>
  <c r="X1487" i="31" s="1"/>
  <c r="W1486" i="31" a="1"/>
  <c r="W1486" i="31" s="1"/>
  <c r="Z1486" i="31" s="1" a="1"/>
  <c r="Z1486" i="31" s="1"/>
  <c r="X1486" i="31" a="1"/>
  <c r="X1486" i="31" s="1"/>
  <c r="W1485" i="31" a="1"/>
  <c r="W1485" i="31" s="1"/>
  <c r="Z1485" i="31" s="1" a="1"/>
  <c r="Z1485" i="31" s="1"/>
  <c r="X1485" i="31" a="1"/>
  <c r="X1485" i="31" s="1"/>
  <c r="W1484" i="31" a="1"/>
  <c r="W1484" i="31" s="1"/>
  <c r="Z1484" i="31" s="1" a="1"/>
  <c r="Z1484" i="31" s="1"/>
  <c r="X1484" i="31" a="1"/>
  <c r="X1484" i="31" s="1"/>
  <c r="W1483" i="31" a="1"/>
  <c r="W1483" i="31" s="1"/>
  <c r="Z1483" i="31" s="1" a="1"/>
  <c r="Z1483" i="31" s="1"/>
  <c r="X1483" i="31" a="1"/>
  <c r="X1483" i="31" s="1"/>
  <c r="W1482" i="31" a="1"/>
  <c r="W1482" i="31" s="1"/>
  <c r="Z1482" i="31" s="1" a="1"/>
  <c r="Z1482" i="31" s="1"/>
  <c r="X1482" i="31" a="1"/>
  <c r="X1482" i="31" s="1"/>
  <c r="W1481" i="31" a="1"/>
  <c r="W1481" i="31" s="1"/>
  <c r="Z1481" i="31" s="1" a="1"/>
  <c r="Z1481" i="31" s="1"/>
  <c r="X1481" i="31" a="1"/>
  <c r="X1481" i="31" s="1"/>
  <c r="W1480" i="31" a="1"/>
  <c r="W1480" i="31" s="1"/>
  <c r="Z1480" i="31" s="1" a="1"/>
  <c r="Z1480" i="31" s="1"/>
  <c r="X1480" i="31" a="1"/>
  <c r="X1480" i="31" s="1"/>
  <c r="W1479" i="31" a="1"/>
  <c r="W1479" i="31" s="1"/>
  <c r="Z1479" i="31" s="1" a="1"/>
  <c r="Z1479" i="31" s="1"/>
  <c r="X1479" i="31" a="1"/>
  <c r="X1479" i="31" s="1"/>
  <c r="W1478" i="31" a="1"/>
  <c r="W1478" i="31" s="1"/>
  <c r="Z1478" i="31" s="1" a="1"/>
  <c r="Z1478" i="31" s="1"/>
  <c r="X1478" i="31" a="1"/>
  <c r="X1478" i="31" s="1"/>
  <c r="W1477" i="31" a="1"/>
  <c r="W1477" i="31" s="1"/>
  <c r="Z1477" i="31" s="1" a="1"/>
  <c r="Z1477" i="31" s="1"/>
  <c r="X1477" i="31" a="1"/>
  <c r="X1477" i="31" s="1"/>
  <c r="W1476" i="31" a="1"/>
  <c r="W1476" i="31" s="1"/>
  <c r="Z1476" i="31" s="1" a="1"/>
  <c r="Z1476" i="31" s="1"/>
  <c r="X1476" i="31" a="1"/>
  <c r="X1476" i="31" s="1"/>
  <c r="W1475" i="31" a="1"/>
  <c r="W1475" i="31" s="1"/>
  <c r="Z1475" i="31" s="1" a="1"/>
  <c r="Z1475" i="31" s="1"/>
  <c r="X1475" i="31" a="1"/>
  <c r="X1475" i="31" s="1"/>
  <c r="W1474" i="31" a="1"/>
  <c r="W1474" i="31" s="1"/>
  <c r="Z1474" i="31" s="1" a="1"/>
  <c r="Z1474" i="31" s="1"/>
  <c r="X1474" i="31" a="1"/>
  <c r="X1474" i="31" s="1"/>
  <c r="W1473" i="31" a="1"/>
  <c r="W1473" i="31" s="1"/>
  <c r="Z1473" i="31" s="1" a="1"/>
  <c r="Z1473" i="31" s="1"/>
  <c r="X1473" i="31" a="1"/>
  <c r="X1473" i="31" s="1"/>
  <c r="W1472" i="31" a="1"/>
  <c r="W1472" i="31" s="1"/>
  <c r="Z1472" i="31" s="1" a="1"/>
  <c r="Z1472" i="31" s="1"/>
  <c r="X1472" i="31" a="1"/>
  <c r="X1472" i="31" s="1"/>
  <c r="W1471" i="31" a="1"/>
  <c r="W1471" i="31" s="1"/>
  <c r="Z1471" i="31" s="1" a="1"/>
  <c r="Z1471" i="31" s="1"/>
  <c r="X1471" i="31" a="1"/>
  <c r="X1471" i="31" s="1"/>
  <c r="W1470" i="31" a="1"/>
  <c r="W1470" i="31" s="1"/>
  <c r="Z1470" i="31" s="1" a="1"/>
  <c r="Z1470" i="31" s="1"/>
  <c r="X1470" i="31" a="1"/>
  <c r="X1470" i="31" s="1"/>
  <c r="W1469" i="31" a="1"/>
  <c r="W1469" i="31" s="1"/>
  <c r="Z1469" i="31" s="1" a="1"/>
  <c r="Z1469" i="31" s="1"/>
  <c r="X1469" i="31" a="1"/>
  <c r="X1469" i="31" s="1"/>
  <c r="W1468" i="31" a="1"/>
  <c r="W1468" i="31" s="1"/>
  <c r="Z1468" i="31" s="1" a="1"/>
  <c r="Z1468" i="31" s="1"/>
  <c r="X1468" i="31" a="1"/>
  <c r="X1468" i="31" s="1"/>
  <c r="W1467" i="31" a="1"/>
  <c r="W1467" i="31" s="1"/>
  <c r="Z1467" i="31" s="1" a="1"/>
  <c r="Z1467" i="31" s="1"/>
  <c r="X1467" i="31" a="1"/>
  <c r="X1467" i="31" s="1"/>
  <c r="W1466" i="31" a="1"/>
  <c r="W1466" i="31" s="1"/>
  <c r="Z1466" i="31" s="1" a="1"/>
  <c r="Z1466" i="31" s="1"/>
  <c r="X1466" i="31" a="1"/>
  <c r="X1466" i="31" s="1"/>
  <c r="W1465" i="31" a="1"/>
  <c r="W1465" i="31" s="1"/>
  <c r="Z1465" i="31" s="1" a="1"/>
  <c r="Z1465" i="31" s="1"/>
  <c r="X1465" i="31" a="1"/>
  <c r="X1465" i="31" s="1"/>
  <c r="W1464" i="31" a="1"/>
  <c r="W1464" i="31" s="1"/>
  <c r="Z1464" i="31" s="1" a="1"/>
  <c r="Z1464" i="31" s="1"/>
  <c r="X1464" i="31" a="1"/>
  <c r="X1464" i="31" s="1"/>
  <c r="W1463" i="31" a="1"/>
  <c r="W1463" i="31" s="1"/>
  <c r="Z1463" i="31" s="1" a="1"/>
  <c r="Z1463" i="31" s="1"/>
  <c r="X1463" i="31" a="1"/>
  <c r="X1463" i="31" s="1"/>
  <c r="W1462" i="31" a="1"/>
  <c r="W1462" i="31" s="1"/>
  <c r="Z1462" i="31" s="1" a="1"/>
  <c r="Z1462" i="31" s="1"/>
  <c r="X1462" i="31" a="1"/>
  <c r="X1462" i="31" s="1"/>
  <c r="W1461" i="31" a="1"/>
  <c r="W1461" i="31" s="1"/>
  <c r="Z1461" i="31" s="1" a="1"/>
  <c r="Z1461" i="31" s="1"/>
  <c r="X1461" i="31" a="1"/>
  <c r="X1461" i="31" s="1"/>
  <c r="W1460" i="31" a="1"/>
  <c r="W1460" i="31" s="1"/>
  <c r="Z1460" i="31" s="1" a="1"/>
  <c r="Z1460" i="31" s="1"/>
  <c r="X1460" i="31" a="1"/>
  <c r="X1460" i="31" s="1"/>
  <c r="W1459" i="31" a="1"/>
  <c r="W1459" i="31" s="1"/>
  <c r="Z1459" i="31" s="1" a="1"/>
  <c r="Z1459" i="31" s="1"/>
  <c r="X1459" i="31" a="1"/>
  <c r="X1459" i="31" s="1"/>
  <c r="W1458" i="31" a="1"/>
  <c r="W1458" i="31" s="1"/>
  <c r="Z1458" i="31" s="1" a="1"/>
  <c r="Z1458" i="31" s="1"/>
  <c r="X1458" i="31" a="1"/>
  <c r="X1458" i="31" s="1"/>
  <c r="W1457" i="31" a="1"/>
  <c r="W1457" i="31" s="1"/>
  <c r="Z1457" i="31" s="1" a="1"/>
  <c r="Z1457" i="31" s="1"/>
  <c r="X1457" i="31" a="1"/>
  <c r="X1457" i="31" s="1"/>
  <c r="W1456" i="31" a="1"/>
  <c r="W1456" i="31" s="1"/>
  <c r="Z1456" i="31" s="1" a="1"/>
  <c r="Z1456" i="31" s="1"/>
  <c r="X1456" i="31" a="1"/>
  <c r="X1456" i="31" s="1"/>
  <c r="W1455" i="31" a="1"/>
  <c r="W1455" i="31" s="1"/>
  <c r="Z1455" i="31" s="1" a="1"/>
  <c r="Z1455" i="31" s="1"/>
  <c r="X1455" i="31" a="1"/>
  <c r="X1455" i="31" s="1"/>
  <c r="W1454" i="31" a="1"/>
  <c r="W1454" i="31" s="1"/>
  <c r="Z1454" i="31" s="1" a="1"/>
  <c r="Z1454" i="31" s="1"/>
  <c r="X1454" i="31" a="1"/>
  <c r="X1454" i="31" s="1"/>
  <c r="W1453" i="31" a="1"/>
  <c r="W1453" i="31" s="1"/>
  <c r="Z1453" i="31" s="1" a="1"/>
  <c r="Z1453" i="31" s="1"/>
  <c r="X1453" i="31" a="1"/>
  <c r="X1453" i="31" s="1"/>
  <c r="W1452" i="31" a="1"/>
  <c r="W1452" i="31" s="1"/>
  <c r="Z1452" i="31" s="1" a="1"/>
  <c r="Z1452" i="31" s="1"/>
  <c r="X1452" i="31" a="1"/>
  <c r="X1452" i="31" s="1"/>
  <c r="W1451" i="31" a="1"/>
  <c r="W1451" i="31" s="1"/>
  <c r="Z1451" i="31" s="1" a="1"/>
  <c r="Z1451" i="31" s="1"/>
  <c r="X1451" i="31" a="1"/>
  <c r="X1451" i="31" s="1"/>
  <c r="W1450" i="31" a="1"/>
  <c r="W1450" i="31" s="1"/>
  <c r="Z1450" i="31" s="1" a="1"/>
  <c r="Z1450" i="31" s="1"/>
  <c r="X1450" i="31" a="1"/>
  <c r="X1450" i="31" s="1"/>
  <c r="W1449" i="31" a="1"/>
  <c r="W1449" i="31" s="1"/>
  <c r="Z1449" i="31" s="1" a="1"/>
  <c r="Z1449" i="31" s="1"/>
  <c r="X1449" i="31" a="1"/>
  <c r="X1449" i="31" s="1"/>
  <c r="W1448" i="31" a="1"/>
  <c r="W1448" i="31" s="1"/>
  <c r="Z1448" i="31" s="1" a="1"/>
  <c r="Z1448" i="31" s="1"/>
  <c r="X1448" i="31" a="1"/>
  <c r="X1448" i="31" s="1"/>
  <c r="W1447" i="31" a="1"/>
  <c r="W1447" i="31" s="1"/>
  <c r="Z1447" i="31" s="1" a="1"/>
  <c r="Z1447" i="31" s="1"/>
  <c r="X1447" i="31" a="1"/>
  <c r="X1447" i="31" s="1"/>
  <c r="W1446" i="31" a="1"/>
  <c r="W1446" i="31" s="1"/>
  <c r="Z1446" i="31" s="1" a="1"/>
  <c r="Z1446" i="31" s="1"/>
  <c r="X1446" i="31" a="1"/>
  <c r="X1446" i="31" s="1"/>
  <c r="W1445" i="31" a="1"/>
  <c r="W1445" i="31" s="1"/>
  <c r="Z1445" i="31" s="1" a="1"/>
  <c r="Z1445" i="31" s="1"/>
  <c r="X1445" i="31" a="1"/>
  <c r="X1445" i="31" s="1"/>
  <c r="W1444" i="31" a="1"/>
  <c r="W1444" i="31" s="1"/>
  <c r="Z1444" i="31" s="1" a="1"/>
  <c r="Z1444" i="31" s="1"/>
  <c r="X1444" i="31" a="1"/>
  <c r="X1444" i="31" s="1"/>
  <c r="W1443" i="31" a="1"/>
  <c r="W1443" i="31" s="1"/>
  <c r="Z1443" i="31" s="1" a="1"/>
  <c r="Z1443" i="31" s="1"/>
  <c r="X1443" i="31" a="1"/>
  <c r="X1443" i="31" s="1"/>
  <c r="W1442" i="31" a="1"/>
  <c r="W1442" i="31" s="1"/>
  <c r="Z1442" i="31" s="1" a="1"/>
  <c r="Z1442" i="31" s="1"/>
  <c r="X1442" i="31" a="1"/>
  <c r="X1442" i="31" s="1"/>
  <c r="W1441" i="31" a="1"/>
  <c r="W1441" i="31" s="1"/>
  <c r="Z1441" i="31" s="1" a="1"/>
  <c r="Z1441" i="31" s="1"/>
  <c r="X1441" i="31" a="1"/>
  <c r="X1441" i="31" s="1"/>
  <c r="W1440" i="31" a="1"/>
  <c r="W1440" i="31" s="1"/>
  <c r="Z1440" i="31" s="1" a="1"/>
  <c r="Z1440" i="31" s="1"/>
  <c r="X1440" i="31" a="1"/>
  <c r="X1440" i="31" s="1"/>
  <c r="W1439" i="31" a="1"/>
  <c r="W1439" i="31" s="1"/>
  <c r="Z1439" i="31" s="1" a="1"/>
  <c r="Z1439" i="31" s="1"/>
  <c r="X1439" i="31" a="1"/>
  <c r="X1439" i="31" s="1"/>
  <c r="W1438" i="31" a="1"/>
  <c r="W1438" i="31" s="1"/>
  <c r="Z1438" i="31" s="1" a="1"/>
  <c r="Z1438" i="31" s="1"/>
  <c r="X1438" i="31" a="1"/>
  <c r="X1438" i="31" s="1"/>
  <c r="W1437" i="31" a="1"/>
  <c r="W1437" i="31" s="1"/>
  <c r="Z1437" i="31" s="1" a="1"/>
  <c r="Z1437" i="31" s="1"/>
  <c r="X1437" i="31" a="1"/>
  <c r="X1437" i="31" s="1"/>
  <c r="W1436" i="31" a="1"/>
  <c r="W1436" i="31" s="1"/>
  <c r="Z1436" i="31" s="1" a="1"/>
  <c r="Z1436" i="31" s="1"/>
  <c r="X1436" i="31" a="1"/>
  <c r="X1436" i="31" s="1"/>
  <c r="W1435" i="31" a="1"/>
  <c r="W1435" i="31" s="1"/>
  <c r="Z1435" i="31" s="1" a="1"/>
  <c r="Z1435" i="31" s="1"/>
  <c r="X1435" i="31" a="1"/>
  <c r="X1435" i="31" s="1"/>
  <c r="W1434" i="31" a="1"/>
  <c r="W1434" i="31" s="1"/>
  <c r="Z1434" i="31" s="1" a="1"/>
  <c r="Z1434" i="31" s="1"/>
  <c r="X1434" i="31" a="1"/>
  <c r="X1434" i="31" s="1"/>
  <c r="W1433" i="31" a="1"/>
  <c r="W1433" i="31" s="1"/>
  <c r="Z1433" i="31" s="1" a="1"/>
  <c r="Z1433" i="31" s="1"/>
  <c r="X1433" i="31" a="1"/>
  <c r="X1433" i="31" s="1"/>
  <c r="W1432" i="31" a="1"/>
  <c r="W1432" i="31" s="1"/>
  <c r="Z1432" i="31" s="1" a="1"/>
  <c r="Z1432" i="31" s="1"/>
  <c r="X1432" i="31" a="1"/>
  <c r="X1432" i="31" s="1"/>
  <c r="W1431" i="31" a="1"/>
  <c r="W1431" i="31" s="1"/>
  <c r="Z1431" i="31" s="1" a="1"/>
  <c r="Z1431" i="31" s="1"/>
  <c r="X1431" i="31" a="1"/>
  <c r="X1431" i="31" s="1"/>
  <c r="W1430" i="31" a="1"/>
  <c r="W1430" i="31" s="1"/>
  <c r="Z1430" i="31" s="1" a="1"/>
  <c r="Z1430" i="31" s="1"/>
  <c r="X1430" i="31" a="1"/>
  <c r="X1430" i="31" s="1"/>
  <c r="W1429" i="31" a="1"/>
  <c r="W1429" i="31" s="1"/>
  <c r="Z1429" i="31" s="1" a="1"/>
  <c r="Z1429" i="31" s="1"/>
  <c r="X1429" i="31" a="1"/>
  <c r="X1429" i="31" s="1"/>
  <c r="W1428" i="31" a="1"/>
  <c r="W1428" i="31" s="1"/>
  <c r="Z1428" i="31" s="1" a="1"/>
  <c r="Z1428" i="31" s="1"/>
  <c r="X1428" i="31" a="1"/>
  <c r="X1428" i="31" s="1"/>
  <c r="W1427" i="31" a="1"/>
  <c r="W1427" i="31" s="1"/>
  <c r="Z1427" i="31" s="1" a="1"/>
  <c r="Z1427" i="31" s="1"/>
  <c r="X1427" i="31" a="1"/>
  <c r="X1427" i="31" s="1"/>
  <c r="W1426" i="31" a="1"/>
  <c r="W1426" i="31" s="1"/>
  <c r="Z1426" i="31" s="1" a="1"/>
  <c r="Z1426" i="31" s="1"/>
  <c r="X1426" i="31" a="1"/>
  <c r="X1426" i="31" s="1"/>
  <c r="W1425" i="31" a="1"/>
  <c r="W1425" i="31" s="1"/>
  <c r="Z1425" i="31" s="1" a="1"/>
  <c r="Z1425" i="31" s="1"/>
  <c r="X1425" i="31" a="1"/>
  <c r="X1425" i="31" s="1"/>
  <c r="W1424" i="31" a="1"/>
  <c r="W1424" i="31" s="1"/>
  <c r="Z1424" i="31" s="1" a="1"/>
  <c r="Z1424" i="31" s="1"/>
  <c r="X1424" i="31" a="1"/>
  <c r="X1424" i="31" s="1"/>
  <c r="W1423" i="31" a="1"/>
  <c r="W1423" i="31" s="1"/>
  <c r="Z1423" i="31" s="1" a="1"/>
  <c r="Z1423" i="31" s="1"/>
  <c r="X1423" i="31" a="1"/>
  <c r="X1423" i="31" s="1"/>
  <c r="W1422" i="31" a="1"/>
  <c r="W1422" i="31" s="1"/>
  <c r="Z1422" i="31" s="1" a="1"/>
  <c r="Z1422" i="31" s="1"/>
  <c r="X1422" i="31" a="1"/>
  <c r="X1422" i="31" s="1"/>
  <c r="W1421" i="31" a="1"/>
  <c r="W1421" i="31" s="1"/>
  <c r="Z1421" i="31" s="1" a="1"/>
  <c r="Z1421" i="31" s="1"/>
  <c r="X1421" i="31" a="1"/>
  <c r="X1421" i="31" s="1"/>
  <c r="W1420" i="31" a="1"/>
  <c r="W1420" i="31" s="1"/>
  <c r="Z1420" i="31" s="1" a="1"/>
  <c r="Z1420" i="31" s="1"/>
  <c r="X1420" i="31" a="1"/>
  <c r="X1420" i="31" s="1"/>
  <c r="W1419" i="31" a="1"/>
  <c r="W1419" i="31" s="1"/>
  <c r="Z1419" i="31" s="1" a="1"/>
  <c r="Z1419" i="31" s="1"/>
  <c r="X1419" i="31" a="1"/>
  <c r="X1419" i="31" s="1"/>
  <c r="W1418" i="31" a="1"/>
  <c r="W1418" i="31" s="1"/>
  <c r="Z1418" i="31" s="1" a="1"/>
  <c r="Z1418" i="31" s="1"/>
  <c r="X1418" i="31" a="1"/>
  <c r="X1418" i="31" s="1"/>
  <c r="W1417" i="31" a="1"/>
  <c r="W1417" i="31" s="1"/>
  <c r="Z1417" i="31" s="1" a="1"/>
  <c r="Z1417" i="31" s="1"/>
  <c r="X1417" i="31" a="1"/>
  <c r="X1417" i="31" s="1"/>
  <c r="W1416" i="31" a="1"/>
  <c r="W1416" i="31" s="1"/>
  <c r="Z1416" i="31" s="1" a="1"/>
  <c r="Z1416" i="31" s="1"/>
  <c r="X1416" i="31" a="1"/>
  <c r="X1416" i="31" s="1"/>
  <c r="W1415" i="31" a="1"/>
  <c r="W1415" i="31" s="1"/>
  <c r="Z1415" i="31" s="1" a="1"/>
  <c r="Z1415" i="31" s="1"/>
  <c r="X1415" i="31" a="1"/>
  <c r="X1415" i="31" s="1"/>
  <c r="W1414" i="31" a="1"/>
  <c r="W1414" i="31" s="1"/>
  <c r="Z1414" i="31" s="1" a="1"/>
  <c r="Z1414" i="31" s="1"/>
  <c r="X1414" i="31" a="1"/>
  <c r="X1414" i="31" s="1"/>
  <c r="W1413" i="31" a="1"/>
  <c r="W1413" i="31" s="1"/>
  <c r="Z1413" i="31" s="1" a="1"/>
  <c r="Z1413" i="31" s="1"/>
  <c r="X1413" i="31" a="1"/>
  <c r="X1413" i="31" s="1"/>
  <c r="W1412" i="31" a="1"/>
  <c r="W1412" i="31" s="1"/>
  <c r="Z1412" i="31" s="1" a="1"/>
  <c r="Z1412" i="31" s="1"/>
  <c r="X1412" i="31" a="1"/>
  <c r="X1412" i="31" s="1"/>
  <c r="W1411" i="31" a="1"/>
  <c r="W1411" i="31" s="1"/>
  <c r="Z1411" i="31" s="1" a="1"/>
  <c r="Z1411" i="31" s="1"/>
  <c r="X1411" i="31" a="1"/>
  <c r="X1411" i="31" s="1"/>
  <c r="W1410" i="31" a="1"/>
  <c r="W1410" i="31" s="1"/>
  <c r="Z1410" i="31" s="1" a="1"/>
  <c r="Z1410" i="31" s="1"/>
  <c r="X1410" i="31" a="1"/>
  <c r="X1410" i="31" s="1"/>
  <c r="W1409" i="31" a="1"/>
  <c r="W1409" i="31" s="1"/>
  <c r="Z1409" i="31" s="1" a="1"/>
  <c r="Z1409" i="31" s="1"/>
  <c r="X1409" i="31" a="1"/>
  <c r="X1409" i="31" s="1"/>
  <c r="W1408" i="31" a="1"/>
  <c r="W1408" i="31" s="1"/>
  <c r="Z1408" i="31" s="1" a="1"/>
  <c r="Z1408" i="31" s="1"/>
  <c r="X1408" i="31" a="1"/>
  <c r="X1408" i="31" s="1"/>
  <c r="W1407" i="31" a="1"/>
  <c r="W1407" i="31" s="1"/>
  <c r="Z1407" i="31" s="1" a="1"/>
  <c r="Z1407" i="31" s="1"/>
  <c r="X1407" i="31" a="1"/>
  <c r="X1407" i="31" s="1"/>
  <c r="W1406" i="31" a="1"/>
  <c r="W1406" i="31" s="1"/>
  <c r="Z1406" i="31" s="1" a="1"/>
  <c r="Z1406" i="31" s="1"/>
  <c r="X1406" i="31" a="1"/>
  <c r="X1406" i="31" s="1"/>
  <c r="W1405" i="31" a="1"/>
  <c r="W1405" i="31" s="1"/>
  <c r="Z1405" i="31" s="1" a="1"/>
  <c r="Z1405" i="31" s="1"/>
  <c r="X1405" i="31" a="1"/>
  <c r="X1405" i="31" s="1"/>
  <c r="W1404" i="31" a="1"/>
  <c r="W1404" i="31" s="1"/>
  <c r="Z1404" i="31" s="1" a="1"/>
  <c r="Z1404" i="31" s="1"/>
  <c r="X1404" i="31" a="1"/>
  <c r="X1404" i="31" s="1"/>
  <c r="W1403" i="31" a="1"/>
  <c r="W1403" i="31" s="1"/>
  <c r="Z1403" i="31" s="1" a="1"/>
  <c r="Z1403" i="31" s="1"/>
  <c r="X1403" i="31" a="1"/>
  <c r="X1403" i="31" s="1"/>
  <c r="W1402" i="31" a="1"/>
  <c r="W1402" i="31" s="1"/>
  <c r="Z1402" i="31" s="1" a="1"/>
  <c r="Z1402" i="31" s="1"/>
  <c r="X1402" i="31" a="1"/>
  <c r="X1402" i="31" s="1"/>
  <c r="W1401" i="31" a="1"/>
  <c r="W1401" i="31" s="1"/>
  <c r="Z1401" i="31" s="1" a="1"/>
  <c r="Z1401" i="31" s="1"/>
  <c r="X1401" i="31" a="1"/>
  <c r="X1401" i="31" s="1"/>
  <c r="W1400" i="31" a="1"/>
  <c r="W1400" i="31" s="1"/>
  <c r="Z1400" i="31" s="1" a="1"/>
  <c r="Z1400" i="31" s="1"/>
  <c r="X1400" i="31" a="1"/>
  <c r="X1400" i="31" s="1"/>
  <c r="W1399" i="31" a="1"/>
  <c r="W1399" i="31" s="1"/>
  <c r="Z1399" i="31" s="1" a="1"/>
  <c r="Z1399" i="31" s="1"/>
  <c r="X1399" i="31" a="1"/>
  <c r="X1399" i="31" s="1"/>
  <c r="W1398" i="31" a="1"/>
  <c r="W1398" i="31" s="1"/>
  <c r="Z1398" i="31" s="1" a="1"/>
  <c r="Z1398" i="31" s="1"/>
  <c r="X1398" i="31" a="1"/>
  <c r="X1398" i="31" s="1"/>
  <c r="W1397" i="31" a="1"/>
  <c r="W1397" i="31" s="1"/>
  <c r="Z1397" i="31" s="1" a="1"/>
  <c r="Z1397" i="31" s="1"/>
  <c r="X1397" i="31" a="1"/>
  <c r="X1397" i="31" s="1"/>
  <c r="W1396" i="31" a="1"/>
  <c r="W1396" i="31" s="1"/>
  <c r="Z1396" i="31" s="1" a="1"/>
  <c r="Z1396" i="31" s="1"/>
  <c r="X1396" i="31" a="1"/>
  <c r="X1396" i="31" s="1"/>
  <c r="W1395" i="31" a="1"/>
  <c r="W1395" i="31" s="1"/>
  <c r="Z1395" i="31" s="1" a="1"/>
  <c r="Z1395" i="31" s="1"/>
  <c r="X1395" i="31" a="1"/>
  <c r="X1395" i="31" s="1"/>
  <c r="W1394" i="31" a="1"/>
  <c r="W1394" i="31" s="1"/>
  <c r="Z1394" i="31" s="1" a="1"/>
  <c r="Z1394" i="31" s="1"/>
  <c r="X1394" i="31" a="1"/>
  <c r="X1394" i="31" s="1"/>
  <c r="W1393" i="31" a="1"/>
  <c r="W1393" i="31" s="1"/>
  <c r="Z1393" i="31" s="1" a="1"/>
  <c r="Z1393" i="31" s="1"/>
  <c r="X1393" i="31" a="1"/>
  <c r="X1393" i="31" s="1"/>
  <c r="W1392" i="31" a="1"/>
  <c r="W1392" i="31" s="1"/>
  <c r="Z1392" i="31" s="1" a="1"/>
  <c r="Z1392" i="31" s="1"/>
  <c r="X1392" i="31" a="1"/>
  <c r="X1392" i="31" s="1"/>
  <c r="W1391" i="31" a="1"/>
  <c r="W1391" i="31" s="1"/>
  <c r="Z1391" i="31" s="1" a="1"/>
  <c r="Z1391" i="31" s="1"/>
  <c r="X1391" i="31" a="1"/>
  <c r="X1391" i="31" s="1"/>
  <c r="W1390" i="31" a="1"/>
  <c r="W1390" i="31" s="1"/>
  <c r="Z1390" i="31" s="1" a="1"/>
  <c r="Z1390" i="31" s="1"/>
  <c r="X1390" i="31" a="1"/>
  <c r="X1390" i="31" s="1"/>
  <c r="W1389" i="31" a="1"/>
  <c r="W1389" i="31" s="1"/>
  <c r="Z1389" i="31" s="1" a="1"/>
  <c r="Z1389" i="31" s="1"/>
  <c r="X1389" i="31" a="1"/>
  <c r="X1389" i="31" s="1"/>
  <c r="W1388" i="31" a="1"/>
  <c r="W1388" i="31" s="1"/>
  <c r="Z1388" i="31" s="1" a="1"/>
  <c r="Z1388" i="31" s="1"/>
  <c r="X1388" i="31" a="1"/>
  <c r="X1388" i="31" s="1"/>
  <c r="W1387" i="31" a="1"/>
  <c r="W1387" i="31" s="1"/>
  <c r="Z1387" i="31" s="1" a="1"/>
  <c r="Z1387" i="31" s="1"/>
  <c r="X1387" i="31" a="1"/>
  <c r="X1387" i="31" s="1"/>
  <c r="W1386" i="31" a="1"/>
  <c r="W1386" i="31" s="1"/>
  <c r="Z1386" i="31" s="1" a="1"/>
  <c r="Z1386" i="31" s="1"/>
  <c r="X1386" i="31" a="1"/>
  <c r="X1386" i="31" s="1"/>
  <c r="W1385" i="31" a="1"/>
  <c r="W1385" i="31" s="1"/>
  <c r="Z1385" i="31" s="1" a="1"/>
  <c r="Z1385" i="31" s="1"/>
  <c r="X1385" i="31" a="1"/>
  <c r="X1385" i="31" s="1"/>
  <c r="W1384" i="31" a="1"/>
  <c r="W1384" i="31" s="1"/>
  <c r="Z1384" i="31" s="1" a="1"/>
  <c r="Z1384" i="31" s="1"/>
  <c r="X1384" i="31" a="1"/>
  <c r="X1384" i="31" s="1"/>
  <c r="W1383" i="31" a="1"/>
  <c r="W1383" i="31" s="1"/>
  <c r="Z1383" i="31" s="1" a="1"/>
  <c r="Z1383" i="31" s="1"/>
  <c r="X1383" i="31" a="1"/>
  <c r="X1383" i="31" s="1"/>
  <c r="W1382" i="31" a="1"/>
  <c r="W1382" i="31" s="1"/>
  <c r="Z1382" i="31" s="1" a="1"/>
  <c r="Z1382" i="31" s="1"/>
  <c r="X1382" i="31" a="1"/>
  <c r="X1382" i="31" s="1"/>
  <c r="W1381" i="31" a="1"/>
  <c r="W1381" i="31" s="1"/>
  <c r="Z1381" i="31" s="1" a="1"/>
  <c r="Z1381" i="31" s="1"/>
  <c r="X1381" i="31" a="1"/>
  <c r="X1381" i="31" s="1"/>
  <c r="W1380" i="31" a="1"/>
  <c r="W1380" i="31" s="1"/>
  <c r="Z1380" i="31" s="1" a="1"/>
  <c r="Z1380" i="31" s="1"/>
  <c r="X1380" i="31" a="1"/>
  <c r="X1380" i="31" s="1"/>
  <c r="W1379" i="31" a="1"/>
  <c r="W1379" i="31" s="1"/>
  <c r="Z1379" i="31" s="1" a="1"/>
  <c r="Z1379" i="31" s="1"/>
  <c r="X1379" i="31" a="1"/>
  <c r="X1379" i="31" s="1"/>
  <c r="W1378" i="31" a="1"/>
  <c r="W1378" i="31" s="1"/>
  <c r="Z1378" i="31" s="1" a="1"/>
  <c r="Z1378" i="31" s="1"/>
  <c r="X1378" i="31" a="1"/>
  <c r="X1378" i="31" s="1"/>
  <c r="W1377" i="31" a="1"/>
  <c r="W1377" i="31" s="1"/>
  <c r="Z1377" i="31" s="1" a="1"/>
  <c r="Z1377" i="31" s="1"/>
  <c r="X1377" i="31" a="1"/>
  <c r="X1377" i="31" s="1"/>
  <c r="W1376" i="31" a="1"/>
  <c r="W1376" i="31" s="1"/>
  <c r="Z1376" i="31" s="1" a="1"/>
  <c r="Z1376" i="31" s="1"/>
  <c r="X1376" i="31" a="1"/>
  <c r="X1376" i="31" s="1"/>
  <c r="W1375" i="31" a="1"/>
  <c r="W1375" i="31" s="1"/>
  <c r="Z1375" i="31" s="1" a="1"/>
  <c r="Z1375" i="31" s="1"/>
  <c r="X1375" i="31" a="1"/>
  <c r="X1375" i="31" s="1"/>
  <c r="W1374" i="31" a="1"/>
  <c r="W1374" i="31" s="1"/>
  <c r="Z1374" i="31" s="1" a="1"/>
  <c r="Z1374" i="31" s="1"/>
  <c r="X1374" i="31" a="1"/>
  <c r="X1374" i="31" s="1"/>
  <c r="W1373" i="31" a="1"/>
  <c r="W1373" i="31" s="1"/>
  <c r="Z1373" i="31" s="1" a="1"/>
  <c r="Z1373" i="31" s="1"/>
  <c r="X1373" i="31" a="1"/>
  <c r="X1373" i="31" s="1"/>
  <c r="W1372" i="31" a="1"/>
  <c r="W1372" i="31" s="1"/>
  <c r="Z1372" i="31" s="1" a="1"/>
  <c r="Z1372" i="31" s="1"/>
  <c r="X1372" i="31" a="1"/>
  <c r="X1372" i="31" s="1"/>
  <c r="W1371" i="31" a="1"/>
  <c r="W1371" i="31" s="1"/>
  <c r="Z1371" i="31" s="1" a="1"/>
  <c r="Z1371" i="31" s="1"/>
  <c r="X1371" i="31" a="1"/>
  <c r="X1371" i="31" s="1"/>
  <c r="W1370" i="31" a="1"/>
  <c r="W1370" i="31" s="1"/>
  <c r="Z1370" i="31" s="1" a="1"/>
  <c r="Z1370" i="31" s="1"/>
  <c r="X1370" i="31" a="1"/>
  <c r="X1370" i="31" s="1"/>
  <c r="W1369" i="31" a="1"/>
  <c r="W1369" i="31" s="1"/>
  <c r="Z1369" i="31" s="1" a="1"/>
  <c r="Z1369" i="31" s="1"/>
  <c r="X1369" i="31" a="1"/>
  <c r="X1369" i="31" s="1"/>
  <c r="W1368" i="31" a="1"/>
  <c r="W1368" i="31" s="1"/>
  <c r="Z1368" i="31" s="1" a="1"/>
  <c r="Z1368" i="31" s="1"/>
  <c r="X1368" i="31" a="1"/>
  <c r="X1368" i="31" s="1"/>
  <c r="W1367" i="31" a="1"/>
  <c r="W1367" i="31" s="1"/>
  <c r="Z1367" i="31" s="1" a="1"/>
  <c r="Z1367" i="31" s="1"/>
  <c r="X1367" i="31" a="1"/>
  <c r="X1367" i="31" s="1"/>
  <c r="W1366" i="31" a="1"/>
  <c r="W1366" i="31" s="1"/>
  <c r="Z1366" i="31" s="1" a="1"/>
  <c r="Z1366" i="31" s="1"/>
  <c r="X1366" i="31" a="1"/>
  <c r="X1366" i="31" s="1"/>
  <c r="W1365" i="31" a="1"/>
  <c r="W1365" i="31" s="1"/>
  <c r="Z1365" i="31" s="1" a="1"/>
  <c r="Z1365" i="31" s="1"/>
  <c r="X1365" i="31" a="1"/>
  <c r="X1365" i="31" s="1"/>
  <c r="W1364" i="31" a="1"/>
  <c r="W1364" i="31" s="1"/>
  <c r="Z1364" i="31" s="1" a="1"/>
  <c r="Z1364" i="31" s="1"/>
  <c r="X1364" i="31" a="1"/>
  <c r="X1364" i="31" s="1"/>
  <c r="W1363" i="31" a="1"/>
  <c r="W1363" i="31" s="1"/>
  <c r="Z1363" i="31" s="1" a="1"/>
  <c r="Z1363" i="31" s="1"/>
  <c r="X1363" i="31" a="1"/>
  <c r="X1363" i="31" s="1"/>
  <c r="W1362" i="31" a="1"/>
  <c r="W1362" i="31" s="1"/>
  <c r="Z1362" i="31" s="1" a="1"/>
  <c r="Z1362" i="31" s="1"/>
  <c r="X1362" i="31" a="1"/>
  <c r="X1362" i="31" s="1"/>
  <c r="W1361" i="31" a="1"/>
  <c r="W1361" i="31" s="1"/>
  <c r="Z1361" i="31" s="1" a="1"/>
  <c r="Z1361" i="31" s="1"/>
  <c r="X1361" i="31" a="1"/>
  <c r="X1361" i="31" s="1"/>
  <c r="W1360" i="31" a="1"/>
  <c r="W1360" i="31" s="1"/>
  <c r="Z1360" i="31" s="1" a="1"/>
  <c r="Z1360" i="31" s="1"/>
  <c r="X1360" i="31" a="1"/>
  <c r="X1360" i="31" s="1"/>
  <c r="W1359" i="31" a="1"/>
  <c r="W1359" i="31" s="1"/>
  <c r="Z1359" i="31" s="1" a="1"/>
  <c r="Z1359" i="31" s="1"/>
  <c r="X1359" i="31" a="1"/>
  <c r="X1359" i="31" s="1"/>
  <c r="W1358" i="31" a="1"/>
  <c r="W1358" i="31" s="1"/>
  <c r="Z1358" i="31" s="1" a="1"/>
  <c r="Z1358" i="31" s="1"/>
  <c r="X1358" i="31" a="1"/>
  <c r="X1358" i="31" s="1"/>
  <c r="W1357" i="31" a="1"/>
  <c r="W1357" i="31" s="1"/>
  <c r="Z1357" i="31" s="1" a="1"/>
  <c r="Z1357" i="31" s="1"/>
  <c r="X1357" i="31" a="1"/>
  <c r="X1357" i="31" s="1"/>
  <c r="W1356" i="31" a="1"/>
  <c r="W1356" i="31" s="1"/>
  <c r="Z1356" i="31" s="1" a="1"/>
  <c r="Z1356" i="31" s="1"/>
  <c r="X1356" i="31" a="1"/>
  <c r="X1356" i="31" s="1"/>
  <c r="W1355" i="31" a="1"/>
  <c r="W1355" i="31" s="1"/>
  <c r="Z1355" i="31" s="1" a="1"/>
  <c r="Z1355" i="31" s="1"/>
  <c r="X1355" i="31" a="1"/>
  <c r="X1355" i="31" s="1"/>
  <c r="W1354" i="31" a="1"/>
  <c r="W1354" i="31" s="1"/>
  <c r="Z1354" i="31" s="1" a="1"/>
  <c r="Z1354" i="31" s="1"/>
  <c r="X1354" i="31" a="1"/>
  <c r="X1354" i="31" s="1"/>
  <c r="W1353" i="31" a="1"/>
  <c r="W1353" i="31" s="1"/>
  <c r="Z1353" i="31" s="1" a="1"/>
  <c r="Z1353" i="31" s="1"/>
  <c r="X1353" i="31" a="1"/>
  <c r="X1353" i="31" s="1"/>
  <c r="W1352" i="31" a="1"/>
  <c r="W1352" i="31" s="1"/>
  <c r="Z1352" i="31" s="1" a="1"/>
  <c r="Z1352" i="31" s="1"/>
  <c r="X1352" i="31" a="1"/>
  <c r="X1352" i="31" s="1"/>
  <c r="W1351" i="31" a="1"/>
  <c r="W1351" i="31" s="1"/>
  <c r="Z1351" i="31" s="1" a="1"/>
  <c r="Z1351" i="31" s="1"/>
  <c r="X1351" i="31" a="1"/>
  <c r="X1351" i="31" s="1"/>
  <c r="W1350" i="31" a="1"/>
  <c r="W1350" i="31" s="1"/>
  <c r="Z1350" i="31" s="1" a="1"/>
  <c r="Z1350" i="31" s="1"/>
  <c r="X1350" i="31" a="1"/>
  <c r="X1350" i="31" s="1"/>
  <c r="W1349" i="31" a="1"/>
  <c r="W1349" i="31" s="1"/>
  <c r="Z1349" i="31" s="1" a="1"/>
  <c r="Z1349" i="31" s="1"/>
  <c r="X1349" i="31" a="1"/>
  <c r="X1349" i="31" s="1"/>
  <c r="W1348" i="31" a="1"/>
  <c r="W1348" i="31" s="1"/>
  <c r="Z1348" i="31" s="1" a="1"/>
  <c r="Z1348" i="31" s="1"/>
  <c r="X1348" i="31" a="1"/>
  <c r="X1348" i="31" s="1"/>
  <c r="W1347" i="31" a="1"/>
  <c r="W1347" i="31" s="1"/>
  <c r="Z1347" i="31" s="1" a="1"/>
  <c r="Z1347" i="31" s="1"/>
  <c r="X1347" i="31" a="1"/>
  <c r="X1347" i="31" s="1"/>
  <c r="W1346" i="31" a="1"/>
  <c r="W1346" i="31" s="1"/>
  <c r="Z1346" i="31" s="1" a="1"/>
  <c r="Z1346" i="31" s="1"/>
  <c r="X1346" i="31" a="1"/>
  <c r="X1346" i="31" s="1"/>
  <c r="W1345" i="31" a="1"/>
  <c r="W1345" i="31" s="1"/>
  <c r="Z1345" i="31" s="1" a="1"/>
  <c r="Z1345" i="31" s="1"/>
  <c r="X1345" i="31" a="1"/>
  <c r="X1345" i="31" s="1"/>
  <c r="W1344" i="31" a="1"/>
  <c r="W1344" i="31" s="1"/>
  <c r="Z1344" i="31" s="1" a="1"/>
  <c r="Z1344" i="31" s="1"/>
  <c r="X1344" i="31" a="1"/>
  <c r="X1344" i="31" s="1"/>
  <c r="W1343" i="31" a="1"/>
  <c r="W1343" i="31" s="1"/>
  <c r="Z1343" i="31" s="1" a="1"/>
  <c r="Z1343" i="31" s="1"/>
  <c r="X1343" i="31" a="1"/>
  <c r="X1343" i="31" s="1"/>
  <c r="W1342" i="31" a="1"/>
  <c r="W1342" i="31" s="1"/>
  <c r="Z1342" i="31" s="1" a="1"/>
  <c r="Z1342" i="31" s="1"/>
  <c r="X1342" i="31" a="1"/>
  <c r="X1342" i="31" s="1"/>
  <c r="W1341" i="31" a="1"/>
  <c r="W1341" i="31" s="1"/>
  <c r="Z1341" i="31" s="1" a="1"/>
  <c r="Z1341" i="31" s="1"/>
  <c r="X1341" i="31" a="1"/>
  <c r="X1341" i="31" s="1"/>
  <c r="W1340" i="31" a="1"/>
  <c r="W1340" i="31" s="1"/>
  <c r="Z1340" i="31" s="1" a="1"/>
  <c r="Z1340" i="31" s="1"/>
  <c r="X1340" i="31" a="1"/>
  <c r="X1340" i="31" s="1"/>
  <c r="W1339" i="31" a="1"/>
  <c r="W1339" i="31" s="1"/>
  <c r="Z1339" i="31" s="1" a="1"/>
  <c r="Z1339" i="31" s="1"/>
  <c r="X1339" i="31" a="1"/>
  <c r="X1339" i="31" s="1"/>
  <c r="W1338" i="31" a="1"/>
  <c r="W1338" i="31" s="1"/>
  <c r="Z1338" i="31" s="1" a="1"/>
  <c r="Z1338" i="31" s="1"/>
  <c r="X1338" i="31" a="1"/>
  <c r="X1338" i="31" s="1"/>
  <c r="W1337" i="31" a="1"/>
  <c r="W1337" i="31" s="1"/>
  <c r="Z1337" i="31" s="1" a="1"/>
  <c r="Z1337" i="31" s="1"/>
  <c r="X1337" i="31" a="1"/>
  <c r="X1337" i="31" s="1"/>
  <c r="W1336" i="31" a="1"/>
  <c r="W1336" i="31" s="1"/>
  <c r="Z1336" i="31" s="1" a="1"/>
  <c r="Z1336" i="31" s="1"/>
  <c r="X1336" i="31" a="1"/>
  <c r="X1336" i="31" s="1"/>
  <c r="W1335" i="31" a="1"/>
  <c r="W1335" i="31" s="1"/>
  <c r="Z1335" i="31" s="1" a="1"/>
  <c r="Z1335" i="31" s="1"/>
  <c r="X1335" i="31" a="1"/>
  <c r="X1335" i="31" s="1"/>
  <c r="W1334" i="31" a="1"/>
  <c r="W1334" i="31" s="1"/>
  <c r="Z1334" i="31" s="1" a="1"/>
  <c r="Z1334" i="31" s="1"/>
  <c r="X1334" i="31" a="1"/>
  <c r="X1334" i="31" s="1"/>
  <c r="W1333" i="31" a="1"/>
  <c r="W1333" i="31" s="1"/>
  <c r="Z1333" i="31" s="1" a="1"/>
  <c r="Z1333" i="31" s="1"/>
  <c r="X1333" i="31" a="1"/>
  <c r="X1333" i="31" s="1"/>
  <c r="W1332" i="31" a="1"/>
  <c r="W1332" i="31" s="1"/>
  <c r="Z1332" i="31" s="1" a="1"/>
  <c r="Z1332" i="31" s="1"/>
  <c r="X1332" i="31" a="1"/>
  <c r="X1332" i="31" s="1"/>
  <c r="W1331" i="31" a="1"/>
  <c r="W1331" i="31" s="1"/>
  <c r="Z1331" i="31" s="1" a="1"/>
  <c r="Z1331" i="31" s="1"/>
  <c r="X1331" i="31" a="1"/>
  <c r="X1331" i="31" s="1"/>
  <c r="W1330" i="31" a="1"/>
  <c r="W1330" i="31" s="1"/>
  <c r="Z1330" i="31" s="1" a="1"/>
  <c r="Z1330" i="31" s="1"/>
  <c r="X1330" i="31" a="1"/>
  <c r="X1330" i="31" s="1"/>
  <c r="W1329" i="31" a="1"/>
  <c r="W1329" i="31" s="1"/>
  <c r="Z1329" i="31" s="1" a="1"/>
  <c r="Z1329" i="31" s="1"/>
  <c r="X1329" i="31" a="1"/>
  <c r="X1329" i="31" s="1"/>
  <c r="W1328" i="31" a="1"/>
  <c r="W1328" i="31" s="1"/>
  <c r="Z1328" i="31" s="1" a="1"/>
  <c r="Z1328" i="31" s="1"/>
  <c r="X1328" i="31" a="1"/>
  <c r="X1328" i="31" s="1"/>
  <c r="W1327" i="31" a="1"/>
  <c r="W1327" i="31" s="1"/>
  <c r="Z1327" i="31" s="1" a="1"/>
  <c r="Z1327" i="31" s="1"/>
  <c r="X1327" i="31" a="1"/>
  <c r="X1327" i="31" s="1"/>
  <c r="W1326" i="31" a="1"/>
  <c r="W1326" i="31" s="1"/>
  <c r="Z1326" i="31" s="1" a="1"/>
  <c r="Z1326" i="31" s="1"/>
  <c r="X1326" i="31" a="1"/>
  <c r="X1326" i="31" s="1"/>
  <c r="W1325" i="31" a="1"/>
  <c r="W1325" i="31" s="1"/>
  <c r="Z1325" i="31" s="1" a="1"/>
  <c r="Z1325" i="31" s="1"/>
  <c r="X1325" i="31" a="1"/>
  <c r="X1325" i="31" s="1"/>
  <c r="W1324" i="31" a="1"/>
  <c r="W1324" i="31" s="1"/>
  <c r="Z1324" i="31" s="1" a="1"/>
  <c r="Z1324" i="31" s="1"/>
  <c r="X1324" i="31" a="1"/>
  <c r="X1324" i="31" s="1"/>
  <c r="W1323" i="31" a="1"/>
  <c r="W1323" i="31" s="1"/>
  <c r="Z1323" i="31" s="1" a="1"/>
  <c r="Z1323" i="31" s="1"/>
  <c r="X1323" i="31" a="1"/>
  <c r="X1323" i="31" s="1"/>
  <c r="W1322" i="31" a="1"/>
  <c r="W1322" i="31" s="1"/>
  <c r="Z1322" i="31" s="1" a="1"/>
  <c r="Z1322" i="31" s="1"/>
  <c r="X1322" i="31" a="1"/>
  <c r="X1322" i="31" s="1"/>
  <c r="W1321" i="31" a="1"/>
  <c r="W1321" i="31" s="1"/>
  <c r="Z1321" i="31" s="1" a="1"/>
  <c r="Z1321" i="31" s="1"/>
  <c r="X1321" i="31" a="1"/>
  <c r="X1321" i="31" s="1"/>
  <c r="W1320" i="31" a="1"/>
  <c r="W1320" i="31" s="1"/>
  <c r="Z1320" i="31" s="1" a="1"/>
  <c r="Z1320" i="31" s="1"/>
  <c r="X1320" i="31" a="1"/>
  <c r="X1320" i="31" s="1"/>
  <c r="W1319" i="31" a="1"/>
  <c r="W1319" i="31" s="1"/>
  <c r="Z1319" i="31" s="1" a="1"/>
  <c r="Z1319" i="31" s="1"/>
  <c r="X1319" i="31" a="1"/>
  <c r="X1319" i="31" s="1"/>
  <c r="W1318" i="31" a="1"/>
  <c r="W1318" i="31" s="1"/>
  <c r="Z1318" i="31" s="1" a="1"/>
  <c r="Z1318" i="31" s="1"/>
  <c r="X1318" i="31" a="1"/>
  <c r="X1318" i="31" s="1"/>
  <c r="W1317" i="31" a="1"/>
  <c r="W1317" i="31" s="1"/>
  <c r="Z1317" i="31" s="1" a="1"/>
  <c r="Z1317" i="31" s="1"/>
  <c r="X1317" i="31" a="1"/>
  <c r="X1317" i="31" s="1"/>
  <c r="W1316" i="31" a="1"/>
  <c r="W1316" i="31" s="1"/>
  <c r="Z1316" i="31" s="1" a="1"/>
  <c r="Z1316" i="31" s="1"/>
  <c r="X1316" i="31" a="1"/>
  <c r="X1316" i="31" s="1"/>
  <c r="W1315" i="31" a="1"/>
  <c r="W1315" i="31" s="1"/>
  <c r="Z1315" i="31" s="1" a="1"/>
  <c r="Z1315" i="31" s="1"/>
  <c r="X1315" i="31" a="1"/>
  <c r="X1315" i="31" s="1"/>
  <c r="W1314" i="31" a="1"/>
  <c r="W1314" i="31" s="1"/>
  <c r="Z1314" i="31" s="1" a="1"/>
  <c r="Z1314" i="31" s="1"/>
  <c r="X1314" i="31" a="1"/>
  <c r="X1314" i="31" s="1"/>
  <c r="W1313" i="31" a="1"/>
  <c r="W1313" i="31" s="1"/>
  <c r="Z1313" i="31" s="1" a="1"/>
  <c r="Z1313" i="31" s="1"/>
  <c r="X1313" i="31" a="1"/>
  <c r="X1313" i="31" s="1"/>
  <c r="W1312" i="31" a="1"/>
  <c r="W1312" i="31" s="1"/>
  <c r="Z1312" i="31" s="1" a="1"/>
  <c r="Z1312" i="31" s="1"/>
  <c r="X1312" i="31" a="1"/>
  <c r="X1312" i="31" s="1"/>
  <c r="W1311" i="31" a="1"/>
  <c r="W1311" i="31" s="1"/>
  <c r="Z1311" i="31" s="1" a="1"/>
  <c r="Z1311" i="31" s="1"/>
  <c r="X1311" i="31" a="1"/>
  <c r="X1311" i="31" s="1"/>
  <c r="W1310" i="31" a="1"/>
  <c r="W1310" i="31" s="1"/>
  <c r="Z1310" i="31" s="1" a="1"/>
  <c r="Z1310" i="31" s="1"/>
  <c r="X1310" i="31" a="1"/>
  <c r="X1310" i="31" s="1"/>
  <c r="W1309" i="31" a="1"/>
  <c r="W1309" i="31" s="1"/>
  <c r="Z1309" i="31" s="1" a="1"/>
  <c r="Z1309" i="31" s="1"/>
  <c r="X1309" i="31" a="1"/>
  <c r="X1309" i="31" s="1"/>
  <c r="W1308" i="31" a="1"/>
  <c r="W1308" i="31" s="1"/>
  <c r="Z1308" i="31" s="1" a="1"/>
  <c r="Z1308" i="31" s="1"/>
  <c r="X1308" i="31" a="1"/>
  <c r="X1308" i="31" s="1"/>
  <c r="W1307" i="31" a="1"/>
  <c r="W1307" i="31" s="1"/>
  <c r="Z1307" i="31" s="1" a="1"/>
  <c r="Z1307" i="31" s="1"/>
  <c r="X1307" i="31" a="1"/>
  <c r="X1307" i="31" s="1"/>
  <c r="W1306" i="31" a="1"/>
  <c r="W1306" i="31" s="1"/>
  <c r="Z1306" i="31" s="1" a="1"/>
  <c r="Z1306" i="31" s="1"/>
  <c r="X1306" i="31" a="1"/>
  <c r="X1306" i="31" s="1"/>
  <c r="W1305" i="31" a="1"/>
  <c r="W1305" i="31" s="1"/>
  <c r="Z1305" i="31" s="1" a="1"/>
  <c r="Z1305" i="31" s="1"/>
  <c r="X1305" i="31" a="1"/>
  <c r="X1305" i="31" s="1"/>
  <c r="W1304" i="31" a="1"/>
  <c r="W1304" i="31" s="1"/>
  <c r="Z1304" i="31" s="1" a="1"/>
  <c r="Z1304" i="31" s="1"/>
  <c r="X1304" i="31" a="1"/>
  <c r="X1304" i="31" s="1"/>
  <c r="W1303" i="31" a="1"/>
  <c r="W1303" i="31" s="1"/>
  <c r="Z1303" i="31" s="1" a="1"/>
  <c r="Z1303" i="31" s="1"/>
  <c r="X1303" i="31" a="1"/>
  <c r="X1303" i="31" s="1"/>
  <c r="W1302" i="31" a="1"/>
  <c r="W1302" i="31" s="1"/>
  <c r="Z1302" i="31" s="1" a="1"/>
  <c r="Z1302" i="31" s="1"/>
  <c r="X1302" i="31" a="1"/>
  <c r="X1302" i="31" s="1"/>
  <c r="W1301" i="31" a="1"/>
  <c r="W1301" i="31" s="1"/>
  <c r="Z1301" i="31" s="1" a="1"/>
  <c r="Z1301" i="31" s="1"/>
  <c r="X1301" i="31" a="1"/>
  <c r="X1301" i="31" s="1"/>
  <c r="W1300" i="31" a="1"/>
  <c r="W1300" i="31" s="1"/>
  <c r="Z1300" i="31" s="1" a="1"/>
  <c r="Z1300" i="31" s="1"/>
  <c r="X1300" i="31" a="1"/>
  <c r="X1300" i="31" s="1"/>
  <c r="W1299" i="31" a="1"/>
  <c r="W1299" i="31" s="1"/>
  <c r="Z1299" i="31" s="1" a="1"/>
  <c r="Z1299" i="31" s="1"/>
  <c r="X1299" i="31" a="1"/>
  <c r="X1299" i="31" s="1"/>
  <c r="W1298" i="31" a="1"/>
  <c r="W1298" i="31" s="1"/>
  <c r="Z1298" i="31" s="1" a="1"/>
  <c r="Z1298" i="31" s="1"/>
  <c r="X1298" i="31" a="1"/>
  <c r="X1298" i="31" s="1"/>
  <c r="W1297" i="31" a="1"/>
  <c r="W1297" i="31" s="1"/>
  <c r="Z1297" i="31" s="1" a="1"/>
  <c r="Z1297" i="31" s="1"/>
  <c r="X1297" i="31" a="1"/>
  <c r="X1297" i="31" s="1"/>
  <c r="W1296" i="31" a="1"/>
  <c r="W1296" i="31" s="1"/>
  <c r="Z1296" i="31" s="1" a="1"/>
  <c r="Z1296" i="31" s="1"/>
  <c r="X1296" i="31" a="1"/>
  <c r="X1296" i="31" s="1"/>
  <c r="W1295" i="31" a="1"/>
  <c r="W1295" i="31" s="1"/>
  <c r="Z1295" i="31" s="1" a="1"/>
  <c r="Z1295" i="31" s="1"/>
  <c r="X1295" i="31" a="1"/>
  <c r="X1295" i="31" s="1"/>
  <c r="W1294" i="31" a="1"/>
  <c r="W1294" i="31" s="1"/>
  <c r="Z1294" i="31" s="1" a="1"/>
  <c r="Z1294" i="31" s="1"/>
  <c r="X1294" i="31" a="1"/>
  <c r="X1294" i="31" s="1"/>
  <c r="W1293" i="31" a="1"/>
  <c r="W1293" i="31" s="1"/>
  <c r="Z1293" i="31" s="1" a="1"/>
  <c r="Z1293" i="31" s="1"/>
  <c r="X1293" i="31" a="1"/>
  <c r="X1293" i="31" s="1"/>
  <c r="W1292" i="31" a="1"/>
  <c r="W1292" i="31" s="1"/>
  <c r="Z1292" i="31" s="1" a="1"/>
  <c r="Z1292" i="31" s="1"/>
  <c r="X1292" i="31" a="1"/>
  <c r="X1292" i="31" s="1"/>
  <c r="W1291" i="31" a="1"/>
  <c r="W1291" i="31" s="1"/>
  <c r="Z1291" i="31" s="1" a="1"/>
  <c r="Z1291" i="31" s="1"/>
  <c r="X1291" i="31" a="1"/>
  <c r="X1291" i="31" s="1"/>
  <c r="W1290" i="31" a="1"/>
  <c r="W1290" i="31" s="1"/>
  <c r="Z1290" i="31" s="1" a="1"/>
  <c r="Z1290" i="31" s="1"/>
  <c r="X1290" i="31" a="1"/>
  <c r="X1290" i="31" s="1"/>
  <c r="W1289" i="31" a="1"/>
  <c r="W1289" i="31" s="1"/>
  <c r="Z1289" i="31" s="1" a="1"/>
  <c r="Z1289" i="31" s="1"/>
  <c r="X1289" i="31" a="1"/>
  <c r="X1289" i="31" s="1"/>
  <c r="W1288" i="31" a="1"/>
  <c r="W1288" i="31" s="1"/>
  <c r="Z1288" i="31" s="1" a="1"/>
  <c r="Z1288" i="31" s="1"/>
  <c r="X1288" i="31" a="1"/>
  <c r="X1288" i="31" s="1"/>
  <c r="W1287" i="31" a="1"/>
  <c r="W1287" i="31" s="1"/>
  <c r="Z1287" i="31" s="1" a="1"/>
  <c r="Z1287" i="31" s="1"/>
  <c r="X1287" i="31" a="1"/>
  <c r="X1287" i="31" s="1"/>
  <c r="W1286" i="31" a="1"/>
  <c r="W1286" i="31" s="1"/>
  <c r="Z1286" i="31" s="1" a="1"/>
  <c r="Z1286" i="31" s="1"/>
  <c r="X1286" i="31" a="1"/>
  <c r="X1286" i="31" s="1"/>
  <c r="W1285" i="31" a="1"/>
  <c r="W1285" i="31" s="1"/>
  <c r="Z1285" i="31" s="1" a="1"/>
  <c r="Z1285" i="31" s="1"/>
  <c r="X1285" i="31" a="1"/>
  <c r="X1285" i="31" s="1"/>
  <c r="W1284" i="31" a="1"/>
  <c r="W1284" i="31" s="1"/>
  <c r="Z1284" i="31" s="1" a="1"/>
  <c r="Z1284" i="31" s="1"/>
  <c r="X1284" i="31" a="1"/>
  <c r="X1284" i="31" s="1"/>
  <c r="W1283" i="31" a="1"/>
  <c r="W1283" i="31" s="1"/>
  <c r="Z1283" i="31" s="1" a="1"/>
  <c r="Z1283" i="31" s="1"/>
  <c r="X1283" i="31" a="1"/>
  <c r="X1283" i="31" s="1"/>
  <c r="W1282" i="31" a="1"/>
  <c r="W1282" i="31" s="1"/>
  <c r="Z1282" i="31" s="1" a="1"/>
  <c r="Z1282" i="31" s="1"/>
  <c r="X1282" i="31" a="1"/>
  <c r="X1282" i="31" s="1"/>
  <c r="W1281" i="31" a="1"/>
  <c r="W1281" i="31" s="1"/>
  <c r="Z1281" i="31" s="1" a="1"/>
  <c r="Z1281" i="31" s="1"/>
  <c r="X1281" i="31" a="1"/>
  <c r="X1281" i="31" s="1"/>
  <c r="W1280" i="31" a="1"/>
  <c r="W1280" i="31" s="1"/>
  <c r="Z1280" i="31" s="1" a="1"/>
  <c r="Z1280" i="31" s="1"/>
  <c r="X1280" i="31" a="1"/>
  <c r="X1280" i="31" s="1"/>
  <c r="W1279" i="31" a="1"/>
  <c r="W1279" i="31" s="1"/>
  <c r="Z1279" i="31" s="1" a="1"/>
  <c r="Z1279" i="31" s="1"/>
  <c r="X1279" i="31" a="1"/>
  <c r="X1279" i="31" s="1"/>
  <c r="W1278" i="31" a="1"/>
  <c r="W1278" i="31" s="1"/>
  <c r="Z1278" i="31" s="1" a="1"/>
  <c r="Z1278" i="31" s="1"/>
  <c r="X1278" i="31" a="1"/>
  <c r="X1278" i="31" s="1"/>
  <c r="W1277" i="31" a="1"/>
  <c r="W1277" i="31" s="1"/>
  <c r="Z1277" i="31" s="1" a="1"/>
  <c r="Z1277" i="31" s="1"/>
  <c r="X1277" i="31" a="1"/>
  <c r="X1277" i="31" s="1"/>
  <c r="W1276" i="31" a="1"/>
  <c r="W1276" i="31" s="1"/>
  <c r="Z1276" i="31" s="1" a="1"/>
  <c r="Z1276" i="31" s="1"/>
  <c r="X1276" i="31" a="1"/>
  <c r="X1276" i="31" s="1"/>
  <c r="W1275" i="31" a="1"/>
  <c r="W1275" i="31" s="1"/>
  <c r="Z1275" i="31" s="1" a="1"/>
  <c r="Z1275" i="31" s="1"/>
  <c r="X1275" i="31" a="1"/>
  <c r="X1275" i="31" s="1"/>
  <c r="W1274" i="31" a="1"/>
  <c r="W1274" i="31" s="1"/>
  <c r="Z1274" i="31" s="1" a="1"/>
  <c r="Z1274" i="31" s="1"/>
  <c r="X1274" i="31" a="1"/>
  <c r="X1274" i="31" s="1"/>
  <c r="W1273" i="31" a="1"/>
  <c r="W1273" i="31" s="1"/>
  <c r="Z1273" i="31" s="1" a="1"/>
  <c r="Z1273" i="31" s="1"/>
  <c r="X1273" i="31" a="1"/>
  <c r="X1273" i="31" s="1"/>
  <c r="W1272" i="31" a="1"/>
  <c r="W1272" i="31" s="1"/>
  <c r="Z1272" i="31" s="1" a="1"/>
  <c r="Z1272" i="31" s="1"/>
  <c r="X1272" i="31" a="1"/>
  <c r="X1272" i="31" s="1"/>
  <c r="W1271" i="31" a="1"/>
  <c r="W1271" i="31" s="1"/>
  <c r="Z1271" i="31" s="1" a="1"/>
  <c r="Z1271" i="31" s="1"/>
  <c r="X1271" i="31" a="1"/>
  <c r="X1271" i="31" s="1"/>
  <c r="W1270" i="31" a="1"/>
  <c r="W1270" i="31" s="1"/>
  <c r="Z1270" i="31" s="1" a="1"/>
  <c r="Z1270" i="31" s="1"/>
  <c r="X1270" i="31" a="1"/>
  <c r="X1270" i="31" s="1"/>
  <c r="W1269" i="31" a="1"/>
  <c r="W1269" i="31" s="1"/>
  <c r="Z1269" i="31" s="1" a="1"/>
  <c r="Z1269" i="31" s="1"/>
  <c r="X1269" i="31" a="1"/>
  <c r="X1269" i="31" s="1"/>
  <c r="W1268" i="31" a="1"/>
  <c r="W1268" i="31" s="1"/>
  <c r="Z1268" i="31" s="1" a="1"/>
  <c r="Z1268" i="31" s="1"/>
  <c r="X1268" i="31" a="1"/>
  <c r="X1268" i="31" s="1"/>
  <c r="W1267" i="31" a="1"/>
  <c r="W1267" i="31" s="1"/>
  <c r="Z1267" i="31" s="1" a="1"/>
  <c r="Z1267" i="31" s="1"/>
  <c r="X1267" i="31" a="1"/>
  <c r="X1267" i="31" s="1"/>
  <c r="W1266" i="31" a="1"/>
  <c r="W1266" i="31" s="1"/>
  <c r="Z1266" i="31" s="1" a="1"/>
  <c r="Z1266" i="31" s="1"/>
  <c r="X1266" i="31" a="1"/>
  <c r="X1266" i="31" s="1"/>
  <c r="W1265" i="31" a="1"/>
  <c r="W1265" i="31" s="1"/>
  <c r="Z1265" i="31" s="1" a="1"/>
  <c r="Z1265" i="31" s="1"/>
  <c r="X1265" i="31" a="1"/>
  <c r="X1265" i="31" s="1"/>
  <c r="W1264" i="31" a="1"/>
  <c r="W1264" i="31" s="1"/>
  <c r="Z1264" i="31" s="1" a="1"/>
  <c r="Z1264" i="31" s="1"/>
  <c r="X1264" i="31" a="1"/>
  <c r="X1264" i="31" s="1"/>
  <c r="W1263" i="31" a="1"/>
  <c r="W1263" i="31" s="1"/>
  <c r="Z1263" i="31" s="1" a="1"/>
  <c r="Z1263" i="31" s="1"/>
  <c r="X1263" i="31" a="1"/>
  <c r="X1263" i="31" s="1"/>
  <c r="W1262" i="31" a="1"/>
  <c r="W1262" i="31" s="1"/>
  <c r="Z1262" i="31" s="1" a="1"/>
  <c r="Z1262" i="31" s="1"/>
  <c r="X1262" i="31" a="1"/>
  <c r="X1262" i="31" s="1"/>
  <c r="W1261" i="31" a="1"/>
  <c r="W1261" i="31" s="1"/>
  <c r="Z1261" i="31" s="1" a="1"/>
  <c r="Z1261" i="31" s="1"/>
  <c r="X1261" i="31" a="1"/>
  <c r="X1261" i="31" s="1"/>
  <c r="W1260" i="31" a="1"/>
  <c r="W1260" i="31" s="1"/>
  <c r="Z1260" i="31" s="1" a="1"/>
  <c r="Z1260" i="31" s="1"/>
  <c r="X1260" i="31" a="1"/>
  <c r="X1260" i="31" s="1"/>
  <c r="W1259" i="31" a="1"/>
  <c r="W1259" i="31" s="1"/>
  <c r="Z1259" i="31" s="1" a="1"/>
  <c r="Z1259" i="31" s="1"/>
  <c r="X1259" i="31" a="1"/>
  <c r="X1259" i="31" s="1"/>
  <c r="W1258" i="31" a="1"/>
  <c r="W1258" i="31" s="1"/>
  <c r="Z1258" i="31" s="1" a="1"/>
  <c r="Z1258" i="31" s="1"/>
  <c r="X1258" i="31" a="1"/>
  <c r="X1258" i="31" s="1"/>
  <c r="W1257" i="31" a="1"/>
  <c r="W1257" i="31" s="1"/>
  <c r="Z1257" i="31" s="1" a="1"/>
  <c r="Z1257" i="31" s="1"/>
  <c r="X1257" i="31" a="1"/>
  <c r="X1257" i="31" s="1"/>
  <c r="W1256" i="31" a="1"/>
  <c r="W1256" i="31" s="1"/>
  <c r="Z1256" i="31" s="1" a="1"/>
  <c r="Z1256" i="31" s="1"/>
  <c r="X1256" i="31" a="1"/>
  <c r="X1256" i="31" s="1"/>
  <c r="W1255" i="31" a="1"/>
  <c r="W1255" i="31" s="1"/>
  <c r="Z1255" i="31" s="1" a="1"/>
  <c r="Z1255" i="31" s="1"/>
  <c r="X1255" i="31" a="1"/>
  <c r="X1255" i="31" s="1"/>
  <c r="W1254" i="31" a="1"/>
  <c r="W1254" i="31" s="1"/>
  <c r="Z1254" i="31" s="1" a="1"/>
  <c r="Z1254" i="31" s="1"/>
  <c r="X1254" i="31" a="1"/>
  <c r="X1254" i="31" s="1"/>
  <c r="W1253" i="31" a="1"/>
  <c r="W1253" i="31" s="1"/>
  <c r="Z1253" i="31" s="1" a="1"/>
  <c r="Z1253" i="31" s="1"/>
  <c r="X1253" i="31" a="1"/>
  <c r="X1253" i="31" s="1"/>
  <c r="W1252" i="31" a="1"/>
  <c r="W1252" i="31" s="1"/>
  <c r="Z1252" i="31" s="1" a="1"/>
  <c r="Z1252" i="31" s="1"/>
  <c r="X1252" i="31" a="1"/>
  <c r="X1252" i="31" s="1"/>
  <c r="W1251" i="31" a="1"/>
  <c r="W1251" i="31" s="1"/>
  <c r="Z1251" i="31" s="1" a="1"/>
  <c r="Z1251" i="31" s="1"/>
  <c r="X1251" i="31" a="1"/>
  <c r="X1251" i="31" s="1"/>
  <c r="W1250" i="31" a="1"/>
  <c r="W1250" i="31" s="1"/>
  <c r="Z1250" i="31" s="1" a="1"/>
  <c r="Z1250" i="31" s="1"/>
  <c r="X1250" i="31" a="1"/>
  <c r="X1250" i="31" s="1"/>
  <c r="W1249" i="31" a="1"/>
  <c r="W1249" i="31" s="1"/>
  <c r="Z1249" i="31" s="1" a="1"/>
  <c r="Z1249" i="31" s="1"/>
  <c r="X1249" i="31" a="1"/>
  <c r="X1249" i="31" s="1"/>
  <c r="W1248" i="31" a="1"/>
  <c r="W1248" i="31" s="1"/>
  <c r="Z1248" i="31" s="1" a="1"/>
  <c r="Z1248" i="31" s="1"/>
  <c r="X1248" i="31" a="1"/>
  <c r="X1248" i="31" s="1"/>
  <c r="W1247" i="31" a="1"/>
  <c r="W1247" i="31" s="1"/>
  <c r="Z1247" i="31" s="1" a="1"/>
  <c r="Z1247" i="31" s="1"/>
  <c r="X1247" i="31" a="1"/>
  <c r="X1247" i="31" s="1"/>
  <c r="W1246" i="31" a="1"/>
  <c r="W1246" i="31" s="1"/>
  <c r="Z1246" i="31" s="1" a="1"/>
  <c r="Z1246" i="31" s="1"/>
  <c r="X1246" i="31" a="1"/>
  <c r="X1246" i="31" s="1"/>
  <c r="W1245" i="31" a="1"/>
  <c r="W1245" i="31" s="1"/>
  <c r="Z1245" i="31" s="1" a="1"/>
  <c r="Z1245" i="31" s="1"/>
  <c r="X1245" i="31" a="1"/>
  <c r="X1245" i="31" s="1"/>
  <c r="W1244" i="31" a="1"/>
  <c r="W1244" i="31" s="1"/>
  <c r="Z1244" i="31" s="1" a="1"/>
  <c r="Z1244" i="31" s="1"/>
  <c r="X1244" i="31" a="1"/>
  <c r="X1244" i="31" s="1"/>
  <c r="W1243" i="31" a="1"/>
  <c r="W1243" i="31" s="1"/>
  <c r="Z1243" i="31" s="1" a="1"/>
  <c r="Z1243" i="31" s="1"/>
  <c r="X1243" i="31" a="1"/>
  <c r="X1243" i="31" s="1"/>
  <c r="W1242" i="31" a="1"/>
  <c r="W1242" i="31" s="1"/>
  <c r="Z1242" i="31" s="1" a="1"/>
  <c r="Z1242" i="31" s="1"/>
  <c r="X1242" i="31" a="1"/>
  <c r="X1242" i="31" s="1"/>
  <c r="W1241" i="31" a="1"/>
  <c r="W1241" i="31" s="1"/>
  <c r="Z1241" i="31" s="1" a="1"/>
  <c r="Z1241" i="31" s="1"/>
  <c r="X1241" i="31" a="1"/>
  <c r="X1241" i="31" s="1"/>
  <c r="W1240" i="31" a="1"/>
  <c r="W1240" i="31" s="1"/>
  <c r="Z1240" i="31" s="1" a="1"/>
  <c r="Z1240" i="31" s="1"/>
  <c r="X1240" i="31" a="1"/>
  <c r="X1240" i="31" s="1"/>
  <c r="W1239" i="31" a="1"/>
  <c r="W1239" i="31" s="1"/>
  <c r="Z1239" i="31" s="1" a="1"/>
  <c r="Z1239" i="31" s="1"/>
  <c r="X1239" i="31" a="1"/>
  <c r="X1239" i="31" s="1"/>
  <c r="W1238" i="31" a="1"/>
  <c r="W1238" i="31" s="1"/>
  <c r="Z1238" i="31" s="1" a="1"/>
  <c r="Z1238" i="31" s="1"/>
  <c r="X1238" i="31" a="1"/>
  <c r="X1238" i="31" s="1"/>
  <c r="W1237" i="31" a="1"/>
  <c r="W1237" i="31" s="1"/>
  <c r="Z1237" i="31" s="1" a="1"/>
  <c r="Z1237" i="31" s="1"/>
  <c r="X1237" i="31" a="1"/>
  <c r="X1237" i="31" s="1"/>
  <c r="W1236" i="31" a="1"/>
  <c r="W1236" i="31" s="1"/>
  <c r="Z1236" i="31" s="1" a="1"/>
  <c r="Z1236" i="31" s="1"/>
  <c r="X1236" i="31" a="1"/>
  <c r="X1236" i="31" s="1"/>
  <c r="W1235" i="31" a="1"/>
  <c r="W1235" i="31" s="1"/>
  <c r="Z1235" i="31" s="1" a="1"/>
  <c r="Z1235" i="31" s="1"/>
  <c r="X1235" i="31" a="1"/>
  <c r="X1235" i="31" s="1"/>
  <c r="W1234" i="31" a="1"/>
  <c r="W1234" i="31" s="1"/>
  <c r="Z1234" i="31" s="1" a="1"/>
  <c r="Z1234" i="31" s="1"/>
  <c r="X1234" i="31" a="1"/>
  <c r="X1234" i="31" s="1"/>
  <c r="W1233" i="31" a="1"/>
  <c r="W1233" i="31" s="1"/>
  <c r="Z1233" i="31" s="1" a="1"/>
  <c r="Z1233" i="31" s="1"/>
  <c r="X1233" i="31" a="1"/>
  <c r="X1233" i="31" s="1"/>
  <c r="W1232" i="31" a="1"/>
  <c r="W1232" i="31" s="1"/>
  <c r="Z1232" i="31" s="1" a="1"/>
  <c r="Z1232" i="31" s="1"/>
  <c r="X1232" i="31" a="1"/>
  <c r="X1232" i="31" s="1"/>
  <c r="W1231" i="31" a="1"/>
  <c r="W1231" i="31" s="1"/>
  <c r="Z1231" i="31" s="1" a="1"/>
  <c r="Z1231" i="31" s="1"/>
  <c r="X1231" i="31" a="1"/>
  <c r="X1231" i="31" s="1"/>
  <c r="W1230" i="31" a="1"/>
  <c r="W1230" i="31" s="1"/>
  <c r="Z1230" i="31" s="1" a="1"/>
  <c r="Z1230" i="31" s="1"/>
  <c r="X1230" i="31" a="1"/>
  <c r="X1230" i="31" s="1"/>
  <c r="W1229" i="31" a="1"/>
  <c r="W1229" i="31" s="1"/>
  <c r="Z1229" i="31" s="1" a="1"/>
  <c r="Z1229" i="31" s="1"/>
  <c r="X1229" i="31" a="1"/>
  <c r="X1229" i="31" s="1"/>
  <c r="W1228" i="31" a="1"/>
  <c r="W1228" i="31" s="1"/>
  <c r="Z1228" i="31" s="1" a="1"/>
  <c r="Z1228" i="31" s="1"/>
  <c r="X1228" i="31" a="1"/>
  <c r="X1228" i="31" s="1"/>
  <c r="W1227" i="31" a="1"/>
  <c r="W1227" i="31" s="1"/>
  <c r="Z1227" i="31" s="1" a="1"/>
  <c r="Z1227" i="31" s="1"/>
  <c r="X1227" i="31" a="1"/>
  <c r="X1227" i="31" s="1"/>
  <c r="W1226" i="31" a="1"/>
  <c r="W1226" i="31" s="1"/>
  <c r="Z1226" i="31" s="1" a="1"/>
  <c r="Z1226" i="31" s="1"/>
  <c r="X1226" i="31" a="1"/>
  <c r="X1226" i="31" s="1"/>
  <c r="W1225" i="31" a="1"/>
  <c r="W1225" i="31" s="1"/>
  <c r="Z1225" i="31" s="1" a="1"/>
  <c r="Z1225" i="31" s="1"/>
  <c r="X1225" i="31" a="1"/>
  <c r="X1225" i="31" s="1"/>
  <c r="W1224" i="31" a="1"/>
  <c r="W1224" i="31" s="1"/>
  <c r="Z1224" i="31" s="1" a="1"/>
  <c r="Z1224" i="31" s="1"/>
  <c r="X1224" i="31" a="1"/>
  <c r="X1224" i="31" s="1"/>
  <c r="W1223" i="31" a="1"/>
  <c r="W1223" i="31" s="1"/>
  <c r="Z1223" i="31" s="1" a="1"/>
  <c r="Z1223" i="31" s="1"/>
  <c r="X1223" i="31" a="1"/>
  <c r="X1223" i="31" s="1"/>
  <c r="W1222" i="31" a="1"/>
  <c r="W1222" i="31" s="1"/>
  <c r="Z1222" i="31" s="1" a="1"/>
  <c r="Z1222" i="31" s="1"/>
  <c r="X1222" i="31" a="1"/>
  <c r="X1222" i="31" s="1"/>
  <c r="W1221" i="31" a="1"/>
  <c r="W1221" i="31" s="1"/>
  <c r="Z1221" i="31" s="1" a="1"/>
  <c r="Z1221" i="31" s="1"/>
  <c r="X1221" i="31" a="1"/>
  <c r="X1221" i="31" s="1"/>
  <c r="W1220" i="31" a="1"/>
  <c r="W1220" i="31" s="1"/>
  <c r="Z1220" i="31" s="1" a="1"/>
  <c r="Z1220" i="31" s="1"/>
  <c r="X1220" i="31" a="1"/>
  <c r="X1220" i="31" s="1"/>
  <c r="W1219" i="31" a="1"/>
  <c r="W1219" i="31" s="1"/>
  <c r="Z1219" i="31" s="1" a="1"/>
  <c r="Z1219" i="31" s="1"/>
  <c r="X1219" i="31" a="1"/>
  <c r="X1219" i="31" s="1"/>
  <c r="W1218" i="31" a="1"/>
  <c r="W1218" i="31" s="1"/>
  <c r="Z1218" i="31" s="1" a="1"/>
  <c r="Z1218" i="31" s="1"/>
  <c r="X1218" i="31" a="1"/>
  <c r="X1218" i="31" s="1"/>
  <c r="W1217" i="31" a="1"/>
  <c r="W1217" i="31" s="1"/>
  <c r="Z1217" i="31" s="1" a="1"/>
  <c r="Z1217" i="31" s="1"/>
  <c r="X1217" i="31" a="1"/>
  <c r="X1217" i="31" s="1"/>
  <c r="W1216" i="31" a="1"/>
  <c r="W1216" i="31" s="1"/>
  <c r="Z1216" i="31" s="1" a="1"/>
  <c r="Z1216" i="31" s="1"/>
  <c r="X1216" i="31" a="1"/>
  <c r="X1216" i="31" s="1"/>
  <c r="W1215" i="31" a="1"/>
  <c r="W1215" i="31" s="1"/>
  <c r="Z1215" i="31" s="1" a="1"/>
  <c r="Z1215" i="31" s="1"/>
  <c r="X1215" i="31" a="1"/>
  <c r="X1215" i="31" s="1"/>
  <c r="W1214" i="31" a="1"/>
  <c r="W1214" i="31" s="1"/>
  <c r="Z1214" i="31" s="1" a="1"/>
  <c r="Z1214" i="31" s="1"/>
  <c r="X1214" i="31" a="1"/>
  <c r="X1214" i="31" s="1"/>
  <c r="W1213" i="31" a="1"/>
  <c r="W1213" i="31" s="1"/>
  <c r="Z1213" i="31" s="1" a="1"/>
  <c r="Z1213" i="31" s="1"/>
  <c r="X1213" i="31" a="1"/>
  <c r="X1213" i="31" s="1"/>
  <c r="W1212" i="31" a="1"/>
  <c r="W1212" i="31" s="1"/>
  <c r="Z1212" i="31" s="1" a="1"/>
  <c r="Z1212" i="31" s="1"/>
  <c r="X1212" i="31" a="1"/>
  <c r="X1212" i="31" s="1"/>
  <c r="W1211" i="31" a="1"/>
  <c r="W1211" i="31" s="1"/>
  <c r="Z1211" i="31" s="1" a="1"/>
  <c r="Z1211" i="31" s="1"/>
  <c r="X1211" i="31" a="1"/>
  <c r="X1211" i="31" s="1"/>
  <c r="W1210" i="31" a="1"/>
  <c r="W1210" i="31" s="1"/>
  <c r="Z1210" i="31" s="1" a="1"/>
  <c r="Z1210" i="31" s="1"/>
  <c r="X1210" i="31" a="1"/>
  <c r="X1210" i="31" s="1"/>
  <c r="W1209" i="31" a="1"/>
  <c r="W1209" i="31" s="1"/>
  <c r="Z1209" i="31" s="1" a="1"/>
  <c r="Z1209" i="31" s="1"/>
  <c r="X1209" i="31" a="1"/>
  <c r="X1209" i="31" s="1"/>
  <c r="W1208" i="31" a="1"/>
  <c r="W1208" i="31" s="1"/>
  <c r="Z1208" i="31" s="1" a="1"/>
  <c r="Z1208" i="31" s="1"/>
  <c r="X1208" i="31" a="1"/>
  <c r="X1208" i="31" s="1"/>
  <c r="W1207" i="31" a="1"/>
  <c r="W1207" i="31" s="1"/>
  <c r="Z1207" i="31" s="1" a="1"/>
  <c r="Z1207" i="31" s="1"/>
  <c r="X1207" i="31" a="1"/>
  <c r="X1207" i="31" s="1"/>
  <c r="W1206" i="31" a="1"/>
  <c r="W1206" i="31" s="1"/>
  <c r="Z1206" i="31" s="1" a="1"/>
  <c r="Z1206" i="31" s="1"/>
  <c r="X1206" i="31" a="1"/>
  <c r="X1206" i="31" s="1"/>
  <c r="W1205" i="31" a="1"/>
  <c r="W1205" i="31" s="1"/>
  <c r="Z1205" i="31" s="1" a="1"/>
  <c r="Z1205" i="31" s="1"/>
  <c r="X1205" i="31" a="1"/>
  <c r="X1205" i="31" s="1"/>
  <c r="W1204" i="31" a="1"/>
  <c r="W1204" i="31" s="1"/>
  <c r="Z1204" i="31" s="1" a="1"/>
  <c r="Z1204" i="31" s="1"/>
  <c r="X1204" i="31" a="1"/>
  <c r="X1204" i="31" s="1"/>
  <c r="W1203" i="31" a="1"/>
  <c r="W1203" i="31" s="1"/>
  <c r="Z1203" i="31" s="1" a="1"/>
  <c r="Z1203" i="31" s="1"/>
  <c r="X1203" i="31" a="1"/>
  <c r="X1203" i="31" s="1"/>
  <c r="W1202" i="31" a="1"/>
  <c r="W1202" i="31" s="1"/>
  <c r="Z1202" i="31" s="1" a="1"/>
  <c r="Z1202" i="31" s="1"/>
  <c r="X1202" i="31" a="1"/>
  <c r="X1202" i="31" s="1"/>
  <c r="W1201" i="31" a="1"/>
  <c r="W1201" i="31" s="1"/>
  <c r="Z1201" i="31" s="1" a="1"/>
  <c r="Z1201" i="31" s="1"/>
  <c r="X1201" i="31" a="1"/>
  <c r="X1201" i="31" s="1"/>
  <c r="W1200" i="31" a="1"/>
  <c r="W1200" i="31" s="1"/>
  <c r="Z1200" i="31" s="1" a="1"/>
  <c r="Z1200" i="31" s="1"/>
  <c r="X1200" i="31" a="1"/>
  <c r="X1200" i="31" s="1"/>
  <c r="W1199" i="31" a="1"/>
  <c r="W1199" i="31" s="1"/>
  <c r="Z1199" i="31" s="1" a="1"/>
  <c r="Z1199" i="31" s="1"/>
  <c r="X1199" i="31" a="1"/>
  <c r="X1199" i="31" s="1"/>
  <c r="W1198" i="31" a="1"/>
  <c r="W1198" i="31" s="1"/>
  <c r="Z1198" i="31" s="1" a="1"/>
  <c r="Z1198" i="31" s="1"/>
  <c r="X1198" i="31" a="1"/>
  <c r="X1198" i="31" s="1"/>
  <c r="W1197" i="31" a="1"/>
  <c r="W1197" i="31" s="1"/>
  <c r="Z1197" i="31" s="1" a="1"/>
  <c r="Z1197" i="31" s="1"/>
  <c r="X1197" i="31" a="1"/>
  <c r="X1197" i="31" s="1"/>
  <c r="W1196" i="31" a="1"/>
  <c r="W1196" i="31" s="1"/>
  <c r="Z1196" i="31" s="1" a="1"/>
  <c r="Z1196" i="31" s="1"/>
  <c r="X1196" i="31" a="1"/>
  <c r="X1196" i="31" s="1"/>
  <c r="W1195" i="31" a="1"/>
  <c r="W1195" i="31" s="1"/>
  <c r="Z1195" i="31" s="1" a="1"/>
  <c r="Z1195" i="31" s="1"/>
  <c r="X1195" i="31" a="1"/>
  <c r="X1195" i="31" s="1"/>
  <c r="W1194" i="31" a="1"/>
  <c r="W1194" i="31" s="1"/>
  <c r="Z1194" i="31" s="1" a="1"/>
  <c r="Z1194" i="31" s="1"/>
  <c r="X1194" i="31" a="1"/>
  <c r="X1194" i="31" s="1"/>
  <c r="W1193" i="31" a="1"/>
  <c r="W1193" i="31" s="1"/>
  <c r="Z1193" i="31" s="1" a="1"/>
  <c r="Z1193" i="31" s="1"/>
  <c r="X1193" i="31" a="1"/>
  <c r="X1193" i="31" s="1"/>
  <c r="W1192" i="31" a="1"/>
  <c r="W1192" i="31" s="1"/>
  <c r="Z1192" i="31" s="1" a="1"/>
  <c r="Z1192" i="31" s="1"/>
  <c r="X1192" i="31" a="1"/>
  <c r="X1192" i="31" s="1"/>
  <c r="W1191" i="31" a="1"/>
  <c r="W1191" i="31" s="1"/>
  <c r="Z1191" i="31" s="1" a="1"/>
  <c r="Z1191" i="31" s="1"/>
  <c r="X1191" i="31" a="1"/>
  <c r="X1191" i="31" s="1"/>
  <c r="W1190" i="31" a="1"/>
  <c r="W1190" i="31" s="1"/>
  <c r="Z1190" i="31" s="1" a="1"/>
  <c r="Z1190" i="31" s="1"/>
  <c r="X1190" i="31" a="1"/>
  <c r="X1190" i="31" s="1"/>
  <c r="W1189" i="31" a="1"/>
  <c r="W1189" i="31" s="1"/>
  <c r="Z1189" i="31" s="1" a="1"/>
  <c r="Z1189" i="31" s="1"/>
  <c r="X1189" i="31" a="1"/>
  <c r="X1189" i="31" s="1"/>
  <c r="W1188" i="31" a="1"/>
  <c r="W1188" i="31" s="1"/>
  <c r="Z1188" i="31" s="1" a="1"/>
  <c r="Z1188" i="31" s="1"/>
  <c r="X1188" i="31" a="1"/>
  <c r="X1188" i="31" s="1"/>
  <c r="W1187" i="31" a="1"/>
  <c r="W1187" i="31" s="1"/>
  <c r="Z1187" i="31" s="1" a="1"/>
  <c r="Z1187" i="31" s="1"/>
  <c r="X1187" i="31" a="1"/>
  <c r="X1187" i="31" s="1"/>
  <c r="W1186" i="31" a="1"/>
  <c r="W1186" i="31" s="1"/>
  <c r="Z1186" i="31" s="1" a="1"/>
  <c r="Z1186" i="31" s="1"/>
  <c r="X1186" i="31" a="1"/>
  <c r="X1186" i="31" s="1"/>
  <c r="W1185" i="31" a="1"/>
  <c r="W1185" i="31" s="1"/>
  <c r="Z1185" i="31" s="1" a="1"/>
  <c r="Z1185" i="31" s="1"/>
  <c r="X1185" i="31" a="1"/>
  <c r="X1185" i="31" s="1"/>
  <c r="W1184" i="31" a="1"/>
  <c r="W1184" i="31" s="1"/>
  <c r="Z1184" i="31" s="1" a="1"/>
  <c r="Z1184" i="31" s="1"/>
  <c r="X1184" i="31" a="1"/>
  <c r="X1184" i="31" s="1"/>
  <c r="W1183" i="31" a="1"/>
  <c r="W1183" i="31" s="1"/>
  <c r="Z1183" i="31" s="1" a="1"/>
  <c r="Z1183" i="31" s="1"/>
  <c r="X1183" i="31" a="1"/>
  <c r="X1183" i="31" s="1"/>
  <c r="W1182" i="31" a="1"/>
  <c r="W1182" i="31" s="1"/>
  <c r="Z1182" i="31" s="1" a="1"/>
  <c r="Z1182" i="31" s="1"/>
  <c r="X1182" i="31" a="1"/>
  <c r="X1182" i="31" s="1"/>
  <c r="W1181" i="31" a="1"/>
  <c r="W1181" i="31" s="1"/>
  <c r="Z1181" i="31" s="1" a="1"/>
  <c r="Z1181" i="31" s="1"/>
  <c r="X1181" i="31" a="1"/>
  <c r="X1181" i="31" s="1"/>
  <c r="W1180" i="31" a="1"/>
  <c r="W1180" i="31" s="1"/>
  <c r="Z1180" i="31" s="1" a="1"/>
  <c r="Z1180" i="31" s="1"/>
  <c r="X1180" i="31" a="1"/>
  <c r="X1180" i="31" s="1"/>
  <c r="W1179" i="31" a="1"/>
  <c r="W1179" i="31" s="1"/>
  <c r="Z1179" i="31" s="1" a="1"/>
  <c r="Z1179" i="31" s="1"/>
  <c r="X1179" i="31" a="1"/>
  <c r="X1179" i="31" s="1"/>
  <c r="W1178" i="31" a="1"/>
  <c r="W1178" i="31" s="1"/>
  <c r="Z1178" i="31" s="1" a="1"/>
  <c r="Z1178" i="31" s="1"/>
  <c r="X1178" i="31" a="1"/>
  <c r="X1178" i="31" s="1"/>
  <c r="W1177" i="31" a="1"/>
  <c r="W1177" i="31" s="1"/>
  <c r="Z1177" i="31" s="1" a="1"/>
  <c r="Z1177" i="31" s="1"/>
  <c r="X1177" i="31" a="1"/>
  <c r="X1177" i="31" s="1"/>
  <c r="W1176" i="31" a="1"/>
  <c r="W1176" i="31" s="1"/>
  <c r="Z1176" i="31" s="1" a="1"/>
  <c r="Z1176" i="31" s="1"/>
  <c r="X1176" i="31" a="1"/>
  <c r="X1176" i="31" s="1"/>
  <c r="W1175" i="31" a="1"/>
  <c r="W1175" i="31" s="1"/>
  <c r="Z1175" i="31" s="1" a="1"/>
  <c r="Z1175" i="31" s="1"/>
  <c r="X1175" i="31" a="1"/>
  <c r="X1175" i="31" s="1"/>
  <c r="W1174" i="31" a="1"/>
  <c r="W1174" i="31" s="1"/>
  <c r="Z1174" i="31" s="1" a="1"/>
  <c r="Z1174" i="31" s="1"/>
  <c r="X1174" i="31" a="1"/>
  <c r="X1174" i="31" s="1"/>
  <c r="W1173" i="31" a="1"/>
  <c r="W1173" i="31" s="1"/>
  <c r="Z1173" i="31" s="1" a="1"/>
  <c r="Z1173" i="31" s="1"/>
  <c r="X1173" i="31" a="1"/>
  <c r="X1173" i="31" s="1"/>
  <c r="W1172" i="31" a="1"/>
  <c r="W1172" i="31" s="1"/>
  <c r="Z1172" i="31" s="1" a="1"/>
  <c r="Z1172" i="31" s="1"/>
  <c r="X1172" i="31" a="1"/>
  <c r="X1172" i="31" s="1"/>
  <c r="W1171" i="31" a="1"/>
  <c r="W1171" i="31" s="1"/>
  <c r="Z1171" i="31" s="1" a="1"/>
  <c r="Z1171" i="31" s="1"/>
  <c r="X1171" i="31" a="1"/>
  <c r="X1171" i="31" s="1"/>
  <c r="W1170" i="31" a="1"/>
  <c r="W1170" i="31" s="1"/>
  <c r="Z1170" i="31" s="1" a="1"/>
  <c r="Z1170" i="31" s="1"/>
  <c r="X1170" i="31" a="1"/>
  <c r="X1170" i="31" s="1"/>
  <c r="W1169" i="31" a="1"/>
  <c r="W1169" i="31" s="1"/>
  <c r="Z1169" i="31" s="1" a="1"/>
  <c r="Z1169" i="31" s="1"/>
  <c r="X1169" i="31" a="1"/>
  <c r="X1169" i="31" s="1"/>
  <c r="W1168" i="31" a="1"/>
  <c r="W1168" i="31" s="1"/>
  <c r="Z1168" i="31" s="1" a="1"/>
  <c r="Z1168" i="31" s="1"/>
  <c r="X1168" i="31" a="1"/>
  <c r="X1168" i="31" s="1"/>
  <c r="W1167" i="31" a="1"/>
  <c r="W1167" i="31" s="1"/>
  <c r="Z1167" i="31" s="1" a="1"/>
  <c r="Z1167" i="31" s="1"/>
  <c r="X1167" i="31" a="1"/>
  <c r="X1167" i="31" s="1"/>
  <c r="W1166" i="31" a="1"/>
  <c r="W1166" i="31" s="1"/>
  <c r="Z1166" i="31" s="1" a="1"/>
  <c r="Z1166" i="31" s="1"/>
  <c r="X1166" i="31" a="1"/>
  <c r="X1166" i="31" s="1"/>
  <c r="W1165" i="31" a="1"/>
  <c r="W1165" i="31" s="1"/>
  <c r="Z1165" i="31" s="1" a="1"/>
  <c r="Z1165" i="31" s="1"/>
  <c r="X1165" i="31" a="1"/>
  <c r="X1165" i="31" s="1"/>
  <c r="W1164" i="31" a="1"/>
  <c r="W1164" i="31" s="1"/>
  <c r="Z1164" i="31" s="1" a="1"/>
  <c r="Z1164" i="31" s="1"/>
  <c r="X1164" i="31" a="1"/>
  <c r="X1164" i="31" s="1"/>
  <c r="W1163" i="31" a="1"/>
  <c r="W1163" i="31" s="1"/>
  <c r="Z1163" i="31" s="1" a="1"/>
  <c r="Z1163" i="31" s="1"/>
  <c r="X1163" i="31" a="1"/>
  <c r="X1163" i="31" s="1"/>
  <c r="W1162" i="31" a="1"/>
  <c r="W1162" i="31" s="1"/>
  <c r="Z1162" i="31" s="1" a="1"/>
  <c r="Z1162" i="31" s="1"/>
  <c r="X1162" i="31" a="1"/>
  <c r="X1162" i="31" s="1"/>
  <c r="W1161" i="31" a="1"/>
  <c r="W1161" i="31" s="1"/>
  <c r="Z1161" i="31" s="1" a="1"/>
  <c r="Z1161" i="31" s="1"/>
  <c r="X1161" i="31" a="1"/>
  <c r="X1161" i="31" s="1"/>
  <c r="W1160" i="31" a="1"/>
  <c r="W1160" i="31" s="1"/>
  <c r="Z1160" i="31" s="1" a="1"/>
  <c r="Z1160" i="31" s="1"/>
  <c r="X1160" i="31" a="1"/>
  <c r="X1160" i="31" s="1"/>
  <c r="W1159" i="31" a="1"/>
  <c r="W1159" i="31" s="1"/>
  <c r="Z1159" i="31" s="1" a="1"/>
  <c r="Z1159" i="31" s="1"/>
  <c r="X1159" i="31" a="1"/>
  <c r="X1159" i="31" s="1"/>
  <c r="W1158" i="31" a="1"/>
  <c r="W1158" i="31" s="1"/>
  <c r="Z1158" i="31" s="1" a="1"/>
  <c r="Z1158" i="31" s="1"/>
  <c r="X1158" i="31" a="1"/>
  <c r="X1158" i="31" s="1"/>
  <c r="W1157" i="31" a="1"/>
  <c r="W1157" i="31" s="1"/>
  <c r="Z1157" i="31" s="1" a="1"/>
  <c r="Z1157" i="31" s="1"/>
  <c r="X1157" i="31" a="1"/>
  <c r="X1157" i="31" s="1"/>
  <c r="W1156" i="31" a="1"/>
  <c r="W1156" i="31" s="1"/>
  <c r="Z1156" i="31" s="1" a="1"/>
  <c r="Z1156" i="31" s="1"/>
  <c r="X1156" i="31" a="1"/>
  <c r="X1156" i="31" s="1"/>
  <c r="W1155" i="31" a="1"/>
  <c r="W1155" i="31" s="1"/>
  <c r="Z1155" i="31" s="1" a="1"/>
  <c r="Z1155" i="31" s="1"/>
  <c r="X1155" i="31" a="1"/>
  <c r="X1155" i="31" s="1"/>
  <c r="W1154" i="31" a="1"/>
  <c r="W1154" i="31" s="1"/>
  <c r="Z1154" i="31" s="1" a="1"/>
  <c r="Z1154" i="31" s="1"/>
  <c r="X1154" i="31" a="1"/>
  <c r="X1154" i="31" s="1"/>
  <c r="W1153" i="31" a="1"/>
  <c r="W1153" i="31" s="1"/>
  <c r="Z1153" i="31" s="1" a="1"/>
  <c r="Z1153" i="31" s="1"/>
  <c r="X1153" i="31" a="1"/>
  <c r="X1153" i="31" s="1"/>
  <c r="W1152" i="31" a="1"/>
  <c r="W1152" i="31" s="1"/>
  <c r="Z1152" i="31" s="1" a="1"/>
  <c r="Z1152" i="31" s="1"/>
  <c r="X1152" i="31" a="1"/>
  <c r="X1152" i="31" s="1"/>
  <c r="W1151" i="31" a="1"/>
  <c r="W1151" i="31" s="1"/>
  <c r="Z1151" i="31" s="1" a="1"/>
  <c r="Z1151" i="31" s="1"/>
  <c r="X1151" i="31" a="1"/>
  <c r="X1151" i="31" s="1"/>
  <c r="W1150" i="31" a="1"/>
  <c r="W1150" i="31" s="1"/>
  <c r="Z1150" i="31" s="1" a="1"/>
  <c r="Z1150" i="31" s="1"/>
  <c r="X1150" i="31" a="1"/>
  <c r="X1150" i="31" s="1"/>
  <c r="W1149" i="31" a="1"/>
  <c r="W1149" i="31" s="1"/>
  <c r="Z1149" i="31" s="1" a="1"/>
  <c r="Z1149" i="31" s="1"/>
  <c r="X1149" i="31" a="1"/>
  <c r="X1149" i="31" s="1"/>
  <c r="W1148" i="31" a="1"/>
  <c r="W1148" i="31" s="1"/>
  <c r="Z1148" i="31" s="1" a="1"/>
  <c r="Z1148" i="31" s="1"/>
  <c r="X1148" i="31" a="1"/>
  <c r="X1148" i="31" s="1"/>
  <c r="W1147" i="31" a="1"/>
  <c r="W1147" i="31" s="1"/>
  <c r="Z1147" i="31" s="1" a="1"/>
  <c r="Z1147" i="31" s="1"/>
  <c r="X1147" i="31" a="1"/>
  <c r="X1147" i="31" s="1"/>
  <c r="W1146" i="31" a="1"/>
  <c r="W1146" i="31" s="1"/>
  <c r="Z1146" i="31" s="1" a="1"/>
  <c r="Z1146" i="31" s="1"/>
  <c r="X1146" i="31" a="1"/>
  <c r="X1146" i="31" s="1"/>
  <c r="W1145" i="31" a="1"/>
  <c r="W1145" i="31" s="1"/>
  <c r="Z1145" i="31" s="1" a="1"/>
  <c r="Z1145" i="31" s="1"/>
  <c r="X1145" i="31" a="1"/>
  <c r="X1145" i="31" s="1"/>
  <c r="W1144" i="31" a="1"/>
  <c r="W1144" i="31" s="1"/>
  <c r="Z1144" i="31" s="1" a="1"/>
  <c r="Z1144" i="31" s="1"/>
  <c r="X1144" i="31" a="1"/>
  <c r="X1144" i="31" s="1"/>
  <c r="W1143" i="31" a="1"/>
  <c r="W1143" i="31" s="1"/>
  <c r="Z1143" i="31" s="1" a="1"/>
  <c r="Z1143" i="31" s="1"/>
  <c r="X1143" i="31" a="1"/>
  <c r="X1143" i="31" s="1"/>
  <c r="W1142" i="31" a="1"/>
  <c r="W1142" i="31" s="1"/>
  <c r="Z1142" i="31" s="1" a="1"/>
  <c r="Z1142" i="31" s="1"/>
  <c r="X1142" i="31" a="1"/>
  <c r="X1142" i="31" s="1"/>
  <c r="W1141" i="31" a="1"/>
  <c r="W1141" i="31" s="1"/>
  <c r="Z1141" i="31" s="1" a="1"/>
  <c r="Z1141" i="31" s="1"/>
  <c r="X1141" i="31" a="1"/>
  <c r="X1141" i="31" s="1"/>
  <c r="W1140" i="31" a="1"/>
  <c r="W1140" i="31" s="1"/>
  <c r="Z1140" i="31" s="1" a="1"/>
  <c r="Z1140" i="31" s="1"/>
  <c r="X1140" i="31" a="1"/>
  <c r="X1140" i="31" s="1"/>
  <c r="W1139" i="31" a="1"/>
  <c r="W1139" i="31" s="1"/>
  <c r="Z1139" i="31" s="1" a="1"/>
  <c r="Z1139" i="31" s="1"/>
  <c r="X1139" i="31" a="1"/>
  <c r="X1139" i="31" s="1"/>
  <c r="W1138" i="31" a="1"/>
  <c r="W1138" i="31" s="1"/>
  <c r="Z1138" i="31" s="1" a="1"/>
  <c r="Z1138" i="31" s="1"/>
  <c r="X1138" i="31" a="1"/>
  <c r="X1138" i="31" s="1"/>
  <c r="W1137" i="31" a="1"/>
  <c r="W1137" i="31" s="1"/>
  <c r="Z1137" i="31" s="1" a="1"/>
  <c r="Z1137" i="31" s="1"/>
  <c r="X1137" i="31" a="1"/>
  <c r="X1137" i="31" s="1"/>
  <c r="W1136" i="31" a="1"/>
  <c r="W1136" i="31" s="1"/>
  <c r="Z1136" i="31" s="1" a="1"/>
  <c r="Z1136" i="31" s="1"/>
  <c r="X1136" i="31" a="1"/>
  <c r="X1136" i="31" s="1"/>
  <c r="W1135" i="31" a="1"/>
  <c r="W1135" i="31" s="1"/>
  <c r="Z1135" i="31" s="1" a="1"/>
  <c r="Z1135" i="31" s="1"/>
  <c r="X1135" i="31" a="1"/>
  <c r="X1135" i="31" s="1"/>
  <c r="W1134" i="31" a="1"/>
  <c r="W1134" i="31" s="1"/>
  <c r="Z1134" i="31" s="1" a="1"/>
  <c r="Z1134" i="31" s="1"/>
  <c r="X1134" i="31" a="1"/>
  <c r="X1134" i="31" s="1"/>
  <c r="W1133" i="31" a="1"/>
  <c r="W1133" i="31" s="1"/>
  <c r="Z1133" i="31" s="1" a="1"/>
  <c r="Z1133" i="31" s="1"/>
  <c r="X1133" i="31" a="1"/>
  <c r="X1133" i="31" s="1"/>
  <c r="W1132" i="31" a="1"/>
  <c r="W1132" i="31" s="1"/>
  <c r="Z1132" i="31" s="1" a="1"/>
  <c r="Z1132" i="31" s="1"/>
  <c r="X1132" i="31" a="1"/>
  <c r="X1132" i="31" s="1"/>
  <c r="W1131" i="31" a="1"/>
  <c r="W1131" i="31" s="1"/>
  <c r="Z1131" i="31" s="1" a="1"/>
  <c r="Z1131" i="31" s="1"/>
  <c r="X1131" i="31" a="1"/>
  <c r="X1131" i="31" s="1"/>
  <c r="W1130" i="31" a="1"/>
  <c r="W1130" i="31" s="1"/>
  <c r="Z1130" i="31" s="1" a="1"/>
  <c r="Z1130" i="31" s="1"/>
  <c r="X1130" i="31" a="1"/>
  <c r="X1130" i="31" s="1"/>
  <c r="W1129" i="31" a="1"/>
  <c r="W1129" i="31" s="1"/>
  <c r="Z1129" i="31" s="1" a="1"/>
  <c r="Z1129" i="31" s="1"/>
  <c r="X1129" i="31" a="1"/>
  <c r="X1129" i="31" s="1"/>
  <c r="W1128" i="31" a="1"/>
  <c r="W1128" i="31" s="1"/>
  <c r="Z1128" i="31" s="1" a="1"/>
  <c r="Z1128" i="31" s="1"/>
  <c r="X1128" i="31" a="1"/>
  <c r="X1128" i="31" s="1"/>
  <c r="W1127" i="31" a="1"/>
  <c r="W1127" i="31" s="1"/>
  <c r="Z1127" i="31" s="1" a="1"/>
  <c r="Z1127" i="31" s="1"/>
  <c r="X1127" i="31" a="1"/>
  <c r="X1127" i="31" s="1"/>
  <c r="W1126" i="31" a="1"/>
  <c r="W1126" i="31" s="1"/>
  <c r="Z1126" i="31" s="1" a="1"/>
  <c r="Z1126" i="31" s="1"/>
  <c r="X1126" i="31" a="1"/>
  <c r="X1126" i="31" s="1"/>
  <c r="W1125" i="31" a="1"/>
  <c r="W1125" i="31" s="1"/>
  <c r="Z1125" i="31" s="1" a="1"/>
  <c r="Z1125" i="31" s="1"/>
  <c r="X1125" i="31" a="1"/>
  <c r="X1125" i="31" s="1"/>
  <c r="W1124" i="31" a="1"/>
  <c r="W1124" i="31" s="1"/>
  <c r="Z1124" i="31" s="1" a="1"/>
  <c r="Z1124" i="31" s="1"/>
  <c r="X1124" i="31" a="1"/>
  <c r="X1124" i="31" s="1"/>
  <c r="W1123" i="31" a="1"/>
  <c r="W1123" i="31" s="1"/>
  <c r="Z1123" i="31" s="1" a="1"/>
  <c r="Z1123" i="31" s="1"/>
  <c r="X1123" i="31" a="1"/>
  <c r="X1123" i="31" s="1"/>
  <c r="W1122" i="31" a="1"/>
  <c r="W1122" i="31" s="1"/>
  <c r="Z1122" i="31" s="1" a="1"/>
  <c r="Z1122" i="31" s="1"/>
  <c r="X1122" i="31" a="1"/>
  <c r="X1122" i="31" s="1"/>
  <c r="W1121" i="31" a="1"/>
  <c r="W1121" i="31" s="1"/>
  <c r="Z1121" i="31" s="1" a="1"/>
  <c r="Z1121" i="31" s="1"/>
  <c r="X1121" i="31" a="1"/>
  <c r="X1121" i="31" s="1"/>
  <c r="W1120" i="31" a="1"/>
  <c r="W1120" i="31" s="1"/>
  <c r="Z1120" i="31" s="1" a="1"/>
  <c r="Z1120" i="31" s="1"/>
  <c r="X1120" i="31" a="1"/>
  <c r="X1120" i="31" s="1"/>
  <c r="W1119" i="31" a="1"/>
  <c r="W1119" i="31" s="1"/>
  <c r="Z1119" i="31" s="1" a="1"/>
  <c r="Z1119" i="31" s="1"/>
  <c r="X1119" i="31" a="1"/>
  <c r="X1119" i="31" s="1"/>
  <c r="W1118" i="31" a="1"/>
  <c r="W1118" i="31" s="1"/>
  <c r="Z1118" i="31" s="1" a="1"/>
  <c r="Z1118" i="31" s="1"/>
  <c r="X1118" i="31" a="1"/>
  <c r="X1118" i="31" s="1"/>
  <c r="W1117" i="31" a="1"/>
  <c r="W1117" i="31" s="1"/>
  <c r="Z1117" i="31" s="1" a="1"/>
  <c r="Z1117" i="31" s="1"/>
  <c r="X1117" i="31" a="1"/>
  <c r="X1117" i="31" s="1"/>
  <c r="W1116" i="31" a="1"/>
  <c r="W1116" i="31" s="1"/>
  <c r="Z1116" i="31" s="1" a="1"/>
  <c r="Z1116" i="31" s="1"/>
  <c r="X1116" i="31" a="1"/>
  <c r="X1116" i="31" s="1"/>
  <c r="W1115" i="31" a="1"/>
  <c r="W1115" i="31" s="1"/>
  <c r="Z1115" i="31" s="1" a="1"/>
  <c r="Z1115" i="31" s="1"/>
  <c r="X1115" i="31" a="1"/>
  <c r="X1115" i="31" s="1"/>
  <c r="W1114" i="31" a="1"/>
  <c r="W1114" i="31" s="1"/>
  <c r="Z1114" i="31" s="1" a="1"/>
  <c r="Z1114" i="31" s="1"/>
  <c r="X1114" i="31" a="1"/>
  <c r="X1114" i="31" s="1"/>
  <c r="W1113" i="31" a="1"/>
  <c r="W1113" i="31" s="1"/>
  <c r="Z1113" i="31" s="1" a="1"/>
  <c r="Z1113" i="31" s="1"/>
  <c r="X1113" i="31" a="1"/>
  <c r="X1113" i="31" s="1"/>
  <c r="W1112" i="31" a="1"/>
  <c r="W1112" i="31" s="1"/>
  <c r="Z1112" i="31" s="1" a="1"/>
  <c r="Z1112" i="31" s="1"/>
  <c r="X1112" i="31" a="1"/>
  <c r="X1112" i="31" s="1"/>
  <c r="W1111" i="31" a="1"/>
  <c r="W1111" i="31" s="1"/>
  <c r="Z1111" i="31" s="1" a="1"/>
  <c r="Z1111" i="31" s="1"/>
  <c r="X1111" i="31" a="1"/>
  <c r="X1111" i="31" s="1"/>
  <c r="W1110" i="31" a="1"/>
  <c r="W1110" i="31" s="1"/>
  <c r="Z1110" i="31" s="1" a="1"/>
  <c r="Z1110" i="31" s="1"/>
  <c r="X1110" i="31" a="1"/>
  <c r="X1110" i="31" s="1"/>
  <c r="W1109" i="31" a="1"/>
  <c r="W1109" i="31" s="1"/>
  <c r="Z1109" i="31" s="1" a="1"/>
  <c r="Z1109" i="31" s="1"/>
  <c r="X1109" i="31" a="1"/>
  <c r="X1109" i="31" s="1"/>
  <c r="W1108" i="31" a="1"/>
  <c r="W1108" i="31" s="1"/>
  <c r="Z1108" i="31" s="1" a="1"/>
  <c r="Z1108" i="31" s="1"/>
  <c r="X1108" i="31" a="1"/>
  <c r="X1108" i="31" s="1"/>
  <c r="W1107" i="31" a="1"/>
  <c r="W1107" i="31" s="1"/>
  <c r="Z1107" i="31" s="1" a="1"/>
  <c r="Z1107" i="31" s="1"/>
  <c r="X1107" i="31" a="1"/>
  <c r="X1107" i="31" s="1"/>
  <c r="W1106" i="31" a="1"/>
  <c r="W1106" i="31" s="1"/>
  <c r="Z1106" i="31" s="1" a="1"/>
  <c r="Z1106" i="31" s="1"/>
  <c r="X1106" i="31" a="1"/>
  <c r="X1106" i="31" s="1"/>
  <c r="W1105" i="31" a="1"/>
  <c r="W1105" i="31" s="1"/>
  <c r="Z1105" i="31" s="1" a="1"/>
  <c r="Z1105" i="31" s="1"/>
  <c r="X1105" i="31" a="1"/>
  <c r="X1105" i="31" s="1"/>
  <c r="W1104" i="31" a="1"/>
  <c r="W1104" i="31" s="1"/>
  <c r="Z1104" i="31" s="1" a="1"/>
  <c r="Z1104" i="31" s="1"/>
  <c r="X1104" i="31" a="1"/>
  <c r="X1104" i="31" s="1"/>
  <c r="W1103" i="31" a="1"/>
  <c r="W1103" i="31" s="1"/>
  <c r="Z1103" i="31" s="1" a="1"/>
  <c r="Z1103" i="31" s="1"/>
  <c r="X1103" i="31" a="1"/>
  <c r="X1103" i="31" s="1"/>
  <c r="W1102" i="31" a="1"/>
  <c r="W1102" i="31" s="1"/>
  <c r="Z1102" i="31" s="1" a="1"/>
  <c r="Z1102" i="31" s="1"/>
  <c r="X1102" i="31" a="1"/>
  <c r="X1102" i="31" s="1"/>
  <c r="W1101" i="31" a="1"/>
  <c r="W1101" i="31" s="1"/>
  <c r="Z1101" i="31" s="1" a="1"/>
  <c r="Z1101" i="31" s="1"/>
  <c r="X1101" i="31" a="1"/>
  <c r="X1101" i="31" s="1"/>
  <c r="W1100" i="31" a="1"/>
  <c r="W1100" i="31" s="1"/>
  <c r="Z1100" i="31" s="1" a="1"/>
  <c r="Z1100" i="31" s="1"/>
  <c r="X1100" i="31" a="1"/>
  <c r="X1100" i="31" s="1"/>
  <c r="W1099" i="31" a="1"/>
  <c r="W1099" i="31" s="1"/>
  <c r="Z1099" i="31" s="1" a="1"/>
  <c r="Z1099" i="31" s="1"/>
  <c r="X1099" i="31" a="1"/>
  <c r="X1099" i="31" s="1"/>
  <c r="W1098" i="31" a="1"/>
  <c r="W1098" i="31" s="1"/>
  <c r="Z1098" i="31" s="1" a="1"/>
  <c r="Z1098" i="31" s="1"/>
  <c r="X1098" i="31" a="1"/>
  <c r="X1098" i="31" s="1"/>
  <c r="W1097" i="31" a="1"/>
  <c r="W1097" i="31" s="1"/>
  <c r="Z1097" i="31" s="1" a="1"/>
  <c r="Z1097" i="31" s="1"/>
  <c r="X1097" i="31" a="1"/>
  <c r="X1097" i="31" s="1"/>
  <c r="W1096" i="31" a="1"/>
  <c r="W1096" i="31" s="1"/>
  <c r="Z1096" i="31" s="1" a="1"/>
  <c r="Z1096" i="31" s="1"/>
  <c r="X1096" i="31" a="1"/>
  <c r="X1096" i="31" s="1"/>
  <c r="W1095" i="31" a="1"/>
  <c r="W1095" i="31" s="1"/>
  <c r="Z1095" i="31" s="1" a="1"/>
  <c r="Z1095" i="31" s="1"/>
  <c r="X1095" i="31" a="1"/>
  <c r="X1095" i="31" s="1"/>
  <c r="W1094" i="31" a="1"/>
  <c r="W1094" i="31" s="1"/>
  <c r="Z1094" i="31" s="1" a="1"/>
  <c r="Z1094" i="31" s="1"/>
  <c r="X1094" i="31" a="1"/>
  <c r="X1094" i="31" s="1"/>
  <c r="W1093" i="31" a="1"/>
  <c r="W1093" i="31" s="1"/>
  <c r="Z1093" i="31" s="1" a="1"/>
  <c r="Z1093" i="31" s="1"/>
  <c r="X1093" i="31" a="1"/>
  <c r="X1093" i="31" s="1"/>
  <c r="W1092" i="31" a="1"/>
  <c r="W1092" i="31" s="1"/>
  <c r="Z1092" i="31" s="1" a="1"/>
  <c r="Z1092" i="31" s="1"/>
  <c r="X1092" i="31" a="1"/>
  <c r="X1092" i="31" s="1"/>
  <c r="W1091" i="31" a="1"/>
  <c r="W1091" i="31" s="1"/>
  <c r="Z1091" i="31" s="1" a="1"/>
  <c r="Z1091" i="31" s="1"/>
  <c r="X1091" i="31" a="1"/>
  <c r="X1091" i="31" s="1"/>
  <c r="W1090" i="31" a="1"/>
  <c r="W1090" i="31" s="1"/>
  <c r="Z1090" i="31" s="1" a="1"/>
  <c r="Z1090" i="31" s="1"/>
  <c r="X1090" i="31" a="1"/>
  <c r="X1090" i="31" s="1"/>
  <c r="W1089" i="31" a="1"/>
  <c r="W1089" i="31" s="1"/>
  <c r="Z1089" i="31" s="1" a="1"/>
  <c r="Z1089" i="31" s="1"/>
  <c r="X1089" i="31" a="1"/>
  <c r="X1089" i="31" s="1"/>
  <c r="W1088" i="31" a="1"/>
  <c r="W1088" i="31" s="1"/>
  <c r="Z1088" i="31" s="1" a="1"/>
  <c r="Z1088" i="31" s="1"/>
  <c r="X1088" i="31" a="1"/>
  <c r="X1088" i="31" s="1"/>
  <c r="W1087" i="31" a="1"/>
  <c r="W1087" i="31" s="1"/>
  <c r="Z1087" i="31" s="1" a="1"/>
  <c r="Z1087" i="31" s="1"/>
  <c r="X1087" i="31" a="1"/>
  <c r="X1087" i="31" s="1"/>
  <c r="W1086" i="31" a="1"/>
  <c r="W1086" i="31" s="1"/>
  <c r="Z1086" i="31" s="1" a="1"/>
  <c r="Z1086" i="31" s="1"/>
  <c r="X1086" i="31" a="1"/>
  <c r="X1086" i="31" s="1"/>
  <c r="W1085" i="31" a="1"/>
  <c r="W1085" i="31" s="1"/>
  <c r="Z1085" i="31" s="1" a="1"/>
  <c r="Z1085" i="31" s="1"/>
  <c r="X1085" i="31" a="1"/>
  <c r="X1085" i="31" s="1"/>
  <c r="W1084" i="31" a="1"/>
  <c r="W1084" i="31" s="1"/>
  <c r="Z1084" i="31" s="1" a="1"/>
  <c r="Z1084" i="31" s="1"/>
  <c r="X1084" i="31" a="1"/>
  <c r="X1084" i="31" s="1"/>
  <c r="W1083" i="31" a="1"/>
  <c r="W1083" i="31" s="1"/>
  <c r="Z1083" i="31" s="1" a="1"/>
  <c r="Z1083" i="31" s="1"/>
  <c r="X1083" i="31" a="1"/>
  <c r="X1083" i="31" s="1"/>
  <c r="W1082" i="31" a="1"/>
  <c r="W1082" i="31" s="1"/>
  <c r="Z1082" i="31" s="1" a="1"/>
  <c r="Z1082" i="31" s="1"/>
  <c r="X1082" i="31" a="1"/>
  <c r="X1082" i="31" s="1"/>
  <c r="W1081" i="31" a="1"/>
  <c r="W1081" i="31" s="1"/>
  <c r="Z1081" i="31" s="1" a="1"/>
  <c r="Z1081" i="31" s="1"/>
  <c r="X1081" i="31" a="1"/>
  <c r="X1081" i="31" s="1"/>
  <c r="W1080" i="31" a="1"/>
  <c r="W1080" i="31" s="1"/>
  <c r="Z1080" i="31" s="1" a="1"/>
  <c r="Z1080" i="31" s="1"/>
  <c r="X1080" i="31" a="1"/>
  <c r="X1080" i="31" s="1"/>
  <c r="W1079" i="31" a="1"/>
  <c r="W1079" i="31" s="1"/>
  <c r="Z1079" i="31" s="1" a="1"/>
  <c r="Z1079" i="31" s="1"/>
  <c r="X1079" i="31" a="1"/>
  <c r="X1079" i="31" s="1"/>
  <c r="W1078" i="31" a="1"/>
  <c r="W1078" i="31" s="1"/>
  <c r="Z1078" i="31" s="1" a="1"/>
  <c r="Z1078" i="31" s="1"/>
  <c r="X1078" i="31" a="1"/>
  <c r="X1078" i="31" s="1"/>
  <c r="W1077" i="31" a="1"/>
  <c r="W1077" i="31" s="1"/>
  <c r="Z1077" i="31" s="1" a="1"/>
  <c r="Z1077" i="31" s="1"/>
  <c r="X1077" i="31" a="1"/>
  <c r="X1077" i="31" s="1"/>
  <c r="W1076" i="31" a="1"/>
  <c r="W1076" i="31" s="1"/>
  <c r="Z1076" i="31" s="1" a="1"/>
  <c r="Z1076" i="31" s="1"/>
  <c r="X1076" i="31" a="1"/>
  <c r="X1076" i="31" s="1"/>
  <c r="W1075" i="31" a="1"/>
  <c r="W1075" i="31" s="1"/>
  <c r="Z1075" i="31" s="1" a="1"/>
  <c r="Z1075" i="31" s="1"/>
  <c r="X1075" i="31" a="1"/>
  <c r="X1075" i="31" s="1"/>
  <c r="W1074" i="31" a="1"/>
  <c r="W1074" i="31" s="1"/>
  <c r="Z1074" i="31" s="1" a="1"/>
  <c r="Z1074" i="31" s="1"/>
  <c r="X1074" i="31" a="1"/>
  <c r="X1074" i="31" s="1"/>
  <c r="W1073" i="31" a="1"/>
  <c r="W1073" i="31" s="1"/>
  <c r="Z1073" i="31" s="1" a="1"/>
  <c r="Z1073" i="31" s="1"/>
  <c r="X1073" i="31" a="1"/>
  <c r="X1073" i="31" s="1"/>
  <c r="W1072" i="31" a="1"/>
  <c r="W1072" i="31" s="1"/>
  <c r="Z1072" i="31" s="1" a="1"/>
  <c r="Z1072" i="31" s="1"/>
  <c r="X1072" i="31" a="1"/>
  <c r="X1072" i="31" s="1"/>
  <c r="W1071" i="31" a="1"/>
  <c r="W1071" i="31" s="1"/>
  <c r="Z1071" i="31" s="1" a="1"/>
  <c r="Z1071" i="31" s="1"/>
  <c r="X1071" i="31" a="1"/>
  <c r="X1071" i="31" s="1"/>
  <c r="W1070" i="31" a="1"/>
  <c r="W1070" i="31" s="1"/>
  <c r="Z1070" i="31" s="1" a="1"/>
  <c r="Z1070" i="31" s="1"/>
  <c r="X1070" i="31" a="1"/>
  <c r="X1070" i="31" s="1"/>
  <c r="W1069" i="31" a="1"/>
  <c r="W1069" i="31" s="1"/>
  <c r="Z1069" i="31" s="1" a="1"/>
  <c r="Z1069" i="31" s="1"/>
  <c r="X1069" i="31" a="1"/>
  <c r="X1069" i="31" s="1"/>
  <c r="W1068" i="31" a="1"/>
  <c r="W1068" i="31" s="1"/>
  <c r="Z1068" i="31" s="1" a="1"/>
  <c r="Z1068" i="31" s="1"/>
  <c r="X1068" i="31" a="1"/>
  <c r="X1068" i="31" s="1"/>
  <c r="W1067" i="31" a="1"/>
  <c r="W1067" i="31" s="1"/>
  <c r="Z1067" i="31" s="1" a="1"/>
  <c r="Z1067" i="31" s="1"/>
  <c r="X1067" i="31" a="1"/>
  <c r="X1067" i="31" s="1"/>
  <c r="W1066" i="31" a="1"/>
  <c r="W1066" i="31" s="1"/>
  <c r="Z1066" i="31" s="1" a="1"/>
  <c r="Z1066" i="31" s="1"/>
  <c r="X1066" i="31" a="1"/>
  <c r="X1066" i="31" s="1"/>
  <c r="W1065" i="31" a="1"/>
  <c r="W1065" i="31" s="1"/>
  <c r="Z1065" i="31" s="1" a="1"/>
  <c r="Z1065" i="31" s="1"/>
  <c r="X1065" i="31" a="1"/>
  <c r="X1065" i="31" s="1"/>
  <c r="W1064" i="31" a="1"/>
  <c r="W1064" i="31" s="1"/>
  <c r="Z1064" i="31" s="1" a="1"/>
  <c r="Z1064" i="31" s="1"/>
  <c r="X1064" i="31" a="1"/>
  <c r="X1064" i="31" s="1"/>
  <c r="W1063" i="31" a="1"/>
  <c r="W1063" i="31" s="1"/>
  <c r="Z1063" i="31" s="1" a="1"/>
  <c r="Z1063" i="31" s="1"/>
  <c r="X1063" i="31" a="1"/>
  <c r="X1063" i="31" s="1"/>
  <c r="W1062" i="31" a="1"/>
  <c r="W1062" i="31" s="1"/>
  <c r="Z1062" i="31" s="1" a="1"/>
  <c r="Z1062" i="31" s="1"/>
  <c r="X1062" i="31" a="1"/>
  <c r="X1062" i="31" s="1"/>
  <c r="W1061" i="31" a="1"/>
  <c r="W1061" i="31" s="1"/>
  <c r="Z1061" i="31" s="1" a="1"/>
  <c r="Z1061" i="31" s="1"/>
  <c r="X1061" i="31" a="1"/>
  <c r="X1061" i="31" s="1"/>
  <c r="W1060" i="31" a="1"/>
  <c r="W1060" i="31" s="1"/>
  <c r="Z1060" i="31" s="1" a="1"/>
  <c r="Z1060" i="31" s="1"/>
  <c r="X1060" i="31" a="1"/>
  <c r="X1060" i="31" s="1"/>
  <c r="W1059" i="31" a="1"/>
  <c r="W1059" i="31" s="1"/>
  <c r="Z1059" i="31" s="1" a="1"/>
  <c r="Z1059" i="31" s="1"/>
  <c r="X1059" i="31" a="1"/>
  <c r="X1059" i="31" s="1"/>
  <c r="W1058" i="31" a="1"/>
  <c r="W1058" i="31" s="1"/>
  <c r="Z1058" i="31" s="1" a="1"/>
  <c r="Z1058" i="31" s="1"/>
  <c r="X1058" i="31" a="1"/>
  <c r="X1058" i="31" s="1"/>
  <c r="W1057" i="31" a="1"/>
  <c r="W1057" i="31" s="1"/>
  <c r="Z1057" i="31" s="1" a="1"/>
  <c r="Z1057" i="31" s="1"/>
  <c r="X1057" i="31" a="1"/>
  <c r="X1057" i="31" s="1"/>
  <c r="W1056" i="31" a="1"/>
  <c r="W1056" i="31" s="1"/>
  <c r="Z1056" i="31" s="1" a="1"/>
  <c r="Z1056" i="31" s="1"/>
  <c r="X1056" i="31" a="1"/>
  <c r="X1056" i="31" s="1"/>
  <c r="W1055" i="31" a="1"/>
  <c r="W1055" i="31" s="1"/>
  <c r="Z1055" i="31" s="1" a="1"/>
  <c r="Z1055" i="31" s="1"/>
  <c r="X1055" i="31" a="1"/>
  <c r="X1055" i="31" s="1"/>
  <c r="W1054" i="31" a="1"/>
  <c r="W1054" i="31" s="1"/>
  <c r="Z1054" i="31" s="1" a="1"/>
  <c r="Z1054" i="31" s="1"/>
  <c r="X1054" i="31" a="1"/>
  <c r="X1054" i="31" s="1"/>
  <c r="W1053" i="31" a="1"/>
  <c r="W1053" i="31" s="1"/>
  <c r="Z1053" i="31" s="1" a="1"/>
  <c r="Z1053" i="31" s="1"/>
  <c r="X1053" i="31" a="1"/>
  <c r="X1053" i="31" s="1"/>
  <c r="W1052" i="31" a="1"/>
  <c r="W1052" i="31" s="1"/>
  <c r="Z1052" i="31" s="1" a="1"/>
  <c r="Z1052" i="31" s="1"/>
  <c r="X1052" i="31" a="1"/>
  <c r="X1052" i="31" s="1"/>
  <c r="W1051" i="31" a="1"/>
  <c r="W1051" i="31" s="1"/>
  <c r="Z1051" i="31" s="1" a="1"/>
  <c r="Z1051" i="31" s="1"/>
  <c r="X1051" i="31" a="1"/>
  <c r="X1051" i="31" s="1"/>
  <c r="W1050" i="31" a="1"/>
  <c r="W1050" i="31" s="1"/>
  <c r="Z1050" i="31" s="1" a="1"/>
  <c r="Z1050" i="31" s="1"/>
  <c r="X1050" i="31" a="1"/>
  <c r="X1050" i="31" s="1"/>
  <c r="W1049" i="31" a="1"/>
  <c r="W1049" i="31" s="1"/>
  <c r="Z1049" i="31" s="1" a="1"/>
  <c r="Z1049" i="31" s="1"/>
  <c r="X1049" i="31" a="1"/>
  <c r="X1049" i="31" s="1"/>
  <c r="W1048" i="31" a="1"/>
  <c r="W1048" i="31" s="1"/>
  <c r="Z1048" i="31" s="1" a="1"/>
  <c r="Z1048" i="31" s="1"/>
  <c r="X1048" i="31" a="1"/>
  <c r="X1048" i="31" s="1"/>
  <c r="W1047" i="31" a="1"/>
  <c r="W1047" i="31" s="1"/>
  <c r="Z1047" i="31" s="1" a="1"/>
  <c r="Z1047" i="31" s="1"/>
  <c r="X1047" i="31" a="1"/>
  <c r="X1047" i="31" s="1"/>
  <c r="W1046" i="31" a="1"/>
  <c r="W1046" i="31" s="1"/>
  <c r="Z1046" i="31" s="1" a="1"/>
  <c r="Z1046" i="31" s="1"/>
  <c r="X1046" i="31" a="1"/>
  <c r="X1046" i="31" s="1"/>
  <c r="W1045" i="31" a="1"/>
  <c r="W1045" i="31" s="1"/>
  <c r="Z1045" i="31" s="1" a="1"/>
  <c r="Z1045" i="31" s="1"/>
  <c r="X1045" i="31" a="1"/>
  <c r="X1045" i="31" s="1"/>
  <c r="W1044" i="31" a="1"/>
  <c r="W1044" i="31" s="1"/>
  <c r="Z1044" i="31" s="1" a="1"/>
  <c r="Z1044" i="31" s="1"/>
  <c r="X1044" i="31" a="1"/>
  <c r="X1044" i="31" s="1"/>
  <c r="W1043" i="31" a="1"/>
  <c r="W1043" i="31" s="1"/>
  <c r="Z1043" i="31" s="1" a="1"/>
  <c r="Z1043" i="31" s="1"/>
  <c r="X1043" i="31" a="1"/>
  <c r="X1043" i="31" s="1"/>
  <c r="W1042" i="31" a="1"/>
  <c r="W1042" i="31" s="1"/>
  <c r="Z1042" i="31" s="1" a="1"/>
  <c r="Z1042" i="31" s="1"/>
  <c r="X1042" i="31" a="1"/>
  <c r="X1042" i="31" s="1"/>
  <c r="W1041" i="31" a="1"/>
  <c r="W1041" i="31" s="1"/>
  <c r="Z1041" i="31" s="1" a="1"/>
  <c r="Z1041" i="31" s="1"/>
  <c r="X1041" i="31" a="1"/>
  <c r="X1041" i="31" s="1"/>
  <c r="W1040" i="31" a="1"/>
  <c r="W1040" i="31" s="1"/>
  <c r="Z1040" i="31" s="1" a="1"/>
  <c r="Z1040" i="31" s="1"/>
  <c r="X1040" i="31" a="1"/>
  <c r="X1040" i="31" s="1"/>
  <c r="W1039" i="31" a="1"/>
  <c r="W1039" i="31" s="1"/>
  <c r="Z1039" i="31" s="1" a="1"/>
  <c r="Z1039" i="31" s="1"/>
  <c r="X1039" i="31" a="1"/>
  <c r="X1039" i="31" s="1"/>
  <c r="W1038" i="31" a="1"/>
  <c r="W1038" i="31" s="1"/>
  <c r="Z1038" i="31" s="1" a="1"/>
  <c r="Z1038" i="31" s="1"/>
  <c r="X1038" i="31" a="1"/>
  <c r="X1038" i="31" s="1"/>
  <c r="W1037" i="31" a="1"/>
  <c r="W1037" i="31" s="1"/>
  <c r="Z1037" i="31" s="1" a="1"/>
  <c r="Z1037" i="31" s="1"/>
  <c r="X1037" i="31" a="1"/>
  <c r="X1037" i="31" s="1"/>
  <c r="W1036" i="31" a="1"/>
  <c r="W1036" i="31" s="1"/>
  <c r="Z1036" i="31" s="1" a="1"/>
  <c r="Z1036" i="31" s="1"/>
  <c r="X1036" i="31" a="1"/>
  <c r="X1036" i="31" s="1"/>
  <c r="W1035" i="31" a="1"/>
  <c r="W1035" i="31" s="1"/>
  <c r="Z1035" i="31" s="1" a="1"/>
  <c r="Z1035" i="31" s="1"/>
  <c r="X1035" i="31" a="1"/>
  <c r="X1035" i="31" s="1"/>
  <c r="W1034" i="31" a="1"/>
  <c r="W1034" i="31" s="1"/>
  <c r="Z1034" i="31" s="1" a="1"/>
  <c r="Z1034" i="31" s="1"/>
  <c r="X1034" i="31" a="1"/>
  <c r="X1034" i="31" s="1"/>
  <c r="W1033" i="31" a="1"/>
  <c r="W1033" i="31" s="1"/>
  <c r="Z1033" i="31" s="1" a="1"/>
  <c r="Z1033" i="31" s="1"/>
  <c r="X1033" i="31" a="1"/>
  <c r="X1033" i="31" s="1"/>
  <c r="W1032" i="31" a="1"/>
  <c r="W1032" i="31" s="1"/>
  <c r="Z1032" i="31" s="1" a="1"/>
  <c r="Z1032" i="31" s="1"/>
  <c r="X1032" i="31" a="1"/>
  <c r="X1032" i="31" s="1"/>
  <c r="W1031" i="31" a="1"/>
  <c r="W1031" i="31" s="1"/>
  <c r="Z1031" i="31" s="1" a="1"/>
  <c r="Z1031" i="31" s="1"/>
  <c r="X1031" i="31" a="1"/>
  <c r="X1031" i="31" s="1"/>
  <c r="W1030" i="31" a="1"/>
  <c r="W1030" i="31" s="1"/>
  <c r="Z1030" i="31" s="1" a="1"/>
  <c r="Z1030" i="31" s="1"/>
  <c r="X1030" i="31" a="1"/>
  <c r="X1030" i="31" s="1"/>
  <c r="W1029" i="31" a="1"/>
  <c r="W1029" i="31" s="1"/>
  <c r="Z1029" i="31" s="1" a="1"/>
  <c r="Z1029" i="31" s="1"/>
  <c r="X1029" i="31" a="1"/>
  <c r="X1029" i="31" s="1"/>
  <c r="W1028" i="31" a="1"/>
  <c r="W1028" i="31" s="1"/>
  <c r="Z1028" i="31" s="1" a="1"/>
  <c r="Z1028" i="31" s="1"/>
  <c r="X1028" i="31" a="1"/>
  <c r="X1028" i="31" s="1"/>
  <c r="W1027" i="31" a="1"/>
  <c r="W1027" i="31" s="1"/>
  <c r="Z1027" i="31" s="1" a="1"/>
  <c r="Z1027" i="31" s="1"/>
  <c r="X1027" i="31" a="1"/>
  <c r="X1027" i="31" s="1"/>
  <c r="W1026" i="31" a="1"/>
  <c r="W1026" i="31" s="1"/>
  <c r="Z1026" i="31" s="1" a="1"/>
  <c r="Z1026" i="31" s="1"/>
  <c r="X1026" i="31" a="1"/>
  <c r="X1026" i="31" s="1"/>
  <c r="W1025" i="31" a="1"/>
  <c r="W1025" i="31" s="1"/>
  <c r="Z1025" i="31" s="1" a="1"/>
  <c r="Z1025" i="31" s="1"/>
  <c r="X1025" i="31" a="1"/>
  <c r="X1025" i="31" s="1"/>
  <c r="W1024" i="31" a="1"/>
  <c r="W1024" i="31" s="1"/>
  <c r="Z1024" i="31" s="1" a="1"/>
  <c r="Z1024" i="31" s="1"/>
  <c r="X1024" i="31" a="1"/>
  <c r="X1024" i="31" s="1"/>
  <c r="W1023" i="31" a="1"/>
  <c r="W1023" i="31" s="1"/>
  <c r="Z1023" i="31" s="1" a="1"/>
  <c r="Z1023" i="31" s="1"/>
  <c r="X1023" i="31" a="1"/>
  <c r="X1023" i="31" s="1"/>
  <c r="W1022" i="31" a="1"/>
  <c r="W1022" i="31" s="1"/>
  <c r="Z1022" i="31" s="1" a="1"/>
  <c r="Z1022" i="31" s="1"/>
  <c r="X1022" i="31" a="1"/>
  <c r="X1022" i="31" s="1"/>
  <c r="W1021" i="31" a="1"/>
  <c r="W1021" i="31" s="1"/>
  <c r="Z1021" i="31" s="1" a="1"/>
  <c r="Z1021" i="31" s="1"/>
  <c r="X1021" i="31" a="1"/>
  <c r="X1021" i="31" s="1"/>
  <c r="W1020" i="31" a="1"/>
  <c r="W1020" i="31" s="1"/>
  <c r="Z1020" i="31" s="1" a="1"/>
  <c r="Z1020" i="31" s="1"/>
  <c r="X1020" i="31" a="1"/>
  <c r="X1020" i="31" s="1"/>
  <c r="W1019" i="31" a="1"/>
  <c r="W1019" i="31" s="1"/>
  <c r="Z1019" i="31" s="1" a="1"/>
  <c r="Z1019" i="31" s="1"/>
  <c r="X1019" i="31" a="1"/>
  <c r="X1019" i="31" s="1"/>
  <c r="W1018" i="31" a="1"/>
  <c r="W1018" i="31" s="1"/>
  <c r="Z1018" i="31" s="1" a="1"/>
  <c r="Z1018" i="31" s="1"/>
  <c r="X1018" i="31" a="1"/>
  <c r="X1018" i="31" s="1"/>
  <c r="W1017" i="31" a="1"/>
  <c r="W1017" i="31" s="1"/>
  <c r="Z1017" i="31" s="1" a="1"/>
  <c r="Z1017" i="31" s="1"/>
  <c r="X1017" i="31" a="1"/>
  <c r="X1017" i="31" s="1"/>
  <c r="W1016" i="31" a="1"/>
  <c r="W1016" i="31" s="1"/>
  <c r="Z1016" i="31" s="1" a="1"/>
  <c r="Z1016" i="31" s="1"/>
  <c r="X1016" i="31" a="1"/>
  <c r="X1016" i="31" s="1"/>
  <c r="W1015" i="31" a="1"/>
  <c r="W1015" i="31" s="1"/>
  <c r="Z1015" i="31" s="1" a="1"/>
  <c r="Z1015" i="31" s="1"/>
  <c r="X1015" i="31" a="1"/>
  <c r="X1015" i="31" s="1"/>
  <c r="W1014" i="31" a="1"/>
  <c r="W1014" i="31" s="1"/>
  <c r="Z1014" i="31" s="1" a="1"/>
  <c r="Z1014" i="31" s="1"/>
  <c r="X1014" i="31" a="1"/>
  <c r="X1014" i="31" s="1"/>
  <c r="W1013" i="31" a="1"/>
  <c r="W1013" i="31" s="1"/>
  <c r="Z1013" i="31" s="1" a="1"/>
  <c r="Z1013" i="31" s="1"/>
  <c r="X1013" i="31" a="1"/>
  <c r="X1013" i="31" s="1"/>
  <c r="W1012" i="31" a="1"/>
  <c r="W1012" i="31" s="1"/>
  <c r="Z1012" i="31" s="1" a="1"/>
  <c r="Z1012" i="31" s="1"/>
  <c r="X1012" i="31" a="1"/>
  <c r="X1012" i="31" s="1"/>
  <c r="W1011" i="31" a="1"/>
  <c r="W1011" i="31" s="1"/>
  <c r="Z1011" i="31" s="1" a="1"/>
  <c r="Z1011" i="31" s="1"/>
  <c r="X1011" i="31" a="1"/>
  <c r="X1011" i="31" s="1"/>
  <c r="W1010" i="31" a="1"/>
  <c r="W1010" i="31" s="1"/>
  <c r="Z1010" i="31" s="1" a="1"/>
  <c r="Z1010" i="31" s="1"/>
  <c r="X1010" i="31" a="1"/>
  <c r="X1010" i="31" s="1"/>
  <c r="W1009" i="31" a="1"/>
  <c r="W1009" i="31" s="1"/>
  <c r="Z1009" i="31" s="1" a="1"/>
  <c r="Z1009" i="31" s="1"/>
  <c r="X1009" i="31" a="1"/>
  <c r="X1009" i="31" s="1"/>
  <c r="W1008" i="31" a="1"/>
  <c r="W1008" i="31" s="1"/>
  <c r="Z1008" i="31" s="1" a="1"/>
  <c r="Z1008" i="31" s="1"/>
  <c r="X1008" i="31" a="1"/>
  <c r="X1008" i="31" s="1"/>
  <c r="W1007" i="31" a="1"/>
  <c r="W1007" i="31" s="1"/>
  <c r="Z1007" i="31" s="1" a="1"/>
  <c r="Z1007" i="31" s="1"/>
  <c r="X1007" i="31" a="1"/>
  <c r="X1007" i="31" s="1"/>
  <c r="W1006" i="31" a="1"/>
  <c r="W1006" i="31" s="1"/>
  <c r="Z1006" i="31" s="1" a="1"/>
  <c r="Z1006" i="31" s="1"/>
  <c r="X1006" i="31" a="1"/>
  <c r="X1006" i="31" s="1"/>
  <c r="W1005" i="31" a="1"/>
  <c r="W1005" i="31" s="1"/>
  <c r="Z1005" i="31" s="1" a="1"/>
  <c r="Z1005" i="31" s="1"/>
  <c r="X1005" i="31" a="1"/>
  <c r="X1005" i="31" s="1"/>
  <c r="W1004" i="31" a="1"/>
  <c r="W1004" i="31" s="1"/>
  <c r="Z1004" i="31" s="1" a="1"/>
  <c r="Z1004" i="31" s="1"/>
  <c r="X1004" i="31" a="1"/>
  <c r="X1004" i="31" s="1"/>
  <c r="W1003" i="31" a="1"/>
  <c r="W1003" i="31" s="1"/>
  <c r="Z1003" i="31" s="1" a="1"/>
  <c r="Z1003" i="31" s="1"/>
  <c r="X1003" i="31" a="1"/>
  <c r="X1003" i="31" s="1"/>
  <c r="W1002" i="31" a="1"/>
  <c r="W1002" i="31" s="1"/>
  <c r="Z1002" i="31" s="1" a="1"/>
  <c r="Z1002" i="31" s="1"/>
  <c r="X1002" i="31" a="1"/>
  <c r="X1002" i="31" s="1"/>
  <c r="W1001" i="31" a="1"/>
  <c r="W1001" i="31" s="1"/>
  <c r="Z1001" i="31" s="1" a="1"/>
  <c r="Z1001" i="31" s="1"/>
  <c r="X1001" i="31" a="1"/>
  <c r="X1001" i="31" s="1"/>
  <c r="W1000" i="31" a="1"/>
  <c r="W1000" i="31" s="1"/>
  <c r="Z1000" i="31" s="1" a="1"/>
  <c r="Z1000" i="31" s="1"/>
  <c r="X1000" i="31" a="1"/>
  <c r="X1000" i="31" s="1"/>
  <c r="W999" i="31" a="1"/>
  <c r="W999" i="31" s="1"/>
  <c r="Z999" i="31" s="1" a="1"/>
  <c r="Z999" i="31" s="1"/>
  <c r="X999" i="31" a="1"/>
  <c r="X999" i="31" s="1"/>
  <c r="W998" i="31" a="1"/>
  <c r="W998" i="31" s="1"/>
  <c r="Z998" i="31" s="1" a="1"/>
  <c r="Z998" i="31" s="1"/>
  <c r="X998" i="31" a="1"/>
  <c r="X998" i="31" s="1"/>
  <c r="W997" i="31" a="1"/>
  <c r="W997" i="31" s="1"/>
  <c r="Z997" i="31" s="1" a="1"/>
  <c r="Z997" i="31" s="1"/>
  <c r="X997" i="31" a="1"/>
  <c r="X997" i="31" s="1"/>
  <c r="W996" i="31" a="1"/>
  <c r="W996" i="31" s="1"/>
  <c r="Z996" i="31" s="1" a="1"/>
  <c r="Z996" i="31" s="1"/>
  <c r="X996" i="31" a="1"/>
  <c r="X996" i="31" s="1"/>
  <c r="W995" i="31" a="1"/>
  <c r="W995" i="31" s="1"/>
  <c r="Z995" i="31" s="1" a="1"/>
  <c r="Z995" i="31" s="1"/>
  <c r="X995" i="31" a="1"/>
  <c r="X995" i="31" s="1"/>
  <c r="W994" i="31" a="1"/>
  <c r="W994" i="31" s="1"/>
  <c r="Z994" i="31" s="1" a="1"/>
  <c r="Z994" i="31" s="1"/>
  <c r="X994" i="31" a="1"/>
  <c r="X994" i="31" s="1"/>
  <c r="W993" i="31" a="1"/>
  <c r="W993" i="31" s="1"/>
  <c r="Z993" i="31" s="1" a="1"/>
  <c r="Z993" i="31" s="1"/>
  <c r="X993" i="31" a="1"/>
  <c r="X993" i="31" s="1"/>
  <c r="W992" i="31" a="1"/>
  <c r="W992" i="31" s="1"/>
  <c r="Z992" i="31" s="1" a="1"/>
  <c r="Z992" i="31" s="1"/>
  <c r="X992" i="31" a="1"/>
  <c r="X992" i="31" s="1"/>
  <c r="W991" i="31" a="1"/>
  <c r="W991" i="31" s="1"/>
  <c r="Z991" i="31" s="1" a="1"/>
  <c r="Z991" i="31" s="1"/>
  <c r="X991" i="31" a="1"/>
  <c r="X991" i="31" s="1"/>
  <c r="W990" i="31" a="1"/>
  <c r="W990" i="31" s="1"/>
  <c r="Z990" i="31" s="1" a="1"/>
  <c r="Z990" i="31" s="1"/>
  <c r="X990" i="31" a="1"/>
  <c r="X990" i="31" s="1"/>
  <c r="W989" i="31" a="1"/>
  <c r="W989" i="31" s="1"/>
  <c r="Z989" i="31" s="1" a="1"/>
  <c r="Z989" i="31" s="1"/>
  <c r="X989" i="31" a="1"/>
  <c r="X989" i="31" s="1"/>
  <c r="W988" i="31" a="1"/>
  <c r="W988" i="31" s="1"/>
  <c r="Z988" i="31" s="1" a="1"/>
  <c r="Z988" i="31" s="1"/>
  <c r="X988" i="31" a="1"/>
  <c r="X988" i="31" s="1"/>
  <c r="W987" i="31" a="1"/>
  <c r="W987" i="31" s="1"/>
  <c r="Z987" i="31" s="1" a="1"/>
  <c r="Z987" i="31" s="1"/>
  <c r="X987" i="31" a="1"/>
  <c r="X987" i="31" s="1"/>
  <c r="W986" i="31" a="1"/>
  <c r="W986" i="31" s="1"/>
  <c r="Z986" i="31" s="1" a="1"/>
  <c r="Z986" i="31" s="1"/>
  <c r="X986" i="31" a="1"/>
  <c r="X986" i="31" s="1"/>
  <c r="W985" i="31" a="1"/>
  <c r="W985" i="31" s="1"/>
  <c r="Z985" i="31" s="1" a="1"/>
  <c r="Z985" i="31" s="1"/>
  <c r="X985" i="31" a="1"/>
  <c r="X985" i="31" s="1"/>
  <c r="W984" i="31" a="1"/>
  <c r="W984" i="31" s="1"/>
  <c r="Z984" i="31" s="1" a="1"/>
  <c r="Z984" i="31" s="1"/>
  <c r="X984" i="31" a="1"/>
  <c r="X984" i="31" s="1"/>
  <c r="W983" i="31" a="1"/>
  <c r="W983" i="31" s="1"/>
  <c r="Z983" i="31" s="1" a="1"/>
  <c r="Z983" i="31" s="1"/>
  <c r="X983" i="31" a="1"/>
  <c r="X983" i="31" s="1"/>
  <c r="W982" i="31" a="1"/>
  <c r="W982" i="31" s="1"/>
  <c r="Z982" i="31" s="1" a="1"/>
  <c r="Z982" i="31" s="1"/>
  <c r="X982" i="31" a="1"/>
  <c r="X982" i="31" s="1"/>
  <c r="W981" i="31" a="1"/>
  <c r="W981" i="31" s="1"/>
  <c r="Z981" i="31" s="1" a="1"/>
  <c r="Z981" i="31" s="1"/>
  <c r="X981" i="31" a="1"/>
  <c r="X981" i="31" s="1"/>
  <c r="W980" i="31" a="1"/>
  <c r="W980" i="31" s="1"/>
  <c r="Z980" i="31" s="1" a="1"/>
  <c r="Z980" i="31" s="1"/>
  <c r="X980" i="31" a="1"/>
  <c r="X980" i="31" s="1"/>
  <c r="W979" i="31" a="1"/>
  <c r="W979" i="31" s="1"/>
  <c r="Z979" i="31" s="1" a="1"/>
  <c r="Z979" i="31" s="1"/>
  <c r="X979" i="31" a="1"/>
  <c r="X979" i="31" s="1"/>
  <c r="W978" i="31" a="1"/>
  <c r="W978" i="31" s="1"/>
  <c r="Z978" i="31" s="1" a="1"/>
  <c r="Z978" i="31" s="1"/>
  <c r="X978" i="31" a="1"/>
  <c r="X978" i="31" s="1"/>
  <c r="W977" i="31" a="1"/>
  <c r="W977" i="31" s="1"/>
  <c r="Z977" i="31" s="1" a="1"/>
  <c r="Z977" i="31" s="1"/>
  <c r="X977" i="31" a="1"/>
  <c r="X977" i="31" s="1"/>
  <c r="W976" i="31" a="1"/>
  <c r="W976" i="31" s="1"/>
  <c r="Z976" i="31" s="1" a="1"/>
  <c r="Z976" i="31" s="1"/>
  <c r="X976" i="31" a="1"/>
  <c r="X976" i="31" s="1"/>
  <c r="W975" i="31" a="1"/>
  <c r="W975" i="31" s="1"/>
  <c r="Z975" i="31" s="1" a="1"/>
  <c r="Z975" i="31" s="1"/>
  <c r="X975" i="31" a="1"/>
  <c r="X975" i="31" s="1"/>
  <c r="W974" i="31" a="1"/>
  <c r="W974" i="31" s="1"/>
  <c r="Z974" i="31" s="1" a="1"/>
  <c r="Z974" i="31" s="1"/>
  <c r="X974" i="31" a="1"/>
  <c r="X974" i="31" s="1"/>
  <c r="W973" i="31" a="1"/>
  <c r="W973" i="31" s="1"/>
  <c r="Z973" i="31" s="1" a="1"/>
  <c r="Z973" i="31" s="1"/>
  <c r="X973" i="31" a="1"/>
  <c r="X973" i="31" s="1"/>
  <c r="W972" i="31" a="1"/>
  <c r="W972" i="31" s="1"/>
  <c r="Z972" i="31" s="1" a="1"/>
  <c r="Z972" i="31" s="1"/>
  <c r="X972" i="31" a="1"/>
  <c r="X972" i="31" s="1"/>
  <c r="W971" i="31" a="1"/>
  <c r="W971" i="31" s="1"/>
  <c r="Z971" i="31" s="1" a="1"/>
  <c r="Z971" i="31" s="1"/>
  <c r="X971" i="31" a="1"/>
  <c r="X971" i="31" s="1"/>
  <c r="W970" i="31" a="1"/>
  <c r="W970" i="31" s="1"/>
  <c r="Z970" i="31" s="1" a="1"/>
  <c r="Z970" i="31" s="1"/>
  <c r="X970" i="31" a="1"/>
  <c r="X970" i="31" s="1"/>
  <c r="W969" i="31" a="1"/>
  <c r="W969" i="31" s="1"/>
  <c r="Z969" i="31" s="1" a="1"/>
  <c r="Z969" i="31" s="1"/>
  <c r="X969" i="31" a="1"/>
  <c r="X969" i="31" s="1"/>
  <c r="W968" i="31" a="1"/>
  <c r="W968" i="31" s="1"/>
  <c r="Z968" i="31" s="1" a="1"/>
  <c r="Z968" i="31" s="1"/>
  <c r="X968" i="31" a="1"/>
  <c r="X968" i="31" s="1"/>
  <c r="W967" i="31" a="1"/>
  <c r="W967" i="31" s="1"/>
  <c r="Z967" i="31" s="1" a="1"/>
  <c r="Z967" i="31" s="1"/>
  <c r="X967" i="31" a="1"/>
  <c r="X967" i="31" s="1"/>
  <c r="W966" i="31" a="1"/>
  <c r="W966" i="31" s="1"/>
  <c r="Z966" i="31" s="1" a="1"/>
  <c r="Z966" i="31" s="1"/>
  <c r="X966" i="31" a="1"/>
  <c r="X966" i="31" s="1"/>
  <c r="W965" i="31" a="1"/>
  <c r="W965" i="31" s="1"/>
  <c r="Z965" i="31" s="1" a="1"/>
  <c r="Z965" i="31" s="1"/>
  <c r="X965" i="31" a="1"/>
  <c r="X965" i="31" s="1"/>
  <c r="W964" i="31" a="1"/>
  <c r="W964" i="31" s="1"/>
  <c r="Z964" i="31" s="1" a="1"/>
  <c r="Z964" i="31" s="1"/>
  <c r="X964" i="31" a="1"/>
  <c r="X964" i="31" s="1"/>
  <c r="W963" i="31" a="1"/>
  <c r="W963" i="31" s="1"/>
  <c r="Z963" i="31" s="1" a="1"/>
  <c r="Z963" i="31" s="1"/>
  <c r="X963" i="31" a="1"/>
  <c r="X963" i="31" s="1"/>
  <c r="W962" i="31" a="1"/>
  <c r="W962" i="31" s="1"/>
  <c r="Z962" i="31" s="1" a="1"/>
  <c r="Z962" i="31" s="1"/>
  <c r="X962" i="31" a="1"/>
  <c r="X962" i="31" s="1"/>
  <c r="W961" i="31" a="1"/>
  <c r="W961" i="31" s="1"/>
  <c r="Z961" i="31" s="1" a="1"/>
  <c r="Z961" i="31" s="1"/>
  <c r="X961" i="31" a="1"/>
  <c r="X961" i="31" s="1"/>
  <c r="W960" i="31" a="1"/>
  <c r="W960" i="31" s="1"/>
  <c r="Z960" i="31" s="1" a="1"/>
  <c r="Z960" i="31" s="1"/>
  <c r="X960" i="31" a="1"/>
  <c r="X960" i="31" s="1"/>
  <c r="W959" i="31" a="1"/>
  <c r="W959" i="31" s="1"/>
  <c r="Z959" i="31" s="1" a="1"/>
  <c r="Z959" i="31" s="1"/>
  <c r="X959" i="31" a="1"/>
  <c r="X959" i="31" s="1"/>
  <c r="W958" i="31" a="1"/>
  <c r="W958" i="31" s="1"/>
  <c r="Z958" i="31" s="1" a="1"/>
  <c r="Z958" i="31" s="1"/>
  <c r="X958" i="31" a="1"/>
  <c r="X958" i="31" s="1"/>
  <c r="W957" i="31" a="1"/>
  <c r="W957" i="31" s="1"/>
  <c r="Z957" i="31" s="1" a="1"/>
  <c r="Z957" i="31" s="1"/>
  <c r="X957" i="31" a="1"/>
  <c r="X957" i="31" s="1"/>
  <c r="W956" i="31" a="1"/>
  <c r="W956" i="31" s="1"/>
  <c r="Z956" i="31" s="1" a="1"/>
  <c r="Z956" i="31" s="1"/>
  <c r="X956" i="31" a="1"/>
  <c r="X956" i="31" s="1"/>
  <c r="W955" i="31" a="1"/>
  <c r="W955" i="31" s="1"/>
  <c r="Z955" i="31" s="1" a="1"/>
  <c r="Z955" i="31" s="1"/>
  <c r="X955" i="31" a="1"/>
  <c r="X955" i="31" s="1"/>
  <c r="W954" i="31" a="1"/>
  <c r="W954" i="31" s="1"/>
  <c r="Z954" i="31" s="1" a="1"/>
  <c r="Z954" i="31" s="1"/>
  <c r="X954" i="31" a="1"/>
  <c r="X954" i="31" s="1"/>
  <c r="W953" i="31" a="1"/>
  <c r="W953" i="31" s="1"/>
  <c r="Z953" i="31" s="1" a="1"/>
  <c r="Z953" i="31" s="1"/>
  <c r="X953" i="31" a="1"/>
  <c r="X953" i="31" s="1"/>
  <c r="W952" i="31" a="1"/>
  <c r="W952" i="31" s="1"/>
  <c r="Z952" i="31" s="1" a="1"/>
  <c r="Z952" i="31" s="1"/>
  <c r="X952" i="31" a="1"/>
  <c r="X952" i="31" s="1"/>
  <c r="W951" i="31" a="1"/>
  <c r="W951" i="31" s="1"/>
  <c r="Z951" i="31" s="1" a="1"/>
  <c r="Z951" i="31" s="1"/>
  <c r="X951" i="31" a="1"/>
  <c r="X951" i="31" s="1"/>
  <c r="W950" i="31" a="1"/>
  <c r="W950" i="31" s="1"/>
  <c r="Z950" i="31" s="1" a="1"/>
  <c r="Z950" i="31" s="1"/>
  <c r="X950" i="31" a="1"/>
  <c r="X950" i="31" s="1"/>
  <c r="W949" i="31" a="1"/>
  <c r="W949" i="31" s="1"/>
  <c r="Z949" i="31" s="1" a="1"/>
  <c r="Z949" i="31" s="1"/>
  <c r="X949" i="31" a="1"/>
  <c r="X949" i="31" s="1"/>
  <c r="W948" i="31" a="1"/>
  <c r="W948" i="31" s="1"/>
  <c r="Z948" i="31" s="1" a="1"/>
  <c r="Z948" i="31" s="1"/>
  <c r="X948" i="31" a="1"/>
  <c r="X948" i="31" s="1"/>
  <c r="W947" i="31" a="1"/>
  <c r="W947" i="31" s="1"/>
  <c r="Z947" i="31" s="1" a="1"/>
  <c r="Z947" i="31" s="1"/>
  <c r="X947" i="31" a="1"/>
  <c r="X947" i="31" s="1"/>
  <c r="W946" i="31" a="1"/>
  <c r="W946" i="31" s="1"/>
  <c r="Z946" i="31" s="1" a="1"/>
  <c r="Z946" i="31" s="1"/>
  <c r="X946" i="31" a="1"/>
  <c r="X946" i="31" s="1"/>
  <c r="W945" i="31" a="1"/>
  <c r="W945" i="31" s="1"/>
  <c r="Z945" i="31" s="1" a="1"/>
  <c r="Z945" i="31" s="1"/>
  <c r="X945" i="31" a="1"/>
  <c r="X945" i="31" s="1"/>
  <c r="W944" i="31" a="1"/>
  <c r="W944" i="31" s="1"/>
  <c r="Z944" i="31" s="1" a="1"/>
  <c r="Z944" i="31" s="1"/>
  <c r="X944" i="31" a="1"/>
  <c r="X944" i="31" s="1"/>
  <c r="W943" i="31" a="1"/>
  <c r="W943" i="31" s="1"/>
  <c r="Z943" i="31" s="1" a="1"/>
  <c r="Z943" i="31" s="1"/>
  <c r="X943" i="31" a="1"/>
  <c r="X943" i="31" s="1"/>
  <c r="W942" i="31" a="1"/>
  <c r="W942" i="31" s="1"/>
  <c r="Z942" i="31" s="1" a="1"/>
  <c r="Z942" i="31" s="1"/>
  <c r="X942" i="31" a="1"/>
  <c r="X942" i="31" s="1"/>
  <c r="W941" i="31" a="1"/>
  <c r="W941" i="31" s="1"/>
  <c r="Z941" i="31" s="1" a="1"/>
  <c r="Z941" i="31" s="1"/>
  <c r="X941" i="31" a="1"/>
  <c r="X941" i="31" s="1"/>
  <c r="W940" i="31" a="1"/>
  <c r="W940" i="31" s="1"/>
  <c r="Z940" i="31" s="1" a="1"/>
  <c r="Z940" i="31" s="1"/>
  <c r="X940" i="31" a="1"/>
  <c r="X940" i="31" s="1"/>
  <c r="W939" i="31" a="1"/>
  <c r="W939" i="31" s="1"/>
  <c r="Z939" i="31" s="1" a="1"/>
  <c r="Z939" i="31" s="1"/>
  <c r="X939" i="31" a="1"/>
  <c r="X939" i="31" s="1"/>
  <c r="W938" i="31" a="1"/>
  <c r="W938" i="31" s="1"/>
  <c r="Z938" i="31" s="1" a="1"/>
  <c r="Z938" i="31" s="1"/>
  <c r="X938" i="31" a="1"/>
  <c r="X938" i="31" s="1"/>
  <c r="W937" i="31" a="1"/>
  <c r="W937" i="31" s="1"/>
  <c r="Z937" i="31" s="1" a="1"/>
  <c r="Z937" i="31" s="1"/>
  <c r="X937" i="31" a="1"/>
  <c r="X937" i="31" s="1"/>
  <c r="W936" i="31" a="1"/>
  <c r="W936" i="31" s="1"/>
  <c r="Z936" i="31" s="1" a="1"/>
  <c r="Z936" i="31" s="1"/>
  <c r="X936" i="31" a="1"/>
  <c r="X936" i="31" s="1"/>
  <c r="W935" i="31" a="1"/>
  <c r="W935" i="31" s="1"/>
  <c r="Z935" i="31" s="1" a="1"/>
  <c r="Z935" i="31" s="1"/>
  <c r="X935" i="31" a="1"/>
  <c r="X935" i="31" s="1"/>
  <c r="W934" i="31" a="1"/>
  <c r="W934" i="31" s="1"/>
  <c r="Z934" i="31" s="1" a="1"/>
  <c r="Z934" i="31" s="1"/>
  <c r="X934" i="31" a="1"/>
  <c r="X934" i="31" s="1"/>
  <c r="W933" i="31" a="1"/>
  <c r="W933" i="31" s="1"/>
  <c r="Z933" i="31" s="1" a="1"/>
  <c r="Z933" i="31" s="1"/>
  <c r="X933" i="31" a="1"/>
  <c r="X933" i="31" s="1"/>
  <c r="W932" i="31" a="1"/>
  <c r="W932" i="31" s="1"/>
  <c r="Z932" i="31" s="1" a="1"/>
  <c r="Z932" i="31" s="1"/>
  <c r="X932" i="31" a="1"/>
  <c r="X932" i="31" s="1"/>
  <c r="W931" i="31" a="1"/>
  <c r="W931" i="31" s="1"/>
  <c r="Z931" i="31" s="1" a="1"/>
  <c r="Z931" i="31" s="1"/>
  <c r="X931" i="31" a="1"/>
  <c r="X931" i="31" s="1"/>
  <c r="W930" i="31" a="1"/>
  <c r="W930" i="31" s="1"/>
  <c r="Z930" i="31" s="1" a="1"/>
  <c r="Z930" i="31" s="1"/>
  <c r="X930" i="31" a="1"/>
  <c r="X930" i="31" s="1"/>
  <c r="W929" i="31" a="1"/>
  <c r="W929" i="31" s="1"/>
  <c r="Z929" i="31" s="1" a="1"/>
  <c r="Z929" i="31" s="1"/>
  <c r="X929" i="31" a="1"/>
  <c r="X929" i="31" s="1"/>
  <c r="W928" i="31" a="1"/>
  <c r="W928" i="31" s="1"/>
  <c r="Z928" i="31" s="1" a="1"/>
  <c r="Z928" i="31" s="1"/>
  <c r="X928" i="31" a="1"/>
  <c r="X928" i="31" s="1"/>
  <c r="W927" i="31" a="1"/>
  <c r="W927" i="31" s="1"/>
  <c r="Z927" i="31" s="1" a="1"/>
  <c r="Z927" i="31" s="1"/>
  <c r="X927" i="31" a="1"/>
  <c r="X927" i="31" s="1"/>
  <c r="W926" i="31" a="1"/>
  <c r="W926" i="31" s="1"/>
  <c r="Z926" i="31" s="1" a="1"/>
  <c r="Z926" i="31" s="1"/>
  <c r="X926" i="31" a="1"/>
  <c r="X926" i="31" s="1"/>
  <c r="W925" i="31" a="1"/>
  <c r="W925" i="31" s="1"/>
  <c r="Z925" i="31" s="1" a="1"/>
  <c r="Z925" i="31" s="1"/>
  <c r="X925" i="31" a="1"/>
  <c r="X925" i="31" s="1"/>
  <c r="W924" i="31" a="1"/>
  <c r="W924" i="31" s="1"/>
  <c r="Z924" i="31" s="1" a="1"/>
  <c r="Z924" i="31" s="1"/>
  <c r="X924" i="31" a="1"/>
  <c r="X924" i="31" s="1"/>
  <c r="W923" i="31" a="1"/>
  <c r="W923" i="31" s="1"/>
  <c r="Z923" i="31" s="1" a="1"/>
  <c r="Z923" i="31" s="1"/>
  <c r="X923" i="31" a="1"/>
  <c r="X923" i="31" s="1"/>
  <c r="W922" i="31" a="1"/>
  <c r="W922" i="31" s="1"/>
  <c r="Z922" i="31" s="1" a="1"/>
  <c r="Z922" i="31" s="1"/>
  <c r="X922" i="31" a="1"/>
  <c r="X922" i="31" s="1"/>
  <c r="W921" i="31" a="1"/>
  <c r="W921" i="31" s="1"/>
  <c r="Z921" i="31" s="1" a="1"/>
  <c r="Z921" i="31" s="1"/>
  <c r="X921" i="31" a="1"/>
  <c r="X921" i="31" s="1"/>
  <c r="W920" i="31" a="1"/>
  <c r="W920" i="31" s="1"/>
  <c r="Z920" i="31" s="1" a="1"/>
  <c r="Z920" i="31" s="1"/>
  <c r="X920" i="31" a="1"/>
  <c r="X920" i="31" s="1"/>
  <c r="W919" i="31" a="1"/>
  <c r="W919" i="31" s="1"/>
  <c r="Z919" i="31" s="1" a="1"/>
  <c r="Z919" i="31" s="1"/>
  <c r="X919" i="31" a="1"/>
  <c r="X919" i="31" s="1"/>
  <c r="W918" i="31" a="1"/>
  <c r="W918" i="31" s="1"/>
  <c r="Z918" i="31" s="1" a="1"/>
  <c r="Z918" i="31" s="1"/>
  <c r="X918" i="31" a="1"/>
  <c r="X918" i="31" s="1"/>
  <c r="W917" i="31" a="1"/>
  <c r="W917" i="31" s="1"/>
  <c r="Z917" i="31" s="1" a="1"/>
  <c r="Z917" i="31" s="1"/>
  <c r="X917" i="31" a="1"/>
  <c r="X917" i="31" s="1"/>
  <c r="W916" i="31" a="1"/>
  <c r="W916" i="31" s="1"/>
  <c r="Z916" i="31" s="1" a="1"/>
  <c r="Z916" i="31" s="1"/>
  <c r="X916" i="31" a="1"/>
  <c r="X916" i="31" s="1"/>
  <c r="W915" i="31" a="1"/>
  <c r="W915" i="31" s="1"/>
  <c r="Z915" i="31" s="1" a="1"/>
  <c r="Z915" i="31" s="1"/>
  <c r="X915" i="31" a="1"/>
  <c r="X915" i="31" s="1"/>
  <c r="W914" i="31" a="1"/>
  <c r="W914" i="31" s="1"/>
  <c r="Z914" i="31" s="1" a="1"/>
  <c r="Z914" i="31" s="1"/>
  <c r="X914" i="31" a="1"/>
  <c r="X914" i="31" s="1"/>
  <c r="W913" i="31" a="1"/>
  <c r="W913" i="31" s="1"/>
  <c r="Z913" i="31" s="1" a="1"/>
  <c r="Z913" i="31" s="1"/>
  <c r="X913" i="31" a="1"/>
  <c r="X913" i="31" s="1"/>
  <c r="W912" i="31" a="1"/>
  <c r="W912" i="31" s="1"/>
  <c r="Z912" i="31" s="1" a="1"/>
  <c r="Z912" i="31" s="1"/>
  <c r="X912" i="31" a="1"/>
  <c r="X912" i="31" s="1"/>
  <c r="W911" i="31" a="1"/>
  <c r="W911" i="31" s="1"/>
  <c r="Z911" i="31" s="1" a="1"/>
  <c r="Z911" i="31" s="1"/>
  <c r="X911" i="31" a="1"/>
  <c r="X911" i="31" s="1"/>
  <c r="W910" i="31" a="1"/>
  <c r="W910" i="31" s="1"/>
  <c r="Z910" i="31" s="1" a="1"/>
  <c r="Z910" i="31" s="1"/>
  <c r="X910" i="31" a="1"/>
  <c r="X910" i="31" s="1"/>
  <c r="W909" i="31" a="1"/>
  <c r="W909" i="31" s="1"/>
  <c r="Z909" i="31" s="1" a="1"/>
  <c r="Z909" i="31" s="1"/>
  <c r="X909" i="31" a="1"/>
  <c r="X909" i="31" s="1"/>
  <c r="W908" i="31" a="1"/>
  <c r="W908" i="31" s="1"/>
  <c r="Z908" i="31" s="1" a="1"/>
  <c r="Z908" i="31" s="1"/>
  <c r="X908" i="31" a="1"/>
  <c r="X908" i="31" s="1"/>
  <c r="W907" i="31" a="1"/>
  <c r="W907" i="31" s="1"/>
  <c r="Z907" i="31" s="1" a="1"/>
  <c r="Z907" i="31" s="1"/>
  <c r="X907" i="31" a="1"/>
  <c r="X907" i="31" s="1"/>
  <c r="W906" i="31" a="1"/>
  <c r="W906" i="31" s="1"/>
  <c r="Z906" i="31" s="1" a="1"/>
  <c r="Z906" i="31" s="1"/>
  <c r="X906" i="31" a="1"/>
  <c r="X906" i="31" s="1"/>
  <c r="W905" i="31" a="1"/>
  <c r="W905" i="31" s="1"/>
  <c r="Z905" i="31" s="1" a="1"/>
  <c r="Z905" i="31" s="1"/>
  <c r="X905" i="31" a="1"/>
  <c r="X905" i="31" s="1"/>
  <c r="W904" i="31" a="1"/>
  <c r="W904" i="31" s="1"/>
  <c r="Z904" i="31" s="1" a="1"/>
  <c r="Z904" i="31" s="1"/>
  <c r="X904" i="31" a="1"/>
  <c r="X904" i="31" s="1"/>
  <c r="W903" i="31" a="1"/>
  <c r="W903" i="31" s="1"/>
  <c r="Z903" i="31" s="1" a="1"/>
  <c r="Z903" i="31" s="1"/>
  <c r="X903" i="31" a="1"/>
  <c r="X903" i="31" s="1"/>
  <c r="W902" i="31" a="1"/>
  <c r="W902" i="31" s="1"/>
  <c r="Z902" i="31" s="1" a="1"/>
  <c r="Z902" i="31" s="1"/>
  <c r="X902" i="31" a="1"/>
  <c r="X902" i="31" s="1"/>
  <c r="W901" i="31" a="1"/>
  <c r="W901" i="31" s="1"/>
  <c r="Z901" i="31" s="1" a="1"/>
  <c r="Z901" i="31" s="1"/>
  <c r="X901" i="31" a="1"/>
  <c r="X901" i="31" s="1"/>
  <c r="W900" i="31" a="1"/>
  <c r="W900" i="31" s="1"/>
  <c r="Z900" i="31" s="1" a="1"/>
  <c r="Z900" i="31" s="1"/>
  <c r="X900" i="31" a="1"/>
  <c r="X900" i="31" s="1"/>
  <c r="W899" i="31" a="1"/>
  <c r="W899" i="31" s="1"/>
  <c r="Z899" i="31" s="1" a="1"/>
  <c r="Z899" i="31" s="1"/>
  <c r="X899" i="31" a="1"/>
  <c r="X899" i="31" s="1"/>
  <c r="W898" i="31" a="1"/>
  <c r="W898" i="31" s="1"/>
  <c r="Z898" i="31" s="1" a="1"/>
  <c r="Z898" i="31" s="1"/>
  <c r="X898" i="31" a="1"/>
  <c r="X898" i="31" s="1"/>
  <c r="W897" i="31" a="1"/>
  <c r="W897" i="31" s="1"/>
  <c r="Z897" i="31" s="1" a="1"/>
  <c r="Z897" i="31" s="1"/>
  <c r="X897" i="31" a="1"/>
  <c r="X897" i="31" s="1"/>
  <c r="W896" i="31" a="1"/>
  <c r="W896" i="31" s="1"/>
  <c r="Z896" i="31" s="1" a="1"/>
  <c r="Z896" i="31" s="1"/>
  <c r="X896" i="31" a="1"/>
  <c r="X896" i="31" s="1"/>
  <c r="W895" i="31" a="1"/>
  <c r="W895" i="31" s="1"/>
  <c r="Z895" i="31" s="1" a="1"/>
  <c r="Z895" i="31" s="1"/>
  <c r="X895" i="31" a="1"/>
  <c r="X895" i="31" s="1"/>
  <c r="W894" i="31" a="1"/>
  <c r="W894" i="31" s="1"/>
  <c r="Z894" i="31" s="1" a="1"/>
  <c r="Z894" i="31" s="1"/>
  <c r="X894" i="31" a="1"/>
  <c r="X894" i="31" s="1"/>
  <c r="W893" i="31" a="1"/>
  <c r="W893" i="31" s="1"/>
  <c r="Z893" i="31" s="1" a="1"/>
  <c r="Z893" i="31" s="1"/>
  <c r="X893" i="31" a="1"/>
  <c r="X893" i="31" s="1"/>
  <c r="W892" i="31" a="1"/>
  <c r="W892" i="31" s="1"/>
  <c r="Z892" i="31" s="1" a="1"/>
  <c r="Z892" i="31" s="1"/>
  <c r="X892" i="31" a="1"/>
  <c r="X892" i="31" s="1"/>
  <c r="W891" i="31" a="1"/>
  <c r="W891" i="31" s="1"/>
  <c r="Z891" i="31" s="1" a="1"/>
  <c r="Z891" i="31" s="1"/>
  <c r="X891" i="31" a="1"/>
  <c r="X891" i="31" s="1"/>
  <c r="W890" i="31" a="1"/>
  <c r="W890" i="31" s="1"/>
  <c r="Z890" i="31" s="1" a="1"/>
  <c r="Z890" i="31" s="1"/>
  <c r="X890" i="31" a="1"/>
  <c r="X890" i="31" s="1"/>
  <c r="W889" i="31" a="1"/>
  <c r="W889" i="31" s="1"/>
  <c r="Z889" i="31" s="1" a="1"/>
  <c r="Z889" i="31" s="1"/>
  <c r="X889" i="31" a="1"/>
  <c r="X889" i="31" s="1"/>
  <c r="W888" i="31" a="1"/>
  <c r="W888" i="31" s="1"/>
  <c r="Z888" i="31" s="1" a="1"/>
  <c r="Z888" i="31" s="1"/>
  <c r="X888" i="31" a="1"/>
  <c r="X888" i="31" s="1"/>
  <c r="W887" i="31" a="1"/>
  <c r="W887" i="31" s="1"/>
  <c r="Z887" i="31" s="1" a="1"/>
  <c r="Z887" i="31" s="1"/>
  <c r="X887" i="31" a="1"/>
  <c r="X887" i="31" s="1"/>
  <c r="W886" i="31" a="1"/>
  <c r="W886" i="31" s="1"/>
  <c r="Z886" i="31" s="1" a="1"/>
  <c r="Z886" i="31" s="1"/>
  <c r="X886" i="31" a="1"/>
  <c r="X886" i="31" s="1"/>
  <c r="W885" i="31" a="1"/>
  <c r="W885" i="31" s="1"/>
  <c r="Z885" i="31" s="1" a="1"/>
  <c r="Z885" i="31" s="1"/>
  <c r="X885" i="31" a="1"/>
  <c r="X885" i="31" s="1"/>
  <c r="W884" i="31" a="1"/>
  <c r="W884" i="31" s="1"/>
  <c r="Z884" i="31" s="1" a="1"/>
  <c r="Z884" i="31" s="1"/>
  <c r="X884" i="31" a="1"/>
  <c r="X884" i="31" s="1"/>
  <c r="W883" i="31" a="1"/>
  <c r="W883" i="31" s="1"/>
  <c r="Z883" i="31" s="1" a="1"/>
  <c r="Z883" i="31" s="1"/>
  <c r="X883" i="31" a="1"/>
  <c r="X883" i="31" s="1"/>
  <c r="W882" i="31" a="1"/>
  <c r="W882" i="31" s="1"/>
  <c r="Z882" i="31" s="1" a="1"/>
  <c r="Z882" i="31" s="1"/>
  <c r="X882" i="31" a="1"/>
  <c r="X882" i="31" s="1"/>
  <c r="W881" i="31" a="1"/>
  <c r="W881" i="31" s="1"/>
  <c r="Z881" i="31" s="1" a="1"/>
  <c r="Z881" i="31" s="1"/>
  <c r="X881" i="31" a="1"/>
  <c r="X881" i="31" s="1"/>
  <c r="W880" i="31" a="1"/>
  <c r="W880" i="31" s="1"/>
  <c r="Z880" i="31" s="1" a="1"/>
  <c r="Z880" i="31" s="1"/>
  <c r="X880" i="31" a="1"/>
  <c r="X880" i="31" s="1"/>
  <c r="W879" i="31" a="1"/>
  <c r="W879" i="31" s="1"/>
  <c r="Z879" i="31" s="1" a="1"/>
  <c r="Z879" i="31" s="1"/>
  <c r="X879" i="31" a="1"/>
  <c r="X879" i="31" s="1"/>
  <c r="W878" i="31" a="1"/>
  <c r="W878" i="31" s="1"/>
  <c r="Z878" i="31" s="1" a="1"/>
  <c r="Z878" i="31" s="1"/>
  <c r="X878" i="31" a="1"/>
  <c r="X878" i="31" s="1"/>
  <c r="W877" i="31" a="1"/>
  <c r="W877" i="31" s="1"/>
  <c r="Z877" i="31" s="1" a="1"/>
  <c r="Z877" i="31" s="1"/>
  <c r="X877" i="31" a="1"/>
  <c r="X877" i="31" s="1"/>
  <c r="W876" i="31" a="1"/>
  <c r="W876" i="31" s="1"/>
  <c r="Z876" i="31" s="1" a="1"/>
  <c r="Z876" i="31" s="1"/>
  <c r="X876" i="31" a="1"/>
  <c r="X876" i="31" s="1"/>
  <c r="W875" i="31" a="1"/>
  <c r="W875" i="31" s="1"/>
  <c r="Z875" i="31" s="1" a="1"/>
  <c r="Z875" i="31" s="1"/>
  <c r="X875" i="31" a="1"/>
  <c r="X875" i="31" s="1"/>
  <c r="W874" i="31" a="1"/>
  <c r="W874" i="31" s="1"/>
  <c r="Z874" i="31" s="1" a="1"/>
  <c r="Z874" i="31" s="1"/>
  <c r="X874" i="31" a="1"/>
  <c r="X874" i="31" s="1"/>
  <c r="W873" i="31" a="1"/>
  <c r="W873" i="31" s="1"/>
  <c r="Z873" i="31" s="1" a="1"/>
  <c r="Z873" i="31" s="1"/>
  <c r="X873" i="31" a="1"/>
  <c r="X873" i="31" s="1"/>
  <c r="W872" i="31" a="1"/>
  <c r="W872" i="31" s="1"/>
  <c r="Z872" i="31" s="1" a="1"/>
  <c r="Z872" i="31" s="1"/>
  <c r="X872" i="31" a="1"/>
  <c r="X872" i="31" s="1"/>
  <c r="W871" i="31" a="1"/>
  <c r="W871" i="31" s="1"/>
  <c r="Z871" i="31" s="1" a="1"/>
  <c r="Z871" i="31" s="1"/>
  <c r="X871" i="31" a="1"/>
  <c r="X871" i="31" s="1"/>
  <c r="W870" i="31" a="1"/>
  <c r="W870" i="31" s="1"/>
  <c r="Z870" i="31" s="1" a="1"/>
  <c r="Z870" i="31" s="1"/>
  <c r="X870" i="31" a="1"/>
  <c r="X870" i="31" s="1"/>
  <c r="W869" i="31" a="1"/>
  <c r="W869" i="31" s="1"/>
  <c r="Z869" i="31" s="1" a="1"/>
  <c r="Z869" i="31" s="1"/>
  <c r="X869" i="31" a="1"/>
  <c r="X869" i="31" s="1"/>
  <c r="W868" i="31" a="1"/>
  <c r="W868" i="31" s="1"/>
  <c r="Z868" i="31" s="1" a="1"/>
  <c r="Z868" i="31" s="1"/>
  <c r="X868" i="31" a="1"/>
  <c r="X868" i="31" s="1"/>
  <c r="W867" i="31" a="1"/>
  <c r="W867" i="31" s="1"/>
  <c r="Z867" i="31" s="1" a="1"/>
  <c r="Z867" i="31" s="1"/>
  <c r="X867" i="31" a="1"/>
  <c r="X867" i="31" s="1"/>
  <c r="W866" i="31" a="1"/>
  <c r="W866" i="31" s="1"/>
  <c r="Z866" i="31" s="1" a="1"/>
  <c r="Z866" i="31" s="1"/>
  <c r="X866" i="31" a="1"/>
  <c r="X866" i="31" s="1"/>
  <c r="W865" i="31" a="1"/>
  <c r="W865" i="31" s="1"/>
  <c r="Z865" i="31" s="1" a="1"/>
  <c r="Z865" i="31" s="1"/>
  <c r="X865" i="31" a="1"/>
  <c r="X865" i="31" s="1"/>
  <c r="W864" i="31" a="1"/>
  <c r="W864" i="31" s="1"/>
  <c r="Z864" i="31" s="1" a="1"/>
  <c r="Z864" i="31" s="1"/>
  <c r="X864" i="31" a="1"/>
  <c r="X864" i="31" s="1"/>
  <c r="W863" i="31" a="1"/>
  <c r="W863" i="31" s="1"/>
  <c r="Z863" i="31" s="1" a="1"/>
  <c r="Z863" i="31" s="1"/>
  <c r="X863" i="31" a="1"/>
  <c r="X863" i="31" s="1"/>
  <c r="W862" i="31" a="1"/>
  <c r="W862" i="31" s="1"/>
  <c r="Z862" i="31" s="1" a="1"/>
  <c r="Z862" i="31" s="1"/>
  <c r="X862" i="31" a="1"/>
  <c r="X862" i="31" s="1"/>
  <c r="W861" i="31" a="1"/>
  <c r="W861" i="31" s="1"/>
  <c r="Z861" i="31" s="1" a="1"/>
  <c r="Z861" i="31" s="1"/>
  <c r="X861" i="31" a="1"/>
  <c r="X861" i="31" s="1"/>
  <c r="W860" i="31" a="1"/>
  <c r="W860" i="31" s="1"/>
  <c r="Z860" i="31" s="1" a="1"/>
  <c r="Z860" i="31" s="1"/>
  <c r="X860" i="31" a="1"/>
  <c r="X860" i="31" s="1"/>
  <c r="W859" i="31" a="1"/>
  <c r="W859" i="31" s="1"/>
  <c r="Z859" i="31" s="1" a="1"/>
  <c r="Z859" i="31" s="1"/>
  <c r="X859" i="31" a="1"/>
  <c r="X859" i="31" s="1"/>
  <c r="W858" i="31" a="1"/>
  <c r="W858" i="31" s="1"/>
  <c r="Z858" i="31" s="1" a="1"/>
  <c r="Z858" i="31" s="1"/>
  <c r="X858" i="31" a="1"/>
  <c r="X858" i="31" s="1"/>
  <c r="W857" i="31" a="1"/>
  <c r="W857" i="31" s="1"/>
  <c r="Z857" i="31" s="1" a="1"/>
  <c r="Z857" i="31" s="1"/>
  <c r="X857" i="31" a="1"/>
  <c r="X857" i="31" s="1"/>
  <c r="W856" i="31" a="1"/>
  <c r="W856" i="31" s="1"/>
  <c r="Z856" i="31" s="1" a="1"/>
  <c r="Z856" i="31" s="1"/>
  <c r="X856" i="31" a="1"/>
  <c r="X856" i="31" s="1"/>
  <c r="W855" i="31" a="1"/>
  <c r="W855" i="31" s="1"/>
  <c r="Z855" i="31" s="1" a="1"/>
  <c r="Z855" i="31" s="1"/>
  <c r="X855" i="31" a="1"/>
  <c r="X855" i="31" s="1"/>
  <c r="W854" i="31" a="1"/>
  <c r="W854" i="31" s="1"/>
  <c r="Z854" i="31" s="1" a="1"/>
  <c r="Z854" i="31" s="1"/>
  <c r="X854" i="31" a="1"/>
  <c r="X854" i="31" s="1"/>
  <c r="W853" i="31" a="1"/>
  <c r="W853" i="31" s="1"/>
  <c r="Z853" i="31" s="1" a="1"/>
  <c r="Z853" i="31" s="1"/>
  <c r="X853" i="31" a="1"/>
  <c r="X853" i="31" s="1"/>
  <c r="W852" i="31" a="1"/>
  <c r="W852" i="31" s="1"/>
  <c r="Z852" i="31" s="1" a="1"/>
  <c r="Z852" i="31" s="1"/>
  <c r="X852" i="31" a="1"/>
  <c r="X852" i="31" s="1"/>
  <c r="W851" i="31" a="1"/>
  <c r="W851" i="31" s="1"/>
  <c r="Z851" i="31" s="1" a="1"/>
  <c r="Z851" i="31" s="1"/>
  <c r="X851" i="31" a="1"/>
  <c r="X851" i="31" s="1"/>
  <c r="W850" i="31" a="1"/>
  <c r="W850" i="31" s="1"/>
  <c r="Z850" i="31" s="1" a="1"/>
  <c r="Z850" i="31" s="1"/>
  <c r="X850" i="31" a="1"/>
  <c r="X850" i="31" s="1"/>
  <c r="W849" i="31" a="1"/>
  <c r="W849" i="31" s="1"/>
  <c r="Z849" i="31" s="1" a="1"/>
  <c r="Z849" i="31" s="1"/>
  <c r="X849" i="31" a="1"/>
  <c r="X849" i="31" s="1"/>
  <c r="W848" i="31" a="1"/>
  <c r="W848" i="31" s="1"/>
  <c r="Z848" i="31" s="1" a="1"/>
  <c r="Z848" i="31" s="1"/>
  <c r="X848" i="31" a="1"/>
  <c r="X848" i="31" s="1"/>
  <c r="W847" i="31" a="1"/>
  <c r="W847" i="31" s="1"/>
  <c r="Z847" i="31" s="1" a="1"/>
  <c r="Z847" i="31" s="1"/>
  <c r="X847" i="31" a="1"/>
  <c r="X847" i="31" s="1"/>
  <c r="W846" i="31" a="1"/>
  <c r="W846" i="31" s="1"/>
  <c r="Z846" i="31" s="1" a="1"/>
  <c r="Z846" i="31" s="1"/>
  <c r="X846" i="31" a="1"/>
  <c r="X846" i="31" s="1"/>
  <c r="W845" i="31" a="1"/>
  <c r="W845" i="31" s="1"/>
  <c r="Z845" i="31" s="1" a="1"/>
  <c r="Z845" i="31" s="1"/>
  <c r="X845" i="31" a="1"/>
  <c r="X845" i="31" s="1"/>
  <c r="W844" i="31" a="1"/>
  <c r="W844" i="31" s="1"/>
  <c r="Z844" i="31" s="1" a="1"/>
  <c r="Z844" i="31" s="1"/>
  <c r="X844" i="31" a="1"/>
  <c r="X844" i="31" s="1"/>
  <c r="W843" i="31" a="1"/>
  <c r="W843" i="31" s="1"/>
  <c r="Z843" i="31" s="1" a="1"/>
  <c r="Z843" i="31" s="1"/>
  <c r="X843" i="31" a="1"/>
  <c r="X843" i="31" s="1"/>
  <c r="W842" i="31" a="1"/>
  <c r="W842" i="31" s="1"/>
  <c r="Z842" i="31" s="1" a="1"/>
  <c r="Z842" i="31" s="1"/>
  <c r="X842" i="31" a="1"/>
  <c r="X842" i="31" s="1"/>
  <c r="W841" i="31" a="1"/>
  <c r="W841" i="31" s="1"/>
  <c r="Z841" i="31" s="1" a="1"/>
  <c r="Z841" i="31" s="1"/>
  <c r="X841" i="31" a="1"/>
  <c r="X841" i="31" s="1"/>
  <c r="W840" i="31" a="1"/>
  <c r="W840" i="31" s="1"/>
  <c r="Z840" i="31" s="1" a="1"/>
  <c r="Z840" i="31" s="1"/>
  <c r="X840" i="31" a="1"/>
  <c r="X840" i="31" s="1"/>
  <c r="W839" i="31" a="1"/>
  <c r="W839" i="31" s="1"/>
  <c r="Z839" i="31" s="1" a="1"/>
  <c r="Z839" i="31" s="1"/>
  <c r="X839" i="31" a="1"/>
  <c r="X839" i="31" s="1"/>
  <c r="W838" i="31" a="1"/>
  <c r="W838" i="31" s="1"/>
  <c r="Z838" i="31" s="1" a="1"/>
  <c r="Z838" i="31" s="1"/>
  <c r="X838" i="31" a="1"/>
  <c r="X838" i="31" s="1"/>
  <c r="W837" i="31" a="1"/>
  <c r="W837" i="31" s="1"/>
  <c r="Z837" i="31" s="1" a="1"/>
  <c r="Z837" i="31" s="1"/>
  <c r="X837" i="31" a="1"/>
  <c r="X837" i="31" s="1"/>
  <c r="W836" i="31" a="1"/>
  <c r="W836" i="31" s="1"/>
  <c r="Z836" i="31" s="1" a="1"/>
  <c r="Z836" i="31" s="1"/>
  <c r="X836" i="31" a="1"/>
  <c r="X836" i="31" s="1"/>
  <c r="W835" i="31" a="1"/>
  <c r="W835" i="31" s="1"/>
  <c r="Z835" i="31" s="1" a="1"/>
  <c r="Z835" i="31" s="1"/>
  <c r="X835" i="31" a="1"/>
  <c r="X835" i="31" s="1"/>
  <c r="W834" i="31" a="1"/>
  <c r="W834" i="31" s="1"/>
  <c r="Z834" i="31" s="1" a="1"/>
  <c r="Z834" i="31" s="1"/>
  <c r="X834" i="31" a="1"/>
  <c r="X834" i="31" s="1"/>
  <c r="W833" i="31" a="1"/>
  <c r="W833" i="31" s="1"/>
  <c r="Z833" i="31" s="1" a="1"/>
  <c r="Z833" i="31" s="1"/>
  <c r="X833" i="31" a="1"/>
  <c r="X833" i="31" s="1"/>
  <c r="W832" i="31" a="1"/>
  <c r="W832" i="31" s="1"/>
  <c r="Z832" i="31" s="1" a="1"/>
  <c r="Z832" i="31" s="1"/>
  <c r="X832" i="31" a="1"/>
  <c r="X832" i="31" s="1"/>
  <c r="W831" i="31" a="1"/>
  <c r="W831" i="31" s="1"/>
  <c r="Z831" i="31" s="1" a="1"/>
  <c r="Z831" i="31" s="1"/>
  <c r="X831" i="31" a="1"/>
  <c r="X831" i="31" s="1"/>
  <c r="W830" i="31" a="1"/>
  <c r="W830" i="31" s="1"/>
  <c r="Z830" i="31" s="1" a="1"/>
  <c r="Z830" i="31" s="1"/>
  <c r="X830" i="31" a="1"/>
  <c r="X830" i="31" s="1"/>
  <c r="W829" i="31" a="1"/>
  <c r="W829" i="31" s="1"/>
  <c r="Z829" i="31" s="1" a="1"/>
  <c r="Z829" i="31" s="1"/>
  <c r="X829" i="31" a="1"/>
  <c r="X829" i="31" s="1"/>
  <c r="W828" i="31" a="1"/>
  <c r="W828" i="31" s="1"/>
  <c r="Z828" i="31" s="1" a="1"/>
  <c r="Z828" i="31" s="1"/>
  <c r="X828" i="31" a="1"/>
  <c r="X828" i="31" s="1"/>
  <c r="W827" i="31" a="1"/>
  <c r="W827" i="31" s="1"/>
  <c r="Z827" i="31" s="1" a="1"/>
  <c r="Z827" i="31" s="1"/>
  <c r="X827" i="31" a="1"/>
  <c r="X827" i="31" s="1"/>
  <c r="W826" i="31" a="1"/>
  <c r="W826" i="31" s="1"/>
  <c r="Z826" i="31" s="1" a="1"/>
  <c r="Z826" i="31" s="1"/>
  <c r="X826" i="31" a="1"/>
  <c r="X826" i="31" s="1"/>
  <c r="W825" i="31" a="1"/>
  <c r="W825" i="31" s="1"/>
  <c r="Z825" i="31" s="1" a="1"/>
  <c r="Z825" i="31" s="1"/>
  <c r="X825" i="31" a="1"/>
  <c r="X825" i="31" s="1"/>
  <c r="W824" i="31" a="1"/>
  <c r="W824" i="31" s="1"/>
  <c r="Z824" i="31" s="1" a="1"/>
  <c r="Z824" i="31" s="1"/>
  <c r="X824" i="31" a="1"/>
  <c r="X824" i="31" s="1"/>
  <c r="W823" i="31" a="1"/>
  <c r="W823" i="31" s="1"/>
  <c r="Z823" i="31" s="1" a="1"/>
  <c r="Z823" i="31" s="1"/>
  <c r="X823" i="31" a="1"/>
  <c r="X823" i="31" s="1"/>
  <c r="W822" i="31" a="1"/>
  <c r="W822" i="31" s="1"/>
  <c r="Z822" i="31" s="1" a="1"/>
  <c r="Z822" i="31" s="1"/>
  <c r="X822" i="31" a="1"/>
  <c r="X822" i="31" s="1"/>
  <c r="W821" i="31" a="1"/>
  <c r="W821" i="31" s="1"/>
  <c r="Z821" i="31" s="1" a="1"/>
  <c r="Z821" i="31" s="1"/>
  <c r="X821" i="31" a="1"/>
  <c r="X821" i="31" s="1"/>
  <c r="W820" i="31" a="1"/>
  <c r="W820" i="31" s="1"/>
  <c r="Z820" i="31" s="1" a="1"/>
  <c r="Z820" i="31" s="1"/>
  <c r="X820" i="31" a="1"/>
  <c r="X820" i="31" s="1"/>
  <c r="W819" i="31" a="1"/>
  <c r="W819" i="31" s="1"/>
  <c r="Z819" i="31" s="1" a="1"/>
  <c r="Z819" i="31" s="1"/>
  <c r="X819" i="31" a="1"/>
  <c r="X819" i="31" s="1"/>
  <c r="W818" i="31" a="1"/>
  <c r="W818" i="31" s="1"/>
  <c r="Z818" i="31" s="1" a="1"/>
  <c r="Z818" i="31" s="1"/>
  <c r="X818" i="31" a="1"/>
  <c r="X818" i="31" s="1"/>
  <c r="W817" i="31" a="1"/>
  <c r="W817" i="31" s="1"/>
  <c r="Z817" i="31" s="1" a="1"/>
  <c r="Z817" i="31" s="1"/>
  <c r="X817" i="31" a="1"/>
  <c r="X817" i="31" s="1"/>
  <c r="W816" i="31" a="1"/>
  <c r="W816" i="31" s="1"/>
  <c r="Z816" i="31" s="1" a="1"/>
  <c r="Z816" i="31" s="1"/>
  <c r="X816" i="31" a="1"/>
  <c r="X816" i="31" s="1"/>
  <c r="W815" i="31" a="1"/>
  <c r="W815" i="31" s="1"/>
  <c r="Z815" i="31" s="1" a="1"/>
  <c r="Z815" i="31" s="1"/>
  <c r="X815" i="31" a="1"/>
  <c r="X815" i="31" s="1"/>
  <c r="W814" i="31" a="1"/>
  <c r="W814" i="31" s="1"/>
  <c r="Z814" i="31" s="1" a="1"/>
  <c r="Z814" i="31" s="1"/>
  <c r="X814" i="31" a="1"/>
  <c r="X814" i="31" s="1"/>
  <c r="W813" i="31" a="1"/>
  <c r="W813" i="31" s="1"/>
  <c r="Z813" i="31" s="1" a="1"/>
  <c r="Z813" i="31" s="1"/>
  <c r="X813" i="31" a="1"/>
  <c r="X813" i="31" s="1"/>
  <c r="W812" i="31" a="1"/>
  <c r="W812" i="31" s="1"/>
  <c r="Z812" i="31" s="1" a="1"/>
  <c r="Z812" i="31" s="1"/>
  <c r="X812" i="31" a="1"/>
  <c r="X812" i="31" s="1"/>
  <c r="W811" i="31" a="1"/>
  <c r="W811" i="31" s="1"/>
  <c r="Z811" i="31" s="1" a="1"/>
  <c r="Z811" i="31" s="1"/>
  <c r="X811" i="31" a="1"/>
  <c r="X811" i="31" s="1"/>
  <c r="W810" i="31" a="1"/>
  <c r="W810" i="31" s="1"/>
  <c r="Z810" i="31" s="1" a="1"/>
  <c r="Z810" i="31" s="1"/>
  <c r="X810" i="31" a="1"/>
  <c r="X810" i="31" s="1"/>
  <c r="W809" i="31" a="1"/>
  <c r="W809" i="31" s="1"/>
  <c r="Z809" i="31" s="1" a="1"/>
  <c r="Z809" i="31" s="1"/>
  <c r="X809" i="31" a="1"/>
  <c r="X809" i="31" s="1"/>
  <c r="W808" i="31" a="1"/>
  <c r="W808" i="31" s="1"/>
  <c r="Z808" i="31" s="1" a="1"/>
  <c r="Z808" i="31" s="1"/>
  <c r="X808" i="31" a="1"/>
  <c r="X808" i="31" s="1"/>
  <c r="W807" i="31" a="1"/>
  <c r="W807" i="31" s="1"/>
  <c r="Z807" i="31" s="1" a="1"/>
  <c r="Z807" i="31" s="1"/>
  <c r="X807" i="31" a="1"/>
  <c r="X807" i="31" s="1"/>
  <c r="W806" i="31" a="1"/>
  <c r="W806" i="31" s="1"/>
  <c r="Z806" i="31" s="1" a="1"/>
  <c r="Z806" i="31" s="1"/>
  <c r="X806" i="31" a="1"/>
  <c r="X806" i="31" s="1"/>
  <c r="W805" i="31" a="1"/>
  <c r="W805" i="31" s="1"/>
  <c r="Z805" i="31" s="1" a="1"/>
  <c r="Z805" i="31" s="1"/>
  <c r="X805" i="31" a="1"/>
  <c r="X805" i="31" s="1"/>
  <c r="W804" i="31" a="1"/>
  <c r="W804" i="31" s="1"/>
  <c r="Z804" i="31" s="1" a="1"/>
  <c r="Z804" i="31" s="1"/>
  <c r="X804" i="31" a="1"/>
  <c r="X804" i="31" s="1"/>
  <c r="W803" i="31" a="1"/>
  <c r="W803" i="31" s="1"/>
  <c r="Z803" i="31" s="1" a="1"/>
  <c r="Z803" i="31" s="1"/>
  <c r="X803" i="31" a="1"/>
  <c r="X803" i="31" s="1"/>
  <c r="W802" i="31" a="1"/>
  <c r="W802" i="31" s="1"/>
  <c r="Z802" i="31" s="1" a="1"/>
  <c r="Z802" i="31" s="1"/>
  <c r="X802" i="31" a="1"/>
  <c r="X802" i="31" s="1"/>
  <c r="W801" i="31" a="1"/>
  <c r="W801" i="31" s="1"/>
  <c r="Z801" i="31" s="1" a="1"/>
  <c r="Z801" i="31" s="1"/>
  <c r="X801" i="31" a="1"/>
  <c r="X801" i="31" s="1"/>
  <c r="W800" i="31" a="1"/>
  <c r="W800" i="31" s="1"/>
  <c r="Z800" i="31" s="1" a="1"/>
  <c r="Z800" i="31" s="1"/>
  <c r="X800" i="31" a="1"/>
  <c r="X800" i="31" s="1"/>
  <c r="W799" i="31" a="1"/>
  <c r="W799" i="31" s="1"/>
  <c r="Z799" i="31" s="1" a="1"/>
  <c r="Z799" i="31" s="1"/>
  <c r="X799" i="31" a="1"/>
  <c r="X799" i="31" s="1"/>
  <c r="W798" i="31" a="1"/>
  <c r="W798" i="31" s="1"/>
  <c r="Z798" i="31" s="1" a="1"/>
  <c r="Z798" i="31" s="1"/>
  <c r="X798" i="31" a="1"/>
  <c r="X798" i="31" s="1"/>
  <c r="W797" i="31" a="1"/>
  <c r="W797" i="31" s="1"/>
  <c r="Z797" i="31" s="1" a="1"/>
  <c r="Z797" i="31" s="1"/>
  <c r="X797" i="31" a="1"/>
  <c r="X797" i="31" s="1"/>
  <c r="W796" i="31" a="1"/>
  <c r="W796" i="31" s="1"/>
  <c r="Z796" i="31" s="1" a="1"/>
  <c r="Z796" i="31" s="1"/>
  <c r="X796" i="31" a="1"/>
  <c r="X796" i="31" s="1"/>
  <c r="W795" i="31" a="1"/>
  <c r="W795" i="31" s="1"/>
  <c r="Z795" i="31" s="1" a="1"/>
  <c r="Z795" i="31" s="1"/>
  <c r="X795" i="31" a="1"/>
  <c r="X795" i="31" s="1"/>
  <c r="W794" i="31" a="1"/>
  <c r="W794" i="31" s="1"/>
  <c r="Z794" i="31" s="1" a="1"/>
  <c r="Z794" i="31" s="1"/>
  <c r="X794" i="31" a="1"/>
  <c r="X794" i="31" s="1"/>
  <c r="W793" i="31" a="1"/>
  <c r="W793" i="31" s="1"/>
  <c r="Z793" i="31" s="1" a="1"/>
  <c r="Z793" i="31" s="1"/>
  <c r="X793" i="31" a="1"/>
  <c r="X793" i="31" s="1"/>
  <c r="W792" i="31" a="1"/>
  <c r="W792" i="31" s="1"/>
  <c r="Z792" i="31" s="1" a="1"/>
  <c r="Z792" i="31" s="1"/>
  <c r="X792" i="31" a="1"/>
  <c r="X792" i="31" s="1"/>
  <c r="W791" i="31" a="1"/>
  <c r="W791" i="31" s="1"/>
  <c r="Z791" i="31" s="1" a="1"/>
  <c r="Z791" i="31" s="1"/>
  <c r="X791" i="31" a="1"/>
  <c r="X791" i="31" s="1"/>
  <c r="W790" i="31" a="1"/>
  <c r="W790" i="31" s="1"/>
  <c r="Z790" i="31" s="1" a="1"/>
  <c r="Z790" i="31" s="1"/>
  <c r="X790" i="31" a="1"/>
  <c r="X790" i="31" s="1"/>
  <c r="W789" i="31" a="1"/>
  <c r="W789" i="31" s="1"/>
  <c r="Z789" i="31" s="1" a="1"/>
  <c r="Z789" i="31" s="1"/>
  <c r="X789" i="31" a="1"/>
  <c r="X789" i="31" s="1"/>
  <c r="W788" i="31" a="1"/>
  <c r="W788" i="31" s="1"/>
  <c r="Z788" i="31" s="1" a="1"/>
  <c r="Z788" i="31" s="1"/>
  <c r="X788" i="31" a="1"/>
  <c r="X788" i="31" s="1"/>
  <c r="W787" i="31" a="1"/>
  <c r="W787" i="31" s="1"/>
  <c r="Z787" i="31" s="1" a="1"/>
  <c r="Z787" i="31" s="1"/>
  <c r="X787" i="31" a="1"/>
  <c r="X787" i="31" s="1"/>
  <c r="W786" i="31" a="1"/>
  <c r="W786" i="31" s="1"/>
  <c r="Z786" i="31" s="1" a="1"/>
  <c r="Z786" i="31" s="1"/>
  <c r="X786" i="31" a="1"/>
  <c r="X786" i="31" s="1"/>
  <c r="W785" i="31" a="1"/>
  <c r="W785" i="31" s="1"/>
  <c r="Z785" i="31" s="1" a="1"/>
  <c r="Z785" i="31" s="1"/>
  <c r="X785" i="31" a="1"/>
  <c r="X785" i="31" s="1"/>
  <c r="W784" i="31" a="1"/>
  <c r="W784" i="31" s="1"/>
  <c r="Z784" i="31" s="1" a="1"/>
  <c r="Z784" i="31" s="1"/>
  <c r="X784" i="31" a="1"/>
  <c r="X784" i="31" s="1"/>
  <c r="W783" i="31" a="1"/>
  <c r="W783" i="31" s="1"/>
  <c r="Z783" i="31" s="1" a="1"/>
  <c r="Z783" i="31" s="1"/>
  <c r="X783" i="31" a="1"/>
  <c r="X783" i="31" s="1"/>
  <c r="W782" i="31" a="1"/>
  <c r="W782" i="31" s="1"/>
  <c r="Z782" i="31" s="1" a="1"/>
  <c r="Z782" i="31" s="1"/>
  <c r="X782" i="31" a="1"/>
  <c r="X782" i="31" s="1"/>
  <c r="W781" i="31" a="1"/>
  <c r="W781" i="31" s="1"/>
  <c r="Z781" i="31" s="1" a="1"/>
  <c r="Z781" i="31" s="1"/>
  <c r="X781" i="31" a="1"/>
  <c r="X781" i="31" s="1"/>
  <c r="W780" i="31" a="1"/>
  <c r="W780" i="31" s="1"/>
  <c r="Z780" i="31" s="1" a="1"/>
  <c r="Z780" i="31" s="1"/>
  <c r="X780" i="31" a="1"/>
  <c r="X780" i="31" s="1"/>
  <c r="W779" i="31" a="1"/>
  <c r="W779" i="31" s="1"/>
  <c r="Z779" i="31" s="1" a="1"/>
  <c r="Z779" i="31" s="1"/>
  <c r="X779" i="31" a="1"/>
  <c r="X779" i="31" s="1"/>
  <c r="W778" i="31" a="1"/>
  <c r="W778" i="31" s="1"/>
  <c r="Z778" i="31" s="1" a="1"/>
  <c r="Z778" i="31" s="1"/>
  <c r="X778" i="31" a="1"/>
  <c r="X778" i="31" s="1"/>
  <c r="W777" i="31" a="1"/>
  <c r="W777" i="31" s="1"/>
  <c r="Z777" i="31" s="1" a="1"/>
  <c r="Z777" i="31" s="1"/>
  <c r="X777" i="31" a="1"/>
  <c r="X777" i="31" s="1"/>
  <c r="W776" i="31" a="1"/>
  <c r="W776" i="31" s="1"/>
  <c r="Z776" i="31" s="1" a="1"/>
  <c r="Z776" i="31" s="1"/>
  <c r="X776" i="31" a="1"/>
  <c r="X776" i="31" s="1"/>
  <c r="W775" i="31" a="1"/>
  <c r="W775" i="31" s="1"/>
  <c r="Z775" i="31" s="1" a="1"/>
  <c r="Z775" i="31" s="1"/>
  <c r="X775" i="31" a="1"/>
  <c r="X775" i="31" s="1"/>
  <c r="W774" i="31" a="1"/>
  <c r="W774" i="31" s="1"/>
  <c r="Z774" i="31" s="1" a="1"/>
  <c r="Z774" i="31" s="1"/>
  <c r="X774" i="31" a="1"/>
  <c r="X774" i="31" s="1"/>
  <c r="W773" i="31" a="1"/>
  <c r="W773" i="31" s="1"/>
  <c r="Z773" i="31" s="1" a="1"/>
  <c r="Z773" i="31" s="1"/>
  <c r="X773" i="31" a="1"/>
  <c r="X773" i="31" s="1"/>
  <c r="W772" i="31" a="1"/>
  <c r="W772" i="31" s="1"/>
  <c r="Z772" i="31" s="1" a="1"/>
  <c r="Z772" i="31" s="1"/>
  <c r="X772" i="31" a="1"/>
  <c r="X772" i="31" s="1"/>
  <c r="W771" i="31" a="1"/>
  <c r="W771" i="31" s="1"/>
  <c r="Z771" i="31" s="1" a="1"/>
  <c r="Z771" i="31" s="1"/>
  <c r="X771" i="31" a="1"/>
  <c r="X771" i="31" s="1"/>
  <c r="W770" i="31" a="1"/>
  <c r="W770" i="31" s="1"/>
  <c r="Z770" i="31" s="1" a="1"/>
  <c r="Z770" i="31" s="1"/>
  <c r="X770" i="31" a="1"/>
  <c r="X770" i="31" s="1"/>
  <c r="W769" i="31" a="1"/>
  <c r="W769" i="31" s="1"/>
  <c r="Z769" i="31" s="1" a="1"/>
  <c r="Z769" i="31" s="1"/>
  <c r="X769" i="31" a="1"/>
  <c r="X769" i="31" s="1"/>
  <c r="W768" i="31" a="1"/>
  <c r="W768" i="31" s="1"/>
  <c r="Z768" i="31" s="1" a="1"/>
  <c r="Z768" i="31" s="1"/>
  <c r="X768" i="31" a="1"/>
  <c r="X768" i="31" s="1"/>
  <c r="W767" i="31" a="1"/>
  <c r="W767" i="31" s="1"/>
  <c r="Z767" i="31" s="1" a="1"/>
  <c r="Z767" i="31" s="1"/>
  <c r="X767" i="31" a="1"/>
  <c r="X767" i="31" s="1"/>
  <c r="W766" i="31" a="1"/>
  <c r="W766" i="31" s="1"/>
  <c r="Z766" i="31" s="1" a="1"/>
  <c r="Z766" i="31" s="1"/>
  <c r="X766" i="31" a="1"/>
  <c r="X766" i="31" s="1"/>
  <c r="W765" i="31" a="1"/>
  <c r="W765" i="31" s="1"/>
  <c r="Z765" i="31" s="1" a="1"/>
  <c r="Z765" i="31" s="1"/>
  <c r="X765" i="31" a="1"/>
  <c r="X765" i="31" s="1"/>
  <c r="W764" i="31" a="1"/>
  <c r="W764" i="31" s="1"/>
  <c r="Z764" i="31" s="1" a="1"/>
  <c r="Z764" i="31" s="1"/>
  <c r="X764" i="31" a="1"/>
  <c r="X764" i="31" s="1"/>
  <c r="W763" i="31" a="1"/>
  <c r="W763" i="31" s="1"/>
  <c r="Z763" i="31" s="1" a="1"/>
  <c r="Z763" i="31" s="1"/>
  <c r="X763" i="31" a="1"/>
  <c r="X763" i="31" s="1"/>
  <c r="W762" i="31" a="1"/>
  <c r="W762" i="31" s="1"/>
  <c r="Z762" i="31" s="1" a="1"/>
  <c r="Z762" i="31" s="1"/>
  <c r="X762" i="31" a="1"/>
  <c r="X762" i="31" s="1"/>
  <c r="W761" i="31" a="1"/>
  <c r="W761" i="31" s="1"/>
  <c r="Z761" i="31" s="1" a="1"/>
  <c r="Z761" i="31" s="1"/>
  <c r="X761" i="31" a="1"/>
  <c r="X761" i="31" s="1"/>
  <c r="W760" i="31" a="1"/>
  <c r="W760" i="31" s="1"/>
  <c r="Z760" i="31" s="1" a="1"/>
  <c r="Z760" i="31" s="1"/>
  <c r="X760" i="31" a="1"/>
  <c r="X760" i="31" s="1"/>
  <c r="W759" i="31" a="1"/>
  <c r="W759" i="31" s="1"/>
  <c r="Z759" i="31" s="1" a="1"/>
  <c r="Z759" i="31" s="1"/>
  <c r="X759" i="31" a="1"/>
  <c r="X759" i="31" s="1"/>
  <c r="W758" i="31" a="1"/>
  <c r="W758" i="31" s="1"/>
  <c r="Z758" i="31" s="1" a="1"/>
  <c r="Z758" i="31" s="1"/>
  <c r="X758" i="31" a="1"/>
  <c r="X758" i="31" s="1"/>
  <c r="W757" i="31" a="1"/>
  <c r="W757" i="31" s="1"/>
  <c r="Z757" i="31" s="1" a="1"/>
  <c r="Z757" i="31" s="1"/>
  <c r="X757" i="31" a="1"/>
  <c r="X757" i="31" s="1"/>
  <c r="W756" i="31" a="1"/>
  <c r="W756" i="31" s="1"/>
  <c r="Z756" i="31" s="1" a="1"/>
  <c r="Z756" i="31" s="1"/>
  <c r="X756" i="31" a="1"/>
  <c r="X756" i="31" s="1"/>
  <c r="W755" i="31" a="1"/>
  <c r="W755" i="31" s="1"/>
  <c r="Z755" i="31" s="1" a="1"/>
  <c r="Z755" i="31" s="1"/>
  <c r="X755" i="31" a="1"/>
  <c r="X755" i="31" s="1"/>
  <c r="W754" i="31" a="1"/>
  <c r="W754" i="31" s="1"/>
  <c r="Z754" i="31" s="1" a="1"/>
  <c r="Z754" i="31" s="1"/>
  <c r="X754" i="31" a="1"/>
  <c r="X754" i="31" s="1"/>
  <c r="W753" i="31" a="1"/>
  <c r="W753" i="31" s="1"/>
  <c r="Z753" i="31" s="1" a="1"/>
  <c r="Z753" i="31" s="1"/>
  <c r="X753" i="31" a="1"/>
  <c r="X753" i="31" s="1"/>
  <c r="W752" i="31" a="1"/>
  <c r="W752" i="31" s="1"/>
  <c r="Z752" i="31" s="1" a="1"/>
  <c r="Z752" i="31" s="1"/>
  <c r="X752" i="31" a="1"/>
  <c r="X752" i="31" s="1"/>
  <c r="W751" i="31" a="1"/>
  <c r="W751" i="31" s="1"/>
  <c r="Z751" i="31" s="1" a="1"/>
  <c r="Z751" i="31" s="1"/>
  <c r="X751" i="31" a="1"/>
  <c r="X751" i="31" s="1"/>
  <c r="W750" i="31" a="1"/>
  <c r="W750" i="31" s="1"/>
  <c r="Z750" i="31" s="1" a="1"/>
  <c r="Z750" i="31" s="1"/>
  <c r="X750" i="31" a="1"/>
  <c r="X750" i="31" s="1"/>
  <c r="W749" i="31" a="1"/>
  <c r="W749" i="31" s="1"/>
  <c r="Z749" i="31" s="1" a="1"/>
  <c r="Z749" i="31" s="1"/>
  <c r="X749" i="31" a="1"/>
  <c r="X749" i="31" s="1"/>
  <c r="W748" i="31" a="1"/>
  <c r="W748" i="31" s="1"/>
  <c r="Z748" i="31" s="1" a="1"/>
  <c r="Z748" i="31" s="1"/>
  <c r="X748" i="31" a="1"/>
  <c r="X748" i="31" s="1"/>
  <c r="W747" i="31" a="1"/>
  <c r="W747" i="31" s="1"/>
  <c r="Z747" i="31" s="1" a="1"/>
  <c r="Z747" i="31" s="1"/>
  <c r="X747" i="31" a="1"/>
  <c r="X747" i="31" s="1"/>
  <c r="W746" i="31" a="1"/>
  <c r="W746" i="31" s="1"/>
  <c r="Z746" i="31" s="1" a="1"/>
  <c r="Z746" i="31" s="1"/>
  <c r="X746" i="31" a="1"/>
  <c r="X746" i="31" s="1"/>
  <c r="W745" i="31" a="1"/>
  <c r="W745" i="31" s="1"/>
  <c r="Z745" i="31" s="1" a="1"/>
  <c r="Z745" i="31" s="1"/>
  <c r="X745" i="31" a="1"/>
  <c r="X745" i="31" s="1"/>
  <c r="W744" i="31" a="1"/>
  <c r="W744" i="31" s="1"/>
  <c r="Z744" i="31" s="1" a="1"/>
  <c r="Z744" i="31" s="1"/>
  <c r="X744" i="31" a="1"/>
  <c r="X744" i="31" s="1"/>
  <c r="W743" i="31" a="1"/>
  <c r="W743" i="31" s="1"/>
  <c r="Z743" i="31" s="1" a="1"/>
  <c r="Z743" i="31" s="1"/>
  <c r="X743" i="31" a="1"/>
  <c r="X743" i="31" s="1"/>
  <c r="W742" i="31" a="1"/>
  <c r="W742" i="31" s="1"/>
  <c r="Z742" i="31" s="1" a="1"/>
  <c r="Z742" i="31" s="1"/>
  <c r="X742" i="31" a="1"/>
  <c r="X742" i="31" s="1"/>
  <c r="W741" i="31" a="1"/>
  <c r="W741" i="31" s="1"/>
  <c r="Z741" i="31" s="1" a="1"/>
  <c r="Z741" i="31" s="1"/>
  <c r="X741" i="31" a="1"/>
  <c r="X741" i="31" s="1"/>
  <c r="W740" i="31" a="1"/>
  <c r="W740" i="31" s="1"/>
  <c r="Z740" i="31" s="1" a="1"/>
  <c r="Z740" i="31" s="1"/>
  <c r="X740" i="31" a="1"/>
  <c r="X740" i="31" s="1"/>
  <c r="W739" i="31" a="1"/>
  <c r="W739" i="31" s="1"/>
  <c r="Z739" i="31" s="1" a="1"/>
  <c r="Z739" i="31" s="1"/>
  <c r="X739" i="31" a="1"/>
  <c r="X739" i="31" s="1"/>
  <c r="W738" i="31" a="1"/>
  <c r="W738" i="31" s="1"/>
  <c r="Z738" i="31" s="1" a="1"/>
  <c r="Z738" i="31" s="1"/>
  <c r="X738" i="31" a="1"/>
  <c r="X738" i="31" s="1"/>
  <c r="W737" i="31" a="1"/>
  <c r="W737" i="31" s="1"/>
  <c r="Z737" i="31" s="1" a="1"/>
  <c r="Z737" i="31" s="1"/>
  <c r="X737" i="31" a="1"/>
  <c r="X737" i="31" s="1"/>
  <c r="W736" i="31" a="1"/>
  <c r="W736" i="31" s="1"/>
  <c r="Z736" i="31" s="1" a="1"/>
  <c r="Z736" i="31" s="1"/>
  <c r="X736" i="31" a="1"/>
  <c r="X736" i="31" s="1"/>
  <c r="W735" i="31" a="1"/>
  <c r="W735" i="31" s="1"/>
  <c r="Z735" i="31" s="1" a="1"/>
  <c r="Z735" i="31" s="1"/>
  <c r="X735" i="31" a="1"/>
  <c r="X735" i="31" s="1"/>
  <c r="W734" i="31" a="1"/>
  <c r="W734" i="31" s="1"/>
  <c r="Z734" i="31" s="1" a="1"/>
  <c r="Z734" i="31" s="1"/>
  <c r="X734" i="31" a="1"/>
  <c r="X734" i="31" s="1"/>
  <c r="W733" i="31" a="1"/>
  <c r="W733" i="31" s="1"/>
  <c r="Z733" i="31" s="1" a="1"/>
  <c r="Z733" i="31" s="1"/>
  <c r="X733" i="31" a="1"/>
  <c r="X733" i="31" s="1"/>
  <c r="W732" i="31" a="1"/>
  <c r="W732" i="31" s="1"/>
  <c r="Z732" i="31" s="1" a="1"/>
  <c r="Z732" i="31" s="1"/>
  <c r="X732" i="31" a="1"/>
  <c r="X732" i="31" s="1"/>
  <c r="W731" i="31" a="1"/>
  <c r="W731" i="31" s="1"/>
  <c r="Z731" i="31" s="1" a="1"/>
  <c r="Z731" i="31" s="1"/>
  <c r="X731" i="31" a="1"/>
  <c r="X731" i="31" s="1"/>
  <c r="W730" i="31" a="1"/>
  <c r="W730" i="31" s="1"/>
  <c r="Z730" i="31" s="1" a="1"/>
  <c r="Z730" i="31" s="1"/>
  <c r="X730" i="31" a="1"/>
  <c r="X730" i="31" s="1"/>
  <c r="W729" i="31" a="1"/>
  <c r="W729" i="31" s="1"/>
  <c r="Z729" i="31" s="1" a="1"/>
  <c r="Z729" i="31" s="1"/>
  <c r="X729" i="31" a="1"/>
  <c r="X729" i="31" s="1"/>
  <c r="W728" i="31" a="1"/>
  <c r="W728" i="31" s="1"/>
  <c r="Z728" i="31" s="1" a="1"/>
  <c r="Z728" i="31" s="1"/>
  <c r="X728" i="31" a="1"/>
  <c r="X728" i="31" s="1"/>
  <c r="W727" i="31" a="1"/>
  <c r="W727" i="31" s="1"/>
  <c r="Z727" i="31" s="1" a="1"/>
  <c r="Z727" i="31" s="1"/>
  <c r="X727" i="31" a="1"/>
  <c r="X727" i="31" s="1"/>
  <c r="W726" i="31" a="1"/>
  <c r="W726" i="31" s="1"/>
  <c r="Z726" i="31" s="1" a="1"/>
  <c r="Z726" i="31" s="1"/>
  <c r="X726" i="31" a="1"/>
  <c r="X726" i="31" s="1"/>
  <c r="W725" i="31" a="1"/>
  <c r="W725" i="31" s="1"/>
  <c r="Z725" i="31" s="1" a="1"/>
  <c r="Z725" i="31" s="1"/>
  <c r="X725" i="31" a="1"/>
  <c r="X725" i="31" s="1"/>
  <c r="W724" i="31" a="1"/>
  <c r="W724" i="31" s="1"/>
  <c r="Z724" i="31" s="1" a="1"/>
  <c r="Z724" i="31" s="1"/>
  <c r="X724" i="31" a="1"/>
  <c r="X724" i="31" s="1"/>
  <c r="W723" i="31" a="1"/>
  <c r="W723" i="31" s="1"/>
  <c r="Z723" i="31" s="1" a="1"/>
  <c r="Z723" i="31" s="1"/>
  <c r="X723" i="31" a="1"/>
  <c r="X723" i="31" s="1"/>
  <c r="W722" i="31" a="1"/>
  <c r="W722" i="31" s="1"/>
  <c r="Z722" i="31" s="1" a="1"/>
  <c r="Z722" i="31" s="1"/>
  <c r="X722" i="31" a="1"/>
  <c r="X722" i="31" s="1"/>
  <c r="W721" i="31" a="1"/>
  <c r="W721" i="31" s="1"/>
  <c r="Z721" i="31" s="1" a="1"/>
  <c r="Z721" i="31" s="1"/>
  <c r="X721" i="31" a="1"/>
  <c r="X721" i="31" s="1"/>
  <c r="W720" i="31" a="1"/>
  <c r="W720" i="31" s="1"/>
  <c r="Z720" i="31" s="1" a="1"/>
  <c r="Z720" i="31" s="1"/>
  <c r="X720" i="31" a="1"/>
  <c r="X720" i="31" s="1"/>
  <c r="W719" i="31" a="1"/>
  <c r="W719" i="31" s="1"/>
  <c r="Z719" i="31" s="1" a="1"/>
  <c r="Z719" i="31" s="1"/>
  <c r="X719" i="31" a="1"/>
  <c r="X719" i="31" s="1"/>
  <c r="W718" i="31" a="1"/>
  <c r="W718" i="31" s="1"/>
  <c r="Z718" i="31" s="1" a="1"/>
  <c r="Z718" i="31" s="1"/>
  <c r="X718" i="31" a="1"/>
  <c r="X718" i="31" s="1"/>
  <c r="W717" i="31" a="1"/>
  <c r="W717" i="31" s="1"/>
  <c r="Z717" i="31" s="1" a="1"/>
  <c r="Z717" i="31" s="1"/>
  <c r="X717" i="31" a="1"/>
  <c r="X717" i="31" s="1"/>
  <c r="W716" i="31" a="1"/>
  <c r="W716" i="31" s="1"/>
  <c r="Z716" i="31" s="1" a="1"/>
  <c r="Z716" i="31" s="1"/>
  <c r="X716" i="31" a="1"/>
  <c r="X716" i="31" s="1"/>
  <c r="W715" i="31" a="1"/>
  <c r="W715" i="31" s="1"/>
  <c r="Z715" i="31" s="1" a="1"/>
  <c r="Z715" i="31" s="1"/>
  <c r="X715" i="31" a="1"/>
  <c r="X715" i="31" s="1"/>
  <c r="W714" i="31" a="1"/>
  <c r="W714" i="31" s="1"/>
  <c r="Z714" i="31" s="1" a="1"/>
  <c r="Z714" i="31" s="1"/>
  <c r="X714" i="31" a="1"/>
  <c r="X714" i="31" s="1"/>
  <c r="W713" i="31" a="1"/>
  <c r="W713" i="31" s="1"/>
  <c r="Z713" i="31" s="1" a="1"/>
  <c r="Z713" i="31" s="1"/>
  <c r="X713" i="31" a="1"/>
  <c r="X713" i="31" s="1"/>
  <c r="W712" i="31" a="1"/>
  <c r="W712" i="31" s="1"/>
  <c r="Z712" i="31" s="1" a="1"/>
  <c r="Z712" i="31" s="1"/>
  <c r="X712" i="31" a="1"/>
  <c r="X712" i="31" s="1"/>
  <c r="W711" i="31" a="1"/>
  <c r="W711" i="31" s="1"/>
  <c r="Z711" i="31" s="1" a="1"/>
  <c r="Z711" i="31" s="1"/>
  <c r="X711" i="31" a="1"/>
  <c r="X711" i="31" s="1"/>
  <c r="W710" i="31" a="1"/>
  <c r="W710" i="31" s="1"/>
  <c r="Z710" i="31" s="1" a="1"/>
  <c r="Z710" i="31" s="1"/>
  <c r="X710" i="31" a="1"/>
  <c r="X710" i="31" s="1"/>
  <c r="W709" i="31" a="1"/>
  <c r="W709" i="31" s="1"/>
  <c r="Z709" i="31" s="1" a="1"/>
  <c r="Z709" i="31" s="1"/>
  <c r="X709" i="31" a="1"/>
  <c r="X709" i="31" s="1"/>
  <c r="W708" i="31" a="1"/>
  <c r="W708" i="31" s="1"/>
  <c r="Z708" i="31" s="1" a="1"/>
  <c r="Z708" i="31" s="1"/>
  <c r="X708" i="31" a="1"/>
  <c r="X708" i="31" s="1"/>
  <c r="W707" i="31" a="1"/>
  <c r="W707" i="31" s="1"/>
  <c r="Z707" i="31" s="1" a="1"/>
  <c r="Z707" i="31" s="1"/>
  <c r="X707" i="31" a="1"/>
  <c r="X707" i="31" s="1"/>
  <c r="W706" i="31" a="1"/>
  <c r="W706" i="31" s="1"/>
  <c r="Z706" i="31" s="1" a="1"/>
  <c r="Z706" i="31" s="1"/>
  <c r="X706" i="31" a="1"/>
  <c r="X706" i="31" s="1"/>
  <c r="W705" i="31" a="1"/>
  <c r="W705" i="31" s="1"/>
  <c r="Z705" i="31" s="1" a="1"/>
  <c r="Z705" i="31" s="1"/>
  <c r="X705" i="31" a="1"/>
  <c r="X705" i="31" s="1"/>
  <c r="W704" i="31" a="1"/>
  <c r="W704" i="31" s="1"/>
  <c r="Z704" i="31" s="1" a="1"/>
  <c r="Z704" i="31" s="1"/>
  <c r="X704" i="31" a="1"/>
  <c r="X704" i="31" s="1"/>
  <c r="W703" i="31" a="1"/>
  <c r="W703" i="31" s="1"/>
  <c r="Z703" i="31" s="1" a="1"/>
  <c r="Z703" i="31" s="1"/>
  <c r="X703" i="31" a="1"/>
  <c r="X703" i="31" s="1"/>
  <c r="W702" i="31" a="1"/>
  <c r="W702" i="31" s="1"/>
  <c r="Z702" i="31" s="1" a="1"/>
  <c r="Z702" i="31" s="1"/>
  <c r="X702" i="31" a="1"/>
  <c r="X702" i="31" s="1"/>
  <c r="W701" i="31" a="1"/>
  <c r="W701" i="31" s="1"/>
  <c r="Z701" i="31" s="1" a="1"/>
  <c r="Z701" i="31" s="1"/>
  <c r="X701" i="31" a="1"/>
  <c r="X701" i="31" s="1"/>
  <c r="W700" i="31" a="1"/>
  <c r="W700" i="31" s="1"/>
  <c r="Z700" i="31" s="1" a="1"/>
  <c r="Z700" i="31" s="1"/>
  <c r="X700" i="31" a="1"/>
  <c r="X700" i="31" s="1"/>
  <c r="W699" i="31" a="1"/>
  <c r="W699" i="31" s="1"/>
  <c r="Z699" i="31" s="1" a="1"/>
  <c r="Z699" i="31" s="1"/>
  <c r="X699" i="31" a="1"/>
  <c r="X699" i="31" s="1"/>
  <c r="W698" i="31" a="1"/>
  <c r="W698" i="31" s="1"/>
  <c r="Z698" i="31" s="1" a="1"/>
  <c r="Z698" i="31" s="1"/>
  <c r="X698" i="31" a="1"/>
  <c r="X698" i="31" s="1"/>
  <c r="W697" i="31" a="1"/>
  <c r="W697" i="31" s="1"/>
  <c r="Z697" i="31" s="1" a="1"/>
  <c r="Z697" i="31" s="1"/>
  <c r="X697" i="31" a="1"/>
  <c r="X697" i="31" s="1"/>
  <c r="W696" i="31" a="1"/>
  <c r="W696" i="31" s="1"/>
  <c r="Z696" i="31" s="1" a="1"/>
  <c r="Z696" i="31" s="1"/>
  <c r="X696" i="31" a="1"/>
  <c r="X696" i="31" s="1"/>
  <c r="W695" i="31" a="1"/>
  <c r="W695" i="31" s="1"/>
  <c r="Z695" i="31" s="1" a="1"/>
  <c r="Z695" i="31" s="1"/>
  <c r="X695" i="31" a="1"/>
  <c r="X695" i="31" s="1"/>
  <c r="W694" i="31" a="1"/>
  <c r="W694" i="31" s="1"/>
  <c r="Z694" i="31" s="1" a="1"/>
  <c r="Z694" i="31" s="1"/>
  <c r="X694" i="31" a="1"/>
  <c r="X694" i="31" s="1"/>
  <c r="W693" i="31" a="1"/>
  <c r="W693" i="31" s="1"/>
  <c r="Z693" i="31" s="1" a="1"/>
  <c r="Z693" i="31" s="1"/>
  <c r="X693" i="31" a="1"/>
  <c r="X693" i="31" s="1"/>
  <c r="W692" i="31" a="1"/>
  <c r="W692" i="31" s="1"/>
  <c r="Z692" i="31" s="1" a="1"/>
  <c r="Z692" i="31" s="1"/>
  <c r="X692" i="31" a="1"/>
  <c r="X692" i="31" s="1"/>
  <c r="W691" i="31" a="1"/>
  <c r="W691" i="31" s="1"/>
  <c r="Z691" i="31" s="1" a="1"/>
  <c r="Z691" i="31" s="1"/>
  <c r="X691" i="31" a="1"/>
  <c r="X691" i="31" s="1"/>
  <c r="W690" i="31" a="1"/>
  <c r="W690" i="31" s="1"/>
  <c r="Z690" i="31" s="1" a="1"/>
  <c r="Z690" i="31" s="1"/>
  <c r="X690" i="31" a="1"/>
  <c r="X690" i="31" s="1"/>
  <c r="W689" i="31" a="1"/>
  <c r="W689" i="31" s="1"/>
  <c r="Z689" i="31" s="1" a="1"/>
  <c r="Z689" i="31" s="1"/>
  <c r="X689" i="31" a="1"/>
  <c r="X689" i="31" s="1"/>
  <c r="W688" i="31" a="1"/>
  <c r="W688" i="31" s="1"/>
  <c r="Z688" i="31" s="1" a="1"/>
  <c r="Z688" i="31" s="1"/>
  <c r="X688" i="31" a="1"/>
  <c r="X688" i="31" s="1"/>
  <c r="W687" i="31" a="1"/>
  <c r="W687" i="31" s="1"/>
  <c r="Z687" i="31" s="1" a="1"/>
  <c r="Z687" i="31" s="1"/>
  <c r="X687" i="31" a="1"/>
  <c r="X687" i="31" s="1"/>
  <c r="W686" i="31" a="1"/>
  <c r="W686" i="31" s="1"/>
  <c r="Z686" i="31" s="1" a="1"/>
  <c r="Z686" i="31" s="1"/>
  <c r="X686" i="31" a="1"/>
  <c r="X686" i="31" s="1"/>
  <c r="W685" i="31" a="1"/>
  <c r="W685" i="31" s="1"/>
  <c r="Z685" i="31" s="1" a="1"/>
  <c r="Z685" i="31" s="1"/>
  <c r="X685" i="31" a="1"/>
  <c r="X685" i="31" s="1"/>
  <c r="W684" i="31" a="1"/>
  <c r="W684" i="31" s="1"/>
  <c r="Z684" i="31" s="1" a="1"/>
  <c r="Z684" i="31" s="1"/>
  <c r="X684" i="31" a="1"/>
  <c r="X684" i="31" s="1"/>
  <c r="W683" i="31" a="1"/>
  <c r="W683" i="31" s="1"/>
  <c r="Z683" i="31" s="1" a="1"/>
  <c r="Z683" i="31" s="1"/>
  <c r="X683" i="31" a="1"/>
  <c r="X683" i="31" s="1"/>
  <c r="W682" i="31" a="1"/>
  <c r="W682" i="31" s="1"/>
  <c r="Z682" i="31" s="1" a="1"/>
  <c r="Z682" i="31" s="1"/>
  <c r="X682" i="31" a="1"/>
  <c r="X682" i="31" s="1"/>
  <c r="W681" i="31" a="1"/>
  <c r="W681" i="31" s="1"/>
  <c r="Z681" i="31" s="1" a="1"/>
  <c r="Z681" i="31" s="1"/>
  <c r="X681" i="31" a="1"/>
  <c r="X681" i="31" s="1"/>
  <c r="W680" i="31" a="1"/>
  <c r="W680" i="31" s="1"/>
  <c r="Z680" i="31" s="1" a="1"/>
  <c r="Z680" i="31" s="1"/>
  <c r="X680" i="31" a="1"/>
  <c r="X680" i="31" s="1"/>
  <c r="W679" i="31" a="1"/>
  <c r="W679" i="31" s="1"/>
  <c r="Z679" i="31" s="1" a="1"/>
  <c r="Z679" i="31" s="1"/>
  <c r="X679" i="31" a="1"/>
  <c r="X679" i="31" s="1"/>
  <c r="W678" i="31" a="1"/>
  <c r="W678" i="31" s="1"/>
  <c r="Z678" i="31" s="1" a="1"/>
  <c r="Z678" i="31" s="1"/>
  <c r="X678" i="31" a="1"/>
  <c r="X678" i="31" s="1"/>
  <c r="W677" i="31" a="1"/>
  <c r="W677" i="31" s="1"/>
  <c r="Z677" i="31" s="1" a="1"/>
  <c r="Z677" i="31" s="1"/>
  <c r="X677" i="31" a="1"/>
  <c r="X677" i="31" s="1"/>
  <c r="W676" i="31" a="1"/>
  <c r="W676" i="31" s="1"/>
  <c r="Z676" i="31" s="1" a="1"/>
  <c r="Z676" i="31" s="1"/>
  <c r="X676" i="31" a="1"/>
  <c r="X676" i="31" s="1"/>
  <c r="W675" i="31" a="1"/>
  <c r="W675" i="31" s="1"/>
  <c r="Z675" i="31" s="1" a="1"/>
  <c r="Z675" i="31" s="1"/>
  <c r="X675" i="31" a="1"/>
  <c r="X675" i="31" s="1"/>
  <c r="W674" i="31" a="1"/>
  <c r="W674" i="31" s="1"/>
  <c r="Z674" i="31" s="1" a="1"/>
  <c r="Z674" i="31" s="1"/>
  <c r="X674" i="31" a="1"/>
  <c r="X674" i="31" s="1"/>
  <c r="W673" i="31" a="1"/>
  <c r="W673" i="31" s="1"/>
  <c r="Z673" i="31" s="1" a="1"/>
  <c r="Z673" i="31" s="1"/>
  <c r="X673" i="31" a="1"/>
  <c r="X673" i="31" s="1"/>
  <c r="W672" i="31" a="1"/>
  <c r="W672" i="31" s="1"/>
  <c r="Z672" i="31" s="1" a="1"/>
  <c r="Z672" i="31" s="1"/>
  <c r="X672" i="31" a="1"/>
  <c r="X672" i="31" s="1"/>
  <c r="W671" i="31" a="1"/>
  <c r="W671" i="31" s="1"/>
  <c r="Z671" i="31" s="1" a="1"/>
  <c r="Z671" i="31" s="1"/>
  <c r="X671" i="31" a="1"/>
  <c r="X671" i="31" s="1"/>
  <c r="W670" i="31" a="1"/>
  <c r="W670" i="31" s="1"/>
  <c r="Z670" i="31" s="1" a="1"/>
  <c r="Z670" i="31" s="1"/>
  <c r="X670" i="31" a="1"/>
  <c r="X670" i="31" s="1"/>
  <c r="W669" i="31" a="1"/>
  <c r="W669" i="31" s="1"/>
  <c r="Z669" i="31" s="1" a="1"/>
  <c r="Z669" i="31" s="1"/>
  <c r="X669" i="31" a="1"/>
  <c r="X669" i="31" s="1"/>
  <c r="W668" i="31" a="1"/>
  <c r="W668" i="31" s="1"/>
  <c r="Z668" i="31" s="1" a="1"/>
  <c r="Z668" i="31" s="1"/>
  <c r="X668" i="31" a="1"/>
  <c r="X668" i="31" s="1"/>
  <c r="W667" i="31" a="1"/>
  <c r="W667" i="31" s="1"/>
  <c r="Z667" i="31" s="1" a="1"/>
  <c r="Z667" i="31" s="1"/>
  <c r="X667" i="31" a="1"/>
  <c r="X667" i="31" s="1"/>
  <c r="W666" i="31" a="1"/>
  <c r="W666" i="31" s="1"/>
  <c r="Z666" i="31" s="1" a="1"/>
  <c r="Z666" i="31" s="1"/>
  <c r="X666" i="31" a="1"/>
  <c r="X666" i="31" s="1"/>
  <c r="W665" i="31" a="1"/>
  <c r="W665" i="31" s="1"/>
  <c r="Z665" i="31" s="1" a="1"/>
  <c r="Z665" i="31" s="1"/>
  <c r="X665" i="31" a="1"/>
  <c r="X665" i="31" s="1"/>
  <c r="W664" i="31" a="1"/>
  <c r="W664" i="31" s="1"/>
  <c r="Z664" i="31" s="1" a="1"/>
  <c r="Z664" i="31" s="1"/>
  <c r="X664" i="31" a="1"/>
  <c r="X664" i="31" s="1"/>
  <c r="W663" i="31" a="1"/>
  <c r="W663" i="31" s="1"/>
  <c r="Z663" i="31" s="1" a="1"/>
  <c r="Z663" i="31" s="1"/>
  <c r="X663" i="31" a="1"/>
  <c r="X663" i="31" s="1"/>
  <c r="W662" i="31" a="1"/>
  <c r="W662" i="31" s="1"/>
  <c r="Z662" i="31" s="1" a="1"/>
  <c r="Z662" i="31" s="1"/>
  <c r="X662" i="31" a="1"/>
  <c r="X662" i="31" s="1"/>
  <c r="W661" i="31" a="1"/>
  <c r="W661" i="31" s="1"/>
  <c r="Z661" i="31" s="1" a="1"/>
  <c r="Z661" i="31" s="1"/>
  <c r="X661" i="31" a="1"/>
  <c r="X661" i="31" s="1"/>
  <c r="W660" i="31" a="1"/>
  <c r="W660" i="31" s="1"/>
  <c r="Z660" i="31" s="1" a="1"/>
  <c r="Z660" i="31" s="1"/>
  <c r="X660" i="31" a="1"/>
  <c r="X660" i="31" s="1"/>
  <c r="W659" i="31" a="1"/>
  <c r="W659" i="31" s="1"/>
  <c r="Z659" i="31" s="1" a="1"/>
  <c r="Z659" i="31" s="1"/>
  <c r="X659" i="31" a="1"/>
  <c r="X659" i="31" s="1"/>
  <c r="W658" i="31" a="1"/>
  <c r="W658" i="31" s="1"/>
  <c r="Z658" i="31" s="1" a="1"/>
  <c r="Z658" i="31" s="1"/>
  <c r="X658" i="31" a="1"/>
  <c r="X658" i="31" s="1"/>
  <c r="W657" i="31" a="1"/>
  <c r="W657" i="31" s="1"/>
  <c r="Z657" i="31" s="1" a="1"/>
  <c r="Z657" i="31" s="1"/>
  <c r="X657" i="31" a="1"/>
  <c r="X657" i="31" s="1"/>
  <c r="W656" i="31" a="1"/>
  <c r="W656" i="31" s="1"/>
  <c r="Z656" i="31" s="1" a="1"/>
  <c r="Z656" i="31" s="1"/>
  <c r="X656" i="31" a="1"/>
  <c r="X656" i="31" s="1"/>
  <c r="W655" i="31" a="1"/>
  <c r="W655" i="31" s="1"/>
  <c r="Z655" i="31" s="1" a="1"/>
  <c r="Z655" i="31" s="1"/>
  <c r="X655" i="31" a="1"/>
  <c r="X655" i="31" s="1"/>
  <c r="W654" i="31" a="1"/>
  <c r="W654" i="31" s="1"/>
  <c r="Z654" i="31" s="1" a="1"/>
  <c r="Z654" i="31" s="1"/>
  <c r="X654" i="31" a="1"/>
  <c r="X654" i="31" s="1"/>
  <c r="W653" i="31" a="1"/>
  <c r="W653" i="31" s="1"/>
  <c r="Z653" i="31" s="1" a="1"/>
  <c r="Z653" i="31" s="1"/>
  <c r="X653" i="31" a="1"/>
  <c r="X653" i="31" s="1"/>
  <c r="W652" i="31" a="1"/>
  <c r="W652" i="31" s="1"/>
  <c r="Z652" i="31" s="1" a="1"/>
  <c r="Z652" i="31" s="1"/>
  <c r="X652" i="31" a="1"/>
  <c r="X652" i="31" s="1"/>
  <c r="W651" i="31" a="1"/>
  <c r="W651" i="31" s="1"/>
  <c r="Z651" i="31" s="1" a="1"/>
  <c r="Z651" i="31" s="1"/>
  <c r="X651" i="31" a="1"/>
  <c r="X651" i="31" s="1"/>
  <c r="W650" i="31" a="1"/>
  <c r="W650" i="31" s="1"/>
  <c r="Z650" i="31" s="1" a="1"/>
  <c r="Z650" i="31" s="1"/>
  <c r="X650" i="31" a="1"/>
  <c r="X650" i="31" s="1"/>
  <c r="W649" i="31" a="1"/>
  <c r="W649" i="31" s="1"/>
  <c r="Z649" i="31" s="1" a="1"/>
  <c r="Z649" i="31" s="1"/>
  <c r="X649" i="31" a="1"/>
  <c r="X649" i="31" s="1"/>
  <c r="W648" i="31" a="1"/>
  <c r="W648" i="31" s="1"/>
  <c r="Z648" i="31" s="1" a="1"/>
  <c r="Z648" i="31" s="1"/>
  <c r="X648" i="31" a="1"/>
  <c r="X648" i="31" s="1"/>
  <c r="W647" i="31" a="1"/>
  <c r="W647" i="31" s="1"/>
  <c r="Z647" i="31" s="1" a="1"/>
  <c r="Z647" i="31" s="1"/>
  <c r="X647" i="31" a="1"/>
  <c r="X647" i="31" s="1"/>
  <c r="W646" i="31" a="1"/>
  <c r="W646" i="31" s="1"/>
  <c r="Z646" i="31" s="1" a="1"/>
  <c r="Z646" i="31" s="1"/>
  <c r="X646" i="31" a="1"/>
  <c r="X646" i="31" s="1"/>
  <c r="W645" i="31" a="1"/>
  <c r="W645" i="31" s="1"/>
  <c r="Z645" i="31" s="1" a="1"/>
  <c r="Z645" i="31" s="1"/>
  <c r="X645" i="31" a="1"/>
  <c r="X645" i="31" s="1"/>
  <c r="W644" i="31" a="1"/>
  <c r="W644" i="31" s="1"/>
  <c r="Z644" i="31" s="1" a="1"/>
  <c r="Z644" i="31" s="1"/>
  <c r="X644" i="31" a="1"/>
  <c r="X644" i="31" s="1"/>
  <c r="W643" i="31" a="1"/>
  <c r="W643" i="31" s="1"/>
  <c r="Z643" i="31" s="1" a="1"/>
  <c r="Z643" i="31" s="1"/>
  <c r="X643" i="31" a="1"/>
  <c r="X643" i="31" s="1"/>
  <c r="W642" i="31" a="1"/>
  <c r="W642" i="31" s="1"/>
  <c r="Z642" i="31" s="1" a="1"/>
  <c r="Z642" i="31" s="1"/>
  <c r="X642" i="31" a="1"/>
  <c r="X642" i="31" s="1"/>
  <c r="W641" i="31" a="1"/>
  <c r="W641" i="31" s="1"/>
  <c r="Z641" i="31" s="1" a="1"/>
  <c r="Z641" i="31" s="1"/>
  <c r="X641" i="31" a="1"/>
  <c r="X641" i="31" s="1"/>
  <c r="W640" i="31" a="1"/>
  <c r="W640" i="31" s="1"/>
  <c r="Z640" i="31" s="1" a="1"/>
  <c r="Z640" i="31" s="1"/>
  <c r="X640" i="31" a="1"/>
  <c r="X640" i="31" s="1"/>
  <c r="W639" i="31" a="1"/>
  <c r="W639" i="31" s="1"/>
  <c r="Z639" i="31" s="1" a="1"/>
  <c r="Z639" i="31" s="1"/>
  <c r="X639" i="31" a="1"/>
  <c r="X639" i="31" s="1"/>
  <c r="W638" i="31" a="1"/>
  <c r="W638" i="31" s="1"/>
  <c r="Z638" i="31" s="1" a="1"/>
  <c r="Z638" i="31" s="1"/>
  <c r="X638" i="31" a="1"/>
  <c r="X638" i="31" s="1"/>
  <c r="W637" i="31" a="1"/>
  <c r="W637" i="31" s="1"/>
  <c r="Z637" i="31" s="1" a="1"/>
  <c r="Z637" i="31" s="1"/>
  <c r="X637" i="31" a="1"/>
  <c r="X637" i="31" s="1"/>
  <c r="W636" i="31" a="1"/>
  <c r="W636" i="31" s="1"/>
  <c r="Z636" i="31" s="1" a="1"/>
  <c r="Z636" i="31" s="1"/>
  <c r="X636" i="31" a="1"/>
  <c r="X636" i="31" s="1"/>
  <c r="W635" i="31" a="1"/>
  <c r="W635" i="31" s="1"/>
  <c r="Z635" i="31" s="1" a="1"/>
  <c r="Z635" i="31" s="1"/>
  <c r="X635" i="31" a="1"/>
  <c r="X635" i="31" s="1"/>
  <c r="W634" i="31" a="1"/>
  <c r="W634" i="31" s="1"/>
  <c r="Z634" i="31" s="1" a="1"/>
  <c r="Z634" i="31" s="1"/>
  <c r="X634" i="31" a="1"/>
  <c r="X634" i="31" s="1"/>
  <c r="W633" i="31" a="1"/>
  <c r="W633" i="31" s="1"/>
  <c r="Z633" i="31" s="1" a="1"/>
  <c r="Z633" i="31" s="1"/>
  <c r="X633" i="31" a="1"/>
  <c r="X633" i="31" s="1"/>
  <c r="W632" i="31" a="1"/>
  <c r="W632" i="31" s="1"/>
  <c r="Z632" i="31" s="1" a="1"/>
  <c r="Z632" i="31" s="1"/>
  <c r="X632" i="31" a="1"/>
  <c r="X632" i="31" s="1"/>
  <c r="W631" i="31" a="1"/>
  <c r="W631" i="31" s="1"/>
  <c r="Z631" i="31" s="1" a="1"/>
  <c r="Z631" i="31" s="1"/>
  <c r="X631" i="31" a="1"/>
  <c r="X631" i="31" s="1"/>
  <c r="W630" i="31" a="1"/>
  <c r="W630" i="31" s="1"/>
  <c r="Z630" i="31" s="1" a="1"/>
  <c r="Z630" i="31" s="1"/>
  <c r="X630" i="31" a="1"/>
  <c r="X630" i="31" s="1"/>
  <c r="W629" i="31" a="1"/>
  <c r="W629" i="31" s="1"/>
  <c r="Z629" i="31" s="1" a="1"/>
  <c r="Z629" i="31" s="1"/>
  <c r="X629" i="31" a="1"/>
  <c r="X629" i="31" s="1"/>
  <c r="W628" i="31" a="1"/>
  <c r="W628" i="31" s="1"/>
  <c r="Z628" i="31" s="1" a="1"/>
  <c r="Z628" i="31" s="1"/>
  <c r="X628" i="31" a="1"/>
  <c r="X628" i="31" s="1"/>
  <c r="W627" i="31" a="1"/>
  <c r="W627" i="31" s="1"/>
  <c r="Z627" i="31" s="1" a="1"/>
  <c r="Z627" i="31" s="1"/>
  <c r="X627" i="31" a="1"/>
  <c r="X627" i="31" s="1"/>
  <c r="W626" i="31" a="1"/>
  <c r="W626" i="31" s="1"/>
  <c r="Z626" i="31" s="1" a="1"/>
  <c r="Z626" i="31" s="1"/>
  <c r="X626" i="31" a="1"/>
  <c r="X626" i="31" s="1"/>
  <c r="W625" i="31" a="1"/>
  <c r="W625" i="31" s="1"/>
  <c r="Z625" i="31" s="1" a="1"/>
  <c r="Z625" i="31" s="1"/>
  <c r="X625" i="31" a="1"/>
  <c r="X625" i="31" s="1"/>
  <c r="W624" i="31" a="1"/>
  <c r="W624" i="31" s="1"/>
  <c r="Z624" i="31" s="1" a="1"/>
  <c r="Z624" i="31" s="1"/>
  <c r="X624" i="31" a="1"/>
  <c r="X624" i="31" s="1"/>
  <c r="W623" i="31" a="1"/>
  <c r="W623" i="31" s="1"/>
  <c r="Z623" i="31" s="1" a="1"/>
  <c r="Z623" i="31" s="1"/>
  <c r="X623" i="31" a="1"/>
  <c r="X623" i="31" s="1"/>
  <c r="W622" i="31" a="1"/>
  <c r="W622" i="31" s="1"/>
  <c r="Z622" i="31" s="1" a="1"/>
  <c r="Z622" i="31" s="1"/>
  <c r="X622" i="31" a="1"/>
  <c r="X622" i="31" s="1"/>
  <c r="W621" i="31" a="1"/>
  <c r="W621" i="31" s="1"/>
  <c r="Z621" i="31" s="1" a="1"/>
  <c r="Z621" i="31" s="1"/>
  <c r="X621" i="31" a="1"/>
  <c r="X621" i="31" s="1"/>
  <c r="W620" i="31" a="1"/>
  <c r="W620" i="31" s="1"/>
  <c r="Z620" i="31" s="1" a="1"/>
  <c r="Z620" i="31" s="1"/>
  <c r="X620" i="31" a="1"/>
  <c r="X620" i="31" s="1"/>
  <c r="W619" i="31" a="1"/>
  <c r="W619" i="31" s="1"/>
  <c r="Z619" i="31" s="1" a="1"/>
  <c r="Z619" i="31" s="1"/>
  <c r="X619" i="31" a="1"/>
  <c r="X619" i="31" s="1"/>
  <c r="W618" i="31" a="1"/>
  <c r="W618" i="31" s="1"/>
  <c r="Z618" i="31" s="1" a="1"/>
  <c r="Z618" i="31" s="1"/>
  <c r="X618" i="31" a="1"/>
  <c r="X618" i="31" s="1"/>
  <c r="W617" i="31" a="1"/>
  <c r="W617" i="31" s="1"/>
  <c r="Z617" i="31" s="1" a="1"/>
  <c r="Z617" i="31" s="1"/>
  <c r="X617" i="31" a="1"/>
  <c r="X617" i="31" s="1"/>
  <c r="W616" i="31" a="1"/>
  <c r="W616" i="31" s="1"/>
  <c r="Z616" i="31" s="1" a="1"/>
  <c r="Z616" i="31" s="1"/>
  <c r="X616" i="31" a="1"/>
  <c r="X616" i="31" s="1"/>
  <c r="W615" i="31" a="1"/>
  <c r="W615" i="31" s="1"/>
  <c r="Z615" i="31" s="1" a="1"/>
  <c r="Z615" i="31" s="1"/>
  <c r="X615" i="31" a="1"/>
  <c r="X615" i="31" s="1"/>
  <c r="W614" i="31" a="1"/>
  <c r="W614" i="31" s="1"/>
  <c r="Z614" i="31" s="1" a="1"/>
  <c r="Z614" i="31" s="1"/>
  <c r="X614" i="31" a="1"/>
  <c r="X614" i="31" s="1"/>
  <c r="W613" i="31" a="1"/>
  <c r="W613" i="31" s="1"/>
  <c r="Z613" i="31" s="1" a="1"/>
  <c r="Z613" i="31" s="1"/>
  <c r="X613" i="31" a="1"/>
  <c r="X613" i="31" s="1"/>
  <c r="W612" i="31" a="1"/>
  <c r="W612" i="31" s="1"/>
  <c r="Z612" i="31" s="1" a="1"/>
  <c r="Z612" i="31" s="1"/>
  <c r="X612" i="31" a="1"/>
  <c r="X612" i="31" s="1"/>
  <c r="W611" i="31" a="1"/>
  <c r="W611" i="31" s="1"/>
  <c r="Z611" i="31" s="1" a="1"/>
  <c r="Z611" i="31" s="1"/>
  <c r="X611" i="31" a="1"/>
  <c r="X611" i="31" s="1"/>
  <c r="W610" i="31" a="1"/>
  <c r="W610" i="31" s="1"/>
  <c r="Z610" i="31" s="1" a="1"/>
  <c r="Z610" i="31" s="1"/>
  <c r="X610" i="31" a="1"/>
  <c r="X610" i="31" s="1"/>
  <c r="W609" i="31" a="1"/>
  <c r="W609" i="31" s="1"/>
  <c r="Z609" i="31" s="1" a="1"/>
  <c r="Z609" i="31" s="1"/>
  <c r="X609" i="31" a="1"/>
  <c r="X609" i="31" s="1"/>
  <c r="W608" i="31" a="1"/>
  <c r="W608" i="31" s="1"/>
  <c r="Z608" i="31" s="1" a="1"/>
  <c r="Z608" i="31" s="1"/>
  <c r="X608" i="31" a="1"/>
  <c r="X608" i="31" s="1"/>
  <c r="W607" i="31" a="1"/>
  <c r="W607" i="31" s="1"/>
  <c r="Z607" i="31" s="1" a="1"/>
  <c r="Z607" i="31" s="1"/>
  <c r="X607" i="31" a="1"/>
  <c r="X607" i="31" s="1"/>
  <c r="W606" i="31" a="1"/>
  <c r="W606" i="31" s="1"/>
  <c r="Z606" i="31" s="1" a="1"/>
  <c r="Z606" i="31" s="1"/>
  <c r="X606" i="31" a="1"/>
  <c r="X606" i="31" s="1"/>
  <c r="W605" i="31" a="1"/>
  <c r="W605" i="31" s="1"/>
  <c r="Z605" i="31" s="1" a="1"/>
  <c r="Z605" i="31" s="1"/>
  <c r="X605" i="31" a="1"/>
  <c r="X605" i="31" s="1"/>
  <c r="W604" i="31" a="1"/>
  <c r="W604" i="31" s="1"/>
  <c r="Z604" i="31" s="1" a="1"/>
  <c r="Z604" i="31" s="1"/>
  <c r="X604" i="31" a="1"/>
  <c r="X604" i="31" s="1"/>
  <c r="W603" i="31" a="1"/>
  <c r="W603" i="31" s="1"/>
  <c r="Z603" i="31" s="1" a="1"/>
  <c r="Z603" i="31" s="1"/>
  <c r="X603" i="31" a="1"/>
  <c r="X603" i="31" s="1"/>
  <c r="W602" i="31" a="1"/>
  <c r="W602" i="31" s="1"/>
  <c r="Z602" i="31" s="1" a="1"/>
  <c r="Z602" i="31" s="1"/>
  <c r="X602" i="31" a="1"/>
  <c r="X602" i="31" s="1"/>
  <c r="W601" i="31" a="1"/>
  <c r="W601" i="31" s="1"/>
  <c r="Z601" i="31" s="1" a="1"/>
  <c r="Z601" i="31" s="1"/>
  <c r="X601" i="31" a="1"/>
  <c r="X601" i="31" s="1"/>
  <c r="W600" i="31" a="1"/>
  <c r="W600" i="31" s="1"/>
  <c r="Z600" i="31" s="1" a="1"/>
  <c r="Z600" i="31" s="1"/>
  <c r="X600" i="31" a="1"/>
  <c r="X600" i="31" s="1"/>
  <c r="W599" i="31" a="1"/>
  <c r="W599" i="31" s="1"/>
  <c r="Z599" i="31" s="1" a="1"/>
  <c r="Z599" i="31" s="1"/>
  <c r="X599" i="31" a="1"/>
  <c r="X599" i="31" s="1"/>
  <c r="W598" i="31" a="1"/>
  <c r="W598" i="31" s="1"/>
  <c r="Z598" i="31" s="1" a="1"/>
  <c r="Z598" i="31" s="1"/>
  <c r="X598" i="31" a="1"/>
  <c r="X598" i="31" s="1"/>
  <c r="W597" i="31" a="1"/>
  <c r="W597" i="31" s="1"/>
  <c r="Z597" i="31" s="1" a="1"/>
  <c r="Z597" i="31" s="1"/>
  <c r="X597" i="31" a="1"/>
  <c r="X597" i="31" s="1"/>
  <c r="W596" i="31" a="1"/>
  <c r="W596" i="31" s="1"/>
  <c r="Z596" i="31" s="1" a="1"/>
  <c r="Z596" i="31" s="1"/>
  <c r="X596" i="31" a="1"/>
  <c r="X596" i="31" s="1"/>
  <c r="W595" i="31" a="1"/>
  <c r="W595" i="31" s="1"/>
  <c r="Z595" i="31" s="1" a="1"/>
  <c r="Z595" i="31" s="1"/>
  <c r="X595" i="31" a="1"/>
  <c r="X595" i="31" s="1"/>
  <c r="W594" i="31" a="1"/>
  <c r="W594" i="31" s="1"/>
  <c r="Z594" i="31" s="1" a="1"/>
  <c r="Z594" i="31" s="1"/>
  <c r="X594" i="31" a="1"/>
  <c r="X594" i="31" s="1"/>
  <c r="W593" i="31" a="1"/>
  <c r="W593" i="31" s="1"/>
  <c r="Z593" i="31" s="1" a="1"/>
  <c r="Z593" i="31" s="1"/>
  <c r="X593" i="31" a="1"/>
  <c r="X593" i="31" s="1"/>
  <c r="W592" i="31" a="1"/>
  <c r="W592" i="31" s="1"/>
  <c r="Z592" i="31" s="1" a="1"/>
  <c r="Z592" i="31" s="1"/>
  <c r="X592" i="31" a="1"/>
  <c r="X592" i="31" s="1"/>
  <c r="W591" i="31" a="1"/>
  <c r="W591" i="31" s="1"/>
  <c r="Z591" i="31" s="1" a="1"/>
  <c r="Z591" i="31" s="1"/>
  <c r="X591" i="31" a="1"/>
  <c r="X591" i="31" s="1"/>
  <c r="W590" i="31" a="1"/>
  <c r="W590" i="31" s="1"/>
  <c r="Z590" i="31" s="1" a="1"/>
  <c r="Z590" i="31" s="1"/>
  <c r="X590" i="31" a="1"/>
  <c r="X590" i="31" s="1"/>
  <c r="W589" i="31" a="1"/>
  <c r="W589" i="31" s="1"/>
  <c r="Z589" i="31" s="1" a="1"/>
  <c r="Z589" i="31" s="1"/>
  <c r="X589" i="31" a="1"/>
  <c r="X589" i="31" s="1"/>
  <c r="W588" i="31" a="1"/>
  <c r="W588" i="31" s="1"/>
  <c r="Z588" i="31" s="1" a="1"/>
  <c r="Z588" i="31" s="1"/>
  <c r="X588" i="31" a="1"/>
  <c r="X588" i="31" s="1"/>
  <c r="W587" i="31" a="1"/>
  <c r="W587" i="31" s="1"/>
  <c r="Z587" i="31" s="1" a="1"/>
  <c r="Z587" i="31" s="1"/>
  <c r="X587" i="31" a="1"/>
  <c r="X587" i="31" s="1"/>
  <c r="W586" i="31" a="1"/>
  <c r="W586" i="31" s="1"/>
  <c r="Z586" i="31" s="1" a="1"/>
  <c r="Z586" i="31" s="1"/>
  <c r="X586" i="31" a="1"/>
  <c r="X586" i="31" s="1"/>
  <c r="W585" i="31" a="1"/>
  <c r="W585" i="31" s="1"/>
  <c r="Z585" i="31" s="1" a="1"/>
  <c r="Z585" i="31" s="1"/>
  <c r="X585" i="31" a="1"/>
  <c r="X585" i="31" s="1"/>
  <c r="W584" i="31" a="1"/>
  <c r="W584" i="31" s="1"/>
  <c r="Z584" i="31" s="1" a="1"/>
  <c r="Z584" i="31" s="1"/>
  <c r="X584" i="31" a="1"/>
  <c r="X584" i="31" s="1"/>
  <c r="W583" i="31" a="1"/>
  <c r="W583" i="31" s="1"/>
  <c r="Z583" i="31" s="1" a="1"/>
  <c r="Z583" i="31" s="1"/>
  <c r="X583" i="31" a="1"/>
  <c r="X583" i="31" s="1"/>
  <c r="W582" i="31" a="1"/>
  <c r="W582" i="31" s="1"/>
  <c r="Z582" i="31" s="1" a="1"/>
  <c r="Z582" i="31" s="1"/>
  <c r="X582" i="31" a="1"/>
  <c r="X582" i="31" s="1"/>
  <c r="W581" i="31" a="1"/>
  <c r="W581" i="31" s="1"/>
  <c r="Z581" i="31" s="1" a="1"/>
  <c r="Z581" i="31" s="1"/>
  <c r="X581" i="31" a="1"/>
  <c r="X581" i="31" s="1"/>
  <c r="W580" i="31" a="1"/>
  <c r="W580" i="31" s="1"/>
  <c r="Z580" i="31" s="1" a="1"/>
  <c r="Z580" i="31" s="1"/>
  <c r="X580" i="31" a="1"/>
  <c r="X580" i="31" s="1"/>
  <c r="W579" i="31" a="1"/>
  <c r="W579" i="31" s="1"/>
  <c r="Z579" i="31" s="1" a="1"/>
  <c r="Z579" i="31" s="1"/>
  <c r="X579" i="31" a="1"/>
  <c r="X579" i="31" s="1"/>
  <c r="W578" i="31" a="1"/>
  <c r="W578" i="31" s="1"/>
  <c r="Z578" i="31" s="1" a="1"/>
  <c r="Z578" i="31" s="1"/>
  <c r="X578" i="31" a="1"/>
  <c r="X578" i="31" s="1"/>
  <c r="W577" i="31" a="1"/>
  <c r="W577" i="31" s="1"/>
  <c r="Z577" i="31" s="1" a="1"/>
  <c r="Z577" i="31" s="1"/>
  <c r="X577" i="31" a="1"/>
  <c r="X577" i="31" s="1"/>
  <c r="W576" i="31" a="1"/>
  <c r="W576" i="31" s="1"/>
  <c r="Z576" i="31" s="1" a="1"/>
  <c r="Z576" i="31" s="1"/>
  <c r="X576" i="31" a="1"/>
  <c r="X576" i="31" s="1"/>
  <c r="W575" i="31" a="1"/>
  <c r="W575" i="31" s="1"/>
  <c r="Z575" i="31" s="1" a="1"/>
  <c r="Z575" i="31" s="1"/>
  <c r="X575" i="31" a="1"/>
  <c r="X575" i="31" s="1"/>
  <c r="W574" i="31" a="1"/>
  <c r="W574" i="31" s="1"/>
  <c r="Z574" i="31" s="1" a="1"/>
  <c r="Z574" i="31" s="1"/>
  <c r="X574" i="31" a="1"/>
  <c r="X574" i="31" s="1"/>
  <c r="W573" i="31" a="1"/>
  <c r="W573" i="31" s="1"/>
  <c r="Z573" i="31" s="1" a="1"/>
  <c r="Z573" i="31" s="1"/>
  <c r="X573" i="31" a="1"/>
  <c r="X573" i="31" s="1"/>
  <c r="W572" i="31" a="1"/>
  <c r="W572" i="31" s="1"/>
  <c r="Z572" i="31" s="1" a="1"/>
  <c r="Z572" i="31" s="1"/>
  <c r="X572" i="31" a="1"/>
  <c r="X572" i="31" s="1"/>
  <c r="W571" i="31" a="1"/>
  <c r="W571" i="31" s="1"/>
  <c r="Z571" i="31" s="1" a="1"/>
  <c r="Z571" i="31" s="1"/>
  <c r="X571" i="31" a="1"/>
  <c r="X571" i="31" s="1"/>
  <c r="W570" i="31" a="1"/>
  <c r="W570" i="31" s="1"/>
  <c r="Z570" i="31" s="1" a="1"/>
  <c r="Z570" i="31" s="1"/>
  <c r="X570" i="31" a="1"/>
  <c r="X570" i="31" s="1"/>
  <c r="W569" i="31" a="1"/>
  <c r="W569" i="31" s="1"/>
  <c r="Z569" i="31" s="1" a="1"/>
  <c r="Z569" i="31" s="1"/>
  <c r="X569" i="31" a="1"/>
  <c r="X569" i="31" s="1"/>
  <c r="W568" i="31" a="1"/>
  <c r="W568" i="31" s="1"/>
  <c r="Z568" i="31" s="1" a="1"/>
  <c r="Z568" i="31" s="1"/>
  <c r="X568" i="31" a="1"/>
  <c r="X568" i="31" s="1"/>
  <c r="W567" i="31" a="1"/>
  <c r="W567" i="31" s="1"/>
  <c r="Z567" i="31" s="1" a="1"/>
  <c r="Z567" i="31" s="1"/>
  <c r="X567" i="31" a="1"/>
  <c r="X567" i="31" s="1"/>
  <c r="W566" i="31" a="1"/>
  <c r="W566" i="31" s="1"/>
  <c r="Z566" i="31" s="1" a="1"/>
  <c r="Z566" i="31" s="1"/>
  <c r="X566" i="31" a="1"/>
  <c r="X566" i="31" s="1"/>
  <c r="W565" i="31" a="1"/>
  <c r="W565" i="31" s="1"/>
  <c r="Z565" i="31" s="1" a="1"/>
  <c r="Z565" i="31" s="1"/>
  <c r="X565" i="31" a="1"/>
  <c r="X565" i="31" s="1"/>
  <c r="W564" i="31" a="1"/>
  <c r="W564" i="31" s="1"/>
  <c r="Z564" i="31" s="1" a="1"/>
  <c r="Z564" i="31" s="1"/>
  <c r="X564" i="31" a="1"/>
  <c r="X564" i="31" s="1"/>
  <c r="W563" i="31" a="1"/>
  <c r="W563" i="31" s="1"/>
  <c r="Z563" i="31" s="1" a="1"/>
  <c r="Z563" i="31" s="1"/>
  <c r="X563" i="31" a="1"/>
  <c r="X563" i="31" s="1"/>
  <c r="W562" i="31" a="1"/>
  <c r="W562" i="31" s="1"/>
  <c r="Z562" i="31" s="1" a="1"/>
  <c r="Z562" i="31" s="1"/>
  <c r="X562" i="31" a="1"/>
  <c r="X562" i="31" s="1"/>
  <c r="W561" i="31" a="1"/>
  <c r="W561" i="31" s="1"/>
  <c r="Z561" i="31" s="1" a="1"/>
  <c r="Z561" i="31" s="1"/>
  <c r="X561" i="31" a="1"/>
  <c r="X561" i="31" s="1"/>
  <c r="W560" i="31" a="1"/>
  <c r="W560" i="31" s="1"/>
  <c r="Z560" i="31" s="1" a="1"/>
  <c r="Z560" i="31" s="1"/>
  <c r="X560" i="31" a="1"/>
  <c r="X560" i="31" s="1"/>
  <c r="W559" i="31" a="1"/>
  <c r="W559" i="31" s="1"/>
  <c r="Z559" i="31" s="1" a="1"/>
  <c r="Z559" i="31" s="1"/>
  <c r="X559" i="31" a="1"/>
  <c r="X559" i="31" s="1"/>
  <c r="W558" i="31" a="1"/>
  <c r="W558" i="31" s="1"/>
  <c r="Z558" i="31" s="1" a="1"/>
  <c r="Z558" i="31" s="1"/>
  <c r="X558" i="31" a="1"/>
  <c r="X558" i="31" s="1"/>
  <c r="W557" i="31" a="1"/>
  <c r="W557" i="31" s="1"/>
  <c r="Z557" i="31" s="1" a="1"/>
  <c r="Z557" i="31" s="1"/>
  <c r="X557" i="31" a="1"/>
  <c r="X557" i="31" s="1"/>
  <c r="W556" i="31" a="1"/>
  <c r="W556" i="31" s="1"/>
  <c r="Z556" i="31" s="1" a="1"/>
  <c r="Z556" i="31" s="1"/>
  <c r="X556" i="31" a="1"/>
  <c r="X556" i="31" s="1"/>
  <c r="W555" i="31" a="1"/>
  <c r="W555" i="31" s="1"/>
  <c r="Z555" i="31" s="1" a="1"/>
  <c r="Z555" i="31" s="1"/>
  <c r="X555" i="31" a="1"/>
  <c r="X555" i="31" s="1"/>
  <c r="W554" i="31" a="1"/>
  <c r="W554" i="31" s="1"/>
  <c r="Z554" i="31" s="1" a="1"/>
  <c r="Z554" i="31" s="1"/>
  <c r="X554" i="31" a="1"/>
  <c r="X554" i="31" s="1"/>
  <c r="W553" i="31" a="1"/>
  <c r="W553" i="31" s="1"/>
  <c r="Z553" i="31" s="1" a="1"/>
  <c r="Z553" i="31" s="1"/>
  <c r="X553" i="31" a="1"/>
  <c r="X553" i="31" s="1"/>
  <c r="W552" i="31" a="1"/>
  <c r="W552" i="31" s="1"/>
  <c r="Z552" i="31" s="1" a="1"/>
  <c r="Z552" i="31" s="1"/>
  <c r="X552" i="31" a="1"/>
  <c r="X552" i="31" s="1"/>
  <c r="W551" i="31" a="1"/>
  <c r="W551" i="31" s="1"/>
  <c r="Z551" i="31" s="1" a="1"/>
  <c r="Z551" i="31" s="1"/>
  <c r="X551" i="31" a="1"/>
  <c r="X551" i="31" s="1"/>
  <c r="W550" i="31" a="1"/>
  <c r="W550" i="31" s="1"/>
  <c r="Z550" i="31" s="1" a="1"/>
  <c r="Z550" i="31" s="1"/>
  <c r="X550" i="31" a="1"/>
  <c r="X550" i="31" s="1"/>
  <c r="W549" i="31" a="1"/>
  <c r="W549" i="31" s="1"/>
  <c r="Z549" i="31" s="1" a="1"/>
  <c r="Z549" i="31" s="1"/>
  <c r="X549" i="31" a="1"/>
  <c r="X549" i="31" s="1"/>
  <c r="W548" i="31" a="1"/>
  <c r="W548" i="31" s="1"/>
  <c r="Z548" i="31" s="1" a="1"/>
  <c r="Z548" i="31" s="1"/>
  <c r="X548" i="31" a="1"/>
  <c r="X548" i="31" s="1"/>
  <c r="W547" i="31" a="1"/>
  <c r="W547" i="31" s="1"/>
  <c r="Z547" i="31" s="1" a="1"/>
  <c r="Z547" i="31" s="1"/>
  <c r="X547" i="31" a="1"/>
  <c r="X547" i="31" s="1"/>
  <c r="W546" i="31" a="1"/>
  <c r="W546" i="31" s="1"/>
  <c r="Z546" i="31" s="1" a="1"/>
  <c r="Z546" i="31" s="1"/>
  <c r="X546" i="31" a="1"/>
  <c r="X546" i="31" s="1"/>
  <c r="W545" i="31" a="1"/>
  <c r="W545" i="31" s="1"/>
  <c r="Z545" i="31" s="1" a="1"/>
  <c r="Z545" i="31" s="1"/>
  <c r="X545" i="31" a="1"/>
  <c r="X545" i="31" s="1"/>
  <c r="W544" i="31" a="1"/>
  <c r="W544" i="31" s="1"/>
  <c r="Z544" i="31" s="1" a="1"/>
  <c r="Z544" i="31" s="1"/>
  <c r="X544" i="31" a="1"/>
  <c r="X544" i="31" s="1"/>
  <c r="W543" i="31" a="1"/>
  <c r="W543" i="31" s="1"/>
  <c r="Z543" i="31" s="1" a="1"/>
  <c r="Z543" i="31" s="1"/>
  <c r="X543" i="31" a="1"/>
  <c r="X543" i="31" s="1"/>
  <c r="W542" i="31" a="1"/>
  <c r="W542" i="31" s="1"/>
  <c r="Z542" i="31" s="1" a="1"/>
  <c r="Z542" i="31" s="1"/>
  <c r="X542" i="31" a="1"/>
  <c r="X542" i="31" s="1"/>
  <c r="W541" i="31" a="1"/>
  <c r="W541" i="31" s="1"/>
  <c r="Z541" i="31" s="1" a="1"/>
  <c r="Z541" i="31" s="1"/>
  <c r="X541" i="31" a="1"/>
  <c r="X541" i="31" s="1"/>
  <c r="W540" i="31" a="1"/>
  <c r="W540" i="31" s="1"/>
  <c r="Z540" i="31" s="1" a="1"/>
  <c r="Z540" i="31" s="1"/>
  <c r="X540" i="31" a="1"/>
  <c r="X540" i="31" s="1"/>
  <c r="W539" i="31" a="1"/>
  <c r="W539" i="31" s="1"/>
  <c r="Z539" i="31" s="1" a="1"/>
  <c r="Z539" i="31" s="1"/>
  <c r="X539" i="31" a="1"/>
  <c r="X539" i="31" s="1"/>
  <c r="W538" i="31" a="1"/>
  <c r="W538" i="31" s="1"/>
  <c r="Z538" i="31" s="1" a="1"/>
  <c r="Z538" i="31" s="1"/>
  <c r="X538" i="31" a="1"/>
  <c r="X538" i="31" s="1"/>
  <c r="W537" i="31" a="1"/>
  <c r="W537" i="31" s="1"/>
  <c r="Z537" i="31" s="1" a="1"/>
  <c r="Z537" i="31" s="1"/>
  <c r="X537" i="31" a="1"/>
  <c r="X537" i="31" s="1"/>
  <c r="W536" i="31" a="1"/>
  <c r="W536" i="31" s="1"/>
  <c r="Z536" i="31" s="1" a="1"/>
  <c r="Z536" i="31" s="1"/>
  <c r="X536" i="31" a="1"/>
  <c r="X536" i="31" s="1"/>
  <c r="W535" i="31" a="1"/>
  <c r="W535" i="31" s="1"/>
  <c r="Z535" i="31" s="1" a="1"/>
  <c r="Z535" i="31" s="1"/>
  <c r="X535" i="31" a="1"/>
  <c r="X535" i="31" s="1"/>
  <c r="W534" i="31" a="1"/>
  <c r="W534" i="31" s="1"/>
  <c r="Z534" i="31" s="1" a="1"/>
  <c r="Z534" i="31" s="1"/>
  <c r="X534" i="31" a="1"/>
  <c r="X534" i="31" s="1"/>
  <c r="W533" i="31" a="1"/>
  <c r="W533" i="31" s="1"/>
  <c r="Z533" i="31" s="1" a="1"/>
  <c r="Z533" i="31" s="1"/>
  <c r="X533" i="31" a="1"/>
  <c r="X533" i="31" s="1"/>
  <c r="W532" i="31" a="1"/>
  <c r="W532" i="31" s="1"/>
  <c r="Z532" i="31" s="1" a="1"/>
  <c r="Z532" i="31" s="1"/>
  <c r="X532" i="31" a="1"/>
  <c r="X532" i="31" s="1"/>
  <c r="W531" i="31" a="1"/>
  <c r="W531" i="31" s="1"/>
  <c r="Z531" i="31" s="1" a="1"/>
  <c r="Z531" i="31" s="1"/>
  <c r="X531" i="31" a="1"/>
  <c r="X531" i="31" s="1"/>
  <c r="W530" i="31" a="1"/>
  <c r="W530" i="31" s="1"/>
  <c r="Z530" i="31" s="1" a="1"/>
  <c r="Z530" i="31" s="1"/>
  <c r="X530" i="31" a="1"/>
  <c r="X530" i="31" s="1"/>
  <c r="W529" i="31" a="1"/>
  <c r="W529" i="31" s="1"/>
  <c r="Z529" i="31" s="1" a="1"/>
  <c r="Z529" i="31" s="1"/>
  <c r="X529" i="31" a="1"/>
  <c r="X529" i="31" s="1"/>
  <c r="W528" i="31" a="1"/>
  <c r="W528" i="31" s="1"/>
  <c r="Z528" i="31" s="1" a="1"/>
  <c r="Z528" i="31" s="1"/>
  <c r="X528" i="31" a="1"/>
  <c r="X528" i="31" s="1"/>
  <c r="W527" i="31" a="1"/>
  <c r="W527" i="31" s="1"/>
  <c r="Z527" i="31" s="1" a="1"/>
  <c r="Z527" i="31" s="1"/>
  <c r="X527" i="31" a="1"/>
  <c r="X527" i="31" s="1"/>
  <c r="W526" i="31" a="1"/>
  <c r="W526" i="31" s="1"/>
  <c r="Z526" i="31" s="1" a="1"/>
  <c r="Z526" i="31" s="1"/>
  <c r="X526" i="31" a="1"/>
  <c r="X526" i="31" s="1"/>
  <c r="W525" i="31" a="1"/>
  <c r="W525" i="31" s="1"/>
  <c r="Z525" i="31" s="1" a="1"/>
  <c r="Z525" i="31" s="1"/>
  <c r="X525" i="31" a="1"/>
  <c r="X525" i="31" s="1"/>
  <c r="W524" i="31" a="1"/>
  <c r="W524" i="31" s="1"/>
  <c r="Z524" i="31" s="1" a="1"/>
  <c r="Z524" i="31" s="1"/>
  <c r="X524" i="31" a="1"/>
  <c r="X524" i="31" s="1"/>
  <c r="W523" i="31" a="1"/>
  <c r="W523" i="31" s="1"/>
  <c r="Z523" i="31" s="1" a="1"/>
  <c r="Z523" i="31" s="1"/>
  <c r="X523" i="31" a="1"/>
  <c r="X523" i="31" s="1"/>
  <c r="W522" i="31" a="1"/>
  <c r="W522" i="31" s="1"/>
  <c r="Z522" i="31" s="1" a="1"/>
  <c r="Z522" i="31" s="1"/>
  <c r="X522" i="31" a="1"/>
  <c r="X522" i="31" s="1"/>
  <c r="W521" i="31" a="1"/>
  <c r="W521" i="31" s="1"/>
  <c r="Z521" i="31" s="1" a="1"/>
  <c r="Z521" i="31" s="1"/>
  <c r="X521" i="31" a="1"/>
  <c r="X521" i="31" s="1"/>
  <c r="W520" i="31" a="1"/>
  <c r="W520" i="31" s="1"/>
  <c r="Z520" i="31" s="1" a="1"/>
  <c r="Z520" i="31" s="1"/>
  <c r="X520" i="31" a="1"/>
  <c r="X520" i="31" s="1"/>
  <c r="W519" i="31" a="1"/>
  <c r="W519" i="31" s="1"/>
  <c r="Z519" i="31" s="1" a="1"/>
  <c r="Z519" i="31" s="1"/>
  <c r="X519" i="31" a="1"/>
  <c r="X519" i="31" s="1"/>
  <c r="W518" i="31" a="1"/>
  <c r="W518" i="31" s="1"/>
  <c r="Z518" i="31" s="1" a="1"/>
  <c r="Z518" i="31" s="1"/>
  <c r="X518" i="31" a="1"/>
  <c r="X518" i="31" s="1"/>
  <c r="W517" i="31" a="1"/>
  <c r="W517" i="31" s="1"/>
  <c r="Z517" i="31" s="1" a="1"/>
  <c r="Z517" i="31" s="1"/>
  <c r="X517" i="31" a="1"/>
  <c r="X517" i="31" s="1"/>
  <c r="W516" i="31" a="1"/>
  <c r="W516" i="31" s="1"/>
  <c r="Z516" i="31" s="1" a="1"/>
  <c r="Z516" i="31" s="1"/>
  <c r="X516" i="31" a="1"/>
  <c r="X516" i="31" s="1"/>
  <c r="W515" i="31" a="1"/>
  <c r="W515" i="31" s="1"/>
  <c r="Z515" i="31" s="1" a="1"/>
  <c r="Z515" i="31" s="1"/>
  <c r="X515" i="31" a="1"/>
  <c r="X515" i="31" s="1"/>
  <c r="W514" i="31" a="1"/>
  <c r="W514" i="31" s="1"/>
  <c r="Z514" i="31" s="1" a="1"/>
  <c r="Z514" i="31" s="1"/>
  <c r="X514" i="31" a="1"/>
  <c r="X514" i="31" s="1"/>
  <c r="W513" i="31" a="1"/>
  <c r="W513" i="31" s="1"/>
  <c r="Z513" i="31" s="1" a="1"/>
  <c r="Z513" i="31" s="1"/>
  <c r="X513" i="31" a="1"/>
  <c r="X513" i="31" s="1"/>
  <c r="W512" i="31" a="1"/>
  <c r="W512" i="31" s="1"/>
  <c r="Z512" i="31" s="1" a="1"/>
  <c r="Z512" i="31" s="1"/>
  <c r="X512" i="31" a="1"/>
  <c r="X512" i="31" s="1"/>
  <c r="W511" i="31" a="1"/>
  <c r="W511" i="31" s="1"/>
  <c r="Z511" i="31" s="1" a="1"/>
  <c r="Z511" i="31" s="1"/>
  <c r="X511" i="31" a="1"/>
  <c r="X511" i="31" s="1"/>
  <c r="W510" i="31" a="1"/>
  <c r="W510" i="31" s="1"/>
  <c r="Z510" i="31" s="1" a="1"/>
  <c r="Z510" i="31" s="1"/>
  <c r="X510" i="31" a="1"/>
  <c r="X510" i="31" s="1"/>
  <c r="W509" i="31" a="1"/>
  <c r="W509" i="31" s="1"/>
  <c r="Z509" i="31" s="1" a="1"/>
  <c r="Z509" i="31" s="1"/>
  <c r="X509" i="31" a="1"/>
  <c r="X509" i="31" s="1"/>
  <c r="W508" i="31" a="1"/>
  <c r="W508" i="31" s="1"/>
  <c r="Z508" i="31" s="1" a="1"/>
  <c r="Z508" i="31" s="1"/>
  <c r="X508" i="31" a="1"/>
  <c r="X508" i="31" s="1"/>
  <c r="W507" i="31" a="1"/>
  <c r="W507" i="31" s="1"/>
  <c r="Z507" i="31" s="1" a="1"/>
  <c r="Z507" i="31" s="1"/>
  <c r="X507" i="31" a="1"/>
  <c r="X507" i="31" s="1"/>
  <c r="W506" i="31" a="1"/>
  <c r="W506" i="31" s="1"/>
  <c r="Z506" i="31" s="1" a="1"/>
  <c r="Z506" i="31" s="1"/>
  <c r="X506" i="31" a="1"/>
  <c r="X506" i="31" s="1"/>
  <c r="W505" i="31" a="1"/>
  <c r="W505" i="31" s="1"/>
  <c r="Z505" i="31" s="1" a="1"/>
  <c r="Z505" i="31" s="1"/>
  <c r="X505" i="31" a="1"/>
  <c r="X505" i="31" s="1"/>
  <c r="W504" i="31" a="1"/>
  <c r="W504" i="31" s="1"/>
  <c r="Z504" i="31" s="1" a="1"/>
  <c r="Z504" i="31" s="1"/>
  <c r="X504" i="31" a="1"/>
  <c r="X504" i="31" s="1"/>
  <c r="W503" i="31" a="1"/>
  <c r="W503" i="31" s="1"/>
  <c r="Z503" i="31" s="1" a="1"/>
  <c r="Z503" i="31" s="1"/>
  <c r="X503" i="31" a="1"/>
  <c r="X503" i="31" s="1"/>
  <c r="W502" i="31" a="1"/>
  <c r="W502" i="31" s="1"/>
  <c r="Z502" i="31" s="1" a="1"/>
  <c r="Z502" i="31" s="1"/>
  <c r="X502" i="31" a="1"/>
  <c r="X502" i="31" s="1"/>
  <c r="W501" i="31" a="1"/>
  <c r="W501" i="31" s="1"/>
  <c r="Z501" i="31" s="1" a="1"/>
  <c r="Z501" i="31" s="1"/>
  <c r="X501" i="31" a="1"/>
  <c r="X501" i="31" s="1"/>
  <c r="W500" i="31" a="1"/>
  <c r="W500" i="31" s="1"/>
  <c r="Z500" i="31" s="1" a="1"/>
  <c r="Z500" i="31" s="1"/>
  <c r="X500" i="31" a="1"/>
  <c r="X500" i="31" s="1"/>
  <c r="W499" i="31" a="1"/>
  <c r="W499" i="31" s="1"/>
  <c r="Z499" i="31" s="1" a="1"/>
  <c r="Z499" i="31" s="1"/>
  <c r="X499" i="31" a="1"/>
  <c r="X499" i="31" s="1"/>
  <c r="W498" i="31" a="1"/>
  <c r="W498" i="31" s="1"/>
  <c r="Z498" i="31" s="1" a="1"/>
  <c r="Z498" i="31" s="1"/>
  <c r="X498" i="31" a="1"/>
  <c r="X498" i="31" s="1"/>
  <c r="W497" i="31" a="1"/>
  <c r="W497" i="31" s="1"/>
  <c r="Z497" i="31" s="1" a="1"/>
  <c r="Z497" i="31" s="1"/>
  <c r="X497" i="31" a="1"/>
  <c r="X497" i="31" s="1"/>
  <c r="W496" i="31" a="1"/>
  <c r="W496" i="31" s="1"/>
  <c r="Z496" i="31" s="1" a="1"/>
  <c r="Z496" i="31" s="1"/>
  <c r="X496" i="31" a="1"/>
  <c r="X496" i="31" s="1"/>
  <c r="W495" i="31" a="1"/>
  <c r="W495" i="31" s="1"/>
  <c r="Z495" i="31" s="1" a="1"/>
  <c r="Z495" i="31" s="1"/>
  <c r="X495" i="31" a="1"/>
  <c r="X495" i="31" s="1"/>
  <c r="W494" i="31" a="1"/>
  <c r="W494" i="31" s="1"/>
  <c r="Z494" i="31" s="1" a="1"/>
  <c r="Z494" i="31" s="1"/>
  <c r="X494" i="31" a="1"/>
  <c r="X494" i="31" s="1"/>
  <c r="W493" i="31" a="1"/>
  <c r="W493" i="31" s="1"/>
  <c r="Z493" i="31" s="1" a="1"/>
  <c r="Z493" i="31" s="1"/>
  <c r="X493" i="31" a="1"/>
  <c r="X493" i="31" s="1"/>
  <c r="W492" i="31" a="1"/>
  <c r="W492" i="31" s="1"/>
  <c r="Z492" i="31" s="1" a="1"/>
  <c r="Z492" i="31" s="1"/>
  <c r="X492" i="31" a="1"/>
  <c r="X492" i="31" s="1"/>
  <c r="W491" i="31" a="1"/>
  <c r="W491" i="31" s="1"/>
  <c r="Z491" i="31" s="1" a="1"/>
  <c r="Z491" i="31" s="1"/>
  <c r="X491" i="31" a="1"/>
  <c r="X491" i="31" s="1"/>
  <c r="W490" i="31" a="1"/>
  <c r="W490" i="31" s="1"/>
  <c r="Z490" i="31" s="1" a="1"/>
  <c r="Z490" i="31" s="1"/>
  <c r="X490" i="31" a="1"/>
  <c r="X490" i="31" s="1"/>
  <c r="W489" i="31" a="1"/>
  <c r="W489" i="31" s="1"/>
  <c r="Z489" i="31" s="1" a="1"/>
  <c r="Z489" i="31" s="1"/>
  <c r="X489" i="31" a="1"/>
  <c r="X489" i="31" s="1"/>
  <c r="W488" i="31" a="1"/>
  <c r="W488" i="31" s="1"/>
  <c r="Z488" i="31" s="1" a="1"/>
  <c r="Z488" i="31" s="1"/>
  <c r="X488" i="31" a="1"/>
  <c r="X488" i="31" s="1"/>
  <c r="W487" i="31" a="1"/>
  <c r="W487" i="31" s="1"/>
  <c r="Z487" i="31" s="1" a="1"/>
  <c r="Z487" i="31" s="1"/>
  <c r="X487" i="31" a="1"/>
  <c r="X487" i="31" s="1"/>
  <c r="W486" i="31" a="1"/>
  <c r="W486" i="31" s="1"/>
  <c r="Z486" i="31" s="1" a="1"/>
  <c r="Z486" i="31" s="1"/>
  <c r="X486" i="31" a="1"/>
  <c r="X486" i="31" s="1"/>
  <c r="W485" i="31" a="1"/>
  <c r="W485" i="31" s="1"/>
  <c r="Z485" i="31" s="1" a="1"/>
  <c r="Z485" i="31" s="1"/>
  <c r="X485" i="31" a="1"/>
  <c r="X485" i="31" s="1"/>
  <c r="W484" i="31" a="1"/>
  <c r="W484" i="31" s="1"/>
  <c r="Z484" i="31" s="1" a="1"/>
  <c r="Z484" i="31" s="1"/>
  <c r="X484" i="31" a="1"/>
  <c r="X484" i="31" s="1"/>
  <c r="W483" i="31" a="1"/>
  <c r="W483" i="31" s="1"/>
  <c r="Z483" i="31" s="1" a="1"/>
  <c r="Z483" i="31" s="1"/>
  <c r="X483" i="31" a="1"/>
  <c r="X483" i="31" s="1"/>
  <c r="W482" i="31" a="1"/>
  <c r="W482" i="31" s="1"/>
  <c r="Z482" i="31" s="1" a="1"/>
  <c r="Z482" i="31" s="1"/>
  <c r="X482" i="31" a="1"/>
  <c r="X482" i="31" s="1"/>
  <c r="W481" i="31" a="1"/>
  <c r="W481" i="31" s="1"/>
  <c r="Z481" i="31" s="1" a="1"/>
  <c r="Z481" i="31" s="1"/>
  <c r="X481" i="31" a="1"/>
  <c r="X481" i="31" s="1"/>
  <c r="W480" i="31" a="1"/>
  <c r="W480" i="31" s="1"/>
  <c r="Z480" i="31" s="1" a="1"/>
  <c r="Z480" i="31" s="1"/>
  <c r="X480" i="31" a="1"/>
  <c r="X480" i="31" s="1"/>
  <c r="W479" i="31" a="1"/>
  <c r="W479" i="31" s="1"/>
  <c r="Z479" i="31" s="1" a="1"/>
  <c r="Z479" i="31" s="1"/>
  <c r="X479" i="31" a="1"/>
  <c r="X479" i="31" s="1"/>
  <c r="W478" i="31" a="1"/>
  <c r="W478" i="31" s="1"/>
  <c r="Z478" i="31" s="1" a="1"/>
  <c r="Z478" i="31" s="1"/>
  <c r="X478" i="31" a="1"/>
  <c r="X478" i="31" s="1"/>
  <c r="W477" i="31" a="1"/>
  <c r="W477" i="31" s="1"/>
  <c r="Z477" i="31" s="1" a="1"/>
  <c r="Z477" i="31" s="1"/>
  <c r="X477" i="31" a="1"/>
  <c r="X477" i="31" s="1"/>
  <c r="W476" i="31" a="1"/>
  <c r="W476" i="31" s="1"/>
  <c r="Z476" i="31" s="1" a="1"/>
  <c r="Z476" i="31" s="1"/>
  <c r="X476" i="31" a="1"/>
  <c r="X476" i="31" s="1"/>
  <c r="W475" i="31" a="1"/>
  <c r="W475" i="31" s="1"/>
  <c r="Z475" i="31" s="1" a="1"/>
  <c r="Z475" i="31" s="1"/>
  <c r="X475" i="31" a="1"/>
  <c r="X475" i="31" s="1"/>
  <c r="W474" i="31" a="1"/>
  <c r="W474" i="31" s="1"/>
  <c r="Z474" i="31" s="1" a="1"/>
  <c r="Z474" i="31" s="1"/>
  <c r="X474" i="31" a="1"/>
  <c r="X474" i="31" s="1"/>
  <c r="W473" i="31" a="1"/>
  <c r="W473" i="31" s="1"/>
  <c r="Z473" i="31" s="1" a="1"/>
  <c r="Z473" i="31" s="1"/>
  <c r="X473" i="31" a="1"/>
  <c r="X473" i="31" s="1"/>
  <c r="W472" i="31" a="1"/>
  <c r="W472" i="31" s="1"/>
  <c r="Z472" i="31" s="1" a="1"/>
  <c r="Z472" i="31" s="1"/>
  <c r="X472" i="31" a="1"/>
  <c r="X472" i="31" s="1"/>
  <c r="W471" i="31" a="1"/>
  <c r="W471" i="31" s="1"/>
  <c r="Z471" i="31" s="1" a="1"/>
  <c r="Z471" i="31" s="1"/>
  <c r="X471" i="31" a="1"/>
  <c r="X471" i="31" s="1"/>
  <c r="W470" i="31" a="1"/>
  <c r="W470" i="31" s="1"/>
  <c r="Z470" i="31" s="1" a="1"/>
  <c r="Z470" i="31" s="1"/>
  <c r="X470" i="31" a="1"/>
  <c r="X470" i="31" s="1"/>
  <c r="W469" i="31" a="1"/>
  <c r="W469" i="31" s="1"/>
  <c r="Z469" i="31" s="1" a="1"/>
  <c r="Z469" i="31" s="1"/>
  <c r="X469" i="31" a="1"/>
  <c r="X469" i="31" s="1"/>
  <c r="W468" i="31" a="1"/>
  <c r="W468" i="31" s="1"/>
  <c r="Z468" i="31" s="1" a="1"/>
  <c r="Z468" i="31" s="1"/>
  <c r="X468" i="31" a="1"/>
  <c r="X468" i="31" s="1"/>
  <c r="W467" i="31" a="1"/>
  <c r="W467" i="31" s="1"/>
  <c r="Z467" i="31" s="1" a="1"/>
  <c r="Z467" i="31" s="1"/>
  <c r="X467" i="31" a="1"/>
  <c r="X467" i="31" s="1"/>
  <c r="W466" i="31" a="1"/>
  <c r="W466" i="31" s="1"/>
  <c r="Z466" i="31" s="1" a="1"/>
  <c r="Z466" i="31" s="1"/>
  <c r="X466" i="31" a="1"/>
  <c r="X466" i="31" s="1"/>
  <c r="W465" i="31" a="1"/>
  <c r="W465" i="31" s="1"/>
  <c r="Z465" i="31" s="1" a="1"/>
  <c r="Z465" i="31" s="1"/>
  <c r="X465" i="31" a="1"/>
  <c r="X465" i="31" s="1"/>
  <c r="W464" i="31" a="1"/>
  <c r="W464" i="31" s="1"/>
  <c r="Z464" i="31" s="1" a="1"/>
  <c r="Z464" i="31" s="1"/>
  <c r="X464" i="31" a="1"/>
  <c r="X464" i="31" s="1"/>
  <c r="W463" i="31" a="1"/>
  <c r="W463" i="31" s="1"/>
  <c r="Z463" i="31" s="1" a="1"/>
  <c r="Z463" i="31" s="1"/>
  <c r="X463" i="31" a="1"/>
  <c r="X463" i="31" s="1"/>
  <c r="W462" i="31" a="1"/>
  <c r="W462" i="31" s="1"/>
  <c r="Z462" i="31" s="1" a="1"/>
  <c r="Z462" i="31" s="1"/>
  <c r="X462" i="31" a="1"/>
  <c r="X462" i="31" s="1"/>
  <c r="W461" i="31" a="1"/>
  <c r="W461" i="31" s="1"/>
  <c r="Z461" i="31" s="1" a="1"/>
  <c r="Z461" i="31" s="1"/>
  <c r="X461" i="31" a="1"/>
  <c r="X461" i="31" s="1"/>
  <c r="W460" i="31" a="1"/>
  <c r="W460" i="31" s="1"/>
  <c r="Z460" i="31" s="1" a="1"/>
  <c r="Z460" i="31" s="1"/>
  <c r="X460" i="31" a="1"/>
  <c r="X460" i="31" s="1"/>
  <c r="W459" i="31" a="1"/>
  <c r="W459" i="31" s="1"/>
  <c r="Z459" i="31" s="1" a="1"/>
  <c r="Z459" i="31" s="1"/>
  <c r="X459" i="31" a="1"/>
  <c r="X459" i="31" s="1"/>
  <c r="W458" i="31" a="1"/>
  <c r="W458" i="31" s="1"/>
  <c r="Z458" i="31" s="1" a="1"/>
  <c r="Z458" i="31" s="1"/>
  <c r="X458" i="31" a="1"/>
  <c r="X458" i="31" s="1"/>
  <c r="W457" i="31" a="1"/>
  <c r="W457" i="31" s="1"/>
  <c r="Z457" i="31" s="1" a="1"/>
  <c r="Z457" i="31" s="1"/>
  <c r="X457" i="31" a="1"/>
  <c r="X457" i="31" s="1"/>
  <c r="W456" i="31" a="1"/>
  <c r="W456" i="31" s="1"/>
  <c r="Z456" i="31" s="1" a="1"/>
  <c r="Z456" i="31" s="1"/>
  <c r="X456" i="31" a="1"/>
  <c r="X456" i="31" s="1"/>
  <c r="W455" i="31" a="1"/>
  <c r="W455" i="31" s="1"/>
  <c r="Z455" i="31" s="1" a="1"/>
  <c r="Z455" i="31" s="1"/>
  <c r="X455" i="31" a="1"/>
  <c r="X455" i="31" s="1"/>
  <c r="W454" i="31" a="1"/>
  <c r="W454" i="31" s="1"/>
  <c r="Z454" i="31" s="1" a="1"/>
  <c r="Z454" i="31" s="1"/>
  <c r="X454" i="31" a="1"/>
  <c r="X454" i="31" s="1"/>
  <c r="W453" i="31" a="1"/>
  <c r="W453" i="31" s="1"/>
  <c r="Z453" i="31" s="1" a="1"/>
  <c r="Z453" i="31" s="1"/>
  <c r="X453" i="31" a="1"/>
  <c r="X453" i="31" s="1"/>
  <c r="W452" i="31" a="1"/>
  <c r="W452" i="31" s="1"/>
  <c r="Z452" i="31" s="1" a="1"/>
  <c r="Z452" i="31" s="1"/>
  <c r="X452" i="31" a="1"/>
  <c r="X452" i="31" s="1"/>
  <c r="W451" i="31" a="1"/>
  <c r="W451" i="31" s="1"/>
  <c r="Z451" i="31" s="1" a="1"/>
  <c r="Z451" i="31" s="1"/>
  <c r="X451" i="31" a="1"/>
  <c r="X451" i="31" s="1"/>
  <c r="W450" i="31" a="1"/>
  <c r="W450" i="31" s="1"/>
  <c r="Z450" i="31" s="1" a="1"/>
  <c r="Z450" i="31" s="1"/>
  <c r="X450" i="31" a="1"/>
  <c r="X450" i="31" s="1"/>
  <c r="W449" i="31" a="1"/>
  <c r="W449" i="31" s="1"/>
  <c r="Z449" i="31" s="1" a="1"/>
  <c r="Z449" i="31" s="1"/>
  <c r="X449" i="31" a="1"/>
  <c r="X449" i="31" s="1"/>
  <c r="W448" i="31" a="1"/>
  <c r="W448" i="31" s="1"/>
  <c r="Z448" i="31" s="1" a="1"/>
  <c r="Z448" i="31" s="1"/>
  <c r="X448" i="31" a="1"/>
  <c r="X448" i="31" s="1"/>
  <c r="W447" i="31" a="1"/>
  <c r="W447" i="31" s="1"/>
  <c r="Z447" i="31" s="1" a="1"/>
  <c r="Z447" i="31" s="1"/>
  <c r="X447" i="31" a="1"/>
  <c r="X447" i="31" s="1"/>
  <c r="W446" i="31" a="1"/>
  <c r="W446" i="31" s="1"/>
  <c r="Z446" i="31" s="1" a="1"/>
  <c r="Z446" i="31" s="1"/>
  <c r="X446" i="31" a="1"/>
  <c r="X446" i="31" s="1"/>
  <c r="W445" i="31" a="1"/>
  <c r="W445" i="31" s="1"/>
  <c r="Z445" i="31" s="1" a="1"/>
  <c r="Z445" i="31" s="1"/>
  <c r="X445" i="31" a="1"/>
  <c r="X445" i="31" s="1"/>
  <c r="W444" i="31" a="1"/>
  <c r="W444" i="31" s="1"/>
  <c r="Z444" i="31" s="1" a="1"/>
  <c r="Z444" i="31" s="1"/>
  <c r="X444" i="31" a="1"/>
  <c r="X444" i="31" s="1"/>
  <c r="W443" i="31" a="1"/>
  <c r="W443" i="31" s="1"/>
  <c r="Z443" i="31" s="1" a="1"/>
  <c r="Z443" i="31" s="1"/>
  <c r="X443" i="31" a="1"/>
  <c r="X443" i="31" s="1"/>
  <c r="W442" i="31" a="1"/>
  <c r="W442" i="31" s="1"/>
  <c r="Z442" i="31" s="1" a="1"/>
  <c r="Z442" i="31" s="1"/>
  <c r="X442" i="31" a="1"/>
  <c r="X442" i="31" s="1"/>
  <c r="W441" i="31" a="1"/>
  <c r="W441" i="31" s="1"/>
  <c r="Z441" i="31" s="1" a="1"/>
  <c r="Z441" i="31" s="1"/>
  <c r="X441" i="31" a="1"/>
  <c r="X441" i="31" s="1"/>
  <c r="W440" i="31" a="1"/>
  <c r="W440" i="31" s="1"/>
  <c r="Z440" i="31" s="1" a="1"/>
  <c r="Z440" i="31" s="1"/>
  <c r="X440" i="31" a="1"/>
  <c r="X440" i="31" s="1"/>
  <c r="W439" i="31" a="1"/>
  <c r="W439" i="31" s="1"/>
  <c r="Z439" i="31" s="1" a="1"/>
  <c r="Z439" i="31" s="1"/>
  <c r="X439" i="31" a="1"/>
  <c r="X439" i="31" s="1"/>
  <c r="W438" i="31" a="1"/>
  <c r="W438" i="31" s="1"/>
  <c r="Z438" i="31" s="1" a="1"/>
  <c r="Z438" i="31" s="1"/>
  <c r="X438" i="31" a="1"/>
  <c r="X438" i="31" s="1"/>
  <c r="W437" i="31" a="1"/>
  <c r="W437" i="31" s="1"/>
  <c r="Z437" i="31" s="1" a="1"/>
  <c r="Z437" i="31" s="1"/>
  <c r="X437" i="31" a="1"/>
  <c r="X437" i="31" s="1"/>
  <c r="W436" i="31" a="1"/>
  <c r="W436" i="31" s="1"/>
  <c r="Z436" i="31" s="1" a="1"/>
  <c r="Z436" i="31" s="1"/>
  <c r="X436" i="31" a="1"/>
  <c r="X436" i="31" s="1"/>
  <c r="W435" i="31" a="1"/>
  <c r="W435" i="31" s="1"/>
  <c r="Z435" i="31" s="1" a="1"/>
  <c r="Z435" i="31" s="1"/>
  <c r="X435" i="31" a="1"/>
  <c r="X435" i="31" s="1"/>
  <c r="W434" i="31" a="1"/>
  <c r="W434" i="31" s="1"/>
  <c r="Z434" i="31" s="1" a="1"/>
  <c r="Z434" i="31" s="1"/>
  <c r="X434" i="31" a="1"/>
  <c r="X434" i="31" s="1"/>
  <c r="W433" i="31" a="1"/>
  <c r="W433" i="31" s="1"/>
  <c r="Z433" i="31" s="1" a="1"/>
  <c r="Z433" i="31" s="1"/>
  <c r="X433" i="31" a="1"/>
  <c r="X433" i="31" s="1"/>
  <c r="W432" i="31" a="1"/>
  <c r="W432" i="31" s="1"/>
  <c r="Z432" i="31" s="1" a="1"/>
  <c r="Z432" i="31" s="1"/>
  <c r="X432" i="31" a="1"/>
  <c r="X432" i="31" s="1"/>
  <c r="W431" i="31" a="1"/>
  <c r="W431" i="31" s="1"/>
  <c r="Z431" i="31" s="1" a="1"/>
  <c r="Z431" i="31" s="1"/>
  <c r="X431" i="31" a="1"/>
  <c r="X431" i="31" s="1"/>
  <c r="W430" i="31" a="1"/>
  <c r="W430" i="31" s="1"/>
  <c r="Z430" i="31" s="1" a="1"/>
  <c r="Z430" i="31" s="1"/>
  <c r="X430" i="31" a="1"/>
  <c r="X430" i="31" s="1"/>
  <c r="W429" i="31" a="1"/>
  <c r="W429" i="31" s="1"/>
  <c r="Z429" i="31" s="1" a="1"/>
  <c r="Z429" i="31" s="1"/>
  <c r="X429" i="31" a="1"/>
  <c r="X429" i="31" s="1"/>
  <c r="W428" i="31" a="1"/>
  <c r="W428" i="31" s="1"/>
  <c r="Z428" i="31" s="1" a="1"/>
  <c r="Z428" i="31" s="1"/>
  <c r="X428" i="31" a="1"/>
  <c r="X428" i="31" s="1"/>
  <c r="W427" i="31" a="1"/>
  <c r="W427" i="31" s="1"/>
  <c r="Z427" i="31" s="1" a="1"/>
  <c r="Z427" i="31" s="1"/>
  <c r="X427" i="31" a="1"/>
  <c r="X427" i="31" s="1"/>
  <c r="W426" i="31" a="1"/>
  <c r="W426" i="31" s="1"/>
  <c r="Z426" i="31" s="1" a="1"/>
  <c r="Z426" i="31" s="1"/>
  <c r="X426" i="31" a="1"/>
  <c r="X426" i="31" s="1"/>
  <c r="W425" i="31" a="1"/>
  <c r="W425" i="31" s="1"/>
  <c r="Z425" i="31" s="1" a="1"/>
  <c r="Z425" i="31" s="1"/>
  <c r="X425" i="31" a="1"/>
  <c r="X425" i="31" s="1"/>
  <c r="W424" i="31" a="1"/>
  <c r="W424" i="31" s="1"/>
  <c r="Z424" i="31" s="1" a="1"/>
  <c r="Z424" i="31" s="1"/>
  <c r="X424" i="31" a="1"/>
  <c r="X424" i="31" s="1"/>
  <c r="W423" i="31" a="1"/>
  <c r="W423" i="31" s="1"/>
  <c r="Z423" i="31" s="1" a="1"/>
  <c r="Z423" i="31" s="1"/>
  <c r="X423" i="31" a="1"/>
  <c r="X423" i="31" s="1"/>
  <c r="W422" i="31" a="1"/>
  <c r="W422" i="31" s="1"/>
  <c r="Z422" i="31" s="1" a="1"/>
  <c r="Z422" i="31" s="1"/>
  <c r="X422" i="31" a="1"/>
  <c r="X422" i="31" s="1"/>
  <c r="W421" i="31" a="1"/>
  <c r="W421" i="31" s="1"/>
  <c r="Z421" i="31" s="1" a="1"/>
  <c r="Z421" i="31" s="1"/>
  <c r="X421" i="31" a="1"/>
  <c r="X421" i="31" s="1"/>
  <c r="W420" i="31" a="1"/>
  <c r="W420" i="31" s="1"/>
  <c r="Z420" i="31" s="1" a="1"/>
  <c r="Z420" i="31" s="1"/>
  <c r="X420" i="31" a="1"/>
  <c r="X420" i="31" s="1"/>
  <c r="W419" i="31" a="1"/>
  <c r="W419" i="31" s="1"/>
  <c r="Z419" i="31" s="1" a="1"/>
  <c r="Z419" i="31" s="1"/>
  <c r="X419" i="31" a="1"/>
  <c r="X419" i="31" s="1"/>
  <c r="W418" i="31" a="1"/>
  <c r="W418" i="31" s="1"/>
  <c r="Z418" i="31" s="1" a="1"/>
  <c r="Z418" i="31" s="1"/>
  <c r="X418" i="31" a="1"/>
  <c r="X418" i="31" s="1"/>
  <c r="W417" i="31" a="1"/>
  <c r="W417" i="31" s="1"/>
  <c r="Z417" i="31" s="1" a="1"/>
  <c r="Z417" i="31" s="1"/>
  <c r="X417" i="31" a="1"/>
  <c r="X417" i="31" s="1"/>
  <c r="W416" i="31" a="1"/>
  <c r="W416" i="31" s="1"/>
  <c r="Z416" i="31" s="1" a="1"/>
  <c r="Z416" i="31" s="1"/>
  <c r="X416" i="31" a="1"/>
  <c r="X416" i="31" s="1"/>
  <c r="W415" i="31" a="1"/>
  <c r="W415" i="31" s="1"/>
  <c r="Z415" i="31" s="1" a="1"/>
  <c r="Z415" i="31" s="1"/>
  <c r="X415" i="31" a="1"/>
  <c r="X415" i="31" s="1"/>
  <c r="W414" i="31" a="1"/>
  <c r="W414" i="31" s="1"/>
  <c r="Z414" i="31" s="1" a="1"/>
  <c r="Z414" i="31" s="1"/>
  <c r="X414" i="31" a="1"/>
  <c r="X414" i="31" s="1"/>
  <c r="W413" i="31" a="1"/>
  <c r="W413" i="31" s="1"/>
  <c r="Z413" i="31" s="1" a="1"/>
  <c r="Z413" i="31" s="1"/>
  <c r="X413" i="31" a="1"/>
  <c r="X413" i="31" s="1"/>
  <c r="W412" i="31" a="1"/>
  <c r="W412" i="31" s="1"/>
  <c r="Z412" i="31" s="1" a="1"/>
  <c r="Z412" i="31" s="1"/>
  <c r="X412" i="31" a="1"/>
  <c r="X412" i="31" s="1"/>
  <c r="W411" i="31" a="1"/>
  <c r="W411" i="31" s="1"/>
  <c r="Z411" i="31" s="1" a="1"/>
  <c r="Z411" i="31" s="1"/>
  <c r="X411" i="31" a="1"/>
  <c r="X411" i="31" s="1"/>
  <c r="W410" i="31" a="1"/>
  <c r="W410" i="31" s="1"/>
  <c r="Z410" i="31" s="1" a="1"/>
  <c r="Z410" i="31" s="1"/>
  <c r="X410" i="31" a="1"/>
  <c r="X410" i="31" s="1"/>
  <c r="W409" i="31" a="1"/>
  <c r="W409" i="31" s="1"/>
  <c r="Z409" i="31" s="1" a="1"/>
  <c r="Z409" i="31" s="1"/>
  <c r="X409" i="31" a="1"/>
  <c r="X409" i="31" s="1"/>
  <c r="W408" i="31" a="1"/>
  <c r="W408" i="31" s="1"/>
  <c r="Z408" i="31" s="1" a="1"/>
  <c r="Z408" i="31" s="1"/>
  <c r="X408" i="31" a="1"/>
  <c r="X408" i="31" s="1"/>
  <c r="W407" i="31" a="1"/>
  <c r="W407" i="31" s="1"/>
  <c r="Z407" i="31" s="1" a="1"/>
  <c r="Z407" i="31" s="1"/>
  <c r="X407" i="31" a="1"/>
  <c r="X407" i="31" s="1"/>
  <c r="W406" i="31" a="1"/>
  <c r="W406" i="31" s="1"/>
  <c r="Z406" i="31" s="1" a="1"/>
  <c r="Z406" i="31" s="1"/>
  <c r="X406" i="31" a="1"/>
  <c r="X406" i="31" s="1"/>
  <c r="W405" i="31" a="1"/>
  <c r="W405" i="31" s="1"/>
  <c r="Z405" i="31" s="1" a="1"/>
  <c r="Z405" i="31" s="1"/>
  <c r="X405" i="31" a="1"/>
  <c r="X405" i="31" s="1"/>
  <c r="W404" i="31" a="1"/>
  <c r="W404" i="31" s="1"/>
  <c r="Z404" i="31" s="1" a="1"/>
  <c r="Z404" i="31" s="1"/>
  <c r="X404" i="31" a="1"/>
  <c r="X404" i="31" s="1"/>
  <c r="W403" i="31" a="1"/>
  <c r="W403" i="31" s="1"/>
  <c r="Z403" i="31" s="1" a="1"/>
  <c r="Z403" i="31" s="1"/>
  <c r="X403" i="31" a="1"/>
  <c r="X403" i="31" s="1"/>
  <c r="W402" i="31" a="1"/>
  <c r="W402" i="31" s="1"/>
  <c r="Z402" i="31" s="1" a="1"/>
  <c r="Z402" i="31" s="1"/>
  <c r="X402" i="31" a="1"/>
  <c r="X402" i="31" s="1"/>
  <c r="W401" i="31" a="1"/>
  <c r="W401" i="31" s="1"/>
  <c r="Z401" i="31" s="1" a="1"/>
  <c r="Z401" i="31" s="1"/>
  <c r="X401" i="31" a="1"/>
  <c r="X401" i="31" s="1"/>
  <c r="W400" i="31" a="1"/>
  <c r="W400" i="31" s="1"/>
  <c r="Z400" i="31" s="1" a="1"/>
  <c r="Z400" i="31" s="1"/>
  <c r="X400" i="31" a="1"/>
  <c r="X400" i="31" s="1"/>
  <c r="W399" i="31" a="1"/>
  <c r="W399" i="31" s="1"/>
  <c r="Z399" i="31" s="1" a="1"/>
  <c r="Z399" i="31" s="1"/>
  <c r="X399" i="31" a="1"/>
  <c r="X399" i="31" s="1"/>
  <c r="W398" i="31" a="1"/>
  <c r="W398" i="31" s="1"/>
  <c r="Z398" i="31" s="1" a="1"/>
  <c r="Z398" i="31" s="1"/>
  <c r="X398" i="31" a="1"/>
  <c r="X398" i="31" s="1"/>
  <c r="W397" i="31" a="1"/>
  <c r="W397" i="31" s="1"/>
  <c r="Z397" i="31" s="1" a="1"/>
  <c r="Z397" i="31" s="1"/>
  <c r="X397" i="31" a="1"/>
  <c r="X397" i="31" s="1"/>
  <c r="W396" i="31" a="1"/>
  <c r="W396" i="31" s="1"/>
  <c r="Z396" i="31" s="1" a="1"/>
  <c r="Z396" i="31" s="1"/>
  <c r="X396" i="31" a="1"/>
  <c r="X396" i="31" s="1"/>
  <c r="W395" i="31" a="1"/>
  <c r="W395" i="31" s="1"/>
  <c r="Z395" i="31" s="1" a="1"/>
  <c r="Z395" i="31" s="1"/>
  <c r="X395" i="31" a="1"/>
  <c r="X395" i="31" s="1"/>
  <c r="W394" i="31" a="1"/>
  <c r="W394" i="31" s="1"/>
  <c r="Z394" i="31" s="1" a="1"/>
  <c r="Z394" i="31" s="1"/>
  <c r="X394" i="31" a="1"/>
  <c r="X394" i="31" s="1"/>
  <c r="W393" i="31" a="1"/>
  <c r="W393" i="31" s="1"/>
  <c r="Z393" i="31" s="1" a="1"/>
  <c r="Z393" i="31" s="1"/>
  <c r="X393" i="31" a="1"/>
  <c r="X393" i="31" s="1"/>
  <c r="W392" i="31" a="1"/>
  <c r="W392" i="31" s="1"/>
  <c r="Z392" i="31" s="1" a="1"/>
  <c r="Z392" i="31" s="1"/>
  <c r="X392" i="31" a="1"/>
  <c r="X392" i="31" s="1"/>
  <c r="W391" i="31" a="1"/>
  <c r="W391" i="31" s="1"/>
  <c r="Z391" i="31" s="1" a="1"/>
  <c r="Z391" i="31" s="1"/>
  <c r="X391" i="31" a="1"/>
  <c r="X391" i="31" s="1"/>
  <c r="W390" i="31" a="1"/>
  <c r="W390" i="31" s="1"/>
  <c r="Z390" i="31" s="1" a="1"/>
  <c r="Z390" i="31" s="1"/>
  <c r="X390" i="31" a="1"/>
  <c r="X390" i="31" s="1"/>
  <c r="W389" i="31" a="1"/>
  <c r="W389" i="31" s="1"/>
  <c r="Z389" i="31" s="1" a="1"/>
  <c r="Z389" i="31" s="1"/>
  <c r="X389" i="31" a="1"/>
  <c r="X389" i="31" s="1"/>
  <c r="W388" i="31" a="1"/>
  <c r="W388" i="31" s="1"/>
  <c r="Z388" i="31" s="1" a="1"/>
  <c r="Z388" i="31" s="1"/>
  <c r="X388" i="31" a="1"/>
  <c r="X388" i="31" s="1"/>
  <c r="W387" i="31" a="1"/>
  <c r="W387" i="31" s="1"/>
  <c r="Z387" i="31" s="1" a="1"/>
  <c r="Z387" i="31" s="1"/>
  <c r="X387" i="31" a="1"/>
  <c r="X387" i="31" s="1"/>
  <c r="W386" i="31" a="1"/>
  <c r="W386" i="31" s="1"/>
  <c r="Z386" i="31" s="1" a="1"/>
  <c r="Z386" i="31" s="1"/>
  <c r="X386" i="31" a="1"/>
  <c r="X386" i="31" s="1"/>
  <c r="W385" i="31" a="1"/>
  <c r="W385" i="31" s="1"/>
  <c r="Z385" i="31" s="1" a="1"/>
  <c r="Z385" i="31" s="1"/>
  <c r="X385" i="31" a="1"/>
  <c r="X385" i="31" s="1"/>
  <c r="W384" i="31" a="1"/>
  <c r="W384" i="31" s="1"/>
  <c r="Z384" i="31" s="1" a="1"/>
  <c r="Z384" i="31" s="1"/>
  <c r="X384" i="31" a="1"/>
  <c r="X384" i="31" s="1"/>
  <c r="W383" i="31" a="1"/>
  <c r="W383" i="31" s="1"/>
  <c r="Z383" i="31" s="1" a="1"/>
  <c r="Z383" i="31" s="1"/>
  <c r="X383" i="31" a="1"/>
  <c r="X383" i="31" s="1"/>
  <c r="W382" i="31" a="1"/>
  <c r="W382" i="31" s="1"/>
  <c r="Z382" i="31" s="1" a="1"/>
  <c r="Z382" i="31" s="1"/>
  <c r="X382" i="31" a="1"/>
  <c r="X382" i="31" s="1"/>
  <c r="W381" i="31" a="1"/>
  <c r="W381" i="31" s="1"/>
  <c r="Z381" i="31" s="1" a="1"/>
  <c r="Z381" i="31" s="1"/>
  <c r="X381" i="31" a="1"/>
  <c r="X381" i="31" s="1"/>
  <c r="W380" i="31" a="1"/>
  <c r="W380" i="31" s="1"/>
  <c r="Z380" i="31" s="1" a="1"/>
  <c r="Z380" i="31" s="1"/>
  <c r="X380" i="31" a="1"/>
  <c r="X380" i="31" s="1"/>
  <c r="W379" i="31" a="1"/>
  <c r="W379" i="31" s="1"/>
  <c r="Z379" i="31" s="1" a="1"/>
  <c r="Z379" i="31" s="1"/>
  <c r="X379" i="31" a="1"/>
  <c r="X379" i="31" s="1"/>
  <c r="W378" i="31" a="1"/>
  <c r="W378" i="31" s="1"/>
  <c r="Z378" i="31" s="1" a="1"/>
  <c r="Z378" i="31" s="1"/>
  <c r="X378" i="31" a="1"/>
  <c r="X378" i="31" s="1"/>
  <c r="W377" i="31" a="1"/>
  <c r="W377" i="31" s="1"/>
  <c r="Z377" i="31" s="1" a="1"/>
  <c r="Z377" i="31" s="1"/>
  <c r="X377" i="31" a="1"/>
  <c r="X377" i="31" s="1"/>
  <c r="W376" i="31" a="1"/>
  <c r="W376" i="31" s="1"/>
  <c r="Z376" i="31" s="1" a="1"/>
  <c r="Z376" i="31" s="1"/>
  <c r="X376" i="31" a="1"/>
  <c r="X376" i="31" s="1"/>
  <c r="W375" i="31" a="1"/>
  <c r="W375" i="31" s="1"/>
  <c r="Z375" i="31" s="1" a="1"/>
  <c r="Z375" i="31" s="1"/>
  <c r="X375" i="31" a="1"/>
  <c r="X375" i="31" s="1"/>
  <c r="W374" i="31" a="1"/>
  <c r="W374" i="31" s="1"/>
  <c r="Z374" i="31" s="1" a="1"/>
  <c r="Z374" i="31" s="1"/>
  <c r="X374" i="31" a="1"/>
  <c r="X374" i="31" s="1"/>
  <c r="W373" i="31" a="1"/>
  <c r="W373" i="31" s="1"/>
  <c r="Z373" i="31" s="1" a="1"/>
  <c r="Z373" i="31" s="1"/>
  <c r="X373" i="31" a="1"/>
  <c r="X373" i="31" s="1"/>
  <c r="W372" i="31" a="1"/>
  <c r="W372" i="31" s="1"/>
  <c r="Z372" i="31" s="1" a="1"/>
  <c r="Z372" i="31" s="1"/>
  <c r="X372" i="31" a="1"/>
  <c r="X372" i="31" s="1"/>
  <c r="W371" i="31" a="1"/>
  <c r="W371" i="31" s="1"/>
  <c r="Z371" i="31" s="1" a="1"/>
  <c r="Z371" i="31" s="1"/>
  <c r="X371" i="31" a="1"/>
  <c r="X371" i="31" s="1"/>
  <c r="W370" i="31" a="1"/>
  <c r="W370" i="31" s="1"/>
  <c r="Z370" i="31" s="1" a="1"/>
  <c r="Z370" i="31" s="1"/>
  <c r="X370" i="31" a="1"/>
  <c r="X370" i="31" s="1"/>
  <c r="W369" i="31" a="1"/>
  <c r="W369" i="31" s="1"/>
  <c r="Z369" i="31" s="1" a="1"/>
  <c r="Z369" i="31" s="1"/>
  <c r="X369" i="31" a="1"/>
  <c r="X369" i="31" s="1"/>
  <c r="W368" i="31" a="1"/>
  <c r="W368" i="31" s="1"/>
  <c r="Z368" i="31" s="1" a="1"/>
  <c r="Z368" i="31" s="1"/>
  <c r="X368" i="31" a="1"/>
  <c r="X368" i="31" s="1"/>
  <c r="W367" i="31" a="1"/>
  <c r="W367" i="31" s="1"/>
  <c r="Z367" i="31" s="1" a="1"/>
  <c r="Z367" i="31" s="1"/>
  <c r="X367" i="31" a="1"/>
  <c r="X367" i="31" s="1"/>
  <c r="W366" i="31" a="1"/>
  <c r="W366" i="31" s="1"/>
  <c r="Z366" i="31" s="1" a="1"/>
  <c r="Z366" i="31" s="1"/>
  <c r="X366" i="31" a="1"/>
  <c r="X366" i="31" s="1"/>
  <c r="W365" i="31" a="1"/>
  <c r="W365" i="31" s="1"/>
  <c r="Z365" i="31" s="1" a="1"/>
  <c r="Z365" i="31" s="1"/>
  <c r="X365" i="31" a="1"/>
  <c r="X365" i="31" s="1"/>
  <c r="W364" i="31" a="1"/>
  <c r="W364" i="31" s="1"/>
  <c r="Z364" i="31" s="1" a="1"/>
  <c r="Z364" i="31" s="1"/>
  <c r="X364" i="31" a="1"/>
  <c r="X364" i="31" s="1"/>
  <c r="W363" i="31" a="1"/>
  <c r="W363" i="31" s="1"/>
  <c r="Z363" i="31" s="1" a="1"/>
  <c r="Z363" i="31" s="1"/>
  <c r="X363" i="31" a="1"/>
  <c r="X363" i="31" s="1"/>
  <c r="W362" i="31" a="1"/>
  <c r="W362" i="31" s="1"/>
  <c r="Z362" i="31" s="1" a="1"/>
  <c r="Z362" i="31" s="1"/>
  <c r="X362" i="31" a="1"/>
  <c r="X362" i="31" s="1"/>
  <c r="W361" i="31" a="1"/>
  <c r="W361" i="31" s="1"/>
  <c r="Z361" i="31" s="1" a="1"/>
  <c r="Z361" i="31" s="1"/>
  <c r="X361" i="31" a="1"/>
  <c r="X361" i="31" s="1"/>
  <c r="W360" i="31" a="1"/>
  <c r="W360" i="31" s="1"/>
  <c r="Z360" i="31" s="1" a="1"/>
  <c r="Z360" i="31" s="1"/>
  <c r="X360" i="31" a="1"/>
  <c r="X360" i="31" s="1"/>
  <c r="W359" i="31" a="1"/>
  <c r="W359" i="31" s="1"/>
  <c r="Z359" i="31" s="1" a="1"/>
  <c r="Z359" i="31" s="1"/>
  <c r="X359" i="31" a="1"/>
  <c r="X359" i="31" s="1"/>
  <c r="W358" i="31" a="1"/>
  <c r="W358" i="31" s="1"/>
  <c r="Z358" i="31" s="1" a="1"/>
  <c r="Z358" i="31" s="1"/>
  <c r="X358" i="31" a="1"/>
  <c r="X358" i="31" s="1"/>
  <c r="W357" i="31" a="1"/>
  <c r="W357" i="31" s="1"/>
  <c r="Z357" i="31" s="1" a="1"/>
  <c r="Z357" i="31" s="1"/>
  <c r="X357" i="31" a="1"/>
  <c r="X357" i="31" s="1"/>
  <c r="W356" i="31" a="1"/>
  <c r="W356" i="31" s="1"/>
  <c r="Z356" i="31" s="1" a="1"/>
  <c r="Z356" i="31" s="1"/>
  <c r="X356" i="31" a="1"/>
  <c r="X356" i="31" s="1"/>
  <c r="W355" i="31" a="1"/>
  <c r="W355" i="31" s="1"/>
  <c r="Z355" i="31" s="1" a="1"/>
  <c r="Z355" i="31" s="1"/>
  <c r="X355" i="31" a="1"/>
  <c r="X355" i="31" s="1"/>
  <c r="W354" i="31" a="1"/>
  <c r="W354" i="31" s="1"/>
  <c r="Z354" i="31" s="1" a="1"/>
  <c r="Z354" i="31" s="1"/>
  <c r="X354" i="31" a="1"/>
  <c r="X354" i="31" s="1"/>
  <c r="W353" i="31" a="1"/>
  <c r="W353" i="31" s="1"/>
  <c r="Z353" i="31" s="1" a="1"/>
  <c r="Z353" i="31" s="1"/>
  <c r="X353" i="31" a="1"/>
  <c r="X353" i="31" s="1"/>
  <c r="W352" i="31" a="1"/>
  <c r="W352" i="31" s="1"/>
  <c r="Z352" i="31" s="1" a="1"/>
  <c r="Z352" i="31" s="1"/>
  <c r="X352" i="31" a="1"/>
  <c r="X352" i="31" s="1"/>
  <c r="W351" i="31" a="1"/>
  <c r="W351" i="31" s="1"/>
  <c r="Z351" i="31" s="1" a="1"/>
  <c r="Z351" i="31" s="1"/>
  <c r="X351" i="31" a="1"/>
  <c r="X351" i="31" s="1"/>
  <c r="W350" i="31" a="1"/>
  <c r="W350" i="31" s="1"/>
  <c r="Z350" i="31" s="1" a="1"/>
  <c r="Z350" i="31" s="1"/>
  <c r="X350" i="31" a="1"/>
  <c r="X350" i="31" s="1"/>
  <c r="W349" i="31" a="1"/>
  <c r="W349" i="31" s="1"/>
  <c r="Z349" i="31" s="1" a="1"/>
  <c r="Z349" i="31" s="1"/>
  <c r="X349" i="31" a="1"/>
  <c r="X349" i="31" s="1"/>
  <c r="W348" i="31" a="1"/>
  <c r="W348" i="31" s="1"/>
  <c r="Z348" i="31" s="1" a="1"/>
  <c r="Z348" i="31" s="1"/>
  <c r="X348" i="31" a="1"/>
  <c r="X348" i="31" s="1"/>
  <c r="W347" i="31" a="1"/>
  <c r="W347" i="31" s="1"/>
  <c r="Z347" i="31" s="1" a="1"/>
  <c r="Z347" i="31" s="1"/>
  <c r="X347" i="31" a="1"/>
  <c r="X347" i="31" s="1"/>
  <c r="W346" i="31" a="1"/>
  <c r="W346" i="31" s="1"/>
  <c r="Z346" i="31" s="1" a="1"/>
  <c r="Z346" i="31" s="1"/>
  <c r="X346" i="31" a="1"/>
  <c r="X346" i="31" s="1"/>
  <c r="W345" i="31" a="1"/>
  <c r="W345" i="31" s="1"/>
  <c r="Z345" i="31" s="1" a="1"/>
  <c r="Z345" i="31" s="1"/>
  <c r="X345" i="31" a="1"/>
  <c r="X345" i="31" s="1"/>
  <c r="W344" i="31" a="1"/>
  <c r="W344" i="31" s="1"/>
  <c r="Z344" i="31" s="1" a="1"/>
  <c r="Z344" i="31" s="1"/>
  <c r="X344" i="31" a="1"/>
  <c r="X344" i="31" s="1"/>
  <c r="W343" i="31" a="1"/>
  <c r="W343" i="31" s="1"/>
  <c r="Z343" i="31" s="1" a="1"/>
  <c r="Z343" i="31" s="1"/>
  <c r="X343" i="31" a="1"/>
  <c r="X343" i="31" s="1"/>
  <c r="W342" i="31" a="1"/>
  <c r="W342" i="31" s="1"/>
  <c r="Z342" i="31" s="1" a="1"/>
  <c r="Z342" i="31" s="1"/>
  <c r="X342" i="31" a="1"/>
  <c r="X342" i="31" s="1"/>
  <c r="W341" i="31" a="1"/>
  <c r="W341" i="31" s="1"/>
  <c r="Z341" i="31" s="1" a="1"/>
  <c r="Z341" i="31" s="1"/>
  <c r="X341" i="31" a="1"/>
  <c r="X341" i="31" s="1"/>
  <c r="W340" i="31" a="1"/>
  <c r="W340" i="31" s="1"/>
  <c r="Z340" i="31" s="1" a="1"/>
  <c r="Z340" i="31" s="1"/>
  <c r="X340" i="31" a="1"/>
  <c r="X340" i="31" s="1"/>
  <c r="W339" i="31" a="1"/>
  <c r="W339" i="31" s="1"/>
  <c r="Z339" i="31" s="1" a="1"/>
  <c r="Z339" i="31" s="1"/>
  <c r="X339" i="31" a="1"/>
  <c r="X339" i="31" s="1"/>
  <c r="W338" i="31" a="1"/>
  <c r="W338" i="31" s="1"/>
  <c r="Z338" i="31" s="1" a="1"/>
  <c r="Z338" i="31" s="1"/>
  <c r="X338" i="31" a="1"/>
  <c r="X338" i="31" s="1"/>
  <c r="W337" i="31" a="1"/>
  <c r="W337" i="31" s="1"/>
  <c r="Z337" i="31" s="1" a="1"/>
  <c r="Z337" i="31" s="1"/>
  <c r="X337" i="31" a="1"/>
  <c r="X337" i="31" s="1"/>
  <c r="W336" i="31" a="1"/>
  <c r="W336" i="31" s="1"/>
  <c r="Z336" i="31" s="1" a="1"/>
  <c r="Z336" i="31" s="1"/>
  <c r="X336" i="31" a="1"/>
  <c r="X336" i="31" s="1"/>
  <c r="W335" i="31" a="1"/>
  <c r="W335" i="31" s="1"/>
  <c r="Z335" i="31" s="1" a="1"/>
  <c r="Z335" i="31" s="1"/>
  <c r="X335" i="31" a="1"/>
  <c r="X335" i="31" s="1"/>
  <c r="W334" i="31" a="1"/>
  <c r="W334" i="31" s="1"/>
  <c r="Z334" i="31" s="1" a="1"/>
  <c r="Z334" i="31" s="1"/>
  <c r="X334" i="31" a="1"/>
  <c r="X334" i="31" s="1"/>
  <c r="W333" i="31" a="1"/>
  <c r="W333" i="31" s="1"/>
  <c r="Z333" i="31" s="1" a="1"/>
  <c r="Z333" i="31" s="1"/>
  <c r="X333" i="31" a="1"/>
  <c r="X333" i="31" s="1"/>
  <c r="W332" i="31" a="1"/>
  <c r="W332" i="31" s="1"/>
  <c r="Z332" i="31" s="1" a="1"/>
  <c r="Z332" i="31" s="1"/>
  <c r="X332" i="31" a="1"/>
  <c r="X332" i="31" s="1"/>
  <c r="W331" i="31" a="1"/>
  <c r="W331" i="31" s="1"/>
  <c r="Z331" i="31" s="1" a="1"/>
  <c r="Z331" i="31" s="1"/>
  <c r="X331" i="31" a="1"/>
  <c r="X331" i="31" s="1"/>
  <c r="W330" i="31" a="1"/>
  <c r="W330" i="31" s="1"/>
  <c r="Z330" i="31" s="1" a="1"/>
  <c r="Z330" i="31" s="1"/>
  <c r="X330" i="31" a="1"/>
  <c r="X330" i="31" s="1"/>
  <c r="W329" i="31" a="1"/>
  <c r="W329" i="31" s="1"/>
  <c r="Z329" i="31" s="1" a="1"/>
  <c r="Z329" i="31" s="1"/>
  <c r="X329" i="31" a="1"/>
  <c r="X329" i="31" s="1"/>
  <c r="W328" i="31" a="1"/>
  <c r="W328" i="31" s="1"/>
  <c r="Z328" i="31" s="1" a="1"/>
  <c r="Z328" i="31" s="1"/>
  <c r="X328" i="31" a="1"/>
  <c r="X328" i="31" s="1"/>
  <c r="W327" i="31" a="1"/>
  <c r="W327" i="31" s="1"/>
  <c r="Z327" i="31" s="1" a="1"/>
  <c r="Z327" i="31" s="1"/>
  <c r="X327" i="31" a="1"/>
  <c r="X327" i="31" s="1"/>
  <c r="W326" i="31" a="1"/>
  <c r="W326" i="31" s="1"/>
  <c r="Z326" i="31" s="1" a="1"/>
  <c r="Z326" i="31" s="1"/>
  <c r="X326" i="31" a="1"/>
  <c r="X326" i="31" s="1"/>
  <c r="W325" i="31" a="1"/>
  <c r="W325" i="31" s="1"/>
  <c r="Z325" i="31" s="1" a="1"/>
  <c r="Z325" i="31" s="1"/>
  <c r="X325" i="31" a="1"/>
  <c r="X325" i="31" s="1"/>
  <c r="W324" i="31" a="1"/>
  <c r="W324" i="31" s="1"/>
  <c r="Z324" i="31" s="1" a="1"/>
  <c r="Z324" i="31" s="1"/>
  <c r="X324" i="31" a="1"/>
  <c r="X324" i="31" s="1"/>
  <c r="W323" i="31" a="1"/>
  <c r="W323" i="31" s="1"/>
  <c r="Z323" i="31" s="1" a="1"/>
  <c r="Z323" i="31" s="1"/>
  <c r="X323" i="31" a="1"/>
  <c r="X323" i="31" s="1"/>
  <c r="W322" i="31" a="1"/>
  <c r="W322" i="31" s="1"/>
  <c r="Z322" i="31" s="1" a="1"/>
  <c r="Z322" i="31" s="1"/>
  <c r="X322" i="31" a="1"/>
  <c r="X322" i="31" s="1"/>
  <c r="W321" i="31" a="1"/>
  <c r="W321" i="31" s="1"/>
  <c r="Z321" i="31" s="1" a="1"/>
  <c r="Z321" i="31" s="1"/>
  <c r="X321" i="31" a="1"/>
  <c r="X321" i="31" s="1"/>
  <c r="W320" i="31" a="1"/>
  <c r="W320" i="31" s="1"/>
  <c r="Z320" i="31" s="1" a="1"/>
  <c r="Z320" i="31" s="1"/>
  <c r="X320" i="31" a="1"/>
  <c r="X320" i="31" s="1"/>
  <c r="W319" i="31" a="1"/>
  <c r="W319" i="31" s="1"/>
  <c r="Z319" i="31" s="1" a="1"/>
  <c r="Z319" i="31" s="1"/>
  <c r="X319" i="31" a="1"/>
  <c r="X319" i="31" s="1"/>
  <c r="W318" i="31" a="1"/>
  <c r="W318" i="31" s="1"/>
  <c r="Z318" i="31" s="1" a="1"/>
  <c r="Z318" i="31" s="1"/>
  <c r="X318" i="31" a="1"/>
  <c r="X318" i="31" s="1"/>
  <c r="W317" i="31" a="1"/>
  <c r="W317" i="31" s="1"/>
  <c r="Z317" i="31" s="1" a="1"/>
  <c r="Z317" i="31" s="1"/>
  <c r="X317" i="31" a="1"/>
  <c r="X317" i="31" s="1"/>
  <c r="W316" i="31" a="1"/>
  <c r="W316" i="31" s="1"/>
  <c r="Z316" i="31" s="1" a="1"/>
  <c r="Z316" i="31" s="1"/>
  <c r="X316" i="31" a="1"/>
  <c r="X316" i="31" s="1"/>
  <c r="W315" i="31" a="1"/>
  <c r="W315" i="31" s="1"/>
  <c r="Z315" i="31" s="1" a="1"/>
  <c r="Z315" i="31" s="1"/>
  <c r="X315" i="31" a="1"/>
  <c r="X315" i="31" s="1"/>
  <c r="W314" i="31" a="1"/>
  <c r="W314" i="31" s="1"/>
  <c r="Z314" i="31" s="1" a="1"/>
  <c r="Z314" i="31" s="1"/>
  <c r="X314" i="31" a="1"/>
  <c r="X314" i="31" s="1"/>
  <c r="W313" i="31" a="1"/>
  <c r="W313" i="31" s="1"/>
  <c r="Z313" i="31" s="1" a="1"/>
  <c r="Z313" i="31" s="1"/>
  <c r="X313" i="31" a="1"/>
  <c r="X313" i="31" s="1"/>
  <c r="W312" i="31" a="1"/>
  <c r="W312" i="31" s="1"/>
  <c r="Z312" i="31" s="1" a="1"/>
  <c r="Z312" i="31" s="1"/>
  <c r="X312" i="31" a="1"/>
  <c r="X312" i="31" s="1"/>
  <c r="W311" i="31" a="1"/>
  <c r="W311" i="31" s="1"/>
  <c r="Z311" i="31" s="1" a="1"/>
  <c r="Z311" i="31" s="1"/>
  <c r="X311" i="31" a="1"/>
  <c r="X311" i="31" s="1"/>
  <c r="W310" i="31" a="1"/>
  <c r="W310" i="31" s="1"/>
  <c r="Z310" i="31" s="1" a="1"/>
  <c r="Z310" i="31" s="1"/>
  <c r="X310" i="31" a="1"/>
  <c r="X310" i="31" s="1"/>
  <c r="W309" i="31" a="1"/>
  <c r="W309" i="31" s="1"/>
  <c r="Z309" i="31" s="1" a="1"/>
  <c r="Z309" i="31" s="1"/>
  <c r="X309" i="31" a="1"/>
  <c r="X309" i="31" s="1"/>
  <c r="W308" i="31" a="1"/>
  <c r="W308" i="31" s="1"/>
  <c r="Z308" i="31" s="1" a="1"/>
  <c r="Z308" i="31" s="1"/>
  <c r="X308" i="31" a="1"/>
  <c r="X308" i="31" s="1"/>
  <c r="W307" i="31" a="1"/>
  <c r="W307" i="31" s="1"/>
  <c r="Z307" i="31" s="1" a="1"/>
  <c r="Z307" i="31" s="1"/>
  <c r="X307" i="31" a="1"/>
  <c r="X307" i="31" s="1"/>
  <c r="W306" i="31" a="1"/>
  <c r="W306" i="31" s="1"/>
  <c r="Z306" i="31" s="1" a="1"/>
  <c r="Z306" i="31" s="1"/>
  <c r="X306" i="31" a="1"/>
  <c r="X306" i="31" s="1"/>
  <c r="W305" i="31" a="1"/>
  <c r="W305" i="31" s="1"/>
  <c r="Z305" i="31" s="1" a="1"/>
  <c r="Z305" i="31" s="1"/>
  <c r="X305" i="31" a="1"/>
  <c r="X305" i="31" s="1"/>
  <c r="W304" i="31" a="1"/>
  <c r="W304" i="31" s="1"/>
  <c r="Z304" i="31" s="1" a="1"/>
  <c r="Z304" i="31" s="1"/>
  <c r="X304" i="31" a="1"/>
  <c r="X304" i="31" s="1"/>
  <c r="W303" i="31" a="1"/>
  <c r="W303" i="31" s="1"/>
  <c r="Z303" i="31" s="1" a="1"/>
  <c r="Z303" i="31" s="1"/>
  <c r="X303" i="31" a="1"/>
  <c r="X303" i="31" s="1"/>
  <c r="W302" i="31" a="1"/>
  <c r="W302" i="31" s="1"/>
  <c r="Z302" i="31" s="1" a="1"/>
  <c r="Z302" i="31" s="1"/>
  <c r="X302" i="31" a="1"/>
  <c r="X302" i="31" s="1"/>
  <c r="W301" i="31" a="1"/>
  <c r="W301" i="31" s="1"/>
  <c r="Z301" i="31" s="1" a="1"/>
  <c r="Z301" i="31" s="1"/>
  <c r="X301" i="31" a="1"/>
  <c r="X301" i="31" s="1"/>
  <c r="W300" i="31" a="1"/>
  <c r="W300" i="31" s="1"/>
  <c r="Z300" i="31" s="1" a="1"/>
  <c r="Z300" i="31" s="1"/>
  <c r="X300" i="31" a="1"/>
  <c r="X300" i="31" s="1"/>
  <c r="W299" i="31" a="1"/>
  <c r="W299" i="31" s="1"/>
  <c r="Z299" i="31" s="1" a="1"/>
  <c r="Z299" i="31" s="1"/>
  <c r="X299" i="31" a="1"/>
  <c r="X299" i="31" s="1"/>
  <c r="W298" i="31" a="1"/>
  <c r="W298" i="31" s="1"/>
  <c r="Z298" i="31" s="1" a="1"/>
  <c r="Z298" i="31" s="1"/>
  <c r="X298" i="31" a="1"/>
  <c r="X298" i="31" s="1"/>
  <c r="W297" i="31" a="1"/>
  <c r="W297" i="31" s="1"/>
  <c r="Z297" i="31" s="1" a="1"/>
  <c r="Z297" i="31" s="1"/>
  <c r="X297" i="31" a="1"/>
  <c r="X297" i="31" s="1"/>
  <c r="W296" i="31" a="1"/>
  <c r="W296" i="31" s="1"/>
  <c r="Z296" i="31" s="1" a="1"/>
  <c r="Z296" i="31" s="1"/>
  <c r="X296" i="31" a="1"/>
  <c r="X296" i="31" s="1"/>
  <c r="W295" i="31" a="1"/>
  <c r="W295" i="31" s="1"/>
  <c r="Z295" i="31" s="1" a="1"/>
  <c r="Z295" i="31" s="1"/>
  <c r="X295" i="31" a="1"/>
  <c r="X295" i="31" s="1"/>
  <c r="W294" i="31" a="1"/>
  <c r="W294" i="31" s="1"/>
  <c r="Z294" i="31" s="1" a="1"/>
  <c r="Z294" i="31" s="1"/>
  <c r="X294" i="31" a="1"/>
  <c r="X294" i="31" s="1"/>
  <c r="W293" i="31" a="1"/>
  <c r="W293" i="31" s="1"/>
  <c r="Z293" i="31" s="1" a="1"/>
  <c r="Z293" i="31" s="1"/>
  <c r="X293" i="31" a="1"/>
  <c r="X293" i="31" s="1"/>
  <c r="W292" i="31" a="1"/>
  <c r="W292" i="31" s="1"/>
  <c r="Z292" i="31" s="1" a="1"/>
  <c r="Z292" i="31" s="1"/>
  <c r="X292" i="31" a="1"/>
  <c r="X292" i="31" s="1"/>
  <c r="W291" i="31" a="1"/>
  <c r="W291" i="31" s="1"/>
  <c r="Z291" i="31" s="1" a="1"/>
  <c r="Z291" i="31" s="1"/>
  <c r="X291" i="31" a="1"/>
  <c r="X291" i="31" s="1"/>
  <c r="W290" i="31" a="1"/>
  <c r="W290" i="31" s="1"/>
  <c r="Z290" i="31" s="1" a="1"/>
  <c r="Z290" i="31" s="1"/>
  <c r="X290" i="31" a="1"/>
  <c r="X290" i="31" s="1"/>
  <c r="W289" i="31" a="1"/>
  <c r="W289" i="31" s="1"/>
  <c r="Z289" i="31" s="1" a="1"/>
  <c r="Z289" i="31" s="1"/>
  <c r="X289" i="31" a="1"/>
  <c r="X289" i="31" s="1"/>
  <c r="W288" i="31" a="1"/>
  <c r="W288" i="31" s="1"/>
  <c r="Z288" i="31" s="1" a="1"/>
  <c r="Z288" i="31" s="1"/>
  <c r="X288" i="31" a="1"/>
  <c r="X288" i="31" s="1"/>
  <c r="W287" i="31" a="1"/>
  <c r="W287" i="31" s="1"/>
  <c r="Z287" i="31" s="1" a="1"/>
  <c r="Z287" i="31" s="1"/>
  <c r="X287" i="31" a="1"/>
  <c r="X287" i="31" s="1"/>
  <c r="W286" i="31" a="1"/>
  <c r="W286" i="31" s="1"/>
  <c r="Z286" i="31" s="1" a="1"/>
  <c r="Z286" i="31" s="1"/>
  <c r="X286" i="31" a="1"/>
  <c r="X286" i="31" s="1"/>
  <c r="W285" i="31" a="1"/>
  <c r="W285" i="31" s="1"/>
  <c r="Z285" i="31" s="1" a="1"/>
  <c r="Z285" i="31" s="1"/>
  <c r="X285" i="31" a="1"/>
  <c r="X285" i="31" s="1"/>
  <c r="W284" i="31" a="1"/>
  <c r="W284" i="31" s="1"/>
  <c r="Z284" i="31" s="1" a="1"/>
  <c r="Z284" i="31" s="1"/>
  <c r="X284" i="31" a="1"/>
  <c r="X284" i="31" s="1"/>
  <c r="W283" i="31" a="1"/>
  <c r="W283" i="31" s="1"/>
  <c r="Z283" i="31" s="1" a="1"/>
  <c r="Z283" i="31" s="1"/>
  <c r="X283" i="31" a="1"/>
  <c r="X283" i="31" s="1"/>
  <c r="W282" i="31" a="1"/>
  <c r="W282" i="31" s="1"/>
  <c r="Z282" i="31" s="1" a="1"/>
  <c r="Z282" i="31" s="1"/>
  <c r="X282" i="31" a="1"/>
  <c r="X282" i="31" s="1"/>
  <c r="W281" i="31" a="1"/>
  <c r="W281" i="31" s="1"/>
  <c r="Z281" i="31" s="1" a="1"/>
  <c r="Z281" i="31" s="1"/>
  <c r="X281" i="31" a="1"/>
  <c r="X281" i="31" s="1"/>
  <c r="W280" i="31" a="1"/>
  <c r="W280" i="31" s="1"/>
  <c r="Z280" i="31" s="1" a="1"/>
  <c r="Z280" i="31" s="1"/>
  <c r="X280" i="31" a="1"/>
  <c r="X280" i="31" s="1"/>
  <c r="W279" i="31" a="1"/>
  <c r="W279" i="31" s="1"/>
  <c r="Z279" i="31" s="1" a="1"/>
  <c r="Z279" i="31" s="1"/>
  <c r="X279" i="31" a="1"/>
  <c r="X279" i="31" s="1"/>
  <c r="W278" i="31" a="1"/>
  <c r="W278" i="31" s="1"/>
  <c r="Z278" i="31" s="1" a="1"/>
  <c r="Z278" i="31" s="1"/>
  <c r="X278" i="31" a="1"/>
  <c r="X278" i="31" s="1"/>
  <c r="W277" i="31" a="1"/>
  <c r="W277" i="31" s="1"/>
  <c r="Z277" i="31" s="1" a="1"/>
  <c r="Z277" i="31" s="1"/>
  <c r="X277" i="31" a="1"/>
  <c r="X277" i="31" s="1"/>
  <c r="W276" i="31" a="1"/>
  <c r="W276" i="31" s="1"/>
  <c r="Z276" i="31" s="1" a="1"/>
  <c r="Z276" i="31" s="1"/>
  <c r="X276" i="31" a="1"/>
  <c r="X276" i="31" s="1"/>
  <c r="W275" i="31" a="1"/>
  <c r="W275" i="31" s="1"/>
  <c r="Z275" i="31" s="1" a="1"/>
  <c r="Z275" i="31" s="1"/>
  <c r="X275" i="31" a="1"/>
  <c r="X275" i="31" s="1"/>
  <c r="W274" i="31" a="1"/>
  <c r="W274" i="31" s="1"/>
  <c r="Z274" i="31" s="1" a="1"/>
  <c r="Z274" i="31" s="1"/>
  <c r="X274" i="31" a="1"/>
  <c r="X274" i="31" s="1"/>
  <c r="W273" i="31" a="1"/>
  <c r="W273" i="31" s="1"/>
  <c r="Z273" i="31" s="1" a="1"/>
  <c r="Z273" i="31" s="1"/>
  <c r="X273" i="31" a="1"/>
  <c r="X273" i="31" s="1"/>
  <c r="W272" i="31" a="1"/>
  <c r="W272" i="31" s="1"/>
  <c r="Z272" i="31" s="1" a="1"/>
  <c r="Z272" i="31" s="1"/>
  <c r="X272" i="31" a="1"/>
  <c r="X272" i="31" s="1"/>
  <c r="W271" i="31" a="1"/>
  <c r="W271" i="31" s="1"/>
  <c r="Z271" i="31" s="1" a="1"/>
  <c r="Z271" i="31" s="1"/>
  <c r="X271" i="31" a="1"/>
  <c r="X271" i="31" s="1"/>
  <c r="W270" i="31" a="1"/>
  <c r="W270" i="31" s="1"/>
  <c r="Z270" i="31" s="1" a="1"/>
  <c r="Z270" i="31" s="1"/>
  <c r="X270" i="31" a="1"/>
  <c r="X270" i="31" s="1"/>
  <c r="W269" i="31" a="1"/>
  <c r="W269" i="31" s="1"/>
  <c r="Z269" i="31" s="1" a="1"/>
  <c r="Z269" i="31" s="1"/>
  <c r="X269" i="31" a="1"/>
  <c r="X269" i="31" s="1"/>
  <c r="W268" i="31" a="1"/>
  <c r="W268" i="31" s="1"/>
  <c r="Z268" i="31" s="1" a="1"/>
  <c r="Z268" i="31" s="1"/>
  <c r="X268" i="31" a="1"/>
  <c r="X268" i="31" s="1"/>
  <c r="W267" i="31" a="1"/>
  <c r="W267" i="31" s="1"/>
  <c r="Z267" i="31" s="1" a="1"/>
  <c r="Z267" i="31" s="1"/>
  <c r="X267" i="31" a="1"/>
  <c r="X267" i="31" s="1"/>
  <c r="W266" i="31" a="1"/>
  <c r="W266" i="31" s="1"/>
  <c r="Z266" i="31" s="1" a="1"/>
  <c r="Z266" i="31" s="1"/>
  <c r="X266" i="31" a="1"/>
  <c r="X266" i="31" s="1"/>
  <c r="W265" i="31" a="1"/>
  <c r="W265" i="31" s="1"/>
  <c r="Z265" i="31" s="1" a="1"/>
  <c r="Z265" i="31" s="1"/>
  <c r="X265" i="31" a="1"/>
  <c r="X265" i="31" s="1"/>
  <c r="W264" i="31" a="1"/>
  <c r="W264" i="31" s="1"/>
  <c r="Z264" i="31" s="1" a="1"/>
  <c r="Z264" i="31" s="1"/>
  <c r="X264" i="31" a="1"/>
  <c r="X264" i="31" s="1"/>
  <c r="W263" i="31" a="1"/>
  <c r="W263" i="31" s="1"/>
  <c r="Z263" i="31" s="1" a="1"/>
  <c r="Z263" i="31" s="1"/>
  <c r="X263" i="31" a="1"/>
  <c r="X263" i="31" s="1"/>
  <c r="W262" i="31" a="1"/>
  <c r="W262" i="31" s="1"/>
  <c r="Z262" i="31" s="1" a="1"/>
  <c r="Z262" i="31" s="1"/>
  <c r="X262" i="31" a="1"/>
  <c r="X262" i="31" s="1"/>
  <c r="W261" i="31" a="1"/>
  <c r="W261" i="31" s="1"/>
  <c r="Z261" i="31" s="1" a="1"/>
  <c r="Z261" i="31" s="1"/>
  <c r="X261" i="31" a="1"/>
  <c r="X261" i="31" s="1"/>
  <c r="W260" i="31" a="1"/>
  <c r="W260" i="31" s="1"/>
  <c r="Z260" i="31" s="1" a="1"/>
  <c r="Z260" i="31" s="1"/>
  <c r="X260" i="31" a="1"/>
  <c r="X260" i="31" s="1"/>
  <c r="W259" i="31" a="1"/>
  <c r="W259" i="31" s="1"/>
  <c r="Z259" i="31" s="1" a="1"/>
  <c r="Z259" i="31" s="1"/>
  <c r="X259" i="31" a="1"/>
  <c r="X259" i="31" s="1"/>
  <c r="W258" i="31" a="1"/>
  <c r="W258" i="31" s="1"/>
  <c r="Z258" i="31" s="1" a="1"/>
  <c r="Z258" i="31" s="1"/>
  <c r="X258" i="31" a="1"/>
  <c r="X258" i="31" s="1"/>
  <c r="W257" i="31" a="1"/>
  <c r="W257" i="31" s="1"/>
  <c r="Z257" i="31" s="1" a="1"/>
  <c r="Z257" i="31" s="1"/>
  <c r="X257" i="31" a="1"/>
  <c r="X257" i="31" s="1"/>
  <c r="W256" i="31" a="1"/>
  <c r="W256" i="31" s="1"/>
  <c r="Z256" i="31" s="1" a="1"/>
  <c r="Z256" i="31" s="1"/>
  <c r="X256" i="31" a="1"/>
  <c r="X256" i="31" s="1"/>
  <c r="W255" i="31" a="1"/>
  <c r="W255" i="31" s="1"/>
  <c r="Z255" i="31" s="1" a="1"/>
  <c r="Z255" i="31" s="1"/>
  <c r="X255" i="31" a="1"/>
  <c r="X255" i="31" s="1"/>
  <c r="W254" i="31" a="1"/>
  <c r="W254" i="31" s="1"/>
  <c r="Z254" i="31" s="1" a="1"/>
  <c r="Z254" i="31" s="1"/>
  <c r="X254" i="31" a="1"/>
  <c r="X254" i="31" s="1"/>
  <c r="W253" i="31" a="1"/>
  <c r="W253" i="31" s="1"/>
  <c r="Z253" i="31" s="1" a="1"/>
  <c r="Z253" i="31" s="1"/>
  <c r="X253" i="31" a="1"/>
  <c r="X253" i="31" s="1"/>
  <c r="W252" i="31" a="1"/>
  <c r="W252" i="31" s="1"/>
  <c r="Z252" i="31" s="1" a="1"/>
  <c r="Z252" i="31" s="1"/>
  <c r="X252" i="31" a="1"/>
  <c r="X252" i="31" s="1"/>
  <c r="W251" i="31" a="1"/>
  <c r="W251" i="31" s="1"/>
  <c r="Z251" i="31" s="1" a="1"/>
  <c r="Z251" i="31" s="1"/>
  <c r="X251" i="31" a="1"/>
  <c r="X251" i="31" s="1"/>
  <c r="W250" i="31" a="1"/>
  <c r="W250" i="31" s="1"/>
  <c r="Z250" i="31" s="1" a="1"/>
  <c r="Z250" i="31" s="1"/>
  <c r="X250" i="31" a="1"/>
  <c r="X250" i="31" s="1"/>
  <c r="W249" i="31" a="1"/>
  <c r="W249" i="31" s="1"/>
  <c r="Z249" i="31" s="1" a="1"/>
  <c r="Z249" i="31" s="1"/>
  <c r="X249" i="31" a="1"/>
  <c r="X249" i="31" s="1"/>
  <c r="W248" i="31" a="1"/>
  <c r="W248" i="31" s="1"/>
  <c r="Z248" i="31" s="1" a="1"/>
  <c r="Z248" i="31" s="1"/>
  <c r="X248" i="31" a="1"/>
  <c r="X248" i="31" s="1"/>
  <c r="W247" i="31" a="1"/>
  <c r="W247" i="31" s="1"/>
  <c r="Z247" i="31" s="1" a="1"/>
  <c r="Z247" i="31" s="1"/>
  <c r="X247" i="31" a="1"/>
  <c r="X247" i="31" s="1"/>
  <c r="W246" i="31" a="1"/>
  <c r="W246" i="31" s="1"/>
  <c r="Z246" i="31" s="1" a="1"/>
  <c r="Z246" i="31" s="1"/>
  <c r="X246" i="31" a="1"/>
  <c r="X246" i="31" s="1"/>
  <c r="W245" i="31" a="1"/>
  <c r="W245" i="31" s="1"/>
  <c r="Z245" i="31" s="1" a="1"/>
  <c r="Z245" i="31" s="1"/>
  <c r="X245" i="31" a="1"/>
  <c r="X245" i="31" s="1"/>
  <c r="W244" i="31" a="1"/>
  <c r="W244" i="31" s="1"/>
  <c r="Z244" i="31" s="1" a="1"/>
  <c r="Z244" i="31" s="1"/>
  <c r="X244" i="31" a="1"/>
  <c r="X244" i="31" s="1"/>
  <c r="W243" i="31" a="1"/>
  <c r="W243" i="31" s="1"/>
  <c r="Z243" i="31" s="1" a="1"/>
  <c r="Z243" i="31" s="1"/>
  <c r="X243" i="31" a="1"/>
  <c r="X243" i="31" s="1"/>
  <c r="W242" i="31" a="1"/>
  <c r="W242" i="31" s="1"/>
  <c r="Z242" i="31" s="1" a="1"/>
  <c r="Z242" i="31" s="1"/>
  <c r="X242" i="31" a="1"/>
  <c r="X242" i="31" s="1"/>
  <c r="W241" i="31" a="1"/>
  <c r="W241" i="31" s="1"/>
  <c r="Z241" i="31" s="1" a="1"/>
  <c r="Z241" i="31" s="1"/>
  <c r="X241" i="31" a="1"/>
  <c r="X241" i="31" s="1"/>
  <c r="W240" i="31" a="1"/>
  <c r="W240" i="31" s="1"/>
  <c r="Z240" i="31" s="1" a="1"/>
  <c r="Z240" i="31" s="1"/>
  <c r="X240" i="31" a="1"/>
  <c r="X240" i="31" s="1"/>
  <c r="W239" i="31" a="1"/>
  <c r="W239" i="31" s="1"/>
  <c r="Z239" i="31" s="1" a="1"/>
  <c r="Z239" i="31" s="1"/>
  <c r="X239" i="31" a="1"/>
  <c r="X239" i="31" s="1"/>
  <c r="W238" i="31" a="1"/>
  <c r="W238" i="31" s="1"/>
  <c r="Z238" i="31" s="1" a="1"/>
  <c r="Z238" i="31" s="1"/>
  <c r="X238" i="31" a="1"/>
  <c r="X238" i="31" s="1"/>
  <c r="W237" i="31" a="1"/>
  <c r="W237" i="31" s="1"/>
  <c r="Z237" i="31" s="1" a="1"/>
  <c r="Z237" i="31" s="1"/>
  <c r="X237" i="31" a="1"/>
  <c r="X237" i="31" s="1"/>
  <c r="W236" i="31" a="1"/>
  <c r="W236" i="31" s="1"/>
  <c r="Z236" i="31" s="1" a="1"/>
  <c r="Z236" i="31" s="1"/>
  <c r="X236" i="31" a="1"/>
  <c r="X236" i="31" s="1"/>
  <c r="W235" i="31" a="1"/>
  <c r="W235" i="31" s="1"/>
  <c r="Z235" i="31" s="1" a="1"/>
  <c r="Z235" i="31" s="1"/>
  <c r="X235" i="31" a="1"/>
  <c r="X235" i="31" s="1"/>
  <c r="W234" i="31" a="1"/>
  <c r="W234" i="31" s="1"/>
  <c r="Z234" i="31" s="1" a="1"/>
  <c r="Z234" i="31" s="1"/>
  <c r="X234" i="31" a="1"/>
  <c r="X234" i="31" s="1"/>
  <c r="W233" i="31" a="1"/>
  <c r="W233" i="31" s="1"/>
  <c r="Z233" i="31" s="1" a="1"/>
  <c r="Z233" i="31" s="1"/>
  <c r="X233" i="31" a="1"/>
  <c r="X233" i="31" s="1"/>
  <c r="W232" i="31" a="1"/>
  <c r="W232" i="31" s="1"/>
  <c r="Z232" i="31" s="1" a="1"/>
  <c r="Z232" i="31" s="1"/>
  <c r="X232" i="31" a="1"/>
  <c r="X232" i="31" s="1"/>
  <c r="W231" i="31" a="1"/>
  <c r="W231" i="31" s="1"/>
  <c r="Z231" i="31" s="1" a="1"/>
  <c r="Z231" i="31" s="1"/>
  <c r="X231" i="31" a="1"/>
  <c r="X231" i="31" s="1"/>
  <c r="W230" i="31" a="1"/>
  <c r="W230" i="31" s="1"/>
  <c r="Z230" i="31" s="1" a="1"/>
  <c r="Z230" i="31" s="1"/>
  <c r="X230" i="31" a="1"/>
  <c r="X230" i="31" s="1"/>
  <c r="W229" i="31" a="1"/>
  <c r="W229" i="31" s="1"/>
  <c r="Z229" i="31" s="1" a="1"/>
  <c r="Z229" i="31" s="1"/>
  <c r="X229" i="31" a="1"/>
  <c r="X229" i="31" s="1"/>
  <c r="W228" i="31" a="1"/>
  <c r="W228" i="31" s="1"/>
  <c r="Z228" i="31" s="1" a="1"/>
  <c r="Z228" i="31" s="1"/>
  <c r="X228" i="31" a="1"/>
  <c r="X228" i="31" s="1"/>
  <c r="W227" i="31" a="1"/>
  <c r="W227" i="31" s="1"/>
  <c r="Z227" i="31" s="1" a="1"/>
  <c r="Z227" i="31" s="1"/>
  <c r="X227" i="31" a="1"/>
  <c r="X227" i="31" s="1"/>
  <c r="W226" i="31" a="1"/>
  <c r="W226" i="31" s="1"/>
  <c r="Z226" i="31" s="1" a="1"/>
  <c r="Z226" i="31" s="1"/>
  <c r="X226" i="31" a="1"/>
  <c r="X226" i="31" s="1"/>
  <c r="W225" i="31" a="1"/>
  <c r="W225" i="31" s="1"/>
  <c r="Z225" i="31" s="1" a="1"/>
  <c r="Z225" i="31" s="1"/>
  <c r="X225" i="31" a="1"/>
  <c r="X225" i="31" s="1"/>
  <c r="W224" i="31" a="1"/>
  <c r="W224" i="31" s="1"/>
  <c r="Z224" i="31" s="1" a="1"/>
  <c r="Z224" i="31" s="1"/>
  <c r="X224" i="31" a="1"/>
  <c r="X224" i="31" s="1"/>
  <c r="W223" i="31" a="1"/>
  <c r="W223" i="31" s="1"/>
  <c r="Z223" i="31" s="1" a="1"/>
  <c r="Z223" i="31" s="1"/>
  <c r="X223" i="31" a="1"/>
  <c r="X223" i="31" s="1"/>
  <c r="W222" i="31" a="1"/>
  <c r="W222" i="31" s="1"/>
  <c r="Z222" i="31" s="1" a="1"/>
  <c r="Z222" i="31" s="1"/>
  <c r="X222" i="31" a="1"/>
  <c r="X222" i="31" s="1"/>
  <c r="W221" i="31" a="1"/>
  <c r="W221" i="31" s="1"/>
  <c r="Z221" i="31" s="1" a="1"/>
  <c r="Z221" i="31" s="1"/>
  <c r="X221" i="31" a="1"/>
  <c r="X221" i="31" s="1"/>
  <c r="W220" i="31" a="1"/>
  <c r="W220" i="31" s="1"/>
  <c r="Z220" i="31" s="1" a="1"/>
  <c r="Z220" i="31" s="1"/>
  <c r="X220" i="31" a="1"/>
  <c r="X220" i="31" s="1"/>
  <c r="W219" i="31" a="1"/>
  <c r="W219" i="31" s="1"/>
  <c r="Z219" i="31" s="1" a="1"/>
  <c r="Z219" i="31" s="1"/>
  <c r="X219" i="31" a="1"/>
  <c r="X219" i="31" s="1"/>
  <c r="W218" i="31" a="1"/>
  <c r="W218" i="31" s="1"/>
  <c r="Z218" i="31" s="1" a="1"/>
  <c r="Z218" i="31" s="1"/>
  <c r="X218" i="31" a="1"/>
  <c r="X218" i="31" s="1"/>
  <c r="W217" i="31" a="1"/>
  <c r="W217" i="31" s="1"/>
  <c r="Z217" i="31" s="1" a="1"/>
  <c r="Z217" i="31" s="1"/>
  <c r="X217" i="31" a="1"/>
  <c r="X217" i="31" s="1"/>
  <c r="W216" i="31" a="1"/>
  <c r="W216" i="31" s="1"/>
  <c r="Z216" i="31" s="1" a="1"/>
  <c r="Z216" i="31" s="1"/>
  <c r="X216" i="31" a="1"/>
  <c r="X216" i="31" s="1"/>
  <c r="W215" i="31" a="1"/>
  <c r="W215" i="31" s="1"/>
  <c r="Z215" i="31" s="1" a="1"/>
  <c r="Z215" i="31" s="1"/>
  <c r="X215" i="31" a="1"/>
  <c r="X215" i="31" s="1"/>
  <c r="W214" i="31" a="1"/>
  <c r="W214" i="31" s="1"/>
  <c r="Z214" i="31" s="1" a="1"/>
  <c r="Z214" i="31" s="1"/>
  <c r="X214" i="31" a="1"/>
  <c r="X214" i="31" s="1"/>
  <c r="W213" i="31" a="1"/>
  <c r="W213" i="31" s="1"/>
  <c r="Z213" i="31" s="1" a="1"/>
  <c r="Z213" i="31" s="1"/>
  <c r="X213" i="31" a="1"/>
  <c r="X213" i="31" s="1"/>
  <c r="W212" i="31" a="1"/>
  <c r="W212" i="31" s="1"/>
  <c r="Z212" i="31" s="1" a="1"/>
  <c r="Z212" i="31" s="1"/>
  <c r="X212" i="31" a="1"/>
  <c r="X212" i="31" s="1"/>
  <c r="W211" i="31" a="1"/>
  <c r="W211" i="31" s="1"/>
  <c r="Z211" i="31" s="1" a="1"/>
  <c r="Z211" i="31" s="1"/>
  <c r="X211" i="31" a="1"/>
  <c r="X211" i="31" s="1"/>
  <c r="W210" i="31" a="1"/>
  <c r="W210" i="31" s="1"/>
  <c r="Z210" i="31" s="1" a="1"/>
  <c r="Z210" i="31" s="1"/>
  <c r="X210" i="31" a="1"/>
  <c r="X210" i="31" s="1"/>
  <c r="W209" i="31" a="1"/>
  <c r="W209" i="31" s="1"/>
  <c r="Z209" i="31" s="1" a="1"/>
  <c r="Z209" i="31" s="1"/>
  <c r="X209" i="31" a="1"/>
  <c r="X209" i="31" s="1"/>
  <c r="W208" i="31" a="1"/>
  <c r="W208" i="31" s="1"/>
  <c r="Z208" i="31" s="1" a="1"/>
  <c r="Z208" i="31" s="1"/>
  <c r="X208" i="31" a="1"/>
  <c r="X208" i="31" s="1"/>
  <c r="W207" i="31" a="1"/>
  <c r="W207" i="31" s="1"/>
  <c r="Z207" i="31" s="1" a="1"/>
  <c r="Z207" i="31" s="1"/>
  <c r="X207" i="31" a="1"/>
  <c r="X207" i="31" s="1"/>
  <c r="W206" i="31" a="1"/>
  <c r="W206" i="31" s="1"/>
  <c r="Z206" i="31" s="1" a="1"/>
  <c r="Z206" i="31" s="1"/>
  <c r="X206" i="31" a="1"/>
  <c r="X206" i="31" s="1"/>
  <c r="W205" i="31" a="1"/>
  <c r="W205" i="31" s="1"/>
  <c r="Z205" i="31" s="1" a="1"/>
  <c r="Z205" i="31" s="1"/>
  <c r="X205" i="31" a="1"/>
  <c r="X205" i="31" s="1"/>
  <c r="W204" i="31" a="1"/>
  <c r="W204" i="31" s="1"/>
  <c r="Z204" i="31" s="1" a="1"/>
  <c r="Z204" i="31" s="1"/>
  <c r="X204" i="31" a="1"/>
  <c r="X204" i="31" s="1"/>
  <c r="W203" i="31" a="1"/>
  <c r="W203" i="31" s="1"/>
  <c r="Z203" i="31" s="1" a="1"/>
  <c r="Z203" i="31" s="1"/>
  <c r="X203" i="31" a="1"/>
  <c r="X203" i="31" s="1"/>
  <c r="W202" i="31" a="1"/>
  <c r="W202" i="31" s="1"/>
  <c r="Z202" i="31" s="1" a="1"/>
  <c r="Z202" i="31" s="1"/>
  <c r="X202" i="31" a="1"/>
  <c r="X202" i="31" s="1"/>
  <c r="W201" i="31" a="1"/>
  <c r="W201" i="31" s="1"/>
  <c r="Z201" i="31" s="1" a="1"/>
  <c r="Z201" i="31" s="1"/>
  <c r="X201" i="31" a="1"/>
  <c r="X201" i="31" s="1"/>
  <c r="W200" i="31" a="1"/>
  <c r="W200" i="31" s="1"/>
  <c r="Z200" i="31" s="1" a="1"/>
  <c r="Z200" i="31" s="1"/>
  <c r="X200" i="31" a="1"/>
  <c r="X200" i="31" s="1"/>
  <c r="W199" i="31" a="1"/>
  <c r="W199" i="31" s="1"/>
  <c r="Z199" i="31" s="1" a="1"/>
  <c r="Z199" i="31" s="1"/>
  <c r="X199" i="31" a="1"/>
  <c r="X199" i="31" s="1"/>
  <c r="W198" i="31" a="1"/>
  <c r="W198" i="31" s="1"/>
  <c r="Z198" i="31" s="1" a="1"/>
  <c r="Z198" i="31" s="1"/>
  <c r="X198" i="31" a="1"/>
  <c r="X198" i="31" s="1"/>
  <c r="W197" i="31" a="1"/>
  <c r="W197" i="31" s="1"/>
  <c r="Z197" i="31" s="1" a="1"/>
  <c r="Z197" i="31" s="1"/>
  <c r="X197" i="31" a="1"/>
  <c r="X197" i="31" s="1"/>
  <c r="W196" i="31" a="1"/>
  <c r="W196" i="31" s="1"/>
  <c r="Z196" i="31" s="1" a="1"/>
  <c r="Z196" i="31" s="1"/>
  <c r="X196" i="31" a="1"/>
  <c r="X196" i="31" s="1"/>
  <c r="W195" i="31" a="1"/>
  <c r="W195" i="31" s="1"/>
  <c r="Z195" i="31" s="1" a="1"/>
  <c r="Z195" i="31" s="1"/>
  <c r="X195" i="31" a="1"/>
  <c r="X195" i="31" s="1"/>
  <c r="W194" i="31" a="1"/>
  <c r="W194" i="31" s="1"/>
  <c r="Z194" i="31" s="1" a="1"/>
  <c r="Z194" i="31" s="1"/>
  <c r="X194" i="31" a="1"/>
  <c r="X194" i="31" s="1"/>
  <c r="W193" i="31" a="1"/>
  <c r="W193" i="31" s="1"/>
  <c r="Z193" i="31" s="1" a="1"/>
  <c r="Z193" i="31" s="1"/>
  <c r="X193" i="31" a="1"/>
  <c r="X193" i="31" s="1"/>
  <c r="W192" i="31" a="1"/>
  <c r="W192" i="31" s="1"/>
  <c r="Z192" i="31" s="1" a="1"/>
  <c r="Z192" i="31" s="1"/>
  <c r="X192" i="31" a="1"/>
  <c r="X192" i="31" s="1"/>
  <c r="W191" i="31" a="1"/>
  <c r="W191" i="31" s="1"/>
  <c r="Z191" i="31" s="1" a="1"/>
  <c r="Z191" i="31" s="1"/>
  <c r="X191" i="31" a="1"/>
  <c r="X191" i="31" s="1"/>
  <c r="W190" i="31" a="1"/>
  <c r="W190" i="31" s="1"/>
  <c r="Z190" i="31" s="1" a="1"/>
  <c r="Z190" i="31" s="1"/>
  <c r="X190" i="31" a="1"/>
  <c r="X190" i="31" s="1"/>
  <c r="W189" i="31" a="1"/>
  <c r="W189" i="31" s="1"/>
  <c r="Z189" i="31" s="1" a="1"/>
  <c r="Z189" i="31" s="1"/>
  <c r="X189" i="31" a="1"/>
  <c r="X189" i="31" s="1"/>
  <c r="W188" i="31" a="1"/>
  <c r="W188" i="31" s="1"/>
  <c r="Z188" i="31" s="1" a="1"/>
  <c r="Z188" i="31" s="1"/>
  <c r="X188" i="31" a="1"/>
  <c r="X188" i="31" s="1"/>
  <c r="W187" i="31" a="1"/>
  <c r="W187" i="31" s="1"/>
  <c r="Z187" i="31" s="1" a="1"/>
  <c r="Z187" i="31" s="1"/>
  <c r="X187" i="31" a="1"/>
  <c r="X187" i="31" s="1"/>
  <c r="W186" i="31" a="1"/>
  <c r="W186" i="31" s="1"/>
  <c r="Z186" i="31" s="1" a="1"/>
  <c r="Z186" i="31" s="1"/>
  <c r="X186" i="31" a="1"/>
  <c r="X186" i="31" s="1"/>
  <c r="W185" i="31" a="1"/>
  <c r="W185" i="31" s="1"/>
  <c r="Z185" i="31" s="1" a="1"/>
  <c r="Z185" i="31" s="1"/>
  <c r="X185" i="31" a="1"/>
  <c r="X185" i="31" s="1"/>
  <c r="W184" i="31" a="1"/>
  <c r="W184" i="31" s="1"/>
  <c r="Z184" i="31" s="1" a="1"/>
  <c r="Z184" i="31" s="1"/>
  <c r="X184" i="31" a="1"/>
  <c r="X184" i="31" s="1"/>
  <c r="W183" i="31" a="1"/>
  <c r="W183" i="31" s="1"/>
  <c r="Z183" i="31" s="1" a="1"/>
  <c r="Z183" i="31" s="1"/>
  <c r="X183" i="31" a="1"/>
  <c r="X183" i="31" s="1"/>
  <c r="W182" i="31" a="1"/>
  <c r="W182" i="31" s="1"/>
  <c r="Z182" i="31" s="1" a="1"/>
  <c r="Z182" i="31" s="1"/>
  <c r="X182" i="31" a="1"/>
  <c r="X182" i="31" s="1"/>
  <c r="W181" i="31" a="1"/>
  <c r="W181" i="31" s="1"/>
  <c r="Z181" i="31" s="1" a="1"/>
  <c r="Z181" i="31" s="1"/>
  <c r="X181" i="31" a="1"/>
  <c r="X181" i="31" s="1"/>
  <c r="W180" i="31" a="1"/>
  <c r="W180" i="31" s="1"/>
  <c r="Z180" i="31" s="1" a="1"/>
  <c r="Z180" i="31" s="1"/>
  <c r="X180" i="31" a="1"/>
  <c r="X180" i="31" s="1"/>
  <c r="W179" i="31" a="1"/>
  <c r="W179" i="31" s="1"/>
  <c r="Z179" i="31" s="1" a="1"/>
  <c r="Z179" i="31" s="1"/>
  <c r="X179" i="31" a="1"/>
  <c r="X179" i="31" s="1"/>
  <c r="W178" i="31" a="1"/>
  <c r="W178" i="31" s="1"/>
  <c r="Z178" i="31" s="1" a="1"/>
  <c r="Z178" i="31" s="1"/>
  <c r="X178" i="31" a="1"/>
  <c r="X178" i="31" s="1"/>
  <c r="W177" i="31" a="1"/>
  <c r="W177" i="31" s="1"/>
  <c r="Z177" i="31" s="1" a="1"/>
  <c r="Z177" i="31" s="1"/>
  <c r="X177" i="31" a="1"/>
  <c r="X177" i="31" s="1"/>
  <c r="W176" i="31" a="1"/>
  <c r="W176" i="31" s="1"/>
  <c r="Z176" i="31" s="1" a="1"/>
  <c r="Z176" i="31" s="1"/>
  <c r="X176" i="31" a="1"/>
  <c r="X176" i="31" s="1"/>
  <c r="W175" i="31" a="1"/>
  <c r="W175" i="31" s="1"/>
  <c r="Z175" i="31" s="1" a="1"/>
  <c r="Z175" i="31" s="1"/>
  <c r="X175" i="31" a="1"/>
  <c r="X175" i="31" s="1"/>
  <c r="W174" i="31" a="1"/>
  <c r="W174" i="31" s="1"/>
  <c r="Z174" i="31" s="1" a="1"/>
  <c r="Z174" i="31" s="1"/>
  <c r="X174" i="31" a="1"/>
  <c r="X174" i="31" s="1"/>
  <c r="W173" i="31" a="1"/>
  <c r="W173" i="31" s="1"/>
  <c r="Z173" i="31" s="1" a="1"/>
  <c r="Z173" i="31" s="1"/>
  <c r="X173" i="31" a="1"/>
  <c r="X173" i="31" s="1"/>
  <c r="W172" i="31" a="1"/>
  <c r="W172" i="31" s="1"/>
  <c r="Z172" i="31" s="1" a="1"/>
  <c r="Z172" i="31" s="1"/>
  <c r="X172" i="31" a="1"/>
  <c r="X172" i="31" s="1"/>
  <c r="W171" i="31" a="1"/>
  <c r="W171" i="31" s="1"/>
  <c r="Z171" i="31" s="1" a="1"/>
  <c r="Z171" i="31" s="1"/>
  <c r="X171" i="31" a="1"/>
  <c r="X171" i="31" s="1"/>
  <c r="W170" i="31" a="1"/>
  <c r="W170" i="31" s="1"/>
  <c r="Z170" i="31" s="1" a="1"/>
  <c r="Z170" i="31" s="1"/>
  <c r="X170" i="31" a="1"/>
  <c r="X170" i="31" s="1"/>
  <c r="W169" i="31" a="1"/>
  <c r="W169" i="31" s="1"/>
  <c r="Z169" i="31" s="1" a="1"/>
  <c r="Z169" i="31" s="1"/>
  <c r="X169" i="31" a="1"/>
  <c r="X169" i="31" s="1"/>
  <c r="W168" i="31" a="1"/>
  <c r="W168" i="31" s="1"/>
  <c r="Z168" i="31" s="1" a="1"/>
  <c r="Z168" i="31" s="1"/>
  <c r="X168" i="31" a="1"/>
  <c r="X168" i="31" s="1"/>
  <c r="W167" i="31" a="1"/>
  <c r="W167" i="31" s="1"/>
  <c r="Z167" i="31" s="1" a="1"/>
  <c r="Z167" i="31" s="1"/>
  <c r="X167" i="31" a="1"/>
  <c r="X167" i="31" s="1"/>
  <c r="W166" i="31" a="1"/>
  <c r="W166" i="31" s="1"/>
  <c r="Z166" i="31" s="1" a="1"/>
  <c r="Z166" i="31" s="1"/>
  <c r="X166" i="31" a="1"/>
  <c r="X166" i="31" s="1"/>
  <c r="W165" i="31" a="1"/>
  <c r="W165" i="31" s="1"/>
  <c r="Z165" i="31" s="1" a="1"/>
  <c r="Z165" i="31" s="1"/>
  <c r="X165" i="31" a="1"/>
  <c r="X165" i="31" s="1"/>
  <c r="W164" i="31" a="1"/>
  <c r="W164" i="31" s="1"/>
  <c r="Z164" i="31" s="1" a="1"/>
  <c r="Z164" i="31" s="1"/>
  <c r="X164" i="31" a="1"/>
  <c r="X164" i="31" s="1"/>
  <c r="W163" i="31" a="1"/>
  <c r="W163" i="31" s="1"/>
  <c r="Z163" i="31" s="1" a="1"/>
  <c r="Z163" i="31" s="1"/>
  <c r="X163" i="31" a="1"/>
  <c r="X163" i="31" s="1"/>
  <c r="W162" i="31" a="1"/>
  <c r="W162" i="31" s="1"/>
  <c r="Z162" i="31" s="1" a="1"/>
  <c r="Z162" i="31" s="1"/>
  <c r="X162" i="31" a="1"/>
  <c r="X162" i="31" s="1"/>
  <c r="W161" i="31" a="1"/>
  <c r="W161" i="31" s="1"/>
  <c r="Z161" i="31" s="1" a="1"/>
  <c r="Z161" i="31" s="1"/>
  <c r="X161" i="31" a="1"/>
  <c r="X161" i="31" s="1"/>
  <c r="W160" i="31" a="1"/>
  <c r="W160" i="31" s="1"/>
  <c r="Z160" i="31" s="1" a="1"/>
  <c r="Z160" i="31" s="1"/>
  <c r="X160" i="31" a="1"/>
  <c r="X160" i="31" s="1"/>
  <c r="W159" i="31" a="1"/>
  <c r="W159" i="31" s="1"/>
  <c r="Z159" i="31" s="1" a="1"/>
  <c r="Z159" i="31" s="1"/>
  <c r="X159" i="31" a="1"/>
  <c r="X159" i="31" s="1"/>
  <c r="W158" i="31" a="1"/>
  <c r="W158" i="31" s="1"/>
  <c r="Z158" i="31" s="1" a="1"/>
  <c r="Z158" i="31" s="1"/>
  <c r="X158" i="31" a="1"/>
  <c r="X158" i="31" s="1"/>
  <c r="W157" i="31" a="1"/>
  <c r="W157" i="31" s="1"/>
  <c r="Z157" i="31" s="1" a="1"/>
  <c r="Z157" i="31" s="1"/>
  <c r="X157" i="31" a="1"/>
  <c r="X157" i="31" s="1"/>
  <c r="W156" i="31" a="1"/>
  <c r="W156" i="31" s="1"/>
  <c r="Z156" i="31" s="1" a="1"/>
  <c r="Z156" i="31" s="1"/>
  <c r="X156" i="31" a="1"/>
  <c r="X156" i="31" s="1"/>
  <c r="W155" i="31" a="1"/>
  <c r="W155" i="31" s="1"/>
  <c r="Z155" i="31" s="1" a="1"/>
  <c r="Z155" i="31" s="1"/>
  <c r="X155" i="31" a="1"/>
  <c r="X155" i="31" s="1"/>
  <c r="W154" i="31" a="1"/>
  <c r="W154" i="31" s="1"/>
  <c r="Z154" i="31" s="1" a="1"/>
  <c r="Z154" i="31" s="1"/>
  <c r="X154" i="31" a="1"/>
  <c r="X154" i="31" s="1"/>
  <c r="W153" i="31" a="1"/>
  <c r="W153" i="31" s="1"/>
  <c r="Z153" i="31" s="1" a="1"/>
  <c r="Z153" i="31" s="1"/>
  <c r="X153" i="31" a="1"/>
  <c r="X153" i="31" s="1"/>
  <c r="W152" i="31" a="1"/>
  <c r="W152" i="31" s="1"/>
  <c r="Z152" i="31" s="1" a="1"/>
  <c r="Z152" i="31" s="1"/>
  <c r="X152" i="31" a="1"/>
  <c r="X152" i="31" s="1"/>
  <c r="W151" i="31" a="1"/>
  <c r="W151" i="31" s="1"/>
  <c r="Z151" i="31" s="1" a="1"/>
  <c r="Z151" i="31" s="1"/>
  <c r="X151" i="31" a="1"/>
  <c r="X151" i="31" s="1"/>
  <c r="W150" i="31" a="1"/>
  <c r="W150" i="31" s="1"/>
  <c r="Z150" i="31" s="1" a="1"/>
  <c r="Z150" i="31" s="1"/>
  <c r="X150" i="31" a="1"/>
  <c r="X150" i="31" s="1"/>
  <c r="W149" i="31" a="1"/>
  <c r="W149" i="31" s="1"/>
  <c r="Z149" i="31" s="1" a="1"/>
  <c r="Z149" i="31" s="1"/>
  <c r="X149" i="31" a="1"/>
  <c r="X149" i="31" s="1"/>
  <c r="W148" i="31" a="1"/>
  <c r="W148" i="31" s="1"/>
  <c r="Z148" i="31" s="1" a="1"/>
  <c r="Z148" i="31" s="1"/>
  <c r="X148" i="31" a="1"/>
  <c r="X148" i="31" s="1"/>
  <c r="W147" i="31" a="1"/>
  <c r="W147" i="31" s="1"/>
  <c r="Z147" i="31" s="1" a="1"/>
  <c r="Z147" i="31" s="1"/>
  <c r="X147" i="31" a="1"/>
  <c r="X147" i="31" s="1"/>
  <c r="W146" i="31" a="1"/>
  <c r="W146" i="31" s="1"/>
  <c r="Z146" i="31" s="1" a="1"/>
  <c r="Z146" i="31" s="1"/>
  <c r="X146" i="31" a="1"/>
  <c r="X146" i="31" s="1"/>
  <c r="W145" i="31" a="1"/>
  <c r="W145" i="31" s="1"/>
  <c r="Z145" i="31" s="1" a="1"/>
  <c r="Z145" i="31" s="1"/>
  <c r="X145" i="31" a="1"/>
  <c r="X145" i="31" s="1"/>
  <c r="W144" i="31" a="1"/>
  <c r="W144" i="31" s="1"/>
  <c r="Z144" i="31" s="1" a="1"/>
  <c r="Z144" i="31" s="1"/>
  <c r="X144" i="31" a="1"/>
  <c r="X144" i="31" s="1"/>
  <c r="W143" i="31" a="1"/>
  <c r="W143" i="31" s="1"/>
  <c r="Z143" i="31" s="1" a="1"/>
  <c r="Z143" i="31" s="1"/>
  <c r="X143" i="31" a="1"/>
  <c r="X143" i="31" s="1"/>
  <c r="W142" i="31" a="1"/>
  <c r="W142" i="31" s="1"/>
  <c r="Z142" i="31" s="1" a="1"/>
  <c r="Z142" i="31" s="1"/>
  <c r="X142" i="31" a="1"/>
  <c r="X142" i="31" s="1"/>
  <c r="W141" i="31" a="1"/>
  <c r="W141" i="31" s="1"/>
  <c r="Z141" i="31" s="1" a="1"/>
  <c r="Z141" i="31" s="1"/>
  <c r="X141" i="31" a="1"/>
  <c r="X141" i="31" s="1"/>
  <c r="W140" i="31" a="1"/>
  <c r="W140" i="31" s="1"/>
  <c r="Z140" i="31" s="1" a="1"/>
  <c r="Z140" i="31" s="1"/>
  <c r="X140" i="31" a="1"/>
  <c r="X140" i="31" s="1"/>
  <c r="W139" i="31" a="1"/>
  <c r="W139" i="31" s="1"/>
  <c r="Z139" i="31" s="1" a="1"/>
  <c r="Z139" i="31" s="1"/>
  <c r="X139" i="31" a="1"/>
  <c r="X139" i="31" s="1"/>
  <c r="W138" i="31" a="1"/>
  <c r="W138" i="31" s="1"/>
  <c r="Z138" i="31" s="1" a="1"/>
  <c r="Z138" i="31" s="1"/>
  <c r="X138" i="31" a="1"/>
  <c r="X138" i="31" s="1"/>
  <c r="W137" i="31" a="1"/>
  <c r="W137" i="31" s="1"/>
  <c r="Z137" i="31" s="1" a="1"/>
  <c r="Z137" i="31" s="1"/>
  <c r="X137" i="31" a="1"/>
  <c r="X137" i="31" s="1"/>
  <c r="W136" i="31" a="1"/>
  <c r="W136" i="31" s="1"/>
  <c r="Z136" i="31" s="1" a="1"/>
  <c r="Z136" i="31" s="1"/>
  <c r="X136" i="31" a="1"/>
  <c r="X136" i="31" s="1"/>
  <c r="W135" i="31" a="1"/>
  <c r="W135" i="31" s="1"/>
  <c r="Z135" i="31" s="1" a="1"/>
  <c r="Z135" i="31" s="1"/>
  <c r="X135" i="31" a="1"/>
  <c r="X135" i="31" s="1"/>
  <c r="W134" i="31" a="1"/>
  <c r="W134" i="31" s="1"/>
  <c r="Z134" i="31" s="1" a="1"/>
  <c r="Z134" i="31" s="1"/>
  <c r="X134" i="31" a="1"/>
  <c r="X134" i="31" s="1"/>
  <c r="W133" i="31" a="1"/>
  <c r="W133" i="31" s="1"/>
  <c r="Z133" i="31" s="1" a="1"/>
  <c r="Z133" i="31" s="1"/>
  <c r="X133" i="31" a="1"/>
  <c r="X133" i="31" s="1"/>
  <c r="W132" i="31" a="1"/>
  <c r="W132" i="31" s="1"/>
  <c r="Z132" i="31" s="1" a="1"/>
  <c r="Z132" i="31" s="1"/>
  <c r="X132" i="31" a="1"/>
  <c r="X132" i="31" s="1"/>
  <c r="W131" i="31" a="1"/>
  <c r="W131" i="31" s="1"/>
  <c r="Z131" i="31" s="1" a="1"/>
  <c r="Z131" i="31" s="1"/>
  <c r="X131" i="31" a="1"/>
  <c r="X131" i="31" s="1"/>
  <c r="W130" i="31" a="1"/>
  <c r="W130" i="31" s="1"/>
  <c r="Z130" i="31" s="1" a="1"/>
  <c r="Z130" i="31" s="1"/>
  <c r="X130" i="31" a="1"/>
  <c r="X130" i="31" s="1"/>
  <c r="W129" i="31" a="1"/>
  <c r="W129" i="31" s="1"/>
  <c r="Z129" i="31" s="1" a="1"/>
  <c r="Z129" i="31" s="1"/>
  <c r="X129" i="31" a="1"/>
  <c r="X129" i="31" s="1"/>
  <c r="W128" i="31" a="1"/>
  <c r="W128" i="31" s="1"/>
  <c r="Z128" i="31" s="1" a="1"/>
  <c r="Z128" i="31" s="1"/>
  <c r="X128" i="31" a="1"/>
  <c r="X128" i="31" s="1"/>
  <c r="W127" i="31" a="1"/>
  <c r="W127" i="31" s="1"/>
  <c r="Z127" i="31" s="1" a="1"/>
  <c r="Z127" i="31" s="1"/>
  <c r="X127" i="31" a="1"/>
  <c r="X127" i="31" s="1"/>
  <c r="W126" i="31" a="1"/>
  <c r="W126" i="31" s="1"/>
  <c r="Z126" i="31" s="1" a="1"/>
  <c r="Z126" i="31" s="1"/>
  <c r="X126" i="31" a="1"/>
  <c r="X126" i="31" s="1"/>
  <c r="W125" i="31" a="1"/>
  <c r="W125" i="31" s="1"/>
  <c r="Z125" i="31" s="1" a="1"/>
  <c r="Z125" i="31" s="1"/>
  <c r="W124" i="31" a="1"/>
  <c r="W124" i="31" s="1"/>
  <c r="Z124" i="31" s="1" a="1"/>
  <c r="Z124" i="31" s="1"/>
  <c r="X124" i="31" a="1"/>
  <c r="X124" i="31" s="1"/>
  <c r="W123" i="31" a="1"/>
  <c r="W123" i="31" s="1"/>
  <c r="Z123" i="31" s="1" a="1"/>
  <c r="Z123" i="31" s="1"/>
  <c r="X123" i="31" a="1"/>
  <c r="X123" i="31" s="1"/>
  <c r="W122" i="31" a="1"/>
  <c r="W122" i="31" s="1"/>
  <c r="Z122" i="31" s="1" a="1"/>
  <c r="Z122" i="31" s="1"/>
  <c r="X122" i="31" a="1"/>
  <c r="X122" i="31" s="1"/>
  <c r="W121" i="31" a="1"/>
  <c r="W121" i="31" s="1"/>
  <c r="Z121" i="31" s="1" a="1"/>
  <c r="Z121" i="31" s="1"/>
  <c r="W120" i="31" a="1"/>
  <c r="W120" i="31" s="1"/>
  <c r="Z120" i="31" s="1" a="1"/>
  <c r="Z120" i="31" s="1"/>
  <c r="W119" i="31" a="1"/>
  <c r="W119" i="31" s="1"/>
  <c r="Z119" i="31" s="1" a="1"/>
  <c r="Z119" i="31" s="1"/>
  <c r="X119" i="31" a="1"/>
  <c r="X119" i="31" s="1"/>
  <c r="W118" i="31" a="1"/>
  <c r="W118" i="31" s="1"/>
  <c r="Z118" i="31" s="1" a="1"/>
  <c r="Z118" i="31" s="1"/>
  <c r="X118" i="31" a="1"/>
  <c r="X118" i="31" s="1"/>
  <c r="W117" i="31" a="1"/>
  <c r="W117" i="31" s="1"/>
  <c r="Z117" i="31" s="1" a="1"/>
  <c r="Z117" i="31" s="1"/>
  <c r="X117" i="31" a="1"/>
  <c r="X117" i="31" s="1"/>
  <c r="W116" i="31" a="1"/>
  <c r="W116" i="31" s="1"/>
  <c r="Z116" i="31" s="1" a="1"/>
  <c r="Z116" i="31" s="1"/>
  <c r="X116" i="31" a="1"/>
  <c r="X116" i="31" s="1"/>
  <c r="W115" i="31" a="1"/>
  <c r="W115" i="31" s="1"/>
  <c r="Z115" i="31" s="1" a="1"/>
  <c r="Z115" i="31" s="1"/>
  <c r="X115" i="31" a="1"/>
  <c r="X115" i="31" s="1"/>
  <c r="W114" i="31" a="1"/>
  <c r="W114" i="31" s="1"/>
  <c r="Z114" i="31" s="1" a="1"/>
  <c r="Z114" i="31" s="1"/>
  <c r="X114" i="31" a="1"/>
  <c r="X114" i="31" s="1"/>
  <c r="W113" i="31" a="1"/>
  <c r="W113" i="31" s="1"/>
  <c r="Z113" i="31" s="1" a="1"/>
  <c r="Z113" i="31" s="1"/>
  <c r="X113" i="31" a="1"/>
  <c r="X113" i="31" s="1"/>
  <c r="W112" i="31" a="1"/>
  <c r="W112" i="31" s="1"/>
  <c r="Z112" i="31" s="1" a="1"/>
  <c r="Z112" i="31" s="1"/>
  <c r="X112" i="31" a="1"/>
  <c r="X112" i="31" s="1"/>
  <c r="W111" i="31" a="1"/>
  <c r="W111" i="31" s="1"/>
  <c r="Z111" i="31" s="1" a="1"/>
  <c r="Z111" i="31" s="1"/>
  <c r="X111" i="31" a="1"/>
  <c r="X111" i="31" s="1"/>
  <c r="X110" i="31" a="1"/>
  <c r="X110" i="31" s="1"/>
  <c r="W109" i="31" a="1"/>
  <c r="W109" i="31" s="1"/>
  <c r="Z109" i="31" s="1" a="1"/>
  <c r="Z109" i="31" s="1"/>
  <c r="X109" i="31" a="1"/>
  <c r="X109" i="31" s="1"/>
  <c r="W107" i="31" a="1"/>
  <c r="W107" i="31" s="1"/>
  <c r="Z107" i="31" s="1" a="1"/>
  <c r="Z107" i="31" s="1"/>
  <c r="X107" i="31" a="1"/>
  <c r="X107" i="31" s="1"/>
  <c r="W106" i="31" a="1"/>
  <c r="W106" i="31" s="1"/>
  <c r="Z106" i="31" s="1" a="1"/>
  <c r="Z106" i="31" s="1"/>
  <c r="X106" i="31" a="1"/>
  <c r="X106" i="31" s="1"/>
  <c r="W105" i="31" a="1"/>
  <c r="W105" i="31" s="1"/>
  <c r="Z105" i="31" s="1" a="1"/>
  <c r="Z105" i="31" s="1"/>
  <c r="X105" i="31" a="1"/>
  <c r="X105" i="31" s="1"/>
  <c r="W104" i="31" a="1"/>
  <c r="W104" i="31" s="1"/>
  <c r="Z104" i="31" s="1" a="1"/>
  <c r="Z104" i="31" s="1"/>
  <c r="X104" i="31" a="1"/>
  <c r="X104" i="31" s="1"/>
  <c r="W103" i="31" a="1"/>
  <c r="W103" i="31" s="1"/>
  <c r="Z103" i="31" s="1" a="1"/>
  <c r="Z103" i="31" s="1"/>
  <c r="X103" i="31" a="1"/>
  <c r="X103" i="31" s="1"/>
  <c r="W102" i="31" a="1"/>
  <c r="W102" i="31" s="1"/>
  <c r="Z102" i="31" s="1" a="1"/>
  <c r="Z102" i="31" s="1"/>
  <c r="X102" i="31" a="1"/>
  <c r="X102" i="31" s="1"/>
  <c r="X101" i="31" a="1"/>
  <c r="X101" i="31" s="1"/>
  <c r="W100" i="31" a="1"/>
  <c r="W100" i="31" s="1"/>
  <c r="Z100" i="31" s="1" a="1"/>
  <c r="Z100" i="31" s="1"/>
  <c r="X100" i="31" a="1"/>
  <c r="X100" i="31" s="1"/>
  <c r="W99" i="31" a="1"/>
  <c r="W99" i="31" s="1"/>
  <c r="Z99" i="31" s="1" a="1"/>
  <c r="Z99" i="31" s="1"/>
  <c r="X99" i="31" a="1"/>
  <c r="X99" i="31" s="1"/>
  <c r="W98" i="31" a="1"/>
  <c r="W98" i="31" s="1"/>
  <c r="Z98" i="31" s="1" a="1"/>
  <c r="Z98" i="31" s="1"/>
  <c r="X98" i="31" a="1"/>
  <c r="X98" i="31" s="1"/>
  <c r="X97" i="31" a="1"/>
  <c r="X97" i="31" s="1"/>
  <c r="W96" i="31" a="1"/>
  <c r="W96" i="31" s="1"/>
  <c r="Z96" i="31" s="1" a="1"/>
  <c r="Z96" i="31" s="1"/>
  <c r="W95" i="31" a="1"/>
  <c r="W95" i="31" s="1"/>
  <c r="Z95" i="31" s="1" a="1"/>
  <c r="Z95" i="31" s="1"/>
  <c r="X95" i="31" a="1"/>
  <c r="X95" i="31" s="1"/>
  <c r="X94" i="31" a="1"/>
  <c r="X94" i="31" s="1"/>
  <c r="W93" i="31" a="1"/>
  <c r="W93" i="31" s="1"/>
  <c r="Z93" i="31" s="1" a="1"/>
  <c r="Z93" i="31" s="1"/>
  <c r="X93" i="31" a="1"/>
  <c r="X93" i="31" s="1"/>
  <c r="X92" i="31" a="1"/>
  <c r="X92" i="31" s="1"/>
  <c r="W91" i="31" a="1"/>
  <c r="W91" i="31" s="1"/>
  <c r="Z91" i="31" s="1" a="1"/>
  <c r="Z91" i="31" s="1"/>
  <c r="X91" i="31" a="1"/>
  <c r="X91" i="31" s="1"/>
  <c r="X90" i="31" a="1"/>
  <c r="X90" i="31" s="1"/>
  <c r="W89" i="31" a="1"/>
  <c r="W89" i="31" s="1"/>
  <c r="Z89" i="31" s="1" a="1"/>
  <c r="Z89" i="31" s="1"/>
  <c r="X89" i="31" a="1"/>
  <c r="X89" i="31" s="1"/>
  <c r="W88" i="31" a="1"/>
  <c r="W88" i="31" s="1"/>
  <c r="Z88" i="31" s="1" a="1"/>
  <c r="Z88" i="31" s="1"/>
  <c r="X88" i="31" a="1"/>
  <c r="X88" i="31" s="1"/>
  <c r="W87" i="31" a="1"/>
  <c r="W87" i="31" s="1"/>
  <c r="Z87" i="31" s="1" a="1"/>
  <c r="Z87" i="31" s="1"/>
  <c r="X87" i="31" a="1"/>
  <c r="X87" i="31" s="1"/>
  <c r="W86" i="31" a="1"/>
  <c r="W86" i="31" s="1"/>
  <c r="Z86" i="31" s="1" a="1"/>
  <c r="Z86" i="31" s="1"/>
  <c r="X86" i="31" a="1"/>
  <c r="X86" i="31" s="1"/>
  <c r="X85" i="31" a="1"/>
  <c r="X85" i="31" s="1"/>
  <c r="W84" i="31" a="1"/>
  <c r="W84" i="31" s="1"/>
  <c r="Z84" i="31" s="1" a="1"/>
  <c r="Z84" i="31" s="1"/>
  <c r="W83" i="31" a="1"/>
  <c r="W83" i="31" s="1"/>
  <c r="Z83" i="31" s="1" a="1"/>
  <c r="Z83" i="31" s="1"/>
  <c r="X83" i="31" a="1"/>
  <c r="X83" i="31" s="1"/>
  <c r="W82" i="31" a="1"/>
  <c r="W82" i="31" s="1"/>
  <c r="Z82" i="31" s="1" a="1"/>
  <c r="Z82" i="31" s="1"/>
  <c r="X82" i="31" a="1"/>
  <c r="X82" i="31" s="1"/>
  <c r="W81" i="31" a="1"/>
  <c r="W81" i="31" s="1"/>
  <c r="Z81" i="31" s="1" a="1"/>
  <c r="Z81" i="31" s="1"/>
  <c r="W80" i="31" a="1"/>
  <c r="W80" i="31" s="1"/>
  <c r="Z80" i="31" s="1" a="1"/>
  <c r="Z80" i="31" s="1"/>
  <c r="X80" i="31" a="1"/>
  <c r="X80" i="31" s="1"/>
  <c r="W79" i="31" a="1"/>
  <c r="W79" i="31" s="1"/>
  <c r="Z79" i="31" s="1" a="1"/>
  <c r="Z79" i="31" s="1"/>
  <c r="X79" i="31" a="1"/>
  <c r="X79" i="31" s="1"/>
  <c r="X78" i="31" a="1"/>
  <c r="X78" i="31" s="1"/>
  <c r="W77" i="31" a="1"/>
  <c r="W77" i="31" s="1"/>
  <c r="Z77" i="31" s="1" a="1"/>
  <c r="Z77" i="31" s="1"/>
  <c r="X77" i="31" a="1"/>
  <c r="X77" i="31" s="1"/>
  <c r="W76" i="31" a="1"/>
  <c r="W76" i="31" s="1"/>
  <c r="Z76" i="31" s="1" a="1"/>
  <c r="Z76" i="31" s="1"/>
  <c r="X76" i="31" a="1"/>
  <c r="X76" i="31" s="1"/>
  <c r="W75" i="31" a="1"/>
  <c r="W75" i="31" s="1"/>
  <c r="Z75" i="31" s="1" a="1"/>
  <c r="Z75" i="31" s="1"/>
  <c r="X75" i="31" a="1"/>
  <c r="X75" i="31" s="1"/>
  <c r="X74" i="31" a="1"/>
  <c r="X74" i="31" s="1"/>
  <c r="W73" i="31" a="1"/>
  <c r="W73" i="31" s="1"/>
  <c r="Z73" i="31" s="1" a="1"/>
  <c r="Z73" i="31" s="1"/>
  <c r="X73" i="31" a="1"/>
  <c r="X73" i="31" s="1"/>
  <c r="X72" i="31" a="1"/>
  <c r="X72" i="31" s="1"/>
  <c r="W71" i="31" a="1"/>
  <c r="W71" i="31" s="1"/>
  <c r="Z71" i="31" s="1" a="1"/>
  <c r="Z71" i="31" s="1"/>
  <c r="X71" i="31" a="1"/>
  <c r="X71" i="31" s="1"/>
  <c r="W70" i="31" a="1"/>
  <c r="W70" i="31" s="1"/>
  <c r="Z70" i="31" s="1" a="1"/>
  <c r="Z70" i="31" s="1"/>
  <c r="W69" i="31" a="1"/>
  <c r="W69" i="31" s="1"/>
  <c r="Z69" i="31" s="1" a="1"/>
  <c r="Z69" i="31" s="1"/>
  <c r="X69" i="31" a="1"/>
  <c r="X69" i="31" s="1"/>
  <c r="W68" i="31" a="1"/>
  <c r="W68" i="31" s="1"/>
  <c r="Z68" i="31" s="1" a="1"/>
  <c r="Z68" i="31" s="1"/>
  <c r="X68" i="31" a="1"/>
  <c r="X68" i="31" s="1"/>
  <c r="W67" i="31" a="1"/>
  <c r="W67" i="31" s="1"/>
  <c r="Z67" i="31" s="1" a="1"/>
  <c r="Z67" i="31" s="1"/>
  <c r="X67" i="31" a="1"/>
  <c r="X67" i="31" s="1"/>
  <c r="W66" i="31" a="1"/>
  <c r="W66" i="31" s="1"/>
  <c r="Z66" i="31" s="1" a="1"/>
  <c r="Z66" i="31" s="1"/>
  <c r="X65" i="31" a="1"/>
  <c r="X65" i="31" s="1"/>
  <c r="W64" i="31" a="1"/>
  <c r="W64" i="31" s="1"/>
  <c r="Z64" i="31" s="1" a="1"/>
  <c r="Z64" i="31" s="1"/>
  <c r="X64" i="31" a="1"/>
  <c r="X64" i="31" s="1"/>
  <c r="W63" i="31" a="1"/>
  <c r="W63" i="31" s="1"/>
  <c r="Z63" i="31" s="1" a="1"/>
  <c r="Z63" i="31" s="1"/>
  <c r="X63" i="31" a="1"/>
  <c r="X63" i="31" s="1"/>
  <c r="W62" i="31" a="1"/>
  <c r="W62" i="31" s="1"/>
  <c r="Z62" i="31" s="1" a="1"/>
  <c r="Z62" i="31" s="1"/>
  <c r="X62" i="31" a="1"/>
  <c r="X62" i="31" s="1"/>
  <c r="W61" i="31" a="1"/>
  <c r="W61" i="31" s="1"/>
  <c r="Z61" i="31" s="1" a="1"/>
  <c r="Z61" i="31" s="1"/>
  <c r="W60" i="31" a="1"/>
  <c r="W60" i="31" s="1"/>
  <c r="Z60" i="31" s="1" a="1"/>
  <c r="Z60" i="31" s="1"/>
  <c r="X60" i="31" a="1"/>
  <c r="X60" i="31" s="1"/>
  <c r="W59" i="31" a="1"/>
  <c r="W59" i="31" s="1"/>
  <c r="Z59" i="31" s="1" a="1"/>
  <c r="Z59" i="31" s="1"/>
  <c r="X59" i="31" a="1"/>
  <c r="X59" i="31" s="1"/>
  <c r="W58" i="31" a="1"/>
  <c r="W58" i="31" s="1"/>
  <c r="Z58" i="31" s="1" a="1"/>
  <c r="Z58" i="31" s="1"/>
  <c r="X58" i="31" a="1"/>
  <c r="X58" i="31" s="1"/>
  <c r="W57" i="31" a="1"/>
  <c r="W57" i="31" s="1"/>
  <c r="Z57" i="31" s="1" a="1"/>
  <c r="Z57" i="31" s="1"/>
  <c r="W56" i="31" a="1"/>
  <c r="W56" i="31" s="1"/>
  <c r="Z56" i="31" s="1" a="1"/>
  <c r="Z56" i="31" s="1"/>
  <c r="W55" i="31" a="1"/>
  <c r="W55" i="31" s="1"/>
  <c r="Z55" i="31" s="1" a="1"/>
  <c r="Z55" i="31" s="1"/>
  <c r="X55" i="31" a="1"/>
  <c r="X55" i="31" s="1"/>
  <c r="W54" i="31" a="1"/>
  <c r="W54" i="31" s="1"/>
  <c r="Z54" i="31" s="1" a="1"/>
  <c r="Z54" i="31" s="1"/>
  <c r="X54" i="31" a="1"/>
  <c r="X54" i="31" s="1"/>
  <c r="W53" i="31" a="1"/>
  <c r="W53" i="31" s="1"/>
  <c r="Z53" i="31" s="1" a="1"/>
  <c r="Z53" i="31" s="1"/>
  <c r="X53" i="31" a="1"/>
  <c r="X53" i="31" s="1"/>
  <c r="W52" i="31" a="1"/>
  <c r="W52" i="31" s="1"/>
  <c r="Z52" i="31" s="1" a="1"/>
  <c r="Z52" i="31" s="1"/>
  <c r="X52" i="31" a="1"/>
  <c r="X52" i="31" s="1"/>
  <c r="W51" i="31" a="1"/>
  <c r="W51" i="31" s="1"/>
  <c r="Z51" i="31" s="1" a="1"/>
  <c r="Z51" i="31" s="1"/>
  <c r="X51" i="31" a="1"/>
  <c r="X51" i="31" s="1"/>
  <c r="W50" i="31" a="1"/>
  <c r="W50" i="31" s="1"/>
  <c r="Z50" i="31" s="1" a="1"/>
  <c r="Z50" i="31" s="1"/>
  <c r="X50" i="31" a="1"/>
  <c r="X50" i="31" s="1"/>
  <c r="W49" i="31" a="1"/>
  <c r="W49" i="31" s="1"/>
  <c r="Z49" i="31" s="1" a="1"/>
  <c r="Z49" i="31" s="1"/>
  <c r="X49" i="31" a="1"/>
  <c r="X49" i="31" s="1"/>
  <c r="W48" i="31" a="1"/>
  <c r="W48" i="31" s="1"/>
  <c r="Z48" i="31" s="1" a="1"/>
  <c r="Z48" i="31" s="1"/>
  <c r="X48" i="31" a="1"/>
  <c r="X48" i="31" s="1"/>
  <c r="W47" i="31" a="1"/>
  <c r="W47" i="31" s="1"/>
  <c r="Z47" i="31" s="1" a="1"/>
  <c r="Z47" i="31" s="1"/>
  <c r="X47" i="31" a="1"/>
  <c r="X47" i="31" s="1"/>
  <c r="W46" i="31" a="1"/>
  <c r="W46" i="31" s="1"/>
  <c r="Z46" i="31" s="1" a="1"/>
  <c r="Z46" i="31" s="1"/>
  <c r="W45" i="31" a="1"/>
  <c r="W45" i="31" s="1"/>
  <c r="Z45" i="31" s="1" a="1"/>
  <c r="Z45" i="31" s="1"/>
  <c r="X45" i="31" a="1"/>
  <c r="X45" i="31" s="1"/>
  <c r="W43" i="31" a="1"/>
  <c r="W43" i="31" s="1"/>
  <c r="Z43" i="31" s="1" a="1"/>
  <c r="Z43" i="31" s="1"/>
  <c r="X43" i="31" a="1"/>
  <c r="X43" i="31" s="1"/>
  <c r="W42" i="31" a="1"/>
  <c r="W42" i="31" s="1"/>
  <c r="Z42" i="31" s="1" a="1"/>
  <c r="Z42" i="31" s="1"/>
  <c r="X42" i="31" a="1"/>
  <c r="X42" i="31" s="1"/>
  <c r="W41" i="31" a="1"/>
  <c r="W41" i="31" s="1"/>
  <c r="Z41" i="31" s="1" a="1"/>
  <c r="Z41" i="31" s="1"/>
  <c r="X41" i="31" a="1"/>
  <c r="X41" i="31" s="1"/>
  <c r="W40" i="31" a="1"/>
  <c r="W40" i="31" s="1"/>
  <c r="Z40" i="31" s="1" a="1"/>
  <c r="Z40" i="31" s="1"/>
  <c r="X40" i="31" a="1"/>
  <c r="X40" i="31" s="1"/>
  <c r="W39" i="31" a="1"/>
  <c r="W39" i="31" s="1"/>
  <c r="Z39" i="31" s="1" a="1"/>
  <c r="Z39" i="31" s="1"/>
  <c r="X39" i="31" a="1"/>
  <c r="X39" i="31" s="1"/>
  <c r="W38" i="31" a="1"/>
  <c r="W38" i="31" s="1"/>
  <c r="Z38" i="31" s="1" a="1"/>
  <c r="Z38" i="31" s="1"/>
  <c r="X38" i="31" a="1"/>
  <c r="X38" i="31" s="1"/>
  <c r="W37" i="31" a="1"/>
  <c r="W37" i="31" s="1"/>
  <c r="Z37" i="31" s="1" a="1"/>
  <c r="Z37" i="31" s="1"/>
  <c r="W36" i="31" a="1"/>
  <c r="W36" i="31" s="1"/>
  <c r="Z36" i="31" s="1" a="1"/>
  <c r="Z36" i="31" s="1"/>
  <c r="X36" i="31" a="1"/>
  <c r="X36" i="31" s="1"/>
  <c r="W35" i="31" a="1"/>
  <c r="W35" i="31" s="1"/>
  <c r="Z35" i="31" s="1" a="1"/>
  <c r="Z35" i="31" s="1"/>
  <c r="X35" i="31" a="1"/>
  <c r="X35" i="31" s="1"/>
  <c r="W34" i="31" a="1"/>
  <c r="W34" i="31" s="1"/>
  <c r="Z34" i="31" s="1" a="1"/>
  <c r="Z34" i="31" s="1"/>
  <c r="X34" i="31" a="1"/>
  <c r="X34" i="31" s="1"/>
  <c r="W33" i="31" a="1"/>
  <c r="W33" i="31" s="1"/>
  <c r="Z33" i="31" s="1" a="1"/>
  <c r="Z33" i="31" s="1"/>
  <c r="W32" i="31" a="1"/>
  <c r="W32" i="31" s="1"/>
  <c r="Z32" i="31" s="1" a="1"/>
  <c r="Z32" i="31" s="1"/>
  <c r="W31" i="31" a="1"/>
  <c r="W31" i="31" s="1"/>
  <c r="Z31" i="31" s="1" a="1"/>
  <c r="Z31" i="31" s="1"/>
  <c r="X31" i="31" a="1"/>
  <c r="X31" i="31" s="1"/>
  <c r="X30" i="31" a="1"/>
  <c r="X30" i="31" s="1"/>
  <c r="W29" i="31" a="1"/>
  <c r="W29" i="31" s="1"/>
  <c r="Z29" i="31" s="1" a="1"/>
  <c r="Z29" i="31" s="1"/>
  <c r="X29" i="31" a="1"/>
  <c r="X29" i="31" s="1"/>
  <c r="W28" i="31" a="1"/>
  <c r="W28" i="31" s="1"/>
  <c r="Z28" i="31" s="1" a="1"/>
  <c r="Z28" i="31" s="1"/>
  <c r="W27" i="31" a="1"/>
  <c r="W27" i="31" s="1"/>
  <c r="Z27" i="31" s="1" a="1"/>
  <c r="Z27" i="31" s="1"/>
  <c r="X27" i="31" a="1"/>
  <c r="X27" i="31" s="1"/>
  <c r="X26" i="31" a="1"/>
  <c r="X26" i="31" s="1"/>
  <c r="W25" i="31" a="1"/>
  <c r="W25" i="31" s="1"/>
  <c r="Z25" i="31" s="1" a="1"/>
  <c r="Z25" i="31" s="1"/>
  <c r="X25" i="31" a="1"/>
  <c r="X25" i="31" s="1"/>
  <c r="W24" i="31" a="1"/>
  <c r="W24" i="31" s="1"/>
  <c r="Z24" i="31" s="1" a="1"/>
  <c r="Z24" i="31" s="1"/>
  <c r="X24" i="31" a="1"/>
  <c r="X24" i="31" s="1"/>
  <c r="W23" i="31" a="1"/>
  <c r="W23" i="31" s="1"/>
  <c r="Z23" i="31" s="1" a="1"/>
  <c r="Z23" i="31" s="1"/>
  <c r="X23" i="31" a="1"/>
  <c r="X23" i="31" s="1"/>
  <c r="W22" i="31" a="1"/>
  <c r="W22" i="31" s="1"/>
  <c r="Z22" i="31" s="1" a="1"/>
  <c r="Z22" i="31" s="1"/>
  <c r="X22" i="31" a="1"/>
  <c r="X22" i="31" s="1"/>
  <c r="X21" i="31" a="1"/>
  <c r="X21" i="31" s="1"/>
  <c r="W20" i="31" a="1"/>
  <c r="W20" i="31" s="1"/>
  <c r="Z20" i="31" s="1" a="1"/>
  <c r="Z20" i="31" s="1"/>
  <c r="W19" i="31" a="1"/>
  <c r="W19" i="31" s="1"/>
  <c r="Z19" i="31" s="1" a="1"/>
  <c r="Z19" i="31" s="1"/>
  <c r="X19" i="31" a="1"/>
  <c r="X19" i="31" s="1"/>
  <c r="W18" i="31" a="1"/>
  <c r="W18" i="31" s="1"/>
  <c r="Z18" i="31" s="1" a="1"/>
  <c r="Z18" i="31" s="1"/>
  <c r="X18" i="31" a="1"/>
  <c r="X18" i="31" s="1"/>
  <c r="W17" i="31" a="1"/>
  <c r="W17" i="31" s="1"/>
  <c r="Z17" i="31" s="1" a="1"/>
  <c r="Z17" i="31" s="1"/>
  <c r="W16" i="31" a="1"/>
  <c r="W16" i="31" s="1"/>
  <c r="Z16" i="31" s="1" a="1"/>
  <c r="Z16" i="31" s="1"/>
  <c r="X16" i="31" a="1"/>
  <c r="X16" i="31" s="1"/>
  <c r="W15" i="31" a="1"/>
  <c r="W15" i="31" s="1"/>
  <c r="Z15" i="31" s="1" a="1"/>
  <c r="Z15" i="31" s="1"/>
  <c r="X15" i="31" a="1"/>
  <c r="X15" i="31" s="1"/>
  <c r="W14" i="31" a="1"/>
  <c r="W14" i="31" s="1"/>
  <c r="Z14" i="31" s="1" a="1"/>
  <c r="Z14" i="31" s="1"/>
  <c r="W13" i="31" a="1"/>
  <c r="W13" i="31" s="1"/>
  <c r="Z13" i="31" s="1" a="1"/>
  <c r="Z13" i="31" s="1"/>
  <c r="X13" i="31" a="1"/>
  <c r="X13" i="31" s="1"/>
  <c r="W12" i="31" a="1"/>
  <c r="W12" i="31" s="1"/>
  <c r="Z12" i="31" s="1" a="1"/>
  <c r="Z12" i="31" s="1"/>
  <c r="X12" i="31" a="1"/>
  <c r="X12" i="31" s="1"/>
  <c r="W11" i="31" a="1"/>
  <c r="W11" i="31" s="1"/>
  <c r="Z11" i="31" s="1" a="1"/>
  <c r="Z11" i="31" s="1"/>
  <c r="X11" i="31" a="1"/>
  <c r="X11" i="31" s="1"/>
  <c r="W10" i="31" a="1"/>
  <c r="W10" i="31" s="1"/>
  <c r="Z10" i="31" s="1" a="1"/>
  <c r="Z10" i="31" s="1"/>
  <c r="W9" i="31" a="1"/>
  <c r="W9" i="31" s="1"/>
  <c r="Z9" i="31" s="1" a="1"/>
  <c r="Z9" i="31" s="1"/>
  <c r="X9" i="31" a="1"/>
  <c r="X9" i="31" s="1"/>
  <c r="W8" i="31" a="1"/>
  <c r="W8" i="31" s="1"/>
  <c r="Z8" i="31" s="1" a="1"/>
  <c r="Z8" i="31" s="1"/>
  <c r="W7" i="31" a="1"/>
  <c r="W7" i="31" s="1"/>
  <c r="Z7" i="31" s="1" a="1"/>
  <c r="Z7" i="31" s="1"/>
  <c r="X7" i="31" a="1"/>
  <c r="X7" i="31" s="1"/>
  <c r="W6" i="31" a="1"/>
  <c r="W6" i="31" s="1"/>
  <c r="Z6" i="31" s="1" a="1"/>
  <c r="Z6" i="31" s="1"/>
  <c r="W5" i="31" a="1"/>
  <c r="W5" i="31" s="1"/>
  <c r="Z5" i="31" s="1" a="1"/>
  <c r="Z5" i="31" s="1"/>
  <c r="X5" i="31" a="1"/>
  <c r="X5" i="31" s="1"/>
  <c r="W4" i="31" a="1"/>
  <c r="W4" i="31" s="1"/>
  <c r="Z4" i="31" s="1" a="1"/>
  <c r="Z4" i="31" s="1"/>
  <c r="X4" i="31" a="1"/>
  <c r="X4" i="31" s="1"/>
  <c r="W3" i="31" a="1"/>
  <c r="W3" i="31" s="1"/>
  <c r="Z3" i="31" s="1" a="1"/>
  <c r="Z3" i="31" s="1"/>
  <c r="X3" i="31" a="1"/>
  <c r="X3" i="31" s="1"/>
  <c r="R222" i="17" l="1" a="1"/>
  <c r="R222" i="17" s="1"/>
  <c r="U222" i="17" s="1" a="1"/>
  <c r="U222" i="17" s="1"/>
  <c r="R19" i="17" a="1"/>
  <c r="R19" i="17" s="1"/>
  <c r="U19" i="17" s="1" a="1"/>
  <c r="U19" i="17" s="1"/>
  <c r="S83" i="17" a="1"/>
  <c r="S83" i="17" s="1"/>
  <c r="S65" i="17" a="1"/>
  <c r="S65" i="17" s="1"/>
  <c r="T65" i="17" s="1"/>
  <c r="R16" i="17" a="1"/>
  <c r="R16" i="17" s="1"/>
  <c r="U16" i="17" s="1" a="1"/>
  <c r="U16" i="17" s="1"/>
  <c r="S80" i="17" a="1"/>
  <c r="S80" i="17" s="1"/>
  <c r="R85" i="17" a="1"/>
  <c r="R85" i="17" s="1"/>
  <c r="U85" i="17" s="1" a="1"/>
  <c r="U85" i="17" s="1"/>
  <c r="R7" i="17" a="1"/>
  <c r="R7" i="17" s="1"/>
  <c r="T7" i="17" s="1"/>
  <c r="S241" i="17" a="1"/>
  <c r="S241" i="17" s="1"/>
  <c r="T241" i="17" s="1"/>
  <c r="S173" i="17" a="1"/>
  <c r="S173" i="17" s="1"/>
  <c r="R89" i="17" a="1"/>
  <c r="R89" i="17" s="1"/>
  <c r="U89" i="17" s="1" a="1"/>
  <c r="U89" i="17" s="1"/>
  <c r="R42" i="17" a="1"/>
  <c r="R42" i="17" s="1"/>
  <c r="U42" i="17" s="1" a="1"/>
  <c r="U42" i="17" s="1"/>
  <c r="R74" i="17" a="1"/>
  <c r="R74" i="17" s="1"/>
  <c r="U74" i="17" s="1" a="1"/>
  <c r="U74" i="17" s="1"/>
  <c r="R164" i="17" a="1"/>
  <c r="R164" i="17" s="1"/>
  <c r="U164" i="17" s="1" a="1"/>
  <c r="U164" i="17" s="1"/>
  <c r="R35" i="17" a="1"/>
  <c r="R35" i="17" s="1"/>
  <c r="U35" i="17" s="1" a="1"/>
  <c r="U35" i="17" s="1"/>
  <c r="R52" i="17" a="1"/>
  <c r="R52" i="17" s="1"/>
  <c r="U52" i="17" s="1" a="1"/>
  <c r="U52" i="17" s="1"/>
  <c r="S171" i="17" a="1"/>
  <c r="S171" i="17" s="1"/>
  <c r="V171" i="17" s="1" a="1"/>
  <c r="V171" i="17" s="1"/>
  <c r="W171" i="17" s="1"/>
  <c r="S107" i="17" a="1"/>
  <c r="S107" i="17" s="1"/>
  <c r="V107" i="17" s="1" a="1"/>
  <c r="V107" i="17" s="1"/>
  <c r="W107" i="17" s="1"/>
  <c r="S20" i="17" a="1"/>
  <c r="S20" i="17" s="1"/>
  <c r="T20" i="17" s="1"/>
  <c r="R47" i="17" a="1"/>
  <c r="R47" i="17" s="1"/>
  <c r="U47" i="17" s="1" a="1"/>
  <c r="U47" i="17" s="1"/>
  <c r="S214" i="17" a="1"/>
  <c r="S214" i="17" s="1"/>
  <c r="V214" i="17" s="1" a="1"/>
  <c r="V214" i="17" s="1"/>
  <c r="W214" i="17" s="1"/>
  <c r="R159" i="17" a="1"/>
  <c r="R159" i="17" s="1"/>
  <c r="U159" i="17" s="1" a="1"/>
  <c r="U159" i="17" s="1"/>
  <c r="S17" i="17" a="1"/>
  <c r="S17" i="17" s="1"/>
  <c r="T17" i="17" s="1"/>
  <c r="S23" i="17" a="1"/>
  <c r="S23" i="17" s="1"/>
  <c r="V23" i="17" s="1" a="1"/>
  <c r="V23" i="17" s="1"/>
  <c r="W23" i="17" s="1"/>
  <c r="R55" i="17" a="1"/>
  <c r="R55" i="17" s="1"/>
  <c r="U55" i="17" s="1" a="1"/>
  <c r="U55" i="17" s="1"/>
  <c r="S10" i="17" a="1"/>
  <c r="S10" i="17" s="1"/>
  <c r="T10" i="17" s="1"/>
  <c r="S246" i="17" a="1"/>
  <c r="S246" i="17" s="1"/>
  <c r="T246" i="17" s="1"/>
  <c r="S240" i="17" a="1"/>
  <c r="S240" i="17" s="1"/>
  <c r="T240" i="17" s="1"/>
  <c r="S233" i="17" a="1"/>
  <c r="S233" i="17" s="1"/>
  <c r="V233" i="17" s="1" a="1"/>
  <c r="V233" i="17" s="1"/>
  <c r="W233" i="17" s="1"/>
  <c r="S185" i="17" a="1"/>
  <c r="S185" i="17" s="1"/>
  <c r="V185" i="17" s="1" a="1"/>
  <c r="V185" i="17" s="1"/>
  <c r="W185" i="17" s="1"/>
  <c r="R169" i="17" a="1"/>
  <c r="R169" i="17" s="1"/>
  <c r="U169" i="17" s="1" a="1"/>
  <c r="U169" i="17" s="1"/>
  <c r="R139" i="17" a="1"/>
  <c r="R139" i="17" s="1"/>
  <c r="U139" i="17" s="1" a="1"/>
  <c r="U139" i="17" s="1"/>
  <c r="S127" i="17" a="1"/>
  <c r="S127" i="17" s="1"/>
  <c r="T127" i="17" s="1"/>
  <c r="R122" i="17" a="1"/>
  <c r="R122" i="17" s="1"/>
  <c r="U122" i="17" s="1" a="1"/>
  <c r="U122" i="17" s="1"/>
  <c r="R56" i="17" a="1"/>
  <c r="R56" i="17" s="1"/>
  <c r="U56" i="17" s="1" a="1"/>
  <c r="U56" i="17" s="1"/>
  <c r="S73" i="17" a="1"/>
  <c r="S73" i="17" s="1"/>
  <c r="V73" i="17" s="1" a="1"/>
  <c r="V73" i="17" s="1"/>
  <c r="W73" i="17" s="1"/>
  <c r="R102" i="17" a="1"/>
  <c r="R102" i="17" s="1"/>
  <c r="U102" i="17" s="1" a="1"/>
  <c r="U102" i="17" s="1"/>
  <c r="S238" i="17" a="1"/>
  <c r="S238" i="17" s="1"/>
  <c r="T238" i="17" s="1"/>
  <c r="S218" i="17" a="1"/>
  <c r="S218" i="17" s="1"/>
  <c r="T218" i="17" s="1"/>
  <c r="S182" i="17" a="1"/>
  <c r="S182" i="17" s="1"/>
  <c r="V182" i="17" s="1" a="1"/>
  <c r="V182" i="17" s="1"/>
  <c r="W182" i="17" s="1"/>
  <c r="R132" i="17" a="1"/>
  <c r="R132" i="17" s="1"/>
  <c r="U132" i="17" s="1" a="1"/>
  <c r="U132" i="17" s="1"/>
  <c r="S121" i="17" a="1"/>
  <c r="S121" i="17" s="1"/>
  <c r="V121" i="17" s="1" a="1"/>
  <c r="V121" i="17" s="1"/>
  <c r="W121" i="17" s="1"/>
  <c r="S109" i="17" a="1"/>
  <c r="S109" i="17" s="1"/>
  <c r="T109" i="17" s="1"/>
  <c r="P45" i="25"/>
  <c r="P48" i="25" s="1"/>
  <c r="P49" i="25" s="1"/>
  <c r="Q48" i="25"/>
  <c r="R38" i="17" a="1"/>
  <c r="R38" i="17" s="1"/>
  <c r="U38" i="17" s="1" a="1"/>
  <c r="U38" i="17" s="1"/>
  <c r="R79" i="17" a="1"/>
  <c r="R79" i="17" s="1"/>
  <c r="U79" i="17" s="1" a="1"/>
  <c r="U79" i="17" s="1"/>
  <c r="R99" i="17" a="1"/>
  <c r="R99" i="17" s="1"/>
  <c r="U99" i="17" s="1" a="1"/>
  <c r="U99" i="17" s="1"/>
  <c r="R203" i="17" a="1"/>
  <c r="R203" i="17" s="1"/>
  <c r="U203" i="17" s="1" a="1"/>
  <c r="U203" i="17" s="1"/>
  <c r="R165" i="17" a="1"/>
  <c r="R165" i="17" s="1"/>
  <c r="U165" i="17" s="1" a="1"/>
  <c r="U165" i="17" s="1"/>
  <c r="S150" i="17" a="1"/>
  <c r="S150" i="17" s="1"/>
  <c r="V150" i="17" s="1" a="1"/>
  <c r="V150" i="17" s="1"/>
  <c r="W150" i="17" s="1"/>
  <c r="F44" i="35"/>
  <c r="I45" i="35" a="1"/>
  <c r="I45" i="35" s="1"/>
  <c r="I23" i="35"/>
  <c r="M23" i="35"/>
  <c r="G23" i="35"/>
  <c r="J23" i="35"/>
  <c r="N23" i="35"/>
  <c r="F37" i="6"/>
  <c r="B37" i="6" s="1"/>
  <c r="K23" i="35"/>
  <c r="O23" i="35"/>
  <c r="H23" i="35"/>
  <c r="L23" i="35"/>
  <c r="E37" i="21"/>
  <c r="B37" i="21" s="1"/>
  <c r="S15" i="17" a="1"/>
  <c r="S15" i="17" s="1"/>
  <c r="T15" i="17" s="1"/>
  <c r="S24" i="17" a="1"/>
  <c r="S24" i="17" s="1"/>
  <c r="T24" i="17" s="1"/>
  <c r="S67" i="17" a="1"/>
  <c r="S67" i="17" s="1"/>
  <c r="T67" i="17" s="1"/>
  <c r="S70" i="17" a="1"/>
  <c r="S70" i="17" s="1"/>
  <c r="T70" i="17" s="1"/>
  <c r="S84" i="17" a="1"/>
  <c r="S84" i="17" s="1"/>
  <c r="T84" i="17" s="1"/>
  <c r="S88" i="17" a="1"/>
  <c r="S88" i="17" s="1"/>
  <c r="T88" i="17" s="1"/>
  <c r="R243" i="17" a="1"/>
  <c r="R243" i="17" s="1"/>
  <c r="U243" i="17" s="1" a="1"/>
  <c r="U243" i="17" s="1"/>
  <c r="S235" i="17" a="1"/>
  <c r="S235" i="17" s="1"/>
  <c r="V235" i="17" s="1" a="1"/>
  <c r="V235" i="17" s="1"/>
  <c r="W235" i="17" s="1"/>
  <c r="S231" i="17" a="1"/>
  <c r="S231" i="17" s="1"/>
  <c r="T231" i="17" s="1"/>
  <c r="S228" i="17" a="1"/>
  <c r="S228" i="17" s="1"/>
  <c r="T228" i="17" s="1"/>
  <c r="S223" i="17" a="1"/>
  <c r="S223" i="17" s="1"/>
  <c r="V223" i="17" s="1" a="1"/>
  <c r="V223" i="17" s="1"/>
  <c r="W223" i="17" s="1"/>
  <c r="S217" i="17" a="1"/>
  <c r="S217" i="17" s="1"/>
  <c r="T217" i="17" s="1"/>
  <c r="S213" i="17" a="1"/>
  <c r="S213" i="17" s="1"/>
  <c r="T213" i="17" s="1"/>
  <c r="S208" i="17" a="1"/>
  <c r="S208" i="17" s="1"/>
  <c r="V208" i="17" s="1" a="1"/>
  <c r="V208" i="17" s="1"/>
  <c r="W208" i="17" s="1"/>
  <c r="S196" i="17" a="1"/>
  <c r="S196" i="17" s="1"/>
  <c r="V196" i="17" s="1" a="1"/>
  <c r="V196" i="17" s="1"/>
  <c r="W196" i="17" s="1"/>
  <c r="S191" i="17" a="1"/>
  <c r="S191" i="17" s="1"/>
  <c r="T191" i="17" s="1"/>
  <c r="S186" i="17" a="1"/>
  <c r="S186" i="17" s="1"/>
  <c r="V186" i="17" s="1" a="1"/>
  <c r="V186" i="17" s="1"/>
  <c r="W186" i="17" s="1"/>
  <c r="R176" i="17" a="1"/>
  <c r="R176" i="17" s="1"/>
  <c r="U176" i="17" s="1" a="1"/>
  <c r="U176" i="17" s="1"/>
  <c r="S158" i="17" a="1"/>
  <c r="S158" i="17" s="1"/>
  <c r="V158" i="17" s="1" a="1"/>
  <c r="V158" i="17" s="1"/>
  <c r="W158" i="17" s="1"/>
  <c r="R154" i="17" a="1"/>
  <c r="R154" i="17" s="1"/>
  <c r="U154" i="17" s="1" a="1"/>
  <c r="U154" i="17" s="1"/>
  <c r="R118" i="17" a="1"/>
  <c r="R118" i="17" s="1"/>
  <c r="U118" i="17" s="1" a="1"/>
  <c r="U118" i="17" s="1"/>
  <c r="S105" i="17" a="1"/>
  <c r="S105" i="17" s="1"/>
  <c r="V105" i="17" s="1" a="1"/>
  <c r="V105" i="17" s="1"/>
  <c r="W105" i="17" s="1"/>
  <c r="C29" i="35"/>
  <c r="E40" i="35" s="1"/>
  <c r="S21" i="17" a="1"/>
  <c r="S21" i="17" s="1"/>
  <c r="V21" i="17" s="1" a="1"/>
  <c r="V21" i="17" s="1"/>
  <c r="W21" i="17" s="1"/>
  <c r="S153" i="17" a="1"/>
  <c r="S153" i="17" s="1"/>
  <c r="T153" i="17" s="1"/>
  <c r="S149" i="17" a="1"/>
  <c r="S149" i="17" s="1"/>
  <c r="T149" i="17" s="1"/>
  <c r="R144" i="17" a="1"/>
  <c r="R144" i="17" s="1"/>
  <c r="U144" i="17" s="1" a="1"/>
  <c r="U144" i="17" s="1"/>
  <c r="H49" i="25"/>
  <c r="H53" i="25" s="1" a="1"/>
  <c r="H53" i="25" s="1"/>
  <c r="I49" i="25"/>
  <c r="H47" i="25"/>
  <c r="F46" i="25"/>
  <c r="H48" i="25"/>
  <c r="F49" i="25"/>
  <c r="I48" i="25"/>
  <c r="G28" i="25"/>
  <c r="I47" i="25"/>
  <c r="F48" i="25"/>
  <c r="F47" i="25"/>
  <c r="F45" i="25"/>
  <c r="S71" i="17" a="1"/>
  <c r="S71" i="17" s="1"/>
  <c r="V71" i="17" s="1" a="1"/>
  <c r="V71" i="17" s="1"/>
  <c r="W71" i="17" s="1"/>
  <c r="R75" i="17" a="1"/>
  <c r="R75" i="17" s="1"/>
  <c r="U75" i="17" s="1" a="1"/>
  <c r="U75" i="17" s="1"/>
  <c r="R54" i="17" a="1"/>
  <c r="R54" i="17" s="1"/>
  <c r="U54" i="17" s="1" a="1"/>
  <c r="U54" i="17" s="1"/>
  <c r="S53" i="17" a="1"/>
  <c r="S53" i="17" s="1"/>
  <c r="T53" i="17" s="1"/>
  <c r="S249" i="17" a="1"/>
  <c r="S249" i="17" s="1"/>
  <c r="T249" i="17" s="1"/>
  <c r="S245" i="17" a="1"/>
  <c r="S245" i="17" s="1"/>
  <c r="V245" i="17" s="1" a="1"/>
  <c r="V245" i="17" s="1"/>
  <c r="W245" i="17" s="1"/>
  <c r="S87" i="17" a="1"/>
  <c r="S87" i="17" s="1"/>
  <c r="V87" i="17" s="1" a="1"/>
  <c r="V87" i="17" s="1"/>
  <c r="W87" i="17" s="1"/>
  <c r="R215" i="17" a="1"/>
  <c r="R215" i="17" s="1"/>
  <c r="U215" i="17" s="1" a="1"/>
  <c r="U215" i="17" s="1"/>
  <c r="R195" i="17" a="1"/>
  <c r="R195" i="17" s="1"/>
  <c r="U195" i="17" s="1" a="1"/>
  <c r="U195" i="17" s="1"/>
  <c r="R142" i="17" a="1"/>
  <c r="R142" i="17" s="1"/>
  <c r="U142" i="17" s="1" a="1"/>
  <c r="U142" i="17" s="1"/>
  <c r="S134" i="17" a="1"/>
  <c r="S134" i="17" s="1"/>
  <c r="T134" i="17" s="1"/>
  <c r="S180" i="17" a="1"/>
  <c r="S180" i="17" s="1"/>
  <c r="T180" i="17" s="1"/>
  <c r="R116" i="17" a="1"/>
  <c r="R116" i="17" s="1"/>
  <c r="U116" i="17" s="1" a="1"/>
  <c r="U116" i="17" s="1"/>
  <c r="S36" i="17" a="1"/>
  <c r="S36" i="17" s="1"/>
  <c r="T36" i="17" s="1"/>
  <c r="S58" i="17" a="1"/>
  <c r="S58" i="17" s="1"/>
  <c r="T58" i="17" s="1"/>
  <c r="S100" i="17" a="1"/>
  <c r="S100" i="17" s="1"/>
  <c r="V100" i="17" s="1" a="1"/>
  <c r="V100" i="17" s="1"/>
  <c r="W100" i="17" s="1"/>
  <c r="S244" i="17" a="1"/>
  <c r="S244" i="17" s="1"/>
  <c r="T244" i="17" s="1"/>
  <c r="R219" i="17" a="1"/>
  <c r="R219" i="17" s="1"/>
  <c r="U219" i="17" s="1" a="1"/>
  <c r="U219" i="17" s="1"/>
  <c r="F21" i="35"/>
  <c r="F23" i="35"/>
  <c r="R179" i="17" a="1"/>
  <c r="R179" i="17" s="1"/>
  <c r="U179" i="17" s="1" a="1"/>
  <c r="U179" i="17" s="1"/>
  <c r="R30" i="17" a="1"/>
  <c r="R30" i="17" s="1"/>
  <c r="U30" i="17" s="1" a="1"/>
  <c r="U30" i="17" s="1"/>
  <c r="S131" i="17" a="1"/>
  <c r="S131" i="17" s="1"/>
  <c r="V131" i="17" s="1" a="1"/>
  <c r="V131" i="17" s="1"/>
  <c r="W131" i="17" s="1"/>
  <c r="S43" i="17" a="1"/>
  <c r="S43" i="17" s="1"/>
  <c r="T43" i="17" s="1"/>
  <c r="S11" i="17" a="1"/>
  <c r="S11" i="17" s="1"/>
  <c r="V11" i="17" s="1" a="1"/>
  <c r="V11" i="17" s="1"/>
  <c r="W11" i="17" s="1"/>
  <c r="R188" i="17" a="1"/>
  <c r="R188" i="17" s="1"/>
  <c r="U188" i="17" s="1" a="1"/>
  <c r="U188" i="17" s="1"/>
  <c r="S202" i="17" a="1"/>
  <c r="S202" i="17" s="1"/>
  <c r="T202" i="17" s="1"/>
  <c r="F14" i="35"/>
  <c r="F17" i="35"/>
  <c r="S94" i="17" a="1"/>
  <c r="S94" i="17" s="1"/>
  <c r="T94" i="17" s="1"/>
  <c r="R216" i="17" a="1"/>
  <c r="R216" i="17" s="1"/>
  <c r="U216" i="17" s="1" a="1"/>
  <c r="U216" i="17" s="1"/>
  <c r="F19" i="35"/>
  <c r="F16" i="35"/>
  <c r="S60" i="17" a="1"/>
  <c r="S60" i="17" s="1"/>
  <c r="T60" i="17" s="1"/>
  <c r="S226" i="17" a="1"/>
  <c r="S226" i="17" s="1"/>
  <c r="T226" i="17" s="1"/>
  <c r="F18" i="35"/>
  <c r="F20" i="35"/>
  <c r="R155" i="17" a="1"/>
  <c r="R155" i="17" s="1"/>
  <c r="U155" i="17" s="1" a="1"/>
  <c r="U155" i="17" s="1"/>
  <c r="R152" i="17" a="1"/>
  <c r="R152" i="17" s="1"/>
  <c r="U152" i="17" s="1" a="1"/>
  <c r="U152" i="17" s="1"/>
  <c r="S136" i="17" a="1"/>
  <c r="S136" i="17" s="1"/>
  <c r="T136" i="17" s="1"/>
  <c r="R232" i="17" a="1"/>
  <c r="R232" i="17" s="1"/>
  <c r="U232" i="17" s="1" a="1"/>
  <c r="U232" i="17" s="1"/>
  <c r="S138" i="17" a="1"/>
  <c r="S138" i="17" s="1"/>
  <c r="V138" i="17" s="1" a="1"/>
  <c r="V138" i="17" s="1"/>
  <c r="W138" i="17" s="1"/>
  <c r="R128" i="17" a="1"/>
  <c r="R128" i="17" s="1"/>
  <c r="U128" i="17" s="1" a="1"/>
  <c r="U128" i="17" s="1"/>
  <c r="S34" i="17" a="1"/>
  <c r="S34" i="17" s="1"/>
  <c r="T34" i="17" s="1"/>
  <c r="S59" i="17" a="1"/>
  <c r="S59" i="17" s="1"/>
  <c r="T59" i="17" s="1"/>
  <c r="S76" i="17" a="1"/>
  <c r="S76" i="17" s="1"/>
  <c r="T76" i="17" s="1"/>
  <c r="S12" i="17" a="1"/>
  <c r="S12" i="17" s="1"/>
  <c r="T12" i="17" s="1"/>
  <c r="S140" i="17" a="1"/>
  <c r="S140" i="17" s="1"/>
  <c r="T140" i="17" s="1"/>
  <c r="S115" i="17" a="1"/>
  <c r="S115" i="17" s="1"/>
  <c r="T115" i="17" s="1"/>
  <c r="S98" i="17" a="1"/>
  <c r="S98" i="17" s="1"/>
  <c r="T98" i="17" s="1"/>
  <c r="S204" i="17" a="1"/>
  <c r="S204" i="17" s="1"/>
  <c r="T204" i="17" s="1"/>
  <c r="R192" i="17" a="1"/>
  <c r="R192" i="17" s="1"/>
  <c r="U192" i="17" s="1" a="1"/>
  <c r="U192" i="17" s="1"/>
  <c r="S162" i="17" a="1"/>
  <c r="S162" i="17" s="1"/>
  <c r="T162" i="17" s="1"/>
  <c r="S178" i="17" a="1"/>
  <c r="S178" i="17" s="1"/>
  <c r="V178" i="17" s="1" a="1"/>
  <c r="V178" i="17" s="1"/>
  <c r="W178" i="17" s="1"/>
  <c r="R183" i="17" a="1"/>
  <c r="R183" i="17" s="1"/>
  <c r="U183" i="17" s="1" a="1"/>
  <c r="U183" i="17" s="1"/>
  <c r="R156" i="17" a="1"/>
  <c r="R156" i="17" s="1"/>
  <c r="U156" i="17" s="1" a="1"/>
  <c r="U156" i="17" s="1"/>
  <c r="R119" i="17" a="1"/>
  <c r="R119" i="17" s="1"/>
  <c r="U119" i="17" s="1" a="1"/>
  <c r="U119" i="17" s="1"/>
  <c r="R114" i="17" a="1"/>
  <c r="R114" i="17" s="1"/>
  <c r="U114" i="17" s="1" a="1"/>
  <c r="U114" i="17" s="1"/>
  <c r="S78" i="17" a="1"/>
  <c r="S78" i="17" s="1"/>
  <c r="T78" i="17" s="1"/>
  <c r="S82" i="17" a="1"/>
  <c r="S82" i="17" s="1"/>
  <c r="T82" i="17" s="1"/>
  <c r="S242" i="17" a="1"/>
  <c r="S242" i="17" s="1"/>
  <c r="T242" i="17" s="1"/>
  <c r="S220" i="17" a="1"/>
  <c r="S220" i="17" s="1"/>
  <c r="T220" i="17" s="1"/>
  <c r="S146" i="17" a="1"/>
  <c r="S146" i="17" s="1"/>
  <c r="V146" i="17" s="1" a="1"/>
  <c r="V146" i="17" s="1"/>
  <c r="W146" i="17" s="1"/>
  <c r="S110" i="17" a="1"/>
  <c r="S110" i="17" s="1"/>
  <c r="T110" i="17" s="1"/>
  <c r="S14" i="17" a="1"/>
  <c r="S14" i="17" s="1"/>
  <c r="T14" i="17" s="1"/>
  <c r="S18" i="17" a="1"/>
  <c r="S18" i="17" s="1"/>
  <c r="T18" i="17" s="1"/>
  <c r="S64" i="17" a="1"/>
  <c r="S64" i="17" s="1"/>
  <c r="V64" i="17" s="1" a="1"/>
  <c r="V64" i="17" s="1"/>
  <c r="W64" i="17" s="1"/>
  <c r="S174" i="17" a="1"/>
  <c r="S174" i="17" s="1"/>
  <c r="V174" i="17" s="1" a="1"/>
  <c r="V174" i="17" s="1"/>
  <c r="W174" i="17" s="1"/>
  <c r="S168" i="17" a="1"/>
  <c r="S168" i="17" s="1"/>
  <c r="V168" i="17" s="1" a="1"/>
  <c r="V168" i="17" s="1"/>
  <c r="W168" i="17" s="1"/>
  <c r="S50" i="17" a="1"/>
  <c r="S50" i="17" s="1"/>
  <c r="T50" i="17" s="1"/>
  <c r="S227" i="17" a="1"/>
  <c r="S227" i="17" s="1"/>
  <c r="V227" i="17" s="1" a="1"/>
  <c r="V227" i="17" s="1"/>
  <c r="W227" i="17" s="1"/>
  <c r="S175" i="17" a="1"/>
  <c r="S175" i="17" s="1"/>
  <c r="T175" i="17" s="1"/>
  <c r="S124" i="17" a="1"/>
  <c r="S124" i="17" s="1"/>
  <c r="V124" i="17" s="1" a="1"/>
  <c r="V124" i="17" s="1"/>
  <c r="W124" i="17" s="1"/>
  <c r="D18" i="25"/>
  <c r="S200" i="17" a="1"/>
  <c r="S200" i="17" s="1"/>
  <c r="T200" i="17" s="1"/>
  <c r="S163" i="17" a="1"/>
  <c r="S163" i="17" s="1"/>
  <c r="V163" i="17" s="1" a="1"/>
  <c r="V163" i="17" s="1"/>
  <c r="W163" i="17" s="1"/>
  <c r="W108" i="31" a="1"/>
  <c r="W108" i="31" s="1"/>
  <c r="Z108" i="31" s="1" a="1"/>
  <c r="Z108" i="31" s="1"/>
  <c r="S28" i="17" a="1"/>
  <c r="S28" i="17" s="1"/>
  <c r="T28" i="17" s="1"/>
  <c r="S32" i="17" a="1"/>
  <c r="S32" i="17" s="1"/>
  <c r="V32" i="17" s="1" a="1"/>
  <c r="V32" i="17" s="1"/>
  <c r="W32" i="17" s="1"/>
  <c r="S46" i="17" a="1"/>
  <c r="S46" i="17" s="1"/>
  <c r="T46" i="17" s="1"/>
  <c r="S92" i="17" a="1"/>
  <c r="S92" i="17" s="1"/>
  <c r="T92" i="17" s="1"/>
  <c r="S96" i="17" a="1"/>
  <c r="S96" i="17" s="1"/>
  <c r="T96" i="17" s="1"/>
  <c r="R147" i="17" a="1"/>
  <c r="R147" i="17" s="1"/>
  <c r="U147" i="17" s="1" a="1"/>
  <c r="U147" i="17" s="1"/>
  <c r="R212" i="17" a="1"/>
  <c r="R212" i="17" s="1"/>
  <c r="U212" i="17" s="1" a="1"/>
  <c r="U212" i="17" s="1"/>
  <c r="S210" i="17" a="1"/>
  <c r="S210" i="17" s="1"/>
  <c r="T210" i="17" s="1"/>
  <c r="S206" i="17" a="1"/>
  <c r="S206" i="17" s="1"/>
  <c r="T206" i="17" s="1"/>
  <c r="S166" i="17" a="1"/>
  <c r="S166" i="17" s="1"/>
  <c r="V166" i="17" s="1" a="1"/>
  <c r="V166" i="17" s="1"/>
  <c r="W166" i="17" s="1"/>
  <c r="S151" i="17" a="1"/>
  <c r="S151" i="17" s="1"/>
  <c r="V151" i="17" s="1" a="1"/>
  <c r="V151" i="17" s="1"/>
  <c r="W151" i="17" s="1"/>
  <c r="W44" i="31" a="1"/>
  <c r="W44" i="31" s="1"/>
  <c r="Z44" i="31" s="1" a="1"/>
  <c r="Z44" i="31" s="1"/>
  <c r="D21" i="25"/>
  <c r="R66" i="17" a="1"/>
  <c r="R66" i="17" s="1"/>
  <c r="U66" i="17" s="1" a="1"/>
  <c r="U66" i="17" s="1"/>
  <c r="S170" i="17" a="1"/>
  <c r="S170" i="17" s="1"/>
  <c r="T170" i="17" s="1"/>
  <c r="R62" i="17" a="1"/>
  <c r="R62" i="17" s="1"/>
  <c r="U62" i="17" s="1" a="1"/>
  <c r="U62" i="17" s="1"/>
  <c r="R199" i="17" a="1"/>
  <c r="R199" i="17" s="1"/>
  <c r="U199" i="17" s="1" a="1"/>
  <c r="U199" i="17" s="1"/>
  <c r="R135" i="17" a="1"/>
  <c r="R135" i="17" s="1"/>
  <c r="U135" i="17" s="1" a="1"/>
  <c r="U135" i="17" s="1"/>
  <c r="D19" i="25"/>
  <c r="R224" i="17" a="1"/>
  <c r="R224" i="17" s="1"/>
  <c r="U224" i="17" s="1" a="1"/>
  <c r="U224" i="17" s="1"/>
  <c r="R211" i="17" a="1"/>
  <c r="R211" i="17" s="1"/>
  <c r="U211" i="17" s="1" a="1"/>
  <c r="U211" i="17" s="1"/>
  <c r="D17" i="25"/>
  <c r="R51" i="17" a="1"/>
  <c r="R51" i="17" s="1"/>
  <c r="U51" i="17" s="1" a="1"/>
  <c r="U51" i="17" s="1"/>
  <c r="R68" i="17" a="1"/>
  <c r="R68" i="17" s="1"/>
  <c r="U68" i="17" s="1" a="1"/>
  <c r="U68" i="17" s="1"/>
  <c r="R72" i="17" a="1"/>
  <c r="R72" i="17" s="1"/>
  <c r="U72" i="17" s="1" a="1"/>
  <c r="U72" i="17" s="1"/>
  <c r="D23" i="25"/>
  <c r="S86" i="17" a="1"/>
  <c r="S86" i="17" s="1"/>
  <c r="V86" i="17" s="1" a="1"/>
  <c r="V86" i="17" s="1"/>
  <c r="W86" i="17" s="1"/>
  <c r="S90" i="17" a="1"/>
  <c r="S90" i="17" s="1"/>
  <c r="T90" i="17" s="1"/>
  <c r="S8" i="17" a="1"/>
  <c r="S8" i="17" s="1"/>
  <c r="T8" i="17" s="1"/>
  <c r="S148" i="17" a="1"/>
  <c r="S148" i="17" s="1"/>
  <c r="V148" i="17" s="1" a="1"/>
  <c r="V148" i="17" s="1"/>
  <c r="W148" i="17" s="1"/>
  <c r="C29" i="25"/>
  <c r="E40" i="25" s="1"/>
  <c r="S22" i="17" a="1"/>
  <c r="S22" i="17" s="1"/>
  <c r="V22" i="17" s="1" a="1"/>
  <c r="V22" i="17" s="1"/>
  <c r="W22" i="17" s="1"/>
  <c r="S26" i="17" a="1"/>
  <c r="S26" i="17" s="1"/>
  <c r="T26" i="17" s="1"/>
  <c r="S239" i="17" a="1"/>
  <c r="S239" i="17" s="1"/>
  <c r="V239" i="17" s="1" a="1"/>
  <c r="V239" i="17" s="1"/>
  <c r="W239" i="17" s="1"/>
  <c r="S234" i="17" a="1"/>
  <c r="S234" i="17" s="1"/>
  <c r="T234" i="17" s="1"/>
  <c r="S230" i="17" a="1"/>
  <c r="S230" i="17" s="1"/>
  <c r="V230" i="17" s="1" a="1"/>
  <c r="V230" i="17" s="1"/>
  <c r="W230" i="17" s="1"/>
  <c r="S187" i="17" a="1"/>
  <c r="S187" i="17" s="1"/>
  <c r="T187" i="17" s="1"/>
  <c r="S160" i="17" a="1"/>
  <c r="S160" i="17" s="1"/>
  <c r="V160" i="17" s="1" a="1"/>
  <c r="V160" i="17" s="1"/>
  <c r="W160" i="17" s="1"/>
  <c r="S123" i="17" a="1"/>
  <c r="S123" i="17" s="1"/>
  <c r="V123" i="17" s="1" a="1"/>
  <c r="V123" i="17" s="1"/>
  <c r="W123" i="17" s="1"/>
  <c r="S63" i="17" a="1"/>
  <c r="S63" i="17" s="1"/>
  <c r="V63" i="17" s="1" a="1"/>
  <c r="V63" i="17" s="1"/>
  <c r="W63" i="17" s="1"/>
  <c r="S111" i="17" a="1"/>
  <c r="S111" i="17" s="1"/>
  <c r="T111" i="17" s="1"/>
  <c r="S106" i="17" a="1"/>
  <c r="S106" i="17" s="1"/>
  <c r="T106" i="17" s="1"/>
  <c r="D15" i="25"/>
  <c r="D20" i="25"/>
  <c r="S27" i="17" a="1"/>
  <c r="S27" i="17" s="1"/>
  <c r="T27" i="17" s="1"/>
  <c r="S39" i="17" a="1"/>
  <c r="S39" i="17" s="1"/>
  <c r="V39" i="17" s="1" a="1"/>
  <c r="V39" i="17" s="1"/>
  <c r="W39" i="17" s="1"/>
  <c r="S91" i="17" a="1"/>
  <c r="S91" i="17" s="1"/>
  <c r="T91" i="17" s="1"/>
  <c r="S103" i="17" a="1"/>
  <c r="S103" i="17" s="1"/>
  <c r="T103" i="17" s="1"/>
  <c r="S194" i="17" a="1"/>
  <c r="S194" i="17" s="1"/>
  <c r="T194" i="17" s="1"/>
  <c r="S190" i="17" a="1"/>
  <c r="S190" i="17" s="1"/>
  <c r="T190" i="17" s="1"/>
  <c r="S130" i="17" a="1"/>
  <c r="S130" i="17" s="1"/>
  <c r="T130" i="17" s="1"/>
  <c r="S126" i="17" a="1"/>
  <c r="S126" i="17" s="1"/>
  <c r="V126" i="17" s="1" a="1"/>
  <c r="V126" i="17" s="1"/>
  <c r="W126" i="17" s="1"/>
  <c r="D14" i="25"/>
  <c r="E16" i="30"/>
  <c r="E27" i="30" s="1"/>
  <c r="J16" i="30"/>
  <c r="J27" i="30" s="1"/>
  <c r="K16" i="30"/>
  <c r="K27" i="30" s="1"/>
  <c r="L16" i="30"/>
  <c r="L27" i="30" s="1"/>
  <c r="I16" i="30"/>
  <c r="I27" i="30" s="1"/>
  <c r="M16" i="30"/>
  <c r="M27" i="30" s="1"/>
  <c r="N16" i="30"/>
  <c r="N27" i="30" s="1"/>
  <c r="C27" i="30"/>
  <c r="G16" i="30"/>
  <c r="G27" i="30" s="1"/>
  <c r="F16" i="30"/>
  <c r="F27" i="30" s="1"/>
  <c r="H16" i="30"/>
  <c r="H27" i="30" s="1"/>
  <c r="I16" i="36"/>
  <c r="I27" i="36" s="1"/>
  <c r="M16" i="36"/>
  <c r="M27" i="36" s="1"/>
  <c r="N16" i="36"/>
  <c r="N27" i="36" s="1"/>
  <c r="L16" i="36"/>
  <c r="L27" i="36" s="1"/>
  <c r="O16" i="36"/>
  <c r="O27" i="36" s="1"/>
  <c r="P16" i="36"/>
  <c r="P27" i="36" s="1"/>
  <c r="Q16" i="36"/>
  <c r="Q27" i="36" s="1"/>
  <c r="R16" i="36"/>
  <c r="R27" i="36" s="1"/>
  <c r="E27" i="36"/>
  <c r="J16" i="36"/>
  <c r="J27" i="36" s="1"/>
  <c r="K16" i="36"/>
  <c r="K27" i="36" s="1"/>
  <c r="S44" i="17" a="1"/>
  <c r="S44" i="17" s="1"/>
  <c r="T44" i="17" s="1"/>
  <c r="S48" i="17" a="1"/>
  <c r="S48" i="17" s="1"/>
  <c r="V48" i="17" s="1" a="1"/>
  <c r="V48" i="17" s="1"/>
  <c r="W48" i="17" s="1"/>
  <c r="G29" i="25"/>
  <c r="E29" i="25"/>
  <c r="K29" i="25" a="1"/>
  <c r="K29" i="25" s="1"/>
  <c r="S247" i="17" a="1"/>
  <c r="S247" i="17" s="1"/>
  <c r="T247" i="17" s="1"/>
  <c r="S236" i="17" a="1"/>
  <c r="S236" i="17" s="1"/>
  <c r="V236" i="17" s="1" a="1"/>
  <c r="V236" i="17" s="1"/>
  <c r="W236" i="17" s="1"/>
  <c r="S184" i="17" a="1"/>
  <c r="S184" i="17" s="1"/>
  <c r="T184" i="17" s="1"/>
  <c r="S172" i="17" a="1"/>
  <c r="S172" i="17" s="1"/>
  <c r="T172" i="17" s="1"/>
  <c r="S120" i="17" a="1"/>
  <c r="S120" i="17" s="1"/>
  <c r="V120" i="17" s="1" a="1"/>
  <c r="V120" i="17" s="1"/>
  <c r="W120" i="17" s="1"/>
  <c r="S112" i="17" a="1"/>
  <c r="S112" i="17" s="1"/>
  <c r="T112" i="17" s="1"/>
  <c r="S108" i="17" a="1"/>
  <c r="S108" i="17" s="1"/>
  <c r="T108" i="17" s="1"/>
  <c r="E29" i="35"/>
  <c r="K29" i="35" a="1"/>
  <c r="K29" i="35" s="1"/>
  <c r="R6" i="17" a="1"/>
  <c r="R6" i="17" s="1"/>
  <c r="U6" i="17" s="1" a="1"/>
  <c r="U6" i="17" s="1"/>
  <c r="S6" i="17" a="1"/>
  <c r="S6" i="17" s="1"/>
  <c r="X2" i="31" a="1"/>
  <c r="X2" i="31" s="1"/>
  <c r="W2" i="31" a="1"/>
  <c r="W2" i="31" s="1"/>
  <c r="Z2" i="31" s="1" a="1"/>
  <c r="Z2" i="31" s="1"/>
  <c r="D50" i="36"/>
  <c r="C50" i="36"/>
  <c r="C35" i="36"/>
  <c r="D35" i="36"/>
  <c r="D34" i="30"/>
  <c r="C34" i="30"/>
  <c r="B11" i="25"/>
  <c r="C12" i="25"/>
  <c r="C13" i="25"/>
  <c r="C17" i="36"/>
  <c r="C18" i="36"/>
  <c r="B11" i="35"/>
  <c r="C11" i="35" s="1"/>
  <c r="C12" i="35"/>
  <c r="C13" i="35"/>
  <c r="C11" i="25"/>
  <c r="C22" i="25" s="1"/>
  <c r="C24" i="25" s="1" a="1"/>
  <c r="C24" i="25" s="1"/>
  <c r="C16" i="36"/>
  <c r="C27" i="36" s="1"/>
  <c r="C29" i="36" s="1"/>
  <c r="T13" i="17"/>
  <c r="V13" i="17" a="1"/>
  <c r="V13" i="17" s="1"/>
  <c r="W13" i="17" s="1"/>
  <c r="V15" i="17" a="1"/>
  <c r="V15" i="17" s="1"/>
  <c r="W15" i="17" s="1"/>
  <c r="V16" i="17" a="1"/>
  <c r="V16" i="17" s="1"/>
  <c r="T19" i="17"/>
  <c r="V19" i="17" a="1"/>
  <c r="V19" i="17" s="1"/>
  <c r="W19" i="17" s="1"/>
  <c r="T21" i="17"/>
  <c r="T25" i="17"/>
  <c r="V25" i="17" a="1"/>
  <c r="V25" i="17" s="1"/>
  <c r="W25" i="17" s="1"/>
  <c r="T29" i="17"/>
  <c r="V29" i="17" a="1"/>
  <c r="V29" i="17" s="1"/>
  <c r="W29" i="17" s="1"/>
  <c r="V30" i="17" a="1"/>
  <c r="V30" i="17" s="1"/>
  <c r="T31" i="17"/>
  <c r="V31" i="17" a="1"/>
  <c r="V31" i="17" s="1"/>
  <c r="W31" i="17" s="1"/>
  <c r="T33" i="17"/>
  <c r="V33" i="17" a="1"/>
  <c r="V33" i="17" s="1"/>
  <c r="W33" i="17" s="1"/>
  <c r="T35" i="17"/>
  <c r="V35" i="17" a="1"/>
  <c r="V35" i="17" s="1"/>
  <c r="T37" i="17"/>
  <c r="V37" i="17" a="1"/>
  <c r="V37" i="17" s="1"/>
  <c r="W37" i="17" s="1"/>
  <c r="T38" i="17"/>
  <c r="V38" i="17" a="1"/>
  <c r="V38" i="17" s="1"/>
  <c r="T40" i="17"/>
  <c r="V40" i="17" a="1"/>
  <c r="V40" i="17" s="1"/>
  <c r="W40" i="17" s="1"/>
  <c r="T41" i="17"/>
  <c r="V41" i="17" a="1"/>
  <c r="V41" i="17" s="1"/>
  <c r="W41" i="17" s="1"/>
  <c r="T42" i="17"/>
  <c r="V42" i="17" a="1"/>
  <c r="V42" i="17" s="1"/>
  <c r="T45" i="17"/>
  <c r="V45" i="17" a="1"/>
  <c r="V45" i="17" s="1"/>
  <c r="W45" i="17" s="1"/>
  <c r="T47" i="17"/>
  <c r="V47" i="17" a="1"/>
  <c r="V47" i="17" s="1"/>
  <c r="T49" i="17"/>
  <c r="V49" i="17" a="1"/>
  <c r="V49" i="17" s="1"/>
  <c r="W49" i="17" s="1"/>
  <c r="V51" i="17" a="1"/>
  <c r="V51" i="17" s="1"/>
  <c r="V52" i="17" a="1"/>
  <c r="V52" i="17" s="1"/>
  <c r="V54" i="17" a="1"/>
  <c r="V54" i="17" s="1"/>
  <c r="V55" i="17" a="1"/>
  <c r="V55" i="17" s="1"/>
  <c r="W55" i="17" s="1"/>
  <c r="V56" i="17" a="1"/>
  <c r="V56" i="17" s="1"/>
  <c r="T57" i="17"/>
  <c r="V57" i="17" a="1"/>
  <c r="V57" i="17" s="1"/>
  <c r="W57" i="17" s="1"/>
  <c r="V58" i="17" a="1"/>
  <c r="V58" i="17" s="1"/>
  <c r="W58" i="17" s="1"/>
  <c r="T61" i="17"/>
  <c r="V61" i="17" a="1"/>
  <c r="V61" i="17" s="1"/>
  <c r="W61" i="17" s="1"/>
  <c r="V62" i="17" a="1"/>
  <c r="V62" i="17" s="1"/>
  <c r="T64" i="17"/>
  <c r="V66" i="17" a="1"/>
  <c r="V66" i="17" s="1"/>
  <c r="V68" i="17" a="1"/>
  <c r="V68" i="17" s="1"/>
  <c r="T69" i="17"/>
  <c r="V69" i="17" a="1"/>
  <c r="V69" i="17" s="1"/>
  <c r="W69" i="17" s="1"/>
  <c r="V72" i="17" a="1"/>
  <c r="V72" i="17" s="1"/>
  <c r="V74" i="17" a="1"/>
  <c r="V74" i="17" s="1"/>
  <c r="T75" i="17"/>
  <c r="V75" i="17" a="1"/>
  <c r="V75" i="17" s="1"/>
  <c r="T77" i="17"/>
  <c r="V77" i="17" a="1"/>
  <c r="V77" i="17" s="1"/>
  <c r="W77" i="17" s="1"/>
  <c r="V79" i="17" a="1"/>
  <c r="V79" i="17" s="1"/>
  <c r="W79" i="17" s="1"/>
  <c r="T80" i="17"/>
  <c r="V80" i="17" a="1"/>
  <c r="V80" i="17" s="1"/>
  <c r="W80" i="17" s="1"/>
  <c r="T81" i="17"/>
  <c r="V81" i="17" a="1"/>
  <c r="V81" i="17" s="1"/>
  <c r="W81" i="17" s="1"/>
  <c r="T83" i="17"/>
  <c r="V83" i="17" a="1"/>
  <c r="V83" i="17" s="1"/>
  <c r="W83" i="17" s="1"/>
  <c r="V84" i="17" a="1"/>
  <c r="V84" i="17" s="1"/>
  <c r="W84" i="17" s="1"/>
  <c r="V85" i="17" a="1"/>
  <c r="V85" i="17" s="1"/>
  <c r="T87" i="17"/>
  <c r="T89" i="17"/>
  <c r="V89" i="17" a="1"/>
  <c r="V89" i="17" s="1"/>
  <c r="T93" i="17"/>
  <c r="V93" i="17" a="1"/>
  <c r="V93" i="17" s="1"/>
  <c r="W93" i="17" s="1"/>
  <c r="T95" i="17"/>
  <c r="V95" i="17" a="1"/>
  <c r="V95" i="17" s="1"/>
  <c r="W95" i="17" s="1"/>
  <c r="T97" i="17"/>
  <c r="V97" i="17" a="1"/>
  <c r="V97" i="17" s="1"/>
  <c r="W97" i="17" s="1"/>
  <c r="T99" i="17"/>
  <c r="V99" i="17" a="1"/>
  <c r="V99" i="17" s="1"/>
  <c r="T101" i="17"/>
  <c r="V101" i="17" a="1"/>
  <c r="V101" i="17" s="1"/>
  <c r="W101" i="17" s="1"/>
  <c r="V102" i="17" a="1"/>
  <c r="V102" i="17" s="1"/>
  <c r="W102" i="17" s="1"/>
  <c r="T104" i="17"/>
  <c r="V104" i="17" a="1"/>
  <c r="V104" i="17" s="1"/>
  <c r="W104" i="17" s="1"/>
  <c r="T250" i="17"/>
  <c r="V250" i="17" a="1"/>
  <c r="V250" i="17" s="1"/>
  <c r="W250" i="17" s="1"/>
  <c r="V7" i="17" a="1"/>
  <c r="V7" i="17" s="1"/>
  <c r="T9" i="17"/>
  <c r="V9" i="17" a="1"/>
  <c r="V9" i="17" s="1"/>
  <c r="W9" i="17" s="1"/>
  <c r="T248" i="17"/>
  <c r="V248" i="17" a="1"/>
  <c r="V248" i="17" s="1"/>
  <c r="W248" i="17" s="1"/>
  <c r="T245" i="17"/>
  <c r="V243" i="17" a="1"/>
  <c r="V243" i="17" s="1"/>
  <c r="V241" i="17" a="1"/>
  <c r="V241" i="17" s="1"/>
  <c r="W241" i="17" s="1"/>
  <c r="V238" i="17" a="1"/>
  <c r="V238" i="17" s="1"/>
  <c r="W238" i="17" s="1"/>
  <c r="T237" i="17"/>
  <c r="V237" i="17" a="1"/>
  <c r="V237" i="17" s="1"/>
  <c r="W237" i="17" s="1"/>
  <c r="T233" i="17"/>
  <c r="V232" i="17" a="1"/>
  <c r="V232" i="17" s="1"/>
  <c r="V231" i="17" a="1"/>
  <c r="V231" i="17" s="1"/>
  <c r="W231" i="17" s="1"/>
  <c r="T229" i="17"/>
  <c r="V229" i="17" a="1"/>
  <c r="V229" i="17" s="1"/>
  <c r="W229" i="17" s="1"/>
  <c r="T225" i="17"/>
  <c r="V225" i="17" a="1"/>
  <c r="V225" i="17" s="1"/>
  <c r="W225" i="17" s="1"/>
  <c r="V224" i="17" a="1"/>
  <c r="V224" i="17" s="1"/>
  <c r="T222" i="17"/>
  <c r="V222" i="17" a="1"/>
  <c r="V222" i="17" s="1"/>
  <c r="W222" i="17" s="1"/>
  <c r="T221" i="17"/>
  <c r="V221" i="17" a="1"/>
  <c r="V221" i="17" s="1"/>
  <c r="W221" i="17" s="1"/>
  <c r="V219" i="17" a="1"/>
  <c r="V219" i="17" s="1"/>
  <c r="V218" i="17" a="1"/>
  <c r="V218" i="17" s="1"/>
  <c r="W218" i="17" s="1"/>
  <c r="V216" i="17" a="1"/>
  <c r="V216" i="17" s="1"/>
  <c r="V215" i="17" a="1"/>
  <c r="V215" i="17" s="1"/>
  <c r="T214" i="17"/>
  <c r="V212" i="17" a="1"/>
  <c r="V212" i="17" s="1"/>
  <c r="V211" i="17" a="1"/>
  <c r="V211" i="17" s="1"/>
  <c r="T209" i="17"/>
  <c r="V209" i="17" a="1"/>
  <c r="V209" i="17" s="1"/>
  <c r="W209" i="17" s="1"/>
  <c r="T207" i="17"/>
  <c r="V207" i="17" a="1"/>
  <c r="V207" i="17" s="1"/>
  <c r="W207" i="17" s="1"/>
  <c r="T205" i="17"/>
  <c r="V205" i="17" a="1"/>
  <c r="V205" i="17" s="1"/>
  <c r="W205" i="17" s="1"/>
  <c r="V204" i="17" a="1"/>
  <c r="V204" i="17" s="1"/>
  <c r="W204" i="17" s="1"/>
  <c r="V203" i="17" a="1"/>
  <c r="V203" i="17" s="1"/>
  <c r="T201" i="17"/>
  <c r="V201" i="17" a="1"/>
  <c r="V201" i="17" s="1"/>
  <c r="W201" i="17" s="1"/>
  <c r="V199" i="17" a="1"/>
  <c r="V199" i="17" s="1"/>
  <c r="T198" i="17"/>
  <c r="V198" i="17" a="1"/>
  <c r="V198" i="17" s="1"/>
  <c r="W198" i="17" s="1"/>
  <c r="T197" i="17"/>
  <c r="V197" i="17" a="1"/>
  <c r="V197" i="17" s="1"/>
  <c r="W197" i="17" s="1"/>
  <c r="V195" i="17" a="1"/>
  <c r="V195" i="17" s="1"/>
  <c r="T193" i="17"/>
  <c r="V193" i="17" a="1"/>
  <c r="V193" i="17" s="1"/>
  <c r="W193" i="17" s="1"/>
  <c r="V192" i="17" a="1"/>
  <c r="V192" i="17" s="1"/>
  <c r="T189" i="17"/>
  <c r="V189" i="17" a="1"/>
  <c r="V189" i="17" s="1"/>
  <c r="W189" i="17" s="1"/>
  <c r="V188" i="17" a="1"/>
  <c r="V188" i="17" s="1"/>
  <c r="T186" i="17"/>
  <c r="V183" i="17" a="1"/>
  <c r="V183" i="17" s="1"/>
  <c r="W183" i="17" s="1"/>
  <c r="T181" i="17"/>
  <c r="V181" i="17" a="1"/>
  <c r="V181" i="17" s="1"/>
  <c r="W181" i="17" s="1"/>
  <c r="V179" i="17" a="1"/>
  <c r="V179" i="17" s="1"/>
  <c r="T177" i="17"/>
  <c r="V177" i="17" a="1"/>
  <c r="V177" i="17" s="1"/>
  <c r="W177" i="17" s="1"/>
  <c r="V176" i="17" a="1"/>
  <c r="V176" i="17" s="1"/>
  <c r="T173" i="17"/>
  <c r="V173" i="17" a="1"/>
  <c r="V173" i="17" s="1"/>
  <c r="W173" i="17" s="1"/>
  <c r="T171" i="17"/>
  <c r="V169" i="17" a="1"/>
  <c r="V169" i="17" s="1"/>
  <c r="W169" i="17" s="1"/>
  <c r="T167" i="17"/>
  <c r="V167" i="17" a="1"/>
  <c r="V167" i="17" s="1"/>
  <c r="W167" i="17" s="1"/>
  <c r="V165" i="17" a="1"/>
  <c r="V165" i="17" s="1"/>
  <c r="T164" i="17"/>
  <c r="V164" i="17" a="1"/>
  <c r="V164" i="17" s="1"/>
  <c r="T161" i="17"/>
  <c r="V161" i="17" a="1"/>
  <c r="V161" i="17" s="1"/>
  <c r="W161" i="17" s="1"/>
  <c r="V159" i="17" a="1"/>
  <c r="V159" i="17" s="1"/>
  <c r="W159" i="17" s="1"/>
  <c r="T157" i="17"/>
  <c r="V157" i="17" a="1"/>
  <c r="V157" i="17" s="1"/>
  <c r="W157" i="17" s="1"/>
  <c r="V156" i="17" a="1"/>
  <c r="V156" i="17" s="1"/>
  <c r="V155" i="17" a="1"/>
  <c r="V155" i="17" s="1"/>
  <c r="V154" i="17" a="1"/>
  <c r="V154" i="17" s="1"/>
  <c r="V152" i="17" a="1"/>
  <c r="V152" i="17" s="1"/>
  <c r="T150" i="17"/>
  <c r="V149" i="17" a="1"/>
  <c r="V149" i="17" s="1"/>
  <c r="W149" i="17" s="1"/>
  <c r="V147" i="17" a="1"/>
  <c r="V147" i="17" s="1"/>
  <c r="T145" i="17"/>
  <c r="V145" i="17" a="1"/>
  <c r="V145" i="17" s="1"/>
  <c r="W145" i="17" s="1"/>
  <c r="V144" i="17" a="1"/>
  <c r="V144" i="17" s="1"/>
  <c r="T143" i="17"/>
  <c r="V143" i="17" a="1"/>
  <c r="V143" i="17" s="1"/>
  <c r="W143" i="17" s="1"/>
  <c r="T142" i="17"/>
  <c r="V142" i="17" a="1"/>
  <c r="V142" i="17" s="1"/>
  <c r="T141" i="17"/>
  <c r="V141" i="17" a="1"/>
  <c r="V141" i="17" s="1"/>
  <c r="W141" i="17" s="1"/>
  <c r="V139" i="17" a="1"/>
  <c r="V139" i="17" s="1"/>
  <c r="T137" i="17"/>
  <c r="V137" i="17" a="1"/>
  <c r="V137" i="17" s="1"/>
  <c r="W137" i="17" s="1"/>
  <c r="V135" i="17" a="1"/>
  <c r="V135" i="17" s="1"/>
  <c r="T133" i="17"/>
  <c r="V133" i="17" a="1"/>
  <c r="V133" i="17" s="1"/>
  <c r="W133" i="17" s="1"/>
  <c r="V132" i="17" a="1"/>
  <c r="V132" i="17" s="1"/>
  <c r="W132" i="17" s="1"/>
  <c r="T129" i="17"/>
  <c r="V129" i="17" a="1"/>
  <c r="V129" i="17" s="1"/>
  <c r="W129" i="17" s="1"/>
  <c r="V128" i="17" a="1"/>
  <c r="V128" i="17" s="1"/>
  <c r="T125" i="17"/>
  <c r="V125" i="17" a="1"/>
  <c r="V125" i="17" s="1"/>
  <c r="W125" i="17" s="1"/>
  <c r="T123" i="17"/>
  <c r="V122" i="17" a="1"/>
  <c r="V122" i="17" s="1"/>
  <c r="W122" i="17" s="1"/>
  <c r="T120" i="17"/>
  <c r="V119" i="17" a="1"/>
  <c r="V119" i="17" s="1"/>
  <c r="V118" i="17" a="1"/>
  <c r="V118" i="17" s="1"/>
  <c r="W118" i="17" s="1"/>
  <c r="T117" i="17"/>
  <c r="V117" i="17" a="1"/>
  <c r="V117" i="17" s="1"/>
  <c r="W117" i="17" s="1"/>
  <c r="V116" i="17" a="1"/>
  <c r="V116" i="17" s="1"/>
  <c r="V114" i="17" a="1"/>
  <c r="V114" i="17" s="1"/>
  <c r="T113" i="17"/>
  <c r="V113" i="17" a="1"/>
  <c r="V113" i="17" s="1"/>
  <c r="W113" i="17" s="1"/>
  <c r="Y3" i="31"/>
  <c r="AA3" i="31" a="1"/>
  <c r="AA3" i="31" s="1"/>
  <c r="Y4" i="31"/>
  <c r="AA4" i="31" a="1"/>
  <c r="AA4" i="31" s="1"/>
  <c r="AB4" i="31" s="1"/>
  <c r="Y5" i="31"/>
  <c r="AA5" i="31" a="1"/>
  <c r="AA5" i="31" s="1"/>
  <c r="AB5" i="31" s="1"/>
  <c r="Y6" i="31"/>
  <c r="AA6" i="31" a="1"/>
  <c r="AA6" i="31" s="1"/>
  <c r="AB6" i="31" s="1"/>
  <c r="Y7" i="31"/>
  <c r="AA7" i="31" a="1"/>
  <c r="AA7" i="31" s="1"/>
  <c r="AB7" i="31" s="1"/>
  <c r="Y8" i="31"/>
  <c r="AA8" i="31" a="1"/>
  <c r="AA8" i="31" s="1"/>
  <c r="AB8" i="31" s="1"/>
  <c r="Y9" i="31"/>
  <c r="AA9" i="31" a="1"/>
  <c r="AA9" i="31" s="1"/>
  <c r="AB9" i="31" s="1"/>
  <c r="Y10" i="31"/>
  <c r="AA10" i="31" a="1"/>
  <c r="AA10" i="31" s="1"/>
  <c r="AB10" i="31" s="1"/>
  <c r="Y11" i="31"/>
  <c r="AA11" i="31" a="1"/>
  <c r="AA11" i="31" s="1"/>
  <c r="AB11" i="31" s="1"/>
  <c r="Y12" i="31"/>
  <c r="AA12" i="31" a="1"/>
  <c r="AA12" i="31" s="1"/>
  <c r="AB12" i="31" s="1"/>
  <c r="Y13" i="31"/>
  <c r="AA13" i="31" a="1"/>
  <c r="AA13" i="31" s="1"/>
  <c r="AB13" i="31" s="1"/>
  <c r="Y14" i="31"/>
  <c r="AA14" i="31" a="1"/>
  <c r="AA14" i="31" s="1"/>
  <c r="AB14" i="31" s="1"/>
  <c r="Y15" i="31"/>
  <c r="AA15" i="31" a="1"/>
  <c r="AA15" i="31" s="1"/>
  <c r="AB15" i="31" s="1"/>
  <c r="Y16" i="31"/>
  <c r="AA16" i="31" a="1"/>
  <c r="AA16" i="31" s="1"/>
  <c r="AB16" i="31" s="1"/>
  <c r="Y17" i="31"/>
  <c r="AA17" i="31" a="1"/>
  <c r="AA17" i="31" s="1"/>
  <c r="AB17" i="31" s="1"/>
  <c r="Y18" i="31"/>
  <c r="AA18" i="31" a="1"/>
  <c r="AA18" i="31" s="1"/>
  <c r="AB18" i="31" s="1"/>
  <c r="Y19" i="31"/>
  <c r="AA19" i="31" a="1"/>
  <c r="AA19" i="31" s="1"/>
  <c r="AB19" i="31" s="1"/>
  <c r="Y20" i="31"/>
  <c r="AA20" i="31" a="1"/>
  <c r="AA20" i="31" s="1"/>
  <c r="AB20" i="31" s="1"/>
  <c r="Y21" i="31"/>
  <c r="AA21" i="31" a="1"/>
  <c r="AA21" i="31" s="1"/>
  <c r="AB21" i="31" s="1"/>
  <c r="Y22" i="31"/>
  <c r="AA22" i="31" a="1"/>
  <c r="AA22" i="31" s="1"/>
  <c r="AB22" i="31" s="1"/>
  <c r="Y23" i="31"/>
  <c r="AA23" i="31" a="1"/>
  <c r="AA23" i="31" s="1"/>
  <c r="AB23" i="31" s="1"/>
  <c r="Y24" i="31"/>
  <c r="AA24" i="31" a="1"/>
  <c r="AA24" i="31" s="1"/>
  <c r="AB24" i="31" s="1"/>
  <c r="Y25" i="31"/>
  <c r="AA25" i="31" a="1"/>
  <c r="AA25" i="31" s="1"/>
  <c r="AB25" i="31" s="1"/>
  <c r="Y26" i="31"/>
  <c r="AA26" i="31" a="1"/>
  <c r="AA26" i="31" s="1"/>
  <c r="AB26" i="31" s="1"/>
  <c r="Y27" i="31"/>
  <c r="AA27" i="31" a="1"/>
  <c r="AA27" i="31" s="1"/>
  <c r="AB27" i="31" s="1"/>
  <c r="Y28" i="31"/>
  <c r="AA28" i="31" a="1"/>
  <c r="AA28" i="31" s="1"/>
  <c r="AB28" i="31" s="1"/>
  <c r="Y29" i="31"/>
  <c r="AA29" i="31" a="1"/>
  <c r="AA29" i="31" s="1"/>
  <c r="AB29" i="31" s="1"/>
  <c r="Y30" i="31"/>
  <c r="AA30" i="31" a="1"/>
  <c r="AA30" i="31" s="1"/>
  <c r="AB30" i="31" s="1"/>
  <c r="Y31" i="31"/>
  <c r="AA31" i="31" a="1"/>
  <c r="AA31" i="31" s="1"/>
  <c r="AB31" i="31" s="1"/>
  <c r="Y32" i="31"/>
  <c r="AA32" i="31" a="1"/>
  <c r="AA32" i="31" s="1"/>
  <c r="AB32" i="31" s="1"/>
  <c r="Y33" i="31"/>
  <c r="AA33" i="31" a="1"/>
  <c r="AA33" i="31" s="1"/>
  <c r="AB33" i="31" s="1"/>
  <c r="Y34" i="31"/>
  <c r="AA34" i="31" a="1"/>
  <c r="AA34" i="31" s="1"/>
  <c r="AB34" i="31" s="1"/>
  <c r="Y35" i="31"/>
  <c r="AA35" i="31" a="1"/>
  <c r="AA35" i="31" s="1"/>
  <c r="AB35" i="31" s="1"/>
  <c r="Y36" i="31"/>
  <c r="AA36" i="31" a="1"/>
  <c r="AA36" i="31" s="1"/>
  <c r="AB36" i="31" s="1"/>
  <c r="Y37" i="31"/>
  <c r="AA37" i="31" a="1"/>
  <c r="AA37" i="31" s="1"/>
  <c r="AB37" i="31" s="1"/>
  <c r="Y38" i="31"/>
  <c r="AA38" i="31" a="1"/>
  <c r="AA38" i="31" s="1"/>
  <c r="AB38" i="31" s="1"/>
  <c r="Y39" i="31"/>
  <c r="AA39" i="31" a="1"/>
  <c r="AA39" i="31" s="1"/>
  <c r="AB39" i="31" s="1"/>
  <c r="Y40" i="31"/>
  <c r="AA40" i="31" a="1"/>
  <c r="AA40" i="31" s="1"/>
  <c r="AB40" i="31" s="1"/>
  <c r="Y41" i="31"/>
  <c r="AA41" i="31" a="1"/>
  <c r="AA41" i="31" s="1"/>
  <c r="AB41" i="31" s="1"/>
  <c r="Y42" i="31"/>
  <c r="AA42" i="31" a="1"/>
  <c r="AA42" i="31" s="1"/>
  <c r="AB42" i="31" s="1"/>
  <c r="Y43" i="31"/>
  <c r="AA43" i="31" a="1"/>
  <c r="AA43" i="31" s="1"/>
  <c r="AB43" i="31" s="1"/>
  <c r="AA44" i="31" a="1"/>
  <c r="AA44" i="31" s="1"/>
  <c r="Y45" i="31"/>
  <c r="AA45" i="31" a="1"/>
  <c r="AA45" i="31" s="1"/>
  <c r="AB45" i="31" s="1"/>
  <c r="Y46" i="31"/>
  <c r="AA46" i="31" a="1"/>
  <c r="AA46" i="31" s="1"/>
  <c r="AB46" i="31" s="1"/>
  <c r="Y47" i="31"/>
  <c r="AA47" i="31" a="1"/>
  <c r="AA47" i="31" s="1"/>
  <c r="AB47" i="31" s="1"/>
  <c r="Y48" i="31"/>
  <c r="AA48" i="31" a="1"/>
  <c r="AA48" i="31" s="1"/>
  <c r="AB48" i="31" s="1"/>
  <c r="Y49" i="31"/>
  <c r="AA49" i="31" a="1"/>
  <c r="AA49" i="31" s="1"/>
  <c r="AB49" i="31" s="1"/>
  <c r="Y50" i="31"/>
  <c r="AA50" i="31" a="1"/>
  <c r="AA50" i="31" s="1"/>
  <c r="AB50" i="31" s="1"/>
  <c r="Y51" i="31"/>
  <c r="AA51" i="31" a="1"/>
  <c r="AA51" i="31" s="1"/>
  <c r="AB51" i="31" s="1"/>
  <c r="Y52" i="31"/>
  <c r="AA52" i="31" a="1"/>
  <c r="AA52" i="31" s="1"/>
  <c r="AB52" i="31" s="1"/>
  <c r="Y53" i="31"/>
  <c r="AA53" i="31" a="1"/>
  <c r="AA53" i="31" s="1"/>
  <c r="AB53" i="31" s="1"/>
  <c r="Y54" i="31"/>
  <c r="AA54" i="31" a="1"/>
  <c r="AA54" i="31" s="1"/>
  <c r="AB54" i="31" s="1"/>
  <c r="Y55" i="31"/>
  <c r="AA55" i="31" a="1"/>
  <c r="AA55" i="31" s="1"/>
  <c r="AB55" i="31" s="1"/>
  <c r="Y56" i="31"/>
  <c r="AA56" i="31" a="1"/>
  <c r="AA56" i="31" s="1"/>
  <c r="AB56" i="31" s="1"/>
  <c r="Y57" i="31"/>
  <c r="AA57" i="31" a="1"/>
  <c r="AA57" i="31" s="1"/>
  <c r="AB57" i="31" s="1"/>
  <c r="Y58" i="31"/>
  <c r="AA58" i="31" a="1"/>
  <c r="AA58" i="31" s="1"/>
  <c r="AB58" i="31" s="1"/>
  <c r="Y59" i="31"/>
  <c r="AA59" i="31" a="1"/>
  <c r="AA59" i="31" s="1"/>
  <c r="AB59" i="31" s="1"/>
  <c r="Y60" i="31"/>
  <c r="AA60" i="31" a="1"/>
  <c r="AA60" i="31" s="1"/>
  <c r="AB60" i="31" s="1"/>
  <c r="Y61" i="31"/>
  <c r="AA61" i="31" a="1"/>
  <c r="AA61" i="31" s="1"/>
  <c r="AB61" i="31" s="1"/>
  <c r="Y62" i="31"/>
  <c r="AA62" i="31" a="1"/>
  <c r="AA62" i="31" s="1"/>
  <c r="AB62" i="31" s="1"/>
  <c r="Y63" i="31"/>
  <c r="AA63" i="31" a="1"/>
  <c r="AA63" i="31" s="1"/>
  <c r="AB63" i="31" s="1"/>
  <c r="Y64" i="31"/>
  <c r="AA64" i="31" a="1"/>
  <c r="AA64" i="31" s="1"/>
  <c r="AB64" i="31" s="1"/>
  <c r="Y65" i="31"/>
  <c r="AA65" i="31" a="1"/>
  <c r="AA65" i="31" s="1"/>
  <c r="AB65" i="31" s="1"/>
  <c r="Y66" i="31"/>
  <c r="AA66" i="31" a="1"/>
  <c r="AA66" i="31" s="1"/>
  <c r="AB66" i="31" s="1"/>
  <c r="Y67" i="31"/>
  <c r="AA67" i="31" a="1"/>
  <c r="AA67" i="31" s="1"/>
  <c r="AB67" i="31" s="1"/>
  <c r="Y68" i="31"/>
  <c r="AA68" i="31" a="1"/>
  <c r="AA68" i="31" s="1"/>
  <c r="AB68" i="31" s="1"/>
  <c r="Y69" i="31"/>
  <c r="AA69" i="31" a="1"/>
  <c r="AA69" i="31" s="1"/>
  <c r="AB69" i="31" s="1"/>
  <c r="Y70" i="31"/>
  <c r="AA70" i="31" a="1"/>
  <c r="AA70" i="31" s="1"/>
  <c r="AB70" i="31" s="1"/>
  <c r="Y71" i="31"/>
  <c r="AA71" i="31" a="1"/>
  <c r="AA71" i="31" s="1"/>
  <c r="AB71" i="31" s="1"/>
  <c r="Y72" i="31"/>
  <c r="AA72" i="31" a="1"/>
  <c r="AA72" i="31" s="1"/>
  <c r="AB72" i="31" s="1"/>
  <c r="Y73" i="31"/>
  <c r="AA73" i="31" a="1"/>
  <c r="AA73" i="31" s="1"/>
  <c r="AB73" i="31" s="1"/>
  <c r="Y74" i="31"/>
  <c r="AA74" i="31" a="1"/>
  <c r="AA74" i="31" s="1"/>
  <c r="AB74" i="31" s="1"/>
  <c r="Y75" i="31"/>
  <c r="AA75" i="31" a="1"/>
  <c r="AA75" i="31" s="1"/>
  <c r="AB75" i="31" s="1"/>
  <c r="Y76" i="31"/>
  <c r="AA76" i="31" a="1"/>
  <c r="AA76" i="31" s="1"/>
  <c r="AB76" i="31" s="1"/>
  <c r="Y77" i="31"/>
  <c r="AA77" i="31" a="1"/>
  <c r="AA77" i="31" s="1"/>
  <c r="AB77" i="31" s="1"/>
  <c r="Y78" i="31"/>
  <c r="AA78" i="31" a="1"/>
  <c r="AA78" i="31" s="1"/>
  <c r="AB78" i="31" s="1"/>
  <c r="Y79" i="31"/>
  <c r="AA79" i="31" a="1"/>
  <c r="AA79" i="31" s="1"/>
  <c r="AB79" i="31" s="1"/>
  <c r="Y80" i="31"/>
  <c r="AA80" i="31" a="1"/>
  <c r="AA80" i="31" s="1"/>
  <c r="AB80" i="31" s="1"/>
  <c r="Y81" i="31"/>
  <c r="AA81" i="31" a="1"/>
  <c r="AA81" i="31" s="1"/>
  <c r="AB81" i="31" s="1"/>
  <c r="Y82" i="31"/>
  <c r="AA82" i="31" a="1"/>
  <c r="AA82" i="31" s="1"/>
  <c r="AB82" i="31" s="1"/>
  <c r="Y83" i="31"/>
  <c r="AA83" i="31" a="1"/>
  <c r="AA83" i="31" s="1"/>
  <c r="AB83" i="31" s="1"/>
  <c r="Y84" i="31"/>
  <c r="AA84" i="31" a="1"/>
  <c r="AA84" i="31" s="1"/>
  <c r="AB84" i="31" s="1"/>
  <c r="Y85" i="31"/>
  <c r="AA85" i="31" a="1"/>
  <c r="AA85" i="31" s="1"/>
  <c r="AB85" i="31" s="1"/>
  <c r="Y86" i="31"/>
  <c r="AA86" i="31" a="1"/>
  <c r="AA86" i="31" s="1"/>
  <c r="AB86" i="31" s="1"/>
  <c r="Y87" i="31"/>
  <c r="AA87" i="31" a="1"/>
  <c r="AA87" i="31" s="1"/>
  <c r="AB87" i="31" s="1"/>
  <c r="Y88" i="31"/>
  <c r="AA88" i="31" a="1"/>
  <c r="AA88" i="31" s="1"/>
  <c r="AB88" i="31" s="1"/>
  <c r="Y89" i="31"/>
  <c r="AA89" i="31" a="1"/>
  <c r="AA89" i="31" s="1"/>
  <c r="AB89" i="31" s="1"/>
  <c r="Y90" i="31"/>
  <c r="AA90" i="31" a="1"/>
  <c r="AA90" i="31" s="1"/>
  <c r="AB90" i="31" s="1"/>
  <c r="Y91" i="31"/>
  <c r="AA91" i="31" a="1"/>
  <c r="AA91" i="31" s="1"/>
  <c r="AB91" i="31" s="1"/>
  <c r="Y92" i="31"/>
  <c r="AA92" i="31" a="1"/>
  <c r="AA92" i="31" s="1"/>
  <c r="AB92" i="31" s="1"/>
  <c r="Y93" i="31"/>
  <c r="AA93" i="31" a="1"/>
  <c r="AA93" i="31" s="1"/>
  <c r="AB93" i="31" s="1"/>
  <c r="Y94" i="31"/>
  <c r="AA94" i="31" a="1"/>
  <c r="AA94" i="31" s="1"/>
  <c r="AB94" i="31" s="1"/>
  <c r="Y95" i="31"/>
  <c r="AA95" i="31" a="1"/>
  <c r="AA95" i="31" s="1"/>
  <c r="AB95" i="31" s="1"/>
  <c r="Y96" i="31"/>
  <c r="AA96" i="31" a="1"/>
  <c r="AA96" i="31" s="1"/>
  <c r="AB96" i="31" s="1"/>
  <c r="Y97" i="31"/>
  <c r="AA97" i="31" a="1"/>
  <c r="AA97" i="31" s="1"/>
  <c r="AB97" i="31" s="1"/>
  <c r="Y98" i="31"/>
  <c r="AA98" i="31" a="1"/>
  <c r="AA98" i="31" s="1"/>
  <c r="AB98" i="31" s="1"/>
  <c r="Y99" i="31"/>
  <c r="AA99" i="31" a="1"/>
  <c r="AA99" i="31" s="1"/>
  <c r="AB99" i="31" s="1"/>
  <c r="Y100" i="31"/>
  <c r="AA100" i="31" a="1"/>
  <c r="AA100" i="31" s="1"/>
  <c r="AB100" i="31" s="1"/>
  <c r="Y101" i="31"/>
  <c r="AA101" i="31" a="1"/>
  <c r="AA101" i="31" s="1"/>
  <c r="AB101" i="31" s="1"/>
  <c r="Y102" i="31"/>
  <c r="AA102" i="31" a="1"/>
  <c r="AA102" i="31" s="1"/>
  <c r="AB102" i="31" s="1"/>
  <c r="Y103" i="31"/>
  <c r="AA103" i="31" a="1"/>
  <c r="AA103" i="31" s="1"/>
  <c r="AB103" i="31" s="1"/>
  <c r="Y104" i="31"/>
  <c r="AA104" i="31" a="1"/>
  <c r="AA104" i="31" s="1"/>
  <c r="AB104" i="31" s="1"/>
  <c r="Y105" i="31"/>
  <c r="AA105" i="31" a="1"/>
  <c r="AA105" i="31" s="1"/>
  <c r="AB105" i="31" s="1"/>
  <c r="Y106" i="31"/>
  <c r="AA106" i="31" a="1"/>
  <c r="AA106" i="31" s="1"/>
  <c r="AB106" i="31" s="1"/>
  <c r="Y107" i="31"/>
  <c r="AA107" i="31" a="1"/>
  <c r="AA107" i="31" s="1"/>
  <c r="AB107" i="31" s="1"/>
  <c r="AA108" i="31" a="1"/>
  <c r="AA108" i="31" s="1"/>
  <c r="Y109" i="31"/>
  <c r="AA109" i="31" a="1"/>
  <c r="AA109" i="31" s="1"/>
  <c r="AB109" i="31" s="1"/>
  <c r="Y110" i="31"/>
  <c r="AA110" i="31" a="1"/>
  <c r="AA110" i="31" s="1"/>
  <c r="AB110" i="31" s="1"/>
  <c r="Y111" i="31"/>
  <c r="AA111" i="31" a="1"/>
  <c r="AA111" i="31" s="1"/>
  <c r="AB111" i="31" s="1"/>
  <c r="Y112" i="31"/>
  <c r="AA112" i="31" a="1"/>
  <c r="AA112" i="31" s="1"/>
  <c r="AB112" i="31" s="1"/>
  <c r="Y113" i="31"/>
  <c r="AA113" i="31" a="1"/>
  <c r="AA113" i="31" s="1"/>
  <c r="AB113" i="31" s="1"/>
  <c r="Y114" i="31"/>
  <c r="AA114" i="31" a="1"/>
  <c r="AA114" i="31" s="1"/>
  <c r="AB114" i="31" s="1"/>
  <c r="Y115" i="31"/>
  <c r="AA115" i="31" a="1"/>
  <c r="AA115" i="31" s="1"/>
  <c r="AB115" i="31" s="1"/>
  <c r="Y116" i="31"/>
  <c r="AA116" i="31" a="1"/>
  <c r="AA116" i="31" s="1"/>
  <c r="AB116" i="31" s="1"/>
  <c r="Y117" i="31"/>
  <c r="AA117" i="31" a="1"/>
  <c r="AA117" i="31" s="1"/>
  <c r="AB117" i="31" s="1"/>
  <c r="Y118" i="31"/>
  <c r="AA118" i="31" a="1"/>
  <c r="AA118" i="31" s="1"/>
  <c r="AB118" i="31" s="1"/>
  <c r="Y119" i="31"/>
  <c r="AA119" i="31" a="1"/>
  <c r="AA119" i="31" s="1"/>
  <c r="AB119" i="31" s="1"/>
  <c r="Y120" i="31"/>
  <c r="AA120" i="31" a="1"/>
  <c r="AA120" i="31" s="1"/>
  <c r="AB120" i="31" s="1"/>
  <c r="Y121" i="31"/>
  <c r="AA121" i="31" a="1"/>
  <c r="AA121" i="31" s="1"/>
  <c r="AB121" i="31" s="1"/>
  <c r="Y122" i="31"/>
  <c r="AA122" i="31" a="1"/>
  <c r="AA122" i="31" s="1"/>
  <c r="AB122" i="31" s="1"/>
  <c r="Y123" i="31"/>
  <c r="AA123" i="31" a="1"/>
  <c r="AA123" i="31" s="1"/>
  <c r="AB123" i="31" s="1"/>
  <c r="Y124" i="31"/>
  <c r="AA124" i="31" a="1"/>
  <c r="AA124" i="31" s="1"/>
  <c r="AB124" i="31" s="1"/>
  <c r="Y125" i="31"/>
  <c r="AA125" i="31" a="1"/>
  <c r="AA125" i="31" s="1"/>
  <c r="AB125" i="31" s="1"/>
  <c r="Y126" i="31"/>
  <c r="AA126" i="31" a="1"/>
  <c r="AA126" i="31" s="1"/>
  <c r="AB126" i="31" s="1"/>
  <c r="Y127" i="31"/>
  <c r="AA127" i="31" a="1"/>
  <c r="AA127" i="31" s="1"/>
  <c r="AB127" i="31" s="1"/>
  <c r="Y128" i="31"/>
  <c r="AA128" i="31" a="1"/>
  <c r="AA128" i="31" s="1"/>
  <c r="AB128" i="31" s="1"/>
  <c r="Y129" i="31"/>
  <c r="AA129" i="31" a="1"/>
  <c r="AA129" i="31" s="1"/>
  <c r="AB129" i="31" s="1"/>
  <c r="Y130" i="31"/>
  <c r="AA130" i="31" a="1"/>
  <c r="AA130" i="31" s="1"/>
  <c r="AB130" i="31" s="1"/>
  <c r="Y131" i="31"/>
  <c r="AA131" i="31" a="1"/>
  <c r="AA131" i="31" s="1"/>
  <c r="AB131" i="31" s="1"/>
  <c r="Y132" i="31"/>
  <c r="AA132" i="31" a="1"/>
  <c r="AA132" i="31" s="1"/>
  <c r="AB132" i="31" s="1"/>
  <c r="Y133" i="31"/>
  <c r="AA133" i="31" a="1"/>
  <c r="AA133" i="31" s="1"/>
  <c r="AB133" i="31" s="1"/>
  <c r="Y134" i="31"/>
  <c r="AA134" i="31" a="1"/>
  <c r="AA134" i="31" s="1"/>
  <c r="AB134" i="31" s="1"/>
  <c r="Y135" i="31"/>
  <c r="AA135" i="31" a="1"/>
  <c r="AA135" i="31" s="1"/>
  <c r="AB135" i="31" s="1"/>
  <c r="Y136" i="31"/>
  <c r="AA136" i="31" a="1"/>
  <c r="AA136" i="31" s="1"/>
  <c r="AB136" i="31" s="1"/>
  <c r="Y137" i="31"/>
  <c r="AA137" i="31" a="1"/>
  <c r="AA137" i="31" s="1"/>
  <c r="AB137" i="31" s="1"/>
  <c r="Y138" i="31"/>
  <c r="AA138" i="31" a="1"/>
  <c r="AA138" i="31" s="1"/>
  <c r="AB138" i="31" s="1"/>
  <c r="Y139" i="31"/>
  <c r="AA139" i="31" a="1"/>
  <c r="AA139" i="31" s="1"/>
  <c r="AB139" i="31" s="1"/>
  <c r="Y140" i="31"/>
  <c r="AA140" i="31" a="1"/>
  <c r="AA140" i="31" s="1"/>
  <c r="AB140" i="31" s="1"/>
  <c r="Y141" i="31"/>
  <c r="AA141" i="31" a="1"/>
  <c r="AA141" i="31" s="1"/>
  <c r="AB141" i="31" s="1"/>
  <c r="Y142" i="31"/>
  <c r="AA142" i="31" a="1"/>
  <c r="AA142" i="31" s="1"/>
  <c r="AB142" i="31" s="1"/>
  <c r="Y143" i="31"/>
  <c r="AA143" i="31" a="1"/>
  <c r="AA143" i="31" s="1"/>
  <c r="AB143" i="31" s="1"/>
  <c r="Y144" i="31"/>
  <c r="AA144" i="31" a="1"/>
  <c r="AA144" i="31" s="1"/>
  <c r="AB144" i="31" s="1"/>
  <c r="Y145" i="31"/>
  <c r="AA145" i="31" a="1"/>
  <c r="AA145" i="31" s="1"/>
  <c r="AB145" i="31" s="1"/>
  <c r="Y146" i="31"/>
  <c r="AA146" i="31" a="1"/>
  <c r="AA146" i="31" s="1"/>
  <c r="AB146" i="31" s="1"/>
  <c r="Y147" i="31"/>
  <c r="AA147" i="31" a="1"/>
  <c r="AA147" i="31" s="1"/>
  <c r="AB147" i="31" s="1"/>
  <c r="Y148" i="31"/>
  <c r="AA148" i="31" a="1"/>
  <c r="AA148" i="31" s="1"/>
  <c r="AB148" i="31" s="1"/>
  <c r="Y149" i="31"/>
  <c r="AA149" i="31" a="1"/>
  <c r="AA149" i="31" s="1"/>
  <c r="AB149" i="31" s="1"/>
  <c r="Y150" i="31"/>
  <c r="AA150" i="31" a="1"/>
  <c r="AA150" i="31" s="1"/>
  <c r="AB150" i="31" s="1"/>
  <c r="Y151" i="31"/>
  <c r="AA151" i="31" a="1"/>
  <c r="AA151" i="31" s="1"/>
  <c r="AB151" i="31" s="1"/>
  <c r="Y152" i="31"/>
  <c r="AA152" i="31" a="1"/>
  <c r="AA152" i="31" s="1"/>
  <c r="AB152" i="31" s="1"/>
  <c r="Y153" i="31"/>
  <c r="AA153" i="31" a="1"/>
  <c r="AA153" i="31" s="1"/>
  <c r="AB153" i="31" s="1"/>
  <c r="Y154" i="31"/>
  <c r="AA154" i="31" a="1"/>
  <c r="AA154" i="31" s="1"/>
  <c r="AB154" i="31" s="1"/>
  <c r="Y155" i="31"/>
  <c r="AA155" i="31" a="1"/>
  <c r="AA155" i="31" s="1"/>
  <c r="AB155" i="31" s="1"/>
  <c r="Y156" i="31"/>
  <c r="AA156" i="31" a="1"/>
  <c r="AA156" i="31" s="1"/>
  <c r="AB156" i="31" s="1"/>
  <c r="Y157" i="31"/>
  <c r="AA157" i="31" a="1"/>
  <c r="AA157" i="31" s="1"/>
  <c r="AB157" i="31" s="1"/>
  <c r="Y158" i="31"/>
  <c r="AA158" i="31" a="1"/>
  <c r="AA158" i="31" s="1"/>
  <c r="AB158" i="31" s="1"/>
  <c r="Y159" i="31"/>
  <c r="AA159" i="31" a="1"/>
  <c r="AA159" i="31" s="1"/>
  <c r="AB159" i="31" s="1"/>
  <c r="Y160" i="31"/>
  <c r="AA160" i="31" a="1"/>
  <c r="AA160" i="31" s="1"/>
  <c r="AB160" i="31" s="1"/>
  <c r="Y161" i="31"/>
  <c r="AA161" i="31" a="1"/>
  <c r="AA161" i="31" s="1"/>
  <c r="AB161" i="31" s="1"/>
  <c r="Y162" i="31"/>
  <c r="AA162" i="31" a="1"/>
  <c r="AA162" i="31" s="1"/>
  <c r="AB162" i="31" s="1"/>
  <c r="Y163" i="31"/>
  <c r="AA163" i="31" a="1"/>
  <c r="AA163" i="31" s="1"/>
  <c r="AB163" i="31" s="1"/>
  <c r="Y164" i="31"/>
  <c r="AA164" i="31" a="1"/>
  <c r="AA164" i="31" s="1"/>
  <c r="AB164" i="31" s="1"/>
  <c r="Y165" i="31"/>
  <c r="AA165" i="31" a="1"/>
  <c r="AA165" i="31" s="1"/>
  <c r="AB165" i="31" s="1"/>
  <c r="Y166" i="31"/>
  <c r="AA166" i="31" a="1"/>
  <c r="AA166" i="31" s="1"/>
  <c r="AB166" i="31" s="1"/>
  <c r="Y167" i="31"/>
  <c r="AA167" i="31" a="1"/>
  <c r="AA167" i="31" s="1"/>
  <c r="AB167" i="31" s="1"/>
  <c r="Y168" i="31"/>
  <c r="AA168" i="31" a="1"/>
  <c r="AA168" i="31" s="1"/>
  <c r="AB168" i="31" s="1"/>
  <c r="Y169" i="31"/>
  <c r="AA169" i="31" a="1"/>
  <c r="AA169" i="31" s="1"/>
  <c r="AB169" i="31" s="1"/>
  <c r="Y170" i="31"/>
  <c r="AA170" i="31" a="1"/>
  <c r="AA170" i="31" s="1"/>
  <c r="AB170" i="31" s="1"/>
  <c r="Y171" i="31"/>
  <c r="AA171" i="31" a="1"/>
  <c r="AA171" i="31" s="1"/>
  <c r="AB171" i="31" s="1"/>
  <c r="Y172" i="31"/>
  <c r="AA172" i="31" a="1"/>
  <c r="AA172" i="31" s="1"/>
  <c r="AB172" i="31" s="1"/>
  <c r="Y173" i="31"/>
  <c r="AA173" i="31" a="1"/>
  <c r="AA173" i="31" s="1"/>
  <c r="AB173" i="31" s="1"/>
  <c r="Y174" i="31"/>
  <c r="AA174" i="31" a="1"/>
  <c r="AA174" i="31" s="1"/>
  <c r="AB174" i="31" s="1"/>
  <c r="Y175" i="31"/>
  <c r="AA175" i="31" a="1"/>
  <c r="AA175" i="31" s="1"/>
  <c r="AB175" i="31" s="1"/>
  <c r="Y176" i="31"/>
  <c r="AA176" i="31" a="1"/>
  <c r="AA176" i="31" s="1"/>
  <c r="AB176" i="31" s="1"/>
  <c r="Y177" i="31"/>
  <c r="AA177" i="31" a="1"/>
  <c r="AA177" i="31" s="1"/>
  <c r="AB177" i="31" s="1"/>
  <c r="Y178" i="31"/>
  <c r="AA178" i="31" a="1"/>
  <c r="AA178" i="31" s="1"/>
  <c r="AB178" i="31" s="1"/>
  <c r="Y179" i="31"/>
  <c r="AA179" i="31" a="1"/>
  <c r="AA179" i="31" s="1"/>
  <c r="AB179" i="31" s="1"/>
  <c r="Y180" i="31"/>
  <c r="AA180" i="31" a="1"/>
  <c r="AA180" i="31" s="1"/>
  <c r="AB180" i="31" s="1"/>
  <c r="Y181" i="31"/>
  <c r="AA181" i="31" a="1"/>
  <c r="AA181" i="31" s="1"/>
  <c r="AB181" i="31" s="1"/>
  <c r="Y182" i="31"/>
  <c r="AA182" i="31" a="1"/>
  <c r="AA182" i="31" s="1"/>
  <c r="AB182" i="31" s="1"/>
  <c r="Y183" i="31"/>
  <c r="AA183" i="31" a="1"/>
  <c r="AA183" i="31" s="1"/>
  <c r="AB183" i="31" s="1"/>
  <c r="Y184" i="31"/>
  <c r="AA184" i="31" a="1"/>
  <c r="AA184" i="31" s="1"/>
  <c r="AB184" i="31" s="1"/>
  <c r="Y185" i="31"/>
  <c r="AA185" i="31" a="1"/>
  <c r="AA185" i="31" s="1"/>
  <c r="AB185" i="31" s="1"/>
  <c r="Y186" i="31"/>
  <c r="AA186" i="31" a="1"/>
  <c r="AA186" i="31" s="1"/>
  <c r="AB186" i="31" s="1"/>
  <c r="Y187" i="31"/>
  <c r="AA187" i="31" a="1"/>
  <c r="AA187" i="31" s="1"/>
  <c r="AB187" i="31" s="1"/>
  <c r="Y188" i="31"/>
  <c r="AA188" i="31" a="1"/>
  <c r="AA188" i="31" s="1"/>
  <c r="AB188" i="31" s="1"/>
  <c r="Y189" i="31"/>
  <c r="AA189" i="31" a="1"/>
  <c r="AA189" i="31" s="1"/>
  <c r="AB189" i="31" s="1"/>
  <c r="Y190" i="31"/>
  <c r="AA190" i="31" a="1"/>
  <c r="AA190" i="31" s="1"/>
  <c r="AB190" i="31" s="1"/>
  <c r="Y191" i="31"/>
  <c r="AA191" i="31" a="1"/>
  <c r="AA191" i="31" s="1"/>
  <c r="AB191" i="31" s="1"/>
  <c r="Y192" i="31"/>
  <c r="AA192" i="31" a="1"/>
  <c r="AA192" i="31" s="1"/>
  <c r="AB192" i="31" s="1"/>
  <c r="Y193" i="31"/>
  <c r="AA193" i="31" a="1"/>
  <c r="AA193" i="31" s="1"/>
  <c r="AB193" i="31" s="1"/>
  <c r="Y194" i="31"/>
  <c r="AA194" i="31" a="1"/>
  <c r="AA194" i="31" s="1"/>
  <c r="AB194" i="31" s="1"/>
  <c r="Y195" i="31"/>
  <c r="AA195" i="31" a="1"/>
  <c r="AA195" i="31" s="1"/>
  <c r="AB195" i="31" s="1"/>
  <c r="Y196" i="31"/>
  <c r="AA196" i="31" a="1"/>
  <c r="AA196" i="31" s="1"/>
  <c r="AB196" i="31" s="1"/>
  <c r="Y197" i="31"/>
  <c r="AA197" i="31" a="1"/>
  <c r="AA197" i="31" s="1"/>
  <c r="AB197" i="31" s="1"/>
  <c r="Y198" i="31"/>
  <c r="AA198" i="31" a="1"/>
  <c r="AA198" i="31" s="1"/>
  <c r="AB198" i="31" s="1"/>
  <c r="Y199" i="31"/>
  <c r="AA199" i="31" a="1"/>
  <c r="AA199" i="31" s="1"/>
  <c r="AB199" i="31" s="1"/>
  <c r="Y200" i="31"/>
  <c r="AA200" i="31" a="1"/>
  <c r="AA200" i="31" s="1"/>
  <c r="AB200" i="31" s="1"/>
  <c r="Y201" i="31"/>
  <c r="AA201" i="31" a="1"/>
  <c r="AA201" i="31" s="1"/>
  <c r="AB201" i="31" s="1"/>
  <c r="Y202" i="31"/>
  <c r="AA202" i="31" a="1"/>
  <c r="AA202" i="31" s="1"/>
  <c r="AB202" i="31" s="1"/>
  <c r="Y203" i="31"/>
  <c r="AA203" i="31" a="1"/>
  <c r="AA203" i="31" s="1"/>
  <c r="AB203" i="31" s="1"/>
  <c r="Y204" i="31"/>
  <c r="AA204" i="31" a="1"/>
  <c r="AA204" i="31" s="1"/>
  <c r="AB204" i="31" s="1"/>
  <c r="Y205" i="31"/>
  <c r="AA205" i="31" a="1"/>
  <c r="AA205" i="31" s="1"/>
  <c r="AB205" i="31" s="1"/>
  <c r="Y206" i="31"/>
  <c r="AA206" i="31" a="1"/>
  <c r="AA206" i="31" s="1"/>
  <c r="AB206" i="31" s="1"/>
  <c r="Y207" i="31"/>
  <c r="AA207" i="31" a="1"/>
  <c r="AA207" i="31" s="1"/>
  <c r="AB207" i="31" s="1"/>
  <c r="Y208" i="31"/>
  <c r="AA208" i="31" a="1"/>
  <c r="AA208" i="31" s="1"/>
  <c r="AB208" i="31" s="1"/>
  <c r="Y209" i="31"/>
  <c r="AA209" i="31" a="1"/>
  <c r="AA209" i="31" s="1"/>
  <c r="AB209" i="31" s="1"/>
  <c r="Y210" i="31"/>
  <c r="AA210" i="31" a="1"/>
  <c r="AA210" i="31" s="1"/>
  <c r="AB210" i="31" s="1"/>
  <c r="Y211" i="31"/>
  <c r="AA211" i="31" a="1"/>
  <c r="AA211" i="31" s="1"/>
  <c r="AB211" i="31" s="1"/>
  <c r="Y212" i="31"/>
  <c r="AA212" i="31" a="1"/>
  <c r="AA212" i="31" s="1"/>
  <c r="AB212" i="31" s="1"/>
  <c r="Y213" i="31"/>
  <c r="AA213" i="31" a="1"/>
  <c r="AA213" i="31" s="1"/>
  <c r="AB213" i="31" s="1"/>
  <c r="Y214" i="31"/>
  <c r="AA214" i="31" a="1"/>
  <c r="AA214" i="31" s="1"/>
  <c r="AB214" i="31" s="1"/>
  <c r="Y215" i="31"/>
  <c r="AA215" i="31" a="1"/>
  <c r="AA215" i="31" s="1"/>
  <c r="AB215" i="31" s="1"/>
  <c r="Y216" i="31"/>
  <c r="AA216" i="31" a="1"/>
  <c r="AA216" i="31" s="1"/>
  <c r="AB216" i="31" s="1"/>
  <c r="Y217" i="31"/>
  <c r="AA217" i="31" a="1"/>
  <c r="AA217" i="31" s="1"/>
  <c r="AB217" i="31" s="1"/>
  <c r="Y218" i="31"/>
  <c r="AA218" i="31" a="1"/>
  <c r="AA218" i="31" s="1"/>
  <c r="AB218" i="31" s="1"/>
  <c r="Y219" i="31"/>
  <c r="AA219" i="31" a="1"/>
  <c r="AA219" i="31" s="1"/>
  <c r="AB219" i="31" s="1"/>
  <c r="Y220" i="31"/>
  <c r="AA220" i="31" a="1"/>
  <c r="AA220" i="31" s="1"/>
  <c r="AB220" i="31" s="1"/>
  <c r="Y221" i="31"/>
  <c r="AA221" i="31" a="1"/>
  <c r="AA221" i="31" s="1"/>
  <c r="AB221" i="31" s="1"/>
  <c r="Y222" i="31"/>
  <c r="AA222" i="31" a="1"/>
  <c r="AA222" i="31" s="1"/>
  <c r="AB222" i="31" s="1"/>
  <c r="Y223" i="31"/>
  <c r="AA223" i="31" a="1"/>
  <c r="AA223" i="31" s="1"/>
  <c r="AB223" i="31" s="1"/>
  <c r="Y224" i="31"/>
  <c r="AA224" i="31" a="1"/>
  <c r="AA224" i="31" s="1"/>
  <c r="AB224" i="31" s="1"/>
  <c r="Y225" i="31"/>
  <c r="AA225" i="31" a="1"/>
  <c r="AA225" i="31" s="1"/>
  <c r="AB225" i="31" s="1"/>
  <c r="Y226" i="31"/>
  <c r="AA226" i="31" a="1"/>
  <c r="AA226" i="31" s="1"/>
  <c r="AB226" i="31" s="1"/>
  <c r="Y227" i="31"/>
  <c r="AA227" i="31" a="1"/>
  <c r="AA227" i="31" s="1"/>
  <c r="AB227" i="31" s="1"/>
  <c r="Y228" i="31"/>
  <c r="AA228" i="31" a="1"/>
  <c r="AA228" i="31" s="1"/>
  <c r="AB228" i="31" s="1"/>
  <c r="Y229" i="31"/>
  <c r="AA229" i="31" a="1"/>
  <c r="AA229" i="31" s="1"/>
  <c r="AB229" i="31" s="1"/>
  <c r="Y230" i="31"/>
  <c r="AA230" i="31" a="1"/>
  <c r="AA230" i="31" s="1"/>
  <c r="AB230" i="31" s="1"/>
  <c r="Y231" i="31"/>
  <c r="AA231" i="31" a="1"/>
  <c r="AA231" i="31" s="1"/>
  <c r="AB231" i="31" s="1"/>
  <c r="Y232" i="31"/>
  <c r="AA232" i="31" a="1"/>
  <c r="AA232" i="31" s="1"/>
  <c r="AB232" i="31" s="1"/>
  <c r="Y233" i="31"/>
  <c r="AA233" i="31" a="1"/>
  <c r="AA233" i="31" s="1"/>
  <c r="AB233" i="31" s="1"/>
  <c r="Y234" i="31"/>
  <c r="AA234" i="31" a="1"/>
  <c r="AA234" i="31" s="1"/>
  <c r="AB234" i="31" s="1"/>
  <c r="Y235" i="31"/>
  <c r="AA235" i="31" a="1"/>
  <c r="AA235" i="31" s="1"/>
  <c r="AB235" i="31" s="1"/>
  <c r="Y236" i="31"/>
  <c r="AA236" i="31" a="1"/>
  <c r="AA236" i="31" s="1"/>
  <c r="AB236" i="31" s="1"/>
  <c r="Y237" i="31"/>
  <c r="AA237" i="31" a="1"/>
  <c r="AA237" i="31" s="1"/>
  <c r="AB237" i="31" s="1"/>
  <c r="Y238" i="31"/>
  <c r="AA238" i="31" a="1"/>
  <c r="AA238" i="31" s="1"/>
  <c r="AB238" i="31" s="1"/>
  <c r="Y239" i="31"/>
  <c r="AA239" i="31" a="1"/>
  <c r="AA239" i="31" s="1"/>
  <c r="AB239" i="31" s="1"/>
  <c r="Y240" i="31"/>
  <c r="AA240" i="31" a="1"/>
  <c r="AA240" i="31" s="1"/>
  <c r="AB240" i="31" s="1"/>
  <c r="Y241" i="31"/>
  <c r="AA241" i="31" a="1"/>
  <c r="AA241" i="31" s="1"/>
  <c r="AB241" i="31" s="1"/>
  <c r="Y242" i="31"/>
  <c r="AA242" i="31" a="1"/>
  <c r="AA242" i="31" s="1"/>
  <c r="AB242" i="31" s="1"/>
  <c r="Y243" i="31"/>
  <c r="AA243" i="31" a="1"/>
  <c r="AA243" i="31" s="1"/>
  <c r="AB243" i="31" s="1"/>
  <c r="Y244" i="31"/>
  <c r="AA244" i="31" a="1"/>
  <c r="AA244" i="31" s="1"/>
  <c r="AB244" i="31" s="1"/>
  <c r="Y245" i="31"/>
  <c r="AA245" i="31" a="1"/>
  <c r="AA245" i="31" s="1"/>
  <c r="AB245" i="31" s="1"/>
  <c r="Y246" i="31"/>
  <c r="AA246" i="31" a="1"/>
  <c r="AA246" i="31" s="1"/>
  <c r="AB246" i="31" s="1"/>
  <c r="Y247" i="31"/>
  <c r="AA247" i="31" a="1"/>
  <c r="AA247" i="31" s="1"/>
  <c r="AB247" i="31" s="1"/>
  <c r="Y248" i="31"/>
  <c r="AA248" i="31" a="1"/>
  <c r="AA248" i="31" s="1"/>
  <c r="AB248" i="31" s="1"/>
  <c r="Y249" i="31"/>
  <c r="AA249" i="31" a="1"/>
  <c r="AA249" i="31" s="1"/>
  <c r="AB249" i="31" s="1"/>
  <c r="Y250" i="31"/>
  <c r="AA250" i="31" a="1"/>
  <c r="AA250" i="31" s="1"/>
  <c r="AB250" i="31" s="1"/>
  <c r="Y251" i="31"/>
  <c r="AA251" i="31" a="1"/>
  <c r="AA251" i="31" s="1"/>
  <c r="AB251" i="31" s="1"/>
  <c r="Y252" i="31"/>
  <c r="AA252" i="31" a="1"/>
  <c r="AA252" i="31" s="1"/>
  <c r="AB252" i="31" s="1"/>
  <c r="Y253" i="31"/>
  <c r="AA253" i="31" a="1"/>
  <c r="AA253" i="31" s="1"/>
  <c r="AB253" i="31" s="1"/>
  <c r="Y254" i="31"/>
  <c r="AA254" i="31" a="1"/>
  <c r="AA254" i="31" s="1"/>
  <c r="AB254" i="31" s="1"/>
  <c r="Y255" i="31"/>
  <c r="AA255" i="31" a="1"/>
  <c r="AA255" i="31" s="1"/>
  <c r="AB255" i="31" s="1"/>
  <c r="Y256" i="31"/>
  <c r="AA256" i="31" a="1"/>
  <c r="AA256" i="31" s="1"/>
  <c r="AB256" i="31" s="1"/>
  <c r="Y257" i="31"/>
  <c r="AA257" i="31" a="1"/>
  <c r="AA257" i="31" s="1"/>
  <c r="AB257" i="31" s="1"/>
  <c r="Y258" i="31"/>
  <c r="AA258" i="31" a="1"/>
  <c r="AA258" i="31" s="1"/>
  <c r="AB258" i="31" s="1"/>
  <c r="Y259" i="31"/>
  <c r="AA259" i="31" a="1"/>
  <c r="AA259" i="31" s="1"/>
  <c r="AB259" i="31" s="1"/>
  <c r="Y260" i="31"/>
  <c r="AA260" i="31" a="1"/>
  <c r="AA260" i="31" s="1"/>
  <c r="AB260" i="31" s="1"/>
  <c r="Y261" i="31"/>
  <c r="AA261" i="31" a="1"/>
  <c r="AA261" i="31" s="1"/>
  <c r="AB261" i="31" s="1"/>
  <c r="Y262" i="31"/>
  <c r="AA262" i="31" a="1"/>
  <c r="AA262" i="31" s="1"/>
  <c r="AB262" i="31" s="1"/>
  <c r="Y263" i="31"/>
  <c r="AA263" i="31" a="1"/>
  <c r="AA263" i="31" s="1"/>
  <c r="AB263" i="31" s="1"/>
  <c r="Y264" i="31"/>
  <c r="AA264" i="31" a="1"/>
  <c r="AA264" i="31" s="1"/>
  <c r="AB264" i="31" s="1"/>
  <c r="Y265" i="31"/>
  <c r="AA265" i="31" a="1"/>
  <c r="AA265" i="31" s="1"/>
  <c r="AB265" i="31" s="1"/>
  <c r="Y266" i="31"/>
  <c r="AA266" i="31" a="1"/>
  <c r="AA266" i="31" s="1"/>
  <c r="AB266" i="31" s="1"/>
  <c r="Y267" i="31"/>
  <c r="AA267" i="31" a="1"/>
  <c r="AA267" i="31" s="1"/>
  <c r="AB267" i="31" s="1"/>
  <c r="Y268" i="31"/>
  <c r="AA268" i="31" a="1"/>
  <c r="AA268" i="31" s="1"/>
  <c r="AB268" i="31" s="1"/>
  <c r="Y269" i="31"/>
  <c r="AA269" i="31" a="1"/>
  <c r="AA269" i="31" s="1"/>
  <c r="AB269" i="31" s="1"/>
  <c r="Y270" i="31"/>
  <c r="AA270" i="31" a="1"/>
  <c r="AA270" i="31" s="1"/>
  <c r="AB270" i="31" s="1"/>
  <c r="Y271" i="31"/>
  <c r="AA271" i="31" a="1"/>
  <c r="AA271" i="31" s="1"/>
  <c r="AB271" i="31" s="1"/>
  <c r="Y272" i="31"/>
  <c r="AA272" i="31" a="1"/>
  <c r="AA272" i="31" s="1"/>
  <c r="AB272" i="31" s="1"/>
  <c r="Y273" i="31"/>
  <c r="AA273" i="31" a="1"/>
  <c r="AA273" i="31" s="1"/>
  <c r="AB273" i="31" s="1"/>
  <c r="Y274" i="31"/>
  <c r="AA274" i="31" a="1"/>
  <c r="AA274" i="31" s="1"/>
  <c r="AB274" i="31" s="1"/>
  <c r="Y275" i="31"/>
  <c r="AA275" i="31" a="1"/>
  <c r="AA275" i="31" s="1"/>
  <c r="AB275" i="31" s="1"/>
  <c r="Y276" i="31"/>
  <c r="AA276" i="31" a="1"/>
  <c r="AA276" i="31" s="1"/>
  <c r="AB276" i="31" s="1"/>
  <c r="Y277" i="31"/>
  <c r="AA277" i="31" a="1"/>
  <c r="AA277" i="31" s="1"/>
  <c r="AB277" i="31" s="1"/>
  <c r="Y278" i="31"/>
  <c r="AA278" i="31" a="1"/>
  <c r="AA278" i="31" s="1"/>
  <c r="AB278" i="31" s="1"/>
  <c r="Y279" i="31"/>
  <c r="AA279" i="31" a="1"/>
  <c r="AA279" i="31" s="1"/>
  <c r="AB279" i="31" s="1"/>
  <c r="Y280" i="31"/>
  <c r="AA280" i="31" a="1"/>
  <c r="AA280" i="31" s="1"/>
  <c r="AB280" i="31" s="1"/>
  <c r="Y281" i="31"/>
  <c r="AA281" i="31" a="1"/>
  <c r="AA281" i="31" s="1"/>
  <c r="AB281" i="31" s="1"/>
  <c r="Y282" i="31"/>
  <c r="AA282" i="31" a="1"/>
  <c r="AA282" i="31" s="1"/>
  <c r="AB282" i="31" s="1"/>
  <c r="Y283" i="31"/>
  <c r="AA283" i="31" a="1"/>
  <c r="AA283" i="31" s="1"/>
  <c r="AB283" i="31" s="1"/>
  <c r="Y284" i="31"/>
  <c r="AA284" i="31" a="1"/>
  <c r="AA284" i="31" s="1"/>
  <c r="AB284" i="31" s="1"/>
  <c r="Y285" i="31"/>
  <c r="AA285" i="31" a="1"/>
  <c r="AA285" i="31" s="1"/>
  <c r="AB285" i="31" s="1"/>
  <c r="Y286" i="31"/>
  <c r="AA286" i="31" a="1"/>
  <c r="AA286" i="31" s="1"/>
  <c r="AB286" i="31" s="1"/>
  <c r="Y287" i="31"/>
  <c r="AA287" i="31" a="1"/>
  <c r="AA287" i="31" s="1"/>
  <c r="AB287" i="31" s="1"/>
  <c r="Y288" i="31"/>
  <c r="AA288" i="31" a="1"/>
  <c r="AA288" i="31" s="1"/>
  <c r="AB288" i="31" s="1"/>
  <c r="Y289" i="31"/>
  <c r="AA289" i="31" a="1"/>
  <c r="AA289" i="31" s="1"/>
  <c r="AB289" i="31" s="1"/>
  <c r="Y290" i="31"/>
  <c r="AA290" i="31" a="1"/>
  <c r="AA290" i="31" s="1"/>
  <c r="AB290" i="31" s="1"/>
  <c r="Y291" i="31"/>
  <c r="AA291" i="31" a="1"/>
  <c r="AA291" i="31" s="1"/>
  <c r="AB291" i="31" s="1"/>
  <c r="Y292" i="31"/>
  <c r="AA292" i="31" a="1"/>
  <c r="AA292" i="31" s="1"/>
  <c r="AB292" i="31" s="1"/>
  <c r="Y293" i="31"/>
  <c r="AA293" i="31" a="1"/>
  <c r="AA293" i="31" s="1"/>
  <c r="AB293" i="31" s="1"/>
  <c r="Y294" i="31"/>
  <c r="AA294" i="31" a="1"/>
  <c r="AA294" i="31" s="1"/>
  <c r="AB294" i="31" s="1"/>
  <c r="Y295" i="31"/>
  <c r="AA295" i="31" a="1"/>
  <c r="AA295" i="31" s="1"/>
  <c r="AB295" i="31" s="1"/>
  <c r="Y296" i="31"/>
  <c r="AA296" i="31" a="1"/>
  <c r="AA296" i="31" s="1"/>
  <c r="AB296" i="31" s="1"/>
  <c r="Y297" i="31"/>
  <c r="AA297" i="31" a="1"/>
  <c r="AA297" i="31" s="1"/>
  <c r="AB297" i="31" s="1"/>
  <c r="Y298" i="31"/>
  <c r="AA298" i="31" a="1"/>
  <c r="AA298" i="31" s="1"/>
  <c r="AB298" i="31" s="1"/>
  <c r="Y299" i="31"/>
  <c r="AA299" i="31" a="1"/>
  <c r="AA299" i="31" s="1"/>
  <c r="AB299" i="31" s="1"/>
  <c r="Y300" i="31"/>
  <c r="AA300" i="31" a="1"/>
  <c r="AA300" i="31" s="1"/>
  <c r="AB300" i="31" s="1"/>
  <c r="Y301" i="31"/>
  <c r="AA301" i="31" a="1"/>
  <c r="AA301" i="31" s="1"/>
  <c r="AB301" i="31" s="1"/>
  <c r="Y302" i="31"/>
  <c r="AA302" i="31" a="1"/>
  <c r="AA302" i="31" s="1"/>
  <c r="AB302" i="31" s="1"/>
  <c r="Y303" i="31"/>
  <c r="AA303" i="31" a="1"/>
  <c r="AA303" i="31" s="1"/>
  <c r="AB303" i="31" s="1"/>
  <c r="Y304" i="31"/>
  <c r="AA304" i="31" a="1"/>
  <c r="AA304" i="31" s="1"/>
  <c r="AB304" i="31" s="1"/>
  <c r="Y305" i="31"/>
  <c r="AA305" i="31" a="1"/>
  <c r="AA305" i="31" s="1"/>
  <c r="AB305" i="31" s="1"/>
  <c r="Y306" i="31"/>
  <c r="AA306" i="31" a="1"/>
  <c r="AA306" i="31" s="1"/>
  <c r="AB306" i="31" s="1"/>
  <c r="Y307" i="31"/>
  <c r="AA307" i="31" a="1"/>
  <c r="AA307" i="31" s="1"/>
  <c r="AB307" i="31" s="1"/>
  <c r="Y308" i="31"/>
  <c r="AA308" i="31" a="1"/>
  <c r="AA308" i="31" s="1"/>
  <c r="AB308" i="31" s="1"/>
  <c r="Y309" i="31"/>
  <c r="AA309" i="31" a="1"/>
  <c r="AA309" i="31" s="1"/>
  <c r="AB309" i="31" s="1"/>
  <c r="Y310" i="31"/>
  <c r="AA310" i="31" a="1"/>
  <c r="AA310" i="31" s="1"/>
  <c r="AB310" i="31" s="1"/>
  <c r="Y311" i="31"/>
  <c r="AA311" i="31" a="1"/>
  <c r="AA311" i="31" s="1"/>
  <c r="AB311" i="31" s="1"/>
  <c r="Y312" i="31"/>
  <c r="AA312" i="31" a="1"/>
  <c r="AA312" i="31" s="1"/>
  <c r="AB312" i="31" s="1"/>
  <c r="Y313" i="31"/>
  <c r="AA313" i="31" a="1"/>
  <c r="AA313" i="31" s="1"/>
  <c r="AB313" i="31" s="1"/>
  <c r="Y314" i="31"/>
  <c r="AA314" i="31" a="1"/>
  <c r="AA314" i="31" s="1"/>
  <c r="AB314" i="31" s="1"/>
  <c r="Y315" i="31"/>
  <c r="AA315" i="31" a="1"/>
  <c r="AA315" i="31" s="1"/>
  <c r="AB315" i="31" s="1"/>
  <c r="Y316" i="31"/>
  <c r="AA316" i="31" a="1"/>
  <c r="AA316" i="31" s="1"/>
  <c r="AB316" i="31" s="1"/>
  <c r="Y317" i="31"/>
  <c r="AA317" i="31" a="1"/>
  <c r="AA317" i="31" s="1"/>
  <c r="AB317" i="31" s="1"/>
  <c r="Y318" i="31"/>
  <c r="AA318" i="31" a="1"/>
  <c r="AA318" i="31" s="1"/>
  <c r="AB318" i="31" s="1"/>
  <c r="Y319" i="31"/>
  <c r="AA319" i="31" a="1"/>
  <c r="AA319" i="31" s="1"/>
  <c r="AB319" i="31" s="1"/>
  <c r="Y320" i="31"/>
  <c r="AA320" i="31" a="1"/>
  <c r="AA320" i="31" s="1"/>
  <c r="AB320" i="31" s="1"/>
  <c r="Y321" i="31"/>
  <c r="AA321" i="31" a="1"/>
  <c r="AA321" i="31" s="1"/>
  <c r="AB321" i="31" s="1"/>
  <c r="Y322" i="31"/>
  <c r="AA322" i="31" a="1"/>
  <c r="AA322" i="31" s="1"/>
  <c r="AB322" i="31" s="1"/>
  <c r="Y323" i="31"/>
  <c r="AA323" i="31" a="1"/>
  <c r="AA323" i="31" s="1"/>
  <c r="AB323" i="31" s="1"/>
  <c r="Y324" i="31"/>
  <c r="AA324" i="31" a="1"/>
  <c r="AA324" i="31" s="1"/>
  <c r="AB324" i="31" s="1"/>
  <c r="Y325" i="31"/>
  <c r="AA325" i="31" a="1"/>
  <c r="AA325" i="31" s="1"/>
  <c r="AB325" i="31" s="1"/>
  <c r="Y326" i="31"/>
  <c r="AA326" i="31" a="1"/>
  <c r="AA326" i="31" s="1"/>
  <c r="AB326" i="31" s="1"/>
  <c r="Y327" i="31"/>
  <c r="AA327" i="31" a="1"/>
  <c r="AA327" i="31" s="1"/>
  <c r="AB327" i="31" s="1"/>
  <c r="Y328" i="31"/>
  <c r="AA328" i="31" a="1"/>
  <c r="AA328" i="31" s="1"/>
  <c r="AB328" i="31" s="1"/>
  <c r="Y329" i="31"/>
  <c r="AA329" i="31" a="1"/>
  <c r="AA329" i="31" s="1"/>
  <c r="AB329" i="31" s="1"/>
  <c r="Y330" i="31"/>
  <c r="AA330" i="31" a="1"/>
  <c r="AA330" i="31" s="1"/>
  <c r="AB330" i="31" s="1"/>
  <c r="Y331" i="31"/>
  <c r="AA331" i="31" a="1"/>
  <c r="AA331" i="31" s="1"/>
  <c r="AB331" i="31" s="1"/>
  <c r="Y332" i="31"/>
  <c r="AA332" i="31" a="1"/>
  <c r="AA332" i="31" s="1"/>
  <c r="AB332" i="31" s="1"/>
  <c r="Y333" i="31"/>
  <c r="AA333" i="31" a="1"/>
  <c r="AA333" i="31" s="1"/>
  <c r="AB333" i="31" s="1"/>
  <c r="Y334" i="31"/>
  <c r="AA334" i="31" a="1"/>
  <c r="AA334" i="31" s="1"/>
  <c r="AB334" i="31" s="1"/>
  <c r="Y335" i="31"/>
  <c r="AA335" i="31" a="1"/>
  <c r="AA335" i="31" s="1"/>
  <c r="AB335" i="31" s="1"/>
  <c r="Y336" i="31"/>
  <c r="AA336" i="31" a="1"/>
  <c r="AA336" i="31" s="1"/>
  <c r="AB336" i="31" s="1"/>
  <c r="Y337" i="31"/>
  <c r="AA337" i="31" a="1"/>
  <c r="AA337" i="31" s="1"/>
  <c r="AB337" i="31" s="1"/>
  <c r="Y338" i="31"/>
  <c r="AA338" i="31" a="1"/>
  <c r="AA338" i="31" s="1"/>
  <c r="AB338" i="31" s="1"/>
  <c r="Y339" i="31"/>
  <c r="AA339" i="31" a="1"/>
  <c r="AA339" i="31" s="1"/>
  <c r="AB339" i="31" s="1"/>
  <c r="Y340" i="31"/>
  <c r="AA340" i="31" a="1"/>
  <c r="AA340" i="31" s="1"/>
  <c r="AB340" i="31" s="1"/>
  <c r="Y341" i="31"/>
  <c r="AA341" i="31" a="1"/>
  <c r="AA341" i="31" s="1"/>
  <c r="AB341" i="31" s="1"/>
  <c r="Y342" i="31"/>
  <c r="AA342" i="31" a="1"/>
  <c r="AA342" i="31" s="1"/>
  <c r="AB342" i="31" s="1"/>
  <c r="Y343" i="31"/>
  <c r="AA343" i="31" a="1"/>
  <c r="AA343" i="31" s="1"/>
  <c r="AB343" i="31" s="1"/>
  <c r="Y344" i="31"/>
  <c r="AA344" i="31" a="1"/>
  <c r="AA344" i="31" s="1"/>
  <c r="AB344" i="31" s="1"/>
  <c r="Y345" i="31"/>
  <c r="AA345" i="31" a="1"/>
  <c r="AA345" i="31" s="1"/>
  <c r="AB345" i="31" s="1"/>
  <c r="Y346" i="31"/>
  <c r="AA346" i="31" a="1"/>
  <c r="AA346" i="31" s="1"/>
  <c r="AB346" i="31" s="1"/>
  <c r="Y347" i="31"/>
  <c r="AA347" i="31" a="1"/>
  <c r="AA347" i="31" s="1"/>
  <c r="AB347" i="31" s="1"/>
  <c r="Y348" i="31"/>
  <c r="AA348" i="31" a="1"/>
  <c r="AA348" i="31" s="1"/>
  <c r="AB348" i="31" s="1"/>
  <c r="Y349" i="31"/>
  <c r="AA349" i="31" a="1"/>
  <c r="AA349" i="31" s="1"/>
  <c r="AB349" i="31" s="1"/>
  <c r="Y350" i="31"/>
  <c r="AA350" i="31" a="1"/>
  <c r="AA350" i="31" s="1"/>
  <c r="AB350" i="31" s="1"/>
  <c r="Y351" i="31"/>
  <c r="AA351" i="31" a="1"/>
  <c r="AA351" i="31" s="1"/>
  <c r="AB351" i="31" s="1"/>
  <c r="Y352" i="31"/>
  <c r="AA352" i="31" a="1"/>
  <c r="AA352" i="31" s="1"/>
  <c r="AB352" i="31" s="1"/>
  <c r="Y353" i="31"/>
  <c r="AA353" i="31" a="1"/>
  <c r="AA353" i="31" s="1"/>
  <c r="AB353" i="31" s="1"/>
  <c r="Y354" i="31"/>
  <c r="AA354" i="31" a="1"/>
  <c r="AA354" i="31" s="1"/>
  <c r="AB354" i="31" s="1"/>
  <c r="Y355" i="31"/>
  <c r="AA355" i="31" a="1"/>
  <c r="AA355" i="31" s="1"/>
  <c r="AB355" i="31" s="1"/>
  <c r="Y356" i="31"/>
  <c r="AA356" i="31" a="1"/>
  <c r="AA356" i="31" s="1"/>
  <c r="AB356" i="31" s="1"/>
  <c r="Y357" i="31"/>
  <c r="AA357" i="31" a="1"/>
  <c r="AA357" i="31" s="1"/>
  <c r="AB357" i="31" s="1"/>
  <c r="Y358" i="31"/>
  <c r="AA358" i="31" a="1"/>
  <c r="AA358" i="31" s="1"/>
  <c r="AB358" i="31" s="1"/>
  <c r="Y359" i="31"/>
  <c r="AA359" i="31" a="1"/>
  <c r="AA359" i="31" s="1"/>
  <c r="AB359" i="31" s="1"/>
  <c r="Y360" i="31"/>
  <c r="AA360" i="31" a="1"/>
  <c r="AA360" i="31" s="1"/>
  <c r="AB360" i="31" s="1"/>
  <c r="Y361" i="31"/>
  <c r="AA361" i="31" a="1"/>
  <c r="AA361" i="31" s="1"/>
  <c r="AB361" i="31" s="1"/>
  <c r="Y362" i="31"/>
  <c r="AA362" i="31" a="1"/>
  <c r="AA362" i="31" s="1"/>
  <c r="AB362" i="31" s="1"/>
  <c r="Y363" i="31"/>
  <c r="AA363" i="31" a="1"/>
  <c r="AA363" i="31" s="1"/>
  <c r="AB363" i="31" s="1"/>
  <c r="Y364" i="31"/>
  <c r="AA364" i="31" a="1"/>
  <c r="AA364" i="31" s="1"/>
  <c r="AB364" i="31" s="1"/>
  <c r="Y365" i="31"/>
  <c r="AA365" i="31" a="1"/>
  <c r="AA365" i="31" s="1"/>
  <c r="AB365" i="31" s="1"/>
  <c r="Y366" i="31"/>
  <c r="AA366" i="31" a="1"/>
  <c r="AA366" i="31" s="1"/>
  <c r="AB366" i="31" s="1"/>
  <c r="Y367" i="31"/>
  <c r="AA367" i="31" a="1"/>
  <c r="AA367" i="31" s="1"/>
  <c r="AB367" i="31" s="1"/>
  <c r="Y368" i="31"/>
  <c r="AA368" i="31" a="1"/>
  <c r="AA368" i="31" s="1"/>
  <c r="AB368" i="31" s="1"/>
  <c r="Y369" i="31"/>
  <c r="AA369" i="31" a="1"/>
  <c r="AA369" i="31" s="1"/>
  <c r="AB369" i="31" s="1"/>
  <c r="Y370" i="31"/>
  <c r="AA370" i="31" a="1"/>
  <c r="AA370" i="31" s="1"/>
  <c r="AB370" i="31" s="1"/>
  <c r="Y371" i="31"/>
  <c r="AA371" i="31" a="1"/>
  <c r="AA371" i="31" s="1"/>
  <c r="AB371" i="31" s="1"/>
  <c r="Y372" i="31"/>
  <c r="AA372" i="31" a="1"/>
  <c r="AA372" i="31" s="1"/>
  <c r="AB372" i="31" s="1"/>
  <c r="Y373" i="31"/>
  <c r="AA373" i="31" a="1"/>
  <c r="AA373" i="31" s="1"/>
  <c r="AB373" i="31" s="1"/>
  <c r="Y374" i="31"/>
  <c r="AA374" i="31" a="1"/>
  <c r="AA374" i="31" s="1"/>
  <c r="AB374" i="31" s="1"/>
  <c r="Y375" i="31"/>
  <c r="AA375" i="31" a="1"/>
  <c r="AA375" i="31" s="1"/>
  <c r="AB375" i="31" s="1"/>
  <c r="Y376" i="31"/>
  <c r="AA376" i="31" a="1"/>
  <c r="AA376" i="31" s="1"/>
  <c r="AB376" i="31" s="1"/>
  <c r="Y377" i="31"/>
  <c r="AA377" i="31" a="1"/>
  <c r="AA377" i="31" s="1"/>
  <c r="AB377" i="31" s="1"/>
  <c r="Y378" i="31"/>
  <c r="AA378" i="31" a="1"/>
  <c r="AA378" i="31" s="1"/>
  <c r="AB378" i="31" s="1"/>
  <c r="Y379" i="31"/>
  <c r="AA379" i="31" a="1"/>
  <c r="AA379" i="31" s="1"/>
  <c r="AB379" i="31" s="1"/>
  <c r="Y380" i="31"/>
  <c r="AA380" i="31" a="1"/>
  <c r="AA380" i="31" s="1"/>
  <c r="AB380" i="31" s="1"/>
  <c r="Y381" i="31"/>
  <c r="AA381" i="31" a="1"/>
  <c r="AA381" i="31" s="1"/>
  <c r="AB381" i="31" s="1"/>
  <c r="Y382" i="31"/>
  <c r="AA382" i="31" a="1"/>
  <c r="AA382" i="31" s="1"/>
  <c r="AB382" i="31" s="1"/>
  <c r="Y383" i="31"/>
  <c r="AA383" i="31" a="1"/>
  <c r="AA383" i="31" s="1"/>
  <c r="AB383" i="31" s="1"/>
  <c r="Y384" i="31"/>
  <c r="AA384" i="31" a="1"/>
  <c r="AA384" i="31" s="1"/>
  <c r="AB384" i="31" s="1"/>
  <c r="Y385" i="31"/>
  <c r="AA385" i="31" a="1"/>
  <c r="AA385" i="31" s="1"/>
  <c r="AB385" i="31" s="1"/>
  <c r="Y386" i="31"/>
  <c r="AA386" i="31" a="1"/>
  <c r="AA386" i="31" s="1"/>
  <c r="AB386" i="31" s="1"/>
  <c r="Y387" i="31"/>
  <c r="AA387" i="31" a="1"/>
  <c r="AA387" i="31" s="1"/>
  <c r="AB387" i="31" s="1"/>
  <c r="Y388" i="31"/>
  <c r="AA388" i="31" a="1"/>
  <c r="AA388" i="31" s="1"/>
  <c r="AB388" i="31" s="1"/>
  <c r="Y389" i="31"/>
  <c r="AA389" i="31" a="1"/>
  <c r="AA389" i="31" s="1"/>
  <c r="AB389" i="31" s="1"/>
  <c r="Y390" i="31"/>
  <c r="AA390" i="31" a="1"/>
  <c r="AA390" i="31" s="1"/>
  <c r="AB390" i="31" s="1"/>
  <c r="Y391" i="31"/>
  <c r="AA391" i="31" a="1"/>
  <c r="AA391" i="31" s="1"/>
  <c r="AB391" i="31" s="1"/>
  <c r="Y392" i="31"/>
  <c r="AA392" i="31" a="1"/>
  <c r="AA392" i="31" s="1"/>
  <c r="AB392" i="31" s="1"/>
  <c r="Y393" i="31"/>
  <c r="AA393" i="31" a="1"/>
  <c r="AA393" i="31" s="1"/>
  <c r="AB393" i="31" s="1"/>
  <c r="Y394" i="31"/>
  <c r="AA394" i="31" a="1"/>
  <c r="AA394" i="31" s="1"/>
  <c r="AB394" i="31" s="1"/>
  <c r="Y395" i="31"/>
  <c r="AA395" i="31" a="1"/>
  <c r="AA395" i="31" s="1"/>
  <c r="AB395" i="31" s="1"/>
  <c r="Y396" i="31"/>
  <c r="AA396" i="31" a="1"/>
  <c r="AA396" i="31" s="1"/>
  <c r="AB396" i="31" s="1"/>
  <c r="Y397" i="31"/>
  <c r="AA397" i="31" a="1"/>
  <c r="AA397" i="31" s="1"/>
  <c r="AB397" i="31" s="1"/>
  <c r="Y398" i="31"/>
  <c r="AA398" i="31" a="1"/>
  <c r="AA398" i="31" s="1"/>
  <c r="AB398" i="31" s="1"/>
  <c r="Y399" i="31"/>
  <c r="AA399" i="31" a="1"/>
  <c r="AA399" i="31" s="1"/>
  <c r="AB399" i="31" s="1"/>
  <c r="Y400" i="31"/>
  <c r="AA400" i="31" a="1"/>
  <c r="AA400" i="31" s="1"/>
  <c r="AB400" i="31" s="1"/>
  <c r="Y401" i="31"/>
  <c r="AA401" i="31" a="1"/>
  <c r="AA401" i="31" s="1"/>
  <c r="AB401" i="31" s="1"/>
  <c r="Y402" i="31"/>
  <c r="AA402" i="31" a="1"/>
  <c r="AA402" i="31" s="1"/>
  <c r="AB402" i="31" s="1"/>
  <c r="Y403" i="31"/>
  <c r="AA403" i="31" a="1"/>
  <c r="AA403" i="31" s="1"/>
  <c r="AB403" i="31" s="1"/>
  <c r="Y404" i="31"/>
  <c r="AA404" i="31" a="1"/>
  <c r="AA404" i="31" s="1"/>
  <c r="AB404" i="31" s="1"/>
  <c r="Y405" i="31"/>
  <c r="AA405" i="31" a="1"/>
  <c r="AA405" i="31" s="1"/>
  <c r="AB405" i="31" s="1"/>
  <c r="Y406" i="31"/>
  <c r="AA406" i="31" a="1"/>
  <c r="AA406" i="31" s="1"/>
  <c r="AB406" i="31" s="1"/>
  <c r="Y407" i="31"/>
  <c r="AA407" i="31" a="1"/>
  <c r="AA407" i="31" s="1"/>
  <c r="AB407" i="31" s="1"/>
  <c r="Y408" i="31"/>
  <c r="AA408" i="31" a="1"/>
  <c r="AA408" i="31" s="1"/>
  <c r="AB408" i="31" s="1"/>
  <c r="Y409" i="31"/>
  <c r="AA409" i="31" a="1"/>
  <c r="AA409" i="31" s="1"/>
  <c r="AB409" i="31" s="1"/>
  <c r="Y410" i="31"/>
  <c r="AA410" i="31" a="1"/>
  <c r="AA410" i="31" s="1"/>
  <c r="AB410" i="31" s="1"/>
  <c r="Y411" i="31"/>
  <c r="AA411" i="31" a="1"/>
  <c r="AA411" i="31" s="1"/>
  <c r="AB411" i="31" s="1"/>
  <c r="Y412" i="31"/>
  <c r="AA412" i="31" a="1"/>
  <c r="AA412" i="31" s="1"/>
  <c r="AB412" i="31" s="1"/>
  <c r="Y413" i="31"/>
  <c r="AA413" i="31" a="1"/>
  <c r="AA413" i="31" s="1"/>
  <c r="AB413" i="31" s="1"/>
  <c r="Y414" i="31"/>
  <c r="AA414" i="31" a="1"/>
  <c r="AA414" i="31" s="1"/>
  <c r="AB414" i="31" s="1"/>
  <c r="Y415" i="31"/>
  <c r="AA415" i="31" a="1"/>
  <c r="AA415" i="31" s="1"/>
  <c r="AB415" i="31" s="1"/>
  <c r="Y416" i="31"/>
  <c r="AA416" i="31" a="1"/>
  <c r="AA416" i="31" s="1"/>
  <c r="AB416" i="31" s="1"/>
  <c r="Y417" i="31"/>
  <c r="AA417" i="31" a="1"/>
  <c r="AA417" i="31" s="1"/>
  <c r="AB417" i="31" s="1"/>
  <c r="Y418" i="31"/>
  <c r="AA418" i="31" a="1"/>
  <c r="AA418" i="31" s="1"/>
  <c r="AB418" i="31" s="1"/>
  <c r="Y419" i="31"/>
  <c r="AA419" i="31" a="1"/>
  <c r="AA419" i="31" s="1"/>
  <c r="AB419" i="31" s="1"/>
  <c r="Y420" i="31"/>
  <c r="AA420" i="31" a="1"/>
  <c r="AA420" i="31" s="1"/>
  <c r="AB420" i="31" s="1"/>
  <c r="Y421" i="31"/>
  <c r="AA421" i="31" a="1"/>
  <c r="AA421" i="31" s="1"/>
  <c r="AB421" i="31" s="1"/>
  <c r="Y422" i="31"/>
  <c r="AA422" i="31" a="1"/>
  <c r="AA422" i="31" s="1"/>
  <c r="AB422" i="31" s="1"/>
  <c r="Y423" i="31"/>
  <c r="AA423" i="31" a="1"/>
  <c r="AA423" i="31" s="1"/>
  <c r="AB423" i="31" s="1"/>
  <c r="Y424" i="31"/>
  <c r="AA424" i="31" a="1"/>
  <c r="AA424" i="31" s="1"/>
  <c r="AB424" i="31" s="1"/>
  <c r="Y425" i="31"/>
  <c r="AA425" i="31" a="1"/>
  <c r="AA425" i="31" s="1"/>
  <c r="AB425" i="31" s="1"/>
  <c r="Y426" i="31"/>
  <c r="AA426" i="31" a="1"/>
  <c r="AA426" i="31" s="1"/>
  <c r="AB426" i="31" s="1"/>
  <c r="Y427" i="31"/>
  <c r="AA427" i="31" a="1"/>
  <c r="AA427" i="31" s="1"/>
  <c r="AB427" i="31" s="1"/>
  <c r="Y428" i="31"/>
  <c r="AA428" i="31" a="1"/>
  <c r="AA428" i="31" s="1"/>
  <c r="AB428" i="31" s="1"/>
  <c r="Y429" i="31"/>
  <c r="AA429" i="31" a="1"/>
  <c r="AA429" i="31" s="1"/>
  <c r="AB429" i="31" s="1"/>
  <c r="Y430" i="31"/>
  <c r="AA430" i="31" a="1"/>
  <c r="AA430" i="31" s="1"/>
  <c r="AB430" i="31" s="1"/>
  <c r="Y431" i="31"/>
  <c r="AA431" i="31" a="1"/>
  <c r="AA431" i="31" s="1"/>
  <c r="AB431" i="31" s="1"/>
  <c r="Y432" i="31"/>
  <c r="AA432" i="31" a="1"/>
  <c r="AA432" i="31" s="1"/>
  <c r="AB432" i="31" s="1"/>
  <c r="Y433" i="31"/>
  <c r="AA433" i="31" a="1"/>
  <c r="AA433" i="31" s="1"/>
  <c r="AB433" i="31" s="1"/>
  <c r="Y434" i="31"/>
  <c r="AA434" i="31" a="1"/>
  <c r="AA434" i="31" s="1"/>
  <c r="AB434" i="31" s="1"/>
  <c r="Y435" i="31"/>
  <c r="AA435" i="31" a="1"/>
  <c r="AA435" i="31" s="1"/>
  <c r="AB435" i="31" s="1"/>
  <c r="Y436" i="31"/>
  <c r="AA436" i="31" a="1"/>
  <c r="AA436" i="31" s="1"/>
  <c r="AB436" i="31" s="1"/>
  <c r="Y437" i="31"/>
  <c r="AA437" i="31" a="1"/>
  <c r="AA437" i="31" s="1"/>
  <c r="AB437" i="31" s="1"/>
  <c r="Y438" i="31"/>
  <c r="AA438" i="31" a="1"/>
  <c r="AA438" i="31" s="1"/>
  <c r="AB438" i="31" s="1"/>
  <c r="Y439" i="31"/>
  <c r="AA439" i="31" a="1"/>
  <c r="AA439" i="31" s="1"/>
  <c r="AB439" i="31" s="1"/>
  <c r="Y440" i="31"/>
  <c r="AA440" i="31" a="1"/>
  <c r="AA440" i="31" s="1"/>
  <c r="AB440" i="31" s="1"/>
  <c r="Y441" i="31"/>
  <c r="AA441" i="31" a="1"/>
  <c r="AA441" i="31" s="1"/>
  <c r="AB441" i="31" s="1"/>
  <c r="Y442" i="31"/>
  <c r="AA442" i="31" a="1"/>
  <c r="AA442" i="31" s="1"/>
  <c r="AB442" i="31" s="1"/>
  <c r="Y443" i="31"/>
  <c r="AA443" i="31" a="1"/>
  <c r="AA443" i="31" s="1"/>
  <c r="AB443" i="31" s="1"/>
  <c r="Y444" i="31"/>
  <c r="AA444" i="31" a="1"/>
  <c r="AA444" i="31" s="1"/>
  <c r="AB444" i="31" s="1"/>
  <c r="Y445" i="31"/>
  <c r="AA445" i="31" a="1"/>
  <c r="AA445" i="31" s="1"/>
  <c r="AB445" i="31" s="1"/>
  <c r="Y446" i="31"/>
  <c r="AA446" i="31" a="1"/>
  <c r="AA446" i="31" s="1"/>
  <c r="AB446" i="31" s="1"/>
  <c r="Y447" i="31"/>
  <c r="AA447" i="31" a="1"/>
  <c r="AA447" i="31" s="1"/>
  <c r="AB447" i="31" s="1"/>
  <c r="Y448" i="31"/>
  <c r="AA448" i="31" a="1"/>
  <c r="AA448" i="31" s="1"/>
  <c r="AB448" i="31" s="1"/>
  <c r="Y449" i="31"/>
  <c r="AA449" i="31" a="1"/>
  <c r="AA449" i="31" s="1"/>
  <c r="AB449" i="31" s="1"/>
  <c r="Y450" i="31"/>
  <c r="AA450" i="31" a="1"/>
  <c r="AA450" i="31" s="1"/>
  <c r="AB450" i="31" s="1"/>
  <c r="Y451" i="31"/>
  <c r="AA451" i="31" a="1"/>
  <c r="AA451" i="31" s="1"/>
  <c r="AB451" i="31" s="1"/>
  <c r="Y452" i="31"/>
  <c r="AA452" i="31" a="1"/>
  <c r="AA452" i="31" s="1"/>
  <c r="AB452" i="31" s="1"/>
  <c r="Y453" i="31"/>
  <c r="AA453" i="31" a="1"/>
  <c r="AA453" i="31" s="1"/>
  <c r="AB453" i="31" s="1"/>
  <c r="Y454" i="31"/>
  <c r="AA454" i="31" a="1"/>
  <c r="AA454" i="31" s="1"/>
  <c r="AB454" i="31" s="1"/>
  <c r="Y455" i="31"/>
  <c r="AA455" i="31" a="1"/>
  <c r="AA455" i="31" s="1"/>
  <c r="AB455" i="31" s="1"/>
  <c r="Y456" i="31"/>
  <c r="AA456" i="31" a="1"/>
  <c r="AA456" i="31" s="1"/>
  <c r="AB456" i="31" s="1"/>
  <c r="Y457" i="31"/>
  <c r="AA457" i="31" a="1"/>
  <c r="AA457" i="31" s="1"/>
  <c r="AB457" i="31" s="1"/>
  <c r="Y458" i="31"/>
  <c r="AA458" i="31" a="1"/>
  <c r="AA458" i="31" s="1"/>
  <c r="AB458" i="31" s="1"/>
  <c r="Y459" i="31"/>
  <c r="AA459" i="31" a="1"/>
  <c r="AA459" i="31" s="1"/>
  <c r="AB459" i="31" s="1"/>
  <c r="Y460" i="31"/>
  <c r="AA460" i="31" a="1"/>
  <c r="AA460" i="31" s="1"/>
  <c r="AB460" i="31" s="1"/>
  <c r="Y461" i="31"/>
  <c r="AA461" i="31" a="1"/>
  <c r="AA461" i="31" s="1"/>
  <c r="AB461" i="31" s="1"/>
  <c r="Y462" i="31"/>
  <c r="AA462" i="31" a="1"/>
  <c r="AA462" i="31" s="1"/>
  <c r="AB462" i="31" s="1"/>
  <c r="Y463" i="31"/>
  <c r="AA463" i="31" a="1"/>
  <c r="AA463" i="31" s="1"/>
  <c r="AB463" i="31" s="1"/>
  <c r="Y464" i="31"/>
  <c r="AA464" i="31" a="1"/>
  <c r="AA464" i="31" s="1"/>
  <c r="AB464" i="31" s="1"/>
  <c r="Y465" i="31"/>
  <c r="AA465" i="31" a="1"/>
  <c r="AA465" i="31" s="1"/>
  <c r="AB465" i="31" s="1"/>
  <c r="Y466" i="31"/>
  <c r="AA466" i="31" a="1"/>
  <c r="AA466" i="31" s="1"/>
  <c r="AB466" i="31" s="1"/>
  <c r="Y467" i="31"/>
  <c r="AA467" i="31" a="1"/>
  <c r="AA467" i="31" s="1"/>
  <c r="AB467" i="31" s="1"/>
  <c r="Y468" i="31"/>
  <c r="AA468" i="31" a="1"/>
  <c r="AA468" i="31" s="1"/>
  <c r="AB468" i="31" s="1"/>
  <c r="Y469" i="31"/>
  <c r="AA469" i="31" a="1"/>
  <c r="AA469" i="31" s="1"/>
  <c r="AB469" i="31" s="1"/>
  <c r="Y470" i="31"/>
  <c r="AA470" i="31" a="1"/>
  <c r="AA470" i="31" s="1"/>
  <c r="AB470" i="31" s="1"/>
  <c r="Y471" i="31"/>
  <c r="AA471" i="31" a="1"/>
  <c r="AA471" i="31" s="1"/>
  <c r="AB471" i="31" s="1"/>
  <c r="Y472" i="31"/>
  <c r="AA472" i="31" a="1"/>
  <c r="AA472" i="31" s="1"/>
  <c r="AB472" i="31" s="1"/>
  <c r="Y473" i="31"/>
  <c r="AA473" i="31" a="1"/>
  <c r="AA473" i="31" s="1"/>
  <c r="AB473" i="31" s="1"/>
  <c r="Y474" i="31"/>
  <c r="AA474" i="31" a="1"/>
  <c r="AA474" i="31" s="1"/>
  <c r="AB474" i="31" s="1"/>
  <c r="Y475" i="31"/>
  <c r="AA475" i="31" a="1"/>
  <c r="AA475" i="31" s="1"/>
  <c r="AB475" i="31" s="1"/>
  <c r="Y476" i="31"/>
  <c r="AA476" i="31" a="1"/>
  <c r="AA476" i="31" s="1"/>
  <c r="AB476" i="31" s="1"/>
  <c r="Y477" i="31"/>
  <c r="AA477" i="31" a="1"/>
  <c r="AA477" i="31" s="1"/>
  <c r="AB477" i="31" s="1"/>
  <c r="Y478" i="31"/>
  <c r="AA478" i="31" a="1"/>
  <c r="AA478" i="31" s="1"/>
  <c r="AB478" i="31" s="1"/>
  <c r="Y479" i="31"/>
  <c r="AA479" i="31" a="1"/>
  <c r="AA479" i="31" s="1"/>
  <c r="AB479" i="31" s="1"/>
  <c r="Y480" i="31"/>
  <c r="AA480" i="31" a="1"/>
  <c r="AA480" i="31" s="1"/>
  <c r="AB480" i="31" s="1"/>
  <c r="Y481" i="31"/>
  <c r="AA481" i="31" a="1"/>
  <c r="AA481" i="31" s="1"/>
  <c r="AB481" i="31" s="1"/>
  <c r="Y482" i="31"/>
  <c r="AA482" i="31" a="1"/>
  <c r="AA482" i="31" s="1"/>
  <c r="AB482" i="31" s="1"/>
  <c r="Y483" i="31"/>
  <c r="AA483" i="31" a="1"/>
  <c r="AA483" i="31" s="1"/>
  <c r="AB483" i="31" s="1"/>
  <c r="Y484" i="31"/>
  <c r="AA484" i="31" a="1"/>
  <c r="AA484" i="31" s="1"/>
  <c r="AB484" i="31" s="1"/>
  <c r="Y485" i="31"/>
  <c r="AA485" i="31" a="1"/>
  <c r="AA485" i="31" s="1"/>
  <c r="AB485" i="31" s="1"/>
  <c r="Y486" i="31"/>
  <c r="AA486" i="31" a="1"/>
  <c r="AA486" i="31" s="1"/>
  <c r="AB486" i="31" s="1"/>
  <c r="Y487" i="31"/>
  <c r="AA487" i="31" a="1"/>
  <c r="AA487" i="31" s="1"/>
  <c r="AB487" i="31" s="1"/>
  <c r="Y488" i="31"/>
  <c r="AA488" i="31" a="1"/>
  <c r="AA488" i="31" s="1"/>
  <c r="AB488" i="31" s="1"/>
  <c r="Y489" i="31"/>
  <c r="AA489" i="31" a="1"/>
  <c r="AA489" i="31" s="1"/>
  <c r="AB489" i="31" s="1"/>
  <c r="Y490" i="31"/>
  <c r="AA490" i="31" a="1"/>
  <c r="AA490" i="31" s="1"/>
  <c r="AB490" i="31" s="1"/>
  <c r="Y491" i="31"/>
  <c r="AA491" i="31" a="1"/>
  <c r="AA491" i="31" s="1"/>
  <c r="AB491" i="31" s="1"/>
  <c r="Y492" i="31"/>
  <c r="AA492" i="31" a="1"/>
  <c r="AA492" i="31" s="1"/>
  <c r="AB492" i="31" s="1"/>
  <c r="Y493" i="31"/>
  <c r="AA493" i="31" a="1"/>
  <c r="AA493" i="31" s="1"/>
  <c r="AB493" i="31" s="1"/>
  <c r="Y494" i="31"/>
  <c r="AA494" i="31" a="1"/>
  <c r="AA494" i="31" s="1"/>
  <c r="AB494" i="31" s="1"/>
  <c r="Y495" i="31"/>
  <c r="AA495" i="31" a="1"/>
  <c r="AA495" i="31" s="1"/>
  <c r="AB495" i="31" s="1"/>
  <c r="Y496" i="31"/>
  <c r="AA496" i="31" a="1"/>
  <c r="AA496" i="31" s="1"/>
  <c r="AB496" i="31" s="1"/>
  <c r="Y497" i="31"/>
  <c r="AA497" i="31" a="1"/>
  <c r="AA497" i="31" s="1"/>
  <c r="AB497" i="31" s="1"/>
  <c r="Y498" i="31"/>
  <c r="AA498" i="31" a="1"/>
  <c r="AA498" i="31" s="1"/>
  <c r="AB498" i="31" s="1"/>
  <c r="Y499" i="31"/>
  <c r="AA499" i="31" a="1"/>
  <c r="AA499" i="31" s="1"/>
  <c r="AB499" i="31" s="1"/>
  <c r="Y500" i="31"/>
  <c r="AA500" i="31" a="1"/>
  <c r="AA500" i="31" s="1"/>
  <c r="AB500" i="31" s="1"/>
  <c r="Y501" i="31"/>
  <c r="AA501" i="31" a="1"/>
  <c r="AA501" i="31" s="1"/>
  <c r="AB501" i="31" s="1"/>
  <c r="Y502" i="31"/>
  <c r="AA502" i="31" a="1"/>
  <c r="AA502" i="31" s="1"/>
  <c r="AB502" i="31" s="1"/>
  <c r="Y503" i="31"/>
  <c r="AA503" i="31" a="1"/>
  <c r="AA503" i="31" s="1"/>
  <c r="AB503" i="31" s="1"/>
  <c r="Y504" i="31"/>
  <c r="AA504" i="31" a="1"/>
  <c r="AA504" i="31" s="1"/>
  <c r="AB504" i="31" s="1"/>
  <c r="Y505" i="31"/>
  <c r="AA505" i="31" a="1"/>
  <c r="AA505" i="31" s="1"/>
  <c r="AB505" i="31" s="1"/>
  <c r="Y506" i="31"/>
  <c r="AA506" i="31" a="1"/>
  <c r="AA506" i="31" s="1"/>
  <c r="AB506" i="31" s="1"/>
  <c r="Y507" i="31"/>
  <c r="AA507" i="31" a="1"/>
  <c r="AA507" i="31" s="1"/>
  <c r="AB507" i="31" s="1"/>
  <c r="Y508" i="31"/>
  <c r="AA508" i="31" a="1"/>
  <c r="AA508" i="31" s="1"/>
  <c r="AB508" i="31" s="1"/>
  <c r="Y509" i="31"/>
  <c r="AA509" i="31" a="1"/>
  <c r="AA509" i="31" s="1"/>
  <c r="AB509" i="31" s="1"/>
  <c r="Y510" i="31"/>
  <c r="AA510" i="31" a="1"/>
  <c r="AA510" i="31" s="1"/>
  <c r="AB510" i="31" s="1"/>
  <c r="Y511" i="31"/>
  <c r="AA511" i="31" a="1"/>
  <c r="AA511" i="31" s="1"/>
  <c r="AB511" i="31" s="1"/>
  <c r="Y512" i="31"/>
  <c r="AA512" i="31" a="1"/>
  <c r="AA512" i="31" s="1"/>
  <c r="AB512" i="31" s="1"/>
  <c r="Y513" i="31"/>
  <c r="AA513" i="31" a="1"/>
  <c r="AA513" i="31" s="1"/>
  <c r="AB513" i="31" s="1"/>
  <c r="Y514" i="31"/>
  <c r="AA514" i="31" a="1"/>
  <c r="AA514" i="31" s="1"/>
  <c r="AB514" i="31" s="1"/>
  <c r="Y515" i="31"/>
  <c r="AA515" i="31" a="1"/>
  <c r="AA515" i="31" s="1"/>
  <c r="AB515" i="31" s="1"/>
  <c r="Y516" i="31"/>
  <c r="AA516" i="31" a="1"/>
  <c r="AA516" i="31" s="1"/>
  <c r="AB516" i="31" s="1"/>
  <c r="Y517" i="31"/>
  <c r="AA517" i="31" a="1"/>
  <c r="AA517" i="31" s="1"/>
  <c r="AB517" i="31" s="1"/>
  <c r="Y518" i="31"/>
  <c r="AA518" i="31" a="1"/>
  <c r="AA518" i="31" s="1"/>
  <c r="AB518" i="31" s="1"/>
  <c r="Y519" i="31"/>
  <c r="AA519" i="31" a="1"/>
  <c r="AA519" i="31" s="1"/>
  <c r="AB519" i="31" s="1"/>
  <c r="Y520" i="31"/>
  <c r="AA520" i="31" a="1"/>
  <c r="AA520" i="31" s="1"/>
  <c r="AB520" i="31" s="1"/>
  <c r="Y521" i="31"/>
  <c r="AA521" i="31" a="1"/>
  <c r="AA521" i="31" s="1"/>
  <c r="AB521" i="31" s="1"/>
  <c r="Y522" i="31"/>
  <c r="AA522" i="31" a="1"/>
  <c r="AA522" i="31" s="1"/>
  <c r="AB522" i="31" s="1"/>
  <c r="Y523" i="31"/>
  <c r="AA523" i="31" a="1"/>
  <c r="AA523" i="31" s="1"/>
  <c r="AB523" i="31" s="1"/>
  <c r="Y524" i="31"/>
  <c r="AA524" i="31" a="1"/>
  <c r="AA524" i="31" s="1"/>
  <c r="AB524" i="31" s="1"/>
  <c r="Y525" i="31"/>
  <c r="AA525" i="31" a="1"/>
  <c r="AA525" i="31" s="1"/>
  <c r="AB525" i="31" s="1"/>
  <c r="Y526" i="31"/>
  <c r="AA526" i="31" a="1"/>
  <c r="AA526" i="31" s="1"/>
  <c r="AB526" i="31" s="1"/>
  <c r="Y527" i="31"/>
  <c r="AA527" i="31" a="1"/>
  <c r="AA527" i="31" s="1"/>
  <c r="AB527" i="31" s="1"/>
  <c r="Y528" i="31"/>
  <c r="AA528" i="31" a="1"/>
  <c r="AA528" i="31" s="1"/>
  <c r="AB528" i="31" s="1"/>
  <c r="Y529" i="31"/>
  <c r="AA529" i="31" a="1"/>
  <c r="AA529" i="31" s="1"/>
  <c r="AB529" i="31" s="1"/>
  <c r="Y530" i="31"/>
  <c r="AA530" i="31" a="1"/>
  <c r="AA530" i="31" s="1"/>
  <c r="AB530" i="31" s="1"/>
  <c r="Y531" i="31"/>
  <c r="AA531" i="31" a="1"/>
  <c r="AA531" i="31" s="1"/>
  <c r="AB531" i="31" s="1"/>
  <c r="Y532" i="31"/>
  <c r="AA532" i="31" a="1"/>
  <c r="AA532" i="31" s="1"/>
  <c r="AB532" i="31" s="1"/>
  <c r="Y533" i="31"/>
  <c r="AA533" i="31" a="1"/>
  <c r="AA533" i="31" s="1"/>
  <c r="AB533" i="31" s="1"/>
  <c r="Y534" i="31"/>
  <c r="AA534" i="31" a="1"/>
  <c r="AA534" i="31" s="1"/>
  <c r="AB534" i="31" s="1"/>
  <c r="Y535" i="31"/>
  <c r="AA535" i="31" a="1"/>
  <c r="AA535" i="31" s="1"/>
  <c r="AB535" i="31" s="1"/>
  <c r="Y536" i="31"/>
  <c r="AA536" i="31" a="1"/>
  <c r="AA536" i="31" s="1"/>
  <c r="AB536" i="31" s="1"/>
  <c r="Y537" i="31"/>
  <c r="AA537" i="31" a="1"/>
  <c r="AA537" i="31" s="1"/>
  <c r="AB537" i="31" s="1"/>
  <c r="Y538" i="31"/>
  <c r="AA538" i="31" a="1"/>
  <c r="AA538" i="31" s="1"/>
  <c r="AB538" i="31" s="1"/>
  <c r="Y539" i="31"/>
  <c r="AA539" i="31" a="1"/>
  <c r="AA539" i="31" s="1"/>
  <c r="AB539" i="31" s="1"/>
  <c r="Y540" i="31"/>
  <c r="AA540" i="31" a="1"/>
  <c r="AA540" i="31" s="1"/>
  <c r="AB540" i="31" s="1"/>
  <c r="Y541" i="31"/>
  <c r="AA541" i="31" a="1"/>
  <c r="AA541" i="31" s="1"/>
  <c r="AB541" i="31" s="1"/>
  <c r="Y542" i="31"/>
  <c r="AA542" i="31" a="1"/>
  <c r="AA542" i="31" s="1"/>
  <c r="AB542" i="31" s="1"/>
  <c r="Y543" i="31"/>
  <c r="AA543" i="31" a="1"/>
  <c r="AA543" i="31" s="1"/>
  <c r="AB543" i="31" s="1"/>
  <c r="Y544" i="31"/>
  <c r="AA544" i="31" a="1"/>
  <c r="AA544" i="31" s="1"/>
  <c r="AB544" i="31" s="1"/>
  <c r="Y545" i="31"/>
  <c r="AA545" i="31" a="1"/>
  <c r="AA545" i="31" s="1"/>
  <c r="AB545" i="31" s="1"/>
  <c r="Y546" i="31"/>
  <c r="AA546" i="31" a="1"/>
  <c r="AA546" i="31" s="1"/>
  <c r="AB546" i="31" s="1"/>
  <c r="Y547" i="31"/>
  <c r="AA547" i="31" a="1"/>
  <c r="AA547" i="31" s="1"/>
  <c r="AB547" i="31" s="1"/>
  <c r="Y548" i="31"/>
  <c r="AA548" i="31" a="1"/>
  <c r="AA548" i="31" s="1"/>
  <c r="AB548" i="31" s="1"/>
  <c r="Y549" i="31"/>
  <c r="AA549" i="31" a="1"/>
  <c r="AA549" i="31" s="1"/>
  <c r="AB549" i="31" s="1"/>
  <c r="Y550" i="31"/>
  <c r="AA550" i="31" a="1"/>
  <c r="AA550" i="31" s="1"/>
  <c r="AB550" i="31" s="1"/>
  <c r="Y551" i="31"/>
  <c r="AA551" i="31" a="1"/>
  <c r="AA551" i="31" s="1"/>
  <c r="AB551" i="31" s="1"/>
  <c r="Y552" i="31"/>
  <c r="AA552" i="31" a="1"/>
  <c r="AA552" i="31" s="1"/>
  <c r="AB552" i="31" s="1"/>
  <c r="Y553" i="31"/>
  <c r="AA553" i="31" a="1"/>
  <c r="AA553" i="31" s="1"/>
  <c r="AB553" i="31" s="1"/>
  <c r="Y554" i="31"/>
  <c r="AA554" i="31" a="1"/>
  <c r="AA554" i="31" s="1"/>
  <c r="AB554" i="31" s="1"/>
  <c r="Y555" i="31"/>
  <c r="AA555" i="31" a="1"/>
  <c r="AA555" i="31" s="1"/>
  <c r="AB555" i="31" s="1"/>
  <c r="Y556" i="31"/>
  <c r="AA556" i="31" a="1"/>
  <c r="AA556" i="31" s="1"/>
  <c r="AB556" i="31" s="1"/>
  <c r="Y557" i="31"/>
  <c r="AA557" i="31" a="1"/>
  <c r="AA557" i="31" s="1"/>
  <c r="AB557" i="31" s="1"/>
  <c r="Y558" i="31"/>
  <c r="AA558" i="31" a="1"/>
  <c r="AA558" i="31" s="1"/>
  <c r="AB558" i="31" s="1"/>
  <c r="Y559" i="31"/>
  <c r="AA559" i="31" a="1"/>
  <c r="AA559" i="31" s="1"/>
  <c r="AB559" i="31" s="1"/>
  <c r="Y560" i="31"/>
  <c r="AA560" i="31" a="1"/>
  <c r="AA560" i="31" s="1"/>
  <c r="AB560" i="31" s="1"/>
  <c r="Y561" i="31"/>
  <c r="AA561" i="31" a="1"/>
  <c r="AA561" i="31" s="1"/>
  <c r="AB561" i="31" s="1"/>
  <c r="Y562" i="31"/>
  <c r="AA562" i="31" a="1"/>
  <c r="AA562" i="31" s="1"/>
  <c r="AB562" i="31" s="1"/>
  <c r="Y563" i="31"/>
  <c r="AA563" i="31" a="1"/>
  <c r="AA563" i="31" s="1"/>
  <c r="AB563" i="31" s="1"/>
  <c r="Y564" i="31"/>
  <c r="AA564" i="31" a="1"/>
  <c r="AA564" i="31" s="1"/>
  <c r="AB564" i="31" s="1"/>
  <c r="Y565" i="31"/>
  <c r="AA565" i="31" a="1"/>
  <c r="AA565" i="31" s="1"/>
  <c r="AB565" i="31" s="1"/>
  <c r="Y566" i="31"/>
  <c r="AA566" i="31" a="1"/>
  <c r="AA566" i="31" s="1"/>
  <c r="AB566" i="31" s="1"/>
  <c r="Y567" i="31"/>
  <c r="AA567" i="31" a="1"/>
  <c r="AA567" i="31" s="1"/>
  <c r="AB567" i="31" s="1"/>
  <c r="Y568" i="31"/>
  <c r="AA568" i="31" a="1"/>
  <c r="AA568" i="31" s="1"/>
  <c r="AB568" i="31" s="1"/>
  <c r="Y569" i="31"/>
  <c r="AA569" i="31" a="1"/>
  <c r="AA569" i="31" s="1"/>
  <c r="AB569" i="31" s="1"/>
  <c r="Y570" i="31"/>
  <c r="AA570" i="31" a="1"/>
  <c r="AA570" i="31" s="1"/>
  <c r="AB570" i="31" s="1"/>
  <c r="Y571" i="31"/>
  <c r="AA571" i="31" a="1"/>
  <c r="AA571" i="31" s="1"/>
  <c r="AB571" i="31" s="1"/>
  <c r="Y572" i="31"/>
  <c r="AA572" i="31" a="1"/>
  <c r="AA572" i="31" s="1"/>
  <c r="AB572" i="31" s="1"/>
  <c r="Y573" i="31"/>
  <c r="AA573" i="31" a="1"/>
  <c r="AA573" i="31" s="1"/>
  <c r="AB573" i="31" s="1"/>
  <c r="Y574" i="31"/>
  <c r="AA574" i="31" a="1"/>
  <c r="AA574" i="31" s="1"/>
  <c r="AB574" i="31" s="1"/>
  <c r="Y575" i="31"/>
  <c r="AA575" i="31" a="1"/>
  <c r="AA575" i="31" s="1"/>
  <c r="AB575" i="31" s="1"/>
  <c r="Y576" i="31"/>
  <c r="AA576" i="31" a="1"/>
  <c r="AA576" i="31" s="1"/>
  <c r="AB576" i="31" s="1"/>
  <c r="Y577" i="31"/>
  <c r="AA577" i="31" a="1"/>
  <c r="AA577" i="31" s="1"/>
  <c r="AB577" i="31" s="1"/>
  <c r="Y578" i="31"/>
  <c r="AA578" i="31" a="1"/>
  <c r="AA578" i="31" s="1"/>
  <c r="AB578" i="31" s="1"/>
  <c r="Y579" i="31"/>
  <c r="AA579" i="31" a="1"/>
  <c r="AA579" i="31" s="1"/>
  <c r="AB579" i="31" s="1"/>
  <c r="Y580" i="31"/>
  <c r="AA580" i="31" a="1"/>
  <c r="AA580" i="31" s="1"/>
  <c r="AB580" i="31" s="1"/>
  <c r="Y581" i="31"/>
  <c r="AA581" i="31" a="1"/>
  <c r="AA581" i="31" s="1"/>
  <c r="AB581" i="31" s="1"/>
  <c r="Y582" i="31"/>
  <c r="AA582" i="31" a="1"/>
  <c r="AA582" i="31" s="1"/>
  <c r="AB582" i="31" s="1"/>
  <c r="Y583" i="31"/>
  <c r="AA583" i="31" a="1"/>
  <c r="AA583" i="31" s="1"/>
  <c r="AB583" i="31" s="1"/>
  <c r="Y584" i="31"/>
  <c r="AA584" i="31" a="1"/>
  <c r="AA584" i="31" s="1"/>
  <c r="AB584" i="31" s="1"/>
  <c r="Y585" i="31"/>
  <c r="AA585" i="31" a="1"/>
  <c r="AA585" i="31" s="1"/>
  <c r="AB585" i="31" s="1"/>
  <c r="Y586" i="31"/>
  <c r="AA586" i="31" a="1"/>
  <c r="AA586" i="31" s="1"/>
  <c r="AB586" i="31" s="1"/>
  <c r="Y587" i="31"/>
  <c r="AA587" i="31" a="1"/>
  <c r="AA587" i="31" s="1"/>
  <c r="AB587" i="31" s="1"/>
  <c r="Y588" i="31"/>
  <c r="AA588" i="31" a="1"/>
  <c r="AA588" i="31" s="1"/>
  <c r="AB588" i="31" s="1"/>
  <c r="Y589" i="31"/>
  <c r="AA589" i="31" a="1"/>
  <c r="AA589" i="31" s="1"/>
  <c r="AB589" i="31" s="1"/>
  <c r="Y590" i="31"/>
  <c r="AA590" i="31" a="1"/>
  <c r="AA590" i="31" s="1"/>
  <c r="AB590" i="31" s="1"/>
  <c r="Y591" i="31"/>
  <c r="AA591" i="31" a="1"/>
  <c r="AA591" i="31" s="1"/>
  <c r="AB591" i="31" s="1"/>
  <c r="Y592" i="31"/>
  <c r="AA592" i="31" a="1"/>
  <c r="AA592" i="31" s="1"/>
  <c r="AB592" i="31" s="1"/>
  <c r="Y593" i="31"/>
  <c r="AA593" i="31" a="1"/>
  <c r="AA593" i="31" s="1"/>
  <c r="AB593" i="31" s="1"/>
  <c r="Y594" i="31"/>
  <c r="AA594" i="31" a="1"/>
  <c r="AA594" i="31" s="1"/>
  <c r="AB594" i="31" s="1"/>
  <c r="Y595" i="31"/>
  <c r="AA595" i="31" a="1"/>
  <c r="AA595" i="31" s="1"/>
  <c r="AB595" i="31" s="1"/>
  <c r="Y596" i="31"/>
  <c r="AA596" i="31" a="1"/>
  <c r="AA596" i="31" s="1"/>
  <c r="AB596" i="31" s="1"/>
  <c r="Y597" i="31"/>
  <c r="AA597" i="31" a="1"/>
  <c r="AA597" i="31" s="1"/>
  <c r="AB597" i="31" s="1"/>
  <c r="Y598" i="31"/>
  <c r="AA598" i="31" a="1"/>
  <c r="AA598" i="31" s="1"/>
  <c r="AB598" i="31" s="1"/>
  <c r="Y599" i="31"/>
  <c r="AA599" i="31" a="1"/>
  <c r="AA599" i="31" s="1"/>
  <c r="AB599" i="31" s="1"/>
  <c r="Y600" i="31"/>
  <c r="AA600" i="31" a="1"/>
  <c r="AA600" i="31" s="1"/>
  <c r="AB600" i="31" s="1"/>
  <c r="Y601" i="31"/>
  <c r="AA601" i="31" a="1"/>
  <c r="AA601" i="31" s="1"/>
  <c r="AB601" i="31" s="1"/>
  <c r="Y602" i="31"/>
  <c r="AA602" i="31" a="1"/>
  <c r="AA602" i="31" s="1"/>
  <c r="AB602" i="31" s="1"/>
  <c r="Y603" i="31"/>
  <c r="AA603" i="31" a="1"/>
  <c r="AA603" i="31" s="1"/>
  <c r="AB603" i="31" s="1"/>
  <c r="Y604" i="31"/>
  <c r="AA604" i="31" a="1"/>
  <c r="AA604" i="31" s="1"/>
  <c r="AB604" i="31" s="1"/>
  <c r="Y605" i="31"/>
  <c r="AA605" i="31" a="1"/>
  <c r="AA605" i="31" s="1"/>
  <c r="AB605" i="31" s="1"/>
  <c r="Y606" i="31"/>
  <c r="AA606" i="31" a="1"/>
  <c r="AA606" i="31" s="1"/>
  <c r="AB606" i="31" s="1"/>
  <c r="Y607" i="31"/>
  <c r="AA607" i="31" a="1"/>
  <c r="AA607" i="31" s="1"/>
  <c r="AB607" i="31" s="1"/>
  <c r="Y608" i="31"/>
  <c r="AA608" i="31" a="1"/>
  <c r="AA608" i="31" s="1"/>
  <c r="AB608" i="31" s="1"/>
  <c r="Y609" i="31"/>
  <c r="AA609" i="31" a="1"/>
  <c r="AA609" i="31" s="1"/>
  <c r="AB609" i="31" s="1"/>
  <c r="Y610" i="31"/>
  <c r="AA610" i="31" a="1"/>
  <c r="AA610" i="31" s="1"/>
  <c r="AB610" i="31" s="1"/>
  <c r="Y611" i="31"/>
  <c r="AA611" i="31" a="1"/>
  <c r="AA611" i="31" s="1"/>
  <c r="AB611" i="31" s="1"/>
  <c r="Y612" i="31"/>
  <c r="AA612" i="31" a="1"/>
  <c r="AA612" i="31" s="1"/>
  <c r="AB612" i="31" s="1"/>
  <c r="Y613" i="31"/>
  <c r="AA613" i="31" a="1"/>
  <c r="AA613" i="31" s="1"/>
  <c r="AB613" i="31" s="1"/>
  <c r="Y614" i="31"/>
  <c r="AA614" i="31" a="1"/>
  <c r="AA614" i="31" s="1"/>
  <c r="AB614" i="31" s="1"/>
  <c r="Y615" i="31"/>
  <c r="AA615" i="31" a="1"/>
  <c r="AA615" i="31" s="1"/>
  <c r="AB615" i="31" s="1"/>
  <c r="Y616" i="31"/>
  <c r="AA616" i="31" a="1"/>
  <c r="AA616" i="31" s="1"/>
  <c r="AB616" i="31" s="1"/>
  <c r="Y617" i="31"/>
  <c r="AA617" i="31" a="1"/>
  <c r="AA617" i="31" s="1"/>
  <c r="AB617" i="31" s="1"/>
  <c r="Y618" i="31"/>
  <c r="AA618" i="31" a="1"/>
  <c r="AA618" i="31" s="1"/>
  <c r="AB618" i="31" s="1"/>
  <c r="Y619" i="31"/>
  <c r="AA619" i="31" a="1"/>
  <c r="AA619" i="31" s="1"/>
  <c r="AB619" i="31" s="1"/>
  <c r="Y620" i="31"/>
  <c r="AA620" i="31" a="1"/>
  <c r="AA620" i="31" s="1"/>
  <c r="AB620" i="31" s="1"/>
  <c r="Y621" i="31"/>
  <c r="AA621" i="31" a="1"/>
  <c r="AA621" i="31" s="1"/>
  <c r="AB621" i="31" s="1"/>
  <c r="Y622" i="31"/>
  <c r="AA622" i="31" a="1"/>
  <c r="AA622" i="31" s="1"/>
  <c r="AB622" i="31" s="1"/>
  <c r="Y623" i="31"/>
  <c r="AA623" i="31" a="1"/>
  <c r="AA623" i="31" s="1"/>
  <c r="AB623" i="31" s="1"/>
  <c r="Y624" i="31"/>
  <c r="AA624" i="31" a="1"/>
  <c r="AA624" i="31" s="1"/>
  <c r="AB624" i="31" s="1"/>
  <c r="Y625" i="31"/>
  <c r="AA625" i="31" a="1"/>
  <c r="AA625" i="31" s="1"/>
  <c r="AB625" i="31" s="1"/>
  <c r="Y626" i="31"/>
  <c r="AA626" i="31" a="1"/>
  <c r="AA626" i="31" s="1"/>
  <c r="AB626" i="31" s="1"/>
  <c r="Y627" i="31"/>
  <c r="AA627" i="31" a="1"/>
  <c r="AA627" i="31" s="1"/>
  <c r="AB627" i="31" s="1"/>
  <c r="Y628" i="31"/>
  <c r="AA628" i="31" a="1"/>
  <c r="AA628" i="31" s="1"/>
  <c r="AB628" i="31" s="1"/>
  <c r="Y629" i="31"/>
  <c r="AA629" i="31" a="1"/>
  <c r="AA629" i="31" s="1"/>
  <c r="AB629" i="31" s="1"/>
  <c r="Y630" i="31"/>
  <c r="AA630" i="31" a="1"/>
  <c r="AA630" i="31" s="1"/>
  <c r="AB630" i="31" s="1"/>
  <c r="Y631" i="31"/>
  <c r="AA631" i="31" a="1"/>
  <c r="AA631" i="31" s="1"/>
  <c r="AB631" i="31" s="1"/>
  <c r="Y632" i="31"/>
  <c r="AA632" i="31" a="1"/>
  <c r="AA632" i="31" s="1"/>
  <c r="AB632" i="31" s="1"/>
  <c r="Y633" i="31"/>
  <c r="AA633" i="31" a="1"/>
  <c r="AA633" i="31" s="1"/>
  <c r="AB633" i="31" s="1"/>
  <c r="Y634" i="31"/>
  <c r="AA634" i="31" a="1"/>
  <c r="AA634" i="31" s="1"/>
  <c r="AB634" i="31" s="1"/>
  <c r="Y635" i="31"/>
  <c r="AA635" i="31" a="1"/>
  <c r="AA635" i="31" s="1"/>
  <c r="AB635" i="31" s="1"/>
  <c r="Y636" i="31"/>
  <c r="AA636" i="31" a="1"/>
  <c r="AA636" i="31" s="1"/>
  <c r="AB636" i="31" s="1"/>
  <c r="Y637" i="31"/>
  <c r="AA637" i="31" a="1"/>
  <c r="AA637" i="31" s="1"/>
  <c r="AB637" i="31" s="1"/>
  <c r="Y638" i="31"/>
  <c r="AA638" i="31" a="1"/>
  <c r="AA638" i="31" s="1"/>
  <c r="AB638" i="31" s="1"/>
  <c r="Y639" i="31"/>
  <c r="AA639" i="31" a="1"/>
  <c r="AA639" i="31" s="1"/>
  <c r="AB639" i="31" s="1"/>
  <c r="Y640" i="31"/>
  <c r="AA640" i="31" a="1"/>
  <c r="AA640" i="31" s="1"/>
  <c r="AB640" i="31" s="1"/>
  <c r="Y641" i="31"/>
  <c r="AA641" i="31" a="1"/>
  <c r="AA641" i="31" s="1"/>
  <c r="AB641" i="31" s="1"/>
  <c r="Y642" i="31"/>
  <c r="AA642" i="31" a="1"/>
  <c r="AA642" i="31" s="1"/>
  <c r="AB642" i="31" s="1"/>
  <c r="Y643" i="31"/>
  <c r="AA643" i="31" a="1"/>
  <c r="AA643" i="31" s="1"/>
  <c r="AB643" i="31" s="1"/>
  <c r="Y644" i="31"/>
  <c r="AA644" i="31" a="1"/>
  <c r="AA644" i="31" s="1"/>
  <c r="AB644" i="31" s="1"/>
  <c r="Y645" i="31"/>
  <c r="AA645" i="31" a="1"/>
  <c r="AA645" i="31" s="1"/>
  <c r="AB645" i="31" s="1"/>
  <c r="Y646" i="31"/>
  <c r="AA646" i="31" a="1"/>
  <c r="AA646" i="31" s="1"/>
  <c r="AB646" i="31" s="1"/>
  <c r="Y647" i="31"/>
  <c r="AA647" i="31" a="1"/>
  <c r="AA647" i="31" s="1"/>
  <c r="AB647" i="31" s="1"/>
  <c r="Y648" i="31"/>
  <c r="AA648" i="31" a="1"/>
  <c r="AA648" i="31" s="1"/>
  <c r="AB648" i="31" s="1"/>
  <c r="Y649" i="31"/>
  <c r="AA649" i="31" a="1"/>
  <c r="AA649" i="31" s="1"/>
  <c r="AB649" i="31" s="1"/>
  <c r="Y650" i="31"/>
  <c r="AA650" i="31" a="1"/>
  <c r="AA650" i="31" s="1"/>
  <c r="AB650" i="31" s="1"/>
  <c r="Y651" i="31"/>
  <c r="AA651" i="31" a="1"/>
  <c r="AA651" i="31" s="1"/>
  <c r="AB651" i="31" s="1"/>
  <c r="Y652" i="31"/>
  <c r="AA652" i="31" a="1"/>
  <c r="AA652" i="31" s="1"/>
  <c r="AB652" i="31" s="1"/>
  <c r="Y653" i="31"/>
  <c r="AA653" i="31" a="1"/>
  <c r="AA653" i="31" s="1"/>
  <c r="AB653" i="31" s="1"/>
  <c r="Y654" i="31"/>
  <c r="AA654" i="31" a="1"/>
  <c r="AA654" i="31" s="1"/>
  <c r="AB654" i="31" s="1"/>
  <c r="Y655" i="31"/>
  <c r="AA655" i="31" a="1"/>
  <c r="AA655" i="31" s="1"/>
  <c r="AB655" i="31" s="1"/>
  <c r="Y656" i="31"/>
  <c r="AA656" i="31" a="1"/>
  <c r="AA656" i="31" s="1"/>
  <c r="AB656" i="31" s="1"/>
  <c r="Y657" i="31"/>
  <c r="AA657" i="31" a="1"/>
  <c r="AA657" i="31" s="1"/>
  <c r="AB657" i="31" s="1"/>
  <c r="Y658" i="31"/>
  <c r="AA658" i="31" a="1"/>
  <c r="AA658" i="31" s="1"/>
  <c r="AB658" i="31" s="1"/>
  <c r="Y659" i="31"/>
  <c r="AA659" i="31" a="1"/>
  <c r="AA659" i="31" s="1"/>
  <c r="AB659" i="31" s="1"/>
  <c r="Y660" i="31"/>
  <c r="AA660" i="31" a="1"/>
  <c r="AA660" i="31" s="1"/>
  <c r="AB660" i="31" s="1"/>
  <c r="Y661" i="31"/>
  <c r="AA661" i="31" a="1"/>
  <c r="AA661" i="31" s="1"/>
  <c r="AB661" i="31" s="1"/>
  <c r="Y662" i="31"/>
  <c r="AA662" i="31" a="1"/>
  <c r="AA662" i="31" s="1"/>
  <c r="AB662" i="31" s="1"/>
  <c r="Y663" i="31"/>
  <c r="AA663" i="31" a="1"/>
  <c r="AA663" i="31" s="1"/>
  <c r="AB663" i="31" s="1"/>
  <c r="Y664" i="31"/>
  <c r="AA664" i="31" a="1"/>
  <c r="AA664" i="31" s="1"/>
  <c r="AB664" i="31" s="1"/>
  <c r="Y665" i="31"/>
  <c r="AA665" i="31" a="1"/>
  <c r="AA665" i="31" s="1"/>
  <c r="AB665" i="31" s="1"/>
  <c r="Y666" i="31"/>
  <c r="AA666" i="31" a="1"/>
  <c r="AA666" i="31" s="1"/>
  <c r="AB666" i="31" s="1"/>
  <c r="Y667" i="31"/>
  <c r="AA667" i="31" a="1"/>
  <c r="AA667" i="31" s="1"/>
  <c r="AB667" i="31" s="1"/>
  <c r="Y668" i="31"/>
  <c r="AA668" i="31" a="1"/>
  <c r="AA668" i="31" s="1"/>
  <c r="AB668" i="31" s="1"/>
  <c r="Y669" i="31"/>
  <c r="AA669" i="31" a="1"/>
  <c r="AA669" i="31" s="1"/>
  <c r="AB669" i="31" s="1"/>
  <c r="Y670" i="31"/>
  <c r="AA670" i="31" a="1"/>
  <c r="AA670" i="31" s="1"/>
  <c r="AB670" i="31" s="1"/>
  <c r="Y671" i="31"/>
  <c r="AA671" i="31" a="1"/>
  <c r="AA671" i="31" s="1"/>
  <c r="AB671" i="31" s="1"/>
  <c r="Y672" i="31"/>
  <c r="AA672" i="31" a="1"/>
  <c r="AA672" i="31" s="1"/>
  <c r="AB672" i="31" s="1"/>
  <c r="Y673" i="31"/>
  <c r="AA673" i="31" a="1"/>
  <c r="AA673" i="31" s="1"/>
  <c r="AB673" i="31" s="1"/>
  <c r="Y674" i="31"/>
  <c r="AA674" i="31" a="1"/>
  <c r="AA674" i="31" s="1"/>
  <c r="AB674" i="31" s="1"/>
  <c r="Y675" i="31"/>
  <c r="AA675" i="31" a="1"/>
  <c r="AA675" i="31" s="1"/>
  <c r="AB675" i="31" s="1"/>
  <c r="Y676" i="31"/>
  <c r="AA676" i="31" a="1"/>
  <c r="AA676" i="31" s="1"/>
  <c r="AB676" i="31" s="1"/>
  <c r="Y677" i="31"/>
  <c r="AA677" i="31" a="1"/>
  <c r="AA677" i="31" s="1"/>
  <c r="AB677" i="31" s="1"/>
  <c r="Y678" i="31"/>
  <c r="AA678" i="31" a="1"/>
  <c r="AA678" i="31" s="1"/>
  <c r="AB678" i="31" s="1"/>
  <c r="Y679" i="31"/>
  <c r="AA679" i="31" a="1"/>
  <c r="AA679" i="31" s="1"/>
  <c r="AB679" i="31" s="1"/>
  <c r="Y680" i="31"/>
  <c r="AA680" i="31" a="1"/>
  <c r="AA680" i="31" s="1"/>
  <c r="AB680" i="31" s="1"/>
  <c r="Y681" i="31"/>
  <c r="AA681" i="31" a="1"/>
  <c r="AA681" i="31" s="1"/>
  <c r="AB681" i="31" s="1"/>
  <c r="Y682" i="31"/>
  <c r="AA682" i="31" a="1"/>
  <c r="AA682" i="31" s="1"/>
  <c r="AB682" i="31" s="1"/>
  <c r="Y683" i="31"/>
  <c r="AA683" i="31" a="1"/>
  <c r="AA683" i="31" s="1"/>
  <c r="AB683" i="31" s="1"/>
  <c r="Y684" i="31"/>
  <c r="AA684" i="31" a="1"/>
  <c r="AA684" i="31" s="1"/>
  <c r="AB684" i="31" s="1"/>
  <c r="Y685" i="31"/>
  <c r="AA685" i="31" a="1"/>
  <c r="AA685" i="31" s="1"/>
  <c r="AB685" i="31" s="1"/>
  <c r="Y686" i="31"/>
  <c r="AA686" i="31" a="1"/>
  <c r="AA686" i="31" s="1"/>
  <c r="AB686" i="31" s="1"/>
  <c r="Y687" i="31"/>
  <c r="AA687" i="31" a="1"/>
  <c r="AA687" i="31" s="1"/>
  <c r="AB687" i="31" s="1"/>
  <c r="Y688" i="31"/>
  <c r="AA688" i="31" a="1"/>
  <c r="AA688" i="31" s="1"/>
  <c r="AB688" i="31" s="1"/>
  <c r="Y689" i="31"/>
  <c r="AA689" i="31" a="1"/>
  <c r="AA689" i="31" s="1"/>
  <c r="AB689" i="31" s="1"/>
  <c r="Y690" i="31"/>
  <c r="AA690" i="31" a="1"/>
  <c r="AA690" i="31" s="1"/>
  <c r="AB690" i="31" s="1"/>
  <c r="Y691" i="31"/>
  <c r="AA691" i="31" a="1"/>
  <c r="AA691" i="31" s="1"/>
  <c r="AB691" i="31" s="1"/>
  <c r="Y692" i="31"/>
  <c r="AA692" i="31" a="1"/>
  <c r="AA692" i="31" s="1"/>
  <c r="AB692" i="31" s="1"/>
  <c r="Y693" i="31"/>
  <c r="AA693" i="31" a="1"/>
  <c r="AA693" i="31" s="1"/>
  <c r="AB693" i="31" s="1"/>
  <c r="Y694" i="31"/>
  <c r="AA694" i="31" a="1"/>
  <c r="AA694" i="31" s="1"/>
  <c r="AB694" i="31" s="1"/>
  <c r="Y695" i="31"/>
  <c r="AA695" i="31" a="1"/>
  <c r="AA695" i="31" s="1"/>
  <c r="AB695" i="31" s="1"/>
  <c r="Y696" i="31"/>
  <c r="AA696" i="31" a="1"/>
  <c r="AA696" i="31" s="1"/>
  <c r="AB696" i="31" s="1"/>
  <c r="Y697" i="31"/>
  <c r="AA697" i="31" a="1"/>
  <c r="AA697" i="31" s="1"/>
  <c r="AB697" i="31" s="1"/>
  <c r="Y698" i="31"/>
  <c r="AA698" i="31" a="1"/>
  <c r="AA698" i="31" s="1"/>
  <c r="AB698" i="31" s="1"/>
  <c r="Y699" i="31"/>
  <c r="AA699" i="31" a="1"/>
  <c r="AA699" i="31" s="1"/>
  <c r="AB699" i="31" s="1"/>
  <c r="Y700" i="31"/>
  <c r="AA700" i="31" a="1"/>
  <c r="AA700" i="31" s="1"/>
  <c r="AB700" i="31" s="1"/>
  <c r="Y701" i="31"/>
  <c r="AA701" i="31" a="1"/>
  <c r="AA701" i="31" s="1"/>
  <c r="AB701" i="31" s="1"/>
  <c r="Y702" i="31"/>
  <c r="AA702" i="31" a="1"/>
  <c r="AA702" i="31" s="1"/>
  <c r="AB702" i="31" s="1"/>
  <c r="Y703" i="31"/>
  <c r="AA703" i="31" a="1"/>
  <c r="AA703" i="31" s="1"/>
  <c r="AB703" i="31" s="1"/>
  <c r="Y704" i="31"/>
  <c r="AA704" i="31" a="1"/>
  <c r="AA704" i="31" s="1"/>
  <c r="AB704" i="31" s="1"/>
  <c r="Y705" i="31"/>
  <c r="AA705" i="31" a="1"/>
  <c r="AA705" i="31" s="1"/>
  <c r="AB705" i="31" s="1"/>
  <c r="Y706" i="31"/>
  <c r="AA706" i="31" a="1"/>
  <c r="AA706" i="31" s="1"/>
  <c r="AB706" i="31" s="1"/>
  <c r="Y707" i="31"/>
  <c r="AA707" i="31" a="1"/>
  <c r="AA707" i="31" s="1"/>
  <c r="AB707" i="31" s="1"/>
  <c r="Y708" i="31"/>
  <c r="AA708" i="31" a="1"/>
  <c r="AA708" i="31" s="1"/>
  <c r="AB708" i="31" s="1"/>
  <c r="Y709" i="31"/>
  <c r="AA709" i="31" a="1"/>
  <c r="AA709" i="31" s="1"/>
  <c r="AB709" i="31" s="1"/>
  <c r="Y710" i="31"/>
  <c r="AA710" i="31" a="1"/>
  <c r="AA710" i="31" s="1"/>
  <c r="AB710" i="31" s="1"/>
  <c r="Y711" i="31"/>
  <c r="AA711" i="31" a="1"/>
  <c r="AA711" i="31" s="1"/>
  <c r="AB711" i="31" s="1"/>
  <c r="Y712" i="31"/>
  <c r="AA712" i="31" a="1"/>
  <c r="AA712" i="31" s="1"/>
  <c r="AB712" i="31" s="1"/>
  <c r="Y713" i="31"/>
  <c r="AA713" i="31" a="1"/>
  <c r="AA713" i="31" s="1"/>
  <c r="AB713" i="31" s="1"/>
  <c r="Y714" i="31"/>
  <c r="AA714" i="31" a="1"/>
  <c r="AA714" i="31" s="1"/>
  <c r="AB714" i="31" s="1"/>
  <c r="Y715" i="31"/>
  <c r="AA715" i="31" a="1"/>
  <c r="AA715" i="31" s="1"/>
  <c r="AB715" i="31" s="1"/>
  <c r="Y716" i="31"/>
  <c r="AA716" i="31" a="1"/>
  <c r="AA716" i="31" s="1"/>
  <c r="AB716" i="31" s="1"/>
  <c r="Y717" i="31"/>
  <c r="AA717" i="31" a="1"/>
  <c r="AA717" i="31" s="1"/>
  <c r="AB717" i="31" s="1"/>
  <c r="Y718" i="31"/>
  <c r="AA718" i="31" a="1"/>
  <c r="AA718" i="31" s="1"/>
  <c r="AB718" i="31" s="1"/>
  <c r="Y719" i="31"/>
  <c r="AA719" i="31" a="1"/>
  <c r="AA719" i="31" s="1"/>
  <c r="AB719" i="31" s="1"/>
  <c r="Y720" i="31"/>
  <c r="AA720" i="31" a="1"/>
  <c r="AA720" i="31" s="1"/>
  <c r="AB720" i="31" s="1"/>
  <c r="Y721" i="31"/>
  <c r="AA721" i="31" a="1"/>
  <c r="AA721" i="31" s="1"/>
  <c r="AB721" i="31" s="1"/>
  <c r="Y722" i="31"/>
  <c r="AA722" i="31" a="1"/>
  <c r="AA722" i="31" s="1"/>
  <c r="AB722" i="31" s="1"/>
  <c r="Y723" i="31"/>
  <c r="AA723" i="31" a="1"/>
  <c r="AA723" i="31" s="1"/>
  <c r="AB723" i="31" s="1"/>
  <c r="Y724" i="31"/>
  <c r="AA724" i="31" a="1"/>
  <c r="AA724" i="31" s="1"/>
  <c r="AB724" i="31" s="1"/>
  <c r="Y725" i="31"/>
  <c r="AA725" i="31" a="1"/>
  <c r="AA725" i="31" s="1"/>
  <c r="AB725" i="31" s="1"/>
  <c r="Y726" i="31"/>
  <c r="AA726" i="31" a="1"/>
  <c r="AA726" i="31" s="1"/>
  <c r="AB726" i="31" s="1"/>
  <c r="Y727" i="31"/>
  <c r="AA727" i="31" a="1"/>
  <c r="AA727" i="31" s="1"/>
  <c r="AB727" i="31" s="1"/>
  <c r="Y728" i="31"/>
  <c r="AA728" i="31" a="1"/>
  <c r="AA728" i="31" s="1"/>
  <c r="AB728" i="31" s="1"/>
  <c r="Y729" i="31"/>
  <c r="AA729" i="31" a="1"/>
  <c r="AA729" i="31" s="1"/>
  <c r="AB729" i="31" s="1"/>
  <c r="Y730" i="31"/>
  <c r="AA730" i="31" a="1"/>
  <c r="AA730" i="31" s="1"/>
  <c r="AB730" i="31" s="1"/>
  <c r="Y731" i="31"/>
  <c r="AA731" i="31" a="1"/>
  <c r="AA731" i="31" s="1"/>
  <c r="AB731" i="31" s="1"/>
  <c r="Y732" i="31"/>
  <c r="AA732" i="31" a="1"/>
  <c r="AA732" i="31" s="1"/>
  <c r="AB732" i="31" s="1"/>
  <c r="Y733" i="31"/>
  <c r="AA733" i="31" a="1"/>
  <c r="AA733" i="31" s="1"/>
  <c r="AB733" i="31" s="1"/>
  <c r="Y734" i="31"/>
  <c r="AA734" i="31" a="1"/>
  <c r="AA734" i="31" s="1"/>
  <c r="AB734" i="31" s="1"/>
  <c r="Y735" i="31"/>
  <c r="AA735" i="31" a="1"/>
  <c r="AA735" i="31" s="1"/>
  <c r="AB735" i="31" s="1"/>
  <c r="Y736" i="31"/>
  <c r="AA736" i="31" a="1"/>
  <c r="AA736" i="31" s="1"/>
  <c r="AB736" i="31" s="1"/>
  <c r="Y737" i="31"/>
  <c r="AA737" i="31" a="1"/>
  <c r="AA737" i="31" s="1"/>
  <c r="AB737" i="31" s="1"/>
  <c r="Y738" i="31"/>
  <c r="AA738" i="31" a="1"/>
  <c r="AA738" i="31" s="1"/>
  <c r="AB738" i="31" s="1"/>
  <c r="Y739" i="31"/>
  <c r="AA739" i="31" a="1"/>
  <c r="AA739" i="31" s="1"/>
  <c r="AB739" i="31" s="1"/>
  <c r="Y740" i="31"/>
  <c r="AA740" i="31" a="1"/>
  <c r="AA740" i="31" s="1"/>
  <c r="AB740" i="31" s="1"/>
  <c r="Y741" i="31"/>
  <c r="AA741" i="31" a="1"/>
  <c r="AA741" i="31" s="1"/>
  <c r="AB741" i="31" s="1"/>
  <c r="Y742" i="31"/>
  <c r="AA742" i="31" a="1"/>
  <c r="AA742" i="31" s="1"/>
  <c r="AB742" i="31" s="1"/>
  <c r="Y743" i="31"/>
  <c r="AA743" i="31" a="1"/>
  <c r="AA743" i="31" s="1"/>
  <c r="AB743" i="31" s="1"/>
  <c r="Y744" i="31"/>
  <c r="AA744" i="31" a="1"/>
  <c r="AA744" i="31" s="1"/>
  <c r="AB744" i="31" s="1"/>
  <c r="Y745" i="31"/>
  <c r="AA745" i="31" a="1"/>
  <c r="AA745" i="31" s="1"/>
  <c r="AB745" i="31" s="1"/>
  <c r="Y746" i="31"/>
  <c r="AA746" i="31" a="1"/>
  <c r="AA746" i="31" s="1"/>
  <c r="AB746" i="31" s="1"/>
  <c r="Y747" i="31"/>
  <c r="AA747" i="31" a="1"/>
  <c r="AA747" i="31" s="1"/>
  <c r="AB747" i="31" s="1"/>
  <c r="Y748" i="31"/>
  <c r="AA748" i="31" a="1"/>
  <c r="AA748" i="31" s="1"/>
  <c r="AB748" i="31" s="1"/>
  <c r="Y749" i="31"/>
  <c r="AA749" i="31" a="1"/>
  <c r="AA749" i="31" s="1"/>
  <c r="AB749" i="31" s="1"/>
  <c r="Y750" i="31"/>
  <c r="AA750" i="31" a="1"/>
  <c r="AA750" i="31" s="1"/>
  <c r="AB750" i="31" s="1"/>
  <c r="Y751" i="31"/>
  <c r="AA751" i="31" a="1"/>
  <c r="AA751" i="31" s="1"/>
  <c r="AB751" i="31" s="1"/>
  <c r="Y752" i="31"/>
  <c r="AA752" i="31" a="1"/>
  <c r="AA752" i="31" s="1"/>
  <c r="AB752" i="31" s="1"/>
  <c r="Y753" i="31"/>
  <c r="AA753" i="31" a="1"/>
  <c r="AA753" i="31" s="1"/>
  <c r="AB753" i="31" s="1"/>
  <c r="Y754" i="31"/>
  <c r="AA754" i="31" a="1"/>
  <c r="AA754" i="31" s="1"/>
  <c r="AB754" i="31" s="1"/>
  <c r="Y755" i="31"/>
  <c r="AA755" i="31" a="1"/>
  <c r="AA755" i="31" s="1"/>
  <c r="AB755" i="31" s="1"/>
  <c r="Y756" i="31"/>
  <c r="AA756" i="31" a="1"/>
  <c r="AA756" i="31" s="1"/>
  <c r="AB756" i="31" s="1"/>
  <c r="Y757" i="31"/>
  <c r="AA757" i="31" a="1"/>
  <c r="AA757" i="31" s="1"/>
  <c r="AB757" i="31" s="1"/>
  <c r="Y758" i="31"/>
  <c r="AA758" i="31" a="1"/>
  <c r="AA758" i="31" s="1"/>
  <c r="AB758" i="31" s="1"/>
  <c r="Y759" i="31"/>
  <c r="AA759" i="31" a="1"/>
  <c r="AA759" i="31" s="1"/>
  <c r="AB759" i="31" s="1"/>
  <c r="Y760" i="31"/>
  <c r="AA760" i="31" a="1"/>
  <c r="AA760" i="31" s="1"/>
  <c r="AB760" i="31" s="1"/>
  <c r="Y761" i="31"/>
  <c r="AA761" i="31" a="1"/>
  <c r="AA761" i="31" s="1"/>
  <c r="AB761" i="31" s="1"/>
  <c r="Y762" i="31"/>
  <c r="AA762" i="31" a="1"/>
  <c r="AA762" i="31" s="1"/>
  <c r="AB762" i="31" s="1"/>
  <c r="Y763" i="31"/>
  <c r="AA763" i="31" a="1"/>
  <c r="AA763" i="31" s="1"/>
  <c r="AB763" i="31" s="1"/>
  <c r="Y764" i="31"/>
  <c r="AA764" i="31" a="1"/>
  <c r="AA764" i="31" s="1"/>
  <c r="AB764" i="31" s="1"/>
  <c r="Y765" i="31"/>
  <c r="AA765" i="31" a="1"/>
  <c r="AA765" i="31" s="1"/>
  <c r="AB765" i="31" s="1"/>
  <c r="Y766" i="31"/>
  <c r="AA766" i="31" a="1"/>
  <c r="AA766" i="31" s="1"/>
  <c r="AB766" i="31" s="1"/>
  <c r="Y767" i="31"/>
  <c r="AA767" i="31" a="1"/>
  <c r="AA767" i="31" s="1"/>
  <c r="AB767" i="31" s="1"/>
  <c r="Y768" i="31"/>
  <c r="AA768" i="31" a="1"/>
  <c r="AA768" i="31" s="1"/>
  <c r="AB768" i="31" s="1"/>
  <c r="Y769" i="31"/>
  <c r="AA769" i="31" a="1"/>
  <c r="AA769" i="31" s="1"/>
  <c r="AB769" i="31" s="1"/>
  <c r="Y770" i="31"/>
  <c r="AA770" i="31" a="1"/>
  <c r="AA770" i="31" s="1"/>
  <c r="AB770" i="31" s="1"/>
  <c r="Y771" i="31"/>
  <c r="AA771" i="31" a="1"/>
  <c r="AA771" i="31" s="1"/>
  <c r="AB771" i="31" s="1"/>
  <c r="Y772" i="31"/>
  <c r="AA772" i="31" a="1"/>
  <c r="AA772" i="31" s="1"/>
  <c r="AB772" i="31" s="1"/>
  <c r="Y773" i="31"/>
  <c r="AA773" i="31" a="1"/>
  <c r="AA773" i="31" s="1"/>
  <c r="AB773" i="31" s="1"/>
  <c r="Y774" i="31"/>
  <c r="AA774" i="31" a="1"/>
  <c r="AA774" i="31" s="1"/>
  <c r="AB774" i="31" s="1"/>
  <c r="Y775" i="31"/>
  <c r="AA775" i="31" a="1"/>
  <c r="AA775" i="31" s="1"/>
  <c r="AB775" i="31" s="1"/>
  <c r="Y776" i="31"/>
  <c r="AA776" i="31" a="1"/>
  <c r="AA776" i="31" s="1"/>
  <c r="AB776" i="31" s="1"/>
  <c r="Y777" i="31"/>
  <c r="AA777" i="31" a="1"/>
  <c r="AA777" i="31" s="1"/>
  <c r="AB777" i="31" s="1"/>
  <c r="Y778" i="31"/>
  <c r="AA778" i="31" a="1"/>
  <c r="AA778" i="31" s="1"/>
  <c r="AB778" i="31" s="1"/>
  <c r="Y779" i="31"/>
  <c r="AA779" i="31" a="1"/>
  <c r="AA779" i="31" s="1"/>
  <c r="AB779" i="31" s="1"/>
  <c r="Y780" i="31"/>
  <c r="AA780" i="31" a="1"/>
  <c r="AA780" i="31" s="1"/>
  <c r="AB780" i="31" s="1"/>
  <c r="Y781" i="31"/>
  <c r="AA781" i="31" a="1"/>
  <c r="AA781" i="31" s="1"/>
  <c r="AB781" i="31" s="1"/>
  <c r="Y782" i="31"/>
  <c r="AA782" i="31" a="1"/>
  <c r="AA782" i="31" s="1"/>
  <c r="AB782" i="31" s="1"/>
  <c r="Y783" i="31"/>
  <c r="AA783" i="31" a="1"/>
  <c r="AA783" i="31" s="1"/>
  <c r="AB783" i="31" s="1"/>
  <c r="Y784" i="31"/>
  <c r="AA784" i="31" a="1"/>
  <c r="AA784" i="31" s="1"/>
  <c r="AB784" i="31" s="1"/>
  <c r="Y785" i="31"/>
  <c r="AA785" i="31" a="1"/>
  <c r="AA785" i="31" s="1"/>
  <c r="AB785" i="31" s="1"/>
  <c r="Y786" i="31"/>
  <c r="AA786" i="31" a="1"/>
  <c r="AA786" i="31" s="1"/>
  <c r="AB786" i="31" s="1"/>
  <c r="Y787" i="31"/>
  <c r="AA787" i="31" a="1"/>
  <c r="AA787" i="31" s="1"/>
  <c r="AB787" i="31" s="1"/>
  <c r="Y788" i="31"/>
  <c r="AA788" i="31" a="1"/>
  <c r="AA788" i="31" s="1"/>
  <c r="AB788" i="31" s="1"/>
  <c r="Y789" i="31"/>
  <c r="AA789" i="31" a="1"/>
  <c r="AA789" i="31" s="1"/>
  <c r="AB789" i="31" s="1"/>
  <c r="Y790" i="31"/>
  <c r="AA790" i="31" a="1"/>
  <c r="AA790" i="31" s="1"/>
  <c r="AB790" i="31" s="1"/>
  <c r="Y791" i="31"/>
  <c r="AA791" i="31" a="1"/>
  <c r="AA791" i="31" s="1"/>
  <c r="AB791" i="31" s="1"/>
  <c r="Y792" i="31"/>
  <c r="AA792" i="31" a="1"/>
  <c r="AA792" i="31" s="1"/>
  <c r="AB792" i="31" s="1"/>
  <c r="Y793" i="31"/>
  <c r="AA793" i="31" a="1"/>
  <c r="AA793" i="31" s="1"/>
  <c r="AB793" i="31" s="1"/>
  <c r="Y794" i="31"/>
  <c r="AA794" i="31" a="1"/>
  <c r="AA794" i="31" s="1"/>
  <c r="AB794" i="31" s="1"/>
  <c r="Y795" i="31"/>
  <c r="AA795" i="31" a="1"/>
  <c r="AA795" i="31" s="1"/>
  <c r="AB795" i="31" s="1"/>
  <c r="Y796" i="31"/>
  <c r="AA796" i="31" a="1"/>
  <c r="AA796" i="31" s="1"/>
  <c r="AB796" i="31" s="1"/>
  <c r="Y797" i="31"/>
  <c r="AA797" i="31" a="1"/>
  <c r="AA797" i="31" s="1"/>
  <c r="AB797" i="31" s="1"/>
  <c r="Y798" i="31"/>
  <c r="AA798" i="31" a="1"/>
  <c r="AA798" i="31" s="1"/>
  <c r="AB798" i="31" s="1"/>
  <c r="Y799" i="31"/>
  <c r="AA799" i="31" a="1"/>
  <c r="AA799" i="31" s="1"/>
  <c r="AB799" i="31" s="1"/>
  <c r="Y800" i="31"/>
  <c r="AA800" i="31" a="1"/>
  <c r="AA800" i="31" s="1"/>
  <c r="AB800" i="31" s="1"/>
  <c r="Y801" i="31"/>
  <c r="AA801" i="31" a="1"/>
  <c r="AA801" i="31" s="1"/>
  <c r="AB801" i="31" s="1"/>
  <c r="Y802" i="31"/>
  <c r="AA802" i="31" a="1"/>
  <c r="AA802" i="31" s="1"/>
  <c r="AB802" i="31" s="1"/>
  <c r="Y803" i="31"/>
  <c r="AA803" i="31" a="1"/>
  <c r="AA803" i="31" s="1"/>
  <c r="AB803" i="31" s="1"/>
  <c r="Y804" i="31"/>
  <c r="AA804" i="31" a="1"/>
  <c r="AA804" i="31" s="1"/>
  <c r="AB804" i="31" s="1"/>
  <c r="Y805" i="31"/>
  <c r="AA805" i="31" a="1"/>
  <c r="AA805" i="31" s="1"/>
  <c r="AB805" i="31" s="1"/>
  <c r="Y806" i="31"/>
  <c r="AA806" i="31" a="1"/>
  <c r="AA806" i="31" s="1"/>
  <c r="AB806" i="31" s="1"/>
  <c r="Y807" i="31"/>
  <c r="AA807" i="31" a="1"/>
  <c r="AA807" i="31" s="1"/>
  <c r="AB807" i="31" s="1"/>
  <c r="Y808" i="31"/>
  <c r="AA808" i="31" a="1"/>
  <c r="AA808" i="31" s="1"/>
  <c r="AB808" i="31" s="1"/>
  <c r="Y809" i="31"/>
  <c r="AA809" i="31" a="1"/>
  <c r="AA809" i="31" s="1"/>
  <c r="AB809" i="31" s="1"/>
  <c r="Y810" i="31"/>
  <c r="AA810" i="31" a="1"/>
  <c r="AA810" i="31" s="1"/>
  <c r="AB810" i="31" s="1"/>
  <c r="Y811" i="31"/>
  <c r="AA811" i="31" a="1"/>
  <c r="AA811" i="31" s="1"/>
  <c r="AB811" i="31" s="1"/>
  <c r="Y812" i="31"/>
  <c r="AA812" i="31" a="1"/>
  <c r="AA812" i="31" s="1"/>
  <c r="AB812" i="31" s="1"/>
  <c r="Y813" i="31"/>
  <c r="AA813" i="31" a="1"/>
  <c r="AA813" i="31" s="1"/>
  <c r="AB813" i="31" s="1"/>
  <c r="Y814" i="31"/>
  <c r="AA814" i="31" a="1"/>
  <c r="AA814" i="31" s="1"/>
  <c r="AB814" i="31" s="1"/>
  <c r="Y815" i="31"/>
  <c r="AA815" i="31" a="1"/>
  <c r="AA815" i="31" s="1"/>
  <c r="AB815" i="31" s="1"/>
  <c r="Y816" i="31"/>
  <c r="AA816" i="31" a="1"/>
  <c r="AA816" i="31" s="1"/>
  <c r="AB816" i="31" s="1"/>
  <c r="Y817" i="31"/>
  <c r="AA817" i="31" a="1"/>
  <c r="AA817" i="31" s="1"/>
  <c r="AB817" i="31" s="1"/>
  <c r="Y818" i="31"/>
  <c r="AA818" i="31" a="1"/>
  <c r="AA818" i="31" s="1"/>
  <c r="AB818" i="31" s="1"/>
  <c r="Y819" i="31"/>
  <c r="AA819" i="31" a="1"/>
  <c r="AA819" i="31" s="1"/>
  <c r="AB819" i="31" s="1"/>
  <c r="Y820" i="31"/>
  <c r="AA820" i="31" a="1"/>
  <c r="AA820" i="31" s="1"/>
  <c r="AB820" i="31" s="1"/>
  <c r="Y821" i="31"/>
  <c r="AA821" i="31" a="1"/>
  <c r="AA821" i="31" s="1"/>
  <c r="AB821" i="31" s="1"/>
  <c r="Y822" i="31"/>
  <c r="AA822" i="31" a="1"/>
  <c r="AA822" i="31" s="1"/>
  <c r="AB822" i="31" s="1"/>
  <c r="Y823" i="31"/>
  <c r="AA823" i="31" a="1"/>
  <c r="AA823" i="31" s="1"/>
  <c r="AB823" i="31" s="1"/>
  <c r="Y824" i="31"/>
  <c r="AA824" i="31" a="1"/>
  <c r="AA824" i="31" s="1"/>
  <c r="AB824" i="31" s="1"/>
  <c r="Y825" i="31"/>
  <c r="AA825" i="31" a="1"/>
  <c r="AA825" i="31" s="1"/>
  <c r="AB825" i="31" s="1"/>
  <c r="Y826" i="31"/>
  <c r="AA826" i="31" a="1"/>
  <c r="AA826" i="31" s="1"/>
  <c r="AB826" i="31" s="1"/>
  <c r="Y827" i="31"/>
  <c r="AA827" i="31" a="1"/>
  <c r="AA827" i="31" s="1"/>
  <c r="AB827" i="31" s="1"/>
  <c r="Y828" i="31"/>
  <c r="AA828" i="31" a="1"/>
  <c r="AA828" i="31" s="1"/>
  <c r="AB828" i="31" s="1"/>
  <c r="Y829" i="31"/>
  <c r="AA829" i="31" a="1"/>
  <c r="AA829" i="31" s="1"/>
  <c r="AB829" i="31" s="1"/>
  <c r="Y830" i="31"/>
  <c r="AA830" i="31" a="1"/>
  <c r="AA830" i="31" s="1"/>
  <c r="AB830" i="31" s="1"/>
  <c r="Y831" i="31"/>
  <c r="AA831" i="31" a="1"/>
  <c r="AA831" i="31" s="1"/>
  <c r="AB831" i="31" s="1"/>
  <c r="Y832" i="31"/>
  <c r="AA832" i="31" a="1"/>
  <c r="AA832" i="31" s="1"/>
  <c r="AB832" i="31" s="1"/>
  <c r="Y833" i="31"/>
  <c r="AA833" i="31" a="1"/>
  <c r="AA833" i="31" s="1"/>
  <c r="AB833" i="31" s="1"/>
  <c r="Y834" i="31"/>
  <c r="AA834" i="31" a="1"/>
  <c r="AA834" i="31" s="1"/>
  <c r="AB834" i="31" s="1"/>
  <c r="Y835" i="31"/>
  <c r="AA835" i="31" a="1"/>
  <c r="AA835" i="31" s="1"/>
  <c r="AB835" i="31" s="1"/>
  <c r="Y836" i="31"/>
  <c r="AA836" i="31" a="1"/>
  <c r="AA836" i="31" s="1"/>
  <c r="AB836" i="31" s="1"/>
  <c r="Y837" i="31"/>
  <c r="AA837" i="31" a="1"/>
  <c r="AA837" i="31" s="1"/>
  <c r="AB837" i="31" s="1"/>
  <c r="Y838" i="31"/>
  <c r="AA838" i="31" a="1"/>
  <c r="AA838" i="31" s="1"/>
  <c r="AB838" i="31" s="1"/>
  <c r="Y839" i="31"/>
  <c r="AA839" i="31" a="1"/>
  <c r="AA839" i="31" s="1"/>
  <c r="AB839" i="31" s="1"/>
  <c r="Y840" i="31"/>
  <c r="AA840" i="31" a="1"/>
  <c r="AA840" i="31" s="1"/>
  <c r="AB840" i="31" s="1"/>
  <c r="Y841" i="31"/>
  <c r="AA841" i="31" a="1"/>
  <c r="AA841" i="31" s="1"/>
  <c r="AB841" i="31" s="1"/>
  <c r="Y842" i="31"/>
  <c r="AA842" i="31" a="1"/>
  <c r="AA842" i="31" s="1"/>
  <c r="AB842" i="31" s="1"/>
  <c r="Y843" i="31"/>
  <c r="AA843" i="31" a="1"/>
  <c r="AA843" i="31" s="1"/>
  <c r="AB843" i="31" s="1"/>
  <c r="Y844" i="31"/>
  <c r="AA844" i="31" a="1"/>
  <c r="AA844" i="31" s="1"/>
  <c r="AB844" i="31" s="1"/>
  <c r="Y845" i="31"/>
  <c r="AA845" i="31" a="1"/>
  <c r="AA845" i="31" s="1"/>
  <c r="AB845" i="31" s="1"/>
  <c r="Y846" i="31"/>
  <c r="AA846" i="31" a="1"/>
  <c r="AA846" i="31" s="1"/>
  <c r="AB846" i="31" s="1"/>
  <c r="Y847" i="31"/>
  <c r="AA847" i="31" a="1"/>
  <c r="AA847" i="31" s="1"/>
  <c r="AB847" i="31" s="1"/>
  <c r="Y848" i="31"/>
  <c r="AA848" i="31" a="1"/>
  <c r="AA848" i="31" s="1"/>
  <c r="AB848" i="31" s="1"/>
  <c r="Y849" i="31"/>
  <c r="AA849" i="31" a="1"/>
  <c r="AA849" i="31" s="1"/>
  <c r="AB849" i="31" s="1"/>
  <c r="Y850" i="31"/>
  <c r="AA850" i="31" a="1"/>
  <c r="AA850" i="31" s="1"/>
  <c r="AB850" i="31" s="1"/>
  <c r="Y851" i="31"/>
  <c r="AA851" i="31" a="1"/>
  <c r="AA851" i="31" s="1"/>
  <c r="AB851" i="31" s="1"/>
  <c r="Y852" i="31"/>
  <c r="AA852" i="31" a="1"/>
  <c r="AA852" i="31" s="1"/>
  <c r="AB852" i="31" s="1"/>
  <c r="Y853" i="31"/>
  <c r="AA853" i="31" a="1"/>
  <c r="AA853" i="31" s="1"/>
  <c r="AB853" i="31" s="1"/>
  <c r="Y854" i="31"/>
  <c r="AA854" i="31" a="1"/>
  <c r="AA854" i="31" s="1"/>
  <c r="AB854" i="31" s="1"/>
  <c r="Y855" i="31"/>
  <c r="AA855" i="31" a="1"/>
  <c r="AA855" i="31" s="1"/>
  <c r="AB855" i="31" s="1"/>
  <c r="Y856" i="31"/>
  <c r="AA856" i="31" a="1"/>
  <c r="AA856" i="31" s="1"/>
  <c r="AB856" i="31" s="1"/>
  <c r="Y857" i="31"/>
  <c r="AA857" i="31" a="1"/>
  <c r="AA857" i="31" s="1"/>
  <c r="AB857" i="31" s="1"/>
  <c r="Y858" i="31"/>
  <c r="AA858" i="31" a="1"/>
  <c r="AA858" i="31" s="1"/>
  <c r="AB858" i="31" s="1"/>
  <c r="Y859" i="31"/>
  <c r="AA859" i="31" a="1"/>
  <c r="AA859" i="31" s="1"/>
  <c r="AB859" i="31" s="1"/>
  <c r="Y860" i="31"/>
  <c r="AA860" i="31" a="1"/>
  <c r="AA860" i="31" s="1"/>
  <c r="AB860" i="31" s="1"/>
  <c r="Y861" i="31"/>
  <c r="AA861" i="31" a="1"/>
  <c r="AA861" i="31" s="1"/>
  <c r="AB861" i="31" s="1"/>
  <c r="Y862" i="31"/>
  <c r="AA862" i="31" a="1"/>
  <c r="AA862" i="31" s="1"/>
  <c r="AB862" i="31" s="1"/>
  <c r="Y863" i="31"/>
  <c r="AA863" i="31" a="1"/>
  <c r="AA863" i="31" s="1"/>
  <c r="AB863" i="31" s="1"/>
  <c r="Y864" i="31"/>
  <c r="AA864" i="31" a="1"/>
  <c r="AA864" i="31" s="1"/>
  <c r="AB864" i="31" s="1"/>
  <c r="Y865" i="31"/>
  <c r="AA865" i="31" a="1"/>
  <c r="AA865" i="31" s="1"/>
  <c r="AB865" i="31" s="1"/>
  <c r="Y866" i="31"/>
  <c r="AA866" i="31" a="1"/>
  <c r="AA866" i="31" s="1"/>
  <c r="AB866" i="31" s="1"/>
  <c r="Y867" i="31"/>
  <c r="AA867" i="31" a="1"/>
  <c r="AA867" i="31" s="1"/>
  <c r="AB867" i="31" s="1"/>
  <c r="Y868" i="31"/>
  <c r="AA868" i="31" a="1"/>
  <c r="AA868" i="31" s="1"/>
  <c r="AB868" i="31" s="1"/>
  <c r="Y869" i="31"/>
  <c r="AA869" i="31" a="1"/>
  <c r="AA869" i="31" s="1"/>
  <c r="AB869" i="31" s="1"/>
  <c r="Y870" i="31"/>
  <c r="AA870" i="31" a="1"/>
  <c r="AA870" i="31" s="1"/>
  <c r="AB870" i="31" s="1"/>
  <c r="Y871" i="31"/>
  <c r="AA871" i="31" a="1"/>
  <c r="AA871" i="31" s="1"/>
  <c r="AB871" i="31" s="1"/>
  <c r="Y872" i="31"/>
  <c r="AA872" i="31" a="1"/>
  <c r="AA872" i="31" s="1"/>
  <c r="AB872" i="31" s="1"/>
  <c r="Y873" i="31"/>
  <c r="AA873" i="31" a="1"/>
  <c r="AA873" i="31" s="1"/>
  <c r="AB873" i="31" s="1"/>
  <c r="Y874" i="31"/>
  <c r="AA874" i="31" a="1"/>
  <c r="AA874" i="31" s="1"/>
  <c r="AB874" i="31" s="1"/>
  <c r="Y875" i="31"/>
  <c r="AA875" i="31" a="1"/>
  <c r="AA875" i="31" s="1"/>
  <c r="AB875" i="31" s="1"/>
  <c r="Y876" i="31"/>
  <c r="AA876" i="31" a="1"/>
  <c r="AA876" i="31" s="1"/>
  <c r="AB876" i="31" s="1"/>
  <c r="Y877" i="31"/>
  <c r="AA877" i="31" a="1"/>
  <c r="AA877" i="31" s="1"/>
  <c r="AB877" i="31" s="1"/>
  <c r="Y878" i="31"/>
  <c r="AA878" i="31" a="1"/>
  <c r="AA878" i="31" s="1"/>
  <c r="AB878" i="31" s="1"/>
  <c r="Y879" i="31"/>
  <c r="AA879" i="31" a="1"/>
  <c r="AA879" i="31" s="1"/>
  <c r="AB879" i="31" s="1"/>
  <c r="Y880" i="31"/>
  <c r="AA880" i="31" a="1"/>
  <c r="AA880" i="31" s="1"/>
  <c r="AB880" i="31" s="1"/>
  <c r="Y881" i="31"/>
  <c r="AA881" i="31" a="1"/>
  <c r="AA881" i="31" s="1"/>
  <c r="AB881" i="31" s="1"/>
  <c r="Y882" i="31"/>
  <c r="AA882" i="31" a="1"/>
  <c r="AA882" i="31" s="1"/>
  <c r="AB882" i="31" s="1"/>
  <c r="Y883" i="31"/>
  <c r="AA883" i="31" a="1"/>
  <c r="AA883" i="31" s="1"/>
  <c r="AB883" i="31" s="1"/>
  <c r="Y884" i="31"/>
  <c r="AA884" i="31" a="1"/>
  <c r="AA884" i="31" s="1"/>
  <c r="AB884" i="31" s="1"/>
  <c r="Y885" i="31"/>
  <c r="AA885" i="31" a="1"/>
  <c r="AA885" i="31" s="1"/>
  <c r="AB885" i="31" s="1"/>
  <c r="Y886" i="31"/>
  <c r="AA886" i="31" a="1"/>
  <c r="AA886" i="31" s="1"/>
  <c r="AB886" i="31" s="1"/>
  <c r="Y887" i="31"/>
  <c r="AA887" i="31" a="1"/>
  <c r="AA887" i="31" s="1"/>
  <c r="AB887" i="31" s="1"/>
  <c r="Y888" i="31"/>
  <c r="AA888" i="31" a="1"/>
  <c r="AA888" i="31" s="1"/>
  <c r="AB888" i="31" s="1"/>
  <c r="Y889" i="31"/>
  <c r="AA889" i="31" a="1"/>
  <c r="AA889" i="31" s="1"/>
  <c r="AB889" i="31" s="1"/>
  <c r="Y890" i="31"/>
  <c r="AA890" i="31" a="1"/>
  <c r="AA890" i="31" s="1"/>
  <c r="AB890" i="31" s="1"/>
  <c r="Y891" i="31"/>
  <c r="AA891" i="31" a="1"/>
  <c r="AA891" i="31" s="1"/>
  <c r="AB891" i="31" s="1"/>
  <c r="Y892" i="31"/>
  <c r="AA892" i="31" a="1"/>
  <c r="AA892" i="31" s="1"/>
  <c r="AB892" i="31" s="1"/>
  <c r="Y893" i="31"/>
  <c r="AA893" i="31" a="1"/>
  <c r="AA893" i="31" s="1"/>
  <c r="AB893" i="31" s="1"/>
  <c r="Y894" i="31"/>
  <c r="AA894" i="31" a="1"/>
  <c r="AA894" i="31" s="1"/>
  <c r="AB894" i="31" s="1"/>
  <c r="Y895" i="31"/>
  <c r="AA895" i="31" a="1"/>
  <c r="AA895" i="31" s="1"/>
  <c r="AB895" i="31" s="1"/>
  <c r="Y896" i="31"/>
  <c r="AA896" i="31" a="1"/>
  <c r="AA896" i="31" s="1"/>
  <c r="AB896" i="31" s="1"/>
  <c r="Y897" i="31"/>
  <c r="AA897" i="31" a="1"/>
  <c r="AA897" i="31" s="1"/>
  <c r="AB897" i="31" s="1"/>
  <c r="Y898" i="31"/>
  <c r="AA898" i="31" a="1"/>
  <c r="AA898" i="31" s="1"/>
  <c r="AB898" i="31" s="1"/>
  <c r="Y899" i="31"/>
  <c r="AA899" i="31" a="1"/>
  <c r="AA899" i="31" s="1"/>
  <c r="AB899" i="31" s="1"/>
  <c r="Y900" i="31"/>
  <c r="AA900" i="31" a="1"/>
  <c r="AA900" i="31" s="1"/>
  <c r="AB900" i="31" s="1"/>
  <c r="Y901" i="31"/>
  <c r="AA901" i="31" a="1"/>
  <c r="AA901" i="31" s="1"/>
  <c r="AB901" i="31" s="1"/>
  <c r="Y902" i="31"/>
  <c r="AA902" i="31" a="1"/>
  <c r="AA902" i="31" s="1"/>
  <c r="AB902" i="31" s="1"/>
  <c r="Y903" i="31"/>
  <c r="AA903" i="31" a="1"/>
  <c r="AA903" i="31" s="1"/>
  <c r="AB903" i="31" s="1"/>
  <c r="Y904" i="31"/>
  <c r="AA904" i="31" a="1"/>
  <c r="AA904" i="31" s="1"/>
  <c r="AB904" i="31" s="1"/>
  <c r="Y905" i="31"/>
  <c r="AA905" i="31" a="1"/>
  <c r="AA905" i="31" s="1"/>
  <c r="AB905" i="31" s="1"/>
  <c r="Y906" i="31"/>
  <c r="AA906" i="31" a="1"/>
  <c r="AA906" i="31" s="1"/>
  <c r="AB906" i="31" s="1"/>
  <c r="Y907" i="31"/>
  <c r="AA907" i="31" a="1"/>
  <c r="AA907" i="31" s="1"/>
  <c r="AB907" i="31" s="1"/>
  <c r="Y908" i="31"/>
  <c r="AA908" i="31" a="1"/>
  <c r="AA908" i="31" s="1"/>
  <c r="AB908" i="31" s="1"/>
  <c r="Y909" i="31"/>
  <c r="AA909" i="31" a="1"/>
  <c r="AA909" i="31" s="1"/>
  <c r="AB909" i="31" s="1"/>
  <c r="Y910" i="31"/>
  <c r="AA910" i="31" a="1"/>
  <c r="AA910" i="31" s="1"/>
  <c r="AB910" i="31" s="1"/>
  <c r="Y911" i="31"/>
  <c r="AA911" i="31" a="1"/>
  <c r="AA911" i="31" s="1"/>
  <c r="AB911" i="31" s="1"/>
  <c r="Y912" i="31"/>
  <c r="AA912" i="31" a="1"/>
  <c r="AA912" i="31" s="1"/>
  <c r="AB912" i="31" s="1"/>
  <c r="Y913" i="31"/>
  <c r="AA913" i="31" a="1"/>
  <c r="AA913" i="31" s="1"/>
  <c r="AB913" i="31" s="1"/>
  <c r="Y914" i="31"/>
  <c r="AA914" i="31" a="1"/>
  <c r="AA914" i="31" s="1"/>
  <c r="AB914" i="31" s="1"/>
  <c r="Y915" i="31"/>
  <c r="AA915" i="31" a="1"/>
  <c r="AA915" i="31" s="1"/>
  <c r="AB915" i="31" s="1"/>
  <c r="Y916" i="31"/>
  <c r="AA916" i="31" a="1"/>
  <c r="AA916" i="31" s="1"/>
  <c r="AB916" i="31" s="1"/>
  <c r="Y917" i="31"/>
  <c r="AA917" i="31" a="1"/>
  <c r="AA917" i="31" s="1"/>
  <c r="AB917" i="31" s="1"/>
  <c r="Y918" i="31"/>
  <c r="AA918" i="31" a="1"/>
  <c r="AA918" i="31" s="1"/>
  <c r="AB918" i="31" s="1"/>
  <c r="Y919" i="31"/>
  <c r="AA919" i="31" a="1"/>
  <c r="AA919" i="31" s="1"/>
  <c r="AB919" i="31" s="1"/>
  <c r="Y920" i="31"/>
  <c r="AA920" i="31" a="1"/>
  <c r="AA920" i="31" s="1"/>
  <c r="AB920" i="31" s="1"/>
  <c r="Y921" i="31"/>
  <c r="AA921" i="31" a="1"/>
  <c r="AA921" i="31" s="1"/>
  <c r="AB921" i="31" s="1"/>
  <c r="Y922" i="31"/>
  <c r="AA922" i="31" a="1"/>
  <c r="AA922" i="31" s="1"/>
  <c r="AB922" i="31" s="1"/>
  <c r="Y923" i="31"/>
  <c r="AA923" i="31" a="1"/>
  <c r="AA923" i="31" s="1"/>
  <c r="AB923" i="31" s="1"/>
  <c r="Y924" i="31"/>
  <c r="AA924" i="31" a="1"/>
  <c r="AA924" i="31" s="1"/>
  <c r="AB924" i="31" s="1"/>
  <c r="Y925" i="31"/>
  <c r="AA925" i="31" a="1"/>
  <c r="AA925" i="31" s="1"/>
  <c r="AB925" i="31" s="1"/>
  <c r="Y926" i="31"/>
  <c r="AA926" i="31" a="1"/>
  <c r="AA926" i="31" s="1"/>
  <c r="AB926" i="31" s="1"/>
  <c r="Y927" i="31"/>
  <c r="AA927" i="31" a="1"/>
  <c r="AA927" i="31" s="1"/>
  <c r="AB927" i="31" s="1"/>
  <c r="Y928" i="31"/>
  <c r="AA928" i="31" a="1"/>
  <c r="AA928" i="31" s="1"/>
  <c r="AB928" i="31" s="1"/>
  <c r="Y929" i="31"/>
  <c r="AA929" i="31" a="1"/>
  <c r="AA929" i="31" s="1"/>
  <c r="AB929" i="31" s="1"/>
  <c r="Y930" i="31"/>
  <c r="AA930" i="31" a="1"/>
  <c r="AA930" i="31" s="1"/>
  <c r="AB930" i="31" s="1"/>
  <c r="Y931" i="31"/>
  <c r="AA931" i="31" a="1"/>
  <c r="AA931" i="31" s="1"/>
  <c r="AB931" i="31" s="1"/>
  <c r="Y932" i="31"/>
  <c r="AA932" i="31" a="1"/>
  <c r="AA932" i="31" s="1"/>
  <c r="AB932" i="31" s="1"/>
  <c r="Y933" i="31"/>
  <c r="AA933" i="31" a="1"/>
  <c r="AA933" i="31" s="1"/>
  <c r="AB933" i="31" s="1"/>
  <c r="Y934" i="31"/>
  <c r="AA934" i="31" a="1"/>
  <c r="AA934" i="31" s="1"/>
  <c r="AB934" i="31" s="1"/>
  <c r="Y935" i="31"/>
  <c r="AA935" i="31" a="1"/>
  <c r="AA935" i="31" s="1"/>
  <c r="AB935" i="31" s="1"/>
  <c r="Y936" i="31"/>
  <c r="AA936" i="31" a="1"/>
  <c r="AA936" i="31" s="1"/>
  <c r="AB936" i="31" s="1"/>
  <c r="Y937" i="31"/>
  <c r="AA937" i="31" a="1"/>
  <c r="AA937" i="31" s="1"/>
  <c r="AB937" i="31" s="1"/>
  <c r="Y938" i="31"/>
  <c r="AA938" i="31" a="1"/>
  <c r="AA938" i="31" s="1"/>
  <c r="AB938" i="31" s="1"/>
  <c r="Y939" i="31"/>
  <c r="AA939" i="31" a="1"/>
  <c r="AA939" i="31" s="1"/>
  <c r="AB939" i="31" s="1"/>
  <c r="Y940" i="31"/>
  <c r="AA940" i="31" a="1"/>
  <c r="AA940" i="31" s="1"/>
  <c r="AB940" i="31" s="1"/>
  <c r="Y941" i="31"/>
  <c r="AA941" i="31" a="1"/>
  <c r="AA941" i="31" s="1"/>
  <c r="AB941" i="31" s="1"/>
  <c r="Y942" i="31"/>
  <c r="AA942" i="31" a="1"/>
  <c r="AA942" i="31" s="1"/>
  <c r="AB942" i="31" s="1"/>
  <c r="Y943" i="31"/>
  <c r="AA943" i="31" a="1"/>
  <c r="AA943" i="31" s="1"/>
  <c r="AB943" i="31" s="1"/>
  <c r="Y944" i="31"/>
  <c r="AA944" i="31" a="1"/>
  <c r="AA944" i="31" s="1"/>
  <c r="AB944" i="31" s="1"/>
  <c r="Y945" i="31"/>
  <c r="AA945" i="31" a="1"/>
  <c r="AA945" i="31" s="1"/>
  <c r="AB945" i="31" s="1"/>
  <c r="Y946" i="31"/>
  <c r="AA946" i="31" a="1"/>
  <c r="AA946" i="31" s="1"/>
  <c r="AB946" i="31" s="1"/>
  <c r="Y947" i="31"/>
  <c r="AA947" i="31" a="1"/>
  <c r="AA947" i="31" s="1"/>
  <c r="AB947" i="31" s="1"/>
  <c r="Y948" i="31"/>
  <c r="AA948" i="31" a="1"/>
  <c r="AA948" i="31" s="1"/>
  <c r="AB948" i="31" s="1"/>
  <c r="Y949" i="31"/>
  <c r="AA949" i="31" a="1"/>
  <c r="AA949" i="31" s="1"/>
  <c r="AB949" i="31" s="1"/>
  <c r="Y950" i="31"/>
  <c r="AA950" i="31" a="1"/>
  <c r="AA950" i="31" s="1"/>
  <c r="AB950" i="31" s="1"/>
  <c r="Y951" i="31"/>
  <c r="AA951" i="31" a="1"/>
  <c r="AA951" i="31" s="1"/>
  <c r="AB951" i="31" s="1"/>
  <c r="Y952" i="31"/>
  <c r="AA952" i="31" a="1"/>
  <c r="AA952" i="31" s="1"/>
  <c r="AB952" i="31" s="1"/>
  <c r="Y953" i="31"/>
  <c r="AA953" i="31" a="1"/>
  <c r="AA953" i="31" s="1"/>
  <c r="AB953" i="31" s="1"/>
  <c r="Y954" i="31"/>
  <c r="AA954" i="31" a="1"/>
  <c r="AA954" i="31" s="1"/>
  <c r="AB954" i="31" s="1"/>
  <c r="Y955" i="31"/>
  <c r="AA955" i="31" a="1"/>
  <c r="AA955" i="31" s="1"/>
  <c r="AB955" i="31" s="1"/>
  <c r="Y956" i="31"/>
  <c r="AA956" i="31" a="1"/>
  <c r="AA956" i="31" s="1"/>
  <c r="AB956" i="31" s="1"/>
  <c r="Y957" i="31"/>
  <c r="AA957" i="31" a="1"/>
  <c r="AA957" i="31" s="1"/>
  <c r="AB957" i="31" s="1"/>
  <c r="Y958" i="31"/>
  <c r="AA958" i="31" a="1"/>
  <c r="AA958" i="31" s="1"/>
  <c r="AB958" i="31" s="1"/>
  <c r="Y959" i="31"/>
  <c r="AA959" i="31" a="1"/>
  <c r="AA959" i="31" s="1"/>
  <c r="AB959" i="31" s="1"/>
  <c r="Y960" i="31"/>
  <c r="AA960" i="31" a="1"/>
  <c r="AA960" i="31" s="1"/>
  <c r="AB960" i="31" s="1"/>
  <c r="Y961" i="31"/>
  <c r="AA961" i="31" a="1"/>
  <c r="AA961" i="31" s="1"/>
  <c r="AB961" i="31" s="1"/>
  <c r="Y962" i="31"/>
  <c r="AA962" i="31" a="1"/>
  <c r="AA962" i="31" s="1"/>
  <c r="AB962" i="31" s="1"/>
  <c r="Y963" i="31"/>
  <c r="AA963" i="31" a="1"/>
  <c r="AA963" i="31" s="1"/>
  <c r="AB963" i="31" s="1"/>
  <c r="Y964" i="31"/>
  <c r="AA964" i="31" a="1"/>
  <c r="AA964" i="31" s="1"/>
  <c r="AB964" i="31" s="1"/>
  <c r="Y965" i="31"/>
  <c r="AA965" i="31" a="1"/>
  <c r="AA965" i="31" s="1"/>
  <c r="AB965" i="31" s="1"/>
  <c r="Y966" i="31"/>
  <c r="AA966" i="31" a="1"/>
  <c r="AA966" i="31" s="1"/>
  <c r="AB966" i="31" s="1"/>
  <c r="Y967" i="31"/>
  <c r="AA967" i="31" a="1"/>
  <c r="AA967" i="31" s="1"/>
  <c r="AB967" i="31" s="1"/>
  <c r="Y968" i="31"/>
  <c r="AA968" i="31" a="1"/>
  <c r="AA968" i="31" s="1"/>
  <c r="AB968" i="31" s="1"/>
  <c r="Y969" i="31"/>
  <c r="AA969" i="31" a="1"/>
  <c r="AA969" i="31" s="1"/>
  <c r="AB969" i="31" s="1"/>
  <c r="Y970" i="31"/>
  <c r="AA970" i="31" a="1"/>
  <c r="AA970" i="31" s="1"/>
  <c r="AB970" i="31" s="1"/>
  <c r="Y971" i="31"/>
  <c r="AA971" i="31" a="1"/>
  <c r="AA971" i="31" s="1"/>
  <c r="AB971" i="31" s="1"/>
  <c r="Y972" i="31"/>
  <c r="AA972" i="31" a="1"/>
  <c r="AA972" i="31" s="1"/>
  <c r="AB972" i="31" s="1"/>
  <c r="Y973" i="31"/>
  <c r="AA973" i="31" a="1"/>
  <c r="AA973" i="31" s="1"/>
  <c r="AB973" i="31" s="1"/>
  <c r="Y974" i="31"/>
  <c r="AA974" i="31" a="1"/>
  <c r="AA974" i="31" s="1"/>
  <c r="AB974" i="31" s="1"/>
  <c r="Y975" i="31"/>
  <c r="AA975" i="31" a="1"/>
  <c r="AA975" i="31" s="1"/>
  <c r="AB975" i="31" s="1"/>
  <c r="Y976" i="31"/>
  <c r="AA976" i="31" a="1"/>
  <c r="AA976" i="31" s="1"/>
  <c r="AB976" i="31" s="1"/>
  <c r="Y977" i="31"/>
  <c r="AA977" i="31" a="1"/>
  <c r="AA977" i="31" s="1"/>
  <c r="AB977" i="31" s="1"/>
  <c r="Y978" i="31"/>
  <c r="AA978" i="31" a="1"/>
  <c r="AA978" i="31" s="1"/>
  <c r="AB978" i="31" s="1"/>
  <c r="Y979" i="31"/>
  <c r="AA979" i="31" a="1"/>
  <c r="AA979" i="31" s="1"/>
  <c r="AB979" i="31" s="1"/>
  <c r="Y980" i="31"/>
  <c r="AA980" i="31" a="1"/>
  <c r="AA980" i="31" s="1"/>
  <c r="AB980" i="31" s="1"/>
  <c r="Y981" i="31"/>
  <c r="AA981" i="31" a="1"/>
  <c r="AA981" i="31" s="1"/>
  <c r="AB981" i="31" s="1"/>
  <c r="Y982" i="31"/>
  <c r="AA982" i="31" a="1"/>
  <c r="AA982" i="31" s="1"/>
  <c r="AB982" i="31" s="1"/>
  <c r="Y983" i="31"/>
  <c r="AA983" i="31" a="1"/>
  <c r="AA983" i="31" s="1"/>
  <c r="AB983" i="31" s="1"/>
  <c r="Y984" i="31"/>
  <c r="AA984" i="31" a="1"/>
  <c r="AA984" i="31" s="1"/>
  <c r="AB984" i="31" s="1"/>
  <c r="Y985" i="31"/>
  <c r="AA985" i="31" a="1"/>
  <c r="AA985" i="31" s="1"/>
  <c r="AB985" i="31" s="1"/>
  <c r="Y986" i="31"/>
  <c r="AA986" i="31" a="1"/>
  <c r="AA986" i="31" s="1"/>
  <c r="AB986" i="31" s="1"/>
  <c r="Y987" i="31"/>
  <c r="AA987" i="31" a="1"/>
  <c r="AA987" i="31" s="1"/>
  <c r="AB987" i="31" s="1"/>
  <c r="Y988" i="31"/>
  <c r="AA988" i="31" a="1"/>
  <c r="AA988" i="31" s="1"/>
  <c r="AB988" i="31" s="1"/>
  <c r="Y989" i="31"/>
  <c r="AA989" i="31" a="1"/>
  <c r="AA989" i="31" s="1"/>
  <c r="AB989" i="31" s="1"/>
  <c r="Y990" i="31"/>
  <c r="AA990" i="31" a="1"/>
  <c r="AA990" i="31" s="1"/>
  <c r="AB990" i="31" s="1"/>
  <c r="Y991" i="31"/>
  <c r="AA991" i="31" a="1"/>
  <c r="AA991" i="31" s="1"/>
  <c r="AB991" i="31" s="1"/>
  <c r="Y992" i="31"/>
  <c r="AA992" i="31" a="1"/>
  <c r="AA992" i="31" s="1"/>
  <c r="AB992" i="31" s="1"/>
  <c r="Y993" i="31"/>
  <c r="AA993" i="31" a="1"/>
  <c r="AA993" i="31" s="1"/>
  <c r="AB993" i="31" s="1"/>
  <c r="Y994" i="31"/>
  <c r="AA994" i="31" a="1"/>
  <c r="AA994" i="31" s="1"/>
  <c r="AB994" i="31" s="1"/>
  <c r="Y995" i="31"/>
  <c r="AA995" i="31" a="1"/>
  <c r="AA995" i="31" s="1"/>
  <c r="AB995" i="31" s="1"/>
  <c r="Y996" i="31"/>
  <c r="AA996" i="31" a="1"/>
  <c r="AA996" i="31" s="1"/>
  <c r="AB996" i="31" s="1"/>
  <c r="Y997" i="31"/>
  <c r="AA997" i="31" a="1"/>
  <c r="AA997" i="31" s="1"/>
  <c r="AB997" i="31" s="1"/>
  <c r="Y998" i="31"/>
  <c r="AA998" i="31" a="1"/>
  <c r="AA998" i="31" s="1"/>
  <c r="AB998" i="31" s="1"/>
  <c r="Y999" i="31"/>
  <c r="AA999" i="31" a="1"/>
  <c r="AA999" i="31" s="1"/>
  <c r="AB999" i="31" s="1"/>
  <c r="Y1000" i="31"/>
  <c r="AA1000" i="31" a="1"/>
  <c r="AA1000" i="31" s="1"/>
  <c r="AB1000" i="31" s="1"/>
  <c r="Y1001" i="31"/>
  <c r="AA1001" i="31" a="1"/>
  <c r="AA1001" i="31" s="1"/>
  <c r="AB1001" i="31" s="1"/>
  <c r="Y1002" i="31"/>
  <c r="AA1002" i="31" a="1"/>
  <c r="AA1002" i="31" s="1"/>
  <c r="AB1002" i="31" s="1"/>
  <c r="Y1003" i="31"/>
  <c r="AA1003" i="31" a="1"/>
  <c r="AA1003" i="31" s="1"/>
  <c r="AB1003" i="31" s="1"/>
  <c r="Y1004" i="31"/>
  <c r="AA1004" i="31" a="1"/>
  <c r="AA1004" i="31" s="1"/>
  <c r="AB1004" i="31" s="1"/>
  <c r="Y1005" i="31"/>
  <c r="AA1005" i="31" a="1"/>
  <c r="AA1005" i="31" s="1"/>
  <c r="AB1005" i="31" s="1"/>
  <c r="Y1006" i="31"/>
  <c r="AA1006" i="31" a="1"/>
  <c r="AA1006" i="31" s="1"/>
  <c r="AB1006" i="31" s="1"/>
  <c r="Y1007" i="31"/>
  <c r="AA1007" i="31" a="1"/>
  <c r="AA1007" i="31" s="1"/>
  <c r="AB1007" i="31" s="1"/>
  <c r="Y1008" i="31"/>
  <c r="AA1008" i="31" a="1"/>
  <c r="AA1008" i="31" s="1"/>
  <c r="AB1008" i="31" s="1"/>
  <c r="Y1009" i="31"/>
  <c r="AA1009" i="31" a="1"/>
  <c r="AA1009" i="31" s="1"/>
  <c r="AB1009" i="31" s="1"/>
  <c r="Y1010" i="31"/>
  <c r="AA1010" i="31" a="1"/>
  <c r="AA1010" i="31" s="1"/>
  <c r="AB1010" i="31" s="1"/>
  <c r="Y1011" i="31"/>
  <c r="AA1011" i="31" a="1"/>
  <c r="AA1011" i="31" s="1"/>
  <c r="AB1011" i="31" s="1"/>
  <c r="Y1012" i="31"/>
  <c r="AA1012" i="31" a="1"/>
  <c r="AA1012" i="31" s="1"/>
  <c r="AB1012" i="31" s="1"/>
  <c r="Y1013" i="31"/>
  <c r="AA1013" i="31" a="1"/>
  <c r="AA1013" i="31" s="1"/>
  <c r="AB1013" i="31" s="1"/>
  <c r="Y1014" i="31"/>
  <c r="AA1014" i="31" a="1"/>
  <c r="AA1014" i="31" s="1"/>
  <c r="AB1014" i="31" s="1"/>
  <c r="Y1015" i="31"/>
  <c r="AA1015" i="31" a="1"/>
  <c r="AA1015" i="31" s="1"/>
  <c r="AB1015" i="31" s="1"/>
  <c r="Y1016" i="31"/>
  <c r="AA1016" i="31" a="1"/>
  <c r="AA1016" i="31" s="1"/>
  <c r="AB1016" i="31" s="1"/>
  <c r="Y1017" i="31"/>
  <c r="AA1017" i="31" a="1"/>
  <c r="AA1017" i="31" s="1"/>
  <c r="AB1017" i="31" s="1"/>
  <c r="Y1018" i="31"/>
  <c r="AA1018" i="31" a="1"/>
  <c r="AA1018" i="31" s="1"/>
  <c r="AB1018" i="31" s="1"/>
  <c r="Y1019" i="31"/>
  <c r="AA1019" i="31" a="1"/>
  <c r="AA1019" i="31" s="1"/>
  <c r="AB1019" i="31" s="1"/>
  <c r="Y1020" i="31"/>
  <c r="AA1020" i="31" a="1"/>
  <c r="AA1020" i="31" s="1"/>
  <c r="AB1020" i="31" s="1"/>
  <c r="Y1021" i="31"/>
  <c r="AA1021" i="31" a="1"/>
  <c r="AA1021" i="31" s="1"/>
  <c r="AB1021" i="31" s="1"/>
  <c r="Y1022" i="31"/>
  <c r="AA1022" i="31" a="1"/>
  <c r="AA1022" i="31" s="1"/>
  <c r="AB1022" i="31" s="1"/>
  <c r="Y1023" i="31"/>
  <c r="AA1023" i="31" a="1"/>
  <c r="AA1023" i="31" s="1"/>
  <c r="AB1023" i="31" s="1"/>
  <c r="Y1024" i="31"/>
  <c r="AA1024" i="31" a="1"/>
  <c r="AA1024" i="31" s="1"/>
  <c r="AB1024" i="31" s="1"/>
  <c r="Y1025" i="31"/>
  <c r="AA1025" i="31" a="1"/>
  <c r="AA1025" i="31" s="1"/>
  <c r="AB1025" i="31" s="1"/>
  <c r="Y1026" i="31"/>
  <c r="AA1026" i="31" a="1"/>
  <c r="AA1026" i="31" s="1"/>
  <c r="AB1026" i="31" s="1"/>
  <c r="Y1027" i="31"/>
  <c r="AA1027" i="31" a="1"/>
  <c r="AA1027" i="31" s="1"/>
  <c r="AB1027" i="31" s="1"/>
  <c r="Y1028" i="31"/>
  <c r="AA1028" i="31" a="1"/>
  <c r="AA1028" i="31" s="1"/>
  <c r="AB1028" i="31" s="1"/>
  <c r="Y1029" i="31"/>
  <c r="AA1029" i="31" a="1"/>
  <c r="AA1029" i="31" s="1"/>
  <c r="AB1029" i="31" s="1"/>
  <c r="Y1030" i="31"/>
  <c r="AA1030" i="31" a="1"/>
  <c r="AA1030" i="31" s="1"/>
  <c r="AB1030" i="31" s="1"/>
  <c r="Y1031" i="31"/>
  <c r="AA1031" i="31" a="1"/>
  <c r="AA1031" i="31" s="1"/>
  <c r="AB1031" i="31" s="1"/>
  <c r="Y1032" i="31"/>
  <c r="AA1032" i="31" a="1"/>
  <c r="AA1032" i="31" s="1"/>
  <c r="AB1032" i="31" s="1"/>
  <c r="Y1033" i="31"/>
  <c r="AA1033" i="31" a="1"/>
  <c r="AA1033" i="31" s="1"/>
  <c r="AB1033" i="31" s="1"/>
  <c r="Y1034" i="31"/>
  <c r="AA1034" i="31" a="1"/>
  <c r="AA1034" i="31" s="1"/>
  <c r="AB1034" i="31" s="1"/>
  <c r="Y1035" i="31"/>
  <c r="AA1035" i="31" a="1"/>
  <c r="AA1035" i="31" s="1"/>
  <c r="AB1035" i="31" s="1"/>
  <c r="Y1036" i="31"/>
  <c r="AA1036" i="31" a="1"/>
  <c r="AA1036" i="31" s="1"/>
  <c r="AB1036" i="31" s="1"/>
  <c r="Y1037" i="31"/>
  <c r="AA1037" i="31" a="1"/>
  <c r="AA1037" i="31" s="1"/>
  <c r="AB1037" i="31" s="1"/>
  <c r="Y1038" i="31"/>
  <c r="AA1038" i="31" a="1"/>
  <c r="AA1038" i="31" s="1"/>
  <c r="AB1038" i="31" s="1"/>
  <c r="Y1039" i="31"/>
  <c r="AA1039" i="31" a="1"/>
  <c r="AA1039" i="31" s="1"/>
  <c r="AB1039" i="31" s="1"/>
  <c r="Y1040" i="31"/>
  <c r="AA1040" i="31" a="1"/>
  <c r="AA1040" i="31" s="1"/>
  <c r="AB1040" i="31" s="1"/>
  <c r="Y1041" i="31"/>
  <c r="AA1041" i="31" a="1"/>
  <c r="AA1041" i="31" s="1"/>
  <c r="AB1041" i="31" s="1"/>
  <c r="Y1042" i="31"/>
  <c r="AA1042" i="31" a="1"/>
  <c r="AA1042" i="31" s="1"/>
  <c r="AB1042" i="31" s="1"/>
  <c r="Y1043" i="31"/>
  <c r="AA1043" i="31" a="1"/>
  <c r="AA1043" i="31" s="1"/>
  <c r="AB1043" i="31" s="1"/>
  <c r="Y1044" i="31"/>
  <c r="AA1044" i="31" a="1"/>
  <c r="AA1044" i="31" s="1"/>
  <c r="AB1044" i="31" s="1"/>
  <c r="Y1045" i="31"/>
  <c r="AA1045" i="31" a="1"/>
  <c r="AA1045" i="31" s="1"/>
  <c r="AB1045" i="31" s="1"/>
  <c r="Y1046" i="31"/>
  <c r="AA1046" i="31" a="1"/>
  <c r="AA1046" i="31" s="1"/>
  <c r="AB1046" i="31" s="1"/>
  <c r="Y1047" i="31"/>
  <c r="AA1047" i="31" a="1"/>
  <c r="AA1047" i="31" s="1"/>
  <c r="AB1047" i="31" s="1"/>
  <c r="Y1048" i="31"/>
  <c r="AA1048" i="31" a="1"/>
  <c r="AA1048" i="31" s="1"/>
  <c r="AB1048" i="31" s="1"/>
  <c r="Y1049" i="31"/>
  <c r="AA1049" i="31" a="1"/>
  <c r="AA1049" i="31" s="1"/>
  <c r="AB1049" i="31" s="1"/>
  <c r="Y1050" i="31"/>
  <c r="AA1050" i="31" a="1"/>
  <c r="AA1050" i="31" s="1"/>
  <c r="AB1050" i="31" s="1"/>
  <c r="Y1051" i="31"/>
  <c r="AA1051" i="31" a="1"/>
  <c r="AA1051" i="31" s="1"/>
  <c r="AB1051" i="31" s="1"/>
  <c r="Y1052" i="31"/>
  <c r="AA1052" i="31" a="1"/>
  <c r="AA1052" i="31" s="1"/>
  <c r="AB1052" i="31" s="1"/>
  <c r="Y1053" i="31"/>
  <c r="AA1053" i="31" a="1"/>
  <c r="AA1053" i="31" s="1"/>
  <c r="AB1053" i="31" s="1"/>
  <c r="Y1054" i="31"/>
  <c r="AA1054" i="31" a="1"/>
  <c r="AA1054" i="31" s="1"/>
  <c r="AB1054" i="31" s="1"/>
  <c r="Y1055" i="31"/>
  <c r="AA1055" i="31" a="1"/>
  <c r="AA1055" i="31" s="1"/>
  <c r="AB1055" i="31" s="1"/>
  <c r="Y1056" i="31"/>
  <c r="AA1056" i="31" a="1"/>
  <c r="AA1056" i="31" s="1"/>
  <c r="AB1056" i="31" s="1"/>
  <c r="Y1057" i="31"/>
  <c r="AA1057" i="31" a="1"/>
  <c r="AA1057" i="31" s="1"/>
  <c r="AB1057" i="31" s="1"/>
  <c r="Y1058" i="31"/>
  <c r="AA1058" i="31" a="1"/>
  <c r="AA1058" i="31" s="1"/>
  <c r="AB1058" i="31" s="1"/>
  <c r="Y1059" i="31"/>
  <c r="AA1059" i="31" a="1"/>
  <c r="AA1059" i="31" s="1"/>
  <c r="AB1059" i="31" s="1"/>
  <c r="Y1060" i="31"/>
  <c r="AA1060" i="31" a="1"/>
  <c r="AA1060" i="31" s="1"/>
  <c r="AB1060" i="31" s="1"/>
  <c r="Y1061" i="31"/>
  <c r="AA1061" i="31" a="1"/>
  <c r="AA1061" i="31" s="1"/>
  <c r="AB1061" i="31" s="1"/>
  <c r="Y1062" i="31"/>
  <c r="AA1062" i="31" a="1"/>
  <c r="AA1062" i="31" s="1"/>
  <c r="AB1062" i="31" s="1"/>
  <c r="Y1063" i="31"/>
  <c r="AA1063" i="31" a="1"/>
  <c r="AA1063" i="31" s="1"/>
  <c r="AB1063" i="31" s="1"/>
  <c r="Y1064" i="31"/>
  <c r="AA1064" i="31" a="1"/>
  <c r="AA1064" i="31" s="1"/>
  <c r="AB1064" i="31" s="1"/>
  <c r="Y1065" i="31"/>
  <c r="AA1065" i="31" a="1"/>
  <c r="AA1065" i="31" s="1"/>
  <c r="AB1065" i="31" s="1"/>
  <c r="Y1066" i="31"/>
  <c r="AA1066" i="31" a="1"/>
  <c r="AA1066" i="31" s="1"/>
  <c r="AB1066" i="31" s="1"/>
  <c r="Y1067" i="31"/>
  <c r="AA1067" i="31" a="1"/>
  <c r="AA1067" i="31" s="1"/>
  <c r="AB1067" i="31" s="1"/>
  <c r="Y1068" i="31"/>
  <c r="AA1068" i="31" a="1"/>
  <c r="AA1068" i="31" s="1"/>
  <c r="AB1068" i="31" s="1"/>
  <c r="Y1069" i="31"/>
  <c r="AA1069" i="31" a="1"/>
  <c r="AA1069" i="31" s="1"/>
  <c r="AB1069" i="31" s="1"/>
  <c r="Y1070" i="31"/>
  <c r="AA1070" i="31" a="1"/>
  <c r="AA1070" i="31" s="1"/>
  <c r="AB1070" i="31" s="1"/>
  <c r="Y1071" i="31"/>
  <c r="AA1071" i="31" a="1"/>
  <c r="AA1071" i="31" s="1"/>
  <c r="AB1071" i="31" s="1"/>
  <c r="Y1072" i="31"/>
  <c r="AA1072" i="31" a="1"/>
  <c r="AA1072" i="31" s="1"/>
  <c r="AB1072" i="31" s="1"/>
  <c r="Y1073" i="31"/>
  <c r="AA1073" i="31" a="1"/>
  <c r="AA1073" i="31" s="1"/>
  <c r="AB1073" i="31" s="1"/>
  <c r="Y1074" i="31"/>
  <c r="AA1074" i="31" a="1"/>
  <c r="AA1074" i="31" s="1"/>
  <c r="AB1074" i="31" s="1"/>
  <c r="Y1075" i="31"/>
  <c r="AA1075" i="31" a="1"/>
  <c r="AA1075" i="31" s="1"/>
  <c r="AB1075" i="31" s="1"/>
  <c r="Y1076" i="31"/>
  <c r="AA1076" i="31" a="1"/>
  <c r="AA1076" i="31" s="1"/>
  <c r="AB1076" i="31" s="1"/>
  <c r="Y1077" i="31"/>
  <c r="AA1077" i="31" a="1"/>
  <c r="AA1077" i="31" s="1"/>
  <c r="AB1077" i="31" s="1"/>
  <c r="Y1078" i="31"/>
  <c r="AA1078" i="31" a="1"/>
  <c r="AA1078" i="31" s="1"/>
  <c r="AB1078" i="31" s="1"/>
  <c r="Y1079" i="31"/>
  <c r="AA1079" i="31" a="1"/>
  <c r="AA1079" i="31" s="1"/>
  <c r="AB1079" i="31" s="1"/>
  <c r="Y1080" i="31"/>
  <c r="AA1080" i="31" a="1"/>
  <c r="AA1080" i="31" s="1"/>
  <c r="AB1080" i="31" s="1"/>
  <c r="Y1081" i="31"/>
  <c r="AA1081" i="31" a="1"/>
  <c r="AA1081" i="31" s="1"/>
  <c r="AB1081" i="31" s="1"/>
  <c r="Y1082" i="31"/>
  <c r="AA1082" i="31" a="1"/>
  <c r="AA1082" i="31" s="1"/>
  <c r="AB1082" i="31" s="1"/>
  <c r="Y1083" i="31"/>
  <c r="AA1083" i="31" a="1"/>
  <c r="AA1083" i="31" s="1"/>
  <c r="AB1083" i="31" s="1"/>
  <c r="Y1084" i="31"/>
  <c r="AA1084" i="31" a="1"/>
  <c r="AA1084" i="31" s="1"/>
  <c r="AB1084" i="31" s="1"/>
  <c r="Y1085" i="31"/>
  <c r="AA1085" i="31" a="1"/>
  <c r="AA1085" i="31" s="1"/>
  <c r="AB1085" i="31" s="1"/>
  <c r="Y1086" i="31"/>
  <c r="AA1086" i="31" a="1"/>
  <c r="AA1086" i="31" s="1"/>
  <c r="AB1086" i="31" s="1"/>
  <c r="Y1087" i="31"/>
  <c r="AA1087" i="31" a="1"/>
  <c r="AA1087" i="31" s="1"/>
  <c r="AB1087" i="31" s="1"/>
  <c r="Y1088" i="31"/>
  <c r="AA1088" i="31" a="1"/>
  <c r="AA1088" i="31" s="1"/>
  <c r="AB1088" i="31" s="1"/>
  <c r="Y1089" i="31"/>
  <c r="AA1089" i="31" a="1"/>
  <c r="AA1089" i="31" s="1"/>
  <c r="AB1089" i="31" s="1"/>
  <c r="Y1090" i="31"/>
  <c r="AA1090" i="31" a="1"/>
  <c r="AA1090" i="31" s="1"/>
  <c r="AB1090" i="31" s="1"/>
  <c r="Y1091" i="31"/>
  <c r="AA1091" i="31" a="1"/>
  <c r="AA1091" i="31" s="1"/>
  <c r="AB1091" i="31" s="1"/>
  <c r="Y1092" i="31"/>
  <c r="AA1092" i="31" a="1"/>
  <c r="AA1092" i="31" s="1"/>
  <c r="AB1092" i="31" s="1"/>
  <c r="Y1093" i="31"/>
  <c r="AA1093" i="31" a="1"/>
  <c r="AA1093" i="31" s="1"/>
  <c r="AB1093" i="31" s="1"/>
  <c r="Y1094" i="31"/>
  <c r="AA1094" i="31" a="1"/>
  <c r="AA1094" i="31" s="1"/>
  <c r="AB1094" i="31" s="1"/>
  <c r="Y1095" i="31"/>
  <c r="AA1095" i="31" a="1"/>
  <c r="AA1095" i="31" s="1"/>
  <c r="AB1095" i="31" s="1"/>
  <c r="Y1096" i="31"/>
  <c r="AA1096" i="31" a="1"/>
  <c r="AA1096" i="31" s="1"/>
  <c r="AB1096" i="31" s="1"/>
  <c r="Y1097" i="31"/>
  <c r="AA1097" i="31" a="1"/>
  <c r="AA1097" i="31" s="1"/>
  <c r="AB1097" i="31" s="1"/>
  <c r="Y1098" i="31"/>
  <c r="AA1098" i="31" a="1"/>
  <c r="AA1098" i="31" s="1"/>
  <c r="AB1098" i="31" s="1"/>
  <c r="Y1099" i="31"/>
  <c r="AA1099" i="31" a="1"/>
  <c r="AA1099" i="31" s="1"/>
  <c r="AB1099" i="31" s="1"/>
  <c r="Y1100" i="31"/>
  <c r="AA1100" i="31" a="1"/>
  <c r="AA1100" i="31" s="1"/>
  <c r="AB1100" i="31" s="1"/>
  <c r="Y1101" i="31"/>
  <c r="AA1101" i="31" a="1"/>
  <c r="AA1101" i="31" s="1"/>
  <c r="AB1101" i="31" s="1"/>
  <c r="Y1102" i="31"/>
  <c r="AA1102" i="31" a="1"/>
  <c r="AA1102" i="31" s="1"/>
  <c r="AB1102" i="31" s="1"/>
  <c r="Y1103" i="31"/>
  <c r="AA1103" i="31" a="1"/>
  <c r="AA1103" i="31" s="1"/>
  <c r="AB1103" i="31" s="1"/>
  <c r="Y1104" i="31"/>
  <c r="AA1104" i="31" a="1"/>
  <c r="AA1104" i="31" s="1"/>
  <c r="AB1104" i="31" s="1"/>
  <c r="Y1105" i="31"/>
  <c r="AA1105" i="31" a="1"/>
  <c r="AA1105" i="31" s="1"/>
  <c r="AB1105" i="31" s="1"/>
  <c r="Y1106" i="31"/>
  <c r="AA1106" i="31" a="1"/>
  <c r="AA1106" i="31" s="1"/>
  <c r="AB1106" i="31" s="1"/>
  <c r="Y1107" i="31"/>
  <c r="AA1107" i="31" a="1"/>
  <c r="AA1107" i="31" s="1"/>
  <c r="AB1107" i="31" s="1"/>
  <c r="Y1108" i="31"/>
  <c r="AA1108" i="31" a="1"/>
  <c r="AA1108" i="31" s="1"/>
  <c r="AB1108" i="31" s="1"/>
  <c r="Y1109" i="31"/>
  <c r="AA1109" i="31" a="1"/>
  <c r="AA1109" i="31" s="1"/>
  <c r="AB1109" i="31" s="1"/>
  <c r="Y1110" i="31"/>
  <c r="AA1110" i="31" a="1"/>
  <c r="AA1110" i="31" s="1"/>
  <c r="AB1110" i="31" s="1"/>
  <c r="Y1111" i="31"/>
  <c r="AA1111" i="31" a="1"/>
  <c r="AA1111" i="31" s="1"/>
  <c r="AB1111" i="31" s="1"/>
  <c r="Y1112" i="31"/>
  <c r="AA1112" i="31" a="1"/>
  <c r="AA1112" i="31" s="1"/>
  <c r="AB1112" i="31" s="1"/>
  <c r="Y1113" i="31"/>
  <c r="AA1113" i="31" a="1"/>
  <c r="AA1113" i="31" s="1"/>
  <c r="AB1113" i="31" s="1"/>
  <c r="Y1114" i="31"/>
  <c r="AA1114" i="31" a="1"/>
  <c r="AA1114" i="31" s="1"/>
  <c r="AB1114" i="31" s="1"/>
  <c r="Y1115" i="31"/>
  <c r="AA1115" i="31" a="1"/>
  <c r="AA1115" i="31" s="1"/>
  <c r="AB1115" i="31" s="1"/>
  <c r="Y1116" i="31"/>
  <c r="AA1116" i="31" a="1"/>
  <c r="AA1116" i="31" s="1"/>
  <c r="AB1116" i="31" s="1"/>
  <c r="Y1117" i="31"/>
  <c r="AA1117" i="31" a="1"/>
  <c r="AA1117" i="31" s="1"/>
  <c r="AB1117" i="31" s="1"/>
  <c r="Y1118" i="31"/>
  <c r="AA1118" i="31" a="1"/>
  <c r="AA1118" i="31" s="1"/>
  <c r="AB1118" i="31" s="1"/>
  <c r="Y1119" i="31"/>
  <c r="AA1119" i="31" a="1"/>
  <c r="AA1119" i="31" s="1"/>
  <c r="AB1119" i="31" s="1"/>
  <c r="Y1120" i="31"/>
  <c r="AA1120" i="31" a="1"/>
  <c r="AA1120" i="31" s="1"/>
  <c r="AB1120" i="31" s="1"/>
  <c r="Y1121" i="31"/>
  <c r="AA1121" i="31" a="1"/>
  <c r="AA1121" i="31" s="1"/>
  <c r="AB1121" i="31" s="1"/>
  <c r="Y1122" i="31"/>
  <c r="AA1122" i="31" a="1"/>
  <c r="AA1122" i="31" s="1"/>
  <c r="AB1122" i="31" s="1"/>
  <c r="Y1123" i="31"/>
  <c r="AA1123" i="31" a="1"/>
  <c r="AA1123" i="31" s="1"/>
  <c r="AB1123" i="31" s="1"/>
  <c r="Y1124" i="31"/>
  <c r="AA1124" i="31" a="1"/>
  <c r="AA1124" i="31" s="1"/>
  <c r="AB1124" i="31" s="1"/>
  <c r="Y1125" i="31"/>
  <c r="AA1125" i="31" a="1"/>
  <c r="AA1125" i="31" s="1"/>
  <c r="AB1125" i="31" s="1"/>
  <c r="Y1126" i="31"/>
  <c r="AA1126" i="31" a="1"/>
  <c r="AA1126" i="31" s="1"/>
  <c r="AB1126" i="31" s="1"/>
  <c r="Y1127" i="31"/>
  <c r="AA1127" i="31" a="1"/>
  <c r="AA1127" i="31" s="1"/>
  <c r="AB1127" i="31" s="1"/>
  <c r="Y1128" i="31"/>
  <c r="AA1128" i="31" a="1"/>
  <c r="AA1128" i="31" s="1"/>
  <c r="AB1128" i="31" s="1"/>
  <c r="Y1129" i="31"/>
  <c r="AA1129" i="31" a="1"/>
  <c r="AA1129" i="31" s="1"/>
  <c r="AB1129" i="31" s="1"/>
  <c r="Y1130" i="31"/>
  <c r="AA1130" i="31" a="1"/>
  <c r="AA1130" i="31" s="1"/>
  <c r="AB1130" i="31" s="1"/>
  <c r="Y1131" i="31"/>
  <c r="AA1131" i="31" a="1"/>
  <c r="AA1131" i="31" s="1"/>
  <c r="AB1131" i="31" s="1"/>
  <c r="Y1132" i="31"/>
  <c r="AA1132" i="31" a="1"/>
  <c r="AA1132" i="31" s="1"/>
  <c r="AB1132" i="31" s="1"/>
  <c r="Y1133" i="31"/>
  <c r="AA1133" i="31" a="1"/>
  <c r="AA1133" i="31" s="1"/>
  <c r="AB1133" i="31" s="1"/>
  <c r="Y1134" i="31"/>
  <c r="AA1134" i="31" a="1"/>
  <c r="AA1134" i="31" s="1"/>
  <c r="AB1134" i="31" s="1"/>
  <c r="Y1135" i="31"/>
  <c r="AA1135" i="31" a="1"/>
  <c r="AA1135" i="31" s="1"/>
  <c r="AB1135" i="31" s="1"/>
  <c r="Y1136" i="31"/>
  <c r="AA1136" i="31" a="1"/>
  <c r="AA1136" i="31" s="1"/>
  <c r="AB1136" i="31" s="1"/>
  <c r="Y1137" i="31"/>
  <c r="AA1137" i="31" a="1"/>
  <c r="AA1137" i="31" s="1"/>
  <c r="AB1137" i="31" s="1"/>
  <c r="Y1138" i="31"/>
  <c r="AA1138" i="31" a="1"/>
  <c r="AA1138" i="31" s="1"/>
  <c r="AB1138" i="31" s="1"/>
  <c r="Y1139" i="31"/>
  <c r="AA1139" i="31" a="1"/>
  <c r="AA1139" i="31" s="1"/>
  <c r="AB1139" i="31" s="1"/>
  <c r="Y1140" i="31"/>
  <c r="AA1140" i="31" a="1"/>
  <c r="AA1140" i="31" s="1"/>
  <c r="AB1140" i="31" s="1"/>
  <c r="Y1141" i="31"/>
  <c r="AA1141" i="31" a="1"/>
  <c r="AA1141" i="31" s="1"/>
  <c r="AB1141" i="31" s="1"/>
  <c r="Y1142" i="31"/>
  <c r="AA1142" i="31" a="1"/>
  <c r="AA1142" i="31" s="1"/>
  <c r="AB1142" i="31" s="1"/>
  <c r="Y1143" i="31"/>
  <c r="AA1143" i="31" a="1"/>
  <c r="AA1143" i="31" s="1"/>
  <c r="AB1143" i="31" s="1"/>
  <c r="Y1144" i="31"/>
  <c r="AA1144" i="31" a="1"/>
  <c r="AA1144" i="31" s="1"/>
  <c r="AB1144" i="31" s="1"/>
  <c r="Y1145" i="31"/>
  <c r="AA1145" i="31" a="1"/>
  <c r="AA1145" i="31" s="1"/>
  <c r="AB1145" i="31" s="1"/>
  <c r="Y1146" i="31"/>
  <c r="AA1146" i="31" a="1"/>
  <c r="AA1146" i="31" s="1"/>
  <c r="AB1146" i="31" s="1"/>
  <c r="Y1147" i="31"/>
  <c r="AA1147" i="31" a="1"/>
  <c r="AA1147" i="31" s="1"/>
  <c r="AB1147" i="31" s="1"/>
  <c r="Y1148" i="31"/>
  <c r="AA1148" i="31" a="1"/>
  <c r="AA1148" i="31" s="1"/>
  <c r="AB1148" i="31" s="1"/>
  <c r="Y1149" i="31"/>
  <c r="AA1149" i="31" a="1"/>
  <c r="AA1149" i="31" s="1"/>
  <c r="AB1149" i="31" s="1"/>
  <c r="Y1150" i="31"/>
  <c r="AA1150" i="31" a="1"/>
  <c r="AA1150" i="31" s="1"/>
  <c r="AB1150" i="31" s="1"/>
  <c r="Y1151" i="31"/>
  <c r="AA1151" i="31" a="1"/>
  <c r="AA1151" i="31" s="1"/>
  <c r="AB1151" i="31" s="1"/>
  <c r="Y1152" i="31"/>
  <c r="AA1152" i="31" a="1"/>
  <c r="AA1152" i="31" s="1"/>
  <c r="AB1152" i="31" s="1"/>
  <c r="Y1153" i="31"/>
  <c r="AA1153" i="31" a="1"/>
  <c r="AA1153" i="31" s="1"/>
  <c r="AB1153" i="31" s="1"/>
  <c r="Y1154" i="31"/>
  <c r="AA1154" i="31" a="1"/>
  <c r="AA1154" i="31" s="1"/>
  <c r="AB1154" i="31" s="1"/>
  <c r="Y1155" i="31"/>
  <c r="AA1155" i="31" a="1"/>
  <c r="AA1155" i="31" s="1"/>
  <c r="AB1155" i="31" s="1"/>
  <c r="Y1156" i="31"/>
  <c r="AA1156" i="31" a="1"/>
  <c r="AA1156" i="31" s="1"/>
  <c r="AB1156" i="31" s="1"/>
  <c r="Y1157" i="31"/>
  <c r="AA1157" i="31" a="1"/>
  <c r="AA1157" i="31" s="1"/>
  <c r="AB1157" i="31" s="1"/>
  <c r="Y1158" i="31"/>
  <c r="AA1158" i="31" a="1"/>
  <c r="AA1158" i="31" s="1"/>
  <c r="AB1158" i="31" s="1"/>
  <c r="Y1159" i="31"/>
  <c r="AA1159" i="31" a="1"/>
  <c r="AA1159" i="31" s="1"/>
  <c r="AB1159" i="31" s="1"/>
  <c r="Y1160" i="31"/>
  <c r="AA1160" i="31" a="1"/>
  <c r="AA1160" i="31" s="1"/>
  <c r="AB1160" i="31" s="1"/>
  <c r="Y1161" i="31"/>
  <c r="AA1161" i="31" a="1"/>
  <c r="AA1161" i="31" s="1"/>
  <c r="AB1161" i="31" s="1"/>
  <c r="Y1162" i="31"/>
  <c r="AA1162" i="31" a="1"/>
  <c r="AA1162" i="31" s="1"/>
  <c r="AB1162" i="31" s="1"/>
  <c r="Y1163" i="31"/>
  <c r="AA1163" i="31" a="1"/>
  <c r="AA1163" i="31" s="1"/>
  <c r="AB1163" i="31" s="1"/>
  <c r="Y1164" i="31"/>
  <c r="AA1164" i="31" a="1"/>
  <c r="AA1164" i="31" s="1"/>
  <c r="AB1164" i="31" s="1"/>
  <c r="Y1165" i="31"/>
  <c r="AA1165" i="31" a="1"/>
  <c r="AA1165" i="31" s="1"/>
  <c r="AB1165" i="31" s="1"/>
  <c r="Y1166" i="31"/>
  <c r="AA1166" i="31" a="1"/>
  <c r="AA1166" i="31" s="1"/>
  <c r="AB1166" i="31" s="1"/>
  <c r="Y1167" i="31"/>
  <c r="AA1167" i="31" a="1"/>
  <c r="AA1167" i="31" s="1"/>
  <c r="AB1167" i="31" s="1"/>
  <c r="Y1168" i="31"/>
  <c r="AA1168" i="31" a="1"/>
  <c r="AA1168" i="31" s="1"/>
  <c r="AB1168" i="31" s="1"/>
  <c r="Y1169" i="31"/>
  <c r="AA1169" i="31" a="1"/>
  <c r="AA1169" i="31" s="1"/>
  <c r="AB1169" i="31" s="1"/>
  <c r="Y1170" i="31"/>
  <c r="AA1170" i="31" a="1"/>
  <c r="AA1170" i="31" s="1"/>
  <c r="AB1170" i="31" s="1"/>
  <c r="Y1171" i="31"/>
  <c r="AA1171" i="31" a="1"/>
  <c r="AA1171" i="31" s="1"/>
  <c r="AB1171" i="31" s="1"/>
  <c r="Y1172" i="31"/>
  <c r="AA1172" i="31" a="1"/>
  <c r="AA1172" i="31" s="1"/>
  <c r="AB1172" i="31" s="1"/>
  <c r="Y1173" i="31"/>
  <c r="AA1173" i="31" a="1"/>
  <c r="AA1173" i="31" s="1"/>
  <c r="AB1173" i="31" s="1"/>
  <c r="Y1174" i="31"/>
  <c r="AA1174" i="31" a="1"/>
  <c r="AA1174" i="31" s="1"/>
  <c r="AB1174" i="31" s="1"/>
  <c r="Y1175" i="31"/>
  <c r="AA1175" i="31" a="1"/>
  <c r="AA1175" i="31" s="1"/>
  <c r="AB1175" i="31" s="1"/>
  <c r="Y1176" i="31"/>
  <c r="AA1176" i="31" a="1"/>
  <c r="AA1176" i="31" s="1"/>
  <c r="AB1176" i="31" s="1"/>
  <c r="Y1177" i="31"/>
  <c r="AA1177" i="31" a="1"/>
  <c r="AA1177" i="31" s="1"/>
  <c r="AB1177" i="31" s="1"/>
  <c r="Y1178" i="31"/>
  <c r="AA1178" i="31" a="1"/>
  <c r="AA1178" i="31" s="1"/>
  <c r="AB1178" i="31" s="1"/>
  <c r="Y1179" i="31"/>
  <c r="AA1179" i="31" a="1"/>
  <c r="AA1179" i="31" s="1"/>
  <c r="AB1179" i="31" s="1"/>
  <c r="Y1180" i="31"/>
  <c r="AA1180" i="31" a="1"/>
  <c r="AA1180" i="31" s="1"/>
  <c r="AB1180" i="31" s="1"/>
  <c r="Y1181" i="31"/>
  <c r="AA1181" i="31" a="1"/>
  <c r="AA1181" i="31" s="1"/>
  <c r="AB1181" i="31" s="1"/>
  <c r="Y1182" i="31"/>
  <c r="AA1182" i="31" a="1"/>
  <c r="AA1182" i="31" s="1"/>
  <c r="AB1182" i="31" s="1"/>
  <c r="Y1183" i="31"/>
  <c r="AA1183" i="31" a="1"/>
  <c r="AA1183" i="31" s="1"/>
  <c r="AB1183" i="31" s="1"/>
  <c r="Y1184" i="31"/>
  <c r="AA1184" i="31" a="1"/>
  <c r="AA1184" i="31" s="1"/>
  <c r="AB1184" i="31" s="1"/>
  <c r="Y1185" i="31"/>
  <c r="AA1185" i="31" a="1"/>
  <c r="AA1185" i="31" s="1"/>
  <c r="AB1185" i="31" s="1"/>
  <c r="Y1186" i="31"/>
  <c r="AA1186" i="31" a="1"/>
  <c r="AA1186" i="31" s="1"/>
  <c r="AB1186" i="31" s="1"/>
  <c r="Y1187" i="31"/>
  <c r="AA1187" i="31" a="1"/>
  <c r="AA1187" i="31" s="1"/>
  <c r="AB1187" i="31" s="1"/>
  <c r="Y1188" i="31"/>
  <c r="AA1188" i="31" a="1"/>
  <c r="AA1188" i="31" s="1"/>
  <c r="AB1188" i="31" s="1"/>
  <c r="Y1189" i="31"/>
  <c r="AA1189" i="31" a="1"/>
  <c r="AA1189" i="31" s="1"/>
  <c r="AB1189" i="31" s="1"/>
  <c r="Y1190" i="31"/>
  <c r="AA1190" i="31" a="1"/>
  <c r="AA1190" i="31" s="1"/>
  <c r="AB1190" i="31" s="1"/>
  <c r="Y1191" i="31"/>
  <c r="AA1191" i="31" a="1"/>
  <c r="AA1191" i="31" s="1"/>
  <c r="AB1191" i="31" s="1"/>
  <c r="Y1192" i="31"/>
  <c r="AA1192" i="31" a="1"/>
  <c r="AA1192" i="31" s="1"/>
  <c r="AB1192" i="31" s="1"/>
  <c r="Y1193" i="31"/>
  <c r="AA1193" i="31" a="1"/>
  <c r="AA1193" i="31" s="1"/>
  <c r="AB1193" i="31" s="1"/>
  <c r="Y1194" i="31"/>
  <c r="AA1194" i="31" a="1"/>
  <c r="AA1194" i="31" s="1"/>
  <c r="AB1194" i="31" s="1"/>
  <c r="Y1195" i="31"/>
  <c r="AA1195" i="31" a="1"/>
  <c r="AA1195" i="31" s="1"/>
  <c r="AB1195" i="31" s="1"/>
  <c r="Y1196" i="31"/>
  <c r="AA1196" i="31" a="1"/>
  <c r="AA1196" i="31" s="1"/>
  <c r="AB1196" i="31" s="1"/>
  <c r="Y1197" i="31"/>
  <c r="AA1197" i="31" a="1"/>
  <c r="AA1197" i="31" s="1"/>
  <c r="AB1197" i="31" s="1"/>
  <c r="Y1198" i="31"/>
  <c r="AA1198" i="31" a="1"/>
  <c r="AA1198" i="31" s="1"/>
  <c r="AB1198" i="31" s="1"/>
  <c r="Y1199" i="31"/>
  <c r="AA1199" i="31" a="1"/>
  <c r="AA1199" i="31" s="1"/>
  <c r="AB1199" i="31" s="1"/>
  <c r="Y1200" i="31"/>
  <c r="AA1200" i="31" a="1"/>
  <c r="AA1200" i="31" s="1"/>
  <c r="AB1200" i="31" s="1"/>
  <c r="Y1201" i="31"/>
  <c r="AA1201" i="31" a="1"/>
  <c r="AA1201" i="31" s="1"/>
  <c r="AB1201" i="31" s="1"/>
  <c r="Y1202" i="31"/>
  <c r="AA1202" i="31" a="1"/>
  <c r="AA1202" i="31" s="1"/>
  <c r="AB1202" i="31" s="1"/>
  <c r="Y1203" i="31"/>
  <c r="AA1203" i="31" a="1"/>
  <c r="AA1203" i="31" s="1"/>
  <c r="AB1203" i="31" s="1"/>
  <c r="Y1204" i="31"/>
  <c r="AA1204" i="31" a="1"/>
  <c r="AA1204" i="31" s="1"/>
  <c r="AB1204" i="31" s="1"/>
  <c r="Y1205" i="31"/>
  <c r="AA1205" i="31" a="1"/>
  <c r="AA1205" i="31" s="1"/>
  <c r="AB1205" i="31" s="1"/>
  <c r="Y1206" i="31"/>
  <c r="AA1206" i="31" a="1"/>
  <c r="AA1206" i="31" s="1"/>
  <c r="AB1206" i="31" s="1"/>
  <c r="Y1207" i="31"/>
  <c r="AA1207" i="31" a="1"/>
  <c r="AA1207" i="31" s="1"/>
  <c r="AB1207" i="31" s="1"/>
  <c r="Y1208" i="31"/>
  <c r="AA1208" i="31" a="1"/>
  <c r="AA1208" i="31" s="1"/>
  <c r="AB1208" i="31" s="1"/>
  <c r="Y1209" i="31"/>
  <c r="AA1209" i="31" a="1"/>
  <c r="AA1209" i="31" s="1"/>
  <c r="AB1209" i="31" s="1"/>
  <c r="Y1210" i="31"/>
  <c r="AA1210" i="31" a="1"/>
  <c r="AA1210" i="31" s="1"/>
  <c r="AB1210" i="31" s="1"/>
  <c r="Y1211" i="31"/>
  <c r="AA1211" i="31" a="1"/>
  <c r="AA1211" i="31" s="1"/>
  <c r="AB1211" i="31" s="1"/>
  <c r="Y1212" i="31"/>
  <c r="AA1212" i="31" a="1"/>
  <c r="AA1212" i="31" s="1"/>
  <c r="AB1212" i="31" s="1"/>
  <c r="Y1213" i="31"/>
  <c r="AA1213" i="31" a="1"/>
  <c r="AA1213" i="31" s="1"/>
  <c r="AB1213" i="31" s="1"/>
  <c r="Y1214" i="31"/>
  <c r="AA1214" i="31" a="1"/>
  <c r="AA1214" i="31" s="1"/>
  <c r="AB1214" i="31" s="1"/>
  <c r="Y1215" i="31"/>
  <c r="AA1215" i="31" a="1"/>
  <c r="AA1215" i="31" s="1"/>
  <c r="AB1215" i="31" s="1"/>
  <c r="Y1216" i="31"/>
  <c r="AA1216" i="31" a="1"/>
  <c r="AA1216" i="31" s="1"/>
  <c r="AB1216" i="31" s="1"/>
  <c r="Y1217" i="31"/>
  <c r="AA1217" i="31" a="1"/>
  <c r="AA1217" i="31" s="1"/>
  <c r="AB1217" i="31" s="1"/>
  <c r="Y1218" i="31"/>
  <c r="AA1218" i="31" a="1"/>
  <c r="AA1218" i="31" s="1"/>
  <c r="AB1218" i="31" s="1"/>
  <c r="Y1219" i="31"/>
  <c r="AA1219" i="31" a="1"/>
  <c r="AA1219" i="31" s="1"/>
  <c r="AB1219" i="31" s="1"/>
  <c r="Y1220" i="31"/>
  <c r="AA1220" i="31" a="1"/>
  <c r="AA1220" i="31" s="1"/>
  <c r="AB1220" i="31" s="1"/>
  <c r="Y1221" i="31"/>
  <c r="AA1221" i="31" a="1"/>
  <c r="AA1221" i="31" s="1"/>
  <c r="AB1221" i="31" s="1"/>
  <c r="Y1222" i="31"/>
  <c r="AA1222" i="31" a="1"/>
  <c r="AA1222" i="31" s="1"/>
  <c r="AB1222" i="31" s="1"/>
  <c r="Y1223" i="31"/>
  <c r="AA1223" i="31" a="1"/>
  <c r="AA1223" i="31" s="1"/>
  <c r="AB1223" i="31" s="1"/>
  <c r="Y1224" i="31"/>
  <c r="AA1224" i="31" a="1"/>
  <c r="AA1224" i="31" s="1"/>
  <c r="AB1224" i="31" s="1"/>
  <c r="Y1225" i="31"/>
  <c r="AA1225" i="31" a="1"/>
  <c r="AA1225" i="31" s="1"/>
  <c r="AB1225" i="31" s="1"/>
  <c r="Y1226" i="31"/>
  <c r="AA1226" i="31" a="1"/>
  <c r="AA1226" i="31" s="1"/>
  <c r="AB1226" i="31" s="1"/>
  <c r="Y1227" i="31"/>
  <c r="AA1227" i="31" a="1"/>
  <c r="AA1227" i="31" s="1"/>
  <c r="AB1227" i="31" s="1"/>
  <c r="Y1228" i="31"/>
  <c r="AA1228" i="31" a="1"/>
  <c r="AA1228" i="31" s="1"/>
  <c r="AB1228" i="31" s="1"/>
  <c r="Y1229" i="31"/>
  <c r="AA1229" i="31" a="1"/>
  <c r="AA1229" i="31" s="1"/>
  <c r="AB1229" i="31" s="1"/>
  <c r="Y1230" i="31"/>
  <c r="AA1230" i="31" a="1"/>
  <c r="AA1230" i="31" s="1"/>
  <c r="AB1230" i="31" s="1"/>
  <c r="Y1231" i="31"/>
  <c r="AA1231" i="31" a="1"/>
  <c r="AA1231" i="31" s="1"/>
  <c r="AB1231" i="31" s="1"/>
  <c r="Y1232" i="31"/>
  <c r="AA1232" i="31" a="1"/>
  <c r="AA1232" i="31" s="1"/>
  <c r="AB1232" i="31" s="1"/>
  <c r="Y1233" i="31"/>
  <c r="AA1233" i="31" a="1"/>
  <c r="AA1233" i="31" s="1"/>
  <c r="AB1233" i="31" s="1"/>
  <c r="Y1234" i="31"/>
  <c r="AA1234" i="31" a="1"/>
  <c r="AA1234" i="31" s="1"/>
  <c r="AB1234" i="31" s="1"/>
  <c r="Y1235" i="31"/>
  <c r="AA1235" i="31" a="1"/>
  <c r="AA1235" i="31" s="1"/>
  <c r="AB1235" i="31" s="1"/>
  <c r="Y1236" i="31"/>
  <c r="AA1236" i="31" a="1"/>
  <c r="AA1236" i="31" s="1"/>
  <c r="AB1236" i="31" s="1"/>
  <c r="Y1237" i="31"/>
  <c r="AA1237" i="31" a="1"/>
  <c r="AA1237" i="31" s="1"/>
  <c r="AB1237" i="31" s="1"/>
  <c r="Y1238" i="31"/>
  <c r="AA1238" i="31" a="1"/>
  <c r="AA1238" i="31" s="1"/>
  <c r="AB1238" i="31" s="1"/>
  <c r="Y1239" i="31"/>
  <c r="AA1239" i="31" a="1"/>
  <c r="AA1239" i="31" s="1"/>
  <c r="AB1239" i="31" s="1"/>
  <c r="Y1240" i="31"/>
  <c r="AA1240" i="31" a="1"/>
  <c r="AA1240" i="31" s="1"/>
  <c r="AB1240" i="31" s="1"/>
  <c r="Y1241" i="31"/>
  <c r="AA1241" i="31" a="1"/>
  <c r="AA1241" i="31" s="1"/>
  <c r="AB1241" i="31" s="1"/>
  <c r="Y1242" i="31"/>
  <c r="AA1242" i="31" a="1"/>
  <c r="AA1242" i="31" s="1"/>
  <c r="AB1242" i="31" s="1"/>
  <c r="Y1243" i="31"/>
  <c r="AA1243" i="31" a="1"/>
  <c r="AA1243" i="31" s="1"/>
  <c r="AB1243" i="31" s="1"/>
  <c r="Y1244" i="31"/>
  <c r="AA1244" i="31" a="1"/>
  <c r="AA1244" i="31" s="1"/>
  <c r="AB1244" i="31" s="1"/>
  <c r="Y1245" i="31"/>
  <c r="AA1245" i="31" a="1"/>
  <c r="AA1245" i="31" s="1"/>
  <c r="AB1245" i="31" s="1"/>
  <c r="Y1246" i="31"/>
  <c r="AA1246" i="31" a="1"/>
  <c r="AA1246" i="31" s="1"/>
  <c r="AB1246" i="31" s="1"/>
  <c r="Y1247" i="31"/>
  <c r="AA1247" i="31" a="1"/>
  <c r="AA1247" i="31" s="1"/>
  <c r="AB1247" i="31" s="1"/>
  <c r="Y1248" i="31"/>
  <c r="AA1248" i="31" a="1"/>
  <c r="AA1248" i="31" s="1"/>
  <c r="AB1248" i="31" s="1"/>
  <c r="Y1249" i="31"/>
  <c r="AA1249" i="31" a="1"/>
  <c r="AA1249" i="31" s="1"/>
  <c r="AB1249" i="31" s="1"/>
  <c r="Y1250" i="31"/>
  <c r="AA1250" i="31" a="1"/>
  <c r="AA1250" i="31" s="1"/>
  <c r="AB1250" i="31" s="1"/>
  <c r="Y1251" i="31"/>
  <c r="AA1251" i="31" a="1"/>
  <c r="AA1251" i="31" s="1"/>
  <c r="AB1251" i="31" s="1"/>
  <c r="Y1252" i="31"/>
  <c r="AA1252" i="31" a="1"/>
  <c r="AA1252" i="31" s="1"/>
  <c r="AB1252" i="31" s="1"/>
  <c r="Y1253" i="31"/>
  <c r="AA1253" i="31" a="1"/>
  <c r="AA1253" i="31" s="1"/>
  <c r="AB1253" i="31" s="1"/>
  <c r="Y1254" i="31"/>
  <c r="AA1254" i="31" a="1"/>
  <c r="AA1254" i="31" s="1"/>
  <c r="AB1254" i="31" s="1"/>
  <c r="Y1255" i="31"/>
  <c r="AA1255" i="31" a="1"/>
  <c r="AA1255" i="31" s="1"/>
  <c r="AB1255" i="31" s="1"/>
  <c r="Y1256" i="31"/>
  <c r="AA1256" i="31" a="1"/>
  <c r="AA1256" i="31" s="1"/>
  <c r="AB1256" i="31" s="1"/>
  <c r="Y1257" i="31"/>
  <c r="AA1257" i="31" a="1"/>
  <c r="AA1257" i="31" s="1"/>
  <c r="AB1257" i="31" s="1"/>
  <c r="Y1258" i="31"/>
  <c r="AA1258" i="31" a="1"/>
  <c r="AA1258" i="31" s="1"/>
  <c r="AB1258" i="31" s="1"/>
  <c r="Y1259" i="31"/>
  <c r="AA1259" i="31" a="1"/>
  <c r="AA1259" i="31" s="1"/>
  <c r="AB1259" i="31" s="1"/>
  <c r="Y1260" i="31"/>
  <c r="AA1260" i="31" a="1"/>
  <c r="AA1260" i="31" s="1"/>
  <c r="AB1260" i="31" s="1"/>
  <c r="Y1261" i="31"/>
  <c r="AA1261" i="31" a="1"/>
  <c r="AA1261" i="31" s="1"/>
  <c r="AB1261" i="31" s="1"/>
  <c r="Y1262" i="31"/>
  <c r="AA1262" i="31" a="1"/>
  <c r="AA1262" i="31" s="1"/>
  <c r="AB1262" i="31" s="1"/>
  <c r="Y1263" i="31"/>
  <c r="AA1263" i="31" a="1"/>
  <c r="AA1263" i="31" s="1"/>
  <c r="AB1263" i="31" s="1"/>
  <c r="Y1264" i="31"/>
  <c r="AA1264" i="31" a="1"/>
  <c r="AA1264" i="31" s="1"/>
  <c r="AB1264" i="31" s="1"/>
  <c r="Y1265" i="31"/>
  <c r="AA1265" i="31" a="1"/>
  <c r="AA1265" i="31" s="1"/>
  <c r="AB1265" i="31" s="1"/>
  <c r="Y1266" i="31"/>
  <c r="AA1266" i="31" a="1"/>
  <c r="AA1266" i="31" s="1"/>
  <c r="AB1266" i="31" s="1"/>
  <c r="Y1267" i="31"/>
  <c r="AA1267" i="31" a="1"/>
  <c r="AA1267" i="31" s="1"/>
  <c r="AB1267" i="31" s="1"/>
  <c r="Y1268" i="31"/>
  <c r="AA1268" i="31" a="1"/>
  <c r="AA1268" i="31" s="1"/>
  <c r="AB1268" i="31" s="1"/>
  <c r="Y1269" i="31"/>
  <c r="AA1269" i="31" a="1"/>
  <c r="AA1269" i="31" s="1"/>
  <c r="AB1269" i="31" s="1"/>
  <c r="Y1270" i="31"/>
  <c r="AA1270" i="31" a="1"/>
  <c r="AA1270" i="31" s="1"/>
  <c r="AB1270" i="31" s="1"/>
  <c r="Y1271" i="31"/>
  <c r="AA1271" i="31" a="1"/>
  <c r="AA1271" i="31" s="1"/>
  <c r="AB1271" i="31" s="1"/>
  <c r="Y1272" i="31"/>
  <c r="AA1272" i="31" a="1"/>
  <c r="AA1272" i="31" s="1"/>
  <c r="AB1272" i="31" s="1"/>
  <c r="Y1273" i="31"/>
  <c r="AA1273" i="31" a="1"/>
  <c r="AA1273" i="31" s="1"/>
  <c r="AB1273" i="31" s="1"/>
  <c r="Y1274" i="31"/>
  <c r="AA1274" i="31" a="1"/>
  <c r="AA1274" i="31" s="1"/>
  <c r="AB1274" i="31" s="1"/>
  <c r="Y1275" i="31"/>
  <c r="AA1275" i="31" a="1"/>
  <c r="AA1275" i="31" s="1"/>
  <c r="AB1275" i="31" s="1"/>
  <c r="Y1276" i="31"/>
  <c r="AA1276" i="31" a="1"/>
  <c r="AA1276" i="31" s="1"/>
  <c r="AB1276" i="31" s="1"/>
  <c r="Y1277" i="31"/>
  <c r="AA1277" i="31" a="1"/>
  <c r="AA1277" i="31" s="1"/>
  <c r="AB1277" i="31" s="1"/>
  <c r="Y1278" i="31"/>
  <c r="AA1278" i="31" a="1"/>
  <c r="AA1278" i="31" s="1"/>
  <c r="AB1278" i="31" s="1"/>
  <c r="Y1279" i="31"/>
  <c r="AA1279" i="31" a="1"/>
  <c r="AA1279" i="31" s="1"/>
  <c r="AB1279" i="31" s="1"/>
  <c r="Y1280" i="31"/>
  <c r="AA1280" i="31" a="1"/>
  <c r="AA1280" i="31" s="1"/>
  <c r="AB1280" i="31" s="1"/>
  <c r="Y1281" i="31"/>
  <c r="AA1281" i="31" a="1"/>
  <c r="AA1281" i="31" s="1"/>
  <c r="AB1281" i="31" s="1"/>
  <c r="Y1282" i="31"/>
  <c r="AA1282" i="31" a="1"/>
  <c r="AA1282" i="31" s="1"/>
  <c r="AB1282" i="31" s="1"/>
  <c r="Y1283" i="31"/>
  <c r="AA1283" i="31" a="1"/>
  <c r="AA1283" i="31" s="1"/>
  <c r="AB1283" i="31" s="1"/>
  <c r="Y1284" i="31"/>
  <c r="AA1284" i="31" a="1"/>
  <c r="AA1284" i="31" s="1"/>
  <c r="AB1284" i="31" s="1"/>
  <c r="Y1285" i="31"/>
  <c r="AA1285" i="31" a="1"/>
  <c r="AA1285" i="31" s="1"/>
  <c r="AB1285" i="31" s="1"/>
  <c r="Y1286" i="31"/>
  <c r="AA1286" i="31" a="1"/>
  <c r="AA1286" i="31" s="1"/>
  <c r="AB1286" i="31" s="1"/>
  <c r="Y1287" i="31"/>
  <c r="AA1287" i="31" a="1"/>
  <c r="AA1287" i="31" s="1"/>
  <c r="AB1287" i="31" s="1"/>
  <c r="Y1288" i="31"/>
  <c r="AA1288" i="31" a="1"/>
  <c r="AA1288" i="31" s="1"/>
  <c r="AB1288" i="31" s="1"/>
  <c r="Y1289" i="31"/>
  <c r="AA1289" i="31" a="1"/>
  <c r="AA1289" i="31" s="1"/>
  <c r="AB1289" i="31" s="1"/>
  <c r="Y1290" i="31"/>
  <c r="AA1290" i="31" a="1"/>
  <c r="AA1290" i="31" s="1"/>
  <c r="AB1290" i="31" s="1"/>
  <c r="Y1291" i="31"/>
  <c r="AA1291" i="31" a="1"/>
  <c r="AA1291" i="31" s="1"/>
  <c r="AB1291" i="31" s="1"/>
  <c r="Y1292" i="31"/>
  <c r="AA1292" i="31" a="1"/>
  <c r="AA1292" i="31" s="1"/>
  <c r="AB1292" i="31" s="1"/>
  <c r="Y1293" i="31"/>
  <c r="AA1293" i="31" a="1"/>
  <c r="AA1293" i="31" s="1"/>
  <c r="AB1293" i="31" s="1"/>
  <c r="Y1294" i="31"/>
  <c r="AA1294" i="31" a="1"/>
  <c r="AA1294" i="31" s="1"/>
  <c r="AB1294" i="31" s="1"/>
  <c r="Y1295" i="31"/>
  <c r="AA1295" i="31" a="1"/>
  <c r="AA1295" i="31" s="1"/>
  <c r="AB1295" i="31" s="1"/>
  <c r="Y1296" i="31"/>
  <c r="AA1296" i="31" a="1"/>
  <c r="AA1296" i="31" s="1"/>
  <c r="AB1296" i="31" s="1"/>
  <c r="Y1297" i="31"/>
  <c r="AA1297" i="31" a="1"/>
  <c r="AA1297" i="31" s="1"/>
  <c r="AB1297" i="31" s="1"/>
  <c r="Y1298" i="31"/>
  <c r="AA1298" i="31" a="1"/>
  <c r="AA1298" i="31" s="1"/>
  <c r="AB1298" i="31" s="1"/>
  <c r="Y1299" i="31"/>
  <c r="AA1299" i="31" a="1"/>
  <c r="AA1299" i="31" s="1"/>
  <c r="AB1299" i="31" s="1"/>
  <c r="Y1300" i="31"/>
  <c r="AA1300" i="31" a="1"/>
  <c r="AA1300" i="31" s="1"/>
  <c r="AB1300" i="31" s="1"/>
  <c r="Y1301" i="31"/>
  <c r="AA1301" i="31" a="1"/>
  <c r="AA1301" i="31" s="1"/>
  <c r="AB1301" i="31" s="1"/>
  <c r="Y1302" i="31"/>
  <c r="AA1302" i="31" a="1"/>
  <c r="AA1302" i="31" s="1"/>
  <c r="AB1302" i="31" s="1"/>
  <c r="Y1303" i="31"/>
  <c r="AA1303" i="31" a="1"/>
  <c r="AA1303" i="31" s="1"/>
  <c r="AB1303" i="31" s="1"/>
  <c r="Y1304" i="31"/>
  <c r="AA1304" i="31" a="1"/>
  <c r="AA1304" i="31" s="1"/>
  <c r="AB1304" i="31" s="1"/>
  <c r="Y1305" i="31"/>
  <c r="AA1305" i="31" a="1"/>
  <c r="AA1305" i="31" s="1"/>
  <c r="AB1305" i="31" s="1"/>
  <c r="Y1306" i="31"/>
  <c r="AA1306" i="31" a="1"/>
  <c r="AA1306" i="31" s="1"/>
  <c r="AB1306" i="31" s="1"/>
  <c r="Y1307" i="31"/>
  <c r="AA1307" i="31" a="1"/>
  <c r="AA1307" i="31" s="1"/>
  <c r="AB1307" i="31" s="1"/>
  <c r="Y1308" i="31"/>
  <c r="AA1308" i="31" a="1"/>
  <c r="AA1308" i="31" s="1"/>
  <c r="AB1308" i="31" s="1"/>
  <c r="Y1309" i="31"/>
  <c r="AA1309" i="31" a="1"/>
  <c r="AA1309" i="31" s="1"/>
  <c r="AB1309" i="31" s="1"/>
  <c r="Y1310" i="31"/>
  <c r="AA1310" i="31" a="1"/>
  <c r="AA1310" i="31" s="1"/>
  <c r="AB1310" i="31" s="1"/>
  <c r="Y1311" i="31"/>
  <c r="AA1311" i="31" a="1"/>
  <c r="AA1311" i="31" s="1"/>
  <c r="AB1311" i="31" s="1"/>
  <c r="Y1312" i="31"/>
  <c r="AA1312" i="31" a="1"/>
  <c r="AA1312" i="31" s="1"/>
  <c r="AB1312" i="31" s="1"/>
  <c r="Y1313" i="31"/>
  <c r="AA1313" i="31" a="1"/>
  <c r="AA1313" i="31" s="1"/>
  <c r="AB1313" i="31" s="1"/>
  <c r="Y1314" i="31"/>
  <c r="AA1314" i="31" a="1"/>
  <c r="AA1314" i="31" s="1"/>
  <c r="AB1314" i="31" s="1"/>
  <c r="Y1315" i="31"/>
  <c r="AA1315" i="31" a="1"/>
  <c r="AA1315" i="31" s="1"/>
  <c r="AB1315" i="31" s="1"/>
  <c r="Y1316" i="31"/>
  <c r="AA1316" i="31" a="1"/>
  <c r="AA1316" i="31" s="1"/>
  <c r="AB1316" i="31" s="1"/>
  <c r="Y1317" i="31"/>
  <c r="AA1317" i="31" a="1"/>
  <c r="AA1317" i="31" s="1"/>
  <c r="AB1317" i="31" s="1"/>
  <c r="Y1318" i="31"/>
  <c r="AA1318" i="31" a="1"/>
  <c r="AA1318" i="31" s="1"/>
  <c r="AB1318" i="31" s="1"/>
  <c r="Y1319" i="31"/>
  <c r="AA1319" i="31" a="1"/>
  <c r="AA1319" i="31" s="1"/>
  <c r="AB1319" i="31" s="1"/>
  <c r="Y1320" i="31"/>
  <c r="AA1320" i="31" a="1"/>
  <c r="AA1320" i="31" s="1"/>
  <c r="AB1320" i="31" s="1"/>
  <c r="Y1321" i="31"/>
  <c r="AA1321" i="31" a="1"/>
  <c r="AA1321" i="31" s="1"/>
  <c r="AB1321" i="31" s="1"/>
  <c r="Y1322" i="31"/>
  <c r="AA1322" i="31" a="1"/>
  <c r="AA1322" i="31" s="1"/>
  <c r="AB1322" i="31" s="1"/>
  <c r="Y1323" i="31"/>
  <c r="AA1323" i="31" a="1"/>
  <c r="AA1323" i="31" s="1"/>
  <c r="AB1323" i="31" s="1"/>
  <c r="Y1324" i="31"/>
  <c r="AA1324" i="31" a="1"/>
  <c r="AA1324" i="31" s="1"/>
  <c r="AB1324" i="31" s="1"/>
  <c r="Y1325" i="31"/>
  <c r="AA1325" i="31" a="1"/>
  <c r="AA1325" i="31" s="1"/>
  <c r="AB1325" i="31" s="1"/>
  <c r="Y1326" i="31"/>
  <c r="AA1326" i="31" a="1"/>
  <c r="AA1326" i="31" s="1"/>
  <c r="AB1326" i="31" s="1"/>
  <c r="Y1327" i="31"/>
  <c r="AA1327" i="31" a="1"/>
  <c r="AA1327" i="31" s="1"/>
  <c r="AB1327" i="31" s="1"/>
  <c r="Y1328" i="31"/>
  <c r="AA1328" i="31" a="1"/>
  <c r="AA1328" i="31" s="1"/>
  <c r="AB1328" i="31" s="1"/>
  <c r="Y1329" i="31"/>
  <c r="AA1329" i="31" a="1"/>
  <c r="AA1329" i="31" s="1"/>
  <c r="AB1329" i="31" s="1"/>
  <c r="Y1330" i="31"/>
  <c r="AA1330" i="31" a="1"/>
  <c r="AA1330" i="31" s="1"/>
  <c r="AB1330" i="31" s="1"/>
  <c r="Y1331" i="31"/>
  <c r="AA1331" i="31" a="1"/>
  <c r="AA1331" i="31" s="1"/>
  <c r="AB1331" i="31" s="1"/>
  <c r="Y1332" i="31"/>
  <c r="AA1332" i="31" a="1"/>
  <c r="AA1332" i="31" s="1"/>
  <c r="AB1332" i="31" s="1"/>
  <c r="Y1333" i="31"/>
  <c r="AA1333" i="31" a="1"/>
  <c r="AA1333" i="31" s="1"/>
  <c r="AB1333" i="31" s="1"/>
  <c r="Y1334" i="31"/>
  <c r="AA1334" i="31" a="1"/>
  <c r="AA1334" i="31" s="1"/>
  <c r="AB1334" i="31" s="1"/>
  <c r="Y1335" i="31"/>
  <c r="AA1335" i="31" a="1"/>
  <c r="AA1335" i="31" s="1"/>
  <c r="AB1335" i="31" s="1"/>
  <c r="Y1336" i="31"/>
  <c r="AA1336" i="31" a="1"/>
  <c r="AA1336" i="31" s="1"/>
  <c r="AB1336" i="31" s="1"/>
  <c r="Y1337" i="31"/>
  <c r="AA1337" i="31" a="1"/>
  <c r="AA1337" i="31" s="1"/>
  <c r="AB1337" i="31" s="1"/>
  <c r="Y1338" i="31"/>
  <c r="AA1338" i="31" a="1"/>
  <c r="AA1338" i="31" s="1"/>
  <c r="AB1338" i="31" s="1"/>
  <c r="Y1339" i="31"/>
  <c r="AA1339" i="31" a="1"/>
  <c r="AA1339" i="31" s="1"/>
  <c r="AB1339" i="31" s="1"/>
  <c r="Y1340" i="31"/>
  <c r="AA1340" i="31" a="1"/>
  <c r="AA1340" i="31" s="1"/>
  <c r="AB1340" i="31" s="1"/>
  <c r="Y1341" i="31"/>
  <c r="AA1341" i="31" a="1"/>
  <c r="AA1341" i="31" s="1"/>
  <c r="AB1341" i="31" s="1"/>
  <c r="Y1342" i="31"/>
  <c r="AA1342" i="31" a="1"/>
  <c r="AA1342" i="31" s="1"/>
  <c r="AB1342" i="31" s="1"/>
  <c r="Y1343" i="31"/>
  <c r="AA1343" i="31" a="1"/>
  <c r="AA1343" i="31" s="1"/>
  <c r="AB1343" i="31" s="1"/>
  <c r="Y1344" i="31"/>
  <c r="AA1344" i="31" a="1"/>
  <c r="AA1344" i="31" s="1"/>
  <c r="AB1344" i="31" s="1"/>
  <c r="Y1345" i="31"/>
  <c r="AA1345" i="31" a="1"/>
  <c r="AA1345" i="31" s="1"/>
  <c r="AB1345" i="31" s="1"/>
  <c r="Y1346" i="31"/>
  <c r="AA1346" i="31" a="1"/>
  <c r="AA1346" i="31" s="1"/>
  <c r="AB1346" i="31" s="1"/>
  <c r="Y1347" i="31"/>
  <c r="AA1347" i="31" a="1"/>
  <c r="AA1347" i="31" s="1"/>
  <c r="AB1347" i="31" s="1"/>
  <c r="Y1348" i="31"/>
  <c r="AA1348" i="31" a="1"/>
  <c r="AA1348" i="31" s="1"/>
  <c r="AB1348" i="31" s="1"/>
  <c r="Y1349" i="31"/>
  <c r="AA1349" i="31" a="1"/>
  <c r="AA1349" i="31" s="1"/>
  <c r="AB1349" i="31" s="1"/>
  <c r="Y1350" i="31"/>
  <c r="AA1350" i="31" a="1"/>
  <c r="AA1350" i="31" s="1"/>
  <c r="AB1350" i="31" s="1"/>
  <c r="Y1351" i="31"/>
  <c r="AA1351" i="31" a="1"/>
  <c r="AA1351" i="31" s="1"/>
  <c r="AB1351" i="31" s="1"/>
  <c r="Y1352" i="31"/>
  <c r="AA1352" i="31" a="1"/>
  <c r="AA1352" i="31" s="1"/>
  <c r="AB1352" i="31" s="1"/>
  <c r="Y1353" i="31"/>
  <c r="AA1353" i="31" a="1"/>
  <c r="AA1353" i="31" s="1"/>
  <c r="AB1353" i="31" s="1"/>
  <c r="Y1354" i="31"/>
  <c r="AA1354" i="31" a="1"/>
  <c r="AA1354" i="31" s="1"/>
  <c r="AB1354" i="31" s="1"/>
  <c r="Y1355" i="31"/>
  <c r="AA1355" i="31" a="1"/>
  <c r="AA1355" i="31" s="1"/>
  <c r="AB1355" i="31" s="1"/>
  <c r="Y1356" i="31"/>
  <c r="AA1356" i="31" a="1"/>
  <c r="AA1356" i="31" s="1"/>
  <c r="AB1356" i="31" s="1"/>
  <c r="Y1357" i="31"/>
  <c r="AA1357" i="31" a="1"/>
  <c r="AA1357" i="31" s="1"/>
  <c r="AB1357" i="31" s="1"/>
  <c r="Y1358" i="31"/>
  <c r="AA1358" i="31" a="1"/>
  <c r="AA1358" i="31" s="1"/>
  <c r="AB1358" i="31" s="1"/>
  <c r="Y1359" i="31"/>
  <c r="AA1359" i="31" a="1"/>
  <c r="AA1359" i="31" s="1"/>
  <c r="AB1359" i="31" s="1"/>
  <c r="Y1360" i="31"/>
  <c r="AA1360" i="31" a="1"/>
  <c r="AA1360" i="31" s="1"/>
  <c r="AB1360" i="31" s="1"/>
  <c r="Y1361" i="31"/>
  <c r="AA1361" i="31" a="1"/>
  <c r="AA1361" i="31" s="1"/>
  <c r="AB1361" i="31" s="1"/>
  <c r="Y1362" i="31"/>
  <c r="AA1362" i="31" a="1"/>
  <c r="AA1362" i="31" s="1"/>
  <c r="AB1362" i="31" s="1"/>
  <c r="Y1363" i="31"/>
  <c r="AA1363" i="31" a="1"/>
  <c r="AA1363" i="31" s="1"/>
  <c r="AB1363" i="31" s="1"/>
  <c r="Y1364" i="31"/>
  <c r="AA1364" i="31" a="1"/>
  <c r="AA1364" i="31" s="1"/>
  <c r="AB1364" i="31" s="1"/>
  <c r="Y1365" i="31"/>
  <c r="AA1365" i="31" a="1"/>
  <c r="AA1365" i="31" s="1"/>
  <c r="AB1365" i="31" s="1"/>
  <c r="Y1366" i="31"/>
  <c r="AA1366" i="31" a="1"/>
  <c r="AA1366" i="31" s="1"/>
  <c r="AB1366" i="31" s="1"/>
  <c r="Y1367" i="31"/>
  <c r="AA1367" i="31" a="1"/>
  <c r="AA1367" i="31" s="1"/>
  <c r="AB1367" i="31" s="1"/>
  <c r="Y1368" i="31"/>
  <c r="AA1368" i="31" a="1"/>
  <c r="AA1368" i="31" s="1"/>
  <c r="AB1368" i="31" s="1"/>
  <c r="Y1369" i="31"/>
  <c r="AA1369" i="31" a="1"/>
  <c r="AA1369" i="31" s="1"/>
  <c r="AB1369" i="31" s="1"/>
  <c r="Y1370" i="31"/>
  <c r="AA1370" i="31" a="1"/>
  <c r="AA1370" i="31" s="1"/>
  <c r="AB1370" i="31" s="1"/>
  <c r="Y1371" i="31"/>
  <c r="AA1371" i="31" a="1"/>
  <c r="AA1371" i="31" s="1"/>
  <c r="AB1371" i="31" s="1"/>
  <c r="Y1372" i="31"/>
  <c r="AA1372" i="31" a="1"/>
  <c r="AA1372" i="31" s="1"/>
  <c r="AB1372" i="31" s="1"/>
  <c r="Y1373" i="31"/>
  <c r="AA1373" i="31" a="1"/>
  <c r="AA1373" i="31" s="1"/>
  <c r="AB1373" i="31" s="1"/>
  <c r="Y1374" i="31"/>
  <c r="AA1374" i="31" a="1"/>
  <c r="AA1374" i="31" s="1"/>
  <c r="AB1374" i="31" s="1"/>
  <c r="Y1375" i="31"/>
  <c r="AA1375" i="31" a="1"/>
  <c r="AA1375" i="31" s="1"/>
  <c r="AB1375" i="31" s="1"/>
  <c r="Y1376" i="31"/>
  <c r="AA1376" i="31" a="1"/>
  <c r="AA1376" i="31" s="1"/>
  <c r="AB1376" i="31" s="1"/>
  <c r="Y1377" i="31"/>
  <c r="AA1377" i="31" a="1"/>
  <c r="AA1377" i="31" s="1"/>
  <c r="AB1377" i="31" s="1"/>
  <c r="Y1378" i="31"/>
  <c r="AA1378" i="31" a="1"/>
  <c r="AA1378" i="31" s="1"/>
  <c r="AB1378" i="31" s="1"/>
  <c r="Y1379" i="31"/>
  <c r="AA1379" i="31" a="1"/>
  <c r="AA1379" i="31" s="1"/>
  <c r="AB1379" i="31" s="1"/>
  <c r="Y1380" i="31"/>
  <c r="AA1380" i="31" a="1"/>
  <c r="AA1380" i="31" s="1"/>
  <c r="AB1380" i="31" s="1"/>
  <c r="Y1381" i="31"/>
  <c r="AA1381" i="31" a="1"/>
  <c r="AA1381" i="31" s="1"/>
  <c r="AB1381" i="31" s="1"/>
  <c r="Y1382" i="31"/>
  <c r="AA1382" i="31" a="1"/>
  <c r="AA1382" i="31" s="1"/>
  <c r="AB1382" i="31" s="1"/>
  <c r="Y1383" i="31"/>
  <c r="AA1383" i="31" a="1"/>
  <c r="AA1383" i="31" s="1"/>
  <c r="AB1383" i="31" s="1"/>
  <c r="Y1384" i="31"/>
  <c r="AA1384" i="31" a="1"/>
  <c r="AA1384" i="31" s="1"/>
  <c r="AB1384" i="31" s="1"/>
  <c r="Y1385" i="31"/>
  <c r="AA1385" i="31" a="1"/>
  <c r="AA1385" i="31" s="1"/>
  <c r="AB1385" i="31" s="1"/>
  <c r="Y1386" i="31"/>
  <c r="AA1386" i="31" a="1"/>
  <c r="AA1386" i="31" s="1"/>
  <c r="AB1386" i="31" s="1"/>
  <c r="Y1387" i="31"/>
  <c r="AA1387" i="31" a="1"/>
  <c r="AA1387" i="31" s="1"/>
  <c r="AB1387" i="31" s="1"/>
  <c r="Y1388" i="31"/>
  <c r="AA1388" i="31" a="1"/>
  <c r="AA1388" i="31" s="1"/>
  <c r="AB1388" i="31" s="1"/>
  <c r="Y1389" i="31"/>
  <c r="AA1389" i="31" a="1"/>
  <c r="AA1389" i="31" s="1"/>
  <c r="AB1389" i="31" s="1"/>
  <c r="Y1390" i="31"/>
  <c r="AA1390" i="31" a="1"/>
  <c r="AA1390" i="31" s="1"/>
  <c r="AB1390" i="31" s="1"/>
  <c r="Y1391" i="31"/>
  <c r="AA1391" i="31" a="1"/>
  <c r="AA1391" i="31" s="1"/>
  <c r="AB1391" i="31" s="1"/>
  <c r="Y1392" i="31"/>
  <c r="AA1392" i="31" a="1"/>
  <c r="AA1392" i="31" s="1"/>
  <c r="AB1392" i="31" s="1"/>
  <c r="Y1393" i="31"/>
  <c r="AA1393" i="31" a="1"/>
  <c r="AA1393" i="31" s="1"/>
  <c r="AB1393" i="31" s="1"/>
  <c r="Y1394" i="31"/>
  <c r="AA1394" i="31" a="1"/>
  <c r="AA1394" i="31" s="1"/>
  <c r="AB1394" i="31" s="1"/>
  <c r="Y1395" i="31"/>
  <c r="AA1395" i="31" a="1"/>
  <c r="AA1395" i="31" s="1"/>
  <c r="AB1395" i="31" s="1"/>
  <c r="Y1396" i="31"/>
  <c r="AA1396" i="31" a="1"/>
  <c r="AA1396" i="31" s="1"/>
  <c r="AB1396" i="31" s="1"/>
  <c r="Y1397" i="31"/>
  <c r="AA1397" i="31" a="1"/>
  <c r="AA1397" i="31" s="1"/>
  <c r="AB1397" i="31" s="1"/>
  <c r="Y1398" i="31"/>
  <c r="AA1398" i="31" a="1"/>
  <c r="AA1398" i="31" s="1"/>
  <c r="AB1398" i="31" s="1"/>
  <c r="Y1399" i="31"/>
  <c r="AA1399" i="31" a="1"/>
  <c r="AA1399" i="31" s="1"/>
  <c r="AB1399" i="31" s="1"/>
  <c r="Y1400" i="31"/>
  <c r="AA1400" i="31" a="1"/>
  <c r="AA1400" i="31" s="1"/>
  <c r="AB1400" i="31" s="1"/>
  <c r="Y1401" i="31"/>
  <c r="AA1401" i="31" a="1"/>
  <c r="AA1401" i="31" s="1"/>
  <c r="AB1401" i="31" s="1"/>
  <c r="Y1402" i="31"/>
  <c r="AA1402" i="31" a="1"/>
  <c r="AA1402" i="31" s="1"/>
  <c r="AB1402" i="31" s="1"/>
  <c r="Y1403" i="31"/>
  <c r="AA1403" i="31" a="1"/>
  <c r="AA1403" i="31" s="1"/>
  <c r="AB1403" i="31" s="1"/>
  <c r="Y1404" i="31"/>
  <c r="AA1404" i="31" a="1"/>
  <c r="AA1404" i="31" s="1"/>
  <c r="AB1404" i="31" s="1"/>
  <c r="Y1405" i="31"/>
  <c r="AA1405" i="31" a="1"/>
  <c r="AA1405" i="31" s="1"/>
  <c r="AB1405" i="31" s="1"/>
  <c r="Y1406" i="31"/>
  <c r="AA1406" i="31" a="1"/>
  <c r="AA1406" i="31" s="1"/>
  <c r="AB1406" i="31" s="1"/>
  <c r="Y1407" i="31"/>
  <c r="AA1407" i="31" a="1"/>
  <c r="AA1407" i="31" s="1"/>
  <c r="AB1407" i="31" s="1"/>
  <c r="Y1408" i="31"/>
  <c r="AA1408" i="31" a="1"/>
  <c r="AA1408" i="31" s="1"/>
  <c r="AB1408" i="31" s="1"/>
  <c r="Y1409" i="31"/>
  <c r="AA1409" i="31" a="1"/>
  <c r="AA1409" i="31" s="1"/>
  <c r="AB1409" i="31" s="1"/>
  <c r="Y1410" i="31"/>
  <c r="AA1410" i="31" a="1"/>
  <c r="AA1410" i="31" s="1"/>
  <c r="AB1410" i="31" s="1"/>
  <c r="Y1411" i="31"/>
  <c r="AA1411" i="31" a="1"/>
  <c r="AA1411" i="31" s="1"/>
  <c r="AB1411" i="31" s="1"/>
  <c r="Y1412" i="31"/>
  <c r="AA1412" i="31" a="1"/>
  <c r="AA1412" i="31" s="1"/>
  <c r="AB1412" i="31" s="1"/>
  <c r="Y1413" i="31"/>
  <c r="AA1413" i="31" a="1"/>
  <c r="AA1413" i="31" s="1"/>
  <c r="AB1413" i="31" s="1"/>
  <c r="Y1414" i="31"/>
  <c r="AA1414" i="31" a="1"/>
  <c r="AA1414" i="31" s="1"/>
  <c r="AB1414" i="31" s="1"/>
  <c r="Y1415" i="31"/>
  <c r="AA1415" i="31" a="1"/>
  <c r="AA1415" i="31" s="1"/>
  <c r="AB1415" i="31" s="1"/>
  <c r="Y1416" i="31"/>
  <c r="AA1416" i="31" a="1"/>
  <c r="AA1416" i="31" s="1"/>
  <c r="AB1416" i="31" s="1"/>
  <c r="Y1417" i="31"/>
  <c r="AA1417" i="31" a="1"/>
  <c r="AA1417" i="31" s="1"/>
  <c r="AB1417" i="31" s="1"/>
  <c r="Y1418" i="31"/>
  <c r="AA1418" i="31" a="1"/>
  <c r="AA1418" i="31" s="1"/>
  <c r="AB1418" i="31" s="1"/>
  <c r="Y1419" i="31"/>
  <c r="AA1419" i="31" a="1"/>
  <c r="AA1419" i="31" s="1"/>
  <c r="AB1419" i="31" s="1"/>
  <c r="Y1420" i="31"/>
  <c r="AA1420" i="31" a="1"/>
  <c r="AA1420" i="31" s="1"/>
  <c r="AB1420" i="31" s="1"/>
  <c r="Y1421" i="31"/>
  <c r="AA1421" i="31" a="1"/>
  <c r="AA1421" i="31" s="1"/>
  <c r="AB1421" i="31" s="1"/>
  <c r="Y1422" i="31"/>
  <c r="AA1422" i="31" a="1"/>
  <c r="AA1422" i="31" s="1"/>
  <c r="AB1422" i="31" s="1"/>
  <c r="Y1423" i="31"/>
  <c r="AA1423" i="31" a="1"/>
  <c r="AA1423" i="31" s="1"/>
  <c r="AB1423" i="31" s="1"/>
  <c r="Y1424" i="31"/>
  <c r="AA1424" i="31" a="1"/>
  <c r="AA1424" i="31" s="1"/>
  <c r="AB1424" i="31" s="1"/>
  <c r="Y1425" i="31"/>
  <c r="AA1425" i="31" a="1"/>
  <c r="AA1425" i="31" s="1"/>
  <c r="AB1425" i="31" s="1"/>
  <c r="Y1426" i="31"/>
  <c r="AA1426" i="31" a="1"/>
  <c r="AA1426" i="31" s="1"/>
  <c r="AB1426" i="31" s="1"/>
  <c r="Y1427" i="31"/>
  <c r="AA1427" i="31" a="1"/>
  <c r="AA1427" i="31" s="1"/>
  <c r="AB1427" i="31" s="1"/>
  <c r="Y1428" i="31"/>
  <c r="AA1428" i="31" a="1"/>
  <c r="AA1428" i="31" s="1"/>
  <c r="AB1428" i="31" s="1"/>
  <c r="Y1429" i="31"/>
  <c r="AA1429" i="31" a="1"/>
  <c r="AA1429" i="31" s="1"/>
  <c r="AB1429" i="31" s="1"/>
  <c r="Y1430" i="31"/>
  <c r="AA1430" i="31" a="1"/>
  <c r="AA1430" i="31" s="1"/>
  <c r="AB1430" i="31" s="1"/>
  <c r="Y1431" i="31"/>
  <c r="AA1431" i="31" a="1"/>
  <c r="AA1431" i="31" s="1"/>
  <c r="AB1431" i="31" s="1"/>
  <c r="Y1432" i="31"/>
  <c r="AA1432" i="31" a="1"/>
  <c r="AA1432" i="31" s="1"/>
  <c r="AB1432" i="31" s="1"/>
  <c r="Y1433" i="31"/>
  <c r="AA1433" i="31" a="1"/>
  <c r="AA1433" i="31" s="1"/>
  <c r="AB1433" i="31" s="1"/>
  <c r="Y1434" i="31"/>
  <c r="AA1434" i="31" a="1"/>
  <c r="AA1434" i="31" s="1"/>
  <c r="AB1434" i="31" s="1"/>
  <c r="Y1435" i="31"/>
  <c r="AA1435" i="31" a="1"/>
  <c r="AA1435" i="31" s="1"/>
  <c r="AB1435" i="31" s="1"/>
  <c r="Y1436" i="31"/>
  <c r="AA1436" i="31" a="1"/>
  <c r="AA1436" i="31" s="1"/>
  <c r="AB1436" i="31" s="1"/>
  <c r="Y1437" i="31"/>
  <c r="AA1437" i="31" a="1"/>
  <c r="AA1437" i="31" s="1"/>
  <c r="AB1437" i="31" s="1"/>
  <c r="Y1438" i="31"/>
  <c r="AA1438" i="31" a="1"/>
  <c r="AA1438" i="31" s="1"/>
  <c r="AB1438" i="31" s="1"/>
  <c r="Y1439" i="31"/>
  <c r="AA1439" i="31" a="1"/>
  <c r="AA1439" i="31" s="1"/>
  <c r="AB1439" i="31" s="1"/>
  <c r="Y1440" i="31"/>
  <c r="AA1440" i="31" a="1"/>
  <c r="AA1440" i="31" s="1"/>
  <c r="AB1440" i="31" s="1"/>
  <c r="Y1441" i="31"/>
  <c r="AA1441" i="31" a="1"/>
  <c r="AA1441" i="31" s="1"/>
  <c r="AB1441" i="31" s="1"/>
  <c r="Y1442" i="31"/>
  <c r="AA1442" i="31" a="1"/>
  <c r="AA1442" i="31" s="1"/>
  <c r="AB1442" i="31" s="1"/>
  <c r="Y1443" i="31"/>
  <c r="AA1443" i="31" a="1"/>
  <c r="AA1443" i="31" s="1"/>
  <c r="AB1443" i="31" s="1"/>
  <c r="Y1444" i="31"/>
  <c r="AA1444" i="31" a="1"/>
  <c r="AA1444" i="31" s="1"/>
  <c r="AB1444" i="31" s="1"/>
  <c r="Y1445" i="31"/>
  <c r="AA1445" i="31" a="1"/>
  <c r="AA1445" i="31" s="1"/>
  <c r="AB1445" i="31" s="1"/>
  <c r="Y1446" i="31"/>
  <c r="AA1446" i="31" a="1"/>
  <c r="AA1446" i="31" s="1"/>
  <c r="AB1446" i="31" s="1"/>
  <c r="Y1447" i="31"/>
  <c r="AA1447" i="31" a="1"/>
  <c r="AA1447" i="31" s="1"/>
  <c r="AB1447" i="31" s="1"/>
  <c r="Y1448" i="31"/>
  <c r="AA1448" i="31" a="1"/>
  <c r="AA1448" i="31" s="1"/>
  <c r="AB1448" i="31" s="1"/>
  <c r="Y1449" i="31"/>
  <c r="AA1449" i="31" a="1"/>
  <c r="AA1449" i="31" s="1"/>
  <c r="AB1449" i="31" s="1"/>
  <c r="Y1450" i="31"/>
  <c r="AA1450" i="31" a="1"/>
  <c r="AA1450" i="31" s="1"/>
  <c r="AB1450" i="31" s="1"/>
  <c r="Y1451" i="31"/>
  <c r="AA1451" i="31" a="1"/>
  <c r="AA1451" i="31" s="1"/>
  <c r="AB1451" i="31" s="1"/>
  <c r="Y1452" i="31"/>
  <c r="AA1452" i="31" a="1"/>
  <c r="AA1452" i="31" s="1"/>
  <c r="AB1452" i="31" s="1"/>
  <c r="Y1453" i="31"/>
  <c r="AA1453" i="31" a="1"/>
  <c r="AA1453" i="31" s="1"/>
  <c r="AB1453" i="31" s="1"/>
  <c r="Y1454" i="31"/>
  <c r="AA1454" i="31" a="1"/>
  <c r="AA1454" i="31" s="1"/>
  <c r="AB1454" i="31" s="1"/>
  <c r="Y1455" i="31"/>
  <c r="AA1455" i="31" a="1"/>
  <c r="AA1455" i="31" s="1"/>
  <c r="AB1455" i="31" s="1"/>
  <c r="Y1456" i="31"/>
  <c r="AA1456" i="31" a="1"/>
  <c r="AA1456" i="31" s="1"/>
  <c r="AB1456" i="31" s="1"/>
  <c r="Y1457" i="31"/>
  <c r="AA1457" i="31" a="1"/>
  <c r="AA1457" i="31" s="1"/>
  <c r="AB1457" i="31" s="1"/>
  <c r="Y1458" i="31"/>
  <c r="AA1458" i="31" a="1"/>
  <c r="AA1458" i="31" s="1"/>
  <c r="AB1458" i="31" s="1"/>
  <c r="Y1459" i="31"/>
  <c r="AA1459" i="31" a="1"/>
  <c r="AA1459" i="31" s="1"/>
  <c r="AB1459" i="31" s="1"/>
  <c r="Y1460" i="31"/>
  <c r="AA1460" i="31" a="1"/>
  <c r="AA1460" i="31" s="1"/>
  <c r="AB1460" i="31" s="1"/>
  <c r="Y1461" i="31"/>
  <c r="AA1461" i="31" a="1"/>
  <c r="AA1461" i="31" s="1"/>
  <c r="AB1461" i="31" s="1"/>
  <c r="Y1462" i="31"/>
  <c r="AA1462" i="31" a="1"/>
  <c r="AA1462" i="31" s="1"/>
  <c r="AB1462" i="31" s="1"/>
  <c r="Y1463" i="31"/>
  <c r="AA1463" i="31" a="1"/>
  <c r="AA1463" i="31" s="1"/>
  <c r="AB1463" i="31" s="1"/>
  <c r="Y1464" i="31"/>
  <c r="AA1464" i="31" a="1"/>
  <c r="AA1464" i="31" s="1"/>
  <c r="AB1464" i="31" s="1"/>
  <c r="Y1465" i="31"/>
  <c r="AA1465" i="31" a="1"/>
  <c r="AA1465" i="31" s="1"/>
  <c r="AB1465" i="31" s="1"/>
  <c r="Y1466" i="31"/>
  <c r="AA1466" i="31" a="1"/>
  <c r="AA1466" i="31" s="1"/>
  <c r="AB1466" i="31" s="1"/>
  <c r="Y1467" i="31"/>
  <c r="AA1467" i="31" a="1"/>
  <c r="AA1467" i="31" s="1"/>
  <c r="AB1467" i="31" s="1"/>
  <c r="Y1468" i="31"/>
  <c r="AA1468" i="31" a="1"/>
  <c r="AA1468" i="31" s="1"/>
  <c r="AB1468" i="31" s="1"/>
  <c r="Y1469" i="31"/>
  <c r="AA1469" i="31" a="1"/>
  <c r="AA1469" i="31" s="1"/>
  <c r="AB1469" i="31" s="1"/>
  <c r="Y1470" i="31"/>
  <c r="AA1470" i="31" a="1"/>
  <c r="AA1470" i="31" s="1"/>
  <c r="AB1470" i="31" s="1"/>
  <c r="Y1471" i="31"/>
  <c r="AA1471" i="31" a="1"/>
  <c r="AA1471" i="31" s="1"/>
  <c r="AB1471" i="31" s="1"/>
  <c r="Y1472" i="31"/>
  <c r="AA1472" i="31" a="1"/>
  <c r="AA1472" i="31" s="1"/>
  <c r="AB1472" i="31" s="1"/>
  <c r="Y1473" i="31"/>
  <c r="AA1473" i="31" a="1"/>
  <c r="AA1473" i="31" s="1"/>
  <c r="AB1473" i="31" s="1"/>
  <c r="Y1474" i="31"/>
  <c r="AA1474" i="31" a="1"/>
  <c r="AA1474" i="31" s="1"/>
  <c r="AB1474" i="31" s="1"/>
  <c r="Y1475" i="31"/>
  <c r="AA1475" i="31" a="1"/>
  <c r="AA1475" i="31" s="1"/>
  <c r="AB1475" i="31" s="1"/>
  <c r="Y1476" i="31"/>
  <c r="AA1476" i="31" a="1"/>
  <c r="AA1476" i="31" s="1"/>
  <c r="AB1476" i="31" s="1"/>
  <c r="Y1477" i="31"/>
  <c r="AA1477" i="31" a="1"/>
  <c r="AA1477" i="31" s="1"/>
  <c r="AB1477" i="31" s="1"/>
  <c r="Y1478" i="31"/>
  <c r="AA1478" i="31" a="1"/>
  <c r="AA1478" i="31" s="1"/>
  <c r="AB1478" i="31" s="1"/>
  <c r="Y1479" i="31"/>
  <c r="AA1479" i="31" a="1"/>
  <c r="AA1479" i="31" s="1"/>
  <c r="AB1479" i="31" s="1"/>
  <c r="Y1480" i="31"/>
  <c r="AA1480" i="31" a="1"/>
  <c r="AA1480" i="31" s="1"/>
  <c r="AB1480" i="31" s="1"/>
  <c r="Y1481" i="31"/>
  <c r="AA1481" i="31" a="1"/>
  <c r="AA1481" i="31" s="1"/>
  <c r="AB1481" i="31" s="1"/>
  <c r="Y1482" i="31"/>
  <c r="AA1482" i="31" a="1"/>
  <c r="AA1482" i="31" s="1"/>
  <c r="AB1482" i="31" s="1"/>
  <c r="Y1483" i="31"/>
  <c r="AA1483" i="31" a="1"/>
  <c r="AA1483" i="31" s="1"/>
  <c r="AB1483" i="31" s="1"/>
  <c r="Y1484" i="31"/>
  <c r="AA1484" i="31" a="1"/>
  <c r="AA1484" i="31" s="1"/>
  <c r="AB1484" i="31" s="1"/>
  <c r="Y1485" i="31"/>
  <c r="AA1485" i="31" a="1"/>
  <c r="AA1485" i="31" s="1"/>
  <c r="AB1485" i="31" s="1"/>
  <c r="Y1486" i="31"/>
  <c r="AA1486" i="31" a="1"/>
  <c r="AA1486" i="31" s="1"/>
  <c r="AB1486" i="31" s="1"/>
  <c r="Y1487" i="31"/>
  <c r="AA1487" i="31" a="1"/>
  <c r="AA1487" i="31" s="1"/>
  <c r="AB1487" i="31" s="1"/>
  <c r="Y1488" i="31"/>
  <c r="AA1488" i="31" a="1"/>
  <c r="AA1488" i="31" s="1"/>
  <c r="AB1488" i="31" s="1"/>
  <c r="Y1489" i="31"/>
  <c r="AA1489" i="31" a="1"/>
  <c r="AA1489" i="31" s="1"/>
  <c r="AB1489" i="31" s="1"/>
  <c r="Y1490" i="31"/>
  <c r="AA1490" i="31" a="1"/>
  <c r="AA1490" i="31" s="1"/>
  <c r="AB1490" i="31" s="1"/>
  <c r="Y1491" i="31"/>
  <c r="AA1491" i="31" a="1"/>
  <c r="AA1491" i="31" s="1"/>
  <c r="AB1491" i="31" s="1"/>
  <c r="Y1492" i="31"/>
  <c r="AA1492" i="31" a="1"/>
  <c r="AA1492" i="31" s="1"/>
  <c r="AB1492" i="31" s="1"/>
  <c r="Y1493" i="31"/>
  <c r="AA1493" i="31" a="1"/>
  <c r="AA1493" i="31" s="1"/>
  <c r="AB1493" i="31" s="1"/>
  <c r="Y1494" i="31"/>
  <c r="AA1494" i="31" a="1"/>
  <c r="AA1494" i="31" s="1"/>
  <c r="AB1494" i="31" s="1"/>
  <c r="Y1495" i="31"/>
  <c r="AA1495" i="31" a="1"/>
  <c r="AA1495" i="31" s="1"/>
  <c r="AB1495" i="31" s="1"/>
  <c r="Y1496" i="31"/>
  <c r="AA1496" i="31" a="1"/>
  <c r="AA1496" i="31" s="1"/>
  <c r="AB1496" i="31" s="1"/>
  <c r="Y1497" i="31"/>
  <c r="AA1497" i="31" a="1"/>
  <c r="AA1497" i="31" s="1"/>
  <c r="AB1497" i="31" s="1"/>
  <c r="Y1498" i="31"/>
  <c r="AA1498" i="31" a="1"/>
  <c r="AA1498" i="31" s="1"/>
  <c r="AB1498" i="31" s="1"/>
  <c r="Y1499" i="31"/>
  <c r="AA1499" i="31" a="1"/>
  <c r="AA1499" i="31" s="1"/>
  <c r="AB1499" i="31" s="1"/>
  <c r="Y1500" i="31"/>
  <c r="AA1500" i="31" a="1"/>
  <c r="AA1500" i="31" s="1"/>
  <c r="AB1500" i="31" s="1"/>
  <c r="Y1501" i="31"/>
  <c r="AA1501" i="31" a="1"/>
  <c r="AA1501" i="31" s="1"/>
  <c r="AB1501" i="31" s="1"/>
  <c r="Y1502" i="31"/>
  <c r="AA1502" i="31" a="1"/>
  <c r="AA1502" i="31" s="1"/>
  <c r="AB1502" i="31" s="1"/>
  <c r="Y1503" i="31"/>
  <c r="AA1503" i="31" a="1"/>
  <c r="AA1503" i="31" s="1"/>
  <c r="AB1503" i="31" s="1"/>
  <c r="Y1504" i="31"/>
  <c r="AA1504" i="31" a="1"/>
  <c r="AA1504" i="31" s="1"/>
  <c r="AB1504" i="31" s="1"/>
  <c r="Y1505" i="31"/>
  <c r="AA1505" i="31" a="1"/>
  <c r="AA1505" i="31" s="1"/>
  <c r="AB1505" i="31" s="1"/>
  <c r="Y1506" i="31"/>
  <c r="AA1506" i="31" a="1"/>
  <c r="AA1506" i="31" s="1"/>
  <c r="AB1506" i="31" s="1"/>
  <c r="Y1507" i="31"/>
  <c r="AA1507" i="31" a="1"/>
  <c r="AA1507" i="31" s="1"/>
  <c r="AB1507" i="31" s="1"/>
  <c r="Y1508" i="31"/>
  <c r="AA1508" i="31" a="1"/>
  <c r="AA1508" i="31" s="1"/>
  <c r="AB1508" i="31" s="1"/>
  <c r="Y1509" i="31"/>
  <c r="AA1509" i="31" a="1"/>
  <c r="AA1509" i="31" s="1"/>
  <c r="AB1509" i="31" s="1"/>
  <c r="Y1510" i="31"/>
  <c r="AA1510" i="31" a="1"/>
  <c r="AA1510" i="31" s="1"/>
  <c r="AB1510" i="31" s="1"/>
  <c r="Y1511" i="31"/>
  <c r="AA1511" i="31" a="1"/>
  <c r="AA1511" i="31" s="1"/>
  <c r="AB1511" i="31" s="1"/>
  <c r="Y1512" i="31"/>
  <c r="AA1512" i="31" a="1"/>
  <c r="AA1512" i="31" s="1"/>
  <c r="AB1512" i="31" s="1"/>
  <c r="Y1513" i="31"/>
  <c r="AA1513" i="31" a="1"/>
  <c r="AA1513" i="31" s="1"/>
  <c r="AB1513" i="31" s="1"/>
  <c r="Y1514" i="31"/>
  <c r="AA1514" i="31" a="1"/>
  <c r="AA1514" i="31" s="1"/>
  <c r="AB1514" i="31" s="1"/>
  <c r="Y1515" i="31"/>
  <c r="AA1515" i="31" a="1"/>
  <c r="AA1515" i="31" s="1"/>
  <c r="AB1515" i="31" s="1"/>
  <c r="Y1516" i="31"/>
  <c r="AA1516" i="31" a="1"/>
  <c r="AA1516" i="31" s="1"/>
  <c r="AB1516" i="31" s="1"/>
  <c r="Y1517" i="31"/>
  <c r="AA1517" i="31" a="1"/>
  <c r="AA1517" i="31" s="1"/>
  <c r="AB1517" i="31" s="1"/>
  <c r="Y1518" i="31"/>
  <c r="AA1518" i="31" a="1"/>
  <c r="AA1518" i="31" s="1"/>
  <c r="AB1518" i="31" s="1"/>
  <c r="Y1519" i="31"/>
  <c r="AA1519" i="31" a="1"/>
  <c r="AA1519" i="31" s="1"/>
  <c r="AB1519" i="31" s="1"/>
  <c r="Y1520" i="31"/>
  <c r="AA1520" i="31" a="1"/>
  <c r="AA1520" i="31" s="1"/>
  <c r="AB1520" i="31" s="1"/>
  <c r="Y1521" i="31"/>
  <c r="AA1521" i="31" a="1"/>
  <c r="AA1521" i="31" s="1"/>
  <c r="AB1521" i="31" s="1"/>
  <c r="Y1522" i="31"/>
  <c r="AA1522" i="31" a="1"/>
  <c r="AA1522" i="31" s="1"/>
  <c r="AB1522" i="31" s="1"/>
  <c r="Y1523" i="31"/>
  <c r="AA1523" i="31" a="1"/>
  <c r="AA1523" i="31" s="1"/>
  <c r="AB1523" i="31" s="1"/>
  <c r="Y1524" i="31"/>
  <c r="AA1524" i="31" a="1"/>
  <c r="AA1524" i="31" s="1"/>
  <c r="AB1524" i="31" s="1"/>
  <c r="Y1525" i="31"/>
  <c r="AA1525" i="31" a="1"/>
  <c r="AA1525" i="31" s="1"/>
  <c r="AB1525" i="31" s="1"/>
  <c r="Y1526" i="31"/>
  <c r="AA1526" i="31" a="1"/>
  <c r="AA1526" i="31" s="1"/>
  <c r="AB1526" i="31" s="1"/>
  <c r="Y1527" i="31"/>
  <c r="AA1527" i="31" a="1"/>
  <c r="AA1527" i="31" s="1"/>
  <c r="AB1527" i="31" s="1"/>
  <c r="Y1528" i="31"/>
  <c r="AA1528" i="31" a="1"/>
  <c r="AA1528" i="31" s="1"/>
  <c r="AB1528" i="31" s="1"/>
  <c r="Y1529" i="31"/>
  <c r="AA1529" i="31" a="1"/>
  <c r="AA1529" i="31" s="1"/>
  <c r="AB1529" i="31" s="1"/>
  <c r="Y1530" i="31"/>
  <c r="AA1530" i="31" a="1"/>
  <c r="AA1530" i="31" s="1"/>
  <c r="AB1530" i="31" s="1"/>
  <c r="Y1531" i="31"/>
  <c r="AA1531" i="31" a="1"/>
  <c r="AA1531" i="31" s="1"/>
  <c r="AB1531" i="31" s="1"/>
  <c r="Y1532" i="31"/>
  <c r="AA1532" i="31" a="1"/>
  <c r="AA1532" i="31" s="1"/>
  <c r="AB1532" i="31" s="1"/>
  <c r="Y1533" i="31"/>
  <c r="AA1533" i="31" a="1"/>
  <c r="AA1533" i="31" s="1"/>
  <c r="AB1533" i="31" s="1"/>
  <c r="Y1534" i="31"/>
  <c r="AA1534" i="31" a="1"/>
  <c r="AA1534" i="31" s="1"/>
  <c r="AB1534" i="31" s="1"/>
  <c r="Y1535" i="31"/>
  <c r="AA1535" i="31" a="1"/>
  <c r="AA1535" i="31" s="1"/>
  <c r="AB1535" i="31" s="1"/>
  <c r="Y1536" i="31"/>
  <c r="AA1536" i="31" a="1"/>
  <c r="AA1536" i="31" s="1"/>
  <c r="AB1536" i="31" s="1"/>
  <c r="Y1537" i="31"/>
  <c r="AA1537" i="31" a="1"/>
  <c r="AA1537" i="31" s="1"/>
  <c r="AB1537" i="31" s="1"/>
  <c r="Y1538" i="31"/>
  <c r="AA1538" i="31" a="1"/>
  <c r="AA1538" i="31" s="1"/>
  <c r="AB1538" i="31" s="1"/>
  <c r="Y1539" i="31"/>
  <c r="AA1539" i="31" a="1"/>
  <c r="AA1539" i="31" s="1"/>
  <c r="AB1539" i="31" s="1"/>
  <c r="Y1540" i="31"/>
  <c r="AA1540" i="31" a="1"/>
  <c r="AA1540" i="31" s="1"/>
  <c r="AB1540" i="31" s="1"/>
  <c r="Y1541" i="31"/>
  <c r="AA1541" i="31" a="1"/>
  <c r="AA1541" i="31" s="1"/>
  <c r="AB1541" i="31" s="1"/>
  <c r="Y1542" i="31"/>
  <c r="AA1542" i="31" a="1"/>
  <c r="AA1542" i="31" s="1"/>
  <c r="AB1542" i="31" s="1"/>
  <c r="Y1543" i="31"/>
  <c r="AA1543" i="31" a="1"/>
  <c r="AA1543" i="31" s="1"/>
  <c r="AB1543" i="31" s="1"/>
  <c r="Y1544" i="31"/>
  <c r="AA1544" i="31" a="1"/>
  <c r="AA1544" i="31" s="1"/>
  <c r="AB1544" i="31" s="1"/>
  <c r="Y1545" i="31"/>
  <c r="AA1545" i="31" a="1"/>
  <c r="AA1545" i="31" s="1"/>
  <c r="AB1545" i="31" s="1"/>
  <c r="Y1546" i="31"/>
  <c r="AA1546" i="31" a="1"/>
  <c r="AA1546" i="31" s="1"/>
  <c r="AB1546" i="31" s="1"/>
  <c r="Y1547" i="31"/>
  <c r="AA1547" i="31" a="1"/>
  <c r="AA1547" i="31" s="1"/>
  <c r="AB1547" i="31" s="1"/>
  <c r="Y1548" i="31"/>
  <c r="AA1548" i="31" a="1"/>
  <c r="AA1548" i="31" s="1"/>
  <c r="AB1548" i="31" s="1"/>
  <c r="Y1549" i="31"/>
  <c r="AA1549" i="31" a="1"/>
  <c r="AA1549" i="31" s="1"/>
  <c r="AB1549" i="31" s="1"/>
  <c r="Y1550" i="31"/>
  <c r="AA1550" i="31" a="1"/>
  <c r="AA1550" i="31" s="1"/>
  <c r="AB1550" i="31" s="1"/>
  <c r="Y1551" i="31"/>
  <c r="AA1551" i="31" a="1"/>
  <c r="AA1551" i="31" s="1"/>
  <c r="AB1551" i="31" s="1"/>
  <c r="Y1552" i="31"/>
  <c r="AA1552" i="31" a="1"/>
  <c r="AA1552" i="31" s="1"/>
  <c r="AB1552" i="31" s="1"/>
  <c r="Y1553" i="31"/>
  <c r="AA1553" i="31" a="1"/>
  <c r="AA1553" i="31" s="1"/>
  <c r="AB1553" i="31" s="1"/>
  <c r="Y1554" i="31"/>
  <c r="AA1554" i="31" a="1"/>
  <c r="AA1554" i="31" s="1"/>
  <c r="AB1554" i="31" s="1"/>
  <c r="Y1555" i="31"/>
  <c r="AA1555" i="31" a="1"/>
  <c r="AA1555" i="31" s="1"/>
  <c r="AB1555" i="31" s="1"/>
  <c r="Y1556" i="31"/>
  <c r="AA1556" i="31" a="1"/>
  <c r="AA1556" i="31" s="1"/>
  <c r="AB1556" i="31" s="1"/>
  <c r="Y1557" i="31"/>
  <c r="AA1557" i="31" a="1"/>
  <c r="AA1557" i="31" s="1"/>
  <c r="AB1557" i="31" s="1"/>
  <c r="Y1558" i="31"/>
  <c r="AA1558" i="31" a="1"/>
  <c r="AA1558" i="31" s="1"/>
  <c r="AB1558" i="31" s="1"/>
  <c r="Y1559" i="31"/>
  <c r="AA1559" i="31" a="1"/>
  <c r="AA1559" i="31" s="1"/>
  <c r="AB1559" i="31" s="1"/>
  <c r="Y1560" i="31"/>
  <c r="AA1560" i="31" a="1"/>
  <c r="AA1560" i="31" s="1"/>
  <c r="AB1560" i="31" s="1"/>
  <c r="Y1561" i="31"/>
  <c r="AA1561" i="31" a="1"/>
  <c r="AA1561" i="31" s="1"/>
  <c r="AB1561" i="31" s="1"/>
  <c r="Y1562" i="31"/>
  <c r="AA1562" i="31" a="1"/>
  <c r="AA1562" i="31" s="1"/>
  <c r="AB1562" i="31" s="1"/>
  <c r="Y1563" i="31"/>
  <c r="AA1563" i="31" a="1"/>
  <c r="AA1563" i="31" s="1"/>
  <c r="AB1563" i="31" s="1"/>
  <c r="Y1564" i="31"/>
  <c r="AA1564" i="31" a="1"/>
  <c r="AA1564" i="31" s="1"/>
  <c r="AB1564" i="31" s="1"/>
  <c r="Y1565" i="31"/>
  <c r="AA1565" i="31" a="1"/>
  <c r="AA1565" i="31" s="1"/>
  <c r="AB1565" i="31" s="1"/>
  <c r="Y1566" i="31"/>
  <c r="AA1566" i="31" a="1"/>
  <c r="AA1566" i="31" s="1"/>
  <c r="AB1566" i="31" s="1"/>
  <c r="Y1567" i="31"/>
  <c r="AA1567" i="31" a="1"/>
  <c r="AA1567" i="31" s="1"/>
  <c r="AB1567" i="31" s="1"/>
  <c r="Y1568" i="31"/>
  <c r="AA1568" i="31" a="1"/>
  <c r="AA1568" i="31" s="1"/>
  <c r="AB1568" i="31" s="1"/>
  <c r="Y1569" i="31"/>
  <c r="AA1569" i="31" a="1"/>
  <c r="AA1569" i="31" s="1"/>
  <c r="AB1569" i="31" s="1"/>
  <c r="Y1570" i="31"/>
  <c r="AA1570" i="31" a="1"/>
  <c r="AA1570" i="31" s="1"/>
  <c r="AB1570" i="31" s="1"/>
  <c r="Y1571" i="31"/>
  <c r="AA1571" i="31" a="1"/>
  <c r="AA1571" i="31" s="1"/>
  <c r="AB1571" i="31" s="1"/>
  <c r="Y1572" i="31"/>
  <c r="AA1572" i="31" a="1"/>
  <c r="AA1572" i="31" s="1"/>
  <c r="AB1572" i="31" s="1"/>
  <c r="Y1573" i="31"/>
  <c r="AA1573" i="31" a="1"/>
  <c r="AA1573" i="31" s="1"/>
  <c r="AB1573" i="31" s="1"/>
  <c r="Y1574" i="31"/>
  <c r="AA1574" i="31" a="1"/>
  <c r="AA1574" i="31" s="1"/>
  <c r="AB1574" i="31" s="1"/>
  <c r="Y1575" i="31"/>
  <c r="AA1575" i="31" a="1"/>
  <c r="AA1575" i="31" s="1"/>
  <c r="AB1575" i="31" s="1"/>
  <c r="Y1576" i="31"/>
  <c r="AA1576" i="31" a="1"/>
  <c r="AA1576" i="31" s="1"/>
  <c r="AB1576" i="31" s="1"/>
  <c r="Y1577" i="31"/>
  <c r="AA1577" i="31" a="1"/>
  <c r="AA1577" i="31" s="1"/>
  <c r="AB1577" i="31" s="1"/>
  <c r="Y1578" i="31"/>
  <c r="AA1578" i="31" a="1"/>
  <c r="AA1578" i="31" s="1"/>
  <c r="AB1578" i="31" s="1"/>
  <c r="Y1579" i="31"/>
  <c r="AA1579" i="31" a="1"/>
  <c r="AA1579" i="31" s="1"/>
  <c r="AB1579" i="31" s="1"/>
  <c r="Y1580" i="31"/>
  <c r="AA1580" i="31" a="1"/>
  <c r="AA1580" i="31" s="1"/>
  <c r="AB1580" i="31" s="1"/>
  <c r="Y1581" i="31"/>
  <c r="AA1581" i="31" a="1"/>
  <c r="AA1581" i="31" s="1"/>
  <c r="AB1581" i="31" s="1"/>
  <c r="Y1582" i="31"/>
  <c r="AA1582" i="31" a="1"/>
  <c r="AA1582" i="31" s="1"/>
  <c r="AB1582" i="31" s="1"/>
  <c r="Y1583" i="31"/>
  <c r="AA1583" i="31" a="1"/>
  <c r="AA1583" i="31" s="1"/>
  <c r="AB1583" i="31" s="1"/>
  <c r="Y1584" i="31"/>
  <c r="AA1584" i="31" a="1"/>
  <c r="AA1584" i="31" s="1"/>
  <c r="AB1584" i="31" s="1"/>
  <c r="Y1585" i="31"/>
  <c r="AA1585" i="31" a="1"/>
  <c r="AA1585" i="31" s="1"/>
  <c r="AB1585" i="31" s="1"/>
  <c r="Y1586" i="31"/>
  <c r="AA1586" i="31" a="1"/>
  <c r="AA1586" i="31" s="1"/>
  <c r="AB1586" i="31" s="1"/>
  <c r="Y1587" i="31"/>
  <c r="AA1587" i="31" a="1"/>
  <c r="AA1587" i="31" s="1"/>
  <c r="AB1587" i="31" s="1"/>
  <c r="Y1588" i="31"/>
  <c r="AA1588" i="31" a="1"/>
  <c r="AA1588" i="31" s="1"/>
  <c r="AB1588" i="31" s="1"/>
  <c r="Y1589" i="31"/>
  <c r="AA1589" i="31" a="1"/>
  <c r="AA1589" i="31" s="1"/>
  <c r="AB1589" i="31" s="1"/>
  <c r="Y1590" i="31"/>
  <c r="AA1590" i="31" a="1"/>
  <c r="AA1590" i="31" s="1"/>
  <c r="AB1590" i="31" s="1"/>
  <c r="Y1591" i="31"/>
  <c r="AA1591" i="31" a="1"/>
  <c r="AA1591" i="31" s="1"/>
  <c r="AB1591" i="31" s="1"/>
  <c r="Y1592" i="31"/>
  <c r="AA1592" i="31" a="1"/>
  <c r="AA1592" i="31" s="1"/>
  <c r="AB1592" i="31" s="1"/>
  <c r="Y1593" i="31"/>
  <c r="AA1593" i="31" a="1"/>
  <c r="AA1593" i="31" s="1"/>
  <c r="AB1593" i="31" s="1"/>
  <c r="Y1594" i="31"/>
  <c r="AA1594" i="31" a="1"/>
  <c r="AA1594" i="31" s="1"/>
  <c r="AB1594" i="31" s="1"/>
  <c r="Y1595" i="31"/>
  <c r="AA1595" i="31" a="1"/>
  <c r="AA1595" i="31" s="1"/>
  <c r="AB1595" i="31" s="1"/>
  <c r="Y1596" i="31"/>
  <c r="AA1596" i="31" a="1"/>
  <c r="AA1596" i="31" s="1"/>
  <c r="AB1596" i="31" s="1"/>
  <c r="Y1597" i="31"/>
  <c r="AA1597" i="31" a="1"/>
  <c r="AA1597" i="31" s="1"/>
  <c r="AB1597" i="31" s="1"/>
  <c r="Y1598" i="31"/>
  <c r="AA1598" i="31" a="1"/>
  <c r="AA1598" i="31" s="1"/>
  <c r="AB1598" i="31" s="1"/>
  <c r="Y1599" i="31"/>
  <c r="AA1599" i="31" a="1"/>
  <c r="AA1599" i="31" s="1"/>
  <c r="AB1599" i="31" s="1"/>
  <c r="Y1600" i="31"/>
  <c r="AA1600" i="31" a="1"/>
  <c r="AA1600" i="31" s="1"/>
  <c r="AB1600" i="31" s="1"/>
  <c r="Y1601" i="31"/>
  <c r="AA1601" i="31" a="1"/>
  <c r="AA1601" i="31" s="1"/>
  <c r="AB1601" i="31" s="1"/>
  <c r="Y1602" i="31"/>
  <c r="AA1602" i="31" a="1"/>
  <c r="AA1602" i="31" s="1"/>
  <c r="AB1602" i="31" s="1"/>
  <c r="Y1603" i="31"/>
  <c r="AA1603" i="31" a="1"/>
  <c r="AA1603" i="31" s="1"/>
  <c r="AB1603" i="31" s="1"/>
  <c r="Y1604" i="31"/>
  <c r="AA1604" i="31" a="1"/>
  <c r="AA1604" i="31" s="1"/>
  <c r="AB1604" i="31" s="1"/>
  <c r="Y1605" i="31"/>
  <c r="AA1605" i="31" a="1"/>
  <c r="AA1605" i="31" s="1"/>
  <c r="AB1605" i="31" s="1"/>
  <c r="Y1606" i="31"/>
  <c r="AA1606" i="31" a="1"/>
  <c r="AA1606" i="31" s="1"/>
  <c r="AB1606" i="31" s="1"/>
  <c r="Y1607" i="31"/>
  <c r="AA1607" i="31" a="1"/>
  <c r="AA1607" i="31" s="1"/>
  <c r="AB1607" i="31" s="1"/>
  <c r="Y1608" i="31"/>
  <c r="AA1608" i="31" a="1"/>
  <c r="AA1608" i="31" s="1"/>
  <c r="AB1608" i="31" s="1"/>
  <c r="Y1609" i="31"/>
  <c r="AA1609" i="31" a="1"/>
  <c r="AA1609" i="31" s="1"/>
  <c r="AB1609" i="31" s="1"/>
  <c r="Y1610" i="31"/>
  <c r="AA1610" i="31" a="1"/>
  <c r="AA1610" i="31" s="1"/>
  <c r="AB1610" i="31" s="1"/>
  <c r="Y1611" i="31"/>
  <c r="AA1611" i="31" a="1"/>
  <c r="AA1611" i="31" s="1"/>
  <c r="AB1611" i="31" s="1"/>
  <c r="Y1612" i="31"/>
  <c r="AA1612" i="31" a="1"/>
  <c r="AA1612" i="31" s="1"/>
  <c r="AB1612" i="31" s="1"/>
  <c r="Y1613" i="31"/>
  <c r="AA1613" i="31" a="1"/>
  <c r="AA1613" i="31" s="1"/>
  <c r="AB1613" i="31" s="1"/>
  <c r="Y1614" i="31"/>
  <c r="AA1614" i="31" a="1"/>
  <c r="AA1614" i="31" s="1"/>
  <c r="AB1614" i="31" s="1"/>
  <c r="Y1615" i="31"/>
  <c r="AA1615" i="31" a="1"/>
  <c r="AA1615" i="31" s="1"/>
  <c r="AB1615" i="31" s="1"/>
  <c r="Y1616" i="31"/>
  <c r="AA1616" i="31" a="1"/>
  <c r="AA1616" i="31" s="1"/>
  <c r="AB1616" i="31" s="1"/>
  <c r="Y1617" i="31"/>
  <c r="AA1617" i="31" a="1"/>
  <c r="AA1617" i="31" s="1"/>
  <c r="AB1617" i="31" s="1"/>
  <c r="Y1618" i="31"/>
  <c r="AA1618" i="31" a="1"/>
  <c r="AA1618" i="31" s="1"/>
  <c r="AB1618" i="31" s="1"/>
  <c r="Y1619" i="31"/>
  <c r="AA1619" i="31" a="1"/>
  <c r="AA1619" i="31" s="1"/>
  <c r="AB1619" i="31" s="1"/>
  <c r="Y1620" i="31"/>
  <c r="AA1620" i="31" a="1"/>
  <c r="AA1620" i="31" s="1"/>
  <c r="AB1620" i="31" s="1"/>
  <c r="Y1621" i="31"/>
  <c r="AA1621" i="31" a="1"/>
  <c r="AA1621" i="31" s="1"/>
  <c r="AB1621" i="31" s="1"/>
  <c r="Y1622" i="31"/>
  <c r="AA1622" i="31" a="1"/>
  <c r="AA1622" i="31" s="1"/>
  <c r="AB1622" i="31" s="1"/>
  <c r="Y1623" i="31"/>
  <c r="AA1623" i="31" a="1"/>
  <c r="AA1623" i="31" s="1"/>
  <c r="AB1623" i="31" s="1"/>
  <c r="Y1624" i="31"/>
  <c r="AA1624" i="31" a="1"/>
  <c r="AA1624" i="31" s="1"/>
  <c r="AB1624" i="31" s="1"/>
  <c r="Y1625" i="31"/>
  <c r="AA1625" i="31" a="1"/>
  <c r="AA1625" i="31" s="1"/>
  <c r="AB1625" i="31" s="1"/>
  <c r="Y1626" i="31"/>
  <c r="AA1626" i="31" a="1"/>
  <c r="AA1626" i="31" s="1"/>
  <c r="AB1626" i="31" s="1"/>
  <c r="Y1627" i="31"/>
  <c r="AA1627" i="31" a="1"/>
  <c r="AA1627" i="31" s="1"/>
  <c r="AB1627" i="31" s="1"/>
  <c r="Y1628" i="31"/>
  <c r="AA1628" i="31" a="1"/>
  <c r="AA1628" i="31" s="1"/>
  <c r="AB1628" i="31" s="1"/>
  <c r="Y1629" i="31"/>
  <c r="AA1629" i="31" a="1"/>
  <c r="AA1629" i="31" s="1"/>
  <c r="AB1629" i="31" s="1"/>
  <c r="Y1630" i="31"/>
  <c r="AA1630" i="31" a="1"/>
  <c r="AA1630" i="31" s="1"/>
  <c r="AB1630" i="31" s="1"/>
  <c r="Y1631" i="31"/>
  <c r="AA1631" i="31" a="1"/>
  <c r="AA1631" i="31" s="1"/>
  <c r="AB1631" i="31" s="1"/>
  <c r="Y1632" i="31"/>
  <c r="AA1632" i="31" a="1"/>
  <c r="AA1632" i="31" s="1"/>
  <c r="AB1632" i="31" s="1"/>
  <c r="Y1633" i="31"/>
  <c r="AA1633" i="31" a="1"/>
  <c r="AA1633" i="31" s="1"/>
  <c r="AB1633" i="31" s="1"/>
  <c r="Y1634" i="31"/>
  <c r="AA1634" i="31" a="1"/>
  <c r="AA1634" i="31" s="1"/>
  <c r="AB1634" i="31" s="1"/>
  <c r="Y1635" i="31"/>
  <c r="AA1635" i="31" a="1"/>
  <c r="AA1635" i="31" s="1"/>
  <c r="AB1635" i="31" s="1"/>
  <c r="Y1636" i="31"/>
  <c r="AA1636" i="31" a="1"/>
  <c r="AA1636" i="31" s="1"/>
  <c r="AB1636" i="31" s="1"/>
  <c r="Y1637" i="31"/>
  <c r="AA1637" i="31" a="1"/>
  <c r="AA1637" i="31" s="1"/>
  <c r="AB1637" i="31" s="1"/>
  <c r="Y1638" i="31"/>
  <c r="AA1638" i="31" a="1"/>
  <c r="AA1638" i="31" s="1"/>
  <c r="AB1638" i="31" s="1"/>
  <c r="Y1639" i="31"/>
  <c r="AA1639" i="31" a="1"/>
  <c r="AA1639" i="31" s="1"/>
  <c r="AB1639" i="31" s="1"/>
  <c r="Y1640" i="31"/>
  <c r="AA1640" i="31" a="1"/>
  <c r="AA1640" i="31" s="1"/>
  <c r="AB1640" i="31" s="1"/>
  <c r="Y1641" i="31"/>
  <c r="AA1641" i="31" a="1"/>
  <c r="AA1641" i="31" s="1"/>
  <c r="AB1641" i="31" s="1"/>
  <c r="Y1642" i="31"/>
  <c r="AA1642" i="31" a="1"/>
  <c r="AA1642" i="31" s="1"/>
  <c r="AB1642" i="31" s="1"/>
  <c r="Y1643" i="31"/>
  <c r="AA1643" i="31" a="1"/>
  <c r="AA1643" i="31" s="1"/>
  <c r="AB1643" i="31" s="1"/>
  <c r="Y1644" i="31"/>
  <c r="AA1644" i="31" a="1"/>
  <c r="AA1644" i="31" s="1"/>
  <c r="AB1644" i="31" s="1"/>
  <c r="Y1645" i="31"/>
  <c r="AA1645" i="31" a="1"/>
  <c r="AA1645" i="31" s="1"/>
  <c r="AB1645" i="31" s="1"/>
  <c r="Y1646" i="31"/>
  <c r="AA1646" i="31" a="1"/>
  <c r="AA1646" i="31" s="1"/>
  <c r="AB1646" i="31" s="1"/>
  <c r="Y1647" i="31"/>
  <c r="AA1647" i="31" a="1"/>
  <c r="AA1647" i="31" s="1"/>
  <c r="AB1647" i="31" s="1"/>
  <c r="Y1648" i="31"/>
  <c r="AA1648" i="31" a="1"/>
  <c r="AA1648" i="31" s="1"/>
  <c r="AB1648" i="31" s="1"/>
  <c r="Y1649" i="31"/>
  <c r="AA1649" i="31" a="1"/>
  <c r="AA1649" i="31" s="1"/>
  <c r="AB1649" i="31" s="1"/>
  <c r="Y1650" i="31"/>
  <c r="AA1650" i="31" a="1"/>
  <c r="AA1650" i="31" s="1"/>
  <c r="AB1650" i="31" s="1"/>
  <c r="Y1651" i="31"/>
  <c r="AA1651" i="31" a="1"/>
  <c r="AA1651" i="31" s="1"/>
  <c r="AB1651" i="31" s="1"/>
  <c r="Y1652" i="31"/>
  <c r="AA1652" i="31" a="1"/>
  <c r="AA1652" i="31" s="1"/>
  <c r="AB1652" i="31" s="1"/>
  <c r="Y1653" i="31"/>
  <c r="AA1653" i="31" a="1"/>
  <c r="AA1653" i="31" s="1"/>
  <c r="AB1653" i="31" s="1"/>
  <c r="Y1654" i="31"/>
  <c r="AA1654" i="31" a="1"/>
  <c r="AA1654" i="31" s="1"/>
  <c r="AB1654" i="31" s="1"/>
  <c r="Y1655" i="31"/>
  <c r="AA1655" i="31" a="1"/>
  <c r="AA1655" i="31" s="1"/>
  <c r="AB1655" i="31" s="1"/>
  <c r="Y1656" i="31"/>
  <c r="AA1656" i="31" a="1"/>
  <c r="AA1656" i="31" s="1"/>
  <c r="AB1656" i="31" s="1"/>
  <c r="Y1657" i="31"/>
  <c r="AA1657" i="31" a="1"/>
  <c r="AA1657" i="31" s="1"/>
  <c r="AB1657" i="31" s="1"/>
  <c r="Y1658" i="31"/>
  <c r="AA1658" i="31" a="1"/>
  <c r="AA1658" i="31" s="1"/>
  <c r="AB1658" i="31" s="1"/>
  <c r="Y1659" i="31"/>
  <c r="AA1659" i="31" a="1"/>
  <c r="AA1659" i="31" s="1"/>
  <c r="AB1659" i="31" s="1"/>
  <c r="Y1660" i="31"/>
  <c r="AA1660" i="31" a="1"/>
  <c r="AA1660" i="31" s="1"/>
  <c r="AB1660" i="31" s="1"/>
  <c r="Y1661" i="31"/>
  <c r="AA1661" i="31" a="1"/>
  <c r="AA1661" i="31" s="1"/>
  <c r="AB1661" i="31" s="1"/>
  <c r="Y1662" i="31"/>
  <c r="AA1662" i="31" a="1"/>
  <c r="AA1662" i="31" s="1"/>
  <c r="AB1662" i="31" s="1"/>
  <c r="Y1663" i="31"/>
  <c r="AA1663" i="31" a="1"/>
  <c r="AA1663" i="31" s="1"/>
  <c r="AB1663" i="31" s="1"/>
  <c r="Y1664" i="31"/>
  <c r="AA1664" i="31" a="1"/>
  <c r="AA1664" i="31" s="1"/>
  <c r="AB1664" i="31" s="1"/>
  <c r="Y1665" i="31"/>
  <c r="AA1665" i="31" a="1"/>
  <c r="AA1665" i="31" s="1"/>
  <c r="AB1665" i="31" s="1"/>
  <c r="Y1666" i="31"/>
  <c r="AA1666" i="31" a="1"/>
  <c r="AA1666" i="31" s="1"/>
  <c r="AB1666" i="31" s="1"/>
  <c r="Y1667" i="31"/>
  <c r="AA1667" i="31" a="1"/>
  <c r="AA1667" i="31" s="1"/>
  <c r="AB1667" i="31" s="1"/>
  <c r="Y1668" i="31"/>
  <c r="AA1668" i="31" a="1"/>
  <c r="AA1668" i="31" s="1"/>
  <c r="AB1668" i="31" s="1"/>
  <c r="Y1669" i="31"/>
  <c r="AA1669" i="31" a="1"/>
  <c r="AA1669" i="31" s="1"/>
  <c r="AB1669" i="31" s="1"/>
  <c r="Y1670" i="31"/>
  <c r="AA1670" i="31" a="1"/>
  <c r="AA1670" i="31" s="1"/>
  <c r="AB1670" i="31" s="1"/>
  <c r="Y1671" i="31"/>
  <c r="AA1671" i="31" a="1"/>
  <c r="AA1671" i="31" s="1"/>
  <c r="AB1671" i="31" s="1"/>
  <c r="Y1672" i="31"/>
  <c r="AA1672" i="31" a="1"/>
  <c r="AA1672" i="31" s="1"/>
  <c r="AB1672" i="31" s="1"/>
  <c r="Y1673" i="31"/>
  <c r="AA1673" i="31" a="1"/>
  <c r="AA1673" i="31" s="1"/>
  <c r="AB1673" i="31" s="1"/>
  <c r="Y1674" i="31"/>
  <c r="AA1674" i="31" a="1"/>
  <c r="AA1674" i="31" s="1"/>
  <c r="AB1674" i="31" s="1"/>
  <c r="Y1675" i="31"/>
  <c r="AA1675" i="31" a="1"/>
  <c r="AA1675" i="31" s="1"/>
  <c r="AB1675" i="31" s="1"/>
  <c r="Y1676" i="31"/>
  <c r="AA1676" i="31" a="1"/>
  <c r="AA1676" i="31" s="1"/>
  <c r="AB1676" i="31" s="1"/>
  <c r="Y1677" i="31"/>
  <c r="AA1677" i="31" a="1"/>
  <c r="AA1677" i="31" s="1"/>
  <c r="AB1677" i="31" s="1"/>
  <c r="Y1678" i="31"/>
  <c r="AA1678" i="31" a="1"/>
  <c r="AA1678" i="31" s="1"/>
  <c r="AB1678" i="31" s="1"/>
  <c r="Y1679" i="31"/>
  <c r="AA1679" i="31" a="1"/>
  <c r="AA1679" i="31" s="1"/>
  <c r="AB1679" i="31" s="1"/>
  <c r="Y1680" i="31"/>
  <c r="AA1680" i="31" a="1"/>
  <c r="AA1680" i="31" s="1"/>
  <c r="AB1680" i="31" s="1"/>
  <c r="Y1681" i="31"/>
  <c r="AA1681" i="31" a="1"/>
  <c r="AA1681" i="31" s="1"/>
  <c r="AB1681" i="31" s="1"/>
  <c r="Y1682" i="31"/>
  <c r="AA1682" i="31" a="1"/>
  <c r="AA1682" i="31" s="1"/>
  <c r="AB1682" i="31" s="1"/>
  <c r="Y1683" i="31"/>
  <c r="AA1683" i="31" a="1"/>
  <c r="AA1683" i="31" s="1"/>
  <c r="AB1683" i="31" s="1"/>
  <c r="Y1684" i="31"/>
  <c r="AA1684" i="31" a="1"/>
  <c r="AA1684" i="31" s="1"/>
  <c r="AB1684" i="31" s="1"/>
  <c r="Y1685" i="31"/>
  <c r="AA1685" i="31" a="1"/>
  <c r="AA1685" i="31" s="1"/>
  <c r="AB1685" i="31" s="1"/>
  <c r="Y1686" i="31"/>
  <c r="AA1686" i="31" a="1"/>
  <c r="AA1686" i="31" s="1"/>
  <c r="AB1686" i="31" s="1"/>
  <c r="Y1687" i="31"/>
  <c r="AA1687" i="31" a="1"/>
  <c r="AA1687" i="31" s="1"/>
  <c r="AB1687" i="31" s="1"/>
  <c r="Y1688" i="31"/>
  <c r="AA1688" i="31" a="1"/>
  <c r="AA1688" i="31" s="1"/>
  <c r="AB1688" i="31" s="1"/>
  <c r="Y1689" i="31"/>
  <c r="AA1689" i="31" a="1"/>
  <c r="AA1689" i="31" s="1"/>
  <c r="AB1689" i="31" s="1"/>
  <c r="Y1690" i="31"/>
  <c r="AA1690" i="31" a="1"/>
  <c r="AA1690" i="31" s="1"/>
  <c r="AB1690" i="31" s="1"/>
  <c r="Y1691" i="31"/>
  <c r="AA1691" i="31" a="1"/>
  <c r="AA1691" i="31" s="1"/>
  <c r="AB1691" i="31" s="1"/>
  <c r="Y1692" i="31"/>
  <c r="AA1692" i="31" a="1"/>
  <c r="AA1692" i="31" s="1"/>
  <c r="AB1692" i="31" s="1"/>
  <c r="Y1693" i="31"/>
  <c r="AA1693" i="31" a="1"/>
  <c r="AA1693" i="31" s="1"/>
  <c r="AB1693" i="31" s="1"/>
  <c r="Y1694" i="31"/>
  <c r="AA1694" i="31" a="1"/>
  <c r="AA1694" i="31" s="1"/>
  <c r="AB1694" i="31" s="1"/>
  <c r="Y1695" i="31"/>
  <c r="AA1695" i="31" a="1"/>
  <c r="AA1695" i="31" s="1"/>
  <c r="AB1695" i="31" s="1"/>
  <c r="Y1696" i="31"/>
  <c r="AA1696" i="31" a="1"/>
  <c r="AA1696" i="31" s="1"/>
  <c r="AB1696" i="31" s="1"/>
  <c r="Y1697" i="31"/>
  <c r="AA1697" i="31" a="1"/>
  <c r="AA1697" i="31" s="1"/>
  <c r="AB1697" i="31" s="1"/>
  <c r="Y1698" i="31"/>
  <c r="AA1698" i="31" a="1"/>
  <c r="AA1698" i="31" s="1"/>
  <c r="AB1698" i="31" s="1"/>
  <c r="Y1699" i="31"/>
  <c r="AA1699" i="31" a="1"/>
  <c r="AA1699" i="31" s="1"/>
  <c r="AB1699" i="31" s="1"/>
  <c r="Y1700" i="31"/>
  <c r="AA1700" i="31" a="1"/>
  <c r="AA1700" i="31" s="1"/>
  <c r="AB1700" i="31" s="1"/>
  <c r="Y1701" i="31"/>
  <c r="AA1701" i="31" a="1"/>
  <c r="AA1701" i="31" s="1"/>
  <c r="AB1701" i="31" s="1"/>
  <c r="Y1702" i="31"/>
  <c r="AA1702" i="31" a="1"/>
  <c r="AA1702" i="31" s="1"/>
  <c r="AB1702" i="31" s="1"/>
  <c r="Y1703" i="31"/>
  <c r="AA1703" i="31" a="1"/>
  <c r="AA1703" i="31" s="1"/>
  <c r="AB1703" i="31" s="1"/>
  <c r="Y1704" i="31"/>
  <c r="AA1704" i="31" a="1"/>
  <c r="AA1704" i="31" s="1"/>
  <c r="AB1704" i="31" s="1"/>
  <c r="Y1705" i="31"/>
  <c r="AA1705" i="31" a="1"/>
  <c r="AA1705" i="31" s="1"/>
  <c r="AB1705" i="31" s="1"/>
  <c r="Y1706" i="31"/>
  <c r="AA1706" i="31" a="1"/>
  <c r="AA1706" i="31" s="1"/>
  <c r="AB1706" i="31" s="1"/>
  <c r="Y1707" i="31"/>
  <c r="AA1707" i="31" a="1"/>
  <c r="AA1707" i="31" s="1"/>
  <c r="AB1707" i="31" s="1"/>
  <c r="Y1708" i="31"/>
  <c r="AA1708" i="31" a="1"/>
  <c r="AA1708" i="31" s="1"/>
  <c r="AB1708" i="31" s="1"/>
  <c r="Y1709" i="31"/>
  <c r="AA1709" i="31" a="1"/>
  <c r="AA1709" i="31" s="1"/>
  <c r="AB1709" i="31" s="1"/>
  <c r="Y1710" i="31"/>
  <c r="AA1710" i="31" a="1"/>
  <c r="AA1710" i="31" s="1"/>
  <c r="AB1710" i="31" s="1"/>
  <c r="Y1711" i="31"/>
  <c r="AA1711" i="31" a="1"/>
  <c r="AA1711" i="31" s="1"/>
  <c r="AB1711" i="31" s="1"/>
  <c r="Y1712" i="31"/>
  <c r="AA1712" i="31" a="1"/>
  <c r="AA1712" i="31" s="1"/>
  <c r="AB1712" i="31" s="1"/>
  <c r="Y1713" i="31"/>
  <c r="AA1713" i="31" a="1"/>
  <c r="AA1713" i="31" s="1"/>
  <c r="AB1713" i="31" s="1"/>
  <c r="Y1714" i="31"/>
  <c r="AA1714" i="31" a="1"/>
  <c r="AA1714" i="31" s="1"/>
  <c r="AB1714" i="31" s="1"/>
  <c r="Y1715" i="31"/>
  <c r="AA1715" i="31" a="1"/>
  <c r="AA1715" i="31" s="1"/>
  <c r="AB1715" i="31" s="1"/>
  <c r="Y1716" i="31"/>
  <c r="AA1716" i="31" a="1"/>
  <c r="AA1716" i="31" s="1"/>
  <c r="AB1716" i="31" s="1"/>
  <c r="Y1717" i="31"/>
  <c r="AA1717" i="31" a="1"/>
  <c r="AA1717" i="31" s="1"/>
  <c r="AB1717" i="31" s="1"/>
  <c r="Y1718" i="31"/>
  <c r="AA1718" i="31" a="1"/>
  <c r="AA1718" i="31" s="1"/>
  <c r="AB1718" i="31" s="1"/>
  <c r="Y1719" i="31"/>
  <c r="AA1719" i="31" a="1"/>
  <c r="AA1719" i="31" s="1"/>
  <c r="AB1719" i="31" s="1"/>
  <c r="Y1720" i="31"/>
  <c r="AA1720" i="31" a="1"/>
  <c r="AA1720" i="31" s="1"/>
  <c r="AB1720" i="31" s="1"/>
  <c r="Y1721" i="31"/>
  <c r="AA1721" i="31" a="1"/>
  <c r="AA1721" i="31" s="1"/>
  <c r="AB1721" i="31" s="1"/>
  <c r="Y1722" i="31"/>
  <c r="AA1722" i="31" a="1"/>
  <c r="AA1722" i="31" s="1"/>
  <c r="AB1722" i="31" s="1"/>
  <c r="Y1723" i="31"/>
  <c r="AA1723" i="31" a="1"/>
  <c r="AA1723" i="31" s="1"/>
  <c r="AB1723" i="31" s="1"/>
  <c r="Y1724" i="31"/>
  <c r="AA1724" i="31" a="1"/>
  <c r="AA1724" i="31" s="1"/>
  <c r="AB1724" i="31" s="1"/>
  <c r="Y1725" i="31"/>
  <c r="AA1725" i="31" a="1"/>
  <c r="AA1725" i="31" s="1"/>
  <c r="AB1725" i="31" s="1"/>
  <c r="Y1726" i="31"/>
  <c r="AA1726" i="31" a="1"/>
  <c r="AA1726" i="31" s="1"/>
  <c r="AB1726" i="31" s="1"/>
  <c r="Y1727" i="31"/>
  <c r="AA1727" i="31" a="1"/>
  <c r="AA1727" i="31" s="1"/>
  <c r="AB1727" i="31" s="1"/>
  <c r="Y1728" i="31"/>
  <c r="AA1728" i="31" a="1"/>
  <c r="AA1728" i="31" s="1"/>
  <c r="AB1728" i="31" s="1"/>
  <c r="Y1729" i="31"/>
  <c r="AA1729" i="31" a="1"/>
  <c r="AA1729" i="31" s="1"/>
  <c r="AB1729" i="31" s="1"/>
  <c r="Y1730" i="31"/>
  <c r="AA1730" i="31" a="1"/>
  <c r="AA1730" i="31" s="1"/>
  <c r="AB1730" i="31" s="1"/>
  <c r="Y1731" i="31"/>
  <c r="AA1731" i="31" a="1"/>
  <c r="AA1731" i="31" s="1"/>
  <c r="AB1731" i="31" s="1"/>
  <c r="Y1732" i="31"/>
  <c r="AA1732" i="31" a="1"/>
  <c r="AA1732" i="31" s="1"/>
  <c r="AB1732" i="31" s="1"/>
  <c r="Y1733" i="31"/>
  <c r="AA1733" i="31" a="1"/>
  <c r="AA1733" i="31" s="1"/>
  <c r="AB1733" i="31" s="1"/>
  <c r="Y1734" i="31"/>
  <c r="AA1734" i="31" a="1"/>
  <c r="AA1734" i="31" s="1"/>
  <c r="AB1734" i="31" s="1"/>
  <c r="Y1735" i="31"/>
  <c r="AA1735" i="31" a="1"/>
  <c r="AA1735" i="31" s="1"/>
  <c r="AB1735" i="31" s="1"/>
  <c r="Y1736" i="31"/>
  <c r="AA1736" i="31" a="1"/>
  <c r="AA1736" i="31" s="1"/>
  <c r="AB1736" i="31" s="1"/>
  <c r="Y1737" i="31"/>
  <c r="AA1737" i="31" a="1"/>
  <c r="AA1737" i="31" s="1"/>
  <c r="AB1737" i="31" s="1"/>
  <c r="Y1738" i="31"/>
  <c r="AA1738" i="31" a="1"/>
  <c r="AA1738" i="31" s="1"/>
  <c r="AB1738" i="31" s="1"/>
  <c r="Y1739" i="31"/>
  <c r="AA1739" i="31" a="1"/>
  <c r="AA1739" i="31" s="1"/>
  <c r="AB1739" i="31" s="1"/>
  <c r="Y1740" i="31"/>
  <c r="AA1740" i="31" a="1"/>
  <c r="AA1740" i="31" s="1"/>
  <c r="AB1740" i="31" s="1"/>
  <c r="Y1741" i="31"/>
  <c r="AA1741" i="31" a="1"/>
  <c r="AA1741" i="31" s="1"/>
  <c r="AB1741" i="31" s="1"/>
  <c r="Y1742" i="31"/>
  <c r="AA1742" i="31" a="1"/>
  <c r="AA1742" i="31" s="1"/>
  <c r="AB1742" i="31" s="1"/>
  <c r="Y1743" i="31"/>
  <c r="AA1743" i="31" a="1"/>
  <c r="AA1743" i="31" s="1"/>
  <c r="AB1743" i="31" s="1"/>
  <c r="Y1744" i="31"/>
  <c r="AA1744" i="31" a="1"/>
  <c r="AA1744" i="31" s="1"/>
  <c r="AB1744" i="31" s="1"/>
  <c r="Y1745" i="31"/>
  <c r="AA1745" i="31" a="1"/>
  <c r="AA1745" i="31" s="1"/>
  <c r="AB1745" i="31" s="1"/>
  <c r="Y1746" i="31"/>
  <c r="AA1746" i="31" a="1"/>
  <c r="AA1746" i="31" s="1"/>
  <c r="AB1746" i="31" s="1"/>
  <c r="Y1747" i="31"/>
  <c r="AA1747" i="31" a="1"/>
  <c r="AA1747" i="31" s="1"/>
  <c r="AB1747" i="31" s="1"/>
  <c r="Y1748" i="31"/>
  <c r="AA1748" i="31" a="1"/>
  <c r="AA1748" i="31" s="1"/>
  <c r="AB1748" i="31" s="1"/>
  <c r="Y1749" i="31"/>
  <c r="AA1749" i="31" a="1"/>
  <c r="AA1749" i="31" s="1"/>
  <c r="AB1749" i="31" s="1"/>
  <c r="Y1750" i="31"/>
  <c r="AA1750" i="31" a="1"/>
  <c r="AA1750" i="31" s="1"/>
  <c r="AB1750" i="31" s="1"/>
  <c r="Y1751" i="31"/>
  <c r="AA1751" i="31" a="1"/>
  <c r="AA1751" i="31" s="1"/>
  <c r="AB1751" i="31" s="1"/>
  <c r="Y1752" i="31"/>
  <c r="AA1752" i="31" a="1"/>
  <c r="AA1752" i="31" s="1"/>
  <c r="AB1752" i="31" s="1"/>
  <c r="Y1753" i="31"/>
  <c r="AA1753" i="31" a="1"/>
  <c r="AA1753" i="31" s="1"/>
  <c r="AB1753" i="31" s="1"/>
  <c r="Y1754" i="31"/>
  <c r="AA1754" i="31" a="1"/>
  <c r="AA1754" i="31" s="1"/>
  <c r="AB1754" i="31" s="1"/>
  <c r="Y1755" i="31"/>
  <c r="AA1755" i="31" a="1"/>
  <c r="AA1755" i="31" s="1"/>
  <c r="AB1755" i="31" s="1"/>
  <c r="Y1756" i="31"/>
  <c r="AA1756" i="31" a="1"/>
  <c r="AA1756" i="31" s="1"/>
  <c r="AB1756" i="31" s="1"/>
  <c r="Y1757" i="31"/>
  <c r="AA1757" i="31" a="1"/>
  <c r="AA1757" i="31" s="1"/>
  <c r="AB1757" i="31" s="1"/>
  <c r="Y1758" i="31"/>
  <c r="AA1758" i="31" a="1"/>
  <c r="AA1758" i="31" s="1"/>
  <c r="AB1758" i="31" s="1"/>
  <c r="Y1759" i="31"/>
  <c r="AA1759" i="31" a="1"/>
  <c r="AA1759" i="31" s="1"/>
  <c r="AB1759" i="31" s="1"/>
  <c r="Y1760" i="31"/>
  <c r="AA1760" i="31" a="1"/>
  <c r="AA1760" i="31" s="1"/>
  <c r="AB1760" i="31" s="1"/>
  <c r="Y1761" i="31"/>
  <c r="AA1761" i="31" a="1"/>
  <c r="AA1761" i="31" s="1"/>
  <c r="AB1761" i="31" s="1"/>
  <c r="Y1762" i="31"/>
  <c r="AA1762" i="31" a="1"/>
  <c r="AA1762" i="31" s="1"/>
  <c r="AB1762" i="31" s="1"/>
  <c r="Y1763" i="31"/>
  <c r="AA1763" i="31" a="1"/>
  <c r="AA1763" i="31" s="1"/>
  <c r="AB1763" i="31" s="1"/>
  <c r="Y1764" i="31"/>
  <c r="AA1764" i="31" a="1"/>
  <c r="AA1764" i="31" s="1"/>
  <c r="AB1764" i="31" s="1"/>
  <c r="Y1765" i="31"/>
  <c r="AA1765" i="31" a="1"/>
  <c r="AA1765" i="31" s="1"/>
  <c r="AB1765" i="31" s="1"/>
  <c r="Y1766" i="31"/>
  <c r="AA1766" i="31" a="1"/>
  <c r="AA1766" i="31" s="1"/>
  <c r="AB1766" i="31" s="1"/>
  <c r="Y1767" i="31"/>
  <c r="AA1767" i="31" a="1"/>
  <c r="AA1767" i="31" s="1"/>
  <c r="AB1767" i="31" s="1"/>
  <c r="Y1768" i="31"/>
  <c r="AA1768" i="31" a="1"/>
  <c r="AA1768" i="31" s="1"/>
  <c r="AB1768" i="31" s="1"/>
  <c r="Y1769" i="31"/>
  <c r="AA1769" i="31" a="1"/>
  <c r="AA1769" i="31" s="1"/>
  <c r="AB1769" i="31" s="1"/>
  <c r="Y1770" i="31"/>
  <c r="AA1770" i="31" a="1"/>
  <c r="AA1770" i="31" s="1"/>
  <c r="AB1770" i="31" s="1"/>
  <c r="Y1771" i="31"/>
  <c r="AA1771" i="31" a="1"/>
  <c r="AA1771" i="31" s="1"/>
  <c r="AB1771" i="31" s="1"/>
  <c r="Y1772" i="31"/>
  <c r="AA1772" i="31" a="1"/>
  <c r="AA1772" i="31" s="1"/>
  <c r="AB1772" i="31" s="1"/>
  <c r="Y1773" i="31"/>
  <c r="AA1773" i="31" a="1"/>
  <c r="AA1773" i="31" s="1"/>
  <c r="AB1773" i="31" s="1"/>
  <c r="Y1774" i="31"/>
  <c r="AA1774" i="31" a="1"/>
  <c r="AA1774" i="31" s="1"/>
  <c r="AB1774" i="31" s="1"/>
  <c r="Y1775" i="31"/>
  <c r="AA1775" i="31" a="1"/>
  <c r="AA1775" i="31" s="1"/>
  <c r="AB1775" i="31" s="1"/>
  <c r="Y1776" i="31"/>
  <c r="AA1776" i="31" a="1"/>
  <c r="AA1776" i="31" s="1"/>
  <c r="AB1776" i="31" s="1"/>
  <c r="Y1777" i="31"/>
  <c r="AA1777" i="31" a="1"/>
  <c r="AA1777" i="31" s="1"/>
  <c r="AB1777" i="31" s="1"/>
  <c r="Y1778" i="31"/>
  <c r="AA1778" i="31" a="1"/>
  <c r="AA1778" i="31" s="1"/>
  <c r="AB1778" i="31" s="1"/>
  <c r="Y1779" i="31"/>
  <c r="AA1779" i="31" a="1"/>
  <c r="AA1779" i="31" s="1"/>
  <c r="AB1779" i="31" s="1"/>
  <c r="Y1780" i="31"/>
  <c r="AA1780" i="31" a="1"/>
  <c r="AA1780" i="31" s="1"/>
  <c r="AB1780" i="31" s="1"/>
  <c r="Y1781" i="31"/>
  <c r="AA1781" i="31" a="1"/>
  <c r="AA1781" i="31" s="1"/>
  <c r="AB1781" i="31" s="1"/>
  <c r="Y1782" i="31"/>
  <c r="AA1782" i="31" a="1"/>
  <c r="AA1782" i="31" s="1"/>
  <c r="AB1782" i="31" s="1"/>
  <c r="Y1783" i="31"/>
  <c r="AA1783" i="31" a="1"/>
  <c r="AA1783" i="31" s="1"/>
  <c r="AB1783" i="31" s="1"/>
  <c r="Y1784" i="31"/>
  <c r="AA1784" i="31" a="1"/>
  <c r="AA1784" i="31" s="1"/>
  <c r="AB1784" i="31" s="1"/>
  <c r="Y1785" i="31"/>
  <c r="AA1785" i="31" a="1"/>
  <c r="AA1785" i="31" s="1"/>
  <c r="AB1785" i="31" s="1"/>
  <c r="Y1786" i="31"/>
  <c r="AA1786" i="31" a="1"/>
  <c r="AA1786" i="31" s="1"/>
  <c r="AB1786" i="31" s="1"/>
  <c r="Y1787" i="31"/>
  <c r="AA1787" i="31" a="1"/>
  <c r="AA1787" i="31" s="1"/>
  <c r="AB1787" i="31" s="1"/>
  <c r="Y1788" i="31"/>
  <c r="AA1788" i="31" a="1"/>
  <c r="AA1788" i="31" s="1"/>
  <c r="AB1788" i="31" s="1"/>
  <c r="Y1789" i="31"/>
  <c r="AA1789" i="31" a="1"/>
  <c r="AA1789" i="31" s="1"/>
  <c r="AB1789" i="31" s="1"/>
  <c r="Y1790" i="31"/>
  <c r="AA1790" i="31" a="1"/>
  <c r="AA1790" i="31" s="1"/>
  <c r="AB1790" i="31" s="1"/>
  <c r="Y1791" i="31"/>
  <c r="AA1791" i="31" a="1"/>
  <c r="AA1791" i="31" s="1"/>
  <c r="AB1791" i="31" s="1"/>
  <c r="Y1792" i="31"/>
  <c r="AA1792" i="31" a="1"/>
  <c r="AA1792" i="31" s="1"/>
  <c r="AB1792" i="31" s="1"/>
  <c r="Y1793" i="31"/>
  <c r="AA1793" i="31" a="1"/>
  <c r="AA1793" i="31" s="1"/>
  <c r="AB1793" i="31" s="1"/>
  <c r="Y1794" i="31"/>
  <c r="AA1794" i="31" a="1"/>
  <c r="AA1794" i="31" s="1"/>
  <c r="AB1794" i="31" s="1"/>
  <c r="Y1795" i="31"/>
  <c r="AA1795" i="31" a="1"/>
  <c r="AA1795" i="31" s="1"/>
  <c r="AB1795" i="31" s="1"/>
  <c r="Y1796" i="31"/>
  <c r="AA1796" i="31" a="1"/>
  <c r="AA1796" i="31" s="1"/>
  <c r="AB1796" i="31" s="1"/>
  <c r="Y1797" i="31"/>
  <c r="AA1797" i="31" a="1"/>
  <c r="AA1797" i="31" s="1"/>
  <c r="AB1797" i="31" s="1"/>
  <c r="Y1798" i="31"/>
  <c r="AA1798" i="31" a="1"/>
  <c r="AA1798" i="31" s="1"/>
  <c r="AB1798" i="31" s="1"/>
  <c r="Y1799" i="31"/>
  <c r="AA1799" i="31" a="1"/>
  <c r="AA1799" i="31" s="1"/>
  <c r="AB1799" i="31" s="1"/>
  <c r="Y1800" i="31"/>
  <c r="AA1800" i="31" a="1"/>
  <c r="AA1800" i="31" s="1"/>
  <c r="AB1800" i="31" s="1"/>
  <c r="Y1801" i="31"/>
  <c r="AA1801" i="31" a="1"/>
  <c r="AA1801" i="31" s="1"/>
  <c r="AB1801" i="31" s="1"/>
  <c r="Y1802" i="31"/>
  <c r="AA1802" i="31" a="1"/>
  <c r="AA1802" i="31" s="1"/>
  <c r="AB1802" i="31" s="1"/>
  <c r="Y1803" i="31"/>
  <c r="AA1803" i="31" a="1"/>
  <c r="AA1803" i="31" s="1"/>
  <c r="AB1803" i="31" s="1"/>
  <c r="Y1804" i="31"/>
  <c r="AA1804" i="31" a="1"/>
  <c r="AA1804" i="31" s="1"/>
  <c r="AB1804" i="31" s="1"/>
  <c r="Y1805" i="31"/>
  <c r="AA1805" i="31" a="1"/>
  <c r="AA1805" i="31" s="1"/>
  <c r="AB1805" i="31" s="1"/>
  <c r="Y1806" i="31"/>
  <c r="AA1806" i="31" a="1"/>
  <c r="AA1806" i="31" s="1"/>
  <c r="AB1806" i="31" s="1"/>
  <c r="Y1807" i="31"/>
  <c r="AA1807" i="31" a="1"/>
  <c r="AA1807" i="31" s="1"/>
  <c r="AB1807" i="31" s="1"/>
  <c r="Y1808" i="31"/>
  <c r="AA1808" i="31" a="1"/>
  <c r="AA1808" i="31" s="1"/>
  <c r="AB1808" i="31" s="1"/>
  <c r="Y1809" i="31"/>
  <c r="AA1809" i="31" a="1"/>
  <c r="AA1809" i="31" s="1"/>
  <c r="AB1809" i="31" s="1"/>
  <c r="Y1810" i="31"/>
  <c r="AA1810" i="31" a="1"/>
  <c r="AA1810" i="31" s="1"/>
  <c r="AB1810" i="31" s="1"/>
  <c r="Y1811" i="31"/>
  <c r="AA1811" i="31" a="1"/>
  <c r="AA1811" i="31" s="1"/>
  <c r="AB1811" i="31" s="1"/>
  <c r="Y1812" i="31"/>
  <c r="AA1812" i="31" a="1"/>
  <c r="AA1812" i="31" s="1"/>
  <c r="AB1812" i="31" s="1"/>
  <c r="Y1813" i="31"/>
  <c r="AA1813" i="31" a="1"/>
  <c r="AA1813" i="31" s="1"/>
  <c r="AB1813" i="31" s="1"/>
  <c r="Y1814" i="31"/>
  <c r="AA1814" i="31" a="1"/>
  <c r="AA1814" i="31" s="1"/>
  <c r="AB1814" i="31" s="1"/>
  <c r="Y1815" i="31"/>
  <c r="AA1815" i="31" a="1"/>
  <c r="AA1815" i="31" s="1"/>
  <c r="AB1815" i="31" s="1"/>
  <c r="Y1816" i="31"/>
  <c r="AA1816" i="31" a="1"/>
  <c r="AA1816" i="31" s="1"/>
  <c r="AB1816" i="31" s="1"/>
  <c r="Y1817" i="31"/>
  <c r="AA1817" i="31" a="1"/>
  <c r="AA1817" i="31" s="1"/>
  <c r="AB1817" i="31" s="1"/>
  <c r="Y1818" i="31"/>
  <c r="AA1818" i="31" a="1"/>
  <c r="AA1818" i="31" s="1"/>
  <c r="AB1818" i="31" s="1"/>
  <c r="Y1819" i="31"/>
  <c r="AA1819" i="31" a="1"/>
  <c r="AA1819" i="31" s="1"/>
  <c r="AB1819" i="31" s="1"/>
  <c r="Y1820" i="31"/>
  <c r="AA1820" i="31" a="1"/>
  <c r="AA1820" i="31" s="1"/>
  <c r="AB1820" i="31" s="1"/>
  <c r="Y1821" i="31"/>
  <c r="AA1821" i="31" a="1"/>
  <c r="AA1821" i="31" s="1"/>
  <c r="AB1821" i="31" s="1"/>
  <c r="Y1822" i="31"/>
  <c r="AA1822" i="31" a="1"/>
  <c r="AA1822" i="31" s="1"/>
  <c r="AB1822" i="31" s="1"/>
  <c r="Y1823" i="31"/>
  <c r="AA1823" i="31" a="1"/>
  <c r="AA1823" i="31" s="1"/>
  <c r="AB1823" i="31" s="1"/>
  <c r="Y1824" i="31"/>
  <c r="AA1824" i="31" a="1"/>
  <c r="AA1824" i="31" s="1"/>
  <c r="AB1824" i="31" s="1"/>
  <c r="Y1825" i="31"/>
  <c r="AA1825" i="31" a="1"/>
  <c r="AA1825" i="31" s="1"/>
  <c r="AB1825" i="31" s="1"/>
  <c r="Y1826" i="31"/>
  <c r="AA1826" i="31" a="1"/>
  <c r="AA1826" i="31" s="1"/>
  <c r="AB1826" i="31" s="1"/>
  <c r="Y1827" i="31"/>
  <c r="AA1827" i="31" a="1"/>
  <c r="AA1827" i="31" s="1"/>
  <c r="AB1827" i="31" s="1"/>
  <c r="Y1828" i="31"/>
  <c r="AA1828" i="31" a="1"/>
  <c r="AA1828" i="31" s="1"/>
  <c r="AB1828" i="31" s="1"/>
  <c r="Y1829" i="31"/>
  <c r="AA1829" i="31" a="1"/>
  <c r="AA1829" i="31" s="1"/>
  <c r="AB1829" i="31" s="1"/>
  <c r="Y1830" i="31"/>
  <c r="AA1830" i="31" a="1"/>
  <c r="AA1830" i="31" s="1"/>
  <c r="AB1830" i="31" s="1"/>
  <c r="Y1831" i="31"/>
  <c r="AA1831" i="31" a="1"/>
  <c r="AA1831" i="31" s="1"/>
  <c r="AB1831" i="31" s="1"/>
  <c r="Y1832" i="31"/>
  <c r="AA1832" i="31" a="1"/>
  <c r="AA1832" i="31" s="1"/>
  <c r="AB1832" i="31" s="1"/>
  <c r="Y1833" i="31"/>
  <c r="AA1833" i="31" a="1"/>
  <c r="AA1833" i="31" s="1"/>
  <c r="AB1833" i="31" s="1"/>
  <c r="Y1834" i="31"/>
  <c r="AA1834" i="31" a="1"/>
  <c r="AA1834" i="31" s="1"/>
  <c r="AB1834" i="31" s="1"/>
  <c r="Y1835" i="31"/>
  <c r="AA1835" i="31" a="1"/>
  <c r="AA1835" i="31" s="1"/>
  <c r="AB1835" i="31" s="1"/>
  <c r="Y1836" i="31"/>
  <c r="AA1836" i="31" a="1"/>
  <c r="AA1836" i="31" s="1"/>
  <c r="AB1836" i="31" s="1"/>
  <c r="Y1837" i="31"/>
  <c r="AA1837" i="31" a="1"/>
  <c r="AA1837" i="31" s="1"/>
  <c r="AB1837" i="31" s="1"/>
  <c r="Y1838" i="31"/>
  <c r="AA1838" i="31" a="1"/>
  <c r="AA1838" i="31" s="1"/>
  <c r="AB1838" i="31" s="1"/>
  <c r="Y1839" i="31"/>
  <c r="AA1839" i="31" a="1"/>
  <c r="AA1839" i="31" s="1"/>
  <c r="AB1839" i="31" s="1"/>
  <c r="Y1840" i="31"/>
  <c r="AA1840" i="31" a="1"/>
  <c r="AA1840" i="31" s="1"/>
  <c r="AB1840" i="31" s="1"/>
  <c r="Y1841" i="31"/>
  <c r="AA1841" i="31" a="1"/>
  <c r="AA1841" i="31" s="1"/>
  <c r="AB1841" i="31" s="1"/>
  <c r="Y1842" i="31"/>
  <c r="AA1842" i="31" a="1"/>
  <c r="AA1842" i="31" s="1"/>
  <c r="AB1842" i="31" s="1"/>
  <c r="Y1843" i="31"/>
  <c r="AA1843" i="31" a="1"/>
  <c r="AA1843" i="31" s="1"/>
  <c r="AB1843" i="31" s="1"/>
  <c r="Y1844" i="31"/>
  <c r="AA1844" i="31" a="1"/>
  <c r="AA1844" i="31" s="1"/>
  <c r="AB1844" i="31" s="1"/>
  <c r="Y1845" i="31"/>
  <c r="AA1845" i="31" a="1"/>
  <c r="AA1845" i="31" s="1"/>
  <c r="AB1845" i="31" s="1"/>
  <c r="Y1846" i="31"/>
  <c r="AA1846" i="31" a="1"/>
  <c r="AA1846" i="31" s="1"/>
  <c r="AB1846" i="31" s="1"/>
  <c r="Y1847" i="31"/>
  <c r="AA1847" i="31" a="1"/>
  <c r="AA1847" i="31" s="1"/>
  <c r="AB1847" i="31" s="1"/>
  <c r="Y1848" i="31"/>
  <c r="AA1848" i="31" a="1"/>
  <c r="AA1848" i="31" s="1"/>
  <c r="AB1848" i="31" s="1"/>
  <c r="Y1849" i="31"/>
  <c r="AA1849" i="31" a="1"/>
  <c r="AA1849" i="31" s="1"/>
  <c r="AB1849" i="31" s="1"/>
  <c r="Y1850" i="31"/>
  <c r="AA1850" i="31" a="1"/>
  <c r="AA1850" i="31" s="1"/>
  <c r="AB1850" i="31" s="1"/>
  <c r="Y1851" i="31"/>
  <c r="AA1851" i="31" a="1"/>
  <c r="AA1851" i="31" s="1"/>
  <c r="AB1851" i="31" s="1"/>
  <c r="Y1852" i="31"/>
  <c r="AA1852" i="31" a="1"/>
  <c r="AA1852" i="31" s="1"/>
  <c r="AB1852" i="31" s="1"/>
  <c r="Y1853" i="31"/>
  <c r="AA1853" i="31" a="1"/>
  <c r="AA1853" i="31" s="1"/>
  <c r="AB1853" i="31" s="1"/>
  <c r="Y1854" i="31"/>
  <c r="AA1854" i="31" a="1"/>
  <c r="AA1854" i="31" s="1"/>
  <c r="AB1854" i="31" s="1"/>
  <c r="Y1855" i="31"/>
  <c r="AA1855" i="31" a="1"/>
  <c r="AA1855" i="31" s="1"/>
  <c r="AB1855" i="31" s="1"/>
  <c r="Y1856" i="31"/>
  <c r="AA1856" i="31" a="1"/>
  <c r="AA1856" i="31" s="1"/>
  <c r="AB1856" i="31" s="1"/>
  <c r="Y1857" i="31"/>
  <c r="AA1857" i="31" a="1"/>
  <c r="AA1857" i="31" s="1"/>
  <c r="AB1857" i="31" s="1"/>
  <c r="Y1858" i="31"/>
  <c r="AA1858" i="31" a="1"/>
  <c r="AA1858" i="31" s="1"/>
  <c r="AB1858" i="31" s="1"/>
  <c r="Y1859" i="31"/>
  <c r="AA1859" i="31" a="1"/>
  <c r="AA1859" i="31" s="1"/>
  <c r="AB1859" i="31" s="1"/>
  <c r="Y1860" i="31"/>
  <c r="AA1860" i="31" a="1"/>
  <c r="AA1860" i="31" s="1"/>
  <c r="AB1860" i="31" s="1"/>
  <c r="Y1861" i="31"/>
  <c r="AA1861" i="31" a="1"/>
  <c r="AA1861" i="31" s="1"/>
  <c r="AB1861" i="31" s="1"/>
  <c r="Y1862" i="31"/>
  <c r="AA1862" i="31" a="1"/>
  <c r="AA1862" i="31" s="1"/>
  <c r="AB1862" i="31" s="1"/>
  <c r="Y1863" i="31"/>
  <c r="AA1863" i="31" a="1"/>
  <c r="AA1863" i="31" s="1"/>
  <c r="AB1863" i="31" s="1"/>
  <c r="Y1864" i="31"/>
  <c r="AA1864" i="31" a="1"/>
  <c r="AA1864" i="31" s="1"/>
  <c r="AB1864" i="31" s="1"/>
  <c r="Y1865" i="31"/>
  <c r="AA1865" i="31" a="1"/>
  <c r="AA1865" i="31" s="1"/>
  <c r="AB1865" i="31" s="1"/>
  <c r="Y1866" i="31"/>
  <c r="AA1866" i="31" a="1"/>
  <c r="AA1866" i="31" s="1"/>
  <c r="AB1866" i="31" s="1"/>
  <c r="Y1867" i="31"/>
  <c r="AA1867" i="31" a="1"/>
  <c r="AA1867" i="31" s="1"/>
  <c r="AB1867" i="31" s="1"/>
  <c r="Y1868" i="31"/>
  <c r="AA1868" i="31" a="1"/>
  <c r="AA1868" i="31" s="1"/>
  <c r="AB1868" i="31" s="1"/>
  <c r="Y1869" i="31"/>
  <c r="AA1869" i="31" a="1"/>
  <c r="AA1869" i="31" s="1"/>
  <c r="AB1869" i="31" s="1"/>
  <c r="Y1870" i="31"/>
  <c r="AA1870" i="31" a="1"/>
  <c r="AA1870" i="31" s="1"/>
  <c r="AB1870" i="31" s="1"/>
  <c r="Y1871" i="31"/>
  <c r="AA1871" i="31" a="1"/>
  <c r="AA1871" i="31" s="1"/>
  <c r="AB1871" i="31" s="1"/>
  <c r="Y1872" i="31"/>
  <c r="AA1872" i="31" a="1"/>
  <c r="AA1872" i="31" s="1"/>
  <c r="AB1872" i="31" s="1"/>
  <c r="Y1873" i="31"/>
  <c r="AA1873" i="31" a="1"/>
  <c r="AA1873" i="31" s="1"/>
  <c r="AB1873" i="31" s="1"/>
  <c r="Y1874" i="31"/>
  <c r="AA1874" i="31" a="1"/>
  <c r="AA1874" i="31" s="1"/>
  <c r="AB1874" i="31" s="1"/>
  <c r="Y1875" i="31"/>
  <c r="AA1875" i="31" a="1"/>
  <c r="AA1875" i="31" s="1"/>
  <c r="AB1875" i="31" s="1"/>
  <c r="Y1876" i="31"/>
  <c r="AA1876" i="31" a="1"/>
  <c r="AA1876" i="31" s="1"/>
  <c r="AB1876" i="31" s="1"/>
  <c r="Y1877" i="31"/>
  <c r="AA1877" i="31" a="1"/>
  <c r="AA1877" i="31" s="1"/>
  <c r="AB1877" i="31" s="1"/>
  <c r="Y1878" i="31"/>
  <c r="AA1878" i="31" a="1"/>
  <c r="AA1878" i="31" s="1"/>
  <c r="AB1878" i="31" s="1"/>
  <c r="Y1879" i="31"/>
  <c r="AA1879" i="31" a="1"/>
  <c r="AA1879" i="31" s="1"/>
  <c r="AB1879" i="31" s="1"/>
  <c r="Y1880" i="31"/>
  <c r="AA1880" i="31" a="1"/>
  <c r="AA1880" i="31" s="1"/>
  <c r="AB1880" i="31" s="1"/>
  <c r="Y1881" i="31"/>
  <c r="AA1881" i="31" a="1"/>
  <c r="AA1881" i="31" s="1"/>
  <c r="AB1881" i="31" s="1"/>
  <c r="Y1882" i="31"/>
  <c r="AA1882" i="31" a="1"/>
  <c r="AA1882" i="31" s="1"/>
  <c r="AB1882" i="31" s="1"/>
  <c r="Y1883" i="31"/>
  <c r="AA1883" i="31" a="1"/>
  <c r="AA1883" i="31" s="1"/>
  <c r="AB1883" i="31" s="1"/>
  <c r="Y1884" i="31"/>
  <c r="AA1884" i="31" a="1"/>
  <c r="AA1884" i="31" s="1"/>
  <c r="AB1884" i="31" s="1"/>
  <c r="Y1885" i="31"/>
  <c r="AA1885" i="31" a="1"/>
  <c r="AA1885" i="31" s="1"/>
  <c r="AB1885" i="31" s="1"/>
  <c r="Y1886" i="31"/>
  <c r="AA1886" i="31" a="1"/>
  <c r="AA1886" i="31" s="1"/>
  <c r="AB1886" i="31" s="1"/>
  <c r="Y1887" i="31"/>
  <c r="AA1887" i="31" a="1"/>
  <c r="AA1887" i="31" s="1"/>
  <c r="AB1887" i="31" s="1"/>
  <c r="Y1888" i="31"/>
  <c r="AA1888" i="31" a="1"/>
  <c r="AA1888" i="31" s="1"/>
  <c r="AB1888" i="31" s="1"/>
  <c r="Y1889" i="31"/>
  <c r="AA1889" i="31" a="1"/>
  <c r="AA1889" i="31" s="1"/>
  <c r="AB1889" i="31" s="1"/>
  <c r="Y1890" i="31"/>
  <c r="AA1890" i="31" a="1"/>
  <c r="AA1890" i="31" s="1"/>
  <c r="AB1890" i="31" s="1"/>
  <c r="Y1891" i="31"/>
  <c r="AA1891" i="31" a="1"/>
  <c r="AA1891" i="31" s="1"/>
  <c r="AB1891" i="31" s="1"/>
  <c r="Y1892" i="31"/>
  <c r="AA1892" i="31" a="1"/>
  <c r="AA1892" i="31" s="1"/>
  <c r="AB1892" i="31" s="1"/>
  <c r="Y1893" i="31"/>
  <c r="AA1893" i="31" a="1"/>
  <c r="AA1893" i="31" s="1"/>
  <c r="AB1893" i="31" s="1"/>
  <c r="Y1894" i="31"/>
  <c r="AA1894" i="31" a="1"/>
  <c r="AA1894" i="31" s="1"/>
  <c r="AB1894" i="31" s="1"/>
  <c r="Y1895" i="31"/>
  <c r="AA1895" i="31" a="1"/>
  <c r="AA1895" i="31" s="1"/>
  <c r="AB1895" i="31" s="1"/>
  <c r="Y1896" i="31"/>
  <c r="AA1896" i="31" a="1"/>
  <c r="AA1896" i="31" s="1"/>
  <c r="AB1896" i="31" s="1"/>
  <c r="Y1897" i="31"/>
  <c r="AA1897" i="31" a="1"/>
  <c r="AA1897" i="31" s="1"/>
  <c r="AB1897" i="31" s="1"/>
  <c r="Y1898" i="31"/>
  <c r="AA1898" i="31" a="1"/>
  <c r="AA1898" i="31" s="1"/>
  <c r="AB1898" i="31" s="1"/>
  <c r="Y1899" i="31"/>
  <c r="AA1899" i="31" a="1"/>
  <c r="AA1899" i="31" s="1"/>
  <c r="AB1899" i="31" s="1"/>
  <c r="Y1900" i="31"/>
  <c r="AA1900" i="31" a="1"/>
  <c r="AA1900" i="31" s="1"/>
  <c r="AB1900" i="31" s="1"/>
  <c r="Y1901" i="31"/>
  <c r="AA1901" i="31" a="1"/>
  <c r="AA1901" i="31" s="1"/>
  <c r="AB1901" i="31" s="1"/>
  <c r="Y1902" i="31"/>
  <c r="AA1902" i="31" a="1"/>
  <c r="AA1902" i="31" s="1"/>
  <c r="AB1902" i="31" s="1"/>
  <c r="Y1903" i="31"/>
  <c r="AA1903" i="31" a="1"/>
  <c r="AA1903" i="31" s="1"/>
  <c r="AB1903" i="31" s="1"/>
  <c r="Y1904" i="31"/>
  <c r="AA1904" i="31" a="1"/>
  <c r="AA1904" i="31" s="1"/>
  <c r="AB1904" i="31" s="1"/>
  <c r="Y1905" i="31"/>
  <c r="AA1905" i="31" a="1"/>
  <c r="AA1905" i="31" s="1"/>
  <c r="AB1905" i="31" s="1"/>
  <c r="Y1906" i="31"/>
  <c r="AA1906" i="31" a="1"/>
  <c r="AA1906" i="31" s="1"/>
  <c r="AB1906" i="31" s="1"/>
  <c r="Y1907" i="31"/>
  <c r="AA1907" i="31" a="1"/>
  <c r="AA1907" i="31" s="1"/>
  <c r="AB1907" i="31" s="1"/>
  <c r="Y1908" i="31"/>
  <c r="AA1908" i="31" a="1"/>
  <c r="AA1908" i="31" s="1"/>
  <c r="AB1908" i="31" s="1"/>
  <c r="Y1909" i="31"/>
  <c r="AA1909" i="31" a="1"/>
  <c r="AA1909" i="31" s="1"/>
  <c r="AB1909" i="31" s="1"/>
  <c r="Y1910" i="31"/>
  <c r="AA1910" i="31" a="1"/>
  <c r="AA1910" i="31" s="1"/>
  <c r="AB1910" i="31" s="1"/>
  <c r="Y1911" i="31"/>
  <c r="AA1911" i="31" a="1"/>
  <c r="AA1911" i="31" s="1"/>
  <c r="AB1911" i="31" s="1"/>
  <c r="Y1912" i="31"/>
  <c r="AA1912" i="31" a="1"/>
  <c r="AA1912" i="31" s="1"/>
  <c r="AB1912" i="31" s="1"/>
  <c r="Y1913" i="31"/>
  <c r="AA1913" i="31" a="1"/>
  <c r="AA1913" i="31" s="1"/>
  <c r="AB1913" i="31" s="1"/>
  <c r="Y1914" i="31"/>
  <c r="AA1914" i="31" a="1"/>
  <c r="AA1914" i="31" s="1"/>
  <c r="AB1914" i="31" s="1"/>
  <c r="Y1915" i="31"/>
  <c r="AA1915" i="31" a="1"/>
  <c r="AA1915" i="31" s="1"/>
  <c r="AB1915" i="31" s="1"/>
  <c r="Y1916" i="31"/>
  <c r="AA1916" i="31" a="1"/>
  <c r="AA1916" i="31" s="1"/>
  <c r="AB1916" i="31" s="1"/>
  <c r="Y1917" i="31"/>
  <c r="AA1917" i="31" a="1"/>
  <c r="AA1917" i="31" s="1"/>
  <c r="AB1917" i="31" s="1"/>
  <c r="Y1918" i="31"/>
  <c r="AA1918" i="31" a="1"/>
  <c r="AA1918" i="31" s="1"/>
  <c r="AB1918" i="31" s="1"/>
  <c r="Y1919" i="31"/>
  <c r="AA1919" i="31" a="1"/>
  <c r="AA1919" i="31" s="1"/>
  <c r="AB1919" i="31" s="1"/>
  <c r="Y1920" i="31"/>
  <c r="AA1920" i="31" a="1"/>
  <c r="AA1920" i="31" s="1"/>
  <c r="AB1920" i="31" s="1"/>
  <c r="Y1921" i="31"/>
  <c r="AA1921" i="31" a="1"/>
  <c r="AA1921" i="31" s="1"/>
  <c r="AB1921" i="31" s="1"/>
  <c r="Y1922" i="31"/>
  <c r="AA1922" i="31" a="1"/>
  <c r="AA1922" i="31" s="1"/>
  <c r="AB1922" i="31" s="1"/>
  <c r="Y1923" i="31"/>
  <c r="AA1923" i="31" a="1"/>
  <c r="AA1923" i="31" s="1"/>
  <c r="AB1923" i="31" s="1"/>
  <c r="Y1924" i="31"/>
  <c r="AA1924" i="31" a="1"/>
  <c r="AA1924" i="31" s="1"/>
  <c r="AB1924" i="31" s="1"/>
  <c r="Y1925" i="31"/>
  <c r="AA1925" i="31" a="1"/>
  <c r="AA1925" i="31" s="1"/>
  <c r="AB1925" i="31" s="1"/>
  <c r="Y1926" i="31"/>
  <c r="AA1926" i="31" a="1"/>
  <c r="AA1926" i="31" s="1"/>
  <c r="AB1926" i="31" s="1"/>
  <c r="Y1927" i="31"/>
  <c r="AA1927" i="31" a="1"/>
  <c r="AA1927" i="31" s="1"/>
  <c r="AB1927" i="31" s="1"/>
  <c r="Y1928" i="31"/>
  <c r="AA1928" i="31" a="1"/>
  <c r="AA1928" i="31" s="1"/>
  <c r="AB1928" i="31" s="1"/>
  <c r="Y1929" i="31"/>
  <c r="AA1929" i="31" a="1"/>
  <c r="AA1929" i="31" s="1"/>
  <c r="AB1929" i="31" s="1"/>
  <c r="Y1930" i="31"/>
  <c r="AA1930" i="31" a="1"/>
  <c r="AA1930" i="31" s="1"/>
  <c r="AB1930" i="31" s="1"/>
  <c r="Y1931" i="31"/>
  <c r="AA1931" i="31" a="1"/>
  <c r="AA1931" i="31" s="1"/>
  <c r="AB1931" i="31" s="1"/>
  <c r="Y1932" i="31"/>
  <c r="AA1932" i="31" a="1"/>
  <c r="AA1932" i="31" s="1"/>
  <c r="AB1932" i="31" s="1"/>
  <c r="Y1933" i="31"/>
  <c r="AA1933" i="31" a="1"/>
  <c r="AA1933" i="31" s="1"/>
  <c r="AB1933" i="31" s="1"/>
  <c r="Y1934" i="31"/>
  <c r="AA1934" i="31" a="1"/>
  <c r="AA1934" i="31" s="1"/>
  <c r="AB1934" i="31" s="1"/>
  <c r="Y1935" i="31"/>
  <c r="AA1935" i="31" a="1"/>
  <c r="AA1935" i="31" s="1"/>
  <c r="AB1935" i="31" s="1"/>
  <c r="Y1936" i="31"/>
  <c r="AA1936" i="31" a="1"/>
  <c r="AA1936" i="31" s="1"/>
  <c r="AB1936" i="31" s="1"/>
  <c r="Y1937" i="31"/>
  <c r="AA1937" i="31" a="1"/>
  <c r="AA1937" i="31" s="1"/>
  <c r="AB1937" i="31" s="1"/>
  <c r="Y1938" i="31"/>
  <c r="AA1938" i="31" a="1"/>
  <c r="AA1938" i="31" s="1"/>
  <c r="AB1938" i="31" s="1"/>
  <c r="Y1939" i="31"/>
  <c r="AA1939" i="31" a="1"/>
  <c r="AA1939" i="31" s="1"/>
  <c r="AB1939" i="31" s="1"/>
  <c r="Y1940" i="31"/>
  <c r="AA1940" i="31" a="1"/>
  <c r="AA1940" i="31" s="1"/>
  <c r="AB1940" i="31" s="1"/>
  <c r="Y1941" i="31"/>
  <c r="AA1941" i="31" a="1"/>
  <c r="AA1941" i="31" s="1"/>
  <c r="AB1941" i="31" s="1"/>
  <c r="Y1942" i="31"/>
  <c r="AA1942" i="31" a="1"/>
  <c r="AA1942" i="31" s="1"/>
  <c r="AB1942" i="31" s="1"/>
  <c r="Y1943" i="31"/>
  <c r="AA1943" i="31" a="1"/>
  <c r="AA1943" i="31" s="1"/>
  <c r="AB1943" i="31" s="1"/>
  <c r="Y1944" i="31"/>
  <c r="AA1944" i="31" a="1"/>
  <c r="AA1944" i="31" s="1"/>
  <c r="AB1944" i="31" s="1"/>
  <c r="Y1945" i="31"/>
  <c r="AA1945" i="31" a="1"/>
  <c r="AA1945" i="31" s="1"/>
  <c r="AB1945" i="31" s="1"/>
  <c r="Y1946" i="31"/>
  <c r="AA1946" i="31" a="1"/>
  <c r="AA1946" i="31" s="1"/>
  <c r="AB1946" i="31" s="1"/>
  <c r="Y1947" i="31"/>
  <c r="AA1947" i="31" a="1"/>
  <c r="AA1947" i="31" s="1"/>
  <c r="AB1947" i="31" s="1"/>
  <c r="Y1948" i="31"/>
  <c r="AA1948" i="31" a="1"/>
  <c r="AA1948" i="31" s="1"/>
  <c r="AB1948" i="31" s="1"/>
  <c r="Y1949" i="31"/>
  <c r="AA1949" i="31" a="1"/>
  <c r="AA1949" i="31" s="1"/>
  <c r="AB1949" i="31" s="1"/>
  <c r="Y1950" i="31"/>
  <c r="AA1950" i="31" a="1"/>
  <c r="AA1950" i="31" s="1"/>
  <c r="AB1950" i="31" s="1"/>
  <c r="Y1951" i="31"/>
  <c r="AA1951" i="31" a="1"/>
  <c r="AA1951" i="31" s="1"/>
  <c r="AB1951" i="31" s="1"/>
  <c r="Y1952" i="31"/>
  <c r="AA1952" i="31" a="1"/>
  <c r="AA1952" i="31" s="1"/>
  <c r="AB1952" i="31" s="1"/>
  <c r="Y1953" i="31"/>
  <c r="AA1953" i="31" a="1"/>
  <c r="AA1953" i="31" s="1"/>
  <c r="AB1953" i="31" s="1"/>
  <c r="Y1954" i="31"/>
  <c r="AA1954" i="31" a="1"/>
  <c r="AA1954" i="31" s="1"/>
  <c r="AB1954" i="31" s="1"/>
  <c r="Y1955" i="31"/>
  <c r="AA1955" i="31" a="1"/>
  <c r="AA1955" i="31" s="1"/>
  <c r="AB1955" i="31" s="1"/>
  <c r="Y1956" i="31"/>
  <c r="AA1956" i="31" a="1"/>
  <c r="AA1956" i="31" s="1"/>
  <c r="AB1956" i="31" s="1"/>
  <c r="Y1957" i="31"/>
  <c r="AA1957" i="31" a="1"/>
  <c r="AA1957" i="31" s="1"/>
  <c r="AB1957" i="31" s="1"/>
  <c r="Y1958" i="31"/>
  <c r="AA1958" i="31" a="1"/>
  <c r="AA1958" i="31" s="1"/>
  <c r="AB1958" i="31" s="1"/>
  <c r="Y1959" i="31"/>
  <c r="AA1959" i="31" a="1"/>
  <c r="AA1959" i="31" s="1"/>
  <c r="AB1959" i="31" s="1"/>
  <c r="Y1960" i="31"/>
  <c r="AA1960" i="31" a="1"/>
  <c r="AA1960" i="31" s="1"/>
  <c r="AB1960" i="31" s="1"/>
  <c r="Y1961" i="31"/>
  <c r="AA1961" i="31" a="1"/>
  <c r="AA1961" i="31" s="1"/>
  <c r="AB1961" i="31" s="1"/>
  <c r="Y1962" i="31"/>
  <c r="AA1962" i="31" a="1"/>
  <c r="AA1962" i="31" s="1"/>
  <c r="AB1962" i="31" s="1"/>
  <c r="Y1963" i="31"/>
  <c r="AA1963" i="31" a="1"/>
  <c r="AA1963" i="31" s="1"/>
  <c r="AB1963" i="31" s="1"/>
  <c r="Y1964" i="31"/>
  <c r="AA1964" i="31" a="1"/>
  <c r="AA1964" i="31" s="1"/>
  <c r="AB1964" i="31" s="1"/>
  <c r="Y1965" i="31"/>
  <c r="AA1965" i="31" a="1"/>
  <c r="AA1965" i="31" s="1"/>
  <c r="AB1965" i="31" s="1"/>
  <c r="Y1966" i="31"/>
  <c r="AA1966" i="31" a="1"/>
  <c r="AA1966" i="31" s="1"/>
  <c r="AB1966" i="31" s="1"/>
  <c r="Y1967" i="31"/>
  <c r="AA1967" i="31" a="1"/>
  <c r="AA1967" i="31" s="1"/>
  <c r="AB1967" i="31" s="1"/>
  <c r="Y1968" i="31"/>
  <c r="AA1968" i="31" a="1"/>
  <c r="AA1968" i="31" s="1"/>
  <c r="AB1968" i="31" s="1"/>
  <c r="Y1969" i="31"/>
  <c r="AA1969" i="31" a="1"/>
  <c r="AA1969" i="31" s="1"/>
  <c r="AB1969" i="31" s="1"/>
  <c r="Y1970" i="31"/>
  <c r="AA1970" i="31" a="1"/>
  <c r="AA1970" i="31" s="1"/>
  <c r="AB1970" i="31" s="1"/>
  <c r="Y1971" i="31"/>
  <c r="AA1971" i="31" a="1"/>
  <c r="AA1971" i="31" s="1"/>
  <c r="AB1971" i="31" s="1"/>
  <c r="Y1972" i="31"/>
  <c r="AA1972" i="31" a="1"/>
  <c r="AA1972" i="31" s="1"/>
  <c r="AB1972" i="31" s="1"/>
  <c r="Y1973" i="31"/>
  <c r="AA1973" i="31" a="1"/>
  <c r="AA1973" i="31" s="1"/>
  <c r="AB1973" i="31" s="1"/>
  <c r="Y1974" i="31"/>
  <c r="AA1974" i="31" a="1"/>
  <c r="AA1974" i="31" s="1"/>
  <c r="AB1974" i="31" s="1"/>
  <c r="Y1975" i="31"/>
  <c r="AA1975" i="31" a="1"/>
  <c r="AA1975" i="31" s="1"/>
  <c r="AB1975" i="31" s="1"/>
  <c r="Y1976" i="31"/>
  <c r="AA1976" i="31" a="1"/>
  <c r="AA1976" i="31" s="1"/>
  <c r="AB1976" i="31" s="1"/>
  <c r="Y1977" i="31"/>
  <c r="AA1977" i="31" a="1"/>
  <c r="AA1977" i="31" s="1"/>
  <c r="AB1977" i="31" s="1"/>
  <c r="Y1978" i="31"/>
  <c r="AA1978" i="31" a="1"/>
  <c r="AA1978" i="31" s="1"/>
  <c r="AB1978" i="31" s="1"/>
  <c r="Y1979" i="31"/>
  <c r="AA1979" i="31" a="1"/>
  <c r="AA1979" i="31" s="1"/>
  <c r="AB1979" i="31" s="1"/>
  <c r="Y1980" i="31"/>
  <c r="AA1980" i="31" a="1"/>
  <c r="AA1980" i="31" s="1"/>
  <c r="AB1980" i="31" s="1"/>
  <c r="Y1981" i="31"/>
  <c r="AA1981" i="31" a="1"/>
  <c r="AA1981" i="31" s="1"/>
  <c r="AB1981" i="31" s="1"/>
  <c r="Y1982" i="31"/>
  <c r="AA1982" i="31" a="1"/>
  <c r="AA1982" i="31" s="1"/>
  <c r="AB1982" i="31" s="1"/>
  <c r="Y1983" i="31"/>
  <c r="AA1983" i="31" a="1"/>
  <c r="AA1983" i="31" s="1"/>
  <c r="AB1983" i="31" s="1"/>
  <c r="Y1984" i="31"/>
  <c r="AA1984" i="31" a="1"/>
  <c r="AA1984" i="31" s="1"/>
  <c r="AB1984" i="31" s="1"/>
  <c r="Y1985" i="31"/>
  <c r="AA1985" i="31" a="1"/>
  <c r="AA1985" i="31" s="1"/>
  <c r="AB1985" i="31" s="1"/>
  <c r="Y1986" i="31"/>
  <c r="AA1986" i="31" a="1"/>
  <c r="AA1986" i="31" s="1"/>
  <c r="AB1986" i="31" s="1"/>
  <c r="Y1987" i="31"/>
  <c r="AA1987" i="31" a="1"/>
  <c r="AA1987" i="31" s="1"/>
  <c r="AB1987" i="31" s="1"/>
  <c r="Y1988" i="31"/>
  <c r="AA1988" i="31" a="1"/>
  <c r="AA1988" i="31" s="1"/>
  <c r="AB1988" i="31" s="1"/>
  <c r="Y1989" i="31"/>
  <c r="AA1989" i="31" a="1"/>
  <c r="AA1989" i="31" s="1"/>
  <c r="AB1989" i="31" s="1"/>
  <c r="Y1990" i="31"/>
  <c r="AA1990" i="31" a="1"/>
  <c r="AA1990" i="31" s="1"/>
  <c r="AB1990" i="31" s="1"/>
  <c r="Y1991" i="31"/>
  <c r="AA1991" i="31" a="1"/>
  <c r="AA1991" i="31" s="1"/>
  <c r="AB1991" i="31" s="1"/>
  <c r="Y1992" i="31"/>
  <c r="AA1992" i="31" a="1"/>
  <c r="AA1992" i="31" s="1"/>
  <c r="AB1992" i="31" s="1"/>
  <c r="Y1993" i="31"/>
  <c r="AA1993" i="31" a="1"/>
  <c r="AA1993" i="31" s="1"/>
  <c r="AB1993" i="31" s="1"/>
  <c r="Y1994" i="31"/>
  <c r="AA1994" i="31" a="1"/>
  <c r="AA1994" i="31" s="1"/>
  <c r="AB1994" i="31" s="1"/>
  <c r="Y1995" i="31"/>
  <c r="AA1995" i="31" a="1"/>
  <c r="AA1995" i="31" s="1"/>
  <c r="AB1995" i="31" s="1"/>
  <c r="Y1996" i="31"/>
  <c r="AA1996" i="31" a="1"/>
  <c r="AA1996" i="31" s="1"/>
  <c r="AB1996" i="31" s="1"/>
  <c r="Y1997" i="31"/>
  <c r="AA1997" i="31" a="1"/>
  <c r="AA1997" i="31" s="1"/>
  <c r="AB1997" i="31" s="1"/>
  <c r="Y1998" i="31"/>
  <c r="AA1998" i="31" a="1"/>
  <c r="AA1998" i="31" s="1"/>
  <c r="AB1998" i="31" s="1"/>
  <c r="Y1999" i="31"/>
  <c r="AA1999" i="31" a="1"/>
  <c r="AA1999" i="31" s="1"/>
  <c r="AB1999" i="31" s="1"/>
  <c r="Y2000" i="31"/>
  <c r="AA2000" i="31" a="1"/>
  <c r="AA2000" i="31" s="1"/>
  <c r="AB2000" i="31" s="1"/>
  <c r="Y2001" i="31"/>
  <c r="AA2001" i="31" a="1"/>
  <c r="AA2001" i="31" s="1"/>
  <c r="AB2001" i="31" s="1"/>
  <c r="V249" i="17" l="1" a="1"/>
  <c r="V249" i="17" s="1"/>
  <c r="W249" i="17" s="1"/>
  <c r="T182" i="17"/>
  <c r="U7" i="17" a="1"/>
  <c r="U7" i="17" s="1"/>
  <c r="U4" i="17" s="1"/>
  <c r="V70" i="17" a="1"/>
  <c r="V70" i="17" s="1"/>
  <c r="W70" i="17" s="1"/>
  <c r="W154" i="17"/>
  <c r="V65" i="17" a="1"/>
  <c r="V65" i="17" s="1"/>
  <c r="W65" i="17" s="1"/>
  <c r="W52" i="17"/>
  <c r="V191" i="17" a="1"/>
  <c r="V191" i="17" s="1"/>
  <c r="W191" i="17" s="1"/>
  <c r="T52" i="17"/>
  <c r="W47" i="17"/>
  <c r="W42" i="17"/>
  <c r="T128" i="17"/>
  <c r="T135" i="17"/>
  <c r="T166" i="17"/>
  <c r="V202" i="17" a="1"/>
  <c r="V202" i="17" s="1"/>
  <c r="W202" i="17" s="1"/>
  <c r="V228" i="17" a="1"/>
  <c r="V228" i="17" s="1"/>
  <c r="W228" i="17" s="1"/>
  <c r="V12" i="17" a="1"/>
  <c r="V12" i="17" s="1"/>
  <c r="W12" i="17" s="1"/>
  <c r="V106" i="17" a="1"/>
  <c r="V106" i="17" s="1"/>
  <c r="W106" i="17" s="1"/>
  <c r="W147" i="17"/>
  <c r="V200" i="17" a="1"/>
  <c r="V200" i="17" s="1"/>
  <c r="W200" i="17" s="1"/>
  <c r="T131" i="17"/>
  <c r="V226" i="17" a="1"/>
  <c r="V226" i="17" s="1"/>
  <c r="W226" i="17" s="1"/>
  <c r="T66" i="17"/>
  <c r="W54" i="17"/>
  <c r="T32" i="17"/>
  <c r="V24" i="17" a="1"/>
  <c r="V24" i="17" s="1"/>
  <c r="W24" i="17" s="1"/>
  <c r="T118" i="17"/>
  <c r="V127" i="17" a="1"/>
  <c r="V127" i="17" s="1"/>
  <c r="W127" i="17" s="1"/>
  <c r="T132" i="17"/>
  <c r="V213" i="17" a="1"/>
  <c r="V213" i="17" s="1"/>
  <c r="W213" i="17" s="1"/>
  <c r="T102" i="17"/>
  <c r="W74" i="17"/>
  <c r="T55" i="17"/>
  <c r="V153" i="17" a="1"/>
  <c r="V153" i="17" s="1"/>
  <c r="W153" i="17" s="1"/>
  <c r="W203" i="17"/>
  <c r="V247" i="17" a="1"/>
  <c r="V247" i="17" s="1"/>
  <c r="W247" i="17" s="1"/>
  <c r="T74" i="17"/>
  <c r="W16" i="17"/>
  <c r="W142" i="17"/>
  <c r="T203" i="17"/>
  <c r="W75" i="17"/>
  <c r="T16" i="17"/>
  <c r="T48" i="17"/>
  <c r="V109" i="17" a="1"/>
  <c r="V109" i="17" s="1"/>
  <c r="W109" i="17" s="1"/>
  <c r="W144" i="17"/>
  <c r="T158" i="17"/>
  <c r="T163" i="17"/>
  <c r="T169" i="17"/>
  <c r="T196" i="17"/>
  <c r="V20" i="17" a="1"/>
  <c r="V20" i="17" s="1"/>
  <c r="W20" i="17" s="1"/>
  <c r="T144" i="17"/>
  <c r="T174" i="17"/>
  <c r="W215" i="17"/>
  <c r="V110" i="17" a="1"/>
  <c r="V110" i="17" s="1"/>
  <c r="W110" i="17" s="1"/>
  <c r="T223" i="17"/>
  <c r="W89" i="17"/>
  <c r="T85" i="17"/>
  <c r="T151" i="17"/>
  <c r="V180" i="17" a="1"/>
  <c r="V180" i="17" s="1"/>
  <c r="W180" i="17" s="1"/>
  <c r="T215" i="17"/>
  <c r="W243" i="17"/>
  <c r="V246" i="17" a="1"/>
  <c r="V246" i="17" s="1"/>
  <c r="W246" i="17" s="1"/>
  <c r="T79" i="17"/>
  <c r="V67" i="17" a="1"/>
  <c r="V67" i="17" s="1"/>
  <c r="W67" i="17" s="1"/>
  <c r="W56" i="17"/>
  <c r="T192" i="17"/>
  <c r="T243" i="17"/>
  <c r="T100" i="17"/>
  <c r="W85" i="17"/>
  <c r="T56" i="17"/>
  <c r="W35" i="17"/>
  <c r="T105" i="17"/>
  <c r="T107" i="17"/>
  <c r="T121" i="17"/>
  <c r="W128" i="17"/>
  <c r="W135" i="17"/>
  <c r="T146" i="17"/>
  <c r="T148" i="17"/>
  <c r="T160" i="17"/>
  <c r="W164" i="17"/>
  <c r="T176" i="17"/>
  <c r="T185" i="17"/>
  <c r="T208" i="17"/>
  <c r="T216" i="17"/>
  <c r="T227" i="17"/>
  <c r="T239" i="17"/>
  <c r="W66" i="17"/>
  <c r="W38" i="17"/>
  <c r="T122" i="17"/>
  <c r="V134" i="17" a="1"/>
  <c r="V134" i="17" s="1"/>
  <c r="W134" i="17" s="1"/>
  <c r="T147" i="17"/>
  <c r="W152" i="17"/>
  <c r="T159" i="17"/>
  <c r="W165" i="17"/>
  <c r="T183" i="17"/>
  <c r="V190" i="17" a="1"/>
  <c r="V190" i="17" s="1"/>
  <c r="W190" i="17" s="1"/>
  <c r="T236" i="17"/>
  <c r="V10" i="17" a="1"/>
  <c r="V10" i="17" s="1"/>
  <c r="W10" i="17" s="1"/>
  <c r="V88" i="17" a="1"/>
  <c r="V88" i="17" s="1"/>
  <c r="W88" i="17" s="1"/>
  <c r="V78" i="17" a="1"/>
  <c r="V78" i="17" s="1"/>
  <c r="W78" i="17" s="1"/>
  <c r="T54" i="17"/>
  <c r="T152" i="17"/>
  <c r="T165" i="17"/>
  <c r="W176" i="17"/>
  <c r="W216" i="17"/>
  <c r="T39" i="17"/>
  <c r="T139" i="17"/>
  <c r="V217" i="17" a="1"/>
  <c r="V217" i="17" s="1"/>
  <c r="W217" i="17" s="1"/>
  <c r="T235" i="17"/>
  <c r="V240" i="17" a="1"/>
  <c r="V240" i="17" s="1"/>
  <c r="W240" i="17" s="1"/>
  <c r="T73" i="17"/>
  <c r="T23" i="17"/>
  <c r="W99" i="17"/>
  <c r="W139" i="17"/>
  <c r="T154" i="17"/>
  <c r="V91" i="17" a="1"/>
  <c r="V91" i="17" s="1"/>
  <c r="W91" i="17" s="1"/>
  <c r="V53" i="17" a="1"/>
  <c r="V53" i="17" s="1"/>
  <c r="W53" i="17" s="1"/>
  <c r="V17" i="17" a="1"/>
  <c r="V17" i="17" s="1"/>
  <c r="W17" i="17" s="1"/>
  <c r="V43" i="17" a="1"/>
  <c r="V43" i="17" s="1"/>
  <c r="W43" i="17" s="1"/>
  <c r="V46" i="17" a="1"/>
  <c r="V46" i="17" s="1"/>
  <c r="W46" i="17" s="1"/>
  <c r="W116" i="17"/>
  <c r="T195" i="17"/>
  <c r="T11" i="17"/>
  <c r="F48" i="35"/>
  <c r="I50" i="35"/>
  <c r="F47" i="35"/>
  <c r="I49" i="35"/>
  <c r="H48" i="35"/>
  <c r="F46" i="35"/>
  <c r="I48" i="35"/>
  <c r="H47" i="35"/>
  <c r="G28" i="35"/>
  <c r="F49" i="35"/>
  <c r="F45" i="35"/>
  <c r="H49" i="35"/>
  <c r="H53" i="35" s="1" a="1"/>
  <c r="H53" i="35" s="1"/>
  <c r="Q49" i="25"/>
  <c r="P50" i="25" s="1"/>
  <c r="Q52" i="25"/>
  <c r="T124" i="17"/>
  <c r="Y108" i="31"/>
  <c r="Y44" i="31"/>
  <c r="V115" i="17" a="1"/>
  <c r="V115" i="17" s="1"/>
  <c r="W115" i="17" s="1"/>
  <c r="W119" i="17"/>
  <c r="V162" i="17" a="1"/>
  <c r="V162" i="17" s="1"/>
  <c r="W162" i="17" s="1"/>
  <c r="T168" i="17"/>
  <c r="W179" i="17"/>
  <c r="V210" i="17" a="1"/>
  <c r="V210" i="17" s="1"/>
  <c r="W210" i="17" s="1"/>
  <c r="T232" i="17"/>
  <c r="V242" i="17" a="1"/>
  <c r="V242" i="17" s="1"/>
  <c r="W242" i="17" s="1"/>
  <c r="V244" i="17" a="1"/>
  <c r="V244" i="17" s="1"/>
  <c r="W244" i="17" s="1"/>
  <c r="T71" i="17"/>
  <c r="V108" i="17" a="1"/>
  <c r="V108" i="17" s="1"/>
  <c r="W108" i="17" s="1"/>
  <c r="T119" i="17"/>
  <c r="T179" i="17"/>
  <c r="W195" i="17"/>
  <c r="F52" i="25"/>
  <c r="I53" i="25" a="1"/>
  <c r="I53" i="25" s="1"/>
  <c r="AB108" i="31"/>
  <c r="AB44" i="31"/>
  <c r="T116" i="17"/>
  <c r="G33" i="25"/>
  <c r="G37" i="25"/>
  <c r="G34" i="25"/>
  <c r="G32" i="25"/>
  <c r="G38" i="25"/>
  <c r="G30" i="25"/>
  <c r="G35" i="25"/>
  <c r="G31" i="25"/>
  <c r="G36" i="25"/>
  <c r="T63" i="17"/>
  <c r="V59" i="17" a="1"/>
  <c r="V59" i="17" s="1"/>
  <c r="W59" i="17" s="1"/>
  <c r="W232" i="17"/>
  <c r="V103" i="17" a="1"/>
  <c r="V103" i="17" s="1"/>
  <c r="W103" i="17" s="1"/>
  <c r="V92" i="17" a="1"/>
  <c r="V92" i="17" s="1"/>
  <c r="W92" i="17" s="1"/>
  <c r="T230" i="17"/>
  <c r="T178" i="17"/>
  <c r="T188" i="17"/>
  <c r="V94" i="17" a="1"/>
  <c r="V94" i="17" s="1"/>
  <c r="W94" i="17" s="1"/>
  <c r="T30" i="17"/>
  <c r="T138" i="17"/>
  <c r="W68" i="17"/>
  <c r="T22" i="17"/>
  <c r="V76" i="17" a="1"/>
  <c r="V76" i="17" s="1"/>
  <c r="W76" i="17" s="1"/>
  <c r="V36" i="17" a="1"/>
  <c r="V36" i="17" s="1"/>
  <c r="W36" i="17" s="1"/>
  <c r="W155" i="17"/>
  <c r="W219" i="17"/>
  <c r="V98" i="17" a="1"/>
  <c r="V98" i="17" s="1"/>
  <c r="W98" i="17" s="1"/>
  <c r="W62" i="17"/>
  <c r="V60" i="17" a="1"/>
  <c r="V60" i="17" s="1"/>
  <c r="W60" i="17" s="1"/>
  <c r="V14" i="17" a="1"/>
  <c r="V14" i="17" s="1"/>
  <c r="W14" i="17" s="1"/>
  <c r="E28" i="36"/>
  <c r="J28" i="36" s="1"/>
  <c r="J29" i="36" s="1"/>
  <c r="T155" i="17"/>
  <c r="W188" i="17"/>
  <c r="W199" i="17"/>
  <c r="T219" i="17"/>
  <c r="T62" i="17"/>
  <c r="W30" i="17"/>
  <c r="V136" i="17" a="1"/>
  <c r="V136" i="17" s="1"/>
  <c r="W136" i="17" s="1"/>
  <c r="V140" i="17" a="1"/>
  <c r="V140" i="17" s="1"/>
  <c r="W140" i="17" s="1"/>
  <c r="W156" i="17"/>
  <c r="V170" i="17" a="1"/>
  <c r="V170" i="17" s="1"/>
  <c r="W170" i="17" s="1"/>
  <c r="V175" i="17" a="1"/>
  <c r="V175" i="17" s="1"/>
  <c r="W175" i="17" s="1"/>
  <c r="W212" i="17"/>
  <c r="V234" i="17" a="1"/>
  <c r="V234" i="17" s="1"/>
  <c r="W234" i="17" s="1"/>
  <c r="W51" i="17"/>
  <c r="V34" i="17" a="1"/>
  <c r="V34" i="17" s="1"/>
  <c r="W34" i="17" s="1"/>
  <c r="C28" i="30"/>
  <c r="E28" i="30" s="1"/>
  <c r="E29" i="30" s="1"/>
  <c r="V112" i="17" a="1"/>
  <c r="V112" i="17" s="1"/>
  <c r="W112" i="17" s="1"/>
  <c r="T156" i="17"/>
  <c r="T212" i="17"/>
  <c r="V82" i="17" a="1"/>
  <c r="V82" i="17" s="1"/>
  <c r="W82" i="17" s="1"/>
  <c r="T51" i="17"/>
  <c r="W192" i="17"/>
  <c r="W211" i="17"/>
  <c r="V8" i="17" a="1"/>
  <c r="V8" i="17" s="1"/>
  <c r="W8" i="17" s="1"/>
  <c r="V96" i="17" a="1"/>
  <c r="V96" i="17" s="1"/>
  <c r="W96" i="17" s="1"/>
  <c r="V27" i="17" a="1"/>
  <c r="V27" i="17" s="1"/>
  <c r="W27" i="17" s="1"/>
  <c r="W114" i="17"/>
  <c r="V172" i="17" a="1"/>
  <c r="V172" i="17" s="1"/>
  <c r="W172" i="17" s="1"/>
  <c r="V187" i="17" a="1"/>
  <c r="V187" i="17" s="1"/>
  <c r="W187" i="17" s="1"/>
  <c r="T211" i="17"/>
  <c r="V44" i="17" a="1"/>
  <c r="V44" i="17" s="1"/>
  <c r="W44" i="17" s="1"/>
  <c r="V18" i="17" a="1"/>
  <c r="V18" i="17" s="1"/>
  <c r="W18" i="17" s="1"/>
  <c r="T114" i="17"/>
  <c r="V220" i="17" a="1"/>
  <c r="V220" i="17" s="1"/>
  <c r="W220" i="17" s="1"/>
  <c r="V50" i="17" a="1"/>
  <c r="V50" i="17" s="1"/>
  <c r="W50" i="17" s="1"/>
  <c r="V26" i="17" a="1"/>
  <c r="V26" i="17" s="1"/>
  <c r="W26" i="17" s="1"/>
  <c r="V28" i="17" a="1"/>
  <c r="V28" i="17" s="1"/>
  <c r="W28" i="17" s="1"/>
  <c r="W72" i="17"/>
  <c r="V111" i="17" a="1"/>
  <c r="V111" i="17" s="1"/>
  <c r="W111" i="17" s="1"/>
  <c r="V194" i="17" a="1"/>
  <c r="V194" i="17" s="1"/>
  <c r="W194" i="17" s="1"/>
  <c r="V206" i="17" a="1"/>
  <c r="V206" i="17" s="1"/>
  <c r="W206" i="17" s="1"/>
  <c r="T72" i="17"/>
  <c r="T199" i="17"/>
  <c r="T68" i="17"/>
  <c r="E46" i="36"/>
  <c r="V130" i="17" a="1"/>
  <c r="V130" i="17" s="1"/>
  <c r="W130" i="17" s="1"/>
  <c r="R4" i="17"/>
  <c r="V90" i="17" a="1"/>
  <c r="V90" i="17" s="1"/>
  <c r="W90" i="17" s="1"/>
  <c r="T86" i="17"/>
  <c r="T126" i="17"/>
  <c r="W224" i="17"/>
  <c r="T224" i="17"/>
  <c r="D11" i="25"/>
  <c r="F11" i="25"/>
  <c r="I28" i="35"/>
  <c r="J28" i="35" s="1"/>
  <c r="K39" i="35"/>
  <c r="V184" i="17" a="1"/>
  <c r="V184" i="17" s="1"/>
  <c r="W184" i="17" s="1"/>
  <c r="E2" i="26" a="1"/>
  <c r="E2" i="26" s="1"/>
  <c r="E34" i="30"/>
  <c r="I28" i="25"/>
  <c r="K39" i="25"/>
  <c r="M11" i="25"/>
  <c r="S4" i="17"/>
  <c r="J11" i="25"/>
  <c r="I11" i="25"/>
  <c r="K11" i="25"/>
  <c r="E45" i="30"/>
  <c r="AA2" i="31" a="1"/>
  <c r="AA2" i="31" s="1"/>
  <c r="AB2" i="31" s="1"/>
  <c r="Y2" i="31"/>
  <c r="H11" i="25"/>
  <c r="E11" i="25"/>
  <c r="G11" i="25"/>
  <c r="C46" i="36"/>
  <c r="E35" i="36"/>
  <c r="T6" i="17"/>
  <c r="V6" i="17" a="1"/>
  <c r="V6" i="17" s="1"/>
  <c r="W6" i="17" s="1"/>
  <c r="E50" i="36"/>
  <c r="C61" i="36"/>
  <c r="E61" i="36"/>
  <c r="L11" i="25"/>
  <c r="O13" i="35"/>
  <c r="N13" i="35"/>
  <c r="M13" i="35"/>
  <c r="L13" i="35"/>
  <c r="K13" i="35"/>
  <c r="J13" i="35"/>
  <c r="I13" i="35"/>
  <c r="G13" i="35"/>
  <c r="H13" i="35"/>
  <c r="F13" i="35"/>
  <c r="I12" i="35"/>
  <c r="J12" i="35"/>
  <c r="K12" i="35"/>
  <c r="L12" i="35"/>
  <c r="M12" i="35"/>
  <c r="N12" i="35"/>
  <c r="O12" i="35"/>
  <c r="H12" i="35"/>
  <c r="G12" i="35"/>
  <c r="F12" i="35"/>
  <c r="M13" i="25"/>
  <c r="L13" i="25"/>
  <c r="K13" i="25"/>
  <c r="J13" i="25"/>
  <c r="I13" i="25"/>
  <c r="H13" i="25"/>
  <c r="G13" i="25"/>
  <c r="E13" i="25"/>
  <c r="F13" i="25"/>
  <c r="D13" i="25"/>
  <c r="G12" i="25"/>
  <c r="H12" i="25"/>
  <c r="I12" i="25"/>
  <c r="I22" i="25" s="1"/>
  <c r="I24" i="25" s="1"/>
  <c r="J12" i="25"/>
  <c r="K12" i="25"/>
  <c r="L12" i="25"/>
  <c r="M12" i="25"/>
  <c r="F12" i="25"/>
  <c r="E12" i="25"/>
  <c r="D12" i="25"/>
  <c r="I11" i="35"/>
  <c r="I22" i="35" s="1"/>
  <c r="I24" i="35" s="1"/>
  <c r="J11" i="35"/>
  <c r="K11" i="35"/>
  <c r="L11" i="35"/>
  <c r="L22" i="35" s="1"/>
  <c r="L24" i="35" s="1"/>
  <c r="M11" i="35"/>
  <c r="M22" i="35" s="1"/>
  <c r="M24" i="35" s="1"/>
  <c r="N11" i="35"/>
  <c r="O11" i="35"/>
  <c r="H11" i="35"/>
  <c r="G11" i="35"/>
  <c r="G22" i="35" s="1"/>
  <c r="G24" i="35" s="1"/>
  <c r="F11" i="35"/>
  <c r="C22" i="35"/>
  <c r="W7" i="17"/>
  <c r="AB3" i="31"/>
  <c r="D38" i="21"/>
  <c r="D36" i="21" s="1"/>
  <c r="B36" i="21" s="1"/>
  <c r="E38" i="6"/>
  <c r="E36" i="6" s="1"/>
  <c r="B36" i="6" s="1"/>
  <c r="P51" i="25" l="1"/>
  <c r="P52" i="25"/>
  <c r="Q50" i="25"/>
  <c r="G30" i="35"/>
  <c r="G37" i="35"/>
  <c r="G35" i="35"/>
  <c r="G34" i="35"/>
  <c r="G31" i="35"/>
  <c r="G38" i="35"/>
  <c r="G36" i="35"/>
  <c r="G29" i="35"/>
  <c r="G32" i="35"/>
  <c r="G33" i="35"/>
  <c r="F52" i="35"/>
  <c r="I53" i="35" a="1"/>
  <c r="I53" i="35" s="1"/>
  <c r="G39" i="25"/>
  <c r="I55" i="25"/>
  <c r="C45" i="25" s="1"/>
  <c r="I57" i="25"/>
  <c r="H55" i="25"/>
  <c r="B45" i="25" s="1"/>
  <c r="H54" i="25" a="1"/>
  <c r="H54" i="25" s="1"/>
  <c r="F55" i="25"/>
  <c r="H56" i="25"/>
  <c r="F56" i="25"/>
  <c r="H57" i="25"/>
  <c r="I54" i="25" a="1"/>
  <c r="I54" i="25" s="1"/>
  <c r="F54" i="25"/>
  <c r="I56" i="25"/>
  <c r="F57" i="25"/>
  <c r="F53" i="25"/>
  <c r="H28" i="25"/>
  <c r="H22" i="35"/>
  <c r="H24" i="35" s="1"/>
  <c r="O22" i="35"/>
  <c r="O24" i="35" s="1"/>
  <c r="K22" i="35"/>
  <c r="K24" i="35" s="1"/>
  <c r="E22" i="25"/>
  <c r="E24" i="25" s="1"/>
  <c r="N22" i="35"/>
  <c r="N24" i="35" s="1"/>
  <c r="J22" i="35"/>
  <c r="J24" i="35" s="1"/>
  <c r="L28" i="36"/>
  <c r="L29" i="36" s="1"/>
  <c r="P28" i="36"/>
  <c r="P29" i="36" s="1"/>
  <c r="F28" i="30"/>
  <c r="F29" i="30" s="1"/>
  <c r="E29" i="36"/>
  <c r="O28" i="36"/>
  <c r="O29" i="36" s="1"/>
  <c r="K28" i="36"/>
  <c r="K29" i="36" s="1"/>
  <c r="R28" i="36"/>
  <c r="R29" i="36" s="1"/>
  <c r="N28" i="36"/>
  <c r="N29" i="36" s="1"/>
  <c r="I28" i="36"/>
  <c r="I29" i="36" s="1"/>
  <c r="Q28" i="36"/>
  <c r="Q29" i="36" s="1"/>
  <c r="M28" i="36"/>
  <c r="M29" i="36" s="1"/>
  <c r="J28" i="30"/>
  <c r="J29" i="30" s="1"/>
  <c r="L28" i="30"/>
  <c r="L29" i="30" s="1"/>
  <c r="G28" i="30"/>
  <c r="G29" i="30" s="1"/>
  <c r="K28" i="30"/>
  <c r="K29" i="30" s="1"/>
  <c r="N28" i="30"/>
  <c r="N29" i="30" s="1"/>
  <c r="C29" i="30"/>
  <c r="H28" i="30"/>
  <c r="H29" i="30" s="1"/>
  <c r="M28" i="30"/>
  <c r="M29" i="30" s="1"/>
  <c r="I28" i="30"/>
  <c r="I29" i="30" s="1"/>
  <c r="T4" i="17"/>
  <c r="J22" i="25"/>
  <c r="J24" i="25" s="1"/>
  <c r="G22" i="25"/>
  <c r="G24" i="25" s="1"/>
  <c r="F22" i="25"/>
  <c r="F24" i="25" s="1"/>
  <c r="F22" i="35"/>
  <c r="F24" i="35" s="1"/>
  <c r="D22" i="25"/>
  <c r="D24" i="25" s="1"/>
  <c r="F28" i="36"/>
  <c r="F29" i="36" s="1"/>
  <c r="M22" i="25"/>
  <c r="M24" i="25" s="1"/>
  <c r="I29" i="35"/>
  <c r="L22" i="25"/>
  <c r="L24" i="25" s="1"/>
  <c r="K22" i="25"/>
  <c r="K24" i="25" s="1"/>
  <c r="J34" i="35"/>
  <c r="J37" i="35"/>
  <c r="J33" i="35"/>
  <c r="J32" i="35"/>
  <c r="J39" i="35"/>
  <c r="J29" i="35"/>
  <c r="J36" i="35"/>
  <c r="J35" i="35"/>
  <c r="J38" i="35"/>
  <c r="J30" i="35"/>
  <c r="J31" i="35"/>
  <c r="I29" i="25"/>
  <c r="I30" i="25" s="1"/>
  <c r="I31" i="25" s="1"/>
  <c r="I32" i="25" s="1"/>
  <c r="I33" i="25" s="1"/>
  <c r="I34" i="25" s="1"/>
  <c r="I35" i="25" s="1"/>
  <c r="I36" i="25" s="1"/>
  <c r="I37" i="25" s="1"/>
  <c r="I38" i="25" s="1"/>
  <c r="J28" i="25"/>
  <c r="H22" i="25"/>
  <c r="H24" i="25" s="1"/>
  <c r="V4" i="17"/>
  <c r="W4" i="17"/>
  <c r="C24" i="35" a="1"/>
  <c r="C24" i="35" s="1"/>
  <c r="C46" i="25"/>
  <c r="D46" i="25" s="1"/>
  <c r="D47" i="25"/>
  <c r="D48" i="25" s="1"/>
  <c r="C48" i="25" s="1"/>
  <c r="C51" i="25"/>
  <c r="C47" i="25" a="1"/>
  <c r="C47" i="25" s="1"/>
  <c r="F28" i="25" a="1"/>
  <c r="F28" i="25" s="1"/>
  <c r="D45" i="25" a="1"/>
  <c r="D45" i="25" s="1"/>
  <c r="G39" i="35" l="1"/>
  <c r="I55" i="35"/>
  <c r="F53" i="35"/>
  <c r="H55" i="35"/>
  <c r="B45" i="35" s="1"/>
  <c r="F55" i="35"/>
  <c r="I57" i="35"/>
  <c r="I54" i="35" a="1"/>
  <c r="I54" i="35" s="1"/>
  <c r="H28" i="35"/>
  <c r="H54" i="35" a="1"/>
  <c r="H54" i="35" s="1"/>
  <c r="H56" i="35"/>
  <c r="H57" i="35"/>
  <c r="F56" i="35"/>
  <c r="F57" i="35"/>
  <c r="F54" i="35"/>
  <c r="I56" i="35"/>
  <c r="Q51" i="25"/>
  <c r="Q53" i="25" s="1"/>
  <c r="P53" i="25" s="1"/>
  <c r="P55" i="25" s="1"/>
  <c r="P58" i="25"/>
  <c r="P59" i="25"/>
  <c r="H32" i="25"/>
  <c r="H36" i="25"/>
  <c r="H33" i="25"/>
  <c r="H37" i="25"/>
  <c r="H34" i="25"/>
  <c r="H38" i="25"/>
  <c r="H30" i="25"/>
  <c r="H31" i="25"/>
  <c r="H35" i="25"/>
  <c r="H29" i="25"/>
  <c r="C49" i="25"/>
  <c r="D51" i="25" a="1"/>
  <c r="D51" i="25" s="1"/>
  <c r="I39" i="25"/>
  <c r="I40" i="25" s="1"/>
  <c r="I30" i="35"/>
  <c r="I31" i="35" s="1"/>
  <c r="I32" i="35" s="1"/>
  <c r="I33" i="35" s="1"/>
  <c r="I34" i="35" s="1"/>
  <c r="I35" i="35" s="1"/>
  <c r="I36" i="35" s="1"/>
  <c r="I37" i="35" s="1"/>
  <c r="I38" i="35" s="1"/>
  <c r="J38" i="25"/>
  <c r="J35" i="25"/>
  <c r="J31" i="25"/>
  <c r="J36" i="25"/>
  <c r="J39" i="25"/>
  <c r="J34" i="25"/>
  <c r="J32" i="25"/>
  <c r="J30" i="25"/>
  <c r="J33" i="25"/>
  <c r="J37" i="25"/>
  <c r="J29" i="25"/>
  <c r="D49" i="25"/>
  <c r="E38" i="21"/>
  <c r="E36" i="21" s="1"/>
  <c r="F38" i="6"/>
  <c r="F36" i="6" s="1"/>
  <c r="C45" i="35"/>
  <c r="F29" i="25"/>
  <c r="F30" i="25"/>
  <c r="F31" i="25"/>
  <c r="F32" i="25"/>
  <c r="F33" i="25"/>
  <c r="F34" i="25"/>
  <c r="F35" i="25"/>
  <c r="F36" i="25"/>
  <c r="F37" i="25"/>
  <c r="F38" i="25"/>
  <c r="H39" i="25" l="1"/>
  <c r="H29" i="35"/>
  <c r="H31" i="35"/>
  <c r="H36" i="35"/>
  <c r="H38" i="35"/>
  <c r="H37" i="35"/>
  <c r="H35" i="35"/>
  <c r="H32" i="35"/>
  <c r="H30" i="35"/>
  <c r="H34" i="35"/>
  <c r="H33" i="35"/>
  <c r="P62" i="25" a="1"/>
  <c r="P62" i="25" s="1"/>
  <c r="Q62" i="25" s="1" a="1"/>
  <c r="Q62" i="25" s="1"/>
  <c r="Q60" i="25"/>
  <c r="P60" i="25"/>
  <c r="I39" i="35"/>
  <c r="I40" i="35" s="1"/>
  <c r="C46" i="35"/>
  <c r="C51" i="35"/>
  <c r="C47" i="35"/>
  <c r="D47" i="35"/>
  <c r="F28" i="35" a="1"/>
  <c r="F28" i="35" s="1"/>
  <c r="D45" i="35" a="1"/>
  <c r="D45" i="35" s="1"/>
  <c r="F39" i="25"/>
  <c r="D50" i="25" s="1"/>
  <c r="C50" i="25" s="1"/>
  <c r="H39" i="35" l="1"/>
  <c r="F29" i="35"/>
  <c r="F30" i="35"/>
  <c r="F31" i="35"/>
  <c r="F32" i="35"/>
  <c r="F33" i="35"/>
  <c r="F34" i="35"/>
  <c r="F35" i="35"/>
  <c r="F36" i="35"/>
  <c r="F37" i="35"/>
  <c r="F38" i="35"/>
  <c r="D48" i="35"/>
  <c r="C48" i="35" s="1"/>
  <c r="C49" i="35" s="1"/>
  <c r="D46" i="35"/>
  <c r="N2" i="37"/>
  <c r="C55" i="25"/>
  <c r="C53" i="25" s="1"/>
  <c r="C54" i="25" s="1"/>
  <c r="D51" i="35" l="1" a="1"/>
  <c r="D51" i="35" s="1"/>
  <c r="D49" i="35"/>
  <c r="D11" i="35"/>
  <c r="D12" i="35"/>
  <c r="E12" i="35" s="1"/>
  <c r="D17" i="36" s="1"/>
  <c r="D13" i="35"/>
  <c r="E13" i="35" s="1"/>
  <c r="D18" i="36" s="1"/>
  <c r="E11" i="35"/>
  <c r="N3" i="37"/>
  <c r="N4" i="37"/>
  <c r="F39" i="35"/>
  <c r="D50" i="35" s="1"/>
  <c r="C50" i="35" s="1"/>
  <c r="D55" i="25"/>
  <c r="C57" i="25" a="1"/>
  <c r="C57" i="25" s="1"/>
  <c r="E41" i="25" s="1"/>
  <c r="D22" i="35" l="1"/>
  <c r="D23" i="35" s="1"/>
  <c r="E22" i="35"/>
  <c r="D16" i="36"/>
  <c r="D27" i="36" s="1"/>
  <c r="C55" i="35"/>
  <c r="C53" i="35" s="1"/>
  <c r="C54" i="35" s="1"/>
  <c r="M2" i="37" s="1"/>
  <c r="J42" i="21"/>
  <c r="D42" i="25"/>
  <c r="F42" i="25"/>
  <c r="K42" i="6"/>
  <c r="D57" i="25" a="1"/>
  <c r="D57" i="25" s="1"/>
  <c r="F41" i="25" s="1" a="1"/>
  <c r="F41" i="25" s="1"/>
  <c r="E23" i="35" l="1"/>
  <c r="D28" i="36" s="1"/>
  <c r="D29" i="36" s="1"/>
  <c r="D24" i="35"/>
  <c r="M4" i="37"/>
  <c r="M3" i="37"/>
  <c r="C57" i="35" a="1"/>
  <c r="C57" i="35" s="1"/>
  <c r="E41" i="35" s="1"/>
  <c r="D55" i="35"/>
  <c r="J41" i="21"/>
  <c r="H5" i="21"/>
  <c r="H34" i="21"/>
  <c r="H33" i="21"/>
  <c r="H32" i="21"/>
  <c r="H31" i="21"/>
  <c r="H30" i="21"/>
  <c r="H29" i="21"/>
  <c r="H28" i="21"/>
  <c r="H27" i="21"/>
  <c r="H26" i="21"/>
  <c r="H25" i="21"/>
  <c r="H24" i="21"/>
  <c r="H23" i="21"/>
  <c r="H22" i="21"/>
  <c r="H21" i="21"/>
  <c r="H20" i="21"/>
  <c r="H19" i="21"/>
  <c r="H18" i="21"/>
  <c r="H17" i="21"/>
  <c r="H16" i="21"/>
  <c r="H15" i="21"/>
  <c r="H14" i="21"/>
  <c r="H13" i="21"/>
  <c r="H12" i="21"/>
  <c r="H11" i="21"/>
  <c r="H10" i="21"/>
  <c r="H9" i="21"/>
  <c r="H8" i="21"/>
  <c r="H7" i="21"/>
  <c r="H6" i="21"/>
  <c r="E24" i="35" l="1"/>
  <c r="H42" i="21"/>
  <c r="D42" i="35"/>
  <c r="K42" i="21"/>
  <c r="L42" i="6"/>
  <c r="D57" i="35" a="1"/>
  <c r="D57" i="35" s="1"/>
  <c r="F41" i="35" s="1" a="1"/>
  <c r="F41" i="35" s="1"/>
  <c r="H35" i="21"/>
  <c r="I5" i="21" l="1"/>
  <c r="I6" i="21"/>
  <c r="I7" i="21"/>
  <c r="I8" i="21"/>
  <c r="I9" i="21"/>
  <c r="I10" i="21"/>
  <c r="I11" i="21"/>
  <c r="I12" i="21"/>
  <c r="I13" i="21"/>
  <c r="I14" i="21"/>
  <c r="I15" i="21"/>
  <c r="I16" i="21"/>
  <c r="I17" i="21"/>
  <c r="I18" i="21"/>
  <c r="I19" i="21"/>
  <c r="I20" i="21"/>
  <c r="I21" i="21"/>
  <c r="I22" i="21"/>
  <c r="I23" i="21"/>
  <c r="I24" i="21"/>
  <c r="I25" i="21"/>
  <c r="I26" i="21"/>
  <c r="I27" i="21"/>
  <c r="I28" i="21"/>
  <c r="I29" i="21"/>
  <c r="I30" i="21"/>
  <c r="I31" i="21"/>
  <c r="I32" i="21"/>
  <c r="I33" i="21"/>
  <c r="I34" i="21"/>
  <c r="K41" i="21"/>
  <c r="B41" i="21" s="1"/>
  <c r="I42" i="21" l="1"/>
  <c r="I35" i="2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<sst xmlns="http://schemas.openxmlformats.org/spreadsheetml/2006/main" count="1351" uniqueCount="557">
  <si>
    <t>Kostentype</t>
  </si>
  <si>
    <t>Subsidiepercentage</t>
  </si>
  <si>
    <t>Korte beschrijving</t>
  </si>
  <si>
    <t>Afschrijvingskosten</t>
  </si>
  <si>
    <t>Tarief</t>
  </si>
  <si>
    <t>Eigen arbeid</t>
  </si>
  <si>
    <t>Kosten</t>
  </si>
  <si>
    <t>Loonkosten</t>
  </si>
  <si>
    <t>Arbeidskosten</t>
  </si>
  <si>
    <t>KVK-nummer</t>
  </si>
  <si>
    <t>Btw-nummer</t>
  </si>
  <si>
    <t>Grondkosten</t>
  </si>
  <si>
    <t>Naam medewerker</t>
  </si>
  <si>
    <t xml:space="preserve">Bruto jaarsalaris </t>
  </si>
  <si>
    <t>Productieve uren</t>
  </si>
  <si>
    <t>Subsidiebedrag op basis van opgegeven kosten</t>
  </si>
  <si>
    <t>Relatienummer penvoerder bij RVO:</t>
  </si>
  <si>
    <t>Naam penvoerder:</t>
  </si>
  <si>
    <t>Naam project:</t>
  </si>
  <si>
    <t>Kies de methode van berekening van de kosten:</t>
  </si>
  <si>
    <t>Gekozen VKO:</t>
  </si>
  <si>
    <t>Totaal opgegeven kosten</t>
  </si>
  <si>
    <t>Vereenvoudigde kostenoptie voor overige kosten</t>
  </si>
  <si>
    <t>Vereenvoudigde kostenoptie voor arbeidskosten</t>
  </si>
  <si>
    <t>Geen vereenvoudigde kostenoptie</t>
  </si>
  <si>
    <t>Samenstelling van het samenwerkingsverband</t>
  </si>
  <si>
    <t>Eindejaarsuitkering</t>
  </si>
  <si>
    <t>Niet verrekenbare btw</t>
  </si>
  <si>
    <t>Kosten derden exclusief btw</t>
  </si>
  <si>
    <t>Loonkosten
nummer</t>
  </si>
  <si>
    <t>Projectdeelnemer (Bedrijf/Organisatie)</t>
  </si>
  <si>
    <t>Kosten toegekend aan projectdeelnemers</t>
  </si>
  <si>
    <t>Verdeelde subsidie</t>
  </si>
  <si>
    <t>Bruto maandsalaris</t>
  </si>
  <si>
    <t>Uurtarief
loonkosten volgens IKS</t>
  </si>
  <si>
    <t>&lt;Selecteer&gt;</t>
  </si>
  <si>
    <t>Wilt u gebruik maken van een IKS-tarief?</t>
  </si>
  <si>
    <t>Berekend uurtarief
loonkosten</t>
  </si>
  <si>
    <t>Deelprestatie</t>
  </si>
  <si>
    <t>Korte toelichting</t>
  </si>
  <si>
    <t>Forfait</t>
  </si>
  <si>
    <t>Kosten toegekend aan deelprestaties</t>
  </si>
  <si>
    <t>Berekend volgens</t>
  </si>
  <si>
    <t>Projectleider/Expert</t>
  </si>
  <si>
    <t>Inhoud van deze kolommen niet veranderen!</t>
  </si>
  <si>
    <t>Hier de kostentypen aangeven die je wil gebruiken in dit begrotingsformat.</t>
  </si>
  <si>
    <r>
      <t xml:space="preserve">Alle mogelijke </t>
    </r>
    <r>
      <rPr>
        <b/>
        <u/>
        <sz val="11"/>
        <color theme="1"/>
        <rFont val="Calibri"/>
        <family val="2"/>
        <scheme val="minor"/>
      </rPr>
      <t>kostentypen</t>
    </r>
    <r>
      <rPr>
        <b/>
        <sz val="11"/>
        <color theme="1"/>
        <rFont val="Calibri"/>
        <family val="2"/>
        <scheme val="minor"/>
      </rPr>
      <t>: 
kopieer hieruit de kostentypen voor de activiteiten en plak ze in de kolommen hiernaast. 
Teksten niet aanpassen omdat dan formules niet meer werken!</t>
    </r>
  </si>
  <si>
    <t>Hulpkolom, niet aanpassen</t>
  </si>
  <si>
    <t>Uurtarief</t>
  </si>
  <si>
    <t>Vast tarief</t>
  </si>
  <si>
    <t>Overige kosten</t>
  </si>
  <si>
    <t>-</t>
  </si>
  <si>
    <t>Projectmedewerker</t>
  </si>
  <si>
    <t>Adviseur</t>
  </si>
  <si>
    <t>Berekeningsmethode van de regeling/openstelling</t>
  </si>
  <si>
    <t>Rekenhulp voor bepalen van uurtarief loonkosten en opgeven loonkostentarief IKS</t>
  </si>
  <si>
    <t>Opmerking</t>
  </si>
  <si>
    <t>Einde invoerregels begroting</t>
  </si>
  <si>
    <t>Projectdeelnemer</t>
  </si>
  <si>
    <t>Beoordeeld</t>
  </si>
  <si>
    <t>Aangevraagd</t>
  </si>
  <si>
    <t>Toelichting beoordelaar</t>
  </si>
  <si>
    <t>NEE</t>
  </si>
  <si>
    <t>Bedrag grondkosten waarover subsidie verstrekt kan worden</t>
  </si>
  <si>
    <t>Projectkosten met maximaal aandeel grondkosten</t>
  </si>
  <si>
    <t>Forfait voor arbeidskosten</t>
  </si>
  <si>
    <t>Totaal projectkosten met maximaal aandeel grondkosten</t>
  </si>
  <si>
    <t xml:space="preserve">Subsidiebedrag </t>
  </si>
  <si>
    <t>JA</t>
  </si>
  <si>
    <t>Verlaging vanwege bijdrage in natura</t>
  </si>
  <si>
    <t>(Deel) Prestatie</t>
  </si>
  <si>
    <t>Openstelling:</t>
  </si>
  <si>
    <t>Gekozen openstelling:</t>
  </si>
  <si>
    <t>Min. subsidiebedrag</t>
  </si>
  <si>
    <t>Max. subsidiebedrag</t>
  </si>
  <si>
    <t>IKS</t>
  </si>
  <si>
    <t>Deelnemers_Uniek</t>
  </si>
  <si>
    <t>Prestaties_Uniek</t>
  </si>
  <si>
    <t>Dienstverband
(uren per week)</t>
  </si>
  <si>
    <t>Totaalbedrag project</t>
  </si>
  <si>
    <t>Openstelling</t>
  </si>
  <si>
    <t>KostenOptie</t>
  </si>
  <si>
    <t>Arbeidskosten op basis van IKS</t>
  </si>
  <si>
    <t>KostenOmschrijving</t>
  </si>
  <si>
    <t>Kosten_Aanvraag</t>
  </si>
  <si>
    <t>Kosten_Beoordeeld</t>
  </si>
  <si>
    <t>Begroting</t>
  </si>
  <si>
    <t>Forfait_Bedrag</t>
  </si>
  <si>
    <t>Forfait_Bedrag_Beoordeeld</t>
  </si>
  <si>
    <t>Nr</t>
  </si>
  <si>
    <t>VolgNr</t>
  </si>
  <si>
    <t>Tarief Beoordeeld</t>
  </si>
  <si>
    <t>Overige kosten Beoordeeld</t>
  </si>
  <si>
    <t>KostenType_Uniek</t>
  </si>
  <si>
    <t>Medewerkers_Uniek</t>
  </si>
  <si>
    <t>Bijdrage in natura (vrijwilligers)</t>
  </si>
  <si>
    <t>Bijdrage in natura (overige)</t>
  </si>
  <si>
    <t>Bedrag</t>
  </si>
  <si>
    <t>Type</t>
  </si>
  <si>
    <t>Deelbetaling</t>
  </si>
  <si>
    <t>Deelbetaling_Uniek</t>
  </si>
  <si>
    <t>Deelbetaling_Aanvraag</t>
  </si>
  <si>
    <t>Deelbetaling_Beoordeeld</t>
  </si>
  <si>
    <t>Totaal opgegeven kosten deelbetaling</t>
  </si>
  <si>
    <t>Einddatum project</t>
  </si>
  <si>
    <t>Berekeningsmethode van de kosten:</t>
  </si>
  <si>
    <t>Totaal Kosten Beoordeeld</t>
  </si>
  <si>
    <t>Factuurdatum</t>
  </si>
  <si>
    <t>Betaaldatum</t>
  </si>
  <si>
    <t>Loonkosten Nr</t>
  </si>
  <si>
    <t>Factuurnummer</t>
  </si>
  <si>
    <t>Aanbestedings-code</t>
  </si>
  <si>
    <t>Aanvraagnummer</t>
  </si>
  <si>
    <t>Tarief Aangevraagd</t>
  </si>
  <si>
    <t>Overige kosten Aangevraagd</t>
  </si>
  <si>
    <t>Totaal kosten Aangevraagd</t>
  </si>
  <si>
    <t>Ja_Nee</t>
  </si>
  <si>
    <t>Ontvangstdatum project</t>
  </si>
  <si>
    <t>Uitvoering van het project</t>
  </si>
  <si>
    <t>Activiteit</t>
  </si>
  <si>
    <t>Voorbereiding van het projectvoorstel</t>
  </si>
  <si>
    <t>Activiteiten_Uniek</t>
  </si>
  <si>
    <t>Bedrag projectkosten</t>
  </si>
  <si>
    <t>Forfat_%</t>
  </si>
  <si>
    <t>Subs_%</t>
  </si>
  <si>
    <t>Totaal_Beoordeeld</t>
  </si>
  <si>
    <t>Totaal_Aanvraag</t>
  </si>
  <si>
    <t>Bijdrage in natura</t>
  </si>
  <si>
    <t>Subsidiebedrag na verlaging bijdrage in natura</t>
  </si>
  <si>
    <t>Alle berekeningsmethoden: 
Hieronder staan alle berekeningsmethoden, in de tabel met openstellingen kan met behulp van "1" aangegeven worden of er sprake is van meerdere kostenopties dan "Geen…". "Geen vereenvoudigde kostenoptie" is altijd van toepassing!</t>
  </si>
  <si>
    <t>Subsidiebedrag</t>
  </si>
  <si>
    <t xml:space="preserve">Totaal bedrag: </t>
  </si>
  <si>
    <t xml:space="preserve">Maximaal bedrag: </t>
  </si>
  <si>
    <t>AANVRAAG</t>
  </si>
  <si>
    <t>Volg Nr</t>
  </si>
  <si>
    <t>Overhead 15% 
alleen bij geen VKO</t>
  </si>
  <si>
    <t>ja</t>
  </si>
  <si>
    <t>Werkgevers lasten 44,2% en evt. overhead %</t>
  </si>
  <si>
    <t>Alle kosten typen (Leader)</t>
  </si>
  <si>
    <t>Kostenpost_1</t>
  </si>
  <si>
    <t>Kostenpost_2</t>
  </si>
  <si>
    <t>Kostenpost_3</t>
  </si>
  <si>
    <t>Kostenpost_4</t>
  </si>
  <si>
    <t>Kostenpost_5</t>
  </si>
  <si>
    <t>Kostenpost_6</t>
  </si>
  <si>
    <t>Kostenpost_7</t>
  </si>
  <si>
    <t>Kostenpost_8</t>
  </si>
  <si>
    <t>BEOORDELING</t>
  </si>
  <si>
    <t>AKKOORD uurtarief</t>
  </si>
  <si>
    <t>Opgegeven uurtarief</t>
  </si>
  <si>
    <t>Beoordeeld uurtarief</t>
  </si>
  <si>
    <t>Loon_Nr_Uniek</t>
  </si>
  <si>
    <t>Subsidiabele activiteit</t>
  </si>
  <si>
    <t>Betaalverzoeknummer</t>
  </si>
  <si>
    <t>Betaal verzoek Nr</t>
  </si>
  <si>
    <t>Activiteiten_Betaalverzoek_Uniek</t>
  </si>
  <si>
    <t>Activiteiten_Betaalverzoek_Gebruik</t>
  </si>
  <si>
    <t>Bedrag projectuitgaven</t>
  </si>
  <si>
    <t>VKO arbeid</t>
  </si>
  <si>
    <t>VKO overig</t>
  </si>
  <si>
    <t>Begrotingspost</t>
  </si>
  <si>
    <t>Uitgaven_aanvraag</t>
  </si>
  <si>
    <t>Uitgaven_Beoordeeld</t>
  </si>
  <si>
    <t>Maximaal mogelijke projectkosten</t>
  </si>
  <si>
    <t>Maximaal bijdrage in natura (projectkosten)</t>
  </si>
  <si>
    <t>Aandeel grondkosten in maximaal mogelijke projectkosten</t>
  </si>
  <si>
    <t>Verlaging subsidiebedrag grondkosten</t>
  </si>
  <si>
    <t>Kosten_Aanvraag_Incl</t>
  </si>
  <si>
    <t>Kosten_Beoordeeld_Incl</t>
  </si>
  <si>
    <t>subsidiebedrag</t>
  </si>
  <si>
    <t>projectkosten</t>
  </si>
  <si>
    <t>Maximaal bijdrage na berekening grondkosten (project)</t>
  </si>
  <si>
    <t>Grondkosten waarover subsidie verstrekt kan worden</t>
  </si>
  <si>
    <t>Kosten exclusief grondkosten en bijdrage in natura</t>
  </si>
  <si>
    <t xml:space="preserve">Methode van berekening van de kosten: </t>
  </si>
  <si>
    <t xml:space="preserve">Relatienummer penvoerder bij RVO: </t>
  </si>
  <si>
    <t xml:space="preserve">Naam penvoerder: </t>
  </si>
  <si>
    <t xml:space="preserve">Naam project: </t>
  </si>
  <si>
    <t xml:space="preserve">Openstelling: </t>
  </si>
  <si>
    <t>Kosten_Aanvraag_Inclusief</t>
  </si>
  <si>
    <t>Kosten_Beoordeeld_Inclusief</t>
  </si>
  <si>
    <t>Inclusief natura</t>
  </si>
  <si>
    <t>Verlaging subsidiebedrag vanwege bijdrage in natura</t>
  </si>
  <si>
    <t>Maximale projectkosten bijdrage in natura</t>
  </si>
  <si>
    <t>Uitgaven_Aanvraag_Inclusief</t>
  </si>
  <si>
    <t>Uitgaven_Beoordeeld_Inclusief</t>
  </si>
  <si>
    <t>Max_Bijdrage_Natura</t>
  </si>
  <si>
    <t>Max_Grond</t>
  </si>
  <si>
    <t>Beoordeelde projectuitgaven</t>
  </si>
  <si>
    <t>Het definitieve subsidiebedrag wordt in het systeem berekend</t>
  </si>
  <si>
    <t>Geen VKO</t>
  </si>
  <si>
    <t>Methodes</t>
  </si>
  <si>
    <t>Kolom</t>
  </si>
  <si>
    <t>Afkorting (kolomnaam)</t>
  </si>
  <si>
    <t>Activiteit_DB</t>
  </si>
  <si>
    <t>Activiteit_DB_HULP</t>
  </si>
  <si>
    <t xml:space="preserve">                      </t>
  </si>
  <si>
    <t>Toelichting beooordelaar</t>
  </si>
  <si>
    <t>Loonkosten nr
(uit tabblad 4)</t>
  </si>
  <si>
    <t>Het definitief aangevraagd subsidiebedrag wordt in het systeem berekend</t>
  </si>
  <si>
    <t>Arbeid_vast_1</t>
  </si>
  <si>
    <t>Arbeid_vast_2</t>
  </si>
  <si>
    <t>Arbeid_vast_3</t>
  </si>
  <si>
    <t>Arbeid_vast_4</t>
  </si>
  <si>
    <t>Arbeid_vast_5</t>
  </si>
  <si>
    <t>Weergeven</t>
  </si>
  <si>
    <t>Forfaitbedrag</t>
  </si>
  <si>
    <t>Forfaitbedrag Aangevraagd</t>
  </si>
  <si>
    <t>Forfaitbedrag Beoordeeld</t>
  </si>
  <si>
    <t>Totaal aangevraagde kosten</t>
  </si>
  <si>
    <t>Toelichting aanvrager</t>
  </si>
  <si>
    <t xml:space="preserve">In dit format maakt u de begroting voor uw project. Deze stuurt u mee met uw subsidieaanvraag. </t>
  </si>
  <si>
    <t>Toelichting tabbladen subsidieaanvraag:</t>
  </si>
  <si>
    <t>Bij subsidies tot € 125.000 wordt de subsidie vastgesteld met behulp van deelprestaties. Formuleer de deelprestaties daarom zo duidelijk en helder mogelijk.</t>
  </si>
  <si>
    <t xml:space="preserve">1. Geef per regel (medewerker) aan of ze wel of niet een IKS-tarief gebruiken. U doet dit in kolom B. Gebruik hiervoor het drop-down menu in de cel. </t>
  </si>
  <si>
    <t>Is er sprake van eigen arbeid (werk zonder 'verloning'), vrijwilligersuren of vaste uurtarieven? Dan vult u dit in tabblad 5 in.</t>
  </si>
  <si>
    <t xml:space="preserve">Vul per kostenpost één (kosten)regel in. U hoeft alleen de cellen in te vullen die zichtbaar worden. </t>
  </si>
  <si>
    <t>Is er sprake van meerdere deelprestaties, meerdere subsidiepercentages per subsidiabele activiteit of een samenwerkingsverband? Maak dan voor elke btw-post een nieuwe declaratieregel aan.</t>
  </si>
  <si>
    <t xml:space="preserve">Kunt u de btw niet verrekenen? Dan kunt u de btw opgeven voor subsidie. Hiervoor gebruikt u een aparte declaratieregel met het kostentype 'Niet verrekenbare btw'. </t>
  </si>
  <si>
    <t>Totale kosten begroting BEOORDEELD per subsidiabele activiteit --&gt;</t>
  </si>
  <si>
    <t>Totale kosten begroting per subsidiabele activiteit --&gt;</t>
  </si>
  <si>
    <t>AANVRAAG BETAALVERZOEK</t>
  </si>
  <si>
    <t>Toelichting (aanvrager)</t>
  </si>
  <si>
    <t>Toelichting (beoordelaar)</t>
  </si>
  <si>
    <t>Ontvangstdatum subsidieaanvraag</t>
  </si>
  <si>
    <t>Totale cumulatieve uitgaven</t>
  </si>
  <si>
    <t>VKO</t>
  </si>
  <si>
    <t>Naam medewerker &amp; periode/jaar</t>
  </si>
  <si>
    <t>Subsidiabele_Activiteit</t>
  </si>
  <si>
    <t>Maximum subsidiebedrag na aftopping grondkosten</t>
  </si>
  <si>
    <t>Totale cumulatieve uitgaven (beoordeeld)</t>
  </si>
  <si>
    <t>Totale cumulatieve uitgaven (aangevraagd)</t>
  </si>
  <si>
    <t>Het definitieve subsidiebedrag is/wordt in het systeem berekend</t>
  </si>
  <si>
    <t>OVERZICHT TOTALE BEOORDEELDE UITGAVEN ALLE BETAALVERZOEKEN</t>
  </si>
  <si>
    <t>Totale beoordeelde kosten</t>
  </si>
  <si>
    <t xml:space="preserve">Totaal beoordeelde projectuitgaven: </t>
  </si>
  <si>
    <t xml:space="preserve">Totaal subsidiebedrag: </t>
  </si>
  <si>
    <t xml:space="preserve">Doet u de aanvraag niet namens een samenwerkingsverband? Vul dan hier uw bedrijfs- of organisatienaam in. </t>
  </si>
  <si>
    <t>Onderaan de tabel moet het totaal van de subsidie verdeeld zijn. Is dit niet het geval? Dan zijn de bedragen rood.</t>
  </si>
  <si>
    <t xml:space="preserve">3. Selecteer de subsidiabele activiteit waar de kosten over gaan. </t>
  </si>
  <si>
    <t xml:space="preserve">Bij kostentype arbeidskosten en arbeidskosten op basis van IKS maakt u gebruik van het uurtarief dat u heeft berekend in tabblad 4. </t>
  </si>
  <si>
    <t xml:space="preserve">Vul dit tabblad in op basis van projectdeelnemer en subsidiabele activiteit. De subsidiabele activiteiten vindt u in het openstellingsbesluit of de regeling. </t>
  </si>
  <si>
    <t>Landbouwer</t>
  </si>
  <si>
    <t xml:space="preserve">Op het tabblad Toelichting betaalverzoek leggen we stap voor stap uit hoe dat moet. </t>
  </si>
  <si>
    <t>Werkgevers lasten 44,2%</t>
  </si>
  <si>
    <t>Arbeid_vast_6</t>
  </si>
  <si>
    <t>Tabblad 1. Aanvraaggegevens</t>
  </si>
  <si>
    <t>Tabblad 2. Projectdeelnemers</t>
  </si>
  <si>
    <t>Tabblad 3. Deelprestaties</t>
  </si>
  <si>
    <t xml:space="preserve">1. Vul de deelprestaties in die u verwacht te gaan halen. </t>
  </si>
  <si>
    <t>Tabblad 4. Rekenhulp loonkosten aanvr.</t>
  </si>
  <si>
    <t>Tabblad 5. Kosten uitvoering project</t>
  </si>
  <si>
    <t xml:space="preserve">Hier geeft u alle kosten op waarvoor u subsidie wilt ontvangen. </t>
  </si>
  <si>
    <t>Tabblad 6. Begrotingsoverzicht</t>
  </si>
  <si>
    <t>Subsidie %</t>
  </si>
  <si>
    <t>Format begroting en betaalverzoeken</t>
  </si>
  <si>
    <t xml:space="preserve">1. Vul alle projectdeelnemers (aanvragers) in, inclusief het KVK- en btw-nummer. Hiermee worden de deelnemers van het samenwerkingsverband bedoeld. </t>
  </si>
  <si>
    <t xml:space="preserve">Is het minimum subsidiebedrag dat u kunt aanvragen binnen deze openstelling € 125.000? Dan hoeft u dit tabblad niet in te vullen. </t>
  </si>
  <si>
    <t>Toelichting tabbladen betaalverzoek (voor subsidies vanaf € 125.000):</t>
  </si>
  <si>
    <t>Tabblad 7. Rekenhulp loonkosten bet.vz.</t>
  </si>
  <si>
    <t>In kolom C vult u de naam van de medewerker in en de periode of het jaar waarvoor het uurtarief geldt.</t>
  </si>
  <si>
    <t>Verandert het uurtarief van een medewerker tijdens het jaar? Vul dan 2 uurtarief regels met verschillende periodes in.</t>
  </si>
  <si>
    <t>Verwerking loonkosten in tabblad 8. Uitgaven betaalverzoek</t>
  </si>
  <si>
    <t xml:space="preserve">Kiest u voor 'Arbeidskosten op basis van IKS'? Dan hoeft u kolom G niet in te vullen. </t>
  </si>
  <si>
    <t xml:space="preserve">In kolom Q vult u vervolgens het aantal uur in dat u aanvraagt bij dit betaalverzoek. </t>
  </si>
  <si>
    <t>Tabblad 8. Uitgaven betaalverzoek</t>
  </si>
  <si>
    <t xml:space="preserve">Dit kan ook een vaststellingsverzoek zijn, waarbij u de (laatst) gemaakte kosten declareert. </t>
  </si>
  <si>
    <t>Gebruik in de naam van uw bewijsstukken het volgnummer zoals aangegeven in kolom B. Voorbeelden van bewijsstukken zijn facturen, betaalbewijzen en urenregistraties.</t>
  </si>
  <si>
    <t xml:space="preserve">Bij uw subsidieaanvraag heeft u gekozen voor een berekeningsmethode van de kosten. Deze gebruiken we ook bij een betaalverzoek. </t>
  </si>
  <si>
    <t xml:space="preserve">Afhankelijk van de gekozen VKO zijn bepaalde kostentypes in- of uitgeschakeld. </t>
  </si>
  <si>
    <t xml:space="preserve">VKO (forfait) voor arbeidskosten: Bij uw betaalverzoek hoeft u geen arbeidskosten op te geven. </t>
  </si>
  <si>
    <t>Onder arbeidskosten vallen loonkosten, eigen arbeid, arbeidskosten op basis van IKS en de vaste tarieven voor projectmedewerker, landbouwer, adviseur en projectleider/expert.</t>
  </si>
  <si>
    <t xml:space="preserve">VKO (forfait) voor overige kosten: Bij uw betaalverzoek hoeft u geen kosten derden, bijdragen in natura (waaronder vrijwilligersuren) en afschrijvingen op te geven. </t>
  </si>
  <si>
    <t>Tabblad 9. Betalingsoverzicht</t>
  </si>
  <si>
    <t xml:space="preserve">Ook vult u het aanvraagnummer en de einddatum van het project in. U vindt deze informatie in de beslisbrief op uw subsidieaanvraag (verleningsbeschikking). </t>
  </si>
  <si>
    <t>Tabblad 8 - toelichting per kolom:</t>
  </si>
  <si>
    <t>Kolom A - Betaalverzoek Nr</t>
  </si>
  <si>
    <t>Vul hier zelf het betaalverzoeknummer in, waar de kosten betrekking op hebben. Bij een eerste betaalverzoek kiest u hier '1'.</t>
  </si>
  <si>
    <r>
      <t xml:space="preserve">Kolom B </t>
    </r>
    <r>
      <rPr>
        <b/>
        <i/>
        <sz val="11"/>
        <color theme="1"/>
        <rFont val="Calibri"/>
        <family val="2"/>
        <scheme val="minor"/>
      </rPr>
      <t>-</t>
    </r>
    <r>
      <rPr>
        <b/>
        <sz val="11"/>
        <color theme="1"/>
        <rFont val="Calibri"/>
        <family val="2"/>
        <scheme val="minor"/>
      </rPr>
      <t>VolgNr</t>
    </r>
  </si>
  <si>
    <t>Bij een tweede betaalverzoek begint de eerste declaratie weer met volgnummer 1.</t>
  </si>
  <si>
    <r>
      <t xml:space="preserve">Kolom C </t>
    </r>
    <r>
      <rPr>
        <b/>
        <i/>
        <sz val="11"/>
        <color theme="1"/>
        <rFont val="Calibri"/>
        <family val="2"/>
        <scheme val="minor"/>
      </rPr>
      <t xml:space="preserve">- </t>
    </r>
    <r>
      <rPr>
        <b/>
        <sz val="11"/>
        <color theme="1"/>
        <rFont val="Calibri"/>
        <family val="2"/>
        <scheme val="minor"/>
      </rPr>
      <t>Projectdeelnemer</t>
    </r>
  </si>
  <si>
    <t xml:space="preserve">Kies hier de projectdeelnemer (uit het samenwerkingsverband) die de kosten gemaakt en betaald heeft. </t>
  </si>
  <si>
    <r>
      <rPr>
        <sz val="11"/>
        <color theme="1"/>
        <rFont val="Calibri"/>
        <family val="2"/>
        <scheme val="minor"/>
      </rPr>
      <t xml:space="preserve">U kiest deze in de cel met het drop-down-menu. De gegevens worden opgehaald uit uw subsidieaanvraag (tabblad 2 Projectdeelnemers). </t>
    </r>
  </si>
  <si>
    <t xml:space="preserve">Kolom D - Korte beschrijving
</t>
  </si>
  <si>
    <t>Kolom E - Subsidiabele activiteit</t>
  </si>
  <si>
    <t>Kolom F - Kostentype</t>
  </si>
  <si>
    <t xml:space="preserve">Heeft u gekozen voor loonkosten en arbeidskosten op basis van IKS? Dan kiest u in kolom H via het drop-down menu de naam van de medewerker met de periode en/of jaar. </t>
  </si>
  <si>
    <t>Kolom I - Factuurnummer</t>
  </si>
  <si>
    <t>Kolom J - Aanbestedingscode</t>
  </si>
  <si>
    <t>Kolom K - Factuurdatum</t>
  </si>
  <si>
    <t xml:space="preserve">Vult u in tabblad 9 de ontvangstdatum van uw subsidieaanvraag in? En de einddatum van uw project? Dan worden de factuurdata gecontroleerd. </t>
  </si>
  <si>
    <t xml:space="preserve">Geldt binnen uw openstelling een andere termijn (bijvoorbeeld 6 maanden)? Dan houdt dit format hier geen rekening mee. </t>
  </si>
  <si>
    <t>Kolom L - Betaaldatum</t>
  </si>
  <si>
    <t>Kolom M - Loonkosten Nr</t>
  </si>
  <si>
    <t>Kolom N - Berekend volgens</t>
  </si>
  <si>
    <t>Kolom O - Tarief Aangevraagd</t>
  </si>
  <si>
    <t>Kolom S - Overige kosten Aangevraagd</t>
  </si>
  <si>
    <t xml:space="preserve">Vul hier de kosten exclusief btw in. Dit moet overeenkomen met het bedrag op de bijbehorende factuur. </t>
  </si>
  <si>
    <t>Is er sprake van meerdere subsidiepercentages per subsidiabele activiteit of een samenwerkingsverband? Maak dan wél voor elke btw-post een nieuwe declaratieregel aan.</t>
  </si>
  <si>
    <t xml:space="preserve">VKO voor arbeidskosten: Het forfaitaire bedrag wordt automatisch berekend op elke declaratieregel. Het gaat om 23% van de overige kosten. </t>
  </si>
  <si>
    <t>VKO voor overige kosten: Het forfaitaire bedrag wordt automatisch berekend in tabblad 9. Het gaat om 40% van de arbeidskosten.</t>
  </si>
  <si>
    <t>Kostenpost_9</t>
  </si>
  <si>
    <t>Kostenpost_10</t>
  </si>
  <si>
    <t>Kostenpost_11</t>
  </si>
  <si>
    <t>Vergoeding</t>
  </si>
  <si>
    <t>Volgorde</t>
  </si>
  <si>
    <t>Kostenpost_Openstelling</t>
  </si>
  <si>
    <t>Aantal</t>
  </si>
  <si>
    <t>Kostenposten_Lijst</t>
  </si>
  <si>
    <t>Arbeid_vast_tarief_1</t>
  </si>
  <si>
    <t>Arbeid_vast_tarief_2</t>
  </si>
  <si>
    <t>Arbeid_vast_tarief_3</t>
  </si>
  <si>
    <t>Arbeid_vast_tarief_4</t>
  </si>
  <si>
    <t>Weergeven_2</t>
  </si>
  <si>
    <t>Arbeidskosten - vast tarief (excl eigen arbeid)</t>
  </si>
  <si>
    <t>Specificatie kostentype</t>
  </si>
  <si>
    <t>Kolom G - Specificatie kostentype</t>
  </si>
  <si>
    <t>Vergoeding_1</t>
  </si>
  <si>
    <t>Vergoeding_2</t>
  </si>
  <si>
    <t>Vergoeding_3</t>
  </si>
  <si>
    <t>Vergoeding_4</t>
  </si>
  <si>
    <t>Vergoeding_5</t>
  </si>
  <si>
    <t>Vergoeding_6</t>
  </si>
  <si>
    <t>Vergoeding_7</t>
  </si>
  <si>
    <t>Vergoeding_8</t>
  </si>
  <si>
    <t>Vergoeding_9</t>
  </si>
  <si>
    <t>Vergoeding_10</t>
  </si>
  <si>
    <t>Vergoeding_11</t>
  </si>
  <si>
    <t>Vergoeding_Jaar</t>
  </si>
  <si>
    <t>Indicatie kosten op basis van verleend subsidiebedrag</t>
  </si>
  <si>
    <r>
      <t xml:space="preserve">Gebruik de drop-down menu's in de cellen van een kostenregel. </t>
    </r>
    <r>
      <rPr>
        <sz val="11"/>
        <color theme="1"/>
        <rFont val="Calibri"/>
        <family val="2"/>
        <scheme val="minor"/>
      </rPr>
      <t>U selecteert zo de projectpartner, deelprestatie, subsidiabele activiteit en het kostentype.</t>
    </r>
  </si>
  <si>
    <t>Forfait_Percentage</t>
  </si>
  <si>
    <t>Grond_%</t>
  </si>
  <si>
    <t>Investering</t>
  </si>
  <si>
    <t>Onderhoud</t>
  </si>
  <si>
    <t>Onderhoud_%</t>
  </si>
  <si>
    <t>Samenwerking_%</t>
  </si>
  <si>
    <t>Samenwerking</t>
  </si>
  <si>
    <t>SIG_%</t>
  </si>
  <si>
    <t>SIG</t>
  </si>
  <si>
    <t>Volg_Nr</t>
  </si>
  <si>
    <t>Heeft u gekozen voor een VKO voor arbeidskosten? Of zijn arbeidskosten niet subsidiabel? Dan hoeft u dit tabblad niet in te vullen.</t>
  </si>
  <si>
    <t xml:space="preserve">Zijn de uurtarieven niet gewijzigd ten opzichte van de verlening? Dan kunt u de gegevens uit uw subsidieaanvraag (tabblad 4) overnemen. </t>
  </si>
  <si>
    <t xml:space="preserve">Vul ook de 'Ontvangstdatum subsidieaanvraag' in. Deze datum staat in uw ontvangstbevestigingsbrief. </t>
  </si>
  <si>
    <t xml:space="preserve">Onder kostentype 'arbeidskosten - vast tarief (excl eigen arbeid)' vallen de vaste tarieven voor projectmedewerker, landbouwer, adviseur of projectleider/expert. </t>
  </si>
  <si>
    <t xml:space="preserve">Bij eigen arbeid en overige vaste uurtarieven kunt u de naam van de medewerker of persoon invullen die uren in het project heeft gemaakt. </t>
  </si>
  <si>
    <t xml:space="preserve">Heeft u gekozen voor een vergoeding? Hier wordt geen forfait over berekend. </t>
  </si>
  <si>
    <t xml:space="preserve">In kolom J 'Eigen verdeling subsidie per deelprestatie' kunt u de subsidie naar rato van kosten over de deelprestatie (in kolom H) overnemen. </t>
  </si>
  <si>
    <t xml:space="preserve">waardoor de subsidie naar rato van kosten niet de juiste verdeling geeft. </t>
  </si>
  <si>
    <t>Heeft u gekozen voor een VKO voor arbeidskosten? Of zijn arbeidskosten niet subsidiabel? Dan hoeft u tabblad 4 niet in te vullen.</t>
  </si>
  <si>
    <t>Let op: Vul bij het bruto maandsalaris in kolom F het bedrag van de loonstrook in. Dit bedrag is exclusief vakantiegeld, eindejaarsuitkering en bijzondere vergoedingen.</t>
  </si>
  <si>
    <t xml:space="preserve">De eindejaarsuitkering vult u apart in kolom G in. In kolom U wordt automatisch een percentage van 44,2% berekend voor de kosten van de werkgever. </t>
  </si>
  <si>
    <t>Heeft u gekozen voor geen VKO? Dan berekent het format automatisch een vast opslagpercentage van 15% voor overheadkosten.</t>
  </si>
  <si>
    <t>Onder kostentype arbeidskosten vallen loonkosten (exclusief IKS) en eigen arbeid.</t>
  </si>
  <si>
    <r>
      <rPr>
        <b/>
        <sz val="11"/>
        <color theme="1"/>
        <rFont val="Calibri"/>
        <family val="2"/>
        <scheme val="minor"/>
      </rPr>
      <t>Toelichting (1):</t>
    </r>
    <r>
      <rPr>
        <sz val="11"/>
        <color theme="1"/>
        <rFont val="Calibri"/>
        <family val="2"/>
        <scheme val="minor"/>
      </rPr>
      <t xml:space="preserve">
Je kunt de ‘Voorbeeld openstelling’ vervangen door je eigen openstelling. Vul de kolommen.
Een "1" betekent dat het veld van toepassing is. Wanneer je niets invult (de cel leeg laat) wordt er geen gebruik gemaakt van deze optie in de openstelling. 
Vul altijd een minimum en maximum subsidiebedrag in. Bij geen minimum vul je</t>
    </r>
    <r>
      <rPr>
        <sz val="11"/>
        <color rgb="FFFF0000"/>
        <rFont val="Calibri"/>
        <family val="2"/>
        <scheme val="minor"/>
      </rPr>
      <t xml:space="preserve"> </t>
    </r>
    <r>
      <rPr>
        <sz val="11"/>
        <color theme="1"/>
        <rFont val="Calibri"/>
        <family val="2"/>
        <scheme val="minor"/>
      </rPr>
      <t xml:space="preserve">'0,00' in. Bij geen maximum binnen de openstelling vul je het bedrag van het subsidieplatfond in.
Vul in kolom 'Grond_%' altijd het standaard maximum percentage '10%' in. De rekenregels (ook in UPEU) rekenen standaard met 10%. In uitzonderlijke gevallen, zie regeling, kan dit 30% zijn. Mocht dit voorkomen, kan voor een aangepaste berekening (niet in UPEU ingebouwd) gerekend worden met 30%. 
In de kolommen I t/m K kunnen de verlagingpercentages voor de openstellingen Samenwerking Integrale Gebiedsontwikkeling (SIG) en Veenweide/Natura2000 ingevuld worden. Let op dat je achter de Subdidiabele activiteit (kolom N) ook een "1" plaatst in de kolommen AG t/m AJ indien het verlagingspercentage van toepassing is. </t>
    </r>
  </si>
  <si>
    <r>
      <rPr>
        <b/>
        <sz val="11"/>
        <color theme="1"/>
        <rFont val="Calibri"/>
        <family val="2"/>
        <scheme val="minor"/>
      </rPr>
      <t>Toelichting (2)</t>
    </r>
    <r>
      <rPr>
        <sz val="11"/>
        <color theme="1"/>
        <rFont val="Calibri"/>
        <family val="2"/>
        <scheme val="minor"/>
      </rPr>
      <t xml:space="preserve">:
Gebruik in kolom M dezelfde naamgeving als in kolom A. In kolom M kun je meerdere keren dezelfde openstelling zetten, zodat je binnen één openstelling verschillende "Subsidiabele_Activiteiten" kunt </t>
    </r>
    <r>
      <rPr>
        <sz val="11"/>
        <rFont val="Calibri"/>
        <family val="2"/>
        <scheme val="minor"/>
      </rPr>
      <t xml:space="preserve">invoeren (onder kolom N). De subsidiabele activiteiten komen overeen met de gegevens uit het intakeformulier. </t>
    </r>
    <r>
      <rPr>
        <sz val="11"/>
        <color theme="1"/>
        <rFont val="Calibri"/>
        <family val="2"/>
        <scheme val="minor"/>
      </rPr>
      <t xml:space="preserve">
Indien een openstellingsnaam niet voorkomt, kleurt de tekst [</t>
    </r>
    <r>
      <rPr>
        <sz val="11"/>
        <color rgb="FFFF0000"/>
        <rFont val="Calibri"/>
        <family val="2"/>
        <scheme val="minor"/>
      </rPr>
      <t>ROOD</t>
    </r>
    <r>
      <rPr>
        <sz val="11"/>
        <color theme="1"/>
        <rFont val="Calibri"/>
        <family val="2"/>
        <scheme val="minor"/>
      </rPr>
      <t xml:space="preserve">] - geef dan de juiste openstellingsnaam op uit kolom A.
Als kolom P </t>
    </r>
    <r>
      <rPr>
        <b/>
        <sz val="11"/>
        <color theme="8" tint="0.39997558519241921"/>
        <rFont val="Calibri"/>
        <family val="2"/>
        <scheme val="minor"/>
      </rPr>
      <t>Arbeidskosten</t>
    </r>
    <r>
      <rPr>
        <b/>
        <sz val="11"/>
        <color theme="1"/>
        <rFont val="Calibri"/>
        <family val="2"/>
        <scheme val="minor"/>
      </rPr>
      <t xml:space="preserve"> </t>
    </r>
    <r>
      <rPr>
        <sz val="11"/>
        <color theme="1"/>
        <rFont val="Calibri"/>
        <family val="2"/>
        <scheme val="minor"/>
      </rPr>
      <t>subsidiabel is (een "1"), moet minimaal één arbeidskostensoort (</t>
    </r>
    <r>
      <rPr>
        <b/>
        <sz val="11"/>
        <color theme="8" tint="0.39997558519241921"/>
        <rFont val="Calibri"/>
        <family val="2"/>
        <scheme val="minor"/>
      </rPr>
      <t>kolom AA en AB</t>
    </r>
    <r>
      <rPr>
        <sz val="11"/>
        <color theme="1"/>
        <rFont val="Calibri"/>
        <family val="2"/>
        <scheme val="minor"/>
      </rPr>
      <t xml:space="preserve">) ook aan (op "1") worden gezet. 
Kolom Q </t>
    </r>
    <r>
      <rPr>
        <b/>
        <sz val="11"/>
        <color theme="9" tint="0.39997558519241921"/>
        <rFont val="Calibri"/>
        <family val="2"/>
        <scheme val="minor"/>
      </rPr>
      <t>Arbeidskosten op basis van IKS</t>
    </r>
    <r>
      <rPr>
        <sz val="11"/>
        <color theme="1"/>
        <rFont val="Calibri"/>
        <family val="2"/>
        <scheme val="minor"/>
      </rPr>
      <t xml:space="preserve"> wordt automatisch gevuld wanneer in kolom B een "1" is ingevuld. 
Als kolom V </t>
    </r>
    <r>
      <rPr>
        <b/>
        <sz val="11"/>
        <color theme="5" tint="0.39997558519241921"/>
        <rFont val="Calibri"/>
        <family val="2"/>
        <scheme val="minor"/>
      </rPr>
      <t>Arbeidskosten - vast tarief (excl eigen arbeid)</t>
    </r>
    <r>
      <rPr>
        <sz val="11"/>
        <color theme="1"/>
        <rFont val="Calibri"/>
        <family val="2"/>
        <scheme val="minor"/>
      </rPr>
      <t xml:space="preserve"> is (een "1"), moet minimaal één functiesoort </t>
    </r>
    <r>
      <rPr>
        <sz val="11"/>
        <rFont val="Calibri"/>
        <family val="2"/>
        <scheme val="minor"/>
      </rPr>
      <t>(</t>
    </r>
    <r>
      <rPr>
        <b/>
        <sz val="11"/>
        <color theme="5" tint="0.39997558519241921"/>
        <rFont val="Calibri"/>
        <family val="2"/>
        <scheme val="minor"/>
      </rPr>
      <t>kolom AC t/m AF</t>
    </r>
    <r>
      <rPr>
        <sz val="11"/>
        <rFont val="Calibri"/>
        <family val="2"/>
        <scheme val="minor"/>
      </rPr>
      <t>)</t>
    </r>
    <r>
      <rPr>
        <sz val="11"/>
        <color theme="1"/>
        <rFont val="Calibri"/>
        <family val="2"/>
        <scheme val="minor"/>
      </rPr>
      <t xml:space="preserve"> ook aan op "1" worden gezet.
Kolom X '</t>
    </r>
    <r>
      <rPr>
        <b/>
        <sz val="11"/>
        <color rgb="FF9751CB"/>
        <rFont val="Calibri"/>
        <family val="2"/>
        <scheme val="minor"/>
      </rPr>
      <t>Vergoeding</t>
    </r>
    <r>
      <rPr>
        <sz val="11"/>
        <color theme="1"/>
        <rFont val="Calibri"/>
        <family val="2"/>
        <scheme val="minor"/>
      </rPr>
      <t xml:space="preserve">' is speciaal voor de openstelling Veenweide/Natura2000. Indien er sprake is van (beheer)vergoedingen (vul een "1" in), vul dan ook het verborgen tabblad 'Spec_Activiteit'. Hier zet je een "1" bij de vergoedingen die van toepassing zijn. De openstelling en subsidiabele_activiteit wordt automatisch meegenomen naar het tabblad 'Spec_Activiteit'.
Vul de kolommen </t>
    </r>
    <r>
      <rPr>
        <b/>
        <u/>
        <sz val="11"/>
        <color theme="1" tint="0.34998626667073579"/>
        <rFont val="Calibri"/>
        <family val="2"/>
        <scheme val="minor"/>
      </rPr>
      <t>AG t/m AJ</t>
    </r>
    <r>
      <rPr>
        <sz val="11"/>
        <color theme="1"/>
        <rFont val="Calibri"/>
        <family val="2"/>
        <scheme val="minor"/>
      </rPr>
      <t xml:space="preserve"> met een "1" indien een verlagingspercentage (</t>
    </r>
    <r>
      <rPr>
        <b/>
        <u/>
        <sz val="11"/>
        <color theme="1" tint="0.34998626667073579"/>
        <rFont val="Calibri"/>
        <family val="2"/>
        <scheme val="minor"/>
      </rPr>
      <t>kolom I t/m K</t>
    </r>
    <r>
      <rPr>
        <sz val="11"/>
        <color theme="1"/>
        <rFont val="Calibri"/>
        <family val="2"/>
        <scheme val="minor"/>
      </rPr>
      <t xml:space="preserve">) van toepassing is. 
</t>
    </r>
    <r>
      <rPr>
        <u/>
        <sz val="11"/>
        <color theme="1"/>
        <rFont val="Calibri"/>
        <family val="2"/>
        <scheme val="minor"/>
      </rPr>
      <t>De kolommen AK t/m BA worden automatisch gevuld en bevatten formules. Overschrijf deze niet.</t>
    </r>
    <r>
      <rPr>
        <sz val="11"/>
        <color theme="1"/>
        <rFont val="Calibri"/>
        <family val="2"/>
        <scheme val="minor"/>
      </rPr>
      <t xml:space="preserve">
</t>
    </r>
    <r>
      <rPr>
        <b/>
        <u/>
        <sz val="11"/>
        <color theme="1"/>
        <rFont val="Calibri"/>
        <family val="2"/>
        <scheme val="minor"/>
      </rPr>
      <t>Let op</t>
    </r>
    <r>
      <rPr>
        <sz val="11"/>
        <color theme="1"/>
        <rFont val="Calibri"/>
        <family val="2"/>
        <scheme val="minor"/>
      </rPr>
      <t>: gebruik altijd de plakoptie "Waarden" (CTRL+w) wanneer je een naam of andere gegevens wil kopiëren en plakken, anders overschrijf je de voorwaardelijke opmaak.</t>
    </r>
  </si>
  <si>
    <t>Vergoeding_12</t>
  </si>
  <si>
    <t>Vergoeding_13</t>
  </si>
  <si>
    <t>Vergoeding_14</t>
  </si>
  <si>
    <t>Activiteiten_Uniek_Begroting</t>
  </si>
  <si>
    <t>Maximum subsidiebedrag na verlaging bijdrage in natura</t>
  </si>
  <si>
    <t>Totale beoordeelde kosten na maxima (grond)</t>
  </si>
  <si>
    <r>
      <t xml:space="preserve">Gebruik hiervoor de tabbladen 1 </t>
    </r>
    <r>
      <rPr>
        <sz val="11"/>
        <color theme="1"/>
        <rFont val="Calibri"/>
        <family val="2"/>
        <scheme val="minor"/>
      </rPr>
      <t xml:space="preserve">tot en met 6. </t>
    </r>
  </si>
  <si>
    <t xml:space="preserve">Krijgt u € 125.000 of meer subsidie? Dan gebruikt u de tabbladen 7, 8 en 9 van dit format om uw betaalverzoek (deelbetaling of vaststelling) in te leveren. </t>
  </si>
  <si>
    <r>
      <t>2. Vul op dit tabblad het relatienummer in</t>
    </r>
    <r>
      <rPr>
        <sz val="11"/>
        <color theme="1"/>
        <rFont val="Calibri"/>
        <family val="2"/>
        <scheme val="minor"/>
      </rPr>
      <t xml:space="preserve"> zoals bij ons bekend, de naam van de penvoerder en de naam van het project.</t>
    </r>
  </si>
  <si>
    <t xml:space="preserve">Kiest u voor de optie geen vereenvoudigde kostenoptie? Dan berekenen we de subsidie op basis van werkelijke kosten. </t>
  </si>
  <si>
    <t>In het openstellingsbesluit of de regeling staat welke mogelijkheden u heeft.</t>
  </si>
  <si>
    <r>
      <t>2</t>
    </r>
    <r>
      <rPr>
        <sz val="11"/>
        <color theme="1"/>
        <rFont val="Calibri"/>
        <family val="2"/>
        <scheme val="minor"/>
      </rPr>
      <t xml:space="preserve">. Daarna gaat u door met de andere tabbladen. Heeft u tabblad 5 ingevuld? Kom dan terug bij dit tabblad voor het vervolg. </t>
    </r>
  </si>
  <si>
    <r>
      <t xml:space="preserve">3. </t>
    </r>
    <r>
      <rPr>
        <sz val="11"/>
        <color theme="1"/>
        <rFont val="Calibri"/>
        <family val="2"/>
        <scheme val="minor"/>
      </rPr>
      <t xml:space="preserve">Heeft u de kosten per projectdeelnemer ingevuld in tabblad 5? Dan ziet u hier de verdeling van de projectkosten naar rato over de deelnemers. </t>
    </r>
  </si>
  <si>
    <t>Heeft uw project meerdere subsidiabele activiteiten met verschillende subsidiepercentages? Of is er een aftopping die het maximale subsidiebedrag beïnvloedt?</t>
  </si>
  <si>
    <r>
      <t xml:space="preserve">De verdeling van subsidie </t>
    </r>
    <r>
      <rPr>
        <sz val="11"/>
        <color theme="1"/>
        <rFont val="Calibri"/>
        <family val="2"/>
        <scheme val="minor"/>
      </rPr>
      <t xml:space="preserve">in % (kolom I) vult u in op het aanvraagformulier in Mijn RVO. </t>
    </r>
  </si>
  <si>
    <t xml:space="preserve">Is er anders bepaald in het openstellingsbesluit? En wordt er niet op basis van deelprestaties getoetst? Dan hoeft u tabblad 3 ook niet in te vullen. </t>
  </si>
  <si>
    <t xml:space="preserve">2. Daarna kunt u door met de andere tabbladen. Heeft u tabblad 5 ingevuld? Kom dan terug bij dit tabblad voor het vervolg. </t>
  </si>
  <si>
    <t>3. Heeft u de kosten ingevuld in tabblad 5? Dan ziet u hoe de projectkosten en subsidie naar rato zijn verdeeld over de deelprestaties.</t>
  </si>
  <si>
    <t xml:space="preserve">De verdeling van subsidie vult u in op het aanvraagformulier in Mijn RVO. </t>
  </si>
  <si>
    <t xml:space="preserve">In dit tabblad berekent u het uurtarief. Dit doet u op basis van individuele loonkosten. </t>
  </si>
  <si>
    <t xml:space="preserve">Bent u een kennisinstelling? En wilt u de integrale kostensystematiek (IKS) gebruiken? Vul dan in dit tabblad het uurtarief in. </t>
  </si>
  <si>
    <r>
      <t>Kolom A</t>
    </r>
    <r>
      <rPr>
        <sz val="11"/>
        <rFont val="Calibri"/>
        <family val="2"/>
        <scheme val="minor"/>
      </rPr>
      <t xml:space="preserve"> 'Loonkosten nummer' </t>
    </r>
    <r>
      <rPr>
        <sz val="11"/>
        <color theme="1"/>
        <rFont val="Calibri"/>
        <family val="2"/>
        <scheme val="minor"/>
      </rPr>
      <t xml:space="preserve">vult zich daarna automatisch. </t>
    </r>
  </si>
  <si>
    <t xml:space="preserve">2. U vult daarna de beschikbare cellen in op basis van wat heeft gekozen in kolom B. </t>
  </si>
  <si>
    <t>1. Geef eerst aan welke projectpartner de kosten maakt. Voeg een korte beschrijving toe over de kostenpost, als dat nodig is.</t>
  </si>
  <si>
    <t>2. Selecteer de deelprestatie waar de kosten onderdeel van uit maken. Dit is alleen verplicht wanneer u tabblad 3 ook heeft ingevuld.</t>
  </si>
  <si>
    <t xml:space="preserve">4. Kies het kostentype en vul de cellen in die daarna beschikbaar zijn. </t>
  </si>
  <si>
    <t xml:space="preserve">Bij verschillende kostentypen maakt u in kolom G 'Specificatie kostentype' een keuze via het drop-down menu. U kiest bijvoorbeeld bij kostentype arbeidskosten voor loonkosten of eigen arbeid. </t>
  </si>
  <si>
    <t>Afhankelijk van het gekozen kostentype en de specificatie in kolom G ziet u een vast tarief.</t>
  </si>
  <si>
    <t xml:space="preserve">In kolom I van dit tabblad selecteert u via het drop-down menu in de cel het juiste loonkosten nummer. Deze zijn hetzelfde als de getallen in kolom A 'Loonkosten nummer' in tabblad 4. Daarna vult u het aantal uren in bij kolom L. </t>
  </si>
  <si>
    <t xml:space="preserve">Let op: het is soms niet mogelijk om een bepaald kostentype te kiezen. Dit komt omdat niet alle kostentypes subsidiabel zijn. </t>
  </si>
  <si>
    <t>Ook kunnen sommige kostentypes niet gecombineerd worden met de door u gekozen methode voor het berekenen van de subsidiabele kosten (VKO).</t>
  </si>
  <si>
    <t xml:space="preserve">Over arbeidskosten op basis van IKS berekenen we geen forfait. Dit geldt ook voor de vaste tarieven voor projectmedewerker, landbouwer, adviseur of projectleider/expert. </t>
  </si>
  <si>
    <t xml:space="preserve">Het forfait is al verwerkt in de hoogte van het tarief. </t>
  </si>
  <si>
    <t xml:space="preserve">Wijzigt u iets in uw begroting? Dan kan in kolom T een opmerking staan. </t>
  </si>
  <si>
    <t>Hier vindt u uw begrotingsoverzicht.</t>
  </si>
  <si>
    <t xml:space="preserve">Onder kostentype 'arbeidskosten - vast tarief (exclusief eigen arbeid)' vallen de vaste tarieven voor projectmedewerker, landbouwer, adviseur of projectleider/expert. </t>
  </si>
  <si>
    <t>Onderaan dit tabblad ziet u het subsidiebedrag op basis van de opgegeven kosten. Er kan een maximum subsidiebedrag zijn, afhankelijk van de regeling.</t>
  </si>
  <si>
    <t xml:space="preserve">Heeft u grondkosten of bijdrage in natura begroot? Of zijn er andere voorwaarden binnen de openstelling? Dan kan een aftopping het maximale subsidiebedrag beïnvloeden. </t>
  </si>
  <si>
    <t>Wilt u minder subsidie aanvragen dan het maximale bedrag dat mogelijk is?  Vul dan uw gewenste subsidiebedrag in bij regel 42.</t>
  </si>
  <si>
    <r>
      <rPr>
        <sz val="11"/>
        <color theme="1"/>
        <rFont val="Calibri"/>
        <family val="2"/>
        <scheme val="minor"/>
      </rPr>
      <t xml:space="preserve">De gegevens uit het begrotingsoverzicht neemt u over op uw aanvraagformulier in Mijn RVO. Het gaat om de totale kosten voor elk kostentype per subsidiabele activiteit. </t>
    </r>
  </si>
  <si>
    <t>Tabblad 6.1. Begroting vergoeding (specifiek voor beheermaatregelen)</t>
  </si>
  <si>
    <t>Hier vindt u een samenvatting van de vergoeding per jaar per beheermaatregel. Alle gegevens worden getoond uit de door u ingevoerde gegevens uit de vorige tabbladen.</t>
  </si>
  <si>
    <t xml:space="preserve">De gegevens uit dit overzicht neemt u over op uw aanvraagformulier in Mijn RVO. </t>
  </si>
  <si>
    <t>Algemene tips</t>
  </si>
  <si>
    <t xml:space="preserve">Wilt u gegevens uit een ander bestand of een andere cel kopiëren en plakken? </t>
  </si>
  <si>
    <t xml:space="preserve">Gebruik dan een van de 2 opties hieronder. Zo zorgt u ervoor dat formules en opmaak in de cellen hetzelfde blijven. </t>
  </si>
  <si>
    <t>Optie 1:</t>
  </si>
  <si>
    <t xml:space="preserve">Klik met de rechtermuisknop op de geselecteerde cel. Kies 'Kopiëren'. </t>
  </si>
  <si>
    <t>Ga naar de cel waarin u de formule wilt plakken. Klik met de rechtermuisknop op de nieuwe locatie en kies de plakoptie 'Waarden (W)'.</t>
  </si>
  <si>
    <t xml:space="preserve">Optie 2: </t>
  </si>
  <si>
    <t>Dubbelklik op een cel. En kopieer uw tekst.</t>
  </si>
  <si>
    <t>Ga naar de cel waarin u de tekst wilt plakken. Dubbelklik in deze cel. En plak uw tekst erin.</t>
  </si>
  <si>
    <t xml:space="preserve">Krijgt u € 125.000 of meer subsidie? Dan vult u de tabbladen 7, 8 en 9 in van dit format om uw betaalverzoek (deelbetaling of vaststelling) in te leveren. </t>
  </si>
  <si>
    <t xml:space="preserve">U werkt door in hetzelfde document dat u bij uw aanvraag heeft gebruikt. Is er iets gewijzigd na uw aanvraag? Gebruik dan het gewijzigde document. </t>
  </si>
  <si>
    <t xml:space="preserve">Voor het betaalverzoek gebruiken we de ingevulde gegevens uit de tabbladen 1, 2 en 5. </t>
  </si>
  <si>
    <t xml:space="preserve">Bij elk betaalverzoek kunt u de gegevens in de tabbladen 7 en 8 aanvullen. In tabblad 9 kunt u per betaalverzoek een samenvatting bekijken. </t>
  </si>
  <si>
    <t>De gegevens uit de samenvatting gebruikt u om uw betaalverzoek in Mijn RVO in te vullen.</t>
  </si>
  <si>
    <t>Heeft u in uw subsidieaanvraag tabblad 4 ingevuld? Vul dan ook tabblad 7 in bij een betaalverzoek.</t>
  </si>
  <si>
    <t xml:space="preserve">Levert u later een tweede betaalverzoek in met nieuwe uurtarieven? Dan vult u tabblad 7 aan bij elk betaalverzoek. </t>
  </si>
  <si>
    <t xml:space="preserve">Gebruik tabblad 7 om de individuele uurtarieven voor loonkosten te berekenen. U kunt hier ook IKS-tarieven invullen. Vergeet niet om te controleren of u deze heeft doorgegeven aan RVO. </t>
  </si>
  <si>
    <t>De instructie voor het invullen van tabblad 7 is hetzelfde als voor tabblad 4. Deze leest u na in tabblad 'Toelichting aanvraag'.</t>
  </si>
  <si>
    <t xml:space="preserve">In tabblad 8 verwijst u naar de uurtarieven uit tabblad 7. In tabblad 8 kiest u in kolom F uit 'Arbeidskosten' of 'Arbeidskosten op basis van IKS'. </t>
  </si>
  <si>
    <t xml:space="preserve">Daarna kiest u in het drop-down-menu van dezelfde regel, onder kolom G voor 'Loonkosten'. </t>
  </si>
  <si>
    <t xml:space="preserve">In kolom H kiest u vervolgens de naam van de medewerker met de bijbehorende periode of het jaar. </t>
  </si>
  <si>
    <t xml:space="preserve">Uw keuze is hetzelfde als wat u bij kolom C in tabblad 7 heeft ingevuld. </t>
  </si>
  <si>
    <t xml:space="preserve">Heeft u in kolom H de juiste naam van de medewerker en de periode of het jaar gekozen? Dan wordt automatisch het uurtarief voor deze medewerker ingevuld onder kolom O. </t>
  </si>
  <si>
    <t>Stuur altijd de benodigde bewijsstukken mee ter onderbouwing van uw betaalverzoek, zoals loonstroken en urenregistraties.</t>
  </si>
  <si>
    <t xml:space="preserve">In dit tabblad kunt u alle kosten invullen die u wilt declareren. </t>
  </si>
  <si>
    <t>Levert u later een tweede betaalverzoek in? Dan vult u de kosten in dit tabblad aan. U vult dan in kolom A het betaalverzoeknummer '2' in.</t>
  </si>
  <si>
    <t xml:space="preserve">Als u de cellen invult, worden de volgende cellen in de rij automatisch zichtbaar. Deze vult u verder aan. De cellen die donkergrijs worden, hoeft u niet in te vullen. </t>
  </si>
  <si>
    <t xml:space="preserve">U vindt onderaan dit tabblad per kolom een uitgebreide toelichting. </t>
  </si>
  <si>
    <t xml:space="preserve">Kies het betaalverzoeknummer dat u wilt bekijken. Ga naar regel 10 'Betaalverzoeknummer'. En klik in kolom E het juiste nummer aan in het drop-down-menu. </t>
  </si>
  <si>
    <t xml:space="preserve">U ziet vervolgens een totaaloverzicht van het geselecteerde betalingsverzoek. </t>
  </si>
  <si>
    <r>
      <t xml:space="preserve">Onder kostentype arbeidskosten in het overzicht vallen loonkosten (exclusief IKS) </t>
    </r>
    <r>
      <rPr>
        <sz val="11"/>
        <color theme="1"/>
        <rFont val="Calibri"/>
        <family val="2"/>
        <scheme val="minor"/>
      </rPr>
      <t xml:space="preserve">en eigen arbeid. </t>
    </r>
  </si>
  <si>
    <r>
      <t xml:space="preserve">De gegevens uit dit betalingsoverzicht </t>
    </r>
    <r>
      <rPr>
        <sz val="11"/>
        <color theme="1"/>
        <rFont val="Calibri"/>
        <family val="2"/>
        <scheme val="minor"/>
      </rPr>
      <t xml:space="preserve">gebruikt u bij het indienen van uw digitale betaalverzoek in Mijn RVO. Het gaat om de totale uitgaven voor elk kostentype per subsidiabele activiteit van uw betaalverzoek.  </t>
    </r>
  </si>
  <si>
    <t>Tabblad 9.1. Betaling vergoeding (specifiek voor beheermaatregelen)</t>
  </si>
  <si>
    <t xml:space="preserve">Heeft u bij tabblad 9. een betaalverzoeknummer gekozen? En heeft u kosten opgevoerd onder het kostentype vergoeding? </t>
  </si>
  <si>
    <t xml:space="preserve">Dan ziet u in dit tabblad een samenvatting van de vergoeding per jaar per beheermaatregel. </t>
  </si>
  <si>
    <t xml:space="preserve">De gegevens uit dit overzicht neemt u over bij het indienen van uw digitale betaalverzoek in Mijn RVO. </t>
  </si>
  <si>
    <t xml:space="preserve">Bij een tweede betaalverzoek kiest u hier '2', enz. Bij een volgend betaalverzoek vult u kolom A aan met een vervolgnummer. </t>
  </si>
  <si>
    <t xml:space="preserve">Deze nummers worden automatisch ingevuld als u in kolom A het betaalverzoeknummer invult. Dit betekent dat elke declaratieregel een eigen volgnummer heeft. </t>
  </si>
  <si>
    <t>Hier geeft u een beschrijving van de gemaakte kosten.</t>
  </si>
  <si>
    <t xml:space="preserve">Kies hier de subsidiabele activiteit uit het drop-downmenu waarvoor u kosten heeft gemaakt.  Dit zijn de subsidiabele activiteiten uit het openstellingsbesluit. </t>
  </si>
  <si>
    <t xml:space="preserve">Let op dat u de optie kiest waar u subsidie voor hebt ontvangen. Is er iets veranderd? Dan moet u dit vooraf doorgeven. Een wijziging kan gevolgen hebben voor de beoordeling van uw kosten. </t>
  </si>
  <si>
    <t xml:space="preserve">Kies het kostentype.  Afhankelijk van de gekozen VKO zijn bepaalde kostentypes in- of uitgeschakeld. </t>
  </si>
  <si>
    <t>Heeft u in kolom H het kostentype 'Arbeidskosten' gekozen? Dan kiest u in deze kolom het type arbeidskosten.</t>
  </si>
  <si>
    <t xml:space="preserve">U kunt kiezen uit loonkosten en eigen arbeid. Bij kostentype 'Arbeidskosten - vast tarief (excl eigen arbeid)' kiest u uit projectmedewerker, landbouwer, adviseur of projectleider/expert. </t>
  </si>
  <si>
    <t>Bij het kostentype 'Vergoeding' selecteert u via het drop-down menu een maatregel.</t>
  </si>
  <si>
    <t>Kolom H - Naam medewerker / leverancier (derden)</t>
  </si>
  <si>
    <t>Kolom H - (Jaartal /)  Naam medewerker / leverancier (derden)</t>
  </si>
  <si>
    <t xml:space="preserve">Heeft u gekozen voor een vergoeding? Dan kiest u in kolom H via het drop-down menu het jaartal. </t>
  </si>
  <si>
    <t xml:space="preserve">In alle andere gevallen kunt u de cel zelf invullen. Hier vult u bijvoorbeeld de naam van de leverancier in, waarvoor kosten worden ingediend. </t>
  </si>
  <si>
    <t xml:space="preserve">Vul hier het factuurnummer in waarvoor de kosten gelden. </t>
  </si>
  <si>
    <r>
      <t xml:space="preserve">Heeft u een betaalverzoek met opdrachten die zijn aanbesteed? Vul voor elke opdracht een aanbestedingscode in. Gebruik hiervoor de </t>
    </r>
    <r>
      <rPr>
        <sz val="11"/>
        <color theme="1"/>
        <rFont val="Calibri"/>
        <family val="2"/>
        <scheme val="minor"/>
      </rPr>
      <t xml:space="preserve">handleiding aanleveren aanbestedingsdocumenten. Deze vindt u op onze website. </t>
    </r>
  </si>
  <si>
    <t>Ligt de factuurdatum vóór de ontvangstdatum subsidieaanvraag? Dan kleurt de factuurdatum blauw (waarschuwing). U krijgt alleen subsidie voor de kosten als de voorbereidingskosten binnen uw openstelling subsidiabel zijn.</t>
  </si>
  <si>
    <t xml:space="preserve">Ligt de factuurdatum meer dan 1 jaar vóór de ontvangstdatum subsidieaanvraag? Dan kleurt de factuurdatum rood. </t>
  </si>
  <si>
    <t xml:space="preserve">Ligt de factuurdatum na de einddatum van het project? Dan kleurt de factuurdatum blauw. </t>
  </si>
  <si>
    <t xml:space="preserve">Op basis van de kleuren kunt u beslissen of u de kosten wel of niet declareert. U kunt ook een toelichting toevoegen aan de declaratieregel. Hier kunt u uitleggen waarom de kosten subsidiabel zijn. </t>
  </si>
  <si>
    <t>Let op: uw voorbereidingskosten zijn subsidiabel tot één jaar voordat u uw aanvraag doet.</t>
  </si>
  <si>
    <t>Deze kolom wordt automatisch ingevuld met het loonkostennummer (kolom A) uit tabblad 7.</t>
  </si>
  <si>
    <t xml:space="preserve">Deze kolom wordt automatisch ingevuld met 'vast tarief' of 'uurtarief'. </t>
  </si>
  <si>
    <t>Deze kolom wordt automatisch ingevuld met het bedrag uit tabblad 7.</t>
  </si>
  <si>
    <t xml:space="preserve">Kolom Q - Aantal uur Aangevraagd </t>
  </si>
  <si>
    <t>Vul hier het aantal uren in dat u wilt declareren. Dit moet overeenkomen met het bewijsstuk, zoals één of meerdere urenregistratie(s).</t>
  </si>
  <si>
    <t xml:space="preserve">Heeft u gekozen voor het kostentype vergoeding in kolom G? En heeft u kolom G en H gevuld? Dan vult u in kolom Q het aantal eenheden in. Bijvoorbeeld het aantal hectare. </t>
  </si>
  <si>
    <t xml:space="preserve">Let op dat u btw apart invult. U kiest dan 'Niet verrekenbare btw' onder kolom F 'Kostentype'. U mag de btw van meerdere facturen bij elkaar optellen. </t>
  </si>
  <si>
    <t xml:space="preserve">Deze kolom wordt automatisch ingevuld op basis van de ingevoerde gegevens in de declaratieregel. </t>
  </si>
  <si>
    <t xml:space="preserve">Afhankelijk van de gekozen vereenvoudigde kostenoptie (VKO), wordt deze kolom automatisch ingevuld met het bijbehorende forfaitaire bedrag. </t>
  </si>
  <si>
    <t>Over arbeidskosten op basis van IKS berekenen we geen forfait. Dat geldt ook voor de vaste tarieven voor projectmedewerker, landbouwer, adviseur of projectleider/expert.</t>
  </si>
  <si>
    <t xml:space="preserve">Heeft u gekozen voor een vergoeding? Dan berekenen we geen forfait. </t>
  </si>
  <si>
    <t xml:space="preserve">Hier kunt u een korte toelichting geven. </t>
  </si>
  <si>
    <t xml:space="preserve">Bij het kostentype vergoeding selecteert u via het drop-down menu onder kolom I het jaartal. Vervolgens vult u het aantal eenheden in bij kolom L. Bijvoorbeeld het aantal hectare. </t>
  </si>
  <si>
    <t>Kolom Q - Aantal uur (of eenheid) Aangevraagd</t>
  </si>
  <si>
    <t xml:space="preserve">Ook kunt u een eigen subsidieverdeling maken en deze invullen in kolom J. Bijvoorbeeld wanneer het subsidiebedrag wordt verlaagd en er meer kosten in het project worden gemaakt, </t>
  </si>
  <si>
    <t xml:space="preserve">Let op: u mag subsidiabele kosten maar één keer declareren. </t>
  </si>
  <si>
    <t>Declareert u ook de btw van dezelfde factuur? Dan kleurt de cel met het factuurnummer op. U mag de waarschuwing dan negeren.</t>
  </si>
  <si>
    <t xml:space="preserve">Kleurt de cel met het factuurnummer op? Dan is dit een waarschuwing. Het factuurnummer komt dan 2 of meer keer voor bij dezelfde leverancier (kolom H) of op dezelfde betaaldatum (kolom L). </t>
  </si>
  <si>
    <r>
      <t xml:space="preserve">3. Kies de methode voor het berekenen van de subsidiabele kosten, via het drop-down menu: </t>
    </r>
    <r>
      <rPr>
        <u/>
        <sz val="11"/>
        <color theme="1"/>
        <rFont val="Calibri"/>
        <family val="2"/>
        <scheme val="minor"/>
      </rPr>
      <t>Geen</t>
    </r>
    <r>
      <rPr>
        <sz val="11"/>
        <color theme="1"/>
        <rFont val="Calibri"/>
        <family val="2"/>
        <scheme val="minor"/>
      </rPr>
      <t xml:space="preserve"> vereenvoudigde kostenoptie (VKO), VKO voor arbeidskosten of VKO voor overige kosten.</t>
    </r>
  </si>
  <si>
    <r>
      <t xml:space="preserve">1. Kies de </t>
    </r>
    <r>
      <rPr>
        <u/>
        <sz val="11"/>
        <color theme="1"/>
        <rFont val="Calibri"/>
        <family val="2"/>
        <scheme val="minor"/>
      </rPr>
      <t>openstelling</t>
    </r>
    <r>
      <rPr>
        <sz val="11"/>
        <color theme="1"/>
        <rFont val="Calibri"/>
        <family val="2"/>
        <scheme val="minor"/>
      </rPr>
      <t xml:space="preserve"> waar u een subsidieaanvraag voor wilt indienen. Gebruik hiervoor het drop-down menu. </t>
    </r>
  </si>
  <si>
    <t>Totaal beoordeelde subsidiabele kosten
(subsidieaanvraag)</t>
  </si>
  <si>
    <t>Forfait_Samenwerking</t>
  </si>
  <si>
    <t>Forfait_Samenwerking_Beoordeeld</t>
  </si>
  <si>
    <t>Forfait_Onderhoud</t>
  </si>
  <si>
    <t>Forfait_Onderhoud_Beoordeling</t>
  </si>
  <si>
    <t>Forfait_Investering</t>
  </si>
  <si>
    <t>Vergoeding_15</t>
  </si>
  <si>
    <t>Vergoeding_16</t>
  </si>
  <si>
    <t>Vergoeding_17</t>
  </si>
  <si>
    <t>Vergoeding_18</t>
  </si>
  <si>
    <t>Vergoeding_19</t>
  </si>
  <si>
    <t>Vergoeding_20</t>
  </si>
  <si>
    <t>Vergoeding_21</t>
  </si>
  <si>
    <t>Vergoeding_22</t>
  </si>
  <si>
    <t>Vergoeding_23</t>
  </si>
  <si>
    <t>Vergoeding_24</t>
  </si>
  <si>
    <t>Vergoeding_25</t>
  </si>
  <si>
    <t>Vergoeding_26</t>
  </si>
  <si>
    <t>Vergoeding_27</t>
  </si>
  <si>
    <t>Vergoeding_28</t>
  </si>
  <si>
    <t>Vergoeding_29</t>
  </si>
  <si>
    <t>Vergoeding_30</t>
  </si>
  <si>
    <t>Vergoeding_31</t>
  </si>
  <si>
    <t>Vergoeding_32</t>
  </si>
  <si>
    <t>Vergoeding_33</t>
  </si>
  <si>
    <t>Vergoeding_34</t>
  </si>
  <si>
    <t xml:space="preserve">Let op: De gekozen rekenmethode geldt voor alle tabbladen en berekeningen. </t>
  </si>
  <si>
    <t>Extensiveren max. 150 kg N</t>
  </si>
  <si>
    <t>Extensiveren max. 100 kg N</t>
  </si>
  <si>
    <t>Geringere drooglegging 40 cm</t>
  </si>
  <si>
    <t>Geringere drooglegging 30 cm</t>
  </si>
  <si>
    <t>Geringere drooglegging 20 cm</t>
  </si>
  <si>
    <t>Geringere drooglegging 40 cm met extensiveren max. 150 kg N</t>
  </si>
  <si>
    <t>Geringere drooglegging 30 cm met extensiveren max. 150 kg N</t>
  </si>
  <si>
    <t>Geringere drooglegging 20 cm met extensiveren max 150 kg N</t>
  </si>
  <si>
    <t>Geringere drooglegging 40 cm met extensiveren max 100 kg N</t>
  </si>
  <si>
    <t>Geringere drooglegging 30 cm met extensiveren max 100 kg N</t>
  </si>
  <si>
    <t>Geringere drooglegging 20 cm met extensiveren max 100 kg N</t>
  </si>
  <si>
    <t>Extensiveren max. 150 kg N (10/12)</t>
  </si>
  <si>
    <t>Extensiveren max. 100 kg N (10/12)</t>
  </si>
  <si>
    <t>Geringere drooglegging 40 cm met extensiveren max. 150 kg N (10/12)</t>
  </si>
  <si>
    <t>Geringere drooglegging 30 cm met extensiveren max. 150 kg N (10/12)</t>
  </si>
  <si>
    <t>Geringere drooglegging 20 cm met extensiveren max. 150 kg N (10/12)</t>
  </si>
  <si>
    <t>Geringere drooglegging 40 cm met extensiveren max. 100 kg N (10/12)</t>
  </si>
  <si>
    <t>Geringere drooglegging 30 cm met extensiveren max. 100 kg N (10/12)</t>
  </si>
  <si>
    <t>Geringere drooglegging 20 cm met extensiveren max. 100 kg N (10/12)</t>
  </si>
  <si>
    <t>Geringere drooglegging 30 cm met extensiveren max. 150 kg N (verlaging ANLB)</t>
  </si>
  <si>
    <t>Geringere drooglegging 20 cm met extensiveren max 150 kg N (verlaging ANLB)</t>
  </si>
  <si>
    <t>Geringere drooglegging 40 cm met extensiveren max 100 kg N (verlaging ANLB)</t>
  </si>
  <si>
    <t>Geringere drooglegging 30 cm met extensiveren max 100 kg N (verlaging ANLB)</t>
  </si>
  <si>
    <t>Geringere drooglegging 20 cm met extensiveren max 100 kg N (verlaging ANLB)</t>
  </si>
  <si>
    <t>Geringere drooglegging 40 cm met extensiveren max. 150 kg N (verlaging ANLB)</t>
  </si>
  <si>
    <t>Geringere drooglegging 40 cm met extensiveren max. 150 kg N (10/12) (verlaging ANLB)</t>
  </si>
  <si>
    <t>Geringere drooglegging 30 cm met extensiveren max. 150 kg N (10/12) (verlaging ANLB)</t>
  </si>
  <si>
    <t>Geringere drooglegging 20 cm met extensiveren max. 150 kg N (10/12) (verlaging ANLB)</t>
  </si>
  <si>
    <t>Geringere drooglegging 40 cm met extensiveren max. 100 kg N (10/12) (verlaging ANLB)</t>
  </si>
  <si>
    <t>Geringere drooglegging 30 cm met extensiveren max. 100 kg N (10/12) (verlaging ANLB)</t>
  </si>
  <si>
    <t>Geringere drooglegging 20 cm met extensiveren max. 100 kg N (10/12) (verlaging ANLB)</t>
  </si>
  <si>
    <t>Geringere drooglegging 40 cm (verlaging ANLB)</t>
  </si>
  <si>
    <t>Geringere drooglegging 30 cm (verlaging ANLB)</t>
  </si>
  <si>
    <t>Geringere drooglegging 20 cm (verlaging ANLB)</t>
  </si>
  <si>
    <t>Afgewezen</t>
  </si>
  <si>
    <t>Overige kosten Afgewezen</t>
  </si>
  <si>
    <t>Totaal Kosten Afgewezen</t>
  </si>
  <si>
    <t>Forfaitbedrag Afgewezen</t>
  </si>
  <si>
    <t>U kunt daarna de verdeling van de kosten uit kolom G overnemen. Dit doet u in kolom I 'Verdeling subsidie in %'.</t>
  </si>
  <si>
    <t>Dan houden we daar in het format geen rekening mee bij de kosten per deelnemer en de verdeling van de subsidie. U moet dan zelf de subsidieverdeling berekenen tussen de deelnemers. Vul dit in bij kolom I.</t>
  </si>
  <si>
    <r>
      <t xml:space="preserve">Heeft u gekozen voor VKO voor arbeidskosten of VKO voor overige kosten? Dan vult kolom </t>
    </r>
    <r>
      <rPr>
        <sz val="11"/>
        <color theme="1"/>
        <rFont val="Calibri"/>
        <family val="2"/>
        <scheme val="minor"/>
      </rPr>
      <t xml:space="preserve">U zich automatisch met het passende forfaitaire bedrag. </t>
    </r>
  </si>
  <si>
    <r>
      <t xml:space="preserve">Heeft u hier een verklaring voor? Geef dan een korte toelichting in kolom </t>
    </r>
    <r>
      <rPr>
        <sz val="11"/>
        <color theme="1"/>
        <rFont val="Calibri"/>
        <family val="2"/>
        <scheme val="minor"/>
      </rPr>
      <t>AC (Toelichting aanvrager).</t>
    </r>
  </si>
  <si>
    <t>Kolom W - Totaal kosten Aangevraagd</t>
  </si>
  <si>
    <t>Kolom Z - Forfaitbedrag Aangevraagd</t>
  </si>
  <si>
    <t>Kolom AC - Toelichting aanvrager</t>
  </si>
  <si>
    <t>Let op dat u per medewerker en periode/jaar één regel vult. Bijvoorbeeld: A.van Dijk, jan-aug 2026.</t>
  </si>
  <si>
    <t xml:space="preserve">Vul hier de datum in waarop de factuur betaald is. Deze staat op het bijbehorende betaalbewijs (rekeningsafschrift). Vul in als: dag-maand-jaar, bijvoorbeeld 24-02-2026. </t>
  </si>
  <si>
    <t xml:space="preserve">Vul hier de factuurdatum in zoals op de factuur vermeld staat. Vul in als: dag-maand-jaar, bijvoorbeeld 24-01-2026. </t>
  </si>
  <si>
    <t xml:space="preserve">Samenwerkingsregeling  in Veenweiden en overgangsgebieden Natura 2000 ; Oprichten samenwerkingsverband of opstellen gebiedsplan </t>
  </si>
  <si>
    <t>Oprichten samenwerkingsverband</t>
  </si>
  <si>
    <t>Opstellen gebiedsplan</t>
  </si>
  <si>
    <t/>
  </si>
  <si>
    <t>Samenwerking  in veenweidegebieden en Natura 2000-overgangsgebieden: categorie 1 2026</t>
  </si>
  <si>
    <t>Deelprestaties van het samenwerkingsverband</t>
  </si>
  <si>
    <t>Versie 05-08-2026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</si>
</sst>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quot;€&quot;* #,##0.00_);_(&quot;€&quot;* \(#,##0.00\);_(&quot;€&quot;* &quot;-&quot;??_);_(@_)"/>
    <numFmt numFmtId="165" formatCode="&quot;€&quot;\ #,##0.00"/>
    <numFmt numFmtId="166" formatCode="&quot;€&quot;\ #,##0"/>
    <numFmt numFmtId="167" formatCode="0.0%"/>
    <numFmt numFmtId="168" formatCode="dd/mm/yyyy"/>
    <numFmt numFmtId="169" formatCode="#,##0_ ;\-#,##0\ "/>
    <numFmt numFmtId="170" formatCode="#,##0.00_ ;\-#,##0.00\ "/>
    <numFmt numFmtId="171" formatCode="@&quot;_Beoordeeld&quot;"/>
  </numFmts>
  <fonts count="38" x14ac:knownFonts="1">
    <font>
      <sz val="11"/>
      <color theme="1"/>
      <name val="Calibri"/>
      <family val="2"/>
      <scheme val="minor"/>
    </font>
    <font>
      <sz val="11"/>
      <color theme="1"/>
      <name val="Calibri"/>
      <family val="2"/>
    </font>
    <font>
      <b/>
      <sz val="11"/>
      <color theme="1"/>
      <name val="Calibri"/>
      <family val="2"/>
      <scheme val="minor"/>
    </font>
    <font>
      <sz val="11"/>
      <color theme="1"/>
      <name val="Calibri"/>
      <family val="2"/>
      <scheme val="minor"/>
    </font>
    <font>
      <sz val="8"/>
      <name val="Calibri"/>
      <family val="2"/>
      <scheme val="minor"/>
    </font>
    <font>
      <sz val="11"/>
      <color theme="0"/>
      <name val="Calibri"/>
      <family val="2"/>
      <scheme val="minor"/>
    </font>
    <font>
      <sz val="11"/>
      <color theme="1"/>
      <name val="Verdana"/>
      <family val="2"/>
    </font>
    <font>
      <sz val="11"/>
      <color rgb="FFFF0000"/>
      <name val="Calibri"/>
      <family val="2"/>
      <scheme val="minor"/>
    </font>
    <font>
      <b/>
      <sz val="11"/>
      <name val="Calibri"/>
      <family val="2"/>
      <scheme val="minor"/>
    </font>
    <font>
      <b/>
      <sz val="11"/>
      <color rgb="FFFF0000"/>
      <name val="Calibri"/>
      <family val="2"/>
      <scheme val="minor"/>
    </font>
    <font>
      <sz val="11"/>
      <name val="Calibri"/>
      <family val="2"/>
      <scheme val="minor"/>
    </font>
    <font>
      <b/>
      <sz val="11"/>
      <color theme="9" tint="-0.499984740745262"/>
      <name val="Calibri"/>
      <family val="2"/>
      <scheme val="minor"/>
    </font>
    <font>
      <b/>
      <sz val="11"/>
      <color rgb="FFD52B1E"/>
      <name val="Calibri"/>
      <family val="2"/>
      <scheme val="minor"/>
    </font>
    <font>
      <b/>
      <u/>
      <sz val="11"/>
      <color theme="1"/>
      <name val="Calibri"/>
      <family val="2"/>
      <scheme val="minor"/>
    </font>
    <font>
      <sz val="11"/>
      <color theme="0" tint="-0.14999847407452621"/>
      <name val="Calibri"/>
      <family val="2"/>
      <scheme val="minor"/>
    </font>
    <font>
      <b/>
      <sz val="11"/>
      <color theme="0" tint="-0.14999847407452621"/>
      <name val="Calibri"/>
      <family val="2"/>
      <scheme val="minor"/>
    </font>
    <font>
      <b/>
      <sz val="11"/>
      <color theme="0" tint="-0.34998626667073579"/>
      <name val="Calibri"/>
      <family val="2"/>
      <scheme val="minor"/>
    </font>
    <font>
      <sz val="11"/>
      <color theme="0" tint="-0.34998626667073579"/>
      <name val="Calibri"/>
      <family val="2"/>
      <scheme val="minor"/>
    </font>
    <font>
      <b/>
      <sz val="11"/>
      <color theme="0"/>
      <name val="Calibri"/>
      <family val="2"/>
      <scheme val="minor"/>
    </font>
    <font>
      <sz val="11"/>
      <color theme="8" tint="-0.249977111117893"/>
      <name val="Calibri"/>
      <family val="2"/>
      <scheme val="minor"/>
    </font>
    <font>
      <sz val="11"/>
      <color theme="0" tint="-0.249977111117893"/>
      <name val="Calibri"/>
      <family val="2"/>
      <scheme val="minor"/>
    </font>
    <font>
      <sz val="11"/>
      <color theme="0" tint="-0.14996795556505021"/>
      <name val="Calibri"/>
      <family val="2"/>
      <scheme val="minor"/>
    </font>
    <font>
      <strike/>
      <sz val="11"/>
      <color rgb="FFFF0000"/>
      <name val="Calibri"/>
      <family val="2"/>
      <scheme val="minor"/>
    </font>
    <font>
      <b/>
      <sz val="11"/>
      <color theme="8" tint="0.39997558519241921"/>
      <name val="Calibri"/>
      <family val="2"/>
      <scheme val="minor"/>
    </font>
    <font>
      <b/>
      <i/>
      <sz val="11"/>
      <color theme="1"/>
      <name val="Calibri"/>
      <family val="2"/>
      <scheme val="minor"/>
    </font>
    <font>
      <b/>
      <sz val="11"/>
      <color theme="9" tint="0.39997558519241921"/>
      <name val="Calibri"/>
      <family val="2"/>
      <scheme val="minor"/>
    </font>
    <font>
      <b/>
      <sz val="11"/>
      <color theme="5" tint="0.39997558519241921"/>
      <name val="Calibri"/>
      <family val="2"/>
      <scheme val="minor"/>
    </font>
    <font>
      <u/>
      <sz val="11"/>
      <color theme="1"/>
      <name val="Calibri"/>
      <family val="2"/>
      <scheme val="minor"/>
    </font>
    <font>
      <sz val="11"/>
      <color theme="4" tint="-0.499984740745262"/>
      <name val="Calibri"/>
      <family val="2"/>
      <scheme val="minor"/>
    </font>
    <font>
      <sz val="7"/>
      <color theme="9" tint="-0.499984740745262"/>
      <name val="Calibri"/>
      <family val="2"/>
      <scheme val="minor"/>
    </font>
    <font>
      <strike/>
      <sz val="11"/>
      <name val="Calibri"/>
      <family val="2"/>
      <scheme val="minor"/>
    </font>
    <font>
      <b/>
      <sz val="11"/>
      <color rgb="FF9751CB"/>
      <name val="Calibri"/>
      <family val="2"/>
      <scheme val="minor"/>
    </font>
    <font>
      <b/>
      <u/>
      <sz val="11"/>
      <color theme="1" tint="0.34998626667073579"/>
      <name val="Calibri"/>
      <family val="2"/>
      <scheme val="minor"/>
    </font>
    <font>
      <b/>
      <sz val="11"/>
      <color rgb="FF154273"/>
      <name val="Calibri"/>
      <family val="2"/>
      <scheme val="minor"/>
    </font>
    <font>
      <b/>
      <sz val="14"/>
      <color rgb="FF154273"/>
      <name val="RijksoverheidSansHeadingTT"/>
      <family val="2"/>
    </font>
    <font>
      <b/>
      <sz val="20"/>
      <color rgb="FF154273"/>
      <name val="RijksoverheidSansHeadingTT"/>
      <family val="2"/>
    </font>
    <font>
      <sz val="11"/>
      <color rgb="FFC91500"/>
      <name val="Calibri"/>
      <family val="2"/>
      <scheme val="minor"/>
    </font>
    <font>
      <sz val="11"/>
      <color rgb="FF5B5B5B"/>
      <name val="Calibri"/>
      <family val="2"/>
      <scheme val="minor"/>
    </font>
  </fonts>
  <fills count="4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9" tint="0.59999389629810485"/>
        <bgColor indexed="65"/>
      </patternFill>
    </fill>
    <fill>
      <patternFill patternType="solid">
        <fgColor theme="5"/>
      </patternFill>
    </fill>
    <fill>
      <patternFill patternType="solid">
        <fgColor theme="9" tint="0.79998168889431442"/>
        <bgColor indexed="65"/>
      </patternFill>
    </fill>
    <fill>
      <patternFill patternType="solid">
        <fgColor theme="0" tint="-0.14999847407452621"/>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rgb="FFFFC000"/>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4" tint="-0.249977111117893"/>
        <bgColor indexed="64"/>
      </patternFill>
    </fill>
    <fill>
      <patternFill patternType="solid">
        <fgColor theme="4" tint="0.79998168889431442"/>
        <bgColor theme="4" tint="0.79998168889431442"/>
      </patternFill>
    </fill>
    <fill>
      <patternFill patternType="solid">
        <fgColor theme="4" tint="-0.499984740745262"/>
        <bgColor indexed="64"/>
      </patternFill>
    </fill>
    <fill>
      <patternFill patternType="solid">
        <fgColor theme="8" tint="0.79998168889431442"/>
        <bgColor indexed="64"/>
      </patternFill>
    </fill>
    <fill>
      <patternFill patternType="solid">
        <fgColor theme="4"/>
        <bgColor theme="4"/>
      </patternFill>
    </fill>
    <fill>
      <patternFill patternType="solid">
        <fgColor theme="4" tint="0.39997558519241921"/>
        <bgColor indexed="64"/>
      </patternFill>
    </fill>
    <fill>
      <patternFill patternType="solid">
        <fgColor theme="9" tint="-0.499984740745262"/>
        <bgColor indexed="64"/>
      </patternFill>
    </fill>
    <fill>
      <patternFill patternType="solid">
        <fgColor theme="6" tint="0.59999389629810485"/>
        <bgColor indexed="64"/>
      </patternFill>
    </fill>
    <fill>
      <patternFill patternType="solid">
        <fgColor theme="8" tint="-0.249977111117893"/>
        <bgColor indexed="64"/>
      </patternFill>
    </fill>
    <fill>
      <patternFill patternType="solid">
        <fgColor theme="0" tint="-0.24994659260841701"/>
        <bgColor indexed="64"/>
      </patternFill>
    </fill>
    <fill>
      <patternFill patternType="solid">
        <fgColor theme="0" tint="-0.14996795556505021"/>
        <bgColor indexed="64"/>
      </patternFill>
    </fill>
    <fill>
      <patternFill patternType="solid">
        <fgColor rgb="FFEADCF4"/>
        <bgColor indexed="64"/>
      </patternFill>
    </fill>
    <fill>
      <patternFill patternType="solid">
        <fgColor theme="9" tint="0.59996337778862885"/>
        <bgColor indexed="64"/>
      </patternFill>
    </fill>
    <fill>
      <patternFill patternType="solid">
        <fgColor theme="8" tint="0.39997558519241921"/>
        <bgColor indexed="64"/>
      </patternFill>
    </fill>
    <fill>
      <patternFill patternType="solid">
        <fgColor rgb="FFA568D2"/>
        <bgColor indexed="64"/>
      </patternFill>
    </fill>
    <fill>
      <patternFill patternType="solid">
        <fgColor theme="9" tint="0.39997558519241921"/>
        <bgColor indexed="64"/>
      </patternFill>
    </fill>
    <fill>
      <patternFill patternType="solid">
        <fgColor theme="2"/>
        <bgColor indexed="64"/>
      </patternFill>
    </fill>
    <fill>
      <patternFill patternType="solid">
        <fgColor theme="9" tint="-0.249977111117893"/>
        <bgColor indexed="64"/>
      </patternFill>
    </fill>
    <fill>
      <patternFill patternType="solid">
        <fgColor theme="5" tint="0.39997558519241921"/>
        <bgColor indexed="64"/>
      </patternFill>
    </fill>
    <fill>
      <patternFill patternType="solid">
        <fgColor theme="0" tint="-0.499984740745262"/>
        <bgColor indexed="64"/>
      </patternFill>
    </fill>
    <fill>
      <patternFill patternType="solid">
        <fgColor rgb="FF00B0F0"/>
        <bgColor indexed="64"/>
      </patternFill>
    </fill>
  </fills>
  <borders count="64">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right/>
      <top/>
      <bottom style="thin">
        <color theme="0" tint="-0.24994659260841701"/>
      </bottom>
      <diagonal/>
    </border>
    <border>
      <left/>
      <right style="thin">
        <color theme="0" tint="-0.24994659260841701"/>
      </right>
      <top/>
      <bottom/>
      <diagonal/>
    </border>
    <border>
      <left/>
      <right style="thin">
        <color theme="0" tint="-0.24994659260841701"/>
      </right>
      <top style="thin">
        <color theme="0" tint="-0.24994659260841701"/>
      </top>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diagonal/>
    </border>
    <border>
      <left/>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4659260841701"/>
      </left>
      <right style="thin">
        <color theme="0" tint="-0.24994659260841701"/>
      </right>
      <top style="thin">
        <color theme="0" tint="-0.2499465926084170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style="thin">
        <color theme="0" tint="-0.24994659260841701"/>
      </left>
      <right/>
      <top style="thin">
        <color theme="0" tint="-0.24994659260841701"/>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medium">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medium">
        <color indexed="64"/>
      </right>
      <top style="thin">
        <color theme="0" tint="-0.14996795556505021"/>
      </top>
      <bottom style="thin">
        <color theme="0" tint="-0.14996795556505021"/>
      </bottom>
      <diagonal/>
    </border>
    <border>
      <left style="medium">
        <color auto="1"/>
      </left>
      <right/>
      <top style="thin">
        <color theme="0" tint="-0.24994659260841701"/>
      </top>
      <bottom/>
      <diagonal/>
    </border>
    <border>
      <left/>
      <right/>
      <top style="thin">
        <color theme="0" tint="-0.24994659260841701"/>
      </top>
      <bottom/>
      <diagonal/>
    </border>
    <border>
      <left/>
      <right style="medium">
        <color indexed="64"/>
      </right>
      <top style="thin">
        <color theme="0" tint="-0.24994659260841701"/>
      </top>
      <bottom/>
      <diagonal/>
    </border>
    <border>
      <left style="thin">
        <color theme="0" tint="-0.24994659260841701"/>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4659260841701"/>
      </right>
      <top style="thin">
        <color theme="0" tint="-0.249977111117893"/>
      </top>
      <bottom style="thin">
        <color theme="0" tint="-0.249977111117893"/>
      </bottom>
      <diagonal/>
    </border>
    <border>
      <left/>
      <right style="thin">
        <color theme="0" tint="-0.24994659260841701"/>
      </right>
      <top style="thin">
        <color theme="0" tint="-0.249977111117893"/>
      </top>
      <bottom style="thin">
        <color theme="0" tint="-0.24994659260841701"/>
      </bottom>
      <diagonal/>
    </border>
    <border>
      <left style="thin">
        <color theme="0" tint="-0.24994659260841701"/>
      </left>
      <right/>
      <top style="thin">
        <color theme="0" tint="-0.24994659260841701"/>
      </top>
      <bottom style="thin">
        <color theme="0" tint="-0.249977111117893"/>
      </bottom>
      <diagonal/>
    </border>
    <border>
      <left/>
      <right/>
      <top style="thin">
        <color theme="0" tint="-0.24994659260841701"/>
      </top>
      <bottom style="thin">
        <color theme="0" tint="-0.249977111117893"/>
      </bottom>
      <diagonal/>
    </border>
    <border>
      <left/>
      <right style="thin">
        <color theme="0" tint="-0.24994659260841701"/>
      </right>
      <top style="thin">
        <color theme="0" tint="-0.24994659260841701"/>
      </top>
      <bottom style="thin">
        <color theme="0" tint="-0.249977111117893"/>
      </bottom>
      <diagonal/>
    </border>
    <border>
      <left style="thin">
        <color theme="0" tint="-0.24994659260841701"/>
      </left>
      <right/>
      <top style="thin">
        <color theme="0" tint="-0.249977111117893"/>
      </top>
      <bottom style="thin">
        <color theme="0" tint="-0.24994659260841701"/>
      </bottom>
      <diagonal/>
    </border>
    <border>
      <left/>
      <right/>
      <top style="thin">
        <color theme="0" tint="-0.249977111117893"/>
      </top>
      <bottom style="thin">
        <color theme="0" tint="-0.24994659260841701"/>
      </bottom>
      <diagonal/>
    </border>
    <border>
      <left/>
      <right style="thin">
        <color theme="0" tint="-0.249977111117893"/>
      </right>
      <top style="thin">
        <color theme="0" tint="-0.249977111117893"/>
      </top>
      <bottom style="thin">
        <color theme="0" tint="-0.249977111117893"/>
      </bottom>
      <diagonal/>
    </border>
    <border>
      <left style="thin">
        <color theme="0" tint="-0.24994659260841701"/>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style="thin">
        <color theme="0" tint="-0.14996795556505021"/>
      </top>
      <bottom style="thin">
        <color theme="0" tint="-0.14996795556505021"/>
      </bottom>
      <diagonal/>
    </border>
    <border>
      <left style="thin">
        <color theme="0" tint="-0.24994659260841701"/>
      </left>
      <right/>
      <top style="thin">
        <color theme="0" tint="-0.24994659260841701"/>
      </top>
      <bottom style="thin">
        <color theme="0" tint="-0.14996795556505021"/>
      </bottom>
      <diagonal/>
    </border>
    <border>
      <left/>
      <right/>
      <top style="thin">
        <color theme="0" tint="-0.24994659260841701"/>
      </top>
      <bottom style="thin">
        <color theme="0" tint="-0.14996795556505021"/>
      </bottom>
      <diagonal/>
    </border>
    <border>
      <left/>
      <right style="medium">
        <color auto="1"/>
      </right>
      <top style="thin">
        <color theme="0" tint="-0.24994659260841701"/>
      </top>
      <bottom style="thin">
        <color theme="0" tint="-0.14996795556505021"/>
      </bottom>
      <diagonal/>
    </border>
    <border>
      <left style="thin">
        <color theme="0" tint="-0.14996795556505021"/>
      </left>
      <right style="thin">
        <color theme="0" tint="-0.14993743705557422"/>
      </right>
      <top style="thin">
        <color theme="0" tint="-0.14996795556505021"/>
      </top>
      <bottom style="thin">
        <color theme="0" tint="-0.14996795556505021"/>
      </bottom>
      <diagonal/>
    </border>
    <border>
      <left style="medium">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medium">
        <color indexed="64"/>
      </left>
      <right style="thin">
        <color theme="0" tint="-0.24994659260841701"/>
      </right>
      <top style="thin">
        <color theme="0" tint="-0.24994659260841701"/>
      </top>
      <bottom/>
      <diagonal/>
    </border>
    <border>
      <left style="thin">
        <color theme="0" tint="-0.24994659260841701"/>
      </left>
      <right style="medium">
        <color indexed="64"/>
      </right>
      <top style="thin">
        <color theme="0" tint="-0.24994659260841701"/>
      </top>
      <bottom/>
      <diagonal/>
    </border>
    <border>
      <left style="thin">
        <color theme="0" tint="-4.9989318521683403E-2"/>
      </left>
      <right/>
      <top/>
      <bottom/>
      <diagonal/>
    </border>
    <border>
      <left style="thin">
        <color theme="0" tint="-4.9989318521683403E-2"/>
      </left>
      <right style="thin">
        <color theme="0" tint="-0.24994659260841701"/>
      </right>
      <top style="thin">
        <color theme="0" tint="-0.24994659260841701"/>
      </top>
      <bottom/>
      <diagonal/>
    </border>
    <border>
      <left style="thin">
        <color theme="0" tint="-0.14996795556505021"/>
      </left>
      <right style="thin">
        <color theme="0" tint="-0.24994659260841701"/>
      </right>
      <top style="thin">
        <color theme="0" tint="-0.24994659260841701"/>
      </top>
      <bottom style="thin">
        <color theme="0" tint="-0.24994659260841701"/>
      </bottom>
      <diagonal/>
    </border>
    <border>
      <left style="thin">
        <color theme="0" tint="-0.249977111117893"/>
      </left>
      <right style="thin">
        <color theme="0" tint="-0.249977111117893"/>
      </right>
      <top/>
      <bottom style="thin">
        <color theme="0" tint="-0.24997711111789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24994659260841701"/>
      </left>
      <right/>
      <top/>
      <bottom style="thin">
        <color theme="0" tint="-0.24994659260841701"/>
      </bottom>
      <diagonal/>
    </border>
    <border>
      <left style="thin">
        <color theme="0" tint="-0.24994659260841701"/>
      </left>
      <right/>
      <top/>
      <bottom style="thin">
        <color indexed="64"/>
      </bottom>
      <diagonal/>
    </border>
    <border>
      <left/>
      <right/>
      <top/>
      <bottom style="thin">
        <color indexed="64"/>
      </bottom>
      <diagonal/>
    </border>
    <border>
      <left/>
      <right style="thin">
        <color theme="0" tint="-0.24994659260841701"/>
      </right>
      <top/>
      <bottom style="thin">
        <color indexed="64"/>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bottom/>
      <diagonal/>
    </border>
    <border>
      <left style="thin">
        <color theme="0" tint="-0.24994659260841701"/>
      </left>
      <right style="thin">
        <color theme="0" tint="-0.24994659260841701"/>
      </right>
      <top style="thin">
        <color theme="4" tint="0.39997558519241921"/>
      </top>
      <bottom style="thin">
        <color theme="0" tint="-0.24994659260841701"/>
      </bottom>
      <diagonal/>
    </border>
    <border>
      <left style="thin">
        <color theme="0" tint="-0.249977111117893"/>
      </left>
      <right/>
      <top/>
      <bottom/>
      <diagonal/>
    </border>
  </borders>
  <cellStyleXfs count="11">
    <xf numFmtId="0" fontId="0" fillId="0" borderId="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5" fillId="9" borderId="0" applyNumberFormat="0" applyBorder="0" applyAlignment="0" applyProtection="0"/>
    <xf numFmtId="0" fontId="3" fillId="10" borderId="0" applyNumberFormat="0" applyBorder="0" applyAlignment="0" applyProtection="0"/>
    <xf numFmtId="9" fontId="3" fillId="0" borderId="0" applyFont="0" applyFill="0" applyBorder="0" applyAlignment="0" applyProtection="0"/>
    <xf numFmtId="164" fontId="3" fillId="0" borderId="0" applyFont="0" applyFill="0" applyBorder="0" applyAlignment="0" applyProtection="0"/>
    <xf numFmtId="0" fontId="1" fillId="0" borderId="0"/>
  </cellStyleXfs>
  <cellXfs count="495">
    <xf numFmtId="0" fontId="0" fillId="0" borderId="0" xfId="0"/>
    <xf numFmtId="0" fontId="2" fillId="0" borderId="0" xfId="0" applyFont="1"/>
    <xf numFmtId="0" fontId="2" fillId="0" borderId="0" xfId="0" applyFont="1" applyAlignment="1">
      <alignment wrapText="1"/>
    </xf>
    <xf numFmtId="49" fontId="2" fillId="0" borderId="0" xfId="0" applyNumberFormat="1" applyFont="1" applyAlignment="1">
      <alignment wrapText="1"/>
    </xf>
    <xf numFmtId="0" fontId="2" fillId="13" borderId="1" xfId="0" applyFont="1" applyFill="1" applyBorder="1" applyAlignment="1">
      <alignment horizontal="left" vertical="center" wrapText="1"/>
    </xf>
    <xf numFmtId="0" fontId="2" fillId="7" borderId="1" xfId="4" applyNumberFormat="1" applyFont="1" applyBorder="1" applyAlignment="1" applyProtection="1">
      <alignment horizontal="right"/>
      <protection hidden="1"/>
    </xf>
    <xf numFmtId="0" fontId="3" fillId="8" borderId="1" xfId="5" applyBorder="1" applyAlignment="1" applyProtection="1">
      <alignment horizontal="left"/>
      <protection hidden="1"/>
    </xf>
    <xf numFmtId="0" fontId="2" fillId="8" borderId="1" xfId="5" applyFont="1" applyBorder="1" applyAlignment="1" applyProtection="1">
      <alignment horizontal="left"/>
      <protection hidden="1"/>
    </xf>
    <xf numFmtId="0" fontId="2" fillId="18" borderId="1" xfId="3" applyFont="1" applyFill="1" applyBorder="1" applyProtection="1">
      <protection hidden="1"/>
    </xf>
    <xf numFmtId="164" fontId="2" fillId="18" borderId="1" xfId="3" applyNumberFormat="1" applyFont="1" applyFill="1" applyBorder="1" applyProtection="1">
      <protection hidden="1"/>
    </xf>
    <xf numFmtId="9" fontId="2" fillId="18" borderId="1" xfId="3" applyNumberFormat="1" applyFont="1" applyFill="1" applyBorder="1" applyProtection="1">
      <protection hidden="1"/>
    </xf>
    <xf numFmtId="1" fontId="2" fillId="18" borderId="1" xfId="3" applyNumberFormat="1" applyFont="1" applyFill="1" applyBorder="1" applyAlignment="1" applyProtection="1">
      <alignment vertical="top"/>
      <protection hidden="1"/>
    </xf>
    <xf numFmtId="0" fontId="0" fillId="0" borderId="1" xfId="0" applyBorder="1"/>
    <xf numFmtId="10" fontId="2" fillId="18" borderId="1" xfId="3" applyNumberFormat="1" applyFont="1" applyFill="1" applyBorder="1" applyProtection="1">
      <protection hidden="1"/>
    </xf>
    <xf numFmtId="0" fontId="2" fillId="18" borderId="1" xfId="3" applyFont="1" applyFill="1" applyBorder="1" applyAlignment="1" applyProtection="1">
      <protection hidden="1"/>
    </xf>
    <xf numFmtId="0" fontId="0" fillId="2" borderId="0" xfId="0" applyFill="1"/>
    <xf numFmtId="0" fontId="10" fillId="2" borderId="0" xfId="0" applyFont="1" applyFill="1"/>
    <xf numFmtId="0" fontId="2" fillId="7" borderId="1" xfId="4" applyNumberFormat="1" applyFont="1" applyBorder="1" applyAlignment="1" applyProtection="1">
      <alignment horizontal="right" vertical="center"/>
      <protection hidden="1"/>
    </xf>
    <xf numFmtId="49" fontId="2" fillId="7" borderId="1" xfId="4" applyNumberFormat="1" applyFont="1" applyBorder="1" applyAlignment="1" applyProtection="1">
      <alignment horizontal="left" vertical="center"/>
      <protection hidden="1"/>
    </xf>
    <xf numFmtId="0" fontId="2" fillId="0" borderId="5" xfId="0" applyFont="1" applyBorder="1" applyAlignment="1">
      <alignment horizontal="center" vertical="center"/>
    </xf>
    <xf numFmtId="0" fontId="2" fillId="17" borderId="1" xfId="0" applyFont="1" applyFill="1" applyBorder="1" applyAlignment="1">
      <alignment wrapText="1"/>
    </xf>
    <xf numFmtId="0" fontId="2" fillId="17" borderId="1" xfId="0" applyFont="1" applyFill="1" applyBorder="1" applyAlignment="1">
      <alignment vertical="center" wrapText="1"/>
    </xf>
    <xf numFmtId="0" fontId="0" fillId="0" borderId="6" xfId="0" applyBorder="1"/>
    <xf numFmtId="49" fontId="0" fillId="0" borderId="6" xfId="0" quotePrefix="1" applyNumberFormat="1" applyBorder="1"/>
    <xf numFmtId="0" fontId="2" fillId="0" borderId="0" xfId="0" applyFont="1" applyProtection="1">
      <protection hidden="1"/>
    </xf>
    <xf numFmtId="0" fontId="3" fillId="0" borderId="0" xfId="0" applyFont="1" applyProtection="1">
      <protection hidden="1"/>
    </xf>
    <xf numFmtId="0" fontId="0" fillId="0" borderId="0" xfId="0" applyProtection="1">
      <protection hidden="1"/>
    </xf>
    <xf numFmtId="0" fontId="3" fillId="0" borderId="0" xfId="0" applyFont="1" applyAlignment="1" applyProtection="1">
      <alignment wrapText="1"/>
      <protection hidden="1"/>
    </xf>
    <xf numFmtId="0" fontId="3" fillId="0" borderId="0" xfId="0" applyFont="1" applyAlignment="1" applyProtection="1">
      <alignment horizontal="center"/>
      <protection hidden="1"/>
    </xf>
    <xf numFmtId="0" fontId="2" fillId="0" borderId="7" xfId="3" applyFont="1" applyFill="1" applyBorder="1" applyAlignment="1" applyProtection="1">
      <alignment horizontal="center"/>
      <protection hidden="1"/>
    </xf>
    <xf numFmtId="0" fontId="2" fillId="0" borderId="6" xfId="3" applyFont="1" applyFill="1" applyBorder="1" applyAlignment="1" applyProtection="1">
      <alignment horizontal="center"/>
      <protection hidden="1"/>
    </xf>
    <xf numFmtId="0" fontId="3" fillId="0" borderId="6" xfId="0" applyFont="1" applyBorder="1" applyAlignment="1" applyProtection="1">
      <alignment horizontal="center"/>
      <protection hidden="1"/>
    </xf>
    <xf numFmtId="0" fontId="3" fillId="0" borderId="0" xfId="0" applyFont="1" applyAlignment="1" applyProtection="1">
      <alignment vertical="center"/>
      <protection hidden="1"/>
    </xf>
    <xf numFmtId="0" fontId="2" fillId="18" borderId="3" xfId="3" applyFont="1" applyFill="1" applyBorder="1" applyProtection="1">
      <protection hidden="1"/>
    </xf>
    <xf numFmtId="0" fontId="2" fillId="18" borderId="2" xfId="3" applyFont="1" applyFill="1" applyBorder="1" applyProtection="1">
      <protection hidden="1"/>
    </xf>
    <xf numFmtId="0" fontId="6" fillId="0" borderId="0" xfId="0" applyFont="1" applyProtection="1">
      <protection hidden="1"/>
    </xf>
    <xf numFmtId="1" fontId="6" fillId="0" borderId="0" xfId="0" applyNumberFormat="1" applyFont="1" applyAlignment="1" applyProtection="1">
      <alignment vertical="top"/>
      <protection hidden="1"/>
    </xf>
    <xf numFmtId="0" fontId="3" fillId="2" borderId="0" xfId="0" applyFont="1" applyFill="1" applyProtection="1">
      <protection hidden="1"/>
    </xf>
    <xf numFmtId="1" fontId="2" fillId="2" borderId="0" xfId="1" applyNumberFormat="1" applyFont="1" applyFill="1" applyBorder="1" applyAlignment="1" applyProtection="1">
      <protection hidden="1"/>
    </xf>
    <xf numFmtId="0" fontId="3" fillId="2" borderId="0" xfId="0" applyFont="1" applyFill="1" applyAlignment="1" applyProtection="1">
      <alignment wrapText="1"/>
      <protection hidden="1"/>
    </xf>
    <xf numFmtId="0" fontId="0" fillId="2" borderId="0" xfId="0" applyFill="1" applyProtection="1">
      <protection hidden="1"/>
    </xf>
    <xf numFmtId="165" fontId="3" fillId="2" borderId="0" xfId="1" applyNumberFormat="1" applyFill="1" applyBorder="1" applyAlignment="1" applyProtection="1">
      <protection hidden="1"/>
    </xf>
    <xf numFmtId="164" fontId="2" fillId="12" borderId="12" xfId="7" applyNumberFormat="1" applyFont="1" applyFill="1" applyBorder="1" applyAlignment="1" applyProtection="1">
      <protection hidden="1"/>
    </xf>
    <xf numFmtId="0" fontId="2" fillId="2" borderId="0" xfId="5" applyFont="1" applyFill="1" applyBorder="1" applyAlignment="1" applyProtection="1">
      <alignment horizontal="left"/>
      <protection hidden="1"/>
    </xf>
    <xf numFmtId="164" fontId="2" fillId="2" borderId="0" xfId="7" applyNumberFormat="1" applyFont="1" applyFill="1" applyBorder="1" applyAlignment="1" applyProtection="1">
      <protection hidden="1"/>
    </xf>
    <xf numFmtId="164" fontId="3" fillId="2" borderId="0" xfId="7" applyNumberFormat="1" applyFill="1" applyBorder="1" applyAlignment="1" applyProtection="1">
      <protection hidden="1"/>
    </xf>
    <xf numFmtId="0" fontId="2" fillId="11" borderId="12" xfId="5" applyFont="1" applyFill="1" applyBorder="1" applyAlignment="1" applyProtection="1">
      <alignment horizontal="left" wrapText="1"/>
      <protection hidden="1"/>
    </xf>
    <xf numFmtId="10" fontId="2" fillId="11" borderId="12" xfId="7" applyNumberFormat="1" applyFont="1" applyFill="1" applyBorder="1" applyAlignment="1" applyProtection="1">
      <protection hidden="1"/>
    </xf>
    <xf numFmtId="0" fontId="3" fillId="11" borderId="12" xfId="5" applyFill="1" applyBorder="1" applyAlignment="1" applyProtection="1">
      <alignment horizontal="left" wrapText="1"/>
      <protection hidden="1"/>
    </xf>
    <xf numFmtId="164" fontId="2" fillId="11" borderId="12" xfId="7" applyNumberFormat="1" applyFont="1" applyFill="1" applyBorder="1" applyAlignment="1" applyProtection="1">
      <protection hidden="1"/>
    </xf>
    <xf numFmtId="164" fontId="3" fillId="0" borderId="0" xfId="0" applyNumberFormat="1" applyFont="1" applyAlignment="1" applyProtection="1">
      <alignment wrapText="1"/>
      <protection hidden="1"/>
    </xf>
    <xf numFmtId="164" fontId="3" fillId="11" borderId="1" xfId="7" applyNumberFormat="1" applyFill="1" applyBorder="1" applyAlignment="1" applyProtection="1">
      <protection hidden="1"/>
    </xf>
    <xf numFmtId="0" fontId="3" fillId="11" borderId="1" xfId="5" applyFill="1" applyBorder="1" applyAlignment="1" applyProtection="1">
      <alignment horizontal="left"/>
      <protection hidden="1"/>
    </xf>
    <xf numFmtId="0" fontId="14" fillId="11" borderId="1" xfId="5" applyFont="1" applyFill="1" applyBorder="1" applyAlignment="1" applyProtection="1">
      <alignment horizontal="left" wrapText="1"/>
      <protection hidden="1"/>
    </xf>
    <xf numFmtId="164" fontId="15" fillId="11" borderId="1" xfId="7" applyNumberFormat="1" applyFont="1" applyFill="1" applyBorder="1" applyAlignment="1" applyProtection="1">
      <protection hidden="1"/>
    </xf>
    <xf numFmtId="164" fontId="7" fillId="11" borderId="1" xfId="7" applyNumberFormat="1" applyFont="1" applyFill="1" applyBorder="1" applyAlignment="1" applyProtection="1">
      <protection hidden="1"/>
    </xf>
    <xf numFmtId="9" fontId="0" fillId="0" borderId="0" xfId="0" applyNumberFormat="1"/>
    <xf numFmtId="0" fontId="0" fillId="20" borderId="0" xfId="0" applyFill="1"/>
    <xf numFmtId="0" fontId="5" fillId="21" borderId="0" xfId="0" applyFont="1" applyFill="1"/>
    <xf numFmtId="164" fontId="9" fillId="18" borderId="1" xfId="3" applyNumberFormat="1" applyFont="1" applyFill="1" applyBorder="1" applyProtection="1">
      <protection hidden="1"/>
    </xf>
    <xf numFmtId="0" fontId="9" fillId="18" borderId="3" xfId="3" applyFont="1" applyFill="1" applyBorder="1" applyProtection="1">
      <protection hidden="1"/>
    </xf>
    <xf numFmtId="0" fontId="9" fillId="18" borderId="1" xfId="3" applyFont="1" applyFill="1" applyBorder="1" applyProtection="1">
      <protection hidden="1"/>
    </xf>
    <xf numFmtId="0" fontId="0" fillId="0" borderId="4" xfId="0" applyBorder="1"/>
    <xf numFmtId="0" fontId="0" fillId="22" borderId="1" xfId="0" applyFill="1" applyBorder="1"/>
    <xf numFmtId="4" fontId="0" fillId="0" borderId="0" xfId="0" applyNumberFormat="1"/>
    <xf numFmtId="167" fontId="0" fillId="0" borderId="0" xfId="0" applyNumberFormat="1"/>
    <xf numFmtId="0" fontId="5" fillId="21" borderId="0" xfId="0" applyFont="1" applyFill="1" applyAlignment="1">
      <alignment horizontal="center"/>
    </xf>
    <xf numFmtId="4" fontId="0" fillId="20" borderId="0" xfId="0" applyNumberFormat="1" applyFill="1"/>
    <xf numFmtId="0" fontId="0" fillId="22" borderId="0" xfId="0" applyFill="1"/>
    <xf numFmtId="0" fontId="18" fillId="23" borderId="1" xfId="3" applyFont="1" applyFill="1" applyBorder="1" applyAlignment="1" applyProtection="1">
      <alignment vertical="center"/>
      <protection hidden="1"/>
    </xf>
    <xf numFmtId="0" fontId="18" fillId="23" borderId="1" xfId="3" applyFont="1" applyFill="1" applyBorder="1" applyAlignment="1" applyProtection="1">
      <alignment horizontal="left" vertical="center" wrapText="1"/>
      <protection hidden="1"/>
    </xf>
    <xf numFmtId="0" fontId="18" fillId="23" borderId="1" xfId="3" applyFont="1" applyFill="1" applyBorder="1" applyAlignment="1" applyProtection="1">
      <alignment horizontal="center" vertical="center" wrapText="1"/>
      <protection hidden="1"/>
    </xf>
    <xf numFmtId="165" fontId="18" fillId="23" borderId="1" xfId="3" applyNumberFormat="1" applyFont="1" applyFill="1" applyBorder="1" applyProtection="1">
      <protection hidden="1"/>
    </xf>
    <xf numFmtId="0" fontId="18" fillId="23" borderId="1" xfId="3" applyFont="1" applyFill="1" applyBorder="1" applyAlignment="1" applyProtection="1">
      <alignment wrapText="1"/>
      <protection hidden="1"/>
    </xf>
    <xf numFmtId="0" fontId="18" fillId="23" borderId="4" xfId="3" applyFont="1" applyFill="1" applyBorder="1" applyAlignment="1" applyProtection="1">
      <alignment wrapText="1"/>
      <protection hidden="1"/>
    </xf>
    <xf numFmtId="49" fontId="2" fillId="24" borderId="1" xfId="4" applyNumberFormat="1" applyFont="1" applyFill="1" applyBorder="1" applyAlignment="1" applyProtection="1">
      <alignment horizontal="left" vertical="center"/>
      <protection hidden="1"/>
    </xf>
    <xf numFmtId="164" fontId="17" fillId="12" borderId="1" xfId="7" applyNumberFormat="1" applyFont="1" applyFill="1" applyBorder="1" applyAlignment="1" applyProtection="1">
      <alignment horizontal="left" vertical="center" wrapText="1"/>
      <protection hidden="1"/>
    </xf>
    <xf numFmtId="0" fontId="16" fillId="19" borderId="1" xfId="5" applyFont="1" applyFill="1" applyBorder="1" applyAlignment="1" applyProtection="1">
      <alignment horizontal="left" vertical="center"/>
      <protection hidden="1"/>
    </xf>
    <xf numFmtId="164" fontId="16" fillId="12" borderId="1" xfId="7" applyNumberFormat="1" applyFont="1" applyFill="1" applyBorder="1" applyAlignment="1" applyProtection="1">
      <alignment vertical="center"/>
      <protection hidden="1"/>
    </xf>
    <xf numFmtId="10" fontId="2" fillId="11" borderId="12" xfId="7" applyNumberFormat="1" applyFont="1" applyFill="1" applyBorder="1" applyAlignment="1" applyProtection="1">
      <alignment vertical="center"/>
      <protection hidden="1"/>
    </xf>
    <xf numFmtId="164" fontId="3" fillId="11" borderId="12" xfId="7" applyNumberFormat="1" applyFill="1" applyBorder="1" applyAlignment="1" applyProtection="1">
      <alignment vertical="center" wrapText="1"/>
      <protection hidden="1"/>
    </xf>
    <xf numFmtId="0" fontId="19" fillId="0" borderId="0" xfId="0" applyFont="1" applyProtection="1">
      <protection hidden="1"/>
    </xf>
    <xf numFmtId="0" fontId="2" fillId="11" borderId="1" xfId="5" applyFont="1" applyFill="1" applyBorder="1" applyAlignment="1" applyProtection="1">
      <alignment horizontal="left" vertical="center" wrapText="1"/>
      <protection hidden="1"/>
    </xf>
    <xf numFmtId="164" fontId="3" fillId="11" borderId="1" xfId="7" applyNumberFormat="1" applyFill="1" applyBorder="1" applyAlignment="1" applyProtection="1">
      <alignment vertical="center"/>
      <protection hidden="1"/>
    </xf>
    <xf numFmtId="0" fontId="18" fillId="25" borderId="14" xfId="0" applyFont="1" applyFill="1" applyBorder="1"/>
    <xf numFmtId="0" fontId="18" fillId="25" borderId="15" xfId="0" applyFont="1" applyFill="1" applyBorder="1"/>
    <xf numFmtId="0" fontId="0" fillId="22" borderId="15" xfId="0" applyFill="1" applyBorder="1"/>
    <xf numFmtId="0" fontId="0" fillId="0" borderId="15" xfId="0" applyBorder="1"/>
    <xf numFmtId="0" fontId="3" fillId="12" borderId="12" xfId="5" applyFill="1" applyBorder="1" applyAlignment="1" applyProtection="1">
      <alignment horizontal="left"/>
      <protection hidden="1"/>
    </xf>
    <xf numFmtId="164" fontId="3" fillId="12" borderId="12" xfId="7" applyNumberFormat="1" applyFill="1" applyBorder="1" applyAlignment="1" applyProtection="1">
      <protection hidden="1"/>
    </xf>
    <xf numFmtId="9" fontId="3" fillId="12" borderId="12" xfId="7" applyNumberFormat="1" applyFill="1" applyBorder="1" applyAlignment="1" applyProtection="1">
      <protection hidden="1"/>
    </xf>
    <xf numFmtId="0" fontId="0" fillId="3" borderId="0" xfId="0" applyFill="1"/>
    <xf numFmtId="9" fontId="5" fillId="21" borderId="0" xfId="0" applyNumberFormat="1" applyFont="1" applyFill="1"/>
    <xf numFmtId="9" fontId="0" fillId="3" borderId="0" xfId="0" applyNumberFormat="1" applyFill="1"/>
    <xf numFmtId="0" fontId="2" fillId="26" borderId="12" xfId="5" applyFont="1" applyFill="1" applyBorder="1" applyAlignment="1" applyProtection="1">
      <alignment horizontal="left"/>
      <protection hidden="1"/>
    </xf>
    <xf numFmtId="165" fontId="0" fillId="3" borderId="0" xfId="0" applyNumberFormat="1" applyFill="1"/>
    <xf numFmtId="4" fontId="0" fillId="22" borderId="15" xfId="0" applyNumberFormat="1" applyFill="1" applyBorder="1"/>
    <xf numFmtId="4" fontId="0" fillId="0" borderId="15" xfId="0" applyNumberFormat="1" applyBorder="1"/>
    <xf numFmtId="167" fontId="0" fillId="22" borderId="15" xfId="0" applyNumberFormat="1" applyFill="1" applyBorder="1"/>
    <xf numFmtId="167" fontId="0" fillId="0" borderId="15" xfId="0" applyNumberFormat="1" applyBorder="1"/>
    <xf numFmtId="164" fontId="2" fillId="11" borderId="0" xfId="7" applyNumberFormat="1" applyFont="1" applyFill="1" applyBorder="1" applyAlignment="1" applyProtection="1">
      <protection hidden="1"/>
    </xf>
    <xf numFmtId="164" fontId="3" fillId="11" borderId="0" xfId="7" applyNumberFormat="1" applyFill="1" applyBorder="1" applyAlignment="1" applyProtection="1">
      <protection hidden="1"/>
    </xf>
    <xf numFmtId="0" fontId="3" fillId="11" borderId="1" xfId="5" applyFill="1" applyBorder="1" applyAlignment="1" applyProtection="1">
      <alignment horizontal="left" vertical="center" wrapText="1"/>
      <protection hidden="1"/>
    </xf>
    <xf numFmtId="164" fontId="3" fillId="0" borderId="0" xfId="0" applyNumberFormat="1" applyFont="1" applyProtection="1">
      <protection hidden="1"/>
    </xf>
    <xf numFmtId="164" fontId="3" fillId="16" borderId="1" xfId="2" applyNumberFormat="1" applyFill="1" applyBorder="1" applyAlignment="1" applyProtection="1">
      <protection hidden="1"/>
    </xf>
    <xf numFmtId="164" fontId="3" fillId="16" borderId="1" xfId="7" applyNumberFormat="1" applyFill="1" applyBorder="1" applyAlignment="1" applyProtection="1">
      <protection hidden="1"/>
    </xf>
    <xf numFmtId="0" fontId="3" fillId="18" borderId="1" xfId="5" applyFill="1" applyBorder="1" applyAlignment="1" applyProtection="1">
      <alignment horizontal="left"/>
      <protection hidden="1"/>
    </xf>
    <xf numFmtId="164" fontId="3" fillId="28" borderId="1" xfId="7" applyNumberFormat="1" applyFill="1" applyBorder="1" applyAlignment="1" applyProtection="1">
      <protection hidden="1"/>
    </xf>
    <xf numFmtId="0" fontId="3" fillId="12" borderId="12" xfId="5" applyFill="1" applyBorder="1" applyAlignment="1" applyProtection="1">
      <alignment horizontal="right"/>
      <protection hidden="1"/>
    </xf>
    <xf numFmtId="0" fontId="2" fillId="12" borderId="12" xfId="5" applyFont="1" applyFill="1" applyBorder="1" applyAlignment="1" applyProtection="1">
      <alignment horizontal="right"/>
      <protection hidden="1"/>
    </xf>
    <xf numFmtId="0" fontId="2" fillId="23" borderId="1" xfId="3" applyFont="1" applyFill="1" applyBorder="1" applyProtection="1">
      <protection hidden="1"/>
    </xf>
    <xf numFmtId="0" fontId="12" fillId="23" borderId="3" xfId="1" applyNumberFormat="1" applyFont="1" applyFill="1" applyBorder="1" applyAlignment="1" applyProtection="1">
      <alignment vertical="center"/>
      <protection hidden="1"/>
    </xf>
    <xf numFmtId="0" fontId="12" fillId="23" borderId="10" xfId="1" applyNumberFormat="1" applyFont="1" applyFill="1" applyBorder="1" applyAlignment="1" applyProtection="1">
      <alignment vertical="center"/>
      <protection hidden="1"/>
    </xf>
    <xf numFmtId="0" fontId="12" fillId="23" borderId="2" xfId="1" applyNumberFormat="1" applyFont="1" applyFill="1" applyBorder="1" applyAlignment="1" applyProtection="1">
      <alignment vertical="center"/>
      <protection hidden="1"/>
    </xf>
    <xf numFmtId="0" fontId="8" fillId="18" borderId="1" xfId="6" applyFont="1" applyFill="1" applyBorder="1" applyAlignment="1" applyProtection="1">
      <alignment vertical="center"/>
      <protection hidden="1"/>
    </xf>
    <xf numFmtId="0" fontId="12" fillId="18" borderId="2" xfId="1" applyNumberFormat="1" applyFont="1" applyFill="1" applyBorder="1" applyAlignment="1" applyProtection="1">
      <alignment vertical="center"/>
      <protection hidden="1"/>
    </xf>
    <xf numFmtId="0" fontId="18" fillId="23" borderId="1" xfId="3" applyFont="1" applyFill="1" applyBorder="1" applyAlignment="1" applyProtection="1">
      <alignment vertical="center" wrapText="1"/>
      <protection hidden="1"/>
    </xf>
    <xf numFmtId="0" fontId="18" fillId="23" borderId="8" xfId="3" applyFont="1" applyFill="1" applyBorder="1" applyAlignment="1" applyProtection="1">
      <alignment horizontal="center" vertical="center" wrapText="1"/>
      <protection hidden="1"/>
    </xf>
    <xf numFmtId="0" fontId="3" fillId="18" borderId="6" xfId="0" applyFont="1" applyFill="1" applyBorder="1" applyAlignment="1" applyProtection="1">
      <alignment horizontal="center"/>
      <protection hidden="1"/>
    </xf>
    <xf numFmtId="0" fontId="3" fillId="18" borderId="0" xfId="0" applyFont="1" applyFill="1" applyProtection="1">
      <protection hidden="1"/>
    </xf>
    <xf numFmtId="0" fontId="3" fillId="14" borderId="6" xfId="0" applyFont="1" applyFill="1" applyBorder="1" applyAlignment="1" applyProtection="1">
      <alignment horizontal="center"/>
      <protection hidden="1"/>
    </xf>
    <xf numFmtId="0" fontId="2" fillId="14" borderId="4" xfId="3" applyFont="1" applyFill="1" applyBorder="1" applyProtection="1">
      <protection hidden="1"/>
    </xf>
    <xf numFmtId="0" fontId="12" fillId="14" borderId="2" xfId="1" applyNumberFormat="1" applyFont="1" applyFill="1" applyBorder="1" applyAlignment="1" applyProtection="1">
      <alignment vertical="center"/>
      <protection hidden="1"/>
    </xf>
    <xf numFmtId="0" fontId="3" fillId="14" borderId="0" xfId="0" applyFont="1" applyFill="1" applyProtection="1">
      <protection hidden="1"/>
    </xf>
    <xf numFmtId="1" fontId="9" fillId="14" borderId="1" xfId="3" applyNumberFormat="1" applyFont="1" applyFill="1" applyBorder="1" applyAlignment="1" applyProtection="1">
      <alignment vertical="top"/>
      <protection hidden="1"/>
    </xf>
    <xf numFmtId="0" fontId="2" fillId="14" borderId="1" xfId="3" applyFont="1" applyFill="1" applyBorder="1" applyProtection="1">
      <protection hidden="1"/>
    </xf>
    <xf numFmtId="0" fontId="2" fillId="14" borderId="1" xfId="3" applyFont="1" applyFill="1" applyBorder="1" applyAlignment="1" applyProtection="1">
      <protection hidden="1"/>
    </xf>
    <xf numFmtId="0" fontId="9" fillId="14" borderId="1" xfId="3" applyFont="1" applyFill="1" applyBorder="1" applyProtection="1">
      <protection hidden="1"/>
    </xf>
    <xf numFmtId="0" fontId="18" fillId="23" borderId="17" xfId="3" applyFont="1" applyFill="1" applyBorder="1" applyAlignment="1" applyProtection="1">
      <alignment wrapText="1"/>
      <protection hidden="1"/>
    </xf>
    <xf numFmtId="0" fontId="18" fillId="23" borderId="7" xfId="3" applyFont="1" applyFill="1" applyBorder="1" applyAlignment="1" applyProtection="1">
      <alignment wrapText="1"/>
      <protection hidden="1"/>
    </xf>
    <xf numFmtId="0" fontId="18" fillId="23" borderId="4" xfId="3" applyFont="1" applyFill="1" applyBorder="1" applyAlignment="1" applyProtection="1">
      <alignment horizontal="center" wrapText="1"/>
      <protection hidden="1"/>
    </xf>
    <xf numFmtId="164" fontId="6" fillId="0" borderId="0" xfId="0" applyNumberFormat="1" applyFont="1" applyProtection="1">
      <protection hidden="1"/>
    </xf>
    <xf numFmtId="0" fontId="2" fillId="0" borderId="5" xfId="0" applyFont="1" applyBorder="1" applyAlignment="1">
      <alignment vertical="center"/>
    </xf>
    <xf numFmtId="0" fontId="0" fillId="0" borderId="0" xfId="0" applyAlignment="1">
      <alignment wrapText="1"/>
    </xf>
    <xf numFmtId="0" fontId="18" fillId="23" borderId="22" xfId="3" applyFont="1" applyFill="1" applyBorder="1" applyAlignment="1" applyProtection="1">
      <alignment wrapText="1"/>
      <protection hidden="1"/>
    </xf>
    <xf numFmtId="0" fontId="18" fillId="23" borderId="18" xfId="3" applyFont="1" applyFill="1" applyBorder="1" applyAlignment="1" applyProtection="1">
      <alignment horizontal="center" wrapText="1"/>
      <protection hidden="1"/>
    </xf>
    <xf numFmtId="0" fontId="18" fillId="23" borderId="18" xfId="3" applyFont="1" applyFill="1" applyBorder="1" applyAlignment="1" applyProtection="1">
      <alignment horizontal="center"/>
      <protection hidden="1"/>
    </xf>
    <xf numFmtId="0" fontId="18" fillId="23" borderId="23" xfId="3" applyFont="1" applyFill="1" applyBorder="1" applyAlignment="1" applyProtection="1">
      <alignment horizontal="center" wrapText="1"/>
      <protection hidden="1"/>
    </xf>
    <xf numFmtId="0" fontId="18" fillId="16" borderId="1" xfId="3" applyFont="1" applyFill="1" applyBorder="1" applyAlignment="1" applyProtection="1">
      <alignment wrapText="1"/>
      <protection hidden="1"/>
    </xf>
    <xf numFmtId="0" fontId="0" fillId="0" borderId="0" xfId="0" applyProtection="1">
      <protection locked="0"/>
    </xf>
    <xf numFmtId="164" fontId="3" fillId="32" borderId="12" xfId="7" applyNumberFormat="1" applyFill="1" applyBorder="1" applyAlignment="1" applyProtection="1">
      <protection locked="0" hidden="1"/>
    </xf>
    <xf numFmtId="0" fontId="2" fillId="18" borderId="1" xfId="5" applyFont="1" applyFill="1" applyBorder="1" applyAlignment="1" applyProtection="1">
      <alignment horizontal="left"/>
      <protection hidden="1"/>
    </xf>
    <xf numFmtId="164" fontId="3" fillId="0" borderId="12" xfId="7" applyNumberFormat="1" applyFill="1" applyBorder="1" applyAlignment="1" applyProtection="1">
      <protection hidden="1"/>
    </xf>
    <xf numFmtId="164" fontId="2" fillId="18" borderId="1" xfId="2" applyNumberFormat="1" applyFont="1" applyFill="1" applyBorder="1" applyAlignment="1" applyProtection="1">
      <protection hidden="1"/>
    </xf>
    <xf numFmtId="0" fontId="18" fillId="23" borderId="4" xfId="3" applyFont="1" applyFill="1" applyBorder="1" applyAlignment="1" applyProtection="1">
      <alignment horizontal="left" vertical="center" wrapText="1"/>
      <protection hidden="1"/>
    </xf>
    <xf numFmtId="164" fontId="3" fillId="2" borderId="0" xfId="0" applyNumberFormat="1" applyFont="1" applyFill="1" applyAlignment="1" applyProtection="1">
      <alignment wrapText="1"/>
      <protection hidden="1"/>
    </xf>
    <xf numFmtId="164" fontId="3" fillId="11" borderId="12" xfId="7" applyNumberFormat="1" applyFill="1" applyBorder="1" applyAlignment="1" applyProtection="1">
      <alignment horizontal="center"/>
      <protection hidden="1"/>
    </xf>
    <xf numFmtId="10" fontId="3" fillId="0" borderId="0" xfId="8" applyNumberFormat="1" applyFont="1" applyProtection="1">
      <protection hidden="1"/>
    </xf>
    <xf numFmtId="0" fontId="3" fillId="11" borderId="0" xfId="5" applyFill="1" applyBorder="1" applyAlignment="1" applyProtection="1">
      <alignment horizontal="left" wrapText="1"/>
      <protection hidden="1"/>
    </xf>
    <xf numFmtId="9" fontId="3" fillId="11" borderId="1" xfId="8" applyFill="1" applyBorder="1" applyAlignment="1" applyProtection="1">
      <protection hidden="1"/>
    </xf>
    <xf numFmtId="0" fontId="3" fillId="11" borderId="1" xfId="5" applyFill="1" applyBorder="1" applyAlignment="1" applyProtection="1">
      <alignment horizontal="left" wrapText="1"/>
      <protection hidden="1"/>
    </xf>
    <xf numFmtId="49" fontId="2" fillId="7" borderId="1" xfId="4" applyNumberFormat="1" applyFont="1" applyBorder="1" applyAlignment="1" applyProtection="1">
      <alignment horizontal="right" vertical="center"/>
      <protection hidden="1"/>
    </xf>
    <xf numFmtId="164" fontId="3" fillId="11" borderId="1" xfId="7" applyNumberFormat="1" applyFill="1" applyBorder="1" applyAlignment="1" applyProtection="1">
      <alignment horizontal="left" vertical="center"/>
      <protection hidden="1"/>
    </xf>
    <xf numFmtId="164" fontId="3" fillId="11" borderId="12" xfId="7" applyNumberFormat="1" applyFill="1" applyBorder="1" applyAlignment="1" applyProtection="1">
      <alignment horizontal="left" vertical="center"/>
      <protection hidden="1"/>
    </xf>
    <xf numFmtId="9" fontId="3" fillId="0" borderId="0" xfId="8" applyFont="1" applyProtection="1">
      <protection hidden="1"/>
    </xf>
    <xf numFmtId="4" fontId="0" fillId="3" borderId="0" xfId="0" applyNumberFormat="1" applyFill="1"/>
    <xf numFmtId="0" fontId="0" fillId="16" borderId="16" xfId="0" applyFill="1" applyBorder="1" applyProtection="1">
      <protection locked="0"/>
    </xf>
    <xf numFmtId="0" fontId="18" fillId="29" borderId="4" xfId="0" applyFont="1" applyFill="1" applyBorder="1" applyAlignment="1">
      <alignment wrapText="1"/>
    </xf>
    <xf numFmtId="0" fontId="18" fillId="29" borderId="4" xfId="0" applyFont="1" applyFill="1" applyBorder="1" applyAlignment="1">
      <alignment vertical="center" wrapText="1"/>
    </xf>
    <xf numFmtId="0" fontId="18" fillId="29" borderId="4" xfId="0" applyFont="1" applyFill="1" applyBorder="1" applyAlignment="1">
      <alignment horizontal="left" vertical="center" wrapText="1"/>
    </xf>
    <xf numFmtId="0" fontId="0" fillId="12" borderId="16" xfId="0" applyFill="1" applyBorder="1"/>
    <xf numFmtId="0" fontId="0" fillId="3" borderId="16" xfId="0" applyFill="1" applyBorder="1"/>
    <xf numFmtId="164" fontId="2" fillId="0" borderId="0" xfId="0" applyNumberFormat="1" applyFont="1" applyProtection="1">
      <protection hidden="1"/>
    </xf>
    <xf numFmtId="0" fontId="2" fillId="0" borderId="0" xfId="0" applyFont="1" applyAlignment="1" applyProtection="1">
      <alignment horizontal="center" vertical="center" wrapText="1"/>
      <protection hidden="1"/>
    </xf>
    <xf numFmtId="0" fontId="2" fillId="8" borderId="1" xfId="5" applyFont="1" applyBorder="1" applyAlignment="1" applyProtection="1">
      <alignment horizontal="left" vertical="center"/>
      <protection hidden="1"/>
    </xf>
    <xf numFmtId="0" fontId="3" fillId="0" borderId="0" xfId="0" applyFont="1" applyAlignment="1" applyProtection="1">
      <alignment horizontal="center" wrapText="1"/>
      <protection hidden="1"/>
    </xf>
    <xf numFmtId="164" fontId="2" fillId="33" borderId="1" xfId="7" applyNumberFormat="1" applyFont="1" applyFill="1" applyBorder="1" applyAlignment="1" applyProtection="1">
      <protection hidden="1"/>
    </xf>
    <xf numFmtId="0" fontId="22" fillId="2" borderId="0" xfId="0" applyFont="1" applyFill="1"/>
    <xf numFmtId="0" fontId="2" fillId="8" borderId="1" xfId="5" applyFont="1" applyBorder="1" applyAlignment="1" applyProtection="1">
      <alignment horizontal="center" vertical="center" wrapText="1"/>
      <protection hidden="1"/>
    </xf>
    <xf numFmtId="0" fontId="0" fillId="0" borderId="13" xfId="0" applyBorder="1"/>
    <xf numFmtId="0" fontId="0" fillId="0" borderId="0" xfId="0" applyAlignment="1">
      <alignment vertical="center" wrapText="1"/>
    </xf>
    <xf numFmtId="0" fontId="2" fillId="0" borderId="11" xfId="0" applyFont="1" applyBorder="1" applyAlignment="1">
      <alignment vertical="center" wrapText="1"/>
    </xf>
    <xf numFmtId="0" fontId="2" fillId="0" borderId="0" xfId="0" applyFont="1" applyAlignment="1">
      <alignment vertical="center" wrapText="1"/>
    </xf>
    <xf numFmtId="0" fontId="18" fillId="23" borderId="43" xfId="3" applyFont="1" applyFill="1" applyBorder="1" applyAlignment="1" applyProtection="1">
      <alignment horizontal="center" wrapText="1"/>
      <protection hidden="1"/>
    </xf>
    <xf numFmtId="166" fontId="0" fillId="0" borderId="0" xfId="0" applyNumberFormat="1" applyProtection="1">
      <protection locked="0"/>
    </xf>
    <xf numFmtId="0" fontId="2" fillId="0" borderId="0" xfId="0" applyFont="1" applyAlignment="1" applyProtection="1">
      <alignment horizontal="left" vertical="center"/>
      <protection hidden="1"/>
    </xf>
    <xf numFmtId="0" fontId="18" fillId="0" borderId="0" xfId="0" applyFont="1" applyProtection="1">
      <protection hidden="1"/>
    </xf>
    <xf numFmtId="0" fontId="2" fillId="0" borderId="0" xfId="0" applyFont="1" applyAlignment="1" applyProtection="1">
      <alignment vertical="center"/>
      <protection hidden="1"/>
    </xf>
    <xf numFmtId="0" fontId="18" fillId="23" borderId="46" xfId="3" applyFont="1" applyFill="1" applyBorder="1" applyAlignment="1" applyProtection="1">
      <alignment wrapText="1"/>
      <protection hidden="1"/>
    </xf>
    <xf numFmtId="0" fontId="18" fillId="23" borderId="47" xfId="3" applyFont="1" applyFill="1" applyBorder="1" applyAlignment="1" applyProtection="1">
      <alignment wrapText="1"/>
      <protection hidden="1"/>
    </xf>
    <xf numFmtId="0" fontId="18" fillId="16" borderId="2" xfId="3" applyFont="1" applyFill="1" applyBorder="1" applyAlignment="1" applyProtection="1">
      <alignment wrapText="1"/>
      <protection hidden="1"/>
    </xf>
    <xf numFmtId="0" fontId="18" fillId="16" borderId="44" xfId="3" applyFont="1" applyFill="1" applyBorder="1" applyAlignment="1" applyProtection="1">
      <alignment wrapText="1"/>
      <protection hidden="1"/>
    </xf>
    <xf numFmtId="0" fontId="18" fillId="23" borderId="0" xfId="3" applyFont="1" applyFill="1" applyBorder="1" applyAlignment="1" applyProtection="1">
      <alignment horizontal="center" wrapText="1"/>
      <protection hidden="1"/>
    </xf>
    <xf numFmtId="0" fontId="6" fillId="0" borderId="48" xfId="0" applyFont="1" applyBorder="1" applyProtection="1">
      <protection hidden="1"/>
    </xf>
    <xf numFmtId="0" fontId="18" fillId="23" borderId="49" xfId="3" applyFont="1" applyFill="1" applyBorder="1" applyAlignment="1" applyProtection="1">
      <alignment wrapText="1"/>
      <protection hidden="1"/>
    </xf>
    <xf numFmtId="0" fontId="18" fillId="16" borderId="50" xfId="3" applyFont="1" applyFill="1" applyBorder="1" applyAlignment="1" applyProtection="1">
      <alignment wrapText="1"/>
      <protection hidden="1"/>
    </xf>
    <xf numFmtId="0" fontId="2" fillId="8" borderId="1" xfId="5" applyFont="1" applyBorder="1" applyAlignment="1" applyProtection="1">
      <alignment vertical="center"/>
      <protection hidden="1"/>
    </xf>
    <xf numFmtId="0" fontId="2" fillId="8" borderId="1" xfId="5" applyFont="1" applyBorder="1" applyAlignment="1" applyProtection="1">
      <alignment vertical="center" wrapText="1"/>
      <protection hidden="1"/>
    </xf>
    <xf numFmtId="0" fontId="5" fillId="27" borderId="1" xfId="3" applyFont="1" applyFill="1" applyBorder="1" applyAlignment="1" applyProtection="1">
      <alignment vertical="center" wrapText="1"/>
      <protection hidden="1"/>
    </xf>
    <xf numFmtId="0" fontId="18" fillId="0" borderId="4" xfId="1" applyNumberFormat="1" applyFont="1" applyFill="1" applyBorder="1" applyAlignment="1" applyProtection="1">
      <alignment horizontal="left" vertical="center"/>
      <protection hidden="1"/>
    </xf>
    <xf numFmtId="0" fontId="2" fillId="0" borderId="0" xfId="0" applyFont="1" applyAlignment="1" applyProtection="1">
      <alignment horizontal="center" vertical="top" wrapText="1"/>
      <protection hidden="1"/>
    </xf>
    <xf numFmtId="0" fontId="2" fillId="8" borderId="1" xfId="5" applyFont="1" applyBorder="1" applyAlignment="1" applyProtection="1">
      <alignment horizontal="left" vertical="top" wrapText="1"/>
      <protection hidden="1"/>
    </xf>
    <xf numFmtId="0" fontId="2" fillId="2" borderId="0" xfId="0" applyFont="1" applyFill="1" applyProtection="1">
      <protection hidden="1"/>
    </xf>
    <xf numFmtId="0" fontId="2" fillId="2" borderId="0" xfId="0" applyFont="1" applyFill="1" applyAlignment="1" applyProtection="1">
      <alignment horizontal="center" vertical="center" wrapText="1"/>
      <protection hidden="1"/>
    </xf>
    <xf numFmtId="164" fontId="3" fillId="2" borderId="0" xfId="0" applyNumberFormat="1" applyFont="1" applyFill="1" applyProtection="1">
      <protection hidden="1"/>
    </xf>
    <xf numFmtId="164" fontId="2" fillId="2" borderId="0" xfId="0" applyNumberFormat="1" applyFont="1" applyFill="1" applyProtection="1">
      <protection hidden="1"/>
    </xf>
    <xf numFmtId="0" fontId="2" fillId="26" borderId="51" xfId="5" applyFont="1" applyFill="1" applyBorder="1" applyAlignment="1" applyProtection="1">
      <alignment horizontal="left"/>
      <protection hidden="1"/>
    </xf>
    <xf numFmtId="0" fontId="2" fillId="26" borderId="51" xfId="5" applyFont="1" applyFill="1" applyBorder="1" applyAlignment="1" applyProtection="1">
      <alignment horizontal="center"/>
      <protection hidden="1"/>
    </xf>
    <xf numFmtId="0" fontId="3" fillId="3" borderId="12" xfId="5" applyFill="1" applyBorder="1" applyAlignment="1" applyProtection="1">
      <alignment horizontal="right"/>
      <protection hidden="1"/>
    </xf>
    <xf numFmtId="164" fontId="3" fillId="3" borderId="12" xfId="0" applyNumberFormat="1" applyFont="1" applyFill="1" applyBorder="1" applyProtection="1">
      <protection hidden="1"/>
    </xf>
    <xf numFmtId="164" fontId="17" fillId="11" borderId="3" xfId="7" applyNumberFormat="1" applyFont="1" applyFill="1" applyBorder="1" applyAlignment="1" applyProtection="1">
      <alignment horizontal="left" vertical="center" wrapText="1"/>
      <protection hidden="1"/>
    </xf>
    <xf numFmtId="164" fontId="17" fillId="11" borderId="2" xfId="7" applyNumberFormat="1" applyFont="1" applyFill="1" applyBorder="1" applyAlignment="1" applyProtection="1">
      <alignment horizontal="left" vertical="center" wrapText="1"/>
      <protection hidden="1"/>
    </xf>
    <xf numFmtId="0" fontId="3" fillId="8" borderId="1" xfId="5" applyNumberFormat="1" applyBorder="1" applyAlignment="1" applyProtection="1">
      <alignment horizontal="left"/>
      <protection hidden="1"/>
    </xf>
    <xf numFmtId="0" fontId="17" fillId="11" borderId="1" xfId="5" applyFont="1" applyFill="1" applyBorder="1" applyAlignment="1" applyProtection="1">
      <alignment horizontal="left" vertical="center"/>
      <protection hidden="1"/>
    </xf>
    <xf numFmtId="164" fontId="17" fillId="11" borderId="1" xfId="7" applyNumberFormat="1" applyFont="1" applyFill="1" applyBorder="1" applyAlignment="1" applyProtection="1">
      <alignment vertical="center"/>
      <protection hidden="1"/>
    </xf>
    <xf numFmtId="0" fontId="17" fillId="11" borderId="27" xfId="5" applyFont="1" applyFill="1" applyBorder="1" applyAlignment="1" applyProtection="1">
      <alignment horizontal="left" vertical="center" wrapText="1"/>
      <protection hidden="1"/>
    </xf>
    <xf numFmtId="0" fontId="17" fillId="11" borderId="27" xfId="5" applyFont="1" applyFill="1" applyBorder="1" applyAlignment="1" applyProtection="1">
      <alignment horizontal="left" wrapText="1"/>
      <protection hidden="1"/>
    </xf>
    <xf numFmtId="164" fontId="17" fillId="11" borderId="12" xfId="7" applyNumberFormat="1" applyFont="1" applyFill="1" applyBorder="1" applyAlignment="1" applyProtection="1">
      <protection hidden="1"/>
    </xf>
    <xf numFmtId="164" fontId="17" fillId="11" borderId="28" xfId="7" applyNumberFormat="1" applyFont="1" applyFill="1" applyBorder="1" applyAlignment="1" applyProtection="1">
      <protection hidden="1"/>
    </xf>
    <xf numFmtId="164" fontId="17" fillId="11" borderId="29" xfId="7" applyNumberFormat="1" applyFont="1" applyFill="1" applyBorder="1" applyAlignment="1" applyProtection="1">
      <protection hidden="1"/>
    </xf>
    <xf numFmtId="0" fontId="17" fillId="11" borderId="1" xfId="5" applyFont="1" applyFill="1" applyBorder="1" applyAlignment="1" applyProtection="1">
      <alignment horizontal="left" vertical="center" wrapText="1"/>
      <protection hidden="1"/>
    </xf>
    <xf numFmtId="0" fontId="17" fillId="11" borderId="1" xfId="5" applyFont="1" applyFill="1" applyBorder="1" applyAlignment="1" applyProtection="1">
      <alignment horizontal="left" wrapText="1"/>
      <protection hidden="1"/>
    </xf>
    <xf numFmtId="164" fontId="17" fillId="11" borderId="1" xfId="7" applyNumberFormat="1" applyFont="1" applyFill="1" applyBorder="1" applyAlignment="1" applyProtection="1">
      <protection hidden="1"/>
    </xf>
    <xf numFmtId="164" fontId="17" fillId="11" borderId="3" xfId="7" applyNumberFormat="1" applyFont="1" applyFill="1" applyBorder="1" applyAlignment="1" applyProtection="1">
      <protection hidden="1"/>
    </xf>
    <xf numFmtId="164" fontId="17" fillId="11" borderId="2" xfId="7" applyNumberFormat="1" applyFont="1" applyFill="1" applyBorder="1" applyAlignment="1" applyProtection="1">
      <protection hidden="1"/>
    </xf>
    <xf numFmtId="10" fontId="17" fillId="11" borderId="12" xfId="7" applyNumberFormat="1" applyFont="1" applyFill="1" applyBorder="1" applyAlignment="1" applyProtection="1">
      <alignment vertical="center"/>
      <protection hidden="1"/>
    </xf>
    <xf numFmtId="0" fontId="18" fillId="23" borderId="39" xfId="3" applyFont="1" applyFill="1" applyBorder="1" applyAlignment="1" applyProtection="1">
      <alignment wrapText="1"/>
      <protection hidden="1"/>
    </xf>
    <xf numFmtId="0" fontId="18" fillId="24" borderId="45" xfId="3" applyFont="1" applyFill="1" applyBorder="1" applyAlignment="1" applyProtection="1">
      <alignment wrapText="1"/>
      <protection hidden="1"/>
    </xf>
    <xf numFmtId="0" fontId="18" fillId="24" borderId="1" xfId="3" applyFont="1" applyFill="1" applyBorder="1" applyAlignment="1" applyProtection="1">
      <alignment wrapText="1"/>
      <protection hidden="1"/>
    </xf>
    <xf numFmtId="0" fontId="0" fillId="16" borderId="0" xfId="0" applyFill="1" applyAlignment="1">
      <alignment vertical="top" wrapText="1"/>
    </xf>
    <xf numFmtId="0" fontId="0" fillId="34" borderId="0" xfId="0" applyFill="1" applyAlignment="1">
      <alignment wrapText="1"/>
    </xf>
    <xf numFmtId="0" fontId="3" fillId="18" borderId="1" xfId="3" applyFill="1" applyBorder="1" applyProtection="1">
      <protection hidden="1"/>
    </xf>
    <xf numFmtId="0" fontId="3" fillId="18" borderId="3" xfId="1" applyNumberFormat="1" applyFill="1" applyBorder="1" applyAlignment="1" applyProtection="1">
      <alignment vertical="center"/>
      <protection hidden="1"/>
    </xf>
    <xf numFmtId="0" fontId="5" fillId="0" borderId="0" xfId="0" applyFont="1" applyProtection="1">
      <protection hidden="1"/>
    </xf>
    <xf numFmtId="0" fontId="2" fillId="2" borderId="0" xfId="0" applyFont="1" applyFill="1" applyAlignment="1">
      <alignment horizontal="left" vertical="center" indent="2"/>
    </xf>
    <xf numFmtId="0" fontId="0" fillId="2" borderId="0" xfId="0" applyFill="1" applyAlignment="1">
      <alignment horizontal="left" vertical="center" indent="2"/>
    </xf>
    <xf numFmtId="0" fontId="11" fillId="2" borderId="0" xfId="0" applyFont="1" applyFill="1" applyAlignment="1">
      <alignment horizontal="left" vertical="center" indent="2"/>
    </xf>
    <xf numFmtId="0" fontId="10" fillId="2" borderId="0" xfId="0" applyFont="1" applyFill="1" applyAlignment="1">
      <alignment horizontal="left" vertical="center" indent="2"/>
    </xf>
    <xf numFmtId="0" fontId="2" fillId="2" borderId="0" xfId="1" applyFont="1" applyFill="1" applyBorder="1" applyAlignment="1" applyProtection="1">
      <protection hidden="1"/>
    </xf>
    <xf numFmtId="165" fontId="2" fillId="2" borderId="0" xfId="1" applyNumberFormat="1" applyFont="1" applyFill="1" applyBorder="1" applyProtection="1">
      <protection hidden="1"/>
    </xf>
    <xf numFmtId="0" fontId="12" fillId="2" borderId="0" xfId="1" applyNumberFormat="1" applyFont="1" applyFill="1" applyBorder="1" applyAlignment="1" applyProtection="1">
      <alignment horizontal="left" vertical="center"/>
      <protection hidden="1"/>
    </xf>
    <xf numFmtId="49" fontId="0" fillId="0" borderId="0" xfId="0" applyNumberFormat="1"/>
    <xf numFmtId="0" fontId="18" fillId="23" borderId="8" xfId="3" applyFont="1" applyFill="1" applyBorder="1" applyAlignment="1" applyProtection="1">
      <alignment horizontal="left" vertical="center" wrapText="1"/>
      <protection hidden="1"/>
    </xf>
    <xf numFmtId="0" fontId="2" fillId="2" borderId="0" xfId="0" applyFont="1" applyFill="1" applyAlignment="1">
      <alignment horizontal="left" indent="2"/>
    </xf>
    <xf numFmtId="0" fontId="0" fillId="35" borderId="0" xfId="0" applyFill="1" applyAlignment="1">
      <alignment wrapText="1"/>
    </xf>
    <xf numFmtId="0" fontId="0" fillId="36" borderId="0" xfId="0" applyFill="1" applyAlignment="1">
      <alignment wrapText="1"/>
    </xf>
    <xf numFmtId="0" fontId="3" fillId="36" borderId="0" xfId="0" applyFont="1" applyFill="1" applyProtection="1">
      <protection hidden="1"/>
    </xf>
    <xf numFmtId="0" fontId="2" fillId="18" borderId="17" xfId="3" applyFont="1" applyFill="1" applyBorder="1" applyProtection="1">
      <protection hidden="1"/>
    </xf>
    <xf numFmtId="0" fontId="2" fillId="18" borderId="25" xfId="3" applyFont="1" applyFill="1" applyBorder="1" applyProtection="1">
      <protection hidden="1"/>
    </xf>
    <xf numFmtId="0" fontId="2" fillId="18" borderId="7" xfId="3" applyFont="1" applyFill="1" applyBorder="1" applyProtection="1">
      <protection hidden="1"/>
    </xf>
    <xf numFmtId="0" fontId="2" fillId="14" borderId="55" xfId="3" applyFont="1" applyFill="1" applyBorder="1" applyProtection="1">
      <protection hidden="1"/>
    </xf>
    <xf numFmtId="0" fontId="2" fillId="14" borderId="5" xfId="1" applyNumberFormat="1" applyFont="1" applyFill="1" applyBorder="1" applyAlignment="1" applyProtection="1">
      <protection hidden="1"/>
    </xf>
    <xf numFmtId="0" fontId="2" fillId="14" borderId="5" xfId="3" applyFont="1" applyFill="1" applyBorder="1" applyProtection="1">
      <protection hidden="1"/>
    </xf>
    <xf numFmtId="0" fontId="2" fillId="14" borderId="8" xfId="3" applyFont="1" applyFill="1" applyBorder="1" applyProtection="1">
      <protection hidden="1"/>
    </xf>
    <xf numFmtId="0" fontId="18" fillId="23" borderId="11" xfId="3" applyFont="1" applyFill="1" applyBorder="1" applyAlignment="1" applyProtection="1">
      <alignment horizontal="left" vertical="center" wrapText="1"/>
      <protection hidden="1"/>
    </xf>
    <xf numFmtId="0" fontId="3" fillId="18" borderId="25" xfId="3" applyFill="1" applyBorder="1" applyProtection="1">
      <protection hidden="1"/>
    </xf>
    <xf numFmtId="0" fontId="2" fillId="14" borderId="56" xfId="3" applyFont="1" applyFill="1" applyBorder="1" applyProtection="1">
      <protection hidden="1"/>
    </xf>
    <xf numFmtId="0" fontId="2" fillId="14" borderId="57" xfId="3" applyFont="1" applyFill="1" applyBorder="1" applyProtection="1">
      <protection hidden="1"/>
    </xf>
    <xf numFmtId="0" fontId="2" fillId="14" borderId="58" xfId="3" applyFont="1" applyFill="1" applyBorder="1" applyProtection="1">
      <protection hidden="1"/>
    </xf>
    <xf numFmtId="0" fontId="0" fillId="22" borderId="59" xfId="0" applyFill="1" applyBorder="1"/>
    <xf numFmtId="0" fontId="0" fillId="22" borderId="60" xfId="0" applyFill="1" applyBorder="1"/>
    <xf numFmtId="0" fontId="0" fillId="0" borderId="59" xfId="0" applyBorder="1"/>
    <xf numFmtId="0" fontId="0" fillId="0" borderId="60" xfId="0" applyBorder="1"/>
    <xf numFmtId="0" fontId="18" fillId="25" borderId="0" xfId="0" applyFont="1" applyFill="1"/>
    <xf numFmtId="0" fontId="18" fillId="25" borderId="61" xfId="0" applyFont="1" applyFill="1" applyBorder="1"/>
    <xf numFmtId="0" fontId="0" fillId="37" borderId="0" xfId="0" applyFill="1"/>
    <xf numFmtId="0" fontId="12" fillId="23" borderId="5" xfId="1" applyNumberFormat="1" applyFont="1" applyFill="1" applyBorder="1" applyAlignment="1" applyProtection="1">
      <alignment vertical="center"/>
      <protection hidden="1"/>
    </xf>
    <xf numFmtId="0" fontId="2" fillId="23" borderId="5" xfId="3" applyFont="1" applyFill="1" applyBorder="1" applyProtection="1">
      <protection hidden="1"/>
    </xf>
    <xf numFmtId="0" fontId="2" fillId="23" borderId="3" xfId="3" applyFont="1" applyFill="1" applyBorder="1" applyProtection="1">
      <protection hidden="1"/>
    </xf>
    <xf numFmtId="0" fontId="18" fillId="23" borderId="3" xfId="3" applyFont="1" applyFill="1" applyBorder="1" applyAlignment="1" applyProtection="1">
      <alignment vertical="center" wrapText="1"/>
      <protection hidden="1"/>
    </xf>
    <xf numFmtId="0" fontId="18" fillId="25" borderId="59" xfId="0" applyFont="1" applyFill="1" applyBorder="1" applyAlignment="1">
      <alignment horizontal="left" vertical="center" wrapText="1"/>
    </xf>
    <xf numFmtId="0" fontId="18" fillId="25" borderId="60" xfId="0" applyFont="1" applyFill="1" applyBorder="1" applyAlignment="1">
      <alignment horizontal="left" vertical="center" wrapText="1"/>
    </xf>
    <xf numFmtId="164" fontId="2" fillId="18" borderId="1" xfId="7" applyNumberFormat="1" applyFont="1" applyFill="1" applyBorder="1" applyAlignment="1" applyProtection="1">
      <protection hidden="1"/>
    </xf>
    <xf numFmtId="10" fontId="2" fillId="18" borderId="1" xfId="8" applyNumberFormat="1" applyFont="1" applyFill="1" applyBorder="1" applyProtection="1">
      <protection hidden="1"/>
    </xf>
    <xf numFmtId="0" fontId="5" fillId="38" borderId="0" xfId="0" applyFont="1" applyFill="1"/>
    <xf numFmtId="0" fontId="18" fillId="25" borderId="0" xfId="0" applyFont="1" applyFill="1" applyAlignment="1">
      <alignment horizontal="left" vertical="center" wrapText="1"/>
    </xf>
    <xf numFmtId="164" fontId="0" fillId="0" borderId="0" xfId="9" applyFont="1" applyProtection="1">
      <protection hidden="1"/>
    </xf>
    <xf numFmtId="164" fontId="3" fillId="0" borderId="1" xfId="7" applyNumberFormat="1" applyFill="1" applyBorder="1" applyAlignment="1" applyProtection="1">
      <protection hidden="1"/>
    </xf>
    <xf numFmtId="164" fontId="2" fillId="15" borderId="1" xfId="7" applyNumberFormat="1" applyFont="1" applyFill="1" applyBorder="1" applyAlignment="1" applyProtection="1">
      <protection hidden="1"/>
    </xf>
    <xf numFmtId="10" fontId="3" fillId="0" borderId="0" xfId="0" applyNumberFormat="1" applyFont="1" applyAlignment="1" applyProtection="1">
      <alignment horizontal="center"/>
      <protection hidden="1"/>
    </xf>
    <xf numFmtId="0" fontId="2" fillId="26" borderId="12" xfId="5" applyFont="1" applyFill="1" applyBorder="1" applyAlignment="1" applyProtection="1">
      <alignment horizontal="left" vertical="center" wrapText="1"/>
      <protection hidden="1"/>
    </xf>
    <xf numFmtId="0" fontId="0" fillId="39" borderId="0" xfId="0" applyFill="1" applyAlignment="1">
      <alignment wrapText="1"/>
    </xf>
    <xf numFmtId="0" fontId="0" fillId="2" borderId="0" xfId="0" quotePrefix="1" applyFill="1" applyAlignment="1">
      <alignment horizontal="left" vertical="center" indent="2"/>
    </xf>
    <xf numFmtId="0" fontId="0" fillId="22" borderId="14" xfId="0" applyFill="1" applyBorder="1"/>
    <xf numFmtId="0" fontId="0" fillId="0" borderId="14" xfId="0" applyBorder="1"/>
    <xf numFmtId="9" fontId="0" fillId="0" borderId="0" xfId="8" applyFont="1" applyProtection="1"/>
    <xf numFmtId="0" fontId="0" fillId="40" borderId="0" xfId="0" applyFill="1" applyAlignment="1">
      <alignment wrapText="1"/>
    </xf>
    <xf numFmtId="171" fontId="18" fillId="25" borderId="15" xfId="0" applyNumberFormat="1" applyFont="1" applyFill="1" applyBorder="1"/>
    <xf numFmtId="0" fontId="0" fillId="22" borderId="62" xfId="0" applyFill="1" applyBorder="1"/>
    <xf numFmtId="167" fontId="0" fillId="22" borderId="62" xfId="0" applyNumberFormat="1" applyFill="1" applyBorder="1"/>
    <xf numFmtId="4" fontId="0" fillId="22" borderId="62" xfId="0" applyNumberFormat="1" applyFill="1" applyBorder="1"/>
    <xf numFmtId="167" fontId="0" fillId="0" borderId="1" xfId="0" applyNumberFormat="1" applyBorder="1"/>
    <xf numFmtId="4" fontId="0" fillId="0" borderId="1" xfId="0" applyNumberFormat="1" applyBorder="1"/>
    <xf numFmtId="167" fontId="0" fillId="22" borderId="1" xfId="0" applyNumberFormat="1" applyFill="1" applyBorder="1"/>
    <xf numFmtId="4" fontId="0" fillId="22" borderId="1" xfId="0" applyNumberFormat="1" applyFill="1" applyBorder="1"/>
    <xf numFmtId="10" fontId="3" fillId="0" borderId="0" xfId="0" applyNumberFormat="1" applyFont="1" applyAlignment="1" applyProtection="1">
      <alignment vertical="center"/>
      <protection hidden="1"/>
    </xf>
    <xf numFmtId="164" fontId="0" fillId="0" borderId="0" xfId="9" applyFont="1" applyAlignment="1" applyProtection="1">
      <alignment vertical="center"/>
      <protection hidden="1"/>
    </xf>
    <xf numFmtId="164" fontId="3" fillId="0" borderId="1" xfId="0" applyNumberFormat="1" applyFont="1" applyBorder="1" applyProtection="1">
      <protection hidden="1"/>
    </xf>
    <xf numFmtId="0" fontId="0" fillId="40" borderId="0" xfId="0" applyFill="1" applyProtection="1">
      <protection hidden="1"/>
    </xf>
    <xf numFmtId="10" fontId="0" fillId="0" borderId="0" xfId="8" applyNumberFormat="1" applyFont="1" applyProtection="1">
      <protection hidden="1"/>
    </xf>
    <xf numFmtId="0" fontId="28" fillId="0" borderId="0" xfId="0" applyFont="1" applyProtection="1">
      <protection hidden="1"/>
    </xf>
    <xf numFmtId="0" fontId="29" fillId="0" borderId="0" xfId="0" applyFont="1" applyAlignment="1" applyProtection="1">
      <alignment horizontal="left" vertical="top"/>
      <protection hidden="1"/>
    </xf>
    <xf numFmtId="0" fontId="30" fillId="2" borderId="0" xfId="0" applyFont="1" applyFill="1"/>
    <xf numFmtId="0" fontId="10" fillId="2" borderId="0" xfId="0" quotePrefix="1" applyFont="1" applyFill="1" applyAlignment="1">
      <alignment horizontal="left" vertical="center" indent="2"/>
    </xf>
    <xf numFmtId="0" fontId="8" fillId="2" borderId="0" xfId="0" applyFont="1" applyFill="1" applyAlignment="1">
      <alignment horizontal="left" vertical="center" indent="2"/>
    </xf>
    <xf numFmtId="0" fontId="0" fillId="3" borderId="1" xfId="0" applyFill="1" applyBorder="1" applyAlignment="1" applyProtection="1">
      <alignment vertical="center" wrapText="1"/>
      <protection locked="0"/>
    </xf>
    <xf numFmtId="0" fontId="3" fillId="3" borderId="1" xfId="0" applyFont="1" applyFill="1" applyBorder="1" applyAlignment="1" applyProtection="1">
      <alignment vertical="center" wrapText="1"/>
      <protection locked="0"/>
    </xf>
    <xf numFmtId="164" fontId="3" fillId="16" borderId="1" xfId="1" applyNumberFormat="1" applyFill="1" applyBorder="1" applyAlignment="1" applyProtection="1">
      <alignment vertical="center"/>
      <protection hidden="1"/>
    </xf>
    <xf numFmtId="164" fontId="3" fillId="11" borderId="1" xfId="1" applyNumberFormat="1" applyFill="1" applyBorder="1" applyAlignment="1" applyProtection="1">
      <alignment vertical="center"/>
      <protection hidden="1"/>
    </xf>
    <xf numFmtId="10" fontId="3" fillId="16" borderId="1" xfId="0" applyNumberFormat="1" applyFont="1" applyFill="1" applyBorder="1" applyAlignment="1" applyProtection="1">
      <alignment vertical="center"/>
      <protection hidden="1"/>
    </xf>
    <xf numFmtId="10" fontId="3" fillId="11" borderId="1" xfId="1" applyNumberFormat="1" applyFill="1" applyBorder="1" applyAlignment="1" applyProtection="1">
      <alignment vertical="center"/>
      <protection hidden="1"/>
    </xf>
    <xf numFmtId="164" fontId="3" fillId="16" borderId="1" xfId="0" applyNumberFormat="1" applyFont="1" applyFill="1" applyBorder="1" applyAlignment="1" applyProtection="1">
      <alignment vertical="center"/>
      <protection hidden="1"/>
    </xf>
    <xf numFmtId="164" fontId="3" fillId="3" borderId="1" xfId="9" applyFont="1" applyFill="1" applyBorder="1" applyAlignment="1" applyProtection="1">
      <alignment vertical="center"/>
      <protection locked="0"/>
    </xf>
    <xf numFmtId="0" fontId="3" fillId="11" borderId="1" xfId="0" applyFont="1" applyFill="1" applyBorder="1" applyAlignment="1" applyProtection="1">
      <alignment horizontal="center" vertical="center"/>
      <protection hidden="1"/>
    </xf>
    <xf numFmtId="164" fontId="3" fillId="28" borderId="1" xfId="1" applyNumberFormat="1" applyFill="1" applyBorder="1" applyAlignment="1" applyProtection="1">
      <alignment vertical="center"/>
      <protection hidden="1"/>
    </xf>
    <xf numFmtId="10" fontId="3" fillId="16" borderId="1" xfId="1" applyNumberFormat="1" applyFill="1" applyBorder="1" applyAlignment="1" applyProtection="1">
      <alignment vertical="center"/>
      <protection hidden="1"/>
    </xf>
    <xf numFmtId="10" fontId="3" fillId="28" borderId="1" xfId="0" applyNumberFormat="1" applyFont="1" applyFill="1" applyBorder="1" applyAlignment="1" applyProtection="1">
      <alignment vertical="center"/>
      <protection hidden="1"/>
    </xf>
    <xf numFmtId="10" fontId="3" fillId="3" borderId="1" xfId="0" applyNumberFormat="1" applyFont="1" applyFill="1" applyBorder="1" applyAlignment="1" applyProtection="1">
      <alignment vertical="center"/>
      <protection locked="0"/>
    </xf>
    <xf numFmtId="165" fontId="3" fillId="16" borderId="1" xfId="0" applyNumberFormat="1" applyFont="1" applyFill="1" applyBorder="1" applyAlignment="1" applyProtection="1">
      <alignment vertical="center" wrapText="1"/>
      <protection hidden="1"/>
    </xf>
    <xf numFmtId="0" fontId="3" fillId="0" borderId="1" xfId="0" applyFont="1" applyBorder="1" applyAlignment="1" applyProtection="1">
      <alignment horizontal="center" vertical="center"/>
      <protection hidden="1"/>
    </xf>
    <xf numFmtId="0" fontId="3" fillId="12" borderId="1" xfId="0" applyFont="1" applyFill="1" applyBorder="1" applyAlignment="1" applyProtection="1">
      <alignment vertical="center"/>
      <protection hidden="1"/>
    </xf>
    <xf numFmtId="0" fontId="21" fillId="31" borderId="1" xfId="0" applyFont="1" applyFill="1" applyBorder="1" applyAlignment="1" applyProtection="1">
      <alignment horizontal="center" vertical="center"/>
      <protection locked="0"/>
    </xf>
    <xf numFmtId="165" fontId="21" fillId="31" borderId="1" xfId="2" applyNumberFormat="1" applyFont="1" applyFill="1" applyBorder="1" applyAlignment="1" applyProtection="1">
      <alignment vertical="center"/>
      <protection hidden="1"/>
    </xf>
    <xf numFmtId="165" fontId="21" fillId="31" borderId="1" xfId="0" applyNumberFormat="1" applyFont="1" applyFill="1" applyBorder="1" applyAlignment="1" applyProtection="1">
      <alignment vertical="center"/>
      <protection locked="0"/>
    </xf>
    <xf numFmtId="165" fontId="3" fillId="11" borderId="1" xfId="0" applyNumberFormat="1" applyFont="1" applyFill="1" applyBorder="1" applyAlignment="1" applyProtection="1">
      <alignment vertical="center"/>
      <protection hidden="1"/>
    </xf>
    <xf numFmtId="0" fontId="3" fillId="12" borderId="1" xfId="0" applyFont="1" applyFill="1" applyBorder="1" applyAlignment="1" applyProtection="1">
      <alignment vertical="center" wrapText="1"/>
      <protection locked="0"/>
    </xf>
    <xf numFmtId="0" fontId="3" fillId="0" borderId="1" xfId="0" applyFont="1" applyBorder="1" applyAlignment="1" applyProtection="1">
      <alignment horizontal="center" vertical="center"/>
      <protection locked="0"/>
    </xf>
    <xf numFmtId="0" fontId="3" fillId="31" borderId="1" xfId="0" applyFont="1" applyFill="1" applyBorder="1" applyAlignment="1" applyProtection="1">
      <alignment horizontal="center" vertical="center"/>
      <protection hidden="1"/>
    </xf>
    <xf numFmtId="168" fontId="3" fillId="11" borderId="1" xfId="0" applyNumberFormat="1" applyFont="1" applyFill="1" applyBorder="1" applyAlignment="1" applyProtection="1">
      <alignment horizontal="center" vertical="center"/>
      <protection locked="0"/>
    </xf>
    <xf numFmtId="0" fontId="3" fillId="12" borderId="1" xfId="0" applyFont="1" applyFill="1" applyBorder="1" applyAlignment="1" applyProtection="1">
      <alignment horizontal="center" vertical="center"/>
      <protection hidden="1"/>
    </xf>
    <xf numFmtId="165" fontId="3" fillId="12" borderId="1" xfId="2" applyNumberFormat="1" applyFill="1" applyBorder="1" applyAlignment="1" applyProtection="1">
      <alignment vertical="center"/>
      <protection hidden="1"/>
    </xf>
    <xf numFmtId="165" fontId="10" fillId="3" borderId="1" xfId="0" applyNumberFormat="1" applyFont="1" applyFill="1" applyBorder="1" applyAlignment="1" applyProtection="1">
      <alignment vertical="center"/>
      <protection locked="0"/>
    </xf>
    <xf numFmtId="165" fontId="3" fillId="3" borderId="1" xfId="0" applyNumberFormat="1" applyFont="1" applyFill="1" applyBorder="1" applyAlignment="1" applyProtection="1">
      <alignment vertical="center" wrapText="1"/>
      <protection locked="0"/>
    </xf>
    <xf numFmtId="0" fontId="0" fillId="12" borderId="0" xfId="0" applyFill="1"/>
    <xf numFmtId="0" fontId="10" fillId="11" borderId="1" xfId="0" applyFont="1" applyFill="1" applyBorder="1" applyAlignment="1" applyProtection="1">
      <alignment horizontal="left" vertical="center" wrapText="1"/>
      <protection locked="0"/>
    </xf>
    <xf numFmtId="49" fontId="3" fillId="11" borderId="1" xfId="0" applyNumberFormat="1" applyFont="1" applyFill="1" applyBorder="1" applyAlignment="1" applyProtection="1">
      <alignment horizontal="left" vertical="center" wrapText="1"/>
      <protection locked="0"/>
    </xf>
    <xf numFmtId="0" fontId="3" fillId="11" borderId="1" xfId="0" applyFont="1" applyFill="1" applyBorder="1" applyAlignment="1" applyProtection="1">
      <alignment vertical="center" wrapText="1"/>
      <protection locked="0"/>
    </xf>
    <xf numFmtId="0" fontId="21" fillId="31" borderId="1" xfId="0" applyFont="1" applyFill="1" applyBorder="1" applyAlignment="1" applyProtection="1">
      <alignment horizontal="left" vertical="center" wrapText="1"/>
      <protection locked="0"/>
    </xf>
    <xf numFmtId="1" fontId="3" fillId="30" borderId="19" xfId="0" applyNumberFormat="1" applyFont="1" applyFill="1" applyBorder="1" applyAlignment="1" applyProtection="1">
      <alignment horizontal="center" vertical="center" wrapText="1"/>
      <protection hidden="1"/>
    </xf>
    <xf numFmtId="0" fontId="3" fillId="3" borderId="20" xfId="0" applyFont="1" applyFill="1" applyBorder="1" applyAlignment="1" applyProtection="1">
      <alignment vertical="center"/>
      <protection locked="0" hidden="1"/>
    </xf>
    <xf numFmtId="0" fontId="20" fillId="15" borderId="21" xfId="0" applyFont="1" applyFill="1" applyBorder="1" applyAlignment="1" applyProtection="1">
      <alignment vertical="center" wrapText="1"/>
      <protection locked="0"/>
    </xf>
    <xf numFmtId="164" fontId="20" fillId="15" borderId="22" xfId="0" applyNumberFormat="1" applyFont="1" applyFill="1" applyBorder="1" applyAlignment="1" applyProtection="1">
      <alignment vertical="center"/>
      <protection locked="0"/>
    </xf>
    <xf numFmtId="2" fontId="20" fillId="15" borderId="18" xfId="0" applyNumberFormat="1" applyFont="1" applyFill="1" applyBorder="1" applyAlignment="1" applyProtection="1">
      <alignment vertical="center"/>
      <protection locked="0"/>
    </xf>
    <xf numFmtId="164" fontId="20" fillId="15" borderId="18" xfId="0" applyNumberFormat="1" applyFont="1" applyFill="1" applyBorder="1" applyAlignment="1" applyProtection="1">
      <alignment vertical="center"/>
      <protection locked="0"/>
    </xf>
    <xf numFmtId="164" fontId="20" fillId="15" borderId="18" xfId="0" applyNumberFormat="1" applyFont="1" applyFill="1" applyBorder="1" applyAlignment="1" applyProtection="1">
      <alignment vertical="center"/>
      <protection locked="0" hidden="1"/>
    </xf>
    <xf numFmtId="164" fontId="20" fillId="15" borderId="18" xfId="0" applyNumberFormat="1" applyFont="1" applyFill="1" applyBorder="1" applyAlignment="1" applyProtection="1">
      <alignment vertical="center"/>
      <protection hidden="1"/>
    </xf>
    <xf numFmtId="169" fontId="20" fillId="15" borderId="18" xfId="0" applyNumberFormat="1" applyFont="1" applyFill="1" applyBorder="1" applyAlignment="1" applyProtection="1">
      <alignment vertical="center"/>
      <protection hidden="1"/>
    </xf>
    <xf numFmtId="165" fontId="20" fillId="15" borderId="23" xfId="0" applyNumberFormat="1" applyFont="1" applyFill="1" applyBorder="1" applyAlignment="1" applyProtection="1">
      <alignment vertical="center"/>
      <protection hidden="1"/>
    </xf>
    <xf numFmtId="1" fontId="3" fillId="11" borderId="22" xfId="0" applyNumberFormat="1" applyFont="1" applyFill="1" applyBorder="1" applyAlignment="1" applyProtection="1">
      <alignment horizontal="center" vertical="center" wrapText="1"/>
      <protection locked="0" hidden="1"/>
    </xf>
    <xf numFmtId="170" fontId="20" fillId="15" borderId="18" xfId="0" applyNumberFormat="1" applyFont="1" applyFill="1" applyBorder="1" applyAlignment="1" applyProtection="1">
      <alignment vertical="center"/>
      <protection locked="0" hidden="1"/>
    </xf>
    <xf numFmtId="164" fontId="20" fillId="15" borderId="22" xfId="0" applyNumberFormat="1" applyFont="1" applyFill="1" applyBorder="1" applyAlignment="1" applyProtection="1">
      <alignment vertical="center"/>
      <protection hidden="1"/>
    </xf>
    <xf numFmtId="9" fontId="20" fillId="15" borderId="18" xfId="8" applyFont="1" applyFill="1" applyBorder="1" applyAlignment="1" applyProtection="1">
      <alignment vertical="center"/>
      <protection hidden="1"/>
    </xf>
    <xf numFmtId="10" fontId="20" fillId="15" borderId="18" xfId="0" applyNumberFormat="1" applyFont="1" applyFill="1" applyBorder="1" applyAlignment="1" applyProtection="1">
      <alignment vertical="center"/>
      <protection hidden="1"/>
    </xf>
    <xf numFmtId="165" fontId="20" fillId="15" borderId="18" xfId="0" applyNumberFormat="1" applyFont="1" applyFill="1" applyBorder="1" applyAlignment="1" applyProtection="1">
      <alignment vertical="center"/>
      <protection hidden="1"/>
    </xf>
    <xf numFmtId="165" fontId="20" fillId="15" borderId="39" xfId="0" applyNumberFormat="1" applyFont="1" applyFill="1" applyBorder="1" applyAlignment="1" applyProtection="1">
      <alignment vertical="center" wrapText="1"/>
      <protection locked="0"/>
    </xf>
    <xf numFmtId="1" fontId="3" fillId="11" borderId="18" xfId="0" applyNumberFormat="1" applyFont="1" applyFill="1" applyBorder="1" applyAlignment="1" applyProtection="1">
      <alignment vertical="center" wrapText="1"/>
      <protection locked="0"/>
    </xf>
    <xf numFmtId="0" fontId="3" fillId="3" borderId="20" xfId="0" applyFont="1" applyFill="1" applyBorder="1" applyAlignment="1" applyProtection="1">
      <alignment vertical="center"/>
      <protection locked="0"/>
    </xf>
    <xf numFmtId="4" fontId="20" fillId="15" borderId="18" xfId="0" applyNumberFormat="1" applyFont="1" applyFill="1" applyBorder="1" applyAlignment="1" applyProtection="1">
      <alignment vertical="center"/>
      <protection locked="0"/>
    </xf>
    <xf numFmtId="170" fontId="20" fillId="15" borderId="18" xfId="0" applyNumberFormat="1" applyFont="1" applyFill="1" applyBorder="1" applyAlignment="1" applyProtection="1">
      <alignment vertical="center"/>
      <protection hidden="1"/>
    </xf>
    <xf numFmtId="165" fontId="20" fillId="15" borderId="43" xfId="0" applyNumberFormat="1" applyFont="1" applyFill="1" applyBorder="1" applyAlignment="1" applyProtection="1">
      <alignment vertical="center"/>
      <protection hidden="1"/>
    </xf>
    <xf numFmtId="49" fontId="20" fillId="15" borderId="39" xfId="0" applyNumberFormat="1" applyFont="1" applyFill="1" applyBorder="1" applyAlignment="1" applyProtection="1">
      <alignment vertical="center" wrapText="1"/>
      <protection locked="0"/>
    </xf>
    <xf numFmtId="4" fontId="20" fillId="15" borderId="18" xfId="0" applyNumberFormat="1" applyFont="1" applyFill="1" applyBorder="1" applyAlignment="1" applyProtection="1">
      <alignment vertical="center"/>
      <protection locked="0" hidden="1"/>
    </xf>
    <xf numFmtId="0" fontId="3" fillId="0" borderId="0" xfId="0" applyFont="1" applyAlignment="1" applyProtection="1">
      <alignment horizontal="center" vertical="center" wrapText="1"/>
      <protection hidden="1"/>
    </xf>
    <xf numFmtId="164" fontId="3" fillId="0" borderId="0" xfId="0" applyNumberFormat="1" applyFont="1" applyAlignment="1" applyProtection="1">
      <alignment horizontal="center"/>
      <protection hidden="1"/>
    </xf>
    <xf numFmtId="164" fontId="0" fillId="0" borderId="0" xfId="9" applyFont="1" applyBorder="1" applyProtection="1">
      <protection hidden="1"/>
    </xf>
    <xf numFmtId="164" fontId="0" fillId="0" borderId="0" xfId="0" applyNumberFormat="1" applyProtection="1">
      <protection hidden="1"/>
    </xf>
    <xf numFmtId="164" fontId="5" fillId="0" borderId="0" xfId="0" applyNumberFormat="1" applyFont="1" applyAlignment="1" applyProtection="1">
      <alignment horizontal="center"/>
      <protection hidden="1"/>
    </xf>
    <xf numFmtId="10" fontId="5" fillId="0" borderId="0" xfId="0" applyNumberFormat="1" applyFont="1" applyAlignment="1" applyProtection="1">
      <alignment horizontal="center" wrapText="1"/>
      <protection hidden="1"/>
    </xf>
    <xf numFmtId="4" fontId="21" fillId="31" borderId="1" xfId="0" applyNumberFormat="1" applyFont="1" applyFill="1" applyBorder="1" applyAlignment="1" applyProtection="1">
      <alignment vertical="center"/>
      <protection locked="0"/>
    </xf>
    <xf numFmtId="4" fontId="3" fillId="3" borderId="1" xfId="0" applyNumberFormat="1" applyFont="1" applyFill="1" applyBorder="1" applyAlignment="1" applyProtection="1">
      <alignment vertical="center"/>
      <protection locked="0"/>
    </xf>
    <xf numFmtId="0" fontId="0" fillId="41" borderId="0" xfId="0" applyFill="1" applyAlignment="1">
      <alignment horizontal="left" vertical="center" indent="2"/>
    </xf>
    <xf numFmtId="0" fontId="11" fillId="41" borderId="0" xfId="0" applyFont="1" applyFill="1" applyAlignment="1">
      <alignment horizontal="left" vertical="center" indent="2"/>
    </xf>
    <xf numFmtId="0" fontId="10" fillId="41" borderId="0" xfId="0" applyFont="1" applyFill="1" applyAlignment="1">
      <alignment horizontal="left" vertical="center" indent="2"/>
    </xf>
    <xf numFmtId="0" fontId="0" fillId="41" borderId="0" xfId="0" applyFill="1"/>
    <xf numFmtId="0" fontId="11" fillId="0" borderId="0" xfId="0" applyFont="1" applyAlignment="1">
      <alignment horizontal="left" vertical="center" indent="2"/>
    </xf>
    <xf numFmtId="0" fontId="2" fillId="41" borderId="0" xfId="0" applyFont="1" applyFill="1" applyAlignment="1">
      <alignment horizontal="left" vertical="center" indent="2"/>
    </xf>
    <xf numFmtId="0" fontId="3" fillId="3" borderId="1" xfId="0" applyFont="1" applyFill="1" applyBorder="1" applyAlignment="1" applyProtection="1">
      <alignment horizontal="center" vertical="center"/>
      <protection locked="0"/>
    </xf>
    <xf numFmtId="0" fontId="3" fillId="12" borderId="12" xfId="5" applyFill="1" applyBorder="1" applyAlignment="1" applyProtection="1">
      <alignment horizontal="left" wrapText="1"/>
      <protection hidden="1"/>
    </xf>
    <xf numFmtId="171" fontId="18" fillId="25" borderId="0" xfId="0" applyNumberFormat="1" applyFont="1" applyFill="1"/>
    <xf numFmtId="4" fontId="0" fillId="22" borderId="0" xfId="0" applyNumberFormat="1" applyFill="1"/>
    <xf numFmtId="164" fontId="14" fillId="11" borderId="28" xfId="7" applyNumberFormat="1" applyFont="1" applyFill="1" applyBorder="1" applyAlignment="1" applyProtection="1">
      <protection hidden="1"/>
    </xf>
    <xf numFmtId="0" fontId="5" fillId="0" borderId="0" xfId="0" applyFont="1" applyAlignment="1" applyProtection="1">
      <alignment vertical="center"/>
      <protection hidden="1"/>
    </xf>
    <xf numFmtId="0" fontId="18" fillId="23" borderId="4" xfId="3" applyFont="1" applyFill="1" applyBorder="1" applyAlignment="1" applyProtection="1">
      <alignment horizontal="center" vertical="center" wrapText="1"/>
      <protection hidden="1"/>
    </xf>
    <xf numFmtId="4" fontId="3" fillId="11" borderId="1" xfId="0" applyNumberFormat="1" applyFont="1" applyFill="1" applyBorder="1" applyAlignment="1" applyProtection="1">
      <alignment vertical="center"/>
      <protection hidden="1"/>
    </xf>
    <xf numFmtId="4" fontId="21" fillId="31" borderId="1" xfId="0" applyNumberFormat="1" applyFont="1" applyFill="1" applyBorder="1" applyAlignment="1" applyProtection="1">
      <alignment vertical="center"/>
      <protection hidden="1"/>
    </xf>
    <xf numFmtId="0" fontId="0" fillId="41" borderId="0" xfId="0" quotePrefix="1" applyFill="1" applyAlignment="1">
      <alignment horizontal="left" vertical="center" indent="2"/>
    </xf>
    <xf numFmtId="0" fontId="7" fillId="11" borderId="1" xfId="0" applyFont="1" applyFill="1" applyBorder="1" applyAlignment="1" applyProtection="1">
      <alignment vertical="center" shrinkToFit="1"/>
      <protection hidden="1"/>
    </xf>
    <xf numFmtId="49" fontId="3" fillId="7" borderId="1" xfId="4" applyNumberFormat="1" applyBorder="1" applyAlignment="1" applyProtection="1">
      <alignment horizontal="left" vertical="center" wrapText="1"/>
      <protection locked="0"/>
    </xf>
    <xf numFmtId="0" fontId="3" fillId="14" borderId="1" xfId="1" applyFill="1" applyBorder="1" applyAlignment="1" applyProtection="1">
      <alignment horizontal="left"/>
      <protection locked="0"/>
    </xf>
    <xf numFmtId="0" fontId="3" fillId="7" borderId="1" xfId="4" applyNumberFormat="1" applyBorder="1" applyAlignment="1" applyProtection="1">
      <alignment horizontal="left" vertical="center"/>
      <protection locked="0"/>
    </xf>
    <xf numFmtId="0" fontId="3" fillId="7" borderId="1" xfId="4" applyNumberFormat="1" applyBorder="1" applyAlignment="1" applyProtection="1">
      <alignment vertical="center"/>
      <protection locked="0"/>
    </xf>
    <xf numFmtId="0" fontId="18" fillId="23" borderId="3" xfId="3" applyFont="1" applyFill="1" applyBorder="1" applyAlignment="1" applyProtection="1">
      <alignment horizontal="center" vertical="center" wrapText="1"/>
      <protection hidden="1"/>
    </xf>
    <xf numFmtId="0" fontId="18" fillId="23" borderId="2" xfId="3" applyFont="1" applyFill="1" applyBorder="1" applyAlignment="1" applyProtection="1">
      <alignment horizontal="center" vertical="center" wrapText="1"/>
      <protection hidden="1"/>
    </xf>
    <xf numFmtId="0" fontId="18" fillId="23" borderId="55" xfId="3" applyFont="1" applyFill="1" applyBorder="1" applyAlignment="1" applyProtection="1">
      <alignment horizontal="center" vertical="center" wrapText="1"/>
      <protection hidden="1"/>
    </xf>
    <xf numFmtId="0" fontId="18" fillId="23" borderId="8" xfId="3" applyFont="1" applyFill="1" applyBorder="1" applyAlignment="1" applyProtection="1">
      <alignment horizontal="center" vertical="center" wrapText="1"/>
      <protection hidden="1"/>
    </xf>
    <xf numFmtId="0" fontId="18" fillId="23" borderId="5" xfId="3" applyFont="1" applyFill="1" applyBorder="1" applyAlignment="1" applyProtection="1">
      <alignment horizontal="center" vertical="center" wrapText="1"/>
      <protection hidden="1"/>
    </xf>
    <xf numFmtId="0" fontId="8" fillId="16" borderId="17" xfId="3" applyFont="1" applyFill="1" applyBorder="1" applyAlignment="1" applyProtection="1">
      <alignment horizontal="center" wrapText="1"/>
      <protection hidden="1"/>
    </xf>
    <xf numFmtId="0" fontId="8" fillId="16" borderId="25" xfId="3" applyFont="1" applyFill="1" applyBorder="1" applyAlignment="1" applyProtection="1">
      <alignment horizontal="center" wrapText="1"/>
      <protection hidden="1"/>
    </xf>
    <xf numFmtId="0" fontId="8" fillId="16" borderId="26" xfId="3" applyFont="1" applyFill="1" applyBorder="1" applyAlignment="1" applyProtection="1">
      <alignment horizontal="center" wrapText="1"/>
      <protection hidden="1"/>
    </xf>
    <xf numFmtId="0" fontId="8" fillId="24" borderId="24" xfId="3" applyFont="1" applyFill="1" applyBorder="1" applyAlignment="1" applyProtection="1">
      <alignment horizontal="center" wrapText="1"/>
      <protection hidden="1"/>
    </xf>
    <xf numFmtId="0" fontId="8" fillId="24" borderId="25" xfId="3" applyFont="1" applyFill="1" applyBorder="1" applyAlignment="1" applyProtection="1">
      <alignment horizontal="center" wrapText="1"/>
      <protection hidden="1"/>
    </xf>
    <xf numFmtId="0" fontId="8" fillId="24" borderId="26" xfId="3" applyFont="1" applyFill="1" applyBorder="1" applyAlignment="1" applyProtection="1">
      <alignment horizontal="center" wrapText="1"/>
      <protection hidden="1"/>
    </xf>
    <xf numFmtId="0" fontId="18" fillId="23" borderId="4" xfId="4" applyNumberFormat="1" applyFont="1" applyFill="1" applyBorder="1" applyAlignment="1" applyProtection="1">
      <alignment horizontal="center" vertical="center" wrapText="1"/>
      <protection hidden="1"/>
    </xf>
    <xf numFmtId="0" fontId="18" fillId="23" borderId="9" xfId="4" applyNumberFormat="1" applyFont="1" applyFill="1" applyBorder="1" applyAlignment="1" applyProtection="1">
      <alignment horizontal="center" vertical="center" wrapText="1"/>
      <protection hidden="1"/>
    </xf>
    <xf numFmtId="0" fontId="18" fillId="23" borderId="11" xfId="4" applyNumberFormat="1" applyFont="1" applyFill="1" applyBorder="1" applyAlignment="1" applyProtection="1">
      <alignment horizontal="center" vertical="center" wrapText="1"/>
      <protection hidden="1"/>
    </xf>
    <xf numFmtId="0" fontId="18" fillId="23" borderId="9" xfId="3" applyFont="1" applyFill="1" applyBorder="1" applyAlignment="1" applyProtection="1">
      <alignment horizontal="center" vertical="center" wrapText="1"/>
      <protection hidden="1"/>
    </xf>
    <xf numFmtId="0" fontId="18" fillId="23" borderId="11" xfId="3" applyFont="1" applyFill="1" applyBorder="1" applyAlignment="1" applyProtection="1">
      <alignment horizontal="center" vertical="center" wrapText="1"/>
      <protection hidden="1"/>
    </xf>
    <xf numFmtId="0" fontId="18" fillId="23" borderId="17" xfId="3" applyFont="1" applyFill="1" applyBorder="1" applyAlignment="1" applyProtection="1">
      <alignment horizontal="center" vertical="center"/>
      <protection hidden="1"/>
    </xf>
    <xf numFmtId="0" fontId="18" fillId="23" borderId="7" xfId="3" applyFont="1" applyFill="1" applyBorder="1" applyAlignment="1" applyProtection="1">
      <alignment horizontal="center" vertical="center"/>
      <protection hidden="1"/>
    </xf>
    <xf numFmtId="0" fontId="18" fillId="23" borderId="55" xfId="3" applyFont="1" applyFill="1" applyBorder="1" applyAlignment="1" applyProtection="1">
      <alignment horizontal="center" vertical="center"/>
      <protection hidden="1"/>
    </xf>
    <xf numFmtId="0" fontId="18" fillId="23" borderId="8" xfId="3" applyFont="1" applyFill="1" applyBorder="1" applyAlignment="1" applyProtection="1">
      <alignment horizontal="center" vertical="center"/>
      <protection hidden="1"/>
    </xf>
    <xf numFmtId="0" fontId="18" fillId="23" borderId="17" xfId="3" applyFont="1" applyFill="1" applyBorder="1" applyAlignment="1" applyProtection="1">
      <alignment horizontal="center" vertical="center" wrapText="1"/>
      <protection hidden="1"/>
    </xf>
    <xf numFmtId="0" fontId="18" fillId="23" borderId="7" xfId="3" applyFont="1" applyFill="1" applyBorder="1" applyAlignment="1" applyProtection="1">
      <alignment horizontal="center" vertical="center" wrapText="1"/>
      <protection hidden="1"/>
    </xf>
    <xf numFmtId="0" fontId="18" fillId="23" borderId="4" xfId="3" applyNumberFormat="1" applyFont="1" applyFill="1" applyBorder="1" applyAlignment="1" applyProtection="1">
      <alignment horizontal="center" vertical="center" wrapText="1"/>
      <protection hidden="1"/>
    </xf>
    <xf numFmtId="0" fontId="18" fillId="23" borderId="9" xfId="3" applyNumberFormat="1" applyFont="1" applyFill="1" applyBorder="1" applyAlignment="1" applyProtection="1">
      <alignment horizontal="center" vertical="center" wrapText="1"/>
      <protection hidden="1"/>
    </xf>
    <xf numFmtId="0" fontId="18" fillId="23" borderId="11" xfId="3" applyNumberFormat="1" applyFont="1" applyFill="1" applyBorder="1" applyAlignment="1" applyProtection="1">
      <alignment horizontal="center" vertical="center" wrapText="1"/>
      <protection hidden="1"/>
    </xf>
    <xf numFmtId="0" fontId="18" fillId="23" borderId="3" xfId="3" applyFont="1" applyFill="1" applyBorder="1" applyAlignment="1" applyProtection="1">
      <alignment horizontal="center"/>
      <protection hidden="1"/>
    </xf>
    <xf numFmtId="0" fontId="18" fillId="23" borderId="10" xfId="3" applyFont="1" applyFill="1" applyBorder="1" applyAlignment="1" applyProtection="1">
      <alignment horizontal="center"/>
      <protection hidden="1"/>
    </xf>
    <xf numFmtId="0" fontId="18" fillId="23" borderId="2" xfId="3" applyFont="1" applyFill="1" applyBorder="1" applyAlignment="1" applyProtection="1">
      <alignment horizontal="center"/>
      <protection hidden="1"/>
    </xf>
    <xf numFmtId="0" fontId="18" fillId="23" borderId="4" xfId="3" applyFont="1" applyFill="1" applyBorder="1" applyAlignment="1" applyProtection="1">
      <alignment horizontal="center" vertical="center"/>
      <protection hidden="1"/>
    </xf>
    <xf numFmtId="0" fontId="18" fillId="23" borderId="11" xfId="3" applyFont="1" applyFill="1" applyBorder="1" applyAlignment="1" applyProtection="1">
      <alignment horizontal="center" vertical="center"/>
      <protection hidden="1"/>
    </xf>
    <xf numFmtId="0" fontId="3" fillId="0" borderId="63" xfId="0" applyFont="1" applyBorder="1" applyAlignment="1" applyProtection="1">
      <alignment horizontal="left" vertical="center"/>
      <protection hidden="1"/>
    </xf>
    <xf numFmtId="0" fontId="3" fillId="0" borderId="0" xfId="0" applyFont="1" applyAlignment="1" applyProtection="1">
      <alignment horizontal="left" vertical="center"/>
      <protection hidden="1"/>
    </xf>
    <xf numFmtId="0" fontId="2" fillId="0" borderId="63" xfId="0" applyFont="1" applyBorder="1" applyAlignment="1" applyProtection="1">
      <alignment horizontal="center"/>
      <protection hidden="1"/>
    </xf>
    <xf numFmtId="0" fontId="2" fillId="0" borderId="0" xfId="0" applyFont="1" applyAlignment="1" applyProtection="1">
      <alignment horizontal="center"/>
      <protection hidden="1"/>
    </xf>
    <xf numFmtId="164" fontId="17" fillId="11" borderId="3" xfId="7" applyNumberFormat="1" applyFont="1" applyFill="1" applyBorder="1" applyAlignment="1" applyProtection="1">
      <alignment horizontal="left" vertical="center" wrapText="1"/>
      <protection hidden="1"/>
    </xf>
    <xf numFmtId="164" fontId="17" fillId="11" borderId="2" xfId="7" applyNumberFormat="1" applyFont="1" applyFill="1" applyBorder="1" applyAlignment="1" applyProtection="1">
      <alignment horizontal="left" vertical="center" wrapText="1"/>
      <protection hidden="1"/>
    </xf>
    <xf numFmtId="0" fontId="17" fillId="11" borderId="2" xfId="7" applyNumberFormat="1" applyFont="1" applyFill="1" applyBorder="1" applyAlignment="1" applyProtection="1">
      <alignment horizontal="left" vertical="center" wrapText="1"/>
      <protection hidden="1"/>
    </xf>
    <xf numFmtId="0" fontId="17" fillId="11" borderId="34" xfId="5" applyFont="1" applyFill="1" applyBorder="1" applyAlignment="1" applyProtection="1">
      <alignment horizontal="center" vertical="center" wrapText="1"/>
      <protection hidden="1"/>
    </xf>
    <xf numFmtId="0" fontId="17" fillId="11" borderId="35" xfId="5" applyFont="1" applyFill="1" applyBorder="1" applyAlignment="1" applyProtection="1">
      <alignment horizontal="center" vertical="center" wrapText="1"/>
      <protection hidden="1"/>
    </xf>
    <xf numFmtId="0" fontId="17" fillId="11" borderId="30" xfId="5" applyFont="1" applyFill="1" applyBorder="1" applyAlignment="1" applyProtection="1">
      <alignment horizontal="center" vertical="center" wrapText="1"/>
      <protection hidden="1"/>
    </xf>
    <xf numFmtId="0" fontId="3" fillId="7" borderId="1" xfId="4" applyNumberFormat="1" applyBorder="1" applyAlignment="1" applyProtection="1">
      <alignment horizontal="left" vertical="center" wrapText="1"/>
      <protection hidden="1"/>
    </xf>
    <xf numFmtId="0" fontId="3" fillId="7" borderId="1" xfId="4" applyNumberFormat="1" applyBorder="1" applyAlignment="1" applyProtection="1">
      <alignment horizontal="left" vertical="center"/>
      <protection hidden="1"/>
    </xf>
    <xf numFmtId="0" fontId="3" fillId="7" borderId="1" xfId="4" applyNumberFormat="1" applyBorder="1" applyAlignment="1" applyProtection="1">
      <alignment vertical="center"/>
      <protection hidden="1"/>
    </xf>
    <xf numFmtId="0" fontId="3" fillId="14" borderId="1" xfId="1" applyNumberFormat="1" applyFill="1" applyBorder="1" applyAlignment="1" applyProtection="1">
      <alignment horizontal="left"/>
      <protection hidden="1"/>
    </xf>
    <xf numFmtId="0" fontId="17" fillId="11" borderId="31" xfId="5" applyFont="1" applyFill="1" applyBorder="1" applyAlignment="1" applyProtection="1">
      <alignment horizontal="center" wrapText="1"/>
      <protection hidden="1"/>
    </xf>
    <xf numFmtId="0" fontId="17" fillId="11" borderId="32" xfId="5" applyFont="1" applyFill="1" applyBorder="1" applyAlignment="1" applyProtection="1">
      <alignment horizontal="center" wrapText="1"/>
      <protection hidden="1"/>
    </xf>
    <xf numFmtId="0" fontId="17" fillId="11" borderId="33" xfId="5" applyFont="1" applyFill="1" applyBorder="1" applyAlignment="1" applyProtection="1">
      <alignment horizontal="center" wrapText="1"/>
      <protection hidden="1"/>
    </xf>
    <xf numFmtId="164" fontId="17" fillId="11" borderId="28" xfId="7" applyNumberFormat="1" applyFont="1" applyFill="1" applyBorder="1" applyAlignment="1" applyProtection="1">
      <alignment horizontal="left" vertical="center" wrapText="1"/>
      <protection hidden="1"/>
    </xf>
    <xf numFmtId="164" fontId="17" fillId="11" borderId="29" xfId="7" applyNumberFormat="1" applyFont="1" applyFill="1" applyBorder="1" applyAlignment="1" applyProtection="1">
      <alignment horizontal="left" vertical="center" wrapText="1"/>
      <protection hidden="1"/>
    </xf>
    <xf numFmtId="0" fontId="8" fillId="16" borderId="40" xfId="3" applyFont="1" applyFill="1" applyBorder="1" applyAlignment="1" applyProtection="1">
      <alignment horizontal="center" wrapText="1"/>
      <protection hidden="1"/>
    </xf>
    <xf numFmtId="0" fontId="8" fillId="16" borderId="41" xfId="3" applyFont="1" applyFill="1" applyBorder="1" applyAlignment="1" applyProtection="1">
      <alignment horizontal="center" wrapText="1"/>
      <protection hidden="1"/>
    </xf>
    <xf numFmtId="0" fontId="8" fillId="16" borderId="42" xfId="3" applyFont="1" applyFill="1" applyBorder="1" applyAlignment="1" applyProtection="1">
      <alignment horizontal="center" wrapText="1"/>
      <protection hidden="1"/>
    </xf>
    <xf numFmtId="0" fontId="3" fillId="24" borderId="3" xfId="1" applyNumberFormat="1" applyFill="1" applyBorder="1" applyAlignment="1" applyProtection="1">
      <alignment horizontal="center"/>
      <protection locked="0" hidden="1"/>
    </xf>
    <xf numFmtId="0" fontId="3" fillId="24" borderId="10" xfId="1" applyNumberFormat="1" applyFill="1" applyBorder="1" applyAlignment="1" applyProtection="1">
      <alignment horizontal="center"/>
      <protection locked="0" hidden="1"/>
    </xf>
    <xf numFmtId="0" fontId="3" fillId="24" borderId="2" xfId="1" applyNumberFormat="1" applyFill="1" applyBorder="1" applyAlignment="1" applyProtection="1">
      <alignment horizontal="center"/>
      <protection locked="0" hidden="1"/>
    </xf>
    <xf numFmtId="168" fontId="3" fillId="24" borderId="3" xfId="1" applyNumberFormat="1" applyFill="1" applyBorder="1" applyAlignment="1" applyProtection="1">
      <alignment horizontal="left"/>
      <protection locked="0" hidden="1"/>
    </xf>
    <xf numFmtId="168" fontId="3" fillId="24" borderId="10" xfId="1" applyNumberFormat="1" applyFill="1" applyBorder="1" applyAlignment="1" applyProtection="1">
      <alignment horizontal="left"/>
      <protection locked="0" hidden="1"/>
    </xf>
    <xf numFmtId="168" fontId="3" fillId="24" borderId="2" xfId="1" applyNumberFormat="1" applyFill="1" applyBorder="1" applyAlignment="1" applyProtection="1">
      <alignment horizontal="left"/>
      <protection locked="0" hidden="1"/>
    </xf>
    <xf numFmtId="49" fontId="3" fillId="24" borderId="3" xfId="1" applyNumberFormat="1" applyFill="1" applyBorder="1" applyAlignment="1" applyProtection="1">
      <alignment horizontal="left"/>
      <protection locked="0" hidden="1"/>
    </xf>
    <xf numFmtId="49" fontId="3" fillId="24" borderId="10" xfId="1" applyNumberFormat="1" applyFill="1" applyBorder="1" applyAlignment="1" applyProtection="1">
      <alignment horizontal="left"/>
      <protection locked="0" hidden="1"/>
    </xf>
    <xf numFmtId="49" fontId="3" fillId="24" borderId="2" xfId="1" applyNumberFormat="1" applyFill="1" applyBorder="1" applyAlignment="1" applyProtection="1">
      <alignment horizontal="left"/>
      <protection locked="0" hidden="1"/>
    </xf>
    <xf numFmtId="0" fontId="3" fillId="7" borderId="3" xfId="4" applyNumberFormat="1" applyBorder="1" applyAlignment="1" applyProtection="1">
      <alignment horizontal="left" vertical="center" wrapText="1"/>
      <protection hidden="1"/>
    </xf>
    <xf numFmtId="0" fontId="3" fillId="7" borderId="10" xfId="4" applyNumberFormat="1" applyBorder="1" applyAlignment="1" applyProtection="1">
      <alignment horizontal="left" vertical="center" wrapText="1"/>
      <protection hidden="1"/>
    </xf>
    <xf numFmtId="0" fontId="3" fillId="7" borderId="2" xfId="4" applyNumberFormat="1" applyBorder="1" applyAlignment="1" applyProtection="1">
      <alignment horizontal="left" vertical="center" wrapText="1"/>
      <protection hidden="1"/>
    </xf>
    <xf numFmtId="0" fontId="3" fillId="7" borderId="3" xfId="4" applyNumberFormat="1" applyBorder="1" applyAlignment="1" applyProtection="1">
      <alignment horizontal="left" vertical="center"/>
      <protection hidden="1"/>
    </xf>
    <xf numFmtId="0" fontId="3" fillId="7" borderId="10" xfId="4" applyNumberFormat="1" applyBorder="1" applyAlignment="1" applyProtection="1">
      <alignment horizontal="left" vertical="center"/>
      <protection hidden="1"/>
    </xf>
    <xf numFmtId="0" fontId="3" fillId="7" borderId="2" xfId="4" applyNumberFormat="1" applyBorder="1" applyAlignment="1" applyProtection="1">
      <alignment horizontal="left" vertical="center"/>
      <protection hidden="1"/>
    </xf>
    <xf numFmtId="0" fontId="3" fillId="7" borderId="3" xfId="4" applyNumberFormat="1" applyBorder="1" applyAlignment="1" applyProtection="1">
      <alignment horizontal="center" vertical="center"/>
      <protection hidden="1"/>
    </xf>
    <xf numFmtId="0" fontId="3" fillId="7" borderId="10" xfId="4" applyNumberFormat="1" applyBorder="1" applyAlignment="1" applyProtection="1">
      <alignment horizontal="center" vertical="center"/>
      <protection hidden="1"/>
    </xf>
    <xf numFmtId="0" fontId="3" fillId="7" borderId="2" xfId="4" applyNumberFormat="1" applyBorder="1" applyAlignment="1" applyProtection="1">
      <alignment horizontal="center" vertical="center"/>
      <protection hidden="1"/>
    </xf>
    <xf numFmtId="0" fontId="3" fillId="14" borderId="3" xfId="1" applyNumberFormat="1" applyFill="1" applyBorder="1" applyAlignment="1" applyProtection="1">
      <alignment horizontal="left"/>
      <protection hidden="1"/>
    </xf>
    <xf numFmtId="0" fontId="3" fillId="14" borderId="10" xfId="1" applyNumberFormat="1" applyFill="1" applyBorder="1" applyAlignment="1" applyProtection="1">
      <alignment horizontal="left"/>
      <protection hidden="1"/>
    </xf>
    <xf numFmtId="0" fontId="3" fillId="14" borderId="2" xfId="1" applyNumberFormat="1" applyFill="1" applyBorder="1" applyAlignment="1" applyProtection="1">
      <alignment horizontal="left"/>
      <protection hidden="1"/>
    </xf>
    <xf numFmtId="0" fontId="5" fillId="23" borderId="52" xfId="0" applyFont="1" applyFill="1" applyBorder="1" applyAlignment="1" applyProtection="1">
      <alignment horizontal="center"/>
      <protection hidden="1"/>
    </xf>
    <xf numFmtId="0" fontId="5" fillId="23" borderId="53" xfId="0" applyFont="1" applyFill="1" applyBorder="1" applyAlignment="1" applyProtection="1">
      <alignment horizontal="center"/>
      <protection hidden="1"/>
    </xf>
    <xf numFmtId="0" fontId="5" fillId="23" borderId="54" xfId="0" applyFont="1" applyFill="1" applyBorder="1" applyAlignment="1" applyProtection="1">
      <alignment horizontal="center"/>
      <protection hidden="1"/>
    </xf>
    <xf numFmtId="0" fontId="5" fillId="27" borderId="52" xfId="0" applyFont="1" applyFill="1" applyBorder="1" applyAlignment="1" applyProtection="1">
      <alignment horizontal="center"/>
      <protection hidden="1"/>
    </xf>
    <xf numFmtId="0" fontId="5" fillId="27" borderId="54" xfId="0" applyFont="1" applyFill="1" applyBorder="1" applyAlignment="1" applyProtection="1">
      <alignment horizontal="center"/>
      <protection hidden="1"/>
    </xf>
    <xf numFmtId="0" fontId="3" fillId="24" borderId="3" xfId="1" applyNumberFormat="1" applyFill="1" applyBorder="1" applyAlignment="1" applyProtection="1">
      <alignment horizontal="center" vertical="center"/>
      <protection locked="0" hidden="1"/>
    </xf>
    <xf numFmtId="0" fontId="3" fillId="24" borderId="10" xfId="1" applyNumberFormat="1" applyFill="1" applyBorder="1" applyAlignment="1" applyProtection="1">
      <alignment horizontal="center" vertical="center"/>
      <protection locked="0" hidden="1"/>
    </xf>
    <xf numFmtId="0" fontId="3" fillId="24" borderId="2" xfId="1" applyNumberFormat="1" applyFill="1" applyBorder="1" applyAlignment="1" applyProtection="1">
      <alignment horizontal="center" vertical="center"/>
      <protection locked="0" hidden="1"/>
    </xf>
    <xf numFmtId="168" fontId="3" fillId="31" borderId="3" xfId="1" applyNumberFormat="1" applyFill="1" applyBorder="1" applyAlignment="1" applyProtection="1">
      <alignment horizontal="left"/>
      <protection hidden="1"/>
    </xf>
    <xf numFmtId="168" fontId="3" fillId="31" borderId="10" xfId="1" applyNumberFormat="1" applyFill="1" applyBorder="1" applyAlignment="1" applyProtection="1">
      <alignment horizontal="left"/>
      <protection hidden="1"/>
    </xf>
    <xf numFmtId="168" fontId="3" fillId="31" borderId="2" xfId="1" applyNumberFormat="1" applyFill="1" applyBorder="1" applyAlignment="1" applyProtection="1">
      <alignment horizontal="left"/>
      <protection hidden="1"/>
    </xf>
    <xf numFmtId="0" fontId="3" fillId="31" borderId="3" xfId="1" applyNumberFormat="1" applyFill="1" applyBorder="1" applyAlignment="1" applyProtection="1">
      <alignment horizontal="left"/>
      <protection hidden="1"/>
    </xf>
    <xf numFmtId="0" fontId="3" fillId="31" borderId="10" xfId="1" applyNumberFormat="1" applyFill="1" applyBorder="1" applyAlignment="1" applyProtection="1">
      <alignment horizontal="left"/>
      <protection hidden="1"/>
    </xf>
    <xf numFmtId="0" fontId="3" fillId="31" borderId="2" xfId="1" applyNumberFormat="1" applyFill="1" applyBorder="1" applyAlignment="1" applyProtection="1">
      <alignment horizontal="left"/>
      <protection hidden="1"/>
    </xf>
    <xf numFmtId="0" fontId="2" fillId="0" borderId="5" xfId="0" applyFont="1" applyBorder="1" applyAlignment="1">
      <alignment horizontal="center" vertical="center"/>
    </xf>
    <xf numFmtId="0" fontId="33" fillId="2" borderId="0" xfId="0" applyFont="1" applyFill="1" applyAlignment="1">
      <alignment horizontal="left" vertical="center" indent="2"/>
    </xf>
    <xf numFmtId="0" fontId="33" fillId="0" borderId="0" xfId="0" applyFont="1" applyAlignment="1">
      <alignment horizontal="left" vertical="center" indent="2"/>
    </xf>
    <xf numFmtId="0" fontId="34" fillId="2" borderId="0" xfId="0" applyFont="1" applyFill="1" applyAlignment="1">
      <alignment horizontal="left" vertical="center" indent="2"/>
    </xf>
    <xf numFmtId="0" fontId="35" fillId="2" borderId="0" xfId="0" applyFont="1" applyFill="1" applyAlignment="1">
      <alignment horizontal="left" vertical="center" indent="2"/>
    </xf>
    <xf numFmtId="0" fontId="36" fillId="14" borderId="5" xfId="1" applyNumberFormat="1" applyFont="1" applyFill="1" applyBorder="1" applyAlignment="1" applyProtection="1">
      <alignment horizontal="left" vertical="center"/>
      <protection hidden="1"/>
    </xf>
    <xf numFmtId="0" fontId="36" fillId="14" borderId="57" xfId="1" applyNumberFormat="1" applyFont="1" applyFill="1" applyBorder="1" applyAlignment="1" applyProtection="1">
      <alignment horizontal="left" vertical="center"/>
      <protection hidden="1"/>
    </xf>
    <xf numFmtId="0" fontId="36" fillId="14" borderId="1" xfId="1" applyNumberFormat="1" applyFont="1" applyFill="1" applyBorder="1" applyAlignment="1" applyProtection="1">
      <alignment horizontal="left" vertical="center"/>
      <protection hidden="1"/>
    </xf>
    <xf numFmtId="0" fontId="36" fillId="14" borderId="17" xfId="1" applyNumberFormat="1" applyFont="1" applyFill="1" applyBorder="1" applyAlignment="1" applyProtection="1">
      <alignment vertical="center"/>
      <protection hidden="1"/>
    </xf>
    <xf numFmtId="0" fontId="37" fillId="11" borderId="37" xfId="5" applyFont="1" applyFill="1" applyBorder="1" applyAlignment="1" applyProtection="1">
      <alignment horizontal="center" vertical="center" wrapText="1"/>
      <protection hidden="1"/>
    </xf>
    <xf numFmtId="0" fontId="37" fillId="11" borderId="38" xfId="5" applyFont="1" applyFill="1" applyBorder="1" applyAlignment="1" applyProtection="1">
      <alignment horizontal="center" vertical="center" wrapText="1"/>
      <protection hidden="1"/>
    </xf>
    <xf numFmtId="0" fontId="37" fillId="11" borderId="36" xfId="5" applyFont="1" applyFill="1" applyBorder="1" applyAlignment="1" applyProtection="1">
      <alignment horizontal="center" vertical="center" wrapText="1"/>
      <protection hidden="1"/>
    </xf>
    <xf numFmtId="0" fontId="37" fillId="11" borderId="27" xfId="5" applyFont="1" applyFill="1" applyBorder="1" applyAlignment="1" applyProtection="1">
      <alignment horizontal="left" vertical="center" wrapText="1"/>
      <protection hidden="1"/>
    </xf>
    <xf numFmtId="10" fontId="37" fillId="11" borderId="12" xfId="8" applyNumberFormat="1" applyFont="1" applyFill="1" applyBorder="1" applyAlignment="1" applyProtection="1">
      <alignment vertical="center"/>
      <protection hidden="1"/>
    </xf>
    <xf numFmtId="0" fontId="37" fillId="11" borderId="28" xfId="5" applyFont="1" applyFill="1" applyBorder="1" applyAlignment="1" applyProtection="1">
      <alignment horizontal="left" vertical="center" wrapText="1"/>
      <protection hidden="1"/>
    </xf>
    <xf numFmtId="0" fontId="37" fillId="11" borderId="36" xfId="5" applyFont="1" applyFill="1" applyBorder="1" applyAlignment="1" applyProtection="1">
      <alignment horizontal="left" vertical="center" wrapText="1"/>
      <protection hidden="1"/>
    </xf>
    <xf numFmtId="0" fontId="37" fillId="11" borderId="27" xfId="5" applyFont="1" applyFill="1" applyBorder="1" applyAlignment="1" applyProtection="1">
      <alignment horizontal="left" wrapText="1"/>
      <protection hidden="1"/>
    </xf>
    <xf numFmtId="164" fontId="37" fillId="11" borderId="12" xfId="7" applyNumberFormat="1" applyFont="1" applyFill="1" applyBorder="1" applyAlignment="1" applyProtection="1">
      <protection hidden="1"/>
    </xf>
    <xf numFmtId="164" fontId="37" fillId="11" borderId="28" xfId="7" applyNumberFormat="1" applyFont="1" applyFill="1" applyBorder="1" applyAlignment="1" applyProtection="1">
      <protection hidden="1"/>
    </xf>
    <xf numFmtId="164" fontId="37" fillId="11" borderId="29" xfId="7" applyNumberFormat="1" applyFont="1" applyFill="1" applyBorder="1" applyAlignment="1" applyProtection="1">
      <protection hidden="1"/>
    </xf>
    <xf numFmtId="164" fontId="37" fillId="11" borderId="12" xfId="7" quotePrefix="1" applyNumberFormat="1" applyFont="1" applyFill="1" applyBorder="1" applyAlignment="1" applyProtection="1">
      <protection hidden="1"/>
    </xf>
    <xf numFmtId="164" fontId="37" fillId="11" borderId="12" xfId="7" applyNumberFormat="1" applyFont="1" applyFill="1" applyBorder="1" applyAlignment="1" applyProtection="1">
      <alignment vertical="center"/>
      <protection hidden="1"/>
    </xf>
    <xf numFmtId="0" fontId="37" fillId="11" borderId="34" xfId="5" applyFont="1" applyFill="1" applyBorder="1" applyAlignment="1" applyProtection="1">
      <alignment horizontal="center" vertical="center" wrapText="1"/>
      <protection hidden="1"/>
    </xf>
    <xf numFmtId="0" fontId="37" fillId="11" borderId="1" xfId="5" applyFont="1" applyFill="1" applyBorder="1" applyAlignment="1" applyProtection="1">
      <alignment horizontal="left" vertical="center" wrapText="1"/>
      <protection hidden="1"/>
    </xf>
    <xf numFmtId="164" fontId="37" fillId="11" borderId="1" xfId="7" applyNumberFormat="1" applyFont="1" applyFill="1" applyBorder="1" applyAlignment="1" applyProtection="1">
      <alignment vertical="center"/>
      <protection hidden="1"/>
    </xf>
    <xf numFmtId="0" fontId="37" fillId="11" borderId="3" xfId="7" applyNumberFormat="1" applyFont="1" applyFill="1" applyBorder="1" applyAlignment="1" applyProtection="1">
      <alignment horizontal="left" vertical="center" wrapText="1"/>
      <protection hidden="1"/>
    </xf>
    <xf numFmtId="0" fontId="37" fillId="11" borderId="1" xfId="5" applyFont="1" applyFill="1" applyBorder="1" applyAlignment="1" applyProtection="1">
      <alignment horizontal="left" vertical="center"/>
      <protection hidden="1"/>
    </xf>
  </cellXfs>
  <cellStyles count="11">
    <cellStyle name="20% - Accent2" xfId="2" builtinId="34"/>
    <cellStyle name="20% - Accent6" xfId="7" builtinId="50"/>
    <cellStyle name="40% - Accent1" xfId="1" builtinId="31"/>
    <cellStyle name="40% - Accent2" xfId="3" builtinId="35"/>
    <cellStyle name="40% - Accent4" xfId="4" builtinId="43"/>
    <cellStyle name="40% - Accent6" xfId="5" builtinId="51"/>
    <cellStyle name="Accent2" xfId="6" builtinId="33"/>
    <cellStyle name="Procent" xfId="8" builtinId="5"/>
    <cellStyle name="Standaard" xfId="0" builtinId="0"/>
    <cellStyle name="Standaard 2" xfId="10" xr:uid="{00F5BB47-3E64-47E3-9E65-A7B31E9EF4EB}"/>
    <cellStyle name="Valuta" xfId="9" builtinId="4"/>
  </cellStyles>
  <dxfs count="284">
    <dxf>
      <font>
        <color rgb="FFFF0000"/>
      </font>
    </dxf>
    <dxf>
      <fill>
        <patternFill>
          <bgColor theme="9" tint="0.59996337778862885"/>
        </patternFill>
      </fill>
      <border>
        <left style="thin">
          <color theme="0" tint="-0.24994659260841701"/>
        </left>
        <right style="thin">
          <color theme="0" tint="-0.24994659260841701"/>
        </right>
        <top style="thin">
          <color theme="0" tint="-0.24994659260841701"/>
        </top>
        <bottom style="thin">
          <color theme="0" tint="-0.24994659260841701"/>
        </bottom>
      </border>
    </dxf>
    <dxf>
      <fill>
        <patternFill>
          <bgColor theme="9" tint="0.79998168889431442"/>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ill>
        <patternFill>
          <bgColor theme="9" tint="0.59996337778862885"/>
        </patternFill>
      </fill>
      <border>
        <left style="thin">
          <color theme="0" tint="-0.24994659260841701"/>
        </left>
        <right style="thin">
          <color theme="0" tint="-0.24994659260841701"/>
        </right>
        <top style="thin">
          <color theme="0" tint="-0.24994659260841701"/>
        </top>
        <bottom style="thin">
          <color theme="0" tint="-0.24994659260841701"/>
        </bottom>
      </border>
    </dxf>
    <dxf>
      <font>
        <b/>
        <i val="0"/>
      </font>
      <fill>
        <patternFill>
          <bgColor theme="9" tint="0.59996337778862885"/>
        </patternFill>
      </fill>
      <border>
        <left style="thin">
          <color theme="0" tint="-0.24994659260841701"/>
        </left>
        <right style="thin">
          <color theme="0" tint="-0.24994659260841701"/>
        </right>
        <top style="thin">
          <color theme="0" tint="-0.24994659260841701"/>
        </top>
        <bottom style="thin">
          <color theme="0" tint="-0.24994659260841701"/>
        </bottom>
      </border>
    </dxf>
    <dxf>
      <fill>
        <patternFill>
          <bgColor theme="9" tint="0.79998168889431442"/>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ill>
        <patternFill>
          <bgColor theme="9" tint="0.59996337778862885"/>
        </patternFill>
      </fill>
      <border>
        <left style="thin">
          <color theme="0" tint="-0.24994659260841701"/>
        </left>
        <right style="thin">
          <color theme="0" tint="-0.24994659260841701"/>
        </right>
        <top style="thin">
          <color theme="0" tint="-0.24994659260841701"/>
        </top>
        <bottom style="thin">
          <color theme="0" tint="-0.24994659260841701"/>
        </bottom>
      </border>
    </dxf>
    <dxf>
      <fill>
        <patternFill>
          <bgColor theme="9" tint="0.79998168889431442"/>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ill>
        <patternFill>
          <bgColor theme="9" tint="0.59996337778862885"/>
        </patternFill>
      </fill>
      <border>
        <left style="thin">
          <color theme="0" tint="-0.24994659260841701"/>
        </left>
        <right style="thin">
          <color theme="0" tint="-0.24994659260841701"/>
        </right>
        <top style="thin">
          <color theme="0" tint="-0.24994659260841701"/>
        </top>
        <bottom style="thin">
          <color theme="0" tint="-0.24994659260841701"/>
        </bottom>
      </border>
    </dxf>
    <dxf>
      <font>
        <b/>
        <i val="0"/>
      </font>
      <fill>
        <patternFill>
          <bgColor theme="9" tint="0.59996337778862885"/>
        </patternFill>
      </fill>
      <border>
        <left style="thin">
          <color theme="0" tint="-0.24994659260841701"/>
        </left>
        <right style="thin">
          <color theme="0" tint="-0.24994659260841701"/>
        </right>
        <top style="thin">
          <color theme="0" tint="-0.24994659260841701"/>
        </top>
        <bottom style="thin">
          <color theme="0" tint="-0.24994659260841701"/>
        </bottom>
      </border>
    </dxf>
    <dxf>
      <fill>
        <patternFill>
          <bgColor theme="9" tint="0.79998168889431442"/>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9" tint="-0.24994659260841701"/>
      </font>
    </dxf>
    <dxf>
      <font>
        <color theme="9" tint="-0.24994659260841701"/>
      </font>
    </dxf>
    <dxf>
      <font>
        <color theme="9" tint="-0.24994659260841701"/>
      </font>
    </dxf>
    <dxf>
      <numFmt numFmtId="172" formatCode="0.0000"/>
      <fill>
        <patternFill>
          <bgColor theme="0" tint="-0.14996795556505021"/>
        </patternFill>
      </fill>
    </dxf>
    <dxf>
      <font>
        <color theme="9" tint="-0.24994659260841701"/>
      </font>
    </dxf>
    <dxf>
      <font>
        <color theme="0" tint="-0.14996795556505021"/>
      </font>
      <fill>
        <patternFill>
          <bgColor theme="0" tint="-0.14996795556505021"/>
        </patternFill>
      </fill>
    </dxf>
    <dxf>
      <numFmt numFmtId="172" formatCode="0.0000"/>
      <fill>
        <patternFill>
          <bgColor theme="0" tint="-4.9989318521683403E-2"/>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patternType="solid">
          <fgColor theme="0"/>
          <bgColor theme="0" tint="-0.14990691854609822"/>
        </patternFill>
      </fill>
    </dxf>
    <dxf>
      <font>
        <color theme="0" tint="-0.14996795556505021"/>
      </font>
      <fill>
        <patternFill patternType="solid">
          <fgColor theme="0"/>
          <bgColor theme="0" tint="-0.14990691854609822"/>
        </patternFill>
      </fill>
    </dxf>
    <dxf>
      <font>
        <color theme="4" tint="-0.499984740745262"/>
      </font>
      <fill>
        <patternFill patternType="solid">
          <bgColor theme="8" tint="0.79998168889431442"/>
        </patternFill>
      </fill>
    </dxf>
    <dxf>
      <font>
        <color rgb="FFFF0000"/>
      </font>
      <fill>
        <patternFill patternType="solid">
          <bgColor theme="5" tint="0.79998168889431442"/>
        </patternFill>
      </fill>
    </dxf>
    <dxf>
      <font>
        <color auto="1"/>
      </font>
      <fill>
        <patternFill>
          <bgColor theme="0" tint="-4.9989318521683403E-2"/>
        </patternFill>
      </fill>
    </dxf>
    <dxf>
      <font>
        <color auto="1"/>
      </font>
      <fill>
        <patternFill>
          <bgColor theme="0" tint="-4.9989318521683403E-2"/>
        </patternFill>
      </fill>
    </dxf>
    <dxf>
      <fill>
        <patternFill>
          <bgColor theme="5" tint="0.79998168889431442"/>
        </patternFill>
      </fill>
    </dxf>
    <dxf>
      <font>
        <color theme="0" tint="-0.14996795556505021"/>
      </font>
      <fill>
        <patternFill>
          <bgColor theme="0" tint="-0.14996795556505021"/>
        </patternFill>
      </fill>
    </dxf>
    <dxf>
      <fill>
        <patternFill>
          <bgColor theme="5" tint="0.79998168889431442"/>
        </patternFill>
      </fill>
    </dxf>
    <dxf>
      <font>
        <color auto="1"/>
      </font>
      <fill>
        <patternFill>
          <bgColor theme="0" tint="-4.9989318521683403E-2"/>
        </patternFill>
      </fill>
    </dxf>
    <dxf>
      <font>
        <color auto="1"/>
      </font>
      <fill>
        <patternFill>
          <bgColor theme="0" tint="-4.9989318521683403E-2"/>
        </patternFill>
      </fill>
    </dxf>
    <dxf>
      <font>
        <color auto="1"/>
      </font>
      <fill>
        <patternFill>
          <bgColor theme="0" tint="-4.9989318521683403E-2"/>
        </patternFill>
      </fill>
    </dxf>
    <dxf>
      <font>
        <color auto="1"/>
      </font>
      <fill>
        <patternFill>
          <bgColor theme="0" tint="-4.9989318521683403E-2"/>
        </patternFill>
      </fill>
    </dxf>
    <dxf>
      <font>
        <color rgb="FFD52B1E"/>
      </font>
    </dxf>
    <dxf>
      <border>
        <left style="thin">
          <color rgb="FFFF0000"/>
        </left>
        <right style="thin">
          <color rgb="FFFF0000"/>
        </right>
        <top style="thin">
          <color rgb="FFFF0000"/>
        </top>
        <bottom style="thin">
          <color rgb="FFFF0000"/>
        </bottom>
      </border>
    </dxf>
    <dxf>
      <fill>
        <patternFill>
          <bgColor rgb="FFF56F65"/>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auto="1"/>
      </font>
      <fill>
        <patternFill>
          <bgColor theme="9" tint="0.79998168889431442"/>
        </patternFill>
      </fill>
    </dxf>
    <dxf>
      <font>
        <color auto="1"/>
      </font>
      <fill>
        <patternFill>
          <bgColor theme="9" tint="0.79998168889431442"/>
        </patternFill>
      </fill>
    </dxf>
    <dxf>
      <font>
        <color theme="0" tint="-0.24994659260841701"/>
      </font>
      <fill>
        <patternFill>
          <bgColor theme="0" tint="-0.24994659260841701"/>
        </patternFill>
      </fill>
    </dxf>
    <dxf>
      <font>
        <color auto="1"/>
      </font>
      <fill>
        <patternFill>
          <bgColor theme="0" tint="-4.9989318521683403E-2"/>
        </patternFill>
      </fill>
    </dxf>
    <dxf>
      <font>
        <color auto="1"/>
      </font>
      <fill>
        <patternFill>
          <bgColor theme="0" tint="-4.9989318521683403E-2"/>
        </patternFill>
      </fill>
    </dxf>
    <dxf>
      <font>
        <b/>
        <i val="0"/>
        <color theme="0"/>
      </font>
      <numFmt numFmtId="14" formatCode="0.00%"/>
      <fill>
        <patternFill patternType="none">
          <bgColor auto="1"/>
        </patternFill>
      </fill>
      <border>
        <left/>
        <right/>
        <top/>
        <bottom/>
      </border>
    </dxf>
    <dxf>
      <font>
        <b val="0"/>
        <i val="0"/>
        <color theme="0"/>
      </font>
      <fill>
        <patternFill patternType="none">
          <bgColor auto="1"/>
        </patternFill>
      </fill>
      <border>
        <left/>
        <right/>
        <top/>
        <bottom/>
      </border>
    </dxf>
    <dxf>
      <font>
        <b val="0"/>
        <i val="0"/>
        <color theme="1"/>
      </font>
      <numFmt numFmtId="164" formatCode="_(&quot;€&quot;* #,##0.00_);_(&quot;€&quot;* \(#,##0.00\);_(&quot;€&quot;* &quot;-&quot;??_);_(@_)"/>
      <fill>
        <patternFill>
          <bgColor theme="0" tint="-0.14996795556505021"/>
        </patternFill>
      </fill>
      <border>
        <left style="thin">
          <color theme="0" tint="-0.24994659260841701"/>
        </left>
        <right style="thin">
          <color theme="0" tint="-0.24994659260841701"/>
        </right>
        <top style="thin">
          <color theme="0" tint="-0.24994659260841701"/>
        </top>
        <bottom style="thin">
          <color theme="0" tint="-0.24994659260841701"/>
        </bottom>
      </border>
    </dxf>
    <dxf>
      <font>
        <b val="0"/>
        <i val="0"/>
      </font>
      <fill>
        <patternFill>
          <bgColor theme="0" tint="-0.14996795556505021"/>
        </patternFill>
      </fill>
      <border>
        <left style="thin">
          <color theme="0" tint="-0.24994659260841701"/>
        </left>
        <right style="thin">
          <color theme="0" tint="-0.24994659260841701"/>
        </right>
        <top style="thin">
          <color theme="0" tint="-0.24994659260841701"/>
        </top>
        <bottom style="thin">
          <color theme="0" tint="-0.24994659260841701"/>
        </bottom>
      </border>
    </dxf>
    <dxf>
      <fill>
        <patternFill>
          <bgColor theme="0" tint="-0.14996795556505021"/>
        </patternFill>
      </fill>
      <border>
        <left style="thin">
          <color theme="0" tint="-0.34998626667073579"/>
        </left>
        <right style="thin">
          <color theme="0" tint="-0.34998626667073579"/>
        </right>
        <top style="thin">
          <color theme="0" tint="-0.34998626667073579"/>
        </top>
        <bottom style="thin">
          <color theme="0" tint="-0.34998626667073579"/>
        </bottom>
        <vertical/>
        <horizontal/>
      </border>
    </dxf>
    <dxf>
      <font>
        <b val="0"/>
        <i val="0"/>
      </font>
      <fill>
        <patternFill>
          <bgColor theme="0" tint="-0.14996795556505021"/>
        </patternFill>
      </fill>
      <border>
        <left style="thin">
          <color theme="0" tint="-0.24994659260841701"/>
        </left>
        <right style="thin">
          <color theme="0" tint="-0.24994659260841701"/>
        </right>
        <top style="thin">
          <color theme="0" tint="-0.24994659260841701"/>
        </top>
        <bottom style="thin">
          <color theme="0" tint="-0.24994659260841701"/>
        </bottom>
      </border>
    </dxf>
    <dxf>
      <fill>
        <patternFill>
          <bgColor theme="0" tint="-0.14996795556505021"/>
        </patternFill>
      </fill>
      <border>
        <left style="thin">
          <color theme="0" tint="-0.34998626667073579"/>
        </left>
        <right style="thin">
          <color theme="0" tint="-0.34998626667073579"/>
        </right>
        <top style="thin">
          <color theme="0" tint="-0.34998626667073579"/>
        </top>
        <bottom style="thin">
          <color theme="0" tint="-0.34998626667073579"/>
        </bottom>
        <vertical/>
        <horizontal/>
      </border>
    </dxf>
    <dxf>
      <fill>
        <patternFill>
          <bgColor theme="9" tint="0.59996337778862885"/>
        </patternFill>
      </fill>
      <border>
        <left style="thin">
          <color theme="0" tint="-0.24994659260841701"/>
        </left>
        <right style="thin">
          <color theme="0" tint="-0.24994659260841701"/>
        </right>
        <top style="thin">
          <color theme="0" tint="-0.24994659260841701"/>
        </top>
        <bottom style="thin">
          <color theme="0" tint="-0.24994659260841701"/>
        </bottom>
      </border>
    </dxf>
    <dxf>
      <fill>
        <patternFill>
          <bgColor theme="9" tint="0.79998168889431442"/>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ill>
        <patternFill>
          <bgColor theme="9" tint="0.59996337778862885"/>
        </patternFill>
      </fill>
      <border>
        <left style="thin">
          <color theme="0" tint="-0.24994659260841701"/>
        </left>
        <right style="thin">
          <color theme="0" tint="-0.24994659260841701"/>
        </right>
        <top style="thin">
          <color theme="0" tint="-0.24994659260841701"/>
        </top>
        <bottom style="thin">
          <color theme="0" tint="-0.24994659260841701"/>
        </bottom>
      </border>
    </dxf>
    <dxf>
      <fill>
        <patternFill>
          <bgColor theme="9" tint="0.79998168889431442"/>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b/>
        <i val="0"/>
      </font>
      <fill>
        <patternFill>
          <bgColor theme="9" tint="0.59996337778862885"/>
        </patternFill>
      </fill>
      <border>
        <left style="thin">
          <color theme="0" tint="-0.24994659260841701"/>
        </left>
        <right style="thin">
          <color theme="0" tint="-0.24994659260841701"/>
        </right>
        <top style="thin">
          <color theme="0" tint="-0.24994659260841701"/>
        </top>
        <bottom style="thin">
          <color theme="0" tint="-0.24994659260841701"/>
        </bottom>
      </border>
    </dxf>
    <dxf>
      <font>
        <color theme="9" tint="-0.24994659260841701"/>
      </font>
    </dxf>
    <dxf>
      <font>
        <color rgb="FFFF0000"/>
      </font>
    </dxf>
    <dxf>
      <font>
        <b val="0"/>
        <i val="0"/>
      </font>
      <numFmt numFmtId="0" formatCode="General"/>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b val="0"/>
        <i val="0"/>
      </font>
      <numFmt numFmtId="164" formatCode="_(&quot;€&quot;* #,##0.00_);_(&quot;€&quot;* \(#,##0.00\);_(&quot;€&quot;* &quot;-&quot;??_);_(@_)"/>
      <fill>
        <patternFill>
          <bgColor theme="0" tint="-4.9989318521683403E-2"/>
        </patternFill>
      </fill>
      <border>
        <left style="thin">
          <color theme="0" tint="-0.24994659260841701"/>
        </left>
        <right style="thin">
          <color theme="0" tint="-0.24994659260841701"/>
        </right>
        <top style="thin">
          <color theme="0" tint="-0.24994659260841701"/>
        </top>
        <bottom style="thin">
          <color theme="0" tint="-0.24994659260841701"/>
        </bottom>
      </border>
    </dxf>
    <dxf>
      <font>
        <b/>
        <i val="0"/>
      </font>
      <fill>
        <patternFill>
          <bgColor theme="0" tint="-0.14996795556505021"/>
        </patternFill>
      </fill>
      <border>
        <left style="thin">
          <color theme="0" tint="-0.24994659260841701"/>
        </left>
        <right style="thin">
          <color theme="0" tint="-0.24994659260841701"/>
        </right>
        <top style="thin">
          <color theme="0" tint="-0.24994659260841701"/>
        </top>
        <bottom style="thin">
          <color theme="0" tint="-0.24994659260841701"/>
        </bottom>
      </border>
    </dxf>
    <dxf>
      <font>
        <b/>
        <i val="0"/>
      </font>
      <fill>
        <patternFill>
          <bgColor theme="0" tint="-0.14996795556505021"/>
        </patternFill>
      </fill>
      <border>
        <left style="thin">
          <color theme="0" tint="-0.24994659260841701"/>
        </left>
        <right style="thin">
          <color theme="0" tint="-0.24994659260841701"/>
        </right>
        <top style="thin">
          <color theme="0" tint="-0.24994659260841701"/>
        </top>
        <bottom style="thin">
          <color theme="0" tint="-0.24994659260841701"/>
        </bottom>
      </border>
    </dxf>
    <dxf>
      <font>
        <b/>
        <i val="0"/>
        <color theme="1"/>
      </font>
      <numFmt numFmtId="164" formatCode="_(&quot;€&quot;* #,##0.00_);_(&quot;€&quot;* \(#,##0.00\);_(&quot;€&quot;* &quot;-&quot;??_);_(@_)"/>
      <fill>
        <patternFill>
          <bgColor theme="0" tint="-0.14996795556505021"/>
        </patternFill>
      </fill>
      <border>
        <left style="thin">
          <color theme="0" tint="-0.24994659260841701"/>
        </left>
        <right style="thin">
          <color theme="0" tint="-0.24994659260841701"/>
        </right>
        <top style="thin">
          <color theme="0" tint="-0.24994659260841701"/>
        </top>
        <bottom style="thin">
          <color theme="0" tint="-0.24994659260841701"/>
        </bottom>
      </border>
    </dxf>
    <dxf>
      <fill>
        <patternFill>
          <bgColor theme="0" tint="-0.14996795556505021"/>
        </patternFill>
      </fill>
      <border>
        <left style="thin">
          <color theme="0" tint="-0.34998626667073579"/>
        </left>
        <right style="thin">
          <color theme="0" tint="-0.34998626667073579"/>
        </right>
        <top style="thin">
          <color theme="0" tint="-0.34998626667073579"/>
        </top>
        <bottom style="thin">
          <color theme="0" tint="-0.34998626667073579"/>
        </bottom>
        <vertical/>
        <horizontal/>
      </border>
    </dxf>
    <dxf>
      <fill>
        <patternFill>
          <bgColor theme="0" tint="-0.14996795556505021"/>
        </patternFill>
      </fill>
      <border>
        <left style="thin">
          <color theme="0" tint="-0.34998626667073579"/>
        </left>
        <right style="thin">
          <color theme="0" tint="-0.34998626667073579"/>
        </right>
        <top style="thin">
          <color theme="0" tint="-0.34998626667073579"/>
        </top>
        <bottom style="thin">
          <color theme="0" tint="-0.34998626667073579"/>
        </bottom>
        <vertical/>
        <horizontal/>
      </border>
    </dxf>
    <dxf>
      <fill>
        <patternFill>
          <bgColor theme="0" tint="-0.14996795556505021"/>
        </patternFill>
      </fill>
      <border>
        <left style="thin">
          <color theme="0" tint="-0.34998626667073579"/>
        </left>
        <right style="thin">
          <color theme="0" tint="-0.34998626667073579"/>
        </right>
        <top style="thin">
          <color theme="0" tint="-0.34998626667073579"/>
        </top>
        <bottom style="thin">
          <color theme="0" tint="-0.34998626667073579"/>
        </bottom>
        <vertical/>
        <horizontal/>
      </border>
    </dxf>
    <dxf>
      <fill>
        <patternFill>
          <bgColor theme="0" tint="-0.14996795556505021"/>
        </patternFill>
      </fill>
      <border>
        <left style="thin">
          <color theme="0" tint="-0.34998626667073579"/>
        </left>
        <right style="thin">
          <color theme="0" tint="-0.34998626667073579"/>
        </right>
        <top style="thin">
          <color theme="0" tint="-0.34998626667073579"/>
        </top>
        <bottom style="thin">
          <color theme="0" tint="-0.34998626667073579"/>
        </bottom>
        <vertical/>
        <horizontal/>
      </border>
    </dxf>
    <dxf>
      <font>
        <color theme="9" tint="-0.499984740745262"/>
      </font>
      <fill>
        <patternFill>
          <bgColor theme="4" tint="0.79998168889431442"/>
        </patternFill>
      </fill>
    </dxf>
    <dxf>
      <font>
        <color rgb="FFFF0000"/>
      </font>
      <fill>
        <patternFill>
          <bgColor theme="4" tint="0.79998168889431442"/>
        </patternFill>
      </fill>
    </dxf>
    <dxf>
      <fill>
        <patternFill>
          <bgColor theme="0" tint="-0.14996795556505021"/>
        </patternFill>
      </fill>
      <border>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color auto="1"/>
      </font>
      <fill>
        <patternFill patternType="solid">
          <bgColor theme="0" tint="-0.14996795556505021"/>
        </patternFill>
      </fill>
    </dxf>
    <dxf>
      <fill>
        <patternFill>
          <bgColor theme="9" tint="0.79998168889431442"/>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b/>
        <i val="0"/>
        <color auto="1"/>
      </font>
    </dxf>
    <dxf>
      <font>
        <color auto="1"/>
      </font>
      <fill>
        <patternFill>
          <bgColor theme="0" tint="-0.14996795556505021"/>
        </patternFill>
      </fill>
    </dxf>
    <dxf>
      <font>
        <color auto="1"/>
      </font>
      <fill>
        <patternFill>
          <bgColor theme="0" tint="-0.14996795556505021"/>
        </patternFill>
      </fill>
    </dxf>
    <dxf>
      <font>
        <color theme="0" tint="-0.34998626667073579"/>
      </font>
    </dxf>
    <dxf>
      <font>
        <color theme="0" tint="-0.34998626667073579"/>
      </font>
    </dxf>
    <dxf>
      <font>
        <color theme="1"/>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b/>
        <i val="0"/>
        <color theme="0"/>
      </font>
      <numFmt numFmtId="14" formatCode="0.00%"/>
      <fill>
        <patternFill patternType="none">
          <bgColor auto="1"/>
        </patternFill>
      </fill>
      <border>
        <left/>
        <right/>
        <top/>
        <bottom/>
      </border>
    </dxf>
    <dxf>
      <font>
        <b val="0"/>
        <i val="0"/>
        <color theme="0"/>
      </font>
      <fill>
        <patternFill patternType="none">
          <bgColor auto="1"/>
        </patternFill>
      </fill>
      <border>
        <left/>
        <right/>
        <top/>
        <bottom/>
      </border>
    </dxf>
    <dxf>
      <font>
        <b val="0"/>
        <i val="0"/>
        <color theme="1"/>
      </font>
      <numFmt numFmtId="164" formatCode="_(&quot;€&quot;* #,##0.00_);_(&quot;€&quot;* \(#,##0.00\);_(&quot;€&quot;* &quot;-&quot;??_);_(@_)"/>
      <fill>
        <patternFill>
          <bgColor theme="0" tint="-0.14996795556505021"/>
        </patternFill>
      </fill>
      <border>
        <left style="thin">
          <color theme="0" tint="-0.24994659260841701"/>
        </left>
        <right style="thin">
          <color theme="0" tint="-0.24994659260841701"/>
        </right>
        <top style="thin">
          <color theme="0" tint="-0.24994659260841701"/>
        </top>
        <bottom style="thin">
          <color theme="0" tint="-0.24994659260841701"/>
        </bottom>
      </border>
    </dxf>
    <dxf>
      <font>
        <b val="0"/>
        <i val="0"/>
      </font>
      <fill>
        <patternFill>
          <bgColor theme="4" tint="0.79998168889431442"/>
        </patternFill>
      </fill>
      <border>
        <left style="thin">
          <color theme="0" tint="-0.24994659260841701"/>
        </left>
        <right style="thin">
          <color theme="0" tint="-0.24994659260841701"/>
        </right>
        <top style="thin">
          <color theme="0" tint="-0.24994659260841701"/>
        </top>
        <bottom style="thin">
          <color theme="0" tint="-0.24994659260841701"/>
        </bottom>
      </border>
    </dxf>
    <dxf>
      <fill>
        <patternFill>
          <bgColor theme="4" tint="0.79998168889431442"/>
        </patternFill>
      </fill>
      <border>
        <left style="thin">
          <color theme="0" tint="-0.34998626667073579"/>
        </left>
        <right style="thin">
          <color theme="0" tint="-0.34998626667073579"/>
        </right>
        <top style="thin">
          <color theme="0" tint="-0.34998626667073579"/>
        </top>
        <bottom style="thin">
          <color theme="0" tint="-0.34998626667073579"/>
        </bottom>
        <vertical/>
        <horizontal/>
      </border>
    </dxf>
    <dxf>
      <font>
        <b val="0"/>
        <i val="0"/>
      </font>
      <fill>
        <patternFill>
          <bgColor theme="4" tint="0.79998168889431442"/>
        </patternFill>
      </fill>
      <border>
        <left style="thin">
          <color theme="0" tint="-0.24994659260841701"/>
        </left>
        <right style="thin">
          <color theme="0" tint="-0.24994659260841701"/>
        </right>
        <top style="thin">
          <color theme="0" tint="-0.24994659260841701"/>
        </top>
        <bottom style="thin">
          <color theme="0" tint="-0.24994659260841701"/>
        </bottom>
      </border>
    </dxf>
    <dxf>
      <fill>
        <patternFill>
          <bgColor theme="4" tint="0.79998168889431442"/>
        </patternFill>
      </fill>
      <border>
        <left style="thin">
          <color theme="0" tint="-0.34998626667073579"/>
        </left>
        <right style="thin">
          <color theme="0" tint="-0.34998626667073579"/>
        </right>
        <top style="thin">
          <color theme="0" tint="-0.34998626667073579"/>
        </top>
        <bottom style="thin">
          <color theme="0" tint="-0.34998626667073579"/>
        </bottom>
        <vertical/>
        <horizontal/>
      </border>
    </dxf>
    <dxf>
      <font>
        <color theme="9" tint="-0.24994659260841701"/>
      </font>
    </dxf>
    <dxf>
      <font>
        <color rgb="FFFF0000"/>
      </font>
    </dxf>
    <dxf>
      <font>
        <b val="0"/>
        <i val="0"/>
      </font>
      <numFmt numFmtId="0" formatCode="General"/>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b val="0"/>
        <i val="0"/>
      </font>
      <numFmt numFmtId="164" formatCode="_(&quot;€&quot;* #,##0.00_);_(&quot;€&quot;* \(#,##0.00\);_(&quot;€&quot;* &quot;-&quot;??_);_(@_)"/>
      <fill>
        <patternFill>
          <bgColor theme="0" tint="-4.9989318521683403E-2"/>
        </patternFill>
      </fill>
      <border>
        <left style="thin">
          <color theme="0" tint="-0.24994659260841701"/>
        </left>
        <right style="thin">
          <color theme="0" tint="-0.24994659260841701"/>
        </right>
        <top style="thin">
          <color theme="0" tint="-0.24994659260841701"/>
        </top>
        <bottom style="thin">
          <color theme="0" tint="-0.24994659260841701"/>
        </bottom>
      </border>
    </dxf>
    <dxf>
      <font>
        <b/>
        <i val="0"/>
      </font>
      <fill>
        <patternFill>
          <bgColor theme="0" tint="-0.14996795556505021"/>
        </patternFill>
      </fill>
      <border>
        <left style="thin">
          <color theme="0" tint="-0.24994659260841701"/>
        </left>
        <right style="thin">
          <color theme="0" tint="-0.24994659260841701"/>
        </right>
        <top style="thin">
          <color theme="0" tint="-0.24994659260841701"/>
        </top>
        <bottom style="thin">
          <color theme="0" tint="-0.24994659260841701"/>
        </bottom>
      </border>
    </dxf>
    <dxf>
      <font>
        <b/>
        <i val="0"/>
      </font>
      <fill>
        <patternFill>
          <bgColor theme="0" tint="-0.14996795556505021"/>
        </patternFill>
      </fill>
      <border>
        <left style="thin">
          <color theme="0" tint="-0.24994659260841701"/>
        </left>
        <right style="thin">
          <color theme="0" tint="-0.24994659260841701"/>
        </right>
        <top style="thin">
          <color theme="0" tint="-0.24994659260841701"/>
        </top>
        <bottom style="thin">
          <color theme="0" tint="-0.24994659260841701"/>
        </bottom>
      </border>
    </dxf>
    <dxf>
      <font>
        <b/>
        <i val="0"/>
        <color theme="1"/>
      </font>
      <numFmt numFmtId="164" formatCode="_(&quot;€&quot;* #,##0.00_);_(&quot;€&quot;* \(#,##0.00\);_(&quot;€&quot;* &quot;-&quot;??_);_(@_)"/>
      <fill>
        <patternFill>
          <bgColor theme="0" tint="-0.14996795556505021"/>
        </patternFill>
      </fill>
      <border>
        <left style="thin">
          <color theme="0" tint="-0.24994659260841701"/>
        </left>
        <right style="thin">
          <color theme="0" tint="-0.24994659260841701"/>
        </right>
        <top style="thin">
          <color theme="0" tint="-0.24994659260841701"/>
        </top>
        <bottom style="thin">
          <color theme="0" tint="-0.24994659260841701"/>
        </bottom>
      </border>
    </dxf>
    <dxf>
      <fill>
        <patternFill>
          <bgColor theme="0" tint="-0.14996795556505021"/>
        </patternFill>
      </fill>
      <border>
        <left style="thin">
          <color theme="0" tint="-0.34998626667073579"/>
        </left>
        <right style="thin">
          <color theme="0" tint="-0.34998626667073579"/>
        </right>
        <top style="thin">
          <color theme="0" tint="-0.34998626667073579"/>
        </top>
        <bottom style="thin">
          <color theme="0" tint="-0.34998626667073579"/>
        </bottom>
        <vertical/>
        <horizontal/>
      </border>
    </dxf>
    <dxf>
      <fill>
        <patternFill>
          <bgColor theme="0" tint="-0.14996795556505021"/>
        </patternFill>
      </fill>
      <border>
        <left style="thin">
          <color theme="0" tint="-0.34998626667073579"/>
        </left>
        <right style="thin">
          <color theme="0" tint="-0.34998626667073579"/>
        </right>
        <top style="thin">
          <color theme="0" tint="-0.34998626667073579"/>
        </top>
        <bottom style="thin">
          <color theme="0" tint="-0.34998626667073579"/>
        </bottom>
        <vertical/>
        <horizontal/>
      </border>
    </dxf>
    <dxf>
      <fill>
        <patternFill>
          <bgColor theme="0" tint="-0.14996795556505021"/>
        </patternFill>
      </fill>
      <border>
        <left style="thin">
          <color theme="0" tint="-0.34998626667073579"/>
        </left>
        <right style="thin">
          <color theme="0" tint="-0.34998626667073579"/>
        </right>
        <top style="thin">
          <color theme="0" tint="-0.34998626667073579"/>
        </top>
        <bottom style="thin">
          <color theme="0" tint="-0.34998626667073579"/>
        </bottom>
        <vertical/>
        <horizontal/>
      </border>
    </dxf>
    <dxf>
      <fill>
        <patternFill>
          <bgColor theme="0" tint="-0.14996795556505021"/>
        </patternFill>
      </fill>
      <border>
        <left style="thin">
          <color theme="0" tint="-0.34998626667073579"/>
        </left>
        <right style="thin">
          <color theme="0" tint="-0.34998626667073579"/>
        </right>
        <top style="thin">
          <color theme="0" tint="-0.34998626667073579"/>
        </top>
        <bottom style="thin">
          <color theme="0" tint="-0.34998626667073579"/>
        </bottom>
        <vertical/>
        <horizontal/>
      </border>
    </dxf>
    <dxf>
      <font>
        <color rgb="FFFF0000"/>
      </font>
      <fill>
        <patternFill>
          <bgColor theme="4" tint="0.79998168889431442"/>
        </patternFill>
      </fill>
    </dxf>
    <dxf>
      <font>
        <color theme="9" tint="-0.499984740745262"/>
      </font>
      <fill>
        <patternFill>
          <bgColor theme="4" tint="0.79998168889431442"/>
        </patternFill>
      </fill>
    </dxf>
    <dxf>
      <fill>
        <patternFill>
          <bgColor theme="9" tint="0.59996337778862885"/>
        </patternFill>
      </fill>
      <border>
        <left style="thin">
          <color theme="0" tint="-0.24994659260841701"/>
        </left>
        <right style="thin">
          <color theme="0" tint="-0.24994659260841701"/>
        </right>
        <top style="thin">
          <color theme="0" tint="-0.24994659260841701"/>
        </top>
        <bottom style="thin">
          <color theme="0" tint="-0.24994659260841701"/>
        </bottom>
      </border>
    </dxf>
    <dxf>
      <fill>
        <patternFill>
          <bgColor theme="9" tint="0.79998168889431442"/>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ill>
        <patternFill>
          <bgColor theme="9" tint="0.59996337778862885"/>
        </patternFill>
      </fill>
      <border>
        <left style="thin">
          <color theme="0" tint="-0.24994659260841701"/>
        </left>
        <right style="thin">
          <color theme="0" tint="-0.24994659260841701"/>
        </right>
        <top style="thin">
          <color theme="0" tint="-0.24994659260841701"/>
        </top>
        <bottom style="thin">
          <color theme="0" tint="-0.24994659260841701"/>
        </bottom>
      </border>
    </dxf>
    <dxf>
      <font>
        <b/>
        <i val="0"/>
      </font>
      <fill>
        <patternFill>
          <bgColor theme="9" tint="0.59996337778862885"/>
        </patternFill>
      </fill>
      <border>
        <left style="thin">
          <color theme="0" tint="-0.24994659260841701"/>
        </left>
        <right style="thin">
          <color theme="0" tint="-0.24994659260841701"/>
        </right>
        <top style="thin">
          <color theme="0" tint="-0.24994659260841701"/>
        </top>
        <bottom style="thin">
          <color theme="0" tint="-0.24994659260841701"/>
        </bottom>
      </border>
    </dxf>
    <dxf>
      <fill>
        <patternFill>
          <bgColor theme="9" tint="0.79998168889431442"/>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b/>
        <i val="0"/>
        <color auto="1"/>
      </font>
    </dxf>
    <dxf>
      <font>
        <b val="0"/>
        <i val="0"/>
        <color auto="1"/>
      </font>
      <fill>
        <patternFill patternType="solid">
          <bgColor theme="0" tint="-0.14996795556505021"/>
        </patternFill>
      </fill>
    </dxf>
    <dxf>
      <font>
        <b val="0"/>
        <i val="0"/>
        <color auto="1"/>
      </font>
      <fill>
        <patternFill patternType="solid">
          <bgColor theme="0" tint="-0.14996795556505021"/>
        </patternFill>
      </fill>
    </dxf>
    <dxf>
      <font>
        <color theme="9" tint="-0.24994659260841701"/>
      </font>
    </dxf>
    <dxf>
      <font>
        <color theme="9" tint="-0.24994659260841701"/>
      </font>
      <numFmt numFmtId="165" formatCode="&quot;€&quot;\ #,##0.00"/>
    </dxf>
    <dxf>
      <font>
        <color theme="9" tint="-0.24994659260841701"/>
      </font>
    </dxf>
    <dxf>
      <font>
        <color auto="1"/>
      </font>
      <numFmt numFmtId="165" formatCode="&quot;€&quot;\ #,##0.00"/>
      <fill>
        <patternFill>
          <bgColor theme="0" tint="-0.14996795556505021"/>
        </patternFill>
      </fill>
    </dxf>
    <dxf>
      <font>
        <color theme="9" tint="-0.24994659260841701"/>
      </font>
      <numFmt numFmtId="172" formatCode="0.0000"/>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patternType="solid">
          <fgColor theme="0"/>
          <bgColor theme="0" tint="-0.14990691854609822"/>
        </patternFill>
      </fill>
    </dxf>
    <dxf>
      <font>
        <color auto="1"/>
      </font>
      <fill>
        <patternFill>
          <bgColor theme="0" tint="-0.14996795556505021"/>
        </patternFill>
      </fill>
    </dxf>
    <dxf>
      <font>
        <color theme="9" tint="-0.24994659260841701"/>
      </font>
      <fill>
        <patternFill>
          <bgColor theme="0" tint="-0.14996795556505021"/>
        </patternFill>
      </fill>
    </dxf>
    <dxf>
      <font>
        <color auto="1"/>
      </font>
      <numFmt numFmtId="172" formatCode="0.0000"/>
      <fill>
        <patternFill>
          <bgColor theme="0" tint="-0.14996795556505021"/>
        </patternFill>
      </fill>
    </dxf>
    <dxf>
      <font>
        <color auto="1"/>
      </font>
      <fill>
        <patternFill>
          <bgColor theme="0" tint="-4.9989318521683403E-2"/>
        </patternFill>
      </fill>
    </dxf>
    <dxf>
      <font>
        <color rgb="FFFF0000"/>
      </font>
    </dxf>
    <dxf>
      <font>
        <color auto="1"/>
      </font>
      <numFmt numFmtId="172" formatCode="0.0000"/>
      <fill>
        <patternFill>
          <bgColor theme="0" tint="-4.9989318521683403E-2"/>
        </patternFill>
      </fill>
    </dxf>
    <dxf>
      <font>
        <color auto="1"/>
      </font>
      <fill>
        <patternFill>
          <bgColor theme="0" tint="-4.9989318521683403E-2"/>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patternType="solid">
          <fgColor theme="0"/>
          <bgColor theme="0" tint="-0.14990691854609822"/>
        </patternFill>
      </fill>
    </dxf>
    <dxf>
      <font>
        <color auto="1"/>
      </font>
      <fill>
        <patternFill>
          <bgColor theme="0" tint="-4.9989318521683403E-2"/>
        </patternFill>
      </fill>
    </dxf>
    <dxf>
      <font>
        <color auto="1"/>
      </font>
      <fill>
        <patternFill>
          <bgColor theme="4" tint="0.79998168889431442"/>
        </patternFill>
      </fill>
    </dxf>
    <dxf>
      <font>
        <color auto="1"/>
      </font>
      <fill>
        <patternFill>
          <bgColor theme="0" tint="-4.9989318521683403E-2"/>
        </patternFill>
      </fill>
    </dxf>
    <dxf>
      <font>
        <color auto="1"/>
      </font>
      <fill>
        <patternFill>
          <bgColor theme="0" tint="-4.9989318521683403E-2"/>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patternType="solid">
          <fgColor theme="0"/>
          <bgColor theme="0" tint="-0.14990691854609822"/>
        </patternFill>
      </fill>
    </dxf>
    <dxf>
      <font>
        <color auto="1"/>
      </font>
      <fill>
        <patternFill>
          <bgColor theme="0" tint="-4.9989318521683403E-2"/>
        </patternFill>
      </fill>
    </dxf>
    <dxf>
      <font>
        <color rgb="FFD52B1E"/>
      </font>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font>
        <color auto="1"/>
      </font>
      <fill>
        <patternFill>
          <bgColor theme="8" tint="0.79998168889431442"/>
        </patternFill>
      </fill>
    </dxf>
    <dxf>
      <font>
        <color rgb="FF9C0006"/>
      </font>
      <fill>
        <patternFill>
          <bgColor rgb="FFFFC7CE"/>
        </patternFill>
      </fill>
    </dxf>
    <dxf>
      <font>
        <color rgb="FF006100"/>
      </font>
      <fill>
        <patternFill>
          <bgColor rgb="FFC6EFCE"/>
        </patternFill>
      </fill>
    </dxf>
    <dxf>
      <font>
        <color auto="1"/>
      </font>
      <fill>
        <patternFill>
          <bgColor theme="0" tint="-4.9989318521683403E-2"/>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auto="1"/>
      </font>
      <fill>
        <patternFill>
          <bgColor theme="9" tint="0.79998168889431442"/>
        </patternFill>
      </fill>
    </dxf>
    <dxf>
      <font>
        <color auto="1"/>
      </font>
      <fill>
        <patternFill>
          <bgColor theme="9" tint="0.79998168889431442"/>
        </patternFill>
      </fill>
    </dxf>
    <dxf>
      <font>
        <color theme="0" tint="-0.24994659260841701"/>
      </font>
      <fill>
        <patternFill>
          <bgColor theme="0" tint="-0.24994659260841701"/>
        </patternFill>
      </fill>
    </dxf>
    <dxf>
      <font>
        <color auto="1"/>
      </font>
      <fill>
        <patternFill>
          <bgColor theme="0" tint="-4.9989318521683403E-2"/>
        </patternFill>
      </fill>
    </dxf>
    <dxf>
      <font>
        <color rgb="FFFF0000"/>
      </font>
    </dxf>
    <dxf>
      <font>
        <color rgb="FFFF0000"/>
      </font>
    </dxf>
    <dxf>
      <font>
        <color rgb="FFFF0000"/>
      </font>
    </dxf>
    <dxf>
      <font>
        <color rgb="FFFF0000"/>
      </font>
    </dxf>
    <dxf>
      <font>
        <color rgb="FFFF0000"/>
      </font>
    </dxf>
    <dxf>
      <font>
        <color rgb="FFFF0000"/>
      </font>
    </dxf>
    <dxf>
      <fill>
        <patternFill>
          <bgColor theme="8" tint="0.79998168889431442"/>
        </patternFill>
      </fill>
    </dxf>
    <dxf>
      <font>
        <color rgb="FFC00000"/>
      </font>
    </dxf>
    <dxf>
      <font>
        <color rgb="FFC00000"/>
      </font>
    </dxf>
    <dxf>
      <font>
        <color rgb="FFC00000"/>
      </font>
    </dxf>
    <dxf>
      <font>
        <color rgb="FFFF0000"/>
      </font>
    </dxf>
    <dxf>
      <font>
        <color rgb="FFFF0000"/>
      </font>
    </dxf>
    <dxf>
      <fill>
        <patternFill>
          <bgColor theme="8" tint="0.79998168889431442"/>
        </patternFill>
      </fill>
    </dxf>
    <dxf>
      <numFmt numFmtId="166" formatCode="&quot;€&quot;\ #,##0"/>
      <fill>
        <patternFill patternType="none">
          <fgColor indexed="64"/>
          <bgColor auto="1"/>
        </patternFill>
      </fill>
      <protection locked="0" hidden="0"/>
    </dxf>
    <dxf>
      <numFmt numFmtId="166" formatCode="&quot;€&quot;\ #,##0"/>
      <fill>
        <patternFill patternType="none">
          <fgColor indexed="64"/>
          <bgColor auto="1"/>
        </patternFill>
      </fill>
      <protection locked="0" hidden="0"/>
    </dxf>
    <dxf>
      <numFmt numFmtId="166" formatCode="&quot;€&quot;\ #,##0"/>
      <fill>
        <patternFill patternType="none">
          <fgColor indexed="64"/>
          <bgColor auto="1"/>
        </patternFill>
      </fill>
      <protection locked="0" hidden="0"/>
    </dxf>
    <dxf>
      <numFmt numFmtId="0" formatCode="General"/>
    </dxf>
    <dxf>
      <numFmt numFmtId="0" formatCode="General"/>
      <fill>
        <patternFill patternType="none">
          <fgColor indexed="64"/>
          <bgColor indexed="65"/>
        </patternFill>
      </fill>
    </dxf>
    <dxf>
      <fill>
        <patternFill patternType="none">
          <fgColor indexed="64"/>
          <bgColor indexed="65"/>
        </patternFill>
      </fill>
    </dxf>
    <dxf>
      <fill>
        <patternFill patternType="none">
          <fgColor indexed="64"/>
          <bgColor indexed="65"/>
        </patternFill>
      </fill>
      <protection locked="0" hidden="0"/>
    </dxf>
    <dxf>
      <fill>
        <patternFill patternType="none">
          <fgColor indexed="64"/>
          <bgColor indexed="65"/>
        </patternFill>
      </fill>
    </dxf>
    <dxf>
      <fill>
        <patternFill patternType="none">
          <fgColor indexed="64"/>
          <bgColor auto="1"/>
        </patternFill>
      </fill>
    </dxf>
    <dxf>
      <border outline="0">
        <top style="thin">
          <color theme="0" tint="-0.24994659260841701"/>
        </top>
      </border>
    </dxf>
    <dxf>
      <fill>
        <patternFill patternType="none">
          <fgColor indexed="64"/>
          <bgColor auto="1"/>
        </patternFill>
      </fill>
    </dxf>
    <dxf>
      <border outline="0">
        <bottom style="thin">
          <color theme="0" tint="-0.24994659260841701"/>
        </bottom>
      </border>
    </dxf>
    <dxf>
      <font>
        <b/>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alignment horizontal="general" vertical="center" textRotation="0" wrapText="1" indent="0" justifyLastLine="0" shrinkToFit="0" readingOrder="0"/>
      <border diagonalUp="0" diagonalDown="0" outline="0">
        <left style="thin">
          <color theme="0" tint="-0.24994659260841701"/>
        </left>
        <right style="thin">
          <color theme="0" tint="-0.24994659260841701"/>
        </right>
        <top/>
        <bottom/>
      </border>
    </dxf>
    <dxf>
      <numFmt numFmtId="0" formatCode="General"/>
    </dxf>
    <dxf>
      <numFmt numFmtId="4" formatCode="#,##0.00"/>
    </dxf>
    <dxf>
      <numFmt numFmtId="4" formatCode="#,##0.00"/>
    </dxf>
    <dxf>
      <numFmt numFmtId="4" formatCode="#,##0.00"/>
    </dxf>
    <dxf>
      <numFmt numFmtId="4" formatCode="#,##0.00"/>
    </dxf>
    <dxf>
      <numFmt numFmtId="167" formatCode="0.0%"/>
    </dxf>
    <dxf>
      <numFmt numFmtId="0" formatCode="General"/>
    </dxf>
    <dxf>
      <numFmt numFmtId="4" formatCode="#,##0.00"/>
    </dxf>
    <dxf>
      <numFmt numFmtId="4" formatCode="#,##0.00"/>
    </dxf>
    <dxf>
      <font>
        <b val="0"/>
        <i val="0"/>
        <strike val="0"/>
        <condense val="0"/>
        <extend val="0"/>
        <outline val="0"/>
        <shadow val="0"/>
        <u val="none"/>
        <vertAlign val="baseline"/>
        <sz val="11"/>
        <color theme="1"/>
        <name val="Calibri"/>
        <family val="2"/>
        <scheme val="minor"/>
      </font>
      <numFmt numFmtId="0" formatCode="General"/>
      <fill>
        <patternFill patternType="solid">
          <fgColor theme="4" tint="0.79998168889431442"/>
          <bgColor theme="4" tint="0.79998168889431442"/>
        </patternFill>
      </fill>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border diagonalUp="0" diagonalDown="0" outline="0">
        <left style="thin">
          <color theme="0" tint="-0.24994659260841701"/>
        </left>
        <right style="thin">
          <color theme="0" tint="-0.24994659260841701"/>
        </right>
        <top/>
        <bottom/>
      </border>
    </dxf>
    <dxf>
      <numFmt numFmtId="0" formatCode="General"/>
    </dxf>
    <dxf>
      <numFmt numFmtId="4" formatCode="#,##0.00"/>
    </dxf>
    <dxf>
      <numFmt numFmtId="4" formatCode="#,##0.00"/>
    </dxf>
    <dxf>
      <numFmt numFmtId="4" formatCode="#,##0.00"/>
    </dxf>
    <dxf>
      <numFmt numFmtId="4" formatCode="#,##0.00"/>
    </dxf>
    <dxf>
      <numFmt numFmtId="167" formatCode="0.0%"/>
    </dxf>
    <dxf>
      <numFmt numFmtId="0" formatCode="General"/>
    </dxf>
    <dxf>
      <numFmt numFmtId="4" formatCode="#,##0.00"/>
    </dxf>
    <dxf>
      <numFmt numFmtId="4" formatCode="#,##0.00"/>
    </dxf>
    <dxf>
      <font>
        <b val="0"/>
        <i val="0"/>
        <strike val="0"/>
        <condense val="0"/>
        <extend val="0"/>
        <outline val="0"/>
        <shadow val="0"/>
        <u val="none"/>
        <vertAlign val="baseline"/>
        <sz val="11"/>
        <color theme="1"/>
        <name val="Calibri"/>
        <family val="2"/>
        <scheme val="minor"/>
      </font>
      <numFmt numFmtId="0" formatCode="General"/>
      <fill>
        <patternFill patternType="solid">
          <fgColor theme="4" tint="0.79998168889431442"/>
          <bgColor theme="4" tint="0.79998168889431442"/>
        </patternFill>
      </fill>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numFmt numFmtId="0" formatCode="General"/>
      <fill>
        <patternFill patternType="none">
          <fgColor indexed="64"/>
          <bgColor auto="1"/>
        </patternFill>
      </fill>
    </dxf>
    <dxf>
      <numFmt numFmtId="4" formatCode="#,##0.00"/>
      <fill>
        <patternFill patternType="none">
          <fgColor indexed="64"/>
          <bgColor auto="1"/>
        </patternFill>
      </fill>
    </dxf>
    <dxf>
      <numFmt numFmtId="4" formatCode="#,##0.00"/>
      <fill>
        <patternFill patternType="none">
          <fgColor indexed="64"/>
          <bgColor auto="1"/>
        </patternFill>
      </fill>
    </dxf>
    <dxf>
      <numFmt numFmtId="4" formatCode="#,##0.00"/>
      <fill>
        <patternFill patternType="none">
          <fgColor indexed="64"/>
          <bgColor auto="1"/>
        </patternFill>
      </fill>
    </dxf>
    <dxf>
      <numFmt numFmtId="4" formatCode="#,##0.00"/>
      <fill>
        <patternFill patternType="none">
          <fgColor indexed="64"/>
          <bgColor auto="1"/>
        </patternFill>
      </fill>
    </dxf>
    <dxf>
      <numFmt numFmtId="167" formatCode="0.0%"/>
      <fill>
        <patternFill patternType="none">
          <fgColor indexed="64"/>
          <bgColor auto="1"/>
        </patternFill>
      </fill>
    </dxf>
    <dxf>
      <fill>
        <patternFill patternType="none">
          <fgColor indexed="64"/>
          <bgColor auto="1"/>
        </patternFill>
      </fill>
    </dxf>
    <dxf>
      <fill>
        <patternFill patternType="none">
          <fgColor indexed="64"/>
          <bgColor auto="1"/>
        </patternFill>
      </fill>
    </dxf>
    <dxf>
      <numFmt numFmtId="4" formatCode="#,##0.00"/>
      <fill>
        <patternFill patternType="none">
          <fgColor indexed="64"/>
          <bgColor auto="1"/>
        </patternFill>
      </fill>
    </dxf>
    <dxf>
      <numFmt numFmtId="4" formatCode="#,##0.00"/>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auto="1"/>
        </patternFill>
      </fill>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ill>
        <patternFill patternType="none">
          <fgColor indexed="64"/>
          <bgColor auto="1"/>
        </patternFill>
      </fill>
    </dxf>
    <dxf>
      <border diagonalUp="0" diagonalDown="0" outline="0">
        <left style="thin">
          <color theme="0" tint="-0.24994659260841701"/>
        </left>
        <right style="thin">
          <color theme="0" tint="-0.24994659260841701"/>
        </right>
        <top/>
        <bottom/>
      </border>
    </dxf>
    <dxf>
      <font>
        <b val="0"/>
        <i val="0"/>
        <strike val="0"/>
        <condense val="0"/>
        <extend val="0"/>
        <outline val="0"/>
        <shadow val="0"/>
        <u val="none"/>
        <vertAlign val="baseline"/>
        <sz val="11"/>
        <color theme="1"/>
        <name val="Calibri"/>
        <family val="2"/>
        <scheme val="minor"/>
      </font>
      <numFmt numFmtId="0" formatCode="General"/>
      <fill>
        <patternFill patternType="solid">
          <fgColor theme="4" tint="0.79998168889431442"/>
          <bgColor theme="4" tint="0.79998168889431442"/>
        </patternFill>
      </fill>
      <border diagonalUp="0" diagonalDown="0">
        <left style="thin">
          <color theme="4" tint="0.39997558519241921"/>
        </left>
        <right/>
        <top style="thin">
          <color theme="4" tint="0.39997558519241921"/>
        </top>
        <bottom/>
        <vertical/>
        <horizontal/>
      </border>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vertical/>
        <horizontal/>
      </border>
    </dxf>
    <dxf>
      <border outline="0">
        <left style="thin">
          <color theme="4" tint="0.39997558519241921"/>
        </left>
        <top style="thin">
          <color theme="4" tint="0.39997558519241921"/>
        </top>
        <bottom style="thin">
          <color theme="4" tint="0.39997558519241921"/>
        </bottom>
      </border>
    </dxf>
    <dxf>
      <font>
        <b/>
        <i val="0"/>
        <strike val="0"/>
        <condense val="0"/>
        <extend val="0"/>
        <outline val="0"/>
        <shadow val="0"/>
        <u val="none"/>
        <vertAlign val="baseline"/>
        <sz val="11"/>
        <color theme="0"/>
        <name val="Calibri"/>
        <family val="2"/>
        <scheme val="minor"/>
      </font>
      <fill>
        <patternFill patternType="solid">
          <fgColor theme="4"/>
          <bgColor theme="4"/>
        </patternFill>
      </fill>
    </dxf>
    <dxf>
      <protection locked="1" hidden="0"/>
    </dxf>
    <dxf>
      <protection locked="1" hidden="0"/>
    </dxf>
    <dxf>
      <font>
        <b val="0"/>
        <i val="0"/>
        <strike val="0"/>
        <condense val="0"/>
        <extend val="0"/>
        <outline val="0"/>
        <shadow val="0"/>
        <u val="none"/>
        <vertAlign val="baseline"/>
        <sz val="11"/>
        <color theme="1"/>
        <name val="Calibri"/>
        <family val="2"/>
        <scheme val="minor"/>
      </font>
      <protection locked="1" hidden="0"/>
    </dxf>
    <dxf>
      <protection locked="1" hidden="0"/>
    </dxf>
    <dxf>
      <font>
        <b val="0"/>
        <i val="0"/>
        <strike val="0"/>
        <condense val="0"/>
        <extend val="0"/>
        <outline val="0"/>
        <shadow val="0"/>
        <u val="none"/>
        <vertAlign val="baseline"/>
        <sz val="11"/>
        <color theme="1"/>
        <name val="Calibri"/>
        <family val="2"/>
        <scheme val="minor"/>
      </font>
      <numFmt numFmtId="4" formatCode="#,##0.00"/>
      <protection locked="1" hidden="0"/>
    </dxf>
    <dxf>
      <font>
        <b val="0"/>
        <i val="0"/>
        <strike val="0"/>
        <condense val="0"/>
        <extend val="0"/>
        <outline val="0"/>
        <shadow val="0"/>
        <u val="none"/>
        <vertAlign val="baseline"/>
        <sz val="11"/>
        <color theme="1"/>
        <name val="Calibri"/>
        <family val="2"/>
        <scheme val="minor"/>
      </font>
      <numFmt numFmtId="4" formatCode="#,##0.00"/>
      <protection locked="1" hidden="0"/>
    </dxf>
    <dxf>
      <font>
        <b val="0"/>
        <i val="0"/>
        <strike val="0"/>
        <condense val="0"/>
        <extend val="0"/>
        <outline val="0"/>
        <shadow val="0"/>
        <u val="none"/>
        <vertAlign val="baseline"/>
        <sz val="11"/>
        <color theme="1"/>
        <name val="Calibri"/>
        <family val="2"/>
        <scheme val="minor"/>
      </font>
      <protection locked="1" hidden="0"/>
    </dxf>
    <dxf>
      <font>
        <b val="0"/>
        <i val="0"/>
        <strike val="0"/>
        <condense val="0"/>
        <extend val="0"/>
        <outline val="0"/>
        <shadow val="0"/>
        <u val="none"/>
        <vertAlign val="baseline"/>
        <sz val="11"/>
        <color theme="1"/>
        <name val="Calibri"/>
        <family val="2"/>
        <scheme val="minor"/>
      </font>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protection locked="1" hidden="0"/>
    </dxf>
    <dxf>
      <font>
        <b val="0"/>
        <i val="0"/>
        <strike val="0"/>
        <condense val="0"/>
        <extend val="0"/>
        <outline val="0"/>
        <shadow val="0"/>
        <u val="none"/>
        <vertAlign val="baseline"/>
        <sz val="11"/>
        <color theme="1"/>
        <name val="Calibri"/>
        <family val="2"/>
        <scheme val="minor"/>
      </font>
      <numFmt numFmtId="30" formatCode="@"/>
      <protection locked="1" hidden="0"/>
    </dxf>
    <dxf>
      <protection locked="1" hidden="0"/>
    </dxf>
    <dxf>
      <font>
        <b val="0"/>
        <i val="0"/>
        <strike val="0"/>
        <condense val="0"/>
        <extend val="0"/>
        <outline val="0"/>
        <shadow val="0"/>
        <u val="none"/>
        <vertAlign val="baseline"/>
        <sz val="11"/>
        <color theme="1"/>
        <name val="Calibri"/>
        <family val="2"/>
        <scheme val="minor"/>
      </font>
      <protection locked="1" hidden="1"/>
    </dxf>
    <dxf>
      <numFmt numFmtId="0" formatCode="General"/>
      <protection locked="1" hidden="0"/>
    </dxf>
    <dxf>
      <numFmt numFmtId="0" formatCode="General"/>
      <protection locked="1" hidden="0"/>
    </dxf>
    <dxf>
      <numFmt numFmtId="0" formatCode="General"/>
      <protection locked="1" hidden="0"/>
    </dxf>
    <dxf>
      <numFmt numFmtId="0" formatCode="General"/>
      <protection locked="1" hidden="0"/>
    </dxf>
    <dxf>
      <numFmt numFmtId="0" formatCode="General"/>
      <protection locked="1" hidden="0"/>
    </dxf>
    <dxf>
      <numFmt numFmtId="0" formatCode="General"/>
      <protection locked="1" hidden="0"/>
    </dxf>
    <dxf>
      <numFmt numFmtId="0" formatCode="General"/>
      <protection locked="1" hidden="0"/>
    </dxf>
    <dxf>
      <numFmt numFmtId="0" formatCode="General"/>
      <protection locked="1" hidden="0"/>
    </dxf>
    <dxf>
      <numFmt numFmtId="0" formatCode="General"/>
      <protection locked="1" hidden="0"/>
    </dxf>
    <dxf>
      <numFmt numFmtId="0" formatCode="General"/>
      <protection locked="1" hidden="0"/>
    </dxf>
    <dxf>
      <numFmt numFmtId="0" formatCode="General"/>
      <protection locked="1" hidden="0"/>
    </dxf>
    <dxf>
      <protection locked="1" hidden="0"/>
    </dxf>
    <dxf>
      <protection locked="1" hidden="0"/>
    </dxf>
    <dxf>
      <protection locked="1" hidden="0"/>
    </dxf>
    <dxf>
      <protection locked="1" hidden="0"/>
    </dxf>
    <dxf>
      <numFmt numFmtId="0" formatCode="General"/>
      <protection locked="1" hidden="0"/>
    </dxf>
    <dxf>
      <numFmt numFmtId="0" formatCode="General"/>
      <protection locked="1" hidden="0"/>
    </dxf>
    <dxf>
      <numFmt numFmtId="13" formatCode="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numFmt numFmtId="0" formatCode="General"/>
      <protection locked="1" hidden="0"/>
    </dxf>
    <dxf>
      <protection locked="1" hidden="0"/>
    </dxf>
    <dxf>
      <numFmt numFmtId="13" formatCode="0%"/>
      <protection locked="1" hidden="0"/>
    </dxf>
    <dxf>
      <protection locked="1" hidden="0"/>
    </dxf>
    <dxf>
      <protection locked="1" hidden="0"/>
    </dxf>
    <dxf>
      <protection locked="1" hidden="0"/>
    </dxf>
    <dxf>
      <alignment horizontal="general" vertical="bottom" textRotation="0" wrapText="1" indent="0" justifyLastLine="0" shrinkToFit="0" readingOrder="0"/>
    </dxf>
  </dxfs>
  <tableStyles count="0" defaultTableStyle="TableStyleMedium2" defaultPivotStyle="PivotStyleLight16"/>
  <colors>
    <mruColors>
      <color rgb="FF154273"/>
      <color rgb="FFD52B00"/>
      <color rgb="FFF0F0F0"/>
      <color rgb="FFE1CCF0"/>
      <color rgb="FFA568D2"/>
      <color rgb="FF672C94"/>
      <color rgb="FF9751CB"/>
      <color rgb="FFEADCF4"/>
      <color rgb="FFFDF6BC"/>
      <color rgb="FFF56F6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g"/></Relationships>
</file>

<file path=xl/drawings/_rels/drawing7.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4</xdr:col>
      <xdr:colOff>247650</xdr:colOff>
      <xdr:row>0</xdr:row>
      <xdr:rowOff>0</xdr:rowOff>
    </xdr:from>
    <xdr:to>
      <xdr:col>16</xdr:col>
      <xdr:colOff>492125</xdr:colOff>
      <xdr:row>0</xdr:row>
      <xdr:rowOff>1169670</xdr:rowOff>
    </xdr:to>
    <xdr:pic>
      <xdr:nvPicPr>
        <xdr:cNvPr id="3" name="Afbeelding 2" descr="logo rijksdienst voor ondernemend nederland">
          <a:extLst>
            <a:ext uri="{FF2B5EF4-FFF2-40B4-BE49-F238E27FC236}">
              <a16:creationId xmlns:a16="http://schemas.microsoft.com/office/drawing/2014/main" id="{7C1A1649-5005-1C9A-3AD6-93C45C9822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86050" y="0"/>
          <a:ext cx="7559675" cy="116967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9524</xdr:colOff>
      <xdr:row>0</xdr:row>
      <xdr:rowOff>184466</xdr:rowOff>
    </xdr:from>
    <xdr:to>
      <xdr:col>1</xdr:col>
      <xdr:colOff>1006475</xdr:colOff>
      <xdr:row>5</xdr:row>
      <xdr:rowOff>12156</xdr:rowOff>
    </xdr:to>
    <xdr:pic>
      <xdr:nvPicPr>
        <xdr:cNvPr id="3" name="Afbeelding 2" descr="logo GLB">
          <a:extLst>
            <a:ext uri="{FF2B5EF4-FFF2-40B4-BE49-F238E27FC236}">
              <a16:creationId xmlns:a16="http://schemas.microsoft.com/office/drawing/2014/main" id="{D4417275-AC2E-BAEE-A6AA-17578EE097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4" y="184466"/>
          <a:ext cx="990601" cy="9507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9524</xdr:colOff>
      <xdr:row>0</xdr:row>
      <xdr:rowOff>184466</xdr:rowOff>
    </xdr:from>
    <xdr:to>
      <xdr:col>1</xdr:col>
      <xdr:colOff>1010285</xdr:colOff>
      <xdr:row>6</xdr:row>
      <xdr:rowOff>2631</xdr:rowOff>
    </xdr:to>
    <xdr:pic>
      <xdr:nvPicPr>
        <xdr:cNvPr id="2" name="Afbeelding 1" descr="logo GLB">
          <a:extLst>
            <a:ext uri="{FF2B5EF4-FFF2-40B4-BE49-F238E27FC236}">
              <a16:creationId xmlns:a16="http://schemas.microsoft.com/office/drawing/2014/main" id="{CD1A6CB9-EE4A-48C7-8F96-075106471CE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4" y="184466"/>
          <a:ext cx="996951" cy="94846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9524</xdr:colOff>
      <xdr:row>0</xdr:row>
      <xdr:rowOff>184466</xdr:rowOff>
    </xdr:from>
    <xdr:to>
      <xdr:col>1</xdr:col>
      <xdr:colOff>1006475</xdr:colOff>
      <xdr:row>5</xdr:row>
      <xdr:rowOff>12156</xdr:rowOff>
    </xdr:to>
    <xdr:pic>
      <xdr:nvPicPr>
        <xdr:cNvPr id="2" name="Afbeelding 1" descr="logo GLB">
          <a:extLst>
            <a:ext uri="{FF2B5EF4-FFF2-40B4-BE49-F238E27FC236}">
              <a16:creationId xmlns:a16="http://schemas.microsoft.com/office/drawing/2014/main" id="{A40A4CFE-9763-4E93-B09A-70E37FCD3E6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4" y="184466"/>
          <a:ext cx="996951" cy="94846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571500</xdr:colOff>
      <xdr:row>0</xdr:row>
      <xdr:rowOff>0</xdr:rowOff>
    </xdr:from>
    <xdr:to>
      <xdr:col>16</xdr:col>
      <xdr:colOff>206375</xdr:colOff>
      <xdr:row>0</xdr:row>
      <xdr:rowOff>1169670</xdr:rowOff>
    </xdr:to>
    <xdr:pic>
      <xdr:nvPicPr>
        <xdr:cNvPr id="2" name="Afbeelding 1" descr="logo rijksdienst voor ondernemend nederland">
          <a:extLst>
            <a:ext uri="{FF2B5EF4-FFF2-40B4-BE49-F238E27FC236}">
              <a16:creationId xmlns:a16="http://schemas.microsoft.com/office/drawing/2014/main" id="{8BB96D66-AE58-3270-34E6-C129A84116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00300" y="0"/>
          <a:ext cx="7559675" cy="116967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9524</xdr:colOff>
      <xdr:row>0</xdr:row>
      <xdr:rowOff>184466</xdr:rowOff>
    </xdr:from>
    <xdr:to>
      <xdr:col>1</xdr:col>
      <xdr:colOff>1006475</xdr:colOff>
      <xdr:row>5</xdr:row>
      <xdr:rowOff>15193</xdr:rowOff>
    </xdr:to>
    <xdr:pic>
      <xdr:nvPicPr>
        <xdr:cNvPr id="2" name="Afbeelding 1" descr="logo GLB">
          <a:extLst>
            <a:ext uri="{FF2B5EF4-FFF2-40B4-BE49-F238E27FC236}">
              <a16:creationId xmlns:a16="http://schemas.microsoft.com/office/drawing/2014/main" id="{FE6B4F9D-21D4-4C0C-9AC1-BDD2AE6060A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4" y="184466"/>
          <a:ext cx="996951" cy="94846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9524</xdr:colOff>
      <xdr:row>0</xdr:row>
      <xdr:rowOff>184466</xdr:rowOff>
    </xdr:from>
    <xdr:to>
      <xdr:col>1</xdr:col>
      <xdr:colOff>1006475</xdr:colOff>
      <xdr:row>7</xdr:row>
      <xdr:rowOff>132806</xdr:rowOff>
    </xdr:to>
    <xdr:pic>
      <xdr:nvPicPr>
        <xdr:cNvPr id="2" name="Afbeelding 1" descr="logo GLB">
          <a:extLst>
            <a:ext uri="{FF2B5EF4-FFF2-40B4-BE49-F238E27FC236}">
              <a16:creationId xmlns:a16="http://schemas.microsoft.com/office/drawing/2014/main" id="{F2C13E0C-EFF0-4342-B691-6490C5A302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4" y="184466"/>
          <a:ext cx="996951" cy="94846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F4348AA-A0A3-4D9A-BE39-AFE541879D88}" name="Tb_Activiteiten" displayName="Tb_Activiteiten" ref="M3:BA1500" totalsRowShown="0" headerRowDxfId="283" dataDxfId="282">
  <tableColumns count="41">
    <tableColumn id="1" xr3:uid="{4FC831A0-ABC4-4093-8E9C-A71F8D55B386}" name="Openstelling" dataDxfId="281"/>
    <tableColumn id="2" xr3:uid="{BDBE6677-4833-4E06-89E1-54F800393059}" name="Subsidiabele_Activiteit" dataDxfId="280"/>
    <tableColumn id="3" xr3:uid="{D60E7305-BF27-4BE4-A457-8377F9E7334E}" name="Subsidie %" dataDxfId="279"/>
    <tableColumn id="4" xr3:uid="{BB1F079C-CEFB-44F2-9B23-B3722450CB0C}" name="Arbeidskosten" dataDxfId="278"/>
    <tableColumn id="5" xr3:uid="{4E5D2361-4170-484A-AB0A-1C417A1CDBCE}" name="Arbeidskosten op basis van IKS" dataDxfId="277">
      <calculatedColumnFormula>IFERROR(IF(VLOOKUP(Tb_Activiteiten[[#This Row],[Openstelling]],Tb_Openstelling[],2,0)=1,1,""),"")</calculatedColumnFormula>
    </tableColumn>
    <tableColumn id="7" xr3:uid="{C4BA27ED-9766-4959-9960-34056A7708BE}" name="Kosten derden exclusief btw" dataDxfId="276"/>
    <tableColumn id="8" xr3:uid="{8D158D05-3FCF-4F9B-B2D8-1C8B3FCDE2F0}" name="Niet verrekenbare btw" dataDxfId="275"/>
    <tableColumn id="9" xr3:uid="{8D50B413-5AB1-4381-9F2F-FA0D621956D8}" name="Grondkosten" dataDxfId="274"/>
    <tableColumn id="10" xr3:uid="{7934201B-23C4-435B-8349-45D7F5EA4D8E}" name="Bijdrage in natura (overige)" dataDxfId="273"/>
    <tableColumn id="11" xr3:uid="{3EDF8E13-89B0-4EFC-93D0-E7666B0ACEE1}" name="Bijdrage in natura (vrijwilligers)" dataDxfId="272"/>
    <tableColumn id="12" xr3:uid="{0A610226-E32D-4A16-A0F0-7F23060C9396}" name="Afschrijvingskosten" dataDxfId="271"/>
    <tableColumn id="27" xr3:uid="{25C7D022-B4C8-4DCA-A630-820993770347}" name="Vergoeding"/>
    <tableColumn id="28" xr3:uid="{61DC78B2-DBBB-45C9-AD4B-81F49D574695}" name="Arbeidskosten - vast tarief (excl eigen arbeid)"/>
    <tableColumn id="36" xr3:uid="{89F0DC34-1D2D-4FF0-85B8-4733F84D05F9}" name="Overige kosten"/>
    <tableColumn id="6" xr3:uid="{70EE89BD-0AF1-4A42-8325-3176EF4D038E}" name="Loonkosten" dataDxfId="270"/>
    <tableColumn id="19" xr3:uid="{9F2B0ED0-76CB-4909-836D-8E7CA405FAB0}" name="Eigen arbeid" dataDxfId="269"/>
    <tableColumn id="13" xr3:uid="{0122FD0D-30E5-4169-AFDD-9262DB6B79B1}" name="Projectmedewerker" dataDxfId="268"/>
    <tableColumn id="14" xr3:uid="{6E776D66-8E46-4B55-9352-1B0F40F0592C}" name="Landbouwer" dataDxfId="267"/>
    <tableColumn id="15" xr3:uid="{03E8DC6E-292D-40C6-8338-05487E147D78}" name="Adviseur" dataDxfId="266"/>
    <tableColumn id="16" xr3:uid="{3C7B3D03-AAC3-4426-8C15-10B06EFBEEC3}" name="Projectleider/Expert" dataDxfId="265"/>
    <tableColumn id="41" xr3:uid="{4633146D-1792-4FB1-A802-BCC0001FACE4}" name="SIG"/>
    <tableColumn id="38" xr3:uid="{05A8DFA3-3BD8-446E-A73A-558908B19BD3}" name="Investering"/>
    <tableColumn id="39" xr3:uid="{9C6E3067-4721-4B2E-8CAA-5D4783548ED4}" name="Onderhoud"/>
    <tableColumn id="40" xr3:uid="{73BA42F8-6B8B-405B-B311-4F09CCD4C95F}" name="Samenwerking" dataDxfId="264"/>
    <tableColumn id="26" xr3:uid="{5C890250-EA1C-47AD-AD57-4A9F7670499E}" name="Arbeid_vast_1" dataDxfId="263">
      <calculatedColumnFormula>IF(ISNUMBER(FIND("arbeid",Methode_Keuze)),"",IF(ISNUMBER(FIND("arbeid",Methode_Keuze)),"",IF(Tb_Activiteiten[[#This Row],[Loonkosten]]=1,Tb_Activiteiten[[#Headers],[Loonkosten]],"")))</calculatedColumnFormula>
    </tableColumn>
    <tableColumn id="30" xr3:uid="{6483900E-1D8A-48BA-BC8D-E3487D3D1070}" name="Arbeid_vast_2" dataDxfId="262">
      <calculatedColumnFormula>IF(ISNUMBER(FIND("arbeid",Methode_Keuze)),"",IF(ISNUMBER(FIND("arbeid",Methode_Keuze)),"",IF(Tb_Activiteiten[[#This Row],[Eigen arbeid]]=1,Tb_Activiteiten[[#Headers],[Eigen arbeid]],"")))</calculatedColumnFormula>
    </tableColumn>
    <tableColumn id="31" xr3:uid="{E0A686B7-B0E7-4EDF-A713-AB592B0E3FE6}" name="Arbeid_vast_3" dataDxfId="261">
      <calculatedColumnFormula>IF(ISNUMBER(FIND("arbeid",Methode_Keuze)),"",IF(ISNUMBER(FIND("arbeid",Methode_Keuze)),"",IF(Tb_Activiteiten[[#This Row],[Projectmedewerker]]=1,Tb_Activiteiten[[#Headers],[Projectmedewerker]],"")))</calculatedColumnFormula>
    </tableColumn>
    <tableColumn id="32" xr3:uid="{97D40FCA-6D52-40C5-B054-E14DB64A3B79}" name="Arbeid_vast_4" dataDxfId="260">
      <calculatedColumnFormula>IF(ISNUMBER(FIND("arbeid",Methode_Keuze)),"",IF(ISNUMBER(FIND("arbeid",Methode_Keuze)),"",IF(Tb_Activiteiten[[#This Row],[Landbouwer]]=1,Tb_Activiteiten[[#Headers],[Landbouwer]],"")))</calculatedColumnFormula>
    </tableColumn>
    <tableColumn id="33" xr3:uid="{52CFD47C-6AB1-44C5-88C8-E82BCF9E637D}" name="Arbeid_vast_5" dataDxfId="259">
      <calculatedColumnFormula>IF(ISNUMBER(FIND("arbeid",Methode_Keuze)),"",IF(ISNUMBER(FIND("arbeid",Methode_Keuze)),"",IF(Tb_Activiteiten[[#This Row],[Adviseur]]=1,Tb_Activiteiten[[#Headers],[Adviseur]],"")))</calculatedColumnFormula>
    </tableColumn>
    <tableColumn id="34" xr3:uid="{18E42BD0-5AED-43E3-8C86-DF7E66CC2FD8}" name="Arbeid_vast_6" dataDxfId="258">
      <calculatedColumnFormula>IF(ISNUMBER(FIND("arbeid",Methode_Keuze)),"",IF(ISNUMBER(FIND("arbeid",Methode_Keuze)),"",IF(Tb_Activiteiten[[#This Row],[Projectleider/Expert]]=1,Tb_Activiteiten[[#Headers],[Projectleider/Expert]],"")))</calculatedColumnFormula>
    </tableColumn>
    <tableColumn id="17" xr3:uid="{D432D9DF-6452-4E0E-9177-8EA4654036F4}" name="Kostenpost_1" dataDxfId="257">
      <calculatedColumnFormula>IF(ISNUMBER(FIND("arbeid",Methode_Keuze)),"",IF(ISNUMBER(FIND("arbeid",Methode_Keuze)),"",IF(Tb_Activiteiten[[#This Row],[Arbeidskosten]]=1,Tb_Activiteiten[[#Headers],[Arbeidskosten]],"")))</calculatedColumnFormula>
    </tableColumn>
    <tableColumn id="18" xr3:uid="{6F749074-14BB-4C6C-AE7E-D82A484F1F90}" name="Kostenpost_2" dataDxfId="256">
      <calculatedColumnFormula>IF(ISNUMBER(FIND("arbeid",Methode_Keuze)),"",IF(ISNUMBER(FIND("arbeid",Methode_Keuze)),"",IF(Tb_Activiteiten[[#This Row],[Arbeidskosten op basis van IKS]]=1,Tb_Activiteiten[[#Headers],[Arbeidskosten op basis van IKS]],"")))</calculatedColumnFormula>
    </tableColumn>
    <tableColumn id="20" xr3:uid="{6B9584AB-77C1-4936-876C-72199794F818}" name="Kostenpost_3" dataDxfId="255">
      <calculatedColumnFormula>IF(ISNUMBER(FIND("overige",Methode_Keuze)),"",IF(Tb_Activiteiten[[#This Row],[Kosten derden exclusief btw]]=1,Tb_Activiteiten[[#Headers],[Kosten derden exclusief btw]],""))</calculatedColumnFormula>
    </tableColumn>
    <tableColumn id="21" xr3:uid="{8B07933A-1C0A-47B4-B916-FD37AE076A3E}" name="Kostenpost_4" dataDxfId="254">
      <calculatedColumnFormula>IF(ISNUMBER(FIND("overige",Methode_Keuze)),"",IF(Tb_Activiteiten[[#This Row],[Niet verrekenbare btw]]=1,Tb_Activiteiten[[#Headers],[Niet verrekenbare btw]],""))</calculatedColumnFormula>
    </tableColumn>
    <tableColumn id="22" xr3:uid="{953530BF-C585-407A-A08A-0595C56CD8D2}" name="Kostenpost_5" dataDxfId="253">
      <calculatedColumnFormula>IF(ISNUMBER(FIND("overige",Methode_Keuze)),"",IF(Tb_Activiteiten[[#This Row],[Grondkosten]]=1,Tb_Activiteiten[[#Headers],[Grondkosten]],""))</calculatedColumnFormula>
    </tableColumn>
    <tableColumn id="23" xr3:uid="{13362067-6257-4FBC-922F-37044919E2E1}" name="Kostenpost_6" dataDxfId="252">
      <calculatedColumnFormula>IF(ISNUMBER(FIND("overige",Methode_Keuze)),"",IF(Tb_Activiteiten[[#This Row],[Bijdrage in natura (overige)]]=1,Tb_Activiteiten[[#Headers],[Bijdrage in natura (overige)]],""))</calculatedColumnFormula>
    </tableColumn>
    <tableColumn id="24" xr3:uid="{4F768848-2060-48E2-98C0-E1F003FF9210}" name="Kostenpost_7" dataDxfId="251">
      <calculatedColumnFormula>IF(ISNUMBER(FIND("overige",Methode_Keuze)),"",IF(Tb_Activiteiten[[#This Row],[Bijdrage in natura (vrijwilligers)]]=1,Tb_Activiteiten[[#Headers],[Bijdrage in natura (vrijwilligers)]],""))</calculatedColumnFormula>
    </tableColumn>
    <tableColumn id="25" xr3:uid="{A0AECE51-78F9-44C9-8291-D624ABD80D61}" name="Kostenpost_8" dataDxfId="250">
      <calculatedColumnFormula>IF(ISNUMBER(FIND("overige",Methode_Keuze)),"",IF(Tb_Activiteiten[[#This Row],[Afschrijvingskosten]]=1,Tb_Activiteiten[[#Headers],[Afschrijvingskosten]],""))</calculatedColumnFormula>
    </tableColumn>
    <tableColumn id="29" xr3:uid="{5CBCFCE4-EA94-43CB-951F-A3E72228D20C}" name="Kostenpost_9" dataDxfId="249">
      <calculatedColumnFormula>IF(ISNUMBER(FIND("overige",Methode_Keuze)),"",IF(Tb_Activiteiten[[#This Row],[Vergoeding]]=1,Tb_Activiteiten[[#Headers],[Vergoeding]],""))</calculatedColumnFormula>
    </tableColumn>
    <tableColumn id="35" xr3:uid="{0B4CFC09-8D8E-4FEB-A061-1E51BA6F2A84}" name="Kostenpost_10" dataDxfId="248">
      <calculatedColumnFormula>IF(ISNUMBER(FIND("arbeid",Methode_Keuze)),"",IF(Tb_Activiteiten[[#This Row],[Arbeidskosten - vast tarief (excl eigen arbeid)]]=1,Tb_Activiteiten[[#Headers],[Arbeidskosten - vast tarief (excl eigen arbeid)]],""))</calculatedColumnFormula>
    </tableColumn>
    <tableColumn id="37" xr3:uid="{260B24E7-B2AB-42FC-957D-445B99520031}" name="Kostenpost_11" dataDxfId="247">
      <calculatedColumnFormula>IF(ISNUMBER(FIND("overige",Methode_Keuze)),"",IF(Tb_Activiteiten[[#This Row],[Overige kosten]]=1,Tb_Activiteiten[[#Headers],[Overige kosten]],""))</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4CFE463-5218-4C38-BAA0-1E65B8529723}" name="Tb_Openstelling" displayName="Tb_Openstelling" ref="A3:K1000" totalsRowShown="0" headerRowDxfId="246" dataDxfId="245">
  <tableColumns count="11">
    <tableColumn id="1" xr3:uid="{0EFE5CAE-C14D-4238-A738-2AF316F00AAE}" name="Openstelling" dataDxfId="244"/>
    <tableColumn id="4" xr3:uid="{2A9284CB-EA54-4B09-9759-A8D936C0D919}" name="IKS" dataDxfId="243"/>
    <tableColumn id="3" xr3:uid="{7C9AE659-EEC3-4F87-9C69-65D59EF511CB}" name="Geen VKO" dataDxfId="242"/>
    <tableColumn id="5" xr3:uid="{4CC9DDF8-27D3-4A3A-AF90-241FEF59ADCC}" name="VKO arbeid" dataDxfId="241"/>
    <tableColumn id="2" xr3:uid="{4ACFCDD5-915F-40F6-9F0D-B67183D5EEAC}" name="VKO overig" dataDxfId="240"/>
    <tableColumn id="6" xr3:uid="{91FF20B6-E557-4417-96A7-30276C2051CA}" name="Min. subsidiebedrag" dataDxfId="239"/>
    <tableColumn id="7" xr3:uid="{46D88572-AA49-42C5-BCBC-066712762F2E}" name="Max. subsidiebedrag" dataDxfId="238"/>
    <tableColumn id="8" xr3:uid="{EB9C89C4-CA01-46A5-B6F9-BF0FD7ACF3BB}" name="Grond_%" dataDxfId="237" dataCellStyle="Procent"/>
    <tableColumn id="11" xr3:uid="{02A7B4AB-1954-431B-AA93-4BD23E763CA9}" name="SIG_%" dataDxfId="236" dataCellStyle="Procent"/>
    <tableColumn id="9" xr3:uid="{C0FC3C2F-F644-4DFA-8894-B273C299674F}" name="Onderhoud_%" dataDxfId="235"/>
    <tableColumn id="10" xr3:uid="{96207932-C83E-4744-8FE5-615A96564C31}" name="Samenwerking_%" dataDxfId="23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C637C9B8-7ABD-421F-95A2-2CFC35DD688D}" name="Tb_Kosten_Openstelling" displayName="Tb_Kosten_Openstelling" ref="A1:C12" totalsRowShown="0" headerRowDxfId="233" tableBorderDxfId="232">
  <autoFilter ref="A1:C12" xr:uid="{C637C9B8-7ABD-421F-95A2-2CFC35DD688D}"/>
  <tableColumns count="3">
    <tableColumn id="1" xr3:uid="{841E876E-EFEB-46AC-8BBF-07EE6063846B}" name="Volgorde" dataDxfId="231"/>
    <tableColumn id="2" xr3:uid="{6076EA89-38F6-45BF-8DFF-262A429EBD8C}" name="Kostenpost_Openstelling" dataDxfId="230"/>
    <tableColumn id="3" xr3:uid="{F15970C4-E00D-4961-BAC1-35C4C5D9B960}" name="Aantal" dataDxfId="229">
      <calculatedColumnFormula>COUNTIFS(INDEX(Tb_Activiteiten[#All],0,MATCH($B2,Tb_Activiteiten[#Headers],0)),"&gt;0",Tb_Activiteiten[[#All],[Openstelling]],Openstelling_Keuze)</calculatedColumnFormula>
    </tableColum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5E7A5AA-2D58-4A28-813A-5E172B3CF023}" name="Tb_KostenOpties" displayName="Tb_KostenOpties" ref="AD1:AG12" totalsRowShown="0" headerRowDxfId="228">
  <autoFilter ref="AD1:AG12" xr:uid="{15E7A5AA-2D58-4A28-813A-5E172B3CF023}"/>
  <tableColumns count="4">
    <tableColumn id="1" xr3:uid="{40B4EBEF-EFC8-468B-A13E-50549FA0784E}" name="KostenOptie"/>
    <tableColumn id="2" xr3:uid="{490C2A6A-EC45-4FEB-9241-848A2CB21D1D}" name="Geen vereenvoudigde kostenoptie"/>
    <tableColumn id="3" xr3:uid="{144B3777-A83F-4405-A6A0-B239A0A0E937}" name="Vereenvoudigde kostenoptie voor arbeidskosten"/>
    <tableColumn id="4" xr3:uid="{32C4E251-5282-4749-BD98-EAC0961CCE3C}" name="Vereenvoudigde kostenoptie voor overige kosten"/>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F51824B-5CF6-4DC2-ACB3-A4E9E7784C57}" name="Tb_ProjectKosten" displayName="Tb_ProjectKosten" ref="AD14:AN25" totalsRowShown="0" dataDxfId="227">
  <autoFilter ref="AD14:AN25" xr:uid="{9F51824B-5CF6-4DC2-ACB3-A4E9E7784C57}"/>
  <tableColumns count="11">
    <tableColumn id="1" xr3:uid="{2F3F9470-2B8B-4036-A5A4-5BC84E4B8DD7}" name="KostenOmschrijving" dataDxfId="226">
      <calculatedColumnFormula>$AD2</calculatedColumnFormula>
    </tableColumn>
    <tableColumn id="2" xr3:uid="{831F417A-6FA9-4C96-936A-EEA85C0817C5}" name="Kosten_Aanvraag" dataDxfId="225">
      <calculatedColumnFormula>IF(Tb_ProjectKosten[[#This Row],[Forfait]]=1,SUMIF('5. Kosten uitvoering project'!$F$6:$F$250,Tb_ProjectKosten[[#This Row],[KostenOmschrijving]],'5. Kosten uitvoering project'!$R$6:$R$250),0)</calculatedColumnFormula>
    </tableColumn>
    <tableColumn id="3" xr3:uid="{2413EB25-78C9-4693-A125-D24C78342978}" name="Kosten_Beoordeeld" dataDxfId="224">
      <calculatedColumnFormula>IF(Tb_ProjectKosten[[#This Row],[Forfait]]=1,SUMIF('5. Kosten uitvoering project'!$F$6:$F$250,Tb_ProjectKosten[[#This Row],[KostenOmschrijving]],'5. Kosten uitvoering project'!$S$6:$S$250),0)</calculatedColumnFormula>
    </tableColumn>
    <tableColumn id="5" xr3:uid="{B74AA044-DF8E-43C7-B1EB-4B1B316CE322}" name="Begroting" dataDxfId="223">
      <calculatedColumnFormula>Tb_ProjectKosten[[#This Row],[KostenOmschrijving]]</calculatedColumnFormula>
    </tableColumn>
    <tableColumn id="6" xr3:uid="{E9126FDC-4B0A-4906-AC5D-2525153657E8}" name="Forfait" dataDxfId="222">
      <calculatedColumnFormula array="1">INDEX(Tb_KostenOpties[],MATCH(Tb_ProjectKosten[[#This Row],[KostenOmschrijving]],Tb_KostenOpties[KostenOptie],0),IFERROR(MATCH(Methode_Keuze,Tb_KostenOpties[#Headers],0),2))</calculatedColumnFormula>
    </tableColumn>
    <tableColumn id="9" xr3:uid="{397BDF3E-55FA-4B4E-A173-FFF1C0E8E9C8}" name="Forfait_Percentage" dataDxfId="221"/>
    <tableColumn id="10" xr3:uid="{EF1806D2-502D-4F0C-8415-13A0647D4049}" name="Forfait_Bedrag" dataDxfId="220">
      <calculatedColumnFormula>SUMIF('5. Kosten uitvoering project'!$F:$F,Tb_ProjectKosten[[#This Row],[Begroting]],'5. Kosten uitvoering project'!U:U)</calculatedColumnFormula>
    </tableColumn>
    <tableColumn id="8" xr3:uid="{6E1F7D31-D5FE-455E-B3A2-D9AA7039DCB8}" name="Forfait_Bedrag_Beoordeeld" dataDxfId="219">
      <calculatedColumnFormula>SUMIF('5. Kosten uitvoering project'!$F:$F,Tb_ProjectKosten[[#This Row],[Begroting]],'5. Kosten uitvoering project'!V:V)</calculatedColumnFormula>
    </tableColumn>
    <tableColumn id="11" xr3:uid="{4FD57502-7656-4D88-90B3-AC7B38448B8E}" name="Kosten_Aanvraag_Inclusief" dataDxfId="218">
      <calculatedColumnFormula>Tb_ProjectKosten[[#This Row],[Kosten_Aanvraag]]+Tb_ProjectKosten[[#This Row],[Forfait_Bedrag]]</calculatedColumnFormula>
    </tableColumn>
    <tableColumn id="4" xr3:uid="{20D42C4B-A6CC-4A88-BC68-75A67967BF46}" name="Kosten_Beoordeeld_Inclusief" dataDxfId="217">
      <calculatedColumnFormula>Tb_ProjectKosten[[#This Row],[Kosten_Beoordeeld]]+Tb_ProjectKosten[[#This Row],[Forfait_Bedrag_Beoordeeld]]</calculatedColumnFormula>
    </tableColumn>
    <tableColumn id="7" xr3:uid="{4F40C8E3-D9D5-4BE4-A0DE-0B6F48A357C4}" name="Opmerking" dataDxfId="216">
      <calculatedColumnFormula>IF(Tb_ProjectKosten[[#This Row],[Forfait]]=0,"Dit kostentype hoeft u niet op te geven. Hiervoor wordt een forfait berekend.","")</calculatedColumnFormula>
    </tableColum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752DFD1-6C25-4AF8-8AEF-8C12E52E4181}" name="Tb_DBKosten" displayName="Tb_DBKosten" ref="AD27:AN38" totalsRowShown="0">
  <autoFilter ref="AD27:AN38" xr:uid="{9752DFD1-6C25-4AF8-8AEF-8C12E52E4181}"/>
  <tableColumns count="11">
    <tableColumn id="1" xr3:uid="{6FA4EE04-FC30-43B5-ABA5-7F1CA57E0B6F}" name="KostenOmschrijving" dataDxfId="215">
      <calculatedColumnFormula>$AD15</calculatedColumnFormula>
    </tableColumn>
    <tableColumn id="4" xr3:uid="{0DFF44C4-2CF5-4BAC-999A-474E45E3AE92}" name="Deelbetaling" dataDxfId="214">
      <calculatedColumnFormula>IF(Keuze_DB_Nr&lt;&gt;"",Keuze_DB_Nr,"")</calculatedColumnFormula>
    </tableColumn>
    <tableColumn id="2" xr3:uid="{D7EF5D4E-C280-4448-B599-4F9AFF9F4460}" name="Deelbetaling_Aanvraag" dataDxfId="213">
      <calculatedColumnFormula>IF(Tb_DBKosten[[#This Row],[Forfait]]=1,SUMIFS('8. Uitgaven betaalverzoek'!W:W,'8. Uitgaven betaalverzoek'!F:F,Tb_DBKosten[[#This Row],[KostenOmschrijving]],'8. Uitgaven betaalverzoek'!A:A,Tb_DBKosten[[#This Row],[Deelbetaling]]),0)</calculatedColumnFormula>
    </tableColumn>
    <tableColumn id="3" xr3:uid="{D824AA98-02F7-4A3C-8B0F-9B9A63E4900D}" name="Deelbetaling_Beoordeeld" dataDxfId="212">
      <calculatedColumnFormula>IF(Tb_DBKosten[[#This Row],[Forfait]]=1,SUMIFS('8. Uitgaven betaalverzoek'!X:X,'8. Uitgaven betaalverzoek'!F:F,Tb_DBKosten[[#This Row],[KostenOmschrijving]],'8. Uitgaven betaalverzoek'!A:A,Tb_DBKosten[[#This Row],[Deelbetaling]]),0)</calculatedColumnFormula>
    </tableColumn>
    <tableColumn id="6" xr3:uid="{81B54A5B-1149-4940-A210-189A2ABCF635}" name="Forfait" dataDxfId="211">
      <calculatedColumnFormula array="1">INDEX(Tb_KostenOptiesDB[],MATCH(Tb_DBKosten[[#This Row],[KostenOmschrijving]],Tb_KostenOptiesDB[KostenOptie],0),IFERROR(MATCH(Methode_Keuze,Tb_KostenOptiesDB[#Headers],0),2))</calculatedColumnFormula>
    </tableColumn>
    <tableColumn id="9" xr3:uid="{271718B3-AE03-47C0-BED7-E03CC547C6AC}" name="Forfait_Percentage" dataDxfId="210"/>
    <tableColumn id="10" xr3:uid="{5E44BC59-8593-420A-ADFA-E0C433FE45B7}" name="Forfait_Bedrag" dataDxfId="209">
      <calculatedColumnFormula>IF(Tb_DBKosten[[#This Row],[Forfait]]=1,SUMIFS('8. Uitgaven betaalverzoek'!Z:Z,'8. Uitgaven betaalverzoek'!F:F,Tb_DBKosten[[#This Row],[KostenOmschrijving]],'8. Uitgaven betaalverzoek'!A:A,Tb_DBKosten[[#This Row],[Deelbetaling]]),0)</calculatedColumnFormula>
    </tableColumn>
    <tableColumn id="8" xr3:uid="{0476829C-1B7B-4779-A5BC-D97306145162}" name="Forfait_Bedrag_Beoordeeld" dataDxfId="208">
      <calculatedColumnFormula>IF(Tb_DBKosten[[#This Row],[Forfait]]=1,SUMIFS('8. Uitgaven betaalverzoek'!AA:AA,'8. Uitgaven betaalverzoek'!F:F,Tb_DBKosten[[#This Row],[KostenOmschrijving]],'8. Uitgaven betaalverzoek'!A:A,Tb_DBKosten[[#This Row],[Deelbetaling]]),0)</calculatedColumnFormula>
    </tableColumn>
    <tableColumn id="11" xr3:uid="{5DDF2BF0-4BED-43AE-BC4C-FDB913B5B4FB}" name="Uitgaven_Aanvraag_Inclusief" dataDxfId="207">
      <calculatedColumnFormula>Tb_DBKosten[[#This Row],[Deelbetaling_Aanvraag]]+Tb_DBKosten[[#This Row],[Forfait_Bedrag]]</calculatedColumnFormula>
    </tableColumn>
    <tableColumn id="5" xr3:uid="{E4550958-F033-4A58-A7C8-97856031EA18}" name="Uitgaven_Beoordeeld_Inclusief" dataDxfId="206">
      <calculatedColumnFormula>Tb_DBKosten[[#This Row],[Deelbetaling_Beoordeeld]]+Tb_DBKosten[[#This Row],[Forfait_Bedrag_Beoordeeld]]</calculatedColumnFormula>
    </tableColumn>
    <tableColumn id="7" xr3:uid="{4F4D1BDB-62A5-42CE-A1C5-2C2898547051}" name="Opmerking" dataDxfId="205">
      <calculatedColumnFormula>IF(Tb_DBKosten[[#This Row],[Forfait]]=0,"Dit kostentype hoeft u niet op te geven. Hiervoor wordt een forfait berekend.","")</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1D6429A-FE7B-4A90-B422-D4BA7F958BF2}" name="Tb_KostenOptiesDB" displayName="Tb_KostenOptiesDB" ref="AI1:AL12" totalsRowShown="0" headerRowDxfId="204">
  <autoFilter ref="AI1:AL12" xr:uid="{91D6429A-FE7B-4A90-B422-D4BA7F958BF2}"/>
  <tableColumns count="4">
    <tableColumn id="1" xr3:uid="{68E56EF6-E6EB-43C3-A3D7-85FEB7AB3EB0}" name="KostenOptie">
      <calculatedColumnFormula>Tb_KostenOpties[[#This Row],[KostenOptie]]</calculatedColumnFormula>
    </tableColumn>
    <tableColumn id="2" xr3:uid="{26B60B93-0627-408D-840F-0CDDE39C75FA}" name="Geen vereenvoudigde kostenoptie"/>
    <tableColumn id="3" xr3:uid="{D36E1015-3AA9-4E8D-B279-6B6816E33C97}" name="Vereenvoudigde kostenoptie voor arbeidskosten"/>
    <tableColumn id="4" xr3:uid="{E2A1E9BB-4180-4759-861B-4D000C6A771A}" name="Vereenvoudigde kostenoptie voor overige koste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BD590AA-0A26-4F14-BAAC-01642CC3B315}" name="Tb_DBKostenBEO" displayName="Tb_DBKostenBEO" ref="AD40:AN51" totalsRowShown="0">
  <autoFilter ref="AD40:AN51" xr:uid="{DBD590AA-0A26-4F14-BAAC-01642CC3B315}"/>
  <tableColumns count="11">
    <tableColumn id="1" xr3:uid="{787F1E76-38DA-41BE-824B-04577062D350}" name="KostenOmschrijving" dataDxfId="203">
      <calculatedColumnFormula>$AD28</calculatedColumnFormula>
    </tableColumn>
    <tableColumn id="4" xr3:uid="{1FAD732B-887F-41B4-9CDC-A2FDEED6D0DA}" name="Deelbetaling" dataDxfId="202">
      <calculatedColumnFormula>IF(Keuze_DB_Nr_BEO&lt;&gt;"",Keuze_DB_Nr_BEO,"")</calculatedColumnFormula>
    </tableColumn>
    <tableColumn id="2" xr3:uid="{5FAAA98A-3F59-429A-AAEF-F5BD90973EB6}" name="Deelbetaling_Aanvraag" dataDxfId="201">
      <calculatedColumnFormula>IF(Tb_DBKostenBEO[[#This Row],[Forfait]]=1,SUMIFS('8. Uitgaven betaalverzoek'!W:W,'8. Uitgaven betaalverzoek'!F:F,Tb_DBKostenBEO[[#This Row],[KostenOmschrijving]],'8. Uitgaven betaalverzoek'!A:A,Tb_DBKostenBEO[[#This Row],[Deelbetaling]]),0)</calculatedColumnFormula>
    </tableColumn>
    <tableColumn id="3" xr3:uid="{D561689C-FC10-4FFC-A7B4-1D3A9B563CE2}" name="Deelbetaling_Beoordeeld" dataDxfId="200">
      <calculatedColumnFormula>IF(Tb_DBKostenBEO[[#This Row],[Forfait]]=1,SUMIFS('8. Uitgaven betaalverzoek'!X:X,'8. Uitgaven betaalverzoek'!F:F,Tb_DBKostenBEO[[#This Row],[KostenOmschrijving]],'8. Uitgaven betaalverzoek'!A:A,Tb_DBKostenBEO[[#This Row],[Deelbetaling]]),0)</calculatedColumnFormula>
    </tableColumn>
    <tableColumn id="6" xr3:uid="{83F6CF2C-A7DC-42DB-9D1B-274DF12B3C03}" name="Forfait" dataDxfId="199">
      <calculatedColumnFormula array="1">INDEX(Tb_KostenOptiesDB[],MATCH(Tb_DBKostenBEO[[#This Row],[KostenOmschrijving]],Tb_KostenOptiesDB[KostenOptie],0),IFERROR(MATCH(Methode_Keuze,Tb_KostenOptiesDB[#Headers],0),2))</calculatedColumnFormula>
    </tableColumn>
    <tableColumn id="9" xr3:uid="{F546A7F3-D4E0-437D-BD8E-6FC608CF10AC}" name="Forfait_Percentage" dataDxfId="198"/>
    <tableColumn id="10" xr3:uid="{02F6A4EA-520C-44C2-9565-8ABB24DD4BE6}" name="Forfait_Bedrag" dataDxfId="197">
      <calculatedColumnFormula>IF(Tb_DBKostenBEO[[#This Row],[Forfait]]=1,SUMIFS('8. Uitgaven betaalverzoek'!Z:Z,'8. Uitgaven betaalverzoek'!F:F,Tb_DBKostenBEO[[#This Row],[KostenOmschrijving]],'8. Uitgaven betaalverzoek'!A:A,Tb_DBKostenBEO[[#This Row],[Deelbetaling]]),0)</calculatedColumnFormula>
    </tableColumn>
    <tableColumn id="8" xr3:uid="{DAF1228B-B430-4ECC-933D-C65C78520D4A}" name="Forfait_Bedrag_Beoordeeld" dataDxfId="196">
      <calculatedColumnFormula>IF(Tb_DBKostenBEO[[#This Row],[Forfait]]=1,SUMIFS('8. Uitgaven betaalverzoek'!AA:AA,'8. Uitgaven betaalverzoek'!F:F,Tb_DBKostenBEO[[#This Row],[KostenOmschrijving]],'8. Uitgaven betaalverzoek'!A:A,Tb_DBKostenBEO[[#This Row],[Deelbetaling]]),0)</calculatedColumnFormula>
    </tableColumn>
    <tableColumn id="11" xr3:uid="{377A37BD-4339-4D8C-BCC2-71C70693F3E1}" name="Uitgaven_Aanvraag_Inclusief" dataDxfId="195">
      <calculatedColumnFormula>Tb_DBKostenBEO[[#This Row],[Deelbetaling_Aanvraag]]+Tb_DBKostenBEO[[#This Row],[Forfait_Bedrag]]</calculatedColumnFormula>
    </tableColumn>
    <tableColumn id="5" xr3:uid="{6F3153B9-502C-4DC5-88E7-3E9FE5FA33BB}" name="Uitgaven_Beoordeeld_Inclusief" dataDxfId="194">
      <calculatedColumnFormula>Tb_DBKostenBEO[[#This Row],[Deelbetaling_Beoordeeld]]+Tb_DBKostenBEO[[#This Row],[Forfait_Bedrag_Beoordeeld]]</calculatedColumnFormula>
    </tableColumn>
    <tableColumn id="7" xr3:uid="{255F25DF-14B3-46D2-AE6C-659AE2A43CAC}" name="Opmerking" dataDxfId="193">
      <calculatedColumnFormula>IF(Tb_DBKostenBEO[[#This Row],[Forfait]]=0,"Dit kostentype hoeft u niet op te geven. Hiervoor wordt een forfait berekend.","")</calculatedColumnFormula>
    </tableColumn>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F18165E-1E22-4AA2-89FB-8C6EB1500185}" name="Tb_KostenTypen" displayName="Tb_KostenTypen" ref="B2:J43" totalsRowShown="0" headerRowDxfId="192" dataDxfId="190" headerRowBorderDxfId="191" tableBorderDxfId="189">
  <autoFilter ref="B2:J43" xr:uid="{EF18165E-1E22-4AA2-89FB-8C6EB1500185}"/>
  <tableColumns count="9">
    <tableColumn id="1" xr3:uid="{AA722BCD-DB51-4C1C-964B-A542CDAFD58D}" name="Kostentype" dataDxfId="188"/>
    <tableColumn id="8" xr3:uid="{C80D61D5-1FFD-41D8-9A31-CD9C0589D973}" name="Type" dataDxfId="187"/>
    <tableColumn id="16" xr3:uid="{97E14609-F0ED-471F-976E-F46CAAEF5E3A}" name="Forfait" dataDxfId="186"/>
    <tableColumn id="12" xr3:uid="{E2302880-7157-4478-857E-4AE1C8E4EE73}" name="Arbeidskosten" dataDxfId="185"/>
    <tableColumn id="11" xr3:uid="{0AFF5F76-45CD-49B9-B26B-BED703671F5D}" name="Weergeven" dataDxfId="184">
      <calculatedColumnFormula>IF(OR(COUNTIFS(Kostentypen!$B$77:$O$88,Tb_KostenTypen[[#This Row],[Kostentype]])&gt;0,COUNTIFS(Kostentypen!$A$161:$O$172,Tb_KostenTypen[[#This Row],[Kostentype]])&gt;0),1,0)</calculatedColumnFormula>
    </tableColumn>
    <tableColumn id="4" xr3:uid="{CE009743-D121-4AC6-B30A-6625FA696CBA}" name="Weergeven_2" dataDxfId="183">
      <calculatedColumnFormula>IF(COUNTIFS(Kostentypen!$A$119:$G$130,Tb_KostenTypen[[#This Row],[Kostentype]])&gt;0,1,0)</calculatedColumnFormula>
    </tableColumn>
    <tableColumn id="2" xr3:uid="{3BBD5B9A-46F6-43DF-BB1E-6230EC9646D1}" name="Geen vereenvoudigde kostenoptie" dataDxfId="182"/>
    <tableColumn id="3" xr3:uid="{9512AFBA-74B0-4B9B-A2D6-96F3D2570811}" name="Vereenvoudigde kostenoptie voor arbeidskosten" dataDxfId="181"/>
    <tableColumn id="7" xr3:uid="{22C7790E-000E-433B-A63C-83E031A637C7}" name="Vereenvoudigde kostenoptie voor overige kosten" dataDxfId="18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table" Target="../tables/table3.xml"/></Relationships>
</file>

<file path=xl/worksheets/_rels/sheet1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14.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271EC-18C5-404C-9612-604766981CFC}">
  <sheetPr codeName="Blad5">
    <tabColor theme="0" tint="-4.9989318521683403E-2"/>
    <pageSetUpPr fitToPage="1"/>
  </sheetPr>
  <dimension ref="A1:V116"/>
  <sheetViews>
    <sheetView showRowColHeaders="0" tabSelected="1" zoomScaleNormal="100" workbookViewId="0">
      <selection activeCell="A2" sqref="A2"/>
    </sheetView>
  </sheetViews>
  <sheetFormatPr defaultColWidth="0" defaultRowHeight="15" zeroHeight="1" x14ac:dyDescent="0.25"/>
  <cols>
    <col min="1" max="23" width="9.140625" style="15" customWidth="1"/>
    <col min="24" max="16384" width="9.140625" style="15" hidden="1"/>
  </cols>
  <sheetData>
    <row r="1" spans="1:1" ht="111" customHeight="1" x14ac:dyDescent="0.25">
      <c r="A1" s="225"/>
    </row>
    <row r="2" spans="1:1" ht="30" customHeight="1" x14ac:dyDescent="0.25">
      <c r="A2" s="472" t="s">
        <v>255</v>
      </c>
    </row>
    <row r="3" spans="1:1" ht="30" customHeight="1" x14ac:dyDescent="0.25">
      <c r="A3" s="471" t="s">
        <v>554</v>
      </c>
    </row>
    <row r="4" spans="1:1" x14ac:dyDescent="0.25">
      <c r="A4" s="224" t="s">
        <v>556</v>
      </c>
    </row>
    <row r="5" spans="1:1" x14ac:dyDescent="0.25">
      <c r="A5" s="225"/>
    </row>
    <row r="6" spans="1:1" x14ac:dyDescent="0.25">
      <c r="A6" s="225" t="s">
        <v>211</v>
      </c>
    </row>
    <row r="7" spans="1:1" x14ac:dyDescent="0.25">
      <c r="A7" s="225" t="s">
        <v>362</v>
      </c>
    </row>
    <row r="8" spans="1:1" x14ac:dyDescent="0.25">
      <c r="A8" s="225"/>
    </row>
    <row r="9" spans="1:1" x14ac:dyDescent="0.25">
      <c r="A9" s="225" t="s">
        <v>363</v>
      </c>
    </row>
    <row r="10" spans="1:1" x14ac:dyDescent="0.25">
      <c r="A10" s="225" t="s">
        <v>243</v>
      </c>
    </row>
    <row r="11" spans="1:1" x14ac:dyDescent="0.25">
      <c r="A11" s="225"/>
    </row>
    <row r="12" spans="1:1" x14ac:dyDescent="0.25">
      <c r="A12" s="224" t="s">
        <v>212</v>
      </c>
    </row>
    <row r="13" spans="1:1" x14ac:dyDescent="0.25">
      <c r="A13" s="469" t="s">
        <v>246</v>
      </c>
    </row>
    <row r="14" spans="1:1" x14ac:dyDescent="0.25">
      <c r="A14" s="225" t="s">
        <v>474</v>
      </c>
    </row>
    <row r="15" spans="1:1" x14ac:dyDescent="0.25">
      <c r="A15" s="225" t="s">
        <v>364</v>
      </c>
    </row>
    <row r="16" spans="1:1" x14ac:dyDescent="0.25">
      <c r="A16" s="225" t="s">
        <v>473</v>
      </c>
    </row>
    <row r="17" spans="1:19" x14ac:dyDescent="0.25">
      <c r="A17" s="225" t="s">
        <v>365</v>
      </c>
    </row>
    <row r="18" spans="1:19" x14ac:dyDescent="0.25">
      <c r="A18" s="225" t="s">
        <v>366</v>
      </c>
    </row>
    <row r="19" spans="1:19" x14ac:dyDescent="0.25">
      <c r="A19" s="225" t="s">
        <v>501</v>
      </c>
    </row>
    <row r="20" spans="1:19" x14ac:dyDescent="0.25">
      <c r="A20" s="225"/>
      <c r="E20" s="16"/>
      <c r="F20" s="16"/>
      <c r="G20" s="16"/>
      <c r="H20" s="16"/>
      <c r="I20" s="16"/>
      <c r="J20" s="16"/>
      <c r="K20" s="16"/>
      <c r="L20" s="16"/>
      <c r="M20" s="16"/>
      <c r="N20" s="16"/>
      <c r="O20" s="16"/>
      <c r="P20" s="16"/>
      <c r="Q20" s="16"/>
      <c r="R20" s="16"/>
      <c r="S20" s="16"/>
    </row>
    <row r="21" spans="1:19" x14ac:dyDescent="0.25">
      <c r="A21" s="469" t="s">
        <v>247</v>
      </c>
      <c r="B21" s="16"/>
      <c r="C21" s="16"/>
      <c r="D21" s="16"/>
      <c r="E21" s="16"/>
      <c r="F21" s="16"/>
      <c r="G21" s="16"/>
      <c r="H21" s="16"/>
      <c r="I21" s="16"/>
      <c r="J21" s="16"/>
      <c r="K21" s="16"/>
      <c r="L21" s="16"/>
      <c r="M21" s="16"/>
      <c r="N21" s="16"/>
      <c r="O21" s="16"/>
      <c r="P21" s="16"/>
      <c r="Q21" s="16"/>
      <c r="R21" s="16"/>
      <c r="S21" s="16"/>
    </row>
    <row r="22" spans="1:19" x14ac:dyDescent="0.25">
      <c r="A22" s="225" t="s">
        <v>256</v>
      </c>
      <c r="B22" s="16"/>
      <c r="C22" s="16"/>
      <c r="D22" s="16"/>
      <c r="E22" s="16"/>
      <c r="F22" s="16"/>
      <c r="G22" s="16"/>
      <c r="H22" s="16"/>
      <c r="I22" s="16"/>
      <c r="J22" s="16"/>
      <c r="K22" s="16"/>
      <c r="L22" s="16"/>
      <c r="M22" s="16"/>
      <c r="N22" s="16"/>
      <c r="O22" s="16"/>
      <c r="P22" s="16"/>
      <c r="Q22" s="16"/>
      <c r="R22" s="16"/>
      <c r="S22" s="16"/>
    </row>
    <row r="23" spans="1:19" x14ac:dyDescent="0.25">
      <c r="A23" s="225" t="s">
        <v>237</v>
      </c>
      <c r="B23" s="16"/>
      <c r="C23" s="16"/>
      <c r="D23" s="16"/>
      <c r="E23" s="16"/>
      <c r="F23" s="16"/>
      <c r="G23" s="16"/>
      <c r="H23" s="16"/>
      <c r="I23" s="16"/>
      <c r="J23" s="16"/>
      <c r="K23" s="16"/>
      <c r="L23" s="16"/>
      <c r="M23" s="16"/>
      <c r="N23" s="16"/>
      <c r="O23" s="16"/>
      <c r="P23" s="16"/>
      <c r="Q23" s="16"/>
      <c r="R23" s="16"/>
      <c r="S23" s="16"/>
    </row>
    <row r="24" spans="1:19" x14ac:dyDescent="0.25">
      <c r="A24" s="225" t="s">
        <v>367</v>
      </c>
      <c r="B24" s="16"/>
      <c r="C24" s="16"/>
      <c r="D24" s="16"/>
      <c r="E24" s="16"/>
      <c r="F24" s="16"/>
      <c r="G24" s="16"/>
      <c r="H24" s="16"/>
      <c r="I24" s="16"/>
      <c r="J24" s="16"/>
      <c r="K24" s="16"/>
      <c r="L24" s="16"/>
      <c r="M24" s="16"/>
      <c r="N24" s="16"/>
      <c r="O24" s="16"/>
      <c r="P24" s="16"/>
      <c r="Q24" s="16"/>
      <c r="R24" s="16"/>
      <c r="S24" s="16"/>
    </row>
    <row r="25" spans="1:19" x14ac:dyDescent="0.25">
      <c r="A25" s="225" t="s">
        <v>368</v>
      </c>
      <c r="B25" s="16"/>
      <c r="C25" s="16"/>
      <c r="D25" s="16"/>
      <c r="E25" s="16"/>
      <c r="F25" s="16"/>
      <c r="G25" s="16"/>
      <c r="H25" s="16"/>
      <c r="I25" s="16"/>
      <c r="J25" s="16"/>
      <c r="K25" s="16"/>
      <c r="L25" s="16"/>
      <c r="M25" s="16"/>
      <c r="N25" s="16"/>
      <c r="O25" s="16"/>
      <c r="P25" s="16"/>
      <c r="Q25" s="16"/>
      <c r="R25" s="16"/>
      <c r="S25" s="16"/>
    </row>
    <row r="26" spans="1:19" x14ac:dyDescent="0.25">
      <c r="A26" s="225" t="s">
        <v>540</v>
      </c>
      <c r="B26" s="16"/>
      <c r="C26" s="16"/>
      <c r="D26" s="16"/>
    </row>
    <row r="27" spans="1:19" x14ac:dyDescent="0.25">
      <c r="A27" s="225" t="s">
        <v>369</v>
      </c>
    </row>
    <row r="28" spans="1:19" x14ac:dyDescent="0.25">
      <c r="A28" s="225" t="s">
        <v>541</v>
      </c>
      <c r="E28" s="16"/>
      <c r="F28" s="16"/>
      <c r="G28" s="16"/>
      <c r="H28" s="16"/>
      <c r="I28" s="16"/>
      <c r="J28" s="16"/>
      <c r="K28" s="16"/>
      <c r="L28" s="16"/>
      <c r="M28" s="16"/>
      <c r="N28" s="16"/>
      <c r="O28" s="16"/>
      <c r="P28" s="16"/>
      <c r="Q28" s="16"/>
      <c r="R28" s="16"/>
      <c r="S28" s="16"/>
    </row>
    <row r="29" spans="1:19" x14ac:dyDescent="0.25">
      <c r="A29" s="225" t="s">
        <v>370</v>
      </c>
      <c r="B29" s="16"/>
      <c r="C29" s="16"/>
      <c r="D29" s="16"/>
      <c r="E29" s="16"/>
      <c r="F29" s="16"/>
      <c r="G29" s="16"/>
      <c r="H29" s="16"/>
      <c r="I29" s="16"/>
      <c r="J29" s="16"/>
      <c r="K29" s="16"/>
      <c r="L29" s="16"/>
      <c r="M29" s="16"/>
      <c r="N29" s="16"/>
      <c r="O29" s="16"/>
      <c r="P29" s="16"/>
      <c r="Q29" s="16"/>
      <c r="R29" s="16"/>
      <c r="S29" s="16"/>
    </row>
    <row r="30" spans="1:19" x14ac:dyDescent="0.25">
      <c r="A30" s="225"/>
      <c r="B30" s="16"/>
      <c r="C30" s="16"/>
      <c r="D30" s="16"/>
      <c r="E30" s="16"/>
      <c r="F30" s="16"/>
      <c r="G30" s="16"/>
      <c r="H30" s="16"/>
      <c r="I30" s="16"/>
      <c r="J30" s="16"/>
      <c r="K30" s="16"/>
      <c r="L30" s="16"/>
      <c r="M30" s="16"/>
      <c r="N30" s="16"/>
      <c r="O30" s="16"/>
      <c r="P30" s="16"/>
      <c r="Q30" s="16"/>
      <c r="R30" s="16"/>
      <c r="S30" s="16"/>
    </row>
    <row r="31" spans="1:19" x14ac:dyDescent="0.25">
      <c r="A31" s="469" t="s">
        <v>248</v>
      </c>
      <c r="B31" s="16"/>
      <c r="C31" s="16"/>
      <c r="D31" s="16"/>
      <c r="E31" s="16"/>
      <c r="F31" s="16"/>
      <c r="G31" s="16"/>
      <c r="H31" s="16"/>
      <c r="I31" s="16"/>
      <c r="J31" s="16"/>
      <c r="K31" s="16"/>
      <c r="L31" s="16"/>
      <c r="M31" s="16"/>
      <c r="N31" s="16"/>
      <c r="O31" s="16"/>
      <c r="P31" s="16"/>
      <c r="Q31" s="16"/>
      <c r="R31" s="16"/>
      <c r="S31" s="16"/>
    </row>
    <row r="32" spans="1:19" x14ac:dyDescent="0.25">
      <c r="A32" s="227" t="s">
        <v>213</v>
      </c>
      <c r="B32" s="16"/>
      <c r="C32" s="16"/>
      <c r="D32" s="16"/>
      <c r="E32" s="16"/>
      <c r="F32" s="16"/>
      <c r="G32" s="16"/>
      <c r="H32" s="16"/>
      <c r="I32" s="16"/>
      <c r="J32" s="16"/>
      <c r="K32" s="16"/>
      <c r="L32" s="16"/>
      <c r="M32" s="16"/>
      <c r="N32" s="16"/>
      <c r="O32" s="16"/>
      <c r="P32" s="16"/>
      <c r="Q32" s="16"/>
      <c r="R32" s="16"/>
      <c r="S32" s="16"/>
    </row>
    <row r="33" spans="1:22" x14ac:dyDescent="0.25">
      <c r="A33" s="227" t="s">
        <v>257</v>
      </c>
      <c r="B33" s="16"/>
      <c r="C33" s="16"/>
      <c r="D33" s="16"/>
      <c r="E33" s="16"/>
      <c r="F33" s="16"/>
      <c r="G33" s="16"/>
      <c r="H33" s="16"/>
      <c r="I33" s="16"/>
      <c r="J33" s="16"/>
      <c r="K33" s="16"/>
      <c r="L33" s="16"/>
      <c r="M33" s="16"/>
      <c r="N33" s="16"/>
      <c r="O33" s="16"/>
      <c r="P33" s="16"/>
      <c r="Q33" s="16"/>
      <c r="R33" s="16"/>
      <c r="S33" s="16"/>
    </row>
    <row r="34" spans="1:22" x14ac:dyDescent="0.25">
      <c r="A34" s="227" t="s">
        <v>371</v>
      </c>
      <c r="B34" s="16"/>
      <c r="C34" s="16"/>
      <c r="D34" s="16"/>
      <c r="E34" s="16"/>
      <c r="F34" s="16"/>
      <c r="G34" s="16"/>
      <c r="H34" s="16"/>
      <c r="I34" s="16"/>
      <c r="J34" s="16"/>
      <c r="K34" s="16"/>
      <c r="L34" s="16"/>
      <c r="M34" s="16"/>
      <c r="N34" s="16"/>
      <c r="O34" s="16"/>
      <c r="P34" s="16"/>
      <c r="Q34" s="16"/>
      <c r="R34" s="16"/>
      <c r="S34" s="16"/>
    </row>
    <row r="35" spans="1:22" x14ac:dyDescent="0.25">
      <c r="A35" s="227"/>
      <c r="B35" s="16"/>
      <c r="C35" s="16"/>
      <c r="D35" s="16"/>
      <c r="E35" s="16"/>
      <c r="F35" s="16"/>
      <c r="G35" s="16"/>
      <c r="H35" s="16"/>
      <c r="I35" s="16"/>
      <c r="J35" s="16"/>
      <c r="K35" s="16"/>
      <c r="L35" s="16"/>
      <c r="M35" s="16"/>
      <c r="N35" s="16"/>
      <c r="O35" s="16"/>
      <c r="P35" s="16"/>
      <c r="Q35" s="16"/>
      <c r="R35" s="16"/>
      <c r="S35" s="16"/>
    </row>
    <row r="36" spans="1:22" x14ac:dyDescent="0.25">
      <c r="A36" s="227" t="s">
        <v>249</v>
      </c>
      <c r="B36" s="16"/>
      <c r="C36" s="16"/>
      <c r="D36" s="16"/>
      <c r="E36" s="16"/>
      <c r="F36" s="16"/>
      <c r="G36" s="16"/>
      <c r="H36" s="16"/>
      <c r="I36" s="16"/>
      <c r="J36" s="16"/>
      <c r="K36" s="16"/>
      <c r="L36" s="16"/>
      <c r="M36" s="16"/>
      <c r="N36" s="16"/>
      <c r="O36" s="16"/>
      <c r="P36" s="16"/>
      <c r="Q36" s="16"/>
      <c r="R36" s="16"/>
      <c r="S36" s="16"/>
    </row>
    <row r="37" spans="1:22" x14ac:dyDescent="0.25">
      <c r="A37" s="227" t="s">
        <v>372</v>
      </c>
      <c r="B37" s="16"/>
      <c r="C37" s="16"/>
      <c r="D37" s="16"/>
      <c r="E37" s="16"/>
      <c r="F37" s="16"/>
      <c r="G37" s="16"/>
      <c r="H37" s="16"/>
      <c r="I37" s="16"/>
      <c r="J37" s="16"/>
      <c r="K37" s="16"/>
      <c r="L37" s="16"/>
      <c r="M37" s="16"/>
      <c r="N37" s="16"/>
      <c r="O37" s="16"/>
      <c r="P37" s="16"/>
      <c r="Q37" s="16"/>
      <c r="R37" s="16"/>
      <c r="S37" s="16"/>
    </row>
    <row r="38" spans="1:22" x14ac:dyDescent="0.25">
      <c r="A38" s="227" t="s">
        <v>373</v>
      </c>
      <c r="B38" s="16"/>
      <c r="C38" s="16"/>
      <c r="D38" s="16"/>
      <c r="E38" s="16"/>
      <c r="F38" s="16"/>
      <c r="G38" s="16"/>
      <c r="H38" s="16"/>
      <c r="I38" s="16"/>
      <c r="J38" s="16"/>
      <c r="K38" s="16"/>
      <c r="L38" s="16"/>
      <c r="M38" s="16"/>
      <c r="N38" s="16"/>
      <c r="O38" s="16"/>
      <c r="P38" s="16"/>
      <c r="Q38" s="16"/>
      <c r="R38" s="16"/>
      <c r="S38" s="16"/>
    </row>
    <row r="39" spans="1:22" x14ac:dyDescent="0.25">
      <c r="A39" s="227" t="s">
        <v>347</v>
      </c>
      <c r="B39" s="16"/>
      <c r="C39" s="16"/>
      <c r="D39" s="16"/>
    </row>
    <row r="40" spans="1:22" x14ac:dyDescent="0.25">
      <c r="A40" s="227" t="s">
        <v>469</v>
      </c>
    </row>
    <row r="41" spans="1:22" x14ac:dyDescent="0.25">
      <c r="A41" s="227" t="s">
        <v>348</v>
      </c>
      <c r="E41" s="16"/>
      <c r="F41" s="16"/>
      <c r="G41" s="16"/>
      <c r="H41" s="16"/>
      <c r="I41" s="16"/>
      <c r="J41" s="16"/>
      <c r="K41" s="16"/>
      <c r="L41" s="16"/>
      <c r="M41" s="16"/>
      <c r="N41" s="16"/>
      <c r="O41" s="16"/>
      <c r="P41" s="16"/>
      <c r="Q41" s="16"/>
    </row>
    <row r="42" spans="1:22" x14ac:dyDescent="0.25">
      <c r="A42" s="227" t="s">
        <v>238</v>
      </c>
      <c r="B42" s="16"/>
      <c r="C42" s="16"/>
      <c r="D42" s="16"/>
      <c r="E42" s="16"/>
      <c r="F42" s="16"/>
      <c r="G42" s="16"/>
      <c r="H42" s="16"/>
      <c r="I42" s="16"/>
      <c r="J42" s="16"/>
      <c r="K42" s="16"/>
      <c r="L42" s="16"/>
      <c r="M42" s="16"/>
      <c r="N42" s="16"/>
      <c r="O42" s="16"/>
      <c r="P42" s="16"/>
      <c r="Q42" s="16"/>
    </row>
    <row r="43" spans="1:22" x14ac:dyDescent="0.25">
      <c r="A43" s="227" t="s">
        <v>374</v>
      </c>
      <c r="B43" s="16"/>
      <c r="C43" s="16"/>
      <c r="D43" s="16"/>
      <c r="E43" s="16"/>
      <c r="F43" s="16"/>
      <c r="G43" s="16"/>
      <c r="H43" s="16"/>
      <c r="I43" s="16"/>
      <c r="J43" s="16"/>
      <c r="K43" s="16"/>
      <c r="L43" s="16"/>
      <c r="M43" s="16"/>
      <c r="N43" s="16"/>
      <c r="O43" s="16"/>
      <c r="P43" s="16"/>
      <c r="Q43" s="16"/>
    </row>
    <row r="44" spans="1:22" x14ac:dyDescent="0.25">
      <c r="A44" s="225"/>
      <c r="B44" s="16"/>
      <c r="C44" s="16"/>
      <c r="D44" s="16"/>
      <c r="E44" s="16"/>
      <c r="F44" s="16"/>
      <c r="G44" s="16"/>
      <c r="H44" s="16"/>
      <c r="I44" s="16"/>
      <c r="J44" s="16"/>
      <c r="K44" s="16"/>
      <c r="L44" s="16"/>
      <c r="M44" s="16"/>
      <c r="N44" s="16"/>
      <c r="O44" s="16"/>
      <c r="P44" s="16"/>
      <c r="Q44" s="16"/>
    </row>
    <row r="45" spans="1:22" x14ac:dyDescent="0.25">
      <c r="A45" s="469" t="s">
        <v>250</v>
      </c>
      <c r="B45" s="16"/>
      <c r="C45" s="16"/>
      <c r="D45" s="16"/>
      <c r="E45" s="16"/>
      <c r="F45" s="16"/>
      <c r="G45" s="16"/>
      <c r="H45" s="16"/>
      <c r="I45" s="16"/>
      <c r="J45" s="16"/>
      <c r="K45" s="16"/>
      <c r="L45" s="16"/>
      <c r="M45" s="16"/>
      <c r="N45" s="16"/>
      <c r="O45" s="16"/>
      <c r="P45" s="16"/>
      <c r="Q45" s="16"/>
    </row>
    <row r="46" spans="1:22" x14ac:dyDescent="0.25">
      <c r="A46" s="227" t="s">
        <v>349</v>
      </c>
      <c r="B46" s="16"/>
      <c r="C46" s="16"/>
      <c r="D46" s="16"/>
      <c r="E46" s="16"/>
      <c r="F46" s="16"/>
      <c r="G46" s="16"/>
      <c r="H46" s="16"/>
      <c r="I46" s="16"/>
      <c r="J46" s="16"/>
      <c r="K46" s="16"/>
      <c r="L46" s="16"/>
      <c r="M46" s="16"/>
      <c r="N46" s="16"/>
      <c r="O46" s="16"/>
      <c r="P46" s="16"/>
      <c r="Q46" s="16"/>
    </row>
    <row r="47" spans="1:22" x14ac:dyDescent="0.25">
      <c r="A47" s="227" t="s">
        <v>375</v>
      </c>
      <c r="B47" s="16"/>
      <c r="C47" s="16"/>
      <c r="D47" s="16"/>
      <c r="E47" s="16"/>
      <c r="F47" s="16"/>
      <c r="G47" s="16"/>
      <c r="H47" s="16"/>
      <c r="I47" s="16"/>
      <c r="J47" s="16"/>
      <c r="K47" s="16"/>
      <c r="L47" s="16"/>
      <c r="M47" s="16"/>
      <c r="N47" s="16"/>
      <c r="O47" s="16"/>
      <c r="P47" s="16"/>
      <c r="Q47" s="16"/>
    </row>
    <row r="48" spans="1:22" x14ac:dyDescent="0.25">
      <c r="A48" s="227" t="s">
        <v>376</v>
      </c>
      <c r="B48" s="16"/>
      <c r="C48" s="16"/>
      <c r="D48" s="16"/>
      <c r="E48" s="16"/>
      <c r="F48" s="16"/>
      <c r="G48" s="16"/>
      <c r="H48" s="16"/>
      <c r="I48" s="16"/>
      <c r="J48" s="16"/>
      <c r="K48" s="16"/>
      <c r="L48" s="16"/>
      <c r="M48" s="16"/>
      <c r="N48" s="16"/>
      <c r="O48" s="16"/>
      <c r="P48" s="292"/>
      <c r="Q48" s="292"/>
      <c r="R48" s="167"/>
      <c r="S48" s="167"/>
      <c r="T48" s="167"/>
      <c r="U48" s="167"/>
      <c r="V48" s="167"/>
    </row>
    <row r="49" spans="1:20" x14ac:dyDescent="0.25">
      <c r="A49" s="225"/>
      <c r="B49" s="16"/>
      <c r="C49" s="16"/>
      <c r="D49" s="16"/>
      <c r="E49" s="16"/>
      <c r="F49" s="16"/>
      <c r="G49" s="16"/>
      <c r="H49" s="16"/>
      <c r="I49" s="292"/>
      <c r="J49" s="292"/>
      <c r="K49" s="292"/>
      <c r="L49" s="292"/>
      <c r="M49" s="292"/>
      <c r="N49" s="292"/>
      <c r="O49" s="292"/>
      <c r="P49" s="16"/>
      <c r="Q49" s="16"/>
    </row>
    <row r="50" spans="1:20" x14ac:dyDescent="0.25">
      <c r="A50" s="225" t="s">
        <v>214</v>
      </c>
      <c r="B50" s="16"/>
      <c r="C50" s="16"/>
      <c r="D50" s="16"/>
      <c r="E50" s="16"/>
      <c r="F50" s="16"/>
      <c r="G50" s="16"/>
      <c r="H50" s="16"/>
      <c r="I50" s="16"/>
      <c r="J50" s="16"/>
      <c r="K50" s="16"/>
      <c r="L50" s="16"/>
      <c r="M50" s="16"/>
      <c r="N50" s="16"/>
      <c r="O50" s="16"/>
      <c r="P50" s="16"/>
      <c r="Q50" s="16"/>
    </row>
    <row r="51" spans="1:20" x14ac:dyDescent="0.25">
      <c r="A51" s="225" t="s">
        <v>377</v>
      </c>
      <c r="B51" s="16"/>
      <c r="C51" s="16"/>
      <c r="D51" s="16"/>
      <c r="E51" s="16"/>
      <c r="F51" s="16"/>
      <c r="G51" s="16"/>
      <c r="H51" s="16"/>
      <c r="I51" s="16"/>
      <c r="J51" s="16"/>
      <c r="K51" s="16"/>
      <c r="L51" s="16"/>
      <c r="M51" s="16"/>
      <c r="N51" s="16"/>
      <c r="O51" s="16"/>
      <c r="P51" s="16"/>
      <c r="Q51" s="16"/>
    </row>
    <row r="52" spans="1:20" x14ac:dyDescent="0.25">
      <c r="A52" s="225" t="s">
        <v>378</v>
      </c>
      <c r="B52" s="16"/>
      <c r="C52" s="16"/>
      <c r="D52" s="16"/>
    </row>
    <row r="53" spans="1:20" x14ac:dyDescent="0.25">
      <c r="A53" s="225"/>
    </row>
    <row r="54" spans="1:20" x14ac:dyDescent="0.25">
      <c r="A54" s="225" t="s">
        <v>350</v>
      </c>
    </row>
    <row r="55" spans="1:20" x14ac:dyDescent="0.25">
      <c r="A55" s="225" t="s">
        <v>351</v>
      </c>
    </row>
    <row r="56" spans="1:20" x14ac:dyDescent="0.25">
      <c r="A56" s="225" t="s">
        <v>352</v>
      </c>
    </row>
    <row r="57" spans="1:20" x14ac:dyDescent="0.25">
      <c r="A57" s="225"/>
    </row>
    <row r="58" spans="1:20" x14ac:dyDescent="0.25">
      <c r="A58" s="225" t="s">
        <v>215</v>
      </c>
    </row>
    <row r="59" spans="1:20" x14ac:dyDescent="0.25">
      <c r="A59" s="225"/>
    </row>
    <row r="60" spans="1:20" x14ac:dyDescent="0.25">
      <c r="A60" s="469" t="s">
        <v>251</v>
      </c>
    </row>
    <row r="61" spans="1:20" x14ac:dyDescent="0.25">
      <c r="A61" s="225" t="s">
        <v>252</v>
      </c>
      <c r="E61" s="16"/>
      <c r="F61" s="16"/>
      <c r="G61" s="16"/>
      <c r="H61" s="16"/>
      <c r="I61" s="16"/>
      <c r="J61" s="16"/>
      <c r="K61" s="16"/>
      <c r="L61" s="16"/>
      <c r="M61" s="16"/>
      <c r="N61" s="16"/>
      <c r="O61" s="16"/>
      <c r="P61" s="16"/>
      <c r="Q61" s="16"/>
      <c r="R61" s="16"/>
      <c r="S61" s="16"/>
      <c r="T61" s="16"/>
    </row>
    <row r="62" spans="1:20" x14ac:dyDescent="0.25">
      <c r="A62" s="225" t="s">
        <v>241</v>
      </c>
      <c r="B62" s="16"/>
      <c r="C62" s="16"/>
      <c r="D62" s="16"/>
      <c r="E62" s="16"/>
      <c r="F62" s="16"/>
      <c r="G62" s="16"/>
      <c r="H62" s="16"/>
      <c r="I62" s="16"/>
      <c r="J62" s="16"/>
      <c r="K62" s="16"/>
      <c r="L62" s="16"/>
      <c r="M62" s="16"/>
      <c r="N62" s="16"/>
      <c r="O62" s="16"/>
      <c r="P62" s="16"/>
      <c r="Q62" s="16"/>
      <c r="R62" s="16"/>
      <c r="S62" s="16"/>
      <c r="T62" s="16"/>
    </row>
    <row r="63" spans="1:20" x14ac:dyDescent="0.25">
      <c r="A63" s="225" t="s">
        <v>216</v>
      </c>
      <c r="B63" s="16"/>
      <c r="C63" s="16"/>
      <c r="D63" s="16"/>
      <c r="E63" s="16"/>
      <c r="F63" s="16"/>
      <c r="G63" s="16"/>
      <c r="H63" s="16"/>
      <c r="I63" s="16"/>
      <c r="J63" s="16"/>
      <c r="K63" s="16"/>
      <c r="L63" s="16"/>
      <c r="M63" s="16"/>
      <c r="N63" s="16"/>
      <c r="O63" s="16"/>
      <c r="P63" s="16"/>
      <c r="Q63" s="16"/>
      <c r="R63" s="16"/>
      <c r="S63" s="16"/>
      <c r="T63" s="16"/>
    </row>
    <row r="64" spans="1:20" x14ac:dyDescent="0.25">
      <c r="A64" s="225" t="s">
        <v>330</v>
      </c>
      <c r="B64" s="16"/>
      <c r="C64" s="16"/>
      <c r="D64" s="16"/>
      <c r="E64" s="16"/>
      <c r="F64" s="16"/>
      <c r="G64" s="16"/>
      <c r="H64" s="16"/>
      <c r="I64" s="16"/>
      <c r="J64" s="16"/>
      <c r="K64" s="16"/>
      <c r="L64" s="16"/>
      <c r="M64" s="16"/>
      <c r="N64" s="16"/>
      <c r="O64" s="16"/>
      <c r="P64" s="16"/>
      <c r="Q64" s="16"/>
      <c r="R64" s="16"/>
      <c r="S64" s="16"/>
      <c r="T64" s="16"/>
    </row>
    <row r="65" spans="1:20" x14ac:dyDescent="0.25">
      <c r="A65" s="225"/>
      <c r="B65" s="16"/>
      <c r="C65" s="16"/>
      <c r="D65" s="16"/>
      <c r="E65" s="16"/>
      <c r="F65" s="16"/>
      <c r="G65" s="16"/>
      <c r="H65" s="16"/>
      <c r="I65" s="16"/>
      <c r="J65" s="16"/>
      <c r="K65" s="16"/>
      <c r="L65" s="16"/>
      <c r="M65" s="16"/>
      <c r="N65" s="16"/>
      <c r="O65" s="16"/>
      <c r="P65" s="16"/>
      <c r="Q65" s="16"/>
      <c r="R65" s="16"/>
      <c r="S65" s="16"/>
      <c r="T65" s="16"/>
    </row>
    <row r="66" spans="1:20" x14ac:dyDescent="0.25">
      <c r="A66" s="227" t="s">
        <v>379</v>
      </c>
      <c r="B66" s="16"/>
      <c r="C66" s="16"/>
      <c r="D66" s="16"/>
      <c r="E66" s="16"/>
      <c r="F66" s="16"/>
      <c r="G66" s="16"/>
      <c r="H66" s="16"/>
      <c r="I66" s="16"/>
      <c r="J66" s="16"/>
      <c r="K66" s="16"/>
      <c r="L66" s="16"/>
      <c r="M66" s="16"/>
      <c r="N66" s="16"/>
      <c r="O66" s="16"/>
      <c r="P66" s="16"/>
      <c r="Q66" s="16"/>
      <c r="R66" s="16"/>
      <c r="S66" s="16"/>
      <c r="T66" s="16"/>
    </row>
    <row r="67" spans="1:20" x14ac:dyDescent="0.25">
      <c r="A67" s="227" t="s">
        <v>380</v>
      </c>
      <c r="B67" s="16"/>
      <c r="C67" s="16"/>
      <c r="D67" s="16"/>
      <c r="E67" s="16"/>
      <c r="F67" s="16"/>
      <c r="G67" s="16"/>
      <c r="H67" s="16"/>
      <c r="I67" s="16"/>
      <c r="J67" s="16"/>
      <c r="K67" s="16"/>
      <c r="L67" s="16"/>
      <c r="M67" s="16"/>
      <c r="N67" s="16"/>
      <c r="O67" s="16"/>
      <c r="P67" s="16"/>
      <c r="Q67" s="16"/>
      <c r="R67" s="16"/>
      <c r="S67" s="16"/>
      <c r="T67" s="16"/>
    </row>
    <row r="68" spans="1:20" x14ac:dyDescent="0.25">
      <c r="A68" s="227" t="s">
        <v>239</v>
      </c>
      <c r="B68" s="16"/>
      <c r="C68" s="16"/>
      <c r="D68" s="16"/>
      <c r="E68" s="16"/>
      <c r="F68" s="16"/>
      <c r="G68" s="16"/>
      <c r="H68" s="16"/>
      <c r="I68" s="16"/>
      <c r="J68" s="16"/>
      <c r="K68" s="16"/>
      <c r="L68" s="16"/>
      <c r="M68" s="16"/>
      <c r="N68" s="16"/>
      <c r="O68" s="16"/>
      <c r="P68" s="16"/>
      <c r="Q68" s="16"/>
      <c r="R68" s="16"/>
      <c r="S68" s="16"/>
      <c r="T68" s="16"/>
    </row>
    <row r="69" spans="1:20" x14ac:dyDescent="0.25">
      <c r="A69" s="227" t="s">
        <v>381</v>
      </c>
      <c r="B69" s="16"/>
      <c r="C69" s="16"/>
      <c r="D69" s="16"/>
      <c r="E69" s="16"/>
      <c r="F69" s="16"/>
      <c r="G69" s="16"/>
      <c r="H69" s="16"/>
      <c r="I69" s="16"/>
      <c r="J69" s="16"/>
      <c r="K69" s="16"/>
      <c r="L69" s="16"/>
      <c r="M69" s="16"/>
      <c r="N69" s="16"/>
      <c r="O69" s="16"/>
      <c r="P69" s="16"/>
      <c r="Q69" s="16"/>
      <c r="R69" s="16"/>
      <c r="S69" s="16"/>
      <c r="T69" s="16"/>
    </row>
    <row r="70" spans="1:20" x14ac:dyDescent="0.25">
      <c r="A70" s="227" t="s">
        <v>382</v>
      </c>
      <c r="B70" s="16"/>
      <c r="C70" s="16"/>
      <c r="D70" s="16"/>
    </row>
    <row r="71" spans="1:20" x14ac:dyDescent="0.25">
      <c r="A71" s="227" t="s">
        <v>383</v>
      </c>
    </row>
    <row r="72" spans="1:20" x14ac:dyDescent="0.25">
      <c r="A72" s="227" t="s">
        <v>240</v>
      </c>
    </row>
    <row r="73" spans="1:20" x14ac:dyDescent="0.25">
      <c r="A73" s="227" t="s">
        <v>384</v>
      </c>
    </row>
    <row r="74" spans="1:20" hidden="1" x14ac:dyDescent="0.25">
      <c r="A74" s="360" t="s">
        <v>467</v>
      </c>
    </row>
    <row r="75" spans="1:20" x14ac:dyDescent="0.25">
      <c r="A75" s="225"/>
    </row>
    <row r="76" spans="1:20" x14ac:dyDescent="0.25">
      <c r="A76" s="225" t="s">
        <v>218</v>
      </c>
    </row>
    <row r="77" spans="1:20" x14ac:dyDescent="0.25">
      <c r="A77" s="225" t="s">
        <v>217</v>
      </c>
    </row>
    <row r="78" spans="1:20" x14ac:dyDescent="0.25">
      <c r="A78" s="227"/>
    </row>
    <row r="79" spans="1:20" x14ac:dyDescent="0.25">
      <c r="A79" s="227" t="s">
        <v>385</v>
      </c>
    </row>
    <row r="80" spans="1:20" x14ac:dyDescent="0.25">
      <c r="A80" s="227" t="s">
        <v>386</v>
      </c>
    </row>
    <row r="81" spans="1:20" x14ac:dyDescent="0.25">
      <c r="A81" s="225" t="s">
        <v>542</v>
      </c>
    </row>
    <row r="82" spans="1:20" x14ac:dyDescent="0.25">
      <c r="A82" s="293" t="s">
        <v>387</v>
      </c>
    </row>
    <row r="83" spans="1:20" x14ac:dyDescent="0.25">
      <c r="A83" s="293" t="s">
        <v>388</v>
      </c>
    </row>
    <row r="84" spans="1:20" hidden="1" x14ac:dyDescent="0.25">
      <c r="A84" s="360" t="s">
        <v>346</v>
      </c>
      <c r="E84" s="16"/>
      <c r="F84" s="16"/>
      <c r="G84" s="16"/>
      <c r="H84" s="16"/>
      <c r="I84" s="16"/>
      <c r="J84" s="16"/>
      <c r="K84" s="16"/>
      <c r="L84" s="16"/>
      <c r="M84" s="16"/>
      <c r="N84" s="16"/>
      <c r="O84" s="16"/>
      <c r="P84" s="16"/>
      <c r="Q84" s="16"/>
      <c r="R84" s="16"/>
      <c r="S84" s="16"/>
      <c r="T84" s="16"/>
    </row>
    <row r="85" spans="1:20" x14ac:dyDescent="0.25">
      <c r="A85" s="225"/>
      <c r="B85" s="16"/>
      <c r="C85" s="16"/>
      <c r="D85" s="16"/>
      <c r="E85" s="16"/>
      <c r="F85" s="16"/>
      <c r="G85" s="16"/>
      <c r="H85" s="16"/>
      <c r="I85" s="16"/>
      <c r="J85" s="16"/>
      <c r="K85" s="16"/>
      <c r="L85" s="16"/>
      <c r="M85" s="16"/>
      <c r="N85" s="16"/>
      <c r="O85" s="16"/>
      <c r="P85" s="16"/>
      <c r="Q85" s="16"/>
      <c r="R85" s="16"/>
      <c r="S85" s="16"/>
      <c r="T85" s="16"/>
    </row>
    <row r="86" spans="1:20" x14ac:dyDescent="0.25">
      <c r="A86" s="225" t="s">
        <v>389</v>
      </c>
      <c r="B86" s="16"/>
      <c r="C86" s="16"/>
      <c r="D86" s="16"/>
      <c r="E86" s="16"/>
      <c r="F86" s="16"/>
      <c r="G86" s="16"/>
      <c r="H86" s="16"/>
      <c r="I86" s="16"/>
      <c r="J86" s="16"/>
      <c r="K86" s="16"/>
      <c r="L86" s="16"/>
      <c r="M86" s="16"/>
      <c r="N86" s="16"/>
      <c r="O86" s="16"/>
      <c r="P86" s="16"/>
      <c r="Q86" s="16"/>
      <c r="R86" s="16"/>
      <c r="S86" s="16"/>
      <c r="T86" s="16"/>
    </row>
    <row r="87" spans="1:20" x14ac:dyDescent="0.25">
      <c r="A87" s="225"/>
      <c r="B87" s="16"/>
      <c r="C87" s="16"/>
      <c r="D87" s="16"/>
      <c r="E87" s="16"/>
      <c r="F87" s="16"/>
      <c r="G87" s="16"/>
      <c r="H87" s="16"/>
      <c r="I87" s="16"/>
      <c r="J87" s="16"/>
      <c r="K87" s="16"/>
      <c r="L87" s="16"/>
      <c r="M87" s="16"/>
      <c r="N87" s="16"/>
      <c r="O87" s="16"/>
      <c r="P87" s="16"/>
      <c r="Q87" s="16"/>
      <c r="R87" s="16"/>
      <c r="S87" s="16"/>
      <c r="T87" s="16"/>
    </row>
    <row r="88" spans="1:20" x14ac:dyDescent="0.25">
      <c r="A88" s="469" t="s">
        <v>253</v>
      </c>
      <c r="B88" s="16"/>
      <c r="C88" s="16"/>
      <c r="D88" s="16"/>
      <c r="E88" s="16"/>
      <c r="F88" s="16"/>
      <c r="G88" s="16"/>
      <c r="H88" s="16"/>
      <c r="I88" s="16"/>
      <c r="J88" s="16"/>
      <c r="K88" s="16"/>
      <c r="L88" s="16"/>
      <c r="M88" s="16"/>
      <c r="N88" s="16"/>
      <c r="O88" s="16"/>
      <c r="P88" s="16"/>
      <c r="Q88" s="16"/>
      <c r="R88" s="16"/>
      <c r="S88" s="16"/>
      <c r="T88" s="16"/>
    </row>
    <row r="89" spans="1:20" x14ac:dyDescent="0.25">
      <c r="A89" s="227" t="s">
        <v>390</v>
      </c>
      <c r="B89" s="16"/>
      <c r="C89" s="16"/>
      <c r="D89" s="16"/>
      <c r="E89" s="16"/>
      <c r="F89" s="16"/>
      <c r="G89" s="16"/>
      <c r="H89" s="16"/>
      <c r="I89" s="16"/>
      <c r="J89" s="16"/>
      <c r="K89" s="16"/>
      <c r="L89" s="16"/>
      <c r="M89" s="16"/>
      <c r="N89" s="16"/>
      <c r="O89" s="16"/>
      <c r="P89" s="16"/>
      <c r="Q89" s="16"/>
      <c r="R89" s="16"/>
      <c r="S89" s="16"/>
      <c r="T89" s="16"/>
    </row>
    <row r="90" spans="1:20" x14ac:dyDescent="0.25">
      <c r="A90" s="227"/>
      <c r="B90" s="16"/>
      <c r="C90" s="16"/>
      <c r="D90" s="16"/>
      <c r="E90" s="16"/>
      <c r="F90" s="16"/>
      <c r="G90" s="16"/>
      <c r="H90" s="16"/>
      <c r="I90" s="16"/>
      <c r="J90" s="16"/>
      <c r="K90" s="16"/>
      <c r="L90" s="16"/>
      <c r="M90" s="16"/>
      <c r="N90" s="16"/>
      <c r="O90" s="16"/>
      <c r="P90" s="16"/>
      <c r="Q90" s="16"/>
      <c r="R90" s="16"/>
      <c r="S90" s="16"/>
      <c r="T90" s="16"/>
    </row>
    <row r="91" spans="1:20" x14ac:dyDescent="0.25">
      <c r="A91" s="227" t="s">
        <v>353</v>
      </c>
      <c r="B91" s="16"/>
      <c r="C91" s="16"/>
      <c r="D91" s="16"/>
      <c r="E91" s="16"/>
      <c r="F91" s="16"/>
      <c r="G91" s="16"/>
      <c r="H91" s="16"/>
      <c r="I91" s="16"/>
      <c r="J91" s="16"/>
      <c r="K91" s="16"/>
      <c r="L91" s="16"/>
      <c r="M91" s="16"/>
      <c r="N91" s="16"/>
      <c r="O91" s="16"/>
      <c r="P91" s="16"/>
      <c r="Q91" s="16"/>
      <c r="R91" s="16"/>
      <c r="S91" s="16"/>
      <c r="T91" s="16"/>
    </row>
    <row r="92" spans="1:20" x14ac:dyDescent="0.25">
      <c r="A92" s="227" t="s">
        <v>391</v>
      </c>
      <c r="B92" s="16"/>
      <c r="C92" s="16"/>
      <c r="D92" s="16"/>
      <c r="E92" s="16"/>
      <c r="F92" s="16"/>
      <c r="G92" s="16"/>
      <c r="H92" s="16"/>
      <c r="I92" s="16"/>
      <c r="J92" s="16"/>
      <c r="K92" s="16"/>
      <c r="L92" s="16"/>
      <c r="M92" s="16"/>
      <c r="N92" s="16"/>
      <c r="O92" s="16"/>
      <c r="P92" s="16"/>
      <c r="Q92" s="16"/>
      <c r="R92" s="16"/>
      <c r="S92" s="16"/>
      <c r="T92" s="16"/>
    </row>
    <row r="93" spans="1:20" x14ac:dyDescent="0.25">
      <c r="A93" s="227"/>
      <c r="B93" s="16"/>
      <c r="C93" s="16"/>
      <c r="D93" s="16"/>
      <c r="E93" s="16"/>
      <c r="F93" s="16"/>
      <c r="G93" s="16"/>
      <c r="H93" s="16"/>
      <c r="I93" s="16"/>
      <c r="J93" s="16"/>
      <c r="K93" s="16"/>
      <c r="L93" s="16"/>
      <c r="M93" s="16"/>
      <c r="N93" s="16"/>
      <c r="O93" s="16"/>
      <c r="P93" s="16"/>
      <c r="Q93" s="16"/>
      <c r="R93" s="16"/>
      <c r="S93" s="16"/>
      <c r="T93" s="16"/>
    </row>
    <row r="94" spans="1:20" x14ac:dyDescent="0.25">
      <c r="A94" s="227" t="s">
        <v>392</v>
      </c>
      <c r="B94" s="16"/>
      <c r="C94" s="16"/>
      <c r="D94" s="16"/>
      <c r="E94" s="16"/>
      <c r="F94" s="16"/>
      <c r="G94" s="16"/>
      <c r="H94" s="16"/>
      <c r="I94" s="16"/>
      <c r="J94" s="16"/>
      <c r="K94" s="16"/>
      <c r="L94" s="16"/>
      <c r="M94" s="16"/>
      <c r="N94" s="16"/>
      <c r="O94" s="16"/>
      <c r="P94" s="16"/>
      <c r="Q94" s="16"/>
      <c r="R94" s="16"/>
      <c r="S94" s="16"/>
      <c r="T94" s="16"/>
    </row>
    <row r="95" spans="1:20" x14ac:dyDescent="0.25">
      <c r="A95" s="227" t="s">
        <v>393</v>
      </c>
      <c r="B95" s="16"/>
      <c r="C95" s="16"/>
      <c r="D95" s="16"/>
      <c r="E95" s="16"/>
      <c r="F95" s="16"/>
      <c r="G95" s="16"/>
      <c r="H95" s="16"/>
      <c r="I95" s="16"/>
      <c r="J95" s="16"/>
      <c r="K95" s="16"/>
      <c r="L95" s="16"/>
      <c r="M95" s="16"/>
      <c r="N95" s="16"/>
      <c r="O95" s="16"/>
      <c r="P95" s="16"/>
      <c r="Q95" s="16"/>
      <c r="R95" s="16"/>
      <c r="S95" s="16"/>
      <c r="T95" s="16"/>
    </row>
    <row r="96" spans="1:20" x14ac:dyDescent="0.25">
      <c r="A96" s="227"/>
      <c r="B96" s="16"/>
      <c r="C96" s="16"/>
      <c r="D96" s="16"/>
      <c r="E96" s="16"/>
      <c r="F96" s="16"/>
      <c r="G96" s="16"/>
      <c r="H96" s="16"/>
      <c r="I96" s="16"/>
      <c r="J96" s="16"/>
      <c r="K96" s="16"/>
      <c r="L96" s="16"/>
      <c r="M96" s="16"/>
      <c r="N96" s="16"/>
      <c r="O96" s="16"/>
      <c r="P96" s="16"/>
      <c r="Q96" s="16"/>
      <c r="R96" s="16"/>
      <c r="S96" s="16"/>
      <c r="T96" s="16"/>
    </row>
    <row r="97" spans="1:4" x14ac:dyDescent="0.25">
      <c r="A97" s="227" t="s">
        <v>394</v>
      </c>
      <c r="B97" s="16"/>
      <c r="C97" s="16"/>
      <c r="D97" s="16"/>
    </row>
    <row r="98" spans="1:4" x14ac:dyDescent="0.25">
      <c r="A98" s="225"/>
    </row>
    <row r="99" spans="1:4" x14ac:dyDescent="0.25">
      <c r="A99" s="225" t="s">
        <v>395</v>
      </c>
    </row>
    <row r="100" spans="1:4" x14ac:dyDescent="0.25">
      <c r="A100" s="225"/>
    </row>
    <row r="101" spans="1:4" hidden="1" x14ac:dyDescent="0.25">
      <c r="A101" s="361" t="s">
        <v>396</v>
      </c>
    </row>
    <row r="102" spans="1:4" hidden="1" x14ac:dyDescent="0.25">
      <c r="A102" s="360" t="s">
        <v>397</v>
      </c>
    </row>
    <row r="103" spans="1:4" hidden="1" x14ac:dyDescent="0.25">
      <c r="A103" s="360"/>
    </row>
    <row r="104" spans="1:4" hidden="1" x14ac:dyDescent="0.25">
      <c r="A104" s="362" t="s">
        <v>398</v>
      </c>
    </row>
    <row r="105" spans="1:4" hidden="1" x14ac:dyDescent="0.25">
      <c r="A105" s="363"/>
    </row>
    <row r="106" spans="1:4" x14ac:dyDescent="0.25">
      <c r="A106" s="470" t="s">
        <v>399</v>
      </c>
    </row>
    <row r="107" spans="1:4" x14ac:dyDescent="0.25">
      <c r="A107" s="227" t="s">
        <v>400</v>
      </c>
    </row>
    <row r="108" spans="1:4" x14ac:dyDescent="0.25">
      <c r="A108" s="227" t="s">
        <v>401</v>
      </c>
    </row>
    <row r="109" spans="1:4" x14ac:dyDescent="0.25">
      <c r="A109" s="227"/>
    </row>
    <row r="110" spans="1:4" x14ac:dyDescent="0.25">
      <c r="A110" s="227" t="s">
        <v>402</v>
      </c>
    </row>
    <row r="111" spans="1:4" x14ac:dyDescent="0.25">
      <c r="A111" s="227" t="s">
        <v>403</v>
      </c>
    </row>
    <row r="112" spans="1:4" x14ac:dyDescent="0.25">
      <c r="A112" s="227" t="s">
        <v>404</v>
      </c>
    </row>
    <row r="113" spans="1:1" x14ac:dyDescent="0.25">
      <c r="A113" s="227"/>
    </row>
    <row r="114" spans="1:1" x14ac:dyDescent="0.25">
      <c r="A114" s="227" t="s">
        <v>405</v>
      </c>
    </row>
    <row r="115" spans="1:1" x14ac:dyDescent="0.25">
      <c r="A115" s="227" t="s">
        <v>406</v>
      </c>
    </row>
    <row r="116" spans="1:1" x14ac:dyDescent="0.25">
      <c r="A116" s="227" t="s">
        <v>407</v>
      </c>
    </row>
  </sheetData>
  <sheetProtection algorithmName="SHA-512" hashValue="O6L5FCME1aT/uCDRgav1r8D7stima/mY5yeI/viRvvYcaNYOyYEeJYKSpr3OVhl13BzOhZyfr9MuCmZql6BL9Q==" saltValue="CgLmcjYznOjJRXeSLqvX0A==" spinCount="100000" sheet="1" objects="1" scenarios="1"/>
  <pageMargins left="0.70866141732283472" right="0.70866141732283472" top="0.74803149606299213" bottom="0.74803149606299213" header="0.31496062992125984" footer="0.31496062992125984"/>
  <pageSetup paperSize="9" scale="35" orientation="landscape" r:id="rId1"/>
  <headerFooter>
    <oddFooter>&amp;LVersie: september 2023&amp;C&amp;A&amp;R&amp;P van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B451A-0018-42D0-8B25-E4253246FE86}">
  <sheetPr codeName="Blad18">
    <tabColor theme="9" tint="0.79998168889431442"/>
  </sheetPr>
  <dimension ref="A1:Z57"/>
  <sheetViews>
    <sheetView showGridLines="0" zoomScaleNormal="100" workbookViewId="0">
      <pane xSplit="1" ySplit="4" topLeftCell="B5" activePane="bottomRight" state="frozen"/>
      <selection activeCell="O25" sqref="O25"/>
      <selection pane="topRight" activeCell="O25" sqref="O25"/>
      <selection pane="bottomLeft" activeCell="O25" sqref="O25"/>
      <selection pane="bottomRight" activeCell="K9" sqref="K9"/>
    </sheetView>
  </sheetViews>
  <sheetFormatPr defaultColWidth="9.140625" defaultRowHeight="15" customHeight="1" zeroHeight="1" x14ac:dyDescent="0.25"/>
  <cols>
    <col min="1" max="1" width="11.28515625" style="36" bestFit="1" customWidth="1"/>
    <col min="2" max="2" width="14.28515625" style="36" customWidth="1"/>
    <col min="3" max="3" width="39" style="35" customWidth="1"/>
    <col min="4" max="4" width="14.5703125" style="35" customWidth="1"/>
    <col min="5" max="5" width="15.42578125" style="35" bestFit="1" customWidth="1"/>
    <col min="6" max="7" width="18.7109375" style="35" customWidth="1"/>
    <col min="8" max="8" width="15.28515625" style="35" bestFit="1" customWidth="1"/>
    <col min="9" max="9" width="16.42578125" style="35" customWidth="1"/>
    <col min="10" max="10" width="11" style="35" bestFit="1" customWidth="1"/>
    <col min="11" max="11" width="58.42578125" style="35" customWidth="1"/>
    <col min="12" max="12" width="9.85546875" style="35" hidden="1" customWidth="1"/>
    <col min="13" max="13" width="11" style="35" hidden="1" customWidth="1"/>
    <col min="14" max="14" width="15.42578125" style="35" hidden="1" customWidth="1"/>
    <col min="15" max="15" width="18.140625" style="35" hidden="1" customWidth="1"/>
    <col min="16" max="16" width="18.42578125" style="35" hidden="1" customWidth="1"/>
    <col min="17" max="17" width="15.7109375" style="35" hidden="1" customWidth="1"/>
    <col min="18" max="18" width="16.42578125" style="35" hidden="1" customWidth="1"/>
    <col min="19" max="19" width="11" style="35" hidden="1" customWidth="1"/>
    <col min="20" max="20" width="61.5703125" style="35" hidden="1" customWidth="1"/>
    <col min="21" max="21" width="12" style="35" bestFit="1" customWidth="1"/>
    <col min="22" max="22" width="9.7109375" style="35" bestFit="1" customWidth="1"/>
    <col min="23" max="23" width="15.28515625" style="35" customWidth="1"/>
    <col min="24" max="24" width="11.140625" style="35" customWidth="1"/>
    <col min="25" max="25" width="11.85546875" style="35" hidden="1" customWidth="1"/>
    <col min="27" max="28" width="7.7109375" style="35" customWidth="1"/>
    <col min="29" max="16384" width="9.140625" style="35"/>
  </cols>
  <sheetData>
    <row r="1" spans="1:25" s="25" customFormat="1" ht="15" customHeight="1" x14ac:dyDescent="0.25">
      <c r="A1" s="11"/>
      <c r="B1" s="8" t="s">
        <v>55</v>
      </c>
      <c r="C1" s="221"/>
      <c r="D1" s="8"/>
      <c r="E1" s="8"/>
      <c r="F1" s="8"/>
      <c r="G1" s="14"/>
      <c r="H1" s="8"/>
      <c r="I1" s="8"/>
      <c r="J1" s="8"/>
      <c r="K1" s="8"/>
      <c r="L1" s="11"/>
      <c r="M1" s="14"/>
      <c r="N1" s="14"/>
      <c r="O1" s="14"/>
      <c r="P1" s="14"/>
      <c r="Q1" s="8"/>
      <c r="R1" s="8"/>
      <c r="S1" s="8"/>
      <c r="T1" s="8"/>
      <c r="U1" s="8"/>
      <c r="V1" s="8"/>
      <c r="W1" s="8"/>
      <c r="X1" s="8"/>
      <c r="Y1" s="8"/>
    </row>
    <row r="2" spans="1:25" s="25" customFormat="1" ht="15" customHeight="1" x14ac:dyDescent="0.25">
      <c r="A2" s="124"/>
      <c r="B2" s="125" t="s">
        <v>20</v>
      </c>
      <c r="C2" s="475" t="str">
        <f>IF(OR('1. Aanvraaggegevens'!C8="",'1. Aanvraaggegevens'!C8=0),"Kies een berekeningsmethode op tabblad '1. Aanvraaggegevens'",'1. Aanvraaggegevens'!C8)</f>
        <v>Kies een berekeningsmethode op tabblad '1. Aanvraaggegevens'</v>
      </c>
      <c r="D2" s="125"/>
      <c r="E2" s="125"/>
      <c r="F2" s="125"/>
      <c r="G2" s="126"/>
      <c r="H2" s="127" t="str">
        <f>IF(C2="Vereenvoudigde kostenoptie voor arbeidskosten","--&gt;U heeft gekozen voor een forfait voor arbeidskosten. U hoeft daarom geen loonkosten op te geven.","")</f>
        <v/>
      </c>
      <c r="I2" s="127"/>
      <c r="J2" s="127"/>
      <c r="K2" s="127"/>
      <c r="L2" s="124"/>
      <c r="M2" s="126"/>
      <c r="N2" s="126"/>
      <c r="O2" s="126"/>
      <c r="P2" s="126"/>
      <c r="Q2" s="127" t="str">
        <f>IF(G2="Vereenvoudigde kostenoptie voor arbeidskosten","--&gt;U heeft gekozen voor een forfait voor arbeidskosten. U hoeft daarom geen loonkosten op te geven.","")</f>
        <v/>
      </c>
      <c r="R2" s="127"/>
      <c r="S2" s="127"/>
      <c r="T2" s="127"/>
      <c r="U2" s="125"/>
      <c r="V2" s="125"/>
      <c r="W2" s="125"/>
      <c r="X2" s="125"/>
      <c r="Y2" s="125"/>
    </row>
    <row r="3" spans="1:25" s="25" customFormat="1" ht="15" customHeight="1" x14ac:dyDescent="0.25">
      <c r="A3" s="73"/>
      <c r="B3" s="138"/>
      <c r="C3" s="138"/>
      <c r="D3" s="430" t="s">
        <v>221</v>
      </c>
      <c r="E3" s="431"/>
      <c r="F3" s="431"/>
      <c r="G3" s="431"/>
      <c r="H3" s="431"/>
      <c r="I3" s="431"/>
      <c r="J3" s="431"/>
      <c r="K3" s="432"/>
      <c r="L3" s="389" t="s">
        <v>147</v>
      </c>
      <c r="M3" s="390"/>
      <c r="N3" s="390"/>
      <c r="O3" s="390"/>
      <c r="P3" s="390"/>
      <c r="Q3" s="390"/>
      <c r="R3" s="390"/>
      <c r="S3" s="390"/>
      <c r="T3" s="390"/>
      <c r="U3" s="185"/>
      <c r="V3" s="138"/>
      <c r="W3" s="138"/>
      <c r="X3" s="138"/>
      <c r="Y3" s="218"/>
    </row>
    <row r="4" spans="1:25" s="27" customFormat="1" ht="60" x14ac:dyDescent="0.25">
      <c r="A4" s="74" t="s">
        <v>29</v>
      </c>
      <c r="B4" s="74" t="s">
        <v>36</v>
      </c>
      <c r="C4" s="128" t="s">
        <v>227</v>
      </c>
      <c r="D4" s="134" t="s">
        <v>34</v>
      </c>
      <c r="E4" s="135" t="s">
        <v>78</v>
      </c>
      <c r="F4" s="135" t="s">
        <v>33</v>
      </c>
      <c r="G4" s="136" t="s">
        <v>26</v>
      </c>
      <c r="H4" s="136" t="s">
        <v>13</v>
      </c>
      <c r="I4" s="136" t="s">
        <v>14</v>
      </c>
      <c r="J4" s="173" t="s">
        <v>37</v>
      </c>
      <c r="K4" s="216" t="s">
        <v>222</v>
      </c>
      <c r="L4" s="134" t="s">
        <v>148</v>
      </c>
      <c r="M4" s="135" t="s">
        <v>34</v>
      </c>
      <c r="N4" s="135" t="s">
        <v>78</v>
      </c>
      <c r="O4" s="135" t="s">
        <v>33</v>
      </c>
      <c r="P4" s="136" t="s">
        <v>26</v>
      </c>
      <c r="Q4" s="136" t="s">
        <v>13</v>
      </c>
      <c r="R4" s="136" t="s">
        <v>14</v>
      </c>
      <c r="S4" s="173" t="s">
        <v>37</v>
      </c>
      <c r="T4" s="182" t="s">
        <v>223</v>
      </c>
      <c r="U4" s="184" t="s">
        <v>244</v>
      </c>
      <c r="V4" s="130" t="s">
        <v>135</v>
      </c>
      <c r="W4" s="74" t="s">
        <v>137</v>
      </c>
      <c r="X4" s="74" t="s">
        <v>149</v>
      </c>
      <c r="Y4" s="74" t="s">
        <v>150</v>
      </c>
    </row>
    <row r="5" spans="1:25" x14ac:dyDescent="0.25">
      <c r="A5" s="328" t="str">
        <f>IF(OR($B5="Ja",$B5="Nee"),MAX($A$4:A4)+1,"")</f>
        <v/>
      </c>
      <c r="B5" s="346" t="s">
        <v>35</v>
      </c>
      <c r="C5" s="330"/>
      <c r="D5" s="331"/>
      <c r="E5" s="347"/>
      <c r="F5" s="333"/>
      <c r="G5" s="333"/>
      <c r="H5" s="335">
        <f>SUM(F5*12,G5)</f>
        <v>0</v>
      </c>
      <c r="I5" s="348">
        <f>1720*E5/40</f>
        <v>0</v>
      </c>
      <c r="J5" s="349">
        <f t="shared" ref="J5:J36" si="0">IF($B5="nee",IFERROR(ROUND(H5*(1+$W5)/I5,2),0),0)</f>
        <v>0</v>
      </c>
      <c r="K5" s="350"/>
      <c r="L5" s="338"/>
      <c r="M5" s="334"/>
      <c r="N5" s="351"/>
      <c r="O5" s="334"/>
      <c r="P5" s="334"/>
      <c r="Q5" s="335">
        <f>SUM(O5*12,P5)</f>
        <v>0</v>
      </c>
      <c r="R5" s="348">
        <f t="shared" ref="R5:R36" si="1">1720*N5/40</f>
        <v>0</v>
      </c>
      <c r="S5" s="349">
        <f t="shared" ref="S5:S36" si="2">IF($B5="nee",IFERROR(ROUND(Q5*(1+$W5)/R5,2),0),0)</f>
        <v>0</v>
      </c>
      <c r="T5" s="350"/>
      <c r="U5" s="335" t="s">
        <v>136</v>
      </c>
      <c r="V5" s="341" t="str">
        <f t="shared" ref="V5:V36" si="3">IF(Methode_Keuze&lt;&gt;"",IF($C$2="Vereenvoudigde kostenoptie voor overige kosten","nee","ja"),"ja")</f>
        <v>ja</v>
      </c>
      <c r="W5" s="342">
        <f>IF(V5="ja",0.442*(1.15)+0.15,0.442)</f>
        <v>0.6583</v>
      </c>
      <c r="X5" s="343">
        <f>IF(B5="Ja",D5,J5)</f>
        <v>0</v>
      </c>
      <c r="Y5" s="343" t="str">
        <f>IF(B5="Ja",IF(L5="JA",D5,M5),IF(B5="Nee",IF(L5="JA",J5,S5),""))</f>
        <v/>
      </c>
    </row>
    <row r="6" spans="1:25" x14ac:dyDescent="0.25">
      <c r="A6" s="328" t="str">
        <f>IF(B6&lt;&gt;"&lt;Selecteer&gt;",MAX($A$4:A5)+1,"")</f>
        <v/>
      </c>
      <c r="B6" s="346" t="s">
        <v>35</v>
      </c>
      <c r="C6" s="330"/>
      <c r="D6" s="331"/>
      <c r="E6" s="347"/>
      <c r="F6" s="333"/>
      <c r="G6" s="333"/>
      <c r="H6" s="335">
        <f t="shared" ref="H6:H54" si="4">SUM(F6*12,G6)</f>
        <v>0</v>
      </c>
      <c r="I6" s="348">
        <f t="shared" ref="I6:I54" si="5">1720*E6/40</f>
        <v>0</v>
      </c>
      <c r="J6" s="349">
        <f t="shared" si="0"/>
        <v>0</v>
      </c>
      <c r="K6" s="350"/>
      <c r="L6" s="338"/>
      <c r="M6" s="334"/>
      <c r="N6" s="351"/>
      <c r="O6" s="334"/>
      <c r="P6" s="334"/>
      <c r="Q6" s="335">
        <f t="shared" ref="Q6:Q54" si="6">SUM(O6*12,P6)</f>
        <v>0</v>
      </c>
      <c r="R6" s="348">
        <f t="shared" si="1"/>
        <v>0</v>
      </c>
      <c r="S6" s="349">
        <f t="shared" si="2"/>
        <v>0</v>
      </c>
      <c r="T6" s="350"/>
      <c r="U6" s="335" t="s">
        <v>136</v>
      </c>
      <c r="V6" s="341" t="str">
        <f t="shared" si="3"/>
        <v>ja</v>
      </c>
      <c r="W6" s="342">
        <f t="shared" ref="W6:W54" si="7">IF(V6="ja",0.442*(1.15)+0.15,0.442)</f>
        <v>0.6583</v>
      </c>
      <c r="X6" s="343">
        <f t="shared" ref="X6:X54" si="8">IF(B6="Ja",D6,J6)</f>
        <v>0</v>
      </c>
      <c r="Y6" s="343" t="str">
        <f t="shared" ref="Y6:Y54" si="9">IF(B6="Ja",IF(L6="JA",D6,M6),IF(B6="Nee",IF(L6="JA",J6,S6),""))</f>
        <v/>
      </c>
    </row>
    <row r="7" spans="1:25" x14ac:dyDescent="0.25">
      <c r="A7" s="328" t="str">
        <f>IF(B7&lt;&gt;"&lt;Selecteer&gt;",MAX($A$4:A6)+1,"")</f>
        <v/>
      </c>
      <c r="B7" s="346" t="s">
        <v>35</v>
      </c>
      <c r="C7" s="330"/>
      <c r="D7" s="331"/>
      <c r="E7" s="347"/>
      <c r="F7" s="333"/>
      <c r="G7" s="333"/>
      <c r="H7" s="335">
        <f t="shared" si="4"/>
        <v>0</v>
      </c>
      <c r="I7" s="348">
        <f t="shared" si="5"/>
        <v>0</v>
      </c>
      <c r="J7" s="349">
        <f t="shared" si="0"/>
        <v>0</v>
      </c>
      <c r="K7" s="350"/>
      <c r="L7" s="338"/>
      <c r="M7" s="334"/>
      <c r="N7" s="351"/>
      <c r="O7" s="334"/>
      <c r="P7" s="334"/>
      <c r="Q7" s="335">
        <f t="shared" si="6"/>
        <v>0</v>
      </c>
      <c r="R7" s="348">
        <f t="shared" si="1"/>
        <v>0</v>
      </c>
      <c r="S7" s="349">
        <f t="shared" si="2"/>
        <v>0</v>
      </c>
      <c r="T7" s="350"/>
      <c r="U7" s="335" t="s">
        <v>136</v>
      </c>
      <c r="V7" s="341" t="str">
        <f t="shared" si="3"/>
        <v>ja</v>
      </c>
      <c r="W7" s="342">
        <f t="shared" si="7"/>
        <v>0.6583</v>
      </c>
      <c r="X7" s="343">
        <f t="shared" si="8"/>
        <v>0</v>
      </c>
      <c r="Y7" s="343" t="str">
        <f t="shared" si="9"/>
        <v/>
      </c>
    </row>
    <row r="8" spans="1:25" x14ac:dyDescent="0.25">
      <c r="A8" s="328" t="str">
        <f>IF(B8&lt;&gt;"&lt;Selecteer&gt;",MAX($A$4:A7)+1,"")</f>
        <v/>
      </c>
      <c r="B8" s="346" t="s">
        <v>35</v>
      </c>
      <c r="C8" s="330"/>
      <c r="D8" s="331"/>
      <c r="E8" s="347"/>
      <c r="F8" s="333"/>
      <c r="G8" s="333"/>
      <c r="H8" s="335">
        <f t="shared" si="4"/>
        <v>0</v>
      </c>
      <c r="I8" s="348">
        <f t="shared" si="5"/>
        <v>0</v>
      </c>
      <c r="J8" s="349">
        <f t="shared" si="0"/>
        <v>0</v>
      </c>
      <c r="K8" s="350"/>
      <c r="L8" s="338"/>
      <c r="M8" s="334"/>
      <c r="N8" s="351"/>
      <c r="O8" s="334"/>
      <c r="P8" s="334"/>
      <c r="Q8" s="335">
        <f t="shared" si="6"/>
        <v>0</v>
      </c>
      <c r="R8" s="348">
        <f t="shared" si="1"/>
        <v>0</v>
      </c>
      <c r="S8" s="349">
        <f t="shared" si="2"/>
        <v>0</v>
      </c>
      <c r="T8" s="350"/>
      <c r="U8" s="335" t="s">
        <v>136</v>
      </c>
      <c r="V8" s="341" t="str">
        <f t="shared" si="3"/>
        <v>ja</v>
      </c>
      <c r="W8" s="342">
        <f t="shared" si="7"/>
        <v>0.6583</v>
      </c>
      <c r="X8" s="343">
        <f t="shared" si="8"/>
        <v>0</v>
      </c>
      <c r="Y8" s="343" t="str">
        <f t="shared" si="9"/>
        <v/>
      </c>
    </row>
    <row r="9" spans="1:25" x14ac:dyDescent="0.25">
      <c r="A9" s="328" t="str">
        <f>IF(B9&lt;&gt;"&lt;Selecteer&gt;",MAX($A$4:A8)+1,"")</f>
        <v/>
      </c>
      <c r="B9" s="346" t="s">
        <v>35</v>
      </c>
      <c r="C9" s="330"/>
      <c r="D9" s="331"/>
      <c r="E9" s="347"/>
      <c r="F9" s="333"/>
      <c r="G9" s="333"/>
      <c r="H9" s="335">
        <f t="shared" si="4"/>
        <v>0</v>
      </c>
      <c r="I9" s="348">
        <f t="shared" si="5"/>
        <v>0</v>
      </c>
      <c r="J9" s="349">
        <f t="shared" si="0"/>
        <v>0</v>
      </c>
      <c r="K9" s="350"/>
      <c r="L9" s="338"/>
      <c r="M9" s="334"/>
      <c r="N9" s="351"/>
      <c r="O9" s="334"/>
      <c r="P9" s="334"/>
      <c r="Q9" s="335">
        <f t="shared" si="6"/>
        <v>0</v>
      </c>
      <c r="R9" s="348">
        <f t="shared" si="1"/>
        <v>0</v>
      </c>
      <c r="S9" s="349">
        <f t="shared" si="2"/>
        <v>0</v>
      </c>
      <c r="T9" s="350"/>
      <c r="U9" s="335" t="s">
        <v>136</v>
      </c>
      <c r="V9" s="341" t="str">
        <f t="shared" si="3"/>
        <v>ja</v>
      </c>
      <c r="W9" s="342">
        <f t="shared" si="7"/>
        <v>0.6583</v>
      </c>
      <c r="X9" s="343">
        <f t="shared" si="8"/>
        <v>0</v>
      </c>
      <c r="Y9" s="343" t="str">
        <f t="shared" si="9"/>
        <v/>
      </c>
    </row>
    <row r="10" spans="1:25" x14ac:dyDescent="0.25">
      <c r="A10" s="328" t="str">
        <f>IF(B10&lt;&gt;"&lt;Selecteer&gt;",MAX($A$4:A9)+1,"")</f>
        <v/>
      </c>
      <c r="B10" s="346" t="s">
        <v>35</v>
      </c>
      <c r="C10" s="330"/>
      <c r="D10" s="331"/>
      <c r="E10" s="347"/>
      <c r="F10" s="333"/>
      <c r="G10" s="333"/>
      <c r="H10" s="335">
        <f t="shared" si="4"/>
        <v>0</v>
      </c>
      <c r="I10" s="348">
        <f t="shared" si="5"/>
        <v>0</v>
      </c>
      <c r="J10" s="349">
        <f t="shared" si="0"/>
        <v>0</v>
      </c>
      <c r="K10" s="350"/>
      <c r="L10" s="338"/>
      <c r="M10" s="334"/>
      <c r="N10" s="351"/>
      <c r="O10" s="334"/>
      <c r="P10" s="334"/>
      <c r="Q10" s="335">
        <f t="shared" si="6"/>
        <v>0</v>
      </c>
      <c r="R10" s="348">
        <f t="shared" si="1"/>
        <v>0</v>
      </c>
      <c r="S10" s="349">
        <f t="shared" si="2"/>
        <v>0</v>
      </c>
      <c r="T10" s="350"/>
      <c r="U10" s="335" t="s">
        <v>136</v>
      </c>
      <c r="V10" s="341" t="str">
        <f t="shared" si="3"/>
        <v>ja</v>
      </c>
      <c r="W10" s="342">
        <f t="shared" si="7"/>
        <v>0.6583</v>
      </c>
      <c r="X10" s="343">
        <f t="shared" si="8"/>
        <v>0</v>
      </c>
      <c r="Y10" s="343" t="str">
        <f t="shared" si="9"/>
        <v/>
      </c>
    </row>
    <row r="11" spans="1:25" x14ac:dyDescent="0.25">
      <c r="A11" s="328" t="str">
        <f>IF(B11&lt;&gt;"&lt;Selecteer&gt;",MAX($A$4:A10)+1,"")</f>
        <v/>
      </c>
      <c r="B11" s="346" t="s">
        <v>35</v>
      </c>
      <c r="C11" s="330"/>
      <c r="D11" s="331"/>
      <c r="E11" s="347"/>
      <c r="F11" s="333"/>
      <c r="G11" s="333"/>
      <c r="H11" s="335">
        <f t="shared" si="4"/>
        <v>0</v>
      </c>
      <c r="I11" s="348">
        <f t="shared" si="5"/>
        <v>0</v>
      </c>
      <c r="J11" s="349">
        <f t="shared" si="0"/>
        <v>0</v>
      </c>
      <c r="K11" s="350"/>
      <c r="L11" s="338"/>
      <c r="M11" s="334"/>
      <c r="N11" s="351"/>
      <c r="O11" s="334"/>
      <c r="P11" s="334"/>
      <c r="Q11" s="335">
        <f t="shared" si="6"/>
        <v>0</v>
      </c>
      <c r="R11" s="348">
        <f t="shared" si="1"/>
        <v>0</v>
      </c>
      <c r="S11" s="349">
        <f t="shared" si="2"/>
        <v>0</v>
      </c>
      <c r="T11" s="350"/>
      <c r="U11" s="335" t="s">
        <v>136</v>
      </c>
      <c r="V11" s="341" t="str">
        <f t="shared" si="3"/>
        <v>ja</v>
      </c>
      <c r="W11" s="342">
        <f t="shared" si="7"/>
        <v>0.6583</v>
      </c>
      <c r="X11" s="343">
        <f t="shared" si="8"/>
        <v>0</v>
      </c>
      <c r="Y11" s="343" t="str">
        <f t="shared" si="9"/>
        <v/>
      </c>
    </row>
    <row r="12" spans="1:25" x14ac:dyDescent="0.25">
      <c r="A12" s="328" t="str">
        <f>IF(B12&lt;&gt;"&lt;Selecteer&gt;",MAX($A$4:A11)+1,"")</f>
        <v/>
      </c>
      <c r="B12" s="346" t="s">
        <v>35</v>
      </c>
      <c r="C12" s="330"/>
      <c r="D12" s="331"/>
      <c r="E12" s="347"/>
      <c r="F12" s="333"/>
      <c r="G12" s="333"/>
      <c r="H12" s="335">
        <f t="shared" si="4"/>
        <v>0</v>
      </c>
      <c r="I12" s="348">
        <f t="shared" si="5"/>
        <v>0</v>
      </c>
      <c r="J12" s="349">
        <f t="shared" si="0"/>
        <v>0</v>
      </c>
      <c r="K12" s="350"/>
      <c r="L12" s="338"/>
      <c r="M12" s="334"/>
      <c r="N12" s="351"/>
      <c r="O12" s="334"/>
      <c r="P12" s="334"/>
      <c r="Q12" s="335">
        <f t="shared" si="6"/>
        <v>0</v>
      </c>
      <c r="R12" s="348">
        <f t="shared" si="1"/>
        <v>0</v>
      </c>
      <c r="S12" s="349">
        <f t="shared" si="2"/>
        <v>0</v>
      </c>
      <c r="T12" s="350"/>
      <c r="U12" s="335" t="s">
        <v>136</v>
      </c>
      <c r="V12" s="341" t="str">
        <f t="shared" si="3"/>
        <v>ja</v>
      </c>
      <c r="W12" s="342">
        <f t="shared" si="7"/>
        <v>0.6583</v>
      </c>
      <c r="X12" s="343">
        <f t="shared" si="8"/>
        <v>0</v>
      </c>
      <c r="Y12" s="343" t="str">
        <f t="shared" si="9"/>
        <v/>
      </c>
    </row>
    <row r="13" spans="1:25" x14ac:dyDescent="0.25">
      <c r="A13" s="328" t="str">
        <f>IF(B13&lt;&gt;"&lt;Selecteer&gt;",MAX($A$4:A12)+1,"")</f>
        <v/>
      </c>
      <c r="B13" s="346" t="s">
        <v>35</v>
      </c>
      <c r="C13" s="330"/>
      <c r="D13" s="331"/>
      <c r="E13" s="347"/>
      <c r="F13" s="333"/>
      <c r="G13" s="333"/>
      <c r="H13" s="335">
        <f t="shared" si="4"/>
        <v>0</v>
      </c>
      <c r="I13" s="348">
        <f t="shared" si="5"/>
        <v>0</v>
      </c>
      <c r="J13" s="349">
        <f t="shared" si="0"/>
        <v>0</v>
      </c>
      <c r="K13" s="350"/>
      <c r="L13" s="338"/>
      <c r="M13" s="334"/>
      <c r="N13" s="351"/>
      <c r="O13" s="334"/>
      <c r="P13" s="334"/>
      <c r="Q13" s="335">
        <f t="shared" si="6"/>
        <v>0</v>
      </c>
      <c r="R13" s="348">
        <f t="shared" si="1"/>
        <v>0</v>
      </c>
      <c r="S13" s="349">
        <f t="shared" si="2"/>
        <v>0</v>
      </c>
      <c r="T13" s="350"/>
      <c r="U13" s="335" t="s">
        <v>136</v>
      </c>
      <c r="V13" s="341" t="str">
        <f t="shared" si="3"/>
        <v>ja</v>
      </c>
      <c r="W13" s="342">
        <f t="shared" si="7"/>
        <v>0.6583</v>
      </c>
      <c r="X13" s="343">
        <f t="shared" si="8"/>
        <v>0</v>
      </c>
      <c r="Y13" s="343" t="str">
        <f t="shared" si="9"/>
        <v/>
      </c>
    </row>
    <row r="14" spans="1:25" x14ac:dyDescent="0.25">
      <c r="A14" s="328" t="str">
        <f>IF(B14&lt;&gt;"&lt;Selecteer&gt;",MAX($A$4:A13)+1,"")</f>
        <v/>
      </c>
      <c r="B14" s="346" t="s">
        <v>35</v>
      </c>
      <c r="C14" s="330"/>
      <c r="D14" s="331"/>
      <c r="E14" s="347"/>
      <c r="F14" s="333"/>
      <c r="G14" s="333"/>
      <c r="H14" s="335">
        <f t="shared" si="4"/>
        <v>0</v>
      </c>
      <c r="I14" s="348">
        <f t="shared" si="5"/>
        <v>0</v>
      </c>
      <c r="J14" s="349">
        <f t="shared" si="0"/>
        <v>0</v>
      </c>
      <c r="K14" s="350"/>
      <c r="L14" s="338"/>
      <c r="M14" s="334"/>
      <c r="N14" s="351"/>
      <c r="O14" s="334"/>
      <c r="P14" s="334"/>
      <c r="Q14" s="335">
        <f t="shared" si="6"/>
        <v>0</v>
      </c>
      <c r="R14" s="348">
        <f t="shared" si="1"/>
        <v>0</v>
      </c>
      <c r="S14" s="349">
        <f t="shared" si="2"/>
        <v>0</v>
      </c>
      <c r="T14" s="350"/>
      <c r="U14" s="335" t="s">
        <v>136</v>
      </c>
      <c r="V14" s="341" t="str">
        <f t="shared" si="3"/>
        <v>ja</v>
      </c>
      <c r="W14" s="342">
        <f t="shared" si="7"/>
        <v>0.6583</v>
      </c>
      <c r="X14" s="343">
        <f t="shared" si="8"/>
        <v>0</v>
      </c>
      <c r="Y14" s="343" t="str">
        <f t="shared" si="9"/>
        <v/>
      </c>
    </row>
    <row r="15" spans="1:25" x14ac:dyDescent="0.25">
      <c r="A15" s="328" t="str">
        <f>IF(B15&lt;&gt;"&lt;Selecteer&gt;",MAX($A$4:A14)+1,"")</f>
        <v/>
      </c>
      <c r="B15" s="346" t="s">
        <v>35</v>
      </c>
      <c r="C15" s="330"/>
      <c r="D15" s="331"/>
      <c r="E15" s="347"/>
      <c r="F15" s="333"/>
      <c r="G15" s="333"/>
      <c r="H15" s="335">
        <f t="shared" si="4"/>
        <v>0</v>
      </c>
      <c r="I15" s="348">
        <f t="shared" si="5"/>
        <v>0</v>
      </c>
      <c r="J15" s="349">
        <f t="shared" si="0"/>
        <v>0</v>
      </c>
      <c r="K15" s="350"/>
      <c r="L15" s="338"/>
      <c r="M15" s="334"/>
      <c r="N15" s="351"/>
      <c r="O15" s="334"/>
      <c r="P15" s="334"/>
      <c r="Q15" s="335">
        <f t="shared" si="6"/>
        <v>0</v>
      </c>
      <c r="R15" s="348">
        <f t="shared" si="1"/>
        <v>0</v>
      </c>
      <c r="S15" s="349">
        <f t="shared" si="2"/>
        <v>0</v>
      </c>
      <c r="T15" s="350"/>
      <c r="U15" s="335" t="s">
        <v>136</v>
      </c>
      <c r="V15" s="341" t="str">
        <f t="shared" si="3"/>
        <v>ja</v>
      </c>
      <c r="W15" s="342">
        <f t="shared" si="7"/>
        <v>0.6583</v>
      </c>
      <c r="X15" s="343">
        <f t="shared" si="8"/>
        <v>0</v>
      </c>
      <c r="Y15" s="343" t="str">
        <f t="shared" si="9"/>
        <v/>
      </c>
    </row>
    <row r="16" spans="1:25" x14ac:dyDescent="0.25">
      <c r="A16" s="328" t="str">
        <f>IF(B16&lt;&gt;"&lt;Selecteer&gt;",MAX($A$4:A15)+1,"")</f>
        <v/>
      </c>
      <c r="B16" s="346" t="s">
        <v>35</v>
      </c>
      <c r="C16" s="330"/>
      <c r="D16" s="331"/>
      <c r="E16" s="347"/>
      <c r="F16" s="333"/>
      <c r="G16" s="333"/>
      <c r="H16" s="335">
        <f t="shared" si="4"/>
        <v>0</v>
      </c>
      <c r="I16" s="348">
        <f t="shared" si="5"/>
        <v>0</v>
      </c>
      <c r="J16" s="349">
        <f t="shared" si="0"/>
        <v>0</v>
      </c>
      <c r="K16" s="350"/>
      <c r="L16" s="338"/>
      <c r="M16" s="334"/>
      <c r="N16" s="351"/>
      <c r="O16" s="334"/>
      <c r="P16" s="334"/>
      <c r="Q16" s="335">
        <f t="shared" si="6"/>
        <v>0</v>
      </c>
      <c r="R16" s="348">
        <f t="shared" si="1"/>
        <v>0</v>
      </c>
      <c r="S16" s="349">
        <f t="shared" si="2"/>
        <v>0</v>
      </c>
      <c r="T16" s="350"/>
      <c r="U16" s="335" t="s">
        <v>136</v>
      </c>
      <c r="V16" s="341" t="str">
        <f t="shared" si="3"/>
        <v>ja</v>
      </c>
      <c r="W16" s="342">
        <f t="shared" si="7"/>
        <v>0.6583</v>
      </c>
      <c r="X16" s="343">
        <f t="shared" si="8"/>
        <v>0</v>
      </c>
      <c r="Y16" s="343" t="str">
        <f t="shared" si="9"/>
        <v/>
      </c>
    </row>
    <row r="17" spans="1:25" x14ac:dyDescent="0.25">
      <c r="A17" s="328" t="str">
        <f>IF(B17&lt;&gt;"&lt;Selecteer&gt;",MAX($A$4:A16)+1,"")</f>
        <v/>
      </c>
      <c r="B17" s="346" t="s">
        <v>35</v>
      </c>
      <c r="C17" s="330"/>
      <c r="D17" s="331"/>
      <c r="E17" s="347"/>
      <c r="F17" s="333"/>
      <c r="G17" s="333"/>
      <c r="H17" s="335">
        <f t="shared" si="4"/>
        <v>0</v>
      </c>
      <c r="I17" s="348">
        <f t="shared" si="5"/>
        <v>0</v>
      </c>
      <c r="J17" s="349">
        <f t="shared" si="0"/>
        <v>0</v>
      </c>
      <c r="K17" s="350"/>
      <c r="L17" s="338"/>
      <c r="M17" s="334"/>
      <c r="N17" s="351"/>
      <c r="O17" s="334"/>
      <c r="P17" s="334"/>
      <c r="Q17" s="335">
        <f t="shared" si="6"/>
        <v>0</v>
      </c>
      <c r="R17" s="348">
        <f t="shared" si="1"/>
        <v>0</v>
      </c>
      <c r="S17" s="349">
        <f t="shared" si="2"/>
        <v>0</v>
      </c>
      <c r="T17" s="350"/>
      <c r="U17" s="335" t="s">
        <v>136</v>
      </c>
      <c r="V17" s="341" t="str">
        <f t="shared" si="3"/>
        <v>ja</v>
      </c>
      <c r="W17" s="342">
        <f t="shared" si="7"/>
        <v>0.6583</v>
      </c>
      <c r="X17" s="343">
        <f t="shared" si="8"/>
        <v>0</v>
      </c>
      <c r="Y17" s="343" t="str">
        <f t="shared" si="9"/>
        <v/>
      </c>
    </row>
    <row r="18" spans="1:25" x14ac:dyDescent="0.25">
      <c r="A18" s="328" t="str">
        <f>IF(B18&lt;&gt;"&lt;Selecteer&gt;",MAX($A$4:A17)+1,"")</f>
        <v/>
      </c>
      <c r="B18" s="346" t="s">
        <v>35</v>
      </c>
      <c r="C18" s="330"/>
      <c r="D18" s="331"/>
      <c r="E18" s="347"/>
      <c r="F18" s="333"/>
      <c r="G18" s="333"/>
      <c r="H18" s="335">
        <f t="shared" si="4"/>
        <v>0</v>
      </c>
      <c r="I18" s="348">
        <f t="shared" si="5"/>
        <v>0</v>
      </c>
      <c r="J18" s="349">
        <f t="shared" si="0"/>
        <v>0</v>
      </c>
      <c r="K18" s="350"/>
      <c r="L18" s="338"/>
      <c r="M18" s="334"/>
      <c r="N18" s="351"/>
      <c r="O18" s="334"/>
      <c r="P18" s="334"/>
      <c r="Q18" s="335">
        <f t="shared" si="6"/>
        <v>0</v>
      </c>
      <c r="R18" s="348">
        <f t="shared" si="1"/>
        <v>0</v>
      </c>
      <c r="S18" s="349">
        <f t="shared" si="2"/>
        <v>0</v>
      </c>
      <c r="T18" s="350"/>
      <c r="U18" s="335" t="s">
        <v>136</v>
      </c>
      <c r="V18" s="341" t="str">
        <f t="shared" si="3"/>
        <v>ja</v>
      </c>
      <c r="W18" s="342">
        <f t="shared" si="7"/>
        <v>0.6583</v>
      </c>
      <c r="X18" s="343">
        <f t="shared" si="8"/>
        <v>0</v>
      </c>
      <c r="Y18" s="343" t="str">
        <f t="shared" si="9"/>
        <v/>
      </c>
    </row>
    <row r="19" spans="1:25" x14ac:dyDescent="0.25">
      <c r="A19" s="328" t="str">
        <f>IF(B19&lt;&gt;"&lt;Selecteer&gt;",MAX($A$4:A18)+1,"")</f>
        <v/>
      </c>
      <c r="B19" s="346" t="s">
        <v>35</v>
      </c>
      <c r="C19" s="330"/>
      <c r="D19" s="331"/>
      <c r="E19" s="347"/>
      <c r="F19" s="333"/>
      <c r="G19" s="333"/>
      <c r="H19" s="335">
        <f t="shared" si="4"/>
        <v>0</v>
      </c>
      <c r="I19" s="348">
        <f t="shared" si="5"/>
        <v>0</v>
      </c>
      <c r="J19" s="349">
        <f t="shared" si="0"/>
        <v>0</v>
      </c>
      <c r="K19" s="350"/>
      <c r="L19" s="338"/>
      <c r="M19" s="334"/>
      <c r="N19" s="351"/>
      <c r="O19" s="334"/>
      <c r="P19" s="334"/>
      <c r="Q19" s="335">
        <f t="shared" si="6"/>
        <v>0</v>
      </c>
      <c r="R19" s="348">
        <f t="shared" si="1"/>
        <v>0</v>
      </c>
      <c r="S19" s="349">
        <f t="shared" si="2"/>
        <v>0</v>
      </c>
      <c r="T19" s="350"/>
      <c r="U19" s="335" t="s">
        <v>136</v>
      </c>
      <c r="V19" s="341" t="str">
        <f t="shared" si="3"/>
        <v>ja</v>
      </c>
      <c r="W19" s="342">
        <f t="shared" si="7"/>
        <v>0.6583</v>
      </c>
      <c r="X19" s="343">
        <f t="shared" si="8"/>
        <v>0</v>
      </c>
      <c r="Y19" s="343" t="str">
        <f t="shared" si="9"/>
        <v/>
      </c>
    </row>
    <row r="20" spans="1:25" x14ac:dyDescent="0.25">
      <c r="A20" s="328" t="str">
        <f>IF(B20&lt;&gt;"&lt;Selecteer&gt;",MAX($A$4:A19)+1,"")</f>
        <v/>
      </c>
      <c r="B20" s="346" t="s">
        <v>35</v>
      </c>
      <c r="C20" s="330"/>
      <c r="D20" s="331"/>
      <c r="E20" s="347"/>
      <c r="F20" s="333"/>
      <c r="G20" s="333"/>
      <c r="H20" s="335">
        <f t="shared" si="4"/>
        <v>0</v>
      </c>
      <c r="I20" s="348">
        <f t="shared" si="5"/>
        <v>0</v>
      </c>
      <c r="J20" s="349">
        <f t="shared" si="0"/>
        <v>0</v>
      </c>
      <c r="K20" s="350"/>
      <c r="L20" s="338"/>
      <c r="M20" s="334"/>
      <c r="N20" s="351"/>
      <c r="O20" s="334"/>
      <c r="P20" s="334"/>
      <c r="Q20" s="335">
        <f t="shared" si="6"/>
        <v>0</v>
      </c>
      <c r="R20" s="348">
        <f t="shared" si="1"/>
        <v>0</v>
      </c>
      <c r="S20" s="349">
        <f t="shared" si="2"/>
        <v>0</v>
      </c>
      <c r="T20" s="350"/>
      <c r="U20" s="335" t="s">
        <v>136</v>
      </c>
      <c r="V20" s="341" t="str">
        <f t="shared" si="3"/>
        <v>ja</v>
      </c>
      <c r="W20" s="342">
        <f t="shared" si="7"/>
        <v>0.6583</v>
      </c>
      <c r="X20" s="343">
        <f t="shared" si="8"/>
        <v>0</v>
      </c>
      <c r="Y20" s="343" t="str">
        <f t="shared" si="9"/>
        <v/>
      </c>
    </row>
    <row r="21" spans="1:25" x14ac:dyDescent="0.25">
      <c r="A21" s="328" t="str">
        <f>IF(B21&lt;&gt;"&lt;Selecteer&gt;",MAX($A$4:A20)+1,"")</f>
        <v/>
      </c>
      <c r="B21" s="346" t="s">
        <v>35</v>
      </c>
      <c r="C21" s="330"/>
      <c r="D21" s="331"/>
      <c r="E21" s="347"/>
      <c r="F21" s="333"/>
      <c r="G21" s="333"/>
      <c r="H21" s="335">
        <f t="shared" si="4"/>
        <v>0</v>
      </c>
      <c r="I21" s="348">
        <f t="shared" si="5"/>
        <v>0</v>
      </c>
      <c r="J21" s="349">
        <f t="shared" si="0"/>
        <v>0</v>
      </c>
      <c r="K21" s="350"/>
      <c r="L21" s="338"/>
      <c r="M21" s="334"/>
      <c r="N21" s="351"/>
      <c r="O21" s="334"/>
      <c r="P21" s="334"/>
      <c r="Q21" s="335">
        <f t="shared" si="6"/>
        <v>0</v>
      </c>
      <c r="R21" s="348">
        <f t="shared" si="1"/>
        <v>0</v>
      </c>
      <c r="S21" s="349">
        <f t="shared" si="2"/>
        <v>0</v>
      </c>
      <c r="T21" s="350"/>
      <c r="U21" s="335" t="s">
        <v>136</v>
      </c>
      <c r="V21" s="341" t="str">
        <f t="shared" si="3"/>
        <v>ja</v>
      </c>
      <c r="W21" s="342">
        <f t="shared" si="7"/>
        <v>0.6583</v>
      </c>
      <c r="X21" s="343">
        <f t="shared" si="8"/>
        <v>0</v>
      </c>
      <c r="Y21" s="343" t="str">
        <f t="shared" si="9"/>
        <v/>
      </c>
    </row>
    <row r="22" spans="1:25" x14ac:dyDescent="0.25">
      <c r="A22" s="328" t="str">
        <f>IF(B22&lt;&gt;"&lt;Selecteer&gt;",MAX($A$4:A21)+1,"")</f>
        <v/>
      </c>
      <c r="B22" s="346" t="s">
        <v>35</v>
      </c>
      <c r="C22" s="330"/>
      <c r="D22" s="331"/>
      <c r="E22" s="347"/>
      <c r="F22" s="333"/>
      <c r="G22" s="333"/>
      <c r="H22" s="335">
        <f t="shared" si="4"/>
        <v>0</v>
      </c>
      <c r="I22" s="348">
        <f t="shared" si="5"/>
        <v>0</v>
      </c>
      <c r="J22" s="349">
        <f t="shared" si="0"/>
        <v>0</v>
      </c>
      <c r="K22" s="350"/>
      <c r="L22" s="338"/>
      <c r="M22" s="334"/>
      <c r="N22" s="351"/>
      <c r="O22" s="334"/>
      <c r="P22" s="334"/>
      <c r="Q22" s="335">
        <f t="shared" si="6"/>
        <v>0</v>
      </c>
      <c r="R22" s="348">
        <f t="shared" si="1"/>
        <v>0</v>
      </c>
      <c r="S22" s="349">
        <f t="shared" si="2"/>
        <v>0</v>
      </c>
      <c r="T22" s="350"/>
      <c r="U22" s="335" t="s">
        <v>136</v>
      </c>
      <c r="V22" s="341" t="str">
        <f t="shared" si="3"/>
        <v>ja</v>
      </c>
      <c r="W22" s="342">
        <f t="shared" si="7"/>
        <v>0.6583</v>
      </c>
      <c r="X22" s="343">
        <f t="shared" si="8"/>
        <v>0</v>
      </c>
      <c r="Y22" s="343" t="str">
        <f t="shared" si="9"/>
        <v/>
      </c>
    </row>
    <row r="23" spans="1:25" x14ac:dyDescent="0.25">
      <c r="A23" s="328" t="str">
        <f>IF(B23&lt;&gt;"&lt;Selecteer&gt;",MAX($A$4:A22)+1,"")</f>
        <v/>
      </c>
      <c r="B23" s="346" t="s">
        <v>35</v>
      </c>
      <c r="C23" s="330"/>
      <c r="D23" s="331"/>
      <c r="E23" s="347"/>
      <c r="F23" s="333"/>
      <c r="G23" s="333"/>
      <c r="H23" s="335">
        <f t="shared" si="4"/>
        <v>0</v>
      </c>
      <c r="I23" s="348">
        <f t="shared" si="5"/>
        <v>0</v>
      </c>
      <c r="J23" s="349">
        <f t="shared" si="0"/>
        <v>0</v>
      </c>
      <c r="K23" s="350"/>
      <c r="L23" s="338"/>
      <c r="M23" s="334"/>
      <c r="N23" s="351"/>
      <c r="O23" s="334"/>
      <c r="P23" s="334"/>
      <c r="Q23" s="335">
        <f t="shared" si="6"/>
        <v>0</v>
      </c>
      <c r="R23" s="348">
        <f t="shared" si="1"/>
        <v>0</v>
      </c>
      <c r="S23" s="349">
        <f t="shared" si="2"/>
        <v>0</v>
      </c>
      <c r="T23" s="350"/>
      <c r="U23" s="335" t="s">
        <v>136</v>
      </c>
      <c r="V23" s="341" t="str">
        <f t="shared" si="3"/>
        <v>ja</v>
      </c>
      <c r="W23" s="342">
        <f t="shared" si="7"/>
        <v>0.6583</v>
      </c>
      <c r="X23" s="343">
        <f t="shared" si="8"/>
        <v>0</v>
      </c>
      <c r="Y23" s="343" t="str">
        <f t="shared" si="9"/>
        <v/>
      </c>
    </row>
    <row r="24" spans="1:25" x14ac:dyDescent="0.25">
      <c r="A24" s="328" t="str">
        <f>IF(B24&lt;&gt;"&lt;Selecteer&gt;",MAX($A$4:A23)+1,"")</f>
        <v/>
      </c>
      <c r="B24" s="346" t="s">
        <v>35</v>
      </c>
      <c r="C24" s="330"/>
      <c r="D24" s="331"/>
      <c r="E24" s="347"/>
      <c r="F24" s="333"/>
      <c r="G24" s="333"/>
      <c r="H24" s="335">
        <f t="shared" si="4"/>
        <v>0</v>
      </c>
      <c r="I24" s="348">
        <f t="shared" si="5"/>
        <v>0</v>
      </c>
      <c r="J24" s="349">
        <f t="shared" si="0"/>
        <v>0</v>
      </c>
      <c r="K24" s="350"/>
      <c r="L24" s="338"/>
      <c r="M24" s="334"/>
      <c r="N24" s="351"/>
      <c r="O24" s="334"/>
      <c r="P24" s="334"/>
      <c r="Q24" s="335">
        <f t="shared" si="6"/>
        <v>0</v>
      </c>
      <c r="R24" s="348">
        <f t="shared" si="1"/>
        <v>0</v>
      </c>
      <c r="S24" s="349">
        <f t="shared" si="2"/>
        <v>0</v>
      </c>
      <c r="T24" s="350"/>
      <c r="U24" s="335" t="s">
        <v>136</v>
      </c>
      <c r="V24" s="341" t="str">
        <f t="shared" si="3"/>
        <v>ja</v>
      </c>
      <c r="W24" s="342">
        <f t="shared" si="7"/>
        <v>0.6583</v>
      </c>
      <c r="X24" s="343">
        <f t="shared" si="8"/>
        <v>0</v>
      </c>
      <c r="Y24" s="343" t="str">
        <f t="shared" si="9"/>
        <v/>
      </c>
    </row>
    <row r="25" spans="1:25" x14ac:dyDescent="0.25">
      <c r="A25" s="328" t="str">
        <f>IF(B25&lt;&gt;"&lt;Selecteer&gt;",MAX($A$4:A24)+1,"")</f>
        <v/>
      </c>
      <c r="B25" s="346" t="s">
        <v>35</v>
      </c>
      <c r="C25" s="330"/>
      <c r="D25" s="331"/>
      <c r="E25" s="347"/>
      <c r="F25" s="333"/>
      <c r="G25" s="333"/>
      <c r="H25" s="335">
        <f t="shared" si="4"/>
        <v>0</v>
      </c>
      <c r="I25" s="348">
        <f t="shared" si="5"/>
        <v>0</v>
      </c>
      <c r="J25" s="349">
        <f t="shared" si="0"/>
        <v>0</v>
      </c>
      <c r="K25" s="350"/>
      <c r="L25" s="338"/>
      <c r="M25" s="334"/>
      <c r="N25" s="351"/>
      <c r="O25" s="334"/>
      <c r="P25" s="334"/>
      <c r="Q25" s="335">
        <f t="shared" si="6"/>
        <v>0</v>
      </c>
      <c r="R25" s="348">
        <f t="shared" si="1"/>
        <v>0</v>
      </c>
      <c r="S25" s="349">
        <f t="shared" si="2"/>
        <v>0</v>
      </c>
      <c r="T25" s="350"/>
      <c r="U25" s="335" t="s">
        <v>136</v>
      </c>
      <c r="V25" s="341" t="str">
        <f t="shared" si="3"/>
        <v>ja</v>
      </c>
      <c r="W25" s="342">
        <f t="shared" si="7"/>
        <v>0.6583</v>
      </c>
      <c r="X25" s="343">
        <f t="shared" si="8"/>
        <v>0</v>
      </c>
      <c r="Y25" s="343" t="str">
        <f t="shared" si="9"/>
        <v/>
      </c>
    </row>
    <row r="26" spans="1:25" x14ac:dyDescent="0.25">
      <c r="A26" s="328" t="str">
        <f>IF(B26&lt;&gt;"&lt;Selecteer&gt;",MAX($A$4:A25)+1,"")</f>
        <v/>
      </c>
      <c r="B26" s="346" t="s">
        <v>35</v>
      </c>
      <c r="C26" s="330"/>
      <c r="D26" s="331"/>
      <c r="E26" s="347"/>
      <c r="F26" s="333"/>
      <c r="G26" s="333"/>
      <c r="H26" s="335">
        <f t="shared" si="4"/>
        <v>0</v>
      </c>
      <c r="I26" s="348">
        <f t="shared" si="5"/>
        <v>0</v>
      </c>
      <c r="J26" s="349">
        <f t="shared" si="0"/>
        <v>0</v>
      </c>
      <c r="K26" s="350"/>
      <c r="L26" s="338"/>
      <c r="M26" s="334"/>
      <c r="N26" s="351"/>
      <c r="O26" s="334"/>
      <c r="P26" s="334"/>
      <c r="Q26" s="335">
        <f t="shared" si="6"/>
        <v>0</v>
      </c>
      <c r="R26" s="348">
        <f t="shared" si="1"/>
        <v>0</v>
      </c>
      <c r="S26" s="349">
        <f t="shared" si="2"/>
        <v>0</v>
      </c>
      <c r="T26" s="350"/>
      <c r="U26" s="335" t="s">
        <v>136</v>
      </c>
      <c r="V26" s="341" t="str">
        <f t="shared" si="3"/>
        <v>ja</v>
      </c>
      <c r="W26" s="342">
        <f t="shared" si="7"/>
        <v>0.6583</v>
      </c>
      <c r="X26" s="343">
        <f t="shared" si="8"/>
        <v>0</v>
      </c>
      <c r="Y26" s="343" t="str">
        <f t="shared" si="9"/>
        <v/>
      </c>
    </row>
    <row r="27" spans="1:25" x14ac:dyDescent="0.25">
      <c r="A27" s="328" t="str">
        <f>IF(B27&lt;&gt;"&lt;Selecteer&gt;",MAX($A$4:A26)+1,"")</f>
        <v/>
      </c>
      <c r="B27" s="346" t="s">
        <v>35</v>
      </c>
      <c r="C27" s="330"/>
      <c r="D27" s="331"/>
      <c r="E27" s="347"/>
      <c r="F27" s="333"/>
      <c r="G27" s="333"/>
      <c r="H27" s="335">
        <f t="shared" si="4"/>
        <v>0</v>
      </c>
      <c r="I27" s="348">
        <f t="shared" si="5"/>
        <v>0</v>
      </c>
      <c r="J27" s="349">
        <f t="shared" si="0"/>
        <v>0</v>
      </c>
      <c r="K27" s="350"/>
      <c r="L27" s="338"/>
      <c r="M27" s="334"/>
      <c r="N27" s="351"/>
      <c r="O27" s="334"/>
      <c r="P27" s="334"/>
      <c r="Q27" s="335">
        <f t="shared" si="6"/>
        <v>0</v>
      </c>
      <c r="R27" s="348">
        <f t="shared" si="1"/>
        <v>0</v>
      </c>
      <c r="S27" s="349">
        <f t="shared" si="2"/>
        <v>0</v>
      </c>
      <c r="T27" s="350"/>
      <c r="U27" s="335" t="s">
        <v>136</v>
      </c>
      <c r="V27" s="341" t="str">
        <f t="shared" si="3"/>
        <v>ja</v>
      </c>
      <c r="W27" s="342">
        <f t="shared" si="7"/>
        <v>0.6583</v>
      </c>
      <c r="X27" s="343">
        <f t="shared" si="8"/>
        <v>0</v>
      </c>
      <c r="Y27" s="343" t="str">
        <f t="shared" si="9"/>
        <v/>
      </c>
    </row>
    <row r="28" spans="1:25" x14ac:dyDescent="0.25">
      <c r="A28" s="328" t="str">
        <f>IF(B28&lt;&gt;"&lt;Selecteer&gt;",MAX($A$4:A27)+1,"")</f>
        <v/>
      </c>
      <c r="B28" s="346" t="s">
        <v>35</v>
      </c>
      <c r="C28" s="330"/>
      <c r="D28" s="331"/>
      <c r="E28" s="347"/>
      <c r="F28" s="333"/>
      <c r="G28" s="333"/>
      <c r="H28" s="335">
        <f t="shared" si="4"/>
        <v>0</v>
      </c>
      <c r="I28" s="348">
        <f t="shared" si="5"/>
        <v>0</v>
      </c>
      <c r="J28" s="349">
        <f t="shared" si="0"/>
        <v>0</v>
      </c>
      <c r="K28" s="350"/>
      <c r="L28" s="338"/>
      <c r="M28" s="334"/>
      <c r="N28" s="351"/>
      <c r="O28" s="334"/>
      <c r="P28" s="334"/>
      <c r="Q28" s="335">
        <f t="shared" si="6"/>
        <v>0</v>
      </c>
      <c r="R28" s="348">
        <f t="shared" si="1"/>
        <v>0</v>
      </c>
      <c r="S28" s="349">
        <f t="shared" si="2"/>
        <v>0</v>
      </c>
      <c r="T28" s="350"/>
      <c r="U28" s="335" t="s">
        <v>136</v>
      </c>
      <c r="V28" s="341" t="str">
        <f t="shared" si="3"/>
        <v>ja</v>
      </c>
      <c r="W28" s="342">
        <f t="shared" si="7"/>
        <v>0.6583</v>
      </c>
      <c r="X28" s="343">
        <f t="shared" si="8"/>
        <v>0</v>
      </c>
      <c r="Y28" s="343" t="str">
        <f t="shared" si="9"/>
        <v/>
      </c>
    </row>
    <row r="29" spans="1:25" x14ac:dyDescent="0.25">
      <c r="A29" s="328" t="str">
        <f>IF(B29&lt;&gt;"&lt;Selecteer&gt;",MAX($A$4:A28)+1,"")</f>
        <v/>
      </c>
      <c r="B29" s="346" t="s">
        <v>35</v>
      </c>
      <c r="C29" s="330"/>
      <c r="D29" s="331"/>
      <c r="E29" s="347"/>
      <c r="F29" s="333"/>
      <c r="G29" s="333"/>
      <c r="H29" s="335">
        <f t="shared" si="4"/>
        <v>0</v>
      </c>
      <c r="I29" s="348">
        <f t="shared" si="5"/>
        <v>0</v>
      </c>
      <c r="J29" s="349">
        <f t="shared" si="0"/>
        <v>0</v>
      </c>
      <c r="K29" s="350"/>
      <c r="L29" s="338"/>
      <c r="M29" s="334"/>
      <c r="N29" s="351"/>
      <c r="O29" s="334"/>
      <c r="P29" s="334"/>
      <c r="Q29" s="335">
        <f t="shared" si="6"/>
        <v>0</v>
      </c>
      <c r="R29" s="348">
        <f t="shared" si="1"/>
        <v>0</v>
      </c>
      <c r="S29" s="349">
        <f t="shared" si="2"/>
        <v>0</v>
      </c>
      <c r="T29" s="350"/>
      <c r="U29" s="335" t="s">
        <v>136</v>
      </c>
      <c r="V29" s="341" t="str">
        <f t="shared" si="3"/>
        <v>ja</v>
      </c>
      <c r="W29" s="342">
        <f t="shared" si="7"/>
        <v>0.6583</v>
      </c>
      <c r="X29" s="343">
        <f t="shared" si="8"/>
        <v>0</v>
      </c>
      <c r="Y29" s="343" t="str">
        <f t="shared" si="9"/>
        <v/>
      </c>
    </row>
    <row r="30" spans="1:25" x14ac:dyDescent="0.25">
      <c r="A30" s="328" t="str">
        <f>IF(B30&lt;&gt;"&lt;Selecteer&gt;",MAX($A$4:A29)+1,"")</f>
        <v/>
      </c>
      <c r="B30" s="346" t="s">
        <v>35</v>
      </c>
      <c r="C30" s="330"/>
      <c r="D30" s="331"/>
      <c r="E30" s="347"/>
      <c r="F30" s="333"/>
      <c r="G30" s="333"/>
      <c r="H30" s="335">
        <f t="shared" si="4"/>
        <v>0</v>
      </c>
      <c r="I30" s="348">
        <f t="shared" si="5"/>
        <v>0</v>
      </c>
      <c r="J30" s="349">
        <f t="shared" si="0"/>
        <v>0</v>
      </c>
      <c r="K30" s="350"/>
      <c r="L30" s="338"/>
      <c r="M30" s="334"/>
      <c r="N30" s="351"/>
      <c r="O30" s="334"/>
      <c r="P30" s="334"/>
      <c r="Q30" s="335">
        <f t="shared" si="6"/>
        <v>0</v>
      </c>
      <c r="R30" s="348">
        <f t="shared" si="1"/>
        <v>0</v>
      </c>
      <c r="S30" s="349">
        <f t="shared" si="2"/>
        <v>0</v>
      </c>
      <c r="T30" s="350"/>
      <c r="U30" s="335" t="s">
        <v>136</v>
      </c>
      <c r="V30" s="341" t="str">
        <f t="shared" si="3"/>
        <v>ja</v>
      </c>
      <c r="W30" s="342">
        <f t="shared" si="7"/>
        <v>0.6583</v>
      </c>
      <c r="X30" s="343">
        <f t="shared" si="8"/>
        <v>0</v>
      </c>
      <c r="Y30" s="343" t="str">
        <f t="shared" si="9"/>
        <v/>
      </c>
    </row>
    <row r="31" spans="1:25" x14ac:dyDescent="0.25">
      <c r="A31" s="328" t="str">
        <f>IF(B31&lt;&gt;"&lt;Selecteer&gt;",MAX($A$4:A30)+1,"")</f>
        <v/>
      </c>
      <c r="B31" s="346" t="s">
        <v>35</v>
      </c>
      <c r="C31" s="330"/>
      <c r="D31" s="331"/>
      <c r="E31" s="347"/>
      <c r="F31" s="333"/>
      <c r="G31" s="333"/>
      <c r="H31" s="335">
        <f t="shared" si="4"/>
        <v>0</v>
      </c>
      <c r="I31" s="348">
        <f t="shared" si="5"/>
        <v>0</v>
      </c>
      <c r="J31" s="349">
        <f t="shared" si="0"/>
        <v>0</v>
      </c>
      <c r="K31" s="350"/>
      <c r="L31" s="338"/>
      <c r="M31" s="334"/>
      <c r="N31" s="351"/>
      <c r="O31" s="334"/>
      <c r="P31" s="334"/>
      <c r="Q31" s="335">
        <f t="shared" si="6"/>
        <v>0</v>
      </c>
      <c r="R31" s="348">
        <f t="shared" si="1"/>
        <v>0</v>
      </c>
      <c r="S31" s="349">
        <f t="shared" si="2"/>
        <v>0</v>
      </c>
      <c r="T31" s="350"/>
      <c r="U31" s="335" t="s">
        <v>136</v>
      </c>
      <c r="V31" s="341" t="str">
        <f t="shared" si="3"/>
        <v>ja</v>
      </c>
      <c r="W31" s="342">
        <f t="shared" si="7"/>
        <v>0.6583</v>
      </c>
      <c r="X31" s="343">
        <f t="shared" si="8"/>
        <v>0</v>
      </c>
      <c r="Y31" s="343" t="str">
        <f t="shared" si="9"/>
        <v/>
      </c>
    </row>
    <row r="32" spans="1:25" x14ac:dyDescent="0.25">
      <c r="A32" s="328" t="str">
        <f>IF(B32&lt;&gt;"&lt;Selecteer&gt;",MAX($A$4:A31)+1,"")</f>
        <v/>
      </c>
      <c r="B32" s="346" t="s">
        <v>35</v>
      </c>
      <c r="C32" s="330"/>
      <c r="D32" s="331"/>
      <c r="E32" s="347"/>
      <c r="F32" s="333"/>
      <c r="G32" s="333"/>
      <c r="H32" s="335">
        <f t="shared" si="4"/>
        <v>0</v>
      </c>
      <c r="I32" s="348">
        <f t="shared" si="5"/>
        <v>0</v>
      </c>
      <c r="J32" s="349">
        <f t="shared" si="0"/>
        <v>0</v>
      </c>
      <c r="K32" s="350"/>
      <c r="L32" s="338"/>
      <c r="M32" s="334"/>
      <c r="N32" s="351"/>
      <c r="O32" s="334"/>
      <c r="P32" s="334"/>
      <c r="Q32" s="335">
        <f t="shared" si="6"/>
        <v>0</v>
      </c>
      <c r="R32" s="348">
        <f t="shared" si="1"/>
        <v>0</v>
      </c>
      <c r="S32" s="349">
        <f t="shared" si="2"/>
        <v>0</v>
      </c>
      <c r="T32" s="350"/>
      <c r="U32" s="335" t="s">
        <v>136</v>
      </c>
      <c r="V32" s="341" t="str">
        <f t="shared" si="3"/>
        <v>ja</v>
      </c>
      <c r="W32" s="342">
        <f t="shared" si="7"/>
        <v>0.6583</v>
      </c>
      <c r="X32" s="343">
        <f t="shared" si="8"/>
        <v>0</v>
      </c>
      <c r="Y32" s="343" t="str">
        <f t="shared" si="9"/>
        <v/>
      </c>
    </row>
    <row r="33" spans="1:25" x14ac:dyDescent="0.25">
      <c r="A33" s="328" t="str">
        <f>IF(B33&lt;&gt;"&lt;Selecteer&gt;",MAX($A$4:A32)+1,"")</f>
        <v/>
      </c>
      <c r="B33" s="346" t="s">
        <v>35</v>
      </c>
      <c r="C33" s="330"/>
      <c r="D33" s="331"/>
      <c r="E33" s="347"/>
      <c r="F33" s="333"/>
      <c r="G33" s="333"/>
      <c r="H33" s="335">
        <f t="shared" si="4"/>
        <v>0</v>
      </c>
      <c r="I33" s="348">
        <f t="shared" si="5"/>
        <v>0</v>
      </c>
      <c r="J33" s="349">
        <f t="shared" si="0"/>
        <v>0</v>
      </c>
      <c r="K33" s="350"/>
      <c r="L33" s="338"/>
      <c r="M33" s="334"/>
      <c r="N33" s="351"/>
      <c r="O33" s="334"/>
      <c r="P33" s="334"/>
      <c r="Q33" s="335">
        <f t="shared" si="6"/>
        <v>0</v>
      </c>
      <c r="R33" s="348">
        <f t="shared" si="1"/>
        <v>0</v>
      </c>
      <c r="S33" s="349">
        <f t="shared" si="2"/>
        <v>0</v>
      </c>
      <c r="T33" s="350"/>
      <c r="U33" s="335" t="s">
        <v>136</v>
      </c>
      <c r="V33" s="341" t="str">
        <f t="shared" si="3"/>
        <v>ja</v>
      </c>
      <c r="W33" s="342">
        <f t="shared" si="7"/>
        <v>0.6583</v>
      </c>
      <c r="X33" s="343">
        <f t="shared" si="8"/>
        <v>0</v>
      </c>
      <c r="Y33" s="343" t="str">
        <f t="shared" si="9"/>
        <v/>
      </c>
    </row>
    <row r="34" spans="1:25" x14ac:dyDescent="0.25">
      <c r="A34" s="328" t="str">
        <f>IF(B34&lt;&gt;"&lt;Selecteer&gt;",MAX($A$4:A33)+1,"")</f>
        <v/>
      </c>
      <c r="B34" s="346" t="s">
        <v>35</v>
      </c>
      <c r="C34" s="330"/>
      <c r="D34" s="331"/>
      <c r="E34" s="347"/>
      <c r="F34" s="333"/>
      <c r="G34" s="333"/>
      <c r="H34" s="335">
        <f t="shared" si="4"/>
        <v>0</v>
      </c>
      <c r="I34" s="348">
        <f t="shared" si="5"/>
        <v>0</v>
      </c>
      <c r="J34" s="349">
        <f t="shared" si="0"/>
        <v>0</v>
      </c>
      <c r="K34" s="350"/>
      <c r="L34" s="338"/>
      <c r="M34" s="334"/>
      <c r="N34" s="351"/>
      <c r="O34" s="334"/>
      <c r="P34" s="334"/>
      <c r="Q34" s="335">
        <f t="shared" si="6"/>
        <v>0</v>
      </c>
      <c r="R34" s="348">
        <f t="shared" si="1"/>
        <v>0</v>
      </c>
      <c r="S34" s="349">
        <f t="shared" si="2"/>
        <v>0</v>
      </c>
      <c r="T34" s="350"/>
      <c r="U34" s="335" t="s">
        <v>136</v>
      </c>
      <c r="V34" s="341" t="str">
        <f t="shared" si="3"/>
        <v>ja</v>
      </c>
      <c r="W34" s="342">
        <f t="shared" si="7"/>
        <v>0.6583</v>
      </c>
      <c r="X34" s="343">
        <f t="shared" si="8"/>
        <v>0</v>
      </c>
      <c r="Y34" s="343" t="str">
        <f t="shared" si="9"/>
        <v/>
      </c>
    </row>
    <row r="35" spans="1:25" x14ac:dyDescent="0.25">
      <c r="A35" s="328" t="str">
        <f>IF(B35&lt;&gt;"&lt;Selecteer&gt;",MAX($A$4:A34)+1,"")</f>
        <v/>
      </c>
      <c r="B35" s="346" t="s">
        <v>35</v>
      </c>
      <c r="C35" s="330"/>
      <c r="D35" s="331"/>
      <c r="E35" s="347"/>
      <c r="F35" s="333"/>
      <c r="G35" s="333"/>
      <c r="H35" s="335">
        <f t="shared" si="4"/>
        <v>0</v>
      </c>
      <c r="I35" s="348">
        <f t="shared" si="5"/>
        <v>0</v>
      </c>
      <c r="J35" s="349">
        <f t="shared" si="0"/>
        <v>0</v>
      </c>
      <c r="K35" s="350"/>
      <c r="L35" s="338"/>
      <c r="M35" s="334"/>
      <c r="N35" s="351"/>
      <c r="O35" s="334"/>
      <c r="P35" s="334"/>
      <c r="Q35" s="335">
        <f t="shared" si="6"/>
        <v>0</v>
      </c>
      <c r="R35" s="348">
        <f t="shared" si="1"/>
        <v>0</v>
      </c>
      <c r="S35" s="349">
        <f t="shared" si="2"/>
        <v>0</v>
      </c>
      <c r="T35" s="350"/>
      <c r="U35" s="335" t="s">
        <v>136</v>
      </c>
      <c r="V35" s="341" t="str">
        <f t="shared" si="3"/>
        <v>ja</v>
      </c>
      <c r="W35" s="342">
        <f t="shared" si="7"/>
        <v>0.6583</v>
      </c>
      <c r="X35" s="343">
        <f t="shared" si="8"/>
        <v>0</v>
      </c>
      <c r="Y35" s="343" t="str">
        <f t="shared" si="9"/>
        <v/>
      </c>
    </row>
    <row r="36" spans="1:25" x14ac:dyDescent="0.25">
      <c r="A36" s="328" t="str">
        <f>IF(B36&lt;&gt;"&lt;Selecteer&gt;",MAX($A$4:A35)+1,"")</f>
        <v/>
      </c>
      <c r="B36" s="346" t="s">
        <v>35</v>
      </c>
      <c r="C36" s="330"/>
      <c r="D36" s="331"/>
      <c r="E36" s="347"/>
      <c r="F36" s="333"/>
      <c r="G36" s="333"/>
      <c r="H36" s="335">
        <f t="shared" si="4"/>
        <v>0</v>
      </c>
      <c r="I36" s="348">
        <f t="shared" si="5"/>
        <v>0</v>
      </c>
      <c r="J36" s="349">
        <f t="shared" si="0"/>
        <v>0</v>
      </c>
      <c r="K36" s="350"/>
      <c r="L36" s="338"/>
      <c r="M36" s="334"/>
      <c r="N36" s="351"/>
      <c r="O36" s="334"/>
      <c r="P36" s="334"/>
      <c r="Q36" s="335">
        <f t="shared" si="6"/>
        <v>0</v>
      </c>
      <c r="R36" s="348">
        <f t="shared" si="1"/>
        <v>0</v>
      </c>
      <c r="S36" s="349">
        <f t="shared" si="2"/>
        <v>0</v>
      </c>
      <c r="T36" s="350"/>
      <c r="U36" s="335" t="s">
        <v>136</v>
      </c>
      <c r="V36" s="341" t="str">
        <f t="shared" si="3"/>
        <v>ja</v>
      </c>
      <c r="W36" s="342">
        <f t="shared" si="7"/>
        <v>0.6583</v>
      </c>
      <c r="X36" s="343">
        <f t="shared" si="8"/>
        <v>0</v>
      </c>
      <c r="Y36" s="343" t="str">
        <f t="shared" si="9"/>
        <v/>
      </c>
    </row>
    <row r="37" spans="1:25" x14ac:dyDescent="0.25">
      <c r="A37" s="328" t="str">
        <f>IF(B37&lt;&gt;"&lt;Selecteer&gt;",MAX($A$4:A36)+1,"")</f>
        <v/>
      </c>
      <c r="B37" s="346" t="s">
        <v>35</v>
      </c>
      <c r="C37" s="330"/>
      <c r="D37" s="331"/>
      <c r="E37" s="347"/>
      <c r="F37" s="333"/>
      <c r="G37" s="333"/>
      <c r="H37" s="335">
        <f t="shared" si="4"/>
        <v>0</v>
      </c>
      <c r="I37" s="348">
        <f t="shared" si="5"/>
        <v>0</v>
      </c>
      <c r="J37" s="349">
        <f t="shared" ref="J37:J54" si="10">IF($B37="nee",IFERROR(ROUND(H37*(1+$W37)/I37,2),0),0)</f>
        <v>0</v>
      </c>
      <c r="K37" s="350"/>
      <c r="L37" s="338"/>
      <c r="M37" s="334"/>
      <c r="N37" s="351"/>
      <c r="O37" s="334"/>
      <c r="P37" s="334"/>
      <c r="Q37" s="335">
        <f t="shared" si="6"/>
        <v>0</v>
      </c>
      <c r="R37" s="348">
        <f t="shared" ref="R37:R54" si="11">1720*N37/40</f>
        <v>0</v>
      </c>
      <c r="S37" s="349">
        <f t="shared" ref="S37:S54" si="12">IF($B37="nee",IFERROR(ROUND(Q37*(1+$W37)/R37,2),0),0)</f>
        <v>0</v>
      </c>
      <c r="T37" s="350"/>
      <c r="U37" s="335" t="s">
        <v>136</v>
      </c>
      <c r="V37" s="341" t="str">
        <f t="shared" ref="V37:V54" si="13">IF(Methode_Keuze&lt;&gt;"",IF($C$2="Vereenvoudigde kostenoptie voor overige kosten","nee","ja"),"ja")</f>
        <v>ja</v>
      </c>
      <c r="W37" s="342">
        <f t="shared" si="7"/>
        <v>0.6583</v>
      </c>
      <c r="X37" s="343">
        <f t="shared" si="8"/>
        <v>0</v>
      </c>
      <c r="Y37" s="343" t="str">
        <f t="shared" si="9"/>
        <v/>
      </c>
    </row>
    <row r="38" spans="1:25" x14ac:dyDescent="0.25">
      <c r="A38" s="328" t="str">
        <f>IF(B38&lt;&gt;"&lt;Selecteer&gt;",MAX($A$4:A37)+1,"")</f>
        <v/>
      </c>
      <c r="B38" s="346" t="s">
        <v>35</v>
      </c>
      <c r="C38" s="330"/>
      <c r="D38" s="331"/>
      <c r="E38" s="347"/>
      <c r="F38" s="333"/>
      <c r="G38" s="333"/>
      <c r="H38" s="335">
        <f t="shared" si="4"/>
        <v>0</v>
      </c>
      <c r="I38" s="348">
        <f t="shared" si="5"/>
        <v>0</v>
      </c>
      <c r="J38" s="349">
        <f t="shared" si="10"/>
        <v>0</v>
      </c>
      <c r="K38" s="350"/>
      <c r="L38" s="338"/>
      <c r="M38" s="334"/>
      <c r="N38" s="351"/>
      <c r="O38" s="334"/>
      <c r="P38" s="334"/>
      <c r="Q38" s="335">
        <f t="shared" si="6"/>
        <v>0</v>
      </c>
      <c r="R38" s="348">
        <f t="shared" si="11"/>
        <v>0</v>
      </c>
      <c r="S38" s="349">
        <f t="shared" si="12"/>
        <v>0</v>
      </c>
      <c r="T38" s="350"/>
      <c r="U38" s="335" t="s">
        <v>136</v>
      </c>
      <c r="V38" s="341" t="str">
        <f t="shared" si="13"/>
        <v>ja</v>
      </c>
      <c r="W38" s="342">
        <f t="shared" si="7"/>
        <v>0.6583</v>
      </c>
      <c r="X38" s="343">
        <f t="shared" si="8"/>
        <v>0</v>
      </c>
      <c r="Y38" s="343" t="str">
        <f t="shared" si="9"/>
        <v/>
      </c>
    </row>
    <row r="39" spans="1:25" x14ac:dyDescent="0.25">
      <c r="A39" s="328" t="str">
        <f>IF(B39&lt;&gt;"&lt;Selecteer&gt;",MAX($A$4:A38)+1,"")</f>
        <v/>
      </c>
      <c r="B39" s="346" t="s">
        <v>35</v>
      </c>
      <c r="C39" s="330"/>
      <c r="D39" s="331"/>
      <c r="E39" s="347"/>
      <c r="F39" s="333"/>
      <c r="G39" s="333"/>
      <c r="H39" s="335">
        <f t="shared" si="4"/>
        <v>0</v>
      </c>
      <c r="I39" s="348">
        <f t="shared" si="5"/>
        <v>0</v>
      </c>
      <c r="J39" s="349">
        <f t="shared" si="10"/>
        <v>0</v>
      </c>
      <c r="K39" s="350"/>
      <c r="L39" s="338"/>
      <c r="M39" s="334"/>
      <c r="N39" s="351"/>
      <c r="O39" s="334"/>
      <c r="P39" s="334"/>
      <c r="Q39" s="335">
        <f t="shared" si="6"/>
        <v>0</v>
      </c>
      <c r="R39" s="348">
        <f t="shared" si="11"/>
        <v>0</v>
      </c>
      <c r="S39" s="349">
        <f t="shared" si="12"/>
        <v>0</v>
      </c>
      <c r="T39" s="350"/>
      <c r="U39" s="335" t="s">
        <v>136</v>
      </c>
      <c r="V39" s="341" t="str">
        <f t="shared" si="13"/>
        <v>ja</v>
      </c>
      <c r="W39" s="342">
        <f t="shared" si="7"/>
        <v>0.6583</v>
      </c>
      <c r="X39" s="343">
        <f t="shared" si="8"/>
        <v>0</v>
      </c>
      <c r="Y39" s="343" t="str">
        <f t="shared" si="9"/>
        <v/>
      </c>
    </row>
    <row r="40" spans="1:25" x14ac:dyDescent="0.25">
      <c r="A40" s="328" t="str">
        <f>IF(B40&lt;&gt;"&lt;Selecteer&gt;",MAX($A$4:A39)+1,"")</f>
        <v/>
      </c>
      <c r="B40" s="346" t="s">
        <v>35</v>
      </c>
      <c r="C40" s="330"/>
      <c r="D40" s="331"/>
      <c r="E40" s="347"/>
      <c r="F40" s="333"/>
      <c r="G40" s="333"/>
      <c r="H40" s="335">
        <f t="shared" si="4"/>
        <v>0</v>
      </c>
      <c r="I40" s="348">
        <f t="shared" si="5"/>
        <v>0</v>
      </c>
      <c r="J40" s="349">
        <f t="shared" si="10"/>
        <v>0</v>
      </c>
      <c r="K40" s="350"/>
      <c r="L40" s="338"/>
      <c r="M40" s="334"/>
      <c r="N40" s="351"/>
      <c r="O40" s="334"/>
      <c r="P40" s="334"/>
      <c r="Q40" s="335">
        <f t="shared" si="6"/>
        <v>0</v>
      </c>
      <c r="R40" s="348">
        <f t="shared" si="11"/>
        <v>0</v>
      </c>
      <c r="S40" s="349">
        <f t="shared" si="12"/>
        <v>0</v>
      </c>
      <c r="T40" s="350"/>
      <c r="U40" s="335" t="s">
        <v>136</v>
      </c>
      <c r="V40" s="341" t="str">
        <f t="shared" si="13"/>
        <v>ja</v>
      </c>
      <c r="W40" s="342">
        <f t="shared" si="7"/>
        <v>0.6583</v>
      </c>
      <c r="X40" s="343">
        <f t="shared" si="8"/>
        <v>0</v>
      </c>
      <c r="Y40" s="343" t="str">
        <f t="shared" si="9"/>
        <v/>
      </c>
    </row>
    <row r="41" spans="1:25" x14ac:dyDescent="0.25">
      <c r="A41" s="328" t="str">
        <f>IF(B41&lt;&gt;"&lt;Selecteer&gt;",MAX($A$4:A40)+1,"")</f>
        <v/>
      </c>
      <c r="B41" s="346" t="s">
        <v>35</v>
      </c>
      <c r="C41" s="330"/>
      <c r="D41" s="331"/>
      <c r="E41" s="347"/>
      <c r="F41" s="333"/>
      <c r="G41" s="333"/>
      <c r="H41" s="335">
        <f t="shared" si="4"/>
        <v>0</v>
      </c>
      <c r="I41" s="348">
        <f t="shared" si="5"/>
        <v>0</v>
      </c>
      <c r="J41" s="349">
        <f t="shared" si="10"/>
        <v>0</v>
      </c>
      <c r="K41" s="350"/>
      <c r="L41" s="338"/>
      <c r="M41" s="334"/>
      <c r="N41" s="351"/>
      <c r="O41" s="334"/>
      <c r="P41" s="334"/>
      <c r="Q41" s="335">
        <f t="shared" si="6"/>
        <v>0</v>
      </c>
      <c r="R41" s="348">
        <f t="shared" si="11"/>
        <v>0</v>
      </c>
      <c r="S41" s="349">
        <f t="shared" si="12"/>
        <v>0</v>
      </c>
      <c r="T41" s="350"/>
      <c r="U41" s="335" t="s">
        <v>136</v>
      </c>
      <c r="V41" s="341" t="str">
        <f t="shared" si="13"/>
        <v>ja</v>
      </c>
      <c r="W41" s="342">
        <f t="shared" si="7"/>
        <v>0.6583</v>
      </c>
      <c r="X41" s="343">
        <f t="shared" si="8"/>
        <v>0</v>
      </c>
      <c r="Y41" s="343" t="str">
        <f t="shared" si="9"/>
        <v/>
      </c>
    </row>
    <row r="42" spans="1:25" x14ac:dyDescent="0.25">
      <c r="A42" s="328" t="str">
        <f>IF(B42&lt;&gt;"&lt;Selecteer&gt;",MAX($A$4:A41)+1,"")</f>
        <v/>
      </c>
      <c r="B42" s="346" t="s">
        <v>35</v>
      </c>
      <c r="C42" s="330"/>
      <c r="D42" s="331"/>
      <c r="E42" s="347"/>
      <c r="F42" s="333"/>
      <c r="G42" s="333"/>
      <c r="H42" s="335">
        <f t="shared" si="4"/>
        <v>0</v>
      </c>
      <c r="I42" s="348">
        <f t="shared" si="5"/>
        <v>0</v>
      </c>
      <c r="J42" s="349">
        <f t="shared" si="10"/>
        <v>0</v>
      </c>
      <c r="K42" s="350"/>
      <c r="L42" s="338"/>
      <c r="M42" s="334"/>
      <c r="N42" s="351"/>
      <c r="O42" s="334"/>
      <c r="P42" s="334"/>
      <c r="Q42" s="335">
        <f t="shared" si="6"/>
        <v>0</v>
      </c>
      <c r="R42" s="348">
        <f t="shared" si="11"/>
        <v>0</v>
      </c>
      <c r="S42" s="349">
        <f t="shared" si="12"/>
        <v>0</v>
      </c>
      <c r="T42" s="350"/>
      <c r="U42" s="335" t="s">
        <v>136</v>
      </c>
      <c r="V42" s="341" t="str">
        <f t="shared" si="13"/>
        <v>ja</v>
      </c>
      <c r="W42" s="342">
        <f t="shared" si="7"/>
        <v>0.6583</v>
      </c>
      <c r="X42" s="343">
        <f t="shared" si="8"/>
        <v>0</v>
      </c>
      <c r="Y42" s="343" t="str">
        <f t="shared" si="9"/>
        <v/>
      </c>
    </row>
    <row r="43" spans="1:25" x14ac:dyDescent="0.25">
      <c r="A43" s="328" t="str">
        <f>IF(B43&lt;&gt;"&lt;Selecteer&gt;",MAX($A$4:A42)+1,"")</f>
        <v/>
      </c>
      <c r="B43" s="346" t="s">
        <v>35</v>
      </c>
      <c r="C43" s="330"/>
      <c r="D43" s="331"/>
      <c r="E43" s="347"/>
      <c r="F43" s="333"/>
      <c r="G43" s="333"/>
      <c r="H43" s="335">
        <f t="shared" si="4"/>
        <v>0</v>
      </c>
      <c r="I43" s="348">
        <f t="shared" si="5"/>
        <v>0</v>
      </c>
      <c r="J43" s="349">
        <f t="shared" si="10"/>
        <v>0</v>
      </c>
      <c r="K43" s="350"/>
      <c r="L43" s="338"/>
      <c r="M43" s="334"/>
      <c r="N43" s="351"/>
      <c r="O43" s="334"/>
      <c r="P43" s="334"/>
      <c r="Q43" s="335">
        <f t="shared" si="6"/>
        <v>0</v>
      </c>
      <c r="R43" s="348">
        <f t="shared" si="11"/>
        <v>0</v>
      </c>
      <c r="S43" s="349">
        <f t="shared" si="12"/>
        <v>0</v>
      </c>
      <c r="T43" s="350"/>
      <c r="U43" s="335" t="s">
        <v>136</v>
      </c>
      <c r="V43" s="341" t="str">
        <f t="shared" si="13"/>
        <v>ja</v>
      </c>
      <c r="W43" s="342">
        <f t="shared" si="7"/>
        <v>0.6583</v>
      </c>
      <c r="X43" s="343">
        <f t="shared" si="8"/>
        <v>0</v>
      </c>
      <c r="Y43" s="343" t="str">
        <f t="shared" si="9"/>
        <v/>
      </c>
    </row>
    <row r="44" spans="1:25" x14ac:dyDescent="0.25">
      <c r="A44" s="328" t="str">
        <f>IF(B44&lt;&gt;"&lt;Selecteer&gt;",MAX($A$4:A43)+1,"")</f>
        <v/>
      </c>
      <c r="B44" s="346" t="s">
        <v>35</v>
      </c>
      <c r="C44" s="330"/>
      <c r="D44" s="331"/>
      <c r="E44" s="347"/>
      <c r="F44" s="333"/>
      <c r="G44" s="333"/>
      <c r="H44" s="335">
        <f t="shared" si="4"/>
        <v>0</v>
      </c>
      <c r="I44" s="348">
        <f t="shared" si="5"/>
        <v>0</v>
      </c>
      <c r="J44" s="349">
        <f t="shared" si="10"/>
        <v>0</v>
      </c>
      <c r="K44" s="350"/>
      <c r="L44" s="338"/>
      <c r="M44" s="334"/>
      <c r="N44" s="351"/>
      <c r="O44" s="334"/>
      <c r="P44" s="334"/>
      <c r="Q44" s="335">
        <f t="shared" si="6"/>
        <v>0</v>
      </c>
      <c r="R44" s="348">
        <f t="shared" si="11"/>
        <v>0</v>
      </c>
      <c r="S44" s="349">
        <f t="shared" si="12"/>
        <v>0</v>
      </c>
      <c r="T44" s="350"/>
      <c r="U44" s="335" t="s">
        <v>136</v>
      </c>
      <c r="V44" s="341" t="str">
        <f t="shared" si="13"/>
        <v>ja</v>
      </c>
      <c r="W44" s="342">
        <f t="shared" si="7"/>
        <v>0.6583</v>
      </c>
      <c r="X44" s="343">
        <f t="shared" si="8"/>
        <v>0</v>
      </c>
      <c r="Y44" s="343" t="str">
        <f t="shared" si="9"/>
        <v/>
      </c>
    </row>
    <row r="45" spans="1:25" x14ac:dyDescent="0.25">
      <c r="A45" s="328" t="str">
        <f>IF(B45&lt;&gt;"&lt;Selecteer&gt;",MAX($A$4:A44)+1,"")</f>
        <v/>
      </c>
      <c r="B45" s="346" t="s">
        <v>35</v>
      </c>
      <c r="C45" s="330"/>
      <c r="D45" s="331"/>
      <c r="E45" s="347"/>
      <c r="F45" s="333"/>
      <c r="G45" s="333"/>
      <c r="H45" s="335">
        <f t="shared" si="4"/>
        <v>0</v>
      </c>
      <c r="I45" s="348">
        <f t="shared" si="5"/>
        <v>0</v>
      </c>
      <c r="J45" s="349">
        <f t="shared" si="10"/>
        <v>0</v>
      </c>
      <c r="K45" s="350"/>
      <c r="L45" s="338"/>
      <c r="M45" s="334"/>
      <c r="N45" s="351"/>
      <c r="O45" s="334"/>
      <c r="P45" s="334"/>
      <c r="Q45" s="335">
        <f t="shared" si="6"/>
        <v>0</v>
      </c>
      <c r="R45" s="348">
        <f t="shared" si="11"/>
        <v>0</v>
      </c>
      <c r="S45" s="349">
        <f t="shared" si="12"/>
        <v>0</v>
      </c>
      <c r="T45" s="350"/>
      <c r="U45" s="335" t="s">
        <v>136</v>
      </c>
      <c r="V45" s="341" t="str">
        <f t="shared" si="13"/>
        <v>ja</v>
      </c>
      <c r="W45" s="342">
        <f t="shared" si="7"/>
        <v>0.6583</v>
      </c>
      <c r="X45" s="343">
        <f t="shared" si="8"/>
        <v>0</v>
      </c>
      <c r="Y45" s="343" t="str">
        <f t="shared" si="9"/>
        <v/>
      </c>
    </row>
    <row r="46" spans="1:25" x14ac:dyDescent="0.25">
      <c r="A46" s="328" t="str">
        <f>IF(B46&lt;&gt;"&lt;Selecteer&gt;",MAX($A$4:A45)+1,"")</f>
        <v/>
      </c>
      <c r="B46" s="346" t="s">
        <v>35</v>
      </c>
      <c r="C46" s="330"/>
      <c r="D46" s="331"/>
      <c r="E46" s="347"/>
      <c r="F46" s="333"/>
      <c r="G46" s="333"/>
      <c r="H46" s="335">
        <f t="shared" si="4"/>
        <v>0</v>
      </c>
      <c r="I46" s="348">
        <f t="shared" si="5"/>
        <v>0</v>
      </c>
      <c r="J46" s="349">
        <f t="shared" si="10"/>
        <v>0</v>
      </c>
      <c r="K46" s="350"/>
      <c r="L46" s="338"/>
      <c r="M46" s="334"/>
      <c r="N46" s="351"/>
      <c r="O46" s="334"/>
      <c r="P46" s="334"/>
      <c r="Q46" s="335">
        <f t="shared" si="6"/>
        <v>0</v>
      </c>
      <c r="R46" s="348">
        <f t="shared" si="11"/>
        <v>0</v>
      </c>
      <c r="S46" s="349">
        <f t="shared" si="12"/>
        <v>0</v>
      </c>
      <c r="T46" s="350"/>
      <c r="U46" s="335" t="s">
        <v>136</v>
      </c>
      <c r="V46" s="341" t="str">
        <f t="shared" si="13"/>
        <v>ja</v>
      </c>
      <c r="W46" s="342">
        <f t="shared" si="7"/>
        <v>0.6583</v>
      </c>
      <c r="X46" s="343">
        <f t="shared" si="8"/>
        <v>0</v>
      </c>
      <c r="Y46" s="343" t="str">
        <f t="shared" si="9"/>
        <v/>
      </c>
    </row>
    <row r="47" spans="1:25" x14ac:dyDescent="0.25">
      <c r="A47" s="328" t="str">
        <f>IF(B47&lt;&gt;"&lt;Selecteer&gt;",MAX($A$4:A46)+1,"")</f>
        <v/>
      </c>
      <c r="B47" s="346" t="s">
        <v>35</v>
      </c>
      <c r="C47" s="330"/>
      <c r="D47" s="331"/>
      <c r="E47" s="347"/>
      <c r="F47" s="333"/>
      <c r="G47" s="333"/>
      <c r="H47" s="335">
        <f t="shared" si="4"/>
        <v>0</v>
      </c>
      <c r="I47" s="348">
        <f t="shared" si="5"/>
        <v>0</v>
      </c>
      <c r="J47" s="349">
        <f t="shared" si="10"/>
        <v>0</v>
      </c>
      <c r="K47" s="350"/>
      <c r="L47" s="338"/>
      <c r="M47" s="334"/>
      <c r="N47" s="351"/>
      <c r="O47" s="334"/>
      <c r="P47" s="334"/>
      <c r="Q47" s="335">
        <f t="shared" si="6"/>
        <v>0</v>
      </c>
      <c r="R47" s="348">
        <f t="shared" si="11"/>
        <v>0</v>
      </c>
      <c r="S47" s="349">
        <f t="shared" si="12"/>
        <v>0</v>
      </c>
      <c r="T47" s="350"/>
      <c r="U47" s="335" t="s">
        <v>136</v>
      </c>
      <c r="V47" s="341" t="str">
        <f t="shared" si="13"/>
        <v>ja</v>
      </c>
      <c r="W47" s="342">
        <f t="shared" si="7"/>
        <v>0.6583</v>
      </c>
      <c r="X47" s="343">
        <f t="shared" si="8"/>
        <v>0</v>
      </c>
      <c r="Y47" s="343" t="str">
        <f t="shared" si="9"/>
        <v/>
      </c>
    </row>
    <row r="48" spans="1:25" x14ac:dyDescent="0.25">
      <c r="A48" s="328" t="str">
        <f>IF(B48&lt;&gt;"&lt;Selecteer&gt;",MAX($A$4:A47)+1,"")</f>
        <v/>
      </c>
      <c r="B48" s="346" t="s">
        <v>35</v>
      </c>
      <c r="C48" s="330"/>
      <c r="D48" s="331"/>
      <c r="E48" s="347"/>
      <c r="F48" s="333"/>
      <c r="G48" s="333"/>
      <c r="H48" s="335">
        <f t="shared" si="4"/>
        <v>0</v>
      </c>
      <c r="I48" s="348">
        <f t="shared" si="5"/>
        <v>0</v>
      </c>
      <c r="J48" s="349">
        <f t="shared" si="10"/>
        <v>0</v>
      </c>
      <c r="K48" s="350"/>
      <c r="L48" s="338"/>
      <c r="M48" s="334"/>
      <c r="N48" s="351"/>
      <c r="O48" s="334"/>
      <c r="P48" s="334"/>
      <c r="Q48" s="335">
        <f t="shared" si="6"/>
        <v>0</v>
      </c>
      <c r="R48" s="348">
        <f t="shared" si="11"/>
        <v>0</v>
      </c>
      <c r="S48" s="349">
        <f t="shared" si="12"/>
        <v>0</v>
      </c>
      <c r="T48" s="350"/>
      <c r="U48" s="335" t="s">
        <v>136</v>
      </c>
      <c r="V48" s="341" t="str">
        <f t="shared" si="13"/>
        <v>ja</v>
      </c>
      <c r="W48" s="342">
        <f t="shared" si="7"/>
        <v>0.6583</v>
      </c>
      <c r="X48" s="343">
        <f t="shared" si="8"/>
        <v>0</v>
      </c>
      <c r="Y48" s="343" t="str">
        <f t="shared" si="9"/>
        <v/>
      </c>
    </row>
    <row r="49" spans="1:25" x14ac:dyDescent="0.25">
      <c r="A49" s="328" t="str">
        <f>IF(B49&lt;&gt;"&lt;Selecteer&gt;",MAX($A$4:A48)+1,"")</f>
        <v/>
      </c>
      <c r="B49" s="346" t="s">
        <v>35</v>
      </c>
      <c r="C49" s="330"/>
      <c r="D49" s="331"/>
      <c r="E49" s="347"/>
      <c r="F49" s="333"/>
      <c r="G49" s="333"/>
      <c r="H49" s="335">
        <f t="shared" si="4"/>
        <v>0</v>
      </c>
      <c r="I49" s="348">
        <f t="shared" si="5"/>
        <v>0</v>
      </c>
      <c r="J49" s="349">
        <f t="shared" si="10"/>
        <v>0</v>
      </c>
      <c r="K49" s="350"/>
      <c r="L49" s="338"/>
      <c r="M49" s="334"/>
      <c r="N49" s="351"/>
      <c r="O49" s="334"/>
      <c r="P49" s="334"/>
      <c r="Q49" s="335">
        <f t="shared" si="6"/>
        <v>0</v>
      </c>
      <c r="R49" s="348">
        <f t="shared" si="11"/>
        <v>0</v>
      </c>
      <c r="S49" s="349">
        <f t="shared" si="12"/>
        <v>0</v>
      </c>
      <c r="T49" s="350"/>
      <c r="U49" s="335" t="s">
        <v>136</v>
      </c>
      <c r="V49" s="341" t="str">
        <f t="shared" si="13"/>
        <v>ja</v>
      </c>
      <c r="W49" s="342">
        <f t="shared" si="7"/>
        <v>0.6583</v>
      </c>
      <c r="X49" s="343">
        <f t="shared" si="8"/>
        <v>0</v>
      </c>
      <c r="Y49" s="343" t="str">
        <f t="shared" si="9"/>
        <v/>
      </c>
    </row>
    <row r="50" spans="1:25" x14ac:dyDescent="0.25">
      <c r="A50" s="328" t="str">
        <f>IF(B50&lt;&gt;"&lt;Selecteer&gt;",MAX($A$4:A49)+1,"")</f>
        <v/>
      </c>
      <c r="B50" s="346" t="s">
        <v>35</v>
      </c>
      <c r="C50" s="330"/>
      <c r="D50" s="331"/>
      <c r="E50" s="347"/>
      <c r="F50" s="333"/>
      <c r="G50" s="333"/>
      <c r="H50" s="335">
        <f t="shared" si="4"/>
        <v>0</v>
      </c>
      <c r="I50" s="348">
        <f t="shared" si="5"/>
        <v>0</v>
      </c>
      <c r="J50" s="349">
        <f t="shared" si="10"/>
        <v>0</v>
      </c>
      <c r="K50" s="350"/>
      <c r="L50" s="338"/>
      <c r="M50" s="334"/>
      <c r="N50" s="351"/>
      <c r="O50" s="334"/>
      <c r="P50" s="334"/>
      <c r="Q50" s="335">
        <f t="shared" si="6"/>
        <v>0</v>
      </c>
      <c r="R50" s="348">
        <f t="shared" si="11"/>
        <v>0</v>
      </c>
      <c r="S50" s="349">
        <f t="shared" si="12"/>
        <v>0</v>
      </c>
      <c r="T50" s="350"/>
      <c r="U50" s="335" t="s">
        <v>136</v>
      </c>
      <c r="V50" s="341" t="str">
        <f t="shared" si="13"/>
        <v>ja</v>
      </c>
      <c r="W50" s="342">
        <f t="shared" si="7"/>
        <v>0.6583</v>
      </c>
      <c r="X50" s="343">
        <f t="shared" si="8"/>
        <v>0</v>
      </c>
      <c r="Y50" s="343" t="str">
        <f t="shared" si="9"/>
        <v/>
      </c>
    </row>
    <row r="51" spans="1:25" x14ac:dyDescent="0.25">
      <c r="A51" s="328" t="str">
        <f>IF(B51&lt;&gt;"&lt;Selecteer&gt;",MAX($A$4:A50)+1,"")</f>
        <v/>
      </c>
      <c r="B51" s="346" t="s">
        <v>35</v>
      </c>
      <c r="C51" s="330"/>
      <c r="D51" s="331"/>
      <c r="E51" s="347"/>
      <c r="F51" s="333"/>
      <c r="G51" s="333"/>
      <c r="H51" s="335">
        <f t="shared" si="4"/>
        <v>0</v>
      </c>
      <c r="I51" s="348">
        <f t="shared" si="5"/>
        <v>0</v>
      </c>
      <c r="J51" s="349">
        <f t="shared" si="10"/>
        <v>0</v>
      </c>
      <c r="K51" s="350"/>
      <c r="L51" s="338"/>
      <c r="M51" s="334"/>
      <c r="N51" s="351"/>
      <c r="O51" s="334"/>
      <c r="P51" s="334"/>
      <c r="Q51" s="335">
        <f t="shared" si="6"/>
        <v>0</v>
      </c>
      <c r="R51" s="348">
        <f t="shared" si="11"/>
        <v>0</v>
      </c>
      <c r="S51" s="349">
        <f t="shared" si="12"/>
        <v>0</v>
      </c>
      <c r="T51" s="350"/>
      <c r="U51" s="335" t="s">
        <v>136</v>
      </c>
      <c r="V51" s="341" t="str">
        <f t="shared" si="13"/>
        <v>ja</v>
      </c>
      <c r="W51" s="342">
        <f t="shared" si="7"/>
        <v>0.6583</v>
      </c>
      <c r="X51" s="343">
        <f t="shared" si="8"/>
        <v>0</v>
      </c>
      <c r="Y51" s="343" t="str">
        <f t="shared" si="9"/>
        <v/>
      </c>
    </row>
    <row r="52" spans="1:25" x14ac:dyDescent="0.25">
      <c r="A52" s="328" t="str">
        <f>IF(B52&lt;&gt;"&lt;Selecteer&gt;",MAX($A$4:A51)+1,"")</f>
        <v/>
      </c>
      <c r="B52" s="346" t="s">
        <v>35</v>
      </c>
      <c r="C52" s="330"/>
      <c r="D52" s="331"/>
      <c r="E52" s="347"/>
      <c r="F52" s="333"/>
      <c r="G52" s="333"/>
      <c r="H52" s="335">
        <f t="shared" si="4"/>
        <v>0</v>
      </c>
      <c r="I52" s="348">
        <f t="shared" si="5"/>
        <v>0</v>
      </c>
      <c r="J52" s="349">
        <f t="shared" si="10"/>
        <v>0</v>
      </c>
      <c r="K52" s="350"/>
      <c r="L52" s="338"/>
      <c r="M52" s="334"/>
      <c r="N52" s="351"/>
      <c r="O52" s="334"/>
      <c r="P52" s="334"/>
      <c r="Q52" s="335">
        <f t="shared" si="6"/>
        <v>0</v>
      </c>
      <c r="R52" s="348">
        <f t="shared" si="11"/>
        <v>0</v>
      </c>
      <c r="S52" s="349">
        <f t="shared" si="12"/>
        <v>0</v>
      </c>
      <c r="T52" s="350"/>
      <c r="U52" s="335" t="s">
        <v>136</v>
      </c>
      <c r="V52" s="341" t="str">
        <f t="shared" si="13"/>
        <v>ja</v>
      </c>
      <c r="W52" s="342">
        <f t="shared" si="7"/>
        <v>0.6583</v>
      </c>
      <c r="X52" s="343">
        <f t="shared" si="8"/>
        <v>0</v>
      </c>
      <c r="Y52" s="343" t="str">
        <f t="shared" si="9"/>
        <v/>
      </c>
    </row>
    <row r="53" spans="1:25" x14ac:dyDescent="0.25">
      <c r="A53" s="328" t="str">
        <f>IF(B53&lt;&gt;"&lt;Selecteer&gt;",MAX($A$4:A52)+1,"")</f>
        <v/>
      </c>
      <c r="B53" s="346" t="s">
        <v>35</v>
      </c>
      <c r="C53" s="330"/>
      <c r="D53" s="331"/>
      <c r="E53" s="347"/>
      <c r="F53" s="333"/>
      <c r="G53" s="333"/>
      <c r="H53" s="335">
        <f t="shared" si="4"/>
        <v>0</v>
      </c>
      <c r="I53" s="348">
        <f t="shared" si="5"/>
        <v>0</v>
      </c>
      <c r="J53" s="349">
        <f t="shared" si="10"/>
        <v>0</v>
      </c>
      <c r="K53" s="350"/>
      <c r="L53" s="338"/>
      <c r="M53" s="334"/>
      <c r="N53" s="351"/>
      <c r="O53" s="334"/>
      <c r="P53" s="334"/>
      <c r="Q53" s="335">
        <f t="shared" si="6"/>
        <v>0</v>
      </c>
      <c r="R53" s="348">
        <f t="shared" si="11"/>
        <v>0</v>
      </c>
      <c r="S53" s="349">
        <f t="shared" si="12"/>
        <v>0</v>
      </c>
      <c r="T53" s="350"/>
      <c r="U53" s="335" t="s">
        <v>136</v>
      </c>
      <c r="V53" s="341" t="str">
        <f t="shared" si="13"/>
        <v>ja</v>
      </c>
      <c r="W53" s="342">
        <f t="shared" si="7"/>
        <v>0.6583</v>
      </c>
      <c r="X53" s="343">
        <f t="shared" si="8"/>
        <v>0</v>
      </c>
      <c r="Y53" s="343" t="str">
        <f t="shared" si="9"/>
        <v/>
      </c>
    </row>
    <row r="54" spans="1:25" x14ac:dyDescent="0.25">
      <c r="A54" s="328" t="str">
        <f>IF(B54&lt;&gt;"&lt;Selecteer&gt;",MAX($A$4:A53)+1,"")</f>
        <v/>
      </c>
      <c r="B54" s="346" t="s">
        <v>35</v>
      </c>
      <c r="C54" s="330"/>
      <c r="D54" s="331"/>
      <c r="E54" s="347"/>
      <c r="F54" s="333"/>
      <c r="G54" s="333"/>
      <c r="H54" s="335">
        <f t="shared" si="4"/>
        <v>0</v>
      </c>
      <c r="I54" s="348">
        <f t="shared" si="5"/>
        <v>0</v>
      </c>
      <c r="J54" s="349">
        <f t="shared" si="10"/>
        <v>0</v>
      </c>
      <c r="K54" s="350"/>
      <c r="L54" s="338"/>
      <c r="M54" s="334"/>
      <c r="N54" s="351"/>
      <c r="O54" s="334"/>
      <c r="P54" s="334"/>
      <c r="Q54" s="335">
        <f t="shared" si="6"/>
        <v>0</v>
      </c>
      <c r="R54" s="348">
        <f t="shared" si="11"/>
        <v>0</v>
      </c>
      <c r="S54" s="349">
        <f t="shared" si="12"/>
        <v>0</v>
      </c>
      <c r="T54" s="350"/>
      <c r="U54" s="335" t="s">
        <v>136</v>
      </c>
      <c r="V54" s="341" t="str">
        <f t="shared" si="13"/>
        <v>ja</v>
      </c>
      <c r="W54" s="342">
        <f t="shared" si="7"/>
        <v>0.6583</v>
      </c>
      <c r="X54" s="343">
        <f t="shared" si="8"/>
        <v>0</v>
      </c>
      <c r="Y54" s="343" t="str">
        <f t="shared" si="9"/>
        <v/>
      </c>
    </row>
    <row r="55" spans="1:25" ht="15" customHeight="1" x14ac:dyDescent="0.25">
      <c r="U55" s="183"/>
    </row>
    <row r="57" spans="1:25" ht="15" hidden="1" customHeight="1" x14ac:dyDescent="0.25">
      <c r="W57" s="131"/>
    </row>
  </sheetData>
  <sheetProtection algorithmName="SHA-512" hashValue="4y4J3+4+/03v3NCchtNjXsCR65rB3TOdxSQckOvdy1DAbokYrjExPDJXyMR28lPjcz12FJhNS2KYYSOMXUZQZw==" saltValue="J1Zmw6LOdCsT6x7vPyqikA==" spinCount="100000" sheet="1" objects="1" scenarios="1"/>
  <mergeCells count="2">
    <mergeCell ref="D3:K3"/>
    <mergeCell ref="L3:T3"/>
  </mergeCells>
  <conditionalFormatting sqref="A5:A54">
    <cfRule type="expression" dxfId="49" priority="11">
      <formula>OR($B5="Ja",$B5="Nee")</formula>
    </cfRule>
  </conditionalFormatting>
  <conditionalFormatting sqref="C5:C54 K5:K54 T5:T54">
    <cfRule type="expression" dxfId="48" priority="3">
      <formula>OR($B5="Ja",$B5="Nee")</formula>
    </cfRule>
  </conditionalFormatting>
  <conditionalFormatting sqref="C5:Y54">
    <cfRule type="expression" dxfId="47" priority="1" stopIfTrue="1">
      <formula>$B5="&lt;Selecteer&gt;"</formula>
    </cfRule>
  </conditionalFormatting>
  <conditionalFormatting sqref="D5:D54">
    <cfRule type="expression" dxfId="46" priority="7">
      <formula>$B5="Ja"</formula>
    </cfRule>
  </conditionalFormatting>
  <conditionalFormatting sqref="E5:G54">
    <cfRule type="expression" dxfId="45" priority="10">
      <formula>$B5="Nee"</formula>
    </cfRule>
  </conditionalFormatting>
  <conditionalFormatting sqref="H5:K54">
    <cfRule type="expression" dxfId="44" priority="4">
      <formula>$B5="Nee"</formula>
    </cfRule>
  </conditionalFormatting>
  <conditionalFormatting sqref="L5:L54">
    <cfRule type="cellIs" dxfId="43" priority="2" stopIfTrue="1" operator="equal">
      <formula>"JA"</formula>
    </cfRule>
    <cfRule type="cellIs" dxfId="42" priority="12" stopIfTrue="1" operator="equal">
      <formula>"NEE"</formula>
    </cfRule>
    <cfRule type="cellIs" dxfId="41" priority="13" stopIfTrue="1" operator="equal">
      <formula>""</formula>
    </cfRule>
  </conditionalFormatting>
  <conditionalFormatting sqref="M5:M54">
    <cfRule type="expression" dxfId="40" priority="9">
      <formula>AND($B5="Ja",$L5="NEE")</formula>
    </cfRule>
  </conditionalFormatting>
  <conditionalFormatting sqref="N5:P54">
    <cfRule type="expression" dxfId="39" priority="5">
      <formula>AND($B5="Nee",$L5="NEE")</formula>
    </cfRule>
  </conditionalFormatting>
  <conditionalFormatting sqref="Q5:T54">
    <cfRule type="expression" dxfId="38" priority="8">
      <formula>AND($B5="Nee",$L5="NEE")</formula>
    </cfRule>
  </conditionalFormatting>
  <conditionalFormatting sqref="U5:W54">
    <cfRule type="expression" dxfId="37" priority="14">
      <formula>$B5="Nee"</formula>
    </cfRule>
  </conditionalFormatting>
  <conditionalFormatting sqref="X5:Y54">
    <cfRule type="expression" dxfId="36" priority="6">
      <formula>OR($B5="Nee",$B5="Ja")</formula>
    </cfRule>
  </conditionalFormatting>
  <dataValidations count="6">
    <dataValidation type="list" allowBlank="1" showInputMessage="1" showErrorMessage="1" sqref="L5:L54" xr:uid="{207F238C-4953-455C-91C8-2E1E7DDBA22E}">
      <formula1>Keuze_Ja_Nee</formula1>
    </dataValidation>
    <dataValidation type="list" allowBlank="1" showInputMessage="1" showErrorMessage="1" sqref="B5:B54" xr:uid="{1BE1BACE-0B4F-4937-851B-B50155CCABDD}">
      <formula1>"&lt;Selecteer&gt;,Ja,Nee"</formula1>
    </dataValidation>
    <dataValidation type="decimal" allowBlank="1" showInputMessage="1" showErrorMessage="1" errorTitle="Controleer opgegeven uren" error="Dienstverband moet tussen 1 en 40 uur liggen." sqref="E5:E54" xr:uid="{157D918D-AC5F-401D-89AD-2908997C07E3}">
      <formula1>1</formula1>
      <formula2>40</formula2>
    </dataValidation>
    <dataValidation type="decimal" operator="greaterThanOrEqual" allowBlank="1" showInputMessage="1" showErrorMessage="1" sqref="D5:D54 F5:G54" xr:uid="{72CEF96B-9510-4474-80EE-C26AB94380AE}">
      <formula1>0</formula1>
    </dataValidation>
    <dataValidation type="textLength" operator="lessThanOrEqual" allowBlank="1" showInputMessage="1" showErrorMessage="1" errorTitle="Teksveld limiet" error="Maximaal 120 tekens toegestaan" sqref="C5:C54" xr:uid="{DF1FD2B3-AE99-4A48-A38C-F4B0DC5C72C4}">
      <formula1>120</formula1>
    </dataValidation>
    <dataValidation type="textLength" operator="lessThanOrEqual" allowBlank="1" showInputMessage="1" showErrorMessage="1" errorTitle="Tekstveld limiet" error="Maximaal 250 tekens toegestaan" sqref="K5:K54" xr:uid="{22A1617F-CE49-4FCF-AF24-E4804236CEE2}">
      <formula1>250</formula1>
    </dataValidation>
  </dataValidations>
  <pageMargins left="0.70866141732283472" right="0.70866141732283472" top="0.74803149606299213" bottom="0.74803149606299213" header="0.31496062992125984" footer="0.31496062992125984"/>
  <pageSetup paperSize="9" scale="80" orientation="landscape" r:id="rId1"/>
  <headerFooter>
    <oddFooter>&amp;LVersie: september 2023&amp;C&amp;A&amp;R&amp;P van &amp;N</oddFooter>
  </headerFooter>
  <rowBreaks count="1" manualBreakCount="1">
    <brk id="29" max="14" man="1"/>
  </rowBreaks>
  <colBreaks count="1" manualBreakCount="1">
    <brk id="20" max="53"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1F287-3733-4787-9CA0-B400FC210D92}">
  <sheetPr codeName="Blad16">
    <tabColor theme="9" tint="0.79998168889431442"/>
  </sheetPr>
  <dimension ref="A1:AE2002"/>
  <sheetViews>
    <sheetView showGridLines="0" zoomScaleNormal="100" zoomScaleSheetLayoutView="59" workbookViewId="0">
      <pane xSplit="2" ySplit="1" topLeftCell="C2" activePane="bottomRight" state="frozen"/>
      <selection activeCell="O25" sqref="O25"/>
      <selection pane="topRight" activeCell="O25" sqref="O25"/>
      <selection pane="bottomLeft" activeCell="O25" sqref="O25"/>
      <selection pane="bottomRight" activeCell="A2003" sqref="A2003:XFD1048576"/>
    </sheetView>
  </sheetViews>
  <sheetFormatPr defaultColWidth="9.140625" defaultRowHeight="15" customHeight="1" zeroHeight="1" x14ac:dyDescent="0.25"/>
  <cols>
    <col min="1" max="1" width="8" style="25" bestFit="1" customWidth="1"/>
    <col min="2" max="2" width="10.5703125" style="28" bestFit="1" customWidth="1"/>
    <col min="3" max="3" width="33" style="25" customWidth="1"/>
    <col min="4" max="4" width="44.140625" style="25" customWidth="1"/>
    <col min="5" max="5" width="36.5703125" style="25" bestFit="1" customWidth="1"/>
    <col min="6" max="7" width="40.7109375" style="25" customWidth="1"/>
    <col min="8" max="8" width="35.7109375" style="28" customWidth="1"/>
    <col min="9" max="9" width="15.7109375" style="28" bestFit="1" customWidth="1"/>
    <col min="10" max="10" width="14" style="28" customWidth="1"/>
    <col min="11" max="11" width="16.7109375" style="28" customWidth="1"/>
    <col min="12" max="12" width="14" style="28" customWidth="1"/>
    <col min="13" max="14" width="11.140625" style="28" customWidth="1"/>
    <col min="15" max="15" width="12.42578125" style="28" bestFit="1" customWidth="1"/>
    <col min="16" max="16" width="11.42578125" style="25" hidden="1" customWidth="1"/>
    <col min="17" max="17" width="12.42578125" style="25" bestFit="1" customWidth="1"/>
    <col min="18" max="18" width="11.42578125" style="25" hidden="1" customWidth="1"/>
    <col min="19" max="19" width="15.7109375" style="25" customWidth="1"/>
    <col min="20" max="22" width="15.7109375" style="25" hidden="1" customWidth="1"/>
    <col min="23" max="23" width="15.7109375" style="25" customWidth="1"/>
    <col min="24" max="25" width="15.7109375" style="25" hidden="1" customWidth="1"/>
    <col min="26" max="26" width="15.7109375" style="25" customWidth="1"/>
    <col min="27" max="28" width="15.7109375" style="25" hidden="1" customWidth="1"/>
    <col min="29" max="29" width="60.7109375" style="25" customWidth="1"/>
    <col min="30" max="30" width="60.7109375" style="25" hidden="1" customWidth="1"/>
    <col min="31" max="31" width="4.85546875" style="25" hidden="1" customWidth="1"/>
    <col min="32" max="32" width="14.5703125" style="25" bestFit="1" customWidth="1"/>
    <col min="33" max="33" width="30.5703125" style="25" bestFit="1" customWidth="1"/>
    <col min="34" max="34" width="14.5703125" style="25" bestFit="1" customWidth="1"/>
    <col min="35" max="35" width="27.7109375" style="25" bestFit="1" customWidth="1"/>
    <col min="36" max="36" width="22" style="25" bestFit="1" customWidth="1"/>
    <col min="37" max="37" width="12.85546875" style="25" bestFit="1" customWidth="1"/>
    <col min="38" max="38" width="26.85546875" style="25" bestFit="1" customWidth="1"/>
    <col min="39" max="39" width="31" style="25" bestFit="1" customWidth="1"/>
    <col min="40" max="40" width="19.140625" style="25" bestFit="1" customWidth="1"/>
    <col min="41" max="41" width="9.28515625" style="25" customWidth="1"/>
    <col min="42" max="16384" width="9.140625" style="25"/>
  </cols>
  <sheetData>
    <row r="1" spans="1:31" ht="48" customHeight="1" x14ac:dyDescent="0.25">
      <c r="A1" s="71" t="s">
        <v>154</v>
      </c>
      <c r="B1" s="71" t="s">
        <v>90</v>
      </c>
      <c r="C1" s="69" t="s">
        <v>58</v>
      </c>
      <c r="D1" s="69" t="s">
        <v>2</v>
      </c>
      <c r="E1" s="69" t="s">
        <v>152</v>
      </c>
      <c r="F1" s="69" t="s">
        <v>0</v>
      </c>
      <c r="G1" s="69" t="s">
        <v>315</v>
      </c>
      <c r="H1" s="70" t="str">
        <f>IF(COUNTIF($F$2:$F$10000,Openstelling_Activiteit!$X$3)&gt;0,"Jaartal /" &amp; CHAR(10) &amp;"Naam medewerker /" &amp; CHAR(10) &amp; "leverancier (derden)","Naam medewerker /" &amp; CHAR(10) &amp; "leverancier (derden)")</f>
        <v>Naam medewerker /
leverancier (derden)</v>
      </c>
      <c r="I1" s="71" t="s">
        <v>110</v>
      </c>
      <c r="J1" s="71" t="s">
        <v>111</v>
      </c>
      <c r="K1" s="71" t="s">
        <v>107</v>
      </c>
      <c r="L1" s="71" t="s">
        <v>108</v>
      </c>
      <c r="M1" s="71" t="s">
        <v>109</v>
      </c>
      <c r="N1" s="71" t="s">
        <v>42</v>
      </c>
      <c r="O1" s="71" t="s">
        <v>113</v>
      </c>
      <c r="P1" s="71" t="s">
        <v>91</v>
      </c>
      <c r="Q1" s="71" t="str">
        <f>IF(COUNTIF($F$2:$F$10000,Openstelling_Activiteit!$X$3)&gt;0,"Aantal uur/ eenheid Aangevraagd","Aantal uur Aangevraagd")</f>
        <v>Aantal uur Aangevraagd</v>
      </c>
      <c r="R1" s="71" t="str">
        <f>IF(COUNTIF($F$2:$F$10000,Openstelling_Activiteit!$X$3)&gt;0,"Aantal uur/ eenheid Beoordeeld","Aantal uur Beoordeeld")</f>
        <v>Aantal uur Beoordeeld</v>
      </c>
      <c r="S1" s="71" t="s">
        <v>114</v>
      </c>
      <c r="T1" s="71" t="s">
        <v>92</v>
      </c>
      <c r="U1" s="71" t="str">
        <f>IF(COUNTIF($F$2:$F$10000,Openstelling_Activiteit!$X$3)&gt;0,"Aantal uur/ eenheid Afgewezen","Aantal uur Afgewezen")</f>
        <v>Aantal uur Afgewezen</v>
      </c>
      <c r="V1" s="71" t="s">
        <v>537</v>
      </c>
      <c r="W1" s="71" t="s">
        <v>115</v>
      </c>
      <c r="X1" s="71" t="s">
        <v>106</v>
      </c>
      <c r="Y1" s="71" t="s">
        <v>538</v>
      </c>
      <c r="Z1" s="372" t="s">
        <v>207</v>
      </c>
      <c r="AA1" s="372" t="s">
        <v>208</v>
      </c>
      <c r="AB1" s="372" t="s">
        <v>539</v>
      </c>
      <c r="AC1" s="144" t="s">
        <v>210</v>
      </c>
      <c r="AD1" s="144" t="s">
        <v>61</v>
      </c>
      <c r="AE1" s="144" t="s">
        <v>226</v>
      </c>
    </row>
    <row r="2" spans="1:31" x14ac:dyDescent="0.25">
      <c r="A2" s="316"/>
      <c r="B2" s="317" t="str">
        <f>IF(A2&lt;&gt;"",_xlfn.MAXIFS($B$1:B1,$A$1:A1,A2)+1,"")</f>
        <v/>
      </c>
      <c r="C2" s="296"/>
      <c r="D2" s="296"/>
      <c r="E2" s="296"/>
      <c r="F2" s="296"/>
      <c r="G2" s="326"/>
      <c r="H2" s="324"/>
      <c r="I2" s="325"/>
      <c r="J2" s="325"/>
      <c r="K2" s="318"/>
      <c r="L2" s="318"/>
      <c r="M2" s="319" t="str">
        <f>IFERROR(VLOOKUP(H2,Lijsten!$H$1:$I$100,2,0),"")</f>
        <v/>
      </c>
      <c r="N2" s="319" t="str">
        <f ca="1">IFERROR(IF(VLOOKUP(F2,Kostentypen!$A$3:$E$21,3,0)=0,"",IF(OR(F2="Arbeidskosten",F2="Vergoeding"),VLOOKUP(G2,Tb_KostenTypen[],2,0),VLOOKUP(F2,Kostentypen!$A$3:$E$20,3,0))),"")</f>
        <v/>
      </c>
      <c r="O2" s="320" t="str" cm="1">
        <f t="array" ref="O2">_xlfn.IFNA(IF(INDEX(Tb_KostenOptiesDB[],MATCH($F2,Tb_KostenOptiesDB[KostenOptie],0),IFERROR(MATCH(Methode_Keuze,Tb_KostenOptiesDB[#Headers],0),2))=1,_xlfn.SWITCH($N2,"Uurtarief",IF(OR(AND(RIGHT($F2,3)="IKS",VLOOKUP($M2,DB_Loonkosten,2,0)="Ja"),AND(RIGHT($F2,3)&lt;&gt;"IKS",VLOOKUP($M2,DB_Loonkosten,2,0)="Nee")),IFERROR(VLOOKUP($M2,DB_Loonkosten,24,0),""),0),"Vast tarief",IF(LEFT(F2,8)="Bijdrage",VLOOKUP($F2,Tb_KostenTypen[],MATCH(Lijsten!$P$1,Tb_KostenTypen[#Headers],0),0),VLOOKUP($G2,Lijsten!L:P,MATCH(Lijsten!$P$1,Kop_Tarief_Vast,0),0))),""),"")</f>
        <v/>
      </c>
      <c r="P2" s="320" t="str" cm="1">
        <f t="array" ref="P2">_xlfn.IFNA(IF(INDEX(Tb_KostenOptiesDB[],MATCH($F2,Tb_KostenOptiesDB[KostenOptie],0),IFERROR(MATCH(Methode_Keuze,Tb_KostenOptiesDB[#Headers],0),2))=1,_xlfn.SWITCH($N2,"Uurtarief",IF(OR(AND(RIGHT($F2,3)="IKS",VLOOKUP($M2,DB_Loonkosten,2,0)="Ja"),AND(RIGHT($F2,3)&lt;&gt;"IKS",VLOOKUP($M2,DB_Loonkosten,2,0)="Nee")),IFERROR(VLOOKUP($M2,DB_Loonkosten,25,0),""),0),"Vast tarief",IF(LEFT(F2,8)="Bijdrage",VLOOKUP($F2,Tb_KostenTypen[],MATCH(Lijsten!$P$1,Tb_KostenTypen[#Headers],0),0),VLOOKUP($G2,Lijsten!L:P,MATCH(Lijsten!$P$1,Kop_Tarief_Vast,0),0))),""),"")</f>
        <v/>
      </c>
      <c r="Q2" s="359"/>
      <c r="R2" s="359"/>
      <c r="S2" s="321"/>
      <c r="T2" s="321"/>
      <c r="U2" s="373" t="str">
        <f>IFERROR(IF(AND(R2&lt;&gt;"",R2&lt;&gt;Q2),-1*(R2-Q2),""),"")</f>
        <v/>
      </c>
      <c r="V2" s="314" t="str">
        <f>IFERROR(IF(AND(T2&lt;&gt;"",T2&lt;&gt;S2),-1*(T2-S2),""),"")</f>
        <v/>
      </c>
      <c r="W2" s="314" t="str" cm="1">
        <f t="array" aca="1" ref="W2" ca="1">IFERROR(IF(AE2&lt;&gt;"ja",_xlfn.IFNA(_xlfn.IFS(AND(O2&lt;&gt;"",F2&lt;&gt;"",RIGHT($N2,6)="tarief",F2="Vergoeding"),SUM(O2)*FLOOR(SUM(Q2),0.0001),AND(O2&lt;&gt;"",F2&lt;&gt;"",RIGHT($N2,6)="tarief"),SUM(O2)*FLOOR(SUM(Q2),0.01),S2&gt;0,IF(F2&lt;&gt;"",FLOOR(SUM(S2),0.01),"")),""),""),"")</f>
        <v/>
      </c>
      <c r="X2" s="314" t="str" cm="1">
        <f t="array" aca="1" ref="X2" ca="1">IFERROR(IF(AE2&lt;&gt;"ja",_xlfn.IFNA(_xlfn.IFS(AND(P2&lt;&gt;"",R2&lt;&gt;"",RIGHT($N2,6)="tarief",F2="Vergoeding"),SUM(P2)*FLOOR(SUM(R2),0.0001),AND(P2&lt;&gt;"",R2&lt;&gt;"",RIGHT($N2,6)="tarief"),P2*FLOOR(R2,0.01),T2&gt;0,FLOOR(SUM(T2),0.01)),""),""),"")</f>
        <v/>
      </c>
      <c r="Y2" s="314" t="str">
        <f ca="1">IFERROR(IF(AND(X2&lt;&gt;"",X2&lt;&gt;W2),-1*(X2-W2),""),"")</f>
        <v/>
      </c>
      <c r="Z2" s="314" t="str" cm="1">
        <f t="array" aca="1" ref="Z2" ca="1">IFERROR(_xlfn.IFS(OR(F2="",LEFT(Methode_Keuze,4)="Geen",Methode_Keuze=""),"",AND(W2&lt;&gt;"",F2&lt;&gt;"Arbeidskosten"),W2*VLOOKUP(F2,Tb_ProjectKosten[],MATCH(Tb_ProjectKosten[[#Headers],[Forfait_Percentage]],Tb_ProjectKosten[#Headers],0),0),AND(F2="Arbeidskosten",G2&lt;&gt;""),IFERROR(W2*VLOOKUP(G2,Tb_KostenTypen[],3,0)*VLOOKUP(F2,Tb_ProjectKosten[],MATCH(Tb_ProjectKosten[[#Headers],[Forfait_Percentage]],Tb_ProjectKosten[#Headers],0),0),""),W2 &lt;=0,0),"")</f>
        <v/>
      </c>
      <c r="AA2" s="314" t="str" cm="1">
        <f t="array" aca="1" ref="AA2" ca="1">IFERROR(_xlfn.IFS(OR(F2="",LEFT(Methode_Keuze,4)="Geen",Methode_Keuze=""),"",AND(X2&lt;&gt;"",F2&lt;&gt;"Arbeidskosten"),X2*VLOOKUP(F2,Tb_ProjectKosten[],MATCH(Tb_ProjectKosten[[#Headers],[Forfait_Percentage]],Tb_ProjectKosten[#Headers],0),0),AND(F2="Arbeidskosten",G2&lt;&gt;""),IFERROR(X2*VLOOKUP(G2,Tb_KostenTypen[],3,0)*VLOOKUP(F2,Tb_ProjectKosten[],MATCH(Tb_ProjectKosten[[#Headers],[Forfait_Percentage]],Tb_ProjectKosten[#Headers],0),0),""),X2 &lt;=0,0),"")</f>
        <v/>
      </c>
      <c r="AB2" s="314" t="str">
        <f ca="1">IFERROR(IF(AND(AA2&lt;&gt;"",AA2&lt;&gt;Z2),-1*(AA2-Z2),""),"")</f>
        <v/>
      </c>
      <c r="AC2" s="322"/>
      <c r="AD2" s="315"/>
      <c r="AE2" s="32" t="str" cm="1">
        <f t="array" ref="AE2">IFERROR(IF(INDEX(SubsidieTabel!$AD$1:$AG$12,MATCH($F2,SubsidieTabel!$AD$1:$AD$12,0),IFERROR(MATCH(Methode_Keuze,SubsidieTabel!$AD$1:$AG$1,0),2))&lt;&gt;1=TRUE,"ja",""),"")</f>
        <v/>
      </c>
    </row>
    <row r="3" spans="1:31" x14ac:dyDescent="0.25">
      <c r="A3" s="316"/>
      <c r="B3" s="317" t="str">
        <f>IF(A3&lt;&gt;"",_xlfn.MAXIFS($B$1:B2,$A$1:A2,A3)+1,"")</f>
        <v/>
      </c>
      <c r="C3" s="296"/>
      <c r="D3" s="296" t="s">
        <v>196</v>
      </c>
      <c r="E3" s="296"/>
      <c r="F3" s="296"/>
      <c r="G3" s="326"/>
      <c r="H3" s="324"/>
      <c r="I3" s="325"/>
      <c r="J3" s="325"/>
      <c r="K3" s="318"/>
      <c r="L3" s="318"/>
      <c r="M3" s="319" t="str">
        <f>IFERROR(VLOOKUP(H3,Lijsten!$H$1:$I$100,2,0),"")</f>
        <v/>
      </c>
      <c r="N3" s="319" t="str">
        <f ca="1">IFERROR(IF(VLOOKUP(F3,Kostentypen!$A$3:$E$21,3,0)=0,"",IF(OR(F3="Arbeidskosten",F3="Vergoeding"),VLOOKUP(G3,Tb_KostenTypen[],2,0),VLOOKUP(F3,Kostentypen!$A$3:$E$20,3,0))),"")</f>
        <v/>
      </c>
      <c r="O3" s="320" t="str" cm="1">
        <f t="array" ref="O3">_xlfn.IFNA(IF(INDEX(Tb_KostenOptiesDB[],MATCH($F3,Tb_KostenOptiesDB[KostenOptie],0),IFERROR(MATCH(Methode_Keuze,Tb_KostenOptiesDB[#Headers],0),2))=1,_xlfn.SWITCH($N3,"Uurtarief",IF(OR(AND(RIGHT($F3,3)="IKS",VLOOKUP($M3,DB_Loonkosten,2,0)="Ja"),AND(RIGHT($F3,3)&lt;&gt;"IKS",VLOOKUP($M3,DB_Loonkosten,2,0)="Nee")),IFERROR(VLOOKUP($M3,DB_Loonkosten,24,0),""),0),"Vast tarief",IF(LEFT(F3,8)="Bijdrage",VLOOKUP($F3,Tb_KostenTypen[],MATCH(Lijsten!$P$1,Tb_KostenTypen[#Headers],0),0),VLOOKUP($G3,Lijsten!L:P,MATCH(Lijsten!$P$1,Kop_Tarief_Vast,0),0))),""),"")</f>
        <v/>
      </c>
      <c r="P3" s="320" t="str" cm="1">
        <f t="array" ref="P3">_xlfn.IFNA(IF(INDEX(Tb_KostenOptiesDB[],MATCH($F3,Tb_KostenOptiesDB[KostenOptie],0),IFERROR(MATCH(Methode_Keuze,Tb_KostenOptiesDB[#Headers],0),2))=1,_xlfn.SWITCH($N3,"Uurtarief",IF(OR(AND(RIGHT($F3,3)="IKS",VLOOKUP($M3,DB_Loonkosten,2,0)="Ja"),AND(RIGHT($F3,3)&lt;&gt;"IKS",VLOOKUP($M3,DB_Loonkosten,2,0)="Nee")),IFERROR(VLOOKUP($M3,DB_Loonkosten,25,0),""),0),"Vast tarief",IF(LEFT(F3,8)="Bijdrage",VLOOKUP($F3,Tb_KostenTypen[],MATCH(Lijsten!$P$1,Tb_KostenTypen[#Headers],0),0),VLOOKUP($G3,Lijsten!L:P,MATCH(Lijsten!$P$1,Kop_Tarief_Vast,0),0))),""),"")</f>
        <v/>
      </c>
      <c r="Q3" s="359"/>
      <c r="R3" s="359"/>
      <c r="S3" s="321"/>
      <c r="T3" s="321"/>
      <c r="U3" s="373" t="str">
        <f t="shared" ref="U3:U66" si="0">IFERROR(IF(AND(R3&lt;&gt;"",R3&lt;&gt;Q3),-1*(R3-Q3),""),"")</f>
        <v/>
      </c>
      <c r="V3" s="314" t="str">
        <f t="shared" ref="V3:V66" si="1">IFERROR(IF(AND(T3&lt;&gt;"",T3&lt;&gt;S3),-1*(T3-S3),""),"")</f>
        <v/>
      </c>
      <c r="W3" s="314" t="str" cm="1">
        <f t="array" aca="1" ref="W3" ca="1">IFERROR(IF(AE3&lt;&gt;"ja",_xlfn.IFNA(_xlfn.IFS(AND(O3&lt;&gt;"",F3&lt;&gt;"",RIGHT($N3,6)="tarief",F3="Vergoeding"),SUM(O3)*FLOOR(SUM(Q3),0.0001),AND(O3&lt;&gt;"",F3&lt;&gt;"",RIGHT($N3,6)="tarief"),SUM(O3)*FLOOR(SUM(Q3),0.01),S3&gt;0,IF(F3&lt;&gt;"",FLOOR(SUM(S3),0.01),"")),""),""),"")</f>
        <v/>
      </c>
      <c r="X3" s="314" t="str" cm="1">
        <f t="array" aca="1" ref="X3" ca="1">IFERROR(IF(AE3&lt;&gt;"ja",_xlfn.IFNA(_xlfn.IFS(AND(P3&lt;&gt;"",R3&lt;&gt;"",RIGHT($N3,6)="tarief",F3="Vergoeding"),SUM(P3)*FLOOR(SUM(R3),0.0001),AND(P3&lt;&gt;"",R3&lt;&gt;"",RIGHT($N3,6)="tarief"),P3*FLOOR(R3,0.01),T3&gt;0,FLOOR(SUM(T3),0.01)),""),""),"")</f>
        <v/>
      </c>
      <c r="Y3" s="314" t="str">
        <f t="shared" ref="Y3:Y66" ca="1" si="2">IFERROR(IF(AND(X3&lt;&gt;"",X3&lt;&gt;W3),-1*(X3-W3),""),"")</f>
        <v/>
      </c>
      <c r="Z3" s="314" t="str" cm="1">
        <f t="array" aca="1" ref="Z3" ca="1">IFERROR(_xlfn.IFS(OR(F3="",LEFT(Methode_Keuze,4)="Geen",Methode_Keuze=""),"",AND(W3&lt;&gt;"",F3&lt;&gt;"Arbeidskosten"),W3*VLOOKUP(F3,Tb_ProjectKosten[],MATCH(Tb_ProjectKosten[[#Headers],[Forfait_Percentage]],Tb_ProjectKosten[#Headers],0),0),AND(F3="Arbeidskosten",G3&lt;&gt;""),IFERROR(W3*VLOOKUP(G3,Tb_KostenTypen[],3,0)*VLOOKUP(F3,Tb_ProjectKosten[],MATCH(Tb_ProjectKosten[[#Headers],[Forfait_Percentage]],Tb_ProjectKosten[#Headers],0),0),""),W3 &lt;=0,0),"")</f>
        <v/>
      </c>
      <c r="AA3" s="314" t="str" cm="1">
        <f t="array" aca="1" ref="AA3" ca="1">IFERROR(_xlfn.IFS(OR(F3="",LEFT(Methode_Keuze,4)="Geen",Methode_Keuze=""),"",AND(X3&lt;&gt;"",F3&lt;&gt;"Arbeidskosten"),X3*VLOOKUP(F3,Tb_ProjectKosten[],MATCH(Tb_ProjectKosten[[#Headers],[Forfait_Percentage]],Tb_ProjectKosten[#Headers],0),0),AND(F3="Arbeidskosten",G3&lt;&gt;""),IFERROR(X3*VLOOKUP(G3,Tb_KostenTypen[],3,0)*VLOOKUP(F3,Tb_ProjectKosten[],MATCH(Tb_ProjectKosten[[#Headers],[Forfait_Percentage]],Tb_ProjectKosten[#Headers],0),0),""),X3 &lt;=0,0),"")</f>
        <v/>
      </c>
      <c r="AB3" s="314" t="str">
        <f t="shared" ref="AB3:AB66" ca="1" si="3">IFERROR(IF(AND(AA3&lt;&gt;"",AA3&lt;&gt;Z3),-1*(AA3-Z3),""),"")</f>
        <v/>
      </c>
      <c r="AC3" s="322"/>
      <c r="AD3" s="315"/>
      <c r="AE3" s="32" t="str" cm="1">
        <f t="array" ref="AE3">IFERROR(IF(INDEX(SubsidieTabel!$AD$1:$AG$12,MATCH($F3,SubsidieTabel!$AD$1:$AD$12,0),IFERROR(MATCH(Methode_Keuze,SubsidieTabel!$AD$1:$AG$1,0),2))&lt;&gt;1=TRUE,"ja",""),"")</f>
        <v/>
      </c>
    </row>
    <row r="4" spans="1:31" x14ac:dyDescent="0.25">
      <c r="A4" s="316"/>
      <c r="B4" s="317" t="str">
        <f>IF(A4&lt;&gt;"",_xlfn.MAXIFS($B$1:B3,$A$1:A3,A4)+1,"")</f>
        <v/>
      </c>
      <c r="C4" s="296"/>
      <c r="D4" s="296"/>
      <c r="E4" s="296"/>
      <c r="F4" s="296"/>
      <c r="G4" s="326"/>
      <c r="H4" s="324"/>
      <c r="I4" s="325"/>
      <c r="J4" s="325"/>
      <c r="K4" s="318"/>
      <c r="L4" s="318"/>
      <c r="M4" s="319" t="str">
        <f>IFERROR(VLOOKUP(H4,Lijsten!$H$1:$I$100,2,0),"")</f>
        <v/>
      </c>
      <c r="N4" s="319" t="str">
        <f ca="1">IFERROR(IF(VLOOKUP(F4,Kostentypen!$A$3:$E$21,3,0)=0,"",IF(OR(F4="Arbeidskosten",F4="Vergoeding"),VLOOKUP(G4,Tb_KostenTypen[],2,0),VLOOKUP(F4,Kostentypen!$A$3:$E$20,3,0))),"")</f>
        <v/>
      </c>
      <c r="O4" s="320" t="str" cm="1">
        <f t="array" ref="O4">_xlfn.IFNA(IF(INDEX(Tb_KostenOptiesDB[],MATCH($F4,Tb_KostenOptiesDB[KostenOptie],0),IFERROR(MATCH(Methode_Keuze,Tb_KostenOptiesDB[#Headers],0),2))=1,_xlfn.SWITCH($N4,"Uurtarief",IF(OR(AND(RIGHT($F4,3)="IKS",VLOOKUP($M4,DB_Loonkosten,2,0)="Ja"),AND(RIGHT($F4,3)&lt;&gt;"IKS",VLOOKUP($M4,DB_Loonkosten,2,0)="Nee")),IFERROR(VLOOKUP($M4,DB_Loonkosten,24,0),""),0),"Vast tarief",IF(LEFT(F4,8)="Bijdrage",VLOOKUP($F4,Tb_KostenTypen[],MATCH(Lijsten!$P$1,Tb_KostenTypen[#Headers],0),0),VLOOKUP($G4,Lijsten!L:P,MATCH(Lijsten!$P$1,Kop_Tarief_Vast,0),0))),""),"")</f>
        <v/>
      </c>
      <c r="P4" s="320" t="str" cm="1">
        <f t="array" ref="P4">_xlfn.IFNA(IF(INDEX(Tb_KostenOptiesDB[],MATCH($F4,Tb_KostenOptiesDB[KostenOptie],0),IFERROR(MATCH(Methode_Keuze,Tb_KostenOptiesDB[#Headers],0),2))=1,_xlfn.SWITCH($N4,"Uurtarief",IF(OR(AND(RIGHT($F4,3)="IKS",VLOOKUP($M4,DB_Loonkosten,2,0)="Ja"),AND(RIGHT($F4,3)&lt;&gt;"IKS",VLOOKUP($M4,DB_Loonkosten,2,0)="Nee")),IFERROR(VLOOKUP($M4,DB_Loonkosten,25,0),""),0),"Vast tarief",IF(LEFT(F4,8)="Bijdrage",VLOOKUP($F4,Tb_KostenTypen[],MATCH(Lijsten!$P$1,Tb_KostenTypen[#Headers],0),0),VLOOKUP($G4,Lijsten!L:P,MATCH(Lijsten!$P$1,Kop_Tarief_Vast,0),0))),""),"")</f>
        <v/>
      </c>
      <c r="Q4" s="359"/>
      <c r="R4" s="359"/>
      <c r="S4" s="321"/>
      <c r="T4" s="321"/>
      <c r="U4" s="373" t="str">
        <f t="shared" si="0"/>
        <v/>
      </c>
      <c r="V4" s="314" t="str">
        <f t="shared" si="1"/>
        <v/>
      </c>
      <c r="W4" s="314" t="str" cm="1">
        <f t="array" aca="1" ref="W4" ca="1">IFERROR(IF(AE4&lt;&gt;"ja",_xlfn.IFNA(_xlfn.IFS(AND(O4&lt;&gt;"",F4&lt;&gt;"",RIGHT($N4,6)="tarief",F4="Vergoeding"),SUM(O4)*FLOOR(SUM(Q4),0.0001),AND(O4&lt;&gt;"",F4&lt;&gt;"",RIGHT($N4,6)="tarief"),SUM(O4)*FLOOR(SUM(Q4),0.01),S4&gt;0,IF(F4&lt;&gt;"",FLOOR(SUM(S4),0.01),"")),""),""),"")</f>
        <v/>
      </c>
      <c r="X4" s="314" t="str" cm="1">
        <f t="array" aca="1" ref="X4" ca="1">IFERROR(IF(AE4&lt;&gt;"ja",_xlfn.IFNA(_xlfn.IFS(AND(P4&lt;&gt;"",R4&lt;&gt;"",RIGHT($N4,6)="tarief",F4="Vergoeding"),SUM(P4)*FLOOR(SUM(R4),0.0001),AND(P4&lt;&gt;"",R4&lt;&gt;"",RIGHT($N4,6)="tarief"),P4*FLOOR(R4,0.01),T4&gt;0,FLOOR(SUM(T4),0.01)),""),""),"")</f>
        <v/>
      </c>
      <c r="Y4" s="314" t="str">
        <f t="shared" ca="1" si="2"/>
        <v/>
      </c>
      <c r="Z4" s="314" t="str" cm="1">
        <f t="array" aca="1" ref="Z4" ca="1">IFERROR(_xlfn.IFS(OR(F4="",LEFT(Methode_Keuze,4)="Geen",Methode_Keuze=""),"",AND(W4&lt;&gt;"",F4&lt;&gt;"Arbeidskosten"),W4*VLOOKUP(F4,Tb_ProjectKosten[],MATCH(Tb_ProjectKosten[[#Headers],[Forfait_Percentage]],Tb_ProjectKosten[#Headers],0),0),AND(F4="Arbeidskosten",G4&lt;&gt;""),IFERROR(W4*VLOOKUP(G4,Tb_KostenTypen[],3,0)*VLOOKUP(F4,Tb_ProjectKosten[],MATCH(Tb_ProjectKosten[[#Headers],[Forfait_Percentage]],Tb_ProjectKosten[#Headers],0),0),""),W4 &lt;=0,0),"")</f>
        <v/>
      </c>
      <c r="AA4" s="314" t="str" cm="1">
        <f t="array" aca="1" ref="AA4" ca="1">IFERROR(_xlfn.IFS(OR(F4="",LEFT(Methode_Keuze,4)="Geen",Methode_Keuze=""),"",AND(X4&lt;&gt;"",F4&lt;&gt;"Arbeidskosten"),X4*VLOOKUP(F4,Tb_ProjectKosten[],MATCH(Tb_ProjectKosten[[#Headers],[Forfait_Percentage]],Tb_ProjectKosten[#Headers],0),0),AND(F4="Arbeidskosten",G4&lt;&gt;""),IFERROR(X4*VLOOKUP(G4,Tb_KostenTypen[],3,0)*VLOOKUP(F4,Tb_ProjectKosten[],MATCH(Tb_ProjectKosten[[#Headers],[Forfait_Percentage]],Tb_ProjectKosten[#Headers],0),0),""),X4 &lt;=0,0),"")</f>
        <v/>
      </c>
      <c r="AB4" s="314" t="str">
        <f t="shared" ca="1" si="3"/>
        <v/>
      </c>
      <c r="AC4" s="322"/>
      <c r="AD4" s="315"/>
      <c r="AE4" s="32" t="str" cm="1">
        <f t="array" ref="AE4">IFERROR(IF(INDEX(SubsidieTabel!$AD$1:$AG$12,MATCH($F4,SubsidieTabel!$AD$1:$AD$12,0),IFERROR(MATCH(Methode_Keuze,SubsidieTabel!$AD$1:$AG$1,0),2))&lt;&gt;1=TRUE,"ja",""),"")</f>
        <v/>
      </c>
    </row>
    <row r="5" spans="1:31" x14ac:dyDescent="0.25">
      <c r="A5" s="316"/>
      <c r="B5" s="317" t="str">
        <f>IF(A5&lt;&gt;"",_xlfn.MAXIFS($B$1:B4,$A$1:A4,A5)+1,"")</f>
        <v/>
      </c>
      <c r="C5" s="296"/>
      <c r="D5" s="296"/>
      <c r="E5" s="296"/>
      <c r="F5" s="296"/>
      <c r="G5" s="326"/>
      <c r="H5" s="324"/>
      <c r="I5" s="325"/>
      <c r="J5" s="325"/>
      <c r="K5" s="318"/>
      <c r="L5" s="318"/>
      <c r="M5" s="319" t="str">
        <f>IFERROR(VLOOKUP(H5,Lijsten!$H$1:$I$100,2,0),"")</f>
        <v/>
      </c>
      <c r="N5" s="319" t="str">
        <f ca="1">IFERROR(IF(VLOOKUP(F5,Kostentypen!$A$3:$E$21,3,0)=0,"",IF(OR(F5="Arbeidskosten",F5="Vergoeding"),VLOOKUP(G5,Tb_KostenTypen[],2,0),VLOOKUP(F5,Kostentypen!$A$3:$E$20,3,0))),"")</f>
        <v/>
      </c>
      <c r="O5" s="320" t="str" cm="1">
        <f t="array" ref="O5">_xlfn.IFNA(IF(INDEX(Tb_KostenOptiesDB[],MATCH($F5,Tb_KostenOptiesDB[KostenOptie],0),IFERROR(MATCH(Methode_Keuze,Tb_KostenOptiesDB[#Headers],0),2))=1,_xlfn.SWITCH($N5,"Uurtarief",IF(OR(AND(RIGHT($F5,3)="IKS",VLOOKUP($M5,DB_Loonkosten,2,0)="Ja"),AND(RIGHT($F5,3)&lt;&gt;"IKS",VLOOKUP($M5,DB_Loonkosten,2,0)="Nee")),IFERROR(VLOOKUP($M5,DB_Loonkosten,24,0),""),0),"Vast tarief",IF(LEFT(F5,8)="Bijdrage",VLOOKUP($F5,Tb_KostenTypen[],MATCH(Lijsten!$P$1,Tb_KostenTypen[#Headers],0),0),VLOOKUP($G5,Lijsten!L:P,MATCH(Lijsten!$P$1,Kop_Tarief_Vast,0),0))),""),"")</f>
        <v/>
      </c>
      <c r="P5" s="320" t="str" cm="1">
        <f t="array" ref="P5">_xlfn.IFNA(IF(INDEX(Tb_KostenOptiesDB[],MATCH($F5,Tb_KostenOptiesDB[KostenOptie],0),IFERROR(MATCH(Methode_Keuze,Tb_KostenOptiesDB[#Headers],0),2))=1,_xlfn.SWITCH($N5,"Uurtarief",IF(OR(AND(RIGHT($F5,3)="IKS",VLOOKUP($M5,DB_Loonkosten,2,0)="Ja"),AND(RIGHT($F5,3)&lt;&gt;"IKS",VLOOKUP($M5,DB_Loonkosten,2,0)="Nee")),IFERROR(VLOOKUP($M5,DB_Loonkosten,25,0),""),0),"Vast tarief",IF(LEFT(F5,8)="Bijdrage",VLOOKUP($F5,Tb_KostenTypen[],MATCH(Lijsten!$P$1,Tb_KostenTypen[#Headers],0),0),VLOOKUP($G5,Lijsten!L:P,MATCH(Lijsten!$P$1,Kop_Tarief_Vast,0),0))),""),"")</f>
        <v/>
      </c>
      <c r="Q5" s="359"/>
      <c r="R5" s="359"/>
      <c r="S5" s="321"/>
      <c r="T5" s="321"/>
      <c r="U5" s="373" t="str">
        <f t="shared" si="0"/>
        <v/>
      </c>
      <c r="V5" s="314" t="str">
        <f t="shared" si="1"/>
        <v/>
      </c>
      <c r="W5" s="314" t="str" cm="1">
        <f t="array" aca="1" ref="W5" ca="1">IFERROR(IF(AE5&lt;&gt;"ja",_xlfn.IFNA(_xlfn.IFS(AND(O5&lt;&gt;"",F5&lt;&gt;"",RIGHT($N5,6)="tarief",F5="Vergoeding"),SUM(O5)*FLOOR(SUM(Q5),0.0001),AND(O5&lt;&gt;"",F5&lt;&gt;"",RIGHT($N5,6)="tarief"),SUM(O5)*FLOOR(SUM(Q5),0.01),S5&gt;0,IF(F5&lt;&gt;"",FLOOR(SUM(S5),0.01),"")),""),""),"")</f>
        <v/>
      </c>
      <c r="X5" s="314" t="str" cm="1">
        <f t="array" aca="1" ref="X5" ca="1">IFERROR(IF(AE5&lt;&gt;"ja",_xlfn.IFNA(_xlfn.IFS(AND(P5&lt;&gt;"",R5&lt;&gt;"",RIGHT($N5,6)="tarief",F5="Vergoeding"),SUM(P5)*FLOOR(SUM(R5),0.0001),AND(P5&lt;&gt;"",R5&lt;&gt;"",RIGHT($N5,6)="tarief"),P5*FLOOR(R5,0.01),T5&gt;0,FLOOR(SUM(T5),0.01)),""),""),"")</f>
        <v/>
      </c>
      <c r="Y5" s="314" t="str">
        <f t="shared" ca="1" si="2"/>
        <v/>
      </c>
      <c r="Z5" s="314" t="str" cm="1">
        <f t="array" aca="1" ref="Z5" ca="1">IFERROR(_xlfn.IFS(OR(F5="",LEFT(Methode_Keuze,4)="Geen",Methode_Keuze=""),"",AND(W5&lt;&gt;"",F5&lt;&gt;"Arbeidskosten"),W5*VLOOKUP(F5,Tb_ProjectKosten[],MATCH(Tb_ProjectKosten[[#Headers],[Forfait_Percentage]],Tb_ProjectKosten[#Headers],0),0),AND(F5="Arbeidskosten",G5&lt;&gt;""),IFERROR(W5*VLOOKUP(G5,Tb_KostenTypen[],3,0)*VLOOKUP(F5,Tb_ProjectKosten[],MATCH(Tb_ProjectKosten[[#Headers],[Forfait_Percentage]],Tb_ProjectKosten[#Headers],0),0),""),W5 &lt;=0,0),"")</f>
        <v/>
      </c>
      <c r="AA5" s="314" t="str" cm="1">
        <f t="array" aca="1" ref="AA5" ca="1">IFERROR(_xlfn.IFS(OR(F5="",LEFT(Methode_Keuze,4)="Geen",Methode_Keuze=""),"",AND(X5&lt;&gt;"",F5&lt;&gt;"Arbeidskosten"),X5*VLOOKUP(F5,Tb_ProjectKosten[],MATCH(Tb_ProjectKosten[[#Headers],[Forfait_Percentage]],Tb_ProjectKosten[#Headers],0),0),AND(F5="Arbeidskosten",G5&lt;&gt;""),IFERROR(X5*VLOOKUP(G5,Tb_KostenTypen[],3,0)*VLOOKUP(F5,Tb_ProjectKosten[],MATCH(Tb_ProjectKosten[[#Headers],[Forfait_Percentage]],Tb_ProjectKosten[#Headers],0),0),""),X5 &lt;=0,0),"")</f>
        <v/>
      </c>
      <c r="AB5" s="314" t="str">
        <f t="shared" ca="1" si="3"/>
        <v/>
      </c>
      <c r="AC5" s="322"/>
      <c r="AD5" s="315"/>
      <c r="AE5" s="32" t="str" cm="1">
        <f t="array" ref="AE5">IFERROR(IF(INDEX(SubsidieTabel!$AD$1:$AG$12,MATCH($F5,SubsidieTabel!$AD$1:$AD$12,0),IFERROR(MATCH(Methode_Keuze,SubsidieTabel!$AD$1:$AG$1,0),2))&lt;&gt;1=TRUE,"ja",""),"")</f>
        <v/>
      </c>
    </row>
    <row r="6" spans="1:31" x14ac:dyDescent="0.25">
      <c r="A6" s="316"/>
      <c r="B6" s="317" t="str">
        <f>IF(A6&lt;&gt;"",_xlfn.MAXIFS($B$1:B5,$A$1:A5,A6)+1,"")</f>
        <v/>
      </c>
      <c r="C6" s="296"/>
      <c r="D6" s="296"/>
      <c r="E6" s="296"/>
      <c r="F6" s="296"/>
      <c r="G6" s="326"/>
      <c r="H6" s="324"/>
      <c r="I6" s="325"/>
      <c r="J6" s="325"/>
      <c r="K6" s="318"/>
      <c r="L6" s="318"/>
      <c r="M6" s="319" t="str">
        <f>IFERROR(VLOOKUP(H6,Lijsten!$H$1:$I$100,2,0),"")</f>
        <v/>
      </c>
      <c r="N6" s="319" t="str">
        <f ca="1">IFERROR(IF(VLOOKUP(F6,Kostentypen!$A$3:$E$21,3,0)=0,"",IF(OR(F6="Arbeidskosten",F6="Vergoeding"),VLOOKUP(G6,Tb_KostenTypen[],2,0),VLOOKUP(F6,Kostentypen!$A$3:$E$20,3,0))),"")</f>
        <v/>
      </c>
      <c r="O6" s="320" t="str" cm="1">
        <f t="array" ref="O6">_xlfn.IFNA(IF(INDEX(Tb_KostenOptiesDB[],MATCH($F6,Tb_KostenOptiesDB[KostenOptie],0),IFERROR(MATCH(Methode_Keuze,Tb_KostenOptiesDB[#Headers],0),2))=1,_xlfn.SWITCH($N6,"Uurtarief",IF(OR(AND(RIGHT($F6,3)="IKS",VLOOKUP($M6,DB_Loonkosten,2,0)="Ja"),AND(RIGHT($F6,3)&lt;&gt;"IKS",VLOOKUP($M6,DB_Loonkosten,2,0)="Nee")),IFERROR(VLOOKUP($M6,DB_Loonkosten,24,0),""),0),"Vast tarief",IF(LEFT(F6,8)="Bijdrage",VLOOKUP($F6,Tb_KostenTypen[],MATCH(Lijsten!$P$1,Tb_KostenTypen[#Headers],0),0),VLOOKUP($G6,Lijsten!L:P,MATCH(Lijsten!$P$1,Kop_Tarief_Vast,0),0))),""),"")</f>
        <v/>
      </c>
      <c r="P6" s="320" t="str" cm="1">
        <f t="array" ref="P6">_xlfn.IFNA(IF(INDEX(Tb_KostenOptiesDB[],MATCH($F6,Tb_KostenOptiesDB[KostenOptie],0),IFERROR(MATCH(Methode_Keuze,Tb_KostenOptiesDB[#Headers],0),2))=1,_xlfn.SWITCH($N6,"Uurtarief",IF(OR(AND(RIGHT($F6,3)="IKS",VLOOKUP($M6,DB_Loonkosten,2,0)="Ja"),AND(RIGHT($F6,3)&lt;&gt;"IKS",VLOOKUP($M6,DB_Loonkosten,2,0)="Nee")),IFERROR(VLOOKUP($M6,DB_Loonkosten,25,0),""),0),"Vast tarief",IF(LEFT(F6,8)="Bijdrage",VLOOKUP($F6,Tb_KostenTypen[],MATCH(Lijsten!$P$1,Tb_KostenTypen[#Headers],0),0),VLOOKUP($G6,Lijsten!L:P,MATCH(Lijsten!$P$1,Kop_Tarief_Vast,0),0))),""),"")</f>
        <v/>
      </c>
      <c r="Q6" s="359"/>
      <c r="R6" s="359"/>
      <c r="S6" s="321"/>
      <c r="T6" s="321"/>
      <c r="U6" s="373" t="str">
        <f t="shared" si="0"/>
        <v/>
      </c>
      <c r="V6" s="314" t="str">
        <f t="shared" si="1"/>
        <v/>
      </c>
      <c r="W6" s="314" t="str" cm="1">
        <f t="array" aca="1" ref="W6" ca="1">IFERROR(IF(AE6&lt;&gt;"ja",_xlfn.IFNA(_xlfn.IFS(AND(O6&lt;&gt;"",F6&lt;&gt;"",RIGHT($N6,6)="tarief",F6="Vergoeding"),SUM(O6)*FLOOR(SUM(Q6),0.0001),AND(O6&lt;&gt;"",F6&lt;&gt;"",RIGHT($N6,6)="tarief"),SUM(O6)*FLOOR(SUM(Q6),0.01),S6&gt;0,IF(F6&lt;&gt;"",FLOOR(SUM(S6),0.01),"")),""),""),"")</f>
        <v/>
      </c>
      <c r="X6" s="314" t="str" cm="1">
        <f t="array" aca="1" ref="X6" ca="1">IFERROR(IF(AE6&lt;&gt;"ja",_xlfn.IFNA(_xlfn.IFS(AND(P6&lt;&gt;"",R6&lt;&gt;"",RIGHT($N6,6)="tarief",F6="Vergoeding"),SUM(P6)*FLOOR(SUM(R6),0.0001),AND(P6&lt;&gt;"",R6&lt;&gt;"",RIGHT($N6,6)="tarief"),P6*FLOOR(R6,0.01),T6&gt;0,FLOOR(SUM(T6),0.01)),""),""),"")</f>
        <v/>
      </c>
      <c r="Y6" s="314" t="str">
        <f t="shared" ca="1" si="2"/>
        <v/>
      </c>
      <c r="Z6" s="314" t="str" cm="1">
        <f t="array" aca="1" ref="Z6" ca="1">IFERROR(_xlfn.IFS(OR(F6="",LEFT(Methode_Keuze,4)="Geen",Methode_Keuze=""),"",AND(W6&lt;&gt;"",F6&lt;&gt;"Arbeidskosten"),W6*VLOOKUP(F6,Tb_ProjectKosten[],MATCH(Tb_ProjectKosten[[#Headers],[Forfait_Percentage]],Tb_ProjectKosten[#Headers],0),0),AND(F6="Arbeidskosten",G6&lt;&gt;""),IFERROR(W6*VLOOKUP(G6,Tb_KostenTypen[],3,0)*VLOOKUP(F6,Tb_ProjectKosten[],MATCH(Tb_ProjectKosten[[#Headers],[Forfait_Percentage]],Tb_ProjectKosten[#Headers],0),0),""),W6 &lt;=0,0),"")</f>
        <v/>
      </c>
      <c r="AA6" s="314" t="str" cm="1">
        <f t="array" aca="1" ref="AA6" ca="1">IFERROR(_xlfn.IFS(OR(F6="",LEFT(Methode_Keuze,4)="Geen",Methode_Keuze=""),"",AND(X6&lt;&gt;"",F6&lt;&gt;"Arbeidskosten"),X6*VLOOKUP(F6,Tb_ProjectKosten[],MATCH(Tb_ProjectKosten[[#Headers],[Forfait_Percentage]],Tb_ProjectKosten[#Headers],0),0),AND(F6="Arbeidskosten",G6&lt;&gt;""),IFERROR(X6*VLOOKUP(G6,Tb_KostenTypen[],3,0)*VLOOKUP(F6,Tb_ProjectKosten[],MATCH(Tb_ProjectKosten[[#Headers],[Forfait_Percentage]],Tb_ProjectKosten[#Headers],0),0),""),X6 &lt;=0,0),"")</f>
        <v/>
      </c>
      <c r="AB6" s="314" t="str">
        <f t="shared" ca="1" si="3"/>
        <v/>
      </c>
      <c r="AC6" s="322"/>
      <c r="AD6" s="315"/>
      <c r="AE6" s="32" t="str" cm="1">
        <f t="array" ref="AE6">IFERROR(IF(INDEX(SubsidieTabel!$AD$1:$AG$12,MATCH($F6,SubsidieTabel!$AD$1:$AD$12,0),IFERROR(MATCH(Methode_Keuze,SubsidieTabel!$AD$1:$AG$1,0),2))&lt;&gt;1=TRUE,"ja",""),"")</f>
        <v/>
      </c>
    </row>
    <row r="7" spans="1:31" x14ac:dyDescent="0.25">
      <c r="A7" s="316"/>
      <c r="B7" s="317" t="str">
        <f>IF(A7&lt;&gt;"",_xlfn.MAXIFS($B$1:B6,$A$1:A6,A7)+1,"")</f>
        <v/>
      </c>
      <c r="C7" s="296"/>
      <c r="D7" s="296"/>
      <c r="E7" s="296"/>
      <c r="F7" s="296"/>
      <c r="G7" s="326"/>
      <c r="H7" s="324"/>
      <c r="I7" s="325"/>
      <c r="J7" s="325"/>
      <c r="K7" s="318"/>
      <c r="L7" s="318"/>
      <c r="M7" s="319" t="str">
        <f>IFERROR(VLOOKUP(H7,Lijsten!$H$1:$I$100,2,0),"")</f>
        <v/>
      </c>
      <c r="N7" s="319" t="str">
        <f ca="1">IFERROR(IF(VLOOKUP(F7,Kostentypen!$A$3:$E$21,3,0)=0,"",IF(OR(F7="Arbeidskosten",F7="Vergoeding"),VLOOKUP(G7,Tb_KostenTypen[],2,0),VLOOKUP(F7,Kostentypen!$A$3:$E$20,3,0))),"")</f>
        <v/>
      </c>
      <c r="O7" s="320" t="str" cm="1">
        <f t="array" ref="O7">_xlfn.IFNA(IF(INDEX(Tb_KostenOptiesDB[],MATCH($F7,Tb_KostenOptiesDB[KostenOptie],0),IFERROR(MATCH(Methode_Keuze,Tb_KostenOptiesDB[#Headers],0),2))=1,_xlfn.SWITCH($N7,"Uurtarief",IF(OR(AND(RIGHT($F7,3)="IKS",VLOOKUP($M7,DB_Loonkosten,2,0)="Ja"),AND(RIGHT($F7,3)&lt;&gt;"IKS",VLOOKUP($M7,DB_Loonkosten,2,0)="Nee")),IFERROR(VLOOKUP($M7,DB_Loonkosten,24,0),""),0),"Vast tarief",IF(LEFT(F7,8)="Bijdrage",VLOOKUP($F7,Tb_KostenTypen[],MATCH(Lijsten!$P$1,Tb_KostenTypen[#Headers],0),0),VLOOKUP($G7,Lijsten!L:P,MATCH(Lijsten!$P$1,Kop_Tarief_Vast,0),0))),""),"")</f>
        <v/>
      </c>
      <c r="P7" s="320" t="str" cm="1">
        <f t="array" ref="P7">_xlfn.IFNA(IF(INDEX(Tb_KostenOptiesDB[],MATCH($F7,Tb_KostenOptiesDB[KostenOptie],0),IFERROR(MATCH(Methode_Keuze,Tb_KostenOptiesDB[#Headers],0),2))=1,_xlfn.SWITCH($N7,"Uurtarief",IF(OR(AND(RIGHT($F7,3)="IKS",VLOOKUP($M7,DB_Loonkosten,2,0)="Ja"),AND(RIGHT($F7,3)&lt;&gt;"IKS",VLOOKUP($M7,DB_Loonkosten,2,0)="Nee")),IFERROR(VLOOKUP($M7,DB_Loonkosten,25,0),""),0),"Vast tarief",IF(LEFT(F7,8)="Bijdrage",VLOOKUP($F7,Tb_KostenTypen[],MATCH(Lijsten!$P$1,Tb_KostenTypen[#Headers],0),0),VLOOKUP($G7,Lijsten!L:P,MATCH(Lijsten!$P$1,Kop_Tarief_Vast,0),0))),""),"")</f>
        <v/>
      </c>
      <c r="Q7" s="359"/>
      <c r="R7" s="359"/>
      <c r="S7" s="321"/>
      <c r="T7" s="321"/>
      <c r="U7" s="373" t="str">
        <f t="shared" si="0"/>
        <v/>
      </c>
      <c r="V7" s="314" t="str">
        <f t="shared" si="1"/>
        <v/>
      </c>
      <c r="W7" s="314" t="str" cm="1">
        <f t="array" aca="1" ref="W7" ca="1">IFERROR(IF(AE7&lt;&gt;"ja",_xlfn.IFNA(_xlfn.IFS(AND(O7&lt;&gt;"",F7&lt;&gt;"",RIGHT($N7,6)="tarief",F7="Vergoeding"),SUM(O7)*FLOOR(SUM(Q7),0.0001),AND(O7&lt;&gt;"",F7&lt;&gt;"",RIGHT($N7,6)="tarief"),SUM(O7)*FLOOR(SUM(Q7),0.01),S7&gt;0,IF(F7&lt;&gt;"",FLOOR(SUM(S7),0.01),"")),""),""),"")</f>
        <v/>
      </c>
      <c r="X7" s="314" t="str" cm="1">
        <f t="array" aca="1" ref="X7" ca="1">IFERROR(IF(AE7&lt;&gt;"ja",_xlfn.IFNA(_xlfn.IFS(AND(P7&lt;&gt;"",R7&lt;&gt;"",RIGHT($N7,6)="tarief",F7="Vergoeding"),SUM(P7)*FLOOR(SUM(R7),0.0001),AND(P7&lt;&gt;"",R7&lt;&gt;"",RIGHT($N7,6)="tarief"),P7*FLOOR(R7,0.01),T7&gt;0,FLOOR(SUM(T7),0.01)),""),""),"")</f>
        <v/>
      </c>
      <c r="Y7" s="314" t="str">
        <f t="shared" ca="1" si="2"/>
        <v/>
      </c>
      <c r="Z7" s="314" t="str" cm="1">
        <f t="array" aca="1" ref="Z7" ca="1">IFERROR(_xlfn.IFS(OR(F7="",LEFT(Methode_Keuze,4)="Geen",Methode_Keuze=""),"",AND(W7&lt;&gt;"",F7&lt;&gt;"Arbeidskosten"),W7*VLOOKUP(F7,Tb_ProjectKosten[],MATCH(Tb_ProjectKosten[[#Headers],[Forfait_Percentage]],Tb_ProjectKosten[#Headers],0),0),AND(F7="Arbeidskosten",G7&lt;&gt;""),IFERROR(W7*VLOOKUP(G7,Tb_KostenTypen[],3,0)*VLOOKUP(F7,Tb_ProjectKosten[],MATCH(Tb_ProjectKosten[[#Headers],[Forfait_Percentage]],Tb_ProjectKosten[#Headers],0),0),""),W7 &lt;=0,0),"")</f>
        <v/>
      </c>
      <c r="AA7" s="314" t="str" cm="1">
        <f t="array" aca="1" ref="AA7" ca="1">IFERROR(_xlfn.IFS(OR(F7="",LEFT(Methode_Keuze,4)="Geen",Methode_Keuze=""),"",AND(X7&lt;&gt;"",F7&lt;&gt;"Arbeidskosten"),X7*VLOOKUP(F7,Tb_ProjectKosten[],MATCH(Tb_ProjectKosten[[#Headers],[Forfait_Percentage]],Tb_ProjectKosten[#Headers],0),0),AND(F7="Arbeidskosten",G7&lt;&gt;""),IFERROR(X7*VLOOKUP(G7,Tb_KostenTypen[],3,0)*VLOOKUP(F7,Tb_ProjectKosten[],MATCH(Tb_ProjectKosten[[#Headers],[Forfait_Percentage]],Tb_ProjectKosten[#Headers],0),0),""),X7 &lt;=0,0),"")</f>
        <v/>
      </c>
      <c r="AB7" s="314" t="str">
        <f t="shared" ca="1" si="3"/>
        <v/>
      </c>
      <c r="AC7" s="322"/>
      <c r="AD7" s="315"/>
      <c r="AE7" s="32" t="str" cm="1">
        <f t="array" ref="AE7">IFERROR(IF(INDEX(SubsidieTabel!$AD$1:$AG$12,MATCH($F7,SubsidieTabel!$AD$1:$AD$12,0),IFERROR(MATCH(Methode_Keuze,SubsidieTabel!$AD$1:$AG$1,0),2))&lt;&gt;1=TRUE,"ja",""),"")</f>
        <v/>
      </c>
    </row>
    <row r="8" spans="1:31" x14ac:dyDescent="0.25">
      <c r="A8" s="316"/>
      <c r="B8" s="317" t="str">
        <f>IF(A8&lt;&gt;"",_xlfn.MAXIFS($B$1:B7,$A$1:A7,A8)+1,"")</f>
        <v/>
      </c>
      <c r="C8" s="296"/>
      <c r="D8" s="296"/>
      <c r="E8" s="296"/>
      <c r="F8" s="296"/>
      <c r="G8" s="326"/>
      <c r="H8" s="324"/>
      <c r="I8" s="325"/>
      <c r="J8" s="325"/>
      <c r="K8" s="318"/>
      <c r="L8" s="318"/>
      <c r="M8" s="319" t="str">
        <f>IFERROR(VLOOKUP(H8,Lijsten!$H$1:$I$100,2,0),"")</f>
        <v/>
      </c>
      <c r="N8" s="319" t="str">
        <f ca="1">IFERROR(IF(VLOOKUP(F8,Kostentypen!$A$3:$E$21,3,0)=0,"",IF(OR(F8="Arbeidskosten",F8="Vergoeding"),VLOOKUP(G8,Tb_KostenTypen[],2,0),VLOOKUP(F8,Kostentypen!$A$3:$E$20,3,0))),"")</f>
        <v/>
      </c>
      <c r="O8" s="320" t="str" cm="1">
        <f t="array" ref="O8">_xlfn.IFNA(IF(INDEX(Tb_KostenOptiesDB[],MATCH($F8,Tb_KostenOptiesDB[KostenOptie],0),IFERROR(MATCH(Methode_Keuze,Tb_KostenOptiesDB[#Headers],0),2))=1,_xlfn.SWITCH($N8,"Uurtarief",IF(OR(AND(RIGHT($F8,3)="IKS",VLOOKUP($M8,DB_Loonkosten,2,0)="Ja"),AND(RIGHT($F8,3)&lt;&gt;"IKS",VLOOKUP($M8,DB_Loonkosten,2,0)="Nee")),IFERROR(VLOOKUP($M8,DB_Loonkosten,24,0),""),0),"Vast tarief",IF(LEFT(F8,8)="Bijdrage",VLOOKUP($F8,Tb_KostenTypen[],MATCH(Lijsten!$P$1,Tb_KostenTypen[#Headers],0),0),VLOOKUP($G8,Lijsten!L:P,MATCH(Lijsten!$P$1,Kop_Tarief_Vast,0),0))),""),"")</f>
        <v/>
      </c>
      <c r="P8" s="320" t="str" cm="1">
        <f t="array" ref="P8">_xlfn.IFNA(IF(INDEX(Tb_KostenOptiesDB[],MATCH($F8,Tb_KostenOptiesDB[KostenOptie],0),IFERROR(MATCH(Methode_Keuze,Tb_KostenOptiesDB[#Headers],0),2))=1,_xlfn.SWITCH($N8,"Uurtarief",IF(OR(AND(RIGHT($F8,3)="IKS",VLOOKUP($M8,DB_Loonkosten,2,0)="Ja"),AND(RIGHT($F8,3)&lt;&gt;"IKS",VLOOKUP($M8,DB_Loonkosten,2,0)="Nee")),IFERROR(VLOOKUP($M8,DB_Loonkosten,25,0),""),0),"Vast tarief",IF(LEFT(F8,8)="Bijdrage",VLOOKUP($F8,Tb_KostenTypen[],MATCH(Lijsten!$P$1,Tb_KostenTypen[#Headers],0),0),VLOOKUP($G8,Lijsten!L:P,MATCH(Lijsten!$P$1,Kop_Tarief_Vast,0),0))),""),"")</f>
        <v/>
      </c>
      <c r="Q8" s="359"/>
      <c r="R8" s="359"/>
      <c r="S8" s="321"/>
      <c r="T8" s="321"/>
      <c r="U8" s="373" t="str">
        <f t="shared" si="0"/>
        <v/>
      </c>
      <c r="V8" s="314" t="str">
        <f t="shared" si="1"/>
        <v/>
      </c>
      <c r="W8" s="314" t="str" cm="1">
        <f t="array" aca="1" ref="W8" ca="1">IFERROR(IF(AE8&lt;&gt;"ja",_xlfn.IFNA(_xlfn.IFS(AND(O8&lt;&gt;"",F8&lt;&gt;"",RIGHT($N8,6)="tarief",F8="Vergoeding"),SUM(O8)*FLOOR(SUM(Q8),0.0001),AND(O8&lt;&gt;"",F8&lt;&gt;"",RIGHT($N8,6)="tarief"),SUM(O8)*FLOOR(SUM(Q8),0.01),S8&gt;0,IF(F8&lt;&gt;"",FLOOR(SUM(S8),0.01),"")),""),""),"")</f>
        <v/>
      </c>
      <c r="X8" s="314" t="str" cm="1">
        <f t="array" aca="1" ref="X8" ca="1">IFERROR(IF(AE8&lt;&gt;"ja",_xlfn.IFNA(_xlfn.IFS(AND(P8&lt;&gt;"",R8&lt;&gt;"",RIGHT($N8,6)="tarief",F8="Vergoeding"),SUM(P8)*FLOOR(SUM(R8),0.0001),AND(P8&lt;&gt;"",R8&lt;&gt;"",RIGHT($N8,6)="tarief"),P8*FLOOR(R8,0.01),T8&gt;0,FLOOR(SUM(T8),0.01)),""),""),"")</f>
        <v/>
      </c>
      <c r="Y8" s="314" t="str">
        <f t="shared" ca="1" si="2"/>
        <v/>
      </c>
      <c r="Z8" s="314" t="str" cm="1">
        <f t="array" aca="1" ref="Z8" ca="1">IFERROR(_xlfn.IFS(OR(F8="",LEFT(Methode_Keuze,4)="Geen",Methode_Keuze=""),"",AND(W8&lt;&gt;"",F8&lt;&gt;"Arbeidskosten"),W8*VLOOKUP(F8,Tb_ProjectKosten[],MATCH(Tb_ProjectKosten[[#Headers],[Forfait_Percentage]],Tb_ProjectKosten[#Headers],0),0),AND(F8="Arbeidskosten",G8&lt;&gt;""),IFERROR(W8*VLOOKUP(G8,Tb_KostenTypen[],3,0)*VLOOKUP(F8,Tb_ProjectKosten[],MATCH(Tb_ProjectKosten[[#Headers],[Forfait_Percentage]],Tb_ProjectKosten[#Headers],0),0),""),W8 &lt;=0,0),"")</f>
        <v/>
      </c>
      <c r="AA8" s="314" t="str" cm="1">
        <f t="array" aca="1" ref="AA8" ca="1">IFERROR(_xlfn.IFS(OR(F8="",LEFT(Methode_Keuze,4)="Geen",Methode_Keuze=""),"",AND(X8&lt;&gt;"",F8&lt;&gt;"Arbeidskosten"),X8*VLOOKUP(F8,Tb_ProjectKosten[],MATCH(Tb_ProjectKosten[[#Headers],[Forfait_Percentage]],Tb_ProjectKosten[#Headers],0),0),AND(F8="Arbeidskosten",G8&lt;&gt;""),IFERROR(X8*VLOOKUP(G8,Tb_KostenTypen[],3,0)*VLOOKUP(F8,Tb_ProjectKosten[],MATCH(Tb_ProjectKosten[[#Headers],[Forfait_Percentage]],Tb_ProjectKosten[#Headers],0),0),""),X8 &lt;=0,0),"")</f>
        <v/>
      </c>
      <c r="AB8" s="314" t="str">
        <f t="shared" ca="1" si="3"/>
        <v/>
      </c>
      <c r="AC8" s="322"/>
      <c r="AD8" s="315"/>
      <c r="AE8" s="32" t="str" cm="1">
        <f t="array" ref="AE8">IFERROR(IF(INDEX(SubsidieTabel!$AD$1:$AG$12,MATCH($F8,SubsidieTabel!$AD$1:$AD$12,0),IFERROR(MATCH(Methode_Keuze,SubsidieTabel!$AD$1:$AG$1,0),2))&lt;&gt;1=TRUE,"ja",""),"")</f>
        <v/>
      </c>
    </row>
    <row r="9" spans="1:31" x14ac:dyDescent="0.25">
      <c r="A9" s="316"/>
      <c r="B9" s="317" t="str">
        <f>IF(A9&lt;&gt;"",_xlfn.MAXIFS($B$1:B8,$A$1:A8,A9)+1,"")</f>
        <v/>
      </c>
      <c r="C9" s="296"/>
      <c r="D9" s="296"/>
      <c r="E9" s="296"/>
      <c r="F9" s="296"/>
      <c r="G9" s="326"/>
      <c r="H9" s="324"/>
      <c r="I9" s="325"/>
      <c r="J9" s="325"/>
      <c r="K9" s="318"/>
      <c r="L9" s="318"/>
      <c r="M9" s="319" t="str">
        <f>IFERROR(VLOOKUP(H9,Lijsten!$H$1:$I$100,2,0),"")</f>
        <v/>
      </c>
      <c r="N9" s="319" t="str">
        <f ca="1">IFERROR(IF(VLOOKUP(F9,Kostentypen!$A$3:$E$21,3,0)=0,"",IF(OR(F9="Arbeidskosten",F9="Vergoeding"),VLOOKUP(G9,Tb_KostenTypen[],2,0),VLOOKUP(F9,Kostentypen!$A$3:$E$20,3,0))),"")</f>
        <v/>
      </c>
      <c r="O9" s="320" t="str" cm="1">
        <f t="array" ref="O9">_xlfn.IFNA(IF(INDEX(Tb_KostenOptiesDB[],MATCH($F9,Tb_KostenOptiesDB[KostenOptie],0),IFERROR(MATCH(Methode_Keuze,Tb_KostenOptiesDB[#Headers],0),2))=1,_xlfn.SWITCH($N9,"Uurtarief",IF(OR(AND(RIGHT($F9,3)="IKS",VLOOKUP($M9,DB_Loonkosten,2,0)="Ja"),AND(RIGHT($F9,3)&lt;&gt;"IKS",VLOOKUP($M9,DB_Loonkosten,2,0)="Nee")),IFERROR(VLOOKUP($M9,DB_Loonkosten,24,0),""),0),"Vast tarief",IF(LEFT(F9,8)="Bijdrage",VLOOKUP($F9,Tb_KostenTypen[],MATCH(Lijsten!$P$1,Tb_KostenTypen[#Headers],0),0),VLOOKUP($G9,Lijsten!L:P,MATCH(Lijsten!$P$1,Kop_Tarief_Vast,0),0))),""),"")</f>
        <v/>
      </c>
      <c r="P9" s="320" t="str" cm="1">
        <f t="array" ref="P9">_xlfn.IFNA(IF(INDEX(Tb_KostenOptiesDB[],MATCH($F9,Tb_KostenOptiesDB[KostenOptie],0),IFERROR(MATCH(Methode_Keuze,Tb_KostenOptiesDB[#Headers],0),2))=1,_xlfn.SWITCH($N9,"Uurtarief",IF(OR(AND(RIGHT($F9,3)="IKS",VLOOKUP($M9,DB_Loonkosten,2,0)="Ja"),AND(RIGHT($F9,3)&lt;&gt;"IKS",VLOOKUP($M9,DB_Loonkosten,2,0)="Nee")),IFERROR(VLOOKUP($M9,DB_Loonkosten,25,0),""),0),"Vast tarief",IF(LEFT(F9,8)="Bijdrage",VLOOKUP($F9,Tb_KostenTypen[],MATCH(Lijsten!$P$1,Tb_KostenTypen[#Headers],0),0),VLOOKUP($G9,Lijsten!L:P,MATCH(Lijsten!$P$1,Kop_Tarief_Vast,0),0))),""),"")</f>
        <v/>
      </c>
      <c r="Q9" s="359"/>
      <c r="R9" s="359"/>
      <c r="S9" s="321"/>
      <c r="T9" s="321"/>
      <c r="U9" s="373" t="str">
        <f t="shared" si="0"/>
        <v/>
      </c>
      <c r="V9" s="314" t="str">
        <f t="shared" si="1"/>
        <v/>
      </c>
      <c r="W9" s="314" t="str" cm="1">
        <f t="array" aca="1" ref="W9" ca="1">IFERROR(IF(AE9&lt;&gt;"ja",_xlfn.IFNA(_xlfn.IFS(AND(O9&lt;&gt;"",F9&lt;&gt;"",RIGHT($N9,6)="tarief",F9="Vergoeding"),SUM(O9)*FLOOR(SUM(Q9),0.0001),AND(O9&lt;&gt;"",F9&lt;&gt;"",RIGHT($N9,6)="tarief"),SUM(O9)*FLOOR(SUM(Q9),0.01),S9&gt;0,IF(F9&lt;&gt;"",FLOOR(SUM(S9),0.01),"")),""),""),"")</f>
        <v/>
      </c>
      <c r="X9" s="314" t="str" cm="1">
        <f t="array" aca="1" ref="X9" ca="1">IFERROR(IF(AE9&lt;&gt;"ja",_xlfn.IFNA(_xlfn.IFS(AND(P9&lt;&gt;"",R9&lt;&gt;"",RIGHT($N9,6)="tarief",F9="Vergoeding"),SUM(P9)*FLOOR(SUM(R9),0.0001),AND(P9&lt;&gt;"",R9&lt;&gt;"",RIGHT($N9,6)="tarief"),P9*FLOOR(R9,0.01),T9&gt;0,FLOOR(SUM(T9),0.01)),""),""),"")</f>
        <v/>
      </c>
      <c r="Y9" s="314" t="str">
        <f t="shared" ca="1" si="2"/>
        <v/>
      </c>
      <c r="Z9" s="314" t="str" cm="1">
        <f t="array" aca="1" ref="Z9" ca="1">IFERROR(_xlfn.IFS(OR(F9="",LEFT(Methode_Keuze,4)="Geen",Methode_Keuze=""),"",AND(W9&lt;&gt;"",F9&lt;&gt;"Arbeidskosten"),W9*VLOOKUP(F9,Tb_ProjectKosten[],MATCH(Tb_ProjectKosten[[#Headers],[Forfait_Percentage]],Tb_ProjectKosten[#Headers],0),0),AND(F9="Arbeidskosten",G9&lt;&gt;""),IFERROR(W9*VLOOKUP(G9,Tb_KostenTypen[],3,0)*VLOOKUP(F9,Tb_ProjectKosten[],MATCH(Tb_ProjectKosten[[#Headers],[Forfait_Percentage]],Tb_ProjectKosten[#Headers],0),0),""),W9 &lt;=0,0),"")</f>
        <v/>
      </c>
      <c r="AA9" s="314" t="str" cm="1">
        <f t="array" aca="1" ref="AA9" ca="1">IFERROR(_xlfn.IFS(OR(F9="",LEFT(Methode_Keuze,4)="Geen",Methode_Keuze=""),"",AND(X9&lt;&gt;"",F9&lt;&gt;"Arbeidskosten"),X9*VLOOKUP(F9,Tb_ProjectKosten[],MATCH(Tb_ProjectKosten[[#Headers],[Forfait_Percentage]],Tb_ProjectKosten[#Headers],0),0),AND(F9="Arbeidskosten",G9&lt;&gt;""),IFERROR(X9*VLOOKUP(G9,Tb_KostenTypen[],3,0)*VLOOKUP(F9,Tb_ProjectKosten[],MATCH(Tb_ProjectKosten[[#Headers],[Forfait_Percentage]],Tb_ProjectKosten[#Headers],0),0),""),X9 &lt;=0,0),"")</f>
        <v/>
      </c>
      <c r="AB9" s="314" t="str">
        <f t="shared" ca="1" si="3"/>
        <v/>
      </c>
      <c r="AC9" s="322"/>
      <c r="AD9" s="315"/>
      <c r="AE9" s="32" t="str" cm="1">
        <f t="array" ref="AE9">IFERROR(IF(INDEX(SubsidieTabel!$AD$1:$AG$12,MATCH($F9,SubsidieTabel!$AD$1:$AD$12,0),IFERROR(MATCH(Methode_Keuze,SubsidieTabel!$AD$1:$AG$1,0),2))&lt;&gt;1=TRUE,"ja",""),"")</f>
        <v/>
      </c>
    </row>
    <row r="10" spans="1:31" x14ac:dyDescent="0.25">
      <c r="A10" s="316"/>
      <c r="B10" s="317" t="str">
        <f>IF(A10&lt;&gt;"",_xlfn.MAXIFS($B$1:B9,$A$1:A9,A10)+1,"")</f>
        <v/>
      </c>
      <c r="C10" s="296"/>
      <c r="D10" s="296"/>
      <c r="E10" s="296"/>
      <c r="F10" s="296"/>
      <c r="G10" s="326"/>
      <c r="H10" s="324"/>
      <c r="I10" s="325"/>
      <c r="J10" s="325"/>
      <c r="K10" s="318"/>
      <c r="L10" s="318"/>
      <c r="M10" s="319" t="str">
        <f>IFERROR(VLOOKUP(H10,Lijsten!$H$1:$I$100,2,0),"")</f>
        <v/>
      </c>
      <c r="N10" s="319" t="str">
        <f ca="1">IFERROR(IF(VLOOKUP(F10,Kostentypen!$A$3:$E$21,3,0)=0,"",IF(OR(F10="Arbeidskosten",F10="Vergoeding"),VLOOKUP(G10,Tb_KostenTypen[],2,0),VLOOKUP(F10,Kostentypen!$A$3:$E$20,3,0))),"")</f>
        <v/>
      </c>
      <c r="O10" s="320" t="str" cm="1">
        <f t="array" ref="O10">_xlfn.IFNA(IF(INDEX(Tb_KostenOptiesDB[],MATCH($F10,Tb_KostenOptiesDB[KostenOptie],0),IFERROR(MATCH(Methode_Keuze,Tb_KostenOptiesDB[#Headers],0),2))=1,_xlfn.SWITCH($N10,"Uurtarief",IF(OR(AND(RIGHT($F10,3)="IKS",VLOOKUP($M10,DB_Loonkosten,2,0)="Ja"),AND(RIGHT($F10,3)&lt;&gt;"IKS",VLOOKUP($M10,DB_Loonkosten,2,0)="Nee")),IFERROR(VLOOKUP($M10,DB_Loonkosten,24,0),""),0),"Vast tarief",IF(LEFT(F10,8)="Bijdrage",VLOOKUP($F10,Tb_KostenTypen[],MATCH(Lijsten!$P$1,Tb_KostenTypen[#Headers],0),0),VLOOKUP($G10,Lijsten!L:P,MATCH(Lijsten!$P$1,Kop_Tarief_Vast,0),0))),""),"")</f>
        <v/>
      </c>
      <c r="P10" s="320" t="str" cm="1">
        <f t="array" ref="P10">_xlfn.IFNA(IF(INDEX(Tb_KostenOptiesDB[],MATCH($F10,Tb_KostenOptiesDB[KostenOptie],0),IFERROR(MATCH(Methode_Keuze,Tb_KostenOptiesDB[#Headers],0),2))=1,_xlfn.SWITCH($N10,"Uurtarief",IF(OR(AND(RIGHT($F10,3)="IKS",VLOOKUP($M10,DB_Loonkosten,2,0)="Ja"),AND(RIGHT($F10,3)&lt;&gt;"IKS",VLOOKUP($M10,DB_Loonkosten,2,0)="Nee")),IFERROR(VLOOKUP($M10,DB_Loonkosten,25,0),""),0),"Vast tarief",IF(LEFT(F10,8)="Bijdrage",VLOOKUP($F10,Tb_KostenTypen[],MATCH(Lijsten!$P$1,Tb_KostenTypen[#Headers],0),0),VLOOKUP($G10,Lijsten!L:P,MATCH(Lijsten!$P$1,Kop_Tarief_Vast,0),0))),""),"")</f>
        <v/>
      </c>
      <c r="Q10" s="359"/>
      <c r="R10" s="359"/>
      <c r="S10" s="321"/>
      <c r="T10" s="321"/>
      <c r="U10" s="373" t="str">
        <f t="shared" si="0"/>
        <v/>
      </c>
      <c r="V10" s="314" t="str">
        <f t="shared" si="1"/>
        <v/>
      </c>
      <c r="W10" s="314" t="str" cm="1">
        <f t="array" aca="1" ref="W10" ca="1">IFERROR(IF(AE10&lt;&gt;"ja",_xlfn.IFNA(_xlfn.IFS(AND(O10&lt;&gt;"",F10&lt;&gt;"",RIGHT($N10,6)="tarief",F10="Vergoeding"),SUM(O10)*FLOOR(SUM(Q10),0.0001),AND(O10&lt;&gt;"",F10&lt;&gt;"",RIGHT($N10,6)="tarief"),SUM(O10)*FLOOR(SUM(Q10),0.01),S10&gt;0,IF(F10&lt;&gt;"",FLOOR(SUM(S10),0.01),"")),""),""),"")</f>
        <v/>
      </c>
      <c r="X10" s="314" t="str" cm="1">
        <f t="array" aca="1" ref="X10" ca="1">IFERROR(IF(AE10&lt;&gt;"ja",_xlfn.IFNA(_xlfn.IFS(AND(P10&lt;&gt;"",R10&lt;&gt;"",RIGHT($N10,6)="tarief",F10="Vergoeding"),SUM(P10)*FLOOR(SUM(R10),0.0001),AND(P10&lt;&gt;"",R10&lt;&gt;"",RIGHT($N10,6)="tarief"),P10*FLOOR(R10,0.01),T10&gt;0,FLOOR(SUM(T10),0.01)),""),""),"")</f>
        <v/>
      </c>
      <c r="Y10" s="314" t="str">
        <f t="shared" ca="1" si="2"/>
        <v/>
      </c>
      <c r="Z10" s="314" t="str" cm="1">
        <f t="array" aca="1" ref="Z10" ca="1">IFERROR(_xlfn.IFS(OR(F10="",LEFT(Methode_Keuze,4)="Geen",Methode_Keuze=""),"",AND(W10&lt;&gt;"",F10&lt;&gt;"Arbeidskosten"),W10*VLOOKUP(F10,Tb_ProjectKosten[],MATCH(Tb_ProjectKosten[[#Headers],[Forfait_Percentage]],Tb_ProjectKosten[#Headers],0),0),AND(F10="Arbeidskosten",G10&lt;&gt;""),IFERROR(W10*VLOOKUP(G10,Tb_KostenTypen[],3,0)*VLOOKUP(F10,Tb_ProjectKosten[],MATCH(Tb_ProjectKosten[[#Headers],[Forfait_Percentage]],Tb_ProjectKosten[#Headers],0),0),""),W10 &lt;=0,0),"")</f>
        <v/>
      </c>
      <c r="AA10" s="314" t="str" cm="1">
        <f t="array" aca="1" ref="AA10" ca="1">IFERROR(_xlfn.IFS(OR(F10="",LEFT(Methode_Keuze,4)="Geen",Methode_Keuze=""),"",AND(X10&lt;&gt;"",F10&lt;&gt;"Arbeidskosten"),X10*VLOOKUP(F10,Tb_ProjectKosten[],MATCH(Tb_ProjectKosten[[#Headers],[Forfait_Percentage]],Tb_ProjectKosten[#Headers],0),0),AND(F10="Arbeidskosten",G10&lt;&gt;""),IFERROR(X10*VLOOKUP(G10,Tb_KostenTypen[],3,0)*VLOOKUP(F10,Tb_ProjectKosten[],MATCH(Tb_ProjectKosten[[#Headers],[Forfait_Percentage]],Tb_ProjectKosten[#Headers],0),0),""),X10 &lt;=0,0),"")</f>
        <v/>
      </c>
      <c r="AB10" s="314" t="str">
        <f t="shared" ca="1" si="3"/>
        <v/>
      </c>
      <c r="AC10" s="322"/>
      <c r="AD10" s="315"/>
      <c r="AE10" s="32" t="str" cm="1">
        <f t="array" ref="AE10">IFERROR(IF(INDEX(SubsidieTabel!$AD$1:$AG$12,MATCH($F10,SubsidieTabel!$AD$1:$AD$12,0),IFERROR(MATCH(Methode_Keuze,SubsidieTabel!$AD$1:$AG$1,0),2))&lt;&gt;1=TRUE,"ja",""),"")</f>
        <v/>
      </c>
    </row>
    <row r="11" spans="1:31" x14ac:dyDescent="0.25">
      <c r="A11" s="316"/>
      <c r="B11" s="317" t="str">
        <f>IF(A11&lt;&gt;"",_xlfn.MAXIFS($B$1:B10,$A$1:A10,A11)+1,"")</f>
        <v/>
      </c>
      <c r="C11" s="296"/>
      <c r="D11" s="296"/>
      <c r="E11" s="296"/>
      <c r="F11" s="296"/>
      <c r="G11" s="326"/>
      <c r="H11" s="324"/>
      <c r="I11" s="325"/>
      <c r="J11" s="325"/>
      <c r="K11" s="318"/>
      <c r="L11" s="318"/>
      <c r="M11" s="319" t="str">
        <f>IFERROR(VLOOKUP(H11,Lijsten!$H$1:$I$100,2,0),"")</f>
        <v/>
      </c>
      <c r="N11" s="319" t="str">
        <f ca="1">IFERROR(IF(VLOOKUP(F11,Kostentypen!$A$3:$E$21,3,0)=0,"",IF(OR(F11="Arbeidskosten",F11="Vergoeding"),VLOOKUP(G11,Tb_KostenTypen[],2,0),VLOOKUP(F11,Kostentypen!$A$3:$E$20,3,0))),"")</f>
        <v/>
      </c>
      <c r="O11" s="320" t="str" cm="1">
        <f t="array" ref="O11">_xlfn.IFNA(IF(INDEX(Tb_KostenOptiesDB[],MATCH($F11,Tb_KostenOptiesDB[KostenOptie],0),IFERROR(MATCH(Methode_Keuze,Tb_KostenOptiesDB[#Headers],0),2))=1,_xlfn.SWITCH($N11,"Uurtarief",IF(OR(AND(RIGHT($F11,3)="IKS",VLOOKUP($M11,DB_Loonkosten,2,0)="Ja"),AND(RIGHT($F11,3)&lt;&gt;"IKS",VLOOKUP($M11,DB_Loonkosten,2,0)="Nee")),IFERROR(VLOOKUP($M11,DB_Loonkosten,24,0),""),0),"Vast tarief",IF(LEFT(F11,8)="Bijdrage",VLOOKUP($F11,Tb_KostenTypen[],MATCH(Lijsten!$P$1,Tb_KostenTypen[#Headers],0),0),VLOOKUP($G11,Lijsten!L:P,MATCH(Lijsten!$P$1,Kop_Tarief_Vast,0),0))),""),"")</f>
        <v/>
      </c>
      <c r="P11" s="320" t="str" cm="1">
        <f t="array" ref="P11">_xlfn.IFNA(IF(INDEX(Tb_KostenOptiesDB[],MATCH($F11,Tb_KostenOptiesDB[KostenOptie],0),IFERROR(MATCH(Methode_Keuze,Tb_KostenOptiesDB[#Headers],0),2))=1,_xlfn.SWITCH($N11,"Uurtarief",IF(OR(AND(RIGHT($F11,3)="IKS",VLOOKUP($M11,DB_Loonkosten,2,0)="Ja"),AND(RIGHT($F11,3)&lt;&gt;"IKS",VLOOKUP($M11,DB_Loonkosten,2,0)="Nee")),IFERROR(VLOOKUP($M11,DB_Loonkosten,25,0),""),0),"Vast tarief",IF(LEFT(F11,8)="Bijdrage",VLOOKUP($F11,Tb_KostenTypen[],MATCH(Lijsten!$P$1,Tb_KostenTypen[#Headers],0),0),VLOOKUP($G11,Lijsten!L:P,MATCH(Lijsten!$P$1,Kop_Tarief_Vast,0),0))),""),"")</f>
        <v/>
      </c>
      <c r="Q11" s="359"/>
      <c r="R11" s="359"/>
      <c r="S11" s="321"/>
      <c r="T11" s="321"/>
      <c r="U11" s="373" t="str">
        <f t="shared" si="0"/>
        <v/>
      </c>
      <c r="V11" s="314" t="str">
        <f t="shared" si="1"/>
        <v/>
      </c>
      <c r="W11" s="314" t="str" cm="1">
        <f t="array" aca="1" ref="W11" ca="1">IFERROR(IF(AE11&lt;&gt;"ja",_xlfn.IFNA(_xlfn.IFS(AND(O11&lt;&gt;"",F11&lt;&gt;"",RIGHT($N11,6)="tarief",F11="Vergoeding"),SUM(O11)*FLOOR(SUM(Q11),0.0001),AND(O11&lt;&gt;"",F11&lt;&gt;"",RIGHT($N11,6)="tarief"),SUM(O11)*FLOOR(SUM(Q11),0.01),S11&gt;0,IF(F11&lt;&gt;"",FLOOR(SUM(S11),0.01),"")),""),""),"")</f>
        <v/>
      </c>
      <c r="X11" s="314" t="str" cm="1">
        <f t="array" aca="1" ref="X11" ca="1">IFERROR(IF(AE11&lt;&gt;"ja",_xlfn.IFNA(_xlfn.IFS(AND(P11&lt;&gt;"",R11&lt;&gt;"",RIGHT($N11,6)="tarief",F11="Vergoeding"),SUM(P11)*FLOOR(SUM(R11),0.0001),AND(P11&lt;&gt;"",R11&lt;&gt;"",RIGHT($N11,6)="tarief"),P11*FLOOR(R11,0.01),T11&gt;0,FLOOR(SUM(T11),0.01)),""),""),"")</f>
        <v/>
      </c>
      <c r="Y11" s="314" t="str">
        <f t="shared" ca="1" si="2"/>
        <v/>
      </c>
      <c r="Z11" s="314" t="str" cm="1">
        <f t="array" aca="1" ref="Z11" ca="1">IFERROR(_xlfn.IFS(OR(F11="",LEFT(Methode_Keuze,4)="Geen",Methode_Keuze=""),"",AND(W11&lt;&gt;"",F11&lt;&gt;"Arbeidskosten"),W11*VLOOKUP(F11,Tb_ProjectKosten[],MATCH(Tb_ProjectKosten[[#Headers],[Forfait_Percentage]],Tb_ProjectKosten[#Headers],0),0),AND(F11="Arbeidskosten",G11&lt;&gt;""),IFERROR(W11*VLOOKUP(G11,Tb_KostenTypen[],3,0)*VLOOKUP(F11,Tb_ProjectKosten[],MATCH(Tb_ProjectKosten[[#Headers],[Forfait_Percentage]],Tb_ProjectKosten[#Headers],0),0),""),W11 &lt;=0,0),"")</f>
        <v/>
      </c>
      <c r="AA11" s="314" t="str" cm="1">
        <f t="array" aca="1" ref="AA11" ca="1">IFERROR(_xlfn.IFS(OR(F11="",LEFT(Methode_Keuze,4)="Geen",Methode_Keuze=""),"",AND(X11&lt;&gt;"",F11&lt;&gt;"Arbeidskosten"),X11*VLOOKUP(F11,Tb_ProjectKosten[],MATCH(Tb_ProjectKosten[[#Headers],[Forfait_Percentage]],Tb_ProjectKosten[#Headers],0),0),AND(F11="Arbeidskosten",G11&lt;&gt;""),IFERROR(X11*VLOOKUP(G11,Tb_KostenTypen[],3,0)*VLOOKUP(F11,Tb_ProjectKosten[],MATCH(Tb_ProjectKosten[[#Headers],[Forfait_Percentage]],Tb_ProjectKosten[#Headers],0),0),""),X11 &lt;=0,0),"")</f>
        <v/>
      </c>
      <c r="AB11" s="314" t="str">
        <f t="shared" ca="1" si="3"/>
        <v/>
      </c>
      <c r="AC11" s="322"/>
      <c r="AD11" s="315"/>
      <c r="AE11" s="32" t="str" cm="1">
        <f t="array" ref="AE11">IFERROR(IF(INDEX(SubsidieTabel!$AD$1:$AG$12,MATCH($F11,SubsidieTabel!$AD$1:$AD$12,0),IFERROR(MATCH(Methode_Keuze,SubsidieTabel!$AD$1:$AG$1,0),2))&lt;&gt;1=TRUE,"ja",""),"")</f>
        <v/>
      </c>
    </row>
    <row r="12" spans="1:31" x14ac:dyDescent="0.25">
      <c r="A12" s="316"/>
      <c r="B12" s="317" t="str">
        <f>IF(A12&lt;&gt;"",_xlfn.MAXIFS($B$1:B11,$A$1:A11,A12)+1,"")</f>
        <v/>
      </c>
      <c r="C12" s="296"/>
      <c r="D12" s="296"/>
      <c r="E12" s="296"/>
      <c r="F12" s="296"/>
      <c r="G12" s="326"/>
      <c r="H12" s="324"/>
      <c r="I12" s="325"/>
      <c r="J12" s="325"/>
      <c r="K12" s="318"/>
      <c r="L12" s="318"/>
      <c r="M12" s="319" t="str">
        <f>IFERROR(VLOOKUP(H12,Lijsten!$H$1:$I$100,2,0),"")</f>
        <v/>
      </c>
      <c r="N12" s="319" t="str">
        <f ca="1">IFERROR(IF(VLOOKUP(F12,Kostentypen!$A$3:$E$21,3,0)=0,"",IF(OR(F12="Arbeidskosten",F12="Vergoeding"),VLOOKUP(G12,Tb_KostenTypen[],2,0),VLOOKUP(F12,Kostentypen!$A$3:$E$20,3,0))),"")</f>
        <v/>
      </c>
      <c r="O12" s="320" t="str" cm="1">
        <f t="array" ref="O12">_xlfn.IFNA(IF(INDEX(Tb_KostenOptiesDB[],MATCH($F12,Tb_KostenOptiesDB[KostenOptie],0),IFERROR(MATCH(Methode_Keuze,Tb_KostenOptiesDB[#Headers],0),2))=1,_xlfn.SWITCH($N12,"Uurtarief",IF(OR(AND(RIGHT($F12,3)="IKS",VLOOKUP($M12,DB_Loonkosten,2,0)="Ja"),AND(RIGHT($F12,3)&lt;&gt;"IKS",VLOOKUP($M12,DB_Loonkosten,2,0)="Nee")),IFERROR(VLOOKUP($M12,DB_Loonkosten,24,0),""),0),"Vast tarief",IF(LEFT(F12,8)="Bijdrage",VLOOKUP($F12,Tb_KostenTypen[],MATCH(Lijsten!$P$1,Tb_KostenTypen[#Headers],0),0),VLOOKUP($G12,Lijsten!L:P,MATCH(Lijsten!$P$1,Kop_Tarief_Vast,0),0))),""),"")</f>
        <v/>
      </c>
      <c r="P12" s="320" t="str" cm="1">
        <f t="array" ref="P12">_xlfn.IFNA(IF(INDEX(Tb_KostenOptiesDB[],MATCH($F12,Tb_KostenOptiesDB[KostenOptie],0),IFERROR(MATCH(Methode_Keuze,Tb_KostenOptiesDB[#Headers],0),2))=1,_xlfn.SWITCH($N12,"Uurtarief",IF(OR(AND(RIGHT($F12,3)="IKS",VLOOKUP($M12,DB_Loonkosten,2,0)="Ja"),AND(RIGHT($F12,3)&lt;&gt;"IKS",VLOOKUP($M12,DB_Loonkosten,2,0)="Nee")),IFERROR(VLOOKUP($M12,DB_Loonkosten,25,0),""),0),"Vast tarief",IF(LEFT(F12,8)="Bijdrage",VLOOKUP($F12,Tb_KostenTypen[],MATCH(Lijsten!$P$1,Tb_KostenTypen[#Headers],0),0),VLOOKUP($G12,Lijsten!L:P,MATCH(Lijsten!$P$1,Kop_Tarief_Vast,0),0))),""),"")</f>
        <v/>
      </c>
      <c r="Q12" s="359"/>
      <c r="R12" s="359"/>
      <c r="S12" s="321"/>
      <c r="T12" s="321"/>
      <c r="U12" s="373" t="str">
        <f t="shared" si="0"/>
        <v/>
      </c>
      <c r="V12" s="314" t="str">
        <f t="shared" si="1"/>
        <v/>
      </c>
      <c r="W12" s="314" t="str" cm="1">
        <f t="array" aca="1" ref="W12" ca="1">IFERROR(IF(AE12&lt;&gt;"ja",_xlfn.IFNA(_xlfn.IFS(AND(O12&lt;&gt;"",F12&lt;&gt;"",RIGHT($N12,6)="tarief",F12="Vergoeding"),SUM(O12)*FLOOR(SUM(Q12),0.0001),AND(O12&lt;&gt;"",F12&lt;&gt;"",RIGHT($N12,6)="tarief"),SUM(O12)*FLOOR(SUM(Q12),0.01),S12&gt;0,IF(F12&lt;&gt;"",FLOOR(SUM(S12),0.01),"")),""),""),"")</f>
        <v/>
      </c>
      <c r="X12" s="314" t="str" cm="1">
        <f t="array" aca="1" ref="X12" ca="1">IFERROR(IF(AE12&lt;&gt;"ja",_xlfn.IFNA(_xlfn.IFS(AND(P12&lt;&gt;"",R12&lt;&gt;"",RIGHT($N12,6)="tarief",F12="Vergoeding"),SUM(P12)*FLOOR(SUM(R12),0.0001),AND(P12&lt;&gt;"",R12&lt;&gt;"",RIGHT($N12,6)="tarief"),P12*FLOOR(R12,0.01),T12&gt;0,FLOOR(SUM(T12),0.01)),""),""),"")</f>
        <v/>
      </c>
      <c r="Y12" s="314" t="str">
        <f t="shared" ca="1" si="2"/>
        <v/>
      </c>
      <c r="Z12" s="314" t="str" cm="1">
        <f t="array" aca="1" ref="Z12" ca="1">IFERROR(_xlfn.IFS(OR(F12="",LEFT(Methode_Keuze,4)="Geen",Methode_Keuze=""),"",AND(W12&lt;&gt;"",F12&lt;&gt;"Arbeidskosten"),W12*VLOOKUP(F12,Tb_ProjectKosten[],MATCH(Tb_ProjectKosten[[#Headers],[Forfait_Percentage]],Tb_ProjectKosten[#Headers],0),0),AND(F12="Arbeidskosten",G12&lt;&gt;""),IFERROR(W12*VLOOKUP(G12,Tb_KostenTypen[],3,0)*VLOOKUP(F12,Tb_ProjectKosten[],MATCH(Tb_ProjectKosten[[#Headers],[Forfait_Percentage]],Tb_ProjectKosten[#Headers],0),0),""),W12 &lt;=0,0),"")</f>
        <v/>
      </c>
      <c r="AA12" s="314" t="str" cm="1">
        <f t="array" aca="1" ref="AA12" ca="1">IFERROR(_xlfn.IFS(OR(F12="",LEFT(Methode_Keuze,4)="Geen",Methode_Keuze=""),"",AND(X12&lt;&gt;"",F12&lt;&gt;"Arbeidskosten"),X12*VLOOKUP(F12,Tb_ProjectKosten[],MATCH(Tb_ProjectKosten[[#Headers],[Forfait_Percentage]],Tb_ProjectKosten[#Headers],0),0),AND(F12="Arbeidskosten",G12&lt;&gt;""),IFERROR(X12*VLOOKUP(G12,Tb_KostenTypen[],3,0)*VLOOKUP(F12,Tb_ProjectKosten[],MATCH(Tb_ProjectKosten[[#Headers],[Forfait_Percentage]],Tb_ProjectKosten[#Headers],0),0),""),X12 &lt;=0,0),"")</f>
        <v/>
      </c>
      <c r="AB12" s="314" t="str">
        <f t="shared" ca="1" si="3"/>
        <v/>
      </c>
      <c r="AC12" s="322"/>
      <c r="AD12" s="315"/>
      <c r="AE12" s="32" t="str" cm="1">
        <f t="array" ref="AE12">IFERROR(IF(INDEX(SubsidieTabel!$AD$1:$AG$12,MATCH($F12,SubsidieTabel!$AD$1:$AD$12,0),IFERROR(MATCH(Methode_Keuze,SubsidieTabel!$AD$1:$AG$1,0),2))&lt;&gt;1=TRUE,"ja",""),"")</f>
        <v/>
      </c>
    </row>
    <row r="13" spans="1:31" x14ac:dyDescent="0.25">
      <c r="A13" s="316"/>
      <c r="B13" s="317" t="str">
        <f>IF(A13&lt;&gt;"",_xlfn.MAXIFS($B$1:B12,$A$1:A12,A13)+1,"")</f>
        <v/>
      </c>
      <c r="C13" s="296"/>
      <c r="D13" s="296"/>
      <c r="E13" s="296"/>
      <c r="F13" s="296"/>
      <c r="G13" s="326"/>
      <c r="H13" s="324"/>
      <c r="I13" s="325"/>
      <c r="J13" s="325"/>
      <c r="K13" s="318"/>
      <c r="L13" s="318"/>
      <c r="M13" s="319" t="str">
        <f>IFERROR(VLOOKUP(H13,Lijsten!$H$1:$I$100,2,0),"")</f>
        <v/>
      </c>
      <c r="N13" s="319" t="str">
        <f ca="1">IFERROR(IF(VLOOKUP(F13,Kostentypen!$A$3:$E$21,3,0)=0,"",IF(OR(F13="Arbeidskosten",F13="Vergoeding"),VLOOKUP(G13,Tb_KostenTypen[],2,0),VLOOKUP(F13,Kostentypen!$A$3:$E$20,3,0))),"")</f>
        <v/>
      </c>
      <c r="O13" s="320" t="str" cm="1">
        <f t="array" ref="O13">_xlfn.IFNA(IF(INDEX(Tb_KostenOptiesDB[],MATCH($F13,Tb_KostenOptiesDB[KostenOptie],0),IFERROR(MATCH(Methode_Keuze,Tb_KostenOptiesDB[#Headers],0),2))=1,_xlfn.SWITCH($N13,"Uurtarief",IF(OR(AND(RIGHT($F13,3)="IKS",VLOOKUP($M13,DB_Loonkosten,2,0)="Ja"),AND(RIGHT($F13,3)&lt;&gt;"IKS",VLOOKUP($M13,DB_Loonkosten,2,0)="Nee")),IFERROR(VLOOKUP($M13,DB_Loonkosten,24,0),""),0),"Vast tarief",IF(LEFT(F13,8)="Bijdrage",VLOOKUP($F13,Tb_KostenTypen[],MATCH(Lijsten!$P$1,Tb_KostenTypen[#Headers],0),0),VLOOKUP($G13,Lijsten!L:P,MATCH(Lijsten!$P$1,Kop_Tarief_Vast,0),0))),""),"")</f>
        <v/>
      </c>
      <c r="P13" s="320" t="str" cm="1">
        <f t="array" ref="P13">_xlfn.IFNA(IF(INDEX(Tb_KostenOptiesDB[],MATCH($F13,Tb_KostenOptiesDB[KostenOptie],0),IFERROR(MATCH(Methode_Keuze,Tb_KostenOptiesDB[#Headers],0),2))=1,_xlfn.SWITCH($N13,"Uurtarief",IF(OR(AND(RIGHT($F13,3)="IKS",VLOOKUP($M13,DB_Loonkosten,2,0)="Ja"),AND(RIGHT($F13,3)&lt;&gt;"IKS",VLOOKUP($M13,DB_Loonkosten,2,0)="Nee")),IFERROR(VLOOKUP($M13,DB_Loonkosten,25,0),""),0),"Vast tarief",IF(LEFT(F13,8)="Bijdrage",VLOOKUP($F13,Tb_KostenTypen[],MATCH(Lijsten!$P$1,Tb_KostenTypen[#Headers],0),0),VLOOKUP($G13,Lijsten!L:P,MATCH(Lijsten!$P$1,Kop_Tarief_Vast,0),0))),""),"")</f>
        <v/>
      </c>
      <c r="Q13" s="359"/>
      <c r="R13" s="359"/>
      <c r="S13" s="321"/>
      <c r="T13" s="321"/>
      <c r="U13" s="373" t="str">
        <f t="shared" si="0"/>
        <v/>
      </c>
      <c r="V13" s="314" t="str">
        <f t="shared" si="1"/>
        <v/>
      </c>
      <c r="W13" s="314" t="str" cm="1">
        <f t="array" aca="1" ref="W13" ca="1">IFERROR(IF(AE13&lt;&gt;"ja",_xlfn.IFNA(_xlfn.IFS(AND(O13&lt;&gt;"",F13&lt;&gt;"",RIGHT($N13,6)="tarief",F13="Vergoeding"),SUM(O13)*FLOOR(SUM(Q13),0.0001),AND(O13&lt;&gt;"",F13&lt;&gt;"",RIGHT($N13,6)="tarief"),SUM(O13)*FLOOR(SUM(Q13),0.01),S13&gt;0,IF(F13&lt;&gt;"",FLOOR(SUM(S13),0.01),"")),""),""),"")</f>
        <v/>
      </c>
      <c r="X13" s="314" t="str" cm="1">
        <f t="array" aca="1" ref="X13" ca="1">IFERROR(IF(AE13&lt;&gt;"ja",_xlfn.IFNA(_xlfn.IFS(AND(P13&lt;&gt;"",R13&lt;&gt;"",RIGHT($N13,6)="tarief",F13="Vergoeding"),SUM(P13)*FLOOR(SUM(R13),0.0001),AND(P13&lt;&gt;"",R13&lt;&gt;"",RIGHT($N13,6)="tarief"),P13*FLOOR(R13,0.01),T13&gt;0,FLOOR(SUM(T13),0.01)),""),""),"")</f>
        <v/>
      </c>
      <c r="Y13" s="314" t="str">
        <f t="shared" ca="1" si="2"/>
        <v/>
      </c>
      <c r="Z13" s="314" t="str" cm="1">
        <f t="array" aca="1" ref="Z13" ca="1">IFERROR(_xlfn.IFS(OR(F13="",LEFT(Methode_Keuze,4)="Geen",Methode_Keuze=""),"",AND(W13&lt;&gt;"",F13&lt;&gt;"Arbeidskosten"),W13*VLOOKUP(F13,Tb_ProjectKosten[],MATCH(Tb_ProjectKosten[[#Headers],[Forfait_Percentage]],Tb_ProjectKosten[#Headers],0),0),AND(F13="Arbeidskosten",G13&lt;&gt;""),IFERROR(W13*VLOOKUP(G13,Tb_KostenTypen[],3,0)*VLOOKUP(F13,Tb_ProjectKosten[],MATCH(Tb_ProjectKosten[[#Headers],[Forfait_Percentage]],Tb_ProjectKosten[#Headers],0),0),""),W13 &lt;=0,0),"")</f>
        <v/>
      </c>
      <c r="AA13" s="314" t="str" cm="1">
        <f t="array" aca="1" ref="AA13" ca="1">IFERROR(_xlfn.IFS(OR(F13="",LEFT(Methode_Keuze,4)="Geen",Methode_Keuze=""),"",AND(X13&lt;&gt;"",F13&lt;&gt;"Arbeidskosten"),X13*VLOOKUP(F13,Tb_ProjectKosten[],MATCH(Tb_ProjectKosten[[#Headers],[Forfait_Percentage]],Tb_ProjectKosten[#Headers],0),0),AND(F13="Arbeidskosten",G13&lt;&gt;""),IFERROR(X13*VLOOKUP(G13,Tb_KostenTypen[],3,0)*VLOOKUP(F13,Tb_ProjectKosten[],MATCH(Tb_ProjectKosten[[#Headers],[Forfait_Percentage]],Tb_ProjectKosten[#Headers],0),0),""),X13 &lt;=0,0),"")</f>
        <v/>
      </c>
      <c r="AB13" s="314" t="str">
        <f t="shared" ca="1" si="3"/>
        <v/>
      </c>
      <c r="AC13" s="322"/>
      <c r="AD13" s="315"/>
      <c r="AE13" s="32" t="str" cm="1">
        <f t="array" ref="AE13">IFERROR(IF(INDEX(SubsidieTabel!$AD$1:$AG$12,MATCH($F13,SubsidieTabel!$AD$1:$AD$12,0),IFERROR(MATCH(Methode_Keuze,SubsidieTabel!$AD$1:$AG$1,0),2))&lt;&gt;1=TRUE,"ja",""),"")</f>
        <v/>
      </c>
    </row>
    <row r="14" spans="1:31" x14ac:dyDescent="0.25">
      <c r="A14" s="316"/>
      <c r="B14" s="317" t="str">
        <f>IF(A14&lt;&gt;"",_xlfn.MAXIFS($B$1:B13,$A$1:A13,A14)+1,"")</f>
        <v/>
      </c>
      <c r="C14" s="296"/>
      <c r="D14" s="296"/>
      <c r="E14" s="296"/>
      <c r="F14" s="296"/>
      <c r="G14" s="326"/>
      <c r="H14" s="324"/>
      <c r="I14" s="325"/>
      <c r="J14" s="325"/>
      <c r="K14" s="318"/>
      <c r="L14" s="318"/>
      <c r="M14" s="319" t="str">
        <f>IFERROR(VLOOKUP(H14,Lijsten!$H$1:$I$100,2,0),"")</f>
        <v/>
      </c>
      <c r="N14" s="319" t="str">
        <f ca="1">IFERROR(IF(VLOOKUP(F14,Kostentypen!$A$3:$E$21,3,0)=0,"",IF(OR(F14="Arbeidskosten",F14="Vergoeding"),VLOOKUP(G14,Tb_KostenTypen[],2,0),VLOOKUP(F14,Kostentypen!$A$3:$E$20,3,0))),"")</f>
        <v/>
      </c>
      <c r="O14" s="320" t="str" cm="1">
        <f t="array" ref="O14">_xlfn.IFNA(IF(INDEX(Tb_KostenOptiesDB[],MATCH($F14,Tb_KostenOptiesDB[KostenOptie],0),IFERROR(MATCH(Methode_Keuze,Tb_KostenOptiesDB[#Headers],0),2))=1,_xlfn.SWITCH($N14,"Uurtarief",IF(OR(AND(RIGHT($F14,3)="IKS",VLOOKUP($M14,DB_Loonkosten,2,0)="Ja"),AND(RIGHT($F14,3)&lt;&gt;"IKS",VLOOKUP($M14,DB_Loonkosten,2,0)="Nee")),IFERROR(VLOOKUP($M14,DB_Loonkosten,24,0),""),0),"Vast tarief",IF(LEFT(F14,8)="Bijdrage",VLOOKUP($F14,Tb_KostenTypen[],MATCH(Lijsten!$P$1,Tb_KostenTypen[#Headers],0),0),VLOOKUP($G14,Lijsten!L:P,MATCH(Lijsten!$P$1,Kop_Tarief_Vast,0),0))),""),"")</f>
        <v/>
      </c>
      <c r="P14" s="320" t="str" cm="1">
        <f t="array" ref="P14">_xlfn.IFNA(IF(INDEX(Tb_KostenOptiesDB[],MATCH($F14,Tb_KostenOptiesDB[KostenOptie],0),IFERROR(MATCH(Methode_Keuze,Tb_KostenOptiesDB[#Headers],0),2))=1,_xlfn.SWITCH($N14,"Uurtarief",IF(OR(AND(RIGHT($F14,3)="IKS",VLOOKUP($M14,DB_Loonkosten,2,0)="Ja"),AND(RIGHT($F14,3)&lt;&gt;"IKS",VLOOKUP($M14,DB_Loonkosten,2,0)="Nee")),IFERROR(VLOOKUP($M14,DB_Loonkosten,25,0),""),0),"Vast tarief",IF(LEFT(F14,8)="Bijdrage",VLOOKUP($F14,Tb_KostenTypen[],MATCH(Lijsten!$P$1,Tb_KostenTypen[#Headers],0),0),VLOOKUP($G14,Lijsten!L:P,MATCH(Lijsten!$P$1,Kop_Tarief_Vast,0),0))),""),"")</f>
        <v/>
      </c>
      <c r="Q14" s="359"/>
      <c r="R14" s="359"/>
      <c r="S14" s="321"/>
      <c r="T14" s="321"/>
      <c r="U14" s="373" t="str">
        <f t="shared" si="0"/>
        <v/>
      </c>
      <c r="V14" s="314" t="str">
        <f t="shared" si="1"/>
        <v/>
      </c>
      <c r="W14" s="314" t="str" cm="1">
        <f t="array" aca="1" ref="W14" ca="1">IFERROR(IF(AE14&lt;&gt;"ja",_xlfn.IFNA(_xlfn.IFS(AND(O14&lt;&gt;"",F14&lt;&gt;"",RIGHT($N14,6)="tarief",F14="Vergoeding"),SUM(O14)*FLOOR(SUM(Q14),0.0001),AND(O14&lt;&gt;"",F14&lt;&gt;"",RIGHT($N14,6)="tarief"),SUM(O14)*FLOOR(SUM(Q14),0.01),S14&gt;0,IF(F14&lt;&gt;"",FLOOR(SUM(S14),0.01),"")),""),""),"")</f>
        <v/>
      </c>
      <c r="X14" s="314" t="str" cm="1">
        <f t="array" aca="1" ref="X14" ca="1">IFERROR(IF(AE14&lt;&gt;"ja",_xlfn.IFNA(_xlfn.IFS(AND(P14&lt;&gt;"",R14&lt;&gt;"",RIGHT($N14,6)="tarief",F14="Vergoeding"),SUM(P14)*FLOOR(SUM(R14),0.0001),AND(P14&lt;&gt;"",R14&lt;&gt;"",RIGHT($N14,6)="tarief"),P14*FLOOR(R14,0.01),T14&gt;0,FLOOR(SUM(T14),0.01)),""),""),"")</f>
        <v/>
      </c>
      <c r="Y14" s="314" t="str">
        <f t="shared" ca="1" si="2"/>
        <v/>
      </c>
      <c r="Z14" s="314" t="str" cm="1">
        <f t="array" aca="1" ref="Z14" ca="1">IFERROR(_xlfn.IFS(OR(F14="",LEFT(Methode_Keuze,4)="Geen",Methode_Keuze=""),"",AND(W14&lt;&gt;"",F14&lt;&gt;"Arbeidskosten"),W14*VLOOKUP(F14,Tb_ProjectKosten[],MATCH(Tb_ProjectKosten[[#Headers],[Forfait_Percentage]],Tb_ProjectKosten[#Headers],0),0),AND(F14="Arbeidskosten",G14&lt;&gt;""),IFERROR(W14*VLOOKUP(G14,Tb_KostenTypen[],3,0)*VLOOKUP(F14,Tb_ProjectKosten[],MATCH(Tb_ProjectKosten[[#Headers],[Forfait_Percentage]],Tb_ProjectKosten[#Headers],0),0),""),W14 &lt;=0,0),"")</f>
        <v/>
      </c>
      <c r="AA14" s="314" t="str" cm="1">
        <f t="array" aca="1" ref="AA14" ca="1">IFERROR(_xlfn.IFS(OR(F14="",LEFT(Methode_Keuze,4)="Geen",Methode_Keuze=""),"",AND(X14&lt;&gt;"",F14&lt;&gt;"Arbeidskosten"),X14*VLOOKUP(F14,Tb_ProjectKosten[],MATCH(Tb_ProjectKosten[[#Headers],[Forfait_Percentage]],Tb_ProjectKosten[#Headers],0),0),AND(F14="Arbeidskosten",G14&lt;&gt;""),IFERROR(X14*VLOOKUP(G14,Tb_KostenTypen[],3,0)*VLOOKUP(F14,Tb_ProjectKosten[],MATCH(Tb_ProjectKosten[[#Headers],[Forfait_Percentage]],Tb_ProjectKosten[#Headers],0),0),""),X14 &lt;=0,0),"")</f>
        <v/>
      </c>
      <c r="AB14" s="314" t="str">
        <f t="shared" ca="1" si="3"/>
        <v/>
      </c>
      <c r="AC14" s="322"/>
      <c r="AD14" s="315"/>
      <c r="AE14" s="32" t="str" cm="1">
        <f t="array" ref="AE14">IFERROR(IF(INDEX(SubsidieTabel!$AD$1:$AG$12,MATCH($F14,SubsidieTabel!$AD$1:$AD$12,0),IFERROR(MATCH(Methode_Keuze,SubsidieTabel!$AD$1:$AG$1,0),2))&lt;&gt;1=TRUE,"ja",""),"")</f>
        <v/>
      </c>
    </row>
    <row r="15" spans="1:31" x14ac:dyDescent="0.25">
      <c r="A15" s="316"/>
      <c r="B15" s="317" t="str">
        <f>IF(A15&lt;&gt;"",_xlfn.MAXIFS($B$1:B14,$A$1:A14,A15)+1,"")</f>
        <v/>
      </c>
      <c r="C15" s="296"/>
      <c r="D15" s="296"/>
      <c r="E15" s="296"/>
      <c r="F15" s="296"/>
      <c r="G15" s="326"/>
      <c r="H15" s="324"/>
      <c r="I15" s="325"/>
      <c r="J15" s="325"/>
      <c r="K15" s="318"/>
      <c r="L15" s="318"/>
      <c r="M15" s="319" t="str">
        <f>IFERROR(VLOOKUP(H15,Lijsten!$H$1:$I$100,2,0),"")</f>
        <v/>
      </c>
      <c r="N15" s="319" t="str">
        <f ca="1">IFERROR(IF(VLOOKUP(F15,Kostentypen!$A$3:$E$21,3,0)=0,"",IF(OR(F15="Arbeidskosten",F15="Vergoeding"),VLOOKUP(G15,Tb_KostenTypen[],2,0),VLOOKUP(F15,Kostentypen!$A$3:$E$20,3,0))),"")</f>
        <v/>
      </c>
      <c r="O15" s="320" t="str" cm="1">
        <f t="array" ref="O15">_xlfn.IFNA(IF(INDEX(Tb_KostenOptiesDB[],MATCH($F15,Tb_KostenOptiesDB[KostenOptie],0),IFERROR(MATCH(Methode_Keuze,Tb_KostenOptiesDB[#Headers],0),2))=1,_xlfn.SWITCH($N15,"Uurtarief",IF(OR(AND(RIGHT($F15,3)="IKS",VLOOKUP($M15,DB_Loonkosten,2,0)="Ja"),AND(RIGHT($F15,3)&lt;&gt;"IKS",VLOOKUP($M15,DB_Loonkosten,2,0)="Nee")),IFERROR(VLOOKUP($M15,DB_Loonkosten,24,0),""),0),"Vast tarief",IF(LEFT(F15,8)="Bijdrage",VLOOKUP($F15,Tb_KostenTypen[],MATCH(Lijsten!$P$1,Tb_KostenTypen[#Headers],0),0),VLOOKUP($G15,Lijsten!L:P,MATCH(Lijsten!$P$1,Kop_Tarief_Vast,0),0))),""),"")</f>
        <v/>
      </c>
      <c r="P15" s="320" t="str" cm="1">
        <f t="array" ref="P15">_xlfn.IFNA(IF(INDEX(Tb_KostenOptiesDB[],MATCH($F15,Tb_KostenOptiesDB[KostenOptie],0),IFERROR(MATCH(Methode_Keuze,Tb_KostenOptiesDB[#Headers],0),2))=1,_xlfn.SWITCH($N15,"Uurtarief",IF(OR(AND(RIGHT($F15,3)="IKS",VLOOKUP($M15,DB_Loonkosten,2,0)="Ja"),AND(RIGHT($F15,3)&lt;&gt;"IKS",VLOOKUP($M15,DB_Loonkosten,2,0)="Nee")),IFERROR(VLOOKUP($M15,DB_Loonkosten,25,0),""),0),"Vast tarief",IF(LEFT(F15,8)="Bijdrage",VLOOKUP($F15,Tb_KostenTypen[],MATCH(Lijsten!$P$1,Tb_KostenTypen[#Headers],0),0),VLOOKUP($G15,Lijsten!L:P,MATCH(Lijsten!$P$1,Kop_Tarief_Vast,0),0))),""),"")</f>
        <v/>
      </c>
      <c r="Q15" s="359"/>
      <c r="R15" s="359"/>
      <c r="S15" s="321"/>
      <c r="T15" s="321"/>
      <c r="U15" s="373" t="str">
        <f t="shared" si="0"/>
        <v/>
      </c>
      <c r="V15" s="314" t="str">
        <f t="shared" si="1"/>
        <v/>
      </c>
      <c r="W15" s="314" t="str" cm="1">
        <f t="array" aca="1" ref="W15" ca="1">IFERROR(IF(AE15&lt;&gt;"ja",_xlfn.IFNA(_xlfn.IFS(AND(O15&lt;&gt;"",F15&lt;&gt;"",RIGHT($N15,6)="tarief",F15="Vergoeding"),SUM(O15)*FLOOR(SUM(Q15),0.0001),AND(O15&lt;&gt;"",F15&lt;&gt;"",RIGHT($N15,6)="tarief"),SUM(O15)*FLOOR(SUM(Q15),0.01),S15&gt;0,IF(F15&lt;&gt;"",FLOOR(SUM(S15),0.01),"")),""),""),"")</f>
        <v/>
      </c>
      <c r="X15" s="314" t="str" cm="1">
        <f t="array" aca="1" ref="X15" ca="1">IFERROR(IF(AE15&lt;&gt;"ja",_xlfn.IFNA(_xlfn.IFS(AND(P15&lt;&gt;"",R15&lt;&gt;"",RIGHT($N15,6)="tarief",F15="Vergoeding"),SUM(P15)*FLOOR(SUM(R15),0.0001),AND(P15&lt;&gt;"",R15&lt;&gt;"",RIGHT($N15,6)="tarief"),P15*FLOOR(R15,0.01),T15&gt;0,FLOOR(SUM(T15),0.01)),""),""),"")</f>
        <v/>
      </c>
      <c r="Y15" s="314" t="str">
        <f t="shared" ca="1" si="2"/>
        <v/>
      </c>
      <c r="Z15" s="314" t="str" cm="1">
        <f t="array" aca="1" ref="Z15" ca="1">IFERROR(_xlfn.IFS(OR(F15="",LEFT(Methode_Keuze,4)="Geen",Methode_Keuze=""),"",AND(W15&lt;&gt;"",F15&lt;&gt;"Arbeidskosten"),W15*VLOOKUP(F15,Tb_ProjectKosten[],MATCH(Tb_ProjectKosten[[#Headers],[Forfait_Percentage]],Tb_ProjectKosten[#Headers],0),0),AND(F15="Arbeidskosten",G15&lt;&gt;""),IFERROR(W15*VLOOKUP(G15,Tb_KostenTypen[],3,0)*VLOOKUP(F15,Tb_ProjectKosten[],MATCH(Tb_ProjectKosten[[#Headers],[Forfait_Percentage]],Tb_ProjectKosten[#Headers],0),0),""),W15 &lt;=0,0),"")</f>
        <v/>
      </c>
      <c r="AA15" s="314" t="str" cm="1">
        <f t="array" aca="1" ref="AA15" ca="1">IFERROR(_xlfn.IFS(OR(F15="",LEFT(Methode_Keuze,4)="Geen",Methode_Keuze=""),"",AND(X15&lt;&gt;"",F15&lt;&gt;"Arbeidskosten"),X15*VLOOKUP(F15,Tb_ProjectKosten[],MATCH(Tb_ProjectKosten[[#Headers],[Forfait_Percentage]],Tb_ProjectKosten[#Headers],0),0),AND(F15="Arbeidskosten",G15&lt;&gt;""),IFERROR(X15*VLOOKUP(G15,Tb_KostenTypen[],3,0)*VLOOKUP(F15,Tb_ProjectKosten[],MATCH(Tb_ProjectKosten[[#Headers],[Forfait_Percentage]],Tb_ProjectKosten[#Headers],0),0),""),X15 &lt;=0,0),"")</f>
        <v/>
      </c>
      <c r="AB15" s="314" t="str">
        <f t="shared" ca="1" si="3"/>
        <v/>
      </c>
      <c r="AC15" s="322"/>
      <c r="AD15" s="315"/>
      <c r="AE15" s="32" t="str" cm="1">
        <f t="array" ref="AE15">IFERROR(IF(INDEX(SubsidieTabel!$AD$1:$AG$12,MATCH($F15,SubsidieTabel!$AD$1:$AD$12,0),IFERROR(MATCH(Methode_Keuze,SubsidieTabel!$AD$1:$AG$1,0),2))&lt;&gt;1=TRUE,"ja",""),"")</f>
        <v/>
      </c>
    </row>
    <row r="16" spans="1:31" x14ac:dyDescent="0.25">
      <c r="A16" s="316"/>
      <c r="B16" s="317" t="str">
        <f>IF(A16&lt;&gt;"",_xlfn.MAXIFS($B$1:B15,$A$1:A15,A16)+1,"")</f>
        <v/>
      </c>
      <c r="C16" s="296"/>
      <c r="D16" s="296"/>
      <c r="E16" s="296"/>
      <c r="F16" s="296"/>
      <c r="G16" s="326"/>
      <c r="H16" s="324"/>
      <c r="I16" s="325"/>
      <c r="J16" s="325"/>
      <c r="K16" s="318"/>
      <c r="L16" s="318"/>
      <c r="M16" s="319" t="str">
        <f>IFERROR(VLOOKUP(H16,Lijsten!$H$1:$I$100,2,0),"")</f>
        <v/>
      </c>
      <c r="N16" s="319" t="str">
        <f ca="1">IFERROR(IF(VLOOKUP(F16,Kostentypen!$A$3:$E$21,3,0)=0,"",IF(OR(F16="Arbeidskosten",F16="Vergoeding"),VLOOKUP(G16,Tb_KostenTypen[],2,0),VLOOKUP(F16,Kostentypen!$A$3:$E$20,3,0))),"")</f>
        <v/>
      </c>
      <c r="O16" s="320" t="str" cm="1">
        <f t="array" ref="O16">_xlfn.IFNA(IF(INDEX(Tb_KostenOptiesDB[],MATCH($F16,Tb_KostenOptiesDB[KostenOptie],0),IFERROR(MATCH(Methode_Keuze,Tb_KostenOptiesDB[#Headers],0),2))=1,_xlfn.SWITCH($N16,"Uurtarief",IF(OR(AND(RIGHT($F16,3)="IKS",VLOOKUP($M16,DB_Loonkosten,2,0)="Ja"),AND(RIGHT($F16,3)&lt;&gt;"IKS",VLOOKUP($M16,DB_Loonkosten,2,0)="Nee")),IFERROR(VLOOKUP($M16,DB_Loonkosten,24,0),""),0),"Vast tarief",IF(LEFT(F16,8)="Bijdrage",VLOOKUP($F16,Tb_KostenTypen[],MATCH(Lijsten!$P$1,Tb_KostenTypen[#Headers],0),0),VLOOKUP($G16,Lijsten!L:P,MATCH(Lijsten!$P$1,Kop_Tarief_Vast,0),0))),""),"")</f>
        <v/>
      </c>
      <c r="P16" s="320" t="str" cm="1">
        <f t="array" ref="P16">_xlfn.IFNA(IF(INDEX(Tb_KostenOptiesDB[],MATCH($F16,Tb_KostenOptiesDB[KostenOptie],0),IFERROR(MATCH(Methode_Keuze,Tb_KostenOptiesDB[#Headers],0),2))=1,_xlfn.SWITCH($N16,"Uurtarief",IF(OR(AND(RIGHT($F16,3)="IKS",VLOOKUP($M16,DB_Loonkosten,2,0)="Ja"),AND(RIGHT($F16,3)&lt;&gt;"IKS",VLOOKUP($M16,DB_Loonkosten,2,0)="Nee")),IFERROR(VLOOKUP($M16,DB_Loonkosten,25,0),""),0),"Vast tarief",IF(LEFT(F16,8)="Bijdrage",VLOOKUP($F16,Tb_KostenTypen[],MATCH(Lijsten!$P$1,Tb_KostenTypen[#Headers],0),0),VLOOKUP($G16,Lijsten!L:P,MATCH(Lijsten!$P$1,Kop_Tarief_Vast,0),0))),""),"")</f>
        <v/>
      </c>
      <c r="Q16" s="359"/>
      <c r="R16" s="359"/>
      <c r="S16" s="321"/>
      <c r="T16" s="321"/>
      <c r="U16" s="373" t="str">
        <f t="shared" si="0"/>
        <v/>
      </c>
      <c r="V16" s="314" t="str">
        <f t="shared" si="1"/>
        <v/>
      </c>
      <c r="W16" s="314" t="str" cm="1">
        <f t="array" aca="1" ref="W16" ca="1">IFERROR(IF(AE16&lt;&gt;"ja",_xlfn.IFNA(_xlfn.IFS(AND(O16&lt;&gt;"",F16&lt;&gt;"",RIGHT($N16,6)="tarief",F16="Vergoeding"),SUM(O16)*FLOOR(SUM(Q16),0.0001),AND(O16&lt;&gt;"",F16&lt;&gt;"",RIGHT($N16,6)="tarief"),SUM(O16)*FLOOR(SUM(Q16),0.01),S16&gt;0,IF(F16&lt;&gt;"",FLOOR(SUM(S16),0.01),"")),""),""),"")</f>
        <v/>
      </c>
      <c r="X16" s="314" t="str" cm="1">
        <f t="array" aca="1" ref="X16" ca="1">IFERROR(IF(AE16&lt;&gt;"ja",_xlfn.IFNA(_xlfn.IFS(AND(P16&lt;&gt;"",R16&lt;&gt;"",RIGHT($N16,6)="tarief",F16="Vergoeding"),SUM(P16)*FLOOR(SUM(R16),0.0001),AND(P16&lt;&gt;"",R16&lt;&gt;"",RIGHT($N16,6)="tarief"),P16*FLOOR(R16,0.01),T16&gt;0,FLOOR(SUM(T16),0.01)),""),""),"")</f>
        <v/>
      </c>
      <c r="Y16" s="314" t="str">
        <f t="shared" ca="1" si="2"/>
        <v/>
      </c>
      <c r="Z16" s="314" t="str" cm="1">
        <f t="array" aca="1" ref="Z16" ca="1">IFERROR(_xlfn.IFS(OR(F16="",LEFT(Methode_Keuze,4)="Geen",Methode_Keuze=""),"",AND(W16&lt;&gt;"",F16&lt;&gt;"Arbeidskosten"),W16*VLOOKUP(F16,Tb_ProjectKosten[],MATCH(Tb_ProjectKosten[[#Headers],[Forfait_Percentage]],Tb_ProjectKosten[#Headers],0),0),AND(F16="Arbeidskosten",G16&lt;&gt;""),IFERROR(W16*VLOOKUP(G16,Tb_KostenTypen[],3,0)*VLOOKUP(F16,Tb_ProjectKosten[],MATCH(Tb_ProjectKosten[[#Headers],[Forfait_Percentage]],Tb_ProjectKosten[#Headers],0),0),""),W16 &lt;=0,0),"")</f>
        <v/>
      </c>
      <c r="AA16" s="314" t="str" cm="1">
        <f t="array" aca="1" ref="AA16" ca="1">IFERROR(_xlfn.IFS(OR(F16="",LEFT(Methode_Keuze,4)="Geen",Methode_Keuze=""),"",AND(X16&lt;&gt;"",F16&lt;&gt;"Arbeidskosten"),X16*VLOOKUP(F16,Tb_ProjectKosten[],MATCH(Tb_ProjectKosten[[#Headers],[Forfait_Percentage]],Tb_ProjectKosten[#Headers],0),0),AND(F16="Arbeidskosten",G16&lt;&gt;""),IFERROR(X16*VLOOKUP(G16,Tb_KostenTypen[],3,0)*VLOOKUP(F16,Tb_ProjectKosten[],MATCH(Tb_ProjectKosten[[#Headers],[Forfait_Percentage]],Tb_ProjectKosten[#Headers],0),0),""),X16 &lt;=0,0),"")</f>
        <v/>
      </c>
      <c r="AB16" s="314" t="str">
        <f t="shared" ca="1" si="3"/>
        <v/>
      </c>
      <c r="AC16" s="322"/>
      <c r="AD16" s="315"/>
      <c r="AE16" s="32" t="str" cm="1">
        <f t="array" ref="AE16">IFERROR(IF(INDEX(SubsidieTabel!$AD$1:$AG$12,MATCH($F16,SubsidieTabel!$AD$1:$AD$12,0),IFERROR(MATCH(Methode_Keuze,SubsidieTabel!$AD$1:$AG$1,0),2))&lt;&gt;1=TRUE,"ja",""),"")</f>
        <v/>
      </c>
    </row>
    <row r="17" spans="1:31" x14ac:dyDescent="0.25">
      <c r="A17" s="316"/>
      <c r="B17" s="317" t="str">
        <f>IF(A17&lt;&gt;"",_xlfn.MAXIFS($B$1:B16,$A$1:A16,A17)+1,"")</f>
        <v/>
      </c>
      <c r="C17" s="296"/>
      <c r="D17" s="296"/>
      <c r="E17" s="296"/>
      <c r="F17" s="296"/>
      <c r="G17" s="326"/>
      <c r="H17" s="324"/>
      <c r="I17" s="325"/>
      <c r="J17" s="325"/>
      <c r="K17" s="318"/>
      <c r="L17" s="318"/>
      <c r="M17" s="319" t="str">
        <f>IFERROR(VLOOKUP(H17,Lijsten!$H$1:$I$100,2,0),"")</f>
        <v/>
      </c>
      <c r="N17" s="319" t="str">
        <f ca="1">IFERROR(IF(VLOOKUP(F17,Kostentypen!$A$3:$E$21,3,0)=0,"",IF(OR(F17="Arbeidskosten",F17="Vergoeding"),VLOOKUP(G17,Tb_KostenTypen[],2,0),VLOOKUP(F17,Kostentypen!$A$3:$E$20,3,0))),"")</f>
        <v/>
      </c>
      <c r="O17" s="320" t="str" cm="1">
        <f t="array" ref="O17">_xlfn.IFNA(IF(INDEX(Tb_KostenOptiesDB[],MATCH($F17,Tb_KostenOptiesDB[KostenOptie],0),IFERROR(MATCH(Methode_Keuze,Tb_KostenOptiesDB[#Headers],0),2))=1,_xlfn.SWITCH($N17,"Uurtarief",IF(OR(AND(RIGHT($F17,3)="IKS",VLOOKUP($M17,DB_Loonkosten,2,0)="Ja"),AND(RIGHT($F17,3)&lt;&gt;"IKS",VLOOKUP($M17,DB_Loonkosten,2,0)="Nee")),IFERROR(VLOOKUP($M17,DB_Loonkosten,24,0),""),0),"Vast tarief",IF(LEFT(F17,8)="Bijdrage",VLOOKUP($F17,Tb_KostenTypen[],MATCH(Lijsten!$P$1,Tb_KostenTypen[#Headers],0),0),VLOOKUP($G17,Lijsten!L:P,MATCH(Lijsten!$P$1,Kop_Tarief_Vast,0),0))),""),"")</f>
        <v/>
      </c>
      <c r="P17" s="320" t="str" cm="1">
        <f t="array" ref="P17">_xlfn.IFNA(IF(INDEX(Tb_KostenOptiesDB[],MATCH($F17,Tb_KostenOptiesDB[KostenOptie],0),IFERROR(MATCH(Methode_Keuze,Tb_KostenOptiesDB[#Headers],0),2))=1,_xlfn.SWITCH($N17,"Uurtarief",IF(OR(AND(RIGHT($F17,3)="IKS",VLOOKUP($M17,DB_Loonkosten,2,0)="Ja"),AND(RIGHT($F17,3)&lt;&gt;"IKS",VLOOKUP($M17,DB_Loonkosten,2,0)="Nee")),IFERROR(VLOOKUP($M17,DB_Loonkosten,25,0),""),0),"Vast tarief",IF(LEFT(F17,8)="Bijdrage",VLOOKUP($F17,Tb_KostenTypen[],MATCH(Lijsten!$P$1,Tb_KostenTypen[#Headers],0),0),VLOOKUP($G17,Lijsten!L:P,MATCH(Lijsten!$P$1,Kop_Tarief_Vast,0),0))),""),"")</f>
        <v/>
      </c>
      <c r="Q17" s="359"/>
      <c r="R17" s="359"/>
      <c r="S17" s="321"/>
      <c r="T17" s="321"/>
      <c r="U17" s="373" t="str">
        <f t="shared" si="0"/>
        <v/>
      </c>
      <c r="V17" s="314" t="str">
        <f t="shared" si="1"/>
        <v/>
      </c>
      <c r="W17" s="314" t="str" cm="1">
        <f t="array" aca="1" ref="W17" ca="1">IFERROR(IF(AE17&lt;&gt;"ja",_xlfn.IFNA(_xlfn.IFS(AND(O17&lt;&gt;"",F17&lt;&gt;"",RIGHT($N17,6)="tarief",F17="Vergoeding"),SUM(O17)*FLOOR(SUM(Q17),0.0001),AND(O17&lt;&gt;"",F17&lt;&gt;"",RIGHT($N17,6)="tarief"),SUM(O17)*FLOOR(SUM(Q17),0.01),S17&gt;0,IF(F17&lt;&gt;"",FLOOR(SUM(S17),0.01),"")),""),""),"")</f>
        <v/>
      </c>
      <c r="X17" s="314" t="str" cm="1">
        <f t="array" aca="1" ref="X17" ca="1">IFERROR(IF(AE17&lt;&gt;"ja",_xlfn.IFNA(_xlfn.IFS(AND(P17&lt;&gt;"",R17&lt;&gt;"",RIGHT($N17,6)="tarief",F17="Vergoeding"),SUM(P17)*FLOOR(SUM(R17),0.0001),AND(P17&lt;&gt;"",R17&lt;&gt;"",RIGHT($N17,6)="tarief"),P17*FLOOR(R17,0.01),T17&gt;0,FLOOR(SUM(T17),0.01)),""),""),"")</f>
        <v/>
      </c>
      <c r="Y17" s="314" t="str">
        <f t="shared" ca="1" si="2"/>
        <v/>
      </c>
      <c r="Z17" s="314" t="str" cm="1">
        <f t="array" aca="1" ref="Z17" ca="1">IFERROR(_xlfn.IFS(OR(F17="",LEFT(Methode_Keuze,4)="Geen",Methode_Keuze=""),"",AND(W17&lt;&gt;"",F17&lt;&gt;"Arbeidskosten"),W17*VLOOKUP(F17,Tb_ProjectKosten[],MATCH(Tb_ProjectKosten[[#Headers],[Forfait_Percentage]],Tb_ProjectKosten[#Headers],0),0),AND(F17="Arbeidskosten",G17&lt;&gt;""),IFERROR(W17*VLOOKUP(G17,Tb_KostenTypen[],3,0)*VLOOKUP(F17,Tb_ProjectKosten[],MATCH(Tb_ProjectKosten[[#Headers],[Forfait_Percentage]],Tb_ProjectKosten[#Headers],0),0),""),W17 &lt;=0,0),"")</f>
        <v/>
      </c>
      <c r="AA17" s="314" t="str" cm="1">
        <f t="array" aca="1" ref="AA17" ca="1">IFERROR(_xlfn.IFS(OR(F17="",LEFT(Methode_Keuze,4)="Geen",Methode_Keuze=""),"",AND(X17&lt;&gt;"",F17&lt;&gt;"Arbeidskosten"),X17*VLOOKUP(F17,Tb_ProjectKosten[],MATCH(Tb_ProjectKosten[[#Headers],[Forfait_Percentage]],Tb_ProjectKosten[#Headers],0),0),AND(F17="Arbeidskosten",G17&lt;&gt;""),IFERROR(X17*VLOOKUP(G17,Tb_KostenTypen[],3,0)*VLOOKUP(F17,Tb_ProjectKosten[],MATCH(Tb_ProjectKosten[[#Headers],[Forfait_Percentage]],Tb_ProjectKosten[#Headers],0),0),""),X17 &lt;=0,0),"")</f>
        <v/>
      </c>
      <c r="AB17" s="314" t="str">
        <f t="shared" ca="1" si="3"/>
        <v/>
      </c>
      <c r="AC17" s="322"/>
      <c r="AD17" s="315"/>
      <c r="AE17" s="32" t="str" cm="1">
        <f t="array" ref="AE17">IFERROR(IF(INDEX(SubsidieTabel!$AD$1:$AG$12,MATCH($F17,SubsidieTabel!$AD$1:$AD$12,0),IFERROR(MATCH(Methode_Keuze,SubsidieTabel!$AD$1:$AG$1,0),2))&lt;&gt;1=TRUE,"ja",""),"")</f>
        <v/>
      </c>
    </row>
    <row r="18" spans="1:31" x14ac:dyDescent="0.25">
      <c r="A18" s="316"/>
      <c r="B18" s="317" t="str">
        <f>IF(A18&lt;&gt;"",_xlfn.MAXIFS($B$1:B17,$A$1:A17,A18)+1,"")</f>
        <v/>
      </c>
      <c r="C18" s="296"/>
      <c r="D18" s="296"/>
      <c r="E18" s="296"/>
      <c r="F18" s="296"/>
      <c r="G18" s="326"/>
      <c r="H18" s="324"/>
      <c r="I18" s="325"/>
      <c r="J18" s="325"/>
      <c r="K18" s="318"/>
      <c r="L18" s="318"/>
      <c r="M18" s="319" t="str">
        <f>IFERROR(VLOOKUP(H18,Lijsten!$H$1:$I$100,2,0),"")</f>
        <v/>
      </c>
      <c r="N18" s="319" t="str">
        <f ca="1">IFERROR(IF(VLOOKUP(F18,Kostentypen!$A$3:$E$21,3,0)=0,"",IF(OR(F18="Arbeidskosten",F18="Vergoeding"),VLOOKUP(G18,Tb_KostenTypen[],2,0),VLOOKUP(F18,Kostentypen!$A$3:$E$20,3,0))),"")</f>
        <v/>
      </c>
      <c r="O18" s="320" t="str" cm="1">
        <f t="array" ref="O18">_xlfn.IFNA(IF(INDEX(Tb_KostenOptiesDB[],MATCH($F18,Tb_KostenOptiesDB[KostenOptie],0),IFERROR(MATCH(Methode_Keuze,Tb_KostenOptiesDB[#Headers],0),2))=1,_xlfn.SWITCH($N18,"Uurtarief",IF(OR(AND(RIGHT($F18,3)="IKS",VLOOKUP($M18,DB_Loonkosten,2,0)="Ja"),AND(RIGHT($F18,3)&lt;&gt;"IKS",VLOOKUP($M18,DB_Loonkosten,2,0)="Nee")),IFERROR(VLOOKUP($M18,DB_Loonkosten,24,0),""),0),"Vast tarief",IF(LEFT(F18,8)="Bijdrage",VLOOKUP($F18,Tb_KostenTypen[],MATCH(Lijsten!$P$1,Tb_KostenTypen[#Headers],0),0),VLOOKUP($G18,Lijsten!L:P,MATCH(Lijsten!$P$1,Kop_Tarief_Vast,0),0))),""),"")</f>
        <v/>
      </c>
      <c r="P18" s="320" t="str" cm="1">
        <f t="array" ref="P18">_xlfn.IFNA(IF(INDEX(Tb_KostenOptiesDB[],MATCH($F18,Tb_KostenOptiesDB[KostenOptie],0),IFERROR(MATCH(Methode_Keuze,Tb_KostenOptiesDB[#Headers],0),2))=1,_xlfn.SWITCH($N18,"Uurtarief",IF(OR(AND(RIGHT($F18,3)="IKS",VLOOKUP($M18,DB_Loonkosten,2,0)="Ja"),AND(RIGHT($F18,3)&lt;&gt;"IKS",VLOOKUP($M18,DB_Loonkosten,2,0)="Nee")),IFERROR(VLOOKUP($M18,DB_Loonkosten,25,0),""),0),"Vast tarief",IF(LEFT(F18,8)="Bijdrage",VLOOKUP($F18,Tb_KostenTypen[],MATCH(Lijsten!$P$1,Tb_KostenTypen[#Headers],0),0),VLOOKUP($G18,Lijsten!L:P,MATCH(Lijsten!$P$1,Kop_Tarief_Vast,0),0))),""),"")</f>
        <v/>
      </c>
      <c r="Q18" s="359"/>
      <c r="R18" s="359"/>
      <c r="S18" s="321"/>
      <c r="T18" s="321"/>
      <c r="U18" s="373" t="str">
        <f t="shared" si="0"/>
        <v/>
      </c>
      <c r="V18" s="314" t="str">
        <f t="shared" si="1"/>
        <v/>
      </c>
      <c r="W18" s="314" t="str" cm="1">
        <f t="array" aca="1" ref="W18" ca="1">IFERROR(IF(AE18&lt;&gt;"ja",_xlfn.IFNA(_xlfn.IFS(AND(O18&lt;&gt;"",F18&lt;&gt;"",RIGHT($N18,6)="tarief",F18="Vergoeding"),SUM(O18)*FLOOR(SUM(Q18),0.0001),AND(O18&lt;&gt;"",F18&lt;&gt;"",RIGHT($N18,6)="tarief"),SUM(O18)*FLOOR(SUM(Q18),0.01),S18&gt;0,IF(F18&lt;&gt;"",FLOOR(SUM(S18),0.01),"")),""),""),"")</f>
        <v/>
      </c>
      <c r="X18" s="314" t="str" cm="1">
        <f t="array" aca="1" ref="X18" ca="1">IFERROR(IF(AE18&lt;&gt;"ja",_xlfn.IFNA(_xlfn.IFS(AND(P18&lt;&gt;"",R18&lt;&gt;"",RIGHT($N18,6)="tarief",F18="Vergoeding"),SUM(P18)*FLOOR(SUM(R18),0.0001),AND(P18&lt;&gt;"",R18&lt;&gt;"",RIGHT($N18,6)="tarief"),P18*FLOOR(R18,0.01),T18&gt;0,FLOOR(SUM(T18),0.01)),""),""),"")</f>
        <v/>
      </c>
      <c r="Y18" s="314" t="str">
        <f t="shared" ca="1" si="2"/>
        <v/>
      </c>
      <c r="Z18" s="314" t="str" cm="1">
        <f t="array" aca="1" ref="Z18" ca="1">IFERROR(_xlfn.IFS(OR(F18="",LEFT(Methode_Keuze,4)="Geen",Methode_Keuze=""),"",AND(W18&lt;&gt;"",F18&lt;&gt;"Arbeidskosten"),W18*VLOOKUP(F18,Tb_ProjectKosten[],MATCH(Tb_ProjectKosten[[#Headers],[Forfait_Percentage]],Tb_ProjectKosten[#Headers],0),0),AND(F18="Arbeidskosten",G18&lt;&gt;""),IFERROR(W18*VLOOKUP(G18,Tb_KostenTypen[],3,0)*VLOOKUP(F18,Tb_ProjectKosten[],MATCH(Tb_ProjectKosten[[#Headers],[Forfait_Percentage]],Tb_ProjectKosten[#Headers],0),0),""),W18 &lt;=0,0),"")</f>
        <v/>
      </c>
      <c r="AA18" s="314" t="str" cm="1">
        <f t="array" aca="1" ref="AA18" ca="1">IFERROR(_xlfn.IFS(OR(F18="",LEFT(Methode_Keuze,4)="Geen",Methode_Keuze=""),"",AND(X18&lt;&gt;"",F18&lt;&gt;"Arbeidskosten"),X18*VLOOKUP(F18,Tb_ProjectKosten[],MATCH(Tb_ProjectKosten[[#Headers],[Forfait_Percentage]],Tb_ProjectKosten[#Headers],0),0),AND(F18="Arbeidskosten",G18&lt;&gt;""),IFERROR(X18*VLOOKUP(G18,Tb_KostenTypen[],3,0)*VLOOKUP(F18,Tb_ProjectKosten[],MATCH(Tb_ProjectKosten[[#Headers],[Forfait_Percentage]],Tb_ProjectKosten[#Headers],0),0),""),X18 &lt;=0,0),"")</f>
        <v/>
      </c>
      <c r="AB18" s="314" t="str">
        <f t="shared" ca="1" si="3"/>
        <v/>
      </c>
      <c r="AC18" s="322"/>
      <c r="AD18" s="315"/>
      <c r="AE18" s="32" t="str" cm="1">
        <f t="array" ref="AE18">IFERROR(IF(INDEX(SubsidieTabel!$AD$1:$AG$12,MATCH($F18,SubsidieTabel!$AD$1:$AD$12,0),IFERROR(MATCH(Methode_Keuze,SubsidieTabel!$AD$1:$AG$1,0),2))&lt;&gt;1=TRUE,"ja",""),"")</f>
        <v/>
      </c>
    </row>
    <row r="19" spans="1:31" x14ac:dyDescent="0.25">
      <c r="A19" s="316"/>
      <c r="B19" s="317" t="str">
        <f>IF(A19&lt;&gt;"",_xlfn.MAXIFS($B$1:B18,$A$1:A18,A19)+1,"")</f>
        <v/>
      </c>
      <c r="C19" s="296"/>
      <c r="D19" s="296"/>
      <c r="E19" s="296"/>
      <c r="F19" s="296"/>
      <c r="G19" s="326"/>
      <c r="H19" s="324"/>
      <c r="I19" s="325"/>
      <c r="J19" s="325"/>
      <c r="K19" s="318"/>
      <c r="L19" s="318"/>
      <c r="M19" s="319" t="str">
        <f>IFERROR(VLOOKUP(H19,Lijsten!$H$1:$I$100,2,0),"")</f>
        <v/>
      </c>
      <c r="N19" s="319" t="str">
        <f ca="1">IFERROR(IF(VLOOKUP(F19,Kostentypen!$A$3:$E$21,3,0)=0,"",IF(OR(F19="Arbeidskosten",F19="Vergoeding"),VLOOKUP(G19,Tb_KostenTypen[],2,0),VLOOKUP(F19,Kostentypen!$A$3:$E$20,3,0))),"")</f>
        <v/>
      </c>
      <c r="O19" s="320" t="str" cm="1">
        <f t="array" ref="O19">_xlfn.IFNA(IF(INDEX(Tb_KostenOptiesDB[],MATCH($F19,Tb_KostenOptiesDB[KostenOptie],0),IFERROR(MATCH(Methode_Keuze,Tb_KostenOptiesDB[#Headers],0),2))=1,_xlfn.SWITCH($N19,"Uurtarief",IF(OR(AND(RIGHT($F19,3)="IKS",VLOOKUP($M19,DB_Loonkosten,2,0)="Ja"),AND(RIGHT($F19,3)&lt;&gt;"IKS",VLOOKUP($M19,DB_Loonkosten,2,0)="Nee")),IFERROR(VLOOKUP($M19,DB_Loonkosten,24,0),""),0),"Vast tarief",IF(LEFT(F19,8)="Bijdrage",VLOOKUP($F19,Tb_KostenTypen[],MATCH(Lijsten!$P$1,Tb_KostenTypen[#Headers],0),0),VLOOKUP($G19,Lijsten!L:P,MATCH(Lijsten!$P$1,Kop_Tarief_Vast,0),0))),""),"")</f>
        <v/>
      </c>
      <c r="P19" s="320" t="str" cm="1">
        <f t="array" ref="P19">_xlfn.IFNA(IF(INDEX(Tb_KostenOptiesDB[],MATCH($F19,Tb_KostenOptiesDB[KostenOptie],0),IFERROR(MATCH(Methode_Keuze,Tb_KostenOptiesDB[#Headers],0),2))=1,_xlfn.SWITCH($N19,"Uurtarief",IF(OR(AND(RIGHT($F19,3)="IKS",VLOOKUP($M19,DB_Loonkosten,2,0)="Ja"),AND(RIGHT($F19,3)&lt;&gt;"IKS",VLOOKUP($M19,DB_Loonkosten,2,0)="Nee")),IFERROR(VLOOKUP($M19,DB_Loonkosten,25,0),""),0),"Vast tarief",IF(LEFT(F19,8)="Bijdrage",VLOOKUP($F19,Tb_KostenTypen[],MATCH(Lijsten!$P$1,Tb_KostenTypen[#Headers],0),0),VLOOKUP($G19,Lijsten!L:P,MATCH(Lijsten!$P$1,Kop_Tarief_Vast,0),0))),""),"")</f>
        <v/>
      </c>
      <c r="Q19" s="359"/>
      <c r="R19" s="359"/>
      <c r="S19" s="321"/>
      <c r="T19" s="321"/>
      <c r="U19" s="373" t="str">
        <f t="shared" si="0"/>
        <v/>
      </c>
      <c r="V19" s="314" t="str">
        <f t="shared" si="1"/>
        <v/>
      </c>
      <c r="W19" s="314" t="str" cm="1">
        <f t="array" aca="1" ref="W19" ca="1">IFERROR(IF(AE19&lt;&gt;"ja",_xlfn.IFNA(_xlfn.IFS(AND(O19&lt;&gt;"",F19&lt;&gt;"",RIGHT($N19,6)="tarief",F19="Vergoeding"),SUM(O19)*FLOOR(SUM(Q19),0.0001),AND(O19&lt;&gt;"",F19&lt;&gt;"",RIGHT($N19,6)="tarief"),SUM(O19)*FLOOR(SUM(Q19),0.01),S19&gt;0,IF(F19&lt;&gt;"",FLOOR(SUM(S19),0.01),"")),""),""),"")</f>
        <v/>
      </c>
      <c r="X19" s="314" t="str" cm="1">
        <f t="array" aca="1" ref="X19" ca="1">IFERROR(IF(AE19&lt;&gt;"ja",_xlfn.IFNA(_xlfn.IFS(AND(P19&lt;&gt;"",R19&lt;&gt;"",RIGHT($N19,6)="tarief",F19="Vergoeding"),SUM(P19)*FLOOR(SUM(R19),0.0001),AND(P19&lt;&gt;"",R19&lt;&gt;"",RIGHT($N19,6)="tarief"),P19*FLOOR(R19,0.01),T19&gt;0,FLOOR(SUM(T19),0.01)),""),""),"")</f>
        <v/>
      </c>
      <c r="Y19" s="314" t="str">
        <f t="shared" ca="1" si="2"/>
        <v/>
      </c>
      <c r="Z19" s="314" t="str" cm="1">
        <f t="array" aca="1" ref="Z19" ca="1">IFERROR(_xlfn.IFS(OR(F19="",LEFT(Methode_Keuze,4)="Geen",Methode_Keuze=""),"",AND(W19&lt;&gt;"",F19&lt;&gt;"Arbeidskosten"),W19*VLOOKUP(F19,Tb_ProjectKosten[],MATCH(Tb_ProjectKosten[[#Headers],[Forfait_Percentage]],Tb_ProjectKosten[#Headers],0),0),AND(F19="Arbeidskosten",G19&lt;&gt;""),IFERROR(W19*VLOOKUP(G19,Tb_KostenTypen[],3,0)*VLOOKUP(F19,Tb_ProjectKosten[],MATCH(Tb_ProjectKosten[[#Headers],[Forfait_Percentage]],Tb_ProjectKosten[#Headers],0),0),""),W19 &lt;=0,0),"")</f>
        <v/>
      </c>
      <c r="AA19" s="314" t="str" cm="1">
        <f t="array" aca="1" ref="AA19" ca="1">IFERROR(_xlfn.IFS(OR(F19="",LEFT(Methode_Keuze,4)="Geen",Methode_Keuze=""),"",AND(X19&lt;&gt;"",F19&lt;&gt;"Arbeidskosten"),X19*VLOOKUP(F19,Tb_ProjectKosten[],MATCH(Tb_ProjectKosten[[#Headers],[Forfait_Percentage]],Tb_ProjectKosten[#Headers],0),0),AND(F19="Arbeidskosten",G19&lt;&gt;""),IFERROR(X19*VLOOKUP(G19,Tb_KostenTypen[],3,0)*VLOOKUP(F19,Tb_ProjectKosten[],MATCH(Tb_ProjectKosten[[#Headers],[Forfait_Percentage]],Tb_ProjectKosten[#Headers],0),0),""),X19 &lt;=0,0),"")</f>
        <v/>
      </c>
      <c r="AB19" s="314" t="str">
        <f t="shared" ca="1" si="3"/>
        <v/>
      </c>
      <c r="AC19" s="322"/>
      <c r="AD19" s="315"/>
      <c r="AE19" s="32" t="str" cm="1">
        <f t="array" ref="AE19">IFERROR(IF(INDEX(SubsidieTabel!$AD$1:$AG$12,MATCH($F19,SubsidieTabel!$AD$1:$AD$12,0),IFERROR(MATCH(Methode_Keuze,SubsidieTabel!$AD$1:$AG$1,0),2))&lt;&gt;1=TRUE,"ja",""),"")</f>
        <v/>
      </c>
    </row>
    <row r="20" spans="1:31" x14ac:dyDescent="0.25">
      <c r="A20" s="316"/>
      <c r="B20" s="317" t="str">
        <f>IF(A20&lt;&gt;"",_xlfn.MAXIFS($B$1:B19,$A$1:A19,A20)+1,"")</f>
        <v/>
      </c>
      <c r="C20" s="296"/>
      <c r="D20" s="296"/>
      <c r="E20" s="296"/>
      <c r="F20" s="296"/>
      <c r="G20" s="326"/>
      <c r="H20" s="324"/>
      <c r="I20" s="325"/>
      <c r="J20" s="325"/>
      <c r="K20" s="318"/>
      <c r="L20" s="318"/>
      <c r="M20" s="319" t="str">
        <f>IFERROR(VLOOKUP(H20,Lijsten!$H$1:$I$100,2,0),"")</f>
        <v/>
      </c>
      <c r="N20" s="319" t="str">
        <f ca="1">IFERROR(IF(VLOOKUP(F20,Kostentypen!$A$3:$E$21,3,0)=0,"",IF(OR(F20="Arbeidskosten",F20="Vergoeding"),VLOOKUP(G20,Tb_KostenTypen[],2,0),VLOOKUP(F20,Kostentypen!$A$3:$E$20,3,0))),"")</f>
        <v/>
      </c>
      <c r="O20" s="320" t="str" cm="1">
        <f t="array" ref="O20">_xlfn.IFNA(IF(INDEX(Tb_KostenOptiesDB[],MATCH($F20,Tb_KostenOptiesDB[KostenOptie],0),IFERROR(MATCH(Methode_Keuze,Tb_KostenOptiesDB[#Headers],0),2))=1,_xlfn.SWITCH($N20,"Uurtarief",IF(OR(AND(RIGHT($F20,3)="IKS",VLOOKUP($M20,DB_Loonkosten,2,0)="Ja"),AND(RIGHT($F20,3)&lt;&gt;"IKS",VLOOKUP($M20,DB_Loonkosten,2,0)="Nee")),IFERROR(VLOOKUP($M20,DB_Loonkosten,24,0),""),0),"Vast tarief",IF(LEFT(F20,8)="Bijdrage",VLOOKUP($F20,Tb_KostenTypen[],MATCH(Lijsten!$P$1,Tb_KostenTypen[#Headers],0),0),VLOOKUP($G20,Lijsten!L:P,MATCH(Lijsten!$P$1,Kop_Tarief_Vast,0),0))),""),"")</f>
        <v/>
      </c>
      <c r="P20" s="320" t="str" cm="1">
        <f t="array" ref="P20">_xlfn.IFNA(IF(INDEX(Tb_KostenOptiesDB[],MATCH($F20,Tb_KostenOptiesDB[KostenOptie],0),IFERROR(MATCH(Methode_Keuze,Tb_KostenOptiesDB[#Headers],0),2))=1,_xlfn.SWITCH($N20,"Uurtarief",IF(OR(AND(RIGHT($F20,3)="IKS",VLOOKUP($M20,DB_Loonkosten,2,0)="Ja"),AND(RIGHT($F20,3)&lt;&gt;"IKS",VLOOKUP($M20,DB_Loonkosten,2,0)="Nee")),IFERROR(VLOOKUP($M20,DB_Loonkosten,25,0),""),0),"Vast tarief",IF(LEFT(F20,8)="Bijdrage",VLOOKUP($F20,Tb_KostenTypen[],MATCH(Lijsten!$P$1,Tb_KostenTypen[#Headers],0),0),VLOOKUP($G20,Lijsten!L:P,MATCH(Lijsten!$P$1,Kop_Tarief_Vast,0),0))),""),"")</f>
        <v/>
      </c>
      <c r="Q20" s="359"/>
      <c r="R20" s="359"/>
      <c r="S20" s="321"/>
      <c r="T20" s="321"/>
      <c r="U20" s="373" t="str">
        <f t="shared" si="0"/>
        <v/>
      </c>
      <c r="V20" s="314" t="str">
        <f t="shared" si="1"/>
        <v/>
      </c>
      <c r="W20" s="314" t="str" cm="1">
        <f t="array" aca="1" ref="W20" ca="1">IFERROR(IF(AE20&lt;&gt;"ja",_xlfn.IFNA(_xlfn.IFS(AND(O20&lt;&gt;"",F20&lt;&gt;"",RIGHT($N20,6)="tarief",F20="Vergoeding"),SUM(O20)*FLOOR(SUM(Q20),0.0001),AND(O20&lt;&gt;"",F20&lt;&gt;"",RIGHT($N20,6)="tarief"),SUM(O20)*FLOOR(SUM(Q20),0.01),S20&gt;0,IF(F20&lt;&gt;"",FLOOR(SUM(S20),0.01),"")),""),""),"")</f>
        <v/>
      </c>
      <c r="X20" s="314" t="str" cm="1">
        <f t="array" aca="1" ref="X20" ca="1">IFERROR(IF(AE20&lt;&gt;"ja",_xlfn.IFNA(_xlfn.IFS(AND(P20&lt;&gt;"",R20&lt;&gt;"",RIGHT($N20,6)="tarief",F20="Vergoeding"),SUM(P20)*FLOOR(SUM(R20),0.0001),AND(P20&lt;&gt;"",R20&lt;&gt;"",RIGHT($N20,6)="tarief"),P20*FLOOR(R20,0.01),T20&gt;0,FLOOR(SUM(T20),0.01)),""),""),"")</f>
        <v/>
      </c>
      <c r="Y20" s="314" t="str">
        <f t="shared" ca="1" si="2"/>
        <v/>
      </c>
      <c r="Z20" s="314" t="str" cm="1">
        <f t="array" aca="1" ref="Z20" ca="1">IFERROR(_xlfn.IFS(OR(F20="",LEFT(Methode_Keuze,4)="Geen",Methode_Keuze=""),"",AND(W20&lt;&gt;"",F20&lt;&gt;"Arbeidskosten"),W20*VLOOKUP(F20,Tb_ProjectKosten[],MATCH(Tb_ProjectKosten[[#Headers],[Forfait_Percentage]],Tb_ProjectKosten[#Headers],0),0),AND(F20="Arbeidskosten",G20&lt;&gt;""),IFERROR(W20*VLOOKUP(G20,Tb_KostenTypen[],3,0)*VLOOKUP(F20,Tb_ProjectKosten[],MATCH(Tb_ProjectKosten[[#Headers],[Forfait_Percentage]],Tb_ProjectKosten[#Headers],0),0),""),W20 &lt;=0,0),"")</f>
        <v/>
      </c>
      <c r="AA20" s="314" t="str" cm="1">
        <f t="array" aca="1" ref="AA20" ca="1">IFERROR(_xlfn.IFS(OR(F20="",LEFT(Methode_Keuze,4)="Geen",Methode_Keuze=""),"",AND(X20&lt;&gt;"",F20&lt;&gt;"Arbeidskosten"),X20*VLOOKUP(F20,Tb_ProjectKosten[],MATCH(Tb_ProjectKosten[[#Headers],[Forfait_Percentage]],Tb_ProjectKosten[#Headers],0),0),AND(F20="Arbeidskosten",G20&lt;&gt;""),IFERROR(X20*VLOOKUP(G20,Tb_KostenTypen[],3,0)*VLOOKUP(F20,Tb_ProjectKosten[],MATCH(Tb_ProjectKosten[[#Headers],[Forfait_Percentage]],Tb_ProjectKosten[#Headers],0),0),""),X20 &lt;=0,0),"")</f>
        <v/>
      </c>
      <c r="AB20" s="314" t="str">
        <f t="shared" ca="1" si="3"/>
        <v/>
      </c>
      <c r="AC20" s="322"/>
      <c r="AD20" s="315"/>
      <c r="AE20" s="32" t="str" cm="1">
        <f t="array" ref="AE20">IFERROR(IF(INDEX(SubsidieTabel!$AD$1:$AG$12,MATCH($F20,SubsidieTabel!$AD$1:$AD$12,0),IFERROR(MATCH(Methode_Keuze,SubsidieTabel!$AD$1:$AG$1,0),2))&lt;&gt;1=TRUE,"ja",""),"")</f>
        <v/>
      </c>
    </row>
    <row r="21" spans="1:31" x14ac:dyDescent="0.25">
      <c r="A21" s="316"/>
      <c r="B21" s="317" t="str">
        <f>IF(A21&lt;&gt;"",_xlfn.MAXIFS($B$1:B20,$A$1:A20,A21)+1,"")</f>
        <v/>
      </c>
      <c r="C21" s="296"/>
      <c r="D21" s="296"/>
      <c r="E21" s="296"/>
      <c r="F21" s="296"/>
      <c r="G21" s="326"/>
      <c r="H21" s="324"/>
      <c r="I21" s="325"/>
      <c r="J21" s="325"/>
      <c r="K21" s="318"/>
      <c r="L21" s="318"/>
      <c r="M21" s="319" t="str">
        <f>IFERROR(VLOOKUP(H21,Lijsten!$H$1:$I$100,2,0),"")</f>
        <v/>
      </c>
      <c r="N21" s="319" t="str">
        <f ca="1">IFERROR(IF(VLOOKUP(F21,Kostentypen!$A$3:$E$21,3,0)=0,"",IF(OR(F21="Arbeidskosten",F21="Vergoeding"),VLOOKUP(G21,Tb_KostenTypen[],2,0),VLOOKUP(F21,Kostentypen!$A$3:$E$20,3,0))),"")</f>
        <v/>
      </c>
      <c r="O21" s="320" t="str" cm="1">
        <f t="array" ref="O21">_xlfn.IFNA(IF(INDEX(Tb_KostenOptiesDB[],MATCH($F21,Tb_KostenOptiesDB[KostenOptie],0),IFERROR(MATCH(Methode_Keuze,Tb_KostenOptiesDB[#Headers],0),2))=1,_xlfn.SWITCH($N21,"Uurtarief",IF(OR(AND(RIGHT($F21,3)="IKS",VLOOKUP($M21,DB_Loonkosten,2,0)="Ja"),AND(RIGHT($F21,3)&lt;&gt;"IKS",VLOOKUP($M21,DB_Loonkosten,2,0)="Nee")),IFERROR(VLOOKUP($M21,DB_Loonkosten,24,0),""),0),"Vast tarief",IF(LEFT(F21,8)="Bijdrage",VLOOKUP($F21,Tb_KostenTypen[],MATCH(Lijsten!$P$1,Tb_KostenTypen[#Headers],0),0),VLOOKUP($G21,Lijsten!L:P,MATCH(Lijsten!$P$1,Kop_Tarief_Vast,0),0))),""),"")</f>
        <v/>
      </c>
      <c r="P21" s="320" t="str" cm="1">
        <f t="array" ref="P21">_xlfn.IFNA(IF(INDEX(Tb_KostenOptiesDB[],MATCH($F21,Tb_KostenOptiesDB[KostenOptie],0),IFERROR(MATCH(Methode_Keuze,Tb_KostenOptiesDB[#Headers],0),2))=1,_xlfn.SWITCH($N21,"Uurtarief",IF(OR(AND(RIGHT($F21,3)="IKS",VLOOKUP($M21,DB_Loonkosten,2,0)="Ja"),AND(RIGHT($F21,3)&lt;&gt;"IKS",VLOOKUP($M21,DB_Loonkosten,2,0)="Nee")),IFERROR(VLOOKUP($M21,DB_Loonkosten,25,0),""),0),"Vast tarief",IF(LEFT(F21,8)="Bijdrage",VLOOKUP($F21,Tb_KostenTypen[],MATCH(Lijsten!$P$1,Tb_KostenTypen[#Headers],0),0),VLOOKUP($G21,Lijsten!L:P,MATCH(Lijsten!$P$1,Kop_Tarief_Vast,0),0))),""),"")</f>
        <v/>
      </c>
      <c r="Q21" s="359"/>
      <c r="R21" s="359"/>
      <c r="S21" s="321"/>
      <c r="T21" s="321"/>
      <c r="U21" s="373" t="str">
        <f t="shared" si="0"/>
        <v/>
      </c>
      <c r="V21" s="314" t="str">
        <f t="shared" si="1"/>
        <v/>
      </c>
      <c r="W21" s="314" t="str" cm="1">
        <f t="array" aca="1" ref="W21" ca="1">IFERROR(IF(AE21&lt;&gt;"ja",_xlfn.IFNA(_xlfn.IFS(AND(O21&lt;&gt;"",F21&lt;&gt;"",RIGHT($N21,6)="tarief",F21="Vergoeding"),SUM(O21)*FLOOR(SUM(Q21),0.0001),AND(O21&lt;&gt;"",F21&lt;&gt;"",RIGHT($N21,6)="tarief"),SUM(O21)*FLOOR(SUM(Q21),0.01),S21&gt;0,IF(F21&lt;&gt;"",FLOOR(SUM(S21),0.01),"")),""),""),"")</f>
        <v/>
      </c>
      <c r="X21" s="314" t="str" cm="1">
        <f t="array" aca="1" ref="X21" ca="1">IFERROR(IF(AE21&lt;&gt;"ja",_xlfn.IFNA(_xlfn.IFS(AND(P21&lt;&gt;"",R21&lt;&gt;"",RIGHT($N21,6)="tarief",F21="Vergoeding"),SUM(P21)*FLOOR(SUM(R21),0.0001),AND(P21&lt;&gt;"",R21&lt;&gt;"",RIGHT($N21,6)="tarief"),P21*FLOOR(R21,0.01),T21&gt;0,FLOOR(SUM(T21),0.01)),""),""),"")</f>
        <v/>
      </c>
      <c r="Y21" s="314" t="str">
        <f t="shared" ca="1" si="2"/>
        <v/>
      </c>
      <c r="Z21" s="314" t="str" cm="1">
        <f t="array" aca="1" ref="Z21" ca="1">IFERROR(_xlfn.IFS(OR(F21="",LEFT(Methode_Keuze,4)="Geen",Methode_Keuze=""),"",AND(W21&lt;&gt;"",F21&lt;&gt;"Arbeidskosten"),W21*VLOOKUP(F21,Tb_ProjectKosten[],MATCH(Tb_ProjectKosten[[#Headers],[Forfait_Percentage]],Tb_ProjectKosten[#Headers],0),0),AND(F21="Arbeidskosten",G21&lt;&gt;""),IFERROR(W21*VLOOKUP(G21,Tb_KostenTypen[],3,0)*VLOOKUP(F21,Tb_ProjectKosten[],MATCH(Tb_ProjectKosten[[#Headers],[Forfait_Percentage]],Tb_ProjectKosten[#Headers],0),0),""),W21 &lt;=0,0),"")</f>
        <v/>
      </c>
      <c r="AA21" s="314" t="str" cm="1">
        <f t="array" aca="1" ref="AA21" ca="1">IFERROR(_xlfn.IFS(OR(F21="",LEFT(Methode_Keuze,4)="Geen",Methode_Keuze=""),"",AND(X21&lt;&gt;"",F21&lt;&gt;"Arbeidskosten"),X21*VLOOKUP(F21,Tb_ProjectKosten[],MATCH(Tb_ProjectKosten[[#Headers],[Forfait_Percentage]],Tb_ProjectKosten[#Headers],0),0),AND(F21="Arbeidskosten",G21&lt;&gt;""),IFERROR(X21*VLOOKUP(G21,Tb_KostenTypen[],3,0)*VLOOKUP(F21,Tb_ProjectKosten[],MATCH(Tb_ProjectKosten[[#Headers],[Forfait_Percentage]],Tb_ProjectKosten[#Headers],0),0),""),X21 &lt;=0,0),"")</f>
        <v/>
      </c>
      <c r="AB21" s="314" t="str">
        <f t="shared" ca="1" si="3"/>
        <v/>
      </c>
      <c r="AC21" s="322"/>
      <c r="AD21" s="315"/>
      <c r="AE21" s="32" t="str" cm="1">
        <f t="array" ref="AE21">IFERROR(IF(INDEX(SubsidieTabel!$AD$1:$AG$12,MATCH($F21,SubsidieTabel!$AD$1:$AD$12,0),IFERROR(MATCH(Methode_Keuze,SubsidieTabel!$AD$1:$AG$1,0),2))&lt;&gt;1=TRUE,"ja",""),"")</f>
        <v/>
      </c>
    </row>
    <row r="22" spans="1:31" x14ac:dyDescent="0.25">
      <c r="A22" s="316"/>
      <c r="B22" s="317" t="str">
        <f>IF(A22&lt;&gt;"",_xlfn.MAXIFS($B$1:B21,$A$1:A21,A22)+1,"")</f>
        <v/>
      </c>
      <c r="C22" s="296"/>
      <c r="D22" s="296"/>
      <c r="E22" s="296"/>
      <c r="F22" s="296"/>
      <c r="G22" s="326"/>
      <c r="H22" s="324"/>
      <c r="I22" s="325"/>
      <c r="J22" s="325"/>
      <c r="K22" s="318"/>
      <c r="L22" s="318"/>
      <c r="M22" s="319" t="str">
        <f>IFERROR(VLOOKUP(H22,Lijsten!$H$1:$I$100,2,0),"")</f>
        <v/>
      </c>
      <c r="N22" s="319" t="str">
        <f ca="1">IFERROR(IF(VLOOKUP(F22,Kostentypen!$A$3:$E$21,3,0)=0,"",IF(OR(F22="Arbeidskosten",F22="Vergoeding"),VLOOKUP(G22,Tb_KostenTypen[],2,0),VLOOKUP(F22,Kostentypen!$A$3:$E$20,3,0))),"")</f>
        <v/>
      </c>
      <c r="O22" s="320" t="str" cm="1">
        <f t="array" ref="O22">_xlfn.IFNA(IF(INDEX(Tb_KostenOptiesDB[],MATCH($F22,Tb_KostenOptiesDB[KostenOptie],0),IFERROR(MATCH(Methode_Keuze,Tb_KostenOptiesDB[#Headers],0),2))=1,_xlfn.SWITCH($N22,"Uurtarief",IF(OR(AND(RIGHT($F22,3)="IKS",VLOOKUP($M22,DB_Loonkosten,2,0)="Ja"),AND(RIGHT($F22,3)&lt;&gt;"IKS",VLOOKUP($M22,DB_Loonkosten,2,0)="Nee")),IFERROR(VLOOKUP($M22,DB_Loonkosten,24,0),""),0),"Vast tarief",IF(LEFT(F22,8)="Bijdrage",VLOOKUP($F22,Tb_KostenTypen[],MATCH(Lijsten!$P$1,Tb_KostenTypen[#Headers],0),0),VLOOKUP($G22,Lijsten!L:P,MATCH(Lijsten!$P$1,Kop_Tarief_Vast,0),0))),""),"")</f>
        <v/>
      </c>
      <c r="P22" s="320" t="str" cm="1">
        <f t="array" ref="P22">_xlfn.IFNA(IF(INDEX(Tb_KostenOptiesDB[],MATCH($F22,Tb_KostenOptiesDB[KostenOptie],0),IFERROR(MATCH(Methode_Keuze,Tb_KostenOptiesDB[#Headers],0),2))=1,_xlfn.SWITCH($N22,"Uurtarief",IF(OR(AND(RIGHT($F22,3)="IKS",VLOOKUP($M22,DB_Loonkosten,2,0)="Ja"),AND(RIGHT($F22,3)&lt;&gt;"IKS",VLOOKUP($M22,DB_Loonkosten,2,0)="Nee")),IFERROR(VLOOKUP($M22,DB_Loonkosten,25,0),""),0),"Vast tarief",IF(LEFT(F22,8)="Bijdrage",VLOOKUP($F22,Tb_KostenTypen[],MATCH(Lijsten!$P$1,Tb_KostenTypen[#Headers],0),0),VLOOKUP($G22,Lijsten!L:P,MATCH(Lijsten!$P$1,Kop_Tarief_Vast,0),0))),""),"")</f>
        <v/>
      </c>
      <c r="Q22" s="359"/>
      <c r="R22" s="359"/>
      <c r="S22" s="321"/>
      <c r="T22" s="321"/>
      <c r="U22" s="373" t="str">
        <f t="shared" si="0"/>
        <v/>
      </c>
      <c r="V22" s="314" t="str">
        <f t="shared" si="1"/>
        <v/>
      </c>
      <c r="W22" s="314" t="str" cm="1">
        <f t="array" aca="1" ref="W22" ca="1">IFERROR(IF(AE22&lt;&gt;"ja",_xlfn.IFNA(_xlfn.IFS(AND(O22&lt;&gt;"",F22&lt;&gt;"",RIGHT($N22,6)="tarief",F22="Vergoeding"),SUM(O22)*FLOOR(SUM(Q22),0.0001),AND(O22&lt;&gt;"",F22&lt;&gt;"",RIGHT($N22,6)="tarief"),SUM(O22)*FLOOR(SUM(Q22),0.01),S22&gt;0,IF(F22&lt;&gt;"",FLOOR(SUM(S22),0.01),"")),""),""),"")</f>
        <v/>
      </c>
      <c r="X22" s="314" t="str" cm="1">
        <f t="array" aca="1" ref="X22" ca="1">IFERROR(IF(AE22&lt;&gt;"ja",_xlfn.IFNA(_xlfn.IFS(AND(P22&lt;&gt;"",R22&lt;&gt;"",RIGHT($N22,6)="tarief",F22="Vergoeding"),SUM(P22)*FLOOR(SUM(R22),0.0001),AND(P22&lt;&gt;"",R22&lt;&gt;"",RIGHT($N22,6)="tarief"),P22*FLOOR(R22,0.01),T22&gt;0,FLOOR(SUM(T22),0.01)),""),""),"")</f>
        <v/>
      </c>
      <c r="Y22" s="314" t="str">
        <f t="shared" ca="1" si="2"/>
        <v/>
      </c>
      <c r="Z22" s="314" t="str" cm="1">
        <f t="array" aca="1" ref="Z22" ca="1">IFERROR(_xlfn.IFS(OR(F22="",LEFT(Methode_Keuze,4)="Geen",Methode_Keuze=""),"",AND(W22&lt;&gt;"",F22&lt;&gt;"Arbeidskosten"),W22*VLOOKUP(F22,Tb_ProjectKosten[],MATCH(Tb_ProjectKosten[[#Headers],[Forfait_Percentage]],Tb_ProjectKosten[#Headers],0),0),AND(F22="Arbeidskosten",G22&lt;&gt;""),IFERROR(W22*VLOOKUP(G22,Tb_KostenTypen[],3,0)*VLOOKUP(F22,Tb_ProjectKosten[],MATCH(Tb_ProjectKosten[[#Headers],[Forfait_Percentage]],Tb_ProjectKosten[#Headers],0),0),""),W22 &lt;=0,0),"")</f>
        <v/>
      </c>
      <c r="AA22" s="314" t="str" cm="1">
        <f t="array" aca="1" ref="AA22" ca="1">IFERROR(_xlfn.IFS(OR(F22="",LEFT(Methode_Keuze,4)="Geen",Methode_Keuze=""),"",AND(X22&lt;&gt;"",F22&lt;&gt;"Arbeidskosten"),X22*VLOOKUP(F22,Tb_ProjectKosten[],MATCH(Tb_ProjectKosten[[#Headers],[Forfait_Percentage]],Tb_ProjectKosten[#Headers],0),0),AND(F22="Arbeidskosten",G22&lt;&gt;""),IFERROR(X22*VLOOKUP(G22,Tb_KostenTypen[],3,0)*VLOOKUP(F22,Tb_ProjectKosten[],MATCH(Tb_ProjectKosten[[#Headers],[Forfait_Percentage]],Tb_ProjectKosten[#Headers],0),0),""),X22 &lt;=0,0),"")</f>
        <v/>
      </c>
      <c r="AB22" s="314" t="str">
        <f t="shared" ca="1" si="3"/>
        <v/>
      </c>
      <c r="AC22" s="322"/>
      <c r="AD22" s="315"/>
      <c r="AE22" s="32" t="str" cm="1">
        <f t="array" ref="AE22">IFERROR(IF(INDEX(SubsidieTabel!$AD$1:$AG$12,MATCH($F22,SubsidieTabel!$AD$1:$AD$12,0),IFERROR(MATCH(Methode_Keuze,SubsidieTabel!$AD$1:$AG$1,0),2))&lt;&gt;1=TRUE,"ja",""),"")</f>
        <v/>
      </c>
    </row>
    <row r="23" spans="1:31" x14ac:dyDescent="0.25">
      <c r="A23" s="316"/>
      <c r="B23" s="317" t="str">
        <f>IF(A23&lt;&gt;"",_xlfn.MAXIFS($B$1:B22,$A$1:A22,A23)+1,"")</f>
        <v/>
      </c>
      <c r="C23" s="296"/>
      <c r="D23" s="296"/>
      <c r="E23" s="296"/>
      <c r="F23" s="296"/>
      <c r="G23" s="326"/>
      <c r="H23" s="324"/>
      <c r="I23" s="325"/>
      <c r="J23" s="325"/>
      <c r="K23" s="318"/>
      <c r="L23" s="318"/>
      <c r="M23" s="319" t="str">
        <f>IFERROR(VLOOKUP(H23,Lijsten!$H$1:$I$100,2,0),"")</f>
        <v/>
      </c>
      <c r="N23" s="319" t="str">
        <f ca="1">IFERROR(IF(VLOOKUP(F23,Kostentypen!$A$3:$E$21,3,0)=0,"",IF(OR(F23="Arbeidskosten",F23="Vergoeding"),VLOOKUP(G23,Tb_KostenTypen[],2,0),VLOOKUP(F23,Kostentypen!$A$3:$E$20,3,0))),"")</f>
        <v/>
      </c>
      <c r="O23" s="320" t="str" cm="1">
        <f t="array" ref="O23">_xlfn.IFNA(IF(INDEX(Tb_KostenOptiesDB[],MATCH($F23,Tb_KostenOptiesDB[KostenOptie],0),IFERROR(MATCH(Methode_Keuze,Tb_KostenOptiesDB[#Headers],0),2))=1,_xlfn.SWITCH($N23,"Uurtarief",IF(OR(AND(RIGHT($F23,3)="IKS",VLOOKUP($M23,DB_Loonkosten,2,0)="Ja"),AND(RIGHT($F23,3)&lt;&gt;"IKS",VLOOKUP($M23,DB_Loonkosten,2,0)="Nee")),IFERROR(VLOOKUP($M23,DB_Loonkosten,24,0),""),0),"Vast tarief",IF(LEFT(F23,8)="Bijdrage",VLOOKUP($F23,Tb_KostenTypen[],MATCH(Lijsten!$P$1,Tb_KostenTypen[#Headers],0),0),VLOOKUP($G23,Lijsten!L:P,MATCH(Lijsten!$P$1,Kop_Tarief_Vast,0),0))),""),"")</f>
        <v/>
      </c>
      <c r="P23" s="320" t="str" cm="1">
        <f t="array" ref="P23">_xlfn.IFNA(IF(INDEX(Tb_KostenOptiesDB[],MATCH($F23,Tb_KostenOptiesDB[KostenOptie],0),IFERROR(MATCH(Methode_Keuze,Tb_KostenOptiesDB[#Headers],0),2))=1,_xlfn.SWITCH($N23,"Uurtarief",IF(OR(AND(RIGHT($F23,3)="IKS",VLOOKUP($M23,DB_Loonkosten,2,0)="Ja"),AND(RIGHT($F23,3)&lt;&gt;"IKS",VLOOKUP($M23,DB_Loonkosten,2,0)="Nee")),IFERROR(VLOOKUP($M23,DB_Loonkosten,25,0),""),0),"Vast tarief",IF(LEFT(F23,8)="Bijdrage",VLOOKUP($F23,Tb_KostenTypen[],MATCH(Lijsten!$P$1,Tb_KostenTypen[#Headers],0),0),VLOOKUP($G23,Lijsten!L:P,MATCH(Lijsten!$P$1,Kop_Tarief_Vast,0),0))),""),"")</f>
        <v/>
      </c>
      <c r="Q23" s="359"/>
      <c r="R23" s="359"/>
      <c r="S23" s="321"/>
      <c r="T23" s="321"/>
      <c r="U23" s="373" t="str">
        <f t="shared" si="0"/>
        <v/>
      </c>
      <c r="V23" s="314" t="str">
        <f t="shared" si="1"/>
        <v/>
      </c>
      <c r="W23" s="314" t="str" cm="1">
        <f t="array" aca="1" ref="W23" ca="1">IFERROR(IF(AE23&lt;&gt;"ja",_xlfn.IFNA(_xlfn.IFS(AND(O23&lt;&gt;"",F23&lt;&gt;"",RIGHT($N23,6)="tarief",F23="Vergoeding"),SUM(O23)*FLOOR(SUM(Q23),0.0001),AND(O23&lt;&gt;"",F23&lt;&gt;"",RIGHT($N23,6)="tarief"),SUM(O23)*FLOOR(SUM(Q23),0.01),S23&gt;0,IF(F23&lt;&gt;"",FLOOR(SUM(S23),0.01),"")),""),""),"")</f>
        <v/>
      </c>
      <c r="X23" s="314" t="str" cm="1">
        <f t="array" aca="1" ref="X23" ca="1">IFERROR(IF(AE23&lt;&gt;"ja",_xlfn.IFNA(_xlfn.IFS(AND(P23&lt;&gt;"",R23&lt;&gt;"",RIGHT($N23,6)="tarief",F23="Vergoeding"),SUM(P23)*FLOOR(SUM(R23),0.0001),AND(P23&lt;&gt;"",R23&lt;&gt;"",RIGHT($N23,6)="tarief"),P23*FLOOR(R23,0.01),T23&gt;0,FLOOR(SUM(T23),0.01)),""),""),"")</f>
        <v/>
      </c>
      <c r="Y23" s="314" t="str">
        <f t="shared" ca="1" si="2"/>
        <v/>
      </c>
      <c r="Z23" s="314" t="str" cm="1">
        <f t="array" aca="1" ref="Z23" ca="1">IFERROR(_xlfn.IFS(OR(F23="",LEFT(Methode_Keuze,4)="Geen",Methode_Keuze=""),"",AND(W23&lt;&gt;"",F23&lt;&gt;"Arbeidskosten"),W23*VLOOKUP(F23,Tb_ProjectKosten[],MATCH(Tb_ProjectKosten[[#Headers],[Forfait_Percentage]],Tb_ProjectKosten[#Headers],0),0),AND(F23="Arbeidskosten",G23&lt;&gt;""),IFERROR(W23*VLOOKUP(G23,Tb_KostenTypen[],3,0)*VLOOKUP(F23,Tb_ProjectKosten[],MATCH(Tb_ProjectKosten[[#Headers],[Forfait_Percentage]],Tb_ProjectKosten[#Headers],0),0),""),W23 &lt;=0,0),"")</f>
        <v/>
      </c>
      <c r="AA23" s="314" t="str" cm="1">
        <f t="array" aca="1" ref="AA23" ca="1">IFERROR(_xlfn.IFS(OR(F23="",LEFT(Methode_Keuze,4)="Geen",Methode_Keuze=""),"",AND(X23&lt;&gt;"",F23&lt;&gt;"Arbeidskosten"),X23*VLOOKUP(F23,Tb_ProjectKosten[],MATCH(Tb_ProjectKosten[[#Headers],[Forfait_Percentage]],Tb_ProjectKosten[#Headers],0),0),AND(F23="Arbeidskosten",G23&lt;&gt;""),IFERROR(X23*VLOOKUP(G23,Tb_KostenTypen[],3,0)*VLOOKUP(F23,Tb_ProjectKosten[],MATCH(Tb_ProjectKosten[[#Headers],[Forfait_Percentage]],Tb_ProjectKosten[#Headers],0),0),""),X23 &lt;=0,0),"")</f>
        <v/>
      </c>
      <c r="AB23" s="314" t="str">
        <f t="shared" ca="1" si="3"/>
        <v/>
      </c>
      <c r="AC23" s="322"/>
      <c r="AD23" s="315"/>
      <c r="AE23" s="32" t="str" cm="1">
        <f t="array" ref="AE23">IFERROR(IF(INDEX(SubsidieTabel!$AD$1:$AG$12,MATCH($F23,SubsidieTabel!$AD$1:$AD$12,0),IFERROR(MATCH(Methode_Keuze,SubsidieTabel!$AD$1:$AG$1,0),2))&lt;&gt;1=TRUE,"ja",""),"")</f>
        <v/>
      </c>
    </row>
    <row r="24" spans="1:31" x14ac:dyDescent="0.25">
      <c r="A24" s="316"/>
      <c r="B24" s="317" t="str">
        <f>IF(A24&lt;&gt;"",_xlfn.MAXIFS($B$1:B23,$A$1:A23,A24)+1,"")</f>
        <v/>
      </c>
      <c r="C24" s="296"/>
      <c r="D24" s="296"/>
      <c r="E24" s="296"/>
      <c r="F24" s="296"/>
      <c r="G24" s="326"/>
      <c r="H24" s="324"/>
      <c r="I24" s="325"/>
      <c r="J24" s="325"/>
      <c r="K24" s="318"/>
      <c r="L24" s="318"/>
      <c r="M24" s="319" t="str">
        <f>IFERROR(VLOOKUP(H24,Lijsten!$H$1:$I$100,2,0),"")</f>
        <v/>
      </c>
      <c r="N24" s="319" t="str">
        <f ca="1">IFERROR(IF(VLOOKUP(F24,Kostentypen!$A$3:$E$21,3,0)=0,"",IF(OR(F24="Arbeidskosten",F24="Vergoeding"),VLOOKUP(G24,Tb_KostenTypen[],2,0),VLOOKUP(F24,Kostentypen!$A$3:$E$20,3,0))),"")</f>
        <v/>
      </c>
      <c r="O24" s="320" t="str" cm="1">
        <f t="array" ref="O24">_xlfn.IFNA(IF(INDEX(Tb_KostenOptiesDB[],MATCH($F24,Tb_KostenOptiesDB[KostenOptie],0),IFERROR(MATCH(Methode_Keuze,Tb_KostenOptiesDB[#Headers],0),2))=1,_xlfn.SWITCH($N24,"Uurtarief",IF(OR(AND(RIGHT($F24,3)="IKS",VLOOKUP($M24,DB_Loonkosten,2,0)="Ja"),AND(RIGHT($F24,3)&lt;&gt;"IKS",VLOOKUP($M24,DB_Loonkosten,2,0)="Nee")),IFERROR(VLOOKUP($M24,DB_Loonkosten,24,0),""),0),"Vast tarief",IF(LEFT(F24,8)="Bijdrage",VLOOKUP($F24,Tb_KostenTypen[],MATCH(Lijsten!$P$1,Tb_KostenTypen[#Headers],0),0),VLOOKUP($G24,Lijsten!L:P,MATCH(Lijsten!$P$1,Kop_Tarief_Vast,0),0))),""),"")</f>
        <v/>
      </c>
      <c r="P24" s="320" t="str" cm="1">
        <f t="array" ref="P24">_xlfn.IFNA(IF(INDEX(Tb_KostenOptiesDB[],MATCH($F24,Tb_KostenOptiesDB[KostenOptie],0),IFERROR(MATCH(Methode_Keuze,Tb_KostenOptiesDB[#Headers],0),2))=1,_xlfn.SWITCH($N24,"Uurtarief",IF(OR(AND(RIGHT($F24,3)="IKS",VLOOKUP($M24,DB_Loonkosten,2,0)="Ja"),AND(RIGHT($F24,3)&lt;&gt;"IKS",VLOOKUP($M24,DB_Loonkosten,2,0)="Nee")),IFERROR(VLOOKUP($M24,DB_Loonkosten,25,0),""),0),"Vast tarief",IF(LEFT(F24,8)="Bijdrage",VLOOKUP($F24,Tb_KostenTypen[],MATCH(Lijsten!$P$1,Tb_KostenTypen[#Headers],0),0),VLOOKUP($G24,Lijsten!L:P,MATCH(Lijsten!$P$1,Kop_Tarief_Vast,0),0))),""),"")</f>
        <v/>
      </c>
      <c r="Q24" s="359"/>
      <c r="R24" s="359"/>
      <c r="S24" s="321"/>
      <c r="T24" s="321"/>
      <c r="U24" s="373" t="str">
        <f t="shared" si="0"/>
        <v/>
      </c>
      <c r="V24" s="314" t="str">
        <f t="shared" si="1"/>
        <v/>
      </c>
      <c r="W24" s="314" t="str" cm="1">
        <f t="array" aca="1" ref="W24" ca="1">IFERROR(IF(AE24&lt;&gt;"ja",_xlfn.IFNA(_xlfn.IFS(AND(O24&lt;&gt;"",F24&lt;&gt;"",RIGHT($N24,6)="tarief",F24="Vergoeding"),SUM(O24)*FLOOR(SUM(Q24),0.0001),AND(O24&lt;&gt;"",F24&lt;&gt;"",RIGHT($N24,6)="tarief"),SUM(O24)*FLOOR(SUM(Q24),0.01),S24&gt;0,IF(F24&lt;&gt;"",FLOOR(SUM(S24),0.01),"")),""),""),"")</f>
        <v/>
      </c>
      <c r="X24" s="314" t="str" cm="1">
        <f t="array" aca="1" ref="X24" ca="1">IFERROR(IF(AE24&lt;&gt;"ja",_xlfn.IFNA(_xlfn.IFS(AND(P24&lt;&gt;"",R24&lt;&gt;"",RIGHT($N24,6)="tarief",F24="Vergoeding"),SUM(P24)*FLOOR(SUM(R24),0.0001),AND(P24&lt;&gt;"",R24&lt;&gt;"",RIGHT($N24,6)="tarief"),P24*FLOOR(R24,0.01),T24&gt;0,FLOOR(SUM(T24),0.01)),""),""),"")</f>
        <v/>
      </c>
      <c r="Y24" s="314" t="str">
        <f t="shared" ca="1" si="2"/>
        <v/>
      </c>
      <c r="Z24" s="314" t="str" cm="1">
        <f t="array" aca="1" ref="Z24" ca="1">IFERROR(_xlfn.IFS(OR(F24="",LEFT(Methode_Keuze,4)="Geen",Methode_Keuze=""),"",AND(W24&lt;&gt;"",F24&lt;&gt;"Arbeidskosten"),W24*VLOOKUP(F24,Tb_ProjectKosten[],MATCH(Tb_ProjectKosten[[#Headers],[Forfait_Percentage]],Tb_ProjectKosten[#Headers],0),0),AND(F24="Arbeidskosten",G24&lt;&gt;""),IFERROR(W24*VLOOKUP(G24,Tb_KostenTypen[],3,0)*VLOOKUP(F24,Tb_ProjectKosten[],MATCH(Tb_ProjectKosten[[#Headers],[Forfait_Percentage]],Tb_ProjectKosten[#Headers],0),0),""),W24 &lt;=0,0),"")</f>
        <v/>
      </c>
      <c r="AA24" s="314" t="str" cm="1">
        <f t="array" aca="1" ref="AA24" ca="1">IFERROR(_xlfn.IFS(OR(F24="",LEFT(Methode_Keuze,4)="Geen",Methode_Keuze=""),"",AND(X24&lt;&gt;"",F24&lt;&gt;"Arbeidskosten"),X24*VLOOKUP(F24,Tb_ProjectKosten[],MATCH(Tb_ProjectKosten[[#Headers],[Forfait_Percentage]],Tb_ProjectKosten[#Headers],0),0),AND(F24="Arbeidskosten",G24&lt;&gt;""),IFERROR(X24*VLOOKUP(G24,Tb_KostenTypen[],3,0)*VLOOKUP(F24,Tb_ProjectKosten[],MATCH(Tb_ProjectKosten[[#Headers],[Forfait_Percentage]],Tb_ProjectKosten[#Headers],0),0),""),X24 &lt;=0,0),"")</f>
        <v/>
      </c>
      <c r="AB24" s="314" t="str">
        <f t="shared" ca="1" si="3"/>
        <v/>
      </c>
      <c r="AC24" s="322"/>
      <c r="AD24" s="315"/>
      <c r="AE24" s="32" t="str" cm="1">
        <f t="array" ref="AE24">IFERROR(IF(INDEX(SubsidieTabel!$AD$1:$AG$12,MATCH($F24,SubsidieTabel!$AD$1:$AD$12,0),IFERROR(MATCH(Methode_Keuze,SubsidieTabel!$AD$1:$AG$1,0),2))&lt;&gt;1=TRUE,"ja",""),"")</f>
        <v/>
      </c>
    </row>
    <row r="25" spans="1:31" x14ac:dyDescent="0.25">
      <c r="A25" s="316"/>
      <c r="B25" s="317" t="str">
        <f>IF(A25&lt;&gt;"",_xlfn.MAXIFS($B$1:B24,$A$1:A24,A25)+1,"")</f>
        <v/>
      </c>
      <c r="C25" s="296"/>
      <c r="D25" s="296"/>
      <c r="E25" s="296"/>
      <c r="F25" s="296"/>
      <c r="G25" s="326"/>
      <c r="H25" s="324"/>
      <c r="I25" s="325"/>
      <c r="J25" s="325"/>
      <c r="K25" s="318"/>
      <c r="L25" s="318"/>
      <c r="M25" s="319" t="str">
        <f>IFERROR(VLOOKUP(H25,Lijsten!$H$1:$I$100,2,0),"")</f>
        <v/>
      </c>
      <c r="N25" s="319" t="str">
        <f ca="1">IFERROR(IF(VLOOKUP(F25,Kostentypen!$A$3:$E$21,3,0)=0,"",IF(OR(F25="Arbeidskosten",F25="Vergoeding"),VLOOKUP(G25,Tb_KostenTypen[],2,0),VLOOKUP(F25,Kostentypen!$A$3:$E$20,3,0))),"")</f>
        <v/>
      </c>
      <c r="O25" s="320" t="str" cm="1">
        <f t="array" ref="O25">_xlfn.IFNA(IF(INDEX(Tb_KostenOptiesDB[],MATCH($F25,Tb_KostenOptiesDB[KostenOptie],0),IFERROR(MATCH(Methode_Keuze,Tb_KostenOptiesDB[#Headers],0),2))=1,_xlfn.SWITCH($N25,"Uurtarief",IF(OR(AND(RIGHT($F25,3)="IKS",VLOOKUP($M25,DB_Loonkosten,2,0)="Ja"),AND(RIGHT($F25,3)&lt;&gt;"IKS",VLOOKUP($M25,DB_Loonkosten,2,0)="Nee")),IFERROR(VLOOKUP($M25,DB_Loonkosten,24,0),""),0),"Vast tarief",IF(LEFT(F25,8)="Bijdrage",VLOOKUP($F25,Tb_KostenTypen[],MATCH(Lijsten!$P$1,Tb_KostenTypen[#Headers],0),0),VLOOKUP($G25,Lijsten!L:P,MATCH(Lijsten!$P$1,Kop_Tarief_Vast,0),0))),""),"")</f>
        <v/>
      </c>
      <c r="P25" s="320" t="str" cm="1">
        <f t="array" ref="P25">_xlfn.IFNA(IF(INDEX(Tb_KostenOptiesDB[],MATCH($F25,Tb_KostenOptiesDB[KostenOptie],0),IFERROR(MATCH(Methode_Keuze,Tb_KostenOptiesDB[#Headers],0),2))=1,_xlfn.SWITCH($N25,"Uurtarief",IF(OR(AND(RIGHT($F25,3)="IKS",VLOOKUP($M25,DB_Loonkosten,2,0)="Ja"),AND(RIGHT($F25,3)&lt;&gt;"IKS",VLOOKUP($M25,DB_Loonkosten,2,0)="Nee")),IFERROR(VLOOKUP($M25,DB_Loonkosten,25,0),""),0),"Vast tarief",IF(LEFT(F25,8)="Bijdrage",VLOOKUP($F25,Tb_KostenTypen[],MATCH(Lijsten!$P$1,Tb_KostenTypen[#Headers],0),0),VLOOKUP($G25,Lijsten!L:P,MATCH(Lijsten!$P$1,Kop_Tarief_Vast,0),0))),""),"")</f>
        <v/>
      </c>
      <c r="Q25" s="359"/>
      <c r="R25" s="359"/>
      <c r="S25" s="321"/>
      <c r="T25" s="321"/>
      <c r="U25" s="373" t="str">
        <f t="shared" si="0"/>
        <v/>
      </c>
      <c r="V25" s="314" t="str">
        <f t="shared" si="1"/>
        <v/>
      </c>
      <c r="W25" s="314" t="str" cm="1">
        <f t="array" aca="1" ref="W25" ca="1">IFERROR(IF(AE25&lt;&gt;"ja",_xlfn.IFNA(_xlfn.IFS(AND(O25&lt;&gt;"",F25&lt;&gt;"",RIGHT($N25,6)="tarief",F25="Vergoeding"),SUM(O25)*FLOOR(SUM(Q25),0.0001),AND(O25&lt;&gt;"",F25&lt;&gt;"",RIGHT($N25,6)="tarief"),SUM(O25)*FLOOR(SUM(Q25),0.01),S25&gt;0,IF(F25&lt;&gt;"",FLOOR(SUM(S25),0.01),"")),""),""),"")</f>
        <v/>
      </c>
      <c r="X25" s="314" t="str" cm="1">
        <f t="array" aca="1" ref="X25" ca="1">IFERROR(IF(AE25&lt;&gt;"ja",_xlfn.IFNA(_xlfn.IFS(AND(P25&lt;&gt;"",R25&lt;&gt;"",RIGHT($N25,6)="tarief",F25="Vergoeding"),SUM(P25)*FLOOR(SUM(R25),0.0001),AND(P25&lt;&gt;"",R25&lt;&gt;"",RIGHT($N25,6)="tarief"),P25*FLOOR(R25,0.01),T25&gt;0,FLOOR(SUM(T25),0.01)),""),""),"")</f>
        <v/>
      </c>
      <c r="Y25" s="314" t="str">
        <f t="shared" ca="1" si="2"/>
        <v/>
      </c>
      <c r="Z25" s="314" t="str" cm="1">
        <f t="array" aca="1" ref="Z25" ca="1">IFERROR(_xlfn.IFS(OR(F25="",LEFT(Methode_Keuze,4)="Geen",Methode_Keuze=""),"",AND(W25&lt;&gt;"",F25&lt;&gt;"Arbeidskosten"),W25*VLOOKUP(F25,Tb_ProjectKosten[],MATCH(Tb_ProjectKosten[[#Headers],[Forfait_Percentage]],Tb_ProjectKosten[#Headers],0),0),AND(F25="Arbeidskosten",G25&lt;&gt;""),IFERROR(W25*VLOOKUP(G25,Tb_KostenTypen[],3,0)*VLOOKUP(F25,Tb_ProjectKosten[],MATCH(Tb_ProjectKosten[[#Headers],[Forfait_Percentage]],Tb_ProjectKosten[#Headers],0),0),""),W25 &lt;=0,0),"")</f>
        <v/>
      </c>
      <c r="AA25" s="314" t="str" cm="1">
        <f t="array" aca="1" ref="AA25" ca="1">IFERROR(_xlfn.IFS(OR(F25="",LEFT(Methode_Keuze,4)="Geen",Methode_Keuze=""),"",AND(X25&lt;&gt;"",F25&lt;&gt;"Arbeidskosten"),X25*VLOOKUP(F25,Tb_ProjectKosten[],MATCH(Tb_ProjectKosten[[#Headers],[Forfait_Percentage]],Tb_ProjectKosten[#Headers],0),0),AND(F25="Arbeidskosten",G25&lt;&gt;""),IFERROR(X25*VLOOKUP(G25,Tb_KostenTypen[],3,0)*VLOOKUP(F25,Tb_ProjectKosten[],MATCH(Tb_ProjectKosten[[#Headers],[Forfait_Percentage]],Tb_ProjectKosten[#Headers],0),0),""),X25 &lt;=0,0),"")</f>
        <v/>
      </c>
      <c r="AB25" s="314" t="str">
        <f t="shared" ca="1" si="3"/>
        <v/>
      </c>
      <c r="AC25" s="322"/>
      <c r="AD25" s="315"/>
      <c r="AE25" s="32" t="str" cm="1">
        <f t="array" ref="AE25">IFERROR(IF(INDEX(SubsidieTabel!$AD$1:$AG$12,MATCH($F25,SubsidieTabel!$AD$1:$AD$12,0),IFERROR(MATCH(Methode_Keuze,SubsidieTabel!$AD$1:$AG$1,0),2))&lt;&gt;1=TRUE,"ja",""),"")</f>
        <v/>
      </c>
    </row>
    <row r="26" spans="1:31" x14ac:dyDescent="0.25">
      <c r="A26" s="316"/>
      <c r="B26" s="317" t="str">
        <f>IF(A26&lt;&gt;"",_xlfn.MAXIFS($B$1:B25,$A$1:A25,A26)+1,"")</f>
        <v/>
      </c>
      <c r="C26" s="296"/>
      <c r="D26" s="296"/>
      <c r="E26" s="296"/>
      <c r="F26" s="296"/>
      <c r="G26" s="326"/>
      <c r="H26" s="324"/>
      <c r="I26" s="325"/>
      <c r="J26" s="325"/>
      <c r="K26" s="318"/>
      <c r="L26" s="318"/>
      <c r="M26" s="319" t="str">
        <f>IFERROR(VLOOKUP(H26,Lijsten!$H$1:$I$100,2,0),"")</f>
        <v/>
      </c>
      <c r="N26" s="319" t="str">
        <f ca="1">IFERROR(IF(VLOOKUP(F26,Kostentypen!$A$3:$E$21,3,0)=0,"",IF(OR(F26="Arbeidskosten",F26="Vergoeding"),VLOOKUP(G26,Tb_KostenTypen[],2,0),VLOOKUP(F26,Kostentypen!$A$3:$E$20,3,0))),"")</f>
        <v/>
      </c>
      <c r="O26" s="320" t="str" cm="1">
        <f t="array" ref="O26">_xlfn.IFNA(IF(INDEX(Tb_KostenOptiesDB[],MATCH($F26,Tb_KostenOptiesDB[KostenOptie],0),IFERROR(MATCH(Methode_Keuze,Tb_KostenOptiesDB[#Headers],0),2))=1,_xlfn.SWITCH($N26,"Uurtarief",IF(OR(AND(RIGHT($F26,3)="IKS",VLOOKUP($M26,DB_Loonkosten,2,0)="Ja"),AND(RIGHT($F26,3)&lt;&gt;"IKS",VLOOKUP($M26,DB_Loonkosten,2,0)="Nee")),IFERROR(VLOOKUP($M26,DB_Loonkosten,24,0),""),0),"Vast tarief",IF(LEFT(F26,8)="Bijdrage",VLOOKUP($F26,Tb_KostenTypen[],MATCH(Lijsten!$P$1,Tb_KostenTypen[#Headers],0),0),VLOOKUP($G26,Lijsten!L:P,MATCH(Lijsten!$P$1,Kop_Tarief_Vast,0),0))),""),"")</f>
        <v/>
      </c>
      <c r="P26" s="320" t="str" cm="1">
        <f t="array" ref="P26">_xlfn.IFNA(IF(INDEX(Tb_KostenOptiesDB[],MATCH($F26,Tb_KostenOptiesDB[KostenOptie],0),IFERROR(MATCH(Methode_Keuze,Tb_KostenOptiesDB[#Headers],0),2))=1,_xlfn.SWITCH($N26,"Uurtarief",IF(OR(AND(RIGHT($F26,3)="IKS",VLOOKUP($M26,DB_Loonkosten,2,0)="Ja"),AND(RIGHT($F26,3)&lt;&gt;"IKS",VLOOKUP($M26,DB_Loonkosten,2,0)="Nee")),IFERROR(VLOOKUP($M26,DB_Loonkosten,25,0),""),0),"Vast tarief",IF(LEFT(F26,8)="Bijdrage",VLOOKUP($F26,Tb_KostenTypen[],MATCH(Lijsten!$P$1,Tb_KostenTypen[#Headers],0),0),VLOOKUP($G26,Lijsten!L:P,MATCH(Lijsten!$P$1,Kop_Tarief_Vast,0),0))),""),"")</f>
        <v/>
      </c>
      <c r="Q26" s="359"/>
      <c r="R26" s="359"/>
      <c r="S26" s="321"/>
      <c r="T26" s="321"/>
      <c r="U26" s="373" t="str">
        <f t="shared" si="0"/>
        <v/>
      </c>
      <c r="V26" s="314" t="str">
        <f t="shared" si="1"/>
        <v/>
      </c>
      <c r="W26" s="314" t="str" cm="1">
        <f t="array" aca="1" ref="W26" ca="1">IFERROR(IF(AE26&lt;&gt;"ja",_xlfn.IFNA(_xlfn.IFS(AND(O26&lt;&gt;"",F26&lt;&gt;"",RIGHT($N26,6)="tarief",F26="Vergoeding"),SUM(O26)*FLOOR(SUM(Q26),0.0001),AND(O26&lt;&gt;"",F26&lt;&gt;"",RIGHT($N26,6)="tarief"),SUM(O26)*FLOOR(SUM(Q26),0.01),S26&gt;0,IF(F26&lt;&gt;"",FLOOR(SUM(S26),0.01),"")),""),""),"")</f>
        <v/>
      </c>
      <c r="X26" s="314" t="str" cm="1">
        <f t="array" aca="1" ref="X26" ca="1">IFERROR(IF(AE26&lt;&gt;"ja",_xlfn.IFNA(_xlfn.IFS(AND(P26&lt;&gt;"",R26&lt;&gt;"",RIGHT($N26,6)="tarief",F26="Vergoeding"),SUM(P26)*FLOOR(SUM(R26),0.0001),AND(P26&lt;&gt;"",R26&lt;&gt;"",RIGHT($N26,6)="tarief"),P26*FLOOR(R26,0.01),T26&gt;0,FLOOR(SUM(T26),0.01)),""),""),"")</f>
        <v/>
      </c>
      <c r="Y26" s="314" t="str">
        <f t="shared" ca="1" si="2"/>
        <v/>
      </c>
      <c r="Z26" s="314" t="str" cm="1">
        <f t="array" aca="1" ref="Z26" ca="1">IFERROR(_xlfn.IFS(OR(F26="",LEFT(Methode_Keuze,4)="Geen",Methode_Keuze=""),"",AND(W26&lt;&gt;"",F26&lt;&gt;"Arbeidskosten"),W26*VLOOKUP(F26,Tb_ProjectKosten[],MATCH(Tb_ProjectKosten[[#Headers],[Forfait_Percentage]],Tb_ProjectKosten[#Headers],0),0),AND(F26="Arbeidskosten",G26&lt;&gt;""),IFERROR(W26*VLOOKUP(G26,Tb_KostenTypen[],3,0)*VLOOKUP(F26,Tb_ProjectKosten[],MATCH(Tb_ProjectKosten[[#Headers],[Forfait_Percentage]],Tb_ProjectKosten[#Headers],0),0),""),W26 &lt;=0,0),"")</f>
        <v/>
      </c>
      <c r="AA26" s="314" t="str" cm="1">
        <f t="array" aca="1" ref="AA26" ca="1">IFERROR(_xlfn.IFS(OR(F26="",LEFT(Methode_Keuze,4)="Geen",Methode_Keuze=""),"",AND(X26&lt;&gt;"",F26&lt;&gt;"Arbeidskosten"),X26*VLOOKUP(F26,Tb_ProjectKosten[],MATCH(Tb_ProjectKosten[[#Headers],[Forfait_Percentage]],Tb_ProjectKosten[#Headers],0),0),AND(F26="Arbeidskosten",G26&lt;&gt;""),IFERROR(X26*VLOOKUP(G26,Tb_KostenTypen[],3,0)*VLOOKUP(F26,Tb_ProjectKosten[],MATCH(Tb_ProjectKosten[[#Headers],[Forfait_Percentage]],Tb_ProjectKosten[#Headers],0),0),""),X26 &lt;=0,0),"")</f>
        <v/>
      </c>
      <c r="AB26" s="314" t="str">
        <f t="shared" ca="1" si="3"/>
        <v/>
      </c>
      <c r="AC26" s="322"/>
      <c r="AD26" s="315"/>
      <c r="AE26" s="32" t="str" cm="1">
        <f t="array" ref="AE26">IFERROR(IF(INDEX(SubsidieTabel!$AD$1:$AG$12,MATCH($F26,SubsidieTabel!$AD$1:$AD$12,0),IFERROR(MATCH(Methode_Keuze,SubsidieTabel!$AD$1:$AG$1,0),2))&lt;&gt;1=TRUE,"ja",""),"")</f>
        <v/>
      </c>
    </row>
    <row r="27" spans="1:31" x14ac:dyDescent="0.25">
      <c r="A27" s="316"/>
      <c r="B27" s="317" t="str">
        <f>IF(A27&lt;&gt;"",_xlfn.MAXIFS($B$1:B26,$A$1:A26,A27)+1,"")</f>
        <v/>
      </c>
      <c r="C27" s="296"/>
      <c r="D27" s="296"/>
      <c r="E27" s="296"/>
      <c r="F27" s="296"/>
      <c r="G27" s="326"/>
      <c r="H27" s="324"/>
      <c r="I27" s="325"/>
      <c r="J27" s="325"/>
      <c r="K27" s="318"/>
      <c r="L27" s="318"/>
      <c r="M27" s="319" t="str">
        <f>IFERROR(VLOOKUP(H27,Lijsten!$H$1:$I$100,2,0),"")</f>
        <v/>
      </c>
      <c r="N27" s="319" t="str">
        <f ca="1">IFERROR(IF(VLOOKUP(F27,Kostentypen!$A$3:$E$21,3,0)=0,"",IF(OR(F27="Arbeidskosten",F27="Vergoeding"),VLOOKUP(G27,Tb_KostenTypen[],2,0),VLOOKUP(F27,Kostentypen!$A$3:$E$20,3,0))),"")</f>
        <v/>
      </c>
      <c r="O27" s="320" t="str" cm="1">
        <f t="array" ref="O27">_xlfn.IFNA(IF(INDEX(Tb_KostenOptiesDB[],MATCH($F27,Tb_KostenOptiesDB[KostenOptie],0),IFERROR(MATCH(Methode_Keuze,Tb_KostenOptiesDB[#Headers],0),2))=1,_xlfn.SWITCH($N27,"Uurtarief",IF(OR(AND(RIGHT($F27,3)="IKS",VLOOKUP($M27,DB_Loonkosten,2,0)="Ja"),AND(RIGHT($F27,3)&lt;&gt;"IKS",VLOOKUP($M27,DB_Loonkosten,2,0)="Nee")),IFERROR(VLOOKUP($M27,DB_Loonkosten,24,0),""),0),"Vast tarief",IF(LEFT(F27,8)="Bijdrage",VLOOKUP($F27,Tb_KostenTypen[],MATCH(Lijsten!$P$1,Tb_KostenTypen[#Headers],0),0),VLOOKUP($G27,Lijsten!L:P,MATCH(Lijsten!$P$1,Kop_Tarief_Vast,0),0))),""),"")</f>
        <v/>
      </c>
      <c r="P27" s="320" t="str" cm="1">
        <f t="array" ref="P27">_xlfn.IFNA(IF(INDEX(Tb_KostenOptiesDB[],MATCH($F27,Tb_KostenOptiesDB[KostenOptie],0),IFERROR(MATCH(Methode_Keuze,Tb_KostenOptiesDB[#Headers],0),2))=1,_xlfn.SWITCH($N27,"Uurtarief",IF(OR(AND(RIGHT($F27,3)="IKS",VLOOKUP($M27,DB_Loonkosten,2,0)="Ja"),AND(RIGHT($F27,3)&lt;&gt;"IKS",VLOOKUP($M27,DB_Loonkosten,2,0)="Nee")),IFERROR(VLOOKUP($M27,DB_Loonkosten,25,0),""),0),"Vast tarief",IF(LEFT(F27,8)="Bijdrage",VLOOKUP($F27,Tb_KostenTypen[],MATCH(Lijsten!$P$1,Tb_KostenTypen[#Headers],0),0),VLOOKUP($G27,Lijsten!L:P,MATCH(Lijsten!$P$1,Kop_Tarief_Vast,0),0))),""),"")</f>
        <v/>
      </c>
      <c r="Q27" s="359"/>
      <c r="R27" s="359"/>
      <c r="S27" s="321"/>
      <c r="T27" s="321"/>
      <c r="U27" s="373" t="str">
        <f t="shared" si="0"/>
        <v/>
      </c>
      <c r="V27" s="314" t="str">
        <f t="shared" si="1"/>
        <v/>
      </c>
      <c r="W27" s="314" t="str" cm="1">
        <f t="array" aca="1" ref="W27" ca="1">IFERROR(IF(AE27&lt;&gt;"ja",_xlfn.IFNA(_xlfn.IFS(AND(O27&lt;&gt;"",F27&lt;&gt;"",RIGHT($N27,6)="tarief",F27="Vergoeding"),SUM(O27)*FLOOR(SUM(Q27),0.0001),AND(O27&lt;&gt;"",F27&lt;&gt;"",RIGHT($N27,6)="tarief"),SUM(O27)*FLOOR(SUM(Q27),0.01),S27&gt;0,IF(F27&lt;&gt;"",FLOOR(SUM(S27),0.01),"")),""),""),"")</f>
        <v/>
      </c>
      <c r="X27" s="314" t="str" cm="1">
        <f t="array" aca="1" ref="X27" ca="1">IFERROR(IF(AE27&lt;&gt;"ja",_xlfn.IFNA(_xlfn.IFS(AND(P27&lt;&gt;"",R27&lt;&gt;"",RIGHT($N27,6)="tarief",F27="Vergoeding"),SUM(P27)*FLOOR(SUM(R27),0.0001),AND(P27&lt;&gt;"",R27&lt;&gt;"",RIGHT($N27,6)="tarief"),P27*FLOOR(R27,0.01),T27&gt;0,FLOOR(SUM(T27),0.01)),""),""),"")</f>
        <v/>
      </c>
      <c r="Y27" s="314" t="str">
        <f t="shared" ca="1" si="2"/>
        <v/>
      </c>
      <c r="Z27" s="314" t="str" cm="1">
        <f t="array" aca="1" ref="Z27" ca="1">IFERROR(_xlfn.IFS(OR(F27="",LEFT(Methode_Keuze,4)="Geen",Methode_Keuze=""),"",AND(W27&lt;&gt;"",F27&lt;&gt;"Arbeidskosten"),W27*VLOOKUP(F27,Tb_ProjectKosten[],MATCH(Tb_ProjectKosten[[#Headers],[Forfait_Percentage]],Tb_ProjectKosten[#Headers],0),0),AND(F27="Arbeidskosten",G27&lt;&gt;""),IFERROR(W27*VLOOKUP(G27,Tb_KostenTypen[],3,0)*VLOOKUP(F27,Tb_ProjectKosten[],MATCH(Tb_ProjectKosten[[#Headers],[Forfait_Percentage]],Tb_ProjectKosten[#Headers],0),0),""),W27 &lt;=0,0),"")</f>
        <v/>
      </c>
      <c r="AA27" s="314" t="str" cm="1">
        <f t="array" aca="1" ref="AA27" ca="1">IFERROR(_xlfn.IFS(OR(F27="",LEFT(Methode_Keuze,4)="Geen",Methode_Keuze=""),"",AND(X27&lt;&gt;"",F27&lt;&gt;"Arbeidskosten"),X27*VLOOKUP(F27,Tb_ProjectKosten[],MATCH(Tb_ProjectKosten[[#Headers],[Forfait_Percentage]],Tb_ProjectKosten[#Headers],0),0),AND(F27="Arbeidskosten",G27&lt;&gt;""),IFERROR(X27*VLOOKUP(G27,Tb_KostenTypen[],3,0)*VLOOKUP(F27,Tb_ProjectKosten[],MATCH(Tb_ProjectKosten[[#Headers],[Forfait_Percentage]],Tb_ProjectKosten[#Headers],0),0),""),X27 &lt;=0,0),"")</f>
        <v/>
      </c>
      <c r="AB27" s="314" t="str">
        <f t="shared" ca="1" si="3"/>
        <v/>
      </c>
      <c r="AC27" s="322"/>
      <c r="AD27" s="315"/>
      <c r="AE27" s="32" t="str" cm="1">
        <f t="array" ref="AE27">IFERROR(IF(INDEX(SubsidieTabel!$AD$1:$AG$12,MATCH($F27,SubsidieTabel!$AD$1:$AD$12,0),IFERROR(MATCH(Methode_Keuze,SubsidieTabel!$AD$1:$AG$1,0),2))&lt;&gt;1=TRUE,"ja",""),"")</f>
        <v/>
      </c>
    </row>
    <row r="28" spans="1:31" x14ac:dyDescent="0.25">
      <c r="A28" s="316"/>
      <c r="B28" s="317" t="str">
        <f>IF(A28&lt;&gt;"",_xlfn.MAXIFS($B$1:B27,$A$1:A27,A28)+1,"")</f>
        <v/>
      </c>
      <c r="C28" s="296"/>
      <c r="D28" s="296"/>
      <c r="E28" s="296"/>
      <c r="F28" s="296"/>
      <c r="G28" s="326"/>
      <c r="H28" s="324"/>
      <c r="I28" s="325"/>
      <c r="J28" s="325"/>
      <c r="K28" s="318"/>
      <c r="L28" s="318"/>
      <c r="M28" s="319" t="str">
        <f>IFERROR(VLOOKUP(H28,Lijsten!$H$1:$I$100,2,0),"")</f>
        <v/>
      </c>
      <c r="N28" s="319" t="str">
        <f ca="1">IFERROR(IF(VLOOKUP(F28,Kostentypen!$A$3:$E$21,3,0)=0,"",IF(OR(F28="Arbeidskosten",F28="Vergoeding"),VLOOKUP(G28,Tb_KostenTypen[],2,0),VLOOKUP(F28,Kostentypen!$A$3:$E$20,3,0))),"")</f>
        <v/>
      </c>
      <c r="O28" s="320" t="str" cm="1">
        <f t="array" ref="O28">_xlfn.IFNA(IF(INDEX(Tb_KostenOptiesDB[],MATCH($F28,Tb_KostenOptiesDB[KostenOptie],0),IFERROR(MATCH(Methode_Keuze,Tb_KostenOptiesDB[#Headers],0),2))=1,_xlfn.SWITCH($N28,"Uurtarief",IF(OR(AND(RIGHT($F28,3)="IKS",VLOOKUP($M28,DB_Loonkosten,2,0)="Ja"),AND(RIGHT($F28,3)&lt;&gt;"IKS",VLOOKUP($M28,DB_Loonkosten,2,0)="Nee")),IFERROR(VLOOKUP($M28,DB_Loonkosten,24,0),""),0),"Vast tarief",IF(LEFT(F28,8)="Bijdrage",VLOOKUP($F28,Tb_KostenTypen[],MATCH(Lijsten!$P$1,Tb_KostenTypen[#Headers],0),0),VLOOKUP($G28,Lijsten!L:P,MATCH(Lijsten!$P$1,Kop_Tarief_Vast,0),0))),""),"")</f>
        <v/>
      </c>
      <c r="P28" s="320" t="str" cm="1">
        <f t="array" ref="P28">_xlfn.IFNA(IF(INDEX(Tb_KostenOptiesDB[],MATCH($F28,Tb_KostenOptiesDB[KostenOptie],0),IFERROR(MATCH(Methode_Keuze,Tb_KostenOptiesDB[#Headers],0),2))=1,_xlfn.SWITCH($N28,"Uurtarief",IF(OR(AND(RIGHT($F28,3)="IKS",VLOOKUP($M28,DB_Loonkosten,2,0)="Ja"),AND(RIGHT($F28,3)&lt;&gt;"IKS",VLOOKUP($M28,DB_Loonkosten,2,0)="Nee")),IFERROR(VLOOKUP($M28,DB_Loonkosten,25,0),""),0),"Vast tarief",IF(LEFT(F28,8)="Bijdrage",VLOOKUP($F28,Tb_KostenTypen[],MATCH(Lijsten!$P$1,Tb_KostenTypen[#Headers],0),0),VLOOKUP($G28,Lijsten!L:P,MATCH(Lijsten!$P$1,Kop_Tarief_Vast,0),0))),""),"")</f>
        <v/>
      </c>
      <c r="Q28" s="359"/>
      <c r="R28" s="359"/>
      <c r="S28" s="321"/>
      <c r="T28" s="321"/>
      <c r="U28" s="373" t="str">
        <f t="shared" si="0"/>
        <v/>
      </c>
      <c r="V28" s="314" t="str">
        <f t="shared" si="1"/>
        <v/>
      </c>
      <c r="W28" s="314" t="str" cm="1">
        <f t="array" aca="1" ref="W28" ca="1">IFERROR(IF(AE28&lt;&gt;"ja",_xlfn.IFNA(_xlfn.IFS(AND(O28&lt;&gt;"",F28&lt;&gt;"",RIGHT($N28,6)="tarief",F28="Vergoeding"),SUM(O28)*FLOOR(SUM(Q28),0.0001),AND(O28&lt;&gt;"",F28&lt;&gt;"",RIGHT($N28,6)="tarief"),SUM(O28)*FLOOR(SUM(Q28),0.01),S28&gt;0,IF(F28&lt;&gt;"",FLOOR(SUM(S28),0.01),"")),""),""),"")</f>
        <v/>
      </c>
      <c r="X28" s="314" t="str" cm="1">
        <f t="array" aca="1" ref="X28" ca="1">IFERROR(IF(AE28&lt;&gt;"ja",_xlfn.IFNA(_xlfn.IFS(AND(P28&lt;&gt;"",R28&lt;&gt;"",RIGHT($N28,6)="tarief",F28="Vergoeding"),SUM(P28)*FLOOR(SUM(R28),0.0001),AND(P28&lt;&gt;"",R28&lt;&gt;"",RIGHT($N28,6)="tarief"),P28*FLOOR(R28,0.01),T28&gt;0,FLOOR(SUM(T28),0.01)),""),""),"")</f>
        <v/>
      </c>
      <c r="Y28" s="314" t="str">
        <f t="shared" ca="1" si="2"/>
        <v/>
      </c>
      <c r="Z28" s="314" t="str" cm="1">
        <f t="array" aca="1" ref="Z28" ca="1">IFERROR(_xlfn.IFS(OR(F28="",LEFT(Methode_Keuze,4)="Geen",Methode_Keuze=""),"",AND(W28&lt;&gt;"",F28&lt;&gt;"Arbeidskosten"),W28*VLOOKUP(F28,Tb_ProjectKosten[],MATCH(Tb_ProjectKosten[[#Headers],[Forfait_Percentage]],Tb_ProjectKosten[#Headers],0),0),AND(F28="Arbeidskosten",G28&lt;&gt;""),IFERROR(W28*VLOOKUP(G28,Tb_KostenTypen[],3,0)*VLOOKUP(F28,Tb_ProjectKosten[],MATCH(Tb_ProjectKosten[[#Headers],[Forfait_Percentage]],Tb_ProjectKosten[#Headers],0),0),""),W28 &lt;=0,0),"")</f>
        <v/>
      </c>
      <c r="AA28" s="314" t="str" cm="1">
        <f t="array" aca="1" ref="AA28" ca="1">IFERROR(_xlfn.IFS(OR(F28="",LEFT(Methode_Keuze,4)="Geen",Methode_Keuze=""),"",AND(X28&lt;&gt;"",F28&lt;&gt;"Arbeidskosten"),X28*VLOOKUP(F28,Tb_ProjectKosten[],MATCH(Tb_ProjectKosten[[#Headers],[Forfait_Percentage]],Tb_ProjectKosten[#Headers],0),0),AND(F28="Arbeidskosten",G28&lt;&gt;""),IFERROR(X28*VLOOKUP(G28,Tb_KostenTypen[],3,0)*VLOOKUP(F28,Tb_ProjectKosten[],MATCH(Tb_ProjectKosten[[#Headers],[Forfait_Percentage]],Tb_ProjectKosten[#Headers],0),0),""),X28 &lt;=0,0),"")</f>
        <v/>
      </c>
      <c r="AB28" s="314" t="str">
        <f t="shared" ca="1" si="3"/>
        <v/>
      </c>
      <c r="AC28" s="322"/>
      <c r="AD28" s="315"/>
      <c r="AE28" s="32" t="str" cm="1">
        <f t="array" ref="AE28">IFERROR(IF(INDEX(SubsidieTabel!$AD$1:$AG$12,MATCH($F28,SubsidieTabel!$AD$1:$AD$12,0),IFERROR(MATCH(Methode_Keuze,SubsidieTabel!$AD$1:$AG$1,0),2))&lt;&gt;1=TRUE,"ja",""),"")</f>
        <v/>
      </c>
    </row>
    <row r="29" spans="1:31" x14ac:dyDescent="0.25">
      <c r="A29" s="316"/>
      <c r="B29" s="317" t="str">
        <f>IF(A29&lt;&gt;"",_xlfn.MAXIFS($B$1:B28,$A$1:A28,A29)+1,"")</f>
        <v/>
      </c>
      <c r="C29" s="296"/>
      <c r="D29" s="296"/>
      <c r="E29" s="296"/>
      <c r="F29" s="296"/>
      <c r="G29" s="326"/>
      <c r="H29" s="324"/>
      <c r="I29" s="325"/>
      <c r="J29" s="325"/>
      <c r="K29" s="318"/>
      <c r="L29" s="318"/>
      <c r="M29" s="319" t="str">
        <f>IFERROR(VLOOKUP(H29,Lijsten!$H$1:$I$100,2,0),"")</f>
        <v/>
      </c>
      <c r="N29" s="319" t="str">
        <f ca="1">IFERROR(IF(VLOOKUP(F29,Kostentypen!$A$3:$E$21,3,0)=0,"",IF(OR(F29="Arbeidskosten",F29="Vergoeding"),VLOOKUP(G29,Tb_KostenTypen[],2,0),VLOOKUP(F29,Kostentypen!$A$3:$E$20,3,0))),"")</f>
        <v/>
      </c>
      <c r="O29" s="320" t="str" cm="1">
        <f t="array" ref="O29">_xlfn.IFNA(IF(INDEX(Tb_KostenOptiesDB[],MATCH($F29,Tb_KostenOptiesDB[KostenOptie],0),IFERROR(MATCH(Methode_Keuze,Tb_KostenOptiesDB[#Headers],0),2))=1,_xlfn.SWITCH($N29,"Uurtarief",IF(OR(AND(RIGHT($F29,3)="IKS",VLOOKUP($M29,DB_Loonkosten,2,0)="Ja"),AND(RIGHT($F29,3)&lt;&gt;"IKS",VLOOKUP($M29,DB_Loonkosten,2,0)="Nee")),IFERROR(VLOOKUP($M29,DB_Loonkosten,24,0),""),0),"Vast tarief",IF(LEFT(F29,8)="Bijdrage",VLOOKUP($F29,Tb_KostenTypen[],MATCH(Lijsten!$P$1,Tb_KostenTypen[#Headers],0),0),VLOOKUP($G29,Lijsten!L:P,MATCH(Lijsten!$P$1,Kop_Tarief_Vast,0),0))),""),"")</f>
        <v/>
      </c>
      <c r="P29" s="320" t="str" cm="1">
        <f t="array" ref="P29">_xlfn.IFNA(IF(INDEX(Tb_KostenOptiesDB[],MATCH($F29,Tb_KostenOptiesDB[KostenOptie],0),IFERROR(MATCH(Methode_Keuze,Tb_KostenOptiesDB[#Headers],0),2))=1,_xlfn.SWITCH($N29,"Uurtarief",IF(OR(AND(RIGHT($F29,3)="IKS",VLOOKUP($M29,DB_Loonkosten,2,0)="Ja"),AND(RIGHT($F29,3)&lt;&gt;"IKS",VLOOKUP($M29,DB_Loonkosten,2,0)="Nee")),IFERROR(VLOOKUP($M29,DB_Loonkosten,25,0),""),0),"Vast tarief",IF(LEFT(F29,8)="Bijdrage",VLOOKUP($F29,Tb_KostenTypen[],MATCH(Lijsten!$P$1,Tb_KostenTypen[#Headers],0),0),VLOOKUP($G29,Lijsten!L:P,MATCH(Lijsten!$P$1,Kop_Tarief_Vast,0),0))),""),"")</f>
        <v/>
      </c>
      <c r="Q29" s="359"/>
      <c r="R29" s="359"/>
      <c r="S29" s="321"/>
      <c r="T29" s="321"/>
      <c r="U29" s="373" t="str">
        <f t="shared" si="0"/>
        <v/>
      </c>
      <c r="V29" s="314" t="str">
        <f t="shared" si="1"/>
        <v/>
      </c>
      <c r="W29" s="314" t="str" cm="1">
        <f t="array" aca="1" ref="W29" ca="1">IFERROR(IF(AE29&lt;&gt;"ja",_xlfn.IFNA(_xlfn.IFS(AND(O29&lt;&gt;"",F29&lt;&gt;"",RIGHT($N29,6)="tarief",F29="Vergoeding"),SUM(O29)*FLOOR(SUM(Q29),0.0001),AND(O29&lt;&gt;"",F29&lt;&gt;"",RIGHT($N29,6)="tarief"),SUM(O29)*FLOOR(SUM(Q29),0.01),S29&gt;0,IF(F29&lt;&gt;"",FLOOR(SUM(S29),0.01),"")),""),""),"")</f>
        <v/>
      </c>
      <c r="X29" s="314" t="str" cm="1">
        <f t="array" aca="1" ref="X29" ca="1">IFERROR(IF(AE29&lt;&gt;"ja",_xlfn.IFNA(_xlfn.IFS(AND(P29&lt;&gt;"",R29&lt;&gt;"",RIGHT($N29,6)="tarief",F29="Vergoeding"),SUM(P29)*FLOOR(SUM(R29),0.0001),AND(P29&lt;&gt;"",R29&lt;&gt;"",RIGHT($N29,6)="tarief"),P29*FLOOR(R29,0.01),T29&gt;0,FLOOR(SUM(T29),0.01)),""),""),"")</f>
        <v/>
      </c>
      <c r="Y29" s="314" t="str">
        <f t="shared" ca="1" si="2"/>
        <v/>
      </c>
      <c r="Z29" s="314" t="str" cm="1">
        <f t="array" aca="1" ref="Z29" ca="1">IFERROR(_xlfn.IFS(OR(F29="",LEFT(Methode_Keuze,4)="Geen",Methode_Keuze=""),"",AND(W29&lt;&gt;"",F29&lt;&gt;"Arbeidskosten"),W29*VLOOKUP(F29,Tb_ProjectKosten[],MATCH(Tb_ProjectKosten[[#Headers],[Forfait_Percentage]],Tb_ProjectKosten[#Headers],0),0),AND(F29="Arbeidskosten",G29&lt;&gt;""),IFERROR(W29*VLOOKUP(G29,Tb_KostenTypen[],3,0)*VLOOKUP(F29,Tb_ProjectKosten[],MATCH(Tb_ProjectKosten[[#Headers],[Forfait_Percentage]],Tb_ProjectKosten[#Headers],0),0),""),W29 &lt;=0,0),"")</f>
        <v/>
      </c>
      <c r="AA29" s="314" t="str" cm="1">
        <f t="array" aca="1" ref="AA29" ca="1">IFERROR(_xlfn.IFS(OR(F29="",LEFT(Methode_Keuze,4)="Geen",Methode_Keuze=""),"",AND(X29&lt;&gt;"",F29&lt;&gt;"Arbeidskosten"),X29*VLOOKUP(F29,Tb_ProjectKosten[],MATCH(Tb_ProjectKosten[[#Headers],[Forfait_Percentage]],Tb_ProjectKosten[#Headers],0),0),AND(F29="Arbeidskosten",G29&lt;&gt;""),IFERROR(X29*VLOOKUP(G29,Tb_KostenTypen[],3,0)*VLOOKUP(F29,Tb_ProjectKosten[],MATCH(Tb_ProjectKosten[[#Headers],[Forfait_Percentage]],Tb_ProjectKosten[#Headers],0),0),""),X29 &lt;=0,0),"")</f>
        <v/>
      </c>
      <c r="AB29" s="314" t="str">
        <f t="shared" ca="1" si="3"/>
        <v/>
      </c>
      <c r="AC29" s="322"/>
      <c r="AD29" s="315"/>
      <c r="AE29" s="32" t="str" cm="1">
        <f t="array" ref="AE29">IFERROR(IF(INDEX(SubsidieTabel!$AD$1:$AG$12,MATCH($F29,SubsidieTabel!$AD$1:$AD$12,0),IFERROR(MATCH(Methode_Keuze,SubsidieTabel!$AD$1:$AG$1,0),2))&lt;&gt;1=TRUE,"ja",""),"")</f>
        <v/>
      </c>
    </row>
    <row r="30" spans="1:31" x14ac:dyDescent="0.25">
      <c r="A30" s="316"/>
      <c r="B30" s="317" t="str">
        <f>IF(A30&lt;&gt;"",_xlfn.MAXIFS($B$1:B29,$A$1:A29,A30)+1,"")</f>
        <v/>
      </c>
      <c r="C30" s="296"/>
      <c r="D30" s="296"/>
      <c r="E30" s="296"/>
      <c r="F30" s="296"/>
      <c r="G30" s="326"/>
      <c r="H30" s="324"/>
      <c r="I30" s="325"/>
      <c r="J30" s="325"/>
      <c r="K30" s="318"/>
      <c r="L30" s="318"/>
      <c r="M30" s="319" t="str">
        <f>IFERROR(VLOOKUP(H30,Lijsten!$H$1:$I$100,2,0),"")</f>
        <v/>
      </c>
      <c r="N30" s="319" t="str">
        <f ca="1">IFERROR(IF(VLOOKUP(F30,Kostentypen!$A$3:$E$21,3,0)=0,"",IF(OR(F30="Arbeidskosten",F30="Vergoeding"),VLOOKUP(G30,Tb_KostenTypen[],2,0),VLOOKUP(F30,Kostentypen!$A$3:$E$20,3,0))),"")</f>
        <v/>
      </c>
      <c r="O30" s="320" t="str" cm="1">
        <f t="array" ref="O30">_xlfn.IFNA(IF(INDEX(Tb_KostenOptiesDB[],MATCH($F30,Tb_KostenOptiesDB[KostenOptie],0),IFERROR(MATCH(Methode_Keuze,Tb_KostenOptiesDB[#Headers],0),2))=1,_xlfn.SWITCH($N30,"Uurtarief",IF(OR(AND(RIGHT($F30,3)="IKS",VLOOKUP($M30,DB_Loonkosten,2,0)="Ja"),AND(RIGHT($F30,3)&lt;&gt;"IKS",VLOOKUP($M30,DB_Loonkosten,2,0)="Nee")),IFERROR(VLOOKUP($M30,DB_Loonkosten,24,0),""),0),"Vast tarief",IF(LEFT(F30,8)="Bijdrage",VLOOKUP($F30,Tb_KostenTypen[],MATCH(Lijsten!$P$1,Tb_KostenTypen[#Headers],0),0),VLOOKUP($G30,Lijsten!L:P,MATCH(Lijsten!$P$1,Kop_Tarief_Vast,0),0))),""),"")</f>
        <v/>
      </c>
      <c r="P30" s="320" t="str" cm="1">
        <f t="array" ref="P30">_xlfn.IFNA(IF(INDEX(Tb_KostenOptiesDB[],MATCH($F30,Tb_KostenOptiesDB[KostenOptie],0),IFERROR(MATCH(Methode_Keuze,Tb_KostenOptiesDB[#Headers],0),2))=1,_xlfn.SWITCH($N30,"Uurtarief",IF(OR(AND(RIGHT($F30,3)="IKS",VLOOKUP($M30,DB_Loonkosten,2,0)="Ja"),AND(RIGHT($F30,3)&lt;&gt;"IKS",VLOOKUP($M30,DB_Loonkosten,2,0)="Nee")),IFERROR(VLOOKUP($M30,DB_Loonkosten,25,0),""),0),"Vast tarief",IF(LEFT(F30,8)="Bijdrage",VLOOKUP($F30,Tb_KostenTypen[],MATCH(Lijsten!$P$1,Tb_KostenTypen[#Headers],0),0),VLOOKUP($G30,Lijsten!L:P,MATCH(Lijsten!$P$1,Kop_Tarief_Vast,0),0))),""),"")</f>
        <v/>
      </c>
      <c r="Q30" s="359"/>
      <c r="R30" s="359"/>
      <c r="S30" s="321"/>
      <c r="T30" s="321"/>
      <c r="U30" s="373" t="str">
        <f t="shared" si="0"/>
        <v/>
      </c>
      <c r="V30" s="314" t="str">
        <f t="shared" si="1"/>
        <v/>
      </c>
      <c r="W30" s="314" t="str" cm="1">
        <f t="array" aca="1" ref="W30" ca="1">IFERROR(IF(AE30&lt;&gt;"ja",_xlfn.IFNA(_xlfn.IFS(AND(O30&lt;&gt;"",F30&lt;&gt;"",RIGHT($N30,6)="tarief",F30="Vergoeding"),SUM(O30)*FLOOR(SUM(Q30),0.0001),AND(O30&lt;&gt;"",F30&lt;&gt;"",RIGHT($N30,6)="tarief"),SUM(O30)*FLOOR(SUM(Q30),0.01),S30&gt;0,IF(F30&lt;&gt;"",FLOOR(SUM(S30),0.01),"")),""),""),"")</f>
        <v/>
      </c>
      <c r="X30" s="314" t="str" cm="1">
        <f t="array" aca="1" ref="X30" ca="1">IFERROR(IF(AE30&lt;&gt;"ja",_xlfn.IFNA(_xlfn.IFS(AND(P30&lt;&gt;"",R30&lt;&gt;"",RIGHT($N30,6)="tarief",F30="Vergoeding"),SUM(P30)*FLOOR(SUM(R30),0.0001),AND(P30&lt;&gt;"",R30&lt;&gt;"",RIGHT($N30,6)="tarief"),P30*FLOOR(R30,0.01),T30&gt;0,FLOOR(SUM(T30),0.01)),""),""),"")</f>
        <v/>
      </c>
      <c r="Y30" s="314" t="str">
        <f t="shared" ca="1" si="2"/>
        <v/>
      </c>
      <c r="Z30" s="314" t="str" cm="1">
        <f t="array" aca="1" ref="Z30" ca="1">IFERROR(_xlfn.IFS(OR(F30="",LEFT(Methode_Keuze,4)="Geen",Methode_Keuze=""),"",AND(W30&lt;&gt;"",F30&lt;&gt;"Arbeidskosten"),W30*VLOOKUP(F30,Tb_ProjectKosten[],MATCH(Tb_ProjectKosten[[#Headers],[Forfait_Percentage]],Tb_ProjectKosten[#Headers],0),0),AND(F30="Arbeidskosten",G30&lt;&gt;""),IFERROR(W30*VLOOKUP(G30,Tb_KostenTypen[],3,0)*VLOOKUP(F30,Tb_ProjectKosten[],MATCH(Tb_ProjectKosten[[#Headers],[Forfait_Percentage]],Tb_ProjectKosten[#Headers],0),0),""),W30 &lt;=0,0),"")</f>
        <v/>
      </c>
      <c r="AA30" s="314" t="str" cm="1">
        <f t="array" aca="1" ref="AA30" ca="1">IFERROR(_xlfn.IFS(OR(F30="",LEFT(Methode_Keuze,4)="Geen",Methode_Keuze=""),"",AND(X30&lt;&gt;"",F30&lt;&gt;"Arbeidskosten"),X30*VLOOKUP(F30,Tb_ProjectKosten[],MATCH(Tb_ProjectKosten[[#Headers],[Forfait_Percentage]],Tb_ProjectKosten[#Headers],0),0),AND(F30="Arbeidskosten",G30&lt;&gt;""),IFERROR(X30*VLOOKUP(G30,Tb_KostenTypen[],3,0)*VLOOKUP(F30,Tb_ProjectKosten[],MATCH(Tb_ProjectKosten[[#Headers],[Forfait_Percentage]],Tb_ProjectKosten[#Headers],0),0),""),X30 &lt;=0,0),"")</f>
        <v/>
      </c>
      <c r="AB30" s="314" t="str">
        <f t="shared" ca="1" si="3"/>
        <v/>
      </c>
      <c r="AC30" s="322"/>
      <c r="AD30" s="315"/>
      <c r="AE30" s="32" t="str" cm="1">
        <f t="array" ref="AE30">IFERROR(IF(INDEX(SubsidieTabel!$AD$1:$AG$12,MATCH($F30,SubsidieTabel!$AD$1:$AD$12,0),IFERROR(MATCH(Methode_Keuze,SubsidieTabel!$AD$1:$AG$1,0),2))&lt;&gt;1=TRUE,"ja",""),"")</f>
        <v/>
      </c>
    </row>
    <row r="31" spans="1:31" x14ac:dyDescent="0.25">
      <c r="A31" s="316"/>
      <c r="B31" s="317" t="str">
        <f>IF(A31&lt;&gt;"",_xlfn.MAXIFS($B$1:B30,$A$1:A30,A31)+1,"")</f>
        <v/>
      </c>
      <c r="C31" s="296"/>
      <c r="D31" s="296"/>
      <c r="E31" s="296"/>
      <c r="F31" s="296"/>
      <c r="G31" s="326"/>
      <c r="H31" s="324"/>
      <c r="I31" s="325"/>
      <c r="J31" s="325"/>
      <c r="K31" s="318"/>
      <c r="L31" s="318"/>
      <c r="M31" s="319" t="str">
        <f>IFERROR(VLOOKUP(H31,Lijsten!$H$1:$I$100,2,0),"")</f>
        <v/>
      </c>
      <c r="N31" s="319" t="str">
        <f ca="1">IFERROR(IF(VLOOKUP(F31,Kostentypen!$A$3:$E$21,3,0)=0,"",IF(OR(F31="Arbeidskosten",F31="Vergoeding"),VLOOKUP(G31,Tb_KostenTypen[],2,0),VLOOKUP(F31,Kostentypen!$A$3:$E$20,3,0))),"")</f>
        <v/>
      </c>
      <c r="O31" s="320" t="str" cm="1">
        <f t="array" ref="O31">_xlfn.IFNA(IF(INDEX(Tb_KostenOptiesDB[],MATCH($F31,Tb_KostenOptiesDB[KostenOptie],0),IFERROR(MATCH(Methode_Keuze,Tb_KostenOptiesDB[#Headers],0),2))=1,_xlfn.SWITCH($N31,"Uurtarief",IF(OR(AND(RIGHT($F31,3)="IKS",VLOOKUP($M31,DB_Loonkosten,2,0)="Ja"),AND(RIGHT($F31,3)&lt;&gt;"IKS",VLOOKUP($M31,DB_Loonkosten,2,0)="Nee")),IFERROR(VLOOKUP($M31,DB_Loonkosten,24,0),""),0),"Vast tarief",IF(LEFT(F31,8)="Bijdrage",VLOOKUP($F31,Tb_KostenTypen[],MATCH(Lijsten!$P$1,Tb_KostenTypen[#Headers],0),0),VLOOKUP($G31,Lijsten!L:P,MATCH(Lijsten!$P$1,Kop_Tarief_Vast,0),0))),""),"")</f>
        <v/>
      </c>
      <c r="P31" s="320" t="str" cm="1">
        <f t="array" ref="P31">_xlfn.IFNA(IF(INDEX(Tb_KostenOptiesDB[],MATCH($F31,Tb_KostenOptiesDB[KostenOptie],0),IFERROR(MATCH(Methode_Keuze,Tb_KostenOptiesDB[#Headers],0),2))=1,_xlfn.SWITCH($N31,"Uurtarief",IF(OR(AND(RIGHT($F31,3)="IKS",VLOOKUP($M31,DB_Loonkosten,2,0)="Ja"),AND(RIGHT($F31,3)&lt;&gt;"IKS",VLOOKUP($M31,DB_Loonkosten,2,0)="Nee")),IFERROR(VLOOKUP($M31,DB_Loonkosten,25,0),""),0),"Vast tarief",IF(LEFT(F31,8)="Bijdrage",VLOOKUP($F31,Tb_KostenTypen[],MATCH(Lijsten!$P$1,Tb_KostenTypen[#Headers],0),0),VLOOKUP($G31,Lijsten!L:P,MATCH(Lijsten!$P$1,Kop_Tarief_Vast,0),0))),""),"")</f>
        <v/>
      </c>
      <c r="Q31" s="359"/>
      <c r="R31" s="359"/>
      <c r="S31" s="321"/>
      <c r="T31" s="321"/>
      <c r="U31" s="373" t="str">
        <f t="shared" si="0"/>
        <v/>
      </c>
      <c r="V31" s="314" t="str">
        <f t="shared" si="1"/>
        <v/>
      </c>
      <c r="W31" s="314" t="str" cm="1">
        <f t="array" aca="1" ref="W31" ca="1">IFERROR(IF(AE31&lt;&gt;"ja",_xlfn.IFNA(_xlfn.IFS(AND(O31&lt;&gt;"",F31&lt;&gt;"",RIGHT($N31,6)="tarief",F31="Vergoeding"),SUM(O31)*FLOOR(SUM(Q31),0.0001),AND(O31&lt;&gt;"",F31&lt;&gt;"",RIGHT($N31,6)="tarief"),SUM(O31)*FLOOR(SUM(Q31),0.01),S31&gt;0,IF(F31&lt;&gt;"",FLOOR(SUM(S31),0.01),"")),""),""),"")</f>
        <v/>
      </c>
      <c r="X31" s="314" t="str" cm="1">
        <f t="array" aca="1" ref="X31" ca="1">IFERROR(IF(AE31&lt;&gt;"ja",_xlfn.IFNA(_xlfn.IFS(AND(P31&lt;&gt;"",R31&lt;&gt;"",RIGHT($N31,6)="tarief",F31="Vergoeding"),SUM(P31)*FLOOR(SUM(R31),0.0001),AND(P31&lt;&gt;"",R31&lt;&gt;"",RIGHT($N31,6)="tarief"),P31*FLOOR(R31,0.01),T31&gt;0,FLOOR(SUM(T31),0.01)),""),""),"")</f>
        <v/>
      </c>
      <c r="Y31" s="314" t="str">
        <f t="shared" ca="1" si="2"/>
        <v/>
      </c>
      <c r="Z31" s="314" t="str" cm="1">
        <f t="array" aca="1" ref="Z31" ca="1">IFERROR(_xlfn.IFS(OR(F31="",LEFT(Methode_Keuze,4)="Geen",Methode_Keuze=""),"",AND(W31&lt;&gt;"",F31&lt;&gt;"Arbeidskosten"),W31*VLOOKUP(F31,Tb_ProjectKosten[],MATCH(Tb_ProjectKosten[[#Headers],[Forfait_Percentage]],Tb_ProjectKosten[#Headers],0),0),AND(F31="Arbeidskosten",G31&lt;&gt;""),IFERROR(W31*VLOOKUP(G31,Tb_KostenTypen[],3,0)*VLOOKUP(F31,Tb_ProjectKosten[],MATCH(Tb_ProjectKosten[[#Headers],[Forfait_Percentage]],Tb_ProjectKosten[#Headers],0),0),""),W31 &lt;=0,0),"")</f>
        <v/>
      </c>
      <c r="AA31" s="314" t="str" cm="1">
        <f t="array" aca="1" ref="AA31" ca="1">IFERROR(_xlfn.IFS(OR(F31="",LEFT(Methode_Keuze,4)="Geen",Methode_Keuze=""),"",AND(X31&lt;&gt;"",F31&lt;&gt;"Arbeidskosten"),X31*VLOOKUP(F31,Tb_ProjectKosten[],MATCH(Tb_ProjectKosten[[#Headers],[Forfait_Percentage]],Tb_ProjectKosten[#Headers],0),0),AND(F31="Arbeidskosten",G31&lt;&gt;""),IFERROR(X31*VLOOKUP(G31,Tb_KostenTypen[],3,0)*VLOOKUP(F31,Tb_ProjectKosten[],MATCH(Tb_ProjectKosten[[#Headers],[Forfait_Percentage]],Tb_ProjectKosten[#Headers],0),0),""),X31 &lt;=0,0),"")</f>
        <v/>
      </c>
      <c r="AB31" s="314" t="str">
        <f t="shared" ca="1" si="3"/>
        <v/>
      </c>
      <c r="AC31" s="322"/>
      <c r="AD31" s="315"/>
      <c r="AE31" s="32" t="str" cm="1">
        <f t="array" ref="AE31">IFERROR(IF(INDEX(SubsidieTabel!$AD$1:$AG$12,MATCH($F31,SubsidieTabel!$AD$1:$AD$12,0),IFERROR(MATCH(Methode_Keuze,SubsidieTabel!$AD$1:$AG$1,0),2))&lt;&gt;1=TRUE,"ja",""),"")</f>
        <v/>
      </c>
    </row>
    <row r="32" spans="1:31" x14ac:dyDescent="0.25">
      <c r="A32" s="316"/>
      <c r="B32" s="317" t="str">
        <f>IF(A32&lt;&gt;"",_xlfn.MAXIFS($B$1:B31,$A$1:A31,A32)+1,"")</f>
        <v/>
      </c>
      <c r="C32" s="296"/>
      <c r="D32" s="296"/>
      <c r="E32" s="296"/>
      <c r="F32" s="296"/>
      <c r="G32" s="326"/>
      <c r="H32" s="324"/>
      <c r="I32" s="325"/>
      <c r="J32" s="325"/>
      <c r="K32" s="318"/>
      <c r="L32" s="318"/>
      <c r="M32" s="319" t="str">
        <f>IFERROR(VLOOKUP(H32,Lijsten!$H$1:$I$100,2,0),"")</f>
        <v/>
      </c>
      <c r="N32" s="319" t="str">
        <f ca="1">IFERROR(IF(VLOOKUP(F32,Kostentypen!$A$3:$E$21,3,0)=0,"",IF(OR(F32="Arbeidskosten",F32="Vergoeding"),VLOOKUP(G32,Tb_KostenTypen[],2,0),VLOOKUP(F32,Kostentypen!$A$3:$E$20,3,0))),"")</f>
        <v/>
      </c>
      <c r="O32" s="320" t="str" cm="1">
        <f t="array" ref="O32">_xlfn.IFNA(IF(INDEX(Tb_KostenOptiesDB[],MATCH($F32,Tb_KostenOptiesDB[KostenOptie],0),IFERROR(MATCH(Methode_Keuze,Tb_KostenOptiesDB[#Headers],0),2))=1,_xlfn.SWITCH($N32,"Uurtarief",IF(OR(AND(RIGHT($F32,3)="IKS",VLOOKUP($M32,DB_Loonkosten,2,0)="Ja"),AND(RIGHT($F32,3)&lt;&gt;"IKS",VLOOKUP($M32,DB_Loonkosten,2,0)="Nee")),IFERROR(VLOOKUP($M32,DB_Loonkosten,24,0),""),0),"Vast tarief",IF(LEFT(F32,8)="Bijdrage",VLOOKUP($F32,Tb_KostenTypen[],MATCH(Lijsten!$P$1,Tb_KostenTypen[#Headers],0),0),VLOOKUP($G32,Lijsten!L:P,MATCH(Lijsten!$P$1,Kop_Tarief_Vast,0),0))),""),"")</f>
        <v/>
      </c>
      <c r="P32" s="320" t="str" cm="1">
        <f t="array" ref="P32">_xlfn.IFNA(IF(INDEX(Tb_KostenOptiesDB[],MATCH($F32,Tb_KostenOptiesDB[KostenOptie],0),IFERROR(MATCH(Methode_Keuze,Tb_KostenOptiesDB[#Headers],0),2))=1,_xlfn.SWITCH($N32,"Uurtarief",IF(OR(AND(RIGHT($F32,3)="IKS",VLOOKUP($M32,DB_Loonkosten,2,0)="Ja"),AND(RIGHT($F32,3)&lt;&gt;"IKS",VLOOKUP($M32,DB_Loonkosten,2,0)="Nee")),IFERROR(VLOOKUP($M32,DB_Loonkosten,25,0),""),0),"Vast tarief",IF(LEFT(F32,8)="Bijdrage",VLOOKUP($F32,Tb_KostenTypen[],MATCH(Lijsten!$P$1,Tb_KostenTypen[#Headers],0),0),VLOOKUP($G32,Lijsten!L:P,MATCH(Lijsten!$P$1,Kop_Tarief_Vast,0),0))),""),"")</f>
        <v/>
      </c>
      <c r="Q32" s="359"/>
      <c r="R32" s="359"/>
      <c r="S32" s="321"/>
      <c r="T32" s="321"/>
      <c r="U32" s="373" t="str">
        <f t="shared" si="0"/>
        <v/>
      </c>
      <c r="V32" s="314" t="str">
        <f t="shared" si="1"/>
        <v/>
      </c>
      <c r="W32" s="314" t="str" cm="1">
        <f t="array" aca="1" ref="W32" ca="1">IFERROR(IF(AE32&lt;&gt;"ja",_xlfn.IFNA(_xlfn.IFS(AND(O32&lt;&gt;"",F32&lt;&gt;"",RIGHT($N32,6)="tarief",F32="Vergoeding"),SUM(O32)*FLOOR(SUM(Q32),0.0001),AND(O32&lt;&gt;"",F32&lt;&gt;"",RIGHT($N32,6)="tarief"),SUM(O32)*FLOOR(SUM(Q32),0.01),S32&gt;0,IF(F32&lt;&gt;"",FLOOR(SUM(S32),0.01),"")),""),""),"")</f>
        <v/>
      </c>
      <c r="X32" s="314" t="str" cm="1">
        <f t="array" aca="1" ref="X32" ca="1">IFERROR(IF(AE32&lt;&gt;"ja",_xlfn.IFNA(_xlfn.IFS(AND(P32&lt;&gt;"",R32&lt;&gt;"",RIGHT($N32,6)="tarief",F32="Vergoeding"),SUM(P32)*FLOOR(SUM(R32),0.0001),AND(P32&lt;&gt;"",R32&lt;&gt;"",RIGHT($N32,6)="tarief"),P32*FLOOR(R32,0.01),T32&gt;0,FLOOR(SUM(T32),0.01)),""),""),"")</f>
        <v/>
      </c>
      <c r="Y32" s="314" t="str">
        <f t="shared" ca="1" si="2"/>
        <v/>
      </c>
      <c r="Z32" s="314" t="str" cm="1">
        <f t="array" aca="1" ref="Z32" ca="1">IFERROR(_xlfn.IFS(OR(F32="",LEFT(Methode_Keuze,4)="Geen",Methode_Keuze=""),"",AND(W32&lt;&gt;"",F32&lt;&gt;"Arbeidskosten"),W32*VLOOKUP(F32,Tb_ProjectKosten[],MATCH(Tb_ProjectKosten[[#Headers],[Forfait_Percentage]],Tb_ProjectKosten[#Headers],0),0),AND(F32="Arbeidskosten",G32&lt;&gt;""),IFERROR(W32*VLOOKUP(G32,Tb_KostenTypen[],3,0)*VLOOKUP(F32,Tb_ProjectKosten[],MATCH(Tb_ProjectKosten[[#Headers],[Forfait_Percentage]],Tb_ProjectKosten[#Headers],0),0),""),W32 &lt;=0,0),"")</f>
        <v/>
      </c>
      <c r="AA32" s="314" t="str" cm="1">
        <f t="array" aca="1" ref="AA32" ca="1">IFERROR(_xlfn.IFS(OR(F32="",LEFT(Methode_Keuze,4)="Geen",Methode_Keuze=""),"",AND(X32&lt;&gt;"",F32&lt;&gt;"Arbeidskosten"),X32*VLOOKUP(F32,Tb_ProjectKosten[],MATCH(Tb_ProjectKosten[[#Headers],[Forfait_Percentage]],Tb_ProjectKosten[#Headers],0),0),AND(F32="Arbeidskosten",G32&lt;&gt;""),IFERROR(X32*VLOOKUP(G32,Tb_KostenTypen[],3,0)*VLOOKUP(F32,Tb_ProjectKosten[],MATCH(Tb_ProjectKosten[[#Headers],[Forfait_Percentage]],Tb_ProjectKosten[#Headers],0),0),""),X32 &lt;=0,0),"")</f>
        <v/>
      </c>
      <c r="AB32" s="314" t="str">
        <f t="shared" ca="1" si="3"/>
        <v/>
      </c>
      <c r="AC32" s="322"/>
      <c r="AD32" s="315"/>
      <c r="AE32" s="32" t="str" cm="1">
        <f t="array" ref="AE32">IFERROR(IF(INDEX(SubsidieTabel!$AD$1:$AG$12,MATCH($F32,SubsidieTabel!$AD$1:$AD$12,0),IFERROR(MATCH(Methode_Keuze,SubsidieTabel!$AD$1:$AG$1,0),2))&lt;&gt;1=TRUE,"ja",""),"")</f>
        <v/>
      </c>
    </row>
    <row r="33" spans="1:31" x14ac:dyDescent="0.25">
      <c r="A33" s="316"/>
      <c r="B33" s="317" t="str">
        <f>IF(A33&lt;&gt;"",_xlfn.MAXIFS($B$1:B32,$A$1:A32,A33)+1,"")</f>
        <v/>
      </c>
      <c r="C33" s="296"/>
      <c r="D33" s="296"/>
      <c r="E33" s="296"/>
      <c r="F33" s="296"/>
      <c r="G33" s="326"/>
      <c r="H33" s="324"/>
      <c r="I33" s="325"/>
      <c r="J33" s="325"/>
      <c r="K33" s="318"/>
      <c r="L33" s="318"/>
      <c r="M33" s="319" t="str">
        <f>IFERROR(VLOOKUP(H33,Lijsten!$H$1:$I$100,2,0),"")</f>
        <v/>
      </c>
      <c r="N33" s="319" t="str">
        <f ca="1">IFERROR(IF(VLOOKUP(F33,Kostentypen!$A$3:$E$21,3,0)=0,"",IF(OR(F33="Arbeidskosten",F33="Vergoeding"),VLOOKUP(G33,Tb_KostenTypen[],2,0),VLOOKUP(F33,Kostentypen!$A$3:$E$20,3,0))),"")</f>
        <v/>
      </c>
      <c r="O33" s="320" t="str" cm="1">
        <f t="array" ref="O33">_xlfn.IFNA(IF(INDEX(Tb_KostenOptiesDB[],MATCH($F33,Tb_KostenOptiesDB[KostenOptie],0),IFERROR(MATCH(Methode_Keuze,Tb_KostenOptiesDB[#Headers],0),2))=1,_xlfn.SWITCH($N33,"Uurtarief",IF(OR(AND(RIGHT($F33,3)="IKS",VLOOKUP($M33,DB_Loonkosten,2,0)="Ja"),AND(RIGHT($F33,3)&lt;&gt;"IKS",VLOOKUP($M33,DB_Loonkosten,2,0)="Nee")),IFERROR(VLOOKUP($M33,DB_Loonkosten,24,0),""),0),"Vast tarief",IF(LEFT(F33,8)="Bijdrage",VLOOKUP($F33,Tb_KostenTypen[],MATCH(Lijsten!$P$1,Tb_KostenTypen[#Headers],0),0),VLOOKUP($G33,Lijsten!L:P,MATCH(Lijsten!$P$1,Kop_Tarief_Vast,0),0))),""),"")</f>
        <v/>
      </c>
      <c r="P33" s="320" t="str" cm="1">
        <f t="array" ref="P33">_xlfn.IFNA(IF(INDEX(Tb_KostenOptiesDB[],MATCH($F33,Tb_KostenOptiesDB[KostenOptie],0),IFERROR(MATCH(Methode_Keuze,Tb_KostenOptiesDB[#Headers],0),2))=1,_xlfn.SWITCH($N33,"Uurtarief",IF(OR(AND(RIGHT($F33,3)="IKS",VLOOKUP($M33,DB_Loonkosten,2,0)="Ja"),AND(RIGHT($F33,3)&lt;&gt;"IKS",VLOOKUP($M33,DB_Loonkosten,2,0)="Nee")),IFERROR(VLOOKUP($M33,DB_Loonkosten,25,0),""),0),"Vast tarief",IF(LEFT(F33,8)="Bijdrage",VLOOKUP($F33,Tb_KostenTypen[],MATCH(Lijsten!$P$1,Tb_KostenTypen[#Headers],0),0),VLOOKUP($G33,Lijsten!L:P,MATCH(Lijsten!$P$1,Kop_Tarief_Vast,0),0))),""),"")</f>
        <v/>
      </c>
      <c r="Q33" s="359"/>
      <c r="R33" s="359"/>
      <c r="S33" s="321"/>
      <c r="T33" s="321"/>
      <c r="U33" s="373" t="str">
        <f t="shared" si="0"/>
        <v/>
      </c>
      <c r="V33" s="314" t="str">
        <f t="shared" si="1"/>
        <v/>
      </c>
      <c r="W33" s="314" t="str" cm="1">
        <f t="array" aca="1" ref="W33" ca="1">IFERROR(IF(AE33&lt;&gt;"ja",_xlfn.IFNA(_xlfn.IFS(AND(O33&lt;&gt;"",F33&lt;&gt;"",RIGHT($N33,6)="tarief",F33="Vergoeding"),SUM(O33)*FLOOR(SUM(Q33),0.0001),AND(O33&lt;&gt;"",F33&lt;&gt;"",RIGHT($N33,6)="tarief"),SUM(O33)*FLOOR(SUM(Q33),0.01),S33&gt;0,IF(F33&lt;&gt;"",FLOOR(SUM(S33),0.01),"")),""),""),"")</f>
        <v/>
      </c>
      <c r="X33" s="314" t="str" cm="1">
        <f t="array" aca="1" ref="X33" ca="1">IFERROR(IF(AE33&lt;&gt;"ja",_xlfn.IFNA(_xlfn.IFS(AND(P33&lt;&gt;"",R33&lt;&gt;"",RIGHT($N33,6)="tarief",F33="Vergoeding"),SUM(P33)*FLOOR(SUM(R33),0.0001),AND(P33&lt;&gt;"",R33&lt;&gt;"",RIGHT($N33,6)="tarief"),P33*FLOOR(R33,0.01),T33&gt;0,FLOOR(SUM(T33),0.01)),""),""),"")</f>
        <v/>
      </c>
      <c r="Y33" s="314" t="str">
        <f t="shared" ca="1" si="2"/>
        <v/>
      </c>
      <c r="Z33" s="314" t="str" cm="1">
        <f t="array" aca="1" ref="Z33" ca="1">IFERROR(_xlfn.IFS(OR(F33="",LEFT(Methode_Keuze,4)="Geen",Methode_Keuze=""),"",AND(W33&lt;&gt;"",F33&lt;&gt;"Arbeidskosten"),W33*VLOOKUP(F33,Tb_ProjectKosten[],MATCH(Tb_ProjectKosten[[#Headers],[Forfait_Percentage]],Tb_ProjectKosten[#Headers],0),0),AND(F33="Arbeidskosten",G33&lt;&gt;""),IFERROR(W33*VLOOKUP(G33,Tb_KostenTypen[],3,0)*VLOOKUP(F33,Tb_ProjectKosten[],MATCH(Tb_ProjectKosten[[#Headers],[Forfait_Percentage]],Tb_ProjectKosten[#Headers],0),0),""),W33 &lt;=0,0),"")</f>
        <v/>
      </c>
      <c r="AA33" s="314" t="str" cm="1">
        <f t="array" aca="1" ref="AA33" ca="1">IFERROR(_xlfn.IFS(OR(F33="",LEFT(Methode_Keuze,4)="Geen",Methode_Keuze=""),"",AND(X33&lt;&gt;"",F33&lt;&gt;"Arbeidskosten"),X33*VLOOKUP(F33,Tb_ProjectKosten[],MATCH(Tb_ProjectKosten[[#Headers],[Forfait_Percentage]],Tb_ProjectKosten[#Headers],0),0),AND(F33="Arbeidskosten",G33&lt;&gt;""),IFERROR(X33*VLOOKUP(G33,Tb_KostenTypen[],3,0)*VLOOKUP(F33,Tb_ProjectKosten[],MATCH(Tb_ProjectKosten[[#Headers],[Forfait_Percentage]],Tb_ProjectKosten[#Headers],0),0),""),X33 &lt;=0,0),"")</f>
        <v/>
      </c>
      <c r="AB33" s="314" t="str">
        <f t="shared" ca="1" si="3"/>
        <v/>
      </c>
      <c r="AC33" s="322"/>
      <c r="AD33" s="315"/>
      <c r="AE33" s="32" t="str" cm="1">
        <f t="array" ref="AE33">IFERROR(IF(INDEX(SubsidieTabel!$AD$1:$AG$12,MATCH($F33,SubsidieTabel!$AD$1:$AD$12,0),IFERROR(MATCH(Methode_Keuze,SubsidieTabel!$AD$1:$AG$1,0),2))&lt;&gt;1=TRUE,"ja",""),"")</f>
        <v/>
      </c>
    </row>
    <row r="34" spans="1:31" x14ac:dyDescent="0.25">
      <c r="A34" s="316"/>
      <c r="B34" s="317" t="str">
        <f>IF(A34&lt;&gt;"",_xlfn.MAXIFS($B$1:B33,$A$1:A33,A34)+1,"")</f>
        <v/>
      </c>
      <c r="C34" s="296"/>
      <c r="D34" s="296"/>
      <c r="E34" s="296"/>
      <c r="F34" s="296"/>
      <c r="G34" s="326"/>
      <c r="H34" s="324"/>
      <c r="I34" s="325"/>
      <c r="J34" s="325"/>
      <c r="K34" s="318"/>
      <c r="L34" s="318"/>
      <c r="M34" s="319" t="str">
        <f>IFERROR(VLOOKUP(H34,Lijsten!$H$1:$I$100,2,0),"")</f>
        <v/>
      </c>
      <c r="N34" s="319" t="str">
        <f ca="1">IFERROR(IF(VLOOKUP(F34,Kostentypen!$A$3:$E$21,3,0)=0,"",IF(OR(F34="Arbeidskosten",F34="Vergoeding"),VLOOKUP(G34,Tb_KostenTypen[],2,0),VLOOKUP(F34,Kostentypen!$A$3:$E$20,3,0))),"")</f>
        <v/>
      </c>
      <c r="O34" s="320" t="str" cm="1">
        <f t="array" ref="O34">_xlfn.IFNA(IF(INDEX(Tb_KostenOptiesDB[],MATCH($F34,Tb_KostenOptiesDB[KostenOptie],0),IFERROR(MATCH(Methode_Keuze,Tb_KostenOptiesDB[#Headers],0),2))=1,_xlfn.SWITCH($N34,"Uurtarief",IF(OR(AND(RIGHT($F34,3)="IKS",VLOOKUP($M34,DB_Loonkosten,2,0)="Ja"),AND(RIGHT($F34,3)&lt;&gt;"IKS",VLOOKUP($M34,DB_Loonkosten,2,0)="Nee")),IFERROR(VLOOKUP($M34,DB_Loonkosten,24,0),""),0),"Vast tarief",IF(LEFT(F34,8)="Bijdrage",VLOOKUP($F34,Tb_KostenTypen[],MATCH(Lijsten!$P$1,Tb_KostenTypen[#Headers],0),0),VLOOKUP($G34,Lijsten!L:P,MATCH(Lijsten!$P$1,Kop_Tarief_Vast,0),0))),""),"")</f>
        <v/>
      </c>
      <c r="P34" s="320" t="str" cm="1">
        <f t="array" ref="P34">_xlfn.IFNA(IF(INDEX(Tb_KostenOptiesDB[],MATCH($F34,Tb_KostenOptiesDB[KostenOptie],0),IFERROR(MATCH(Methode_Keuze,Tb_KostenOptiesDB[#Headers],0),2))=1,_xlfn.SWITCH($N34,"Uurtarief",IF(OR(AND(RIGHT($F34,3)="IKS",VLOOKUP($M34,DB_Loonkosten,2,0)="Ja"),AND(RIGHT($F34,3)&lt;&gt;"IKS",VLOOKUP($M34,DB_Loonkosten,2,0)="Nee")),IFERROR(VLOOKUP($M34,DB_Loonkosten,25,0),""),0),"Vast tarief",IF(LEFT(F34,8)="Bijdrage",VLOOKUP($F34,Tb_KostenTypen[],MATCH(Lijsten!$P$1,Tb_KostenTypen[#Headers],0),0),VLOOKUP($G34,Lijsten!L:P,MATCH(Lijsten!$P$1,Kop_Tarief_Vast,0),0))),""),"")</f>
        <v/>
      </c>
      <c r="Q34" s="359"/>
      <c r="R34" s="359"/>
      <c r="S34" s="321"/>
      <c r="T34" s="321"/>
      <c r="U34" s="373" t="str">
        <f t="shared" si="0"/>
        <v/>
      </c>
      <c r="V34" s="314" t="str">
        <f t="shared" si="1"/>
        <v/>
      </c>
      <c r="W34" s="314" t="str" cm="1">
        <f t="array" aca="1" ref="W34" ca="1">IFERROR(IF(AE34&lt;&gt;"ja",_xlfn.IFNA(_xlfn.IFS(AND(O34&lt;&gt;"",F34&lt;&gt;"",RIGHT($N34,6)="tarief",F34="Vergoeding"),SUM(O34)*FLOOR(SUM(Q34),0.0001),AND(O34&lt;&gt;"",F34&lt;&gt;"",RIGHT($N34,6)="tarief"),SUM(O34)*FLOOR(SUM(Q34),0.01),S34&gt;0,IF(F34&lt;&gt;"",FLOOR(SUM(S34),0.01),"")),""),""),"")</f>
        <v/>
      </c>
      <c r="X34" s="314" t="str" cm="1">
        <f t="array" aca="1" ref="X34" ca="1">IFERROR(IF(AE34&lt;&gt;"ja",_xlfn.IFNA(_xlfn.IFS(AND(P34&lt;&gt;"",R34&lt;&gt;"",RIGHT($N34,6)="tarief",F34="Vergoeding"),SUM(P34)*FLOOR(SUM(R34),0.0001),AND(P34&lt;&gt;"",R34&lt;&gt;"",RIGHT($N34,6)="tarief"),P34*FLOOR(R34,0.01),T34&gt;0,FLOOR(SUM(T34),0.01)),""),""),"")</f>
        <v/>
      </c>
      <c r="Y34" s="314" t="str">
        <f t="shared" ca="1" si="2"/>
        <v/>
      </c>
      <c r="Z34" s="314" t="str" cm="1">
        <f t="array" aca="1" ref="Z34" ca="1">IFERROR(_xlfn.IFS(OR(F34="",LEFT(Methode_Keuze,4)="Geen",Methode_Keuze=""),"",AND(W34&lt;&gt;"",F34&lt;&gt;"Arbeidskosten"),W34*VLOOKUP(F34,Tb_ProjectKosten[],MATCH(Tb_ProjectKosten[[#Headers],[Forfait_Percentage]],Tb_ProjectKosten[#Headers],0),0),AND(F34="Arbeidskosten",G34&lt;&gt;""),IFERROR(W34*VLOOKUP(G34,Tb_KostenTypen[],3,0)*VLOOKUP(F34,Tb_ProjectKosten[],MATCH(Tb_ProjectKosten[[#Headers],[Forfait_Percentage]],Tb_ProjectKosten[#Headers],0),0),""),W34 &lt;=0,0),"")</f>
        <v/>
      </c>
      <c r="AA34" s="314" t="str" cm="1">
        <f t="array" aca="1" ref="AA34" ca="1">IFERROR(_xlfn.IFS(OR(F34="",LEFT(Methode_Keuze,4)="Geen",Methode_Keuze=""),"",AND(X34&lt;&gt;"",F34&lt;&gt;"Arbeidskosten"),X34*VLOOKUP(F34,Tb_ProjectKosten[],MATCH(Tb_ProjectKosten[[#Headers],[Forfait_Percentage]],Tb_ProjectKosten[#Headers],0),0),AND(F34="Arbeidskosten",G34&lt;&gt;""),IFERROR(X34*VLOOKUP(G34,Tb_KostenTypen[],3,0)*VLOOKUP(F34,Tb_ProjectKosten[],MATCH(Tb_ProjectKosten[[#Headers],[Forfait_Percentage]],Tb_ProjectKosten[#Headers],0),0),""),X34 &lt;=0,0),"")</f>
        <v/>
      </c>
      <c r="AB34" s="314" t="str">
        <f t="shared" ca="1" si="3"/>
        <v/>
      </c>
      <c r="AC34" s="322"/>
      <c r="AD34" s="315"/>
      <c r="AE34" s="32" t="str" cm="1">
        <f t="array" ref="AE34">IFERROR(IF(INDEX(SubsidieTabel!$AD$1:$AG$12,MATCH($F34,SubsidieTabel!$AD$1:$AD$12,0),IFERROR(MATCH(Methode_Keuze,SubsidieTabel!$AD$1:$AG$1,0),2))&lt;&gt;1=TRUE,"ja",""),"")</f>
        <v/>
      </c>
    </row>
    <row r="35" spans="1:31" x14ac:dyDescent="0.25">
      <c r="A35" s="316"/>
      <c r="B35" s="317" t="str">
        <f>IF(A35&lt;&gt;"",_xlfn.MAXIFS($B$1:B34,$A$1:A34,A35)+1,"")</f>
        <v/>
      </c>
      <c r="C35" s="296"/>
      <c r="D35" s="296"/>
      <c r="E35" s="296"/>
      <c r="F35" s="296"/>
      <c r="G35" s="326"/>
      <c r="H35" s="324"/>
      <c r="I35" s="325"/>
      <c r="J35" s="325"/>
      <c r="K35" s="318"/>
      <c r="L35" s="318"/>
      <c r="M35" s="319" t="str">
        <f>IFERROR(VLOOKUP(H35,Lijsten!$H$1:$I$100,2,0),"")</f>
        <v/>
      </c>
      <c r="N35" s="319" t="str">
        <f ca="1">IFERROR(IF(VLOOKUP(F35,Kostentypen!$A$3:$E$21,3,0)=0,"",IF(OR(F35="Arbeidskosten",F35="Vergoeding"),VLOOKUP(G35,Tb_KostenTypen[],2,0),VLOOKUP(F35,Kostentypen!$A$3:$E$20,3,0))),"")</f>
        <v/>
      </c>
      <c r="O35" s="320" t="str" cm="1">
        <f t="array" ref="O35">_xlfn.IFNA(IF(INDEX(Tb_KostenOptiesDB[],MATCH($F35,Tb_KostenOptiesDB[KostenOptie],0),IFERROR(MATCH(Methode_Keuze,Tb_KostenOptiesDB[#Headers],0),2))=1,_xlfn.SWITCH($N35,"Uurtarief",IF(OR(AND(RIGHT($F35,3)="IKS",VLOOKUP($M35,DB_Loonkosten,2,0)="Ja"),AND(RIGHT($F35,3)&lt;&gt;"IKS",VLOOKUP($M35,DB_Loonkosten,2,0)="Nee")),IFERROR(VLOOKUP($M35,DB_Loonkosten,24,0),""),0),"Vast tarief",IF(LEFT(F35,8)="Bijdrage",VLOOKUP($F35,Tb_KostenTypen[],MATCH(Lijsten!$P$1,Tb_KostenTypen[#Headers],0),0),VLOOKUP($G35,Lijsten!L:P,MATCH(Lijsten!$P$1,Kop_Tarief_Vast,0),0))),""),"")</f>
        <v/>
      </c>
      <c r="P35" s="320" t="str" cm="1">
        <f t="array" ref="P35">_xlfn.IFNA(IF(INDEX(Tb_KostenOptiesDB[],MATCH($F35,Tb_KostenOptiesDB[KostenOptie],0),IFERROR(MATCH(Methode_Keuze,Tb_KostenOptiesDB[#Headers],0),2))=1,_xlfn.SWITCH($N35,"Uurtarief",IF(OR(AND(RIGHT($F35,3)="IKS",VLOOKUP($M35,DB_Loonkosten,2,0)="Ja"),AND(RIGHT($F35,3)&lt;&gt;"IKS",VLOOKUP($M35,DB_Loonkosten,2,0)="Nee")),IFERROR(VLOOKUP($M35,DB_Loonkosten,25,0),""),0),"Vast tarief",IF(LEFT(F35,8)="Bijdrage",VLOOKUP($F35,Tb_KostenTypen[],MATCH(Lijsten!$P$1,Tb_KostenTypen[#Headers],0),0),VLOOKUP($G35,Lijsten!L:P,MATCH(Lijsten!$P$1,Kop_Tarief_Vast,0),0))),""),"")</f>
        <v/>
      </c>
      <c r="Q35" s="359"/>
      <c r="R35" s="359"/>
      <c r="S35" s="321"/>
      <c r="T35" s="321"/>
      <c r="U35" s="373" t="str">
        <f t="shared" si="0"/>
        <v/>
      </c>
      <c r="V35" s="314" t="str">
        <f t="shared" si="1"/>
        <v/>
      </c>
      <c r="W35" s="314" t="str" cm="1">
        <f t="array" aca="1" ref="W35" ca="1">IFERROR(IF(AE35&lt;&gt;"ja",_xlfn.IFNA(_xlfn.IFS(AND(O35&lt;&gt;"",F35&lt;&gt;"",RIGHT($N35,6)="tarief",F35="Vergoeding"),SUM(O35)*FLOOR(SUM(Q35),0.0001),AND(O35&lt;&gt;"",F35&lt;&gt;"",RIGHT($N35,6)="tarief"),SUM(O35)*FLOOR(SUM(Q35),0.01),S35&gt;0,IF(F35&lt;&gt;"",FLOOR(SUM(S35),0.01),"")),""),""),"")</f>
        <v/>
      </c>
      <c r="X35" s="314" t="str" cm="1">
        <f t="array" aca="1" ref="X35" ca="1">IFERROR(IF(AE35&lt;&gt;"ja",_xlfn.IFNA(_xlfn.IFS(AND(P35&lt;&gt;"",R35&lt;&gt;"",RIGHT($N35,6)="tarief",F35="Vergoeding"),SUM(P35)*FLOOR(SUM(R35),0.0001),AND(P35&lt;&gt;"",R35&lt;&gt;"",RIGHT($N35,6)="tarief"),P35*FLOOR(R35,0.01),T35&gt;0,FLOOR(SUM(T35),0.01)),""),""),"")</f>
        <v/>
      </c>
      <c r="Y35" s="314" t="str">
        <f t="shared" ca="1" si="2"/>
        <v/>
      </c>
      <c r="Z35" s="314" t="str" cm="1">
        <f t="array" aca="1" ref="Z35" ca="1">IFERROR(_xlfn.IFS(OR(F35="",LEFT(Methode_Keuze,4)="Geen",Methode_Keuze=""),"",AND(W35&lt;&gt;"",F35&lt;&gt;"Arbeidskosten"),W35*VLOOKUP(F35,Tb_ProjectKosten[],MATCH(Tb_ProjectKosten[[#Headers],[Forfait_Percentage]],Tb_ProjectKosten[#Headers],0),0),AND(F35="Arbeidskosten",G35&lt;&gt;""),IFERROR(W35*VLOOKUP(G35,Tb_KostenTypen[],3,0)*VLOOKUP(F35,Tb_ProjectKosten[],MATCH(Tb_ProjectKosten[[#Headers],[Forfait_Percentage]],Tb_ProjectKosten[#Headers],0),0),""),W35 &lt;=0,0),"")</f>
        <v/>
      </c>
      <c r="AA35" s="314" t="str" cm="1">
        <f t="array" aca="1" ref="AA35" ca="1">IFERROR(_xlfn.IFS(OR(F35="",LEFT(Methode_Keuze,4)="Geen",Methode_Keuze=""),"",AND(X35&lt;&gt;"",F35&lt;&gt;"Arbeidskosten"),X35*VLOOKUP(F35,Tb_ProjectKosten[],MATCH(Tb_ProjectKosten[[#Headers],[Forfait_Percentage]],Tb_ProjectKosten[#Headers],0),0),AND(F35="Arbeidskosten",G35&lt;&gt;""),IFERROR(X35*VLOOKUP(G35,Tb_KostenTypen[],3,0)*VLOOKUP(F35,Tb_ProjectKosten[],MATCH(Tb_ProjectKosten[[#Headers],[Forfait_Percentage]],Tb_ProjectKosten[#Headers],0),0),""),X35 &lt;=0,0),"")</f>
        <v/>
      </c>
      <c r="AB35" s="314" t="str">
        <f t="shared" ca="1" si="3"/>
        <v/>
      </c>
      <c r="AC35" s="322"/>
      <c r="AD35" s="315"/>
      <c r="AE35" s="32" t="str" cm="1">
        <f t="array" ref="AE35">IFERROR(IF(INDEX(SubsidieTabel!$AD$1:$AG$12,MATCH($F35,SubsidieTabel!$AD$1:$AD$12,0),IFERROR(MATCH(Methode_Keuze,SubsidieTabel!$AD$1:$AG$1,0),2))&lt;&gt;1=TRUE,"ja",""),"")</f>
        <v/>
      </c>
    </row>
    <row r="36" spans="1:31" x14ac:dyDescent="0.25">
      <c r="A36" s="316"/>
      <c r="B36" s="317" t="str">
        <f>IF(A36&lt;&gt;"",_xlfn.MAXIFS($B$1:B35,$A$1:A35,A36)+1,"")</f>
        <v/>
      </c>
      <c r="C36" s="296"/>
      <c r="D36" s="296"/>
      <c r="E36" s="296"/>
      <c r="F36" s="296"/>
      <c r="G36" s="326"/>
      <c r="H36" s="324"/>
      <c r="I36" s="325"/>
      <c r="J36" s="325"/>
      <c r="K36" s="318"/>
      <c r="L36" s="318"/>
      <c r="M36" s="319" t="str">
        <f>IFERROR(VLOOKUP(H36,Lijsten!$H$1:$I$100,2,0),"")</f>
        <v/>
      </c>
      <c r="N36" s="319" t="str">
        <f ca="1">IFERROR(IF(VLOOKUP(F36,Kostentypen!$A$3:$E$21,3,0)=0,"",IF(OR(F36="Arbeidskosten",F36="Vergoeding"),VLOOKUP(G36,Tb_KostenTypen[],2,0),VLOOKUP(F36,Kostentypen!$A$3:$E$20,3,0))),"")</f>
        <v/>
      </c>
      <c r="O36" s="320" t="str" cm="1">
        <f t="array" ref="O36">_xlfn.IFNA(IF(INDEX(Tb_KostenOptiesDB[],MATCH($F36,Tb_KostenOptiesDB[KostenOptie],0),IFERROR(MATCH(Methode_Keuze,Tb_KostenOptiesDB[#Headers],0),2))=1,_xlfn.SWITCH($N36,"Uurtarief",IF(OR(AND(RIGHT($F36,3)="IKS",VLOOKUP($M36,DB_Loonkosten,2,0)="Ja"),AND(RIGHT($F36,3)&lt;&gt;"IKS",VLOOKUP($M36,DB_Loonkosten,2,0)="Nee")),IFERROR(VLOOKUP($M36,DB_Loonkosten,24,0),""),0),"Vast tarief",IF(LEFT(F36,8)="Bijdrage",VLOOKUP($F36,Tb_KostenTypen[],MATCH(Lijsten!$P$1,Tb_KostenTypen[#Headers],0),0),VLOOKUP($G36,Lijsten!L:P,MATCH(Lijsten!$P$1,Kop_Tarief_Vast,0),0))),""),"")</f>
        <v/>
      </c>
      <c r="P36" s="320" t="str" cm="1">
        <f t="array" ref="P36">_xlfn.IFNA(IF(INDEX(Tb_KostenOptiesDB[],MATCH($F36,Tb_KostenOptiesDB[KostenOptie],0),IFERROR(MATCH(Methode_Keuze,Tb_KostenOptiesDB[#Headers],0),2))=1,_xlfn.SWITCH($N36,"Uurtarief",IF(OR(AND(RIGHT($F36,3)="IKS",VLOOKUP($M36,DB_Loonkosten,2,0)="Ja"),AND(RIGHT($F36,3)&lt;&gt;"IKS",VLOOKUP($M36,DB_Loonkosten,2,0)="Nee")),IFERROR(VLOOKUP($M36,DB_Loonkosten,25,0),""),0),"Vast tarief",IF(LEFT(F36,8)="Bijdrage",VLOOKUP($F36,Tb_KostenTypen[],MATCH(Lijsten!$P$1,Tb_KostenTypen[#Headers],0),0),VLOOKUP($G36,Lijsten!L:P,MATCH(Lijsten!$P$1,Kop_Tarief_Vast,0),0))),""),"")</f>
        <v/>
      </c>
      <c r="Q36" s="359"/>
      <c r="R36" s="359"/>
      <c r="S36" s="321"/>
      <c r="T36" s="321"/>
      <c r="U36" s="373" t="str">
        <f t="shared" si="0"/>
        <v/>
      </c>
      <c r="V36" s="314" t="str">
        <f t="shared" si="1"/>
        <v/>
      </c>
      <c r="W36" s="314" t="str" cm="1">
        <f t="array" aca="1" ref="W36" ca="1">IFERROR(IF(AE36&lt;&gt;"ja",_xlfn.IFNA(_xlfn.IFS(AND(O36&lt;&gt;"",F36&lt;&gt;"",RIGHT($N36,6)="tarief",F36="Vergoeding"),SUM(O36)*FLOOR(SUM(Q36),0.0001),AND(O36&lt;&gt;"",F36&lt;&gt;"",RIGHT($N36,6)="tarief"),SUM(O36)*FLOOR(SUM(Q36),0.01),S36&gt;0,IF(F36&lt;&gt;"",FLOOR(SUM(S36),0.01),"")),""),""),"")</f>
        <v/>
      </c>
      <c r="X36" s="314" t="str" cm="1">
        <f t="array" aca="1" ref="X36" ca="1">IFERROR(IF(AE36&lt;&gt;"ja",_xlfn.IFNA(_xlfn.IFS(AND(P36&lt;&gt;"",R36&lt;&gt;"",RIGHT($N36,6)="tarief",F36="Vergoeding"),SUM(P36)*FLOOR(SUM(R36),0.0001),AND(P36&lt;&gt;"",R36&lt;&gt;"",RIGHT($N36,6)="tarief"),P36*FLOOR(R36,0.01),T36&gt;0,FLOOR(SUM(T36),0.01)),""),""),"")</f>
        <v/>
      </c>
      <c r="Y36" s="314" t="str">
        <f t="shared" ca="1" si="2"/>
        <v/>
      </c>
      <c r="Z36" s="314" t="str" cm="1">
        <f t="array" aca="1" ref="Z36" ca="1">IFERROR(_xlfn.IFS(OR(F36="",LEFT(Methode_Keuze,4)="Geen",Methode_Keuze=""),"",AND(W36&lt;&gt;"",F36&lt;&gt;"Arbeidskosten"),W36*VLOOKUP(F36,Tb_ProjectKosten[],MATCH(Tb_ProjectKosten[[#Headers],[Forfait_Percentage]],Tb_ProjectKosten[#Headers],0),0),AND(F36="Arbeidskosten",G36&lt;&gt;""),IFERROR(W36*VLOOKUP(G36,Tb_KostenTypen[],3,0)*VLOOKUP(F36,Tb_ProjectKosten[],MATCH(Tb_ProjectKosten[[#Headers],[Forfait_Percentage]],Tb_ProjectKosten[#Headers],0),0),""),W36 &lt;=0,0),"")</f>
        <v/>
      </c>
      <c r="AA36" s="314" t="str" cm="1">
        <f t="array" aca="1" ref="AA36" ca="1">IFERROR(_xlfn.IFS(OR(F36="",LEFT(Methode_Keuze,4)="Geen",Methode_Keuze=""),"",AND(X36&lt;&gt;"",F36&lt;&gt;"Arbeidskosten"),X36*VLOOKUP(F36,Tb_ProjectKosten[],MATCH(Tb_ProjectKosten[[#Headers],[Forfait_Percentage]],Tb_ProjectKosten[#Headers],0),0),AND(F36="Arbeidskosten",G36&lt;&gt;""),IFERROR(X36*VLOOKUP(G36,Tb_KostenTypen[],3,0)*VLOOKUP(F36,Tb_ProjectKosten[],MATCH(Tb_ProjectKosten[[#Headers],[Forfait_Percentage]],Tb_ProjectKosten[#Headers],0),0),""),X36 &lt;=0,0),"")</f>
        <v/>
      </c>
      <c r="AB36" s="314" t="str">
        <f t="shared" ca="1" si="3"/>
        <v/>
      </c>
      <c r="AC36" s="322"/>
      <c r="AD36" s="315"/>
      <c r="AE36" s="32" t="str" cm="1">
        <f t="array" ref="AE36">IFERROR(IF(INDEX(SubsidieTabel!$AD$1:$AG$12,MATCH($F36,SubsidieTabel!$AD$1:$AD$12,0),IFERROR(MATCH(Methode_Keuze,SubsidieTabel!$AD$1:$AG$1,0),2))&lt;&gt;1=TRUE,"ja",""),"")</f>
        <v/>
      </c>
    </row>
    <row r="37" spans="1:31" x14ac:dyDescent="0.25">
      <c r="A37" s="316"/>
      <c r="B37" s="317" t="str">
        <f>IF(A37&lt;&gt;"",_xlfn.MAXIFS($B$1:B36,$A$1:A36,A37)+1,"")</f>
        <v/>
      </c>
      <c r="C37" s="296"/>
      <c r="D37" s="296"/>
      <c r="E37" s="296"/>
      <c r="F37" s="296"/>
      <c r="G37" s="326"/>
      <c r="H37" s="324"/>
      <c r="I37" s="325"/>
      <c r="J37" s="325"/>
      <c r="K37" s="318"/>
      <c r="L37" s="318"/>
      <c r="M37" s="319" t="str">
        <f>IFERROR(VLOOKUP(H37,Lijsten!$H$1:$I$100,2,0),"")</f>
        <v/>
      </c>
      <c r="N37" s="319" t="str">
        <f ca="1">IFERROR(IF(VLOOKUP(F37,Kostentypen!$A$3:$E$21,3,0)=0,"",IF(OR(F37="Arbeidskosten",F37="Vergoeding"),VLOOKUP(G37,Tb_KostenTypen[],2,0),VLOOKUP(F37,Kostentypen!$A$3:$E$20,3,0))),"")</f>
        <v/>
      </c>
      <c r="O37" s="320" t="str" cm="1">
        <f t="array" ref="O37">_xlfn.IFNA(IF(INDEX(Tb_KostenOptiesDB[],MATCH($F37,Tb_KostenOptiesDB[KostenOptie],0),IFERROR(MATCH(Methode_Keuze,Tb_KostenOptiesDB[#Headers],0),2))=1,_xlfn.SWITCH($N37,"Uurtarief",IF(OR(AND(RIGHT($F37,3)="IKS",VLOOKUP($M37,DB_Loonkosten,2,0)="Ja"),AND(RIGHT($F37,3)&lt;&gt;"IKS",VLOOKUP($M37,DB_Loonkosten,2,0)="Nee")),IFERROR(VLOOKUP($M37,DB_Loonkosten,24,0),""),0),"Vast tarief",IF(LEFT(F37,8)="Bijdrage",VLOOKUP($F37,Tb_KostenTypen[],MATCH(Lijsten!$P$1,Tb_KostenTypen[#Headers],0),0),VLOOKUP($G37,Lijsten!L:P,MATCH(Lijsten!$P$1,Kop_Tarief_Vast,0),0))),""),"")</f>
        <v/>
      </c>
      <c r="P37" s="320" t="str" cm="1">
        <f t="array" ref="P37">_xlfn.IFNA(IF(INDEX(Tb_KostenOptiesDB[],MATCH($F37,Tb_KostenOptiesDB[KostenOptie],0),IFERROR(MATCH(Methode_Keuze,Tb_KostenOptiesDB[#Headers],0),2))=1,_xlfn.SWITCH($N37,"Uurtarief",IF(OR(AND(RIGHT($F37,3)="IKS",VLOOKUP($M37,DB_Loonkosten,2,0)="Ja"),AND(RIGHT($F37,3)&lt;&gt;"IKS",VLOOKUP($M37,DB_Loonkosten,2,0)="Nee")),IFERROR(VLOOKUP($M37,DB_Loonkosten,25,0),""),0),"Vast tarief",IF(LEFT(F37,8)="Bijdrage",VLOOKUP($F37,Tb_KostenTypen[],MATCH(Lijsten!$P$1,Tb_KostenTypen[#Headers],0),0),VLOOKUP($G37,Lijsten!L:P,MATCH(Lijsten!$P$1,Kop_Tarief_Vast,0),0))),""),"")</f>
        <v/>
      </c>
      <c r="Q37" s="359"/>
      <c r="R37" s="359"/>
      <c r="S37" s="321"/>
      <c r="T37" s="321"/>
      <c r="U37" s="373" t="str">
        <f t="shared" si="0"/>
        <v/>
      </c>
      <c r="V37" s="314" t="str">
        <f t="shared" si="1"/>
        <v/>
      </c>
      <c r="W37" s="314" t="str" cm="1">
        <f t="array" aca="1" ref="W37" ca="1">IFERROR(IF(AE37&lt;&gt;"ja",_xlfn.IFNA(_xlfn.IFS(AND(O37&lt;&gt;"",F37&lt;&gt;"",RIGHT($N37,6)="tarief",F37="Vergoeding"),SUM(O37)*FLOOR(SUM(Q37),0.0001),AND(O37&lt;&gt;"",F37&lt;&gt;"",RIGHT($N37,6)="tarief"),SUM(O37)*FLOOR(SUM(Q37),0.01),S37&gt;0,IF(F37&lt;&gt;"",FLOOR(SUM(S37),0.01),"")),""),""),"")</f>
        <v/>
      </c>
      <c r="X37" s="314" t="str" cm="1">
        <f t="array" aca="1" ref="X37" ca="1">IFERROR(IF(AE37&lt;&gt;"ja",_xlfn.IFNA(_xlfn.IFS(AND(P37&lt;&gt;"",R37&lt;&gt;"",RIGHT($N37,6)="tarief",F37="Vergoeding"),SUM(P37)*FLOOR(SUM(R37),0.0001),AND(P37&lt;&gt;"",R37&lt;&gt;"",RIGHT($N37,6)="tarief"),P37*FLOOR(R37,0.01),T37&gt;0,FLOOR(SUM(T37),0.01)),""),""),"")</f>
        <v/>
      </c>
      <c r="Y37" s="314" t="str">
        <f t="shared" ca="1" si="2"/>
        <v/>
      </c>
      <c r="Z37" s="314" t="str" cm="1">
        <f t="array" aca="1" ref="Z37" ca="1">IFERROR(_xlfn.IFS(OR(F37="",LEFT(Methode_Keuze,4)="Geen",Methode_Keuze=""),"",AND(W37&lt;&gt;"",F37&lt;&gt;"Arbeidskosten"),W37*VLOOKUP(F37,Tb_ProjectKosten[],MATCH(Tb_ProjectKosten[[#Headers],[Forfait_Percentage]],Tb_ProjectKosten[#Headers],0),0),AND(F37="Arbeidskosten",G37&lt;&gt;""),IFERROR(W37*VLOOKUP(G37,Tb_KostenTypen[],3,0)*VLOOKUP(F37,Tb_ProjectKosten[],MATCH(Tb_ProjectKosten[[#Headers],[Forfait_Percentage]],Tb_ProjectKosten[#Headers],0),0),""),W37 &lt;=0,0),"")</f>
        <v/>
      </c>
      <c r="AA37" s="314" t="str" cm="1">
        <f t="array" aca="1" ref="AA37" ca="1">IFERROR(_xlfn.IFS(OR(F37="",LEFT(Methode_Keuze,4)="Geen",Methode_Keuze=""),"",AND(X37&lt;&gt;"",F37&lt;&gt;"Arbeidskosten"),X37*VLOOKUP(F37,Tb_ProjectKosten[],MATCH(Tb_ProjectKosten[[#Headers],[Forfait_Percentage]],Tb_ProjectKosten[#Headers],0),0),AND(F37="Arbeidskosten",G37&lt;&gt;""),IFERROR(X37*VLOOKUP(G37,Tb_KostenTypen[],3,0)*VLOOKUP(F37,Tb_ProjectKosten[],MATCH(Tb_ProjectKosten[[#Headers],[Forfait_Percentage]],Tb_ProjectKosten[#Headers],0),0),""),X37 &lt;=0,0),"")</f>
        <v/>
      </c>
      <c r="AB37" s="314" t="str">
        <f t="shared" ca="1" si="3"/>
        <v/>
      </c>
      <c r="AC37" s="322"/>
      <c r="AD37" s="315"/>
      <c r="AE37" s="32" t="str" cm="1">
        <f t="array" ref="AE37">IFERROR(IF(INDEX(SubsidieTabel!$AD$1:$AG$12,MATCH($F37,SubsidieTabel!$AD$1:$AD$12,0),IFERROR(MATCH(Methode_Keuze,SubsidieTabel!$AD$1:$AG$1,0),2))&lt;&gt;1=TRUE,"ja",""),"")</f>
        <v/>
      </c>
    </row>
    <row r="38" spans="1:31" x14ac:dyDescent="0.25">
      <c r="A38" s="316"/>
      <c r="B38" s="317" t="str">
        <f>IF(A38&lt;&gt;"",_xlfn.MAXIFS($B$1:B37,$A$1:A37,A38)+1,"")</f>
        <v/>
      </c>
      <c r="C38" s="296"/>
      <c r="D38" s="296"/>
      <c r="E38" s="296"/>
      <c r="F38" s="296"/>
      <c r="G38" s="326"/>
      <c r="H38" s="324"/>
      <c r="I38" s="325"/>
      <c r="J38" s="325"/>
      <c r="K38" s="318"/>
      <c r="L38" s="318"/>
      <c r="M38" s="319" t="str">
        <f>IFERROR(VLOOKUP(H38,Lijsten!$H$1:$I$100,2,0),"")</f>
        <v/>
      </c>
      <c r="N38" s="319" t="str">
        <f ca="1">IFERROR(IF(VLOOKUP(F38,Kostentypen!$A$3:$E$21,3,0)=0,"",IF(OR(F38="Arbeidskosten",F38="Vergoeding"),VLOOKUP(G38,Tb_KostenTypen[],2,0),VLOOKUP(F38,Kostentypen!$A$3:$E$20,3,0))),"")</f>
        <v/>
      </c>
      <c r="O38" s="320" t="str" cm="1">
        <f t="array" ref="O38">_xlfn.IFNA(IF(INDEX(Tb_KostenOptiesDB[],MATCH($F38,Tb_KostenOptiesDB[KostenOptie],0),IFERROR(MATCH(Methode_Keuze,Tb_KostenOptiesDB[#Headers],0),2))=1,_xlfn.SWITCH($N38,"Uurtarief",IF(OR(AND(RIGHT($F38,3)="IKS",VLOOKUP($M38,DB_Loonkosten,2,0)="Ja"),AND(RIGHT($F38,3)&lt;&gt;"IKS",VLOOKUP($M38,DB_Loonkosten,2,0)="Nee")),IFERROR(VLOOKUP($M38,DB_Loonkosten,24,0),""),0),"Vast tarief",IF(LEFT(F38,8)="Bijdrage",VLOOKUP($F38,Tb_KostenTypen[],MATCH(Lijsten!$P$1,Tb_KostenTypen[#Headers],0),0),VLOOKUP($G38,Lijsten!L:P,MATCH(Lijsten!$P$1,Kop_Tarief_Vast,0),0))),""),"")</f>
        <v/>
      </c>
      <c r="P38" s="320" t="str" cm="1">
        <f t="array" ref="P38">_xlfn.IFNA(IF(INDEX(Tb_KostenOptiesDB[],MATCH($F38,Tb_KostenOptiesDB[KostenOptie],0),IFERROR(MATCH(Methode_Keuze,Tb_KostenOptiesDB[#Headers],0),2))=1,_xlfn.SWITCH($N38,"Uurtarief",IF(OR(AND(RIGHT($F38,3)="IKS",VLOOKUP($M38,DB_Loonkosten,2,0)="Ja"),AND(RIGHT($F38,3)&lt;&gt;"IKS",VLOOKUP($M38,DB_Loonkosten,2,0)="Nee")),IFERROR(VLOOKUP($M38,DB_Loonkosten,25,0),""),0),"Vast tarief",IF(LEFT(F38,8)="Bijdrage",VLOOKUP($F38,Tb_KostenTypen[],MATCH(Lijsten!$P$1,Tb_KostenTypen[#Headers],0),0),VLOOKUP($G38,Lijsten!L:P,MATCH(Lijsten!$P$1,Kop_Tarief_Vast,0),0))),""),"")</f>
        <v/>
      </c>
      <c r="Q38" s="359"/>
      <c r="R38" s="359"/>
      <c r="S38" s="321"/>
      <c r="T38" s="321"/>
      <c r="U38" s="373" t="str">
        <f t="shared" si="0"/>
        <v/>
      </c>
      <c r="V38" s="314" t="str">
        <f t="shared" si="1"/>
        <v/>
      </c>
      <c r="W38" s="314" t="str" cm="1">
        <f t="array" aca="1" ref="W38" ca="1">IFERROR(IF(AE38&lt;&gt;"ja",_xlfn.IFNA(_xlfn.IFS(AND(O38&lt;&gt;"",F38&lt;&gt;"",RIGHT($N38,6)="tarief",F38="Vergoeding"),SUM(O38)*FLOOR(SUM(Q38),0.0001),AND(O38&lt;&gt;"",F38&lt;&gt;"",RIGHT($N38,6)="tarief"),SUM(O38)*FLOOR(SUM(Q38),0.01),S38&gt;0,IF(F38&lt;&gt;"",FLOOR(SUM(S38),0.01),"")),""),""),"")</f>
        <v/>
      </c>
      <c r="X38" s="314" t="str" cm="1">
        <f t="array" aca="1" ref="X38" ca="1">IFERROR(IF(AE38&lt;&gt;"ja",_xlfn.IFNA(_xlfn.IFS(AND(P38&lt;&gt;"",R38&lt;&gt;"",RIGHT($N38,6)="tarief",F38="Vergoeding"),SUM(P38)*FLOOR(SUM(R38),0.0001),AND(P38&lt;&gt;"",R38&lt;&gt;"",RIGHT($N38,6)="tarief"),P38*FLOOR(R38,0.01),T38&gt;0,FLOOR(SUM(T38),0.01)),""),""),"")</f>
        <v/>
      </c>
      <c r="Y38" s="314" t="str">
        <f t="shared" ca="1" si="2"/>
        <v/>
      </c>
      <c r="Z38" s="314" t="str" cm="1">
        <f t="array" aca="1" ref="Z38" ca="1">IFERROR(_xlfn.IFS(OR(F38="",LEFT(Methode_Keuze,4)="Geen",Methode_Keuze=""),"",AND(W38&lt;&gt;"",F38&lt;&gt;"Arbeidskosten"),W38*VLOOKUP(F38,Tb_ProjectKosten[],MATCH(Tb_ProjectKosten[[#Headers],[Forfait_Percentage]],Tb_ProjectKosten[#Headers],0),0),AND(F38="Arbeidskosten",G38&lt;&gt;""),IFERROR(W38*VLOOKUP(G38,Tb_KostenTypen[],3,0)*VLOOKUP(F38,Tb_ProjectKosten[],MATCH(Tb_ProjectKosten[[#Headers],[Forfait_Percentage]],Tb_ProjectKosten[#Headers],0),0),""),W38 &lt;=0,0),"")</f>
        <v/>
      </c>
      <c r="AA38" s="314" t="str" cm="1">
        <f t="array" aca="1" ref="AA38" ca="1">IFERROR(_xlfn.IFS(OR(F38="",LEFT(Methode_Keuze,4)="Geen",Methode_Keuze=""),"",AND(X38&lt;&gt;"",F38&lt;&gt;"Arbeidskosten"),X38*VLOOKUP(F38,Tb_ProjectKosten[],MATCH(Tb_ProjectKosten[[#Headers],[Forfait_Percentage]],Tb_ProjectKosten[#Headers],0),0),AND(F38="Arbeidskosten",G38&lt;&gt;""),IFERROR(X38*VLOOKUP(G38,Tb_KostenTypen[],3,0)*VLOOKUP(F38,Tb_ProjectKosten[],MATCH(Tb_ProjectKosten[[#Headers],[Forfait_Percentage]],Tb_ProjectKosten[#Headers],0),0),""),X38 &lt;=0,0),"")</f>
        <v/>
      </c>
      <c r="AB38" s="314" t="str">
        <f t="shared" ca="1" si="3"/>
        <v/>
      </c>
      <c r="AC38" s="322"/>
      <c r="AD38" s="315"/>
      <c r="AE38" s="32" t="str" cm="1">
        <f t="array" ref="AE38">IFERROR(IF(INDEX(SubsidieTabel!$AD$1:$AG$12,MATCH($F38,SubsidieTabel!$AD$1:$AD$12,0),IFERROR(MATCH(Methode_Keuze,SubsidieTabel!$AD$1:$AG$1,0),2))&lt;&gt;1=TRUE,"ja",""),"")</f>
        <v/>
      </c>
    </row>
    <row r="39" spans="1:31" x14ac:dyDescent="0.25">
      <c r="A39" s="316"/>
      <c r="B39" s="317" t="str">
        <f>IF(A39&lt;&gt;"",_xlfn.MAXIFS($B$1:B38,$A$1:A38,A39)+1,"")</f>
        <v/>
      </c>
      <c r="C39" s="296"/>
      <c r="D39" s="296"/>
      <c r="E39" s="296"/>
      <c r="F39" s="296"/>
      <c r="G39" s="326"/>
      <c r="H39" s="324"/>
      <c r="I39" s="325"/>
      <c r="J39" s="325"/>
      <c r="K39" s="318"/>
      <c r="L39" s="318"/>
      <c r="M39" s="319" t="str">
        <f>IFERROR(VLOOKUP(H39,Lijsten!$H$1:$I$100,2,0),"")</f>
        <v/>
      </c>
      <c r="N39" s="319" t="str">
        <f ca="1">IFERROR(IF(VLOOKUP(F39,Kostentypen!$A$3:$E$21,3,0)=0,"",IF(OR(F39="Arbeidskosten",F39="Vergoeding"),VLOOKUP(G39,Tb_KostenTypen[],2,0),VLOOKUP(F39,Kostentypen!$A$3:$E$20,3,0))),"")</f>
        <v/>
      </c>
      <c r="O39" s="320" t="str" cm="1">
        <f t="array" ref="O39">_xlfn.IFNA(IF(INDEX(Tb_KostenOptiesDB[],MATCH($F39,Tb_KostenOptiesDB[KostenOptie],0),IFERROR(MATCH(Methode_Keuze,Tb_KostenOptiesDB[#Headers],0),2))=1,_xlfn.SWITCH($N39,"Uurtarief",IF(OR(AND(RIGHT($F39,3)="IKS",VLOOKUP($M39,DB_Loonkosten,2,0)="Ja"),AND(RIGHT($F39,3)&lt;&gt;"IKS",VLOOKUP($M39,DB_Loonkosten,2,0)="Nee")),IFERROR(VLOOKUP($M39,DB_Loonkosten,24,0),""),0),"Vast tarief",IF(LEFT(F39,8)="Bijdrage",VLOOKUP($F39,Tb_KostenTypen[],MATCH(Lijsten!$P$1,Tb_KostenTypen[#Headers],0),0),VLOOKUP($G39,Lijsten!L:P,MATCH(Lijsten!$P$1,Kop_Tarief_Vast,0),0))),""),"")</f>
        <v/>
      </c>
      <c r="P39" s="320" t="str" cm="1">
        <f t="array" ref="P39">_xlfn.IFNA(IF(INDEX(Tb_KostenOptiesDB[],MATCH($F39,Tb_KostenOptiesDB[KostenOptie],0),IFERROR(MATCH(Methode_Keuze,Tb_KostenOptiesDB[#Headers],0),2))=1,_xlfn.SWITCH($N39,"Uurtarief",IF(OR(AND(RIGHT($F39,3)="IKS",VLOOKUP($M39,DB_Loonkosten,2,0)="Ja"),AND(RIGHT($F39,3)&lt;&gt;"IKS",VLOOKUP($M39,DB_Loonkosten,2,0)="Nee")),IFERROR(VLOOKUP($M39,DB_Loonkosten,25,0),""),0),"Vast tarief",IF(LEFT(F39,8)="Bijdrage",VLOOKUP($F39,Tb_KostenTypen[],MATCH(Lijsten!$P$1,Tb_KostenTypen[#Headers],0),0),VLOOKUP($G39,Lijsten!L:P,MATCH(Lijsten!$P$1,Kop_Tarief_Vast,0),0))),""),"")</f>
        <v/>
      </c>
      <c r="Q39" s="359"/>
      <c r="R39" s="359"/>
      <c r="S39" s="321"/>
      <c r="T39" s="321"/>
      <c r="U39" s="373" t="str">
        <f t="shared" si="0"/>
        <v/>
      </c>
      <c r="V39" s="314" t="str">
        <f t="shared" si="1"/>
        <v/>
      </c>
      <c r="W39" s="314" t="str" cm="1">
        <f t="array" aca="1" ref="W39" ca="1">IFERROR(IF(AE39&lt;&gt;"ja",_xlfn.IFNA(_xlfn.IFS(AND(O39&lt;&gt;"",F39&lt;&gt;"",RIGHT($N39,6)="tarief",F39="Vergoeding"),SUM(O39)*FLOOR(SUM(Q39),0.0001),AND(O39&lt;&gt;"",F39&lt;&gt;"",RIGHT($N39,6)="tarief"),SUM(O39)*FLOOR(SUM(Q39),0.01),S39&gt;0,IF(F39&lt;&gt;"",FLOOR(SUM(S39),0.01),"")),""),""),"")</f>
        <v/>
      </c>
      <c r="X39" s="314" t="str" cm="1">
        <f t="array" aca="1" ref="X39" ca="1">IFERROR(IF(AE39&lt;&gt;"ja",_xlfn.IFNA(_xlfn.IFS(AND(P39&lt;&gt;"",R39&lt;&gt;"",RIGHT($N39,6)="tarief",F39="Vergoeding"),SUM(P39)*FLOOR(SUM(R39),0.0001),AND(P39&lt;&gt;"",R39&lt;&gt;"",RIGHT($N39,6)="tarief"),P39*FLOOR(R39,0.01),T39&gt;0,FLOOR(SUM(T39),0.01)),""),""),"")</f>
        <v/>
      </c>
      <c r="Y39" s="314" t="str">
        <f t="shared" ca="1" si="2"/>
        <v/>
      </c>
      <c r="Z39" s="314" t="str" cm="1">
        <f t="array" aca="1" ref="Z39" ca="1">IFERROR(_xlfn.IFS(OR(F39="",LEFT(Methode_Keuze,4)="Geen",Methode_Keuze=""),"",AND(W39&lt;&gt;"",F39&lt;&gt;"Arbeidskosten"),W39*VLOOKUP(F39,Tb_ProjectKosten[],MATCH(Tb_ProjectKosten[[#Headers],[Forfait_Percentage]],Tb_ProjectKosten[#Headers],0),0),AND(F39="Arbeidskosten",G39&lt;&gt;""),IFERROR(W39*VLOOKUP(G39,Tb_KostenTypen[],3,0)*VLOOKUP(F39,Tb_ProjectKosten[],MATCH(Tb_ProjectKosten[[#Headers],[Forfait_Percentage]],Tb_ProjectKosten[#Headers],0),0),""),W39 &lt;=0,0),"")</f>
        <v/>
      </c>
      <c r="AA39" s="314" t="str" cm="1">
        <f t="array" aca="1" ref="AA39" ca="1">IFERROR(_xlfn.IFS(OR(F39="",LEFT(Methode_Keuze,4)="Geen",Methode_Keuze=""),"",AND(X39&lt;&gt;"",F39&lt;&gt;"Arbeidskosten"),X39*VLOOKUP(F39,Tb_ProjectKosten[],MATCH(Tb_ProjectKosten[[#Headers],[Forfait_Percentage]],Tb_ProjectKosten[#Headers],0),0),AND(F39="Arbeidskosten",G39&lt;&gt;""),IFERROR(X39*VLOOKUP(G39,Tb_KostenTypen[],3,0)*VLOOKUP(F39,Tb_ProjectKosten[],MATCH(Tb_ProjectKosten[[#Headers],[Forfait_Percentage]],Tb_ProjectKosten[#Headers],0),0),""),X39 &lt;=0,0),"")</f>
        <v/>
      </c>
      <c r="AB39" s="314" t="str">
        <f t="shared" ca="1" si="3"/>
        <v/>
      </c>
      <c r="AC39" s="322"/>
      <c r="AD39" s="315"/>
      <c r="AE39" s="32" t="str" cm="1">
        <f t="array" ref="AE39">IFERROR(IF(INDEX(SubsidieTabel!$AD$1:$AG$12,MATCH($F39,SubsidieTabel!$AD$1:$AD$12,0),IFERROR(MATCH(Methode_Keuze,SubsidieTabel!$AD$1:$AG$1,0),2))&lt;&gt;1=TRUE,"ja",""),"")</f>
        <v/>
      </c>
    </row>
    <row r="40" spans="1:31" x14ac:dyDescent="0.25">
      <c r="A40" s="316"/>
      <c r="B40" s="317" t="str">
        <f>IF(A40&lt;&gt;"",_xlfn.MAXIFS($B$1:B39,$A$1:A39,A40)+1,"")</f>
        <v/>
      </c>
      <c r="C40" s="296"/>
      <c r="D40" s="296"/>
      <c r="E40" s="296"/>
      <c r="F40" s="296"/>
      <c r="G40" s="326"/>
      <c r="H40" s="324"/>
      <c r="I40" s="325"/>
      <c r="J40" s="325"/>
      <c r="K40" s="318"/>
      <c r="L40" s="318"/>
      <c r="M40" s="319" t="str">
        <f>IFERROR(VLOOKUP(H40,Lijsten!$H$1:$I$100,2,0),"")</f>
        <v/>
      </c>
      <c r="N40" s="319" t="str">
        <f ca="1">IFERROR(IF(VLOOKUP(F40,Kostentypen!$A$3:$E$21,3,0)=0,"",IF(OR(F40="Arbeidskosten",F40="Vergoeding"),VLOOKUP(G40,Tb_KostenTypen[],2,0),VLOOKUP(F40,Kostentypen!$A$3:$E$20,3,0))),"")</f>
        <v/>
      </c>
      <c r="O40" s="320" t="str" cm="1">
        <f t="array" ref="O40">_xlfn.IFNA(IF(INDEX(Tb_KostenOptiesDB[],MATCH($F40,Tb_KostenOptiesDB[KostenOptie],0),IFERROR(MATCH(Methode_Keuze,Tb_KostenOptiesDB[#Headers],0),2))=1,_xlfn.SWITCH($N40,"Uurtarief",IF(OR(AND(RIGHT($F40,3)="IKS",VLOOKUP($M40,DB_Loonkosten,2,0)="Ja"),AND(RIGHT($F40,3)&lt;&gt;"IKS",VLOOKUP($M40,DB_Loonkosten,2,0)="Nee")),IFERROR(VLOOKUP($M40,DB_Loonkosten,24,0),""),0),"Vast tarief",IF(LEFT(F40,8)="Bijdrage",VLOOKUP($F40,Tb_KostenTypen[],MATCH(Lijsten!$P$1,Tb_KostenTypen[#Headers],0),0),VLOOKUP($G40,Lijsten!L:P,MATCH(Lijsten!$P$1,Kop_Tarief_Vast,0),0))),""),"")</f>
        <v/>
      </c>
      <c r="P40" s="320" t="str" cm="1">
        <f t="array" ref="P40">_xlfn.IFNA(IF(INDEX(Tb_KostenOptiesDB[],MATCH($F40,Tb_KostenOptiesDB[KostenOptie],0),IFERROR(MATCH(Methode_Keuze,Tb_KostenOptiesDB[#Headers],0),2))=1,_xlfn.SWITCH($N40,"Uurtarief",IF(OR(AND(RIGHT($F40,3)="IKS",VLOOKUP($M40,DB_Loonkosten,2,0)="Ja"),AND(RIGHT($F40,3)&lt;&gt;"IKS",VLOOKUP($M40,DB_Loonkosten,2,0)="Nee")),IFERROR(VLOOKUP($M40,DB_Loonkosten,25,0),""),0),"Vast tarief",IF(LEFT(F40,8)="Bijdrage",VLOOKUP($F40,Tb_KostenTypen[],MATCH(Lijsten!$P$1,Tb_KostenTypen[#Headers],0),0),VLOOKUP($G40,Lijsten!L:P,MATCH(Lijsten!$P$1,Kop_Tarief_Vast,0),0))),""),"")</f>
        <v/>
      </c>
      <c r="Q40" s="359"/>
      <c r="R40" s="359"/>
      <c r="S40" s="321"/>
      <c r="T40" s="321"/>
      <c r="U40" s="373" t="str">
        <f t="shared" si="0"/>
        <v/>
      </c>
      <c r="V40" s="314" t="str">
        <f t="shared" si="1"/>
        <v/>
      </c>
      <c r="W40" s="314" t="str" cm="1">
        <f t="array" aca="1" ref="W40" ca="1">IFERROR(IF(AE40&lt;&gt;"ja",_xlfn.IFNA(_xlfn.IFS(AND(O40&lt;&gt;"",F40&lt;&gt;"",RIGHT($N40,6)="tarief",F40="Vergoeding"),SUM(O40)*FLOOR(SUM(Q40),0.0001),AND(O40&lt;&gt;"",F40&lt;&gt;"",RIGHT($N40,6)="tarief"),SUM(O40)*FLOOR(SUM(Q40),0.01),S40&gt;0,IF(F40&lt;&gt;"",FLOOR(SUM(S40),0.01),"")),""),""),"")</f>
        <v/>
      </c>
      <c r="X40" s="314" t="str" cm="1">
        <f t="array" aca="1" ref="X40" ca="1">IFERROR(IF(AE40&lt;&gt;"ja",_xlfn.IFNA(_xlfn.IFS(AND(P40&lt;&gt;"",R40&lt;&gt;"",RIGHT($N40,6)="tarief",F40="Vergoeding"),SUM(P40)*FLOOR(SUM(R40),0.0001),AND(P40&lt;&gt;"",R40&lt;&gt;"",RIGHT($N40,6)="tarief"),P40*FLOOR(R40,0.01),T40&gt;0,FLOOR(SUM(T40),0.01)),""),""),"")</f>
        <v/>
      </c>
      <c r="Y40" s="314" t="str">
        <f t="shared" ca="1" si="2"/>
        <v/>
      </c>
      <c r="Z40" s="314" t="str" cm="1">
        <f t="array" aca="1" ref="Z40" ca="1">IFERROR(_xlfn.IFS(OR(F40="",LEFT(Methode_Keuze,4)="Geen",Methode_Keuze=""),"",AND(W40&lt;&gt;"",F40&lt;&gt;"Arbeidskosten"),W40*VLOOKUP(F40,Tb_ProjectKosten[],MATCH(Tb_ProjectKosten[[#Headers],[Forfait_Percentage]],Tb_ProjectKosten[#Headers],0),0),AND(F40="Arbeidskosten",G40&lt;&gt;""),IFERROR(W40*VLOOKUP(G40,Tb_KostenTypen[],3,0)*VLOOKUP(F40,Tb_ProjectKosten[],MATCH(Tb_ProjectKosten[[#Headers],[Forfait_Percentage]],Tb_ProjectKosten[#Headers],0),0),""),W40 &lt;=0,0),"")</f>
        <v/>
      </c>
      <c r="AA40" s="314" t="str" cm="1">
        <f t="array" aca="1" ref="AA40" ca="1">IFERROR(_xlfn.IFS(OR(F40="",LEFT(Methode_Keuze,4)="Geen",Methode_Keuze=""),"",AND(X40&lt;&gt;"",F40&lt;&gt;"Arbeidskosten"),X40*VLOOKUP(F40,Tb_ProjectKosten[],MATCH(Tb_ProjectKosten[[#Headers],[Forfait_Percentage]],Tb_ProjectKosten[#Headers],0),0),AND(F40="Arbeidskosten",G40&lt;&gt;""),IFERROR(X40*VLOOKUP(G40,Tb_KostenTypen[],3,0)*VLOOKUP(F40,Tb_ProjectKosten[],MATCH(Tb_ProjectKosten[[#Headers],[Forfait_Percentage]],Tb_ProjectKosten[#Headers],0),0),""),X40 &lt;=0,0),"")</f>
        <v/>
      </c>
      <c r="AB40" s="314" t="str">
        <f t="shared" ca="1" si="3"/>
        <v/>
      </c>
      <c r="AC40" s="322"/>
      <c r="AD40" s="315"/>
      <c r="AE40" s="32" t="str" cm="1">
        <f t="array" ref="AE40">IFERROR(IF(INDEX(SubsidieTabel!$AD$1:$AG$12,MATCH($F40,SubsidieTabel!$AD$1:$AD$12,0),IFERROR(MATCH(Methode_Keuze,SubsidieTabel!$AD$1:$AG$1,0),2))&lt;&gt;1=TRUE,"ja",""),"")</f>
        <v/>
      </c>
    </row>
    <row r="41" spans="1:31" x14ac:dyDescent="0.25">
      <c r="A41" s="316"/>
      <c r="B41" s="317" t="str">
        <f>IF(A41&lt;&gt;"",_xlfn.MAXIFS($B$1:B40,$A$1:A40,A41)+1,"")</f>
        <v/>
      </c>
      <c r="C41" s="296"/>
      <c r="D41" s="296"/>
      <c r="E41" s="296"/>
      <c r="F41" s="296"/>
      <c r="G41" s="326"/>
      <c r="H41" s="324"/>
      <c r="I41" s="325"/>
      <c r="J41" s="325"/>
      <c r="K41" s="318"/>
      <c r="L41" s="318"/>
      <c r="M41" s="319" t="str">
        <f>IFERROR(VLOOKUP(H41,Lijsten!$H$1:$I$100,2,0),"")</f>
        <v/>
      </c>
      <c r="N41" s="319" t="str">
        <f ca="1">IFERROR(IF(VLOOKUP(F41,Kostentypen!$A$3:$E$21,3,0)=0,"",IF(OR(F41="Arbeidskosten",F41="Vergoeding"),VLOOKUP(G41,Tb_KostenTypen[],2,0),VLOOKUP(F41,Kostentypen!$A$3:$E$20,3,0))),"")</f>
        <v/>
      </c>
      <c r="O41" s="320" t="str" cm="1">
        <f t="array" ref="O41">_xlfn.IFNA(IF(INDEX(Tb_KostenOptiesDB[],MATCH($F41,Tb_KostenOptiesDB[KostenOptie],0),IFERROR(MATCH(Methode_Keuze,Tb_KostenOptiesDB[#Headers],0),2))=1,_xlfn.SWITCH($N41,"Uurtarief",IF(OR(AND(RIGHT($F41,3)="IKS",VLOOKUP($M41,DB_Loonkosten,2,0)="Ja"),AND(RIGHT($F41,3)&lt;&gt;"IKS",VLOOKUP($M41,DB_Loonkosten,2,0)="Nee")),IFERROR(VLOOKUP($M41,DB_Loonkosten,24,0),""),0),"Vast tarief",IF(LEFT(F41,8)="Bijdrage",VLOOKUP($F41,Tb_KostenTypen[],MATCH(Lijsten!$P$1,Tb_KostenTypen[#Headers],0),0),VLOOKUP($G41,Lijsten!L:P,MATCH(Lijsten!$P$1,Kop_Tarief_Vast,0),0))),""),"")</f>
        <v/>
      </c>
      <c r="P41" s="320" t="str" cm="1">
        <f t="array" ref="P41">_xlfn.IFNA(IF(INDEX(Tb_KostenOptiesDB[],MATCH($F41,Tb_KostenOptiesDB[KostenOptie],0),IFERROR(MATCH(Methode_Keuze,Tb_KostenOptiesDB[#Headers],0),2))=1,_xlfn.SWITCH($N41,"Uurtarief",IF(OR(AND(RIGHT($F41,3)="IKS",VLOOKUP($M41,DB_Loonkosten,2,0)="Ja"),AND(RIGHT($F41,3)&lt;&gt;"IKS",VLOOKUP($M41,DB_Loonkosten,2,0)="Nee")),IFERROR(VLOOKUP($M41,DB_Loonkosten,25,0),""),0),"Vast tarief",IF(LEFT(F41,8)="Bijdrage",VLOOKUP($F41,Tb_KostenTypen[],MATCH(Lijsten!$P$1,Tb_KostenTypen[#Headers],0),0),VLOOKUP($G41,Lijsten!L:P,MATCH(Lijsten!$P$1,Kop_Tarief_Vast,0),0))),""),"")</f>
        <v/>
      </c>
      <c r="Q41" s="359"/>
      <c r="R41" s="359"/>
      <c r="S41" s="321"/>
      <c r="T41" s="321"/>
      <c r="U41" s="373" t="str">
        <f t="shared" si="0"/>
        <v/>
      </c>
      <c r="V41" s="314" t="str">
        <f t="shared" si="1"/>
        <v/>
      </c>
      <c r="W41" s="314" t="str" cm="1">
        <f t="array" aca="1" ref="W41" ca="1">IFERROR(IF(AE41&lt;&gt;"ja",_xlfn.IFNA(_xlfn.IFS(AND(O41&lt;&gt;"",F41&lt;&gt;"",RIGHT($N41,6)="tarief",F41="Vergoeding"),SUM(O41)*FLOOR(SUM(Q41),0.0001),AND(O41&lt;&gt;"",F41&lt;&gt;"",RIGHT($N41,6)="tarief"),SUM(O41)*FLOOR(SUM(Q41),0.01),S41&gt;0,IF(F41&lt;&gt;"",FLOOR(SUM(S41),0.01),"")),""),""),"")</f>
        <v/>
      </c>
      <c r="X41" s="314" t="str" cm="1">
        <f t="array" aca="1" ref="X41" ca="1">IFERROR(IF(AE41&lt;&gt;"ja",_xlfn.IFNA(_xlfn.IFS(AND(P41&lt;&gt;"",R41&lt;&gt;"",RIGHT($N41,6)="tarief",F41="Vergoeding"),SUM(P41)*FLOOR(SUM(R41),0.0001),AND(P41&lt;&gt;"",R41&lt;&gt;"",RIGHT($N41,6)="tarief"),P41*FLOOR(R41,0.01),T41&gt;0,FLOOR(SUM(T41),0.01)),""),""),"")</f>
        <v/>
      </c>
      <c r="Y41" s="314" t="str">
        <f t="shared" ca="1" si="2"/>
        <v/>
      </c>
      <c r="Z41" s="314" t="str" cm="1">
        <f t="array" aca="1" ref="Z41" ca="1">IFERROR(_xlfn.IFS(OR(F41="",LEFT(Methode_Keuze,4)="Geen",Methode_Keuze=""),"",AND(W41&lt;&gt;"",F41&lt;&gt;"Arbeidskosten"),W41*VLOOKUP(F41,Tb_ProjectKosten[],MATCH(Tb_ProjectKosten[[#Headers],[Forfait_Percentage]],Tb_ProjectKosten[#Headers],0),0),AND(F41="Arbeidskosten",G41&lt;&gt;""),IFERROR(W41*VLOOKUP(G41,Tb_KostenTypen[],3,0)*VLOOKUP(F41,Tb_ProjectKosten[],MATCH(Tb_ProjectKosten[[#Headers],[Forfait_Percentage]],Tb_ProjectKosten[#Headers],0),0),""),W41 &lt;=0,0),"")</f>
        <v/>
      </c>
      <c r="AA41" s="314" t="str" cm="1">
        <f t="array" aca="1" ref="AA41" ca="1">IFERROR(_xlfn.IFS(OR(F41="",LEFT(Methode_Keuze,4)="Geen",Methode_Keuze=""),"",AND(X41&lt;&gt;"",F41&lt;&gt;"Arbeidskosten"),X41*VLOOKUP(F41,Tb_ProjectKosten[],MATCH(Tb_ProjectKosten[[#Headers],[Forfait_Percentage]],Tb_ProjectKosten[#Headers],0),0),AND(F41="Arbeidskosten",G41&lt;&gt;""),IFERROR(X41*VLOOKUP(G41,Tb_KostenTypen[],3,0)*VLOOKUP(F41,Tb_ProjectKosten[],MATCH(Tb_ProjectKosten[[#Headers],[Forfait_Percentage]],Tb_ProjectKosten[#Headers],0),0),""),X41 &lt;=0,0),"")</f>
        <v/>
      </c>
      <c r="AB41" s="314" t="str">
        <f t="shared" ca="1" si="3"/>
        <v/>
      </c>
      <c r="AC41" s="322"/>
      <c r="AD41" s="315"/>
      <c r="AE41" s="32" t="str" cm="1">
        <f t="array" ref="AE41">IFERROR(IF(INDEX(SubsidieTabel!$AD$1:$AG$12,MATCH($F41,SubsidieTabel!$AD$1:$AD$12,0),IFERROR(MATCH(Methode_Keuze,SubsidieTabel!$AD$1:$AG$1,0),2))&lt;&gt;1=TRUE,"ja",""),"")</f>
        <v/>
      </c>
    </row>
    <row r="42" spans="1:31" x14ac:dyDescent="0.25">
      <c r="A42" s="316"/>
      <c r="B42" s="317" t="str">
        <f>IF(A42&lt;&gt;"",_xlfn.MAXIFS($B$1:B41,$A$1:A41,A42)+1,"")</f>
        <v/>
      </c>
      <c r="C42" s="296"/>
      <c r="D42" s="296"/>
      <c r="E42" s="296"/>
      <c r="F42" s="296"/>
      <c r="G42" s="326"/>
      <c r="H42" s="324"/>
      <c r="I42" s="325"/>
      <c r="J42" s="325"/>
      <c r="K42" s="318"/>
      <c r="L42" s="318"/>
      <c r="M42" s="319" t="str">
        <f>IFERROR(VLOOKUP(H42,Lijsten!$H$1:$I$100,2,0),"")</f>
        <v/>
      </c>
      <c r="N42" s="319" t="str">
        <f ca="1">IFERROR(IF(VLOOKUP(F42,Kostentypen!$A$3:$E$21,3,0)=0,"",IF(OR(F42="Arbeidskosten",F42="Vergoeding"),VLOOKUP(G42,Tb_KostenTypen[],2,0),VLOOKUP(F42,Kostentypen!$A$3:$E$20,3,0))),"")</f>
        <v/>
      </c>
      <c r="O42" s="320" t="str" cm="1">
        <f t="array" ref="O42">_xlfn.IFNA(IF(INDEX(Tb_KostenOptiesDB[],MATCH($F42,Tb_KostenOptiesDB[KostenOptie],0),IFERROR(MATCH(Methode_Keuze,Tb_KostenOptiesDB[#Headers],0),2))=1,_xlfn.SWITCH($N42,"Uurtarief",IF(OR(AND(RIGHT($F42,3)="IKS",VLOOKUP($M42,DB_Loonkosten,2,0)="Ja"),AND(RIGHT($F42,3)&lt;&gt;"IKS",VLOOKUP($M42,DB_Loonkosten,2,0)="Nee")),IFERROR(VLOOKUP($M42,DB_Loonkosten,24,0),""),0),"Vast tarief",IF(LEFT(F42,8)="Bijdrage",VLOOKUP($F42,Tb_KostenTypen[],MATCH(Lijsten!$P$1,Tb_KostenTypen[#Headers],0),0),VLOOKUP($G42,Lijsten!L:P,MATCH(Lijsten!$P$1,Kop_Tarief_Vast,0),0))),""),"")</f>
        <v/>
      </c>
      <c r="P42" s="320" t="str" cm="1">
        <f t="array" ref="P42">_xlfn.IFNA(IF(INDEX(Tb_KostenOptiesDB[],MATCH($F42,Tb_KostenOptiesDB[KostenOptie],0),IFERROR(MATCH(Methode_Keuze,Tb_KostenOptiesDB[#Headers],0),2))=1,_xlfn.SWITCH($N42,"Uurtarief",IF(OR(AND(RIGHT($F42,3)="IKS",VLOOKUP($M42,DB_Loonkosten,2,0)="Ja"),AND(RIGHT($F42,3)&lt;&gt;"IKS",VLOOKUP($M42,DB_Loonkosten,2,0)="Nee")),IFERROR(VLOOKUP($M42,DB_Loonkosten,25,0),""),0),"Vast tarief",IF(LEFT(F42,8)="Bijdrage",VLOOKUP($F42,Tb_KostenTypen[],MATCH(Lijsten!$P$1,Tb_KostenTypen[#Headers],0),0),VLOOKUP($G42,Lijsten!L:P,MATCH(Lijsten!$P$1,Kop_Tarief_Vast,0),0))),""),"")</f>
        <v/>
      </c>
      <c r="Q42" s="359"/>
      <c r="R42" s="359"/>
      <c r="S42" s="321"/>
      <c r="T42" s="321"/>
      <c r="U42" s="373" t="str">
        <f t="shared" si="0"/>
        <v/>
      </c>
      <c r="V42" s="314" t="str">
        <f t="shared" si="1"/>
        <v/>
      </c>
      <c r="W42" s="314" t="str" cm="1">
        <f t="array" aca="1" ref="W42" ca="1">IFERROR(IF(AE42&lt;&gt;"ja",_xlfn.IFNA(_xlfn.IFS(AND(O42&lt;&gt;"",F42&lt;&gt;"",RIGHT($N42,6)="tarief",F42="Vergoeding"),SUM(O42)*FLOOR(SUM(Q42),0.0001),AND(O42&lt;&gt;"",F42&lt;&gt;"",RIGHT($N42,6)="tarief"),SUM(O42)*FLOOR(SUM(Q42),0.01),S42&gt;0,IF(F42&lt;&gt;"",FLOOR(SUM(S42),0.01),"")),""),""),"")</f>
        <v/>
      </c>
      <c r="X42" s="314" t="str" cm="1">
        <f t="array" aca="1" ref="X42" ca="1">IFERROR(IF(AE42&lt;&gt;"ja",_xlfn.IFNA(_xlfn.IFS(AND(P42&lt;&gt;"",R42&lt;&gt;"",RIGHT($N42,6)="tarief",F42="Vergoeding"),SUM(P42)*FLOOR(SUM(R42),0.0001),AND(P42&lt;&gt;"",R42&lt;&gt;"",RIGHT($N42,6)="tarief"),P42*FLOOR(R42,0.01),T42&gt;0,FLOOR(SUM(T42),0.01)),""),""),"")</f>
        <v/>
      </c>
      <c r="Y42" s="314" t="str">
        <f t="shared" ca="1" si="2"/>
        <v/>
      </c>
      <c r="Z42" s="314" t="str" cm="1">
        <f t="array" aca="1" ref="Z42" ca="1">IFERROR(_xlfn.IFS(OR(F42="",LEFT(Methode_Keuze,4)="Geen",Methode_Keuze=""),"",AND(W42&lt;&gt;"",F42&lt;&gt;"Arbeidskosten"),W42*VLOOKUP(F42,Tb_ProjectKosten[],MATCH(Tb_ProjectKosten[[#Headers],[Forfait_Percentage]],Tb_ProjectKosten[#Headers],0),0),AND(F42="Arbeidskosten",G42&lt;&gt;""),IFERROR(W42*VLOOKUP(G42,Tb_KostenTypen[],3,0)*VLOOKUP(F42,Tb_ProjectKosten[],MATCH(Tb_ProjectKosten[[#Headers],[Forfait_Percentage]],Tb_ProjectKosten[#Headers],0),0),""),W42 &lt;=0,0),"")</f>
        <v/>
      </c>
      <c r="AA42" s="314" t="str" cm="1">
        <f t="array" aca="1" ref="AA42" ca="1">IFERROR(_xlfn.IFS(OR(F42="",LEFT(Methode_Keuze,4)="Geen",Methode_Keuze=""),"",AND(X42&lt;&gt;"",F42&lt;&gt;"Arbeidskosten"),X42*VLOOKUP(F42,Tb_ProjectKosten[],MATCH(Tb_ProjectKosten[[#Headers],[Forfait_Percentage]],Tb_ProjectKosten[#Headers],0),0),AND(F42="Arbeidskosten",G42&lt;&gt;""),IFERROR(X42*VLOOKUP(G42,Tb_KostenTypen[],3,0)*VLOOKUP(F42,Tb_ProjectKosten[],MATCH(Tb_ProjectKosten[[#Headers],[Forfait_Percentage]],Tb_ProjectKosten[#Headers],0),0),""),X42 &lt;=0,0),"")</f>
        <v/>
      </c>
      <c r="AB42" s="314" t="str">
        <f t="shared" ca="1" si="3"/>
        <v/>
      </c>
      <c r="AC42" s="322"/>
      <c r="AD42" s="315"/>
      <c r="AE42" s="32" t="str" cm="1">
        <f t="array" ref="AE42">IFERROR(IF(INDEX(SubsidieTabel!$AD$1:$AG$12,MATCH($F42,SubsidieTabel!$AD$1:$AD$12,0),IFERROR(MATCH(Methode_Keuze,SubsidieTabel!$AD$1:$AG$1,0),2))&lt;&gt;1=TRUE,"ja",""),"")</f>
        <v/>
      </c>
    </row>
    <row r="43" spans="1:31" x14ac:dyDescent="0.25">
      <c r="A43" s="316"/>
      <c r="B43" s="317" t="str">
        <f>IF(A43&lt;&gt;"",_xlfn.MAXIFS($B$1:B42,$A$1:A42,A43)+1,"")</f>
        <v/>
      </c>
      <c r="C43" s="296"/>
      <c r="D43" s="296"/>
      <c r="E43" s="296"/>
      <c r="F43" s="296"/>
      <c r="G43" s="326"/>
      <c r="H43" s="324"/>
      <c r="I43" s="325"/>
      <c r="J43" s="325"/>
      <c r="K43" s="318"/>
      <c r="L43" s="318"/>
      <c r="M43" s="319" t="str">
        <f>IFERROR(VLOOKUP(H43,Lijsten!$H$1:$I$100,2,0),"")</f>
        <v/>
      </c>
      <c r="N43" s="319" t="str">
        <f ca="1">IFERROR(IF(VLOOKUP(F43,Kostentypen!$A$3:$E$21,3,0)=0,"",IF(OR(F43="Arbeidskosten",F43="Vergoeding"),VLOOKUP(G43,Tb_KostenTypen[],2,0),VLOOKUP(F43,Kostentypen!$A$3:$E$20,3,0))),"")</f>
        <v/>
      </c>
      <c r="O43" s="320" t="str" cm="1">
        <f t="array" ref="O43">_xlfn.IFNA(IF(INDEX(Tb_KostenOptiesDB[],MATCH($F43,Tb_KostenOptiesDB[KostenOptie],0),IFERROR(MATCH(Methode_Keuze,Tb_KostenOptiesDB[#Headers],0),2))=1,_xlfn.SWITCH($N43,"Uurtarief",IF(OR(AND(RIGHT($F43,3)="IKS",VLOOKUP($M43,DB_Loonkosten,2,0)="Ja"),AND(RIGHT($F43,3)&lt;&gt;"IKS",VLOOKUP($M43,DB_Loonkosten,2,0)="Nee")),IFERROR(VLOOKUP($M43,DB_Loonkosten,24,0),""),0),"Vast tarief",IF(LEFT(F43,8)="Bijdrage",VLOOKUP($F43,Tb_KostenTypen[],MATCH(Lijsten!$P$1,Tb_KostenTypen[#Headers],0),0),VLOOKUP($G43,Lijsten!L:P,MATCH(Lijsten!$P$1,Kop_Tarief_Vast,0),0))),""),"")</f>
        <v/>
      </c>
      <c r="P43" s="320" t="str" cm="1">
        <f t="array" ref="P43">_xlfn.IFNA(IF(INDEX(Tb_KostenOptiesDB[],MATCH($F43,Tb_KostenOptiesDB[KostenOptie],0),IFERROR(MATCH(Methode_Keuze,Tb_KostenOptiesDB[#Headers],0),2))=1,_xlfn.SWITCH($N43,"Uurtarief",IF(OR(AND(RIGHT($F43,3)="IKS",VLOOKUP($M43,DB_Loonkosten,2,0)="Ja"),AND(RIGHT($F43,3)&lt;&gt;"IKS",VLOOKUP($M43,DB_Loonkosten,2,0)="Nee")),IFERROR(VLOOKUP($M43,DB_Loonkosten,25,0),""),0),"Vast tarief",IF(LEFT(F43,8)="Bijdrage",VLOOKUP($F43,Tb_KostenTypen[],MATCH(Lijsten!$P$1,Tb_KostenTypen[#Headers],0),0),VLOOKUP($G43,Lijsten!L:P,MATCH(Lijsten!$P$1,Kop_Tarief_Vast,0),0))),""),"")</f>
        <v/>
      </c>
      <c r="Q43" s="359"/>
      <c r="R43" s="359"/>
      <c r="S43" s="321"/>
      <c r="T43" s="321"/>
      <c r="U43" s="373" t="str">
        <f t="shared" si="0"/>
        <v/>
      </c>
      <c r="V43" s="314" t="str">
        <f t="shared" si="1"/>
        <v/>
      </c>
      <c r="W43" s="314" t="str" cm="1">
        <f t="array" aca="1" ref="W43" ca="1">IFERROR(IF(AE43&lt;&gt;"ja",_xlfn.IFNA(_xlfn.IFS(AND(O43&lt;&gt;"",F43&lt;&gt;"",RIGHT($N43,6)="tarief",F43="Vergoeding"),SUM(O43)*FLOOR(SUM(Q43),0.0001),AND(O43&lt;&gt;"",F43&lt;&gt;"",RIGHT($N43,6)="tarief"),SUM(O43)*FLOOR(SUM(Q43),0.01),S43&gt;0,IF(F43&lt;&gt;"",FLOOR(SUM(S43),0.01),"")),""),""),"")</f>
        <v/>
      </c>
      <c r="X43" s="314" t="str" cm="1">
        <f t="array" aca="1" ref="X43" ca="1">IFERROR(IF(AE43&lt;&gt;"ja",_xlfn.IFNA(_xlfn.IFS(AND(P43&lt;&gt;"",R43&lt;&gt;"",RIGHT($N43,6)="tarief",F43="Vergoeding"),SUM(P43)*FLOOR(SUM(R43),0.0001),AND(P43&lt;&gt;"",R43&lt;&gt;"",RIGHT($N43,6)="tarief"),P43*FLOOR(R43,0.01),T43&gt;0,FLOOR(SUM(T43),0.01)),""),""),"")</f>
        <v/>
      </c>
      <c r="Y43" s="314" t="str">
        <f t="shared" ca="1" si="2"/>
        <v/>
      </c>
      <c r="Z43" s="314" t="str" cm="1">
        <f t="array" aca="1" ref="Z43" ca="1">IFERROR(_xlfn.IFS(OR(F43="",LEFT(Methode_Keuze,4)="Geen",Methode_Keuze=""),"",AND(W43&lt;&gt;"",F43&lt;&gt;"Arbeidskosten"),W43*VLOOKUP(F43,Tb_ProjectKosten[],MATCH(Tb_ProjectKosten[[#Headers],[Forfait_Percentage]],Tb_ProjectKosten[#Headers],0),0),AND(F43="Arbeidskosten",G43&lt;&gt;""),IFERROR(W43*VLOOKUP(G43,Tb_KostenTypen[],3,0)*VLOOKUP(F43,Tb_ProjectKosten[],MATCH(Tb_ProjectKosten[[#Headers],[Forfait_Percentage]],Tb_ProjectKosten[#Headers],0),0),""),W43 &lt;=0,0),"")</f>
        <v/>
      </c>
      <c r="AA43" s="314" t="str" cm="1">
        <f t="array" aca="1" ref="AA43" ca="1">IFERROR(_xlfn.IFS(OR(F43="",LEFT(Methode_Keuze,4)="Geen",Methode_Keuze=""),"",AND(X43&lt;&gt;"",F43&lt;&gt;"Arbeidskosten"),X43*VLOOKUP(F43,Tb_ProjectKosten[],MATCH(Tb_ProjectKosten[[#Headers],[Forfait_Percentage]],Tb_ProjectKosten[#Headers],0),0),AND(F43="Arbeidskosten",G43&lt;&gt;""),IFERROR(X43*VLOOKUP(G43,Tb_KostenTypen[],3,0)*VLOOKUP(F43,Tb_ProjectKosten[],MATCH(Tb_ProjectKosten[[#Headers],[Forfait_Percentage]],Tb_ProjectKosten[#Headers],0),0),""),X43 &lt;=0,0),"")</f>
        <v/>
      </c>
      <c r="AB43" s="314" t="str">
        <f t="shared" ca="1" si="3"/>
        <v/>
      </c>
      <c r="AC43" s="322"/>
      <c r="AD43" s="315"/>
      <c r="AE43" s="32" t="str" cm="1">
        <f t="array" ref="AE43">IFERROR(IF(INDEX(SubsidieTabel!$AD$1:$AG$12,MATCH($F43,SubsidieTabel!$AD$1:$AD$12,0),IFERROR(MATCH(Methode_Keuze,SubsidieTabel!$AD$1:$AG$1,0),2))&lt;&gt;1=TRUE,"ja",""),"")</f>
        <v/>
      </c>
    </row>
    <row r="44" spans="1:31" x14ac:dyDescent="0.25">
      <c r="A44" s="316"/>
      <c r="B44" s="317" t="str">
        <f>IF(A44&lt;&gt;"",_xlfn.MAXIFS($B$1:B43,$A$1:A43,A44)+1,"")</f>
        <v/>
      </c>
      <c r="C44" s="296"/>
      <c r="D44" s="296"/>
      <c r="E44" s="296"/>
      <c r="F44" s="296"/>
      <c r="G44" s="326"/>
      <c r="H44" s="324"/>
      <c r="I44" s="325"/>
      <c r="J44" s="325"/>
      <c r="K44" s="318"/>
      <c r="L44" s="318"/>
      <c r="M44" s="319" t="str">
        <f>IFERROR(VLOOKUP(H44,Lijsten!$H$1:$I$100,2,0),"")</f>
        <v/>
      </c>
      <c r="N44" s="319" t="str">
        <f ca="1">IFERROR(IF(VLOOKUP(F44,Kostentypen!$A$3:$E$21,3,0)=0,"",IF(OR(F44="Arbeidskosten",F44="Vergoeding"),VLOOKUP(G44,Tb_KostenTypen[],2,0),VLOOKUP(F44,Kostentypen!$A$3:$E$20,3,0))),"")</f>
        <v/>
      </c>
      <c r="O44" s="320" t="str" cm="1">
        <f t="array" ref="O44">_xlfn.IFNA(IF(INDEX(Tb_KostenOptiesDB[],MATCH($F44,Tb_KostenOptiesDB[KostenOptie],0),IFERROR(MATCH(Methode_Keuze,Tb_KostenOptiesDB[#Headers],0),2))=1,_xlfn.SWITCH($N44,"Uurtarief",IF(OR(AND(RIGHT($F44,3)="IKS",VLOOKUP($M44,DB_Loonkosten,2,0)="Ja"),AND(RIGHT($F44,3)&lt;&gt;"IKS",VLOOKUP($M44,DB_Loonkosten,2,0)="Nee")),IFERROR(VLOOKUP($M44,DB_Loonkosten,24,0),""),0),"Vast tarief",IF(LEFT(F44,8)="Bijdrage",VLOOKUP($F44,Tb_KostenTypen[],MATCH(Lijsten!$P$1,Tb_KostenTypen[#Headers],0),0),VLOOKUP($G44,Lijsten!L:P,MATCH(Lijsten!$P$1,Kop_Tarief_Vast,0),0))),""),"")</f>
        <v/>
      </c>
      <c r="P44" s="320" t="str" cm="1">
        <f t="array" ref="P44">_xlfn.IFNA(IF(INDEX(Tb_KostenOptiesDB[],MATCH($F44,Tb_KostenOptiesDB[KostenOptie],0),IFERROR(MATCH(Methode_Keuze,Tb_KostenOptiesDB[#Headers],0),2))=1,_xlfn.SWITCH($N44,"Uurtarief",IF(OR(AND(RIGHT($F44,3)="IKS",VLOOKUP($M44,DB_Loonkosten,2,0)="Ja"),AND(RIGHT($F44,3)&lt;&gt;"IKS",VLOOKUP($M44,DB_Loonkosten,2,0)="Nee")),IFERROR(VLOOKUP($M44,DB_Loonkosten,25,0),""),0),"Vast tarief",IF(LEFT(F44,8)="Bijdrage",VLOOKUP($F44,Tb_KostenTypen[],MATCH(Lijsten!$P$1,Tb_KostenTypen[#Headers],0),0),VLOOKUP($G44,Lijsten!L:P,MATCH(Lijsten!$P$1,Kop_Tarief_Vast,0),0))),""),"")</f>
        <v/>
      </c>
      <c r="Q44" s="359"/>
      <c r="R44" s="359"/>
      <c r="S44" s="321"/>
      <c r="T44" s="321"/>
      <c r="U44" s="373" t="str">
        <f t="shared" si="0"/>
        <v/>
      </c>
      <c r="V44" s="314" t="str">
        <f t="shared" si="1"/>
        <v/>
      </c>
      <c r="W44" s="314" t="str" cm="1">
        <f t="array" aca="1" ref="W44" ca="1">IFERROR(IF(AE44&lt;&gt;"ja",_xlfn.IFNA(_xlfn.IFS(AND(O44&lt;&gt;"",F44&lt;&gt;"",RIGHT($N44,6)="tarief",F44="Vergoeding"),SUM(O44)*FLOOR(SUM(Q44),0.0001),AND(O44&lt;&gt;"",F44&lt;&gt;"",RIGHT($N44,6)="tarief"),SUM(O44)*FLOOR(SUM(Q44),0.01),S44&gt;0,IF(F44&lt;&gt;"",FLOOR(SUM(S44),0.01),"")),""),""),"")</f>
        <v/>
      </c>
      <c r="X44" s="314" t="str" cm="1">
        <f t="array" aca="1" ref="X44" ca="1">IFERROR(IF(AE44&lt;&gt;"ja",_xlfn.IFNA(_xlfn.IFS(AND(P44&lt;&gt;"",R44&lt;&gt;"",RIGHT($N44,6)="tarief",F44="Vergoeding"),SUM(P44)*FLOOR(SUM(R44),0.0001),AND(P44&lt;&gt;"",R44&lt;&gt;"",RIGHT($N44,6)="tarief"),P44*FLOOR(R44,0.01),T44&gt;0,FLOOR(SUM(T44),0.01)),""),""),"")</f>
        <v/>
      </c>
      <c r="Y44" s="314" t="str">
        <f t="shared" ca="1" si="2"/>
        <v/>
      </c>
      <c r="Z44" s="314" t="str" cm="1">
        <f t="array" aca="1" ref="Z44" ca="1">IFERROR(_xlfn.IFS(OR(F44="",LEFT(Methode_Keuze,4)="Geen",Methode_Keuze=""),"",AND(W44&lt;&gt;"",F44&lt;&gt;"Arbeidskosten"),W44*VLOOKUP(F44,Tb_ProjectKosten[],MATCH(Tb_ProjectKosten[[#Headers],[Forfait_Percentage]],Tb_ProjectKosten[#Headers],0),0),AND(F44="Arbeidskosten",G44&lt;&gt;""),IFERROR(W44*VLOOKUP(G44,Tb_KostenTypen[],3,0)*VLOOKUP(F44,Tb_ProjectKosten[],MATCH(Tb_ProjectKosten[[#Headers],[Forfait_Percentage]],Tb_ProjectKosten[#Headers],0),0),""),W44 &lt;=0,0),"")</f>
        <v/>
      </c>
      <c r="AA44" s="314" t="str" cm="1">
        <f t="array" aca="1" ref="AA44" ca="1">IFERROR(_xlfn.IFS(OR(F44="",LEFT(Methode_Keuze,4)="Geen",Methode_Keuze=""),"",AND(X44&lt;&gt;"",F44&lt;&gt;"Arbeidskosten"),X44*VLOOKUP(F44,Tb_ProjectKosten[],MATCH(Tb_ProjectKosten[[#Headers],[Forfait_Percentage]],Tb_ProjectKosten[#Headers],0),0),AND(F44="Arbeidskosten",G44&lt;&gt;""),IFERROR(X44*VLOOKUP(G44,Tb_KostenTypen[],3,0)*VLOOKUP(F44,Tb_ProjectKosten[],MATCH(Tb_ProjectKosten[[#Headers],[Forfait_Percentage]],Tb_ProjectKosten[#Headers],0),0),""),X44 &lt;=0,0),"")</f>
        <v/>
      </c>
      <c r="AB44" s="314" t="str">
        <f t="shared" ca="1" si="3"/>
        <v/>
      </c>
      <c r="AC44" s="322"/>
      <c r="AD44" s="315"/>
      <c r="AE44" s="32" t="str" cm="1">
        <f t="array" ref="AE44">IFERROR(IF(INDEX(SubsidieTabel!$AD$1:$AG$12,MATCH($F44,SubsidieTabel!$AD$1:$AD$12,0),IFERROR(MATCH(Methode_Keuze,SubsidieTabel!$AD$1:$AG$1,0),2))&lt;&gt;1=TRUE,"ja",""),"")</f>
        <v/>
      </c>
    </row>
    <row r="45" spans="1:31" x14ac:dyDescent="0.25">
      <c r="A45" s="316"/>
      <c r="B45" s="317" t="str">
        <f>IF(A45&lt;&gt;"",_xlfn.MAXIFS($B$1:B44,$A$1:A44,A45)+1,"")</f>
        <v/>
      </c>
      <c r="C45" s="296"/>
      <c r="D45" s="296"/>
      <c r="E45" s="296"/>
      <c r="F45" s="296"/>
      <c r="G45" s="326"/>
      <c r="H45" s="324"/>
      <c r="I45" s="325"/>
      <c r="J45" s="325"/>
      <c r="K45" s="318"/>
      <c r="L45" s="318"/>
      <c r="M45" s="319" t="str">
        <f>IFERROR(VLOOKUP(H45,Lijsten!$H$1:$I$100,2,0),"")</f>
        <v/>
      </c>
      <c r="N45" s="319" t="str">
        <f ca="1">IFERROR(IF(VLOOKUP(F45,Kostentypen!$A$3:$E$21,3,0)=0,"",IF(OR(F45="Arbeidskosten",F45="Vergoeding"),VLOOKUP(G45,Tb_KostenTypen[],2,0),VLOOKUP(F45,Kostentypen!$A$3:$E$20,3,0))),"")</f>
        <v/>
      </c>
      <c r="O45" s="320" t="str" cm="1">
        <f t="array" ref="O45">_xlfn.IFNA(IF(INDEX(Tb_KostenOptiesDB[],MATCH($F45,Tb_KostenOptiesDB[KostenOptie],0),IFERROR(MATCH(Methode_Keuze,Tb_KostenOptiesDB[#Headers],0),2))=1,_xlfn.SWITCH($N45,"Uurtarief",IF(OR(AND(RIGHT($F45,3)="IKS",VLOOKUP($M45,DB_Loonkosten,2,0)="Ja"),AND(RIGHT($F45,3)&lt;&gt;"IKS",VLOOKUP($M45,DB_Loonkosten,2,0)="Nee")),IFERROR(VLOOKUP($M45,DB_Loonkosten,24,0),""),0),"Vast tarief",IF(LEFT(F45,8)="Bijdrage",VLOOKUP($F45,Tb_KostenTypen[],MATCH(Lijsten!$P$1,Tb_KostenTypen[#Headers],0),0),VLOOKUP($G45,Lijsten!L:P,MATCH(Lijsten!$P$1,Kop_Tarief_Vast,0),0))),""),"")</f>
        <v/>
      </c>
      <c r="P45" s="320" t="str" cm="1">
        <f t="array" ref="P45">_xlfn.IFNA(IF(INDEX(Tb_KostenOptiesDB[],MATCH($F45,Tb_KostenOptiesDB[KostenOptie],0),IFERROR(MATCH(Methode_Keuze,Tb_KostenOptiesDB[#Headers],0),2))=1,_xlfn.SWITCH($N45,"Uurtarief",IF(OR(AND(RIGHT($F45,3)="IKS",VLOOKUP($M45,DB_Loonkosten,2,0)="Ja"),AND(RIGHT($F45,3)&lt;&gt;"IKS",VLOOKUP($M45,DB_Loonkosten,2,0)="Nee")),IFERROR(VLOOKUP($M45,DB_Loonkosten,25,0),""),0),"Vast tarief",IF(LEFT(F45,8)="Bijdrage",VLOOKUP($F45,Tb_KostenTypen[],MATCH(Lijsten!$P$1,Tb_KostenTypen[#Headers],0),0),VLOOKUP($G45,Lijsten!L:P,MATCH(Lijsten!$P$1,Kop_Tarief_Vast,0),0))),""),"")</f>
        <v/>
      </c>
      <c r="Q45" s="359"/>
      <c r="R45" s="359"/>
      <c r="S45" s="321"/>
      <c r="T45" s="321"/>
      <c r="U45" s="373" t="str">
        <f t="shared" si="0"/>
        <v/>
      </c>
      <c r="V45" s="314" t="str">
        <f t="shared" si="1"/>
        <v/>
      </c>
      <c r="W45" s="314" t="str" cm="1">
        <f t="array" aca="1" ref="W45" ca="1">IFERROR(IF(AE45&lt;&gt;"ja",_xlfn.IFNA(_xlfn.IFS(AND(O45&lt;&gt;"",F45&lt;&gt;"",RIGHT($N45,6)="tarief",F45="Vergoeding"),SUM(O45)*FLOOR(SUM(Q45),0.0001),AND(O45&lt;&gt;"",F45&lt;&gt;"",RIGHT($N45,6)="tarief"),SUM(O45)*FLOOR(SUM(Q45),0.01),S45&gt;0,IF(F45&lt;&gt;"",FLOOR(SUM(S45),0.01),"")),""),""),"")</f>
        <v/>
      </c>
      <c r="X45" s="314" t="str" cm="1">
        <f t="array" aca="1" ref="X45" ca="1">IFERROR(IF(AE45&lt;&gt;"ja",_xlfn.IFNA(_xlfn.IFS(AND(P45&lt;&gt;"",R45&lt;&gt;"",RIGHT($N45,6)="tarief",F45="Vergoeding"),SUM(P45)*FLOOR(SUM(R45),0.0001),AND(P45&lt;&gt;"",R45&lt;&gt;"",RIGHT($N45,6)="tarief"),P45*FLOOR(R45,0.01),T45&gt;0,FLOOR(SUM(T45),0.01)),""),""),"")</f>
        <v/>
      </c>
      <c r="Y45" s="314" t="str">
        <f t="shared" ca="1" si="2"/>
        <v/>
      </c>
      <c r="Z45" s="314" t="str" cm="1">
        <f t="array" aca="1" ref="Z45" ca="1">IFERROR(_xlfn.IFS(OR(F45="",LEFT(Methode_Keuze,4)="Geen",Methode_Keuze=""),"",AND(W45&lt;&gt;"",F45&lt;&gt;"Arbeidskosten"),W45*VLOOKUP(F45,Tb_ProjectKosten[],MATCH(Tb_ProjectKosten[[#Headers],[Forfait_Percentage]],Tb_ProjectKosten[#Headers],0),0),AND(F45="Arbeidskosten",G45&lt;&gt;""),IFERROR(W45*VLOOKUP(G45,Tb_KostenTypen[],3,0)*VLOOKUP(F45,Tb_ProjectKosten[],MATCH(Tb_ProjectKosten[[#Headers],[Forfait_Percentage]],Tb_ProjectKosten[#Headers],0),0),""),W45 &lt;=0,0),"")</f>
        <v/>
      </c>
      <c r="AA45" s="314" t="str" cm="1">
        <f t="array" aca="1" ref="AA45" ca="1">IFERROR(_xlfn.IFS(OR(F45="",LEFT(Methode_Keuze,4)="Geen",Methode_Keuze=""),"",AND(X45&lt;&gt;"",F45&lt;&gt;"Arbeidskosten"),X45*VLOOKUP(F45,Tb_ProjectKosten[],MATCH(Tb_ProjectKosten[[#Headers],[Forfait_Percentage]],Tb_ProjectKosten[#Headers],0),0),AND(F45="Arbeidskosten",G45&lt;&gt;""),IFERROR(X45*VLOOKUP(G45,Tb_KostenTypen[],3,0)*VLOOKUP(F45,Tb_ProjectKosten[],MATCH(Tb_ProjectKosten[[#Headers],[Forfait_Percentage]],Tb_ProjectKosten[#Headers],0),0),""),X45 &lt;=0,0),"")</f>
        <v/>
      </c>
      <c r="AB45" s="314" t="str">
        <f t="shared" ca="1" si="3"/>
        <v/>
      </c>
      <c r="AC45" s="322"/>
      <c r="AD45" s="315"/>
      <c r="AE45" s="32" t="str" cm="1">
        <f t="array" ref="AE45">IFERROR(IF(INDEX(SubsidieTabel!$AD$1:$AG$12,MATCH($F45,SubsidieTabel!$AD$1:$AD$12,0),IFERROR(MATCH(Methode_Keuze,SubsidieTabel!$AD$1:$AG$1,0),2))&lt;&gt;1=TRUE,"ja",""),"")</f>
        <v/>
      </c>
    </row>
    <row r="46" spans="1:31" x14ac:dyDescent="0.25">
      <c r="A46" s="316"/>
      <c r="B46" s="317" t="str">
        <f>IF(A46&lt;&gt;"",_xlfn.MAXIFS($B$1:B45,$A$1:A45,A46)+1,"")</f>
        <v/>
      </c>
      <c r="C46" s="296"/>
      <c r="D46" s="296"/>
      <c r="E46" s="296"/>
      <c r="F46" s="296"/>
      <c r="G46" s="326"/>
      <c r="H46" s="324"/>
      <c r="I46" s="325"/>
      <c r="J46" s="325"/>
      <c r="K46" s="318"/>
      <c r="L46" s="318"/>
      <c r="M46" s="319" t="str">
        <f>IFERROR(VLOOKUP(H46,Lijsten!$H$1:$I$100,2,0),"")</f>
        <v/>
      </c>
      <c r="N46" s="319" t="str">
        <f ca="1">IFERROR(IF(VLOOKUP(F46,Kostentypen!$A$3:$E$21,3,0)=0,"",IF(OR(F46="Arbeidskosten",F46="Vergoeding"),VLOOKUP(G46,Tb_KostenTypen[],2,0),VLOOKUP(F46,Kostentypen!$A$3:$E$20,3,0))),"")</f>
        <v/>
      </c>
      <c r="O46" s="320" t="str" cm="1">
        <f t="array" ref="O46">_xlfn.IFNA(IF(INDEX(Tb_KostenOptiesDB[],MATCH($F46,Tb_KostenOptiesDB[KostenOptie],0),IFERROR(MATCH(Methode_Keuze,Tb_KostenOptiesDB[#Headers],0),2))=1,_xlfn.SWITCH($N46,"Uurtarief",IF(OR(AND(RIGHT($F46,3)="IKS",VLOOKUP($M46,DB_Loonkosten,2,0)="Ja"),AND(RIGHT($F46,3)&lt;&gt;"IKS",VLOOKUP($M46,DB_Loonkosten,2,0)="Nee")),IFERROR(VLOOKUP($M46,DB_Loonkosten,24,0),""),0),"Vast tarief",IF(LEFT(F46,8)="Bijdrage",VLOOKUP($F46,Tb_KostenTypen[],MATCH(Lijsten!$P$1,Tb_KostenTypen[#Headers],0),0),VLOOKUP($G46,Lijsten!L:P,MATCH(Lijsten!$P$1,Kop_Tarief_Vast,0),0))),""),"")</f>
        <v/>
      </c>
      <c r="P46" s="320" t="str" cm="1">
        <f t="array" ref="P46">_xlfn.IFNA(IF(INDEX(Tb_KostenOptiesDB[],MATCH($F46,Tb_KostenOptiesDB[KostenOptie],0),IFERROR(MATCH(Methode_Keuze,Tb_KostenOptiesDB[#Headers],0),2))=1,_xlfn.SWITCH($N46,"Uurtarief",IF(OR(AND(RIGHT($F46,3)="IKS",VLOOKUP($M46,DB_Loonkosten,2,0)="Ja"),AND(RIGHT($F46,3)&lt;&gt;"IKS",VLOOKUP($M46,DB_Loonkosten,2,0)="Nee")),IFERROR(VLOOKUP($M46,DB_Loonkosten,25,0),""),0),"Vast tarief",IF(LEFT(F46,8)="Bijdrage",VLOOKUP($F46,Tb_KostenTypen[],MATCH(Lijsten!$P$1,Tb_KostenTypen[#Headers],0),0),VLOOKUP($G46,Lijsten!L:P,MATCH(Lijsten!$P$1,Kop_Tarief_Vast,0),0))),""),"")</f>
        <v/>
      </c>
      <c r="Q46" s="359"/>
      <c r="R46" s="359"/>
      <c r="S46" s="321"/>
      <c r="T46" s="321"/>
      <c r="U46" s="373" t="str">
        <f t="shared" si="0"/>
        <v/>
      </c>
      <c r="V46" s="314" t="str">
        <f t="shared" si="1"/>
        <v/>
      </c>
      <c r="W46" s="314" t="str" cm="1">
        <f t="array" aca="1" ref="W46" ca="1">IFERROR(IF(AE46&lt;&gt;"ja",_xlfn.IFNA(_xlfn.IFS(AND(O46&lt;&gt;"",F46&lt;&gt;"",RIGHT($N46,6)="tarief",F46="Vergoeding"),SUM(O46)*FLOOR(SUM(Q46),0.0001),AND(O46&lt;&gt;"",F46&lt;&gt;"",RIGHT($N46,6)="tarief"),SUM(O46)*FLOOR(SUM(Q46),0.01),S46&gt;0,IF(F46&lt;&gt;"",FLOOR(SUM(S46),0.01),"")),""),""),"")</f>
        <v/>
      </c>
      <c r="X46" s="314" t="str" cm="1">
        <f t="array" aca="1" ref="X46" ca="1">IFERROR(IF(AE46&lt;&gt;"ja",_xlfn.IFNA(_xlfn.IFS(AND(P46&lt;&gt;"",R46&lt;&gt;"",RIGHT($N46,6)="tarief",F46="Vergoeding"),SUM(P46)*FLOOR(SUM(R46),0.0001),AND(P46&lt;&gt;"",R46&lt;&gt;"",RIGHT($N46,6)="tarief"),P46*FLOOR(R46,0.01),T46&gt;0,FLOOR(SUM(T46),0.01)),""),""),"")</f>
        <v/>
      </c>
      <c r="Y46" s="314" t="str">
        <f t="shared" ca="1" si="2"/>
        <v/>
      </c>
      <c r="Z46" s="314" t="str" cm="1">
        <f t="array" aca="1" ref="Z46" ca="1">IFERROR(_xlfn.IFS(OR(F46="",LEFT(Methode_Keuze,4)="Geen",Methode_Keuze=""),"",AND(W46&lt;&gt;"",F46&lt;&gt;"Arbeidskosten"),W46*VLOOKUP(F46,Tb_ProjectKosten[],MATCH(Tb_ProjectKosten[[#Headers],[Forfait_Percentage]],Tb_ProjectKosten[#Headers],0),0),AND(F46="Arbeidskosten",G46&lt;&gt;""),IFERROR(W46*VLOOKUP(G46,Tb_KostenTypen[],3,0)*VLOOKUP(F46,Tb_ProjectKosten[],MATCH(Tb_ProjectKosten[[#Headers],[Forfait_Percentage]],Tb_ProjectKosten[#Headers],0),0),""),W46 &lt;=0,0),"")</f>
        <v/>
      </c>
      <c r="AA46" s="314" t="str" cm="1">
        <f t="array" aca="1" ref="AA46" ca="1">IFERROR(_xlfn.IFS(OR(F46="",LEFT(Methode_Keuze,4)="Geen",Methode_Keuze=""),"",AND(X46&lt;&gt;"",F46&lt;&gt;"Arbeidskosten"),X46*VLOOKUP(F46,Tb_ProjectKosten[],MATCH(Tb_ProjectKosten[[#Headers],[Forfait_Percentage]],Tb_ProjectKosten[#Headers],0),0),AND(F46="Arbeidskosten",G46&lt;&gt;""),IFERROR(X46*VLOOKUP(G46,Tb_KostenTypen[],3,0)*VLOOKUP(F46,Tb_ProjectKosten[],MATCH(Tb_ProjectKosten[[#Headers],[Forfait_Percentage]],Tb_ProjectKosten[#Headers],0),0),""),X46 &lt;=0,0),"")</f>
        <v/>
      </c>
      <c r="AB46" s="314" t="str">
        <f t="shared" ca="1" si="3"/>
        <v/>
      </c>
      <c r="AC46" s="322"/>
      <c r="AD46" s="315"/>
      <c r="AE46" s="32" t="str" cm="1">
        <f t="array" ref="AE46">IFERROR(IF(INDEX(SubsidieTabel!$AD$1:$AG$12,MATCH($F46,SubsidieTabel!$AD$1:$AD$12,0),IFERROR(MATCH(Methode_Keuze,SubsidieTabel!$AD$1:$AG$1,0),2))&lt;&gt;1=TRUE,"ja",""),"")</f>
        <v/>
      </c>
    </row>
    <row r="47" spans="1:31" x14ac:dyDescent="0.25">
      <c r="A47" s="316"/>
      <c r="B47" s="317" t="str">
        <f>IF(A47&lt;&gt;"",_xlfn.MAXIFS($B$1:B46,$A$1:A46,A47)+1,"")</f>
        <v/>
      </c>
      <c r="C47" s="296"/>
      <c r="D47" s="296"/>
      <c r="E47" s="296"/>
      <c r="F47" s="296"/>
      <c r="G47" s="326"/>
      <c r="H47" s="324"/>
      <c r="I47" s="325"/>
      <c r="J47" s="325"/>
      <c r="K47" s="318"/>
      <c r="L47" s="318"/>
      <c r="M47" s="319" t="str">
        <f>IFERROR(VLOOKUP(H47,Lijsten!$H$1:$I$100,2,0),"")</f>
        <v/>
      </c>
      <c r="N47" s="319" t="str">
        <f ca="1">IFERROR(IF(VLOOKUP(F47,Kostentypen!$A$3:$E$21,3,0)=0,"",IF(OR(F47="Arbeidskosten",F47="Vergoeding"),VLOOKUP(G47,Tb_KostenTypen[],2,0),VLOOKUP(F47,Kostentypen!$A$3:$E$20,3,0))),"")</f>
        <v/>
      </c>
      <c r="O47" s="320" t="str" cm="1">
        <f t="array" ref="O47">_xlfn.IFNA(IF(INDEX(Tb_KostenOptiesDB[],MATCH($F47,Tb_KostenOptiesDB[KostenOptie],0),IFERROR(MATCH(Methode_Keuze,Tb_KostenOptiesDB[#Headers],0),2))=1,_xlfn.SWITCH($N47,"Uurtarief",IF(OR(AND(RIGHT($F47,3)="IKS",VLOOKUP($M47,DB_Loonkosten,2,0)="Ja"),AND(RIGHT($F47,3)&lt;&gt;"IKS",VLOOKUP($M47,DB_Loonkosten,2,0)="Nee")),IFERROR(VLOOKUP($M47,DB_Loonkosten,24,0),""),0),"Vast tarief",IF(LEFT(F47,8)="Bijdrage",VLOOKUP($F47,Tb_KostenTypen[],MATCH(Lijsten!$P$1,Tb_KostenTypen[#Headers],0),0),VLOOKUP($G47,Lijsten!L:P,MATCH(Lijsten!$P$1,Kop_Tarief_Vast,0),0))),""),"")</f>
        <v/>
      </c>
      <c r="P47" s="320" t="str" cm="1">
        <f t="array" ref="P47">_xlfn.IFNA(IF(INDEX(Tb_KostenOptiesDB[],MATCH($F47,Tb_KostenOptiesDB[KostenOptie],0),IFERROR(MATCH(Methode_Keuze,Tb_KostenOptiesDB[#Headers],0),2))=1,_xlfn.SWITCH($N47,"Uurtarief",IF(OR(AND(RIGHT($F47,3)="IKS",VLOOKUP($M47,DB_Loonkosten,2,0)="Ja"),AND(RIGHT($F47,3)&lt;&gt;"IKS",VLOOKUP($M47,DB_Loonkosten,2,0)="Nee")),IFERROR(VLOOKUP($M47,DB_Loonkosten,25,0),""),0),"Vast tarief",IF(LEFT(F47,8)="Bijdrage",VLOOKUP($F47,Tb_KostenTypen[],MATCH(Lijsten!$P$1,Tb_KostenTypen[#Headers],0),0),VLOOKUP($G47,Lijsten!L:P,MATCH(Lijsten!$P$1,Kop_Tarief_Vast,0),0))),""),"")</f>
        <v/>
      </c>
      <c r="Q47" s="359"/>
      <c r="R47" s="359"/>
      <c r="S47" s="321"/>
      <c r="T47" s="321"/>
      <c r="U47" s="373" t="str">
        <f t="shared" si="0"/>
        <v/>
      </c>
      <c r="V47" s="314" t="str">
        <f t="shared" si="1"/>
        <v/>
      </c>
      <c r="W47" s="314" t="str" cm="1">
        <f t="array" aca="1" ref="W47" ca="1">IFERROR(IF(AE47&lt;&gt;"ja",_xlfn.IFNA(_xlfn.IFS(AND(O47&lt;&gt;"",F47&lt;&gt;"",RIGHT($N47,6)="tarief",F47="Vergoeding"),SUM(O47)*FLOOR(SUM(Q47),0.0001),AND(O47&lt;&gt;"",F47&lt;&gt;"",RIGHT($N47,6)="tarief"),SUM(O47)*FLOOR(SUM(Q47),0.01),S47&gt;0,IF(F47&lt;&gt;"",FLOOR(SUM(S47),0.01),"")),""),""),"")</f>
        <v/>
      </c>
      <c r="X47" s="314" t="str" cm="1">
        <f t="array" aca="1" ref="X47" ca="1">IFERROR(IF(AE47&lt;&gt;"ja",_xlfn.IFNA(_xlfn.IFS(AND(P47&lt;&gt;"",R47&lt;&gt;"",RIGHT($N47,6)="tarief",F47="Vergoeding"),SUM(P47)*FLOOR(SUM(R47),0.0001),AND(P47&lt;&gt;"",R47&lt;&gt;"",RIGHT($N47,6)="tarief"),P47*FLOOR(R47,0.01),T47&gt;0,FLOOR(SUM(T47),0.01)),""),""),"")</f>
        <v/>
      </c>
      <c r="Y47" s="314" t="str">
        <f t="shared" ca="1" si="2"/>
        <v/>
      </c>
      <c r="Z47" s="314" t="str" cm="1">
        <f t="array" aca="1" ref="Z47" ca="1">IFERROR(_xlfn.IFS(OR(F47="",LEFT(Methode_Keuze,4)="Geen",Methode_Keuze=""),"",AND(W47&lt;&gt;"",F47&lt;&gt;"Arbeidskosten"),W47*VLOOKUP(F47,Tb_ProjectKosten[],MATCH(Tb_ProjectKosten[[#Headers],[Forfait_Percentage]],Tb_ProjectKosten[#Headers],0),0),AND(F47="Arbeidskosten",G47&lt;&gt;""),IFERROR(W47*VLOOKUP(G47,Tb_KostenTypen[],3,0)*VLOOKUP(F47,Tb_ProjectKosten[],MATCH(Tb_ProjectKosten[[#Headers],[Forfait_Percentage]],Tb_ProjectKosten[#Headers],0),0),""),W47 &lt;=0,0),"")</f>
        <v/>
      </c>
      <c r="AA47" s="314" t="str" cm="1">
        <f t="array" aca="1" ref="AA47" ca="1">IFERROR(_xlfn.IFS(OR(F47="",LEFT(Methode_Keuze,4)="Geen",Methode_Keuze=""),"",AND(X47&lt;&gt;"",F47&lt;&gt;"Arbeidskosten"),X47*VLOOKUP(F47,Tb_ProjectKosten[],MATCH(Tb_ProjectKosten[[#Headers],[Forfait_Percentage]],Tb_ProjectKosten[#Headers],0),0),AND(F47="Arbeidskosten",G47&lt;&gt;""),IFERROR(X47*VLOOKUP(G47,Tb_KostenTypen[],3,0)*VLOOKUP(F47,Tb_ProjectKosten[],MATCH(Tb_ProjectKosten[[#Headers],[Forfait_Percentage]],Tb_ProjectKosten[#Headers],0),0),""),X47 &lt;=0,0),"")</f>
        <v/>
      </c>
      <c r="AB47" s="314" t="str">
        <f t="shared" ca="1" si="3"/>
        <v/>
      </c>
      <c r="AC47" s="322"/>
      <c r="AD47" s="315"/>
      <c r="AE47" s="32" t="str" cm="1">
        <f t="array" ref="AE47">IFERROR(IF(INDEX(SubsidieTabel!$AD$1:$AG$12,MATCH($F47,SubsidieTabel!$AD$1:$AD$12,0),IFERROR(MATCH(Methode_Keuze,SubsidieTabel!$AD$1:$AG$1,0),2))&lt;&gt;1=TRUE,"ja",""),"")</f>
        <v/>
      </c>
    </row>
    <row r="48" spans="1:31" x14ac:dyDescent="0.25">
      <c r="A48" s="316"/>
      <c r="B48" s="317" t="str">
        <f>IF(A48&lt;&gt;"",_xlfn.MAXIFS($B$1:B47,$A$1:A47,A48)+1,"")</f>
        <v/>
      </c>
      <c r="C48" s="296"/>
      <c r="D48" s="296"/>
      <c r="E48" s="296"/>
      <c r="F48" s="296"/>
      <c r="G48" s="326"/>
      <c r="H48" s="324"/>
      <c r="I48" s="325"/>
      <c r="J48" s="325"/>
      <c r="K48" s="318"/>
      <c r="L48" s="318"/>
      <c r="M48" s="319" t="str">
        <f>IFERROR(VLOOKUP(H48,Lijsten!$H$1:$I$100,2,0),"")</f>
        <v/>
      </c>
      <c r="N48" s="319" t="str">
        <f ca="1">IFERROR(IF(VLOOKUP(F48,Kostentypen!$A$3:$E$21,3,0)=0,"",IF(OR(F48="Arbeidskosten",F48="Vergoeding"),VLOOKUP(G48,Tb_KostenTypen[],2,0),VLOOKUP(F48,Kostentypen!$A$3:$E$20,3,0))),"")</f>
        <v/>
      </c>
      <c r="O48" s="320" t="str" cm="1">
        <f t="array" ref="O48">_xlfn.IFNA(IF(INDEX(Tb_KostenOptiesDB[],MATCH($F48,Tb_KostenOptiesDB[KostenOptie],0),IFERROR(MATCH(Methode_Keuze,Tb_KostenOptiesDB[#Headers],0),2))=1,_xlfn.SWITCH($N48,"Uurtarief",IF(OR(AND(RIGHT($F48,3)="IKS",VLOOKUP($M48,DB_Loonkosten,2,0)="Ja"),AND(RIGHT($F48,3)&lt;&gt;"IKS",VLOOKUP($M48,DB_Loonkosten,2,0)="Nee")),IFERROR(VLOOKUP($M48,DB_Loonkosten,24,0),""),0),"Vast tarief",IF(LEFT(F48,8)="Bijdrage",VLOOKUP($F48,Tb_KostenTypen[],MATCH(Lijsten!$P$1,Tb_KostenTypen[#Headers],0),0),VLOOKUP($G48,Lijsten!L:P,MATCH(Lijsten!$P$1,Kop_Tarief_Vast,0),0))),""),"")</f>
        <v/>
      </c>
      <c r="P48" s="320" t="str" cm="1">
        <f t="array" ref="P48">_xlfn.IFNA(IF(INDEX(Tb_KostenOptiesDB[],MATCH($F48,Tb_KostenOptiesDB[KostenOptie],0),IFERROR(MATCH(Methode_Keuze,Tb_KostenOptiesDB[#Headers],0),2))=1,_xlfn.SWITCH($N48,"Uurtarief",IF(OR(AND(RIGHT($F48,3)="IKS",VLOOKUP($M48,DB_Loonkosten,2,0)="Ja"),AND(RIGHT($F48,3)&lt;&gt;"IKS",VLOOKUP($M48,DB_Loonkosten,2,0)="Nee")),IFERROR(VLOOKUP($M48,DB_Loonkosten,25,0),""),0),"Vast tarief",IF(LEFT(F48,8)="Bijdrage",VLOOKUP($F48,Tb_KostenTypen[],MATCH(Lijsten!$P$1,Tb_KostenTypen[#Headers],0),0),VLOOKUP($G48,Lijsten!L:P,MATCH(Lijsten!$P$1,Kop_Tarief_Vast,0),0))),""),"")</f>
        <v/>
      </c>
      <c r="Q48" s="359"/>
      <c r="R48" s="359"/>
      <c r="S48" s="321"/>
      <c r="T48" s="321"/>
      <c r="U48" s="373" t="str">
        <f t="shared" si="0"/>
        <v/>
      </c>
      <c r="V48" s="314" t="str">
        <f t="shared" si="1"/>
        <v/>
      </c>
      <c r="W48" s="314" t="str" cm="1">
        <f t="array" aca="1" ref="W48" ca="1">IFERROR(IF(AE48&lt;&gt;"ja",_xlfn.IFNA(_xlfn.IFS(AND(O48&lt;&gt;"",F48&lt;&gt;"",RIGHT($N48,6)="tarief",F48="Vergoeding"),SUM(O48)*FLOOR(SUM(Q48),0.0001),AND(O48&lt;&gt;"",F48&lt;&gt;"",RIGHT($N48,6)="tarief"),SUM(O48)*FLOOR(SUM(Q48),0.01),S48&gt;0,IF(F48&lt;&gt;"",FLOOR(SUM(S48),0.01),"")),""),""),"")</f>
        <v/>
      </c>
      <c r="X48" s="314" t="str" cm="1">
        <f t="array" aca="1" ref="X48" ca="1">IFERROR(IF(AE48&lt;&gt;"ja",_xlfn.IFNA(_xlfn.IFS(AND(P48&lt;&gt;"",R48&lt;&gt;"",RIGHT($N48,6)="tarief",F48="Vergoeding"),SUM(P48)*FLOOR(SUM(R48),0.0001),AND(P48&lt;&gt;"",R48&lt;&gt;"",RIGHT($N48,6)="tarief"),P48*FLOOR(R48,0.01),T48&gt;0,FLOOR(SUM(T48),0.01)),""),""),"")</f>
        <v/>
      </c>
      <c r="Y48" s="314" t="str">
        <f t="shared" ca="1" si="2"/>
        <v/>
      </c>
      <c r="Z48" s="314" t="str" cm="1">
        <f t="array" aca="1" ref="Z48" ca="1">IFERROR(_xlfn.IFS(OR(F48="",LEFT(Methode_Keuze,4)="Geen",Methode_Keuze=""),"",AND(W48&lt;&gt;"",F48&lt;&gt;"Arbeidskosten"),W48*VLOOKUP(F48,Tb_ProjectKosten[],MATCH(Tb_ProjectKosten[[#Headers],[Forfait_Percentage]],Tb_ProjectKosten[#Headers],0),0),AND(F48="Arbeidskosten",G48&lt;&gt;""),IFERROR(W48*VLOOKUP(G48,Tb_KostenTypen[],3,0)*VLOOKUP(F48,Tb_ProjectKosten[],MATCH(Tb_ProjectKosten[[#Headers],[Forfait_Percentage]],Tb_ProjectKosten[#Headers],0),0),""),W48 &lt;=0,0),"")</f>
        <v/>
      </c>
      <c r="AA48" s="314" t="str" cm="1">
        <f t="array" aca="1" ref="AA48" ca="1">IFERROR(_xlfn.IFS(OR(F48="",LEFT(Methode_Keuze,4)="Geen",Methode_Keuze=""),"",AND(X48&lt;&gt;"",F48&lt;&gt;"Arbeidskosten"),X48*VLOOKUP(F48,Tb_ProjectKosten[],MATCH(Tb_ProjectKosten[[#Headers],[Forfait_Percentage]],Tb_ProjectKosten[#Headers],0),0),AND(F48="Arbeidskosten",G48&lt;&gt;""),IFERROR(X48*VLOOKUP(G48,Tb_KostenTypen[],3,0)*VLOOKUP(F48,Tb_ProjectKosten[],MATCH(Tb_ProjectKosten[[#Headers],[Forfait_Percentage]],Tb_ProjectKosten[#Headers],0),0),""),X48 &lt;=0,0),"")</f>
        <v/>
      </c>
      <c r="AB48" s="314" t="str">
        <f t="shared" ca="1" si="3"/>
        <v/>
      </c>
      <c r="AC48" s="322"/>
      <c r="AD48" s="315"/>
      <c r="AE48" s="32" t="str" cm="1">
        <f t="array" ref="AE48">IFERROR(IF(INDEX(SubsidieTabel!$AD$1:$AG$12,MATCH($F48,SubsidieTabel!$AD$1:$AD$12,0),IFERROR(MATCH(Methode_Keuze,SubsidieTabel!$AD$1:$AG$1,0),2))&lt;&gt;1=TRUE,"ja",""),"")</f>
        <v/>
      </c>
    </row>
    <row r="49" spans="1:31" x14ac:dyDescent="0.25">
      <c r="A49" s="316"/>
      <c r="B49" s="317" t="str">
        <f>IF(A49&lt;&gt;"",_xlfn.MAXIFS($B$1:B48,$A$1:A48,A49)+1,"")</f>
        <v/>
      </c>
      <c r="C49" s="296"/>
      <c r="D49" s="296"/>
      <c r="E49" s="296"/>
      <c r="F49" s="296"/>
      <c r="G49" s="326"/>
      <c r="H49" s="324"/>
      <c r="I49" s="325"/>
      <c r="J49" s="325"/>
      <c r="K49" s="318"/>
      <c r="L49" s="318"/>
      <c r="M49" s="319" t="str">
        <f>IFERROR(VLOOKUP(H49,Lijsten!$H$1:$I$100,2,0),"")</f>
        <v/>
      </c>
      <c r="N49" s="319" t="str">
        <f ca="1">IFERROR(IF(VLOOKUP(F49,Kostentypen!$A$3:$E$21,3,0)=0,"",IF(OR(F49="Arbeidskosten",F49="Vergoeding"),VLOOKUP(G49,Tb_KostenTypen[],2,0),VLOOKUP(F49,Kostentypen!$A$3:$E$20,3,0))),"")</f>
        <v/>
      </c>
      <c r="O49" s="320" t="str" cm="1">
        <f t="array" ref="O49">_xlfn.IFNA(IF(INDEX(Tb_KostenOptiesDB[],MATCH($F49,Tb_KostenOptiesDB[KostenOptie],0),IFERROR(MATCH(Methode_Keuze,Tb_KostenOptiesDB[#Headers],0),2))=1,_xlfn.SWITCH($N49,"Uurtarief",IF(OR(AND(RIGHT($F49,3)="IKS",VLOOKUP($M49,DB_Loonkosten,2,0)="Ja"),AND(RIGHT($F49,3)&lt;&gt;"IKS",VLOOKUP($M49,DB_Loonkosten,2,0)="Nee")),IFERROR(VLOOKUP($M49,DB_Loonkosten,24,0),""),0),"Vast tarief",IF(LEFT(F49,8)="Bijdrage",VLOOKUP($F49,Tb_KostenTypen[],MATCH(Lijsten!$P$1,Tb_KostenTypen[#Headers],0),0),VLOOKUP($G49,Lijsten!L:P,MATCH(Lijsten!$P$1,Kop_Tarief_Vast,0),0))),""),"")</f>
        <v/>
      </c>
      <c r="P49" s="320" t="str" cm="1">
        <f t="array" ref="P49">_xlfn.IFNA(IF(INDEX(Tb_KostenOptiesDB[],MATCH($F49,Tb_KostenOptiesDB[KostenOptie],0),IFERROR(MATCH(Methode_Keuze,Tb_KostenOptiesDB[#Headers],0),2))=1,_xlfn.SWITCH($N49,"Uurtarief",IF(OR(AND(RIGHT($F49,3)="IKS",VLOOKUP($M49,DB_Loonkosten,2,0)="Ja"),AND(RIGHT($F49,3)&lt;&gt;"IKS",VLOOKUP($M49,DB_Loonkosten,2,0)="Nee")),IFERROR(VLOOKUP($M49,DB_Loonkosten,25,0),""),0),"Vast tarief",IF(LEFT(F49,8)="Bijdrage",VLOOKUP($F49,Tb_KostenTypen[],MATCH(Lijsten!$P$1,Tb_KostenTypen[#Headers],0),0),VLOOKUP($G49,Lijsten!L:P,MATCH(Lijsten!$P$1,Kop_Tarief_Vast,0),0))),""),"")</f>
        <v/>
      </c>
      <c r="Q49" s="359"/>
      <c r="R49" s="359"/>
      <c r="S49" s="321"/>
      <c r="T49" s="321"/>
      <c r="U49" s="373" t="str">
        <f t="shared" si="0"/>
        <v/>
      </c>
      <c r="V49" s="314" t="str">
        <f t="shared" si="1"/>
        <v/>
      </c>
      <c r="W49" s="314" t="str" cm="1">
        <f t="array" aca="1" ref="W49" ca="1">IFERROR(IF(AE49&lt;&gt;"ja",_xlfn.IFNA(_xlfn.IFS(AND(O49&lt;&gt;"",F49&lt;&gt;"",RIGHT($N49,6)="tarief",F49="Vergoeding"),SUM(O49)*FLOOR(SUM(Q49),0.0001),AND(O49&lt;&gt;"",F49&lt;&gt;"",RIGHT($N49,6)="tarief"),SUM(O49)*FLOOR(SUM(Q49),0.01),S49&gt;0,IF(F49&lt;&gt;"",FLOOR(SUM(S49),0.01),"")),""),""),"")</f>
        <v/>
      </c>
      <c r="X49" s="314" t="str" cm="1">
        <f t="array" aca="1" ref="X49" ca="1">IFERROR(IF(AE49&lt;&gt;"ja",_xlfn.IFNA(_xlfn.IFS(AND(P49&lt;&gt;"",R49&lt;&gt;"",RIGHT($N49,6)="tarief",F49="Vergoeding"),SUM(P49)*FLOOR(SUM(R49),0.0001),AND(P49&lt;&gt;"",R49&lt;&gt;"",RIGHT($N49,6)="tarief"),P49*FLOOR(R49,0.01),T49&gt;0,FLOOR(SUM(T49),0.01)),""),""),"")</f>
        <v/>
      </c>
      <c r="Y49" s="314" t="str">
        <f t="shared" ca="1" si="2"/>
        <v/>
      </c>
      <c r="Z49" s="314" t="str" cm="1">
        <f t="array" aca="1" ref="Z49" ca="1">IFERROR(_xlfn.IFS(OR(F49="",LEFT(Methode_Keuze,4)="Geen",Methode_Keuze=""),"",AND(W49&lt;&gt;"",F49&lt;&gt;"Arbeidskosten"),W49*VLOOKUP(F49,Tb_ProjectKosten[],MATCH(Tb_ProjectKosten[[#Headers],[Forfait_Percentage]],Tb_ProjectKosten[#Headers],0),0),AND(F49="Arbeidskosten",G49&lt;&gt;""),IFERROR(W49*VLOOKUP(G49,Tb_KostenTypen[],3,0)*VLOOKUP(F49,Tb_ProjectKosten[],MATCH(Tb_ProjectKosten[[#Headers],[Forfait_Percentage]],Tb_ProjectKosten[#Headers],0),0),""),W49 &lt;=0,0),"")</f>
        <v/>
      </c>
      <c r="AA49" s="314" t="str" cm="1">
        <f t="array" aca="1" ref="AA49" ca="1">IFERROR(_xlfn.IFS(OR(F49="",LEFT(Methode_Keuze,4)="Geen",Methode_Keuze=""),"",AND(X49&lt;&gt;"",F49&lt;&gt;"Arbeidskosten"),X49*VLOOKUP(F49,Tb_ProjectKosten[],MATCH(Tb_ProjectKosten[[#Headers],[Forfait_Percentage]],Tb_ProjectKosten[#Headers],0),0),AND(F49="Arbeidskosten",G49&lt;&gt;""),IFERROR(X49*VLOOKUP(G49,Tb_KostenTypen[],3,0)*VLOOKUP(F49,Tb_ProjectKosten[],MATCH(Tb_ProjectKosten[[#Headers],[Forfait_Percentage]],Tb_ProjectKosten[#Headers],0),0),""),X49 &lt;=0,0),"")</f>
        <v/>
      </c>
      <c r="AB49" s="314" t="str">
        <f t="shared" ca="1" si="3"/>
        <v/>
      </c>
      <c r="AC49" s="322"/>
      <c r="AD49" s="315"/>
      <c r="AE49" s="32" t="str" cm="1">
        <f t="array" ref="AE49">IFERROR(IF(INDEX(SubsidieTabel!$AD$1:$AG$12,MATCH($F49,SubsidieTabel!$AD$1:$AD$12,0),IFERROR(MATCH(Methode_Keuze,SubsidieTabel!$AD$1:$AG$1,0),2))&lt;&gt;1=TRUE,"ja",""),"")</f>
        <v/>
      </c>
    </row>
    <row r="50" spans="1:31" x14ac:dyDescent="0.25">
      <c r="A50" s="316"/>
      <c r="B50" s="317" t="str">
        <f>IF(A50&lt;&gt;"",_xlfn.MAXIFS($B$1:B49,$A$1:A49,A50)+1,"")</f>
        <v/>
      </c>
      <c r="C50" s="296"/>
      <c r="D50" s="296"/>
      <c r="E50" s="296"/>
      <c r="F50" s="296"/>
      <c r="G50" s="326"/>
      <c r="H50" s="324"/>
      <c r="I50" s="325"/>
      <c r="J50" s="325"/>
      <c r="K50" s="318"/>
      <c r="L50" s="318"/>
      <c r="M50" s="319" t="str">
        <f>IFERROR(VLOOKUP(H50,Lijsten!$H$1:$I$100,2,0),"")</f>
        <v/>
      </c>
      <c r="N50" s="319" t="str">
        <f ca="1">IFERROR(IF(VLOOKUP(F50,Kostentypen!$A$3:$E$21,3,0)=0,"",IF(OR(F50="Arbeidskosten",F50="Vergoeding"),VLOOKUP(G50,Tb_KostenTypen[],2,0),VLOOKUP(F50,Kostentypen!$A$3:$E$20,3,0))),"")</f>
        <v/>
      </c>
      <c r="O50" s="320" t="str" cm="1">
        <f t="array" ref="O50">_xlfn.IFNA(IF(INDEX(Tb_KostenOptiesDB[],MATCH($F50,Tb_KostenOptiesDB[KostenOptie],0),IFERROR(MATCH(Methode_Keuze,Tb_KostenOptiesDB[#Headers],0),2))=1,_xlfn.SWITCH($N50,"Uurtarief",IF(OR(AND(RIGHT($F50,3)="IKS",VLOOKUP($M50,DB_Loonkosten,2,0)="Ja"),AND(RIGHT($F50,3)&lt;&gt;"IKS",VLOOKUP($M50,DB_Loonkosten,2,0)="Nee")),IFERROR(VLOOKUP($M50,DB_Loonkosten,24,0),""),0),"Vast tarief",IF(LEFT(F50,8)="Bijdrage",VLOOKUP($F50,Tb_KostenTypen[],MATCH(Lijsten!$P$1,Tb_KostenTypen[#Headers],0),0),VLOOKUP($G50,Lijsten!L:P,MATCH(Lijsten!$P$1,Kop_Tarief_Vast,0),0))),""),"")</f>
        <v/>
      </c>
      <c r="P50" s="320" t="str" cm="1">
        <f t="array" ref="P50">_xlfn.IFNA(IF(INDEX(Tb_KostenOptiesDB[],MATCH($F50,Tb_KostenOptiesDB[KostenOptie],0),IFERROR(MATCH(Methode_Keuze,Tb_KostenOptiesDB[#Headers],0),2))=1,_xlfn.SWITCH($N50,"Uurtarief",IF(OR(AND(RIGHT($F50,3)="IKS",VLOOKUP($M50,DB_Loonkosten,2,0)="Ja"),AND(RIGHT($F50,3)&lt;&gt;"IKS",VLOOKUP($M50,DB_Loonkosten,2,0)="Nee")),IFERROR(VLOOKUP($M50,DB_Loonkosten,25,0),""),0),"Vast tarief",IF(LEFT(F50,8)="Bijdrage",VLOOKUP($F50,Tb_KostenTypen[],MATCH(Lijsten!$P$1,Tb_KostenTypen[#Headers],0),0),VLOOKUP($G50,Lijsten!L:P,MATCH(Lijsten!$P$1,Kop_Tarief_Vast,0),0))),""),"")</f>
        <v/>
      </c>
      <c r="Q50" s="359"/>
      <c r="R50" s="359"/>
      <c r="S50" s="321"/>
      <c r="T50" s="321"/>
      <c r="U50" s="373" t="str">
        <f t="shared" si="0"/>
        <v/>
      </c>
      <c r="V50" s="314" t="str">
        <f t="shared" si="1"/>
        <v/>
      </c>
      <c r="W50" s="314" t="str" cm="1">
        <f t="array" aca="1" ref="W50" ca="1">IFERROR(IF(AE50&lt;&gt;"ja",_xlfn.IFNA(_xlfn.IFS(AND(O50&lt;&gt;"",F50&lt;&gt;"",RIGHT($N50,6)="tarief",F50="Vergoeding"),SUM(O50)*FLOOR(SUM(Q50),0.0001),AND(O50&lt;&gt;"",F50&lt;&gt;"",RIGHT($N50,6)="tarief"),SUM(O50)*FLOOR(SUM(Q50),0.01),S50&gt;0,IF(F50&lt;&gt;"",FLOOR(SUM(S50),0.01),"")),""),""),"")</f>
        <v/>
      </c>
      <c r="X50" s="314" t="str" cm="1">
        <f t="array" aca="1" ref="X50" ca="1">IFERROR(IF(AE50&lt;&gt;"ja",_xlfn.IFNA(_xlfn.IFS(AND(P50&lt;&gt;"",R50&lt;&gt;"",RIGHT($N50,6)="tarief",F50="Vergoeding"),SUM(P50)*FLOOR(SUM(R50),0.0001),AND(P50&lt;&gt;"",R50&lt;&gt;"",RIGHT($N50,6)="tarief"),P50*FLOOR(R50,0.01),T50&gt;0,FLOOR(SUM(T50),0.01)),""),""),"")</f>
        <v/>
      </c>
      <c r="Y50" s="314" t="str">
        <f t="shared" ca="1" si="2"/>
        <v/>
      </c>
      <c r="Z50" s="314" t="str" cm="1">
        <f t="array" aca="1" ref="Z50" ca="1">IFERROR(_xlfn.IFS(OR(F50="",LEFT(Methode_Keuze,4)="Geen",Methode_Keuze=""),"",AND(W50&lt;&gt;"",F50&lt;&gt;"Arbeidskosten"),W50*VLOOKUP(F50,Tb_ProjectKosten[],MATCH(Tb_ProjectKosten[[#Headers],[Forfait_Percentage]],Tb_ProjectKosten[#Headers],0),0),AND(F50="Arbeidskosten",G50&lt;&gt;""),IFERROR(W50*VLOOKUP(G50,Tb_KostenTypen[],3,0)*VLOOKUP(F50,Tb_ProjectKosten[],MATCH(Tb_ProjectKosten[[#Headers],[Forfait_Percentage]],Tb_ProjectKosten[#Headers],0),0),""),W50 &lt;=0,0),"")</f>
        <v/>
      </c>
      <c r="AA50" s="314" t="str" cm="1">
        <f t="array" aca="1" ref="AA50" ca="1">IFERROR(_xlfn.IFS(OR(F50="",LEFT(Methode_Keuze,4)="Geen",Methode_Keuze=""),"",AND(X50&lt;&gt;"",F50&lt;&gt;"Arbeidskosten"),X50*VLOOKUP(F50,Tb_ProjectKosten[],MATCH(Tb_ProjectKosten[[#Headers],[Forfait_Percentage]],Tb_ProjectKosten[#Headers],0),0),AND(F50="Arbeidskosten",G50&lt;&gt;""),IFERROR(X50*VLOOKUP(G50,Tb_KostenTypen[],3,0)*VLOOKUP(F50,Tb_ProjectKosten[],MATCH(Tb_ProjectKosten[[#Headers],[Forfait_Percentage]],Tb_ProjectKosten[#Headers],0),0),""),X50 &lt;=0,0),"")</f>
        <v/>
      </c>
      <c r="AB50" s="314" t="str">
        <f t="shared" ca="1" si="3"/>
        <v/>
      </c>
      <c r="AC50" s="322"/>
      <c r="AD50" s="315"/>
      <c r="AE50" s="32" t="str" cm="1">
        <f t="array" ref="AE50">IFERROR(IF(INDEX(SubsidieTabel!$AD$1:$AG$12,MATCH($F50,SubsidieTabel!$AD$1:$AD$12,0),IFERROR(MATCH(Methode_Keuze,SubsidieTabel!$AD$1:$AG$1,0),2))&lt;&gt;1=TRUE,"ja",""),"")</f>
        <v/>
      </c>
    </row>
    <row r="51" spans="1:31" x14ac:dyDescent="0.25">
      <c r="A51" s="316"/>
      <c r="B51" s="317" t="str">
        <f>IF(A51&lt;&gt;"",_xlfn.MAXIFS($B$1:B50,$A$1:A50,A51)+1,"")</f>
        <v/>
      </c>
      <c r="C51" s="296"/>
      <c r="D51" s="296"/>
      <c r="E51" s="296"/>
      <c r="F51" s="296"/>
      <c r="G51" s="326"/>
      <c r="H51" s="324"/>
      <c r="I51" s="325"/>
      <c r="J51" s="325"/>
      <c r="K51" s="318"/>
      <c r="L51" s="318"/>
      <c r="M51" s="319" t="str">
        <f>IFERROR(VLOOKUP(H51,Lijsten!$H$1:$I$100,2,0),"")</f>
        <v/>
      </c>
      <c r="N51" s="319" t="str">
        <f ca="1">IFERROR(IF(VLOOKUP(F51,Kostentypen!$A$3:$E$21,3,0)=0,"",IF(OR(F51="Arbeidskosten",F51="Vergoeding"),VLOOKUP(G51,Tb_KostenTypen[],2,0),VLOOKUP(F51,Kostentypen!$A$3:$E$20,3,0))),"")</f>
        <v/>
      </c>
      <c r="O51" s="320" t="str" cm="1">
        <f t="array" ref="O51">_xlfn.IFNA(IF(INDEX(Tb_KostenOptiesDB[],MATCH($F51,Tb_KostenOptiesDB[KostenOptie],0),IFERROR(MATCH(Methode_Keuze,Tb_KostenOptiesDB[#Headers],0),2))=1,_xlfn.SWITCH($N51,"Uurtarief",IF(OR(AND(RIGHT($F51,3)="IKS",VLOOKUP($M51,DB_Loonkosten,2,0)="Ja"),AND(RIGHT($F51,3)&lt;&gt;"IKS",VLOOKUP($M51,DB_Loonkosten,2,0)="Nee")),IFERROR(VLOOKUP($M51,DB_Loonkosten,24,0),""),0),"Vast tarief",IF(LEFT(F51,8)="Bijdrage",VLOOKUP($F51,Tb_KostenTypen[],MATCH(Lijsten!$P$1,Tb_KostenTypen[#Headers],0),0),VLOOKUP($G51,Lijsten!L:P,MATCH(Lijsten!$P$1,Kop_Tarief_Vast,0),0))),""),"")</f>
        <v/>
      </c>
      <c r="P51" s="320" t="str" cm="1">
        <f t="array" ref="P51">_xlfn.IFNA(IF(INDEX(Tb_KostenOptiesDB[],MATCH($F51,Tb_KostenOptiesDB[KostenOptie],0),IFERROR(MATCH(Methode_Keuze,Tb_KostenOptiesDB[#Headers],0),2))=1,_xlfn.SWITCH($N51,"Uurtarief",IF(OR(AND(RIGHT($F51,3)="IKS",VLOOKUP($M51,DB_Loonkosten,2,0)="Ja"),AND(RIGHT($F51,3)&lt;&gt;"IKS",VLOOKUP($M51,DB_Loonkosten,2,0)="Nee")),IFERROR(VLOOKUP($M51,DB_Loonkosten,25,0),""),0),"Vast tarief",IF(LEFT(F51,8)="Bijdrage",VLOOKUP($F51,Tb_KostenTypen[],MATCH(Lijsten!$P$1,Tb_KostenTypen[#Headers],0),0),VLOOKUP($G51,Lijsten!L:P,MATCH(Lijsten!$P$1,Kop_Tarief_Vast,0),0))),""),"")</f>
        <v/>
      </c>
      <c r="Q51" s="359"/>
      <c r="R51" s="359"/>
      <c r="S51" s="321"/>
      <c r="T51" s="321"/>
      <c r="U51" s="373" t="str">
        <f t="shared" si="0"/>
        <v/>
      </c>
      <c r="V51" s="314" t="str">
        <f t="shared" si="1"/>
        <v/>
      </c>
      <c r="W51" s="314" t="str" cm="1">
        <f t="array" aca="1" ref="W51" ca="1">IFERROR(IF(AE51&lt;&gt;"ja",_xlfn.IFNA(_xlfn.IFS(AND(O51&lt;&gt;"",F51&lt;&gt;"",RIGHT($N51,6)="tarief",F51="Vergoeding"),SUM(O51)*FLOOR(SUM(Q51),0.0001),AND(O51&lt;&gt;"",F51&lt;&gt;"",RIGHT($N51,6)="tarief"),SUM(O51)*FLOOR(SUM(Q51),0.01),S51&gt;0,IF(F51&lt;&gt;"",FLOOR(SUM(S51),0.01),"")),""),""),"")</f>
        <v/>
      </c>
      <c r="X51" s="314" t="str" cm="1">
        <f t="array" aca="1" ref="X51" ca="1">IFERROR(IF(AE51&lt;&gt;"ja",_xlfn.IFNA(_xlfn.IFS(AND(P51&lt;&gt;"",R51&lt;&gt;"",RIGHT($N51,6)="tarief",F51="Vergoeding"),SUM(P51)*FLOOR(SUM(R51),0.0001),AND(P51&lt;&gt;"",R51&lt;&gt;"",RIGHT($N51,6)="tarief"),P51*FLOOR(R51,0.01),T51&gt;0,FLOOR(SUM(T51),0.01)),""),""),"")</f>
        <v/>
      </c>
      <c r="Y51" s="314" t="str">
        <f t="shared" ca="1" si="2"/>
        <v/>
      </c>
      <c r="Z51" s="314" t="str" cm="1">
        <f t="array" aca="1" ref="Z51" ca="1">IFERROR(_xlfn.IFS(OR(F51="",LEFT(Methode_Keuze,4)="Geen",Methode_Keuze=""),"",AND(W51&lt;&gt;"",F51&lt;&gt;"Arbeidskosten"),W51*VLOOKUP(F51,Tb_ProjectKosten[],MATCH(Tb_ProjectKosten[[#Headers],[Forfait_Percentage]],Tb_ProjectKosten[#Headers],0),0),AND(F51="Arbeidskosten",G51&lt;&gt;""),IFERROR(W51*VLOOKUP(G51,Tb_KostenTypen[],3,0)*VLOOKUP(F51,Tb_ProjectKosten[],MATCH(Tb_ProjectKosten[[#Headers],[Forfait_Percentage]],Tb_ProjectKosten[#Headers],0),0),""),W51 &lt;=0,0),"")</f>
        <v/>
      </c>
      <c r="AA51" s="314" t="str" cm="1">
        <f t="array" aca="1" ref="AA51" ca="1">IFERROR(_xlfn.IFS(OR(F51="",LEFT(Methode_Keuze,4)="Geen",Methode_Keuze=""),"",AND(X51&lt;&gt;"",F51&lt;&gt;"Arbeidskosten"),X51*VLOOKUP(F51,Tb_ProjectKosten[],MATCH(Tb_ProjectKosten[[#Headers],[Forfait_Percentage]],Tb_ProjectKosten[#Headers],0),0),AND(F51="Arbeidskosten",G51&lt;&gt;""),IFERROR(X51*VLOOKUP(G51,Tb_KostenTypen[],3,0)*VLOOKUP(F51,Tb_ProjectKosten[],MATCH(Tb_ProjectKosten[[#Headers],[Forfait_Percentage]],Tb_ProjectKosten[#Headers],0),0),""),X51 &lt;=0,0),"")</f>
        <v/>
      </c>
      <c r="AB51" s="314" t="str">
        <f t="shared" ca="1" si="3"/>
        <v/>
      </c>
      <c r="AC51" s="322"/>
      <c r="AD51" s="315"/>
      <c r="AE51" s="32" t="str" cm="1">
        <f t="array" ref="AE51">IFERROR(IF(INDEX(SubsidieTabel!$AD$1:$AG$12,MATCH($F51,SubsidieTabel!$AD$1:$AD$12,0),IFERROR(MATCH(Methode_Keuze,SubsidieTabel!$AD$1:$AG$1,0),2))&lt;&gt;1=TRUE,"ja",""),"")</f>
        <v/>
      </c>
    </row>
    <row r="52" spans="1:31" x14ac:dyDescent="0.25">
      <c r="A52" s="316"/>
      <c r="B52" s="317" t="str">
        <f>IF(A52&lt;&gt;"",_xlfn.MAXIFS($B$1:B51,$A$1:A51,A52)+1,"")</f>
        <v/>
      </c>
      <c r="C52" s="296"/>
      <c r="D52" s="296"/>
      <c r="E52" s="296"/>
      <c r="F52" s="296"/>
      <c r="G52" s="326"/>
      <c r="H52" s="324"/>
      <c r="I52" s="325"/>
      <c r="J52" s="325"/>
      <c r="K52" s="318"/>
      <c r="L52" s="318"/>
      <c r="M52" s="319" t="str">
        <f>IFERROR(VLOOKUP(H52,Lijsten!$H$1:$I$100,2,0),"")</f>
        <v/>
      </c>
      <c r="N52" s="319" t="str">
        <f ca="1">IFERROR(IF(VLOOKUP(F52,Kostentypen!$A$3:$E$21,3,0)=0,"",IF(OR(F52="Arbeidskosten",F52="Vergoeding"),VLOOKUP(G52,Tb_KostenTypen[],2,0),VLOOKUP(F52,Kostentypen!$A$3:$E$20,3,0))),"")</f>
        <v/>
      </c>
      <c r="O52" s="320" t="str" cm="1">
        <f t="array" ref="O52">_xlfn.IFNA(IF(INDEX(Tb_KostenOptiesDB[],MATCH($F52,Tb_KostenOptiesDB[KostenOptie],0),IFERROR(MATCH(Methode_Keuze,Tb_KostenOptiesDB[#Headers],0),2))=1,_xlfn.SWITCH($N52,"Uurtarief",IF(OR(AND(RIGHT($F52,3)="IKS",VLOOKUP($M52,DB_Loonkosten,2,0)="Ja"),AND(RIGHT($F52,3)&lt;&gt;"IKS",VLOOKUP($M52,DB_Loonkosten,2,0)="Nee")),IFERROR(VLOOKUP($M52,DB_Loonkosten,24,0),""),0),"Vast tarief",IF(LEFT(F52,8)="Bijdrage",VLOOKUP($F52,Tb_KostenTypen[],MATCH(Lijsten!$P$1,Tb_KostenTypen[#Headers],0),0),VLOOKUP($G52,Lijsten!L:P,MATCH(Lijsten!$P$1,Kop_Tarief_Vast,0),0))),""),"")</f>
        <v/>
      </c>
      <c r="P52" s="320" t="str" cm="1">
        <f t="array" ref="P52">_xlfn.IFNA(IF(INDEX(Tb_KostenOptiesDB[],MATCH($F52,Tb_KostenOptiesDB[KostenOptie],0),IFERROR(MATCH(Methode_Keuze,Tb_KostenOptiesDB[#Headers],0),2))=1,_xlfn.SWITCH($N52,"Uurtarief",IF(OR(AND(RIGHT($F52,3)="IKS",VLOOKUP($M52,DB_Loonkosten,2,0)="Ja"),AND(RIGHT($F52,3)&lt;&gt;"IKS",VLOOKUP($M52,DB_Loonkosten,2,0)="Nee")),IFERROR(VLOOKUP($M52,DB_Loonkosten,25,0),""),0),"Vast tarief",IF(LEFT(F52,8)="Bijdrage",VLOOKUP($F52,Tb_KostenTypen[],MATCH(Lijsten!$P$1,Tb_KostenTypen[#Headers],0),0),VLOOKUP($G52,Lijsten!L:P,MATCH(Lijsten!$P$1,Kop_Tarief_Vast,0),0))),""),"")</f>
        <v/>
      </c>
      <c r="Q52" s="359"/>
      <c r="R52" s="359"/>
      <c r="S52" s="321"/>
      <c r="T52" s="321"/>
      <c r="U52" s="373" t="str">
        <f t="shared" si="0"/>
        <v/>
      </c>
      <c r="V52" s="314" t="str">
        <f t="shared" si="1"/>
        <v/>
      </c>
      <c r="W52" s="314" t="str" cm="1">
        <f t="array" aca="1" ref="W52" ca="1">IFERROR(IF(AE52&lt;&gt;"ja",_xlfn.IFNA(_xlfn.IFS(AND(O52&lt;&gt;"",F52&lt;&gt;"",RIGHT($N52,6)="tarief",F52="Vergoeding"),SUM(O52)*FLOOR(SUM(Q52),0.0001),AND(O52&lt;&gt;"",F52&lt;&gt;"",RIGHT($N52,6)="tarief"),SUM(O52)*FLOOR(SUM(Q52),0.01),S52&gt;0,IF(F52&lt;&gt;"",FLOOR(SUM(S52),0.01),"")),""),""),"")</f>
        <v/>
      </c>
      <c r="X52" s="314" t="str" cm="1">
        <f t="array" aca="1" ref="X52" ca="1">IFERROR(IF(AE52&lt;&gt;"ja",_xlfn.IFNA(_xlfn.IFS(AND(P52&lt;&gt;"",R52&lt;&gt;"",RIGHT($N52,6)="tarief",F52="Vergoeding"),SUM(P52)*FLOOR(SUM(R52),0.0001),AND(P52&lt;&gt;"",R52&lt;&gt;"",RIGHT($N52,6)="tarief"),P52*FLOOR(R52,0.01),T52&gt;0,FLOOR(SUM(T52),0.01)),""),""),"")</f>
        <v/>
      </c>
      <c r="Y52" s="314" t="str">
        <f t="shared" ca="1" si="2"/>
        <v/>
      </c>
      <c r="Z52" s="314" t="str" cm="1">
        <f t="array" aca="1" ref="Z52" ca="1">IFERROR(_xlfn.IFS(OR(F52="",LEFT(Methode_Keuze,4)="Geen",Methode_Keuze=""),"",AND(W52&lt;&gt;"",F52&lt;&gt;"Arbeidskosten"),W52*VLOOKUP(F52,Tb_ProjectKosten[],MATCH(Tb_ProjectKosten[[#Headers],[Forfait_Percentage]],Tb_ProjectKosten[#Headers],0),0),AND(F52="Arbeidskosten",G52&lt;&gt;""),IFERROR(W52*VLOOKUP(G52,Tb_KostenTypen[],3,0)*VLOOKUP(F52,Tb_ProjectKosten[],MATCH(Tb_ProjectKosten[[#Headers],[Forfait_Percentage]],Tb_ProjectKosten[#Headers],0),0),""),W52 &lt;=0,0),"")</f>
        <v/>
      </c>
      <c r="AA52" s="314" t="str" cm="1">
        <f t="array" aca="1" ref="AA52" ca="1">IFERROR(_xlfn.IFS(OR(F52="",LEFT(Methode_Keuze,4)="Geen",Methode_Keuze=""),"",AND(X52&lt;&gt;"",F52&lt;&gt;"Arbeidskosten"),X52*VLOOKUP(F52,Tb_ProjectKosten[],MATCH(Tb_ProjectKosten[[#Headers],[Forfait_Percentage]],Tb_ProjectKosten[#Headers],0),0),AND(F52="Arbeidskosten",G52&lt;&gt;""),IFERROR(X52*VLOOKUP(G52,Tb_KostenTypen[],3,0)*VLOOKUP(F52,Tb_ProjectKosten[],MATCH(Tb_ProjectKosten[[#Headers],[Forfait_Percentage]],Tb_ProjectKosten[#Headers],0),0),""),X52 &lt;=0,0),"")</f>
        <v/>
      </c>
      <c r="AB52" s="314" t="str">
        <f t="shared" ca="1" si="3"/>
        <v/>
      </c>
      <c r="AC52" s="322"/>
      <c r="AD52" s="315"/>
      <c r="AE52" s="32" t="str" cm="1">
        <f t="array" ref="AE52">IFERROR(IF(INDEX(SubsidieTabel!$AD$1:$AG$12,MATCH($F52,SubsidieTabel!$AD$1:$AD$12,0),IFERROR(MATCH(Methode_Keuze,SubsidieTabel!$AD$1:$AG$1,0),2))&lt;&gt;1=TRUE,"ja",""),"")</f>
        <v/>
      </c>
    </row>
    <row r="53" spans="1:31" x14ac:dyDescent="0.25">
      <c r="A53" s="316"/>
      <c r="B53" s="317" t="str">
        <f>IF(A53&lt;&gt;"",_xlfn.MAXIFS($B$1:B52,$A$1:A52,A53)+1,"")</f>
        <v/>
      </c>
      <c r="C53" s="296"/>
      <c r="D53" s="296"/>
      <c r="E53" s="296"/>
      <c r="F53" s="296"/>
      <c r="G53" s="326"/>
      <c r="H53" s="324"/>
      <c r="I53" s="325"/>
      <c r="J53" s="325"/>
      <c r="K53" s="318"/>
      <c r="L53" s="318"/>
      <c r="M53" s="319" t="str">
        <f>IFERROR(VLOOKUP(H53,Lijsten!$H$1:$I$100,2,0),"")</f>
        <v/>
      </c>
      <c r="N53" s="319" t="str">
        <f ca="1">IFERROR(IF(VLOOKUP(F53,Kostentypen!$A$3:$E$21,3,0)=0,"",IF(OR(F53="Arbeidskosten",F53="Vergoeding"),VLOOKUP(G53,Tb_KostenTypen[],2,0),VLOOKUP(F53,Kostentypen!$A$3:$E$20,3,0))),"")</f>
        <v/>
      </c>
      <c r="O53" s="320" t="str" cm="1">
        <f t="array" ref="O53">_xlfn.IFNA(IF(INDEX(Tb_KostenOptiesDB[],MATCH($F53,Tb_KostenOptiesDB[KostenOptie],0),IFERROR(MATCH(Methode_Keuze,Tb_KostenOptiesDB[#Headers],0),2))=1,_xlfn.SWITCH($N53,"Uurtarief",IF(OR(AND(RIGHT($F53,3)="IKS",VLOOKUP($M53,DB_Loonkosten,2,0)="Ja"),AND(RIGHT($F53,3)&lt;&gt;"IKS",VLOOKUP($M53,DB_Loonkosten,2,0)="Nee")),IFERROR(VLOOKUP($M53,DB_Loonkosten,24,0),""),0),"Vast tarief",IF(LEFT(F53,8)="Bijdrage",VLOOKUP($F53,Tb_KostenTypen[],MATCH(Lijsten!$P$1,Tb_KostenTypen[#Headers],0),0),VLOOKUP($G53,Lijsten!L:P,MATCH(Lijsten!$P$1,Kop_Tarief_Vast,0),0))),""),"")</f>
        <v/>
      </c>
      <c r="P53" s="320" t="str" cm="1">
        <f t="array" ref="P53">_xlfn.IFNA(IF(INDEX(Tb_KostenOptiesDB[],MATCH($F53,Tb_KostenOptiesDB[KostenOptie],0),IFERROR(MATCH(Methode_Keuze,Tb_KostenOptiesDB[#Headers],0),2))=1,_xlfn.SWITCH($N53,"Uurtarief",IF(OR(AND(RIGHT($F53,3)="IKS",VLOOKUP($M53,DB_Loonkosten,2,0)="Ja"),AND(RIGHT($F53,3)&lt;&gt;"IKS",VLOOKUP($M53,DB_Loonkosten,2,0)="Nee")),IFERROR(VLOOKUP($M53,DB_Loonkosten,25,0),""),0),"Vast tarief",IF(LEFT(F53,8)="Bijdrage",VLOOKUP($F53,Tb_KostenTypen[],MATCH(Lijsten!$P$1,Tb_KostenTypen[#Headers],0),0),VLOOKUP($G53,Lijsten!L:P,MATCH(Lijsten!$P$1,Kop_Tarief_Vast,0),0))),""),"")</f>
        <v/>
      </c>
      <c r="Q53" s="359"/>
      <c r="R53" s="359"/>
      <c r="S53" s="321"/>
      <c r="T53" s="321"/>
      <c r="U53" s="373" t="str">
        <f t="shared" si="0"/>
        <v/>
      </c>
      <c r="V53" s="314" t="str">
        <f t="shared" si="1"/>
        <v/>
      </c>
      <c r="W53" s="314" t="str" cm="1">
        <f t="array" aca="1" ref="W53" ca="1">IFERROR(IF(AE53&lt;&gt;"ja",_xlfn.IFNA(_xlfn.IFS(AND(O53&lt;&gt;"",F53&lt;&gt;"",RIGHT($N53,6)="tarief",F53="Vergoeding"),SUM(O53)*FLOOR(SUM(Q53),0.0001),AND(O53&lt;&gt;"",F53&lt;&gt;"",RIGHT($N53,6)="tarief"),SUM(O53)*FLOOR(SUM(Q53),0.01),S53&gt;0,IF(F53&lt;&gt;"",FLOOR(SUM(S53),0.01),"")),""),""),"")</f>
        <v/>
      </c>
      <c r="X53" s="314" t="str" cm="1">
        <f t="array" aca="1" ref="X53" ca="1">IFERROR(IF(AE53&lt;&gt;"ja",_xlfn.IFNA(_xlfn.IFS(AND(P53&lt;&gt;"",R53&lt;&gt;"",RIGHT($N53,6)="tarief",F53="Vergoeding"),SUM(P53)*FLOOR(SUM(R53),0.0001),AND(P53&lt;&gt;"",R53&lt;&gt;"",RIGHT($N53,6)="tarief"),P53*FLOOR(R53,0.01),T53&gt;0,FLOOR(SUM(T53),0.01)),""),""),"")</f>
        <v/>
      </c>
      <c r="Y53" s="314" t="str">
        <f t="shared" ca="1" si="2"/>
        <v/>
      </c>
      <c r="Z53" s="314" t="str" cm="1">
        <f t="array" aca="1" ref="Z53" ca="1">IFERROR(_xlfn.IFS(OR(F53="",LEFT(Methode_Keuze,4)="Geen",Methode_Keuze=""),"",AND(W53&lt;&gt;"",F53&lt;&gt;"Arbeidskosten"),W53*VLOOKUP(F53,Tb_ProjectKosten[],MATCH(Tb_ProjectKosten[[#Headers],[Forfait_Percentage]],Tb_ProjectKosten[#Headers],0),0),AND(F53="Arbeidskosten",G53&lt;&gt;""),IFERROR(W53*VLOOKUP(G53,Tb_KostenTypen[],3,0)*VLOOKUP(F53,Tb_ProjectKosten[],MATCH(Tb_ProjectKosten[[#Headers],[Forfait_Percentage]],Tb_ProjectKosten[#Headers],0),0),""),W53 &lt;=0,0),"")</f>
        <v/>
      </c>
      <c r="AA53" s="314" t="str" cm="1">
        <f t="array" aca="1" ref="AA53" ca="1">IFERROR(_xlfn.IFS(OR(F53="",LEFT(Methode_Keuze,4)="Geen",Methode_Keuze=""),"",AND(X53&lt;&gt;"",F53&lt;&gt;"Arbeidskosten"),X53*VLOOKUP(F53,Tb_ProjectKosten[],MATCH(Tb_ProjectKosten[[#Headers],[Forfait_Percentage]],Tb_ProjectKosten[#Headers],0),0),AND(F53="Arbeidskosten",G53&lt;&gt;""),IFERROR(X53*VLOOKUP(G53,Tb_KostenTypen[],3,0)*VLOOKUP(F53,Tb_ProjectKosten[],MATCH(Tb_ProjectKosten[[#Headers],[Forfait_Percentage]],Tb_ProjectKosten[#Headers],0),0),""),X53 &lt;=0,0),"")</f>
        <v/>
      </c>
      <c r="AB53" s="314" t="str">
        <f t="shared" ca="1" si="3"/>
        <v/>
      </c>
      <c r="AC53" s="322"/>
      <c r="AD53" s="315"/>
      <c r="AE53" s="32" t="str" cm="1">
        <f t="array" ref="AE53">IFERROR(IF(INDEX(SubsidieTabel!$AD$1:$AG$12,MATCH($F53,SubsidieTabel!$AD$1:$AD$12,0),IFERROR(MATCH(Methode_Keuze,SubsidieTabel!$AD$1:$AG$1,0),2))&lt;&gt;1=TRUE,"ja",""),"")</f>
        <v/>
      </c>
    </row>
    <row r="54" spans="1:31" x14ac:dyDescent="0.25">
      <c r="A54" s="316"/>
      <c r="B54" s="317" t="str">
        <f>IF(A54&lt;&gt;"",_xlfn.MAXIFS($B$1:B53,$A$1:A53,A54)+1,"")</f>
        <v/>
      </c>
      <c r="C54" s="296"/>
      <c r="D54" s="296"/>
      <c r="E54" s="296"/>
      <c r="F54" s="296"/>
      <c r="G54" s="326"/>
      <c r="H54" s="324"/>
      <c r="I54" s="325"/>
      <c r="J54" s="325"/>
      <c r="K54" s="318"/>
      <c r="L54" s="318"/>
      <c r="M54" s="319" t="str">
        <f>IFERROR(VLOOKUP(H54,Lijsten!$H$1:$I$100,2,0),"")</f>
        <v/>
      </c>
      <c r="N54" s="319" t="str">
        <f ca="1">IFERROR(IF(VLOOKUP(F54,Kostentypen!$A$3:$E$21,3,0)=0,"",IF(OR(F54="Arbeidskosten",F54="Vergoeding"),VLOOKUP(G54,Tb_KostenTypen[],2,0),VLOOKUP(F54,Kostentypen!$A$3:$E$20,3,0))),"")</f>
        <v/>
      </c>
      <c r="O54" s="320" t="str" cm="1">
        <f t="array" ref="O54">_xlfn.IFNA(IF(INDEX(Tb_KostenOptiesDB[],MATCH($F54,Tb_KostenOptiesDB[KostenOptie],0),IFERROR(MATCH(Methode_Keuze,Tb_KostenOptiesDB[#Headers],0),2))=1,_xlfn.SWITCH($N54,"Uurtarief",IF(OR(AND(RIGHT($F54,3)="IKS",VLOOKUP($M54,DB_Loonkosten,2,0)="Ja"),AND(RIGHT($F54,3)&lt;&gt;"IKS",VLOOKUP($M54,DB_Loonkosten,2,0)="Nee")),IFERROR(VLOOKUP($M54,DB_Loonkosten,24,0),""),0),"Vast tarief",IF(LEFT(F54,8)="Bijdrage",VLOOKUP($F54,Tb_KostenTypen[],MATCH(Lijsten!$P$1,Tb_KostenTypen[#Headers],0),0),VLOOKUP($G54,Lijsten!L:P,MATCH(Lijsten!$P$1,Kop_Tarief_Vast,0),0))),""),"")</f>
        <v/>
      </c>
      <c r="P54" s="320" t="str" cm="1">
        <f t="array" ref="P54">_xlfn.IFNA(IF(INDEX(Tb_KostenOptiesDB[],MATCH($F54,Tb_KostenOptiesDB[KostenOptie],0),IFERROR(MATCH(Methode_Keuze,Tb_KostenOptiesDB[#Headers],0),2))=1,_xlfn.SWITCH($N54,"Uurtarief",IF(OR(AND(RIGHT($F54,3)="IKS",VLOOKUP($M54,DB_Loonkosten,2,0)="Ja"),AND(RIGHT($F54,3)&lt;&gt;"IKS",VLOOKUP($M54,DB_Loonkosten,2,0)="Nee")),IFERROR(VLOOKUP($M54,DB_Loonkosten,25,0),""),0),"Vast tarief",IF(LEFT(F54,8)="Bijdrage",VLOOKUP($F54,Tb_KostenTypen[],MATCH(Lijsten!$P$1,Tb_KostenTypen[#Headers],0),0),VLOOKUP($G54,Lijsten!L:P,MATCH(Lijsten!$P$1,Kop_Tarief_Vast,0),0))),""),"")</f>
        <v/>
      </c>
      <c r="Q54" s="359"/>
      <c r="R54" s="359"/>
      <c r="S54" s="321"/>
      <c r="T54" s="321"/>
      <c r="U54" s="373" t="str">
        <f t="shared" si="0"/>
        <v/>
      </c>
      <c r="V54" s="314" t="str">
        <f t="shared" si="1"/>
        <v/>
      </c>
      <c r="W54" s="314" t="str" cm="1">
        <f t="array" aca="1" ref="W54" ca="1">IFERROR(IF(AE54&lt;&gt;"ja",_xlfn.IFNA(_xlfn.IFS(AND(O54&lt;&gt;"",F54&lt;&gt;"",RIGHT($N54,6)="tarief",F54="Vergoeding"),SUM(O54)*FLOOR(SUM(Q54),0.0001),AND(O54&lt;&gt;"",F54&lt;&gt;"",RIGHT($N54,6)="tarief"),SUM(O54)*FLOOR(SUM(Q54),0.01),S54&gt;0,IF(F54&lt;&gt;"",FLOOR(SUM(S54),0.01),"")),""),""),"")</f>
        <v/>
      </c>
      <c r="X54" s="314" t="str" cm="1">
        <f t="array" aca="1" ref="X54" ca="1">IFERROR(IF(AE54&lt;&gt;"ja",_xlfn.IFNA(_xlfn.IFS(AND(P54&lt;&gt;"",R54&lt;&gt;"",RIGHT($N54,6)="tarief",F54="Vergoeding"),SUM(P54)*FLOOR(SUM(R54),0.0001),AND(P54&lt;&gt;"",R54&lt;&gt;"",RIGHT($N54,6)="tarief"),P54*FLOOR(R54,0.01),T54&gt;0,FLOOR(SUM(T54),0.01)),""),""),"")</f>
        <v/>
      </c>
      <c r="Y54" s="314" t="str">
        <f t="shared" ca="1" si="2"/>
        <v/>
      </c>
      <c r="Z54" s="314" t="str" cm="1">
        <f t="array" aca="1" ref="Z54" ca="1">IFERROR(_xlfn.IFS(OR(F54="",LEFT(Methode_Keuze,4)="Geen",Methode_Keuze=""),"",AND(W54&lt;&gt;"",F54&lt;&gt;"Arbeidskosten"),W54*VLOOKUP(F54,Tb_ProjectKosten[],MATCH(Tb_ProjectKosten[[#Headers],[Forfait_Percentage]],Tb_ProjectKosten[#Headers],0),0),AND(F54="Arbeidskosten",G54&lt;&gt;""),IFERROR(W54*VLOOKUP(G54,Tb_KostenTypen[],3,0)*VLOOKUP(F54,Tb_ProjectKosten[],MATCH(Tb_ProjectKosten[[#Headers],[Forfait_Percentage]],Tb_ProjectKosten[#Headers],0),0),""),W54 &lt;=0,0),"")</f>
        <v/>
      </c>
      <c r="AA54" s="314" t="str" cm="1">
        <f t="array" aca="1" ref="AA54" ca="1">IFERROR(_xlfn.IFS(OR(F54="",LEFT(Methode_Keuze,4)="Geen",Methode_Keuze=""),"",AND(X54&lt;&gt;"",F54&lt;&gt;"Arbeidskosten"),X54*VLOOKUP(F54,Tb_ProjectKosten[],MATCH(Tb_ProjectKosten[[#Headers],[Forfait_Percentage]],Tb_ProjectKosten[#Headers],0),0),AND(F54="Arbeidskosten",G54&lt;&gt;""),IFERROR(X54*VLOOKUP(G54,Tb_KostenTypen[],3,0)*VLOOKUP(F54,Tb_ProjectKosten[],MATCH(Tb_ProjectKosten[[#Headers],[Forfait_Percentage]],Tb_ProjectKosten[#Headers],0),0),""),X54 &lt;=0,0),"")</f>
        <v/>
      </c>
      <c r="AB54" s="314" t="str">
        <f t="shared" ca="1" si="3"/>
        <v/>
      </c>
      <c r="AC54" s="322"/>
      <c r="AD54" s="315"/>
      <c r="AE54" s="32" t="str" cm="1">
        <f t="array" ref="AE54">IFERROR(IF(INDEX(SubsidieTabel!$AD$1:$AG$12,MATCH($F54,SubsidieTabel!$AD$1:$AD$12,0),IFERROR(MATCH(Methode_Keuze,SubsidieTabel!$AD$1:$AG$1,0),2))&lt;&gt;1=TRUE,"ja",""),"")</f>
        <v/>
      </c>
    </row>
    <row r="55" spans="1:31" x14ac:dyDescent="0.25">
      <c r="A55" s="316"/>
      <c r="B55" s="317" t="str">
        <f>IF(A55&lt;&gt;"",_xlfn.MAXIFS($B$1:B54,$A$1:A54,A55)+1,"")</f>
        <v/>
      </c>
      <c r="C55" s="296"/>
      <c r="D55" s="296"/>
      <c r="E55" s="296"/>
      <c r="F55" s="296"/>
      <c r="G55" s="326"/>
      <c r="H55" s="324"/>
      <c r="I55" s="325"/>
      <c r="J55" s="325"/>
      <c r="K55" s="318"/>
      <c r="L55" s="318"/>
      <c r="M55" s="319" t="str">
        <f>IFERROR(VLOOKUP(H55,Lijsten!$H$1:$I$100,2,0),"")</f>
        <v/>
      </c>
      <c r="N55" s="319" t="str">
        <f ca="1">IFERROR(IF(VLOOKUP(F55,Kostentypen!$A$3:$E$21,3,0)=0,"",IF(OR(F55="Arbeidskosten",F55="Vergoeding"),VLOOKUP(G55,Tb_KostenTypen[],2,0),VLOOKUP(F55,Kostentypen!$A$3:$E$20,3,0))),"")</f>
        <v/>
      </c>
      <c r="O55" s="320" t="str" cm="1">
        <f t="array" ref="O55">_xlfn.IFNA(IF(INDEX(Tb_KostenOptiesDB[],MATCH($F55,Tb_KostenOptiesDB[KostenOptie],0),IFERROR(MATCH(Methode_Keuze,Tb_KostenOptiesDB[#Headers],0),2))=1,_xlfn.SWITCH($N55,"Uurtarief",IF(OR(AND(RIGHT($F55,3)="IKS",VLOOKUP($M55,DB_Loonkosten,2,0)="Ja"),AND(RIGHT($F55,3)&lt;&gt;"IKS",VLOOKUP($M55,DB_Loonkosten,2,0)="Nee")),IFERROR(VLOOKUP($M55,DB_Loonkosten,24,0),""),0),"Vast tarief",IF(LEFT(F55,8)="Bijdrage",VLOOKUP($F55,Tb_KostenTypen[],MATCH(Lijsten!$P$1,Tb_KostenTypen[#Headers],0),0),VLOOKUP($G55,Lijsten!L:P,MATCH(Lijsten!$P$1,Kop_Tarief_Vast,0),0))),""),"")</f>
        <v/>
      </c>
      <c r="P55" s="320" t="str" cm="1">
        <f t="array" ref="P55">_xlfn.IFNA(IF(INDEX(Tb_KostenOptiesDB[],MATCH($F55,Tb_KostenOptiesDB[KostenOptie],0),IFERROR(MATCH(Methode_Keuze,Tb_KostenOptiesDB[#Headers],0),2))=1,_xlfn.SWITCH($N55,"Uurtarief",IF(OR(AND(RIGHT($F55,3)="IKS",VLOOKUP($M55,DB_Loonkosten,2,0)="Ja"),AND(RIGHT($F55,3)&lt;&gt;"IKS",VLOOKUP($M55,DB_Loonkosten,2,0)="Nee")),IFERROR(VLOOKUP($M55,DB_Loonkosten,25,0),""),0),"Vast tarief",IF(LEFT(F55,8)="Bijdrage",VLOOKUP($F55,Tb_KostenTypen[],MATCH(Lijsten!$P$1,Tb_KostenTypen[#Headers],0),0),VLOOKUP($G55,Lijsten!L:P,MATCH(Lijsten!$P$1,Kop_Tarief_Vast,0),0))),""),"")</f>
        <v/>
      </c>
      <c r="Q55" s="359"/>
      <c r="R55" s="359"/>
      <c r="S55" s="321"/>
      <c r="T55" s="321"/>
      <c r="U55" s="373" t="str">
        <f t="shared" si="0"/>
        <v/>
      </c>
      <c r="V55" s="314" t="str">
        <f t="shared" si="1"/>
        <v/>
      </c>
      <c r="W55" s="314" t="str" cm="1">
        <f t="array" aca="1" ref="W55" ca="1">IFERROR(IF(AE55&lt;&gt;"ja",_xlfn.IFNA(_xlfn.IFS(AND(O55&lt;&gt;"",F55&lt;&gt;"",RIGHT($N55,6)="tarief",F55="Vergoeding"),SUM(O55)*FLOOR(SUM(Q55),0.0001),AND(O55&lt;&gt;"",F55&lt;&gt;"",RIGHT($N55,6)="tarief"),SUM(O55)*FLOOR(SUM(Q55),0.01),S55&gt;0,IF(F55&lt;&gt;"",FLOOR(SUM(S55),0.01),"")),""),""),"")</f>
        <v/>
      </c>
      <c r="X55" s="314" t="str" cm="1">
        <f t="array" aca="1" ref="X55" ca="1">IFERROR(IF(AE55&lt;&gt;"ja",_xlfn.IFNA(_xlfn.IFS(AND(P55&lt;&gt;"",R55&lt;&gt;"",RIGHT($N55,6)="tarief",F55="Vergoeding"),SUM(P55)*FLOOR(SUM(R55),0.0001),AND(P55&lt;&gt;"",R55&lt;&gt;"",RIGHT($N55,6)="tarief"),P55*FLOOR(R55,0.01),T55&gt;0,FLOOR(SUM(T55),0.01)),""),""),"")</f>
        <v/>
      </c>
      <c r="Y55" s="314" t="str">
        <f t="shared" ca="1" si="2"/>
        <v/>
      </c>
      <c r="Z55" s="314" t="str" cm="1">
        <f t="array" aca="1" ref="Z55" ca="1">IFERROR(_xlfn.IFS(OR(F55="",LEFT(Methode_Keuze,4)="Geen",Methode_Keuze=""),"",AND(W55&lt;&gt;"",F55&lt;&gt;"Arbeidskosten"),W55*VLOOKUP(F55,Tb_ProjectKosten[],MATCH(Tb_ProjectKosten[[#Headers],[Forfait_Percentage]],Tb_ProjectKosten[#Headers],0),0),AND(F55="Arbeidskosten",G55&lt;&gt;""),IFERROR(W55*VLOOKUP(G55,Tb_KostenTypen[],3,0)*VLOOKUP(F55,Tb_ProjectKosten[],MATCH(Tb_ProjectKosten[[#Headers],[Forfait_Percentage]],Tb_ProjectKosten[#Headers],0),0),""),W55 &lt;=0,0),"")</f>
        <v/>
      </c>
      <c r="AA55" s="314" t="str" cm="1">
        <f t="array" aca="1" ref="AA55" ca="1">IFERROR(_xlfn.IFS(OR(F55="",LEFT(Methode_Keuze,4)="Geen",Methode_Keuze=""),"",AND(X55&lt;&gt;"",F55&lt;&gt;"Arbeidskosten"),X55*VLOOKUP(F55,Tb_ProjectKosten[],MATCH(Tb_ProjectKosten[[#Headers],[Forfait_Percentage]],Tb_ProjectKosten[#Headers],0),0),AND(F55="Arbeidskosten",G55&lt;&gt;""),IFERROR(X55*VLOOKUP(G55,Tb_KostenTypen[],3,0)*VLOOKUP(F55,Tb_ProjectKosten[],MATCH(Tb_ProjectKosten[[#Headers],[Forfait_Percentage]],Tb_ProjectKosten[#Headers],0),0),""),X55 &lt;=0,0),"")</f>
        <v/>
      </c>
      <c r="AB55" s="314" t="str">
        <f t="shared" ca="1" si="3"/>
        <v/>
      </c>
      <c r="AC55" s="322"/>
      <c r="AD55" s="315"/>
      <c r="AE55" s="32" t="str" cm="1">
        <f t="array" ref="AE55">IFERROR(IF(INDEX(SubsidieTabel!$AD$1:$AG$12,MATCH($F55,SubsidieTabel!$AD$1:$AD$12,0),IFERROR(MATCH(Methode_Keuze,SubsidieTabel!$AD$1:$AG$1,0),2))&lt;&gt;1=TRUE,"ja",""),"")</f>
        <v/>
      </c>
    </row>
    <row r="56" spans="1:31" x14ac:dyDescent="0.25">
      <c r="A56" s="316"/>
      <c r="B56" s="317" t="str">
        <f>IF(A56&lt;&gt;"",_xlfn.MAXIFS($B$1:B55,$A$1:A55,A56)+1,"")</f>
        <v/>
      </c>
      <c r="C56" s="296"/>
      <c r="D56" s="296"/>
      <c r="E56" s="296"/>
      <c r="F56" s="296"/>
      <c r="G56" s="326"/>
      <c r="H56" s="324"/>
      <c r="I56" s="325"/>
      <c r="J56" s="325"/>
      <c r="K56" s="318"/>
      <c r="L56" s="318"/>
      <c r="M56" s="319" t="str">
        <f>IFERROR(VLOOKUP(H56,Lijsten!$H$1:$I$100,2,0),"")</f>
        <v/>
      </c>
      <c r="N56" s="319" t="str">
        <f ca="1">IFERROR(IF(VLOOKUP(F56,Kostentypen!$A$3:$E$21,3,0)=0,"",IF(OR(F56="Arbeidskosten",F56="Vergoeding"),VLOOKUP(G56,Tb_KostenTypen[],2,0),VLOOKUP(F56,Kostentypen!$A$3:$E$20,3,0))),"")</f>
        <v/>
      </c>
      <c r="O56" s="320" t="str" cm="1">
        <f t="array" ref="O56">_xlfn.IFNA(IF(INDEX(Tb_KostenOptiesDB[],MATCH($F56,Tb_KostenOptiesDB[KostenOptie],0),IFERROR(MATCH(Methode_Keuze,Tb_KostenOptiesDB[#Headers],0),2))=1,_xlfn.SWITCH($N56,"Uurtarief",IF(OR(AND(RIGHT($F56,3)="IKS",VLOOKUP($M56,DB_Loonkosten,2,0)="Ja"),AND(RIGHT($F56,3)&lt;&gt;"IKS",VLOOKUP($M56,DB_Loonkosten,2,0)="Nee")),IFERROR(VLOOKUP($M56,DB_Loonkosten,24,0),""),0),"Vast tarief",IF(LEFT(F56,8)="Bijdrage",VLOOKUP($F56,Tb_KostenTypen[],MATCH(Lijsten!$P$1,Tb_KostenTypen[#Headers],0),0),VLOOKUP($G56,Lijsten!L:P,MATCH(Lijsten!$P$1,Kop_Tarief_Vast,0),0))),""),"")</f>
        <v/>
      </c>
      <c r="P56" s="320" t="str" cm="1">
        <f t="array" ref="P56">_xlfn.IFNA(IF(INDEX(Tb_KostenOptiesDB[],MATCH($F56,Tb_KostenOptiesDB[KostenOptie],0),IFERROR(MATCH(Methode_Keuze,Tb_KostenOptiesDB[#Headers],0),2))=1,_xlfn.SWITCH($N56,"Uurtarief",IF(OR(AND(RIGHT($F56,3)="IKS",VLOOKUP($M56,DB_Loonkosten,2,0)="Ja"),AND(RIGHT($F56,3)&lt;&gt;"IKS",VLOOKUP($M56,DB_Loonkosten,2,0)="Nee")),IFERROR(VLOOKUP($M56,DB_Loonkosten,25,0),""),0),"Vast tarief",IF(LEFT(F56,8)="Bijdrage",VLOOKUP($F56,Tb_KostenTypen[],MATCH(Lijsten!$P$1,Tb_KostenTypen[#Headers],0),0),VLOOKUP($G56,Lijsten!L:P,MATCH(Lijsten!$P$1,Kop_Tarief_Vast,0),0))),""),"")</f>
        <v/>
      </c>
      <c r="Q56" s="359"/>
      <c r="R56" s="359"/>
      <c r="S56" s="321"/>
      <c r="T56" s="321"/>
      <c r="U56" s="373" t="str">
        <f t="shared" si="0"/>
        <v/>
      </c>
      <c r="V56" s="314" t="str">
        <f t="shared" si="1"/>
        <v/>
      </c>
      <c r="W56" s="314" t="str" cm="1">
        <f t="array" aca="1" ref="W56" ca="1">IFERROR(IF(AE56&lt;&gt;"ja",_xlfn.IFNA(_xlfn.IFS(AND(O56&lt;&gt;"",F56&lt;&gt;"",RIGHT($N56,6)="tarief",F56="Vergoeding"),SUM(O56)*FLOOR(SUM(Q56),0.0001),AND(O56&lt;&gt;"",F56&lt;&gt;"",RIGHT($N56,6)="tarief"),SUM(O56)*FLOOR(SUM(Q56),0.01),S56&gt;0,IF(F56&lt;&gt;"",FLOOR(SUM(S56),0.01),"")),""),""),"")</f>
        <v/>
      </c>
      <c r="X56" s="314" t="str" cm="1">
        <f t="array" aca="1" ref="X56" ca="1">IFERROR(IF(AE56&lt;&gt;"ja",_xlfn.IFNA(_xlfn.IFS(AND(P56&lt;&gt;"",R56&lt;&gt;"",RIGHT($N56,6)="tarief",F56="Vergoeding"),SUM(P56)*FLOOR(SUM(R56),0.0001),AND(P56&lt;&gt;"",R56&lt;&gt;"",RIGHT($N56,6)="tarief"),P56*FLOOR(R56,0.01),T56&gt;0,FLOOR(SUM(T56),0.01)),""),""),"")</f>
        <v/>
      </c>
      <c r="Y56" s="314" t="str">
        <f t="shared" ca="1" si="2"/>
        <v/>
      </c>
      <c r="Z56" s="314" t="str" cm="1">
        <f t="array" aca="1" ref="Z56" ca="1">IFERROR(_xlfn.IFS(OR(F56="",LEFT(Methode_Keuze,4)="Geen",Methode_Keuze=""),"",AND(W56&lt;&gt;"",F56&lt;&gt;"Arbeidskosten"),W56*VLOOKUP(F56,Tb_ProjectKosten[],MATCH(Tb_ProjectKosten[[#Headers],[Forfait_Percentage]],Tb_ProjectKosten[#Headers],0),0),AND(F56="Arbeidskosten",G56&lt;&gt;""),IFERROR(W56*VLOOKUP(G56,Tb_KostenTypen[],3,0)*VLOOKUP(F56,Tb_ProjectKosten[],MATCH(Tb_ProjectKosten[[#Headers],[Forfait_Percentage]],Tb_ProjectKosten[#Headers],0),0),""),W56 &lt;=0,0),"")</f>
        <v/>
      </c>
      <c r="AA56" s="314" t="str" cm="1">
        <f t="array" aca="1" ref="AA56" ca="1">IFERROR(_xlfn.IFS(OR(F56="",LEFT(Methode_Keuze,4)="Geen",Methode_Keuze=""),"",AND(X56&lt;&gt;"",F56&lt;&gt;"Arbeidskosten"),X56*VLOOKUP(F56,Tb_ProjectKosten[],MATCH(Tb_ProjectKosten[[#Headers],[Forfait_Percentage]],Tb_ProjectKosten[#Headers],0),0),AND(F56="Arbeidskosten",G56&lt;&gt;""),IFERROR(X56*VLOOKUP(G56,Tb_KostenTypen[],3,0)*VLOOKUP(F56,Tb_ProjectKosten[],MATCH(Tb_ProjectKosten[[#Headers],[Forfait_Percentage]],Tb_ProjectKosten[#Headers],0),0),""),X56 &lt;=0,0),"")</f>
        <v/>
      </c>
      <c r="AB56" s="314" t="str">
        <f t="shared" ca="1" si="3"/>
        <v/>
      </c>
      <c r="AC56" s="322"/>
      <c r="AD56" s="315"/>
      <c r="AE56" s="32" t="str" cm="1">
        <f t="array" ref="AE56">IFERROR(IF(INDEX(SubsidieTabel!$AD$1:$AG$12,MATCH($F56,SubsidieTabel!$AD$1:$AD$12,0),IFERROR(MATCH(Methode_Keuze,SubsidieTabel!$AD$1:$AG$1,0),2))&lt;&gt;1=TRUE,"ja",""),"")</f>
        <v/>
      </c>
    </row>
    <row r="57" spans="1:31" x14ac:dyDescent="0.25">
      <c r="A57" s="316"/>
      <c r="B57" s="317" t="str">
        <f>IF(A57&lt;&gt;"",_xlfn.MAXIFS($B$1:B56,$A$1:A56,A57)+1,"")</f>
        <v/>
      </c>
      <c r="C57" s="296"/>
      <c r="D57" s="296"/>
      <c r="E57" s="296"/>
      <c r="F57" s="296"/>
      <c r="G57" s="326"/>
      <c r="H57" s="324"/>
      <c r="I57" s="325"/>
      <c r="J57" s="325"/>
      <c r="K57" s="318"/>
      <c r="L57" s="318"/>
      <c r="M57" s="319" t="str">
        <f>IFERROR(VLOOKUP(H57,Lijsten!$H$1:$I$100,2,0),"")</f>
        <v/>
      </c>
      <c r="N57" s="319" t="str">
        <f ca="1">IFERROR(IF(VLOOKUP(F57,Kostentypen!$A$3:$E$21,3,0)=0,"",IF(OR(F57="Arbeidskosten",F57="Vergoeding"),VLOOKUP(G57,Tb_KostenTypen[],2,0),VLOOKUP(F57,Kostentypen!$A$3:$E$20,3,0))),"")</f>
        <v/>
      </c>
      <c r="O57" s="320" t="str" cm="1">
        <f t="array" ref="O57">_xlfn.IFNA(IF(INDEX(Tb_KostenOptiesDB[],MATCH($F57,Tb_KostenOptiesDB[KostenOptie],0),IFERROR(MATCH(Methode_Keuze,Tb_KostenOptiesDB[#Headers],0),2))=1,_xlfn.SWITCH($N57,"Uurtarief",IF(OR(AND(RIGHT($F57,3)="IKS",VLOOKUP($M57,DB_Loonkosten,2,0)="Ja"),AND(RIGHT($F57,3)&lt;&gt;"IKS",VLOOKUP($M57,DB_Loonkosten,2,0)="Nee")),IFERROR(VLOOKUP($M57,DB_Loonkosten,24,0),""),0),"Vast tarief",IF(LEFT(F57,8)="Bijdrage",VLOOKUP($F57,Tb_KostenTypen[],MATCH(Lijsten!$P$1,Tb_KostenTypen[#Headers],0),0),VLOOKUP($G57,Lijsten!L:P,MATCH(Lijsten!$P$1,Kop_Tarief_Vast,0),0))),""),"")</f>
        <v/>
      </c>
      <c r="P57" s="320" t="str" cm="1">
        <f t="array" ref="P57">_xlfn.IFNA(IF(INDEX(Tb_KostenOptiesDB[],MATCH($F57,Tb_KostenOptiesDB[KostenOptie],0),IFERROR(MATCH(Methode_Keuze,Tb_KostenOptiesDB[#Headers],0),2))=1,_xlfn.SWITCH($N57,"Uurtarief",IF(OR(AND(RIGHT($F57,3)="IKS",VLOOKUP($M57,DB_Loonkosten,2,0)="Ja"),AND(RIGHT($F57,3)&lt;&gt;"IKS",VLOOKUP($M57,DB_Loonkosten,2,0)="Nee")),IFERROR(VLOOKUP($M57,DB_Loonkosten,25,0),""),0),"Vast tarief",IF(LEFT(F57,8)="Bijdrage",VLOOKUP($F57,Tb_KostenTypen[],MATCH(Lijsten!$P$1,Tb_KostenTypen[#Headers],0),0),VLOOKUP($G57,Lijsten!L:P,MATCH(Lijsten!$P$1,Kop_Tarief_Vast,0),0))),""),"")</f>
        <v/>
      </c>
      <c r="Q57" s="359"/>
      <c r="R57" s="359"/>
      <c r="S57" s="321"/>
      <c r="T57" s="321"/>
      <c r="U57" s="373" t="str">
        <f t="shared" si="0"/>
        <v/>
      </c>
      <c r="V57" s="314" t="str">
        <f t="shared" si="1"/>
        <v/>
      </c>
      <c r="W57" s="314" t="str" cm="1">
        <f t="array" aca="1" ref="W57" ca="1">IFERROR(IF(AE57&lt;&gt;"ja",_xlfn.IFNA(_xlfn.IFS(AND(O57&lt;&gt;"",F57&lt;&gt;"",RIGHT($N57,6)="tarief",F57="Vergoeding"),SUM(O57)*FLOOR(SUM(Q57),0.0001),AND(O57&lt;&gt;"",F57&lt;&gt;"",RIGHT($N57,6)="tarief"),SUM(O57)*FLOOR(SUM(Q57),0.01),S57&gt;0,IF(F57&lt;&gt;"",FLOOR(SUM(S57),0.01),"")),""),""),"")</f>
        <v/>
      </c>
      <c r="X57" s="314" t="str" cm="1">
        <f t="array" aca="1" ref="X57" ca="1">IFERROR(IF(AE57&lt;&gt;"ja",_xlfn.IFNA(_xlfn.IFS(AND(P57&lt;&gt;"",R57&lt;&gt;"",RIGHT($N57,6)="tarief",F57="Vergoeding"),SUM(P57)*FLOOR(SUM(R57),0.0001),AND(P57&lt;&gt;"",R57&lt;&gt;"",RIGHT($N57,6)="tarief"),P57*FLOOR(R57,0.01),T57&gt;0,FLOOR(SUM(T57),0.01)),""),""),"")</f>
        <v/>
      </c>
      <c r="Y57" s="314" t="str">
        <f t="shared" ca="1" si="2"/>
        <v/>
      </c>
      <c r="Z57" s="314" t="str" cm="1">
        <f t="array" aca="1" ref="Z57" ca="1">IFERROR(_xlfn.IFS(OR(F57="",LEFT(Methode_Keuze,4)="Geen",Methode_Keuze=""),"",AND(W57&lt;&gt;"",F57&lt;&gt;"Arbeidskosten"),W57*VLOOKUP(F57,Tb_ProjectKosten[],MATCH(Tb_ProjectKosten[[#Headers],[Forfait_Percentage]],Tb_ProjectKosten[#Headers],0),0),AND(F57="Arbeidskosten",G57&lt;&gt;""),IFERROR(W57*VLOOKUP(G57,Tb_KostenTypen[],3,0)*VLOOKUP(F57,Tb_ProjectKosten[],MATCH(Tb_ProjectKosten[[#Headers],[Forfait_Percentage]],Tb_ProjectKosten[#Headers],0),0),""),W57 &lt;=0,0),"")</f>
        <v/>
      </c>
      <c r="AA57" s="314" t="str" cm="1">
        <f t="array" aca="1" ref="AA57" ca="1">IFERROR(_xlfn.IFS(OR(F57="",LEFT(Methode_Keuze,4)="Geen",Methode_Keuze=""),"",AND(X57&lt;&gt;"",F57&lt;&gt;"Arbeidskosten"),X57*VLOOKUP(F57,Tb_ProjectKosten[],MATCH(Tb_ProjectKosten[[#Headers],[Forfait_Percentage]],Tb_ProjectKosten[#Headers],0),0),AND(F57="Arbeidskosten",G57&lt;&gt;""),IFERROR(X57*VLOOKUP(G57,Tb_KostenTypen[],3,0)*VLOOKUP(F57,Tb_ProjectKosten[],MATCH(Tb_ProjectKosten[[#Headers],[Forfait_Percentage]],Tb_ProjectKosten[#Headers],0),0),""),X57 &lt;=0,0),"")</f>
        <v/>
      </c>
      <c r="AB57" s="314" t="str">
        <f t="shared" ca="1" si="3"/>
        <v/>
      </c>
      <c r="AC57" s="322"/>
      <c r="AD57" s="315"/>
      <c r="AE57" s="32" t="str" cm="1">
        <f t="array" ref="AE57">IFERROR(IF(INDEX(SubsidieTabel!$AD$1:$AG$12,MATCH($F57,SubsidieTabel!$AD$1:$AD$12,0),IFERROR(MATCH(Methode_Keuze,SubsidieTabel!$AD$1:$AG$1,0),2))&lt;&gt;1=TRUE,"ja",""),"")</f>
        <v/>
      </c>
    </row>
    <row r="58" spans="1:31" x14ac:dyDescent="0.25">
      <c r="A58" s="316"/>
      <c r="B58" s="317" t="str">
        <f>IF(A58&lt;&gt;"",_xlfn.MAXIFS($B$1:B57,$A$1:A57,A58)+1,"")</f>
        <v/>
      </c>
      <c r="C58" s="296"/>
      <c r="D58" s="296"/>
      <c r="E58" s="296"/>
      <c r="F58" s="296"/>
      <c r="G58" s="326"/>
      <c r="H58" s="324"/>
      <c r="I58" s="325"/>
      <c r="J58" s="325"/>
      <c r="K58" s="318"/>
      <c r="L58" s="318"/>
      <c r="M58" s="319" t="str">
        <f>IFERROR(VLOOKUP(H58,Lijsten!$H$1:$I$100,2,0),"")</f>
        <v/>
      </c>
      <c r="N58" s="319" t="str">
        <f ca="1">IFERROR(IF(VLOOKUP(F58,Kostentypen!$A$3:$E$21,3,0)=0,"",IF(OR(F58="Arbeidskosten",F58="Vergoeding"),VLOOKUP(G58,Tb_KostenTypen[],2,0),VLOOKUP(F58,Kostentypen!$A$3:$E$20,3,0))),"")</f>
        <v/>
      </c>
      <c r="O58" s="320" t="str" cm="1">
        <f t="array" ref="O58">_xlfn.IFNA(IF(INDEX(Tb_KostenOptiesDB[],MATCH($F58,Tb_KostenOptiesDB[KostenOptie],0),IFERROR(MATCH(Methode_Keuze,Tb_KostenOptiesDB[#Headers],0),2))=1,_xlfn.SWITCH($N58,"Uurtarief",IF(OR(AND(RIGHT($F58,3)="IKS",VLOOKUP($M58,DB_Loonkosten,2,0)="Ja"),AND(RIGHT($F58,3)&lt;&gt;"IKS",VLOOKUP($M58,DB_Loonkosten,2,0)="Nee")),IFERROR(VLOOKUP($M58,DB_Loonkosten,24,0),""),0),"Vast tarief",IF(LEFT(F58,8)="Bijdrage",VLOOKUP($F58,Tb_KostenTypen[],MATCH(Lijsten!$P$1,Tb_KostenTypen[#Headers],0),0),VLOOKUP($G58,Lijsten!L:P,MATCH(Lijsten!$P$1,Kop_Tarief_Vast,0),0))),""),"")</f>
        <v/>
      </c>
      <c r="P58" s="320" t="str" cm="1">
        <f t="array" ref="P58">_xlfn.IFNA(IF(INDEX(Tb_KostenOptiesDB[],MATCH($F58,Tb_KostenOptiesDB[KostenOptie],0),IFERROR(MATCH(Methode_Keuze,Tb_KostenOptiesDB[#Headers],0),2))=1,_xlfn.SWITCH($N58,"Uurtarief",IF(OR(AND(RIGHT($F58,3)="IKS",VLOOKUP($M58,DB_Loonkosten,2,0)="Ja"),AND(RIGHT($F58,3)&lt;&gt;"IKS",VLOOKUP($M58,DB_Loonkosten,2,0)="Nee")),IFERROR(VLOOKUP($M58,DB_Loonkosten,25,0),""),0),"Vast tarief",IF(LEFT(F58,8)="Bijdrage",VLOOKUP($F58,Tb_KostenTypen[],MATCH(Lijsten!$P$1,Tb_KostenTypen[#Headers],0),0),VLOOKUP($G58,Lijsten!L:P,MATCH(Lijsten!$P$1,Kop_Tarief_Vast,0),0))),""),"")</f>
        <v/>
      </c>
      <c r="Q58" s="359"/>
      <c r="R58" s="359"/>
      <c r="S58" s="321"/>
      <c r="T58" s="321"/>
      <c r="U58" s="373" t="str">
        <f t="shared" si="0"/>
        <v/>
      </c>
      <c r="V58" s="314" t="str">
        <f t="shared" si="1"/>
        <v/>
      </c>
      <c r="W58" s="314" t="str" cm="1">
        <f t="array" aca="1" ref="W58" ca="1">IFERROR(IF(AE58&lt;&gt;"ja",_xlfn.IFNA(_xlfn.IFS(AND(O58&lt;&gt;"",F58&lt;&gt;"",RIGHT($N58,6)="tarief",F58="Vergoeding"),SUM(O58)*FLOOR(SUM(Q58),0.0001),AND(O58&lt;&gt;"",F58&lt;&gt;"",RIGHT($N58,6)="tarief"),SUM(O58)*FLOOR(SUM(Q58),0.01),S58&gt;0,IF(F58&lt;&gt;"",FLOOR(SUM(S58),0.01),"")),""),""),"")</f>
        <v/>
      </c>
      <c r="X58" s="314" t="str" cm="1">
        <f t="array" aca="1" ref="X58" ca="1">IFERROR(IF(AE58&lt;&gt;"ja",_xlfn.IFNA(_xlfn.IFS(AND(P58&lt;&gt;"",R58&lt;&gt;"",RIGHT($N58,6)="tarief",F58="Vergoeding"),SUM(P58)*FLOOR(SUM(R58),0.0001),AND(P58&lt;&gt;"",R58&lt;&gt;"",RIGHT($N58,6)="tarief"),P58*FLOOR(R58,0.01),T58&gt;0,FLOOR(SUM(T58),0.01)),""),""),"")</f>
        <v/>
      </c>
      <c r="Y58" s="314" t="str">
        <f t="shared" ca="1" si="2"/>
        <v/>
      </c>
      <c r="Z58" s="314" t="str" cm="1">
        <f t="array" aca="1" ref="Z58" ca="1">IFERROR(_xlfn.IFS(OR(F58="",LEFT(Methode_Keuze,4)="Geen",Methode_Keuze=""),"",AND(W58&lt;&gt;"",F58&lt;&gt;"Arbeidskosten"),W58*VLOOKUP(F58,Tb_ProjectKosten[],MATCH(Tb_ProjectKosten[[#Headers],[Forfait_Percentage]],Tb_ProjectKosten[#Headers],0),0),AND(F58="Arbeidskosten",G58&lt;&gt;""),IFERROR(W58*VLOOKUP(G58,Tb_KostenTypen[],3,0)*VLOOKUP(F58,Tb_ProjectKosten[],MATCH(Tb_ProjectKosten[[#Headers],[Forfait_Percentage]],Tb_ProjectKosten[#Headers],0),0),""),W58 &lt;=0,0),"")</f>
        <v/>
      </c>
      <c r="AA58" s="314" t="str" cm="1">
        <f t="array" aca="1" ref="AA58" ca="1">IFERROR(_xlfn.IFS(OR(F58="",LEFT(Methode_Keuze,4)="Geen",Methode_Keuze=""),"",AND(X58&lt;&gt;"",F58&lt;&gt;"Arbeidskosten"),X58*VLOOKUP(F58,Tb_ProjectKosten[],MATCH(Tb_ProjectKosten[[#Headers],[Forfait_Percentage]],Tb_ProjectKosten[#Headers],0),0),AND(F58="Arbeidskosten",G58&lt;&gt;""),IFERROR(X58*VLOOKUP(G58,Tb_KostenTypen[],3,0)*VLOOKUP(F58,Tb_ProjectKosten[],MATCH(Tb_ProjectKosten[[#Headers],[Forfait_Percentage]],Tb_ProjectKosten[#Headers],0),0),""),X58 &lt;=0,0),"")</f>
        <v/>
      </c>
      <c r="AB58" s="314" t="str">
        <f t="shared" ca="1" si="3"/>
        <v/>
      </c>
      <c r="AC58" s="322"/>
      <c r="AD58" s="315"/>
      <c r="AE58" s="32" t="str" cm="1">
        <f t="array" ref="AE58">IFERROR(IF(INDEX(SubsidieTabel!$AD$1:$AG$12,MATCH($F58,SubsidieTabel!$AD$1:$AD$12,0),IFERROR(MATCH(Methode_Keuze,SubsidieTabel!$AD$1:$AG$1,0),2))&lt;&gt;1=TRUE,"ja",""),"")</f>
        <v/>
      </c>
    </row>
    <row r="59" spans="1:31" x14ac:dyDescent="0.25">
      <c r="A59" s="316"/>
      <c r="B59" s="317" t="str">
        <f>IF(A59&lt;&gt;"",_xlfn.MAXIFS($B$1:B58,$A$1:A58,A59)+1,"")</f>
        <v/>
      </c>
      <c r="C59" s="296"/>
      <c r="D59" s="296"/>
      <c r="E59" s="296"/>
      <c r="F59" s="296"/>
      <c r="G59" s="326"/>
      <c r="H59" s="324"/>
      <c r="I59" s="325"/>
      <c r="J59" s="325"/>
      <c r="K59" s="318"/>
      <c r="L59" s="318"/>
      <c r="M59" s="319" t="str">
        <f>IFERROR(VLOOKUP(H59,Lijsten!$H$1:$I$100,2,0),"")</f>
        <v/>
      </c>
      <c r="N59" s="319" t="str">
        <f ca="1">IFERROR(IF(VLOOKUP(F59,Kostentypen!$A$3:$E$21,3,0)=0,"",IF(OR(F59="Arbeidskosten",F59="Vergoeding"),VLOOKUP(G59,Tb_KostenTypen[],2,0),VLOOKUP(F59,Kostentypen!$A$3:$E$20,3,0))),"")</f>
        <v/>
      </c>
      <c r="O59" s="320" t="str" cm="1">
        <f t="array" ref="O59">_xlfn.IFNA(IF(INDEX(Tb_KostenOptiesDB[],MATCH($F59,Tb_KostenOptiesDB[KostenOptie],0),IFERROR(MATCH(Methode_Keuze,Tb_KostenOptiesDB[#Headers],0),2))=1,_xlfn.SWITCH($N59,"Uurtarief",IF(OR(AND(RIGHT($F59,3)="IKS",VLOOKUP($M59,DB_Loonkosten,2,0)="Ja"),AND(RIGHT($F59,3)&lt;&gt;"IKS",VLOOKUP($M59,DB_Loonkosten,2,0)="Nee")),IFERROR(VLOOKUP($M59,DB_Loonkosten,24,0),""),0),"Vast tarief",IF(LEFT(F59,8)="Bijdrage",VLOOKUP($F59,Tb_KostenTypen[],MATCH(Lijsten!$P$1,Tb_KostenTypen[#Headers],0),0),VLOOKUP($G59,Lijsten!L:P,MATCH(Lijsten!$P$1,Kop_Tarief_Vast,0),0))),""),"")</f>
        <v/>
      </c>
      <c r="P59" s="320" t="str" cm="1">
        <f t="array" ref="P59">_xlfn.IFNA(IF(INDEX(Tb_KostenOptiesDB[],MATCH($F59,Tb_KostenOptiesDB[KostenOptie],0),IFERROR(MATCH(Methode_Keuze,Tb_KostenOptiesDB[#Headers],0),2))=1,_xlfn.SWITCH($N59,"Uurtarief",IF(OR(AND(RIGHT($F59,3)="IKS",VLOOKUP($M59,DB_Loonkosten,2,0)="Ja"),AND(RIGHT($F59,3)&lt;&gt;"IKS",VLOOKUP($M59,DB_Loonkosten,2,0)="Nee")),IFERROR(VLOOKUP($M59,DB_Loonkosten,25,0),""),0),"Vast tarief",IF(LEFT(F59,8)="Bijdrage",VLOOKUP($F59,Tb_KostenTypen[],MATCH(Lijsten!$P$1,Tb_KostenTypen[#Headers],0),0),VLOOKUP($G59,Lijsten!L:P,MATCH(Lijsten!$P$1,Kop_Tarief_Vast,0),0))),""),"")</f>
        <v/>
      </c>
      <c r="Q59" s="359"/>
      <c r="R59" s="359"/>
      <c r="S59" s="321"/>
      <c r="T59" s="321"/>
      <c r="U59" s="373" t="str">
        <f t="shared" si="0"/>
        <v/>
      </c>
      <c r="V59" s="314" t="str">
        <f t="shared" si="1"/>
        <v/>
      </c>
      <c r="W59" s="314" t="str" cm="1">
        <f t="array" aca="1" ref="W59" ca="1">IFERROR(IF(AE59&lt;&gt;"ja",_xlfn.IFNA(_xlfn.IFS(AND(O59&lt;&gt;"",F59&lt;&gt;"",RIGHT($N59,6)="tarief",F59="Vergoeding"),SUM(O59)*FLOOR(SUM(Q59),0.0001),AND(O59&lt;&gt;"",F59&lt;&gt;"",RIGHT($N59,6)="tarief"),SUM(O59)*FLOOR(SUM(Q59),0.01),S59&gt;0,IF(F59&lt;&gt;"",FLOOR(SUM(S59),0.01),"")),""),""),"")</f>
        <v/>
      </c>
      <c r="X59" s="314" t="str" cm="1">
        <f t="array" aca="1" ref="X59" ca="1">IFERROR(IF(AE59&lt;&gt;"ja",_xlfn.IFNA(_xlfn.IFS(AND(P59&lt;&gt;"",R59&lt;&gt;"",RIGHT($N59,6)="tarief",F59="Vergoeding"),SUM(P59)*FLOOR(SUM(R59),0.0001),AND(P59&lt;&gt;"",R59&lt;&gt;"",RIGHT($N59,6)="tarief"),P59*FLOOR(R59,0.01),T59&gt;0,FLOOR(SUM(T59),0.01)),""),""),"")</f>
        <v/>
      </c>
      <c r="Y59" s="314" t="str">
        <f t="shared" ca="1" si="2"/>
        <v/>
      </c>
      <c r="Z59" s="314" t="str" cm="1">
        <f t="array" aca="1" ref="Z59" ca="1">IFERROR(_xlfn.IFS(OR(F59="",LEFT(Methode_Keuze,4)="Geen",Methode_Keuze=""),"",AND(W59&lt;&gt;"",F59&lt;&gt;"Arbeidskosten"),W59*VLOOKUP(F59,Tb_ProjectKosten[],MATCH(Tb_ProjectKosten[[#Headers],[Forfait_Percentage]],Tb_ProjectKosten[#Headers],0),0),AND(F59="Arbeidskosten",G59&lt;&gt;""),IFERROR(W59*VLOOKUP(G59,Tb_KostenTypen[],3,0)*VLOOKUP(F59,Tb_ProjectKosten[],MATCH(Tb_ProjectKosten[[#Headers],[Forfait_Percentage]],Tb_ProjectKosten[#Headers],0),0),""),W59 &lt;=0,0),"")</f>
        <v/>
      </c>
      <c r="AA59" s="314" t="str" cm="1">
        <f t="array" aca="1" ref="AA59" ca="1">IFERROR(_xlfn.IFS(OR(F59="",LEFT(Methode_Keuze,4)="Geen",Methode_Keuze=""),"",AND(X59&lt;&gt;"",F59&lt;&gt;"Arbeidskosten"),X59*VLOOKUP(F59,Tb_ProjectKosten[],MATCH(Tb_ProjectKosten[[#Headers],[Forfait_Percentage]],Tb_ProjectKosten[#Headers],0),0),AND(F59="Arbeidskosten",G59&lt;&gt;""),IFERROR(X59*VLOOKUP(G59,Tb_KostenTypen[],3,0)*VLOOKUP(F59,Tb_ProjectKosten[],MATCH(Tb_ProjectKosten[[#Headers],[Forfait_Percentage]],Tb_ProjectKosten[#Headers],0),0),""),X59 &lt;=0,0),"")</f>
        <v/>
      </c>
      <c r="AB59" s="314" t="str">
        <f t="shared" ca="1" si="3"/>
        <v/>
      </c>
      <c r="AC59" s="322"/>
      <c r="AD59" s="315"/>
      <c r="AE59" s="32" t="str" cm="1">
        <f t="array" ref="AE59">IFERROR(IF(INDEX(SubsidieTabel!$AD$1:$AG$12,MATCH($F59,SubsidieTabel!$AD$1:$AD$12,0),IFERROR(MATCH(Methode_Keuze,SubsidieTabel!$AD$1:$AG$1,0),2))&lt;&gt;1=TRUE,"ja",""),"")</f>
        <v/>
      </c>
    </row>
    <row r="60" spans="1:31" x14ac:dyDescent="0.25">
      <c r="A60" s="316"/>
      <c r="B60" s="317" t="str">
        <f>IF(A60&lt;&gt;"",_xlfn.MAXIFS($B$1:B59,$A$1:A59,A60)+1,"")</f>
        <v/>
      </c>
      <c r="C60" s="296"/>
      <c r="D60" s="296"/>
      <c r="E60" s="296"/>
      <c r="F60" s="296"/>
      <c r="G60" s="326"/>
      <c r="H60" s="324"/>
      <c r="I60" s="325"/>
      <c r="J60" s="325"/>
      <c r="K60" s="318"/>
      <c r="L60" s="318"/>
      <c r="M60" s="319" t="str">
        <f>IFERROR(VLOOKUP(H60,Lijsten!$H$1:$I$100,2,0),"")</f>
        <v/>
      </c>
      <c r="N60" s="319" t="str">
        <f ca="1">IFERROR(IF(VLOOKUP(F60,Kostentypen!$A$3:$E$21,3,0)=0,"",IF(OR(F60="Arbeidskosten",F60="Vergoeding"),VLOOKUP(G60,Tb_KostenTypen[],2,0),VLOOKUP(F60,Kostentypen!$A$3:$E$20,3,0))),"")</f>
        <v/>
      </c>
      <c r="O60" s="320" t="str" cm="1">
        <f t="array" ref="O60">_xlfn.IFNA(IF(INDEX(Tb_KostenOptiesDB[],MATCH($F60,Tb_KostenOptiesDB[KostenOptie],0),IFERROR(MATCH(Methode_Keuze,Tb_KostenOptiesDB[#Headers],0),2))=1,_xlfn.SWITCH($N60,"Uurtarief",IF(OR(AND(RIGHT($F60,3)="IKS",VLOOKUP($M60,DB_Loonkosten,2,0)="Ja"),AND(RIGHT($F60,3)&lt;&gt;"IKS",VLOOKUP($M60,DB_Loonkosten,2,0)="Nee")),IFERROR(VLOOKUP($M60,DB_Loonkosten,24,0),""),0),"Vast tarief",IF(LEFT(F60,8)="Bijdrage",VLOOKUP($F60,Tb_KostenTypen[],MATCH(Lijsten!$P$1,Tb_KostenTypen[#Headers],0),0),VLOOKUP($G60,Lijsten!L:P,MATCH(Lijsten!$P$1,Kop_Tarief_Vast,0),0))),""),"")</f>
        <v/>
      </c>
      <c r="P60" s="320" t="str" cm="1">
        <f t="array" ref="P60">_xlfn.IFNA(IF(INDEX(Tb_KostenOptiesDB[],MATCH($F60,Tb_KostenOptiesDB[KostenOptie],0),IFERROR(MATCH(Methode_Keuze,Tb_KostenOptiesDB[#Headers],0),2))=1,_xlfn.SWITCH($N60,"Uurtarief",IF(OR(AND(RIGHT($F60,3)="IKS",VLOOKUP($M60,DB_Loonkosten,2,0)="Ja"),AND(RIGHT($F60,3)&lt;&gt;"IKS",VLOOKUP($M60,DB_Loonkosten,2,0)="Nee")),IFERROR(VLOOKUP($M60,DB_Loonkosten,25,0),""),0),"Vast tarief",IF(LEFT(F60,8)="Bijdrage",VLOOKUP($F60,Tb_KostenTypen[],MATCH(Lijsten!$P$1,Tb_KostenTypen[#Headers],0),0),VLOOKUP($G60,Lijsten!L:P,MATCH(Lijsten!$P$1,Kop_Tarief_Vast,0),0))),""),"")</f>
        <v/>
      </c>
      <c r="Q60" s="359"/>
      <c r="R60" s="359"/>
      <c r="S60" s="321"/>
      <c r="T60" s="321"/>
      <c r="U60" s="373" t="str">
        <f t="shared" si="0"/>
        <v/>
      </c>
      <c r="V60" s="314" t="str">
        <f t="shared" si="1"/>
        <v/>
      </c>
      <c r="W60" s="314" t="str" cm="1">
        <f t="array" aca="1" ref="W60" ca="1">IFERROR(IF(AE60&lt;&gt;"ja",_xlfn.IFNA(_xlfn.IFS(AND(O60&lt;&gt;"",F60&lt;&gt;"",RIGHT($N60,6)="tarief",F60="Vergoeding"),SUM(O60)*FLOOR(SUM(Q60),0.0001),AND(O60&lt;&gt;"",F60&lt;&gt;"",RIGHT($N60,6)="tarief"),SUM(O60)*FLOOR(SUM(Q60),0.01),S60&gt;0,IF(F60&lt;&gt;"",FLOOR(SUM(S60),0.01),"")),""),""),"")</f>
        <v/>
      </c>
      <c r="X60" s="314" t="str" cm="1">
        <f t="array" aca="1" ref="X60" ca="1">IFERROR(IF(AE60&lt;&gt;"ja",_xlfn.IFNA(_xlfn.IFS(AND(P60&lt;&gt;"",R60&lt;&gt;"",RIGHT($N60,6)="tarief",F60="Vergoeding"),SUM(P60)*FLOOR(SUM(R60),0.0001),AND(P60&lt;&gt;"",R60&lt;&gt;"",RIGHT($N60,6)="tarief"),P60*FLOOR(R60,0.01),T60&gt;0,FLOOR(SUM(T60),0.01)),""),""),"")</f>
        <v/>
      </c>
      <c r="Y60" s="314" t="str">
        <f t="shared" ca="1" si="2"/>
        <v/>
      </c>
      <c r="Z60" s="314" t="str" cm="1">
        <f t="array" aca="1" ref="Z60" ca="1">IFERROR(_xlfn.IFS(OR(F60="",LEFT(Methode_Keuze,4)="Geen",Methode_Keuze=""),"",AND(W60&lt;&gt;"",F60&lt;&gt;"Arbeidskosten"),W60*VLOOKUP(F60,Tb_ProjectKosten[],MATCH(Tb_ProjectKosten[[#Headers],[Forfait_Percentage]],Tb_ProjectKosten[#Headers],0),0),AND(F60="Arbeidskosten",G60&lt;&gt;""),IFERROR(W60*VLOOKUP(G60,Tb_KostenTypen[],3,0)*VLOOKUP(F60,Tb_ProjectKosten[],MATCH(Tb_ProjectKosten[[#Headers],[Forfait_Percentage]],Tb_ProjectKosten[#Headers],0),0),""),W60 &lt;=0,0),"")</f>
        <v/>
      </c>
      <c r="AA60" s="314" t="str" cm="1">
        <f t="array" aca="1" ref="AA60" ca="1">IFERROR(_xlfn.IFS(OR(F60="",LEFT(Methode_Keuze,4)="Geen",Methode_Keuze=""),"",AND(X60&lt;&gt;"",F60&lt;&gt;"Arbeidskosten"),X60*VLOOKUP(F60,Tb_ProjectKosten[],MATCH(Tb_ProjectKosten[[#Headers],[Forfait_Percentage]],Tb_ProjectKosten[#Headers],0),0),AND(F60="Arbeidskosten",G60&lt;&gt;""),IFERROR(X60*VLOOKUP(G60,Tb_KostenTypen[],3,0)*VLOOKUP(F60,Tb_ProjectKosten[],MATCH(Tb_ProjectKosten[[#Headers],[Forfait_Percentage]],Tb_ProjectKosten[#Headers],0),0),""),X60 &lt;=0,0),"")</f>
        <v/>
      </c>
      <c r="AB60" s="314" t="str">
        <f t="shared" ca="1" si="3"/>
        <v/>
      </c>
      <c r="AC60" s="322"/>
      <c r="AD60" s="315"/>
      <c r="AE60" s="32" t="str" cm="1">
        <f t="array" ref="AE60">IFERROR(IF(INDEX(SubsidieTabel!$AD$1:$AG$12,MATCH($F60,SubsidieTabel!$AD$1:$AD$12,0),IFERROR(MATCH(Methode_Keuze,SubsidieTabel!$AD$1:$AG$1,0),2))&lt;&gt;1=TRUE,"ja",""),"")</f>
        <v/>
      </c>
    </row>
    <row r="61" spans="1:31" x14ac:dyDescent="0.25">
      <c r="A61" s="316"/>
      <c r="B61" s="317" t="str">
        <f>IF(A61&lt;&gt;"",_xlfn.MAXIFS($B$1:B60,$A$1:A60,A61)+1,"")</f>
        <v/>
      </c>
      <c r="C61" s="296"/>
      <c r="D61" s="296"/>
      <c r="E61" s="296"/>
      <c r="F61" s="296"/>
      <c r="G61" s="326"/>
      <c r="H61" s="324"/>
      <c r="I61" s="325"/>
      <c r="J61" s="325"/>
      <c r="K61" s="318"/>
      <c r="L61" s="318"/>
      <c r="M61" s="319" t="str">
        <f>IFERROR(VLOOKUP(H61,Lijsten!$H$1:$I$100,2,0),"")</f>
        <v/>
      </c>
      <c r="N61" s="319" t="str">
        <f ca="1">IFERROR(IF(VLOOKUP(F61,Kostentypen!$A$3:$E$21,3,0)=0,"",IF(OR(F61="Arbeidskosten",F61="Vergoeding"),VLOOKUP(G61,Tb_KostenTypen[],2,0),VLOOKUP(F61,Kostentypen!$A$3:$E$20,3,0))),"")</f>
        <v/>
      </c>
      <c r="O61" s="320" t="str" cm="1">
        <f t="array" ref="O61">_xlfn.IFNA(IF(INDEX(Tb_KostenOptiesDB[],MATCH($F61,Tb_KostenOptiesDB[KostenOptie],0),IFERROR(MATCH(Methode_Keuze,Tb_KostenOptiesDB[#Headers],0),2))=1,_xlfn.SWITCH($N61,"Uurtarief",IF(OR(AND(RIGHT($F61,3)="IKS",VLOOKUP($M61,DB_Loonkosten,2,0)="Ja"),AND(RIGHT($F61,3)&lt;&gt;"IKS",VLOOKUP($M61,DB_Loonkosten,2,0)="Nee")),IFERROR(VLOOKUP($M61,DB_Loonkosten,24,0),""),0),"Vast tarief",IF(LEFT(F61,8)="Bijdrage",VLOOKUP($F61,Tb_KostenTypen[],MATCH(Lijsten!$P$1,Tb_KostenTypen[#Headers],0),0),VLOOKUP($G61,Lijsten!L:P,MATCH(Lijsten!$P$1,Kop_Tarief_Vast,0),0))),""),"")</f>
        <v/>
      </c>
      <c r="P61" s="320" t="str" cm="1">
        <f t="array" ref="P61">_xlfn.IFNA(IF(INDEX(Tb_KostenOptiesDB[],MATCH($F61,Tb_KostenOptiesDB[KostenOptie],0),IFERROR(MATCH(Methode_Keuze,Tb_KostenOptiesDB[#Headers],0),2))=1,_xlfn.SWITCH($N61,"Uurtarief",IF(OR(AND(RIGHT($F61,3)="IKS",VLOOKUP($M61,DB_Loonkosten,2,0)="Ja"),AND(RIGHT($F61,3)&lt;&gt;"IKS",VLOOKUP($M61,DB_Loonkosten,2,0)="Nee")),IFERROR(VLOOKUP($M61,DB_Loonkosten,25,0),""),0),"Vast tarief",IF(LEFT(F61,8)="Bijdrage",VLOOKUP($F61,Tb_KostenTypen[],MATCH(Lijsten!$P$1,Tb_KostenTypen[#Headers],0),0),VLOOKUP($G61,Lijsten!L:P,MATCH(Lijsten!$P$1,Kop_Tarief_Vast,0),0))),""),"")</f>
        <v/>
      </c>
      <c r="Q61" s="359"/>
      <c r="R61" s="359"/>
      <c r="S61" s="321"/>
      <c r="T61" s="321"/>
      <c r="U61" s="373" t="str">
        <f t="shared" si="0"/>
        <v/>
      </c>
      <c r="V61" s="314" t="str">
        <f t="shared" si="1"/>
        <v/>
      </c>
      <c r="W61" s="314" t="str" cm="1">
        <f t="array" aca="1" ref="W61" ca="1">IFERROR(IF(AE61&lt;&gt;"ja",_xlfn.IFNA(_xlfn.IFS(AND(O61&lt;&gt;"",F61&lt;&gt;"",RIGHT($N61,6)="tarief",F61="Vergoeding"),SUM(O61)*FLOOR(SUM(Q61),0.0001),AND(O61&lt;&gt;"",F61&lt;&gt;"",RIGHT($N61,6)="tarief"),SUM(O61)*FLOOR(SUM(Q61),0.01),S61&gt;0,IF(F61&lt;&gt;"",FLOOR(SUM(S61),0.01),"")),""),""),"")</f>
        <v/>
      </c>
      <c r="X61" s="314" t="str" cm="1">
        <f t="array" aca="1" ref="X61" ca="1">IFERROR(IF(AE61&lt;&gt;"ja",_xlfn.IFNA(_xlfn.IFS(AND(P61&lt;&gt;"",R61&lt;&gt;"",RIGHT($N61,6)="tarief",F61="Vergoeding"),SUM(P61)*FLOOR(SUM(R61),0.0001),AND(P61&lt;&gt;"",R61&lt;&gt;"",RIGHT($N61,6)="tarief"),P61*FLOOR(R61,0.01),T61&gt;0,FLOOR(SUM(T61),0.01)),""),""),"")</f>
        <v/>
      </c>
      <c r="Y61" s="314" t="str">
        <f t="shared" ca="1" si="2"/>
        <v/>
      </c>
      <c r="Z61" s="314" t="str" cm="1">
        <f t="array" aca="1" ref="Z61" ca="1">IFERROR(_xlfn.IFS(OR(F61="",LEFT(Methode_Keuze,4)="Geen",Methode_Keuze=""),"",AND(W61&lt;&gt;"",F61&lt;&gt;"Arbeidskosten"),W61*VLOOKUP(F61,Tb_ProjectKosten[],MATCH(Tb_ProjectKosten[[#Headers],[Forfait_Percentage]],Tb_ProjectKosten[#Headers],0),0),AND(F61="Arbeidskosten",G61&lt;&gt;""),IFERROR(W61*VLOOKUP(G61,Tb_KostenTypen[],3,0)*VLOOKUP(F61,Tb_ProjectKosten[],MATCH(Tb_ProjectKosten[[#Headers],[Forfait_Percentage]],Tb_ProjectKosten[#Headers],0),0),""),W61 &lt;=0,0),"")</f>
        <v/>
      </c>
      <c r="AA61" s="314" t="str" cm="1">
        <f t="array" aca="1" ref="AA61" ca="1">IFERROR(_xlfn.IFS(OR(F61="",LEFT(Methode_Keuze,4)="Geen",Methode_Keuze=""),"",AND(X61&lt;&gt;"",F61&lt;&gt;"Arbeidskosten"),X61*VLOOKUP(F61,Tb_ProjectKosten[],MATCH(Tb_ProjectKosten[[#Headers],[Forfait_Percentage]],Tb_ProjectKosten[#Headers],0),0),AND(F61="Arbeidskosten",G61&lt;&gt;""),IFERROR(X61*VLOOKUP(G61,Tb_KostenTypen[],3,0)*VLOOKUP(F61,Tb_ProjectKosten[],MATCH(Tb_ProjectKosten[[#Headers],[Forfait_Percentage]],Tb_ProjectKosten[#Headers],0),0),""),X61 &lt;=0,0),"")</f>
        <v/>
      </c>
      <c r="AB61" s="314" t="str">
        <f t="shared" ca="1" si="3"/>
        <v/>
      </c>
      <c r="AC61" s="322"/>
      <c r="AD61" s="315"/>
      <c r="AE61" s="32" t="str" cm="1">
        <f t="array" ref="AE61">IFERROR(IF(INDEX(SubsidieTabel!$AD$1:$AG$12,MATCH($F61,SubsidieTabel!$AD$1:$AD$12,0),IFERROR(MATCH(Methode_Keuze,SubsidieTabel!$AD$1:$AG$1,0),2))&lt;&gt;1=TRUE,"ja",""),"")</f>
        <v/>
      </c>
    </row>
    <row r="62" spans="1:31" x14ac:dyDescent="0.25">
      <c r="A62" s="316"/>
      <c r="B62" s="317" t="str">
        <f>IF(A62&lt;&gt;"",_xlfn.MAXIFS($B$1:B61,$A$1:A61,A62)+1,"")</f>
        <v/>
      </c>
      <c r="C62" s="296"/>
      <c r="D62" s="296"/>
      <c r="E62" s="296"/>
      <c r="F62" s="296"/>
      <c r="G62" s="326"/>
      <c r="H62" s="324"/>
      <c r="I62" s="325"/>
      <c r="J62" s="325"/>
      <c r="K62" s="318"/>
      <c r="L62" s="318"/>
      <c r="M62" s="319" t="str">
        <f>IFERROR(VLOOKUP(H62,Lijsten!$H$1:$I$100,2,0),"")</f>
        <v/>
      </c>
      <c r="N62" s="319" t="str">
        <f ca="1">IFERROR(IF(VLOOKUP(F62,Kostentypen!$A$3:$E$21,3,0)=0,"",IF(OR(F62="Arbeidskosten",F62="Vergoeding"),VLOOKUP(G62,Tb_KostenTypen[],2,0),VLOOKUP(F62,Kostentypen!$A$3:$E$20,3,0))),"")</f>
        <v/>
      </c>
      <c r="O62" s="320" t="str" cm="1">
        <f t="array" ref="O62">_xlfn.IFNA(IF(INDEX(Tb_KostenOptiesDB[],MATCH($F62,Tb_KostenOptiesDB[KostenOptie],0),IFERROR(MATCH(Methode_Keuze,Tb_KostenOptiesDB[#Headers],0),2))=1,_xlfn.SWITCH($N62,"Uurtarief",IF(OR(AND(RIGHT($F62,3)="IKS",VLOOKUP($M62,DB_Loonkosten,2,0)="Ja"),AND(RIGHT($F62,3)&lt;&gt;"IKS",VLOOKUP($M62,DB_Loonkosten,2,0)="Nee")),IFERROR(VLOOKUP($M62,DB_Loonkosten,24,0),""),0),"Vast tarief",IF(LEFT(F62,8)="Bijdrage",VLOOKUP($F62,Tb_KostenTypen[],MATCH(Lijsten!$P$1,Tb_KostenTypen[#Headers],0),0),VLOOKUP($G62,Lijsten!L:P,MATCH(Lijsten!$P$1,Kop_Tarief_Vast,0),0))),""),"")</f>
        <v/>
      </c>
      <c r="P62" s="320" t="str" cm="1">
        <f t="array" ref="P62">_xlfn.IFNA(IF(INDEX(Tb_KostenOptiesDB[],MATCH($F62,Tb_KostenOptiesDB[KostenOptie],0),IFERROR(MATCH(Methode_Keuze,Tb_KostenOptiesDB[#Headers],0),2))=1,_xlfn.SWITCH($N62,"Uurtarief",IF(OR(AND(RIGHT($F62,3)="IKS",VLOOKUP($M62,DB_Loonkosten,2,0)="Ja"),AND(RIGHT($F62,3)&lt;&gt;"IKS",VLOOKUP($M62,DB_Loonkosten,2,0)="Nee")),IFERROR(VLOOKUP($M62,DB_Loonkosten,25,0),""),0),"Vast tarief",IF(LEFT(F62,8)="Bijdrage",VLOOKUP($F62,Tb_KostenTypen[],MATCH(Lijsten!$P$1,Tb_KostenTypen[#Headers],0),0),VLOOKUP($G62,Lijsten!L:P,MATCH(Lijsten!$P$1,Kop_Tarief_Vast,0),0))),""),"")</f>
        <v/>
      </c>
      <c r="Q62" s="359"/>
      <c r="R62" s="359"/>
      <c r="S62" s="321"/>
      <c r="T62" s="321"/>
      <c r="U62" s="373" t="str">
        <f t="shared" si="0"/>
        <v/>
      </c>
      <c r="V62" s="314" t="str">
        <f t="shared" si="1"/>
        <v/>
      </c>
      <c r="W62" s="314" t="str" cm="1">
        <f t="array" aca="1" ref="W62" ca="1">IFERROR(IF(AE62&lt;&gt;"ja",_xlfn.IFNA(_xlfn.IFS(AND(O62&lt;&gt;"",F62&lt;&gt;"",RIGHT($N62,6)="tarief",F62="Vergoeding"),SUM(O62)*FLOOR(SUM(Q62),0.0001),AND(O62&lt;&gt;"",F62&lt;&gt;"",RIGHT($N62,6)="tarief"),SUM(O62)*FLOOR(SUM(Q62),0.01),S62&gt;0,IF(F62&lt;&gt;"",FLOOR(SUM(S62),0.01),"")),""),""),"")</f>
        <v/>
      </c>
      <c r="X62" s="314" t="str" cm="1">
        <f t="array" aca="1" ref="X62" ca="1">IFERROR(IF(AE62&lt;&gt;"ja",_xlfn.IFNA(_xlfn.IFS(AND(P62&lt;&gt;"",R62&lt;&gt;"",RIGHT($N62,6)="tarief",F62="Vergoeding"),SUM(P62)*FLOOR(SUM(R62),0.0001),AND(P62&lt;&gt;"",R62&lt;&gt;"",RIGHT($N62,6)="tarief"),P62*FLOOR(R62,0.01),T62&gt;0,FLOOR(SUM(T62),0.01)),""),""),"")</f>
        <v/>
      </c>
      <c r="Y62" s="314" t="str">
        <f t="shared" ca="1" si="2"/>
        <v/>
      </c>
      <c r="Z62" s="314" t="str" cm="1">
        <f t="array" aca="1" ref="Z62" ca="1">IFERROR(_xlfn.IFS(OR(F62="",LEFT(Methode_Keuze,4)="Geen",Methode_Keuze=""),"",AND(W62&lt;&gt;"",F62&lt;&gt;"Arbeidskosten"),W62*VLOOKUP(F62,Tb_ProjectKosten[],MATCH(Tb_ProjectKosten[[#Headers],[Forfait_Percentage]],Tb_ProjectKosten[#Headers],0),0),AND(F62="Arbeidskosten",G62&lt;&gt;""),IFERROR(W62*VLOOKUP(G62,Tb_KostenTypen[],3,0)*VLOOKUP(F62,Tb_ProjectKosten[],MATCH(Tb_ProjectKosten[[#Headers],[Forfait_Percentage]],Tb_ProjectKosten[#Headers],0),0),""),W62 &lt;=0,0),"")</f>
        <v/>
      </c>
      <c r="AA62" s="314" t="str" cm="1">
        <f t="array" aca="1" ref="AA62" ca="1">IFERROR(_xlfn.IFS(OR(F62="",LEFT(Methode_Keuze,4)="Geen",Methode_Keuze=""),"",AND(X62&lt;&gt;"",F62&lt;&gt;"Arbeidskosten"),X62*VLOOKUP(F62,Tb_ProjectKosten[],MATCH(Tb_ProjectKosten[[#Headers],[Forfait_Percentage]],Tb_ProjectKosten[#Headers],0),0),AND(F62="Arbeidskosten",G62&lt;&gt;""),IFERROR(X62*VLOOKUP(G62,Tb_KostenTypen[],3,0)*VLOOKUP(F62,Tb_ProjectKosten[],MATCH(Tb_ProjectKosten[[#Headers],[Forfait_Percentage]],Tb_ProjectKosten[#Headers],0),0),""),X62 &lt;=0,0),"")</f>
        <v/>
      </c>
      <c r="AB62" s="314" t="str">
        <f t="shared" ca="1" si="3"/>
        <v/>
      </c>
      <c r="AC62" s="322"/>
      <c r="AD62" s="315"/>
      <c r="AE62" s="32" t="str" cm="1">
        <f t="array" ref="AE62">IFERROR(IF(INDEX(SubsidieTabel!$AD$1:$AG$12,MATCH($F62,SubsidieTabel!$AD$1:$AD$12,0),IFERROR(MATCH(Methode_Keuze,SubsidieTabel!$AD$1:$AG$1,0),2))&lt;&gt;1=TRUE,"ja",""),"")</f>
        <v/>
      </c>
    </row>
    <row r="63" spans="1:31" x14ac:dyDescent="0.25">
      <c r="A63" s="316"/>
      <c r="B63" s="317" t="str">
        <f>IF(A63&lt;&gt;"",_xlfn.MAXIFS($B$1:B62,$A$1:A62,A63)+1,"")</f>
        <v/>
      </c>
      <c r="C63" s="296"/>
      <c r="D63" s="296"/>
      <c r="E63" s="296"/>
      <c r="F63" s="296"/>
      <c r="G63" s="326"/>
      <c r="H63" s="324"/>
      <c r="I63" s="325"/>
      <c r="J63" s="325"/>
      <c r="K63" s="318"/>
      <c r="L63" s="318"/>
      <c r="M63" s="319" t="str">
        <f>IFERROR(VLOOKUP(H63,Lijsten!$H$1:$I$100,2,0),"")</f>
        <v/>
      </c>
      <c r="N63" s="319" t="str">
        <f ca="1">IFERROR(IF(VLOOKUP(F63,Kostentypen!$A$3:$E$21,3,0)=0,"",IF(OR(F63="Arbeidskosten",F63="Vergoeding"),VLOOKUP(G63,Tb_KostenTypen[],2,0),VLOOKUP(F63,Kostentypen!$A$3:$E$20,3,0))),"")</f>
        <v/>
      </c>
      <c r="O63" s="320" t="str" cm="1">
        <f t="array" ref="O63">_xlfn.IFNA(IF(INDEX(Tb_KostenOptiesDB[],MATCH($F63,Tb_KostenOptiesDB[KostenOptie],0),IFERROR(MATCH(Methode_Keuze,Tb_KostenOptiesDB[#Headers],0),2))=1,_xlfn.SWITCH($N63,"Uurtarief",IF(OR(AND(RIGHT($F63,3)="IKS",VLOOKUP($M63,DB_Loonkosten,2,0)="Ja"),AND(RIGHT($F63,3)&lt;&gt;"IKS",VLOOKUP($M63,DB_Loonkosten,2,0)="Nee")),IFERROR(VLOOKUP($M63,DB_Loonkosten,24,0),""),0),"Vast tarief",IF(LEFT(F63,8)="Bijdrage",VLOOKUP($F63,Tb_KostenTypen[],MATCH(Lijsten!$P$1,Tb_KostenTypen[#Headers],0),0),VLOOKUP($G63,Lijsten!L:P,MATCH(Lijsten!$P$1,Kop_Tarief_Vast,0),0))),""),"")</f>
        <v/>
      </c>
      <c r="P63" s="320" t="str" cm="1">
        <f t="array" ref="P63">_xlfn.IFNA(IF(INDEX(Tb_KostenOptiesDB[],MATCH($F63,Tb_KostenOptiesDB[KostenOptie],0),IFERROR(MATCH(Methode_Keuze,Tb_KostenOptiesDB[#Headers],0),2))=1,_xlfn.SWITCH($N63,"Uurtarief",IF(OR(AND(RIGHT($F63,3)="IKS",VLOOKUP($M63,DB_Loonkosten,2,0)="Ja"),AND(RIGHT($F63,3)&lt;&gt;"IKS",VLOOKUP($M63,DB_Loonkosten,2,0)="Nee")),IFERROR(VLOOKUP($M63,DB_Loonkosten,25,0),""),0),"Vast tarief",IF(LEFT(F63,8)="Bijdrage",VLOOKUP($F63,Tb_KostenTypen[],MATCH(Lijsten!$P$1,Tb_KostenTypen[#Headers],0),0),VLOOKUP($G63,Lijsten!L:P,MATCH(Lijsten!$P$1,Kop_Tarief_Vast,0),0))),""),"")</f>
        <v/>
      </c>
      <c r="Q63" s="359"/>
      <c r="R63" s="359"/>
      <c r="S63" s="321"/>
      <c r="T63" s="321"/>
      <c r="U63" s="373" t="str">
        <f t="shared" si="0"/>
        <v/>
      </c>
      <c r="V63" s="314" t="str">
        <f t="shared" si="1"/>
        <v/>
      </c>
      <c r="W63" s="314" t="str" cm="1">
        <f t="array" aca="1" ref="W63" ca="1">IFERROR(IF(AE63&lt;&gt;"ja",_xlfn.IFNA(_xlfn.IFS(AND(O63&lt;&gt;"",F63&lt;&gt;"",RIGHT($N63,6)="tarief",F63="Vergoeding"),SUM(O63)*FLOOR(SUM(Q63),0.0001),AND(O63&lt;&gt;"",F63&lt;&gt;"",RIGHT($N63,6)="tarief"),SUM(O63)*FLOOR(SUM(Q63),0.01),S63&gt;0,IF(F63&lt;&gt;"",FLOOR(SUM(S63),0.01),"")),""),""),"")</f>
        <v/>
      </c>
      <c r="X63" s="314" t="str" cm="1">
        <f t="array" aca="1" ref="X63" ca="1">IFERROR(IF(AE63&lt;&gt;"ja",_xlfn.IFNA(_xlfn.IFS(AND(P63&lt;&gt;"",R63&lt;&gt;"",RIGHT($N63,6)="tarief",F63="Vergoeding"),SUM(P63)*FLOOR(SUM(R63),0.0001),AND(P63&lt;&gt;"",R63&lt;&gt;"",RIGHT($N63,6)="tarief"),P63*FLOOR(R63,0.01),T63&gt;0,FLOOR(SUM(T63),0.01)),""),""),"")</f>
        <v/>
      </c>
      <c r="Y63" s="314" t="str">
        <f t="shared" ca="1" si="2"/>
        <v/>
      </c>
      <c r="Z63" s="314" t="str" cm="1">
        <f t="array" aca="1" ref="Z63" ca="1">IFERROR(_xlfn.IFS(OR(F63="",LEFT(Methode_Keuze,4)="Geen",Methode_Keuze=""),"",AND(W63&lt;&gt;"",F63&lt;&gt;"Arbeidskosten"),W63*VLOOKUP(F63,Tb_ProjectKosten[],MATCH(Tb_ProjectKosten[[#Headers],[Forfait_Percentage]],Tb_ProjectKosten[#Headers],0),0),AND(F63="Arbeidskosten",G63&lt;&gt;""),IFERROR(W63*VLOOKUP(G63,Tb_KostenTypen[],3,0)*VLOOKUP(F63,Tb_ProjectKosten[],MATCH(Tb_ProjectKosten[[#Headers],[Forfait_Percentage]],Tb_ProjectKosten[#Headers],0),0),""),W63 &lt;=0,0),"")</f>
        <v/>
      </c>
      <c r="AA63" s="314" t="str" cm="1">
        <f t="array" aca="1" ref="AA63" ca="1">IFERROR(_xlfn.IFS(OR(F63="",LEFT(Methode_Keuze,4)="Geen",Methode_Keuze=""),"",AND(X63&lt;&gt;"",F63&lt;&gt;"Arbeidskosten"),X63*VLOOKUP(F63,Tb_ProjectKosten[],MATCH(Tb_ProjectKosten[[#Headers],[Forfait_Percentage]],Tb_ProjectKosten[#Headers],0),0),AND(F63="Arbeidskosten",G63&lt;&gt;""),IFERROR(X63*VLOOKUP(G63,Tb_KostenTypen[],3,0)*VLOOKUP(F63,Tb_ProjectKosten[],MATCH(Tb_ProjectKosten[[#Headers],[Forfait_Percentage]],Tb_ProjectKosten[#Headers],0),0),""),X63 &lt;=0,0),"")</f>
        <v/>
      </c>
      <c r="AB63" s="314" t="str">
        <f t="shared" ca="1" si="3"/>
        <v/>
      </c>
      <c r="AC63" s="322"/>
      <c r="AD63" s="315"/>
      <c r="AE63" s="32" t="str" cm="1">
        <f t="array" ref="AE63">IFERROR(IF(INDEX(SubsidieTabel!$AD$1:$AG$12,MATCH($F63,SubsidieTabel!$AD$1:$AD$12,0),IFERROR(MATCH(Methode_Keuze,SubsidieTabel!$AD$1:$AG$1,0),2))&lt;&gt;1=TRUE,"ja",""),"")</f>
        <v/>
      </c>
    </row>
    <row r="64" spans="1:31" x14ac:dyDescent="0.25">
      <c r="A64" s="316"/>
      <c r="B64" s="317" t="str">
        <f>IF(A64&lt;&gt;"",_xlfn.MAXIFS($B$1:B63,$A$1:A63,A64)+1,"")</f>
        <v/>
      </c>
      <c r="C64" s="296"/>
      <c r="D64" s="296"/>
      <c r="E64" s="296"/>
      <c r="F64" s="296"/>
      <c r="G64" s="326"/>
      <c r="H64" s="324"/>
      <c r="I64" s="325"/>
      <c r="J64" s="325"/>
      <c r="K64" s="318"/>
      <c r="L64" s="318"/>
      <c r="M64" s="319" t="str">
        <f>IFERROR(VLOOKUP(H64,Lijsten!$H$1:$I$100,2,0),"")</f>
        <v/>
      </c>
      <c r="N64" s="319" t="str">
        <f ca="1">IFERROR(IF(VLOOKUP(F64,Kostentypen!$A$3:$E$21,3,0)=0,"",IF(OR(F64="Arbeidskosten",F64="Vergoeding"),VLOOKUP(G64,Tb_KostenTypen[],2,0),VLOOKUP(F64,Kostentypen!$A$3:$E$20,3,0))),"")</f>
        <v/>
      </c>
      <c r="O64" s="320" t="str" cm="1">
        <f t="array" ref="O64">_xlfn.IFNA(IF(INDEX(Tb_KostenOptiesDB[],MATCH($F64,Tb_KostenOptiesDB[KostenOptie],0),IFERROR(MATCH(Methode_Keuze,Tb_KostenOptiesDB[#Headers],0),2))=1,_xlfn.SWITCH($N64,"Uurtarief",IF(OR(AND(RIGHT($F64,3)="IKS",VLOOKUP($M64,DB_Loonkosten,2,0)="Ja"),AND(RIGHT($F64,3)&lt;&gt;"IKS",VLOOKUP($M64,DB_Loonkosten,2,0)="Nee")),IFERROR(VLOOKUP($M64,DB_Loonkosten,24,0),""),0),"Vast tarief",IF(LEFT(F64,8)="Bijdrage",VLOOKUP($F64,Tb_KostenTypen[],MATCH(Lijsten!$P$1,Tb_KostenTypen[#Headers],0),0),VLOOKUP($G64,Lijsten!L:P,MATCH(Lijsten!$P$1,Kop_Tarief_Vast,0),0))),""),"")</f>
        <v/>
      </c>
      <c r="P64" s="320" t="str" cm="1">
        <f t="array" ref="P64">_xlfn.IFNA(IF(INDEX(Tb_KostenOptiesDB[],MATCH($F64,Tb_KostenOptiesDB[KostenOptie],0),IFERROR(MATCH(Methode_Keuze,Tb_KostenOptiesDB[#Headers],0),2))=1,_xlfn.SWITCH($N64,"Uurtarief",IF(OR(AND(RIGHT($F64,3)="IKS",VLOOKUP($M64,DB_Loonkosten,2,0)="Ja"),AND(RIGHT($F64,3)&lt;&gt;"IKS",VLOOKUP($M64,DB_Loonkosten,2,0)="Nee")),IFERROR(VLOOKUP($M64,DB_Loonkosten,25,0),""),0),"Vast tarief",IF(LEFT(F64,8)="Bijdrage",VLOOKUP($F64,Tb_KostenTypen[],MATCH(Lijsten!$P$1,Tb_KostenTypen[#Headers],0),0),VLOOKUP($G64,Lijsten!L:P,MATCH(Lijsten!$P$1,Kop_Tarief_Vast,0),0))),""),"")</f>
        <v/>
      </c>
      <c r="Q64" s="359"/>
      <c r="R64" s="359"/>
      <c r="S64" s="321"/>
      <c r="T64" s="321"/>
      <c r="U64" s="373" t="str">
        <f t="shared" si="0"/>
        <v/>
      </c>
      <c r="V64" s="314" t="str">
        <f t="shared" si="1"/>
        <v/>
      </c>
      <c r="W64" s="314" t="str" cm="1">
        <f t="array" aca="1" ref="W64" ca="1">IFERROR(IF(AE64&lt;&gt;"ja",_xlfn.IFNA(_xlfn.IFS(AND(O64&lt;&gt;"",F64&lt;&gt;"",RIGHT($N64,6)="tarief",F64="Vergoeding"),SUM(O64)*FLOOR(SUM(Q64),0.0001),AND(O64&lt;&gt;"",F64&lt;&gt;"",RIGHT($N64,6)="tarief"),SUM(O64)*FLOOR(SUM(Q64),0.01),S64&gt;0,IF(F64&lt;&gt;"",FLOOR(SUM(S64),0.01),"")),""),""),"")</f>
        <v/>
      </c>
      <c r="X64" s="314" t="str" cm="1">
        <f t="array" aca="1" ref="X64" ca="1">IFERROR(IF(AE64&lt;&gt;"ja",_xlfn.IFNA(_xlfn.IFS(AND(P64&lt;&gt;"",R64&lt;&gt;"",RIGHT($N64,6)="tarief",F64="Vergoeding"),SUM(P64)*FLOOR(SUM(R64),0.0001),AND(P64&lt;&gt;"",R64&lt;&gt;"",RIGHT($N64,6)="tarief"),P64*FLOOR(R64,0.01),T64&gt;0,FLOOR(SUM(T64),0.01)),""),""),"")</f>
        <v/>
      </c>
      <c r="Y64" s="314" t="str">
        <f t="shared" ca="1" si="2"/>
        <v/>
      </c>
      <c r="Z64" s="314" t="str" cm="1">
        <f t="array" aca="1" ref="Z64" ca="1">IFERROR(_xlfn.IFS(OR(F64="",LEFT(Methode_Keuze,4)="Geen",Methode_Keuze=""),"",AND(W64&lt;&gt;"",F64&lt;&gt;"Arbeidskosten"),W64*VLOOKUP(F64,Tb_ProjectKosten[],MATCH(Tb_ProjectKosten[[#Headers],[Forfait_Percentage]],Tb_ProjectKosten[#Headers],0),0),AND(F64="Arbeidskosten",G64&lt;&gt;""),IFERROR(W64*VLOOKUP(G64,Tb_KostenTypen[],3,0)*VLOOKUP(F64,Tb_ProjectKosten[],MATCH(Tb_ProjectKosten[[#Headers],[Forfait_Percentage]],Tb_ProjectKosten[#Headers],0),0),""),W64 &lt;=0,0),"")</f>
        <v/>
      </c>
      <c r="AA64" s="314" t="str" cm="1">
        <f t="array" aca="1" ref="AA64" ca="1">IFERROR(_xlfn.IFS(OR(F64="",LEFT(Methode_Keuze,4)="Geen",Methode_Keuze=""),"",AND(X64&lt;&gt;"",F64&lt;&gt;"Arbeidskosten"),X64*VLOOKUP(F64,Tb_ProjectKosten[],MATCH(Tb_ProjectKosten[[#Headers],[Forfait_Percentage]],Tb_ProjectKosten[#Headers],0),0),AND(F64="Arbeidskosten",G64&lt;&gt;""),IFERROR(X64*VLOOKUP(G64,Tb_KostenTypen[],3,0)*VLOOKUP(F64,Tb_ProjectKosten[],MATCH(Tb_ProjectKosten[[#Headers],[Forfait_Percentage]],Tb_ProjectKosten[#Headers],0),0),""),X64 &lt;=0,0),"")</f>
        <v/>
      </c>
      <c r="AB64" s="314" t="str">
        <f t="shared" ca="1" si="3"/>
        <v/>
      </c>
      <c r="AC64" s="322"/>
      <c r="AD64" s="315"/>
      <c r="AE64" s="32" t="str" cm="1">
        <f t="array" ref="AE64">IFERROR(IF(INDEX(SubsidieTabel!$AD$1:$AG$12,MATCH($F64,SubsidieTabel!$AD$1:$AD$12,0),IFERROR(MATCH(Methode_Keuze,SubsidieTabel!$AD$1:$AG$1,0),2))&lt;&gt;1=TRUE,"ja",""),"")</f>
        <v/>
      </c>
    </row>
    <row r="65" spans="1:31" x14ac:dyDescent="0.25">
      <c r="A65" s="316"/>
      <c r="B65" s="317" t="str">
        <f>IF(A65&lt;&gt;"",_xlfn.MAXIFS($B$1:B64,$A$1:A64,A65)+1,"")</f>
        <v/>
      </c>
      <c r="C65" s="296"/>
      <c r="D65" s="296"/>
      <c r="E65" s="296"/>
      <c r="F65" s="296"/>
      <c r="G65" s="326"/>
      <c r="H65" s="324"/>
      <c r="I65" s="325"/>
      <c r="J65" s="325"/>
      <c r="K65" s="318"/>
      <c r="L65" s="318"/>
      <c r="M65" s="319" t="str">
        <f>IFERROR(VLOOKUP(H65,Lijsten!$H$1:$I$100,2,0),"")</f>
        <v/>
      </c>
      <c r="N65" s="319" t="str">
        <f ca="1">IFERROR(IF(VLOOKUP(F65,Kostentypen!$A$3:$E$21,3,0)=0,"",IF(OR(F65="Arbeidskosten",F65="Vergoeding"),VLOOKUP(G65,Tb_KostenTypen[],2,0),VLOOKUP(F65,Kostentypen!$A$3:$E$20,3,0))),"")</f>
        <v/>
      </c>
      <c r="O65" s="320" t="str" cm="1">
        <f t="array" ref="O65">_xlfn.IFNA(IF(INDEX(Tb_KostenOptiesDB[],MATCH($F65,Tb_KostenOptiesDB[KostenOptie],0),IFERROR(MATCH(Methode_Keuze,Tb_KostenOptiesDB[#Headers],0),2))=1,_xlfn.SWITCH($N65,"Uurtarief",IF(OR(AND(RIGHT($F65,3)="IKS",VLOOKUP($M65,DB_Loonkosten,2,0)="Ja"),AND(RIGHT($F65,3)&lt;&gt;"IKS",VLOOKUP($M65,DB_Loonkosten,2,0)="Nee")),IFERROR(VLOOKUP($M65,DB_Loonkosten,24,0),""),0),"Vast tarief",IF(LEFT(F65,8)="Bijdrage",VLOOKUP($F65,Tb_KostenTypen[],MATCH(Lijsten!$P$1,Tb_KostenTypen[#Headers],0),0),VLOOKUP($G65,Lijsten!L:P,MATCH(Lijsten!$P$1,Kop_Tarief_Vast,0),0))),""),"")</f>
        <v/>
      </c>
      <c r="P65" s="320" t="str" cm="1">
        <f t="array" ref="P65">_xlfn.IFNA(IF(INDEX(Tb_KostenOptiesDB[],MATCH($F65,Tb_KostenOptiesDB[KostenOptie],0),IFERROR(MATCH(Methode_Keuze,Tb_KostenOptiesDB[#Headers],0),2))=1,_xlfn.SWITCH($N65,"Uurtarief",IF(OR(AND(RIGHT($F65,3)="IKS",VLOOKUP($M65,DB_Loonkosten,2,0)="Ja"),AND(RIGHT($F65,3)&lt;&gt;"IKS",VLOOKUP($M65,DB_Loonkosten,2,0)="Nee")),IFERROR(VLOOKUP($M65,DB_Loonkosten,25,0),""),0),"Vast tarief",IF(LEFT(F65,8)="Bijdrage",VLOOKUP($F65,Tb_KostenTypen[],MATCH(Lijsten!$P$1,Tb_KostenTypen[#Headers],0),0),VLOOKUP($G65,Lijsten!L:P,MATCH(Lijsten!$P$1,Kop_Tarief_Vast,0),0))),""),"")</f>
        <v/>
      </c>
      <c r="Q65" s="359"/>
      <c r="R65" s="359"/>
      <c r="S65" s="321"/>
      <c r="T65" s="321"/>
      <c r="U65" s="373" t="str">
        <f t="shared" si="0"/>
        <v/>
      </c>
      <c r="V65" s="314" t="str">
        <f t="shared" si="1"/>
        <v/>
      </c>
      <c r="W65" s="314" t="str" cm="1">
        <f t="array" aca="1" ref="W65" ca="1">IFERROR(IF(AE65&lt;&gt;"ja",_xlfn.IFNA(_xlfn.IFS(AND(O65&lt;&gt;"",F65&lt;&gt;"",RIGHT($N65,6)="tarief",F65="Vergoeding"),SUM(O65)*FLOOR(SUM(Q65),0.0001),AND(O65&lt;&gt;"",F65&lt;&gt;"",RIGHT($N65,6)="tarief"),SUM(O65)*FLOOR(SUM(Q65),0.01),S65&gt;0,IF(F65&lt;&gt;"",FLOOR(SUM(S65),0.01),"")),""),""),"")</f>
        <v/>
      </c>
      <c r="X65" s="314" t="str" cm="1">
        <f t="array" aca="1" ref="X65" ca="1">IFERROR(IF(AE65&lt;&gt;"ja",_xlfn.IFNA(_xlfn.IFS(AND(P65&lt;&gt;"",R65&lt;&gt;"",RIGHT($N65,6)="tarief",F65="Vergoeding"),SUM(P65)*FLOOR(SUM(R65),0.0001),AND(P65&lt;&gt;"",R65&lt;&gt;"",RIGHT($N65,6)="tarief"),P65*FLOOR(R65,0.01),T65&gt;0,FLOOR(SUM(T65),0.01)),""),""),"")</f>
        <v/>
      </c>
      <c r="Y65" s="314" t="str">
        <f t="shared" ca="1" si="2"/>
        <v/>
      </c>
      <c r="Z65" s="314" t="str" cm="1">
        <f t="array" aca="1" ref="Z65" ca="1">IFERROR(_xlfn.IFS(OR(F65="",LEFT(Methode_Keuze,4)="Geen",Methode_Keuze=""),"",AND(W65&lt;&gt;"",F65&lt;&gt;"Arbeidskosten"),W65*VLOOKUP(F65,Tb_ProjectKosten[],MATCH(Tb_ProjectKosten[[#Headers],[Forfait_Percentage]],Tb_ProjectKosten[#Headers],0),0),AND(F65="Arbeidskosten",G65&lt;&gt;""),IFERROR(W65*VLOOKUP(G65,Tb_KostenTypen[],3,0)*VLOOKUP(F65,Tb_ProjectKosten[],MATCH(Tb_ProjectKosten[[#Headers],[Forfait_Percentage]],Tb_ProjectKosten[#Headers],0),0),""),W65 &lt;=0,0),"")</f>
        <v/>
      </c>
      <c r="AA65" s="314" t="str" cm="1">
        <f t="array" aca="1" ref="AA65" ca="1">IFERROR(_xlfn.IFS(OR(F65="",LEFT(Methode_Keuze,4)="Geen",Methode_Keuze=""),"",AND(X65&lt;&gt;"",F65&lt;&gt;"Arbeidskosten"),X65*VLOOKUP(F65,Tb_ProjectKosten[],MATCH(Tb_ProjectKosten[[#Headers],[Forfait_Percentage]],Tb_ProjectKosten[#Headers],0),0),AND(F65="Arbeidskosten",G65&lt;&gt;""),IFERROR(X65*VLOOKUP(G65,Tb_KostenTypen[],3,0)*VLOOKUP(F65,Tb_ProjectKosten[],MATCH(Tb_ProjectKosten[[#Headers],[Forfait_Percentage]],Tb_ProjectKosten[#Headers],0),0),""),X65 &lt;=0,0),"")</f>
        <v/>
      </c>
      <c r="AB65" s="314" t="str">
        <f t="shared" ca="1" si="3"/>
        <v/>
      </c>
      <c r="AC65" s="322"/>
      <c r="AD65" s="315"/>
      <c r="AE65" s="32" t="str" cm="1">
        <f t="array" ref="AE65">IFERROR(IF(INDEX(SubsidieTabel!$AD$1:$AG$12,MATCH($F65,SubsidieTabel!$AD$1:$AD$12,0),IFERROR(MATCH(Methode_Keuze,SubsidieTabel!$AD$1:$AG$1,0),2))&lt;&gt;1=TRUE,"ja",""),"")</f>
        <v/>
      </c>
    </row>
    <row r="66" spans="1:31" x14ac:dyDescent="0.25">
      <c r="A66" s="316"/>
      <c r="B66" s="317" t="str">
        <f>IF(A66&lt;&gt;"",_xlfn.MAXIFS($B$1:B65,$A$1:A65,A66)+1,"")</f>
        <v/>
      </c>
      <c r="C66" s="296"/>
      <c r="D66" s="296"/>
      <c r="E66" s="296"/>
      <c r="F66" s="296"/>
      <c r="G66" s="326"/>
      <c r="H66" s="324"/>
      <c r="I66" s="325"/>
      <c r="J66" s="325"/>
      <c r="K66" s="318"/>
      <c r="L66" s="318"/>
      <c r="M66" s="319" t="str">
        <f>IFERROR(VLOOKUP(H66,Lijsten!$H$1:$I$100,2,0),"")</f>
        <v/>
      </c>
      <c r="N66" s="319" t="str">
        <f ca="1">IFERROR(IF(VLOOKUP(F66,Kostentypen!$A$3:$E$21,3,0)=0,"",IF(OR(F66="Arbeidskosten",F66="Vergoeding"),VLOOKUP(G66,Tb_KostenTypen[],2,0),VLOOKUP(F66,Kostentypen!$A$3:$E$20,3,0))),"")</f>
        <v/>
      </c>
      <c r="O66" s="320" t="str" cm="1">
        <f t="array" ref="O66">_xlfn.IFNA(IF(INDEX(Tb_KostenOptiesDB[],MATCH($F66,Tb_KostenOptiesDB[KostenOptie],0),IFERROR(MATCH(Methode_Keuze,Tb_KostenOptiesDB[#Headers],0),2))=1,_xlfn.SWITCH($N66,"Uurtarief",IF(OR(AND(RIGHT($F66,3)="IKS",VLOOKUP($M66,DB_Loonkosten,2,0)="Ja"),AND(RIGHT($F66,3)&lt;&gt;"IKS",VLOOKUP($M66,DB_Loonkosten,2,0)="Nee")),IFERROR(VLOOKUP($M66,DB_Loonkosten,24,0),""),0),"Vast tarief",IF(LEFT(F66,8)="Bijdrage",VLOOKUP($F66,Tb_KostenTypen[],MATCH(Lijsten!$P$1,Tb_KostenTypen[#Headers],0),0),VLOOKUP($G66,Lijsten!L:P,MATCH(Lijsten!$P$1,Kop_Tarief_Vast,0),0))),""),"")</f>
        <v/>
      </c>
      <c r="P66" s="320" t="str" cm="1">
        <f t="array" ref="P66">_xlfn.IFNA(IF(INDEX(Tb_KostenOptiesDB[],MATCH($F66,Tb_KostenOptiesDB[KostenOptie],0),IFERROR(MATCH(Methode_Keuze,Tb_KostenOptiesDB[#Headers],0),2))=1,_xlfn.SWITCH($N66,"Uurtarief",IF(OR(AND(RIGHT($F66,3)="IKS",VLOOKUP($M66,DB_Loonkosten,2,0)="Ja"),AND(RIGHT($F66,3)&lt;&gt;"IKS",VLOOKUP($M66,DB_Loonkosten,2,0)="Nee")),IFERROR(VLOOKUP($M66,DB_Loonkosten,25,0),""),0),"Vast tarief",IF(LEFT(F66,8)="Bijdrage",VLOOKUP($F66,Tb_KostenTypen[],MATCH(Lijsten!$P$1,Tb_KostenTypen[#Headers],0),0),VLOOKUP($G66,Lijsten!L:P,MATCH(Lijsten!$P$1,Kop_Tarief_Vast,0),0))),""),"")</f>
        <v/>
      </c>
      <c r="Q66" s="359"/>
      <c r="R66" s="359"/>
      <c r="S66" s="321"/>
      <c r="T66" s="321"/>
      <c r="U66" s="373" t="str">
        <f t="shared" si="0"/>
        <v/>
      </c>
      <c r="V66" s="314" t="str">
        <f t="shared" si="1"/>
        <v/>
      </c>
      <c r="W66" s="314" t="str" cm="1">
        <f t="array" aca="1" ref="W66" ca="1">IFERROR(IF(AE66&lt;&gt;"ja",_xlfn.IFNA(_xlfn.IFS(AND(O66&lt;&gt;"",F66&lt;&gt;"",RIGHT($N66,6)="tarief",F66="Vergoeding"),SUM(O66)*FLOOR(SUM(Q66),0.0001),AND(O66&lt;&gt;"",F66&lt;&gt;"",RIGHT($N66,6)="tarief"),SUM(O66)*FLOOR(SUM(Q66),0.01),S66&gt;0,IF(F66&lt;&gt;"",FLOOR(SUM(S66),0.01),"")),""),""),"")</f>
        <v/>
      </c>
      <c r="X66" s="314" t="str" cm="1">
        <f t="array" aca="1" ref="X66" ca="1">IFERROR(IF(AE66&lt;&gt;"ja",_xlfn.IFNA(_xlfn.IFS(AND(P66&lt;&gt;"",R66&lt;&gt;"",RIGHT($N66,6)="tarief",F66="Vergoeding"),SUM(P66)*FLOOR(SUM(R66),0.0001),AND(P66&lt;&gt;"",R66&lt;&gt;"",RIGHT($N66,6)="tarief"),P66*FLOOR(R66,0.01),T66&gt;0,FLOOR(SUM(T66),0.01)),""),""),"")</f>
        <v/>
      </c>
      <c r="Y66" s="314" t="str">
        <f t="shared" ca="1" si="2"/>
        <v/>
      </c>
      <c r="Z66" s="314" t="str" cm="1">
        <f t="array" aca="1" ref="Z66" ca="1">IFERROR(_xlfn.IFS(OR(F66="",LEFT(Methode_Keuze,4)="Geen",Methode_Keuze=""),"",AND(W66&lt;&gt;"",F66&lt;&gt;"Arbeidskosten"),W66*VLOOKUP(F66,Tb_ProjectKosten[],MATCH(Tb_ProjectKosten[[#Headers],[Forfait_Percentage]],Tb_ProjectKosten[#Headers],0),0),AND(F66="Arbeidskosten",G66&lt;&gt;""),IFERROR(W66*VLOOKUP(G66,Tb_KostenTypen[],3,0)*VLOOKUP(F66,Tb_ProjectKosten[],MATCH(Tb_ProjectKosten[[#Headers],[Forfait_Percentage]],Tb_ProjectKosten[#Headers],0),0),""),W66 &lt;=0,0),"")</f>
        <v/>
      </c>
      <c r="AA66" s="314" t="str" cm="1">
        <f t="array" aca="1" ref="AA66" ca="1">IFERROR(_xlfn.IFS(OR(F66="",LEFT(Methode_Keuze,4)="Geen",Methode_Keuze=""),"",AND(X66&lt;&gt;"",F66&lt;&gt;"Arbeidskosten"),X66*VLOOKUP(F66,Tb_ProjectKosten[],MATCH(Tb_ProjectKosten[[#Headers],[Forfait_Percentage]],Tb_ProjectKosten[#Headers],0),0),AND(F66="Arbeidskosten",G66&lt;&gt;""),IFERROR(X66*VLOOKUP(G66,Tb_KostenTypen[],3,0)*VLOOKUP(F66,Tb_ProjectKosten[],MATCH(Tb_ProjectKosten[[#Headers],[Forfait_Percentage]],Tb_ProjectKosten[#Headers],0),0),""),X66 &lt;=0,0),"")</f>
        <v/>
      </c>
      <c r="AB66" s="314" t="str">
        <f t="shared" ca="1" si="3"/>
        <v/>
      </c>
      <c r="AC66" s="322"/>
      <c r="AD66" s="315"/>
      <c r="AE66" s="32" t="str" cm="1">
        <f t="array" ref="AE66">IFERROR(IF(INDEX(SubsidieTabel!$AD$1:$AG$12,MATCH($F66,SubsidieTabel!$AD$1:$AD$12,0),IFERROR(MATCH(Methode_Keuze,SubsidieTabel!$AD$1:$AG$1,0),2))&lt;&gt;1=TRUE,"ja",""),"")</f>
        <v/>
      </c>
    </row>
    <row r="67" spans="1:31" x14ac:dyDescent="0.25">
      <c r="A67" s="316"/>
      <c r="B67" s="317" t="str">
        <f>IF(A67&lt;&gt;"",_xlfn.MAXIFS($B$1:B66,$A$1:A66,A67)+1,"")</f>
        <v/>
      </c>
      <c r="C67" s="296"/>
      <c r="D67" s="296"/>
      <c r="E67" s="296"/>
      <c r="F67" s="296"/>
      <c r="G67" s="326"/>
      <c r="H67" s="324"/>
      <c r="I67" s="325"/>
      <c r="J67" s="325"/>
      <c r="K67" s="318"/>
      <c r="L67" s="318"/>
      <c r="M67" s="319" t="str">
        <f>IFERROR(VLOOKUP(H67,Lijsten!$H$1:$I$100,2,0),"")</f>
        <v/>
      </c>
      <c r="N67" s="319" t="str">
        <f ca="1">IFERROR(IF(VLOOKUP(F67,Kostentypen!$A$3:$E$21,3,0)=0,"",IF(OR(F67="Arbeidskosten",F67="Vergoeding"),VLOOKUP(G67,Tb_KostenTypen[],2,0),VLOOKUP(F67,Kostentypen!$A$3:$E$20,3,0))),"")</f>
        <v/>
      </c>
      <c r="O67" s="320" t="str" cm="1">
        <f t="array" ref="O67">_xlfn.IFNA(IF(INDEX(Tb_KostenOptiesDB[],MATCH($F67,Tb_KostenOptiesDB[KostenOptie],0),IFERROR(MATCH(Methode_Keuze,Tb_KostenOptiesDB[#Headers],0),2))=1,_xlfn.SWITCH($N67,"Uurtarief",IF(OR(AND(RIGHT($F67,3)="IKS",VLOOKUP($M67,DB_Loonkosten,2,0)="Ja"),AND(RIGHT($F67,3)&lt;&gt;"IKS",VLOOKUP($M67,DB_Loonkosten,2,0)="Nee")),IFERROR(VLOOKUP($M67,DB_Loonkosten,24,0),""),0),"Vast tarief",IF(LEFT(F67,8)="Bijdrage",VLOOKUP($F67,Tb_KostenTypen[],MATCH(Lijsten!$P$1,Tb_KostenTypen[#Headers],0),0),VLOOKUP($G67,Lijsten!L:P,MATCH(Lijsten!$P$1,Kop_Tarief_Vast,0),0))),""),"")</f>
        <v/>
      </c>
      <c r="P67" s="320" t="str" cm="1">
        <f t="array" ref="P67">_xlfn.IFNA(IF(INDEX(Tb_KostenOptiesDB[],MATCH($F67,Tb_KostenOptiesDB[KostenOptie],0),IFERROR(MATCH(Methode_Keuze,Tb_KostenOptiesDB[#Headers],0),2))=1,_xlfn.SWITCH($N67,"Uurtarief",IF(OR(AND(RIGHT($F67,3)="IKS",VLOOKUP($M67,DB_Loonkosten,2,0)="Ja"),AND(RIGHT($F67,3)&lt;&gt;"IKS",VLOOKUP($M67,DB_Loonkosten,2,0)="Nee")),IFERROR(VLOOKUP($M67,DB_Loonkosten,25,0),""),0),"Vast tarief",IF(LEFT(F67,8)="Bijdrage",VLOOKUP($F67,Tb_KostenTypen[],MATCH(Lijsten!$P$1,Tb_KostenTypen[#Headers],0),0),VLOOKUP($G67,Lijsten!L:P,MATCH(Lijsten!$P$1,Kop_Tarief_Vast,0),0))),""),"")</f>
        <v/>
      </c>
      <c r="Q67" s="359"/>
      <c r="R67" s="359"/>
      <c r="S67" s="321"/>
      <c r="T67" s="321"/>
      <c r="U67" s="373" t="str">
        <f t="shared" ref="U67:U130" si="4">IFERROR(IF(AND(R67&lt;&gt;"",R67&lt;&gt;Q67),-1*(R67-Q67),""),"")</f>
        <v/>
      </c>
      <c r="V67" s="314" t="str">
        <f t="shared" ref="V67:V130" si="5">IFERROR(IF(AND(T67&lt;&gt;"",T67&lt;&gt;S67),-1*(T67-S67),""),"")</f>
        <v/>
      </c>
      <c r="W67" s="314" t="str" cm="1">
        <f t="array" aca="1" ref="W67" ca="1">IFERROR(IF(AE67&lt;&gt;"ja",_xlfn.IFNA(_xlfn.IFS(AND(O67&lt;&gt;"",F67&lt;&gt;"",RIGHT($N67,6)="tarief",F67="Vergoeding"),SUM(O67)*FLOOR(SUM(Q67),0.0001),AND(O67&lt;&gt;"",F67&lt;&gt;"",RIGHT($N67,6)="tarief"),SUM(O67)*FLOOR(SUM(Q67),0.01),S67&gt;0,IF(F67&lt;&gt;"",FLOOR(SUM(S67),0.01),"")),""),""),"")</f>
        <v/>
      </c>
      <c r="X67" s="314" t="str" cm="1">
        <f t="array" aca="1" ref="X67" ca="1">IFERROR(IF(AE67&lt;&gt;"ja",_xlfn.IFNA(_xlfn.IFS(AND(P67&lt;&gt;"",R67&lt;&gt;"",RIGHT($N67,6)="tarief",F67="Vergoeding"),SUM(P67)*FLOOR(SUM(R67),0.0001),AND(P67&lt;&gt;"",R67&lt;&gt;"",RIGHT($N67,6)="tarief"),P67*FLOOR(R67,0.01),T67&gt;0,FLOOR(SUM(T67),0.01)),""),""),"")</f>
        <v/>
      </c>
      <c r="Y67" s="314" t="str">
        <f t="shared" ref="Y67:Y130" ca="1" si="6">IFERROR(IF(AND(X67&lt;&gt;"",X67&lt;&gt;W67),-1*(X67-W67),""),"")</f>
        <v/>
      </c>
      <c r="Z67" s="314" t="str" cm="1">
        <f t="array" aca="1" ref="Z67" ca="1">IFERROR(_xlfn.IFS(OR(F67="",LEFT(Methode_Keuze,4)="Geen",Methode_Keuze=""),"",AND(W67&lt;&gt;"",F67&lt;&gt;"Arbeidskosten"),W67*VLOOKUP(F67,Tb_ProjectKosten[],MATCH(Tb_ProjectKosten[[#Headers],[Forfait_Percentage]],Tb_ProjectKosten[#Headers],0),0),AND(F67="Arbeidskosten",G67&lt;&gt;""),IFERROR(W67*VLOOKUP(G67,Tb_KostenTypen[],3,0)*VLOOKUP(F67,Tb_ProjectKosten[],MATCH(Tb_ProjectKosten[[#Headers],[Forfait_Percentage]],Tb_ProjectKosten[#Headers],0),0),""),W67 &lt;=0,0),"")</f>
        <v/>
      </c>
      <c r="AA67" s="314" t="str" cm="1">
        <f t="array" aca="1" ref="AA67" ca="1">IFERROR(_xlfn.IFS(OR(F67="",LEFT(Methode_Keuze,4)="Geen",Methode_Keuze=""),"",AND(X67&lt;&gt;"",F67&lt;&gt;"Arbeidskosten"),X67*VLOOKUP(F67,Tb_ProjectKosten[],MATCH(Tb_ProjectKosten[[#Headers],[Forfait_Percentage]],Tb_ProjectKosten[#Headers],0),0),AND(F67="Arbeidskosten",G67&lt;&gt;""),IFERROR(X67*VLOOKUP(G67,Tb_KostenTypen[],3,0)*VLOOKUP(F67,Tb_ProjectKosten[],MATCH(Tb_ProjectKosten[[#Headers],[Forfait_Percentage]],Tb_ProjectKosten[#Headers],0),0),""),X67 &lt;=0,0),"")</f>
        <v/>
      </c>
      <c r="AB67" s="314" t="str">
        <f t="shared" ref="AB67:AB130" ca="1" si="7">IFERROR(IF(AND(AA67&lt;&gt;"",AA67&lt;&gt;Z67),-1*(AA67-Z67),""),"")</f>
        <v/>
      </c>
      <c r="AC67" s="322"/>
      <c r="AD67" s="315"/>
      <c r="AE67" s="32" t="str" cm="1">
        <f t="array" ref="AE67">IFERROR(IF(INDEX(SubsidieTabel!$AD$1:$AG$12,MATCH($F67,SubsidieTabel!$AD$1:$AD$12,0),IFERROR(MATCH(Methode_Keuze,SubsidieTabel!$AD$1:$AG$1,0),2))&lt;&gt;1=TRUE,"ja",""),"")</f>
        <v/>
      </c>
    </row>
    <row r="68" spans="1:31" x14ac:dyDescent="0.25">
      <c r="A68" s="316"/>
      <c r="B68" s="317" t="str">
        <f>IF(A68&lt;&gt;"",_xlfn.MAXIFS($B$1:B67,$A$1:A67,A68)+1,"")</f>
        <v/>
      </c>
      <c r="C68" s="296"/>
      <c r="D68" s="296"/>
      <c r="E68" s="296"/>
      <c r="F68" s="296"/>
      <c r="G68" s="326"/>
      <c r="H68" s="324"/>
      <c r="I68" s="325"/>
      <c r="J68" s="325"/>
      <c r="K68" s="318"/>
      <c r="L68" s="318"/>
      <c r="M68" s="319" t="str">
        <f>IFERROR(VLOOKUP(H68,Lijsten!$H$1:$I$100,2,0),"")</f>
        <v/>
      </c>
      <c r="N68" s="319" t="str">
        <f ca="1">IFERROR(IF(VLOOKUP(F68,Kostentypen!$A$3:$E$21,3,0)=0,"",IF(OR(F68="Arbeidskosten",F68="Vergoeding"),VLOOKUP(G68,Tb_KostenTypen[],2,0),VLOOKUP(F68,Kostentypen!$A$3:$E$20,3,0))),"")</f>
        <v/>
      </c>
      <c r="O68" s="320" t="str" cm="1">
        <f t="array" ref="O68">_xlfn.IFNA(IF(INDEX(Tb_KostenOptiesDB[],MATCH($F68,Tb_KostenOptiesDB[KostenOptie],0),IFERROR(MATCH(Methode_Keuze,Tb_KostenOptiesDB[#Headers],0),2))=1,_xlfn.SWITCH($N68,"Uurtarief",IF(OR(AND(RIGHT($F68,3)="IKS",VLOOKUP($M68,DB_Loonkosten,2,0)="Ja"),AND(RIGHT($F68,3)&lt;&gt;"IKS",VLOOKUP($M68,DB_Loonkosten,2,0)="Nee")),IFERROR(VLOOKUP($M68,DB_Loonkosten,24,0),""),0),"Vast tarief",IF(LEFT(F68,8)="Bijdrage",VLOOKUP($F68,Tb_KostenTypen[],MATCH(Lijsten!$P$1,Tb_KostenTypen[#Headers],0),0),VLOOKUP($G68,Lijsten!L:P,MATCH(Lijsten!$P$1,Kop_Tarief_Vast,0),0))),""),"")</f>
        <v/>
      </c>
      <c r="P68" s="320" t="str" cm="1">
        <f t="array" ref="P68">_xlfn.IFNA(IF(INDEX(Tb_KostenOptiesDB[],MATCH($F68,Tb_KostenOptiesDB[KostenOptie],0),IFERROR(MATCH(Methode_Keuze,Tb_KostenOptiesDB[#Headers],0),2))=1,_xlfn.SWITCH($N68,"Uurtarief",IF(OR(AND(RIGHT($F68,3)="IKS",VLOOKUP($M68,DB_Loonkosten,2,0)="Ja"),AND(RIGHT($F68,3)&lt;&gt;"IKS",VLOOKUP($M68,DB_Loonkosten,2,0)="Nee")),IFERROR(VLOOKUP($M68,DB_Loonkosten,25,0),""),0),"Vast tarief",IF(LEFT(F68,8)="Bijdrage",VLOOKUP($F68,Tb_KostenTypen[],MATCH(Lijsten!$P$1,Tb_KostenTypen[#Headers],0),0),VLOOKUP($G68,Lijsten!L:P,MATCH(Lijsten!$P$1,Kop_Tarief_Vast,0),0))),""),"")</f>
        <v/>
      </c>
      <c r="Q68" s="359"/>
      <c r="R68" s="359"/>
      <c r="S68" s="321"/>
      <c r="T68" s="321"/>
      <c r="U68" s="373" t="str">
        <f t="shared" si="4"/>
        <v/>
      </c>
      <c r="V68" s="314" t="str">
        <f t="shared" si="5"/>
        <v/>
      </c>
      <c r="W68" s="314" t="str" cm="1">
        <f t="array" aca="1" ref="W68" ca="1">IFERROR(IF(AE68&lt;&gt;"ja",_xlfn.IFNA(_xlfn.IFS(AND(O68&lt;&gt;"",F68&lt;&gt;"",RIGHT($N68,6)="tarief",F68="Vergoeding"),SUM(O68)*FLOOR(SUM(Q68),0.0001),AND(O68&lt;&gt;"",F68&lt;&gt;"",RIGHT($N68,6)="tarief"),SUM(O68)*FLOOR(SUM(Q68),0.01),S68&gt;0,IF(F68&lt;&gt;"",FLOOR(SUM(S68),0.01),"")),""),""),"")</f>
        <v/>
      </c>
      <c r="X68" s="314" t="str" cm="1">
        <f t="array" aca="1" ref="X68" ca="1">IFERROR(IF(AE68&lt;&gt;"ja",_xlfn.IFNA(_xlfn.IFS(AND(P68&lt;&gt;"",R68&lt;&gt;"",RIGHT($N68,6)="tarief",F68="Vergoeding"),SUM(P68)*FLOOR(SUM(R68),0.0001),AND(P68&lt;&gt;"",R68&lt;&gt;"",RIGHT($N68,6)="tarief"),P68*FLOOR(R68,0.01),T68&gt;0,FLOOR(SUM(T68),0.01)),""),""),"")</f>
        <v/>
      </c>
      <c r="Y68" s="314" t="str">
        <f t="shared" ca="1" si="6"/>
        <v/>
      </c>
      <c r="Z68" s="314" t="str" cm="1">
        <f t="array" aca="1" ref="Z68" ca="1">IFERROR(_xlfn.IFS(OR(F68="",LEFT(Methode_Keuze,4)="Geen",Methode_Keuze=""),"",AND(W68&lt;&gt;"",F68&lt;&gt;"Arbeidskosten"),W68*VLOOKUP(F68,Tb_ProjectKosten[],MATCH(Tb_ProjectKosten[[#Headers],[Forfait_Percentage]],Tb_ProjectKosten[#Headers],0),0),AND(F68="Arbeidskosten",G68&lt;&gt;""),IFERROR(W68*VLOOKUP(G68,Tb_KostenTypen[],3,0)*VLOOKUP(F68,Tb_ProjectKosten[],MATCH(Tb_ProjectKosten[[#Headers],[Forfait_Percentage]],Tb_ProjectKosten[#Headers],0),0),""),W68 &lt;=0,0),"")</f>
        <v/>
      </c>
      <c r="AA68" s="314" t="str" cm="1">
        <f t="array" aca="1" ref="AA68" ca="1">IFERROR(_xlfn.IFS(OR(F68="",LEFT(Methode_Keuze,4)="Geen",Methode_Keuze=""),"",AND(X68&lt;&gt;"",F68&lt;&gt;"Arbeidskosten"),X68*VLOOKUP(F68,Tb_ProjectKosten[],MATCH(Tb_ProjectKosten[[#Headers],[Forfait_Percentage]],Tb_ProjectKosten[#Headers],0),0),AND(F68="Arbeidskosten",G68&lt;&gt;""),IFERROR(X68*VLOOKUP(G68,Tb_KostenTypen[],3,0)*VLOOKUP(F68,Tb_ProjectKosten[],MATCH(Tb_ProjectKosten[[#Headers],[Forfait_Percentage]],Tb_ProjectKosten[#Headers],0),0),""),X68 &lt;=0,0),"")</f>
        <v/>
      </c>
      <c r="AB68" s="314" t="str">
        <f t="shared" ca="1" si="7"/>
        <v/>
      </c>
      <c r="AC68" s="322"/>
      <c r="AD68" s="315"/>
      <c r="AE68" s="32" t="str" cm="1">
        <f t="array" ref="AE68">IFERROR(IF(INDEX(SubsidieTabel!$AD$1:$AG$12,MATCH($F68,SubsidieTabel!$AD$1:$AD$12,0),IFERROR(MATCH(Methode_Keuze,SubsidieTabel!$AD$1:$AG$1,0),2))&lt;&gt;1=TRUE,"ja",""),"")</f>
        <v/>
      </c>
    </row>
    <row r="69" spans="1:31" x14ac:dyDescent="0.25">
      <c r="A69" s="316"/>
      <c r="B69" s="317" t="str">
        <f>IF(A69&lt;&gt;"",_xlfn.MAXIFS($B$1:B68,$A$1:A68,A69)+1,"")</f>
        <v/>
      </c>
      <c r="C69" s="296"/>
      <c r="D69" s="296"/>
      <c r="E69" s="296"/>
      <c r="F69" s="296"/>
      <c r="G69" s="326"/>
      <c r="H69" s="324"/>
      <c r="I69" s="325"/>
      <c r="J69" s="325"/>
      <c r="K69" s="318"/>
      <c r="L69" s="318"/>
      <c r="M69" s="319" t="str">
        <f>IFERROR(VLOOKUP(H69,Lijsten!$H$1:$I$100,2,0),"")</f>
        <v/>
      </c>
      <c r="N69" s="319" t="str">
        <f ca="1">IFERROR(IF(VLOOKUP(F69,Kostentypen!$A$3:$E$21,3,0)=0,"",IF(OR(F69="Arbeidskosten",F69="Vergoeding"),VLOOKUP(G69,Tb_KostenTypen[],2,0),VLOOKUP(F69,Kostentypen!$A$3:$E$20,3,0))),"")</f>
        <v/>
      </c>
      <c r="O69" s="320" t="str" cm="1">
        <f t="array" ref="O69">_xlfn.IFNA(IF(INDEX(Tb_KostenOptiesDB[],MATCH($F69,Tb_KostenOptiesDB[KostenOptie],0),IFERROR(MATCH(Methode_Keuze,Tb_KostenOptiesDB[#Headers],0),2))=1,_xlfn.SWITCH($N69,"Uurtarief",IF(OR(AND(RIGHT($F69,3)="IKS",VLOOKUP($M69,DB_Loonkosten,2,0)="Ja"),AND(RIGHT($F69,3)&lt;&gt;"IKS",VLOOKUP($M69,DB_Loonkosten,2,0)="Nee")),IFERROR(VLOOKUP($M69,DB_Loonkosten,24,0),""),0),"Vast tarief",IF(LEFT(F69,8)="Bijdrage",VLOOKUP($F69,Tb_KostenTypen[],MATCH(Lijsten!$P$1,Tb_KostenTypen[#Headers],0),0),VLOOKUP($G69,Lijsten!L:P,MATCH(Lijsten!$P$1,Kop_Tarief_Vast,0),0))),""),"")</f>
        <v/>
      </c>
      <c r="P69" s="320" t="str" cm="1">
        <f t="array" ref="P69">_xlfn.IFNA(IF(INDEX(Tb_KostenOptiesDB[],MATCH($F69,Tb_KostenOptiesDB[KostenOptie],0),IFERROR(MATCH(Methode_Keuze,Tb_KostenOptiesDB[#Headers],0),2))=1,_xlfn.SWITCH($N69,"Uurtarief",IF(OR(AND(RIGHT($F69,3)="IKS",VLOOKUP($M69,DB_Loonkosten,2,0)="Ja"),AND(RIGHT($F69,3)&lt;&gt;"IKS",VLOOKUP($M69,DB_Loonkosten,2,0)="Nee")),IFERROR(VLOOKUP($M69,DB_Loonkosten,25,0),""),0),"Vast tarief",IF(LEFT(F69,8)="Bijdrage",VLOOKUP($F69,Tb_KostenTypen[],MATCH(Lijsten!$P$1,Tb_KostenTypen[#Headers],0),0),VLOOKUP($G69,Lijsten!L:P,MATCH(Lijsten!$P$1,Kop_Tarief_Vast,0),0))),""),"")</f>
        <v/>
      </c>
      <c r="Q69" s="359"/>
      <c r="R69" s="359"/>
      <c r="S69" s="321"/>
      <c r="T69" s="321"/>
      <c r="U69" s="373" t="str">
        <f t="shared" si="4"/>
        <v/>
      </c>
      <c r="V69" s="314" t="str">
        <f t="shared" si="5"/>
        <v/>
      </c>
      <c r="W69" s="314" t="str" cm="1">
        <f t="array" aca="1" ref="W69" ca="1">IFERROR(IF(AE69&lt;&gt;"ja",_xlfn.IFNA(_xlfn.IFS(AND(O69&lt;&gt;"",F69&lt;&gt;"",RIGHT($N69,6)="tarief",F69="Vergoeding"),SUM(O69)*FLOOR(SUM(Q69),0.0001),AND(O69&lt;&gt;"",F69&lt;&gt;"",RIGHT($N69,6)="tarief"),SUM(O69)*FLOOR(SUM(Q69),0.01),S69&gt;0,IF(F69&lt;&gt;"",FLOOR(SUM(S69),0.01),"")),""),""),"")</f>
        <v/>
      </c>
      <c r="X69" s="314" t="str" cm="1">
        <f t="array" aca="1" ref="X69" ca="1">IFERROR(IF(AE69&lt;&gt;"ja",_xlfn.IFNA(_xlfn.IFS(AND(P69&lt;&gt;"",R69&lt;&gt;"",RIGHT($N69,6)="tarief",F69="Vergoeding"),SUM(P69)*FLOOR(SUM(R69),0.0001),AND(P69&lt;&gt;"",R69&lt;&gt;"",RIGHT($N69,6)="tarief"),P69*FLOOR(R69,0.01),T69&gt;0,FLOOR(SUM(T69),0.01)),""),""),"")</f>
        <v/>
      </c>
      <c r="Y69" s="314" t="str">
        <f t="shared" ca="1" si="6"/>
        <v/>
      </c>
      <c r="Z69" s="314" t="str" cm="1">
        <f t="array" aca="1" ref="Z69" ca="1">IFERROR(_xlfn.IFS(OR(F69="",LEFT(Methode_Keuze,4)="Geen",Methode_Keuze=""),"",AND(W69&lt;&gt;"",F69&lt;&gt;"Arbeidskosten"),W69*VLOOKUP(F69,Tb_ProjectKosten[],MATCH(Tb_ProjectKosten[[#Headers],[Forfait_Percentage]],Tb_ProjectKosten[#Headers],0),0),AND(F69="Arbeidskosten",G69&lt;&gt;""),IFERROR(W69*VLOOKUP(G69,Tb_KostenTypen[],3,0)*VLOOKUP(F69,Tb_ProjectKosten[],MATCH(Tb_ProjectKosten[[#Headers],[Forfait_Percentage]],Tb_ProjectKosten[#Headers],0),0),""),W69 &lt;=0,0),"")</f>
        <v/>
      </c>
      <c r="AA69" s="314" t="str" cm="1">
        <f t="array" aca="1" ref="AA69" ca="1">IFERROR(_xlfn.IFS(OR(F69="",LEFT(Methode_Keuze,4)="Geen",Methode_Keuze=""),"",AND(X69&lt;&gt;"",F69&lt;&gt;"Arbeidskosten"),X69*VLOOKUP(F69,Tb_ProjectKosten[],MATCH(Tb_ProjectKosten[[#Headers],[Forfait_Percentage]],Tb_ProjectKosten[#Headers],0),0),AND(F69="Arbeidskosten",G69&lt;&gt;""),IFERROR(X69*VLOOKUP(G69,Tb_KostenTypen[],3,0)*VLOOKUP(F69,Tb_ProjectKosten[],MATCH(Tb_ProjectKosten[[#Headers],[Forfait_Percentage]],Tb_ProjectKosten[#Headers],0),0),""),X69 &lt;=0,0),"")</f>
        <v/>
      </c>
      <c r="AB69" s="314" t="str">
        <f t="shared" ca="1" si="7"/>
        <v/>
      </c>
      <c r="AC69" s="322"/>
      <c r="AD69" s="315"/>
      <c r="AE69" s="32" t="str" cm="1">
        <f t="array" ref="AE69">IFERROR(IF(INDEX(SubsidieTabel!$AD$1:$AG$12,MATCH($F69,SubsidieTabel!$AD$1:$AD$12,0),IFERROR(MATCH(Methode_Keuze,SubsidieTabel!$AD$1:$AG$1,0),2))&lt;&gt;1=TRUE,"ja",""),"")</f>
        <v/>
      </c>
    </row>
    <row r="70" spans="1:31" x14ac:dyDescent="0.25">
      <c r="A70" s="316"/>
      <c r="B70" s="317" t="str">
        <f>IF(A70&lt;&gt;"",_xlfn.MAXIFS($B$1:B69,$A$1:A69,A70)+1,"")</f>
        <v/>
      </c>
      <c r="C70" s="296"/>
      <c r="D70" s="296"/>
      <c r="E70" s="296"/>
      <c r="F70" s="296"/>
      <c r="G70" s="326"/>
      <c r="H70" s="324"/>
      <c r="I70" s="325"/>
      <c r="J70" s="325"/>
      <c r="K70" s="318"/>
      <c r="L70" s="318"/>
      <c r="M70" s="319" t="str">
        <f>IFERROR(VLOOKUP(H70,Lijsten!$H$1:$I$100,2,0),"")</f>
        <v/>
      </c>
      <c r="N70" s="319" t="str">
        <f ca="1">IFERROR(IF(VLOOKUP(F70,Kostentypen!$A$3:$E$21,3,0)=0,"",IF(OR(F70="Arbeidskosten",F70="Vergoeding"),VLOOKUP(G70,Tb_KostenTypen[],2,0),VLOOKUP(F70,Kostentypen!$A$3:$E$20,3,0))),"")</f>
        <v/>
      </c>
      <c r="O70" s="320" t="str" cm="1">
        <f t="array" ref="O70">_xlfn.IFNA(IF(INDEX(Tb_KostenOptiesDB[],MATCH($F70,Tb_KostenOptiesDB[KostenOptie],0),IFERROR(MATCH(Methode_Keuze,Tb_KostenOptiesDB[#Headers],0),2))=1,_xlfn.SWITCH($N70,"Uurtarief",IF(OR(AND(RIGHT($F70,3)="IKS",VLOOKUP($M70,DB_Loonkosten,2,0)="Ja"),AND(RIGHT($F70,3)&lt;&gt;"IKS",VLOOKUP($M70,DB_Loonkosten,2,0)="Nee")),IFERROR(VLOOKUP($M70,DB_Loonkosten,24,0),""),0),"Vast tarief",IF(LEFT(F70,8)="Bijdrage",VLOOKUP($F70,Tb_KostenTypen[],MATCH(Lijsten!$P$1,Tb_KostenTypen[#Headers],0),0),VLOOKUP($G70,Lijsten!L:P,MATCH(Lijsten!$P$1,Kop_Tarief_Vast,0),0))),""),"")</f>
        <v/>
      </c>
      <c r="P70" s="320" t="str" cm="1">
        <f t="array" ref="P70">_xlfn.IFNA(IF(INDEX(Tb_KostenOptiesDB[],MATCH($F70,Tb_KostenOptiesDB[KostenOptie],0),IFERROR(MATCH(Methode_Keuze,Tb_KostenOptiesDB[#Headers],0),2))=1,_xlfn.SWITCH($N70,"Uurtarief",IF(OR(AND(RIGHT($F70,3)="IKS",VLOOKUP($M70,DB_Loonkosten,2,0)="Ja"),AND(RIGHT($F70,3)&lt;&gt;"IKS",VLOOKUP($M70,DB_Loonkosten,2,0)="Nee")),IFERROR(VLOOKUP($M70,DB_Loonkosten,25,0),""),0),"Vast tarief",IF(LEFT(F70,8)="Bijdrage",VLOOKUP($F70,Tb_KostenTypen[],MATCH(Lijsten!$P$1,Tb_KostenTypen[#Headers],0),0),VLOOKUP($G70,Lijsten!L:P,MATCH(Lijsten!$P$1,Kop_Tarief_Vast,0),0))),""),"")</f>
        <v/>
      </c>
      <c r="Q70" s="359"/>
      <c r="R70" s="359"/>
      <c r="S70" s="321"/>
      <c r="T70" s="321"/>
      <c r="U70" s="373" t="str">
        <f t="shared" si="4"/>
        <v/>
      </c>
      <c r="V70" s="314" t="str">
        <f t="shared" si="5"/>
        <v/>
      </c>
      <c r="W70" s="314" t="str" cm="1">
        <f t="array" aca="1" ref="W70" ca="1">IFERROR(IF(AE70&lt;&gt;"ja",_xlfn.IFNA(_xlfn.IFS(AND(O70&lt;&gt;"",F70&lt;&gt;"",RIGHT($N70,6)="tarief",F70="Vergoeding"),SUM(O70)*FLOOR(SUM(Q70),0.0001),AND(O70&lt;&gt;"",F70&lt;&gt;"",RIGHT($N70,6)="tarief"),SUM(O70)*FLOOR(SUM(Q70),0.01),S70&gt;0,IF(F70&lt;&gt;"",FLOOR(SUM(S70),0.01),"")),""),""),"")</f>
        <v/>
      </c>
      <c r="X70" s="314" t="str" cm="1">
        <f t="array" aca="1" ref="X70" ca="1">IFERROR(IF(AE70&lt;&gt;"ja",_xlfn.IFNA(_xlfn.IFS(AND(P70&lt;&gt;"",R70&lt;&gt;"",RIGHT($N70,6)="tarief",F70="Vergoeding"),SUM(P70)*FLOOR(SUM(R70),0.0001),AND(P70&lt;&gt;"",R70&lt;&gt;"",RIGHT($N70,6)="tarief"),P70*FLOOR(R70,0.01),T70&gt;0,FLOOR(SUM(T70),0.01)),""),""),"")</f>
        <v/>
      </c>
      <c r="Y70" s="314" t="str">
        <f t="shared" ca="1" si="6"/>
        <v/>
      </c>
      <c r="Z70" s="314" t="str" cm="1">
        <f t="array" aca="1" ref="Z70" ca="1">IFERROR(_xlfn.IFS(OR(F70="",LEFT(Methode_Keuze,4)="Geen",Methode_Keuze=""),"",AND(W70&lt;&gt;"",F70&lt;&gt;"Arbeidskosten"),W70*VLOOKUP(F70,Tb_ProjectKosten[],MATCH(Tb_ProjectKosten[[#Headers],[Forfait_Percentage]],Tb_ProjectKosten[#Headers],0),0),AND(F70="Arbeidskosten",G70&lt;&gt;""),IFERROR(W70*VLOOKUP(G70,Tb_KostenTypen[],3,0)*VLOOKUP(F70,Tb_ProjectKosten[],MATCH(Tb_ProjectKosten[[#Headers],[Forfait_Percentage]],Tb_ProjectKosten[#Headers],0),0),""),W70 &lt;=0,0),"")</f>
        <v/>
      </c>
      <c r="AA70" s="314" t="str" cm="1">
        <f t="array" aca="1" ref="AA70" ca="1">IFERROR(_xlfn.IFS(OR(F70="",LEFT(Methode_Keuze,4)="Geen",Methode_Keuze=""),"",AND(X70&lt;&gt;"",F70&lt;&gt;"Arbeidskosten"),X70*VLOOKUP(F70,Tb_ProjectKosten[],MATCH(Tb_ProjectKosten[[#Headers],[Forfait_Percentage]],Tb_ProjectKosten[#Headers],0),0),AND(F70="Arbeidskosten",G70&lt;&gt;""),IFERROR(X70*VLOOKUP(G70,Tb_KostenTypen[],3,0)*VLOOKUP(F70,Tb_ProjectKosten[],MATCH(Tb_ProjectKosten[[#Headers],[Forfait_Percentage]],Tb_ProjectKosten[#Headers],0),0),""),X70 &lt;=0,0),"")</f>
        <v/>
      </c>
      <c r="AB70" s="314" t="str">
        <f t="shared" ca="1" si="7"/>
        <v/>
      </c>
      <c r="AC70" s="322"/>
      <c r="AD70" s="315"/>
      <c r="AE70" s="32" t="str" cm="1">
        <f t="array" ref="AE70">IFERROR(IF(INDEX(SubsidieTabel!$AD$1:$AG$12,MATCH($F70,SubsidieTabel!$AD$1:$AD$12,0),IFERROR(MATCH(Methode_Keuze,SubsidieTabel!$AD$1:$AG$1,0),2))&lt;&gt;1=TRUE,"ja",""),"")</f>
        <v/>
      </c>
    </row>
    <row r="71" spans="1:31" x14ac:dyDescent="0.25">
      <c r="A71" s="316"/>
      <c r="B71" s="317" t="str">
        <f>IF(A71&lt;&gt;"",_xlfn.MAXIFS($B$1:B70,$A$1:A70,A71)+1,"")</f>
        <v/>
      </c>
      <c r="C71" s="296"/>
      <c r="D71" s="296"/>
      <c r="E71" s="296"/>
      <c r="F71" s="296"/>
      <c r="G71" s="326"/>
      <c r="H71" s="324"/>
      <c r="I71" s="325"/>
      <c r="J71" s="325"/>
      <c r="K71" s="318"/>
      <c r="L71" s="318"/>
      <c r="M71" s="319" t="str">
        <f>IFERROR(VLOOKUP(H71,Lijsten!$H$1:$I$100,2,0),"")</f>
        <v/>
      </c>
      <c r="N71" s="319" t="str">
        <f ca="1">IFERROR(IF(VLOOKUP(F71,Kostentypen!$A$3:$E$21,3,0)=0,"",IF(OR(F71="Arbeidskosten",F71="Vergoeding"),VLOOKUP(G71,Tb_KostenTypen[],2,0),VLOOKUP(F71,Kostentypen!$A$3:$E$20,3,0))),"")</f>
        <v/>
      </c>
      <c r="O71" s="320" t="str" cm="1">
        <f t="array" ref="O71">_xlfn.IFNA(IF(INDEX(Tb_KostenOptiesDB[],MATCH($F71,Tb_KostenOptiesDB[KostenOptie],0),IFERROR(MATCH(Methode_Keuze,Tb_KostenOptiesDB[#Headers],0),2))=1,_xlfn.SWITCH($N71,"Uurtarief",IF(OR(AND(RIGHT($F71,3)="IKS",VLOOKUP($M71,DB_Loonkosten,2,0)="Ja"),AND(RIGHT($F71,3)&lt;&gt;"IKS",VLOOKUP($M71,DB_Loonkosten,2,0)="Nee")),IFERROR(VLOOKUP($M71,DB_Loonkosten,24,0),""),0),"Vast tarief",IF(LEFT(F71,8)="Bijdrage",VLOOKUP($F71,Tb_KostenTypen[],MATCH(Lijsten!$P$1,Tb_KostenTypen[#Headers],0),0),VLOOKUP($G71,Lijsten!L:P,MATCH(Lijsten!$P$1,Kop_Tarief_Vast,0),0))),""),"")</f>
        <v/>
      </c>
      <c r="P71" s="320" t="str" cm="1">
        <f t="array" ref="P71">_xlfn.IFNA(IF(INDEX(Tb_KostenOptiesDB[],MATCH($F71,Tb_KostenOptiesDB[KostenOptie],0),IFERROR(MATCH(Methode_Keuze,Tb_KostenOptiesDB[#Headers],0),2))=1,_xlfn.SWITCH($N71,"Uurtarief",IF(OR(AND(RIGHT($F71,3)="IKS",VLOOKUP($M71,DB_Loonkosten,2,0)="Ja"),AND(RIGHT($F71,3)&lt;&gt;"IKS",VLOOKUP($M71,DB_Loonkosten,2,0)="Nee")),IFERROR(VLOOKUP($M71,DB_Loonkosten,25,0),""),0),"Vast tarief",IF(LEFT(F71,8)="Bijdrage",VLOOKUP($F71,Tb_KostenTypen[],MATCH(Lijsten!$P$1,Tb_KostenTypen[#Headers],0),0),VLOOKUP($G71,Lijsten!L:P,MATCH(Lijsten!$P$1,Kop_Tarief_Vast,0),0))),""),"")</f>
        <v/>
      </c>
      <c r="Q71" s="359"/>
      <c r="R71" s="359"/>
      <c r="S71" s="321"/>
      <c r="T71" s="321"/>
      <c r="U71" s="373" t="str">
        <f t="shared" si="4"/>
        <v/>
      </c>
      <c r="V71" s="314" t="str">
        <f t="shared" si="5"/>
        <v/>
      </c>
      <c r="W71" s="314" t="str" cm="1">
        <f t="array" aca="1" ref="W71" ca="1">IFERROR(IF(AE71&lt;&gt;"ja",_xlfn.IFNA(_xlfn.IFS(AND(O71&lt;&gt;"",F71&lt;&gt;"",RIGHT($N71,6)="tarief",F71="Vergoeding"),SUM(O71)*FLOOR(SUM(Q71),0.0001),AND(O71&lt;&gt;"",F71&lt;&gt;"",RIGHT($N71,6)="tarief"),SUM(O71)*FLOOR(SUM(Q71),0.01),S71&gt;0,IF(F71&lt;&gt;"",FLOOR(SUM(S71),0.01),"")),""),""),"")</f>
        <v/>
      </c>
      <c r="X71" s="314" t="str" cm="1">
        <f t="array" aca="1" ref="X71" ca="1">IFERROR(IF(AE71&lt;&gt;"ja",_xlfn.IFNA(_xlfn.IFS(AND(P71&lt;&gt;"",R71&lt;&gt;"",RIGHT($N71,6)="tarief",F71="Vergoeding"),SUM(P71)*FLOOR(SUM(R71),0.0001),AND(P71&lt;&gt;"",R71&lt;&gt;"",RIGHT($N71,6)="tarief"),P71*FLOOR(R71,0.01),T71&gt;0,FLOOR(SUM(T71),0.01)),""),""),"")</f>
        <v/>
      </c>
      <c r="Y71" s="314" t="str">
        <f t="shared" ca="1" si="6"/>
        <v/>
      </c>
      <c r="Z71" s="314" t="str" cm="1">
        <f t="array" aca="1" ref="Z71" ca="1">IFERROR(_xlfn.IFS(OR(F71="",LEFT(Methode_Keuze,4)="Geen",Methode_Keuze=""),"",AND(W71&lt;&gt;"",F71&lt;&gt;"Arbeidskosten"),W71*VLOOKUP(F71,Tb_ProjectKosten[],MATCH(Tb_ProjectKosten[[#Headers],[Forfait_Percentage]],Tb_ProjectKosten[#Headers],0),0),AND(F71="Arbeidskosten",G71&lt;&gt;""),IFERROR(W71*VLOOKUP(G71,Tb_KostenTypen[],3,0)*VLOOKUP(F71,Tb_ProjectKosten[],MATCH(Tb_ProjectKosten[[#Headers],[Forfait_Percentage]],Tb_ProjectKosten[#Headers],0),0),""),W71 &lt;=0,0),"")</f>
        <v/>
      </c>
      <c r="AA71" s="314" t="str" cm="1">
        <f t="array" aca="1" ref="AA71" ca="1">IFERROR(_xlfn.IFS(OR(F71="",LEFT(Methode_Keuze,4)="Geen",Methode_Keuze=""),"",AND(X71&lt;&gt;"",F71&lt;&gt;"Arbeidskosten"),X71*VLOOKUP(F71,Tb_ProjectKosten[],MATCH(Tb_ProjectKosten[[#Headers],[Forfait_Percentage]],Tb_ProjectKosten[#Headers],0),0),AND(F71="Arbeidskosten",G71&lt;&gt;""),IFERROR(X71*VLOOKUP(G71,Tb_KostenTypen[],3,0)*VLOOKUP(F71,Tb_ProjectKosten[],MATCH(Tb_ProjectKosten[[#Headers],[Forfait_Percentage]],Tb_ProjectKosten[#Headers],0),0),""),X71 &lt;=0,0),"")</f>
        <v/>
      </c>
      <c r="AB71" s="314" t="str">
        <f t="shared" ca="1" si="7"/>
        <v/>
      </c>
      <c r="AC71" s="322"/>
      <c r="AD71" s="315"/>
      <c r="AE71" s="32" t="str" cm="1">
        <f t="array" ref="AE71">IFERROR(IF(INDEX(SubsidieTabel!$AD$1:$AG$12,MATCH($F71,SubsidieTabel!$AD$1:$AD$12,0),IFERROR(MATCH(Methode_Keuze,SubsidieTabel!$AD$1:$AG$1,0),2))&lt;&gt;1=TRUE,"ja",""),"")</f>
        <v/>
      </c>
    </row>
    <row r="72" spans="1:31" x14ac:dyDescent="0.25">
      <c r="A72" s="316"/>
      <c r="B72" s="317" t="str">
        <f>IF(A72&lt;&gt;"",_xlfn.MAXIFS($B$1:B71,$A$1:A71,A72)+1,"")</f>
        <v/>
      </c>
      <c r="C72" s="296"/>
      <c r="D72" s="296"/>
      <c r="E72" s="296"/>
      <c r="F72" s="296"/>
      <c r="G72" s="326"/>
      <c r="H72" s="324"/>
      <c r="I72" s="325"/>
      <c r="J72" s="325"/>
      <c r="K72" s="318"/>
      <c r="L72" s="318"/>
      <c r="M72" s="319" t="str">
        <f>IFERROR(VLOOKUP(H72,Lijsten!$H$1:$I$100,2,0),"")</f>
        <v/>
      </c>
      <c r="N72" s="319" t="str">
        <f ca="1">IFERROR(IF(VLOOKUP(F72,Kostentypen!$A$3:$E$21,3,0)=0,"",IF(OR(F72="Arbeidskosten",F72="Vergoeding"),VLOOKUP(G72,Tb_KostenTypen[],2,0),VLOOKUP(F72,Kostentypen!$A$3:$E$20,3,0))),"")</f>
        <v/>
      </c>
      <c r="O72" s="320" t="str" cm="1">
        <f t="array" ref="O72">_xlfn.IFNA(IF(INDEX(Tb_KostenOptiesDB[],MATCH($F72,Tb_KostenOptiesDB[KostenOptie],0),IFERROR(MATCH(Methode_Keuze,Tb_KostenOptiesDB[#Headers],0),2))=1,_xlfn.SWITCH($N72,"Uurtarief",IF(OR(AND(RIGHT($F72,3)="IKS",VLOOKUP($M72,DB_Loonkosten,2,0)="Ja"),AND(RIGHT($F72,3)&lt;&gt;"IKS",VLOOKUP($M72,DB_Loonkosten,2,0)="Nee")),IFERROR(VLOOKUP($M72,DB_Loonkosten,24,0),""),0),"Vast tarief",IF(LEFT(F72,8)="Bijdrage",VLOOKUP($F72,Tb_KostenTypen[],MATCH(Lijsten!$P$1,Tb_KostenTypen[#Headers],0),0),VLOOKUP($G72,Lijsten!L:P,MATCH(Lijsten!$P$1,Kop_Tarief_Vast,0),0))),""),"")</f>
        <v/>
      </c>
      <c r="P72" s="320" t="str" cm="1">
        <f t="array" ref="P72">_xlfn.IFNA(IF(INDEX(Tb_KostenOptiesDB[],MATCH($F72,Tb_KostenOptiesDB[KostenOptie],0),IFERROR(MATCH(Methode_Keuze,Tb_KostenOptiesDB[#Headers],0),2))=1,_xlfn.SWITCH($N72,"Uurtarief",IF(OR(AND(RIGHT($F72,3)="IKS",VLOOKUP($M72,DB_Loonkosten,2,0)="Ja"),AND(RIGHT($F72,3)&lt;&gt;"IKS",VLOOKUP($M72,DB_Loonkosten,2,0)="Nee")),IFERROR(VLOOKUP($M72,DB_Loonkosten,25,0),""),0),"Vast tarief",IF(LEFT(F72,8)="Bijdrage",VLOOKUP($F72,Tb_KostenTypen[],MATCH(Lijsten!$P$1,Tb_KostenTypen[#Headers],0),0),VLOOKUP($G72,Lijsten!L:P,MATCH(Lijsten!$P$1,Kop_Tarief_Vast,0),0))),""),"")</f>
        <v/>
      </c>
      <c r="Q72" s="359"/>
      <c r="R72" s="359"/>
      <c r="S72" s="321"/>
      <c r="T72" s="321"/>
      <c r="U72" s="373" t="str">
        <f t="shared" si="4"/>
        <v/>
      </c>
      <c r="V72" s="314" t="str">
        <f t="shared" si="5"/>
        <v/>
      </c>
      <c r="W72" s="314" t="str" cm="1">
        <f t="array" aca="1" ref="W72" ca="1">IFERROR(IF(AE72&lt;&gt;"ja",_xlfn.IFNA(_xlfn.IFS(AND(O72&lt;&gt;"",F72&lt;&gt;"",RIGHT($N72,6)="tarief",F72="Vergoeding"),SUM(O72)*FLOOR(SUM(Q72),0.0001),AND(O72&lt;&gt;"",F72&lt;&gt;"",RIGHT($N72,6)="tarief"),SUM(O72)*FLOOR(SUM(Q72),0.01),S72&gt;0,IF(F72&lt;&gt;"",FLOOR(SUM(S72),0.01),"")),""),""),"")</f>
        <v/>
      </c>
      <c r="X72" s="314" t="str" cm="1">
        <f t="array" aca="1" ref="X72" ca="1">IFERROR(IF(AE72&lt;&gt;"ja",_xlfn.IFNA(_xlfn.IFS(AND(P72&lt;&gt;"",R72&lt;&gt;"",RIGHT($N72,6)="tarief",F72="Vergoeding"),SUM(P72)*FLOOR(SUM(R72),0.0001),AND(P72&lt;&gt;"",R72&lt;&gt;"",RIGHT($N72,6)="tarief"),P72*FLOOR(R72,0.01),T72&gt;0,FLOOR(SUM(T72),0.01)),""),""),"")</f>
        <v/>
      </c>
      <c r="Y72" s="314" t="str">
        <f t="shared" ca="1" si="6"/>
        <v/>
      </c>
      <c r="Z72" s="314" t="str" cm="1">
        <f t="array" aca="1" ref="Z72" ca="1">IFERROR(_xlfn.IFS(OR(F72="",LEFT(Methode_Keuze,4)="Geen",Methode_Keuze=""),"",AND(W72&lt;&gt;"",F72&lt;&gt;"Arbeidskosten"),W72*VLOOKUP(F72,Tb_ProjectKosten[],MATCH(Tb_ProjectKosten[[#Headers],[Forfait_Percentage]],Tb_ProjectKosten[#Headers],0),0),AND(F72="Arbeidskosten",G72&lt;&gt;""),IFERROR(W72*VLOOKUP(G72,Tb_KostenTypen[],3,0)*VLOOKUP(F72,Tb_ProjectKosten[],MATCH(Tb_ProjectKosten[[#Headers],[Forfait_Percentage]],Tb_ProjectKosten[#Headers],0),0),""),W72 &lt;=0,0),"")</f>
        <v/>
      </c>
      <c r="AA72" s="314" t="str" cm="1">
        <f t="array" aca="1" ref="AA72" ca="1">IFERROR(_xlfn.IFS(OR(F72="",LEFT(Methode_Keuze,4)="Geen",Methode_Keuze=""),"",AND(X72&lt;&gt;"",F72&lt;&gt;"Arbeidskosten"),X72*VLOOKUP(F72,Tb_ProjectKosten[],MATCH(Tb_ProjectKosten[[#Headers],[Forfait_Percentage]],Tb_ProjectKosten[#Headers],0),0),AND(F72="Arbeidskosten",G72&lt;&gt;""),IFERROR(X72*VLOOKUP(G72,Tb_KostenTypen[],3,0)*VLOOKUP(F72,Tb_ProjectKosten[],MATCH(Tb_ProjectKosten[[#Headers],[Forfait_Percentage]],Tb_ProjectKosten[#Headers],0),0),""),X72 &lt;=0,0),"")</f>
        <v/>
      </c>
      <c r="AB72" s="314" t="str">
        <f t="shared" ca="1" si="7"/>
        <v/>
      </c>
      <c r="AC72" s="322"/>
      <c r="AD72" s="315"/>
      <c r="AE72" s="32" t="str" cm="1">
        <f t="array" ref="AE72">IFERROR(IF(INDEX(SubsidieTabel!$AD$1:$AG$12,MATCH($F72,SubsidieTabel!$AD$1:$AD$12,0),IFERROR(MATCH(Methode_Keuze,SubsidieTabel!$AD$1:$AG$1,0),2))&lt;&gt;1=TRUE,"ja",""),"")</f>
        <v/>
      </c>
    </row>
    <row r="73" spans="1:31" x14ac:dyDescent="0.25">
      <c r="A73" s="316"/>
      <c r="B73" s="317" t="str">
        <f>IF(A73&lt;&gt;"",_xlfn.MAXIFS($B$1:B72,$A$1:A72,A73)+1,"")</f>
        <v/>
      </c>
      <c r="C73" s="296"/>
      <c r="D73" s="296"/>
      <c r="E73" s="296"/>
      <c r="F73" s="296"/>
      <c r="G73" s="326"/>
      <c r="H73" s="324"/>
      <c r="I73" s="325"/>
      <c r="J73" s="325"/>
      <c r="K73" s="318"/>
      <c r="L73" s="318"/>
      <c r="M73" s="319" t="str">
        <f>IFERROR(VLOOKUP(H73,Lijsten!$H$1:$I$100,2,0),"")</f>
        <v/>
      </c>
      <c r="N73" s="319" t="str">
        <f ca="1">IFERROR(IF(VLOOKUP(F73,Kostentypen!$A$3:$E$21,3,0)=0,"",IF(OR(F73="Arbeidskosten",F73="Vergoeding"),VLOOKUP(G73,Tb_KostenTypen[],2,0),VLOOKUP(F73,Kostentypen!$A$3:$E$20,3,0))),"")</f>
        <v/>
      </c>
      <c r="O73" s="320" t="str" cm="1">
        <f t="array" ref="O73">_xlfn.IFNA(IF(INDEX(Tb_KostenOptiesDB[],MATCH($F73,Tb_KostenOptiesDB[KostenOptie],0),IFERROR(MATCH(Methode_Keuze,Tb_KostenOptiesDB[#Headers],0),2))=1,_xlfn.SWITCH($N73,"Uurtarief",IF(OR(AND(RIGHT($F73,3)="IKS",VLOOKUP($M73,DB_Loonkosten,2,0)="Ja"),AND(RIGHT($F73,3)&lt;&gt;"IKS",VLOOKUP($M73,DB_Loonkosten,2,0)="Nee")),IFERROR(VLOOKUP($M73,DB_Loonkosten,24,0),""),0),"Vast tarief",IF(LEFT(F73,8)="Bijdrage",VLOOKUP($F73,Tb_KostenTypen[],MATCH(Lijsten!$P$1,Tb_KostenTypen[#Headers],0),0),VLOOKUP($G73,Lijsten!L:P,MATCH(Lijsten!$P$1,Kop_Tarief_Vast,0),0))),""),"")</f>
        <v/>
      </c>
      <c r="P73" s="320" t="str" cm="1">
        <f t="array" ref="P73">_xlfn.IFNA(IF(INDEX(Tb_KostenOptiesDB[],MATCH($F73,Tb_KostenOptiesDB[KostenOptie],0),IFERROR(MATCH(Methode_Keuze,Tb_KostenOptiesDB[#Headers],0),2))=1,_xlfn.SWITCH($N73,"Uurtarief",IF(OR(AND(RIGHT($F73,3)="IKS",VLOOKUP($M73,DB_Loonkosten,2,0)="Ja"),AND(RIGHT($F73,3)&lt;&gt;"IKS",VLOOKUP($M73,DB_Loonkosten,2,0)="Nee")),IFERROR(VLOOKUP($M73,DB_Loonkosten,25,0),""),0),"Vast tarief",IF(LEFT(F73,8)="Bijdrage",VLOOKUP($F73,Tb_KostenTypen[],MATCH(Lijsten!$P$1,Tb_KostenTypen[#Headers],0),0),VLOOKUP($G73,Lijsten!L:P,MATCH(Lijsten!$P$1,Kop_Tarief_Vast,0),0))),""),"")</f>
        <v/>
      </c>
      <c r="Q73" s="359"/>
      <c r="R73" s="359"/>
      <c r="S73" s="321"/>
      <c r="T73" s="321"/>
      <c r="U73" s="373" t="str">
        <f t="shared" si="4"/>
        <v/>
      </c>
      <c r="V73" s="314" t="str">
        <f t="shared" si="5"/>
        <v/>
      </c>
      <c r="W73" s="314" t="str" cm="1">
        <f t="array" aca="1" ref="W73" ca="1">IFERROR(IF(AE73&lt;&gt;"ja",_xlfn.IFNA(_xlfn.IFS(AND(O73&lt;&gt;"",F73&lt;&gt;"",RIGHT($N73,6)="tarief",F73="Vergoeding"),SUM(O73)*FLOOR(SUM(Q73),0.0001),AND(O73&lt;&gt;"",F73&lt;&gt;"",RIGHT($N73,6)="tarief"),SUM(O73)*FLOOR(SUM(Q73),0.01),S73&gt;0,IF(F73&lt;&gt;"",FLOOR(SUM(S73),0.01),"")),""),""),"")</f>
        <v/>
      </c>
      <c r="X73" s="314" t="str" cm="1">
        <f t="array" aca="1" ref="X73" ca="1">IFERROR(IF(AE73&lt;&gt;"ja",_xlfn.IFNA(_xlfn.IFS(AND(P73&lt;&gt;"",R73&lt;&gt;"",RIGHT($N73,6)="tarief",F73="Vergoeding"),SUM(P73)*FLOOR(SUM(R73),0.0001),AND(P73&lt;&gt;"",R73&lt;&gt;"",RIGHT($N73,6)="tarief"),P73*FLOOR(R73,0.01),T73&gt;0,FLOOR(SUM(T73),0.01)),""),""),"")</f>
        <v/>
      </c>
      <c r="Y73" s="314" t="str">
        <f t="shared" ca="1" si="6"/>
        <v/>
      </c>
      <c r="Z73" s="314" t="str" cm="1">
        <f t="array" aca="1" ref="Z73" ca="1">IFERROR(_xlfn.IFS(OR(F73="",LEFT(Methode_Keuze,4)="Geen",Methode_Keuze=""),"",AND(W73&lt;&gt;"",F73&lt;&gt;"Arbeidskosten"),W73*VLOOKUP(F73,Tb_ProjectKosten[],MATCH(Tb_ProjectKosten[[#Headers],[Forfait_Percentage]],Tb_ProjectKosten[#Headers],0),0),AND(F73="Arbeidskosten",G73&lt;&gt;""),IFERROR(W73*VLOOKUP(G73,Tb_KostenTypen[],3,0)*VLOOKUP(F73,Tb_ProjectKosten[],MATCH(Tb_ProjectKosten[[#Headers],[Forfait_Percentage]],Tb_ProjectKosten[#Headers],0),0),""),W73 &lt;=0,0),"")</f>
        <v/>
      </c>
      <c r="AA73" s="314" t="str" cm="1">
        <f t="array" aca="1" ref="AA73" ca="1">IFERROR(_xlfn.IFS(OR(F73="",LEFT(Methode_Keuze,4)="Geen",Methode_Keuze=""),"",AND(X73&lt;&gt;"",F73&lt;&gt;"Arbeidskosten"),X73*VLOOKUP(F73,Tb_ProjectKosten[],MATCH(Tb_ProjectKosten[[#Headers],[Forfait_Percentage]],Tb_ProjectKosten[#Headers],0),0),AND(F73="Arbeidskosten",G73&lt;&gt;""),IFERROR(X73*VLOOKUP(G73,Tb_KostenTypen[],3,0)*VLOOKUP(F73,Tb_ProjectKosten[],MATCH(Tb_ProjectKosten[[#Headers],[Forfait_Percentage]],Tb_ProjectKosten[#Headers],0),0),""),X73 &lt;=0,0),"")</f>
        <v/>
      </c>
      <c r="AB73" s="314" t="str">
        <f t="shared" ca="1" si="7"/>
        <v/>
      </c>
      <c r="AC73" s="322"/>
      <c r="AD73" s="315"/>
      <c r="AE73" s="32" t="str" cm="1">
        <f t="array" ref="AE73">IFERROR(IF(INDEX(SubsidieTabel!$AD$1:$AG$12,MATCH($F73,SubsidieTabel!$AD$1:$AD$12,0),IFERROR(MATCH(Methode_Keuze,SubsidieTabel!$AD$1:$AG$1,0),2))&lt;&gt;1=TRUE,"ja",""),"")</f>
        <v/>
      </c>
    </row>
    <row r="74" spans="1:31" x14ac:dyDescent="0.25">
      <c r="A74" s="316"/>
      <c r="B74" s="317" t="str">
        <f>IF(A74&lt;&gt;"",_xlfn.MAXIFS($B$1:B73,$A$1:A73,A74)+1,"")</f>
        <v/>
      </c>
      <c r="C74" s="296"/>
      <c r="D74" s="296"/>
      <c r="E74" s="296"/>
      <c r="F74" s="296"/>
      <c r="G74" s="326"/>
      <c r="H74" s="324"/>
      <c r="I74" s="325"/>
      <c r="J74" s="325"/>
      <c r="K74" s="318"/>
      <c r="L74" s="318"/>
      <c r="M74" s="319" t="str">
        <f>IFERROR(VLOOKUP(H74,Lijsten!$H$1:$I$100,2,0),"")</f>
        <v/>
      </c>
      <c r="N74" s="319" t="str">
        <f ca="1">IFERROR(IF(VLOOKUP(F74,Kostentypen!$A$3:$E$21,3,0)=0,"",IF(OR(F74="Arbeidskosten",F74="Vergoeding"),VLOOKUP(G74,Tb_KostenTypen[],2,0),VLOOKUP(F74,Kostentypen!$A$3:$E$20,3,0))),"")</f>
        <v/>
      </c>
      <c r="O74" s="320" t="str" cm="1">
        <f t="array" ref="O74">_xlfn.IFNA(IF(INDEX(Tb_KostenOptiesDB[],MATCH($F74,Tb_KostenOptiesDB[KostenOptie],0),IFERROR(MATCH(Methode_Keuze,Tb_KostenOptiesDB[#Headers],0),2))=1,_xlfn.SWITCH($N74,"Uurtarief",IF(OR(AND(RIGHT($F74,3)="IKS",VLOOKUP($M74,DB_Loonkosten,2,0)="Ja"),AND(RIGHT($F74,3)&lt;&gt;"IKS",VLOOKUP($M74,DB_Loonkosten,2,0)="Nee")),IFERROR(VLOOKUP($M74,DB_Loonkosten,24,0),""),0),"Vast tarief",IF(LEFT(F74,8)="Bijdrage",VLOOKUP($F74,Tb_KostenTypen[],MATCH(Lijsten!$P$1,Tb_KostenTypen[#Headers],0),0),VLOOKUP($G74,Lijsten!L:P,MATCH(Lijsten!$P$1,Kop_Tarief_Vast,0),0))),""),"")</f>
        <v/>
      </c>
      <c r="P74" s="320" t="str" cm="1">
        <f t="array" ref="P74">_xlfn.IFNA(IF(INDEX(Tb_KostenOptiesDB[],MATCH($F74,Tb_KostenOptiesDB[KostenOptie],0),IFERROR(MATCH(Methode_Keuze,Tb_KostenOptiesDB[#Headers],0),2))=1,_xlfn.SWITCH($N74,"Uurtarief",IF(OR(AND(RIGHT($F74,3)="IKS",VLOOKUP($M74,DB_Loonkosten,2,0)="Ja"),AND(RIGHT($F74,3)&lt;&gt;"IKS",VLOOKUP($M74,DB_Loonkosten,2,0)="Nee")),IFERROR(VLOOKUP($M74,DB_Loonkosten,25,0),""),0),"Vast tarief",IF(LEFT(F74,8)="Bijdrage",VLOOKUP($F74,Tb_KostenTypen[],MATCH(Lijsten!$P$1,Tb_KostenTypen[#Headers],0),0),VLOOKUP($G74,Lijsten!L:P,MATCH(Lijsten!$P$1,Kop_Tarief_Vast,0),0))),""),"")</f>
        <v/>
      </c>
      <c r="Q74" s="359"/>
      <c r="R74" s="359"/>
      <c r="S74" s="321"/>
      <c r="T74" s="321"/>
      <c r="U74" s="373" t="str">
        <f t="shared" si="4"/>
        <v/>
      </c>
      <c r="V74" s="314" t="str">
        <f t="shared" si="5"/>
        <v/>
      </c>
      <c r="W74" s="314" t="str" cm="1">
        <f t="array" aca="1" ref="W74" ca="1">IFERROR(IF(AE74&lt;&gt;"ja",_xlfn.IFNA(_xlfn.IFS(AND(O74&lt;&gt;"",F74&lt;&gt;"",RIGHT($N74,6)="tarief",F74="Vergoeding"),SUM(O74)*FLOOR(SUM(Q74),0.0001),AND(O74&lt;&gt;"",F74&lt;&gt;"",RIGHT($N74,6)="tarief"),SUM(O74)*FLOOR(SUM(Q74),0.01),S74&gt;0,IF(F74&lt;&gt;"",FLOOR(SUM(S74),0.01),"")),""),""),"")</f>
        <v/>
      </c>
      <c r="X74" s="314" t="str" cm="1">
        <f t="array" aca="1" ref="X74" ca="1">IFERROR(IF(AE74&lt;&gt;"ja",_xlfn.IFNA(_xlfn.IFS(AND(P74&lt;&gt;"",R74&lt;&gt;"",RIGHT($N74,6)="tarief",F74="Vergoeding"),SUM(P74)*FLOOR(SUM(R74),0.0001),AND(P74&lt;&gt;"",R74&lt;&gt;"",RIGHT($N74,6)="tarief"),P74*FLOOR(R74,0.01),T74&gt;0,FLOOR(SUM(T74),0.01)),""),""),"")</f>
        <v/>
      </c>
      <c r="Y74" s="314" t="str">
        <f t="shared" ca="1" si="6"/>
        <v/>
      </c>
      <c r="Z74" s="314" t="str" cm="1">
        <f t="array" aca="1" ref="Z74" ca="1">IFERROR(_xlfn.IFS(OR(F74="",LEFT(Methode_Keuze,4)="Geen",Methode_Keuze=""),"",AND(W74&lt;&gt;"",F74&lt;&gt;"Arbeidskosten"),W74*VLOOKUP(F74,Tb_ProjectKosten[],MATCH(Tb_ProjectKosten[[#Headers],[Forfait_Percentage]],Tb_ProjectKosten[#Headers],0),0),AND(F74="Arbeidskosten",G74&lt;&gt;""),IFERROR(W74*VLOOKUP(G74,Tb_KostenTypen[],3,0)*VLOOKUP(F74,Tb_ProjectKosten[],MATCH(Tb_ProjectKosten[[#Headers],[Forfait_Percentage]],Tb_ProjectKosten[#Headers],0),0),""),W74 &lt;=0,0),"")</f>
        <v/>
      </c>
      <c r="AA74" s="314" t="str" cm="1">
        <f t="array" aca="1" ref="AA74" ca="1">IFERROR(_xlfn.IFS(OR(F74="",LEFT(Methode_Keuze,4)="Geen",Methode_Keuze=""),"",AND(X74&lt;&gt;"",F74&lt;&gt;"Arbeidskosten"),X74*VLOOKUP(F74,Tb_ProjectKosten[],MATCH(Tb_ProjectKosten[[#Headers],[Forfait_Percentage]],Tb_ProjectKosten[#Headers],0),0),AND(F74="Arbeidskosten",G74&lt;&gt;""),IFERROR(X74*VLOOKUP(G74,Tb_KostenTypen[],3,0)*VLOOKUP(F74,Tb_ProjectKosten[],MATCH(Tb_ProjectKosten[[#Headers],[Forfait_Percentage]],Tb_ProjectKosten[#Headers],0),0),""),X74 &lt;=0,0),"")</f>
        <v/>
      </c>
      <c r="AB74" s="314" t="str">
        <f t="shared" ca="1" si="7"/>
        <v/>
      </c>
      <c r="AC74" s="322"/>
      <c r="AD74" s="315"/>
      <c r="AE74" s="32" t="str" cm="1">
        <f t="array" ref="AE74">IFERROR(IF(INDEX(SubsidieTabel!$AD$1:$AG$12,MATCH($F74,SubsidieTabel!$AD$1:$AD$12,0),IFERROR(MATCH(Methode_Keuze,SubsidieTabel!$AD$1:$AG$1,0),2))&lt;&gt;1=TRUE,"ja",""),"")</f>
        <v/>
      </c>
    </row>
    <row r="75" spans="1:31" x14ac:dyDescent="0.25">
      <c r="A75" s="316"/>
      <c r="B75" s="317" t="str">
        <f>IF(A75&lt;&gt;"",_xlfn.MAXIFS($B$1:B74,$A$1:A74,A75)+1,"")</f>
        <v/>
      </c>
      <c r="C75" s="296"/>
      <c r="D75" s="296"/>
      <c r="E75" s="296"/>
      <c r="F75" s="296"/>
      <c r="G75" s="326"/>
      <c r="H75" s="324"/>
      <c r="I75" s="325"/>
      <c r="J75" s="325"/>
      <c r="K75" s="318"/>
      <c r="L75" s="318"/>
      <c r="M75" s="319" t="str">
        <f>IFERROR(VLOOKUP(H75,Lijsten!$H$1:$I$100,2,0),"")</f>
        <v/>
      </c>
      <c r="N75" s="319" t="str">
        <f ca="1">IFERROR(IF(VLOOKUP(F75,Kostentypen!$A$3:$E$21,3,0)=0,"",IF(OR(F75="Arbeidskosten",F75="Vergoeding"),VLOOKUP(G75,Tb_KostenTypen[],2,0),VLOOKUP(F75,Kostentypen!$A$3:$E$20,3,0))),"")</f>
        <v/>
      </c>
      <c r="O75" s="320" t="str" cm="1">
        <f t="array" ref="O75">_xlfn.IFNA(IF(INDEX(Tb_KostenOptiesDB[],MATCH($F75,Tb_KostenOptiesDB[KostenOptie],0),IFERROR(MATCH(Methode_Keuze,Tb_KostenOptiesDB[#Headers],0),2))=1,_xlfn.SWITCH($N75,"Uurtarief",IF(OR(AND(RIGHT($F75,3)="IKS",VLOOKUP($M75,DB_Loonkosten,2,0)="Ja"),AND(RIGHT($F75,3)&lt;&gt;"IKS",VLOOKUP($M75,DB_Loonkosten,2,0)="Nee")),IFERROR(VLOOKUP($M75,DB_Loonkosten,24,0),""),0),"Vast tarief",IF(LEFT(F75,8)="Bijdrage",VLOOKUP($F75,Tb_KostenTypen[],MATCH(Lijsten!$P$1,Tb_KostenTypen[#Headers],0),0),VLOOKUP($G75,Lijsten!L:P,MATCH(Lijsten!$P$1,Kop_Tarief_Vast,0),0))),""),"")</f>
        <v/>
      </c>
      <c r="P75" s="320" t="str" cm="1">
        <f t="array" ref="P75">_xlfn.IFNA(IF(INDEX(Tb_KostenOptiesDB[],MATCH($F75,Tb_KostenOptiesDB[KostenOptie],0),IFERROR(MATCH(Methode_Keuze,Tb_KostenOptiesDB[#Headers],0),2))=1,_xlfn.SWITCH($N75,"Uurtarief",IF(OR(AND(RIGHT($F75,3)="IKS",VLOOKUP($M75,DB_Loonkosten,2,0)="Ja"),AND(RIGHT($F75,3)&lt;&gt;"IKS",VLOOKUP($M75,DB_Loonkosten,2,0)="Nee")),IFERROR(VLOOKUP($M75,DB_Loonkosten,25,0),""),0),"Vast tarief",IF(LEFT(F75,8)="Bijdrage",VLOOKUP($F75,Tb_KostenTypen[],MATCH(Lijsten!$P$1,Tb_KostenTypen[#Headers],0),0),VLOOKUP($G75,Lijsten!L:P,MATCH(Lijsten!$P$1,Kop_Tarief_Vast,0),0))),""),"")</f>
        <v/>
      </c>
      <c r="Q75" s="359"/>
      <c r="R75" s="359"/>
      <c r="S75" s="321"/>
      <c r="T75" s="321"/>
      <c r="U75" s="373" t="str">
        <f t="shared" si="4"/>
        <v/>
      </c>
      <c r="V75" s="314" t="str">
        <f t="shared" si="5"/>
        <v/>
      </c>
      <c r="W75" s="314" t="str" cm="1">
        <f t="array" aca="1" ref="W75" ca="1">IFERROR(IF(AE75&lt;&gt;"ja",_xlfn.IFNA(_xlfn.IFS(AND(O75&lt;&gt;"",F75&lt;&gt;"",RIGHT($N75,6)="tarief",F75="Vergoeding"),SUM(O75)*FLOOR(SUM(Q75),0.0001),AND(O75&lt;&gt;"",F75&lt;&gt;"",RIGHT($N75,6)="tarief"),SUM(O75)*FLOOR(SUM(Q75),0.01),S75&gt;0,IF(F75&lt;&gt;"",FLOOR(SUM(S75),0.01),"")),""),""),"")</f>
        <v/>
      </c>
      <c r="X75" s="314" t="str" cm="1">
        <f t="array" aca="1" ref="X75" ca="1">IFERROR(IF(AE75&lt;&gt;"ja",_xlfn.IFNA(_xlfn.IFS(AND(P75&lt;&gt;"",R75&lt;&gt;"",RIGHT($N75,6)="tarief",F75="Vergoeding"),SUM(P75)*FLOOR(SUM(R75),0.0001),AND(P75&lt;&gt;"",R75&lt;&gt;"",RIGHT($N75,6)="tarief"),P75*FLOOR(R75,0.01),T75&gt;0,FLOOR(SUM(T75),0.01)),""),""),"")</f>
        <v/>
      </c>
      <c r="Y75" s="314" t="str">
        <f t="shared" ca="1" si="6"/>
        <v/>
      </c>
      <c r="Z75" s="314" t="str" cm="1">
        <f t="array" aca="1" ref="Z75" ca="1">IFERROR(_xlfn.IFS(OR(F75="",LEFT(Methode_Keuze,4)="Geen",Methode_Keuze=""),"",AND(W75&lt;&gt;"",F75&lt;&gt;"Arbeidskosten"),W75*VLOOKUP(F75,Tb_ProjectKosten[],MATCH(Tb_ProjectKosten[[#Headers],[Forfait_Percentage]],Tb_ProjectKosten[#Headers],0),0),AND(F75="Arbeidskosten",G75&lt;&gt;""),IFERROR(W75*VLOOKUP(G75,Tb_KostenTypen[],3,0)*VLOOKUP(F75,Tb_ProjectKosten[],MATCH(Tb_ProjectKosten[[#Headers],[Forfait_Percentage]],Tb_ProjectKosten[#Headers],0),0),""),W75 &lt;=0,0),"")</f>
        <v/>
      </c>
      <c r="AA75" s="314" t="str" cm="1">
        <f t="array" aca="1" ref="AA75" ca="1">IFERROR(_xlfn.IFS(OR(F75="",LEFT(Methode_Keuze,4)="Geen",Methode_Keuze=""),"",AND(X75&lt;&gt;"",F75&lt;&gt;"Arbeidskosten"),X75*VLOOKUP(F75,Tb_ProjectKosten[],MATCH(Tb_ProjectKosten[[#Headers],[Forfait_Percentage]],Tb_ProjectKosten[#Headers],0),0),AND(F75="Arbeidskosten",G75&lt;&gt;""),IFERROR(X75*VLOOKUP(G75,Tb_KostenTypen[],3,0)*VLOOKUP(F75,Tb_ProjectKosten[],MATCH(Tb_ProjectKosten[[#Headers],[Forfait_Percentage]],Tb_ProjectKosten[#Headers],0),0),""),X75 &lt;=0,0),"")</f>
        <v/>
      </c>
      <c r="AB75" s="314" t="str">
        <f t="shared" ca="1" si="7"/>
        <v/>
      </c>
      <c r="AC75" s="322"/>
      <c r="AD75" s="315"/>
      <c r="AE75" s="32" t="str" cm="1">
        <f t="array" ref="AE75">IFERROR(IF(INDEX(SubsidieTabel!$AD$1:$AG$12,MATCH($F75,SubsidieTabel!$AD$1:$AD$12,0),IFERROR(MATCH(Methode_Keuze,SubsidieTabel!$AD$1:$AG$1,0),2))&lt;&gt;1=TRUE,"ja",""),"")</f>
        <v/>
      </c>
    </row>
    <row r="76" spans="1:31" x14ac:dyDescent="0.25">
      <c r="A76" s="316"/>
      <c r="B76" s="317" t="str">
        <f>IF(A76&lt;&gt;"",_xlfn.MAXIFS($B$1:B75,$A$1:A75,A76)+1,"")</f>
        <v/>
      </c>
      <c r="C76" s="296"/>
      <c r="D76" s="296"/>
      <c r="E76" s="296"/>
      <c r="F76" s="296"/>
      <c r="G76" s="326"/>
      <c r="H76" s="324"/>
      <c r="I76" s="325"/>
      <c r="J76" s="325"/>
      <c r="K76" s="318"/>
      <c r="L76" s="318"/>
      <c r="M76" s="319" t="str">
        <f>IFERROR(VLOOKUP(H76,Lijsten!$H$1:$I$100,2,0),"")</f>
        <v/>
      </c>
      <c r="N76" s="319" t="str">
        <f ca="1">IFERROR(IF(VLOOKUP(F76,Kostentypen!$A$3:$E$21,3,0)=0,"",IF(OR(F76="Arbeidskosten",F76="Vergoeding"),VLOOKUP(G76,Tb_KostenTypen[],2,0),VLOOKUP(F76,Kostentypen!$A$3:$E$20,3,0))),"")</f>
        <v/>
      </c>
      <c r="O76" s="320" t="str" cm="1">
        <f t="array" ref="O76">_xlfn.IFNA(IF(INDEX(Tb_KostenOptiesDB[],MATCH($F76,Tb_KostenOptiesDB[KostenOptie],0),IFERROR(MATCH(Methode_Keuze,Tb_KostenOptiesDB[#Headers],0),2))=1,_xlfn.SWITCH($N76,"Uurtarief",IF(OR(AND(RIGHT($F76,3)="IKS",VLOOKUP($M76,DB_Loonkosten,2,0)="Ja"),AND(RIGHT($F76,3)&lt;&gt;"IKS",VLOOKUP($M76,DB_Loonkosten,2,0)="Nee")),IFERROR(VLOOKUP($M76,DB_Loonkosten,24,0),""),0),"Vast tarief",IF(LEFT(F76,8)="Bijdrage",VLOOKUP($F76,Tb_KostenTypen[],MATCH(Lijsten!$P$1,Tb_KostenTypen[#Headers],0),0),VLOOKUP($G76,Lijsten!L:P,MATCH(Lijsten!$P$1,Kop_Tarief_Vast,0),0))),""),"")</f>
        <v/>
      </c>
      <c r="P76" s="320" t="str" cm="1">
        <f t="array" ref="P76">_xlfn.IFNA(IF(INDEX(Tb_KostenOptiesDB[],MATCH($F76,Tb_KostenOptiesDB[KostenOptie],0),IFERROR(MATCH(Methode_Keuze,Tb_KostenOptiesDB[#Headers],0),2))=1,_xlfn.SWITCH($N76,"Uurtarief",IF(OR(AND(RIGHT($F76,3)="IKS",VLOOKUP($M76,DB_Loonkosten,2,0)="Ja"),AND(RIGHT($F76,3)&lt;&gt;"IKS",VLOOKUP($M76,DB_Loonkosten,2,0)="Nee")),IFERROR(VLOOKUP($M76,DB_Loonkosten,25,0),""),0),"Vast tarief",IF(LEFT(F76,8)="Bijdrage",VLOOKUP($F76,Tb_KostenTypen[],MATCH(Lijsten!$P$1,Tb_KostenTypen[#Headers],0),0),VLOOKUP($G76,Lijsten!L:P,MATCH(Lijsten!$P$1,Kop_Tarief_Vast,0),0))),""),"")</f>
        <v/>
      </c>
      <c r="Q76" s="359"/>
      <c r="R76" s="359"/>
      <c r="S76" s="321"/>
      <c r="T76" s="321"/>
      <c r="U76" s="373" t="str">
        <f t="shared" si="4"/>
        <v/>
      </c>
      <c r="V76" s="314" t="str">
        <f t="shared" si="5"/>
        <v/>
      </c>
      <c r="W76" s="314" t="str" cm="1">
        <f t="array" aca="1" ref="W76" ca="1">IFERROR(IF(AE76&lt;&gt;"ja",_xlfn.IFNA(_xlfn.IFS(AND(O76&lt;&gt;"",F76&lt;&gt;"",RIGHT($N76,6)="tarief",F76="Vergoeding"),SUM(O76)*FLOOR(SUM(Q76),0.0001),AND(O76&lt;&gt;"",F76&lt;&gt;"",RIGHT($N76,6)="tarief"),SUM(O76)*FLOOR(SUM(Q76),0.01),S76&gt;0,IF(F76&lt;&gt;"",FLOOR(SUM(S76),0.01),"")),""),""),"")</f>
        <v/>
      </c>
      <c r="X76" s="314" t="str" cm="1">
        <f t="array" aca="1" ref="X76" ca="1">IFERROR(IF(AE76&lt;&gt;"ja",_xlfn.IFNA(_xlfn.IFS(AND(P76&lt;&gt;"",R76&lt;&gt;"",RIGHT($N76,6)="tarief",F76="Vergoeding"),SUM(P76)*FLOOR(SUM(R76),0.0001),AND(P76&lt;&gt;"",R76&lt;&gt;"",RIGHT($N76,6)="tarief"),P76*FLOOR(R76,0.01),T76&gt;0,FLOOR(SUM(T76),0.01)),""),""),"")</f>
        <v/>
      </c>
      <c r="Y76" s="314" t="str">
        <f t="shared" ca="1" si="6"/>
        <v/>
      </c>
      <c r="Z76" s="314" t="str" cm="1">
        <f t="array" aca="1" ref="Z76" ca="1">IFERROR(_xlfn.IFS(OR(F76="",LEFT(Methode_Keuze,4)="Geen",Methode_Keuze=""),"",AND(W76&lt;&gt;"",F76&lt;&gt;"Arbeidskosten"),W76*VLOOKUP(F76,Tb_ProjectKosten[],MATCH(Tb_ProjectKosten[[#Headers],[Forfait_Percentage]],Tb_ProjectKosten[#Headers],0),0),AND(F76="Arbeidskosten",G76&lt;&gt;""),IFERROR(W76*VLOOKUP(G76,Tb_KostenTypen[],3,0)*VLOOKUP(F76,Tb_ProjectKosten[],MATCH(Tb_ProjectKosten[[#Headers],[Forfait_Percentage]],Tb_ProjectKosten[#Headers],0),0),""),W76 &lt;=0,0),"")</f>
        <v/>
      </c>
      <c r="AA76" s="314" t="str" cm="1">
        <f t="array" aca="1" ref="AA76" ca="1">IFERROR(_xlfn.IFS(OR(F76="",LEFT(Methode_Keuze,4)="Geen",Methode_Keuze=""),"",AND(X76&lt;&gt;"",F76&lt;&gt;"Arbeidskosten"),X76*VLOOKUP(F76,Tb_ProjectKosten[],MATCH(Tb_ProjectKosten[[#Headers],[Forfait_Percentage]],Tb_ProjectKosten[#Headers],0),0),AND(F76="Arbeidskosten",G76&lt;&gt;""),IFERROR(X76*VLOOKUP(G76,Tb_KostenTypen[],3,0)*VLOOKUP(F76,Tb_ProjectKosten[],MATCH(Tb_ProjectKosten[[#Headers],[Forfait_Percentage]],Tb_ProjectKosten[#Headers],0),0),""),X76 &lt;=0,0),"")</f>
        <v/>
      </c>
      <c r="AB76" s="314" t="str">
        <f t="shared" ca="1" si="7"/>
        <v/>
      </c>
      <c r="AC76" s="322"/>
      <c r="AD76" s="315"/>
      <c r="AE76" s="32" t="str" cm="1">
        <f t="array" ref="AE76">IFERROR(IF(INDEX(SubsidieTabel!$AD$1:$AG$12,MATCH($F76,SubsidieTabel!$AD$1:$AD$12,0),IFERROR(MATCH(Methode_Keuze,SubsidieTabel!$AD$1:$AG$1,0),2))&lt;&gt;1=TRUE,"ja",""),"")</f>
        <v/>
      </c>
    </row>
    <row r="77" spans="1:31" x14ac:dyDescent="0.25">
      <c r="A77" s="316"/>
      <c r="B77" s="317" t="str">
        <f>IF(A77&lt;&gt;"",_xlfn.MAXIFS($B$1:B76,$A$1:A76,A77)+1,"")</f>
        <v/>
      </c>
      <c r="C77" s="296"/>
      <c r="D77" s="296"/>
      <c r="E77" s="296"/>
      <c r="F77" s="296"/>
      <c r="G77" s="326"/>
      <c r="H77" s="324"/>
      <c r="I77" s="325"/>
      <c r="J77" s="325"/>
      <c r="K77" s="318"/>
      <c r="L77" s="318"/>
      <c r="M77" s="319" t="str">
        <f>IFERROR(VLOOKUP(H77,Lijsten!$H$1:$I$100,2,0),"")</f>
        <v/>
      </c>
      <c r="N77" s="319" t="str">
        <f ca="1">IFERROR(IF(VLOOKUP(F77,Kostentypen!$A$3:$E$21,3,0)=0,"",IF(OR(F77="Arbeidskosten",F77="Vergoeding"),VLOOKUP(G77,Tb_KostenTypen[],2,0),VLOOKUP(F77,Kostentypen!$A$3:$E$20,3,0))),"")</f>
        <v/>
      </c>
      <c r="O77" s="320" t="str" cm="1">
        <f t="array" ref="O77">_xlfn.IFNA(IF(INDEX(Tb_KostenOptiesDB[],MATCH($F77,Tb_KostenOptiesDB[KostenOptie],0),IFERROR(MATCH(Methode_Keuze,Tb_KostenOptiesDB[#Headers],0),2))=1,_xlfn.SWITCH($N77,"Uurtarief",IF(OR(AND(RIGHT($F77,3)="IKS",VLOOKUP($M77,DB_Loonkosten,2,0)="Ja"),AND(RIGHT($F77,3)&lt;&gt;"IKS",VLOOKUP($M77,DB_Loonkosten,2,0)="Nee")),IFERROR(VLOOKUP($M77,DB_Loonkosten,24,0),""),0),"Vast tarief",IF(LEFT(F77,8)="Bijdrage",VLOOKUP($F77,Tb_KostenTypen[],MATCH(Lijsten!$P$1,Tb_KostenTypen[#Headers],0),0),VLOOKUP($G77,Lijsten!L:P,MATCH(Lijsten!$P$1,Kop_Tarief_Vast,0),0))),""),"")</f>
        <v/>
      </c>
      <c r="P77" s="320" t="str" cm="1">
        <f t="array" ref="P77">_xlfn.IFNA(IF(INDEX(Tb_KostenOptiesDB[],MATCH($F77,Tb_KostenOptiesDB[KostenOptie],0),IFERROR(MATCH(Methode_Keuze,Tb_KostenOptiesDB[#Headers],0),2))=1,_xlfn.SWITCH($N77,"Uurtarief",IF(OR(AND(RIGHT($F77,3)="IKS",VLOOKUP($M77,DB_Loonkosten,2,0)="Ja"),AND(RIGHT($F77,3)&lt;&gt;"IKS",VLOOKUP($M77,DB_Loonkosten,2,0)="Nee")),IFERROR(VLOOKUP($M77,DB_Loonkosten,25,0),""),0),"Vast tarief",IF(LEFT(F77,8)="Bijdrage",VLOOKUP($F77,Tb_KostenTypen[],MATCH(Lijsten!$P$1,Tb_KostenTypen[#Headers],0),0),VLOOKUP($G77,Lijsten!L:P,MATCH(Lijsten!$P$1,Kop_Tarief_Vast,0),0))),""),"")</f>
        <v/>
      </c>
      <c r="Q77" s="359"/>
      <c r="R77" s="359"/>
      <c r="S77" s="321"/>
      <c r="T77" s="321"/>
      <c r="U77" s="373" t="str">
        <f t="shared" si="4"/>
        <v/>
      </c>
      <c r="V77" s="314" t="str">
        <f t="shared" si="5"/>
        <v/>
      </c>
      <c r="W77" s="314" t="str" cm="1">
        <f t="array" aca="1" ref="W77" ca="1">IFERROR(IF(AE77&lt;&gt;"ja",_xlfn.IFNA(_xlfn.IFS(AND(O77&lt;&gt;"",F77&lt;&gt;"",RIGHT($N77,6)="tarief",F77="Vergoeding"),SUM(O77)*FLOOR(SUM(Q77),0.0001),AND(O77&lt;&gt;"",F77&lt;&gt;"",RIGHT($N77,6)="tarief"),SUM(O77)*FLOOR(SUM(Q77),0.01),S77&gt;0,IF(F77&lt;&gt;"",FLOOR(SUM(S77),0.01),"")),""),""),"")</f>
        <v/>
      </c>
      <c r="X77" s="314" t="str" cm="1">
        <f t="array" aca="1" ref="X77" ca="1">IFERROR(IF(AE77&lt;&gt;"ja",_xlfn.IFNA(_xlfn.IFS(AND(P77&lt;&gt;"",R77&lt;&gt;"",RIGHT($N77,6)="tarief",F77="Vergoeding"),SUM(P77)*FLOOR(SUM(R77),0.0001),AND(P77&lt;&gt;"",R77&lt;&gt;"",RIGHT($N77,6)="tarief"),P77*FLOOR(R77,0.01),T77&gt;0,FLOOR(SUM(T77),0.01)),""),""),"")</f>
        <v/>
      </c>
      <c r="Y77" s="314" t="str">
        <f t="shared" ca="1" si="6"/>
        <v/>
      </c>
      <c r="Z77" s="314" t="str" cm="1">
        <f t="array" aca="1" ref="Z77" ca="1">IFERROR(_xlfn.IFS(OR(F77="",LEFT(Methode_Keuze,4)="Geen",Methode_Keuze=""),"",AND(W77&lt;&gt;"",F77&lt;&gt;"Arbeidskosten"),W77*VLOOKUP(F77,Tb_ProjectKosten[],MATCH(Tb_ProjectKosten[[#Headers],[Forfait_Percentage]],Tb_ProjectKosten[#Headers],0),0),AND(F77="Arbeidskosten",G77&lt;&gt;""),IFERROR(W77*VLOOKUP(G77,Tb_KostenTypen[],3,0)*VLOOKUP(F77,Tb_ProjectKosten[],MATCH(Tb_ProjectKosten[[#Headers],[Forfait_Percentage]],Tb_ProjectKosten[#Headers],0),0),""),W77 &lt;=0,0),"")</f>
        <v/>
      </c>
      <c r="AA77" s="314" t="str" cm="1">
        <f t="array" aca="1" ref="AA77" ca="1">IFERROR(_xlfn.IFS(OR(F77="",LEFT(Methode_Keuze,4)="Geen",Methode_Keuze=""),"",AND(X77&lt;&gt;"",F77&lt;&gt;"Arbeidskosten"),X77*VLOOKUP(F77,Tb_ProjectKosten[],MATCH(Tb_ProjectKosten[[#Headers],[Forfait_Percentage]],Tb_ProjectKosten[#Headers],0),0),AND(F77="Arbeidskosten",G77&lt;&gt;""),IFERROR(X77*VLOOKUP(G77,Tb_KostenTypen[],3,0)*VLOOKUP(F77,Tb_ProjectKosten[],MATCH(Tb_ProjectKosten[[#Headers],[Forfait_Percentage]],Tb_ProjectKosten[#Headers],0),0),""),X77 &lt;=0,0),"")</f>
        <v/>
      </c>
      <c r="AB77" s="314" t="str">
        <f t="shared" ca="1" si="7"/>
        <v/>
      </c>
      <c r="AC77" s="322"/>
      <c r="AD77" s="315"/>
      <c r="AE77" s="32" t="str" cm="1">
        <f t="array" ref="AE77">IFERROR(IF(INDEX(SubsidieTabel!$AD$1:$AG$12,MATCH($F77,SubsidieTabel!$AD$1:$AD$12,0),IFERROR(MATCH(Methode_Keuze,SubsidieTabel!$AD$1:$AG$1,0),2))&lt;&gt;1=TRUE,"ja",""),"")</f>
        <v/>
      </c>
    </row>
    <row r="78" spans="1:31" x14ac:dyDescent="0.25">
      <c r="A78" s="316"/>
      <c r="B78" s="317" t="str">
        <f>IF(A78&lt;&gt;"",_xlfn.MAXIFS($B$1:B77,$A$1:A77,A78)+1,"")</f>
        <v/>
      </c>
      <c r="C78" s="296"/>
      <c r="D78" s="296"/>
      <c r="E78" s="296"/>
      <c r="F78" s="296"/>
      <c r="G78" s="326"/>
      <c r="H78" s="324"/>
      <c r="I78" s="325"/>
      <c r="J78" s="325"/>
      <c r="K78" s="318"/>
      <c r="L78" s="318"/>
      <c r="M78" s="319" t="str">
        <f>IFERROR(VLOOKUP(H78,Lijsten!$H$1:$I$100,2,0),"")</f>
        <v/>
      </c>
      <c r="N78" s="319" t="str">
        <f ca="1">IFERROR(IF(VLOOKUP(F78,Kostentypen!$A$3:$E$21,3,0)=0,"",IF(OR(F78="Arbeidskosten",F78="Vergoeding"),VLOOKUP(G78,Tb_KostenTypen[],2,0),VLOOKUP(F78,Kostentypen!$A$3:$E$20,3,0))),"")</f>
        <v/>
      </c>
      <c r="O78" s="320" t="str" cm="1">
        <f t="array" ref="O78">_xlfn.IFNA(IF(INDEX(Tb_KostenOptiesDB[],MATCH($F78,Tb_KostenOptiesDB[KostenOptie],0),IFERROR(MATCH(Methode_Keuze,Tb_KostenOptiesDB[#Headers],0),2))=1,_xlfn.SWITCH($N78,"Uurtarief",IF(OR(AND(RIGHT($F78,3)="IKS",VLOOKUP($M78,DB_Loonkosten,2,0)="Ja"),AND(RIGHT($F78,3)&lt;&gt;"IKS",VLOOKUP($M78,DB_Loonkosten,2,0)="Nee")),IFERROR(VLOOKUP($M78,DB_Loonkosten,24,0),""),0),"Vast tarief",IF(LEFT(F78,8)="Bijdrage",VLOOKUP($F78,Tb_KostenTypen[],MATCH(Lijsten!$P$1,Tb_KostenTypen[#Headers],0),0),VLOOKUP($G78,Lijsten!L:P,MATCH(Lijsten!$P$1,Kop_Tarief_Vast,0),0))),""),"")</f>
        <v/>
      </c>
      <c r="P78" s="320" t="str" cm="1">
        <f t="array" ref="P78">_xlfn.IFNA(IF(INDEX(Tb_KostenOptiesDB[],MATCH($F78,Tb_KostenOptiesDB[KostenOptie],0),IFERROR(MATCH(Methode_Keuze,Tb_KostenOptiesDB[#Headers],0),2))=1,_xlfn.SWITCH($N78,"Uurtarief",IF(OR(AND(RIGHT($F78,3)="IKS",VLOOKUP($M78,DB_Loonkosten,2,0)="Ja"),AND(RIGHT($F78,3)&lt;&gt;"IKS",VLOOKUP($M78,DB_Loonkosten,2,0)="Nee")),IFERROR(VLOOKUP($M78,DB_Loonkosten,25,0),""),0),"Vast tarief",IF(LEFT(F78,8)="Bijdrage",VLOOKUP($F78,Tb_KostenTypen[],MATCH(Lijsten!$P$1,Tb_KostenTypen[#Headers],0),0),VLOOKUP($G78,Lijsten!L:P,MATCH(Lijsten!$P$1,Kop_Tarief_Vast,0),0))),""),"")</f>
        <v/>
      </c>
      <c r="Q78" s="359"/>
      <c r="R78" s="359"/>
      <c r="S78" s="321"/>
      <c r="T78" s="321"/>
      <c r="U78" s="373" t="str">
        <f t="shared" si="4"/>
        <v/>
      </c>
      <c r="V78" s="314" t="str">
        <f t="shared" si="5"/>
        <v/>
      </c>
      <c r="W78" s="314" t="str" cm="1">
        <f t="array" aca="1" ref="W78" ca="1">IFERROR(IF(AE78&lt;&gt;"ja",_xlfn.IFNA(_xlfn.IFS(AND(O78&lt;&gt;"",F78&lt;&gt;"",RIGHT($N78,6)="tarief",F78="Vergoeding"),SUM(O78)*FLOOR(SUM(Q78),0.0001),AND(O78&lt;&gt;"",F78&lt;&gt;"",RIGHT($N78,6)="tarief"),SUM(O78)*FLOOR(SUM(Q78),0.01),S78&gt;0,IF(F78&lt;&gt;"",FLOOR(SUM(S78),0.01),"")),""),""),"")</f>
        <v/>
      </c>
      <c r="X78" s="314" t="str" cm="1">
        <f t="array" aca="1" ref="X78" ca="1">IFERROR(IF(AE78&lt;&gt;"ja",_xlfn.IFNA(_xlfn.IFS(AND(P78&lt;&gt;"",R78&lt;&gt;"",RIGHT($N78,6)="tarief",F78="Vergoeding"),SUM(P78)*FLOOR(SUM(R78),0.0001),AND(P78&lt;&gt;"",R78&lt;&gt;"",RIGHT($N78,6)="tarief"),P78*FLOOR(R78,0.01),T78&gt;0,FLOOR(SUM(T78),0.01)),""),""),"")</f>
        <v/>
      </c>
      <c r="Y78" s="314" t="str">
        <f t="shared" ca="1" si="6"/>
        <v/>
      </c>
      <c r="Z78" s="314" t="str" cm="1">
        <f t="array" aca="1" ref="Z78" ca="1">IFERROR(_xlfn.IFS(OR(F78="",LEFT(Methode_Keuze,4)="Geen",Methode_Keuze=""),"",AND(W78&lt;&gt;"",F78&lt;&gt;"Arbeidskosten"),W78*VLOOKUP(F78,Tb_ProjectKosten[],MATCH(Tb_ProjectKosten[[#Headers],[Forfait_Percentage]],Tb_ProjectKosten[#Headers],0),0),AND(F78="Arbeidskosten",G78&lt;&gt;""),IFERROR(W78*VLOOKUP(G78,Tb_KostenTypen[],3,0)*VLOOKUP(F78,Tb_ProjectKosten[],MATCH(Tb_ProjectKosten[[#Headers],[Forfait_Percentage]],Tb_ProjectKosten[#Headers],0),0),""),W78 &lt;=0,0),"")</f>
        <v/>
      </c>
      <c r="AA78" s="314" t="str" cm="1">
        <f t="array" aca="1" ref="AA78" ca="1">IFERROR(_xlfn.IFS(OR(F78="",LEFT(Methode_Keuze,4)="Geen",Methode_Keuze=""),"",AND(X78&lt;&gt;"",F78&lt;&gt;"Arbeidskosten"),X78*VLOOKUP(F78,Tb_ProjectKosten[],MATCH(Tb_ProjectKosten[[#Headers],[Forfait_Percentage]],Tb_ProjectKosten[#Headers],0),0),AND(F78="Arbeidskosten",G78&lt;&gt;""),IFERROR(X78*VLOOKUP(G78,Tb_KostenTypen[],3,0)*VLOOKUP(F78,Tb_ProjectKosten[],MATCH(Tb_ProjectKosten[[#Headers],[Forfait_Percentage]],Tb_ProjectKosten[#Headers],0),0),""),X78 &lt;=0,0),"")</f>
        <v/>
      </c>
      <c r="AB78" s="314" t="str">
        <f t="shared" ca="1" si="7"/>
        <v/>
      </c>
      <c r="AC78" s="322"/>
      <c r="AD78" s="315"/>
      <c r="AE78" s="32" t="str" cm="1">
        <f t="array" ref="AE78">IFERROR(IF(INDEX(SubsidieTabel!$AD$1:$AG$12,MATCH($F78,SubsidieTabel!$AD$1:$AD$12,0),IFERROR(MATCH(Methode_Keuze,SubsidieTabel!$AD$1:$AG$1,0),2))&lt;&gt;1=TRUE,"ja",""),"")</f>
        <v/>
      </c>
    </row>
    <row r="79" spans="1:31" x14ac:dyDescent="0.25">
      <c r="A79" s="316"/>
      <c r="B79" s="317" t="str">
        <f>IF(A79&lt;&gt;"",_xlfn.MAXIFS($B$1:B78,$A$1:A78,A79)+1,"")</f>
        <v/>
      </c>
      <c r="C79" s="296"/>
      <c r="D79" s="296"/>
      <c r="E79" s="296"/>
      <c r="F79" s="296"/>
      <c r="G79" s="326"/>
      <c r="H79" s="324"/>
      <c r="I79" s="325"/>
      <c r="J79" s="325"/>
      <c r="K79" s="318"/>
      <c r="L79" s="318"/>
      <c r="M79" s="319" t="str">
        <f>IFERROR(VLOOKUP(H79,Lijsten!$H$1:$I$100,2,0),"")</f>
        <v/>
      </c>
      <c r="N79" s="319" t="str">
        <f ca="1">IFERROR(IF(VLOOKUP(F79,Kostentypen!$A$3:$E$21,3,0)=0,"",IF(OR(F79="Arbeidskosten",F79="Vergoeding"),VLOOKUP(G79,Tb_KostenTypen[],2,0),VLOOKUP(F79,Kostentypen!$A$3:$E$20,3,0))),"")</f>
        <v/>
      </c>
      <c r="O79" s="320" t="str" cm="1">
        <f t="array" ref="O79">_xlfn.IFNA(IF(INDEX(Tb_KostenOptiesDB[],MATCH($F79,Tb_KostenOptiesDB[KostenOptie],0),IFERROR(MATCH(Methode_Keuze,Tb_KostenOptiesDB[#Headers],0),2))=1,_xlfn.SWITCH($N79,"Uurtarief",IF(OR(AND(RIGHT($F79,3)="IKS",VLOOKUP($M79,DB_Loonkosten,2,0)="Ja"),AND(RIGHT($F79,3)&lt;&gt;"IKS",VLOOKUP($M79,DB_Loonkosten,2,0)="Nee")),IFERROR(VLOOKUP($M79,DB_Loonkosten,24,0),""),0),"Vast tarief",IF(LEFT(F79,8)="Bijdrage",VLOOKUP($F79,Tb_KostenTypen[],MATCH(Lijsten!$P$1,Tb_KostenTypen[#Headers],0),0),VLOOKUP($G79,Lijsten!L:P,MATCH(Lijsten!$P$1,Kop_Tarief_Vast,0),0))),""),"")</f>
        <v/>
      </c>
      <c r="P79" s="320" t="str" cm="1">
        <f t="array" ref="P79">_xlfn.IFNA(IF(INDEX(Tb_KostenOptiesDB[],MATCH($F79,Tb_KostenOptiesDB[KostenOptie],0),IFERROR(MATCH(Methode_Keuze,Tb_KostenOptiesDB[#Headers],0),2))=1,_xlfn.SWITCH($N79,"Uurtarief",IF(OR(AND(RIGHT($F79,3)="IKS",VLOOKUP($M79,DB_Loonkosten,2,0)="Ja"),AND(RIGHT($F79,3)&lt;&gt;"IKS",VLOOKUP($M79,DB_Loonkosten,2,0)="Nee")),IFERROR(VLOOKUP($M79,DB_Loonkosten,25,0),""),0),"Vast tarief",IF(LEFT(F79,8)="Bijdrage",VLOOKUP($F79,Tb_KostenTypen[],MATCH(Lijsten!$P$1,Tb_KostenTypen[#Headers],0),0),VLOOKUP($G79,Lijsten!L:P,MATCH(Lijsten!$P$1,Kop_Tarief_Vast,0),0))),""),"")</f>
        <v/>
      </c>
      <c r="Q79" s="359"/>
      <c r="R79" s="359"/>
      <c r="S79" s="321"/>
      <c r="T79" s="321"/>
      <c r="U79" s="373" t="str">
        <f t="shared" si="4"/>
        <v/>
      </c>
      <c r="V79" s="314" t="str">
        <f t="shared" si="5"/>
        <v/>
      </c>
      <c r="W79" s="314" t="str" cm="1">
        <f t="array" aca="1" ref="W79" ca="1">IFERROR(IF(AE79&lt;&gt;"ja",_xlfn.IFNA(_xlfn.IFS(AND(O79&lt;&gt;"",F79&lt;&gt;"",RIGHT($N79,6)="tarief",F79="Vergoeding"),SUM(O79)*FLOOR(SUM(Q79),0.0001),AND(O79&lt;&gt;"",F79&lt;&gt;"",RIGHT($N79,6)="tarief"),SUM(O79)*FLOOR(SUM(Q79),0.01),S79&gt;0,IF(F79&lt;&gt;"",FLOOR(SUM(S79),0.01),"")),""),""),"")</f>
        <v/>
      </c>
      <c r="X79" s="314" t="str" cm="1">
        <f t="array" aca="1" ref="X79" ca="1">IFERROR(IF(AE79&lt;&gt;"ja",_xlfn.IFNA(_xlfn.IFS(AND(P79&lt;&gt;"",R79&lt;&gt;"",RIGHT($N79,6)="tarief",F79="Vergoeding"),SUM(P79)*FLOOR(SUM(R79),0.0001),AND(P79&lt;&gt;"",R79&lt;&gt;"",RIGHT($N79,6)="tarief"),P79*FLOOR(R79,0.01),T79&gt;0,FLOOR(SUM(T79),0.01)),""),""),"")</f>
        <v/>
      </c>
      <c r="Y79" s="314" t="str">
        <f t="shared" ca="1" si="6"/>
        <v/>
      </c>
      <c r="Z79" s="314" t="str" cm="1">
        <f t="array" aca="1" ref="Z79" ca="1">IFERROR(_xlfn.IFS(OR(F79="",LEFT(Methode_Keuze,4)="Geen",Methode_Keuze=""),"",AND(W79&lt;&gt;"",F79&lt;&gt;"Arbeidskosten"),W79*VLOOKUP(F79,Tb_ProjectKosten[],MATCH(Tb_ProjectKosten[[#Headers],[Forfait_Percentage]],Tb_ProjectKosten[#Headers],0),0),AND(F79="Arbeidskosten",G79&lt;&gt;""),IFERROR(W79*VLOOKUP(G79,Tb_KostenTypen[],3,0)*VLOOKUP(F79,Tb_ProjectKosten[],MATCH(Tb_ProjectKosten[[#Headers],[Forfait_Percentage]],Tb_ProjectKosten[#Headers],0),0),""),W79 &lt;=0,0),"")</f>
        <v/>
      </c>
      <c r="AA79" s="314" t="str" cm="1">
        <f t="array" aca="1" ref="AA79" ca="1">IFERROR(_xlfn.IFS(OR(F79="",LEFT(Methode_Keuze,4)="Geen",Methode_Keuze=""),"",AND(X79&lt;&gt;"",F79&lt;&gt;"Arbeidskosten"),X79*VLOOKUP(F79,Tb_ProjectKosten[],MATCH(Tb_ProjectKosten[[#Headers],[Forfait_Percentage]],Tb_ProjectKosten[#Headers],0),0),AND(F79="Arbeidskosten",G79&lt;&gt;""),IFERROR(X79*VLOOKUP(G79,Tb_KostenTypen[],3,0)*VLOOKUP(F79,Tb_ProjectKosten[],MATCH(Tb_ProjectKosten[[#Headers],[Forfait_Percentage]],Tb_ProjectKosten[#Headers],0),0),""),X79 &lt;=0,0),"")</f>
        <v/>
      </c>
      <c r="AB79" s="314" t="str">
        <f t="shared" ca="1" si="7"/>
        <v/>
      </c>
      <c r="AC79" s="322"/>
      <c r="AD79" s="315"/>
      <c r="AE79" s="32" t="str" cm="1">
        <f t="array" ref="AE79">IFERROR(IF(INDEX(SubsidieTabel!$AD$1:$AG$12,MATCH($F79,SubsidieTabel!$AD$1:$AD$12,0),IFERROR(MATCH(Methode_Keuze,SubsidieTabel!$AD$1:$AG$1,0),2))&lt;&gt;1=TRUE,"ja",""),"")</f>
        <v/>
      </c>
    </row>
    <row r="80" spans="1:31" x14ac:dyDescent="0.25">
      <c r="A80" s="316"/>
      <c r="B80" s="317" t="str">
        <f>IF(A80&lt;&gt;"",_xlfn.MAXIFS($B$1:B79,$A$1:A79,A80)+1,"")</f>
        <v/>
      </c>
      <c r="C80" s="296"/>
      <c r="D80" s="296"/>
      <c r="E80" s="296"/>
      <c r="F80" s="296"/>
      <c r="G80" s="326"/>
      <c r="H80" s="324"/>
      <c r="I80" s="325"/>
      <c r="J80" s="325"/>
      <c r="K80" s="318"/>
      <c r="L80" s="318"/>
      <c r="M80" s="319" t="str">
        <f>IFERROR(VLOOKUP(H80,Lijsten!$H$1:$I$100,2,0),"")</f>
        <v/>
      </c>
      <c r="N80" s="319" t="str">
        <f ca="1">IFERROR(IF(VLOOKUP(F80,Kostentypen!$A$3:$E$21,3,0)=0,"",IF(OR(F80="Arbeidskosten",F80="Vergoeding"),VLOOKUP(G80,Tb_KostenTypen[],2,0),VLOOKUP(F80,Kostentypen!$A$3:$E$20,3,0))),"")</f>
        <v/>
      </c>
      <c r="O80" s="320" t="str" cm="1">
        <f t="array" ref="O80">_xlfn.IFNA(IF(INDEX(Tb_KostenOptiesDB[],MATCH($F80,Tb_KostenOptiesDB[KostenOptie],0),IFERROR(MATCH(Methode_Keuze,Tb_KostenOptiesDB[#Headers],0),2))=1,_xlfn.SWITCH($N80,"Uurtarief",IF(OR(AND(RIGHT($F80,3)="IKS",VLOOKUP($M80,DB_Loonkosten,2,0)="Ja"),AND(RIGHT($F80,3)&lt;&gt;"IKS",VLOOKUP($M80,DB_Loonkosten,2,0)="Nee")),IFERROR(VLOOKUP($M80,DB_Loonkosten,24,0),""),0),"Vast tarief",IF(LEFT(F80,8)="Bijdrage",VLOOKUP($F80,Tb_KostenTypen[],MATCH(Lijsten!$P$1,Tb_KostenTypen[#Headers],0),0),VLOOKUP($G80,Lijsten!L:P,MATCH(Lijsten!$P$1,Kop_Tarief_Vast,0),0))),""),"")</f>
        <v/>
      </c>
      <c r="P80" s="320" t="str" cm="1">
        <f t="array" ref="P80">_xlfn.IFNA(IF(INDEX(Tb_KostenOptiesDB[],MATCH($F80,Tb_KostenOptiesDB[KostenOptie],0),IFERROR(MATCH(Methode_Keuze,Tb_KostenOptiesDB[#Headers],0),2))=1,_xlfn.SWITCH($N80,"Uurtarief",IF(OR(AND(RIGHT($F80,3)="IKS",VLOOKUP($M80,DB_Loonkosten,2,0)="Ja"),AND(RIGHT($F80,3)&lt;&gt;"IKS",VLOOKUP($M80,DB_Loonkosten,2,0)="Nee")),IFERROR(VLOOKUP($M80,DB_Loonkosten,25,0),""),0),"Vast tarief",IF(LEFT(F80,8)="Bijdrage",VLOOKUP($F80,Tb_KostenTypen[],MATCH(Lijsten!$P$1,Tb_KostenTypen[#Headers],0),0),VLOOKUP($G80,Lijsten!L:P,MATCH(Lijsten!$P$1,Kop_Tarief_Vast,0),0))),""),"")</f>
        <v/>
      </c>
      <c r="Q80" s="359"/>
      <c r="R80" s="359"/>
      <c r="S80" s="321"/>
      <c r="T80" s="321"/>
      <c r="U80" s="373" t="str">
        <f t="shared" si="4"/>
        <v/>
      </c>
      <c r="V80" s="314" t="str">
        <f t="shared" si="5"/>
        <v/>
      </c>
      <c r="W80" s="314" t="str" cm="1">
        <f t="array" aca="1" ref="W80" ca="1">IFERROR(IF(AE80&lt;&gt;"ja",_xlfn.IFNA(_xlfn.IFS(AND(O80&lt;&gt;"",F80&lt;&gt;"",RIGHT($N80,6)="tarief",F80="Vergoeding"),SUM(O80)*FLOOR(SUM(Q80),0.0001),AND(O80&lt;&gt;"",F80&lt;&gt;"",RIGHT($N80,6)="tarief"),SUM(O80)*FLOOR(SUM(Q80),0.01),S80&gt;0,IF(F80&lt;&gt;"",FLOOR(SUM(S80),0.01),"")),""),""),"")</f>
        <v/>
      </c>
      <c r="X80" s="314" t="str" cm="1">
        <f t="array" aca="1" ref="X80" ca="1">IFERROR(IF(AE80&lt;&gt;"ja",_xlfn.IFNA(_xlfn.IFS(AND(P80&lt;&gt;"",R80&lt;&gt;"",RIGHT($N80,6)="tarief",F80="Vergoeding"),SUM(P80)*FLOOR(SUM(R80),0.0001),AND(P80&lt;&gt;"",R80&lt;&gt;"",RIGHT($N80,6)="tarief"),P80*FLOOR(R80,0.01),T80&gt;0,FLOOR(SUM(T80),0.01)),""),""),"")</f>
        <v/>
      </c>
      <c r="Y80" s="314" t="str">
        <f t="shared" ca="1" si="6"/>
        <v/>
      </c>
      <c r="Z80" s="314" t="str" cm="1">
        <f t="array" aca="1" ref="Z80" ca="1">IFERROR(_xlfn.IFS(OR(F80="",LEFT(Methode_Keuze,4)="Geen",Methode_Keuze=""),"",AND(W80&lt;&gt;"",F80&lt;&gt;"Arbeidskosten"),W80*VLOOKUP(F80,Tb_ProjectKosten[],MATCH(Tb_ProjectKosten[[#Headers],[Forfait_Percentage]],Tb_ProjectKosten[#Headers],0),0),AND(F80="Arbeidskosten",G80&lt;&gt;""),IFERROR(W80*VLOOKUP(G80,Tb_KostenTypen[],3,0)*VLOOKUP(F80,Tb_ProjectKosten[],MATCH(Tb_ProjectKosten[[#Headers],[Forfait_Percentage]],Tb_ProjectKosten[#Headers],0),0),""),W80 &lt;=0,0),"")</f>
        <v/>
      </c>
      <c r="AA80" s="314" t="str" cm="1">
        <f t="array" aca="1" ref="AA80" ca="1">IFERROR(_xlfn.IFS(OR(F80="",LEFT(Methode_Keuze,4)="Geen",Methode_Keuze=""),"",AND(X80&lt;&gt;"",F80&lt;&gt;"Arbeidskosten"),X80*VLOOKUP(F80,Tb_ProjectKosten[],MATCH(Tb_ProjectKosten[[#Headers],[Forfait_Percentage]],Tb_ProjectKosten[#Headers],0),0),AND(F80="Arbeidskosten",G80&lt;&gt;""),IFERROR(X80*VLOOKUP(G80,Tb_KostenTypen[],3,0)*VLOOKUP(F80,Tb_ProjectKosten[],MATCH(Tb_ProjectKosten[[#Headers],[Forfait_Percentage]],Tb_ProjectKosten[#Headers],0),0),""),X80 &lt;=0,0),"")</f>
        <v/>
      </c>
      <c r="AB80" s="314" t="str">
        <f t="shared" ca="1" si="7"/>
        <v/>
      </c>
      <c r="AC80" s="322"/>
      <c r="AD80" s="315"/>
      <c r="AE80" s="32" t="str" cm="1">
        <f t="array" ref="AE80">IFERROR(IF(INDEX(SubsidieTabel!$AD$1:$AG$12,MATCH($F80,SubsidieTabel!$AD$1:$AD$12,0),IFERROR(MATCH(Methode_Keuze,SubsidieTabel!$AD$1:$AG$1,0),2))&lt;&gt;1=TRUE,"ja",""),"")</f>
        <v/>
      </c>
    </row>
    <row r="81" spans="1:31" x14ac:dyDescent="0.25">
      <c r="A81" s="316"/>
      <c r="B81" s="317" t="str">
        <f>IF(A81&lt;&gt;"",_xlfn.MAXIFS($B$1:B80,$A$1:A80,A81)+1,"")</f>
        <v/>
      </c>
      <c r="C81" s="296"/>
      <c r="D81" s="296"/>
      <c r="E81" s="296"/>
      <c r="F81" s="296"/>
      <c r="G81" s="326"/>
      <c r="H81" s="324"/>
      <c r="I81" s="325"/>
      <c r="J81" s="325"/>
      <c r="K81" s="318"/>
      <c r="L81" s="318"/>
      <c r="M81" s="319" t="str">
        <f>IFERROR(VLOOKUP(H81,Lijsten!$H$1:$I$100,2,0),"")</f>
        <v/>
      </c>
      <c r="N81" s="319" t="str">
        <f ca="1">IFERROR(IF(VLOOKUP(F81,Kostentypen!$A$3:$E$21,3,0)=0,"",IF(OR(F81="Arbeidskosten",F81="Vergoeding"),VLOOKUP(G81,Tb_KostenTypen[],2,0),VLOOKUP(F81,Kostentypen!$A$3:$E$20,3,0))),"")</f>
        <v/>
      </c>
      <c r="O81" s="320" t="str" cm="1">
        <f t="array" ref="O81">_xlfn.IFNA(IF(INDEX(Tb_KostenOptiesDB[],MATCH($F81,Tb_KostenOptiesDB[KostenOptie],0),IFERROR(MATCH(Methode_Keuze,Tb_KostenOptiesDB[#Headers],0),2))=1,_xlfn.SWITCH($N81,"Uurtarief",IF(OR(AND(RIGHT($F81,3)="IKS",VLOOKUP($M81,DB_Loonkosten,2,0)="Ja"),AND(RIGHT($F81,3)&lt;&gt;"IKS",VLOOKUP($M81,DB_Loonkosten,2,0)="Nee")),IFERROR(VLOOKUP($M81,DB_Loonkosten,24,0),""),0),"Vast tarief",IF(LEFT(F81,8)="Bijdrage",VLOOKUP($F81,Tb_KostenTypen[],MATCH(Lijsten!$P$1,Tb_KostenTypen[#Headers],0),0),VLOOKUP($G81,Lijsten!L:P,MATCH(Lijsten!$P$1,Kop_Tarief_Vast,0),0))),""),"")</f>
        <v/>
      </c>
      <c r="P81" s="320" t="str" cm="1">
        <f t="array" ref="P81">_xlfn.IFNA(IF(INDEX(Tb_KostenOptiesDB[],MATCH($F81,Tb_KostenOptiesDB[KostenOptie],0),IFERROR(MATCH(Methode_Keuze,Tb_KostenOptiesDB[#Headers],0),2))=1,_xlfn.SWITCH($N81,"Uurtarief",IF(OR(AND(RIGHT($F81,3)="IKS",VLOOKUP($M81,DB_Loonkosten,2,0)="Ja"),AND(RIGHT($F81,3)&lt;&gt;"IKS",VLOOKUP($M81,DB_Loonkosten,2,0)="Nee")),IFERROR(VLOOKUP($M81,DB_Loonkosten,25,0),""),0),"Vast tarief",IF(LEFT(F81,8)="Bijdrage",VLOOKUP($F81,Tb_KostenTypen[],MATCH(Lijsten!$P$1,Tb_KostenTypen[#Headers],0),0),VLOOKUP($G81,Lijsten!L:P,MATCH(Lijsten!$P$1,Kop_Tarief_Vast,0),0))),""),"")</f>
        <v/>
      </c>
      <c r="Q81" s="359"/>
      <c r="R81" s="359"/>
      <c r="S81" s="321"/>
      <c r="T81" s="321"/>
      <c r="U81" s="373" t="str">
        <f t="shared" si="4"/>
        <v/>
      </c>
      <c r="V81" s="314" t="str">
        <f t="shared" si="5"/>
        <v/>
      </c>
      <c r="W81" s="314" t="str" cm="1">
        <f t="array" aca="1" ref="W81" ca="1">IFERROR(IF(AE81&lt;&gt;"ja",_xlfn.IFNA(_xlfn.IFS(AND(O81&lt;&gt;"",F81&lt;&gt;"",RIGHT($N81,6)="tarief",F81="Vergoeding"),SUM(O81)*FLOOR(SUM(Q81),0.0001),AND(O81&lt;&gt;"",F81&lt;&gt;"",RIGHT($N81,6)="tarief"),SUM(O81)*FLOOR(SUM(Q81),0.01),S81&gt;0,IF(F81&lt;&gt;"",FLOOR(SUM(S81),0.01),"")),""),""),"")</f>
        <v/>
      </c>
      <c r="X81" s="314" t="str" cm="1">
        <f t="array" aca="1" ref="X81" ca="1">IFERROR(IF(AE81&lt;&gt;"ja",_xlfn.IFNA(_xlfn.IFS(AND(P81&lt;&gt;"",R81&lt;&gt;"",RIGHT($N81,6)="tarief",F81="Vergoeding"),SUM(P81)*FLOOR(SUM(R81),0.0001),AND(P81&lt;&gt;"",R81&lt;&gt;"",RIGHT($N81,6)="tarief"),P81*FLOOR(R81,0.01),T81&gt;0,FLOOR(SUM(T81),0.01)),""),""),"")</f>
        <v/>
      </c>
      <c r="Y81" s="314" t="str">
        <f t="shared" ca="1" si="6"/>
        <v/>
      </c>
      <c r="Z81" s="314" t="str" cm="1">
        <f t="array" aca="1" ref="Z81" ca="1">IFERROR(_xlfn.IFS(OR(F81="",LEFT(Methode_Keuze,4)="Geen",Methode_Keuze=""),"",AND(W81&lt;&gt;"",F81&lt;&gt;"Arbeidskosten"),W81*VLOOKUP(F81,Tb_ProjectKosten[],MATCH(Tb_ProjectKosten[[#Headers],[Forfait_Percentage]],Tb_ProjectKosten[#Headers],0),0),AND(F81="Arbeidskosten",G81&lt;&gt;""),IFERROR(W81*VLOOKUP(G81,Tb_KostenTypen[],3,0)*VLOOKUP(F81,Tb_ProjectKosten[],MATCH(Tb_ProjectKosten[[#Headers],[Forfait_Percentage]],Tb_ProjectKosten[#Headers],0),0),""),W81 &lt;=0,0),"")</f>
        <v/>
      </c>
      <c r="AA81" s="314" t="str" cm="1">
        <f t="array" aca="1" ref="AA81" ca="1">IFERROR(_xlfn.IFS(OR(F81="",LEFT(Methode_Keuze,4)="Geen",Methode_Keuze=""),"",AND(X81&lt;&gt;"",F81&lt;&gt;"Arbeidskosten"),X81*VLOOKUP(F81,Tb_ProjectKosten[],MATCH(Tb_ProjectKosten[[#Headers],[Forfait_Percentage]],Tb_ProjectKosten[#Headers],0),0),AND(F81="Arbeidskosten",G81&lt;&gt;""),IFERROR(X81*VLOOKUP(G81,Tb_KostenTypen[],3,0)*VLOOKUP(F81,Tb_ProjectKosten[],MATCH(Tb_ProjectKosten[[#Headers],[Forfait_Percentage]],Tb_ProjectKosten[#Headers],0),0),""),X81 &lt;=0,0),"")</f>
        <v/>
      </c>
      <c r="AB81" s="314" t="str">
        <f t="shared" ca="1" si="7"/>
        <v/>
      </c>
      <c r="AC81" s="322"/>
      <c r="AD81" s="315"/>
      <c r="AE81" s="32" t="str" cm="1">
        <f t="array" ref="AE81">IFERROR(IF(INDEX(SubsidieTabel!$AD$1:$AG$12,MATCH($F81,SubsidieTabel!$AD$1:$AD$12,0),IFERROR(MATCH(Methode_Keuze,SubsidieTabel!$AD$1:$AG$1,0),2))&lt;&gt;1=TRUE,"ja",""),"")</f>
        <v/>
      </c>
    </row>
    <row r="82" spans="1:31" x14ac:dyDescent="0.25">
      <c r="A82" s="316"/>
      <c r="B82" s="317" t="str">
        <f>IF(A82&lt;&gt;"",_xlfn.MAXIFS($B$1:B81,$A$1:A81,A82)+1,"")</f>
        <v/>
      </c>
      <c r="C82" s="296"/>
      <c r="D82" s="296"/>
      <c r="E82" s="296"/>
      <c r="F82" s="296"/>
      <c r="G82" s="326"/>
      <c r="H82" s="324"/>
      <c r="I82" s="325"/>
      <c r="J82" s="325"/>
      <c r="K82" s="318"/>
      <c r="L82" s="318"/>
      <c r="M82" s="319" t="str">
        <f>IFERROR(VLOOKUP(H82,Lijsten!$H$1:$I$100,2,0),"")</f>
        <v/>
      </c>
      <c r="N82" s="319" t="str">
        <f ca="1">IFERROR(IF(VLOOKUP(F82,Kostentypen!$A$3:$E$21,3,0)=0,"",IF(OR(F82="Arbeidskosten",F82="Vergoeding"),VLOOKUP(G82,Tb_KostenTypen[],2,0),VLOOKUP(F82,Kostentypen!$A$3:$E$20,3,0))),"")</f>
        <v/>
      </c>
      <c r="O82" s="320" t="str" cm="1">
        <f t="array" ref="O82">_xlfn.IFNA(IF(INDEX(Tb_KostenOptiesDB[],MATCH($F82,Tb_KostenOptiesDB[KostenOptie],0),IFERROR(MATCH(Methode_Keuze,Tb_KostenOptiesDB[#Headers],0),2))=1,_xlfn.SWITCH($N82,"Uurtarief",IF(OR(AND(RIGHT($F82,3)="IKS",VLOOKUP($M82,DB_Loonkosten,2,0)="Ja"),AND(RIGHT($F82,3)&lt;&gt;"IKS",VLOOKUP($M82,DB_Loonkosten,2,0)="Nee")),IFERROR(VLOOKUP($M82,DB_Loonkosten,24,0),""),0),"Vast tarief",IF(LEFT(F82,8)="Bijdrage",VLOOKUP($F82,Tb_KostenTypen[],MATCH(Lijsten!$P$1,Tb_KostenTypen[#Headers],0),0),VLOOKUP($G82,Lijsten!L:P,MATCH(Lijsten!$P$1,Kop_Tarief_Vast,0),0))),""),"")</f>
        <v/>
      </c>
      <c r="P82" s="320" t="str" cm="1">
        <f t="array" ref="P82">_xlfn.IFNA(IF(INDEX(Tb_KostenOptiesDB[],MATCH($F82,Tb_KostenOptiesDB[KostenOptie],0),IFERROR(MATCH(Methode_Keuze,Tb_KostenOptiesDB[#Headers],0),2))=1,_xlfn.SWITCH($N82,"Uurtarief",IF(OR(AND(RIGHT($F82,3)="IKS",VLOOKUP($M82,DB_Loonkosten,2,0)="Ja"),AND(RIGHT($F82,3)&lt;&gt;"IKS",VLOOKUP($M82,DB_Loonkosten,2,0)="Nee")),IFERROR(VLOOKUP($M82,DB_Loonkosten,25,0),""),0),"Vast tarief",IF(LEFT(F82,8)="Bijdrage",VLOOKUP($F82,Tb_KostenTypen[],MATCH(Lijsten!$P$1,Tb_KostenTypen[#Headers],0),0),VLOOKUP($G82,Lijsten!L:P,MATCH(Lijsten!$P$1,Kop_Tarief_Vast,0),0))),""),"")</f>
        <v/>
      </c>
      <c r="Q82" s="359"/>
      <c r="R82" s="359"/>
      <c r="S82" s="321"/>
      <c r="T82" s="321"/>
      <c r="U82" s="373" t="str">
        <f t="shared" si="4"/>
        <v/>
      </c>
      <c r="V82" s="314" t="str">
        <f t="shared" si="5"/>
        <v/>
      </c>
      <c r="W82" s="314" t="str" cm="1">
        <f t="array" aca="1" ref="W82" ca="1">IFERROR(IF(AE82&lt;&gt;"ja",_xlfn.IFNA(_xlfn.IFS(AND(O82&lt;&gt;"",F82&lt;&gt;"",RIGHT($N82,6)="tarief",F82="Vergoeding"),SUM(O82)*FLOOR(SUM(Q82),0.0001),AND(O82&lt;&gt;"",F82&lt;&gt;"",RIGHT($N82,6)="tarief"),SUM(O82)*FLOOR(SUM(Q82),0.01),S82&gt;0,IF(F82&lt;&gt;"",FLOOR(SUM(S82),0.01),"")),""),""),"")</f>
        <v/>
      </c>
      <c r="X82" s="314" t="str" cm="1">
        <f t="array" aca="1" ref="X82" ca="1">IFERROR(IF(AE82&lt;&gt;"ja",_xlfn.IFNA(_xlfn.IFS(AND(P82&lt;&gt;"",R82&lt;&gt;"",RIGHT($N82,6)="tarief",F82="Vergoeding"),SUM(P82)*FLOOR(SUM(R82),0.0001),AND(P82&lt;&gt;"",R82&lt;&gt;"",RIGHT($N82,6)="tarief"),P82*FLOOR(R82,0.01),T82&gt;0,FLOOR(SUM(T82),0.01)),""),""),"")</f>
        <v/>
      </c>
      <c r="Y82" s="314" t="str">
        <f t="shared" ca="1" si="6"/>
        <v/>
      </c>
      <c r="Z82" s="314" t="str" cm="1">
        <f t="array" aca="1" ref="Z82" ca="1">IFERROR(_xlfn.IFS(OR(F82="",LEFT(Methode_Keuze,4)="Geen",Methode_Keuze=""),"",AND(W82&lt;&gt;"",F82&lt;&gt;"Arbeidskosten"),W82*VLOOKUP(F82,Tb_ProjectKosten[],MATCH(Tb_ProjectKosten[[#Headers],[Forfait_Percentage]],Tb_ProjectKosten[#Headers],0),0),AND(F82="Arbeidskosten",G82&lt;&gt;""),IFERROR(W82*VLOOKUP(G82,Tb_KostenTypen[],3,0)*VLOOKUP(F82,Tb_ProjectKosten[],MATCH(Tb_ProjectKosten[[#Headers],[Forfait_Percentage]],Tb_ProjectKosten[#Headers],0),0),""),W82 &lt;=0,0),"")</f>
        <v/>
      </c>
      <c r="AA82" s="314" t="str" cm="1">
        <f t="array" aca="1" ref="AA82" ca="1">IFERROR(_xlfn.IFS(OR(F82="",LEFT(Methode_Keuze,4)="Geen",Methode_Keuze=""),"",AND(X82&lt;&gt;"",F82&lt;&gt;"Arbeidskosten"),X82*VLOOKUP(F82,Tb_ProjectKosten[],MATCH(Tb_ProjectKosten[[#Headers],[Forfait_Percentage]],Tb_ProjectKosten[#Headers],0),0),AND(F82="Arbeidskosten",G82&lt;&gt;""),IFERROR(X82*VLOOKUP(G82,Tb_KostenTypen[],3,0)*VLOOKUP(F82,Tb_ProjectKosten[],MATCH(Tb_ProjectKosten[[#Headers],[Forfait_Percentage]],Tb_ProjectKosten[#Headers],0),0),""),X82 &lt;=0,0),"")</f>
        <v/>
      </c>
      <c r="AB82" s="314" t="str">
        <f t="shared" ca="1" si="7"/>
        <v/>
      </c>
      <c r="AC82" s="322"/>
      <c r="AD82" s="315"/>
      <c r="AE82" s="32" t="str" cm="1">
        <f t="array" ref="AE82">IFERROR(IF(INDEX(SubsidieTabel!$AD$1:$AG$12,MATCH($F82,SubsidieTabel!$AD$1:$AD$12,0),IFERROR(MATCH(Methode_Keuze,SubsidieTabel!$AD$1:$AG$1,0),2))&lt;&gt;1=TRUE,"ja",""),"")</f>
        <v/>
      </c>
    </row>
    <row r="83" spans="1:31" x14ac:dyDescent="0.25">
      <c r="A83" s="316"/>
      <c r="B83" s="317" t="str">
        <f>IF(A83&lt;&gt;"",_xlfn.MAXIFS($B$1:B82,$A$1:A82,A83)+1,"")</f>
        <v/>
      </c>
      <c r="C83" s="296"/>
      <c r="D83" s="296"/>
      <c r="E83" s="296"/>
      <c r="F83" s="296"/>
      <c r="G83" s="326"/>
      <c r="H83" s="324"/>
      <c r="I83" s="325"/>
      <c r="J83" s="325"/>
      <c r="K83" s="318"/>
      <c r="L83" s="318"/>
      <c r="M83" s="319" t="str">
        <f>IFERROR(VLOOKUP(H83,Lijsten!$H$1:$I$100,2,0),"")</f>
        <v/>
      </c>
      <c r="N83" s="319" t="str">
        <f ca="1">IFERROR(IF(VLOOKUP(F83,Kostentypen!$A$3:$E$21,3,0)=0,"",IF(OR(F83="Arbeidskosten",F83="Vergoeding"),VLOOKUP(G83,Tb_KostenTypen[],2,0),VLOOKUP(F83,Kostentypen!$A$3:$E$20,3,0))),"")</f>
        <v/>
      </c>
      <c r="O83" s="320" t="str" cm="1">
        <f t="array" ref="O83">_xlfn.IFNA(IF(INDEX(Tb_KostenOptiesDB[],MATCH($F83,Tb_KostenOptiesDB[KostenOptie],0),IFERROR(MATCH(Methode_Keuze,Tb_KostenOptiesDB[#Headers],0),2))=1,_xlfn.SWITCH($N83,"Uurtarief",IF(OR(AND(RIGHT($F83,3)="IKS",VLOOKUP($M83,DB_Loonkosten,2,0)="Ja"),AND(RIGHT($F83,3)&lt;&gt;"IKS",VLOOKUP($M83,DB_Loonkosten,2,0)="Nee")),IFERROR(VLOOKUP($M83,DB_Loonkosten,24,0),""),0),"Vast tarief",IF(LEFT(F83,8)="Bijdrage",VLOOKUP($F83,Tb_KostenTypen[],MATCH(Lijsten!$P$1,Tb_KostenTypen[#Headers],0),0),VLOOKUP($G83,Lijsten!L:P,MATCH(Lijsten!$P$1,Kop_Tarief_Vast,0),0))),""),"")</f>
        <v/>
      </c>
      <c r="P83" s="320" t="str" cm="1">
        <f t="array" ref="P83">_xlfn.IFNA(IF(INDEX(Tb_KostenOptiesDB[],MATCH($F83,Tb_KostenOptiesDB[KostenOptie],0),IFERROR(MATCH(Methode_Keuze,Tb_KostenOptiesDB[#Headers],0),2))=1,_xlfn.SWITCH($N83,"Uurtarief",IF(OR(AND(RIGHT($F83,3)="IKS",VLOOKUP($M83,DB_Loonkosten,2,0)="Ja"),AND(RIGHT($F83,3)&lt;&gt;"IKS",VLOOKUP($M83,DB_Loonkosten,2,0)="Nee")),IFERROR(VLOOKUP($M83,DB_Loonkosten,25,0),""),0),"Vast tarief",IF(LEFT(F83,8)="Bijdrage",VLOOKUP($F83,Tb_KostenTypen[],MATCH(Lijsten!$P$1,Tb_KostenTypen[#Headers],0),0),VLOOKUP($G83,Lijsten!L:P,MATCH(Lijsten!$P$1,Kop_Tarief_Vast,0),0))),""),"")</f>
        <v/>
      </c>
      <c r="Q83" s="359"/>
      <c r="R83" s="359"/>
      <c r="S83" s="321"/>
      <c r="T83" s="321"/>
      <c r="U83" s="373" t="str">
        <f t="shared" si="4"/>
        <v/>
      </c>
      <c r="V83" s="314" t="str">
        <f t="shared" si="5"/>
        <v/>
      </c>
      <c r="W83" s="314" t="str" cm="1">
        <f t="array" aca="1" ref="W83" ca="1">IFERROR(IF(AE83&lt;&gt;"ja",_xlfn.IFNA(_xlfn.IFS(AND(O83&lt;&gt;"",F83&lt;&gt;"",RIGHT($N83,6)="tarief",F83="Vergoeding"),SUM(O83)*FLOOR(SUM(Q83),0.0001),AND(O83&lt;&gt;"",F83&lt;&gt;"",RIGHT($N83,6)="tarief"),SUM(O83)*FLOOR(SUM(Q83),0.01),S83&gt;0,IF(F83&lt;&gt;"",FLOOR(SUM(S83),0.01),"")),""),""),"")</f>
        <v/>
      </c>
      <c r="X83" s="314" t="str" cm="1">
        <f t="array" aca="1" ref="X83" ca="1">IFERROR(IF(AE83&lt;&gt;"ja",_xlfn.IFNA(_xlfn.IFS(AND(P83&lt;&gt;"",R83&lt;&gt;"",RIGHT($N83,6)="tarief",F83="Vergoeding"),SUM(P83)*FLOOR(SUM(R83),0.0001),AND(P83&lt;&gt;"",R83&lt;&gt;"",RIGHT($N83,6)="tarief"),P83*FLOOR(R83,0.01),T83&gt;0,FLOOR(SUM(T83),0.01)),""),""),"")</f>
        <v/>
      </c>
      <c r="Y83" s="314" t="str">
        <f t="shared" ca="1" si="6"/>
        <v/>
      </c>
      <c r="Z83" s="314" t="str" cm="1">
        <f t="array" aca="1" ref="Z83" ca="1">IFERROR(_xlfn.IFS(OR(F83="",LEFT(Methode_Keuze,4)="Geen",Methode_Keuze=""),"",AND(W83&lt;&gt;"",F83&lt;&gt;"Arbeidskosten"),W83*VLOOKUP(F83,Tb_ProjectKosten[],MATCH(Tb_ProjectKosten[[#Headers],[Forfait_Percentage]],Tb_ProjectKosten[#Headers],0),0),AND(F83="Arbeidskosten",G83&lt;&gt;""),IFERROR(W83*VLOOKUP(G83,Tb_KostenTypen[],3,0)*VLOOKUP(F83,Tb_ProjectKosten[],MATCH(Tb_ProjectKosten[[#Headers],[Forfait_Percentage]],Tb_ProjectKosten[#Headers],0),0),""),W83 &lt;=0,0),"")</f>
        <v/>
      </c>
      <c r="AA83" s="314" t="str" cm="1">
        <f t="array" aca="1" ref="AA83" ca="1">IFERROR(_xlfn.IFS(OR(F83="",LEFT(Methode_Keuze,4)="Geen",Methode_Keuze=""),"",AND(X83&lt;&gt;"",F83&lt;&gt;"Arbeidskosten"),X83*VLOOKUP(F83,Tb_ProjectKosten[],MATCH(Tb_ProjectKosten[[#Headers],[Forfait_Percentage]],Tb_ProjectKosten[#Headers],0),0),AND(F83="Arbeidskosten",G83&lt;&gt;""),IFERROR(X83*VLOOKUP(G83,Tb_KostenTypen[],3,0)*VLOOKUP(F83,Tb_ProjectKosten[],MATCH(Tb_ProjectKosten[[#Headers],[Forfait_Percentage]],Tb_ProjectKosten[#Headers],0),0),""),X83 &lt;=0,0),"")</f>
        <v/>
      </c>
      <c r="AB83" s="314" t="str">
        <f t="shared" ca="1" si="7"/>
        <v/>
      </c>
      <c r="AC83" s="322"/>
      <c r="AD83" s="315"/>
      <c r="AE83" s="32" t="str" cm="1">
        <f t="array" ref="AE83">IFERROR(IF(INDEX(SubsidieTabel!$AD$1:$AG$12,MATCH($F83,SubsidieTabel!$AD$1:$AD$12,0),IFERROR(MATCH(Methode_Keuze,SubsidieTabel!$AD$1:$AG$1,0),2))&lt;&gt;1=TRUE,"ja",""),"")</f>
        <v/>
      </c>
    </row>
    <row r="84" spans="1:31" x14ac:dyDescent="0.25">
      <c r="A84" s="316"/>
      <c r="B84" s="317" t="str">
        <f>IF(A84&lt;&gt;"",_xlfn.MAXIFS($B$1:B83,$A$1:A83,A84)+1,"")</f>
        <v/>
      </c>
      <c r="C84" s="296"/>
      <c r="D84" s="296"/>
      <c r="E84" s="296"/>
      <c r="F84" s="296"/>
      <c r="G84" s="326"/>
      <c r="H84" s="324"/>
      <c r="I84" s="325"/>
      <c r="J84" s="325"/>
      <c r="K84" s="318"/>
      <c r="L84" s="318"/>
      <c r="M84" s="319" t="str">
        <f>IFERROR(VLOOKUP(H84,Lijsten!$H$1:$I$100,2,0),"")</f>
        <v/>
      </c>
      <c r="N84" s="319" t="str">
        <f ca="1">IFERROR(IF(VLOOKUP(F84,Kostentypen!$A$3:$E$21,3,0)=0,"",IF(OR(F84="Arbeidskosten",F84="Vergoeding"),VLOOKUP(G84,Tb_KostenTypen[],2,0),VLOOKUP(F84,Kostentypen!$A$3:$E$20,3,0))),"")</f>
        <v/>
      </c>
      <c r="O84" s="320" t="str" cm="1">
        <f t="array" ref="O84">_xlfn.IFNA(IF(INDEX(Tb_KostenOptiesDB[],MATCH($F84,Tb_KostenOptiesDB[KostenOptie],0),IFERROR(MATCH(Methode_Keuze,Tb_KostenOptiesDB[#Headers],0),2))=1,_xlfn.SWITCH($N84,"Uurtarief",IF(OR(AND(RIGHT($F84,3)="IKS",VLOOKUP($M84,DB_Loonkosten,2,0)="Ja"),AND(RIGHT($F84,3)&lt;&gt;"IKS",VLOOKUP($M84,DB_Loonkosten,2,0)="Nee")),IFERROR(VLOOKUP($M84,DB_Loonkosten,24,0),""),0),"Vast tarief",IF(LEFT(F84,8)="Bijdrage",VLOOKUP($F84,Tb_KostenTypen[],MATCH(Lijsten!$P$1,Tb_KostenTypen[#Headers],0),0),VLOOKUP($G84,Lijsten!L:P,MATCH(Lijsten!$P$1,Kop_Tarief_Vast,0),0))),""),"")</f>
        <v/>
      </c>
      <c r="P84" s="320" t="str" cm="1">
        <f t="array" ref="P84">_xlfn.IFNA(IF(INDEX(Tb_KostenOptiesDB[],MATCH($F84,Tb_KostenOptiesDB[KostenOptie],0),IFERROR(MATCH(Methode_Keuze,Tb_KostenOptiesDB[#Headers],0),2))=1,_xlfn.SWITCH($N84,"Uurtarief",IF(OR(AND(RIGHT($F84,3)="IKS",VLOOKUP($M84,DB_Loonkosten,2,0)="Ja"),AND(RIGHT($F84,3)&lt;&gt;"IKS",VLOOKUP($M84,DB_Loonkosten,2,0)="Nee")),IFERROR(VLOOKUP($M84,DB_Loonkosten,25,0),""),0),"Vast tarief",IF(LEFT(F84,8)="Bijdrage",VLOOKUP($F84,Tb_KostenTypen[],MATCH(Lijsten!$P$1,Tb_KostenTypen[#Headers],0),0),VLOOKUP($G84,Lijsten!L:P,MATCH(Lijsten!$P$1,Kop_Tarief_Vast,0),0))),""),"")</f>
        <v/>
      </c>
      <c r="Q84" s="359"/>
      <c r="R84" s="359"/>
      <c r="S84" s="321"/>
      <c r="T84" s="321"/>
      <c r="U84" s="373" t="str">
        <f t="shared" si="4"/>
        <v/>
      </c>
      <c r="V84" s="314" t="str">
        <f t="shared" si="5"/>
        <v/>
      </c>
      <c r="W84" s="314" t="str" cm="1">
        <f t="array" aca="1" ref="W84" ca="1">IFERROR(IF(AE84&lt;&gt;"ja",_xlfn.IFNA(_xlfn.IFS(AND(O84&lt;&gt;"",F84&lt;&gt;"",RIGHT($N84,6)="tarief",F84="Vergoeding"),SUM(O84)*FLOOR(SUM(Q84),0.0001),AND(O84&lt;&gt;"",F84&lt;&gt;"",RIGHT($N84,6)="tarief"),SUM(O84)*FLOOR(SUM(Q84),0.01),S84&gt;0,IF(F84&lt;&gt;"",FLOOR(SUM(S84),0.01),"")),""),""),"")</f>
        <v/>
      </c>
      <c r="X84" s="314" t="str" cm="1">
        <f t="array" aca="1" ref="X84" ca="1">IFERROR(IF(AE84&lt;&gt;"ja",_xlfn.IFNA(_xlfn.IFS(AND(P84&lt;&gt;"",R84&lt;&gt;"",RIGHT($N84,6)="tarief",F84="Vergoeding"),SUM(P84)*FLOOR(SUM(R84),0.0001),AND(P84&lt;&gt;"",R84&lt;&gt;"",RIGHT($N84,6)="tarief"),P84*FLOOR(R84,0.01),T84&gt;0,FLOOR(SUM(T84),0.01)),""),""),"")</f>
        <v/>
      </c>
      <c r="Y84" s="314" t="str">
        <f t="shared" ca="1" si="6"/>
        <v/>
      </c>
      <c r="Z84" s="314" t="str" cm="1">
        <f t="array" aca="1" ref="Z84" ca="1">IFERROR(_xlfn.IFS(OR(F84="",LEFT(Methode_Keuze,4)="Geen",Methode_Keuze=""),"",AND(W84&lt;&gt;"",F84&lt;&gt;"Arbeidskosten"),W84*VLOOKUP(F84,Tb_ProjectKosten[],MATCH(Tb_ProjectKosten[[#Headers],[Forfait_Percentage]],Tb_ProjectKosten[#Headers],0),0),AND(F84="Arbeidskosten",G84&lt;&gt;""),IFERROR(W84*VLOOKUP(G84,Tb_KostenTypen[],3,0)*VLOOKUP(F84,Tb_ProjectKosten[],MATCH(Tb_ProjectKosten[[#Headers],[Forfait_Percentage]],Tb_ProjectKosten[#Headers],0),0),""),W84 &lt;=0,0),"")</f>
        <v/>
      </c>
      <c r="AA84" s="314" t="str" cm="1">
        <f t="array" aca="1" ref="AA84" ca="1">IFERROR(_xlfn.IFS(OR(F84="",LEFT(Methode_Keuze,4)="Geen",Methode_Keuze=""),"",AND(X84&lt;&gt;"",F84&lt;&gt;"Arbeidskosten"),X84*VLOOKUP(F84,Tb_ProjectKosten[],MATCH(Tb_ProjectKosten[[#Headers],[Forfait_Percentage]],Tb_ProjectKosten[#Headers],0),0),AND(F84="Arbeidskosten",G84&lt;&gt;""),IFERROR(X84*VLOOKUP(G84,Tb_KostenTypen[],3,0)*VLOOKUP(F84,Tb_ProjectKosten[],MATCH(Tb_ProjectKosten[[#Headers],[Forfait_Percentage]],Tb_ProjectKosten[#Headers],0),0),""),X84 &lt;=0,0),"")</f>
        <v/>
      </c>
      <c r="AB84" s="314" t="str">
        <f t="shared" ca="1" si="7"/>
        <v/>
      </c>
      <c r="AC84" s="322"/>
      <c r="AD84" s="315"/>
      <c r="AE84" s="32" t="str" cm="1">
        <f t="array" ref="AE84">IFERROR(IF(INDEX(SubsidieTabel!$AD$1:$AG$12,MATCH($F84,SubsidieTabel!$AD$1:$AD$12,0),IFERROR(MATCH(Methode_Keuze,SubsidieTabel!$AD$1:$AG$1,0),2))&lt;&gt;1=TRUE,"ja",""),"")</f>
        <v/>
      </c>
    </row>
    <row r="85" spans="1:31" x14ac:dyDescent="0.25">
      <c r="A85" s="316"/>
      <c r="B85" s="317" t="str">
        <f>IF(A85&lt;&gt;"",_xlfn.MAXIFS($B$1:B84,$A$1:A84,A85)+1,"")</f>
        <v/>
      </c>
      <c r="C85" s="296"/>
      <c r="D85" s="296"/>
      <c r="E85" s="296"/>
      <c r="F85" s="296"/>
      <c r="G85" s="326"/>
      <c r="H85" s="324"/>
      <c r="I85" s="325"/>
      <c r="J85" s="325"/>
      <c r="K85" s="318"/>
      <c r="L85" s="318"/>
      <c r="M85" s="319" t="str">
        <f>IFERROR(VLOOKUP(H85,Lijsten!$H$1:$I$100,2,0),"")</f>
        <v/>
      </c>
      <c r="N85" s="319" t="str">
        <f ca="1">IFERROR(IF(VLOOKUP(F85,Kostentypen!$A$3:$E$21,3,0)=0,"",IF(OR(F85="Arbeidskosten",F85="Vergoeding"),VLOOKUP(G85,Tb_KostenTypen[],2,0),VLOOKUP(F85,Kostentypen!$A$3:$E$20,3,0))),"")</f>
        <v/>
      </c>
      <c r="O85" s="320" t="str" cm="1">
        <f t="array" ref="O85">_xlfn.IFNA(IF(INDEX(Tb_KostenOptiesDB[],MATCH($F85,Tb_KostenOptiesDB[KostenOptie],0),IFERROR(MATCH(Methode_Keuze,Tb_KostenOptiesDB[#Headers],0),2))=1,_xlfn.SWITCH($N85,"Uurtarief",IF(OR(AND(RIGHT($F85,3)="IKS",VLOOKUP($M85,DB_Loonkosten,2,0)="Ja"),AND(RIGHT($F85,3)&lt;&gt;"IKS",VLOOKUP($M85,DB_Loonkosten,2,0)="Nee")),IFERROR(VLOOKUP($M85,DB_Loonkosten,24,0),""),0),"Vast tarief",IF(LEFT(F85,8)="Bijdrage",VLOOKUP($F85,Tb_KostenTypen[],MATCH(Lijsten!$P$1,Tb_KostenTypen[#Headers],0),0),VLOOKUP($G85,Lijsten!L:P,MATCH(Lijsten!$P$1,Kop_Tarief_Vast,0),0))),""),"")</f>
        <v/>
      </c>
      <c r="P85" s="320" t="str" cm="1">
        <f t="array" ref="P85">_xlfn.IFNA(IF(INDEX(Tb_KostenOptiesDB[],MATCH($F85,Tb_KostenOptiesDB[KostenOptie],0),IFERROR(MATCH(Methode_Keuze,Tb_KostenOptiesDB[#Headers],0),2))=1,_xlfn.SWITCH($N85,"Uurtarief",IF(OR(AND(RIGHT($F85,3)="IKS",VLOOKUP($M85,DB_Loonkosten,2,0)="Ja"),AND(RIGHT($F85,3)&lt;&gt;"IKS",VLOOKUP($M85,DB_Loonkosten,2,0)="Nee")),IFERROR(VLOOKUP($M85,DB_Loonkosten,25,0),""),0),"Vast tarief",IF(LEFT(F85,8)="Bijdrage",VLOOKUP($F85,Tb_KostenTypen[],MATCH(Lijsten!$P$1,Tb_KostenTypen[#Headers],0),0),VLOOKUP($G85,Lijsten!L:P,MATCH(Lijsten!$P$1,Kop_Tarief_Vast,0),0))),""),"")</f>
        <v/>
      </c>
      <c r="Q85" s="359"/>
      <c r="R85" s="359"/>
      <c r="S85" s="321"/>
      <c r="T85" s="321"/>
      <c r="U85" s="373" t="str">
        <f t="shared" si="4"/>
        <v/>
      </c>
      <c r="V85" s="314" t="str">
        <f t="shared" si="5"/>
        <v/>
      </c>
      <c r="W85" s="314" t="str" cm="1">
        <f t="array" aca="1" ref="W85" ca="1">IFERROR(IF(AE85&lt;&gt;"ja",_xlfn.IFNA(_xlfn.IFS(AND(O85&lt;&gt;"",F85&lt;&gt;"",RIGHT($N85,6)="tarief",F85="Vergoeding"),SUM(O85)*FLOOR(SUM(Q85),0.0001),AND(O85&lt;&gt;"",F85&lt;&gt;"",RIGHT($N85,6)="tarief"),SUM(O85)*FLOOR(SUM(Q85),0.01),S85&gt;0,IF(F85&lt;&gt;"",FLOOR(SUM(S85),0.01),"")),""),""),"")</f>
        <v/>
      </c>
      <c r="X85" s="314" t="str" cm="1">
        <f t="array" aca="1" ref="X85" ca="1">IFERROR(IF(AE85&lt;&gt;"ja",_xlfn.IFNA(_xlfn.IFS(AND(P85&lt;&gt;"",R85&lt;&gt;"",RIGHT($N85,6)="tarief",F85="Vergoeding"),SUM(P85)*FLOOR(SUM(R85),0.0001),AND(P85&lt;&gt;"",R85&lt;&gt;"",RIGHT($N85,6)="tarief"),P85*FLOOR(R85,0.01),T85&gt;0,FLOOR(SUM(T85),0.01)),""),""),"")</f>
        <v/>
      </c>
      <c r="Y85" s="314" t="str">
        <f t="shared" ca="1" si="6"/>
        <v/>
      </c>
      <c r="Z85" s="314" t="str" cm="1">
        <f t="array" aca="1" ref="Z85" ca="1">IFERROR(_xlfn.IFS(OR(F85="",LEFT(Methode_Keuze,4)="Geen",Methode_Keuze=""),"",AND(W85&lt;&gt;"",F85&lt;&gt;"Arbeidskosten"),W85*VLOOKUP(F85,Tb_ProjectKosten[],MATCH(Tb_ProjectKosten[[#Headers],[Forfait_Percentage]],Tb_ProjectKosten[#Headers],0),0),AND(F85="Arbeidskosten",G85&lt;&gt;""),IFERROR(W85*VLOOKUP(G85,Tb_KostenTypen[],3,0)*VLOOKUP(F85,Tb_ProjectKosten[],MATCH(Tb_ProjectKosten[[#Headers],[Forfait_Percentage]],Tb_ProjectKosten[#Headers],0),0),""),W85 &lt;=0,0),"")</f>
        <v/>
      </c>
      <c r="AA85" s="314" t="str" cm="1">
        <f t="array" aca="1" ref="AA85" ca="1">IFERROR(_xlfn.IFS(OR(F85="",LEFT(Methode_Keuze,4)="Geen",Methode_Keuze=""),"",AND(X85&lt;&gt;"",F85&lt;&gt;"Arbeidskosten"),X85*VLOOKUP(F85,Tb_ProjectKosten[],MATCH(Tb_ProjectKosten[[#Headers],[Forfait_Percentage]],Tb_ProjectKosten[#Headers],0),0),AND(F85="Arbeidskosten",G85&lt;&gt;""),IFERROR(X85*VLOOKUP(G85,Tb_KostenTypen[],3,0)*VLOOKUP(F85,Tb_ProjectKosten[],MATCH(Tb_ProjectKosten[[#Headers],[Forfait_Percentage]],Tb_ProjectKosten[#Headers],0),0),""),X85 &lt;=0,0),"")</f>
        <v/>
      </c>
      <c r="AB85" s="314" t="str">
        <f t="shared" ca="1" si="7"/>
        <v/>
      </c>
      <c r="AC85" s="322"/>
      <c r="AD85" s="315"/>
      <c r="AE85" s="32" t="str" cm="1">
        <f t="array" ref="AE85">IFERROR(IF(INDEX(SubsidieTabel!$AD$1:$AG$12,MATCH($F85,SubsidieTabel!$AD$1:$AD$12,0),IFERROR(MATCH(Methode_Keuze,SubsidieTabel!$AD$1:$AG$1,0),2))&lt;&gt;1=TRUE,"ja",""),"")</f>
        <v/>
      </c>
    </row>
    <row r="86" spans="1:31" x14ac:dyDescent="0.25">
      <c r="A86" s="316"/>
      <c r="B86" s="317" t="str">
        <f>IF(A86&lt;&gt;"",_xlfn.MAXIFS($B$1:B85,$A$1:A85,A86)+1,"")</f>
        <v/>
      </c>
      <c r="C86" s="296"/>
      <c r="D86" s="296"/>
      <c r="E86" s="296"/>
      <c r="F86" s="296"/>
      <c r="G86" s="326"/>
      <c r="H86" s="324"/>
      <c r="I86" s="325"/>
      <c r="J86" s="325"/>
      <c r="K86" s="318"/>
      <c r="L86" s="318"/>
      <c r="M86" s="319" t="str">
        <f>IFERROR(VLOOKUP(H86,Lijsten!$H$1:$I$100,2,0),"")</f>
        <v/>
      </c>
      <c r="N86" s="319" t="str">
        <f ca="1">IFERROR(IF(VLOOKUP(F86,Kostentypen!$A$3:$E$21,3,0)=0,"",IF(OR(F86="Arbeidskosten",F86="Vergoeding"),VLOOKUP(G86,Tb_KostenTypen[],2,0),VLOOKUP(F86,Kostentypen!$A$3:$E$20,3,0))),"")</f>
        <v/>
      </c>
      <c r="O86" s="320" t="str" cm="1">
        <f t="array" ref="O86">_xlfn.IFNA(IF(INDEX(Tb_KostenOptiesDB[],MATCH($F86,Tb_KostenOptiesDB[KostenOptie],0),IFERROR(MATCH(Methode_Keuze,Tb_KostenOptiesDB[#Headers],0),2))=1,_xlfn.SWITCH($N86,"Uurtarief",IF(OR(AND(RIGHT($F86,3)="IKS",VLOOKUP($M86,DB_Loonkosten,2,0)="Ja"),AND(RIGHT($F86,3)&lt;&gt;"IKS",VLOOKUP($M86,DB_Loonkosten,2,0)="Nee")),IFERROR(VLOOKUP($M86,DB_Loonkosten,24,0),""),0),"Vast tarief",IF(LEFT(F86,8)="Bijdrage",VLOOKUP($F86,Tb_KostenTypen[],MATCH(Lijsten!$P$1,Tb_KostenTypen[#Headers],0),0),VLOOKUP($G86,Lijsten!L:P,MATCH(Lijsten!$P$1,Kop_Tarief_Vast,0),0))),""),"")</f>
        <v/>
      </c>
      <c r="P86" s="320" t="str" cm="1">
        <f t="array" ref="P86">_xlfn.IFNA(IF(INDEX(Tb_KostenOptiesDB[],MATCH($F86,Tb_KostenOptiesDB[KostenOptie],0),IFERROR(MATCH(Methode_Keuze,Tb_KostenOptiesDB[#Headers],0),2))=1,_xlfn.SWITCH($N86,"Uurtarief",IF(OR(AND(RIGHT($F86,3)="IKS",VLOOKUP($M86,DB_Loonkosten,2,0)="Ja"),AND(RIGHT($F86,3)&lt;&gt;"IKS",VLOOKUP($M86,DB_Loonkosten,2,0)="Nee")),IFERROR(VLOOKUP($M86,DB_Loonkosten,25,0),""),0),"Vast tarief",IF(LEFT(F86,8)="Bijdrage",VLOOKUP($F86,Tb_KostenTypen[],MATCH(Lijsten!$P$1,Tb_KostenTypen[#Headers],0),0),VLOOKUP($G86,Lijsten!L:P,MATCH(Lijsten!$P$1,Kop_Tarief_Vast,0),0))),""),"")</f>
        <v/>
      </c>
      <c r="Q86" s="359"/>
      <c r="R86" s="359"/>
      <c r="S86" s="321"/>
      <c r="T86" s="321"/>
      <c r="U86" s="373" t="str">
        <f t="shared" si="4"/>
        <v/>
      </c>
      <c r="V86" s="314" t="str">
        <f t="shared" si="5"/>
        <v/>
      </c>
      <c r="W86" s="314" t="str" cm="1">
        <f t="array" aca="1" ref="W86" ca="1">IFERROR(IF(AE86&lt;&gt;"ja",_xlfn.IFNA(_xlfn.IFS(AND(O86&lt;&gt;"",F86&lt;&gt;"",RIGHT($N86,6)="tarief",F86="Vergoeding"),SUM(O86)*FLOOR(SUM(Q86),0.0001),AND(O86&lt;&gt;"",F86&lt;&gt;"",RIGHT($N86,6)="tarief"),SUM(O86)*FLOOR(SUM(Q86),0.01),S86&gt;0,IF(F86&lt;&gt;"",FLOOR(SUM(S86),0.01),"")),""),""),"")</f>
        <v/>
      </c>
      <c r="X86" s="314" t="str" cm="1">
        <f t="array" aca="1" ref="X86" ca="1">IFERROR(IF(AE86&lt;&gt;"ja",_xlfn.IFNA(_xlfn.IFS(AND(P86&lt;&gt;"",R86&lt;&gt;"",RIGHT($N86,6)="tarief",F86="Vergoeding"),SUM(P86)*FLOOR(SUM(R86),0.0001),AND(P86&lt;&gt;"",R86&lt;&gt;"",RIGHT($N86,6)="tarief"),P86*FLOOR(R86,0.01),T86&gt;0,FLOOR(SUM(T86),0.01)),""),""),"")</f>
        <v/>
      </c>
      <c r="Y86" s="314" t="str">
        <f t="shared" ca="1" si="6"/>
        <v/>
      </c>
      <c r="Z86" s="314" t="str" cm="1">
        <f t="array" aca="1" ref="Z86" ca="1">IFERROR(_xlfn.IFS(OR(F86="",LEFT(Methode_Keuze,4)="Geen",Methode_Keuze=""),"",AND(W86&lt;&gt;"",F86&lt;&gt;"Arbeidskosten"),W86*VLOOKUP(F86,Tb_ProjectKosten[],MATCH(Tb_ProjectKosten[[#Headers],[Forfait_Percentage]],Tb_ProjectKosten[#Headers],0),0),AND(F86="Arbeidskosten",G86&lt;&gt;""),IFERROR(W86*VLOOKUP(G86,Tb_KostenTypen[],3,0)*VLOOKUP(F86,Tb_ProjectKosten[],MATCH(Tb_ProjectKosten[[#Headers],[Forfait_Percentage]],Tb_ProjectKosten[#Headers],0),0),""),W86 &lt;=0,0),"")</f>
        <v/>
      </c>
      <c r="AA86" s="314" t="str" cm="1">
        <f t="array" aca="1" ref="AA86" ca="1">IFERROR(_xlfn.IFS(OR(F86="",LEFT(Methode_Keuze,4)="Geen",Methode_Keuze=""),"",AND(X86&lt;&gt;"",F86&lt;&gt;"Arbeidskosten"),X86*VLOOKUP(F86,Tb_ProjectKosten[],MATCH(Tb_ProjectKosten[[#Headers],[Forfait_Percentage]],Tb_ProjectKosten[#Headers],0),0),AND(F86="Arbeidskosten",G86&lt;&gt;""),IFERROR(X86*VLOOKUP(G86,Tb_KostenTypen[],3,0)*VLOOKUP(F86,Tb_ProjectKosten[],MATCH(Tb_ProjectKosten[[#Headers],[Forfait_Percentage]],Tb_ProjectKosten[#Headers],0),0),""),X86 &lt;=0,0),"")</f>
        <v/>
      </c>
      <c r="AB86" s="314" t="str">
        <f t="shared" ca="1" si="7"/>
        <v/>
      </c>
      <c r="AC86" s="322"/>
      <c r="AD86" s="315"/>
      <c r="AE86" s="32" t="str" cm="1">
        <f t="array" ref="AE86">IFERROR(IF(INDEX(SubsidieTabel!$AD$1:$AG$12,MATCH($F86,SubsidieTabel!$AD$1:$AD$12,0),IFERROR(MATCH(Methode_Keuze,SubsidieTabel!$AD$1:$AG$1,0),2))&lt;&gt;1=TRUE,"ja",""),"")</f>
        <v/>
      </c>
    </row>
    <row r="87" spans="1:31" x14ac:dyDescent="0.25">
      <c r="A87" s="316"/>
      <c r="B87" s="317" t="str">
        <f>IF(A87&lt;&gt;"",_xlfn.MAXIFS($B$1:B86,$A$1:A86,A87)+1,"")</f>
        <v/>
      </c>
      <c r="C87" s="296"/>
      <c r="D87" s="296"/>
      <c r="E87" s="296"/>
      <c r="F87" s="296"/>
      <c r="G87" s="326"/>
      <c r="H87" s="324"/>
      <c r="I87" s="325"/>
      <c r="J87" s="325"/>
      <c r="K87" s="318"/>
      <c r="L87" s="318"/>
      <c r="M87" s="319" t="str">
        <f>IFERROR(VLOOKUP(H87,Lijsten!$H$1:$I$100,2,0),"")</f>
        <v/>
      </c>
      <c r="N87" s="319" t="str">
        <f ca="1">IFERROR(IF(VLOOKUP(F87,Kostentypen!$A$3:$E$21,3,0)=0,"",IF(OR(F87="Arbeidskosten",F87="Vergoeding"),VLOOKUP(G87,Tb_KostenTypen[],2,0),VLOOKUP(F87,Kostentypen!$A$3:$E$20,3,0))),"")</f>
        <v/>
      </c>
      <c r="O87" s="320" t="str" cm="1">
        <f t="array" ref="O87">_xlfn.IFNA(IF(INDEX(Tb_KostenOptiesDB[],MATCH($F87,Tb_KostenOptiesDB[KostenOptie],0),IFERROR(MATCH(Methode_Keuze,Tb_KostenOptiesDB[#Headers],0),2))=1,_xlfn.SWITCH($N87,"Uurtarief",IF(OR(AND(RIGHT($F87,3)="IKS",VLOOKUP($M87,DB_Loonkosten,2,0)="Ja"),AND(RIGHT($F87,3)&lt;&gt;"IKS",VLOOKUP($M87,DB_Loonkosten,2,0)="Nee")),IFERROR(VLOOKUP($M87,DB_Loonkosten,24,0),""),0),"Vast tarief",IF(LEFT(F87,8)="Bijdrage",VLOOKUP($F87,Tb_KostenTypen[],MATCH(Lijsten!$P$1,Tb_KostenTypen[#Headers],0),0),VLOOKUP($G87,Lijsten!L:P,MATCH(Lijsten!$P$1,Kop_Tarief_Vast,0),0))),""),"")</f>
        <v/>
      </c>
      <c r="P87" s="320" t="str" cm="1">
        <f t="array" ref="P87">_xlfn.IFNA(IF(INDEX(Tb_KostenOptiesDB[],MATCH($F87,Tb_KostenOptiesDB[KostenOptie],0),IFERROR(MATCH(Methode_Keuze,Tb_KostenOptiesDB[#Headers],0),2))=1,_xlfn.SWITCH($N87,"Uurtarief",IF(OR(AND(RIGHT($F87,3)="IKS",VLOOKUP($M87,DB_Loonkosten,2,0)="Ja"),AND(RIGHT($F87,3)&lt;&gt;"IKS",VLOOKUP($M87,DB_Loonkosten,2,0)="Nee")),IFERROR(VLOOKUP($M87,DB_Loonkosten,25,0),""),0),"Vast tarief",IF(LEFT(F87,8)="Bijdrage",VLOOKUP($F87,Tb_KostenTypen[],MATCH(Lijsten!$P$1,Tb_KostenTypen[#Headers],0),0),VLOOKUP($G87,Lijsten!L:P,MATCH(Lijsten!$P$1,Kop_Tarief_Vast,0),0))),""),"")</f>
        <v/>
      </c>
      <c r="Q87" s="359"/>
      <c r="R87" s="359"/>
      <c r="S87" s="321"/>
      <c r="T87" s="321"/>
      <c r="U87" s="373" t="str">
        <f t="shared" si="4"/>
        <v/>
      </c>
      <c r="V87" s="314" t="str">
        <f t="shared" si="5"/>
        <v/>
      </c>
      <c r="W87" s="314" t="str" cm="1">
        <f t="array" aca="1" ref="W87" ca="1">IFERROR(IF(AE87&lt;&gt;"ja",_xlfn.IFNA(_xlfn.IFS(AND(O87&lt;&gt;"",F87&lt;&gt;"",RIGHT($N87,6)="tarief",F87="Vergoeding"),SUM(O87)*FLOOR(SUM(Q87),0.0001),AND(O87&lt;&gt;"",F87&lt;&gt;"",RIGHT($N87,6)="tarief"),SUM(O87)*FLOOR(SUM(Q87),0.01),S87&gt;0,IF(F87&lt;&gt;"",FLOOR(SUM(S87),0.01),"")),""),""),"")</f>
        <v/>
      </c>
      <c r="X87" s="314" t="str" cm="1">
        <f t="array" aca="1" ref="X87" ca="1">IFERROR(IF(AE87&lt;&gt;"ja",_xlfn.IFNA(_xlfn.IFS(AND(P87&lt;&gt;"",R87&lt;&gt;"",RIGHT($N87,6)="tarief",F87="Vergoeding"),SUM(P87)*FLOOR(SUM(R87),0.0001),AND(P87&lt;&gt;"",R87&lt;&gt;"",RIGHT($N87,6)="tarief"),P87*FLOOR(R87,0.01),T87&gt;0,FLOOR(SUM(T87),0.01)),""),""),"")</f>
        <v/>
      </c>
      <c r="Y87" s="314" t="str">
        <f t="shared" ca="1" si="6"/>
        <v/>
      </c>
      <c r="Z87" s="314" t="str" cm="1">
        <f t="array" aca="1" ref="Z87" ca="1">IFERROR(_xlfn.IFS(OR(F87="",LEFT(Methode_Keuze,4)="Geen",Methode_Keuze=""),"",AND(W87&lt;&gt;"",F87&lt;&gt;"Arbeidskosten"),W87*VLOOKUP(F87,Tb_ProjectKosten[],MATCH(Tb_ProjectKosten[[#Headers],[Forfait_Percentage]],Tb_ProjectKosten[#Headers],0),0),AND(F87="Arbeidskosten",G87&lt;&gt;""),IFERROR(W87*VLOOKUP(G87,Tb_KostenTypen[],3,0)*VLOOKUP(F87,Tb_ProjectKosten[],MATCH(Tb_ProjectKosten[[#Headers],[Forfait_Percentage]],Tb_ProjectKosten[#Headers],0),0),""),W87 &lt;=0,0),"")</f>
        <v/>
      </c>
      <c r="AA87" s="314" t="str" cm="1">
        <f t="array" aca="1" ref="AA87" ca="1">IFERROR(_xlfn.IFS(OR(F87="",LEFT(Methode_Keuze,4)="Geen",Methode_Keuze=""),"",AND(X87&lt;&gt;"",F87&lt;&gt;"Arbeidskosten"),X87*VLOOKUP(F87,Tb_ProjectKosten[],MATCH(Tb_ProjectKosten[[#Headers],[Forfait_Percentage]],Tb_ProjectKosten[#Headers],0),0),AND(F87="Arbeidskosten",G87&lt;&gt;""),IFERROR(X87*VLOOKUP(G87,Tb_KostenTypen[],3,0)*VLOOKUP(F87,Tb_ProjectKosten[],MATCH(Tb_ProjectKosten[[#Headers],[Forfait_Percentage]],Tb_ProjectKosten[#Headers],0),0),""),X87 &lt;=0,0),"")</f>
        <v/>
      </c>
      <c r="AB87" s="314" t="str">
        <f t="shared" ca="1" si="7"/>
        <v/>
      </c>
      <c r="AC87" s="322"/>
      <c r="AD87" s="315"/>
      <c r="AE87" s="32" t="str" cm="1">
        <f t="array" ref="AE87">IFERROR(IF(INDEX(SubsidieTabel!$AD$1:$AG$12,MATCH($F87,SubsidieTabel!$AD$1:$AD$12,0),IFERROR(MATCH(Methode_Keuze,SubsidieTabel!$AD$1:$AG$1,0),2))&lt;&gt;1=TRUE,"ja",""),"")</f>
        <v/>
      </c>
    </row>
    <row r="88" spans="1:31" x14ac:dyDescent="0.25">
      <c r="A88" s="316"/>
      <c r="B88" s="317" t="str">
        <f>IF(A88&lt;&gt;"",_xlfn.MAXIFS($B$1:B87,$A$1:A87,A88)+1,"")</f>
        <v/>
      </c>
      <c r="C88" s="296"/>
      <c r="D88" s="296"/>
      <c r="E88" s="296"/>
      <c r="F88" s="296"/>
      <c r="G88" s="326"/>
      <c r="H88" s="324"/>
      <c r="I88" s="325"/>
      <c r="J88" s="325"/>
      <c r="K88" s="318"/>
      <c r="L88" s="318"/>
      <c r="M88" s="319" t="str">
        <f>IFERROR(VLOOKUP(H88,Lijsten!$H$1:$I$100,2,0),"")</f>
        <v/>
      </c>
      <c r="N88" s="319" t="str">
        <f ca="1">IFERROR(IF(VLOOKUP(F88,Kostentypen!$A$3:$E$21,3,0)=0,"",IF(OR(F88="Arbeidskosten",F88="Vergoeding"),VLOOKUP(G88,Tb_KostenTypen[],2,0),VLOOKUP(F88,Kostentypen!$A$3:$E$20,3,0))),"")</f>
        <v/>
      </c>
      <c r="O88" s="320" t="str" cm="1">
        <f t="array" ref="O88">_xlfn.IFNA(IF(INDEX(Tb_KostenOptiesDB[],MATCH($F88,Tb_KostenOptiesDB[KostenOptie],0),IFERROR(MATCH(Methode_Keuze,Tb_KostenOptiesDB[#Headers],0),2))=1,_xlfn.SWITCH($N88,"Uurtarief",IF(OR(AND(RIGHT($F88,3)="IKS",VLOOKUP($M88,DB_Loonkosten,2,0)="Ja"),AND(RIGHT($F88,3)&lt;&gt;"IKS",VLOOKUP($M88,DB_Loonkosten,2,0)="Nee")),IFERROR(VLOOKUP($M88,DB_Loonkosten,24,0),""),0),"Vast tarief",IF(LEFT(F88,8)="Bijdrage",VLOOKUP($F88,Tb_KostenTypen[],MATCH(Lijsten!$P$1,Tb_KostenTypen[#Headers],0),0),VLOOKUP($G88,Lijsten!L:P,MATCH(Lijsten!$P$1,Kop_Tarief_Vast,0),0))),""),"")</f>
        <v/>
      </c>
      <c r="P88" s="320" t="str" cm="1">
        <f t="array" ref="P88">_xlfn.IFNA(IF(INDEX(Tb_KostenOptiesDB[],MATCH($F88,Tb_KostenOptiesDB[KostenOptie],0),IFERROR(MATCH(Methode_Keuze,Tb_KostenOptiesDB[#Headers],0),2))=1,_xlfn.SWITCH($N88,"Uurtarief",IF(OR(AND(RIGHT($F88,3)="IKS",VLOOKUP($M88,DB_Loonkosten,2,0)="Ja"),AND(RIGHT($F88,3)&lt;&gt;"IKS",VLOOKUP($M88,DB_Loonkosten,2,0)="Nee")),IFERROR(VLOOKUP($M88,DB_Loonkosten,25,0),""),0),"Vast tarief",IF(LEFT(F88,8)="Bijdrage",VLOOKUP($F88,Tb_KostenTypen[],MATCH(Lijsten!$P$1,Tb_KostenTypen[#Headers],0),0),VLOOKUP($G88,Lijsten!L:P,MATCH(Lijsten!$P$1,Kop_Tarief_Vast,0),0))),""),"")</f>
        <v/>
      </c>
      <c r="Q88" s="359"/>
      <c r="R88" s="359"/>
      <c r="S88" s="321"/>
      <c r="T88" s="321"/>
      <c r="U88" s="373" t="str">
        <f t="shared" si="4"/>
        <v/>
      </c>
      <c r="V88" s="314" t="str">
        <f t="shared" si="5"/>
        <v/>
      </c>
      <c r="W88" s="314" t="str" cm="1">
        <f t="array" aca="1" ref="W88" ca="1">IFERROR(IF(AE88&lt;&gt;"ja",_xlfn.IFNA(_xlfn.IFS(AND(O88&lt;&gt;"",F88&lt;&gt;"",RIGHT($N88,6)="tarief",F88="Vergoeding"),SUM(O88)*FLOOR(SUM(Q88),0.0001),AND(O88&lt;&gt;"",F88&lt;&gt;"",RIGHT($N88,6)="tarief"),SUM(O88)*FLOOR(SUM(Q88),0.01),S88&gt;0,IF(F88&lt;&gt;"",FLOOR(SUM(S88),0.01),"")),""),""),"")</f>
        <v/>
      </c>
      <c r="X88" s="314" t="str" cm="1">
        <f t="array" aca="1" ref="X88" ca="1">IFERROR(IF(AE88&lt;&gt;"ja",_xlfn.IFNA(_xlfn.IFS(AND(P88&lt;&gt;"",R88&lt;&gt;"",RIGHT($N88,6)="tarief",F88="Vergoeding"),SUM(P88)*FLOOR(SUM(R88),0.0001),AND(P88&lt;&gt;"",R88&lt;&gt;"",RIGHT($N88,6)="tarief"),P88*FLOOR(R88,0.01),T88&gt;0,FLOOR(SUM(T88),0.01)),""),""),"")</f>
        <v/>
      </c>
      <c r="Y88" s="314" t="str">
        <f t="shared" ca="1" si="6"/>
        <v/>
      </c>
      <c r="Z88" s="314" t="str" cm="1">
        <f t="array" aca="1" ref="Z88" ca="1">IFERROR(_xlfn.IFS(OR(F88="",LEFT(Methode_Keuze,4)="Geen",Methode_Keuze=""),"",AND(W88&lt;&gt;"",F88&lt;&gt;"Arbeidskosten"),W88*VLOOKUP(F88,Tb_ProjectKosten[],MATCH(Tb_ProjectKosten[[#Headers],[Forfait_Percentage]],Tb_ProjectKosten[#Headers],0),0),AND(F88="Arbeidskosten",G88&lt;&gt;""),IFERROR(W88*VLOOKUP(G88,Tb_KostenTypen[],3,0)*VLOOKUP(F88,Tb_ProjectKosten[],MATCH(Tb_ProjectKosten[[#Headers],[Forfait_Percentage]],Tb_ProjectKosten[#Headers],0),0),""),W88 &lt;=0,0),"")</f>
        <v/>
      </c>
      <c r="AA88" s="314" t="str" cm="1">
        <f t="array" aca="1" ref="AA88" ca="1">IFERROR(_xlfn.IFS(OR(F88="",LEFT(Methode_Keuze,4)="Geen",Methode_Keuze=""),"",AND(X88&lt;&gt;"",F88&lt;&gt;"Arbeidskosten"),X88*VLOOKUP(F88,Tb_ProjectKosten[],MATCH(Tb_ProjectKosten[[#Headers],[Forfait_Percentage]],Tb_ProjectKosten[#Headers],0),0),AND(F88="Arbeidskosten",G88&lt;&gt;""),IFERROR(X88*VLOOKUP(G88,Tb_KostenTypen[],3,0)*VLOOKUP(F88,Tb_ProjectKosten[],MATCH(Tb_ProjectKosten[[#Headers],[Forfait_Percentage]],Tb_ProjectKosten[#Headers],0),0),""),X88 &lt;=0,0),"")</f>
        <v/>
      </c>
      <c r="AB88" s="314" t="str">
        <f t="shared" ca="1" si="7"/>
        <v/>
      </c>
      <c r="AC88" s="322"/>
      <c r="AD88" s="315"/>
      <c r="AE88" s="32" t="str" cm="1">
        <f t="array" ref="AE88">IFERROR(IF(INDEX(SubsidieTabel!$AD$1:$AG$12,MATCH($F88,SubsidieTabel!$AD$1:$AD$12,0),IFERROR(MATCH(Methode_Keuze,SubsidieTabel!$AD$1:$AG$1,0),2))&lt;&gt;1=TRUE,"ja",""),"")</f>
        <v/>
      </c>
    </row>
    <row r="89" spans="1:31" x14ac:dyDescent="0.25">
      <c r="A89" s="316"/>
      <c r="B89" s="317" t="str">
        <f>IF(A89&lt;&gt;"",_xlfn.MAXIFS($B$1:B88,$A$1:A88,A89)+1,"")</f>
        <v/>
      </c>
      <c r="C89" s="296"/>
      <c r="D89" s="296"/>
      <c r="E89" s="296"/>
      <c r="F89" s="296"/>
      <c r="G89" s="326"/>
      <c r="H89" s="324"/>
      <c r="I89" s="325"/>
      <c r="J89" s="325"/>
      <c r="K89" s="318"/>
      <c r="L89" s="318"/>
      <c r="M89" s="319" t="str">
        <f>IFERROR(VLOOKUP(H89,Lijsten!$H$1:$I$100,2,0),"")</f>
        <v/>
      </c>
      <c r="N89" s="319" t="str">
        <f ca="1">IFERROR(IF(VLOOKUP(F89,Kostentypen!$A$3:$E$21,3,0)=0,"",IF(OR(F89="Arbeidskosten",F89="Vergoeding"),VLOOKUP(G89,Tb_KostenTypen[],2,0),VLOOKUP(F89,Kostentypen!$A$3:$E$20,3,0))),"")</f>
        <v/>
      </c>
      <c r="O89" s="320" t="str" cm="1">
        <f t="array" ref="O89">_xlfn.IFNA(IF(INDEX(Tb_KostenOptiesDB[],MATCH($F89,Tb_KostenOptiesDB[KostenOptie],0),IFERROR(MATCH(Methode_Keuze,Tb_KostenOptiesDB[#Headers],0),2))=1,_xlfn.SWITCH($N89,"Uurtarief",IF(OR(AND(RIGHT($F89,3)="IKS",VLOOKUP($M89,DB_Loonkosten,2,0)="Ja"),AND(RIGHT($F89,3)&lt;&gt;"IKS",VLOOKUP($M89,DB_Loonkosten,2,0)="Nee")),IFERROR(VLOOKUP($M89,DB_Loonkosten,24,0),""),0),"Vast tarief",IF(LEFT(F89,8)="Bijdrage",VLOOKUP($F89,Tb_KostenTypen[],MATCH(Lijsten!$P$1,Tb_KostenTypen[#Headers],0),0),VLOOKUP($G89,Lijsten!L:P,MATCH(Lijsten!$P$1,Kop_Tarief_Vast,0),0))),""),"")</f>
        <v/>
      </c>
      <c r="P89" s="320" t="str" cm="1">
        <f t="array" ref="P89">_xlfn.IFNA(IF(INDEX(Tb_KostenOptiesDB[],MATCH($F89,Tb_KostenOptiesDB[KostenOptie],0),IFERROR(MATCH(Methode_Keuze,Tb_KostenOptiesDB[#Headers],0),2))=1,_xlfn.SWITCH($N89,"Uurtarief",IF(OR(AND(RIGHT($F89,3)="IKS",VLOOKUP($M89,DB_Loonkosten,2,0)="Ja"),AND(RIGHT($F89,3)&lt;&gt;"IKS",VLOOKUP($M89,DB_Loonkosten,2,0)="Nee")),IFERROR(VLOOKUP($M89,DB_Loonkosten,25,0),""),0),"Vast tarief",IF(LEFT(F89,8)="Bijdrage",VLOOKUP($F89,Tb_KostenTypen[],MATCH(Lijsten!$P$1,Tb_KostenTypen[#Headers],0),0),VLOOKUP($G89,Lijsten!L:P,MATCH(Lijsten!$P$1,Kop_Tarief_Vast,0),0))),""),"")</f>
        <v/>
      </c>
      <c r="Q89" s="359"/>
      <c r="R89" s="359"/>
      <c r="S89" s="321"/>
      <c r="T89" s="321"/>
      <c r="U89" s="373" t="str">
        <f t="shared" si="4"/>
        <v/>
      </c>
      <c r="V89" s="314" t="str">
        <f t="shared" si="5"/>
        <v/>
      </c>
      <c r="W89" s="314" t="str" cm="1">
        <f t="array" aca="1" ref="W89" ca="1">IFERROR(IF(AE89&lt;&gt;"ja",_xlfn.IFNA(_xlfn.IFS(AND(O89&lt;&gt;"",F89&lt;&gt;"",RIGHT($N89,6)="tarief",F89="Vergoeding"),SUM(O89)*FLOOR(SUM(Q89),0.0001),AND(O89&lt;&gt;"",F89&lt;&gt;"",RIGHT($N89,6)="tarief"),SUM(O89)*FLOOR(SUM(Q89),0.01),S89&gt;0,IF(F89&lt;&gt;"",FLOOR(SUM(S89),0.01),"")),""),""),"")</f>
        <v/>
      </c>
      <c r="X89" s="314" t="str" cm="1">
        <f t="array" aca="1" ref="X89" ca="1">IFERROR(IF(AE89&lt;&gt;"ja",_xlfn.IFNA(_xlfn.IFS(AND(P89&lt;&gt;"",R89&lt;&gt;"",RIGHT($N89,6)="tarief",F89="Vergoeding"),SUM(P89)*FLOOR(SUM(R89),0.0001),AND(P89&lt;&gt;"",R89&lt;&gt;"",RIGHT($N89,6)="tarief"),P89*FLOOR(R89,0.01),T89&gt;0,FLOOR(SUM(T89),0.01)),""),""),"")</f>
        <v/>
      </c>
      <c r="Y89" s="314" t="str">
        <f t="shared" ca="1" si="6"/>
        <v/>
      </c>
      <c r="Z89" s="314" t="str" cm="1">
        <f t="array" aca="1" ref="Z89" ca="1">IFERROR(_xlfn.IFS(OR(F89="",LEFT(Methode_Keuze,4)="Geen",Methode_Keuze=""),"",AND(W89&lt;&gt;"",F89&lt;&gt;"Arbeidskosten"),W89*VLOOKUP(F89,Tb_ProjectKosten[],MATCH(Tb_ProjectKosten[[#Headers],[Forfait_Percentage]],Tb_ProjectKosten[#Headers],0),0),AND(F89="Arbeidskosten",G89&lt;&gt;""),IFERROR(W89*VLOOKUP(G89,Tb_KostenTypen[],3,0)*VLOOKUP(F89,Tb_ProjectKosten[],MATCH(Tb_ProjectKosten[[#Headers],[Forfait_Percentage]],Tb_ProjectKosten[#Headers],0),0),""),W89 &lt;=0,0),"")</f>
        <v/>
      </c>
      <c r="AA89" s="314" t="str" cm="1">
        <f t="array" aca="1" ref="AA89" ca="1">IFERROR(_xlfn.IFS(OR(F89="",LEFT(Methode_Keuze,4)="Geen",Methode_Keuze=""),"",AND(X89&lt;&gt;"",F89&lt;&gt;"Arbeidskosten"),X89*VLOOKUP(F89,Tb_ProjectKosten[],MATCH(Tb_ProjectKosten[[#Headers],[Forfait_Percentage]],Tb_ProjectKosten[#Headers],0),0),AND(F89="Arbeidskosten",G89&lt;&gt;""),IFERROR(X89*VLOOKUP(G89,Tb_KostenTypen[],3,0)*VLOOKUP(F89,Tb_ProjectKosten[],MATCH(Tb_ProjectKosten[[#Headers],[Forfait_Percentage]],Tb_ProjectKosten[#Headers],0),0),""),X89 &lt;=0,0),"")</f>
        <v/>
      </c>
      <c r="AB89" s="314" t="str">
        <f t="shared" ca="1" si="7"/>
        <v/>
      </c>
      <c r="AC89" s="322"/>
      <c r="AD89" s="315"/>
      <c r="AE89" s="32" t="str" cm="1">
        <f t="array" ref="AE89">IFERROR(IF(INDEX(SubsidieTabel!$AD$1:$AG$12,MATCH($F89,SubsidieTabel!$AD$1:$AD$12,0),IFERROR(MATCH(Methode_Keuze,SubsidieTabel!$AD$1:$AG$1,0),2))&lt;&gt;1=TRUE,"ja",""),"")</f>
        <v/>
      </c>
    </row>
    <row r="90" spans="1:31" x14ac:dyDescent="0.25">
      <c r="A90" s="316"/>
      <c r="B90" s="317" t="str">
        <f>IF(A90&lt;&gt;"",_xlfn.MAXIFS($B$1:B89,$A$1:A89,A90)+1,"")</f>
        <v/>
      </c>
      <c r="C90" s="296"/>
      <c r="D90" s="296"/>
      <c r="E90" s="296"/>
      <c r="F90" s="296"/>
      <c r="G90" s="326"/>
      <c r="H90" s="324"/>
      <c r="I90" s="325"/>
      <c r="J90" s="325"/>
      <c r="K90" s="318"/>
      <c r="L90" s="318"/>
      <c r="M90" s="319" t="str">
        <f>IFERROR(VLOOKUP(H90,Lijsten!$H$1:$I$100,2,0),"")</f>
        <v/>
      </c>
      <c r="N90" s="319" t="str">
        <f ca="1">IFERROR(IF(VLOOKUP(F90,Kostentypen!$A$3:$E$21,3,0)=0,"",IF(OR(F90="Arbeidskosten",F90="Vergoeding"),VLOOKUP(G90,Tb_KostenTypen[],2,0),VLOOKUP(F90,Kostentypen!$A$3:$E$20,3,0))),"")</f>
        <v/>
      </c>
      <c r="O90" s="320" t="str" cm="1">
        <f t="array" ref="O90">_xlfn.IFNA(IF(INDEX(Tb_KostenOptiesDB[],MATCH($F90,Tb_KostenOptiesDB[KostenOptie],0),IFERROR(MATCH(Methode_Keuze,Tb_KostenOptiesDB[#Headers],0),2))=1,_xlfn.SWITCH($N90,"Uurtarief",IF(OR(AND(RIGHT($F90,3)="IKS",VLOOKUP($M90,DB_Loonkosten,2,0)="Ja"),AND(RIGHT($F90,3)&lt;&gt;"IKS",VLOOKUP($M90,DB_Loonkosten,2,0)="Nee")),IFERROR(VLOOKUP($M90,DB_Loonkosten,24,0),""),0),"Vast tarief",IF(LEFT(F90,8)="Bijdrage",VLOOKUP($F90,Tb_KostenTypen[],MATCH(Lijsten!$P$1,Tb_KostenTypen[#Headers],0),0),VLOOKUP($G90,Lijsten!L:P,MATCH(Lijsten!$P$1,Kop_Tarief_Vast,0),0))),""),"")</f>
        <v/>
      </c>
      <c r="P90" s="320" t="str" cm="1">
        <f t="array" ref="P90">_xlfn.IFNA(IF(INDEX(Tb_KostenOptiesDB[],MATCH($F90,Tb_KostenOptiesDB[KostenOptie],0),IFERROR(MATCH(Methode_Keuze,Tb_KostenOptiesDB[#Headers],0),2))=1,_xlfn.SWITCH($N90,"Uurtarief",IF(OR(AND(RIGHT($F90,3)="IKS",VLOOKUP($M90,DB_Loonkosten,2,0)="Ja"),AND(RIGHT($F90,3)&lt;&gt;"IKS",VLOOKUP($M90,DB_Loonkosten,2,0)="Nee")),IFERROR(VLOOKUP($M90,DB_Loonkosten,25,0),""),0),"Vast tarief",IF(LEFT(F90,8)="Bijdrage",VLOOKUP($F90,Tb_KostenTypen[],MATCH(Lijsten!$P$1,Tb_KostenTypen[#Headers],0),0),VLOOKUP($G90,Lijsten!L:P,MATCH(Lijsten!$P$1,Kop_Tarief_Vast,0),0))),""),"")</f>
        <v/>
      </c>
      <c r="Q90" s="359"/>
      <c r="R90" s="359"/>
      <c r="S90" s="321"/>
      <c r="T90" s="321"/>
      <c r="U90" s="373" t="str">
        <f t="shared" si="4"/>
        <v/>
      </c>
      <c r="V90" s="314" t="str">
        <f t="shared" si="5"/>
        <v/>
      </c>
      <c r="W90" s="314" t="str" cm="1">
        <f t="array" aca="1" ref="W90" ca="1">IFERROR(IF(AE90&lt;&gt;"ja",_xlfn.IFNA(_xlfn.IFS(AND(O90&lt;&gt;"",F90&lt;&gt;"",RIGHT($N90,6)="tarief",F90="Vergoeding"),SUM(O90)*FLOOR(SUM(Q90),0.0001),AND(O90&lt;&gt;"",F90&lt;&gt;"",RIGHT($N90,6)="tarief"),SUM(O90)*FLOOR(SUM(Q90),0.01),S90&gt;0,IF(F90&lt;&gt;"",FLOOR(SUM(S90),0.01),"")),""),""),"")</f>
        <v/>
      </c>
      <c r="X90" s="314" t="str" cm="1">
        <f t="array" aca="1" ref="X90" ca="1">IFERROR(IF(AE90&lt;&gt;"ja",_xlfn.IFNA(_xlfn.IFS(AND(P90&lt;&gt;"",R90&lt;&gt;"",RIGHT($N90,6)="tarief",F90="Vergoeding"),SUM(P90)*FLOOR(SUM(R90),0.0001),AND(P90&lt;&gt;"",R90&lt;&gt;"",RIGHT($N90,6)="tarief"),P90*FLOOR(R90,0.01),T90&gt;0,FLOOR(SUM(T90),0.01)),""),""),"")</f>
        <v/>
      </c>
      <c r="Y90" s="314" t="str">
        <f t="shared" ca="1" si="6"/>
        <v/>
      </c>
      <c r="Z90" s="314" t="str" cm="1">
        <f t="array" aca="1" ref="Z90" ca="1">IFERROR(_xlfn.IFS(OR(F90="",LEFT(Methode_Keuze,4)="Geen",Methode_Keuze=""),"",AND(W90&lt;&gt;"",F90&lt;&gt;"Arbeidskosten"),W90*VLOOKUP(F90,Tb_ProjectKosten[],MATCH(Tb_ProjectKosten[[#Headers],[Forfait_Percentage]],Tb_ProjectKosten[#Headers],0),0),AND(F90="Arbeidskosten",G90&lt;&gt;""),IFERROR(W90*VLOOKUP(G90,Tb_KostenTypen[],3,0)*VLOOKUP(F90,Tb_ProjectKosten[],MATCH(Tb_ProjectKosten[[#Headers],[Forfait_Percentage]],Tb_ProjectKosten[#Headers],0),0),""),W90 &lt;=0,0),"")</f>
        <v/>
      </c>
      <c r="AA90" s="314" t="str" cm="1">
        <f t="array" aca="1" ref="AA90" ca="1">IFERROR(_xlfn.IFS(OR(F90="",LEFT(Methode_Keuze,4)="Geen",Methode_Keuze=""),"",AND(X90&lt;&gt;"",F90&lt;&gt;"Arbeidskosten"),X90*VLOOKUP(F90,Tb_ProjectKosten[],MATCH(Tb_ProjectKosten[[#Headers],[Forfait_Percentage]],Tb_ProjectKosten[#Headers],0),0),AND(F90="Arbeidskosten",G90&lt;&gt;""),IFERROR(X90*VLOOKUP(G90,Tb_KostenTypen[],3,0)*VLOOKUP(F90,Tb_ProjectKosten[],MATCH(Tb_ProjectKosten[[#Headers],[Forfait_Percentage]],Tb_ProjectKosten[#Headers],0),0),""),X90 &lt;=0,0),"")</f>
        <v/>
      </c>
      <c r="AB90" s="314" t="str">
        <f t="shared" ca="1" si="7"/>
        <v/>
      </c>
      <c r="AC90" s="322"/>
      <c r="AD90" s="315"/>
      <c r="AE90" s="32" t="str" cm="1">
        <f t="array" ref="AE90">IFERROR(IF(INDEX(SubsidieTabel!$AD$1:$AG$12,MATCH($F90,SubsidieTabel!$AD$1:$AD$12,0),IFERROR(MATCH(Methode_Keuze,SubsidieTabel!$AD$1:$AG$1,0),2))&lt;&gt;1=TRUE,"ja",""),"")</f>
        <v/>
      </c>
    </row>
    <row r="91" spans="1:31" x14ac:dyDescent="0.25">
      <c r="A91" s="316"/>
      <c r="B91" s="317" t="str">
        <f>IF(A91&lt;&gt;"",_xlfn.MAXIFS($B$1:B90,$A$1:A90,A91)+1,"")</f>
        <v/>
      </c>
      <c r="C91" s="296"/>
      <c r="D91" s="296"/>
      <c r="E91" s="296"/>
      <c r="F91" s="296"/>
      <c r="G91" s="326"/>
      <c r="H91" s="324"/>
      <c r="I91" s="325"/>
      <c r="J91" s="325"/>
      <c r="K91" s="318"/>
      <c r="L91" s="318"/>
      <c r="M91" s="319" t="str">
        <f>IFERROR(VLOOKUP(H91,Lijsten!$H$1:$I$100,2,0),"")</f>
        <v/>
      </c>
      <c r="N91" s="319" t="str">
        <f ca="1">IFERROR(IF(VLOOKUP(F91,Kostentypen!$A$3:$E$21,3,0)=0,"",IF(OR(F91="Arbeidskosten",F91="Vergoeding"),VLOOKUP(G91,Tb_KostenTypen[],2,0),VLOOKUP(F91,Kostentypen!$A$3:$E$20,3,0))),"")</f>
        <v/>
      </c>
      <c r="O91" s="320" t="str" cm="1">
        <f t="array" ref="O91">_xlfn.IFNA(IF(INDEX(Tb_KostenOptiesDB[],MATCH($F91,Tb_KostenOptiesDB[KostenOptie],0),IFERROR(MATCH(Methode_Keuze,Tb_KostenOptiesDB[#Headers],0),2))=1,_xlfn.SWITCH($N91,"Uurtarief",IF(OR(AND(RIGHT($F91,3)="IKS",VLOOKUP($M91,DB_Loonkosten,2,0)="Ja"),AND(RIGHT($F91,3)&lt;&gt;"IKS",VLOOKUP($M91,DB_Loonkosten,2,0)="Nee")),IFERROR(VLOOKUP($M91,DB_Loonkosten,24,0),""),0),"Vast tarief",IF(LEFT(F91,8)="Bijdrage",VLOOKUP($F91,Tb_KostenTypen[],MATCH(Lijsten!$P$1,Tb_KostenTypen[#Headers],0),0),VLOOKUP($G91,Lijsten!L:P,MATCH(Lijsten!$P$1,Kop_Tarief_Vast,0),0))),""),"")</f>
        <v/>
      </c>
      <c r="P91" s="320" t="str" cm="1">
        <f t="array" ref="P91">_xlfn.IFNA(IF(INDEX(Tb_KostenOptiesDB[],MATCH($F91,Tb_KostenOptiesDB[KostenOptie],0),IFERROR(MATCH(Methode_Keuze,Tb_KostenOptiesDB[#Headers],0),2))=1,_xlfn.SWITCH($N91,"Uurtarief",IF(OR(AND(RIGHT($F91,3)="IKS",VLOOKUP($M91,DB_Loonkosten,2,0)="Ja"),AND(RIGHT($F91,3)&lt;&gt;"IKS",VLOOKUP($M91,DB_Loonkosten,2,0)="Nee")),IFERROR(VLOOKUP($M91,DB_Loonkosten,25,0),""),0),"Vast tarief",IF(LEFT(F91,8)="Bijdrage",VLOOKUP($F91,Tb_KostenTypen[],MATCH(Lijsten!$P$1,Tb_KostenTypen[#Headers],0),0),VLOOKUP($G91,Lijsten!L:P,MATCH(Lijsten!$P$1,Kop_Tarief_Vast,0),0))),""),"")</f>
        <v/>
      </c>
      <c r="Q91" s="359"/>
      <c r="R91" s="359"/>
      <c r="S91" s="321"/>
      <c r="T91" s="321"/>
      <c r="U91" s="373" t="str">
        <f t="shared" si="4"/>
        <v/>
      </c>
      <c r="V91" s="314" t="str">
        <f t="shared" si="5"/>
        <v/>
      </c>
      <c r="W91" s="314" t="str" cm="1">
        <f t="array" aca="1" ref="W91" ca="1">IFERROR(IF(AE91&lt;&gt;"ja",_xlfn.IFNA(_xlfn.IFS(AND(O91&lt;&gt;"",F91&lt;&gt;"",RIGHT($N91,6)="tarief",F91="Vergoeding"),SUM(O91)*FLOOR(SUM(Q91),0.0001),AND(O91&lt;&gt;"",F91&lt;&gt;"",RIGHT($N91,6)="tarief"),SUM(O91)*FLOOR(SUM(Q91),0.01),S91&gt;0,IF(F91&lt;&gt;"",FLOOR(SUM(S91),0.01),"")),""),""),"")</f>
        <v/>
      </c>
      <c r="X91" s="314" t="str" cm="1">
        <f t="array" aca="1" ref="X91" ca="1">IFERROR(IF(AE91&lt;&gt;"ja",_xlfn.IFNA(_xlfn.IFS(AND(P91&lt;&gt;"",R91&lt;&gt;"",RIGHT($N91,6)="tarief",F91="Vergoeding"),SUM(P91)*FLOOR(SUM(R91),0.0001),AND(P91&lt;&gt;"",R91&lt;&gt;"",RIGHT($N91,6)="tarief"),P91*FLOOR(R91,0.01),T91&gt;0,FLOOR(SUM(T91),0.01)),""),""),"")</f>
        <v/>
      </c>
      <c r="Y91" s="314" t="str">
        <f t="shared" ca="1" si="6"/>
        <v/>
      </c>
      <c r="Z91" s="314" t="str" cm="1">
        <f t="array" aca="1" ref="Z91" ca="1">IFERROR(_xlfn.IFS(OR(F91="",LEFT(Methode_Keuze,4)="Geen",Methode_Keuze=""),"",AND(W91&lt;&gt;"",F91&lt;&gt;"Arbeidskosten"),W91*VLOOKUP(F91,Tb_ProjectKosten[],MATCH(Tb_ProjectKosten[[#Headers],[Forfait_Percentage]],Tb_ProjectKosten[#Headers],0),0),AND(F91="Arbeidskosten",G91&lt;&gt;""),IFERROR(W91*VLOOKUP(G91,Tb_KostenTypen[],3,0)*VLOOKUP(F91,Tb_ProjectKosten[],MATCH(Tb_ProjectKosten[[#Headers],[Forfait_Percentage]],Tb_ProjectKosten[#Headers],0),0),""),W91 &lt;=0,0),"")</f>
        <v/>
      </c>
      <c r="AA91" s="314" t="str" cm="1">
        <f t="array" aca="1" ref="AA91" ca="1">IFERROR(_xlfn.IFS(OR(F91="",LEFT(Methode_Keuze,4)="Geen",Methode_Keuze=""),"",AND(X91&lt;&gt;"",F91&lt;&gt;"Arbeidskosten"),X91*VLOOKUP(F91,Tb_ProjectKosten[],MATCH(Tb_ProjectKosten[[#Headers],[Forfait_Percentage]],Tb_ProjectKosten[#Headers],0),0),AND(F91="Arbeidskosten",G91&lt;&gt;""),IFERROR(X91*VLOOKUP(G91,Tb_KostenTypen[],3,0)*VLOOKUP(F91,Tb_ProjectKosten[],MATCH(Tb_ProjectKosten[[#Headers],[Forfait_Percentage]],Tb_ProjectKosten[#Headers],0),0),""),X91 &lt;=0,0),"")</f>
        <v/>
      </c>
      <c r="AB91" s="314" t="str">
        <f t="shared" ca="1" si="7"/>
        <v/>
      </c>
      <c r="AC91" s="322"/>
      <c r="AD91" s="315"/>
      <c r="AE91" s="32" t="str" cm="1">
        <f t="array" ref="AE91">IFERROR(IF(INDEX(SubsidieTabel!$AD$1:$AG$12,MATCH($F91,SubsidieTabel!$AD$1:$AD$12,0),IFERROR(MATCH(Methode_Keuze,SubsidieTabel!$AD$1:$AG$1,0),2))&lt;&gt;1=TRUE,"ja",""),"")</f>
        <v/>
      </c>
    </row>
    <row r="92" spans="1:31" x14ac:dyDescent="0.25">
      <c r="A92" s="316"/>
      <c r="B92" s="317" t="str">
        <f>IF(A92&lt;&gt;"",_xlfn.MAXIFS($B$1:B91,$A$1:A91,A92)+1,"")</f>
        <v/>
      </c>
      <c r="C92" s="296"/>
      <c r="D92" s="296"/>
      <c r="E92" s="296"/>
      <c r="F92" s="296"/>
      <c r="G92" s="326"/>
      <c r="H92" s="324"/>
      <c r="I92" s="325"/>
      <c r="J92" s="325"/>
      <c r="K92" s="318"/>
      <c r="L92" s="318"/>
      <c r="M92" s="319" t="str">
        <f>IFERROR(VLOOKUP(H92,Lijsten!$H$1:$I$100,2,0),"")</f>
        <v/>
      </c>
      <c r="N92" s="319" t="str">
        <f ca="1">IFERROR(IF(VLOOKUP(F92,Kostentypen!$A$3:$E$21,3,0)=0,"",IF(OR(F92="Arbeidskosten",F92="Vergoeding"),VLOOKUP(G92,Tb_KostenTypen[],2,0),VLOOKUP(F92,Kostentypen!$A$3:$E$20,3,0))),"")</f>
        <v/>
      </c>
      <c r="O92" s="320" t="str" cm="1">
        <f t="array" ref="O92">_xlfn.IFNA(IF(INDEX(Tb_KostenOptiesDB[],MATCH($F92,Tb_KostenOptiesDB[KostenOptie],0),IFERROR(MATCH(Methode_Keuze,Tb_KostenOptiesDB[#Headers],0),2))=1,_xlfn.SWITCH($N92,"Uurtarief",IF(OR(AND(RIGHT($F92,3)="IKS",VLOOKUP($M92,DB_Loonkosten,2,0)="Ja"),AND(RIGHT($F92,3)&lt;&gt;"IKS",VLOOKUP($M92,DB_Loonkosten,2,0)="Nee")),IFERROR(VLOOKUP($M92,DB_Loonkosten,24,0),""),0),"Vast tarief",IF(LEFT(F92,8)="Bijdrage",VLOOKUP($F92,Tb_KostenTypen[],MATCH(Lijsten!$P$1,Tb_KostenTypen[#Headers],0),0),VLOOKUP($G92,Lijsten!L:P,MATCH(Lijsten!$P$1,Kop_Tarief_Vast,0),0))),""),"")</f>
        <v/>
      </c>
      <c r="P92" s="320" t="str" cm="1">
        <f t="array" ref="P92">_xlfn.IFNA(IF(INDEX(Tb_KostenOptiesDB[],MATCH($F92,Tb_KostenOptiesDB[KostenOptie],0),IFERROR(MATCH(Methode_Keuze,Tb_KostenOptiesDB[#Headers],0),2))=1,_xlfn.SWITCH($N92,"Uurtarief",IF(OR(AND(RIGHT($F92,3)="IKS",VLOOKUP($M92,DB_Loonkosten,2,0)="Ja"),AND(RIGHT($F92,3)&lt;&gt;"IKS",VLOOKUP($M92,DB_Loonkosten,2,0)="Nee")),IFERROR(VLOOKUP($M92,DB_Loonkosten,25,0),""),0),"Vast tarief",IF(LEFT(F92,8)="Bijdrage",VLOOKUP($F92,Tb_KostenTypen[],MATCH(Lijsten!$P$1,Tb_KostenTypen[#Headers],0),0),VLOOKUP($G92,Lijsten!L:P,MATCH(Lijsten!$P$1,Kop_Tarief_Vast,0),0))),""),"")</f>
        <v/>
      </c>
      <c r="Q92" s="359"/>
      <c r="R92" s="359"/>
      <c r="S92" s="321"/>
      <c r="T92" s="321"/>
      <c r="U92" s="373" t="str">
        <f t="shared" si="4"/>
        <v/>
      </c>
      <c r="V92" s="314" t="str">
        <f t="shared" si="5"/>
        <v/>
      </c>
      <c r="W92" s="314" t="str" cm="1">
        <f t="array" aca="1" ref="W92" ca="1">IFERROR(IF(AE92&lt;&gt;"ja",_xlfn.IFNA(_xlfn.IFS(AND(O92&lt;&gt;"",F92&lt;&gt;"",RIGHT($N92,6)="tarief",F92="Vergoeding"),SUM(O92)*FLOOR(SUM(Q92),0.0001),AND(O92&lt;&gt;"",F92&lt;&gt;"",RIGHT($N92,6)="tarief"),SUM(O92)*FLOOR(SUM(Q92),0.01),S92&gt;0,IF(F92&lt;&gt;"",FLOOR(SUM(S92),0.01),"")),""),""),"")</f>
        <v/>
      </c>
      <c r="X92" s="314" t="str" cm="1">
        <f t="array" aca="1" ref="X92" ca="1">IFERROR(IF(AE92&lt;&gt;"ja",_xlfn.IFNA(_xlfn.IFS(AND(P92&lt;&gt;"",R92&lt;&gt;"",RIGHT($N92,6)="tarief",F92="Vergoeding"),SUM(P92)*FLOOR(SUM(R92),0.0001),AND(P92&lt;&gt;"",R92&lt;&gt;"",RIGHT($N92,6)="tarief"),P92*FLOOR(R92,0.01),T92&gt;0,FLOOR(SUM(T92),0.01)),""),""),"")</f>
        <v/>
      </c>
      <c r="Y92" s="314" t="str">
        <f t="shared" ca="1" si="6"/>
        <v/>
      </c>
      <c r="Z92" s="314" t="str" cm="1">
        <f t="array" aca="1" ref="Z92" ca="1">IFERROR(_xlfn.IFS(OR(F92="",LEFT(Methode_Keuze,4)="Geen",Methode_Keuze=""),"",AND(W92&lt;&gt;"",F92&lt;&gt;"Arbeidskosten"),W92*VLOOKUP(F92,Tb_ProjectKosten[],MATCH(Tb_ProjectKosten[[#Headers],[Forfait_Percentage]],Tb_ProjectKosten[#Headers],0),0),AND(F92="Arbeidskosten",G92&lt;&gt;""),IFERROR(W92*VLOOKUP(G92,Tb_KostenTypen[],3,0)*VLOOKUP(F92,Tb_ProjectKosten[],MATCH(Tb_ProjectKosten[[#Headers],[Forfait_Percentage]],Tb_ProjectKosten[#Headers],0),0),""),W92 &lt;=0,0),"")</f>
        <v/>
      </c>
      <c r="AA92" s="314" t="str" cm="1">
        <f t="array" aca="1" ref="AA92" ca="1">IFERROR(_xlfn.IFS(OR(F92="",LEFT(Methode_Keuze,4)="Geen",Methode_Keuze=""),"",AND(X92&lt;&gt;"",F92&lt;&gt;"Arbeidskosten"),X92*VLOOKUP(F92,Tb_ProjectKosten[],MATCH(Tb_ProjectKosten[[#Headers],[Forfait_Percentage]],Tb_ProjectKosten[#Headers],0),0),AND(F92="Arbeidskosten",G92&lt;&gt;""),IFERROR(X92*VLOOKUP(G92,Tb_KostenTypen[],3,0)*VLOOKUP(F92,Tb_ProjectKosten[],MATCH(Tb_ProjectKosten[[#Headers],[Forfait_Percentage]],Tb_ProjectKosten[#Headers],0),0),""),X92 &lt;=0,0),"")</f>
        <v/>
      </c>
      <c r="AB92" s="314" t="str">
        <f t="shared" ca="1" si="7"/>
        <v/>
      </c>
      <c r="AC92" s="322"/>
      <c r="AD92" s="315"/>
      <c r="AE92" s="32" t="str" cm="1">
        <f t="array" ref="AE92">IFERROR(IF(INDEX(SubsidieTabel!$AD$1:$AG$12,MATCH($F92,SubsidieTabel!$AD$1:$AD$12,0),IFERROR(MATCH(Methode_Keuze,SubsidieTabel!$AD$1:$AG$1,0),2))&lt;&gt;1=TRUE,"ja",""),"")</f>
        <v/>
      </c>
    </row>
    <row r="93" spans="1:31" x14ac:dyDescent="0.25">
      <c r="A93" s="316"/>
      <c r="B93" s="317" t="str">
        <f>IF(A93&lt;&gt;"",_xlfn.MAXIFS($B$1:B92,$A$1:A92,A93)+1,"")</f>
        <v/>
      </c>
      <c r="C93" s="296"/>
      <c r="D93" s="296"/>
      <c r="E93" s="296"/>
      <c r="F93" s="296"/>
      <c r="G93" s="326"/>
      <c r="H93" s="324"/>
      <c r="I93" s="325"/>
      <c r="J93" s="325"/>
      <c r="K93" s="318"/>
      <c r="L93" s="318"/>
      <c r="M93" s="319" t="str">
        <f>IFERROR(VLOOKUP(H93,Lijsten!$H$1:$I$100,2,0),"")</f>
        <v/>
      </c>
      <c r="N93" s="319" t="str">
        <f ca="1">IFERROR(IF(VLOOKUP(F93,Kostentypen!$A$3:$E$21,3,0)=0,"",IF(OR(F93="Arbeidskosten",F93="Vergoeding"),VLOOKUP(G93,Tb_KostenTypen[],2,0),VLOOKUP(F93,Kostentypen!$A$3:$E$20,3,0))),"")</f>
        <v/>
      </c>
      <c r="O93" s="320" t="str" cm="1">
        <f t="array" ref="O93">_xlfn.IFNA(IF(INDEX(Tb_KostenOptiesDB[],MATCH($F93,Tb_KostenOptiesDB[KostenOptie],0),IFERROR(MATCH(Methode_Keuze,Tb_KostenOptiesDB[#Headers],0),2))=1,_xlfn.SWITCH($N93,"Uurtarief",IF(OR(AND(RIGHT($F93,3)="IKS",VLOOKUP($M93,DB_Loonkosten,2,0)="Ja"),AND(RIGHT($F93,3)&lt;&gt;"IKS",VLOOKUP($M93,DB_Loonkosten,2,0)="Nee")),IFERROR(VLOOKUP($M93,DB_Loonkosten,24,0),""),0),"Vast tarief",IF(LEFT(F93,8)="Bijdrage",VLOOKUP($F93,Tb_KostenTypen[],MATCH(Lijsten!$P$1,Tb_KostenTypen[#Headers],0),0),VLOOKUP($G93,Lijsten!L:P,MATCH(Lijsten!$P$1,Kop_Tarief_Vast,0),0))),""),"")</f>
        <v/>
      </c>
      <c r="P93" s="320" t="str" cm="1">
        <f t="array" ref="P93">_xlfn.IFNA(IF(INDEX(Tb_KostenOptiesDB[],MATCH($F93,Tb_KostenOptiesDB[KostenOptie],0),IFERROR(MATCH(Methode_Keuze,Tb_KostenOptiesDB[#Headers],0),2))=1,_xlfn.SWITCH($N93,"Uurtarief",IF(OR(AND(RIGHT($F93,3)="IKS",VLOOKUP($M93,DB_Loonkosten,2,0)="Ja"),AND(RIGHT($F93,3)&lt;&gt;"IKS",VLOOKUP($M93,DB_Loonkosten,2,0)="Nee")),IFERROR(VLOOKUP($M93,DB_Loonkosten,25,0),""),0),"Vast tarief",IF(LEFT(F93,8)="Bijdrage",VLOOKUP($F93,Tb_KostenTypen[],MATCH(Lijsten!$P$1,Tb_KostenTypen[#Headers],0),0),VLOOKUP($G93,Lijsten!L:P,MATCH(Lijsten!$P$1,Kop_Tarief_Vast,0),0))),""),"")</f>
        <v/>
      </c>
      <c r="Q93" s="359"/>
      <c r="R93" s="359"/>
      <c r="S93" s="321"/>
      <c r="T93" s="321"/>
      <c r="U93" s="373" t="str">
        <f t="shared" si="4"/>
        <v/>
      </c>
      <c r="V93" s="314" t="str">
        <f t="shared" si="5"/>
        <v/>
      </c>
      <c r="W93" s="314" t="str" cm="1">
        <f t="array" aca="1" ref="W93" ca="1">IFERROR(IF(AE93&lt;&gt;"ja",_xlfn.IFNA(_xlfn.IFS(AND(O93&lt;&gt;"",F93&lt;&gt;"",RIGHT($N93,6)="tarief",F93="Vergoeding"),SUM(O93)*FLOOR(SUM(Q93),0.0001),AND(O93&lt;&gt;"",F93&lt;&gt;"",RIGHT($N93,6)="tarief"),SUM(O93)*FLOOR(SUM(Q93),0.01),S93&gt;0,IF(F93&lt;&gt;"",FLOOR(SUM(S93),0.01),"")),""),""),"")</f>
        <v/>
      </c>
      <c r="X93" s="314" t="str" cm="1">
        <f t="array" aca="1" ref="X93" ca="1">IFERROR(IF(AE93&lt;&gt;"ja",_xlfn.IFNA(_xlfn.IFS(AND(P93&lt;&gt;"",R93&lt;&gt;"",RIGHT($N93,6)="tarief",F93="Vergoeding"),SUM(P93)*FLOOR(SUM(R93),0.0001),AND(P93&lt;&gt;"",R93&lt;&gt;"",RIGHT($N93,6)="tarief"),P93*FLOOR(R93,0.01),T93&gt;0,FLOOR(SUM(T93),0.01)),""),""),"")</f>
        <v/>
      </c>
      <c r="Y93" s="314" t="str">
        <f t="shared" ca="1" si="6"/>
        <v/>
      </c>
      <c r="Z93" s="314" t="str" cm="1">
        <f t="array" aca="1" ref="Z93" ca="1">IFERROR(_xlfn.IFS(OR(F93="",LEFT(Methode_Keuze,4)="Geen",Methode_Keuze=""),"",AND(W93&lt;&gt;"",F93&lt;&gt;"Arbeidskosten"),W93*VLOOKUP(F93,Tb_ProjectKosten[],MATCH(Tb_ProjectKosten[[#Headers],[Forfait_Percentage]],Tb_ProjectKosten[#Headers],0),0),AND(F93="Arbeidskosten",G93&lt;&gt;""),IFERROR(W93*VLOOKUP(G93,Tb_KostenTypen[],3,0)*VLOOKUP(F93,Tb_ProjectKosten[],MATCH(Tb_ProjectKosten[[#Headers],[Forfait_Percentage]],Tb_ProjectKosten[#Headers],0),0),""),W93 &lt;=0,0),"")</f>
        <v/>
      </c>
      <c r="AA93" s="314" t="str" cm="1">
        <f t="array" aca="1" ref="AA93" ca="1">IFERROR(_xlfn.IFS(OR(F93="",LEFT(Methode_Keuze,4)="Geen",Methode_Keuze=""),"",AND(X93&lt;&gt;"",F93&lt;&gt;"Arbeidskosten"),X93*VLOOKUP(F93,Tb_ProjectKosten[],MATCH(Tb_ProjectKosten[[#Headers],[Forfait_Percentage]],Tb_ProjectKosten[#Headers],0),0),AND(F93="Arbeidskosten",G93&lt;&gt;""),IFERROR(X93*VLOOKUP(G93,Tb_KostenTypen[],3,0)*VLOOKUP(F93,Tb_ProjectKosten[],MATCH(Tb_ProjectKosten[[#Headers],[Forfait_Percentage]],Tb_ProjectKosten[#Headers],0),0),""),X93 &lt;=0,0),"")</f>
        <v/>
      </c>
      <c r="AB93" s="314" t="str">
        <f t="shared" ca="1" si="7"/>
        <v/>
      </c>
      <c r="AC93" s="322"/>
      <c r="AD93" s="315"/>
      <c r="AE93" s="32" t="str" cm="1">
        <f t="array" ref="AE93">IFERROR(IF(INDEX(SubsidieTabel!$AD$1:$AG$12,MATCH($F93,SubsidieTabel!$AD$1:$AD$12,0),IFERROR(MATCH(Methode_Keuze,SubsidieTabel!$AD$1:$AG$1,0),2))&lt;&gt;1=TRUE,"ja",""),"")</f>
        <v/>
      </c>
    </row>
    <row r="94" spans="1:31" x14ac:dyDescent="0.25">
      <c r="A94" s="316"/>
      <c r="B94" s="317" t="str">
        <f>IF(A94&lt;&gt;"",_xlfn.MAXIFS($B$1:B93,$A$1:A93,A94)+1,"")</f>
        <v/>
      </c>
      <c r="C94" s="296"/>
      <c r="D94" s="296"/>
      <c r="E94" s="296"/>
      <c r="F94" s="296"/>
      <c r="G94" s="326"/>
      <c r="H94" s="324"/>
      <c r="I94" s="325"/>
      <c r="J94" s="325"/>
      <c r="K94" s="318"/>
      <c r="L94" s="318"/>
      <c r="M94" s="319" t="str">
        <f>IFERROR(VLOOKUP(H94,Lijsten!$H$1:$I$100,2,0),"")</f>
        <v/>
      </c>
      <c r="N94" s="319" t="str">
        <f ca="1">IFERROR(IF(VLOOKUP(F94,Kostentypen!$A$3:$E$21,3,0)=0,"",IF(OR(F94="Arbeidskosten",F94="Vergoeding"),VLOOKUP(G94,Tb_KostenTypen[],2,0),VLOOKUP(F94,Kostentypen!$A$3:$E$20,3,0))),"")</f>
        <v/>
      </c>
      <c r="O94" s="320" t="str" cm="1">
        <f t="array" ref="O94">_xlfn.IFNA(IF(INDEX(Tb_KostenOptiesDB[],MATCH($F94,Tb_KostenOptiesDB[KostenOptie],0),IFERROR(MATCH(Methode_Keuze,Tb_KostenOptiesDB[#Headers],0),2))=1,_xlfn.SWITCH($N94,"Uurtarief",IF(OR(AND(RIGHT($F94,3)="IKS",VLOOKUP($M94,DB_Loonkosten,2,0)="Ja"),AND(RIGHT($F94,3)&lt;&gt;"IKS",VLOOKUP($M94,DB_Loonkosten,2,0)="Nee")),IFERROR(VLOOKUP($M94,DB_Loonkosten,24,0),""),0),"Vast tarief",IF(LEFT(F94,8)="Bijdrage",VLOOKUP($F94,Tb_KostenTypen[],MATCH(Lijsten!$P$1,Tb_KostenTypen[#Headers],0),0),VLOOKUP($G94,Lijsten!L:P,MATCH(Lijsten!$P$1,Kop_Tarief_Vast,0),0))),""),"")</f>
        <v/>
      </c>
      <c r="P94" s="320" t="str" cm="1">
        <f t="array" ref="P94">_xlfn.IFNA(IF(INDEX(Tb_KostenOptiesDB[],MATCH($F94,Tb_KostenOptiesDB[KostenOptie],0),IFERROR(MATCH(Methode_Keuze,Tb_KostenOptiesDB[#Headers],0),2))=1,_xlfn.SWITCH($N94,"Uurtarief",IF(OR(AND(RIGHT($F94,3)="IKS",VLOOKUP($M94,DB_Loonkosten,2,0)="Ja"),AND(RIGHT($F94,3)&lt;&gt;"IKS",VLOOKUP($M94,DB_Loonkosten,2,0)="Nee")),IFERROR(VLOOKUP($M94,DB_Loonkosten,25,0),""),0),"Vast tarief",IF(LEFT(F94,8)="Bijdrage",VLOOKUP($F94,Tb_KostenTypen[],MATCH(Lijsten!$P$1,Tb_KostenTypen[#Headers],0),0),VLOOKUP($G94,Lijsten!L:P,MATCH(Lijsten!$P$1,Kop_Tarief_Vast,0),0))),""),"")</f>
        <v/>
      </c>
      <c r="Q94" s="359"/>
      <c r="R94" s="359"/>
      <c r="S94" s="321"/>
      <c r="T94" s="321"/>
      <c r="U94" s="373" t="str">
        <f t="shared" si="4"/>
        <v/>
      </c>
      <c r="V94" s="314" t="str">
        <f t="shared" si="5"/>
        <v/>
      </c>
      <c r="W94" s="314" t="str" cm="1">
        <f t="array" aca="1" ref="W94" ca="1">IFERROR(IF(AE94&lt;&gt;"ja",_xlfn.IFNA(_xlfn.IFS(AND(O94&lt;&gt;"",F94&lt;&gt;"",RIGHT($N94,6)="tarief",F94="Vergoeding"),SUM(O94)*FLOOR(SUM(Q94),0.0001),AND(O94&lt;&gt;"",F94&lt;&gt;"",RIGHT($N94,6)="tarief"),SUM(O94)*FLOOR(SUM(Q94),0.01),S94&gt;0,IF(F94&lt;&gt;"",FLOOR(SUM(S94),0.01),"")),""),""),"")</f>
        <v/>
      </c>
      <c r="X94" s="314" t="str" cm="1">
        <f t="array" aca="1" ref="X94" ca="1">IFERROR(IF(AE94&lt;&gt;"ja",_xlfn.IFNA(_xlfn.IFS(AND(P94&lt;&gt;"",R94&lt;&gt;"",RIGHT($N94,6)="tarief",F94="Vergoeding"),SUM(P94)*FLOOR(SUM(R94),0.0001),AND(P94&lt;&gt;"",R94&lt;&gt;"",RIGHT($N94,6)="tarief"),P94*FLOOR(R94,0.01),T94&gt;0,FLOOR(SUM(T94),0.01)),""),""),"")</f>
        <v/>
      </c>
      <c r="Y94" s="314" t="str">
        <f t="shared" ca="1" si="6"/>
        <v/>
      </c>
      <c r="Z94" s="314" t="str" cm="1">
        <f t="array" aca="1" ref="Z94" ca="1">IFERROR(_xlfn.IFS(OR(F94="",LEFT(Methode_Keuze,4)="Geen",Methode_Keuze=""),"",AND(W94&lt;&gt;"",F94&lt;&gt;"Arbeidskosten"),W94*VLOOKUP(F94,Tb_ProjectKosten[],MATCH(Tb_ProjectKosten[[#Headers],[Forfait_Percentage]],Tb_ProjectKosten[#Headers],0),0),AND(F94="Arbeidskosten",G94&lt;&gt;""),IFERROR(W94*VLOOKUP(G94,Tb_KostenTypen[],3,0)*VLOOKUP(F94,Tb_ProjectKosten[],MATCH(Tb_ProjectKosten[[#Headers],[Forfait_Percentage]],Tb_ProjectKosten[#Headers],0),0),""),W94 &lt;=0,0),"")</f>
        <v/>
      </c>
      <c r="AA94" s="314" t="str" cm="1">
        <f t="array" aca="1" ref="AA94" ca="1">IFERROR(_xlfn.IFS(OR(F94="",LEFT(Methode_Keuze,4)="Geen",Methode_Keuze=""),"",AND(X94&lt;&gt;"",F94&lt;&gt;"Arbeidskosten"),X94*VLOOKUP(F94,Tb_ProjectKosten[],MATCH(Tb_ProjectKosten[[#Headers],[Forfait_Percentage]],Tb_ProjectKosten[#Headers],0),0),AND(F94="Arbeidskosten",G94&lt;&gt;""),IFERROR(X94*VLOOKUP(G94,Tb_KostenTypen[],3,0)*VLOOKUP(F94,Tb_ProjectKosten[],MATCH(Tb_ProjectKosten[[#Headers],[Forfait_Percentage]],Tb_ProjectKosten[#Headers],0),0),""),X94 &lt;=0,0),"")</f>
        <v/>
      </c>
      <c r="AB94" s="314" t="str">
        <f t="shared" ca="1" si="7"/>
        <v/>
      </c>
      <c r="AC94" s="322"/>
      <c r="AD94" s="315"/>
      <c r="AE94" s="32" t="str" cm="1">
        <f t="array" ref="AE94">IFERROR(IF(INDEX(SubsidieTabel!$AD$1:$AG$12,MATCH($F94,SubsidieTabel!$AD$1:$AD$12,0),IFERROR(MATCH(Methode_Keuze,SubsidieTabel!$AD$1:$AG$1,0),2))&lt;&gt;1=TRUE,"ja",""),"")</f>
        <v/>
      </c>
    </row>
    <row r="95" spans="1:31" x14ac:dyDescent="0.25">
      <c r="A95" s="316"/>
      <c r="B95" s="317" t="str">
        <f>IF(A95&lt;&gt;"",_xlfn.MAXIFS($B$1:B94,$A$1:A94,A95)+1,"")</f>
        <v/>
      </c>
      <c r="C95" s="296"/>
      <c r="D95" s="296"/>
      <c r="E95" s="296"/>
      <c r="F95" s="296"/>
      <c r="G95" s="326"/>
      <c r="H95" s="324"/>
      <c r="I95" s="325"/>
      <c r="J95" s="325"/>
      <c r="K95" s="318"/>
      <c r="L95" s="318"/>
      <c r="M95" s="319" t="str">
        <f>IFERROR(VLOOKUP(H95,Lijsten!$H$1:$I$100,2,0),"")</f>
        <v/>
      </c>
      <c r="N95" s="319" t="str">
        <f ca="1">IFERROR(IF(VLOOKUP(F95,Kostentypen!$A$3:$E$21,3,0)=0,"",IF(OR(F95="Arbeidskosten",F95="Vergoeding"),VLOOKUP(G95,Tb_KostenTypen[],2,0),VLOOKUP(F95,Kostentypen!$A$3:$E$20,3,0))),"")</f>
        <v/>
      </c>
      <c r="O95" s="320" t="str" cm="1">
        <f t="array" ref="O95">_xlfn.IFNA(IF(INDEX(Tb_KostenOptiesDB[],MATCH($F95,Tb_KostenOptiesDB[KostenOptie],0),IFERROR(MATCH(Methode_Keuze,Tb_KostenOptiesDB[#Headers],0),2))=1,_xlfn.SWITCH($N95,"Uurtarief",IF(OR(AND(RIGHT($F95,3)="IKS",VLOOKUP($M95,DB_Loonkosten,2,0)="Ja"),AND(RIGHT($F95,3)&lt;&gt;"IKS",VLOOKUP($M95,DB_Loonkosten,2,0)="Nee")),IFERROR(VLOOKUP($M95,DB_Loonkosten,24,0),""),0),"Vast tarief",IF(LEFT(F95,8)="Bijdrage",VLOOKUP($F95,Tb_KostenTypen[],MATCH(Lijsten!$P$1,Tb_KostenTypen[#Headers],0),0),VLOOKUP($G95,Lijsten!L:P,MATCH(Lijsten!$P$1,Kop_Tarief_Vast,0),0))),""),"")</f>
        <v/>
      </c>
      <c r="P95" s="320" t="str" cm="1">
        <f t="array" ref="P95">_xlfn.IFNA(IF(INDEX(Tb_KostenOptiesDB[],MATCH($F95,Tb_KostenOptiesDB[KostenOptie],0),IFERROR(MATCH(Methode_Keuze,Tb_KostenOptiesDB[#Headers],0),2))=1,_xlfn.SWITCH($N95,"Uurtarief",IF(OR(AND(RIGHT($F95,3)="IKS",VLOOKUP($M95,DB_Loonkosten,2,0)="Ja"),AND(RIGHT($F95,3)&lt;&gt;"IKS",VLOOKUP($M95,DB_Loonkosten,2,0)="Nee")),IFERROR(VLOOKUP($M95,DB_Loonkosten,25,0),""),0),"Vast tarief",IF(LEFT(F95,8)="Bijdrage",VLOOKUP($F95,Tb_KostenTypen[],MATCH(Lijsten!$P$1,Tb_KostenTypen[#Headers],0),0),VLOOKUP($G95,Lijsten!L:P,MATCH(Lijsten!$P$1,Kop_Tarief_Vast,0),0))),""),"")</f>
        <v/>
      </c>
      <c r="Q95" s="359"/>
      <c r="R95" s="359"/>
      <c r="S95" s="321"/>
      <c r="T95" s="321"/>
      <c r="U95" s="373" t="str">
        <f t="shared" si="4"/>
        <v/>
      </c>
      <c r="V95" s="314" t="str">
        <f t="shared" si="5"/>
        <v/>
      </c>
      <c r="W95" s="314" t="str" cm="1">
        <f t="array" aca="1" ref="W95" ca="1">IFERROR(IF(AE95&lt;&gt;"ja",_xlfn.IFNA(_xlfn.IFS(AND(O95&lt;&gt;"",F95&lt;&gt;"",RIGHT($N95,6)="tarief",F95="Vergoeding"),SUM(O95)*FLOOR(SUM(Q95),0.0001),AND(O95&lt;&gt;"",F95&lt;&gt;"",RIGHT($N95,6)="tarief"),SUM(O95)*FLOOR(SUM(Q95),0.01),S95&gt;0,IF(F95&lt;&gt;"",FLOOR(SUM(S95),0.01),"")),""),""),"")</f>
        <v/>
      </c>
      <c r="X95" s="314" t="str" cm="1">
        <f t="array" aca="1" ref="X95" ca="1">IFERROR(IF(AE95&lt;&gt;"ja",_xlfn.IFNA(_xlfn.IFS(AND(P95&lt;&gt;"",R95&lt;&gt;"",RIGHT($N95,6)="tarief",F95="Vergoeding"),SUM(P95)*FLOOR(SUM(R95),0.0001),AND(P95&lt;&gt;"",R95&lt;&gt;"",RIGHT($N95,6)="tarief"),P95*FLOOR(R95,0.01),T95&gt;0,FLOOR(SUM(T95),0.01)),""),""),"")</f>
        <v/>
      </c>
      <c r="Y95" s="314" t="str">
        <f t="shared" ca="1" si="6"/>
        <v/>
      </c>
      <c r="Z95" s="314" t="str" cm="1">
        <f t="array" aca="1" ref="Z95" ca="1">IFERROR(_xlfn.IFS(OR(F95="",LEFT(Methode_Keuze,4)="Geen",Methode_Keuze=""),"",AND(W95&lt;&gt;"",F95&lt;&gt;"Arbeidskosten"),W95*VLOOKUP(F95,Tb_ProjectKosten[],MATCH(Tb_ProjectKosten[[#Headers],[Forfait_Percentage]],Tb_ProjectKosten[#Headers],0),0),AND(F95="Arbeidskosten",G95&lt;&gt;""),IFERROR(W95*VLOOKUP(G95,Tb_KostenTypen[],3,0)*VLOOKUP(F95,Tb_ProjectKosten[],MATCH(Tb_ProjectKosten[[#Headers],[Forfait_Percentage]],Tb_ProjectKosten[#Headers],0),0),""),W95 &lt;=0,0),"")</f>
        <v/>
      </c>
      <c r="AA95" s="314" t="str" cm="1">
        <f t="array" aca="1" ref="AA95" ca="1">IFERROR(_xlfn.IFS(OR(F95="",LEFT(Methode_Keuze,4)="Geen",Methode_Keuze=""),"",AND(X95&lt;&gt;"",F95&lt;&gt;"Arbeidskosten"),X95*VLOOKUP(F95,Tb_ProjectKosten[],MATCH(Tb_ProjectKosten[[#Headers],[Forfait_Percentage]],Tb_ProjectKosten[#Headers],0),0),AND(F95="Arbeidskosten",G95&lt;&gt;""),IFERROR(X95*VLOOKUP(G95,Tb_KostenTypen[],3,0)*VLOOKUP(F95,Tb_ProjectKosten[],MATCH(Tb_ProjectKosten[[#Headers],[Forfait_Percentage]],Tb_ProjectKosten[#Headers],0),0),""),X95 &lt;=0,0),"")</f>
        <v/>
      </c>
      <c r="AB95" s="314" t="str">
        <f t="shared" ca="1" si="7"/>
        <v/>
      </c>
      <c r="AC95" s="322"/>
      <c r="AD95" s="315"/>
      <c r="AE95" s="32" t="str" cm="1">
        <f t="array" ref="AE95">IFERROR(IF(INDEX(SubsidieTabel!$AD$1:$AG$12,MATCH($F95,SubsidieTabel!$AD$1:$AD$12,0),IFERROR(MATCH(Methode_Keuze,SubsidieTabel!$AD$1:$AG$1,0),2))&lt;&gt;1=TRUE,"ja",""),"")</f>
        <v/>
      </c>
    </row>
    <row r="96" spans="1:31" x14ac:dyDescent="0.25">
      <c r="A96" s="316"/>
      <c r="B96" s="317" t="str">
        <f>IF(A96&lt;&gt;"",_xlfn.MAXIFS($B$1:B95,$A$1:A95,A96)+1,"")</f>
        <v/>
      </c>
      <c r="C96" s="296"/>
      <c r="D96" s="296"/>
      <c r="E96" s="296"/>
      <c r="F96" s="296"/>
      <c r="G96" s="326"/>
      <c r="H96" s="324"/>
      <c r="I96" s="325"/>
      <c r="J96" s="325"/>
      <c r="K96" s="318"/>
      <c r="L96" s="318"/>
      <c r="M96" s="319" t="str">
        <f>IFERROR(VLOOKUP(H96,Lijsten!$H$1:$I$100,2,0),"")</f>
        <v/>
      </c>
      <c r="N96" s="319" t="str">
        <f ca="1">IFERROR(IF(VLOOKUP(F96,Kostentypen!$A$3:$E$21,3,0)=0,"",IF(OR(F96="Arbeidskosten",F96="Vergoeding"),VLOOKUP(G96,Tb_KostenTypen[],2,0),VLOOKUP(F96,Kostentypen!$A$3:$E$20,3,0))),"")</f>
        <v/>
      </c>
      <c r="O96" s="320" t="str" cm="1">
        <f t="array" ref="O96">_xlfn.IFNA(IF(INDEX(Tb_KostenOptiesDB[],MATCH($F96,Tb_KostenOptiesDB[KostenOptie],0),IFERROR(MATCH(Methode_Keuze,Tb_KostenOptiesDB[#Headers],0),2))=1,_xlfn.SWITCH($N96,"Uurtarief",IF(OR(AND(RIGHT($F96,3)="IKS",VLOOKUP($M96,DB_Loonkosten,2,0)="Ja"),AND(RIGHT($F96,3)&lt;&gt;"IKS",VLOOKUP($M96,DB_Loonkosten,2,0)="Nee")),IFERROR(VLOOKUP($M96,DB_Loonkosten,24,0),""),0),"Vast tarief",IF(LEFT(F96,8)="Bijdrage",VLOOKUP($F96,Tb_KostenTypen[],MATCH(Lijsten!$P$1,Tb_KostenTypen[#Headers],0),0),VLOOKUP($G96,Lijsten!L:P,MATCH(Lijsten!$P$1,Kop_Tarief_Vast,0),0))),""),"")</f>
        <v/>
      </c>
      <c r="P96" s="320" t="str" cm="1">
        <f t="array" ref="P96">_xlfn.IFNA(IF(INDEX(Tb_KostenOptiesDB[],MATCH($F96,Tb_KostenOptiesDB[KostenOptie],0),IFERROR(MATCH(Methode_Keuze,Tb_KostenOptiesDB[#Headers],0),2))=1,_xlfn.SWITCH($N96,"Uurtarief",IF(OR(AND(RIGHT($F96,3)="IKS",VLOOKUP($M96,DB_Loonkosten,2,0)="Ja"),AND(RIGHT($F96,3)&lt;&gt;"IKS",VLOOKUP($M96,DB_Loonkosten,2,0)="Nee")),IFERROR(VLOOKUP($M96,DB_Loonkosten,25,0),""),0),"Vast tarief",IF(LEFT(F96,8)="Bijdrage",VLOOKUP($F96,Tb_KostenTypen[],MATCH(Lijsten!$P$1,Tb_KostenTypen[#Headers],0),0),VLOOKUP($G96,Lijsten!L:P,MATCH(Lijsten!$P$1,Kop_Tarief_Vast,0),0))),""),"")</f>
        <v/>
      </c>
      <c r="Q96" s="359"/>
      <c r="R96" s="359"/>
      <c r="S96" s="321"/>
      <c r="T96" s="321"/>
      <c r="U96" s="373" t="str">
        <f t="shared" si="4"/>
        <v/>
      </c>
      <c r="V96" s="314" t="str">
        <f t="shared" si="5"/>
        <v/>
      </c>
      <c r="W96" s="314" t="str" cm="1">
        <f t="array" aca="1" ref="W96" ca="1">IFERROR(IF(AE96&lt;&gt;"ja",_xlfn.IFNA(_xlfn.IFS(AND(O96&lt;&gt;"",F96&lt;&gt;"",RIGHT($N96,6)="tarief",F96="Vergoeding"),SUM(O96)*FLOOR(SUM(Q96),0.0001),AND(O96&lt;&gt;"",F96&lt;&gt;"",RIGHT($N96,6)="tarief"),SUM(O96)*FLOOR(SUM(Q96),0.01),S96&gt;0,IF(F96&lt;&gt;"",FLOOR(SUM(S96),0.01),"")),""),""),"")</f>
        <v/>
      </c>
      <c r="X96" s="314" t="str" cm="1">
        <f t="array" aca="1" ref="X96" ca="1">IFERROR(IF(AE96&lt;&gt;"ja",_xlfn.IFNA(_xlfn.IFS(AND(P96&lt;&gt;"",R96&lt;&gt;"",RIGHT($N96,6)="tarief",F96="Vergoeding"),SUM(P96)*FLOOR(SUM(R96),0.0001),AND(P96&lt;&gt;"",R96&lt;&gt;"",RIGHT($N96,6)="tarief"),P96*FLOOR(R96,0.01),T96&gt;0,FLOOR(SUM(T96),0.01)),""),""),"")</f>
        <v/>
      </c>
      <c r="Y96" s="314" t="str">
        <f t="shared" ca="1" si="6"/>
        <v/>
      </c>
      <c r="Z96" s="314" t="str" cm="1">
        <f t="array" aca="1" ref="Z96" ca="1">IFERROR(_xlfn.IFS(OR(F96="",LEFT(Methode_Keuze,4)="Geen",Methode_Keuze=""),"",AND(W96&lt;&gt;"",F96&lt;&gt;"Arbeidskosten"),W96*VLOOKUP(F96,Tb_ProjectKosten[],MATCH(Tb_ProjectKosten[[#Headers],[Forfait_Percentage]],Tb_ProjectKosten[#Headers],0),0),AND(F96="Arbeidskosten",G96&lt;&gt;""),IFERROR(W96*VLOOKUP(G96,Tb_KostenTypen[],3,0)*VLOOKUP(F96,Tb_ProjectKosten[],MATCH(Tb_ProjectKosten[[#Headers],[Forfait_Percentage]],Tb_ProjectKosten[#Headers],0),0),""),W96 &lt;=0,0),"")</f>
        <v/>
      </c>
      <c r="AA96" s="314" t="str" cm="1">
        <f t="array" aca="1" ref="AA96" ca="1">IFERROR(_xlfn.IFS(OR(F96="",LEFT(Methode_Keuze,4)="Geen",Methode_Keuze=""),"",AND(X96&lt;&gt;"",F96&lt;&gt;"Arbeidskosten"),X96*VLOOKUP(F96,Tb_ProjectKosten[],MATCH(Tb_ProjectKosten[[#Headers],[Forfait_Percentage]],Tb_ProjectKosten[#Headers],0),0),AND(F96="Arbeidskosten",G96&lt;&gt;""),IFERROR(X96*VLOOKUP(G96,Tb_KostenTypen[],3,0)*VLOOKUP(F96,Tb_ProjectKosten[],MATCH(Tb_ProjectKosten[[#Headers],[Forfait_Percentage]],Tb_ProjectKosten[#Headers],0),0),""),X96 &lt;=0,0),"")</f>
        <v/>
      </c>
      <c r="AB96" s="314" t="str">
        <f t="shared" ca="1" si="7"/>
        <v/>
      </c>
      <c r="AC96" s="322"/>
      <c r="AD96" s="315"/>
      <c r="AE96" s="32" t="str" cm="1">
        <f t="array" ref="AE96">IFERROR(IF(INDEX(SubsidieTabel!$AD$1:$AG$12,MATCH($F96,SubsidieTabel!$AD$1:$AD$12,0),IFERROR(MATCH(Methode_Keuze,SubsidieTabel!$AD$1:$AG$1,0),2))&lt;&gt;1=TRUE,"ja",""),"")</f>
        <v/>
      </c>
    </row>
    <row r="97" spans="1:31" x14ac:dyDescent="0.25">
      <c r="A97" s="316"/>
      <c r="B97" s="317" t="str">
        <f>IF(A97&lt;&gt;"",_xlfn.MAXIFS($B$1:B96,$A$1:A96,A97)+1,"")</f>
        <v/>
      </c>
      <c r="C97" s="296"/>
      <c r="D97" s="296"/>
      <c r="E97" s="296"/>
      <c r="F97" s="296"/>
      <c r="G97" s="326"/>
      <c r="H97" s="324"/>
      <c r="I97" s="325"/>
      <c r="J97" s="325"/>
      <c r="K97" s="318"/>
      <c r="L97" s="318"/>
      <c r="M97" s="319" t="str">
        <f>IFERROR(VLOOKUP(H97,Lijsten!$H$1:$I$100,2,0),"")</f>
        <v/>
      </c>
      <c r="N97" s="319" t="str">
        <f ca="1">IFERROR(IF(VLOOKUP(F97,Kostentypen!$A$3:$E$21,3,0)=0,"",IF(OR(F97="Arbeidskosten",F97="Vergoeding"),VLOOKUP(G97,Tb_KostenTypen[],2,0),VLOOKUP(F97,Kostentypen!$A$3:$E$20,3,0))),"")</f>
        <v/>
      </c>
      <c r="O97" s="320" t="str" cm="1">
        <f t="array" ref="O97">_xlfn.IFNA(IF(INDEX(Tb_KostenOptiesDB[],MATCH($F97,Tb_KostenOptiesDB[KostenOptie],0),IFERROR(MATCH(Methode_Keuze,Tb_KostenOptiesDB[#Headers],0),2))=1,_xlfn.SWITCH($N97,"Uurtarief",IF(OR(AND(RIGHT($F97,3)="IKS",VLOOKUP($M97,DB_Loonkosten,2,0)="Ja"),AND(RIGHT($F97,3)&lt;&gt;"IKS",VLOOKUP($M97,DB_Loonkosten,2,0)="Nee")),IFERROR(VLOOKUP($M97,DB_Loonkosten,24,0),""),0),"Vast tarief",IF(LEFT(F97,8)="Bijdrage",VLOOKUP($F97,Tb_KostenTypen[],MATCH(Lijsten!$P$1,Tb_KostenTypen[#Headers],0),0),VLOOKUP($G97,Lijsten!L:P,MATCH(Lijsten!$P$1,Kop_Tarief_Vast,0),0))),""),"")</f>
        <v/>
      </c>
      <c r="P97" s="320" t="str" cm="1">
        <f t="array" ref="P97">_xlfn.IFNA(IF(INDEX(Tb_KostenOptiesDB[],MATCH($F97,Tb_KostenOptiesDB[KostenOptie],0),IFERROR(MATCH(Methode_Keuze,Tb_KostenOptiesDB[#Headers],0),2))=1,_xlfn.SWITCH($N97,"Uurtarief",IF(OR(AND(RIGHT($F97,3)="IKS",VLOOKUP($M97,DB_Loonkosten,2,0)="Ja"),AND(RIGHT($F97,3)&lt;&gt;"IKS",VLOOKUP($M97,DB_Loonkosten,2,0)="Nee")),IFERROR(VLOOKUP($M97,DB_Loonkosten,25,0),""),0),"Vast tarief",IF(LEFT(F97,8)="Bijdrage",VLOOKUP($F97,Tb_KostenTypen[],MATCH(Lijsten!$P$1,Tb_KostenTypen[#Headers],0),0),VLOOKUP($G97,Lijsten!L:P,MATCH(Lijsten!$P$1,Kop_Tarief_Vast,0),0))),""),"")</f>
        <v/>
      </c>
      <c r="Q97" s="359"/>
      <c r="R97" s="359"/>
      <c r="S97" s="321"/>
      <c r="T97" s="321"/>
      <c r="U97" s="373" t="str">
        <f t="shared" si="4"/>
        <v/>
      </c>
      <c r="V97" s="314" t="str">
        <f t="shared" si="5"/>
        <v/>
      </c>
      <c r="W97" s="314" t="str" cm="1">
        <f t="array" aca="1" ref="W97" ca="1">IFERROR(IF(AE97&lt;&gt;"ja",_xlfn.IFNA(_xlfn.IFS(AND(O97&lt;&gt;"",F97&lt;&gt;"",RIGHT($N97,6)="tarief",F97="Vergoeding"),SUM(O97)*FLOOR(SUM(Q97),0.0001),AND(O97&lt;&gt;"",F97&lt;&gt;"",RIGHT($N97,6)="tarief"),SUM(O97)*FLOOR(SUM(Q97),0.01),S97&gt;0,IF(F97&lt;&gt;"",FLOOR(SUM(S97),0.01),"")),""),""),"")</f>
        <v/>
      </c>
      <c r="X97" s="314" t="str" cm="1">
        <f t="array" aca="1" ref="X97" ca="1">IFERROR(IF(AE97&lt;&gt;"ja",_xlfn.IFNA(_xlfn.IFS(AND(P97&lt;&gt;"",R97&lt;&gt;"",RIGHT($N97,6)="tarief",F97="Vergoeding"),SUM(P97)*FLOOR(SUM(R97),0.0001),AND(P97&lt;&gt;"",R97&lt;&gt;"",RIGHT($N97,6)="tarief"),P97*FLOOR(R97,0.01),T97&gt;0,FLOOR(SUM(T97),0.01)),""),""),"")</f>
        <v/>
      </c>
      <c r="Y97" s="314" t="str">
        <f t="shared" ca="1" si="6"/>
        <v/>
      </c>
      <c r="Z97" s="314" t="str" cm="1">
        <f t="array" aca="1" ref="Z97" ca="1">IFERROR(_xlfn.IFS(OR(F97="",LEFT(Methode_Keuze,4)="Geen",Methode_Keuze=""),"",AND(W97&lt;&gt;"",F97&lt;&gt;"Arbeidskosten"),W97*VLOOKUP(F97,Tb_ProjectKosten[],MATCH(Tb_ProjectKosten[[#Headers],[Forfait_Percentage]],Tb_ProjectKosten[#Headers],0),0),AND(F97="Arbeidskosten",G97&lt;&gt;""),IFERROR(W97*VLOOKUP(G97,Tb_KostenTypen[],3,0)*VLOOKUP(F97,Tb_ProjectKosten[],MATCH(Tb_ProjectKosten[[#Headers],[Forfait_Percentage]],Tb_ProjectKosten[#Headers],0),0),""),W97 &lt;=0,0),"")</f>
        <v/>
      </c>
      <c r="AA97" s="314" t="str" cm="1">
        <f t="array" aca="1" ref="AA97" ca="1">IFERROR(_xlfn.IFS(OR(F97="",LEFT(Methode_Keuze,4)="Geen",Methode_Keuze=""),"",AND(X97&lt;&gt;"",F97&lt;&gt;"Arbeidskosten"),X97*VLOOKUP(F97,Tb_ProjectKosten[],MATCH(Tb_ProjectKosten[[#Headers],[Forfait_Percentage]],Tb_ProjectKosten[#Headers],0),0),AND(F97="Arbeidskosten",G97&lt;&gt;""),IFERROR(X97*VLOOKUP(G97,Tb_KostenTypen[],3,0)*VLOOKUP(F97,Tb_ProjectKosten[],MATCH(Tb_ProjectKosten[[#Headers],[Forfait_Percentage]],Tb_ProjectKosten[#Headers],0),0),""),X97 &lt;=0,0),"")</f>
        <v/>
      </c>
      <c r="AB97" s="314" t="str">
        <f t="shared" ca="1" si="7"/>
        <v/>
      </c>
      <c r="AC97" s="322"/>
      <c r="AD97" s="315"/>
      <c r="AE97" s="32" t="str" cm="1">
        <f t="array" ref="AE97">IFERROR(IF(INDEX(SubsidieTabel!$AD$1:$AG$12,MATCH($F97,SubsidieTabel!$AD$1:$AD$12,0),IFERROR(MATCH(Methode_Keuze,SubsidieTabel!$AD$1:$AG$1,0),2))&lt;&gt;1=TRUE,"ja",""),"")</f>
        <v/>
      </c>
    </row>
    <row r="98" spans="1:31" x14ac:dyDescent="0.25">
      <c r="A98" s="316"/>
      <c r="B98" s="317" t="str">
        <f>IF(A98&lt;&gt;"",_xlfn.MAXIFS($B$1:B97,$A$1:A97,A98)+1,"")</f>
        <v/>
      </c>
      <c r="C98" s="296"/>
      <c r="D98" s="296"/>
      <c r="E98" s="296"/>
      <c r="F98" s="296"/>
      <c r="G98" s="326"/>
      <c r="H98" s="324"/>
      <c r="I98" s="325"/>
      <c r="J98" s="325"/>
      <c r="K98" s="318"/>
      <c r="L98" s="318"/>
      <c r="M98" s="319" t="str">
        <f>IFERROR(VLOOKUP(H98,Lijsten!$H$1:$I$100,2,0),"")</f>
        <v/>
      </c>
      <c r="N98" s="319" t="str">
        <f ca="1">IFERROR(IF(VLOOKUP(F98,Kostentypen!$A$3:$E$21,3,0)=0,"",IF(OR(F98="Arbeidskosten",F98="Vergoeding"),VLOOKUP(G98,Tb_KostenTypen[],2,0),VLOOKUP(F98,Kostentypen!$A$3:$E$20,3,0))),"")</f>
        <v/>
      </c>
      <c r="O98" s="320" t="str" cm="1">
        <f t="array" ref="O98">_xlfn.IFNA(IF(INDEX(Tb_KostenOptiesDB[],MATCH($F98,Tb_KostenOptiesDB[KostenOptie],0),IFERROR(MATCH(Methode_Keuze,Tb_KostenOptiesDB[#Headers],0),2))=1,_xlfn.SWITCH($N98,"Uurtarief",IF(OR(AND(RIGHT($F98,3)="IKS",VLOOKUP($M98,DB_Loonkosten,2,0)="Ja"),AND(RIGHT($F98,3)&lt;&gt;"IKS",VLOOKUP($M98,DB_Loonkosten,2,0)="Nee")),IFERROR(VLOOKUP($M98,DB_Loonkosten,24,0),""),0),"Vast tarief",IF(LEFT(F98,8)="Bijdrage",VLOOKUP($F98,Tb_KostenTypen[],MATCH(Lijsten!$P$1,Tb_KostenTypen[#Headers],0),0),VLOOKUP($G98,Lijsten!L:P,MATCH(Lijsten!$P$1,Kop_Tarief_Vast,0),0))),""),"")</f>
        <v/>
      </c>
      <c r="P98" s="320" t="str" cm="1">
        <f t="array" ref="P98">_xlfn.IFNA(IF(INDEX(Tb_KostenOptiesDB[],MATCH($F98,Tb_KostenOptiesDB[KostenOptie],0),IFERROR(MATCH(Methode_Keuze,Tb_KostenOptiesDB[#Headers],0),2))=1,_xlfn.SWITCH($N98,"Uurtarief",IF(OR(AND(RIGHT($F98,3)="IKS",VLOOKUP($M98,DB_Loonkosten,2,0)="Ja"),AND(RIGHT($F98,3)&lt;&gt;"IKS",VLOOKUP($M98,DB_Loonkosten,2,0)="Nee")),IFERROR(VLOOKUP($M98,DB_Loonkosten,25,0),""),0),"Vast tarief",IF(LEFT(F98,8)="Bijdrage",VLOOKUP($F98,Tb_KostenTypen[],MATCH(Lijsten!$P$1,Tb_KostenTypen[#Headers],0),0),VLOOKUP($G98,Lijsten!L:P,MATCH(Lijsten!$P$1,Kop_Tarief_Vast,0),0))),""),"")</f>
        <v/>
      </c>
      <c r="Q98" s="359"/>
      <c r="R98" s="359"/>
      <c r="S98" s="321"/>
      <c r="T98" s="321"/>
      <c r="U98" s="373" t="str">
        <f t="shared" si="4"/>
        <v/>
      </c>
      <c r="V98" s="314" t="str">
        <f t="shared" si="5"/>
        <v/>
      </c>
      <c r="W98" s="314" t="str" cm="1">
        <f t="array" aca="1" ref="W98" ca="1">IFERROR(IF(AE98&lt;&gt;"ja",_xlfn.IFNA(_xlfn.IFS(AND(O98&lt;&gt;"",F98&lt;&gt;"",RIGHT($N98,6)="tarief",F98="Vergoeding"),SUM(O98)*FLOOR(SUM(Q98),0.0001),AND(O98&lt;&gt;"",F98&lt;&gt;"",RIGHT($N98,6)="tarief"),SUM(O98)*FLOOR(SUM(Q98),0.01),S98&gt;0,IF(F98&lt;&gt;"",FLOOR(SUM(S98),0.01),"")),""),""),"")</f>
        <v/>
      </c>
      <c r="X98" s="314" t="str" cm="1">
        <f t="array" aca="1" ref="X98" ca="1">IFERROR(IF(AE98&lt;&gt;"ja",_xlfn.IFNA(_xlfn.IFS(AND(P98&lt;&gt;"",R98&lt;&gt;"",RIGHT($N98,6)="tarief",F98="Vergoeding"),SUM(P98)*FLOOR(SUM(R98),0.0001),AND(P98&lt;&gt;"",R98&lt;&gt;"",RIGHT($N98,6)="tarief"),P98*FLOOR(R98,0.01),T98&gt;0,FLOOR(SUM(T98),0.01)),""),""),"")</f>
        <v/>
      </c>
      <c r="Y98" s="314" t="str">
        <f t="shared" ca="1" si="6"/>
        <v/>
      </c>
      <c r="Z98" s="314" t="str" cm="1">
        <f t="array" aca="1" ref="Z98" ca="1">IFERROR(_xlfn.IFS(OR(F98="",LEFT(Methode_Keuze,4)="Geen",Methode_Keuze=""),"",AND(W98&lt;&gt;"",F98&lt;&gt;"Arbeidskosten"),W98*VLOOKUP(F98,Tb_ProjectKosten[],MATCH(Tb_ProjectKosten[[#Headers],[Forfait_Percentage]],Tb_ProjectKosten[#Headers],0),0),AND(F98="Arbeidskosten",G98&lt;&gt;""),IFERROR(W98*VLOOKUP(G98,Tb_KostenTypen[],3,0)*VLOOKUP(F98,Tb_ProjectKosten[],MATCH(Tb_ProjectKosten[[#Headers],[Forfait_Percentage]],Tb_ProjectKosten[#Headers],0),0),""),W98 &lt;=0,0),"")</f>
        <v/>
      </c>
      <c r="AA98" s="314" t="str" cm="1">
        <f t="array" aca="1" ref="AA98" ca="1">IFERROR(_xlfn.IFS(OR(F98="",LEFT(Methode_Keuze,4)="Geen",Methode_Keuze=""),"",AND(X98&lt;&gt;"",F98&lt;&gt;"Arbeidskosten"),X98*VLOOKUP(F98,Tb_ProjectKosten[],MATCH(Tb_ProjectKosten[[#Headers],[Forfait_Percentage]],Tb_ProjectKosten[#Headers],0),0),AND(F98="Arbeidskosten",G98&lt;&gt;""),IFERROR(X98*VLOOKUP(G98,Tb_KostenTypen[],3,0)*VLOOKUP(F98,Tb_ProjectKosten[],MATCH(Tb_ProjectKosten[[#Headers],[Forfait_Percentage]],Tb_ProjectKosten[#Headers],0),0),""),X98 &lt;=0,0),"")</f>
        <v/>
      </c>
      <c r="AB98" s="314" t="str">
        <f t="shared" ca="1" si="7"/>
        <v/>
      </c>
      <c r="AC98" s="322"/>
      <c r="AD98" s="315"/>
      <c r="AE98" s="32" t="str" cm="1">
        <f t="array" ref="AE98">IFERROR(IF(INDEX(SubsidieTabel!$AD$1:$AG$12,MATCH($F98,SubsidieTabel!$AD$1:$AD$12,0),IFERROR(MATCH(Methode_Keuze,SubsidieTabel!$AD$1:$AG$1,0),2))&lt;&gt;1=TRUE,"ja",""),"")</f>
        <v/>
      </c>
    </row>
    <row r="99" spans="1:31" x14ac:dyDescent="0.25">
      <c r="A99" s="316"/>
      <c r="B99" s="317" t="str">
        <f>IF(A99&lt;&gt;"",_xlfn.MAXIFS($B$1:B98,$A$1:A98,A99)+1,"")</f>
        <v/>
      </c>
      <c r="C99" s="296"/>
      <c r="D99" s="296"/>
      <c r="E99" s="296"/>
      <c r="F99" s="296"/>
      <c r="G99" s="326"/>
      <c r="H99" s="324"/>
      <c r="I99" s="325"/>
      <c r="J99" s="325"/>
      <c r="K99" s="318"/>
      <c r="L99" s="318"/>
      <c r="M99" s="319" t="str">
        <f>IFERROR(VLOOKUP(H99,Lijsten!$H$1:$I$100,2,0),"")</f>
        <v/>
      </c>
      <c r="N99" s="319" t="str">
        <f ca="1">IFERROR(IF(VLOOKUP(F99,Kostentypen!$A$3:$E$21,3,0)=0,"",IF(OR(F99="Arbeidskosten",F99="Vergoeding"),VLOOKUP(G99,Tb_KostenTypen[],2,0),VLOOKUP(F99,Kostentypen!$A$3:$E$20,3,0))),"")</f>
        <v/>
      </c>
      <c r="O99" s="320" t="str" cm="1">
        <f t="array" ref="O99">_xlfn.IFNA(IF(INDEX(Tb_KostenOptiesDB[],MATCH($F99,Tb_KostenOptiesDB[KostenOptie],0),IFERROR(MATCH(Methode_Keuze,Tb_KostenOptiesDB[#Headers],0),2))=1,_xlfn.SWITCH($N99,"Uurtarief",IF(OR(AND(RIGHT($F99,3)="IKS",VLOOKUP($M99,DB_Loonkosten,2,0)="Ja"),AND(RIGHT($F99,3)&lt;&gt;"IKS",VLOOKUP($M99,DB_Loonkosten,2,0)="Nee")),IFERROR(VLOOKUP($M99,DB_Loonkosten,24,0),""),0),"Vast tarief",IF(LEFT(F99,8)="Bijdrage",VLOOKUP($F99,Tb_KostenTypen[],MATCH(Lijsten!$P$1,Tb_KostenTypen[#Headers],0),0),VLOOKUP($G99,Lijsten!L:P,MATCH(Lijsten!$P$1,Kop_Tarief_Vast,0),0))),""),"")</f>
        <v/>
      </c>
      <c r="P99" s="320" t="str" cm="1">
        <f t="array" ref="P99">_xlfn.IFNA(IF(INDEX(Tb_KostenOptiesDB[],MATCH($F99,Tb_KostenOptiesDB[KostenOptie],0),IFERROR(MATCH(Methode_Keuze,Tb_KostenOptiesDB[#Headers],0),2))=1,_xlfn.SWITCH($N99,"Uurtarief",IF(OR(AND(RIGHT($F99,3)="IKS",VLOOKUP($M99,DB_Loonkosten,2,0)="Ja"),AND(RIGHT($F99,3)&lt;&gt;"IKS",VLOOKUP($M99,DB_Loonkosten,2,0)="Nee")),IFERROR(VLOOKUP($M99,DB_Loonkosten,25,0),""),0),"Vast tarief",IF(LEFT(F99,8)="Bijdrage",VLOOKUP($F99,Tb_KostenTypen[],MATCH(Lijsten!$P$1,Tb_KostenTypen[#Headers],0),0),VLOOKUP($G99,Lijsten!L:P,MATCH(Lijsten!$P$1,Kop_Tarief_Vast,0),0))),""),"")</f>
        <v/>
      </c>
      <c r="Q99" s="359"/>
      <c r="R99" s="359"/>
      <c r="S99" s="321"/>
      <c r="T99" s="321"/>
      <c r="U99" s="373" t="str">
        <f t="shared" si="4"/>
        <v/>
      </c>
      <c r="V99" s="314" t="str">
        <f t="shared" si="5"/>
        <v/>
      </c>
      <c r="W99" s="314" t="str" cm="1">
        <f t="array" aca="1" ref="W99" ca="1">IFERROR(IF(AE99&lt;&gt;"ja",_xlfn.IFNA(_xlfn.IFS(AND(O99&lt;&gt;"",F99&lt;&gt;"",RIGHT($N99,6)="tarief",F99="Vergoeding"),SUM(O99)*FLOOR(SUM(Q99),0.0001),AND(O99&lt;&gt;"",F99&lt;&gt;"",RIGHT($N99,6)="tarief"),SUM(O99)*FLOOR(SUM(Q99),0.01),S99&gt;0,IF(F99&lt;&gt;"",FLOOR(SUM(S99),0.01),"")),""),""),"")</f>
        <v/>
      </c>
      <c r="X99" s="314" t="str" cm="1">
        <f t="array" aca="1" ref="X99" ca="1">IFERROR(IF(AE99&lt;&gt;"ja",_xlfn.IFNA(_xlfn.IFS(AND(P99&lt;&gt;"",R99&lt;&gt;"",RIGHT($N99,6)="tarief",F99="Vergoeding"),SUM(P99)*FLOOR(SUM(R99),0.0001),AND(P99&lt;&gt;"",R99&lt;&gt;"",RIGHT($N99,6)="tarief"),P99*FLOOR(R99,0.01),T99&gt;0,FLOOR(SUM(T99),0.01)),""),""),"")</f>
        <v/>
      </c>
      <c r="Y99" s="314" t="str">
        <f t="shared" ca="1" si="6"/>
        <v/>
      </c>
      <c r="Z99" s="314" t="str" cm="1">
        <f t="array" aca="1" ref="Z99" ca="1">IFERROR(_xlfn.IFS(OR(F99="",LEFT(Methode_Keuze,4)="Geen",Methode_Keuze=""),"",AND(W99&lt;&gt;"",F99&lt;&gt;"Arbeidskosten"),W99*VLOOKUP(F99,Tb_ProjectKosten[],MATCH(Tb_ProjectKosten[[#Headers],[Forfait_Percentage]],Tb_ProjectKosten[#Headers],0),0),AND(F99="Arbeidskosten",G99&lt;&gt;""),IFERROR(W99*VLOOKUP(G99,Tb_KostenTypen[],3,0)*VLOOKUP(F99,Tb_ProjectKosten[],MATCH(Tb_ProjectKosten[[#Headers],[Forfait_Percentage]],Tb_ProjectKosten[#Headers],0),0),""),W99 &lt;=0,0),"")</f>
        <v/>
      </c>
      <c r="AA99" s="314" t="str" cm="1">
        <f t="array" aca="1" ref="AA99" ca="1">IFERROR(_xlfn.IFS(OR(F99="",LEFT(Methode_Keuze,4)="Geen",Methode_Keuze=""),"",AND(X99&lt;&gt;"",F99&lt;&gt;"Arbeidskosten"),X99*VLOOKUP(F99,Tb_ProjectKosten[],MATCH(Tb_ProjectKosten[[#Headers],[Forfait_Percentage]],Tb_ProjectKosten[#Headers],0),0),AND(F99="Arbeidskosten",G99&lt;&gt;""),IFERROR(X99*VLOOKUP(G99,Tb_KostenTypen[],3,0)*VLOOKUP(F99,Tb_ProjectKosten[],MATCH(Tb_ProjectKosten[[#Headers],[Forfait_Percentage]],Tb_ProjectKosten[#Headers],0),0),""),X99 &lt;=0,0),"")</f>
        <v/>
      </c>
      <c r="AB99" s="314" t="str">
        <f t="shared" ca="1" si="7"/>
        <v/>
      </c>
      <c r="AC99" s="322"/>
      <c r="AD99" s="315"/>
      <c r="AE99" s="32" t="str" cm="1">
        <f t="array" ref="AE99">IFERROR(IF(INDEX(SubsidieTabel!$AD$1:$AG$12,MATCH($F99,SubsidieTabel!$AD$1:$AD$12,0),IFERROR(MATCH(Methode_Keuze,SubsidieTabel!$AD$1:$AG$1,0),2))&lt;&gt;1=TRUE,"ja",""),"")</f>
        <v/>
      </c>
    </row>
    <row r="100" spans="1:31" x14ac:dyDescent="0.25">
      <c r="A100" s="316"/>
      <c r="B100" s="317" t="str">
        <f>IF(A100&lt;&gt;"",_xlfn.MAXIFS($B$1:B99,$A$1:A99,A100)+1,"")</f>
        <v/>
      </c>
      <c r="C100" s="296"/>
      <c r="D100" s="296"/>
      <c r="E100" s="296"/>
      <c r="F100" s="296"/>
      <c r="G100" s="326"/>
      <c r="H100" s="324"/>
      <c r="I100" s="325"/>
      <c r="J100" s="325"/>
      <c r="K100" s="318"/>
      <c r="L100" s="318"/>
      <c r="M100" s="319" t="str">
        <f>IFERROR(VLOOKUP(H100,Lijsten!$H$1:$I$100,2,0),"")</f>
        <v/>
      </c>
      <c r="N100" s="319" t="str">
        <f ca="1">IFERROR(IF(VLOOKUP(F100,Kostentypen!$A$3:$E$21,3,0)=0,"",IF(OR(F100="Arbeidskosten",F100="Vergoeding"),VLOOKUP(G100,Tb_KostenTypen[],2,0),VLOOKUP(F100,Kostentypen!$A$3:$E$20,3,0))),"")</f>
        <v/>
      </c>
      <c r="O100" s="320" t="str" cm="1">
        <f t="array" ref="O100">_xlfn.IFNA(IF(INDEX(Tb_KostenOptiesDB[],MATCH($F100,Tb_KostenOptiesDB[KostenOptie],0),IFERROR(MATCH(Methode_Keuze,Tb_KostenOptiesDB[#Headers],0),2))=1,_xlfn.SWITCH($N100,"Uurtarief",IF(OR(AND(RIGHT($F100,3)="IKS",VLOOKUP($M100,DB_Loonkosten,2,0)="Ja"),AND(RIGHT($F100,3)&lt;&gt;"IKS",VLOOKUP($M100,DB_Loonkosten,2,0)="Nee")),IFERROR(VLOOKUP($M100,DB_Loonkosten,24,0),""),0),"Vast tarief",IF(LEFT(F100,8)="Bijdrage",VLOOKUP($F100,Tb_KostenTypen[],MATCH(Lijsten!$P$1,Tb_KostenTypen[#Headers],0),0),VLOOKUP($G100,Lijsten!L:P,MATCH(Lijsten!$P$1,Kop_Tarief_Vast,0),0))),""),"")</f>
        <v/>
      </c>
      <c r="P100" s="320" t="str" cm="1">
        <f t="array" ref="P100">_xlfn.IFNA(IF(INDEX(Tb_KostenOptiesDB[],MATCH($F100,Tb_KostenOptiesDB[KostenOptie],0),IFERROR(MATCH(Methode_Keuze,Tb_KostenOptiesDB[#Headers],0),2))=1,_xlfn.SWITCH($N100,"Uurtarief",IF(OR(AND(RIGHT($F100,3)="IKS",VLOOKUP($M100,DB_Loonkosten,2,0)="Ja"),AND(RIGHT($F100,3)&lt;&gt;"IKS",VLOOKUP($M100,DB_Loonkosten,2,0)="Nee")),IFERROR(VLOOKUP($M100,DB_Loonkosten,25,0),""),0),"Vast tarief",IF(LEFT(F100,8)="Bijdrage",VLOOKUP($F100,Tb_KostenTypen[],MATCH(Lijsten!$P$1,Tb_KostenTypen[#Headers],0),0),VLOOKUP($G100,Lijsten!L:P,MATCH(Lijsten!$P$1,Kop_Tarief_Vast,0),0))),""),"")</f>
        <v/>
      </c>
      <c r="Q100" s="359"/>
      <c r="R100" s="359"/>
      <c r="S100" s="321"/>
      <c r="T100" s="321"/>
      <c r="U100" s="373" t="str">
        <f t="shared" si="4"/>
        <v/>
      </c>
      <c r="V100" s="314" t="str">
        <f t="shared" si="5"/>
        <v/>
      </c>
      <c r="W100" s="314" t="str" cm="1">
        <f t="array" aca="1" ref="W100" ca="1">IFERROR(IF(AE100&lt;&gt;"ja",_xlfn.IFNA(_xlfn.IFS(AND(O100&lt;&gt;"",F100&lt;&gt;"",RIGHT($N100,6)="tarief",F100="Vergoeding"),SUM(O100)*FLOOR(SUM(Q100),0.0001),AND(O100&lt;&gt;"",F100&lt;&gt;"",RIGHT($N100,6)="tarief"),SUM(O100)*FLOOR(SUM(Q100),0.01),S100&gt;0,IF(F100&lt;&gt;"",FLOOR(SUM(S100),0.01),"")),""),""),"")</f>
        <v/>
      </c>
      <c r="X100" s="314" t="str" cm="1">
        <f t="array" aca="1" ref="X100" ca="1">IFERROR(IF(AE100&lt;&gt;"ja",_xlfn.IFNA(_xlfn.IFS(AND(P100&lt;&gt;"",R100&lt;&gt;"",RIGHT($N100,6)="tarief",F100="Vergoeding"),SUM(P100)*FLOOR(SUM(R100),0.0001),AND(P100&lt;&gt;"",R100&lt;&gt;"",RIGHT($N100,6)="tarief"),P100*FLOOR(R100,0.01),T100&gt;0,FLOOR(SUM(T100),0.01)),""),""),"")</f>
        <v/>
      </c>
      <c r="Y100" s="314" t="str">
        <f t="shared" ca="1" si="6"/>
        <v/>
      </c>
      <c r="Z100" s="314" t="str" cm="1">
        <f t="array" aca="1" ref="Z100" ca="1">IFERROR(_xlfn.IFS(OR(F100="",LEFT(Methode_Keuze,4)="Geen",Methode_Keuze=""),"",AND(W100&lt;&gt;"",F100&lt;&gt;"Arbeidskosten"),W100*VLOOKUP(F100,Tb_ProjectKosten[],MATCH(Tb_ProjectKosten[[#Headers],[Forfait_Percentage]],Tb_ProjectKosten[#Headers],0),0),AND(F100="Arbeidskosten",G100&lt;&gt;""),IFERROR(W100*VLOOKUP(G100,Tb_KostenTypen[],3,0)*VLOOKUP(F100,Tb_ProjectKosten[],MATCH(Tb_ProjectKosten[[#Headers],[Forfait_Percentage]],Tb_ProjectKosten[#Headers],0),0),""),W100 &lt;=0,0),"")</f>
        <v/>
      </c>
      <c r="AA100" s="314" t="str" cm="1">
        <f t="array" aca="1" ref="AA100" ca="1">IFERROR(_xlfn.IFS(OR(F100="",LEFT(Methode_Keuze,4)="Geen",Methode_Keuze=""),"",AND(X100&lt;&gt;"",F100&lt;&gt;"Arbeidskosten"),X100*VLOOKUP(F100,Tb_ProjectKosten[],MATCH(Tb_ProjectKosten[[#Headers],[Forfait_Percentage]],Tb_ProjectKosten[#Headers],0),0),AND(F100="Arbeidskosten",G100&lt;&gt;""),IFERROR(X100*VLOOKUP(G100,Tb_KostenTypen[],3,0)*VLOOKUP(F100,Tb_ProjectKosten[],MATCH(Tb_ProjectKosten[[#Headers],[Forfait_Percentage]],Tb_ProjectKosten[#Headers],0),0),""),X100 &lt;=0,0),"")</f>
        <v/>
      </c>
      <c r="AB100" s="314" t="str">
        <f t="shared" ca="1" si="7"/>
        <v/>
      </c>
      <c r="AC100" s="322"/>
      <c r="AD100" s="315"/>
      <c r="AE100" s="32" t="str" cm="1">
        <f t="array" ref="AE100">IFERROR(IF(INDEX(SubsidieTabel!$AD$1:$AG$12,MATCH($F100,SubsidieTabel!$AD$1:$AD$12,0),IFERROR(MATCH(Methode_Keuze,SubsidieTabel!$AD$1:$AG$1,0),2))&lt;&gt;1=TRUE,"ja",""),"")</f>
        <v/>
      </c>
    </row>
    <row r="101" spans="1:31" x14ac:dyDescent="0.25">
      <c r="A101" s="316"/>
      <c r="B101" s="317" t="str">
        <f>IF(A101&lt;&gt;"",_xlfn.MAXIFS($B$1:B100,$A$1:A100,A101)+1,"")</f>
        <v/>
      </c>
      <c r="C101" s="296"/>
      <c r="D101" s="296"/>
      <c r="E101" s="296"/>
      <c r="F101" s="296"/>
      <c r="G101" s="326"/>
      <c r="H101" s="324"/>
      <c r="I101" s="325"/>
      <c r="J101" s="325"/>
      <c r="K101" s="318"/>
      <c r="L101" s="318"/>
      <c r="M101" s="319" t="str">
        <f>IFERROR(VLOOKUP(H101,Lijsten!$H$1:$I$100,2,0),"")</f>
        <v/>
      </c>
      <c r="N101" s="319" t="str">
        <f ca="1">IFERROR(IF(VLOOKUP(F101,Kostentypen!$A$3:$E$21,3,0)=0,"",IF(OR(F101="Arbeidskosten",F101="Vergoeding"),VLOOKUP(G101,Tb_KostenTypen[],2,0),VLOOKUP(F101,Kostentypen!$A$3:$E$20,3,0))),"")</f>
        <v/>
      </c>
      <c r="O101" s="320" t="str" cm="1">
        <f t="array" ref="O101">_xlfn.IFNA(IF(INDEX(Tb_KostenOptiesDB[],MATCH($F101,Tb_KostenOptiesDB[KostenOptie],0),IFERROR(MATCH(Methode_Keuze,Tb_KostenOptiesDB[#Headers],0),2))=1,_xlfn.SWITCH($N101,"Uurtarief",IF(OR(AND(RIGHT($F101,3)="IKS",VLOOKUP($M101,DB_Loonkosten,2,0)="Ja"),AND(RIGHT($F101,3)&lt;&gt;"IKS",VLOOKUP($M101,DB_Loonkosten,2,0)="Nee")),IFERROR(VLOOKUP($M101,DB_Loonkosten,24,0),""),0),"Vast tarief",IF(LEFT(F101,8)="Bijdrage",VLOOKUP($F101,Tb_KostenTypen[],MATCH(Lijsten!$P$1,Tb_KostenTypen[#Headers],0),0),VLOOKUP($G101,Lijsten!L:P,MATCH(Lijsten!$P$1,Kop_Tarief_Vast,0),0))),""),"")</f>
        <v/>
      </c>
      <c r="P101" s="320" t="str" cm="1">
        <f t="array" ref="P101">_xlfn.IFNA(IF(INDEX(Tb_KostenOptiesDB[],MATCH($F101,Tb_KostenOptiesDB[KostenOptie],0),IFERROR(MATCH(Methode_Keuze,Tb_KostenOptiesDB[#Headers],0),2))=1,_xlfn.SWITCH($N101,"Uurtarief",IF(OR(AND(RIGHT($F101,3)="IKS",VLOOKUP($M101,DB_Loonkosten,2,0)="Ja"),AND(RIGHT($F101,3)&lt;&gt;"IKS",VLOOKUP($M101,DB_Loonkosten,2,0)="Nee")),IFERROR(VLOOKUP($M101,DB_Loonkosten,25,0),""),0),"Vast tarief",IF(LEFT(F101,8)="Bijdrage",VLOOKUP($F101,Tb_KostenTypen[],MATCH(Lijsten!$P$1,Tb_KostenTypen[#Headers],0),0),VLOOKUP($G101,Lijsten!L:P,MATCH(Lijsten!$P$1,Kop_Tarief_Vast,0),0))),""),"")</f>
        <v/>
      </c>
      <c r="Q101" s="359"/>
      <c r="R101" s="359"/>
      <c r="S101" s="321"/>
      <c r="T101" s="321"/>
      <c r="U101" s="373" t="str">
        <f t="shared" si="4"/>
        <v/>
      </c>
      <c r="V101" s="314" t="str">
        <f t="shared" si="5"/>
        <v/>
      </c>
      <c r="W101" s="314" t="str" cm="1">
        <f t="array" aca="1" ref="W101" ca="1">IFERROR(IF(AE101&lt;&gt;"ja",_xlfn.IFNA(_xlfn.IFS(AND(O101&lt;&gt;"",F101&lt;&gt;"",RIGHT($N101,6)="tarief",F101="Vergoeding"),SUM(O101)*FLOOR(SUM(Q101),0.0001),AND(O101&lt;&gt;"",F101&lt;&gt;"",RIGHT($N101,6)="tarief"),SUM(O101)*FLOOR(SUM(Q101),0.01),S101&gt;0,IF(F101&lt;&gt;"",FLOOR(SUM(S101),0.01),"")),""),""),"")</f>
        <v/>
      </c>
      <c r="X101" s="314" t="str" cm="1">
        <f t="array" aca="1" ref="X101" ca="1">IFERROR(IF(AE101&lt;&gt;"ja",_xlfn.IFNA(_xlfn.IFS(AND(P101&lt;&gt;"",R101&lt;&gt;"",RIGHT($N101,6)="tarief",F101="Vergoeding"),SUM(P101)*FLOOR(SUM(R101),0.0001),AND(P101&lt;&gt;"",R101&lt;&gt;"",RIGHT($N101,6)="tarief"),P101*FLOOR(R101,0.01),T101&gt;0,FLOOR(SUM(T101),0.01)),""),""),"")</f>
        <v/>
      </c>
      <c r="Y101" s="314" t="str">
        <f t="shared" ca="1" si="6"/>
        <v/>
      </c>
      <c r="Z101" s="314" t="str" cm="1">
        <f t="array" aca="1" ref="Z101" ca="1">IFERROR(_xlfn.IFS(OR(F101="",LEFT(Methode_Keuze,4)="Geen",Methode_Keuze=""),"",AND(W101&lt;&gt;"",F101&lt;&gt;"Arbeidskosten"),W101*VLOOKUP(F101,Tb_ProjectKosten[],MATCH(Tb_ProjectKosten[[#Headers],[Forfait_Percentage]],Tb_ProjectKosten[#Headers],0),0),AND(F101="Arbeidskosten",G101&lt;&gt;""),IFERROR(W101*VLOOKUP(G101,Tb_KostenTypen[],3,0)*VLOOKUP(F101,Tb_ProjectKosten[],MATCH(Tb_ProjectKosten[[#Headers],[Forfait_Percentage]],Tb_ProjectKosten[#Headers],0),0),""),W101 &lt;=0,0),"")</f>
        <v/>
      </c>
      <c r="AA101" s="314" t="str" cm="1">
        <f t="array" aca="1" ref="AA101" ca="1">IFERROR(_xlfn.IFS(OR(F101="",LEFT(Methode_Keuze,4)="Geen",Methode_Keuze=""),"",AND(X101&lt;&gt;"",F101&lt;&gt;"Arbeidskosten"),X101*VLOOKUP(F101,Tb_ProjectKosten[],MATCH(Tb_ProjectKosten[[#Headers],[Forfait_Percentage]],Tb_ProjectKosten[#Headers],0),0),AND(F101="Arbeidskosten",G101&lt;&gt;""),IFERROR(X101*VLOOKUP(G101,Tb_KostenTypen[],3,0)*VLOOKUP(F101,Tb_ProjectKosten[],MATCH(Tb_ProjectKosten[[#Headers],[Forfait_Percentage]],Tb_ProjectKosten[#Headers],0),0),""),X101 &lt;=0,0),"")</f>
        <v/>
      </c>
      <c r="AB101" s="314" t="str">
        <f t="shared" ca="1" si="7"/>
        <v/>
      </c>
      <c r="AC101" s="322"/>
      <c r="AD101" s="315"/>
      <c r="AE101" s="32" t="str" cm="1">
        <f t="array" ref="AE101">IFERROR(IF(INDEX(SubsidieTabel!$AD$1:$AG$12,MATCH($F101,SubsidieTabel!$AD$1:$AD$12,0),IFERROR(MATCH(Methode_Keuze,SubsidieTabel!$AD$1:$AG$1,0),2))&lt;&gt;1=TRUE,"ja",""),"")</f>
        <v/>
      </c>
    </row>
    <row r="102" spans="1:31" x14ac:dyDescent="0.25">
      <c r="A102" s="316"/>
      <c r="B102" s="317" t="str">
        <f>IF(A102&lt;&gt;"",_xlfn.MAXIFS($B$1:B101,$A$1:A101,A102)+1,"")</f>
        <v/>
      </c>
      <c r="C102" s="296"/>
      <c r="D102" s="296"/>
      <c r="E102" s="296"/>
      <c r="F102" s="296"/>
      <c r="G102" s="326"/>
      <c r="H102" s="324"/>
      <c r="I102" s="325"/>
      <c r="J102" s="325"/>
      <c r="K102" s="318"/>
      <c r="L102" s="318"/>
      <c r="M102" s="319" t="str">
        <f>IFERROR(VLOOKUP(H102,Lijsten!$H$1:$I$100,2,0),"")</f>
        <v/>
      </c>
      <c r="N102" s="319" t="str">
        <f ca="1">IFERROR(IF(VLOOKUP(F102,Kostentypen!$A$3:$E$21,3,0)=0,"",IF(OR(F102="Arbeidskosten",F102="Vergoeding"),VLOOKUP(G102,Tb_KostenTypen[],2,0),VLOOKUP(F102,Kostentypen!$A$3:$E$20,3,0))),"")</f>
        <v/>
      </c>
      <c r="O102" s="320" t="str" cm="1">
        <f t="array" ref="O102">_xlfn.IFNA(IF(INDEX(Tb_KostenOptiesDB[],MATCH($F102,Tb_KostenOptiesDB[KostenOptie],0),IFERROR(MATCH(Methode_Keuze,Tb_KostenOptiesDB[#Headers],0),2))=1,_xlfn.SWITCH($N102,"Uurtarief",IF(OR(AND(RIGHT($F102,3)="IKS",VLOOKUP($M102,DB_Loonkosten,2,0)="Ja"),AND(RIGHT($F102,3)&lt;&gt;"IKS",VLOOKUP($M102,DB_Loonkosten,2,0)="Nee")),IFERROR(VLOOKUP($M102,DB_Loonkosten,24,0),""),0),"Vast tarief",IF(LEFT(F102,8)="Bijdrage",VLOOKUP($F102,Tb_KostenTypen[],MATCH(Lijsten!$P$1,Tb_KostenTypen[#Headers],0),0),VLOOKUP($G102,Lijsten!L:P,MATCH(Lijsten!$P$1,Kop_Tarief_Vast,0),0))),""),"")</f>
        <v/>
      </c>
      <c r="P102" s="320" t="str" cm="1">
        <f t="array" ref="P102">_xlfn.IFNA(IF(INDEX(Tb_KostenOptiesDB[],MATCH($F102,Tb_KostenOptiesDB[KostenOptie],0),IFERROR(MATCH(Methode_Keuze,Tb_KostenOptiesDB[#Headers],0),2))=1,_xlfn.SWITCH($N102,"Uurtarief",IF(OR(AND(RIGHT($F102,3)="IKS",VLOOKUP($M102,DB_Loonkosten,2,0)="Ja"),AND(RIGHT($F102,3)&lt;&gt;"IKS",VLOOKUP($M102,DB_Loonkosten,2,0)="Nee")),IFERROR(VLOOKUP($M102,DB_Loonkosten,25,0),""),0),"Vast tarief",IF(LEFT(F102,8)="Bijdrage",VLOOKUP($F102,Tb_KostenTypen[],MATCH(Lijsten!$P$1,Tb_KostenTypen[#Headers],0),0),VLOOKUP($G102,Lijsten!L:P,MATCH(Lijsten!$P$1,Kop_Tarief_Vast,0),0))),""),"")</f>
        <v/>
      </c>
      <c r="Q102" s="359"/>
      <c r="R102" s="359"/>
      <c r="S102" s="321"/>
      <c r="T102" s="321"/>
      <c r="U102" s="373" t="str">
        <f t="shared" si="4"/>
        <v/>
      </c>
      <c r="V102" s="314" t="str">
        <f t="shared" si="5"/>
        <v/>
      </c>
      <c r="W102" s="314" t="str" cm="1">
        <f t="array" aca="1" ref="W102" ca="1">IFERROR(IF(AE102&lt;&gt;"ja",_xlfn.IFNA(_xlfn.IFS(AND(O102&lt;&gt;"",F102&lt;&gt;"",RIGHT($N102,6)="tarief",F102="Vergoeding"),SUM(O102)*FLOOR(SUM(Q102),0.0001),AND(O102&lt;&gt;"",F102&lt;&gt;"",RIGHT($N102,6)="tarief"),SUM(O102)*FLOOR(SUM(Q102),0.01),S102&gt;0,IF(F102&lt;&gt;"",FLOOR(SUM(S102),0.01),"")),""),""),"")</f>
        <v/>
      </c>
      <c r="X102" s="314" t="str" cm="1">
        <f t="array" aca="1" ref="X102" ca="1">IFERROR(IF(AE102&lt;&gt;"ja",_xlfn.IFNA(_xlfn.IFS(AND(P102&lt;&gt;"",R102&lt;&gt;"",RIGHT($N102,6)="tarief",F102="Vergoeding"),SUM(P102)*FLOOR(SUM(R102),0.0001),AND(P102&lt;&gt;"",R102&lt;&gt;"",RIGHT($N102,6)="tarief"),P102*FLOOR(R102,0.01),T102&gt;0,FLOOR(SUM(T102),0.01)),""),""),"")</f>
        <v/>
      </c>
      <c r="Y102" s="314" t="str">
        <f t="shared" ca="1" si="6"/>
        <v/>
      </c>
      <c r="Z102" s="314" t="str" cm="1">
        <f t="array" aca="1" ref="Z102" ca="1">IFERROR(_xlfn.IFS(OR(F102="",LEFT(Methode_Keuze,4)="Geen",Methode_Keuze=""),"",AND(W102&lt;&gt;"",F102&lt;&gt;"Arbeidskosten"),W102*VLOOKUP(F102,Tb_ProjectKosten[],MATCH(Tb_ProjectKosten[[#Headers],[Forfait_Percentage]],Tb_ProjectKosten[#Headers],0),0),AND(F102="Arbeidskosten",G102&lt;&gt;""),IFERROR(W102*VLOOKUP(G102,Tb_KostenTypen[],3,0)*VLOOKUP(F102,Tb_ProjectKosten[],MATCH(Tb_ProjectKosten[[#Headers],[Forfait_Percentage]],Tb_ProjectKosten[#Headers],0),0),""),W102 &lt;=0,0),"")</f>
        <v/>
      </c>
      <c r="AA102" s="314" t="str" cm="1">
        <f t="array" aca="1" ref="AA102" ca="1">IFERROR(_xlfn.IFS(OR(F102="",LEFT(Methode_Keuze,4)="Geen",Methode_Keuze=""),"",AND(X102&lt;&gt;"",F102&lt;&gt;"Arbeidskosten"),X102*VLOOKUP(F102,Tb_ProjectKosten[],MATCH(Tb_ProjectKosten[[#Headers],[Forfait_Percentage]],Tb_ProjectKosten[#Headers],0),0),AND(F102="Arbeidskosten",G102&lt;&gt;""),IFERROR(X102*VLOOKUP(G102,Tb_KostenTypen[],3,0)*VLOOKUP(F102,Tb_ProjectKosten[],MATCH(Tb_ProjectKosten[[#Headers],[Forfait_Percentage]],Tb_ProjectKosten[#Headers],0),0),""),X102 &lt;=0,0),"")</f>
        <v/>
      </c>
      <c r="AB102" s="314" t="str">
        <f t="shared" ca="1" si="7"/>
        <v/>
      </c>
      <c r="AC102" s="322"/>
      <c r="AD102" s="315"/>
      <c r="AE102" s="32" t="str" cm="1">
        <f t="array" ref="AE102">IFERROR(IF(INDEX(SubsidieTabel!$AD$1:$AG$12,MATCH($F102,SubsidieTabel!$AD$1:$AD$12,0),IFERROR(MATCH(Methode_Keuze,SubsidieTabel!$AD$1:$AG$1,0),2))&lt;&gt;1=TRUE,"ja",""),"")</f>
        <v/>
      </c>
    </row>
    <row r="103" spans="1:31" x14ac:dyDescent="0.25">
      <c r="A103" s="316"/>
      <c r="B103" s="317" t="str">
        <f>IF(A103&lt;&gt;"",_xlfn.MAXIFS($B$1:B102,$A$1:A102,A103)+1,"")</f>
        <v/>
      </c>
      <c r="C103" s="296"/>
      <c r="D103" s="296"/>
      <c r="E103" s="296"/>
      <c r="F103" s="296"/>
      <c r="G103" s="326"/>
      <c r="H103" s="324"/>
      <c r="I103" s="325"/>
      <c r="J103" s="325"/>
      <c r="K103" s="318"/>
      <c r="L103" s="318"/>
      <c r="M103" s="319" t="str">
        <f>IFERROR(VLOOKUP(H103,Lijsten!$H$1:$I$100,2,0),"")</f>
        <v/>
      </c>
      <c r="N103" s="319" t="str">
        <f ca="1">IFERROR(IF(VLOOKUP(F103,Kostentypen!$A$3:$E$21,3,0)=0,"",IF(OR(F103="Arbeidskosten",F103="Vergoeding"),VLOOKUP(G103,Tb_KostenTypen[],2,0),VLOOKUP(F103,Kostentypen!$A$3:$E$20,3,0))),"")</f>
        <v/>
      </c>
      <c r="O103" s="320" t="str" cm="1">
        <f t="array" ref="O103">_xlfn.IFNA(IF(INDEX(Tb_KostenOptiesDB[],MATCH($F103,Tb_KostenOptiesDB[KostenOptie],0),IFERROR(MATCH(Methode_Keuze,Tb_KostenOptiesDB[#Headers],0),2))=1,_xlfn.SWITCH($N103,"Uurtarief",IF(OR(AND(RIGHT($F103,3)="IKS",VLOOKUP($M103,DB_Loonkosten,2,0)="Ja"),AND(RIGHT($F103,3)&lt;&gt;"IKS",VLOOKUP($M103,DB_Loonkosten,2,0)="Nee")),IFERROR(VLOOKUP($M103,DB_Loonkosten,24,0),""),0),"Vast tarief",IF(LEFT(F103,8)="Bijdrage",VLOOKUP($F103,Tb_KostenTypen[],MATCH(Lijsten!$P$1,Tb_KostenTypen[#Headers],0),0),VLOOKUP($G103,Lijsten!L:P,MATCH(Lijsten!$P$1,Kop_Tarief_Vast,0),0))),""),"")</f>
        <v/>
      </c>
      <c r="P103" s="320" t="str" cm="1">
        <f t="array" ref="P103">_xlfn.IFNA(IF(INDEX(Tb_KostenOptiesDB[],MATCH($F103,Tb_KostenOptiesDB[KostenOptie],0),IFERROR(MATCH(Methode_Keuze,Tb_KostenOptiesDB[#Headers],0),2))=1,_xlfn.SWITCH($N103,"Uurtarief",IF(OR(AND(RIGHT($F103,3)="IKS",VLOOKUP($M103,DB_Loonkosten,2,0)="Ja"),AND(RIGHT($F103,3)&lt;&gt;"IKS",VLOOKUP($M103,DB_Loonkosten,2,0)="Nee")),IFERROR(VLOOKUP($M103,DB_Loonkosten,25,0),""),0),"Vast tarief",IF(LEFT(F103,8)="Bijdrage",VLOOKUP($F103,Tb_KostenTypen[],MATCH(Lijsten!$P$1,Tb_KostenTypen[#Headers],0),0),VLOOKUP($G103,Lijsten!L:P,MATCH(Lijsten!$P$1,Kop_Tarief_Vast,0),0))),""),"")</f>
        <v/>
      </c>
      <c r="Q103" s="359"/>
      <c r="R103" s="359"/>
      <c r="S103" s="321"/>
      <c r="T103" s="321"/>
      <c r="U103" s="373" t="str">
        <f t="shared" si="4"/>
        <v/>
      </c>
      <c r="V103" s="314" t="str">
        <f t="shared" si="5"/>
        <v/>
      </c>
      <c r="W103" s="314" t="str" cm="1">
        <f t="array" aca="1" ref="W103" ca="1">IFERROR(IF(AE103&lt;&gt;"ja",_xlfn.IFNA(_xlfn.IFS(AND(O103&lt;&gt;"",F103&lt;&gt;"",RIGHT($N103,6)="tarief",F103="Vergoeding"),SUM(O103)*FLOOR(SUM(Q103),0.0001),AND(O103&lt;&gt;"",F103&lt;&gt;"",RIGHT($N103,6)="tarief"),SUM(O103)*FLOOR(SUM(Q103),0.01),S103&gt;0,IF(F103&lt;&gt;"",FLOOR(SUM(S103),0.01),"")),""),""),"")</f>
        <v/>
      </c>
      <c r="X103" s="314" t="str" cm="1">
        <f t="array" aca="1" ref="X103" ca="1">IFERROR(IF(AE103&lt;&gt;"ja",_xlfn.IFNA(_xlfn.IFS(AND(P103&lt;&gt;"",R103&lt;&gt;"",RIGHT($N103,6)="tarief",F103="Vergoeding"),SUM(P103)*FLOOR(SUM(R103),0.0001),AND(P103&lt;&gt;"",R103&lt;&gt;"",RIGHT($N103,6)="tarief"),P103*FLOOR(R103,0.01),T103&gt;0,FLOOR(SUM(T103),0.01)),""),""),"")</f>
        <v/>
      </c>
      <c r="Y103" s="314" t="str">
        <f t="shared" ca="1" si="6"/>
        <v/>
      </c>
      <c r="Z103" s="314" t="str" cm="1">
        <f t="array" aca="1" ref="Z103" ca="1">IFERROR(_xlfn.IFS(OR(F103="",LEFT(Methode_Keuze,4)="Geen",Methode_Keuze=""),"",AND(W103&lt;&gt;"",F103&lt;&gt;"Arbeidskosten"),W103*VLOOKUP(F103,Tb_ProjectKosten[],MATCH(Tb_ProjectKosten[[#Headers],[Forfait_Percentage]],Tb_ProjectKosten[#Headers],0),0),AND(F103="Arbeidskosten",G103&lt;&gt;""),IFERROR(W103*VLOOKUP(G103,Tb_KostenTypen[],3,0)*VLOOKUP(F103,Tb_ProjectKosten[],MATCH(Tb_ProjectKosten[[#Headers],[Forfait_Percentage]],Tb_ProjectKosten[#Headers],0),0),""),W103 &lt;=0,0),"")</f>
        <v/>
      </c>
      <c r="AA103" s="314" t="str" cm="1">
        <f t="array" aca="1" ref="AA103" ca="1">IFERROR(_xlfn.IFS(OR(F103="",LEFT(Methode_Keuze,4)="Geen",Methode_Keuze=""),"",AND(X103&lt;&gt;"",F103&lt;&gt;"Arbeidskosten"),X103*VLOOKUP(F103,Tb_ProjectKosten[],MATCH(Tb_ProjectKosten[[#Headers],[Forfait_Percentage]],Tb_ProjectKosten[#Headers],0),0),AND(F103="Arbeidskosten",G103&lt;&gt;""),IFERROR(X103*VLOOKUP(G103,Tb_KostenTypen[],3,0)*VLOOKUP(F103,Tb_ProjectKosten[],MATCH(Tb_ProjectKosten[[#Headers],[Forfait_Percentage]],Tb_ProjectKosten[#Headers],0),0),""),X103 &lt;=0,0),"")</f>
        <v/>
      </c>
      <c r="AB103" s="314" t="str">
        <f t="shared" ca="1" si="7"/>
        <v/>
      </c>
      <c r="AC103" s="322"/>
      <c r="AD103" s="315"/>
      <c r="AE103" s="32" t="str" cm="1">
        <f t="array" ref="AE103">IFERROR(IF(INDEX(SubsidieTabel!$AD$1:$AG$12,MATCH($F103,SubsidieTabel!$AD$1:$AD$12,0),IFERROR(MATCH(Methode_Keuze,SubsidieTabel!$AD$1:$AG$1,0),2))&lt;&gt;1=TRUE,"ja",""),"")</f>
        <v/>
      </c>
    </row>
    <row r="104" spans="1:31" x14ac:dyDescent="0.25">
      <c r="A104" s="316"/>
      <c r="B104" s="317" t="str">
        <f>IF(A104&lt;&gt;"",_xlfn.MAXIFS($B$1:B103,$A$1:A103,A104)+1,"")</f>
        <v/>
      </c>
      <c r="C104" s="296"/>
      <c r="D104" s="296"/>
      <c r="E104" s="296"/>
      <c r="F104" s="296"/>
      <c r="G104" s="326"/>
      <c r="H104" s="324"/>
      <c r="I104" s="325"/>
      <c r="J104" s="325"/>
      <c r="K104" s="318"/>
      <c r="L104" s="318"/>
      <c r="M104" s="319" t="str">
        <f>IFERROR(VLOOKUP(H104,Lijsten!$H$1:$I$100,2,0),"")</f>
        <v/>
      </c>
      <c r="N104" s="319" t="str">
        <f ca="1">IFERROR(IF(VLOOKUP(F104,Kostentypen!$A$3:$E$21,3,0)=0,"",IF(OR(F104="Arbeidskosten",F104="Vergoeding"),VLOOKUP(G104,Tb_KostenTypen[],2,0),VLOOKUP(F104,Kostentypen!$A$3:$E$20,3,0))),"")</f>
        <v/>
      </c>
      <c r="O104" s="320" t="str" cm="1">
        <f t="array" ref="O104">_xlfn.IFNA(IF(INDEX(Tb_KostenOptiesDB[],MATCH($F104,Tb_KostenOptiesDB[KostenOptie],0),IFERROR(MATCH(Methode_Keuze,Tb_KostenOptiesDB[#Headers],0),2))=1,_xlfn.SWITCH($N104,"Uurtarief",IF(OR(AND(RIGHT($F104,3)="IKS",VLOOKUP($M104,DB_Loonkosten,2,0)="Ja"),AND(RIGHT($F104,3)&lt;&gt;"IKS",VLOOKUP($M104,DB_Loonkosten,2,0)="Nee")),IFERROR(VLOOKUP($M104,DB_Loonkosten,24,0),""),0),"Vast tarief",IF(LEFT(F104,8)="Bijdrage",VLOOKUP($F104,Tb_KostenTypen[],MATCH(Lijsten!$P$1,Tb_KostenTypen[#Headers],0),0),VLOOKUP($G104,Lijsten!L:P,MATCH(Lijsten!$P$1,Kop_Tarief_Vast,0),0))),""),"")</f>
        <v/>
      </c>
      <c r="P104" s="320" t="str" cm="1">
        <f t="array" ref="P104">_xlfn.IFNA(IF(INDEX(Tb_KostenOptiesDB[],MATCH($F104,Tb_KostenOptiesDB[KostenOptie],0),IFERROR(MATCH(Methode_Keuze,Tb_KostenOptiesDB[#Headers],0),2))=1,_xlfn.SWITCH($N104,"Uurtarief",IF(OR(AND(RIGHT($F104,3)="IKS",VLOOKUP($M104,DB_Loonkosten,2,0)="Ja"),AND(RIGHT($F104,3)&lt;&gt;"IKS",VLOOKUP($M104,DB_Loonkosten,2,0)="Nee")),IFERROR(VLOOKUP($M104,DB_Loonkosten,25,0),""),0),"Vast tarief",IF(LEFT(F104,8)="Bijdrage",VLOOKUP($F104,Tb_KostenTypen[],MATCH(Lijsten!$P$1,Tb_KostenTypen[#Headers],0),0),VLOOKUP($G104,Lijsten!L:P,MATCH(Lijsten!$P$1,Kop_Tarief_Vast,0),0))),""),"")</f>
        <v/>
      </c>
      <c r="Q104" s="359"/>
      <c r="R104" s="359"/>
      <c r="S104" s="321"/>
      <c r="T104" s="321"/>
      <c r="U104" s="373" t="str">
        <f t="shared" si="4"/>
        <v/>
      </c>
      <c r="V104" s="314" t="str">
        <f t="shared" si="5"/>
        <v/>
      </c>
      <c r="W104" s="314" t="str" cm="1">
        <f t="array" aca="1" ref="W104" ca="1">IFERROR(IF(AE104&lt;&gt;"ja",_xlfn.IFNA(_xlfn.IFS(AND(O104&lt;&gt;"",F104&lt;&gt;"",RIGHT($N104,6)="tarief",F104="Vergoeding"),SUM(O104)*FLOOR(SUM(Q104),0.0001),AND(O104&lt;&gt;"",F104&lt;&gt;"",RIGHT($N104,6)="tarief"),SUM(O104)*FLOOR(SUM(Q104),0.01),S104&gt;0,IF(F104&lt;&gt;"",FLOOR(SUM(S104),0.01),"")),""),""),"")</f>
        <v/>
      </c>
      <c r="X104" s="314" t="str" cm="1">
        <f t="array" aca="1" ref="X104" ca="1">IFERROR(IF(AE104&lt;&gt;"ja",_xlfn.IFNA(_xlfn.IFS(AND(P104&lt;&gt;"",R104&lt;&gt;"",RIGHT($N104,6)="tarief",F104="Vergoeding"),SUM(P104)*FLOOR(SUM(R104),0.0001),AND(P104&lt;&gt;"",R104&lt;&gt;"",RIGHT($N104,6)="tarief"),P104*FLOOR(R104,0.01),T104&gt;0,FLOOR(SUM(T104),0.01)),""),""),"")</f>
        <v/>
      </c>
      <c r="Y104" s="314" t="str">
        <f t="shared" ca="1" si="6"/>
        <v/>
      </c>
      <c r="Z104" s="314" t="str" cm="1">
        <f t="array" aca="1" ref="Z104" ca="1">IFERROR(_xlfn.IFS(OR(F104="",LEFT(Methode_Keuze,4)="Geen",Methode_Keuze=""),"",AND(W104&lt;&gt;"",F104&lt;&gt;"Arbeidskosten"),W104*VLOOKUP(F104,Tb_ProjectKosten[],MATCH(Tb_ProjectKosten[[#Headers],[Forfait_Percentage]],Tb_ProjectKosten[#Headers],0),0),AND(F104="Arbeidskosten",G104&lt;&gt;""),IFERROR(W104*VLOOKUP(G104,Tb_KostenTypen[],3,0)*VLOOKUP(F104,Tb_ProjectKosten[],MATCH(Tb_ProjectKosten[[#Headers],[Forfait_Percentage]],Tb_ProjectKosten[#Headers],0),0),""),W104 &lt;=0,0),"")</f>
        <v/>
      </c>
      <c r="AA104" s="314" t="str" cm="1">
        <f t="array" aca="1" ref="AA104" ca="1">IFERROR(_xlfn.IFS(OR(F104="",LEFT(Methode_Keuze,4)="Geen",Methode_Keuze=""),"",AND(X104&lt;&gt;"",F104&lt;&gt;"Arbeidskosten"),X104*VLOOKUP(F104,Tb_ProjectKosten[],MATCH(Tb_ProjectKosten[[#Headers],[Forfait_Percentage]],Tb_ProjectKosten[#Headers],0),0),AND(F104="Arbeidskosten",G104&lt;&gt;""),IFERROR(X104*VLOOKUP(G104,Tb_KostenTypen[],3,0)*VLOOKUP(F104,Tb_ProjectKosten[],MATCH(Tb_ProjectKosten[[#Headers],[Forfait_Percentage]],Tb_ProjectKosten[#Headers],0),0),""),X104 &lt;=0,0),"")</f>
        <v/>
      </c>
      <c r="AB104" s="314" t="str">
        <f t="shared" ca="1" si="7"/>
        <v/>
      </c>
      <c r="AC104" s="322"/>
      <c r="AD104" s="315"/>
      <c r="AE104" s="32" t="str" cm="1">
        <f t="array" ref="AE104">IFERROR(IF(INDEX(SubsidieTabel!$AD$1:$AG$12,MATCH($F104,SubsidieTabel!$AD$1:$AD$12,0),IFERROR(MATCH(Methode_Keuze,SubsidieTabel!$AD$1:$AG$1,0),2))&lt;&gt;1=TRUE,"ja",""),"")</f>
        <v/>
      </c>
    </row>
    <row r="105" spans="1:31" x14ac:dyDescent="0.25">
      <c r="A105" s="316"/>
      <c r="B105" s="317" t="str">
        <f>IF(A105&lt;&gt;"",_xlfn.MAXIFS($B$1:B104,$A$1:A104,A105)+1,"")</f>
        <v/>
      </c>
      <c r="C105" s="296"/>
      <c r="D105" s="296"/>
      <c r="E105" s="296"/>
      <c r="F105" s="296"/>
      <c r="G105" s="326"/>
      <c r="H105" s="324"/>
      <c r="I105" s="325"/>
      <c r="J105" s="325"/>
      <c r="K105" s="318"/>
      <c r="L105" s="318"/>
      <c r="M105" s="319" t="str">
        <f>IFERROR(VLOOKUP(H105,Lijsten!$H$1:$I$100,2,0),"")</f>
        <v/>
      </c>
      <c r="N105" s="319" t="str">
        <f ca="1">IFERROR(IF(VLOOKUP(F105,Kostentypen!$A$3:$E$21,3,0)=0,"",IF(OR(F105="Arbeidskosten",F105="Vergoeding"),VLOOKUP(G105,Tb_KostenTypen[],2,0),VLOOKUP(F105,Kostentypen!$A$3:$E$20,3,0))),"")</f>
        <v/>
      </c>
      <c r="O105" s="320" t="str" cm="1">
        <f t="array" ref="O105">_xlfn.IFNA(IF(INDEX(Tb_KostenOptiesDB[],MATCH($F105,Tb_KostenOptiesDB[KostenOptie],0),IFERROR(MATCH(Methode_Keuze,Tb_KostenOptiesDB[#Headers],0),2))=1,_xlfn.SWITCH($N105,"Uurtarief",IF(OR(AND(RIGHT($F105,3)="IKS",VLOOKUP($M105,DB_Loonkosten,2,0)="Ja"),AND(RIGHT($F105,3)&lt;&gt;"IKS",VLOOKUP($M105,DB_Loonkosten,2,0)="Nee")),IFERROR(VLOOKUP($M105,DB_Loonkosten,24,0),""),0),"Vast tarief",IF(LEFT(F105,8)="Bijdrage",VLOOKUP($F105,Tb_KostenTypen[],MATCH(Lijsten!$P$1,Tb_KostenTypen[#Headers],0),0),VLOOKUP($G105,Lijsten!L:P,MATCH(Lijsten!$P$1,Kop_Tarief_Vast,0),0))),""),"")</f>
        <v/>
      </c>
      <c r="P105" s="320" t="str" cm="1">
        <f t="array" ref="P105">_xlfn.IFNA(IF(INDEX(Tb_KostenOptiesDB[],MATCH($F105,Tb_KostenOptiesDB[KostenOptie],0),IFERROR(MATCH(Methode_Keuze,Tb_KostenOptiesDB[#Headers],0),2))=1,_xlfn.SWITCH($N105,"Uurtarief",IF(OR(AND(RIGHT($F105,3)="IKS",VLOOKUP($M105,DB_Loonkosten,2,0)="Ja"),AND(RIGHT($F105,3)&lt;&gt;"IKS",VLOOKUP($M105,DB_Loonkosten,2,0)="Nee")),IFERROR(VLOOKUP($M105,DB_Loonkosten,25,0),""),0),"Vast tarief",IF(LEFT(F105,8)="Bijdrage",VLOOKUP($F105,Tb_KostenTypen[],MATCH(Lijsten!$P$1,Tb_KostenTypen[#Headers],0),0),VLOOKUP($G105,Lijsten!L:P,MATCH(Lijsten!$P$1,Kop_Tarief_Vast,0),0))),""),"")</f>
        <v/>
      </c>
      <c r="Q105" s="359"/>
      <c r="R105" s="359"/>
      <c r="S105" s="321"/>
      <c r="T105" s="321"/>
      <c r="U105" s="373" t="str">
        <f t="shared" si="4"/>
        <v/>
      </c>
      <c r="V105" s="314" t="str">
        <f t="shared" si="5"/>
        <v/>
      </c>
      <c r="W105" s="314" t="str" cm="1">
        <f t="array" aca="1" ref="W105" ca="1">IFERROR(IF(AE105&lt;&gt;"ja",_xlfn.IFNA(_xlfn.IFS(AND(O105&lt;&gt;"",F105&lt;&gt;"",RIGHT($N105,6)="tarief",F105="Vergoeding"),SUM(O105)*FLOOR(SUM(Q105),0.0001),AND(O105&lt;&gt;"",F105&lt;&gt;"",RIGHT($N105,6)="tarief"),SUM(O105)*FLOOR(SUM(Q105),0.01),S105&gt;0,IF(F105&lt;&gt;"",FLOOR(SUM(S105),0.01),"")),""),""),"")</f>
        <v/>
      </c>
      <c r="X105" s="314" t="str" cm="1">
        <f t="array" aca="1" ref="X105" ca="1">IFERROR(IF(AE105&lt;&gt;"ja",_xlfn.IFNA(_xlfn.IFS(AND(P105&lt;&gt;"",R105&lt;&gt;"",RIGHT($N105,6)="tarief",F105="Vergoeding"),SUM(P105)*FLOOR(SUM(R105),0.0001),AND(P105&lt;&gt;"",R105&lt;&gt;"",RIGHT($N105,6)="tarief"),P105*FLOOR(R105,0.01),T105&gt;0,FLOOR(SUM(T105),0.01)),""),""),"")</f>
        <v/>
      </c>
      <c r="Y105" s="314" t="str">
        <f t="shared" ca="1" si="6"/>
        <v/>
      </c>
      <c r="Z105" s="314" t="str" cm="1">
        <f t="array" aca="1" ref="Z105" ca="1">IFERROR(_xlfn.IFS(OR(F105="",LEFT(Methode_Keuze,4)="Geen",Methode_Keuze=""),"",AND(W105&lt;&gt;"",F105&lt;&gt;"Arbeidskosten"),W105*VLOOKUP(F105,Tb_ProjectKosten[],MATCH(Tb_ProjectKosten[[#Headers],[Forfait_Percentage]],Tb_ProjectKosten[#Headers],0),0),AND(F105="Arbeidskosten",G105&lt;&gt;""),IFERROR(W105*VLOOKUP(G105,Tb_KostenTypen[],3,0)*VLOOKUP(F105,Tb_ProjectKosten[],MATCH(Tb_ProjectKosten[[#Headers],[Forfait_Percentage]],Tb_ProjectKosten[#Headers],0),0),""),W105 &lt;=0,0),"")</f>
        <v/>
      </c>
      <c r="AA105" s="314" t="str" cm="1">
        <f t="array" aca="1" ref="AA105" ca="1">IFERROR(_xlfn.IFS(OR(F105="",LEFT(Methode_Keuze,4)="Geen",Methode_Keuze=""),"",AND(X105&lt;&gt;"",F105&lt;&gt;"Arbeidskosten"),X105*VLOOKUP(F105,Tb_ProjectKosten[],MATCH(Tb_ProjectKosten[[#Headers],[Forfait_Percentage]],Tb_ProjectKosten[#Headers],0),0),AND(F105="Arbeidskosten",G105&lt;&gt;""),IFERROR(X105*VLOOKUP(G105,Tb_KostenTypen[],3,0)*VLOOKUP(F105,Tb_ProjectKosten[],MATCH(Tb_ProjectKosten[[#Headers],[Forfait_Percentage]],Tb_ProjectKosten[#Headers],0),0),""),X105 &lt;=0,0),"")</f>
        <v/>
      </c>
      <c r="AB105" s="314" t="str">
        <f t="shared" ca="1" si="7"/>
        <v/>
      </c>
      <c r="AC105" s="322"/>
      <c r="AD105" s="315"/>
      <c r="AE105" s="32" t="str" cm="1">
        <f t="array" ref="AE105">IFERROR(IF(INDEX(SubsidieTabel!$AD$1:$AG$12,MATCH($F105,SubsidieTabel!$AD$1:$AD$12,0),IFERROR(MATCH(Methode_Keuze,SubsidieTabel!$AD$1:$AG$1,0),2))&lt;&gt;1=TRUE,"ja",""),"")</f>
        <v/>
      </c>
    </row>
    <row r="106" spans="1:31" x14ac:dyDescent="0.25">
      <c r="A106" s="316"/>
      <c r="B106" s="317" t="str">
        <f>IF(A106&lt;&gt;"",_xlfn.MAXIFS($B$1:B105,$A$1:A105,A106)+1,"")</f>
        <v/>
      </c>
      <c r="C106" s="296"/>
      <c r="D106" s="296"/>
      <c r="E106" s="296"/>
      <c r="F106" s="296"/>
      <c r="G106" s="326"/>
      <c r="H106" s="324"/>
      <c r="I106" s="325"/>
      <c r="J106" s="325"/>
      <c r="K106" s="318"/>
      <c r="L106" s="318"/>
      <c r="M106" s="319" t="str">
        <f>IFERROR(VLOOKUP(H106,Lijsten!$H$1:$I$100,2,0),"")</f>
        <v/>
      </c>
      <c r="N106" s="319" t="str">
        <f ca="1">IFERROR(IF(VLOOKUP(F106,Kostentypen!$A$3:$E$21,3,0)=0,"",IF(OR(F106="Arbeidskosten",F106="Vergoeding"),VLOOKUP(G106,Tb_KostenTypen[],2,0),VLOOKUP(F106,Kostentypen!$A$3:$E$20,3,0))),"")</f>
        <v/>
      </c>
      <c r="O106" s="320" t="str" cm="1">
        <f t="array" ref="O106">_xlfn.IFNA(IF(INDEX(Tb_KostenOptiesDB[],MATCH($F106,Tb_KostenOptiesDB[KostenOptie],0),IFERROR(MATCH(Methode_Keuze,Tb_KostenOptiesDB[#Headers],0),2))=1,_xlfn.SWITCH($N106,"Uurtarief",IF(OR(AND(RIGHT($F106,3)="IKS",VLOOKUP($M106,DB_Loonkosten,2,0)="Ja"),AND(RIGHT($F106,3)&lt;&gt;"IKS",VLOOKUP($M106,DB_Loonkosten,2,0)="Nee")),IFERROR(VLOOKUP($M106,DB_Loonkosten,24,0),""),0),"Vast tarief",IF(LEFT(F106,8)="Bijdrage",VLOOKUP($F106,Tb_KostenTypen[],MATCH(Lijsten!$P$1,Tb_KostenTypen[#Headers],0),0),VLOOKUP($G106,Lijsten!L:P,MATCH(Lijsten!$P$1,Kop_Tarief_Vast,0),0))),""),"")</f>
        <v/>
      </c>
      <c r="P106" s="320" t="str" cm="1">
        <f t="array" ref="P106">_xlfn.IFNA(IF(INDEX(Tb_KostenOptiesDB[],MATCH($F106,Tb_KostenOptiesDB[KostenOptie],0),IFERROR(MATCH(Methode_Keuze,Tb_KostenOptiesDB[#Headers],0),2))=1,_xlfn.SWITCH($N106,"Uurtarief",IF(OR(AND(RIGHT($F106,3)="IKS",VLOOKUP($M106,DB_Loonkosten,2,0)="Ja"),AND(RIGHT($F106,3)&lt;&gt;"IKS",VLOOKUP($M106,DB_Loonkosten,2,0)="Nee")),IFERROR(VLOOKUP($M106,DB_Loonkosten,25,0),""),0),"Vast tarief",IF(LEFT(F106,8)="Bijdrage",VLOOKUP($F106,Tb_KostenTypen[],MATCH(Lijsten!$P$1,Tb_KostenTypen[#Headers],0),0),VLOOKUP($G106,Lijsten!L:P,MATCH(Lijsten!$P$1,Kop_Tarief_Vast,0),0))),""),"")</f>
        <v/>
      </c>
      <c r="Q106" s="359"/>
      <c r="R106" s="359"/>
      <c r="S106" s="321"/>
      <c r="T106" s="321"/>
      <c r="U106" s="373" t="str">
        <f t="shared" si="4"/>
        <v/>
      </c>
      <c r="V106" s="314" t="str">
        <f t="shared" si="5"/>
        <v/>
      </c>
      <c r="W106" s="314" t="str" cm="1">
        <f t="array" aca="1" ref="W106" ca="1">IFERROR(IF(AE106&lt;&gt;"ja",_xlfn.IFNA(_xlfn.IFS(AND(O106&lt;&gt;"",F106&lt;&gt;"",RIGHT($N106,6)="tarief",F106="Vergoeding"),SUM(O106)*FLOOR(SUM(Q106),0.0001),AND(O106&lt;&gt;"",F106&lt;&gt;"",RIGHT($N106,6)="tarief"),SUM(O106)*FLOOR(SUM(Q106),0.01),S106&gt;0,IF(F106&lt;&gt;"",FLOOR(SUM(S106),0.01),"")),""),""),"")</f>
        <v/>
      </c>
      <c r="X106" s="314" t="str" cm="1">
        <f t="array" aca="1" ref="X106" ca="1">IFERROR(IF(AE106&lt;&gt;"ja",_xlfn.IFNA(_xlfn.IFS(AND(P106&lt;&gt;"",R106&lt;&gt;"",RIGHT($N106,6)="tarief",F106="Vergoeding"),SUM(P106)*FLOOR(SUM(R106),0.0001),AND(P106&lt;&gt;"",R106&lt;&gt;"",RIGHT($N106,6)="tarief"),P106*FLOOR(R106,0.01),T106&gt;0,FLOOR(SUM(T106),0.01)),""),""),"")</f>
        <v/>
      </c>
      <c r="Y106" s="314" t="str">
        <f t="shared" ca="1" si="6"/>
        <v/>
      </c>
      <c r="Z106" s="314" t="str" cm="1">
        <f t="array" aca="1" ref="Z106" ca="1">IFERROR(_xlfn.IFS(OR(F106="",LEFT(Methode_Keuze,4)="Geen",Methode_Keuze=""),"",AND(W106&lt;&gt;"",F106&lt;&gt;"Arbeidskosten"),W106*VLOOKUP(F106,Tb_ProjectKosten[],MATCH(Tb_ProjectKosten[[#Headers],[Forfait_Percentage]],Tb_ProjectKosten[#Headers],0),0),AND(F106="Arbeidskosten",G106&lt;&gt;""),IFERROR(W106*VLOOKUP(G106,Tb_KostenTypen[],3,0)*VLOOKUP(F106,Tb_ProjectKosten[],MATCH(Tb_ProjectKosten[[#Headers],[Forfait_Percentage]],Tb_ProjectKosten[#Headers],0),0),""),W106 &lt;=0,0),"")</f>
        <v/>
      </c>
      <c r="AA106" s="314" t="str" cm="1">
        <f t="array" aca="1" ref="AA106" ca="1">IFERROR(_xlfn.IFS(OR(F106="",LEFT(Methode_Keuze,4)="Geen",Methode_Keuze=""),"",AND(X106&lt;&gt;"",F106&lt;&gt;"Arbeidskosten"),X106*VLOOKUP(F106,Tb_ProjectKosten[],MATCH(Tb_ProjectKosten[[#Headers],[Forfait_Percentage]],Tb_ProjectKosten[#Headers],0),0),AND(F106="Arbeidskosten",G106&lt;&gt;""),IFERROR(X106*VLOOKUP(G106,Tb_KostenTypen[],3,0)*VLOOKUP(F106,Tb_ProjectKosten[],MATCH(Tb_ProjectKosten[[#Headers],[Forfait_Percentage]],Tb_ProjectKosten[#Headers],0),0),""),X106 &lt;=0,0),"")</f>
        <v/>
      </c>
      <c r="AB106" s="314" t="str">
        <f t="shared" ca="1" si="7"/>
        <v/>
      </c>
      <c r="AC106" s="322"/>
      <c r="AD106" s="315"/>
      <c r="AE106" s="32" t="str" cm="1">
        <f t="array" ref="AE106">IFERROR(IF(INDEX(SubsidieTabel!$AD$1:$AG$12,MATCH($F106,SubsidieTabel!$AD$1:$AD$12,0),IFERROR(MATCH(Methode_Keuze,SubsidieTabel!$AD$1:$AG$1,0),2))&lt;&gt;1=TRUE,"ja",""),"")</f>
        <v/>
      </c>
    </row>
    <row r="107" spans="1:31" x14ac:dyDescent="0.25">
      <c r="A107" s="316"/>
      <c r="B107" s="317" t="str">
        <f>IF(A107&lt;&gt;"",_xlfn.MAXIFS($B$1:B106,$A$1:A106,A107)+1,"")</f>
        <v/>
      </c>
      <c r="C107" s="296"/>
      <c r="D107" s="296"/>
      <c r="E107" s="296"/>
      <c r="F107" s="296"/>
      <c r="G107" s="326"/>
      <c r="H107" s="324"/>
      <c r="I107" s="325"/>
      <c r="J107" s="325"/>
      <c r="K107" s="318"/>
      <c r="L107" s="318"/>
      <c r="M107" s="319" t="str">
        <f>IFERROR(VLOOKUP(H107,Lijsten!$H$1:$I$100,2,0),"")</f>
        <v/>
      </c>
      <c r="N107" s="319" t="str">
        <f ca="1">IFERROR(IF(VLOOKUP(F107,Kostentypen!$A$3:$E$21,3,0)=0,"",IF(OR(F107="Arbeidskosten",F107="Vergoeding"),VLOOKUP(G107,Tb_KostenTypen[],2,0),VLOOKUP(F107,Kostentypen!$A$3:$E$20,3,0))),"")</f>
        <v/>
      </c>
      <c r="O107" s="320" t="str" cm="1">
        <f t="array" ref="O107">_xlfn.IFNA(IF(INDEX(Tb_KostenOptiesDB[],MATCH($F107,Tb_KostenOptiesDB[KostenOptie],0),IFERROR(MATCH(Methode_Keuze,Tb_KostenOptiesDB[#Headers],0),2))=1,_xlfn.SWITCH($N107,"Uurtarief",IF(OR(AND(RIGHT($F107,3)="IKS",VLOOKUP($M107,DB_Loonkosten,2,0)="Ja"),AND(RIGHT($F107,3)&lt;&gt;"IKS",VLOOKUP($M107,DB_Loonkosten,2,0)="Nee")),IFERROR(VLOOKUP($M107,DB_Loonkosten,24,0),""),0),"Vast tarief",IF(LEFT(F107,8)="Bijdrage",VLOOKUP($F107,Tb_KostenTypen[],MATCH(Lijsten!$P$1,Tb_KostenTypen[#Headers],0),0),VLOOKUP($G107,Lijsten!L:P,MATCH(Lijsten!$P$1,Kop_Tarief_Vast,0),0))),""),"")</f>
        <v/>
      </c>
      <c r="P107" s="320" t="str" cm="1">
        <f t="array" ref="P107">_xlfn.IFNA(IF(INDEX(Tb_KostenOptiesDB[],MATCH($F107,Tb_KostenOptiesDB[KostenOptie],0),IFERROR(MATCH(Methode_Keuze,Tb_KostenOptiesDB[#Headers],0),2))=1,_xlfn.SWITCH($N107,"Uurtarief",IF(OR(AND(RIGHT($F107,3)="IKS",VLOOKUP($M107,DB_Loonkosten,2,0)="Ja"),AND(RIGHT($F107,3)&lt;&gt;"IKS",VLOOKUP($M107,DB_Loonkosten,2,0)="Nee")),IFERROR(VLOOKUP($M107,DB_Loonkosten,25,0),""),0),"Vast tarief",IF(LEFT(F107,8)="Bijdrage",VLOOKUP($F107,Tb_KostenTypen[],MATCH(Lijsten!$P$1,Tb_KostenTypen[#Headers],0),0),VLOOKUP($G107,Lijsten!L:P,MATCH(Lijsten!$P$1,Kop_Tarief_Vast,0),0))),""),"")</f>
        <v/>
      </c>
      <c r="Q107" s="359"/>
      <c r="R107" s="359"/>
      <c r="S107" s="321"/>
      <c r="T107" s="321"/>
      <c r="U107" s="373" t="str">
        <f t="shared" si="4"/>
        <v/>
      </c>
      <c r="V107" s="314" t="str">
        <f t="shared" si="5"/>
        <v/>
      </c>
      <c r="W107" s="314" t="str" cm="1">
        <f t="array" aca="1" ref="W107" ca="1">IFERROR(IF(AE107&lt;&gt;"ja",_xlfn.IFNA(_xlfn.IFS(AND(O107&lt;&gt;"",F107&lt;&gt;"",RIGHT($N107,6)="tarief",F107="Vergoeding"),SUM(O107)*FLOOR(SUM(Q107),0.0001),AND(O107&lt;&gt;"",F107&lt;&gt;"",RIGHT($N107,6)="tarief"),SUM(O107)*FLOOR(SUM(Q107),0.01),S107&gt;0,IF(F107&lt;&gt;"",FLOOR(SUM(S107),0.01),"")),""),""),"")</f>
        <v/>
      </c>
      <c r="X107" s="314" t="str" cm="1">
        <f t="array" aca="1" ref="X107" ca="1">IFERROR(IF(AE107&lt;&gt;"ja",_xlfn.IFNA(_xlfn.IFS(AND(P107&lt;&gt;"",R107&lt;&gt;"",RIGHT($N107,6)="tarief",F107="Vergoeding"),SUM(P107)*FLOOR(SUM(R107),0.0001),AND(P107&lt;&gt;"",R107&lt;&gt;"",RIGHT($N107,6)="tarief"),P107*FLOOR(R107,0.01),T107&gt;0,FLOOR(SUM(T107),0.01)),""),""),"")</f>
        <v/>
      </c>
      <c r="Y107" s="314" t="str">
        <f t="shared" ca="1" si="6"/>
        <v/>
      </c>
      <c r="Z107" s="314" t="str" cm="1">
        <f t="array" aca="1" ref="Z107" ca="1">IFERROR(_xlfn.IFS(OR(F107="",LEFT(Methode_Keuze,4)="Geen",Methode_Keuze=""),"",AND(W107&lt;&gt;"",F107&lt;&gt;"Arbeidskosten"),W107*VLOOKUP(F107,Tb_ProjectKosten[],MATCH(Tb_ProjectKosten[[#Headers],[Forfait_Percentage]],Tb_ProjectKosten[#Headers],0),0),AND(F107="Arbeidskosten",G107&lt;&gt;""),IFERROR(W107*VLOOKUP(G107,Tb_KostenTypen[],3,0)*VLOOKUP(F107,Tb_ProjectKosten[],MATCH(Tb_ProjectKosten[[#Headers],[Forfait_Percentage]],Tb_ProjectKosten[#Headers],0),0),""),W107 &lt;=0,0),"")</f>
        <v/>
      </c>
      <c r="AA107" s="314" t="str" cm="1">
        <f t="array" aca="1" ref="AA107" ca="1">IFERROR(_xlfn.IFS(OR(F107="",LEFT(Methode_Keuze,4)="Geen",Methode_Keuze=""),"",AND(X107&lt;&gt;"",F107&lt;&gt;"Arbeidskosten"),X107*VLOOKUP(F107,Tb_ProjectKosten[],MATCH(Tb_ProjectKosten[[#Headers],[Forfait_Percentage]],Tb_ProjectKosten[#Headers],0),0),AND(F107="Arbeidskosten",G107&lt;&gt;""),IFERROR(X107*VLOOKUP(G107,Tb_KostenTypen[],3,0)*VLOOKUP(F107,Tb_ProjectKosten[],MATCH(Tb_ProjectKosten[[#Headers],[Forfait_Percentage]],Tb_ProjectKosten[#Headers],0),0),""),X107 &lt;=0,0),"")</f>
        <v/>
      </c>
      <c r="AB107" s="314" t="str">
        <f t="shared" ca="1" si="7"/>
        <v/>
      </c>
      <c r="AC107" s="322"/>
      <c r="AD107" s="315"/>
      <c r="AE107" s="32" t="str" cm="1">
        <f t="array" ref="AE107">IFERROR(IF(INDEX(SubsidieTabel!$AD$1:$AG$12,MATCH($F107,SubsidieTabel!$AD$1:$AD$12,0),IFERROR(MATCH(Methode_Keuze,SubsidieTabel!$AD$1:$AG$1,0),2))&lt;&gt;1=TRUE,"ja",""),"")</f>
        <v/>
      </c>
    </row>
    <row r="108" spans="1:31" x14ac:dyDescent="0.25">
      <c r="A108" s="316"/>
      <c r="B108" s="317" t="str">
        <f>IF(A108&lt;&gt;"",_xlfn.MAXIFS($B$1:B107,$A$1:A107,A108)+1,"")</f>
        <v/>
      </c>
      <c r="C108" s="296"/>
      <c r="D108" s="296"/>
      <c r="E108" s="296"/>
      <c r="F108" s="296"/>
      <c r="G108" s="326"/>
      <c r="H108" s="324"/>
      <c r="I108" s="325"/>
      <c r="J108" s="325"/>
      <c r="K108" s="318"/>
      <c r="L108" s="318"/>
      <c r="M108" s="319" t="str">
        <f>IFERROR(VLOOKUP(H108,Lijsten!$H$1:$I$100,2,0),"")</f>
        <v/>
      </c>
      <c r="N108" s="319" t="str">
        <f ca="1">IFERROR(IF(VLOOKUP(F108,Kostentypen!$A$3:$E$21,3,0)=0,"",IF(OR(F108="Arbeidskosten",F108="Vergoeding"),VLOOKUP(G108,Tb_KostenTypen[],2,0),VLOOKUP(F108,Kostentypen!$A$3:$E$20,3,0))),"")</f>
        <v/>
      </c>
      <c r="O108" s="320" t="str" cm="1">
        <f t="array" ref="O108">_xlfn.IFNA(IF(INDEX(Tb_KostenOptiesDB[],MATCH($F108,Tb_KostenOptiesDB[KostenOptie],0),IFERROR(MATCH(Methode_Keuze,Tb_KostenOptiesDB[#Headers],0),2))=1,_xlfn.SWITCH($N108,"Uurtarief",IF(OR(AND(RIGHT($F108,3)="IKS",VLOOKUP($M108,DB_Loonkosten,2,0)="Ja"),AND(RIGHT($F108,3)&lt;&gt;"IKS",VLOOKUP($M108,DB_Loonkosten,2,0)="Nee")),IFERROR(VLOOKUP($M108,DB_Loonkosten,24,0),""),0),"Vast tarief",IF(LEFT(F108,8)="Bijdrage",VLOOKUP($F108,Tb_KostenTypen[],MATCH(Lijsten!$P$1,Tb_KostenTypen[#Headers],0),0),VLOOKUP($G108,Lijsten!L:P,MATCH(Lijsten!$P$1,Kop_Tarief_Vast,0),0))),""),"")</f>
        <v/>
      </c>
      <c r="P108" s="320" t="str" cm="1">
        <f t="array" ref="P108">_xlfn.IFNA(IF(INDEX(Tb_KostenOptiesDB[],MATCH($F108,Tb_KostenOptiesDB[KostenOptie],0),IFERROR(MATCH(Methode_Keuze,Tb_KostenOptiesDB[#Headers],0),2))=1,_xlfn.SWITCH($N108,"Uurtarief",IF(OR(AND(RIGHT($F108,3)="IKS",VLOOKUP($M108,DB_Loonkosten,2,0)="Ja"),AND(RIGHT($F108,3)&lt;&gt;"IKS",VLOOKUP($M108,DB_Loonkosten,2,0)="Nee")),IFERROR(VLOOKUP($M108,DB_Loonkosten,25,0),""),0),"Vast tarief",IF(LEFT(F108,8)="Bijdrage",VLOOKUP($F108,Tb_KostenTypen[],MATCH(Lijsten!$P$1,Tb_KostenTypen[#Headers],0),0),VLOOKUP($G108,Lijsten!L:P,MATCH(Lijsten!$P$1,Kop_Tarief_Vast,0),0))),""),"")</f>
        <v/>
      </c>
      <c r="Q108" s="359"/>
      <c r="R108" s="359"/>
      <c r="S108" s="321"/>
      <c r="T108" s="321"/>
      <c r="U108" s="373" t="str">
        <f t="shared" si="4"/>
        <v/>
      </c>
      <c r="V108" s="314" t="str">
        <f t="shared" si="5"/>
        <v/>
      </c>
      <c r="W108" s="314" t="str" cm="1">
        <f t="array" aca="1" ref="W108" ca="1">IFERROR(IF(AE108&lt;&gt;"ja",_xlfn.IFNA(_xlfn.IFS(AND(O108&lt;&gt;"",F108&lt;&gt;"",RIGHT($N108,6)="tarief",F108="Vergoeding"),SUM(O108)*FLOOR(SUM(Q108),0.0001),AND(O108&lt;&gt;"",F108&lt;&gt;"",RIGHT($N108,6)="tarief"),SUM(O108)*FLOOR(SUM(Q108),0.01),S108&gt;0,IF(F108&lt;&gt;"",FLOOR(SUM(S108),0.01),"")),""),""),"")</f>
        <v/>
      </c>
      <c r="X108" s="314" t="str" cm="1">
        <f t="array" aca="1" ref="X108" ca="1">IFERROR(IF(AE108&lt;&gt;"ja",_xlfn.IFNA(_xlfn.IFS(AND(P108&lt;&gt;"",R108&lt;&gt;"",RIGHT($N108,6)="tarief",F108="Vergoeding"),SUM(P108)*FLOOR(SUM(R108),0.0001),AND(P108&lt;&gt;"",R108&lt;&gt;"",RIGHT($N108,6)="tarief"),P108*FLOOR(R108,0.01),T108&gt;0,FLOOR(SUM(T108),0.01)),""),""),"")</f>
        <v/>
      </c>
      <c r="Y108" s="314" t="str">
        <f t="shared" ca="1" si="6"/>
        <v/>
      </c>
      <c r="Z108" s="314" t="str" cm="1">
        <f t="array" aca="1" ref="Z108" ca="1">IFERROR(_xlfn.IFS(OR(F108="",LEFT(Methode_Keuze,4)="Geen",Methode_Keuze=""),"",AND(W108&lt;&gt;"",F108&lt;&gt;"Arbeidskosten"),W108*VLOOKUP(F108,Tb_ProjectKosten[],MATCH(Tb_ProjectKosten[[#Headers],[Forfait_Percentage]],Tb_ProjectKosten[#Headers],0),0),AND(F108="Arbeidskosten",G108&lt;&gt;""),IFERROR(W108*VLOOKUP(G108,Tb_KostenTypen[],3,0)*VLOOKUP(F108,Tb_ProjectKosten[],MATCH(Tb_ProjectKosten[[#Headers],[Forfait_Percentage]],Tb_ProjectKosten[#Headers],0),0),""),W108 &lt;=0,0),"")</f>
        <v/>
      </c>
      <c r="AA108" s="314" t="str" cm="1">
        <f t="array" aca="1" ref="AA108" ca="1">IFERROR(_xlfn.IFS(OR(F108="",LEFT(Methode_Keuze,4)="Geen",Methode_Keuze=""),"",AND(X108&lt;&gt;"",F108&lt;&gt;"Arbeidskosten"),X108*VLOOKUP(F108,Tb_ProjectKosten[],MATCH(Tb_ProjectKosten[[#Headers],[Forfait_Percentage]],Tb_ProjectKosten[#Headers],0),0),AND(F108="Arbeidskosten",G108&lt;&gt;""),IFERROR(X108*VLOOKUP(G108,Tb_KostenTypen[],3,0)*VLOOKUP(F108,Tb_ProjectKosten[],MATCH(Tb_ProjectKosten[[#Headers],[Forfait_Percentage]],Tb_ProjectKosten[#Headers],0),0),""),X108 &lt;=0,0),"")</f>
        <v/>
      </c>
      <c r="AB108" s="314" t="str">
        <f t="shared" ca="1" si="7"/>
        <v/>
      </c>
      <c r="AC108" s="322"/>
      <c r="AD108" s="315"/>
      <c r="AE108" s="32" t="str" cm="1">
        <f t="array" ref="AE108">IFERROR(IF(INDEX(SubsidieTabel!$AD$1:$AG$12,MATCH($F108,SubsidieTabel!$AD$1:$AD$12,0),IFERROR(MATCH(Methode_Keuze,SubsidieTabel!$AD$1:$AG$1,0),2))&lt;&gt;1=TRUE,"ja",""),"")</f>
        <v/>
      </c>
    </row>
    <row r="109" spans="1:31" x14ac:dyDescent="0.25">
      <c r="A109" s="316"/>
      <c r="B109" s="317" t="str">
        <f>IF(A109&lt;&gt;"",_xlfn.MAXIFS($B$1:B108,$A$1:A108,A109)+1,"")</f>
        <v/>
      </c>
      <c r="C109" s="296"/>
      <c r="D109" s="296"/>
      <c r="E109" s="296"/>
      <c r="F109" s="296"/>
      <c r="G109" s="326"/>
      <c r="H109" s="324"/>
      <c r="I109" s="325"/>
      <c r="J109" s="325"/>
      <c r="K109" s="318"/>
      <c r="L109" s="318"/>
      <c r="M109" s="319" t="str">
        <f>IFERROR(VLOOKUP(H109,Lijsten!$H$1:$I$100,2,0),"")</f>
        <v/>
      </c>
      <c r="N109" s="319" t="str">
        <f ca="1">IFERROR(IF(VLOOKUP(F109,Kostentypen!$A$3:$E$21,3,0)=0,"",IF(OR(F109="Arbeidskosten",F109="Vergoeding"),VLOOKUP(G109,Tb_KostenTypen[],2,0),VLOOKUP(F109,Kostentypen!$A$3:$E$20,3,0))),"")</f>
        <v/>
      </c>
      <c r="O109" s="320" t="str" cm="1">
        <f t="array" ref="O109">_xlfn.IFNA(IF(INDEX(Tb_KostenOptiesDB[],MATCH($F109,Tb_KostenOptiesDB[KostenOptie],0),IFERROR(MATCH(Methode_Keuze,Tb_KostenOptiesDB[#Headers],0),2))=1,_xlfn.SWITCH($N109,"Uurtarief",IF(OR(AND(RIGHT($F109,3)="IKS",VLOOKUP($M109,DB_Loonkosten,2,0)="Ja"),AND(RIGHT($F109,3)&lt;&gt;"IKS",VLOOKUP($M109,DB_Loonkosten,2,0)="Nee")),IFERROR(VLOOKUP($M109,DB_Loonkosten,24,0),""),0),"Vast tarief",IF(LEFT(F109,8)="Bijdrage",VLOOKUP($F109,Tb_KostenTypen[],MATCH(Lijsten!$P$1,Tb_KostenTypen[#Headers],0),0),VLOOKUP($G109,Lijsten!L:P,MATCH(Lijsten!$P$1,Kop_Tarief_Vast,0),0))),""),"")</f>
        <v/>
      </c>
      <c r="P109" s="320" t="str" cm="1">
        <f t="array" ref="P109">_xlfn.IFNA(IF(INDEX(Tb_KostenOptiesDB[],MATCH($F109,Tb_KostenOptiesDB[KostenOptie],0),IFERROR(MATCH(Methode_Keuze,Tb_KostenOptiesDB[#Headers],0),2))=1,_xlfn.SWITCH($N109,"Uurtarief",IF(OR(AND(RIGHT($F109,3)="IKS",VLOOKUP($M109,DB_Loonkosten,2,0)="Ja"),AND(RIGHT($F109,3)&lt;&gt;"IKS",VLOOKUP($M109,DB_Loonkosten,2,0)="Nee")),IFERROR(VLOOKUP($M109,DB_Loonkosten,25,0),""),0),"Vast tarief",IF(LEFT(F109,8)="Bijdrage",VLOOKUP($F109,Tb_KostenTypen[],MATCH(Lijsten!$P$1,Tb_KostenTypen[#Headers],0),0),VLOOKUP($G109,Lijsten!L:P,MATCH(Lijsten!$P$1,Kop_Tarief_Vast,0),0))),""),"")</f>
        <v/>
      </c>
      <c r="Q109" s="359"/>
      <c r="R109" s="359"/>
      <c r="S109" s="321"/>
      <c r="T109" s="321"/>
      <c r="U109" s="373" t="str">
        <f t="shared" si="4"/>
        <v/>
      </c>
      <c r="V109" s="314" t="str">
        <f t="shared" si="5"/>
        <v/>
      </c>
      <c r="W109" s="314" t="str" cm="1">
        <f t="array" aca="1" ref="W109" ca="1">IFERROR(IF(AE109&lt;&gt;"ja",_xlfn.IFNA(_xlfn.IFS(AND(O109&lt;&gt;"",F109&lt;&gt;"",RIGHT($N109,6)="tarief",F109="Vergoeding"),SUM(O109)*FLOOR(SUM(Q109),0.0001),AND(O109&lt;&gt;"",F109&lt;&gt;"",RIGHT($N109,6)="tarief"),SUM(O109)*FLOOR(SUM(Q109),0.01),S109&gt;0,IF(F109&lt;&gt;"",FLOOR(SUM(S109),0.01),"")),""),""),"")</f>
        <v/>
      </c>
      <c r="X109" s="314" t="str" cm="1">
        <f t="array" aca="1" ref="X109" ca="1">IFERROR(IF(AE109&lt;&gt;"ja",_xlfn.IFNA(_xlfn.IFS(AND(P109&lt;&gt;"",R109&lt;&gt;"",RIGHT($N109,6)="tarief",F109="Vergoeding"),SUM(P109)*FLOOR(SUM(R109),0.0001),AND(P109&lt;&gt;"",R109&lt;&gt;"",RIGHT($N109,6)="tarief"),P109*FLOOR(R109,0.01),T109&gt;0,FLOOR(SUM(T109),0.01)),""),""),"")</f>
        <v/>
      </c>
      <c r="Y109" s="314" t="str">
        <f t="shared" ca="1" si="6"/>
        <v/>
      </c>
      <c r="Z109" s="314" t="str" cm="1">
        <f t="array" aca="1" ref="Z109" ca="1">IFERROR(_xlfn.IFS(OR(F109="",LEFT(Methode_Keuze,4)="Geen",Methode_Keuze=""),"",AND(W109&lt;&gt;"",F109&lt;&gt;"Arbeidskosten"),W109*VLOOKUP(F109,Tb_ProjectKosten[],MATCH(Tb_ProjectKosten[[#Headers],[Forfait_Percentage]],Tb_ProjectKosten[#Headers],0),0),AND(F109="Arbeidskosten",G109&lt;&gt;""),IFERROR(W109*VLOOKUP(G109,Tb_KostenTypen[],3,0)*VLOOKUP(F109,Tb_ProjectKosten[],MATCH(Tb_ProjectKosten[[#Headers],[Forfait_Percentage]],Tb_ProjectKosten[#Headers],0),0),""),W109 &lt;=0,0),"")</f>
        <v/>
      </c>
      <c r="AA109" s="314" t="str" cm="1">
        <f t="array" aca="1" ref="AA109" ca="1">IFERROR(_xlfn.IFS(OR(F109="",LEFT(Methode_Keuze,4)="Geen",Methode_Keuze=""),"",AND(X109&lt;&gt;"",F109&lt;&gt;"Arbeidskosten"),X109*VLOOKUP(F109,Tb_ProjectKosten[],MATCH(Tb_ProjectKosten[[#Headers],[Forfait_Percentage]],Tb_ProjectKosten[#Headers],0),0),AND(F109="Arbeidskosten",G109&lt;&gt;""),IFERROR(X109*VLOOKUP(G109,Tb_KostenTypen[],3,0)*VLOOKUP(F109,Tb_ProjectKosten[],MATCH(Tb_ProjectKosten[[#Headers],[Forfait_Percentage]],Tb_ProjectKosten[#Headers],0),0),""),X109 &lt;=0,0),"")</f>
        <v/>
      </c>
      <c r="AB109" s="314" t="str">
        <f t="shared" ca="1" si="7"/>
        <v/>
      </c>
      <c r="AC109" s="322"/>
      <c r="AD109" s="315"/>
      <c r="AE109" s="32" t="str" cm="1">
        <f t="array" ref="AE109">IFERROR(IF(INDEX(SubsidieTabel!$AD$1:$AG$12,MATCH($F109,SubsidieTabel!$AD$1:$AD$12,0),IFERROR(MATCH(Methode_Keuze,SubsidieTabel!$AD$1:$AG$1,0),2))&lt;&gt;1=TRUE,"ja",""),"")</f>
        <v/>
      </c>
    </row>
    <row r="110" spans="1:31" x14ac:dyDescent="0.25">
      <c r="A110" s="316"/>
      <c r="B110" s="317" t="str">
        <f>IF(A110&lt;&gt;"",_xlfn.MAXIFS($B$1:B109,$A$1:A109,A110)+1,"")</f>
        <v/>
      </c>
      <c r="C110" s="296"/>
      <c r="D110" s="296"/>
      <c r="E110" s="296"/>
      <c r="F110" s="296"/>
      <c r="G110" s="326"/>
      <c r="H110" s="324"/>
      <c r="I110" s="325"/>
      <c r="J110" s="325"/>
      <c r="K110" s="318"/>
      <c r="L110" s="318"/>
      <c r="M110" s="319" t="str">
        <f>IFERROR(VLOOKUP(H110,Lijsten!$H$1:$I$100,2,0),"")</f>
        <v/>
      </c>
      <c r="N110" s="319" t="str">
        <f ca="1">IFERROR(IF(VLOOKUP(F110,Kostentypen!$A$3:$E$21,3,0)=0,"",IF(OR(F110="Arbeidskosten",F110="Vergoeding"),VLOOKUP(G110,Tb_KostenTypen[],2,0),VLOOKUP(F110,Kostentypen!$A$3:$E$20,3,0))),"")</f>
        <v/>
      </c>
      <c r="O110" s="320" t="str" cm="1">
        <f t="array" ref="O110">_xlfn.IFNA(IF(INDEX(Tb_KostenOptiesDB[],MATCH($F110,Tb_KostenOptiesDB[KostenOptie],0),IFERROR(MATCH(Methode_Keuze,Tb_KostenOptiesDB[#Headers],0),2))=1,_xlfn.SWITCH($N110,"Uurtarief",IF(OR(AND(RIGHT($F110,3)="IKS",VLOOKUP($M110,DB_Loonkosten,2,0)="Ja"),AND(RIGHT($F110,3)&lt;&gt;"IKS",VLOOKUP($M110,DB_Loonkosten,2,0)="Nee")),IFERROR(VLOOKUP($M110,DB_Loonkosten,24,0),""),0),"Vast tarief",IF(LEFT(F110,8)="Bijdrage",VLOOKUP($F110,Tb_KostenTypen[],MATCH(Lijsten!$P$1,Tb_KostenTypen[#Headers],0),0),VLOOKUP($G110,Lijsten!L:P,MATCH(Lijsten!$P$1,Kop_Tarief_Vast,0),0))),""),"")</f>
        <v/>
      </c>
      <c r="P110" s="320" t="str" cm="1">
        <f t="array" ref="P110">_xlfn.IFNA(IF(INDEX(Tb_KostenOptiesDB[],MATCH($F110,Tb_KostenOptiesDB[KostenOptie],0),IFERROR(MATCH(Methode_Keuze,Tb_KostenOptiesDB[#Headers],0),2))=1,_xlfn.SWITCH($N110,"Uurtarief",IF(OR(AND(RIGHT($F110,3)="IKS",VLOOKUP($M110,DB_Loonkosten,2,0)="Ja"),AND(RIGHT($F110,3)&lt;&gt;"IKS",VLOOKUP($M110,DB_Loonkosten,2,0)="Nee")),IFERROR(VLOOKUP($M110,DB_Loonkosten,25,0),""),0),"Vast tarief",IF(LEFT(F110,8)="Bijdrage",VLOOKUP($F110,Tb_KostenTypen[],MATCH(Lijsten!$P$1,Tb_KostenTypen[#Headers],0),0),VLOOKUP($G110,Lijsten!L:P,MATCH(Lijsten!$P$1,Kop_Tarief_Vast,0),0))),""),"")</f>
        <v/>
      </c>
      <c r="Q110" s="359"/>
      <c r="R110" s="359"/>
      <c r="S110" s="321"/>
      <c r="T110" s="321"/>
      <c r="U110" s="373" t="str">
        <f t="shared" si="4"/>
        <v/>
      </c>
      <c r="V110" s="314" t="str">
        <f t="shared" si="5"/>
        <v/>
      </c>
      <c r="W110" s="314" t="str" cm="1">
        <f t="array" aca="1" ref="W110" ca="1">IFERROR(IF(AE110&lt;&gt;"ja",_xlfn.IFNA(_xlfn.IFS(AND(O110&lt;&gt;"",F110&lt;&gt;"",RIGHT($N110,6)="tarief",F110="Vergoeding"),SUM(O110)*FLOOR(SUM(Q110),0.0001),AND(O110&lt;&gt;"",F110&lt;&gt;"",RIGHT($N110,6)="tarief"),SUM(O110)*FLOOR(SUM(Q110),0.01),S110&gt;0,IF(F110&lt;&gt;"",FLOOR(SUM(S110),0.01),"")),""),""),"")</f>
        <v/>
      </c>
      <c r="X110" s="314" t="str" cm="1">
        <f t="array" aca="1" ref="X110" ca="1">IFERROR(IF(AE110&lt;&gt;"ja",_xlfn.IFNA(_xlfn.IFS(AND(P110&lt;&gt;"",R110&lt;&gt;"",RIGHT($N110,6)="tarief",F110="Vergoeding"),SUM(P110)*FLOOR(SUM(R110),0.0001),AND(P110&lt;&gt;"",R110&lt;&gt;"",RIGHT($N110,6)="tarief"),P110*FLOOR(R110,0.01),T110&gt;0,FLOOR(SUM(T110),0.01)),""),""),"")</f>
        <v/>
      </c>
      <c r="Y110" s="314" t="str">
        <f t="shared" ca="1" si="6"/>
        <v/>
      </c>
      <c r="Z110" s="314" t="str" cm="1">
        <f t="array" aca="1" ref="Z110" ca="1">IFERROR(_xlfn.IFS(OR(F110="",LEFT(Methode_Keuze,4)="Geen",Methode_Keuze=""),"",AND(W110&lt;&gt;"",F110&lt;&gt;"Arbeidskosten"),W110*VLOOKUP(F110,Tb_ProjectKosten[],MATCH(Tb_ProjectKosten[[#Headers],[Forfait_Percentage]],Tb_ProjectKosten[#Headers],0),0),AND(F110="Arbeidskosten",G110&lt;&gt;""),IFERROR(W110*VLOOKUP(G110,Tb_KostenTypen[],3,0)*VLOOKUP(F110,Tb_ProjectKosten[],MATCH(Tb_ProjectKosten[[#Headers],[Forfait_Percentage]],Tb_ProjectKosten[#Headers],0),0),""),W110 &lt;=0,0),"")</f>
        <v/>
      </c>
      <c r="AA110" s="314" t="str" cm="1">
        <f t="array" aca="1" ref="AA110" ca="1">IFERROR(_xlfn.IFS(OR(F110="",LEFT(Methode_Keuze,4)="Geen",Methode_Keuze=""),"",AND(X110&lt;&gt;"",F110&lt;&gt;"Arbeidskosten"),X110*VLOOKUP(F110,Tb_ProjectKosten[],MATCH(Tb_ProjectKosten[[#Headers],[Forfait_Percentage]],Tb_ProjectKosten[#Headers],0),0),AND(F110="Arbeidskosten",G110&lt;&gt;""),IFERROR(X110*VLOOKUP(G110,Tb_KostenTypen[],3,0)*VLOOKUP(F110,Tb_ProjectKosten[],MATCH(Tb_ProjectKosten[[#Headers],[Forfait_Percentage]],Tb_ProjectKosten[#Headers],0),0),""),X110 &lt;=0,0),"")</f>
        <v/>
      </c>
      <c r="AB110" s="314" t="str">
        <f t="shared" ca="1" si="7"/>
        <v/>
      </c>
      <c r="AC110" s="322"/>
      <c r="AD110" s="315"/>
      <c r="AE110" s="32" t="str" cm="1">
        <f t="array" ref="AE110">IFERROR(IF(INDEX(SubsidieTabel!$AD$1:$AG$12,MATCH($F110,SubsidieTabel!$AD$1:$AD$12,0),IFERROR(MATCH(Methode_Keuze,SubsidieTabel!$AD$1:$AG$1,0),2))&lt;&gt;1=TRUE,"ja",""),"")</f>
        <v/>
      </c>
    </row>
    <row r="111" spans="1:31" x14ac:dyDescent="0.25">
      <c r="A111" s="316"/>
      <c r="B111" s="317" t="str">
        <f>IF(A111&lt;&gt;"",_xlfn.MAXIFS($B$1:B110,$A$1:A110,A111)+1,"")</f>
        <v/>
      </c>
      <c r="C111" s="296"/>
      <c r="D111" s="296"/>
      <c r="E111" s="296"/>
      <c r="F111" s="296"/>
      <c r="G111" s="326"/>
      <c r="H111" s="324"/>
      <c r="I111" s="325"/>
      <c r="J111" s="325"/>
      <c r="K111" s="318"/>
      <c r="L111" s="318"/>
      <c r="M111" s="319" t="str">
        <f>IFERROR(VLOOKUP(H111,Lijsten!$H$1:$I$100,2,0),"")</f>
        <v/>
      </c>
      <c r="N111" s="319" t="str">
        <f ca="1">IFERROR(IF(VLOOKUP(F111,Kostentypen!$A$3:$E$21,3,0)=0,"",IF(OR(F111="Arbeidskosten",F111="Vergoeding"),VLOOKUP(G111,Tb_KostenTypen[],2,0),VLOOKUP(F111,Kostentypen!$A$3:$E$20,3,0))),"")</f>
        <v/>
      </c>
      <c r="O111" s="320" t="str" cm="1">
        <f t="array" ref="O111">_xlfn.IFNA(IF(INDEX(Tb_KostenOptiesDB[],MATCH($F111,Tb_KostenOptiesDB[KostenOptie],0),IFERROR(MATCH(Methode_Keuze,Tb_KostenOptiesDB[#Headers],0),2))=1,_xlfn.SWITCH($N111,"Uurtarief",IF(OR(AND(RIGHT($F111,3)="IKS",VLOOKUP($M111,DB_Loonkosten,2,0)="Ja"),AND(RIGHT($F111,3)&lt;&gt;"IKS",VLOOKUP($M111,DB_Loonkosten,2,0)="Nee")),IFERROR(VLOOKUP($M111,DB_Loonkosten,24,0),""),0),"Vast tarief",IF(LEFT(F111,8)="Bijdrage",VLOOKUP($F111,Tb_KostenTypen[],MATCH(Lijsten!$P$1,Tb_KostenTypen[#Headers],0),0),VLOOKUP($G111,Lijsten!L:P,MATCH(Lijsten!$P$1,Kop_Tarief_Vast,0),0))),""),"")</f>
        <v/>
      </c>
      <c r="P111" s="320" t="str" cm="1">
        <f t="array" ref="P111">_xlfn.IFNA(IF(INDEX(Tb_KostenOptiesDB[],MATCH($F111,Tb_KostenOptiesDB[KostenOptie],0),IFERROR(MATCH(Methode_Keuze,Tb_KostenOptiesDB[#Headers],0),2))=1,_xlfn.SWITCH($N111,"Uurtarief",IF(OR(AND(RIGHT($F111,3)="IKS",VLOOKUP($M111,DB_Loonkosten,2,0)="Ja"),AND(RIGHT($F111,3)&lt;&gt;"IKS",VLOOKUP($M111,DB_Loonkosten,2,0)="Nee")),IFERROR(VLOOKUP($M111,DB_Loonkosten,25,0),""),0),"Vast tarief",IF(LEFT(F111,8)="Bijdrage",VLOOKUP($F111,Tb_KostenTypen[],MATCH(Lijsten!$P$1,Tb_KostenTypen[#Headers],0),0),VLOOKUP($G111,Lijsten!L:P,MATCH(Lijsten!$P$1,Kop_Tarief_Vast,0),0))),""),"")</f>
        <v/>
      </c>
      <c r="Q111" s="359"/>
      <c r="R111" s="359"/>
      <c r="S111" s="321"/>
      <c r="T111" s="321"/>
      <c r="U111" s="373" t="str">
        <f t="shared" si="4"/>
        <v/>
      </c>
      <c r="V111" s="314" t="str">
        <f t="shared" si="5"/>
        <v/>
      </c>
      <c r="W111" s="314" t="str" cm="1">
        <f t="array" aca="1" ref="W111" ca="1">IFERROR(IF(AE111&lt;&gt;"ja",_xlfn.IFNA(_xlfn.IFS(AND(O111&lt;&gt;"",F111&lt;&gt;"",RIGHT($N111,6)="tarief",F111="Vergoeding"),SUM(O111)*FLOOR(SUM(Q111),0.0001),AND(O111&lt;&gt;"",F111&lt;&gt;"",RIGHT($N111,6)="tarief"),SUM(O111)*FLOOR(SUM(Q111),0.01),S111&gt;0,IF(F111&lt;&gt;"",FLOOR(SUM(S111),0.01),"")),""),""),"")</f>
        <v/>
      </c>
      <c r="X111" s="314" t="str" cm="1">
        <f t="array" aca="1" ref="X111" ca="1">IFERROR(IF(AE111&lt;&gt;"ja",_xlfn.IFNA(_xlfn.IFS(AND(P111&lt;&gt;"",R111&lt;&gt;"",RIGHT($N111,6)="tarief",F111="Vergoeding"),SUM(P111)*FLOOR(SUM(R111),0.0001),AND(P111&lt;&gt;"",R111&lt;&gt;"",RIGHT($N111,6)="tarief"),P111*FLOOR(R111,0.01),T111&gt;0,FLOOR(SUM(T111),0.01)),""),""),"")</f>
        <v/>
      </c>
      <c r="Y111" s="314" t="str">
        <f t="shared" ca="1" si="6"/>
        <v/>
      </c>
      <c r="Z111" s="314" t="str" cm="1">
        <f t="array" aca="1" ref="Z111" ca="1">IFERROR(_xlfn.IFS(OR(F111="",LEFT(Methode_Keuze,4)="Geen",Methode_Keuze=""),"",AND(W111&lt;&gt;"",F111&lt;&gt;"Arbeidskosten"),W111*VLOOKUP(F111,Tb_ProjectKosten[],MATCH(Tb_ProjectKosten[[#Headers],[Forfait_Percentage]],Tb_ProjectKosten[#Headers],0),0),AND(F111="Arbeidskosten",G111&lt;&gt;""),IFERROR(W111*VLOOKUP(G111,Tb_KostenTypen[],3,0)*VLOOKUP(F111,Tb_ProjectKosten[],MATCH(Tb_ProjectKosten[[#Headers],[Forfait_Percentage]],Tb_ProjectKosten[#Headers],0),0),""),W111 &lt;=0,0),"")</f>
        <v/>
      </c>
      <c r="AA111" s="314" t="str" cm="1">
        <f t="array" aca="1" ref="AA111" ca="1">IFERROR(_xlfn.IFS(OR(F111="",LEFT(Methode_Keuze,4)="Geen",Methode_Keuze=""),"",AND(X111&lt;&gt;"",F111&lt;&gt;"Arbeidskosten"),X111*VLOOKUP(F111,Tb_ProjectKosten[],MATCH(Tb_ProjectKosten[[#Headers],[Forfait_Percentage]],Tb_ProjectKosten[#Headers],0),0),AND(F111="Arbeidskosten",G111&lt;&gt;""),IFERROR(X111*VLOOKUP(G111,Tb_KostenTypen[],3,0)*VLOOKUP(F111,Tb_ProjectKosten[],MATCH(Tb_ProjectKosten[[#Headers],[Forfait_Percentage]],Tb_ProjectKosten[#Headers],0),0),""),X111 &lt;=0,0),"")</f>
        <v/>
      </c>
      <c r="AB111" s="314" t="str">
        <f t="shared" ca="1" si="7"/>
        <v/>
      </c>
      <c r="AC111" s="322"/>
      <c r="AD111" s="315"/>
      <c r="AE111" s="32" t="str" cm="1">
        <f t="array" ref="AE111">IFERROR(IF(INDEX(SubsidieTabel!$AD$1:$AG$12,MATCH($F111,SubsidieTabel!$AD$1:$AD$12,0),IFERROR(MATCH(Methode_Keuze,SubsidieTabel!$AD$1:$AG$1,0),2))&lt;&gt;1=TRUE,"ja",""),"")</f>
        <v/>
      </c>
    </row>
    <row r="112" spans="1:31" x14ac:dyDescent="0.25">
      <c r="A112" s="316"/>
      <c r="B112" s="317" t="str">
        <f>IF(A112&lt;&gt;"",_xlfn.MAXIFS($B$1:B111,$A$1:A111,A112)+1,"")</f>
        <v/>
      </c>
      <c r="C112" s="296"/>
      <c r="D112" s="296"/>
      <c r="E112" s="296"/>
      <c r="F112" s="296"/>
      <c r="G112" s="326"/>
      <c r="H112" s="324"/>
      <c r="I112" s="325"/>
      <c r="J112" s="325"/>
      <c r="K112" s="318"/>
      <c r="L112" s="318"/>
      <c r="M112" s="319" t="str">
        <f>IFERROR(VLOOKUP(H112,Lijsten!$H$1:$I$100,2,0),"")</f>
        <v/>
      </c>
      <c r="N112" s="319" t="str">
        <f ca="1">IFERROR(IF(VLOOKUP(F112,Kostentypen!$A$3:$E$21,3,0)=0,"",IF(OR(F112="Arbeidskosten",F112="Vergoeding"),VLOOKUP(G112,Tb_KostenTypen[],2,0),VLOOKUP(F112,Kostentypen!$A$3:$E$20,3,0))),"")</f>
        <v/>
      </c>
      <c r="O112" s="320" t="str" cm="1">
        <f t="array" ref="O112">_xlfn.IFNA(IF(INDEX(Tb_KostenOptiesDB[],MATCH($F112,Tb_KostenOptiesDB[KostenOptie],0),IFERROR(MATCH(Methode_Keuze,Tb_KostenOptiesDB[#Headers],0),2))=1,_xlfn.SWITCH($N112,"Uurtarief",IF(OR(AND(RIGHT($F112,3)="IKS",VLOOKUP($M112,DB_Loonkosten,2,0)="Ja"),AND(RIGHT($F112,3)&lt;&gt;"IKS",VLOOKUP($M112,DB_Loonkosten,2,0)="Nee")),IFERROR(VLOOKUP($M112,DB_Loonkosten,24,0),""),0),"Vast tarief",IF(LEFT(F112,8)="Bijdrage",VLOOKUP($F112,Tb_KostenTypen[],MATCH(Lijsten!$P$1,Tb_KostenTypen[#Headers],0),0),VLOOKUP($G112,Lijsten!L:P,MATCH(Lijsten!$P$1,Kop_Tarief_Vast,0),0))),""),"")</f>
        <v/>
      </c>
      <c r="P112" s="320" t="str" cm="1">
        <f t="array" ref="P112">_xlfn.IFNA(IF(INDEX(Tb_KostenOptiesDB[],MATCH($F112,Tb_KostenOptiesDB[KostenOptie],0),IFERROR(MATCH(Methode_Keuze,Tb_KostenOptiesDB[#Headers],0),2))=1,_xlfn.SWITCH($N112,"Uurtarief",IF(OR(AND(RIGHT($F112,3)="IKS",VLOOKUP($M112,DB_Loonkosten,2,0)="Ja"),AND(RIGHT($F112,3)&lt;&gt;"IKS",VLOOKUP($M112,DB_Loonkosten,2,0)="Nee")),IFERROR(VLOOKUP($M112,DB_Loonkosten,25,0),""),0),"Vast tarief",IF(LEFT(F112,8)="Bijdrage",VLOOKUP($F112,Tb_KostenTypen[],MATCH(Lijsten!$P$1,Tb_KostenTypen[#Headers],0),0),VLOOKUP($G112,Lijsten!L:P,MATCH(Lijsten!$P$1,Kop_Tarief_Vast,0),0))),""),"")</f>
        <v/>
      </c>
      <c r="Q112" s="359"/>
      <c r="R112" s="359"/>
      <c r="S112" s="321"/>
      <c r="T112" s="321"/>
      <c r="U112" s="373" t="str">
        <f t="shared" si="4"/>
        <v/>
      </c>
      <c r="V112" s="314" t="str">
        <f t="shared" si="5"/>
        <v/>
      </c>
      <c r="W112" s="314" t="str" cm="1">
        <f t="array" aca="1" ref="W112" ca="1">IFERROR(IF(AE112&lt;&gt;"ja",_xlfn.IFNA(_xlfn.IFS(AND(O112&lt;&gt;"",F112&lt;&gt;"",RIGHT($N112,6)="tarief",F112="Vergoeding"),SUM(O112)*FLOOR(SUM(Q112),0.0001),AND(O112&lt;&gt;"",F112&lt;&gt;"",RIGHT($N112,6)="tarief"),SUM(O112)*FLOOR(SUM(Q112),0.01),S112&gt;0,IF(F112&lt;&gt;"",FLOOR(SUM(S112),0.01),"")),""),""),"")</f>
        <v/>
      </c>
      <c r="X112" s="314" t="str" cm="1">
        <f t="array" aca="1" ref="X112" ca="1">IFERROR(IF(AE112&lt;&gt;"ja",_xlfn.IFNA(_xlfn.IFS(AND(P112&lt;&gt;"",R112&lt;&gt;"",RIGHT($N112,6)="tarief",F112="Vergoeding"),SUM(P112)*FLOOR(SUM(R112),0.0001),AND(P112&lt;&gt;"",R112&lt;&gt;"",RIGHT($N112,6)="tarief"),P112*FLOOR(R112,0.01),T112&gt;0,FLOOR(SUM(T112),0.01)),""),""),"")</f>
        <v/>
      </c>
      <c r="Y112" s="314" t="str">
        <f t="shared" ca="1" si="6"/>
        <v/>
      </c>
      <c r="Z112" s="314" t="str" cm="1">
        <f t="array" aca="1" ref="Z112" ca="1">IFERROR(_xlfn.IFS(OR(F112="",LEFT(Methode_Keuze,4)="Geen",Methode_Keuze=""),"",AND(W112&lt;&gt;"",F112&lt;&gt;"Arbeidskosten"),W112*VLOOKUP(F112,Tb_ProjectKosten[],MATCH(Tb_ProjectKosten[[#Headers],[Forfait_Percentage]],Tb_ProjectKosten[#Headers],0),0),AND(F112="Arbeidskosten",G112&lt;&gt;""),IFERROR(W112*VLOOKUP(G112,Tb_KostenTypen[],3,0)*VLOOKUP(F112,Tb_ProjectKosten[],MATCH(Tb_ProjectKosten[[#Headers],[Forfait_Percentage]],Tb_ProjectKosten[#Headers],0),0),""),W112 &lt;=0,0),"")</f>
        <v/>
      </c>
      <c r="AA112" s="314" t="str" cm="1">
        <f t="array" aca="1" ref="AA112" ca="1">IFERROR(_xlfn.IFS(OR(F112="",LEFT(Methode_Keuze,4)="Geen",Methode_Keuze=""),"",AND(X112&lt;&gt;"",F112&lt;&gt;"Arbeidskosten"),X112*VLOOKUP(F112,Tb_ProjectKosten[],MATCH(Tb_ProjectKosten[[#Headers],[Forfait_Percentage]],Tb_ProjectKosten[#Headers],0),0),AND(F112="Arbeidskosten",G112&lt;&gt;""),IFERROR(X112*VLOOKUP(G112,Tb_KostenTypen[],3,0)*VLOOKUP(F112,Tb_ProjectKosten[],MATCH(Tb_ProjectKosten[[#Headers],[Forfait_Percentage]],Tb_ProjectKosten[#Headers],0),0),""),X112 &lt;=0,0),"")</f>
        <v/>
      </c>
      <c r="AB112" s="314" t="str">
        <f t="shared" ca="1" si="7"/>
        <v/>
      </c>
      <c r="AC112" s="322"/>
      <c r="AD112" s="315"/>
      <c r="AE112" s="32" t="str" cm="1">
        <f t="array" ref="AE112">IFERROR(IF(INDEX(SubsidieTabel!$AD$1:$AG$12,MATCH($F112,SubsidieTabel!$AD$1:$AD$12,0),IFERROR(MATCH(Methode_Keuze,SubsidieTabel!$AD$1:$AG$1,0),2))&lt;&gt;1=TRUE,"ja",""),"")</f>
        <v/>
      </c>
    </row>
    <row r="113" spans="1:31" x14ac:dyDescent="0.25">
      <c r="A113" s="316"/>
      <c r="B113" s="317" t="str">
        <f>IF(A113&lt;&gt;"",_xlfn.MAXIFS($B$1:B112,$A$1:A112,A113)+1,"")</f>
        <v/>
      </c>
      <c r="C113" s="296"/>
      <c r="D113" s="296"/>
      <c r="E113" s="296"/>
      <c r="F113" s="296"/>
      <c r="G113" s="326"/>
      <c r="H113" s="324"/>
      <c r="I113" s="325"/>
      <c r="J113" s="325"/>
      <c r="K113" s="318"/>
      <c r="L113" s="318"/>
      <c r="M113" s="319" t="str">
        <f>IFERROR(VLOOKUP(H113,Lijsten!$H$1:$I$100,2,0),"")</f>
        <v/>
      </c>
      <c r="N113" s="319" t="str">
        <f ca="1">IFERROR(IF(VLOOKUP(F113,Kostentypen!$A$3:$E$21,3,0)=0,"",IF(OR(F113="Arbeidskosten",F113="Vergoeding"),VLOOKUP(G113,Tb_KostenTypen[],2,0),VLOOKUP(F113,Kostentypen!$A$3:$E$20,3,0))),"")</f>
        <v/>
      </c>
      <c r="O113" s="320" t="str" cm="1">
        <f t="array" ref="O113">_xlfn.IFNA(IF(INDEX(Tb_KostenOptiesDB[],MATCH($F113,Tb_KostenOptiesDB[KostenOptie],0),IFERROR(MATCH(Methode_Keuze,Tb_KostenOptiesDB[#Headers],0),2))=1,_xlfn.SWITCH($N113,"Uurtarief",IF(OR(AND(RIGHT($F113,3)="IKS",VLOOKUP($M113,DB_Loonkosten,2,0)="Ja"),AND(RIGHT($F113,3)&lt;&gt;"IKS",VLOOKUP($M113,DB_Loonkosten,2,0)="Nee")),IFERROR(VLOOKUP($M113,DB_Loonkosten,24,0),""),0),"Vast tarief",IF(LEFT(F113,8)="Bijdrage",VLOOKUP($F113,Tb_KostenTypen[],MATCH(Lijsten!$P$1,Tb_KostenTypen[#Headers],0),0),VLOOKUP($G113,Lijsten!L:P,MATCH(Lijsten!$P$1,Kop_Tarief_Vast,0),0))),""),"")</f>
        <v/>
      </c>
      <c r="P113" s="320" t="str" cm="1">
        <f t="array" ref="P113">_xlfn.IFNA(IF(INDEX(Tb_KostenOptiesDB[],MATCH($F113,Tb_KostenOptiesDB[KostenOptie],0),IFERROR(MATCH(Methode_Keuze,Tb_KostenOptiesDB[#Headers],0),2))=1,_xlfn.SWITCH($N113,"Uurtarief",IF(OR(AND(RIGHT($F113,3)="IKS",VLOOKUP($M113,DB_Loonkosten,2,0)="Ja"),AND(RIGHT($F113,3)&lt;&gt;"IKS",VLOOKUP($M113,DB_Loonkosten,2,0)="Nee")),IFERROR(VLOOKUP($M113,DB_Loonkosten,25,0),""),0),"Vast tarief",IF(LEFT(F113,8)="Bijdrage",VLOOKUP($F113,Tb_KostenTypen[],MATCH(Lijsten!$P$1,Tb_KostenTypen[#Headers],0),0),VLOOKUP($G113,Lijsten!L:P,MATCH(Lijsten!$P$1,Kop_Tarief_Vast,0),0))),""),"")</f>
        <v/>
      </c>
      <c r="Q113" s="359"/>
      <c r="R113" s="359"/>
      <c r="S113" s="321"/>
      <c r="T113" s="321"/>
      <c r="U113" s="373" t="str">
        <f t="shared" si="4"/>
        <v/>
      </c>
      <c r="V113" s="314" t="str">
        <f t="shared" si="5"/>
        <v/>
      </c>
      <c r="W113" s="314" t="str" cm="1">
        <f t="array" aca="1" ref="W113" ca="1">IFERROR(IF(AE113&lt;&gt;"ja",_xlfn.IFNA(_xlfn.IFS(AND(O113&lt;&gt;"",F113&lt;&gt;"",RIGHT($N113,6)="tarief",F113="Vergoeding"),SUM(O113)*FLOOR(SUM(Q113),0.0001),AND(O113&lt;&gt;"",F113&lt;&gt;"",RIGHT($N113,6)="tarief"),SUM(O113)*FLOOR(SUM(Q113),0.01),S113&gt;0,IF(F113&lt;&gt;"",FLOOR(SUM(S113),0.01),"")),""),""),"")</f>
        <v/>
      </c>
      <c r="X113" s="314" t="str" cm="1">
        <f t="array" aca="1" ref="X113" ca="1">IFERROR(IF(AE113&lt;&gt;"ja",_xlfn.IFNA(_xlfn.IFS(AND(P113&lt;&gt;"",R113&lt;&gt;"",RIGHT($N113,6)="tarief",F113="Vergoeding"),SUM(P113)*FLOOR(SUM(R113),0.0001),AND(P113&lt;&gt;"",R113&lt;&gt;"",RIGHT($N113,6)="tarief"),P113*FLOOR(R113,0.01),T113&gt;0,FLOOR(SUM(T113),0.01)),""),""),"")</f>
        <v/>
      </c>
      <c r="Y113" s="314" t="str">
        <f t="shared" ca="1" si="6"/>
        <v/>
      </c>
      <c r="Z113" s="314" t="str" cm="1">
        <f t="array" aca="1" ref="Z113" ca="1">IFERROR(_xlfn.IFS(OR(F113="",LEFT(Methode_Keuze,4)="Geen",Methode_Keuze=""),"",AND(W113&lt;&gt;"",F113&lt;&gt;"Arbeidskosten"),W113*VLOOKUP(F113,Tb_ProjectKosten[],MATCH(Tb_ProjectKosten[[#Headers],[Forfait_Percentage]],Tb_ProjectKosten[#Headers],0),0),AND(F113="Arbeidskosten",G113&lt;&gt;""),IFERROR(W113*VLOOKUP(G113,Tb_KostenTypen[],3,0)*VLOOKUP(F113,Tb_ProjectKosten[],MATCH(Tb_ProjectKosten[[#Headers],[Forfait_Percentage]],Tb_ProjectKosten[#Headers],0),0),""),W113 &lt;=0,0),"")</f>
        <v/>
      </c>
      <c r="AA113" s="314" t="str" cm="1">
        <f t="array" aca="1" ref="AA113" ca="1">IFERROR(_xlfn.IFS(OR(F113="",LEFT(Methode_Keuze,4)="Geen",Methode_Keuze=""),"",AND(X113&lt;&gt;"",F113&lt;&gt;"Arbeidskosten"),X113*VLOOKUP(F113,Tb_ProjectKosten[],MATCH(Tb_ProjectKosten[[#Headers],[Forfait_Percentage]],Tb_ProjectKosten[#Headers],0),0),AND(F113="Arbeidskosten",G113&lt;&gt;""),IFERROR(X113*VLOOKUP(G113,Tb_KostenTypen[],3,0)*VLOOKUP(F113,Tb_ProjectKosten[],MATCH(Tb_ProjectKosten[[#Headers],[Forfait_Percentage]],Tb_ProjectKosten[#Headers],0),0),""),X113 &lt;=0,0),"")</f>
        <v/>
      </c>
      <c r="AB113" s="314" t="str">
        <f t="shared" ca="1" si="7"/>
        <v/>
      </c>
      <c r="AC113" s="322"/>
      <c r="AD113" s="315"/>
      <c r="AE113" s="32" t="str" cm="1">
        <f t="array" ref="AE113">IFERROR(IF(INDEX(SubsidieTabel!$AD$1:$AG$12,MATCH($F113,SubsidieTabel!$AD$1:$AD$12,0),IFERROR(MATCH(Methode_Keuze,SubsidieTabel!$AD$1:$AG$1,0),2))&lt;&gt;1=TRUE,"ja",""),"")</f>
        <v/>
      </c>
    </row>
    <row r="114" spans="1:31" x14ac:dyDescent="0.25">
      <c r="A114" s="316"/>
      <c r="B114" s="317" t="str">
        <f>IF(A114&lt;&gt;"",_xlfn.MAXIFS($B$1:B113,$A$1:A113,A114)+1,"")</f>
        <v/>
      </c>
      <c r="C114" s="296"/>
      <c r="D114" s="296"/>
      <c r="E114" s="296"/>
      <c r="F114" s="296"/>
      <c r="G114" s="326"/>
      <c r="H114" s="324"/>
      <c r="I114" s="325"/>
      <c r="J114" s="325"/>
      <c r="K114" s="318"/>
      <c r="L114" s="318"/>
      <c r="M114" s="319" t="str">
        <f>IFERROR(VLOOKUP(H114,Lijsten!$H$1:$I$100,2,0),"")</f>
        <v/>
      </c>
      <c r="N114" s="319" t="str">
        <f ca="1">IFERROR(IF(VLOOKUP(F114,Kostentypen!$A$3:$E$21,3,0)=0,"",IF(OR(F114="Arbeidskosten",F114="Vergoeding"),VLOOKUP(G114,Tb_KostenTypen[],2,0),VLOOKUP(F114,Kostentypen!$A$3:$E$20,3,0))),"")</f>
        <v/>
      </c>
      <c r="O114" s="320" t="str" cm="1">
        <f t="array" ref="O114">_xlfn.IFNA(IF(INDEX(Tb_KostenOptiesDB[],MATCH($F114,Tb_KostenOptiesDB[KostenOptie],0),IFERROR(MATCH(Methode_Keuze,Tb_KostenOptiesDB[#Headers],0),2))=1,_xlfn.SWITCH($N114,"Uurtarief",IF(OR(AND(RIGHT($F114,3)="IKS",VLOOKUP($M114,DB_Loonkosten,2,0)="Ja"),AND(RIGHT($F114,3)&lt;&gt;"IKS",VLOOKUP($M114,DB_Loonkosten,2,0)="Nee")),IFERROR(VLOOKUP($M114,DB_Loonkosten,24,0),""),0),"Vast tarief",IF(LEFT(F114,8)="Bijdrage",VLOOKUP($F114,Tb_KostenTypen[],MATCH(Lijsten!$P$1,Tb_KostenTypen[#Headers],0),0),VLOOKUP($G114,Lijsten!L:P,MATCH(Lijsten!$P$1,Kop_Tarief_Vast,0),0))),""),"")</f>
        <v/>
      </c>
      <c r="P114" s="320" t="str" cm="1">
        <f t="array" ref="P114">_xlfn.IFNA(IF(INDEX(Tb_KostenOptiesDB[],MATCH($F114,Tb_KostenOptiesDB[KostenOptie],0),IFERROR(MATCH(Methode_Keuze,Tb_KostenOptiesDB[#Headers],0),2))=1,_xlfn.SWITCH($N114,"Uurtarief",IF(OR(AND(RIGHT($F114,3)="IKS",VLOOKUP($M114,DB_Loonkosten,2,0)="Ja"),AND(RIGHT($F114,3)&lt;&gt;"IKS",VLOOKUP($M114,DB_Loonkosten,2,0)="Nee")),IFERROR(VLOOKUP($M114,DB_Loonkosten,25,0),""),0),"Vast tarief",IF(LEFT(F114,8)="Bijdrage",VLOOKUP($F114,Tb_KostenTypen[],MATCH(Lijsten!$P$1,Tb_KostenTypen[#Headers],0),0),VLOOKUP($G114,Lijsten!L:P,MATCH(Lijsten!$P$1,Kop_Tarief_Vast,0),0))),""),"")</f>
        <v/>
      </c>
      <c r="Q114" s="359"/>
      <c r="R114" s="359"/>
      <c r="S114" s="321"/>
      <c r="T114" s="321"/>
      <c r="U114" s="373" t="str">
        <f t="shared" si="4"/>
        <v/>
      </c>
      <c r="V114" s="314" t="str">
        <f t="shared" si="5"/>
        <v/>
      </c>
      <c r="W114" s="314" t="str" cm="1">
        <f t="array" aca="1" ref="W114" ca="1">IFERROR(IF(AE114&lt;&gt;"ja",_xlfn.IFNA(_xlfn.IFS(AND(O114&lt;&gt;"",F114&lt;&gt;"",RIGHT($N114,6)="tarief",F114="Vergoeding"),SUM(O114)*FLOOR(SUM(Q114),0.0001),AND(O114&lt;&gt;"",F114&lt;&gt;"",RIGHT($N114,6)="tarief"),SUM(O114)*FLOOR(SUM(Q114),0.01),S114&gt;0,IF(F114&lt;&gt;"",FLOOR(SUM(S114),0.01),"")),""),""),"")</f>
        <v/>
      </c>
      <c r="X114" s="314" t="str" cm="1">
        <f t="array" aca="1" ref="X114" ca="1">IFERROR(IF(AE114&lt;&gt;"ja",_xlfn.IFNA(_xlfn.IFS(AND(P114&lt;&gt;"",R114&lt;&gt;"",RIGHT($N114,6)="tarief",F114="Vergoeding"),SUM(P114)*FLOOR(SUM(R114),0.0001),AND(P114&lt;&gt;"",R114&lt;&gt;"",RIGHT($N114,6)="tarief"),P114*FLOOR(R114,0.01),T114&gt;0,FLOOR(SUM(T114),0.01)),""),""),"")</f>
        <v/>
      </c>
      <c r="Y114" s="314" t="str">
        <f t="shared" ca="1" si="6"/>
        <v/>
      </c>
      <c r="Z114" s="314" t="str" cm="1">
        <f t="array" aca="1" ref="Z114" ca="1">IFERROR(_xlfn.IFS(OR(F114="",LEFT(Methode_Keuze,4)="Geen",Methode_Keuze=""),"",AND(W114&lt;&gt;"",F114&lt;&gt;"Arbeidskosten"),W114*VLOOKUP(F114,Tb_ProjectKosten[],MATCH(Tb_ProjectKosten[[#Headers],[Forfait_Percentage]],Tb_ProjectKosten[#Headers],0),0),AND(F114="Arbeidskosten",G114&lt;&gt;""),IFERROR(W114*VLOOKUP(G114,Tb_KostenTypen[],3,0)*VLOOKUP(F114,Tb_ProjectKosten[],MATCH(Tb_ProjectKosten[[#Headers],[Forfait_Percentage]],Tb_ProjectKosten[#Headers],0),0),""),W114 &lt;=0,0),"")</f>
        <v/>
      </c>
      <c r="AA114" s="314" t="str" cm="1">
        <f t="array" aca="1" ref="AA114" ca="1">IFERROR(_xlfn.IFS(OR(F114="",LEFT(Methode_Keuze,4)="Geen",Methode_Keuze=""),"",AND(X114&lt;&gt;"",F114&lt;&gt;"Arbeidskosten"),X114*VLOOKUP(F114,Tb_ProjectKosten[],MATCH(Tb_ProjectKosten[[#Headers],[Forfait_Percentage]],Tb_ProjectKosten[#Headers],0),0),AND(F114="Arbeidskosten",G114&lt;&gt;""),IFERROR(X114*VLOOKUP(G114,Tb_KostenTypen[],3,0)*VLOOKUP(F114,Tb_ProjectKosten[],MATCH(Tb_ProjectKosten[[#Headers],[Forfait_Percentage]],Tb_ProjectKosten[#Headers],0),0),""),X114 &lt;=0,0),"")</f>
        <v/>
      </c>
      <c r="AB114" s="314" t="str">
        <f t="shared" ca="1" si="7"/>
        <v/>
      </c>
      <c r="AC114" s="322"/>
      <c r="AD114" s="315"/>
      <c r="AE114" s="32" t="str" cm="1">
        <f t="array" ref="AE114">IFERROR(IF(INDEX(SubsidieTabel!$AD$1:$AG$12,MATCH($F114,SubsidieTabel!$AD$1:$AD$12,0),IFERROR(MATCH(Methode_Keuze,SubsidieTabel!$AD$1:$AG$1,0),2))&lt;&gt;1=TRUE,"ja",""),"")</f>
        <v/>
      </c>
    </row>
    <row r="115" spans="1:31" x14ac:dyDescent="0.25">
      <c r="A115" s="316"/>
      <c r="B115" s="317" t="str">
        <f>IF(A115&lt;&gt;"",_xlfn.MAXIFS($B$1:B114,$A$1:A114,A115)+1,"")</f>
        <v/>
      </c>
      <c r="C115" s="296"/>
      <c r="D115" s="296"/>
      <c r="E115" s="296"/>
      <c r="F115" s="296"/>
      <c r="G115" s="326"/>
      <c r="H115" s="324"/>
      <c r="I115" s="325"/>
      <c r="J115" s="325"/>
      <c r="K115" s="318"/>
      <c r="L115" s="318"/>
      <c r="M115" s="319" t="str">
        <f>IFERROR(VLOOKUP(H115,Lijsten!$H$1:$I$100,2,0),"")</f>
        <v/>
      </c>
      <c r="N115" s="319" t="str">
        <f ca="1">IFERROR(IF(VLOOKUP(F115,Kostentypen!$A$3:$E$21,3,0)=0,"",IF(OR(F115="Arbeidskosten",F115="Vergoeding"),VLOOKUP(G115,Tb_KostenTypen[],2,0),VLOOKUP(F115,Kostentypen!$A$3:$E$20,3,0))),"")</f>
        <v/>
      </c>
      <c r="O115" s="320" t="str" cm="1">
        <f t="array" ref="O115">_xlfn.IFNA(IF(INDEX(Tb_KostenOptiesDB[],MATCH($F115,Tb_KostenOptiesDB[KostenOptie],0),IFERROR(MATCH(Methode_Keuze,Tb_KostenOptiesDB[#Headers],0),2))=1,_xlfn.SWITCH($N115,"Uurtarief",IF(OR(AND(RIGHT($F115,3)="IKS",VLOOKUP($M115,DB_Loonkosten,2,0)="Ja"),AND(RIGHT($F115,3)&lt;&gt;"IKS",VLOOKUP($M115,DB_Loonkosten,2,0)="Nee")),IFERROR(VLOOKUP($M115,DB_Loonkosten,24,0),""),0),"Vast tarief",IF(LEFT(F115,8)="Bijdrage",VLOOKUP($F115,Tb_KostenTypen[],MATCH(Lijsten!$P$1,Tb_KostenTypen[#Headers],0),0),VLOOKUP($G115,Lijsten!L:P,MATCH(Lijsten!$P$1,Kop_Tarief_Vast,0),0))),""),"")</f>
        <v/>
      </c>
      <c r="P115" s="320" t="str" cm="1">
        <f t="array" ref="P115">_xlfn.IFNA(IF(INDEX(Tb_KostenOptiesDB[],MATCH($F115,Tb_KostenOptiesDB[KostenOptie],0),IFERROR(MATCH(Methode_Keuze,Tb_KostenOptiesDB[#Headers],0),2))=1,_xlfn.SWITCH($N115,"Uurtarief",IF(OR(AND(RIGHT($F115,3)="IKS",VLOOKUP($M115,DB_Loonkosten,2,0)="Ja"),AND(RIGHT($F115,3)&lt;&gt;"IKS",VLOOKUP($M115,DB_Loonkosten,2,0)="Nee")),IFERROR(VLOOKUP($M115,DB_Loonkosten,25,0),""),0),"Vast tarief",IF(LEFT(F115,8)="Bijdrage",VLOOKUP($F115,Tb_KostenTypen[],MATCH(Lijsten!$P$1,Tb_KostenTypen[#Headers],0),0),VLOOKUP($G115,Lijsten!L:P,MATCH(Lijsten!$P$1,Kop_Tarief_Vast,0),0))),""),"")</f>
        <v/>
      </c>
      <c r="Q115" s="359"/>
      <c r="R115" s="359"/>
      <c r="S115" s="321"/>
      <c r="T115" s="321"/>
      <c r="U115" s="373" t="str">
        <f t="shared" si="4"/>
        <v/>
      </c>
      <c r="V115" s="314" t="str">
        <f t="shared" si="5"/>
        <v/>
      </c>
      <c r="W115" s="314" t="str" cm="1">
        <f t="array" aca="1" ref="W115" ca="1">IFERROR(IF(AE115&lt;&gt;"ja",_xlfn.IFNA(_xlfn.IFS(AND(O115&lt;&gt;"",F115&lt;&gt;"",RIGHT($N115,6)="tarief",F115="Vergoeding"),SUM(O115)*FLOOR(SUM(Q115),0.0001),AND(O115&lt;&gt;"",F115&lt;&gt;"",RIGHT($N115,6)="tarief"),SUM(O115)*FLOOR(SUM(Q115),0.01),S115&gt;0,IF(F115&lt;&gt;"",FLOOR(SUM(S115),0.01),"")),""),""),"")</f>
        <v/>
      </c>
      <c r="X115" s="314" t="str" cm="1">
        <f t="array" aca="1" ref="X115" ca="1">IFERROR(IF(AE115&lt;&gt;"ja",_xlfn.IFNA(_xlfn.IFS(AND(P115&lt;&gt;"",R115&lt;&gt;"",RIGHT($N115,6)="tarief",F115="Vergoeding"),SUM(P115)*FLOOR(SUM(R115),0.0001),AND(P115&lt;&gt;"",R115&lt;&gt;"",RIGHT($N115,6)="tarief"),P115*FLOOR(R115,0.01),T115&gt;0,FLOOR(SUM(T115),0.01)),""),""),"")</f>
        <v/>
      </c>
      <c r="Y115" s="314" t="str">
        <f t="shared" ca="1" si="6"/>
        <v/>
      </c>
      <c r="Z115" s="314" t="str" cm="1">
        <f t="array" aca="1" ref="Z115" ca="1">IFERROR(_xlfn.IFS(OR(F115="",LEFT(Methode_Keuze,4)="Geen",Methode_Keuze=""),"",AND(W115&lt;&gt;"",F115&lt;&gt;"Arbeidskosten"),W115*VLOOKUP(F115,Tb_ProjectKosten[],MATCH(Tb_ProjectKosten[[#Headers],[Forfait_Percentage]],Tb_ProjectKosten[#Headers],0),0),AND(F115="Arbeidskosten",G115&lt;&gt;""),IFERROR(W115*VLOOKUP(G115,Tb_KostenTypen[],3,0)*VLOOKUP(F115,Tb_ProjectKosten[],MATCH(Tb_ProjectKosten[[#Headers],[Forfait_Percentage]],Tb_ProjectKosten[#Headers],0),0),""),W115 &lt;=0,0),"")</f>
        <v/>
      </c>
      <c r="AA115" s="314" t="str" cm="1">
        <f t="array" aca="1" ref="AA115" ca="1">IFERROR(_xlfn.IFS(OR(F115="",LEFT(Methode_Keuze,4)="Geen",Methode_Keuze=""),"",AND(X115&lt;&gt;"",F115&lt;&gt;"Arbeidskosten"),X115*VLOOKUP(F115,Tb_ProjectKosten[],MATCH(Tb_ProjectKosten[[#Headers],[Forfait_Percentage]],Tb_ProjectKosten[#Headers],0),0),AND(F115="Arbeidskosten",G115&lt;&gt;""),IFERROR(X115*VLOOKUP(G115,Tb_KostenTypen[],3,0)*VLOOKUP(F115,Tb_ProjectKosten[],MATCH(Tb_ProjectKosten[[#Headers],[Forfait_Percentage]],Tb_ProjectKosten[#Headers],0),0),""),X115 &lt;=0,0),"")</f>
        <v/>
      </c>
      <c r="AB115" s="314" t="str">
        <f t="shared" ca="1" si="7"/>
        <v/>
      </c>
      <c r="AC115" s="322"/>
      <c r="AD115" s="315"/>
      <c r="AE115" s="32" t="str" cm="1">
        <f t="array" ref="AE115">IFERROR(IF(INDEX(SubsidieTabel!$AD$1:$AG$12,MATCH($F115,SubsidieTabel!$AD$1:$AD$12,0),IFERROR(MATCH(Methode_Keuze,SubsidieTabel!$AD$1:$AG$1,0),2))&lt;&gt;1=TRUE,"ja",""),"")</f>
        <v/>
      </c>
    </row>
    <row r="116" spans="1:31" x14ac:dyDescent="0.25">
      <c r="A116" s="316"/>
      <c r="B116" s="317" t="str">
        <f>IF(A116&lt;&gt;"",_xlfn.MAXIFS($B$1:B115,$A$1:A115,A116)+1,"")</f>
        <v/>
      </c>
      <c r="C116" s="296"/>
      <c r="D116" s="296"/>
      <c r="E116" s="296"/>
      <c r="F116" s="296"/>
      <c r="G116" s="326"/>
      <c r="H116" s="324"/>
      <c r="I116" s="325"/>
      <c r="J116" s="325"/>
      <c r="K116" s="318"/>
      <c r="L116" s="318"/>
      <c r="M116" s="319" t="str">
        <f>IFERROR(VLOOKUP(H116,Lijsten!$H$1:$I$100,2,0),"")</f>
        <v/>
      </c>
      <c r="N116" s="319" t="str">
        <f ca="1">IFERROR(IF(VLOOKUP(F116,Kostentypen!$A$3:$E$21,3,0)=0,"",IF(OR(F116="Arbeidskosten",F116="Vergoeding"),VLOOKUP(G116,Tb_KostenTypen[],2,0),VLOOKUP(F116,Kostentypen!$A$3:$E$20,3,0))),"")</f>
        <v/>
      </c>
      <c r="O116" s="320" t="str" cm="1">
        <f t="array" ref="O116">_xlfn.IFNA(IF(INDEX(Tb_KostenOptiesDB[],MATCH($F116,Tb_KostenOptiesDB[KostenOptie],0),IFERROR(MATCH(Methode_Keuze,Tb_KostenOptiesDB[#Headers],0),2))=1,_xlfn.SWITCH($N116,"Uurtarief",IF(OR(AND(RIGHT($F116,3)="IKS",VLOOKUP($M116,DB_Loonkosten,2,0)="Ja"),AND(RIGHT($F116,3)&lt;&gt;"IKS",VLOOKUP($M116,DB_Loonkosten,2,0)="Nee")),IFERROR(VLOOKUP($M116,DB_Loonkosten,24,0),""),0),"Vast tarief",IF(LEFT(F116,8)="Bijdrage",VLOOKUP($F116,Tb_KostenTypen[],MATCH(Lijsten!$P$1,Tb_KostenTypen[#Headers],0),0),VLOOKUP($G116,Lijsten!L:P,MATCH(Lijsten!$P$1,Kop_Tarief_Vast,0),0))),""),"")</f>
        <v/>
      </c>
      <c r="P116" s="320" t="str" cm="1">
        <f t="array" ref="P116">_xlfn.IFNA(IF(INDEX(Tb_KostenOptiesDB[],MATCH($F116,Tb_KostenOptiesDB[KostenOptie],0),IFERROR(MATCH(Methode_Keuze,Tb_KostenOptiesDB[#Headers],0),2))=1,_xlfn.SWITCH($N116,"Uurtarief",IF(OR(AND(RIGHT($F116,3)="IKS",VLOOKUP($M116,DB_Loonkosten,2,0)="Ja"),AND(RIGHT($F116,3)&lt;&gt;"IKS",VLOOKUP($M116,DB_Loonkosten,2,0)="Nee")),IFERROR(VLOOKUP($M116,DB_Loonkosten,25,0),""),0),"Vast tarief",IF(LEFT(F116,8)="Bijdrage",VLOOKUP($F116,Tb_KostenTypen[],MATCH(Lijsten!$P$1,Tb_KostenTypen[#Headers],0),0),VLOOKUP($G116,Lijsten!L:P,MATCH(Lijsten!$P$1,Kop_Tarief_Vast,0),0))),""),"")</f>
        <v/>
      </c>
      <c r="Q116" s="359"/>
      <c r="R116" s="359"/>
      <c r="S116" s="321"/>
      <c r="T116" s="321"/>
      <c r="U116" s="373" t="str">
        <f t="shared" si="4"/>
        <v/>
      </c>
      <c r="V116" s="314" t="str">
        <f t="shared" si="5"/>
        <v/>
      </c>
      <c r="W116" s="314" t="str" cm="1">
        <f t="array" aca="1" ref="W116" ca="1">IFERROR(IF(AE116&lt;&gt;"ja",_xlfn.IFNA(_xlfn.IFS(AND(O116&lt;&gt;"",F116&lt;&gt;"",RIGHT($N116,6)="tarief",F116="Vergoeding"),SUM(O116)*FLOOR(SUM(Q116),0.0001),AND(O116&lt;&gt;"",F116&lt;&gt;"",RIGHT($N116,6)="tarief"),SUM(O116)*FLOOR(SUM(Q116),0.01),S116&gt;0,IF(F116&lt;&gt;"",FLOOR(SUM(S116),0.01),"")),""),""),"")</f>
        <v/>
      </c>
      <c r="X116" s="314" t="str" cm="1">
        <f t="array" aca="1" ref="X116" ca="1">IFERROR(IF(AE116&lt;&gt;"ja",_xlfn.IFNA(_xlfn.IFS(AND(P116&lt;&gt;"",R116&lt;&gt;"",RIGHT($N116,6)="tarief",F116="Vergoeding"),SUM(P116)*FLOOR(SUM(R116),0.0001),AND(P116&lt;&gt;"",R116&lt;&gt;"",RIGHT($N116,6)="tarief"),P116*FLOOR(R116,0.01),T116&gt;0,FLOOR(SUM(T116),0.01)),""),""),"")</f>
        <v/>
      </c>
      <c r="Y116" s="314" t="str">
        <f t="shared" ca="1" si="6"/>
        <v/>
      </c>
      <c r="Z116" s="314" t="str" cm="1">
        <f t="array" aca="1" ref="Z116" ca="1">IFERROR(_xlfn.IFS(OR(F116="",LEFT(Methode_Keuze,4)="Geen",Methode_Keuze=""),"",AND(W116&lt;&gt;"",F116&lt;&gt;"Arbeidskosten"),W116*VLOOKUP(F116,Tb_ProjectKosten[],MATCH(Tb_ProjectKosten[[#Headers],[Forfait_Percentage]],Tb_ProjectKosten[#Headers],0),0),AND(F116="Arbeidskosten",G116&lt;&gt;""),IFERROR(W116*VLOOKUP(G116,Tb_KostenTypen[],3,0)*VLOOKUP(F116,Tb_ProjectKosten[],MATCH(Tb_ProjectKosten[[#Headers],[Forfait_Percentage]],Tb_ProjectKosten[#Headers],0),0),""),W116 &lt;=0,0),"")</f>
        <v/>
      </c>
      <c r="AA116" s="314" t="str" cm="1">
        <f t="array" aca="1" ref="AA116" ca="1">IFERROR(_xlfn.IFS(OR(F116="",LEFT(Methode_Keuze,4)="Geen",Methode_Keuze=""),"",AND(X116&lt;&gt;"",F116&lt;&gt;"Arbeidskosten"),X116*VLOOKUP(F116,Tb_ProjectKosten[],MATCH(Tb_ProjectKosten[[#Headers],[Forfait_Percentage]],Tb_ProjectKosten[#Headers],0),0),AND(F116="Arbeidskosten",G116&lt;&gt;""),IFERROR(X116*VLOOKUP(G116,Tb_KostenTypen[],3,0)*VLOOKUP(F116,Tb_ProjectKosten[],MATCH(Tb_ProjectKosten[[#Headers],[Forfait_Percentage]],Tb_ProjectKosten[#Headers],0),0),""),X116 &lt;=0,0),"")</f>
        <v/>
      </c>
      <c r="AB116" s="314" t="str">
        <f t="shared" ca="1" si="7"/>
        <v/>
      </c>
      <c r="AC116" s="322"/>
      <c r="AD116" s="315"/>
      <c r="AE116" s="32" t="str" cm="1">
        <f t="array" ref="AE116">IFERROR(IF(INDEX(SubsidieTabel!$AD$1:$AG$12,MATCH($F116,SubsidieTabel!$AD$1:$AD$12,0),IFERROR(MATCH(Methode_Keuze,SubsidieTabel!$AD$1:$AG$1,0),2))&lt;&gt;1=TRUE,"ja",""),"")</f>
        <v/>
      </c>
    </row>
    <row r="117" spans="1:31" x14ac:dyDescent="0.25">
      <c r="A117" s="316"/>
      <c r="B117" s="317" t="str">
        <f>IF(A117&lt;&gt;"",_xlfn.MAXIFS($B$1:B116,$A$1:A116,A117)+1,"")</f>
        <v/>
      </c>
      <c r="C117" s="296"/>
      <c r="D117" s="296"/>
      <c r="E117" s="296"/>
      <c r="F117" s="296"/>
      <c r="G117" s="326"/>
      <c r="H117" s="324"/>
      <c r="I117" s="325"/>
      <c r="J117" s="325"/>
      <c r="K117" s="318"/>
      <c r="L117" s="318"/>
      <c r="M117" s="319" t="str">
        <f>IFERROR(VLOOKUP(H117,Lijsten!$H$1:$I$100,2,0),"")</f>
        <v/>
      </c>
      <c r="N117" s="319" t="str">
        <f ca="1">IFERROR(IF(VLOOKUP(F117,Kostentypen!$A$3:$E$21,3,0)=0,"",IF(OR(F117="Arbeidskosten",F117="Vergoeding"),VLOOKUP(G117,Tb_KostenTypen[],2,0),VLOOKUP(F117,Kostentypen!$A$3:$E$20,3,0))),"")</f>
        <v/>
      </c>
      <c r="O117" s="320" t="str" cm="1">
        <f t="array" ref="O117">_xlfn.IFNA(IF(INDEX(Tb_KostenOptiesDB[],MATCH($F117,Tb_KostenOptiesDB[KostenOptie],0),IFERROR(MATCH(Methode_Keuze,Tb_KostenOptiesDB[#Headers],0),2))=1,_xlfn.SWITCH($N117,"Uurtarief",IF(OR(AND(RIGHT($F117,3)="IKS",VLOOKUP($M117,DB_Loonkosten,2,0)="Ja"),AND(RIGHT($F117,3)&lt;&gt;"IKS",VLOOKUP($M117,DB_Loonkosten,2,0)="Nee")),IFERROR(VLOOKUP($M117,DB_Loonkosten,24,0),""),0),"Vast tarief",IF(LEFT(F117,8)="Bijdrage",VLOOKUP($F117,Tb_KostenTypen[],MATCH(Lijsten!$P$1,Tb_KostenTypen[#Headers],0),0),VLOOKUP($G117,Lijsten!L:P,MATCH(Lijsten!$P$1,Kop_Tarief_Vast,0),0))),""),"")</f>
        <v/>
      </c>
      <c r="P117" s="320" t="str" cm="1">
        <f t="array" ref="P117">_xlfn.IFNA(IF(INDEX(Tb_KostenOptiesDB[],MATCH($F117,Tb_KostenOptiesDB[KostenOptie],0),IFERROR(MATCH(Methode_Keuze,Tb_KostenOptiesDB[#Headers],0),2))=1,_xlfn.SWITCH($N117,"Uurtarief",IF(OR(AND(RIGHT($F117,3)="IKS",VLOOKUP($M117,DB_Loonkosten,2,0)="Ja"),AND(RIGHT($F117,3)&lt;&gt;"IKS",VLOOKUP($M117,DB_Loonkosten,2,0)="Nee")),IFERROR(VLOOKUP($M117,DB_Loonkosten,25,0),""),0),"Vast tarief",IF(LEFT(F117,8)="Bijdrage",VLOOKUP($F117,Tb_KostenTypen[],MATCH(Lijsten!$P$1,Tb_KostenTypen[#Headers],0),0),VLOOKUP($G117,Lijsten!L:P,MATCH(Lijsten!$P$1,Kop_Tarief_Vast,0),0))),""),"")</f>
        <v/>
      </c>
      <c r="Q117" s="359"/>
      <c r="R117" s="359"/>
      <c r="S117" s="321"/>
      <c r="T117" s="321"/>
      <c r="U117" s="373" t="str">
        <f t="shared" si="4"/>
        <v/>
      </c>
      <c r="V117" s="314" t="str">
        <f t="shared" si="5"/>
        <v/>
      </c>
      <c r="W117" s="314" t="str" cm="1">
        <f t="array" aca="1" ref="W117" ca="1">IFERROR(IF(AE117&lt;&gt;"ja",_xlfn.IFNA(_xlfn.IFS(AND(O117&lt;&gt;"",F117&lt;&gt;"",RIGHT($N117,6)="tarief",F117="Vergoeding"),SUM(O117)*FLOOR(SUM(Q117),0.0001),AND(O117&lt;&gt;"",F117&lt;&gt;"",RIGHT($N117,6)="tarief"),SUM(O117)*FLOOR(SUM(Q117),0.01),S117&gt;0,IF(F117&lt;&gt;"",FLOOR(SUM(S117),0.01),"")),""),""),"")</f>
        <v/>
      </c>
      <c r="X117" s="314" t="str" cm="1">
        <f t="array" aca="1" ref="X117" ca="1">IFERROR(IF(AE117&lt;&gt;"ja",_xlfn.IFNA(_xlfn.IFS(AND(P117&lt;&gt;"",R117&lt;&gt;"",RIGHT($N117,6)="tarief",F117="Vergoeding"),SUM(P117)*FLOOR(SUM(R117),0.0001),AND(P117&lt;&gt;"",R117&lt;&gt;"",RIGHT($N117,6)="tarief"),P117*FLOOR(R117,0.01),T117&gt;0,FLOOR(SUM(T117),0.01)),""),""),"")</f>
        <v/>
      </c>
      <c r="Y117" s="314" t="str">
        <f t="shared" ca="1" si="6"/>
        <v/>
      </c>
      <c r="Z117" s="314" t="str" cm="1">
        <f t="array" aca="1" ref="Z117" ca="1">IFERROR(_xlfn.IFS(OR(F117="",LEFT(Methode_Keuze,4)="Geen",Methode_Keuze=""),"",AND(W117&lt;&gt;"",F117&lt;&gt;"Arbeidskosten"),W117*VLOOKUP(F117,Tb_ProjectKosten[],MATCH(Tb_ProjectKosten[[#Headers],[Forfait_Percentage]],Tb_ProjectKosten[#Headers],0),0),AND(F117="Arbeidskosten",G117&lt;&gt;""),IFERROR(W117*VLOOKUP(G117,Tb_KostenTypen[],3,0)*VLOOKUP(F117,Tb_ProjectKosten[],MATCH(Tb_ProjectKosten[[#Headers],[Forfait_Percentage]],Tb_ProjectKosten[#Headers],0),0),""),W117 &lt;=0,0),"")</f>
        <v/>
      </c>
      <c r="AA117" s="314" t="str" cm="1">
        <f t="array" aca="1" ref="AA117" ca="1">IFERROR(_xlfn.IFS(OR(F117="",LEFT(Methode_Keuze,4)="Geen",Methode_Keuze=""),"",AND(X117&lt;&gt;"",F117&lt;&gt;"Arbeidskosten"),X117*VLOOKUP(F117,Tb_ProjectKosten[],MATCH(Tb_ProjectKosten[[#Headers],[Forfait_Percentage]],Tb_ProjectKosten[#Headers],0),0),AND(F117="Arbeidskosten",G117&lt;&gt;""),IFERROR(X117*VLOOKUP(G117,Tb_KostenTypen[],3,0)*VLOOKUP(F117,Tb_ProjectKosten[],MATCH(Tb_ProjectKosten[[#Headers],[Forfait_Percentage]],Tb_ProjectKosten[#Headers],0),0),""),X117 &lt;=0,0),"")</f>
        <v/>
      </c>
      <c r="AB117" s="314" t="str">
        <f t="shared" ca="1" si="7"/>
        <v/>
      </c>
      <c r="AC117" s="322"/>
      <c r="AD117" s="315"/>
      <c r="AE117" s="32" t="str" cm="1">
        <f t="array" ref="AE117">IFERROR(IF(INDEX(SubsidieTabel!$AD$1:$AG$12,MATCH($F117,SubsidieTabel!$AD$1:$AD$12,0),IFERROR(MATCH(Methode_Keuze,SubsidieTabel!$AD$1:$AG$1,0),2))&lt;&gt;1=TRUE,"ja",""),"")</f>
        <v/>
      </c>
    </row>
    <row r="118" spans="1:31" x14ac:dyDescent="0.25">
      <c r="A118" s="316"/>
      <c r="B118" s="317" t="str">
        <f>IF(A118&lt;&gt;"",_xlfn.MAXIFS($B$1:B117,$A$1:A117,A118)+1,"")</f>
        <v/>
      </c>
      <c r="C118" s="296"/>
      <c r="D118" s="296"/>
      <c r="E118" s="296"/>
      <c r="F118" s="296"/>
      <c r="G118" s="326"/>
      <c r="H118" s="324"/>
      <c r="I118" s="325"/>
      <c r="J118" s="325"/>
      <c r="K118" s="318"/>
      <c r="L118" s="318"/>
      <c r="M118" s="319" t="str">
        <f>IFERROR(VLOOKUP(H118,Lijsten!$H$1:$I$100,2,0),"")</f>
        <v/>
      </c>
      <c r="N118" s="319" t="str">
        <f ca="1">IFERROR(IF(VLOOKUP(F118,Kostentypen!$A$3:$E$21,3,0)=0,"",IF(OR(F118="Arbeidskosten",F118="Vergoeding"),VLOOKUP(G118,Tb_KostenTypen[],2,0),VLOOKUP(F118,Kostentypen!$A$3:$E$20,3,0))),"")</f>
        <v/>
      </c>
      <c r="O118" s="320" t="str" cm="1">
        <f t="array" ref="O118">_xlfn.IFNA(IF(INDEX(Tb_KostenOptiesDB[],MATCH($F118,Tb_KostenOptiesDB[KostenOptie],0),IFERROR(MATCH(Methode_Keuze,Tb_KostenOptiesDB[#Headers],0),2))=1,_xlfn.SWITCH($N118,"Uurtarief",IF(OR(AND(RIGHT($F118,3)="IKS",VLOOKUP($M118,DB_Loonkosten,2,0)="Ja"),AND(RIGHT($F118,3)&lt;&gt;"IKS",VLOOKUP($M118,DB_Loonkosten,2,0)="Nee")),IFERROR(VLOOKUP($M118,DB_Loonkosten,24,0),""),0),"Vast tarief",IF(LEFT(F118,8)="Bijdrage",VLOOKUP($F118,Tb_KostenTypen[],MATCH(Lijsten!$P$1,Tb_KostenTypen[#Headers],0),0),VLOOKUP($G118,Lijsten!L:P,MATCH(Lijsten!$P$1,Kop_Tarief_Vast,0),0))),""),"")</f>
        <v/>
      </c>
      <c r="P118" s="320" t="str" cm="1">
        <f t="array" ref="P118">_xlfn.IFNA(IF(INDEX(Tb_KostenOptiesDB[],MATCH($F118,Tb_KostenOptiesDB[KostenOptie],0),IFERROR(MATCH(Methode_Keuze,Tb_KostenOptiesDB[#Headers],0),2))=1,_xlfn.SWITCH($N118,"Uurtarief",IF(OR(AND(RIGHT($F118,3)="IKS",VLOOKUP($M118,DB_Loonkosten,2,0)="Ja"),AND(RIGHT($F118,3)&lt;&gt;"IKS",VLOOKUP($M118,DB_Loonkosten,2,0)="Nee")),IFERROR(VLOOKUP($M118,DB_Loonkosten,25,0),""),0),"Vast tarief",IF(LEFT(F118,8)="Bijdrage",VLOOKUP($F118,Tb_KostenTypen[],MATCH(Lijsten!$P$1,Tb_KostenTypen[#Headers],0),0),VLOOKUP($G118,Lijsten!L:P,MATCH(Lijsten!$P$1,Kop_Tarief_Vast,0),0))),""),"")</f>
        <v/>
      </c>
      <c r="Q118" s="359"/>
      <c r="R118" s="359"/>
      <c r="S118" s="321"/>
      <c r="T118" s="321"/>
      <c r="U118" s="373" t="str">
        <f t="shared" si="4"/>
        <v/>
      </c>
      <c r="V118" s="314" t="str">
        <f t="shared" si="5"/>
        <v/>
      </c>
      <c r="W118" s="314" t="str" cm="1">
        <f t="array" aca="1" ref="W118" ca="1">IFERROR(IF(AE118&lt;&gt;"ja",_xlfn.IFNA(_xlfn.IFS(AND(O118&lt;&gt;"",F118&lt;&gt;"",RIGHT($N118,6)="tarief",F118="Vergoeding"),SUM(O118)*FLOOR(SUM(Q118),0.0001),AND(O118&lt;&gt;"",F118&lt;&gt;"",RIGHT($N118,6)="tarief"),SUM(O118)*FLOOR(SUM(Q118),0.01),S118&gt;0,IF(F118&lt;&gt;"",FLOOR(SUM(S118),0.01),"")),""),""),"")</f>
        <v/>
      </c>
      <c r="X118" s="314" t="str" cm="1">
        <f t="array" aca="1" ref="X118" ca="1">IFERROR(IF(AE118&lt;&gt;"ja",_xlfn.IFNA(_xlfn.IFS(AND(P118&lt;&gt;"",R118&lt;&gt;"",RIGHT($N118,6)="tarief",F118="Vergoeding"),SUM(P118)*FLOOR(SUM(R118),0.0001),AND(P118&lt;&gt;"",R118&lt;&gt;"",RIGHT($N118,6)="tarief"),P118*FLOOR(R118,0.01),T118&gt;0,FLOOR(SUM(T118),0.01)),""),""),"")</f>
        <v/>
      </c>
      <c r="Y118" s="314" t="str">
        <f t="shared" ca="1" si="6"/>
        <v/>
      </c>
      <c r="Z118" s="314" t="str" cm="1">
        <f t="array" aca="1" ref="Z118" ca="1">IFERROR(_xlfn.IFS(OR(F118="",LEFT(Methode_Keuze,4)="Geen",Methode_Keuze=""),"",AND(W118&lt;&gt;"",F118&lt;&gt;"Arbeidskosten"),W118*VLOOKUP(F118,Tb_ProjectKosten[],MATCH(Tb_ProjectKosten[[#Headers],[Forfait_Percentage]],Tb_ProjectKosten[#Headers],0),0),AND(F118="Arbeidskosten",G118&lt;&gt;""),IFERROR(W118*VLOOKUP(G118,Tb_KostenTypen[],3,0)*VLOOKUP(F118,Tb_ProjectKosten[],MATCH(Tb_ProjectKosten[[#Headers],[Forfait_Percentage]],Tb_ProjectKosten[#Headers],0),0),""),W118 &lt;=0,0),"")</f>
        <v/>
      </c>
      <c r="AA118" s="314" t="str" cm="1">
        <f t="array" aca="1" ref="AA118" ca="1">IFERROR(_xlfn.IFS(OR(F118="",LEFT(Methode_Keuze,4)="Geen",Methode_Keuze=""),"",AND(X118&lt;&gt;"",F118&lt;&gt;"Arbeidskosten"),X118*VLOOKUP(F118,Tb_ProjectKosten[],MATCH(Tb_ProjectKosten[[#Headers],[Forfait_Percentage]],Tb_ProjectKosten[#Headers],0),0),AND(F118="Arbeidskosten",G118&lt;&gt;""),IFERROR(X118*VLOOKUP(G118,Tb_KostenTypen[],3,0)*VLOOKUP(F118,Tb_ProjectKosten[],MATCH(Tb_ProjectKosten[[#Headers],[Forfait_Percentage]],Tb_ProjectKosten[#Headers],0),0),""),X118 &lt;=0,0),"")</f>
        <v/>
      </c>
      <c r="AB118" s="314" t="str">
        <f t="shared" ca="1" si="7"/>
        <v/>
      </c>
      <c r="AC118" s="322"/>
      <c r="AD118" s="315"/>
      <c r="AE118" s="32" t="str" cm="1">
        <f t="array" ref="AE118">IFERROR(IF(INDEX(SubsidieTabel!$AD$1:$AG$12,MATCH($F118,SubsidieTabel!$AD$1:$AD$12,0),IFERROR(MATCH(Methode_Keuze,SubsidieTabel!$AD$1:$AG$1,0),2))&lt;&gt;1=TRUE,"ja",""),"")</f>
        <v/>
      </c>
    </row>
    <row r="119" spans="1:31" x14ac:dyDescent="0.25">
      <c r="A119" s="316"/>
      <c r="B119" s="317" t="str">
        <f>IF(A119&lt;&gt;"",_xlfn.MAXIFS($B$1:B118,$A$1:A118,A119)+1,"")</f>
        <v/>
      </c>
      <c r="C119" s="296"/>
      <c r="D119" s="296"/>
      <c r="E119" s="296"/>
      <c r="F119" s="296"/>
      <c r="G119" s="326"/>
      <c r="H119" s="324"/>
      <c r="I119" s="325"/>
      <c r="J119" s="325"/>
      <c r="K119" s="318"/>
      <c r="L119" s="318"/>
      <c r="M119" s="319" t="str">
        <f>IFERROR(VLOOKUP(H119,Lijsten!$H$1:$I$100,2,0),"")</f>
        <v/>
      </c>
      <c r="N119" s="319" t="str">
        <f ca="1">IFERROR(IF(VLOOKUP(F119,Kostentypen!$A$3:$E$21,3,0)=0,"",IF(OR(F119="Arbeidskosten",F119="Vergoeding"),VLOOKUP(G119,Tb_KostenTypen[],2,0),VLOOKUP(F119,Kostentypen!$A$3:$E$20,3,0))),"")</f>
        <v/>
      </c>
      <c r="O119" s="320" t="str" cm="1">
        <f t="array" ref="O119">_xlfn.IFNA(IF(INDEX(Tb_KostenOptiesDB[],MATCH($F119,Tb_KostenOptiesDB[KostenOptie],0),IFERROR(MATCH(Methode_Keuze,Tb_KostenOptiesDB[#Headers],0),2))=1,_xlfn.SWITCH($N119,"Uurtarief",IF(OR(AND(RIGHT($F119,3)="IKS",VLOOKUP($M119,DB_Loonkosten,2,0)="Ja"),AND(RIGHT($F119,3)&lt;&gt;"IKS",VLOOKUP($M119,DB_Loonkosten,2,0)="Nee")),IFERROR(VLOOKUP($M119,DB_Loonkosten,24,0),""),0),"Vast tarief",IF(LEFT(F119,8)="Bijdrage",VLOOKUP($F119,Tb_KostenTypen[],MATCH(Lijsten!$P$1,Tb_KostenTypen[#Headers],0),0),VLOOKUP($G119,Lijsten!L:P,MATCH(Lijsten!$P$1,Kop_Tarief_Vast,0),0))),""),"")</f>
        <v/>
      </c>
      <c r="P119" s="320" t="str" cm="1">
        <f t="array" ref="P119">_xlfn.IFNA(IF(INDEX(Tb_KostenOptiesDB[],MATCH($F119,Tb_KostenOptiesDB[KostenOptie],0),IFERROR(MATCH(Methode_Keuze,Tb_KostenOptiesDB[#Headers],0),2))=1,_xlfn.SWITCH($N119,"Uurtarief",IF(OR(AND(RIGHT($F119,3)="IKS",VLOOKUP($M119,DB_Loonkosten,2,0)="Ja"),AND(RIGHT($F119,3)&lt;&gt;"IKS",VLOOKUP($M119,DB_Loonkosten,2,0)="Nee")),IFERROR(VLOOKUP($M119,DB_Loonkosten,25,0),""),0),"Vast tarief",IF(LEFT(F119,8)="Bijdrage",VLOOKUP($F119,Tb_KostenTypen[],MATCH(Lijsten!$P$1,Tb_KostenTypen[#Headers],0),0),VLOOKUP($G119,Lijsten!L:P,MATCH(Lijsten!$P$1,Kop_Tarief_Vast,0),0))),""),"")</f>
        <v/>
      </c>
      <c r="Q119" s="359"/>
      <c r="R119" s="359"/>
      <c r="S119" s="321"/>
      <c r="T119" s="321"/>
      <c r="U119" s="373" t="str">
        <f t="shared" si="4"/>
        <v/>
      </c>
      <c r="V119" s="314" t="str">
        <f t="shared" si="5"/>
        <v/>
      </c>
      <c r="W119" s="314" t="str" cm="1">
        <f t="array" aca="1" ref="W119" ca="1">IFERROR(IF(AE119&lt;&gt;"ja",_xlfn.IFNA(_xlfn.IFS(AND(O119&lt;&gt;"",F119&lt;&gt;"",RIGHT($N119,6)="tarief",F119="Vergoeding"),SUM(O119)*FLOOR(SUM(Q119),0.0001),AND(O119&lt;&gt;"",F119&lt;&gt;"",RIGHT($N119,6)="tarief"),SUM(O119)*FLOOR(SUM(Q119),0.01),S119&gt;0,IF(F119&lt;&gt;"",FLOOR(SUM(S119),0.01),"")),""),""),"")</f>
        <v/>
      </c>
      <c r="X119" s="314" t="str" cm="1">
        <f t="array" aca="1" ref="X119" ca="1">IFERROR(IF(AE119&lt;&gt;"ja",_xlfn.IFNA(_xlfn.IFS(AND(P119&lt;&gt;"",R119&lt;&gt;"",RIGHT($N119,6)="tarief",F119="Vergoeding"),SUM(P119)*FLOOR(SUM(R119),0.0001),AND(P119&lt;&gt;"",R119&lt;&gt;"",RIGHT($N119,6)="tarief"),P119*FLOOR(R119,0.01),T119&gt;0,FLOOR(SUM(T119),0.01)),""),""),"")</f>
        <v/>
      </c>
      <c r="Y119" s="314" t="str">
        <f t="shared" ca="1" si="6"/>
        <v/>
      </c>
      <c r="Z119" s="314" t="str" cm="1">
        <f t="array" aca="1" ref="Z119" ca="1">IFERROR(_xlfn.IFS(OR(F119="",LEFT(Methode_Keuze,4)="Geen",Methode_Keuze=""),"",AND(W119&lt;&gt;"",F119&lt;&gt;"Arbeidskosten"),W119*VLOOKUP(F119,Tb_ProjectKosten[],MATCH(Tb_ProjectKosten[[#Headers],[Forfait_Percentage]],Tb_ProjectKosten[#Headers],0),0),AND(F119="Arbeidskosten",G119&lt;&gt;""),IFERROR(W119*VLOOKUP(G119,Tb_KostenTypen[],3,0)*VLOOKUP(F119,Tb_ProjectKosten[],MATCH(Tb_ProjectKosten[[#Headers],[Forfait_Percentage]],Tb_ProjectKosten[#Headers],0),0),""),W119 &lt;=0,0),"")</f>
        <v/>
      </c>
      <c r="AA119" s="314" t="str" cm="1">
        <f t="array" aca="1" ref="AA119" ca="1">IFERROR(_xlfn.IFS(OR(F119="",LEFT(Methode_Keuze,4)="Geen",Methode_Keuze=""),"",AND(X119&lt;&gt;"",F119&lt;&gt;"Arbeidskosten"),X119*VLOOKUP(F119,Tb_ProjectKosten[],MATCH(Tb_ProjectKosten[[#Headers],[Forfait_Percentage]],Tb_ProjectKosten[#Headers],0),0),AND(F119="Arbeidskosten",G119&lt;&gt;""),IFERROR(X119*VLOOKUP(G119,Tb_KostenTypen[],3,0)*VLOOKUP(F119,Tb_ProjectKosten[],MATCH(Tb_ProjectKosten[[#Headers],[Forfait_Percentage]],Tb_ProjectKosten[#Headers],0),0),""),X119 &lt;=0,0),"")</f>
        <v/>
      </c>
      <c r="AB119" s="314" t="str">
        <f t="shared" ca="1" si="7"/>
        <v/>
      </c>
      <c r="AC119" s="322"/>
      <c r="AD119" s="315"/>
      <c r="AE119" s="32" t="str" cm="1">
        <f t="array" ref="AE119">IFERROR(IF(INDEX(SubsidieTabel!$AD$1:$AG$12,MATCH($F119,SubsidieTabel!$AD$1:$AD$12,0),IFERROR(MATCH(Methode_Keuze,SubsidieTabel!$AD$1:$AG$1,0),2))&lt;&gt;1=TRUE,"ja",""),"")</f>
        <v/>
      </c>
    </row>
    <row r="120" spans="1:31" x14ac:dyDescent="0.25">
      <c r="A120" s="316"/>
      <c r="B120" s="317" t="str">
        <f>IF(A120&lt;&gt;"",_xlfn.MAXIFS($B$1:B119,$A$1:A119,A120)+1,"")</f>
        <v/>
      </c>
      <c r="C120" s="296"/>
      <c r="D120" s="296"/>
      <c r="E120" s="296"/>
      <c r="F120" s="296"/>
      <c r="G120" s="326"/>
      <c r="H120" s="324"/>
      <c r="I120" s="325"/>
      <c r="J120" s="325"/>
      <c r="K120" s="318"/>
      <c r="L120" s="318"/>
      <c r="M120" s="319" t="str">
        <f>IFERROR(VLOOKUP(H120,Lijsten!$H$1:$I$100,2,0),"")</f>
        <v/>
      </c>
      <c r="N120" s="319" t="str">
        <f ca="1">IFERROR(IF(VLOOKUP(F120,Kostentypen!$A$3:$E$21,3,0)=0,"",IF(OR(F120="Arbeidskosten",F120="Vergoeding"),VLOOKUP(G120,Tb_KostenTypen[],2,0),VLOOKUP(F120,Kostentypen!$A$3:$E$20,3,0))),"")</f>
        <v/>
      </c>
      <c r="O120" s="320" t="str" cm="1">
        <f t="array" ref="O120">_xlfn.IFNA(IF(INDEX(Tb_KostenOptiesDB[],MATCH($F120,Tb_KostenOptiesDB[KostenOptie],0),IFERROR(MATCH(Methode_Keuze,Tb_KostenOptiesDB[#Headers],0),2))=1,_xlfn.SWITCH($N120,"Uurtarief",IF(OR(AND(RIGHT($F120,3)="IKS",VLOOKUP($M120,DB_Loonkosten,2,0)="Ja"),AND(RIGHT($F120,3)&lt;&gt;"IKS",VLOOKUP($M120,DB_Loonkosten,2,0)="Nee")),IFERROR(VLOOKUP($M120,DB_Loonkosten,24,0),""),0),"Vast tarief",IF(LEFT(F120,8)="Bijdrage",VLOOKUP($F120,Tb_KostenTypen[],MATCH(Lijsten!$P$1,Tb_KostenTypen[#Headers],0),0),VLOOKUP($G120,Lijsten!L:P,MATCH(Lijsten!$P$1,Kop_Tarief_Vast,0),0))),""),"")</f>
        <v/>
      </c>
      <c r="P120" s="320" t="str" cm="1">
        <f t="array" ref="P120">_xlfn.IFNA(IF(INDEX(Tb_KostenOptiesDB[],MATCH($F120,Tb_KostenOptiesDB[KostenOptie],0),IFERROR(MATCH(Methode_Keuze,Tb_KostenOptiesDB[#Headers],0),2))=1,_xlfn.SWITCH($N120,"Uurtarief",IF(OR(AND(RIGHT($F120,3)="IKS",VLOOKUP($M120,DB_Loonkosten,2,0)="Ja"),AND(RIGHT($F120,3)&lt;&gt;"IKS",VLOOKUP($M120,DB_Loonkosten,2,0)="Nee")),IFERROR(VLOOKUP($M120,DB_Loonkosten,25,0),""),0),"Vast tarief",IF(LEFT(F120,8)="Bijdrage",VLOOKUP($F120,Tb_KostenTypen[],MATCH(Lijsten!$P$1,Tb_KostenTypen[#Headers],0),0),VLOOKUP($G120,Lijsten!L:P,MATCH(Lijsten!$P$1,Kop_Tarief_Vast,0),0))),""),"")</f>
        <v/>
      </c>
      <c r="Q120" s="359"/>
      <c r="R120" s="359"/>
      <c r="S120" s="321"/>
      <c r="T120" s="321"/>
      <c r="U120" s="373" t="str">
        <f t="shared" si="4"/>
        <v/>
      </c>
      <c r="V120" s="314" t="str">
        <f t="shared" si="5"/>
        <v/>
      </c>
      <c r="W120" s="314" t="str" cm="1">
        <f t="array" aca="1" ref="W120" ca="1">IFERROR(IF(AE120&lt;&gt;"ja",_xlfn.IFNA(_xlfn.IFS(AND(O120&lt;&gt;"",F120&lt;&gt;"",RIGHT($N120,6)="tarief",F120="Vergoeding"),SUM(O120)*FLOOR(SUM(Q120),0.0001),AND(O120&lt;&gt;"",F120&lt;&gt;"",RIGHT($N120,6)="tarief"),SUM(O120)*FLOOR(SUM(Q120),0.01),S120&gt;0,IF(F120&lt;&gt;"",FLOOR(SUM(S120),0.01),"")),""),""),"")</f>
        <v/>
      </c>
      <c r="X120" s="314" t="str" cm="1">
        <f t="array" aca="1" ref="X120" ca="1">IFERROR(IF(AE120&lt;&gt;"ja",_xlfn.IFNA(_xlfn.IFS(AND(P120&lt;&gt;"",R120&lt;&gt;"",RIGHT($N120,6)="tarief",F120="Vergoeding"),SUM(P120)*FLOOR(SUM(R120),0.0001),AND(P120&lt;&gt;"",R120&lt;&gt;"",RIGHT($N120,6)="tarief"),P120*FLOOR(R120,0.01),T120&gt;0,FLOOR(SUM(T120),0.01)),""),""),"")</f>
        <v/>
      </c>
      <c r="Y120" s="314" t="str">
        <f t="shared" ca="1" si="6"/>
        <v/>
      </c>
      <c r="Z120" s="314" t="str" cm="1">
        <f t="array" aca="1" ref="Z120" ca="1">IFERROR(_xlfn.IFS(OR(F120="",LEFT(Methode_Keuze,4)="Geen",Methode_Keuze=""),"",AND(W120&lt;&gt;"",F120&lt;&gt;"Arbeidskosten"),W120*VLOOKUP(F120,Tb_ProjectKosten[],MATCH(Tb_ProjectKosten[[#Headers],[Forfait_Percentage]],Tb_ProjectKosten[#Headers],0),0),AND(F120="Arbeidskosten",G120&lt;&gt;""),IFERROR(W120*VLOOKUP(G120,Tb_KostenTypen[],3,0)*VLOOKUP(F120,Tb_ProjectKosten[],MATCH(Tb_ProjectKosten[[#Headers],[Forfait_Percentage]],Tb_ProjectKosten[#Headers],0),0),""),W120 &lt;=0,0),"")</f>
        <v/>
      </c>
      <c r="AA120" s="314" t="str" cm="1">
        <f t="array" aca="1" ref="AA120" ca="1">IFERROR(_xlfn.IFS(OR(F120="",LEFT(Methode_Keuze,4)="Geen",Methode_Keuze=""),"",AND(X120&lt;&gt;"",F120&lt;&gt;"Arbeidskosten"),X120*VLOOKUP(F120,Tb_ProjectKosten[],MATCH(Tb_ProjectKosten[[#Headers],[Forfait_Percentage]],Tb_ProjectKosten[#Headers],0),0),AND(F120="Arbeidskosten",G120&lt;&gt;""),IFERROR(X120*VLOOKUP(G120,Tb_KostenTypen[],3,0)*VLOOKUP(F120,Tb_ProjectKosten[],MATCH(Tb_ProjectKosten[[#Headers],[Forfait_Percentage]],Tb_ProjectKosten[#Headers],0),0),""),X120 &lt;=0,0),"")</f>
        <v/>
      </c>
      <c r="AB120" s="314" t="str">
        <f t="shared" ca="1" si="7"/>
        <v/>
      </c>
      <c r="AC120" s="322"/>
      <c r="AD120" s="315"/>
      <c r="AE120" s="32" t="str" cm="1">
        <f t="array" ref="AE120">IFERROR(IF(INDEX(SubsidieTabel!$AD$1:$AG$12,MATCH($F120,SubsidieTabel!$AD$1:$AD$12,0),IFERROR(MATCH(Methode_Keuze,SubsidieTabel!$AD$1:$AG$1,0),2))&lt;&gt;1=TRUE,"ja",""),"")</f>
        <v/>
      </c>
    </row>
    <row r="121" spans="1:31" x14ac:dyDescent="0.25">
      <c r="A121" s="316"/>
      <c r="B121" s="317" t="str">
        <f>IF(A121&lt;&gt;"",_xlfn.MAXIFS($B$1:B120,$A$1:A120,A121)+1,"")</f>
        <v/>
      </c>
      <c r="C121" s="296"/>
      <c r="D121" s="296"/>
      <c r="E121" s="296"/>
      <c r="F121" s="296"/>
      <c r="G121" s="326"/>
      <c r="H121" s="324"/>
      <c r="I121" s="325"/>
      <c r="J121" s="325"/>
      <c r="K121" s="318"/>
      <c r="L121" s="318"/>
      <c r="M121" s="319" t="str">
        <f>IFERROR(VLOOKUP(H121,Lijsten!$H$1:$I$100,2,0),"")</f>
        <v/>
      </c>
      <c r="N121" s="319" t="str">
        <f ca="1">IFERROR(IF(VLOOKUP(F121,Kostentypen!$A$3:$E$21,3,0)=0,"",IF(OR(F121="Arbeidskosten",F121="Vergoeding"),VLOOKUP(G121,Tb_KostenTypen[],2,0),VLOOKUP(F121,Kostentypen!$A$3:$E$20,3,0))),"")</f>
        <v/>
      </c>
      <c r="O121" s="320" t="str" cm="1">
        <f t="array" ref="O121">_xlfn.IFNA(IF(INDEX(Tb_KostenOptiesDB[],MATCH($F121,Tb_KostenOptiesDB[KostenOptie],0),IFERROR(MATCH(Methode_Keuze,Tb_KostenOptiesDB[#Headers],0),2))=1,_xlfn.SWITCH($N121,"Uurtarief",IF(OR(AND(RIGHT($F121,3)="IKS",VLOOKUP($M121,DB_Loonkosten,2,0)="Ja"),AND(RIGHT($F121,3)&lt;&gt;"IKS",VLOOKUP($M121,DB_Loonkosten,2,0)="Nee")),IFERROR(VLOOKUP($M121,DB_Loonkosten,24,0),""),0),"Vast tarief",IF(LEFT(F121,8)="Bijdrage",VLOOKUP($F121,Tb_KostenTypen[],MATCH(Lijsten!$P$1,Tb_KostenTypen[#Headers],0),0),VLOOKUP($G121,Lijsten!L:P,MATCH(Lijsten!$P$1,Kop_Tarief_Vast,0),0))),""),"")</f>
        <v/>
      </c>
      <c r="P121" s="320" t="str" cm="1">
        <f t="array" ref="P121">_xlfn.IFNA(IF(INDEX(Tb_KostenOptiesDB[],MATCH($F121,Tb_KostenOptiesDB[KostenOptie],0),IFERROR(MATCH(Methode_Keuze,Tb_KostenOptiesDB[#Headers],0),2))=1,_xlfn.SWITCH($N121,"Uurtarief",IF(OR(AND(RIGHT($F121,3)="IKS",VLOOKUP($M121,DB_Loonkosten,2,0)="Ja"),AND(RIGHT($F121,3)&lt;&gt;"IKS",VLOOKUP($M121,DB_Loonkosten,2,0)="Nee")),IFERROR(VLOOKUP($M121,DB_Loonkosten,25,0),""),0),"Vast tarief",IF(LEFT(F121,8)="Bijdrage",VLOOKUP($F121,Tb_KostenTypen[],MATCH(Lijsten!$P$1,Tb_KostenTypen[#Headers],0),0),VLOOKUP($G121,Lijsten!L:P,MATCH(Lijsten!$P$1,Kop_Tarief_Vast,0),0))),""),"")</f>
        <v/>
      </c>
      <c r="Q121" s="359"/>
      <c r="R121" s="359"/>
      <c r="S121" s="321"/>
      <c r="T121" s="321"/>
      <c r="U121" s="373" t="str">
        <f t="shared" si="4"/>
        <v/>
      </c>
      <c r="V121" s="314" t="str">
        <f t="shared" si="5"/>
        <v/>
      </c>
      <c r="W121" s="314" t="str" cm="1">
        <f t="array" aca="1" ref="W121" ca="1">IFERROR(IF(AE121&lt;&gt;"ja",_xlfn.IFNA(_xlfn.IFS(AND(O121&lt;&gt;"",F121&lt;&gt;"",RIGHT($N121,6)="tarief",F121="Vergoeding"),SUM(O121)*FLOOR(SUM(Q121),0.0001),AND(O121&lt;&gt;"",F121&lt;&gt;"",RIGHT($N121,6)="tarief"),SUM(O121)*FLOOR(SUM(Q121),0.01),S121&gt;0,IF(F121&lt;&gt;"",FLOOR(SUM(S121),0.01),"")),""),""),"")</f>
        <v/>
      </c>
      <c r="X121" s="314" t="str" cm="1">
        <f t="array" aca="1" ref="X121" ca="1">IFERROR(IF(AE121&lt;&gt;"ja",_xlfn.IFNA(_xlfn.IFS(AND(P121&lt;&gt;"",R121&lt;&gt;"",RIGHT($N121,6)="tarief",F121="Vergoeding"),SUM(P121)*FLOOR(SUM(R121),0.0001),AND(P121&lt;&gt;"",R121&lt;&gt;"",RIGHT($N121,6)="tarief"),P121*FLOOR(R121,0.01),T121&gt;0,FLOOR(SUM(T121),0.01)),""),""),"")</f>
        <v/>
      </c>
      <c r="Y121" s="314" t="str">
        <f t="shared" ca="1" si="6"/>
        <v/>
      </c>
      <c r="Z121" s="314" t="str" cm="1">
        <f t="array" aca="1" ref="Z121" ca="1">IFERROR(_xlfn.IFS(OR(F121="",LEFT(Methode_Keuze,4)="Geen",Methode_Keuze=""),"",AND(W121&lt;&gt;"",F121&lt;&gt;"Arbeidskosten"),W121*VLOOKUP(F121,Tb_ProjectKosten[],MATCH(Tb_ProjectKosten[[#Headers],[Forfait_Percentage]],Tb_ProjectKosten[#Headers],0),0),AND(F121="Arbeidskosten",G121&lt;&gt;""),IFERROR(W121*VLOOKUP(G121,Tb_KostenTypen[],3,0)*VLOOKUP(F121,Tb_ProjectKosten[],MATCH(Tb_ProjectKosten[[#Headers],[Forfait_Percentage]],Tb_ProjectKosten[#Headers],0),0),""),W121 &lt;=0,0),"")</f>
        <v/>
      </c>
      <c r="AA121" s="314" t="str" cm="1">
        <f t="array" aca="1" ref="AA121" ca="1">IFERROR(_xlfn.IFS(OR(F121="",LEFT(Methode_Keuze,4)="Geen",Methode_Keuze=""),"",AND(X121&lt;&gt;"",F121&lt;&gt;"Arbeidskosten"),X121*VLOOKUP(F121,Tb_ProjectKosten[],MATCH(Tb_ProjectKosten[[#Headers],[Forfait_Percentage]],Tb_ProjectKosten[#Headers],0),0),AND(F121="Arbeidskosten",G121&lt;&gt;""),IFERROR(X121*VLOOKUP(G121,Tb_KostenTypen[],3,0)*VLOOKUP(F121,Tb_ProjectKosten[],MATCH(Tb_ProjectKosten[[#Headers],[Forfait_Percentage]],Tb_ProjectKosten[#Headers],0),0),""),X121 &lt;=0,0),"")</f>
        <v/>
      </c>
      <c r="AB121" s="314" t="str">
        <f t="shared" ca="1" si="7"/>
        <v/>
      </c>
      <c r="AC121" s="322"/>
      <c r="AD121" s="315"/>
      <c r="AE121" s="32" t="str" cm="1">
        <f t="array" ref="AE121">IFERROR(IF(INDEX(SubsidieTabel!$AD$1:$AG$12,MATCH($F121,SubsidieTabel!$AD$1:$AD$12,0),IFERROR(MATCH(Methode_Keuze,SubsidieTabel!$AD$1:$AG$1,0),2))&lt;&gt;1=TRUE,"ja",""),"")</f>
        <v/>
      </c>
    </row>
    <row r="122" spans="1:31" x14ac:dyDescent="0.25">
      <c r="A122" s="316"/>
      <c r="B122" s="317" t="str">
        <f>IF(A122&lt;&gt;"",_xlfn.MAXIFS($B$1:B121,$A$1:A121,A122)+1,"")</f>
        <v/>
      </c>
      <c r="C122" s="296"/>
      <c r="D122" s="296"/>
      <c r="E122" s="296"/>
      <c r="F122" s="296"/>
      <c r="G122" s="326"/>
      <c r="H122" s="324"/>
      <c r="I122" s="325"/>
      <c r="J122" s="325"/>
      <c r="K122" s="318"/>
      <c r="L122" s="318"/>
      <c r="M122" s="319" t="str">
        <f>IFERROR(VLOOKUP(H122,Lijsten!$H$1:$I$100,2,0),"")</f>
        <v/>
      </c>
      <c r="N122" s="319" t="str">
        <f ca="1">IFERROR(IF(VLOOKUP(F122,Kostentypen!$A$3:$E$21,3,0)=0,"",IF(OR(F122="Arbeidskosten",F122="Vergoeding"),VLOOKUP(G122,Tb_KostenTypen[],2,0),VLOOKUP(F122,Kostentypen!$A$3:$E$20,3,0))),"")</f>
        <v/>
      </c>
      <c r="O122" s="320" t="str" cm="1">
        <f t="array" ref="O122">_xlfn.IFNA(IF(INDEX(Tb_KostenOptiesDB[],MATCH($F122,Tb_KostenOptiesDB[KostenOptie],0),IFERROR(MATCH(Methode_Keuze,Tb_KostenOptiesDB[#Headers],0),2))=1,_xlfn.SWITCH($N122,"Uurtarief",IF(OR(AND(RIGHT($F122,3)="IKS",VLOOKUP($M122,DB_Loonkosten,2,0)="Ja"),AND(RIGHT($F122,3)&lt;&gt;"IKS",VLOOKUP($M122,DB_Loonkosten,2,0)="Nee")),IFERROR(VLOOKUP($M122,DB_Loonkosten,24,0),""),0),"Vast tarief",IF(LEFT(F122,8)="Bijdrage",VLOOKUP($F122,Tb_KostenTypen[],MATCH(Lijsten!$P$1,Tb_KostenTypen[#Headers],0),0),VLOOKUP($G122,Lijsten!L:P,MATCH(Lijsten!$P$1,Kop_Tarief_Vast,0),0))),""),"")</f>
        <v/>
      </c>
      <c r="P122" s="320" t="str" cm="1">
        <f t="array" ref="P122">_xlfn.IFNA(IF(INDEX(Tb_KostenOptiesDB[],MATCH($F122,Tb_KostenOptiesDB[KostenOptie],0),IFERROR(MATCH(Methode_Keuze,Tb_KostenOptiesDB[#Headers],0),2))=1,_xlfn.SWITCH($N122,"Uurtarief",IF(OR(AND(RIGHT($F122,3)="IKS",VLOOKUP($M122,DB_Loonkosten,2,0)="Ja"),AND(RIGHT($F122,3)&lt;&gt;"IKS",VLOOKUP($M122,DB_Loonkosten,2,0)="Nee")),IFERROR(VLOOKUP($M122,DB_Loonkosten,25,0),""),0),"Vast tarief",IF(LEFT(F122,8)="Bijdrage",VLOOKUP($F122,Tb_KostenTypen[],MATCH(Lijsten!$P$1,Tb_KostenTypen[#Headers],0),0),VLOOKUP($G122,Lijsten!L:P,MATCH(Lijsten!$P$1,Kop_Tarief_Vast,0),0))),""),"")</f>
        <v/>
      </c>
      <c r="Q122" s="359"/>
      <c r="R122" s="359"/>
      <c r="S122" s="321"/>
      <c r="T122" s="321"/>
      <c r="U122" s="373" t="str">
        <f t="shared" si="4"/>
        <v/>
      </c>
      <c r="V122" s="314" t="str">
        <f t="shared" si="5"/>
        <v/>
      </c>
      <c r="W122" s="314" t="str" cm="1">
        <f t="array" aca="1" ref="W122" ca="1">IFERROR(IF(AE122&lt;&gt;"ja",_xlfn.IFNA(_xlfn.IFS(AND(O122&lt;&gt;"",F122&lt;&gt;"",RIGHT($N122,6)="tarief",F122="Vergoeding"),SUM(O122)*FLOOR(SUM(Q122),0.0001),AND(O122&lt;&gt;"",F122&lt;&gt;"",RIGHT($N122,6)="tarief"),SUM(O122)*FLOOR(SUM(Q122),0.01),S122&gt;0,IF(F122&lt;&gt;"",FLOOR(SUM(S122),0.01),"")),""),""),"")</f>
        <v/>
      </c>
      <c r="X122" s="314" t="str" cm="1">
        <f t="array" aca="1" ref="X122" ca="1">IFERROR(IF(AE122&lt;&gt;"ja",_xlfn.IFNA(_xlfn.IFS(AND(P122&lt;&gt;"",R122&lt;&gt;"",RIGHT($N122,6)="tarief",F122="Vergoeding"),SUM(P122)*FLOOR(SUM(R122),0.0001),AND(P122&lt;&gt;"",R122&lt;&gt;"",RIGHT($N122,6)="tarief"),P122*FLOOR(R122,0.01),T122&gt;0,FLOOR(SUM(T122),0.01)),""),""),"")</f>
        <v/>
      </c>
      <c r="Y122" s="314" t="str">
        <f t="shared" ca="1" si="6"/>
        <v/>
      </c>
      <c r="Z122" s="314" t="str" cm="1">
        <f t="array" aca="1" ref="Z122" ca="1">IFERROR(_xlfn.IFS(OR(F122="",LEFT(Methode_Keuze,4)="Geen",Methode_Keuze=""),"",AND(W122&lt;&gt;"",F122&lt;&gt;"Arbeidskosten"),W122*VLOOKUP(F122,Tb_ProjectKosten[],MATCH(Tb_ProjectKosten[[#Headers],[Forfait_Percentage]],Tb_ProjectKosten[#Headers],0),0),AND(F122="Arbeidskosten",G122&lt;&gt;""),IFERROR(W122*VLOOKUP(G122,Tb_KostenTypen[],3,0)*VLOOKUP(F122,Tb_ProjectKosten[],MATCH(Tb_ProjectKosten[[#Headers],[Forfait_Percentage]],Tb_ProjectKosten[#Headers],0),0),""),W122 &lt;=0,0),"")</f>
        <v/>
      </c>
      <c r="AA122" s="314" t="str" cm="1">
        <f t="array" aca="1" ref="AA122" ca="1">IFERROR(_xlfn.IFS(OR(F122="",LEFT(Methode_Keuze,4)="Geen",Methode_Keuze=""),"",AND(X122&lt;&gt;"",F122&lt;&gt;"Arbeidskosten"),X122*VLOOKUP(F122,Tb_ProjectKosten[],MATCH(Tb_ProjectKosten[[#Headers],[Forfait_Percentage]],Tb_ProjectKosten[#Headers],0),0),AND(F122="Arbeidskosten",G122&lt;&gt;""),IFERROR(X122*VLOOKUP(G122,Tb_KostenTypen[],3,0)*VLOOKUP(F122,Tb_ProjectKosten[],MATCH(Tb_ProjectKosten[[#Headers],[Forfait_Percentage]],Tb_ProjectKosten[#Headers],0),0),""),X122 &lt;=0,0),"")</f>
        <v/>
      </c>
      <c r="AB122" s="314" t="str">
        <f t="shared" ca="1" si="7"/>
        <v/>
      </c>
      <c r="AC122" s="322"/>
      <c r="AD122" s="315"/>
      <c r="AE122" s="32" t="str" cm="1">
        <f t="array" ref="AE122">IFERROR(IF(INDEX(SubsidieTabel!$AD$1:$AG$12,MATCH($F122,SubsidieTabel!$AD$1:$AD$12,0),IFERROR(MATCH(Methode_Keuze,SubsidieTabel!$AD$1:$AG$1,0),2))&lt;&gt;1=TRUE,"ja",""),"")</f>
        <v/>
      </c>
    </row>
    <row r="123" spans="1:31" x14ac:dyDescent="0.25">
      <c r="A123" s="316"/>
      <c r="B123" s="317" t="str">
        <f>IF(A123&lt;&gt;"",_xlfn.MAXIFS($B$1:B122,$A$1:A122,A123)+1,"")</f>
        <v/>
      </c>
      <c r="C123" s="296"/>
      <c r="D123" s="296"/>
      <c r="E123" s="296"/>
      <c r="F123" s="296"/>
      <c r="G123" s="326"/>
      <c r="H123" s="324"/>
      <c r="I123" s="325"/>
      <c r="J123" s="325"/>
      <c r="K123" s="318"/>
      <c r="L123" s="318"/>
      <c r="M123" s="319" t="str">
        <f>IFERROR(VLOOKUP(H123,Lijsten!$H$1:$I$100,2,0),"")</f>
        <v/>
      </c>
      <c r="N123" s="319" t="str">
        <f ca="1">IFERROR(IF(VLOOKUP(F123,Kostentypen!$A$3:$E$21,3,0)=0,"",IF(OR(F123="Arbeidskosten",F123="Vergoeding"),VLOOKUP(G123,Tb_KostenTypen[],2,0),VLOOKUP(F123,Kostentypen!$A$3:$E$20,3,0))),"")</f>
        <v/>
      </c>
      <c r="O123" s="320" t="str" cm="1">
        <f t="array" ref="O123">_xlfn.IFNA(IF(INDEX(Tb_KostenOptiesDB[],MATCH($F123,Tb_KostenOptiesDB[KostenOptie],0),IFERROR(MATCH(Methode_Keuze,Tb_KostenOptiesDB[#Headers],0),2))=1,_xlfn.SWITCH($N123,"Uurtarief",IF(OR(AND(RIGHT($F123,3)="IKS",VLOOKUP($M123,DB_Loonkosten,2,0)="Ja"),AND(RIGHT($F123,3)&lt;&gt;"IKS",VLOOKUP($M123,DB_Loonkosten,2,0)="Nee")),IFERROR(VLOOKUP($M123,DB_Loonkosten,24,0),""),0),"Vast tarief",IF(LEFT(F123,8)="Bijdrage",VLOOKUP($F123,Tb_KostenTypen[],MATCH(Lijsten!$P$1,Tb_KostenTypen[#Headers],0),0),VLOOKUP($G123,Lijsten!L:P,MATCH(Lijsten!$P$1,Kop_Tarief_Vast,0),0))),""),"")</f>
        <v/>
      </c>
      <c r="P123" s="320" t="str" cm="1">
        <f t="array" ref="P123">_xlfn.IFNA(IF(INDEX(Tb_KostenOptiesDB[],MATCH($F123,Tb_KostenOptiesDB[KostenOptie],0),IFERROR(MATCH(Methode_Keuze,Tb_KostenOptiesDB[#Headers],0),2))=1,_xlfn.SWITCH($N123,"Uurtarief",IF(OR(AND(RIGHT($F123,3)="IKS",VLOOKUP($M123,DB_Loonkosten,2,0)="Ja"),AND(RIGHT($F123,3)&lt;&gt;"IKS",VLOOKUP($M123,DB_Loonkosten,2,0)="Nee")),IFERROR(VLOOKUP($M123,DB_Loonkosten,25,0),""),0),"Vast tarief",IF(LEFT(F123,8)="Bijdrage",VLOOKUP($F123,Tb_KostenTypen[],MATCH(Lijsten!$P$1,Tb_KostenTypen[#Headers],0),0),VLOOKUP($G123,Lijsten!L:P,MATCH(Lijsten!$P$1,Kop_Tarief_Vast,0),0))),""),"")</f>
        <v/>
      </c>
      <c r="Q123" s="359"/>
      <c r="R123" s="359"/>
      <c r="S123" s="321"/>
      <c r="T123" s="321"/>
      <c r="U123" s="373" t="str">
        <f t="shared" si="4"/>
        <v/>
      </c>
      <c r="V123" s="314" t="str">
        <f t="shared" si="5"/>
        <v/>
      </c>
      <c r="W123" s="314" t="str" cm="1">
        <f t="array" aca="1" ref="W123" ca="1">IFERROR(IF(AE123&lt;&gt;"ja",_xlfn.IFNA(_xlfn.IFS(AND(O123&lt;&gt;"",F123&lt;&gt;"",RIGHT($N123,6)="tarief",F123="Vergoeding"),SUM(O123)*FLOOR(SUM(Q123),0.0001),AND(O123&lt;&gt;"",F123&lt;&gt;"",RIGHT($N123,6)="tarief"),SUM(O123)*FLOOR(SUM(Q123),0.01),S123&gt;0,IF(F123&lt;&gt;"",FLOOR(SUM(S123),0.01),"")),""),""),"")</f>
        <v/>
      </c>
      <c r="X123" s="314" t="str" cm="1">
        <f t="array" aca="1" ref="X123" ca="1">IFERROR(IF(AE123&lt;&gt;"ja",_xlfn.IFNA(_xlfn.IFS(AND(P123&lt;&gt;"",R123&lt;&gt;"",RIGHT($N123,6)="tarief",F123="Vergoeding"),SUM(P123)*FLOOR(SUM(R123),0.0001),AND(P123&lt;&gt;"",R123&lt;&gt;"",RIGHT($N123,6)="tarief"),P123*FLOOR(R123,0.01),T123&gt;0,FLOOR(SUM(T123),0.01)),""),""),"")</f>
        <v/>
      </c>
      <c r="Y123" s="314" t="str">
        <f t="shared" ca="1" si="6"/>
        <v/>
      </c>
      <c r="Z123" s="314" t="str" cm="1">
        <f t="array" aca="1" ref="Z123" ca="1">IFERROR(_xlfn.IFS(OR(F123="",LEFT(Methode_Keuze,4)="Geen",Methode_Keuze=""),"",AND(W123&lt;&gt;"",F123&lt;&gt;"Arbeidskosten"),W123*VLOOKUP(F123,Tb_ProjectKosten[],MATCH(Tb_ProjectKosten[[#Headers],[Forfait_Percentage]],Tb_ProjectKosten[#Headers],0),0),AND(F123="Arbeidskosten",G123&lt;&gt;""),IFERROR(W123*VLOOKUP(G123,Tb_KostenTypen[],3,0)*VLOOKUP(F123,Tb_ProjectKosten[],MATCH(Tb_ProjectKosten[[#Headers],[Forfait_Percentage]],Tb_ProjectKosten[#Headers],0),0),""),W123 &lt;=0,0),"")</f>
        <v/>
      </c>
      <c r="AA123" s="314" t="str" cm="1">
        <f t="array" aca="1" ref="AA123" ca="1">IFERROR(_xlfn.IFS(OR(F123="",LEFT(Methode_Keuze,4)="Geen",Methode_Keuze=""),"",AND(X123&lt;&gt;"",F123&lt;&gt;"Arbeidskosten"),X123*VLOOKUP(F123,Tb_ProjectKosten[],MATCH(Tb_ProjectKosten[[#Headers],[Forfait_Percentage]],Tb_ProjectKosten[#Headers],0),0),AND(F123="Arbeidskosten",G123&lt;&gt;""),IFERROR(X123*VLOOKUP(G123,Tb_KostenTypen[],3,0)*VLOOKUP(F123,Tb_ProjectKosten[],MATCH(Tb_ProjectKosten[[#Headers],[Forfait_Percentage]],Tb_ProjectKosten[#Headers],0),0),""),X123 &lt;=0,0),"")</f>
        <v/>
      </c>
      <c r="AB123" s="314" t="str">
        <f t="shared" ca="1" si="7"/>
        <v/>
      </c>
      <c r="AC123" s="322"/>
      <c r="AD123" s="315"/>
      <c r="AE123" s="32" t="str" cm="1">
        <f t="array" ref="AE123">IFERROR(IF(INDEX(SubsidieTabel!$AD$1:$AG$12,MATCH($F123,SubsidieTabel!$AD$1:$AD$12,0),IFERROR(MATCH(Methode_Keuze,SubsidieTabel!$AD$1:$AG$1,0),2))&lt;&gt;1=TRUE,"ja",""),"")</f>
        <v/>
      </c>
    </row>
    <row r="124" spans="1:31" x14ac:dyDescent="0.25">
      <c r="A124" s="316"/>
      <c r="B124" s="317" t="str">
        <f>IF(A124&lt;&gt;"",_xlfn.MAXIFS($B$1:B123,$A$1:A123,A124)+1,"")</f>
        <v/>
      </c>
      <c r="C124" s="296"/>
      <c r="D124" s="296"/>
      <c r="E124" s="296"/>
      <c r="F124" s="296"/>
      <c r="G124" s="326"/>
      <c r="H124" s="324"/>
      <c r="I124" s="325"/>
      <c r="J124" s="325"/>
      <c r="K124" s="318"/>
      <c r="L124" s="318"/>
      <c r="M124" s="319" t="str">
        <f>IFERROR(VLOOKUP(H124,Lijsten!$H$1:$I$100,2,0),"")</f>
        <v/>
      </c>
      <c r="N124" s="319" t="str">
        <f ca="1">IFERROR(IF(VLOOKUP(F124,Kostentypen!$A$3:$E$21,3,0)=0,"",IF(OR(F124="Arbeidskosten",F124="Vergoeding"),VLOOKUP(G124,Tb_KostenTypen[],2,0),VLOOKUP(F124,Kostentypen!$A$3:$E$20,3,0))),"")</f>
        <v/>
      </c>
      <c r="O124" s="320" t="str" cm="1">
        <f t="array" ref="O124">_xlfn.IFNA(IF(INDEX(Tb_KostenOptiesDB[],MATCH($F124,Tb_KostenOptiesDB[KostenOptie],0),IFERROR(MATCH(Methode_Keuze,Tb_KostenOptiesDB[#Headers],0),2))=1,_xlfn.SWITCH($N124,"Uurtarief",IF(OR(AND(RIGHT($F124,3)="IKS",VLOOKUP($M124,DB_Loonkosten,2,0)="Ja"),AND(RIGHT($F124,3)&lt;&gt;"IKS",VLOOKUP($M124,DB_Loonkosten,2,0)="Nee")),IFERROR(VLOOKUP($M124,DB_Loonkosten,24,0),""),0),"Vast tarief",IF(LEFT(F124,8)="Bijdrage",VLOOKUP($F124,Tb_KostenTypen[],MATCH(Lijsten!$P$1,Tb_KostenTypen[#Headers],0),0),VLOOKUP($G124,Lijsten!L:P,MATCH(Lijsten!$P$1,Kop_Tarief_Vast,0),0))),""),"")</f>
        <v/>
      </c>
      <c r="P124" s="320" t="str" cm="1">
        <f t="array" ref="P124">_xlfn.IFNA(IF(INDEX(Tb_KostenOptiesDB[],MATCH($F124,Tb_KostenOptiesDB[KostenOptie],0),IFERROR(MATCH(Methode_Keuze,Tb_KostenOptiesDB[#Headers],0),2))=1,_xlfn.SWITCH($N124,"Uurtarief",IF(OR(AND(RIGHT($F124,3)="IKS",VLOOKUP($M124,DB_Loonkosten,2,0)="Ja"),AND(RIGHT($F124,3)&lt;&gt;"IKS",VLOOKUP($M124,DB_Loonkosten,2,0)="Nee")),IFERROR(VLOOKUP($M124,DB_Loonkosten,25,0),""),0),"Vast tarief",IF(LEFT(F124,8)="Bijdrage",VLOOKUP($F124,Tb_KostenTypen[],MATCH(Lijsten!$P$1,Tb_KostenTypen[#Headers],0),0),VLOOKUP($G124,Lijsten!L:P,MATCH(Lijsten!$P$1,Kop_Tarief_Vast,0),0))),""),"")</f>
        <v/>
      </c>
      <c r="Q124" s="359"/>
      <c r="R124" s="359"/>
      <c r="S124" s="321"/>
      <c r="T124" s="321"/>
      <c r="U124" s="373" t="str">
        <f t="shared" si="4"/>
        <v/>
      </c>
      <c r="V124" s="314" t="str">
        <f t="shared" si="5"/>
        <v/>
      </c>
      <c r="W124" s="314" t="str" cm="1">
        <f t="array" aca="1" ref="W124" ca="1">IFERROR(IF(AE124&lt;&gt;"ja",_xlfn.IFNA(_xlfn.IFS(AND(O124&lt;&gt;"",F124&lt;&gt;"",RIGHT($N124,6)="tarief",F124="Vergoeding"),SUM(O124)*FLOOR(SUM(Q124),0.0001),AND(O124&lt;&gt;"",F124&lt;&gt;"",RIGHT($N124,6)="tarief"),SUM(O124)*FLOOR(SUM(Q124),0.01),S124&gt;0,IF(F124&lt;&gt;"",FLOOR(SUM(S124),0.01),"")),""),""),"")</f>
        <v/>
      </c>
      <c r="X124" s="314" t="str" cm="1">
        <f t="array" aca="1" ref="X124" ca="1">IFERROR(IF(AE124&lt;&gt;"ja",_xlfn.IFNA(_xlfn.IFS(AND(P124&lt;&gt;"",R124&lt;&gt;"",RIGHT($N124,6)="tarief",F124="Vergoeding"),SUM(P124)*FLOOR(SUM(R124),0.0001),AND(P124&lt;&gt;"",R124&lt;&gt;"",RIGHT($N124,6)="tarief"),P124*FLOOR(R124,0.01),T124&gt;0,FLOOR(SUM(T124),0.01)),""),""),"")</f>
        <v/>
      </c>
      <c r="Y124" s="314" t="str">
        <f t="shared" ca="1" si="6"/>
        <v/>
      </c>
      <c r="Z124" s="314" t="str" cm="1">
        <f t="array" aca="1" ref="Z124" ca="1">IFERROR(_xlfn.IFS(OR(F124="",LEFT(Methode_Keuze,4)="Geen",Methode_Keuze=""),"",AND(W124&lt;&gt;"",F124&lt;&gt;"Arbeidskosten"),W124*VLOOKUP(F124,Tb_ProjectKosten[],MATCH(Tb_ProjectKosten[[#Headers],[Forfait_Percentage]],Tb_ProjectKosten[#Headers],0),0),AND(F124="Arbeidskosten",G124&lt;&gt;""),IFERROR(W124*VLOOKUP(G124,Tb_KostenTypen[],3,0)*VLOOKUP(F124,Tb_ProjectKosten[],MATCH(Tb_ProjectKosten[[#Headers],[Forfait_Percentage]],Tb_ProjectKosten[#Headers],0),0),""),W124 &lt;=0,0),"")</f>
        <v/>
      </c>
      <c r="AA124" s="314" t="str" cm="1">
        <f t="array" aca="1" ref="AA124" ca="1">IFERROR(_xlfn.IFS(OR(F124="",LEFT(Methode_Keuze,4)="Geen",Methode_Keuze=""),"",AND(X124&lt;&gt;"",F124&lt;&gt;"Arbeidskosten"),X124*VLOOKUP(F124,Tb_ProjectKosten[],MATCH(Tb_ProjectKosten[[#Headers],[Forfait_Percentage]],Tb_ProjectKosten[#Headers],0),0),AND(F124="Arbeidskosten",G124&lt;&gt;""),IFERROR(X124*VLOOKUP(G124,Tb_KostenTypen[],3,0)*VLOOKUP(F124,Tb_ProjectKosten[],MATCH(Tb_ProjectKosten[[#Headers],[Forfait_Percentage]],Tb_ProjectKosten[#Headers],0),0),""),X124 &lt;=0,0),"")</f>
        <v/>
      </c>
      <c r="AB124" s="314" t="str">
        <f t="shared" ca="1" si="7"/>
        <v/>
      </c>
      <c r="AC124" s="322"/>
      <c r="AD124" s="315"/>
      <c r="AE124" s="32" t="str" cm="1">
        <f t="array" ref="AE124">IFERROR(IF(INDEX(SubsidieTabel!$AD$1:$AG$12,MATCH($F124,SubsidieTabel!$AD$1:$AD$12,0),IFERROR(MATCH(Methode_Keuze,SubsidieTabel!$AD$1:$AG$1,0),2))&lt;&gt;1=TRUE,"ja",""),"")</f>
        <v/>
      </c>
    </row>
    <row r="125" spans="1:31" x14ac:dyDescent="0.25">
      <c r="A125" s="316"/>
      <c r="B125" s="317" t="str">
        <f>IF(A125&lt;&gt;"",_xlfn.MAXIFS($B$1:B124,$A$1:A124,A125)+1,"")</f>
        <v/>
      </c>
      <c r="C125" s="296"/>
      <c r="D125" s="296"/>
      <c r="E125" s="296"/>
      <c r="F125" s="296"/>
      <c r="G125" s="326"/>
      <c r="H125" s="324"/>
      <c r="I125" s="325"/>
      <c r="J125" s="325"/>
      <c r="K125" s="318"/>
      <c r="L125" s="318"/>
      <c r="M125" s="319" t="str">
        <f>IFERROR(VLOOKUP(H125,Lijsten!$H$1:$I$100,2,0),"")</f>
        <v/>
      </c>
      <c r="N125" s="319" t="str">
        <f ca="1">IFERROR(IF(VLOOKUP(F125,Kostentypen!$A$3:$E$21,3,0)=0,"",IF(OR(F125="Arbeidskosten",F125="Vergoeding"),VLOOKUP(G125,Tb_KostenTypen[],2,0),VLOOKUP(F125,Kostentypen!$A$3:$E$20,3,0))),"")</f>
        <v/>
      </c>
      <c r="O125" s="320" t="str" cm="1">
        <f t="array" ref="O125">_xlfn.IFNA(IF(INDEX(Tb_KostenOptiesDB[],MATCH($F125,Tb_KostenOptiesDB[KostenOptie],0),IFERROR(MATCH(Methode_Keuze,Tb_KostenOptiesDB[#Headers],0),2))=1,_xlfn.SWITCH($N125,"Uurtarief",IF(OR(AND(RIGHT($F125,3)="IKS",VLOOKUP($M125,DB_Loonkosten,2,0)="Ja"),AND(RIGHT($F125,3)&lt;&gt;"IKS",VLOOKUP($M125,DB_Loonkosten,2,0)="Nee")),IFERROR(VLOOKUP($M125,DB_Loonkosten,24,0),""),0),"Vast tarief",IF(LEFT(F125,8)="Bijdrage",VLOOKUP($F125,Tb_KostenTypen[],MATCH(Lijsten!$P$1,Tb_KostenTypen[#Headers],0),0),VLOOKUP($G125,Lijsten!L:P,MATCH(Lijsten!$P$1,Kop_Tarief_Vast,0),0))),""),"")</f>
        <v/>
      </c>
      <c r="P125" s="320" t="str" cm="1">
        <f t="array" ref="P125">_xlfn.IFNA(IF(INDEX(Tb_KostenOptiesDB[],MATCH($F125,Tb_KostenOptiesDB[KostenOptie],0),IFERROR(MATCH(Methode_Keuze,Tb_KostenOptiesDB[#Headers],0),2))=1,_xlfn.SWITCH($N125,"Uurtarief",IF(OR(AND(RIGHT($F125,3)="IKS",VLOOKUP($M125,DB_Loonkosten,2,0)="Ja"),AND(RIGHT($F125,3)&lt;&gt;"IKS",VLOOKUP($M125,DB_Loonkosten,2,0)="Nee")),IFERROR(VLOOKUP($M125,DB_Loonkosten,25,0),""),0),"Vast tarief",IF(LEFT(F125,8)="Bijdrage",VLOOKUP($F125,Tb_KostenTypen[],MATCH(Lijsten!$P$1,Tb_KostenTypen[#Headers],0),0),VLOOKUP($G125,Lijsten!L:P,MATCH(Lijsten!$P$1,Kop_Tarief_Vast,0),0))),""),"")</f>
        <v/>
      </c>
      <c r="Q125" s="359"/>
      <c r="R125" s="359"/>
      <c r="S125" s="321"/>
      <c r="T125" s="321"/>
      <c r="U125" s="373" t="str">
        <f t="shared" si="4"/>
        <v/>
      </c>
      <c r="V125" s="314" t="str">
        <f t="shared" si="5"/>
        <v/>
      </c>
      <c r="W125" s="314" t="str" cm="1">
        <f t="array" aca="1" ref="W125" ca="1">IFERROR(IF(AE125&lt;&gt;"ja",_xlfn.IFNA(_xlfn.IFS(AND(O125&lt;&gt;"",F125&lt;&gt;"",RIGHT($N125,6)="tarief",F125="Vergoeding"),SUM(O125)*FLOOR(SUM(Q125),0.0001),AND(O125&lt;&gt;"",F125&lt;&gt;"",RIGHT($N125,6)="tarief"),SUM(O125)*FLOOR(SUM(Q125),0.01),S125&gt;0,IF(F125&lt;&gt;"",FLOOR(SUM(S125),0.01),"")),""),""),"")</f>
        <v/>
      </c>
      <c r="X125" s="314" t="str" cm="1">
        <f t="array" aca="1" ref="X125" ca="1">IFERROR(IF(AE125&lt;&gt;"ja",_xlfn.IFNA(_xlfn.IFS(AND(P125&lt;&gt;"",R125&lt;&gt;"",RIGHT($N125,6)="tarief",F125="Vergoeding"),SUM(P125)*FLOOR(SUM(R125),0.0001),AND(P125&lt;&gt;"",R125&lt;&gt;"",RIGHT($N125,6)="tarief"),P125*FLOOR(R125,0.01),T125&gt;0,FLOOR(SUM(T125),0.01)),""),""),"")</f>
        <v/>
      </c>
      <c r="Y125" s="314" t="str">
        <f t="shared" ca="1" si="6"/>
        <v/>
      </c>
      <c r="Z125" s="314" t="str" cm="1">
        <f t="array" aca="1" ref="Z125" ca="1">IFERROR(_xlfn.IFS(OR(F125="",LEFT(Methode_Keuze,4)="Geen",Methode_Keuze=""),"",AND(W125&lt;&gt;"",F125&lt;&gt;"Arbeidskosten"),W125*VLOOKUP(F125,Tb_ProjectKosten[],MATCH(Tb_ProjectKosten[[#Headers],[Forfait_Percentage]],Tb_ProjectKosten[#Headers],0),0),AND(F125="Arbeidskosten",G125&lt;&gt;""),IFERROR(W125*VLOOKUP(G125,Tb_KostenTypen[],3,0)*VLOOKUP(F125,Tb_ProjectKosten[],MATCH(Tb_ProjectKosten[[#Headers],[Forfait_Percentage]],Tb_ProjectKosten[#Headers],0),0),""),W125 &lt;=0,0),"")</f>
        <v/>
      </c>
      <c r="AA125" s="314" t="str" cm="1">
        <f t="array" aca="1" ref="AA125" ca="1">IFERROR(_xlfn.IFS(OR(F125="",LEFT(Methode_Keuze,4)="Geen",Methode_Keuze=""),"",AND(X125&lt;&gt;"",F125&lt;&gt;"Arbeidskosten"),X125*VLOOKUP(F125,Tb_ProjectKosten[],MATCH(Tb_ProjectKosten[[#Headers],[Forfait_Percentage]],Tb_ProjectKosten[#Headers],0),0),AND(F125="Arbeidskosten",G125&lt;&gt;""),IFERROR(X125*VLOOKUP(G125,Tb_KostenTypen[],3,0)*VLOOKUP(F125,Tb_ProjectKosten[],MATCH(Tb_ProjectKosten[[#Headers],[Forfait_Percentage]],Tb_ProjectKosten[#Headers],0),0),""),X125 &lt;=0,0),"")</f>
        <v/>
      </c>
      <c r="AB125" s="314" t="str">
        <f t="shared" ca="1" si="7"/>
        <v/>
      </c>
      <c r="AC125" s="322"/>
      <c r="AD125" s="315"/>
      <c r="AE125" s="32" t="str" cm="1">
        <f t="array" ref="AE125">IFERROR(IF(INDEX(SubsidieTabel!$AD$1:$AG$12,MATCH($F125,SubsidieTabel!$AD$1:$AD$12,0),IFERROR(MATCH(Methode_Keuze,SubsidieTabel!$AD$1:$AG$1,0),2))&lt;&gt;1=TRUE,"ja",""),"")</f>
        <v/>
      </c>
    </row>
    <row r="126" spans="1:31" x14ac:dyDescent="0.25">
      <c r="A126" s="316"/>
      <c r="B126" s="317" t="str">
        <f>IF(A126&lt;&gt;"",_xlfn.MAXIFS($B$1:B125,$A$1:A125,A126)+1,"")</f>
        <v/>
      </c>
      <c r="C126" s="296"/>
      <c r="D126" s="296"/>
      <c r="E126" s="296"/>
      <c r="F126" s="296"/>
      <c r="G126" s="326"/>
      <c r="H126" s="324"/>
      <c r="I126" s="325"/>
      <c r="J126" s="325"/>
      <c r="K126" s="318"/>
      <c r="L126" s="318"/>
      <c r="M126" s="319" t="str">
        <f>IFERROR(VLOOKUP(H126,Lijsten!$H$1:$I$100,2,0),"")</f>
        <v/>
      </c>
      <c r="N126" s="319" t="str">
        <f ca="1">IFERROR(IF(VLOOKUP(F126,Kostentypen!$A$3:$E$21,3,0)=0,"",IF(OR(F126="Arbeidskosten",F126="Vergoeding"),VLOOKUP(G126,Tb_KostenTypen[],2,0),VLOOKUP(F126,Kostentypen!$A$3:$E$20,3,0))),"")</f>
        <v/>
      </c>
      <c r="O126" s="320" t="str" cm="1">
        <f t="array" ref="O126">_xlfn.IFNA(IF(INDEX(Tb_KostenOptiesDB[],MATCH($F126,Tb_KostenOptiesDB[KostenOptie],0),IFERROR(MATCH(Methode_Keuze,Tb_KostenOptiesDB[#Headers],0),2))=1,_xlfn.SWITCH($N126,"Uurtarief",IF(OR(AND(RIGHT($F126,3)="IKS",VLOOKUP($M126,DB_Loonkosten,2,0)="Ja"),AND(RIGHT($F126,3)&lt;&gt;"IKS",VLOOKUP($M126,DB_Loonkosten,2,0)="Nee")),IFERROR(VLOOKUP($M126,DB_Loonkosten,24,0),""),0),"Vast tarief",IF(LEFT(F126,8)="Bijdrage",VLOOKUP($F126,Tb_KostenTypen[],MATCH(Lijsten!$P$1,Tb_KostenTypen[#Headers],0),0),VLOOKUP($G126,Lijsten!L:P,MATCH(Lijsten!$P$1,Kop_Tarief_Vast,0),0))),""),"")</f>
        <v/>
      </c>
      <c r="P126" s="320" t="str" cm="1">
        <f t="array" ref="P126">_xlfn.IFNA(IF(INDEX(Tb_KostenOptiesDB[],MATCH($F126,Tb_KostenOptiesDB[KostenOptie],0),IFERROR(MATCH(Methode_Keuze,Tb_KostenOptiesDB[#Headers],0),2))=1,_xlfn.SWITCH($N126,"Uurtarief",IF(OR(AND(RIGHT($F126,3)="IKS",VLOOKUP($M126,DB_Loonkosten,2,0)="Ja"),AND(RIGHT($F126,3)&lt;&gt;"IKS",VLOOKUP($M126,DB_Loonkosten,2,0)="Nee")),IFERROR(VLOOKUP($M126,DB_Loonkosten,25,0),""),0),"Vast tarief",IF(LEFT(F126,8)="Bijdrage",VLOOKUP($F126,Tb_KostenTypen[],MATCH(Lijsten!$P$1,Tb_KostenTypen[#Headers],0),0),VLOOKUP($G126,Lijsten!L:P,MATCH(Lijsten!$P$1,Kop_Tarief_Vast,0),0))),""),"")</f>
        <v/>
      </c>
      <c r="Q126" s="359"/>
      <c r="R126" s="359"/>
      <c r="S126" s="321"/>
      <c r="T126" s="321"/>
      <c r="U126" s="373" t="str">
        <f t="shared" si="4"/>
        <v/>
      </c>
      <c r="V126" s="314" t="str">
        <f t="shared" si="5"/>
        <v/>
      </c>
      <c r="W126" s="314" t="str" cm="1">
        <f t="array" aca="1" ref="W126" ca="1">IFERROR(IF(AE126&lt;&gt;"ja",_xlfn.IFNA(_xlfn.IFS(AND(O126&lt;&gt;"",F126&lt;&gt;"",RIGHT($N126,6)="tarief",F126="Vergoeding"),SUM(O126)*FLOOR(SUM(Q126),0.0001),AND(O126&lt;&gt;"",F126&lt;&gt;"",RIGHT($N126,6)="tarief"),SUM(O126)*FLOOR(SUM(Q126),0.01),S126&gt;0,IF(F126&lt;&gt;"",FLOOR(SUM(S126),0.01),"")),""),""),"")</f>
        <v/>
      </c>
      <c r="X126" s="314" t="str" cm="1">
        <f t="array" aca="1" ref="X126" ca="1">IFERROR(IF(AE126&lt;&gt;"ja",_xlfn.IFNA(_xlfn.IFS(AND(P126&lt;&gt;"",R126&lt;&gt;"",RIGHT($N126,6)="tarief",F126="Vergoeding"),SUM(P126)*FLOOR(SUM(R126),0.0001),AND(P126&lt;&gt;"",R126&lt;&gt;"",RIGHT($N126,6)="tarief"),P126*FLOOR(R126,0.01),T126&gt;0,FLOOR(SUM(T126),0.01)),""),""),"")</f>
        <v/>
      </c>
      <c r="Y126" s="314" t="str">
        <f t="shared" ca="1" si="6"/>
        <v/>
      </c>
      <c r="Z126" s="314" t="str" cm="1">
        <f t="array" aca="1" ref="Z126" ca="1">IFERROR(_xlfn.IFS(OR(F126="",LEFT(Methode_Keuze,4)="Geen",Methode_Keuze=""),"",AND(W126&lt;&gt;"",F126&lt;&gt;"Arbeidskosten"),W126*VLOOKUP(F126,Tb_ProjectKosten[],MATCH(Tb_ProjectKosten[[#Headers],[Forfait_Percentage]],Tb_ProjectKosten[#Headers],0),0),AND(F126="Arbeidskosten",G126&lt;&gt;""),IFERROR(W126*VLOOKUP(G126,Tb_KostenTypen[],3,0)*VLOOKUP(F126,Tb_ProjectKosten[],MATCH(Tb_ProjectKosten[[#Headers],[Forfait_Percentage]],Tb_ProjectKosten[#Headers],0),0),""),W126 &lt;=0,0),"")</f>
        <v/>
      </c>
      <c r="AA126" s="314" t="str" cm="1">
        <f t="array" aca="1" ref="AA126" ca="1">IFERROR(_xlfn.IFS(OR(F126="",LEFT(Methode_Keuze,4)="Geen",Methode_Keuze=""),"",AND(X126&lt;&gt;"",F126&lt;&gt;"Arbeidskosten"),X126*VLOOKUP(F126,Tb_ProjectKosten[],MATCH(Tb_ProjectKosten[[#Headers],[Forfait_Percentage]],Tb_ProjectKosten[#Headers],0),0),AND(F126="Arbeidskosten",G126&lt;&gt;""),IFERROR(X126*VLOOKUP(G126,Tb_KostenTypen[],3,0)*VLOOKUP(F126,Tb_ProjectKosten[],MATCH(Tb_ProjectKosten[[#Headers],[Forfait_Percentage]],Tb_ProjectKosten[#Headers],0),0),""),X126 &lt;=0,0),"")</f>
        <v/>
      </c>
      <c r="AB126" s="314" t="str">
        <f t="shared" ca="1" si="7"/>
        <v/>
      </c>
      <c r="AC126" s="322"/>
      <c r="AD126" s="315"/>
      <c r="AE126" s="32" t="str" cm="1">
        <f t="array" ref="AE126">IFERROR(IF(INDEX(SubsidieTabel!$AD$1:$AG$12,MATCH($F126,SubsidieTabel!$AD$1:$AD$12,0),IFERROR(MATCH(Methode_Keuze,SubsidieTabel!$AD$1:$AG$1,0),2))&lt;&gt;1=TRUE,"ja",""),"")</f>
        <v/>
      </c>
    </row>
    <row r="127" spans="1:31" x14ac:dyDescent="0.25">
      <c r="A127" s="316"/>
      <c r="B127" s="317" t="str">
        <f>IF(A127&lt;&gt;"",_xlfn.MAXIFS($B$1:B126,$A$1:A126,A127)+1,"")</f>
        <v/>
      </c>
      <c r="C127" s="296"/>
      <c r="D127" s="296"/>
      <c r="E127" s="296"/>
      <c r="F127" s="296"/>
      <c r="G127" s="326"/>
      <c r="H127" s="324"/>
      <c r="I127" s="325"/>
      <c r="J127" s="325"/>
      <c r="K127" s="318"/>
      <c r="L127" s="318"/>
      <c r="M127" s="319" t="str">
        <f>IFERROR(VLOOKUP(H127,Lijsten!$H$1:$I$100,2,0),"")</f>
        <v/>
      </c>
      <c r="N127" s="319" t="str">
        <f ca="1">IFERROR(IF(VLOOKUP(F127,Kostentypen!$A$3:$E$21,3,0)=0,"",IF(OR(F127="Arbeidskosten",F127="Vergoeding"),VLOOKUP(G127,Tb_KostenTypen[],2,0),VLOOKUP(F127,Kostentypen!$A$3:$E$20,3,0))),"")</f>
        <v/>
      </c>
      <c r="O127" s="320" t="str" cm="1">
        <f t="array" ref="O127">_xlfn.IFNA(IF(INDEX(Tb_KostenOptiesDB[],MATCH($F127,Tb_KostenOptiesDB[KostenOptie],0),IFERROR(MATCH(Methode_Keuze,Tb_KostenOptiesDB[#Headers],0),2))=1,_xlfn.SWITCH($N127,"Uurtarief",IF(OR(AND(RIGHT($F127,3)="IKS",VLOOKUP($M127,DB_Loonkosten,2,0)="Ja"),AND(RIGHT($F127,3)&lt;&gt;"IKS",VLOOKUP($M127,DB_Loonkosten,2,0)="Nee")),IFERROR(VLOOKUP($M127,DB_Loonkosten,24,0),""),0),"Vast tarief",IF(LEFT(F127,8)="Bijdrage",VLOOKUP($F127,Tb_KostenTypen[],MATCH(Lijsten!$P$1,Tb_KostenTypen[#Headers],0),0),VLOOKUP($G127,Lijsten!L:P,MATCH(Lijsten!$P$1,Kop_Tarief_Vast,0),0))),""),"")</f>
        <v/>
      </c>
      <c r="P127" s="320" t="str" cm="1">
        <f t="array" ref="P127">_xlfn.IFNA(IF(INDEX(Tb_KostenOptiesDB[],MATCH($F127,Tb_KostenOptiesDB[KostenOptie],0),IFERROR(MATCH(Methode_Keuze,Tb_KostenOptiesDB[#Headers],0),2))=1,_xlfn.SWITCH($N127,"Uurtarief",IF(OR(AND(RIGHT($F127,3)="IKS",VLOOKUP($M127,DB_Loonkosten,2,0)="Ja"),AND(RIGHT($F127,3)&lt;&gt;"IKS",VLOOKUP($M127,DB_Loonkosten,2,0)="Nee")),IFERROR(VLOOKUP($M127,DB_Loonkosten,25,0),""),0),"Vast tarief",IF(LEFT(F127,8)="Bijdrage",VLOOKUP($F127,Tb_KostenTypen[],MATCH(Lijsten!$P$1,Tb_KostenTypen[#Headers],0),0),VLOOKUP($G127,Lijsten!L:P,MATCH(Lijsten!$P$1,Kop_Tarief_Vast,0),0))),""),"")</f>
        <v/>
      </c>
      <c r="Q127" s="359"/>
      <c r="R127" s="359"/>
      <c r="S127" s="321"/>
      <c r="T127" s="321"/>
      <c r="U127" s="373" t="str">
        <f t="shared" si="4"/>
        <v/>
      </c>
      <c r="V127" s="314" t="str">
        <f t="shared" si="5"/>
        <v/>
      </c>
      <c r="W127" s="314" t="str" cm="1">
        <f t="array" aca="1" ref="W127" ca="1">IFERROR(IF(AE127&lt;&gt;"ja",_xlfn.IFNA(_xlfn.IFS(AND(O127&lt;&gt;"",F127&lt;&gt;"",RIGHT($N127,6)="tarief",F127="Vergoeding"),SUM(O127)*FLOOR(SUM(Q127),0.0001),AND(O127&lt;&gt;"",F127&lt;&gt;"",RIGHT($N127,6)="tarief"),SUM(O127)*FLOOR(SUM(Q127),0.01),S127&gt;0,IF(F127&lt;&gt;"",FLOOR(SUM(S127),0.01),"")),""),""),"")</f>
        <v/>
      </c>
      <c r="X127" s="314" t="str" cm="1">
        <f t="array" aca="1" ref="X127" ca="1">IFERROR(IF(AE127&lt;&gt;"ja",_xlfn.IFNA(_xlfn.IFS(AND(P127&lt;&gt;"",R127&lt;&gt;"",RIGHT($N127,6)="tarief",F127="Vergoeding"),SUM(P127)*FLOOR(SUM(R127),0.0001),AND(P127&lt;&gt;"",R127&lt;&gt;"",RIGHT($N127,6)="tarief"),P127*FLOOR(R127,0.01),T127&gt;0,FLOOR(SUM(T127),0.01)),""),""),"")</f>
        <v/>
      </c>
      <c r="Y127" s="314" t="str">
        <f t="shared" ca="1" si="6"/>
        <v/>
      </c>
      <c r="Z127" s="314" t="str" cm="1">
        <f t="array" aca="1" ref="Z127" ca="1">IFERROR(_xlfn.IFS(OR(F127="",LEFT(Methode_Keuze,4)="Geen",Methode_Keuze=""),"",AND(W127&lt;&gt;"",F127&lt;&gt;"Arbeidskosten"),W127*VLOOKUP(F127,Tb_ProjectKosten[],MATCH(Tb_ProjectKosten[[#Headers],[Forfait_Percentage]],Tb_ProjectKosten[#Headers],0),0),AND(F127="Arbeidskosten",G127&lt;&gt;""),IFERROR(W127*VLOOKUP(G127,Tb_KostenTypen[],3,0)*VLOOKUP(F127,Tb_ProjectKosten[],MATCH(Tb_ProjectKosten[[#Headers],[Forfait_Percentage]],Tb_ProjectKosten[#Headers],0),0),""),W127 &lt;=0,0),"")</f>
        <v/>
      </c>
      <c r="AA127" s="314" t="str" cm="1">
        <f t="array" aca="1" ref="AA127" ca="1">IFERROR(_xlfn.IFS(OR(F127="",LEFT(Methode_Keuze,4)="Geen",Methode_Keuze=""),"",AND(X127&lt;&gt;"",F127&lt;&gt;"Arbeidskosten"),X127*VLOOKUP(F127,Tb_ProjectKosten[],MATCH(Tb_ProjectKosten[[#Headers],[Forfait_Percentage]],Tb_ProjectKosten[#Headers],0),0),AND(F127="Arbeidskosten",G127&lt;&gt;""),IFERROR(X127*VLOOKUP(G127,Tb_KostenTypen[],3,0)*VLOOKUP(F127,Tb_ProjectKosten[],MATCH(Tb_ProjectKosten[[#Headers],[Forfait_Percentage]],Tb_ProjectKosten[#Headers],0),0),""),X127 &lt;=0,0),"")</f>
        <v/>
      </c>
      <c r="AB127" s="314" t="str">
        <f t="shared" ca="1" si="7"/>
        <v/>
      </c>
      <c r="AC127" s="322"/>
      <c r="AD127" s="315"/>
      <c r="AE127" s="32" t="str" cm="1">
        <f t="array" ref="AE127">IFERROR(IF(INDEX(SubsidieTabel!$AD$1:$AG$12,MATCH($F127,SubsidieTabel!$AD$1:$AD$12,0),IFERROR(MATCH(Methode_Keuze,SubsidieTabel!$AD$1:$AG$1,0),2))&lt;&gt;1=TRUE,"ja",""),"")</f>
        <v/>
      </c>
    </row>
    <row r="128" spans="1:31" x14ac:dyDescent="0.25">
      <c r="A128" s="316"/>
      <c r="B128" s="317" t="str">
        <f>IF(A128&lt;&gt;"",_xlfn.MAXIFS($B$1:B127,$A$1:A127,A128)+1,"")</f>
        <v/>
      </c>
      <c r="C128" s="296"/>
      <c r="D128" s="296"/>
      <c r="E128" s="296"/>
      <c r="F128" s="296"/>
      <c r="G128" s="326"/>
      <c r="H128" s="324"/>
      <c r="I128" s="325"/>
      <c r="J128" s="325"/>
      <c r="K128" s="318"/>
      <c r="L128" s="318"/>
      <c r="M128" s="319" t="str">
        <f>IFERROR(VLOOKUP(H128,Lijsten!$H$1:$I$100,2,0),"")</f>
        <v/>
      </c>
      <c r="N128" s="319" t="str">
        <f ca="1">IFERROR(IF(VLOOKUP(F128,Kostentypen!$A$3:$E$21,3,0)=0,"",IF(OR(F128="Arbeidskosten",F128="Vergoeding"),VLOOKUP(G128,Tb_KostenTypen[],2,0),VLOOKUP(F128,Kostentypen!$A$3:$E$20,3,0))),"")</f>
        <v/>
      </c>
      <c r="O128" s="320" t="str" cm="1">
        <f t="array" ref="O128">_xlfn.IFNA(IF(INDEX(Tb_KostenOptiesDB[],MATCH($F128,Tb_KostenOptiesDB[KostenOptie],0),IFERROR(MATCH(Methode_Keuze,Tb_KostenOptiesDB[#Headers],0),2))=1,_xlfn.SWITCH($N128,"Uurtarief",IF(OR(AND(RIGHT($F128,3)="IKS",VLOOKUP($M128,DB_Loonkosten,2,0)="Ja"),AND(RIGHT($F128,3)&lt;&gt;"IKS",VLOOKUP($M128,DB_Loonkosten,2,0)="Nee")),IFERROR(VLOOKUP($M128,DB_Loonkosten,24,0),""),0),"Vast tarief",IF(LEFT(F128,8)="Bijdrage",VLOOKUP($F128,Tb_KostenTypen[],MATCH(Lijsten!$P$1,Tb_KostenTypen[#Headers],0),0),VLOOKUP($G128,Lijsten!L:P,MATCH(Lijsten!$P$1,Kop_Tarief_Vast,0),0))),""),"")</f>
        <v/>
      </c>
      <c r="P128" s="320" t="str" cm="1">
        <f t="array" ref="P128">_xlfn.IFNA(IF(INDEX(Tb_KostenOptiesDB[],MATCH($F128,Tb_KostenOptiesDB[KostenOptie],0),IFERROR(MATCH(Methode_Keuze,Tb_KostenOptiesDB[#Headers],0),2))=1,_xlfn.SWITCH($N128,"Uurtarief",IF(OR(AND(RIGHT($F128,3)="IKS",VLOOKUP($M128,DB_Loonkosten,2,0)="Ja"),AND(RIGHT($F128,3)&lt;&gt;"IKS",VLOOKUP($M128,DB_Loonkosten,2,0)="Nee")),IFERROR(VLOOKUP($M128,DB_Loonkosten,25,0),""),0),"Vast tarief",IF(LEFT(F128,8)="Bijdrage",VLOOKUP($F128,Tb_KostenTypen[],MATCH(Lijsten!$P$1,Tb_KostenTypen[#Headers],0),0),VLOOKUP($G128,Lijsten!L:P,MATCH(Lijsten!$P$1,Kop_Tarief_Vast,0),0))),""),"")</f>
        <v/>
      </c>
      <c r="Q128" s="359"/>
      <c r="R128" s="359"/>
      <c r="S128" s="321"/>
      <c r="T128" s="321"/>
      <c r="U128" s="373" t="str">
        <f t="shared" si="4"/>
        <v/>
      </c>
      <c r="V128" s="314" t="str">
        <f t="shared" si="5"/>
        <v/>
      </c>
      <c r="W128" s="314" t="str" cm="1">
        <f t="array" aca="1" ref="W128" ca="1">IFERROR(IF(AE128&lt;&gt;"ja",_xlfn.IFNA(_xlfn.IFS(AND(O128&lt;&gt;"",F128&lt;&gt;"",RIGHT($N128,6)="tarief",F128="Vergoeding"),SUM(O128)*FLOOR(SUM(Q128),0.0001),AND(O128&lt;&gt;"",F128&lt;&gt;"",RIGHT($N128,6)="tarief"),SUM(O128)*FLOOR(SUM(Q128),0.01),S128&gt;0,IF(F128&lt;&gt;"",FLOOR(SUM(S128),0.01),"")),""),""),"")</f>
        <v/>
      </c>
      <c r="X128" s="314" t="str" cm="1">
        <f t="array" aca="1" ref="X128" ca="1">IFERROR(IF(AE128&lt;&gt;"ja",_xlfn.IFNA(_xlfn.IFS(AND(P128&lt;&gt;"",R128&lt;&gt;"",RIGHT($N128,6)="tarief",F128="Vergoeding"),SUM(P128)*FLOOR(SUM(R128),0.0001),AND(P128&lt;&gt;"",R128&lt;&gt;"",RIGHT($N128,6)="tarief"),P128*FLOOR(R128,0.01),T128&gt;0,FLOOR(SUM(T128),0.01)),""),""),"")</f>
        <v/>
      </c>
      <c r="Y128" s="314" t="str">
        <f t="shared" ca="1" si="6"/>
        <v/>
      </c>
      <c r="Z128" s="314" t="str" cm="1">
        <f t="array" aca="1" ref="Z128" ca="1">IFERROR(_xlfn.IFS(OR(F128="",LEFT(Methode_Keuze,4)="Geen",Methode_Keuze=""),"",AND(W128&lt;&gt;"",F128&lt;&gt;"Arbeidskosten"),W128*VLOOKUP(F128,Tb_ProjectKosten[],MATCH(Tb_ProjectKosten[[#Headers],[Forfait_Percentage]],Tb_ProjectKosten[#Headers],0),0),AND(F128="Arbeidskosten",G128&lt;&gt;""),IFERROR(W128*VLOOKUP(G128,Tb_KostenTypen[],3,0)*VLOOKUP(F128,Tb_ProjectKosten[],MATCH(Tb_ProjectKosten[[#Headers],[Forfait_Percentage]],Tb_ProjectKosten[#Headers],0),0),""),W128 &lt;=0,0),"")</f>
        <v/>
      </c>
      <c r="AA128" s="314" t="str" cm="1">
        <f t="array" aca="1" ref="AA128" ca="1">IFERROR(_xlfn.IFS(OR(F128="",LEFT(Methode_Keuze,4)="Geen",Methode_Keuze=""),"",AND(X128&lt;&gt;"",F128&lt;&gt;"Arbeidskosten"),X128*VLOOKUP(F128,Tb_ProjectKosten[],MATCH(Tb_ProjectKosten[[#Headers],[Forfait_Percentage]],Tb_ProjectKosten[#Headers],0),0),AND(F128="Arbeidskosten",G128&lt;&gt;""),IFERROR(X128*VLOOKUP(G128,Tb_KostenTypen[],3,0)*VLOOKUP(F128,Tb_ProjectKosten[],MATCH(Tb_ProjectKosten[[#Headers],[Forfait_Percentage]],Tb_ProjectKosten[#Headers],0),0),""),X128 &lt;=0,0),"")</f>
        <v/>
      </c>
      <c r="AB128" s="314" t="str">
        <f t="shared" ca="1" si="7"/>
        <v/>
      </c>
      <c r="AC128" s="322"/>
      <c r="AD128" s="315"/>
      <c r="AE128" s="32" t="str" cm="1">
        <f t="array" ref="AE128">IFERROR(IF(INDEX(SubsidieTabel!$AD$1:$AG$12,MATCH($F128,SubsidieTabel!$AD$1:$AD$12,0),IFERROR(MATCH(Methode_Keuze,SubsidieTabel!$AD$1:$AG$1,0),2))&lt;&gt;1=TRUE,"ja",""),"")</f>
        <v/>
      </c>
    </row>
    <row r="129" spans="1:31" x14ac:dyDescent="0.25">
      <c r="A129" s="316"/>
      <c r="B129" s="317" t="str">
        <f>IF(A129&lt;&gt;"",_xlfn.MAXIFS($B$1:B128,$A$1:A128,A129)+1,"")</f>
        <v/>
      </c>
      <c r="C129" s="296"/>
      <c r="D129" s="296"/>
      <c r="E129" s="296"/>
      <c r="F129" s="296"/>
      <c r="G129" s="326"/>
      <c r="H129" s="324"/>
      <c r="I129" s="325"/>
      <c r="J129" s="325"/>
      <c r="K129" s="318"/>
      <c r="L129" s="318"/>
      <c r="M129" s="319" t="str">
        <f>IFERROR(VLOOKUP(H129,Lijsten!$H$1:$I$100,2,0),"")</f>
        <v/>
      </c>
      <c r="N129" s="319" t="str">
        <f ca="1">IFERROR(IF(VLOOKUP(F129,Kostentypen!$A$3:$E$21,3,0)=0,"",IF(OR(F129="Arbeidskosten",F129="Vergoeding"),VLOOKUP(G129,Tb_KostenTypen[],2,0),VLOOKUP(F129,Kostentypen!$A$3:$E$20,3,0))),"")</f>
        <v/>
      </c>
      <c r="O129" s="320" t="str" cm="1">
        <f t="array" ref="O129">_xlfn.IFNA(IF(INDEX(Tb_KostenOptiesDB[],MATCH($F129,Tb_KostenOptiesDB[KostenOptie],0),IFERROR(MATCH(Methode_Keuze,Tb_KostenOptiesDB[#Headers],0),2))=1,_xlfn.SWITCH($N129,"Uurtarief",IF(OR(AND(RIGHT($F129,3)="IKS",VLOOKUP($M129,DB_Loonkosten,2,0)="Ja"),AND(RIGHT($F129,3)&lt;&gt;"IKS",VLOOKUP($M129,DB_Loonkosten,2,0)="Nee")),IFERROR(VLOOKUP($M129,DB_Loonkosten,24,0),""),0),"Vast tarief",IF(LEFT(F129,8)="Bijdrage",VLOOKUP($F129,Tb_KostenTypen[],MATCH(Lijsten!$P$1,Tb_KostenTypen[#Headers],0),0),VLOOKUP($G129,Lijsten!L:P,MATCH(Lijsten!$P$1,Kop_Tarief_Vast,0),0))),""),"")</f>
        <v/>
      </c>
      <c r="P129" s="320" t="str" cm="1">
        <f t="array" ref="P129">_xlfn.IFNA(IF(INDEX(Tb_KostenOptiesDB[],MATCH($F129,Tb_KostenOptiesDB[KostenOptie],0),IFERROR(MATCH(Methode_Keuze,Tb_KostenOptiesDB[#Headers],0),2))=1,_xlfn.SWITCH($N129,"Uurtarief",IF(OR(AND(RIGHT($F129,3)="IKS",VLOOKUP($M129,DB_Loonkosten,2,0)="Ja"),AND(RIGHT($F129,3)&lt;&gt;"IKS",VLOOKUP($M129,DB_Loonkosten,2,0)="Nee")),IFERROR(VLOOKUP($M129,DB_Loonkosten,25,0),""),0),"Vast tarief",IF(LEFT(F129,8)="Bijdrage",VLOOKUP($F129,Tb_KostenTypen[],MATCH(Lijsten!$P$1,Tb_KostenTypen[#Headers],0),0),VLOOKUP($G129,Lijsten!L:P,MATCH(Lijsten!$P$1,Kop_Tarief_Vast,0),0))),""),"")</f>
        <v/>
      </c>
      <c r="Q129" s="359"/>
      <c r="R129" s="359"/>
      <c r="S129" s="321"/>
      <c r="T129" s="321"/>
      <c r="U129" s="373" t="str">
        <f t="shared" si="4"/>
        <v/>
      </c>
      <c r="V129" s="314" t="str">
        <f t="shared" si="5"/>
        <v/>
      </c>
      <c r="W129" s="314" t="str" cm="1">
        <f t="array" aca="1" ref="W129" ca="1">IFERROR(IF(AE129&lt;&gt;"ja",_xlfn.IFNA(_xlfn.IFS(AND(O129&lt;&gt;"",F129&lt;&gt;"",RIGHT($N129,6)="tarief",F129="Vergoeding"),SUM(O129)*FLOOR(SUM(Q129),0.0001),AND(O129&lt;&gt;"",F129&lt;&gt;"",RIGHT($N129,6)="tarief"),SUM(O129)*FLOOR(SUM(Q129),0.01),S129&gt;0,IF(F129&lt;&gt;"",FLOOR(SUM(S129),0.01),"")),""),""),"")</f>
        <v/>
      </c>
      <c r="X129" s="314" t="str" cm="1">
        <f t="array" aca="1" ref="X129" ca="1">IFERROR(IF(AE129&lt;&gt;"ja",_xlfn.IFNA(_xlfn.IFS(AND(P129&lt;&gt;"",R129&lt;&gt;"",RIGHT($N129,6)="tarief",F129="Vergoeding"),SUM(P129)*FLOOR(SUM(R129),0.0001),AND(P129&lt;&gt;"",R129&lt;&gt;"",RIGHT($N129,6)="tarief"),P129*FLOOR(R129,0.01),T129&gt;0,FLOOR(SUM(T129),0.01)),""),""),"")</f>
        <v/>
      </c>
      <c r="Y129" s="314" t="str">
        <f t="shared" ca="1" si="6"/>
        <v/>
      </c>
      <c r="Z129" s="314" t="str" cm="1">
        <f t="array" aca="1" ref="Z129" ca="1">IFERROR(_xlfn.IFS(OR(F129="",LEFT(Methode_Keuze,4)="Geen",Methode_Keuze=""),"",AND(W129&lt;&gt;"",F129&lt;&gt;"Arbeidskosten"),W129*VLOOKUP(F129,Tb_ProjectKosten[],MATCH(Tb_ProjectKosten[[#Headers],[Forfait_Percentage]],Tb_ProjectKosten[#Headers],0),0),AND(F129="Arbeidskosten",G129&lt;&gt;""),IFERROR(W129*VLOOKUP(G129,Tb_KostenTypen[],3,0)*VLOOKUP(F129,Tb_ProjectKosten[],MATCH(Tb_ProjectKosten[[#Headers],[Forfait_Percentage]],Tb_ProjectKosten[#Headers],0),0),""),W129 &lt;=0,0),"")</f>
        <v/>
      </c>
      <c r="AA129" s="314" t="str" cm="1">
        <f t="array" aca="1" ref="AA129" ca="1">IFERROR(_xlfn.IFS(OR(F129="",LEFT(Methode_Keuze,4)="Geen",Methode_Keuze=""),"",AND(X129&lt;&gt;"",F129&lt;&gt;"Arbeidskosten"),X129*VLOOKUP(F129,Tb_ProjectKosten[],MATCH(Tb_ProjectKosten[[#Headers],[Forfait_Percentage]],Tb_ProjectKosten[#Headers],0),0),AND(F129="Arbeidskosten",G129&lt;&gt;""),IFERROR(X129*VLOOKUP(G129,Tb_KostenTypen[],3,0)*VLOOKUP(F129,Tb_ProjectKosten[],MATCH(Tb_ProjectKosten[[#Headers],[Forfait_Percentage]],Tb_ProjectKosten[#Headers],0),0),""),X129 &lt;=0,0),"")</f>
        <v/>
      </c>
      <c r="AB129" s="314" t="str">
        <f t="shared" ca="1" si="7"/>
        <v/>
      </c>
      <c r="AC129" s="322"/>
      <c r="AD129" s="315"/>
      <c r="AE129" s="32" t="str" cm="1">
        <f t="array" ref="AE129">IFERROR(IF(INDEX(SubsidieTabel!$AD$1:$AG$12,MATCH($F129,SubsidieTabel!$AD$1:$AD$12,0),IFERROR(MATCH(Methode_Keuze,SubsidieTabel!$AD$1:$AG$1,0),2))&lt;&gt;1=TRUE,"ja",""),"")</f>
        <v/>
      </c>
    </row>
    <row r="130" spans="1:31" x14ac:dyDescent="0.25">
      <c r="A130" s="316"/>
      <c r="B130" s="317" t="str">
        <f>IF(A130&lt;&gt;"",_xlfn.MAXIFS($B$1:B129,$A$1:A129,A130)+1,"")</f>
        <v/>
      </c>
      <c r="C130" s="296"/>
      <c r="D130" s="296"/>
      <c r="E130" s="296"/>
      <c r="F130" s="296"/>
      <c r="G130" s="326"/>
      <c r="H130" s="324"/>
      <c r="I130" s="325"/>
      <c r="J130" s="325"/>
      <c r="K130" s="318"/>
      <c r="L130" s="318"/>
      <c r="M130" s="319" t="str">
        <f>IFERROR(VLOOKUP(H130,Lijsten!$H$1:$I$100,2,0),"")</f>
        <v/>
      </c>
      <c r="N130" s="319" t="str">
        <f ca="1">IFERROR(IF(VLOOKUP(F130,Kostentypen!$A$3:$E$21,3,0)=0,"",IF(OR(F130="Arbeidskosten",F130="Vergoeding"),VLOOKUP(G130,Tb_KostenTypen[],2,0),VLOOKUP(F130,Kostentypen!$A$3:$E$20,3,0))),"")</f>
        <v/>
      </c>
      <c r="O130" s="320" t="str" cm="1">
        <f t="array" ref="O130">_xlfn.IFNA(IF(INDEX(Tb_KostenOptiesDB[],MATCH($F130,Tb_KostenOptiesDB[KostenOptie],0),IFERROR(MATCH(Methode_Keuze,Tb_KostenOptiesDB[#Headers],0),2))=1,_xlfn.SWITCH($N130,"Uurtarief",IF(OR(AND(RIGHT($F130,3)="IKS",VLOOKUP($M130,DB_Loonkosten,2,0)="Ja"),AND(RIGHT($F130,3)&lt;&gt;"IKS",VLOOKUP($M130,DB_Loonkosten,2,0)="Nee")),IFERROR(VLOOKUP($M130,DB_Loonkosten,24,0),""),0),"Vast tarief",IF(LEFT(F130,8)="Bijdrage",VLOOKUP($F130,Tb_KostenTypen[],MATCH(Lijsten!$P$1,Tb_KostenTypen[#Headers],0),0),VLOOKUP($G130,Lijsten!L:P,MATCH(Lijsten!$P$1,Kop_Tarief_Vast,0),0))),""),"")</f>
        <v/>
      </c>
      <c r="P130" s="320" t="str" cm="1">
        <f t="array" ref="P130">_xlfn.IFNA(IF(INDEX(Tb_KostenOptiesDB[],MATCH($F130,Tb_KostenOptiesDB[KostenOptie],0),IFERROR(MATCH(Methode_Keuze,Tb_KostenOptiesDB[#Headers],0),2))=1,_xlfn.SWITCH($N130,"Uurtarief",IF(OR(AND(RIGHT($F130,3)="IKS",VLOOKUP($M130,DB_Loonkosten,2,0)="Ja"),AND(RIGHT($F130,3)&lt;&gt;"IKS",VLOOKUP($M130,DB_Loonkosten,2,0)="Nee")),IFERROR(VLOOKUP($M130,DB_Loonkosten,25,0),""),0),"Vast tarief",IF(LEFT(F130,8)="Bijdrage",VLOOKUP($F130,Tb_KostenTypen[],MATCH(Lijsten!$P$1,Tb_KostenTypen[#Headers],0),0),VLOOKUP($G130,Lijsten!L:P,MATCH(Lijsten!$P$1,Kop_Tarief_Vast,0),0))),""),"")</f>
        <v/>
      </c>
      <c r="Q130" s="359"/>
      <c r="R130" s="359"/>
      <c r="S130" s="321"/>
      <c r="T130" s="321"/>
      <c r="U130" s="373" t="str">
        <f t="shared" si="4"/>
        <v/>
      </c>
      <c r="V130" s="314" t="str">
        <f t="shared" si="5"/>
        <v/>
      </c>
      <c r="W130" s="314" t="str" cm="1">
        <f t="array" aca="1" ref="W130" ca="1">IFERROR(IF(AE130&lt;&gt;"ja",_xlfn.IFNA(_xlfn.IFS(AND(O130&lt;&gt;"",F130&lt;&gt;"",RIGHT($N130,6)="tarief",F130="Vergoeding"),SUM(O130)*FLOOR(SUM(Q130),0.0001),AND(O130&lt;&gt;"",F130&lt;&gt;"",RIGHT($N130,6)="tarief"),SUM(O130)*FLOOR(SUM(Q130),0.01),S130&gt;0,IF(F130&lt;&gt;"",FLOOR(SUM(S130),0.01),"")),""),""),"")</f>
        <v/>
      </c>
      <c r="X130" s="314" t="str" cm="1">
        <f t="array" aca="1" ref="X130" ca="1">IFERROR(IF(AE130&lt;&gt;"ja",_xlfn.IFNA(_xlfn.IFS(AND(P130&lt;&gt;"",R130&lt;&gt;"",RIGHT($N130,6)="tarief",F130="Vergoeding"),SUM(P130)*FLOOR(SUM(R130),0.0001),AND(P130&lt;&gt;"",R130&lt;&gt;"",RIGHT($N130,6)="tarief"),P130*FLOOR(R130,0.01),T130&gt;0,FLOOR(SUM(T130),0.01)),""),""),"")</f>
        <v/>
      </c>
      <c r="Y130" s="314" t="str">
        <f t="shared" ca="1" si="6"/>
        <v/>
      </c>
      <c r="Z130" s="314" t="str" cm="1">
        <f t="array" aca="1" ref="Z130" ca="1">IFERROR(_xlfn.IFS(OR(F130="",LEFT(Methode_Keuze,4)="Geen",Methode_Keuze=""),"",AND(W130&lt;&gt;"",F130&lt;&gt;"Arbeidskosten"),W130*VLOOKUP(F130,Tb_ProjectKosten[],MATCH(Tb_ProjectKosten[[#Headers],[Forfait_Percentage]],Tb_ProjectKosten[#Headers],0),0),AND(F130="Arbeidskosten",G130&lt;&gt;""),IFERROR(W130*VLOOKUP(G130,Tb_KostenTypen[],3,0)*VLOOKUP(F130,Tb_ProjectKosten[],MATCH(Tb_ProjectKosten[[#Headers],[Forfait_Percentage]],Tb_ProjectKosten[#Headers],0),0),""),W130 &lt;=0,0),"")</f>
        <v/>
      </c>
      <c r="AA130" s="314" t="str" cm="1">
        <f t="array" aca="1" ref="AA130" ca="1">IFERROR(_xlfn.IFS(OR(F130="",LEFT(Methode_Keuze,4)="Geen",Methode_Keuze=""),"",AND(X130&lt;&gt;"",F130&lt;&gt;"Arbeidskosten"),X130*VLOOKUP(F130,Tb_ProjectKosten[],MATCH(Tb_ProjectKosten[[#Headers],[Forfait_Percentage]],Tb_ProjectKosten[#Headers],0),0),AND(F130="Arbeidskosten",G130&lt;&gt;""),IFERROR(X130*VLOOKUP(G130,Tb_KostenTypen[],3,0)*VLOOKUP(F130,Tb_ProjectKosten[],MATCH(Tb_ProjectKosten[[#Headers],[Forfait_Percentage]],Tb_ProjectKosten[#Headers],0),0),""),X130 &lt;=0,0),"")</f>
        <v/>
      </c>
      <c r="AB130" s="314" t="str">
        <f t="shared" ca="1" si="7"/>
        <v/>
      </c>
      <c r="AC130" s="322"/>
      <c r="AD130" s="315"/>
      <c r="AE130" s="32" t="str" cm="1">
        <f t="array" ref="AE130">IFERROR(IF(INDEX(SubsidieTabel!$AD$1:$AG$12,MATCH($F130,SubsidieTabel!$AD$1:$AD$12,0),IFERROR(MATCH(Methode_Keuze,SubsidieTabel!$AD$1:$AG$1,0),2))&lt;&gt;1=TRUE,"ja",""),"")</f>
        <v/>
      </c>
    </row>
    <row r="131" spans="1:31" x14ac:dyDescent="0.25">
      <c r="A131" s="316"/>
      <c r="B131" s="317" t="str">
        <f>IF(A131&lt;&gt;"",_xlfn.MAXIFS($B$1:B130,$A$1:A130,A131)+1,"")</f>
        <v/>
      </c>
      <c r="C131" s="296"/>
      <c r="D131" s="296"/>
      <c r="E131" s="296"/>
      <c r="F131" s="296"/>
      <c r="G131" s="326"/>
      <c r="H131" s="324"/>
      <c r="I131" s="325"/>
      <c r="J131" s="325"/>
      <c r="K131" s="318"/>
      <c r="L131" s="318"/>
      <c r="M131" s="319" t="str">
        <f>IFERROR(VLOOKUP(H131,Lijsten!$H$1:$I$100,2,0),"")</f>
        <v/>
      </c>
      <c r="N131" s="319" t="str">
        <f ca="1">IFERROR(IF(VLOOKUP(F131,Kostentypen!$A$3:$E$21,3,0)=0,"",IF(OR(F131="Arbeidskosten",F131="Vergoeding"),VLOOKUP(G131,Tb_KostenTypen[],2,0),VLOOKUP(F131,Kostentypen!$A$3:$E$20,3,0))),"")</f>
        <v/>
      </c>
      <c r="O131" s="320" t="str" cm="1">
        <f t="array" ref="O131">_xlfn.IFNA(IF(INDEX(Tb_KostenOptiesDB[],MATCH($F131,Tb_KostenOptiesDB[KostenOptie],0),IFERROR(MATCH(Methode_Keuze,Tb_KostenOptiesDB[#Headers],0),2))=1,_xlfn.SWITCH($N131,"Uurtarief",IF(OR(AND(RIGHT($F131,3)="IKS",VLOOKUP($M131,DB_Loonkosten,2,0)="Ja"),AND(RIGHT($F131,3)&lt;&gt;"IKS",VLOOKUP($M131,DB_Loonkosten,2,0)="Nee")),IFERROR(VLOOKUP($M131,DB_Loonkosten,24,0),""),0),"Vast tarief",IF(LEFT(F131,8)="Bijdrage",VLOOKUP($F131,Tb_KostenTypen[],MATCH(Lijsten!$P$1,Tb_KostenTypen[#Headers],0),0),VLOOKUP($G131,Lijsten!L:P,MATCH(Lijsten!$P$1,Kop_Tarief_Vast,0),0))),""),"")</f>
        <v/>
      </c>
      <c r="P131" s="320" t="str" cm="1">
        <f t="array" ref="P131">_xlfn.IFNA(IF(INDEX(Tb_KostenOptiesDB[],MATCH($F131,Tb_KostenOptiesDB[KostenOptie],0),IFERROR(MATCH(Methode_Keuze,Tb_KostenOptiesDB[#Headers],0),2))=1,_xlfn.SWITCH($N131,"Uurtarief",IF(OR(AND(RIGHT($F131,3)="IKS",VLOOKUP($M131,DB_Loonkosten,2,0)="Ja"),AND(RIGHT($F131,3)&lt;&gt;"IKS",VLOOKUP($M131,DB_Loonkosten,2,0)="Nee")),IFERROR(VLOOKUP($M131,DB_Loonkosten,25,0),""),0),"Vast tarief",IF(LEFT(F131,8)="Bijdrage",VLOOKUP($F131,Tb_KostenTypen[],MATCH(Lijsten!$P$1,Tb_KostenTypen[#Headers],0),0),VLOOKUP($G131,Lijsten!L:P,MATCH(Lijsten!$P$1,Kop_Tarief_Vast,0),0))),""),"")</f>
        <v/>
      </c>
      <c r="Q131" s="359"/>
      <c r="R131" s="359"/>
      <c r="S131" s="321"/>
      <c r="T131" s="321"/>
      <c r="U131" s="373" t="str">
        <f t="shared" ref="U131:U194" si="8">IFERROR(IF(AND(R131&lt;&gt;"",R131&lt;&gt;Q131),-1*(R131-Q131),""),"")</f>
        <v/>
      </c>
      <c r="V131" s="314" t="str">
        <f t="shared" ref="V131:V194" si="9">IFERROR(IF(AND(T131&lt;&gt;"",T131&lt;&gt;S131),-1*(T131-S131),""),"")</f>
        <v/>
      </c>
      <c r="W131" s="314" t="str" cm="1">
        <f t="array" aca="1" ref="W131" ca="1">IFERROR(IF(AE131&lt;&gt;"ja",_xlfn.IFNA(_xlfn.IFS(AND(O131&lt;&gt;"",F131&lt;&gt;"",RIGHT($N131,6)="tarief",F131="Vergoeding"),SUM(O131)*FLOOR(SUM(Q131),0.0001),AND(O131&lt;&gt;"",F131&lt;&gt;"",RIGHT($N131,6)="tarief"),SUM(O131)*FLOOR(SUM(Q131),0.01),S131&gt;0,IF(F131&lt;&gt;"",FLOOR(SUM(S131),0.01),"")),""),""),"")</f>
        <v/>
      </c>
      <c r="X131" s="314" t="str" cm="1">
        <f t="array" aca="1" ref="X131" ca="1">IFERROR(IF(AE131&lt;&gt;"ja",_xlfn.IFNA(_xlfn.IFS(AND(P131&lt;&gt;"",R131&lt;&gt;"",RIGHT($N131,6)="tarief",F131="Vergoeding"),SUM(P131)*FLOOR(SUM(R131),0.0001),AND(P131&lt;&gt;"",R131&lt;&gt;"",RIGHT($N131,6)="tarief"),P131*FLOOR(R131,0.01),T131&gt;0,FLOOR(SUM(T131),0.01)),""),""),"")</f>
        <v/>
      </c>
      <c r="Y131" s="314" t="str">
        <f t="shared" ref="Y131:Y194" ca="1" si="10">IFERROR(IF(AND(X131&lt;&gt;"",X131&lt;&gt;W131),-1*(X131-W131),""),"")</f>
        <v/>
      </c>
      <c r="Z131" s="314" t="str" cm="1">
        <f t="array" aca="1" ref="Z131" ca="1">IFERROR(_xlfn.IFS(OR(F131="",LEFT(Methode_Keuze,4)="Geen",Methode_Keuze=""),"",AND(W131&lt;&gt;"",F131&lt;&gt;"Arbeidskosten"),W131*VLOOKUP(F131,Tb_ProjectKosten[],MATCH(Tb_ProjectKosten[[#Headers],[Forfait_Percentage]],Tb_ProjectKosten[#Headers],0),0),AND(F131="Arbeidskosten",G131&lt;&gt;""),IFERROR(W131*VLOOKUP(G131,Tb_KostenTypen[],3,0)*VLOOKUP(F131,Tb_ProjectKosten[],MATCH(Tb_ProjectKosten[[#Headers],[Forfait_Percentage]],Tb_ProjectKosten[#Headers],0),0),""),W131 &lt;=0,0),"")</f>
        <v/>
      </c>
      <c r="AA131" s="314" t="str" cm="1">
        <f t="array" aca="1" ref="AA131" ca="1">IFERROR(_xlfn.IFS(OR(F131="",LEFT(Methode_Keuze,4)="Geen",Methode_Keuze=""),"",AND(X131&lt;&gt;"",F131&lt;&gt;"Arbeidskosten"),X131*VLOOKUP(F131,Tb_ProjectKosten[],MATCH(Tb_ProjectKosten[[#Headers],[Forfait_Percentage]],Tb_ProjectKosten[#Headers],0),0),AND(F131="Arbeidskosten",G131&lt;&gt;""),IFERROR(X131*VLOOKUP(G131,Tb_KostenTypen[],3,0)*VLOOKUP(F131,Tb_ProjectKosten[],MATCH(Tb_ProjectKosten[[#Headers],[Forfait_Percentage]],Tb_ProjectKosten[#Headers],0),0),""),X131 &lt;=0,0),"")</f>
        <v/>
      </c>
      <c r="AB131" s="314" t="str">
        <f t="shared" ref="AB131:AB194" ca="1" si="11">IFERROR(IF(AND(AA131&lt;&gt;"",AA131&lt;&gt;Z131),-1*(AA131-Z131),""),"")</f>
        <v/>
      </c>
      <c r="AC131" s="322"/>
      <c r="AD131" s="315"/>
      <c r="AE131" s="32" t="str" cm="1">
        <f t="array" ref="AE131">IFERROR(IF(INDEX(SubsidieTabel!$AD$1:$AG$12,MATCH($F131,SubsidieTabel!$AD$1:$AD$12,0),IFERROR(MATCH(Methode_Keuze,SubsidieTabel!$AD$1:$AG$1,0),2))&lt;&gt;1=TRUE,"ja",""),"")</f>
        <v/>
      </c>
    </row>
    <row r="132" spans="1:31" x14ac:dyDescent="0.25">
      <c r="A132" s="316"/>
      <c r="B132" s="317" t="str">
        <f>IF(A132&lt;&gt;"",_xlfn.MAXIFS($B$1:B131,$A$1:A131,A132)+1,"")</f>
        <v/>
      </c>
      <c r="C132" s="296"/>
      <c r="D132" s="296"/>
      <c r="E132" s="296"/>
      <c r="F132" s="296"/>
      <c r="G132" s="326"/>
      <c r="H132" s="324"/>
      <c r="I132" s="325"/>
      <c r="J132" s="325"/>
      <c r="K132" s="318"/>
      <c r="L132" s="318"/>
      <c r="M132" s="319" t="str">
        <f>IFERROR(VLOOKUP(H132,Lijsten!$H$1:$I$100,2,0),"")</f>
        <v/>
      </c>
      <c r="N132" s="319" t="str">
        <f ca="1">IFERROR(IF(VLOOKUP(F132,Kostentypen!$A$3:$E$21,3,0)=0,"",IF(OR(F132="Arbeidskosten",F132="Vergoeding"),VLOOKUP(G132,Tb_KostenTypen[],2,0),VLOOKUP(F132,Kostentypen!$A$3:$E$20,3,0))),"")</f>
        <v/>
      </c>
      <c r="O132" s="320" t="str" cm="1">
        <f t="array" ref="O132">_xlfn.IFNA(IF(INDEX(Tb_KostenOptiesDB[],MATCH($F132,Tb_KostenOptiesDB[KostenOptie],0),IFERROR(MATCH(Methode_Keuze,Tb_KostenOptiesDB[#Headers],0),2))=1,_xlfn.SWITCH($N132,"Uurtarief",IF(OR(AND(RIGHT($F132,3)="IKS",VLOOKUP($M132,DB_Loonkosten,2,0)="Ja"),AND(RIGHT($F132,3)&lt;&gt;"IKS",VLOOKUP($M132,DB_Loonkosten,2,0)="Nee")),IFERROR(VLOOKUP($M132,DB_Loonkosten,24,0),""),0),"Vast tarief",IF(LEFT(F132,8)="Bijdrage",VLOOKUP($F132,Tb_KostenTypen[],MATCH(Lijsten!$P$1,Tb_KostenTypen[#Headers],0),0),VLOOKUP($G132,Lijsten!L:P,MATCH(Lijsten!$P$1,Kop_Tarief_Vast,0),0))),""),"")</f>
        <v/>
      </c>
      <c r="P132" s="320" t="str" cm="1">
        <f t="array" ref="P132">_xlfn.IFNA(IF(INDEX(Tb_KostenOptiesDB[],MATCH($F132,Tb_KostenOptiesDB[KostenOptie],0),IFERROR(MATCH(Methode_Keuze,Tb_KostenOptiesDB[#Headers],0),2))=1,_xlfn.SWITCH($N132,"Uurtarief",IF(OR(AND(RIGHT($F132,3)="IKS",VLOOKUP($M132,DB_Loonkosten,2,0)="Ja"),AND(RIGHT($F132,3)&lt;&gt;"IKS",VLOOKUP($M132,DB_Loonkosten,2,0)="Nee")),IFERROR(VLOOKUP($M132,DB_Loonkosten,25,0),""),0),"Vast tarief",IF(LEFT(F132,8)="Bijdrage",VLOOKUP($F132,Tb_KostenTypen[],MATCH(Lijsten!$P$1,Tb_KostenTypen[#Headers],0),0),VLOOKUP($G132,Lijsten!L:P,MATCH(Lijsten!$P$1,Kop_Tarief_Vast,0),0))),""),"")</f>
        <v/>
      </c>
      <c r="Q132" s="359"/>
      <c r="R132" s="359"/>
      <c r="S132" s="321"/>
      <c r="T132" s="321"/>
      <c r="U132" s="373" t="str">
        <f t="shared" si="8"/>
        <v/>
      </c>
      <c r="V132" s="314" t="str">
        <f t="shared" si="9"/>
        <v/>
      </c>
      <c r="W132" s="314" t="str" cm="1">
        <f t="array" aca="1" ref="W132" ca="1">IFERROR(IF(AE132&lt;&gt;"ja",_xlfn.IFNA(_xlfn.IFS(AND(O132&lt;&gt;"",F132&lt;&gt;"",RIGHT($N132,6)="tarief",F132="Vergoeding"),SUM(O132)*FLOOR(SUM(Q132),0.0001),AND(O132&lt;&gt;"",F132&lt;&gt;"",RIGHT($N132,6)="tarief"),SUM(O132)*FLOOR(SUM(Q132),0.01),S132&gt;0,IF(F132&lt;&gt;"",FLOOR(SUM(S132),0.01),"")),""),""),"")</f>
        <v/>
      </c>
      <c r="X132" s="314" t="str" cm="1">
        <f t="array" aca="1" ref="X132" ca="1">IFERROR(IF(AE132&lt;&gt;"ja",_xlfn.IFNA(_xlfn.IFS(AND(P132&lt;&gt;"",R132&lt;&gt;"",RIGHT($N132,6)="tarief",F132="Vergoeding"),SUM(P132)*FLOOR(SUM(R132),0.0001),AND(P132&lt;&gt;"",R132&lt;&gt;"",RIGHT($N132,6)="tarief"),P132*FLOOR(R132,0.01),T132&gt;0,FLOOR(SUM(T132),0.01)),""),""),"")</f>
        <v/>
      </c>
      <c r="Y132" s="314" t="str">
        <f t="shared" ca="1" si="10"/>
        <v/>
      </c>
      <c r="Z132" s="314" t="str" cm="1">
        <f t="array" aca="1" ref="Z132" ca="1">IFERROR(_xlfn.IFS(OR(F132="",LEFT(Methode_Keuze,4)="Geen",Methode_Keuze=""),"",AND(W132&lt;&gt;"",F132&lt;&gt;"Arbeidskosten"),W132*VLOOKUP(F132,Tb_ProjectKosten[],MATCH(Tb_ProjectKosten[[#Headers],[Forfait_Percentage]],Tb_ProjectKosten[#Headers],0),0),AND(F132="Arbeidskosten",G132&lt;&gt;""),IFERROR(W132*VLOOKUP(G132,Tb_KostenTypen[],3,0)*VLOOKUP(F132,Tb_ProjectKosten[],MATCH(Tb_ProjectKosten[[#Headers],[Forfait_Percentage]],Tb_ProjectKosten[#Headers],0),0),""),W132 &lt;=0,0),"")</f>
        <v/>
      </c>
      <c r="AA132" s="314" t="str" cm="1">
        <f t="array" aca="1" ref="AA132" ca="1">IFERROR(_xlfn.IFS(OR(F132="",LEFT(Methode_Keuze,4)="Geen",Methode_Keuze=""),"",AND(X132&lt;&gt;"",F132&lt;&gt;"Arbeidskosten"),X132*VLOOKUP(F132,Tb_ProjectKosten[],MATCH(Tb_ProjectKosten[[#Headers],[Forfait_Percentage]],Tb_ProjectKosten[#Headers],0),0),AND(F132="Arbeidskosten",G132&lt;&gt;""),IFERROR(X132*VLOOKUP(G132,Tb_KostenTypen[],3,0)*VLOOKUP(F132,Tb_ProjectKosten[],MATCH(Tb_ProjectKosten[[#Headers],[Forfait_Percentage]],Tb_ProjectKosten[#Headers],0),0),""),X132 &lt;=0,0),"")</f>
        <v/>
      </c>
      <c r="AB132" s="314" t="str">
        <f t="shared" ca="1" si="11"/>
        <v/>
      </c>
      <c r="AC132" s="322"/>
      <c r="AD132" s="315"/>
      <c r="AE132" s="32" t="str" cm="1">
        <f t="array" ref="AE132">IFERROR(IF(INDEX(SubsidieTabel!$AD$1:$AG$12,MATCH($F132,SubsidieTabel!$AD$1:$AD$12,0),IFERROR(MATCH(Methode_Keuze,SubsidieTabel!$AD$1:$AG$1,0),2))&lt;&gt;1=TRUE,"ja",""),"")</f>
        <v/>
      </c>
    </row>
    <row r="133" spans="1:31" x14ac:dyDescent="0.25">
      <c r="A133" s="316"/>
      <c r="B133" s="317" t="str">
        <f>IF(A133&lt;&gt;"",_xlfn.MAXIFS($B$1:B132,$A$1:A132,A133)+1,"")</f>
        <v/>
      </c>
      <c r="C133" s="296"/>
      <c r="D133" s="296"/>
      <c r="E133" s="296"/>
      <c r="F133" s="296"/>
      <c r="G133" s="326"/>
      <c r="H133" s="324"/>
      <c r="I133" s="325"/>
      <c r="J133" s="325"/>
      <c r="K133" s="318"/>
      <c r="L133" s="318"/>
      <c r="M133" s="319" t="str">
        <f>IFERROR(VLOOKUP(H133,Lijsten!$H$1:$I$100,2,0),"")</f>
        <v/>
      </c>
      <c r="N133" s="319" t="str">
        <f ca="1">IFERROR(IF(VLOOKUP(F133,Kostentypen!$A$3:$E$21,3,0)=0,"",IF(OR(F133="Arbeidskosten",F133="Vergoeding"),VLOOKUP(G133,Tb_KostenTypen[],2,0),VLOOKUP(F133,Kostentypen!$A$3:$E$20,3,0))),"")</f>
        <v/>
      </c>
      <c r="O133" s="320" t="str" cm="1">
        <f t="array" ref="O133">_xlfn.IFNA(IF(INDEX(Tb_KostenOptiesDB[],MATCH($F133,Tb_KostenOptiesDB[KostenOptie],0),IFERROR(MATCH(Methode_Keuze,Tb_KostenOptiesDB[#Headers],0),2))=1,_xlfn.SWITCH($N133,"Uurtarief",IF(OR(AND(RIGHT($F133,3)="IKS",VLOOKUP($M133,DB_Loonkosten,2,0)="Ja"),AND(RIGHT($F133,3)&lt;&gt;"IKS",VLOOKUP($M133,DB_Loonkosten,2,0)="Nee")),IFERROR(VLOOKUP($M133,DB_Loonkosten,24,0),""),0),"Vast tarief",IF(LEFT(F133,8)="Bijdrage",VLOOKUP($F133,Tb_KostenTypen[],MATCH(Lijsten!$P$1,Tb_KostenTypen[#Headers],0),0),VLOOKUP($G133,Lijsten!L:P,MATCH(Lijsten!$P$1,Kop_Tarief_Vast,0),0))),""),"")</f>
        <v/>
      </c>
      <c r="P133" s="320" t="str" cm="1">
        <f t="array" ref="P133">_xlfn.IFNA(IF(INDEX(Tb_KostenOptiesDB[],MATCH($F133,Tb_KostenOptiesDB[KostenOptie],0),IFERROR(MATCH(Methode_Keuze,Tb_KostenOptiesDB[#Headers],0),2))=1,_xlfn.SWITCH($N133,"Uurtarief",IF(OR(AND(RIGHT($F133,3)="IKS",VLOOKUP($M133,DB_Loonkosten,2,0)="Ja"),AND(RIGHT($F133,3)&lt;&gt;"IKS",VLOOKUP($M133,DB_Loonkosten,2,0)="Nee")),IFERROR(VLOOKUP($M133,DB_Loonkosten,25,0),""),0),"Vast tarief",IF(LEFT(F133,8)="Bijdrage",VLOOKUP($F133,Tb_KostenTypen[],MATCH(Lijsten!$P$1,Tb_KostenTypen[#Headers],0),0),VLOOKUP($G133,Lijsten!L:P,MATCH(Lijsten!$P$1,Kop_Tarief_Vast,0),0))),""),"")</f>
        <v/>
      </c>
      <c r="Q133" s="359"/>
      <c r="R133" s="359"/>
      <c r="S133" s="321"/>
      <c r="T133" s="321"/>
      <c r="U133" s="373" t="str">
        <f t="shared" si="8"/>
        <v/>
      </c>
      <c r="V133" s="314" t="str">
        <f t="shared" si="9"/>
        <v/>
      </c>
      <c r="W133" s="314" t="str" cm="1">
        <f t="array" aca="1" ref="W133" ca="1">IFERROR(IF(AE133&lt;&gt;"ja",_xlfn.IFNA(_xlfn.IFS(AND(O133&lt;&gt;"",F133&lt;&gt;"",RIGHT($N133,6)="tarief",F133="Vergoeding"),SUM(O133)*FLOOR(SUM(Q133),0.0001),AND(O133&lt;&gt;"",F133&lt;&gt;"",RIGHT($N133,6)="tarief"),SUM(O133)*FLOOR(SUM(Q133),0.01),S133&gt;0,IF(F133&lt;&gt;"",FLOOR(SUM(S133),0.01),"")),""),""),"")</f>
        <v/>
      </c>
      <c r="X133" s="314" t="str" cm="1">
        <f t="array" aca="1" ref="X133" ca="1">IFERROR(IF(AE133&lt;&gt;"ja",_xlfn.IFNA(_xlfn.IFS(AND(P133&lt;&gt;"",R133&lt;&gt;"",RIGHT($N133,6)="tarief",F133="Vergoeding"),SUM(P133)*FLOOR(SUM(R133),0.0001),AND(P133&lt;&gt;"",R133&lt;&gt;"",RIGHT($N133,6)="tarief"),P133*FLOOR(R133,0.01),T133&gt;0,FLOOR(SUM(T133),0.01)),""),""),"")</f>
        <v/>
      </c>
      <c r="Y133" s="314" t="str">
        <f t="shared" ca="1" si="10"/>
        <v/>
      </c>
      <c r="Z133" s="314" t="str" cm="1">
        <f t="array" aca="1" ref="Z133" ca="1">IFERROR(_xlfn.IFS(OR(F133="",LEFT(Methode_Keuze,4)="Geen",Methode_Keuze=""),"",AND(W133&lt;&gt;"",F133&lt;&gt;"Arbeidskosten"),W133*VLOOKUP(F133,Tb_ProjectKosten[],MATCH(Tb_ProjectKosten[[#Headers],[Forfait_Percentage]],Tb_ProjectKosten[#Headers],0),0),AND(F133="Arbeidskosten",G133&lt;&gt;""),IFERROR(W133*VLOOKUP(G133,Tb_KostenTypen[],3,0)*VLOOKUP(F133,Tb_ProjectKosten[],MATCH(Tb_ProjectKosten[[#Headers],[Forfait_Percentage]],Tb_ProjectKosten[#Headers],0),0),""),W133 &lt;=0,0),"")</f>
        <v/>
      </c>
      <c r="AA133" s="314" t="str" cm="1">
        <f t="array" aca="1" ref="AA133" ca="1">IFERROR(_xlfn.IFS(OR(F133="",LEFT(Methode_Keuze,4)="Geen",Methode_Keuze=""),"",AND(X133&lt;&gt;"",F133&lt;&gt;"Arbeidskosten"),X133*VLOOKUP(F133,Tb_ProjectKosten[],MATCH(Tb_ProjectKosten[[#Headers],[Forfait_Percentage]],Tb_ProjectKosten[#Headers],0),0),AND(F133="Arbeidskosten",G133&lt;&gt;""),IFERROR(X133*VLOOKUP(G133,Tb_KostenTypen[],3,0)*VLOOKUP(F133,Tb_ProjectKosten[],MATCH(Tb_ProjectKosten[[#Headers],[Forfait_Percentage]],Tb_ProjectKosten[#Headers],0),0),""),X133 &lt;=0,0),"")</f>
        <v/>
      </c>
      <c r="AB133" s="314" t="str">
        <f t="shared" ca="1" si="11"/>
        <v/>
      </c>
      <c r="AC133" s="322"/>
      <c r="AD133" s="315"/>
      <c r="AE133" s="32" t="str" cm="1">
        <f t="array" ref="AE133">IFERROR(IF(INDEX(SubsidieTabel!$AD$1:$AG$12,MATCH($F133,SubsidieTabel!$AD$1:$AD$12,0),IFERROR(MATCH(Methode_Keuze,SubsidieTabel!$AD$1:$AG$1,0),2))&lt;&gt;1=TRUE,"ja",""),"")</f>
        <v/>
      </c>
    </row>
    <row r="134" spans="1:31" x14ac:dyDescent="0.25">
      <c r="A134" s="316"/>
      <c r="B134" s="317" t="str">
        <f>IF(A134&lt;&gt;"",_xlfn.MAXIFS($B$1:B133,$A$1:A133,A134)+1,"")</f>
        <v/>
      </c>
      <c r="C134" s="296"/>
      <c r="D134" s="296"/>
      <c r="E134" s="296"/>
      <c r="F134" s="296"/>
      <c r="G134" s="326"/>
      <c r="H134" s="324"/>
      <c r="I134" s="325"/>
      <c r="J134" s="325"/>
      <c r="K134" s="318"/>
      <c r="L134" s="318"/>
      <c r="M134" s="319" t="str">
        <f>IFERROR(VLOOKUP(H134,Lijsten!$H$1:$I$100,2,0),"")</f>
        <v/>
      </c>
      <c r="N134" s="319" t="str">
        <f ca="1">IFERROR(IF(VLOOKUP(F134,Kostentypen!$A$3:$E$21,3,0)=0,"",IF(OR(F134="Arbeidskosten",F134="Vergoeding"),VLOOKUP(G134,Tb_KostenTypen[],2,0),VLOOKUP(F134,Kostentypen!$A$3:$E$20,3,0))),"")</f>
        <v/>
      </c>
      <c r="O134" s="320" t="str" cm="1">
        <f t="array" ref="O134">_xlfn.IFNA(IF(INDEX(Tb_KostenOptiesDB[],MATCH($F134,Tb_KostenOptiesDB[KostenOptie],0),IFERROR(MATCH(Methode_Keuze,Tb_KostenOptiesDB[#Headers],0),2))=1,_xlfn.SWITCH($N134,"Uurtarief",IF(OR(AND(RIGHT($F134,3)="IKS",VLOOKUP($M134,DB_Loonkosten,2,0)="Ja"),AND(RIGHT($F134,3)&lt;&gt;"IKS",VLOOKUP($M134,DB_Loonkosten,2,0)="Nee")),IFERROR(VLOOKUP($M134,DB_Loonkosten,24,0),""),0),"Vast tarief",IF(LEFT(F134,8)="Bijdrage",VLOOKUP($F134,Tb_KostenTypen[],MATCH(Lijsten!$P$1,Tb_KostenTypen[#Headers],0),0),VLOOKUP($G134,Lijsten!L:P,MATCH(Lijsten!$P$1,Kop_Tarief_Vast,0),0))),""),"")</f>
        <v/>
      </c>
      <c r="P134" s="320" t="str" cm="1">
        <f t="array" ref="P134">_xlfn.IFNA(IF(INDEX(Tb_KostenOptiesDB[],MATCH($F134,Tb_KostenOptiesDB[KostenOptie],0),IFERROR(MATCH(Methode_Keuze,Tb_KostenOptiesDB[#Headers],0),2))=1,_xlfn.SWITCH($N134,"Uurtarief",IF(OR(AND(RIGHT($F134,3)="IKS",VLOOKUP($M134,DB_Loonkosten,2,0)="Ja"),AND(RIGHT($F134,3)&lt;&gt;"IKS",VLOOKUP($M134,DB_Loonkosten,2,0)="Nee")),IFERROR(VLOOKUP($M134,DB_Loonkosten,25,0),""),0),"Vast tarief",IF(LEFT(F134,8)="Bijdrage",VLOOKUP($F134,Tb_KostenTypen[],MATCH(Lijsten!$P$1,Tb_KostenTypen[#Headers],0),0),VLOOKUP($G134,Lijsten!L:P,MATCH(Lijsten!$P$1,Kop_Tarief_Vast,0),0))),""),"")</f>
        <v/>
      </c>
      <c r="Q134" s="359"/>
      <c r="R134" s="359"/>
      <c r="S134" s="321"/>
      <c r="T134" s="321"/>
      <c r="U134" s="373" t="str">
        <f t="shared" si="8"/>
        <v/>
      </c>
      <c r="V134" s="314" t="str">
        <f t="shared" si="9"/>
        <v/>
      </c>
      <c r="W134" s="314" t="str" cm="1">
        <f t="array" aca="1" ref="W134" ca="1">IFERROR(IF(AE134&lt;&gt;"ja",_xlfn.IFNA(_xlfn.IFS(AND(O134&lt;&gt;"",F134&lt;&gt;"",RIGHT($N134,6)="tarief",F134="Vergoeding"),SUM(O134)*FLOOR(SUM(Q134),0.0001),AND(O134&lt;&gt;"",F134&lt;&gt;"",RIGHT($N134,6)="tarief"),SUM(O134)*FLOOR(SUM(Q134),0.01),S134&gt;0,IF(F134&lt;&gt;"",FLOOR(SUM(S134),0.01),"")),""),""),"")</f>
        <v/>
      </c>
      <c r="X134" s="314" t="str" cm="1">
        <f t="array" aca="1" ref="X134" ca="1">IFERROR(IF(AE134&lt;&gt;"ja",_xlfn.IFNA(_xlfn.IFS(AND(P134&lt;&gt;"",R134&lt;&gt;"",RIGHT($N134,6)="tarief",F134="Vergoeding"),SUM(P134)*FLOOR(SUM(R134),0.0001),AND(P134&lt;&gt;"",R134&lt;&gt;"",RIGHT($N134,6)="tarief"),P134*FLOOR(R134,0.01),T134&gt;0,FLOOR(SUM(T134),0.01)),""),""),"")</f>
        <v/>
      </c>
      <c r="Y134" s="314" t="str">
        <f t="shared" ca="1" si="10"/>
        <v/>
      </c>
      <c r="Z134" s="314" t="str" cm="1">
        <f t="array" aca="1" ref="Z134" ca="1">IFERROR(_xlfn.IFS(OR(F134="",LEFT(Methode_Keuze,4)="Geen",Methode_Keuze=""),"",AND(W134&lt;&gt;"",F134&lt;&gt;"Arbeidskosten"),W134*VLOOKUP(F134,Tb_ProjectKosten[],MATCH(Tb_ProjectKosten[[#Headers],[Forfait_Percentage]],Tb_ProjectKosten[#Headers],0),0),AND(F134="Arbeidskosten",G134&lt;&gt;""),IFERROR(W134*VLOOKUP(G134,Tb_KostenTypen[],3,0)*VLOOKUP(F134,Tb_ProjectKosten[],MATCH(Tb_ProjectKosten[[#Headers],[Forfait_Percentage]],Tb_ProjectKosten[#Headers],0),0),""),W134 &lt;=0,0),"")</f>
        <v/>
      </c>
      <c r="AA134" s="314" t="str" cm="1">
        <f t="array" aca="1" ref="AA134" ca="1">IFERROR(_xlfn.IFS(OR(F134="",LEFT(Methode_Keuze,4)="Geen",Methode_Keuze=""),"",AND(X134&lt;&gt;"",F134&lt;&gt;"Arbeidskosten"),X134*VLOOKUP(F134,Tb_ProjectKosten[],MATCH(Tb_ProjectKosten[[#Headers],[Forfait_Percentage]],Tb_ProjectKosten[#Headers],0),0),AND(F134="Arbeidskosten",G134&lt;&gt;""),IFERROR(X134*VLOOKUP(G134,Tb_KostenTypen[],3,0)*VLOOKUP(F134,Tb_ProjectKosten[],MATCH(Tb_ProjectKosten[[#Headers],[Forfait_Percentage]],Tb_ProjectKosten[#Headers],0),0),""),X134 &lt;=0,0),"")</f>
        <v/>
      </c>
      <c r="AB134" s="314" t="str">
        <f t="shared" ca="1" si="11"/>
        <v/>
      </c>
      <c r="AC134" s="322"/>
      <c r="AD134" s="315"/>
      <c r="AE134" s="32" t="str" cm="1">
        <f t="array" ref="AE134">IFERROR(IF(INDEX(SubsidieTabel!$AD$1:$AG$12,MATCH($F134,SubsidieTabel!$AD$1:$AD$12,0),IFERROR(MATCH(Methode_Keuze,SubsidieTabel!$AD$1:$AG$1,0),2))&lt;&gt;1=TRUE,"ja",""),"")</f>
        <v/>
      </c>
    </row>
    <row r="135" spans="1:31" x14ac:dyDescent="0.25">
      <c r="A135" s="316"/>
      <c r="B135" s="317" t="str">
        <f>IF(A135&lt;&gt;"",_xlfn.MAXIFS($B$1:B134,$A$1:A134,A135)+1,"")</f>
        <v/>
      </c>
      <c r="C135" s="296"/>
      <c r="D135" s="296"/>
      <c r="E135" s="296"/>
      <c r="F135" s="296"/>
      <c r="G135" s="326"/>
      <c r="H135" s="324"/>
      <c r="I135" s="325"/>
      <c r="J135" s="325"/>
      <c r="K135" s="318"/>
      <c r="L135" s="318"/>
      <c r="M135" s="319" t="str">
        <f>IFERROR(VLOOKUP(H135,Lijsten!$H$1:$I$100,2,0),"")</f>
        <v/>
      </c>
      <c r="N135" s="319" t="str">
        <f ca="1">IFERROR(IF(VLOOKUP(F135,Kostentypen!$A$3:$E$21,3,0)=0,"",IF(OR(F135="Arbeidskosten",F135="Vergoeding"),VLOOKUP(G135,Tb_KostenTypen[],2,0),VLOOKUP(F135,Kostentypen!$A$3:$E$20,3,0))),"")</f>
        <v/>
      </c>
      <c r="O135" s="320" t="str" cm="1">
        <f t="array" ref="O135">_xlfn.IFNA(IF(INDEX(Tb_KostenOptiesDB[],MATCH($F135,Tb_KostenOptiesDB[KostenOptie],0),IFERROR(MATCH(Methode_Keuze,Tb_KostenOptiesDB[#Headers],0),2))=1,_xlfn.SWITCH($N135,"Uurtarief",IF(OR(AND(RIGHT($F135,3)="IKS",VLOOKUP($M135,DB_Loonkosten,2,0)="Ja"),AND(RIGHT($F135,3)&lt;&gt;"IKS",VLOOKUP($M135,DB_Loonkosten,2,0)="Nee")),IFERROR(VLOOKUP($M135,DB_Loonkosten,24,0),""),0),"Vast tarief",IF(LEFT(F135,8)="Bijdrage",VLOOKUP($F135,Tb_KostenTypen[],MATCH(Lijsten!$P$1,Tb_KostenTypen[#Headers],0),0),VLOOKUP($G135,Lijsten!L:P,MATCH(Lijsten!$P$1,Kop_Tarief_Vast,0),0))),""),"")</f>
        <v/>
      </c>
      <c r="P135" s="320" t="str" cm="1">
        <f t="array" ref="P135">_xlfn.IFNA(IF(INDEX(Tb_KostenOptiesDB[],MATCH($F135,Tb_KostenOptiesDB[KostenOptie],0),IFERROR(MATCH(Methode_Keuze,Tb_KostenOptiesDB[#Headers],0),2))=1,_xlfn.SWITCH($N135,"Uurtarief",IF(OR(AND(RIGHT($F135,3)="IKS",VLOOKUP($M135,DB_Loonkosten,2,0)="Ja"),AND(RIGHT($F135,3)&lt;&gt;"IKS",VLOOKUP($M135,DB_Loonkosten,2,0)="Nee")),IFERROR(VLOOKUP($M135,DB_Loonkosten,25,0),""),0),"Vast tarief",IF(LEFT(F135,8)="Bijdrage",VLOOKUP($F135,Tb_KostenTypen[],MATCH(Lijsten!$P$1,Tb_KostenTypen[#Headers],0),0),VLOOKUP($G135,Lijsten!L:P,MATCH(Lijsten!$P$1,Kop_Tarief_Vast,0),0))),""),"")</f>
        <v/>
      </c>
      <c r="Q135" s="359"/>
      <c r="R135" s="359"/>
      <c r="S135" s="321"/>
      <c r="T135" s="321"/>
      <c r="U135" s="373" t="str">
        <f t="shared" si="8"/>
        <v/>
      </c>
      <c r="V135" s="314" t="str">
        <f t="shared" si="9"/>
        <v/>
      </c>
      <c r="W135" s="314" t="str" cm="1">
        <f t="array" aca="1" ref="W135" ca="1">IFERROR(IF(AE135&lt;&gt;"ja",_xlfn.IFNA(_xlfn.IFS(AND(O135&lt;&gt;"",F135&lt;&gt;"",RIGHT($N135,6)="tarief",F135="Vergoeding"),SUM(O135)*FLOOR(SUM(Q135),0.0001),AND(O135&lt;&gt;"",F135&lt;&gt;"",RIGHT($N135,6)="tarief"),SUM(O135)*FLOOR(SUM(Q135),0.01),S135&gt;0,IF(F135&lt;&gt;"",FLOOR(SUM(S135),0.01),"")),""),""),"")</f>
        <v/>
      </c>
      <c r="X135" s="314" t="str" cm="1">
        <f t="array" aca="1" ref="X135" ca="1">IFERROR(IF(AE135&lt;&gt;"ja",_xlfn.IFNA(_xlfn.IFS(AND(P135&lt;&gt;"",R135&lt;&gt;"",RIGHT($N135,6)="tarief",F135="Vergoeding"),SUM(P135)*FLOOR(SUM(R135),0.0001),AND(P135&lt;&gt;"",R135&lt;&gt;"",RIGHT($N135,6)="tarief"),P135*FLOOR(R135,0.01),T135&gt;0,FLOOR(SUM(T135),0.01)),""),""),"")</f>
        <v/>
      </c>
      <c r="Y135" s="314" t="str">
        <f t="shared" ca="1" si="10"/>
        <v/>
      </c>
      <c r="Z135" s="314" t="str" cm="1">
        <f t="array" aca="1" ref="Z135" ca="1">IFERROR(_xlfn.IFS(OR(F135="",LEFT(Methode_Keuze,4)="Geen",Methode_Keuze=""),"",AND(W135&lt;&gt;"",F135&lt;&gt;"Arbeidskosten"),W135*VLOOKUP(F135,Tb_ProjectKosten[],MATCH(Tb_ProjectKosten[[#Headers],[Forfait_Percentage]],Tb_ProjectKosten[#Headers],0),0),AND(F135="Arbeidskosten",G135&lt;&gt;""),IFERROR(W135*VLOOKUP(G135,Tb_KostenTypen[],3,0)*VLOOKUP(F135,Tb_ProjectKosten[],MATCH(Tb_ProjectKosten[[#Headers],[Forfait_Percentage]],Tb_ProjectKosten[#Headers],0),0),""),W135 &lt;=0,0),"")</f>
        <v/>
      </c>
      <c r="AA135" s="314" t="str" cm="1">
        <f t="array" aca="1" ref="AA135" ca="1">IFERROR(_xlfn.IFS(OR(F135="",LEFT(Methode_Keuze,4)="Geen",Methode_Keuze=""),"",AND(X135&lt;&gt;"",F135&lt;&gt;"Arbeidskosten"),X135*VLOOKUP(F135,Tb_ProjectKosten[],MATCH(Tb_ProjectKosten[[#Headers],[Forfait_Percentage]],Tb_ProjectKosten[#Headers],0),0),AND(F135="Arbeidskosten",G135&lt;&gt;""),IFERROR(X135*VLOOKUP(G135,Tb_KostenTypen[],3,0)*VLOOKUP(F135,Tb_ProjectKosten[],MATCH(Tb_ProjectKosten[[#Headers],[Forfait_Percentage]],Tb_ProjectKosten[#Headers],0),0),""),X135 &lt;=0,0),"")</f>
        <v/>
      </c>
      <c r="AB135" s="314" t="str">
        <f t="shared" ca="1" si="11"/>
        <v/>
      </c>
      <c r="AC135" s="322"/>
      <c r="AD135" s="315"/>
      <c r="AE135" s="32" t="str" cm="1">
        <f t="array" ref="AE135">IFERROR(IF(INDEX(SubsidieTabel!$AD$1:$AG$12,MATCH($F135,SubsidieTabel!$AD$1:$AD$12,0),IFERROR(MATCH(Methode_Keuze,SubsidieTabel!$AD$1:$AG$1,0),2))&lt;&gt;1=TRUE,"ja",""),"")</f>
        <v/>
      </c>
    </row>
    <row r="136" spans="1:31" x14ac:dyDescent="0.25">
      <c r="A136" s="316"/>
      <c r="B136" s="317" t="str">
        <f>IF(A136&lt;&gt;"",_xlfn.MAXIFS($B$1:B135,$A$1:A135,A136)+1,"")</f>
        <v/>
      </c>
      <c r="C136" s="296"/>
      <c r="D136" s="296"/>
      <c r="E136" s="296"/>
      <c r="F136" s="296"/>
      <c r="G136" s="326"/>
      <c r="H136" s="324"/>
      <c r="I136" s="325"/>
      <c r="J136" s="325"/>
      <c r="K136" s="318"/>
      <c r="L136" s="318"/>
      <c r="M136" s="319" t="str">
        <f>IFERROR(VLOOKUP(H136,Lijsten!$H$1:$I$100,2,0),"")</f>
        <v/>
      </c>
      <c r="N136" s="319" t="str">
        <f ca="1">IFERROR(IF(VLOOKUP(F136,Kostentypen!$A$3:$E$21,3,0)=0,"",IF(OR(F136="Arbeidskosten",F136="Vergoeding"),VLOOKUP(G136,Tb_KostenTypen[],2,0),VLOOKUP(F136,Kostentypen!$A$3:$E$20,3,0))),"")</f>
        <v/>
      </c>
      <c r="O136" s="320" t="str" cm="1">
        <f t="array" ref="O136">_xlfn.IFNA(IF(INDEX(Tb_KostenOptiesDB[],MATCH($F136,Tb_KostenOptiesDB[KostenOptie],0),IFERROR(MATCH(Methode_Keuze,Tb_KostenOptiesDB[#Headers],0),2))=1,_xlfn.SWITCH($N136,"Uurtarief",IF(OR(AND(RIGHT($F136,3)="IKS",VLOOKUP($M136,DB_Loonkosten,2,0)="Ja"),AND(RIGHT($F136,3)&lt;&gt;"IKS",VLOOKUP($M136,DB_Loonkosten,2,0)="Nee")),IFERROR(VLOOKUP($M136,DB_Loonkosten,24,0),""),0),"Vast tarief",IF(LEFT(F136,8)="Bijdrage",VLOOKUP($F136,Tb_KostenTypen[],MATCH(Lijsten!$P$1,Tb_KostenTypen[#Headers],0),0),VLOOKUP($G136,Lijsten!L:P,MATCH(Lijsten!$P$1,Kop_Tarief_Vast,0),0))),""),"")</f>
        <v/>
      </c>
      <c r="P136" s="320" t="str" cm="1">
        <f t="array" ref="P136">_xlfn.IFNA(IF(INDEX(Tb_KostenOptiesDB[],MATCH($F136,Tb_KostenOptiesDB[KostenOptie],0),IFERROR(MATCH(Methode_Keuze,Tb_KostenOptiesDB[#Headers],0),2))=1,_xlfn.SWITCH($N136,"Uurtarief",IF(OR(AND(RIGHT($F136,3)="IKS",VLOOKUP($M136,DB_Loonkosten,2,0)="Ja"),AND(RIGHT($F136,3)&lt;&gt;"IKS",VLOOKUP($M136,DB_Loonkosten,2,0)="Nee")),IFERROR(VLOOKUP($M136,DB_Loonkosten,25,0),""),0),"Vast tarief",IF(LEFT(F136,8)="Bijdrage",VLOOKUP($F136,Tb_KostenTypen[],MATCH(Lijsten!$P$1,Tb_KostenTypen[#Headers],0),0),VLOOKUP($G136,Lijsten!L:P,MATCH(Lijsten!$P$1,Kop_Tarief_Vast,0),0))),""),"")</f>
        <v/>
      </c>
      <c r="Q136" s="359"/>
      <c r="R136" s="359"/>
      <c r="S136" s="321"/>
      <c r="T136" s="321"/>
      <c r="U136" s="373" t="str">
        <f t="shared" si="8"/>
        <v/>
      </c>
      <c r="V136" s="314" t="str">
        <f t="shared" si="9"/>
        <v/>
      </c>
      <c r="W136" s="314" t="str" cm="1">
        <f t="array" aca="1" ref="W136" ca="1">IFERROR(IF(AE136&lt;&gt;"ja",_xlfn.IFNA(_xlfn.IFS(AND(O136&lt;&gt;"",F136&lt;&gt;"",RIGHT($N136,6)="tarief",F136="Vergoeding"),SUM(O136)*FLOOR(SUM(Q136),0.0001),AND(O136&lt;&gt;"",F136&lt;&gt;"",RIGHT($N136,6)="tarief"),SUM(O136)*FLOOR(SUM(Q136),0.01),S136&gt;0,IF(F136&lt;&gt;"",FLOOR(SUM(S136),0.01),"")),""),""),"")</f>
        <v/>
      </c>
      <c r="X136" s="314" t="str" cm="1">
        <f t="array" aca="1" ref="X136" ca="1">IFERROR(IF(AE136&lt;&gt;"ja",_xlfn.IFNA(_xlfn.IFS(AND(P136&lt;&gt;"",R136&lt;&gt;"",RIGHT($N136,6)="tarief",F136="Vergoeding"),SUM(P136)*FLOOR(SUM(R136),0.0001),AND(P136&lt;&gt;"",R136&lt;&gt;"",RIGHT($N136,6)="tarief"),P136*FLOOR(R136,0.01),T136&gt;0,FLOOR(SUM(T136),0.01)),""),""),"")</f>
        <v/>
      </c>
      <c r="Y136" s="314" t="str">
        <f t="shared" ca="1" si="10"/>
        <v/>
      </c>
      <c r="Z136" s="314" t="str" cm="1">
        <f t="array" aca="1" ref="Z136" ca="1">IFERROR(_xlfn.IFS(OR(F136="",LEFT(Methode_Keuze,4)="Geen",Methode_Keuze=""),"",AND(W136&lt;&gt;"",F136&lt;&gt;"Arbeidskosten"),W136*VLOOKUP(F136,Tb_ProjectKosten[],MATCH(Tb_ProjectKosten[[#Headers],[Forfait_Percentage]],Tb_ProjectKosten[#Headers],0),0),AND(F136="Arbeidskosten",G136&lt;&gt;""),IFERROR(W136*VLOOKUP(G136,Tb_KostenTypen[],3,0)*VLOOKUP(F136,Tb_ProjectKosten[],MATCH(Tb_ProjectKosten[[#Headers],[Forfait_Percentage]],Tb_ProjectKosten[#Headers],0),0),""),W136 &lt;=0,0),"")</f>
        <v/>
      </c>
      <c r="AA136" s="314" t="str" cm="1">
        <f t="array" aca="1" ref="AA136" ca="1">IFERROR(_xlfn.IFS(OR(F136="",LEFT(Methode_Keuze,4)="Geen",Methode_Keuze=""),"",AND(X136&lt;&gt;"",F136&lt;&gt;"Arbeidskosten"),X136*VLOOKUP(F136,Tb_ProjectKosten[],MATCH(Tb_ProjectKosten[[#Headers],[Forfait_Percentage]],Tb_ProjectKosten[#Headers],0),0),AND(F136="Arbeidskosten",G136&lt;&gt;""),IFERROR(X136*VLOOKUP(G136,Tb_KostenTypen[],3,0)*VLOOKUP(F136,Tb_ProjectKosten[],MATCH(Tb_ProjectKosten[[#Headers],[Forfait_Percentage]],Tb_ProjectKosten[#Headers],0),0),""),X136 &lt;=0,0),"")</f>
        <v/>
      </c>
      <c r="AB136" s="314" t="str">
        <f t="shared" ca="1" si="11"/>
        <v/>
      </c>
      <c r="AC136" s="322"/>
      <c r="AD136" s="315"/>
      <c r="AE136" s="32" t="str" cm="1">
        <f t="array" ref="AE136">IFERROR(IF(INDEX(SubsidieTabel!$AD$1:$AG$12,MATCH($F136,SubsidieTabel!$AD$1:$AD$12,0),IFERROR(MATCH(Methode_Keuze,SubsidieTabel!$AD$1:$AG$1,0),2))&lt;&gt;1=TRUE,"ja",""),"")</f>
        <v/>
      </c>
    </row>
    <row r="137" spans="1:31" x14ac:dyDescent="0.25">
      <c r="A137" s="316"/>
      <c r="B137" s="317" t="str">
        <f>IF(A137&lt;&gt;"",_xlfn.MAXIFS($B$1:B136,$A$1:A136,A137)+1,"")</f>
        <v/>
      </c>
      <c r="C137" s="296"/>
      <c r="D137" s="296"/>
      <c r="E137" s="296"/>
      <c r="F137" s="296"/>
      <c r="G137" s="326"/>
      <c r="H137" s="324"/>
      <c r="I137" s="325"/>
      <c r="J137" s="325"/>
      <c r="K137" s="318"/>
      <c r="L137" s="318"/>
      <c r="M137" s="319" t="str">
        <f>IFERROR(VLOOKUP(H137,Lijsten!$H$1:$I$100,2,0),"")</f>
        <v/>
      </c>
      <c r="N137" s="319" t="str">
        <f ca="1">IFERROR(IF(VLOOKUP(F137,Kostentypen!$A$3:$E$21,3,0)=0,"",IF(OR(F137="Arbeidskosten",F137="Vergoeding"),VLOOKUP(G137,Tb_KostenTypen[],2,0),VLOOKUP(F137,Kostentypen!$A$3:$E$20,3,0))),"")</f>
        <v/>
      </c>
      <c r="O137" s="320" t="str" cm="1">
        <f t="array" ref="O137">_xlfn.IFNA(IF(INDEX(Tb_KostenOptiesDB[],MATCH($F137,Tb_KostenOptiesDB[KostenOptie],0),IFERROR(MATCH(Methode_Keuze,Tb_KostenOptiesDB[#Headers],0),2))=1,_xlfn.SWITCH($N137,"Uurtarief",IF(OR(AND(RIGHT($F137,3)="IKS",VLOOKUP($M137,DB_Loonkosten,2,0)="Ja"),AND(RIGHT($F137,3)&lt;&gt;"IKS",VLOOKUP($M137,DB_Loonkosten,2,0)="Nee")),IFERROR(VLOOKUP($M137,DB_Loonkosten,24,0),""),0),"Vast tarief",IF(LEFT(F137,8)="Bijdrage",VLOOKUP($F137,Tb_KostenTypen[],MATCH(Lijsten!$P$1,Tb_KostenTypen[#Headers],0),0),VLOOKUP($G137,Lijsten!L:P,MATCH(Lijsten!$P$1,Kop_Tarief_Vast,0),0))),""),"")</f>
        <v/>
      </c>
      <c r="P137" s="320" t="str" cm="1">
        <f t="array" ref="P137">_xlfn.IFNA(IF(INDEX(Tb_KostenOptiesDB[],MATCH($F137,Tb_KostenOptiesDB[KostenOptie],0),IFERROR(MATCH(Methode_Keuze,Tb_KostenOptiesDB[#Headers],0),2))=1,_xlfn.SWITCH($N137,"Uurtarief",IF(OR(AND(RIGHT($F137,3)="IKS",VLOOKUP($M137,DB_Loonkosten,2,0)="Ja"),AND(RIGHT($F137,3)&lt;&gt;"IKS",VLOOKUP($M137,DB_Loonkosten,2,0)="Nee")),IFERROR(VLOOKUP($M137,DB_Loonkosten,25,0),""),0),"Vast tarief",IF(LEFT(F137,8)="Bijdrage",VLOOKUP($F137,Tb_KostenTypen[],MATCH(Lijsten!$P$1,Tb_KostenTypen[#Headers],0),0),VLOOKUP($G137,Lijsten!L:P,MATCH(Lijsten!$P$1,Kop_Tarief_Vast,0),0))),""),"")</f>
        <v/>
      </c>
      <c r="Q137" s="359"/>
      <c r="R137" s="359"/>
      <c r="S137" s="321"/>
      <c r="T137" s="321"/>
      <c r="U137" s="373" t="str">
        <f t="shared" si="8"/>
        <v/>
      </c>
      <c r="V137" s="314" t="str">
        <f t="shared" si="9"/>
        <v/>
      </c>
      <c r="W137" s="314" t="str" cm="1">
        <f t="array" aca="1" ref="W137" ca="1">IFERROR(IF(AE137&lt;&gt;"ja",_xlfn.IFNA(_xlfn.IFS(AND(O137&lt;&gt;"",F137&lt;&gt;"",RIGHT($N137,6)="tarief",F137="Vergoeding"),SUM(O137)*FLOOR(SUM(Q137),0.0001),AND(O137&lt;&gt;"",F137&lt;&gt;"",RIGHT($N137,6)="tarief"),SUM(O137)*FLOOR(SUM(Q137),0.01),S137&gt;0,IF(F137&lt;&gt;"",FLOOR(SUM(S137),0.01),"")),""),""),"")</f>
        <v/>
      </c>
      <c r="X137" s="314" t="str" cm="1">
        <f t="array" aca="1" ref="X137" ca="1">IFERROR(IF(AE137&lt;&gt;"ja",_xlfn.IFNA(_xlfn.IFS(AND(P137&lt;&gt;"",R137&lt;&gt;"",RIGHT($N137,6)="tarief",F137="Vergoeding"),SUM(P137)*FLOOR(SUM(R137),0.0001),AND(P137&lt;&gt;"",R137&lt;&gt;"",RIGHT($N137,6)="tarief"),P137*FLOOR(R137,0.01),T137&gt;0,FLOOR(SUM(T137),0.01)),""),""),"")</f>
        <v/>
      </c>
      <c r="Y137" s="314" t="str">
        <f t="shared" ca="1" si="10"/>
        <v/>
      </c>
      <c r="Z137" s="314" t="str" cm="1">
        <f t="array" aca="1" ref="Z137" ca="1">IFERROR(_xlfn.IFS(OR(F137="",LEFT(Methode_Keuze,4)="Geen",Methode_Keuze=""),"",AND(W137&lt;&gt;"",F137&lt;&gt;"Arbeidskosten"),W137*VLOOKUP(F137,Tb_ProjectKosten[],MATCH(Tb_ProjectKosten[[#Headers],[Forfait_Percentage]],Tb_ProjectKosten[#Headers],0),0),AND(F137="Arbeidskosten",G137&lt;&gt;""),IFERROR(W137*VLOOKUP(G137,Tb_KostenTypen[],3,0)*VLOOKUP(F137,Tb_ProjectKosten[],MATCH(Tb_ProjectKosten[[#Headers],[Forfait_Percentage]],Tb_ProjectKosten[#Headers],0),0),""),W137 &lt;=0,0),"")</f>
        <v/>
      </c>
      <c r="AA137" s="314" t="str" cm="1">
        <f t="array" aca="1" ref="AA137" ca="1">IFERROR(_xlfn.IFS(OR(F137="",LEFT(Methode_Keuze,4)="Geen",Methode_Keuze=""),"",AND(X137&lt;&gt;"",F137&lt;&gt;"Arbeidskosten"),X137*VLOOKUP(F137,Tb_ProjectKosten[],MATCH(Tb_ProjectKosten[[#Headers],[Forfait_Percentage]],Tb_ProjectKosten[#Headers],0),0),AND(F137="Arbeidskosten",G137&lt;&gt;""),IFERROR(X137*VLOOKUP(G137,Tb_KostenTypen[],3,0)*VLOOKUP(F137,Tb_ProjectKosten[],MATCH(Tb_ProjectKosten[[#Headers],[Forfait_Percentage]],Tb_ProjectKosten[#Headers],0),0),""),X137 &lt;=0,0),"")</f>
        <v/>
      </c>
      <c r="AB137" s="314" t="str">
        <f t="shared" ca="1" si="11"/>
        <v/>
      </c>
      <c r="AC137" s="322"/>
      <c r="AD137" s="315"/>
      <c r="AE137" s="32" t="str" cm="1">
        <f t="array" ref="AE137">IFERROR(IF(INDEX(SubsidieTabel!$AD$1:$AG$12,MATCH($F137,SubsidieTabel!$AD$1:$AD$12,0),IFERROR(MATCH(Methode_Keuze,SubsidieTabel!$AD$1:$AG$1,0),2))&lt;&gt;1=TRUE,"ja",""),"")</f>
        <v/>
      </c>
    </row>
    <row r="138" spans="1:31" x14ac:dyDescent="0.25">
      <c r="A138" s="316"/>
      <c r="B138" s="317" t="str">
        <f>IF(A138&lt;&gt;"",_xlfn.MAXIFS($B$1:B137,$A$1:A137,A138)+1,"")</f>
        <v/>
      </c>
      <c r="C138" s="296"/>
      <c r="D138" s="296"/>
      <c r="E138" s="296"/>
      <c r="F138" s="296"/>
      <c r="G138" s="326"/>
      <c r="H138" s="324"/>
      <c r="I138" s="325"/>
      <c r="J138" s="325"/>
      <c r="K138" s="318"/>
      <c r="L138" s="318"/>
      <c r="M138" s="319" t="str">
        <f>IFERROR(VLOOKUP(H138,Lijsten!$H$1:$I$100,2,0),"")</f>
        <v/>
      </c>
      <c r="N138" s="319" t="str">
        <f ca="1">IFERROR(IF(VLOOKUP(F138,Kostentypen!$A$3:$E$21,3,0)=0,"",IF(OR(F138="Arbeidskosten",F138="Vergoeding"),VLOOKUP(G138,Tb_KostenTypen[],2,0),VLOOKUP(F138,Kostentypen!$A$3:$E$20,3,0))),"")</f>
        <v/>
      </c>
      <c r="O138" s="320" t="str" cm="1">
        <f t="array" ref="O138">_xlfn.IFNA(IF(INDEX(Tb_KostenOptiesDB[],MATCH($F138,Tb_KostenOptiesDB[KostenOptie],0),IFERROR(MATCH(Methode_Keuze,Tb_KostenOptiesDB[#Headers],0),2))=1,_xlfn.SWITCH($N138,"Uurtarief",IF(OR(AND(RIGHT($F138,3)="IKS",VLOOKUP($M138,DB_Loonkosten,2,0)="Ja"),AND(RIGHT($F138,3)&lt;&gt;"IKS",VLOOKUP($M138,DB_Loonkosten,2,0)="Nee")),IFERROR(VLOOKUP($M138,DB_Loonkosten,24,0),""),0),"Vast tarief",IF(LEFT(F138,8)="Bijdrage",VLOOKUP($F138,Tb_KostenTypen[],MATCH(Lijsten!$P$1,Tb_KostenTypen[#Headers],0),0),VLOOKUP($G138,Lijsten!L:P,MATCH(Lijsten!$P$1,Kop_Tarief_Vast,0),0))),""),"")</f>
        <v/>
      </c>
      <c r="P138" s="320" t="str" cm="1">
        <f t="array" ref="P138">_xlfn.IFNA(IF(INDEX(Tb_KostenOptiesDB[],MATCH($F138,Tb_KostenOptiesDB[KostenOptie],0),IFERROR(MATCH(Methode_Keuze,Tb_KostenOptiesDB[#Headers],0),2))=1,_xlfn.SWITCH($N138,"Uurtarief",IF(OR(AND(RIGHT($F138,3)="IKS",VLOOKUP($M138,DB_Loonkosten,2,0)="Ja"),AND(RIGHT($F138,3)&lt;&gt;"IKS",VLOOKUP($M138,DB_Loonkosten,2,0)="Nee")),IFERROR(VLOOKUP($M138,DB_Loonkosten,25,0),""),0),"Vast tarief",IF(LEFT(F138,8)="Bijdrage",VLOOKUP($F138,Tb_KostenTypen[],MATCH(Lijsten!$P$1,Tb_KostenTypen[#Headers],0),0),VLOOKUP($G138,Lijsten!L:P,MATCH(Lijsten!$P$1,Kop_Tarief_Vast,0),0))),""),"")</f>
        <v/>
      </c>
      <c r="Q138" s="359"/>
      <c r="R138" s="359"/>
      <c r="S138" s="321"/>
      <c r="T138" s="321"/>
      <c r="U138" s="373" t="str">
        <f t="shared" si="8"/>
        <v/>
      </c>
      <c r="V138" s="314" t="str">
        <f t="shared" si="9"/>
        <v/>
      </c>
      <c r="W138" s="314" t="str" cm="1">
        <f t="array" aca="1" ref="W138" ca="1">IFERROR(IF(AE138&lt;&gt;"ja",_xlfn.IFNA(_xlfn.IFS(AND(O138&lt;&gt;"",F138&lt;&gt;"",RIGHT($N138,6)="tarief",F138="Vergoeding"),SUM(O138)*FLOOR(SUM(Q138),0.0001),AND(O138&lt;&gt;"",F138&lt;&gt;"",RIGHT($N138,6)="tarief"),SUM(O138)*FLOOR(SUM(Q138),0.01),S138&gt;0,IF(F138&lt;&gt;"",FLOOR(SUM(S138),0.01),"")),""),""),"")</f>
        <v/>
      </c>
      <c r="X138" s="314" t="str" cm="1">
        <f t="array" aca="1" ref="X138" ca="1">IFERROR(IF(AE138&lt;&gt;"ja",_xlfn.IFNA(_xlfn.IFS(AND(P138&lt;&gt;"",R138&lt;&gt;"",RIGHT($N138,6)="tarief",F138="Vergoeding"),SUM(P138)*FLOOR(SUM(R138),0.0001),AND(P138&lt;&gt;"",R138&lt;&gt;"",RIGHT($N138,6)="tarief"),P138*FLOOR(R138,0.01),T138&gt;0,FLOOR(SUM(T138),0.01)),""),""),"")</f>
        <v/>
      </c>
      <c r="Y138" s="314" t="str">
        <f t="shared" ca="1" si="10"/>
        <v/>
      </c>
      <c r="Z138" s="314" t="str" cm="1">
        <f t="array" aca="1" ref="Z138" ca="1">IFERROR(_xlfn.IFS(OR(F138="",LEFT(Methode_Keuze,4)="Geen",Methode_Keuze=""),"",AND(W138&lt;&gt;"",F138&lt;&gt;"Arbeidskosten"),W138*VLOOKUP(F138,Tb_ProjectKosten[],MATCH(Tb_ProjectKosten[[#Headers],[Forfait_Percentage]],Tb_ProjectKosten[#Headers],0),0),AND(F138="Arbeidskosten",G138&lt;&gt;""),IFERROR(W138*VLOOKUP(G138,Tb_KostenTypen[],3,0)*VLOOKUP(F138,Tb_ProjectKosten[],MATCH(Tb_ProjectKosten[[#Headers],[Forfait_Percentage]],Tb_ProjectKosten[#Headers],0),0),""),W138 &lt;=0,0),"")</f>
        <v/>
      </c>
      <c r="AA138" s="314" t="str" cm="1">
        <f t="array" aca="1" ref="AA138" ca="1">IFERROR(_xlfn.IFS(OR(F138="",LEFT(Methode_Keuze,4)="Geen",Methode_Keuze=""),"",AND(X138&lt;&gt;"",F138&lt;&gt;"Arbeidskosten"),X138*VLOOKUP(F138,Tb_ProjectKosten[],MATCH(Tb_ProjectKosten[[#Headers],[Forfait_Percentage]],Tb_ProjectKosten[#Headers],0),0),AND(F138="Arbeidskosten",G138&lt;&gt;""),IFERROR(X138*VLOOKUP(G138,Tb_KostenTypen[],3,0)*VLOOKUP(F138,Tb_ProjectKosten[],MATCH(Tb_ProjectKosten[[#Headers],[Forfait_Percentage]],Tb_ProjectKosten[#Headers],0),0),""),X138 &lt;=0,0),"")</f>
        <v/>
      </c>
      <c r="AB138" s="314" t="str">
        <f t="shared" ca="1" si="11"/>
        <v/>
      </c>
      <c r="AC138" s="322"/>
      <c r="AD138" s="315"/>
      <c r="AE138" s="32" t="str" cm="1">
        <f t="array" ref="AE138">IFERROR(IF(INDEX(SubsidieTabel!$AD$1:$AG$12,MATCH($F138,SubsidieTabel!$AD$1:$AD$12,0),IFERROR(MATCH(Methode_Keuze,SubsidieTabel!$AD$1:$AG$1,0),2))&lt;&gt;1=TRUE,"ja",""),"")</f>
        <v/>
      </c>
    </row>
    <row r="139" spans="1:31" x14ac:dyDescent="0.25">
      <c r="A139" s="316"/>
      <c r="B139" s="317" t="str">
        <f>IF(A139&lt;&gt;"",_xlfn.MAXIFS($B$1:B138,$A$1:A138,A139)+1,"")</f>
        <v/>
      </c>
      <c r="C139" s="296"/>
      <c r="D139" s="296"/>
      <c r="E139" s="296"/>
      <c r="F139" s="296"/>
      <c r="G139" s="326"/>
      <c r="H139" s="324"/>
      <c r="I139" s="325"/>
      <c r="J139" s="325"/>
      <c r="K139" s="318"/>
      <c r="L139" s="318"/>
      <c r="M139" s="319" t="str">
        <f>IFERROR(VLOOKUP(H139,Lijsten!$H$1:$I$100,2,0),"")</f>
        <v/>
      </c>
      <c r="N139" s="319" t="str">
        <f ca="1">IFERROR(IF(VLOOKUP(F139,Kostentypen!$A$3:$E$21,3,0)=0,"",IF(OR(F139="Arbeidskosten",F139="Vergoeding"),VLOOKUP(G139,Tb_KostenTypen[],2,0),VLOOKUP(F139,Kostentypen!$A$3:$E$20,3,0))),"")</f>
        <v/>
      </c>
      <c r="O139" s="320" t="str" cm="1">
        <f t="array" ref="O139">_xlfn.IFNA(IF(INDEX(Tb_KostenOptiesDB[],MATCH($F139,Tb_KostenOptiesDB[KostenOptie],0),IFERROR(MATCH(Methode_Keuze,Tb_KostenOptiesDB[#Headers],0),2))=1,_xlfn.SWITCH($N139,"Uurtarief",IF(OR(AND(RIGHT($F139,3)="IKS",VLOOKUP($M139,DB_Loonkosten,2,0)="Ja"),AND(RIGHT($F139,3)&lt;&gt;"IKS",VLOOKUP($M139,DB_Loonkosten,2,0)="Nee")),IFERROR(VLOOKUP($M139,DB_Loonkosten,24,0),""),0),"Vast tarief",IF(LEFT(F139,8)="Bijdrage",VLOOKUP($F139,Tb_KostenTypen[],MATCH(Lijsten!$P$1,Tb_KostenTypen[#Headers],0),0),VLOOKUP($G139,Lijsten!L:P,MATCH(Lijsten!$P$1,Kop_Tarief_Vast,0),0))),""),"")</f>
        <v/>
      </c>
      <c r="P139" s="320" t="str" cm="1">
        <f t="array" ref="P139">_xlfn.IFNA(IF(INDEX(Tb_KostenOptiesDB[],MATCH($F139,Tb_KostenOptiesDB[KostenOptie],0),IFERROR(MATCH(Methode_Keuze,Tb_KostenOptiesDB[#Headers],0),2))=1,_xlfn.SWITCH($N139,"Uurtarief",IF(OR(AND(RIGHT($F139,3)="IKS",VLOOKUP($M139,DB_Loonkosten,2,0)="Ja"),AND(RIGHT($F139,3)&lt;&gt;"IKS",VLOOKUP($M139,DB_Loonkosten,2,0)="Nee")),IFERROR(VLOOKUP($M139,DB_Loonkosten,25,0),""),0),"Vast tarief",IF(LEFT(F139,8)="Bijdrage",VLOOKUP($F139,Tb_KostenTypen[],MATCH(Lijsten!$P$1,Tb_KostenTypen[#Headers],0),0),VLOOKUP($G139,Lijsten!L:P,MATCH(Lijsten!$P$1,Kop_Tarief_Vast,0),0))),""),"")</f>
        <v/>
      </c>
      <c r="Q139" s="359"/>
      <c r="R139" s="359"/>
      <c r="S139" s="321"/>
      <c r="T139" s="321"/>
      <c r="U139" s="373" t="str">
        <f t="shared" si="8"/>
        <v/>
      </c>
      <c r="V139" s="314" t="str">
        <f t="shared" si="9"/>
        <v/>
      </c>
      <c r="W139" s="314" t="str" cm="1">
        <f t="array" aca="1" ref="W139" ca="1">IFERROR(IF(AE139&lt;&gt;"ja",_xlfn.IFNA(_xlfn.IFS(AND(O139&lt;&gt;"",F139&lt;&gt;"",RIGHT($N139,6)="tarief",F139="Vergoeding"),SUM(O139)*FLOOR(SUM(Q139),0.0001),AND(O139&lt;&gt;"",F139&lt;&gt;"",RIGHT($N139,6)="tarief"),SUM(O139)*FLOOR(SUM(Q139),0.01),S139&gt;0,IF(F139&lt;&gt;"",FLOOR(SUM(S139),0.01),"")),""),""),"")</f>
        <v/>
      </c>
      <c r="X139" s="314" t="str" cm="1">
        <f t="array" aca="1" ref="X139" ca="1">IFERROR(IF(AE139&lt;&gt;"ja",_xlfn.IFNA(_xlfn.IFS(AND(P139&lt;&gt;"",R139&lt;&gt;"",RIGHT($N139,6)="tarief",F139="Vergoeding"),SUM(P139)*FLOOR(SUM(R139),0.0001),AND(P139&lt;&gt;"",R139&lt;&gt;"",RIGHT($N139,6)="tarief"),P139*FLOOR(R139,0.01),T139&gt;0,FLOOR(SUM(T139),0.01)),""),""),"")</f>
        <v/>
      </c>
      <c r="Y139" s="314" t="str">
        <f t="shared" ca="1" si="10"/>
        <v/>
      </c>
      <c r="Z139" s="314" t="str" cm="1">
        <f t="array" aca="1" ref="Z139" ca="1">IFERROR(_xlfn.IFS(OR(F139="",LEFT(Methode_Keuze,4)="Geen",Methode_Keuze=""),"",AND(W139&lt;&gt;"",F139&lt;&gt;"Arbeidskosten"),W139*VLOOKUP(F139,Tb_ProjectKosten[],MATCH(Tb_ProjectKosten[[#Headers],[Forfait_Percentage]],Tb_ProjectKosten[#Headers],0),0),AND(F139="Arbeidskosten",G139&lt;&gt;""),IFERROR(W139*VLOOKUP(G139,Tb_KostenTypen[],3,0)*VLOOKUP(F139,Tb_ProjectKosten[],MATCH(Tb_ProjectKosten[[#Headers],[Forfait_Percentage]],Tb_ProjectKosten[#Headers],0),0),""),W139 &lt;=0,0),"")</f>
        <v/>
      </c>
      <c r="AA139" s="314" t="str" cm="1">
        <f t="array" aca="1" ref="AA139" ca="1">IFERROR(_xlfn.IFS(OR(F139="",LEFT(Methode_Keuze,4)="Geen",Methode_Keuze=""),"",AND(X139&lt;&gt;"",F139&lt;&gt;"Arbeidskosten"),X139*VLOOKUP(F139,Tb_ProjectKosten[],MATCH(Tb_ProjectKosten[[#Headers],[Forfait_Percentage]],Tb_ProjectKosten[#Headers],0),0),AND(F139="Arbeidskosten",G139&lt;&gt;""),IFERROR(X139*VLOOKUP(G139,Tb_KostenTypen[],3,0)*VLOOKUP(F139,Tb_ProjectKosten[],MATCH(Tb_ProjectKosten[[#Headers],[Forfait_Percentage]],Tb_ProjectKosten[#Headers],0),0),""),X139 &lt;=0,0),"")</f>
        <v/>
      </c>
      <c r="AB139" s="314" t="str">
        <f t="shared" ca="1" si="11"/>
        <v/>
      </c>
      <c r="AC139" s="322"/>
      <c r="AD139" s="315"/>
      <c r="AE139" s="32" t="str" cm="1">
        <f t="array" ref="AE139">IFERROR(IF(INDEX(SubsidieTabel!$AD$1:$AG$12,MATCH($F139,SubsidieTabel!$AD$1:$AD$12,0),IFERROR(MATCH(Methode_Keuze,SubsidieTabel!$AD$1:$AG$1,0),2))&lt;&gt;1=TRUE,"ja",""),"")</f>
        <v/>
      </c>
    </row>
    <row r="140" spans="1:31" x14ac:dyDescent="0.25">
      <c r="A140" s="316"/>
      <c r="B140" s="317" t="str">
        <f>IF(A140&lt;&gt;"",_xlfn.MAXIFS($B$1:B139,$A$1:A139,A140)+1,"")</f>
        <v/>
      </c>
      <c r="C140" s="296"/>
      <c r="D140" s="296"/>
      <c r="E140" s="296"/>
      <c r="F140" s="296"/>
      <c r="G140" s="326"/>
      <c r="H140" s="324"/>
      <c r="I140" s="325"/>
      <c r="J140" s="325"/>
      <c r="K140" s="318"/>
      <c r="L140" s="318"/>
      <c r="M140" s="319" t="str">
        <f>IFERROR(VLOOKUP(H140,Lijsten!$H$1:$I$100,2,0),"")</f>
        <v/>
      </c>
      <c r="N140" s="319" t="str">
        <f ca="1">IFERROR(IF(VLOOKUP(F140,Kostentypen!$A$3:$E$21,3,0)=0,"",IF(OR(F140="Arbeidskosten",F140="Vergoeding"),VLOOKUP(G140,Tb_KostenTypen[],2,0),VLOOKUP(F140,Kostentypen!$A$3:$E$20,3,0))),"")</f>
        <v/>
      </c>
      <c r="O140" s="320" t="str" cm="1">
        <f t="array" ref="O140">_xlfn.IFNA(IF(INDEX(Tb_KostenOptiesDB[],MATCH($F140,Tb_KostenOptiesDB[KostenOptie],0),IFERROR(MATCH(Methode_Keuze,Tb_KostenOptiesDB[#Headers],0),2))=1,_xlfn.SWITCH($N140,"Uurtarief",IF(OR(AND(RIGHT($F140,3)="IKS",VLOOKUP($M140,DB_Loonkosten,2,0)="Ja"),AND(RIGHT($F140,3)&lt;&gt;"IKS",VLOOKUP($M140,DB_Loonkosten,2,0)="Nee")),IFERROR(VLOOKUP($M140,DB_Loonkosten,24,0),""),0),"Vast tarief",IF(LEFT(F140,8)="Bijdrage",VLOOKUP($F140,Tb_KostenTypen[],MATCH(Lijsten!$P$1,Tb_KostenTypen[#Headers],0),0),VLOOKUP($G140,Lijsten!L:P,MATCH(Lijsten!$P$1,Kop_Tarief_Vast,0),0))),""),"")</f>
        <v/>
      </c>
      <c r="P140" s="320" t="str" cm="1">
        <f t="array" ref="P140">_xlfn.IFNA(IF(INDEX(Tb_KostenOptiesDB[],MATCH($F140,Tb_KostenOptiesDB[KostenOptie],0),IFERROR(MATCH(Methode_Keuze,Tb_KostenOptiesDB[#Headers],0),2))=1,_xlfn.SWITCH($N140,"Uurtarief",IF(OR(AND(RIGHT($F140,3)="IKS",VLOOKUP($M140,DB_Loonkosten,2,0)="Ja"),AND(RIGHT($F140,3)&lt;&gt;"IKS",VLOOKUP($M140,DB_Loonkosten,2,0)="Nee")),IFERROR(VLOOKUP($M140,DB_Loonkosten,25,0),""),0),"Vast tarief",IF(LEFT(F140,8)="Bijdrage",VLOOKUP($F140,Tb_KostenTypen[],MATCH(Lijsten!$P$1,Tb_KostenTypen[#Headers],0),0),VLOOKUP($G140,Lijsten!L:P,MATCH(Lijsten!$P$1,Kop_Tarief_Vast,0),0))),""),"")</f>
        <v/>
      </c>
      <c r="Q140" s="359"/>
      <c r="R140" s="359"/>
      <c r="S140" s="321"/>
      <c r="T140" s="321"/>
      <c r="U140" s="373" t="str">
        <f t="shared" si="8"/>
        <v/>
      </c>
      <c r="V140" s="314" t="str">
        <f t="shared" si="9"/>
        <v/>
      </c>
      <c r="W140" s="314" t="str" cm="1">
        <f t="array" aca="1" ref="W140" ca="1">IFERROR(IF(AE140&lt;&gt;"ja",_xlfn.IFNA(_xlfn.IFS(AND(O140&lt;&gt;"",F140&lt;&gt;"",RIGHT($N140,6)="tarief",F140="Vergoeding"),SUM(O140)*FLOOR(SUM(Q140),0.0001),AND(O140&lt;&gt;"",F140&lt;&gt;"",RIGHT($N140,6)="tarief"),SUM(O140)*FLOOR(SUM(Q140),0.01),S140&gt;0,IF(F140&lt;&gt;"",FLOOR(SUM(S140),0.01),"")),""),""),"")</f>
        <v/>
      </c>
      <c r="X140" s="314" t="str" cm="1">
        <f t="array" aca="1" ref="X140" ca="1">IFERROR(IF(AE140&lt;&gt;"ja",_xlfn.IFNA(_xlfn.IFS(AND(P140&lt;&gt;"",R140&lt;&gt;"",RIGHT($N140,6)="tarief",F140="Vergoeding"),SUM(P140)*FLOOR(SUM(R140),0.0001),AND(P140&lt;&gt;"",R140&lt;&gt;"",RIGHT($N140,6)="tarief"),P140*FLOOR(R140,0.01),T140&gt;0,FLOOR(SUM(T140),0.01)),""),""),"")</f>
        <v/>
      </c>
      <c r="Y140" s="314" t="str">
        <f t="shared" ca="1" si="10"/>
        <v/>
      </c>
      <c r="Z140" s="314" t="str" cm="1">
        <f t="array" aca="1" ref="Z140" ca="1">IFERROR(_xlfn.IFS(OR(F140="",LEFT(Methode_Keuze,4)="Geen",Methode_Keuze=""),"",AND(W140&lt;&gt;"",F140&lt;&gt;"Arbeidskosten"),W140*VLOOKUP(F140,Tb_ProjectKosten[],MATCH(Tb_ProjectKosten[[#Headers],[Forfait_Percentage]],Tb_ProjectKosten[#Headers],0),0),AND(F140="Arbeidskosten",G140&lt;&gt;""),IFERROR(W140*VLOOKUP(G140,Tb_KostenTypen[],3,0)*VLOOKUP(F140,Tb_ProjectKosten[],MATCH(Tb_ProjectKosten[[#Headers],[Forfait_Percentage]],Tb_ProjectKosten[#Headers],0),0),""),W140 &lt;=0,0),"")</f>
        <v/>
      </c>
      <c r="AA140" s="314" t="str" cm="1">
        <f t="array" aca="1" ref="AA140" ca="1">IFERROR(_xlfn.IFS(OR(F140="",LEFT(Methode_Keuze,4)="Geen",Methode_Keuze=""),"",AND(X140&lt;&gt;"",F140&lt;&gt;"Arbeidskosten"),X140*VLOOKUP(F140,Tb_ProjectKosten[],MATCH(Tb_ProjectKosten[[#Headers],[Forfait_Percentage]],Tb_ProjectKosten[#Headers],0),0),AND(F140="Arbeidskosten",G140&lt;&gt;""),IFERROR(X140*VLOOKUP(G140,Tb_KostenTypen[],3,0)*VLOOKUP(F140,Tb_ProjectKosten[],MATCH(Tb_ProjectKosten[[#Headers],[Forfait_Percentage]],Tb_ProjectKosten[#Headers],0),0),""),X140 &lt;=0,0),"")</f>
        <v/>
      </c>
      <c r="AB140" s="314" t="str">
        <f t="shared" ca="1" si="11"/>
        <v/>
      </c>
      <c r="AC140" s="322"/>
      <c r="AD140" s="315"/>
      <c r="AE140" s="32" t="str" cm="1">
        <f t="array" ref="AE140">IFERROR(IF(INDEX(SubsidieTabel!$AD$1:$AG$12,MATCH($F140,SubsidieTabel!$AD$1:$AD$12,0),IFERROR(MATCH(Methode_Keuze,SubsidieTabel!$AD$1:$AG$1,0),2))&lt;&gt;1=TRUE,"ja",""),"")</f>
        <v/>
      </c>
    </row>
    <row r="141" spans="1:31" x14ac:dyDescent="0.25">
      <c r="A141" s="316"/>
      <c r="B141" s="317" t="str">
        <f>IF(A141&lt;&gt;"",_xlfn.MAXIFS($B$1:B140,$A$1:A140,A141)+1,"")</f>
        <v/>
      </c>
      <c r="C141" s="296"/>
      <c r="D141" s="296"/>
      <c r="E141" s="296"/>
      <c r="F141" s="296"/>
      <c r="G141" s="326"/>
      <c r="H141" s="324"/>
      <c r="I141" s="325"/>
      <c r="J141" s="325"/>
      <c r="K141" s="318"/>
      <c r="L141" s="318"/>
      <c r="M141" s="319" t="str">
        <f>IFERROR(VLOOKUP(H141,Lijsten!$H$1:$I$100,2,0),"")</f>
        <v/>
      </c>
      <c r="N141" s="319" t="str">
        <f ca="1">IFERROR(IF(VLOOKUP(F141,Kostentypen!$A$3:$E$21,3,0)=0,"",IF(OR(F141="Arbeidskosten",F141="Vergoeding"),VLOOKUP(G141,Tb_KostenTypen[],2,0),VLOOKUP(F141,Kostentypen!$A$3:$E$20,3,0))),"")</f>
        <v/>
      </c>
      <c r="O141" s="320" t="str" cm="1">
        <f t="array" ref="O141">_xlfn.IFNA(IF(INDEX(Tb_KostenOptiesDB[],MATCH($F141,Tb_KostenOptiesDB[KostenOptie],0),IFERROR(MATCH(Methode_Keuze,Tb_KostenOptiesDB[#Headers],0),2))=1,_xlfn.SWITCH($N141,"Uurtarief",IF(OR(AND(RIGHT($F141,3)="IKS",VLOOKUP($M141,DB_Loonkosten,2,0)="Ja"),AND(RIGHT($F141,3)&lt;&gt;"IKS",VLOOKUP($M141,DB_Loonkosten,2,0)="Nee")),IFERROR(VLOOKUP($M141,DB_Loonkosten,24,0),""),0),"Vast tarief",IF(LEFT(F141,8)="Bijdrage",VLOOKUP($F141,Tb_KostenTypen[],MATCH(Lijsten!$P$1,Tb_KostenTypen[#Headers],0),0),VLOOKUP($G141,Lijsten!L:P,MATCH(Lijsten!$P$1,Kop_Tarief_Vast,0),0))),""),"")</f>
        <v/>
      </c>
      <c r="P141" s="320" t="str" cm="1">
        <f t="array" ref="P141">_xlfn.IFNA(IF(INDEX(Tb_KostenOptiesDB[],MATCH($F141,Tb_KostenOptiesDB[KostenOptie],0),IFERROR(MATCH(Methode_Keuze,Tb_KostenOptiesDB[#Headers],0),2))=1,_xlfn.SWITCH($N141,"Uurtarief",IF(OR(AND(RIGHT($F141,3)="IKS",VLOOKUP($M141,DB_Loonkosten,2,0)="Ja"),AND(RIGHT($F141,3)&lt;&gt;"IKS",VLOOKUP($M141,DB_Loonkosten,2,0)="Nee")),IFERROR(VLOOKUP($M141,DB_Loonkosten,25,0),""),0),"Vast tarief",IF(LEFT(F141,8)="Bijdrage",VLOOKUP($F141,Tb_KostenTypen[],MATCH(Lijsten!$P$1,Tb_KostenTypen[#Headers],0),0),VLOOKUP($G141,Lijsten!L:P,MATCH(Lijsten!$P$1,Kop_Tarief_Vast,0),0))),""),"")</f>
        <v/>
      </c>
      <c r="Q141" s="359"/>
      <c r="R141" s="359"/>
      <c r="S141" s="321"/>
      <c r="T141" s="321"/>
      <c r="U141" s="373" t="str">
        <f t="shared" si="8"/>
        <v/>
      </c>
      <c r="V141" s="314" t="str">
        <f t="shared" si="9"/>
        <v/>
      </c>
      <c r="W141" s="314" t="str" cm="1">
        <f t="array" aca="1" ref="W141" ca="1">IFERROR(IF(AE141&lt;&gt;"ja",_xlfn.IFNA(_xlfn.IFS(AND(O141&lt;&gt;"",F141&lt;&gt;"",RIGHT($N141,6)="tarief",F141="Vergoeding"),SUM(O141)*FLOOR(SUM(Q141),0.0001),AND(O141&lt;&gt;"",F141&lt;&gt;"",RIGHT($N141,6)="tarief"),SUM(O141)*FLOOR(SUM(Q141),0.01),S141&gt;0,IF(F141&lt;&gt;"",FLOOR(SUM(S141),0.01),"")),""),""),"")</f>
        <v/>
      </c>
      <c r="X141" s="314" t="str" cm="1">
        <f t="array" aca="1" ref="X141" ca="1">IFERROR(IF(AE141&lt;&gt;"ja",_xlfn.IFNA(_xlfn.IFS(AND(P141&lt;&gt;"",R141&lt;&gt;"",RIGHT($N141,6)="tarief",F141="Vergoeding"),SUM(P141)*FLOOR(SUM(R141),0.0001),AND(P141&lt;&gt;"",R141&lt;&gt;"",RIGHT($N141,6)="tarief"),P141*FLOOR(R141,0.01),T141&gt;0,FLOOR(SUM(T141),0.01)),""),""),"")</f>
        <v/>
      </c>
      <c r="Y141" s="314" t="str">
        <f t="shared" ca="1" si="10"/>
        <v/>
      </c>
      <c r="Z141" s="314" t="str" cm="1">
        <f t="array" aca="1" ref="Z141" ca="1">IFERROR(_xlfn.IFS(OR(F141="",LEFT(Methode_Keuze,4)="Geen",Methode_Keuze=""),"",AND(W141&lt;&gt;"",F141&lt;&gt;"Arbeidskosten"),W141*VLOOKUP(F141,Tb_ProjectKosten[],MATCH(Tb_ProjectKosten[[#Headers],[Forfait_Percentage]],Tb_ProjectKosten[#Headers],0),0),AND(F141="Arbeidskosten",G141&lt;&gt;""),IFERROR(W141*VLOOKUP(G141,Tb_KostenTypen[],3,0)*VLOOKUP(F141,Tb_ProjectKosten[],MATCH(Tb_ProjectKosten[[#Headers],[Forfait_Percentage]],Tb_ProjectKosten[#Headers],0),0),""),W141 &lt;=0,0),"")</f>
        <v/>
      </c>
      <c r="AA141" s="314" t="str" cm="1">
        <f t="array" aca="1" ref="AA141" ca="1">IFERROR(_xlfn.IFS(OR(F141="",LEFT(Methode_Keuze,4)="Geen",Methode_Keuze=""),"",AND(X141&lt;&gt;"",F141&lt;&gt;"Arbeidskosten"),X141*VLOOKUP(F141,Tb_ProjectKosten[],MATCH(Tb_ProjectKosten[[#Headers],[Forfait_Percentage]],Tb_ProjectKosten[#Headers],0),0),AND(F141="Arbeidskosten",G141&lt;&gt;""),IFERROR(X141*VLOOKUP(G141,Tb_KostenTypen[],3,0)*VLOOKUP(F141,Tb_ProjectKosten[],MATCH(Tb_ProjectKosten[[#Headers],[Forfait_Percentage]],Tb_ProjectKosten[#Headers],0),0),""),X141 &lt;=0,0),"")</f>
        <v/>
      </c>
      <c r="AB141" s="314" t="str">
        <f t="shared" ca="1" si="11"/>
        <v/>
      </c>
      <c r="AC141" s="322"/>
      <c r="AD141" s="315"/>
      <c r="AE141" s="32" t="str" cm="1">
        <f t="array" ref="AE141">IFERROR(IF(INDEX(SubsidieTabel!$AD$1:$AG$12,MATCH($F141,SubsidieTabel!$AD$1:$AD$12,0),IFERROR(MATCH(Methode_Keuze,SubsidieTabel!$AD$1:$AG$1,0),2))&lt;&gt;1=TRUE,"ja",""),"")</f>
        <v/>
      </c>
    </row>
    <row r="142" spans="1:31" x14ac:dyDescent="0.25">
      <c r="A142" s="316"/>
      <c r="B142" s="317" t="str">
        <f>IF(A142&lt;&gt;"",_xlfn.MAXIFS($B$1:B141,$A$1:A141,A142)+1,"")</f>
        <v/>
      </c>
      <c r="C142" s="296"/>
      <c r="D142" s="296"/>
      <c r="E142" s="296"/>
      <c r="F142" s="296"/>
      <c r="G142" s="326"/>
      <c r="H142" s="324"/>
      <c r="I142" s="325"/>
      <c r="J142" s="325"/>
      <c r="K142" s="318"/>
      <c r="L142" s="318"/>
      <c r="M142" s="319" t="str">
        <f>IFERROR(VLOOKUP(H142,Lijsten!$H$1:$I$100,2,0),"")</f>
        <v/>
      </c>
      <c r="N142" s="319" t="str">
        <f ca="1">IFERROR(IF(VLOOKUP(F142,Kostentypen!$A$3:$E$21,3,0)=0,"",IF(OR(F142="Arbeidskosten",F142="Vergoeding"),VLOOKUP(G142,Tb_KostenTypen[],2,0),VLOOKUP(F142,Kostentypen!$A$3:$E$20,3,0))),"")</f>
        <v/>
      </c>
      <c r="O142" s="320" t="str" cm="1">
        <f t="array" ref="O142">_xlfn.IFNA(IF(INDEX(Tb_KostenOptiesDB[],MATCH($F142,Tb_KostenOptiesDB[KostenOptie],0),IFERROR(MATCH(Methode_Keuze,Tb_KostenOptiesDB[#Headers],0),2))=1,_xlfn.SWITCH($N142,"Uurtarief",IF(OR(AND(RIGHT($F142,3)="IKS",VLOOKUP($M142,DB_Loonkosten,2,0)="Ja"),AND(RIGHT($F142,3)&lt;&gt;"IKS",VLOOKUP($M142,DB_Loonkosten,2,0)="Nee")),IFERROR(VLOOKUP($M142,DB_Loonkosten,24,0),""),0),"Vast tarief",IF(LEFT(F142,8)="Bijdrage",VLOOKUP($F142,Tb_KostenTypen[],MATCH(Lijsten!$P$1,Tb_KostenTypen[#Headers],0),0),VLOOKUP($G142,Lijsten!L:P,MATCH(Lijsten!$P$1,Kop_Tarief_Vast,0),0))),""),"")</f>
        <v/>
      </c>
      <c r="P142" s="320" t="str" cm="1">
        <f t="array" ref="P142">_xlfn.IFNA(IF(INDEX(Tb_KostenOptiesDB[],MATCH($F142,Tb_KostenOptiesDB[KostenOptie],0),IFERROR(MATCH(Methode_Keuze,Tb_KostenOptiesDB[#Headers],0),2))=1,_xlfn.SWITCH($N142,"Uurtarief",IF(OR(AND(RIGHT($F142,3)="IKS",VLOOKUP($M142,DB_Loonkosten,2,0)="Ja"),AND(RIGHT($F142,3)&lt;&gt;"IKS",VLOOKUP($M142,DB_Loonkosten,2,0)="Nee")),IFERROR(VLOOKUP($M142,DB_Loonkosten,25,0),""),0),"Vast tarief",IF(LEFT(F142,8)="Bijdrage",VLOOKUP($F142,Tb_KostenTypen[],MATCH(Lijsten!$P$1,Tb_KostenTypen[#Headers],0),0),VLOOKUP($G142,Lijsten!L:P,MATCH(Lijsten!$P$1,Kop_Tarief_Vast,0),0))),""),"")</f>
        <v/>
      </c>
      <c r="Q142" s="359"/>
      <c r="R142" s="359"/>
      <c r="S142" s="321"/>
      <c r="T142" s="321"/>
      <c r="U142" s="373" t="str">
        <f t="shared" si="8"/>
        <v/>
      </c>
      <c r="V142" s="314" t="str">
        <f t="shared" si="9"/>
        <v/>
      </c>
      <c r="W142" s="314" t="str" cm="1">
        <f t="array" aca="1" ref="W142" ca="1">IFERROR(IF(AE142&lt;&gt;"ja",_xlfn.IFNA(_xlfn.IFS(AND(O142&lt;&gt;"",F142&lt;&gt;"",RIGHT($N142,6)="tarief",F142="Vergoeding"),SUM(O142)*FLOOR(SUM(Q142),0.0001),AND(O142&lt;&gt;"",F142&lt;&gt;"",RIGHT($N142,6)="tarief"),SUM(O142)*FLOOR(SUM(Q142),0.01),S142&gt;0,IF(F142&lt;&gt;"",FLOOR(SUM(S142),0.01),"")),""),""),"")</f>
        <v/>
      </c>
      <c r="X142" s="314" t="str" cm="1">
        <f t="array" aca="1" ref="X142" ca="1">IFERROR(IF(AE142&lt;&gt;"ja",_xlfn.IFNA(_xlfn.IFS(AND(P142&lt;&gt;"",R142&lt;&gt;"",RIGHT($N142,6)="tarief",F142="Vergoeding"),SUM(P142)*FLOOR(SUM(R142),0.0001),AND(P142&lt;&gt;"",R142&lt;&gt;"",RIGHT($N142,6)="tarief"),P142*FLOOR(R142,0.01),T142&gt;0,FLOOR(SUM(T142),0.01)),""),""),"")</f>
        <v/>
      </c>
      <c r="Y142" s="314" t="str">
        <f t="shared" ca="1" si="10"/>
        <v/>
      </c>
      <c r="Z142" s="314" t="str" cm="1">
        <f t="array" aca="1" ref="Z142" ca="1">IFERROR(_xlfn.IFS(OR(F142="",LEFT(Methode_Keuze,4)="Geen",Methode_Keuze=""),"",AND(W142&lt;&gt;"",F142&lt;&gt;"Arbeidskosten"),W142*VLOOKUP(F142,Tb_ProjectKosten[],MATCH(Tb_ProjectKosten[[#Headers],[Forfait_Percentage]],Tb_ProjectKosten[#Headers],0),0),AND(F142="Arbeidskosten",G142&lt;&gt;""),IFERROR(W142*VLOOKUP(G142,Tb_KostenTypen[],3,0)*VLOOKUP(F142,Tb_ProjectKosten[],MATCH(Tb_ProjectKosten[[#Headers],[Forfait_Percentage]],Tb_ProjectKosten[#Headers],0),0),""),W142 &lt;=0,0),"")</f>
        <v/>
      </c>
      <c r="AA142" s="314" t="str" cm="1">
        <f t="array" aca="1" ref="AA142" ca="1">IFERROR(_xlfn.IFS(OR(F142="",LEFT(Methode_Keuze,4)="Geen",Methode_Keuze=""),"",AND(X142&lt;&gt;"",F142&lt;&gt;"Arbeidskosten"),X142*VLOOKUP(F142,Tb_ProjectKosten[],MATCH(Tb_ProjectKosten[[#Headers],[Forfait_Percentage]],Tb_ProjectKosten[#Headers],0),0),AND(F142="Arbeidskosten",G142&lt;&gt;""),IFERROR(X142*VLOOKUP(G142,Tb_KostenTypen[],3,0)*VLOOKUP(F142,Tb_ProjectKosten[],MATCH(Tb_ProjectKosten[[#Headers],[Forfait_Percentage]],Tb_ProjectKosten[#Headers],0),0),""),X142 &lt;=0,0),"")</f>
        <v/>
      </c>
      <c r="AB142" s="314" t="str">
        <f t="shared" ca="1" si="11"/>
        <v/>
      </c>
      <c r="AC142" s="322"/>
      <c r="AD142" s="315"/>
      <c r="AE142" s="32" t="str" cm="1">
        <f t="array" ref="AE142">IFERROR(IF(INDEX(SubsidieTabel!$AD$1:$AG$12,MATCH($F142,SubsidieTabel!$AD$1:$AD$12,0),IFERROR(MATCH(Methode_Keuze,SubsidieTabel!$AD$1:$AG$1,0),2))&lt;&gt;1=TRUE,"ja",""),"")</f>
        <v/>
      </c>
    </row>
    <row r="143" spans="1:31" x14ac:dyDescent="0.25">
      <c r="A143" s="316"/>
      <c r="B143" s="317" t="str">
        <f>IF(A143&lt;&gt;"",_xlfn.MAXIFS($B$1:B142,$A$1:A142,A143)+1,"")</f>
        <v/>
      </c>
      <c r="C143" s="296"/>
      <c r="D143" s="296"/>
      <c r="E143" s="296"/>
      <c r="F143" s="296"/>
      <c r="G143" s="326"/>
      <c r="H143" s="324"/>
      <c r="I143" s="325"/>
      <c r="J143" s="325"/>
      <c r="K143" s="318"/>
      <c r="L143" s="318"/>
      <c r="M143" s="319" t="str">
        <f>IFERROR(VLOOKUP(H143,Lijsten!$H$1:$I$100,2,0),"")</f>
        <v/>
      </c>
      <c r="N143" s="319" t="str">
        <f ca="1">IFERROR(IF(VLOOKUP(F143,Kostentypen!$A$3:$E$21,3,0)=0,"",IF(OR(F143="Arbeidskosten",F143="Vergoeding"),VLOOKUP(G143,Tb_KostenTypen[],2,0),VLOOKUP(F143,Kostentypen!$A$3:$E$20,3,0))),"")</f>
        <v/>
      </c>
      <c r="O143" s="320" t="str" cm="1">
        <f t="array" ref="O143">_xlfn.IFNA(IF(INDEX(Tb_KostenOptiesDB[],MATCH($F143,Tb_KostenOptiesDB[KostenOptie],0),IFERROR(MATCH(Methode_Keuze,Tb_KostenOptiesDB[#Headers],0),2))=1,_xlfn.SWITCH($N143,"Uurtarief",IF(OR(AND(RIGHT($F143,3)="IKS",VLOOKUP($M143,DB_Loonkosten,2,0)="Ja"),AND(RIGHT($F143,3)&lt;&gt;"IKS",VLOOKUP($M143,DB_Loonkosten,2,0)="Nee")),IFERROR(VLOOKUP($M143,DB_Loonkosten,24,0),""),0),"Vast tarief",IF(LEFT(F143,8)="Bijdrage",VLOOKUP($F143,Tb_KostenTypen[],MATCH(Lijsten!$P$1,Tb_KostenTypen[#Headers],0),0),VLOOKUP($G143,Lijsten!L:P,MATCH(Lijsten!$P$1,Kop_Tarief_Vast,0),0))),""),"")</f>
        <v/>
      </c>
      <c r="P143" s="320" t="str" cm="1">
        <f t="array" ref="P143">_xlfn.IFNA(IF(INDEX(Tb_KostenOptiesDB[],MATCH($F143,Tb_KostenOptiesDB[KostenOptie],0),IFERROR(MATCH(Methode_Keuze,Tb_KostenOptiesDB[#Headers],0),2))=1,_xlfn.SWITCH($N143,"Uurtarief",IF(OR(AND(RIGHT($F143,3)="IKS",VLOOKUP($M143,DB_Loonkosten,2,0)="Ja"),AND(RIGHT($F143,3)&lt;&gt;"IKS",VLOOKUP($M143,DB_Loonkosten,2,0)="Nee")),IFERROR(VLOOKUP($M143,DB_Loonkosten,25,0),""),0),"Vast tarief",IF(LEFT(F143,8)="Bijdrage",VLOOKUP($F143,Tb_KostenTypen[],MATCH(Lijsten!$P$1,Tb_KostenTypen[#Headers],0),0),VLOOKUP($G143,Lijsten!L:P,MATCH(Lijsten!$P$1,Kop_Tarief_Vast,0),0))),""),"")</f>
        <v/>
      </c>
      <c r="Q143" s="359"/>
      <c r="R143" s="359"/>
      <c r="S143" s="321"/>
      <c r="T143" s="321"/>
      <c r="U143" s="373" t="str">
        <f t="shared" si="8"/>
        <v/>
      </c>
      <c r="V143" s="314" t="str">
        <f t="shared" si="9"/>
        <v/>
      </c>
      <c r="W143" s="314" t="str" cm="1">
        <f t="array" aca="1" ref="W143" ca="1">IFERROR(IF(AE143&lt;&gt;"ja",_xlfn.IFNA(_xlfn.IFS(AND(O143&lt;&gt;"",F143&lt;&gt;"",RIGHT($N143,6)="tarief",F143="Vergoeding"),SUM(O143)*FLOOR(SUM(Q143),0.0001),AND(O143&lt;&gt;"",F143&lt;&gt;"",RIGHT($N143,6)="tarief"),SUM(O143)*FLOOR(SUM(Q143),0.01),S143&gt;0,IF(F143&lt;&gt;"",FLOOR(SUM(S143),0.01),"")),""),""),"")</f>
        <v/>
      </c>
      <c r="X143" s="314" t="str" cm="1">
        <f t="array" aca="1" ref="X143" ca="1">IFERROR(IF(AE143&lt;&gt;"ja",_xlfn.IFNA(_xlfn.IFS(AND(P143&lt;&gt;"",R143&lt;&gt;"",RIGHT($N143,6)="tarief",F143="Vergoeding"),SUM(P143)*FLOOR(SUM(R143),0.0001),AND(P143&lt;&gt;"",R143&lt;&gt;"",RIGHT($N143,6)="tarief"),P143*FLOOR(R143,0.01),T143&gt;0,FLOOR(SUM(T143),0.01)),""),""),"")</f>
        <v/>
      </c>
      <c r="Y143" s="314" t="str">
        <f t="shared" ca="1" si="10"/>
        <v/>
      </c>
      <c r="Z143" s="314" t="str" cm="1">
        <f t="array" aca="1" ref="Z143" ca="1">IFERROR(_xlfn.IFS(OR(F143="",LEFT(Methode_Keuze,4)="Geen",Methode_Keuze=""),"",AND(W143&lt;&gt;"",F143&lt;&gt;"Arbeidskosten"),W143*VLOOKUP(F143,Tb_ProjectKosten[],MATCH(Tb_ProjectKosten[[#Headers],[Forfait_Percentage]],Tb_ProjectKosten[#Headers],0),0),AND(F143="Arbeidskosten",G143&lt;&gt;""),IFERROR(W143*VLOOKUP(G143,Tb_KostenTypen[],3,0)*VLOOKUP(F143,Tb_ProjectKosten[],MATCH(Tb_ProjectKosten[[#Headers],[Forfait_Percentage]],Tb_ProjectKosten[#Headers],0),0),""),W143 &lt;=0,0),"")</f>
        <v/>
      </c>
      <c r="AA143" s="314" t="str" cm="1">
        <f t="array" aca="1" ref="AA143" ca="1">IFERROR(_xlfn.IFS(OR(F143="",LEFT(Methode_Keuze,4)="Geen",Methode_Keuze=""),"",AND(X143&lt;&gt;"",F143&lt;&gt;"Arbeidskosten"),X143*VLOOKUP(F143,Tb_ProjectKosten[],MATCH(Tb_ProjectKosten[[#Headers],[Forfait_Percentage]],Tb_ProjectKosten[#Headers],0),0),AND(F143="Arbeidskosten",G143&lt;&gt;""),IFERROR(X143*VLOOKUP(G143,Tb_KostenTypen[],3,0)*VLOOKUP(F143,Tb_ProjectKosten[],MATCH(Tb_ProjectKosten[[#Headers],[Forfait_Percentage]],Tb_ProjectKosten[#Headers],0),0),""),X143 &lt;=0,0),"")</f>
        <v/>
      </c>
      <c r="AB143" s="314" t="str">
        <f t="shared" ca="1" si="11"/>
        <v/>
      </c>
      <c r="AC143" s="322"/>
      <c r="AD143" s="315"/>
      <c r="AE143" s="32" t="str" cm="1">
        <f t="array" ref="AE143">IFERROR(IF(INDEX(SubsidieTabel!$AD$1:$AG$12,MATCH($F143,SubsidieTabel!$AD$1:$AD$12,0),IFERROR(MATCH(Methode_Keuze,SubsidieTabel!$AD$1:$AG$1,0),2))&lt;&gt;1=TRUE,"ja",""),"")</f>
        <v/>
      </c>
    </row>
    <row r="144" spans="1:31" x14ac:dyDescent="0.25">
      <c r="A144" s="316"/>
      <c r="B144" s="317" t="str">
        <f>IF(A144&lt;&gt;"",_xlfn.MAXIFS($B$1:B143,$A$1:A143,A144)+1,"")</f>
        <v/>
      </c>
      <c r="C144" s="296"/>
      <c r="D144" s="296"/>
      <c r="E144" s="296"/>
      <c r="F144" s="296"/>
      <c r="G144" s="326"/>
      <c r="H144" s="324"/>
      <c r="I144" s="325"/>
      <c r="J144" s="325"/>
      <c r="K144" s="318"/>
      <c r="L144" s="318"/>
      <c r="M144" s="319" t="str">
        <f>IFERROR(VLOOKUP(H144,Lijsten!$H$1:$I$100,2,0),"")</f>
        <v/>
      </c>
      <c r="N144" s="319" t="str">
        <f ca="1">IFERROR(IF(VLOOKUP(F144,Kostentypen!$A$3:$E$21,3,0)=0,"",IF(OR(F144="Arbeidskosten",F144="Vergoeding"),VLOOKUP(G144,Tb_KostenTypen[],2,0),VLOOKUP(F144,Kostentypen!$A$3:$E$20,3,0))),"")</f>
        <v/>
      </c>
      <c r="O144" s="320" t="str" cm="1">
        <f t="array" ref="O144">_xlfn.IFNA(IF(INDEX(Tb_KostenOptiesDB[],MATCH($F144,Tb_KostenOptiesDB[KostenOptie],0),IFERROR(MATCH(Methode_Keuze,Tb_KostenOptiesDB[#Headers],0),2))=1,_xlfn.SWITCH($N144,"Uurtarief",IF(OR(AND(RIGHT($F144,3)="IKS",VLOOKUP($M144,DB_Loonkosten,2,0)="Ja"),AND(RIGHT($F144,3)&lt;&gt;"IKS",VLOOKUP($M144,DB_Loonkosten,2,0)="Nee")),IFERROR(VLOOKUP($M144,DB_Loonkosten,24,0),""),0),"Vast tarief",IF(LEFT(F144,8)="Bijdrage",VLOOKUP($F144,Tb_KostenTypen[],MATCH(Lijsten!$P$1,Tb_KostenTypen[#Headers],0),0),VLOOKUP($G144,Lijsten!L:P,MATCH(Lijsten!$P$1,Kop_Tarief_Vast,0),0))),""),"")</f>
        <v/>
      </c>
      <c r="P144" s="320" t="str" cm="1">
        <f t="array" ref="P144">_xlfn.IFNA(IF(INDEX(Tb_KostenOptiesDB[],MATCH($F144,Tb_KostenOptiesDB[KostenOptie],0),IFERROR(MATCH(Methode_Keuze,Tb_KostenOptiesDB[#Headers],0),2))=1,_xlfn.SWITCH($N144,"Uurtarief",IF(OR(AND(RIGHT($F144,3)="IKS",VLOOKUP($M144,DB_Loonkosten,2,0)="Ja"),AND(RIGHT($F144,3)&lt;&gt;"IKS",VLOOKUP($M144,DB_Loonkosten,2,0)="Nee")),IFERROR(VLOOKUP($M144,DB_Loonkosten,25,0),""),0),"Vast tarief",IF(LEFT(F144,8)="Bijdrage",VLOOKUP($F144,Tb_KostenTypen[],MATCH(Lijsten!$P$1,Tb_KostenTypen[#Headers],0),0),VLOOKUP($G144,Lijsten!L:P,MATCH(Lijsten!$P$1,Kop_Tarief_Vast,0),0))),""),"")</f>
        <v/>
      </c>
      <c r="Q144" s="359"/>
      <c r="R144" s="359"/>
      <c r="S144" s="321"/>
      <c r="T144" s="321"/>
      <c r="U144" s="373" t="str">
        <f t="shared" si="8"/>
        <v/>
      </c>
      <c r="V144" s="314" t="str">
        <f t="shared" si="9"/>
        <v/>
      </c>
      <c r="W144" s="314" t="str" cm="1">
        <f t="array" aca="1" ref="W144" ca="1">IFERROR(IF(AE144&lt;&gt;"ja",_xlfn.IFNA(_xlfn.IFS(AND(O144&lt;&gt;"",F144&lt;&gt;"",RIGHT($N144,6)="tarief",F144="Vergoeding"),SUM(O144)*FLOOR(SUM(Q144),0.0001),AND(O144&lt;&gt;"",F144&lt;&gt;"",RIGHT($N144,6)="tarief"),SUM(O144)*FLOOR(SUM(Q144),0.01),S144&gt;0,IF(F144&lt;&gt;"",FLOOR(SUM(S144),0.01),"")),""),""),"")</f>
        <v/>
      </c>
      <c r="X144" s="314" t="str" cm="1">
        <f t="array" aca="1" ref="X144" ca="1">IFERROR(IF(AE144&lt;&gt;"ja",_xlfn.IFNA(_xlfn.IFS(AND(P144&lt;&gt;"",R144&lt;&gt;"",RIGHT($N144,6)="tarief",F144="Vergoeding"),SUM(P144)*FLOOR(SUM(R144),0.0001),AND(P144&lt;&gt;"",R144&lt;&gt;"",RIGHT($N144,6)="tarief"),P144*FLOOR(R144,0.01),T144&gt;0,FLOOR(SUM(T144),0.01)),""),""),"")</f>
        <v/>
      </c>
      <c r="Y144" s="314" t="str">
        <f t="shared" ca="1" si="10"/>
        <v/>
      </c>
      <c r="Z144" s="314" t="str" cm="1">
        <f t="array" aca="1" ref="Z144" ca="1">IFERROR(_xlfn.IFS(OR(F144="",LEFT(Methode_Keuze,4)="Geen",Methode_Keuze=""),"",AND(W144&lt;&gt;"",F144&lt;&gt;"Arbeidskosten"),W144*VLOOKUP(F144,Tb_ProjectKosten[],MATCH(Tb_ProjectKosten[[#Headers],[Forfait_Percentage]],Tb_ProjectKosten[#Headers],0),0),AND(F144="Arbeidskosten",G144&lt;&gt;""),IFERROR(W144*VLOOKUP(G144,Tb_KostenTypen[],3,0)*VLOOKUP(F144,Tb_ProjectKosten[],MATCH(Tb_ProjectKosten[[#Headers],[Forfait_Percentage]],Tb_ProjectKosten[#Headers],0),0),""),W144 &lt;=0,0),"")</f>
        <v/>
      </c>
      <c r="AA144" s="314" t="str" cm="1">
        <f t="array" aca="1" ref="AA144" ca="1">IFERROR(_xlfn.IFS(OR(F144="",LEFT(Methode_Keuze,4)="Geen",Methode_Keuze=""),"",AND(X144&lt;&gt;"",F144&lt;&gt;"Arbeidskosten"),X144*VLOOKUP(F144,Tb_ProjectKosten[],MATCH(Tb_ProjectKosten[[#Headers],[Forfait_Percentage]],Tb_ProjectKosten[#Headers],0),0),AND(F144="Arbeidskosten",G144&lt;&gt;""),IFERROR(X144*VLOOKUP(G144,Tb_KostenTypen[],3,0)*VLOOKUP(F144,Tb_ProjectKosten[],MATCH(Tb_ProjectKosten[[#Headers],[Forfait_Percentage]],Tb_ProjectKosten[#Headers],0),0),""),X144 &lt;=0,0),"")</f>
        <v/>
      </c>
      <c r="AB144" s="314" t="str">
        <f t="shared" ca="1" si="11"/>
        <v/>
      </c>
      <c r="AC144" s="322"/>
      <c r="AD144" s="315"/>
      <c r="AE144" s="32" t="str" cm="1">
        <f t="array" ref="AE144">IFERROR(IF(INDEX(SubsidieTabel!$AD$1:$AG$12,MATCH($F144,SubsidieTabel!$AD$1:$AD$12,0),IFERROR(MATCH(Methode_Keuze,SubsidieTabel!$AD$1:$AG$1,0),2))&lt;&gt;1=TRUE,"ja",""),"")</f>
        <v/>
      </c>
    </row>
    <row r="145" spans="1:31" x14ac:dyDescent="0.25">
      <c r="A145" s="316"/>
      <c r="B145" s="317" t="str">
        <f>IF(A145&lt;&gt;"",_xlfn.MAXIFS($B$1:B144,$A$1:A144,A145)+1,"")</f>
        <v/>
      </c>
      <c r="C145" s="296"/>
      <c r="D145" s="296"/>
      <c r="E145" s="296"/>
      <c r="F145" s="296"/>
      <c r="G145" s="326"/>
      <c r="H145" s="324"/>
      <c r="I145" s="325"/>
      <c r="J145" s="325"/>
      <c r="K145" s="318"/>
      <c r="L145" s="318"/>
      <c r="M145" s="319" t="str">
        <f>IFERROR(VLOOKUP(H145,Lijsten!$H$1:$I$100,2,0),"")</f>
        <v/>
      </c>
      <c r="N145" s="319" t="str">
        <f ca="1">IFERROR(IF(VLOOKUP(F145,Kostentypen!$A$3:$E$21,3,0)=0,"",IF(OR(F145="Arbeidskosten",F145="Vergoeding"),VLOOKUP(G145,Tb_KostenTypen[],2,0),VLOOKUP(F145,Kostentypen!$A$3:$E$20,3,0))),"")</f>
        <v/>
      </c>
      <c r="O145" s="320" t="str" cm="1">
        <f t="array" ref="O145">_xlfn.IFNA(IF(INDEX(Tb_KostenOptiesDB[],MATCH($F145,Tb_KostenOptiesDB[KostenOptie],0),IFERROR(MATCH(Methode_Keuze,Tb_KostenOptiesDB[#Headers],0),2))=1,_xlfn.SWITCH($N145,"Uurtarief",IF(OR(AND(RIGHT($F145,3)="IKS",VLOOKUP($M145,DB_Loonkosten,2,0)="Ja"),AND(RIGHT($F145,3)&lt;&gt;"IKS",VLOOKUP($M145,DB_Loonkosten,2,0)="Nee")),IFERROR(VLOOKUP($M145,DB_Loonkosten,24,0),""),0),"Vast tarief",IF(LEFT(F145,8)="Bijdrage",VLOOKUP($F145,Tb_KostenTypen[],MATCH(Lijsten!$P$1,Tb_KostenTypen[#Headers],0),0),VLOOKUP($G145,Lijsten!L:P,MATCH(Lijsten!$P$1,Kop_Tarief_Vast,0),0))),""),"")</f>
        <v/>
      </c>
      <c r="P145" s="320" t="str" cm="1">
        <f t="array" ref="P145">_xlfn.IFNA(IF(INDEX(Tb_KostenOptiesDB[],MATCH($F145,Tb_KostenOptiesDB[KostenOptie],0),IFERROR(MATCH(Methode_Keuze,Tb_KostenOptiesDB[#Headers],0),2))=1,_xlfn.SWITCH($N145,"Uurtarief",IF(OR(AND(RIGHT($F145,3)="IKS",VLOOKUP($M145,DB_Loonkosten,2,0)="Ja"),AND(RIGHT($F145,3)&lt;&gt;"IKS",VLOOKUP($M145,DB_Loonkosten,2,0)="Nee")),IFERROR(VLOOKUP($M145,DB_Loonkosten,25,0),""),0),"Vast tarief",IF(LEFT(F145,8)="Bijdrage",VLOOKUP($F145,Tb_KostenTypen[],MATCH(Lijsten!$P$1,Tb_KostenTypen[#Headers],0),0),VLOOKUP($G145,Lijsten!L:P,MATCH(Lijsten!$P$1,Kop_Tarief_Vast,0),0))),""),"")</f>
        <v/>
      </c>
      <c r="Q145" s="359"/>
      <c r="R145" s="359"/>
      <c r="S145" s="321"/>
      <c r="T145" s="321"/>
      <c r="U145" s="373" t="str">
        <f t="shared" si="8"/>
        <v/>
      </c>
      <c r="V145" s="314" t="str">
        <f t="shared" si="9"/>
        <v/>
      </c>
      <c r="W145" s="314" t="str" cm="1">
        <f t="array" aca="1" ref="W145" ca="1">IFERROR(IF(AE145&lt;&gt;"ja",_xlfn.IFNA(_xlfn.IFS(AND(O145&lt;&gt;"",F145&lt;&gt;"",RIGHT($N145,6)="tarief",F145="Vergoeding"),SUM(O145)*FLOOR(SUM(Q145),0.0001),AND(O145&lt;&gt;"",F145&lt;&gt;"",RIGHT($N145,6)="tarief"),SUM(O145)*FLOOR(SUM(Q145),0.01),S145&gt;0,IF(F145&lt;&gt;"",FLOOR(SUM(S145),0.01),"")),""),""),"")</f>
        <v/>
      </c>
      <c r="X145" s="314" t="str" cm="1">
        <f t="array" aca="1" ref="X145" ca="1">IFERROR(IF(AE145&lt;&gt;"ja",_xlfn.IFNA(_xlfn.IFS(AND(P145&lt;&gt;"",R145&lt;&gt;"",RIGHT($N145,6)="tarief",F145="Vergoeding"),SUM(P145)*FLOOR(SUM(R145),0.0001),AND(P145&lt;&gt;"",R145&lt;&gt;"",RIGHT($N145,6)="tarief"),P145*FLOOR(R145,0.01),T145&gt;0,FLOOR(SUM(T145),0.01)),""),""),"")</f>
        <v/>
      </c>
      <c r="Y145" s="314" t="str">
        <f t="shared" ca="1" si="10"/>
        <v/>
      </c>
      <c r="Z145" s="314" t="str" cm="1">
        <f t="array" aca="1" ref="Z145" ca="1">IFERROR(_xlfn.IFS(OR(F145="",LEFT(Methode_Keuze,4)="Geen",Methode_Keuze=""),"",AND(W145&lt;&gt;"",F145&lt;&gt;"Arbeidskosten"),W145*VLOOKUP(F145,Tb_ProjectKosten[],MATCH(Tb_ProjectKosten[[#Headers],[Forfait_Percentage]],Tb_ProjectKosten[#Headers],0),0),AND(F145="Arbeidskosten",G145&lt;&gt;""),IFERROR(W145*VLOOKUP(G145,Tb_KostenTypen[],3,0)*VLOOKUP(F145,Tb_ProjectKosten[],MATCH(Tb_ProjectKosten[[#Headers],[Forfait_Percentage]],Tb_ProjectKosten[#Headers],0),0),""),W145 &lt;=0,0),"")</f>
        <v/>
      </c>
      <c r="AA145" s="314" t="str" cm="1">
        <f t="array" aca="1" ref="AA145" ca="1">IFERROR(_xlfn.IFS(OR(F145="",LEFT(Methode_Keuze,4)="Geen",Methode_Keuze=""),"",AND(X145&lt;&gt;"",F145&lt;&gt;"Arbeidskosten"),X145*VLOOKUP(F145,Tb_ProjectKosten[],MATCH(Tb_ProjectKosten[[#Headers],[Forfait_Percentage]],Tb_ProjectKosten[#Headers],0),0),AND(F145="Arbeidskosten",G145&lt;&gt;""),IFERROR(X145*VLOOKUP(G145,Tb_KostenTypen[],3,0)*VLOOKUP(F145,Tb_ProjectKosten[],MATCH(Tb_ProjectKosten[[#Headers],[Forfait_Percentage]],Tb_ProjectKosten[#Headers],0),0),""),X145 &lt;=0,0),"")</f>
        <v/>
      </c>
      <c r="AB145" s="314" t="str">
        <f t="shared" ca="1" si="11"/>
        <v/>
      </c>
      <c r="AC145" s="322"/>
      <c r="AD145" s="315"/>
      <c r="AE145" s="32" t="str" cm="1">
        <f t="array" ref="AE145">IFERROR(IF(INDEX(SubsidieTabel!$AD$1:$AG$12,MATCH($F145,SubsidieTabel!$AD$1:$AD$12,0),IFERROR(MATCH(Methode_Keuze,SubsidieTabel!$AD$1:$AG$1,0),2))&lt;&gt;1=TRUE,"ja",""),"")</f>
        <v/>
      </c>
    </row>
    <row r="146" spans="1:31" x14ac:dyDescent="0.25">
      <c r="A146" s="316"/>
      <c r="B146" s="317" t="str">
        <f>IF(A146&lt;&gt;"",_xlfn.MAXIFS($B$1:B145,$A$1:A145,A146)+1,"")</f>
        <v/>
      </c>
      <c r="C146" s="296"/>
      <c r="D146" s="296"/>
      <c r="E146" s="296"/>
      <c r="F146" s="296"/>
      <c r="G146" s="326"/>
      <c r="H146" s="324"/>
      <c r="I146" s="325"/>
      <c r="J146" s="325"/>
      <c r="K146" s="318"/>
      <c r="L146" s="318"/>
      <c r="M146" s="319" t="str">
        <f>IFERROR(VLOOKUP(H146,Lijsten!$H$1:$I$100,2,0),"")</f>
        <v/>
      </c>
      <c r="N146" s="319" t="str">
        <f ca="1">IFERROR(IF(VLOOKUP(F146,Kostentypen!$A$3:$E$21,3,0)=0,"",IF(OR(F146="Arbeidskosten",F146="Vergoeding"),VLOOKUP(G146,Tb_KostenTypen[],2,0),VLOOKUP(F146,Kostentypen!$A$3:$E$20,3,0))),"")</f>
        <v/>
      </c>
      <c r="O146" s="320" t="str" cm="1">
        <f t="array" ref="O146">_xlfn.IFNA(IF(INDEX(Tb_KostenOptiesDB[],MATCH($F146,Tb_KostenOptiesDB[KostenOptie],0),IFERROR(MATCH(Methode_Keuze,Tb_KostenOptiesDB[#Headers],0),2))=1,_xlfn.SWITCH($N146,"Uurtarief",IF(OR(AND(RIGHT($F146,3)="IKS",VLOOKUP($M146,DB_Loonkosten,2,0)="Ja"),AND(RIGHT($F146,3)&lt;&gt;"IKS",VLOOKUP($M146,DB_Loonkosten,2,0)="Nee")),IFERROR(VLOOKUP($M146,DB_Loonkosten,24,0),""),0),"Vast tarief",IF(LEFT(F146,8)="Bijdrage",VLOOKUP($F146,Tb_KostenTypen[],MATCH(Lijsten!$P$1,Tb_KostenTypen[#Headers],0),0),VLOOKUP($G146,Lijsten!L:P,MATCH(Lijsten!$P$1,Kop_Tarief_Vast,0),0))),""),"")</f>
        <v/>
      </c>
      <c r="P146" s="320" t="str" cm="1">
        <f t="array" ref="P146">_xlfn.IFNA(IF(INDEX(Tb_KostenOptiesDB[],MATCH($F146,Tb_KostenOptiesDB[KostenOptie],0),IFERROR(MATCH(Methode_Keuze,Tb_KostenOptiesDB[#Headers],0),2))=1,_xlfn.SWITCH($N146,"Uurtarief",IF(OR(AND(RIGHT($F146,3)="IKS",VLOOKUP($M146,DB_Loonkosten,2,0)="Ja"),AND(RIGHT($F146,3)&lt;&gt;"IKS",VLOOKUP($M146,DB_Loonkosten,2,0)="Nee")),IFERROR(VLOOKUP($M146,DB_Loonkosten,25,0),""),0),"Vast tarief",IF(LEFT(F146,8)="Bijdrage",VLOOKUP($F146,Tb_KostenTypen[],MATCH(Lijsten!$P$1,Tb_KostenTypen[#Headers],0),0),VLOOKUP($G146,Lijsten!L:P,MATCH(Lijsten!$P$1,Kop_Tarief_Vast,0),0))),""),"")</f>
        <v/>
      </c>
      <c r="Q146" s="359"/>
      <c r="R146" s="359"/>
      <c r="S146" s="321"/>
      <c r="T146" s="321"/>
      <c r="U146" s="373" t="str">
        <f t="shared" si="8"/>
        <v/>
      </c>
      <c r="V146" s="314" t="str">
        <f t="shared" si="9"/>
        <v/>
      </c>
      <c r="W146" s="314" t="str" cm="1">
        <f t="array" aca="1" ref="W146" ca="1">IFERROR(IF(AE146&lt;&gt;"ja",_xlfn.IFNA(_xlfn.IFS(AND(O146&lt;&gt;"",F146&lt;&gt;"",RIGHT($N146,6)="tarief",F146="Vergoeding"),SUM(O146)*FLOOR(SUM(Q146),0.0001),AND(O146&lt;&gt;"",F146&lt;&gt;"",RIGHT($N146,6)="tarief"),SUM(O146)*FLOOR(SUM(Q146),0.01),S146&gt;0,IF(F146&lt;&gt;"",FLOOR(SUM(S146),0.01),"")),""),""),"")</f>
        <v/>
      </c>
      <c r="X146" s="314" t="str" cm="1">
        <f t="array" aca="1" ref="X146" ca="1">IFERROR(IF(AE146&lt;&gt;"ja",_xlfn.IFNA(_xlfn.IFS(AND(P146&lt;&gt;"",R146&lt;&gt;"",RIGHT($N146,6)="tarief",F146="Vergoeding"),SUM(P146)*FLOOR(SUM(R146),0.0001),AND(P146&lt;&gt;"",R146&lt;&gt;"",RIGHT($N146,6)="tarief"),P146*FLOOR(R146,0.01),T146&gt;0,FLOOR(SUM(T146),0.01)),""),""),"")</f>
        <v/>
      </c>
      <c r="Y146" s="314" t="str">
        <f t="shared" ca="1" si="10"/>
        <v/>
      </c>
      <c r="Z146" s="314" t="str" cm="1">
        <f t="array" aca="1" ref="Z146" ca="1">IFERROR(_xlfn.IFS(OR(F146="",LEFT(Methode_Keuze,4)="Geen",Methode_Keuze=""),"",AND(W146&lt;&gt;"",F146&lt;&gt;"Arbeidskosten"),W146*VLOOKUP(F146,Tb_ProjectKosten[],MATCH(Tb_ProjectKosten[[#Headers],[Forfait_Percentage]],Tb_ProjectKosten[#Headers],0),0),AND(F146="Arbeidskosten",G146&lt;&gt;""),IFERROR(W146*VLOOKUP(G146,Tb_KostenTypen[],3,0)*VLOOKUP(F146,Tb_ProjectKosten[],MATCH(Tb_ProjectKosten[[#Headers],[Forfait_Percentage]],Tb_ProjectKosten[#Headers],0),0),""),W146 &lt;=0,0),"")</f>
        <v/>
      </c>
      <c r="AA146" s="314" t="str" cm="1">
        <f t="array" aca="1" ref="AA146" ca="1">IFERROR(_xlfn.IFS(OR(F146="",LEFT(Methode_Keuze,4)="Geen",Methode_Keuze=""),"",AND(X146&lt;&gt;"",F146&lt;&gt;"Arbeidskosten"),X146*VLOOKUP(F146,Tb_ProjectKosten[],MATCH(Tb_ProjectKosten[[#Headers],[Forfait_Percentage]],Tb_ProjectKosten[#Headers],0),0),AND(F146="Arbeidskosten",G146&lt;&gt;""),IFERROR(X146*VLOOKUP(G146,Tb_KostenTypen[],3,0)*VLOOKUP(F146,Tb_ProjectKosten[],MATCH(Tb_ProjectKosten[[#Headers],[Forfait_Percentage]],Tb_ProjectKosten[#Headers],0),0),""),X146 &lt;=0,0),"")</f>
        <v/>
      </c>
      <c r="AB146" s="314" t="str">
        <f t="shared" ca="1" si="11"/>
        <v/>
      </c>
      <c r="AC146" s="322"/>
      <c r="AD146" s="315"/>
      <c r="AE146" s="32" t="str" cm="1">
        <f t="array" ref="AE146">IFERROR(IF(INDEX(SubsidieTabel!$AD$1:$AG$12,MATCH($F146,SubsidieTabel!$AD$1:$AD$12,0),IFERROR(MATCH(Methode_Keuze,SubsidieTabel!$AD$1:$AG$1,0),2))&lt;&gt;1=TRUE,"ja",""),"")</f>
        <v/>
      </c>
    </row>
    <row r="147" spans="1:31" x14ac:dyDescent="0.25">
      <c r="A147" s="316"/>
      <c r="B147" s="317" t="str">
        <f>IF(A147&lt;&gt;"",_xlfn.MAXIFS($B$1:B146,$A$1:A146,A147)+1,"")</f>
        <v/>
      </c>
      <c r="C147" s="296"/>
      <c r="D147" s="296"/>
      <c r="E147" s="296"/>
      <c r="F147" s="296"/>
      <c r="G147" s="326"/>
      <c r="H147" s="324"/>
      <c r="I147" s="325"/>
      <c r="J147" s="325"/>
      <c r="K147" s="318"/>
      <c r="L147" s="318"/>
      <c r="M147" s="319" t="str">
        <f>IFERROR(VLOOKUP(H147,Lijsten!$H$1:$I$100,2,0),"")</f>
        <v/>
      </c>
      <c r="N147" s="319" t="str">
        <f ca="1">IFERROR(IF(VLOOKUP(F147,Kostentypen!$A$3:$E$21,3,0)=0,"",IF(OR(F147="Arbeidskosten",F147="Vergoeding"),VLOOKUP(G147,Tb_KostenTypen[],2,0),VLOOKUP(F147,Kostentypen!$A$3:$E$20,3,0))),"")</f>
        <v/>
      </c>
      <c r="O147" s="320" t="str" cm="1">
        <f t="array" ref="O147">_xlfn.IFNA(IF(INDEX(Tb_KostenOptiesDB[],MATCH($F147,Tb_KostenOptiesDB[KostenOptie],0),IFERROR(MATCH(Methode_Keuze,Tb_KostenOptiesDB[#Headers],0),2))=1,_xlfn.SWITCH($N147,"Uurtarief",IF(OR(AND(RIGHT($F147,3)="IKS",VLOOKUP($M147,DB_Loonkosten,2,0)="Ja"),AND(RIGHT($F147,3)&lt;&gt;"IKS",VLOOKUP($M147,DB_Loonkosten,2,0)="Nee")),IFERROR(VLOOKUP($M147,DB_Loonkosten,24,0),""),0),"Vast tarief",IF(LEFT(F147,8)="Bijdrage",VLOOKUP($F147,Tb_KostenTypen[],MATCH(Lijsten!$P$1,Tb_KostenTypen[#Headers],0),0),VLOOKUP($G147,Lijsten!L:P,MATCH(Lijsten!$P$1,Kop_Tarief_Vast,0),0))),""),"")</f>
        <v/>
      </c>
      <c r="P147" s="320" t="str" cm="1">
        <f t="array" ref="P147">_xlfn.IFNA(IF(INDEX(Tb_KostenOptiesDB[],MATCH($F147,Tb_KostenOptiesDB[KostenOptie],0),IFERROR(MATCH(Methode_Keuze,Tb_KostenOptiesDB[#Headers],0),2))=1,_xlfn.SWITCH($N147,"Uurtarief",IF(OR(AND(RIGHT($F147,3)="IKS",VLOOKUP($M147,DB_Loonkosten,2,0)="Ja"),AND(RIGHT($F147,3)&lt;&gt;"IKS",VLOOKUP($M147,DB_Loonkosten,2,0)="Nee")),IFERROR(VLOOKUP($M147,DB_Loonkosten,25,0),""),0),"Vast tarief",IF(LEFT(F147,8)="Bijdrage",VLOOKUP($F147,Tb_KostenTypen[],MATCH(Lijsten!$P$1,Tb_KostenTypen[#Headers],0),0),VLOOKUP($G147,Lijsten!L:P,MATCH(Lijsten!$P$1,Kop_Tarief_Vast,0),0))),""),"")</f>
        <v/>
      </c>
      <c r="Q147" s="359"/>
      <c r="R147" s="359"/>
      <c r="S147" s="321"/>
      <c r="T147" s="321"/>
      <c r="U147" s="373" t="str">
        <f t="shared" si="8"/>
        <v/>
      </c>
      <c r="V147" s="314" t="str">
        <f t="shared" si="9"/>
        <v/>
      </c>
      <c r="W147" s="314" t="str" cm="1">
        <f t="array" aca="1" ref="W147" ca="1">IFERROR(IF(AE147&lt;&gt;"ja",_xlfn.IFNA(_xlfn.IFS(AND(O147&lt;&gt;"",F147&lt;&gt;"",RIGHT($N147,6)="tarief",F147="Vergoeding"),SUM(O147)*FLOOR(SUM(Q147),0.0001),AND(O147&lt;&gt;"",F147&lt;&gt;"",RIGHT($N147,6)="tarief"),SUM(O147)*FLOOR(SUM(Q147),0.01),S147&gt;0,IF(F147&lt;&gt;"",FLOOR(SUM(S147),0.01),"")),""),""),"")</f>
        <v/>
      </c>
      <c r="X147" s="314" t="str" cm="1">
        <f t="array" aca="1" ref="X147" ca="1">IFERROR(IF(AE147&lt;&gt;"ja",_xlfn.IFNA(_xlfn.IFS(AND(P147&lt;&gt;"",R147&lt;&gt;"",RIGHT($N147,6)="tarief",F147="Vergoeding"),SUM(P147)*FLOOR(SUM(R147),0.0001),AND(P147&lt;&gt;"",R147&lt;&gt;"",RIGHT($N147,6)="tarief"),P147*FLOOR(R147,0.01),T147&gt;0,FLOOR(SUM(T147),0.01)),""),""),"")</f>
        <v/>
      </c>
      <c r="Y147" s="314" t="str">
        <f t="shared" ca="1" si="10"/>
        <v/>
      </c>
      <c r="Z147" s="314" t="str" cm="1">
        <f t="array" aca="1" ref="Z147" ca="1">IFERROR(_xlfn.IFS(OR(F147="",LEFT(Methode_Keuze,4)="Geen",Methode_Keuze=""),"",AND(W147&lt;&gt;"",F147&lt;&gt;"Arbeidskosten"),W147*VLOOKUP(F147,Tb_ProjectKosten[],MATCH(Tb_ProjectKosten[[#Headers],[Forfait_Percentage]],Tb_ProjectKosten[#Headers],0),0),AND(F147="Arbeidskosten",G147&lt;&gt;""),IFERROR(W147*VLOOKUP(G147,Tb_KostenTypen[],3,0)*VLOOKUP(F147,Tb_ProjectKosten[],MATCH(Tb_ProjectKosten[[#Headers],[Forfait_Percentage]],Tb_ProjectKosten[#Headers],0),0),""),W147 &lt;=0,0),"")</f>
        <v/>
      </c>
      <c r="AA147" s="314" t="str" cm="1">
        <f t="array" aca="1" ref="AA147" ca="1">IFERROR(_xlfn.IFS(OR(F147="",LEFT(Methode_Keuze,4)="Geen",Methode_Keuze=""),"",AND(X147&lt;&gt;"",F147&lt;&gt;"Arbeidskosten"),X147*VLOOKUP(F147,Tb_ProjectKosten[],MATCH(Tb_ProjectKosten[[#Headers],[Forfait_Percentage]],Tb_ProjectKosten[#Headers],0),0),AND(F147="Arbeidskosten",G147&lt;&gt;""),IFERROR(X147*VLOOKUP(G147,Tb_KostenTypen[],3,0)*VLOOKUP(F147,Tb_ProjectKosten[],MATCH(Tb_ProjectKosten[[#Headers],[Forfait_Percentage]],Tb_ProjectKosten[#Headers],0),0),""),X147 &lt;=0,0),"")</f>
        <v/>
      </c>
      <c r="AB147" s="314" t="str">
        <f t="shared" ca="1" si="11"/>
        <v/>
      </c>
      <c r="AC147" s="322"/>
      <c r="AD147" s="315"/>
      <c r="AE147" s="32" t="str" cm="1">
        <f t="array" ref="AE147">IFERROR(IF(INDEX(SubsidieTabel!$AD$1:$AG$12,MATCH($F147,SubsidieTabel!$AD$1:$AD$12,0),IFERROR(MATCH(Methode_Keuze,SubsidieTabel!$AD$1:$AG$1,0),2))&lt;&gt;1=TRUE,"ja",""),"")</f>
        <v/>
      </c>
    </row>
    <row r="148" spans="1:31" x14ac:dyDescent="0.25">
      <c r="A148" s="316"/>
      <c r="B148" s="317" t="str">
        <f>IF(A148&lt;&gt;"",_xlfn.MAXIFS($B$1:B147,$A$1:A147,A148)+1,"")</f>
        <v/>
      </c>
      <c r="C148" s="296"/>
      <c r="D148" s="296"/>
      <c r="E148" s="296"/>
      <c r="F148" s="296"/>
      <c r="G148" s="326"/>
      <c r="H148" s="324"/>
      <c r="I148" s="325"/>
      <c r="J148" s="325"/>
      <c r="K148" s="318"/>
      <c r="L148" s="318"/>
      <c r="M148" s="319" t="str">
        <f>IFERROR(VLOOKUP(H148,Lijsten!$H$1:$I$100,2,0),"")</f>
        <v/>
      </c>
      <c r="N148" s="319" t="str">
        <f ca="1">IFERROR(IF(VLOOKUP(F148,Kostentypen!$A$3:$E$21,3,0)=0,"",IF(OR(F148="Arbeidskosten",F148="Vergoeding"),VLOOKUP(G148,Tb_KostenTypen[],2,0),VLOOKUP(F148,Kostentypen!$A$3:$E$20,3,0))),"")</f>
        <v/>
      </c>
      <c r="O148" s="320" t="str" cm="1">
        <f t="array" ref="O148">_xlfn.IFNA(IF(INDEX(Tb_KostenOptiesDB[],MATCH($F148,Tb_KostenOptiesDB[KostenOptie],0),IFERROR(MATCH(Methode_Keuze,Tb_KostenOptiesDB[#Headers],0),2))=1,_xlfn.SWITCH($N148,"Uurtarief",IF(OR(AND(RIGHT($F148,3)="IKS",VLOOKUP($M148,DB_Loonkosten,2,0)="Ja"),AND(RIGHT($F148,3)&lt;&gt;"IKS",VLOOKUP($M148,DB_Loonkosten,2,0)="Nee")),IFERROR(VLOOKUP($M148,DB_Loonkosten,24,0),""),0),"Vast tarief",IF(LEFT(F148,8)="Bijdrage",VLOOKUP($F148,Tb_KostenTypen[],MATCH(Lijsten!$P$1,Tb_KostenTypen[#Headers],0),0),VLOOKUP($G148,Lijsten!L:P,MATCH(Lijsten!$P$1,Kop_Tarief_Vast,0),0))),""),"")</f>
        <v/>
      </c>
      <c r="P148" s="320" t="str" cm="1">
        <f t="array" ref="P148">_xlfn.IFNA(IF(INDEX(Tb_KostenOptiesDB[],MATCH($F148,Tb_KostenOptiesDB[KostenOptie],0),IFERROR(MATCH(Methode_Keuze,Tb_KostenOptiesDB[#Headers],0),2))=1,_xlfn.SWITCH($N148,"Uurtarief",IF(OR(AND(RIGHT($F148,3)="IKS",VLOOKUP($M148,DB_Loonkosten,2,0)="Ja"),AND(RIGHT($F148,3)&lt;&gt;"IKS",VLOOKUP($M148,DB_Loonkosten,2,0)="Nee")),IFERROR(VLOOKUP($M148,DB_Loonkosten,25,0),""),0),"Vast tarief",IF(LEFT(F148,8)="Bijdrage",VLOOKUP($F148,Tb_KostenTypen[],MATCH(Lijsten!$P$1,Tb_KostenTypen[#Headers],0),0),VLOOKUP($G148,Lijsten!L:P,MATCH(Lijsten!$P$1,Kop_Tarief_Vast,0),0))),""),"")</f>
        <v/>
      </c>
      <c r="Q148" s="359"/>
      <c r="R148" s="359"/>
      <c r="S148" s="321"/>
      <c r="T148" s="321"/>
      <c r="U148" s="373" t="str">
        <f t="shared" si="8"/>
        <v/>
      </c>
      <c r="V148" s="314" t="str">
        <f t="shared" si="9"/>
        <v/>
      </c>
      <c r="W148" s="314" t="str" cm="1">
        <f t="array" aca="1" ref="W148" ca="1">IFERROR(IF(AE148&lt;&gt;"ja",_xlfn.IFNA(_xlfn.IFS(AND(O148&lt;&gt;"",F148&lt;&gt;"",RIGHT($N148,6)="tarief",F148="Vergoeding"),SUM(O148)*FLOOR(SUM(Q148),0.0001),AND(O148&lt;&gt;"",F148&lt;&gt;"",RIGHT($N148,6)="tarief"),SUM(O148)*FLOOR(SUM(Q148),0.01),S148&gt;0,IF(F148&lt;&gt;"",FLOOR(SUM(S148),0.01),"")),""),""),"")</f>
        <v/>
      </c>
      <c r="X148" s="314" t="str" cm="1">
        <f t="array" aca="1" ref="X148" ca="1">IFERROR(IF(AE148&lt;&gt;"ja",_xlfn.IFNA(_xlfn.IFS(AND(P148&lt;&gt;"",R148&lt;&gt;"",RIGHT($N148,6)="tarief",F148="Vergoeding"),SUM(P148)*FLOOR(SUM(R148),0.0001),AND(P148&lt;&gt;"",R148&lt;&gt;"",RIGHT($N148,6)="tarief"),P148*FLOOR(R148,0.01),T148&gt;0,FLOOR(SUM(T148),0.01)),""),""),"")</f>
        <v/>
      </c>
      <c r="Y148" s="314" t="str">
        <f t="shared" ca="1" si="10"/>
        <v/>
      </c>
      <c r="Z148" s="314" t="str" cm="1">
        <f t="array" aca="1" ref="Z148" ca="1">IFERROR(_xlfn.IFS(OR(F148="",LEFT(Methode_Keuze,4)="Geen",Methode_Keuze=""),"",AND(W148&lt;&gt;"",F148&lt;&gt;"Arbeidskosten"),W148*VLOOKUP(F148,Tb_ProjectKosten[],MATCH(Tb_ProjectKosten[[#Headers],[Forfait_Percentage]],Tb_ProjectKosten[#Headers],0),0),AND(F148="Arbeidskosten",G148&lt;&gt;""),IFERROR(W148*VLOOKUP(G148,Tb_KostenTypen[],3,0)*VLOOKUP(F148,Tb_ProjectKosten[],MATCH(Tb_ProjectKosten[[#Headers],[Forfait_Percentage]],Tb_ProjectKosten[#Headers],0),0),""),W148 &lt;=0,0),"")</f>
        <v/>
      </c>
      <c r="AA148" s="314" t="str" cm="1">
        <f t="array" aca="1" ref="AA148" ca="1">IFERROR(_xlfn.IFS(OR(F148="",LEFT(Methode_Keuze,4)="Geen",Methode_Keuze=""),"",AND(X148&lt;&gt;"",F148&lt;&gt;"Arbeidskosten"),X148*VLOOKUP(F148,Tb_ProjectKosten[],MATCH(Tb_ProjectKosten[[#Headers],[Forfait_Percentage]],Tb_ProjectKosten[#Headers],0),0),AND(F148="Arbeidskosten",G148&lt;&gt;""),IFERROR(X148*VLOOKUP(G148,Tb_KostenTypen[],3,0)*VLOOKUP(F148,Tb_ProjectKosten[],MATCH(Tb_ProjectKosten[[#Headers],[Forfait_Percentage]],Tb_ProjectKosten[#Headers],0),0),""),X148 &lt;=0,0),"")</f>
        <v/>
      </c>
      <c r="AB148" s="314" t="str">
        <f t="shared" ca="1" si="11"/>
        <v/>
      </c>
      <c r="AC148" s="322"/>
      <c r="AD148" s="315"/>
      <c r="AE148" s="32" t="str" cm="1">
        <f t="array" ref="AE148">IFERROR(IF(INDEX(SubsidieTabel!$AD$1:$AG$12,MATCH($F148,SubsidieTabel!$AD$1:$AD$12,0),IFERROR(MATCH(Methode_Keuze,SubsidieTabel!$AD$1:$AG$1,0),2))&lt;&gt;1=TRUE,"ja",""),"")</f>
        <v/>
      </c>
    </row>
    <row r="149" spans="1:31" x14ac:dyDescent="0.25">
      <c r="A149" s="316"/>
      <c r="B149" s="317" t="str">
        <f>IF(A149&lt;&gt;"",_xlfn.MAXIFS($B$1:B148,$A$1:A148,A149)+1,"")</f>
        <v/>
      </c>
      <c r="C149" s="296"/>
      <c r="D149" s="296"/>
      <c r="E149" s="296"/>
      <c r="F149" s="296"/>
      <c r="G149" s="326"/>
      <c r="H149" s="324"/>
      <c r="I149" s="325"/>
      <c r="J149" s="325"/>
      <c r="K149" s="318"/>
      <c r="L149" s="318"/>
      <c r="M149" s="319" t="str">
        <f>IFERROR(VLOOKUP(H149,Lijsten!$H$1:$I$100,2,0),"")</f>
        <v/>
      </c>
      <c r="N149" s="319" t="str">
        <f ca="1">IFERROR(IF(VLOOKUP(F149,Kostentypen!$A$3:$E$21,3,0)=0,"",IF(OR(F149="Arbeidskosten",F149="Vergoeding"),VLOOKUP(G149,Tb_KostenTypen[],2,0),VLOOKUP(F149,Kostentypen!$A$3:$E$20,3,0))),"")</f>
        <v/>
      </c>
      <c r="O149" s="320" t="str" cm="1">
        <f t="array" ref="O149">_xlfn.IFNA(IF(INDEX(Tb_KostenOptiesDB[],MATCH($F149,Tb_KostenOptiesDB[KostenOptie],0),IFERROR(MATCH(Methode_Keuze,Tb_KostenOptiesDB[#Headers],0),2))=1,_xlfn.SWITCH($N149,"Uurtarief",IF(OR(AND(RIGHT($F149,3)="IKS",VLOOKUP($M149,DB_Loonkosten,2,0)="Ja"),AND(RIGHT($F149,3)&lt;&gt;"IKS",VLOOKUP($M149,DB_Loonkosten,2,0)="Nee")),IFERROR(VLOOKUP($M149,DB_Loonkosten,24,0),""),0),"Vast tarief",IF(LEFT(F149,8)="Bijdrage",VLOOKUP($F149,Tb_KostenTypen[],MATCH(Lijsten!$P$1,Tb_KostenTypen[#Headers],0),0),VLOOKUP($G149,Lijsten!L:P,MATCH(Lijsten!$P$1,Kop_Tarief_Vast,0),0))),""),"")</f>
        <v/>
      </c>
      <c r="P149" s="320" t="str" cm="1">
        <f t="array" ref="P149">_xlfn.IFNA(IF(INDEX(Tb_KostenOptiesDB[],MATCH($F149,Tb_KostenOptiesDB[KostenOptie],0),IFERROR(MATCH(Methode_Keuze,Tb_KostenOptiesDB[#Headers],0),2))=1,_xlfn.SWITCH($N149,"Uurtarief",IF(OR(AND(RIGHT($F149,3)="IKS",VLOOKUP($M149,DB_Loonkosten,2,0)="Ja"),AND(RIGHT($F149,3)&lt;&gt;"IKS",VLOOKUP($M149,DB_Loonkosten,2,0)="Nee")),IFERROR(VLOOKUP($M149,DB_Loonkosten,25,0),""),0),"Vast tarief",IF(LEFT(F149,8)="Bijdrage",VLOOKUP($F149,Tb_KostenTypen[],MATCH(Lijsten!$P$1,Tb_KostenTypen[#Headers],0),0),VLOOKUP($G149,Lijsten!L:P,MATCH(Lijsten!$P$1,Kop_Tarief_Vast,0),0))),""),"")</f>
        <v/>
      </c>
      <c r="Q149" s="359"/>
      <c r="R149" s="359"/>
      <c r="S149" s="321"/>
      <c r="T149" s="321"/>
      <c r="U149" s="373" t="str">
        <f t="shared" si="8"/>
        <v/>
      </c>
      <c r="V149" s="314" t="str">
        <f t="shared" si="9"/>
        <v/>
      </c>
      <c r="W149" s="314" t="str" cm="1">
        <f t="array" aca="1" ref="W149" ca="1">IFERROR(IF(AE149&lt;&gt;"ja",_xlfn.IFNA(_xlfn.IFS(AND(O149&lt;&gt;"",F149&lt;&gt;"",RIGHT($N149,6)="tarief",F149="Vergoeding"),SUM(O149)*FLOOR(SUM(Q149),0.0001),AND(O149&lt;&gt;"",F149&lt;&gt;"",RIGHT($N149,6)="tarief"),SUM(O149)*FLOOR(SUM(Q149),0.01),S149&gt;0,IF(F149&lt;&gt;"",FLOOR(SUM(S149),0.01),"")),""),""),"")</f>
        <v/>
      </c>
      <c r="X149" s="314" t="str" cm="1">
        <f t="array" aca="1" ref="X149" ca="1">IFERROR(IF(AE149&lt;&gt;"ja",_xlfn.IFNA(_xlfn.IFS(AND(P149&lt;&gt;"",R149&lt;&gt;"",RIGHT($N149,6)="tarief",F149="Vergoeding"),SUM(P149)*FLOOR(SUM(R149),0.0001),AND(P149&lt;&gt;"",R149&lt;&gt;"",RIGHT($N149,6)="tarief"),P149*FLOOR(R149,0.01),T149&gt;0,FLOOR(SUM(T149),0.01)),""),""),"")</f>
        <v/>
      </c>
      <c r="Y149" s="314" t="str">
        <f t="shared" ca="1" si="10"/>
        <v/>
      </c>
      <c r="Z149" s="314" t="str" cm="1">
        <f t="array" aca="1" ref="Z149" ca="1">IFERROR(_xlfn.IFS(OR(F149="",LEFT(Methode_Keuze,4)="Geen",Methode_Keuze=""),"",AND(W149&lt;&gt;"",F149&lt;&gt;"Arbeidskosten"),W149*VLOOKUP(F149,Tb_ProjectKosten[],MATCH(Tb_ProjectKosten[[#Headers],[Forfait_Percentage]],Tb_ProjectKosten[#Headers],0),0),AND(F149="Arbeidskosten",G149&lt;&gt;""),IFERROR(W149*VLOOKUP(G149,Tb_KostenTypen[],3,0)*VLOOKUP(F149,Tb_ProjectKosten[],MATCH(Tb_ProjectKosten[[#Headers],[Forfait_Percentage]],Tb_ProjectKosten[#Headers],0),0),""),W149 &lt;=0,0),"")</f>
        <v/>
      </c>
      <c r="AA149" s="314" t="str" cm="1">
        <f t="array" aca="1" ref="AA149" ca="1">IFERROR(_xlfn.IFS(OR(F149="",LEFT(Methode_Keuze,4)="Geen",Methode_Keuze=""),"",AND(X149&lt;&gt;"",F149&lt;&gt;"Arbeidskosten"),X149*VLOOKUP(F149,Tb_ProjectKosten[],MATCH(Tb_ProjectKosten[[#Headers],[Forfait_Percentage]],Tb_ProjectKosten[#Headers],0),0),AND(F149="Arbeidskosten",G149&lt;&gt;""),IFERROR(X149*VLOOKUP(G149,Tb_KostenTypen[],3,0)*VLOOKUP(F149,Tb_ProjectKosten[],MATCH(Tb_ProjectKosten[[#Headers],[Forfait_Percentage]],Tb_ProjectKosten[#Headers],0),0),""),X149 &lt;=0,0),"")</f>
        <v/>
      </c>
      <c r="AB149" s="314" t="str">
        <f t="shared" ca="1" si="11"/>
        <v/>
      </c>
      <c r="AC149" s="322"/>
      <c r="AD149" s="315"/>
      <c r="AE149" s="32" t="str" cm="1">
        <f t="array" ref="AE149">IFERROR(IF(INDEX(SubsidieTabel!$AD$1:$AG$12,MATCH($F149,SubsidieTabel!$AD$1:$AD$12,0),IFERROR(MATCH(Methode_Keuze,SubsidieTabel!$AD$1:$AG$1,0),2))&lt;&gt;1=TRUE,"ja",""),"")</f>
        <v/>
      </c>
    </row>
    <row r="150" spans="1:31" x14ac:dyDescent="0.25">
      <c r="A150" s="316"/>
      <c r="B150" s="317" t="str">
        <f>IF(A150&lt;&gt;"",_xlfn.MAXIFS($B$1:B149,$A$1:A149,A150)+1,"")</f>
        <v/>
      </c>
      <c r="C150" s="296"/>
      <c r="D150" s="296"/>
      <c r="E150" s="296"/>
      <c r="F150" s="296"/>
      <c r="G150" s="326"/>
      <c r="H150" s="324"/>
      <c r="I150" s="325"/>
      <c r="J150" s="325"/>
      <c r="K150" s="318"/>
      <c r="L150" s="318"/>
      <c r="M150" s="319" t="str">
        <f>IFERROR(VLOOKUP(H150,Lijsten!$H$1:$I$100,2,0),"")</f>
        <v/>
      </c>
      <c r="N150" s="319" t="str">
        <f ca="1">IFERROR(IF(VLOOKUP(F150,Kostentypen!$A$3:$E$21,3,0)=0,"",IF(OR(F150="Arbeidskosten",F150="Vergoeding"),VLOOKUP(G150,Tb_KostenTypen[],2,0),VLOOKUP(F150,Kostentypen!$A$3:$E$20,3,0))),"")</f>
        <v/>
      </c>
      <c r="O150" s="320" t="str" cm="1">
        <f t="array" ref="O150">_xlfn.IFNA(IF(INDEX(Tb_KostenOptiesDB[],MATCH($F150,Tb_KostenOptiesDB[KostenOptie],0),IFERROR(MATCH(Methode_Keuze,Tb_KostenOptiesDB[#Headers],0),2))=1,_xlfn.SWITCH($N150,"Uurtarief",IF(OR(AND(RIGHT($F150,3)="IKS",VLOOKUP($M150,DB_Loonkosten,2,0)="Ja"),AND(RIGHT($F150,3)&lt;&gt;"IKS",VLOOKUP($M150,DB_Loonkosten,2,0)="Nee")),IFERROR(VLOOKUP($M150,DB_Loonkosten,24,0),""),0),"Vast tarief",IF(LEFT(F150,8)="Bijdrage",VLOOKUP($F150,Tb_KostenTypen[],MATCH(Lijsten!$P$1,Tb_KostenTypen[#Headers],0),0),VLOOKUP($G150,Lijsten!L:P,MATCH(Lijsten!$P$1,Kop_Tarief_Vast,0),0))),""),"")</f>
        <v/>
      </c>
      <c r="P150" s="320" t="str" cm="1">
        <f t="array" ref="P150">_xlfn.IFNA(IF(INDEX(Tb_KostenOptiesDB[],MATCH($F150,Tb_KostenOptiesDB[KostenOptie],0),IFERROR(MATCH(Methode_Keuze,Tb_KostenOptiesDB[#Headers],0),2))=1,_xlfn.SWITCH($N150,"Uurtarief",IF(OR(AND(RIGHT($F150,3)="IKS",VLOOKUP($M150,DB_Loonkosten,2,0)="Ja"),AND(RIGHT($F150,3)&lt;&gt;"IKS",VLOOKUP($M150,DB_Loonkosten,2,0)="Nee")),IFERROR(VLOOKUP($M150,DB_Loonkosten,25,0),""),0),"Vast tarief",IF(LEFT(F150,8)="Bijdrage",VLOOKUP($F150,Tb_KostenTypen[],MATCH(Lijsten!$P$1,Tb_KostenTypen[#Headers],0),0),VLOOKUP($G150,Lijsten!L:P,MATCH(Lijsten!$P$1,Kop_Tarief_Vast,0),0))),""),"")</f>
        <v/>
      </c>
      <c r="Q150" s="359"/>
      <c r="R150" s="359"/>
      <c r="S150" s="321"/>
      <c r="T150" s="321"/>
      <c r="U150" s="373" t="str">
        <f t="shared" si="8"/>
        <v/>
      </c>
      <c r="V150" s="314" t="str">
        <f t="shared" si="9"/>
        <v/>
      </c>
      <c r="W150" s="314" t="str" cm="1">
        <f t="array" aca="1" ref="W150" ca="1">IFERROR(IF(AE150&lt;&gt;"ja",_xlfn.IFNA(_xlfn.IFS(AND(O150&lt;&gt;"",F150&lt;&gt;"",RIGHT($N150,6)="tarief",F150="Vergoeding"),SUM(O150)*FLOOR(SUM(Q150),0.0001),AND(O150&lt;&gt;"",F150&lt;&gt;"",RIGHT($N150,6)="tarief"),SUM(O150)*FLOOR(SUM(Q150),0.01),S150&gt;0,IF(F150&lt;&gt;"",FLOOR(SUM(S150),0.01),"")),""),""),"")</f>
        <v/>
      </c>
      <c r="X150" s="314" t="str" cm="1">
        <f t="array" aca="1" ref="X150" ca="1">IFERROR(IF(AE150&lt;&gt;"ja",_xlfn.IFNA(_xlfn.IFS(AND(P150&lt;&gt;"",R150&lt;&gt;"",RIGHT($N150,6)="tarief",F150="Vergoeding"),SUM(P150)*FLOOR(SUM(R150),0.0001),AND(P150&lt;&gt;"",R150&lt;&gt;"",RIGHT($N150,6)="tarief"),P150*FLOOR(R150,0.01),T150&gt;0,FLOOR(SUM(T150),0.01)),""),""),"")</f>
        <v/>
      </c>
      <c r="Y150" s="314" t="str">
        <f t="shared" ca="1" si="10"/>
        <v/>
      </c>
      <c r="Z150" s="314" t="str" cm="1">
        <f t="array" aca="1" ref="Z150" ca="1">IFERROR(_xlfn.IFS(OR(F150="",LEFT(Methode_Keuze,4)="Geen",Methode_Keuze=""),"",AND(W150&lt;&gt;"",F150&lt;&gt;"Arbeidskosten"),W150*VLOOKUP(F150,Tb_ProjectKosten[],MATCH(Tb_ProjectKosten[[#Headers],[Forfait_Percentage]],Tb_ProjectKosten[#Headers],0),0),AND(F150="Arbeidskosten",G150&lt;&gt;""),IFERROR(W150*VLOOKUP(G150,Tb_KostenTypen[],3,0)*VLOOKUP(F150,Tb_ProjectKosten[],MATCH(Tb_ProjectKosten[[#Headers],[Forfait_Percentage]],Tb_ProjectKosten[#Headers],0),0),""),W150 &lt;=0,0),"")</f>
        <v/>
      </c>
      <c r="AA150" s="314" t="str" cm="1">
        <f t="array" aca="1" ref="AA150" ca="1">IFERROR(_xlfn.IFS(OR(F150="",LEFT(Methode_Keuze,4)="Geen",Methode_Keuze=""),"",AND(X150&lt;&gt;"",F150&lt;&gt;"Arbeidskosten"),X150*VLOOKUP(F150,Tb_ProjectKosten[],MATCH(Tb_ProjectKosten[[#Headers],[Forfait_Percentage]],Tb_ProjectKosten[#Headers],0),0),AND(F150="Arbeidskosten",G150&lt;&gt;""),IFERROR(X150*VLOOKUP(G150,Tb_KostenTypen[],3,0)*VLOOKUP(F150,Tb_ProjectKosten[],MATCH(Tb_ProjectKosten[[#Headers],[Forfait_Percentage]],Tb_ProjectKosten[#Headers],0),0),""),X150 &lt;=0,0),"")</f>
        <v/>
      </c>
      <c r="AB150" s="314" t="str">
        <f t="shared" ca="1" si="11"/>
        <v/>
      </c>
      <c r="AC150" s="322"/>
      <c r="AD150" s="315"/>
      <c r="AE150" s="32" t="str" cm="1">
        <f t="array" ref="AE150">IFERROR(IF(INDEX(SubsidieTabel!$AD$1:$AG$12,MATCH($F150,SubsidieTabel!$AD$1:$AD$12,0),IFERROR(MATCH(Methode_Keuze,SubsidieTabel!$AD$1:$AG$1,0),2))&lt;&gt;1=TRUE,"ja",""),"")</f>
        <v/>
      </c>
    </row>
    <row r="151" spans="1:31" x14ac:dyDescent="0.25">
      <c r="A151" s="316"/>
      <c r="B151" s="317" t="str">
        <f>IF(A151&lt;&gt;"",_xlfn.MAXIFS($B$1:B150,$A$1:A150,A151)+1,"")</f>
        <v/>
      </c>
      <c r="C151" s="296"/>
      <c r="D151" s="296"/>
      <c r="E151" s="296"/>
      <c r="F151" s="296"/>
      <c r="G151" s="326"/>
      <c r="H151" s="324"/>
      <c r="I151" s="325"/>
      <c r="J151" s="325"/>
      <c r="K151" s="318"/>
      <c r="L151" s="318"/>
      <c r="M151" s="319" t="str">
        <f>IFERROR(VLOOKUP(H151,Lijsten!$H$1:$I$100,2,0),"")</f>
        <v/>
      </c>
      <c r="N151" s="319" t="str">
        <f ca="1">IFERROR(IF(VLOOKUP(F151,Kostentypen!$A$3:$E$21,3,0)=0,"",IF(OR(F151="Arbeidskosten",F151="Vergoeding"),VLOOKUP(G151,Tb_KostenTypen[],2,0),VLOOKUP(F151,Kostentypen!$A$3:$E$20,3,0))),"")</f>
        <v/>
      </c>
      <c r="O151" s="320" t="str" cm="1">
        <f t="array" ref="O151">_xlfn.IFNA(IF(INDEX(Tb_KostenOptiesDB[],MATCH($F151,Tb_KostenOptiesDB[KostenOptie],0),IFERROR(MATCH(Methode_Keuze,Tb_KostenOptiesDB[#Headers],0),2))=1,_xlfn.SWITCH($N151,"Uurtarief",IF(OR(AND(RIGHT($F151,3)="IKS",VLOOKUP($M151,DB_Loonkosten,2,0)="Ja"),AND(RIGHT($F151,3)&lt;&gt;"IKS",VLOOKUP($M151,DB_Loonkosten,2,0)="Nee")),IFERROR(VLOOKUP($M151,DB_Loonkosten,24,0),""),0),"Vast tarief",IF(LEFT(F151,8)="Bijdrage",VLOOKUP($F151,Tb_KostenTypen[],MATCH(Lijsten!$P$1,Tb_KostenTypen[#Headers],0),0),VLOOKUP($G151,Lijsten!L:P,MATCH(Lijsten!$P$1,Kop_Tarief_Vast,0),0))),""),"")</f>
        <v/>
      </c>
      <c r="P151" s="320" t="str" cm="1">
        <f t="array" ref="P151">_xlfn.IFNA(IF(INDEX(Tb_KostenOptiesDB[],MATCH($F151,Tb_KostenOptiesDB[KostenOptie],0),IFERROR(MATCH(Methode_Keuze,Tb_KostenOptiesDB[#Headers],0),2))=1,_xlfn.SWITCH($N151,"Uurtarief",IF(OR(AND(RIGHT($F151,3)="IKS",VLOOKUP($M151,DB_Loonkosten,2,0)="Ja"),AND(RIGHT($F151,3)&lt;&gt;"IKS",VLOOKUP($M151,DB_Loonkosten,2,0)="Nee")),IFERROR(VLOOKUP($M151,DB_Loonkosten,25,0),""),0),"Vast tarief",IF(LEFT(F151,8)="Bijdrage",VLOOKUP($F151,Tb_KostenTypen[],MATCH(Lijsten!$P$1,Tb_KostenTypen[#Headers],0),0),VLOOKUP($G151,Lijsten!L:P,MATCH(Lijsten!$P$1,Kop_Tarief_Vast,0),0))),""),"")</f>
        <v/>
      </c>
      <c r="Q151" s="359"/>
      <c r="R151" s="359"/>
      <c r="S151" s="321"/>
      <c r="T151" s="321"/>
      <c r="U151" s="373" t="str">
        <f t="shared" si="8"/>
        <v/>
      </c>
      <c r="V151" s="314" t="str">
        <f t="shared" si="9"/>
        <v/>
      </c>
      <c r="W151" s="314" t="str" cm="1">
        <f t="array" aca="1" ref="W151" ca="1">IFERROR(IF(AE151&lt;&gt;"ja",_xlfn.IFNA(_xlfn.IFS(AND(O151&lt;&gt;"",F151&lt;&gt;"",RIGHT($N151,6)="tarief",F151="Vergoeding"),SUM(O151)*FLOOR(SUM(Q151),0.0001),AND(O151&lt;&gt;"",F151&lt;&gt;"",RIGHT($N151,6)="tarief"),SUM(O151)*FLOOR(SUM(Q151),0.01),S151&gt;0,IF(F151&lt;&gt;"",FLOOR(SUM(S151),0.01),"")),""),""),"")</f>
        <v/>
      </c>
      <c r="X151" s="314" t="str" cm="1">
        <f t="array" aca="1" ref="X151" ca="1">IFERROR(IF(AE151&lt;&gt;"ja",_xlfn.IFNA(_xlfn.IFS(AND(P151&lt;&gt;"",R151&lt;&gt;"",RIGHT($N151,6)="tarief",F151="Vergoeding"),SUM(P151)*FLOOR(SUM(R151),0.0001),AND(P151&lt;&gt;"",R151&lt;&gt;"",RIGHT($N151,6)="tarief"),P151*FLOOR(R151,0.01),T151&gt;0,FLOOR(SUM(T151),0.01)),""),""),"")</f>
        <v/>
      </c>
      <c r="Y151" s="314" t="str">
        <f t="shared" ca="1" si="10"/>
        <v/>
      </c>
      <c r="Z151" s="314" t="str" cm="1">
        <f t="array" aca="1" ref="Z151" ca="1">IFERROR(_xlfn.IFS(OR(F151="",LEFT(Methode_Keuze,4)="Geen",Methode_Keuze=""),"",AND(W151&lt;&gt;"",F151&lt;&gt;"Arbeidskosten"),W151*VLOOKUP(F151,Tb_ProjectKosten[],MATCH(Tb_ProjectKosten[[#Headers],[Forfait_Percentage]],Tb_ProjectKosten[#Headers],0),0),AND(F151="Arbeidskosten",G151&lt;&gt;""),IFERROR(W151*VLOOKUP(G151,Tb_KostenTypen[],3,0)*VLOOKUP(F151,Tb_ProjectKosten[],MATCH(Tb_ProjectKosten[[#Headers],[Forfait_Percentage]],Tb_ProjectKosten[#Headers],0),0),""),W151 &lt;=0,0),"")</f>
        <v/>
      </c>
      <c r="AA151" s="314" t="str" cm="1">
        <f t="array" aca="1" ref="AA151" ca="1">IFERROR(_xlfn.IFS(OR(F151="",LEFT(Methode_Keuze,4)="Geen",Methode_Keuze=""),"",AND(X151&lt;&gt;"",F151&lt;&gt;"Arbeidskosten"),X151*VLOOKUP(F151,Tb_ProjectKosten[],MATCH(Tb_ProjectKosten[[#Headers],[Forfait_Percentage]],Tb_ProjectKosten[#Headers],0),0),AND(F151="Arbeidskosten",G151&lt;&gt;""),IFERROR(X151*VLOOKUP(G151,Tb_KostenTypen[],3,0)*VLOOKUP(F151,Tb_ProjectKosten[],MATCH(Tb_ProjectKosten[[#Headers],[Forfait_Percentage]],Tb_ProjectKosten[#Headers],0),0),""),X151 &lt;=0,0),"")</f>
        <v/>
      </c>
      <c r="AB151" s="314" t="str">
        <f t="shared" ca="1" si="11"/>
        <v/>
      </c>
      <c r="AC151" s="322"/>
      <c r="AD151" s="315"/>
      <c r="AE151" s="32" t="str" cm="1">
        <f t="array" ref="AE151">IFERROR(IF(INDEX(SubsidieTabel!$AD$1:$AG$12,MATCH($F151,SubsidieTabel!$AD$1:$AD$12,0),IFERROR(MATCH(Methode_Keuze,SubsidieTabel!$AD$1:$AG$1,0),2))&lt;&gt;1=TRUE,"ja",""),"")</f>
        <v/>
      </c>
    </row>
    <row r="152" spans="1:31" x14ac:dyDescent="0.25">
      <c r="A152" s="316"/>
      <c r="B152" s="317" t="str">
        <f>IF(A152&lt;&gt;"",_xlfn.MAXIFS($B$1:B151,$A$1:A151,A152)+1,"")</f>
        <v/>
      </c>
      <c r="C152" s="296"/>
      <c r="D152" s="296"/>
      <c r="E152" s="296"/>
      <c r="F152" s="296"/>
      <c r="G152" s="326"/>
      <c r="H152" s="324"/>
      <c r="I152" s="325"/>
      <c r="J152" s="325"/>
      <c r="K152" s="318"/>
      <c r="L152" s="318"/>
      <c r="M152" s="319" t="str">
        <f>IFERROR(VLOOKUP(H152,Lijsten!$H$1:$I$100,2,0),"")</f>
        <v/>
      </c>
      <c r="N152" s="319" t="str">
        <f ca="1">IFERROR(IF(VLOOKUP(F152,Kostentypen!$A$3:$E$21,3,0)=0,"",IF(OR(F152="Arbeidskosten",F152="Vergoeding"),VLOOKUP(G152,Tb_KostenTypen[],2,0),VLOOKUP(F152,Kostentypen!$A$3:$E$20,3,0))),"")</f>
        <v/>
      </c>
      <c r="O152" s="320" t="str" cm="1">
        <f t="array" ref="O152">_xlfn.IFNA(IF(INDEX(Tb_KostenOptiesDB[],MATCH($F152,Tb_KostenOptiesDB[KostenOptie],0),IFERROR(MATCH(Methode_Keuze,Tb_KostenOptiesDB[#Headers],0),2))=1,_xlfn.SWITCH($N152,"Uurtarief",IF(OR(AND(RIGHT($F152,3)="IKS",VLOOKUP($M152,DB_Loonkosten,2,0)="Ja"),AND(RIGHT($F152,3)&lt;&gt;"IKS",VLOOKUP($M152,DB_Loonkosten,2,0)="Nee")),IFERROR(VLOOKUP($M152,DB_Loonkosten,24,0),""),0),"Vast tarief",IF(LEFT(F152,8)="Bijdrage",VLOOKUP($F152,Tb_KostenTypen[],MATCH(Lijsten!$P$1,Tb_KostenTypen[#Headers],0),0),VLOOKUP($G152,Lijsten!L:P,MATCH(Lijsten!$P$1,Kop_Tarief_Vast,0),0))),""),"")</f>
        <v/>
      </c>
      <c r="P152" s="320" t="str" cm="1">
        <f t="array" ref="P152">_xlfn.IFNA(IF(INDEX(Tb_KostenOptiesDB[],MATCH($F152,Tb_KostenOptiesDB[KostenOptie],0),IFERROR(MATCH(Methode_Keuze,Tb_KostenOptiesDB[#Headers],0),2))=1,_xlfn.SWITCH($N152,"Uurtarief",IF(OR(AND(RIGHT($F152,3)="IKS",VLOOKUP($M152,DB_Loonkosten,2,0)="Ja"),AND(RIGHT($F152,3)&lt;&gt;"IKS",VLOOKUP($M152,DB_Loonkosten,2,0)="Nee")),IFERROR(VLOOKUP($M152,DB_Loonkosten,25,0),""),0),"Vast tarief",IF(LEFT(F152,8)="Bijdrage",VLOOKUP($F152,Tb_KostenTypen[],MATCH(Lijsten!$P$1,Tb_KostenTypen[#Headers],0),0),VLOOKUP($G152,Lijsten!L:P,MATCH(Lijsten!$P$1,Kop_Tarief_Vast,0),0))),""),"")</f>
        <v/>
      </c>
      <c r="Q152" s="359"/>
      <c r="R152" s="359"/>
      <c r="S152" s="321"/>
      <c r="T152" s="321"/>
      <c r="U152" s="373" t="str">
        <f t="shared" si="8"/>
        <v/>
      </c>
      <c r="V152" s="314" t="str">
        <f t="shared" si="9"/>
        <v/>
      </c>
      <c r="W152" s="314" t="str" cm="1">
        <f t="array" aca="1" ref="W152" ca="1">IFERROR(IF(AE152&lt;&gt;"ja",_xlfn.IFNA(_xlfn.IFS(AND(O152&lt;&gt;"",F152&lt;&gt;"",RIGHT($N152,6)="tarief",F152="Vergoeding"),SUM(O152)*FLOOR(SUM(Q152),0.0001),AND(O152&lt;&gt;"",F152&lt;&gt;"",RIGHT($N152,6)="tarief"),SUM(O152)*FLOOR(SUM(Q152),0.01),S152&gt;0,IF(F152&lt;&gt;"",FLOOR(SUM(S152),0.01),"")),""),""),"")</f>
        <v/>
      </c>
      <c r="X152" s="314" t="str" cm="1">
        <f t="array" aca="1" ref="X152" ca="1">IFERROR(IF(AE152&lt;&gt;"ja",_xlfn.IFNA(_xlfn.IFS(AND(P152&lt;&gt;"",R152&lt;&gt;"",RIGHT($N152,6)="tarief",F152="Vergoeding"),SUM(P152)*FLOOR(SUM(R152),0.0001),AND(P152&lt;&gt;"",R152&lt;&gt;"",RIGHT($N152,6)="tarief"),P152*FLOOR(R152,0.01),T152&gt;0,FLOOR(SUM(T152),0.01)),""),""),"")</f>
        <v/>
      </c>
      <c r="Y152" s="314" t="str">
        <f t="shared" ca="1" si="10"/>
        <v/>
      </c>
      <c r="Z152" s="314" t="str" cm="1">
        <f t="array" aca="1" ref="Z152" ca="1">IFERROR(_xlfn.IFS(OR(F152="",LEFT(Methode_Keuze,4)="Geen",Methode_Keuze=""),"",AND(W152&lt;&gt;"",F152&lt;&gt;"Arbeidskosten"),W152*VLOOKUP(F152,Tb_ProjectKosten[],MATCH(Tb_ProjectKosten[[#Headers],[Forfait_Percentage]],Tb_ProjectKosten[#Headers],0),0),AND(F152="Arbeidskosten",G152&lt;&gt;""),IFERROR(W152*VLOOKUP(G152,Tb_KostenTypen[],3,0)*VLOOKUP(F152,Tb_ProjectKosten[],MATCH(Tb_ProjectKosten[[#Headers],[Forfait_Percentage]],Tb_ProjectKosten[#Headers],0),0),""),W152 &lt;=0,0),"")</f>
        <v/>
      </c>
      <c r="AA152" s="314" t="str" cm="1">
        <f t="array" aca="1" ref="AA152" ca="1">IFERROR(_xlfn.IFS(OR(F152="",LEFT(Methode_Keuze,4)="Geen",Methode_Keuze=""),"",AND(X152&lt;&gt;"",F152&lt;&gt;"Arbeidskosten"),X152*VLOOKUP(F152,Tb_ProjectKosten[],MATCH(Tb_ProjectKosten[[#Headers],[Forfait_Percentage]],Tb_ProjectKosten[#Headers],0),0),AND(F152="Arbeidskosten",G152&lt;&gt;""),IFERROR(X152*VLOOKUP(G152,Tb_KostenTypen[],3,0)*VLOOKUP(F152,Tb_ProjectKosten[],MATCH(Tb_ProjectKosten[[#Headers],[Forfait_Percentage]],Tb_ProjectKosten[#Headers],0),0),""),X152 &lt;=0,0),"")</f>
        <v/>
      </c>
      <c r="AB152" s="314" t="str">
        <f t="shared" ca="1" si="11"/>
        <v/>
      </c>
      <c r="AC152" s="322"/>
      <c r="AD152" s="315"/>
      <c r="AE152" s="32" t="str" cm="1">
        <f t="array" ref="AE152">IFERROR(IF(INDEX(SubsidieTabel!$AD$1:$AG$12,MATCH($F152,SubsidieTabel!$AD$1:$AD$12,0),IFERROR(MATCH(Methode_Keuze,SubsidieTabel!$AD$1:$AG$1,0),2))&lt;&gt;1=TRUE,"ja",""),"")</f>
        <v/>
      </c>
    </row>
    <row r="153" spans="1:31" x14ac:dyDescent="0.25">
      <c r="A153" s="316"/>
      <c r="B153" s="317" t="str">
        <f>IF(A153&lt;&gt;"",_xlfn.MAXIFS($B$1:B152,$A$1:A152,A153)+1,"")</f>
        <v/>
      </c>
      <c r="C153" s="296"/>
      <c r="D153" s="296"/>
      <c r="E153" s="296"/>
      <c r="F153" s="296"/>
      <c r="G153" s="326"/>
      <c r="H153" s="324"/>
      <c r="I153" s="325"/>
      <c r="J153" s="325"/>
      <c r="K153" s="318"/>
      <c r="L153" s="318"/>
      <c r="M153" s="319" t="str">
        <f>IFERROR(VLOOKUP(H153,Lijsten!$H$1:$I$100,2,0),"")</f>
        <v/>
      </c>
      <c r="N153" s="319" t="str">
        <f ca="1">IFERROR(IF(VLOOKUP(F153,Kostentypen!$A$3:$E$21,3,0)=0,"",IF(OR(F153="Arbeidskosten",F153="Vergoeding"),VLOOKUP(G153,Tb_KostenTypen[],2,0),VLOOKUP(F153,Kostentypen!$A$3:$E$20,3,0))),"")</f>
        <v/>
      </c>
      <c r="O153" s="320" t="str" cm="1">
        <f t="array" ref="O153">_xlfn.IFNA(IF(INDEX(Tb_KostenOptiesDB[],MATCH($F153,Tb_KostenOptiesDB[KostenOptie],0),IFERROR(MATCH(Methode_Keuze,Tb_KostenOptiesDB[#Headers],0),2))=1,_xlfn.SWITCH($N153,"Uurtarief",IF(OR(AND(RIGHT($F153,3)="IKS",VLOOKUP($M153,DB_Loonkosten,2,0)="Ja"),AND(RIGHT($F153,3)&lt;&gt;"IKS",VLOOKUP($M153,DB_Loonkosten,2,0)="Nee")),IFERROR(VLOOKUP($M153,DB_Loonkosten,24,0),""),0),"Vast tarief",IF(LEFT(F153,8)="Bijdrage",VLOOKUP($F153,Tb_KostenTypen[],MATCH(Lijsten!$P$1,Tb_KostenTypen[#Headers],0),0),VLOOKUP($G153,Lijsten!L:P,MATCH(Lijsten!$P$1,Kop_Tarief_Vast,0),0))),""),"")</f>
        <v/>
      </c>
      <c r="P153" s="320" t="str" cm="1">
        <f t="array" ref="P153">_xlfn.IFNA(IF(INDEX(Tb_KostenOptiesDB[],MATCH($F153,Tb_KostenOptiesDB[KostenOptie],0),IFERROR(MATCH(Methode_Keuze,Tb_KostenOptiesDB[#Headers],0),2))=1,_xlfn.SWITCH($N153,"Uurtarief",IF(OR(AND(RIGHT($F153,3)="IKS",VLOOKUP($M153,DB_Loonkosten,2,0)="Ja"),AND(RIGHT($F153,3)&lt;&gt;"IKS",VLOOKUP($M153,DB_Loonkosten,2,0)="Nee")),IFERROR(VLOOKUP($M153,DB_Loonkosten,25,0),""),0),"Vast tarief",IF(LEFT(F153,8)="Bijdrage",VLOOKUP($F153,Tb_KostenTypen[],MATCH(Lijsten!$P$1,Tb_KostenTypen[#Headers],0),0),VLOOKUP($G153,Lijsten!L:P,MATCH(Lijsten!$P$1,Kop_Tarief_Vast,0),0))),""),"")</f>
        <v/>
      </c>
      <c r="Q153" s="359"/>
      <c r="R153" s="359"/>
      <c r="S153" s="321"/>
      <c r="T153" s="321"/>
      <c r="U153" s="373" t="str">
        <f t="shared" si="8"/>
        <v/>
      </c>
      <c r="V153" s="314" t="str">
        <f t="shared" si="9"/>
        <v/>
      </c>
      <c r="W153" s="314" t="str" cm="1">
        <f t="array" aca="1" ref="W153" ca="1">IFERROR(IF(AE153&lt;&gt;"ja",_xlfn.IFNA(_xlfn.IFS(AND(O153&lt;&gt;"",F153&lt;&gt;"",RIGHT($N153,6)="tarief",F153="Vergoeding"),SUM(O153)*FLOOR(SUM(Q153),0.0001),AND(O153&lt;&gt;"",F153&lt;&gt;"",RIGHT($N153,6)="tarief"),SUM(O153)*FLOOR(SUM(Q153),0.01),S153&gt;0,IF(F153&lt;&gt;"",FLOOR(SUM(S153),0.01),"")),""),""),"")</f>
        <v/>
      </c>
      <c r="X153" s="314" t="str" cm="1">
        <f t="array" aca="1" ref="X153" ca="1">IFERROR(IF(AE153&lt;&gt;"ja",_xlfn.IFNA(_xlfn.IFS(AND(P153&lt;&gt;"",R153&lt;&gt;"",RIGHT($N153,6)="tarief",F153="Vergoeding"),SUM(P153)*FLOOR(SUM(R153),0.0001),AND(P153&lt;&gt;"",R153&lt;&gt;"",RIGHT($N153,6)="tarief"),P153*FLOOR(R153,0.01),T153&gt;0,FLOOR(SUM(T153),0.01)),""),""),"")</f>
        <v/>
      </c>
      <c r="Y153" s="314" t="str">
        <f t="shared" ca="1" si="10"/>
        <v/>
      </c>
      <c r="Z153" s="314" t="str" cm="1">
        <f t="array" aca="1" ref="Z153" ca="1">IFERROR(_xlfn.IFS(OR(F153="",LEFT(Methode_Keuze,4)="Geen",Methode_Keuze=""),"",AND(W153&lt;&gt;"",F153&lt;&gt;"Arbeidskosten"),W153*VLOOKUP(F153,Tb_ProjectKosten[],MATCH(Tb_ProjectKosten[[#Headers],[Forfait_Percentage]],Tb_ProjectKosten[#Headers],0),0),AND(F153="Arbeidskosten",G153&lt;&gt;""),IFERROR(W153*VLOOKUP(G153,Tb_KostenTypen[],3,0)*VLOOKUP(F153,Tb_ProjectKosten[],MATCH(Tb_ProjectKosten[[#Headers],[Forfait_Percentage]],Tb_ProjectKosten[#Headers],0),0),""),W153 &lt;=0,0),"")</f>
        <v/>
      </c>
      <c r="AA153" s="314" t="str" cm="1">
        <f t="array" aca="1" ref="AA153" ca="1">IFERROR(_xlfn.IFS(OR(F153="",LEFT(Methode_Keuze,4)="Geen",Methode_Keuze=""),"",AND(X153&lt;&gt;"",F153&lt;&gt;"Arbeidskosten"),X153*VLOOKUP(F153,Tb_ProjectKosten[],MATCH(Tb_ProjectKosten[[#Headers],[Forfait_Percentage]],Tb_ProjectKosten[#Headers],0),0),AND(F153="Arbeidskosten",G153&lt;&gt;""),IFERROR(X153*VLOOKUP(G153,Tb_KostenTypen[],3,0)*VLOOKUP(F153,Tb_ProjectKosten[],MATCH(Tb_ProjectKosten[[#Headers],[Forfait_Percentage]],Tb_ProjectKosten[#Headers],0),0),""),X153 &lt;=0,0),"")</f>
        <v/>
      </c>
      <c r="AB153" s="314" t="str">
        <f t="shared" ca="1" si="11"/>
        <v/>
      </c>
      <c r="AC153" s="322"/>
      <c r="AD153" s="315"/>
      <c r="AE153" s="32" t="str" cm="1">
        <f t="array" ref="AE153">IFERROR(IF(INDEX(SubsidieTabel!$AD$1:$AG$12,MATCH($F153,SubsidieTabel!$AD$1:$AD$12,0),IFERROR(MATCH(Methode_Keuze,SubsidieTabel!$AD$1:$AG$1,0),2))&lt;&gt;1=TRUE,"ja",""),"")</f>
        <v/>
      </c>
    </row>
    <row r="154" spans="1:31" x14ac:dyDescent="0.25">
      <c r="A154" s="316"/>
      <c r="B154" s="317" t="str">
        <f>IF(A154&lt;&gt;"",_xlfn.MAXIFS($B$1:B153,$A$1:A153,A154)+1,"")</f>
        <v/>
      </c>
      <c r="C154" s="296"/>
      <c r="D154" s="296"/>
      <c r="E154" s="296"/>
      <c r="F154" s="296"/>
      <c r="G154" s="326"/>
      <c r="H154" s="324"/>
      <c r="I154" s="325"/>
      <c r="J154" s="325"/>
      <c r="K154" s="318"/>
      <c r="L154" s="318"/>
      <c r="M154" s="319" t="str">
        <f>IFERROR(VLOOKUP(H154,Lijsten!$H$1:$I$100,2,0),"")</f>
        <v/>
      </c>
      <c r="N154" s="319" t="str">
        <f ca="1">IFERROR(IF(VLOOKUP(F154,Kostentypen!$A$3:$E$21,3,0)=0,"",IF(OR(F154="Arbeidskosten",F154="Vergoeding"),VLOOKUP(G154,Tb_KostenTypen[],2,0),VLOOKUP(F154,Kostentypen!$A$3:$E$20,3,0))),"")</f>
        <v/>
      </c>
      <c r="O154" s="320" t="str" cm="1">
        <f t="array" ref="O154">_xlfn.IFNA(IF(INDEX(Tb_KostenOptiesDB[],MATCH($F154,Tb_KostenOptiesDB[KostenOptie],0),IFERROR(MATCH(Methode_Keuze,Tb_KostenOptiesDB[#Headers],0),2))=1,_xlfn.SWITCH($N154,"Uurtarief",IF(OR(AND(RIGHT($F154,3)="IKS",VLOOKUP($M154,DB_Loonkosten,2,0)="Ja"),AND(RIGHT($F154,3)&lt;&gt;"IKS",VLOOKUP($M154,DB_Loonkosten,2,0)="Nee")),IFERROR(VLOOKUP($M154,DB_Loonkosten,24,0),""),0),"Vast tarief",IF(LEFT(F154,8)="Bijdrage",VLOOKUP($F154,Tb_KostenTypen[],MATCH(Lijsten!$P$1,Tb_KostenTypen[#Headers],0),0),VLOOKUP($G154,Lijsten!L:P,MATCH(Lijsten!$P$1,Kop_Tarief_Vast,0),0))),""),"")</f>
        <v/>
      </c>
      <c r="P154" s="320" t="str" cm="1">
        <f t="array" ref="P154">_xlfn.IFNA(IF(INDEX(Tb_KostenOptiesDB[],MATCH($F154,Tb_KostenOptiesDB[KostenOptie],0),IFERROR(MATCH(Methode_Keuze,Tb_KostenOptiesDB[#Headers],0),2))=1,_xlfn.SWITCH($N154,"Uurtarief",IF(OR(AND(RIGHT($F154,3)="IKS",VLOOKUP($M154,DB_Loonkosten,2,0)="Ja"),AND(RIGHT($F154,3)&lt;&gt;"IKS",VLOOKUP($M154,DB_Loonkosten,2,0)="Nee")),IFERROR(VLOOKUP($M154,DB_Loonkosten,25,0),""),0),"Vast tarief",IF(LEFT(F154,8)="Bijdrage",VLOOKUP($F154,Tb_KostenTypen[],MATCH(Lijsten!$P$1,Tb_KostenTypen[#Headers],0),0),VLOOKUP($G154,Lijsten!L:P,MATCH(Lijsten!$P$1,Kop_Tarief_Vast,0),0))),""),"")</f>
        <v/>
      </c>
      <c r="Q154" s="359"/>
      <c r="R154" s="359"/>
      <c r="S154" s="321"/>
      <c r="T154" s="321"/>
      <c r="U154" s="373" t="str">
        <f t="shared" si="8"/>
        <v/>
      </c>
      <c r="V154" s="314" t="str">
        <f t="shared" si="9"/>
        <v/>
      </c>
      <c r="W154" s="314" t="str" cm="1">
        <f t="array" aca="1" ref="W154" ca="1">IFERROR(IF(AE154&lt;&gt;"ja",_xlfn.IFNA(_xlfn.IFS(AND(O154&lt;&gt;"",F154&lt;&gt;"",RIGHT($N154,6)="tarief",F154="Vergoeding"),SUM(O154)*FLOOR(SUM(Q154),0.0001),AND(O154&lt;&gt;"",F154&lt;&gt;"",RIGHT($N154,6)="tarief"),SUM(O154)*FLOOR(SUM(Q154),0.01),S154&gt;0,IF(F154&lt;&gt;"",FLOOR(SUM(S154),0.01),"")),""),""),"")</f>
        <v/>
      </c>
      <c r="X154" s="314" t="str" cm="1">
        <f t="array" aca="1" ref="X154" ca="1">IFERROR(IF(AE154&lt;&gt;"ja",_xlfn.IFNA(_xlfn.IFS(AND(P154&lt;&gt;"",R154&lt;&gt;"",RIGHT($N154,6)="tarief",F154="Vergoeding"),SUM(P154)*FLOOR(SUM(R154),0.0001),AND(P154&lt;&gt;"",R154&lt;&gt;"",RIGHT($N154,6)="tarief"),P154*FLOOR(R154,0.01),T154&gt;0,FLOOR(SUM(T154),0.01)),""),""),"")</f>
        <v/>
      </c>
      <c r="Y154" s="314" t="str">
        <f t="shared" ca="1" si="10"/>
        <v/>
      </c>
      <c r="Z154" s="314" t="str" cm="1">
        <f t="array" aca="1" ref="Z154" ca="1">IFERROR(_xlfn.IFS(OR(F154="",LEFT(Methode_Keuze,4)="Geen",Methode_Keuze=""),"",AND(W154&lt;&gt;"",F154&lt;&gt;"Arbeidskosten"),W154*VLOOKUP(F154,Tb_ProjectKosten[],MATCH(Tb_ProjectKosten[[#Headers],[Forfait_Percentage]],Tb_ProjectKosten[#Headers],0),0),AND(F154="Arbeidskosten",G154&lt;&gt;""),IFERROR(W154*VLOOKUP(G154,Tb_KostenTypen[],3,0)*VLOOKUP(F154,Tb_ProjectKosten[],MATCH(Tb_ProjectKosten[[#Headers],[Forfait_Percentage]],Tb_ProjectKosten[#Headers],0),0),""),W154 &lt;=0,0),"")</f>
        <v/>
      </c>
      <c r="AA154" s="314" t="str" cm="1">
        <f t="array" aca="1" ref="AA154" ca="1">IFERROR(_xlfn.IFS(OR(F154="",LEFT(Methode_Keuze,4)="Geen",Methode_Keuze=""),"",AND(X154&lt;&gt;"",F154&lt;&gt;"Arbeidskosten"),X154*VLOOKUP(F154,Tb_ProjectKosten[],MATCH(Tb_ProjectKosten[[#Headers],[Forfait_Percentage]],Tb_ProjectKosten[#Headers],0),0),AND(F154="Arbeidskosten",G154&lt;&gt;""),IFERROR(X154*VLOOKUP(G154,Tb_KostenTypen[],3,0)*VLOOKUP(F154,Tb_ProjectKosten[],MATCH(Tb_ProjectKosten[[#Headers],[Forfait_Percentage]],Tb_ProjectKosten[#Headers],0),0),""),X154 &lt;=0,0),"")</f>
        <v/>
      </c>
      <c r="AB154" s="314" t="str">
        <f t="shared" ca="1" si="11"/>
        <v/>
      </c>
      <c r="AC154" s="322"/>
      <c r="AD154" s="315"/>
      <c r="AE154" s="32" t="str" cm="1">
        <f t="array" ref="AE154">IFERROR(IF(INDEX(SubsidieTabel!$AD$1:$AG$12,MATCH($F154,SubsidieTabel!$AD$1:$AD$12,0),IFERROR(MATCH(Methode_Keuze,SubsidieTabel!$AD$1:$AG$1,0),2))&lt;&gt;1=TRUE,"ja",""),"")</f>
        <v/>
      </c>
    </row>
    <row r="155" spans="1:31" x14ac:dyDescent="0.25">
      <c r="A155" s="316"/>
      <c r="B155" s="317" t="str">
        <f>IF(A155&lt;&gt;"",_xlfn.MAXIFS($B$1:B154,$A$1:A154,A155)+1,"")</f>
        <v/>
      </c>
      <c r="C155" s="296"/>
      <c r="D155" s="296"/>
      <c r="E155" s="296"/>
      <c r="F155" s="296"/>
      <c r="G155" s="326"/>
      <c r="H155" s="324"/>
      <c r="I155" s="325"/>
      <c r="J155" s="325"/>
      <c r="K155" s="318"/>
      <c r="L155" s="318"/>
      <c r="M155" s="319" t="str">
        <f>IFERROR(VLOOKUP(H155,Lijsten!$H$1:$I$100,2,0),"")</f>
        <v/>
      </c>
      <c r="N155" s="319" t="str">
        <f ca="1">IFERROR(IF(VLOOKUP(F155,Kostentypen!$A$3:$E$21,3,0)=0,"",IF(OR(F155="Arbeidskosten",F155="Vergoeding"),VLOOKUP(G155,Tb_KostenTypen[],2,0),VLOOKUP(F155,Kostentypen!$A$3:$E$20,3,0))),"")</f>
        <v/>
      </c>
      <c r="O155" s="320" t="str" cm="1">
        <f t="array" ref="O155">_xlfn.IFNA(IF(INDEX(Tb_KostenOptiesDB[],MATCH($F155,Tb_KostenOptiesDB[KostenOptie],0),IFERROR(MATCH(Methode_Keuze,Tb_KostenOptiesDB[#Headers],0),2))=1,_xlfn.SWITCH($N155,"Uurtarief",IF(OR(AND(RIGHT($F155,3)="IKS",VLOOKUP($M155,DB_Loonkosten,2,0)="Ja"),AND(RIGHT($F155,3)&lt;&gt;"IKS",VLOOKUP($M155,DB_Loonkosten,2,0)="Nee")),IFERROR(VLOOKUP($M155,DB_Loonkosten,24,0),""),0),"Vast tarief",IF(LEFT(F155,8)="Bijdrage",VLOOKUP($F155,Tb_KostenTypen[],MATCH(Lijsten!$P$1,Tb_KostenTypen[#Headers],0),0),VLOOKUP($G155,Lijsten!L:P,MATCH(Lijsten!$P$1,Kop_Tarief_Vast,0),0))),""),"")</f>
        <v/>
      </c>
      <c r="P155" s="320" t="str" cm="1">
        <f t="array" ref="P155">_xlfn.IFNA(IF(INDEX(Tb_KostenOptiesDB[],MATCH($F155,Tb_KostenOptiesDB[KostenOptie],0),IFERROR(MATCH(Methode_Keuze,Tb_KostenOptiesDB[#Headers],0),2))=1,_xlfn.SWITCH($N155,"Uurtarief",IF(OR(AND(RIGHT($F155,3)="IKS",VLOOKUP($M155,DB_Loonkosten,2,0)="Ja"),AND(RIGHT($F155,3)&lt;&gt;"IKS",VLOOKUP($M155,DB_Loonkosten,2,0)="Nee")),IFERROR(VLOOKUP($M155,DB_Loonkosten,25,0),""),0),"Vast tarief",IF(LEFT(F155,8)="Bijdrage",VLOOKUP($F155,Tb_KostenTypen[],MATCH(Lijsten!$P$1,Tb_KostenTypen[#Headers],0),0),VLOOKUP($G155,Lijsten!L:P,MATCH(Lijsten!$P$1,Kop_Tarief_Vast,0),0))),""),"")</f>
        <v/>
      </c>
      <c r="Q155" s="359"/>
      <c r="R155" s="359"/>
      <c r="S155" s="321"/>
      <c r="T155" s="321"/>
      <c r="U155" s="373" t="str">
        <f t="shared" si="8"/>
        <v/>
      </c>
      <c r="V155" s="314" t="str">
        <f t="shared" si="9"/>
        <v/>
      </c>
      <c r="W155" s="314" t="str" cm="1">
        <f t="array" aca="1" ref="W155" ca="1">IFERROR(IF(AE155&lt;&gt;"ja",_xlfn.IFNA(_xlfn.IFS(AND(O155&lt;&gt;"",F155&lt;&gt;"",RIGHT($N155,6)="tarief",F155="Vergoeding"),SUM(O155)*FLOOR(SUM(Q155),0.0001),AND(O155&lt;&gt;"",F155&lt;&gt;"",RIGHT($N155,6)="tarief"),SUM(O155)*FLOOR(SUM(Q155),0.01),S155&gt;0,IF(F155&lt;&gt;"",FLOOR(SUM(S155),0.01),"")),""),""),"")</f>
        <v/>
      </c>
      <c r="X155" s="314" t="str" cm="1">
        <f t="array" aca="1" ref="X155" ca="1">IFERROR(IF(AE155&lt;&gt;"ja",_xlfn.IFNA(_xlfn.IFS(AND(P155&lt;&gt;"",R155&lt;&gt;"",RIGHT($N155,6)="tarief",F155="Vergoeding"),SUM(P155)*FLOOR(SUM(R155),0.0001),AND(P155&lt;&gt;"",R155&lt;&gt;"",RIGHT($N155,6)="tarief"),P155*FLOOR(R155,0.01),T155&gt;0,FLOOR(SUM(T155),0.01)),""),""),"")</f>
        <v/>
      </c>
      <c r="Y155" s="314" t="str">
        <f t="shared" ca="1" si="10"/>
        <v/>
      </c>
      <c r="Z155" s="314" t="str" cm="1">
        <f t="array" aca="1" ref="Z155" ca="1">IFERROR(_xlfn.IFS(OR(F155="",LEFT(Methode_Keuze,4)="Geen",Methode_Keuze=""),"",AND(W155&lt;&gt;"",F155&lt;&gt;"Arbeidskosten"),W155*VLOOKUP(F155,Tb_ProjectKosten[],MATCH(Tb_ProjectKosten[[#Headers],[Forfait_Percentage]],Tb_ProjectKosten[#Headers],0),0),AND(F155="Arbeidskosten",G155&lt;&gt;""),IFERROR(W155*VLOOKUP(G155,Tb_KostenTypen[],3,0)*VLOOKUP(F155,Tb_ProjectKosten[],MATCH(Tb_ProjectKosten[[#Headers],[Forfait_Percentage]],Tb_ProjectKosten[#Headers],0),0),""),W155 &lt;=0,0),"")</f>
        <v/>
      </c>
      <c r="AA155" s="314" t="str" cm="1">
        <f t="array" aca="1" ref="AA155" ca="1">IFERROR(_xlfn.IFS(OR(F155="",LEFT(Methode_Keuze,4)="Geen",Methode_Keuze=""),"",AND(X155&lt;&gt;"",F155&lt;&gt;"Arbeidskosten"),X155*VLOOKUP(F155,Tb_ProjectKosten[],MATCH(Tb_ProjectKosten[[#Headers],[Forfait_Percentage]],Tb_ProjectKosten[#Headers],0),0),AND(F155="Arbeidskosten",G155&lt;&gt;""),IFERROR(X155*VLOOKUP(G155,Tb_KostenTypen[],3,0)*VLOOKUP(F155,Tb_ProjectKosten[],MATCH(Tb_ProjectKosten[[#Headers],[Forfait_Percentage]],Tb_ProjectKosten[#Headers],0),0),""),X155 &lt;=0,0),"")</f>
        <v/>
      </c>
      <c r="AB155" s="314" t="str">
        <f t="shared" ca="1" si="11"/>
        <v/>
      </c>
      <c r="AC155" s="322"/>
      <c r="AD155" s="315"/>
      <c r="AE155" s="32" t="str" cm="1">
        <f t="array" ref="AE155">IFERROR(IF(INDEX(SubsidieTabel!$AD$1:$AG$12,MATCH($F155,SubsidieTabel!$AD$1:$AD$12,0),IFERROR(MATCH(Methode_Keuze,SubsidieTabel!$AD$1:$AG$1,0),2))&lt;&gt;1=TRUE,"ja",""),"")</f>
        <v/>
      </c>
    </row>
    <row r="156" spans="1:31" x14ac:dyDescent="0.25">
      <c r="A156" s="316"/>
      <c r="B156" s="317" t="str">
        <f>IF(A156&lt;&gt;"",_xlfn.MAXIFS($B$1:B155,$A$1:A155,A156)+1,"")</f>
        <v/>
      </c>
      <c r="C156" s="296"/>
      <c r="D156" s="296"/>
      <c r="E156" s="296"/>
      <c r="F156" s="296"/>
      <c r="G156" s="326"/>
      <c r="H156" s="324"/>
      <c r="I156" s="325"/>
      <c r="J156" s="325"/>
      <c r="K156" s="318"/>
      <c r="L156" s="318"/>
      <c r="M156" s="319" t="str">
        <f>IFERROR(VLOOKUP(H156,Lijsten!$H$1:$I$100,2,0),"")</f>
        <v/>
      </c>
      <c r="N156" s="319" t="str">
        <f ca="1">IFERROR(IF(VLOOKUP(F156,Kostentypen!$A$3:$E$21,3,0)=0,"",IF(OR(F156="Arbeidskosten",F156="Vergoeding"),VLOOKUP(G156,Tb_KostenTypen[],2,0),VLOOKUP(F156,Kostentypen!$A$3:$E$20,3,0))),"")</f>
        <v/>
      </c>
      <c r="O156" s="320" t="str" cm="1">
        <f t="array" ref="O156">_xlfn.IFNA(IF(INDEX(Tb_KostenOptiesDB[],MATCH($F156,Tb_KostenOptiesDB[KostenOptie],0),IFERROR(MATCH(Methode_Keuze,Tb_KostenOptiesDB[#Headers],0),2))=1,_xlfn.SWITCH($N156,"Uurtarief",IF(OR(AND(RIGHT($F156,3)="IKS",VLOOKUP($M156,DB_Loonkosten,2,0)="Ja"),AND(RIGHT($F156,3)&lt;&gt;"IKS",VLOOKUP($M156,DB_Loonkosten,2,0)="Nee")),IFERROR(VLOOKUP($M156,DB_Loonkosten,24,0),""),0),"Vast tarief",IF(LEFT(F156,8)="Bijdrage",VLOOKUP($F156,Tb_KostenTypen[],MATCH(Lijsten!$P$1,Tb_KostenTypen[#Headers],0),0),VLOOKUP($G156,Lijsten!L:P,MATCH(Lijsten!$P$1,Kop_Tarief_Vast,0),0))),""),"")</f>
        <v/>
      </c>
      <c r="P156" s="320" t="str" cm="1">
        <f t="array" ref="P156">_xlfn.IFNA(IF(INDEX(Tb_KostenOptiesDB[],MATCH($F156,Tb_KostenOptiesDB[KostenOptie],0),IFERROR(MATCH(Methode_Keuze,Tb_KostenOptiesDB[#Headers],0),2))=1,_xlfn.SWITCH($N156,"Uurtarief",IF(OR(AND(RIGHT($F156,3)="IKS",VLOOKUP($M156,DB_Loonkosten,2,0)="Ja"),AND(RIGHT($F156,3)&lt;&gt;"IKS",VLOOKUP($M156,DB_Loonkosten,2,0)="Nee")),IFERROR(VLOOKUP($M156,DB_Loonkosten,25,0),""),0),"Vast tarief",IF(LEFT(F156,8)="Bijdrage",VLOOKUP($F156,Tb_KostenTypen[],MATCH(Lijsten!$P$1,Tb_KostenTypen[#Headers],0),0),VLOOKUP($G156,Lijsten!L:P,MATCH(Lijsten!$P$1,Kop_Tarief_Vast,0),0))),""),"")</f>
        <v/>
      </c>
      <c r="Q156" s="359"/>
      <c r="R156" s="359"/>
      <c r="S156" s="321"/>
      <c r="T156" s="321"/>
      <c r="U156" s="373" t="str">
        <f t="shared" si="8"/>
        <v/>
      </c>
      <c r="V156" s="314" t="str">
        <f t="shared" si="9"/>
        <v/>
      </c>
      <c r="W156" s="314" t="str" cm="1">
        <f t="array" aca="1" ref="W156" ca="1">IFERROR(IF(AE156&lt;&gt;"ja",_xlfn.IFNA(_xlfn.IFS(AND(O156&lt;&gt;"",F156&lt;&gt;"",RIGHT($N156,6)="tarief",F156="Vergoeding"),SUM(O156)*FLOOR(SUM(Q156),0.0001),AND(O156&lt;&gt;"",F156&lt;&gt;"",RIGHT($N156,6)="tarief"),SUM(O156)*FLOOR(SUM(Q156),0.01),S156&gt;0,IF(F156&lt;&gt;"",FLOOR(SUM(S156),0.01),"")),""),""),"")</f>
        <v/>
      </c>
      <c r="X156" s="314" t="str" cm="1">
        <f t="array" aca="1" ref="X156" ca="1">IFERROR(IF(AE156&lt;&gt;"ja",_xlfn.IFNA(_xlfn.IFS(AND(P156&lt;&gt;"",R156&lt;&gt;"",RIGHT($N156,6)="tarief",F156="Vergoeding"),SUM(P156)*FLOOR(SUM(R156),0.0001),AND(P156&lt;&gt;"",R156&lt;&gt;"",RIGHT($N156,6)="tarief"),P156*FLOOR(R156,0.01),T156&gt;0,FLOOR(SUM(T156),0.01)),""),""),"")</f>
        <v/>
      </c>
      <c r="Y156" s="314" t="str">
        <f t="shared" ca="1" si="10"/>
        <v/>
      </c>
      <c r="Z156" s="314" t="str" cm="1">
        <f t="array" aca="1" ref="Z156" ca="1">IFERROR(_xlfn.IFS(OR(F156="",LEFT(Methode_Keuze,4)="Geen",Methode_Keuze=""),"",AND(W156&lt;&gt;"",F156&lt;&gt;"Arbeidskosten"),W156*VLOOKUP(F156,Tb_ProjectKosten[],MATCH(Tb_ProjectKosten[[#Headers],[Forfait_Percentage]],Tb_ProjectKosten[#Headers],0),0),AND(F156="Arbeidskosten",G156&lt;&gt;""),IFERROR(W156*VLOOKUP(G156,Tb_KostenTypen[],3,0)*VLOOKUP(F156,Tb_ProjectKosten[],MATCH(Tb_ProjectKosten[[#Headers],[Forfait_Percentage]],Tb_ProjectKosten[#Headers],0),0),""),W156 &lt;=0,0),"")</f>
        <v/>
      </c>
      <c r="AA156" s="314" t="str" cm="1">
        <f t="array" aca="1" ref="AA156" ca="1">IFERROR(_xlfn.IFS(OR(F156="",LEFT(Methode_Keuze,4)="Geen",Methode_Keuze=""),"",AND(X156&lt;&gt;"",F156&lt;&gt;"Arbeidskosten"),X156*VLOOKUP(F156,Tb_ProjectKosten[],MATCH(Tb_ProjectKosten[[#Headers],[Forfait_Percentage]],Tb_ProjectKosten[#Headers],0),0),AND(F156="Arbeidskosten",G156&lt;&gt;""),IFERROR(X156*VLOOKUP(G156,Tb_KostenTypen[],3,0)*VLOOKUP(F156,Tb_ProjectKosten[],MATCH(Tb_ProjectKosten[[#Headers],[Forfait_Percentage]],Tb_ProjectKosten[#Headers],0),0),""),X156 &lt;=0,0),"")</f>
        <v/>
      </c>
      <c r="AB156" s="314" t="str">
        <f t="shared" ca="1" si="11"/>
        <v/>
      </c>
      <c r="AC156" s="322"/>
      <c r="AD156" s="315"/>
      <c r="AE156" s="32" t="str" cm="1">
        <f t="array" ref="AE156">IFERROR(IF(INDEX(SubsidieTabel!$AD$1:$AG$12,MATCH($F156,SubsidieTabel!$AD$1:$AD$12,0),IFERROR(MATCH(Methode_Keuze,SubsidieTabel!$AD$1:$AG$1,0),2))&lt;&gt;1=TRUE,"ja",""),"")</f>
        <v/>
      </c>
    </row>
    <row r="157" spans="1:31" x14ac:dyDescent="0.25">
      <c r="A157" s="316"/>
      <c r="B157" s="317" t="str">
        <f>IF(A157&lt;&gt;"",_xlfn.MAXIFS($B$1:B156,$A$1:A156,A157)+1,"")</f>
        <v/>
      </c>
      <c r="C157" s="296"/>
      <c r="D157" s="296"/>
      <c r="E157" s="296"/>
      <c r="F157" s="296"/>
      <c r="G157" s="326"/>
      <c r="H157" s="324"/>
      <c r="I157" s="325"/>
      <c r="J157" s="325"/>
      <c r="K157" s="318"/>
      <c r="L157" s="318"/>
      <c r="M157" s="319" t="str">
        <f>IFERROR(VLOOKUP(H157,Lijsten!$H$1:$I$100,2,0),"")</f>
        <v/>
      </c>
      <c r="N157" s="319" t="str">
        <f ca="1">IFERROR(IF(VLOOKUP(F157,Kostentypen!$A$3:$E$21,3,0)=0,"",IF(OR(F157="Arbeidskosten",F157="Vergoeding"),VLOOKUP(G157,Tb_KostenTypen[],2,0),VLOOKUP(F157,Kostentypen!$A$3:$E$20,3,0))),"")</f>
        <v/>
      </c>
      <c r="O157" s="320" t="str" cm="1">
        <f t="array" ref="O157">_xlfn.IFNA(IF(INDEX(Tb_KostenOptiesDB[],MATCH($F157,Tb_KostenOptiesDB[KostenOptie],0),IFERROR(MATCH(Methode_Keuze,Tb_KostenOptiesDB[#Headers],0),2))=1,_xlfn.SWITCH($N157,"Uurtarief",IF(OR(AND(RIGHT($F157,3)="IKS",VLOOKUP($M157,DB_Loonkosten,2,0)="Ja"),AND(RIGHT($F157,3)&lt;&gt;"IKS",VLOOKUP($M157,DB_Loonkosten,2,0)="Nee")),IFERROR(VLOOKUP($M157,DB_Loonkosten,24,0),""),0),"Vast tarief",IF(LEFT(F157,8)="Bijdrage",VLOOKUP($F157,Tb_KostenTypen[],MATCH(Lijsten!$P$1,Tb_KostenTypen[#Headers],0),0),VLOOKUP($G157,Lijsten!L:P,MATCH(Lijsten!$P$1,Kop_Tarief_Vast,0),0))),""),"")</f>
        <v/>
      </c>
      <c r="P157" s="320" t="str" cm="1">
        <f t="array" ref="P157">_xlfn.IFNA(IF(INDEX(Tb_KostenOptiesDB[],MATCH($F157,Tb_KostenOptiesDB[KostenOptie],0),IFERROR(MATCH(Methode_Keuze,Tb_KostenOptiesDB[#Headers],0),2))=1,_xlfn.SWITCH($N157,"Uurtarief",IF(OR(AND(RIGHT($F157,3)="IKS",VLOOKUP($M157,DB_Loonkosten,2,0)="Ja"),AND(RIGHT($F157,3)&lt;&gt;"IKS",VLOOKUP($M157,DB_Loonkosten,2,0)="Nee")),IFERROR(VLOOKUP($M157,DB_Loonkosten,25,0),""),0),"Vast tarief",IF(LEFT(F157,8)="Bijdrage",VLOOKUP($F157,Tb_KostenTypen[],MATCH(Lijsten!$P$1,Tb_KostenTypen[#Headers],0),0),VLOOKUP($G157,Lijsten!L:P,MATCH(Lijsten!$P$1,Kop_Tarief_Vast,0),0))),""),"")</f>
        <v/>
      </c>
      <c r="Q157" s="359"/>
      <c r="R157" s="359"/>
      <c r="S157" s="321"/>
      <c r="T157" s="321"/>
      <c r="U157" s="373" t="str">
        <f t="shared" si="8"/>
        <v/>
      </c>
      <c r="V157" s="314" t="str">
        <f t="shared" si="9"/>
        <v/>
      </c>
      <c r="W157" s="314" t="str" cm="1">
        <f t="array" aca="1" ref="W157" ca="1">IFERROR(IF(AE157&lt;&gt;"ja",_xlfn.IFNA(_xlfn.IFS(AND(O157&lt;&gt;"",F157&lt;&gt;"",RIGHT($N157,6)="tarief",F157="Vergoeding"),SUM(O157)*FLOOR(SUM(Q157),0.0001),AND(O157&lt;&gt;"",F157&lt;&gt;"",RIGHT($N157,6)="tarief"),SUM(O157)*FLOOR(SUM(Q157),0.01),S157&gt;0,IF(F157&lt;&gt;"",FLOOR(SUM(S157),0.01),"")),""),""),"")</f>
        <v/>
      </c>
      <c r="X157" s="314" t="str" cm="1">
        <f t="array" aca="1" ref="X157" ca="1">IFERROR(IF(AE157&lt;&gt;"ja",_xlfn.IFNA(_xlfn.IFS(AND(P157&lt;&gt;"",R157&lt;&gt;"",RIGHT($N157,6)="tarief",F157="Vergoeding"),SUM(P157)*FLOOR(SUM(R157),0.0001),AND(P157&lt;&gt;"",R157&lt;&gt;"",RIGHT($N157,6)="tarief"),P157*FLOOR(R157,0.01),T157&gt;0,FLOOR(SUM(T157),0.01)),""),""),"")</f>
        <v/>
      </c>
      <c r="Y157" s="314" t="str">
        <f t="shared" ca="1" si="10"/>
        <v/>
      </c>
      <c r="Z157" s="314" t="str" cm="1">
        <f t="array" aca="1" ref="Z157" ca="1">IFERROR(_xlfn.IFS(OR(F157="",LEFT(Methode_Keuze,4)="Geen",Methode_Keuze=""),"",AND(W157&lt;&gt;"",F157&lt;&gt;"Arbeidskosten"),W157*VLOOKUP(F157,Tb_ProjectKosten[],MATCH(Tb_ProjectKosten[[#Headers],[Forfait_Percentage]],Tb_ProjectKosten[#Headers],0),0),AND(F157="Arbeidskosten",G157&lt;&gt;""),IFERROR(W157*VLOOKUP(G157,Tb_KostenTypen[],3,0)*VLOOKUP(F157,Tb_ProjectKosten[],MATCH(Tb_ProjectKosten[[#Headers],[Forfait_Percentage]],Tb_ProjectKosten[#Headers],0),0),""),W157 &lt;=0,0),"")</f>
        <v/>
      </c>
      <c r="AA157" s="314" t="str" cm="1">
        <f t="array" aca="1" ref="AA157" ca="1">IFERROR(_xlfn.IFS(OR(F157="",LEFT(Methode_Keuze,4)="Geen",Methode_Keuze=""),"",AND(X157&lt;&gt;"",F157&lt;&gt;"Arbeidskosten"),X157*VLOOKUP(F157,Tb_ProjectKosten[],MATCH(Tb_ProjectKosten[[#Headers],[Forfait_Percentage]],Tb_ProjectKosten[#Headers],0),0),AND(F157="Arbeidskosten",G157&lt;&gt;""),IFERROR(X157*VLOOKUP(G157,Tb_KostenTypen[],3,0)*VLOOKUP(F157,Tb_ProjectKosten[],MATCH(Tb_ProjectKosten[[#Headers],[Forfait_Percentage]],Tb_ProjectKosten[#Headers],0),0),""),X157 &lt;=0,0),"")</f>
        <v/>
      </c>
      <c r="AB157" s="314" t="str">
        <f t="shared" ca="1" si="11"/>
        <v/>
      </c>
      <c r="AC157" s="322"/>
      <c r="AD157" s="315"/>
      <c r="AE157" s="32" t="str" cm="1">
        <f t="array" ref="AE157">IFERROR(IF(INDEX(SubsidieTabel!$AD$1:$AG$12,MATCH($F157,SubsidieTabel!$AD$1:$AD$12,0),IFERROR(MATCH(Methode_Keuze,SubsidieTabel!$AD$1:$AG$1,0),2))&lt;&gt;1=TRUE,"ja",""),"")</f>
        <v/>
      </c>
    </row>
    <row r="158" spans="1:31" x14ac:dyDescent="0.25">
      <c r="A158" s="316"/>
      <c r="B158" s="317" t="str">
        <f>IF(A158&lt;&gt;"",_xlfn.MAXIFS($B$1:B157,$A$1:A157,A158)+1,"")</f>
        <v/>
      </c>
      <c r="C158" s="296"/>
      <c r="D158" s="296"/>
      <c r="E158" s="296"/>
      <c r="F158" s="296"/>
      <c r="G158" s="326"/>
      <c r="H158" s="324"/>
      <c r="I158" s="325"/>
      <c r="J158" s="325"/>
      <c r="K158" s="318"/>
      <c r="L158" s="318"/>
      <c r="M158" s="319" t="str">
        <f>IFERROR(VLOOKUP(H158,Lijsten!$H$1:$I$100,2,0),"")</f>
        <v/>
      </c>
      <c r="N158" s="319" t="str">
        <f ca="1">IFERROR(IF(VLOOKUP(F158,Kostentypen!$A$3:$E$21,3,0)=0,"",IF(OR(F158="Arbeidskosten",F158="Vergoeding"),VLOOKUP(G158,Tb_KostenTypen[],2,0),VLOOKUP(F158,Kostentypen!$A$3:$E$20,3,0))),"")</f>
        <v/>
      </c>
      <c r="O158" s="320" t="str" cm="1">
        <f t="array" ref="O158">_xlfn.IFNA(IF(INDEX(Tb_KostenOptiesDB[],MATCH($F158,Tb_KostenOptiesDB[KostenOptie],0),IFERROR(MATCH(Methode_Keuze,Tb_KostenOptiesDB[#Headers],0),2))=1,_xlfn.SWITCH($N158,"Uurtarief",IF(OR(AND(RIGHT($F158,3)="IKS",VLOOKUP($M158,DB_Loonkosten,2,0)="Ja"),AND(RIGHT($F158,3)&lt;&gt;"IKS",VLOOKUP($M158,DB_Loonkosten,2,0)="Nee")),IFERROR(VLOOKUP($M158,DB_Loonkosten,24,0),""),0),"Vast tarief",IF(LEFT(F158,8)="Bijdrage",VLOOKUP($F158,Tb_KostenTypen[],MATCH(Lijsten!$P$1,Tb_KostenTypen[#Headers],0),0),VLOOKUP($G158,Lijsten!L:P,MATCH(Lijsten!$P$1,Kop_Tarief_Vast,0),0))),""),"")</f>
        <v/>
      </c>
      <c r="P158" s="320" t="str" cm="1">
        <f t="array" ref="P158">_xlfn.IFNA(IF(INDEX(Tb_KostenOptiesDB[],MATCH($F158,Tb_KostenOptiesDB[KostenOptie],0),IFERROR(MATCH(Methode_Keuze,Tb_KostenOptiesDB[#Headers],0),2))=1,_xlfn.SWITCH($N158,"Uurtarief",IF(OR(AND(RIGHT($F158,3)="IKS",VLOOKUP($M158,DB_Loonkosten,2,0)="Ja"),AND(RIGHT($F158,3)&lt;&gt;"IKS",VLOOKUP($M158,DB_Loonkosten,2,0)="Nee")),IFERROR(VLOOKUP($M158,DB_Loonkosten,25,0),""),0),"Vast tarief",IF(LEFT(F158,8)="Bijdrage",VLOOKUP($F158,Tb_KostenTypen[],MATCH(Lijsten!$P$1,Tb_KostenTypen[#Headers],0),0),VLOOKUP($G158,Lijsten!L:P,MATCH(Lijsten!$P$1,Kop_Tarief_Vast,0),0))),""),"")</f>
        <v/>
      </c>
      <c r="Q158" s="359"/>
      <c r="R158" s="359"/>
      <c r="S158" s="321"/>
      <c r="T158" s="321"/>
      <c r="U158" s="373" t="str">
        <f t="shared" si="8"/>
        <v/>
      </c>
      <c r="V158" s="314" t="str">
        <f t="shared" si="9"/>
        <v/>
      </c>
      <c r="W158" s="314" t="str" cm="1">
        <f t="array" aca="1" ref="W158" ca="1">IFERROR(IF(AE158&lt;&gt;"ja",_xlfn.IFNA(_xlfn.IFS(AND(O158&lt;&gt;"",F158&lt;&gt;"",RIGHT($N158,6)="tarief",F158="Vergoeding"),SUM(O158)*FLOOR(SUM(Q158),0.0001),AND(O158&lt;&gt;"",F158&lt;&gt;"",RIGHT($N158,6)="tarief"),SUM(O158)*FLOOR(SUM(Q158),0.01),S158&gt;0,IF(F158&lt;&gt;"",FLOOR(SUM(S158),0.01),"")),""),""),"")</f>
        <v/>
      </c>
      <c r="X158" s="314" t="str" cm="1">
        <f t="array" aca="1" ref="X158" ca="1">IFERROR(IF(AE158&lt;&gt;"ja",_xlfn.IFNA(_xlfn.IFS(AND(P158&lt;&gt;"",R158&lt;&gt;"",RIGHT($N158,6)="tarief",F158="Vergoeding"),SUM(P158)*FLOOR(SUM(R158),0.0001),AND(P158&lt;&gt;"",R158&lt;&gt;"",RIGHT($N158,6)="tarief"),P158*FLOOR(R158,0.01),T158&gt;0,FLOOR(SUM(T158),0.01)),""),""),"")</f>
        <v/>
      </c>
      <c r="Y158" s="314" t="str">
        <f t="shared" ca="1" si="10"/>
        <v/>
      </c>
      <c r="Z158" s="314" t="str" cm="1">
        <f t="array" aca="1" ref="Z158" ca="1">IFERROR(_xlfn.IFS(OR(F158="",LEFT(Methode_Keuze,4)="Geen",Methode_Keuze=""),"",AND(W158&lt;&gt;"",F158&lt;&gt;"Arbeidskosten"),W158*VLOOKUP(F158,Tb_ProjectKosten[],MATCH(Tb_ProjectKosten[[#Headers],[Forfait_Percentage]],Tb_ProjectKosten[#Headers],0),0),AND(F158="Arbeidskosten",G158&lt;&gt;""),IFERROR(W158*VLOOKUP(G158,Tb_KostenTypen[],3,0)*VLOOKUP(F158,Tb_ProjectKosten[],MATCH(Tb_ProjectKosten[[#Headers],[Forfait_Percentage]],Tb_ProjectKosten[#Headers],0),0),""),W158 &lt;=0,0),"")</f>
        <v/>
      </c>
      <c r="AA158" s="314" t="str" cm="1">
        <f t="array" aca="1" ref="AA158" ca="1">IFERROR(_xlfn.IFS(OR(F158="",LEFT(Methode_Keuze,4)="Geen",Methode_Keuze=""),"",AND(X158&lt;&gt;"",F158&lt;&gt;"Arbeidskosten"),X158*VLOOKUP(F158,Tb_ProjectKosten[],MATCH(Tb_ProjectKosten[[#Headers],[Forfait_Percentage]],Tb_ProjectKosten[#Headers],0),0),AND(F158="Arbeidskosten",G158&lt;&gt;""),IFERROR(X158*VLOOKUP(G158,Tb_KostenTypen[],3,0)*VLOOKUP(F158,Tb_ProjectKosten[],MATCH(Tb_ProjectKosten[[#Headers],[Forfait_Percentage]],Tb_ProjectKosten[#Headers],0),0),""),X158 &lt;=0,0),"")</f>
        <v/>
      </c>
      <c r="AB158" s="314" t="str">
        <f t="shared" ca="1" si="11"/>
        <v/>
      </c>
      <c r="AC158" s="322"/>
      <c r="AD158" s="315"/>
      <c r="AE158" s="32" t="str" cm="1">
        <f t="array" ref="AE158">IFERROR(IF(INDEX(SubsidieTabel!$AD$1:$AG$12,MATCH($F158,SubsidieTabel!$AD$1:$AD$12,0),IFERROR(MATCH(Methode_Keuze,SubsidieTabel!$AD$1:$AG$1,0),2))&lt;&gt;1=TRUE,"ja",""),"")</f>
        <v/>
      </c>
    </row>
    <row r="159" spans="1:31" x14ac:dyDescent="0.25">
      <c r="A159" s="316"/>
      <c r="B159" s="317" t="str">
        <f>IF(A159&lt;&gt;"",_xlfn.MAXIFS($B$1:B158,$A$1:A158,A159)+1,"")</f>
        <v/>
      </c>
      <c r="C159" s="296"/>
      <c r="D159" s="296"/>
      <c r="E159" s="296"/>
      <c r="F159" s="296"/>
      <c r="G159" s="326"/>
      <c r="H159" s="324"/>
      <c r="I159" s="325"/>
      <c r="J159" s="325"/>
      <c r="K159" s="318"/>
      <c r="L159" s="318"/>
      <c r="M159" s="319" t="str">
        <f>IFERROR(VLOOKUP(H159,Lijsten!$H$1:$I$100,2,0),"")</f>
        <v/>
      </c>
      <c r="N159" s="319" t="str">
        <f ca="1">IFERROR(IF(VLOOKUP(F159,Kostentypen!$A$3:$E$21,3,0)=0,"",IF(OR(F159="Arbeidskosten",F159="Vergoeding"),VLOOKUP(G159,Tb_KostenTypen[],2,0),VLOOKUP(F159,Kostentypen!$A$3:$E$20,3,0))),"")</f>
        <v/>
      </c>
      <c r="O159" s="320" t="str" cm="1">
        <f t="array" ref="O159">_xlfn.IFNA(IF(INDEX(Tb_KostenOptiesDB[],MATCH($F159,Tb_KostenOptiesDB[KostenOptie],0),IFERROR(MATCH(Methode_Keuze,Tb_KostenOptiesDB[#Headers],0),2))=1,_xlfn.SWITCH($N159,"Uurtarief",IF(OR(AND(RIGHT($F159,3)="IKS",VLOOKUP($M159,DB_Loonkosten,2,0)="Ja"),AND(RIGHT($F159,3)&lt;&gt;"IKS",VLOOKUP($M159,DB_Loonkosten,2,0)="Nee")),IFERROR(VLOOKUP($M159,DB_Loonkosten,24,0),""),0),"Vast tarief",IF(LEFT(F159,8)="Bijdrage",VLOOKUP($F159,Tb_KostenTypen[],MATCH(Lijsten!$P$1,Tb_KostenTypen[#Headers],0),0),VLOOKUP($G159,Lijsten!L:P,MATCH(Lijsten!$P$1,Kop_Tarief_Vast,0),0))),""),"")</f>
        <v/>
      </c>
      <c r="P159" s="320" t="str" cm="1">
        <f t="array" ref="P159">_xlfn.IFNA(IF(INDEX(Tb_KostenOptiesDB[],MATCH($F159,Tb_KostenOptiesDB[KostenOptie],0),IFERROR(MATCH(Methode_Keuze,Tb_KostenOptiesDB[#Headers],0),2))=1,_xlfn.SWITCH($N159,"Uurtarief",IF(OR(AND(RIGHT($F159,3)="IKS",VLOOKUP($M159,DB_Loonkosten,2,0)="Ja"),AND(RIGHT($F159,3)&lt;&gt;"IKS",VLOOKUP($M159,DB_Loonkosten,2,0)="Nee")),IFERROR(VLOOKUP($M159,DB_Loonkosten,25,0),""),0),"Vast tarief",IF(LEFT(F159,8)="Bijdrage",VLOOKUP($F159,Tb_KostenTypen[],MATCH(Lijsten!$P$1,Tb_KostenTypen[#Headers],0),0),VLOOKUP($G159,Lijsten!L:P,MATCH(Lijsten!$P$1,Kop_Tarief_Vast,0),0))),""),"")</f>
        <v/>
      </c>
      <c r="Q159" s="359"/>
      <c r="R159" s="359"/>
      <c r="S159" s="321"/>
      <c r="T159" s="321"/>
      <c r="U159" s="373" t="str">
        <f t="shared" si="8"/>
        <v/>
      </c>
      <c r="V159" s="314" t="str">
        <f t="shared" si="9"/>
        <v/>
      </c>
      <c r="W159" s="314" t="str" cm="1">
        <f t="array" aca="1" ref="W159" ca="1">IFERROR(IF(AE159&lt;&gt;"ja",_xlfn.IFNA(_xlfn.IFS(AND(O159&lt;&gt;"",F159&lt;&gt;"",RIGHT($N159,6)="tarief",F159="Vergoeding"),SUM(O159)*FLOOR(SUM(Q159),0.0001),AND(O159&lt;&gt;"",F159&lt;&gt;"",RIGHT($N159,6)="tarief"),SUM(O159)*FLOOR(SUM(Q159),0.01),S159&gt;0,IF(F159&lt;&gt;"",FLOOR(SUM(S159),0.01),"")),""),""),"")</f>
        <v/>
      </c>
      <c r="X159" s="314" t="str" cm="1">
        <f t="array" aca="1" ref="X159" ca="1">IFERROR(IF(AE159&lt;&gt;"ja",_xlfn.IFNA(_xlfn.IFS(AND(P159&lt;&gt;"",R159&lt;&gt;"",RIGHT($N159,6)="tarief",F159="Vergoeding"),SUM(P159)*FLOOR(SUM(R159),0.0001),AND(P159&lt;&gt;"",R159&lt;&gt;"",RIGHT($N159,6)="tarief"),P159*FLOOR(R159,0.01),T159&gt;0,FLOOR(SUM(T159),0.01)),""),""),"")</f>
        <v/>
      </c>
      <c r="Y159" s="314" t="str">
        <f t="shared" ca="1" si="10"/>
        <v/>
      </c>
      <c r="Z159" s="314" t="str" cm="1">
        <f t="array" aca="1" ref="Z159" ca="1">IFERROR(_xlfn.IFS(OR(F159="",LEFT(Methode_Keuze,4)="Geen",Methode_Keuze=""),"",AND(W159&lt;&gt;"",F159&lt;&gt;"Arbeidskosten"),W159*VLOOKUP(F159,Tb_ProjectKosten[],MATCH(Tb_ProjectKosten[[#Headers],[Forfait_Percentage]],Tb_ProjectKosten[#Headers],0),0),AND(F159="Arbeidskosten",G159&lt;&gt;""),IFERROR(W159*VLOOKUP(G159,Tb_KostenTypen[],3,0)*VLOOKUP(F159,Tb_ProjectKosten[],MATCH(Tb_ProjectKosten[[#Headers],[Forfait_Percentage]],Tb_ProjectKosten[#Headers],0),0),""),W159 &lt;=0,0),"")</f>
        <v/>
      </c>
      <c r="AA159" s="314" t="str" cm="1">
        <f t="array" aca="1" ref="AA159" ca="1">IFERROR(_xlfn.IFS(OR(F159="",LEFT(Methode_Keuze,4)="Geen",Methode_Keuze=""),"",AND(X159&lt;&gt;"",F159&lt;&gt;"Arbeidskosten"),X159*VLOOKUP(F159,Tb_ProjectKosten[],MATCH(Tb_ProjectKosten[[#Headers],[Forfait_Percentage]],Tb_ProjectKosten[#Headers],0),0),AND(F159="Arbeidskosten",G159&lt;&gt;""),IFERROR(X159*VLOOKUP(G159,Tb_KostenTypen[],3,0)*VLOOKUP(F159,Tb_ProjectKosten[],MATCH(Tb_ProjectKosten[[#Headers],[Forfait_Percentage]],Tb_ProjectKosten[#Headers],0),0),""),X159 &lt;=0,0),"")</f>
        <v/>
      </c>
      <c r="AB159" s="314" t="str">
        <f t="shared" ca="1" si="11"/>
        <v/>
      </c>
      <c r="AC159" s="322"/>
      <c r="AD159" s="315"/>
      <c r="AE159" s="32" t="str" cm="1">
        <f t="array" ref="AE159">IFERROR(IF(INDEX(SubsidieTabel!$AD$1:$AG$12,MATCH($F159,SubsidieTabel!$AD$1:$AD$12,0),IFERROR(MATCH(Methode_Keuze,SubsidieTabel!$AD$1:$AG$1,0),2))&lt;&gt;1=TRUE,"ja",""),"")</f>
        <v/>
      </c>
    </row>
    <row r="160" spans="1:31" x14ac:dyDescent="0.25">
      <c r="A160" s="316"/>
      <c r="B160" s="317" t="str">
        <f>IF(A160&lt;&gt;"",_xlfn.MAXIFS($B$1:B159,$A$1:A159,A160)+1,"")</f>
        <v/>
      </c>
      <c r="C160" s="296"/>
      <c r="D160" s="296"/>
      <c r="E160" s="296"/>
      <c r="F160" s="296"/>
      <c r="G160" s="326"/>
      <c r="H160" s="324"/>
      <c r="I160" s="325"/>
      <c r="J160" s="325"/>
      <c r="K160" s="318"/>
      <c r="L160" s="318"/>
      <c r="M160" s="319" t="str">
        <f>IFERROR(VLOOKUP(H160,Lijsten!$H$1:$I$100,2,0),"")</f>
        <v/>
      </c>
      <c r="N160" s="319" t="str">
        <f ca="1">IFERROR(IF(VLOOKUP(F160,Kostentypen!$A$3:$E$21,3,0)=0,"",IF(OR(F160="Arbeidskosten",F160="Vergoeding"),VLOOKUP(G160,Tb_KostenTypen[],2,0),VLOOKUP(F160,Kostentypen!$A$3:$E$20,3,0))),"")</f>
        <v/>
      </c>
      <c r="O160" s="320" t="str" cm="1">
        <f t="array" ref="O160">_xlfn.IFNA(IF(INDEX(Tb_KostenOptiesDB[],MATCH($F160,Tb_KostenOptiesDB[KostenOptie],0),IFERROR(MATCH(Methode_Keuze,Tb_KostenOptiesDB[#Headers],0),2))=1,_xlfn.SWITCH($N160,"Uurtarief",IF(OR(AND(RIGHT($F160,3)="IKS",VLOOKUP($M160,DB_Loonkosten,2,0)="Ja"),AND(RIGHT($F160,3)&lt;&gt;"IKS",VLOOKUP($M160,DB_Loonkosten,2,0)="Nee")),IFERROR(VLOOKUP($M160,DB_Loonkosten,24,0),""),0),"Vast tarief",IF(LEFT(F160,8)="Bijdrage",VLOOKUP($F160,Tb_KostenTypen[],MATCH(Lijsten!$P$1,Tb_KostenTypen[#Headers],0),0),VLOOKUP($G160,Lijsten!L:P,MATCH(Lijsten!$P$1,Kop_Tarief_Vast,0),0))),""),"")</f>
        <v/>
      </c>
      <c r="P160" s="320" t="str" cm="1">
        <f t="array" ref="P160">_xlfn.IFNA(IF(INDEX(Tb_KostenOptiesDB[],MATCH($F160,Tb_KostenOptiesDB[KostenOptie],0),IFERROR(MATCH(Methode_Keuze,Tb_KostenOptiesDB[#Headers],0),2))=1,_xlfn.SWITCH($N160,"Uurtarief",IF(OR(AND(RIGHT($F160,3)="IKS",VLOOKUP($M160,DB_Loonkosten,2,0)="Ja"),AND(RIGHT($F160,3)&lt;&gt;"IKS",VLOOKUP($M160,DB_Loonkosten,2,0)="Nee")),IFERROR(VLOOKUP($M160,DB_Loonkosten,25,0),""),0),"Vast tarief",IF(LEFT(F160,8)="Bijdrage",VLOOKUP($F160,Tb_KostenTypen[],MATCH(Lijsten!$P$1,Tb_KostenTypen[#Headers],0),0),VLOOKUP($G160,Lijsten!L:P,MATCH(Lijsten!$P$1,Kop_Tarief_Vast,0),0))),""),"")</f>
        <v/>
      </c>
      <c r="Q160" s="359"/>
      <c r="R160" s="359"/>
      <c r="S160" s="321"/>
      <c r="T160" s="321"/>
      <c r="U160" s="373" t="str">
        <f t="shared" si="8"/>
        <v/>
      </c>
      <c r="V160" s="314" t="str">
        <f t="shared" si="9"/>
        <v/>
      </c>
      <c r="W160" s="314" t="str" cm="1">
        <f t="array" aca="1" ref="W160" ca="1">IFERROR(IF(AE160&lt;&gt;"ja",_xlfn.IFNA(_xlfn.IFS(AND(O160&lt;&gt;"",F160&lt;&gt;"",RIGHT($N160,6)="tarief",F160="Vergoeding"),SUM(O160)*FLOOR(SUM(Q160),0.0001),AND(O160&lt;&gt;"",F160&lt;&gt;"",RIGHT($N160,6)="tarief"),SUM(O160)*FLOOR(SUM(Q160),0.01),S160&gt;0,IF(F160&lt;&gt;"",FLOOR(SUM(S160),0.01),"")),""),""),"")</f>
        <v/>
      </c>
      <c r="X160" s="314" t="str" cm="1">
        <f t="array" aca="1" ref="X160" ca="1">IFERROR(IF(AE160&lt;&gt;"ja",_xlfn.IFNA(_xlfn.IFS(AND(P160&lt;&gt;"",R160&lt;&gt;"",RIGHT($N160,6)="tarief",F160="Vergoeding"),SUM(P160)*FLOOR(SUM(R160),0.0001),AND(P160&lt;&gt;"",R160&lt;&gt;"",RIGHT($N160,6)="tarief"),P160*FLOOR(R160,0.01),T160&gt;0,FLOOR(SUM(T160),0.01)),""),""),"")</f>
        <v/>
      </c>
      <c r="Y160" s="314" t="str">
        <f t="shared" ca="1" si="10"/>
        <v/>
      </c>
      <c r="Z160" s="314" t="str" cm="1">
        <f t="array" aca="1" ref="Z160" ca="1">IFERROR(_xlfn.IFS(OR(F160="",LEFT(Methode_Keuze,4)="Geen",Methode_Keuze=""),"",AND(W160&lt;&gt;"",F160&lt;&gt;"Arbeidskosten"),W160*VLOOKUP(F160,Tb_ProjectKosten[],MATCH(Tb_ProjectKosten[[#Headers],[Forfait_Percentage]],Tb_ProjectKosten[#Headers],0),0),AND(F160="Arbeidskosten",G160&lt;&gt;""),IFERROR(W160*VLOOKUP(G160,Tb_KostenTypen[],3,0)*VLOOKUP(F160,Tb_ProjectKosten[],MATCH(Tb_ProjectKosten[[#Headers],[Forfait_Percentage]],Tb_ProjectKosten[#Headers],0),0),""),W160 &lt;=0,0),"")</f>
        <v/>
      </c>
      <c r="AA160" s="314" t="str" cm="1">
        <f t="array" aca="1" ref="AA160" ca="1">IFERROR(_xlfn.IFS(OR(F160="",LEFT(Methode_Keuze,4)="Geen",Methode_Keuze=""),"",AND(X160&lt;&gt;"",F160&lt;&gt;"Arbeidskosten"),X160*VLOOKUP(F160,Tb_ProjectKosten[],MATCH(Tb_ProjectKosten[[#Headers],[Forfait_Percentage]],Tb_ProjectKosten[#Headers],0),0),AND(F160="Arbeidskosten",G160&lt;&gt;""),IFERROR(X160*VLOOKUP(G160,Tb_KostenTypen[],3,0)*VLOOKUP(F160,Tb_ProjectKosten[],MATCH(Tb_ProjectKosten[[#Headers],[Forfait_Percentage]],Tb_ProjectKosten[#Headers],0),0),""),X160 &lt;=0,0),"")</f>
        <v/>
      </c>
      <c r="AB160" s="314" t="str">
        <f t="shared" ca="1" si="11"/>
        <v/>
      </c>
      <c r="AC160" s="322"/>
      <c r="AD160" s="315"/>
      <c r="AE160" s="32" t="str" cm="1">
        <f t="array" ref="AE160">IFERROR(IF(INDEX(SubsidieTabel!$AD$1:$AG$12,MATCH($F160,SubsidieTabel!$AD$1:$AD$12,0),IFERROR(MATCH(Methode_Keuze,SubsidieTabel!$AD$1:$AG$1,0),2))&lt;&gt;1=TRUE,"ja",""),"")</f>
        <v/>
      </c>
    </row>
    <row r="161" spans="1:31" x14ac:dyDescent="0.25">
      <c r="A161" s="316"/>
      <c r="B161" s="317" t="str">
        <f>IF(A161&lt;&gt;"",_xlfn.MAXIFS($B$1:B160,$A$1:A160,A161)+1,"")</f>
        <v/>
      </c>
      <c r="C161" s="296"/>
      <c r="D161" s="296"/>
      <c r="E161" s="296"/>
      <c r="F161" s="296"/>
      <c r="G161" s="326"/>
      <c r="H161" s="324"/>
      <c r="I161" s="325"/>
      <c r="J161" s="325"/>
      <c r="K161" s="318"/>
      <c r="L161" s="318"/>
      <c r="M161" s="319" t="str">
        <f>IFERROR(VLOOKUP(H161,Lijsten!$H$1:$I$100,2,0),"")</f>
        <v/>
      </c>
      <c r="N161" s="319" t="str">
        <f ca="1">IFERROR(IF(VLOOKUP(F161,Kostentypen!$A$3:$E$21,3,0)=0,"",IF(OR(F161="Arbeidskosten",F161="Vergoeding"),VLOOKUP(G161,Tb_KostenTypen[],2,0),VLOOKUP(F161,Kostentypen!$A$3:$E$20,3,0))),"")</f>
        <v/>
      </c>
      <c r="O161" s="320" t="str" cm="1">
        <f t="array" ref="O161">_xlfn.IFNA(IF(INDEX(Tb_KostenOptiesDB[],MATCH($F161,Tb_KostenOptiesDB[KostenOptie],0),IFERROR(MATCH(Methode_Keuze,Tb_KostenOptiesDB[#Headers],0),2))=1,_xlfn.SWITCH($N161,"Uurtarief",IF(OR(AND(RIGHT($F161,3)="IKS",VLOOKUP($M161,DB_Loonkosten,2,0)="Ja"),AND(RIGHT($F161,3)&lt;&gt;"IKS",VLOOKUP($M161,DB_Loonkosten,2,0)="Nee")),IFERROR(VLOOKUP($M161,DB_Loonkosten,24,0),""),0),"Vast tarief",IF(LEFT(F161,8)="Bijdrage",VLOOKUP($F161,Tb_KostenTypen[],MATCH(Lijsten!$P$1,Tb_KostenTypen[#Headers],0),0),VLOOKUP($G161,Lijsten!L:P,MATCH(Lijsten!$P$1,Kop_Tarief_Vast,0),0))),""),"")</f>
        <v/>
      </c>
      <c r="P161" s="320" t="str" cm="1">
        <f t="array" ref="P161">_xlfn.IFNA(IF(INDEX(Tb_KostenOptiesDB[],MATCH($F161,Tb_KostenOptiesDB[KostenOptie],0),IFERROR(MATCH(Methode_Keuze,Tb_KostenOptiesDB[#Headers],0),2))=1,_xlfn.SWITCH($N161,"Uurtarief",IF(OR(AND(RIGHT($F161,3)="IKS",VLOOKUP($M161,DB_Loonkosten,2,0)="Ja"),AND(RIGHT($F161,3)&lt;&gt;"IKS",VLOOKUP($M161,DB_Loonkosten,2,0)="Nee")),IFERROR(VLOOKUP($M161,DB_Loonkosten,25,0),""),0),"Vast tarief",IF(LEFT(F161,8)="Bijdrage",VLOOKUP($F161,Tb_KostenTypen[],MATCH(Lijsten!$P$1,Tb_KostenTypen[#Headers],0),0),VLOOKUP($G161,Lijsten!L:P,MATCH(Lijsten!$P$1,Kop_Tarief_Vast,0),0))),""),"")</f>
        <v/>
      </c>
      <c r="Q161" s="359"/>
      <c r="R161" s="359"/>
      <c r="S161" s="321"/>
      <c r="T161" s="321"/>
      <c r="U161" s="373" t="str">
        <f t="shared" si="8"/>
        <v/>
      </c>
      <c r="V161" s="314" t="str">
        <f t="shared" si="9"/>
        <v/>
      </c>
      <c r="W161" s="314" t="str" cm="1">
        <f t="array" aca="1" ref="W161" ca="1">IFERROR(IF(AE161&lt;&gt;"ja",_xlfn.IFNA(_xlfn.IFS(AND(O161&lt;&gt;"",F161&lt;&gt;"",RIGHT($N161,6)="tarief",F161="Vergoeding"),SUM(O161)*FLOOR(SUM(Q161),0.0001),AND(O161&lt;&gt;"",F161&lt;&gt;"",RIGHT($N161,6)="tarief"),SUM(O161)*FLOOR(SUM(Q161),0.01),S161&gt;0,IF(F161&lt;&gt;"",FLOOR(SUM(S161),0.01),"")),""),""),"")</f>
        <v/>
      </c>
      <c r="X161" s="314" t="str" cm="1">
        <f t="array" aca="1" ref="X161" ca="1">IFERROR(IF(AE161&lt;&gt;"ja",_xlfn.IFNA(_xlfn.IFS(AND(P161&lt;&gt;"",R161&lt;&gt;"",RIGHT($N161,6)="tarief",F161="Vergoeding"),SUM(P161)*FLOOR(SUM(R161),0.0001),AND(P161&lt;&gt;"",R161&lt;&gt;"",RIGHT($N161,6)="tarief"),P161*FLOOR(R161,0.01),T161&gt;0,FLOOR(SUM(T161),0.01)),""),""),"")</f>
        <v/>
      </c>
      <c r="Y161" s="314" t="str">
        <f t="shared" ca="1" si="10"/>
        <v/>
      </c>
      <c r="Z161" s="314" t="str" cm="1">
        <f t="array" aca="1" ref="Z161" ca="1">IFERROR(_xlfn.IFS(OR(F161="",LEFT(Methode_Keuze,4)="Geen",Methode_Keuze=""),"",AND(W161&lt;&gt;"",F161&lt;&gt;"Arbeidskosten"),W161*VLOOKUP(F161,Tb_ProjectKosten[],MATCH(Tb_ProjectKosten[[#Headers],[Forfait_Percentage]],Tb_ProjectKosten[#Headers],0),0),AND(F161="Arbeidskosten",G161&lt;&gt;""),IFERROR(W161*VLOOKUP(G161,Tb_KostenTypen[],3,0)*VLOOKUP(F161,Tb_ProjectKosten[],MATCH(Tb_ProjectKosten[[#Headers],[Forfait_Percentage]],Tb_ProjectKosten[#Headers],0),0),""),W161 &lt;=0,0),"")</f>
        <v/>
      </c>
      <c r="AA161" s="314" t="str" cm="1">
        <f t="array" aca="1" ref="AA161" ca="1">IFERROR(_xlfn.IFS(OR(F161="",LEFT(Methode_Keuze,4)="Geen",Methode_Keuze=""),"",AND(X161&lt;&gt;"",F161&lt;&gt;"Arbeidskosten"),X161*VLOOKUP(F161,Tb_ProjectKosten[],MATCH(Tb_ProjectKosten[[#Headers],[Forfait_Percentage]],Tb_ProjectKosten[#Headers],0),0),AND(F161="Arbeidskosten",G161&lt;&gt;""),IFERROR(X161*VLOOKUP(G161,Tb_KostenTypen[],3,0)*VLOOKUP(F161,Tb_ProjectKosten[],MATCH(Tb_ProjectKosten[[#Headers],[Forfait_Percentage]],Tb_ProjectKosten[#Headers],0),0),""),X161 &lt;=0,0),"")</f>
        <v/>
      </c>
      <c r="AB161" s="314" t="str">
        <f t="shared" ca="1" si="11"/>
        <v/>
      </c>
      <c r="AC161" s="322"/>
      <c r="AD161" s="315"/>
      <c r="AE161" s="32" t="str" cm="1">
        <f t="array" ref="AE161">IFERROR(IF(INDEX(SubsidieTabel!$AD$1:$AG$12,MATCH($F161,SubsidieTabel!$AD$1:$AD$12,0),IFERROR(MATCH(Methode_Keuze,SubsidieTabel!$AD$1:$AG$1,0),2))&lt;&gt;1=TRUE,"ja",""),"")</f>
        <v/>
      </c>
    </row>
    <row r="162" spans="1:31" x14ac:dyDescent="0.25">
      <c r="A162" s="316"/>
      <c r="B162" s="317" t="str">
        <f>IF(A162&lt;&gt;"",_xlfn.MAXIFS($B$1:B161,$A$1:A161,A162)+1,"")</f>
        <v/>
      </c>
      <c r="C162" s="296"/>
      <c r="D162" s="296"/>
      <c r="E162" s="296"/>
      <c r="F162" s="296"/>
      <c r="G162" s="326"/>
      <c r="H162" s="324"/>
      <c r="I162" s="325"/>
      <c r="J162" s="325"/>
      <c r="K162" s="318"/>
      <c r="L162" s="318"/>
      <c r="M162" s="319" t="str">
        <f>IFERROR(VLOOKUP(H162,Lijsten!$H$1:$I$100,2,0),"")</f>
        <v/>
      </c>
      <c r="N162" s="319" t="str">
        <f ca="1">IFERROR(IF(VLOOKUP(F162,Kostentypen!$A$3:$E$21,3,0)=0,"",IF(OR(F162="Arbeidskosten",F162="Vergoeding"),VLOOKUP(G162,Tb_KostenTypen[],2,0),VLOOKUP(F162,Kostentypen!$A$3:$E$20,3,0))),"")</f>
        <v/>
      </c>
      <c r="O162" s="320" t="str" cm="1">
        <f t="array" ref="O162">_xlfn.IFNA(IF(INDEX(Tb_KostenOptiesDB[],MATCH($F162,Tb_KostenOptiesDB[KostenOptie],0),IFERROR(MATCH(Methode_Keuze,Tb_KostenOptiesDB[#Headers],0),2))=1,_xlfn.SWITCH($N162,"Uurtarief",IF(OR(AND(RIGHT($F162,3)="IKS",VLOOKUP($M162,DB_Loonkosten,2,0)="Ja"),AND(RIGHT($F162,3)&lt;&gt;"IKS",VLOOKUP($M162,DB_Loonkosten,2,0)="Nee")),IFERROR(VLOOKUP($M162,DB_Loonkosten,24,0),""),0),"Vast tarief",IF(LEFT(F162,8)="Bijdrage",VLOOKUP($F162,Tb_KostenTypen[],MATCH(Lijsten!$P$1,Tb_KostenTypen[#Headers],0),0),VLOOKUP($G162,Lijsten!L:P,MATCH(Lijsten!$P$1,Kop_Tarief_Vast,0),0))),""),"")</f>
        <v/>
      </c>
      <c r="P162" s="320" t="str" cm="1">
        <f t="array" ref="P162">_xlfn.IFNA(IF(INDEX(Tb_KostenOptiesDB[],MATCH($F162,Tb_KostenOptiesDB[KostenOptie],0),IFERROR(MATCH(Methode_Keuze,Tb_KostenOptiesDB[#Headers],0),2))=1,_xlfn.SWITCH($N162,"Uurtarief",IF(OR(AND(RIGHT($F162,3)="IKS",VLOOKUP($M162,DB_Loonkosten,2,0)="Ja"),AND(RIGHT($F162,3)&lt;&gt;"IKS",VLOOKUP($M162,DB_Loonkosten,2,0)="Nee")),IFERROR(VLOOKUP($M162,DB_Loonkosten,25,0),""),0),"Vast tarief",IF(LEFT(F162,8)="Bijdrage",VLOOKUP($F162,Tb_KostenTypen[],MATCH(Lijsten!$P$1,Tb_KostenTypen[#Headers],0),0),VLOOKUP($G162,Lijsten!L:P,MATCH(Lijsten!$P$1,Kop_Tarief_Vast,0),0))),""),"")</f>
        <v/>
      </c>
      <c r="Q162" s="359"/>
      <c r="R162" s="359"/>
      <c r="S162" s="321"/>
      <c r="T162" s="321"/>
      <c r="U162" s="373" t="str">
        <f t="shared" si="8"/>
        <v/>
      </c>
      <c r="V162" s="314" t="str">
        <f t="shared" si="9"/>
        <v/>
      </c>
      <c r="W162" s="314" t="str" cm="1">
        <f t="array" aca="1" ref="W162" ca="1">IFERROR(IF(AE162&lt;&gt;"ja",_xlfn.IFNA(_xlfn.IFS(AND(O162&lt;&gt;"",F162&lt;&gt;"",RIGHT($N162,6)="tarief",F162="Vergoeding"),SUM(O162)*FLOOR(SUM(Q162),0.0001),AND(O162&lt;&gt;"",F162&lt;&gt;"",RIGHT($N162,6)="tarief"),SUM(O162)*FLOOR(SUM(Q162),0.01),S162&gt;0,IF(F162&lt;&gt;"",FLOOR(SUM(S162),0.01),"")),""),""),"")</f>
        <v/>
      </c>
      <c r="X162" s="314" t="str" cm="1">
        <f t="array" aca="1" ref="X162" ca="1">IFERROR(IF(AE162&lt;&gt;"ja",_xlfn.IFNA(_xlfn.IFS(AND(P162&lt;&gt;"",R162&lt;&gt;"",RIGHT($N162,6)="tarief",F162="Vergoeding"),SUM(P162)*FLOOR(SUM(R162),0.0001),AND(P162&lt;&gt;"",R162&lt;&gt;"",RIGHT($N162,6)="tarief"),P162*FLOOR(R162,0.01),T162&gt;0,FLOOR(SUM(T162),0.01)),""),""),"")</f>
        <v/>
      </c>
      <c r="Y162" s="314" t="str">
        <f t="shared" ca="1" si="10"/>
        <v/>
      </c>
      <c r="Z162" s="314" t="str" cm="1">
        <f t="array" aca="1" ref="Z162" ca="1">IFERROR(_xlfn.IFS(OR(F162="",LEFT(Methode_Keuze,4)="Geen",Methode_Keuze=""),"",AND(W162&lt;&gt;"",F162&lt;&gt;"Arbeidskosten"),W162*VLOOKUP(F162,Tb_ProjectKosten[],MATCH(Tb_ProjectKosten[[#Headers],[Forfait_Percentage]],Tb_ProjectKosten[#Headers],0),0),AND(F162="Arbeidskosten",G162&lt;&gt;""),IFERROR(W162*VLOOKUP(G162,Tb_KostenTypen[],3,0)*VLOOKUP(F162,Tb_ProjectKosten[],MATCH(Tb_ProjectKosten[[#Headers],[Forfait_Percentage]],Tb_ProjectKosten[#Headers],0),0),""),W162 &lt;=0,0),"")</f>
        <v/>
      </c>
      <c r="AA162" s="314" t="str" cm="1">
        <f t="array" aca="1" ref="AA162" ca="1">IFERROR(_xlfn.IFS(OR(F162="",LEFT(Methode_Keuze,4)="Geen",Methode_Keuze=""),"",AND(X162&lt;&gt;"",F162&lt;&gt;"Arbeidskosten"),X162*VLOOKUP(F162,Tb_ProjectKosten[],MATCH(Tb_ProjectKosten[[#Headers],[Forfait_Percentage]],Tb_ProjectKosten[#Headers],0),0),AND(F162="Arbeidskosten",G162&lt;&gt;""),IFERROR(X162*VLOOKUP(G162,Tb_KostenTypen[],3,0)*VLOOKUP(F162,Tb_ProjectKosten[],MATCH(Tb_ProjectKosten[[#Headers],[Forfait_Percentage]],Tb_ProjectKosten[#Headers],0),0),""),X162 &lt;=0,0),"")</f>
        <v/>
      </c>
      <c r="AB162" s="314" t="str">
        <f t="shared" ca="1" si="11"/>
        <v/>
      </c>
      <c r="AC162" s="322"/>
      <c r="AD162" s="315"/>
      <c r="AE162" s="32" t="str" cm="1">
        <f t="array" ref="AE162">IFERROR(IF(INDEX(SubsidieTabel!$AD$1:$AG$12,MATCH($F162,SubsidieTabel!$AD$1:$AD$12,0),IFERROR(MATCH(Methode_Keuze,SubsidieTabel!$AD$1:$AG$1,0),2))&lt;&gt;1=TRUE,"ja",""),"")</f>
        <v/>
      </c>
    </row>
    <row r="163" spans="1:31" x14ac:dyDescent="0.25">
      <c r="A163" s="316"/>
      <c r="B163" s="317" t="str">
        <f>IF(A163&lt;&gt;"",_xlfn.MAXIFS($B$1:B162,$A$1:A162,A163)+1,"")</f>
        <v/>
      </c>
      <c r="C163" s="296"/>
      <c r="D163" s="296"/>
      <c r="E163" s="296"/>
      <c r="F163" s="296"/>
      <c r="G163" s="326"/>
      <c r="H163" s="324"/>
      <c r="I163" s="325"/>
      <c r="J163" s="325"/>
      <c r="K163" s="318"/>
      <c r="L163" s="318"/>
      <c r="M163" s="319" t="str">
        <f>IFERROR(VLOOKUP(H163,Lijsten!$H$1:$I$100,2,0),"")</f>
        <v/>
      </c>
      <c r="N163" s="319" t="str">
        <f ca="1">IFERROR(IF(VLOOKUP(F163,Kostentypen!$A$3:$E$21,3,0)=0,"",IF(OR(F163="Arbeidskosten",F163="Vergoeding"),VLOOKUP(G163,Tb_KostenTypen[],2,0),VLOOKUP(F163,Kostentypen!$A$3:$E$20,3,0))),"")</f>
        <v/>
      </c>
      <c r="O163" s="320" t="str" cm="1">
        <f t="array" ref="O163">_xlfn.IFNA(IF(INDEX(Tb_KostenOptiesDB[],MATCH($F163,Tb_KostenOptiesDB[KostenOptie],0),IFERROR(MATCH(Methode_Keuze,Tb_KostenOptiesDB[#Headers],0),2))=1,_xlfn.SWITCH($N163,"Uurtarief",IF(OR(AND(RIGHT($F163,3)="IKS",VLOOKUP($M163,DB_Loonkosten,2,0)="Ja"),AND(RIGHT($F163,3)&lt;&gt;"IKS",VLOOKUP($M163,DB_Loonkosten,2,0)="Nee")),IFERROR(VLOOKUP($M163,DB_Loonkosten,24,0),""),0),"Vast tarief",IF(LEFT(F163,8)="Bijdrage",VLOOKUP($F163,Tb_KostenTypen[],MATCH(Lijsten!$P$1,Tb_KostenTypen[#Headers],0),0),VLOOKUP($G163,Lijsten!L:P,MATCH(Lijsten!$P$1,Kop_Tarief_Vast,0),0))),""),"")</f>
        <v/>
      </c>
      <c r="P163" s="320" t="str" cm="1">
        <f t="array" ref="P163">_xlfn.IFNA(IF(INDEX(Tb_KostenOptiesDB[],MATCH($F163,Tb_KostenOptiesDB[KostenOptie],0),IFERROR(MATCH(Methode_Keuze,Tb_KostenOptiesDB[#Headers],0),2))=1,_xlfn.SWITCH($N163,"Uurtarief",IF(OR(AND(RIGHT($F163,3)="IKS",VLOOKUP($M163,DB_Loonkosten,2,0)="Ja"),AND(RIGHT($F163,3)&lt;&gt;"IKS",VLOOKUP($M163,DB_Loonkosten,2,0)="Nee")),IFERROR(VLOOKUP($M163,DB_Loonkosten,25,0),""),0),"Vast tarief",IF(LEFT(F163,8)="Bijdrage",VLOOKUP($F163,Tb_KostenTypen[],MATCH(Lijsten!$P$1,Tb_KostenTypen[#Headers],0),0),VLOOKUP($G163,Lijsten!L:P,MATCH(Lijsten!$P$1,Kop_Tarief_Vast,0),0))),""),"")</f>
        <v/>
      </c>
      <c r="Q163" s="359"/>
      <c r="R163" s="359"/>
      <c r="S163" s="321"/>
      <c r="T163" s="321"/>
      <c r="U163" s="373" t="str">
        <f t="shared" si="8"/>
        <v/>
      </c>
      <c r="V163" s="314" t="str">
        <f t="shared" si="9"/>
        <v/>
      </c>
      <c r="W163" s="314" t="str" cm="1">
        <f t="array" aca="1" ref="W163" ca="1">IFERROR(IF(AE163&lt;&gt;"ja",_xlfn.IFNA(_xlfn.IFS(AND(O163&lt;&gt;"",F163&lt;&gt;"",RIGHT($N163,6)="tarief",F163="Vergoeding"),SUM(O163)*FLOOR(SUM(Q163),0.0001),AND(O163&lt;&gt;"",F163&lt;&gt;"",RIGHT($N163,6)="tarief"),SUM(O163)*FLOOR(SUM(Q163),0.01),S163&gt;0,IF(F163&lt;&gt;"",FLOOR(SUM(S163),0.01),"")),""),""),"")</f>
        <v/>
      </c>
      <c r="X163" s="314" t="str" cm="1">
        <f t="array" aca="1" ref="X163" ca="1">IFERROR(IF(AE163&lt;&gt;"ja",_xlfn.IFNA(_xlfn.IFS(AND(P163&lt;&gt;"",R163&lt;&gt;"",RIGHT($N163,6)="tarief",F163="Vergoeding"),SUM(P163)*FLOOR(SUM(R163),0.0001),AND(P163&lt;&gt;"",R163&lt;&gt;"",RIGHT($N163,6)="tarief"),P163*FLOOR(R163,0.01),T163&gt;0,FLOOR(SUM(T163),0.01)),""),""),"")</f>
        <v/>
      </c>
      <c r="Y163" s="314" t="str">
        <f t="shared" ca="1" si="10"/>
        <v/>
      </c>
      <c r="Z163" s="314" t="str" cm="1">
        <f t="array" aca="1" ref="Z163" ca="1">IFERROR(_xlfn.IFS(OR(F163="",LEFT(Methode_Keuze,4)="Geen",Methode_Keuze=""),"",AND(W163&lt;&gt;"",F163&lt;&gt;"Arbeidskosten"),W163*VLOOKUP(F163,Tb_ProjectKosten[],MATCH(Tb_ProjectKosten[[#Headers],[Forfait_Percentage]],Tb_ProjectKosten[#Headers],0),0),AND(F163="Arbeidskosten",G163&lt;&gt;""),IFERROR(W163*VLOOKUP(G163,Tb_KostenTypen[],3,0)*VLOOKUP(F163,Tb_ProjectKosten[],MATCH(Tb_ProjectKosten[[#Headers],[Forfait_Percentage]],Tb_ProjectKosten[#Headers],0),0),""),W163 &lt;=0,0),"")</f>
        <v/>
      </c>
      <c r="AA163" s="314" t="str" cm="1">
        <f t="array" aca="1" ref="AA163" ca="1">IFERROR(_xlfn.IFS(OR(F163="",LEFT(Methode_Keuze,4)="Geen",Methode_Keuze=""),"",AND(X163&lt;&gt;"",F163&lt;&gt;"Arbeidskosten"),X163*VLOOKUP(F163,Tb_ProjectKosten[],MATCH(Tb_ProjectKosten[[#Headers],[Forfait_Percentage]],Tb_ProjectKosten[#Headers],0),0),AND(F163="Arbeidskosten",G163&lt;&gt;""),IFERROR(X163*VLOOKUP(G163,Tb_KostenTypen[],3,0)*VLOOKUP(F163,Tb_ProjectKosten[],MATCH(Tb_ProjectKosten[[#Headers],[Forfait_Percentage]],Tb_ProjectKosten[#Headers],0),0),""),X163 &lt;=0,0),"")</f>
        <v/>
      </c>
      <c r="AB163" s="314" t="str">
        <f t="shared" ca="1" si="11"/>
        <v/>
      </c>
      <c r="AC163" s="322"/>
      <c r="AD163" s="315"/>
      <c r="AE163" s="32" t="str" cm="1">
        <f t="array" ref="AE163">IFERROR(IF(INDEX(SubsidieTabel!$AD$1:$AG$12,MATCH($F163,SubsidieTabel!$AD$1:$AD$12,0),IFERROR(MATCH(Methode_Keuze,SubsidieTabel!$AD$1:$AG$1,0),2))&lt;&gt;1=TRUE,"ja",""),"")</f>
        <v/>
      </c>
    </row>
    <row r="164" spans="1:31" x14ac:dyDescent="0.25">
      <c r="A164" s="316"/>
      <c r="B164" s="317" t="str">
        <f>IF(A164&lt;&gt;"",_xlfn.MAXIFS($B$1:B163,$A$1:A163,A164)+1,"")</f>
        <v/>
      </c>
      <c r="C164" s="296"/>
      <c r="D164" s="296"/>
      <c r="E164" s="296"/>
      <c r="F164" s="296"/>
      <c r="G164" s="326"/>
      <c r="H164" s="324"/>
      <c r="I164" s="325"/>
      <c r="J164" s="325"/>
      <c r="K164" s="318"/>
      <c r="L164" s="318"/>
      <c r="M164" s="319" t="str">
        <f>IFERROR(VLOOKUP(H164,Lijsten!$H$1:$I$100,2,0),"")</f>
        <v/>
      </c>
      <c r="N164" s="319" t="str">
        <f ca="1">IFERROR(IF(VLOOKUP(F164,Kostentypen!$A$3:$E$21,3,0)=0,"",IF(OR(F164="Arbeidskosten",F164="Vergoeding"),VLOOKUP(G164,Tb_KostenTypen[],2,0),VLOOKUP(F164,Kostentypen!$A$3:$E$20,3,0))),"")</f>
        <v/>
      </c>
      <c r="O164" s="320" t="str" cm="1">
        <f t="array" ref="O164">_xlfn.IFNA(IF(INDEX(Tb_KostenOptiesDB[],MATCH($F164,Tb_KostenOptiesDB[KostenOptie],0),IFERROR(MATCH(Methode_Keuze,Tb_KostenOptiesDB[#Headers],0),2))=1,_xlfn.SWITCH($N164,"Uurtarief",IF(OR(AND(RIGHT($F164,3)="IKS",VLOOKUP($M164,DB_Loonkosten,2,0)="Ja"),AND(RIGHT($F164,3)&lt;&gt;"IKS",VLOOKUP($M164,DB_Loonkosten,2,0)="Nee")),IFERROR(VLOOKUP($M164,DB_Loonkosten,24,0),""),0),"Vast tarief",IF(LEFT(F164,8)="Bijdrage",VLOOKUP($F164,Tb_KostenTypen[],MATCH(Lijsten!$P$1,Tb_KostenTypen[#Headers],0),0),VLOOKUP($G164,Lijsten!L:P,MATCH(Lijsten!$P$1,Kop_Tarief_Vast,0),0))),""),"")</f>
        <v/>
      </c>
      <c r="P164" s="320" t="str" cm="1">
        <f t="array" ref="P164">_xlfn.IFNA(IF(INDEX(Tb_KostenOptiesDB[],MATCH($F164,Tb_KostenOptiesDB[KostenOptie],0),IFERROR(MATCH(Methode_Keuze,Tb_KostenOptiesDB[#Headers],0),2))=1,_xlfn.SWITCH($N164,"Uurtarief",IF(OR(AND(RIGHT($F164,3)="IKS",VLOOKUP($M164,DB_Loonkosten,2,0)="Ja"),AND(RIGHT($F164,3)&lt;&gt;"IKS",VLOOKUP($M164,DB_Loonkosten,2,0)="Nee")),IFERROR(VLOOKUP($M164,DB_Loonkosten,25,0),""),0),"Vast tarief",IF(LEFT(F164,8)="Bijdrage",VLOOKUP($F164,Tb_KostenTypen[],MATCH(Lijsten!$P$1,Tb_KostenTypen[#Headers],0),0),VLOOKUP($G164,Lijsten!L:P,MATCH(Lijsten!$P$1,Kop_Tarief_Vast,0),0))),""),"")</f>
        <v/>
      </c>
      <c r="Q164" s="359"/>
      <c r="R164" s="359"/>
      <c r="S164" s="321"/>
      <c r="T164" s="321"/>
      <c r="U164" s="373" t="str">
        <f t="shared" si="8"/>
        <v/>
      </c>
      <c r="V164" s="314" t="str">
        <f t="shared" si="9"/>
        <v/>
      </c>
      <c r="W164" s="314" t="str" cm="1">
        <f t="array" aca="1" ref="W164" ca="1">IFERROR(IF(AE164&lt;&gt;"ja",_xlfn.IFNA(_xlfn.IFS(AND(O164&lt;&gt;"",F164&lt;&gt;"",RIGHT($N164,6)="tarief",F164="Vergoeding"),SUM(O164)*FLOOR(SUM(Q164),0.0001),AND(O164&lt;&gt;"",F164&lt;&gt;"",RIGHT($N164,6)="tarief"),SUM(O164)*FLOOR(SUM(Q164),0.01),S164&gt;0,IF(F164&lt;&gt;"",FLOOR(SUM(S164),0.01),"")),""),""),"")</f>
        <v/>
      </c>
      <c r="X164" s="314" t="str" cm="1">
        <f t="array" aca="1" ref="X164" ca="1">IFERROR(IF(AE164&lt;&gt;"ja",_xlfn.IFNA(_xlfn.IFS(AND(P164&lt;&gt;"",R164&lt;&gt;"",RIGHT($N164,6)="tarief",F164="Vergoeding"),SUM(P164)*FLOOR(SUM(R164),0.0001),AND(P164&lt;&gt;"",R164&lt;&gt;"",RIGHT($N164,6)="tarief"),P164*FLOOR(R164,0.01),T164&gt;0,FLOOR(SUM(T164),0.01)),""),""),"")</f>
        <v/>
      </c>
      <c r="Y164" s="314" t="str">
        <f t="shared" ca="1" si="10"/>
        <v/>
      </c>
      <c r="Z164" s="314" t="str" cm="1">
        <f t="array" aca="1" ref="Z164" ca="1">IFERROR(_xlfn.IFS(OR(F164="",LEFT(Methode_Keuze,4)="Geen",Methode_Keuze=""),"",AND(W164&lt;&gt;"",F164&lt;&gt;"Arbeidskosten"),W164*VLOOKUP(F164,Tb_ProjectKosten[],MATCH(Tb_ProjectKosten[[#Headers],[Forfait_Percentage]],Tb_ProjectKosten[#Headers],0),0),AND(F164="Arbeidskosten",G164&lt;&gt;""),IFERROR(W164*VLOOKUP(G164,Tb_KostenTypen[],3,0)*VLOOKUP(F164,Tb_ProjectKosten[],MATCH(Tb_ProjectKosten[[#Headers],[Forfait_Percentage]],Tb_ProjectKosten[#Headers],0),0),""),W164 &lt;=0,0),"")</f>
        <v/>
      </c>
      <c r="AA164" s="314" t="str" cm="1">
        <f t="array" aca="1" ref="AA164" ca="1">IFERROR(_xlfn.IFS(OR(F164="",LEFT(Methode_Keuze,4)="Geen",Methode_Keuze=""),"",AND(X164&lt;&gt;"",F164&lt;&gt;"Arbeidskosten"),X164*VLOOKUP(F164,Tb_ProjectKosten[],MATCH(Tb_ProjectKosten[[#Headers],[Forfait_Percentage]],Tb_ProjectKosten[#Headers],0),0),AND(F164="Arbeidskosten",G164&lt;&gt;""),IFERROR(X164*VLOOKUP(G164,Tb_KostenTypen[],3,0)*VLOOKUP(F164,Tb_ProjectKosten[],MATCH(Tb_ProjectKosten[[#Headers],[Forfait_Percentage]],Tb_ProjectKosten[#Headers],0),0),""),X164 &lt;=0,0),"")</f>
        <v/>
      </c>
      <c r="AB164" s="314" t="str">
        <f t="shared" ca="1" si="11"/>
        <v/>
      </c>
      <c r="AC164" s="322"/>
      <c r="AD164" s="315"/>
      <c r="AE164" s="32" t="str" cm="1">
        <f t="array" ref="AE164">IFERROR(IF(INDEX(SubsidieTabel!$AD$1:$AG$12,MATCH($F164,SubsidieTabel!$AD$1:$AD$12,0),IFERROR(MATCH(Methode_Keuze,SubsidieTabel!$AD$1:$AG$1,0),2))&lt;&gt;1=TRUE,"ja",""),"")</f>
        <v/>
      </c>
    </row>
    <row r="165" spans="1:31" x14ac:dyDescent="0.25">
      <c r="A165" s="316"/>
      <c r="B165" s="317" t="str">
        <f>IF(A165&lt;&gt;"",_xlfn.MAXIFS($B$1:B164,$A$1:A164,A165)+1,"")</f>
        <v/>
      </c>
      <c r="C165" s="296"/>
      <c r="D165" s="296"/>
      <c r="E165" s="296"/>
      <c r="F165" s="296"/>
      <c r="G165" s="326"/>
      <c r="H165" s="324"/>
      <c r="I165" s="325"/>
      <c r="J165" s="325"/>
      <c r="K165" s="318"/>
      <c r="L165" s="318"/>
      <c r="M165" s="319" t="str">
        <f>IFERROR(VLOOKUP(H165,Lijsten!$H$1:$I$100,2,0),"")</f>
        <v/>
      </c>
      <c r="N165" s="319" t="str">
        <f ca="1">IFERROR(IF(VLOOKUP(F165,Kostentypen!$A$3:$E$21,3,0)=0,"",IF(OR(F165="Arbeidskosten",F165="Vergoeding"),VLOOKUP(G165,Tb_KostenTypen[],2,0),VLOOKUP(F165,Kostentypen!$A$3:$E$20,3,0))),"")</f>
        <v/>
      </c>
      <c r="O165" s="320" t="str" cm="1">
        <f t="array" ref="O165">_xlfn.IFNA(IF(INDEX(Tb_KostenOptiesDB[],MATCH($F165,Tb_KostenOptiesDB[KostenOptie],0),IFERROR(MATCH(Methode_Keuze,Tb_KostenOptiesDB[#Headers],0),2))=1,_xlfn.SWITCH($N165,"Uurtarief",IF(OR(AND(RIGHT($F165,3)="IKS",VLOOKUP($M165,DB_Loonkosten,2,0)="Ja"),AND(RIGHT($F165,3)&lt;&gt;"IKS",VLOOKUP($M165,DB_Loonkosten,2,0)="Nee")),IFERROR(VLOOKUP($M165,DB_Loonkosten,24,0),""),0),"Vast tarief",IF(LEFT(F165,8)="Bijdrage",VLOOKUP($F165,Tb_KostenTypen[],MATCH(Lijsten!$P$1,Tb_KostenTypen[#Headers],0),0),VLOOKUP($G165,Lijsten!L:P,MATCH(Lijsten!$P$1,Kop_Tarief_Vast,0),0))),""),"")</f>
        <v/>
      </c>
      <c r="P165" s="320" t="str" cm="1">
        <f t="array" ref="P165">_xlfn.IFNA(IF(INDEX(Tb_KostenOptiesDB[],MATCH($F165,Tb_KostenOptiesDB[KostenOptie],0),IFERROR(MATCH(Methode_Keuze,Tb_KostenOptiesDB[#Headers],0),2))=1,_xlfn.SWITCH($N165,"Uurtarief",IF(OR(AND(RIGHT($F165,3)="IKS",VLOOKUP($M165,DB_Loonkosten,2,0)="Ja"),AND(RIGHT($F165,3)&lt;&gt;"IKS",VLOOKUP($M165,DB_Loonkosten,2,0)="Nee")),IFERROR(VLOOKUP($M165,DB_Loonkosten,25,0),""),0),"Vast tarief",IF(LEFT(F165,8)="Bijdrage",VLOOKUP($F165,Tb_KostenTypen[],MATCH(Lijsten!$P$1,Tb_KostenTypen[#Headers],0),0),VLOOKUP($G165,Lijsten!L:P,MATCH(Lijsten!$P$1,Kop_Tarief_Vast,0),0))),""),"")</f>
        <v/>
      </c>
      <c r="Q165" s="359"/>
      <c r="R165" s="359"/>
      <c r="S165" s="321"/>
      <c r="T165" s="321"/>
      <c r="U165" s="373" t="str">
        <f t="shared" si="8"/>
        <v/>
      </c>
      <c r="V165" s="314" t="str">
        <f t="shared" si="9"/>
        <v/>
      </c>
      <c r="W165" s="314" t="str" cm="1">
        <f t="array" aca="1" ref="W165" ca="1">IFERROR(IF(AE165&lt;&gt;"ja",_xlfn.IFNA(_xlfn.IFS(AND(O165&lt;&gt;"",F165&lt;&gt;"",RIGHT($N165,6)="tarief",F165="Vergoeding"),SUM(O165)*FLOOR(SUM(Q165),0.0001),AND(O165&lt;&gt;"",F165&lt;&gt;"",RIGHT($N165,6)="tarief"),SUM(O165)*FLOOR(SUM(Q165),0.01),S165&gt;0,IF(F165&lt;&gt;"",FLOOR(SUM(S165),0.01),"")),""),""),"")</f>
        <v/>
      </c>
      <c r="X165" s="314" t="str" cm="1">
        <f t="array" aca="1" ref="X165" ca="1">IFERROR(IF(AE165&lt;&gt;"ja",_xlfn.IFNA(_xlfn.IFS(AND(P165&lt;&gt;"",R165&lt;&gt;"",RIGHT($N165,6)="tarief",F165="Vergoeding"),SUM(P165)*FLOOR(SUM(R165),0.0001),AND(P165&lt;&gt;"",R165&lt;&gt;"",RIGHT($N165,6)="tarief"),P165*FLOOR(R165,0.01),T165&gt;0,FLOOR(SUM(T165),0.01)),""),""),"")</f>
        <v/>
      </c>
      <c r="Y165" s="314" t="str">
        <f t="shared" ca="1" si="10"/>
        <v/>
      </c>
      <c r="Z165" s="314" t="str" cm="1">
        <f t="array" aca="1" ref="Z165" ca="1">IFERROR(_xlfn.IFS(OR(F165="",LEFT(Methode_Keuze,4)="Geen",Methode_Keuze=""),"",AND(W165&lt;&gt;"",F165&lt;&gt;"Arbeidskosten"),W165*VLOOKUP(F165,Tb_ProjectKosten[],MATCH(Tb_ProjectKosten[[#Headers],[Forfait_Percentage]],Tb_ProjectKosten[#Headers],0),0),AND(F165="Arbeidskosten",G165&lt;&gt;""),IFERROR(W165*VLOOKUP(G165,Tb_KostenTypen[],3,0)*VLOOKUP(F165,Tb_ProjectKosten[],MATCH(Tb_ProjectKosten[[#Headers],[Forfait_Percentage]],Tb_ProjectKosten[#Headers],0),0),""),W165 &lt;=0,0),"")</f>
        <v/>
      </c>
      <c r="AA165" s="314" t="str" cm="1">
        <f t="array" aca="1" ref="AA165" ca="1">IFERROR(_xlfn.IFS(OR(F165="",LEFT(Methode_Keuze,4)="Geen",Methode_Keuze=""),"",AND(X165&lt;&gt;"",F165&lt;&gt;"Arbeidskosten"),X165*VLOOKUP(F165,Tb_ProjectKosten[],MATCH(Tb_ProjectKosten[[#Headers],[Forfait_Percentage]],Tb_ProjectKosten[#Headers],0),0),AND(F165="Arbeidskosten",G165&lt;&gt;""),IFERROR(X165*VLOOKUP(G165,Tb_KostenTypen[],3,0)*VLOOKUP(F165,Tb_ProjectKosten[],MATCH(Tb_ProjectKosten[[#Headers],[Forfait_Percentage]],Tb_ProjectKosten[#Headers],0),0),""),X165 &lt;=0,0),"")</f>
        <v/>
      </c>
      <c r="AB165" s="314" t="str">
        <f t="shared" ca="1" si="11"/>
        <v/>
      </c>
      <c r="AC165" s="322"/>
      <c r="AD165" s="315"/>
      <c r="AE165" s="32" t="str" cm="1">
        <f t="array" ref="AE165">IFERROR(IF(INDEX(SubsidieTabel!$AD$1:$AG$12,MATCH($F165,SubsidieTabel!$AD$1:$AD$12,0),IFERROR(MATCH(Methode_Keuze,SubsidieTabel!$AD$1:$AG$1,0),2))&lt;&gt;1=TRUE,"ja",""),"")</f>
        <v/>
      </c>
    </row>
    <row r="166" spans="1:31" x14ac:dyDescent="0.25">
      <c r="A166" s="316"/>
      <c r="B166" s="317" t="str">
        <f>IF(A166&lt;&gt;"",_xlfn.MAXIFS($B$1:B165,$A$1:A165,A166)+1,"")</f>
        <v/>
      </c>
      <c r="C166" s="296"/>
      <c r="D166" s="296"/>
      <c r="E166" s="296"/>
      <c r="F166" s="296"/>
      <c r="G166" s="326"/>
      <c r="H166" s="324"/>
      <c r="I166" s="325"/>
      <c r="J166" s="325"/>
      <c r="K166" s="318"/>
      <c r="L166" s="318"/>
      <c r="M166" s="319" t="str">
        <f>IFERROR(VLOOKUP(H166,Lijsten!$H$1:$I$100,2,0),"")</f>
        <v/>
      </c>
      <c r="N166" s="319" t="str">
        <f ca="1">IFERROR(IF(VLOOKUP(F166,Kostentypen!$A$3:$E$21,3,0)=0,"",IF(OR(F166="Arbeidskosten",F166="Vergoeding"),VLOOKUP(G166,Tb_KostenTypen[],2,0),VLOOKUP(F166,Kostentypen!$A$3:$E$20,3,0))),"")</f>
        <v/>
      </c>
      <c r="O166" s="320" t="str" cm="1">
        <f t="array" ref="O166">_xlfn.IFNA(IF(INDEX(Tb_KostenOptiesDB[],MATCH($F166,Tb_KostenOptiesDB[KostenOptie],0),IFERROR(MATCH(Methode_Keuze,Tb_KostenOptiesDB[#Headers],0),2))=1,_xlfn.SWITCH($N166,"Uurtarief",IF(OR(AND(RIGHT($F166,3)="IKS",VLOOKUP($M166,DB_Loonkosten,2,0)="Ja"),AND(RIGHT($F166,3)&lt;&gt;"IKS",VLOOKUP($M166,DB_Loonkosten,2,0)="Nee")),IFERROR(VLOOKUP($M166,DB_Loonkosten,24,0),""),0),"Vast tarief",IF(LEFT(F166,8)="Bijdrage",VLOOKUP($F166,Tb_KostenTypen[],MATCH(Lijsten!$P$1,Tb_KostenTypen[#Headers],0),0),VLOOKUP($G166,Lijsten!L:P,MATCH(Lijsten!$P$1,Kop_Tarief_Vast,0),0))),""),"")</f>
        <v/>
      </c>
      <c r="P166" s="320" t="str" cm="1">
        <f t="array" ref="P166">_xlfn.IFNA(IF(INDEX(Tb_KostenOptiesDB[],MATCH($F166,Tb_KostenOptiesDB[KostenOptie],0),IFERROR(MATCH(Methode_Keuze,Tb_KostenOptiesDB[#Headers],0),2))=1,_xlfn.SWITCH($N166,"Uurtarief",IF(OR(AND(RIGHT($F166,3)="IKS",VLOOKUP($M166,DB_Loonkosten,2,0)="Ja"),AND(RIGHT($F166,3)&lt;&gt;"IKS",VLOOKUP($M166,DB_Loonkosten,2,0)="Nee")),IFERROR(VLOOKUP($M166,DB_Loonkosten,25,0),""),0),"Vast tarief",IF(LEFT(F166,8)="Bijdrage",VLOOKUP($F166,Tb_KostenTypen[],MATCH(Lijsten!$P$1,Tb_KostenTypen[#Headers],0),0),VLOOKUP($G166,Lijsten!L:P,MATCH(Lijsten!$P$1,Kop_Tarief_Vast,0),0))),""),"")</f>
        <v/>
      </c>
      <c r="Q166" s="359"/>
      <c r="R166" s="359"/>
      <c r="S166" s="321"/>
      <c r="T166" s="321"/>
      <c r="U166" s="373" t="str">
        <f t="shared" si="8"/>
        <v/>
      </c>
      <c r="V166" s="314" t="str">
        <f t="shared" si="9"/>
        <v/>
      </c>
      <c r="W166" s="314" t="str" cm="1">
        <f t="array" aca="1" ref="W166" ca="1">IFERROR(IF(AE166&lt;&gt;"ja",_xlfn.IFNA(_xlfn.IFS(AND(O166&lt;&gt;"",F166&lt;&gt;"",RIGHT($N166,6)="tarief",F166="Vergoeding"),SUM(O166)*FLOOR(SUM(Q166),0.0001),AND(O166&lt;&gt;"",F166&lt;&gt;"",RIGHT($N166,6)="tarief"),SUM(O166)*FLOOR(SUM(Q166),0.01),S166&gt;0,IF(F166&lt;&gt;"",FLOOR(SUM(S166),0.01),"")),""),""),"")</f>
        <v/>
      </c>
      <c r="X166" s="314" t="str" cm="1">
        <f t="array" aca="1" ref="X166" ca="1">IFERROR(IF(AE166&lt;&gt;"ja",_xlfn.IFNA(_xlfn.IFS(AND(P166&lt;&gt;"",R166&lt;&gt;"",RIGHT($N166,6)="tarief",F166="Vergoeding"),SUM(P166)*FLOOR(SUM(R166),0.0001),AND(P166&lt;&gt;"",R166&lt;&gt;"",RIGHT($N166,6)="tarief"),P166*FLOOR(R166,0.01),T166&gt;0,FLOOR(SUM(T166),0.01)),""),""),"")</f>
        <v/>
      </c>
      <c r="Y166" s="314" t="str">
        <f t="shared" ca="1" si="10"/>
        <v/>
      </c>
      <c r="Z166" s="314" t="str" cm="1">
        <f t="array" aca="1" ref="Z166" ca="1">IFERROR(_xlfn.IFS(OR(F166="",LEFT(Methode_Keuze,4)="Geen",Methode_Keuze=""),"",AND(W166&lt;&gt;"",F166&lt;&gt;"Arbeidskosten"),W166*VLOOKUP(F166,Tb_ProjectKosten[],MATCH(Tb_ProjectKosten[[#Headers],[Forfait_Percentage]],Tb_ProjectKosten[#Headers],0),0),AND(F166="Arbeidskosten",G166&lt;&gt;""),IFERROR(W166*VLOOKUP(G166,Tb_KostenTypen[],3,0)*VLOOKUP(F166,Tb_ProjectKosten[],MATCH(Tb_ProjectKosten[[#Headers],[Forfait_Percentage]],Tb_ProjectKosten[#Headers],0),0),""),W166 &lt;=0,0),"")</f>
        <v/>
      </c>
      <c r="AA166" s="314" t="str" cm="1">
        <f t="array" aca="1" ref="AA166" ca="1">IFERROR(_xlfn.IFS(OR(F166="",LEFT(Methode_Keuze,4)="Geen",Methode_Keuze=""),"",AND(X166&lt;&gt;"",F166&lt;&gt;"Arbeidskosten"),X166*VLOOKUP(F166,Tb_ProjectKosten[],MATCH(Tb_ProjectKosten[[#Headers],[Forfait_Percentage]],Tb_ProjectKosten[#Headers],0),0),AND(F166="Arbeidskosten",G166&lt;&gt;""),IFERROR(X166*VLOOKUP(G166,Tb_KostenTypen[],3,0)*VLOOKUP(F166,Tb_ProjectKosten[],MATCH(Tb_ProjectKosten[[#Headers],[Forfait_Percentage]],Tb_ProjectKosten[#Headers],0),0),""),X166 &lt;=0,0),"")</f>
        <v/>
      </c>
      <c r="AB166" s="314" t="str">
        <f t="shared" ca="1" si="11"/>
        <v/>
      </c>
      <c r="AC166" s="322"/>
      <c r="AD166" s="315"/>
      <c r="AE166" s="32" t="str" cm="1">
        <f t="array" ref="AE166">IFERROR(IF(INDEX(SubsidieTabel!$AD$1:$AG$12,MATCH($F166,SubsidieTabel!$AD$1:$AD$12,0),IFERROR(MATCH(Methode_Keuze,SubsidieTabel!$AD$1:$AG$1,0),2))&lt;&gt;1=TRUE,"ja",""),"")</f>
        <v/>
      </c>
    </row>
    <row r="167" spans="1:31" x14ac:dyDescent="0.25">
      <c r="A167" s="316"/>
      <c r="B167" s="317" t="str">
        <f>IF(A167&lt;&gt;"",_xlfn.MAXIFS($B$1:B166,$A$1:A166,A167)+1,"")</f>
        <v/>
      </c>
      <c r="C167" s="296"/>
      <c r="D167" s="296"/>
      <c r="E167" s="296"/>
      <c r="F167" s="296"/>
      <c r="G167" s="326"/>
      <c r="H167" s="324"/>
      <c r="I167" s="325"/>
      <c r="J167" s="325"/>
      <c r="K167" s="318"/>
      <c r="L167" s="318"/>
      <c r="M167" s="319" t="str">
        <f>IFERROR(VLOOKUP(H167,Lijsten!$H$1:$I$100,2,0),"")</f>
        <v/>
      </c>
      <c r="N167" s="319" t="str">
        <f ca="1">IFERROR(IF(VLOOKUP(F167,Kostentypen!$A$3:$E$21,3,0)=0,"",IF(OR(F167="Arbeidskosten",F167="Vergoeding"),VLOOKUP(G167,Tb_KostenTypen[],2,0),VLOOKUP(F167,Kostentypen!$A$3:$E$20,3,0))),"")</f>
        <v/>
      </c>
      <c r="O167" s="320" t="str" cm="1">
        <f t="array" ref="O167">_xlfn.IFNA(IF(INDEX(Tb_KostenOptiesDB[],MATCH($F167,Tb_KostenOptiesDB[KostenOptie],0),IFERROR(MATCH(Methode_Keuze,Tb_KostenOptiesDB[#Headers],0),2))=1,_xlfn.SWITCH($N167,"Uurtarief",IF(OR(AND(RIGHT($F167,3)="IKS",VLOOKUP($M167,DB_Loonkosten,2,0)="Ja"),AND(RIGHT($F167,3)&lt;&gt;"IKS",VLOOKUP($M167,DB_Loonkosten,2,0)="Nee")),IFERROR(VLOOKUP($M167,DB_Loonkosten,24,0),""),0),"Vast tarief",IF(LEFT(F167,8)="Bijdrage",VLOOKUP($F167,Tb_KostenTypen[],MATCH(Lijsten!$P$1,Tb_KostenTypen[#Headers],0),0),VLOOKUP($G167,Lijsten!L:P,MATCH(Lijsten!$P$1,Kop_Tarief_Vast,0),0))),""),"")</f>
        <v/>
      </c>
      <c r="P167" s="320" t="str" cm="1">
        <f t="array" ref="P167">_xlfn.IFNA(IF(INDEX(Tb_KostenOptiesDB[],MATCH($F167,Tb_KostenOptiesDB[KostenOptie],0),IFERROR(MATCH(Methode_Keuze,Tb_KostenOptiesDB[#Headers],0),2))=1,_xlfn.SWITCH($N167,"Uurtarief",IF(OR(AND(RIGHT($F167,3)="IKS",VLOOKUP($M167,DB_Loonkosten,2,0)="Ja"),AND(RIGHT($F167,3)&lt;&gt;"IKS",VLOOKUP($M167,DB_Loonkosten,2,0)="Nee")),IFERROR(VLOOKUP($M167,DB_Loonkosten,25,0),""),0),"Vast tarief",IF(LEFT(F167,8)="Bijdrage",VLOOKUP($F167,Tb_KostenTypen[],MATCH(Lijsten!$P$1,Tb_KostenTypen[#Headers],0),0),VLOOKUP($G167,Lijsten!L:P,MATCH(Lijsten!$P$1,Kop_Tarief_Vast,0),0))),""),"")</f>
        <v/>
      </c>
      <c r="Q167" s="359"/>
      <c r="R167" s="359"/>
      <c r="S167" s="321"/>
      <c r="T167" s="321"/>
      <c r="U167" s="373" t="str">
        <f t="shared" si="8"/>
        <v/>
      </c>
      <c r="V167" s="314" t="str">
        <f t="shared" si="9"/>
        <v/>
      </c>
      <c r="W167" s="314" t="str" cm="1">
        <f t="array" aca="1" ref="W167" ca="1">IFERROR(IF(AE167&lt;&gt;"ja",_xlfn.IFNA(_xlfn.IFS(AND(O167&lt;&gt;"",F167&lt;&gt;"",RIGHT($N167,6)="tarief",F167="Vergoeding"),SUM(O167)*FLOOR(SUM(Q167),0.0001),AND(O167&lt;&gt;"",F167&lt;&gt;"",RIGHT($N167,6)="tarief"),SUM(O167)*FLOOR(SUM(Q167),0.01),S167&gt;0,IF(F167&lt;&gt;"",FLOOR(SUM(S167),0.01),"")),""),""),"")</f>
        <v/>
      </c>
      <c r="X167" s="314" t="str" cm="1">
        <f t="array" aca="1" ref="X167" ca="1">IFERROR(IF(AE167&lt;&gt;"ja",_xlfn.IFNA(_xlfn.IFS(AND(P167&lt;&gt;"",R167&lt;&gt;"",RIGHT($N167,6)="tarief",F167="Vergoeding"),SUM(P167)*FLOOR(SUM(R167),0.0001),AND(P167&lt;&gt;"",R167&lt;&gt;"",RIGHT($N167,6)="tarief"),P167*FLOOR(R167,0.01),T167&gt;0,FLOOR(SUM(T167),0.01)),""),""),"")</f>
        <v/>
      </c>
      <c r="Y167" s="314" t="str">
        <f t="shared" ca="1" si="10"/>
        <v/>
      </c>
      <c r="Z167" s="314" t="str" cm="1">
        <f t="array" aca="1" ref="Z167" ca="1">IFERROR(_xlfn.IFS(OR(F167="",LEFT(Methode_Keuze,4)="Geen",Methode_Keuze=""),"",AND(W167&lt;&gt;"",F167&lt;&gt;"Arbeidskosten"),W167*VLOOKUP(F167,Tb_ProjectKosten[],MATCH(Tb_ProjectKosten[[#Headers],[Forfait_Percentage]],Tb_ProjectKosten[#Headers],0),0),AND(F167="Arbeidskosten",G167&lt;&gt;""),IFERROR(W167*VLOOKUP(G167,Tb_KostenTypen[],3,0)*VLOOKUP(F167,Tb_ProjectKosten[],MATCH(Tb_ProjectKosten[[#Headers],[Forfait_Percentage]],Tb_ProjectKosten[#Headers],0),0),""),W167 &lt;=0,0),"")</f>
        <v/>
      </c>
      <c r="AA167" s="314" t="str" cm="1">
        <f t="array" aca="1" ref="AA167" ca="1">IFERROR(_xlfn.IFS(OR(F167="",LEFT(Methode_Keuze,4)="Geen",Methode_Keuze=""),"",AND(X167&lt;&gt;"",F167&lt;&gt;"Arbeidskosten"),X167*VLOOKUP(F167,Tb_ProjectKosten[],MATCH(Tb_ProjectKosten[[#Headers],[Forfait_Percentage]],Tb_ProjectKosten[#Headers],0),0),AND(F167="Arbeidskosten",G167&lt;&gt;""),IFERROR(X167*VLOOKUP(G167,Tb_KostenTypen[],3,0)*VLOOKUP(F167,Tb_ProjectKosten[],MATCH(Tb_ProjectKosten[[#Headers],[Forfait_Percentage]],Tb_ProjectKosten[#Headers],0),0),""),X167 &lt;=0,0),"")</f>
        <v/>
      </c>
      <c r="AB167" s="314" t="str">
        <f t="shared" ca="1" si="11"/>
        <v/>
      </c>
      <c r="AC167" s="322"/>
      <c r="AD167" s="315"/>
      <c r="AE167" s="32" t="str" cm="1">
        <f t="array" ref="AE167">IFERROR(IF(INDEX(SubsidieTabel!$AD$1:$AG$12,MATCH($F167,SubsidieTabel!$AD$1:$AD$12,0),IFERROR(MATCH(Methode_Keuze,SubsidieTabel!$AD$1:$AG$1,0),2))&lt;&gt;1=TRUE,"ja",""),"")</f>
        <v/>
      </c>
    </row>
    <row r="168" spans="1:31" x14ac:dyDescent="0.25">
      <c r="A168" s="316"/>
      <c r="B168" s="317" t="str">
        <f>IF(A168&lt;&gt;"",_xlfn.MAXIFS($B$1:B167,$A$1:A167,A168)+1,"")</f>
        <v/>
      </c>
      <c r="C168" s="296"/>
      <c r="D168" s="296"/>
      <c r="E168" s="296"/>
      <c r="F168" s="296"/>
      <c r="G168" s="326"/>
      <c r="H168" s="324"/>
      <c r="I168" s="325"/>
      <c r="J168" s="325"/>
      <c r="K168" s="318"/>
      <c r="L168" s="318"/>
      <c r="M168" s="319" t="str">
        <f>IFERROR(VLOOKUP(H168,Lijsten!$H$1:$I$100,2,0),"")</f>
        <v/>
      </c>
      <c r="N168" s="319" t="str">
        <f ca="1">IFERROR(IF(VLOOKUP(F168,Kostentypen!$A$3:$E$21,3,0)=0,"",IF(OR(F168="Arbeidskosten",F168="Vergoeding"),VLOOKUP(G168,Tb_KostenTypen[],2,0),VLOOKUP(F168,Kostentypen!$A$3:$E$20,3,0))),"")</f>
        <v/>
      </c>
      <c r="O168" s="320" t="str" cm="1">
        <f t="array" ref="O168">_xlfn.IFNA(IF(INDEX(Tb_KostenOptiesDB[],MATCH($F168,Tb_KostenOptiesDB[KostenOptie],0),IFERROR(MATCH(Methode_Keuze,Tb_KostenOptiesDB[#Headers],0),2))=1,_xlfn.SWITCH($N168,"Uurtarief",IF(OR(AND(RIGHT($F168,3)="IKS",VLOOKUP($M168,DB_Loonkosten,2,0)="Ja"),AND(RIGHT($F168,3)&lt;&gt;"IKS",VLOOKUP($M168,DB_Loonkosten,2,0)="Nee")),IFERROR(VLOOKUP($M168,DB_Loonkosten,24,0),""),0),"Vast tarief",IF(LEFT(F168,8)="Bijdrage",VLOOKUP($F168,Tb_KostenTypen[],MATCH(Lijsten!$P$1,Tb_KostenTypen[#Headers],0),0),VLOOKUP($G168,Lijsten!L:P,MATCH(Lijsten!$P$1,Kop_Tarief_Vast,0),0))),""),"")</f>
        <v/>
      </c>
      <c r="P168" s="320" t="str" cm="1">
        <f t="array" ref="P168">_xlfn.IFNA(IF(INDEX(Tb_KostenOptiesDB[],MATCH($F168,Tb_KostenOptiesDB[KostenOptie],0),IFERROR(MATCH(Methode_Keuze,Tb_KostenOptiesDB[#Headers],0),2))=1,_xlfn.SWITCH($N168,"Uurtarief",IF(OR(AND(RIGHT($F168,3)="IKS",VLOOKUP($M168,DB_Loonkosten,2,0)="Ja"),AND(RIGHT($F168,3)&lt;&gt;"IKS",VLOOKUP($M168,DB_Loonkosten,2,0)="Nee")),IFERROR(VLOOKUP($M168,DB_Loonkosten,25,0),""),0),"Vast tarief",IF(LEFT(F168,8)="Bijdrage",VLOOKUP($F168,Tb_KostenTypen[],MATCH(Lijsten!$P$1,Tb_KostenTypen[#Headers],0),0),VLOOKUP($G168,Lijsten!L:P,MATCH(Lijsten!$P$1,Kop_Tarief_Vast,0),0))),""),"")</f>
        <v/>
      </c>
      <c r="Q168" s="359"/>
      <c r="R168" s="359"/>
      <c r="S168" s="321"/>
      <c r="T168" s="321"/>
      <c r="U168" s="373" t="str">
        <f t="shared" si="8"/>
        <v/>
      </c>
      <c r="V168" s="314" t="str">
        <f t="shared" si="9"/>
        <v/>
      </c>
      <c r="W168" s="314" t="str" cm="1">
        <f t="array" aca="1" ref="W168" ca="1">IFERROR(IF(AE168&lt;&gt;"ja",_xlfn.IFNA(_xlfn.IFS(AND(O168&lt;&gt;"",F168&lt;&gt;"",RIGHT($N168,6)="tarief",F168="Vergoeding"),SUM(O168)*FLOOR(SUM(Q168),0.0001),AND(O168&lt;&gt;"",F168&lt;&gt;"",RIGHT($N168,6)="tarief"),SUM(O168)*FLOOR(SUM(Q168),0.01),S168&gt;0,IF(F168&lt;&gt;"",FLOOR(SUM(S168),0.01),"")),""),""),"")</f>
        <v/>
      </c>
      <c r="X168" s="314" t="str" cm="1">
        <f t="array" aca="1" ref="X168" ca="1">IFERROR(IF(AE168&lt;&gt;"ja",_xlfn.IFNA(_xlfn.IFS(AND(P168&lt;&gt;"",R168&lt;&gt;"",RIGHT($N168,6)="tarief",F168="Vergoeding"),SUM(P168)*FLOOR(SUM(R168),0.0001),AND(P168&lt;&gt;"",R168&lt;&gt;"",RIGHT($N168,6)="tarief"),P168*FLOOR(R168,0.01),T168&gt;0,FLOOR(SUM(T168),0.01)),""),""),"")</f>
        <v/>
      </c>
      <c r="Y168" s="314" t="str">
        <f t="shared" ca="1" si="10"/>
        <v/>
      </c>
      <c r="Z168" s="314" t="str" cm="1">
        <f t="array" aca="1" ref="Z168" ca="1">IFERROR(_xlfn.IFS(OR(F168="",LEFT(Methode_Keuze,4)="Geen",Methode_Keuze=""),"",AND(W168&lt;&gt;"",F168&lt;&gt;"Arbeidskosten"),W168*VLOOKUP(F168,Tb_ProjectKosten[],MATCH(Tb_ProjectKosten[[#Headers],[Forfait_Percentage]],Tb_ProjectKosten[#Headers],0),0),AND(F168="Arbeidskosten",G168&lt;&gt;""),IFERROR(W168*VLOOKUP(G168,Tb_KostenTypen[],3,0)*VLOOKUP(F168,Tb_ProjectKosten[],MATCH(Tb_ProjectKosten[[#Headers],[Forfait_Percentage]],Tb_ProjectKosten[#Headers],0),0),""),W168 &lt;=0,0),"")</f>
        <v/>
      </c>
      <c r="AA168" s="314" t="str" cm="1">
        <f t="array" aca="1" ref="AA168" ca="1">IFERROR(_xlfn.IFS(OR(F168="",LEFT(Methode_Keuze,4)="Geen",Methode_Keuze=""),"",AND(X168&lt;&gt;"",F168&lt;&gt;"Arbeidskosten"),X168*VLOOKUP(F168,Tb_ProjectKosten[],MATCH(Tb_ProjectKosten[[#Headers],[Forfait_Percentage]],Tb_ProjectKosten[#Headers],0),0),AND(F168="Arbeidskosten",G168&lt;&gt;""),IFERROR(X168*VLOOKUP(G168,Tb_KostenTypen[],3,0)*VLOOKUP(F168,Tb_ProjectKosten[],MATCH(Tb_ProjectKosten[[#Headers],[Forfait_Percentage]],Tb_ProjectKosten[#Headers],0),0),""),X168 &lt;=0,0),"")</f>
        <v/>
      </c>
      <c r="AB168" s="314" t="str">
        <f t="shared" ca="1" si="11"/>
        <v/>
      </c>
      <c r="AC168" s="322"/>
      <c r="AD168" s="315"/>
      <c r="AE168" s="32" t="str" cm="1">
        <f t="array" ref="AE168">IFERROR(IF(INDEX(SubsidieTabel!$AD$1:$AG$12,MATCH($F168,SubsidieTabel!$AD$1:$AD$12,0),IFERROR(MATCH(Methode_Keuze,SubsidieTabel!$AD$1:$AG$1,0),2))&lt;&gt;1=TRUE,"ja",""),"")</f>
        <v/>
      </c>
    </row>
    <row r="169" spans="1:31" x14ac:dyDescent="0.25">
      <c r="A169" s="316"/>
      <c r="B169" s="317" t="str">
        <f>IF(A169&lt;&gt;"",_xlfn.MAXIFS($B$1:B168,$A$1:A168,A169)+1,"")</f>
        <v/>
      </c>
      <c r="C169" s="296"/>
      <c r="D169" s="296"/>
      <c r="E169" s="296"/>
      <c r="F169" s="296"/>
      <c r="G169" s="326"/>
      <c r="H169" s="324"/>
      <c r="I169" s="325"/>
      <c r="J169" s="325"/>
      <c r="K169" s="318"/>
      <c r="L169" s="318"/>
      <c r="M169" s="319" t="str">
        <f>IFERROR(VLOOKUP(H169,Lijsten!$H$1:$I$100,2,0),"")</f>
        <v/>
      </c>
      <c r="N169" s="319" t="str">
        <f ca="1">IFERROR(IF(VLOOKUP(F169,Kostentypen!$A$3:$E$21,3,0)=0,"",IF(OR(F169="Arbeidskosten",F169="Vergoeding"),VLOOKUP(G169,Tb_KostenTypen[],2,0),VLOOKUP(F169,Kostentypen!$A$3:$E$20,3,0))),"")</f>
        <v/>
      </c>
      <c r="O169" s="320" t="str" cm="1">
        <f t="array" ref="O169">_xlfn.IFNA(IF(INDEX(Tb_KostenOptiesDB[],MATCH($F169,Tb_KostenOptiesDB[KostenOptie],0),IFERROR(MATCH(Methode_Keuze,Tb_KostenOptiesDB[#Headers],0),2))=1,_xlfn.SWITCH($N169,"Uurtarief",IF(OR(AND(RIGHT($F169,3)="IKS",VLOOKUP($M169,DB_Loonkosten,2,0)="Ja"),AND(RIGHT($F169,3)&lt;&gt;"IKS",VLOOKUP($M169,DB_Loonkosten,2,0)="Nee")),IFERROR(VLOOKUP($M169,DB_Loonkosten,24,0),""),0),"Vast tarief",IF(LEFT(F169,8)="Bijdrage",VLOOKUP($F169,Tb_KostenTypen[],MATCH(Lijsten!$P$1,Tb_KostenTypen[#Headers],0),0),VLOOKUP($G169,Lijsten!L:P,MATCH(Lijsten!$P$1,Kop_Tarief_Vast,0),0))),""),"")</f>
        <v/>
      </c>
      <c r="P169" s="320" t="str" cm="1">
        <f t="array" ref="P169">_xlfn.IFNA(IF(INDEX(Tb_KostenOptiesDB[],MATCH($F169,Tb_KostenOptiesDB[KostenOptie],0),IFERROR(MATCH(Methode_Keuze,Tb_KostenOptiesDB[#Headers],0),2))=1,_xlfn.SWITCH($N169,"Uurtarief",IF(OR(AND(RIGHT($F169,3)="IKS",VLOOKUP($M169,DB_Loonkosten,2,0)="Ja"),AND(RIGHT($F169,3)&lt;&gt;"IKS",VLOOKUP($M169,DB_Loonkosten,2,0)="Nee")),IFERROR(VLOOKUP($M169,DB_Loonkosten,25,0),""),0),"Vast tarief",IF(LEFT(F169,8)="Bijdrage",VLOOKUP($F169,Tb_KostenTypen[],MATCH(Lijsten!$P$1,Tb_KostenTypen[#Headers],0),0),VLOOKUP($G169,Lijsten!L:P,MATCH(Lijsten!$P$1,Kop_Tarief_Vast,0),0))),""),"")</f>
        <v/>
      </c>
      <c r="Q169" s="359"/>
      <c r="R169" s="359"/>
      <c r="S169" s="321"/>
      <c r="T169" s="321"/>
      <c r="U169" s="373" t="str">
        <f t="shared" si="8"/>
        <v/>
      </c>
      <c r="V169" s="314" t="str">
        <f t="shared" si="9"/>
        <v/>
      </c>
      <c r="W169" s="314" t="str" cm="1">
        <f t="array" aca="1" ref="W169" ca="1">IFERROR(IF(AE169&lt;&gt;"ja",_xlfn.IFNA(_xlfn.IFS(AND(O169&lt;&gt;"",F169&lt;&gt;"",RIGHT($N169,6)="tarief",F169="Vergoeding"),SUM(O169)*FLOOR(SUM(Q169),0.0001),AND(O169&lt;&gt;"",F169&lt;&gt;"",RIGHT($N169,6)="tarief"),SUM(O169)*FLOOR(SUM(Q169),0.01),S169&gt;0,IF(F169&lt;&gt;"",FLOOR(SUM(S169),0.01),"")),""),""),"")</f>
        <v/>
      </c>
      <c r="X169" s="314" t="str" cm="1">
        <f t="array" aca="1" ref="X169" ca="1">IFERROR(IF(AE169&lt;&gt;"ja",_xlfn.IFNA(_xlfn.IFS(AND(P169&lt;&gt;"",R169&lt;&gt;"",RIGHT($N169,6)="tarief",F169="Vergoeding"),SUM(P169)*FLOOR(SUM(R169),0.0001),AND(P169&lt;&gt;"",R169&lt;&gt;"",RIGHT($N169,6)="tarief"),P169*FLOOR(R169,0.01),T169&gt;0,FLOOR(SUM(T169),0.01)),""),""),"")</f>
        <v/>
      </c>
      <c r="Y169" s="314" t="str">
        <f t="shared" ca="1" si="10"/>
        <v/>
      </c>
      <c r="Z169" s="314" t="str" cm="1">
        <f t="array" aca="1" ref="Z169" ca="1">IFERROR(_xlfn.IFS(OR(F169="",LEFT(Methode_Keuze,4)="Geen",Methode_Keuze=""),"",AND(W169&lt;&gt;"",F169&lt;&gt;"Arbeidskosten"),W169*VLOOKUP(F169,Tb_ProjectKosten[],MATCH(Tb_ProjectKosten[[#Headers],[Forfait_Percentage]],Tb_ProjectKosten[#Headers],0),0),AND(F169="Arbeidskosten",G169&lt;&gt;""),IFERROR(W169*VLOOKUP(G169,Tb_KostenTypen[],3,0)*VLOOKUP(F169,Tb_ProjectKosten[],MATCH(Tb_ProjectKosten[[#Headers],[Forfait_Percentage]],Tb_ProjectKosten[#Headers],0),0),""),W169 &lt;=0,0),"")</f>
        <v/>
      </c>
      <c r="AA169" s="314" t="str" cm="1">
        <f t="array" aca="1" ref="AA169" ca="1">IFERROR(_xlfn.IFS(OR(F169="",LEFT(Methode_Keuze,4)="Geen",Methode_Keuze=""),"",AND(X169&lt;&gt;"",F169&lt;&gt;"Arbeidskosten"),X169*VLOOKUP(F169,Tb_ProjectKosten[],MATCH(Tb_ProjectKosten[[#Headers],[Forfait_Percentage]],Tb_ProjectKosten[#Headers],0),0),AND(F169="Arbeidskosten",G169&lt;&gt;""),IFERROR(X169*VLOOKUP(G169,Tb_KostenTypen[],3,0)*VLOOKUP(F169,Tb_ProjectKosten[],MATCH(Tb_ProjectKosten[[#Headers],[Forfait_Percentage]],Tb_ProjectKosten[#Headers],0),0),""),X169 &lt;=0,0),"")</f>
        <v/>
      </c>
      <c r="AB169" s="314" t="str">
        <f t="shared" ca="1" si="11"/>
        <v/>
      </c>
      <c r="AC169" s="322"/>
      <c r="AD169" s="315"/>
      <c r="AE169" s="32" t="str" cm="1">
        <f t="array" ref="AE169">IFERROR(IF(INDEX(SubsidieTabel!$AD$1:$AG$12,MATCH($F169,SubsidieTabel!$AD$1:$AD$12,0),IFERROR(MATCH(Methode_Keuze,SubsidieTabel!$AD$1:$AG$1,0),2))&lt;&gt;1=TRUE,"ja",""),"")</f>
        <v/>
      </c>
    </row>
    <row r="170" spans="1:31" x14ac:dyDescent="0.25">
      <c r="A170" s="316"/>
      <c r="B170" s="317" t="str">
        <f>IF(A170&lt;&gt;"",_xlfn.MAXIFS($B$1:B169,$A$1:A169,A170)+1,"")</f>
        <v/>
      </c>
      <c r="C170" s="296"/>
      <c r="D170" s="296"/>
      <c r="E170" s="296"/>
      <c r="F170" s="296"/>
      <c r="G170" s="326"/>
      <c r="H170" s="324"/>
      <c r="I170" s="325"/>
      <c r="J170" s="325"/>
      <c r="K170" s="318"/>
      <c r="L170" s="318"/>
      <c r="M170" s="319" t="str">
        <f>IFERROR(VLOOKUP(H170,Lijsten!$H$1:$I$100,2,0),"")</f>
        <v/>
      </c>
      <c r="N170" s="319" t="str">
        <f ca="1">IFERROR(IF(VLOOKUP(F170,Kostentypen!$A$3:$E$21,3,0)=0,"",IF(OR(F170="Arbeidskosten",F170="Vergoeding"),VLOOKUP(G170,Tb_KostenTypen[],2,0),VLOOKUP(F170,Kostentypen!$A$3:$E$20,3,0))),"")</f>
        <v/>
      </c>
      <c r="O170" s="320" t="str" cm="1">
        <f t="array" ref="O170">_xlfn.IFNA(IF(INDEX(Tb_KostenOptiesDB[],MATCH($F170,Tb_KostenOptiesDB[KostenOptie],0),IFERROR(MATCH(Methode_Keuze,Tb_KostenOptiesDB[#Headers],0),2))=1,_xlfn.SWITCH($N170,"Uurtarief",IF(OR(AND(RIGHT($F170,3)="IKS",VLOOKUP($M170,DB_Loonkosten,2,0)="Ja"),AND(RIGHT($F170,3)&lt;&gt;"IKS",VLOOKUP($M170,DB_Loonkosten,2,0)="Nee")),IFERROR(VLOOKUP($M170,DB_Loonkosten,24,0),""),0),"Vast tarief",IF(LEFT(F170,8)="Bijdrage",VLOOKUP($F170,Tb_KostenTypen[],MATCH(Lijsten!$P$1,Tb_KostenTypen[#Headers],0),0),VLOOKUP($G170,Lijsten!L:P,MATCH(Lijsten!$P$1,Kop_Tarief_Vast,0),0))),""),"")</f>
        <v/>
      </c>
      <c r="P170" s="320" t="str" cm="1">
        <f t="array" ref="P170">_xlfn.IFNA(IF(INDEX(Tb_KostenOptiesDB[],MATCH($F170,Tb_KostenOptiesDB[KostenOptie],0),IFERROR(MATCH(Methode_Keuze,Tb_KostenOptiesDB[#Headers],0),2))=1,_xlfn.SWITCH($N170,"Uurtarief",IF(OR(AND(RIGHT($F170,3)="IKS",VLOOKUP($M170,DB_Loonkosten,2,0)="Ja"),AND(RIGHT($F170,3)&lt;&gt;"IKS",VLOOKUP($M170,DB_Loonkosten,2,0)="Nee")),IFERROR(VLOOKUP($M170,DB_Loonkosten,25,0),""),0),"Vast tarief",IF(LEFT(F170,8)="Bijdrage",VLOOKUP($F170,Tb_KostenTypen[],MATCH(Lijsten!$P$1,Tb_KostenTypen[#Headers],0),0),VLOOKUP($G170,Lijsten!L:P,MATCH(Lijsten!$P$1,Kop_Tarief_Vast,0),0))),""),"")</f>
        <v/>
      </c>
      <c r="Q170" s="359"/>
      <c r="R170" s="359"/>
      <c r="S170" s="321"/>
      <c r="T170" s="321"/>
      <c r="U170" s="373" t="str">
        <f t="shared" si="8"/>
        <v/>
      </c>
      <c r="V170" s="314" t="str">
        <f t="shared" si="9"/>
        <v/>
      </c>
      <c r="W170" s="314" t="str" cm="1">
        <f t="array" aca="1" ref="W170" ca="1">IFERROR(IF(AE170&lt;&gt;"ja",_xlfn.IFNA(_xlfn.IFS(AND(O170&lt;&gt;"",F170&lt;&gt;"",RIGHT($N170,6)="tarief",F170="Vergoeding"),SUM(O170)*FLOOR(SUM(Q170),0.0001),AND(O170&lt;&gt;"",F170&lt;&gt;"",RIGHT($N170,6)="tarief"),SUM(O170)*FLOOR(SUM(Q170),0.01),S170&gt;0,IF(F170&lt;&gt;"",FLOOR(SUM(S170),0.01),"")),""),""),"")</f>
        <v/>
      </c>
      <c r="X170" s="314" t="str" cm="1">
        <f t="array" aca="1" ref="X170" ca="1">IFERROR(IF(AE170&lt;&gt;"ja",_xlfn.IFNA(_xlfn.IFS(AND(P170&lt;&gt;"",R170&lt;&gt;"",RIGHT($N170,6)="tarief",F170="Vergoeding"),SUM(P170)*FLOOR(SUM(R170),0.0001),AND(P170&lt;&gt;"",R170&lt;&gt;"",RIGHT($N170,6)="tarief"),P170*FLOOR(R170,0.01),T170&gt;0,FLOOR(SUM(T170),0.01)),""),""),"")</f>
        <v/>
      </c>
      <c r="Y170" s="314" t="str">
        <f t="shared" ca="1" si="10"/>
        <v/>
      </c>
      <c r="Z170" s="314" t="str" cm="1">
        <f t="array" aca="1" ref="Z170" ca="1">IFERROR(_xlfn.IFS(OR(F170="",LEFT(Methode_Keuze,4)="Geen",Methode_Keuze=""),"",AND(W170&lt;&gt;"",F170&lt;&gt;"Arbeidskosten"),W170*VLOOKUP(F170,Tb_ProjectKosten[],MATCH(Tb_ProjectKosten[[#Headers],[Forfait_Percentage]],Tb_ProjectKosten[#Headers],0),0),AND(F170="Arbeidskosten",G170&lt;&gt;""),IFERROR(W170*VLOOKUP(G170,Tb_KostenTypen[],3,0)*VLOOKUP(F170,Tb_ProjectKosten[],MATCH(Tb_ProjectKosten[[#Headers],[Forfait_Percentage]],Tb_ProjectKosten[#Headers],0),0),""),W170 &lt;=0,0),"")</f>
        <v/>
      </c>
      <c r="AA170" s="314" t="str" cm="1">
        <f t="array" aca="1" ref="AA170" ca="1">IFERROR(_xlfn.IFS(OR(F170="",LEFT(Methode_Keuze,4)="Geen",Methode_Keuze=""),"",AND(X170&lt;&gt;"",F170&lt;&gt;"Arbeidskosten"),X170*VLOOKUP(F170,Tb_ProjectKosten[],MATCH(Tb_ProjectKosten[[#Headers],[Forfait_Percentage]],Tb_ProjectKosten[#Headers],0),0),AND(F170="Arbeidskosten",G170&lt;&gt;""),IFERROR(X170*VLOOKUP(G170,Tb_KostenTypen[],3,0)*VLOOKUP(F170,Tb_ProjectKosten[],MATCH(Tb_ProjectKosten[[#Headers],[Forfait_Percentage]],Tb_ProjectKosten[#Headers],0),0),""),X170 &lt;=0,0),"")</f>
        <v/>
      </c>
      <c r="AB170" s="314" t="str">
        <f t="shared" ca="1" si="11"/>
        <v/>
      </c>
      <c r="AC170" s="322"/>
      <c r="AD170" s="315"/>
      <c r="AE170" s="32" t="str" cm="1">
        <f t="array" ref="AE170">IFERROR(IF(INDEX(SubsidieTabel!$AD$1:$AG$12,MATCH($F170,SubsidieTabel!$AD$1:$AD$12,0),IFERROR(MATCH(Methode_Keuze,SubsidieTabel!$AD$1:$AG$1,0),2))&lt;&gt;1=TRUE,"ja",""),"")</f>
        <v/>
      </c>
    </row>
    <row r="171" spans="1:31" x14ac:dyDescent="0.25">
      <c r="A171" s="316"/>
      <c r="B171" s="317" t="str">
        <f>IF(A171&lt;&gt;"",_xlfn.MAXIFS($B$1:B170,$A$1:A170,A171)+1,"")</f>
        <v/>
      </c>
      <c r="C171" s="296"/>
      <c r="D171" s="296"/>
      <c r="E171" s="296"/>
      <c r="F171" s="296"/>
      <c r="G171" s="326"/>
      <c r="H171" s="324"/>
      <c r="I171" s="325"/>
      <c r="J171" s="325"/>
      <c r="K171" s="318"/>
      <c r="L171" s="318"/>
      <c r="M171" s="319" t="str">
        <f>IFERROR(VLOOKUP(H171,Lijsten!$H$1:$I$100,2,0),"")</f>
        <v/>
      </c>
      <c r="N171" s="319" t="str">
        <f ca="1">IFERROR(IF(VLOOKUP(F171,Kostentypen!$A$3:$E$21,3,0)=0,"",IF(OR(F171="Arbeidskosten",F171="Vergoeding"),VLOOKUP(G171,Tb_KostenTypen[],2,0),VLOOKUP(F171,Kostentypen!$A$3:$E$20,3,0))),"")</f>
        <v/>
      </c>
      <c r="O171" s="320" t="str" cm="1">
        <f t="array" ref="O171">_xlfn.IFNA(IF(INDEX(Tb_KostenOptiesDB[],MATCH($F171,Tb_KostenOptiesDB[KostenOptie],0),IFERROR(MATCH(Methode_Keuze,Tb_KostenOptiesDB[#Headers],0),2))=1,_xlfn.SWITCH($N171,"Uurtarief",IF(OR(AND(RIGHT($F171,3)="IKS",VLOOKUP($M171,DB_Loonkosten,2,0)="Ja"),AND(RIGHT($F171,3)&lt;&gt;"IKS",VLOOKUP($M171,DB_Loonkosten,2,0)="Nee")),IFERROR(VLOOKUP($M171,DB_Loonkosten,24,0),""),0),"Vast tarief",IF(LEFT(F171,8)="Bijdrage",VLOOKUP($F171,Tb_KostenTypen[],MATCH(Lijsten!$P$1,Tb_KostenTypen[#Headers],0),0),VLOOKUP($G171,Lijsten!L:P,MATCH(Lijsten!$P$1,Kop_Tarief_Vast,0),0))),""),"")</f>
        <v/>
      </c>
      <c r="P171" s="320" t="str" cm="1">
        <f t="array" ref="P171">_xlfn.IFNA(IF(INDEX(Tb_KostenOptiesDB[],MATCH($F171,Tb_KostenOptiesDB[KostenOptie],0),IFERROR(MATCH(Methode_Keuze,Tb_KostenOptiesDB[#Headers],0),2))=1,_xlfn.SWITCH($N171,"Uurtarief",IF(OR(AND(RIGHT($F171,3)="IKS",VLOOKUP($M171,DB_Loonkosten,2,0)="Ja"),AND(RIGHT($F171,3)&lt;&gt;"IKS",VLOOKUP($M171,DB_Loonkosten,2,0)="Nee")),IFERROR(VLOOKUP($M171,DB_Loonkosten,25,0),""),0),"Vast tarief",IF(LEFT(F171,8)="Bijdrage",VLOOKUP($F171,Tb_KostenTypen[],MATCH(Lijsten!$P$1,Tb_KostenTypen[#Headers],0),0),VLOOKUP($G171,Lijsten!L:P,MATCH(Lijsten!$P$1,Kop_Tarief_Vast,0),0))),""),"")</f>
        <v/>
      </c>
      <c r="Q171" s="359"/>
      <c r="R171" s="359"/>
      <c r="S171" s="321"/>
      <c r="T171" s="321"/>
      <c r="U171" s="373" t="str">
        <f t="shared" si="8"/>
        <v/>
      </c>
      <c r="V171" s="314" t="str">
        <f t="shared" si="9"/>
        <v/>
      </c>
      <c r="W171" s="314" t="str" cm="1">
        <f t="array" aca="1" ref="W171" ca="1">IFERROR(IF(AE171&lt;&gt;"ja",_xlfn.IFNA(_xlfn.IFS(AND(O171&lt;&gt;"",F171&lt;&gt;"",RIGHT($N171,6)="tarief",F171="Vergoeding"),SUM(O171)*FLOOR(SUM(Q171),0.0001),AND(O171&lt;&gt;"",F171&lt;&gt;"",RIGHT($N171,6)="tarief"),SUM(O171)*FLOOR(SUM(Q171),0.01),S171&gt;0,IF(F171&lt;&gt;"",FLOOR(SUM(S171),0.01),"")),""),""),"")</f>
        <v/>
      </c>
      <c r="X171" s="314" t="str" cm="1">
        <f t="array" aca="1" ref="X171" ca="1">IFERROR(IF(AE171&lt;&gt;"ja",_xlfn.IFNA(_xlfn.IFS(AND(P171&lt;&gt;"",R171&lt;&gt;"",RIGHT($N171,6)="tarief",F171="Vergoeding"),SUM(P171)*FLOOR(SUM(R171),0.0001),AND(P171&lt;&gt;"",R171&lt;&gt;"",RIGHT($N171,6)="tarief"),P171*FLOOR(R171,0.01),T171&gt;0,FLOOR(SUM(T171),0.01)),""),""),"")</f>
        <v/>
      </c>
      <c r="Y171" s="314" t="str">
        <f t="shared" ca="1" si="10"/>
        <v/>
      </c>
      <c r="Z171" s="314" t="str" cm="1">
        <f t="array" aca="1" ref="Z171" ca="1">IFERROR(_xlfn.IFS(OR(F171="",LEFT(Methode_Keuze,4)="Geen",Methode_Keuze=""),"",AND(W171&lt;&gt;"",F171&lt;&gt;"Arbeidskosten"),W171*VLOOKUP(F171,Tb_ProjectKosten[],MATCH(Tb_ProjectKosten[[#Headers],[Forfait_Percentage]],Tb_ProjectKosten[#Headers],0),0),AND(F171="Arbeidskosten",G171&lt;&gt;""),IFERROR(W171*VLOOKUP(G171,Tb_KostenTypen[],3,0)*VLOOKUP(F171,Tb_ProjectKosten[],MATCH(Tb_ProjectKosten[[#Headers],[Forfait_Percentage]],Tb_ProjectKosten[#Headers],0),0),""),W171 &lt;=0,0),"")</f>
        <v/>
      </c>
      <c r="AA171" s="314" t="str" cm="1">
        <f t="array" aca="1" ref="AA171" ca="1">IFERROR(_xlfn.IFS(OR(F171="",LEFT(Methode_Keuze,4)="Geen",Methode_Keuze=""),"",AND(X171&lt;&gt;"",F171&lt;&gt;"Arbeidskosten"),X171*VLOOKUP(F171,Tb_ProjectKosten[],MATCH(Tb_ProjectKosten[[#Headers],[Forfait_Percentage]],Tb_ProjectKosten[#Headers],0),0),AND(F171="Arbeidskosten",G171&lt;&gt;""),IFERROR(X171*VLOOKUP(G171,Tb_KostenTypen[],3,0)*VLOOKUP(F171,Tb_ProjectKosten[],MATCH(Tb_ProjectKosten[[#Headers],[Forfait_Percentage]],Tb_ProjectKosten[#Headers],0),0),""),X171 &lt;=0,0),"")</f>
        <v/>
      </c>
      <c r="AB171" s="314" t="str">
        <f t="shared" ca="1" si="11"/>
        <v/>
      </c>
      <c r="AC171" s="322"/>
      <c r="AD171" s="315"/>
      <c r="AE171" s="32" t="str" cm="1">
        <f t="array" ref="AE171">IFERROR(IF(INDEX(SubsidieTabel!$AD$1:$AG$12,MATCH($F171,SubsidieTabel!$AD$1:$AD$12,0),IFERROR(MATCH(Methode_Keuze,SubsidieTabel!$AD$1:$AG$1,0),2))&lt;&gt;1=TRUE,"ja",""),"")</f>
        <v/>
      </c>
    </row>
    <row r="172" spans="1:31" x14ac:dyDescent="0.25">
      <c r="A172" s="316"/>
      <c r="B172" s="317" t="str">
        <f>IF(A172&lt;&gt;"",_xlfn.MAXIFS($B$1:B171,$A$1:A171,A172)+1,"")</f>
        <v/>
      </c>
      <c r="C172" s="296"/>
      <c r="D172" s="296"/>
      <c r="E172" s="296"/>
      <c r="F172" s="296"/>
      <c r="G172" s="326"/>
      <c r="H172" s="324"/>
      <c r="I172" s="325"/>
      <c r="J172" s="325"/>
      <c r="K172" s="318"/>
      <c r="L172" s="318"/>
      <c r="M172" s="319" t="str">
        <f>IFERROR(VLOOKUP(H172,Lijsten!$H$1:$I$100,2,0),"")</f>
        <v/>
      </c>
      <c r="N172" s="319" t="str">
        <f ca="1">IFERROR(IF(VLOOKUP(F172,Kostentypen!$A$3:$E$21,3,0)=0,"",IF(OR(F172="Arbeidskosten",F172="Vergoeding"),VLOOKUP(G172,Tb_KostenTypen[],2,0),VLOOKUP(F172,Kostentypen!$A$3:$E$20,3,0))),"")</f>
        <v/>
      </c>
      <c r="O172" s="320" t="str" cm="1">
        <f t="array" ref="O172">_xlfn.IFNA(IF(INDEX(Tb_KostenOptiesDB[],MATCH($F172,Tb_KostenOptiesDB[KostenOptie],0),IFERROR(MATCH(Methode_Keuze,Tb_KostenOptiesDB[#Headers],0),2))=1,_xlfn.SWITCH($N172,"Uurtarief",IF(OR(AND(RIGHT($F172,3)="IKS",VLOOKUP($M172,DB_Loonkosten,2,0)="Ja"),AND(RIGHT($F172,3)&lt;&gt;"IKS",VLOOKUP($M172,DB_Loonkosten,2,0)="Nee")),IFERROR(VLOOKUP($M172,DB_Loonkosten,24,0),""),0),"Vast tarief",IF(LEFT(F172,8)="Bijdrage",VLOOKUP($F172,Tb_KostenTypen[],MATCH(Lijsten!$P$1,Tb_KostenTypen[#Headers],0),0),VLOOKUP($G172,Lijsten!L:P,MATCH(Lijsten!$P$1,Kop_Tarief_Vast,0),0))),""),"")</f>
        <v/>
      </c>
      <c r="P172" s="320" t="str" cm="1">
        <f t="array" ref="P172">_xlfn.IFNA(IF(INDEX(Tb_KostenOptiesDB[],MATCH($F172,Tb_KostenOptiesDB[KostenOptie],0),IFERROR(MATCH(Methode_Keuze,Tb_KostenOptiesDB[#Headers],0),2))=1,_xlfn.SWITCH($N172,"Uurtarief",IF(OR(AND(RIGHT($F172,3)="IKS",VLOOKUP($M172,DB_Loonkosten,2,0)="Ja"),AND(RIGHT($F172,3)&lt;&gt;"IKS",VLOOKUP($M172,DB_Loonkosten,2,0)="Nee")),IFERROR(VLOOKUP($M172,DB_Loonkosten,25,0),""),0),"Vast tarief",IF(LEFT(F172,8)="Bijdrage",VLOOKUP($F172,Tb_KostenTypen[],MATCH(Lijsten!$P$1,Tb_KostenTypen[#Headers],0),0),VLOOKUP($G172,Lijsten!L:P,MATCH(Lijsten!$P$1,Kop_Tarief_Vast,0),0))),""),"")</f>
        <v/>
      </c>
      <c r="Q172" s="359"/>
      <c r="R172" s="359"/>
      <c r="S172" s="321"/>
      <c r="T172" s="321"/>
      <c r="U172" s="373" t="str">
        <f t="shared" si="8"/>
        <v/>
      </c>
      <c r="V172" s="314" t="str">
        <f t="shared" si="9"/>
        <v/>
      </c>
      <c r="W172" s="314" t="str" cm="1">
        <f t="array" aca="1" ref="W172" ca="1">IFERROR(IF(AE172&lt;&gt;"ja",_xlfn.IFNA(_xlfn.IFS(AND(O172&lt;&gt;"",F172&lt;&gt;"",RIGHT($N172,6)="tarief",F172="Vergoeding"),SUM(O172)*FLOOR(SUM(Q172),0.0001),AND(O172&lt;&gt;"",F172&lt;&gt;"",RIGHT($N172,6)="tarief"),SUM(O172)*FLOOR(SUM(Q172),0.01),S172&gt;0,IF(F172&lt;&gt;"",FLOOR(SUM(S172),0.01),"")),""),""),"")</f>
        <v/>
      </c>
      <c r="X172" s="314" t="str" cm="1">
        <f t="array" aca="1" ref="X172" ca="1">IFERROR(IF(AE172&lt;&gt;"ja",_xlfn.IFNA(_xlfn.IFS(AND(P172&lt;&gt;"",R172&lt;&gt;"",RIGHT($N172,6)="tarief",F172="Vergoeding"),SUM(P172)*FLOOR(SUM(R172),0.0001),AND(P172&lt;&gt;"",R172&lt;&gt;"",RIGHT($N172,6)="tarief"),P172*FLOOR(R172,0.01),T172&gt;0,FLOOR(SUM(T172),0.01)),""),""),"")</f>
        <v/>
      </c>
      <c r="Y172" s="314" t="str">
        <f t="shared" ca="1" si="10"/>
        <v/>
      </c>
      <c r="Z172" s="314" t="str" cm="1">
        <f t="array" aca="1" ref="Z172" ca="1">IFERROR(_xlfn.IFS(OR(F172="",LEFT(Methode_Keuze,4)="Geen",Methode_Keuze=""),"",AND(W172&lt;&gt;"",F172&lt;&gt;"Arbeidskosten"),W172*VLOOKUP(F172,Tb_ProjectKosten[],MATCH(Tb_ProjectKosten[[#Headers],[Forfait_Percentage]],Tb_ProjectKosten[#Headers],0),0),AND(F172="Arbeidskosten",G172&lt;&gt;""),IFERROR(W172*VLOOKUP(G172,Tb_KostenTypen[],3,0)*VLOOKUP(F172,Tb_ProjectKosten[],MATCH(Tb_ProjectKosten[[#Headers],[Forfait_Percentage]],Tb_ProjectKosten[#Headers],0),0),""),W172 &lt;=0,0),"")</f>
        <v/>
      </c>
      <c r="AA172" s="314" t="str" cm="1">
        <f t="array" aca="1" ref="AA172" ca="1">IFERROR(_xlfn.IFS(OR(F172="",LEFT(Methode_Keuze,4)="Geen",Methode_Keuze=""),"",AND(X172&lt;&gt;"",F172&lt;&gt;"Arbeidskosten"),X172*VLOOKUP(F172,Tb_ProjectKosten[],MATCH(Tb_ProjectKosten[[#Headers],[Forfait_Percentage]],Tb_ProjectKosten[#Headers],0),0),AND(F172="Arbeidskosten",G172&lt;&gt;""),IFERROR(X172*VLOOKUP(G172,Tb_KostenTypen[],3,0)*VLOOKUP(F172,Tb_ProjectKosten[],MATCH(Tb_ProjectKosten[[#Headers],[Forfait_Percentage]],Tb_ProjectKosten[#Headers],0),0),""),X172 &lt;=0,0),"")</f>
        <v/>
      </c>
      <c r="AB172" s="314" t="str">
        <f t="shared" ca="1" si="11"/>
        <v/>
      </c>
      <c r="AC172" s="322"/>
      <c r="AD172" s="315"/>
      <c r="AE172" s="32" t="str" cm="1">
        <f t="array" ref="AE172">IFERROR(IF(INDEX(SubsidieTabel!$AD$1:$AG$12,MATCH($F172,SubsidieTabel!$AD$1:$AD$12,0),IFERROR(MATCH(Methode_Keuze,SubsidieTabel!$AD$1:$AG$1,0),2))&lt;&gt;1=TRUE,"ja",""),"")</f>
        <v/>
      </c>
    </row>
    <row r="173" spans="1:31" x14ac:dyDescent="0.25">
      <c r="A173" s="316"/>
      <c r="B173" s="317" t="str">
        <f>IF(A173&lt;&gt;"",_xlfn.MAXIFS($B$1:B172,$A$1:A172,A173)+1,"")</f>
        <v/>
      </c>
      <c r="C173" s="296"/>
      <c r="D173" s="296"/>
      <c r="E173" s="296"/>
      <c r="F173" s="296"/>
      <c r="G173" s="326"/>
      <c r="H173" s="324"/>
      <c r="I173" s="325"/>
      <c r="J173" s="325"/>
      <c r="K173" s="318"/>
      <c r="L173" s="318"/>
      <c r="M173" s="319" t="str">
        <f>IFERROR(VLOOKUP(H173,Lijsten!$H$1:$I$100,2,0),"")</f>
        <v/>
      </c>
      <c r="N173" s="319" t="str">
        <f ca="1">IFERROR(IF(VLOOKUP(F173,Kostentypen!$A$3:$E$21,3,0)=0,"",IF(OR(F173="Arbeidskosten",F173="Vergoeding"),VLOOKUP(G173,Tb_KostenTypen[],2,0),VLOOKUP(F173,Kostentypen!$A$3:$E$20,3,0))),"")</f>
        <v/>
      </c>
      <c r="O173" s="320" t="str" cm="1">
        <f t="array" ref="O173">_xlfn.IFNA(IF(INDEX(Tb_KostenOptiesDB[],MATCH($F173,Tb_KostenOptiesDB[KostenOptie],0),IFERROR(MATCH(Methode_Keuze,Tb_KostenOptiesDB[#Headers],0),2))=1,_xlfn.SWITCH($N173,"Uurtarief",IF(OR(AND(RIGHT($F173,3)="IKS",VLOOKUP($M173,DB_Loonkosten,2,0)="Ja"),AND(RIGHT($F173,3)&lt;&gt;"IKS",VLOOKUP($M173,DB_Loonkosten,2,0)="Nee")),IFERROR(VLOOKUP($M173,DB_Loonkosten,24,0),""),0),"Vast tarief",IF(LEFT(F173,8)="Bijdrage",VLOOKUP($F173,Tb_KostenTypen[],MATCH(Lijsten!$P$1,Tb_KostenTypen[#Headers],0),0),VLOOKUP($G173,Lijsten!L:P,MATCH(Lijsten!$P$1,Kop_Tarief_Vast,0),0))),""),"")</f>
        <v/>
      </c>
      <c r="P173" s="320" t="str" cm="1">
        <f t="array" ref="P173">_xlfn.IFNA(IF(INDEX(Tb_KostenOptiesDB[],MATCH($F173,Tb_KostenOptiesDB[KostenOptie],0),IFERROR(MATCH(Methode_Keuze,Tb_KostenOptiesDB[#Headers],0),2))=1,_xlfn.SWITCH($N173,"Uurtarief",IF(OR(AND(RIGHT($F173,3)="IKS",VLOOKUP($M173,DB_Loonkosten,2,0)="Ja"),AND(RIGHT($F173,3)&lt;&gt;"IKS",VLOOKUP($M173,DB_Loonkosten,2,0)="Nee")),IFERROR(VLOOKUP($M173,DB_Loonkosten,25,0),""),0),"Vast tarief",IF(LEFT(F173,8)="Bijdrage",VLOOKUP($F173,Tb_KostenTypen[],MATCH(Lijsten!$P$1,Tb_KostenTypen[#Headers],0),0),VLOOKUP($G173,Lijsten!L:P,MATCH(Lijsten!$P$1,Kop_Tarief_Vast,0),0))),""),"")</f>
        <v/>
      </c>
      <c r="Q173" s="359"/>
      <c r="R173" s="359"/>
      <c r="S173" s="321"/>
      <c r="T173" s="321"/>
      <c r="U173" s="373" t="str">
        <f t="shared" si="8"/>
        <v/>
      </c>
      <c r="V173" s="314" t="str">
        <f t="shared" si="9"/>
        <v/>
      </c>
      <c r="W173" s="314" t="str" cm="1">
        <f t="array" aca="1" ref="W173" ca="1">IFERROR(IF(AE173&lt;&gt;"ja",_xlfn.IFNA(_xlfn.IFS(AND(O173&lt;&gt;"",F173&lt;&gt;"",RIGHT($N173,6)="tarief",F173="Vergoeding"),SUM(O173)*FLOOR(SUM(Q173),0.0001),AND(O173&lt;&gt;"",F173&lt;&gt;"",RIGHT($N173,6)="tarief"),SUM(O173)*FLOOR(SUM(Q173),0.01),S173&gt;0,IF(F173&lt;&gt;"",FLOOR(SUM(S173),0.01),"")),""),""),"")</f>
        <v/>
      </c>
      <c r="X173" s="314" t="str" cm="1">
        <f t="array" aca="1" ref="X173" ca="1">IFERROR(IF(AE173&lt;&gt;"ja",_xlfn.IFNA(_xlfn.IFS(AND(P173&lt;&gt;"",R173&lt;&gt;"",RIGHT($N173,6)="tarief",F173="Vergoeding"),SUM(P173)*FLOOR(SUM(R173),0.0001),AND(P173&lt;&gt;"",R173&lt;&gt;"",RIGHT($N173,6)="tarief"),P173*FLOOR(R173,0.01),T173&gt;0,FLOOR(SUM(T173),0.01)),""),""),"")</f>
        <v/>
      </c>
      <c r="Y173" s="314" t="str">
        <f t="shared" ca="1" si="10"/>
        <v/>
      </c>
      <c r="Z173" s="314" t="str" cm="1">
        <f t="array" aca="1" ref="Z173" ca="1">IFERROR(_xlfn.IFS(OR(F173="",LEFT(Methode_Keuze,4)="Geen",Methode_Keuze=""),"",AND(W173&lt;&gt;"",F173&lt;&gt;"Arbeidskosten"),W173*VLOOKUP(F173,Tb_ProjectKosten[],MATCH(Tb_ProjectKosten[[#Headers],[Forfait_Percentage]],Tb_ProjectKosten[#Headers],0),0),AND(F173="Arbeidskosten",G173&lt;&gt;""),IFERROR(W173*VLOOKUP(G173,Tb_KostenTypen[],3,0)*VLOOKUP(F173,Tb_ProjectKosten[],MATCH(Tb_ProjectKosten[[#Headers],[Forfait_Percentage]],Tb_ProjectKosten[#Headers],0),0),""),W173 &lt;=0,0),"")</f>
        <v/>
      </c>
      <c r="AA173" s="314" t="str" cm="1">
        <f t="array" aca="1" ref="AA173" ca="1">IFERROR(_xlfn.IFS(OR(F173="",LEFT(Methode_Keuze,4)="Geen",Methode_Keuze=""),"",AND(X173&lt;&gt;"",F173&lt;&gt;"Arbeidskosten"),X173*VLOOKUP(F173,Tb_ProjectKosten[],MATCH(Tb_ProjectKosten[[#Headers],[Forfait_Percentage]],Tb_ProjectKosten[#Headers],0),0),AND(F173="Arbeidskosten",G173&lt;&gt;""),IFERROR(X173*VLOOKUP(G173,Tb_KostenTypen[],3,0)*VLOOKUP(F173,Tb_ProjectKosten[],MATCH(Tb_ProjectKosten[[#Headers],[Forfait_Percentage]],Tb_ProjectKosten[#Headers],0),0),""),X173 &lt;=0,0),"")</f>
        <v/>
      </c>
      <c r="AB173" s="314" t="str">
        <f t="shared" ca="1" si="11"/>
        <v/>
      </c>
      <c r="AC173" s="322"/>
      <c r="AD173" s="315"/>
      <c r="AE173" s="32" t="str" cm="1">
        <f t="array" ref="AE173">IFERROR(IF(INDEX(SubsidieTabel!$AD$1:$AG$12,MATCH($F173,SubsidieTabel!$AD$1:$AD$12,0),IFERROR(MATCH(Methode_Keuze,SubsidieTabel!$AD$1:$AG$1,0),2))&lt;&gt;1=TRUE,"ja",""),"")</f>
        <v/>
      </c>
    </row>
    <row r="174" spans="1:31" x14ac:dyDescent="0.25">
      <c r="A174" s="316"/>
      <c r="B174" s="317" t="str">
        <f>IF(A174&lt;&gt;"",_xlfn.MAXIFS($B$1:B173,$A$1:A173,A174)+1,"")</f>
        <v/>
      </c>
      <c r="C174" s="296"/>
      <c r="D174" s="296"/>
      <c r="E174" s="296"/>
      <c r="F174" s="296"/>
      <c r="G174" s="326"/>
      <c r="H174" s="324"/>
      <c r="I174" s="325"/>
      <c r="J174" s="325"/>
      <c r="K174" s="318"/>
      <c r="L174" s="318"/>
      <c r="M174" s="319" t="str">
        <f>IFERROR(VLOOKUP(H174,Lijsten!$H$1:$I$100,2,0),"")</f>
        <v/>
      </c>
      <c r="N174" s="319" t="str">
        <f ca="1">IFERROR(IF(VLOOKUP(F174,Kostentypen!$A$3:$E$21,3,0)=0,"",IF(OR(F174="Arbeidskosten",F174="Vergoeding"),VLOOKUP(G174,Tb_KostenTypen[],2,0),VLOOKUP(F174,Kostentypen!$A$3:$E$20,3,0))),"")</f>
        <v/>
      </c>
      <c r="O174" s="320" t="str" cm="1">
        <f t="array" ref="O174">_xlfn.IFNA(IF(INDEX(Tb_KostenOptiesDB[],MATCH($F174,Tb_KostenOptiesDB[KostenOptie],0),IFERROR(MATCH(Methode_Keuze,Tb_KostenOptiesDB[#Headers],0),2))=1,_xlfn.SWITCH($N174,"Uurtarief",IF(OR(AND(RIGHT($F174,3)="IKS",VLOOKUP($M174,DB_Loonkosten,2,0)="Ja"),AND(RIGHT($F174,3)&lt;&gt;"IKS",VLOOKUP($M174,DB_Loonkosten,2,0)="Nee")),IFERROR(VLOOKUP($M174,DB_Loonkosten,24,0),""),0),"Vast tarief",IF(LEFT(F174,8)="Bijdrage",VLOOKUP($F174,Tb_KostenTypen[],MATCH(Lijsten!$P$1,Tb_KostenTypen[#Headers],0),0),VLOOKUP($G174,Lijsten!L:P,MATCH(Lijsten!$P$1,Kop_Tarief_Vast,0),0))),""),"")</f>
        <v/>
      </c>
      <c r="P174" s="320" t="str" cm="1">
        <f t="array" ref="P174">_xlfn.IFNA(IF(INDEX(Tb_KostenOptiesDB[],MATCH($F174,Tb_KostenOptiesDB[KostenOptie],0),IFERROR(MATCH(Methode_Keuze,Tb_KostenOptiesDB[#Headers],0),2))=1,_xlfn.SWITCH($N174,"Uurtarief",IF(OR(AND(RIGHT($F174,3)="IKS",VLOOKUP($M174,DB_Loonkosten,2,0)="Ja"),AND(RIGHT($F174,3)&lt;&gt;"IKS",VLOOKUP($M174,DB_Loonkosten,2,0)="Nee")),IFERROR(VLOOKUP($M174,DB_Loonkosten,25,0),""),0),"Vast tarief",IF(LEFT(F174,8)="Bijdrage",VLOOKUP($F174,Tb_KostenTypen[],MATCH(Lijsten!$P$1,Tb_KostenTypen[#Headers],0),0),VLOOKUP($G174,Lijsten!L:P,MATCH(Lijsten!$P$1,Kop_Tarief_Vast,0),0))),""),"")</f>
        <v/>
      </c>
      <c r="Q174" s="359"/>
      <c r="R174" s="359"/>
      <c r="S174" s="321"/>
      <c r="T174" s="321"/>
      <c r="U174" s="373" t="str">
        <f t="shared" si="8"/>
        <v/>
      </c>
      <c r="V174" s="314" t="str">
        <f t="shared" si="9"/>
        <v/>
      </c>
      <c r="W174" s="314" t="str" cm="1">
        <f t="array" aca="1" ref="W174" ca="1">IFERROR(IF(AE174&lt;&gt;"ja",_xlfn.IFNA(_xlfn.IFS(AND(O174&lt;&gt;"",F174&lt;&gt;"",RIGHT($N174,6)="tarief",F174="Vergoeding"),SUM(O174)*FLOOR(SUM(Q174),0.0001),AND(O174&lt;&gt;"",F174&lt;&gt;"",RIGHT($N174,6)="tarief"),SUM(O174)*FLOOR(SUM(Q174),0.01),S174&gt;0,IF(F174&lt;&gt;"",FLOOR(SUM(S174),0.01),"")),""),""),"")</f>
        <v/>
      </c>
      <c r="X174" s="314" t="str" cm="1">
        <f t="array" aca="1" ref="X174" ca="1">IFERROR(IF(AE174&lt;&gt;"ja",_xlfn.IFNA(_xlfn.IFS(AND(P174&lt;&gt;"",R174&lt;&gt;"",RIGHT($N174,6)="tarief",F174="Vergoeding"),SUM(P174)*FLOOR(SUM(R174),0.0001),AND(P174&lt;&gt;"",R174&lt;&gt;"",RIGHT($N174,6)="tarief"),P174*FLOOR(R174,0.01),T174&gt;0,FLOOR(SUM(T174),0.01)),""),""),"")</f>
        <v/>
      </c>
      <c r="Y174" s="314" t="str">
        <f t="shared" ca="1" si="10"/>
        <v/>
      </c>
      <c r="Z174" s="314" t="str" cm="1">
        <f t="array" aca="1" ref="Z174" ca="1">IFERROR(_xlfn.IFS(OR(F174="",LEFT(Methode_Keuze,4)="Geen",Methode_Keuze=""),"",AND(W174&lt;&gt;"",F174&lt;&gt;"Arbeidskosten"),W174*VLOOKUP(F174,Tb_ProjectKosten[],MATCH(Tb_ProjectKosten[[#Headers],[Forfait_Percentage]],Tb_ProjectKosten[#Headers],0),0),AND(F174="Arbeidskosten",G174&lt;&gt;""),IFERROR(W174*VLOOKUP(G174,Tb_KostenTypen[],3,0)*VLOOKUP(F174,Tb_ProjectKosten[],MATCH(Tb_ProjectKosten[[#Headers],[Forfait_Percentage]],Tb_ProjectKosten[#Headers],0),0),""),W174 &lt;=0,0),"")</f>
        <v/>
      </c>
      <c r="AA174" s="314" t="str" cm="1">
        <f t="array" aca="1" ref="AA174" ca="1">IFERROR(_xlfn.IFS(OR(F174="",LEFT(Methode_Keuze,4)="Geen",Methode_Keuze=""),"",AND(X174&lt;&gt;"",F174&lt;&gt;"Arbeidskosten"),X174*VLOOKUP(F174,Tb_ProjectKosten[],MATCH(Tb_ProjectKosten[[#Headers],[Forfait_Percentage]],Tb_ProjectKosten[#Headers],0),0),AND(F174="Arbeidskosten",G174&lt;&gt;""),IFERROR(X174*VLOOKUP(G174,Tb_KostenTypen[],3,0)*VLOOKUP(F174,Tb_ProjectKosten[],MATCH(Tb_ProjectKosten[[#Headers],[Forfait_Percentage]],Tb_ProjectKosten[#Headers],0),0),""),X174 &lt;=0,0),"")</f>
        <v/>
      </c>
      <c r="AB174" s="314" t="str">
        <f t="shared" ca="1" si="11"/>
        <v/>
      </c>
      <c r="AC174" s="322"/>
      <c r="AD174" s="315"/>
      <c r="AE174" s="32" t="str" cm="1">
        <f t="array" ref="AE174">IFERROR(IF(INDEX(SubsidieTabel!$AD$1:$AG$12,MATCH($F174,SubsidieTabel!$AD$1:$AD$12,0),IFERROR(MATCH(Methode_Keuze,SubsidieTabel!$AD$1:$AG$1,0),2))&lt;&gt;1=TRUE,"ja",""),"")</f>
        <v/>
      </c>
    </row>
    <row r="175" spans="1:31" x14ac:dyDescent="0.25">
      <c r="A175" s="316"/>
      <c r="B175" s="317" t="str">
        <f>IF(A175&lt;&gt;"",_xlfn.MAXIFS($B$1:B174,$A$1:A174,A175)+1,"")</f>
        <v/>
      </c>
      <c r="C175" s="296"/>
      <c r="D175" s="296"/>
      <c r="E175" s="296"/>
      <c r="F175" s="296"/>
      <c r="G175" s="326"/>
      <c r="H175" s="324"/>
      <c r="I175" s="325"/>
      <c r="J175" s="325"/>
      <c r="K175" s="318"/>
      <c r="L175" s="318"/>
      <c r="M175" s="319" t="str">
        <f>IFERROR(VLOOKUP(H175,Lijsten!$H$1:$I$100,2,0),"")</f>
        <v/>
      </c>
      <c r="N175" s="319" t="str">
        <f ca="1">IFERROR(IF(VLOOKUP(F175,Kostentypen!$A$3:$E$21,3,0)=0,"",IF(OR(F175="Arbeidskosten",F175="Vergoeding"),VLOOKUP(G175,Tb_KostenTypen[],2,0),VLOOKUP(F175,Kostentypen!$A$3:$E$20,3,0))),"")</f>
        <v/>
      </c>
      <c r="O175" s="320" t="str" cm="1">
        <f t="array" ref="O175">_xlfn.IFNA(IF(INDEX(Tb_KostenOptiesDB[],MATCH($F175,Tb_KostenOptiesDB[KostenOptie],0),IFERROR(MATCH(Methode_Keuze,Tb_KostenOptiesDB[#Headers],0),2))=1,_xlfn.SWITCH($N175,"Uurtarief",IF(OR(AND(RIGHT($F175,3)="IKS",VLOOKUP($M175,DB_Loonkosten,2,0)="Ja"),AND(RIGHT($F175,3)&lt;&gt;"IKS",VLOOKUP($M175,DB_Loonkosten,2,0)="Nee")),IFERROR(VLOOKUP($M175,DB_Loonkosten,24,0),""),0),"Vast tarief",IF(LEFT(F175,8)="Bijdrage",VLOOKUP($F175,Tb_KostenTypen[],MATCH(Lijsten!$P$1,Tb_KostenTypen[#Headers],0),0),VLOOKUP($G175,Lijsten!L:P,MATCH(Lijsten!$P$1,Kop_Tarief_Vast,0),0))),""),"")</f>
        <v/>
      </c>
      <c r="P175" s="320" t="str" cm="1">
        <f t="array" ref="P175">_xlfn.IFNA(IF(INDEX(Tb_KostenOptiesDB[],MATCH($F175,Tb_KostenOptiesDB[KostenOptie],0),IFERROR(MATCH(Methode_Keuze,Tb_KostenOptiesDB[#Headers],0),2))=1,_xlfn.SWITCH($N175,"Uurtarief",IF(OR(AND(RIGHT($F175,3)="IKS",VLOOKUP($M175,DB_Loonkosten,2,0)="Ja"),AND(RIGHT($F175,3)&lt;&gt;"IKS",VLOOKUP($M175,DB_Loonkosten,2,0)="Nee")),IFERROR(VLOOKUP($M175,DB_Loonkosten,25,0),""),0),"Vast tarief",IF(LEFT(F175,8)="Bijdrage",VLOOKUP($F175,Tb_KostenTypen[],MATCH(Lijsten!$P$1,Tb_KostenTypen[#Headers],0),0),VLOOKUP($G175,Lijsten!L:P,MATCH(Lijsten!$P$1,Kop_Tarief_Vast,0),0))),""),"")</f>
        <v/>
      </c>
      <c r="Q175" s="359"/>
      <c r="R175" s="359"/>
      <c r="S175" s="321"/>
      <c r="T175" s="321"/>
      <c r="U175" s="373" t="str">
        <f t="shared" si="8"/>
        <v/>
      </c>
      <c r="V175" s="314" t="str">
        <f t="shared" si="9"/>
        <v/>
      </c>
      <c r="W175" s="314" t="str" cm="1">
        <f t="array" aca="1" ref="W175" ca="1">IFERROR(IF(AE175&lt;&gt;"ja",_xlfn.IFNA(_xlfn.IFS(AND(O175&lt;&gt;"",F175&lt;&gt;"",RIGHT($N175,6)="tarief",F175="Vergoeding"),SUM(O175)*FLOOR(SUM(Q175),0.0001),AND(O175&lt;&gt;"",F175&lt;&gt;"",RIGHT($N175,6)="tarief"),SUM(O175)*FLOOR(SUM(Q175),0.01),S175&gt;0,IF(F175&lt;&gt;"",FLOOR(SUM(S175),0.01),"")),""),""),"")</f>
        <v/>
      </c>
      <c r="X175" s="314" t="str" cm="1">
        <f t="array" aca="1" ref="X175" ca="1">IFERROR(IF(AE175&lt;&gt;"ja",_xlfn.IFNA(_xlfn.IFS(AND(P175&lt;&gt;"",R175&lt;&gt;"",RIGHT($N175,6)="tarief",F175="Vergoeding"),SUM(P175)*FLOOR(SUM(R175),0.0001),AND(P175&lt;&gt;"",R175&lt;&gt;"",RIGHT($N175,6)="tarief"),P175*FLOOR(R175,0.01),T175&gt;0,FLOOR(SUM(T175),0.01)),""),""),"")</f>
        <v/>
      </c>
      <c r="Y175" s="314" t="str">
        <f t="shared" ca="1" si="10"/>
        <v/>
      </c>
      <c r="Z175" s="314" t="str" cm="1">
        <f t="array" aca="1" ref="Z175" ca="1">IFERROR(_xlfn.IFS(OR(F175="",LEFT(Methode_Keuze,4)="Geen",Methode_Keuze=""),"",AND(W175&lt;&gt;"",F175&lt;&gt;"Arbeidskosten"),W175*VLOOKUP(F175,Tb_ProjectKosten[],MATCH(Tb_ProjectKosten[[#Headers],[Forfait_Percentage]],Tb_ProjectKosten[#Headers],0),0),AND(F175="Arbeidskosten",G175&lt;&gt;""),IFERROR(W175*VLOOKUP(G175,Tb_KostenTypen[],3,0)*VLOOKUP(F175,Tb_ProjectKosten[],MATCH(Tb_ProjectKosten[[#Headers],[Forfait_Percentage]],Tb_ProjectKosten[#Headers],0),0),""),W175 &lt;=0,0),"")</f>
        <v/>
      </c>
      <c r="AA175" s="314" t="str" cm="1">
        <f t="array" aca="1" ref="AA175" ca="1">IFERROR(_xlfn.IFS(OR(F175="",LEFT(Methode_Keuze,4)="Geen",Methode_Keuze=""),"",AND(X175&lt;&gt;"",F175&lt;&gt;"Arbeidskosten"),X175*VLOOKUP(F175,Tb_ProjectKosten[],MATCH(Tb_ProjectKosten[[#Headers],[Forfait_Percentage]],Tb_ProjectKosten[#Headers],0),0),AND(F175="Arbeidskosten",G175&lt;&gt;""),IFERROR(X175*VLOOKUP(G175,Tb_KostenTypen[],3,0)*VLOOKUP(F175,Tb_ProjectKosten[],MATCH(Tb_ProjectKosten[[#Headers],[Forfait_Percentage]],Tb_ProjectKosten[#Headers],0),0),""),X175 &lt;=0,0),"")</f>
        <v/>
      </c>
      <c r="AB175" s="314" t="str">
        <f t="shared" ca="1" si="11"/>
        <v/>
      </c>
      <c r="AC175" s="322"/>
      <c r="AD175" s="315"/>
      <c r="AE175" s="32" t="str" cm="1">
        <f t="array" ref="AE175">IFERROR(IF(INDEX(SubsidieTabel!$AD$1:$AG$12,MATCH($F175,SubsidieTabel!$AD$1:$AD$12,0),IFERROR(MATCH(Methode_Keuze,SubsidieTabel!$AD$1:$AG$1,0),2))&lt;&gt;1=TRUE,"ja",""),"")</f>
        <v/>
      </c>
    </row>
    <row r="176" spans="1:31" x14ac:dyDescent="0.25">
      <c r="A176" s="316"/>
      <c r="B176" s="317" t="str">
        <f>IF(A176&lt;&gt;"",_xlfn.MAXIFS($B$1:B175,$A$1:A175,A176)+1,"")</f>
        <v/>
      </c>
      <c r="C176" s="296"/>
      <c r="D176" s="296"/>
      <c r="E176" s="296"/>
      <c r="F176" s="296"/>
      <c r="G176" s="326"/>
      <c r="H176" s="324"/>
      <c r="I176" s="325"/>
      <c r="J176" s="325"/>
      <c r="K176" s="318"/>
      <c r="L176" s="318"/>
      <c r="M176" s="319" t="str">
        <f>IFERROR(VLOOKUP(H176,Lijsten!$H$1:$I$100,2,0),"")</f>
        <v/>
      </c>
      <c r="N176" s="319" t="str">
        <f ca="1">IFERROR(IF(VLOOKUP(F176,Kostentypen!$A$3:$E$21,3,0)=0,"",IF(OR(F176="Arbeidskosten",F176="Vergoeding"),VLOOKUP(G176,Tb_KostenTypen[],2,0),VLOOKUP(F176,Kostentypen!$A$3:$E$20,3,0))),"")</f>
        <v/>
      </c>
      <c r="O176" s="320" t="str" cm="1">
        <f t="array" ref="O176">_xlfn.IFNA(IF(INDEX(Tb_KostenOptiesDB[],MATCH($F176,Tb_KostenOptiesDB[KostenOptie],0),IFERROR(MATCH(Methode_Keuze,Tb_KostenOptiesDB[#Headers],0),2))=1,_xlfn.SWITCH($N176,"Uurtarief",IF(OR(AND(RIGHT($F176,3)="IKS",VLOOKUP($M176,DB_Loonkosten,2,0)="Ja"),AND(RIGHT($F176,3)&lt;&gt;"IKS",VLOOKUP($M176,DB_Loonkosten,2,0)="Nee")),IFERROR(VLOOKUP($M176,DB_Loonkosten,24,0),""),0),"Vast tarief",IF(LEFT(F176,8)="Bijdrage",VLOOKUP($F176,Tb_KostenTypen[],MATCH(Lijsten!$P$1,Tb_KostenTypen[#Headers],0),0),VLOOKUP($G176,Lijsten!L:P,MATCH(Lijsten!$P$1,Kop_Tarief_Vast,0),0))),""),"")</f>
        <v/>
      </c>
      <c r="P176" s="320" t="str" cm="1">
        <f t="array" ref="P176">_xlfn.IFNA(IF(INDEX(Tb_KostenOptiesDB[],MATCH($F176,Tb_KostenOptiesDB[KostenOptie],0),IFERROR(MATCH(Methode_Keuze,Tb_KostenOptiesDB[#Headers],0),2))=1,_xlfn.SWITCH($N176,"Uurtarief",IF(OR(AND(RIGHT($F176,3)="IKS",VLOOKUP($M176,DB_Loonkosten,2,0)="Ja"),AND(RIGHT($F176,3)&lt;&gt;"IKS",VLOOKUP($M176,DB_Loonkosten,2,0)="Nee")),IFERROR(VLOOKUP($M176,DB_Loonkosten,25,0),""),0),"Vast tarief",IF(LEFT(F176,8)="Bijdrage",VLOOKUP($F176,Tb_KostenTypen[],MATCH(Lijsten!$P$1,Tb_KostenTypen[#Headers],0),0),VLOOKUP($G176,Lijsten!L:P,MATCH(Lijsten!$P$1,Kop_Tarief_Vast,0),0))),""),"")</f>
        <v/>
      </c>
      <c r="Q176" s="359"/>
      <c r="R176" s="359"/>
      <c r="S176" s="321"/>
      <c r="T176" s="321"/>
      <c r="U176" s="373" t="str">
        <f t="shared" si="8"/>
        <v/>
      </c>
      <c r="V176" s="314" t="str">
        <f t="shared" si="9"/>
        <v/>
      </c>
      <c r="W176" s="314" t="str" cm="1">
        <f t="array" aca="1" ref="W176" ca="1">IFERROR(IF(AE176&lt;&gt;"ja",_xlfn.IFNA(_xlfn.IFS(AND(O176&lt;&gt;"",F176&lt;&gt;"",RIGHT($N176,6)="tarief",F176="Vergoeding"),SUM(O176)*FLOOR(SUM(Q176),0.0001),AND(O176&lt;&gt;"",F176&lt;&gt;"",RIGHT($N176,6)="tarief"),SUM(O176)*FLOOR(SUM(Q176),0.01),S176&gt;0,IF(F176&lt;&gt;"",FLOOR(SUM(S176),0.01),"")),""),""),"")</f>
        <v/>
      </c>
      <c r="X176" s="314" t="str" cm="1">
        <f t="array" aca="1" ref="X176" ca="1">IFERROR(IF(AE176&lt;&gt;"ja",_xlfn.IFNA(_xlfn.IFS(AND(P176&lt;&gt;"",R176&lt;&gt;"",RIGHT($N176,6)="tarief",F176="Vergoeding"),SUM(P176)*FLOOR(SUM(R176),0.0001),AND(P176&lt;&gt;"",R176&lt;&gt;"",RIGHT($N176,6)="tarief"),P176*FLOOR(R176,0.01),T176&gt;0,FLOOR(SUM(T176),0.01)),""),""),"")</f>
        <v/>
      </c>
      <c r="Y176" s="314" t="str">
        <f t="shared" ca="1" si="10"/>
        <v/>
      </c>
      <c r="Z176" s="314" t="str" cm="1">
        <f t="array" aca="1" ref="Z176" ca="1">IFERROR(_xlfn.IFS(OR(F176="",LEFT(Methode_Keuze,4)="Geen",Methode_Keuze=""),"",AND(W176&lt;&gt;"",F176&lt;&gt;"Arbeidskosten"),W176*VLOOKUP(F176,Tb_ProjectKosten[],MATCH(Tb_ProjectKosten[[#Headers],[Forfait_Percentage]],Tb_ProjectKosten[#Headers],0),0),AND(F176="Arbeidskosten",G176&lt;&gt;""),IFERROR(W176*VLOOKUP(G176,Tb_KostenTypen[],3,0)*VLOOKUP(F176,Tb_ProjectKosten[],MATCH(Tb_ProjectKosten[[#Headers],[Forfait_Percentage]],Tb_ProjectKosten[#Headers],0),0),""),W176 &lt;=0,0),"")</f>
        <v/>
      </c>
      <c r="AA176" s="314" t="str" cm="1">
        <f t="array" aca="1" ref="AA176" ca="1">IFERROR(_xlfn.IFS(OR(F176="",LEFT(Methode_Keuze,4)="Geen",Methode_Keuze=""),"",AND(X176&lt;&gt;"",F176&lt;&gt;"Arbeidskosten"),X176*VLOOKUP(F176,Tb_ProjectKosten[],MATCH(Tb_ProjectKosten[[#Headers],[Forfait_Percentage]],Tb_ProjectKosten[#Headers],0),0),AND(F176="Arbeidskosten",G176&lt;&gt;""),IFERROR(X176*VLOOKUP(G176,Tb_KostenTypen[],3,0)*VLOOKUP(F176,Tb_ProjectKosten[],MATCH(Tb_ProjectKosten[[#Headers],[Forfait_Percentage]],Tb_ProjectKosten[#Headers],0),0),""),X176 &lt;=0,0),"")</f>
        <v/>
      </c>
      <c r="AB176" s="314" t="str">
        <f t="shared" ca="1" si="11"/>
        <v/>
      </c>
      <c r="AC176" s="322"/>
      <c r="AD176" s="315"/>
      <c r="AE176" s="32" t="str" cm="1">
        <f t="array" ref="AE176">IFERROR(IF(INDEX(SubsidieTabel!$AD$1:$AG$12,MATCH($F176,SubsidieTabel!$AD$1:$AD$12,0),IFERROR(MATCH(Methode_Keuze,SubsidieTabel!$AD$1:$AG$1,0),2))&lt;&gt;1=TRUE,"ja",""),"")</f>
        <v/>
      </c>
    </row>
    <row r="177" spans="1:31" x14ac:dyDescent="0.25">
      <c r="A177" s="316"/>
      <c r="B177" s="317" t="str">
        <f>IF(A177&lt;&gt;"",_xlfn.MAXIFS($B$1:B176,$A$1:A176,A177)+1,"")</f>
        <v/>
      </c>
      <c r="C177" s="296"/>
      <c r="D177" s="296"/>
      <c r="E177" s="296"/>
      <c r="F177" s="296"/>
      <c r="G177" s="326"/>
      <c r="H177" s="324"/>
      <c r="I177" s="325"/>
      <c r="J177" s="325"/>
      <c r="K177" s="318"/>
      <c r="L177" s="318"/>
      <c r="M177" s="319" t="str">
        <f>IFERROR(VLOOKUP(H177,Lijsten!$H$1:$I$100,2,0),"")</f>
        <v/>
      </c>
      <c r="N177" s="319" t="str">
        <f ca="1">IFERROR(IF(VLOOKUP(F177,Kostentypen!$A$3:$E$21,3,0)=0,"",IF(OR(F177="Arbeidskosten",F177="Vergoeding"),VLOOKUP(G177,Tb_KostenTypen[],2,0),VLOOKUP(F177,Kostentypen!$A$3:$E$20,3,0))),"")</f>
        <v/>
      </c>
      <c r="O177" s="320" t="str" cm="1">
        <f t="array" ref="O177">_xlfn.IFNA(IF(INDEX(Tb_KostenOptiesDB[],MATCH($F177,Tb_KostenOptiesDB[KostenOptie],0),IFERROR(MATCH(Methode_Keuze,Tb_KostenOptiesDB[#Headers],0),2))=1,_xlfn.SWITCH($N177,"Uurtarief",IF(OR(AND(RIGHT($F177,3)="IKS",VLOOKUP($M177,DB_Loonkosten,2,0)="Ja"),AND(RIGHT($F177,3)&lt;&gt;"IKS",VLOOKUP($M177,DB_Loonkosten,2,0)="Nee")),IFERROR(VLOOKUP($M177,DB_Loonkosten,24,0),""),0),"Vast tarief",IF(LEFT(F177,8)="Bijdrage",VLOOKUP($F177,Tb_KostenTypen[],MATCH(Lijsten!$P$1,Tb_KostenTypen[#Headers],0),0),VLOOKUP($G177,Lijsten!L:P,MATCH(Lijsten!$P$1,Kop_Tarief_Vast,0),0))),""),"")</f>
        <v/>
      </c>
      <c r="P177" s="320" t="str" cm="1">
        <f t="array" ref="P177">_xlfn.IFNA(IF(INDEX(Tb_KostenOptiesDB[],MATCH($F177,Tb_KostenOptiesDB[KostenOptie],0),IFERROR(MATCH(Methode_Keuze,Tb_KostenOptiesDB[#Headers],0),2))=1,_xlfn.SWITCH($N177,"Uurtarief",IF(OR(AND(RIGHT($F177,3)="IKS",VLOOKUP($M177,DB_Loonkosten,2,0)="Ja"),AND(RIGHT($F177,3)&lt;&gt;"IKS",VLOOKUP($M177,DB_Loonkosten,2,0)="Nee")),IFERROR(VLOOKUP($M177,DB_Loonkosten,25,0),""),0),"Vast tarief",IF(LEFT(F177,8)="Bijdrage",VLOOKUP($F177,Tb_KostenTypen[],MATCH(Lijsten!$P$1,Tb_KostenTypen[#Headers],0),0),VLOOKUP($G177,Lijsten!L:P,MATCH(Lijsten!$P$1,Kop_Tarief_Vast,0),0))),""),"")</f>
        <v/>
      </c>
      <c r="Q177" s="359"/>
      <c r="R177" s="359"/>
      <c r="S177" s="321"/>
      <c r="T177" s="321"/>
      <c r="U177" s="373" t="str">
        <f t="shared" si="8"/>
        <v/>
      </c>
      <c r="V177" s="314" t="str">
        <f t="shared" si="9"/>
        <v/>
      </c>
      <c r="W177" s="314" t="str" cm="1">
        <f t="array" aca="1" ref="W177" ca="1">IFERROR(IF(AE177&lt;&gt;"ja",_xlfn.IFNA(_xlfn.IFS(AND(O177&lt;&gt;"",F177&lt;&gt;"",RIGHT($N177,6)="tarief",F177="Vergoeding"),SUM(O177)*FLOOR(SUM(Q177),0.0001),AND(O177&lt;&gt;"",F177&lt;&gt;"",RIGHT($N177,6)="tarief"),SUM(O177)*FLOOR(SUM(Q177),0.01),S177&gt;0,IF(F177&lt;&gt;"",FLOOR(SUM(S177),0.01),"")),""),""),"")</f>
        <v/>
      </c>
      <c r="X177" s="314" t="str" cm="1">
        <f t="array" aca="1" ref="X177" ca="1">IFERROR(IF(AE177&lt;&gt;"ja",_xlfn.IFNA(_xlfn.IFS(AND(P177&lt;&gt;"",R177&lt;&gt;"",RIGHT($N177,6)="tarief",F177="Vergoeding"),SUM(P177)*FLOOR(SUM(R177),0.0001),AND(P177&lt;&gt;"",R177&lt;&gt;"",RIGHT($N177,6)="tarief"),P177*FLOOR(R177,0.01),T177&gt;0,FLOOR(SUM(T177),0.01)),""),""),"")</f>
        <v/>
      </c>
      <c r="Y177" s="314" t="str">
        <f t="shared" ca="1" si="10"/>
        <v/>
      </c>
      <c r="Z177" s="314" t="str" cm="1">
        <f t="array" aca="1" ref="Z177" ca="1">IFERROR(_xlfn.IFS(OR(F177="",LEFT(Methode_Keuze,4)="Geen",Methode_Keuze=""),"",AND(W177&lt;&gt;"",F177&lt;&gt;"Arbeidskosten"),W177*VLOOKUP(F177,Tb_ProjectKosten[],MATCH(Tb_ProjectKosten[[#Headers],[Forfait_Percentage]],Tb_ProjectKosten[#Headers],0),0),AND(F177="Arbeidskosten",G177&lt;&gt;""),IFERROR(W177*VLOOKUP(G177,Tb_KostenTypen[],3,0)*VLOOKUP(F177,Tb_ProjectKosten[],MATCH(Tb_ProjectKosten[[#Headers],[Forfait_Percentage]],Tb_ProjectKosten[#Headers],0),0),""),W177 &lt;=0,0),"")</f>
        <v/>
      </c>
      <c r="AA177" s="314" t="str" cm="1">
        <f t="array" aca="1" ref="AA177" ca="1">IFERROR(_xlfn.IFS(OR(F177="",LEFT(Methode_Keuze,4)="Geen",Methode_Keuze=""),"",AND(X177&lt;&gt;"",F177&lt;&gt;"Arbeidskosten"),X177*VLOOKUP(F177,Tb_ProjectKosten[],MATCH(Tb_ProjectKosten[[#Headers],[Forfait_Percentage]],Tb_ProjectKosten[#Headers],0),0),AND(F177="Arbeidskosten",G177&lt;&gt;""),IFERROR(X177*VLOOKUP(G177,Tb_KostenTypen[],3,0)*VLOOKUP(F177,Tb_ProjectKosten[],MATCH(Tb_ProjectKosten[[#Headers],[Forfait_Percentage]],Tb_ProjectKosten[#Headers],0),0),""),X177 &lt;=0,0),"")</f>
        <v/>
      </c>
      <c r="AB177" s="314" t="str">
        <f t="shared" ca="1" si="11"/>
        <v/>
      </c>
      <c r="AC177" s="322"/>
      <c r="AD177" s="315"/>
      <c r="AE177" s="32" t="str" cm="1">
        <f t="array" ref="AE177">IFERROR(IF(INDEX(SubsidieTabel!$AD$1:$AG$12,MATCH($F177,SubsidieTabel!$AD$1:$AD$12,0),IFERROR(MATCH(Methode_Keuze,SubsidieTabel!$AD$1:$AG$1,0),2))&lt;&gt;1=TRUE,"ja",""),"")</f>
        <v/>
      </c>
    </row>
    <row r="178" spans="1:31" x14ac:dyDescent="0.25">
      <c r="A178" s="316"/>
      <c r="B178" s="317" t="str">
        <f>IF(A178&lt;&gt;"",_xlfn.MAXIFS($B$1:B177,$A$1:A177,A178)+1,"")</f>
        <v/>
      </c>
      <c r="C178" s="296"/>
      <c r="D178" s="296"/>
      <c r="E178" s="296"/>
      <c r="F178" s="296"/>
      <c r="G178" s="326"/>
      <c r="H178" s="324"/>
      <c r="I178" s="325"/>
      <c r="J178" s="325"/>
      <c r="K178" s="318"/>
      <c r="L178" s="318"/>
      <c r="M178" s="319" t="str">
        <f>IFERROR(VLOOKUP(H178,Lijsten!$H$1:$I$100,2,0),"")</f>
        <v/>
      </c>
      <c r="N178" s="319" t="str">
        <f ca="1">IFERROR(IF(VLOOKUP(F178,Kostentypen!$A$3:$E$21,3,0)=0,"",IF(OR(F178="Arbeidskosten",F178="Vergoeding"),VLOOKUP(G178,Tb_KostenTypen[],2,0),VLOOKUP(F178,Kostentypen!$A$3:$E$20,3,0))),"")</f>
        <v/>
      </c>
      <c r="O178" s="320" t="str" cm="1">
        <f t="array" ref="O178">_xlfn.IFNA(IF(INDEX(Tb_KostenOptiesDB[],MATCH($F178,Tb_KostenOptiesDB[KostenOptie],0),IFERROR(MATCH(Methode_Keuze,Tb_KostenOptiesDB[#Headers],0),2))=1,_xlfn.SWITCH($N178,"Uurtarief",IF(OR(AND(RIGHT($F178,3)="IKS",VLOOKUP($M178,DB_Loonkosten,2,0)="Ja"),AND(RIGHT($F178,3)&lt;&gt;"IKS",VLOOKUP($M178,DB_Loonkosten,2,0)="Nee")),IFERROR(VLOOKUP($M178,DB_Loonkosten,24,0),""),0),"Vast tarief",IF(LEFT(F178,8)="Bijdrage",VLOOKUP($F178,Tb_KostenTypen[],MATCH(Lijsten!$P$1,Tb_KostenTypen[#Headers],0),0),VLOOKUP($G178,Lijsten!L:P,MATCH(Lijsten!$P$1,Kop_Tarief_Vast,0),0))),""),"")</f>
        <v/>
      </c>
      <c r="P178" s="320" t="str" cm="1">
        <f t="array" ref="P178">_xlfn.IFNA(IF(INDEX(Tb_KostenOptiesDB[],MATCH($F178,Tb_KostenOptiesDB[KostenOptie],0),IFERROR(MATCH(Methode_Keuze,Tb_KostenOptiesDB[#Headers],0),2))=1,_xlfn.SWITCH($N178,"Uurtarief",IF(OR(AND(RIGHT($F178,3)="IKS",VLOOKUP($M178,DB_Loonkosten,2,0)="Ja"),AND(RIGHT($F178,3)&lt;&gt;"IKS",VLOOKUP($M178,DB_Loonkosten,2,0)="Nee")),IFERROR(VLOOKUP($M178,DB_Loonkosten,25,0),""),0),"Vast tarief",IF(LEFT(F178,8)="Bijdrage",VLOOKUP($F178,Tb_KostenTypen[],MATCH(Lijsten!$P$1,Tb_KostenTypen[#Headers],0),0),VLOOKUP($G178,Lijsten!L:P,MATCH(Lijsten!$P$1,Kop_Tarief_Vast,0),0))),""),"")</f>
        <v/>
      </c>
      <c r="Q178" s="359"/>
      <c r="R178" s="359"/>
      <c r="S178" s="321"/>
      <c r="T178" s="321"/>
      <c r="U178" s="373" t="str">
        <f t="shared" si="8"/>
        <v/>
      </c>
      <c r="V178" s="314" t="str">
        <f t="shared" si="9"/>
        <v/>
      </c>
      <c r="W178" s="314" t="str" cm="1">
        <f t="array" aca="1" ref="W178" ca="1">IFERROR(IF(AE178&lt;&gt;"ja",_xlfn.IFNA(_xlfn.IFS(AND(O178&lt;&gt;"",F178&lt;&gt;"",RIGHT($N178,6)="tarief",F178="Vergoeding"),SUM(O178)*FLOOR(SUM(Q178),0.0001),AND(O178&lt;&gt;"",F178&lt;&gt;"",RIGHT($N178,6)="tarief"),SUM(O178)*FLOOR(SUM(Q178),0.01),S178&gt;0,IF(F178&lt;&gt;"",FLOOR(SUM(S178),0.01),"")),""),""),"")</f>
        <v/>
      </c>
      <c r="X178" s="314" t="str" cm="1">
        <f t="array" aca="1" ref="X178" ca="1">IFERROR(IF(AE178&lt;&gt;"ja",_xlfn.IFNA(_xlfn.IFS(AND(P178&lt;&gt;"",R178&lt;&gt;"",RIGHT($N178,6)="tarief",F178="Vergoeding"),SUM(P178)*FLOOR(SUM(R178),0.0001),AND(P178&lt;&gt;"",R178&lt;&gt;"",RIGHT($N178,6)="tarief"),P178*FLOOR(R178,0.01),T178&gt;0,FLOOR(SUM(T178),0.01)),""),""),"")</f>
        <v/>
      </c>
      <c r="Y178" s="314" t="str">
        <f t="shared" ca="1" si="10"/>
        <v/>
      </c>
      <c r="Z178" s="314" t="str" cm="1">
        <f t="array" aca="1" ref="Z178" ca="1">IFERROR(_xlfn.IFS(OR(F178="",LEFT(Methode_Keuze,4)="Geen",Methode_Keuze=""),"",AND(W178&lt;&gt;"",F178&lt;&gt;"Arbeidskosten"),W178*VLOOKUP(F178,Tb_ProjectKosten[],MATCH(Tb_ProjectKosten[[#Headers],[Forfait_Percentage]],Tb_ProjectKosten[#Headers],0),0),AND(F178="Arbeidskosten",G178&lt;&gt;""),IFERROR(W178*VLOOKUP(G178,Tb_KostenTypen[],3,0)*VLOOKUP(F178,Tb_ProjectKosten[],MATCH(Tb_ProjectKosten[[#Headers],[Forfait_Percentage]],Tb_ProjectKosten[#Headers],0),0),""),W178 &lt;=0,0),"")</f>
        <v/>
      </c>
      <c r="AA178" s="314" t="str" cm="1">
        <f t="array" aca="1" ref="AA178" ca="1">IFERROR(_xlfn.IFS(OR(F178="",LEFT(Methode_Keuze,4)="Geen",Methode_Keuze=""),"",AND(X178&lt;&gt;"",F178&lt;&gt;"Arbeidskosten"),X178*VLOOKUP(F178,Tb_ProjectKosten[],MATCH(Tb_ProjectKosten[[#Headers],[Forfait_Percentage]],Tb_ProjectKosten[#Headers],0),0),AND(F178="Arbeidskosten",G178&lt;&gt;""),IFERROR(X178*VLOOKUP(G178,Tb_KostenTypen[],3,0)*VLOOKUP(F178,Tb_ProjectKosten[],MATCH(Tb_ProjectKosten[[#Headers],[Forfait_Percentage]],Tb_ProjectKosten[#Headers],0),0),""),X178 &lt;=0,0),"")</f>
        <v/>
      </c>
      <c r="AB178" s="314" t="str">
        <f t="shared" ca="1" si="11"/>
        <v/>
      </c>
      <c r="AC178" s="322"/>
      <c r="AD178" s="315"/>
      <c r="AE178" s="32" t="str" cm="1">
        <f t="array" ref="AE178">IFERROR(IF(INDEX(SubsidieTabel!$AD$1:$AG$12,MATCH($F178,SubsidieTabel!$AD$1:$AD$12,0),IFERROR(MATCH(Methode_Keuze,SubsidieTabel!$AD$1:$AG$1,0),2))&lt;&gt;1=TRUE,"ja",""),"")</f>
        <v/>
      </c>
    </row>
    <row r="179" spans="1:31" x14ac:dyDescent="0.25">
      <c r="A179" s="316"/>
      <c r="B179" s="317" t="str">
        <f>IF(A179&lt;&gt;"",_xlfn.MAXIFS($B$1:B178,$A$1:A178,A179)+1,"")</f>
        <v/>
      </c>
      <c r="C179" s="296"/>
      <c r="D179" s="296"/>
      <c r="E179" s="296"/>
      <c r="F179" s="296"/>
      <c r="G179" s="326"/>
      <c r="H179" s="324"/>
      <c r="I179" s="325"/>
      <c r="J179" s="325"/>
      <c r="K179" s="318"/>
      <c r="L179" s="318"/>
      <c r="M179" s="319" t="str">
        <f>IFERROR(VLOOKUP(H179,Lijsten!$H$1:$I$100,2,0),"")</f>
        <v/>
      </c>
      <c r="N179" s="319" t="str">
        <f ca="1">IFERROR(IF(VLOOKUP(F179,Kostentypen!$A$3:$E$21,3,0)=0,"",IF(OR(F179="Arbeidskosten",F179="Vergoeding"),VLOOKUP(G179,Tb_KostenTypen[],2,0),VLOOKUP(F179,Kostentypen!$A$3:$E$20,3,0))),"")</f>
        <v/>
      </c>
      <c r="O179" s="320" t="str" cm="1">
        <f t="array" ref="O179">_xlfn.IFNA(IF(INDEX(Tb_KostenOptiesDB[],MATCH($F179,Tb_KostenOptiesDB[KostenOptie],0),IFERROR(MATCH(Methode_Keuze,Tb_KostenOptiesDB[#Headers],0),2))=1,_xlfn.SWITCH($N179,"Uurtarief",IF(OR(AND(RIGHT($F179,3)="IKS",VLOOKUP($M179,DB_Loonkosten,2,0)="Ja"),AND(RIGHT($F179,3)&lt;&gt;"IKS",VLOOKUP($M179,DB_Loonkosten,2,0)="Nee")),IFERROR(VLOOKUP($M179,DB_Loonkosten,24,0),""),0),"Vast tarief",IF(LEFT(F179,8)="Bijdrage",VLOOKUP($F179,Tb_KostenTypen[],MATCH(Lijsten!$P$1,Tb_KostenTypen[#Headers],0),0),VLOOKUP($G179,Lijsten!L:P,MATCH(Lijsten!$P$1,Kop_Tarief_Vast,0),0))),""),"")</f>
        <v/>
      </c>
      <c r="P179" s="320" t="str" cm="1">
        <f t="array" ref="P179">_xlfn.IFNA(IF(INDEX(Tb_KostenOptiesDB[],MATCH($F179,Tb_KostenOptiesDB[KostenOptie],0),IFERROR(MATCH(Methode_Keuze,Tb_KostenOptiesDB[#Headers],0),2))=1,_xlfn.SWITCH($N179,"Uurtarief",IF(OR(AND(RIGHT($F179,3)="IKS",VLOOKUP($M179,DB_Loonkosten,2,0)="Ja"),AND(RIGHT($F179,3)&lt;&gt;"IKS",VLOOKUP($M179,DB_Loonkosten,2,0)="Nee")),IFERROR(VLOOKUP($M179,DB_Loonkosten,25,0),""),0),"Vast tarief",IF(LEFT(F179,8)="Bijdrage",VLOOKUP($F179,Tb_KostenTypen[],MATCH(Lijsten!$P$1,Tb_KostenTypen[#Headers],0),0),VLOOKUP($G179,Lijsten!L:P,MATCH(Lijsten!$P$1,Kop_Tarief_Vast,0),0))),""),"")</f>
        <v/>
      </c>
      <c r="Q179" s="359"/>
      <c r="R179" s="359"/>
      <c r="S179" s="321"/>
      <c r="T179" s="321"/>
      <c r="U179" s="373" t="str">
        <f t="shared" si="8"/>
        <v/>
      </c>
      <c r="V179" s="314" t="str">
        <f t="shared" si="9"/>
        <v/>
      </c>
      <c r="W179" s="314" t="str" cm="1">
        <f t="array" aca="1" ref="W179" ca="1">IFERROR(IF(AE179&lt;&gt;"ja",_xlfn.IFNA(_xlfn.IFS(AND(O179&lt;&gt;"",F179&lt;&gt;"",RIGHT($N179,6)="tarief",F179="Vergoeding"),SUM(O179)*FLOOR(SUM(Q179),0.0001),AND(O179&lt;&gt;"",F179&lt;&gt;"",RIGHT($N179,6)="tarief"),SUM(O179)*FLOOR(SUM(Q179),0.01),S179&gt;0,IF(F179&lt;&gt;"",FLOOR(SUM(S179),0.01),"")),""),""),"")</f>
        <v/>
      </c>
      <c r="X179" s="314" t="str" cm="1">
        <f t="array" aca="1" ref="X179" ca="1">IFERROR(IF(AE179&lt;&gt;"ja",_xlfn.IFNA(_xlfn.IFS(AND(P179&lt;&gt;"",R179&lt;&gt;"",RIGHT($N179,6)="tarief",F179="Vergoeding"),SUM(P179)*FLOOR(SUM(R179),0.0001),AND(P179&lt;&gt;"",R179&lt;&gt;"",RIGHT($N179,6)="tarief"),P179*FLOOR(R179,0.01),T179&gt;0,FLOOR(SUM(T179),0.01)),""),""),"")</f>
        <v/>
      </c>
      <c r="Y179" s="314" t="str">
        <f t="shared" ca="1" si="10"/>
        <v/>
      </c>
      <c r="Z179" s="314" t="str" cm="1">
        <f t="array" aca="1" ref="Z179" ca="1">IFERROR(_xlfn.IFS(OR(F179="",LEFT(Methode_Keuze,4)="Geen",Methode_Keuze=""),"",AND(W179&lt;&gt;"",F179&lt;&gt;"Arbeidskosten"),W179*VLOOKUP(F179,Tb_ProjectKosten[],MATCH(Tb_ProjectKosten[[#Headers],[Forfait_Percentage]],Tb_ProjectKosten[#Headers],0),0),AND(F179="Arbeidskosten",G179&lt;&gt;""),IFERROR(W179*VLOOKUP(G179,Tb_KostenTypen[],3,0)*VLOOKUP(F179,Tb_ProjectKosten[],MATCH(Tb_ProjectKosten[[#Headers],[Forfait_Percentage]],Tb_ProjectKosten[#Headers],0),0),""),W179 &lt;=0,0),"")</f>
        <v/>
      </c>
      <c r="AA179" s="314" t="str" cm="1">
        <f t="array" aca="1" ref="AA179" ca="1">IFERROR(_xlfn.IFS(OR(F179="",LEFT(Methode_Keuze,4)="Geen",Methode_Keuze=""),"",AND(X179&lt;&gt;"",F179&lt;&gt;"Arbeidskosten"),X179*VLOOKUP(F179,Tb_ProjectKosten[],MATCH(Tb_ProjectKosten[[#Headers],[Forfait_Percentage]],Tb_ProjectKosten[#Headers],0),0),AND(F179="Arbeidskosten",G179&lt;&gt;""),IFERROR(X179*VLOOKUP(G179,Tb_KostenTypen[],3,0)*VLOOKUP(F179,Tb_ProjectKosten[],MATCH(Tb_ProjectKosten[[#Headers],[Forfait_Percentage]],Tb_ProjectKosten[#Headers],0),0),""),X179 &lt;=0,0),"")</f>
        <v/>
      </c>
      <c r="AB179" s="314" t="str">
        <f t="shared" ca="1" si="11"/>
        <v/>
      </c>
      <c r="AC179" s="322"/>
      <c r="AD179" s="315"/>
      <c r="AE179" s="32" t="str" cm="1">
        <f t="array" ref="AE179">IFERROR(IF(INDEX(SubsidieTabel!$AD$1:$AG$12,MATCH($F179,SubsidieTabel!$AD$1:$AD$12,0),IFERROR(MATCH(Methode_Keuze,SubsidieTabel!$AD$1:$AG$1,0),2))&lt;&gt;1=TRUE,"ja",""),"")</f>
        <v/>
      </c>
    </row>
    <row r="180" spans="1:31" x14ac:dyDescent="0.25">
      <c r="A180" s="316"/>
      <c r="B180" s="317" t="str">
        <f>IF(A180&lt;&gt;"",_xlfn.MAXIFS($B$1:B179,$A$1:A179,A180)+1,"")</f>
        <v/>
      </c>
      <c r="C180" s="296"/>
      <c r="D180" s="296"/>
      <c r="E180" s="296"/>
      <c r="F180" s="296"/>
      <c r="G180" s="326"/>
      <c r="H180" s="324"/>
      <c r="I180" s="325"/>
      <c r="J180" s="325"/>
      <c r="K180" s="318"/>
      <c r="L180" s="318"/>
      <c r="M180" s="319" t="str">
        <f>IFERROR(VLOOKUP(H180,Lijsten!$H$1:$I$100,2,0),"")</f>
        <v/>
      </c>
      <c r="N180" s="319" t="str">
        <f ca="1">IFERROR(IF(VLOOKUP(F180,Kostentypen!$A$3:$E$21,3,0)=0,"",IF(OR(F180="Arbeidskosten",F180="Vergoeding"),VLOOKUP(G180,Tb_KostenTypen[],2,0),VLOOKUP(F180,Kostentypen!$A$3:$E$20,3,0))),"")</f>
        <v/>
      </c>
      <c r="O180" s="320" t="str" cm="1">
        <f t="array" ref="O180">_xlfn.IFNA(IF(INDEX(Tb_KostenOptiesDB[],MATCH($F180,Tb_KostenOptiesDB[KostenOptie],0),IFERROR(MATCH(Methode_Keuze,Tb_KostenOptiesDB[#Headers],0),2))=1,_xlfn.SWITCH($N180,"Uurtarief",IF(OR(AND(RIGHT($F180,3)="IKS",VLOOKUP($M180,DB_Loonkosten,2,0)="Ja"),AND(RIGHT($F180,3)&lt;&gt;"IKS",VLOOKUP($M180,DB_Loonkosten,2,0)="Nee")),IFERROR(VLOOKUP($M180,DB_Loonkosten,24,0),""),0),"Vast tarief",IF(LEFT(F180,8)="Bijdrage",VLOOKUP($F180,Tb_KostenTypen[],MATCH(Lijsten!$P$1,Tb_KostenTypen[#Headers],0),0),VLOOKUP($G180,Lijsten!L:P,MATCH(Lijsten!$P$1,Kop_Tarief_Vast,0),0))),""),"")</f>
        <v/>
      </c>
      <c r="P180" s="320" t="str" cm="1">
        <f t="array" ref="P180">_xlfn.IFNA(IF(INDEX(Tb_KostenOptiesDB[],MATCH($F180,Tb_KostenOptiesDB[KostenOptie],0),IFERROR(MATCH(Methode_Keuze,Tb_KostenOptiesDB[#Headers],0),2))=1,_xlfn.SWITCH($N180,"Uurtarief",IF(OR(AND(RIGHT($F180,3)="IKS",VLOOKUP($M180,DB_Loonkosten,2,0)="Ja"),AND(RIGHT($F180,3)&lt;&gt;"IKS",VLOOKUP($M180,DB_Loonkosten,2,0)="Nee")),IFERROR(VLOOKUP($M180,DB_Loonkosten,25,0),""),0),"Vast tarief",IF(LEFT(F180,8)="Bijdrage",VLOOKUP($F180,Tb_KostenTypen[],MATCH(Lijsten!$P$1,Tb_KostenTypen[#Headers],0),0),VLOOKUP($G180,Lijsten!L:P,MATCH(Lijsten!$P$1,Kop_Tarief_Vast,0),0))),""),"")</f>
        <v/>
      </c>
      <c r="Q180" s="359"/>
      <c r="R180" s="359"/>
      <c r="S180" s="321"/>
      <c r="T180" s="321"/>
      <c r="U180" s="373" t="str">
        <f t="shared" si="8"/>
        <v/>
      </c>
      <c r="V180" s="314" t="str">
        <f t="shared" si="9"/>
        <v/>
      </c>
      <c r="W180" s="314" t="str" cm="1">
        <f t="array" aca="1" ref="W180" ca="1">IFERROR(IF(AE180&lt;&gt;"ja",_xlfn.IFNA(_xlfn.IFS(AND(O180&lt;&gt;"",F180&lt;&gt;"",RIGHT($N180,6)="tarief",F180="Vergoeding"),SUM(O180)*FLOOR(SUM(Q180),0.0001),AND(O180&lt;&gt;"",F180&lt;&gt;"",RIGHT($N180,6)="tarief"),SUM(O180)*FLOOR(SUM(Q180),0.01),S180&gt;0,IF(F180&lt;&gt;"",FLOOR(SUM(S180),0.01),"")),""),""),"")</f>
        <v/>
      </c>
      <c r="X180" s="314" t="str" cm="1">
        <f t="array" aca="1" ref="X180" ca="1">IFERROR(IF(AE180&lt;&gt;"ja",_xlfn.IFNA(_xlfn.IFS(AND(P180&lt;&gt;"",R180&lt;&gt;"",RIGHT($N180,6)="tarief",F180="Vergoeding"),SUM(P180)*FLOOR(SUM(R180),0.0001),AND(P180&lt;&gt;"",R180&lt;&gt;"",RIGHT($N180,6)="tarief"),P180*FLOOR(R180,0.01),T180&gt;0,FLOOR(SUM(T180),0.01)),""),""),"")</f>
        <v/>
      </c>
      <c r="Y180" s="314" t="str">
        <f t="shared" ca="1" si="10"/>
        <v/>
      </c>
      <c r="Z180" s="314" t="str" cm="1">
        <f t="array" aca="1" ref="Z180" ca="1">IFERROR(_xlfn.IFS(OR(F180="",LEFT(Methode_Keuze,4)="Geen",Methode_Keuze=""),"",AND(W180&lt;&gt;"",F180&lt;&gt;"Arbeidskosten"),W180*VLOOKUP(F180,Tb_ProjectKosten[],MATCH(Tb_ProjectKosten[[#Headers],[Forfait_Percentage]],Tb_ProjectKosten[#Headers],0),0),AND(F180="Arbeidskosten",G180&lt;&gt;""),IFERROR(W180*VLOOKUP(G180,Tb_KostenTypen[],3,0)*VLOOKUP(F180,Tb_ProjectKosten[],MATCH(Tb_ProjectKosten[[#Headers],[Forfait_Percentage]],Tb_ProjectKosten[#Headers],0),0),""),W180 &lt;=0,0),"")</f>
        <v/>
      </c>
      <c r="AA180" s="314" t="str" cm="1">
        <f t="array" aca="1" ref="AA180" ca="1">IFERROR(_xlfn.IFS(OR(F180="",LEFT(Methode_Keuze,4)="Geen",Methode_Keuze=""),"",AND(X180&lt;&gt;"",F180&lt;&gt;"Arbeidskosten"),X180*VLOOKUP(F180,Tb_ProjectKosten[],MATCH(Tb_ProjectKosten[[#Headers],[Forfait_Percentage]],Tb_ProjectKosten[#Headers],0),0),AND(F180="Arbeidskosten",G180&lt;&gt;""),IFERROR(X180*VLOOKUP(G180,Tb_KostenTypen[],3,0)*VLOOKUP(F180,Tb_ProjectKosten[],MATCH(Tb_ProjectKosten[[#Headers],[Forfait_Percentage]],Tb_ProjectKosten[#Headers],0),0),""),X180 &lt;=0,0),"")</f>
        <v/>
      </c>
      <c r="AB180" s="314" t="str">
        <f t="shared" ca="1" si="11"/>
        <v/>
      </c>
      <c r="AC180" s="322"/>
      <c r="AD180" s="315"/>
      <c r="AE180" s="32" t="str" cm="1">
        <f t="array" ref="AE180">IFERROR(IF(INDEX(SubsidieTabel!$AD$1:$AG$12,MATCH($F180,SubsidieTabel!$AD$1:$AD$12,0),IFERROR(MATCH(Methode_Keuze,SubsidieTabel!$AD$1:$AG$1,0),2))&lt;&gt;1=TRUE,"ja",""),"")</f>
        <v/>
      </c>
    </row>
    <row r="181" spans="1:31" x14ac:dyDescent="0.25">
      <c r="A181" s="316"/>
      <c r="B181" s="317" t="str">
        <f>IF(A181&lt;&gt;"",_xlfn.MAXIFS($B$1:B180,$A$1:A180,A181)+1,"")</f>
        <v/>
      </c>
      <c r="C181" s="296"/>
      <c r="D181" s="296"/>
      <c r="E181" s="296"/>
      <c r="F181" s="296"/>
      <c r="G181" s="326"/>
      <c r="H181" s="324"/>
      <c r="I181" s="325"/>
      <c r="J181" s="325"/>
      <c r="K181" s="318"/>
      <c r="L181" s="318"/>
      <c r="M181" s="319" t="str">
        <f>IFERROR(VLOOKUP(H181,Lijsten!$H$1:$I$100,2,0),"")</f>
        <v/>
      </c>
      <c r="N181" s="319" t="str">
        <f ca="1">IFERROR(IF(VLOOKUP(F181,Kostentypen!$A$3:$E$21,3,0)=0,"",IF(OR(F181="Arbeidskosten",F181="Vergoeding"),VLOOKUP(G181,Tb_KostenTypen[],2,0),VLOOKUP(F181,Kostentypen!$A$3:$E$20,3,0))),"")</f>
        <v/>
      </c>
      <c r="O181" s="320" t="str" cm="1">
        <f t="array" ref="O181">_xlfn.IFNA(IF(INDEX(Tb_KostenOptiesDB[],MATCH($F181,Tb_KostenOptiesDB[KostenOptie],0),IFERROR(MATCH(Methode_Keuze,Tb_KostenOptiesDB[#Headers],0),2))=1,_xlfn.SWITCH($N181,"Uurtarief",IF(OR(AND(RIGHT($F181,3)="IKS",VLOOKUP($M181,DB_Loonkosten,2,0)="Ja"),AND(RIGHT($F181,3)&lt;&gt;"IKS",VLOOKUP($M181,DB_Loonkosten,2,0)="Nee")),IFERROR(VLOOKUP($M181,DB_Loonkosten,24,0),""),0),"Vast tarief",IF(LEFT(F181,8)="Bijdrage",VLOOKUP($F181,Tb_KostenTypen[],MATCH(Lijsten!$P$1,Tb_KostenTypen[#Headers],0),0),VLOOKUP($G181,Lijsten!L:P,MATCH(Lijsten!$P$1,Kop_Tarief_Vast,0),0))),""),"")</f>
        <v/>
      </c>
      <c r="P181" s="320" t="str" cm="1">
        <f t="array" ref="P181">_xlfn.IFNA(IF(INDEX(Tb_KostenOptiesDB[],MATCH($F181,Tb_KostenOptiesDB[KostenOptie],0),IFERROR(MATCH(Methode_Keuze,Tb_KostenOptiesDB[#Headers],0),2))=1,_xlfn.SWITCH($N181,"Uurtarief",IF(OR(AND(RIGHT($F181,3)="IKS",VLOOKUP($M181,DB_Loonkosten,2,0)="Ja"),AND(RIGHT($F181,3)&lt;&gt;"IKS",VLOOKUP($M181,DB_Loonkosten,2,0)="Nee")),IFERROR(VLOOKUP($M181,DB_Loonkosten,25,0),""),0),"Vast tarief",IF(LEFT(F181,8)="Bijdrage",VLOOKUP($F181,Tb_KostenTypen[],MATCH(Lijsten!$P$1,Tb_KostenTypen[#Headers],0),0),VLOOKUP($G181,Lijsten!L:P,MATCH(Lijsten!$P$1,Kop_Tarief_Vast,0),0))),""),"")</f>
        <v/>
      </c>
      <c r="Q181" s="359"/>
      <c r="R181" s="359"/>
      <c r="S181" s="321"/>
      <c r="T181" s="321"/>
      <c r="U181" s="373" t="str">
        <f t="shared" si="8"/>
        <v/>
      </c>
      <c r="V181" s="314" t="str">
        <f t="shared" si="9"/>
        <v/>
      </c>
      <c r="W181" s="314" t="str" cm="1">
        <f t="array" aca="1" ref="W181" ca="1">IFERROR(IF(AE181&lt;&gt;"ja",_xlfn.IFNA(_xlfn.IFS(AND(O181&lt;&gt;"",F181&lt;&gt;"",RIGHT($N181,6)="tarief",F181="Vergoeding"),SUM(O181)*FLOOR(SUM(Q181),0.0001),AND(O181&lt;&gt;"",F181&lt;&gt;"",RIGHT($N181,6)="tarief"),SUM(O181)*FLOOR(SUM(Q181),0.01),S181&gt;0,IF(F181&lt;&gt;"",FLOOR(SUM(S181),0.01),"")),""),""),"")</f>
        <v/>
      </c>
      <c r="X181" s="314" t="str" cm="1">
        <f t="array" aca="1" ref="X181" ca="1">IFERROR(IF(AE181&lt;&gt;"ja",_xlfn.IFNA(_xlfn.IFS(AND(P181&lt;&gt;"",R181&lt;&gt;"",RIGHT($N181,6)="tarief",F181="Vergoeding"),SUM(P181)*FLOOR(SUM(R181),0.0001),AND(P181&lt;&gt;"",R181&lt;&gt;"",RIGHT($N181,6)="tarief"),P181*FLOOR(R181,0.01),T181&gt;0,FLOOR(SUM(T181),0.01)),""),""),"")</f>
        <v/>
      </c>
      <c r="Y181" s="314" t="str">
        <f t="shared" ca="1" si="10"/>
        <v/>
      </c>
      <c r="Z181" s="314" t="str" cm="1">
        <f t="array" aca="1" ref="Z181" ca="1">IFERROR(_xlfn.IFS(OR(F181="",LEFT(Methode_Keuze,4)="Geen",Methode_Keuze=""),"",AND(W181&lt;&gt;"",F181&lt;&gt;"Arbeidskosten"),W181*VLOOKUP(F181,Tb_ProjectKosten[],MATCH(Tb_ProjectKosten[[#Headers],[Forfait_Percentage]],Tb_ProjectKosten[#Headers],0),0),AND(F181="Arbeidskosten",G181&lt;&gt;""),IFERROR(W181*VLOOKUP(G181,Tb_KostenTypen[],3,0)*VLOOKUP(F181,Tb_ProjectKosten[],MATCH(Tb_ProjectKosten[[#Headers],[Forfait_Percentage]],Tb_ProjectKosten[#Headers],0),0),""),W181 &lt;=0,0),"")</f>
        <v/>
      </c>
      <c r="AA181" s="314" t="str" cm="1">
        <f t="array" aca="1" ref="AA181" ca="1">IFERROR(_xlfn.IFS(OR(F181="",LEFT(Methode_Keuze,4)="Geen",Methode_Keuze=""),"",AND(X181&lt;&gt;"",F181&lt;&gt;"Arbeidskosten"),X181*VLOOKUP(F181,Tb_ProjectKosten[],MATCH(Tb_ProjectKosten[[#Headers],[Forfait_Percentage]],Tb_ProjectKosten[#Headers],0),0),AND(F181="Arbeidskosten",G181&lt;&gt;""),IFERROR(X181*VLOOKUP(G181,Tb_KostenTypen[],3,0)*VLOOKUP(F181,Tb_ProjectKosten[],MATCH(Tb_ProjectKosten[[#Headers],[Forfait_Percentage]],Tb_ProjectKosten[#Headers],0),0),""),X181 &lt;=0,0),"")</f>
        <v/>
      </c>
      <c r="AB181" s="314" t="str">
        <f t="shared" ca="1" si="11"/>
        <v/>
      </c>
      <c r="AC181" s="322"/>
      <c r="AD181" s="315"/>
      <c r="AE181" s="32" t="str" cm="1">
        <f t="array" ref="AE181">IFERROR(IF(INDEX(SubsidieTabel!$AD$1:$AG$12,MATCH($F181,SubsidieTabel!$AD$1:$AD$12,0),IFERROR(MATCH(Methode_Keuze,SubsidieTabel!$AD$1:$AG$1,0),2))&lt;&gt;1=TRUE,"ja",""),"")</f>
        <v/>
      </c>
    </row>
    <row r="182" spans="1:31" x14ac:dyDescent="0.25">
      <c r="A182" s="316"/>
      <c r="B182" s="317" t="str">
        <f>IF(A182&lt;&gt;"",_xlfn.MAXIFS($B$1:B181,$A$1:A181,A182)+1,"")</f>
        <v/>
      </c>
      <c r="C182" s="296"/>
      <c r="D182" s="296"/>
      <c r="E182" s="296"/>
      <c r="F182" s="296"/>
      <c r="G182" s="326"/>
      <c r="H182" s="324"/>
      <c r="I182" s="325"/>
      <c r="J182" s="325"/>
      <c r="K182" s="318"/>
      <c r="L182" s="318"/>
      <c r="M182" s="319" t="str">
        <f>IFERROR(VLOOKUP(H182,Lijsten!$H$1:$I$100,2,0),"")</f>
        <v/>
      </c>
      <c r="N182" s="319" t="str">
        <f ca="1">IFERROR(IF(VLOOKUP(F182,Kostentypen!$A$3:$E$21,3,0)=0,"",IF(OR(F182="Arbeidskosten",F182="Vergoeding"),VLOOKUP(G182,Tb_KostenTypen[],2,0),VLOOKUP(F182,Kostentypen!$A$3:$E$20,3,0))),"")</f>
        <v/>
      </c>
      <c r="O182" s="320" t="str" cm="1">
        <f t="array" ref="O182">_xlfn.IFNA(IF(INDEX(Tb_KostenOptiesDB[],MATCH($F182,Tb_KostenOptiesDB[KostenOptie],0),IFERROR(MATCH(Methode_Keuze,Tb_KostenOptiesDB[#Headers],0),2))=1,_xlfn.SWITCH($N182,"Uurtarief",IF(OR(AND(RIGHT($F182,3)="IKS",VLOOKUP($M182,DB_Loonkosten,2,0)="Ja"),AND(RIGHT($F182,3)&lt;&gt;"IKS",VLOOKUP($M182,DB_Loonkosten,2,0)="Nee")),IFERROR(VLOOKUP($M182,DB_Loonkosten,24,0),""),0),"Vast tarief",IF(LEFT(F182,8)="Bijdrage",VLOOKUP($F182,Tb_KostenTypen[],MATCH(Lijsten!$P$1,Tb_KostenTypen[#Headers],0),0),VLOOKUP($G182,Lijsten!L:P,MATCH(Lijsten!$P$1,Kop_Tarief_Vast,0),0))),""),"")</f>
        <v/>
      </c>
      <c r="P182" s="320" t="str" cm="1">
        <f t="array" ref="P182">_xlfn.IFNA(IF(INDEX(Tb_KostenOptiesDB[],MATCH($F182,Tb_KostenOptiesDB[KostenOptie],0),IFERROR(MATCH(Methode_Keuze,Tb_KostenOptiesDB[#Headers],0),2))=1,_xlfn.SWITCH($N182,"Uurtarief",IF(OR(AND(RIGHT($F182,3)="IKS",VLOOKUP($M182,DB_Loonkosten,2,0)="Ja"),AND(RIGHT($F182,3)&lt;&gt;"IKS",VLOOKUP($M182,DB_Loonkosten,2,0)="Nee")),IFERROR(VLOOKUP($M182,DB_Loonkosten,25,0),""),0),"Vast tarief",IF(LEFT(F182,8)="Bijdrage",VLOOKUP($F182,Tb_KostenTypen[],MATCH(Lijsten!$P$1,Tb_KostenTypen[#Headers],0),0),VLOOKUP($G182,Lijsten!L:P,MATCH(Lijsten!$P$1,Kop_Tarief_Vast,0),0))),""),"")</f>
        <v/>
      </c>
      <c r="Q182" s="359"/>
      <c r="R182" s="359"/>
      <c r="S182" s="321"/>
      <c r="T182" s="321"/>
      <c r="U182" s="373" t="str">
        <f t="shared" si="8"/>
        <v/>
      </c>
      <c r="V182" s="314" t="str">
        <f t="shared" si="9"/>
        <v/>
      </c>
      <c r="W182" s="314" t="str" cm="1">
        <f t="array" aca="1" ref="W182" ca="1">IFERROR(IF(AE182&lt;&gt;"ja",_xlfn.IFNA(_xlfn.IFS(AND(O182&lt;&gt;"",F182&lt;&gt;"",RIGHT($N182,6)="tarief",F182="Vergoeding"),SUM(O182)*FLOOR(SUM(Q182),0.0001),AND(O182&lt;&gt;"",F182&lt;&gt;"",RIGHT($N182,6)="tarief"),SUM(O182)*FLOOR(SUM(Q182),0.01),S182&gt;0,IF(F182&lt;&gt;"",FLOOR(SUM(S182),0.01),"")),""),""),"")</f>
        <v/>
      </c>
      <c r="X182" s="314" t="str" cm="1">
        <f t="array" aca="1" ref="X182" ca="1">IFERROR(IF(AE182&lt;&gt;"ja",_xlfn.IFNA(_xlfn.IFS(AND(P182&lt;&gt;"",R182&lt;&gt;"",RIGHT($N182,6)="tarief",F182="Vergoeding"),SUM(P182)*FLOOR(SUM(R182),0.0001),AND(P182&lt;&gt;"",R182&lt;&gt;"",RIGHT($N182,6)="tarief"),P182*FLOOR(R182,0.01),T182&gt;0,FLOOR(SUM(T182),0.01)),""),""),"")</f>
        <v/>
      </c>
      <c r="Y182" s="314" t="str">
        <f t="shared" ca="1" si="10"/>
        <v/>
      </c>
      <c r="Z182" s="314" t="str" cm="1">
        <f t="array" aca="1" ref="Z182" ca="1">IFERROR(_xlfn.IFS(OR(F182="",LEFT(Methode_Keuze,4)="Geen",Methode_Keuze=""),"",AND(W182&lt;&gt;"",F182&lt;&gt;"Arbeidskosten"),W182*VLOOKUP(F182,Tb_ProjectKosten[],MATCH(Tb_ProjectKosten[[#Headers],[Forfait_Percentage]],Tb_ProjectKosten[#Headers],0),0),AND(F182="Arbeidskosten",G182&lt;&gt;""),IFERROR(W182*VLOOKUP(G182,Tb_KostenTypen[],3,0)*VLOOKUP(F182,Tb_ProjectKosten[],MATCH(Tb_ProjectKosten[[#Headers],[Forfait_Percentage]],Tb_ProjectKosten[#Headers],0),0),""),W182 &lt;=0,0),"")</f>
        <v/>
      </c>
      <c r="AA182" s="314" t="str" cm="1">
        <f t="array" aca="1" ref="AA182" ca="1">IFERROR(_xlfn.IFS(OR(F182="",LEFT(Methode_Keuze,4)="Geen",Methode_Keuze=""),"",AND(X182&lt;&gt;"",F182&lt;&gt;"Arbeidskosten"),X182*VLOOKUP(F182,Tb_ProjectKosten[],MATCH(Tb_ProjectKosten[[#Headers],[Forfait_Percentage]],Tb_ProjectKosten[#Headers],0),0),AND(F182="Arbeidskosten",G182&lt;&gt;""),IFERROR(X182*VLOOKUP(G182,Tb_KostenTypen[],3,0)*VLOOKUP(F182,Tb_ProjectKosten[],MATCH(Tb_ProjectKosten[[#Headers],[Forfait_Percentage]],Tb_ProjectKosten[#Headers],0),0),""),X182 &lt;=0,0),"")</f>
        <v/>
      </c>
      <c r="AB182" s="314" t="str">
        <f t="shared" ca="1" si="11"/>
        <v/>
      </c>
      <c r="AC182" s="322"/>
      <c r="AD182" s="315"/>
      <c r="AE182" s="32" t="str" cm="1">
        <f t="array" ref="AE182">IFERROR(IF(INDEX(SubsidieTabel!$AD$1:$AG$12,MATCH($F182,SubsidieTabel!$AD$1:$AD$12,0),IFERROR(MATCH(Methode_Keuze,SubsidieTabel!$AD$1:$AG$1,0),2))&lt;&gt;1=TRUE,"ja",""),"")</f>
        <v/>
      </c>
    </row>
    <row r="183" spans="1:31" x14ac:dyDescent="0.25">
      <c r="A183" s="316"/>
      <c r="B183" s="317" t="str">
        <f>IF(A183&lt;&gt;"",_xlfn.MAXIFS($B$1:B182,$A$1:A182,A183)+1,"")</f>
        <v/>
      </c>
      <c r="C183" s="296"/>
      <c r="D183" s="296"/>
      <c r="E183" s="296"/>
      <c r="F183" s="296"/>
      <c r="G183" s="326"/>
      <c r="H183" s="324"/>
      <c r="I183" s="325"/>
      <c r="J183" s="325"/>
      <c r="K183" s="318"/>
      <c r="L183" s="318"/>
      <c r="M183" s="319" t="str">
        <f>IFERROR(VLOOKUP(H183,Lijsten!$H$1:$I$100,2,0),"")</f>
        <v/>
      </c>
      <c r="N183" s="319" t="str">
        <f ca="1">IFERROR(IF(VLOOKUP(F183,Kostentypen!$A$3:$E$21,3,0)=0,"",IF(OR(F183="Arbeidskosten",F183="Vergoeding"),VLOOKUP(G183,Tb_KostenTypen[],2,0),VLOOKUP(F183,Kostentypen!$A$3:$E$20,3,0))),"")</f>
        <v/>
      </c>
      <c r="O183" s="320" t="str" cm="1">
        <f t="array" ref="O183">_xlfn.IFNA(IF(INDEX(Tb_KostenOptiesDB[],MATCH($F183,Tb_KostenOptiesDB[KostenOptie],0),IFERROR(MATCH(Methode_Keuze,Tb_KostenOptiesDB[#Headers],0),2))=1,_xlfn.SWITCH($N183,"Uurtarief",IF(OR(AND(RIGHT($F183,3)="IKS",VLOOKUP($M183,DB_Loonkosten,2,0)="Ja"),AND(RIGHT($F183,3)&lt;&gt;"IKS",VLOOKUP($M183,DB_Loonkosten,2,0)="Nee")),IFERROR(VLOOKUP($M183,DB_Loonkosten,24,0),""),0),"Vast tarief",IF(LEFT(F183,8)="Bijdrage",VLOOKUP($F183,Tb_KostenTypen[],MATCH(Lijsten!$P$1,Tb_KostenTypen[#Headers],0),0),VLOOKUP($G183,Lijsten!L:P,MATCH(Lijsten!$P$1,Kop_Tarief_Vast,0),0))),""),"")</f>
        <v/>
      </c>
      <c r="P183" s="320" t="str" cm="1">
        <f t="array" ref="P183">_xlfn.IFNA(IF(INDEX(Tb_KostenOptiesDB[],MATCH($F183,Tb_KostenOptiesDB[KostenOptie],0),IFERROR(MATCH(Methode_Keuze,Tb_KostenOptiesDB[#Headers],0),2))=1,_xlfn.SWITCH($N183,"Uurtarief",IF(OR(AND(RIGHT($F183,3)="IKS",VLOOKUP($M183,DB_Loonkosten,2,0)="Ja"),AND(RIGHT($F183,3)&lt;&gt;"IKS",VLOOKUP($M183,DB_Loonkosten,2,0)="Nee")),IFERROR(VLOOKUP($M183,DB_Loonkosten,25,0),""),0),"Vast tarief",IF(LEFT(F183,8)="Bijdrage",VLOOKUP($F183,Tb_KostenTypen[],MATCH(Lijsten!$P$1,Tb_KostenTypen[#Headers],0),0),VLOOKUP($G183,Lijsten!L:P,MATCH(Lijsten!$P$1,Kop_Tarief_Vast,0),0))),""),"")</f>
        <v/>
      </c>
      <c r="Q183" s="359"/>
      <c r="R183" s="359"/>
      <c r="S183" s="321"/>
      <c r="T183" s="321"/>
      <c r="U183" s="373" t="str">
        <f t="shared" si="8"/>
        <v/>
      </c>
      <c r="V183" s="314" t="str">
        <f t="shared" si="9"/>
        <v/>
      </c>
      <c r="W183" s="314" t="str" cm="1">
        <f t="array" aca="1" ref="W183" ca="1">IFERROR(IF(AE183&lt;&gt;"ja",_xlfn.IFNA(_xlfn.IFS(AND(O183&lt;&gt;"",F183&lt;&gt;"",RIGHT($N183,6)="tarief",F183="Vergoeding"),SUM(O183)*FLOOR(SUM(Q183),0.0001),AND(O183&lt;&gt;"",F183&lt;&gt;"",RIGHT($N183,6)="tarief"),SUM(O183)*FLOOR(SUM(Q183),0.01),S183&gt;0,IF(F183&lt;&gt;"",FLOOR(SUM(S183),0.01),"")),""),""),"")</f>
        <v/>
      </c>
      <c r="X183" s="314" t="str" cm="1">
        <f t="array" aca="1" ref="X183" ca="1">IFERROR(IF(AE183&lt;&gt;"ja",_xlfn.IFNA(_xlfn.IFS(AND(P183&lt;&gt;"",R183&lt;&gt;"",RIGHT($N183,6)="tarief",F183="Vergoeding"),SUM(P183)*FLOOR(SUM(R183),0.0001),AND(P183&lt;&gt;"",R183&lt;&gt;"",RIGHT($N183,6)="tarief"),P183*FLOOR(R183,0.01),T183&gt;0,FLOOR(SUM(T183),0.01)),""),""),"")</f>
        <v/>
      </c>
      <c r="Y183" s="314" t="str">
        <f t="shared" ca="1" si="10"/>
        <v/>
      </c>
      <c r="Z183" s="314" t="str" cm="1">
        <f t="array" aca="1" ref="Z183" ca="1">IFERROR(_xlfn.IFS(OR(F183="",LEFT(Methode_Keuze,4)="Geen",Methode_Keuze=""),"",AND(W183&lt;&gt;"",F183&lt;&gt;"Arbeidskosten"),W183*VLOOKUP(F183,Tb_ProjectKosten[],MATCH(Tb_ProjectKosten[[#Headers],[Forfait_Percentage]],Tb_ProjectKosten[#Headers],0),0),AND(F183="Arbeidskosten",G183&lt;&gt;""),IFERROR(W183*VLOOKUP(G183,Tb_KostenTypen[],3,0)*VLOOKUP(F183,Tb_ProjectKosten[],MATCH(Tb_ProjectKosten[[#Headers],[Forfait_Percentage]],Tb_ProjectKosten[#Headers],0),0),""),W183 &lt;=0,0),"")</f>
        <v/>
      </c>
      <c r="AA183" s="314" t="str" cm="1">
        <f t="array" aca="1" ref="AA183" ca="1">IFERROR(_xlfn.IFS(OR(F183="",LEFT(Methode_Keuze,4)="Geen",Methode_Keuze=""),"",AND(X183&lt;&gt;"",F183&lt;&gt;"Arbeidskosten"),X183*VLOOKUP(F183,Tb_ProjectKosten[],MATCH(Tb_ProjectKosten[[#Headers],[Forfait_Percentage]],Tb_ProjectKosten[#Headers],0),0),AND(F183="Arbeidskosten",G183&lt;&gt;""),IFERROR(X183*VLOOKUP(G183,Tb_KostenTypen[],3,0)*VLOOKUP(F183,Tb_ProjectKosten[],MATCH(Tb_ProjectKosten[[#Headers],[Forfait_Percentage]],Tb_ProjectKosten[#Headers],0),0),""),X183 &lt;=0,0),"")</f>
        <v/>
      </c>
      <c r="AB183" s="314" t="str">
        <f t="shared" ca="1" si="11"/>
        <v/>
      </c>
      <c r="AC183" s="322"/>
      <c r="AD183" s="315"/>
      <c r="AE183" s="32" t="str" cm="1">
        <f t="array" ref="AE183">IFERROR(IF(INDEX(SubsidieTabel!$AD$1:$AG$12,MATCH($F183,SubsidieTabel!$AD$1:$AD$12,0),IFERROR(MATCH(Methode_Keuze,SubsidieTabel!$AD$1:$AG$1,0),2))&lt;&gt;1=TRUE,"ja",""),"")</f>
        <v/>
      </c>
    </row>
    <row r="184" spans="1:31" x14ac:dyDescent="0.25">
      <c r="A184" s="316"/>
      <c r="B184" s="317" t="str">
        <f>IF(A184&lt;&gt;"",_xlfn.MAXIFS($B$1:B183,$A$1:A183,A184)+1,"")</f>
        <v/>
      </c>
      <c r="C184" s="296"/>
      <c r="D184" s="296"/>
      <c r="E184" s="296"/>
      <c r="F184" s="296"/>
      <c r="G184" s="326"/>
      <c r="H184" s="324"/>
      <c r="I184" s="325"/>
      <c r="J184" s="325"/>
      <c r="K184" s="318"/>
      <c r="L184" s="318"/>
      <c r="M184" s="319" t="str">
        <f>IFERROR(VLOOKUP(H184,Lijsten!$H$1:$I$100,2,0),"")</f>
        <v/>
      </c>
      <c r="N184" s="319" t="str">
        <f ca="1">IFERROR(IF(VLOOKUP(F184,Kostentypen!$A$3:$E$21,3,0)=0,"",IF(OR(F184="Arbeidskosten",F184="Vergoeding"),VLOOKUP(G184,Tb_KostenTypen[],2,0),VLOOKUP(F184,Kostentypen!$A$3:$E$20,3,0))),"")</f>
        <v/>
      </c>
      <c r="O184" s="320" t="str" cm="1">
        <f t="array" ref="O184">_xlfn.IFNA(IF(INDEX(Tb_KostenOptiesDB[],MATCH($F184,Tb_KostenOptiesDB[KostenOptie],0),IFERROR(MATCH(Methode_Keuze,Tb_KostenOptiesDB[#Headers],0),2))=1,_xlfn.SWITCH($N184,"Uurtarief",IF(OR(AND(RIGHT($F184,3)="IKS",VLOOKUP($M184,DB_Loonkosten,2,0)="Ja"),AND(RIGHT($F184,3)&lt;&gt;"IKS",VLOOKUP($M184,DB_Loonkosten,2,0)="Nee")),IFERROR(VLOOKUP($M184,DB_Loonkosten,24,0),""),0),"Vast tarief",IF(LEFT(F184,8)="Bijdrage",VLOOKUP($F184,Tb_KostenTypen[],MATCH(Lijsten!$P$1,Tb_KostenTypen[#Headers],0),0),VLOOKUP($G184,Lijsten!L:P,MATCH(Lijsten!$P$1,Kop_Tarief_Vast,0),0))),""),"")</f>
        <v/>
      </c>
      <c r="P184" s="320" t="str" cm="1">
        <f t="array" ref="P184">_xlfn.IFNA(IF(INDEX(Tb_KostenOptiesDB[],MATCH($F184,Tb_KostenOptiesDB[KostenOptie],0),IFERROR(MATCH(Methode_Keuze,Tb_KostenOptiesDB[#Headers],0),2))=1,_xlfn.SWITCH($N184,"Uurtarief",IF(OR(AND(RIGHT($F184,3)="IKS",VLOOKUP($M184,DB_Loonkosten,2,0)="Ja"),AND(RIGHT($F184,3)&lt;&gt;"IKS",VLOOKUP($M184,DB_Loonkosten,2,0)="Nee")),IFERROR(VLOOKUP($M184,DB_Loonkosten,25,0),""),0),"Vast tarief",IF(LEFT(F184,8)="Bijdrage",VLOOKUP($F184,Tb_KostenTypen[],MATCH(Lijsten!$P$1,Tb_KostenTypen[#Headers],0),0),VLOOKUP($G184,Lijsten!L:P,MATCH(Lijsten!$P$1,Kop_Tarief_Vast,0),0))),""),"")</f>
        <v/>
      </c>
      <c r="Q184" s="359"/>
      <c r="R184" s="359"/>
      <c r="S184" s="321"/>
      <c r="T184" s="321"/>
      <c r="U184" s="373" t="str">
        <f t="shared" si="8"/>
        <v/>
      </c>
      <c r="V184" s="314" t="str">
        <f t="shared" si="9"/>
        <v/>
      </c>
      <c r="W184" s="314" t="str" cm="1">
        <f t="array" aca="1" ref="W184" ca="1">IFERROR(IF(AE184&lt;&gt;"ja",_xlfn.IFNA(_xlfn.IFS(AND(O184&lt;&gt;"",F184&lt;&gt;"",RIGHT($N184,6)="tarief",F184="Vergoeding"),SUM(O184)*FLOOR(SUM(Q184),0.0001),AND(O184&lt;&gt;"",F184&lt;&gt;"",RIGHT($N184,6)="tarief"),SUM(O184)*FLOOR(SUM(Q184),0.01),S184&gt;0,IF(F184&lt;&gt;"",FLOOR(SUM(S184),0.01),"")),""),""),"")</f>
        <v/>
      </c>
      <c r="X184" s="314" t="str" cm="1">
        <f t="array" aca="1" ref="X184" ca="1">IFERROR(IF(AE184&lt;&gt;"ja",_xlfn.IFNA(_xlfn.IFS(AND(P184&lt;&gt;"",R184&lt;&gt;"",RIGHT($N184,6)="tarief",F184="Vergoeding"),SUM(P184)*FLOOR(SUM(R184),0.0001),AND(P184&lt;&gt;"",R184&lt;&gt;"",RIGHT($N184,6)="tarief"),P184*FLOOR(R184,0.01),T184&gt;0,FLOOR(SUM(T184),0.01)),""),""),"")</f>
        <v/>
      </c>
      <c r="Y184" s="314" t="str">
        <f t="shared" ca="1" si="10"/>
        <v/>
      </c>
      <c r="Z184" s="314" t="str" cm="1">
        <f t="array" aca="1" ref="Z184" ca="1">IFERROR(_xlfn.IFS(OR(F184="",LEFT(Methode_Keuze,4)="Geen",Methode_Keuze=""),"",AND(W184&lt;&gt;"",F184&lt;&gt;"Arbeidskosten"),W184*VLOOKUP(F184,Tb_ProjectKosten[],MATCH(Tb_ProjectKosten[[#Headers],[Forfait_Percentage]],Tb_ProjectKosten[#Headers],0),0),AND(F184="Arbeidskosten",G184&lt;&gt;""),IFERROR(W184*VLOOKUP(G184,Tb_KostenTypen[],3,0)*VLOOKUP(F184,Tb_ProjectKosten[],MATCH(Tb_ProjectKosten[[#Headers],[Forfait_Percentage]],Tb_ProjectKosten[#Headers],0),0),""),W184 &lt;=0,0),"")</f>
        <v/>
      </c>
      <c r="AA184" s="314" t="str" cm="1">
        <f t="array" aca="1" ref="AA184" ca="1">IFERROR(_xlfn.IFS(OR(F184="",LEFT(Methode_Keuze,4)="Geen",Methode_Keuze=""),"",AND(X184&lt;&gt;"",F184&lt;&gt;"Arbeidskosten"),X184*VLOOKUP(F184,Tb_ProjectKosten[],MATCH(Tb_ProjectKosten[[#Headers],[Forfait_Percentage]],Tb_ProjectKosten[#Headers],0),0),AND(F184="Arbeidskosten",G184&lt;&gt;""),IFERROR(X184*VLOOKUP(G184,Tb_KostenTypen[],3,0)*VLOOKUP(F184,Tb_ProjectKosten[],MATCH(Tb_ProjectKosten[[#Headers],[Forfait_Percentage]],Tb_ProjectKosten[#Headers],0),0),""),X184 &lt;=0,0),"")</f>
        <v/>
      </c>
      <c r="AB184" s="314" t="str">
        <f t="shared" ca="1" si="11"/>
        <v/>
      </c>
      <c r="AC184" s="322"/>
      <c r="AD184" s="315"/>
      <c r="AE184" s="32" t="str" cm="1">
        <f t="array" ref="AE184">IFERROR(IF(INDEX(SubsidieTabel!$AD$1:$AG$12,MATCH($F184,SubsidieTabel!$AD$1:$AD$12,0),IFERROR(MATCH(Methode_Keuze,SubsidieTabel!$AD$1:$AG$1,0),2))&lt;&gt;1=TRUE,"ja",""),"")</f>
        <v/>
      </c>
    </row>
    <row r="185" spans="1:31" x14ac:dyDescent="0.25">
      <c r="A185" s="316"/>
      <c r="B185" s="317" t="str">
        <f>IF(A185&lt;&gt;"",_xlfn.MAXIFS($B$1:B184,$A$1:A184,A185)+1,"")</f>
        <v/>
      </c>
      <c r="C185" s="296"/>
      <c r="D185" s="296"/>
      <c r="E185" s="296"/>
      <c r="F185" s="296"/>
      <c r="G185" s="326"/>
      <c r="H185" s="324"/>
      <c r="I185" s="325"/>
      <c r="J185" s="325"/>
      <c r="K185" s="318"/>
      <c r="L185" s="318"/>
      <c r="M185" s="319" t="str">
        <f>IFERROR(VLOOKUP(H185,Lijsten!$H$1:$I$100,2,0),"")</f>
        <v/>
      </c>
      <c r="N185" s="319" t="str">
        <f ca="1">IFERROR(IF(VLOOKUP(F185,Kostentypen!$A$3:$E$21,3,0)=0,"",IF(OR(F185="Arbeidskosten",F185="Vergoeding"),VLOOKUP(G185,Tb_KostenTypen[],2,0),VLOOKUP(F185,Kostentypen!$A$3:$E$20,3,0))),"")</f>
        <v/>
      </c>
      <c r="O185" s="320" t="str" cm="1">
        <f t="array" ref="O185">_xlfn.IFNA(IF(INDEX(Tb_KostenOptiesDB[],MATCH($F185,Tb_KostenOptiesDB[KostenOptie],0),IFERROR(MATCH(Methode_Keuze,Tb_KostenOptiesDB[#Headers],0),2))=1,_xlfn.SWITCH($N185,"Uurtarief",IF(OR(AND(RIGHT($F185,3)="IKS",VLOOKUP($M185,DB_Loonkosten,2,0)="Ja"),AND(RIGHT($F185,3)&lt;&gt;"IKS",VLOOKUP($M185,DB_Loonkosten,2,0)="Nee")),IFERROR(VLOOKUP($M185,DB_Loonkosten,24,0),""),0),"Vast tarief",IF(LEFT(F185,8)="Bijdrage",VLOOKUP($F185,Tb_KostenTypen[],MATCH(Lijsten!$P$1,Tb_KostenTypen[#Headers],0),0),VLOOKUP($G185,Lijsten!L:P,MATCH(Lijsten!$P$1,Kop_Tarief_Vast,0),0))),""),"")</f>
        <v/>
      </c>
      <c r="P185" s="320" t="str" cm="1">
        <f t="array" ref="P185">_xlfn.IFNA(IF(INDEX(Tb_KostenOptiesDB[],MATCH($F185,Tb_KostenOptiesDB[KostenOptie],0),IFERROR(MATCH(Methode_Keuze,Tb_KostenOptiesDB[#Headers],0),2))=1,_xlfn.SWITCH($N185,"Uurtarief",IF(OR(AND(RIGHT($F185,3)="IKS",VLOOKUP($M185,DB_Loonkosten,2,0)="Ja"),AND(RIGHT($F185,3)&lt;&gt;"IKS",VLOOKUP($M185,DB_Loonkosten,2,0)="Nee")),IFERROR(VLOOKUP($M185,DB_Loonkosten,25,0),""),0),"Vast tarief",IF(LEFT(F185,8)="Bijdrage",VLOOKUP($F185,Tb_KostenTypen[],MATCH(Lijsten!$P$1,Tb_KostenTypen[#Headers],0),0),VLOOKUP($G185,Lijsten!L:P,MATCH(Lijsten!$P$1,Kop_Tarief_Vast,0),0))),""),"")</f>
        <v/>
      </c>
      <c r="Q185" s="359"/>
      <c r="R185" s="359"/>
      <c r="S185" s="321"/>
      <c r="T185" s="321"/>
      <c r="U185" s="373" t="str">
        <f t="shared" si="8"/>
        <v/>
      </c>
      <c r="V185" s="314" t="str">
        <f t="shared" si="9"/>
        <v/>
      </c>
      <c r="W185" s="314" t="str" cm="1">
        <f t="array" aca="1" ref="W185" ca="1">IFERROR(IF(AE185&lt;&gt;"ja",_xlfn.IFNA(_xlfn.IFS(AND(O185&lt;&gt;"",F185&lt;&gt;"",RIGHT($N185,6)="tarief",F185="Vergoeding"),SUM(O185)*FLOOR(SUM(Q185),0.0001),AND(O185&lt;&gt;"",F185&lt;&gt;"",RIGHT($N185,6)="tarief"),SUM(O185)*FLOOR(SUM(Q185),0.01),S185&gt;0,IF(F185&lt;&gt;"",FLOOR(SUM(S185),0.01),"")),""),""),"")</f>
        <v/>
      </c>
      <c r="X185" s="314" t="str" cm="1">
        <f t="array" aca="1" ref="X185" ca="1">IFERROR(IF(AE185&lt;&gt;"ja",_xlfn.IFNA(_xlfn.IFS(AND(P185&lt;&gt;"",R185&lt;&gt;"",RIGHT($N185,6)="tarief",F185="Vergoeding"),SUM(P185)*FLOOR(SUM(R185),0.0001),AND(P185&lt;&gt;"",R185&lt;&gt;"",RIGHT($N185,6)="tarief"),P185*FLOOR(R185,0.01),T185&gt;0,FLOOR(SUM(T185),0.01)),""),""),"")</f>
        <v/>
      </c>
      <c r="Y185" s="314" t="str">
        <f t="shared" ca="1" si="10"/>
        <v/>
      </c>
      <c r="Z185" s="314" t="str" cm="1">
        <f t="array" aca="1" ref="Z185" ca="1">IFERROR(_xlfn.IFS(OR(F185="",LEFT(Methode_Keuze,4)="Geen",Methode_Keuze=""),"",AND(W185&lt;&gt;"",F185&lt;&gt;"Arbeidskosten"),W185*VLOOKUP(F185,Tb_ProjectKosten[],MATCH(Tb_ProjectKosten[[#Headers],[Forfait_Percentage]],Tb_ProjectKosten[#Headers],0),0),AND(F185="Arbeidskosten",G185&lt;&gt;""),IFERROR(W185*VLOOKUP(G185,Tb_KostenTypen[],3,0)*VLOOKUP(F185,Tb_ProjectKosten[],MATCH(Tb_ProjectKosten[[#Headers],[Forfait_Percentage]],Tb_ProjectKosten[#Headers],0),0),""),W185 &lt;=0,0),"")</f>
        <v/>
      </c>
      <c r="AA185" s="314" t="str" cm="1">
        <f t="array" aca="1" ref="AA185" ca="1">IFERROR(_xlfn.IFS(OR(F185="",LEFT(Methode_Keuze,4)="Geen",Methode_Keuze=""),"",AND(X185&lt;&gt;"",F185&lt;&gt;"Arbeidskosten"),X185*VLOOKUP(F185,Tb_ProjectKosten[],MATCH(Tb_ProjectKosten[[#Headers],[Forfait_Percentage]],Tb_ProjectKosten[#Headers],0),0),AND(F185="Arbeidskosten",G185&lt;&gt;""),IFERROR(X185*VLOOKUP(G185,Tb_KostenTypen[],3,0)*VLOOKUP(F185,Tb_ProjectKosten[],MATCH(Tb_ProjectKosten[[#Headers],[Forfait_Percentage]],Tb_ProjectKosten[#Headers],0),0),""),X185 &lt;=0,0),"")</f>
        <v/>
      </c>
      <c r="AB185" s="314" t="str">
        <f t="shared" ca="1" si="11"/>
        <v/>
      </c>
      <c r="AC185" s="322"/>
      <c r="AD185" s="315"/>
      <c r="AE185" s="32" t="str" cm="1">
        <f t="array" ref="AE185">IFERROR(IF(INDEX(SubsidieTabel!$AD$1:$AG$12,MATCH($F185,SubsidieTabel!$AD$1:$AD$12,0),IFERROR(MATCH(Methode_Keuze,SubsidieTabel!$AD$1:$AG$1,0),2))&lt;&gt;1=TRUE,"ja",""),"")</f>
        <v/>
      </c>
    </row>
    <row r="186" spans="1:31" x14ac:dyDescent="0.25">
      <c r="A186" s="316"/>
      <c r="B186" s="317" t="str">
        <f>IF(A186&lt;&gt;"",_xlfn.MAXIFS($B$1:B185,$A$1:A185,A186)+1,"")</f>
        <v/>
      </c>
      <c r="C186" s="296"/>
      <c r="D186" s="296"/>
      <c r="E186" s="296"/>
      <c r="F186" s="296"/>
      <c r="G186" s="326"/>
      <c r="H186" s="324"/>
      <c r="I186" s="325"/>
      <c r="J186" s="325"/>
      <c r="K186" s="318"/>
      <c r="L186" s="318"/>
      <c r="M186" s="319" t="str">
        <f>IFERROR(VLOOKUP(H186,Lijsten!$H$1:$I$100,2,0),"")</f>
        <v/>
      </c>
      <c r="N186" s="319" t="str">
        <f ca="1">IFERROR(IF(VLOOKUP(F186,Kostentypen!$A$3:$E$21,3,0)=0,"",IF(OR(F186="Arbeidskosten",F186="Vergoeding"),VLOOKUP(G186,Tb_KostenTypen[],2,0),VLOOKUP(F186,Kostentypen!$A$3:$E$20,3,0))),"")</f>
        <v/>
      </c>
      <c r="O186" s="320" t="str" cm="1">
        <f t="array" ref="O186">_xlfn.IFNA(IF(INDEX(Tb_KostenOptiesDB[],MATCH($F186,Tb_KostenOptiesDB[KostenOptie],0),IFERROR(MATCH(Methode_Keuze,Tb_KostenOptiesDB[#Headers],0),2))=1,_xlfn.SWITCH($N186,"Uurtarief",IF(OR(AND(RIGHT($F186,3)="IKS",VLOOKUP($M186,DB_Loonkosten,2,0)="Ja"),AND(RIGHT($F186,3)&lt;&gt;"IKS",VLOOKUP($M186,DB_Loonkosten,2,0)="Nee")),IFERROR(VLOOKUP($M186,DB_Loonkosten,24,0),""),0),"Vast tarief",IF(LEFT(F186,8)="Bijdrage",VLOOKUP($F186,Tb_KostenTypen[],MATCH(Lijsten!$P$1,Tb_KostenTypen[#Headers],0),0),VLOOKUP($G186,Lijsten!L:P,MATCH(Lijsten!$P$1,Kop_Tarief_Vast,0),0))),""),"")</f>
        <v/>
      </c>
      <c r="P186" s="320" t="str" cm="1">
        <f t="array" ref="P186">_xlfn.IFNA(IF(INDEX(Tb_KostenOptiesDB[],MATCH($F186,Tb_KostenOptiesDB[KostenOptie],0),IFERROR(MATCH(Methode_Keuze,Tb_KostenOptiesDB[#Headers],0),2))=1,_xlfn.SWITCH($N186,"Uurtarief",IF(OR(AND(RIGHT($F186,3)="IKS",VLOOKUP($M186,DB_Loonkosten,2,0)="Ja"),AND(RIGHT($F186,3)&lt;&gt;"IKS",VLOOKUP($M186,DB_Loonkosten,2,0)="Nee")),IFERROR(VLOOKUP($M186,DB_Loonkosten,25,0),""),0),"Vast tarief",IF(LEFT(F186,8)="Bijdrage",VLOOKUP($F186,Tb_KostenTypen[],MATCH(Lijsten!$P$1,Tb_KostenTypen[#Headers],0),0),VLOOKUP($G186,Lijsten!L:P,MATCH(Lijsten!$P$1,Kop_Tarief_Vast,0),0))),""),"")</f>
        <v/>
      </c>
      <c r="Q186" s="359"/>
      <c r="R186" s="359"/>
      <c r="S186" s="321"/>
      <c r="T186" s="321"/>
      <c r="U186" s="373" t="str">
        <f t="shared" si="8"/>
        <v/>
      </c>
      <c r="V186" s="314" t="str">
        <f t="shared" si="9"/>
        <v/>
      </c>
      <c r="W186" s="314" t="str" cm="1">
        <f t="array" aca="1" ref="W186" ca="1">IFERROR(IF(AE186&lt;&gt;"ja",_xlfn.IFNA(_xlfn.IFS(AND(O186&lt;&gt;"",F186&lt;&gt;"",RIGHT($N186,6)="tarief",F186="Vergoeding"),SUM(O186)*FLOOR(SUM(Q186),0.0001),AND(O186&lt;&gt;"",F186&lt;&gt;"",RIGHT($N186,6)="tarief"),SUM(O186)*FLOOR(SUM(Q186),0.01),S186&gt;0,IF(F186&lt;&gt;"",FLOOR(SUM(S186),0.01),"")),""),""),"")</f>
        <v/>
      </c>
      <c r="X186" s="314" t="str" cm="1">
        <f t="array" aca="1" ref="X186" ca="1">IFERROR(IF(AE186&lt;&gt;"ja",_xlfn.IFNA(_xlfn.IFS(AND(P186&lt;&gt;"",R186&lt;&gt;"",RIGHT($N186,6)="tarief",F186="Vergoeding"),SUM(P186)*FLOOR(SUM(R186),0.0001),AND(P186&lt;&gt;"",R186&lt;&gt;"",RIGHT($N186,6)="tarief"),P186*FLOOR(R186,0.01),T186&gt;0,FLOOR(SUM(T186),0.01)),""),""),"")</f>
        <v/>
      </c>
      <c r="Y186" s="314" t="str">
        <f t="shared" ca="1" si="10"/>
        <v/>
      </c>
      <c r="Z186" s="314" t="str" cm="1">
        <f t="array" aca="1" ref="Z186" ca="1">IFERROR(_xlfn.IFS(OR(F186="",LEFT(Methode_Keuze,4)="Geen",Methode_Keuze=""),"",AND(W186&lt;&gt;"",F186&lt;&gt;"Arbeidskosten"),W186*VLOOKUP(F186,Tb_ProjectKosten[],MATCH(Tb_ProjectKosten[[#Headers],[Forfait_Percentage]],Tb_ProjectKosten[#Headers],0),0),AND(F186="Arbeidskosten",G186&lt;&gt;""),IFERROR(W186*VLOOKUP(G186,Tb_KostenTypen[],3,0)*VLOOKUP(F186,Tb_ProjectKosten[],MATCH(Tb_ProjectKosten[[#Headers],[Forfait_Percentage]],Tb_ProjectKosten[#Headers],0),0),""),W186 &lt;=0,0),"")</f>
        <v/>
      </c>
      <c r="AA186" s="314" t="str" cm="1">
        <f t="array" aca="1" ref="AA186" ca="1">IFERROR(_xlfn.IFS(OR(F186="",LEFT(Methode_Keuze,4)="Geen",Methode_Keuze=""),"",AND(X186&lt;&gt;"",F186&lt;&gt;"Arbeidskosten"),X186*VLOOKUP(F186,Tb_ProjectKosten[],MATCH(Tb_ProjectKosten[[#Headers],[Forfait_Percentage]],Tb_ProjectKosten[#Headers],0),0),AND(F186="Arbeidskosten",G186&lt;&gt;""),IFERROR(X186*VLOOKUP(G186,Tb_KostenTypen[],3,0)*VLOOKUP(F186,Tb_ProjectKosten[],MATCH(Tb_ProjectKosten[[#Headers],[Forfait_Percentage]],Tb_ProjectKosten[#Headers],0),0),""),X186 &lt;=0,0),"")</f>
        <v/>
      </c>
      <c r="AB186" s="314" t="str">
        <f t="shared" ca="1" si="11"/>
        <v/>
      </c>
      <c r="AC186" s="322"/>
      <c r="AD186" s="315"/>
      <c r="AE186" s="32" t="str" cm="1">
        <f t="array" ref="AE186">IFERROR(IF(INDEX(SubsidieTabel!$AD$1:$AG$12,MATCH($F186,SubsidieTabel!$AD$1:$AD$12,0),IFERROR(MATCH(Methode_Keuze,SubsidieTabel!$AD$1:$AG$1,0),2))&lt;&gt;1=TRUE,"ja",""),"")</f>
        <v/>
      </c>
    </row>
    <row r="187" spans="1:31" x14ac:dyDescent="0.25">
      <c r="A187" s="316"/>
      <c r="B187" s="317" t="str">
        <f>IF(A187&lt;&gt;"",_xlfn.MAXIFS($B$1:B186,$A$1:A186,A187)+1,"")</f>
        <v/>
      </c>
      <c r="C187" s="296"/>
      <c r="D187" s="296"/>
      <c r="E187" s="296"/>
      <c r="F187" s="296"/>
      <c r="G187" s="326"/>
      <c r="H187" s="324"/>
      <c r="I187" s="325"/>
      <c r="J187" s="325"/>
      <c r="K187" s="318"/>
      <c r="L187" s="318"/>
      <c r="M187" s="319" t="str">
        <f>IFERROR(VLOOKUP(H187,Lijsten!$H$1:$I$100,2,0),"")</f>
        <v/>
      </c>
      <c r="N187" s="319" t="str">
        <f ca="1">IFERROR(IF(VLOOKUP(F187,Kostentypen!$A$3:$E$21,3,0)=0,"",IF(OR(F187="Arbeidskosten",F187="Vergoeding"),VLOOKUP(G187,Tb_KostenTypen[],2,0),VLOOKUP(F187,Kostentypen!$A$3:$E$20,3,0))),"")</f>
        <v/>
      </c>
      <c r="O187" s="320" t="str" cm="1">
        <f t="array" ref="O187">_xlfn.IFNA(IF(INDEX(Tb_KostenOptiesDB[],MATCH($F187,Tb_KostenOptiesDB[KostenOptie],0),IFERROR(MATCH(Methode_Keuze,Tb_KostenOptiesDB[#Headers],0),2))=1,_xlfn.SWITCH($N187,"Uurtarief",IF(OR(AND(RIGHT($F187,3)="IKS",VLOOKUP($M187,DB_Loonkosten,2,0)="Ja"),AND(RIGHT($F187,3)&lt;&gt;"IKS",VLOOKUP($M187,DB_Loonkosten,2,0)="Nee")),IFERROR(VLOOKUP($M187,DB_Loonkosten,24,0),""),0),"Vast tarief",IF(LEFT(F187,8)="Bijdrage",VLOOKUP($F187,Tb_KostenTypen[],MATCH(Lijsten!$P$1,Tb_KostenTypen[#Headers],0),0),VLOOKUP($G187,Lijsten!L:P,MATCH(Lijsten!$P$1,Kop_Tarief_Vast,0),0))),""),"")</f>
        <v/>
      </c>
      <c r="P187" s="320" t="str" cm="1">
        <f t="array" ref="P187">_xlfn.IFNA(IF(INDEX(Tb_KostenOptiesDB[],MATCH($F187,Tb_KostenOptiesDB[KostenOptie],0),IFERROR(MATCH(Methode_Keuze,Tb_KostenOptiesDB[#Headers],0),2))=1,_xlfn.SWITCH($N187,"Uurtarief",IF(OR(AND(RIGHT($F187,3)="IKS",VLOOKUP($M187,DB_Loonkosten,2,0)="Ja"),AND(RIGHT($F187,3)&lt;&gt;"IKS",VLOOKUP($M187,DB_Loonkosten,2,0)="Nee")),IFERROR(VLOOKUP($M187,DB_Loonkosten,25,0),""),0),"Vast tarief",IF(LEFT(F187,8)="Bijdrage",VLOOKUP($F187,Tb_KostenTypen[],MATCH(Lijsten!$P$1,Tb_KostenTypen[#Headers],0),0),VLOOKUP($G187,Lijsten!L:P,MATCH(Lijsten!$P$1,Kop_Tarief_Vast,0),0))),""),"")</f>
        <v/>
      </c>
      <c r="Q187" s="359"/>
      <c r="R187" s="359"/>
      <c r="S187" s="321"/>
      <c r="T187" s="321"/>
      <c r="U187" s="373" t="str">
        <f t="shared" si="8"/>
        <v/>
      </c>
      <c r="V187" s="314" t="str">
        <f t="shared" si="9"/>
        <v/>
      </c>
      <c r="W187" s="314" t="str" cm="1">
        <f t="array" aca="1" ref="W187" ca="1">IFERROR(IF(AE187&lt;&gt;"ja",_xlfn.IFNA(_xlfn.IFS(AND(O187&lt;&gt;"",F187&lt;&gt;"",RIGHT($N187,6)="tarief",F187="Vergoeding"),SUM(O187)*FLOOR(SUM(Q187),0.0001),AND(O187&lt;&gt;"",F187&lt;&gt;"",RIGHT($N187,6)="tarief"),SUM(O187)*FLOOR(SUM(Q187),0.01),S187&gt;0,IF(F187&lt;&gt;"",FLOOR(SUM(S187),0.01),"")),""),""),"")</f>
        <v/>
      </c>
      <c r="X187" s="314" t="str" cm="1">
        <f t="array" aca="1" ref="X187" ca="1">IFERROR(IF(AE187&lt;&gt;"ja",_xlfn.IFNA(_xlfn.IFS(AND(P187&lt;&gt;"",R187&lt;&gt;"",RIGHT($N187,6)="tarief",F187="Vergoeding"),SUM(P187)*FLOOR(SUM(R187),0.0001),AND(P187&lt;&gt;"",R187&lt;&gt;"",RIGHT($N187,6)="tarief"),P187*FLOOR(R187,0.01),T187&gt;0,FLOOR(SUM(T187),0.01)),""),""),"")</f>
        <v/>
      </c>
      <c r="Y187" s="314" t="str">
        <f t="shared" ca="1" si="10"/>
        <v/>
      </c>
      <c r="Z187" s="314" t="str" cm="1">
        <f t="array" aca="1" ref="Z187" ca="1">IFERROR(_xlfn.IFS(OR(F187="",LEFT(Methode_Keuze,4)="Geen",Methode_Keuze=""),"",AND(W187&lt;&gt;"",F187&lt;&gt;"Arbeidskosten"),W187*VLOOKUP(F187,Tb_ProjectKosten[],MATCH(Tb_ProjectKosten[[#Headers],[Forfait_Percentage]],Tb_ProjectKosten[#Headers],0),0),AND(F187="Arbeidskosten",G187&lt;&gt;""),IFERROR(W187*VLOOKUP(G187,Tb_KostenTypen[],3,0)*VLOOKUP(F187,Tb_ProjectKosten[],MATCH(Tb_ProjectKosten[[#Headers],[Forfait_Percentage]],Tb_ProjectKosten[#Headers],0),0),""),W187 &lt;=0,0),"")</f>
        <v/>
      </c>
      <c r="AA187" s="314" t="str" cm="1">
        <f t="array" aca="1" ref="AA187" ca="1">IFERROR(_xlfn.IFS(OR(F187="",LEFT(Methode_Keuze,4)="Geen",Methode_Keuze=""),"",AND(X187&lt;&gt;"",F187&lt;&gt;"Arbeidskosten"),X187*VLOOKUP(F187,Tb_ProjectKosten[],MATCH(Tb_ProjectKosten[[#Headers],[Forfait_Percentage]],Tb_ProjectKosten[#Headers],0),0),AND(F187="Arbeidskosten",G187&lt;&gt;""),IFERROR(X187*VLOOKUP(G187,Tb_KostenTypen[],3,0)*VLOOKUP(F187,Tb_ProjectKosten[],MATCH(Tb_ProjectKosten[[#Headers],[Forfait_Percentage]],Tb_ProjectKosten[#Headers],0),0),""),X187 &lt;=0,0),"")</f>
        <v/>
      </c>
      <c r="AB187" s="314" t="str">
        <f t="shared" ca="1" si="11"/>
        <v/>
      </c>
      <c r="AC187" s="322"/>
      <c r="AD187" s="315"/>
      <c r="AE187" s="32" t="str" cm="1">
        <f t="array" ref="AE187">IFERROR(IF(INDEX(SubsidieTabel!$AD$1:$AG$12,MATCH($F187,SubsidieTabel!$AD$1:$AD$12,0),IFERROR(MATCH(Methode_Keuze,SubsidieTabel!$AD$1:$AG$1,0),2))&lt;&gt;1=TRUE,"ja",""),"")</f>
        <v/>
      </c>
    </row>
    <row r="188" spans="1:31" x14ac:dyDescent="0.25">
      <c r="A188" s="316"/>
      <c r="B188" s="317" t="str">
        <f>IF(A188&lt;&gt;"",_xlfn.MAXIFS($B$1:B187,$A$1:A187,A188)+1,"")</f>
        <v/>
      </c>
      <c r="C188" s="296"/>
      <c r="D188" s="296"/>
      <c r="E188" s="296"/>
      <c r="F188" s="296"/>
      <c r="G188" s="326"/>
      <c r="H188" s="324"/>
      <c r="I188" s="325"/>
      <c r="J188" s="325"/>
      <c r="K188" s="318"/>
      <c r="L188" s="318"/>
      <c r="M188" s="319" t="str">
        <f>IFERROR(VLOOKUP(H188,Lijsten!$H$1:$I$100,2,0),"")</f>
        <v/>
      </c>
      <c r="N188" s="319" t="str">
        <f ca="1">IFERROR(IF(VLOOKUP(F188,Kostentypen!$A$3:$E$21,3,0)=0,"",IF(OR(F188="Arbeidskosten",F188="Vergoeding"),VLOOKUP(G188,Tb_KostenTypen[],2,0),VLOOKUP(F188,Kostentypen!$A$3:$E$20,3,0))),"")</f>
        <v/>
      </c>
      <c r="O188" s="320" t="str" cm="1">
        <f t="array" ref="O188">_xlfn.IFNA(IF(INDEX(Tb_KostenOptiesDB[],MATCH($F188,Tb_KostenOptiesDB[KostenOptie],0),IFERROR(MATCH(Methode_Keuze,Tb_KostenOptiesDB[#Headers],0),2))=1,_xlfn.SWITCH($N188,"Uurtarief",IF(OR(AND(RIGHT($F188,3)="IKS",VLOOKUP($M188,DB_Loonkosten,2,0)="Ja"),AND(RIGHT($F188,3)&lt;&gt;"IKS",VLOOKUP($M188,DB_Loonkosten,2,0)="Nee")),IFERROR(VLOOKUP($M188,DB_Loonkosten,24,0),""),0),"Vast tarief",IF(LEFT(F188,8)="Bijdrage",VLOOKUP($F188,Tb_KostenTypen[],MATCH(Lijsten!$P$1,Tb_KostenTypen[#Headers],0),0),VLOOKUP($G188,Lijsten!L:P,MATCH(Lijsten!$P$1,Kop_Tarief_Vast,0),0))),""),"")</f>
        <v/>
      </c>
      <c r="P188" s="320" t="str" cm="1">
        <f t="array" ref="P188">_xlfn.IFNA(IF(INDEX(Tb_KostenOptiesDB[],MATCH($F188,Tb_KostenOptiesDB[KostenOptie],0),IFERROR(MATCH(Methode_Keuze,Tb_KostenOptiesDB[#Headers],0),2))=1,_xlfn.SWITCH($N188,"Uurtarief",IF(OR(AND(RIGHT($F188,3)="IKS",VLOOKUP($M188,DB_Loonkosten,2,0)="Ja"),AND(RIGHT($F188,3)&lt;&gt;"IKS",VLOOKUP($M188,DB_Loonkosten,2,0)="Nee")),IFERROR(VLOOKUP($M188,DB_Loonkosten,25,0),""),0),"Vast tarief",IF(LEFT(F188,8)="Bijdrage",VLOOKUP($F188,Tb_KostenTypen[],MATCH(Lijsten!$P$1,Tb_KostenTypen[#Headers],0),0),VLOOKUP($G188,Lijsten!L:P,MATCH(Lijsten!$P$1,Kop_Tarief_Vast,0),0))),""),"")</f>
        <v/>
      </c>
      <c r="Q188" s="359"/>
      <c r="R188" s="359"/>
      <c r="S188" s="321"/>
      <c r="T188" s="321"/>
      <c r="U188" s="373" t="str">
        <f t="shared" si="8"/>
        <v/>
      </c>
      <c r="V188" s="314" t="str">
        <f t="shared" si="9"/>
        <v/>
      </c>
      <c r="W188" s="314" t="str" cm="1">
        <f t="array" aca="1" ref="W188" ca="1">IFERROR(IF(AE188&lt;&gt;"ja",_xlfn.IFNA(_xlfn.IFS(AND(O188&lt;&gt;"",F188&lt;&gt;"",RIGHT($N188,6)="tarief",F188="Vergoeding"),SUM(O188)*FLOOR(SUM(Q188),0.0001),AND(O188&lt;&gt;"",F188&lt;&gt;"",RIGHT($N188,6)="tarief"),SUM(O188)*FLOOR(SUM(Q188),0.01),S188&gt;0,IF(F188&lt;&gt;"",FLOOR(SUM(S188),0.01),"")),""),""),"")</f>
        <v/>
      </c>
      <c r="X188" s="314" t="str" cm="1">
        <f t="array" aca="1" ref="X188" ca="1">IFERROR(IF(AE188&lt;&gt;"ja",_xlfn.IFNA(_xlfn.IFS(AND(P188&lt;&gt;"",R188&lt;&gt;"",RIGHT($N188,6)="tarief",F188="Vergoeding"),SUM(P188)*FLOOR(SUM(R188),0.0001),AND(P188&lt;&gt;"",R188&lt;&gt;"",RIGHT($N188,6)="tarief"),P188*FLOOR(R188,0.01),T188&gt;0,FLOOR(SUM(T188),0.01)),""),""),"")</f>
        <v/>
      </c>
      <c r="Y188" s="314" t="str">
        <f t="shared" ca="1" si="10"/>
        <v/>
      </c>
      <c r="Z188" s="314" t="str" cm="1">
        <f t="array" aca="1" ref="Z188" ca="1">IFERROR(_xlfn.IFS(OR(F188="",LEFT(Methode_Keuze,4)="Geen",Methode_Keuze=""),"",AND(W188&lt;&gt;"",F188&lt;&gt;"Arbeidskosten"),W188*VLOOKUP(F188,Tb_ProjectKosten[],MATCH(Tb_ProjectKosten[[#Headers],[Forfait_Percentage]],Tb_ProjectKosten[#Headers],0),0),AND(F188="Arbeidskosten",G188&lt;&gt;""),IFERROR(W188*VLOOKUP(G188,Tb_KostenTypen[],3,0)*VLOOKUP(F188,Tb_ProjectKosten[],MATCH(Tb_ProjectKosten[[#Headers],[Forfait_Percentage]],Tb_ProjectKosten[#Headers],0),0),""),W188 &lt;=0,0),"")</f>
        <v/>
      </c>
      <c r="AA188" s="314" t="str" cm="1">
        <f t="array" aca="1" ref="AA188" ca="1">IFERROR(_xlfn.IFS(OR(F188="",LEFT(Methode_Keuze,4)="Geen",Methode_Keuze=""),"",AND(X188&lt;&gt;"",F188&lt;&gt;"Arbeidskosten"),X188*VLOOKUP(F188,Tb_ProjectKosten[],MATCH(Tb_ProjectKosten[[#Headers],[Forfait_Percentage]],Tb_ProjectKosten[#Headers],0),0),AND(F188="Arbeidskosten",G188&lt;&gt;""),IFERROR(X188*VLOOKUP(G188,Tb_KostenTypen[],3,0)*VLOOKUP(F188,Tb_ProjectKosten[],MATCH(Tb_ProjectKosten[[#Headers],[Forfait_Percentage]],Tb_ProjectKosten[#Headers],0),0),""),X188 &lt;=0,0),"")</f>
        <v/>
      </c>
      <c r="AB188" s="314" t="str">
        <f t="shared" ca="1" si="11"/>
        <v/>
      </c>
      <c r="AC188" s="322"/>
      <c r="AD188" s="315"/>
      <c r="AE188" s="32" t="str" cm="1">
        <f t="array" ref="AE188">IFERROR(IF(INDEX(SubsidieTabel!$AD$1:$AG$12,MATCH($F188,SubsidieTabel!$AD$1:$AD$12,0),IFERROR(MATCH(Methode_Keuze,SubsidieTabel!$AD$1:$AG$1,0),2))&lt;&gt;1=TRUE,"ja",""),"")</f>
        <v/>
      </c>
    </row>
    <row r="189" spans="1:31" x14ac:dyDescent="0.25">
      <c r="A189" s="316"/>
      <c r="B189" s="317" t="str">
        <f>IF(A189&lt;&gt;"",_xlfn.MAXIFS($B$1:B188,$A$1:A188,A189)+1,"")</f>
        <v/>
      </c>
      <c r="C189" s="296"/>
      <c r="D189" s="296"/>
      <c r="E189" s="296"/>
      <c r="F189" s="296"/>
      <c r="G189" s="326"/>
      <c r="H189" s="324"/>
      <c r="I189" s="325"/>
      <c r="J189" s="325"/>
      <c r="K189" s="318"/>
      <c r="L189" s="318"/>
      <c r="M189" s="319" t="str">
        <f>IFERROR(VLOOKUP(H189,Lijsten!$H$1:$I$100,2,0),"")</f>
        <v/>
      </c>
      <c r="N189" s="319" t="str">
        <f ca="1">IFERROR(IF(VLOOKUP(F189,Kostentypen!$A$3:$E$21,3,0)=0,"",IF(OR(F189="Arbeidskosten",F189="Vergoeding"),VLOOKUP(G189,Tb_KostenTypen[],2,0),VLOOKUP(F189,Kostentypen!$A$3:$E$20,3,0))),"")</f>
        <v/>
      </c>
      <c r="O189" s="320" t="str" cm="1">
        <f t="array" ref="O189">_xlfn.IFNA(IF(INDEX(Tb_KostenOptiesDB[],MATCH($F189,Tb_KostenOptiesDB[KostenOptie],0),IFERROR(MATCH(Methode_Keuze,Tb_KostenOptiesDB[#Headers],0),2))=1,_xlfn.SWITCH($N189,"Uurtarief",IF(OR(AND(RIGHT($F189,3)="IKS",VLOOKUP($M189,DB_Loonkosten,2,0)="Ja"),AND(RIGHT($F189,3)&lt;&gt;"IKS",VLOOKUP($M189,DB_Loonkosten,2,0)="Nee")),IFERROR(VLOOKUP($M189,DB_Loonkosten,24,0),""),0),"Vast tarief",IF(LEFT(F189,8)="Bijdrage",VLOOKUP($F189,Tb_KostenTypen[],MATCH(Lijsten!$P$1,Tb_KostenTypen[#Headers],0),0),VLOOKUP($G189,Lijsten!L:P,MATCH(Lijsten!$P$1,Kop_Tarief_Vast,0),0))),""),"")</f>
        <v/>
      </c>
      <c r="P189" s="320" t="str" cm="1">
        <f t="array" ref="P189">_xlfn.IFNA(IF(INDEX(Tb_KostenOptiesDB[],MATCH($F189,Tb_KostenOptiesDB[KostenOptie],0),IFERROR(MATCH(Methode_Keuze,Tb_KostenOptiesDB[#Headers],0),2))=1,_xlfn.SWITCH($N189,"Uurtarief",IF(OR(AND(RIGHT($F189,3)="IKS",VLOOKUP($M189,DB_Loonkosten,2,0)="Ja"),AND(RIGHT($F189,3)&lt;&gt;"IKS",VLOOKUP($M189,DB_Loonkosten,2,0)="Nee")),IFERROR(VLOOKUP($M189,DB_Loonkosten,25,0),""),0),"Vast tarief",IF(LEFT(F189,8)="Bijdrage",VLOOKUP($F189,Tb_KostenTypen[],MATCH(Lijsten!$P$1,Tb_KostenTypen[#Headers],0),0),VLOOKUP($G189,Lijsten!L:P,MATCH(Lijsten!$P$1,Kop_Tarief_Vast,0),0))),""),"")</f>
        <v/>
      </c>
      <c r="Q189" s="359"/>
      <c r="R189" s="359"/>
      <c r="S189" s="321"/>
      <c r="T189" s="321"/>
      <c r="U189" s="373" t="str">
        <f t="shared" si="8"/>
        <v/>
      </c>
      <c r="V189" s="314" t="str">
        <f t="shared" si="9"/>
        <v/>
      </c>
      <c r="W189" s="314" t="str" cm="1">
        <f t="array" aca="1" ref="W189" ca="1">IFERROR(IF(AE189&lt;&gt;"ja",_xlfn.IFNA(_xlfn.IFS(AND(O189&lt;&gt;"",F189&lt;&gt;"",RIGHT($N189,6)="tarief",F189="Vergoeding"),SUM(O189)*FLOOR(SUM(Q189),0.0001),AND(O189&lt;&gt;"",F189&lt;&gt;"",RIGHT($N189,6)="tarief"),SUM(O189)*FLOOR(SUM(Q189),0.01),S189&gt;0,IF(F189&lt;&gt;"",FLOOR(SUM(S189),0.01),"")),""),""),"")</f>
        <v/>
      </c>
      <c r="X189" s="314" t="str" cm="1">
        <f t="array" aca="1" ref="X189" ca="1">IFERROR(IF(AE189&lt;&gt;"ja",_xlfn.IFNA(_xlfn.IFS(AND(P189&lt;&gt;"",R189&lt;&gt;"",RIGHT($N189,6)="tarief",F189="Vergoeding"),SUM(P189)*FLOOR(SUM(R189),0.0001),AND(P189&lt;&gt;"",R189&lt;&gt;"",RIGHT($N189,6)="tarief"),P189*FLOOR(R189,0.01),T189&gt;0,FLOOR(SUM(T189),0.01)),""),""),"")</f>
        <v/>
      </c>
      <c r="Y189" s="314" t="str">
        <f t="shared" ca="1" si="10"/>
        <v/>
      </c>
      <c r="Z189" s="314" t="str" cm="1">
        <f t="array" aca="1" ref="Z189" ca="1">IFERROR(_xlfn.IFS(OR(F189="",LEFT(Methode_Keuze,4)="Geen",Methode_Keuze=""),"",AND(W189&lt;&gt;"",F189&lt;&gt;"Arbeidskosten"),W189*VLOOKUP(F189,Tb_ProjectKosten[],MATCH(Tb_ProjectKosten[[#Headers],[Forfait_Percentage]],Tb_ProjectKosten[#Headers],0),0),AND(F189="Arbeidskosten",G189&lt;&gt;""),IFERROR(W189*VLOOKUP(G189,Tb_KostenTypen[],3,0)*VLOOKUP(F189,Tb_ProjectKosten[],MATCH(Tb_ProjectKosten[[#Headers],[Forfait_Percentage]],Tb_ProjectKosten[#Headers],0),0),""),W189 &lt;=0,0),"")</f>
        <v/>
      </c>
      <c r="AA189" s="314" t="str" cm="1">
        <f t="array" aca="1" ref="AA189" ca="1">IFERROR(_xlfn.IFS(OR(F189="",LEFT(Methode_Keuze,4)="Geen",Methode_Keuze=""),"",AND(X189&lt;&gt;"",F189&lt;&gt;"Arbeidskosten"),X189*VLOOKUP(F189,Tb_ProjectKosten[],MATCH(Tb_ProjectKosten[[#Headers],[Forfait_Percentage]],Tb_ProjectKosten[#Headers],0),0),AND(F189="Arbeidskosten",G189&lt;&gt;""),IFERROR(X189*VLOOKUP(G189,Tb_KostenTypen[],3,0)*VLOOKUP(F189,Tb_ProjectKosten[],MATCH(Tb_ProjectKosten[[#Headers],[Forfait_Percentage]],Tb_ProjectKosten[#Headers],0),0),""),X189 &lt;=0,0),"")</f>
        <v/>
      </c>
      <c r="AB189" s="314" t="str">
        <f t="shared" ca="1" si="11"/>
        <v/>
      </c>
      <c r="AC189" s="322"/>
      <c r="AD189" s="315"/>
      <c r="AE189" s="32" t="str" cm="1">
        <f t="array" ref="AE189">IFERROR(IF(INDEX(SubsidieTabel!$AD$1:$AG$12,MATCH($F189,SubsidieTabel!$AD$1:$AD$12,0),IFERROR(MATCH(Methode_Keuze,SubsidieTabel!$AD$1:$AG$1,0),2))&lt;&gt;1=TRUE,"ja",""),"")</f>
        <v/>
      </c>
    </row>
    <row r="190" spans="1:31" x14ac:dyDescent="0.25">
      <c r="A190" s="316"/>
      <c r="B190" s="317" t="str">
        <f>IF(A190&lt;&gt;"",_xlfn.MAXIFS($B$1:B189,$A$1:A189,A190)+1,"")</f>
        <v/>
      </c>
      <c r="C190" s="296"/>
      <c r="D190" s="296"/>
      <c r="E190" s="296"/>
      <c r="F190" s="296"/>
      <c r="G190" s="326"/>
      <c r="H190" s="324"/>
      <c r="I190" s="325"/>
      <c r="J190" s="325"/>
      <c r="K190" s="318"/>
      <c r="L190" s="318"/>
      <c r="M190" s="319" t="str">
        <f>IFERROR(VLOOKUP(H190,Lijsten!$H$1:$I$100,2,0),"")</f>
        <v/>
      </c>
      <c r="N190" s="319" t="str">
        <f ca="1">IFERROR(IF(VLOOKUP(F190,Kostentypen!$A$3:$E$21,3,0)=0,"",IF(OR(F190="Arbeidskosten",F190="Vergoeding"),VLOOKUP(G190,Tb_KostenTypen[],2,0),VLOOKUP(F190,Kostentypen!$A$3:$E$20,3,0))),"")</f>
        <v/>
      </c>
      <c r="O190" s="320" t="str" cm="1">
        <f t="array" ref="O190">_xlfn.IFNA(IF(INDEX(Tb_KostenOptiesDB[],MATCH($F190,Tb_KostenOptiesDB[KostenOptie],0),IFERROR(MATCH(Methode_Keuze,Tb_KostenOptiesDB[#Headers],0),2))=1,_xlfn.SWITCH($N190,"Uurtarief",IF(OR(AND(RIGHT($F190,3)="IKS",VLOOKUP($M190,DB_Loonkosten,2,0)="Ja"),AND(RIGHT($F190,3)&lt;&gt;"IKS",VLOOKUP($M190,DB_Loonkosten,2,0)="Nee")),IFERROR(VLOOKUP($M190,DB_Loonkosten,24,0),""),0),"Vast tarief",IF(LEFT(F190,8)="Bijdrage",VLOOKUP($F190,Tb_KostenTypen[],MATCH(Lijsten!$P$1,Tb_KostenTypen[#Headers],0),0),VLOOKUP($G190,Lijsten!L:P,MATCH(Lijsten!$P$1,Kop_Tarief_Vast,0),0))),""),"")</f>
        <v/>
      </c>
      <c r="P190" s="320" t="str" cm="1">
        <f t="array" ref="P190">_xlfn.IFNA(IF(INDEX(Tb_KostenOptiesDB[],MATCH($F190,Tb_KostenOptiesDB[KostenOptie],0),IFERROR(MATCH(Methode_Keuze,Tb_KostenOptiesDB[#Headers],0),2))=1,_xlfn.SWITCH($N190,"Uurtarief",IF(OR(AND(RIGHT($F190,3)="IKS",VLOOKUP($M190,DB_Loonkosten,2,0)="Ja"),AND(RIGHT($F190,3)&lt;&gt;"IKS",VLOOKUP($M190,DB_Loonkosten,2,0)="Nee")),IFERROR(VLOOKUP($M190,DB_Loonkosten,25,0),""),0),"Vast tarief",IF(LEFT(F190,8)="Bijdrage",VLOOKUP($F190,Tb_KostenTypen[],MATCH(Lijsten!$P$1,Tb_KostenTypen[#Headers],0),0),VLOOKUP($G190,Lijsten!L:P,MATCH(Lijsten!$P$1,Kop_Tarief_Vast,0),0))),""),"")</f>
        <v/>
      </c>
      <c r="Q190" s="359"/>
      <c r="R190" s="359"/>
      <c r="S190" s="321"/>
      <c r="T190" s="321"/>
      <c r="U190" s="373" t="str">
        <f t="shared" si="8"/>
        <v/>
      </c>
      <c r="V190" s="314" t="str">
        <f t="shared" si="9"/>
        <v/>
      </c>
      <c r="W190" s="314" t="str" cm="1">
        <f t="array" aca="1" ref="W190" ca="1">IFERROR(IF(AE190&lt;&gt;"ja",_xlfn.IFNA(_xlfn.IFS(AND(O190&lt;&gt;"",F190&lt;&gt;"",RIGHT($N190,6)="tarief",F190="Vergoeding"),SUM(O190)*FLOOR(SUM(Q190),0.0001),AND(O190&lt;&gt;"",F190&lt;&gt;"",RIGHT($N190,6)="tarief"),SUM(O190)*FLOOR(SUM(Q190),0.01),S190&gt;0,IF(F190&lt;&gt;"",FLOOR(SUM(S190),0.01),"")),""),""),"")</f>
        <v/>
      </c>
      <c r="X190" s="314" t="str" cm="1">
        <f t="array" aca="1" ref="X190" ca="1">IFERROR(IF(AE190&lt;&gt;"ja",_xlfn.IFNA(_xlfn.IFS(AND(P190&lt;&gt;"",R190&lt;&gt;"",RIGHT($N190,6)="tarief",F190="Vergoeding"),SUM(P190)*FLOOR(SUM(R190),0.0001),AND(P190&lt;&gt;"",R190&lt;&gt;"",RIGHT($N190,6)="tarief"),P190*FLOOR(R190,0.01),T190&gt;0,FLOOR(SUM(T190),0.01)),""),""),"")</f>
        <v/>
      </c>
      <c r="Y190" s="314" t="str">
        <f t="shared" ca="1" si="10"/>
        <v/>
      </c>
      <c r="Z190" s="314" t="str" cm="1">
        <f t="array" aca="1" ref="Z190" ca="1">IFERROR(_xlfn.IFS(OR(F190="",LEFT(Methode_Keuze,4)="Geen",Methode_Keuze=""),"",AND(W190&lt;&gt;"",F190&lt;&gt;"Arbeidskosten"),W190*VLOOKUP(F190,Tb_ProjectKosten[],MATCH(Tb_ProjectKosten[[#Headers],[Forfait_Percentage]],Tb_ProjectKosten[#Headers],0),0),AND(F190="Arbeidskosten",G190&lt;&gt;""),IFERROR(W190*VLOOKUP(G190,Tb_KostenTypen[],3,0)*VLOOKUP(F190,Tb_ProjectKosten[],MATCH(Tb_ProjectKosten[[#Headers],[Forfait_Percentage]],Tb_ProjectKosten[#Headers],0),0),""),W190 &lt;=0,0),"")</f>
        <v/>
      </c>
      <c r="AA190" s="314" t="str" cm="1">
        <f t="array" aca="1" ref="AA190" ca="1">IFERROR(_xlfn.IFS(OR(F190="",LEFT(Methode_Keuze,4)="Geen",Methode_Keuze=""),"",AND(X190&lt;&gt;"",F190&lt;&gt;"Arbeidskosten"),X190*VLOOKUP(F190,Tb_ProjectKosten[],MATCH(Tb_ProjectKosten[[#Headers],[Forfait_Percentage]],Tb_ProjectKosten[#Headers],0),0),AND(F190="Arbeidskosten",G190&lt;&gt;""),IFERROR(X190*VLOOKUP(G190,Tb_KostenTypen[],3,0)*VLOOKUP(F190,Tb_ProjectKosten[],MATCH(Tb_ProjectKosten[[#Headers],[Forfait_Percentage]],Tb_ProjectKosten[#Headers],0),0),""),X190 &lt;=0,0),"")</f>
        <v/>
      </c>
      <c r="AB190" s="314" t="str">
        <f t="shared" ca="1" si="11"/>
        <v/>
      </c>
      <c r="AC190" s="322"/>
      <c r="AD190" s="315"/>
      <c r="AE190" s="32" t="str" cm="1">
        <f t="array" ref="AE190">IFERROR(IF(INDEX(SubsidieTabel!$AD$1:$AG$12,MATCH($F190,SubsidieTabel!$AD$1:$AD$12,0),IFERROR(MATCH(Methode_Keuze,SubsidieTabel!$AD$1:$AG$1,0),2))&lt;&gt;1=TRUE,"ja",""),"")</f>
        <v/>
      </c>
    </row>
    <row r="191" spans="1:31" x14ac:dyDescent="0.25">
      <c r="A191" s="316"/>
      <c r="B191" s="317" t="str">
        <f>IF(A191&lt;&gt;"",_xlfn.MAXIFS($B$1:B190,$A$1:A190,A191)+1,"")</f>
        <v/>
      </c>
      <c r="C191" s="296"/>
      <c r="D191" s="296"/>
      <c r="E191" s="296"/>
      <c r="F191" s="296"/>
      <c r="G191" s="326"/>
      <c r="H191" s="324"/>
      <c r="I191" s="325"/>
      <c r="J191" s="325"/>
      <c r="K191" s="318"/>
      <c r="L191" s="318"/>
      <c r="M191" s="319" t="str">
        <f>IFERROR(VLOOKUP(H191,Lijsten!$H$1:$I$100,2,0),"")</f>
        <v/>
      </c>
      <c r="N191" s="319" t="str">
        <f ca="1">IFERROR(IF(VLOOKUP(F191,Kostentypen!$A$3:$E$21,3,0)=0,"",IF(OR(F191="Arbeidskosten",F191="Vergoeding"),VLOOKUP(G191,Tb_KostenTypen[],2,0),VLOOKUP(F191,Kostentypen!$A$3:$E$20,3,0))),"")</f>
        <v/>
      </c>
      <c r="O191" s="320" t="str" cm="1">
        <f t="array" ref="O191">_xlfn.IFNA(IF(INDEX(Tb_KostenOptiesDB[],MATCH($F191,Tb_KostenOptiesDB[KostenOptie],0),IFERROR(MATCH(Methode_Keuze,Tb_KostenOptiesDB[#Headers],0),2))=1,_xlfn.SWITCH($N191,"Uurtarief",IF(OR(AND(RIGHT($F191,3)="IKS",VLOOKUP($M191,DB_Loonkosten,2,0)="Ja"),AND(RIGHT($F191,3)&lt;&gt;"IKS",VLOOKUP($M191,DB_Loonkosten,2,0)="Nee")),IFERROR(VLOOKUP($M191,DB_Loonkosten,24,0),""),0),"Vast tarief",IF(LEFT(F191,8)="Bijdrage",VLOOKUP($F191,Tb_KostenTypen[],MATCH(Lijsten!$P$1,Tb_KostenTypen[#Headers],0),0),VLOOKUP($G191,Lijsten!L:P,MATCH(Lijsten!$P$1,Kop_Tarief_Vast,0),0))),""),"")</f>
        <v/>
      </c>
      <c r="P191" s="320" t="str" cm="1">
        <f t="array" ref="P191">_xlfn.IFNA(IF(INDEX(Tb_KostenOptiesDB[],MATCH($F191,Tb_KostenOptiesDB[KostenOptie],0),IFERROR(MATCH(Methode_Keuze,Tb_KostenOptiesDB[#Headers],0),2))=1,_xlfn.SWITCH($N191,"Uurtarief",IF(OR(AND(RIGHT($F191,3)="IKS",VLOOKUP($M191,DB_Loonkosten,2,0)="Ja"),AND(RIGHT($F191,3)&lt;&gt;"IKS",VLOOKUP($M191,DB_Loonkosten,2,0)="Nee")),IFERROR(VLOOKUP($M191,DB_Loonkosten,25,0),""),0),"Vast tarief",IF(LEFT(F191,8)="Bijdrage",VLOOKUP($F191,Tb_KostenTypen[],MATCH(Lijsten!$P$1,Tb_KostenTypen[#Headers],0),0),VLOOKUP($G191,Lijsten!L:P,MATCH(Lijsten!$P$1,Kop_Tarief_Vast,0),0))),""),"")</f>
        <v/>
      </c>
      <c r="Q191" s="359"/>
      <c r="R191" s="359"/>
      <c r="S191" s="321"/>
      <c r="T191" s="321"/>
      <c r="U191" s="373" t="str">
        <f t="shared" si="8"/>
        <v/>
      </c>
      <c r="V191" s="314" t="str">
        <f t="shared" si="9"/>
        <v/>
      </c>
      <c r="W191" s="314" t="str" cm="1">
        <f t="array" aca="1" ref="W191" ca="1">IFERROR(IF(AE191&lt;&gt;"ja",_xlfn.IFNA(_xlfn.IFS(AND(O191&lt;&gt;"",F191&lt;&gt;"",RIGHT($N191,6)="tarief",F191="Vergoeding"),SUM(O191)*FLOOR(SUM(Q191),0.0001),AND(O191&lt;&gt;"",F191&lt;&gt;"",RIGHT($N191,6)="tarief"),SUM(O191)*FLOOR(SUM(Q191),0.01),S191&gt;0,IF(F191&lt;&gt;"",FLOOR(SUM(S191),0.01),"")),""),""),"")</f>
        <v/>
      </c>
      <c r="X191" s="314" t="str" cm="1">
        <f t="array" aca="1" ref="X191" ca="1">IFERROR(IF(AE191&lt;&gt;"ja",_xlfn.IFNA(_xlfn.IFS(AND(P191&lt;&gt;"",R191&lt;&gt;"",RIGHT($N191,6)="tarief",F191="Vergoeding"),SUM(P191)*FLOOR(SUM(R191),0.0001),AND(P191&lt;&gt;"",R191&lt;&gt;"",RIGHT($N191,6)="tarief"),P191*FLOOR(R191,0.01),T191&gt;0,FLOOR(SUM(T191),0.01)),""),""),"")</f>
        <v/>
      </c>
      <c r="Y191" s="314" t="str">
        <f t="shared" ca="1" si="10"/>
        <v/>
      </c>
      <c r="Z191" s="314" t="str" cm="1">
        <f t="array" aca="1" ref="Z191" ca="1">IFERROR(_xlfn.IFS(OR(F191="",LEFT(Methode_Keuze,4)="Geen",Methode_Keuze=""),"",AND(W191&lt;&gt;"",F191&lt;&gt;"Arbeidskosten"),W191*VLOOKUP(F191,Tb_ProjectKosten[],MATCH(Tb_ProjectKosten[[#Headers],[Forfait_Percentage]],Tb_ProjectKosten[#Headers],0),0),AND(F191="Arbeidskosten",G191&lt;&gt;""),IFERROR(W191*VLOOKUP(G191,Tb_KostenTypen[],3,0)*VLOOKUP(F191,Tb_ProjectKosten[],MATCH(Tb_ProjectKosten[[#Headers],[Forfait_Percentage]],Tb_ProjectKosten[#Headers],0),0),""),W191 &lt;=0,0),"")</f>
        <v/>
      </c>
      <c r="AA191" s="314" t="str" cm="1">
        <f t="array" aca="1" ref="AA191" ca="1">IFERROR(_xlfn.IFS(OR(F191="",LEFT(Methode_Keuze,4)="Geen",Methode_Keuze=""),"",AND(X191&lt;&gt;"",F191&lt;&gt;"Arbeidskosten"),X191*VLOOKUP(F191,Tb_ProjectKosten[],MATCH(Tb_ProjectKosten[[#Headers],[Forfait_Percentage]],Tb_ProjectKosten[#Headers],0),0),AND(F191="Arbeidskosten",G191&lt;&gt;""),IFERROR(X191*VLOOKUP(G191,Tb_KostenTypen[],3,0)*VLOOKUP(F191,Tb_ProjectKosten[],MATCH(Tb_ProjectKosten[[#Headers],[Forfait_Percentage]],Tb_ProjectKosten[#Headers],0),0),""),X191 &lt;=0,0),"")</f>
        <v/>
      </c>
      <c r="AB191" s="314" t="str">
        <f t="shared" ca="1" si="11"/>
        <v/>
      </c>
      <c r="AC191" s="322"/>
      <c r="AD191" s="315"/>
      <c r="AE191" s="32" t="str" cm="1">
        <f t="array" ref="AE191">IFERROR(IF(INDEX(SubsidieTabel!$AD$1:$AG$12,MATCH($F191,SubsidieTabel!$AD$1:$AD$12,0),IFERROR(MATCH(Methode_Keuze,SubsidieTabel!$AD$1:$AG$1,0),2))&lt;&gt;1=TRUE,"ja",""),"")</f>
        <v/>
      </c>
    </row>
    <row r="192" spans="1:31" x14ac:dyDescent="0.25">
      <c r="A192" s="316"/>
      <c r="B192" s="317" t="str">
        <f>IF(A192&lt;&gt;"",_xlfn.MAXIFS($B$1:B191,$A$1:A191,A192)+1,"")</f>
        <v/>
      </c>
      <c r="C192" s="296"/>
      <c r="D192" s="296"/>
      <c r="E192" s="296"/>
      <c r="F192" s="296"/>
      <c r="G192" s="326"/>
      <c r="H192" s="324"/>
      <c r="I192" s="325"/>
      <c r="J192" s="325"/>
      <c r="K192" s="318"/>
      <c r="L192" s="318"/>
      <c r="M192" s="319" t="str">
        <f>IFERROR(VLOOKUP(H192,Lijsten!$H$1:$I$100,2,0),"")</f>
        <v/>
      </c>
      <c r="N192" s="319" t="str">
        <f ca="1">IFERROR(IF(VLOOKUP(F192,Kostentypen!$A$3:$E$21,3,0)=0,"",IF(OR(F192="Arbeidskosten",F192="Vergoeding"),VLOOKUP(G192,Tb_KostenTypen[],2,0),VLOOKUP(F192,Kostentypen!$A$3:$E$20,3,0))),"")</f>
        <v/>
      </c>
      <c r="O192" s="320" t="str" cm="1">
        <f t="array" ref="O192">_xlfn.IFNA(IF(INDEX(Tb_KostenOptiesDB[],MATCH($F192,Tb_KostenOptiesDB[KostenOptie],0),IFERROR(MATCH(Methode_Keuze,Tb_KostenOptiesDB[#Headers],0),2))=1,_xlfn.SWITCH($N192,"Uurtarief",IF(OR(AND(RIGHT($F192,3)="IKS",VLOOKUP($M192,DB_Loonkosten,2,0)="Ja"),AND(RIGHT($F192,3)&lt;&gt;"IKS",VLOOKUP($M192,DB_Loonkosten,2,0)="Nee")),IFERROR(VLOOKUP($M192,DB_Loonkosten,24,0),""),0),"Vast tarief",IF(LEFT(F192,8)="Bijdrage",VLOOKUP($F192,Tb_KostenTypen[],MATCH(Lijsten!$P$1,Tb_KostenTypen[#Headers],0),0),VLOOKUP($G192,Lijsten!L:P,MATCH(Lijsten!$P$1,Kop_Tarief_Vast,0),0))),""),"")</f>
        <v/>
      </c>
      <c r="P192" s="320" t="str" cm="1">
        <f t="array" ref="P192">_xlfn.IFNA(IF(INDEX(Tb_KostenOptiesDB[],MATCH($F192,Tb_KostenOptiesDB[KostenOptie],0),IFERROR(MATCH(Methode_Keuze,Tb_KostenOptiesDB[#Headers],0),2))=1,_xlfn.SWITCH($N192,"Uurtarief",IF(OR(AND(RIGHT($F192,3)="IKS",VLOOKUP($M192,DB_Loonkosten,2,0)="Ja"),AND(RIGHT($F192,3)&lt;&gt;"IKS",VLOOKUP($M192,DB_Loonkosten,2,0)="Nee")),IFERROR(VLOOKUP($M192,DB_Loonkosten,25,0),""),0),"Vast tarief",IF(LEFT(F192,8)="Bijdrage",VLOOKUP($F192,Tb_KostenTypen[],MATCH(Lijsten!$P$1,Tb_KostenTypen[#Headers],0),0),VLOOKUP($G192,Lijsten!L:P,MATCH(Lijsten!$P$1,Kop_Tarief_Vast,0),0))),""),"")</f>
        <v/>
      </c>
      <c r="Q192" s="359"/>
      <c r="R192" s="359"/>
      <c r="S192" s="321"/>
      <c r="T192" s="321"/>
      <c r="U192" s="373" t="str">
        <f t="shared" si="8"/>
        <v/>
      </c>
      <c r="V192" s="314" t="str">
        <f t="shared" si="9"/>
        <v/>
      </c>
      <c r="W192" s="314" t="str" cm="1">
        <f t="array" aca="1" ref="W192" ca="1">IFERROR(IF(AE192&lt;&gt;"ja",_xlfn.IFNA(_xlfn.IFS(AND(O192&lt;&gt;"",F192&lt;&gt;"",RIGHT($N192,6)="tarief",F192="Vergoeding"),SUM(O192)*FLOOR(SUM(Q192),0.0001),AND(O192&lt;&gt;"",F192&lt;&gt;"",RIGHT($N192,6)="tarief"),SUM(O192)*FLOOR(SUM(Q192),0.01),S192&gt;0,IF(F192&lt;&gt;"",FLOOR(SUM(S192),0.01),"")),""),""),"")</f>
        <v/>
      </c>
      <c r="X192" s="314" t="str" cm="1">
        <f t="array" aca="1" ref="X192" ca="1">IFERROR(IF(AE192&lt;&gt;"ja",_xlfn.IFNA(_xlfn.IFS(AND(P192&lt;&gt;"",R192&lt;&gt;"",RIGHT($N192,6)="tarief",F192="Vergoeding"),SUM(P192)*FLOOR(SUM(R192),0.0001),AND(P192&lt;&gt;"",R192&lt;&gt;"",RIGHT($N192,6)="tarief"),P192*FLOOR(R192,0.01),T192&gt;0,FLOOR(SUM(T192),0.01)),""),""),"")</f>
        <v/>
      </c>
      <c r="Y192" s="314" t="str">
        <f t="shared" ca="1" si="10"/>
        <v/>
      </c>
      <c r="Z192" s="314" t="str" cm="1">
        <f t="array" aca="1" ref="Z192" ca="1">IFERROR(_xlfn.IFS(OR(F192="",LEFT(Methode_Keuze,4)="Geen",Methode_Keuze=""),"",AND(W192&lt;&gt;"",F192&lt;&gt;"Arbeidskosten"),W192*VLOOKUP(F192,Tb_ProjectKosten[],MATCH(Tb_ProjectKosten[[#Headers],[Forfait_Percentage]],Tb_ProjectKosten[#Headers],0),0),AND(F192="Arbeidskosten",G192&lt;&gt;""),IFERROR(W192*VLOOKUP(G192,Tb_KostenTypen[],3,0)*VLOOKUP(F192,Tb_ProjectKosten[],MATCH(Tb_ProjectKosten[[#Headers],[Forfait_Percentage]],Tb_ProjectKosten[#Headers],0),0),""),W192 &lt;=0,0),"")</f>
        <v/>
      </c>
      <c r="AA192" s="314" t="str" cm="1">
        <f t="array" aca="1" ref="AA192" ca="1">IFERROR(_xlfn.IFS(OR(F192="",LEFT(Methode_Keuze,4)="Geen",Methode_Keuze=""),"",AND(X192&lt;&gt;"",F192&lt;&gt;"Arbeidskosten"),X192*VLOOKUP(F192,Tb_ProjectKosten[],MATCH(Tb_ProjectKosten[[#Headers],[Forfait_Percentage]],Tb_ProjectKosten[#Headers],0),0),AND(F192="Arbeidskosten",G192&lt;&gt;""),IFERROR(X192*VLOOKUP(G192,Tb_KostenTypen[],3,0)*VLOOKUP(F192,Tb_ProjectKosten[],MATCH(Tb_ProjectKosten[[#Headers],[Forfait_Percentage]],Tb_ProjectKosten[#Headers],0),0),""),X192 &lt;=0,0),"")</f>
        <v/>
      </c>
      <c r="AB192" s="314" t="str">
        <f t="shared" ca="1" si="11"/>
        <v/>
      </c>
      <c r="AC192" s="322"/>
      <c r="AD192" s="315"/>
      <c r="AE192" s="32" t="str" cm="1">
        <f t="array" ref="AE192">IFERROR(IF(INDEX(SubsidieTabel!$AD$1:$AG$12,MATCH($F192,SubsidieTabel!$AD$1:$AD$12,0),IFERROR(MATCH(Methode_Keuze,SubsidieTabel!$AD$1:$AG$1,0),2))&lt;&gt;1=TRUE,"ja",""),"")</f>
        <v/>
      </c>
    </row>
    <row r="193" spans="1:31" x14ac:dyDescent="0.25">
      <c r="A193" s="316"/>
      <c r="B193" s="317" t="str">
        <f>IF(A193&lt;&gt;"",_xlfn.MAXIFS($B$1:B192,$A$1:A192,A193)+1,"")</f>
        <v/>
      </c>
      <c r="C193" s="296"/>
      <c r="D193" s="296"/>
      <c r="E193" s="296"/>
      <c r="F193" s="296"/>
      <c r="G193" s="326"/>
      <c r="H193" s="324"/>
      <c r="I193" s="325"/>
      <c r="J193" s="325"/>
      <c r="K193" s="318"/>
      <c r="L193" s="318"/>
      <c r="M193" s="319" t="str">
        <f>IFERROR(VLOOKUP(H193,Lijsten!$H$1:$I$100,2,0),"")</f>
        <v/>
      </c>
      <c r="N193" s="319" t="str">
        <f ca="1">IFERROR(IF(VLOOKUP(F193,Kostentypen!$A$3:$E$21,3,0)=0,"",IF(OR(F193="Arbeidskosten",F193="Vergoeding"),VLOOKUP(G193,Tb_KostenTypen[],2,0),VLOOKUP(F193,Kostentypen!$A$3:$E$20,3,0))),"")</f>
        <v/>
      </c>
      <c r="O193" s="320" t="str" cm="1">
        <f t="array" ref="O193">_xlfn.IFNA(IF(INDEX(Tb_KostenOptiesDB[],MATCH($F193,Tb_KostenOptiesDB[KostenOptie],0),IFERROR(MATCH(Methode_Keuze,Tb_KostenOptiesDB[#Headers],0),2))=1,_xlfn.SWITCH($N193,"Uurtarief",IF(OR(AND(RIGHT($F193,3)="IKS",VLOOKUP($M193,DB_Loonkosten,2,0)="Ja"),AND(RIGHT($F193,3)&lt;&gt;"IKS",VLOOKUP($M193,DB_Loonkosten,2,0)="Nee")),IFERROR(VLOOKUP($M193,DB_Loonkosten,24,0),""),0),"Vast tarief",IF(LEFT(F193,8)="Bijdrage",VLOOKUP($F193,Tb_KostenTypen[],MATCH(Lijsten!$P$1,Tb_KostenTypen[#Headers],0),0),VLOOKUP($G193,Lijsten!L:P,MATCH(Lijsten!$P$1,Kop_Tarief_Vast,0),0))),""),"")</f>
        <v/>
      </c>
      <c r="P193" s="320" t="str" cm="1">
        <f t="array" ref="P193">_xlfn.IFNA(IF(INDEX(Tb_KostenOptiesDB[],MATCH($F193,Tb_KostenOptiesDB[KostenOptie],0),IFERROR(MATCH(Methode_Keuze,Tb_KostenOptiesDB[#Headers],0),2))=1,_xlfn.SWITCH($N193,"Uurtarief",IF(OR(AND(RIGHT($F193,3)="IKS",VLOOKUP($M193,DB_Loonkosten,2,0)="Ja"),AND(RIGHT($F193,3)&lt;&gt;"IKS",VLOOKUP($M193,DB_Loonkosten,2,0)="Nee")),IFERROR(VLOOKUP($M193,DB_Loonkosten,25,0),""),0),"Vast tarief",IF(LEFT(F193,8)="Bijdrage",VLOOKUP($F193,Tb_KostenTypen[],MATCH(Lijsten!$P$1,Tb_KostenTypen[#Headers],0),0),VLOOKUP($G193,Lijsten!L:P,MATCH(Lijsten!$P$1,Kop_Tarief_Vast,0),0))),""),"")</f>
        <v/>
      </c>
      <c r="Q193" s="359"/>
      <c r="R193" s="359"/>
      <c r="S193" s="321"/>
      <c r="T193" s="321"/>
      <c r="U193" s="373" t="str">
        <f t="shared" si="8"/>
        <v/>
      </c>
      <c r="V193" s="314" t="str">
        <f t="shared" si="9"/>
        <v/>
      </c>
      <c r="W193" s="314" t="str" cm="1">
        <f t="array" aca="1" ref="W193" ca="1">IFERROR(IF(AE193&lt;&gt;"ja",_xlfn.IFNA(_xlfn.IFS(AND(O193&lt;&gt;"",F193&lt;&gt;"",RIGHT($N193,6)="tarief",F193="Vergoeding"),SUM(O193)*FLOOR(SUM(Q193),0.0001),AND(O193&lt;&gt;"",F193&lt;&gt;"",RIGHT($N193,6)="tarief"),SUM(O193)*FLOOR(SUM(Q193),0.01),S193&gt;0,IF(F193&lt;&gt;"",FLOOR(SUM(S193),0.01),"")),""),""),"")</f>
        <v/>
      </c>
      <c r="X193" s="314" t="str" cm="1">
        <f t="array" aca="1" ref="X193" ca="1">IFERROR(IF(AE193&lt;&gt;"ja",_xlfn.IFNA(_xlfn.IFS(AND(P193&lt;&gt;"",R193&lt;&gt;"",RIGHT($N193,6)="tarief",F193="Vergoeding"),SUM(P193)*FLOOR(SUM(R193),0.0001),AND(P193&lt;&gt;"",R193&lt;&gt;"",RIGHT($N193,6)="tarief"),P193*FLOOR(R193,0.01),T193&gt;0,FLOOR(SUM(T193),0.01)),""),""),"")</f>
        <v/>
      </c>
      <c r="Y193" s="314" t="str">
        <f t="shared" ca="1" si="10"/>
        <v/>
      </c>
      <c r="Z193" s="314" t="str" cm="1">
        <f t="array" aca="1" ref="Z193" ca="1">IFERROR(_xlfn.IFS(OR(F193="",LEFT(Methode_Keuze,4)="Geen",Methode_Keuze=""),"",AND(W193&lt;&gt;"",F193&lt;&gt;"Arbeidskosten"),W193*VLOOKUP(F193,Tb_ProjectKosten[],MATCH(Tb_ProjectKosten[[#Headers],[Forfait_Percentage]],Tb_ProjectKosten[#Headers],0),0),AND(F193="Arbeidskosten",G193&lt;&gt;""),IFERROR(W193*VLOOKUP(G193,Tb_KostenTypen[],3,0)*VLOOKUP(F193,Tb_ProjectKosten[],MATCH(Tb_ProjectKosten[[#Headers],[Forfait_Percentage]],Tb_ProjectKosten[#Headers],0),0),""),W193 &lt;=0,0),"")</f>
        <v/>
      </c>
      <c r="AA193" s="314" t="str" cm="1">
        <f t="array" aca="1" ref="AA193" ca="1">IFERROR(_xlfn.IFS(OR(F193="",LEFT(Methode_Keuze,4)="Geen",Methode_Keuze=""),"",AND(X193&lt;&gt;"",F193&lt;&gt;"Arbeidskosten"),X193*VLOOKUP(F193,Tb_ProjectKosten[],MATCH(Tb_ProjectKosten[[#Headers],[Forfait_Percentage]],Tb_ProjectKosten[#Headers],0),0),AND(F193="Arbeidskosten",G193&lt;&gt;""),IFERROR(X193*VLOOKUP(G193,Tb_KostenTypen[],3,0)*VLOOKUP(F193,Tb_ProjectKosten[],MATCH(Tb_ProjectKosten[[#Headers],[Forfait_Percentage]],Tb_ProjectKosten[#Headers],0),0),""),X193 &lt;=0,0),"")</f>
        <v/>
      </c>
      <c r="AB193" s="314" t="str">
        <f t="shared" ca="1" si="11"/>
        <v/>
      </c>
      <c r="AC193" s="322"/>
      <c r="AD193" s="315"/>
      <c r="AE193" s="32" t="str" cm="1">
        <f t="array" ref="AE193">IFERROR(IF(INDEX(SubsidieTabel!$AD$1:$AG$12,MATCH($F193,SubsidieTabel!$AD$1:$AD$12,0),IFERROR(MATCH(Methode_Keuze,SubsidieTabel!$AD$1:$AG$1,0),2))&lt;&gt;1=TRUE,"ja",""),"")</f>
        <v/>
      </c>
    </row>
    <row r="194" spans="1:31" x14ac:dyDescent="0.25">
      <c r="A194" s="316"/>
      <c r="B194" s="317" t="str">
        <f>IF(A194&lt;&gt;"",_xlfn.MAXIFS($B$1:B193,$A$1:A193,A194)+1,"")</f>
        <v/>
      </c>
      <c r="C194" s="296"/>
      <c r="D194" s="296"/>
      <c r="E194" s="296"/>
      <c r="F194" s="296"/>
      <c r="G194" s="326"/>
      <c r="H194" s="324"/>
      <c r="I194" s="325"/>
      <c r="J194" s="325"/>
      <c r="K194" s="318"/>
      <c r="L194" s="318"/>
      <c r="M194" s="319" t="str">
        <f>IFERROR(VLOOKUP(H194,Lijsten!$H$1:$I$100,2,0),"")</f>
        <v/>
      </c>
      <c r="N194" s="319" t="str">
        <f ca="1">IFERROR(IF(VLOOKUP(F194,Kostentypen!$A$3:$E$21,3,0)=0,"",IF(OR(F194="Arbeidskosten",F194="Vergoeding"),VLOOKUP(G194,Tb_KostenTypen[],2,0),VLOOKUP(F194,Kostentypen!$A$3:$E$20,3,0))),"")</f>
        <v/>
      </c>
      <c r="O194" s="320" t="str" cm="1">
        <f t="array" ref="O194">_xlfn.IFNA(IF(INDEX(Tb_KostenOptiesDB[],MATCH($F194,Tb_KostenOptiesDB[KostenOptie],0),IFERROR(MATCH(Methode_Keuze,Tb_KostenOptiesDB[#Headers],0),2))=1,_xlfn.SWITCH($N194,"Uurtarief",IF(OR(AND(RIGHT($F194,3)="IKS",VLOOKUP($M194,DB_Loonkosten,2,0)="Ja"),AND(RIGHT($F194,3)&lt;&gt;"IKS",VLOOKUP($M194,DB_Loonkosten,2,0)="Nee")),IFERROR(VLOOKUP($M194,DB_Loonkosten,24,0),""),0),"Vast tarief",IF(LEFT(F194,8)="Bijdrage",VLOOKUP($F194,Tb_KostenTypen[],MATCH(Lijsten!$P$1,Tb_KostenTypen[#Headers],0),0),VLOOKUP($G194,Lijsten!L:P,MATCH(Lijsten!$P$1,Kop_Tarief_Vast,0),0))),""),"")</f>
        <v/>
      </c>
      <c r="P194" s="320" t="str" cm="1">
        <f t="array" ref="P194">_xlfn.IFNA(IF(INDEX(Tb_KostenOptiesDB[],MATCH($F194,Tb_KostenOptiesDB[KostenOptie],0),IFERROR(MATCH(Methode_Keuze,Tb_KostenOptiesDB[#Headers],0),2))=1,_xlfn.SWITCH($N194,"Uurtarief",IF(OR(AND(RIGHT($F194,3)="IKS",VLOOKUP($M194,DB_Loonkosten,2,0)="Ja"),AND(RIGHT($F194,3)&lt;&gt;"IKS",VLOOKUP($M194,DB_Loonkosten,2,0)="Nee")),IFERROR(VLOOKUP($M194,DB_Loonkosten,25,0),""),0),"Vast tarief",IF(LEFT(F194,8)="Bijdrage",VLOOKUP($F194,Tb_KostenTypen[],MATCH(Lijsten!$P$1,Tb_KostenTypen[#Headers],0),0),VLOOKUP($G194,Lijsten!L:P,MATCH(Lijsten!$P$1,Kop_Tarief_Vast,0),0))),""),"")</f>
        <v/>
      </c>
      <c r="Q194" s="359"/>
      <c r="R194" s="359"/>
      <c r="S194" s="321"/>
      <c r="T194" s="321"/>
      <c r="U194" s="373" t="str">
        <f t="shared" si="8"/>
        <v/>
      </c>
      <c r="V194" s="314" t="str">
        <f t="shared" si="9"/>
        <v/>
      </c>
      <c r="W194" s="314" t="str" cm="1">
        <f t="array" aca="1" ref="W194" ca="1">IFERROR(IF(AE194&lt;&gt;"ja",_xlfn.IFNA(_xlfn.IFS(AND(O194&lt;&gt;"",F194&lt;&gt;"",RIGHT($N194,6)="tarief",F194="Vergoeding"),SUM(O194)*FLOOR(SUM(Q194),0.0001),AND(O194&lt;&gt;"",F194&lt;&gt;"",RIGHT($N194,6)="tarief"),SUM(O194)*FLOOR(SUM(Q194),0.01),S194&gt;0,IF(F194&lt;&gt;"",FLOOR(SUM(S194),0.01),"")),""),""),"")</f>
        <v/>
      </c>
      <c r="X194" s="314" t="str" cm="1">
        <f t="array" aca="1" ref="X194" ca="1">IFERROR(IF(AE194&lt;&gt;"ja",_xlfn.IFNA(_xlfn.IFS(AND(P194&lt;&gt;"",R194&lt;&gt;"",RIGHT($N194,6)="tarief",F194="Vergoeding"),SUM(P194)*FLOOR(SUM(R194),0.0001),AND(P194&lt;&gt;"",R194&lt;&gt;"",RIGHT($N194,6)="tarief"),P194*FLOOR(R194,0.01),T194&gt;0,FLOOR(SUM(T194),0.01)),""),""),"")</f>
        <v/>
      </c>
      <c r="Y194" s="314" t="str">
        <f t="shared" ca="1" si="10"/>
        <v/>
      </c>
      <c r="Z194" s="314" t="str" cm="1">
        <f t="array" aca="1" ref="Z194" ca="1">IFERROR(_xlfn.IFS(OR(F194="",LEFT(Methode_Keuze,4)="Geen",Methode_Keuze=""),"",AND(W194&lt;&gt;"",F194&lt;&gt;"Arbeidskosten"),W194*VLOOKUP(F194,Tb_ProjectKosten[],MATCH(Tb_ProjectKosten[[#Headers],[Forfait_Percentage]],Tb_ProjectKosten[#Headers],0),0),AND(F194="Arbeidskosten",G194&lt;&gt;""),IFERROR(W194*VLOOKUP(G194,Tb_KostenTypen[],3,0)*VLOOKUP(F194,Tb_ProjectKosten[],MATCH(Tb_ProjectKosten[[#Headers],[Forfait_Percentage]],Tb_ProjectKosten[#Headers],0),0),""),W194 &lt;=0,0),"")</f>
        <v/>
      </c>
      <c r="AA194" s="314" t="str" cm="1">
        <f t="array" aca="1" ref="AA194" ca="1">IFERROR(_xlfn.IFS(OR(F194="",LEFT(Methode_Keuze,4)="Geen",Methode_Keuze=""),"",AND(X194&lt;&gt;"",F194&lt;&gt;"Arbeidskosten"),X194*VLOOKUP(F194,Tb_ProjectKosten[],MATCH(Tb_ProjectKosten[[#Headers],[Forfait_Percentage]],Tb_ProjectKosten[#Headers],0),0),AND(F194="Arbeidskosten",G194&lt;&gt;""),IFERROR(X194*VLOOKUP(G194,Tb_KostenTypen[],3,0)*VLOOKUP(F194,Tb_ProjectKosten[],MATCH(Tb_ProjectKosten[[#Headers],[Forfait_Percentage]],Tb_ProjectKosten[#Headers],0),0),""),X194 &lt;=0,0),"")</f>
        <v/>
      </c>
      <c r="AB194" s="314" t="str">
        <f t="shared" ca="1" si="11"/>
        <v/>
      </c>
      <c r="AC194" s="322"/>
      <c r="AD194" s="315"/>
      <c r="AE194" s="32" t="str" cm="1">
        <f t="array" ref="AE194">IFERROR(IF(INDEX(SubsidieTabel!$AD$1:$AG$12,MATCH($F194,SubsidieTabel!$AD$1:$AD$12,0),IFERROR(MATCH(Methode_Keuze,SubsidieTabel!$AD$1:$AG$1,0),2))&lt;&gt;1=TRUE,"ja",""),"")</f>
        <v/>
      </c>
    </row>
    <row r="195" spans="1:31" x14ac:dyDescent="0.25">
      <c r="A195" s="316"/>
      <c r="B195" s="317" t="str">
        <f>IF(A195&lt;&gt;"",_xlfn.MAXIFS($B$1:B194,$A$1:A194,A195)+1,"")</f>
        <v/>
      </c>
      <c r="C195" s="296"/>
      <c r="D195" s="296"/>
      <c r="E195" s="296"/>
      <c r="F195" s="296"/>
      <c r="G195" s="326"/>
      <c r="H195" s="324"/>
      <c r="I195" s="325"/>
      <c r="J195" s="325"/>
      <c r="K195" s="318"/>
      <c r="L195" s="318"/>
      <c r="M195" s="319" t="str">
        <f>IFERROR(VLOOKUP(H195,Lijsten!$H$1:$I$100,2,0),"")</f>
        <v/>
      </c>
      <c r="N195" s="319" t="str">
        <f ca="1">IFERROR(IF(VLOOKUP(F195,Kostentypen!$A$3:$E$21,3,0)=0,"",IF(OR(F195="Arbeidskosten",F195="Vergoeding"),VLOOKUP(G195,Tb_KostenTypen[],2,0),VLOOKUP(F195,Kostentypen!$A$3:$E$20,3,0))),"")</f>
        <v/>
      </c>
      <c r="O195" s="320" t="str" cm="1">
        <f t="array" ref="O195">_xlfn.IFNA(IF(INDEX(Tb_KostenOptiesDB[],MATCH($F195,Tb_KostenOptiesDB[KostenOptie],0),IFERROR(MATCH(Methode_Keuze,Tb_KostenOptiesDB[#Headers],0),2))=1,_xlfn.SWITCH($N195,"Uurtarief",IF(OR(AND(RIGHT($F195,3)="IKS",VLOOKUP($M195,DB_Loonkosten,2,0)="Ja"),AND(RIGHT($F195,3)&lt;&gt;"IKS",VLOOKUP($M195,DB_Loonkosten,2,0)="Nee")),IFERROR(VLOOKUP($M195,DB_Loonkosten,24,0),""),0),"Vast tarief",IF(LEFT(F195,8)="Bijdrage",VLOOKUP($F195,Tb_KostenTypen[],MATCH(Lijsten!$P$1,Tb_KostenTypen[#Headers],0),0),VLOOKUP($G195,Lijsten!L:P,MATCH(Lijsten!$P$1,Kop_Tarief_Vast,0),0))),""),"")</f>
        <v/>
      </c>
      <c r="P195" s="320" t="str" cm="1">
        <f t="array" ref="P195">_xlfn.IFNA(IF(INDEX(Tb_KostenOptiesDB[],MATCH($F195,Tb_KostenOptiesDB[KostenOptie],0),IFERROR(MATCH(Methode_Keuze,Tb_KostenOptiesDB[#Headers],0),2))=1,_xlfn.SWITCH($N195,"Uurtarief",IF(OR(AND(RIGHT($F195,3)="IKS",VLOOKUP($M195,DB_Loonkosten,2,0)="Ja"),AND(RIGHT($F195,3)&lt;&gt;"IKS",VLOOKUP($M195,DB_Loonkosten,2,0)="Nee")),IFERROR(VLOOKUP($M195,DB_Loonkosten,25,0),""),0),"Vast tarief",IF(LEFT(F195,8)="Bijdrage",VLOOKUP($F195,Tb_KostenTypen[],MATCH(Lijsten!$P$1,Tb_KostenTypen[#Headers],0),0),VLOOKUP($G195,Lijsten!L:P,MATCH(Lijsten!$P$1,Kop_Tarief_Vast,0),0))),""),"")</f>
        <v/>
      </c>
      <c r="Q195" s="359"/>
      <c r="R195" s="359"/>
      <c r="S195" s="321"/>
      <c r="T195" s="321"/>
      <c r="U195" s="373" t="str">
        <f t="shared" ref="U195:U258" si="12">IFERROR(IF(AND(R195&lt;&gt;"",R195&lt;&gt;Q195),-1*(R195-Q195),""),"")</f>
        <v/>
      </c>
      <c r="V195" s="314" t="str">
        <f t="shared" ref="V195:V258" si="13">IFERROR(IF(AND(T195&lt;&gt;"",T195&lt;&gt;S195),-1*(T195-S195),""),"")</f>
        <v/>
      </c>
      <c r="W195" s="314" t="str" cm="1">
        <f t="array" aca="1" ref="W195" ca="1">IFERROR(IF(AE195&lt;&gt;"ja",_xlfn.IFNA(_xlfn.IFS(AND(O195&lt;&gt;"",F195&lt;&gt;"",RIGHT($N195,6)="tarief",F195="Vergoeding"),SUM(O195)*FLOOR(SUM(Q195),0.0001),AND(O195&lt;&gt;"",F195&lt;&gt;"",RIGHT($N195,6)="tarief"),SUM(O195)*FLOOR(SUM(Q195),0.01),S195&gt;0,IF(F195&lt;&gt;"",FLOOR(SUM(S195),0.01),"")),""),""),"")</f>
        <v/>
      </c>
      <c r="X195" s="314" t="str" cm="1">
        <f t="array" aca="1" ref="X195" ca="1">IFERROR(IF(AE195&lt;&gt;"ja",_xlfn.IFNA(_xlfn.IFS(AND(P195&lt;&gt;"",R195&lt;&gt;"",RIGHT($N195,6)="tarief",F195="Vergoeding"),SUM(P195)*FLOOR(SUM(R195),0.0001),AND(P195&lt;&gt;"",R195&lt;&gt;"",RIGHT($N195,6)="tarief"),P195*FLOOR(R195,0.01),T195&gt;0,FLOOR(SUM(T195),0.01)),""),""),"")</f>
        <v/>
      </c>
      <c r="Y195" s="314" t="str">
        <f t="shared" ref="Y195:Y258" ca="1" si="14">IFERROR(IF(AND(X195&lt;&gt;"",X195&lt;&gt;W195),-1*(X195-W195),""),"")</f>
        <v/>
      </c>
      <c r="Z195" s="314" t="str" cm="1">
        <f t="array" aca="1" ref="Z195" ca="1">IFERROR(_xlfn.IFS(OR(F195="",LEFT(Methode_Keuze,4)="Geen",Methode_Keuze=""),"",AND(W195&lt;&gt;"",F195&lt;&gt;"Arbeidskosten"),W195*VLOOKUP(F195,Tb_ProjectKosten[],MATCH(Tb_ProjectKosten[[#Headers],[Forfait_Percentage]],Tb_ProjectKosten[#Headers],0),0),AND(F195="Arbeidskosten",G195&lt;&gt;""),IFERROR(W195*VLOOKUP(G195,Tb_KostenTypen[],3,0)*VLOOKUP(F195,Tb_ProjectKosten[],MATCH(Tb_ProjectKosten[[#Headers],[Forfait_Percentage]],Tb_ProjectKosten[#Headers],0),0),""),W195 &lt;=0,0),"")</f>
        <v/>
      </c>
      <c r="AA195" s="314" t="str" cm="1">
        <f t="array" aca="1" ref="AA195" ca="1">IFERROR(_xlfn.IFS(OR(F195="",LEFT(Methode_Keuze,4)="Geen",Methode_Keuze=""),"",AND(X195&lt;&gt;"",F195&lt;&gt;"Arbeidskosten"),X195*VLOOKUP(F195,Tb_ProjectKosten[],MATCH(Tb_ProjectKosten[[#Headers],[Forfait_Percentage]],Tb_ProjectKosten[#Headers],0),0),AND(F195="Arbeidskosten",G195&lt;&gt;""),IFERROR(X195*VLOOKUP(G195,Tb_KostenTypen[],3,0)*VLOOKUP(F195,Tb_ProjectKosten[],MATCH(Tb_ProjectKosten[[#Headers],[Forfait_Percentage]],Tb_ProjectKosten[#Headers],0),0),""),X195 &lt;=0,0),"")</f>
        <v/>
      </c>
      <c r="AB195" s="314" t="str">
        <f t="shared" ref="AB195:AB258" ca="1" si="15">IFERROR(IF(AND(AA195&lt;&gt;"",AA195&lt;&gt;Z195),-1*(AA195-Z195),""),"")</f>
        <v/>
      </c>
      <c r="AC195" s="322"/>
      <c r="AD195" s="315"/>
      <c r="AE195" s="32" t="str" cm="1">
        <f t="array" ref="AE195">IFERROR(IF(INDEX(SubsidieTabel!$AD$1:$AG$12,MATCH($F195,SubsidieTabel!$AD$1:$AD$12,0),IFERROR(MATCH(Methode_Keuze,SubsidieTabel!$AD$1:$AG$1,0),2))&lt;&gt;1=TRUE,"ja",""),"")</f>
        <v/>
      </c>
    </row>
    <row r="196" spans="1:31" x14ac:dyDescent="0.25">
      <c r="A196" s="316"/>
      <c r="B196" s="317" t="str">
        <f>IF(A196&lt;&gt;"",_xlfn.MAXIFS($B$1:B195,$A$1:A195,A196)+1,"")</f>
        <v/>
      </c>
      <c r="C196" s="296"/>
      <c r="D196" s="296"/>
      <c r="E196" s="296"/>
      <c r="F196" s="296"/>
      <c r="G196" s="326"/>
      <c r="H196" s="324"/>
      <c r="I196" s="325"/>
      <c r="J196" s="325"/>
      <c r="K196" s="318"/>
      <c r="L196" s="318"/>
      <c r="M196" s="319" t="str">
        <f>IFERROR(VLOOKUP(H196,Lijsten!$H$1:$I$100,2,0),"")</f>
        <v/>
      </c>
      <c r="N196" s="319" t="str">
        <f ca="1">IFERROR(IF(VLOOKUP(F196,Kostentypen!$A$3:$E$21,3,0)=0,"",IF(OR(F196="Arbeidskosten",F196="Vergoeding"),VLOOKUP(G196,Tb_KostenTypen[],2,0),VLOOKUP(F196,Kostentypen!$A$3:$E$20,3,0))),"")</f>
        <v/>
      </c>
      <c r="O196" s="320" t="str" cm="1">
        <f t="array" ref="O196">_xlfn.IFNA(IF(INDEX(Tb_KostenOptiesDB[],MATCH($F196,Tb_KostenOptiesDB[KostenOptie],0),IFERROR(MATCH(Methode_Keuze,Tb_KostenOptiesDB[#Headers],0),2))=1,_xlfn.SWITCH($N196,"Uurtarief",IF(OR(AND(RIGHT($F196,3)="IKS",VLOOKUP($M196,DB_Loonkosten,2,0)="Ja"),AND(RIGHT($F196,3)&lt;&gt;"IKS",VLOOKUP($M196,DB_Loonkosten,2,0)="Nee")),IFERROR(VLOOKUP($M196,DB_Loonkosten,24,0),""),0),"Vast tarief",IF(LEFT(F196,8)="Bijdrage",VLOOKUP($F196,Tb_KostenTypen[],MATCH(Lijsten!$P$1,Tb_KostenTypen[#Headers],0),0),VLOOKUP($G196,Lijsten!L:P,MATCH(Lijsten!$P$1,Kop_Tarief_Vast,0),0))),""),"")</f>
        <v/>
      </c>
      <c r="P196" s="320" t="str" cm="1">
        <f t="array" ref="P196">_xlfn.IFNA(IF(INDEX(Tb_KostenOptiesDB[],MATCH($F196,Tb_KostenOptiesDB[KostenOptie],0),IFERROR(MATCH(Methode_Keuze,Tb_KostenOptiesDB[#Headers],0),2))=1,_xlfn.SWITCH($N196,"Uurtarief",IF(OR(AND(RIGHT($F196,3)="IKS",VLOOKUP($M196,DB_Loonkosten,2,0)="Ja"),AND(RIGHT($F196,3)&lt;&gt;"IKS",VLOOKUP($M196,DB_Loonkosten,2,0)="Nee")),IFERROR(VLOOKUP($M196,DB_Loonkosten,25,0),""),0),"Vast tarief",IF(LEFT(F196,8)="Bijdrage",VLOOKUP($F196,Tb_KostenTypen[],MATCH(Lijsten!$P$1,Tb_KostenTypen[#Headers],0),0),VLOOKUP($G196,Lijsten!L:P,MATCH(Lijsten!$P$1,Kop_Tarief_Vast,0),0))),""),"")</f>
        <v/>
      </c>
      <c r="Q196" s="359"/>
      <c r="R196" s="359"/>
      <c r="S196" s="321"/>
      <c r="T196" s="321"/>
      <c r="U196" s="373" t="str">
        <f t="shared" si="12"/>
        <v/>
      </c>
      <c r="V196" s="314" t="str">
        <f t="shared" si="13"/>
        <v/>
      </c>
      <c r="W196" s="314" t="str" cm="1">
        <f t="array" aca="1" ref="W196" ca="1">IFERROR(IF(AE196&lt;&gt;"ja",_xlfn.IFNA(_xlfn.IFS(AND(O196&lt;&gt;"",F196&lt;&gt;"",RIGHT($N196,6)="tarief",F196="Vergoeding"),SUM(O196)*FLOOR(SUM(Q196),0.0001),AND(O196&lt;&gt;"",F196&lt;&gt;"",RIGHT($N196,6)="tarief"),SUM(O196)*FLOOR(SUM(Q196),0.01),S196&gt;0,IF(F196&lt;&gt;"",FLOOR(SUM(S196),0.01),"")),""),""),"")</f>
        <v/>
      </c>
      <c r="X196" s="314" t="str" cm="1">
        <f t="array" aca="1" ref="X196" ca="1">IFERROR(IF(AE196&lt;&gt;"ja",_xlfn.IFNA(_xlfn.IFS(AND(P196&lt;&gt;"",R196&lt;&gt;"",RIGHT($N196,6)="tarief",F196="Vergoeding"),SUM(P196)*FLOOR(SUM(R196),0.0001),AND(P196&lt;&gt;"",R196&lt;&gt;"",RIGHT($N196,6)="tarief"),P196*FLOOR(R196,0.01),T196&gt;0,FLOOR(SUM(T196),0.01)),""),""),"")</f>
        <v/>
      </c>
      <c r="Y196" s="314" t="str">
        <f t="shared" ca="1" si="14"/>
        <v/>
      </c>
      <c r="Z196" s="314" t="str" cm="1">
        <f t="array" aca="1" ref="Z196" ca="1">IFERROR(_xlfn.IFS(OR(F196="",LEFT(Methode_Keuze,4)="Geen",Methode_Keuze=""),"",AND(W196&lt;&gt;"",F196&lt;&gt;"Arbeidskosten"),W196*VLOOKUP(F196,Tb_ProjectKosten[],MATCH(Tb_ProjectKosten[[#Headers],[Forfait_Percentage]],Tb_ProjectKosten[#Headers],0),0),AND(F196="Arbeidskosten",G196&lt;&gt;""),IFERROR(W196*VLOOKUP(G196,Tb_KostenTypen[],3,0)*VLOOKUP(F196,Tb_ProjectKosten[],MATCH(Tb_ProjectKosten[[#Headers],[Forfait_Percentage]],Tb_ProjectKosten[#Headers],0),0),""),W196 &lt;=0,0),"")</f>
        <v/>
      </c>
      <c r="AA196" s="314" t="str" cm="1">
        <f t="array" aca="1" ref="AA196" ca="1">IFERROR(_xlfn.IFS(OR(F196="",LEFT(Methode_Keuze,4)="Geen",Methode_Keuze=""),"",AND(X196&lt;&gt;"",F196&lt;&gt;"Arbeidskosten"),X196*VLOOKUP(F196,Tb_ProjectKosten[],MATCH(Tb_ProjectKosten[[#Headers],[Forfait_Percentage]],Tb_ProjectKosten[#Headers],0),0),AND(F196="Arbeidskosten",G196&lt;&gt;""),IFERROR(X196*VLOOKUP(G196,Tb_KostenTypen[],3,0)*VLOOKUP(F196,Tb_ProjectKosten[],MATCH(Tb_ProjectKosten[[#Headers],[Forfait_Percentage]],Tb_ProjectKosten[#Headers],0),0),""),X196 &lt;=0,0),"")</f>
        <v/>
      </c>
      <c r="AB196" s="314" t="str">
        <f t="shared" ca="1" si="15"/>
        <v/>
      </c>
      <c r="AC196" s="322"/>
      <c r="AD196" s="315"/>
      <c r="AE196" s="32" t="str" cm="1">
        <f t="array" ref="AE196">IFERROR(IF(INDEX(SubsidieTabel!$AD$1:$AG$12,MATCH($F196,SubsidieTabel!$AD$1:$AD$12,0),IFERROR(MATCH(Methode_Keuze,SubsidieTabel!$AD$1:$AG$1,0),2))&lt;&gt;1=TRUE,"ja",""),"")</f>
        <v/>
      </c>
    </row>
    <row r="197" spans="1:31" x14ac:dyDescent="0.25">
      <c r="A197" s="316"/>
      <c r="B197" s="317" t="str">
        <f>IF(A197&lt;&gt;"",_xlfn.MAXIFS($B$1:B196,$A$1:A196,A197)+1,"")</f>
        <v/>
      </c>
      <c r="C197" s="296"/>
      <c r="D197" s="296"/>
      <c r="E197" s="296"/>
      <c r="F197" s="296"/>
      <c r="G197" s="326"/>
      <c r="H197" s="324"/>
      <c r="I197" s="325"/>
      <c r="J197" s="325"/>
      <c r="K197" s="318"/>
      <c r="L197" s="318"/>
      <c r="M197" s="319" t="str">
        <f>IFERROR(VLOOKUP(H197,Lijsten!$H$1:$I$100,2,0),"")</f>
        <v/>
      </c>
      <c r="N197" s="319" t="str">
        <f ca="1">IFERROR(IF(VLOOKUP(F197,Kostentypen!$A$3:$E$21,3,0)=0,"",IF(OR(F197="Arbeidskosten",F197="Vergoeding"),VLOOKUP(G197,Tb_KostenTypen[],2,0),VLOOKUP(F197,Kostentypen!$A$3:$E$20,3,0))),"")</f>
        <v/>
      </c>
      <c r="O197" s="320" t="str" cm="1">
        <f t="array" ref="O197">_xlfn.IFNA(IF(INDEX(Tb_KostenOptiesDB[],MATCH($F197,Tb_KostenOptiesDB[KostenOptie],0),IFERROR(MATCH(Methode_Keuze,Tb_KostenOptiesDB[#Headers],0),2))=1,_xlfn.SWITCH($N197,"Uurtarief",IF(OR(AND(RIGHT($F197,3)="IKS",VLOOKUP($M197,DB_Loonkosten,2,0)="Ja"),AND(RIGHT($F197,3)&lt;&gt;"IKS",VLOOKUP($M197,DB_Loonkosten,2,0)="Nee")),IFERROR(VLOOKUP($M197,DB_Loonkosten,24,0),""),0),"Vast tarief",IF(LEFT(F197,8)="Bijdrage",VLOOKUP($F197,Tb_KostenTypen[],MATCH(Lijsten!$P$1,Tb_KostenTypen[#Headers],0),0),VLOOKUP($G197,Lijsten!L:P,MATCH(Lijsten!$P$1,Kop_Tarief_Vast,0),0))),""),"")</f>
        <v/>
      </c>
      <c r="P197" s="320" t="str" cm="1">
        <f t="array" ref="P197">_xlfn.IFNA(IF(INDEX(Tb_KostenOptiesDB[],MATCH($F197,Tb_KostenOptiesDB[KostenOptie],0),IFERROR(MATCH(Methode_Keuze,Tb_KostenOptiesDB[#Headers],0),2))=1,_xlfn.SWITCH($N197,"Uurtarief",IF(OR(AND(RIGHT($F197,3)="IKS",VLOOKUP($M197,DB_Loonkosten,2,0)="Ja"),AND(RIGHT($F197,3)&lt;&gt;"IKS",VLOOKUP($M197,DB_Loonkosten,2,0)="Nee")),IFERROR(VLOOKUP($M197,DB_Loonkosten,25,0),""),0),"Vast tarief",IF(LEFT(F197,8)="Bijdrage",VLOOKUP($F197,Tb_KostenTypen[],MATCH(Lijsten!$P$1,Tb_KostenTypen[#Headers],0),0),VLOOKUP($G197,Lijsten!L:P,MATCH(Lijsten!$P$1,Kop_Tarief_Vast,0),0))),""),"")</f>
        <v/>
      </c>
      <c r="Q197" s="359"/>
      <c r="R197" s="359"/>
      <c r="S197" s="321"/>
      <c r="T197" s="321"/>
      <c r="U197" s="373" t="str">
        <f t="shared" si="12"/>
        <v/>
      </c>
      <c r="V197" s="314" t="str">
        <f t="shared" si="13"/>
        <v/>
      </c>
      <c r="W197" s="314" t="str" cm="1">
        <f t="array" aca="1" ref="W197" ca="1">IFERROR(IF(AE197&lt;&gt;"ja",_xlfn.IFNA(_xlfn.IFS(AND(O197&lt;&gt;"",F197&lt;&gt;"",RIGHT($N197,6)="tarief",F197="Vergoeding"),SUM(O197)*FLOOR(SUM(Q197),0.0001),AND(O197&lt;&gt;"",F197&lt;&gt;"",RIGHT($N197,6)="tarief"),SUM(O197)*FLOOR(SUM(Q197),0.01),S197&gt;0,IF(F197&lt;&gt;"",FLOOR(SUM(S197),0.01),"")),""),""),"")</f>
        <v/>
      </c>
      <c r="X197" s="314" t="str" cm="1">
        <f t="array" aca="1" ref="X197" ca="1">IFERROR(IF(AE197&lt;&gt;"ja",_xlfn.IFNA(_xlfn.IFS(AND(P197&lt;&gt;"",R197&lt;&gt;"",RIGHT($N197,6)="tarief",F197="Vergoeding"),SUM(P197)*FLOOR(SUM(R197),0.0001),AND(P197&lt;&gt;"",R197&lt;&gt;"",RIGHT($N197,6)="tarief"),P197*FLOOR(R197,0.01),T197&gt;0,FLOOR(SUM(T197),0.01)),""),""),"")</f>
        <v/>
      </c>
      <c r="Y197" s="314" t="str">
        <f t="shared" ca="1" si="14"/>
        <v/>
      </c>
      <c r="Z197" s="314" t="str" cm="1">
        <f t="array" aca="1" ref="Z197" ca="1">IFERROR(_xlfn.IFS(OR(F197="",LEFT(Methode_Keuze,4)="Geen",Methode_Keuze=""),"",AND(W197&lt;&gt;"",F197&lt;&gt;"Arbeidskosten"),W197*VLOOKUP(F197,Tb_ProjectKosten[],MATCH(Tb_ProjectKosten[[#Headers],[Forfait_Percentage]],Tb_ProjectKosten[#Headers],0),0),AND(F197="Arbeidskosten",G197&lt;&gt;""),IFERROR(W197*VLOOKUP(G197,Tb_KostenTypen[],3,0)*VLOOKUP(F197,Tb_ProjectKosten[],MATCH(Tb_ProjectKosten[[#Headers],[Forfait_Percentage]],Tb_ProjectKosten[#Headers],0),0),""),W197 &lt;=0,0),"")</f>
        <v/>
      </c>
      <c r="AA197" s="314" t="str" cm="1">
        <f t="array" aca="1" ref="AA197" ca="1">IFERROR(_xlfn.IFS(OR(F197="",LEFT(Methode_Keuze,4)="Geen",Methode_Keuze=""),"",AND(X197&lt;&gt;"",F197&lt;&gt;"Arbeidskosten"),X197*VLOOKUP(F197,Tb_ProjectKosten[],MATCH(Tb_ProjectKosten[[#Headers],[Forfait_Percentage]],Tb_ProjectKosten[#Headers],0),0),AND(F197="Arbeidskosten",G197&lt;&gt;""),IFERROR(X197*VLOOKUP(G197,Tb_KostenTypen[],3,0)*VLOOKUP(F197,Tb_ProjectKosten[],MATCH(Tb_ProjectKosten[[#Headers],[Forfait_Percentage]],Tb_ProjectKosten[#Headers],0),0),""),X197 &lt;=0,0),"")</f>
        <v/>
      </c>
      <c r="AB197" s="314" t="str">
        <f t="shared" ca="1" si="15"/>
        <v/>
      </c>
      <c r="AC197" s="322"/>
      <c r="AD197" s="315"/>
      <c r="AE197" s="32" t="str" cm="1">
        <f t="array" ref="AE197">IFERROR(IF(INDEX(SubsidieTabel!$AD$1:$AG$12,MATCH($F197,SubsidieTabel!$AD$1:$AD$12,0),IFERROR(MATCH(Methode_Keuze,SubsidieTabel!$AD$1:$AG$1,0),2))&lt;&gt;1=TRUE,"ja",""),"")</f>
        <v/>
      </c>
    </row>
    <row r="198" spans="1:31" x14ac:dyDescent="0.25">
      <c r="A198" s="316"/>
      <c r="B198" s="317" t="str">
        <f>IF(A198&lt;&gt;"",_xlfn.MAXIFS($B$1:B197,$A$1:A197,A198)+1,"")</f>
        <v/>
      </c>
      <c r="C198" s="296"/>
      <c r="D198" s="296"/>
      <c r="E198" s="296"/>
      <c r="F198" s="296"/>
      <c r="G198" s="326"/>
      <c r="H198" s="324"/>
      <c r="I198" s="325"/>
      <c r="J198" s="325"/>
      <c r="K198" s="318"/>
      <c r="L198" s="318"/>
      <c r="M198" s="319" t="str">
        <f>IFERROR(VLOOKUP(H198,Lijsten!$H$1:$I$100,2,0),"")</f>
        <v/>
      </c>
      <c r="N198" s="319" t="str">
        <f ca="1">IFERROR(IF(VLOOKUP(F198,Kostentypen!$A$3:$E$21,3,0)=0,"",IF(OR(F198="Arbeidskosten",F198="Vergoeding"),VLOOKUP(G198,Tb_KostenTypen[],2,0),VLOOKUP(F198,Kostentypen!$A$3:$E$20,3,0))),"")</f>
        <v/>
      </c>
      <c r="O198" s="320" t="str" cm="1">
        <f t="array" ref="O198">_xlfn.IFNA(IF(INDEX(Tb_KostenOptiesDB[],MATCH($F198,Tb_KostenOptiesDB[KostenOptie],0),IFERROR(MATCH(Methode_Keuze,Tb_KostenOptiesDB[#Headers],0),2))=1,_xlfn.SWITCH($N198,"Uurtarief",IF(OR(AND(RIGHT($F198,3)="IKS",VLOOKUP($M198,DB_Loonkosten,2,0)="Ja"),AND(RIGHT($F198,3)&lt;&gt;"IKS",VLOOKUP($M198,DB_Loonkosten,2,0)="Nee")),IFERROR(VLOOKUP($M198,DB_Loonkosten,24,0),""),0),"Vast tarief",IF(LEFT(F198,8)="Bijdrage",VLOOKUP($F198,Tb_KostenTypen[],MATCH(Lijsten!$P$1,Tb_KostenTypen[#Headers],0),0),VLOOKUP($G198,Lijsten!L:P,MATCH(Lijsten!$P$1,Kop_Tarief_Vast,0),0))),""),"")</f>
        <v/>
      </c>
      <c r="P198" s="320" t="str" cm="1">
        <f t="array" ref="P198">_xlfn.IFNA(IF(INDEX(Tb_KostenOptiesDB[],MATCH($F198,Tb_KostenOptiesDB[KostenOptie],0),IFERROR(MATCH(Methode_Keuze,Tb_KostenOptiesDB[#Headers],0),2))=1,_xlfn.SWITCH($N198,"Uurtarief",IF(OR(AND(RIGHT($F198,3)="IKS",VLOOKUP($M198,DB_Loonkosten,2,0)="Ja"),AND(RIGHT($F198,3)&lt;&gt;"IKS",VLOOKUP($M198,DB_Loonkosten,2,0)="Nee")),IFERROR(VLOOKUP($M198,DB_Loonkosten,25,0),""),0),"Vast tarief",IF(LEFT(F198,8)="Bijdrage",VLOOKUP($F198,Tb_KostenTypen[],MATCH(Lijsten!$P$1,Tb_KostenTypen[#Headers],0),0),VLOOKUP($G198,Lijsten!L:P,MATCH(Lijsten!$P$1,Kop_Tarief_Vast,0),0))),""),"")</f>
        <v/>
      </c>
      <c r="Q198" s="359"/>
      <c r="R198" s="359"/>
      <c r="S198" s="321"/>
      <c r="T198" s="321"/>
      <c r="U198" s="373" t="str">
        <f t="shared" si="12"/>
        <v/>
      </c>
      <c r="V198" s="314" t="str">
        <f t="shared" si="13"/>
        <v/>
      </c>
      <c r="W198" s="314" t="str" cm="1">
        <f t="array" aca="1" ref="W198" ca="1">IFERROR(IF(AE198&lt;&gt;"ja",_xlfn.IFNA(_xlfn.IFS(AND(O198&lt;&gt;"",F198&lt;&gt;"",RIGHT($N198,6)="tarief",F198="Vergoeding"),SUM(O198)*FLOOR(SUM(Q198),0.0001),AND(O198&lt;&gt;"",F198&lt;&gt;"",RIGHT($N198,6)="tarief"),SUM(O198)*FLOOR(SUM(Q198),0.01),S198&gt;0,IF(F198&lt;&gt;"",FLOOR(SUM(S198),0.01),"")),""),""),"")</f>
        <v/>
      </c>
      <c r="X198" s="314" t="str" cm="1">
        <f t="array" aca="1" ref="X198" ca="1">IFERROR(IF(AE198&lt;&gt;"ja",_xlfn.IFNA(_xlfn.IFS(AND(P198&lt;&gt;"",R198&lt;&gt;"",RIGHT($N198,6)="tarief",F198="Vergoeding"),SUM(P198)*FLOOR(SUM(R198),0.0001),AND(P198&lt;&gt;"",R198&lt;&gt;"",RIGHT($N198,6)="tarief"),P198*FLOOR(R198,0.01),T198&gt;0,FLOOR(SUM(T198),0.01)),""),""),"")</f>
        <v/>
      </c>
      <c r="Y198" s="314" t="str">
        <f t="shared" ca="1" si="14"/>
        <v/>
      </c>
      <c r="Z198" s="314" t="str" cm="1">
        <f t="array" aca="1" ref="Z198" ca="1">IFERROR(_xlfn.IFS(OR(F198="",LEFT(Methode_Keuze,4)="Geen",Methode_Keuze=""),"",AND(W198&lt;&gt;"",F198&lt;&gt;"Arbeidskosten"),W198*VLOOKUP(F198,Tb_ProjectKosten[],MATCH(Tb_ProjectKosten[[#Headers],[Forfait_Percentage]],Tb_ProjectKosten[#Headers],0),0),AND(F198="Arbeidskosten",G198&lt;&gt;""),IFERROR(W198*VLOOKUP(G198,Tb_KostenTypen[],3,0)*VLOOKUP(F198,Tb_ProjectKosten[],MATCH(Tb_ProjectKosten[[#Headers],[Forfait_Percentage]],Tb_ProjectKosten[#Headers],0),0),""),W198 &lt;=0,0),"")</f>
        <v/>
      </c>
      <c r="AA198" s="314" t="str" cm="1">
        <f t="array" aca="1" ref="AA198" ca="1">IFERROR(_xlfn.IFS(OR(F198="",LEFT(Methode_Keuze,4)="Geen",Methode_Keuze=""),"",AND(X198&lt;&gt;"",F198&lt;&gt;"Arbeidskosten"),X198*VLOOKUP(F198,Tb_ProjectKosten[],MATCH(Tb_ProjectKosten[[#Headers],[Forfait_Percentage]],Tb_ProjectKosten[#Headers],0),0),AND(F198="Arbeidskosten",G198&lt;&gt;""),IFERROR(X198*VLOOKUP(G198,Tb_KostenTypen[],3,0)*VLOOKUP(F198,Tb_ProjectKosten[],MATCH(Tb_ProjectKosten[[#Headers],[Forfait_Percentage]],Tb_ProjectKosten[#Headers],0),0),""),X198 &lt;=0,0),"")</f>
        <v/>
      </c>
      <c r="AB198" s="314" t="str">
        <f t="shared" ca="1" si="15"/>
        <v/>
      </c>
      <c r="AC198" s="322"/>
      <c r="AD198" s="315"/>
      <c r="AE198" s="32" t="str" cm="1">
        <f t="array" ref="AE198">IFERROR(IF(INDEX(SubsidieTabel!$AD$1:$AG$12,MATCH($F198,SubsidieTabel!$AD$1:$AD$12,0),IFERROR(MATCH(Methode_Keuze,SubsidieTabel!$AD$1:$AG$1,0),2))&lt;&gt;1=TRUE,"ja",""),"")</f>
        <v/>
      </c>
    </row>
    <row r="199" spans="1:31" x14ac:dyDescent="0.25">
      <c r="A199" s="316"/>
      <c r="B199" s="317" t="str">
        <f>IF(A199&lt;&gt;"",_xlfn.MAXIFS($B$1:B198,$A$1:A198,A199)+1,"")</f>
        <v/>
      </c>
      <c r="C199" s="296"/>
      <c r="D199" s="296"/>
      <c r="E199" s="296"/>
      <c r="F199" s="296"/>
      <c r="G199" s="326"/>
      <c r="H199" s="324"/>
      <c r="I199" s="325"/>
      <c r="J199" s="325"/>
      <c r="K199" s="318"/>
      <c r="L199" s="318"/>
      <c r="M199" s="319" t="str">
        <f>IFERROR(VLOOKUP(H199,Lijsten!$H$1:$I$100,2,0),"")</f>
        <v/>
      </c>
      <c r="N199" s="319" t="str">
        <f ca="1">IFERROR(IF(VLOOKUP(F199,Kostentypen!$A$3:$E$21,3,0)=0,"",IF(OR(F199="Arbeidskosten",F199="Vergoeding"),VLOOKUP(G199,Tb_KostenTypen[],2,0),VLOOKUP(F199,Kostentypen!$A$3:$E$20,3,0))),"")</f>
        <v/>
      </c>
      <c r="O199" s="320" t="str" cm="1">
        <f t="array" ref="O199">_xlfn.IFNA(IF(INDEX(Tb_KostenOptiesDB[],MATCH($F199,Tb_KostenOptiesDB[KostenOptie],0),IFERROR(MATCH(Methode_Keuze,Tb_KostenOptiesDB[#Headers],0),2))=1,_xlfn.SWITCH($N199,"Uurtarief",IF(OR(AND(RIGHT($F199,3)="IKS",VLOOKUP($M199,DB_Loonkosten,2,0)="Ja"),AND(RIGHT($F199,3)&lt;&gt;"IKS",VLOOKUP($M199,DB_Loonkosten,2,0)="Nee")),IFERROR(VLOOKUP($M199,DB_Loonkosten,24,0),""),0),"Vast tarief",IF(LEFT(F199,8)="Bijdrage",VLOOKUP($F199,Tb_KostenTypen[],MATCH(Lijsten!$P$1,Tb_KostenTypen[#Headers],0),0),VLOOKUP($G199,Lijsten!L:P,MATCH(Lijsten!$P$1,Kop_Tarief_Vast,0),0))),""),"")</f>
        <v/>
      </c>
      <c r="P199" s="320" t="str" cm="1">
        <f t="array" ref="P199">_xlfn.IFNA(IF(INDEX(Tb_KostenOptiesDB[],MATCH($F199,Tb_KostenOptiesDB[KostenOptie],0),IFERROR(MATCH(Methode_Keuze,Tb_KostenOptiesDB[#Headers],0),2))=1,_xlfn.SWITCH($N199,"Uurtarief",IF(OR(AND(RIGHT($F199,3)="IKS",VLOOKUP($M199,DB_Loonkosten,2,0)="Ja"),AND(RIGHT($F199,3)&lt;&gt;"IKS",VLOOKUP($M199,DB_Loonkosten,2,0)="Nee")),IFERROR(VLOOKUP($M199,DB_Loonkosten,25,0),""),0),"Vast tarief",IF(LEFT(F199,8)="Bijdrage",VLOOKUP($F199,Tb_KostenTypen[],MATCH(Lijsten!$P$1,Tb_KostenTypen[#Headers],0),0),VLOOKUP($G199,Lijsten!L:P,MATCH(Lijsten!$P$1,Kop_Tarief_Vast,0),0))),""),"")</f>
        <v/>
      </c>
      <c r="Q199" s="359"/>
      <c r="R199" s="359"/>
      <c r="S199" s="321"/>
      <c r="T199" s="321"/>
      <c r="U199" s="373" t="str">
        <f t="shared" si="12"/>
        <v/>
      </c>
      <c r="V199" s="314" t="str">
        <f t="shared" si="13"/>
        <v/>
      </c>
      <c r="W199" s="314" t="str" cm="1">
        <f t="array" aca="1" ref="W199" ca="1">IFERROR(IF(AE199&lt;&gt;"ja",_xlfn.IFNA(_xlfn.IFS(AND(O199&lt;&gt;"",F199&lt;&gt;"",RIGHT($N199,6)="tarief",F199="Vergoeding"),SUM(O199)*FLOOR(SUM(Q199),0.0001),AND(O199&lt;&gt;"",F199&lt;&gt;"",RIGHT($N199,6)="tarief"),SUM(O199)*FLOOR(SUM(Q199),0.01),S199&gt;0,IF(F199&lt;&gt;"",FLOOR(SUM(S199),0.01),"")),""),""),"")</f>
        <v/>
      </c>
      <c r="X199" s="314" t="str" cm="1">
        <f t="array" aca="1" ref="X199" ca="1">IFERROR(IF(AE199&lt;&gt;"ja",_xlfn.IFNA(_xlfn.IFS(AND(P199&lt;&gt;"",R199&lt;&gt;"",RIGHT($N199,6)="tarief",F199="Vergoeding"),SUM(P199)*FLOOR(SUM(R199),0.0001),AND(P199&lt;&gt;"",R199&lt;&gt;"",RIGHT($N199,6)="tarief"),P199*FLOOR(R199,0.01),T199&gt;0,FLOOR(SUM(T199),0.01)),""),""),"")</f>
        <v/>
      </c>
      <c r="Y199" s="314" t="str">
        <f t="shared" ca="1" si="14"/>
        <v/>
      </c>
      <c r="Z199" s="314" t="str" cm="1">
        <f t="array" aca="1" ref="Z199" ca="1">IFERROR(_xlfn.IFS(OR(F199="",LEFT(Methode_Keuze,4)="Geen",Methode_Keuze=""),"",AND(W199&lt;&gt;"",F199&lt;&gt;"Arbeidskosten"),W199*VLOOKUP(F199,Tb_ProjectKosten[],MATCH(Tb_ProjectKosten[[#Headers],[Forfait_Percentage]],Tb_ProjectKosten[#Headers],0),0),AND(F199="Arbeidskosten",G199&lt;&gt;""),IFERROR(W199*VLOOKUP(G199,Tb_KostenTypen[],3,0)*VLOOKUP(F199,Tb_ProjectKosten[],MATCH(Tb_ProjectKosten[[#Headers],[Forfait_Percentage]],Tb_ProjectKosten[#Headers],0),0),""),W199 &lt;=0,0),"")</f>
        <v/>
      </c>
      <c r="AA199" s="314" t="str" cm="1">
        <f t="array" aca="1" ref="AA199" ca="1">IFERROR(_xlfn.IFS(OR(F199="",LEFT(Methode_Keuze,4)="Geen",Methode_Keuze=""),"",AND(X199&lt;&gt;"",F199&lt;&gt;"Arbeidskosten"),X199*VLOOKUP(F199,Tb_ProjectKosten[],MATCH(Tb_ProjectKosten[[#Headers],[Forfait_Percentage]],Tb_ProjectKosten[#Headers],0),0),AND(F199="Arbeidskosten",G199&lt;&gt;""),IFERROR(X199*VLOOKUP(G199,Tb_KostenTypen[],3,0)*VLOOKUP(F199,Tb_ProjectKosten[],MATCH(Tb_ProjectKosten[[#Headers],[Forfait_Percentage]],Tb_ProjectKosten[#Headers],0),0),""),X199 &lt;=0,0),"")</f>
        <v/>
      </c>
      <c r="AB199" s="314" t="str">
        <f t="shared" ca="1" si="15"/>
        <v/>
      </c>
      <c r="AC199" s="322"/>
      <c r="AD199" s="315"/>
      <c r="AE199" s="32" t="str" cm="1">
        <f t="array" ref="AE199">IFERROR(IF(INDEX(SubsidieTabel!$AD$1:$AG$12,MATCH($F199,SubsidieTabel!$AD$1:$AD$12,0),IFERROR(MATCH(Methode_Keuze,SubsidieTabel!$AD$1:$AG$1,0),2))&lt;&gt;1=TRUE,"ja",""),"")</f>
        <v/>
      </c>
    </row>
    <row r="200" spans="1:31" x14ac:dyDescent="0.25">
      <c r="A200" s="316"/>
      <c r="B200" s="317" t="str">
        <f>IF(A200&lt;&gt;"",_xlfn.MAXIFS($B$1:B199,$A$1:A199,A200)+1,"")</f>
        <v/>
      </c>
      <c r="C200" s="296"/>
      <c r="D200" s="296"/>
      <c r="E200" s="296"/>
      <c r="F200" s="296"/>
      <c r="G200" s="326"/>
      <c r="H200" s="324"/>
      <c r="I200" s="325"/>
      <c r="J200" s="325"/>
      <c r="K200" s="318"/>
      <c r="L200" s="318"/>
      <c r="M200" s="319" t="str">
        <f>IFERROR(VLOOKUP(H200,Lijsten!$H$1:$I$100,2,0),"")</f>
        <v/>
      </c>
      <c r="N200" s="319" t="str">
        <f ca="1">IFERROR(IF(VLOOKUP(F200,Kostentypen!$A$3:$E$21,3,0)=0,"",IF(OR(F200="Arbeidskosten",F200="Vergoeding"),VLOOKUP(G200,Tb_KostenTypen[],2,0),VLOOKUP(F200,Kostentypen!$A$3:$E$20,3,0))),"")</f>
        <v/>
      </c>
      <c r="O200" s="320" t="str" cm="1">
        <f t="array" ref="O200">_xlfn.IFNA(IF(INDEX(Tb_KostenOptiesDB[],MATCH($F200,Tb_KostenOptiesDB[KostenOptie],0),IFERROR(MATCH(Methode_Keuze,Tb_KostenOptiesDB[#Headers],0),2))=1,_xlfn.SWITCH($N200,"Uurtarief",IF(OR(AND(RIGHT($F200,3)="IKS",VLOOKUP($M200,DB_Loonkosten,2,0)="Ja"),AND(RIGHT($F200,3)&lt;&gt;"IKS",VLOOKUP($M200,DB_Loonkosten,2,0)="Nee")),IFERROR(VLOOKUP($M200,DB_Loonkosten,24,0),""),0),"Vast tarief",IF(LEFT(F200,8)="Bijdrage",VLOOKUP($F200,Tb_KostenTypen[],MATCH(Lijsten!$P$1,Tb_KostenTypen[#Headers],0),0),VLOOKUP($G200,Lijsten!L:P,MATCH(Lijsten!$P$1,Kop_Tarief_Vast,0),0))),""),"")</f>
        <v/>
      </c>
      <c r="P200" s="320" t="str" cm="1">
        <f t="array" ref="P200">_xlfn.IFNA(IF(INDEX(Tb_KostenOptiesDB[],MATCH($F200,Tb_KostenOptiesDB[KostenOptie],0),IFERROR(MATCH(Methode_Keuze,Tb_KostenOptiesDB[#Headers],0),2))=1,_xlfn.SWITCH($N200,"Uurtarief",IF(OR(AND(RIGHT($F200,3)="IKS",VLOOKUP($M200,DB_Loonkosten,2,0)="Ja"),AND(RIGHT($F200,3)&lt;&gt;"IKS",VLOOKUP($M200,DB_Loonkosten,2,0)="Nee")),IFERROR(VLOOKUP($M200,DB_Loonkosten,25,0),""),0),"Vast tarief",IF(LEFT(F200,8)="Bijdrage",VLOOKUP($F200,Tb_KostenTypen[],MATCH(Lijsten!$P$1,Tb_KostenTypen[#Headers],0),0),VLOOKUP($G200,Lijsten!L:P,MATCH(Lijsten!$P$1,Kop_Tarief_Vast,0),0))),""),"")</f>
        <v/>
      </c>
      <c r="Q200" s="359"/>
      <c r="R200" s="359"/>
      <c r="S200" s="321"/>
      <c r="T200" s="321"/>
      <c r="U200" s="373" t="str">
        <f t="shared" si="12"/>
        <v/>
      </c>
      <c r="V200" s="314" t="str">
        <f t="shared" si="13"/>
        <v/>
      </c>
      <c r="W200" s="314" t="str" cm="1">
        <f t="array" aca="1" ref="W200" ca="1">IFERROR(IF(AE200&lt;&gt;"ja",_xlfn.IFNA(_xlfn.IFS(AND(O200&lt;&gt;"",F200&lt;&gt;"",RIGHT($N200,6)="tarief",F200="Vergoeding"),SUM(O200)*FLOOR(SUM(Q200),0.0001),AND(O200&lt;&gt;"",F200&lt;&gt;"",RIGHT($N200,6)="tarief"),SUM(O200)*FLOOR(SUM(Q200),0.01),S200&gt;0,IF(F200&lt;&gt;"",FLOOR(SUM(S200),0.01),"")),""),""),"")</f>
        <v/>
      </c>
      <c r="X200" s="314" t="str" cm="1">
        <f t="array" aca="1" ref="X200" ca="1">IFERROR(IF(AE200&lt;&gt;"ja",_xlfn.IFNA(_xlfn.IFS(AND(P200&lt;&gt;"",R200&lt;&gt;"",RIGHT($N200,6)="tarief",F200="Vergoeding"),SUM(P200)*FLOOR(SUM(R200),0.0001),AND(P200&lt;&gt;"",R200&lt;&gt;"",RIGHT($N200,6)="tarief"),P200*FLOOR(R200,0.01),T200&gt;0,FLOOR(SUM(T200),0.01)),""),""),"")</f>
        <v/>
      </c>
      <c r="Y200" s="314" t="str">
        <f t="shared" ca="1" si="14"/>
        <v/>
      </c>
      <c r="Z200" s="314" t="str" cm="1">
        <f t="array" aca="1" ref="Z200" ca="1">IFERROR(_xlfn.IFS(OR(F200="",LEFT(Methode_Keuze,4)="Geen",Methode_Keuze=""),"",AND(W200&lt;&gt;"",F200&lt;&gt;"Arbeidskosten"),W200*VLOOKUP(F200,Tb_ProjectKosten[],MATCH(Tb_ProjectKosten[[#Headers],[Forfait_Percentage]],Tb_ProjectKosten[#Headers],0),0),AND(F200="Arbeidskosten",G200&lt;&gt;""),IFERROR(W200*VLOOKUP(G200,Tb_KostenTypen[],3,0)*VLOOKUP(F200,Tb_ProjectKosten[],MATCH(Tb_ProjectKosten[[#Headers],[Forfait_Percentage]],Tb_ProjectKosten[#Headers],0),0),""),W200 &lt;=0,0),"")</f>
        <v/>
      </c>
      <c r="AA200" s="314" t="str" cm="1">
        <f t="array" aca="1" ref="AA200" ca="1">IFERROR(_xlfn.IFS(OR(F200="",LEFT(Methode_Keuze,4)="Geen",Methode_Keuze=""),"",AND(X200&lt;&gt;"",F200&lt;&gt;"Arbeidskosten"),X200*VLOOKUP(F200,Tb_ProjectKosten[],MATCH(Tb_ProjectKosten[[#Headers],[Forfait_Percentage]],Tb_ProjectKosten[#Headers],0),0),AND(F200="Arbeidskosten",G200&lt;&gt;""),IFERROR(X200*VLOOKUP(G200,Tb_KostenTypen[],3,0)*VLOOKUP(F200,Tb_ProjectKosten[],MATCH(Tb_ProjectKosten[[#Headers],[Forfait_Percentage]],Tb_ProjectKosten[#Headers],0),0),""),X200 &lt;=0,0),"")</f>
        <v/>
      </c>
      <c r="AB200" s="314" t="str">
        <f t="shared" ca="1" si="15"/>
        <v/>
      </c>
      <c r="AC200" s="322"/>
      <c r="AD200" s="315"/>
      <c r="AE200" s="32" t="str" cm="1">
        <f t="array" ref="AE200">IFERROR(IF(INDEX(SubsidieTabel!$AD$1:$AG$12,MATCH($F200,SubsidieTabel!$AD$1:$AD$12,0),IFERROR(MATCH(Methode_Keuze,SubsidieTabel!$AD$1:$AG$1,0),2))&lt;&gt;1=TRUE,"ja",""),"")</f>
        <v/>
      </c>
    </row>
    <row r="201" spans="1:31" x14ac:dyDescent="0.25">
      <c r="A201" s="316"/>
      <c r="B201" s="317" t="str">
        <f>IF(A201&lt;&gt;"",_xlfn.MAXIFS($B$1:B200,$A$1:A200,A201)+1,"")</f>
        <v/>
      </c>
      <c r="C201" s="296"/>
      <c r="D201" s="296"/>
      <c r="E201" s="296"/>
      <c r="F201" s="296"/>
      <c r="G201" s="326"/>
      <c r="H201" s="324"/>
      <c r="I201" s="325"/>
      <c r="J201" s="325"/>
      <c r="K201" s="318"/>
      <c r="L201" s="318"/>
      <c r="M201" s="319" t="str">
        <f>IFERROR(VLOOKUP(H201,Lijsten!$H$1:$I$100,2,0),"")</f>
        <v/>
      </c>
      <c r="N201" s="319" t="str">
        <f ca="1">IFERROR(IF(VLOOKUP(F201,Kostentypen!$A$3:$E$21,3,0)=0,"",IF(OR(F201="Arbeidskosten",F201="Vergoeding"),VLOOKUP(G201,Tb_KostenTypen[],2,0),VLOOKUP(F201,Kostentypen!$A$3:$E$20,3,0))),"")</f>
        <v/>
      </c>
      <c r="O201" s="320" t="str" cm="1">
        <f t="array" ref="O201">_xlfn.IFNA(IF(INDEX(Tb_KostenOptiesDB[],MATCH($F201,Tb_KostenOptiesDB[KostenOptie],0),IFERROR(MATCH(Methode_Keuze,Tb_KostenOptiesDB[#Headers],0),2))=1,_xlfn.SWITCH($N201,"Uurtarief",IF(OR(AND(RIGHT($F201,3)="IKS",VLOOKUP($M201,DB_Loonkosten,2,0)="Ja"),AND(RIGHT($F201,3)&lt;&gt;"IKS",VLOOKUP($M201,DB_Loonkosten,2,0)="Nee")),IFERROR(VLOOKUP($M201,DB_Loonkosten,24,0),""),0),"Vast tarief",IF(LEFT(F201,8)="Bijdrage",VLOOKUP($F201,Tb_KostenTypen[],MATCH(Lijsten!$P$1,Tb_KostenTypen[#Headers],0),0),VLOOKUP($G201,Lijsten!L:P,MATCH(Lijsten!$P$1,Kop_Tarief_Vast,0),0))),""),"")</f>
        <v/>
      </c>
      <c r="P201" s="320" t="str" cm="1">
        <f t="array" ref="P201">_xlfn.IFNA(IF(INDEX(Tb_KostenOptiesDB[],MATCH($F201,Tb_KostenOptiesDB[KostenOptie],0),IFERROR(MATCH(Methode_Keuze,Tb_KostenOptiesDB[#Headers],0),2))=1,_xlfn.SWITCH($N201,"Uurtarief",IF(OR(AND(RIGHT($F201,3)="IKS",VLOOKUP($M201,DB_Loonkosten,2,0)="Ja"),AND(RIGHT($F201,3)&lt;&gt;"IKS",VLOOKUP($M201,DB_Loonkosten,2,0)="Nee")),IFERROR(VLOOKUP($M201,DB_Loonkosten,25,0),""),0),"Vast tarief",IF(LEFT(F201,8)="Bijdrage",VLOOKUP($F201,Tb_KostenTypen[],MATCH(Lijsten!$P$1,Tb_KostenTypen[#Headers],0),0),VLOOKUP($G201,Lijsten!L:P,MATCH(Lijsten!$P$1,Kop_Tarief_Vast,0),0))),""),"")</f>
        <v/>
      </c>
      <c r="Q201" s="359"/>
      <c r="R201" s="359"/>
      <c r="S201" s="321"/>
      <c r="T201" s="321"/>
      <c r="U201" s="373" t="str">
        <f t="shared" si="12"/>
        <v/>
      </c>
      <c r="V201" s="314" t="str">
        <f t="shared" si="13"/>
        <v/>
      </c>
      <c r="W201" s="314" t="str" cm="1">
        <f t="array" aca="1" ref="W201" ca="1">IFERROR(IF(AE201&lt;&gt;"ja",_xlfn.IFNA(_xlfn.IFS(AND(O201&lt;&gt;"",F201&lt;&gt;"",RIGHT($N201,6)="tarief",F201="Vergoeding"),SUM(O201)*FLOOR(SUM(Q201),0.0001),AND(O201&lt;&gt;"",F201&lt;&gt;"",RIGHT($N201,6)="tarief"),SUM(O201)*FLOOR(SUM(Q201),0.01),S201&gt;0,IF(F201&lt;&gt;"",FLOOR(SUM(S201),0.01),"")),""),""),"")</f>
        <v/>
      </c>
      <c r="X201" s="314" t="str" cm="1">
        <f t="array" aca="1" ref="X201" ca="1">IFERROR(IF(AE201&lt;&gt;"ja",_xlfn.IFNA(_xlfn.IFS(AND(P201&lt;&gt;"",R201&lt;&gt;"",RIGHT($N201,6)="tarief",F201="Vergoeding"),SUM(P201)*FLOOR(SUM(R201),0.0001),AND(P201&lt;&gt;"",R201&lt;&gt;"",RIGHT($N201,6)="tarief"),P201*FLOOR(R201,0.01),T201&gt;0,FLOOR(SUM(T201),0.01)),""),""),"")</f>
        <v/>
      </c>
      <c r="Y201" s="314" t="str">
        <f t="shared" ca="1" si="14"/>
        <v/>
      </c>
      <c r="Z201" s="314" t="str" cm="1">
        <f t="array" aca="1" ref="Z201" ca="1">IFERROR(_xlfn.IFS(OR(F201="",LEFT(Methode_Keuze,4)="Geen",Methode_Keuze=""),"",AND(W201&lt;&gt;"",F201&lt;&gt;"Arbeidskosten"),W201*VLOOKUP(F201,Tb_ProjectKosten[],MATCH(Tb_ProjectKosten[[#Headers],[Forfait_Percentage]],Tb_ProjectKosten[#Headers],0),0),AND(F201="Arbeidskosten",G201&lt;&gt;""),IFERROR(W201*VLOOKUP(G201,Tb_KostenTypen[],3,0)*VLOOKUP(F201,Tb_ProjectKosten[],MATCH(Tb_ProjectKosten[[#Headers],[Forfait_Percentage]],Tb_ProjectKosten[#Headers],0),0),""),W201 &lt;=0,0),"")</f>
        <v/>
      </c>
      <c r="AA201" s="314" t="str" cm="1">
        <f t="array" aca="1" ref="AA201" ca="1">IFERROR(_xlfn.IFS(OR(F201="",LEFT(Methode_Keuze,4)="Geen",Methode_Keuze=""),"",AND(X201&lt;&gt;"",F201&lt;&gt;"Arbeidskosten"),X201*VLOOKUP(F201,Tb_ProjectKosten[],MATCH(Tb_ProjectKosten[[#Headers],[Forfait_Percentage]],Tb_ProjectKosten[#Headers],0),0),AND(F201="Arbeidskosten",G201&lt;&gt;""),IFERROR(X201*VLOOKUP(G201,Tb_KostenTypen[],3,0)*VLOOKUP(F201,Tb_ProjectKosten[],MATCH(Tb_ProjectKosten[[#Headers],[Forfait_Percentage]],Tb_ProjectKosten[#Headers],0),0),""),X201 &lt;=0,0),"")</f>
        <v/>
      </c>
      <c r="AB201" s="314" t="str">
        <f t="shared" ca="1" si="15"/>
        <v/>
      </c>
      <c r="AC201" s="322"/>
      <c r="AD201" s="315"/>
      <c r="AE201" s="32" t="str" cm="1">
        <f t="array" ref="AE201">IFERROR(IF(INDEX(SubsidieTabel!$AD$1:$AG$12,MATCH($F201,SubsidieTabel!$AD$1:$AD$12,0),IFERROR(MATCH(Methode_Keuze,SubsidieTabel!$AD$1:$AG$1,0),2))&lt;&gt;1=TRUE,"ja",""),"")</f>
        <v/>
      </c>
    </row>
    <row r="202" spans="1:31" x14ac:dyDescent="0.25">
      <c r="A202" s="316"/>
      <c r="B202" s="317" t="str">
        <f>IF(A202&lt;&gt;"",_xlfn.MAXIFS($B$1:B201,$A$1:A201,A202)+1,"")</f>
        <v/>
      </c>
      <c r="C202" s="296"/>
      <c r="D202" s="296"/>
      <c r="E202" s="296"/>
      <c r="F202" s="296"/>
      <c r="G202" s="326"/>
      <c r="H202" s="324"/>
      <c r="I202" s="325"/>
      <c r="J202" s="325"/>
      <c r="K202" s="318"/>
      <c r="L202" s="318"/>
      <c r="M202" s="319" t="str">
        <f>IFERROR(VLOOKUP(H202,Lijsten!$H$1:$I$100,2,0),"")</f>
        <v/>
      </c>
      <c r="N202" s="319" t="str">
        <f ca="1">IFERROR(IF(VLOOKUP(F202,Kostentypen!$A$3:$E$21,3,0)=0,"",IF(OR(F202="Arbeidskosten",F202="Vergoeding"),VLOOKUP(G202,Tb_KostenTypen[],2,0),VLOOKUP(F202,Kostentypen!$A$3:$E$20,3,0))),"")</f>
        <v/>
      </c>
      <c r="O202" s="320" t="str" cm="1">
        <f t="array" ref="O202">_xlfn.IFNA(IF(INDEX(Tb_KostenOptiesDB[],MATCH($F202,Tb_KostenOptiesDB[KostenOptie],0),IFERROR(MATCH(Methode_Keuze,Tb_KostenOptiesDB[#Headers],0),2))=1,_xlfn.SWITCH($N202,"Uurtarief",IF(OR(AND(RIGHT($F202,3)="IKS",VLOOKUP($M202,DB_Loonkosten,2,0)="Ja"),AND(RIGHT($F202,3)&lt;&gt;"IKS",VLOOKUP($M202,DB_Loonkosten,2,0)="Nee")),IFERROR(VLOOKUP($M202,DB_Loonkosten,24,0),""),0),"Vast tarief",IF(LEFT(F202,8)="Bijdrage",VLOOKUP($F202,Tb_KostenTypen[],MATCH(Lijsten!$P$1,Tb_KostenTypen[#Headers],0),0),VLOOKUP($G202,Lijsten!L:P,MATCH(Lijsten!$P$1,Kop_Tarief_Vast,0),0))),""),"")</f>
        <v/>
      </c>
      <c r="P202" s="320" t="str" cm="1">
        <f t="array" ref="P202">_xlfn.IFNA(IF(INDEX(Tb_KostenOptiesDB[],MATCH($F202,Tb_KostenOptiesDB[KostenOptie],0),IFERROR(MATCH(Methode_Keuze,Tb_KostenOptiesDB[#Headers],0),2))=1,_xlfn.SWITCH($N202,"Uurtarief",IF(OR(AND(RIGHT($F202,3)="IKS",VLOOKUP($M202,DB_Loonkosten,2,0)="Ja"),AND(RIGHT($F202,3)&lt;&gt;"IKS",VLOOKUP($M202,DB_Loonkosten,2,0)="Nee")),IFERROR(VLOOKUP($M202,DB_Loonkosten,25,0),""),0),"Vast tarief",IF(LEFT(F202,8)="Bijdrage",VLOOKUP($F202,Tb_KostenTypen[],MATCH(Lijsten!$P$1,Tb_KostenTypen[#Headers],0),0),VLOOKUP($G202,Lijsten!L:P,MATCH(Lijsten!$P$1,Kop_Tarief_Vast,0),0))),""),"")</f>
        <v/>
      </c>
      <c r="Q202" s="359"/>
      <c r="R202" s="359"/>
      <c r="S202" s="321"/>
      <c r="T202" s="321"/>
      <c r="U202" s="373" t="str">
        <f t="shared" si="12"/>
        <v/>
      </c>
      <c r="V202" s="314" t="str">
        <f t="shared" si="13"/>
        <v/>
      </c>
      <c r="W202" s="314" t="str" cm="1">
        <f t="array" aca="1" ref="W202" ca="1">IFERROR(IF(AE202&lt;&gt;"ja",_xlfn.IFNA(_xlfn.IFS(AND(O202&lt;&gt;"",F202&lt;&gt;"",RIGHT($N202,6)="tarief",F202="Vergoeding"),SUM(O202)*FLOOR(SUM(Q202),0.0001),AND(O202&lt;&gt;"",F202&lt;&gt;"",RIGHT($N202,6)="tarief"),SUM(O202)*FLOOR(SUM(Q202),0.01),S202&gt;0,IF(F202&lt;&gt;"",FLOOR(SUM(S202),0.01),"")),""),""),"")</f>
        <v/>
      </c>
      <c r="X202" s="314" t="str" cm="1">
        <f t="array" aca="1" ref="X202" ca="1">IFERROR(IF(AE202&lt;&gt;"ja",_xlfn.IFNA(_xlfn.IFS(AND(P202&lt;&gt;"",R202&lt;&gt;"",RIGHT($N202,6)="tarief",F202="Vergoeding"),SUM(P202)*FLOOR(SUM(R202),0.0001),AND(P202&lt;&gt;"",R202&lt;&gt;"",RIGHT($N202,6)="tarief"),P202*FLOOR(R202,0.01),T202&gt;0,FLOOR(SUM(T202),0.01)),""),""),"")</f>
        <v/>
      </c>
      <c r="Y202" s="314" t="str">
        <f t="shared" ca="1" si="14"/>
        <v/>
      </c>
      <c r="Z202" s="314" t="str" cm="1">
        <f t="array" aca="1" ref="Z202" ca="1">IFERROR(_xlfn.IFS(OR(F202="",LEFT(Methode_Keuze,4)="Geen",Methode_Keuze=""),"",AND(W202&lt;&gt;"",F202&lt;&gt;"Arbeidskosten"),W202*VLOOKUP(F202,Tb_ProjectKosten[],MATCH(Tb_ProjectKosten[[#Headers],[Forfait_Percentage]],Tb_ProjectKosten[#Headers],0),0),AND(F202="Arbeidskosten",G202&lt;&gt;""),IFERROR(W202*VLOOKUP(G202,Tb_KostenTypen[],3,0)*VLOOKUP(F202,Tb_ProjectKosten[],MATCH(Tb_ProjectKosten[[#Headers],[Forfait_Percentage]],Tb_ProjectKosten[#Headers],0),0),""),W202 &lt;=0,0),"")</f>
        <v/>
      </c>
      <c r="AA202" s="314" t="str" cm="1">
        <f t="array" aca="1" ref="AA202" ca="1">IFERROR(_xlfn.IFS(OR(F202="",LEFT(Methode_Keuze,4)="Geen",Methode_Keuze=""),"",AND(X202&lt;&gt;"",F202&lt;&gt;"Arbeidskosten"),X202*VLOOKUP(F202,Tb_ProjectKosten[],MATCH(Tb_ProjectKosten[[#Headers],[Forfait_Percentage]],Tb_ProjectKosten[#Headers],0),0),AND(F202="Arbeidskosten",G202&lt;&gt;""),IFERROR(X202*VLOOKUP(G202,Tb_KostenTypen[],3,0)*VLOOKUP(F202,Tb_ProjectKosten[],MATCH(Tb_ProjectKosten[[#Headers],[Forfait_Percentage]],Tb_ProjectKosten[#Headers],0),0),""),X202 &lt;=0,0),"")</f>
        <v/>
      </c>
      <c r="AB202" s="314" t="str">
        <f t="shared" ca="1" si="15"/>
        <v/>
      </c>
      <c r="AC202" s="322"/>
      <c r="AD202" s="315"/>
      <c r="AE202" s="32" t="str" cm="1">
        <f t="array" ref="AE202">IFERROR(IF(INDEX(SubsidieTabel!$AD$1:$AG$12,MATCH($F202,SubsidieTabel!$AD$1:$AD$12,0),IFERROR(MATCH(Methode_Keuze,SubsidieTabel!$AD$1:$AG$1,0),2))&lt;&gt;1=TRUE,"ja",""),"")</f>
        <v/>
      </c>
    </row>
    <row r="203" spans="1:31" x14ac:dyDescent="0.25">
      <c r="A203" s="316"/>
      <c r="B203" s="317" t="str">
        <f>IF(A203&lt;&gt;"",_xlfn.MAXIFS($B$1:B202,$A$1:A202,A203)+1,"")</f>
        <v/>
      </c>
      <c r="C203" s="296"/>
      <c r="D203" s="296"/>
      <c r="E203" s="296"/>
      <c r="F203" s="296"/>
      <c r="G203" s="326"/>
      <c r="H203" s="324"/>
      <c r="I203" s="325"/>
      <c r="J203" s="325"/>
      <c r="K203" s="318"/>
      <c r="L203" s="318"/>
      <c r="M203" s="319" t="str">
        <f>IFERROR(VLOOKUP(H203,Lijsten!$H$1:$I$100,2,0),"")</f>
        <v/>
      </c>
      <c r="N203" s="319" t="str">
        <f ca="1">IFERROR(IF(VLOOKUP(F203,Kostentypen!$A$3:$E$21,3,0)=0,"",IF(OR(F203="Arbeidskosten",F203="Vergoeding"),VLOOKUP(G203,Tb_KostenTypen[],2,0),VLOOKUP(F203,Kostentypen!$A$3:$E$20,3,0))),"")</f>
        <v/>
      </c>
      <c r="O203" s="320" t="str" cm="1">
        <f t="array" ref="O203">_xlfn.IFNA(IF(INDEX(Tb_KostenOptiesDB[],MATCH($F203,Tb_KostenOptiesDB[KostenOptie],0),IFERROR(MATCH(Methode_Keuze,Tb_KostenOptiesDB[#Headers],0),2))=1,_xlfn.SWITCH($N203,"Uurtarief",IF(OR(AND(RIGHT($F203,3)="IKS",VLOOKUP($M203,DB_Loonkosten,2,0)="Ja"),AND(RIGHT($F203,3)&lt;&gt;"IKS",VLOOKUP($M203,DB_Loonkosten,2,0)="Nee")),IFERROR(VLOOKUP($M203,DB_Loonkosten,24,0),""),0),"Vast tarief",IF(LEFT(F203,8)="Bijdrage",VLOOKUP($F203,Tb_KostenTypen[],MATCH(Lijsten!$P$1,Tb_KostenTypen[#Headers],0),0),VLOOKUP($G203,Lijsten!L:P,MATCH(Lijsten!$P$1,Kop_Tarief_Vast,0),0))),""),"")</f>
        <v/>
      </c>
      <c r="P203" s="320" t="str" cm="1">
        <f t="array" ref="P203">_xlfn.IFNA(IF(INDEX(Tb_KostenOptiesDB[],MATCH($F203,Tb_KostenOptiesDB[KostenOptie],0),IFERROR(MATCH(Methode_Keuze,Tb_KostenOptiesDB[#Headers],0),2))=1,_xlfn.SWITCH($N203,"Uurtarief",IF(OR(AND(RIGHT($F203,3)="IKS",VLOOKUP($M203,DB_Loonkosten,2,0)="Ja"),AND(RIGHT($F203,3)&lt;&gt;"IKS",VLOOKUP($M203,DB_Loonkosten,2,0)="Nee")),IFERROR(VLOOKUP($M203,DB_Loonkosten,25,0),""),0),"Vast tarief",IF(LEFT(F203,8)="Bijdrage",VLOOKUP($F203,Tb_KostenTypen[],MATCH(Lijsten!$P$1,Tb_KostenTypen[#Headers],0),0),VLOOKUP($G203,Lijsten!L:P,MATCH(Lijsten!$P$1,Kop_Tarief_Vast,0),0))),""),"")</f>
        <v/>
      </c>
      <c r="Q203" s="359"/>
      <c r="R203" s="359"/>
      <c r="S203" s="321"/>
      <c r="T203" s="321"/>
      <c r="U203" s="373" t="str">
        <f t="shared" si="12"/>
        <v/>
      </c>
      <c r="V203" s="314" t="str">
        <f t="shared" si="13"/>
        <v/>
      </c>
      <c r="W203" s="314" t="str" cm="1">
        <f t="array" aca="1" ref="W203" ca="1">IFERROR(IF(AE203&lt;&gt;"ja",_xlfn.IFNA(_xlfn.IFS(AND(O203&lt;&gt;"",F203&lt;&gt;"",RIGHT($N203,6)="tarief",F203="Vergoeding"),SUM(O203)*FLOOR(SUM(Q203),0.0001),AND(O203&lt;&gt;"",F203&lt;&gt;"",RIGHT($N203,6)="tarief"),SUM(O203)*FLOOR(SUM(Q203),0.01),S203&gt;0,IF(F203&lt;&gt;"",FLOOR(SUM(S203),0.01),"")),""),""),"")</f>
        <v/>
      </c>
      <c r="X203" s="314" t="str" cm="1">
        <f t="array" aca="1" ref="X203" ca="1">IFERROR(IF(AE203&lt;&gt;"ja",_xlfn.IFNA(_xlfn.IFS(AND(P203&lt;&gt;"",R203&lt;&gt;"",RIGHT($N203,6)="tarief",F203="Vergoeding"),SUM(P203)*FLOOR(SUM(R203),0.0001),AND(P203&lt;&gt;"",R203&lt;&gt;"",RIGHT($N203,6)="tarief"),P203*FLOOR(R203,0.01),T203&gt;0,FLOOR(SUM(T203),0.01)),""),""),"")</f>
        <v/>
      </c>
      <c r="Y203" s="314" t="str">
        <f t="shared" ca="1" si="14"/>
        <v/>
      </c>
      <c r="Z203" s="314" t="str" cm="1">
        <f t="array" aca="1" ref="Z203" ca="1">IFERROR(_xlfn.IFS(OR(F203="",LEFT(Methode_Keuze,4)="Geen",Methode_Keuze=""),"",AND(W203&lt;&gt;"",F203&lt;&gt;"Arbeidskosten"),W203*VLOOKUP(F203,Tb_ProjectKosten[],MATCH(Tb_ProjectKosten[[#Headers],[Forfait_Percentage]],Tb_ProjectKosten[#Headers],0),0),AND(F203="Arbeidskosten",G203&lt;&gt;""),IFERROR(W203*VLOOKUP(G203,Tb_KostenTypen[],3,0)*VLOOKUP(F203,Tb_ProjectKosten[],MATCH(Tb_ProjectKosten[[#Headers],[Forfait_Percentage]],Tb_ProjectKosten[#Headers],0),0),""),W203 &lt;=0,0),"")</f>
        <v/>
      </c>
      <c r="AA203" s="314" t="str" cm="1">
        <f t="array" aca="1" ref="AA203" ca="1">IFERROR(_xlfn.IFS(OR(F203="",LEFT(Methode_Keuze,4)="Geen",Methode_Keuze=""),"",AND(X203&lt;&gt;"",F203&lt;&gt;"Arbeidskosten"),X203*VLOOKUP(F203,Tb_ProjectKosten[],MATCH(Tb_ProjectKosten[[#Headers],[Forfait_Percentage]],Tb_ProjectKosten[#Headers],0),0),AND(F203="Arbeidskosten",G203&lt;&gt;""),IFERROR(X203*VLOOKUP(G203,Tb_KostenTypen[],3,0)*VLOOKUP(F203,Tb_ProjectKosten[],MATCH(Tb_ProjectKosten[[#Headers],[Forfait_Percentage]],Tb_ProjectKosten[#Headers],0),0),""),X203 &lt;=0,0),"")</f>
        <v/>
      </c>
      <c r="AB203" s="314" t="str">
        <f t="shared" ca="1" si="15"/>
        <v/>
      </c>
      <c r="AC203" s="322"/>
      <c r="AD203" s="315"/>
      <c r="AE203" s="32" t="str" cm="1">
        <f t="array" ref="AE203">IFERROR(IF(INDEX(SubsidieTabel!$AD$1:$AG$12,MATCH($F203,SubsidieTabel!$AD$1:$AD$12,0),IFERROR(MATCH(Methode_Keuze,SubsidieTabel!$AD$1:$AG$1,0),2))&lt;&gt;1=TRUE,"ja",""),"")</f>
        <v/>
      </c>
    </row>
    <row r="204" spans="1:31" x14ac:dyDescent="0.25">
      <c r="A204" s="316"/>
      <c r="B204" s="317" t="str">
        <f>IF(A204&lt;&gt;"",_xlfn.MAXIFS($B$1:B203,$A$1:A203,A204)+1,"")</f>
        <v/>
      </c>
      <c r="C204" s="296"/>
      <c r="D204" s="296"/>
      <c r="E204" s="296"/>
      <c r="F204" s="296"/>
      <c r="G204" s="326"/>
      <c r="H204" s="324"/>
      <c r="I204" s="325"/>
      <c r="J204" s="325"/>
      <c r="K204" s="318"/>
      <c r="L204" s="318"/>
      <c r="M204" s="319" t="str">
        <f>IFERROR(VLOOKUP(H204,Lijsten!$H$1:$I$100,2,0),"")</f>
        <v/>
      </c>
      <c r="N204" s="319" t="str">
        <f ca="1">IFERROR(IF(VLOOKUP(F204,Kostentypen!$A$3:$E$21,3,0)=0,"",IF(OR(F204="Arbeidskosten",F204="Vergoeding"),VLOOKUP(G204,Tb_KostenTypen[],2,0),VLOOKUP(F204,Kostentypen!$A$3:$E$20,3,0))),"")</f>
        <v/>
      </c>
      <c r="O204" s="320" t="str" cm="1">
        <f t="array" ref="O204">_xlfn.IFNA(IF(INDEX(Tb_KostenOptiesDB[],MATCH($F204,Tb_KostenOptiesDB[KostenOptie],0),IFERROR(MATCH(Methode_Keuze,Tb_KostenOptiesDB[#Headers],0),2))=1,_xlfn.SWITCH($N204,"Uurtarief",IF(OR(AND(RIGHT($F204,3)="IKS",VLOOKUP($M204,DB_Loonkosten,2,0)="Ja"),AND(RIGHT($F204,3)&lt;&gt;"IKS",VLOOKUP($M204,DB_Loonkosten,2,0)="Nee")),IFERROR(VLOOKUP($M204,DB_Loonkosten,24,0),""),0),"Vast tarief",IF(LEFT(F204,8)="Bijdrage",VLOOKUP($F204,Tb_KostenTypen[],MATCH(Lijsten!$P$1,Tb_KostenTypen[#Headers],0),0),VLOOKUP($G204,Lijsten!L:P,MATCH(Lijsten!$P$1,Kop_Tarief_Vast,0),0))),""),"")</f>
        <v/>
      </c>
      <c r="P204" s="320" t="str" cm="1">
        <f t="array" ref="P204">_xlfn.IFNA(IF(INDEX(Tb_KostenOptiesDB[],MATCH($F204,Tb_KostenOptiesDB[KostenOptie],0),IFERROR(MATCH(Methode_Keuze,Tb_KostenOptiesDB[#Headers],0),2))=1,_xlfn.SWITCH($N204,"Uurtarief",IF(OR(AND(RIGHT($F204,3)="IKS",VLOOKUP($M204,DB_Loonkosten,2,0)="Ja"),AND(RIGHT($F204,3)&lt;&gt;"IKS",VLOOKUP($M204,DB_Loonkosten,2,0)="Nee")),IFERROR(VLOOKUP($M204,DB_Loonkosten,25,0),""),0),"Vast tarief",IF(LEFT(F204,8)="Bijdrage",VLOOKUP($F204,Tb_KostenTypen[],MATCH(Lijsten!$P$1,Tb_KostenTypen[#Headers],0),0),VLOOKUP($G204,Lijsten!L:P,MATCH(Lijsten!$P$1,Kop_Tarief_Vast,0),0))),""),"")</f>
        <v/>
      </c>
      <c r="Q204" s="359"/>
      <c r="R204" s="359"/>
      <c r="S204" s="321"/>
      <c r="T204" s="321"/>
      <c r="U204" s="373" t="str">
        <f t="shared" si="12"/>
        <v/>
      </c>
      <c r="V204" s="314" t="str">
        <f t="shared" si="13"/>
        <v/>
      </c>
      <c r="W204" s="314" t="str" cm="1">
        <f t="array" aca="1" ref="W204" ca="1">IFERROR(IF(AE204&lt;&gt;"ja",_xlfn.IFNA(_xlfn.IFS(AND(O204&lt;&gt;"",F204&lt;&gt;"",RIGHT($N204,6)="tarief",F204="Vergoeding"),SUM(O204)*FLOOR(SUM(Q204),0.0001),AND(O204&lt;&gt;"",F204&lt;&gt;"",RIGHT($N204,6)="tarief"),SUM(O204)*FLOOR(SUM(Q204),0.01),S204&gt;0,IF(F204&lt;&gt;"",FLOOR(SUM(S204),0.01),"")),""),""),"")</f>
        <v/>
      </c>
      <c r="X204" s="314" t="str" cm="1">
        <f t="array" aca="1" ref="X204" ca="1">IFERROR(IF(AE204&lt;&gt;"ja",_xlfn.IFNA(_xlfn.IFS(AND(P204&lt;&gt;"",R204&lt;&gt;"",RIGHT($N204,6)="tarief",F204="Vergoeding"),SUM(P204)*FLOOR(SUM(R204),0.0001),AND(P204&lt;&gt;"",R204&lt;&gt;"",RIGHT($N204,6)="tarief"),P204*FLOOR(R204,0.01),T204&gt;0,FLOOR(SUM(T204),0.01)),""),""),"")</f>
        <v/>
      </c>
      <c r="Y204" s="314" t="str">
        <f t="shared" ca="1" si="14"/>
        <v/>
      </c>
      <c r="Z204" s="314" t="str" cm="1">
        <f t="array" aca="1" ref="Z204" ca="1">IFERROR(_xlfn.IFS(OR(F204="",LEFT(Methode_Keuze,4)="Geen",Methode_Keuze=""),"",AND(W204&lt;&gt;"",F204&lt;&gt;"Arbeidskosten"),W204*VLOOKUP(F204,Tb_ProjectKosten[],MATCH(Tb_ProjectKosten[[#Headers],[Forfait_Percentage]],Tb_ProjectKosten[#Headers],0),0),AND(F204="Arbeidskosten",G204&lt;&gt;""),IFERROR(W204*VLOOKUP(G204,Tb_KostenTypen[],3,0)*VLOOKUP(F204,Tb_ProjectKosten[],MATCH(Tb_ProjectKosten[[#Headers],[Forfait_Percentage]],Tb_ProjectKosten[#Headers],0),0),""),W204 &lt;=0,0),"")</f>
        <v/>
      </c>
      <c r="AA204" s="314" t="str" cm="1">
        <f t="array" aca="1" ref="AA204" ca="1">IFERROR(_xlfn.IFS(OR(F204="",LEFT(Methode_Keuze,4)="Geen",Methode_Keuze=""),"",AND(X204&lt;&gt;"",F204&lt;&gt;"Arbeidskosten"),X204*VLOOKUP(F204,Tb_ProjectKosten[],MATCH(Tb_ProjectKosten[[#Headers],[Forfait_Percentage]],Tb_ProjectKosten[#Headers],0),0),AND(F204="Arbeidskosten",G204&lt;&gt;""),IFERROR(X204*VLOOKUP(G204,Tb_KostenTypen[],3,0)*VLOOKUP(F204,Tb_ProjectKosten[],MATCH(Tb_ProjectKosten[[#Headers],[Forfait_Percentage]],Tb_ProjectKosten[#Headers],0),0),""),X204 &lt;=0,0),"")</f>
        <v/>
      </c>
      <c r="AB204" s="314" t="str">
        <f t="shared" ca="1" si="15"/>
        <v/>
      </c>
      <c r="AC204" s="322"/>
      <c r="AD204" s="315"/>
      <c r="AE204" s="32" t="str" cm="1">
        <f t="array" ref="AE204">IFERROR(IF(INDEX(SubsidieTabel!$AD$1:$AG$12,MATCH($F204,SubsidieTabel!$AD$1:$AD$12,0),IFERROR(MATCH(Methode_Keuze,SubsidieTabel!$AD$1:$AG$1,0),2))&lt;&gt;1=TRUE,"ja",""),"")</f>
        <v/>
      </c>
    </row>
    <row r="205" spans="1:31" x14ac:dyDescent="0.25">
      <c r="A205" s="316"/>
      <c r="B205" s="317" t="str">
        <f>IF(A205&lt;&gt;"",_xlfn.MAXIFS($B$1:B204,$A$1:A204,A205)+1,"")</f>
        <v/>
      </c>
      <c r="C205" s="296"/>
      <c r="D205" s="296"/>
      <c r="E205" s="296"/>
      <c r="F205" s="296"/>
      <c r="G205" s="326"/>
      <c r="H205" s="324"/>
      <c r="I205" s="325"/>
      <c r="J205" s="325"/>
      <c r="K205" s="318"/>
      <c r="L205" s="318"/>
      <c r="M205" s="319" t="str">
        <f>IFERROR(VLOOKUP(H205,Lijsten!$H$1:$I$100,2,0),"")</f>
        <v/>
      </c>
      <c r="N205" s="319" t="str">
        <f ca="1">IFERROR(IF(VLOOKUP(F205,Kostentypen!$A$3:$E$21,3,0)=0,"",IF(OR(F205="Arbeidskosten",F205="Vergoeding"),VLOOKUP(G205,Tb_KostenTypen[],2,0),VLOOKUP(F205,Kostentypen!$A$3:$E$20,3,0))),"")</f>
        <v/>
      </c>
      <c r="O205" s="320" t="str" cm="1">
        <f t="array" ref="O205">_xlfn.IFNA(IF(INDEX(Tb_KostenOptiesDB[],MATCH($F205,Tb_KostenOptiesDB[KostenOptie],0),IFERROR(MATCH(Methode_Keuze,Tb_KostenOptiesDB[#Headers],0),2))=1,_xlfn.SWITCH($N205,"Uurtarief",IF(OR(AND(RIGHT($F205,3)="IKS",VLOOKUP($M205,DB_Loonkosten,2,0)="Ja"),AND(RIGHT($F205,3)&lt;&gt;"IKS",VLOOKUP($M205,DB_Loonkosten,2,0)="Nee")),IFERROR(VLOOKUP($M205,DB_Loonkosten,24,0),""),0),"Vast tarief",IF(LEFT(F205,8)="Bijdrage",VLOOKUP($F205,Tb_KostenTypen[],MATCH(Lijsten!$P$1,Tb_KostenTypen[#Headers],0),0),VLOOKUP($G205,Lijsten!L:P,MATCH(Lijsten!$P$1,Kop_Tarief_Vast,0),0))),""),"")</f>
        <v/>
      </c>
      <c r="P205" s="320" t="str" cm="1">
        <f t="array" ref="P205">_xlfn.IFNA(IF(INDEX(Tb_KostenOptiesDB[],MATCH($F205,Tb_KostenOptiesDB[KostenOptie],0),IFERROR(MATCH(Methode_Keuze,Tb_KostenOptiesDB[#Headers],0),2))=1,_xlfn.SWITCH($N205,"Uurtarief",IF(OR(AND(RIGHT($F205,3)="IKS",VLOOKUP($M205,DB_Loonkosten,2,0)="Ja"),AND(RIGHT($F205,3)&lt;&gt;"IKS",VLOOKUP($M205,DB_Loonkosten,2,0)="Nee")),IFERROR(VLOOKUP($M205,DB_Loonkosten,25,0),""),0),"Vast tarief",IF(LEFT(F205,8)="Bijdrage",VLOOKUP($F205,Tb_KostenTypen[],MATCH(Lijsten!$P$1,Tb_KostenTypen[#Headers],0),0),VLOOKUP($G205,Lijsten!L:P,MATCH(Lijsten!$P$1,Kop_Tarief_Vast,0),0))),""),"")</f>
        <v/>
      </c>
      <c r="Q205" s="359"/>
      <c r="R205" s="359"/>
      <c r="S205" s="321"/>
      <c r="T205" s="321"/>
      <c r="U205" s="373" t="str">
        <f t="shared" si="12"/>
        <v/>
      </c>
      <c r="V205" s="314" t="str">
        <f t="shared" si="13"/>
        <v/>
      </c>
      <c r="W205" s="314" t="str" cm="1">
        <f t="array" aca="1" ref="W205" ca="1">IFERROR(IF(AE205&lt;&gt;"ja",_xlfn.IFNA(_xlfn.IFS(AND(O205&lt;&gt;"",F205&lt;&gt;"",RIGHT($N205,6)="tarief",F205="Vergoeding"),SUM(O205)*FLOOR(SUM(Q205),0.0001),AND(O205&lt;&gt;"",F205&lt;&gt;"",RIGHT($N205,6)="tarief"),SUM(O205)*FLOOR(SUM(Q205),0.01),S205&gt;0,IF(F205&lt;&gt;"",FLOOR(SUM(S205),0.01),"")),""),""),"")</f>
        <v/>
      </c>
      <c r="X205" s="314" t="str" cm="1">
        <f t="array" aca="1" ref="X205" ca="1">IFERROR(IF(AE205&lt;&gt;"ja",_xlfn.IFNA(_xlfn.IFS(AND(P205&lt;&gt;"",R205&lt;&gt;"",RIGHT($N205,6)="tarief",F205="Vergoeding"),SUM(P205)*FLOOR(SUM(R205),0.0001),AND(P205&lt;&gt;"",R205&lt;&gt;"",RIGHT($N205,6)="tarief"),P205*FLOOR(R205,0.01),T205&gt;0,FLOOR(SUM(T205),0.01)),""),""),"")</f>
        <v/>
      </c>
      <c r="Y205" s="314" t="str">
        <f t="shared" ca="1" si="14"/>
        <v/>
      </c>
      <c r="Z205" s="314" t="str" cm="1">
        <f t="array" aca="1" ref="Z205" ca="1">IFERROR(_xlfn.IFS(OR(F205="",LEFT(Methode_Keuze,4)="Geen",Methode_Keuze=""),"",AND(W205&lt;&gt;"",F205&lt;&gt;"Arbeidskosten"),W205*VLOOKUP(F205,Tb_ProjectKosten[],MATCH(Tb_ProjectKosten[[#Headers],[Forfait_Percentage]],Tb_ProjectKosten[#Headers],0),0),AND(F205="Arbeidskosten",G205&lt;&gt;""),IFERROR(W205*VLOOKUP(G205,Tb_KostenTypen[],3,0)*VLOOKUP(F205,Tb_ProjectKosten[],MATCH(Tb_ProjectKosten[[#Headers],[Forfait_Percentage]],Tb_ProjectKosten[#Headers],0),0),""),W205 &lt;=0,0),"")</f>
        <v/>
      </c>
      <c r="AA205" s="314" t="str" cm="1">
        <f t="array" aca="1" ref="AA205" ca="1">IFERROR(_xlfn.IFS(OR(F205="",LEFT(Methode_Keuze,4)="Geen",Methode_Keuze=""),"",AND(X205&lt;&gt;"",F205&lt;&gt;"Arbeidskosten"),X205*VLOOKUP(F205,Tb_ProjectKosten[],MATCH(Tb_ProjectKosten[[#Headers],[Forfait_Percentage]],Tb_ProjectKosten[#Headers],0),0),AND(F205="Arbeidskosten",G205&lt;&gt;""),IFERROR(X205*VLOOKUP(G205,Tb_KostenTypen[],3,0)*VLOOKUP(F205,Tb_ProjectKosten[],MATCH(Tb_ProjectKosten[[#Headers],[Forfait_Percentage]],Tb_ProjectKosten[#Headers],0),0),""),X205 &lt;=0,0),"")</f>
        <v/>
      </c>
      <c r="AB205" s="314" t="str">
        <f t="shared" ca="1" si="15"/>
        <v/>
      </c>
      <c r="AC205" s="322"/>
      <c r="AD205" s="315"/>
      <c r="AE205" s="32" t="str" cm="1">
        <f t="array" ref="AE205">IFERROR(IF(INDEX(SubsidieTabel!$AD$1:$AG$12,MATCH($F205,SubsidieTabel!$AD$1:$AD$12,0),IFERROR(MATCH(Methode_Keuze,SubsidieTabel!$AD$1:$AG$1,0),2))&lt;&gt;1=TRUE,"ja",""),"")</f>
        <v/>
      </c>
    </row>
    <row r="206" spans="1:31" x14ac:dyDescent="0.25">
      <c r="A206" s="316"/>
      <c r="B206" s="317" t="str">
        <f>IF(A206&lt;&gt;"",_xlfn.MAXIFS($B$1:B205,$A$1:A205,A206)+1,"")</f>
        <v/>
      </c>
      <c r="C206" s="296"/>
      <c r="D206" s="296"/>
      <c r="E206" s="296"/>
      <c r="F206" s="296"/>
      <c r="G206" s="326"/>
      <c r="H206" s="324"/>
      <c r="I206" s="325"/>
      <c r="J206" s="325"/>
      <c r="K206" s="318"/>
      <c r="L206" s="318"/>
      <c r="M206" s="319" t="str">
        <f>IFERROR(VLOOKUP(H206,Lijsten!$H$1:$I$100,2,0),"")</f>
        <v/>
      </c>
      <c r="N206" s="319" t="str">
        <f ca="1">IFERROR(IF(VLOOKUP(F206,Kostentypen!$A$3:$E$21,3,0)=0,"",IF(OR(F206="Arbeidskosten",F206="Vergoeding"),VLOOKUP(G206,Tb_KostenTypen[],2,0),VLOOKUP(F206,Kostentypen!$A$3:$E$20,3,0))),"")</f>
        <v/>
      </c>
      <c r="O206" s="320" t="str" cm="1">
        <f t="array" ref="O206">_xlfn.IFNA(IF(INDEX(Tb_KostenOptiesDB[],MATCH($F206,Tb_KostenOptiesDB[KostenOptie],0),IFERROR(MATCH(Methode_Keuze,Tb_KostenOptiesDB[#Headers],0),2))=1,_xlfn.SWITCH($N206,"Uurtarief",IF(OR(AND(RIGHT($F206,3)="IKS",VLOOKUP($M206,DB_Loonkosten,2,0)="Ja"),AND(RIGHT($F206,3)&lt;&gt;"IKS",VLOOKUP($M206,DB_Loonkosten,2,0)="Nee")),IFERROR(VLOOKUP($M206,DB_Loonkosten,24,0),""),0),"Vast tarief",IF(LEFT(F206,8)="Bijdrage",VLOOKUP($F206,Tb_KostenTypen[],MATCH(Lijsten!$P$1,Tb_KostenTypen[#Headers],0),0),VLOOKUP($G206,Lijsten!L:P,MATCH(Lijsten!$P$1,Kop_Tarief_Vast,0),0))),""),"")</f>
        <v/>
      </c>
      <c r="P206" s="320" t="str" cm="1">
        <f t="array" ref="P206">_xlfn.IFNA(IF(INDEX(Tb_KostenOptiesDB[],MATCH($F206,Tb_KostenOptiesDB[KostenOptie],0),IFERROR(MATCH(Methode_Keuze,Tb_KostenOptiesDB[#Headers],0),2))=1,_xlfn.SWITCH($N206,"Uurtarief",IF(OR(AND(RIGHT($F206,3)="IKS",VLOOKUP($M206,DB_Loonkosten,2,0)="Ja"),AND(RIGHT($F206,3)&lt;&gt;"IKS",VLOOKUP($M206,DB_Loonkosten,2,0)="Nee")),IFERROR(VLOOKUP($M206,DB_Loonkosten,25,0),""),0),"Vast tarief",IF(LEFT(F206,8)="Bijdrage",VLOOKUP($F206,Tb_KostenTypen[],MATCH(Lijsten!$P$1,Tb_KostenTypen[#Headers],0),0),VLOOKUP($G206,Lijsten!L:P,MATCH(Lijsten!$P$1,Kop_Tarief_Vast,0),0))),""),"")</f>
        <v/>
      </c>
      <c r="Q206" s="359"/>
      <c r="R206" s="359"/>
      <c r="S206" s="321"/>
      <c r="T206" s="321"/>
      <c r="U206" s="373" t="str">
        <f t="shared" si="12"/>
        <v/>
      </c>
      <c r="V206" s="314" t="str">
        <f t="shared" si="13"/>
        <v/>
      </c>
      <c r="W206" s="314" t="str" cm="1">
        <f t="array" aca="1" ref="W206" ca="1">IFERROR(IF(AE206&lt;&gt;"ja",_xlfn.IFNA(_xlfn.IFS(AND(O206&lt;&gt;"",F206&lt;&gt;"",RIGHT($N206,6)="tarief",F206="Vergoeding"),SUM(O206)*FLOOR(SUM(Q206),0.0001),AND(O206&lt;&gt;"",F206&lt;&gt;"",RIGHT($N206,6)="tarief"),SUM(O206)*FLOOR(SUM(Q206),0.01),S206&gt;0,IF(F206&lt;&gt;"",FLOOR(SUM(S206),0.01),"")),""),""),"")</f>
        <v/>
      </c>
      <c r="X206" s="314" t="str" cm="1">
        <f t="array" aca="1" ref="X206" ca="1">IFERROR(IF(AE206&lt;&gt;"ja",_xlfn.IFNA(_xlfn.IFS(AND(P206&lt;&gt;"",R206&lt;&gt;"",RIGHT($N206,6)="tarief",F206="Vergoeding"),SUM(P206)*FLOOR(SUM(R206),0.0001),AND(P206&lt;&gt;"",R206&lt;&gt;"",RIGHT($N206,6)="tarief"),P206*FLOOR(R206,0.01),T206&gt;0,FLOOR(SUM(T206),0.01)),""),""),"")</f>
        <v/>
      </c>
      <c r="Y206" s="314" t="str">
        <f t="shared" ca="1" si="14"/>
        <v/>
      </c>
      <c r="Z206" s="314" t="str" cm="1">
        <f t="array" aca="1" ref="Z206" ca="1">IFERROR(_xlfn.IFS(OR(F206="",LEFT(Methode_Keuze,4)="Geen",Methode_Keuze=""),"",AND(W206&lt;&gt;"",F206&lt;&gt;"Arbeidskosten"),W206*VLOOKUP(F206,Tb_ProjectKosten[],MATCH(Tb_ProjectKosten[[#Headers],[Forfait_Percentage]],Tb_ProjectKosten[#Headers],0),0),AND(F206="Arbeidskosten",G206&lt;&gt;""),IFERROR(W206*VLOOKUP(G206,Tb_KostenTypen[],3,0)*VLOOKUP(F206,Tb_ProjectKosten[],MATCH(Tb_ProjectKosten[[#Headers],[Forfait_Percentage]],Tb_ProjectKosten[#Headers],0),0),""),W206 &lt;=0,0),"")</f>
        <v/>
      </c>
      <c r="AA206" s="314" t="str" cm="1">
        <f t="array" aca="1" ref="AA206" ca="1">IFERROR(_xlfn.IFS(OR(F206="",LEFT(Methode_Keuze,4)="Geen",Methode_Keuze=""),"",AND(X206&lt;&gt;"",F206&lt;&gt;"Arbeidskosten"),X206*VLOOKUP(F206,Tb_ProjectKosten[],MATCH(Tb_ProjectKosten[[#Headers],[Forfait_Percentage]],Tb_ProjectKosten[#Headers],0),0),AND(F206="Arbeidskosten",G206&lt;&gt;""),IFERROR(X206*VLOOKUP(G206,Tb_KostenTypen[],3,0)*VLOOKUP(F206,Tb_ProjectKosten[],MATCH(Tb_ProjectKosten[[#Headers],[Forfait_Percentage]],Tb_ProjectKosten[#Headers],0),0),""),X206 &lt;=0,0),"")</f>
        <v/>
      </c>
      <c r="AB206" s="314" t="str">
        <f t="shared" ca="1" si="15"/>
        <v/>
      </c>
      <c r="AC206" s="322"/>
      <c r="AD206" s="315"/>
      <c r="AE206" s="32" t="str" cm="1">
        <f t="array" ref="AE206">IFERROR(IF(INDEX(SubsidieTabel!$AD$1:$AG$12,MATCH($F206,SubsidieTabel!$AD$1:$AD$12,0),IFERROR(MATCH(Methode_Keuze,SubsidieTabel!$AD$1:$AG$1,0),2))&lt;&gt;1=TRUE,"ja",""),"")</f>
        <v/>
      </c>
    </row>
    <row r="207" spans="1:31" x14ac:dyDescent="0.25">
      <c r="A207" s="316"/>
      <c r="B207" s="317" t="str">
        <f>IF(A207&lt;&gt;"",_xlfn.MAXIFS($B$1:B206,$A$1:A206,A207)+1,"")</f>
        <v/>
      </c>
      <c r="C207" s="296"/>
      <c r="D207" s="296"/>
      <c r="E207" s="296"/>
      <c r="F207" s="296"/>
      <c r="G207" s="326"/>
      <c r="H207" s="324"/>
      <c r="I207" s="325"/>
      <c r="J207" s="325"/>
      <c r="K207" s="318"/>
      <c r="L207" s="318"/>
      <c r="M207" s="319" t="str">
        <f>IFERROR(VLOOKUP(H207,Lijsten!$H$1:$I$100,2,0),"")</f>
        <v/>
      </c>
      <c r="N207" s="319" t="str">
        <f ca="1">IFERROR(IF(VLOOKUP(F207,Kostentypen!$A$3:$E$21,3,0)=0,"",IF(OR(F207="Arbeidskosten",F207="Vergoeding"),VLOOKUP(G207,Tb_KostenTypen[],2,0),VLOOKUP(F207,Kostentypen!$A$3:$E$20,3,0))),"")</f>
        <v/>
      </c>
      <c r="O207" s="320" t="str" cm="1">
        <f t="array" ref="O207">_xlfn.IFNA(IF(INDEX(Tb_KostenOptiesDB[],MATCH($F207,Tb_KostenOptiesDB[KostenOptie],0),IFERROR(MATCH(Methode_Keuze,Tb_KostenOptiesDB[#Headers],0),2))=1,_xlfn.SWITCH($N207,"Uurtarief",IF(OR(AND(RIGHT($F207,3)="IKS",VLOOKUP($M207,DB_Loonkosten,2,0)="Ja"),AND(RIGHT($F207,3)&lt;&gt;"IKS",VLOOKUP($M207,DB_Loonkosten,2,0)="Nee")),IFERROR(VLOOKUP($M207,DB_Loonkosten,24,0),""),0),"Vast tarief",IF(LEFT(F207,8)="Bijdrage",VLOOKUP($F207,Tb_KostenTypen[],MATCH(Lijsten!$P$1,Tb_KostenTypen[#Headers],0),0),VLOOKUP($G207,Lijsten!L:P,MATCH(Lijsten!$P$1,Kop_Tarief_Vast,0),0))),""),"")</f>
        <v/>
      </c>
      <c r="P207" s="320" t="str" cm="1">
        <f t="array" ref="P207">_xlfn.IFNA(IF(INDEX(Tb_KostenOptiesDB[],MATCH($F207,Tb_KostenOptiesDB[KostenOptie],0),IFERROR(MATCH(Methode_Keuze,Tb_KostenOptiesDB[#Headers],0),2))=1,_xlfn.SWITCH($N207,"Uurtarief",IF(OR(AND(RIGHT($F207,3)="IKS",VLOOKUP($M207,DB_Loonkosten,2,0)="Ja"),AND(RIGHT($F207,3)&lt;&gt;"IKS",VLOOKUP($M207,DB_Loonkosten,2,0)="Nee")),IFERROR(VLOOKUP($M207,DB_Loonkosten,25,0),""),0),"Vast tarief",IF(LEFT(F207,8)="Bijdrage",VLOOKUP($F207,Tb_KostenTypen[],MATCH(Lijsten!$P$1,Tb_KostenTypen[#Headers],0),0),VLOOKUP($G207,Lijsten!L:P,MATCH(Lijsten!$P$1,Kop_Tarief_Vast,0),0))),""),"")</f>
        <v/>
      </c>
      <c r="Q207" s="359"/>
      <c r="R207" s="359"/>
      <c r="S207" s="321"/>
      <c r="T207" s="321"/>
      <c r="U207" s="373" t="str">
        <f t="shared" si="12"/>
        <v/>
      </c>
      <c r="V207" s="314" t="str">
        <f t="shared" si="13"/>
        <v/>
      </c>
      <c r="W207" s="314" t="str" cm="1">
        <f t="array" aca="1" ref="W207" ca="1">IFERROR(IF(AE207&lt;&gt;"ja",_xlfn.IFNA(_xlfn.IFS(AND(O207&lt;&gt;"",F207&lt;&gt;"",RIGHT($N207,6)="tarief",F207="Vergoeding"),SUM(O207)*FLOOR(SUM(Q207),0.0001),AND(O207&lt;&gt;"",F207&lt;&gt;"",RIGHT($N207,6)="tarief"),SUM(O207)*FLOOR(SUM(Q207),0.01),S207&gt;0,IF(F207&lt;&gt;"",FLOOR(SUM(S207),0.01),"")),""),""),"")</f>
        <v/>
      </c>
      <c r="X207" s="314" t="str" cm="1">
        <f t="array" aca="1" ref="X207" ca="1">IFERROR(IF(AE207&lt;&gt;"ja",_xlfn.IFNA(_xlfn.IFS(AND(P207&lt;&gt;"",R207&lt;&gt;"",RIGHT($N207,6)="tarief",F207="Vergoeding"),SUM(P207)*FLOOR(SUM(R207),0.0001),AND(P207&lt;&gt;"",R207&lt;&gt;"",RIGHT($N207,6)="tarief"),P207*FLOOR(R207,0.01),T207&gt;0,FLOOR(SUM(T207),0.01)),""),""),"")</f>
        <v/>
      </c>
      <c r="Y207" s="314" t="str">
        <f t="shared" ca="1" si="14"/>
        <v/>
      </c>
      <c r="Z207" s="314" t="str" cm="1">
        <f t="array" aca="1" ref="Z207" ca="1">IFERROR(_xlfn.IFS(OR(F207="",LEFT(Methode_Keuze,4)="Geen",Methode_Keuze=""),"",AND(W207&lt;&gt;"",F207&lt;&gt;"Arbeidskosten"),W207*VLOOKUP(F207,Tb_ProjectKosten[],MATCH(Tb_ProjectKosten[[#Headers],[Forfait_Percentage]],Tb_ProjectKosten[#Headers],0),0),AND(F207="Arbeidskosten",G207&lt;&gt;""),IFERROR(W207*VLOOKUP(G207,Tb_KostenTypen[],3,0)*VLOOKUP(F207,Tb_ProjectKosten[],MATCH(Tb_ProjectKosten[[#Headers],[Forfait_Percentage]],Tb_ProjectKosten[#Headers],0),0),""),W207 &lt;=0,0),"")</f>
        <v/>
      </c>
      <c r="AA207" s="314" t="str" cm="1">
        <f t="array" aca="1" ref="AA207" ca="1">IFERROR(_xlfn.IFS(OR(F207="",LEFT(Methode_Keuze,4)="Geen",Methode_Keuze=""),"",AND(X207&lt;&gt;"",F207&lt;&gt;"Arbeidskosten"),X207*VLOOKUP(F207,Tb_ProjectKosten[],MATCH(Tb_ProjectKosten[[#Headers],[Forfait_Percentage]],Tb_ProjectKosten[#Headers],0),0),AND(F207="Arbeidskosten",G207&lt;&gt;""),IFERROR(X207*VLOOKUP(G207,Tb_KostenTypen[],3,0)*VLOOKUP(F207,Tb_ProjectKosten[],MATCH(Tb_ProjectKosten[[#Headers],[Forfait_Percentage]],Tb_ProjectKosten[#Headers],0),0),""),X207 &lt;=0,0),"")</f>
        <v/>
      </c>
      <c r="AB207" s="314" t="str">
        <f t="shared" ca="1" si="15"/>
        <v/>
      </c>
      <c r="AC207" s="322"/>
      <c r="AD207" s="315"/>
      <c r="AE207" s="32" t="str" cm="1">
        <f t="array" ref="AE207">IFERROR(IF(INDEX(SubsidieTabel!$AD$1:$AG$12,MATCH($F207,SubsidieTabel!$AD$1:$AD$12,0),IFERROR(MATCH(Methode_Keuze,SubsidieTabel!$AD$1:$AG$1,0),2))&lt;&gt;1=TRUE,"ja",""),"")</f>
        <v/>
      </c>
    </row>
    <row r="208" spans="1:31" x14ac:dyDescent="0.25">
      <c r="A208" s="316"/>
      <c r="B208" s="317" t="str">
        <f>IF(A208&lt;&gt;"",_xlfn.MAXIFS($B$1:B207,$A$1:A207,A208)+1,"")</f>
        <v/>
      </c>
      <c r="C208" s="296"/>
      <c r="D208" s="296"/>
      <c r="E208" s="296"/>
      <c r="F208" s="296"/>
      <c r="G208" s="326"/>
      <c r="H208" s="324"/>
      <c r="I208" s="325"/>
      <c r="J208" s="325"/>
      <c r="K208" s="318"/>
      <c r="L208" s="318"/>
      <c r="M208" s="319" t="str">
        <f>IFERROR(VLOOKUP(H208,Lijsten!$H$1:$I$100,2,0),"")</f>
        <v/>
      </c>
      <c r="N208" s="319" t="str">
        <f ca="1">IFERROR(IF(VLOOKUP(F208,Kostentypen!$A$3:$E$21,3,0)=0,"",IF(OR(F208="Arbeidskosten",F208="Vergoeding"),VLOOKUP(G208,Tb_KostenTypen[],2,0),VLOOKUP(F208,Kostentypen!$A$3:$E$20,3,0))),"")</f>
        <v/>
      </c>
      <c r="O208" s="320" t="str" cm="1">
        <f t="array" ref="O208">_xlfn.IFNA(IF(INDEX(Tb_KostenOptiesDB[],MATCH($F208,Tb_KostenOptiesDB[KostenOptie],0),IFERROR(MATCH(Methode_Keuze,Tb_KostenOptiesDB[#Headers],0),2))=1,_xlfn.SWITCH($N208,"Uurtarief",IF(OR(AND(RIGHT($F208,3)="IKS",VLOOKUP($M208,DB_Loonkosten,2,0)="Ja"),AND(RIGHT($F208,3)&lt;&gt;"IKS",VLOOKUP($M208,DB_Loonkosten,2,0)="Nee")),IFERROR(VLOOKUP($M208,DB_Loonkosten,24,0),""),0),"Vast tarief",IF(LEFT(F208,8)="Bijdrage",VLOOKUP($F208,Tb_KostenTypen[],MATCH(Lijsten!$P$1,Tb_KostenTypen[#Headers],0),0),VLOOKUP($G208,Lijsten!L:P,MATCH(Lijsten!$P$1,Kop_Tarief_Vast,0),0))),""),"")</f>
        <v/>
      </c>
      <c r="P208" s="320" t="str" cm="1">
        <f t="array" ref="P208">_xlfn.IFNA(IF(INDEX(Tb_KostenOptiesDB[],MATCH($F208,Tb_KostenOptiesDB[KostenOptie],0),IFERROR(MATCH(Methode_Keuze,Tb_KostenOptiesDB[#Headers],0),2))=1,_xlfn.SWITCH($N208,"Uurtarief",IF(OR(AND(RIGHT($F208,3)="IKS",VLOOKUP($M208,DB_Loonkosten,2,0)="Ja"),AND(RIGHT($F208,3)&lt;&gt;"IKS",VLOOKUP($M208,DB_Loonkosten,2,0)="Nee")),IFERROR(VLOOKUP($M208,DB_Loonkosten,25,0),""),0),"Vast tarief",IF(LEFT(F208,8)="Bijdrage",VLOOKUP($F208,Tb_KostenTypen[],MATCH(Lijsten!$P$1,Tb_KostenTypen[#Headers],0),0),VLOOKUP($G208,Lijsten!L:P,MATCH(Lijsten!$P$1,Kop_Tarief_Vast,0),0))),""),"")</f>
        <v/>
      </c>
      <c r="Q208" s="359"/>
      <c r="R208" s="359"/>
      <c r="S208" s="321"/>
      <c r="T208" s="321"/>
      <c r="U208" s="373" t="str">
        <f t="shared" si="12"/>
        <v/>
      </c>
      <c r="V208" s="314" t="str">
        <f t="shared" si="13"/>
        <v/>
      </c>
      <c r="W208" s="314" t="str" cm="1">
        <f t="array" aca="1" ref="W208" ca="1">IFERROR(IF(AE208&lt;&gt;"ja",_xlfn.IFNA(_xlfn.IFS(AND(O208&lt;&gt;"",F208&lt;&gt;"",RIGHT($N208,6)="tarief",F208="Vergoeding"),SUM(O208)*FLOOR(SUM(Q208),0.0001),AND(O208&lt;&gt;"",F208&lt;&gt;"",RIGHT($N208,6)="tarief"),SUM(O208)*FLOOR(SUM(Q208),0.01),S208&gt;0,IF(F208&lt;&gt;"",FLOOR(SUM(S208),0.01),"")),""),""),"")</f>
        <v/>
      </c>
      <c r="X208" s="314" t="str" cm="1">
        <f t="array" aca="1" ref="X208" ca="1">IFERROR(IF(AE208&lt;&gt;"ja",_xlfn.IFNA(_xlfn.IFS(AND(P208&lt;&gt;"",R208&lt;&gt;"",RIGHT($N208,6)="tarief",F208="Vergoeding"),SUM(P208)*FLOOR(SUM(R208),0.0001),AND(P208&lt;&gt;"",R208&lt;&gt;"",RIGHT($N208,6)="tarief"),P208*FLOOR(R208,0.01),T208&gt;0,FLOOR(SUM(T208),0.01)),""),""),"")</f>
        <v/>
      </c>
      <c r="Y208" s="314" t="str">
        <f t="shared" ca="1" si="14"/>
        <v/>
      </c>
      <c r="Z208" s="314" t="str" cm="1">
        <f t="array" aca="1" ref="Z208" ca="1">IFERROR(_xlfn.IFS(OR(F208="",LEFT(Methode_Keuze,4)="Geen",Methode_Keuze=""),"",AND(W208&lt;&gt;"",F208&lt;&gt;"Arbeidskosten"),W208*VLOOKUP(F208,Tb_ProjectKosten[],MATCH(Tb_ProjectKosten[[#Headers],[Forfait_Percentage]],Tb_ProjectKosten[#Headers],0),0),AND(F208="Arbeidskosten",G208&lt;&gt;""),IFERROR(W208*VLOOKUP(G208,Tb_KostenTypen[],3,0)*VLOOKUP(F208,Tb_ProjectKosten[],MATCH(Tb_ProjectKosten[[#Headers],[Forfait_Percentage]],Tb_ProjectKosten[#Headers],0),0),""),W208 &lt;=0,0),"")</f>
        <v/>
      </c>
      <c r="AA208" s="314" t="str" cm="1">
        <f t="array" aca="1" ref="AA208" ca="1">IFERROR(_xlfn.IFS(OR(F208="",LEFT(Methode_Keuze,4)="Geen",Methode_Keuze=""),"",AND(X208&lt;&gt;"",F208&lt;&gt;"Arbeidskosten"),X208*VLOOKUP(F208,Tb_ProjectKosten[],MATCH(Tb_ProjectKosten[[#Headers],[Forfait_Percentage]],Tb_ProjectKosten[#Headers],0),0),AND(F208="Arbeidskosten",G208&lt;&gt;""),IFERROR(X208*VLOOKUP(G208,Tb_KostenTypen[],3,0)*VLOOKUP(F208,Tb_ProjectKosten[],MATCH(Tb_ProjectKosten[[#Headers],[Forfait_Percentage]],Tb_ProjectKosten[#Headers],0),0),""),X208 &lt;=0,0),"")</f>
        <v/>
      </c>
      <c r="AB208" s="314" t="str">
        <f t="shared" ca="1" si="15"/>
        <v/>
      </c>
      <c r="AC208" s="322"/>
      <c r="AD208" s="315"/>
      <c r="AE208" s="32" t="str" cm="1">
        <f t="array" ref="AE208">IFERROR(IF(INDEX(SubsidieTabel!$AD$1:$AG$12,MATCH($F208,SubsidieTabel!$AD$1:$AD$12,0),IFERROR(MATCH(Methode_Keuze,SubsidieTabel!$AD$1:$AG$1,0),2))&lt;&gt;1=TRUE,"ja",""),"")</f>
        <v/>
      </c>
    </row>
    <row r="209" spans="1:31" x14ac:dyDescent="0.25">
      <c r="A209" s="316"/>
      <c r="B209" s="317" t="str">
        <f>IF(A209&lt;&gt;"",_xlfn.MAXIFS($B$1:B208,$A$1:A208,A209)+1,"")</f>
        <v/>
      </c>
      <c r="C209" s="296"/>
      <c r="D209" s="296"/>
      <c r="E209" s="296"/>
      <c r="F209" s="296"/>
      <c r="G209" s="326"/>
      <c r="H209" s="324"/>
      <c r="I209" s="325"/>
      <c r="J209" s="325"/>
      <c r="K209" s="318"/>
      <c r="L209" s="318"/>
      <c r="M209" s="319" t="str">
        <f>IFERROR(VLOOKUP(H209,Lijsten!$H$1:$I$100,2,0),"")</f>
        <v/>
      </c>
      <c r="N209" s="319" t="str">
        <f ca="1">IFERROR(IF(VLOOKUP(F209,Kostentypen!$A$3:$E$21,3,0)=0,"",IF(OR(F209="Arbeidskosten",F209="Vergoeding"),VLOOKUP(G209,Tb_KostenTypen[],2,0),VLOOKUP(F209,Kostentypen!$A$3:$E$20,3,0))),"")</f>
        <v/>
      </c>
      <c r="O209" s="320" t="str" cm="1">
        <f t="array" ref="O209">_xlfn.IFNA(IF(INDEX(Tb_KostenOptiesDB[],MATCH($F209,Tb_KostenOptiesDB[KostenOptie],0),IFERROR(MATCH(Methode_Keuze,Tb_KostenOptiesDB[#Headers],0),2))=1,_xlfn.SWITCH($N209,"Uurtarief",IF(OR(AND(RIGHT($F209,3)="IKS",VLOOKUP($M209,DB_Loonkosten,2,0)="Ja"),AND(RIGHT($F209,3)&lt;&gt;"IKS",VLOOKUP($M209,DB_Loonkosten,2,0)="Nee")),IFERROR(VLOOKUP($M209,DB_Loonkosten,24,0),""),0),"Vast tarief",IF(LEFT(F209,8)="Bijdrage",VLOOKUP($F209,Tb_KostenTypen[],MATCH(Lijsten!$P$1,Tb_KostenTypen[#Headers],0),0),VLOOKUP($G209,Lijsten!L:P,MATCH(Lijsten!$P$1,Kop_Tarief_Vast,0),0))),""),"")</f>
        <v/>
      </c>
      <c r="P209" s="320" t="str" cm="1">
        <f t="array" ref="P209">_xlfn.IFNA(IF(INDEX(Tb_KostenOptiesDB[],MATCH($F209,Tb_KostenOptiesDB[KostenOptie],0),IFERROR(MATCH(Methode_Keuze,Tb_KostenOptiesDB[#Headers],0),2))=1,_xlfn.SWITCH($N209,"Uurtarief",IF(OR(AND(RIGHT($F209,3)="IKS",VLOOKUP($M209,DB_Loonkosten,2,0)="Ja"),AND(RIGHT($F209,3)&lt;&gt;"IKS",VLOOKUP($M209,DB_Loonkosten,2,0)="Nee")),IFERROR(VLOOKUP($M209,DB_Loonkosten,25,0),""),0),"Vast tarief",IF(LEFT(F209,8)="Bijdrage",VLOOKUP($F209,Tb_KostenTypen[],MATCH(Lijsten!$P$1,Tb_KostenTypen[#Headers],0),0),VLOOKUP($G209,Lijsten!L:P,MATCH(Lijsten!$P$1,Kop_Tarief_Vast,0),0))),""),"")</f>
        <v/>
      </c>
      <c r="Q209" s="359"/>
      <c r="R209" s="359"/>
      <c r="S209" s="321"/>
      <c r="T209" s="321"/>
      <c r="U209" s="373" t="str">
        <f t="shared" si="12"/>
        <v/>
      </c>
      <c r="V209" s="314" t="str">
        <f t="shared" si="13"/>
        <v/>
      </c>
      <c r="W209" s="314" t="str" cm="1">
        <f t="array" aca="1" ref="W209" ca="1">IFERROR(IF(AE209&lt;&gt;"ja",_xlfn.IFNA(_xlfn.IFS(AND(O209&lt;&gt;"",F209&lt;&gt;"",RIGHT($N209,6)="tarief",F209="Vergoeding"),SUM(O209)*FLOOR(SUM(Q209),0.0001),AND(O209&lt;&gt;"",F209&lt;&gt;"",RIGHT($N209,6)="tarief"),SUM(O209)*FLOOR(SUM(Q209),0.01),S209&gt;0,IF(F209&lt;&gt;"",FLOOR(SUM(S209),0.01),"")),""),""),"")</f>
        <v/>
      </c>
      <c r="X209" s="314" t="str" cm="1">
        <f t="array" aca="1" ref="X209" ca="1">IFERROR(IF(AE209&lt;&gt;"ja",_xlfn.IFNA(_xlfn.IFS(AND(P209&lt;&gt;"",R209&lt;&gt;"",RIGHT($N209,6)="tarief",F209="Vergoeding"),SUM(P209)*FLOOR(SUM(R209),0.0001),AND(P209&lt;&gt;"",R209&lt;&gt;"",RIGHT($N209,6)="tarief"),P209*FLOOR(R209,0.01),T209&gt;0,FLOOR(SUM(T209),0.01)),""),""),"")</f>
        <v/>
      </c>
      <c r="Y209" s="314" t="str">
        <f t="shared" ca="1" si="14"/>
        <v/>
      </c>
      <c r="Z209" s="314" t="str" cm="1">
        <f t="array" aca="1" ref="Z209" ca="1">IFERROR(_xlfn.IFS(OR(F209="",LEFT(Methode_Keuze,4)="Geen",Methode_Keuze=""),"",AND(W209&lt;&gt;"",F209&lt;&gt;"Arbeidskosten"),W209*VLOOKUP(F209,Tb_ProjectKosten[],MATCH(Tb_ProjectKosten[[#Headers],[Forfait_Percentage]],Tb_ProjectKosten[#Headers],0),0),AND(F209="Arbeidskosten",G209&lt;&gt;""),IFERROR(W209*VLOOKUP(G209,Tb_KostenTypen[],3,0)*VLOOKUP(F209,Tb_ProjectKosten[],MATCH(Tb_ProjectKosten[[#Headers],[Forfait_Percentage]],Tb_ProjectKosten[#Headers],0),0),""),W209 &lt;=0,0),"")</f>
        <v/>
      </c>
      <c r="AA209" s="314" t="str" cm="1">
        <f t="array" aca="1" ref="AA209" ca="1">IFERROR(_xlfn.IFS(OR(F209="",LEFT(Methode_Keuze,4)="Geen",Methode_Keuze=""),"",AND(X209&lt;&gt;"",F209&lt;&gt;"Arbeidskosten"),X209*VLOOKUP(F209,Tb_ProjectKosten[],MATCH(Tb_ProjectKosten[[#Headers],[Forfait_Percentage]],Tb_ProjectKosten[#Headers],0),0),AND(F209="Arbeidskosten",G209&lt;&gt;""),IFERROR(X209*VLOOKUP(G209,Tb_KostenTypen[],3,0)*VLOOKUP(F209,Tb_ProjectKosten[],MATCH(Tb_ProjectKosten[[#Headers],[Forfait_Percentage]],Tb_ProjectKosten[#Headers],0),0),""),X209 &lt;=0,0),"")</f>
        <v/>
      </c>
      <c r="AB209" s="314" t="str">
        <f t="shared" ca="1" si="15"/>
        <v/>
      </c>
      <c r="AC209" s="322"/>
      <c r="AD209" s="315"/>
      <c r="AE209" s="32" t="str" cm="1">
        <f t="array" ref="AE209">IFERROR(IF(INDEX(SubsidieTabel!$AD$1:$AG$12,MATCH($F209,SubsidieTabel!$AD$1:$AD$12,0),IFERROR(MATCH(Methode_Keuze,SubsidieTabel!$AD$1:$AG$1,0),2))&lt;&gt;1=TRUE,"ja",""),"")</f>
        <v/>
      </c>
    </row>
    <row r="210" spans="1:31" x14ac:dyDescent="0.25">
      <c r="A210" s="316"/>
      <c r="B210" s="317" t="str">
        <f>IF(A210&lt;&gt;"",_xlfn.MAXIFS($B$1:B209,$A$1:A209,A210)+1,"")</f>
        <v/>
      </c>
      <c r="C210" s="296"/>
      <c r="D210" s="296"/>
      <c r="E210" s="296"/>
      <c r="F210" s="296"/>
      <c r="G210" s="326"/>
      <c r="H210" s="324"/>
      <c r="I210" s="325"/>
      <c r="J210" s="325"/>
      <c r="K210" s="318"/>
      <c r="L210" s="318"/>
      <c r="M210" s="319" t="str">
        <f>IFERROR(VLOOKUP(H210,Lijsten!$H$1:$I$100,2,0),"")</f>
        <v/>
      </c>
      <c r="N210" s="319" t="str">
        <f ca="1">IFERROR(IF(VLOOKUP(F210,Kostentypen!$A$3:$E$21,3,0)=0,"",IF(OR(F210="Arbeidskosten",F210="Vergoeding"),VLOOKUP(G210,Tb_KostenTypen[],2,0),VLOOKUP(F210,Kostentypen!$A$3:$E$20,3,0))),"")</f>
        <v/>
      </c>
      <c r="O210" s="320" t="str" cm="1">
        <f t="array" ref="O210">_xlfn.IFNA(IF(INDEX(Tb_KostenOptiesDB[],MATCH($F210,Tb_KostenOptiesDB[KostenOptie],0),IFERROR(MATCH(Methode_Keuze,Tb_KostenOptiesDB[#Headers],0),2))=1,_xlfn.SWITCH($N210,"Uurtarief",IF(OR(AND(RIGHT($F210,3)="IKS",VLOOKUP($M210,DB_Loonkosten,2,0)="Ja"),AND(RIGHT($F210,3)&lt;&gt;"IKS",VLOOKUP($M210,DB_Loonkosten,2,0)="Nee")),IFERROR(VLOOKUP($M210,DB_Loonkosten,24,0),""),0),"Vast tarief",IF(LEFT(F210,8)="Bijdrage",VLOOKUP($F210,Tb_KostenTypen[],MATCH(Lijsten!$P$1,Tb_KostenTypen[#Headers],0),0),VLOOKUP($G210,Lijsten!L:P,MATCH(Lijsten!$P$1,Kop_Tarief_Vast,0),0))),""),"")</f>
        <v/>
      </c>
      <c r="P210" s="320" t="str" cm="1">
        <f t="array" ref="P210">_xlfn.IFNA(IF(INDEX(Tb_KostenOptiesDB[],MATCH($F210,Tb_KostenOptiesDB[KostenOptie],0),IFERROR(MATCH(Methode_Keuze,Tb_KostenOptiesDB[#Headers],0),2))=1,_xlfn.SWITCH($N210,"Uurtarief",IF(OR(AND(RIGHT($F210,3)="IKS",VLOOKUP($M210,DB_Loonkosten,2,0)="Ja"),AND(RIGHT($F210,3)&lt;&gt;"IKS",VLOOKUP($M210,DB_Loonkosten,2,0)="Nee")),IFERROR(VLOOKUP($M210,DB_Loonkosten,25,0),""),0),"Vast tarief",IF(LEFT(F210,8)="Bijdrage",VLOOKUP($F210,Tb_KostenTypen[],MATCH(Lijsten!$P$1,Tb_KostenTypen[#Headers],0),0),VLOOKUP($G210,Lijsten!L:P,MATCH(Lijsten!$P$1,Kop_Tarief_Vast,0),0))),""),"")</f>
        <v/>
      </c>
      <c r="Q210" s="359"/>
      <c r="R210" s="359"/>
      <c r="S210" s="321"/>
      <c r="T210" s="321"/>
      <c r="U210" s="373" t="str">
        <f t="shared" si="12"/>
        <v/>
      </c>
      <c r="V210" s="314" t="str">
        <f t="shared" si="13"/>
        <v/>
      </c>
      <c r="W210" s="314" t="str" cm="1">
        <f t="array" aca="1" ref="W210" ca="1">IFERROR(IF(AE210&lt;&gt;"ja",_xlfn.IFNA(_xlfn.IFS(AND(O210&lt;&gt;"",F210&lt;&gt;"",RIGHT($N210,6)="tarief",F210="Vergoeding"),SUM(O210)*FLOOR(SUM(Q210),0.0001),AND(O210&lt;&gt;"",F210&lt;&gt;"",RIGHT($N210,6)="tarief"),SUM(O210)*FLOOR(SUM(Q210),0.01),S210&gt;0,IF(F210&lt;&gt;"",FLOOR(SUM(S210),0.01),"")),""),""),"")</f>
        <v/>
      </c>
      <c r="X210" s="314" t="str" cm="1">
        <f t="array" aca="1" ref="X210" ca="1">IFERROR(IF(AE210&lt;&gt;"ja",_xlfn.IFNA(_xlfn.IFS(AND(P210&lt;&gt;"",R210&lt;&gt;"",RIGHT($N210,6)="tarief",F210="Vergoeding"),SUM(P210)*FLOOR(SUM(R210),0.0001),AND(P210&lt;&gt;"",R210&lt;&gt;"",RIGHT($N210,6)="tarief"),P210*FLOOR(R210,0.01),T210&gt;0,FLOOR(SUM(T210),0.01)),""),""),"")</f>
        <v/>
      </c>
      <c r="Y210" s="314" t="str">
        <f t="shared" ca="1" si="14"/>
        <v/>
      </c>
      <c r="Z210" s="314" t="str" cm="1">
        <f t="array" aca="1" ref="Z210" ca="1">IFERROR(_xlfn.IFS(OR(F210="",LEFT(Methode_Keuze,4)="Geen",Methode_Keuze=""),"",AND(W210&lt;&gt;"",F210&lt;&gt;"Arbeidskosten"),W210*VLOOKUP(F210,Tb_ProjectKosten[],MATCH(Tb_ProjectKosten[[#Headers],[Forfait_Percentage]],Tb_ProjectKosten[#Headers],0),0),AND(F210="Arbeidskosten",G210&lt;&gt;""),IFERROR(W210*VLOOKUP(G210,Tb_KostenTypen[],3,0)*VLOOKUP(F210,Tb_ProjectKosten[],MATCH(Tb_ProjectKosten[[#Headers],[Forfait_Percentage]],Tb_ProjectKosten[#Headers],0),0),""),W210 &lt;=0,0),"")</f>
        <v/>
      </c>
      <c r="AA210" s="314" t="str" cm="1">
        <f t="array" aca="1" ref="AA210" ca="1">IFERROR(_xlfn.IFS(OR(F210="",LEFT(Methode_Keuze,4)="Geen",Methode_Keuze=""),"",AND(X210&lt;&gt;"",F210&lt;&gt;"Arbeidskosten"),X210*VLOOKUP(F210,Tb_ProjectKosten[],MATCH(Tb_ProjectKosten[[#Headers],[Forfait_Percentage]],Tb_ProjectKosten[#Headers],0),0),AND(F210="Arbeidskosten",G210&lt;&gt;""),IFERROR(X210*VLOOKUP(G210,Tb_KostenTypen[],3,0)*VLOOKUP(F210,Tb_ProjectKosten[],MATCH(Tb_ProjectKosten[[#Headers],[Forfait_Percentage]],Tb_ProjectKosten[#Headers],0),0),""),X210 &lt;=0,0),"")</f>
        <v/>
      </c>
      <c r="AB210" s="314" t="str">
        <f t="shared" ca="1" si="15"/>
        <v/>
      </c>
      <c r="AC210" s="322"/>
      <c r="AD210" s="315"/>
      <c r="AE210" s="32" t="str" cm="1">
        <f t="array" ref="AE210">IFERROR(IF(INDEX(SubsidieTabel!$AD$1:$AG$12,MATCH($F210,SubsidieTabel!$AD$1:$AD$12,0),IFERROR(MATCH(Methode_Keuze,SubsidieTabel!$AD$1:$AG$1,0),2))&lt;&gt;1=TRUE,"ja",""),"")</f>
        <v/>
      </c>
    </row>
    <row r="211" spans="1:31" x14ac:dyDescent="0.25">
      <c r="A211" s="316"/>
      <c r="B211" s="317" t="str">
        <f>IF(A211&lt;&gt;"",_xlfn.MAXIFS($B$1:B210,$A$1:A210,A211)+1,"")</f>
        <v/>
      </c>
      <c r="C211" s="296"/>
      <c r="D211" s="296"/>
      <c r="E211" s="296"/>
      <c r="F211" s="296"/>
      <c r="G211" s="326"/>
      <c r="H211" s="324"/>
      <c r="I211" s="325"/>
      <c r="J211" s="325"/>
      <c r="K211" s="318"/>
      <c r="L211" s="318"/>
      <c r="M211" s="319" t="str">
        <f>IFERROR(VLOOKUP(H211,Lijsten!$H$1:$I$100,2,0),"")</f>
        <v/>
      </c>
      <c r="N211" s="319" t="str">
        <f ca="1">IFERROR(IF(VLOOKUP(F211,Kostentypen!$A$3:$E$21,3,0)=0,"",IF(OR(F211="Arbeidskosten",F211="Vergoeding"),VLOOKUP(G211,Tb_KostenTypen[],2,0),VLOOKUP(F211,Kostentypen!$A$3:$E$20,3,0))),"")</f>
        <v/>
      </c>
      <c r="O211" s="320" t="str" cm="1">
        <f t="array" ref="O211">_xlfn.IFNA(IF(INDEX(Tb_KostenOptiesDB[],MATCH($F211,Tb_KostenOptiesDB[KostenOptie],0),IFERROR(MATCH(Methode_Keuze,Tb_KostenOptiesDB[#Headers],0),2))=1,_xlfn.SWITCH($N211,"Uurtarief",IF(OR(AND(RIGHT($F211,3)="IKS",VLOOKUP($M211,DB_Loonkosten,2,0)="Ja"),AND(RIGHT($F211,3)&lt;&gt;"IKS",VLOOKUP($M211,DB_Loonkosten,2,0)="Nee")),IFERROR(VLOOKUP($M211,DB_Loonkosten,24,0),""),0),"Vast tarief",IF(LEFT(F211,8)="Bijdrage",VLOOKUP($F211,Tb_KostenTypen[],MATCH(Lijsten!$P$1,Tb_KostenTypen[#Headers],0),0),VLOOKUP($G211,Lijsten!L:P,MATCH(Lijsten!$P$1,Kop_Tarief_Vast,0),0))),""),"")</f>
        <v/>
      </c>
      <c r="P211" s="320" t="str" cm="1">
        <f t="array" ref="P211">_xlfn.IFNA(IF(INDEX(Tb_KostenOptiesDB[],MATCH($F211,Tb_KostenOptiesDB[KostenOptie],0),IFERROR(MATCH(Methode_Keuze,Tb_KostenOptiesDB[#Headers],0),2))=1,_xlfn.SWITCH($N211,"Uurtarief",IF(OR(AND(RIGHT($F211,3)="IKS",VLOOKUP($M211,DB_Loonkosten,2,0)="Ja"),AND(RIGHT($F211,3)&lt;&gt;"IKS",VLOOKUP($M211,DB_Loonkosten,2,0)="Nee")),IFERROR(VLOOKUP($M211,DB_Loonkosten,25,0),""),0),"Vast tarief",IF(LEFT(F211,8)="Bijdrage",VLOOKUP($F211,Tb_KostenTypen[],MATCH(Lijsten!$P$1,Tb_KostenTypen[#Headers],0),0),VLOOKUP($G211,Lijsten!L:P,MATCH(Lijsten!$P$1,Kop_Tarief_Vast,0),0))),""),"")</f>
        <v/>
      </c>
      <c r="Q211" s="359"/>
      <c r="R211" s="359"/>
      <c r="S211" s="321"/>
      <c r="T211" s="321"/>
      <c r="U211" s="373" t="str">
        <f t="shared" si="12"/>
        <v/>
      </c>
      <c r="V211" s="314" t="str">
        <f t="shared" si="13"/>
        <v/>
      </c>
      <c r="W211" s="314" t="str" cm="1">
        <f t="array" aca="1" ref="W211" ca="1">IFERROR(IF(AE211&lt;&gt;"ja",_xlfn.IFNA(_xlfn.IFS(AND(O211&lt;&gt;"",F211&lt;&gt;"",RIGHT($N211,6)="tarief",F211="Vergoeding"),SUM(O211)*FLOOR(SUM(Q211),0.0001),AND(O211&lt;&gt;"",F211&lt;&gt;"",RIGHT($N211,6)="tarief"),SUM(O211)*FLOOR(SUM(Q211),0.01),S211&gt;0,IF(F211&lt;&gt;"",FLOOR(SUM(S211),0.01),"")),""),""),"")</f>
        <v/>
      </c>
      <c r="X211" s="314" t="str" cm="1">
        <f t="array" aca="1" ref="X211" ca="1">IFERROR(IF(AE211&lt;&gt;"ja",_xlfn.IFNA(_xlfn.IFS(AND(P211&lt;&gt;"",R211&lt;&gt;"",RIGHT($N211,6)="tarief",F211="Vergoeding"),SUM(P211)*FLOOR(SUM(R211),0.0001),AND(P211&lt;&gt;"",R211&lt;&gt;"",RIGHT($N211,6)="tarief"),P211*FLOOR(R211,0.01),T211&gt;0,FLOOR(SUM(T211),0.01)),""),""),"")</f>
        <v/>
      </c>
      <c r="Y211" s="314" t="str">
        <f t="shared" ca="1" si="14"/>
        <v/>
      </c>
      <c r="Z211" s="314" t="str" cm="1">
        <f t="array" aca="1" ref="Z211" ca="1">IFERROR(_xlfn.IFS(OR(F211="",LEFT(Methode_Keuze,4)="Geen",Methode_Keuze=""),"",AND(W211&lt;&gt;"",F211&lt;&gt;"Arbeidskosten"),W211*VLOOKUP(F211,Tb_ProjectKosten[],MATCH(Tb_ProjectKosten[[#Headers],[Forfait_Percentage]],Tb_ProjectKosten[#Headers],0),0),AND(F211="Arbeidskosten",G211&lt;&gt;""),IFERROR(W211*VLOOKUP(G211,Tb_KostenTypen[],3,0)*VLOOKUP(F211,Tb_ProjectKosten[],MATCH(Tb_ProjectKosten[[#Headers],[Forfait_Percentage]],Tb_ProjectKosten[#Headers],0),0),""),W211 &lt;=0,0),"")</f>
        <v/>
      </c>
      <c r="AA211" s="314" t="str" cm="1">
        <f t="array" aca="1" ref="AA211" ca="1">IFERROR(_xlfn.IFS(OR(F211="",LEFT(Methode_Keuze,4)="Geen",Methode_Keuze=""),"",AND(X211&lt;&gt;"",F211&lt;&gt;"Arbeidskosten"),X211*VLOOKUP(F211,Tb_ProjectKosten[],MATCH(Tb_ProjectKosten[[#Headers],[Forfait_Percentage]],Tb_ProjectKosten[#Headers],0),0),AND(F211="Arbeidskosten",G211&lt;&gt;""),IFERROR(X211*VLOOKUP(G211,Tb_KostenTypen[],3,0)*VLOOKUP(F211,Tb_ProjectKosten[],MATCH(Tb_ProjectKosten[[#Headers],[Forfait_Percentage]],Tb_ProjectKosten[#Headers],0),0),""),X211 &lt;=0,0),"")</f>
        <v/>
      </c>
      <c r="AB211" s="314" t="str">
        <f t="shared" ca="1" si="15"/>
        <v/>
      </c>
      <c r="AC211" s="322"/>
      <c r="AD211" s="315"/>
      <c r="AE211" s="32" t="str" cm="1">
        <f t="array" ref="AE211">IFERROR(IF(INDEX(SubsidieTabel!$AD$1:$AG$12,MATCH($F211,SubsidieTabel!$AD$1:$AD$12,0),IFERROR(MATCH(Methode_Keuze,SubsidieTabel!$AD$1:$AG$1,0),2))&lt;&gt;1=TRUE,"ja",""),"")</f>
        <v/>
      </c>
    </row>
    <row r="212" spans="1:31" x14ac:dyDescent="0.25">
      <c r="A212" s="316"/>
      <c r="B212" s="317" t="str">
        <f>IF(A212&lt;&gt;"",_xlfn.MAXIFS($B$1:B211,$A$1:A211,A212)+1,"")</f>
        <v/>
      </c>
      <c r="C212" s="296"/>
      <c r="D212" s="296"/>
      <c r="E212" s="296"/>
      <c r="F212" s="296"/>
      <c r="G212" s="326"/>
      <c r="H212" s="324"/>
      <c r="I212" s="325"/>
      <c r="J212" s="325"/>
      <c r="K212" s="318"/>
      <c r="L212" s="318"/>
      <c r="M212" s="319" t="str">
        <f>IFERROR(VLOOKUP(H212,Lijsten!$H$1:$I$100,2,0),"")</f>
        <v/>
      </c>
      <c r="N212" s="319" t="str">
        <f ca="1">IFERROR(IF(VLOOKUP(F212,Kostentypen!$A$3:$E$21,3,0)=0,"",IF(OR(F212="Arbeidskosten",F212="Vergoeding"),VLOOKUP(G212,Tb_KostenTypen[],2,0),VLOOKUP(F212,Kostentypen!$A$3:$E$20,3,0))),"")</f>
        <v/>
      </c>
      <c r="O212" s="320" t="str" cm="1">
        <f t="array" ref="O212">_xlfn.IFNA(IF(INDEX(Tb_KostenOptiesDB[],MATCH($F212,Tb_KostenOptiesDB[KostenOptie],0),IFERROR(MATCH(Methode_Keuze,Tb_KostenOptiesDB[#Headers],0),2))=1,_xlfn.SWITCH($N212,"Uurtarief",IF(OR(AND(RIGHT($F212,3)="IKS",VLOOKUP($M212,DB_Loonkosten,2,0)="Ja"),AND(RIGHT($F212,3)&lt;&gt;"IKS",VLOOKUP($M212,DB_Loonkosten,2,0)="Nee")),IFERROR(VLOOKUP($M212,DB_Loonkosten,24,0),""),0),"Vast tarief",IF(LEFT(F212,8)="Bijdrage",VLOOKUP($F212,Tb_KostenTypen[],MATCH(Lijsten!$P$1,Tb_KostenTypen[#Headers],0),0),VLOOKUP($G212,Lijsten!L:P,MATCH(Lijsten!$P$1,Kop_Tarief_Vast,0),0))),""),"")</f>
        <v/>
      </c>
      <c r="P212" s="320" t="str" cm="1">
        <f t="array" ref="P212">_xlfn.IFNA(IF(INDEX(Tb_KostenOptiesDB[],MATCH($F212,Tb_KostenOptiesDB[KostenOptie],0),IFERROR(MATCH(Methode_Keuze,Tb_KostenOptiesDB[#Headers],0),2))=1,_xlfn.SWITCH($N212,"Uurtarief",IF(OR(AND(RIGHT($F212,3)="IKS",VLOOKUP($M212,DB_Loonkosten,2,0)="Ja"),AND(RIGHT($F212,3)&lt;&gt;"IKS",VLOOKUP($M212,DB_Loonkosten,2,0)="Nee")),IFERROR(VLOOKUP($M212,DB_Loonkosten,25,0),""),0),"Vast tarief",IF(LEFT(F212,8)="Bijdrage",VLOOKUP($F212,Tb_KostenTypen[],MATCH(Lijsten!$P$1,Tb_KostenTypen[#Headers],0),0),VLOOKUP($G212,Lijsten!L:P,MATCH(Lijsten!$P$1,Kop_Tarief_Vast,0),0))),""),"")</f>
        <v/>
      </c>
      <c r="Q212" s="359"/>
      <c r="R212" s="359"/>
      <c r="S212" s="321"/>
      <c r="T212" s="321"/>
      <c r="U212" s="373" t="str">
        <f t="shared" si="12"/>
        <v/>
      </c>
      <c r="V212" s="314" t="str">
        <f t="shared" si="13"/>
        <v/>
      </c>
      <c r="W212" s="314" t="str" cm="1">
        <f t="array" aca="1" ref="W212" ca="1">IFERROR(IF(AE212&lt;&gt;"ja",_xlfn.IFNA(_xlfn.IFS(AND(O212&lt;&gt;"",F212&lt;&gt;"",RIGHT($N212,6)="tarief",F212="Vergoeding"),SUM(O212)*FLOOR(SUM(Q212),0.0001),AND(O212&lt;&gt;"",F212&lt;&gt;"",RIGHT($N212,6)="tarief"),SUM(O212)*FLOOR(SUM(Q212),0.01),S212&gt;0,IF(F212&lt;&gt;"",FLOOR(SUM(S212),0.01),"")),""),""),"")</f>
        <v/>
      </c>
      <c r="X212" s="314" t="str" cm="1">
        <f t="array" aca="1" ref="X212" ca="1">IFERROR(IF(AE212&lt;&gt;"ja",_xlfn.IFNA(_xlfn.IFS(AND(P212&lt;&gt;"",R212&lt;&gt;"",RIGHT($N212,6)="tarief",F212="Vergoeding"),SUM(P212)*FLOOR(SUM(R212),0.0001),AND(P212&lt;&gt;"",R212&lt;&gt;"",RIGHT($N212,6)="tarief"),P212*FLOOR(R212,0.01),T212&gt;0,FLOOR(SUM(T212),0.01)),""),""),"")</f>
        <v/>
      </c>
      <c r="Y212" s="314" t="str">
        <f t="shared" ca="1" si="14"/>
        <v/>
      </c>
      <c r="Z212" s="314" t="str" cm="1">
        <f t="array" aca="1" ref="Z212" ca="1">IFERROR(_xlfn.IFS(OR(F212="",LEFT(Methode_Keuze,4)="Geen",Methode_Keuze=""),"",AND(W212&lt;&gt;"",F212&lt;&gt;"Arbeidskosten"),W212*VLOOKUP(F212,Tb_ProjectKosten[],MATCH(Tb_ProjectKosten[[#Headers],[Forfait_Percentage]],Tb_ProjectKosten[#Headers],0),0),AND(F212="Arbeidskosten",G212&lt;&gt;""),IFERROR(W212*VLOOKUP(G212,Tb_KostenTypen[],3,0)*VLOOKUP(F212,Tb_ProjectKosten[],MATCH(Tb_ProjectKosten[[#Headers],[Forfait_Percentage]],Tb_ProjectKosten[#Headers],0),0),""),W212 &lt;=0,0),"")</f>
        <v/>
      </c>
      <c r="AA212" s="314" t="str" cm="1">
        <f t="array" aca="1" ref="AA212" ca="1">IFERROR(_xlfn.IFS(OR(F212="",LEFT(Methode_Keuze,4)="Geen",Methode_Keuze=""),"",AND(X212&lt;&gt;"",F212&lt;&gt;"Arbeidskosten"),X212*VLOOKUP(F212,Tb_ProjectKosten[],MATCH(Tb_ProjectKosten[[#Headers],[Forfait_Percentage]],Tb_ProjectKosten[#Headers],0),0),AND(F212="Arbeidskosten",G212&lt;&gt;""),IFERROR(X212*VLOOKUP(G212,Tb_KostenTypen[],3,0)*VLOOKUP(F212,Tb_ProjectKosten[],MATCH(Tb_ProjectKosten[[#Headers],[Forfait_Percentage]],Tb_ProjectKosten[#Headers],0),0),""),X212 &lt;=0,0),"")</f>
        <v/>
      </c>
      <c r="AB212" s="314" t="str">
        <f t="shared" ca="1" si="15"/>
        <v/>
      </c>
      <c r="AC212" s="322"/>
      <c r="AD212" s="315"/>
      <c r="AE212" s="32" t="str" cm="1">
        <f t="array" ref="AE212">IFERROR(IF(INDEX(SubsidieTabel!$AD$1:$AG$12,MATCH($F212,SubsidieTabel!$AD$1:$AD$12,0),IFERROR(MATCH(Methode_Keuze,SubsidieTabel!$AD$1:$AG$1,0),2))&lt;&gt;1=TRUE,"ja",""),"")</f>
        <v/>
      </c>
    </row>
    <row r="213" spans="1:31" x14ac:dyDescent="0.25">
      <c r="A213" s="316"/>
      <c r="B213" s="317" t="str">
        <f>IF(A213&lt;&gt;"",_xlfn.MAXIFS($B$1:B212,$A$1:A212,A213)+1,"")</f>
        <v/>
      </c>
      <c r="C213" s="296"/>
      <c r="D213" s="296"/>
      <c r="E213" s="296"/>
      <c r="F213" s="296"/>
      <c r="G213" s="326"/>
      <c r="H213" s="324"/>
      <c r="I213" s="325"/>
      <c r="J213" s="325"/>
      <c r="K213" s="318"/>
      <c r="L213" s="318"/>
      <c r="M213" s="319" t="str">
        <f>IFERROR(VLOOKUP(H213,Lijsten!$H$1:$I$100,2,0),"")</f>
        <v/>
      </c>
      <c r="N213" s="319" t="str">
        <f ca="1">IFERROR(IF(VLOOKUP(F213,Kostentypen!$A$3:$E$21,3,0)=0,"",IF(OR(F213="Arbeidskosten",F213="Vergoeding"),VLOOKUP(G213,Tb_KostenTypen[],2,0),VLOOKUP(F213,Kostentypen!$A$3:$E$20,3,0))),"")</f>
        <v/>
      </c>
      <c r="O213" s="320" t="str" cm="1">
        <f t="array" ref="O213">_xlfn.IFNA(IF(INDEX(Tb_KostenOptiesDB[],MATCH($F213,Tb_KostenOptiesDB[KostenOptie],0),IFERROR(MATCH(Methode_Keuze,Tb_KostenOptiesDB[#Headers],0),2))=1,_xlfn.SWITCH($N213,"Uurtarief",IF(OR(AND(RIGHT($F213,3)="IKS",VLOOKUP($M213,DB_Loonkosten,2,0)="Ja"),AND(RIGHT($F213,3)&lt;&gt;"IKS",VLOOKUP($M213,DB_Loonkosten,2,0)="Nee")),IFERROR(VLOOKUP($M213,DB_Loonkosten,24,0),""),0),"Vast tarief",IF(LEFT(F213,8)="Bijdrage",VLOOKUP($F213,Tb_KostenTypen[],MATCH(Lijsten!$P$1,Tb_KostenTypen[#Headers],0),0),VLOOKUP($G213,Lijsten!L:P,MATCH(Lijsten!$P$1,Kop_Tarief_Vast,0),0))),""),"")</f>
        <v/>
      </c>
      <c r="P213" s="320" t="str" cm="1">
        <f t="array" ref="P213">_xlfn.IFNA(IF(INDEX(Tb_KostenOptiesDB[],MATCH($F213,Tb_KostenOptiesDB[KostenOptie],0),IFERROR(MATCH(Methode_Keuze,Tb_KostenOptiesDB[#Headers],0),2))=1,_xlfn.SWITCH($N213,"Uurtarief",IF(OR(AND(RIGHT($F213,3)="IKS",VLOOKUP($M213,DB_Loonkosten,2,0)="Ja"),AND(RIGHT($F213,3)&lt;&gt;"IKS",VLOOKUP($M213,DB_Loonkosten,2,0)="Nee")),IFERROR(VLOOKUP($M213,DB_Loonkosten,25,0),""),0),"Vast tarief",IF(LEFT(F213,8)="Bijdrage",VLOOKUP($F213,Tb_KostenTypen[],MATCH(Lijsten!$P$1,Tb_KostenTypen[#Headers],0),0),VLOOKUP($G213,Lijsten!L:P,MATCH(Lijsten!$P$1,Kop_Tarief_Vast,0),0))),""),"")</f>
        <v/>
      </c>
      <c r="Q213" s="359"/>
      <c r="R213" s="359"/>
      <c r="S213" s="321"/>
      <c r="T213" s="321"/>
      <c r="U213" s="373" t="str">
        <f t="shared" si="12"/>
        <v/>
      </c>
      <c r="V213" s="314" t="str">
        <f t="shared" si="13"/>
        <v/>
      </c>
      <c r="W213" s="314" t="str" cm="1">
        <f t="array" aca="1" ref="W213" ca="1">IFERROR(IF(AE213&lt;&gt;"ja",_xlfn.IFNA(_xlfn.IFS(AND(O213&lt;&gt;"",F213&lt;&gt;"",RIGHT($N213,6)="tarief",F213="Vergoeding"),SUM(O213)*FLOOR(SUM(Q213),0.0001),AND(O213&lt;&gt;"",F213&lt;&gt;"",RIGHT($N213,6)="tarief"),SUM(O213)*FLOOR(SUM(Q213),0.01),S213&gt;0,IF(F213&lt;&gt;"",FLOOR(SUM(S213),0.01),"")),""),""),"")</f>
        <v/>
      </c>
      <c r="X213" s="314" t="str" cm="1">
        <f t="array" aca="1" ref="X213" ca="1">IFERROR(IF(AE213&lt;&gt;"ja",_xlfn.IFNA(_xlfn.IFS(AND(P213&lt;&gt;"",R213&lt;&gt;"",RIGHT($N213,6)="tarief",F213="Vergoeding"),SUM(P213)*FLOOR(SUM(R213),0.0001),AND(P213&lt;&gt;"",R213&lt;&gt;"",RIGHT($N213,6)="tarief"),P213*FLOOR(R213,0.01),T213&gt;0,FLOOR(SUM(T213),0.01)),""),""),"")</f>
        <v/>
      </c>
      <c r="Y213" s="314" t="str">
        <f t="shared" ca="1" si="14"/>
        <v/>
      </c>
      <c r="Z213" s="314" t="str" cm="1">
        <f t="array" aca="1" ref="Z213" ca="1">IFERROR(_xlfn.IFS(OR(F213="",LEFT(Methode_Keuze,4)="Geen",Methode_Keuze=""),"",AND(W213&lt;&gt;"",F213&lt;&gt;"Arbeidskosten"),W213*VLOOKUP(F213,Tb_ProjectKosten[],MATCH(Tb_ProjectKosten[[#Headers],[Forfait_Percentage]],Tb_ProjectKosten[#Headers],0),0),AND(F213="Arbeidskosten",G213&lt;&gt;""),IFERROR(W213*VLOOKUP(G213,Tb_KostenTypen[],3,0)*VLOOKUP(F213,Tb_ProjectKosten[],MATCH(Tb_ProjectKosten[[#Headers],[Forfait_Percentage]],Tb_ProjectKosten[#Headers],0),0),""),W213 &lt;=0,0),"")</f>
        <v/>
      </c>
      <c r="AA213" s="314" t="str" cm="1">
        <f t="array" aca="1" ref="AA213" ca="1">IFERROR(_xlfn.IFS(OR(F213="",LEFT(Methode_Keuze,4)="Geen",Methode_Keuze=""),"",AND(X213&lt;&gt;"",F213&lt;&gt;"Arbeidskosten"),X213*VLOOKUP(F213,Tb_ProjectKosten[],MATCH(Tb_ProjectKosten[[#Headers],[Forfait_Percentage]],Tb_ProjectKosten[#Headers],0),0),AND(F213="Arbeidskosten",G213&lt;&gt;""),IFERROR(X213*VLOOKUP(G213,Tb_KostenTypen[],3,0)*VLOOKUP(F213,Tb_ProjectKosten[],MATCH(Tb_ProjectKosten[[#Headers],[Forfait_Percentage]],Tb_ProjectKosten[#Headers],0),0),""),X213 &lt;=0,0),"")</f>
        <v/>
      </c>
      <c r="AB213" s="314" t="str">
        <f t="shared" ca="1" si="15"/>
        <v/>
      </c>
      <c r="AC213" s="322"/>
      <c r="AD213" s="315"/>
      <c r="AE213" s="32" t="str" cm="1">
        <f t="array" ref="AE213">IFERROR(IF(INDEX(SubsidieTabel!$AD$1:$AG$12,MATCH($F213,SubsidieTabel!$AD$1:$AD$12,0),IFERROR(MATCH(Methode_Keuze,SubsidieTabel!$AD$1:$AG$1,0),2))&lt;&gt;1=TRUE,"ja",""),"")</f>
        <v/>
      </c>
    </row>
    <row r="214" spans="1:31" x14ac:dyDescent="0.25">
      <c r="A214" s="316"/>
      <c r="B214" s="317" t="str">
        <f>IF(A214&lt;&gt;"",_xlfn.MAXIFS($B$1:B213,$A$1:A213,A214)+1,"")</f>
        <v/>
      </c>
      <c r="C214" s="296"/>
      <c r="D214" s="296"/>
      <c r="E214" s="296"/>
      <c r="F214" s="296"/>
      <c r="G214" s="326"/>
      <c r="H214" s="324"/>
      <c r="I214" s="325"/>
      <c r="J214" s="325"/>
      <c r="K214" s="318"/>
      <c r="L214" s="318"/>
      <c r="M214" s="319" t="str">
        <f>IFERROR(VLOOKUP(H214,Lijsten!$H$1:$I$100,2,0),"")</f>
        <v/>
      </c>
      <c r="N214" s="319" t="str">
        <f ca="1">IFERROR(IF(VLOOKUP(F214,Kostentypen!$A$3:$E$21,3,0)=0,"",IF(OR(F214="Arbeidskosten",F214="Vergoeding"),VLOOKUP(G214,Tb_KostenTypen[],2,0),VLOOKUP(F214,Kostentypen!$A$3:$E$20,3,0))),"")</f>
        <v/>
      </c>
      <c r="O214" s="320" t="str" cm="1">
        <f t="array" ref="O214">_xlfn.IFNA(IF(INDEX(Tb_KostenOptiesDB[],MATCH($F214,Tb_KostenOptiesDB[KostenOptie],0),IFERROR(MATCH(Methode_Keuze,Tb_KostenOptiesDB[#Headers],0),2))=1,_xlfn.SWITCH($N214,"Uurtarief",IF(OR(AND(RIGHT($F214,3)="IKS",VLOOKUP($M214,DB_Loonkosten,2,0)="Ja"),AND(RIGHT($F214,3)&lt;&gt;"IKS",VLOOKUP($M214,DB_Loonkosten,2,0)="Nee")),IFERROR(VLOOKUP($M214,DB_Loonkosten,24,0),""),0),"Vast tarief",IF(LEFT(F214,8)="Bijdrage",VLOOKUP($F214,Tb_KostenTypen[],MATCH(Lijsten!$P$1,Tb_KostenTypen[#Headers],0),0),VLOOKUP($G214,Lijsten!L:P,MATCH(Lijsten!$P$1,Kop_Tarief_Vast,0),0))),""),"")</f>
        <v/>
      </c>
      <c r="P214" s="320" t="str" cm="1">
        <f t="array" ref="P214">_xlfn.IFNA(IF(INDEX(Tb_KostenOptiesDB[],MATCH($F214,Tb_KostenOptiesDB[KostenOptie],0),IFERROR(MATCH(Methode_Keuze,Tb_KostenOptiesDB[#Headers],0),2))=1,_xlfn.SWITCH($N214,"Uurtarief",IF(OR(AND(RIGHT($F214,3)="IKS",VLOOKUP($M214,DB_Loonkosten,2,0)="Ja"),AND(RIGHT($F214,3)&lt;&gt;"IKS",VLOOKUP($M214,DB_Loonkosten,2,0)="Nee")),IFERROR(VLOOKUP($M214,DB_Loonkosten,25,0),""),0),"Vast tarief",IF(LEFT(F214,8)="Bijdrage",VLOOKUP($F214,Tb_KostenTypen[],MATCH(Lijsten!$P$1,Tb_KostenTypen[#Headers],0),0),VLOOKUP($G214,Lijsten!L:P,MATCH(Lijsten!$P$1,Kop_Tarief_Vast,0),0))),""),"")</f>
        <v/>
      </c>
      <c r="Q214" s="359"/>
      <c r="R214" s="359"/>
      <c r="S214" s="321"/>
      <c r="T214" s="321"/>
      <c r="U214" s="373" t="str">
        <f t="shared" si="12"/>
        <v/>
      </c>
      <c r="V214" s="314" t="str">
        <f t="shared" si="13"/>
        <v/>
      </c>
      <c r="W214" s="314" t="str" cm="1">
        <f t="array" aca="1" ref="W214" ca="1">IFERROR(IF(AE214&lt;&gt;"ja",_xlfn.IFNA(_xlfn.IFS(AND(O214&lt;&gt;"",F214&lt;&gt;"",RIGHT($N214,6)="tarief",F214="Vergoeding"),SUM(O214)*FLOOR(SUM(Q214),0.0001),AND(O214&lt;&gt;"",F214&lt;&gt;"",RIGHT($N214,6)="tarief"),SUM(O214)*FLOOR(SUM(Q214),0.01),S214&gt;0,IF(F214&lt;&gt;"",FLOOR(SUM(S214),0.01),"")),""),""),"")</f>
        <v/>
      </c>
      <c r="X214" s="314" t="str" cm="1">
        <f t="array" aca="1" ref="X214" ca="1">IFERROR(IF(AE214&lt;&gt;"ja",_xlfn.IFNA(_xlfn.IFS(AND(P214&lt;&gt;"",R214&lt;&gt;"",RIGHT($N214,6)="tarief",F214="Vergoeding"),SUM(P214)*FLOOR(SUM(R214),0.0001),AND(P214&lt;&gt;"",R214&lt;&gt;"",RIGHT($N214,6)="tarief"),P214*FLOOR(R214,0.01),T214&gt;0,FLOOR(SUM(T214),0.01)),""),""),"")</f>
        <v/>
      </c>
      <c r="Y214" s="314" t="str">
        <f t="shared" ca="1" si="14"/>
        <v/>
      </c>
      <c r="Z214" s="314" t="str" cm="1">
        <f t="array" aca="1" ref="Z214" ca="1">IFERROR(_xlfn.IFS(OR(F214="",LEFT(Methode_Keuze,4)="Geen",Methode_Keuze=""),"",AND(W214&lt;&gt;"",F214&lt;&gt;"Arbeidskosten"),W214*VLOOKUP(F214,Tb_ProjectKosten[],MATCH(Tb_ProjectKosten[[#Headers],[Forfait_Percentage]],Tb_ProjectKosten[#Headers],0),0),AND(F214="Arbeidskosten",G214&lt;&gt;""),IFERROR(W214*VLOOKUP(G214,Tb_KostenTypen[],3,0)*VLOOKUP(F214,Tb_ProjectKosten[],MATCH(Tb_ProjectKosten[[#Headers],[Forfait_Percentage]],Tb_ProjectKosten[#Headers],0),0),""),W214 &lt;=0,0),"")</f>
        <v/>
      </c>
      <c r="AA214" s="314" t="str" cm="1">
        <f t="array" aca="1" ref="AA214" ca="1">IFERROR(_xlfn.IFS(OR(F214="",LEFT(Methode_Keuze,4)="Geen",Methode_Keuze=""),"",AND(X214&lt;&gt;"",F214&lt;&gt;"Arbeidskosten"),X214*VLOOKUP(F214,Tb_ProjectKosten[],MATCH(Tb_ProjectKosten[[#Headers],[Forfait_Percentage]],Tb_ProjectKosten[#Headers],0),0),AND(F214="Arbeidskosten",G214&lt;&gt;""),IFERROR(X214*VLOOKUP(G214,Tb_KostenTypen[],3,0)*VLOOKUP(F214,Tb_ProjectKosten[],MATCH(Tb_ProjectKosten[[#Headers],[Forfait_Percentage]],Tb_ProjectKosten[#Headers],0),0),""),X214 &lt;=0,0),"")</f>
        <v/>
      </c>
      <c r="AB214" s="314" t="str">
        <f t="shared" ca="1" si="15"/>
        <v/>
      </c>
      <c r="AC214" s="322"/>
      <c r="AD214" s="315"/>
      <c r="AE214" s="32" t="str" cm="1">
        <f t="array" ref="AE214">IFERROR(IF(INDEX(SubsidieTabel!$AD$1:$AG$12,MATCH($F214,SubsidieTabel!$AD$1:$AD$12,0),IFERROR(MATCH(Methode_Keuze,SubsidieTabel!$AD$1:$AG$1,0),2))&lt;&gt;1=TRUE,"ja",""),"")</f>
        <v/>
      </c>
    </row>
    <row r="215" spans="1:31" x14ac:dyDescent="0.25">
      <c r="A215" s="316"/>
      <c r="B215" s="317" t="str">
        <f>IF(A215&lt;&gt;"",_xlfn.MAXIFS($B$1:B214,$A$1:A214,A215)+1,"")</f>
        <v/>
      </c>
      <c r="C215" s="296"/>
      <c r="D215" s="296"/>
      <c r="E215" s="296"/>
      <c r="F215" s="296"/>
      <c r="G215" s="326"/>
      <c r="H215" s="324"/>
      <c r="I215" s="325"/>
      <c r="J215" s="325"/>
      <c r="K215" s="318"/>
      <c r="L215" s="318"/>
      <c r="M215" s="319" t="str">
        <f>IFERROR(VLOOKUP(H215,Lijsten!$H$1:$I$100,2,0),"")</f>
        <v/>
      </c>
      <c r="N215" s="319" t="str">
        <f ca="1">IFERROR(IF(VLOOKUP(F215,Kostentypen!$A$3:$E$21,3,0)=0,"",IF(OR(F215="Arbeidskosten",F215="Vergoeding"),VLOOKUP(G215,Tb_KostenTypen[],2,0),VLOOKUP(F215,Kostentypen!$A$3:$E$20,3,0))),"")</f>
        <v/>
      </c>
      <c r="O215" s="320" t="str" cm="1">
        <f t="array" ref="O215">_xlfn.IFNA(IF(INDEX(Tb_KostenOptiesDB[],MATCH($F215,Tb_KostenOptiesDB[KostenOptie],0),IFERROR(MATCH(Methode_Keuze,Tb_KostenOptiesDB[#Headers],0),2))=1,_xlfn.SWITCH($N215,"Uurtarief",IF(OR(AND(RIGHT($F215,3)="IKS",VLOOKUP($M215,DB_Loonkosten,2,0)="Ja"),AND(RIGHT($F215,3)&lt;&gt;"IKS",VLOOKUP($M215,DB_Loonkosten,2,0)="Nee")),IFERROR(VLOOKUP($M215,DB_Loonkosten,24,0),""),0),"Vast tarief",IF(LEFT(F215,8)="Bijdrage",VLOOKUP($F215,Tb_KostenTypen[],MATCH(Lijsten!$P$1,Tb_KostenTypen[#Headers],0),0),VLOOKUP($G215,Lijsten!L:P,MATCH(Lijsten!$P$1,Kop_Tarief_Vast,0),0))),""),"")</f>
        <v/>
      </c>
      <c r="P215" s="320" t="str" cm="1">
        <f t="array" ref="P215">_xlfn.IFNA(IF(INDEX(Tb_KostenOptiesDB[],MATCH($F215,Tb_KostenOptiesDB[KostenOptie],0),IFERROR(MATCH(Methode_Keuze,Tb_KostenOptiesDB[#Headers],0),2))=1,_xlfn.SWITCH($N215,"Uurtarief",IF(OR(AND(RIGHT($F215,3)="IKS",VLOOKUP($M215,DB_Loonkosten,2,0)="Ja"),AND(RIGHT($F215,3)&lt;&gt;"IKS",VLOOKUP($M215,DB_Loonkosten,2,0)="Nee")),IFERROR(VLOOKUP($M215,DB_Loonkosten,25,0),""),0),"Vast tarief",IF(LEFT(F215,8)="Bijdrage",VLOOKUP($F215,Tb_KostenTypen[],MATCH(Lijsten!$P$1,Tb_KostenTypen[#Headers],0),0),VLOOKUP($G215,Lijsten!L:P,MATCH(Lijsten!$P$1,Kop_Tarief_Vast,0),0))),""),"")</f>
        <v/>
      </c>
      <c r="Q215" s="359"/>
      <c r="R215" s="359"/>
      <c r="S215" s="321"/>
      <c r="T215" s="321"/>
      <c r="U215" s="373" t="str">
        <f t="shared" si="12"/>
        <v/>
      </c>
      <c r="V215" s="314" t="str">
        <f t="shared" si="13"/>
        <v/>
      </c>
      <c r="W215" s="314" t="str" cm="1">
        <f t="array" aca="1" ref="W215" ca="1">IFERROR(IF(AE215&lt;&gt;"ja",_xlfn.IFNA(_xlfn.IFS(AND(O215&lt;&gt;"",F215&lt;&gt;"",RIGHT($N215,6)="tarief",F215="Vergoeding"),SUM(O215)*FLOOR(SUM(Q215),0.0001),AND(O215&lt;&gt;"",F215&lt;&gt;"",RIGHT($N215,6)="tarief"),SUM(O215)*FLOOR(SUM(Q215),0.01),S215&gt;0,IF(F215&lt;&gt;"",FLOOR(SUM(S215),0.01),"")),""),""),"")</f>
        <v/>
      </c>
      <c r="X215" s="314" t="str" cm="1">
        <f t="array" aca="1" ref="X215" ca="1">IFERROR(IF(AE215&lt;&gt;"ja",_xlfn.IFNA(_xlfn.IFS(AND(P215&lt;&gt;"",R215&lt;&gt;"",RIGHT($N215,6)="tarief",F215="Vergoeding"),SUM(P215)*FLOOR(SUM(R215),0.0001),AND(P215&lt;&gt;"",R215&lt;&gt;"",RIGHT($N215,6)="tarief"),P215*FLOOR(R215,0.01),T215&gt;0,FLOOR(SUM(T215),0.01)),""),""),"")</f>
        <v/>
      </c>
      <c r="Y215" s="314" t="str">
        <f t="shared" ca="1" si="14"/>
        <v/>
      </c>
      <c r="Z215" s="314" t="str" cm="1">
        <f t="array" aca="1" ref="Z215" ca="1">IFERROR(_xlfn.IFS(OR(F215="",LEFT(Methode_Keuze,4)="Geen",Methode_Keuze=""),"",AND(W215&lt;&gt;"",F215&lt;&gt;"Arbeidskosten"),W215*VLOOKUP(F215,Tb_ProjectKosten[],MATCH(Tb_ProjectKosten[[#Headers],[Forfait_Percentage]],Tb_ProjectKosten[#Headers],0),0),AND(F215="Arbeidskosten",G215&lt;&gt;""),IFERROR(W215*VLOOKUP(G215,Tb_KostenTypen[],3,0)*VLOOKUP(F215,Tb_ProjectKosten[],MATCH(Tb_ProjectKosten[[#Headers],[Forfait_Percentage]],Tb_ProjectKosten[#Headers],0),0),""),W215 &lt;=0,0),"")</f>
        <v/>
      </c>
      <c r="AA215" s="314" t="str" cm="1">
        <f t="array" aca="1" ref="AA215" ca="1">IFERROR(_xlfn.IFS(OR(F215="",LEFT(Methode_Keuze,4)="Geen",Methode_Keuze=""),"",AND(X215&lt;&gt;"",F215&lt;&gt;"Arbeidskosten"),X215*VLOOKUP(F215,Tb_ProjectKosten[],MATCH(Tb_ProjectKosten[[#Headers],[Forfait_Percentage]],Tb_ProjectKosten[#Headers],0),0),AND(F215="Arbeidskosten",G215&lt;&gt;""),IFERROR(X215*VLOOKUP(G215,Tb_KostenTypen[],3,0)*VLOOKUP(F215,Tb_ProjectKosten[],MATCH(Tb_ProjectKosten[[#Headers],[Forfait_Percentage]],Tb_ProjectKosten[#Headers],0),0),""),X215 &lt;=0,0),"")</f>
        <v/>
      </c>
      <c r="AB215" s="314" t="str">
        <f t="shared" ca="1" si="15"/>
        <v/>
      </c>
      <c r="AC215" s="322"/>
      <c r="AD215" s="315"/>
      <c r="AE215" s="32" t="str" cm="1">
        <f t="array" ref="AE215">IFERROR(IF(INDEX(SubsidieTabel!$AD$1:$AG$12,MATCH($F215,SubsidieTabel!$AD$1:$AD$12,0),IFERROR(MATCH(Methode_Keuze,SubsidieTabel!$AD$1:$AG$1,0),2))&lt;&gt;1=TRUE,"ja",""),"")</f>
        <v/>
      </c>
    </row>
    <row r="216" spans="1:31" x14ac:dyDescent="0.25">
      <c r="A216" s="316"/>
      <c r="B216" s="317" t="str">
        <f>IF(A216&lt;&gt;"",_xlfn.MAXIFS($B$1:B215,$A$1:A215,A216)+1,"")</f>
        <v/>
      </c>
      <c r="C216" s="296"/>
      <c r="D216" s="296"/>
      <c r="E216" s="296"/>
      <c r="F216" s="296"/>
      <c r="G216" s="326"/>
      <c r="H216" s="324"/>
      <c r="I216" s="325"/>
      <c r="J216" s="325"/>
      <c r="K216" s="318"/>
      <c r="L216" s="318"/>
      <c r="M216" s="319" t="str">
        <f>IFERROR(VLOOKUP(H216,Lijsten!$H$1:$I$100,2,0),"")</f>
        <v/>
      </c>
      <c r="N216" s="319" t="str">
        <f ca="1">IFERROR(IF(VLOOKUP(F216,Kostentypen!$A$3:$E$21,3,0)=0,"",IF(OR(F216="Arbeidskosten",F216="Vergoeding"),VLOOKUP(G216,Tb_KostenTypen[],2,0),VLOOKUP(F216,Kostentypen!$A$3:$E$20,3,0))),"")</f>
        <v/>
      </c>
      <c r="O216" s="320" t="str" cm="1">
        <f t="array" ref="O216">_xlfn.IFNA(IF(INDEX(Tb_KostenOptiesDB[],MATCH($F216,Tb_KostenOptiesDB[KostenOptie],0),IFERROR(MATCH(Methode_Keuze,Tb_KostenOptiesDB[#Headers],0),2))=1,_xlfn.SWITCH($N216,"Uurtarief",IF(OR(AND(RIGHT($F216,3)="IKS",VLOOKUP($M216,DB_Loonkosten,2,0)="Ja"),AND(RIGHT($F216,3)&lt;&gt;"IKS",VLOOKUP($M216,DB_Loonkosten,2,0)="Nee")),IFERROR(VLOOKUP($M216,DB_Loonkosten,24,0),""),0),"Vast tarief",IF(LEFT(F216,8)="Bijdrage",VLOOKUP($F216,Tb_KostenTypen[],MATCH(Lijsten!$P$1,Tb_KostenTypen[#Headers],0),0),VLOOKUP($G216,Lijsten!L:P,MATCH(Lijsten!$P$1,Kop_Tarief_Vast,0),0))),""),"")</f>
        <v/>
      </c>
      <c r="P216" s="320" t="str" cm="1">
        <f t="array" ref="P216">_xlfn.IFNA(IF(INDEX(Tb_KostenOptiesDB[],MATCH($F216,Tb_KostenOptiesDB[KostenOptie],0),IFERROR(MATCH(Methode_Keuze,Tb_KostenOptiesDB[#Headers],0),2))=1,_xlfn.SWITCH($N216,"Uurtarief",IF(OR(AND(RIGHT($F216,3)="IKS",VLOOKUP($M216,DB_Loonkosten,2,0)="Ja"),AND(RIGHT($F216,3)&lt;&gt;"IKS",VLOOKUP($M216,DB_Loonkosten,2,0)="Nee")),IFERROR(VLOOKUP($M216,DB_Loonkosten,25,0),""),0),"Vast tarief",IF(LEFT(F216,8)="Bijdrage",VLOOKUP($F216,Tb_KostenTypen[],MATCH(Lijsten!$P$1,Tb_KostenTypen[#Headers],0),0),VLOOKUP($G216,Lijsten!L:P,MATCH(Lijsten!$P$1,Kop_Tarief_Vast,0),0))),""),"")</f>
        <v/>
      </c>
      <c r="Q216" s="359"/>
      <c r="R216" s="359"/>
      <c r="S216" s="321"/>
      <c r="T216" s="321"/>
      <c r="U216" s="373" t="str">
        <f t="shared" si="12"/>
        <v/>
      </c>
      <c r="V216" s="314" t="str">
        <f t="shared" si="13"/>
        <v/>
      </c>
      <c r="W216" s="314" t="str" cm="1">
        <f t="array" aca="1" ref="W216" ca="1">IFERROR(IF(AE216&lt;&gt;"ja",_xlfn.IFNA(_xlfn.IFS(AND(O216&lt;&gt;"",F216&lt;&gt;"",RIGHT($N216,6)="tarief",F216="Vergoeding"),SUM(O216)*FLOOR(SUM(Q216),0.0001),AND(O216&lt;&gt;"",F216&lt;&gt;"",RIGHT($N216,6)="tarief"),SUM(O216)*FLOOR(SUM(Q216),0.01),S216&gt;0,IF(F216&lt;&gt;"",FLOOR(SUM(S216),0.01),"")),""),""),"")</f>
        <v/>
      </c>
      <c r="X216" s="314" t="str" cm="1">
        <f t="array" aca="1" ref="X216" ca="1">IFERROR(IF(AE216&lt;&gt;"ja",_xlfn.IFNA(_xlfn.IFS(AND(P216&lt;&gt;"",R216&lt;&gt;"",RIGHT($N216,6)="tarief",F216="Vergoeding"),SUM(P216)*FLOOR(SUM(R216),0.0001),AND(P216&lt;&gt;"",R216&lt;&gt;"",RIGHT($N216,6)="tarief"),P216*FLOOR(R216,0.01),T216&gt;0,FLOOR(SUM(T216),0.01)),""),""),"")</f>
        <v/>
      </c>
      <c r="Y216" s="314" t="str">
        <f t="shared" ca="1" si="14"/>
        <v/>
      </c>
      <c r="Z216" s="314" t="str" cm="1">
        <f t="array" aca="1" ref="Z216" ca="1">IFERROR(_xlfn.IFS(OR(F216="",LEFT(Methode_Keuze,4)="Geen",Methode_Keuze=""),"",AND(W216&lt;&gt;"",F216&lt;&gt;"Arbeidskosten"),W216*VLOOKUP(F216,Tb_ProjectKosten[],MATCH(Tb_ProjectKosten[[#Headers],[Forfait_Percentage]],Tb_ProjectKosten[#Headers],0),0),AND(F216="Arbeidskosten",G216&lt;&gt;""),IFERROR(W216*VLOOKUP(G216,Tb_KostenTypen[],3,0)*VLOOKUP(F216,Tb_ProjectKosten[],MATCH(Tb_ProjectKosten[[#Headers],[Forfait_Percentage]],Tb_ProjectKosten[#Headers],0),0),""),W216 &lt;=0,0),"")</f>
        <v/>
      </c>
      <c r="AA216" s="314" t="str" cm="1">
        <f t="array" aca="1" ref="AA216" ca="1">IFERROR(_xlfn.IFS(OR(F216="",LEFT(Methode_Keuze,4)="Geen",Methode_Keuze=""),"",AND(X216&lt;&gt;"",F216&lt;&gt;"Arbeidskosten"),X216*VLOOKUP(F216,Tb_ProjectKosten[],MATCH(Tb_ProjectKosten[[#Headers],[Forfait_Percentage]],Tb_ProjectKosten[#Headers],0),0),AND(F216="Arbeidskosten",G216&lt;&gt;""),IFERROR(X216*VLOOKUP(G216,Tb_KostenTypen[],3,0)*VLOOKUP(F216,Tb_ProjectKosten[],MATCH(Tb_ProjectKosten[[#Headers],[Forfait_Percentage]],Tb_ProjectKosten[#Headers],0),0),""),X216 &lt;=0,0),"")</f>
        <v/>
      </c>
      <c r="AB216" s="314" t="str">
        <f t="shared" ca="1" si="15"/>
        <v/>
      </c>
      <c r="AC216" s="322"/>
      <c r="AD216" s="315"/>
      <c r="AE216" s="32" t="str" cm="1">
        <f t="array" ref="AE216">IFERROR(IF(INDEX(SubsidieTabel!$AD$1:$AG$12,MATCH($F216,SubsidieTabel!$AD$1:$AD$12,0),IFERROR(MATCH(Methode_Keuze,SubsidieTabel!$AD$1:$AG$1,0),2))&lt;&gt;1=TRUE,"ja",""),"")</f>
        <v/>
      </c>
    </row>
    <row r="217" spans="1:31" x14ac:dyDescent="0.25">
      <c r="A217" s="316"/>
      <c r="B217" s="317" t="str">
        <f>IF(A217&lt;&gt;"",_xlfn.MAXIFS($B$1:B216,$A$1:A216,A217)+1,"")</f>
        <v/>
      </c>
      <c r="C217" s="296"/>
      <c r="D217" s="296"/>
      <c r="E217" s="296"/>
      <c r="F217" s="296"/>
      <c r="G217" s="326"/>
      <c r="H217" s="324"/>
      <c r="I217" s="325"/>
      <c r="J217" s="325"/>
      <c r="K217" s="318"/>
      <c r="L217" s="318"/>
      <c r="M217" s="319" t="str">
        <f>IFERROR(VLOOKUP(H217,Lijsten!$H$1:$I$100,2,0),"")</f>
        <v/>
      </c>
      <c r="N217" s="319" t="str">
        <f ca="1">IFERROR(IF(VLOOKUP(F217,Kostentypen!$A$3:$E$21,3,0)=0,"",IF(OR(F217="Arbeidskosten",F217="Vergoeding"),VLOOKUP(G217,Tb_KostenTypen[],2,0),VLOOKUP(F217,Kostentypen!$A$3:$E$20,3,0))),"")</f>
        <v/>
      </c>
      <c r="O217" s="320" t="str" cm="1">
        <f t="array" ref="O217">_xlfn.IFNA(IF(INDEX(Tb_KostenOptiesDB[],MATCH($F217,Tb_KostenOptiesDB[KostenOptie],0),IFERROR(MATCH(Methode_Keuze,Tb_KostenOptiesDB[#Headers],0),2))=1,_xlfn.SWITCH($N217,"Uurtarief",IF(OR(AND(RIGHT($F217,3)="IKS",VLOOKUP($M217,DB_Loonkosten,2,0)="Ja"),AND(RIGHT($F217,3)&lt;&gt;"IKS",VLOOKUP($M217,DB_Loonkosten,2,0)="Nee")),IFERROR(VLOOKUP($M217,DB_Loonkosten,24,0),""),0),"Vast tarief",IF(LEFT(F217,8)="Bijdrage",VLOOKUP($F217,Tb_KostenTypen[],MATCH(Lijsten!$P$1,Tb_KostenTypen[#Headers],0),0),VLOOKUP($G217,Lijsten!L:P,MATCH(Lijsten!$P$1,Kop_Tarief_Vast,0),0))),""),"")</f>
        <v/>
      </c>
      <c r="P217" s="320" t="str" cm="1">
        <f t="array" ref="P217">_xlfn.IFNA(IF(INDEX(Tb_KostenOptiesDB[],MATCH($F217,Tb_KostenOptiesDB[KostenOptie],0),IFERROR(MATCH(Methode_Keuze,Tb_KostenOptiesDB[#Headers],0),2))=1,_xlfn.SWITCH($N217,"Uurtarief",IF(OR(AND(RIGHT($F217,3)="IKS",VLOOKUP($M217,DB_Loonkosten,2,0)="Ja"),AND(RIGHT($F217,3)&lt;&gt;"IKS",VLOOKUP($M217,DB_Loonkosten,2,0)="Nee")),IFERROR(VLOOKUP($M217,DB_Loonkosten,25,0),""),0),"Vast tarief",IF(LEFT(F217,8)="Bijdrage",VLOOKUP($F217,Tb_KostenTypen[],MATCH(Lijsten!$P$1,Tb_KostenTypen[#Headers],0),0),VLOOKUP($G217,Lijsten!L:P,MATCH(Lijsten!$P$1,Kop_Tarief_Vast,0),0))),""),"")</f>
        <v/>
      </c>
      <c r="Q217" s="359"/>
      <c r="R217" s="359"/>
      <c r="S217" s="321"/>
      <c r="T217" s="321"/>
      <c r="U217" s="373" t="str">
        <f t="shared" si="12"/>
        <v/>
      </c>
      <c r="V217" s="314" t="str">
        <f t="shared" si="13"/>
        <v/>
      </c>
      <c r="W217" s="314" t="str" cm="1">
        <f t="array" aca="1" ref="W217" ca="1">IFERROR(IF(AE217&lt;&gt;"ja",_xlfn.IFNA(_xlfn.IFS(AND(O217&lt;&gt;"",F217&lt;&gt;"",RIGHT($N217,6)="tarief",F217="Vergoeding"),SUM(O217)*FLOOR(SUM(Q217),0.0001),AND(O217&lt;&gt;"",F217&lt;&gt;"",RIGHT($N217,6)="tarief"),SUM(O217)*FLOOR(SUM(Q217),0.01),S217&gt;0,IF(F217&lt;&gt;"",FLOOR(SUM(S217),0.01),"")),""),""),"")</f>
        <v/>
      </c>
      <c r="X217" s="314" t="str" cm="1">
        <f t="array" aca="1" ref="X217" ca="1">IFERROR(IF(AE217&lt;&gt;"ja",_xlfn.IFNA(_xlfn.IFS(AND(P217&lt;&gt;"",R217&lt;&gt;"",RIGHT($N217,6)="tarief",F217="Vergoeding"),SUM(P217)*FLOOR(SUM(R217),0.0001),AND(P217&lt;&gt;"",R217&lt;&gt;"",RIGHT($N217,6)="tarief"),P217*FLOOR(R217,0.01),T217&gt;0,FLOOR(SUM(T217),0.01)),""),""),"")</f>
        <v/>
      </c>
      <c r="Y217" s="314" t="str">
        <f t="shared" ca="1" si="14"/>
        <v/>
      </c>
      <c r="Z217" s="314" t="str" cm="1">
        <f t="array" aca="1" ref="Z217" ca="1">IFERROR(_xlfn.IFS(OR(F217="",LEFT(Methode_Keuze,4)="Geen",Methode_Keuze=""),"",AND(W217&lt;&gt;"",F217&lt;&gt;"Arbeidskosten"),W217*VLOOKUP(F217,Tb_ProjectKosten[],MATCH(Tb_ProjectKosten[[#Headers],[Forfait_Percentage]],Tb_ProjectKosten[#Headers],0),0),AND(F217="Arbeidskosten",G217&lt;&gt;""),IFERROR(W217*VLOOKUP(G217,Tb_KostenTypen[],3,0)*VLOOKUP(F217,Tb_ProjectKosten[],MATCH(Tb_ProjectKosten[[#Headers],[Forfait_Percentage]],Tb_ProjectKosten[#Headers],0),0),""),W217 &lt;=0,0),"")</f>
        <v/>
      </c>
      <c r="AA217" s="314" t="str" cm="1">
        <f t="array" aca="1" ref="AA217" ca="1">IFERROR(_xlfn.IFS(OR(F217="",LEFT(Methode_Keuze,4)="Geen",Methode_Keuze=""),"",AND(X217&lt;&gt;"",F217&lt;&gt;"Arbeidskosten"),X217*VLOOKUP(F217,Tb_ProjectKosten[],MATCH(Tb_ProjectKosten[[#Headers],[Forfait_Percentage]],Tb_ProjectKosten[#Headers],0),0),AND(F217="Arbeidskosten",G217&lt;&gt;""),IFERROR(X217*VLOOKUP(G217,Tb_KostenTypen[],3,0)*VLOOKUP(F217,Tb_ProjectKosten[],MATCH(Tb_ProjectKosten[[#Headers],[Forfait_Percentage]],Tb_ProjectKosten[#Headers],0),0),""),X217 &lt;=0,0),"")</f>
        <v/>
      </c>
      <c r="AB217" s="314" t="str">
        <f t="shared" ca="1" si="15"/>
        <v/>
      </c>
      <c r="AC217" s="322"/>
      <c r="AD217" s="315"/>
      <c r="AE217" s="32" t="str" cm="1">
        <f t="array" ref="AE217">IFERROR(IF(INDEX(SubsidieTabel!$AD$1:$AG$12,MATCH($F217,SubsidieTabel!$AD$1:$AD$12,0),IFERROR(MATCH(Methode_Keuze,SubsidieTabel!$AD$1:$AG$1,0),2))&lt;&gt;1=TRUE,"ja",""),"")</f>
        <v/>
      </c>
    </row>
    <row r="218" spans="1:31" x14ac:dyDescent="0.25">
      <c r="A218" s="316"/>
      <c r="B218" s="317" t="str">
        <f>IF(A218&lt;&gt;"",_xlfn.MAXIFS($B$1:B217,$A$1:A217,A218)+1,"")</f>
        <v/>
      </c>
      <c r="C218" s="296"/>
      <c r="D218" s="296"/>
      <c r="E218" s="296"/>
      <c r="F218" s="296"/>
      <c r="G218" s="326"/>
      <c r="H218" s="324"/>
      <c r="I218" s="325"/>
      <c r="J218" s="325"/>
      <c r="K218" s="318"/>
      <c r="L218" s="318"/>
      <c r="M218" s="319" t="str">
        <f>IFERROR(VLOOKUP(H218,Lijsten!$H$1:$I$100,2,0),"")</f>
        <v/>
      </c>
      <c r="N218" s="319" t="str">
        <f ca="1">IFERROR(IF(VLOOKUP(F218,Kostentypen!$A$3:$E$21,3,0)=0,"",IF(OR(F218="Arbeidskosten",F218="Vergoeding"),VLOOKUP(G218,Tb_KostenTypen[],2,0),VLOOKUP(F218,Kostentypen!$A$3:$E$20,3,0))),"")</f>
        <v/>
      </c>
      <c r="O218" s="320" t="str" cm="1">
        <f t="array" ref="O218">_xlfn.IFNA(IF(INDEX(Tb_KostenOptiesDB[],MATCH($F218,Tb_KostenOptiesDB[KostenOptie],0),IFERROR(MATCH(Methode_Keuze,Tb_KostenOptiesDB[#Headers],0),2))=1,_xlfn.SWITCH($N218,"Uurtarief",IF(OR(AND(RIGHT($F218,3)="IKS",VLOOKUP($M218,DB_Loonkosten,2,0)="Ja"),AND(RIGHT($F218,3)&lt;&gt;"IKS",VLOOKUP($M218,DB_Loonkosten,2,0)="Nee")),IFERROR(VLOOKUP($M218,DB_Loonkosten,24,0),""),0),"Vast tarief",IF(LEFT(F218,8)="Bijdrage",VLOOKUP($F218,Tb_KostenTypen[],MATCH(Lijsten!$P$1,Tb_KostenTypen[#Headers],0),0),VLOOKUP($G218,Lijsten!L:P,MATCH(Lijsten!$P$1,Kop_Tarief_Vast,0),0))),""),"")</f>
        <v/>
      </c>
      <c r="P218" s="320" t="str" cm="1">
        <f t="array" ref="P218">_xlfn.IFNA(IF(INDEX(Tb_KostenOptiesDB[],MATCH($F218,Tb_KostenOptiesDB[KostenOptie],0),IFERROR(MATCH(Methode_Keuze,Tb_KostenOptiesDB[#Headers],0),2))=1,_xlfn.SWITCH($N218,"Uurtarief",IF(OR(AND(RIGHT($F218,3)="IKS",VLOOKUP($M218,DB_Loonkosten,2,0)="Ja"),AND(RIGHT($F218,3)&lt;&gt;"IKS",VLOOKUP($M218,DB_Loonkosten,2,0)="Nee")),IFERROR(VLOOKUP($M218,DB_Loonkosten,25,0),""),0),"Vast tarief",IF(LEFT(F218,8)="Bijdrage",VLOOKUP($F218,Tb_KostenTypen[],MATCH(Lijsten!$P$1,Tb_KostenTypen[#Headers],0),0),VLOOKUP($G218,Lijsten!L:P,MATCH(Lijsten!$P$1,Kop_Tarief_Vast,0),0))),""),"")</f>
        <v/>
      </c>
      <c r="Q218" s="359"/>
      <c r="R218" s="359"/>
      <c r="S218" s="321"/>
      <c r="T218" s="321"/>
      <c r="U218" s="373" t="str">
        <f t="shared" si="12"/>
        <v/>
      </c>
      <c r="V218" s="314" t="str">
        <f t="shared" si="13"/>
        <v/>
      </c>
      <c r="W218" s="314" t="str" cm="1">
        <f t="array" aca="1" ref="W218" ca="1">IFERROR(IF(AE218&lt;&gt;"ja",_xlfn.IFNA(_xlfn.IFS(AND(O218&lt;&gt;"",F218&lt;&gt;"",RIGHT($N218,6)="tarief",F218="Vergoeding"),SUM(O218)*FLOOR(SUM(Q218),0.0001),AND(O218&lt;&gt;"",F218&lt;&gt;"",RIGHT($N218,6)="tarief"),SUM(O218)*FLOOR(SUM(Q218),0.01),S218&gt;0,IF(F218&lt;&gt;"",FLOOR(SUM(S218),0.01),"")),""),""),"")</f>
        <v/>
      </c>
      <c r="X218" s="314" t="str" cm="1">
        <f t="array" aca="1" ref="X218" ca="1">IFERROR(IF(AE218&lt;&gt;"ja",_xlfn.IFNA(_xlfn.IFS(AND(P218&lt;&gt;"",R218&lt;&gt;"",RIGHT($N218,6)="tarief",F218="Vergoeding"),SUM(P218)*FLOOR(SUM(R218),0.0001),AND(P218&lt;&gt;"",R218&lt;&gt;"",RIGHT($N218,6)="tarief"),P218*FLOOR(R218,0.01),T218&gt;0,FLOOR(SUM(T218),0.01)),""),""),"")</f>
        <v/>
      </c>
      <c r="Y218" s="314" t="str">
        <f t="shared" ca="1" si="14"/>
        <v/>
      </c>
      <c r="Z218" s="314" t="str" cm="1">
        <f t="array" aca="1" ref="Z218" ca="1">IFERROR(_xlfn.IFS(OR(F218="",LEFT(Methode_Keuze,4)="Geen",Methode_Keuze=""),"",AND(W218&lt;&gt;"",F218&lt;&gt;"Arbeidskosten"),W218*VLOOKUP(F218,Tb_ProjectKosten[],MATCH(Tb_ProjectKosten[[#Headers],[Forfait_Percentage]],Tb_ProjectKosten[#Headers],0),0),AND(F218="Arbeidskosten",G218&lt;&gt;""),IFERROR(W218*VLOOKUP(G218,Tb_KostenTypen[],3,0)*VLOOKUP(F218,Tb_ProjectKosten[],MATCH(Tb_ProjectKosten[[#Headers],[Forfait_Percentage]],Tb_ProjectKosten[#Headers],0),0),""),W218 &lt;=0,0),"")</f>
        <v/>
      </c>
      <c r="AA218" s="314" t="str" cm="1">
        <f t="array" aca="1" ref="AA218" ca="1">IFERROR(_xlfn.IFS(OR(F218="",LEFT(Methode_Keuze,4)="Geen",Methode_Keuze=""),"",AND(X218&lt;&gt;"",F218&lt;&gt;"Arbeidskosten"),X218*VLOOKUP(F218,Tb_ProjectKosten[],MATCH(Tb_ProjectKosten[[#Headers],[Forfait_Percentage]],Tb_ProjectKosten[#Headers],0),0),AND(F218="Arbeidskosten",G218&lt;&gt;""),IFERROR(X218*VLOOKUP(G218,Tb_KostenTypen[],3,0)*VLOOKUP(F218,Tb_ProjectKosten[],MATCH(Tb_ProjectKosten[[#Headers],[Forfait_Percentage]],Tb_ProjectKosten[#Headers],0),0),""),X218 &lt;=0,0),"")</f>
        <v/>
      </c>
      <c r="AB218" s="314" t="str">
        <f t="shared" ca="1" si="15"/>
        <v/>
      </c>
      <c r="AC218" s="322"/>
      <c r="AD218" s="315"/>
      <c r="AE218" s="32" t="str" cm="1">
        <f t="array" ref="AE218">IFERROR(IF(INDEX(SubsidieTabel!$AD$1:$AG$12,MATCH($F218,SubsidieTabel!$AD$1:$AD$12,0),IFERROR(MATCH(Methode_Keuze,SubsidieTabel!$AD$1:$AG$1,0),2))&lt;&gt;1=TRUE,"ja",""),"")</f>
        <v/>
      </c>
    </row>
    <row r="219" spans="1:31" x14ac:dyDescent="0.25">
      <c r="A219" s="316"/>
      <c r="B219" s="317" t="str">
        <f>IF(A219&lt;&gt;"",_xlfn.MAXIFS($B$1:B218,$A$1:A218,A219)+1,"")</f>
        <v/>
      </c>
      <c r="C219" s="296"/>
      <c r="D219" s="296"/>
      <c r="E219" s="296"/>
      <c r="F219" s="296"/>
      <c r="G219" s="326"/>
      <c r="H219" s="324"/>
      <c r="I219" s="325"/>
      <c r="J219" s="325"/>
      <c r="K219" s="318"/>
      <c r="L219" s="318"/>
      <c r="M219" s="319" t="str">
        <f>IFERROR(VLOOKUP(H219,Lijsten!$H$1:$I$100,2,0),"")</f>
        <v/>
      </c>
      <c r="N219" s="319" t="str">
        <f ca="1">IFERROR(IF(VLOOKUP(F219,Kostentypen!$A$3:$E$21,3,0)=0,"",IF(OR(F219="Arbeidskosten",F219="Vergoeding"),VLOOKUP(G219,Tb_KostenTypen[],2,0),VLOOKUP(F219,Kostentypen!$A$3:$E$20,3,0))),"")</f>
        <v/>
      </c>
      <c r="O219" s="320" t="str" cm="1">
        <f t="array" ref="O219">_xlfn.IFNA(IF(INDEX(Tb_KostenOptiesDB[],MATCH($F219,Tb_KostenOptiesDB[KostenOptie],0),IFERROR(MATCH(Methode_Keuze,Tb_KostenOptiesDB[#Headers],0),2))=1,_xlfn.SWITCH($N219,"Uurtarief",IF(OR(AND(RIGHT($F219,3)="IKS",VLOOKUP($M219,DB_Loonkosten,2,0)="Ja"),AND(RIGHT($F219,3)&lt;&gt;"IKS",VLOOKUP($M219,DB_Loonkosten,2,0)="Nee")),IFERROR(VLOOKUP($M219,DB_Loonkosten,24,0),""),0),"Vast tarief",IF(LEFT(F219,8)="Bijdrage",VLOOKUP($F219,Tb_KostenTypen[],MATCH(Lijsten!$P$1,Tb_KostenTypen[#Headers],0),0),VLOOKUP($G219,Lijsten!L:P,MATCH(Lijsten!$P$1,Kop_Tarief_Vast,0),0))),""),"")</f>
        <v/>
      </c>
      <c r="P219" s="320" t="str" cm="1">
        <f t="array" ref="P219">_xlfn.IFNA(IF(INDEX(Tb_KostenOptiesDB[],MATCH($F219,Tb_KostenOptiesDB[KostenOptie],0),IFERROR(MATCH(Methode_Keuze,Tb_KostenOptiesDB[#Headers],0),2))=1,_xlfn.SWITCH($N219,"Uurtarief",IF(OR(AND(RIGHT($F219,3)="IKS",VLOOKUP($M219,DB_Loonkosten,2,0)="Ja"),AND(RIGHT($F219,3)&lt;&gt;"IKS",VLOOKUP($M219,DB_Loonkosten,2,0)="Nee")),IFERROR(VLOOKUP($M219,DB_Loonkosten,25,0),""),0),"Vast tarief",IF(LEFT(F219,8)="Bijdrage",VLOOKUP($F219,Tb_KostenTypen[],MATCH(Lijsten!$P$1,Tb_KostenTypen[#Headers],0),0),VLOOKUP($G219,Lijsten!L:P,MATCH(Lijsten!$P$1,Kop_Tarief_Vast,0),0))),""),"")</f>
        <v/>
      </c>
      <c r="Q219" s="359"/>
      <c r="R219" s="359"/>
      <c r="S219" s="321"/>
      <c r="T219" s="321"/>
      <c r="U219" s="373" t="str">
        <f t="shared" si="12"/>
        <v/>
      </c>
      <c r="V219" s="314" t="str">
        <f t="shared" si="13"/>
        <v/>
      </c>
      <c r="W219" s="314" t="str" cm="1">
        <f t="array" aca="1" ref="W219" ca="1">IFERROR(IF(AE219&lt;&gt;"ja",_xlfn.IFNA(_xlfn.IFS(AND(O219&lt;&gt;"",F219&lt;&gt;"",RIGHT($N219,6)="tarief",F219="Vergoeding"),SUM(O219)*FLOOR(SUM(Q219),0.0001),AND(O219&lt;&gt;"",F219&lt;&gt;"",RIGHT($N219,6)="tarief"),SUM(O219)*FLOOR(SUM(Q219),0.01),S219&gt;0,IF(F219&lt;&gt;"",FLOOR(SUM(S219),0.01),"")),""),""),"")</f>
        <v/>
      </c>
      <c r="X219" s="314" t="str" cm="1">
        <f t="array" aca="1" ref="X219" ca="1">IFERROR(IF(AE219&lt;&gt;"ja",_xlfn.IFNA(_xlfn.IFS(AND(P219&lt;&gt;"",R219&lt;&gt;"",RIGHT($N219,6)="tarief",F219="Vergoeding"),SUM(P219)*FLOOR(SUM(R219),0.0001),AND(P219&lt;&gt;"",R219&lt;&gt;"",RIGHT($N219,6)="tarief"),P219*FLOOR(R219,0.01),T219&gt;0,FLOOR(SUM(T219),0.01)),""),""),"")</f>
        <v/>
      </c>
      <c r="Y219" s="314" t="str">
        <f t="shared" ca="1" si="14"/>
        <v/>
      </c>
      <c r="Z219" s="314" t="str" cm="1">
        <f t="array" aca="1" ref="Z219" ca="1">IFERROR(_xlfn.IFS(OR(F219="",LEFT(Methode_Keuze,4)="Geen",Methode_Keuze=""),"",AND(W219&lt;&gt;"",F219&lt;&gt;"Arbeidskosten"),W219*VLOOKUP(F219,Tb_ProjectKosten[],MATCH(Tb_ProjectKosten[[#Headers],[Forfait_Percentage]],Tb_ProjectKosten[#Headers],0),0),AND(F219="Arbeidskosten",G219&lt;&gt;""),IFERROR(W219*VLOOKUP(G219,Tb_KostenTypen[],3,0)*VLOOKUP(F219,Tb_ProjectKosten[],MATCH(Tb_ProjectKosten[[#Headers],[Forfait_Percentage]],Tb_ProjectKosten[#Headers],0),0),""),W219 &lt;=0,0),"")</f>
        <v/>
      </c>
      <c r="AA219" s="314" t="str" cm="1">
        <f t="array" aca="1" ref="AA219" ca="1">IFERROR(_xlfn.IFS(OR(F219="",LEFT(Methode_Keuze,4)="Geen",Methode_Keuze=""),"",AND(X219&lt;&gt;"",F219&lt;&gt;"Arbeidskosten"),X219*VLOOKUP(F219,Tb_ProjectKosten[],MATCH(Tb_ProjectKosten[[#Headers],[Forfait_Percentage]],Tb_ProjectKosten[#Headers],0),0),AND(F219="Arbeidskosten",G219&lt;&gt;""),IFERROR(X219*VLOOKUP(G219,Tb_KostenTypen[],3,0)*VLOOKUP(F219,Tb_ProjectKosten[],MATCH(Tb_ProjectKosten[[#Headers],[Forfait_Percentage]],Tb_ProjectKosten[#Headers],0),0),""),X219 &lt;=0,0),"")</f>
        <v/>
      </c>
      <c r="AB219" s="314" t="str">
        <f t="shared" ca="1" si="15"/>
        <v/>
      </c>
      <c r="AC219" s="322"/>
      <c r="AD219" s="315"/>
      <c r="AE219" s="32" t="str" cm="1">
        <f t="array" ref="AE219">IFERROR(IF(INDEX(SubsidieTabel!$AD$1:$AG$12,MATCH($F219,SubsidieTabel!$AD$1:$AD$12,0),IFERROR(MATCH(Methode_Keuze,SubsidieTabel!$AD$1:$AG$1,0),2))&lt;&gt;1=TRUE,"ja",""),"")</f>
        <v/>
      </c>
    </row>
    <row r="220" spans="1:31" x14ac:dyDescent="0.25">
      <c r="A220" s="316"/>
      <c r="B220" s="317" t="str">
        <f>IF(A220&lt;&gt;"",_xlfn.MAXIFS($B$1:B219,$A$1:A219,A220)+1,"")</f>
        <v/>
      </c>
      <c r="C220" s="296"/>
      <c r="D220" s="296"/>
      <c r="E220" s="296"/>
      <c r="F220" s="296"/>
      <c r="G220" s="326"/>
      <c r="H220" s="324"/>
      <c r="I220" s="325"/>
      <c r="J220" s="325"/>
      <c r="K220" s="318"/>
      <c r="L220" s="318"/>
      <c r="M220" s="319" t="str">
        <f>IFERROR(VLOOKUP(H220,Lijsten!$H$1:$I$100,2,0),"")</f>
        <v/>
      </c>
      <c r="N220" s="319" t="str">
        <f ca="1">IFERROR(IF(VLOOKUP(F220,Kostentypen!$A$3:$E$21,3,0)=0,"",IF(OR(F220="Arbeidskosten",F220="Vergoeding"),VLOOKUP(G220,Tb_KostenTypen[],2,0),VLOOKUP(F220,Kostentypen!$A$3:$E$20,3,0))),"")</f>
        <v/>
      </c>
      <c r="O220" s="320" t="str" cm="1">
        <f t="array" ref="O220">_xlfn.IFNA(IF(INDEX(Tb_KostenOptiesDB[],MATCH($F220,Tb_KostenOptiesDB[KostenOptie],0),IFERROR(MATCH(Methode_Keuze,Tb_KostenOptiesDB[#Headers],0),2))=1,_xlfn.SWITCH($N220,"Uurtarief",IF(OR(AND(RIGHT($F220,3)="IKS",VLOOKUP($M220,DB_Loonkosten,2,0)="Ja"),AND(RIGHT($F220,3)&lt;&gt;"IKS",VLOOKUP($M220,DB_Loonkosten,2,0)="Nee")),IFERROR(VLOOKUP($M220,DB_Loonkosten,24,0),""),0),"Vast tarief",IF(LEFT(F220,8)="Bijdrage",VLOOKUP($F220,Tb_KostenTypen[],MATCH(Lijsten!$P$1,Tb_KostenTypen[#Headers],0),0),VLOOKUP($G220,Lijsten!L:P,MATCH(Lijsten!$P$1,Kop_Tarief_Vast,0),0))),""),"")</f>
        <v/>
      </c>
      <c r="P220" s="320" t="str" cm="1">
        <f t="array" ref="P220">_xlfn.IFNA(IF(INDEX(Tb_KostenOptiesDB[],MATCH($F220,Tb_KostenOptiesDB[KostenOptie],0),IFERROR(MATCH(Methode_Keuze,Tb_KostenOptiesDB[#Headers],0),2))=1,_xlfn.SWITCH($N220,"Uurtarief",IF(OR(AND(RIGHT($F220,3)="IKS",VLOOKUP($M220,DB_Loonkosten,2,0)="Ja"),AND(RIGHT($F220,3)&lt;&gt;"IKS",VLOOKUP($M220,DB_Loonkosten,2,0)="Nee")),IFERROR(VLOOKUP($M220,DB_Loonkosten,25,0),""),0),"Vast tarief",IF(LEFT(F220,8)="Bijdrage",VLOOKUP($F220,Tb_KostenTypen[],MATCH(Lijsten!$P$1,Tb_KostenTypen[#Headers],0),0),VLOOKUP($G220,Lijsten!L:P,MATCH(Lijsten!$P$1,Kop_Tarief_Vast,0),0))),""),"")</f>
        <v/>
      </c>
      <c r="Q220" s="359"/>
      <c r="R220" s="359"/>
      <c r="S220" s="321"/>
      <c r="T220" s="321"/>
      <c r="U220" s="373" t="str">
        <f t="shared" si="12"/>
        <v/>
      </c>
      <c r="V220" s="314" t="str">
        <f t="shared" si="13"/>
        <v/>
      </c>
      <c r="W220" s="314" t="str" cm="1">
        <f t="array" aca="1" ref="W220" ca="1">IFERROR(IF(AE220&lt;&gt;"ja",_xlfn.IFNA(_xlfn.IFS(AND(O220&lt;&gt;"",F220&lt;&gt;"",RIGHT($N220,6)="tarief",F220="Vergoeding"),SUM(O220)*FLOOR(SUM(Q220),0.0001),AND(O220&lt;&gt;"",F220&lt;&gt;"",RIGHT($N220,6)="tarief"),SUM(O220)*FLOOR(SUM(Q220),0.01),S220&gt;0,IF(F220&lt;&gt;"",FLOOR(SUM(S220),0.01),"")),""),""),"")</f>
        <v/>
      </c>
      <c r="X220" s="314" t="str" cm="1">
        <f t="array" aca="1" ref="X220" ca="1">IFERROR(IF(AE220&lt;&gt;"ja",_xlfn.IFNA(_xlfn.IFS(AND(P220&lt;&gt;"",R220&lt;&gt;"",RIGHT($N220,6)="tarief",F220="Vergoeding"),SUM(P220)*FLOOR(SUM(R220),0.0001),AND(P220&lt;&gt;"",R220&lt;&gt;"",RIGHT($N220,6)="tarief"),P220*FLOOR(R220,0.01),T220&gt;0,FLOOR(SUM(T220),0.01)),""),""),"")</f>
        <v/>
      </c>
      <c r="Y220" s="314" t="str">
        <f t="shared" ca="1" si="14"/>
        <v/>
      </c>
      <c r="Z220" s="314" t="str" cm="1">
        <f t="array" aca="1" ref="Z220" ca="1">IFERROR(_xlfn.IFS(OR(F220="",LEFT(Methode_Keuze,4)="Geen",Methode_Keuze=""),"",AND(W220&lt;&gt;"",F220&lt;&gt;"Arbeidskosten"),W220*VLOOKUP(F220,Tb_ProjectKosten[],MATCH(Tb_ProjectKosten[[#Headers],[Forfait_Percentage]],Tb_ProjectKosten[#Headers],0),0),AND(F220="Arbeidskosten",G220&lt;&gt;""),IFERROR(W220*VLOOKUP(G220,Tb_KostenTypen[],3,0)*VLOOKUP(F220,Tb_ProjectKosten[],MATCH(Tb_ProjectKosten[[#Headers],[Forfait_Percentage]],Tb_ProjectKosten[#Headers],0),0),""),W220 &lt;=0,0),"")</f>
        <v/>
      </c>
      <c r="AA220" s="314" t="str" cm="1">
        <f t="array" aca="1" ref="AA220" ca="1">IFERROR(_xlfn.IFS(OR(F220="",LEFT(Methode_Keuze,4)="Geen",Methode_Keuze=""),"",AND(X220&lt;&gt;"",F220&lt;&gt;"Arbeidskosten"),X220*VLOOKUP(F220,Tb_ProjectKosten[],MATCH(Tb_ProjectKosten[[#Headers],[Forfait_Percentage]],Tb_ProjectKosten[#Headers],0),0),AND(F220="Arbeidskosten",G220&lt;&gt;""),IFERROR(X220*VLOOKUP(G220,Tb_KostenTypen[],3,0)*VLOOKUP(F220,Tb_ProjectKosten[],MATCH(Tb_ProjectKosten[[#Headers],[Forfait_Percentage]],Tb_ProjectKosten[#Headers],0),0),""),X220 &lt;=0,0),"")</f>
        <v/>
      </c>
      <c r="AB220" s="314" t="str">
        <f t="shared" ca="1" si="15"/>
        <v/>
      </c>
      <c r="AC220" s="322"/>
      <c r="AD220" s="315"/>
      <c r="AE220" s="32" t="str" cm="1">
        <f t="array" ref="AE220">IFERROR(IF(INDEX(SubsidieTabel!$AD$1:$AG$12,MATCH($F220,SubsidieTabel!$AD$1:$AD$12,0),IFERROR(MATCH(Methode_Keuze,SubsidieTabel!$AD$1:$AG$1,0),2))&lt;&gt;1=TRUE,"ja",""),"")</f>
        <v/>
      </c>
    </row>
    <row r="221" spans="1:31" x14ac:dyDescent="0.25">
      <c r="A221" s="316"/>
      <c r="B221" s="317" t="str">
        <f>IF(A221&lt;&gt;"",_xlfn.MAXIFS($B$1:B220,$A$1:A220,A221)+1,"")</f>
        <v/>
      </c>
      <c r="C221" s="296"/>
      <c r="D221" s="296"/>
      <c r="E221" s="296"/>
      <c r="F221" s="296"/>
      <c r="G221" s="326"/>
      <c r="H221" s="324"/>
      <c r="I221" s="325"/>
      <c r="J221" s="325"/>
      <c r="K221" s="318"/>
      <c r="L221" s="318"/>
      <c r="M221" s="319" t="str">
        <f>IFERROR(VLOOKUP(H221,Lijsten!$H$1:$I$100,2,0),"")</f>
        <v/>
      </c>
      <c r="N221" s="319" t="str">
        <f ca="1">IFERROR(IF(VLOOKUP(F221,Kostentypen!$A$3:$E$21,3,0)=0,"",IF(OR(F221="Arbeidskosten",F221="Vergoeding"),VLOOKUP(G221,Tb_KostenTypen[],2,0),VLOOKUP(F221,Kostentypen!$A$3:$E$20,3,0))),"")</f>
        <v/>
      </c>
      <c r="O221" s="320" t="str" cm="1">
        <f t="array" ref="O221">_xlfn.IFNA(IF(INDEX(Tb_KostenOptiesDB[],MATCH($F221,Tb_KostenOptiesDB[KostenOptie],0),IFERROR(MATCH(Methode_Keuze,Tb_KostenOptiesDB[#Headers],0),2))=1,_xlfn.SWITCH($N221,"Uurtarief",IF(OR(AND(RIGHT($F221,3)="IKS",VLOOKUP($M221,DB_Loonkosten,2,0)="Ja"),AND(RIGHT($F221,3)&lt;&gt;"IKS",VLOOKUP($M221,DB_Loonkosten,2,0)="Nee")),IFERROR(VLOOKUP($M221,DB_Loonkosten,24,0),""),0),"Vast tarief",IF(LEFT(F221,8)="Bijdrage",VLOOKUP($F221,Tb_KostenTypen[],MATCH(Lijsten!$P$1,Tb_KostenTypen[#Headers],0),0),VLOOKUP($G221,Lijsten!L:P,MATCH(Lijsten!$P$1,Kop_Tarief_Vast,0),0))),""),"")</f>
        <v/>
      </c>
      <c r="P221" s="320" t="str" cm="1">
        <f t="array" ref="P221">_xlfn.IFNA(IF(INDEX(Tb_KostenOptiesDB[],MATCH($F221,Tb_KostenOptiesDB[KostenOptie],0),IFERROR(MATCH(Methode_Keuze,Tb_KostenOptiesDB[#Headers],0),2))=1,_xlfn.SWITCH($N221,"Uurtarief",IF(OR(AND(RIGHT($F221,3)="IKS",VLOOKUP($M221,DB_Loonkosten,2,0)="Ja"),AND(RIGHT($F221,3)&lt;&gt;"IKS",VLOOKUP($M221,DB_Loonkosten,2,0)="Nee")),IFERROR(VLOOKUP($M221,DB_Loonkosten,25,0),""),0),"Vast tarief",IF(LEFT(F221,8)="Bijdrage",VLOOKUP($F221,Tb_KostenTypen[],MATCH(Lijsten!$P$1,Tb_KostenTypen[#Headers],0),0),VLOOKUP($G221,Lijsten!L:P,MATCH(Lijsten!$P$1,Kop_Tarief_Vast,0),0))),""),"")</f>
        <v/>
      </c>
      <c r="Q221" s="359"/>
      <c r="R221" s="359"/>
      <c r="S221" s="321"/>
      <c r="T221" s="321"/>
      <c r="U221" s="373" t="str">
        <f t="shared" si="12"/>
        <v/>
      </c>
      <c r="V221" s="314" t="str">
        <f t="shared" si="13"/>
        <v/>
      </c>
      <c r="W221" s="314" t="str" cm="1">
        <f t="array" aca="1" ref="W221" ca="1">IFERROR(IF(AE221&lt;&gt;"ja",_xlfn.IFNA(_xlfn.IFS(AND(O221&lt;&gt;"",F221&lt;&gt;"",RIGHT($N221,6)="tarief",F221="Vergoeding"),SUM(O221)*FLOOR(SUM(Q221),0.0001),AND(O221&lt;&gt;"",F221&lt;&gt;"",RIGHT($N221,6)="tarief"),SUM(O221)*FLOOR(SUM(Q221),0.01),S221&gt;0,IF(F221&lt;&gt;"",FLOOR(SUM(S221),0.01),"")),""),""),"")</f>
        <v/>
      </c>
      <c r="X221" s="314" t="str" cm="1">
        <f t="array" aca="1" ref="X221" ca="1">IFERROR(IF(AE221&lt;&gt;"ja",_xlfn.IFNA(_xlfn.IFS(AND(P221&lt;&gt;"",R221&lt;&gt;"",RIGHT($N221,6)="tarief",F221="Vergoeding"),SUM(P221)*FLOOR(SUM(R221),0.0001),AND(P221&lt;&gt;"",R221&lt;&gt;"",RIGHT($N221,6)="tarief"),P221*FLOOR(R221,0.01),T221&gt;0,FLOOR(SUM(T221),0.01)),""),""),"")</f>
        <v/>
      </c>
      <c r="Y221" s="314" t="str">
        <f t="shared" ca="1" si="14"/>
        <v/>
      </c>
      <c r="Z221" s="314" t="str" cm="1">
        <f t="array" aca="1" ref="Z221" ca="1">IFERROR(_xlfn.IFS(OR(F221="",LEFT(Methode_Keuze,4)="Geen",Methode_Keuze=""),"",AND(W221&lt;&gt;"",F221&lt;&gt;"Arbeidskosten"),W221*VLOOKUP(F221,Tb_ProjectKosten[],MATCH(Tb_ProjectKosten[[#Headers],[Forfait_Percentage]],Tb_ProjectKosten[#Headers],0),0),AND(F221="Arbeidskosten",G221&lt;&gt;""),IFERROR(W221*VLOOKUP(G221,Tb_KostenTypen[],3,0)*VLOOKUP(F221,Tb_ProjectKosten[],MATCH(Tb_ProjectKosten[[#Headers],[Forfait_Percentage]],Tb_ProjectKosten[#Headers],0),0),""),W221 &lt;=0,0),"")</f>
        <v/>
      </c>
      <c r="AA221" s="314" t="str" cm="1">
        <f t="array" aca="1" ref="AA221" ca="1">IFERROR(_xlfn.IFS(OR(F221="",LEFT(Methode_Keuze,4)="Geen",Methode_Keuze=""),"",AND(X221&lt;&gt;"",F221&lt;&gt;"Arbeidskosten"),X221*VLOOKUP(F221,Tb_ProjectKosten[],MATCH(Tb_ProjectKosten[[#Headers],[Forfait_Percentage]],Tb_ProjectKosten[#Headers],0),0),AND(F221="Arbeidskosten",G221&lt;&gt;""),IFERROR(X221*VLOOKUP(G221,Tb_KostenTypen[],3,0)*VLOOKUP(F221,Tb_ProjectKosten[],MATCH(Tb_ProjectKosten[[#Headers],[Forfait_Percentage]],Tb_ProjectKosten[#Headers],0),0),""),X221 &lt;=0,0),"")</f>
        <v/>
      </c>
      <c r="AB221" s="314" t="str">
        <f t="shared" ca="1" si="15"/>
        <v/>
      </c>
      <c r="AC221" s="322"/>
      <c r="AD221" s="315"/>
      <c r="AE221" s="32" t="str" cm="1">
        <f t="array" ref="AE221">IFERROR(IF(INDEX(SubsidieTabel!$AD$1:$AG$12,MATCH($F221,SubsidieTabel!$AD$1:$AD$12,0),IFERROR(MATCH(Methode_Keuze,SubsidieTabel!$AD$1:$AG$1,0),2))&lt;&gt;1=TRUE,"ja",""),"")</f>
        <v/>
      </c>
    </row>
    <row r="222" spans="1:31" x14ac:dyDescent="0.25">
      <c r="A222" s="316"/>
      <c r="B222" s="317" t="str">
        <f>IF(A222&lt;&gt;"",_xlfn.MAXIFS($B$1:B221,$A$1:A221,A222)+1,"")</f>
        <v/>
      </c>
      <c r="C222" s="296"/>
      <c r="D222" s="296"/>
      <c r="E222" s="296"/>
      <c r="F222" s="296"/>
      <c r="G222" s="326"/>
      <c r="H222" s="324"/>
      <c r="I222" s="325"/>
      <c r="J222" s="325"/>
      <c r="K222" s="318"/>
      <c r="L222" s="318"/>
      <c r="M222" s="319" t="str">
        <f>IFERROR(VLOOKUP(H222,Lijsten!$H$1:$I$100,2,0),"")</f>
        <v/>
      </c>
      <c r="N222" s="319" t="str">
        <f ca="1">IFERROR(IF(VLOOKUP(F222,Kostentypen!$A$3:$E$21,3,0)=0,"",IF(OR(F222="Arbeidskosten",F222="Vergoeding"),VLOOKUP(G222,Tb_KostenTypen[],2,0),VLOOKUP(F222,Kostentypen!$A$3:$E$20,3,0))),"")</f>
        <v/>
      </c>
      <c r="O222" s="320" t="str" cm="1">
        <f t="array" ref="O222">_xlfn.IFNA(IF(INDEX(Tb_KostenOptiesDB[],MATCH($F222,Tb_KostenOptiesDB[KostenOptie],0),IFERROR(MATCH(Methode_Keuze,Tb_KostenOptiesDB[#Headers],0),2))=1,_xlfn.SWITCH($N222,"Uurtarief",IF(OR(AND(RIGHT($F222,3)="IKS",VLOOKUP($M222,DB_Loonkosten,2,0)="Ja"),AND(RIGHT($F222,3)&lt;&gt;"IKS",VLOOKUP($M222,DB_Loonkosten,2,0)="Nee")),IFERROR(VLOOKUP($M222,DB_Loonkosten,24,0),""),0),"Vast tarief",IF(LEFT(F222,8)="Bijdrage",VLOOKUP($F222,Tb_KostenTypen[],MATCH(Lijsten!$P$1,Tb_KostenTypen[#Headers],0),0),VLOOKUP($G222,Lijsten!L:P,MATCH(Lijsten!$P$1,Kop_Tarief_Vast,0),0))),""),"")</f>
        <v/>
      </c>
      <c r="P222" s="320" t="str" cm="1">
        <f t="array" ref="P222">_xlfn.IFNA(IF(INDEX(Tb_KostenOptiesDB[],MATCH($F222,Tb_KostenOptiesDB[KostenOptie],0),IFERROR(MATCH(Methode_Keuze,Tb_KostenOptiesDB[#Headers],0),2))=1,_xlfn.SWITCH($N222,"Uurtarief",IF(OR(AND(RIGHT($F222,3)="IKS",VLOOKUP($M222,DB_Loonkosten,2,0)="Ja"),AND(RIGHT($F222,3)&lt;&gt;"IKS",VLOOKUP($M222,DB_Loonkosten,2,0)="Nee")),IFERROR(VLOOKUP($M222,DB_Loonkosten,25,0),""),0),"Vast tarief",IF(LEFT(F222,8)="Bijdrage",VLOOKUP($F222,Tb_KostenTypen[],MATCH(Lijsten!$P$1,Tb_KostenTypen[#Headers],0),0),VLOOKUP($G222,Lijsten!L:P,MATCH(Lijsten!$P$1,Kop_Tarief_Vast,0),0))),""),"")</f>
        <v/>
      </c>
      <c r="Q222" s="359"/>
      <c r="R222" s="359"/>
      <c r="S222" s="321"/>
      <c r="T222" s="321"/>
      <c r="U222" s="373" t="str">
        <f t="shared" si="12"/>
        <v/>
      </c>
      <c r="V222" s="314" t="str">
        <f t="shared" si="13"/>
        <v/>
      </c>
      <c r="W222" s="314" t="str" cm="1">
        <f t="array" aca="1" ref="W222" ca="1">IFERROR(IF(AE222&lt;&gt;"ja",_xlfn.IFNA(_xlfn.IFS(AND(O222&lt;&gt;"",F222&lt;&gt;"",RIGHT($N222,6)="tarief",F222="Vergoeding"),SUM(O222)*FLOOR(SUM(Q222),0.0001),AND(O222&lt;&gt;"",F222&lt;&gt;"",RIGHT($N222,6)="tarief"),SUM(O222)*FLOOR(SUM(Q222),0.01),S222&gt;0,IF(F222&lt;&gt;"",FLOOR(SUM(S222),0.01),"")),""),""),"")</f>
        <v/>
      </c>
      <c r="X222" s="314" t="str" cm="1">
        <f t="array" aca="1" ref="X222" ca="1">IFERROR(IF(AE222&lt;&gt;"ja",_xlfn.IFNA(_xlfn.IFS(AND(P222&lt;&gt;"",R222&lt;&gt;"",RIGHT($N222,6)="tarief",F222="Vergoeding"),SUM(P222)*FLOOR(SUM(R222),0.0001),AND(P222&lt;&gt;"",R222&lt;&gt;"",RIGHT($N222,6)="tarief"),P222*FLOOR(R222,0.01),T222&gt;0,FLOOR(SUM(T222),0.01)),""),""),"")</f>
        <v/>
      </c>
      <c r="Y222" s="314" t="str">
        <f t="shared" ca="1" si="14"/>
        <v/>
      </c>
      <c r="Z222" s="314" t="str" cm="1">
        <f t="array" aca="1" ref="Z222" ca="1">IFERROR(_xlfn.IFS(OR(F222="",LEFT(Methode_Keuze,4)="Geen",Methode_Keuze=""),"",AND(W222&lt;&gt;"",F222&lt;&gt;"Arbeidskosten"),W222*VLOOKUP(F222,Tb_ProjectKosten[],MATCH(Tb_ProjectKosten[[#Headers],[Forfait_Percentage]],Tb_ProjectKosten[#Headers],0),0),AND(F222="Arbeidskosten",G222&lt;&gt;""),IFERROR(W222*VLOOKUP(G222,Tb_KostenTypen[],3,0)*VLOOKUP(F222,Tb_ProjectKosten[],MATCH(Tb_ProjectKosten[[#Headers],[Forfait_Percentage]],Tb_ProjectKosten[#Headers],0),0),""),W222 &lt;=0,0),"")</f>
        <v/>
      </c>
      <c r="AA222" s="314" t="str" cm="1">
        <f t="array" aca="1" ref="AA222" ca="1">IFERROR(_xlfn.IFS(OR(F222="",LEFT(Methode_Keuze,4)="Geen",Methode_Keuze=""),"",AND(X222&lt;&gt;"",F222&lt;&gt;"Arbeidskosten"),X222*VLOOKUP(F222,Tb_ProjectKosten[],MATCH(Tb_ProjectKosten[[#Headers],[Forfait_Percentage]],Tb_ProjectKosten[#Headers],0),0),AND(F222="Arbeidskosten",G222&lt;&gt;""),IFERROR(X222*VLOOKUP(G222,Tb_KostenTypen[],3,0)*VLOOKUP(F222,Tb_ProjectKosten[],MATCH(Tb_ProjectKosten[[#Headers],[Forfait_Percentage]],Tb_ProjectKosten[#Headers],0),0),""),X222 &lt;=0,0),"")</f>
        <v/>
      </c>
      <c r="AB222" s="314" t="str">
        <f t="shared" ca="1" si="15"/>
        <v/>
      </c>
      <c r="AC222" s="322"/>
      <c r="AD222" s="315"/>
      <c r="AE222" s="32" t="str" cm="1">
        <f t="array" ref="AE222">IFERROR(IF(INDEX(SubsidieTabel!$AD$1:$AG$12,MATCH($F222,SubsidieTabel!$AD$1:$AD$12,0),IFERROR(MATCH(Methode_Keuze,SubsidieTabel!$AD$1:$AG$1,0),2))&lt;&gt;1=TRUE,"ja",""),"")</f>
        <v/>
      </c>
    </row>
    <row r="223" spans="1:31" x14ac:dyDescent="0.25">
      <c r="A223" s="316"/>
      <c r="B223" s="317" t="str">
        <f>IF(A223&lt;&gt;"",_xlfn.MAXIFS($B$1:B222,$A$1:A222,A223)+1,"")</f>
        <v/>
      </c>
      <c r="C223" s="296"/>
      <c r="D223" s="296"/>
      <c r="E223" s="296"/>
      <c r="F223" s="296"/>
      <c r="G223" s="326"/>
      <c r="H223" s="324"/>
      <c r="I223" s="325"/>
      <c r="J223" s="325"/>
      <c r="K223" s="318"/>
      <c r="L223" s="318"/>
      <c r="M223" s="319" t="str">
        <f>IFERROR(VLOOKUP(H223,Lijsten!$H$1:$I$100,2,0),"")</f>
        <v/>
      </c>
      <c r="N223" s="319" t="str">
        <f ca="1">IFERROR(IF(VLOOKUP(F223,Kostentypen!$A$3:$E$21,3,0)=0,"",IF(OR(F223="Arbeidskosten",F223="Vergoeding"),VLOOKUP(G223,Tb_KostenTypen[],2,0),VLOOKUP(F223,Kostentypen!$A$3:$E$20,3,0))),"")</f>
        <v/>
      </c>
      <c r="O223" s="320" t="str" cm="1">
        <f t="array" ref="O223">_xlfn.IFNA(IF(INDEX(Tb_KostenOptiesDB[],MATCH($F223,Tb_KostenOptiesDB[KostenOptie],0),IFERROR(MATCH(Methode_Keuze,Tb_KostenOptiesDB[#Headers],0),2))=1,_xlfn.SWITCH($N223,"Uurtarief",IF(OR(AND(RIGHT($F223,3)="IKS",VLOOKUP($M223,DB_Loonkosten,2,0)="Ja"),AND(RIGHT($F223,3)&lt;&gt;"IKS",VLOOKUP($M223,DB_Loonkosten,2,0)="Nee")),IFERROR(VLOOKUP($M223,DB_Loonkosten,24,0),""),0),"Vast tarief",IF(LEFT(F223,8)="Bijdrage",VLOOKUP($F223,Tb_KostenTypen[],MATCH(Lijsten!$P$1,Tb_KostenTypen[#Headers],0),0),VLOOKUP($G223,Lijsten!L:P,MATCH(Lijsten!$P$1,Kop_Tarief_Vast,0),0))),""),"")</f>
        <v/>
      </c>
      <c r="P223" s="320" t="str" cm="1">
        <f t="array" ref="P223">_xlfn.IFNA(IF(INDEX(Tb_KostenOptiesDB[],MATCH($F223,Tb_KostenOptiesDB[KostenOptie],0),IFERROR(MATCH(Methode_Keuze,Tb_KostenOptiesDB[#Headers],0),2))=1,_xlfn.SWITCH($N223,"Uurtarief",IF(OR(AND(RIGHT($F223,3)="IKS",VLOOKUP($M223,DB_Loonkosten,2,0)="Ja"),AND(RIGHT($F223,3)&lt;&gt;"IKS",VLOOKUP($M223,DB_Loonkosten,2,0)="Nee")),IFERROR(VLOOKUP($M223,DB_Loonkosten,25,0),""),0),"Vast tarief",IF(LEFT(F223,8)="Bijdrage",VLOOKUP($F223,Tb_KostenTypen[],MATCH(Lijsten!$P$1,Tb_KostenTypen[#Headers],0),0),VLOOKUP($G223,Lijsten!L:P,MATCH(Lijsten!$P$1,Kop_Tarief_Vast,0),0))),""),"")</f>
        <v/>
      </c>
      <c r="Q223" s="359"/>
      <c r="R223" s="359"/>
      <c r="S223" s="321"/>
      <c r="T223" s="321"/>
      <c r="U223" s="373" t="str">
        <f t="shared" si="12"/>
        <v/>
      </c>
      <c r="V223" s="314" t="str">
        <f t="shared" si="13"/>
        <v/>
      </c>
      <c r="W223" s="314" t="str" cm="1">
        <f t="array" aca="1" ref="W223" ca="1">IFERROR(IF(AE223&lt;&gt;"ja",_xlfn.IFNA(_xlfn.IFS(AND(O223&lt;&gt;"",F223&lt;&gt;"",RIGHT($N223,6)="tarief",F223="Vergoeding"),SUM(O223)*FLOOR(SUM(Q223),0.0001),AND(O223&lt;&gt;"",F223&lt;&gt;"",RIGHT($N223,6)="tarief"),SUM(O223)*FLOOR(SUM(Q223),0.01),S223&gt;0,IF(F223&lt;&gt;"",FLOOR(SUM(S223),0.01),"")),""),""),"")</f>
        <v/>
      </c>
      <c r="X223" s="314" t="str" cm="1">
        <f t="array" aca="1" ref="X223" ca="1">IFERROR(IF(AE223&lt;&gt;"ja",_xlfn.IFNA(_xlfn.IFS(AND(P223&lt;&gt;"",R223&lt;&gt;"",RIGHT($N223,6)="tarief",F223="Vergoeding"),SUM(P223)*FLOOR(SUM(R223),0.0001),AND(P223&lt;&gt;"",R223&lt;&gt;"",RIGHT($N223,6)="tarief"),P223*FLOOR(R223,0.01),T223&gt;0,FLOOR(SUM(T223),0.01)),""),""),"")</f>
        <v/>
      </c>
      <c r="Y223" s="314" t="str">
        <f t="shared" ca="1" si="14"/>
        <v/>
      </c>
      <c r="Z223" s="314" t="str" cm="1">
        <f t="array" aca="1" ref="Z223" ca="1">IFERROR(_xlfn.IFS(OR(F223="",LEFT(Methode_Keuze,4)="Geen",Methode_Keuze=""),"",AND(W223&lt;&gt;"",F223&lt;&gt;"Arbeidskosten"),W223*VLOOKUP(F223,Tb_ProjectKosten[],MATCH(Tb_ProjectKosten[[#Headers],[Forfait_Percentage]],Tb_ProjectKosten[#Headers],0),0),AND(F223="Arbeidskosten",G223&lt;&gt;""),IFERROR(W223*VLOOKUP(G223,Tb_KostenTypen[],3,0)*VLOOKUP(F223,Tb_ProjectKosten[],MATCH(Tb_ProjectKosten[[#Headers],[Forfait_Percentage]],Tb_ProjectKosten[#Headers],0),0),""),W223 &lt;=0,0),"")</f>
        <v/>
      </c>
      <c r="AA223" s="314" t="str" cm="1">
        <f t="array" aca="1" ref="AA223" ca="1">IFERROR(_xlfn.IFS(OR(F223="",LEFT(Methode_Keuze,4)="Geen",Methode_Keuze=""),"",AND(X223&lt;&gt;"",F223&lt;&gt;"Arbeidskosten"),X223*VLOOKUP(F223,Tb_ProjectKosten[],MATCH(Tb_ProjectKosten[[#Headers],[Forfait_Percentage]],Tb_ProjectKosten[#Headers],0),0),AND(F223="Arbeidskosten",G223&lt;&gt;""),IFERROR(X223*VLOOKUP(G223,Tb_KostenTypen[],3,0)*VLOOKUP(F223,Tb_ProjectKosten[],MATCH(Tb_ProjectKosten[[#Headers],[Forfait_Percentage]],Tb_ProjectKosten[#Headers],0),0),""),X223 &lt;=0,0),"")</f>
        <v/>
      </c>
      <c r="AB223" s="314" t="str">
        <f t="shared" ca="1" si="15"/>
        <v/>
      </c>
      <c r="AC223" s="322"/>
      <c r="AD223" s="315"/>
      <c r="AE223" s="32" t="str" cm="1">
        <f t="array" ref="AE223">IFERROR(IF(INDEX(SubsidieTabel!$AD$1:$AG$12,MATCH($F223,SubsidieTabel!$AD$1:$AD$12,0),IFERROR(MATCH(Methode_Keuze,SubsidieTabel!$AD$1:$AG$1,0),2))&lt;&gt;1=TRUE,"ja",""),"")</f>
        <v/>
      </c>
    </row>
    <row r="224" spans="1:31" x14ac:dyDescent="0.25">
      <c r="A224" s="316"/>
      <c r="B224" s="317" t="str">
        <f>IF(A224&lt;&gt;"",_xlfn.MAXIFS($B$1:B223,$A$1:A223,A224)+1,"")</f>
        <v/>
      </c>
      <c r="C224" s="296"/>
      <c r="D224" s="296"/>
      <c r="E224" s="296"/>
      <c r="F224" s="296"/>
      <c r="G224" s="326"/>
      <c r="H224" s="324"/>
      <c r="I224" s="325"/>
      <c r="J224" s="325"/>
      <c r="K224" s="318"/>
      <c r="L224" s="318"/>
      <c r="M224" s="319" t="str">
        <f>IFERROR(VLOOKUP(H224,Lijsten!$H$1:$I$100,2,0),"")</f>
        <v/>
      </c>
      <c r="N224" s="319" t="str">
        <f ca="1">IFERROR(IF(VLOOKUP(F224,Kostentypen!$A$3:$E$21,3,0)=0,"",IF(OR(F224="Arbeidskosten",F224="Vergoeding"),VLOOKUP(G224,Tb_KostenTypen[],2,0),VLOOKUP(F224,Kostentypen!$A$3:$E$20,3,0))),"")</f>
        <v/>
      </c>
      <c r="O224" s="320" t="str" cm="1">
        <f t="array" ref="O224">_xlfn.IFNA(IF(INDEX(Tb_KostenOptiesDB[],MATCH($F224,Tb_KostenOptiesDB[KostenOptie],0),IFERROR(MATCH(Methode_Keuze,Tb_KostenOptiesDB[#Headers],0),2))=1,_xlfn.SWITCH($N224,"Uurtarief",IF(OR(AND(RIGHT($F224,3)="IKS",VLOOKUP($M224,DB_Loonkosten,2,0)="Ja"),AND(RIGHT($F224,3)&lt;&gt;"IKS",VLOOKUP($M224,DB_Loonkosten,2,0)="Nee")),IFERROR(VLOOKUP($M224,DB_Loonkosten,24,0),""),0),"Vast tarief",IF(LEFT(F224,8)="Bijdrage",VLOOKUP($F224,Tb_KostenTypen[],MATCH(Lijsten!$P$1,Tb_KostenTypen[#Headers],0),0),VLOOKUP($G224,Lijsten!L:P,MATCH(Lijsten!$P$1,Kop_Tarief_Vast,0),0))),""),"")</f>
        <v/>
      </c>
      <c r="P224" s="320" t="str" cm="1">
        <f t="array" ref="P224">_xlfn.IFNA(IF(INDEX(Tb_KostenOptiesDB[],MATCH($F224,Tb_KostenOptiesDB[KostenOptie],0),IFERROR(MATCH(Methode_Keuze,Tb_KostenOptiesDB[#Headers],0),2))=1,_xlfn.SWITCH($N224,"Uurtarief",IF(OR(AND(RIGHT($F224,3)="IKS",VLOOKUP($M224,DB_Loonkosten,2,0)="Ja"),AND(RIGHT($F224,3)&lt;&gt;"IKS",VLOOKUP($M224,DB_Loonkosten,2,0)="Nee")),IFERROR(VLOOKUP($M224,DB_Loonkosten,25,0),""),0),"Vast tarief",IF(LEFT(F224,8)="Bijdrage",VLOOKUP($F224,Tb_KostenTypen[],MATCH(Lijsten!$P$1,Tb_KostenTypen[#Headers],0),0),VLOOKUP($G224,Lijsten!L:P,MATCH(Lijsten!$P$1,Kop_Tarief_Vast,0),0))),""),"")</f>
        <v/>
      </c>
      <c r="Q224" s="359"/>
      <c r="R224" s="359"/>
      <c r="S224" s="321"/>
      <c r="T224" s="321"/>
      <c r="U224" s="373" t="str">
        <f t="shared" si="12"/>
        <v/>
      </c>
      <c r="V224" s="314" t="str">
        <f t="shared" si="13"/>
        <v/>
      </c>
      <c r="W224" s="314" t="str" cm="1">
        <f t="array" aca="1" ref="W224" ca="1">IFERROR(IF(AE224&lt;&gt;"ja",_xlfn.IFNA(_xlfn.IFS(AND(O224&lt;&gt;"",F224&lt;&gt;"",RIGHT($N224,6)="tarief",F224="Vergoeding"),SUM(O224)*FLOOR(SUM(Q224),0.0001),AND(O224&lt;&gt;"",F224&lt;&gt;"",RIGHT($N224,6)="tarief"),SUM(O224)*FLOOR(SUM(Q224),0.01),S224&gt;0,IF(F224&lt;&gt;"",FLOOR(SUM(S224),0.01),"")),""),""),"")</f>
        <v/>
      </c>
      <c r="X224" s="314" t="str" cm="1">
        <f t="array" aca="1" ref="X224" ca="1">IFERROR(IF(AE224&lt;&gt;"ja",_xlfn.IFNA(_xlfn.IFS(AND(P224&lt;&gt;"",R224&lt;&gt;"",RIGHT($N224,6)="tarief",F224="Vergoeding"),SUM(P224)*FLOOR(SUM(R224),0.0001),AND(P224&lt;&gt;"",R224&lt;&gt;"",RIGHT($N224,6)="tarief"),P224*FLOOR(R224,0.01),T224&gt;0,FLOOR(SUM(T224),0.01)),""),""),"")</f>
        <v/>
      </c>
      <c r="Y224" s="314" t="str">
        <f t="shared" ca="1" si="14"/>
        <v/>
      </c>
      <c r="Z224" s="314" t="str" cm="1">
        <f t="array" aca="1" ref="Z224" ca="1">IFERROR(_xlfn.IFS(OR(F224="",LEFT(Methode_Keuze,4)="Geen",Methode_Keuze=""),"",AND(W224&lt;&gt;"",F224&lt;&gt;"Arbeidskosten"),W224*VLOOKUP(F224,Tb_ProjectKosten[],MATCH(Tb_ProjectKosten[[#Headers],[Forfait_Percentage]],Tb_ProjectKosten[#Headers],0),0),AND(F224="Arbeidskosten",G224&lt;&gt;""),IFERROR(W224*VLOOKUP(G224,Tb_KostenTypen[],3,0)*VLOOKUP(F224,Tb_ProjectKosten[],MATCH(Tb_ProjectKosten[[#Headers],[Forfait_Percentage]],Tb_ProjectKosten[#Headers],0),0),""),W224 &lt;=0,0),"")</f>
        <v/>
      </c>
      <c r="AA224" s="314" t="str" cm="1">
        <f t="array" aca="1" ref="AA224" ca="1">IFERROR(_xlfn.IFS(OR(F224="",LEFT(Methode_Keuze,4)="Geen",Methode_Keuze=""),"",AND(X224&lt;&gt;"",F224&lt;&gt;"Arbeidskosten"),X224*VLOOKUP(F224,Tb_ProjectKosten[],MATCH(Tb_ProjectKosten[[#Headers],[Forfait_Percentage]],Tb_ProjectKosten[#Headers],0),0),AND(F224="Arbeidskosten",G224&lt;&gt;""),IFERROR(X224*VLOOKUP(G224,Tb_KostenTypen[],3,0)*VLOOKUP(F224,Tb_ProjectKosten[],MATCH(Tb_ProjectKosten[[#Headers],[Forfait_Percentage]],Tb_ProjectKosten[#Headers],0),0),""),X224 &lt;=0,0),"")</f>
        <v/>
      </c>
      <c r="AB224" s="314" t="str">
        <f t="shared" ca="1" si="15"/>
        <v/>
      </c>
      <c r="AC224" s="322"/>
      <c r="AD224" s="315"/>
      <c r="AE224" s="32" t="str" cm="1">
        <f t="array" ref="AE224">IFERROR(IF(INDEX(SubsidieTabel!$AD$1:$AG$12,MATCH($F224,SubsidieTabel!$AD$1:$AD$12,0),IFERROR(MATCH(Methode_Keuze,SubsidieTabel!$AD$1:$AG$1,0),2))&lt;&gt;1=TRUE,"ja",""),"")</f>
        <v/>
      </c>
    </row>
    <row r="225" spans="1:31" x14ac:dyDescent="0.25">
      <c r="A225" s="316"/>
      <c r="B225" s="317" t="str">
        <f>IF(A225&lt;&gt;"",_xlfn.MAXIFS($B$1:B224,$A$1:A224,A225)+1,"")</f>
        <v/>
      </c>
      <c r="C225" s="296"/>
      <c r="D225" s="296"/>
      <c r="E225" s="296"/>
      <c r="F225" s="296"/>
      <c r="G225" s="326"/>
      <c r="H225" s="324"/>
      <c r="I225" s="325"/>
      <c r="J225" s="325"/>
      <c r="K225" s="318"/>
      <c r="L225" s="318"/>
      <c r="M225" s="319" t="str">
        <f>IFERROR(VLOOKUP(H225,Lijsten!$H$1:$I$100,2,0),"")</f>
        <v/>
      </c>
      <c r="N225" s="319" t="str">
        <f ca="1">IFERROR(IF(VLOOKUP(F225,Kostentypen!$A$3:$E$21,3,0)=0,"",IF(OR(F225="Arbeidskosten",F225="Vergoeding"),VLOOKUP(G225,Tb_KostenTypen[],2,0),VLOOKUP(F225,Kostentypen!$A$3:$E$20,3,0))),"")</f>
        <v/>
      </c>
      <c r="O225" s="320" t="str" cm="1">
        <f t="array" ref="O225">_xlfn.IFNA(IF(INDEX(Tb_KostenOptiesDB[],MATCH($F225,Tb_KostenOptiesDB[KostenOptie],0),IFERROR(MATCH(Methode_Keuze,Tb_KostenOptiesDB[#Headers],0),2))=1,_xlfn.SWITCH($N225,"Uurtarief",IF(OR(AND(RIGHT($F225,3)="IKS",VLOOKUP($M225,DB_Loonkosten,2,0)="Ja"),AND(RIGHT($F225,3)&lt;&gt;"IKS",VLOOKUP($M225,DB_Loonkosten,2,0)="Nee")),IFERROR(VLOOKUP($M225,DB_Loonkosten,24,0),""),0),"Vast tarief",IF(LEFT(F225,8)="Bijdrage",VLOOKUP($F225,Tb_KostenTypen[],MATCH(Lijsten!$P$1,Tb_KostenTypen[#Headers],0),0),VLOOKUP($G225,Lijsten!L:P,MATCH(Lijsten!$P$1,Kop_Tarief_Vast,0),0))),""),"")</f>
        <v/>
      </c>
      <c r="P225" s="320" t="str" cm="1">
        <f t="array" ref="P225">_xlfn.IFNA(IF(INDEX(Tb_KostenOptiesDB[],MATCH($F225,Tb_KostenOptiesDB[KostenOptie],0),IFERROR(MATCH(Methode_Keuze,Tb_KostenOptiesDB[#Headers],0),2))=1,_xlfn.SWITCH($N225,"Uurtarief",IF(OR(AND(RIGHT($F225,3)="IKS",VLOOKUP($M225,DB_Loonkosten,2,0)="Ja"),AND(RIGHT($F225,3)&lt;&gt;"IKS",VLOOKUP($M225,DB_Loonkosten,2,0)="Nee")),IFERROR(VLOOKUP($M225,DB_Loonkosten,25,0),""),0),"Vast tarief",IF(LEFT(F225,8)="Bijdrage",VLOOKUP($F225,Tb_KostenTypen[],MATCH(Lijsten!$P$1,Tb_KostenTypen[#Headers],0),0),VLOOKUP($G225,Lijsten!L:P,MATCH(Lijsten!$P$1,Kop_Tarief_Vast,0),0))),""),"")</f>
        <v/>
      </c>
      <c r="Q225" s="359"/>
      <c r="R225" s="359"/>
      <c r="S225" s="321"/>
      <c r="T225" s="321"/>
      <c r="U225" s="373" t="str">
        <f t="shared" si="12"/>
        <v/>
      </c>
      <c r="V225" s="314" t="str">
        <f t="shared" si="13"/>
        <v/>
      </c>
      <c r="W225" s="314" t="str" cm="1">
        <f t="array" aca="1" ref="W225" ca="1">IFERROR(IF(AE225&lt;&gt;"ja",_xlfn.IFNA(_xlfn.IFS(AND(O225&lt;&gt;"",F225&lt;&gt;"",RIGHT($N225,6)="tarief",F225="Vergoeding"),SUM(O225)*FLOOR(SUM(Q225),0.0001),AND(O225&lt;&gt;"",F225&lt;&gt;"",RIGHT($N225,6)="tarief"),SUM(O225)*FLOOR(SUM(Q225),0.01),S225&gt;0,IF(F225&lt;&gt;"",FLOOR(SUM(S225),0.01),"")),""),""),"")</f>
        <v/>
      </c>
      <c r="X225" s="314" t="str" cm="1">
        <f t="array" aca="1" ref="X225" ca="1">IFERROR(IF(AE225&lt;&gt;"ja",_xlfn.IFNA(_xlfn.IFS(AND(P225&lt;&gt;"",R225&lt;&gt;"",RIGHT($N225,6)="tarief",F225="Vergoeding"),SUM(P225)*FLOOR(SUM(R225),0.0001),AND(P225&lt;&gt;"",R225&lt;&gt;"",RIGHT($N225,6)="tarief"),P225*FLOOR(R225,0.01),T225&gt;0,FLOOR(SUM(T225),0.01)),""),""),"")</f>
        <v/>
      </c>
      <c r="Y225" s="314" t="str">
        <f t="shared" ca="1" si="14"/>
        <v/>
      </c>
      <c r="Z225" s="314" t="str" cm="1">
        <f t="array" aca="1" ref="Z225" ca="1">IFERROR(_xlfn.IFS(OR(F225="",LEFT(Methode_Keuze,4)="Geen",Methode_Keuze=""),"",AND(W225&lt;&gt;"",F225&lt;&gt;"Arbeidskosten"),W225*VLOOKUP(F225,Tb_ProjectKosten[],MATCH(Tb_ProjectKosten[[#Headers],[Forfait_Percentage]],Tb_ProjectKosten[#Headers],0),0),AND(F225="Arbeidskosten",G225&lt;&gt;""),IFERROR(W225*VLOOKUP(G225,Tb_KostenTypen[],3,0)*VLOOKUP(F225,Tb_ProjectKosten[],MATCH(Tb_ProjectKosten[[#Headers],[Forfait_Percentage]],Tb_ProjectKosten[#Headers],0),0),""),W225 &lt;=0,0),"")</f>
        <v/>
      </c>
      <c r="AA225" s="314" t="str" cm="1">
        <f t="array" aca="1" ref="AA225" ca="1">IFERROR(_xlfn.IFS(OR(F225="",LEFT(Methode_Keuze,4)="Geen",Methode_Keuze=""),"",AND(X225&lt;&gt;"",F225&lt;&gt;"Arbeidskosten"),X225*VLOOKUP(F225,Tb_ProjectKosten[],MATCH(Tb_ProjectKosten[[#Headers],[Forfait_Percentage]],Tb_ProjectKosten[#Headers],0),0),AND(F225="Arbeidskosten",G225&lt;&gt;""),IFERROR(X225*VLOOKUP(G225,Tb_KostenTypen[],3,0)*VLOOKUP(F225,Tb_ProjectKosten[],MATCH(Tb_ProjectKosten[[#Headers],[Forfait_Percentage]],Tb_ProjectKosten[#Headers],0),0),""),X225 &lt;=0,0),"")</f>
        <v/>
      </c>
      <c r="AB225" s="314" t="str">
        <f t="shared" ca="1" si="15"/>
        <v/>
      </c>
      <c r="AC225" s="322"/>
      <c r="AD225" s="315"/>
      <c r="AE225" s="32" t="str" cm="1">
        <f t="array" ref="AE225">IFERROR(IF(INDEX(SubsidieTabel!$AD$1:$AG$12,MATCH($F225,SubsidieTabel!$AD$1:$AD$12,0),IFERROR(MATCH(Methode_Keuze,SubsidieTabel!$AD$1:$AG$1,0),2))&lt;&gt;1=TRUE,"ja",""),"")</f>
        <v/>
      </c>
    </row>
    <row r="226" spans="1:31" x14ac:dyDescent="0.25">
      <c r="A226" s="316"/>
      <c r="B226" s="317" t="str">
        <f>IF(A226&lt;&gt;"",_xlfn.MAXIFS($B$1:B225,$A$1:A225,A226)+1,"")</f>
        <v/>
      </c>
      <c r="C226" s="296"/>
      <c r="D226" s="296"/>
      <c r="E226" s="296"/>
      <c r="F226" s="296"/>
      <c r="G226" s="326"/>
      <c r="H226" s="324"/>
      <c r="I226" s="325"/>
      <c r="J226" s="325"/>
      <c r="K226" s="318"/>
      <c r="L226" s="318"/>
      <c r="M226" s="319" t="str">
        <f>IFERROR(VLOOKUP(H226,Lijsten!$H$1:$I$100,2,0),"")</f>
        <v/>
      </c>
      <c r="N226" s="319" t="str">
        <f ca="1">IFERROR(IF(VLOOKUP(F226,Kostentypen!$A$3:$E$21,3,0)=0,"",IF(OR(F226="Arbeidskosten",F226="Vergoeding"),VLOOKUP(G226,Tb_KostenTypen[],2,0),VLOOKUP(F226,Kostentypen!$A$3:$E$20,3,0))),"")</f>
        <v/>
      </c>
      <c r="O226" s="320" t="str" cm="1">
        <f t="array" ref="O226">_xlfn.IFNA(IF(INDEX(Tb_KostenOptiesDB[],MATCH($F226,Tb_KostenOptiesDB[KostenOptie],0),IFERROR(MATCH(Methode_Keuze,Tb_KostenOptiesDB[#Headers],0),2))=1,_xlfn.SWITCH($N226,"Uurtarief",IF(OR(AND(RIGHT($F226,3)="IKS",VLOOKUP($M226,DB_Loonkosten,2,0)="Ja"),AND(RIGHT($F226,3)&lt;&gt;"IKS",VLOOKUP($M226,DB_Loonkosten,2,0)="Nee")),IFERROR(VLOOKUP($M226,DB_Loonkosten,24,0),""),0),"Vast tarief",IF(LEFT(F226,8)="Bijdrage",VLOOKUP($F226,Tb_KostenTypen[],MATCH(Lijsten!$P$1,Tb_KostenTypen[#Headers],0),0),VLOOKUP($G226,Lijsten!L:P,MATCH(Lijsten!$P$1,Kop_Tarief_Vast,0),0))),""),"")</f>
        <v/>
      </c>
      <c r="P226" s="320" t="str" cm="1">
        <f t="array" ref="P226">_xlfn.IFNA(IF(INDEX(Tb_KostenOptiesDB[],MATCH($F226,Tb_KostenOptiesDB[KostenOptie],0),IFERROR(MATCH(Methode_Keuze,Tb_KostenOptiesDB[#Headers],0),2))=1,_xlfn.SWITCH($N226,"Uurtarief",IF(OR(AND(RIGHT($F226,3)="IKS",VLOOKUP($M226,DB_Loonkosten,2,0)="Ja"),AND(RIGHT($F226,3)&lt;&gt;"IKS",VLOOKUP($M226,DB_Loonkosten,2,0)="Nee")),IFERROR(VLOOKUP($M226,DB_Loonkosten,25,0),""),0),"Vast tarief",IF(LEFT(F226,8)="Bijdrage",VLOOKUP($F226,Tb_KostenTypen[],MATCH(Lijsten!$P$1,Tb_KostenTypen[#Headers],0),0),VLOOKUP($G226,Lijsten!L:P,MATCH(Lijsten!$P$1,Kop_Tarief_Vast,0),0))),""),"")</f>
        <v/>
      </c>
      <c r="Q226" s="359"/>
      <c r="R226" s="359"/>
      <c r="S226" s="321"/>
      <c r="T226" s="321"/>
      <c r="U226" s="373" t="str">
        <f t="shared" si="12"/>
        <v/>
      </c>
      <c r="V226" s="314" t="str">
        <f t="shared" si="13"/>
        <v/>
      </c>
      <c r="W226" s="314" t="str" cm="1">
        <f t="array" aca="1" ref="W226" ca="1">IFERROR(IF(AE226&lt;&gt;"ja",_xlfn.IFNA(_xlfn.IFS(AND(O226&lt;&gt;"",F226&lt;&gt;"",RIGHT($N226,6)="tarief",F226="Vergoeding"),SUM(O226)*FLOOR(SUM(Q226),0.0001),AND(O226&lt;&gt;"",F226&lt;&gt;"",RIGHT($N226,6)="tarief"),SUM(O226)*FLOOR(SUM(Q226),0.01),S226&gt;0,IF(F226&lt;&gt;"",FLOOR(SUM(S226),0.01),"")),""),""),"")</f>
        <v/>
      </c>
      <c r="X226" s="314" t="str" cm="1">
        <f t="array" aca="1" ref="X226" ca="1">IFERROR(IF(AE226&lt;&gt;"ja",_xlfn.IFNA(_xlfn.IFS(AND(P226&lt;&gt;"",R226&lt;&gt;"",RIGHT($N226,6)="tarief",F226="Vergoeding"),SUM(P226)*FLOOR(SUM(R226),0.0001),AND(P226&lt;&gt;"",R226&lt;&gt;"",RIGHT($N226,6)="tarief"),P226*FLOOR(R226,0.01),T226&gt;0,FLOOR(SUM(T226),0.01)),""),""),"")</f>
        <v/>
      </c>
      <c r="Y226" s="314" t="str">
        <f t="shared" ca="1" si="14"/>
        <v/>
      </c>
      <c r="Z226" s="314" t="str" cm="1">
        <f t="array" aca="1" ref="Z226" ca="1">IFERROR(_xlfn.IFS(OR(F226="",LEFT(Methode_Keuze,4)="Geen",Methode_Keuze=""),"",AND(W226&lt;&gt;"",F226&lt;&gt;"Arbeidskosten"),W226*VLOOKUP(F226,Tb_ProjectKosten[],MATCH(Tb_ProjectKosten[[#Headers],[Forfait_Percentage]],Tb_ProjectKosten[#Headers],0),0),AND(F226="Arbeidskosten",G226&lt;&gt;""),IFERROR(W226*VLOOKUP(G226,Tb_KostenTypen[],3,0)*VLOOKUP(F226,Tb_ProjectKosten[],MATCH(Tb_ProjectKosten[[#Headers],[Forfait_Percentage]],Tb_ProjectKosten[#Headers],0),0),""),W226 &lt;=0,0),"")</f>
        <v/>
      </c>
      <c r="AA226" s="314" t="str" cm="1">
        <f t="array" aca="1" ref="AA226" ca="1">IFERROR(_xlfn.IFS(OR(F226="",LEFT(Methode_Keuze,4)="Geen",Methode_Keuze=""),"",AND(X226&lt;&gt;"",F226&lt;&gt;"Arbeidskosten"),X226*VLOOKUP(F226,Tb_ProjectKosten[],MATCH(Tb_ProjectKosten[[#Headers],[Forfait_Percentage]],Tb_ProjectKosten[#Headers],0),0),AND(F226="Arbeidskosten",G226&lt;&gt;""),IFERROR(X226*VLOOKUP(G226,Tb_KostenTypen[],3,0)*VLOOKUP(F226,Tb_ProjectKosten[],MATCH(Tb_ProjectKosten[[#Headers],[Forfait_Percentage]],Tb_ProjectKosten[#Headers],0),0),""),X226 &lt;=0,0),"")</f>
        <v/>
      </c>
      <c r="AB226" s="314" t="str">
        <f t="shared" ca="1" si="15"/>
        <v/>
      </c>
      <c r="AC226" s="322"/>
      <c r="AD226" s="315"/>
      <c r="AE226" s="32" t="str" cm="1">
        <f t="array" ref="AE226">IFERROR(IF(INDEX(SubsidieTabel!$AD$1:$AG$12,MATCH($F226,SubsidieTabel!$AD$1:$AD$12,0),IFERROR(MATCH(Methode_Keuze,SubsidieTabel!$AD$1:$AG$1,0),2))&lt;&gt;1=TRUE,"ja",""),"")</f>
        <v/>
      </c>
    </row>
    <row r="227" spans="1:31" x14ac:dyDescent="0.25">
      <c r="A227" s="316"/>
      <c r="B227" s="317" t="str">
        <f>IF(A227&lt;&gt;"",_xlfn.MAXIFS($B$1:B226,$A$1:A226,A227)+1,"")</f>
        <v/>
      </c>
      <c r="C227" s="296"/>
      <c r="D227" s="296"/>
      <c r="E227" s="296"/>
      <c r="F227" s="296"/>
      <c r="G227" s="326"/>
      <c r="H227" s="324"/>
      <c r="I227" s="325"/>
      <c r="J227" s="325"/>
      <c r="K227" s="318"/>
      <c r="L227" s="318"/>
      <c r="M227" s="319" t="str">
        <f>IFERROR(VLOOKUP(H227,Lijsten!$H$1:$I$100,2,0),"")</f>
        <v/>
      </c>
      <c r="N227" s="319" t="str">
        <f ca="1">IFERROR(IF(VLOOKUP(F227,Kostentypen!$A$3:$E$21,3,0)=0,"",IF(OR(F227="Arbeidskosten",F227="Vergoeding"),VLOOKUP(G227,Tb_KostenTypen[],2,0),VLOOKUP(F227,Kostentypen!$A$3:$E$20,3,0))),"")</f>
        <v/>
      </c>
      <c r="O227" s="320" t="str" cm="1">
        <f t="array" ref="O227">_xlfn.IFNA(IF(INDEX(Tb_KostenOptiesDB[],MATCH($F227,Tb_KostenOptiesDB[KostenOptie],0),IFERROR(MATCH(Methode_Keuze,Tb_KostenOptiesDB[#Headers],0),2))=1,_xlfn.SWITCH($N227,"Uurtarief",IF(OR(AND(RIGHT($F227,3)="IKS",VLOOKUP($M227,DB_Loonkosten,2,0)="Ja"),AND(RIGHT($F227,3)&lt;&gt;"IKS",VLOOKUP($M227,DB_Loonkosten,2,0)="Nee")),IFERROR(VLOOKUP($M227,DB_Loonkosten,24,0),""),0),"Vast tarief",IF(LEFT(F227,8)="Bijdrage",VLOOKUP($F227,Tb_KostenTypen[],MATCH(Lijsten!$P$1,Tb_KostenTypen[#Headers],0),0),VLOOKUP($G227,Lijsten!L:P,MATCH(Lijsten!$P$1,Kop_Tarief_Vast,0),0))),""),"")</f>
        <v/>
      </c>
      <c r="P227" s="320" t="str" cm="1">
        <f t="array" ref="P227">_xlfn.IFNA(IF(INDEX(Tb_KostenOptiesDB[],MATCH($F227,Tb_KostenOptiesDB[KostenOptie],0),IFERROR(MATCH(Methode_Keuze,Tb_KostenOptiesDB[#Headers],0),2))=1,_xlfn.SWITCH($N227,"Uurtarief",IF(OR(AND(RIGHT($F227,3)="IKS",VLOOKUP($M227,DB_Loonkosten,2,0)="Ja"),AND(RIGHT($F227,3)&lt;&gt;"IKS",VLOOKUP($M227,DB_Loonkosten,2,0)="Nee")),IFERROR(VLOOKUP($M227,DB_Loonkosten,25,0),""),0),"Vast tarief",IF(LEFT(F227,8)="Bijdrage",VLOOKUP($F227,Tb_KostenTypen[],MATCH(Lijsten!$P$1,Tb_KostenTypen[#Headers],0),0),VLOOKUP($G227,Lijsten!L:P,MATCH(Lijsten!$P$1,Kop_Tarief_Vast,0),0))),""),"")</f>
        <v/>
      </c>
      <c r="Q227" s="359"/>
      <c r="R227" s="359"/>
      <c r="S227" s="321"/>
      <c r="T227" s="321"/>
      <c r="U227" s="373" t="str">
        <f t="shared" si="12"/>
        <v/>
      </c>
      <c r="V227" s="314" t="str">
        <f t="shared" si="13"/>
        <v/>
      </c>
      <c r="W227" s="314" t="str" cm="1">
        <f t="array" aca="1" ref="W227" ca="1">IFERROR(IF(AE227&lt;&gt;"ja",_xlfn.IFNA(_xlfn.IFS(AND(O227&lt;&gt;"",F227&lt;&gt;"",RIGHT($N227,6)="tarief",F227="Vergoeding"),SUM(O227)*FLOOR(SUM(Q227),0.0001),AND(O227&lt;&gt;"",F227&lt;&gt;"",RIGHT($N227,6)="tarief"),SUM(O227)*FLOOR(SUM(Q227),0.01),S227&gt;0,IF(F227&lt;&gt;"",FLOOR(SUM(S227),0.01),"")),""),""),"")</f>
        <v/>
      </c>
      <c r="X227" s="314" t="str" cm="1">
        <f t="array" aca="1" ref="X227" ca="1">IFERROR(IF(AE227&lt;&gt;"ja",_xlfn.IFNA(_xlfn.IFS(AND(P227&lt;&gt;"",R227&lt;&gt;"",RIGHT($N227,6)="tarief",F227="Vergoeding"),SUM(P227)*FLOOR(SUM(R227),0.0001),AND(P227&lt;&gt;"",R227&lt;&gt;"",RIGHT($N227,6)="tarief"),P227*FLOOR(R227,0.01),T227&gt;0,FLOOR(SUM(T227),0.01)),""),""),"")</f>
        <v/>
      </c>
      <c r="Y227" s="314" t="str">
        <f t="shared" ca="1" si="14"/>
        <v/>
      </c>
      <c r="Z227" s="314" t="str" cm="1">
        <f t="array" aca="1" ref="Z227" ca="1">IFERROR(_xlfn.IFS(OR(F227="",LEFT(Methode_Keuze,4)="Geen",Methode_Keuze=""),"",AND(W227&lt;&gt;"",F227&lt;&gt;"Arbeidskosten"),W227*VLOOKUP(F227,Tb_ProjectKosten[],MATCH(Tb_ProjectKosten[[#Headers],[Forfait_Percentage]],Tb_ProjectKosten[#Headers],0),0),AND(F227="Arbeidskosten",G227&lt;&gt;""),IFERROR(W227*VLOOKUP(G227,Tb_KostenTypen[],3,0)*VLOOKUP(F227,Tb_ProjectKosten[],MATCH(Tb_ProjectKosten[[#Headers],[Forfait_Percentage]],Tb_ProjectKosten[#Headers],0),0),""),W227 &lt;=0,0),"")</f>
        <v/>
      </c>
      <c r="AA227" s="314" t="str" cm="1">
        <f t="array" aca="1" ref="AA227" ca="1">IFERROR(_xlfn.IFS(OR(F227="",LEFT(Methode_Keuze,4)="Geen",Methode_Keuze=""),"",AND(X227&lt;&gt;"",F227&lt;&gt;"Arbeidskosten"),X227*VLOOKUP(F227,Tb_ProjectKosten[],MATCH(Tb_ProjectKosten[[#Headers],[Forfait_Percentage]],Tb_ProjectKosten[#Headers],0),0),AND(F227="Arbeidskosten",G227&lt;&gt;""),IFERROR(X227*VLOOKUP(G227,Tb_KostenTypen[],3,0)*VLOOKUP(F227,Tb_ProjectKosten[],MATCH(Tb_ProjectKosten[[#Headers],[Forfait_Percentage]],Tb_ProjectKosten[#Headers],0),0),""),X227 &lt;=0,0),"")</f>
        <v/>
      </c>
      <c r="AB227" s="314" t="str">
        <f t="shared" ca="1" si="15"/>
        <v/>
      </c>
      <c r="AC227" s="322"/>
      <c r="AD227" s="315"/>
      <c r="AE227" s="32" t="str" cm="1">
        <f t="array" ref="AE227">IFERROR(IF(INDEX(SubsidieTabel!$AD$1:$AG$12,MATCH($F227,SubsidieTabel!$AD$1:$AD$12,0),IFERROR(MATCH(Methode_Keuze,SubsidieTabel!$AD$1:$AG$1,0),2))&lt;&gt;1=TRUE,"ja",""),"")</f>
        <v/>
      </c>
    </row>
    <row r="228" spans="1:31" x14ac:dyDescent="0.25">
      <c r="A228" s="316"/>
      <c r="B228" s="317" t="str">
        <f>IF(A228&lt;&gt;"",_xlfn.MAXIFS($B$1:B227,$A$1:A227,A228)+1,"")</f>
        <v/>
      </c>
      <c r="C228" s="296"/>
      <c r="D228" s="296"/>
      <c r="E228" s="296"/>
      <c r="F228" s="296"/>
      <c r="G228" s="326"/>
      <c r="H228" s="324"/>
      <c r="I228" s="325"/>
      <c r="J228" s="325"/>
      <c r="K228" s="318"/>
      <c r="L228" s="318"/>
      <c r="M228" s="319" t="str">
        <f>IFERROR(VLOOKUP(H228,Lijsten!$H$1:$I$100,2,0),"")</f>
        <v/>
      </c>
      <c r="N228" s="319" t="str">
        <f ca="1">IFERROR(IF(VLOOKUP(F228,Kostentypen!$A$3:$E$21,3,0)=0,"",IF(OR(F228="Arbeidskosten",F228="Vergoeding"),VLOOKUP(G228,Tb_KostenTypen[],2,0),VLOOKUP(F228,Kostentypen!$A$3:$E$20,3,0))),"")</f>
        <v/>
      </c>
      <c r="O228" s="320" t="str" cm="1">
        <f t="array" ref="O228">_xlfn.IFNA(IF(INDEX(Tb_KostenOptiesDB[],MATCH($F228,Tb_KostenOptiesDB[KostenOptie],0),IFERROR(MATCH(Methode_Keuze,Tb_KostenOptiesDB[#Headers],0),2))=1,_xlfn.SWITCH($N228,"Uurtarief",IF(OR(AND(RIGHT($F228,3)="IKS",VLOOKUP($M228,DB_Loonkosten,2,0)="Ja"),AND(RIGHT($F228,3)&lt;&gt;"IKS",VLOOKUP($M228,DB_Loonkosten,2,0)="Nee")),IFERROR(VLOOKUP($M228,DB_Loonkosten,24,0),""),0),"Vast tarief",IF(LEFT(F228,8)="Bijdrage",VLOOKUP($F228,Tb_KostenTypen[],MATCH(Lijsten!$P$1,Tb_KostenTypen[#Headers],0),0),VLOOKUP($G228,Lijsten!L:P,MATCH(Lijsten!$P$1,Kop_Tarief_Vast,0),0))),""),"")</f>
        <v/>
      </c>
      <c r="P228" s="320" t="str" cm="1">
        <f t="array" ref="P228">_xlfn.IFNA(IF(INDEX(Tb_KostenOptiesDB[],MATCH($F228,Tb_KostenOptiesDB[KostenOptie],0),IFERROR(MATCH(Methode_Keuze,Tb_KostenOptiesDB[#Headers],0),2))=1,_xlfn.SWITCH($N228,"Uurtarief",IF(OR(AND(RIGHT($F228,3)="IKS",VLOOKUP($M228,DB_Loonkosten,2,0)="Ja"),AND(RIGHT($F228,3)&lt;&gt;"IKS",VLOOKUP($M228,DB_Loonkosten,2,0)="Nee")),IFERROR(VLOOKUP($M228,DB_Loonkosten,25,0),""),0),"Vast tarief",IF(LEFT(F228,8)="Bijdrage",VLOOKUP($F228,Tb_KostenTypen[],MATCH(Lijsten!$P$1,Tb_KostenTypen[#Headers],0),0),VLOOKUP($G228,Lijsten!L:P,MATCH(Lijsten!$P$1,Kop_Tarief_Vast,0),0))),""),"")</f>
        <v/>
      </c>
      <c r="Q228" s="359"/>
      <c r="R228" s="359"/>
      <c r="S228" s="321"/>
      <c r="T228" s="321"/>
      <c r="U228" s="373" t="str">
        <f t="shared" si="12"/>
        <v/>
      </c>
      <c r="V228" s="314" t="str">
        <f t="shared" si="13"/>
        <v/>
      </c>
      <c r="W228" s="314" t="str" cm="1">
        <f t="array" aca="1" ref="W228" ca="1">IFERROR(IF(AE228&lt;&gt;"ja",_xlfn.IFNA(_xlfn.IFS(AND(O228&lt;&gt;"",F228&lt;&gt;"",RIGHT($N228,6)="tarief",F228="Vergoeding"),SUM(O228)*FLOOR(SUM(Q228),0.0001),AND(O228&lt;&gt;"",F228&lt;&gt;"",RIGHT($N228,6)="tarief"),SUM(O228)*FLOOR(SUM(Q228),0.01),S228&gt;0,IF(F228&lt;&gt;"",FLOOR(SUM(S228),0.01),"")),""),""),"")</f>
        <v/>
      </c>
      <c r="X228" s="314" t="str" cm="1">
        <f t="array" aca="1" ref="X228" ca="1">IFERROR(IF(AE228&lt;&gt;"ja",_xlfn.IFNA(_xlfn.IFS(AND(P228&lt;&gt;"",R228&lt;&gt;"",RIGHT($N228,6)="tarief",F228="Vergoeding"),SUM(P228)*FLOOR(SUM(R228),0.0001),AND(P228&lt;&gt;"",R228&lt;&gt;"",RIGHT($N228,6)="tarief"),P228*FLOOR(R228,0.01),T228&gt;0,FLOOR(SUM(T228),0.01)),""),""),"")</f>
        <v/>
      </c>
      <c r="Y228" s="314" t="str">
        <f t="shared" ca="1" si="14"/>
        <v/>
      </c>
      <c r="Z228" s="314" t="str" cm="1">
        <f t="array" aca="1" ref="Z228" ca="1">IFERROR(_xlfn.IFS(OR(F228="",LEFT(Methode_Keuze,4)="Geen",Methode_Keuze=""),"",AND(W228&lt;&gt;"",F228&lt;&gt;"Arbeidskosten"),W228*VLOOKUP(F228,Tb_ProjectKosten[],MATCH(Tb_ProjectKosten[[#Headers],[Forfait_Percentage]],Tb_ProjectKosten[#Headers],0),0),AND(F228="Arbeidskosten",G228&lt;&gt;""),IFERROR(W228*VLOOKUP(G228,Tb_KostenTypen[],3,0)*VLOOKUP(F228,Tb_ProjectKosten[],MATCH(Tb_ProjectKosten[[#Headers],[Forfait_Percentage]],Tb_ProjectKosten[#Headers],0),0),""),W228 &lt;=0,0),"")</f>
        <v/>
      </c>
      <c r="AA228" s="314" t="str" cm="1">
        <f t="array" aca="1" ref="AA228" ca="1">IFERROR(_xlfn.IFS(OR(F228="",LEFT(Methode_Keuze,4)="Geen",Methode_Keuze=""),"",AND(X228&lt;&gt;"",F228&lt;&gt;"Arbeidskosten"),X228*VLOOKUP(F228,Tb_ProjectKosten[],MATCH(Tb_ProjectKosten[[#Headers],[Forfait_Percentage]],Tb_ProjectKosten[#Headers],0),0),AND(F228="Arbeidskosten",G228&lt;&gt;""),IFERROR(X228*VLOOKUP(G228,Tb_KostenTypen[],3,0)*VLOOKUP(F228,Tb_ProjectKosten[],MATCH(Tb_ProjectKosten[[#Headers],[Forfait_Percentage]],Tb_ProjectKosten[#Headers],0),0),""),X228 &lt;=0,0),"")</f>
        <v/>
      </c>
      <c r="AB228" s="314" t="str">
        <f t="shared" ca="1" si="15"/>
        <v/>
      </c>
      <c r="AC228" s="322"/>
      <c r="AD228" s="315"/>
      <c r="AE228" s="32" t="str" cm="1">
        <f t="array" ref="AE228">IFERROR(IF(INDEX(SubsidieTabel!$AD$1:$AG$12,MATCH($F228,SubsidieTabel!$AD$1:$AD$12,0),IFERROR(MATCH(Methode_Keuze,SubsidieTabel!$AD$1:$AG$1,0),2))&lt;&gt;1=TRUE,"ja",""),"")</f>
        <v/>
      </c>
    </row>
    <row r="229" spans="1:31" x14ac:dyDescent="0.25">
      <c r="A229" s="316"/>
      <c r="B229" s="317" t="str">
        <f>IF(A229&lt;&gt;"",_xlfn.MAXIFS($B$1:B228,$A$1:A228,A229)+1,"")</f>
        <v/>
      </c>
      <c r="C229" s="296"/>
      <c r="D229" s="296"/>
      <c r="E229" s="296"/>
      <c r="F229" s="296"/>
      <c r="G229" s="326"/>
      <c r="H229" s="324"/>
      <c r="I229" s="325"/>
      <c r="J229" s="325"/>
      <c r="K229" s="318"/>
      <c r="L229" s="318"/>
      <c r="M229" s="319" t="str">
        <f>IFERROR(VLOOKUP(H229,Lijsten!$H$1:$I$100,2,0),"")</f>
        <v/>
      </c>
      <c r="N229" s="319" t="str">
        <f ca="1">IFERROR(IF(VLOOKUP(F229,Kostentypen!$A$3:$E$21,3,0)=0,"",IF(OR(F229="Arbeidskosten",F229="Vergoeding"),VLOOKUP(G229,Tb_KostenTypen[],2,0),VLOOKUP(F229,Kostentypen!$A$3:$E$20,3,0))),"")</f>
        <v/>
      </c>
      <c r="O229" s="320" t="str" cm="1">
        <f t="array" ref="O229">_xlfn.IFNA(IF(INDEX(Tb_KostenOptiesDB[],MATCH($F229,Tb_KostenOptiesDB[KostenOptie],0),IFERROR(MATCH(Methode_Keuze,Tb_KostenOptiesDB[#Headers],0),2))=1,_xlfn.SWITCH($N229,"Uurtarief",IF(OR(AND(RIGHT($F229,3)="IKS",VLOOKUP($M229,DB_Loonkosten,2,0)="Ja"),AND(RIGHT($F229,3)&lt;&gt;"IKS",VLOOKUP($M229,DB_Loonkosten,2,0)="Nee")),IFERROR(VLOOKUP($M229,DB_Loonkosten,24,0),""),0),"Vast tarief",IF(LEFT(F229,8)="Bijdrage",VLOOKUP($F229,Tb_KostenTypen[],MATCH(Lijsten!$P$1,Tb_KostenTypen[#Headers],0),0),VLOOKUP($G229,Lijsten!L:P,MATCH(Lijsten!$P$1,Kop_Tarief_Vast,0),0))),""),"")</f>
        <v/>
      </c>
      <c r="P229" s="320" t="str" cm="1">
        <f t="array" ref="P229">_xlfn.IFNA(IF(INDEX(Tb_KostenOptiesDB[],MATCH($F229,Tb_KostenOptiesDB[KostenOptie],0),IFERROR(MATCH(Methode_Keuze,Tb_KostenOptiesDB[#Headers],0),2))=1,_xlfn.SWITCH($N229,"Uurtarief",IF(OR(AND(RIGHT($F229,3)="IKS",VLOOKUP($M229,DB_Loonkosten,2,0)="Ja"),AND(RIGHT($F229,3)&lt;&gt;"IKS",VLOOKUP($M229,DB_Loonkosten,2,0)="Nee")),IFERROR(VLOOKUP($M229,DB_Loonkosten,25,0),""),0),"Vast tarief",IF(LEFT(F229,8)="Bijdrage",VLOOKUP($F229,Tb_KostenTypen[],MATCH(Lijsten!$P$1,Tb_KostenTypen[#Headers],0),0),VLOOKUP($G229,Lijsten!L:P,MATCH(Lijsten!$P$1,Kop_Tarief_Vast,0),0))),""),"")</f>
        <v/>
      </c>
      <c r="Q229" s="359"/>
      <c r="R229" s="359"/>
      <c r="S229" s="321"/>
      <c r="T229" s="321"/>
      <c r="U229" s="373" t="str">
        <f t="shared" si="12"/>
        <v/>
      </c>
      <c r="V229" s="314" t="str">
        <f t="shared" si="13"/>
        <v/>
      </c>
      <c r="W229" s="314" t="str" cm="1">
        <f t="array" aca="1" ref="W229" ca="1">IFERROR(IF(AE229&lt;&gt;"ja",_xlfn.IFNA(_xlfn.IFS(AND(O229&lt;&gt;"",F229&lt;&gt;"",RIGHT($N229,6)="tarief",F229="Vergoeding"),SUM(O229)*FLOOR(SUM(Q229),0.0001),AND(O229&lt;&gt;"",F229&lt;&gt;"",RIGHT($N229,6)="tarief"),SUM(O229)*FLOOR(SUM(Q229),0.01),S229&gt;0,IF(F229&lt;&gt;"",FLOOR(SUM(S229),0.01),"")),""),""),"")</f>
        <v/>
      </c>
      <c r="X229" s="314" t="str" cm="1">
        <f t="array" aca="1" ref="X229" ca="1">IFERROR(IF(AE229&lt;&gt;"ja",_xlfn.IFNA(_xlfn.IFS(AND(P229&lt;&gt;"",R229&lt;&gt;"",RIGHT($N229,6)="tarief",F229="Vergoeding"),SUM(P229)*FLOOR(SUM(R229),0.0001),AND(P229&lt;&gt;"",R229&lt;&gt;"",RIGHT($N229,6)="tarief"),P229*FLOOR(R229,0.01),T229&gt;0,FLOOR(SUM(T229),0.01)),""),""),"")</f>
        <v/>
      </c>
      <c r="Y229" s="314" t="str">
        <f t="shared" ca="1" si="14"/>
        <v/>
      </c>
      <c r="Z229" s="314" t="str" cm="1">
        <f t="array" aca="1" ref="Z229" ca="1">IFERROR(_xlfn.IFS(OR(F229="",LEFT(Methode_Keuze,4)="Geen",Methode_Keuze=""),"",AND(W229&lt;&gt;"",F229&lt;&gt;"Arbeidskosten"),W229*VLOOKUP(F229,Tb_ProjectKosten[],MATCH(Tb_ProjectKosten[[#Headers],[Forfait_Percentage]],Tb_ProjectKosten[#Headers],0),0),AND(F229="Arbeidskosten",G229&lt;&gt;""),IFERROR(W229*VLOOKUP(G229,Tb_KostenTypen[],3,0)*VLOOKUP(F229,Tb_ProjectKosten[],MATCH(Tb_ProjectKosten[[#Headers],[Forfait_Percentage]],Tb_ProjectKosten[#Headers],0),0),""),W229 &lt;=0,0),"")</f>
        <v/>
      </c>
      <c r="AA229" s="314" t="str" cm="1">
        <f t="array" aca="1" ref="AA229" ca="1">IFERROR(_xlfn.IFS(OR(F229="",LEFT(Methode_Keuze,4)="Geen",Methode_Keuze=""),"",AND(X229&lt;&gt;"",F229&lt;&gt;"Arbeidskosten"),X229*VLOOKUP(F229,Tb_ProjectKosten[],MATCH(Tb_ProjectKosten[[#Headers],[Forfait_Percentage]],Tb_ProjectKosten[#Headers],0),0),AND(F229="Arbeidskosten",G229&lt;&gt;""),IFERROR(X229*VLOOKUP(G229,Tb_KostenTypen[],3,0)*VLOOKUP(F229,Tb_ProjectKosten[],MATCH(Tb_ProjectKosten[[#Headers],[Forfait_Percentage]],Tb_ProjectKosten[#Headers],0),0),""),X229 &lt;=0,0),"")</f>
        <v/>
      </c>
      <c r="AB229" s="314" t="str">
        <f t="shared" ca="1" si="15"/>
        <v/>
      </c>
      <c r="AC229" s="322"/>
      <c r="AD229" s="315"/>
      <c r="AE229" s="32" t="str" cm="1">
        <f t="array" ref="AE229">IFERROR(IF(INDEX(SubsidieTabel!$AD$1:$AG$12,MATCH($F229,SubsidieTabel!$AD$1:$AD$12,0),IFERROR(MATCH(Methode_Keuze,SubsidieTabel!$AD$1:$AG$1,0),2))&lt;&gt;1=TRUE,"ja",""),"")</f>
        <v/>
      </c>
    </row>
    <row r="230" spans="1:31" x14ac:dyDescent="0.25">
      <c r="A230" s="316"/>
      <c r="B230" s="317" t="str">
        <f>IF(A230&lt;&gt;"",_xlfn.MAXIFS($B$1:B229,$A$1:A229,A230)+1,"")</f>
        <v/>
      </c>
      <c r="C230" s="296"/>
      <c r="D230" s="296"/>
      <c r="E230" s="296"/>
      <c r="F230" s="296"/>
      <c r="G230" s="326"/>
      <c r="H230" s="324"/>
      <c r="I230" s="325"/>
      <c r="J230" s="325"/>
      <c r="K230" s="318"/>
      <c r="L230" s="318"/>
      <c r="M230" s="319" t="str">
        <f>IFERROR(VLOOKUP(H230,Lijsten!$H$1:$I$100,2,0),"")</f>
        <v/>
      </c>
      <c r="N230" s="319" t="str">
        <f ca="1">IFERROR(IF(VLOOKUP(F230,Kostentypen!$A$3:$E$21,3,0)=0,"",IF(OR(F230="Arbeidskosten",F230="Vergoeding"),VLOOKUP(G230,Tb_KostenTypen[],2,0),VLOOKUP(F230,Kostentypen!$A$3:$E$20,3,0))),"")</f>
        <v/>
      </c>
      <c r="O230" s="320" t="str" cm="1">
        <f t="array" ref="O230">_xlfn.IFNA(IF(INDEX(Tb_KostenOptiesDB[],MATCH($F230,Tb_KostenOptiesDB[KostenOptie],0),IFERROR(MATCH(Methode_Keuze,Tb_KostenOptiesDB[#Headers],0),2))=1,_xlfn.SWITCH($N230,"Uurtarief",IF(OR(AND(RIGHT($F230,3)="IKS",VLOOKUP($M230,DB_Loonkosten,2,0)="Ja"),AND(RIGHT($F230,3)&lt;&gt;"IKS",VLOOKUP($M230,DB_Loonkosten,2,0)="Nee")),IFERROR(VLOOKUP($M230,DB_Loonkosten,24,0),""),0),"Vast tarief",IF(LEFT(F230,8)="Bijdrage",VLOOKUP($F230,Tb_KostenTypen[],MATCH(Lijsten!$P$1,Tb_KostenTypen[#Headers],0),0),VLOOKUP($G230,Lijsten!L:P,MATCH(Lijsten!$P$1,Kop_Tarief_Vast,0),0))),""),"")</f>
        <v/>
      </c>
      <c r="P230" s="320" t="str" cm="1">
        <f t="array" ref="P230">_xlfn.IFNA(IF(INDEX(Tb_KostenOptiesDB[],MATCH($F230,Tb_KostenOptiesDB[KostenOptie],0),IFERROR(MATCH(Methode_Keuze,Tb_KostenOptiesDB[#Headers],0),2))=1,_xlfn.SWITCH($N230,"Uurtarief",IF(OR(AND(RIGHT($F230,3)="IKS",VLOOKUP($M230,DB_Loonkosten,2,0)="Ja"),AND(RIGHT($F230,3)&lt;&gt;"IKS",VLOOKUP($M230,DB_Loonkosten,2,0)="Nee")),IFERROR(VLOOKUP($M230,DB_Loonkosten,25,0),""),0),"Vast tarief",IF(LEFT(F230,8)="Bijdrage",VLOOKUP($F230,Tb_KostenTypen[],MATCH(Lijsten!$P$1,Tb_KostenTypen[#Headers],0),0),VLOOKUP($G230,Lijsten!L:P,MATCH(Lijsten!$P$1,Kop_Tarief_Vast,0),0))),""),"")</f>
        <v/>
      </c>
      <c r="Q230" s="359"/>
      <c r="R230" s="359"/>
      <c r="S230" s="321"/>
      <c r="T230" s="321"/>
      <c r="U230" s="373" t="str">
        <f t="shared" si="12"/>
        <v/>
      </c>
      <c r="V230" s="314" t="str">
        <f t="shared" si="13"/>
        <v/>
      </c>
      <c r="W230" s="314" t="str" cm="1">
        <f t="array" aca="1" ref="W230" ca="1">IFERROR(IF(AE230&lt;&gt;"ja",_xlfn.IFNA(_xlfn.IFS(AND(O230&lt;&gt;"",F230&lt;&gt;"",RIGHT($N230,6)="tarief",F230="Vergoeding"),SUM(O230)*FLOOR(SUM(Q230),0.0001),AND(O230&lt;&gt;"",F230&lt;&gt;"",RIGHT($N230,6)="tarief"),SUM(O230)*FLOOR(SUM(Q230),0.01),S230&gt;0,IF(F230&lt;&gt;"",FLOOR(SUM(S230),0.01),"")),""),""),"")</f>
        <v/>
      </c>
      <c r="X230" s="314" t="str" cm="1">
        <f t="array" aca="1" ref="X230" ca="1">IFERROR(IF(AE230&lt;&gt;"ja",_xlfn.IFNA(_xlfn.IFS(AND(P230&lt;&gt;"",R230&lt;&gt;"",RIGHT($N230,6)="tarief",F230="Vergoeding"),SUM(P230)*FLOOR(SUM(R230),0.0001),AND(P230&lt;&gt;"",R230&lt;&gt;"",RIGHT($N230,6)="tarief"),P230*FLOOR(R230,0.01),T230&gt;0,FLOOR(SUM(T230),0.01)),""),""),"")</f>
        <v/>
      </c>
      <c r="Y230" s="314" t="str">
        <f t="shared" ca="1" si="14"/>
        <v/>
      </c>
      <c r="Z230" s="314" t="str" cm="1">
        <f t="array" aca="1" ref="Z230" ca="1">IFERROR(_xlfn.IFS(OR(F230="",LEFT(Methode_Keuze,4)="Geen",Methode_Keuze=""),"",AND(W230&lt;&gt;"",F230&lt;&gt;"Arbeidskosten"),W230*VLOOKUP(F230,Tb_ProjectKosten[],MATCH(Tb_ProjectKosten[[#Headers],[Forfait_Percentage]],Tb_ProjectKosten[#Headers],0),0),AND(F230="Arbeidskosten",G230&lt;&gt;""),IFERROR(W230*VLOOKUP(G230,Tb_KostenTypen[],3,0)*VLOOKUP(F230,Tb_ProjectKosten[],MATCH(Tb_ProjectKosten[[#Headers],[Forfait_Percentage]],Tb_ProjectKosten[#Headers],0),0),""),W230 &lt;=0,0),"")</f>
        <v/>
      </c>
      <c r="AA230" s="314" t="str" cm="1">
        <f t="array" aca="1" ref="AA230" ca="1">IFERROR(_xlfn.IFS(OR(F230="",LEFT(Methode_Keuze,4)="Geen",Methode_Keuze=""),"",AND(X230&lt;&gt;"",F230&lt;&gt;"Arbeidskosten"),X230*VLOOKUP(F230,Tb_ProjectKosten[],MATCH(Tb_ProjectKosten[[#Headers],[Forfait_Percentage]],Tb_ProjectKosten[#Headers],0),0),AND(F230="Arbeidskosten",G230&lt;&gt;""),IFERROR(X230*VLOOKUP(G230,Tb_KostenTypen[],3,0)*VLOOKUP(F230,Tb_ProjectKosten[],MATCH(Tb_ProjectKosten[[#Headers],[Forfait_Percentage]],Tb_ProjectKosten[#Headers],0),0),""),X230 &lt;=0,0),"")</f>
        <v/>
      </c>
      <c r="AB230" s="314" t="str">
        <f t="shared" ca="1" si="15"/>
        <v/>
      </c>
      <c r="AC230" s="322"/>
      <c r="AD230" s="315"/>
      <c r="AE230" s="32" t="str" cm="1">
        <f t="array" ref="AE230">IFERROR(IF(INDEX(SubsidieTabel!$AD$1:$AG$12,MATCH($F230,SubsidieTabel!$AD$1:$AD$12,0),IFERROR(MATCH(Methode_Keuze,SubsidieTabel!$AD$1:$AG$1,0),2))&lt;&gt;1=TRUE,"ja",""),"")</f>
        <v/>
      </c>
    </row>
    <row r="231" spans="1:31" x14ac:dyDescent="0.25">
      <c r="A231" s="316"/>
      <c r="B231" s="317" t="str">
        <f>IF(A231&lt;&gt;"",_xlfn.MAXIFS($B$1:B230,$A$1:A230,A231)+1,"")</f>
        <v/>
      </c>
      <c r="C231" s="296"/>
      <c r="D231" s="296"/>
      <c r="E231" s="296"/>
      <c r="F231" s="296"/>
      <c r="G231" s="326"/>
      <c r="H231" s="324"/>
      <c r="I231" s="325"/>
      <c r="J231" s="325"/>
      <c r="K231" s="318"/>
      <c r="L231" s="318"/>
      <c r="M231" s="319" t="str">
        <f>IFERROR(VLOOKUP(H231,Lijsten!$H$1:$I$100,2,0),"")</f>
        <v/>
      </c>
      <c r="N231" s="319" t="str">
        <f ca="1">IFERROR(IF(VLOOKUP(F231,Kostentypen!$A$3:$E$21,3,0)=0,"",IF(OR(F231="Arbeidskosten",F231="Vergoeding"),VLOOKUP(G231,Tb_KostenTypen[],2,0),VLOOKUP(F231,Kostentypen!$A$3:$E$20,3,0))),"")</f>
        <v/>
      </c>
      <c r="O231" s="320" t="str" cm="1">
        <f t="array" ref="O231">_xlfn.IFNA(IF(INDEX(Tb_KostenOptiesDB[],MATCH($F231,Tb_KostenOptiesDB[KostenOptie],0),IFERROR(MATCH(Methode_Keuze,Tb_KostenOptiesDB[#Headers],0),2))=1,_xlfn.SWITCH($N231,"Uurtarief",IF(OR(AND(RIGHT($F231,3)="IKS",VLOOKUP($M231,DB_Loonkosten,2,0)="Ja"),AND(RIGHT($F231,3)&lt;&gt;"IKS",VLOOKUP($M231,DB_Loonkosten,2,0)="Nee")),IFERROR(VLOOKUP($M231,DB_Loonkosten,24,0),""),0),"Vast tarief",IF(LEFT(F231,8)="Bijdrage",VLOOKUP($F231,Tb_KostenTypen[],MATCH(Lijsten!$P$1,Tb_KostenTypen[#Headers],0),0),VLOOKUP($G231,Lijsten!L:P,MATCH(Lijsten!$P$1,Kop_Tarief_Vast,0),0))),""),"")</f>
        <v/>
      </c>
      <c r="P231" s="320" t="str" cm="1">
        <f t="array" ref="P231">_xlfn.IFNA(IF(INDEX(Tb_KostenOptiesDB[],MATCH($F231,Tb_KostenOptiesDB[KostenOptie],0),IFERROR(MATCH(Methode_Keuze,Tb_KostenOptiesDB[#Headers],0),2))=1,_xlfn.SWITCH($N231,"Uurtarief",IF(OR(AND(RIGHT($F231,3)="IKS",VLOOKUP($M231,DB_Loonkosten,2,0)="Ja"),AND(RIGHT($F231,3)&lt;&gt;"IKS",VLOOKUP($M231,DB_Loonkosten,2,0)="Nee")),IFERROR(VLOOKUP($M231,DB_Loonkosten,25,0),""),0),"Vast tarief",IF(LEFT(F231,8)="Bijdrage",VLOOKUP($F231,Tb_KostenTypen[],MATCH(Lijsten!$P$1,Tb_KostenTypen[#Headers],0),0),VLOOKUP($G231,Lijsten!L:P,MATCH(Lijsten!$P$1,Kop_Tarief_Vast,0),0))),""),"")</f>
        <v/>
      </c>
      <c r="Q231" s="359"/>
      <c r="R231" s="359"/>
      <c r="S231" s="321"/>
      <c r="T231" s="321"/>
      <c r="U231" s="373" t="str">
        <f t="shared" si="12"/>
        <v/>
      </c>
      <c r="V231" s="314" t="str">
        <f t="shared" si="13"/>
        <v/>
      </c>
      <c r="W231" s="314" t="str" cm="1">
        <f t="array" aca="1" ref="W231" ca="1">IFERROR(IF(AE231&lt;&gt;"ja",_xlfn.IFNA(_xlfn.IFS(AND(O231&lt;&gt;"",F231&lt;&gt;"",RIGHT($N231,6)="tarief",F231="Vergoeding"),SUM(O231)*FLOOR(SUM(Q231),0.0001),AND(O231&lt;&gt;"",F231&lt;&gt;"",RIGHT($N231,6)="tarief"),SUM(O231)*FLOOR(SUM(Q231),0.01),S231&gt;0,IF(F231&lt;&gt;"",FLOOR(SUM(S231),0.01),"")),""),""),"")</f>
        <v/>
      </c>
      <c r="X231" s="314" t="str" cm="1">
        <f t="array" aca="1" ref="X231" ca="1">IFERROR(IF(AE231&lt;&gt;"ja",_xlfn.IFNA(_xlfn.IFS(AND(P231&lt;&gt;"",R231&lt;&gt;"",RIGHT($N231,6)="tarief",F231="Vergoeding"),SUM(P231)*FLOOR(SUM(R231),0.0001),AND(P231&lt;&gt;"",R231&lt;&gt;"",RIGHT($N231,6)="tarief"),P231*FLOOR(R231,0.01),T231&gt;0,FLOOR(SUM(T231),0.01)),""),""),"")</f>
        <v/>
      </c>
      <c r="Y231" s="314" t="str">
        <f t="shared" ca="1" si="14"/>
        <v/>
      </c>
      <c r="Z231" s="314" t="str" cm="1">
        <f t="array" aca="1" ref="Z231" ca="1">IFERROR(_xlfn.IFS(OR(F231="",LEFT(Methode_Keuze,4)="Geen",Methode_Keuze=""),"",AND(W231&lt;&gt;"",F231&lt;&gt;"Arbeidskosten"),W231*VLOOKUP(F231,Tb_ProjectKosten[],MATCH(Tb_ProjectKosten[[#Headers],[Forfait_Percentage]],Tb_ProjectKosten[#Headers],0),0),AND(F231="Arbeidskosten",G231&lt;&gt;""),IFERROR(W231*VLOOKUP(G231,Tb_KostenTypen[],3,0)*VLOOKUP(F231,Tb_ProjectKosten[],MATCH(Tb_ProjectKosten[[#Headers],[Forfait_Percentage]],Tb_ProjectKosten[#Headers],0),0),""),W231 &lt;=0,0),"")</f>
        <v/>
      </c>
      <c r="AA231" s="314" t="str" cm="1">
        <f t="array" aca="1" ref="AA231" ca="1">IFERROR(_xlfn.IFS(OR(F231="",LEFT(Methode_Keuze,4)="Geen",Methode_Keuze=""),"",AND(X231&lt;&gt;"",F231&lt;&gt;"Arbeidskosten"),X231*VLOOKUP(F231,Tb_ProjectKosten[],MATCH(Tb_ProjectKosten[[#Headers],[Forfait_Percentage]],Tb_ProjectKosten[#Headers],0),0),AND(F231="Arbeidskosten",G231&lt;&gt;""),IFERROR(X231*VLOOKUP(G231,Tb_KostenTypen[],3,0)*VLOOKUP(F231,Tb_ProjectKosten[],MATCH(Tb_ProjectKosten[[#Headers],[Forfait_Percentage]],Tb_ProjectKosten[#Headers],0),0),""),X231 &lt;=0,0),"")</f>
        <v/>
      </c>
      <c r="AB231" s="314" t="str">
        <f t="shared" ca="1" si="15"/>
        <v/>
      </c>
      <c r="AC231" s="322"/>
      <c r="AD231" s="315"/>
      <c r="AE231" s="32" t="str" cm="1">
        <f t="array" ref="AE231">IFERROR(IF(INDEX(SubsidieTabel!$AD$1:$AG$12,MATCH($F231,SubsidieTabel!$AD$1:$AD$12,0),IFERROR(MATCH(Methode_Keuze,SubsidieTabel!$AD$1:$AG$1,0),2))&lt;&gt;1=TRUE,"ja",""),"")</f>
        <v/>
      </c>
    </row>
    <row r="232" spans="1:31" x14ac:dyDescent="0.25">
      <c r="A232" s="316"/>
      <c r="B232" s="317" t="str">
        <f>IF(A232&lt;&gt;"",_xlfn.MAXIFS($B$1:B231,$A$1:A231,A232)+1,"")</f>
        <v/>
      </c>
      <c r="C232" s="296"/>
      <c r="D232" s="296"/>
      <c r="E232" s="296"/>
      <c r="F232" s="296"/>
      <c r="G232" s="326"/>
      <c r="H232" s="324"/>
      <c r="I232" s="325"/>
      <c r="J232" s="325"/>
      <c r="K232" s="318"/>
      <c r="L232" s="318"/>
      <c r="M232" s="319" t="str">
        <f>IFERROR(VLOOKUP(H232,Lijsten!$H$1:$I$100,2,0),"")</f>
        <v/>
      </c>
      <c r="N232" s="319" t="str">
        <f ca="1">IFERROR(IF(VLOOKUP(F232,Kostentypen!$A$3:$E$21,3,0)=0,"",IF(OR(F232="Arbeidskosten",F232="Vergoeding"),VLOOKUP(G232,Tb_KostenTypen[],2,0),VLOOKUP(F232,Kostentypen!$A$3:$E$20,3,0))),"")</f>
        <v/>
      </c>
      <c r="O232" s="320" t="str" cm="1">
        <f t="array" ref="O232">_xlfn.IFNA(IF(INDEX(Tb_KostenOptiesDB[],MATCH($F232,Tb_KostenOptiesDB[KostenOptie],0),IFERROR(MATCH(Methode_Keuze,Tb_KostenOptiesDB[#Headers],0),2))=1,_xlfn.SWITCH($N232,"Uurtarief",IF(OR(AND(RIGHT($F232,3)="IKS",VLOOKUP($M232,DB_Loonkosten,2,0)="Ja"),AND(RIGHT($F232,3)&lt;&gt;"IKS",VLOOKUP($M232,DB_Loonkosten,2,0)="Nee")),IFERROR(VLOOKUP($M232,DB_Loonkosten,24,0),""),0),"Vast tarief",IF(LEFT(F232,8)="Bijdrage",VLOOKUP($F232,Tb_KostenTypen[],MATCH(Lijsten!$P$1,Tb_KostenTypen[#Headers],0),0),VLOOKUP($G232,Lijsten!L:P,MATCH(Lijsten!$P$1,Kop_Tarief_Vast,0),0))),""),"")</f>
        <v/>
      </c>
      <c r="P232" s="320" t="str" cm="1">
        <f t="array" ref="P232">_xlfn.IFNA(IF(INDEX(Tb_KostenOptiesDB[],MATCH($F232,Tb_KostenOptiesDB[KostenOptie],0),IFERROR(MATCH(Methode_Keuze,Tb_KostenOptiesDB[#Headers],0),2))=1,_xlfn.SWITCH($N232,"Uurtarief",IF(OR(AND(RIGHT($F232,3)="IKS",VLOOKUP($M232,DB_Loonkosten,2,0)="Ja"),AND(RIGHT($F232,3)&lt;&gt;"IKS",VLOOKUP($M232,DB_Loonkosten,2,0)="Nee")),IFERROR(VLOOKUP($M232,DB_Loonkosten,25,0),""),0),"Vast tarief",IF(LEFT(F232,8)="Bijdrage",VLOOKUP($F232,Tb_KostenTypen[],MATCH(Lijsten!$P$1,Tb_KostenTypen[#Headers],0),0),VLOOKUP($G232,Lijsten!L:P,MATCH(Lijsten!$P$1,Kop_Tarief_Vast,0),0))),""),"")</f>
        <v/>
      </c>
      <c r="Q232" s="359"/>
      <c r="R232" s="359"/>
      <c r="S232" s="321"/>
      <c r="T232" s="321"/>
      <c r="U232" s="373" t="str">
        <f t="shared" si="12"/>
        <v/>
      </c>
      <c r="V232" s="314" t="str">
        <f t="shared" si="13"/>
        <v/>
      </c>
      <c r="W232" s="314" t="str" cm="1">
        <f t="array" aca="1" ref="W232" ca="1">IFERROR(IF(AE232&lt;&gt;"ja",_xlfn.IFNA(_xlfn.IFS(AND(O232&lt;&gt;"",F232&lt;&gt;"",RIGHT($N232,6)="tarief",F232="Vergoeding"),SUM(O232)*FLOOR(SUM(Q232),0.0001),AND(O232&lt;&gt;"",F232&lt;&gt;"",RIGHT($N232,6)="tarief"),SUM(O232)*FLOOR(SUM(Q232),0.01),S232&gt;0,IF(F232&lt;&gt;"",FLOOR(SUM(S232),0.01),"")),""),""),"")</f>
        <v/>
      </c>
      <c r="X232" s="314" t="str" cm="1">
        <f t="array" aca="1" ref="X232" ca="1">IFERROR(IF(AE232&lt;&gt;"ja",_xlfn.IFNA(_xlfn.IFS(AND(P232&lt;&gt;"",R232&lt;&gt;"",RIGHT($N232,6)="tarief",F232="Vergoeding"),SUM(P232)*FLOOR(SUM(R232),0.0001),AND(P232&lt;&gt;"",R232&lt;&gt;"",RIGHT($N232,6)="tarief"),P232*FLOOR(R232,0.01),T232&gt;0,FLOOR(SUM(T232),0.01)),""),""),"")</f>
        <v/>
      </c>
      <c r="Y232" s="314" t="str">
        <f t="shared" ca="1" si="14"/>
        <v/>
      </c>
      <c r="Z232" s="314" t="str" cm="1">
        <f t="array" aca="1" ref="Z232" ca="1">IFERROR(_xlfn.IFS(OR(F232="",LEFT(Methode_Keuze,4)="Geen",Methode_Keuze=""),"",AND(W232&lt;&gt;"",F232&lt;&gt;"Arbeidskosten"),W232*VLOOKUP(F232,Tb_ProjectKosten[],MATCH(Tb_ProjectKosten[[#Headers],[Forfait_Percentage]],Tb_ProjectKosten[#Headers],0),0),AND(F232="Arbeidskosten",G232&lt;&gt;""),IFERROR(W232*VLOOKUP(G232,Tb_KostenTypen[],3,0)*VLOOKUP(F232,Tb_ProjectKosten[],MATCH(Tb_ProjectKosten[[#Headers],[Forfait_Percentage]],Tb_ProjectKosten[#Headers],0),0),""),W232 &lt;=0,0),"")</f>
        <v/>
      </c>
      <c r="AA232" s="314" t="str" cm="1">
        <f t="array" aca="1" ref="AA232" ca="1">IFERROR(_xlfn.IFS(OR(F232="",LEFT(Methode_Keuze,4)="Geen",Methode_Keuze=""),"",AND(X232&lt;&gt;"",F232&lt;&gt;"Arbeidskosten"),X232*VLOOKUP(F232,Tb_ProjectKosten[],MATCH(Tb_ProjectKosten[[#Headers],[Forfait_Percentage]],Tb_ProjectKosten[#Headers],0),0),AND(F232="Arbeidskosten",G232&lt;&gt;""),IFERROR(X232*VLOOKUP(G232,Tb_KostenTypen[],3,0)*VLOOKUP(F232,Tb_ProjectKosten[],MATCH(Tb_ProjectKosten[[#Headers],[Forfait_Percentage]],Tb_ProjectKosten[#Headers],0),0),""),X232 &lt;=0,0),"")</f>
        <v/>
      </c>
      <c r="AB232" s="314" t="str">
        <f t="shared" ca="1" si="15"/>
        <v/>
      </c>
      <c r="AC232" s="322"/>
      <c r="AD232" s="315"/>
      <c r="AE232" s="32" t="str" cm="1">
        <f t="array" ref="AE232">IFERROR(IF(INDEX(SubsidieTabel!$AD$1:$AG$12,MATCH($F232,SubsidieTabel!$AD$1:$AD$12,0),IFERROR(MATCH(Methode_Keuze,SubsidieTabel!$AD$1:$AG$1,0),2))&lt;&gt;1=TRUE,"ja",""),"")</f>
        <v/>
      </c>
    </row>
    <row r="233" spans="1:31" x14ac:dyDescent="0.25">
      <c r="A233" s="316"/>
      <c r="B233" s="317" t="str">
        <f>IF(A233&lt;&gt;"",_xlfn.MAXIFS($B$1:B232,$A$1:A232,A233)+1,"")</f>
        <v/>
      </c>
      <c r="C233" s="296"/>
      <c r="D233" s="296"/>
      <c r="E233" s="296"/>
      <c r="F233" s="296"/>
      <c r="G233" s="326"/>
      <c r="H233" s="324"/>
      <c r="I233" s="325"/>
      <c r="J233" s="325"/>
      <c r="K233" s="318"/>
      <c r="L233" s="318"/>
      <c r="M233" s="319" t="str">
        <f>IFERROR(VLOOKUP(H233,Lijsten!$H$1:$I$100,2,0),"")</f>
        <v/>
      </c>
      <c r="N233" s="319" t="str">
        <f ca="1">IFERROR(IF(VLOOKUP(F233,Kostentypen!$A$3:$E$21,3,0)=0,"",IF(OR(F233="Arbeidskosten",F233="Vergoeding"),VLOOKUP(G233,Tb_KostenTypen[],2,0),VLOOKUP(F233,Kostentypen!$A$3:$E$20,3,0))),"")</f>
        <v/>
      </c>
      <c r="O233" s="320" t="str" cm="1">
        <f t="array" ref="O233">_xlfn.IFNA(IF(INDEX(Tb_KostenOptiesDB[],MATCH($F233,Tb_KostenOptiesDB[KostenOptie],0),IFERROR(MATCH(Methode_Keuze,Tb_KostenOptiesDB[#Headers],0),2))=1,_xlfn.SWITCH($N233,"Uurtarief",IF(OR(AND(RIGHT($F233,3)="IKS",VLOOKUP($M233,DB_Loonkosten,2,0)="Ja"),AND(RIGHT($F233,3)&lt;&gt;"IKS",VLOOKUP($M233,DB_Loonkosten,2,0)="Nee")),IFERROR(VLOOKUP($M233,DB_Loonkosten,24,0),""),0),"Vast tarief",IF(LEFT(F233,8)="Bijdrage",VLOOKUP($F233,Tb_KostenTypen[],MATCH(Lijsten!$P$1,Tb_KostenTypen[#Headers],0),0),VLOOKUP($G233,Lijsten!L:P,MATCH(Lijsten!$P$1,Kop_Tarief_Vast,0),0))),""),"")</f>
        <v/>
      </c>
      <c r="P233" s="320" t="str" cm="1">
        <f t="array" ref="P233">_xlfn.IFNA(IF(INDEX(Tb_KostenOptiesDB[],MATCH($F233,Tb_KostenOptiesDB[KostenOptie],0),IFERROR(MATCH(Methode_Keuze,Tb_KostenOptiesDB[#Headers],0),2))=1,_xlfn.SWITCH($N233,"Uurtarief",IF(OR(AND(RIGHT($F233,3)="IKS",VLOOKUP($M233,DB_Loonkosten,2,0)="Ja"),AND(RIGHT($F233,3)&lt;&gt;"IKS",VLOOKUP($M233,DB_Loonkosten,2,0)="Nee")),IFERROR(VLOOKUP($M233,DB_Loonkosten,25,0),""),0),"Vast tarief",IF(LEFT(F233,8)="Bijdrage",VLOOKUP($F233,Tb_KostenTypen[],MATCH(Lijsten!$P$1,Tb_KostenTypen[#Headers],0),0),VLOOKUP($G233,Lijsten!L:P,MATCH(Lijsten!$P$1,Kop_Tarief_Vast,0),0))),""),"")</f>
        <v/>
      </c>
      <c r="Q233" s="359"/>
      <c r="R233" s="359"/>
      <c r="S233" s="321"/>
      <c r="T233" s="321"/>
      <c r="U233" s="373" t="str">
        <f t="shared" si="12"/>
        <v/>
      </c>
      <c r="V233" s="314" t="str">
        <f t="shared" si="13"/>
        <v/>
      </c>
      <c r="W233" s="314" t="str" cm="1">
        <f t="array" aca="1" ref="W233" ca="1">IFERROR(IF(AE233&lt;&gt;"ja",_xlfn.IFNA(_xlfn.IFS(AND(O233&lt;&gt;"",F233&lt;&gt;"",RIGHT($N233,6)="tarief",F233="Vergoeding"),SUM(O233)*FLOOR(SUM(Q233),0.0001),AND(O233&lt;&gt;"",F233&lt;&gt;"",RIGHT($N233,6)="tarief"),SUM(O233)*FLOOR(SUM(Q233),0.01),S233&gt;0,IF(F233&lt;&gt;"",FLOOR(SUM(S233),0.01),"")),""),""),"")</f>
        <v/>
      </c>
      <c r="X233" s="314" t="str" cm="1">
        <f t="array" aca="1" ref="X233" ca="1">IFERROR(IF(AE233&lt;&gt;"ja",_xlfn.IFNA(_xlfn.IFS(AND(P233&lt;&gt;"",R233&lt;&gt;"",RIGHT($N233,6)="tarief",F233="Vergoeding"),SUM(P233)*FLOOR(SUM(R233),0.0001),AND(P233&lt;&gt;"",R233&lt;&gt;"",RIGHT($N233,6)="tarief"),P233*FLOOR(R233,0.01),T233&gt;0,FLOOR(SUM(T233),0.01)),""),""),"")</f>
        <v/>
      </c>
      <c r="Y233" s="314" t="str">
        <f t="shared" ca="1" si="14"/>
        <v/>
      </c>
      <c r="Z233" s="314" t="str" cm="1">
        <f t="array" aca="1" ref="Z233" ca="1">IFERROR(_xlfn.IFS(OR(F233="",LEFT(Methode_Keuze,4)="Geen",Methode_Keuze=""),"",AND(W233&lt;&gt;"",F233&lt;&gt;"Arbeidskosten"),W233*VLOOKUP(F233,Tb_ProjectKosten[],MATCH(Tb_ProjectKosten[[#Headers],[Forfait_Percentage]],Tb_ProjectKosten[#Headers],0),0),AND(F233="Arbeidskosten",G233&lt;&gt;""),IFERROR(W233*VLOOKUP(G233,Tb_KostenTypen[],3,0)*VLOOKUP(F233,Tb_ProjectKosten[],MATCH(Tb_ProjectKosten[[#Headers],[Forfait_Percentage]],Tb_ProjectKosten[#Headers],0),0),""),W233 &lt;=0,0),"")</f>
        <v/>
      </c>
      <c r="AA233" s="314" t="str" cm="1">
        <f t="array" aca="1" ref="AA233" ca="1">IFERROR(_xlfn.IFS(OR(F233="",LEFT(Methode_Keuze,4)="Geen",Methode_Keuze=""),"",AND(X233&lt;&gt;"",F233&lt;&gt;"Arbeidskosten"),X233*VLOOKUP(F233,Tb_ProjectKosten[],MATCH(Tb_ProjectKosten[[#Headers],[Forfait_Percentage]],Tb_ProjectKosten[#Headers],0),0),AND(F233="Arbeidskosten",G233&lt;&gt;""),IFERROR(X233*VLOOKUP(G233,Tb_KostenTypen[],3,0)*VLOOKUP(F233,Tb_ProjectKosten[],MATCH(Tb_ProjectKosten[[#Headers],[Forfait_Percentage]],Tb_ProjectKosten[#Headers],0),0),""),X233 &lt;=0,0),"")</f>
        <v/>
      </c>
      <c r="AB233" s="314" t="str">
        <f t="shared" ca="1" si="15"/>
        <v/>
      </c>
      <c r="AC233" s="322"/>
      <c r="AD233" s="315"/>
      <c r="AE233" s="32" t="str" cm="1">
        <f t="array" ref="AE233">IFERROR(IF(INDEX(SubsidieTabel!$AD$1:$AG$12,MATCH($F233,SubsidieTabel!$AD$1:$AD$12,0),IFERROR(MATCH(Methode_Keuze,SubsidieTabel!$AD$1:$AG$1,0),2))&lt;&gt;1=TRUE,"ja",""),"")</f>
        <v/>
      </c>
    </row>
    <row r="234" spans="1:31" x14ac:dyDescent="0.25">
      <c r="A234" s="316"/>
      <c r="B234" s="317" t="str">
        <f>IF(A234&lt;&gt;"",_xlfn.MAXIFS($B$1:B233,$A$1:A233,A234)+1,"")</f>
        <v/>
      </c>
      <c r="C234" s="296"/>
      <c r="D234" s="296"/>
      <c r="E234" s="296"/>
      <c r="F234" s="296"/>
      <c r="G234" s="326"/>
      <c r="H234" s="324"/>
      <c r="I234" s="325"/>
      <c r="J234" s="325"/>
      <c r="K234" s="318"/>
      <c r="L234" s="318"/>
      <c r="M234" s="319" t="str">
        <f>IFERROR(VLOOKUP(H234,Lijsten!$H$1:$I$100,2,0),"")</f>
        <v/>
      </c>
      <c r="N234" s="319" t="str">
        <f ca="1">IFERROR(IF(VLOOKUP(F234,Kostentypen!$A$3:$E$21,3,0)=0,"",IF(OR(F234="Arbeidskosten",F234="Vergoeding"),VLOOKUP(G234,Tb_KostenTypen[],2,0),VLOOKUP(F234,Kostentypen!$A$3:$E$20,3,0))),"")</f>
        <v/>
      </c>
      <c r="O234" s="320" t="str" cm="1">
        <f t="array" ref="O234">_xlfn.IFNA(IF(INDEX(Tb_KostenOptiesDB[],MATCH($F234,Tb_KostenOptiesDB[KostenOptie],0),IFERROR(MATCH(Methode_Keuze,Tb_KostenOptiesDB[#Headers],0),2))=1,_xlfn.SWITCH($N234,"Uurtarief",IF(OR(AND(RIGHT($F234,3)="IKS",VLOOKUP($M234,DB_Loonkosten,2,0)="Ja"),AND(RIGHT($F234,3)&lt;&gt;"IKS",VLOOKUP($M234,DB_Loonkosten,2,0)="Nee")),IFERROR(VLOOKUP($M234,DB_Loonkosten,24,0),""),0),"Vast tarief",IF(LEFT(F234,8)="Bijdrage",VLOOKUP($F234,Tb_KostenTypen[],MATCH(Lijsten!$P$1,Tb_KostenTypen[#Headers],0),0),VLOOKUP($G234,Lijsten!L:P,MATCH(Lijsten!$P$1,Kop_Tarief_Vast,0),0))),""),"")</f>
        <v/>
      </c>
      <c r="P234" s="320" t="str" cm="1">
        <f t="array" ref="P234">_xlfn.IFNA(IF(INDEX(Tb_KostenOptiesDB[],MATCH($F234,Tb_KostenOptiesDB[KostenOptie],0),IFERROR(MATCH(Methode_Keuze,Tb_KostenOptiesDB[#Headers],0),2))=1,_xlfn.SWITCH($N234,"Uurtarief",IF(OR(AND(RIGHT($F234,3)="IKS",VLOOKUP($M234,DB_Loonkosten,2,0)="Ja"),AND(RIGHT($F234,3)&lt;&gt;"IKS",VLOOKUP($M234,DB_Loonkosten,2,0)="Nee")),IFERROR(VLOOKUP($M234,DB_Loonkosten,25,0),""),0),"Vast tarief",IF(LEFT(F234,8)="Bijdrage",VLOOKUP($F234,Tb_KostenTypen[],MATCH(Lijsten!$P$1,Tb_KostenTypen[#Headers],0),0),VLOOKUP($G234,Lijsten!L:P,MATCH(Lijsten!$P$1,Kop_Tarief_Vast,0),0))),""),"")</f>
        <v/>
      </c>
      <c r="Q234" s="359"/>
      <c r="R234" s="359"/>
      <c r="S234" s="321"/>
      <c r="T234" s="321"/>
      <c r="U234" s="373" t="str">
        <f t="shared" si="12"/>
        <v/>
      </c>
      <c r="V234" s="314" t="str">
        <f t="shared" si="13"/>
        <v/>
      </c>
      <c r="W234" s="314" t="str" cm="1">
        <f t="array" aca="1" ref="W234" ca="1">IFERROR(IF(AE234&lt;&gt;"ja",_xlfn.IFNA(_xlfn.IFS(AND(O234&lt;&gt;"",F234&lt;&gt;"",RIGHT($N234,6)="tarief",F234="Vergoeding"),SUM(O234)*FLOOR(SUM(Q234),0.0001),AND(O234&lt;&gt;"",F234&lt;&gt;"",RIGHT($N234,6)="tarief"),SUM(O234)*FLOOR(SUM(Q234),0.01),S234&gt;0,IF(F234&lt;&gt;"",FLOOR(SUM(S234),0.01),"")),""),""),"")</f>
        <v/>
      </c>
      <c r="X234" s="314" t="str" cm="1">
        <f t="array" aca="1" ref="X234" ca="1">IFERROR(IF(AE234&lt;&gt;"ja",_xlfn.IFNA(_xlfn.IFS(AND(P234&lt;&gt;"",R234&lt;&gt;"",RIGHT($N234,6)="tarief",F234="Vergoeding"),SUM(P234)*FLOOR(SUM(R234),0.0001),AND(P234&lt;&gt;"",R234&lt;&gt;"",RIGHT($N234,6)="tarief"),P234*FLOOR(R234,0.01),T234&gt;0,FLOOR(SUM(T234),0.01)),""),""),"")</f>
        <v/>
      </c>
      <c r="Y234" s="314" t="str">
        <f t="shared" ca="1" si="14"/>
        <v/>
      </c>
      <c r="Z234" s="314" t="str" cm="1">
        <f t="array" aca="1" ref="Z234" ca="1">IFERROR(_xlfn.IFS(OR(F234="",LEFT(Methode_Keuze,4)="Geen",Methode_Keuze=""),"",AND(W234&lt;&gt;"",F234&lt;&gt;"Arbeidskosten"),W234*VLOOKUP(F234,Tb_ProjectKosten[],MATCH(Tb_ProjectKosten[[#Headers],[Forfait_Percentage]],Tb_ProjectKosten[#Headers],0),0),AND(F234="Arbeidskosten",G234&lt;&gt;""),IFERROR(W234*VLOOKUP(G234,Tb_KostenTypen[],3,0)*VLOOKUP(F234,Tb_ProjectKosten[],MATCH(Tb_ProjectKosten[[#Headers],[Forfait_Percentage]],Tb_ProjectKosten[#Headers],0),0),""),W234 &lt;=0,0),"")</f>
        <v/>
      </c>
      <c r="AA234" s="314" t="str" cm="1">
        <f t="array" aca="1" ref="AA234" ca="1">IFERROR(_xlfn.IFS(OR(F234="",LEFT(Methode_Keuze,4)="Geen",Methode_Keuze=""),"",AND(X234&lt;&gt;"",F234&lt;&gt;"Arbeidskosten"),X234*VLOOKUP(F234,Tb_ProjectKosten[],MATCH(Tb_ProjectKosten[[#Headers],[Forfait_Percentage]],Tb_ProjectKosten[#Headers],0),0),AND(F234="Arbeidskosten",G234&lt;&gt;""),IFERROR(X234*VLOOKUP(G234,Tb_KostenTypen[],3,0)*VLOOKUP(F234,Tb_ProjectKosten[],MATCH(Tb_ProjectKosten[[#Headers],[Forfait_Percentage]],Tb_ProjectKosten[#Headers],0),0),""),X234 &lt;=0,0),"")</f>
        <v/>
      </c>
      <c r="AB234" s="314" t="str">
        <f t="shared" ca="1" si="15"/>
        <v/>
      </c>
      <c r="AC234" s="322"/>
      <c r="AD234" s="315"/>
      <c r="AE234" s="32" t="str" cm="1">
        <f t="array" ref="AE234">IFERROR(IF(INDEX(SubsidieTabel!$AD$1:$AG$12,MATCH($F234,SubsidieTabel!$AD$1:$AD$12,0),IFERROR(MATCH(Methode_Keuze,SubsidieTabel!$AD$1:$AG$1,0),2))&lt;&gt;1=TRUE,"ja",""),"")</f>
        <v/>
      </c>
    </row>
    <row r="235" spans="1:31" x14ac:dyDescent="0.25">
      <c r="A235" s="316"/>
      <c r="B235" s="317" t="str">
        <f>IF(A235&lt;&gt;"",_xlfn.MAXIFS($B$1:B234,$A$1:A234,A235)+1,"")</f>
        <v/>
      </c>
      <c r="C235" s="296"/>
      <c r="D235" s="296"/>
      <c r="E235" s="296"/>
      <c r="F235" s="296"/>
      <c r="G235" s="326"/>
      <c r="H235" s="324"/>
      <c r="I235" s="325"/>
      <c r="J235" s="325"/>
      <c r="K235" s="318"/>
      <c r="L235" s="318"/>
      <c r="M235" s="319" t="str">
        <f>IFERROR(VLOOKUP(H235,Lijsten!$H$1:$I$100,2,0),"")</f>
        <v/>
      </c>
      <c r="N235" s="319" t="str">
        <f ca="1">IFERROR(IF(VLOOKUP(F235,Kostentypen!$A$3:$E$21,3,0)=0,"",IF(OR(F235="Arbeidskosten",F235="Vergoeding"),VLOOKUP(G235,Tb_KostenTypen[],2,0),VLOOKUP(F235,Kostentypen!$A$3:$E$20,3,0))),"")</f>
        <v/>
      </c>
      <c r="O235" s="320" t="str" cm="1">
        <f t="array" ref="O235">_xlfn.IFNA(IF(INDEX(Tb_KostenOptiesDB[],MATCH($F235,Tb_KostenOptiesDB[KostenOptie],0),IFERROR(MATCH(Methode_Keuze,Tb_KostenOptiesDB[#Headers],0),2))=1,_xlfn.SWITCH($N235,"Uurtarief",IF(OR(AND(RIGHT($F235,3)="IKS",VLOOKUP($M235,DB_Loonkosten,2,0)="Ja"),AND(RIGHT($F235,3)&lt;&gt;"IKS",VLOOKUP($M235,DB_Loonkosten,2,0)="Nee")),IFERROR(VLOOKUP($M235,DB_Loonkosten,24,0),""),0),"Vast tarief",IF(LEFT(F235,8)="Bijdrage",VLOOKUP($F235,Tb_KostenTypen[],MATCH(Lijsten!$P$1,Tb_KostenTypen[#Headers],0),0),VLOOKUP($G235,Lijsten!L:P,MATCH(Lijsten!$P$1,Kop_Tarief_Vast,0),0))),""),"")</f>
        <v/>
      </c>
      <c r="P235" s="320" t="str" cm="1">
        <f t="array" ref="P235">_xlfn.IFNA(IF(INDEX(Tb_KostenOptiesDB[],MATCH($F235,Tb_KostenOptiesDB[KostenOptie],0),IFERROR(MATCH(Methode_Keuze,Tb_KostenOptiesDB[#Headers],0),2))=1,_xlfn.SWITCH($N235,"Uurtarief",IF(OR(AND(RIGHT($F235,3)="IKS",VLOOKUP($M235,DB_Loonkosten,2,0)="Ja"),AND(RIGHT($F235,3)&lt;&gt;"IKS",VLOOKUP($M235,DB_Loonkosten,2,0)="Nee")),IFERROR(VLOOKUP($M235,DB_Loonkosten,25,0),""),0),"Vast tarief",IF(LEFT(F235,8)="Bijdrage",VLOOKUP($F235,Tb_KostenTypen[],MATCH(Lijsten!$P$1,Tb_KostenTypen[#Headers],0),0),VLOOKUP($G235,Lijsten!L:P,MATCH(Lijsten!$P$1,Kop_Tarief_Vast,0),0))),""),"")</f>
        <v/>
      </c>
      <c r="Q235" s="359"/>
      <c r="R235" s="359"/>
      <c r="S235" s="321"/>
      <c r="T235" s="321"/>
      <c r="U235" s="373" t="str">
        <f t="shared" si="12"/>
        <v/>
      </c>
      <c r="V235" s="314" t="str">
        <f t="shared" si="13"/>
        <v/>
      </c>
      <c r="W235" s="314" t="str" cm="1">
        <f t="array" aca="1" ref="W235" ca="1">IFERROR(IF(AE235&lt;&gt;"ja",_xlfn.IFNA(_xlfn.IFS(AND(O235&lt;&gt;"",F235&lt;&gt;"",RIGHT($N235,6)="tarief",F235="Vergoeding"),SUM(O235)*FLOOR(SUM(Q235),0.0001),AND(O235&lt;&gt;"",F235&lt;&gt;"",RIGHT($N235,6)="tarief"),SUM(O235)*FLOOR(SUM(Q235),0.01),S235&gt;0,IF(F235&lt;&gt;"",FLOOR(SUM(S235),0.01),"")),""),""),"")</f>
        <v/>
      </c>
      <c r="X235" s="314" t="str" cm="1">
        <f t="array" aca="1" ref="X235" ca="1">IFERROR(IF(AE235&lt;&gt;"ja",_xlfn.IFNA(_xlfn.IFS(AND(P235&lt;&gt;"",R235&lt;&gt;"",RIGHT($N235,6)="tarief",F235="Vergoeding"),SUM(P235)*FLOOR(SUM(R235),0.0001),AND(P235&lt;&gt;"",R235&lt;&gt;"",RIGHT($N235,6)="tarief"),P235*FLOOR(R235,0.01),T235&gt;0,FLOOR(SUM(T235),0.01)),""),""),"")</f>
        <v/>
      </c>
      <c r="Y235" s="314" t="str">
        <f t="shared" ca="1" si="14"/>
        <v/>
      </c>
      <c r="Z235" s="314" t="str" cm="1">
        <f t="array" aca="1" ref="Z235" ca="1">IFERROR(_xlfn.IFS(OR(F235="",LEFT(Methode_Keuze,4)="Geen",Methode_Keuze=""),"",AND(W235&lt;&gt;"",F235&lt;&gt;"Arbeidskosten"),W235*VLOOKUP(F235,Tb_ProjectKosten[],MATCH(Tb_ProjectKosten[[#Headers],[Forfait_Percentage]],Tb_ProjectKosten[#Headers],0),0),AND(F235="Arbeidskosten",G235&lt;&gt;""),IFERROR(W235*VLOOKUP(G235,Tb_KostenTypen[],3,0)*VLOOKUP(F235,Tb_ProjectKosten[],MATCH(Tb_ProjectKosten[[#Headers],[Forfait_Percentage]],Tb_ProjectKosten[#Headers],0),0),""),W235 &lt;=0,0),"")</f>
        <v/>
      </c>
      <c r="AA235" s="314" t="str" cm="1">
        <f t="array" aca="1" ref="AA235" ca="1">IFERROR(_xlfn.IFS(OR(F235="",LEFT(Methode_Keuze,4)="Geen",Methode_Keuze=""),"",AND(X235&lt;&gt;"",F235&lt;&gt;"Arbeidskosten"),X235*VLOOKUP(F235,Tb_ProjectKosten[],MATCH(Tb_ProjectKosten[[#Headers],[Forfait_Percentage]],Tb_ProjectKosten[#Headers],0),0),AND(F235="Arbeidskosten",G235&lt;&gt;""),IFERROR(X235*VLOOKUP(G235,Tb_KostenTypen[],3,0)*VLOOKUP(F235,Tb_ProjectKosten[],MATCH(Tb_ProjectKosten[[#Headers],[Forfait_Percentage]],Tb_ProjectKosten[#Headers],0),0),""),X235 &lt;=0,0),"")</f>
        <v/>
      </c>
      <c r="AB235" s="314" t="str">
        <f t="shared" ca="1" si="15"/>
        <v/>
      </c>
      <c r="AC235" s="322"/>
      <c r="AD235" s="315"/>
      <c r="AE235" s="32" t="str" cm="1">
        <f t="array" ref="AE235">IFERROR(IF(INDEX(SubsidieTabel!$AD$1:$AG$12,MATCH($F235,SubsidieTabel!$AD$1:$AD$12,0),IFERROR(MATCH(Methode_Keuze,SubsidieTabel!$AD$1:$AG$1,0),2))&lt;&gt;1=TRUE,"ja",""),"")</f>
        <v/>
      </c>
    </row>
    <row r="236" spans="1:31" x14ac:dyDescent="0.25">
      <c r="A236" s="316"/>
      <c r="B236" s="317" t="str">
        <f>IF(A236&lt;&gt;"",_xlfn.MAXIFS($B$1:B235,$A$1:A235,A236)+1,"")</f>
        <v/>
      </c>
      <c r="C236" s="296"/>
      <c r="D236" s="296"/>
      <c r="E236" s="296"/>
      <c r="F236" s="296"/>
      <c r="G236" s="326"/>
      <c r="H236" s="324"/>
      <c r="I236" s="325"/>
      <c r="J236" s="325"/>
      <c r="K236" s="318"/>
      <c r="L236" s="318"/>
      <c r="M236" s="319" t="str">
        <f>IFERROR(VLOOKUP(H236,Lijsten!$H$1:$I$100,2,0),"")</f>
        <v/>
      </c>
      <c r="N236" s="319" t="str">
        <f ca="1">IFERROR(IF(VLOOKUP(F236,Kostentypen!$A$3:$E$21,3,0)=0,"",IF(OR(F236="Arbeidskosten",F236="Vergoeding"),VLOOKUP(G236,Tb_KostenTypen[],2,0),VLOOKUP(F236,Kostentypen!$A$3:$E$20,3,0))),"")</f>
        <v/>
      </c>
      <c r="O236" s="320" t="str" cm="1">
        <f t="array" ref="O236">_xlfn.IFNA(IF(INDEX(Tb_KostenOptiesDB[],MATCH($F236,Tb_KostenOptiesDB[KostenOptie],0),IFERROR(MATCH(Methode_Keuze,Tb_KostenOptiesDB[#Headers],0),2))=1,_xlfn.SWITCH($N236,"Uurtarief",IF(OR(AND(RIGHT($F236,3)="IKS",VLOOKUP($M236,DB_Loonkosten,2,0)="Ja"),AND(RIGHT($F236,3)&lt;&gt;"IKS",VLOOKUP($M236,DB_Loonkosten,2,0)="Nee")),IFERROR(VLOOKUP($M236,DB_Loonkosten,24,0),""),0),"Vast tarief",IF(LEFT(F236,8)="Bijdrage",VLOOKUP($F236,Tb_KostenTypen[],MATCH(Lijsten!$P$1,Tb_KostenTypen[#Headers],0),0),VLOOKUP($G236,Lijsten!L:P,MATCH(Lijsten!$P$1,Kop_Tarief_Vast,0),0))),""),"")</f>
        <v/>
      </c>
      <c r="P236" s="320" t="str" cm="1">
        <f t="array" ref="P236">_xlfn.IFNA(IF(INDEX(Tb_KostenOptiesDB[],MATCH($F236,Tb_KostenOptiesDB[KostenOptie],0),IFERROR(MATCH(Methode_Keuze,Tb_KostenOptiesDB[#Headers],0),2))=1,_xlfn.SWITCH($N236,"Uurtarief",IF(OR(AND(RIGHT($F236,3)="IKS",VLOOKUP($M236,DB_Loonkosten,2,0)="Ja"),AND(RIGHT($F236,3)&lt;&gt;"IKS",VLOOKUP($M236,DB_Loonkosten,2,0)="Nee")),IFERROR(VLOOKUP($M236,DB_Loonkosten,25,0),""),0),"Vast tarief",IF(LEFT(F236,8)="Bijdrage",VLOOKUP($F236,Tb_KostenTypen[],MATCH(Lijsten!$P$1,Tb_KostenTypen[#Headers],0),0),VLOOKUP($G236,Lijsten!L:P,MATCH(Lijsten!$P$1,Kop_Tarief_Vast,0),0))),""),"")</f>
        <v/>
      </c>
      <c r="Q236" s="359"/>
      <c r="R236" s="359"/>
      <c r="S236" s="321"/>
      <c r="T236" s="321"/>
      <c r="U236" s="373" t="str">
        <f t="shared" si="12"/>
        <v/>
      </c>
      <c r="V236" s="314" t="str">
        <f t="shared" si="13"/>
        <v/>
      </c>
      <c r="W236" s="314" t="str" cm="1">
        <f t="array" aca="1" ref="W236" ca="1">IFERROR(IF(AE236&lt;&gt;"ja",_xlfn.IFNA(_xlfn.IFS(AND(O236&lt;&gt;"",F236&lt;&gt;"",RIGHT($N236,6)="tarief",F236="Vergoeding"),SUM(O236)*FLOOR(SUM(Q236),0.0001),AND(O236&lt;&gt;"",F236&lt;&gt;"",RIGHT($N236,6)="tarief"),SUM(O236)*FLOOR(SUM(Q236),0.01),S236&gt;0,IF(F236&lt;&gt;"",FLOOR(SUM(S236),0.01),"")),""),""),"")</f>
        <v/>
      </c>
      <c r="X236" s="314" t="str" cm="1">
        <f t="array" aca="1" ref="X236" ca="1">IFERROR(IF(AE236&lt;&gt;"ja",_xlfn.IFNA(_xlfn.IFS(AND(P236&lt;&gt;"",R236&lt;&gt;"",RIGHT($N236,6)="tarief",F236="Vergoeding"),SUM(P236)*FLOOR(SUM(R236),0.0001),AND(P236&lt;&gt;"",R236&lt;&gt;"",RIGHT($N236,6)="tarief"),P236*FLOOR(R236,0.01),T236&gt;0,FLOOR(SUM(T236),0.01)),""),""),"")</f>
        <v/>
      </c>
      <c r="Y236" s="314" t="str">
        <f t="shared" ca="1" si="14"/>
        <v/>
      </c>
      <c r="Z236" s="314" t="str" cm="1">
        <f t="array" aca="1" ref="Z236" ca="1">IFERROR(_xlfn.IFS(OR(F236="",LEFT(Methode_Keuze,4)="Geen",Methode_Keuze=""),"",AND(W236&lt;&gt;"",F236&lt;&gt;"Arbeidskosten"),W236*VLOOKUP(F236,Tb_ProjectKosten[],MATCH(Tb_ProjectKosten[[#Headers],[Forfait_Percentage]],Tb_ProjectKosten[#Headers],0),0),AND(F236="Arbeidskosten",G236&lt;&gt;""),IFERROR(W236*VLOOKUP(G236,Tb_KostenTypen[],3,0)*VLOOKUP(F236,Tb_ProjectKosten[],MATCH(Tb_ProjectKosten[[#Headers],[Forfait_Percentage]],Tb_ProjectKosten[#Headers],0),0),""),W236 &lt;=0,0),"")</f>
        <v/>
      </c>
      <c r="AA236" s="314" t="str" cm="1">
        <f t="array" aca="1" ref="AA236" ca="1">IFERROR(_xlfn.IFS(OR(F236="",LEFT(Methode_Keuze,4)="Geen",Methode_Keuze=""),"",AND(X236&lt;&gt;"",F236&lt;&gt;"Arbeidskosten"),X236*VLOOKUP(F236,Tb_ProjectKosten[],MATCH(Tb_ProjectKosten[[#Headers],[Forfait_Percentage]],Tb_ProjectKosten[#Headers],0),0),AND(F236="Arbeidskosten",G236&lt;&gt;""),IFERROR(X236*VLOOKUP(G236,Tb_KostenTypen[],3,0)*VLOOKUP(F236,Tb_ProjectKosten[],MATCH(Tb_ProjectKosten[[#Headers],[Forfait_Percentage]],Tb_ProjectKosten[#Headers],0),0),""),X236 &lt;=0,0),"")</f>
        <v/>
      </c>
      <c r="AB236" s="314" t="str">
        <f t="shared" ca="1" si="15"/>
        <v/>
      </c>
      <c r="AC236" s="322"/>
      <c r="AD236" s="315"/>
      <c r="AE236" s="32" t="str" cm="1">
        <f t="array" ref="AE236">IFERROR(IF(INDEX(SubsidieTabel!$AD$1:$AG$12,MATCH($F236,SubsidieTabel!$AD$1:$AD$12,0),IFERROR(MATCH(Methode_Keuze,SubsidieTabel!$AD$1:$AG$1,0),2))&lt;&gt;1=TRUE,"ja",""),"")</f>
        <v/>
      </c>
    </row>
    <row r="237" spans="1:31" x14ac:dyDescent="0.25">
      <c r="A237" s="316"/>
      <c r="B237" s="317" t="str">
        <f>IF(A237&lt;&gt;"",_xlfn.MAXIFS($B$1:B236,$A$1:A236,A237)+1,"")</f>
        <v/>
      </c>
      <c r="C237" s="296"/>
      <c r="D237" s="296"/>
      <c r="E237" s="296"/>
      <c r="F237" s="296"/>
      <c r="G237" s="326"/>
      <c r="H237" s="324"/>
      <c r="I237" s="325"/>
      <c r="J237" s="325"/>
      <c r="K237" s="318"/>
      <c r="L237" s="318"/>
      <c r="M237" s="319" t="str">
        <f>IFERROR(VLOOKUP(H237,Lijsten!$H$1:$I$100,2,0),"")</f>
        <v/>
      </c>
      <c r="N237" s="319" t="str">
        <f ca="1">IFERROR(IF(VLOOKUP(F237,Kostentypen!$A$3:$E$21,3,0)=0,"",IF(OR(F237="Arbeidskosten",F237="Vergoeding"),VLOOKUP(G237,Tb_KostenTypen[],2,0),VLOOKUP(F237,Kostentypen!$A$3:$E$20,3,0))),"")</f>
        <v/>
      </c>
      <c r="O237" s="320" t="str" cm="1">
        <f t="array" ref="O237">_xlfn.IFNA(IF(INDEX(Tb_KostenOptiesDB[],MATCH($F237,Tb_KostenOptiesDB[KostenOptie],0),IFERROR(MATCH(Methode_Keuze,Tb_KostenOptiesDB[#Headers],0),2))=1,_xlfn.SWITCH($N237,"Uurtarief",IF(OR(AND(RIGHT($F237,3)="IKS",VLOOKUP($M237,DB_Loonkosten,2,0)="Ja"),AND(RIGHT($F237,3)&lt;&gt;"IKS",VLOOKUP($M237,DB_Loonkosten,2,0)="Nee")),IFERROR(VLOOKUP($M237,DB_Loonkosten,24,0),""),0),"Vast tarief",IF(LEFT(F237,8)="Bijdrage",VLOOKUP($F237,Tb_KostenTypen[],MATCH(Lijsten!$P$1,Tb_KostenTypen[#Headers],0),0),VLOOKUP($G237,Lijsten!L:P,MATCH(Lijsten!$P$1,Kop_Tarief_Vast,0),0))),""),"")</f>
        <v/>
      </c>
      <c r="P237" s="320" t="str" cm="1">
        <f t="array" ref="P237">_xlfn.IFNA(IF(INDEX(Tb_KostenOptiesDB[],MATCH($F237,Tb_KostenOptiesDB[KostenOptie],0),IFERROR(MATCH(Methode_Keuze,Tb_KostenOptiesDB[#Headers],0),2))=1,_xlfn.SWITCH($N237,"Uurtarief",IF(OR(AND(RIGHT($F237,3)="IKS",VLOOKUP($M237,DB_Loonkosten,2,0)="Ja"),AND(RIGHT($F237,3)&lt;&gt;"IKS",VLOOKUP($M237,DB_Loonkosten,2,0)="Nee")),IFERROR(VLOOKUP($M237,DB_Loonkosten,25,0),""),0),"Vast tarief",IF(LEFT(F237,8)="Bijdrage",VLOOKUP($F237,Tb_KostenTypen[],MATCH(Lijsten!$P$1,Tb_KostenTypen[#Headers],0),0),VLOOKUP($G237,Lijsten!L:P,MATCH(Lijsten!$P$1,Kop_Tarief_Vast,0),0))),""),"")</f>
        <v/>
      </c>
      <c r="Q237" s="359"/>
      <c r="R237" s="359"/>
      <c r="S237" s="321"/>
      <c r="T237" s="321"/>
      <c r="U237" s="373" t="str">
        <f t="shared" si="12"/>
        <v/>
      </c>
      <c r="V237" s="314" t="str">
        <f t="shared" si="13"/>
        <v/>
      </c>
      <c r="W237" s="314" t="str" cm="1">
        <f t="array" aca="1" ref="W237" ca="1">IFERROR(IF(AE237&lt;&gt;"ja",_xlfn.IFNA(_xlfn.IFS(AND(O237&lt;&gt;"",F237&lt;&gt;"",RIGHT($N237,6)="tarief",F237="Vergoeding"),SUM(O237)*FLOOR(SUM(Q237),0.0001),AND(O237&lt;&gt;"",F237&lt;&gt;"",RIGHT($N237,6)="tarief"),SUM(O237)*FLOOR(SUM(Q237),0.01),S237&gt;0,IF(F237&lt;&gt;"",FLOOR(SUM(S237),0.01),"")),""),""),"")</f>
        <v/>
      </c>
      <c r="X237" s="314" t="str" cm="1">
        <f t="array" aca="1" ref="X237" ca="1">IFERROR(IF(AE237&lt;&gt;"ja",_xlfn.IFNA(_xlfn.IFS(AND(P237&lt;&gt;"",R237&lt;&gt;"",RIGHT($N237,6)="tarief",F237="Vergoeding"),SUM(P237)*FLOOR(SUM(R237),0.0001),AND(P237&lt;&gt;"",R237&lt;&gt;"",RIGHT($N237,6)="tarief"),P237*FLOOR(R237,0.01),T237&gt;0,FLOOR(SUM(T237),0.01)),""),""),"")</f>
        <v/>
      </c>
      <c r="Y237" s="314" t="str">
        <f t="shared" ca="1" si="14"/>
        <v/>
      </c>
      <c r="Z237" s="314" t="str" cm="1">
        <f t="array" aca="1" ref="Z237" ca="1">IFERROR(_xlfn.IFS(OR(F237="",LEFT(Methode_Keuze,4)="Geen",Methode_Keuze=""),"",AND(W237&lt;&gt;"",F237&lt;&gt;"Arbeidskosten"),W237*VLOOKUP(F237,Tb_ProjectKosten[],MATCH(Tb_ProjectKosten[[#Headers],[Forfait_Percentage]],Tb_ProjectKosten[#Headers],0),0),AND(F237="Arbeidskosten",G237&lt;&gt;""),IFERROR(W237*VLOOKUP(G237,Tb_KostenTypen[],3,0)*VLOOKUP(F237,Tb_ProjectKosten[],MATCH(Tb_ProjectKosten[[#Headers],[Forfait_Percentage]],Tb_ProjectKosten[#Headers],0),0),""),W237 &lt;=0,0),"")</f>
        <v/>
      </c>
      <c r="AA237" s="314" t="str" cm="1">
        <f t="array" aca="1" ref="AA237" ca="1">IFERROR(_xlfn.IFS(OR(F237="",LEFT(Methode_Keuze,4)="Geen",Methode_Keuze=""),"",AND(X237&lt;&gt;"",F237&lt;&gt;"Arbeidskosten"),X237*VLOOKUP(F237,Tb_ProjectKosten[],MATCH(Tb_ProjectKosten[[#Headers],[Forfait_Percentage]],Tb_ProjectKosten[#Headers],0),0),AND(F237="Arbeidskosten",G237&lt;&gt;""),IFERROR(X237*VLOOKUP(G237,Tb_KostenTypen[],3,0)*VLOOKUP(F237,Tb_ProjectKosten[],MATCH(Tb_ProjectKosten[[#Headers],[Forfait_Percentage]],Tb_ProjectKosten[#Headers],0),0),""),X237 &lt;=0,0),"")</f>
        <v/>
      </c>
      <c r="AB237" s="314" t="str">
        <f t="shared" ca="1" si="15"/>
        <v/>
      </c>
      <c r="AC237" s="322"/>
      <c r="AD237" s="315"/>
      <c r="AE237" s="32" t="str" cm="1">
        <f t="array" ref="AE237">IFERROR(IF(INDEX(SubsidieTabel!$AD$1:$AG$12,MATCH($F237,SubsidieTabel!$AD$1:$AD$12,0),IFERROR(MATCH(Methode_Keuze,SubsidieTabel!$AD$1:$AG$1,0),2))&lt;&gt;1=TRUE,"ja",""),"")</f>
        <v/>
      </c>
    </row>
    <row r="238" spans="1:31" x14ac:dyDescent="0.25">
      <c r="A238" s="316"/>
      <c r="B238" s="317" t="str">
        <f>IF(A238&lt;&gt;"",_xlfn.MAXIFS($B$1:B237,$A$1:A237,A238)+1,"")</f>
        <v/>
      </c>
      <c r="C238" s="296"/>
      <c r="D238" s="296"/>
      <c r="E238" s="296"/>
      <c r="F238" s="296"/>
      <c r="G238" s="326"/>
      <c r="H238" s="324"/>
      <c r="I238" s="325"/>
      <c r="J238" s="325"/>
      <c r="K238" s="318"/>
      <c r="L238" s="318"/>
      <c r="M238" s="319" t="str">
        <f>IFERROR(VLOOKUP(H238,Lijsten!$H$1:$I$100,2,0),"")</f>
        <v/>
      </c>
      <c r="N238" s="319" t="str">
        <f ca="1">IFERROR(IF(VLOOKUP(F238,Kostentypen!$A$3:$E$21,3,0)=0,"",IF(OR(F238="Arbeidskosten",F238="Vergoeding"),VLOOKUP(G238,Tb_KostenTypen[],2,0),VLOOKUP(F238,Kostentypen!$A$3:$E$20,3,0))),"")</f>
        <v/>
      </c>
      <c r="O238" s="320" t="str" cm="1">
        <f t="array" ref="O238">_xlfn.IFNA(IF(INDEX(Tb_KostenOptiesDB[],MATCH($F238,Tb_KostenOptiesDB[KostenOptie],0),IFERROR(MATCH(Methode_Keuze,Tb_KostenOptiesDB[#Headers],0),2))=1,_xlfn.SWITCH($N238,"Uurtarief",IF(OR(AND(RIGHT($F238,3)="IKS",VLOOKUP($M238,DB_Loonkosten,2,0)="Ja"),AND(RIGHT($F238,3)&lt;&gt;"IKS",VLOOKUP($M238,DB_Loonkosten,2,0)="Nee")),IFERROR(VLOOKUP($M238,DB_Loonkosten,24,0),""),0),"Vast tarief",IF(LEFT(F238,8)="Bijdrage",VLOOKUP($F238,Tb_KostenTypen[],MATCH(Lijsten!$P$1,Tb_KostenTypen[#Headers],0),0),VLOOKUP($G238,Lijsten!L:P,MATCH(Lijsten!$P$1,Kop_Tarief_Vast,0),0))),""),"")</f>
        <v/>
      </c>
      <c r="P238" s="320" t="str" cm="1">
        <f t="array" ref="P238">_xlfn.IFNA(IF(INDEX(Tb_KostenOptiesDB[],MATCH($F238,Tb_KostenOptiesDB[KostenOptie],0),IFERROR(MATCH(Methode_Keuze,Tb_KostenOptiesDB[#Headers],0),2))=1,_xlfn.SWITCH($N238,"Uurtarief",IF(OR(AND(RIGHT($F238,3)="IKS",VLOOKUP($M238,DB_Loonkosten,2,0)="Ja"),AND(RIGHT($F238,3)&lt;&gt;"IKS",VLOOKUP($M238,DB_Loonkosten,2,0)="Nee")),IFERROR(VLOOKUP($M238,DB_Loonkosten,25,0),""),0),"Vast tarief",IF(LEFT(F238,8)="Bijdrage",VLOOKUP($F238,Tb_KostenTypen[],MATCH(Lijsten!$P$1,Tb_KostenTypen[#Headers],0),0),VLOOKUP($G238,Lijsten!L:P,MATCH(Lijsten!$P$1,Kop_Tarief_Vast,0),0))),""),"")</f>
        <v/>
      </c>
      <c r="Q238" s="359"/>
      <c r="R238" s="359"/>
      <c r="S238" s="321"/>
      <c r="T238" s="321"/>
      <c r="U238" s="373" t="str">
        <f t="shared" si="12"/>
        <v/>
      </c>
      <c r="V238" s="314" t="str">
        <f t="shared" si="13"/>
        <v/>
      </c>
      <c r="W238" s="314" t="str" cm="1">
        <f t="array" aca="1" ref="W238" ca="1">IFERROR(IF(AE238&lt;&gt;"ja",_xlfn.IFNA(_xlfn.IFS(AND(O238&lt;&gt;"",F238&lt;&gt;"",RIGHT($N238,6)="tarief",F238="Vergoeding"),SUM(O238)*FLOOR(SUM(Q238),0.0001),AND(O238&lt;&gt;"",F238&lt;&gt;"",RIGHT($N238,6)="tarief"),SUM(O238)*FLOOR(SUM(Q238),0.01),S238&gt;0,IF(F238&lt;&gt;"",FLOOR(SUM(S238),0.01),"")),""),""),"")</f>
        <v/>
      </c>
      <c r="X238" s="314" t="str" cm="1">
        <f t="array" aca="1" ref="X238" ca="1">IFERROR(IF(AE238&lt;&gt;"ja",_xlfn.IFNA(_xlfn.IFS(AND(P238&lt;&gt;"",R238&lt;&gt;"",RIGHT($N238,6)="tarief",F238="Vergoeding"),SUM(P238)*FLOOR(SUM(R238),0.0001),AND(P238&lt;&gt;"",R238&lt;&gt;"",RIGHT($N238,6)="tarief"),P238*FLOOR(R238,0.01),T238&gt;0,FLOOR(SUM(T238),0.01)),""),""),"")</f>
        <v/>
      </c>
      <c r="Y238" s="314" t="str">
        <f t="shared" ca="1" si="14"/>
        <v/>
      </c>
      <c r="Z238" s="314" t="str" cm="1">
        <f t="array" aca="1" ref="Z238" ca="1">IFERROR(_xlfn.IFS(OR(F238="",LEFT(Methode_Keuze,4)="Geen",Methode_Keuze=""),"",AND(W238&lt;&gt;"",F238&lt;&gt;"Arbeidskosten"),W238*VLOOKUP(F238,Tb_ProjectKosten[],MATCH(Tb_ProjectKosten[[#Headers],[Forfait_Percentage]],Tb_ProjectKosten[#Headers],0),0),AND(F238="Arbeidskosten",G238&lt;&gt;""),IFERROR(W238*VLOOKUP(G238,Tb_KostenTypen[],3,0)*VLOOKUP(F238,Tb_ProjectKosten[],MATCH(Tb_ProjectKosten[[#Headers],[Forfait_Percentage]],Tb_ProjectKosten[#Headers],0),0),""),W238 &lt;=0,0),"")</f>
        <v/>
      </c>
      <c r="AA238" s="314" t="str" cm="1">
        <f t="array" aca="1" ref="AA238" ca="1">IFERROR(_xlfn.IFS(OR(F238="",LEFT(Methode_Keuze,4)="Geen",Methode_Keuze=""),"",AND(X238&lt;&gt;"",F238&lt;&gt;"Arbeidskosten"),X238*VLOOKUP(F238,Tb_ProjectKosten[],MATCH(Tb_ProjectKosten[[#Headers],[Forfait_Percentage]],Tb_ProjectKosten[#Headers],0),0),AND(F238="Arbeidskosten",G238&lt;&gt;""),IFERROR(X238*VLOOKUP(G238,Tb_KostenTypen[],3,0)*VLOOKUP(F238,Tb_ProjectKosten[],MATCH(Tb_ProjectKosten[[#Headers],[Forfait_Percentage]],Tb_ProjectKosten[#Headers],0),0),""),X238 &lt;=0,0),"")</f>
        <v/>
      </c>
      <c r="AB238" s="314" t="str">
        <f t="shared" ca="1" si="15"/>
        <v/>
      </c>
      <c r="AC238" s="322"/>
      <c r="AD238" s="315"/>
      <c r="AE238" s="32" t="str" cm="1">
        <f t="array" ref="AE238">IFERROR(IF(INDEX(SubsidieTabel!$AD$1:$AG$12,MATCH($F238,SubsidieTabel!$AD$1:$AD$12,0),IFERROR(MATCH(Methode_Keuze,SubsidieTabel!$AD$1:$AG$1,0),2))&lt;&gt;1=TRUE,"ja",""),"")</f>
        <v/>
      </c>
    </row>
    <row r="239" spans="1:31" x14ac:dyDescent="0.25">
      <c r="A239" s="316"/>
      <c r="B239" s="317" t="str">
        <f>IF(A239&lt;&gt;"",_xlfn.MAXIFS($B$1:B238,$A$1:A238,A239)+1,"")</f>
        <v/>
      </c>
      <c r="C239" s="296"/>
      <c r="D239" s="296"/>
      <c r="E239" s="296"/>
      <c r="F239" s="296"/>
      <c r="G239" s="326"/>
      <c r="H239" s="324"/>
      <c r="I239" s="325"/>
      <c r="J239" s="325"/>
      <c r="K239" s="318"/>
      <c r="L239" s="318"/>
      <c r="M239" s="319" t="str">
        <f>IFERROR(VLOOKUP(H239,Lijsten!$H$1:$I$100,2,0),"")</f>
        <v/>
      </c>
      <c r="N239" s="319" t="str">
        <f ca="1">IFERROR(IF(VLOOKUP(F239,Kostentypen!$A$3:$E$21,3,0)=0,"",IF(OR(F239="Arbeidskosten",F239="Vergoeding"),VLOOKUP(G239,Tb_KostenTypen[],2,0),VLOOKUP(F239,Kostentypen!$A$3:$E$20,3,0))),"")</f>
        <v/>
      </c>
      <c r="O239" s="320" t="str" cm="1">
        <f t="array" ref="O239">_xlfn.IFNA(IF(INDEX(Tb_KostenOptiesDB[],MATCH($F239,Tb_KostenOptiesDB[KostenOptie],0),IFERROR(MATCH(Methode_Keuze,Tb_KostenOptiesDB[#Headers],0),2))=1,_xlfn.SWITCH($N239,"Uurtarief",IF(OR(AND(RIGHT($F239,3)="IKS",VLOOKUP($M239,DB_Loonkosten,2,0)="Ja"),AND(RIGHT($F239,3)&lt;&gt;"IKS",VLOOKUP($M239,DB_Loonkosten,2,0)="Nee")),IFERROR(VLOOKUP($M239,DB_Loonkosten,24,0),""),0),"Vast tarief",IF(LEFT(F239,8)="Bijdrage",VLOOKUP($F239,Tb_KostenTypen[],MATCH(Lijsten!$P$1,Tb_KostenTypen[#Headers],0),0),VLOOKUP($G239,Lijsten!L:P,MATCH(Lijsten!$P$1,Kop_Tarief_Vast,0),0))),""),"")</f>
        <v/>
      </c>
      <c r="P239" s="320" t="str" cm="1">
        <f t="array" ref="P239">_xlfn.IFNA(IF(INDEX(Tb_KostenOptiesDB[],MATCH($F239,Tb_KostenOptiesDB[KostenOptie],0),IFERROR(MATCH(Methode_Keuze,Tb_KostenOptiesDB[#Headers],0),2))=1,_xlfn.SWITCH($N239,"Uurtarief",IF(OR(AND(RIGHT($F239,3)="IKS",VLOOKUP($M239,DB_Loonkosten,2,0)="Ja"),AND(RIGHT($F239,3)&lt;&gt;"IKS",VLOOKUP($M239,DB_Loonkosten,2,0)="Nee")),IFERROR(VLOOKUP($M239,DB_Loonkosten,25,0),""),0),"Vast tarief",IF(LEFT(F239,8)="Bijdrage",VLOOKUP($F239,Tb_KostenTypen[],MATCH(Lijsten!$P$1,Tb_KostenTypen[#Headers],0),0),VLOOKUP($G239,Lijsten!L:P,MATCH(Lijsten!$P$1,Kop_Tarief_Vast,0),0))),""),"")</f>
        <v/>
      </c>
      <c r="Q239" s="359"/>
      <c r="R239" s="359"/>
      <c r="S239" s="321"/>
      <c r="T239" s="321"/>
      <c r="U239" s="373" t="str">
        <f t="shared" si="12"/>
        <v/>
      </c>
      <c r="V239" s="314" t="str">
        <f t="shared" si="13"/>
        <v/>
      </c>
      <c r="W239" s="314" t="str" cm="1">
        <f t="array" aca="1" ref="W239" ca="1">IFERROR(IF(AE239&lt;&gt;"ja",_xlfn.IFNA(_xlfn.IFS(AND(O239&lt;&gt;"",F239&lt;&gt;"",RIGHT($N239,6)="tarief",F239="Vergoeding"),SUM(O239)*FLOOR(SUM(Q239),0.0001),AND(O239&lt;&gt;"",F239&lt;&gt;"",RIGHT($N239,6)="tarief"),SUM(O239)*FLOOR(SUM(Q239),0.01),S239&gt;0,IF(F239&lt;&gt;"",FLOOR(SUM(S239),0.01),"")),""),""),"")</f>
        <v/>
      </c>
      <c r="X239" s="314" t="str" cm="1">
        <f t="array" aca="1" ref="X239" ca="1">IFERROR(IF(AE239&lt;&gt;"ja",_xlfn.IFNA(_xlfn.IFS(AND(P239&lt;&gt;"",R239&lt;&gt;"",RIGHT($N239,6)="tarief",F239="Vergoeding"),SUM(P239)*FLOOR(SUM(R239),0.0001),AND(P239&lt;&gt;"",R239&lt;&gt;"",RIGHT($N239,6)="tarief"),P239*FLOOR(R239,0.01),T239&gt;0,FLOOR(SUM(T239),0.01)),""),""),"")</f>
        <v/>
      </c>
      <c r="Y239" s="314" t="str">
        <f t="shared" ca="1" si="14"/>
        <v/>
      </c>
      <c r="Z239" s="314" t="str" cm="1">
        <f t="array" aca="1" ref="Z239" ca="1">IFERROR(_xlfn.IFS(OR(F239="",LEFT(Methode_Keuze,4)="Geen",Methode_Keuze=""),"",AND(W239&lt;&gt;"",F239&lt;&gt;"Arbeidskosten"),W239*VLOOKUP(F239,Tb_ProjectKosten[],MATCH(Tb_ProjectKosten[[#Headers],[Forfait_Percentage]],Tb_ProjectKosten[#Headers],0),0),AND(F239="Arbeidskosten",G239&lt;&gt;""),IFERROR(W239*VLOOKUP(G239,Tb_KostenTypen[],3,0)*VLOOKUP(F239,Tb_ProjectKosten[],MATCH(Tb_ProjectKosten[[#Headers],[Forfait_Percentage]],Tb_ProjectKosten[#Headers],0),0),""),W239 &lt;=0,0),"")</f>
        <v/>
      </c>
      <c r="AA239" s="314" t="str" cm="1">
        <f t="array" aca="1" ref="AA239" ca="1">IFERROR(_xlfn.IFS(OR(F239="",LEFT(Methode_Keuze,4)="Geen",Methode_Keuze=""),"",AND(X239&lt;&gt;"",F239&lt;&gt;"Arbeidskosten"),X239*VLOOKUP(F239,Tb_ProjectKosten[],MATCH(Tb_ProjectKosten[[#Headers],[Forfait_Percentage]],Tb_ProjectKosten[#Headers],0),0),AND(F239="Arbeidskosten",G239&lt;&gt;""),IFERROR(X239*VLOOKUP(G239,Tb_KostenTypen[],3,0)*VLOOKUP(F239,Tb_ProjectKosten[],MATCH(Tb_ProjectKosten[[#Headers],[Forfait_Percentage]],Tb_ProjectKosten[#Headers],0),0),""),X239 &lt;=0,0),"")</f>
        <v/>
      </c>
      <c r="AB239" s="314" t="str">
        <f t="shared" ca="1" si="15"/>
        <v/>
      </c>
      <c r="AC239" s="322"/>
      <c r="AD239" s="315"/>
      <c r="AE239" s="32" t="str" cm="1">
        <f t="array" ref="AE239">IFERROR(IF(INDEX(SubsidieTabel!$AD$1:$AG$12,MATCH($F239,SubsidieTabel!$AD$1:$AD$12,0),IFERROR(MATCH(Methode_Keuze,SubsidieTabel!$AD$1:$AG$1,0),2))&lt;&gt;1=TRUE,"ja",""),"")</f>
        <v/>
      </c>
    </row>
    <row r="240" spans="1:31" x14ac:dyDescent="0.25">
      <c r="A240" s="316"/>
      <c r="B240" s="317" t="str">
        <f>IF(A240&lt;&gt;"",_xlfn.MAXIFS($B$1:B239,$A$1:A239,A240)+1,"")</f>
        <v/>
      </c>
      <c r="C240" s="296"/>
      <c r="D240" s="296"/>
      <c r="E240" s="296"/>
      <c r="F240" s="296"/>
      <c r="G240" s="326"/>
      <c r="H240" s="324"/>
      <c r="I240" s="325"/>
      <c r="J240" s="325"/>
      <c r="K240" s="318"/>
      <c r="L240" s="318"/>
      <c r="M240" s="319" t="str">
        <f>IFERROR(VLOOKUP(H240,Lijsten!$H$1:$I$100,2,0),"")</f>
        <v/>
      </c>
      <c r="N240" s="319" t="str">
        <f ca="1">IFERROR(IF(VLOOKUP(F240,Kostentypen!$A$3:$E$21,3,0)=0,"",IF(OR(F240="Arbeidskosten",F240="Vergoeding"),VLOOKUP(G240,Tb_KostenTypen[],2,0),VLOOKUP(F240,Kostentypen!$A$3:$E$20,3,0))),"")</f>
        <v/>
      </c>
      <c r="O240" s="320" t="str" cm="1">
        <f t="array" ref="O240">_xlfn.IFNA(IF(INDEX(Tb_KostenOptiesDB[],MATCH($F240,Tb_KostenOptiesDB[KostenOptie],0),IFERROR(MATCH(Methode_Keuze,Tb_KostenOptiesDB[#Headers],0),2))=1,_xlfn.SWITCH($N240,"Uurtarief",IF(OR(AND(RIGHT($F240,3)="IKS",VLOOKUP($M240,DB_Loonkosten,2,0)="Ja"),AND(RIGHT($F240,3)&lt;&gt;"IKS",VLOOKUP($M240,DB_Loonkosten,2,0)="Nee")),IFERROR(VLOOKUP($M240,DB_Loonkosten,24,0),""),0),"Vast tarief",IF(LEFT(F240,8)="Bijdrage",VLOOKUP($F240,Tb_KostenTypen[],MATCH(Lijsten!$P$1,Tb_KostenTypen[#Headers],0),0),VLOOKUP($G240,Lijsten!L:P,MATCH(Lijsten!$P$1,Kop_Tarief_Vast,0),0))),""),"")</f>
        <v/>
      </c>
      <c r="P240" s="320" t="str" cm="1">
        <f t="array" ref="P240">_xlfn.IFNA(IF(INDEX(Tb_KostenOptiesDB[],MATCH($F240,Tb_KostenOptiesDB[KostenOptie],0),IFERROR(MATCH(Methode_Keuze,Tb_KostenOptiesDB[#Headers],0),2))=1,_xlfn.SWITCH($N240,"Uurtarief",IF(OR(AND(RIGHT($F240,3)="IKS",VLOOKUP($M240,DB_Loonkosten,2,0)="Ja"),AND(RIGHT($F240,3)&lt;&gt;"IKS",VLOOKUP($M240,DB_Loonkosten,2,0)="Nee")),IFERROR(VLOOKUP($M240,DB_Loonkosten,25,0),""),0),"Vast tarief",IF(LEFT(F240,8)="Bijdrage",VLOOKUP($F240,Tb_KostenTypen[],MATCH(Lijsten!$P$1,Tb_KostenTypen[#Headers],0),0),VLOOKUP($G240,Lijsten!L:P,MATCH(Lijsten!$P$1,Kop_Tarief_Vast,0),0))),""),"")</f>
        <v/>
      </c>
      <c r="Q240" s="359"/>
      <c r="R240" s="359"/>
      <c r="S240" s="321"/>
      <c r="T240" s="321"/>
      <c r="U240" s="373" t="str">
        <f t="shared" si="12"/>
        <v/>
      </c>
      <c r="V240" s="314" t="str">
        <f t="shared" si="13"/>
        <v/>
      </c>
      <c r="W240" s="314" t="str" cm="1">
        <f t="array" aca="1" ref="W240" ca="1">IFERROR(IF(AE240&lt;&gt;"ja",_xlfn.IFNA(_xlfn.IFS(AND(O240&lt;&gt;"",F240&lt;&gt;"",RIGHT($N240,6)="tarief",F240="Vergoeding"),SUM(O240)*FLOOR(SUM(Q240),0.0001),AND(O240&lt;&gt;"",F240&lt;&gt;"",RIGHT($N240,6)="tarief"),SUM(O240)*FLOOR(SUM(Q240),0.01),S240&gt;0,IF(F240&lt;&gt;"",FLOOR(SUM(S240),0.01),"")),""),""),"")</f>
        <v/>
      </c>
      <c r="X240" s="314" t="str" cm="1">
        <f t="array" aca="1" ref="X240" ca="1">IFERROR(IF(AE240&lt;&gt;"ja",_xlfn.IFNA(_xlfn.IFS(AND(P240&lt;&gt;"",R240&lt;&gt;"",RIGHT($N240,6)="tarief",F240="Vergoeding"),SUM(P240)*FLOOR(SUM(R240),0.0001),AND(P240&lt;&gt;"",R240&lt;&gt;"",RIGHT($N240,6)="tarief"),P240*FLOOR(R240,0.01),T240&gt;0,FLOOR(SUM(T240),0.01)),""),""),"")</f>
        <v/>
      </c>
      <c r="Y240" s="314" t="str">
        <f t="shared" ca="1" si="14"/>
        <v/>
      </c>
      <c r="Z240" s="314" t="str" cm="1">
        <f t="array" aca="1" ref="Z240" ca="1">IFERROR(_xlfn.IFS(OR(F240="",LEFT(Methode_Keuze,4)="Geen",Methode_Keuze=""),"",AND(W240&lt;&gt;"",F240&lt;&gt;"Arbeidskosten"),W240*VLOOKUP(F240,Tb_ProjectKosten[],MATCH(Tb_ProjectKosten[[#Headers],[Forfait_Percentage]],Tb_ProjectKosten[#Headers],0),0),AND(F240="Arbeidskosten",G240&lt;&gt;""),IFERROR(W240*VLOOKUP(G240,Tb_KostenTypen[],3,0)*VLOOKUP(F240,Tb_ProjectKosten[],MATCH(Tb_ProjectKosten[[#Headers],[Forfait_Percentage]],Tb_ProjectKosten[#Headers],0),0),""),W240 &lt;=0,0),"")</f>
        <v/>
      </c>
      <c r="AA240" s="314" t="str" cm="1">
        <f t="array" aca="1" ref="AA240" ca="1">IFERROR(_xlfn.IFS(OR(F240="",LEFT(Methode_Keuze,4)="Geen",Methode_Keuze=""),"",AND(X240&lt;&gt;"",F240&lt;&gt;"Arbeidskosten"),X240*VLOOKUP(F240,Tb_ProjectKosten[],MATCH(Tb_ProjectKosten[[#Headers],[Forfait_Percentage]],Tb_ProjectKosten[#Headers],0),0),AND(F240="Arbeidskosten",G240&lt;&gt;""),IFERROR(X240*VLOOKUP(G240,Tb_KostenTypen[],3,0)*VLOOKUP(F240,Tb_ProjectKosten[],MATCH(Tb_ProjectKosten[[#Headers],[Forfait_Percentage]],Tb_ProjectKosten[#Headers],0),0),""),X240 &lt;=0,0),"")</f>
        <v/>
      </c>
      <c r="AB240" s="314" t="str">
        <f t="shared" ca="1" si="15"/>
        <v/>
      </c>
      <c r="AC240" s="322"/>
      <c r="AD240" s="315"/>
      <c r="AE240" s="32" t="str" cm="1">
        <f t="array" ref="AE240">IFERROR(IF(INDEX(SubsidieTabel!$AD$1:$AG$12,MATCH($F240,SubsidieTabel!$AD$1:$AD$12,0),IFERROR(MATCH(Methode_Keuze,SubsidieTabel!$AD$1:$AG$1,0),2))&lt;&gt;1=TRUE,"ja",""),"")</f>
        <v/>
      </c>
    </row>
    <row r="241" spans="1:31" x14ac:dyDescent="0.25">
      <c r="A241" s="316"/>
      <c r="B241" s="317" t="str">
        <f>IF(A241&lt;&gt;"",_xlfn.MAXIFS($B$1:B240,$A$1:A240,A241)+1,"")</f>
        <v/>
      </c>
      <c r="C241" s="296"/>
      <c r="D241" s="296"/>
      <c r="E241" s="296"/>
      <c r="F241" s="296"/>
      <c r="G241" s="326"/>
      <c r="H241" s="324"/>
      <c r="I241" s="325"/>
      <c r="J241" s="325"/>
      <c r="K241" s="318"/>
      <c r="L241" s="318"/>
      <c r="M241" s="319" t="str">
        <f>IFERROR(VLOOKUP(H241,Lijsten!$H$1:$I$100,2,0),"")</f>
        <v/>
      </c>
      <c r="N241" s="319" t="str">
        <f ca="1">IFERROR(IF(VLOOKUP(F241,Kostentypen!$A$3:$E$21,3,0)=0,"",IF(OR(F241="Arbeidskosten",F241="Vergoeding"),VLOOKUP(G241,Tb_KostenTypen[],2,0),VLOOKUP(F241,Kostentypen!$A$3:$E$20,3,0))),"")</f>
        <v/>
      </c>
      <c r="O241" s="320" t="str" cm="1">
        <f t="array" ref="O241">_xlfn.IFNA(IF(INDEX(Tb_KostenOptiesDB[],MATCH($F241,Tb_KostenOptiesDB[KostenOptie],0),IFERROR(MATCH(Methode_Keuze,Tb_KostenOptiesDB[#Headers],0),2))=1,_xlfn.SWITCH($N241,"Uurtarief",IF(OR(AND(RIGHT($F241,3)="IKS",VLOOKUP($M241,DB_Loonkosten,2,0)="Ja"),AND(RIGHT($F241,3)&lt;&gt;"IKS",VLOOKUP($M241,DB_Loonkosten,2,0)="Nee")),IFERROR(VLOOKUP($M241,DB_Loonkosten,24,0),""),0),"Vast tarief",IF(LEFT(F241,8)="Bijdrage",VLOOKUP($F241,Tb_KostenTypen[],MATCH(Lijsten!$P$1,Tb_KostenTypen[#Headers],0),0),VLOOKUP($G241,Lijsten!L:P,MATCH(Lijsten!$P$1,Kop_Tarief_Vast,0),0))),""),"")</f>
        <v/>
      </c>
      <c r="P241" s="320" t="str" cm="1">
        <f t="array" ref="P241">_xlfn.IFNA(IF(INDEX(Tb_KostenOptiesDB[],MATCH($F241,Tb_KostenOptiesDB[KostenOptie],0),IFERROR(MATCH(Methode_Keuze,Tb_KostenOptiesDB[#Headers],0),2))=1,_xlfn.SWITCH($N241,"Uurtarief",IF(OR(AND(RIGHT($F241,3)="IKS",VLOOKUP($M241,DB_Loonkosten,2,0)="Ja"),AND(RIGHT($F241,3)&lt;&gt;"IKS",VLOOKUP($M241,DB_Loonkosten,2,0)="Nee")),IFERROR(VLOOKUP($M241,DB_Loonkosten,25,0),""),0),"Vast tarief",IF(LEFT(F241,8)="Bijdrage",VLOOKUP($F241,Tb_KostenTypen[],MATCH(Lijsten!$P$1,Tb_KostenTypen[#Headers],0),0),VLOOKUP($G241,Lijsten!L:P,MATCH(Lijsten!$P$1,Kop_Tarief_Vast,0),0))),""),"")</f>
        <v/>
      </c>
      <c r="Q241" s="359"/>
      <c r="R241" s="359"/>
      <c r="S241" s="321"/>
      <c r="T241" s="321"/>
      <c r="U241" s="373" t="str">
        <f t="shared" si="12"/>
        <v/>
      </c>
      <c r="V241" s="314" t="str">
        <f t="shared" si="13"/>
        <v/>
      </c>
      <c r="W241" s="314" t="str" cm="1">
        <f t="array" aca="1" ref="W241" ca="1">IFERROR(IF(AE241&lt;&gt;"ja",_xlfn.IFNA(_xlfn.IFS(AND(O241&lt;&gt;"",F241&lt;&gt;"",RIGHT($N241,6)="tarief",F241="Vergoeding"),SUM(O241)*FLOOR(SUM(Q241),0.0001),AND(O241&lt;&gt;"",F241&lt;&gt;"",RIGHT($N241,6)="tarief"),SUM(O241)*FLOOR(SUM(Q241),0.01),S241&gt;0,IF(F241&lt;&gt;"",FLOOR(SUM(S241),0.01),"")),""),""),"")</f>
        <v/>
      </c>
      <c r="X241" s="314" t="str" cm="1">
        <f t="array" aca="1" ref="X241" ca="1">IFERROR(IF(AE241&lt;&gt;"ja",_xlfn.IFNA(_xlfn.IFS(AND(P241&lt;&gt;"",R241&lt;&gt;"",RIGHT($N241,6)="tarief",F241="Vergoeding"),SUM(P241)*FLOOR(SUM(R241),0.0001),AND(P241&lt;&gt;"",R241&lt;&gt;"",RIGHT($N241,6)="tarief"),P241*FLOOR(R241,0.01),T241&gt;0,FLOOR(SUM(T241),0.01)),""),""),"")</f>
        <v/>
      </c>
      <c r="Y241" s="314" t="str">
        <f t="shared" ca="1" si="14"/>
        <v/>
      </c>
      <c r="Z241" s="314" t="str" cm="1">
        <f t="array" aca="1" ref="Z241" ca="1">IFERROR(_xlfn.IFS(OR(F241="",LEFT(Methode_Keuze,4)="Geen",Methode_Keuze=""),"",AND(W241&lt;&gt;"",F241&lt;&gt;"Arbeidskosten"),W241*VLOOKUP(F241,Tb_ProjectKosten[],MATCH(Tb_ProjectKosten[[#Headers],[Forfait_Percentage]],Tb_ProjectKosten[#Headers],0),0),AND(F241="Arbeidskosten",G241&lt;&gt;""),IFERROR(W241*VLOOKUP(G241,Tb_KostenTypen[],3,0)*VLOOKUP(F241,Tb_ProjectKosten[],MATCH(Tb_ProjectKosten[[#Headers],[Forfait_Percentage]],Tb_ProjectKosten[#Headers],0),0),""),W241 &lt;=0,0),"")</f>
        <v/>
      </c>
      <c r="AA241" s="314" t="str" cm="1">
        <f t="array" aca="1" ref="AA241" ca="1">IFERROR(_xlfn.IFS(OR(F241="",LEFT(Methode_Keuze,4)="Geen",Methode_Keuze=""),"",AND(X241&lt;&gt;"",F241&lt;&gt;"Arbeidskosten"),X241*VLOOKUP(F241,Tb_ProjectKosten[],MATCH(Tb_ProjectKosten[[#Headers],[Forfait_Percentage]],Tb_ProjectKosten[#Headers],0),0),AND(F241="Arbeidskosten",G241&lt;&gt;""),IFERROR(X241*VLOOKUP(G241,Tb_KostenTypen[],3,0)*VLOOKUP(F241,Tb_ProjectKosten[],MATCH(Tb_ProjectKosten[[#Headers],[Forfait_Percentage]],Tb_ProjectKosten[#Headers],0),0),""),X241 &lt;=0,0),"")</f>
        <v/>
      </c>
      <c r="AB241" s="314" t="str">
        <f t="shared" ca="1" si="15"/>
        <v/>
      </c>
      <c r="AC241" s="322"/>
      <c r="AD241" s="315"/>
      <c r="AE241" s="32" t="str" cm="1">
        <f t="array" ref="AE241">IFERROR(IF(INDEX(SubsidieTabel!$AD$1:$AG$12,MATCH($F241,SubsidieTabel!$AD$1:$AD$12,0),IFERROR(MATCH(Methode_Keuze,SubsidieTabel!$AD$1:$AG$1,0),2))&lt;&gt;1=TRUE,"ja",""),"")</f>
        <v/>
      </c>
    </row>
    <row r="242" spans="1:31" x14ac:dyDescent="0.25">
      <c r="A242" s="316"/>
      <c r="B242" s="317" t="str">
        <f>IF(A242&lt;&gt;"",_xlfn.MAXIFS($B$1:B241,$A$1:A241,A242)+1,"")</f>
        <v/>
      </c>
      <c r="C242" s="296"/>
      <c r="D242" s="296"/>
      <c r="E242" s="296"/>
      <c r="F242" s="296"/>
      <c r="G242" s="326"/>
      <c r="H242" s="324"/>
      <c r="I242" s="325"/>
      <c r="J242" s="325"/>
      <c r="K242" s="318"/>
      <c r="L242" s="318"/>
      <c r="M242" s="319" t="str">
        <f>IFERROR(VLOOKUP(H242,Lijsten!$H$1:$I$100,2,0),"")</f>
        <v/>
      </c>
      <c r="N242" s="319" t="str">
        <f ca="1">IFERROR(IF(VLOOKUP(F242,Kostentypen!$A$3:$E$21,3,0)=0,"",IF(OR(F242="Arbeidskosten",F242="Vergoeding"),VLOOKUP(G242,Tb_KostenTypen[],2,0),VLOOKUP(F242,Kostentypen!$A$3:$E$20,3,0))),"")</f>
        <v/>
      </c>
      <c r="O242" s="320" t="str" cm="1">
        <f t="array" ref="O242">_xlfn.IFNA(IF(INDEX(Tb_KostenOptiesDB[],MATCH($F242,Tb_KostenOptiesDB[KostenOptie],0),IFERROR(MATCH(Methode_Keuze,Tb_KostenOptiesDB[#Headers],0),2))=1,_xlfn.SWITCH($N242,"Uurtarief",IF(OR(AND(RIGHT($F242,3)="IKS",VLOOKUP($M242,DB_Loonkosten,2,0)="Ja"),AND(RIGHT($F242,3)&lt;&gt;"IKS",VLOOKUP($M242,DB_Loonkosten,2,0)="Nee")),IFERROR(VLOOKUP($M242,DB_Loonkosten,24,0),""),0),"Vast tarief",IF(LEFT(F242,8)="Bijdrage",VLOOKUP($F242,Tb_KostenTypen[],MATCH(Lijsten!$P$1,Tb_KostenTypen[#Headers],0),0),VLOOKUP($G242,Lijsten!L:P,MATCH(Lijsten!$P$1,Kop_Tarief_Vast,0),0))),""),"")</f>
        <v/>
      </c>
      <c r="P242" s="320" t="str" cm="1">
        <f t="array" ref="P242">_xlfn.IFNA(IF(INDEX(Tb_KostenOptiesDB[],MATCH($F242,Tb_KostenOptiesDB[KostenOptie],0),IFERROR(MATCH(Methode_Keuze,Tb_KostenOptiesDB[#Headers],0),2))=1,_xlfn.SWITCH($N242,"Uurtarief",IF(OR(AND(RIGHT($F242,3)="IKS",VLOOKUP($M242,DB_Loonkosten,2,0)="Ja"),AND(RIGHT($F242,3)&lt;&gt;"IKS",VLOOKUP($M242,DB_Loonkosten,2,0)="Nee")),IFERROR(VLOOKUP($M242,DB_Loonkosten,25,0),""),0),"Vast tarief",IF(LEFT(F242,8)="Bijdrage",VLOOKUP($F242,Tb_KostenTypen[],MATCH(Lijsten!$P$1,Tb_KostenTypen[#Headers],0),0),VLOOKUP($G242,Lijsten!L:P,MATCH(Lijsten!$P$1,Kop_Tarief_Vast,0),0))),""),"")</f>
        <v/>
      </c>
      <c r="Q242" s="359"/>
      <c r="R242" s="359"/>
      <c r="S242" s="321"/>
      <c r="T242" s="321"/>
      <c r="U242" s="373" t="str">
        <f t="shared" si="12"/>
        <v/>
      </c>
      <c r="V242" s="314" t="str">
        <f t="shared" si="13"/>
        <v/>
      </c>
      <c r="W242" s="314" t="str" cm="1">
        <f t="array" aca="1" ref="W242" ca="1">IFERROR(IF(AE242&lt;&gt;"ja",_xlfn.IFNA(_xlfn.IFS(AND(O242&lt;&gt;"",F242&lt;&gt;"",RIGHT($N242,6)="tarief",F242="Vergoeding"),SUM(O242)*FLOOR(SUM(Q242),0.0001),AND(O242&lt;&gt;"",F242&lt;&gt;"",RIGHT($N242,6)="tarief"),SUM(O242)*FLOOR(SUM(Q242),0.01),S242&gt;0,IF(F242&lt;&gt;"",FLOOR(SUM(S242),0.01),"")),""),""),"")</f>
        <v/>
      </c>
      <c r="X242" s="314" t="str" cm="1">
        <f t="array" aca="1" ref="X242" ca="1">IFERROR(IF(AE242&lt;&gt;"ja",_xlfn.IFNA(_xlfn.IFS(AND(P242&lt;&gt;"",R242&lt;&gt;"",RIGHT($N242,6)="tarief",F242="Vergoeding"),SUM(P242)*FLOOR(SUM(R242),0.0001),AND(P242&lt;&gt;"",R242&lt;&gt;"",RIGHT($N242,6)="tarief"),P242*FLOOR(R242,0.01),T242&gt;0,FLOOR(SUM(T242),0.01)),""),""),"")</f>
        <v/>
      </c>
      <c r="Y242" s="314" t="str">
        <f t="shared" ca="1" si="14"/>
        <v/>
      </c>
      <c r="Z242" s="314" t="str" cm="1">
        <f t="array" aca="1" ref="Z242" ca="1">IFERROR(_xlfn.IFS(OR(F242="",LEFT(Methode_Keuze,4)="Geen",Methode_Keuze=""),"",AND(W242&lt;&gt;"",F242&lt;&gt;"Arbeidskosten"),W242*VLOOKUP(F242,Tb_ProjectKosten[],MATCH(Tb_ProjectKosten[[#Headers],[Forfait_Percentage]],Tb_ProjectKosten[#Headers],0),0),AND(F242="Arbeidskosten",G242&lt;&gt;""),IFERROR(W242*VLOOKUP(G242,Tb_KostenTypen[],3,0)*VLOOKUP(F242,Tb_ProjectKosten[],MATCH(Tb_ProjectKosten[[#Headers],[Forfait_Percentage]],Tb_ProjectKosten[#Headers],0),0),""),W242 &lt;=0,0),"")</f>
        <v/>
      </c>
      <c r="AA242" s="314" t="str" cm="1">
        <f t="array" aca="1" ref="AA242" ca="1">IFERROR(_xlfn.IFS(OR(F242="",LEFT(Methode_Keuze,4)="Geen",Methode_Keuze=""),"",AND(X242&lt;&gt;"",F242&lt;&gt;"Arbeidskosten"),X242*VLOOKUP(F242,Tb_ProjectKosten[],MATCH(Tb_ProjectKosten[[#Headers],[Forfait_Percentage]],Tb_ProjectKosten[#Headers],0),0),AND(F242="Arbeidskosten",G242&lt;&gt;""),IFERROR(X242*VLOOKUP(G242,Tb_KostenTypen[],3,0)*VLOOKUP(F242,Tb_ProjectKosten[],MATCH(Tb_ProjectKosten[[#Headers],[Forfait_Percentage]],Tb_ProjectKosten[#Headers],0),0),""),X242 &lt;=0,0),"")</f>
        <v/>
      </c>
      <c r="AB242" s="314" t="str">
        <f t="shared" ca="1" si="15"/>
        <v/>
      </c>
      <c r="AC242" s="322"/>
      <c r="AD242" s="315"/>
      <c r="AE242" s="32" t="str" cm="1">
        <f t="array" ref="AE242">IFERROR(IF(INDEX(SubsidieTabel!$AD$1:$AG$12,MATCH($F242,SubsidieTabel!$AD$1:$AD$12,0),IFERROR(MATCH(Methode_Keuze,SubsidieTabel!$AD$1:$AG$1,0),2))&lt;&gt;1=TRUE,"ja",""),"")</f>
        <v/>
      </c>
    </row>
    <row r="243" spans="1:31" x14ac:dyDescent="0.25">
      <c r="A243" s="316"/>
      <c r="B243" s="317" t="str">
        <f>IF(A243&lt;&gt;"",_xlfn.MAXIFS($B$1:B242,$A$1:A242,A243)+1,"")</f>
        <v/>
      </c>
      <c r="C243" s="296"/>
      <c r="D243" s="296"/>
      <c r="E243" s="296"/>
      <c r="F243" s="296"/>
      <c r="G243" s="326"/>
      <c r="H243" s="324"/>
      <c r="I243" s="325"/>
      <c r="J243" s="325"/>
      <c r="K243" s="318"/>
      <c r="L243" s="318"/>
      <c r="M243" s="319" t="str">
        <f>IFERROR(VLOOKUP(H243,Lijsten!$H$1:$I$100,2,0),"")</f>
        <v/>
      </c>
      <c r="N243" s="319" t="str">
        <f ca="1">IFERROR(IF(VLOOKUP(F243,Kostentypen!$A$3:$E$21,3,0)=0,"",IF(OR(F243="Arbeidskosten",F243="Vergoeding"),VLOOKUP(G243,Tb_KostenTypen[],2,0),VLOOKUP(F243,Kostentypen!$A$3:$E$20,3,0))),"")</f>
        <v/>
      </c>
      <c r="O243" s="320" t="str" cm="1">
        <f t="array" ref="O243">_xlfn.IFNA(IF(INDEX(Tb_KostenOptiesDB[],MATCH($F243,Tb_KostenOptiesDB[KostenOptie],0),IFERROR(MATCH(Methode_Keuze,Tb_KostenOptiesDB[#Headers],0),2))=1,_xlfn.SWITCH($N243,"Uurtarief",IF(OR(AND(RIGHT($F243,3)="IKS",VLOOKUP($M243,DB_Loonkosten,2,0)="Ja"),AND(RIGHT($F243,3)&lt;&gt;"IKS",VLOOKUP($M243,DB_Loonkosten,2,0)="Nee")),IFERROR(VLOOKUP($M243,DB_Loonkosten,24,0),""),0),"Vast tarief",IF(LEFT(F243,8)="Bijdrage",VLOOKUP($F243,Tb_KostenTypen[],MATCH(Lijsten!$P$1,Tb_KostenTypen[#Headers],0),0),VLOOKUP($G243,Lijsten!L:P,MATCH(Lijsten!$P$1,Kop_Tarief_Vast,0),0))),""),"")</f>
        <v/>
      </c>
      <c r="P243" s="320" t="str" cm="1">
        <f t="array" ref="P243">_xlfn.IFNA(IF(INDEX(Tb_KostenOptiesDB[],MATCH($F243,Tb_KostenOptiesDB[KostenOptie],0),IFERROR(MATCH(Methode_Keuze,Tb_KostenOptiesDB[#Headers],0),2))=1,_xlfn.SWITCH($N243,"Uurtarief",IF(OR(AND(RIGHT($F243,3)="IKS",VLOOKUP($M243,DB_Loonkosten,2,0)="Ja"),AND(RIGHT($F243,3)&lt;&gt;"IKS",VLOOKUP($M243,DB_Loonkosten,2,0)="Nee")),IFERROR(VLOOKUP($M243,DB_Loonkosten,25,0),""),0),"Vast tarief",IF(LEFT(F243,8)="Bijdrage",VLOOKUP($F243,Tb_KostenTypen[],MATCH(Lijsten!$P$1,Tb_KostenTypen[#Headers],0),0),VLOOKUP($G243,Lijsten!L:P,MATCH(Lijsten!$P$1,Kop_Tarief_Vast,0),0))),""),"")</f>
        <v/>
      </c>
      <c r="Q243" s="359"/>
      <c r="R243" s="359"/>
      <c r="S243" s="321"/>
      <c r="T243" s="321"/>
      <c r="U243" s="373" t="str">
        <f t="shared" si="12"/>
        <v/>
      </c>
      <c r="V243" s="314" t="str">
        <f t="shared" si="13"/>
        <v/>
      </c>
      <c r="W243" s="314" t="str" cm="1">
        <f t="array" aca="1" ref="W243" ca="1">IFERROR(IF(AE243&lt;&gt;"ja",_xlfn.IFNA(_xlfn.IFS(AND(O243&lt;&gt;"",F243&lt;&gt;"",RIGHT($N243,6)="tarief",F243="Vergoeding"),SUM(O243)*FLOOR(SUM(Q243),0.0001),AND(O243&lt;&gt;"",F243&lt;&gt;"",RIGHT($N243,6)="tarief"),SUM(O243)*FLOOR(SUM(Q243),0.01),S243&gt;0,IF(F243&lt;&gt;"",FLOOR(SUM(S243),0.01),"")),""),""),"")</f>
        <v/>
      </c>
      <c r="X243" s="314" t="str" cm="1">
        <f t="array" aca="1" ref="X243" ca="1">IFERROR(IF(AE243&lt;&gt;"ja",_xlfn.IFNA(_xlfn.IFS(AND(P243&lt;&gt;"",R243&lt;&gt;"",RIGHT($N243,6)="tarief",F243="Vergoeding"),SUM(P243)*FLOOR(SUM(R243),0.0001),AND(P243&lt;&gt;"",R243&lt;&gt;"",RIGHT($N243,6)="tarief"),P243*FLOOR(R243,0.01),T243&gt;0,FLOOR(SUM(T243),0.01)),""),""),"")</f>
        <v/>
      </c>
      <c r="Y243" s="314" t="str">
        <f t="shared" ca="1" si="14"/>
        <v/>
      </c>
      <c r="Z243" s="314" t="str" cm="1">
        <f t="array" aca="1" ref="Z243" ca="1">IFERROR(_xlfn.IFS(OR(F243="",LEFT(Methode_Keuze,4)="Geen",Methode_Keuze=""),"",AND(W243&lt;&gt;"",F243&lt;&gt;"Arbeidskosten"),W243*VLOOKUP(F243,Tb_ProjectKosten[],MATCH(Tb_ProjectKosten[[#Headers],[Forfait_Percentage]],Tb_ProjectKosten[#Headers],0),0),AND(F243="Arbeidskosten",G243&lt;&gt;""),IFERROR(W243*VLOOKUP(G243,Tb_KostenTypen[],3,0)*VLOOKUP(F243,Tb_ProjectKosten[],MATCH(Tb_ProjectKosten[[#Headers],[Forfait_Percentage]],Tb_ProjectKosten[#Headers],0),0),""),W243 &lt;=0,0),"")</f>
        <v/>
      </c>
      <c r="AA243" s="314" t="str" cm="1">
        <f t="array" aca="1" ref="AA243" ca="1">IFERROR(_xlfn.IFS(OR(F243="",LEFT(Methode_Keuze,4)="Geen",Methode_Keuze=""),"",AND(X243&lt;&gt;"",F243&lt;&gt;"Arbeidskosten"),X243*VLOOKUP(F243,Tb_ProjectKosten[],MATCH(Tb_ProjectKosten[[#Headers],[Forfait_Percentage]],Tb_ProjectKosten[#Headers],0),0),AND(F243="Arbeidskosten",G243&lt;&gt;""),IFERROR(X243*VLOOKUP(G243,Tb_KostenTypen[],3,0)*VLOOKUP(F243,Tb_ProjectKosten[],MATCH(Tb_ProjectKosten[[#Headers],[Forfait_Percentage]],Tb_ProjectKosten[#Headers],0),0),""),X243 &lt;=0,0),"")</f>
        <v/>
      </c>
      <c r="AB243" s="314" t="str">
        <f t="shared" ca="1" si="15"/>
        <v/>
      </c>
      <c r="AC243" s="322"/>
      <c r="AD243" s="315"/>
      <c r="AE243" s="32" t="str" cm="1">
        <f t="array" ref="AE243">IFERROR(IF(INDEX(SubsidieTabel!$AD$1:$AG$12,MATCH($F243,SubsidieTabel!$AD$1:$AD$12,0),IFERROR(MATCH(Methode_Keuze,SubsidieTabel!$AD$1:$AG$1,0),2))&lt;&gt;1=TRUE,"ja",""),"")</f>
        <v/>
      </c>
    </row>
    <row r="244" spans="1:31" x14ac:dyDescent="0.25">
      <c r="A244" s="316"/>
      <c r="B244" s="317" t="str">
        <f>IF(A244&lt;&gt;"",_xlfn.MAXIFS($B$1:B243,$A$1:A243,A244)+1,"")</f>
        <v/>
      </c>
      <c r="C244" s="296"/>
      <c r="D244" s="296"/>
      <c r="E244" s="296"/>
      <c r="F244" s="296"/>
      <c r="G244" s="326"/>
      <c r="H244" s="324"/>
      <c r="I244" s="325"/>
      <c r="J244" s="325"/>
      <c r="K244" s="318"/>
      <c r="L244" s="318"/>
      <c r="M244" s="319" t="str">
        <f>IFERROR(VLOOKUP(H244,Lijsten!$H$1:$I$100,2,0),"")</f>
        <v/>
      </c>
      <c r="N244" s="319" t="str">
        <f ca="1">IFERROR(IF(VLOOKUP(F244,Kostentypen!$A$3:$E$21,3,0)=0,"",IF(OR(F244="Arbeidskosten",F244="Vergoeding"),VLOOKUP(G244,Tb_KostenTypen[],2,0),VLOOKUP(F244,Kostentypen!$A$3:$E$20,3,0))),"")</f>
        <v/>
      </c>
      <c r="O244" s="320" t="str" cm="1">
        <f t="array" ref="O244">_xlfn.IFNA(IF(INDEX(Tb_KostenOptiesDB[],MATCH($F244,Tb_KostenOptiesDB[KostenOptie],0),IFERROR(MATCH(Methode_Keuze,Tb_KostenOptiesDB[#Headers],0),2))=1,_xlfn.SWITCH($N244,"Uurtarief",IF(OR(AND(RIGHT($F244,3)="IKS",VLOOKUP($M244,DB_Loonkosten,2,0)="Ja"),AND(RIGHT($F244,3)&lt;&gt;"IKS",VLOOKUP($M244,DB_Loonkosten,2,0)="Nee")),IFERROR(VLOOKUP($M244,DB_Loonkosten,24,0),""),0),"Vast tarief",IF(LEFT(F244,8)="Bijdrage",VLOOKUP($F244,Tb_KostenTypen[],MATCH(Lijsten!$P$1,Tb_KostenTypen[#Headers],0),0),VLOOKUP($G244,Lijsten!L:P,MATCH(Lijsten!$P$1,Kop_Tarief_Vast,0),0))),""),"")</f>
        <v/>
      </c>
      <c r="P244" s="320" t="str" cm="1">
        <f t="array" ref="P244">_xlfn.IFNA(IF(INDEX(Tb_KostenOptiesDB[],MATCH($F244,Tb_KostenOptiesDB[KostenOptie],0),IFERROR(MATCH(Methode_Keuze,Tb_KostenOptiesDB[#Headers],0),2))=1,_xlfn.SWITCH($N244,"Uurtarief",IF(OR(AND(RIGHT($F244,3)="IKS",VLOOKUP($M244,DB_Loonkosten,2,0)="Ja"),AND(RIGHT($F244,3)&lt;&gt;"IKS",VLOOKUP($M244,DB_Loonkosten,2,0)="Nee")),IFERROR(VLOOKUP($M244,DB_Loonkosten,25,0),""),0),"Vast tarief",IF(LEFT(F244,8)="Bijdrage",VLOOKUP($F244,Tb_KostenTypen[],MATCH(Lijsten!$P$1,Tb_KostenTypen[#Headers],0),0),VLOOKUP($G244,Lijsten!L:P,MATCH(Lijsten!$P$1,Kop_Tarief_Vast,0),0))),""),"")</f>
        <v/>
      </c>
      <c r="Q244" s="359"/>
      <c r="R244" s="359"/>
      <c r="S244" s="321"/>
      <c r="T244" s="321"/>
      <c r="U244" s="373" t="str">
        <f t="shared" si="12"/>
        <v/>
      </c>
      <c r="V244" s="314" t="str">
        <f t="shared" si="13"/>
        <v/>
      </c>
      <c r="W244" s="314" t="str" cm="1">
        <f t="array" aca="1" ref="W244" ca="1">IFERROR(IF(AE244&lt;&gt;"ja",_xlfn.IFNA(_xlfn.IFS(AND(O244&lt;&gt;"",F244&lt;&gt;"",RIGHT($N244,6)="tarief",F244="Vergoeding"),SUM(O244)*FLOOR(SUM(Q244),0.0001),AND(O244&lt;&gt;"",F244&lt;&gt;"",RIGHT($N244,6)="tarief"),SUM(O244)*FLOOR(SUM(Q244),0.01),S244&gt;0,IF(F244&lt;&gt;"",FLOOR(SUM(S244),0.01),"")),""),""),"")</f>
        <v/>
      </c>
      <c r="X244" s="314" t="str" cm="1">
        <f t="array" aca="1" ref="X244" ca="1">IFERROR(IF(AE244&lt;&gt;"ja",_xlfn.IFNA(_xlfn.IFS(AND(P244&lt;&gt;"",R244&lt;&gt;"",RIGHT($N244,6)="tarief",F244="Vergoeding"),SUM(P244)*FLOOR(SUM(R244),0.0001),AND(P244&lt;&gt;"",R244&lt;&gt;"",RIGHT($N244,6)="tarief"),P244*FLOOR(R244,0.01),T244&gt;0,FLOOR(SUM(T244),0.01)),""),""),"")</f>
        <v/>
      </c>
      <c r="Y244" s="314" t="str">
        <f t="shared" ca="1" si="14"/>
        <v/>
      </c>
      <c r="Z244" s="314" t="str" cm="1">
        <f t="array" aca="1" ref="Z244" ca="1">IFERROR(_xlfn.IFS(OR(F244="",LEFT(Methode_Keuze,4)="Geen",Methode_Keuze=""),"",AND(W244&lt;&gt;"",F244&lt;&gt;"Arbeidskosten"),W244*VLOOKUP(F244,Tb_ProjectKosten[],MATCH(Tb_ProjectKosten[[#Headers],[Forfait_Percentage]],Tb_ProjectKosten[#Headers],0),0),AND(F244="Arbeidskosten",G244&lt;&gt;""),IFERROR(W244*VLOOKUP(G244,Tb_KostenTypen[],3,0)*VLOOKUP(F244,Tb_ProjectKosten[],MATCH(Tb_ProjectKosten[[#Headers],[Forfait_Percentage]],Tb_ProjectKosten[#Headers],0),0),""),W244 &lt;=0,0),"")</f>
        <v/>
      </c>
      <c r="AA244" s="314" t="str" cm="1">
        <f t="array" aca="1" ref="AA244" ca="1">IFERROR(_xlfn.IFS(OR(F244="",LEFT(Methode_Keuze,4)="Geen",Methode_Keuze=""),"",AND(X244&lt;&gt;"",F244&lt;&gt;"Arbeidskosten"),X244*VLOOKUP(F244,Tb_ProjectKosten[],MATCH(Tb_ProjectKosten[[#Headers],[Forfait_Percentage]],Tb_ProjectKosten[#Headers],0),0),AND(F244="Arbeidskosten",G244&lt;&gt;""),IFERROR(X244*VLOOKUP(G244,Tb_KostenTypen[],3,0)*VLOOKUP(F244,Tb_ProjectKosten[],MATCH(Tb_ProjectKosten[[#Headers],[Forfait_Percentage]],Tb_ProjectKosten[#Headers],0),0),""),X244 &lt;=0,0),"")</f>
        <v/>
      </c>
      <c r="AB244" s="314" t="str">
        <f t="shared" ca="1" si="15"/>
        <v/>
      </c>
      <c r="AC244" s="322"/>
      <c r="AD244" s="315"/>
      <c r="AE244" s="32" t="str" cm="1">
        <f t="array" ref="AE244">IFERROR(IF(INDEX(SubsidieTabel!$AD$1:$AG$12,MATCH($F244,SubsidieTabel!$AD$1:$AD$12,0),IFERROR(MATCH(Methode_Keuze,SubsidieTabel!$AD$1:$AG$1,0),2))&lt;&gt;1=TRUE,"ja",""),"")</f>
        <v/>
      </c>
    </row>
    <row r="245" spans="1:31" x14ac:dyDescent="0.25">
      <c r="A245" s="316"/>
      <c r="B245" s="317" t="str">
        <f>IF(A245&lt;&gt;"",_xlfn.MAXIFS($B$1:B244,$A$1:A244,A245)+1,"")</f>
        <v/>
      </c>
      <c r="C245" s="296"/>
      <c r="D245" s="296"/>
      <c r="E245" s="296"/>
      <c r="F245" s="296"/>
      <c r="G245" s="326"/>
      <c r="H245" s="324"/>
      <c r="I245" s="325"/>
      <c r="J245" s="325"/>
      <c r="K245" s="318"/>
      <c r="L245" s="318"/>
      <c r="M245" s="319" t="str">
        <f>IFERROR(VLOOKUP(H245,Lijsten!$H$1:$I$100,2,0),"")</f>
        <v/>
      </c>
      <c r="N245" s="319" t="str">
        <f ca="1">IFERROR(IF(VLOOKUP(F245,Kostentypen!$A$3:$E$21,3,0)=0,"",IF(OR(F245="Arbeidskosten",F245="Vergoeding"),VLOOKUP(G245,Tb_KostenTypen[],2,0),VLOOKUP(F245,Kostentypen!$A$3:$E$20,3,0))),"")</f>
        <v/>
      </c>
      <c r="O245" s="320" t="str" cm="1">
        <f t="array" ref="O245">_xlfn.IFNA(IF(INDEX(Tb_KostenOptiesDB[],MATCH($F245,Tb_KostenOptiesDB[KostenOptie],0),IFERROR(MATCH(Methode_Keuze,Tb_KostenOptiesDB[#Headers],0),2))=1,_xlfn.SWITCH($N245,"Uurtarief",IF(OR(AND(RIGHT($F245,3)="IKS",VLOOKUP($M245,DB_Loonkosten,2,0)="Ja"),AND(RIGHT($F245,3)&lt;&gt;"IKS",VLOOKUP($M245,DB_Loonkosten,2,0)="Nee")),IFERROR(VLOOKUP($M245,DB_Loonkosten,24,0),""),0),"Vast tarief",IF(LEFT(F245,8)="Bijdrage",VLOOKUP($F245,Tb_KostenTypen[],MATCH(Lijsten!$P$1,Tb_KostenTypen[#Headers],0),0),VLOOKUP($G245,Lijsten!L:P,MATCH(Lijsten!$P$1,Kop_Tarief_Vast,0),0))),""),"")</f>
        <v/>
      </c>
      <c r="P245" s="320" t="str" cm="1">
        <f t="array" ref="P245">_xlfn.IFNA(IF(INDEX(Tb_KostenOptiesDB[],MATCH($F245,Tb_KostenOptiesDB[KostenOptie],0),IFERROR(MATCH(Methode_Keuze,Tb_KostenOptiesDB[#Headers],0),2))=1,_xlfn.SWITCH($N245,"Uurtarief",IF(OR(AND(RIGHT($F245,3)="IKS",VLOOKUP($M245,DB_Loonkosten,2,0)="Ja"),AND(RIGHT($F245,3)&lt;&gt;"IKS",VLOOKUP($M245,DB_Loonkosten,2,0)="Nee")),IFERROR(VLOOKUP($M245,DB_Loonkosten,25,0),""),0),"Vast tarief",IF(LEFT(F245,8)="Bijdrage",VLOOKUP($F245,Tb_KostenTypen[],MATCH(Lijsten!$P$1,Tb_KostenTypen[#Headers],0),0),VLOOKUP($G245,Lijsten!L:P,MATCH(Lijsten!$P$1,Kop_Tarief_Vast,0),0))),""),"")</f>
        <v/>
      </c>
      <c r="Q245" s="359"/>
      <c r="R245" s="359"/>
      <c r="S245" s="321"/>
      <c r="T245" s="321"/>
      <c r="U245" s="373" t="str">
        <f t="shared" si="12"/>
        <v/>
      </c>
      <c r="V245" s="314" t="str">
        <f t="shared" si="13"/>
        <v/>
      </c>
      <c r="W245" s="314" t="str" cm="1">
        <f t="array" aca="1" ref="W245" ca="1">IFERROR(IF(AE245&lt;&gt;"ja",_xlfn.IFNA(_xlfn.IFS(AND(O245&lt;&gt;"",F245&lt;&gt;"",RIGHT($N245,6)="tarief",F245="Vergoeding"),SUM(O245)*FLOOR(SUM(Q245),0.0001),AND(O245&lt;&gt;"",F245&lt;&gt;"",RIGHT($N245,6)="tarief"),SUM(O245)*FLOOR(SUM(Q245),0.01),S245&gt;0,IF(F245&lt;&gt;"",FLOOR(SUM(S245),0.01),"")),""),""),"")</f>
        <v/>
      </c>
      <c r="X245" s="314" t="str" cm="1">
        <f t="array" aca="1" ref="X245" ca="1">IFERROR(IF(AE245&lt;&gt;"ja",_xlfn.IFNA(_xlfn.IFS(AND(P245&lt;&gt;"",R245&lt;&gt;"",RIGHT($N245,6)="tarief",F245="Vergoeding"),SUM(P245)*FLOOR(SUM(R245),0.0001),AND(P245&lt;&gt;"",R245&lt;&gt;"",RIGHT($N245,6)="tarief"),P245*FLOOR(R245,0.01),T245&gt;0,FLOOR(SUM(T245),0.01)),""),""),"")</f>
        <v/>
      </c>
      <c r="Y245" s="314" t="str">
        <f t="shared" ca="1" si="14"/>
        <v/>
      </c>
      <c r="Z245" s="314" t="str" cm="1">
        <f t="array" aca="1" ref="Z245" ca="1">IFERROR(_xlfn.IFS(OR(F245="",LEFT(Methode_Keuze,4)="Geen",Methode_Keuze=""),"",AND(W245&lt;&gt;"",F245&lt;&gt;"Arbeidskosten"),W245*VLOOKUP(F245,Tb_ProjectKosten[],MATCH(Tb_ProjectKosten[[#Headers],[Forfait_Percentage]],Tb_ProjectKosten[#Headers],0),0),AND(F245="Arbeidskosten",G245&lt;&gt;""),IFERROR(W245*VLOOKUP(G245,Tb_KostenTypen[],3,0)*VLOOKUP(F245,Tb_ProjectKosten[],MATCH(Tb_ProjectKosten[[#Headers],[Forfait_Percentage]],Tb_ProjectKosten[#Headers],0),0),""),W245 &lt;=0,0),"")</f>
        <v/>
      </c>
      <c r="AA245" s="314" t="str" cm="1">
        <f t="array" aca="1" ref="AA245" ca="1">IFERROR(_xlfn.IFS(OR(F245="",LEFT(Methode_Keuze,4)="Geen",Methode_Keuze=""),"",AND(X245&lt;&gt;"",F245&lt;&gt;"Arbeidskosten"),X245*VLOOKUP(F245,Tb_ProjectKosten[],MATCH(Tb_ProjectKosten[[#Headers],[Forfait_Percentage]],Tb_ProjectKosten[#Headers],0),0),AND(F245="Arbeidskosten",G245&lt;&gt;""),IFERROR(X245*VLOOKUP(G245,Tb_KostenTypen[],3,0)*VLOOKUP(F245,Tb_ProjectKosten[],MATCH(Tb_ProjectKosten[[#Headers],[Forfait_Percentage]],Tb_ProjectKosten[#Headers],0),0),""),X245 &lt;=0,0),"")</f>
        <v/>
      </c>
      <c r="AB245" s="314" t="str">
        <f t="shared" ca="1" si="15"/>
        <v/>
      </c>
      <c r="AC245" s="322"/>
      <c r="AD245" s="315"/>
      <c r="AE245" s="32" t="str" cm="1">
        <f t="array" ref="AE245">IFERROR(IF(INDEX(SubsidieTabel!$AD$1:$AG$12,MATCH($F245,SubsidieTabel!$AD$1:$AD$12,0),IFERROR(MATCH(Methode_Keuze,SubsidieTabel!$AD$1:$AG$1,0),2))&lt;&gt;1=TRUE,"ja",""),"")</f>
        <v/>
      </c>
    </row>
    <row r="246" spans="1:31" x14ac:dyDescent="0.25">
      <c r="A246" s="316"/>
      <c r="B246" s="317" t="str">
        <f>IF(A246&lt;&gt;"",_xlfn.MAXIFS($B$1:B245,$A$1:A245,A246)+1,"")</f>
        <v/>
      </c>
      <c r="C246" s="296"/>
      <c r="D246" s="296"/>
      <c r="E246" s="296"/>
      <c r="F246" s="296"/>
      <c r="G246" s="326"/>
      <c r="H246" s="324"/>
      <c r="I246" s="325"/>
      <c r="J246" s="325"/>
      <c r="K246" s="318"/>
      <c r="L246" s="318"/>
      <c r="M246" s="319" t="str">
        <f>IFERROR(VLOOKUP(H246,Lijsten!$H$1:$I$100,2,0),"")</f>
        <v/>
      </c>
      <c r="N246" s="319" t="str">
        <f ca="1">IFERROR(IF(VLOOKUP(F246,Kostentypen!$A$3:$E$21,3,0)=0,"",IF(OR(F246="Arbeidskosten",F246="Vergoeding"),VLOOKUP(G246,Tb_KostenTypen[],2,0),VLOOKUP(F246,Kostentypen!$A$3:$E$20,3,0))),"")</f>
        <v/>
      </c>
      <c r="O246" s="320" t="str" cm="1">
        <f t="array" ref="O246">_xlfn.IFNA(IF(INDEX(Tb_KostenOptiesDB[],MATCH($F246,Tb_KostenOptiesDB[KostenOptie],0),IFERROR(MATCH(Methode_Keuze,Tb_KostenOptiesDB[#Headers],0),2))=1,_xlfn.SWITCH($N246,"Uurtarief",IF(OR(AND(RIGHT($F246,3)="IKS",VLOOKUP($M246,DB_Loonkosten,2,0)="Ja"),AND(RIGHT($F246,3)&lt;&gt;"IKS",VLOOKUP($M246,DB_Loonkosten,2,0)="Nee")),IFERROR(VLOOKUP($M246,DB_Loonkosten,24,0),""),0),"Vast tarief",IF(LEFT(F246,8)="Bijdrage",VLOOKUP($F246,Tb_KostenTypen[],MATCH(Lijsten!$P$1,Tb_KostenTypen[#Headers],0),0),VLOOKUP($G246,Lijsten!L:P,MATCH(Lijsten!$P$1,Kop_Tarief_Vast,0),0))),""),"")</f>
        <v/>
      </c>
      <c r="P246" s="320" t="str" cm="1">
        <f t="array" ref="P246">_xlfn.IFNA(IF(INDEX(Tb_KostenOptiesDB[],MATCH($F246,Tb_KostenOptiesDB[KostenOptie],0),IFERROR(MATCH(Methode_Keuze,Tb_KostenOptiesDB[#Headers],0),2))=1,_xlfn.SWITCH($N246,"Uurtarief",IF(OR(AND(RIGHT($F246,3)="IKS",VLOOKUP($M246,DB_Loonkosten,2,0)="Ja"),AND(RIGHT($F246,3)&lt;&gt;"IKS",VLOOKUP($M246,DB_Loonkosten,2,0)="Nee")),IFERROR(VLOOKUP($M246,DB_Loonkosten,25,0),""),0),"Vast tarief",IF(LEFT(F246,8)="Bijdrage",VLOOKUP($F246,Tb_KostenTypen[],MATCH(Lijsten!$P$1,Tb_KostenTypen[#Headers],0),0),VLOOKUP($G246,Lijsten!L:P,MATCH(Lijsten!$P$1,Kop_Tarief_Vast,0),0))),""),"")</f>
        <v/>
      </c>
      <c r="Q246" s="359"/>
      <c r="R246" s="359"/>
      <c r="S246" s="321"/>
      <c r="T246" s="321"/>
      <c r="U246" s="373" t="str">
        <f t="shared" si="12"/>
        <v/>
      </c>
      <c r="V246" s="314" t="str">
        <f t="shared" si="13"/>
        <v/>
      </c>
      <c r="W246" s="314" t="str" cm="1">
        <f t="array" aca="1" ref="W246" ca="1">IFERROR(IF(AE246&lt;&gt;"ja",_xlfn.IFNA(_xlfn.IFS(AND(O246&lt;&gt;"",F246&lt;&gt;"",RIGHT($N246,6)="tarief",F246="Vergoeding"),SUM(O246)*FLOOR(SUM(Q246),0.0001),AND(O246&lt;&gt;"",F246&lt;&gt;"",RIGHT($N246,6)="tarief"),SUM(O246)*FLOOR(SUM(Q246),0.01),S246&gt;0,IF(F246&lt;&gt;"",FLOOR(SUM(S246),0.01),"")),""),""),"")</f>
        <v/>
      </c>
      <c r="X246" s="314" t="str" cm="1">
        <f t="array" aca="1" ref="X246" ca="1">IFERROR(IF(AE246&lt;&gt;"ja",_xlfn.IFNA(_xlfn.IFS(AND(P246&lt;&gt;"",R246&lt;&gt;"",RIGHT($N246,6)="tarief",F246="Vergoeding"),SUM(P246)*FLOOR(SUM(R246),0.0001),AND(P246&lt;&gt;"",R246&lt;&gt;"",RIGHT($N246,6)="tarief"),P246*FLOOR(R246,0.01),T246&gt;0,FLOOR(SUM(T246),0.01)),""),""),"")</f>
        <v/>
      </c>
      <c r="Y246" s="314" t="str">
        <f t="shared" ca="1" si="14"/>
        <v/>
      </c>
      <c r="Z246" s="314" t="str" cm="1">
        <f t="array" aca="1" ref="Z246" ca="1">IFERROR(_xlfn.IFS(OR(F246="",LEFT(Methode_Keuze,4)="Geen",Methode_Keuze=""),"",AND(W246&lt;&gt;"",F246&lt;&gt;"Arbeidskosten"),W246*VLOOKUP(F246,Tb_ProjectKosten[],MATCH(Tb_ProjectKosten[[#Headers],[Forfait_Percentage]],Tb_ProjectKosten[#Headers],0),0),AND(F246="Arbeidskosten",G246&lt;&gt;""),IFERROR(W246*VLOOKUP(G246,Tb_KostenTypen[],3,0)*VLOOKUP(F246,Tb_ProjectKosten[],MATCH(Tb_ProjectKosten[[#Headers],[Forfait_Percentage]],Tb_ProjectKosten[#Headers],0),0),""),W246 &lt;=0,0),"")</f>
        <v/>
      </c>
      <c r="AA246" s="314" t="str" cm="1">
        <f t="array" aca="1" ref="AA246" ca="1">IFERROR(_xlfn.IFS(OR(F246="",LEFT(Methode_Keuze,4)="Geen",Methode_Keuze=""),"",AND(X246&lt;&gt;"",F246&lt;&gt;"Arbeidskosten"),X246*VLOOKUP(F246,Tb_ProjectKosten[],MATCH(Tb_ProjectKosten[[#Headers],[Forfait_Percentage]],Tb_ProjectKosten[#Headers],0),0),AND(F246="Arbeidskosten",G246&lt;&gt;""),IFERROR(X246*VLOOKUP(G246,Tb_KostenTypen[],3,0)*VLOOKUP(F246,Tb_ProjectKosten[],MATCH(Tb_ProjectKosten[[#Headers],[Forfait_Percentage]],Tb_ProjectKosten[#Headers],0),0),""),X246 &lt;=0,0),"")</f>
        <v/>
      </c>
      <c r="AB246" s="314" t="str">
        <f t="shared" ca="1" si="15"/>
        <v/>
      </c>
      <c r="AC246" s="322"/>
      <c r="AD246" s="315"/>
      <c r="AE246" s="32" t="str" cm="1">
        <f t="array" ref="AE246">IFERROR(IF(INDEX(SubsidieTabel!$AD$1:$AG$12,MATCH($F246,SubsidieTabel!$AD$1:$AD$12,0),IFERROR(MATCH(Methode_Keuze,SubsidieTabel!$AD$1:$AG$1,0),2))&lt;&gt;1=TRUE,"ja",""),"")</f>
        <v/>
      </c>
    </row>
    <row r="247" spans="1:31" x14ac:dyDescent="0.25">
      <c r="A247" s="316"/>
      <c r="B247" s="317" t="str">
        <f>IF(A247&lt;&gt;"",_xlfn.MAXIFS($B$1:B246,$A$1:A246,A247)+1,"")</f>
        <v/>
      </c>
      <c r="C247" s="296"/>
      <c r="D247" s="296"/>
      <c r="E247" s="296"/>
      <c r="F247" s="296"/>
      <c r="G247" s="326"/>
      <c r="H247" s="324"/>
      <c r="I247" s="325"/>
      <c r="J247" s="325"/>
      <c r="K247" s="318"/>
      <c r="L247" s="318"/>
      <c r="M247" s="319" t="str">
        <f>IFERROR(VLOOKUP(H247,Lijsten!$H$1:$I$100,2,0),"")</f>
        <v/>
      </c>
      <c r="N247" s="319" t="str">
        <f ca="1">IFERROR(IF(VLOOKUP(F247,Kostentypen!$A$3:$E$21,3,0)=0,"",IF(OR(F247="Arbeidskosten",F247="Vergoeding"),VLOOKUP(G247,Tb_KostenTypen[],2,0),VLOOKUP(F247,Kostentypen!$A$3:$E$20,3,0))),"")</f>
        <v/>
      </c>
      <c r="O247" s="320" t="str" cm="1">
        <f t="array" ref="O247">_xlfn.IFNA(IF(INDEX(Tb_KostenOptiesDB[],MATCH($F247,Tb_KostenOptiesDB[KostenOptie],0),IFERROR(MATCH(Methode_Keuze,Tb_KostenOptiesDB[#Headers],0),2))=1,_xlfn.SWITCH($N247,"Uurtarief",IF(OR(AND(RIGHT($F247,3)="IKS",VLOOKUP($M247,DB_Loonkosten,2,0)="Ja"),AND(RIGHT($F247,3)&lt;&gt;"IKS",VLOOKUP($M247,DB_Loonkosten,2,0)="Nee")),IFERROR(VLOOKUP($M247,DB_Loonkosten,24,0),""),0),"Vast tarief",IF(LEFT(F247,8)="Bijdrage",VLOOKUP($F247,Tb_KostenTypen[],MATCH(Lijsten!$P$1,Tb_KostenTypen[#Headers],0),0),VLOOKUP($G247,Lijsten!L:P,MATCH(Lijsten!$P$1,Kop_Tarief_Vast,0),0))),""),"")</f>
        <v/>
      </c>
      <c r="P247" s="320" t="str" cm="1">
        <f t="array" ref="P247">_xlfn.IFNA(IF(INDEX(Tb_KostenOptiesDB[],MATCH($F247,Tb_KostenOptiesDB[KostenOptie],0),IFERROR(MATCH(Methode_Keuze,Tb_KostenOptiesDB[#Headers],0),2))=1,_xlfn.SWITCH($N247,"Uurtarief",IF(OR(AND(RIGHT($F247,3)="IKS",VLOOKUP($M247,DB_Loonkosten,2,0)="Ja"),AND(RIGHT($F247,3)&lt;&gt;"IKS",VLOOKUP($M247,DB_Loonkosten,2,0)="Nee")),IFERROR(VLOOKUP($M247,DB_Loonkosten,25,0),""),0),"Vast tarief",IF(LEFT(F247,8)="Bijdrage",VLOOKUP($F247,Tb_KostenTypen[],MATCH(Lijsten!$P$1,Tb_KostenTypen[#Headers],0),0),VLOOKUP($G247,Lijsten!L:P,MATCH(Lijsten!$P$1,Kop_Tarief_Vast,0),0))),""),"")</f>
        <v/>
      </c>
      <c r="Q247" s="359"/>
      <c r="R247" s="359"/>
      <c r="S247" s="321"/>
      <c r="T247" s="321"/>
      <c r="U247" s="373" t="str">
        <f t="shared" si="12"/>
        <v/>
      </c>
      <c r="V247" s="314" t="str">
        <f t="shared" si="13"/>
        <v/>
      </c>
      <c r="W247" s="314" t="str" cm="1">
        <f t="array" aca="1" ref="W247" ca="1">IFERROR(IF(AE247&lt;&gt;"ja",_xlfn.IFNA(_xlfn.IFS(AND(O247&lt;&gt;"",F247&lt;&gt;"",RIGHT($N247,6)="tarief",F247="Vergoeding"),SUM(O247)*FLOOR(SUM(Q247),0.0001),AND(O247&lt;&gt;"",F247&lt;&gt;"",RIGHT($N247,6)="tarief"),SUM(O247)*FLOOR(SUM(Q247),0.01),S247&gt;0,IF(F247&lt;&gt;"",FLOOR(SUM(S247),0.01),"")),""),""),"")</f>
        <v/>
      </c>
      <c r="X247" s="314" t="str" cm="1">
        <f t="array" aca="1" ref="X247" ca="1">IFERROR(IF(AE247&lt;&gt;"ja",_xlfn.IFNA(_xlfn.IFS(AND(P247&lt;&gt;"",R247&lt;&gt;"",RIGHT($N247,6)="tarief",F247="Vergoeding"),SUM(P247)*FLOOR(SUM(R247),0.0001),AND(P247&lt;&gt;"",R247&lt;&gt;"",RIGHT($N247,6)="tarief"),P247*FLOOR(R247,0.01),T247&gt;0,FLOOR(SUM(T247),0.01)),""),""),"")</f>
        <v/>
      </c>
      <c r="Y247" s="314" t="str">
        <f t="shared" ca="1" si="14"/>
        <v/>
      </c>
      <c r="Z247" s="314" t="str" cm="1">
        <f t="array" aca="1" ref="Z247" ca="1">IFERROR(_xlfn.IFS(OR(F247="",LEFT(Methode_Keuze,4)="Geen",Methode_Keuze=""),"",AND(W247&lt;&gt;"",F247&lt;&gt;"Arbeidskosten"),W247*VLOOKUP(F247,Tb_ProjectKosten[],MATCH(Tb_ProjectKosten[[#Headers],[Forfait_Percentage]],Tb_ProjectKosten[#Headers],0),0),AND(F247="Arbeidskosten",G247&lt;&gt;""),IFERROR(W247*VLOOKUP(G247,Tb_KostenTypen[],3,0)*VLOOKUP(F247,Tb_ProjectKosten[],MATCH(Tb_ProjectKosten[[#Headers],[Forfait_Percentage]],Tb_ProjectKosten[#Headers],0),0),""),W247 &lt;=0,0),"")</f>
        <v/>
      </c>
      <c r="AA247" s="314" t="str" cm="1">
        <f t="array" aca="1" ref="AA247" ca="1">IFERROR(_xlfn.IFS(OR(F247="",LEFT(Methode_Keuze,4)="Geen",Methode_Keuze=""),"",AND(X247&lt;&gt;"",F247&lt;&gt;"Arbeidskosten"),X247*VLOOKUP(F247,Tb_ProjectKosten[],MATCH(Tb_ProjectKosten[[#Headers],[Forfait_Percentage]],Tb_ProjectKosten[#Headers],0),0),AND(F247="Arbeidskosten",G247&lt;&gt;""),IFERROR(X247*VLOOKUP(G247,Tb_KostenTypen[],3,0)*VLOOKUP(F247,Tb_ProjectKosten[],MATCH(Tb_ProjectKosten[[#Headers],[Forfait_Percentage]],Tb_ProjectKosten[#Headers],0),0),""),X247 &lt;=0,0),"")</f>
        <v/>
      </c>
      <c r="AB247" s="314" t="str">
        <f t="shared" ca="1" si="15"/>
        <v/>
      </c>
      <c r="AC247" s="322"/>
      <c r="AD247" s="315"/>
      <c r="AE247" s="32" t="str" cm="1">
        <f t="array" ref="AE247">IFERROR(IF(INDEX(SubsidieTabel!$AD$1:$AG$12,MATCH($F247,SubsidieTabel!$AD$1:$AD$12,0),IFERROR(MATCH(Methode_Keuze,SubsidieTabel!$AD$1:$AG$1,0),2))&lt;&gt;1=TRUE,"ja",""),"")</f>
        <v/>
      </c>
    </row>
    <row r="248" spans="1:31" x14ac:dyDescent="0.25">
      <c r="A248" s="316"/>
      <c r="B248" s="317" t="str">
        <f>IF(A248&lt;&gt;"",_xlfn.MAXIFS($B$1:B247,$A$1:A247,A248)+1,"")</f>
        <v/>
      </c>
      <c r="C248" s="296"/>
      <c r="D248" s="296"/>
      <c r="E248" s="296"/>
      <c r="F248" s="296"/>
      <c r="G248" s="326"/>
      <c r="H248" s="324"/>
      <c r="I248" s="325"/>
      <c r="J248" s="325"/>
      <c r="K248" s="318"/>
      <c r="L248" s="318"/>
      <c r="M248" s="319" t="str">
        <f>IFERROR(VLOOKUP(H248,Lijsten!$H$1:$I$100,2,0),"")</f>
        <v/>
      </c>
      <c r="N248" s="319" t="str">
        <f ca="1">IFERROR(IF(VLOOKUP(F248,Kostentypen!$A$3:$E$21,3,0)=0,"",IF(OR(F248="Arbeidskosten",F248="Vergoeding"),VLOOKUP(G248,Tb_KostenTypen[],2,0),VLOOKUP(F248,Kostentypen!$A$3:$E$20,3,0))),"")</f>
        <v/>
      </c>
      <c r="O248" s="320" t="str" cm="1">
        <f t="array" ref="O248">_xlfn.IFNA(IF(INDEX(Tb_KostenOptiesDB[],MATCH($F248,Tb_KostenOptiesDB[KostenOptie],0),IFERROR(MATCH(Methode_Keuze,Tb_KostenOptiesDB[#Headers],0),2))=1,_xlfn.SWITCH($N248,"Uurtarief",IF(OR(AND(RIGHT($F248,3)="IKS",VLOOKUP($M248,DB_Loonkosten,2,0)="Ja"),AND(RIGHT($F248,3)&lt;&gt;"IKS",VLOOKUP($M248,DB_Loonkosten,2,0)="Nee")),IFERROR(VLOOKUP($M248,DB_Loonkosten,24,0),""),0),"Vast tarief",IF(LEFT(F248,8)="Bijdrage",VLOOKUP($F248,Tb_KostenTypen[],MATCH(Lijsten!$P$1,Tb_KostenTypen[#Headers],0),0),VLOOKUP($G248,Lijsten!L:P,MATCH(Lijsten!$P$1,Kop_Tarief_Vast,0),0))),""),"")</f>
        <v/>
      </c>
      <c r="P248" s="320" t="str" cm="1">
        <f t="array" ref="P248">_xlfn.IFNA(IF(INDEX(Tb_KostenOptiesDB[],MATCH($F248,Tb_KostenOptiesDB[KostenOptie],0),IFERROR(MATCH(Methode_Keuze,Tb_KostenOptiesDB[#Headers],0),2))=1,_xlfn.SWITCH($N248,"Uurtarief",IF(OR(AND(RIGHT($F248,3)="IKS",VLOOKUP($M248,DB_Loonkosten,2,0)="Ja"),AND(RIGHT($F248,3)&lt;&gt;"IKS",VLOOKUP($M248,DB_Loonkosten,2,0)="Nee")),IFERROR(VLOOKUP($M248,DB_Loonkosten,25,0),""),0),"Vast tarief",IF(LEFT(F248,8)="Bijdrage",VLOOKUP($F248,Tb_KostenTypen[],MATCH(Lijsten!$P$1,Tb_KostenTypen[#Headers],0),0),VLOOKUP($G248,Lijsten!L:P,MATCH(Lijsten!$P$1,Kop_Tarief_Vast,0),0))),""),"")</f>
        <v/>
      </c>
      <c r="Q248" s="359"/>
      <c r="R248" s="359"/>
      <c r="S248" s="321"/>
      <c r="T248" s="321"/>
      <c r="U248" s="373" t="str">
        <f t="shared" si="12"/>
        <v/>
      </c>
      <c r="V248" s="314" t="str">
        <f t="shared" si="13"/>
        <v/>
      </c>
      <c r="W248" s="314" t="str" cm="1">
        <f t="array" aca="1" ref="W248" ca="1">IFERROR(IF(AE248&lt;&gt;"ja",_xlfn.IFNA(_xlfn.IFS(AND(O248&lt;&gt;"",F248&lt;&gt;"",RIGHT($N248,6)="tarief",F248="Vergoeding"),SUM(O248)*FLOOR(SUM(Q248),0.0001),AND(O248&lt;&gt;"",F248&lt;&gt;"",RIGHT($N248,6)="tarief"),SUM(O248)*FLOOR(SUM(Q248),0.01),S248&gt;0,IF(F248&lt;&gt;"",FLOOR(SUM(S248),0.01),"")),""),""),"")</f>
        <v/>
      </c>
      <c r="X248" s="314" t="str" cm="1">
        <f t="array" aca="1" ref="X248" ca="1">IFERROR(IF(AE248&lt;&gt;"ja",_xlfn.IFNA(_xlfn.IFS(AND(P248&lt;&gt;"",R248&lt;&gt;"",RIGHT($N248,6)="tarief",F248="Vergoeding"),SUM(P248)*FLOOR(SUM(R248),0.0001),AND(P248&lt;&gt;"",R248&lt;&gt;"",RIGHT($N248,6)="tarief"),P248*FLOOR(R248,0.01),T248&gt;0,FLOOR(SUM(T248),0.01)),""),""),"")</f>
        <v/>
      </c>
      <c r="Y248" s="314" t="str">
        <f t="shared" ca="1" si="14"/>
        <v/>
      </c>
      <c r="Z248" s="314" t="str" cm="1">
        <f t="array" aca="1" ref="Z248" ca="1">IFERROR(_xlfn.IFS(OR(F248="",LEFT(Methode_Keuze,4)="Geen",Methode_Keuze=""),"",AND(W248&lt;&gt;"",F248&lt;&gt;"Arbeidskosten"),W248*VLOOKUP(F248,Tb_ProjectKosten[],MATCH(Tb_ProjectKosten[[#Headers],[Forfait_Percentage]],Tb_ProjectKosten[#Headers],0),0),AND(F248="Arbeidskosten",G248&lt;&gt;""),IFERROR(W248*VLOOKUP(G248,Tb_KostenTypen[],3,0)*VLOOKUP(F248,Tb_ProjectKosten[],MATCH(Tb_ProjectKosten[[#Headers],[Forfait_Percentage]],Tb_ProjectKosten[#Headers],0),0),""),W248 &lt;=0,0),"")</f>
        <v/>
      </c>
      <c r="AA248" s="314" t="str" cm="1">
        <f t="array" aca="1" ref="AA248" ca="1">IFERROR(_xlfn.IFS(OR(F248="",LEFT(Methode_Keuze,4)="Geen",Methode_Keuze=""),"",AND(X248&lt;&gt;"",F248&lt;&gt;"Arbeidskosten"),X248*VLOOKUP(F248,Tb_ProjectKosten[],MATCH(Tb_ProjectKosten[[#Headers],[Forfait_Percentage]],Tb_ProjectKosten[#Headers],0),0),AND(F248="Arbeidskosten",G248&lt;&gt;""),IFERROR(X248*VLOOKUP(G248,Tb_KostenTypen[],3,0)*VLOOKUP(F248,Tb_ProjectKosten[],MATCH(Tb_ProjectKosten[[#Headers],[Forfait_Percentage]],Tb_ProjectKosten[#Headers],0),0),""),X248 &lt;=0,0),"")</f>
        <v/>
      </c>
      <c r="AB248" s="314" t="str">
        <f t="shared" ca="1" si="15"/>
        <v/>
      </c>
      <c r="AC248" s="322"/>
      <c r="AD248" s="315"/>
      <c r="AE248" s="32" t="str" cm="1">
        <f t="array" ref="AE248">IFERROR(IF(INDEX(SubsidieTabel!$AD$1:$AG$12,MATCH($F248,SubsidieTabel!$AD$1:$AD$12,0),IFERROR(MATCH(Methode_Keuze,SubsidieTabel!$AD$1:$AG$1,0),2))&lt;&gt;1=TRUE,"ja",""),"")</f>
        <v/>
      </c>
    </row>
    <row r="249" spans="1:31" x14ac:dyDescent="0.25">
      <c r="A249" s="316"/>
      <c r="B249" s="317" t="str">
        <f>IF(A249&lt;&gt;"",_xlfn.MAXIFS($B$1:B248,$A$1:A248,A249)+1,"")</f>
        <v/>
      </c>
      <c r="C249" s="296"/>
      <c r="D249" s="296"/>
      <c r="E249" s="296"/>
      <c r="F249" s="296"/>
      <c r="G249" s="326"/>
      <c r="H249" s="324"/>
      <c r="I249" s="325"/>
      <c r="J249" s="325"/>
      <c r="K249" s="318"/>
      <c r="L249" s="318"/>
      <c r="M249" s="319" t="str">
        <f>IFERROR(VLOOKUP(H249,Lijsten!$H$1:$I$100,2,0),"")</f>
        <v/>
      </c>
      <c r="N249" s="319" t="str">
        <f ca="1">IFERROR(IF(VLOOKUP(F249,Kostentypen!$A$3:$E$21,3,0)=0,"",IF(OR(F249="Arbeidskosten",F249="Vergoeding"),VLOOKUP(G249,Tb_KostenTypen[],2,0),VLOOKUP(F249,Kostentypen!$A$3:$E$20,3,0))),"")</f>
        <v/>
      </c>
      <c r="O249" s="320" t="str" cm="1">
        <f t="array" ref="O249">_xlfn.IFNA(IF(INDEX(Tb_KostenOptiesDB[],MATCH($F249,Tb_KostenOptiesDB[KostenOptie],0),IFERROR(MATCH(Methode_Keuze,Tb_KostenOptiesDB[#Headers],0),2))=1,_xlfn.SWITCH($N249,"Uurtarief",IF(OR(AND(RIGHT($F249,3)="IKS",VLOOKUP($M249,DB_Loonkosten,2,0)="Ja"),AND(RIGHT($F249,3)&lt;&gt;"IKS",VLOOKUP($M249,DB_Loonkosten,2,0)="Nee")),IFERROR(VLOOKUP($M249,DB_Loonkosten,24,0),""),0),"Vast tarief",IF(LEFT(F249,8)="Bijdrage",VLOOKUP($F249,Tb_KostenTypen[],MATCH(Lijsten!$P$1,Tb_KostenTypen[#Headers],0),0),VLOOKUP($G249,Lijsten!L:P,MATCH(Lijsten!$P$1,Kop_Tarief_Vast,0),0))),""),"")</f>
        <v/>
      </c>
      <c r="P249" s="320" t="str" cm="1">
        <f t="array" ref="P249">_xlfn.IFNA(IF(INDEX(Tb_KostenOptiesDB[],MATCH($F249,Tb_KostenOptiesDB[KostenOptie],0),IFERROR(MATCH(Methode_Keuze,Tb_KostenOptiesDB[#Headers],0),2))=1,_xlfn.SWITCH($N249,"Uurtarief",IF(OR(AND(RIGHT($F249,3)="IKS",VLOOKUP($M249,DB_Loonkosten,2,0)="Ja"),AND(RIGHT($F249,3)&lt;&gt;"IKS",VLOOKUP($M249,DB_Loonkosten,2,0)="Nee")),IFERROR(VLOOKUP($M249,DB_Loonkosten,25,0),""),0),"Vast tarief",IF(LEFT(F249,8)="Bijdrage",VLOOKUP($F249,Tb_KostenTypen[],MATCH(Lijsten!$P$1,Tb_KostenTypen[#Headers],0),0),VLOOKUP($G249,Lijsten!L:P,MATCH(Lijsten!$P$1,Kop_Tarief_Vast,0),0))),""),"")</f>
        <v/>
      </c>
      <c r="Q249" s="359"/>
      <c r="R249" s="359"/>
      <c r="S249" s="321"/>
      <c r="T249" s="321"/>
      <c r="U249" s="373" t="str">
        <f t="shared" si="12"/>
        <v/>
      </c>
      <c r="V249" s="314" t="str">
        <f t="shared" si="13"/>
        <v/>
      </c>
      <c r="W249" s="314" t="str" cm="1">
        <f t="array" aca="1" ref="W249" ca="1">IFERROR(IF(AE249&lt;&gt;"ja",_xlfn.IFNA(_xlfn.IFS(AND(O249&lt;&gt;"",F249&lt;&gt;"",RIGHT($N249,6)="tarief",F249="Vergoeding"),SUM(O249)*FLOOR(SUM(Q249),0.0001),AND(O249&lt;&gt;"",F249&lt;&gt;"",RIGHT($N249,6)="tarief"),SUM(O249)*FLOOR(SUM(Q249),0.01),S249&gt;0,IF(F249&lt;&gt;"",FLOOR(SUM(S249),0.01),"")),""),""),"")</f>
        <v/>
      </c>
      <c r="X249" s="314" t="str" cm="1">
        <f t="array" aca="1" ref="X249" ca="1">IFERROR(IF(AE249&lt;&gt;"ja",_xlfn.IFNA(_xlfn.IFS(AND(P249&lt;&gt;"",R249&lt;&gt;"",RIGHT($N249,6)="tarief",F249="Vergoeding"),SUM(P249)*FLOOR(SUM(R249),0.0001),AND(P249&lt;&gt;"",R249&lt;&gt;"",RIGHT($N249,6)="tarief"),P249*FLOOR(R249,0.01),T249&gt;0,FLOOR(SUM(T249),0.01)),""),""),"")</f>
        <v/>
      </c>
      <c r="Y249" s="314" t="str">
        <f t="shared" ca="1" si="14"/>
        <v/>
      </c>
      <c r="Z249" s="314" t="str" cm="1">
        <f t="array" aca="1" ref="Z249" ca="1">IFERROR(_xlfn.IFS(OR(F249="",LEFT(Methode_Keuze,4)="Geen",Methode_Keuze=""),"",AND(W249&lt;&gt;"",F249&lt;&gt;"Arbeidskosten"),W249*VLOOKUP(F249,Tb_ProjectKosten[],MATCH(Tb_ProjectKosten[[#Headers],[Forfait_Percentage]],Tb_ProjectKosten[#Headers],0),0),AND(F249="Arbeidskosten",G249&lt;&gt;""),IFERROR(W249*VLOOKUP(G249,Tb_KostenTypen[],3,0)*VLOOKUP(F249,Tb_ProjectKosten[],MATCH(Tb_ProjectKosten[[#Headers],[Forfait_Percentage]],Tb_ProjectKosten[#Headers],0),0),""),W249 &lt;=0,0),"")</f>
        <v/>
      </c>
      <c r="AA249" s="314" t="str" cm="1">
        <f t="array" aca="1" ref="AA249" ca="1">IFERROR(_xlfn.IFS(OR(F249="",LEFT(Methode_Keuze,4)="Geen",Methode_Keuze=""),"",AND(X249&lt;&gt;"",F249&lt;&gt;"Arbeidskosten"),X249*VLOOKUP(F249,Tb_ProjectKosten[],MATCH(Tb_ProjectKosten[[#Headers],[Forfait_Percentage]],Tb_ProjectKosten[#Headers],0),0),AND(F249="Arbeidskosten",G249&lt;&gt;""),IFERROR(X249*VLOOKUP(G249,Tb_KostenTypen[],3,0)*VLOOKUP(F249,Tb_ProjectKosten[],MATCH(Tb_ProjectKosten[[#Headers],[Forfait_Percentage]],Tb_ProjectKosten[#Headers],0),0),""),X249 &lt;=0,0),"")</f>
        <v/>
      </c>
      <c r="AB249" s="314" t="str">
        <f t="shared" ca="1" si="15"/>
        <v/>
      </c>
      <c r="AC249" s="322"/>
      <c r="AD249" s="315"/>
      <c r="AE249" s="32" t="str" cm="1">
        <f t="array" ref="AE249">IFERROR(IF(INDEX(SubsidieTabel!$AD$1:$AG$12,MATCH($F249,SubsidieTabel!$AD$1:$AD$12,0),IFERROR(MATCH(Methode_Keuze,SubsidieTabel!$AD$1:$AG$1,0),2))&lt;&gt;1=TRUE,"ja",""),"")</f>
        <v/>
      </c>
    </row>
    <row r="250" spans="1:31" x14ac:dyDescent="0.25">
      <c r="A250" s="316"/>
      <c r="B250" s="317" t="str">
        <f>IF(A250&lt;&gt;"",_xlfn.MAXIFS($B$1:B249,$A$1:A249,A250)+1,"")</f>
        <v/>
      </c>
      <c r="C250" s="296"/>
      <c r="D250" s="296"/>
      <c r="E250" s="296"/>
      <c r="F250" s="296"/>
      <c r="G250" s="326"/>
      <c r="H250" s="324"/>
      <c r="I250" s="325"/>
      <c r="J250" s="325"/>
      <c r="K250" s="318"/>
      <c r="L250" s="318"/>
      <c r="M250" s="319" t="str">
        <f>IFERROR(VLOOKUP(H250,Lijsten!$H$1:$I$100,2,0),"")</f>
        <v/>
      </c>
      <c r="N250" s="319" t="str">
        <f ca="1">IFERROR(IF(VLOOKUP(F250,Kostentypen!$A$3:$E$21,3,0)=0,"",IF(OR(F250="Arbeidskosten",F250="Vergoeding"),VLOOKUP(G250,Tb_KostenTypen[],2,0),VLOOKUP(F250,Kostentypen!$A$3:$E$20,3,0))),"")</f>
        <v/>
      </c>
      <c r="O250" s="320" t="str" cm="1">
        <f t="array" ref="O250">_xlfn.IFNA(IF(INDEX(Tb_KostenOptiesDB[],MATCH($F250,Tb_KostenOptiesDB[KostenOptie],0),IFERROR(MATCH(Methode_Keuze,Tb_KostenOptiesDB[#Headers],0),2))=1,_xlfn.SWITCH($N250,"Uurtarief",IF(OR(AND(RIGHT($F250,3)="IKS",VLOOKUP($M250,DB_Loonkosten,2,0)="Ja"),AND(RIGHT($F250,3)&lt;&gt;"IKS",VLOOKUP($M250,DB_Loonkosten,2,0)="Nee")),IFERROR(VLOOKUP($M250,DB_Loonkosten,24,0),""),0),"Vast tarief",IF(LEFT(F250,8)="Bijdrage",VLOOKUP($F250,Tb_KostenTypen[],MATCH(Lijsten!$P$1,Tb_KostenTypen[#Headers],0),0),VLOOKUP($G250,Lijsten!L:P,MATCH(Lijsten!$P$1,Kop_Tarief_Vast,0),0))),""),"")</f>
        <v/>
      </c>
      <c r="P250" s="320" t="str" cm="1">
        <f t="array" ref="P250">_xlfn.IFNA(IF(INDEX(Tb_KostenOptiesDB[],MATCH($F250,Tb_KostenOptiesDB[KostenOptie],0),IFERROR(MATCH(Methode_Keuze,Tb_KostenOptiesDB[#Headers],0),2))=1,_xlfn.SWITCH($N250,"Uurtarief",IF(OR(AND(RIGHT($F250,3)="IKS",VLOOKUP($M250,DB_Loonkosten,2,0)="Ja"),AND(RIGHT($F250,3)&lt;&gt;"IKS",VLOOKUP($M250,DB_Loonkosten,2,0)="Nee")),IFERROR(VLOOKUP($M250,DB_Loonkosten,25,0),""),0),"Vast tarief",IF(LEFT(F250,8)="Bijdrage",VLOOKUP($F250,Tb_KostenTypen[],MATCH(Lijsten!$P$1,Tb_KostenTypen[#Headers],0),0),VLOOKUP($G250,Lijsten!L:P,MATCH(Lijsten!$P$1,Kop_Tarief_Vast,0),0))),""),"")</f>
        <v/>
      </c>
      <c r="Q250" s="359"/>
      <c r="R250" s="359"/>
      <c r="S250" s="321"/>
      <c r="T250" s="321"/>
      <c r="U250" s="373" t="str">
        <f t="shared" si="12"/>
        <v/>
      </c>
      <c r="V250" s="314" t="str">
        <f t="shared" si="13"/>
        <v/>
      </c>
      <c r="W250" s="314" t="str" cm="1">
        <f t="array" aca="1" ref="W250" ca="1">IFERROR(IF(AE250&lt;&gt;"ja",_xlfn.IFNA(_xlfn.IFS(AND(O250&lt;&gt;"",F250&lt;&gt;"",RIGHT($N250,6)="tarief",F250="Vergoeding"),SUM(O250)*FLOOR(SUM(Q250),0.0001),AND(O250&lt;&gt;"",F250&lt;&gt;"",RIGHT($N250,6)="tarief"),SUM(O250)*FLOOR(SUM(Q250),0.01),S250&gt;0,IF(F250&lt;&gt;"",FLOOR(SUM(S250),0.01),"")),""),""),"")</f>
        <v/>
      </c>
      <c r="X250" s="314" t="str" cm="1">
        <f t="array" aca="1" ref="X250" ca="1">IFERROR(IF(AE250&lt;&gt;"ja",_xlfn.IFNA(_xlfn.IFS(AND(P250&lt;&gt;"",R250&lt;&gt;"",RIGHT($N250,6)="tarief",F250="Vergoeding"),SUM(P250)*FLOOR(SUM(R250),0.0001),AND(P250&lt;&gt;"",R250&lt;&gt;"",RIGHT($N250,6)="tarief"),P250*FLOOR(R250,0.01),T250&gt;0,FLOOR(SUM(T250),0.01)),""),""),"")</f>
        <v/>
      </c>
      <c r="Y250" s="314" t="str">
        <f t="shared" ca="1" si="14"/>
        <v/>
      </c>
      <c r="Z250" s="314" t="str" cm="1">
        <f t="array" aca="1" ref="Z250" ca="1">IFERROR(_xlfn.IFS(OR(F250="",LEFT(Methode_Keuze,4)="Geen",Methode_Keuze=""),"",AND(W250&lt;&gt;"",F250&lt;&gt;"Arbeidskosten"),W250*VLOOKUP(F250,Tb_ProjectKosten[],MATCH(Tb_ProjectKosten[[#Headers],[Forfait_Percentage]],Tb_ProjectKosten[#Headers],0),0),AND(F250="Arbeidskosten",G250&lt;&gt;""),IFERROR(W250*VLOOKUP(G250,Tb_KostenTypen[],3,0)*VLOOKUP(F250,Tb_ProjectKosten[],MATCH(Tb_ProjectKosten[[#Headers],[Forfait_Percentage]],Tb_ProjectKosten[#Headers],0),0),""),W250 &lt;=0,0),"")</f>
        <v/>
      </c>
      <c r="AA250" s="314" t="str" cm="1">
        <f t="array" aca="1" ref="AA250" ca="1">IFERROR(_xlfn.IFS(OR(F250="",LEFT(Methode_Keuze,4)="Geen",Methode_Keuze=""),"",AND(X250&lt;&gt;"",F250&lt;&gt;"Arbeidskosten"),X250*VLOOKUP(F250,Tb_ProjectKosten[],MATCH(Tb_ProjectKosten[[#Headers],[Forfait_Percentage]],Tb_ProjectKosten[#Headers],0),0),AND(F250="Arbeidskosten",G250&lt;&gt;""),IFERROR(X250*VLOOKUP(G250,Tb_KostenTypen[],3,0)*VLOOKUP(F250,Tb_ProjectKosten[],MATCH(Tb_ProjectKosten[[#Headers],[Forfait_Percentage]],Tb_ProjectKosten[#Headers],0),0),""),X250 &lt;=0,0),"")</f>
        <v/>
      </c>
      <c r="AB250" s="314" t="str">
        <f t="shared" ca="1" si="15"/>
        <v/>
      </c>
      <c r="AC250" s="322"/>
      <c r="AD250" s="315"/>
      <c r="AE250" s="32" t="str" cm="1">
        <f t="array" ref="AE250">IFERROR(IF(INDEX(SubsidieTabel!$AD$1:$AG$12,MATCH($F250,SubsidieTabel!$AD$1:$AD$12,0),IFERROR(MATCH(Methode_Keuze,SubsidieTabel!$AD$1:$AG$1,0),2))&lt;&gt;1=TRUE,"ja",""),"")</f>
        <v/>
      </c>
    </row>
    <row r="251" spans="1:31" x14ac:dyDescent="0.25">
      <c r="A251" s="316"/>
      <c r="B251" s="317" t="str">
        <f>IF(A251&lt;&gt;"",_xlfn.MAXIFS($B$1:B250,$A$1:A250,A251)+1,"")</f>
        <v/>
      </c>
      <c r="C251" s="296"/>
      <c r="D251" s="296"/>
      <c r="E251" s="296"/>
      <c r="F251" s="296"/>
      <c r="G251" s="326"/>
      <c r="H251" s="324"/>
      <c r="I251" s="325"/>
      <c r="J251" s="325"/>
      <c r="K251" s="318"/>
      <c r="L251" s="318"/>
      <c r="M251" s="319" t="str">
        <f>IFERROR(VLOOKUP(H251,Lijsten!$H$1:$I$100,2,0),"")</f>
        <v/>
      </c>
      <c r="N251" s="319" t="str">
        <f ca="1">IFERROR(IF(VLOOKUP(F251,Kostentypen!$A$3:$E$21,3,0)=0,"",IF(OR(F251="Arbeidskosten",F251="Vergoeding"),VLOOKUP(G251,Tb_KostenTypen[],2,0),VLOOKUP(F251,Kostentypen!$A$3:$E$20,3,0))),"")</f>
        <v/>
      </c>
      <c r="O251" s="320" t="str" cm="1">
        <f t="array" ref="O251">_xlfn.IFNA(IF(INDEX(Tb_KostenOptiesDB[],MATCH($F251,Tb_KostenOptiesDB[KostenOptie],0),IFERROR(MATCH(Methode_Keuze,Tb_KostenOptiesDB[#Headers],0),2))=1,_xlfn.SWITCH($N251,"Uurtarief",IF(OR(AND(RIGHT($F251,3)="IKS",VLOOKUP($M251,DB_Loonkosten,2,0)="Ja"),AND(RIGHT($F251,3)&lt;&gt;"IKS",VLOOKUP($M251,DB_Loonkosten,2,0)="Nee")),IFERROR(VLOOKUP($M251,DB_Loonkosten,24,0),""),0),"Vast tarief",IF(LEFT(F251,8)="Bijdrage",VLOOKUP($F251,Tb_KostenTypen[],MATCH(Lijsten!$P$1,Tb_KostenTypen[#Headers],0),0),VLOOKUP($G251,Lijsten!L:P,MATCH(Lijsten!$P$1,Kop_Tarief_Vast,0),0))),""),"")</f>
        <v/>
      </c>
      <c r="P251" s="320" t="str" cm="1">
        <f t="array" ref="P251">_xlfn.IFNA(IF(INDEX(Tb_KostenOptiesDB[],MATCH($F251,Tb_KostenOptiesDB[KostenOptie],0),IFERROR(MATCH(Methode_Keuze,Tb_KostenOptiesDB[#Headers],0),2))=1,_xlfn.SWITCH($N251,"Uurtarief",IF(OR(AND(RIGHT($F251,3)="IKS",VLOOKUP($M251,DB_Loonkosten,2,0)="Ja"),AND(RIGHT($F251,3)&lt;&gt;"IKS",VLOOKUP($M251,DB_Loonkosten,2,0)="Nee")),IFERROR(VLOOKUP($M251,DB_Loonkosten,25,0),""),0),"Vast tarief",IF(LEFT(F251,8)="Bijdrage",VLOOKUP($F251,Tb_KostenTypen[],MATCH(Lijsten!$P$1,Tb_KostenTypen[#Headers],0),0),VLOOKUP($G251,Lijsten!L:P,MATCH(Lijsten!$P$1,Kop_Tarief_Vast,0),0))),""),"")</f>
        <v/>
      </c>
      <c r="Q251" s="359"/>
      <c r="R251" s="359"/>
      <c r="S251" s="321"/>
      <c r="T251" s="321"/>
      <c r="U251" s="373" t="str">
        <f t="shared" si="12"/>
        <v/>
      </c>
      <c r="V251" s="314" t="str">
        <f t="shared" si="13"/>
        <v/>
      </c>
      <c r="W251" s="314" t="str" cm="1">
        <f t="array" aca="1" ref="W251" ca="1">IFERROR(IF(AE251&lt;&gt;"ja",_xlfn.IFNA(_xlfn.IFS(AND(O251&lt;&gt;"",F251&lt;&gt;"",RIGHT($N251,6)="tarief",F251="Vergoeding"),SUM(O251)*FLOOR(SUM(Q251),0.0001),AND(O251&lt;&gt;"",F251&lt;&gt;"",RIGHT($N251,6)="tarief"),SUM(O251)*FLOOR(SUM(Q251),0.01),S251&gt;0,IF(F251&lt;&gt;"",FLOOR(SUM(S251),0.01),"")),""),""),"")</f>
        <v/>
      </c>
      <c r="X251" s="314" t="str" cm="1">
        <f t="array" aca="1" ref="X251" ca="1">IFERROR(IF(AE251&lt;&gt;"ja",_xlfn.IFNA(_xlfn.IFS(AND(P251&lt;&gt;"",R251&lt;&gt;"",RIGHT($N251,6)="tarief",F251="Vergoeding"),SUM(P251)*FLOOR(SUM(R251),0.0001),AND(P251&lt;&gt;"",R251&lt;&gt;"",RIGHT($N251,6)="tarief"),P251*FLOOR(R251,0.01),T251&gt;0,FLOOR(SUM(T251),0.01)),""),""),"")</f>
        <v/>
      </c>
      <c r="Y251" s="314" t="str">
        <f t="shared" ca="1" si="14"/>
        <v/>
      </c>
      <c r="Z251" s="314" t="str" cm="1">
        <f t="array" aca="1" ref="Z251" ca="1">IFERROR(_xlfn.IFS(OR(F251="",LEFT(Methode_Keuze,4)="Geen",Methode_Keuze=""),"",AND(W251&lt;&gt;"",F251&lt;&gt;"Arbeidskosten"),W251*VLOOKUP(F251,Tb_ProjectKosten[],MATCH(Tb_ProjectKosten[[#Headers],[Forfait_Percentage]],Tb_ProjectKosten[#Headers],0),0),AND(F251="Arbeidskosten",G251&lt;&gt;""),IFERROR(W251*VLOOKUP(G251,Tb_KostenTypen[],3,0)*VLOOKUP(F251,Tb_ProjectKosten[],MATCH(Tb_ProjectKosten[[#Headers],[Forfait_Percentage]],Tb_ProjectKosten[#Headers],0),0),""),W251 &lt;=0,0),"")</f>
        <v/>
      </c>
      <c r="AA251" s="314" t="str" cm="1">
        <f t="array" aca="1" ref="AA251" ca="1">IFERROR(_xlfn.IFS(OR(F251="",LEFT(Methode_Keuze,4)="Geen",Methode_Keuze=""),"",AND(X251&lt;&gt;"",F251&lt;&gt;"Arbeidskosten"),X251*VLOOKUP(F251,Tb_ProjectKosten[],MATCH(Tb_ProjectKosten[[#Headers],[Forfait_Percentage]],Tb_ProjectKosten[#Headers],0),0),AND(F251="Arbeidskosten",G251&lt;&gt;""),IFERROR(X251*VLOOKUP(G251,Tb_KostenTypen[],3,0)*VLOOKUP(F251,Tb_ProjectKosten[],MATCH(Tb_ProjectKosten[[#Headers],[Forfait_Percentage]],Tb_ProjectKosten[#Headers],0),0),""),X251 &lt;=0,0),"")</f>
        <v/>
      </c>
      <c r="AB251" s="314" t="str">
        <f t="shared" ca="1" si="15"/>
        <v/>
      </c>
      <c r="AC251" s="322"/>
      <c r="AD251" s="315"/>
      <c r="AE251" s="32" t="str" cm="1">
        <f t="array" ref="AE251">IFERROR(IF(INDEX(SubsidieTabel!$AD$1:$AG$12,MATCH($F251,SubsidieTabel!$AD$1:$AD$12,0),IFERROR(MATCH(Methode_Keuze,SubsidieTabel!$AD$1:$AG$1,0),2))&lt;&gt;1=TRUE,"ja",""),"")</f>
        <v/>
      </c>
    </row>
    <row r="252" spans="1:31" x14ac:dyDescent="0.25">
      <c r="A252" s="316"/>
      <c r="B252" s="317" t="str">
        <f>IF(A252&lt;&gt;"",_xlfn.MAXIFS($B$1:B251,$A$1:A251,A252)+1,"")</f>
        <v/>
      </c>
      <c r="C252" s="296"/>
      <c r="D252" s="296"/>
      <c r="E252" s="296"/>
      <c r="F252" s="296"/>
      <c r="G252" s="326"/>
      <c r="H252" s="324"/>
      <c r="I252" s="325"/>
      <c r="J252" s="325"/>
      <c r="K252" s="318"/>
      <c r="L252" s="318"/>
      <c r="M252" s="319" t="str">
        <f>IFERROR(VLOOKUP(H252,Lijsten!$H$1:$I$100,2,0),"")</f>
        <v/>
      </c>
      <c r="N252" s="319" t="str">
        <f ca="1">IFERROR(IF(VLOOKUP(F252,Kostentypen!$A$3:$E$21,3,0)=0,"",IF(OR(F252="Arbeidskosten",F252="Vergoeding"),VLOOKUP(G252,Tb_KostenTypen[],2,0),VLOOKUP(F252,Kostentypen!$A$3:$E$20,3,0))),"")</f>
        <v/>
      </c>
      <c r="O252" s="320" t="str" cm="1">
        <f t="array" ref="O252">_xlfn.IFNA(IF(INDEX(Tb_KostenOptiesDB[],MATCH($F252,Tb_KostenOptiesDB[KostenOptie],0),IFERROR(MATCH(Methode_Keuze,Tb_KostenOptiesDB[#Headers],0),2))=1,_xlfn.SWITCH($N252,"Uurtarief",IF(OR(AND(RIGHT($F252,3)="IKS",VLOOKUP($M252,DB_Loonkosten,2,0)="Ja"),AND(RIGHT($F252,3)&lt;&gt;"IKS",VLOOKUP($M252,DB_Loonkosten,2,0)="Nee")),IFERROR(VLOOKUP($M252,DB_Loonkosten,24,0),""),0),"Vast tarief",IF(LEFT(F252,8)="Bijdrage",VLOOKUP($F252,Tb_KostenTypen[],MATCH(Lijsten!$P$1,Tb_KostenTypen[#Headers],0),0),VLOOKUP($G252,Lijsten!L:P,MATCH(Lijsten!$P$1,Kop_Tarief_Vast,0),0))),""),"")</f>
        <v/>
      </c>
      <c r="P252" s="320" t="str" cm="1">
        <f t="array" ref="P252">_xlfn.IFNA(IF(INDEX(Tb_KostenOptiesDB[],MATCH($F252,Tb_KostenOptiesDB[KostenOptie],0),IFERROR(MATCH(Methode_Keuze,Tb_KostenOptiesDB[#Headers],0),2))=1,_xlfn.SWITCH($N252,"Uurtarief",IF(OR(AND(RIGHT($F252,3)="IKS",VLOOKUP($M252,DB_Loonkosten,2,0)="Ja"),AND(RIGHT($F252,3)&lt;&gt;"IKS",VLOOKUP($M252,DB_Loonkosten,2,0)="Nee")),IFERROR(VLOOKUP($M252,DB_Loonkosten,25,0),""),0),"Vast tarief",IF(LEFT(F252,8)="Bijdrage",VLOOKUP($F252,Tb_KostenTypen[],MATCH(Lijsten!$P$1,Tb_KostenTypen[#Headers],0),0),VLOOKUP($G252,Lijsten!L:P,MATCH(Lijsten!$P$1,Kop_Tarief_Vast,0),0))),""),"")</f>
        <v/>
      </c>
      <c r="Q252" s="359"/>
      <c r="R252" s="359"/>
      <c r="S252" s="321"/>
      <c r="T252" s="321"/>
      <c r="U252" s="373" t="str">
        <f t="shared" si="12"/>
        <v/>
      </c>
      <c r="V252" s="314" t="str">
        <f t="shared" si="13"/>
        <v/>
      </c>
      <c r="W252" s="314" t="str" cm="1">
        <f t="array" aca="1" ref="W252" ca="1">IFERROR(IF(AE252&lt;&gt;"ja",_xlfn.IFNA(_xlfn.IFS(AND(O252&lt;&gt;"",F252&lt;&gt;"",RIGHT($N252,6)="tarief",F252="Vergoeding"),SUM(O252)*FLOOR(SUM(Q252),0.0001),AND(O252&lt;&gt;"",F252&lt;&gt;"",RIGHT($N252,6)="tarief"),SUM(O252)*FLOOR(SUM(Q252),0.01),S252&gt;0,IF(F252&lt;&gt;"",FLOOR(SUM(S252),0.01),"")),""),""),"")</f>
        <v/>
      </c>
      <c r="X252" s="314" t="str" cm="1">
        <f t="array" aca="1" ref="X252" ca="1">IFERROR(IF(AE252&lt;&gt;"ja",_xlfn.IFNA(_xlfn.IFS(AND(P252&lt;&gt;"",R252&lt;&gt;"",RIGHT($N252,6)="tarief",F252="Vergoeding"),SUM(P252)*FLOOR(SUM(R252),0.0001),AND(P252&lt;&gt;"",R252&lt;&gt;"",RIGHT($N252,6)="tarief"),P252*FLOOR(R252,0.01),T252&gt;0,FLOOR(SUM(T252),0.01)),""),""),"")</f>
        <v/>
      </c>
      <c r="Y252" s="314" t="str">
        <f t="shared" ca="1" si="14"/>
        <v/>
      </c>
      <c r="Z252" s="314" t="str" cm="1">
        <f t="array" aca="1" ref="Z252" ca="1">IFERROR(_xlfn.IFS(OR(F252="",LEFT(Methode_Keuze,4)="Geen",Methode_Keuze=""),"",AND(W252&lt;&gt;"",F252&lt;&gt;"Arbeidskosten"),W252*VLOOKUP(F252,Tb_ProjectKosten[],MATCH(Tb_ProjectKosten[[#Headers],[Forfait_Percentage]],Tb_ProjectKosten[#Headers],0),0),AND(F252="Arbeidskosten",G252&lt;&gt;""),IFERROR(W252*VLOOKUP(G252,Tb_KostenTypen[],3,0)*VLOOKUP(F252,Tb_ProjectKosten[],MATCH(Tb_ProjectKosten[[#Headers],[Forfait_Percentage]],Tb_ProjectKosten[#Headers],0),0),""),W252 &lt;=0,0),"")</f>
        <v/>
      </c>
      <c r="AA252" s="314" t="str" cm="1">
        <f t="array" aca="1" ref="AA252" ca="1">IFERROR(_xlfn.IFS(OR(F252="",LEFT(Methode_Keuze,4)="Geen",Methode_Keuze=""),"",AND(X252&lt;&gt;"",F252&lt;&gt;"Arbeidskosten"),X252*VLOOKUP(F252,Tb_ProjectKosten[],MATCH(Tb_ProjectKosten[[#Headers],[Forfait_Percentage]],Tb_ProjectKosten[#Headers],0),0),AND(F252="Arbeidskosten",G252&lt;&gt;""),IFERROR(X252*VLOOKUP(G252,Tb_KostenTypen[],3,0)*VLOOKUP(F252,Tb_ProjectKosten[],MATCH(Tb_ProjectKosten[[#Headers],[Forfait_Percentage]],Tb_ProjectKosten[#Headers],0),0),""),X252 &lt;=0,0),"")</f>
        <v/>
      </c>
      <c r="AB252" s="314" t="str">
        <f t="shared" ca="1" si="15"/>
        <v/>
      </c>
      <c r="AC252" s="322"/>
      <c r="AD252" s="315"/>
      <c r="AE252" s="32" t="str" cm="1">
        <f t="array" ref="AE252">IFERROR(IF(INDEX(SubsidieTabel!$AD$1:$AG$12,MATCH($F252,SubsidieTabel!$AD$1:$AD$12,0),IFERROR(MATCH(Methode_Keuze,SubsidieTabel!$AD$1:$AG$1,0),2))&lt;&gt;1=TRUE,"ja",""),"")</f>
        <v/>
      </c>
    </row>
    <row r="253" spans="1:31" x14ac:dyDescent="0.25">
      <c r="A253" s="316"/>
      <c r="B253" s="317" t="str">
        <f>IF(A253&lt;&gt;"",_xlfn.MAXIFS($B$1:B252,$A$1:A252,A253)+1,"")</f>
        <v/>
      </c>
      <c r="C253" s="296"/>
      <c r="D253" s="296"/>
      <c r="E253" s="296"/>
      <c r="F253" s="296"/>
      <c r="G253" s="326"/>
      <c r="H253" s="324"/>
      <c r="I253" s="325"/>
      <c r="J253" s="325"/>
      <c r="K253" s="318"/>
      <c r="L253" s="318"/>
      <c r="M253" s="319" t="str">
        <f>IFERROR(VLOOKUP(H253,Lijsten!$H$1:$I$100,2,0),"")</f>
        <v/>
      </c>
      <c r="N253" s="319" t="str">
        <f ca="1">IFERROR(IF(VLOOKUP(F253,Kostentypen!$A$3:$E$21,3,0)=0,"",IF(OR(F253="Arbeidskosten",F253="Vergoeding"),VLOOKUP(G253,Tb_KostenTypen[],2,0),VLOOKUP(F253,Kostentypen!$A$3:$E$20,3,0))),"")</f>
        <v/>
      </c>
      <c r="O253" s="320" t="str" cm="1">
        <f t="array" ref="O253">_xlfn.IFNA(IF(INDEX(Tb_KostenOptiesDB[],MATCH($F253,Tb_KostenOptiesDB[KostenOptie],0),IFERROR(MATCH(Methode_Keuze,Tb_KostenOptiesDB[#Headers],0),2))=1,_xlfn.SWITCH($N253,"Uurtarief",IF(OR(AND(RIGHT($F253,3)="IKS",VLOOKUP($M253,DB_Loonkosten,2,0)="Ja"),AND(RIGHT($F253,3)&lt;&gt;"IKS",VLOOKUP($M253,DB_Loonkosten,2,0)="Nee")),IFERROR(VLOOKUP($M253,DB_Loonkosten,24,0),""),0),"Vast tarief",IF(LEFT(F253,8)="Bijdrage",VLOOKUP($F253,Tb_KostenTypen[],MATCH(Lijsten!$P$1,Tb_KostenTypen[#Headers],0),0),VLOOKUP($G253,Lijsten!L:P,MATCH(Lijsten!$P$1,Kop_Tarief_Vast,0),0))),""),"")</f>
        <v/>
      </c>
      <c r="P253" s="320" t="str" cm="1">
        <f t="array" ref="P253">_xlfn.IFNA(IF(INDEX(Tb_KostenOptiesDB[],MATCH($F253,Tb_KostenOptiesDB[KostenOptie],0),IFERROR(MATCH(Methode_Keuze,Tb_KostenOptiesDB[#Headers],0),2))=1,_xlfn.SWITCH($N253,"Uurtarief",IF(OR(AND(RIGHT($F253,3)="IKS",VLOOKUP($M253,DB_Loonkosten,2,0)="Ja"),AND(RIGHT($F253,3)&lt;&gt;"IKS",VLOOKUP($M253,DB_Loonkosten,2,0)="Nee")),IFERROR(VLOOKUP($M253,DB_Loonkosten,25,0),""),0),"Vast tarief",IF(LEFT(F253,8)="Bijdrage",VLOOKUP($F253,Tb_KostenTypen[],MATCH(Lijsten!$P$1,Tb_KostenTypen[#Headers],0),0),VLOOKUP($G253,Lijsten!L:P,MATCH(Lijsten!$P$1,Kop_Tarief_Vast,0),0))),""),"")</f>
        <v/>
      </c>
      <c r="Q253" s="359"/>
      <c r="R253" s="359"/>
      <c r="S253" s="321"/>
      <c r="T253" s="321"/>
      <c r="U253" s="373" t="str">
        <f t="shared" si="12"/>
        <v/>
      </c>
      <c r="V253" s="314" t="str">
        <f t="shared" si="13"/>
        <v/>
      </c>
      <c r="W253" s="314" t="str" cm="1">
        <f t="array" aca="1" ref="W253" ca="1">IFERROR(IF(AE253&lt;&gt;"ja",_xlfn.IFNA(_xlfn.IFS(AND(O253&lt;&gt;"",F253&lt;&gt;"",RIGHT($N253,6)="tarief",F253="Vergoeding"),SUM(O253)*FLOOR(SUM(Q253),0.0001),AND(O253&lt;&gt;"",F253&lt;&gt;"",RIGHT($N253,6)="tarief"),SUM(O253)*FLOOR(SUM(Q253),0.01),S253&gt;0,IF(F253&lt;&gt;"",FLOOR(SUM(S253),0.01),"")),""),""),"")</f>
        <v/>
      </c>
      <c r="X253" s="314" t="str" cm="1">
        <f t="array" aca="1" ref="X253" ca="1">IFERROR(IF(AE253&lt;&gt;"ja",_xlfn.IFNA(_xlfn.IFS(AND(P253&lt;&gt;"",R253&lt;&gt;"",RIGHT($N253,6)="tarief",F253="Vergoeding"),SUM(P253)*FLOOR(SUM(R253),0.0001),AND(P253&lt;&gt;"",R253&lt;&gt;"",RIGHT($N253,6)="tarief"),P253*FLOOR(R253,0.01),T253&gt;0,FLOOR(SUM(T253),0.01)),""),""),"")</f>
        <v/>
      </c>
      <c r="Y253" s="314" t="str">
        <f t="shared" ca="1" si="14"/>
        <v/>
      </c>
      <c r="Z253" s="314" t="str" cm="1">
        <f t="array" aca="1" ref="Z253" ca="1">IFERROR(_xlfn.IFS(OR(F253="",LEFT(Methode_Keuze,4)="Geen",Methode_Keuze=""),"",AND(W253&lt;&gt;"",F253&lt;&gt;"Arbeidskosten"),W253*VLOOKUP(F253,Tb_ProjectKosten[],MATCH(Tb_ProjectKosten[[#Headers],[Forfait_Percentage]],Tb_ProjectKosten[#Headers],0),0),AND(F253="Arbeidskosten",G253&lt;&gt;""),IFERROR(W253*VLOOKUP(G253,Tb_KostenTypen[],3,0)*VLOOKUP(F253,Tb_ProjectKosten[],MATCH(Tb_ProjectKosten[[#Headers],[Forfait_Percentage]],Tb_ProjectKosten[#Headers],0),0),""),W253 &lt;=0,0),"")</f>
        <v/>
      </c>
      <c r="AA253" s="314" t="str" cm="1">
        <f t="array" aca="1" ref="AA253" ca="1">IFERROR(_xlfn.IFS(OR(F253="",LEFT(Methode_Keuze,4)="Geen",Methode_Keuze=""),"",AND(X253&lt;&gt;"",F253&lt;&gt;"Arbeidskosten"),X253*VLOOKUP(F253,Tb_ProjectKosten[],MATCH(Tb_ProjectKosten[[#Headers],[Forfait_Percentage]],Tb_ProjectKosten[#Headers],0),0),AND(F253="Arbeidskosten",G253&lt;&gt;""),IFERROR(X253*VLOOKUP(G253,Tb_KostenTypen[],3,0)*VLOOKUP(F253,Tb_ProjectKosten[],MATCH(Tb_ProjectKosten[[#Headers],[Forfait_Percentage]],Tb_ProjectKosten[#Headers],0),0),""),X253 &lt;=0,0),"")</f>
        <v/>
      </c>
      <c r="AB253" s="314" t="str">
        <f t="shared" ca="1" si="15"/>
        <v/>
      </c>
      <c r="AC253" s="322"/>
      <c r="AD253" s="315"/>
      <c r="AE253" s="32" t="str" cm="1">
        <f t="array" ref="AE253">IFERROR(IF(INDEX(SubsidieTabel!$AD$1:$AG$12,MATCH($F253,SubsidieTabel!$AD$1:$AD$12,0),IFERROR(MATCH(Methode_Keuze,SubsidieTabel!$AD$1:$AG$1,0),2))&lt;&gt;1=TRUE,"ja",""),"")</f>
        <v/>
      </c>
    </row>
    <row r="254" spans="1:31" x14ac:dyDescent="0.25">
      <c r="A254" s="316"/>
      <c r="B254" s="317" t="str">
        <f>IF(A254&lt;&gt;"",_xlfn.MAXIFS($B$1:B253,$A$1:A253,A254)+1,"")</f>
        <v/>
      </c>
      <c r="C254" s="296"/>
      <c r="D254" s="296"/>
      <c r="E254" s="296"/>
      <c r="F254" s="296"/>
      <c r="G254" s="326"/>
      <c r="H254" s="324"/>
      <c r="I254" s="325"/>
      <c r="J254" s="325"/>
      <c r="K254" s="318"/>
      <c r="L254" s="318"/>
      <c r="M254" s="319" t="str">
        <f>IFERROR(VLOOKUP(H254,Lijsten!$H$1:$I$100,2,0),"")</f>
        <v/>
      </c>
      <c r="N254" s="319" t="str">
        <f ca="1">IFERROR(IF(VLOOKUP(F254,Kostentypen!$A$3:$E$21,3,0)=0,"",IF(OR(F254="Arbeidskosten",F254="Vergoeding"),VLOOKUP(G254,Tb_KostenTypen[],2,0),VLOOKUP(F254,Kostentypen!$A$3:$E$20,3,0))),"")</f>
        <v/>
      </c>
      <c r="O254" s="320" t="str" cm="1">
        <f t="array" ref="O254">_xlfn.IFNA(IF(INDEX(Tb_KostenOptiesDB[],MATCH($F254,Tb_KostenOptiesDB[KostenOptie],0),IFERROR(MATCH(Methode_Keuze,Tb_KostenOptiesDB[#Headers],0),2))=1,_xlfn.SWITCH($N254,"Uurtarief",IF(OR(AND(RIGHT($F254,3)="IKS",VLOOKUP($M254,DB_Loonkosten,2,0)="Ja"),AND(RIGHT($F254,3)&lt;&gt;"IKS",VLOOKUP($M254,DB_Loonkosten,2,0)="Nee")),IFERROR(VLOOKUP($M254,DB_Loonkosten,24,0),""),0),"Vast tarief",IF(LEFT(F254,8)="Bijdrage",VLOOKUP($F254,Tb_KostenTypen[],MATCH(Lijsten!$P$1,Tb_KostenTypen[#Headers],0),0),VLOOKUP($G254,Lijsten!L:P,MATCH(Lijsten!$P$1,Kop_Tarief_Vast,0),0))),""),"")</f>
        <v/>
      </c>
      <c r="P254" s="320" t="str" cm="1">
        <f t="array" ref="P254">_xlfn.IFNA(IF(INDEX(Tb_KostenOptiesDB[],MATCH($F254,Tb_KostenOptiesDB[KostenOptie],0),IFERROR(MATCH(Methode_Keuze,Tb_KostenOptiesDB[#Headers],0),2))=1,_xlfn.SWITCH($N254,"Uurtarief",IF(OR(AND(RIGHT($F254,3)="IKS",VLOOKUP($M254,DB_Loonkosten,2,0)="Ja"),AND(RIGHT($F254,3)&lt;&gt;"IKS",VLOOKUP($M254,DB_Loonkosten,2,0)="Nee")),IFERROR(VLOOKUP($M254,DB_Loonkosten,25,0),""),0),"Vast tarief",IF(LEFT(F254,8)="Bijdrage",VLOOKUP($F254,Tb_KostenTypen[],MATCH(Lijsten!$P$1,Tb_KostenTypen[#Headers],0),0),VLOOKUP($G254,Lijsten!L:P,MATCH(Lijsten!$P$1,Kop_Tarief_Vast,0),0))),""),"")</f>
        <v/>
      </c>
      <c r="Q254" s="359"/>
      <c r="R254" s="359"/>
      <c r="S254" s="321"/>
      <c r="T254" s="321"/>
      <c r="U254" s="373" t="str">
        <f t="shared" si="12"/>
        <v/>
      </c>
      <c r="V254" s="314" t="str">
        <f t="shared" si="13"/>
        <v/>
      </c>
      <c r="W254" s="314" t="str" cm="1">
        <f t="array" aca="1" ref="W254" ca="1">IFERROR(IF(AE254&lt;&gt;"ja",_xlfn.IFNA(_xlfn.IFS(AND(O254&lt;&gt;"",F254&lt;&gt;"",RIGHT($N254,6)="tarief",F254="Vergoeding"),SUM(O254)*FLOOR(SUM(Q254),0.0001),AND(O254&lt;&gt;"",F254&lt;&gt;"",RIGHT($N254,6)="tarief"),SUM(O254)*FLOOR(SUM(Q254),0.01),S254&gt;0,IF(F254&lt;&gt;"",FLOOR(SUM(S254),0.01),"")),""),""),"")</f>
        <v/>
      </c>
      <c r="X254" s="314" t="str" cm="1">
        <f t="array" aca="1" ref="X254" ca="1">IFERROR(IF(AE254&lt;&gt;"ja",_xlfn.IFNA(_xlfn.IFS(AND(P254&lt;&gt;"",R254&lt;&gt;"",RIGHT($N254,6)="tarief",F254="Vergoeding"),SUM(P254)*FLOOR(SUM(R254),0.0001),AND(P254&lt;&gt;"",R254&lt;&gt;"",RIGHT($N254,6)="tarief"),P254*FLOOR(R254,0.01),T254&gt;0,FLOOR(SUM(T254),0.01)),""),""),"")</f>
        <v/>
      </c>
      <c r="Y254" s="314" t="str">
        <f t="shared" ca="1" si="14"/>
        <v/>
      </c>
      <c r="Z254" s="314" t="str" cm="1">
        <f t="array" aca="1" ref="Z254" ca="1">IFERROR(_xlfn.IFS(OR(F254="",LEFT(Methode_Keuze,4)="Geen",Methode_Keuze=""),"",AND(W254&lt;&gt;"",F254&lt;&gt;"Arbeidskosten"),W254*VLOOKUP(F254,Tb_ProjectKosten[],MATCH(Tb_ProjectKosten[[#Headers],[Forfait_Percentage]],Tb_ProjectKosten[#Headers],0),0),AND(F254="Arbeidskosten",G254&lt;&gt;""),IFERROR(W254*VLOOKUP(G254,Tb_KostenTypen[],3,0)*VLOOKUP(F254,Tb_ProjectKosten[],MATCH(Tb_ProjectKosten[[#Headers],[Forfait_Percentage]],Tb_ProjectKosten[#Headers],0),0),""),W254 &lt;=0,0),"")</f>
        <v/>
      </c>
      <c r="AA254" s="314" t="str" cm="1">
        <f t="array" aca="1" ref="AA254" ca="1">IFERROR(_xlfn.IFS(OR(F254="",LEFT(Methode_Keuze,4)="Geen",Methode_Keuze=""),"",AND(X254&lt;&gt;"",F254&lt;&gt;"Arbeidskosten"),X254*VLOOKUP(F254,Tb_ProjectKosten[],MATCH(Tb_ProjectKosten[[#Headers],[Forfait_Percentage]],Tb_ProjectKosten[#Headers],0),0),AND(F254="Arbeidskosten",G254&lt;&gt;""),IFERROR(X254*VLOOKUP(G254,Tb_KostenTypen[],3,0)*VLOOKUP(F254,Tb_ProjectKosten[],MATCH(Tb_ProjectKosten[[#Headers],[Forfait_Percentage]],Tb_ProjectKosten[#Headers],0),0),""),X254 &lt;=0,0),"")</f>
        <v/>
      </c>
      <c r="AB254" s="314" t="str">
        <f t="shared" ca="1" si="15"/>
        <v/>
      </c>
      <c r="AC254" s="322"/>
      <c r="AD254" s="315"/>
      <c r="AE254" s="32" t="str" cm="1">
        <f t="array" ref="AE254">IFERROR(IF(INDEX(SubsidieTabel!$AD$1:$AG$12,MATCH($F254,SubsidieTabel!$AD$1:$AD$12,0),IFERROR(MATCH(Methode_Keuze,SubsidieTabel!$AD$1:$AG$1,0),2))&lt;&gt;1=TRUE,"ja",""),"")</f>
        <v/>
      </c>
    </row>
    <row r="255" spans="1:31" x14ac:dyDescent="0.25">
      <c r="A255" s="316"/>
      <c r="B255" s="317" t="str">
        <f>IF(A255&lt;&gt;"",_xlfn.MAXIFS($B$1:B254,$A$1:A254,A255)+1,"")</f>
        <v/>
      </c>
      <c r="C255" s="296"/>
      <c r="D255" s="296"/>
      <c r="E255" s="296"/>
      <c r="F255" s="296"/>
      <c r="G255" s="326"/>
      <c r="H255" s="324"/>
      <c r="I255" s="325"/>
      <c r="J255" s="325"/>
      <c r="K255" s="318"/>
      <c r="L255" s="318"/>
      <c r="M255" s="319" t="str">
        <f>IFERROR(VLOOKUP(H255,Lijsten!$H$1:$I$100,2,0),"")</f>
        <v/>
      </c>
      <c r="N255" s="319" t="str">
        <f ca="1">IFERROR(IF(VLOOKUP(F255,Kostentypen!$A$3:$E$21,3,0)=0,"",IF(OR(F255="Arbeidskosten",F255="Vergoeding"),VLOOKUP(G255,Tb_KostenTypen[],2,0),VLOOKUP(F255,Kostentypen!$A$3:$E$20,3,0))),"")</f>
        <v/>
      </c>
      <c r="O255" s="320" t="str" cm="1">
        <f t="array" ref="O255">_xlfn.IFNA(IF(INDEX(Tb_KostenOptiesDB[],MATCH($F255,Tb_KostenOptiesDB[KostenOptie],0),IFERROR(MATCH(Methode_Keuze,Tb_KostenOptiesDB[#Headers],0),2))=1,_xlfn.SWITCH($N255,"Uurtarief",IF(OR(AND(RIGHT($F255,3)="IKS",VLOOKUP($M255,DB_Loonkosten,2,0)="Ja"),AND(RIGHT($F255,3)&lt;&gt;"IKS",VLOOKUP($M255,DB_Loonkosten,2,0)="Nee")),IFERROR(VLOOKUP($M255,DB_Loonkosten,24,0),""),0),"Vast tarief",IF(LEFT(F255,8)="Bijdrage",VLOOKUP($F255,Tb_KostenTypen[],MATCH(Lijsten!$P$1,Tb_KostenTypen[#Headers],0),0),VLOOKUP($G255,Lijsten!L:P,MATCH(Lijsten!$P$1,Kop_Tarief_Vast,0),0))),""),"")</f>
        <v/>
      </c>
      <c r="P255" s="320" t="str" cm="1">
        <f t="array" ref="P255">_xlfn.IFNA(IF(INDEX(Tb_KostenOptiesDB[],MATCH($F255,Tb_KostenOptiesDB[KostenOptie],0),IFERROR(MATCH(Methode_Keuze,Tb_KostenOptiesDB[#Headers],0),2))=1,_xlfn.SWITCH($N255,"Uurtarief",IF(OR(AND(RIGHT($F255,3)="IKS",VLOOKUP($M255,DB_Loonkosten,2,0)="Ja"),AND(RIGHT($F255,3)&lt;&gt;"IKS",VLOOKUP($M255,DB_Loonkosten,2,0)="Nee")),IFERROR(VLOOKUP($M255,DB_Loonkosten,25,0),""),0),"Vast tarief",IF(LEFT(F255,8)="Bijdrage",VLOOKUP($F255,Tb_KostenTypen[],MATCH(Lijsten!$P$1,Tb_KostenTypen[#Headers],0),0),VLOOKUP($G255,Lijsten!L:P,MATCH(Lijsten!$P$1,Kop_Tarief_Vast,0),0))),""),"")</f>
        <v/>
      </c>
      <c r="Q255" s="359"/>
      <c r="R255" s="359"/>
      <c r="S255" s="321"/>
      <c r="T255" s="321"/>
      <c r="U255" s="373" t="str">
        <f t="shared" si="12"/>
        <v/>
      </c>
      <c r="V255" s="314" t="str">
        <f t="shared" si="13"/>
        <v/>
      </c>
      <c r="W255" s="314" t="str" cm="1">
        <f t="array" aca="1" ref="W255" ca="1">IFERROR(IF(AE255&lt;&gt;"ja",_xlfn.IFNA(_xlfn.IFS(AND(O255&lt;&gt;"",F255&lt;&gt;"",RIGHT($N255,6)="tarief",F255="Vergoeding"),SUM(O255)*FLOOR(SUM(Q255),0.0001),AND(O255&lt;&gt;"",F255&lt;&gt;"",RIGHT($N255,6)="tarief"),SUM(O255)*FLOOR(SUM(Q255),0.01),S255&gt;0,IF(F255&lt;&gt;"",FLOOR(SUM(S255),0.01),"")),""),""),"")</f>
        <v/>
      </c>
      <c r="X255" s="314" t="str" cm="1">
        <f t="array" aca="1" ref="X255" ca="1">IFERROR(IF(AE255&lt;&gt;"ja",_xlfn.IFNA(_xlfn.IFS(AND(P255&lt;&gt;"",R255&lt;&gt;"",RIGHT($N255,6)="tarief",F255="Vergoeding"),SUM(P255)*FLOOR(SUM(R255),0.0001),AND(P255&lt;&gt;"",R255&lt;&gt;"",RIGHT($N255,6)="tarief"),P255*FLOOR(R255,0.01),T255&gt;0,FLOOR(SUM(T255),0.01)),""),""),"")</f>
        <v/>
      </c>
      <c r="Y255" s="314" t="str">
        <f t="shared" ca="1" si="14"/>
        <v/>
      </c>
      <c r="Z255" s="314" t="str" cm="1">
        <f t="array" aca="1" ref="Z255" ca="1">IFERROR(_xlfn.IFS(OR(F255="",LEFT(Methode_Keuze,4)="Geen",Methode_Keuze=""),"",AND(W255&lt;&gt;"",F255&lt;&gt;"Arbeidskosten"),W255*VLOOKUP(F255,Tb_ProjectKosten[],MATCH(Tb_ProjectKosten[[#Headers],[Forfait_Percentage]],Tb_ProjectKosten[#Headers],0),0),AND(F255="Arbeidskosten",G255&lt;&gt;""),IFERROR(W255*VLOOKUP(G255,Tb_KostenTypen[],3,0)*VLOOKUP(F255,Tb_ProjectKosten[],MATCH(Tb_ProjectKosten[[#Headers],[Forfait_Percentage]],Tb_ProjectKosten[#Headers],0),0),""),W255 &lt;=0,0),"")</f>
        <v/>
      </c>
      <c r="AA255" s="314" t="str" cm="1">
        <f t="array" aca="1" ref="AA255" ca="1">IFERROR(_xlfn.IFS(OR(F255="",LEFT(Methode_Keuze,4)="Geen",Methode_Keuze=""),"",AND(X255&lt;&gt;"",F255&lt;&gt;"Arbeidskosten"),X255*VLOOKUP(F255,Tb_ProjectKosten[],MATCH(Tb_ProjectKosten[[#Headers],[Forfait_Percentage]],Tb_ProjectKosten[#Headers],0),0),AND(F255="Arbeidskosten",G255&lt;&gt;""),IFERROR(X255*VLOOKUP(G255,Tb_KostenTypen[],3,0)*VLOOKUP(F255,Tb_ProjectKosten[],MATCH(Tb_ProjectKosten[[#Headers],[Forfait_Percentage]],Tb_ProjectKosten[#Headers],0),0),""),X255 &lt;=0,0),"")</f>
        <v/>
      </c>
      <c r="AB255" s="314" t="str">
        <f t="shared" ca="1" si="15"/>
        <v/>
      </c>
      <c r="AC255" s="322"/>
      <c r="AD255" s="315"/>
      <c r="AE255" s="32" t="str" cm="1">
        <f t="array" ref="AE255">IFERROR(IF(INDEX(SubsidieTabel!$AD$1:$AG$12,MATCH($F255,SubsidieTabel!$AD$1:$AD$12,0),IFERROR(MATCH(Methode_Keuze,SubsidieTabel!$AD$1:$AG$1,0),2))&lt;&gt;1=TRUE,"ja",""),"")</f>
        <v/>
      </c>
    </row>
    <row r="256" spans="1:31" x14ac:dyDescent="0.25">
      <c r="A256" s="316"/>
      <c r="B256" s="317" t="str">
        <f>IF(A256&lt;&gt;"",_xlfn.MAXIFS($B$1:B255,$A$1:A255,A256)+1,"")</f>
        <v/>
      </c>
      <c r="C256" s="296"/>
      <c r="D256" s="296"/>
      <c r="E256" s="296"/>
      <c r="F256" s="296"/>
      <c r="G256" s="326"/>
      <c r="H256" s="324"/>
      <c r="I256" s="325"/>
      <c r="J256" s="325"/>
      <c r="K256" s="318"/>
      <c r="L256" s="318"/>
      <c r="M256" s="319" t="str">
        <f>IFERROR(VLOOKUP(H256,Lijsten!$H$1:$I$100,2,0),"")</f>
        <v/>
      </c>
      <c r="N256" s="319" t="str">
        <f ca="1">IFERROR(IF(VLOOKUP(F256,Kostentypen!$A$3:$E$21,3,0)=0,"",IF(OR(F256="Arbeidskosten",F256="Vergoeding"),VLOOKUP(G256,Tb_KostenTypen[],2,0),VLOOKUP(F256,Kostentypen!$A$3:$E$20,3,0))),"")</f>
        <v/>
      </c>
      <c r="O256" s="320" t="str" cm="1">
        <f t="array" ref="O256">_xlfn.IFNA(IF(INDEX(Tb_KostenOptiesDB[],MATCH($F256,Tb_KostenOptiesDB[KostenOptie],0),IFERROR(MATCH(Methode_Keuze,Tb_KostenOptiesDB[#Headers],0),2))=1,_xlfn.SWITCH($N256,"Uurtarief",IF(OR(AND(RIGHT($F256,3)="IKS",VLOOKUP($M256,DB_Loonkosten,2,0)="Ja"),AND(RIGHT($F256,3)&lt;&gt;"IKS",VLOOKUP($M256,DB_Loonkosten,2,0)="Nee")),IFERROR(VLOOKUP($M256,DB_Loonkosten,24,0),""),0),"Vast tarief",IF(LEFT(F256,8)="Bijdrage",VLOOKUP($F256,Tb_KostenTypen[],MATCH(Lijsten!$P$1,Tb_KostenTypen[#Headers],0),0),VLOOKUP($G256,Lijsten!L:P,MATCH(Lijsten!$P$1,Kop_Tarief_Vast,0),0))),""),"")</f>
        <v/>
      </c>
      <c r="P256" s="320" t="str" cm="1">
        <f t="array" ref="P256">_xlfn.IFNA(IF(INDEX(Tb_KostenOptiesDB[],MATCH($F256,Tb_KostenOptiesDB[KostenOptie],0),IFERROR(MATCH(Methode_Keuze,Tb_KostenOptiesDB[#Headers],0),2))=1,_xlfn.SWITCH($N256,"Uurtarief",IF(OR(AND(RIGHT($F256,3)="IKS",VLOOKUP($M256,DB_Loonkosten,2,0)="Ja"),AND(RIGHT($F256,3)&lt;&gt;"IKS",VLOOKUP($M256,DB_Loonkosten,2,0)="Nee")),IFERROR(VLOOKUP($M256,DB_Loonkosten,25,0),""),0),"Vast tarief",IF(LEFT(F256,8)="Bijdrage",VLOOKUP($F256,Tb_KostenTypen[],MATCH(Lijsten!$P$1,Tb_KostenTypen[#Headers],0),0),VLOOKUP($G256,Lijsten!L:P,MATCH(Lijsten!$P$1,Kop_Tarief_Vast,0),0))),""),"")</f>
        <v/>
      </c>
      <c r="Q256" s="359"/>
      <c r="R256" s="359"/>
      <c r="S256" s="321"/>
      <c r="T256" s="321"/>
      <c r="U256" s="373" t="str">
        <f t="shared" si="12"/>
        <v/>
      </c>
      <c r="V256" s="314" t="str">
        <f t="shared" si="13"/>
        <v/>
      </c>
      <c r="W256" s="314" t="str" cm="1">
        <f t="array" aca="1" ref="W256" ca="1">IFERROR(IF(AE256&lt;&gt;"ja",_xlfn.IFNA(_xlfn.IFS(AND(O256&lt;&gt;"",F256&lt;&gt;"",RIGHT($N256,6)="tarief",F256="Vergoeding"),SUM(O256)*FLOOR(SUM(Q256),0.0001),AND(O256&lt;&gt;"",F256&lt;&gt;"",RIGHT($N256,6)="tarief"),SUM(O256)*FLOOR(SUM(Q256),0.01),S256&gt;0,IF(F256&lt;&gt;"",FLOOR(SUM(S256),0.01),"")),""),""),"")</f>
        <v/>
      </c>
      <c r="X256" s="314" t="str" cm="1">
        <f t="array" aca="1" ref="X256" ca="1">IFERROR(IF(AE256&lt;&gt;"ja",_xlfn.IFNA(_xlfn.IFS(AND(P256&lt;&gt;"",R256&lt;&gt;"",RIGHT($N256,6)="tarief",F256="Vergoeding"),SUM(P256)*FLOOR(SUM(R256),0.0001),AND(P256&lt;&gt;"",R256&lt;&gt;"",RIGHT($N256,6)="tarief"),P256*FLOOR(R256,0.01),T256&gt;0,FLOOR(SUM(T256),0.01)),""),""),"")</f>
        <v/>
      </c>
      <c r="Y256" s="314" t="str">
        <f t="shared" ca="1" si="14"/>
        <v/>
      </c>
      <c r="Z256" s="314" t="str" cm="1">
        <f t="array" aca="1" ref="Z256" ca="1">IFERROR(_xlfn.IFS(OR(F256="",LEFT(Methode_Keuze,4)="Geen",Methode_Keuze=""),"",AND(W256&lt;&gt;"",F256&lt;&gt;"Arbeidskosten"),W256*VLOOKUP(F256,Tb_ProjectKosten[],MATCH(Tb_ProjectKosten[[#Headers],[Forfait_Percentage]],Tb_ProjectKosten[#Headers],0),0),AND(F256="Arbeidskosten",G256&lt;&gt;""),IFERROR(W256*VLOOKUP(G256,Tb_KostenTypen[],3,0)*VLOOKUP(F256,Tb_ProjectKosten[],MATCH(Tb_ProjectKosten[[#Headers],[Forfait_Percentage]],Tb_ProjectKosten[#Headers],0),0),""),W256 &lt;=0,0),"")</f>
        <v/>
      </c>
      <c r="AA256" s="314" t="str" cm="1">
        <f t="array" aca="1" ref="AA256" ca="1">IFERROR(_xlfn.IFS(OR(F256="",LEFT(Methode_Keuze,4)="Geen",Methode_Keuze=""),"",AND(X256&lt;&gt;"",F256&lt;&gt;"Arbeidskosten"),X256*VLOOKUP(F256,Tb_ProjectKosten[],MATCH(Tb_ProjectKosten[[#Headers],[Forfait_Percentage]],Tb_ProjectKosten[#Headers],0),0),AND(F256="Arbeidskosten",G256&lt;&gt;""),IFERROR(X256*VLOOKUP(G256,Tb_KostenTypen[],3,0)*VLOOKUP(F256,Tb_ProjectKosten[],MATCH(Tb_ProjectKosten[[#Headers],[Forfait_Percentage]],Tb_ProjectKosten[#Headers],0),0),""),X256 &lt;=0,0),"")</f>
        <v/>
      </c>
      <c r="AB256" s="314" t="str">
        <f t="shared" ca="1" si="15"/>
        <v/>
      </c>
      <c r="AC256" s="322"/>
      <c r="AD256" s="315"/>
      <c r="AE256" s="32" t="str" cm="1">
        <f t="array" ref="AE256">IFERROR(IF(INDEX(SubsidieTabel!$AD$1:$AG$12,MATCH($F256,SubsidieTabel!$AD$1:$AD$12,0),IFERROR(MATCH(Methode_Keuze,SubsidieTabel!$AD$1:$AG$1,0),2))&lt;&gt;1=TRUE,"ja",""),"")</f>
        <v/>
      </c>
    </row>
    <row r="257" spans="1:31" x14ac:dyDescent="0.25">
      <c r="A257" s="316"/>
      <c r="B257" s="317" t="str">
        <f>IF(A257&lt;&gt;"",_xlfn.MAXIFS($B$1:B256,$A$1:A256,A257)+1,"")</f>
        <v/>
      </c>
      <c r="C257" s="296"/>
      <c r="D257" s="296"/>
      <c r="E257" s="296"/>
      <c r="F257" s="296"/>
      <c r="G257" s="326"/>
      <c r="H257" s="324"/>
      <c r="I257" s="325"/>
      <c r="J257" s="325"/>
      <c r="K257" s="318"/>
      <c r="L257" s="318"/>
      <c r="M257" s="319" t="str">
        <f>IFERROR(VLOOKUP(H257,Lijsten!$H$1:$I$100,2,0),"")</f>
        <v/>
      </c>
      <c r="N257" s="319" t="str">
        <f ca="1">IFERROR(IF(VLOOKUP(F257,Kostentypen!$A$3:$E$21,3,0)=0,"",IF(OR(F257="Arbeidskosten",F257="Vergoeding"),VLOOKUP(G257,Tb_KostenTypen[],2,0),VLOOKUP(F257,Kostentypen!$A$3:$E$20,3,0))),"")</f>
        <v/>
      </c>
      <c r="O257" s="320" t="str" cm="1">
        <f t="array" ref="O257">_xlfn.IFNA(IF(INDEX(Tb_KostenOptiesDB[],MATCH($F257,Tb_KostenOptiesDB[KostenOptie],0),IFERROR(MATCH(Methode_Keuze,Tb_KostenOptiesDB[#Headers],0),2))=1,_xlfn.SWITCH($N257,"Uurtarief",IF(OR(AND(RIGHT($F257,3)="IKS",VLOOKUP($M257,DB_Loonkosten,2,0)="Ja"),AND(RIGHT($F257,3)&lt;&gt;"IKS",VLOOKUP($M257,DB_Loonkosten,2,0)="Nee")),IFERROR(VLOOKUP($M257,DB_Loonkosten,24,0),""),0),"Vast tarief",IF(LEFT(F257,8)="Bijdrage",VLOOKUP($F257,Tb_KostenTypen[],MATCH(Lijsten!$P$1,Tb_KostenTypen[#Headers],0),0),VLOOKUP($G257,Lijsten!L:P,MATCH(Lijsten!$P$1,Kop_Tarief_Vast,0),0))),""),"")</f>
        <v/>
      </c>
      <c r="P257" s="320" t="str" cm="1">
        <f t="array" ref="P257">_xlfn.IFNA(IF(INDEX(Tb_KostenOptiesDB[],MATCH($F257,Tb_KostenOptiesDB[KostenOptie],0),IFERROR(MATCH(Methode_Keuze,Tb_KostenOptiesDB[#Headers],0),2))=1,_xlfn.SWITCH($N257,"Uurtarief",IF(OR(AND(RIGHT($F257,3)="IKS",VLOOKUP($M257,DB_Loonkosten,2,0)="Ja"),AND(RIGHT($F257,3)&lt;&gt;"IKS",VLOOKUP($M257,DB_Loonkosten,2,0)="Nee")),IFERROR(VLOOKUP($M257,DB_Loonkosten,25,0),""),0),"Vast tarief",IF(LEFT(F257,8)="Bijdrage",VLOOKUP($F257,Tb_KostenTypen[],MATCH(Lijsten!$P$1,Tb_KostenTypen[#Headers],0),0),VLOOKUP($G257,Lijsten!L:P,MATCH(Lijsten!$P$1,Kop_Tarief_Vast,0),0))),""),"")</f>
        <v/>
      </c>
      <c r="Q257" s="359"/>
      <c r="R257" s="359"/>
      <c r="S257" s="321"/>
      <c r="T257" s="321"/>
      <c r="U257" s="373" t="str">
        <f t="shared" si="12"/>
        <v/>
      </c>
      <c r="V257" s="314" t="str">
        <f t="shared" si="13"/>
        <v/>
      </c>
      <c r="W257" s="314" t="str" cm="1">
        <f t="array" aca="1" ref="W257" ca="1">IFERROR(IF(AE257&lt;&gt;"ja",_xlfn.IFNA(_xlfn.IFS(AND(O257&lt;&gt;"",F257&lt;&gt;"",RIGHT($N257,6)="tarief",F257="Vergoeding"),SUM(O257)*FLOOR(SUM(Q257),0.0001),AND(O257&lt;&gt;"",F257&lt;&gt;"",RIGHT($N257,6)="tarief"),SUM(O257)*FLOOR(SUM(Q257),0.01),S257&gt;0,IF(F257&lt;&gt;"",FLOOR(SUM(S257),0.01),"")),""),""),"")</f>
        <v/>
      </c>
      <c r="X257" s="314" t="str" cm="1">
        <f t="array" aca="1" ref="X257" ca="1">IFERROR(IF(AE257&lt;&gt;"ja",_xlfn.IFNA(_xlfn.IFS(AND(P257&lt;&gt;"",R257&lt;&gt;"",RIGHT($N257,6)="tarief",F257="Vergoeding"),SUM(P257)*FLOOR(SUM(R257),0.0001),AND(P257&lt;&gt;"",R257&lt;&gt;"",RIGHT($N257,6)="tarief"),P257*FLOOR(R257,0.01),T257&gt;0,FLOOR(SUM(T257),0.01)),""),""),"")</f>
        <v/>
      </c>
      <c r="Y257" s="314" t="str">
        <f t="shared" ca="1" si="14"/>
        <v/>
      </c>
      <c r="Z257" s="314" t="str" cm="1">
        <f t="array" aca="1" ref="Z257" ca="1">IFERROR(_xlfn.IFS(OR(F257="",LEFT(Methode_Keuze,4)="Geen",Methode_Keuze=""),"",AND(W257&lt;&gt;"",F257&lt;&gt;"Arbeidskosten"),W257*VLOOKUP(F257,Tb_ProjectKosten[],MATCH(Tb_ProjectKosten[[#Headers],[Forfait_Percentage]],Tb_ProjectKosten[#Headers],0),0),AND(F257="Arbeidskosten",G257&lt;&gt;""),IFERROR(W257*VLOOKUP(G257,Tb_KostenTypen[],3,0)*VLOOKUP(F257,Tb_ProjectKosten[],MATCH(Tb_ProjectKosten[[#Headers],[Forfait_Percentage]],Tb_ProjectKosten[#Headers],0),0),""),W257 &lt;=0,0),"")</f>
        <v/>
      </c>
      <c r="AA257" s="314" t="str" cm="1">
        <f t="array" aca="1" ref="AA257" ca="1">IFERROR(_xlfn.IFS(OR(F257="",LEFT(Methode_Keuze,4)="Geen",Methode_Keuze=""),"",AND(X257&lt;&gt;"",F257&lt;&gt;"Arbeidskosten"),X257*VLOOKUP(F257,Tb_ProjectKosten[],MATCH(Tb_ProjectKosten[[#Headers],[Forfait_Percentage]],Tb_ProjectKosten[#Headers],0),0),AND(F257="Arbeidskosten",G257&lt;&gt;""),IFERROR(X257*VLOOKUP(G257,Tb_KostenTypen[],3,0)*VLOOKUP(F257,Tb_ProjectKosten[],MATCH(Tb_ProjectKosten[[#Headers],[Forfait_Percentage]],Tb_ProjectKosten[#Headers],0),0),""),X257 &lt;=0,0),"")</f>
        <v/>
      </c>
      <c r="AB257" s="314" t="str">
        <f t="shared" ca="1" si="15"/>
        <v/>
      </c>
      <c r="AC257" s="322"/>
      <c r="AD257" s="315"/>
      <c r="AE257" s="32" t="str" cm="1">
        <f t="array" ref="AE257">IFERROR(IF(INDEX(SubsidieTabel!$AD$1:$AG$12,MATCH($F257,SubsidieTabel!$AD$1:$AD$12,0),IFERROR(MATCH(Methode_Keuze,SubsidieTabel!$AD$1:$AG$1,0),2))&lt;&gt;1=TRUE,"ja",""),"")</f>
        <v/>
      </c>
    </row>
    <row r="258" spans="1:31" x14ac:dyDescent="0.25">
      <c r="A258" s="316"/>
      <c r="B258" s="317" t="str">
        <f>IF(A258&lt;&gt;"",_xlfn.MAXIFS($B$1:B257,$A$1:A257,A258)+1,"")</f>
        <v/>
      </c>
      <c r="C258" s="296"/>
      <c r="D258" s="296"/>
      <c r="E258" s="296"/>
      <c r="F258" s="296"/>
      <c r="G258" s="326"/>
      <c r="H258" s="324"/>
      <c r="I258" s="325"/>
      <c r="J258" s="325"/>
      <c r="K258" s="318"/>
      <c r="L258" s="318"/>
      <c r="M258" s="319" t="str">
        <f>IFERROR(VLOOKUP(H258,Lijsten!$H$1:$I$100,2,0),"")</f>
        <v/>
      </c>
      <c r="N258" s="319" t="str">
        <f ca="1">IFERROR(IF(VLOOKUP(F258,Kostentypen!$A$3:$E$21,3,0)=0,"",IF(OR(F258="Arbeidskosten",F258="Vergoeding"),VLOOKUP(G258,Tb_KostenTypen[],2,0),VLOOKUP(F258,Kostentypen!$A$3:$E$20,3,0))),"")</f>
        <v/>
      </c>
      <c r="O258" s="320" t="str" cm="1">
        <f t="array" ref="O258">_xlfn.IFNA(IF(INDEX(Tb_KostenOptiesDB[],MATCH($F258,Tb_KostenOptiesDB[KostenOptie],0),IFERROR(MATCH(Methode_Keuze,Tb_KostenOptiesDB[#Headers],0),2))=1,_xlfn.SWITCH($N258,"Uurtarief",IF(OR(AND(RIGHT($F258,3)="IKS",VLOOKUP($M258,DB_Loonkosten,2,0)="Ja"),AND(RIGHT($F258,3)&lt;&gt;"IKS",VLOOKUP($M258,DB_Loonkosten,2,0)="Nee")),IFERROR(VLOOKUP($M258,DB_Loonkosten,24,0),""),0),"Vast tarief",IF(LEFT(F258,8)="Bijdrage",VLOOKUP($F258,Tb_KostenTypen[],MATCH(Lijsten!$P$1,Tb_KostenTypen[#Headers],0),0),VLOOKUP($G258,Lijsten!L:P,MATCH(Lijsten!$P$1,Kop_Tarief_Vast,0),0))),""),"")</f>
        <v/>
      </c>
      <c r="P258" s="320" t="str" cm="1">
        <f t="array" ref="P258">_xlfn.IFNA(IF(INDEX(Tb_KostenOptiesDB[],MATCH($F258,Tb_KostenOptiesDB[KostenOptie],0),IFERROR(MATCH(Methode_Keuze,Tb_KostenOptiesDB[#Headers],0),2))=1,_xlfn.SWITCH($N258,"Uurtarief",IF(OR(AND(RIGHT($F258,3)="IKS",VLOOKUP($M258,DB_Loonkosten,2,0)="Ja"),AND(RIGHT($F258,3)&lt;&gt;"IKS",VLOOKUP($M258,DB_Loonkosten,2,0)="Nee")),IFERROR(VLOOKUP($M258,DB_Loonkosten,25,0),""),0),"Vast tarief",IF(LEFT(F258,8)="Bijdrage",VLOOKUP($F258,Tb_KostenTypen[],MATCH(Lijsten!$P$1,Tb_KostenTypen[#Headers],0),0),VLOOKUP($G258,Lijsten!L:P,MATCH(Lijsten!$P$1,Kop_Tarief_Vast,0),0))),""),"")</f>
        <v/>
      </c>
      <c r="Q258" s="359"/>
      <c r="R258" s="359"/>
      <c r="S258" s="321"/>
      <c r="T258" s="321"/>
      <c r="U258" s="373" t="str">
        <f t="shared" si="12"/>
        <v/>
      </c>
      <c r="V258" s="314" t="str">
        <f t="shared" si="13"/>
        <v/>
      </c>
      <c r="W258" s="314" t="str" cm="1">
        <f t="array" aca="1" ref="W258" ca="1">IFERROR(IF(AE258&lt;&gt;"ja",_xlfn.IFNA(_xlfn.IFS(AND(O258&lt;&gt;"",F258&lt;&gt;"",RIGHT($N258,6)="tarief",F258="Vergoeding"),SUM(O258)*FLOOR(SUM(Q258),0.0001),AND(O258&lt;&gt;"",F258&lt;&gt;"",RIGHT($N258,6)="tarief"),SUM(O258)*FLOOR(SUM(Q258),0.01),S258&gt;0,IF(F258&lt;&gt;"",FLOOR(SUM(S258),0.01),"")),""),""),"")</f>
        <v/>
      </c>
      <c r="X258" s="314" t="str" cm="1">
        <f t="array" aca="1" ref="X258" ca="1">IFERROR(IF(AE258&lt;&gt;"ja",_xlfn.IFNA(_xlfn.IFS(AND(P258&lt;&gt;"",R258&lt;&gt;"",RIGHT($N258,6)="tarief",F258="Vergoeding"),SUM(P258)*FLOOR(SUM(R258),0.0001),AND(P258&lt;&gt;"",R258&lt;&gt;"",RIGHT($N258,6)="tarief"),P258*FLOOR(R258,0.01),T258&gt;0,FLOOR(SUM(T258),0.01)),""),""),"")</f>
        <v/>
      </c>
      <c r="Y258" s="314" t="str">
        <f t="shared" ca="1" si="14"/>
        <v/>
      </c>
      <c r="Z258" s="314" t="str" cm="1">
        <f t="array" aca="1" ref="Z258" ca="1">IFERROR(_xlfn.IFS(OR(F258="",LEFT(Methode_Keuze,4)="Geen",Methode_Keuze=""),"",AND(W258&lt;&gt;"",F258&lt;&gt;"Arbeidskosten"),W258*VLOOKUP(F258,Tb_ProjectKosten[],MATCH(Tb_ProjectKosten[[#Headers],[Forfait_Percentage]],Tb_ProjectKosten[#Headers],0),0),AND(F258="Arbeidskosten",G258&lt;&gt;""),IFERROR(W258*VLOOKUP(G258,Tb_KostenTypen[],3,0)*VLOOKUP(F258,Tb_ProjectKosten[],MATCH(Tb_ProjectKosten[[#Headers],[Forfait_Percentage]],Tb_ProjectKosten[#Headers],0),0),""),W258 &lt;=0,0),"")</f>
        <v/>
      </c>
      <c r="AA258" s="314" t="str" cm="1">
        <f t="array" aca="1" ref="AA258" ca="1">IFERROR(_xlfn.IFS(OR(F258="",LEFT(Methode_Keuze,4)="Geen",Methode_Keuze=""),"",AND(X258&lt;&gt;"",F258&lt;&gt;"Arbeidskosten"),X258*VLOOKUP(F258,Tb_ProjectKosten[],MATCH(Tb_ProjectKosten[[#Headers],[Forfait_Percentage]],Tb_ProjectKosten[#Headers],0),0),AND(F258="Arbeidskosten",G258&lt;&gt;""),IFERROR(X258*VLOOKUP(G258,Tb_KostenTypen[],3,0)*VLOOKUP(F258,Tb_ProjectKosten[],MATCH(Tb_ProjectKosten[[#Headers],[Forfait_Percentage]],Tb_ProjectKosten[#Headers],0),0),""),X258 &lt;=0,0),"")</f>
        <v/>
      </c>
      <c r="AB258" s="314" t="str">
        <f t="shared" ca="1" si="15"/>
        <v/>
      </c>
      <c r="AC258" s="322"/>
      <c r="AD258" s="315"/>
      <c r="AE258" s="32" t="str" cm="1">
        <f t="array" ref="AE258">IFERROR(IF(INDEX(SubsidieTabel!$AD$1:$AG$12,MATCH($F258,SubsidieTabel!$AD$1:$AD$12,0),IFERROR(MATCH(Methode_Keuze,SubsidieTabel!$AD$1:$AG$1,0),2))&lt;&gt;1=TRUE,"ja",""),"")</f>
        <v/>
      </c>
    </row>
    <row r="259" spans="1:31" x14ac:dyDescent="0.25">
      <c r="A259" s="316"/>
      <c r="B259" s="317" t="str">
        <f>IF(A259&lt;&gt;"",_xlfn.MAXIFS($B$1:B258,$A$1:A258,A259)+1,"")</f>
        <v/>
      </c>
      <c r="C259" s="296"/>
      <c r="D259" s="296"/>
      <c r="E259" s="296"/>
      <c r="F259" s="296"/>
      <c r="G259" s="326"/>
      <c r="H259" s="324"/>
      <c r="I259" s="325"/>
      <c r="J259" s="325"/>
      <c r="K259" s="318"/>
      <c r="L259" s="318"/>
      <c r="M259" s="319" t="str">
        <f>IFERROR(VLOOKUP(H259,Lijsten!$H$1:$I$100,2,0),"")</f>
        <v/>
      </c>
      <c r="N259" s="319" t="str">
        <f ca="1">IFERROR(IF(VLOOKUP(F259,Kostentypen!$A$3:$E$21,3,0)=0,"",IF(OR(F259="Arbeidskosten",F259="Vergoeding"),VLOOKUP(G259,Tb_KostenTypen[],2,0),VLOOKUP(F259,Kostentypen!$A$3:$E$20,3,0))),"")</f>
        <v/>
      </c>
      <c r="O259" s="320" t="str" cm="1">
        <f t="array" ref="O259">_xlfn.IFNA(IF(INDEX(Tb_KostenOptiesDB[],MATCH($F259,Tb_KostenOptiesDB[KostenOptie],0),IFERROR(MATCH(Methode_Keuze,Tb_KostenOptiesDB[#Headers],0),2))=1,_xlfn.SWITCH($N259,"Uurtarief",IF(OR(AND(RIGHT($F259,3)="IKS",VLOOKUP($M259,DB_Loonkosten,2,0)="Ja"),AND(RIGHT($F259,3)&lt;&gt;"IKS",VLOOKUP($M259,DB_Loonkosten,2,0)="Nee")),IFERROR(VLOOKUP($M259,DB_Loonkosten,24,0),""),0),"Vast tarief",IF(LEFT(F259,8)="Bijdrage",VLOOKUP($F259,Tb_KostenTypen[],MATCH(Lijsten!$P$1,Tb_KostenTypen[#Headers],0),0),VLOOKUP($G259,Lijsten!L:P,MATCH(Lijsten!$P$1,Kop_Tarief_Vast,0),0))),""),"")</f>
        <v/>
      </c>
      <c r="P259" s="320" t="str" cm="1">
        <f t="array" ref="P259">_xlfn.IFNA(IF(INDEX(Tb_KostenOptiesDB[],MATCH($F259,Tb_KostenOptiesDB[KostenOptie],0),IFERROR(MATCH(Methode_Keuze,Tb_KostenOptiesDB[#Headers],0),2))=1,_xlfn.SWITCH($N259,"Uurtarief",IF(OR(AND(RIGHT($F259,3)="IKS",VLOOKUP($M259,DB_Loonkosten,2,0)="Ja"),AND(RIGHT($F259,3)&lt;&gt;"IKS",VLOOKUP($M259,DB_Loonkosten,2,0)="Nee")),IFERROR(VLOOKUP($M259,DB_Loonkosten,25,0),""),0),"Vast tarief",IF(LEFT(F259,8)="Bijdrage",VLOOKUP($F259,Tb_KostenTypen[],MATCH(Lijsten!$P$1,Tb_KostenTypen[#Headers],0),0),VLOOKUP($G259,Lijsten!L:P,MATCH(Lijsten!$P$1,Kop_Tarief_Vast,0),0))),""),"")</f>
        <v/>
      </c>
      <c r="Q259" s="359"/>
      <c r="R259" s="359"/>
      <c r="S259" s="321"/>
      <c r="T259" s="321"/>
      <c r="U259" s="373" t="str">
        <f t="shared" ref="U259:U322" si="16">IFERROR(IF(AND(R259&lt;&gt;"",R259&lt;&gt;Q259),-1*(R259-Q259),""),"")</f>
        <v/>
      </c>
      <c r="V259" s="314" t="str">
        <f t="shared" ref="V259:V322" si="17">IFERROR(IF(AND(T259&lt;&gt;"",T259&lt;&gt;S259),-1*(T259-S259),""),"")</f>
        <v/>
      </c>
      <c r="W259" s="314" t="str" cm="1">
        <f t="array" aca="1" ref="W259" ca="1">IFERROR(IF(AE259&lt;&gt;"ja",_xlfn.IFNA(_xlfn.IFS(AND(O259&lt;&gt;"",F259&lt;&gt;"",RIGHT($N259,6)="tarief",F259="Vergoeding"),SUM(O259)*FLOOR(SUM(Q259),0.0001),AND(O259&lt;&gt;"",F259&lt;&gt;"",RIGHT($N259,6)="tarief"),SUM(O259)*FLOOR(SUM(Q259),0.01),S259&gt;0,IF(F259&lt;&gt;"",FLOOR(SUM(S259),0.01),"")),""),""),"")</f>
        <v/>
      </c>
      <c r="X259" s="314" t="str" cm="1">
        <f t="array" aca="1" ref="X259" ca="1">IFERROR(IF(AE259&lt;&gt;"ja",_xlfn.IFNA(_xlfn.IFS(AND(P259&lt;&gt;"",R259&lt;&gt;"",RIGHT($N259,6)="tarief",F259="Vergoeding"),SUM(P259)*FLOOR(SUM(R259),0.0001),AND(P259&lt;&gt;"",R259&lt;&gt;"",RIGHT($N259,6)="tarief"),P259*FLOOR(R259,0.01),T259&gt;0,FLOOR(SUM(T259),0.01)),""),""),"")</f>
        <v/>
      </c>
      <c r="Y259" s="314" t="str">
        <f t="shared" ref="Y259:Y322" ca="1" si="18">IFERROR(IF(AND(X259&lt;&gt;"",X259&lt;&gt;W259),-1*(X259-W259),""),"")</f>
        <v/>
      </c>
      <c r="Z259" s="314" t="str" cm="1">
        <f t="array" aca="1" ref="Z259" ca="1">IFERROR(_xlfn.IFS(OR(F259="",LEFT(Methode_Keuze,4)="Geen",Methode_Keuze=""),"",AND(W259&lt;&gt;"",F259&lt;&gt;"Arbeidskosten"),W259*VLOOKUP(F259,Tb_ProjectKosten[],MATCH(Tb_ProjectKosten[[#Headers],[Forfait_Percentage]],Tb_ProjectKosten[#Headers],0),0),AND(F259="Arbeidskosten",G259&lt;&gt;""),IFERROR(W259*VLOOKUP(G259,Tb_KostenTypen[],3,0)*VLOOKUP(F259,Tb_ProjectKosten[],MATCH(Tb_ProjectKosten[[#Headers],[Forfait_Percentage]],Tb_ProjectKosten[#Headers],0),0),""),W259 &lt;=0,0),"")</f>
        <v/>
      </c>
      <c r="AA259" s="314" t="str" cm="1">
        <f t="array" aca="1" ref="AA259" ca="1">IFERROR(_xlfn.IFS(OR(F259="",LEFT(Methode_Keuze,4)="Geen",Methode_Keuze=""),"",AND(X259&lt;&gt;"",F259&lt;&gt;"Arbeidskosten"),X259*VLOOKUP(F259,Tb_ProjectKosten[],MATCH(Tb_ProjectKosten[[#Headers],[Forfait_Percentage]],Tb_ProjectKosten[#Headers],0),0),AND(F259="Arbeidskosten",G259&lt;&gt;""),IFERROR(X259*VLOOKUP(G259,Tb_KostenTypen[],3,0)*VLOOKUP(F259,Tb_ProjectKosten[],MATCH(Tb_ProjectKosten[[#Headers],[Forfait_Percentage]],Tb_ProjectKosten[#Headers],0),0),""),X259 &lt;=0,0),"")</f>
        <v/>
      </c>
      <c r="AB259" s="314" t="str">
        <f t="shared" ref="AB259:AB322" ca="1" si="19">IFERROR(IF(AND(AA259&lt;&gt;"",AA259&lt;&gt;Z259),-1*(AA259-Z259),""),"")</f>
        <v/>
      </c>
      <c r="AC259" s="322"/>
      <c r="AD259" s="315"/>
      <c r="AE259" s="32" t="str" cm="1">
        <f t="array" ref="AE259">IFERROR(IF(INDEX(SubsidieTabel!$AD$1:$AG$12,MATCH($F259,SubsidieTabel!$AD$1:$AD$12,0),IFERROR(MATCH(Methode_Keuze,SubsidieTabel!$AD$1:$AG$1,0),2))&lt;&gt;1=TRUE,"ja",""),"")</f>
        <v/>
      </c>
    </row>
    <row r="260" spans="1:31" x14ac:dyDescent="0.25">
      <c r="A260" s="316"/>
      <c r="B260" s="317" t="str">
        <f>IF(A260&lt;&gt;"",_xlfn.MAXIFS($B$1:B259,$A$1:A259,A260)+1,"")</f>
        <v/>
      </c>
      <c r="C260" s="296"/>
      <c r="D260" s="296"/>
      <c r="E260" s="296"/>
      <c r="F260" s="296"/>
      <c r="G260" s="326"/>
      <c r="H260" s="324"/>
      <c r="I260" s="325"/>
      <c r="J260" s="325"/>
      <c r="K260" s="318"/>
      <c r="L260" s="318"/>
      <c r="M260" s="319" t="str">
        <f>IFERROR(VLOOKUP(H260,Lijsten!$H$1:$I$100,2,0),"")</f>
        <v/>
      </c>
      <c r="N260" s="319" t="str">
        <f ca="1">IFERROR(IF(VLOOKUP(F260,Kostentypen!$A$3:$E$21,3,0)=0,"",IF(OR(F260="Arbeidskosten",F260="Vergoeding"),VLOOKUP(G260,Tb_KostenTypen[],2,0),VLOOKUP(F260,Kostentypen!$A$3:$E$20,3,0))),"")</f>
        <v/>
      </c>
      <c r="O260" s="320" t="str" cm="1">
        <f t="array" ref="O260">_xlfn.IFNA(IF(INDEX(Tb_KostenOptiesDB[],MATCH($F260,Tb_KostenOptiesDB[KostenOptie],0),IFERROR(MATCH(Methode_Keuze,Tb_KostenOptiesDB[#Headers],0),2))=1,_xlfn.SWITCH($N260,"Uurtarief",IF(OR(AND(RIGHT($F260,3)="IKS",VLOOKUP($M260,DB_Loonkosten,2,0)="Ja"),AND(RIGHT($F260,3)&lt;&gt;"IKS",VLOOKUP($M260,DB_Loonkosten,2,0)="Nee")),IFERROR(VLOOKUP($M260,DB_Loonkosten,24,0),""),0),"Vast tarief",IF(LEFT(F260,8)="Bijdrage",VLOOKUP($F260,Tb_KostenTypen[],MATCH(Lijsten!$P$1,Tb_KostenTypen[#Headers],0),0),VLOOKUP($G260,Lijsten!L:P,MATCH(Lijsten!$P$1,Kop_Tarief_Vast,0),0))),""),"")</f>
        <v/>
      </c>
      <c r="P260" s="320" t="str" cm="1">
        <f t="array" ref="P260">_xlfn.IFNA(IF(INDEX(Tb_KostenOptiesDB[],MATCH($F260,Tb_KostenOptiesDB[KostenOptie],0),IFERROR(MATCH(Methode_Keuze,Tb_KostenOptiesDB[#Headers],0),2))=1,_xlfn.SWITCH($N260,"Uurtarief",IF(OR(AND(RIGHT($F260,3)="IKS",VLOOKUP($M260,DB_Loonkosten,2,0)="Ja"),AND(RIGHT($F260,3)&lt;&gt;"IKS",VLOOKUP($M260,DB_Loonkosten,2,0)="Nee")),IFERROR(VLOOKUP($M260,DB_Loonkosten,25,0),""),0),"Vast tarief",IF(LEFT(F260,8)="Bijdrage",VLOOKUP($F260,Tb_KostenTypen[],MATCH(Lijsten!$P$1,Tb_KostenTypen[#Headers],0),0),VLOOKUP($G260,Lijsten!L:P,MATCH(Lijsten!$P$1,Kop_Tarief_Vast,0),0))),""),"")</f>
        <v/>
      </c>
      <c r="Q260" s="359"/>
      <c r="R260" s="359"/>
      <c r="S260" s="321"/>
      <c r="T260" s="321"/>
      <c r="U260" s="373" t="str">
        <f t="shared" si="16"/>
        <v/>
      </c>
      <c r="V260" s="314" t="str">
        <f t="shared" si="17"/>
        <v/>
      </c>
      <c r="W260" s="314" t="str" cm="1">
        <f t="array" aca="1" ref="W260" ca="1">IFERROR(IF(AE260&lt;&gt;"ja",_xlfn.IFNA(_xlfn.IFS(AND(O260&lt;&gt;"",F260&lt;&gt;"",RIGHT($N260,6)="tarief",F260="Vergoeding"),SUM(O260)*FLOOR(SUM(Q260),0.0001),AND(O260&lt;&gt;"",F260&lt;&gt;"",RIGHT($N260,6)="tarief"),SUM(O260)*FLOOR(SUM(Q260),0.01),S260&gt;0,IF(F260&lt;&gt;"",FLOOR(SUM(S260),0.01),"")),""),""),"")</f>
        <v/>
      </c>
      <c r="X260" s="314" t="str" cm="1">
        <f t="array" aca="1" ref="X260" ca="1">IFERROR(IF(AE260&lt;&gt;"ja",_xlfn.IFNA(_xlfn.IFS(AND(P260&lt;&gt;"",R260&lt;&gt;"",RIGHT($N260,6)="tarief",F260="Vergoeding"),SUM(P260)*FLOOR(SUM(R260),0.0001),AND(P260&lt;&gt;"",R260&lt;&gt;"",RIGHT($N260,6)="tarief"),P260*FLOOR(R260,0.01),T260&gt;0,FLOOR(SUM(T260),0.01)),""),""),"")</f>
        <v/>
      </c>
      <c r="Y260" s="314" t="str">
        <f t="shared" ca="1" si="18"/>
        <v/>
      </c>
      <c r="Z260" s="314" t="str" cm="1">
        <f t="array" aca="1" ref="Z260" ca="1">IFERROR(_xlfn.IFS(OR(F260="",LEFT(Methode_Keuze,4)="Geen",Methode_Keuze=""),"",AND(W260&lt;&gt;"",F260&lt;&gt;"Arbeidskosten"),W260*VLOOKUP(F260,Tb_ProjectKosten[],MATCH(Tb_ProjectKosten[[#Headers],[Forfait_Percentage]],Tb_ProjectKosten[#Headers],0),0),AND(F260="Arbeidskosten",G260&lt;&gt;""),IFERROR(W260*VLOOKUP(G260,Tb_KostenTypen[],3,0)*VLOOKUP(F260,Tb_ProjectKosten[],MATCH(Tb_ProjectKosten[[#Headers],[Forfait_Percentage]],Tb_ProjectKosten[#Headers],0),0),""),W260 &lt;=0,0),"")</f>
        <v/>
      </c>
      <c r="AA260" s="314" t="str" cm="1">
        <f t="array" aca="1" ref="AA260" ca="1">IFERROR(_xlfn.IFS(OR(F260="",LEFT(Methode_Keuze,4)="Geen",Methode_Keuze=""),"",AND(X260&lt;&gt;"",F260&lt;&gt;"Arbeidskosten"),X260*VLOOKUP(F260,Tb_ProjectKosten[],MATCH(Tb_ProjectKosten[[#Headers],[Forfait_Percentage]],Tb_ProjectKosten[#Headers],0),0),AND(F260="Arbeidskosten",G260&lt;&gt;""),IFERROR(X260*VLOOKUP(G260,Tb_KostenTypen[],3,0)*VLOOKUP(F260,Tb_ProjectKosten[],MATCH(Tb_ProjectKosten[[#Headers],[Forfait_Percentage]],Tb_ProjectKosten[#Headers],0),0),""),X260 &lt;=0,0),"")</f>
        <v/>
      </c>
      <c r="AB260" s="314" t="str">
        <f t="shared" ca="1" si="19"/>
        <v/>
      </c>
      <c r="AC260" s="322"/>
      <c r="AD260" s="315"/>
      <c r="AE260" s="32" t="str" cm="1">
        <f t="array" ref="AE260">IFERROR(IF(INDEX(SubsidieTabel!$AD$1:$AG$12,MATCH($F260,SubsidieTabel!$AD$1:$AD$12,0),IFERROR(MATCH(Methode_Keuze,SubsidieTabel!$AD$1:$AG$1,0),2))&lt;&gt;1=TRUE,"ja",""),"")</f>
        <v/>
      </c>
    </row>
    <row r="261" spans="1:31" x14ac:dyDescent="0.25">
      <c r="A261" s="316"/>
      <c r="B261" s="317" t="str">
        <f>IF(A261&lt;&gt;"",_xlfn.MAXIFS($B$1:B260,$A$1:A260,A261)+1,"")</f>
        <v/>
      </c>
      <c r="C261" s="296"/>
      <c r="D261" s="296"/>
      <c r="E261" s="296"/>
      <c r="F261" s="296"/>
      <c r="G261" s="326"/>
      <c r="H261" s="324"/>
      <c r="I261" s="325"/>
      <c r="J261" s="325"/>
      <c r="K261" s="318"/>
      <c r="L261" s="318"/>
      <c r="M261" s="319" t="str">
        <f>IFERROR(VLOOKUP(H261,Lijsten!$H$1:$I$100,2,0),"")</f>
        <v/>
      </c>
      <c r="N261" s="319" t="str">
        <f ca="1">IFERROR(IF(VLOOKUP(F261,Kostentypen!$A$3:$E$21,3,0)=0,"",IF(OR(F261="Arbeidskosten",F261="Vergoeding"),VLOOKUP(G261,Tb_KostenTypen[],2,0),VLOOKUP(F261,Kostentypen!$A$3:$E$20,3,0))),"")</f>
        <v/>
      </c>
      <c r="O261" s="320" t="str" cm="1">
        <f t="array" ref="O261">_xlfn.IFNA(IF(INDEX(Tb_KostenOptiesDB[],MATCH($F261,Tb_KostenOptiesDB[KostenOptie],0),IFERROR(MATCH(Methode_Keuze,Tb_KostenOptiesDB[#Headers],0),2))=1,_xlfn.SWITCH($N261,"Uurtarief",IF(OR(AND(RIGHT($F261,3)="IKS",VLOOKUP($M261,DB_Loonkosten,2,0)="Ja"),AND(RIGHT($F261,3)&lt;&gt;"IKS",VLOOKUP($M261,DB_Loonkosten,2,0)="Nee")),IFERROR(VLOOKUP($M261,DB_Loonkosten,24,0),""),0),"Vast tarief",IF(LEFT(F261,8)="Bijdrage",VLOOKUP($F261,Tb_KostenTypen[],MATCH(Lijsten!$P$1,Tb_KostenTypen[#Headers],0),0),VLOOKUP($G261,Lijsten!L:P,MATCH(Lijsten!$P$1,Kop_Tarief_Vast,0),0))),""),"")</f>
        <v/>
      </c>
      <c r="P261" s="320" t="str" cm="1">
        <f t="array" ref="P261">_xlfn.IFNA(IF(INDEX(Tb_KostenOptiesDB[],MATCH($F261,Tb_KostenOptiesDB[KostenOptie],0),IFERROR(MATCH(Methode_Keuze,Tb_KostenOptiesDB[#Headers],0),2))=1,_xlfn.SWITCH($N261,"Uurtarief",IF(OR(AND(RIGHT($F261,3)="IKS",VLOOKUP($M261,DB_Loonkosten,2,0)="Ja"),AND(RIGHT($F261,3)&lt;&gt;"IKS",VLOOKUP($M261,DB_Loonkosten,2,0)="Nee")),IFERROR(VLOOKUP($M261,DB_Loonkosten,25,0),""),0),"Vast tarief",IF(LEFT(F261,8)="Bijdrage",VLOOKUP($F261,Tb_KostenTypen[],MATCH(Lijsten!$P$1,Tb_KostenTypen[#Headers],0),0),VLOOKUP($G261,Lijsten!L:P,MATCH(Lijsten!$P$1,Kop_Tarief_Vast,0),0))),""),"")</f>
        <v/>
      </c>
      <c r="Q261" s="359"/>
      <c r="R261" s="359"/>
      <c r="S261" s="321"/>
      <c r="T261" s="321"/>
      <c r="U261" s="373" t="str">
        <f t="shared" si="16"/>
        <v/>
      </c>
      <c r="V261" s="314" t="str">
        <f t="shared" si="17"/>
        <v/>
      </c>
      <c r="W261" s="314" t="str" cm="1">
        <f t="array" aca="1" ref="W261" ca="1">IFERROR(IF(AE261&lt;&gt;"ja",_xlfn.IFNA(_xlfn.IFS(AND(O261&lt;&gt;"",F261&lt;&gt;"",RIGHT($N261,6)="tarief",F261="Vergoeding"),SUM(O261)*FLOOR(SUM(Q261),0.0001),AND(O261&lt;&gt;"",F261&lt;&gt;"",RIGHT($N261,6)="tarief"),SUM(O261)*FLOOR(SUM(Q261),0.01),S261&gt;0,IF(F261&lt;&gt;"",FLOOR(SUM(S261),0.01),"")),""),""),"")</f>
        <v/>
      </c>
      <c r="X261" s="314" t="str" cm="1">
        <f t="array" aca="1" ref="X261" ca="1">IFERROR(IF(AE261&lt;&gt;"ja",_xlfn.IFNA(_xlfn.IFS(AND(P261&lt;&gt;"",R261&lt;&gt;"",RIGHT($N261,6)="tarief",F261="Vergoeding"),SUM(P261)*FLOOR(SUM(R261),0.0001),AND(P261&lt;&gt;"",R261&lt;&gt;"",RIGHT($N261,6)="tarief"),P261*FLOOR(R261,0.01),T261&gt;0,FLOOR(SUM(T261),0.01)),""),""),"")</f>
        <v/>
      </c>
      <c r="Y261" s="314" t="str">
        <f t="shared" ca="1" si="18"/>
        <v/>
      </c>
      <c r="Z261" s="314" t="str" cm="1">
        <f t="array" aca="1" ref="Z261" ca="1">IFERROR(_xlfn.IFS(OR(F261="",LEFT(Methode_Keuze,4)="Geen",Methode_Keuze=""),"",AND(W261&lt;&gt;"",F261&lt;&gt;"Arbeidskosten"),W261*VLOOKUP(F261,Tb_ProjectKosten[],MATCH(Tb_ProjectKosten[[#Headers],[Forfait_Percentage]],Tb_ProjectKosten[#Headers],0),0),AND(F261="Arbeidskosten",G261&lt;&gt;""),IFERROR(W261*VLOOKUP(G261,Tb_KostenTypen[],3,0)*VLOOKUP(F261,Tb_ProjectKosten[],MATCH(Tb_ProjectKosten[[#Headers],[Forfait_Percentage]],Tb_ProjectKosten[#Headers],0),0),""),W261 &lt;=0,0),"")</f>
        <v/>
      </c>
      <c r="AA261" s="314" t="str" cm="1">
        <f t="array" aca="1" ref="AA261" ca="1">IFERROR(_xlfn.IFS(OR(F261="",LEFT(Methode_Keuze,4)="Geen",Methode_Keuze=""),"",AND(X261&lt;&gt;"",F261&lt;&gt;"Arbeidskosten"),X261*VLOOKUP(F261,Tb_ProjectKosten[],MATCH(Tb_ProjectKosten[[#Headers],[Forfait_Percentage]],Tb_ProjectKosten[#Headers],0),0),AND(F261="Arbeidskosten",G261&lt;&gt;""),IFERROR(X261*VLOOKUP(G261,Tb_KostenTypen[],3,0)*VLOOKUP(F261,Tb_ProjectKosten[],MATCH(Tb_ProjectKosten[[#Headers],[Forfait_Percentage]],Tb_ProjectKosten[#Headers],0),0),""),X261 &lt;=0,0),"")</f>
        <v/>
      </c>
      <c r="AB261" s="314" t="str">
        <f t="shared" ca="1" si="19"/>
        <v/>
      </c>
      <c r="AC261" s="322"/>
      <c r="AD261" s="315"/>
      <c r="AE261" s="32" t="str" cm="1">
        <f t="array" ref="AE261">IFERROR(IF(INDEX(SubsidieTabel!$AD$1:$AG$12,MATCH($F261,SubsidieTabel!$AD$1:$AD$12,0),IFERROR(MATCH(Methode_Keuze,SubsidieTabel!$AD$1:$AG$1,0),2))&lt;&gt;1=TRUE,"ja",""),"")</f>
        <v/>
      </c>
    </row>
    <row r="262" spans="1:31" x14ac:dyDescent="0.25">
      <c r="A262" s="316"/>
      <c r="B262" s="317" t="str">
        <f>IF(A262&lt;&gt;"",_xlfn.MAXIFS($B$1:B261,$A$1:A261,A262)+1,"")</f>
        <v/>
      </c>
      <c r="C262" s="296"/>
      <c r="D262" s="296"/>
      <c r="E262" s="296"/>
      <c r="F262" s="296"/>
      <c r="G262" s="326"/>
      <c r="H262" s="324"/>
      <c r="I262" s="325"/>
      <c r="J262" s="325"/>
      <c r="K262" s="318"/>
      <c r="L262" s="318"/>
      <c r="M262" s="319" t="str">
        <f>IFERROR(VLOOKUP(H262,Lijsten!$H$1:$I$100,2,0),"")</f>
        <v/>
      </c>
      <c r="N262" s="319" t="str">
        <f ca="1">IFERROR(IF(VLOOKUP(F262,Kostentypen!$A$3:$E$21,3,0)=0,"",IF(OR(F262="Arbeidskosten",F262="Vergoeding"),VLOOKUP(G262,Tb_KostenTypen[],2,0),VLOOKUP(F262,Kostentypen!$A$3:$E$20,3,0))),"")</f>
        <v/>
      </c>
      <c r="O262" s="320" t="str" cm="1">
        <f t="array" ref="O262">_xlfn.IFNA(IF(INDEX(Tb_KostenOptiesDB[],MATCH($F262,Tb_KostenOptiesDB[KostenOptie],0),IFERROR(MATCH(Methode_Keuze,Tb_KostenOptiesDB[#Headers],0),2))=1,_xlfn.SWITCH($N262,"Uurtarief",IF(OR(AND(RIGHT($F262,3)="IKS",VLOOKUP($M262,DB_Loonkosten,2,0)="Ja"),AND(RIGHT($F262,3)&lt;&gt;"IKS",VLOOKUP($M262,DB_Loonkosten,2,0)="Nee")),IFERROR(VLOOKUP($M262,DB_Loonkosten,24,0),""),0),"Vast tarief",IF(LEFT(F262,8)="Bijdrage",VLOOKUP($F262,Tb_KostenTypen[],MATCH(Lijsten!$P$1,Tb_KostenTypen[#Headers],0),0),VLOOKUP($G262,Lijsten!L:P,MATCH(Lijsten!$P$1,Kop_Tarief_Vast,0),0))),""),"")</f>
        <v/>
      </c>
      <c r="P262" s="320" t="str" cm="1">
        <f t="array" ref="P262">_xlfn.IFNA(IF(INDEX(Tb_KostenOptiesDB[],MATCH($F262,Tb_KostenOptiesDB[KostenOptie],0),IFERROR(MATCH(Methode_Keuze,Tb_KostenOptiesDB[#Headers],0),2))=1,_xlfn.SWITCH($N262,"Uurtarief",IF(OR(AND(RIGHT($F262,3)="IKS",VLOOKUP($M262,DB_Loonkosten,2,0)="Ja"),AND(RIGHT($F262,3)&lt;&gt;"IKS",VLOOKUP($M262,DB_Loonkosten,2,0)="Nee")),IFERROR(VLOOKUP($M262,DB_Loonkosten,25,0),""),0),"Vast tarief",IF(LEFT(F262,8)="Bijdrage",VLOOKUP($F262,Tb_KostenTypen[],MATCH(Lijsten!$P$1,Tb_KostenTypen[#Headers],0),0),VLOOKUP($G262,Lijsten!L:P,MATCH(Lijsten!$P$1,Kop_Tarief_Vast,0),0))),""),"")</f>
        <v/>
      </c>
      <c r="Q262" s="359"/>
      <c r="R262" s="359"/>
      <c r="S262" s="321"/>
      <c r="T262" s="321"/>
      <c r="U262" s="373" t="str">
        <f t="shared" si="16"/>
        <v/>
      </c>
      <c r="V262" s="314" t="str">
        <f t="shared" si="17"/>
        <v/>
      </c>
      <c r="W262" s="314" t="str" cm="1">
        <f t="array" aca="1" ref="W262" ca="1">IFERROR(IF(AE262&lt;&gt;"ja",_xlfn.IFNA(_xlfn.IFS(AND(O262&lt;&gt;"",F262&lt;&gt;"",RIGHT($N262,6)="tarief",F262="Vergoeding"),SUM(O262)*FLOOR(SUM(Q262),0.0001),AND(O262&lt;&gt;"",F262&lt;&gt;"",RIGHT($N262,6)="tarief"),SUM(O262)*FLOOR(SUM(Q262),0.01),S262&gt;0,IF(F262&lt;&gt;"",FLOOR(SUM(S262),0.01),"")),""),""),"")</f>
        <v/>
      </c>
      <c r="X262" s="314" t="str" cm="1">
        <f t="array" aca="1" ref="X262" ca="1">IFERROR(IF(AE262&lt;&gt;"ja",_xlfn.IFNA(_xlfn.IFS(AND(P262&lt;&gt;"",R262&lt;&gt;"",RIGHT($N262,6)="tarief",F262="Vergoeding"),SUM(P262)*FLOOR(SUM(R262),0.0001),AND(P262&lt;&gt;"",R262&lt;&gt;"",RIGHT($N262,6)="tarief"),P262*FLOOR(R262,0.01),T262&gt;0,FLOOR(SUM(T262),0.01)),""),""),"")</f>
        <v/>
      </c>
      <c r="Y262" s="314" t="str">
        <f t="shared" ca="1" si="18"/>
        <v/>
      </c>
      <c r="Z262" s="314" t="str" cm="1">
        <f t="array" aca="1" ref="Z262" ca="1">IFERROR(_xlfn.IFS(OR(F262="",LEFT(Methode_Keuze,4)="Geen",Methode_Keuze=""),"",AND(W262&lt;&gt;"",F262&lt;&gt;"Arbeidskosten"),W262*VLOOKUP(F262,Tb_ProjectKosten[],MATCH(Tb_ProjectKosten[[#Headers],[Forfait_Percentage]],Tb_ProjectKosten[#Headers],0),0),AND(F262="Arbeidskosten",G262&lt;&gt;""),IFERROR(W262*VLOOKUP(G262,Tb_KostenTypen[],3,0)*VLOOKUP(F262,Tb_ProjectKosten[],MATCH(Tb_ProjectKosten[[#Headers],[Forfait_Percentage]],Tb_ProjectKosten[#Headers],0),0),""),W262 &lt;=0,0),"")</f>
        <v/>
      </c>
      <c r="AA262" s="314" t="str" cm="1">
        <f t="array" aca="1" ref="AA262" ca="1">IFERROR(_xlfn.IFS(OR(F262="",LEFT(Methode_Keuze,4)="Geen",Methode_Keuze=""),"",AND(X262&lt;&gt;"",F262&lt;&gt;"Arbeidskosten"),X262*VLOOKUP(F262,Tb_ProjectKosten[],MATCH(Tb_ProjectKosten[[#Headers],[Forfait_Percentage]],Tb_ProjectKosten[#Headers],0),0),AND(F262="Arbeidskosten",G262&lt;&gt;""),IFERROR(X262*VLOOKUP(G262,Tb_KostenTypen[],3,0)*VLOOKUP(F262,Tb_ProjectKosten[],MATCH(Tb_ProjectKosten[[#Headers],[Forfait_Percentage]],Tb_ProjectKosten[#Headers],0),0),""),X262 &lt;=0,0),"")</f>
        <v/>
      </c>
      <c r="AB262" s="314" t="str">
        <f t="shared" ca="1" si="19"/>
        <v/>
      </c>
      <c r="AC262" s="322"/>
      <c r="AD262" s="315"/>
      <c r="AE262" s="32" t="str" cm="1">
        <f t="array" ref="AE262">IFERROR(IF(INDEX(SubsidieTabel!$AD$1:$AG$12,MATCH($F262,SubsidieTabel!$AD$1:$AD$12,0),IFERROR(MATCH(Methode_Keuze,SubsidieTabel!$AD$1:$AG$1,0),2))&lt;&gt;1=TRUE,"ja",""),"")</f>
        <v/>
      </c>
    </row>
    <row r="263" spans="1:31" x14ac:dyDescent="0.25">
      <c r="A263" s="316"/>
      <c r="B263" s="317" t="str">
        <f>IF(A263&lt;&gt;"",_xlfn.MAXIFS($B$1:B262,$A$1:A262,A263)+1,"")</f>
        <v/>
      </c>
      <c r="C263" s="296"/>
      <c r="D263" s="296"/>
      <c r="E263" s="296"/>
      <c r="F263" s="296"/>
      <c r="G263" s="326"/>
      <c r="H263" s="324"/>
      <c r="I263" s="325"/>
      <c r="J263" s="325"/>
      <c r="K263" s="318"/>
      <c r="L263" s="318"/>
      <c r="M263" s="319" t="str">
        <f>IFERROR(VLOOKUP(H263,Lijsten!$H$1:$I$100,2,0),"")</f>
        <v/>
      </c>
      <c r="N263" s="319" t="str">
        <f ca="1">IFERROR(IF(VLOOKUP(F263,Kostentypen!$A$3:$E$21,3,0)=0,"",IF(OR(F263="Arbeidskosten",F263="Vergoeding"),VLOOKUP(G263,Tb_KostenTypen[],2,0),VLOOKUP(F263,Kostentypen!$A$3:$E$20,3,0))),"")</f>
        <v/>
      </c>
      <c r="O263" s="320" t="str" cm="1">
        <f t="array" ref="O263">_xlfn.IFNA(IF(INDEX(Tb_KostenOptiesDB[],MATCH($F263,Tb_KostenOptiesDB[KostenOptie],0),IFERROR(MATCH(Methode_Keuze,Tb_KostenOptiesDB[#Headers],0),2))=1,_xlfn.SWITCH($N263,"Uurtarief",IF(OR(AND(RIGHT($F263,3)="IKS",VLOOKUP($M263,DB_Loonkosten,2,0)="Ja"),AND(RIGHT($F263,3)&lt;&gt;"IKS",VLOOKUP($M263,DB_Loonkosten,2,0)="Nee")),IFERROR(VLOOKUP($M263,DB_Loonkosten,24,0),""),0),"Vast tarief",IF(LEFT(F263,8)="Bijdrage",VLOOKUP($F263,Tb_KostenTypen[],MATCH(Lijsten!$P$1,Tb_KostenTypen[#Headers],0),0),VLOOKUP($G263,Lijsten!L:P,MATCH(Lijsten!$P$1,Kop_Tarief_Vast,0),0))),""),"")</f>
        <v/>
      </c>
      <c r="P263" s="320" t="str" cm="1">
        <f t="array" ref="P263">_xlfn.IFNA(IF(INDEX(Tb_KostenOptiesDB[],MATCH($F263,Tb_KostenOptiesDB[KostenOptie],0),IFERROR(MATCH(Methode_Keuze,Tb_KostenOptiesDB[#Headers],0),2))=1,_xlfn.SWITCH($N263,"Uurtarief",IF(OR(AND(RIGHT($F263,3)="IKS",VLOOKUP($M263,DB_Loonkosten,2,0)="Ja"),AND(RIGHT($F263,3)&lt;&gt;"IKS",VLOOKUP($M263,DB_Loonkosten,2,0)="Nee")),IFERROR(VLOOKUP($M263,DB_Loonkosten,25,0),""),0),"Vast tarief",IF(LEFT(F263,8)="Bijdrage",VLOOKUP($F263,Tb_KostenTypen[],MATCH(Lijsten!$P$1,Tb_KostenTypen[#Headers],0),0),VLOOKUP($G263,Lijsten!L:P,MATCH(Lijsten!$P$1,Kop_Tarief_Vast,0),0))),""),"")</f>
        <v/>
      </c>
      <c r="Q263" s="359"/>
      <c r="R263" s="359"/>
      <c r="S263" s="321"/>
      <c r="T263" s="321"/>
      <c r="U263" s="373" t="str">
        <f t="shared" si="16"/>
        <v/>
      </c>
      <c r="V263" s="314" t="str">
        <f t="shared" si="17"/>
        <v/>
      </c>
      <c r="W263" s="314" t="str" cm="1">
        <f t="array" aca="1" ref="W263" ca="1">IFERROR(IF(AE263&lt;&gt;"ja",_xlfn.IFNA(_xlfn.IFS(AND(O263&lt;&gt;"",F263&lt;&gt;"",RIGHT($N263,6)="tarief",F263="Vergoeding"),SUM(O263)*FLOOR(SUM(Q263),0.0001),AND(O263&lt;&gt;"",F263&lt;&gt;"",RIGHT($N263,6)="tarief"),SUM(O263)*FLOOR(SUM(Q263),0.01),S263&gt;0,IF(F263&lt;&gt;"",FLOOR(SUM(S263),0.01),"")),""),""),"")</f>
        <v/>
      </c>
      <c r="X263" s="314" t="str" cm="1">
        <f t="array" aca="1" ref="X263" ca="1">IFERROR(IF(AE263&lt;&gt;"ja",_xlfn.IFNA(_xlfn.IFS(AND(P263&lt;&gt;"",R263&lt;&gt;"",RIGHT($N263,6)="tarief",F263="Vergoeding"),SUM(P263)*FLOOR(SUM(R263),0.0001),AND(P263&lt;&gt;"",R263&lt;&gt;"",RIGHT($N263,6)="tarief"),P263*FLOOR(R263,0.01),T263&gt;0,FLOOR(SUM(T263),0.01)),""),""),"")</f>
        <v/>
      </c>
      <c r="Y263" s="314" t="str">
        <f t="shared" ca="1" si="18"/>
        <v/>
      </c>
      <c r="Z263" s="314" t="str" cm="1">
        <f t="array" aca="1" ref="Z263" ca="1">IFERROR(_xlfn.IFS(OR(F263="",LEFT(Methode_Keuze,4)="Geen",Methode_Keuze=""),"",AND(W263&lt;&gt;"",F263&lt;&gt;"Arbeidskosten"),W263*VLOOKUP(F263,Tb_ProjectKosten[],MATCH(Tb_ProjectKosten[[#Headers],[Forfait_Percentage]],Tb_ProjectKosten[#Headers],0),0),AND(F263="Arbeidskosten",G263&lt;&gt;""),IFERROR(W263*VLOOKUP(G263,Tb_KostenTypen[],3,0)*VLOOKUP(F263,Tb_ProjectKosten[],MATCH(Tb_ProjectKosten[[#Headers],[Forfait_Percentage]],Tb_ProjectKosten[#Headers],0),0),""),W263 &lt;=0,0),"")</f>
        <v/>
      </c>
      <c r="AA263" s="314" t="str" cm="1">
        <f t="array" aca="1" ref="AA263" ca="1">IFERROR(_xlfn.IFS(OR(F263="",LEFT(Methode_Keuze,4)="Geen",Methode_Keuze=""),"",AND(X263&lt;&gt;"",F263&lt;&gt;"Arbeidskosten"),X263*VLOOKUP(F263,Tb_ProjectKosten[],MATCH(Tb_ProjectKosten[[#Headers],[Forfait_Percentage]],Tb_ProjectKosten[#Headers],0),0),AND(F263="Arbeidskosten",G263&lt;&gt;""),IFERROR(X263*VLOOKUP(G263,Tb_KostenTypen[],3,0)*VLOOKUP(F263,Tb_ProjectKosten[],MATCH(Tb_ProjectKosten[[#Headers],[Forfait_Percentage]],Tb_ProjectKosten[#Headers],0),0),""),X263 &lt;=0,0),"")</f>
        <v/>
      </c>
      <c r="AB263" s="314" t="str">
        <f t="shared" ca="1" si="19"/>
        <v/>
      </c>
      <c r="AC263" s="322"/>
      <c r="AD263" s="315"/>
      <c r="AE263" s="32" t="str" cm="1">
        <f t="array" ref="AE263">IFERROR(IF(INDEX(SubsidieTabel!$AD$1:$AG$12,MATCH($F263,SubsidieTabel!$AD$1:$AD$12,0),IFERROR(MATCH(Methode_Keuze,SubsidieTabel!$AD$1:$AG$1,0),2))&lt;&gt;1=TRUE,"ja",""),"")</f>
        <v/>
      </c>
    </row>
    <row r="264" spans="1:31" x14ac:dyDescent="0.25">
      <c r="A264" s="316"/>
      <c r="B264" s="317" t="str">
        <f>IF(A264&lt;&gt;"",_xlfn.MAXIFS($B$1:B263,$A$1:A263,A264)+1,"")</f>
        <v/>
      </c>
      <c r="C264" s="296"/>
      <c r="D264" s="296"/>
      <c r="E264" s="296"/>
      <c r="F264" s="296"/>
      <c r="G264" s="326"/>
      <c r="H264" s="324"/>
      <c r="I264" s="325"/>
      <c r="J264" s="325"/>
      <c r="K264" s="318"/>
      <c r="L264" s="318"/>
      <c r="M264" s="319" t="str">
        <f>IFERROR(VLOOKUP(H264,Lijsten!$H$1:$I$100,2,0),"")</f>
        <v/>
      </c>
      <c r="N264" s="319" t="str">
        <f ca="1">IFERROR(IF(VLOOKUP(F264,Kostentypen!$A$3:$E$21,3,0)=0,"",IF(OR(F264="Arbeidskosten",F264="Vergoeding"),VLOOKUP(G264,Tb_KostenTypen[],2,0),VLOOKUP(F264,Kostentypen!$A$3:$E$20,3,0))),"")</f>
        <v/>
      </c>
      <c r="O264" s="320" t="str" cm="1">
        <f t="array" ref="O264">_xlfn.IFNA(IF(INDEX(Tb_KostenOptiesDB[],MATCH($F264,Tb_KostenOptiesDB[KostenOptie],0),IFERROR(MATCH(Methode_Keuze,Tb_KostenOptiesDB[#Headers],0),2))=1,_xlfn.SWITCH($N264,"Uurtarief",IF(OR(AND(RIGHT($F264,3)="IKS",VLOOKUP($M264,DB_Loonkosten,2,0)="Ja"),AND(RIGHT($F264,3)&lt;&gt;"IKS",VLOOKUP($M264,DB_Loonkosten,2,0)="Nee")),IFERROR(VLOOKUP($M264,DB_Loonkosten,24,0),""),0),"Vast tarief",IF(LEFT(F264,8)="Bijdrage",VLOOKUP($F264,Tb_KostenTypen[],MATCH(Lijsten!$P$1,Tb_KostenTypen[#Headers],0),0),VLOOKUP($G264,Lijsten!L:P,MATCH(Lijsten!$P$1,Kop_Tarief_Vast,0),0))),""),"")</f>
        <v/>
      </c>
      <c r="P264" s="320" t="str" cm="1">
        <f t="array" ref="P264">_xlfn.IFNA(IF(INDEX(Tb_KostenOptiesDB[],MATCH($F264,Tb_KostenOptiesDB[KostenOptie],0),IFERROR(MATCH(Methode_Keuze,Tb_KostenOptiesDB[#Headers],0),2))=1,_xlfn.SWITCH($N264,"Uurtarief",IF(OR(AND(RIGHT($F264,3)="IKS",VLOOKUP($M264,DB_Loonkosten,2,0)="Ja"),AND(RIGHT($F264,3)&lt;&gt;"IKS",VLOOKUP($M264,DB_Loonkosten,2,0)="Nee")),IFERROR(VLOOKUP($M264,DB_Loonkosten,25,0),""),0),"Vast tarief",IF(LEFT(F264,8)="Bijdrage",VLOOKUP($F264,Tb_KostenTypen[],MATCH(Lijsten!$P$1,Tb_KostenTypen[#Headers],0),0),VLOOKUP($G264,Lijsten!L:P,MATCH(Lijsten!$P$1,Kop_Tarief_Vast,0),0))),""),"")</f>
        <v/>
      </c>
      <c r="Q264" s="359"/>
      <c r="R264" s="359"/>
      <c r="S264" s="321"/>
      <c r="T264" s="321"/>
      <c r="U264" s="373" t="str">
        <f t="shared" si="16"/>
        <v/>
      </c>
      <c r="V264" s="314" t="str">
        <f t="shared" si="17"/>
        <v/>
      </c>
      <c r="W264" s="314" t="str" cm="1">
        <f t="array" aca="1" ref="W264" ca="1">IFERROR(IF(AE264&lt;&gt;"ja",_xlfn.IFNA(_xlfn.IFS(AND(O264&lt;&gt;"",F264&lt;&gt;"",RIGHT($N264,6)="tarief",F264="Vergoeding"),SUM(O264)*FLOOR(SUM(Q264),0.0001),AND(O264&lt;&gt;"",F264&lt;&gt;"",RIGHT($N264,6)="tarief"),SUM(O264)*FLOOR(SUM(Q264),0.01),S264&gt;0,IF(F264&lt;&gt;"",FLOOR(SUM(S264),0.01),"")),""),""),"")</f>
        <v/>
      </c>
      <c r="X264" s="314" t="str" cm="1">
        <f t="array" aca="1" ref="X264" ca="1">IFERROR(IF(AE264&lt;&gt;"ja",_xlfn.IFNA(_xlfn.IFS(AND(P264&lt;&gt;"",R264&lt;&gt;"",RIGHT($N264,6)="tarief",F264="Vergoeding"),SUM(P264)*FLOOR(SUM(R264),0.0001),AND(P264&lt;&gt;"",R264&lt;&gt;"",RIGHT($N264,6)="tarief"),P264*FLOOR(R264,0.01),T264&gt;0,FLOOR(SUM(T264),0.01)),""),""),"")</f>
        <v/>
      </c>
      <c r="Y264" s="314" t="str">
        <f t="shared" ca="1" si="18"/>
        <v/>
      </c>
      <c r="Z264" s="314" t="str" cm="1">
        <f t="array" aca="1" ref="Z264" ca="1">IFERROR(_xlfn.IFS(OR(F264="",LEFT(Methode_Keuze,4)="Geen",Methode_Keuze=""),"",AND(W264&lt;&gt;"",F264&lt;&gt;"Arbeidskosten"),W264*VLOOKUP(F264,Tb_ProjectKosten[],MATCH(Tb_ProjectKosten[[#Headers],[Forfait_Percentage]],Tb_ProjectKosten[#Headers],0),0),AND(F264="Arbeidskosten",G264&lt;&gt;""),IFERROR(W264*VLOOKUP(G264,Tb_KostenTypen[],3,0)*VLOOKUP(F264,Tb_ProjectKosten[],MATCH(Tb_ProjectKosten[[#Headers],[Forfait_Percentage]],Tb_ProjectKosten[#Headers],0),0),""),W264 &lt;=0,0),"")</f>
        <v/>
      </c>
      <c r="AA264" s="314" t="str" cm="1">
        <f t="array" aca="1" ref="AA264" ca="1">IFERROR(_xlfn.IFS(OR(F264="",LEFT(Methode_Keuze,4)="Geen",Methode_Keuze=""),"",AND(X264&lt;&gt;"",F264&lt;&gt;"Arbeidskosten"),X264*VLOOKUP(F264,Tb_ProjectKosten[],MATCH(Tb_ProjectKosten[[#Headers],[Forfait_Percentage]],Tb_ProjectKosten[#Headers],0),0),AND(F264="Arbeidskosten",G264&lt;&gt;""),IFERROR(X264*VLOOKUP(G264,Tb_KostenTypen[],3,0)*VLOOKUP(F264,Tb_ProjectKosten[],MATCH(Tb_ProjectKosten[[#Headers],[Forfait_Percentage]],Tb_ProjectKosten[#Headers],0),0),""),X264 &lt;=0,0),"")</f>
        <v/>
      </c>
      <c r="AB264" s="314" t="str">
        <f t="shared" ca="1" si="19"/>
        <v/>
      </c>
      <c r="AC264" s="322"/>
      <c r="AD264" s="315"/>
      <c r="AE264" s="32" t="str" cm="1">
        <f t="array" ref="AE264">IFERROR(IF(INDEX(SubsidieTabel!$AD$1:$AG$12,MATCH($F264,SubsidieTabel!$AD$1:$AD$12,0),IFERROR(MATCH(Methode_Keuze,SubsidieTabel!$AD$1:$AG$1,0),2))&lt;&gt;1=TRUE,"ja",""),"")</f>
        <v/>
      </c>
    </row>
    <row r="265" spans="1:31" x14ac:dyDescent="0.25">
      <c r="A265" s="316"/>
      <c r="B265" s="317" t="str">
        <f>IF(A265&lt;&gt;"",_xlfn.MAXIFS($B$1:B264,$A$1:A264,A265)+1,"")</f>
        <v/>
      </c>
      <c r="C265" s="296"/>
      <c r="D265" s="296"/>
      <c r="E265" s="296"/>
      <c r="F265" s="296"/>
      <c r="G265" s="326"/>
      <c r="H265" s="324"/>
      <c r="I265" s="325"/>
      <c r="J265" s="325"/>
      <c r="K265" s="318"/>
      <c r="L265" s="318"/>
      <c r="M265" s="319" t="str">
        <f>IFERROR(VLOOKUP(H265,Lijsten!$H$1:$I$100,2,0),"")</f>
        <v/>
      </c>
      <c r="N265" s="319" t="str">
        <f ca="1">IFERROR(IF(VLOOKUP(F265,Kostentypen!$A$3:$E$21,3,0)=0,"",IF(OR(F265="Arbeidskosten",F265="Vergoeding"),VLOOKUP(G265,Tb_KostenTypen[],2,0),VLOOKUP(F265,Kostentypen!$A$3:$E$20,3,0))),"")</f>
        <v/>
      </c>
      <c r="O265" s="320" t="str" cm="1">
        <f t="array" ref="O265">_xlfn.IFNA(IF(INDEX(Tb_KostenOptiesDB[],MATCH($F265,Tb_KostenOptiesDB[KostenOptie],0),IFERROR(MATCH(Methode_Keuze,Tb_KostenOptiesDB[#Headers],0),2))=1,_xlfn.SWITCH($N265,"Uurtarief",IF(OR(AND(RIGHT($F265,3)="IKS",VLOOKUP($M265,DB_Loonkosten,2,0)="Ja"),AND(RIGHT($F265,3)&lt;&gt;"IKS",VLOOKUP($M265,DB_Loonkosten,2,0)="Nee")),IFERROR(VLOOKUP($M265,DB_Loonkosten,24,0),""),0),"Vast tarief",IF(LEFT(F265,8)="Bijdrage",VLOOKUP($F265,Tb_KostenTypen[],MATCH(Lijsten!$P$1,Tb_KostenTypen[#Headers],0),0),VLOOKUP($G265,Lijsten!L:P,MATCH(Lijsten!$P$1,Kop_Tarief_Vast,0),0))),""),"")</f>
        <v/>
      </c>
      <c r="P265" s="320" t="str" cm="1">
        <f t="array" ref="P265">_xlfn.IFNA(IF(INDEX(Tb_KostenOptiesDB[],MATCH($F265,Tb_KostenOptiesDB[KostenOptie],0),IFERROR(MATCH(Methode_Keuze,Tb_KostenOptiesDB[#Headers],0),2))=1,_xlfn.SWITCH($N265,"Uurtarief",IF(OR(AND(RIGHT($F265,3)="IKS",VLOOKUP($M265,DB_Loonkosten,2,0)="Ja"),AND(RIGHT($F265,3)&lt;&gt;"IKS",VLOOKUP($M265,DB_Loonkosten,2,0)="Nee")),IFERROR(VLOOKUP($M265,DB_Loonkosten,25,0),""),0),"Vast tarief",IF(LEFT(F265,8)="Bijdrage",VLOOKUP($F265,Tb_KostenTypen[],MATCH(Lijsten!$P$1,Tb_KostenTypen[#Headers],0),0),VLOOKUP($G265,Lijsten!L:P,MATCH(Lijsten!$P$1,Kop_Tarief_Vast,0),0))),""),"")</f>
        <v/>
      </c>
      <c r="Q265" s="359"/>
      <c r="R265" s="359"/>
      <c r="S265" s="321"/>
      <c r="T265" s="321"/>
      <c r="U265" s="373" t="str">
        <f t="shared" si="16"/>
        <v/>
      </c>
      <c r="V265" s="314" t="str">
        <f t="shared" si="17"/>
        <v/>
      </c>
      <c r="W265" s="314" t="str" cm="1">
        <f t="array" aca="1" ref="W265" ca="1">IFERROR(IF(AE265&lt;&gt;"ja",_xlfn.IFNA(_xlfn.IFS(AND(O265&lt;&gt;"",F265&lt;&gt;"",RIGHT($N265,6)="tarief",F265="Vergoeding"),SUM(O265)*FLOOR(SUM(Q265),0.0001),AND(O265&lt;&gt;"",F265&lt;&gt;"",RIGHT($N265,6)="tarief"),SUM(O265)*FLOOR(SUM(Q265),0.01),S265&gt;0,IF(F265&lt;&gt;"",FLOOR(SUM(S265),0.01),"")),""),""),"")</f>
        <v/>
      </c>
      <c r="X265" s="314" t="str" cm="1">
        <f t="array" aca="1" ref="X265" ca="1">IFERROR(IF(AE265&lt;&gt;"ja",_xlfn.IFNA(_xlfn.IFS(AND(P265&lt;&gt;"",R265&lt;&gt;"",RIGHT($N265,6)="tarief",F265="Vergoeding"),SUM(P265)*FLOOR(SUM(R265),0.0001),AND(P265&lt;&gt;"",R265&lt;&gt;"",RIGHT($N265,6)="tarief"),P265*FLOOR(R265,0.01),T265&gt;0,FLOOR(SUM(T265),0.01)),""),""),"")</f>
        <v/>
      </c>
      <c r="Y265" s="314" t="str">
        <f t="shared" ca="1" si="18"/>
        <v/>
      </c>
      <c r="Z265" s="314" t="str" cm="1">
        <f t="array" aca="1" ref="Z265" ca="1">IFERROR(_xlfn.IFS(OR(F265="",LEFT(Methode_Keuze,4)="Geen",Methode_Keuze=""),"",AND(W265&lt;&gt;"",F265&lt;&gt;"Arbeidskosten"),W265*VLOOKUP(F265,Tb_ProjectKosten[],MATCH(Tb_ProjectKosten[[#Headers],[Forfait_Percentage]],Tb_ProjectKosten[#Headers],0),0),AND(F265="Arbeidskosten",G265&lt;&gt;""),IFERROR(W265*VLOOKUP(G265,Tb_KostenTypen[],3,0)*VLOOKUP(F265,Tb_ProjectKosten[],MATCH(Tb_ProjectKosten[[#Headers],[Forfait_Percentage]],Tb_ProjectKosten[#Headers],0),0),""),W265 &lt;=0,0),"")</f>
        <v/>
      </c>
      <c r="AA265" s="314" t="str" cm="1">
        <f t="array" aca="1" ref="AA265" ca="1">IFERROR(_xlfn.IFS(OR(F265="",LEFT(Methode_Keuze,4)="Geen",Methode_Keuze=""),"",AND(X265&lt;&gt;"",F265&lt;&gt;"Arbeidskosten"),X265*VLOOKUP(F265,Tb_ProjectKosten[],MATCH(Tb_ProjectKosten[[#Headers],[Forfait_Percentage]],Tb_ProjectKosten[#Headers],0),0),AND(F265="Arbeidskosten",G265&lt;&gt;""),IFERROR(X265*VLOOKUP(G265,Tb_KostenTypen[],3,0)*VLOOKUP(F265,Tb_ProjectKosten[],MATCH(Tb_ProjectKosten[[#Headers],[Forfait_Percentage]],Tb_ProjectKosten[#Headers],0),0),""),X265 &lt;=0,0),"")</f>
        <v/>
      </c>
      <c r="AB265" s="314" t="str">
        <f t="shared" ca="1" si="19"/>
        <v/>
      </c>
      <c r="AC265" s="322"/>
      <c r="AD265" s="315"/>
      <c r="AE265" s="32" t="str" cm="1">
        <f t="array" ref="AE265">IFERROR(IF(INDEX(SubsidieTabel!$AD$1:$AG$12,MATCH($F265,SubsidieTabel!$AD$1:$AD$12,0),IFERROR(MATCH(Methode_Keuze,SubsidieTabel!$AD$1:$AG$1,0),2))&lt;&gt;1=TRUE,"ja",""),"")</f>
        <v/>
      </c>
    </row>
    <row r="266" spans="1:31" x14ac:dyDescent="0.25">
      <c r="A266" s="316"/>
      <c r="B266" s="317" t="str">
        <f>IF(A266&lt;&gt;"",_xlfn.MAXIFS($B$1:B265,$A$1:A265,A266)+1,"")</f>
        <v/>
      </c>
      <c r="C266" s="296"/>
      <c r="D266" s="296"/>
      <c r="E266" s="296"/>
      <c r="F266" s="296"/>
      <c r="G266" s="326"/>
      <c r="H266" s="324"/>
      <c r="I266" s="325"/>
      <c r="J266" s="325"/>
      <c r="K266" s="318"/>
      <c r="L266" s="318"/>
      <c r="M266" s="319" t="str">
        <f>IFERROR(VLOOKUP(H266,Lijsten!$H$1:$I$100,2,0),"")</f>
        <v/>
      </c>
      <c r="N266" s="319" t="str">
        <f ca="1">IFERROR(IF(VLOOKUP(F266,Kostentypen!$A$3:$E$21,3,0)=0,"",IF(OR(F266="Arbeidskosten",F266="Vergoeding"),VLOOKUP(G266,Tb_KostenTypen[],2,0),VLOOKUP(F266,Kostentypen!$A$3:$E$20,3,0))),"")</f>
        <v/>
      </c>
      <c r="O266" s="320" t="str" cm="1">
        <f t="array" ref="O266">_xlfn.IFNA(IF(INDEX(Tb_KostenOptiesDB[],MATCH($F266,Tb_KostenOptiesDB[KostenOptie],0),IFERROR(MATCH(Methode_Keuze,Tb_KostenOptiesDB[#Headers],0),2))=1,_xlfn.SWITCH($N266,"Uurtarief",IF(OR(AND(RIGHT($F266,3)="IKS",VLOOKUP($M266,DB_Loonkosten,2,0)="Ja"),AND(RIGHT($F266,3)&lt;&gt;"IKS",VLOOKUP($M266,DB_Loonkosten,2,0)="Nee")),IFERROR(VLOOKUP($M266,DB_Loonkosten,24,0),""),0),"Vast tarief",IF(LEFT(F266,8)="Bijdrage",VLOOKUP($F266,Tb_KostenTypen[],MATCH(Lijsten!$P$1,Tb_KostenTypen[#Headers],0),0),VLOOKUP($G266,Lijsten!L:P,MATCH(Lijsten!$P$1,Kop_Tarief_Vast,0),0))),""),"")</f>
        <v/>
      </c>
      <c r="P266" s="320" t="str" cm="1">
        <f t="array" ref="P266">_xlfn.IFNA(IF(INDEX(Tb_KostenOptiesDB[],MATCH($F266,Tb_KostenOptiesDB[KostenOptie],0),IFERROR(MATCH(Methode_Keuze,Tb_KostenOptiesDB[#Headers],0),2))=1,_xlfn.SWITCH($N266,"Uurtarief",IF(OR(AND(RIGHT($F266,3)="IKS",VLOOKUP($M266,DB_Loonkosten,2,0)="Ja"),AND(RIGHT($F266,3)&lt;&gt;"IKS",VLOOKUP($M266,DB_Loonkosten,2,0)="Nee")),IFERROR(VLOOKUP($M266,DB_Loonkosten,25,0),""),0),"Vast tarief",IF(LEFT(F266,8)="Bijdrage",VLOOKUP($F266,Tb_KostenTypen[],MATCH(Lijsten!$P$1,Tb_KostenTypen[#Headers],0),0),VLOOKUP($G266,Lijsten!L:P,MATCH(Lijsten!$P$1,Kop_Tarief_Vast,0),0))),""),"")</f>
        <v/>
      </c>
      <c r="Q266" s="359"/>
      <c r="R266" s="359"/>
      <c r="S266" s="321"/>
      <c r="T266" s="321"/>
      <c r="U266" s="373" t="str">
        <f t="shared" si="16"/>
        <v/>
      </c>
      <c r="V266" s="314" t="str">
        <f t="shared" si="17"/>
        <v/>
      </c>
      <c r="W266" s="314" t="str" cm="1">
        <f t="array" aca="1" ref="W266" ca="1">IFERROR(IF(AE266&lt;&gt;"ja",_xlfn.IFNA(_xlfn.IFS(AND(O266&lt;&gt;"",F266&lt;&gt;"",RIGHT($N266,6)="tarief",F266="Vergoeding"),SUM(O266)*FLOOR(SUM(Q266),0.0001),AND(O266&lt;&gt;"",F266&lt;&gt;"",RIGHT($N266,6)="tarief"),SUM(O266)*FLOOR(SUM(Q266),0.01),S266&gt;0,IF(F266&lt;&gt;"",FLOOR(SUM(S266),0.01),"")),""),""),"")</f>
        <v/>
      </c>
      <c r="X266" s="314" t="str" cm="1">
        <f t="array" aca="1" ref="X266" ca="1">IFERROR(IF(AE266&lt;&gt;"ja",_xlfn.IFNA(_xlfn.IFS(AND(P266&lt;&gt;"",R266&lt;&gt;"",RIGHT($N266,6)="tarief",F266="Vergoeding"),SUM(P266)*FLOOR(SUM(R266),0.0001),AND(P266&lt;&gt;"",R266&lt;&gt;"",RIGHT($N266,6)="tarief"),P266*FLOOR(R266,0.01),T266&gt;0,FLOOR(SUM(T266),0.01)),""),""),"")</f>
        <v/>
      </c>
      <c r="Y266" s="314" t="str">
        <f t="shared" ca="1" si="18"/>
        <v/>
      </c>
      <c r="Z266" s="314" t="str" cm="1">
        <f t="array" aca="1" ref="Z266" ca="1">IFERROR(_xlfn.IFS(OR(F266="",LEFT(Methode_Keuze,4)="Geen",Methode_Keuze=""),"",AND(W266&lt;&gt;"",F266&lt;&gt;"Arbeidskosten"),W266*VLOOKUP(F266,Tb_ProjectKosten[],MATCH(Tb_ProjectKosten[[#Headers],[Forfait_Percentage]],Tb_ProjectKosten[#Headers],0),0),AND(F266="Arbeidskosten",G266&lt;&gt;""),IFERROR(W266*VLOOKUP(G266,Tb_KostenTypen[],3,0)*VLOOKUP(F266,Tb_ProjectKosten[],MATCH(Tb_ProjectKosten[[#Headers],[Forfait_Percentage]],Tb_ProjectKosten[#Headers],0),0),""),W266 &lt;=0,0),"")</f>
        <v/>
      </c>
      <c r="AA266" s="314" t="str" cm="1">
        <f t="array" aca="1" ref="AA266" ca="1">IFERROR(_xlfn.IFS(OR(F266="",LEFT(Methode_Keuze,4)="Geen",Methode_Keuze=""),"",AND(X266&lt;&gt;"",F266&lt;&gt;"Arbeidskosten"),X266*VLOOKUP(F266,Tb_ProjectKosten[],MATCH(Tb_ProjectKosten[[#Headers],[Forfait_Percentage]],Tb_ProjectKosten[#Headers],0),0),AND(F266="Arbeidskosten",G266&lt;&gt;""),IFERROR(X266*VLOOKUP(G266,Tb_KostenTypen[],3,0)*VLOOKUP(F266,Tb_ProjectKosten[],MATCH(Tb_ProjectKosten[[#Headers],[Forfait_Percentage]],Tb_ProjectKosten[#Headers],0),0),""),X266 &lt;=0,0),"")</f>
        <v/>
      </c>
      <c r="AB266" s="314" t="str">
        <f t="shared" ca="1" si="19"/>
        <v/>
      </c>
      <c r="AC266" s="322"/>
      <c r="AD266" s="315"/>
      <c r="AE266" s="32" t="str" cm="1">
        <f t="array" ref="AE266">IFERROR(IF(INDEX(SubsidieTabel!$AD$1:$AG$12,MATCH($F266,SubsidieTabel!$AD$1:$AD$12,0),IFERROR(MATCH(Methode_Keuze,SubsidieTabel!$AD$1:$AG$1,0),2))&lt;&gt;1=TRUE,"ja",""),"")</f>
        <v/>
      </c>
    </row>
    <row r="267" spans="1:31" x14ac:dyDescent="0.25">
      <c r="A267" s="316"/>
      <c r="B267" s="317" t="str">
        <f>IF(A267&lt;&gt;"",_xlfn.MAXIFS($B$1:B266,$A$1:A266,A267)+1,"")</f>
        <v/>
      </c>
      <c r="C267" s="296"/>
      <c r="D267" s="296"/>
      <c r="E267" s="296"/>
      <c r="F267" s="296"/>
      <c r="G267" s="326"/>
      <c r="H267" s="324"/>
      <c r="I267" s="325"/>
      <c r="J267" s="325"/>
      <c r="K267" s="318"/>
      <c r="L267" s="318"/>
      <c r="M267" s="319" t="str">
        <f>IFERROR(VLOOKUP(H267,Lijsten!$H$1:$I$100,2,0),"")</f>
        <v/>
      </c>
      <c r="N267" s="319" t="str">
        <f ca="1">IFERROR(IF(VLOOKUP(F267,Kostentypen!$A$3:$E$21,3,0)=0,"",IF(OR(F267="Arbeidskosten",F267="Vergoeding"),VLOOKUP(G267,Tb_KostenTypen[],2,0),VLOOKUP(F267,Kostentypen!$A$3:$E$20,3,0))),"")</f>
        <v/>
      </c>
      <c r="O267" s="320" t="str" cm="1">
        <f t="array" ref="O267">_xlfn.IFNA(IF(INDEX(Tb_KostenOptiesDB[],MATCH($F267,Tb_KostenOptiesDB[KostenOptie],0),IFERROR(MATCH(Methode_Keuze,Tb_KostenOptiesDB[#Headers],0),2))=1,_xlfn.SWITCH($N267,"Uurtarief",IF(OR(AND(RIGHT($F267,3)="IKS",VLOOKUP($M267,DB_Loonkosten,2,0)="Ja"),AND(RIGHT($F267,3)&lt;&gt;"IKS",VLOOKUP($M267,DB_Loonkosten,2,0)="Nee")),IFERROR(VLOOKUP($M267,DB_Loonkosten,24,0),""),0),"Vast tarief",IF(LEFT(F267,8)="Bijdrage",VLOOKUP($F267,Tb_KostenTypen[],MATCH(Lijsten!$P$1,Tb_KostenTypen[#Headers],0),0),VLOOKUP($G267,Lijsten!L:P,MATCH(Lijsten!$P$1,Kop_Tarief_Vast,0),0))),""),"")</f>
        <v/>
      </c>
      <c r="P267" s="320" t="str" cm="1">
        <f t="array" ref="P267">_xlfn.IFNA(IF(INDEX(Tb_KostenOptiesDB[],MATCH($F267,Tb_KostenOptiesDB[KostenOptie],0),IFERROR(MATCH(Methode_Keuze,Tb_KostenOptiesDB[#Headers],0),2))=1,_xlfn.SWITCH($N267,"Uurtarief",IF(OR(AND(RIGHT($F267,3)="IKS",VLOOKUP($M267,DB_Loonkosten,2,0)="Ja"),AND(RIGHT($F267,3)&lt;&gt;"IKS",VLOOKUP($M267,DB_Loonkosten,2,0)="Nee")),IFERROR(VLOOKUP($M267,DB_Loonkosten,25,0),""),0),"Vast tarief",IF(LEFT(F267,8)="Bijdrage",VLOOKUP($F267,Tb_KostenTypen[],MATCH(Lijsten!$P$1,Tb_KostenTypen[#Headers],0),0),VLOOKUP($G267,Lijsten!L:P,MATCH(Lijsten!$P$1,Kop_Tarief_Vast,0),0))),""),"")</f>
        <v/>
      </c>
      <c r="Q267" s="359"/>
      <c r="R267" s="359"/>
      <c r="S267" s="321"/>
      <c r="T267" s="321"/>
      <c r="U267" s="373" t="str">
        <f t="shared" si="16"/>
        <v/>
      </c>
      <c r="V267" s="314" t="str">
        <f t="shared" si="17"/>
        <v/>
      </c>
      <c r="W267" s="314" t="str" cm="1">
        <f t="array" aca="1" ref="W267" ca="1">IFERROR(IF(AE267&lt;&gt;"ja",_xlfn.IFNA(_xlfn.IFS(AND(O267&lt;&gt;"",F267&lt;&gt;"",RIGHT($N267,6)="tarief",F267="Vergoeding"),SUM(O267)*FLOOR(SUM(Q267),0.0001),AND(O267&lt;&gt;"",F267&lt;&gt;"",RIGHT($N267,6)="tarief"),SUM(O267)*FLOOR(SUM(Q267),0.01),S267&gt;0,IF(F267&lt;&gt;"",FLOOR(SUM(S267),0.01),"")),""),""),"")</f>
        <v/>
      </c>
      <c r="X267" s="314" t="str" cm="1">
        <f t="array" aca="1" ref="X267" ca="1">IFERROR(IF(AE267&lt;&gt;"ja",_xlfn.IFNA(_xlfn.IFS(AND(P267&lt;&gt;"",R267&lt;&gt;"",RIGHT($N267,6)="tarief",F267="Vergoeding"),SUM(P267)*FLOOR(SUM(R267),0.0001),AND(P267&lt;&gt;"",R267&lt;&gt;"",RIGHT($N267,6)="tarief"),P267*FLOOR(R267,0.01),T267&gt;0,FLOOR(SUM(T267),0.01)),""),""),"")</f>
        <v/>
      </c>
      <c r="Y267" s="314" t="str">
        <f t="shared" ca="1" si="18"/>
        <v/>
      </c>
      <c r="Z267" s="314" t="str" cm="1">
        <f t="array" aca="1" ref="Z267" ca="1">IFERROR(_xlfn.IFS(OR(F267="",LEFT(Methode_Keuze,4)="Geen",Methode_Keuze=""),"",AND(W267&lt;&gt;"",F267&lt;&gt;"Arbeidskosten"),W267*VLOOKUP(F267,Tb_ProjectKosten[],MATCH(Tb_ProjectKosten[[#Headers],[Forfait_Percentage]],Tb_ProjectKosten[#Headers],0),0),AND(F267="Arbeidskosten",G267&lt;&gt;""),IFERROR(W267*VLOOKUP(G267,Tb_KostenTypen[],3,0)*VLOOKUP(F267,Tb_ProjectKosten[],MATCH(Tb_ProjectKosten[[#Headers],[Forfait_Percentage]],Tb_ProjectKosten[#Headers],0),0),""),W267 &lt;=0,0),"")</f>
        <v/>
      </c>
      <c r="AA267" s="314" t="str" cm="1">
        <f t="array" aca="1" ref="AA267" ca="1">IFERROR(_xlfn.IFS(OR(F267="",LEFT(Methode_Keuze,4)="Geen",Methode_Keuze=""),"",AND(X267&lt;&gt;"",F267&lt;&gt;"Arbeidskosten"),X267*VLOOKUP(F267,Tb_ProjectKosten[],MATCH(Tb_ProjectKosten[[#Headers],[Forfait_Percentage]],Tb_ProjectKosten[#Headers],0),0),AND(F267="Arbeidskosten",G267&lt;&gt;""),IFERROR(X267*VLOOKUP(G267,Tb_KostenTypen[],3,0)*VLOOKUP(F267,Tb_ProjectKosten[],MATCH(Tb_ProjectKosten[[#Headers],[Forfait_Percentage]],Tb_ProjectKosten[#Headers],0),0),""),X267 &lt;=0,0),"")</f>
        <v/>
      </c>
      <c r="AB267" s="314" t="str">
        <f t="shared" ca="1" si="19"/>
        <v/>
      </c>
      <c r="AC267" s="322"/>
      <c r="AD267" s="315"/>
      <c r="AE267" s="32" t="str" cm="1">
        <f t="array" ref="AE267">IFERROR(IF(INDEX(SubsidieTabel!$AD$1:$AG$12,MATCH($F267,SubsidieTabel!$AD$1:$AD$12,0),IFERROR(MATCH(Methode_Keuze,SubsidieTabel!$AD$1:$AG$1,0),2))&lt;&gt;1=TRUE,"ja",""),"")</f>
        <v/>
      </c>
    </row>
    <row r="268" spans="1:31" x14ac:dyDescent="0.25">
      <c r="A268" s="316"/>
      <c r="B268" s="317" t="str">
        <f>IF(A268&lt;&gt;"",_xlfn.MAXIFS($B$1:B267,$A$1:A267,A268)+1,"")</f>
        <v/>
      </c>
      <c r="C268" s="296"/>
      <c r="D268" s="296"/>
      <c r="E268" s="296"/>
      <c r="F268" s="296"/>
      <c r="G268" s="326"/>
      <c r="H268" s="324"/>
      <c r="I268" s="325"/>
      <c r="J268" s="325"/>
      <c r="K268" s="318"/>
      <c r="L268" s="318"/>
      <c r="M268" s="319" t="str">
        <f>IFERROR(VLOOKUP(H268,Lijsten!$H$1:$I$100,2,0),"")</f>
        <v/>
      </c>
      <c r="N268" s="319" t="str">
        <f ca="1">IFERROR(IF(VLOOKUP(F268,Kostentypen!$A$3:$E$21,3,0)=0,"",IF(OR(F268="Arbeidskosten",F268="Vergoeding"),VLOOKUP(G268,Tb_KostenTypen[],2,0),VLOOKUP(F268,Kostentypen!$A$3:$E$20,3,0))),"")</f>
        <v/>
      </c>
      <c r="O268" s="320" t="str" cm="1">
        <f t="array" ref="O268">_xlfn.IFNA(IF(INDEX(Tb_KostenOptiesDB[],MATCH($F268,Tb_KostenOptiesDB[KostenOptie],0),IFERROR(MATCH(Methode_Keuze,Tb_KostenOptiesDB[#Headers],0),2))=1,_xlfn.SWITCH($N268,"Uurtarief",IF(OR(AND(RIGHT($F268,3)="IKS",VLOOKUP($M268,DB_Loonkosten,2,0)="Ja"),AND(RIGHT($F268,3)&lt;&gt;"IKS",VLOOKUP($M268,DB_Loonkosten,2,0)="Nee")),IFERROR(VLOOKUP($M268,DB_Loonkosten,24,0),""),0),"Vast tarief",IF(LEFT(F268,8)="Bijdrage",VLOOKUP($F268,Tb_KostenTypen[],MATCH(Lijsten!$P$1,Tb_KostenTypen[#Headers],0),0),VLOOKUP($G268,Lijsten!L:P,MATCH(Lijsten!$P$1,Kop_Tarief_Vast,0),0))),""),"")</f>
        <v/>
      </c>
      <c r="P268" s="320" t="str" cm="1">
        <f t="array" ref="P268">_xlfn.IFNA(IF(INDEX(Tb_KostenOptiesDB[],MATCH($F268,Tb_KostenOptiesDB[KostenOptie],0),IFERROR(MATCH(Methode_Keuze,Tb_KostenOptiesDB[#Headers],0),2))=1,_xlfn.SWITCH($N268,"Uurtarief",IF(OR(AND(RIGHT($F268,3)="IKS",VLOOKUP($M268,DB_Loonkosten,2,0)="Ja"),AND(RIGHT($F268,3)&lt;&gt;"IKS",VLOOKUP($M268,DB_Loonkosten,2,0)="Nee")),IFERROR(VLOOKUP($M268,DB_Loonkosten,25,0),""),0),"Vast tarief",IF(LEFT(F268,8)="Bijdrage",VLOOKUP($F268,Tb_KostenTypen[],MATCH(Lijsten!$P$1,Tb_KostenTypen[#Headers],0),0),VLOOKUP($G268,Lijsten!L:P,MATCH(Lijsten!$P$1,Kop_Tarief_Vast,0),0))),""),"")</f>
        <v/>
      </c>
      <c r="Q268" s="359"/>
      <c r="R268" s="359"/>
      <c r="S268" s="321"/>
      <c r="T268" s="321"/>
      <c r="U268" s="373" t="str">
        <f t="shared" si="16"/>
        <v/>
      </c>
      <c r="V268" s="314" t="str">
        <f t="shared" si="17"/>
        <v/>
      </c>
      <c r="W268" s="314" t="str" cm="1">
        <f t="array" aca="1" ref="W268" ca="1">IFERROR(IF(AE268&lt;&gt;"ja",_xlfn.IFNA(_xlfn.IFS(AND(O268&lt;&gt;"",F268&lt;&gt;"",RIGHT($N268,6)="tarief",F268="Vergoeding"),SUM(O268)*FLOOR(SUM(Q268),0.0001),AND(O268&lt;&gt;"",F268&lt;&gt;"",RIGHT($N268,6)="tarief"),SUM(O268)*FLOOR(SUM(Q268),0.01),S268&gt;0,IF(F268&lt;&gt;"",FLOOR(SUM(S268),0.01),"")),""),""),"")</f>
        <v/>
      </c>
      <c r="X268" s="314" t="str" cm="1">
        <f t="array" aca="1" ref="X268" ca="1">IFERROR(IF(AE268&lt;&gt;"ja",_xlfn.IFNA(_xlfn.IFS(AND(P268&lt;&gt;"",R268&lt;&gt;"",RIGHT($N268,6)="tarief",F268="Vergoeding"),SUM(P268)*FLOOR(SUM(R268),0.0001),AND(P268&lt;&gt;"",R268&lt;&gt;"",RIGHT($N268,6)="tarief"),P268*FLOOR(R268,0.01),T268&gt;0,FLOOR(SUM(T268),0.01)),""),""),"")</f>
        <v/>
      </c>
      <c r="Y268" s="314" t="str">
        <f t="shared" ca="1" si="18"/>
        <v/>
      </c>
      <c r="Z268" s="314" t="str" cm="1">
        <f t="array" aca="1" ref="Z268" ca="1">IFERROR(_xlfn.IFS(OR(F268="",LEFT(Methode_Keuze,4)="Geen",Methode_Keuze=""),"",AND(W268&lt;&gt;"",F268&lt;&gt;"Arbeidskosten"),W268*VLOOKUP(F268,Tb_ProjectKosten[],MATCH(Tb_ProjectKosten[[#Headers],[Forfait_Percentage]],Tb_ProjectKosten[#Headers],0),0),AND(F268="Arbeidskosten",G268&lt;&gt;""),IFERROR(W268*VLOOKUP(G268,Tb_KostenTypen[],3,0)*VLOOKUP(F268,Tb_ProjectKosten[],MATCH(Tb_ProjectKosten[[#Headers],[Forfait_Percentage]],Tb_ProjectKosten[#Headers],0),0),""),W268 &lt;=0,0),"")</f>
        <v/>
      </c>
      <c r="AA268" s="314" t="str" cm="1">
        <f t="array" aca="1" ref="AA268" ca="1">IFERROR(_xlfn.IFS(OR(F268="",LEFT(Methode_Keuze,4)="Geen",Methode_Keuze=""),"",AND(X268&lt;&gt;"",F268&lt;&gt;"Arbeidskosten"),X268*VLOOKUP(F268,Tb_ProjectKosten[],MATCH(Tb_ProjectKosten[[#Headers],[Forfait_Percentage]],Tb_ProjectKosten[#Headers],0),0),AND(F268="Arbeidskosten",G268&lt;&gt;""),IFERROR(X268*VLOOKUP(G268,Tb_KostenTypen[],3,0)*VLOOKUP(F268,Tb_ProjectKosten[],MATCH(Tb_ProjectKosten[[#Headers],[Forfait_Percentage]],Tb_ProjectKosten[#Headers],0),0),""),X268 &lt;=0,0),"")</f>
        <v/>
      </c>
      <c r="AB268" s="314" t="str">
        <f t="shared" ca="1" si="19"/>
        <v/>
      </c>
      <c r="AC268" s="322"/>
      <c r="AD268" s="315"/>
      <c r="AE268" s="32" t="str" cm="1">
        <f t="array" ref="AE268">IFERROR(IF(INDEX(SubsidieTabel!$AD$1:$AG$12,MATCH($F268,SubsidieTabel!$AD$1:$AD$12,0),IFERROR(MATCH(Methode_Keuze,SubsidieTabel!$AD$1:$AG$1,0),2))&lt;&gt;1=TRUE,"ja",""),"")</f>
        <v/>
      </c>
    </row>
    <row r="269" spans="1:31" x14ac:dyDescent="0.25">
      <c r="A269" s="316"/>
      <c r="B269" s="317" t="str">
        <f>IF(A269&lt;&gt;"",_xlfn.MAXIFS($B$1:B268,$A$1:A268,A269)+1,"")</f>
        <v/>
      </c>
      <c r="C269" s="296"/>
      <c r="D269" s="296"/>
      <c r="E269" s="296"/>
      <c r="F269" s="296"/>
      <c r="G269" s="326"/>
      <c r="H269" s="324"/>
      <c r="I269" s="325"/>
      <c r="J269" s="325"/>
      <c r="K269" s="318"/>
      <c r="L269" s="318"/>
      <c r="M269" s="319" t="str">
        <f>IFERROR(VLOOKUP(H269,Lijsten!$H$1:$I$100,2,0),"")</f>
        <v/>
      </c>
      <c r="N269" s="319" t="str">
        <f ca="1">IFERROR(IF(VLOOKUP(F269,Kostentypen!$A$3:$E$21,3,0)=0,"",IF(OR(F269="Arbeidskosten",F269="Vergoeding"),VLOOKUP(G269,Tb_KostenTypen[],2,0),VLOOKUP(F269,Kostentypen!$A$3:$E$20,3,0))),"")</f>
        <v/>
      </c>
      <c r="O269" s="320" t="str" cm="1">
        <f t="array" ref="O269">_xlfn.IFNA(IF(INDEX(Tb_KostenOptiesDB[],MATCH($F269,Tb_KostenOptiesDB[KostenOptie],0),IFERROR(MATCH(Methode_Keuze,Tb_KostenOptiesDB[#Headers],0),2))=1,_xlfn.SWITCH($N269,"Uurtarief",IF(OR(AND(RIGHT($F269,3)="IKS",VLOOKUP($M269,DB_Loonkosten,2,0)="Ja"),AND(RIGHT($F269,3)&lt;&gt;"IKS",VLOOKUP($M269,DB_Loonkosten,2,0)="Nee")),IFERROR(VLOOKUP($M269,DB_Loonkosten,24,0),""),0),"Vast tarief",IF(LEFT(F269,8)="Bijdrage",VLOOKUP($F269,Tb_KostenTypen[],MATCH(Lijsten!$P$1,Tb_KostenTypen[#Headers],0),0),VLOOKUP($G269,Lijsten!L:P,MATCH(Lijsten!$P$1,Kop_Tarief_Vast,0),0))),""),"")</f>
        <v/>
      </c>
      <c r="P269" s="320" t="str" cm="1">
        <f t="array" ref="P269">_xlfn.IFNA(IF(INDEX(Tb_KostenOptiesDB[],MATCH($F269,Tb_KostenOptiesDB[KostenOptie],0),IFERROR(MATCH(Methode_Keuze,Tb_KostenOptiesDB[#Headers],0),2))=1,_xlfn.SWITCH($N269,"Uurtarief",IF(OR(AND(RIGHT($F269,3)="IKS",VLOOKUP($M269,DB_Loonkosten,2,0)="Ja"),AND(RIGHT($F269,3)&lt;&gt;"IKS",VLOOKUP($M269,DB_Loonkosten,2,0)="Nee")),IFERROR(VLOOKUP($M269,DB_Loonkosten,25,0),""),0),"Vast tarief",IF(LEFT(F269,8)="Bijdrage",VLOOKUP($F269,Tb_KostenTypen[],MATCH(Lijsten!$P$1,Tb_KostenTypen[#Headers],0),0),VLOOKUP($G269,Lijsten!L:P,MATCH(Lijsten!$P$1,Kop_Tarief_Vast,0),0))),""),"")</f>
        <v/>
      </c>
      <c r="Q269" s="359"/>
      <c r="R269" s="359"/>
      <c r="S269" s="321"/>
      <c r="T269" s="321"/>
      <c r="U269" s="373" t="str">
        <f t="shared" si="16"/>
        <v/>
      </c>
      <c r="V269" s="314" t="str">
        <f t="shared" si="17"/>
        <v/>
      </c>
      <c r="W269" s="314" t="str" cm="1">
        <f t="array" aca="1" ref="W269" ca="1">IFERROR(IF(AE269&lt;&gt;"ja",_xlfn.IFNA(_xlfn.IFS(AND(O269&lt;&gt;"",F269&lt;&gt;"",RIGHT($N269,6)="tarief",F269="Vergoeding"),SUM(O269)*FLOOR(SUM(Q269),0.0001),AND(O269&lt;&gt;"",F269&lt;&gt;"",RIGHT($N269,6)="tarief"),SUM(O269)*FLOOR(SUM(Q269),0.01),S269&gt;0,IF(F269&lt;&gt;"",FLOOR(SUM(S269),0.01),"")),""),""),"")</f>
        <v/>
      </c>
      <c r="X269" s="314" t="str" cm="1">
        <f t="array" aca="1" ref="X269" ca="1">IFERROR(IF(AE269&lt;&gt;"ja",_xlfn.IFNA(_xlfn.IFS(AND(P269&lt;&gt;"",R269&lt;&gt;"",RIGHT($N269,6)="tarief",F269="Vergoeding"),SUM(P269)*FLOOR(SUM(R269),0.0001),AND(P269&lt;&gt;"",R269&lt;&gt;"",RIGHT($N269,6)="tarief"),P269*FLOOR(R269,0.01),T269&gt;0,FLOOR(SUM(T269),0.01)),""),""),"")</f>
        <v/>
      </c>
      <c r="Y269" s="314" t="str">
        <f t="shared" ca="1" si="18"/>
        <v/>
      </c>
      <c r="Z269" s="314" t="str" cm="1">
        <f t="array" aca="1" ref="Z269" ca="1">IFERROR(_xlfn.IFS(OR(F269="",LEFT(Methode_Keuze,4)="Geen",Methode_Keuze=""),"",AND(W269&lt;&gt;"",F269&lt;&gt;"Arbeidskosten"),W269*VLOOKUP(F269,Tb_ProjectKosten[],MATCH(Tb_ProjectKosten[[#Headers],[Forfait_Percentage]],Tb_ProjectKosten[#Headers],0),0),AND(F269="Arbeidskosten",G269&lt;&gt;""),IFERROR(W269*VLOOKUP(G269,Tb_KostenTypen[],3,0)*VLOOKUP(F269,Tb_ProjectKosten[],MATCH(Tb_ProjectKosten[[#Headers],[Forfait_Percentage]],Tb_ProjectKosten[#Headers],0),0),""),W269 &lt;=0,0),"")</f>
        <v/>
      </c>
      <c r="AA269" s="314" t="str" cm="1">
        <f t="array" aca="1" ref="AA269" ca="1">IFERROR(_xlfn.IFS(OR(F269="",LEFT(Methode_Keuze,4)="Geen",Methode_Keuze=""),"",AND(X269&lt;&gt;"",F269&lt;&gt;"Arbeidskosten"),X269*VLOOKUP(F269,Tb_ProjectKosten[],MATCH(Tb_ProjectKosten[[#Headers],[Forfait_Percentage]],Tb_ProjectKosten[#Headers],0),0),AND(F269="Arbeidskosten",G269&lt;&gt;""),IFERROR(X269*VLOOKUP(G269,Tb_KostenTypen[],3,0)*VLOOKUP(F269,Tb_ProjectKosten[],MATCH(Tb_ProjectKosten[[#Headers],[Forfait_Percentage]],Tb_ProjectKosten[#Headers],0),0),""),X269 &lt;=0,0),"")</f>
        <v/>
      </c>
      <c r="AB269" s="314" t="str">
        <f t="shared" ca="1" si="19"/>
        <v/>
      </c>
      <c r="AC269" s="322"/>
      <c r="AD269" s="315"/>
      <c r="AE269" s="32" t="str" cm="1">
        <f t="array" ref="AE269">IFERROR(IF(INDEX(SubsidieTabel!$AD$1:$AG$12,MATCH($F269,SubsidieTabel!$AD$1:$AD$12,0),IFERROR(MATCH(Methode_Keuze,SubsidieTabel!$AD$1:$AG$1,0),2))&lt;&gt;1=TRUE,"ja",""),"")</f>
        <v/>
      </c>
    </row>
    <row r="270" spans="1:31" x14ac:dyDescent="0.25">
      <c r="A270" s="316"/>
      <c r="B270" s="317" t="str">
        <f>IF(A270&lt;&gt;"",_xlfn.MAXIFS($B$1:B269,$A$1:A269,A270)+1,"")</f>
        <v/>
      </c>
      <c r="C270" s="296"/>
      <c r="D270" s="296"/>
      <c r="E270" s="296"/>
      <c r="F270" s="296"/>
      <c r="G270" s="326"/>
      <c r="H270" s="324"/>
      <c r="I270" s="325"/>
      <c r="J270" s="325"/>
      <c r="K270" s="318"/>
      <c r="L270" s="318"/>
      <c r="M270" s="319" t="str">
        <f>IFERROR(VLOOKUP(H270,Lijsten!$H$1:$I$100,2,0),"")</f>
        <v/>
      </c>
      <c r="N270" s="319" t="str">
        <f ca="1">IFERROR(IF(VLOOKUP(F270,Kostentypen!$A$3:$E$21,3,0)=0,"",IF(OR(F270="Arbeidskosten",F270="Vergoeding"),VLOOKUP(G270,Tb_KostenTypen[],2,0),VLOOKUP(F270,Kostentypen!$A$3:$E$20,3,0))),"")</f>
        <v/>
      </c>
      <c r="O270" s="320" t="str" cm="1">
        <f t="array" ref="O270">_xlfn.IFNA(IF(INDEX(Tb_KostenOptiesDB[],MATCH($F270,Tb_KostenOptiesDB[KostenOptie],0),IFERROR(MATCH(Methode_Keuze,Tb_KostenOptiesDB[#Headers],0),2))=1,_xlfn.SWITCH($N270,"Uurtarief",IF(OR(AND(RIGHT($F270,3)="IKS",VLOOKUP($M270,DB_Loonkosten,2,0)="Ja"),AND(RIGHT($F270,3)&lt;&gt;"IKS",VLOOKUP($M270,DB_Loonkosten,2,0)="Nee")),IFERROR(VLOOKUP($M270,DB_Loonkosten,24,0),""),0),"Vast tarief",IF(LEFT(F270,8)="Bijdrage",VLOOKUP($F270,Tb_KostenTypen[],MATCH(Lijsten!$P$1,Tb_KostenTypen[#Headers],0),0),VLOOKUP($G270,Lijsten!L:P,MATCH(Lijsten!$P$1,Kop_Tarief_Vast,0),0))),""),"")</f>
        <v/>
      </c>
      <c r="P270" s="320" t="str" cm="1">
        <f t="array" ref="P270">_xlfn.IFNA(IF(INDEX(Tb_KostenOptiesDB[],MATCH($F270,Tb_KostenOptiesDB[KostenOptie],0),IFERROR(MATCH(Methode_Keuze,Tb_KostenOptiesDB[#Headers],0),2))=1,_xlfn.SWITCH($N270,"Uurtarief",IF(OR(AND(RIGHT($F270,3)="IKS",VLOOKUP($M270,DB_Loonkosten,2,0)="Ja"),AND(RIGHT($F270,3)&lt;&gt;"IKS",VLOOKUP($M270,DB_Loonkosten,2,0)="Nee")),IFERROR(VLOOKUP($M270,DB_Loonkosten,25,0),""),0),"Vast tarief",IF(LEFT(F270,8)="Bijdrage",VLOOKUP($F270,Tb_KostenTypen[],MATCH(Lijsten!$P$1,Tb_KostenTypen[#Headers],0),0),VLOOKUP($G270,Lijsten!L:P,MATCH(Lijsten!$P$1,Kop_Tarief_Vast,0),0))),""),"")</f>
        <v/>
      </c>
      <c r="Q270" s="359"/>
      <c r="R270" s="359"/>
      <c r="S270" s="321"/>
      <c r="T270" s="321"/>
      <c r="U270" s="373" t="str">
        <f t="shared" si="16"/>
        <v/>
      </c>
      <c r="V270" s="314" t="str">
        <f t="shared" si="17"/>
        <v/>
      </c>
      <c r="W270" s="314" t="str" cm="1">
        <f t="array" aca="1" ref="W270" ca="1">IFERROR(IF(AE270&lt;&gt;"ja",_xlfn.IFNA(_xlfn.IFS(AND(O270&lt;&gt;"",F270&lt;&gt;"",RIGHT($N270,6)="tarief",F270="Vergoeding"),SUM(O270)*FLOOR(SUM(Q270),0.0001),AND(O270&lt;&gt;"",F270&lt;&gt;"",RIGHT($N270,6)="tarief"),SUM(O270)*FLOOR(SUM(Q270),0.01),S270&gt;0,IF(F270&lt;&gt;"",FLOOR(SUM(S270),0.01),"")),""),""),"")</f>
        <v/>
      </c>
      <c r="X270" s="314" t="str" cm="1">
        <f t="array" aca="1" ref="X270" ca="1">IFERROR(IF(AE270&lt;&gt;"ja",_xlfn.IFNA(_xlfn.IFS(AND(P270&lt;&gt;"",R270&lt;&gt;"",RIGHT($N270,6)="tarief",F270="Vergoeding"),SUM(P270)*FLOOR(SUM(R270),0.0001),AND(P270&lt;&gt;"",R270&lt;&gt;"",RIGHT($N270,6)="tarief"),P270*FLOOR(R270,0.01),T270&gt;0,FLOOR(SUM(T270),0.01)),""),""),"")</f>
        <v/>
      </c>
      <c r="Y270" s="314" t="str">
        <f t="shared" ca="1" si="18"/>
        <v/>
      </c>
      <c r="Z270" s="314" t="str" cm="1">
        <f t="array" aca="1" ref="Z270" ca="1">IFERROR(_xlfn.IFS(OR(F270="",LEFT(Methode_Keuze,4)="Geen",Methode_Keuze=""),"",AND(W270&lt;&gt;"",F270&lt;&gt;"Arbeidskosten"),W270*VLOOKUP(F270,Tb_ProjectKosten[],MATCH(Tb_ProjectKosten[[#Headers],[Forfait_Percentage]],Tb_ProjectKosten[#Headers],0),0),AND(F270="Arbeidskosten",G270&lt;&gt;""),IFERROR(W270*VLOOKUP(G270,Tb_KostenTypen[],3,0)*VLOOKUP(F270,Tb_ProjectKosten[],MATCH(Tb_ProjectKosten[[#Headers],[Forfait_Percentage]],Tb_ProjectKosten[#Headers],0),0),""),W270 &lt;=0,0),"")</f>
        <v/>
      </c>
      <c r="AA270" s="314" t="str" cm="1">
        <f t="array" aca="1" ref="AA270" ca="1">IFERROR(_xlfn.IFS(OR(F270="",LEFT(Methode_Keuze,4)="Geen",Methode_Keuze=""),"",AND(X270&lt;&gt;"",F270&lt;&gt;"Arbeidskosten"),X270*VLOOKUP(F270,Tb_ProjectKosten[],MATCH(Tb_ProjectKosten[[#Headers],[Forfait_Percentage]],Tb_ProjectKosten[#Headers],0),0),AND(F270="Arbeidskosten",G270&lt;&gt;""),IFERROR(X270*VLOOKUP(G270,Tb_KostenTypen[],3,0)*VLOOKUP(F270,Tb_ProjectKosten[],MATCH(Tb_ProjectKosten[[#Headers],[Forfait_Percentage]],Tb_ProjectKosten[#Headers],0),0),""),X270 &lt;=0,0),"")</f>
        <v/>
      </c>
      <c r="AB270" s="314" t="str">
        <f t="shared" ca="1" si="19"/>
        <v/>
      </c>
      <c r="AC270" s="322"/>
      <c r="AD270" s="315"/>
      <c r="AE270" s="32" t="str" cm="1">
        <f t="array" ref="AE270">IFERROR(IF(INDEX(SubsidieTabel!$AD$1:$AG$12,MATCH($F270,SubsidieTabel!$AD$1:$AD$12,0),IFERROR(MATCH(Methode_Keuze,SubsidieTabel!$AD$1:$AG$1,0),2))&lt;&gt;1=TRUE,"ja",""),"")</f>
        <v/>
      </c>
    </row>
    <row r="271" spans="1:31" x14ac:dyDescent="0.25">
      <c r="A271" s="316"/>
      <c r="B271" s="317" t="str">
        <f>IF(A271&lt;&gt;"",_xlfn.MAXIFS($B$1:B270,$A$1:A270,A271)+1,"")</f>
        <v/>
      </c>
      <c r="C271" s="296"/>
      <c r="D271" s="296"/>
      <c r="E271" s="296"/>
      <c r="F271" s="296"/>
      <c r="G271" s="326"/>
      <c r="H271" s="324"/>
      <c r="I271" s="325"/>
      <c r="J271" s="325"/>
      <c r="K271" s="318"/>
      <c r="L271" s="318"/>
      <c r="M271" s="319" t="str">
        <f>IFERROR(VLOOKUP(H271,Lijsten!$H$1:$I$100,2,0),"")</f>
        <v/>
      </c>
      <c r="N271" s="319" t="str">
        <f ca="1">IFERROR(IF(VLOOKUP(F271,Kostentypen!$A$3:$E$21,3,0)=0,"",IF(OR(F271="Arbeidskosten",F271="Vergoeding"),VLOOKUP(G271,Tb_KostenTypen[],2,0),VLOOKUP(F271,Kostentypen!$A$3:$E$20,3,0))),"")</f>
        <v/>
      </c>
      <c r="O271" s="320" t="str" cm="1">
        <f t="array" ref="O271">_xlfn.IFNA(IF(INDEX(Tb_KostenOptiesDB[],MATCH($F271,Tb_KostenOptiesDB[KostenOptie],0),IFERROR(MATCH(Methode_Keuze,Tb_KostenOptiesDB[#Headers],0),2))=1,_xlfn.SWITCH($N271,"Uurtarief",IF(OR(AND(RIGHT($F271,3)="IKS",VLOOKUP($M271,DB_Loonkosten,2,0)="Ja"),AND(RIGHT($F271,3)&lt;&gt;"IKS",VLOOKUP($M271,DB_Loonkosten,2,0)="Nee")),IFERROR(VLOOKUP($M271,DB_Loonkosten,24,0),""),0),"Vast tarief",IF(LEFT(F271,8)="Bijdrage",VLOOKUP($F271,Tb_KostenTypen[],MATCH(Lijsten!$P$1,Tb_KostenTypen[#Headers],0),0),VLOOKUP($G271,Lijsten!L:P,MATCH(Lijsten!$P$1,Kop_Tarief_Vast,0),0))),""),"")</f>
        <v/>
      </c>
      <c r="P271" s="320" t="str" cm="1">
        <f t="array" ref="P271">_xlfn.IFNA(IF(INDEX(Tb_KostenOptiesDB[],MATCH($F271,Tb_KostenOptiesDB[KostenOptie],0),IFERROR(MATCH(Methode_Keuze,Tb_KostenOptiesDB[#Headers],0),2))=1,_xlfn.SWITCH($N271,"Uurtarief",IF(OR(AND(RIGHT($F271,3)="IKS",VLOOKUP($M271,DB_Loonkosten,2,0)="Ja"),AND(RIGHT($F271,3)&lt;&gt;"IKS",VLOOKUP($M271,DB_Loonkosten,2,0)="Nee")),IFERROR(VLOOKUP($M271,DB_Loonkosten,25,0),""),0),"Vast tarief",IF(LEFT(F271,8)="Bijdrage",VLOOKUP($F271,Tb_KostenTypen[],MATCH(Lijsten!$P$1,Tb_KostenTypen[#Headers],0),0),VLOOKUP($G271,Lijsten!L:P,MATCH(Lijsten!$P$1,Kop_Tarief_Vast,0),0))),""),"")</f>
        <v/>
      </c>
      <c r="Q271" s="359"/>
      <c r="R271" s="359"/>
      <c r="S271" s="321"/>
      <c r="T271" s="321"/>
      <c r="U271" s="373" t="str">
        <f t="shared" si="16"/>
        <v/>
      </c>
      <c r="V271" s="314" t="str">
        <f t="shared" si="17"/>
        <v/>
      </c>
      <c r="W271" s="314" t="str" cm="1">
        <f t="array" aca="1" ref="W271" ca="1">IFERROR(IF(AE271&lt;&gt;"ja",_xlfn.IFNA(_xlfn.IFS(AND(O271&lt;&gt;"",F271&lt;&gt;"",RIGHT($N271,6)="tarief",F271="Vergoeding"),SUM(O271)*FLOOR(SUM(Q271),0.0001),AND(O271&lt;&gt;"",F271&lt;&gt;"",RIGHT($N271,6)="tarief"),SUM(O271)*FLOOR(SUM(Q271),0.01),S271&gt;0,IF(F271&lt;&gt;"",FLOOR(SUM(S271),0.01),"")),""),""),"")</f>
        <v/>
      </c>
      <c r="X271" s="314" t="str" cm="1">
        <f t="array" aca="1" ref="X271" ca="1">IFERROR(IF(AE271&lt;&gt;"ja",_xlfn.IFNA(_xlfn.IFS(AND(P271&lt;&gt;"",R271&lt;&gt;"",RIGHT($N271,6)="tarief",F271="Vergoeding"),SUM(P271)*FLOOR(SUM(R271),0.0001),AND(P271&lt;&gt;"",R271&lt;&gt;"",RIGHT($N271,6)="tarief"),P271*FLOOR(R271,0.01),T271&gt;0,FLOOR(SUM(T271),0.01)),""),""),"")</f>
        <v/>
      </c>
      <c r="Y271" s="314" t="str">
        <f t="shared" ca="1" si="18"/>
        <v/>
      </c>
      <c r="Z271" s="314" t="str" cm="1">
        <f t="array" aca="1" ref="Z271" ca="1">IFERROR(_xlfn.IFS(OR(F271="",LEFT(Methode_Keuze,4)="Geen",Methode_Keuze=""),"",AND(W271&lt;&gt;"",F271&lt;&gt;"Arbeidskosten"),W271*VLOOKUP(F271,Tb_ProjectKosten[],MATCH(Tb_ProjectKosten[[#Headers],[Forfait_Percentage]],Tb_ProjectKosten[#Headers],0),0),AND(F271="Arbeidskosten",G271&lt;&gt;""),IFERROR(W271*VLOOKUP(G271,Tb_KostenTypen[],3,0)*VLOOKUP(F271,Tb_ProjectKosten[],MATCH(Tb_ProjectKosten[[#Headers],[Forfait_Percentage]],Tb_ProjectKosten[#Headers],0),0),""),W271 &lt;=0,0),"")</f>
        <v/>
      </c>
      <c r="AA271" s="314" t="str" cm="1">
        <f t="array" aca="1" ref="AA271" ca="1">IFERROR(_xlfn.IFS(OR(F271="",LEFT(Methode_Keuze,4)="Geen",Methode_Keuze=""),"",AND(X271&lt;&gt;"",F271&lt;&gt;"Arbeidskosten"),X271*VLOOKUP(F271,Tb_ProjectKosten[],MATCH(Tb_ProjectKosten[[#Headers],[Forfait_Percentage]],Tb_ProjectKosten[#Headers],0),0),AND(F271="Arbeidskosten",G271&lt;&gt;""),IFERROR(X271*VLOOKUP(G271,Tb_KostenTypen[],3,0)*VLOOKUP(F271,Tb_ProjectKosten[],MATCH(Tb_ProjectKosten[[#Headers],[Forfait_Percentage]],Tb_ProjectKosten[#Headers],0),0),""),X271 &lt;=0,0),"")</f>
        <v/>
      </c>
      <c r="AB271" s="314" t="str">
        <f t="shared" ca="1" si="19"/>
        <v/>
      </c>
      <c r="AC271" s="322"/>
      <c r="AD271" s="315"/>
      <c r="AE271" s="32" t="str" cm="1">
        <f t="array" ref="AE271">IFERROR(IF(INDEX(SubsidieTabel!$AD$1:$AG$12,MATCH($F271,SubsidieTabel!$AD$1:$AD$12,0),IFERROR(MATCH(Methode_Keuze,SubsidieTabel!$AD$1:$AG$1,0),2))&lt;&gt;1=TRUE,"ja",""),"")</f>
        <v/>
      </c>
    </row>
    <row r="272" spans="1:31" x14ac:dyDescent="0.25">
      <c r="A272" s="316"/>
      <c r="B272" s="317" t="str">
        <f>IF(A272&lt;&gt;"",_xlfn.MAXIFS($B$1:B271,$A$1:A271,A272)+1,"")</f>
        <v/>
      </c>
      <c r="C272" s="296"/>
      <c r="D272" s="296"/>
      <c r="E272" s="296"/>
      <c r="F272" s="296"/>
      <c r="G272" s="326"/>
      <c r="H272" s="324"/>
      <c r="I272" s="325"/>
      <c r="J272" s="325"/>
      <c r="K272" s="318"/>
      <c r="L272" s="318"/>
      <c r="M272" s="319" t="str">
        <f>IFERROR(VLOOKUP(H272,Lijsten!$H$1:$I$100,2,0),"")</f>
        <v/>
      </c>
      <c r="N272" s="319" t="str">
        <f ca="1">IFERROR(IF(VLOOKUP(F272,Kostentypen!$A$3:$E$21,3,0)=0,"",IF(OR(F272="Arbeidskosten",F272="Vergoeding"),VLOOKUP(G272,Tb_KostenTypen[],2,0),VLOOKUP(F272,Kostentypen!$A$3:$E$20,3,0))),"")</f>
        <v/>
      </c>
      <c r="O272" s="320" t="str" cm="1">
        <f t="array" ref="O272">_xlfn.IFNA(IF(INDEX(Tb_KostenOptiesDB[],MATCH($F272,Tb_KostenOptiesDB[KostenOptie],0),IFERROR(MATCH(Methode_Keuze,Tb_KostenOptiesDB[#Headers],0),2))=1,_xlfn.SWITCH($N272,"Uurtarief",IF(OR(AND(RIGHT($F272,3)="IKS",VLOOKUP($M272,DB_Loonkosten,2,0)="Ja"),AND(RIGHT($F272,3)&lt;&gt;"IKS",VLOOKUP($M272,DB_Loonkosten,2,0)="Nee")),IFERROR(VLOOKUP($M272,DB_Loonkosten,24,0),""),0),"Vast tarief",IF(LEFT(F272,8)="Bijdrage",VLOOKUP($F272,Tb_KostenTypen[],MATCH(Lijsten!$P$1,Tb_KostenTypen[#Headers],0),0),VLOOKUP($G272,Lijsten!L:P,MATCH(Lijsten!$P$1,Kop_Tarief_Vast,0),0))),""),"")</f>
        <v/>
      </c>
      <c r="P272" s="320" t="str" cm="1">
        <f t="array" ref="P272">_xlfn.IFNA(IF(INDEX(Tb_KostenOptiesDB[],MATCH($F272,Tb_KostenOptiesDB[KostenOptie],0),IFERROR(MATCH(Methode_Keuze,Tb_KostenOptiesDB[#Headers],0),2))=1,_xlfn.SWITCH($N272,"Uurtarief",IF(OR(AND(RIGHT($F272,3)="IKS",VLOOKUP($M272,DB_Loonkosten,2,0)="Ja"),AND(RIGHT($F272,3)&lt;&gt;"IKS",VLOOKUP($M272,DB_Loonkosten,2,0)="Nee")),IFERROR(VLOOKUP($M272,DB_Loonkosten,25,0),""),0),"Vast tarief",IF(LEFT(F272,8)="Bijdrage",VLOOKUP($F272,Tb_KostenTypen[],MATCH(Lijsten!$P$1,Tb_KostenTypen[#Headers],0),0),VLOOKUP($G272,Lijsten!L:P,MATCH(Lijsten!$P$1,Kop_Tarief_Vast,0),0))),""),"")</f>
        <v/>
      </c>
      <c r="Q272" s="359"/>
      <c r="R272" s="359"/>
      <c r="S272" s="321"/>
      <c r="T272" s="321"/>
      <c r="U272" s="373" t="str">
        <f t="shared" si="16"/>
        <v/>
      </c>
      <c r="V272" s="314" t="str">
        <f t="shared" si="17"/>
        <v/>
      </c>
      <c r="W272" s="314" t="str" cm="1">
        <f t="array" aca="1" ref="W272" ca="1">IFERROR(IF(AE272&lt;&gt;"ja",_xlfn.IFNA(_xlfn.IFS(AND(O272&lt;&gt;"",F272&lt;&gt;"",RIGHT($N272,6)="tarief",F272="Vergoeding"),SUM(O272)*FLOOR(SUM(Q272),0.0001),AND(O272&lt;&gt;"",F272&lt;&gt;"",RIGHT($N272,6)="tarief"),SUM(O272)*FLOOR(SUM(Q272),0.01),S272&gt;0,IF(F272&lt;&gt;"",FLOOR(SUM(S272),0.01),"")),""),""),"")</f>
        <v/>
      </c>
      <c r="X272" s="314" t="str" cm="1">
        <f t="array" aca="1" ref="X272" ca="1">IFERROR(IF(AE272&lt;&gt;"ja",_xlfn.IFNA(_xlfn.IFS(AND(P272&lt;&gt;"",R272&lt;&gt;"",RIGHT($N272,6)="tarief",F272="Vergoeding"),SUM(P272)*FLOOR(SUM(R272),0.0001),AND(P272&lt;&gt;"",R272&lt;&gt;"",RIGHT($N272,6)="tarief"),P272*FLOOR(R272,0.01),T272&gt;0,FLOOR(SUM(T272),0.01)),""),""),"")</f>
        <v/>
      </c>
      <c r="Y272" s="314" t="str">
        <f t="shared" ca="1" si="18"/>
        <v/>
      </c>
      <c r="Z272" s="314" t="str" cm="1">
        <f t="array" aca="1" ref="Z272" ca="1">IFERROR(_xlfn.IFS(OR(F272="",LEFT(Methode_Keuze,4)="Geen",Methode_Keuze=""),"",AND(W272&lt;&gt;"",F272&lt;&gt;"Arbeidskosten"),W272*VLOOKUP(F272,Tb_ProjectKosten[],MATCH(Tb_ProjectKosten[[#Headers],[Forfait_Percentage]],Tb_ProjectKosten[#Headers],0),0),AND(F272="Arbeidskosten",G272&lt;&gt;""),IFERROR(W272*VLOOKUP(G272,Tb_KostenTypen[],3,0)*VLOOKUP(F272,Tb_ProjectKosten[],MATCH(Tb_ProjectKosten[[#Headers],[Forfait_Percentage]],Tb_ProjectKosten[#Headers],0),0),""),W272 &lt;=0,0),"")</f>
        <v/>
      </c>
      <c r="AA272" s="314" t="str" cm="1">
        <f t="array" aca="1" ref="AA272" ca="1">IFERROR(_xlfn.IFS(OR(F272="",LEFT(Methode_Keuze,4)="Geen",Methode_Keuze=""),"",AND(X272&lt;&gt;"",F272&lt;&gt;"Arbeidskosten"),X272*VLOOKUP(F272,Tb_ProjectKosten[],MATCH(Tb_ProjectKosten[[#Headers],[Forfait_Percentage]],Tb_ProjectKosten[#Headers],0),0),AND(F272="Arbeidskosten",G272&lt;&gt;""),IFERROR(X272*VLOOKUP(G272,Tb_KostenTypen[],3,0)*VLOOKUP(F272,Tb_ProjectKosten[],MATCH(Tb_ProjectKosten[[#Headers],[Forfait_Percentage]],Tb_ProjectKosten[#Headers],0),0),""),X272 &lt;=0,0),"")</f>
        <v/>
      </c>
      <c r="AB272" s="314" t="str">
        <f t="shared" ca="1" si="19"/>
        <v/>
      </c>
      <c r="AC272" s="322"/>
      <c r="AD272" s="315"/>
      <c r="AE272" s="32" t="str" cm="1">
        <f t="array" ref="AE272">IFERROR(IF(INDEX(SubsidieTabel!$AD$1:$AG$12,MATCH($F272,SubsidieTabel!$AD$1:$AD$12,0),IFERROR(MATCH(Methode_Keuze,SubsidieTabel!$AD$1:$AG$1,0),2))&lt;&gt;1=TRUE,"ja",""),"")</f>
        <v/>
      </c>
    </row>
    <row r="273" spans="1:31" x14ac:dyDescent="0.25">
      <c r="A273" s="316"/>
      <c r="B273" s="317" t="str">
        <f>IF(A273&lt;&gt;"",_xlfn.MAXIFS($B$1:B272,$A$1:A272,A273)+1,"")</f>
        <v/>
      </c>
      <c r="C273" s="296"/>
      <c r="D273" s="296"/>
      <c r="E273" s="296"/>
      <c r="F273" s="296"/>
      <c r="G273" s="326"/>
      <c r="H273" s="324"/>
      <c r="I273" s="325"/>
      <c r="J273" s="325"/>
      <c r="K273" s="318"/>
      <c r="L273" s="318"/>
      <c r="M273" s="319" t="str">
        <f>IFERROR(VLOOKUP(H273,Lijsten!$H$1:$I$100,2,0),"")</f>
        <v/>
      </c>
      <c r="N273" s="319" t="str">
        <f ca="1">IFERROR(IF(VLOOKUP(F273,Kostentypen!$A$3:$E$21,3,0)=0,"",IF(OR(F273="Arbeidskosten",F273="Vergoeding"),VLOOKUP(G273,Tb_KostenTypen[],2,0),VLOOKUP(F273,Kostentypen!$A$3:$E$20,3,0))),"")</f>
        <v/>
      </c>
      <c r="O273" s="320" t="str" cm="1">
        <f t="array" ref="O273">_xlfn.IFNA(IF(INDEX(Tb_KostenOptiesDB[],MATCH($F273,Tb_KostenOptiesDB[KostenOptie],0),IFERROR(MATCH(Methode_Keuze,Tb_KostenOptiesDB[#Headers],0),2))=1,_xlfn.SWITCH($N273,"Uurtarief",IF(OR(AND(RIGHT($F273,3)="IKS",VLOOKUP($M273,DB_Loonkosten,2,0)="Ja"),AND(RIGHT($F273,3)&lt;&gt;"IKS",VLOOKUP($M273,DB_Loonkosten,2,0)="Nee")),IFERROR(VLOOKUP($M273,DB_Loonkosten,24,0),""),0),"Vast tarief",IF(LEFT(F273,8)="Bijdrage",VLOOKUP($F273,Tb_KostenTypen[],MATCH(Lijsten!$P$1,Tb_KostenTypen[#Headers],0),0),VLOOKUP($G273,Lijsten!L:P,MATCH(Lijsten!$P$1,Kop_Tarief_Vast,0),0))),""),"")</f>
        <v/>
      </c>
      <c r="P273" s="320" t="str" cm="1">
        <f t="array" ref="P273">_xlfn.IFNA(IF(INDEX(Tb_KostenOptiesDB[],MATCH($F273,Tb_KostenOptiesDB[KostenOptie],0),IFERROR(MATCH(Methode_Keuze,Tb_KostenOptiesDB[#Headers],0),2))=1,_xlfn.SWITCH($N273,"Uurtarief",IF(OR(AND(RIGHT($F273,3)="IKS",VLOOKUP($M273,DB_Loonkosten,2,0)="Ja"),AND(RIGHT($F273,3)&lt;&gt;"IKS",VLOOKUP($M273,DB_Loonkosten,2,0)="Nee")),IFERROR(VLOOKUP($M273,DB_Loonkosten,25,0),""),0),"Vast tarief",IF(LEFT(F273,8)="Bijdrage",VLOOKUP($F273,Tb_KostenTypen[],MATCH(Lijsten!$P$1,Tb_KostenTypen[#Headers],0),0),VLOOKUP($G273,Lijsten!L:P,MATCH(Lijsten!$P$1,Kop_Tarief_Vast,0),0))),""),"")</f>
        <v/>
      </c>
      <c r="Q273" s="359"/>
      <c r="R273" s="359"/>
      <c r="S273" s="321"/>
      <c r="T273" s="321"/>
      <c r="U273" s="373" t="str">
        <f t="shared" si="16"/>
        <v/>
      </c>
      <c r="V273" s="314" t="str">
        <f t="shared" si="17"/>
        <v/>
      </c>
      <c r="W273" s="314" t="str" cm="1">
        <f t="array" aca="1" ref="W273" ca="1">IFERROR(IF(AE273&lt;&gt;"ja",_xlfn.IFNA(_xlfn.IFS(AND(O273&lt;&gt;"",F273&lt;&gt;"",RIGHT($N273,6)="tarief",F273="Vergoeding"),SUM(O273)*FLOOR(SUM(Q273),0.0001),AND(O273&lt;&gt;"",F273&lt;&gt;"",RIGHT($N273,6)="tarief"),SUM(O273)*FLOOR(SUM(Q273),0.01),S273&gt;0,IF(F273&lt;&gt;"",FLOOR(SUM(S273),0.01),"")),""),""),"")</f>
        <v/>
      </c>
      <c r="X273" s="314" t="str" cm="1">
        <f t="array" aca="1" ref="X273" ca="1">IFERROR(IF(AE273&lt;&gt;"ja",_xlfn.IFNA(_xlfn.IFS(AND(P273&lt;&gt;"",R273&lt;&gt;"",RIGHT($N273,6)="tarief",F273="Vergoeding"),SUM(P273)*FLOOR(SUM(R273),0.0001),AND(P273&lt;&gt;"",R273&lt;&gt;"",RIGHT($N273,6)="tarief"),P273*FLOOR(R273,0.01),T273&gt;0,FLOOR(SUM(T273),0.01)),""),""),"")</f>
        <v/>
      </c>
      <c r="Y273" s="314" t="str">
        <f t="shared" ca="1" si="18"/>
        <v/>
      </c>
      <c r="Z273" s="314" t="str" cm="1">
        <f t="array" aca="1" ref="Z273" ca="1">IFERROR(_xlfn.IFS(OR(F273="",LEFT(Methode_Keuze,4)="Geen",Methode_Keuze=""),"",AND(W273&lt;&gt;"",F273&lt;&gt;"Arbeidskosten"),W273*VLOOKUP(F273,Tb_ProjectKosten[],MATCH(Tb_ProjectKosten[[#Headers],[Forfait_Percentage]],Tb_ProjectKosten[#Headers],0),0),AND(F273="Arbeidskosten",G273&lt;&gt;""),IFERROR(W273*VLOOKUP(G273,Tb_KostenTypen[],3,0)*VLOOKUP(F273,Tb_ProjectKosten[],MATCH(Tb_ProjectKosten[[#Headers],[Forfait_Percentage]],Tb_ProjectKosten[#Headers],0),0),""),W273 &lt;=0,0),"")</f>
        <v/>
      </c>
      <c r="AA273" s="314" t="str" cm="1">
        <f t="array" aca="1" ref="AA273" ca="1">IFERROR(_xlfn.IFS(OR(F273="",LEFT(Methode_Keuze,4)="Geen",Methode_Keuze=""),"",AND(X273&lt;&gt;"",F273&lt;&gt;"Arbeidskosten"),X273*VLOOKUP(F273,Tb_ProjectKosten[],MATCH(Tb_ProjectKosten[[#Headers],[Forfait_Percentage]],Tb_ProjectKosten[#Headers],0),0),AND(F273="Arbeidskosten",G273&lt;&gt;""),IFERROR(X273*VLOOKUP(G273,Tb_KostenTypen[],3,0)*VLOOKUP(F273,Tb_ProjectKosten[],MATCH(Tb_ProjectKosten[[#Headers],[Forfait_Percentage]],Tb_ProjectKosten[#Headers],0),0),""),X273 &lt;=0,0),"")</f>
        <v/>
      </c>
      <c r="AB273" s="314" t="str">
        <f t="shared" ca="1" si="19"/>
        <v/>
      </c>
      <c r="AC273" s="322"/>
      <c r="AD273" s="315"/>
      <c r="AE273" s="32" t="str" cm="1">
        <f t="array" ref="AE273">IFERROR(IF(INDEX(SubsidieTabel!$AD$1:$AG$12,MATCH($F273,SubsidieTabel!$AD$1:$AD$12,0),IFERROR(MATCH(Methode_Keuze,SubsidieTabel!$AD$1:$AG$1,0),2))&lt;&gt;1=TRUE,"ja",""),"")</f>
        <v/>
      </c>
    </row>
    <row r="274" spans="1:31" x14ac:dyDescent="0.25">
      <c r="A274" s="316"/>
      <c r="B274" s="317" t="str">
        <f>IF(A274&lt;&gt;"",_xlfn.MAXIFS($B$1:B273,$A$1:A273,A274)+1,"")</f>
        <v/>
      </c>
      <c r="C274" s="296"/>
      <c r="D274" s="296"/>
      <c r="E274" s="296"/>
      <c r="F274" s="296"/>
      <c r="G274" s="326"/>
      <c r="H274" s="324"/>
      <c r="I274" s="325"/>
      <c r="J274" s="325"/>
      <c r="K274" s="318"/>
      <c r="L274" s="318"/>
      <c r="M274" s="319" t="str">
        <f>IFERROR(VLOOKUP(H274,Lijsten!$H$1:$I$100,2,0),"")</f>
        <v/>
      </c>
      <c r="N274" s="319" t="str">
        <f ca="1">IFERROR(IF(VLOOKUP(F274,Kostentypen!$A$3:$E$21,3,0)=0,"",IF(OR(F274="Arbeidskosten",F274="Vergoeding"),VLOOKUP(G274,Tb_KostenTypen[],2,0),VLOOKUP(F274,Kostentypen!$A$3:$E$20,3,0))),"")</f>
        <v/>
      </c>
      <c r="O274" s="320" t="str" cm="1">
        <f t="array" ref="O274">_xlfn.IFNA(IF(INDEX(Tb_KostenOptiesDB[],MATCH($F274,Tb_KostenOptiesDB[KostenOptie],0),IFERROR(MATCH(Methode_Keuze,Tb_KostenOptiesDB[#Headers],0),2))=1,_xlfn.SWITCH($N274,"Uurtarief",IF(OR(AND(RIGHT($F274,3)="IKS",VLOOKUP($M274,DB_Loonkosten,2,0)="Ja"),AND(RIGHT($F274,3)&lt;&gt;"IKS",VLOOKUP($M274,DB_Loonkosten,2,0)="Nee")),IFERROR(VLOOKUP($M274,DB_Loonkosten,24,0),""),0),"Vast tarief",IF(LEFT(F274,8)="Bijdrage",VLOOKUP($F274,Tb_KostenTypen[],MATCH(Lijsten!$P$1,Tb_KostenTypen[#Headers],0),0),VLOOKUP($G274,Lijsten!L:P,MATCH(Lijsten!$P$1,Kop_Tarief_Vast,0),0))),""),"")</f>
        <v/>
      </c>
      <c r="P274" s="320" t="str" cm="1">
        <f t="array" ref="P274">_xlfn.IFNA(IF(INDEX(Tb_KostenOptiesDB[],MATCH($F274,Tb_KostenOptiesDB[KostenOptie],0),IFERROR(MATCH(Methode_Keuze,Tb_KostenOptiesDB[#Headers],0),2))=1,_xlfn.SWITCH($N274,"Uurtarief",IF(OR(AND(RIGHT($F274,3)="IKS",VLOOKUP($M274,DB_Loonkosten,2,0)="Ja"),AND(RIGHT($F274,3)&lt;&gt;"IKS",VLOOKUP($M274,DB_Loonkosten,2,0)="Nee")),IFERROR(VLOOKUP($M274,DB_Loonkosten,25,0),""),0),"Vast tarief",IF(LEFT(F274,8)="Bijdrage",VLOOKUP($F274,Tb_KostenTypen[],MATCH(Lijsten!$P$1,Tb_KostenTypen[#Headers],0),0),VLOOKUP($G274,Lijsten!L:P,MATCH(Lijsten!$P$1,Kop_Tarief_Vast,0),0))),""),"")</f>
        <v/>
      </c>
      <c r="Q274" s="359"/>
      <c r="R274" s="359"/>
      <c r="S274" s="321"/>
      <c r="T274" s="321"/>
      <c r="U274" s="373" t="str">
        <f t="shared" si="16"/>
        <v/>
      </c>
      <c r="V274" s="314" t="str">
        <f t="shared" si="17"/>
        <v/>
      </c>
      <c r="W274" s="314" t="str" cm="1">
        <f t="array" aca="1" ref="W274" ca="1">IFERROR(IF(AE274&lt;&gt;"ja",_xlfn.IFNA(_xlfn.IFS(AND(O274&lt;&gt;"",F274&lt;&gt;"",RIGHT($N274,6)="tarief",F274="Vergoeding"),SUM(O274)*FLOOR(SUM(Q274),0.0001),AND(O274&lt;&gt;"",F274&lt;&gt;"",RIGHT($N274,6)="tarief"),SUM(O274)*FLOOR(SUM(Q274),0.01),S274&gt;0,IF(F274&lt;&gt;"",FLOOR(SUM(S274),0.01),"")),""),""),"")</f>
        <v/>
      </c>
      <c r="X274" s="314" t="str" cm="1">
        <f t="array" aca="1" ref="X274" ca="1">IFERROR(IF(AE274&lt;&gt;"ja",_xlfn.IFNA(_xlfn.IFS(AND(P274&lt;&gt;"",R274&lt;&gt;"",RIGHT($N274,6)="tarief",F274="Vergoeding"),SUM(P274)*FLOOR(SUM(R274),0.0001),AND(P274&lt;&gt;"",R274&lt;&gt;"",RIGHT($N274,6)="tarief"),P274*FLOOR(R274,0.01),T274&gt;0,FLOOR(SUM(T274),0.01)),""),""),"")</f>
        <v/>
      </c>
      <c r="Y274" s="314" t="str">
        <f t="shared" ca="1" si="18"/>
        <v/>
      </c>
      <c r="Z274" s="314" t="str" cm="1">
        <f t="array" aca="1" ref="Z274" ca="1">IFERROR(_xlfn.IFS(OR(F274="",LEFT(Methode_Keuze,4)="Geen",Methode_Keuze=""),"",AND(W274&lt;&gt;"",F274&lt;&gt;"Arbeidskosten"),W274*VLOOKUP(F274,Tb_ProjectKosten[],MATCH(Tb_ProjectKosten[[#Headers],[Forfait_Percentage]],Tb_ProjectKosten[#Headers],0),0),AND(F274="Arbeidskosten",G274&lt;&gt;""),IFERROR(W274*VLOOKUP(G274,Tb_KostenTypen[],3,0)*VLOOKUP(F274,Tb_ProjectKosten[],MATCH(Tb_ProjectKosten[[#Headers],[Forfait_Percentage]],Tb_ProjectKosten[#Headers],0),0),""),W274 &lt;=0,0),"")</f>
        <v/>
      </c>
      <c r="AA274" s="314" t="str" cm="1">
        <f t="array" aca="1" ref="AA274" ca="1">IFERROR(_xlfn.IFS(OR(F274="",LEFT(Methode_Keuze,4)="Geen",Methode_Keuze=""),"",AND(X274&lt;&gt;"",F274&lt;&gt;"Arbeidskosten"),X274*VLOOKUP(F274,Tb_ProjectKosten[],MATCH(Tb_ProjectKosten[[#Headers],[Forfait_Percentage]],Tb_ProjectKosten[#Headers],0),0),AND(F274="Arbeidskosten",G274&lt;&gt;""),IFERROR(X274*VLOOKUP(G274,Tb_KostenTypen[],3,0)*VLOOKUP(F274,Tb_ProjectKosten[],MATCH(Tb_ProjectKosten[[#Headers],[Forfait_Percentage]],Tb_ProjectKosten[#Headers],0),0),""),X274 &lt;=0,0),"")</f>
        <v/>
      </c>
      <c r="AB274" s="314" t="str">
        <f t="shared" ca="1" si="19"/>
        <v/>
      </c>
      <c r="AC274" s="322"/>
      <c r="AD274" s="315"/>
      <c r="AE274" s="32" t="str" cm="1">
        <f t="array" ref="AE274">IFERROR(IF(INDEX(SubsidieTabel!$AD$1:$AG$12,MATCH($F274,SubsidieTabel!$AD$1:$AD$12,0),IFERROR(MATCH(Methode_Keuze,SubsidieTabel!$AD$1:$AG$1,0),2))&lt;&gt;1=TRUE,"ja",""),"")</f>
        <v/>
      </c>
    </row>
    <row r="275" spans="1:31" x14ac:dyDescent="0.25">
      <c r="A275" s="316"/>
      <c r="B275" s="317" t="str">
        <f>IF(A275&lt;&gt;"",_xlfn.MAXIFS($B$1:B274,$A$1:A274,A275)+1,"")</f>
        <v/>
      </c>
      <c r="C275" s="296"/>
      <c r="D275" s="296"/>
      <c r="E275" s="296"/>
      <c r="F275" s="296"/>
      <c r="G275" s="326"/>
      <c r="H275" s="324"/>
      <c r="I275" s="325"/>
      <c r="J275" s="325"/>
      <c r="K275" s="318"/>
      <c r="L275" s="318"/>
      <c r="M275" s="319" t="str">
        <f>IFERROR(VLOOKUP(H275,Lijsten!$H$1:$I$100,2,0),"")</f>
        <v/>
      </c>
      <c r="N275" s="319" t="str">
        <f ca="1">IFERROR(IF(VLOOKUP(F275,Kostentypen!$A$3:$E$21,3,0)=0,"",IF(OR(F275="Arbeidskosten",F275="Vergoeding"),VLOOKUP(G275,Tb_KostenTypen[],2,0),VLOOKUP(F275,Kostentypen!$A$3:$E$20,3,0))),"")</f>
        <v/>
      </c>
      <c r="O275" s="320" t="str" cm="1">
        <f t="array" ref="O275">_xlfn.IFNA(IF(INDEX(Tb_KostenOptiesDB[],MATCH($F275,Tb_KostenOptiesDB[KostenOptie],0),IFERROR(MATCH(Methode_Keuze,Tb_KostenOptiesDB[#Headers],0),2))=1,_xlfn.SWITCH($N275,"Uurtarief",IF(OR(AND(RIGHT($F275,3)="IKS",VLOOKUP($M275,DB_Loonkosten,2,0)="Ja"),AND(RIGHT($F275,3)&lt;&gt;"IKS",VLOOKUP($M275,DB_Loonkosten,2,0)="Nee")),IFERROR(VLOOKUP($M275,DB_Loonkosten,24,0),""),0),"Vast tarief",IF(LEFT(F275,8)="Bijdrage",VLOOKUP($F275,Tb_KostenTypen[],MATCH(Lijsten!$P$1,Tb_KostenTypen[#Headers],0),0),VLOOKUP($G275,Lijsten!L:P,MATCH(Lijsten!$P$1,Kop_Tarief_Vast,0),0))),""),"")</f>
        <v/>
      </c>
      <c r="P275" s="320" t="str" cm="1">
        <f t="array" ref="P275">_xlfn.IFNA(IF(INDEX(Tb_KostenOptiesDB[],MATCH($F275,Tb_KostenOptiesDB[KostenOptie],0),IFERROR(MATCH(Methode_Keuze,Tb_KostenOptiesDB[#Headers],0),2))=1,_xlfn.SWITCH($N275,"Uurtarief",IF(OR(AND(RIGHT($F275,3)="IKS",VLOOKUP($M275,DB_Loonkosten,2,0)="Ja"),AND(RIGHT($F275,3)&lt;&gt;"IKS",VLOOKUP($M275,DB_Loonkosten,2,0)="Nee")),IFERROR(VLOOKUP($M275,DB_Loonkosten,25,0),""),0),"Vast tarief",IF(LEFT(F275,8)="Bijdrage",VLOOKUP($F275,Tb_KostenTypen[],MATCH(Lijsten!$P$1,Tb_KostenTypen[#Headers],0),0),VLOOKUP($G275,Lijsten!L:P,MATCH(Lijsten!$P$1,Kop_Tarief_Vast,0),0))),""),"")</f>
        <v/>
      </c>
      <c r="Q275" s="359"/>
      <c r="R275" s="359"/>
      <c r="S275" s="321"/>
      <c r="T275" s="321"/>
      <c r="U275" s="373" t="str">
        <f t="shared" si="16"/>
        <v/>
      </c>
      <c r="V275" s="314" t="str">
        <f t="shared" si="17"/>
        <v/>
      </c>
      <c r="W275" s="314" t="str" cm="1">
        <f t="array" aca="1" ref="W275" ca="1">IFERROR(IF(AE275&lt;&gt;"ja",_xlfn.IFNA(_xlfn.IFS(AND(O275&lt;&gt;"",F275&lt;&gt;"",RIGHT($N275,6)="tarief",F275="Vergoeding"),SUM(O275)*FLOOR(SUM(Q275),0.0001),AND(O275&lt;&gt;"",F275&lt;&gt;"",RIGHT($N275,6)="tarief"),SUM(O275)*FLOOR(SUM(Q275),0.01),S275&gt;0,IF(F275&lt;&gt;"",FLOOR(SUM(S275),0.01),"")),""),""),"")</f>
        <v/>
      </c>
      <c r="X275" s="314" t="str" cm="1">
        <f t="array" aca="1" ref="X275" ca="1">IFERROR(IF(AE275&lt;&gt;"ja",_xlfn.IFNA(_xlfn.IFS(AND(P275&lt;&gt;"",R275&lt;&gt;"",RIGHT($N275,6)="tarief",F275="Vergoeding"),SUM(P275)*FLOOR(SUM(R275),0.0001),AND(P275&lt;&gt;"",R275&lt;&gt;"",RIGHT($N275,6)="tarief"),P275*FLOOR(R275,0.01),T275&gt;0,FLOOR(SUM(T275),0.01)),""),""),"")</f>
        <v/>
      </c>
      <c r="Y275" s="314" t="str">
        <f t="shared" ca="1" si="18"/>
        <v/>
      </c>
      <c r="Z275" s="314" t="str" cm="1">
        <f t="array" aca="1" ref="Z275" ca="1">IFERROR(_xlfn.IFS(OR(F275="",LEFT(Methode_Keuze,4)="Geen",Methode_Keuze=""),"",AND(W275&lt;&gt;"",F275&lt;&gt;"Arbeidskosten"),W275*VLOOKUP(F275,Tb_ProjectKosten[],MATCH(Tb_ProjectKosten[[#Headers],[Forfait_Percentage]],Tb_ProjectKosten[#Headers],0),0),AND(F275="Arbeidskosten",G275&lt;&gt;""),IFERROR(W275*VLOOKUP(G275,Tb_KostenTypen[],3,0)*VLOOKUP(F275,Tb_ProjectKosten[],MATCH(Tb_ProjectKosten[[#Headers],[Forfait_Percentage]],Tb_ProjectKosten[#Headers],0),0),""),W275 &lt;=0,0),"")</f>
        <v/>
      </c>
      <c r="AA275" s="314" t="str" cm="1">
        <f t="array" aca="1" ref="AA275" ca="1">IFERROR(_xlfn.IFS(OR(F275="",LEFT(Methode_Keuze,4)="Geen",Methode_Keuze=""),"",AND(X275&lt;&gt;"",F275&lt;&gt;"Arbeidskosten"),X275*VLOOKUP(F275,Tb_ProjectKosten[],MATCH(Tb_ProjectKosten[[#Headers],[Forfait_Percentage]],Tb_ProjectKosten[#Headers],0),0),AND(F275="Arbeidskosten",G275&lt;&gt;""),IFERROR(X275*VLOOKUP(G275,Tb_KostenTypen[],3,0)*VLOOKUP(F275,Tb_ProjectKosten[],MATCH(Tb_ProjectKosten[[#Headers],[Forfait_Percentage]],Tb_ProjectKosten[#Headers],0),0),""),X275 &lt;=0,0),"")</f>
        <v/>
      </c>
      <c r="AB275" s="314" t="str">
        <f t="shared" ca="1" si="19"/>
        <v/>
      </c>
      <c r="AC275" s="322"/>
      <c r="AD275" s="315"/>
      <c r="AE275" s="32" t="str" cm="1">
        <f t="array" ref="AE275">IFERROR(IF(INDEX(SubsidieTabel!$AD$1:$AG$12,MATCH($F275,SubsidieTabel!$AD$1:$AD$12,0),IFERROR(MATCH(Methode_Keuze,SubsidieTabel!$AD$1:$AG$1,0),2))&lt;&gt;1=TRUE,"ja",""),"")</f>
        <v/>
      </c>
    </row>
    <row r="276" spans="1:31" x14ac:dyDescent="0.25">
      <c r="A276" s="316"/>
      <c r="B276" s="317" t="str">
        <f>IF(A276&lt;&gt;"",_xlfn.MAXIFS($B$1:B275,$A$1:A275,A276)+1,"")</f>
        <v/>
      </c>
      <c r="C276" s="296"/>
      <c r="D276" s="296"/>
      <c r="E276" s="296"/>
      <c r="F276" s="296"/>
      <c r="G276" s="326"/>
      <c r="H276" s="324"/>
      <c r="I276" s="325"/>
      <c r="J276" s="325"/>
      <c r="K276" s="318"/>
      <c r="L276" s="318"/>
      <c r="M276" s="319" t="str">
        <f>IFERROR(VLOOKUP(H276,Lijsten!$H$1:$I$100,2,0),"")</f>
        <v/>
      </c>
      <c r="N276" s="319" t="str">
        <f ca="1">IFERROR(IF(VLOOKUP(F276,Kostentypen!$A$3:$E$21,3,0)=0,"",IF(OR(F276="Arbeidskosten",F276="Vergoeding"),VLOOKUP(G276,Tb_KostenTypen[],2,0),VLOOKUP(F276,Kostentypen!$A$3:$E$20,3,0))),"")</f>
        <v/>
      </c>
      <c r="O276" s="320" t="str" cm="1">
        <f t="array" ref="O276">_xlfn.IFNA(IF(INDEX(Tb_KostenOptiesDB[],MATCH($F276,Tb_KostenOptiesDB[KostenOptie],0),IFERROR(MATCH(Methode_Keuze,Tb_KostenOptiesDB[#Headers],0),2))=1,_xlfn.SWITCH($N276,"Uurtarief",IF(OR(AND(RIGHT($F276,3)="IKS",VLOOKUP($M276,DB_Loonkosten,2,0)="Ja"),AND(RIGHT($F276,3)&lt;&gt;"IKS",VLOOKUP($M276,DB_Loonkosten,2,0)="Nee")),IFERROR(VLOOKUP($M276,DB_Loonkosten,24,0),""),0),"Vast tarief",IF(LEFT(F276,8)="Bijdrage",VLOOKUP($F276,Tb_KostenTypen[],MATCH(Lijsten!$P$1,Tb_KostenTypen[#Headers],0),0),VLOOKUP($G276,Lijsten!L:P,MATCH(Lijsten!$P$1,Kop_Tarief_Vast,0),0))),""),"")</f>
        <v/>
      </c>
      <c r="P276" s="320" t="str" cm="1">
        <f t="array" ref="P276">_xlfn.IFNA(IF(INDEX(Tb_KostenOptiesDB[],MATCH($F276,Tb_KostenOptiesDB[KostenOptie],0),IFERROR(MATCH(Methode_Keuze,Tb_KostenOptiesDB[#Headers],0),2))=1,_xlfn.SWITCH($N276,"Uurtarief",IF(OR(AND(RIGHT($F276,3)="IKS",VLOOKUP($M276,DB_Loonkosten,2,0)="Ja"),AND(RIGHT($F276,3)&lt;&gt;"IKS",VLOOKUP($M276,DB_Loonkosten,2,0)="Nee")),IFERROR(VLOOKUP($M276,DB_Loonkosten,25,0),""),0),"Vast tarief",IF(LEFT(F276,8)="Bijdrage",VLOOKUP($F276,Tb_KostenTypen[],MATCH(Lijsten!$P$1,Tb_KostenTypen[#Headers],0),0),VLOOKUP($G276,Lijsten!L:P,MATCH(Lijsten!$P$1,Kop_Tarief_Vast,0),0))),""),"")</f>
        <v/>
      </c>
      <c r="Q276" s="359"/>
      <c r="R276" s="359"/>
      <c r="S276" s="321"/>
      <c r="T276" s="321"/>
      <c r="U276" s="373" t="str">
        <f t="shared" si="16"/>
        <v/>
      </c>
      <c r="V276" s="314" t="str">
        <f t="shared" si="17"/>
        <v/>
      </c>
      <c r="W276" s="314" t="str" cm="1">
        <f t="array" aca="1" ref="W276" ca="1">IFERROR(IF(AE276&lt;&gt;"ja",_xlfn.IFNA(_xlfn.IFS(AND(O276&lt;&gt;"",F276&lt;&gt;"",RIGHT($N276,6)="tarief",F276="Vergoeding"),SUM(O276)*FLOOR(SUM(Q276),0.0001),AND(O276&lt;&gt;"",F276&lt;&gt;"",RIGHT($N276,6)="tarief"),SUM(O276)*FLOOR(SUM(Q276),0.01),S276&gt;0,IF(F276&lt;&gt;"",FLOOR(SUM(S276),0.01),"")),""),""),"")</f>
        <v/>
      </c>
      <c r="X276" s="314" t="str" cm="1">
        <f t="array" aca="1" ref="X276" ca="1">IFERROR(IF(AE276&lt;&gt;"ja",_xlfn.IFNA(_xlfn.IFS(AND(P276&lt;&gt;"",R276&lt;&gt;"",RIGHT($N276,6)="tarief",F276="Vergoeding"),SUM(P276)*FLOOR(SUM(R276),0.0001),AND(P276&lt;&gt;"",R276&lt;&gt;"",RIGHT($N276,6)="tarief"),P276*FLOOR(R276,0.01),T276&gt;0,FLOOR(SUM(T276),0.01)),""),""),"")</f>
        <v/>
      </c>
      <c r="Y276" s="314" t="str">
        <f t="shared" ca="1" si="18"/>
        <v/>
      </c>
      <c r="Z276" s="314" t="str" cm="1">
        <f t="array" aca="1" ref="Z276" ca="1">IFERROR(_xlfn.IFS(OR(F276="",LEFT(Methode_Keuze,4)="Geen",Methode_Keuze=""),"",AND(W276&lt;&gt;"",F276&lt;&gt;"Arbeidskosten"),W276*VLOOKUP(F276,Tb_ProjectKosten[],MATCH(Tb_ProjectKosten[[#Headers],[Forfait_Percentage]],Tb_ProjectKosten[#Headers],0),0),AND(F276="Arbeidskosten",G276&lt;&gt;""),IFERROR(W276*VLOOKUP(G276,Tb_KostenTypen[],3,0)*VLOOKUP(F276,Tb_ProjectKosten[],MATCH(Tb_ProjectKosten[[#Headers],[Forfait_Percentage]],Tb_ProjectKosten[#Headers],0),0),""),W276 &lt;=0,0),"")</f>
        <v/>
      </c>
      <c r="AA276" s="314" t="str" cm="1">
        <f t="array" aca="1" ref="AA276" ca="1">IFERROR(_xlfn.IFS(OR(F276="",LEFT(Methode_Keuze,4)="Geen",Methode_Keuze=""),"",AND(X276&lt;&gt;"",F276&lt;&gt;"Arbeidskosten"),X276*VLOOKUP(F276,Tb_ProjectKosten[],MATCH(Tb_ProjectKosten[[#Headers],[Forfait_Percentage]],Tb_ProjectKosten[#Headers],0),0),AND(F276="Arbeidskosten",G276&lt;&gt;""),IFERROR(X276*VLOOKUP(G276,Tb_KostenTypen[],3,0)*VLOOKUP(F276,Tb_ProjectKosten[],MATCH(Tb_ProjectKosten[[#Headers],[Forfait_Percentage]],Tb_ProjectKosten[#Headers],0),0),""),X276 &lt;=0,0),"")</f>
        <v/>
      </c>
      <c r="AB276" s="314" t="str">
        <f t="shared" ca="1" si="19"/>
        <v/>
      </c>
      <c r="AC276" s="322"/>
      <c r="AD276" s="315"/>
      <c r="AE276" s="32" t="str" cm="1">
        <f t="array" ref="AE276">IFERROR(IF(INDEX(SubsidieTabel!$AD$1:$AG$12,MATCH($F276,SubsidieTabel!$AD$1:$AD$12,0),IFERROR(MATCH(Methode_Keuze,SubsidieTabel!$AD$1:$AG$1,0),2))&lt;&gt;1=TRUE,"ja",""),"")</f>
        <v/>
      </c>
    </row>
    <row r="277" spans="1:31" x14ac:dyDescent="0.25">
      <c r="A277" s="316"/>
      <c r="B277" s="317" t="str">
        <f>IF(A277&lt;&gt;"",_xlfn.MAXIFS($B$1:B276,$A$1:A276,A277)+1,"")</f>
        <v/>
      </c>
      <c r="C277" s="296"/>
      <c r="D277" s="296"/>
      <c r="E277" s="296"/>
      <c r="F277" s="296"/>
      <c r="G277" s="326"/>
      <c r="H277" s="324"/>
      <c r="I277" s="325"/>
      <c r="J277" s="325"/>
      <c r="K277" s="318"/>
      <c r="L277" s="318"/>
      <c r="M277" s="319" t="str">
        <f>IFERROR(VLOOKUP(H277,Lijsten!$H$1:$I$100,2,0),"")</f>
        <v/>
      </c>
      <c r="N277" s="319" t="str">
        <f ca="1">IFERROR(IF(VLOOKUP(F277,Kostentypen!$A$3:$E$21,3,0)=0,"",IF(OR(F277="Arbeidskosten",F277="Vergoeding"),VLOOKUP(G277,Tb_KostenTypen[],2,0),VLOOKUP(F277,Kostentypen!$A$3:$E$20,3,0))),"")</f>
        <v/>
      </c>
      <c r="O277" s="320" t="str" cm="1">
        <f t="array" ref="O277">_xlfn.IFNA(IF(INDEX(Tb_KostenOptiesDB[],MATCH($F277,Tb_KostenOptiesDB[KostenOptie],0),IFERROR(MATCH(Methode_Keuze,Tb_KostenOptiesDB[#Headers],0),2))=1,_xlfn.SWITCH($N277,"Uurtarief",IF(OR(AND(RIGHT($F277,3)="IKS",VLOOKUP($M277,DB_Loonkosten,2,0)="Ja"),AND(RIGHT($F277,3)&lt;&gt;"IKS",VLOOKUP($M277,DB_Loonkosten,2,0)="Nee")),IFERROR(VLOOKUP($M277,DB_Loonkosten,24,0),""),0),"Vast tarief",IF(LEFT(F277,8)="Bijdrage",VLOOKUP($F277,Tb_KostenTypen[],MATCH(Lijsten!$P$1,Tb_KostenTypen[#Headers],0),0),VLOOKUP($G277,Lijsten!L:P,MATCH(Lijsten!$P$1,Kop_Tarief_Vast,0),0))),""),"")</f>
        <v/>
      </c>
      <c r="P277" s="320" t="str" cm="1">
        <f t="array" ref="P277">_xlfn.IFNA(IF(INDEX(Tb_KostenOptiesDB[],MATCH($F277,Tb_KostenOptiesDB[KostenOptie],0),IFERROR(MATCH(Methode_Keuze,Tb_KostenOptiesDB[#Headers],0),2))=1,_xlfn.SWITCH($N277,"Uurtarief",IF(OR(AND(RIGHT($F277,3)="IKS",VLOOKUP($M277,DB_Loonkosten,2,0)="Ja"),AND(RIGHT($F277,3)&lt;&gt;"IKS",VLOOKUP($M277,DB_Loonkosten,2,0)="Nee")),IFERROR(VLOOKUP($M277,DB_Loonkosten,25,0),""),0),"Vast tarief",IF(LEFT(F277,8)="Bijdrage",VLOOKUP($F277,Tb_KostenTypen[],MATCH(Lijsten!$P$1,Tb_KostenTypen[#Headers],0),0),VLOOKUP($G277,Lijsten!L:P,MATCH(Lijsten!$P$1,Kop_Tarief_Vast,0),0))),""),"")</f>
        <v/>
      </c>
      <c r="Q277" s="359"/>
      <c r="R277" s="359"/>
      <c r="S277" s="321"/>
      <c r="T277" s="321"/>
      <c r="U277" s="373" t="str">
        <f t="shared" si="16"/>
        <v/>
      </c>
      <c r="V277" s="314" t="str">
        <f t="shared" si="17"/>
        <v/>
      </c>
      <c r="W277" s="314" t="str" cm="1">
        <f t="array" aca="1" ref="W277" ca="1">IFERROR(IF(AE277&lt;&gt;"ja",_xlfn.IFNA(_xlfn.IFS(AND(O277&lt;&gt;"",F277&lt;&gt;"",RIGHT($N277,6)="tarief",F277="Vergoeding"),SUM(O277)*FLOOR(SUM(Q277),0.0001),AND(O277&lt;&gt;"",F277&lt;&gt;"",RIGHT($N277,6)="tarief"),SUM(O277)*FLOOR(SUM(Q277),0.01),S277&gt;0,IF(F277&lt;&gt;"",FLOOR(SUM(S277),0.01),"")),""),""),"")</f>
        <v/>
      </c>
      <c r="X277" s="314" t="str" cm="1">
        <f t="array" aca="1" ref="X277" ca="1">IFERROR(IF(AE277&lt;&gt;"ja",_xlfn.IFNA(_xlfn.IFS(AND(P277&lt;&gt;"",R277&lt;&gt;"",RIGHT($N277,6)="tarief",F277="Vergoeding"),SUM(P277)*FLOOR(SUM(R277),0.0001),AND(P277&lt;&gt;"",R277&lt;&gt;"",RIGHT($N277,6)="tarief"),P277*FLOOR(R277,0.01),T277&gt;0,FLOOR(SUM(T277),0.01)),""),""),"")</f>
        <v/>
      </c>
      <c r="Y277" s="314" t="str">
        <f t="shared" ca="1" si="18"/>
        <v/>
      </c>
      <c r="Z277" s="314" t="str" cm="1">
        <f t="array" aca="1" ref="Z277" ca="1">IFERROR(_xlfn.IFS(OR(F277="",LEFT(Methode_Keuze,4)="Geen",Methode_Keuze=""),"",AND(W277&lt;&gt;"",F277&lt;&gt;"Arbeidskosten"),W277*VLOOKUP(F277,Tb_ProjectKosten[],MATCH(Tb_ProjectKosten[[#Headers],[Forfait_Percentage]],Tb_ProjectKosten[#Headers],0),0),AND(F277="Arbeidskosten",G277&lt;&gt;""),IFERROR(W277*VLOOKUP(G277,Tb_KostenTypen[],3,0)*VLOOKUP(F277,Tb_ProjectKosten[],MATCH(Tb_ProjectKosten[[#Headers],[Forfait_Percentage]],Tb_ProjectKosten[#Headers],0),0),""),W277 &lt;=0,0),"")</f>
        <v/>
      </c>
      <c r="AA277" s="314" t="str" cm="1">
        <f t="array" aca="1" ref="AA277" ca="1">IFERROR(_xlfn.IFS(OR(F277="",LEFT(Methode_Keuze,4)="Geen",Methode_Keuze=""),"",AND(X277&lt;&gt;"",F277&lt;&gt;"Arbeidskosten"),X277*VLOOKUP(F277,Tb_ProjectKosten[],MATCH(Tb_ProjectKosten[[#Headers],[Forfait_Percentage]],Tb_ProjectKosten[#Headers],0),0),AND(F277="Arbeidskosten",G277&lt;&gt;""),IFERROR(X277*VLOOKUP(G277,Tb_KostenTypen[],3,0)*VLOOKUP(F277,Tb_ProjectKosten[],MATCH(Tb_ProjectKosten[[#Headers],[Forfait_Percentage]],Tb_ProjectKosten[#Headers],0),0),""),X277 &lt;=0,0),"")</f>
        <v/>
      </c>
      <c r="AB277" s="314" t="str">
        <f t="shared" ca="1" si="19"/>
        <v/>
      </c>
      <c r="AC277" s="322"/>
      <c r="AD277" s="315"/>
      <c r="AE277" s="32" t="str" cm="1">
        <f t="array" ref="AE277">IFERROR(IF(INDEX(SubsidieTabel!$AD$1:$AG$12,MATCH($F277,SubsidieTabel!$AD$1:$AD$12,0),IFERROR(MATCH(Methode_Keuze,SubsidieTabel!$AD$1:$AG$1,0),2))&lt;&gt;1=TRUE,"ja",""),"")</f>
        <v/>
      </c>
    </row>
    <row r="278" spans="1:31" x14ac:dyDescent="0.25">
      <c r="A278" s="316"/>
      <c r="B278" s="317" t="str">
        <f>IF(A278&lt;&gt;"",_xlfn.MAXIFS($B$1:B277,$A$1:A277,A278)+1,"")</f>
        <v/>
      </c>
      <c r="C278" s="296"/>
      <c r="D278" s="296"/>
      <c r="E278" s="296"/>
      <c r="F278" s="296"/>
      <c r="G278" s="326"/>
      <c r="H278" s="324"/>
      <c r="I278" s="325"/>
      <c r="J278" s="325"/>
      <c r="K278" s="318"/>
      <c r="L278" s="318"/>
      <c r="M278" s="319" t="str">
        <f>IFERROR(VLOOKUP(H278,Lijsten!$H$1:$I$100,2,0),"")</f>
        <v/>
      </c>
      <c r="N278" s="319" t="str">
        <f ca="1">IFERROR(IF(VLOOKUP(F278,Kostentypen!$A$3:$E$21,3,0)=0,"",IF(OR(F278="Arbeidskosten",F278="Vergoeding"),VLOOKUP(G278,Tb_KostenTypen[],2,0),VLOOKUP(F278,Kostentypen!$A$3:$E$20,3,0))),"")</f>
        <v/>
      </c>
      <c r="O278" s="320" t="str" cm="1">
        <f t="array" ref="O278">_xlfn.IFNA(IF(INDEX(Tb_KostenOptiesDB[],MATCH($F278,Tb_KostenOptiesDB[KostenOptie],0),IFERROR(MATCH(Methode_Keuze,Tb_KostenOptiesDB[#Headers],0),2))=1,_xlfn.SWITCH($N278,"Uurtarief",IF(OR(AND(RIGHT($F278,3)="IKS",VLOOKUP($M278,DB_Loonkosten,2,0)="Ja"),AND(RIGHT($F278,3)&lt;&gt;"IKS",VLOOKUP($M278,DB_Loonkosten,2,0)="Nee")),IFERROR(VLOOKUP($M278,DB_Loonkosten,24,0),""),0),"Vast tarief",IF(LEFT(F278,8)="Bijdrage",VLOOKUP($F278,Tb_KostenTypen[],MATCH(Lijsten!$P$1,Tb_KostenTypen[#Headers],0),0),VLOOKUP($G278,Lijsten!L:P,MATCH(Lijsten!$P$1,Kop_Tarief_Vast,0),0))),""),"")</f>
        <v/>
      </c>
      <c r="P278" s="320" t="str" cm="1">
        <f t="array" ref="P278">_xlfn.IFNA(IF(INDEX(Tb_KostenOptiesDB[],MATCH($F278,Tb_KostenOptiesDB[KostenOptie],0),IFERROR(MATCH(Methode_Keuze,Tb_KostenOptiesDB[#Headers],0),2))=1,_xlfn.SWITCH($N278,"Uurtarief",IF(OR(AND(RIGHT($F278,3)="IKS",VLOOKUP($M278,DB_Loonkosten,2,0)="Ja"),AND(RIGHT($F278,3)&lt;&gt;"IKS",VLOOKUP($M278,DB_Loonkosten,2,0)="Nee")),IFERROR(VLOOKUP($M278,DB_Loonkosten,25,0),""),0),"Vast tarief",IF(LEFT(F278,8)="Bijdrage",VLOOKUP($F278,Tb_KostenTypen[],MATCH(Lijsten!$P$1,Tb_KostenTypen[#Headers],0),0),VLOOKUP($G278,Lijsten!L:P,MATCH(Lijsten!$P$1,Kop_Tarief_Vast,0),0))),""),"")</f>
        <v/>
      </c>
      <c r="Q278" s="359"/>
      <c r="R278" s="359"/>
      <c r="S278" s="321"/>
      <c r="T278" s="321"/>
      <c r="U278" s="373" t="str">
        <f t="shared" si="16"/>
        <v/>
      </c>
      <c r="V278" s="314" t="str">
        <f t="shared" si="17"/>
        <v/>
      </c>
      <c r="W278" s="314" t="str" cm="1">
        <f t="array" aca="1" ref="W278" ca="1">IFERROR(IF(AE278&lt;&gt;"ja",_xlfn.IFNA(_xlfn.IFS(AND(O278&lt;&gt;"",F278&lt;&gt;"",RIGHT($N278,6)="tarief",F278="Vergoeding"),SUM(O278)*FLOOR(SUM(Q278),0.0001),AND(O278&lt;&gt;"",F278&lt;&gt;"",RIGHT($N278,6)="tarief"),SUM(O278)*FLOOR(SUM(Q278),0.01),S278&gt;0,IF(F278&lt;&gt;"",FLOOR(SUM(S278),0.01),"")),""),""),"")</f>
        <v/>
      </c>
      <c r="X278" s="314" t="str" cm="1">
        <f t="array" aca="1" ref="X278" ca="1">IFERROR(IF(AE278&lt;&gt;"ja",_xlfn.IFNA(_xlfn.IFS(AND(P278&lt;&gt;"",R278&lt;&gt;"",RIGHT($N278,6)="tarief",F278="Vergoeding"),SUM(P278)*FLOOR(SUM(R278),0.0001),AND(P278&lt;&gt;"",R278&lt;&gt;"",RIGHT($N278,6)="tarief"),P278*FLOOR(R278,0.01),T278&gt;0,FLOOR(SUM(T278),0.01)),""),""),"")</f>
        <v/>
      </c>
      <c r="Y278" s="314" t="str">
        <f t="shared" ca="1" si="18"/>
        <v/>
      </c>
      <c r="Z278" s="314" t="str" cm="1">
        <f t="array" aca="1" ref="Z278" ca="1">IFERROR(_xlfn.IFS(OR(F278="",LEFT(Methode_Keuze,4)="Geen",Methode_Keuze=""),"",AND(W278&lt;&gt;"",F278&lt;&gt;"Arbeidskosten"),W278*VLOOKUP(F278,Tb_ProjectKosten[],MATCH(Tb_ProjectKosten[[#Headers],[Forfait_Percentage]],Tb_ProjectKosten[#Headers],0),0),AND(F278="Arbeidskosten",G278&lt;&gt;""),IFERROR(W278*VLOOKUP(G278,Tb_KostenTypen[],3,0)*VLOOKUP(F278,Tb_ProjectKosten[],MATCH(Tb_ProjectKosten[[#Headers],[Forfait_Percentage]],Tb_ProjectKosten[#Headers],0),0),""),W278 &lt;=0,0),"")</f>
        <v/>
      </c>
      <c r="AA278" s="314" t="str" cm="1">
        <f t="array" aca="1" ref="AA278" ca="1">IFERROR(_xlfn.IFS(OR(F278="",LEFT(Methode_Keuze,4)="Geen",Methode_Keuze=""),"",AND(X278&lt;&gt;"",F278&lt;&gt;"Arbeidskosten"),X278*VLOOKUP(F278,Tb_ProjectKosten[],MATCH(Tb_ProjectKosten[[#Headers],[Forfait_Percentage]],Tb_ProjectKosten[#Headers],0),0),AND(F278="Arbeidskosten",G278&lt;&gt;""),IFERROR(X278*VLOOKUP(G278,Tb_KostenTypen[],3,0)*VLOOKUP(F278,Tb_ProjectKosten[],MATCH(Tb_ProjectKosten[[#Headers],[Forfait_Percentage]],Tb_ProjectKosten[#Headers],0),0),""),X278 &lt;=0,0),"")</f>
        <v/>
      </c>
      <c r="AB278" s="314" t="str">
        <f t="shared" ca="1" si="19"/>
        <v/>
      </c>
      <c r="AC278" s="322"/>
      <c r="AD278" s="315"/>
      <c r="AE278" s="32" t="str" cm="1">
        <f t="array" ref="AE278">IFERROR(IF(INDEX(SubsidieTabel!$AD$1:$AG$12,MATCH($F278,SubsidieTabel!$AD$1:$AD$12,0),IFERROR(MATCH(Methode_Keuze,SubsidieTabel!$AD$1:$AG$1,0),2))&lt;&gt;1=TRUE,"ja",""),"")</f>
        <v/>
      </c>
    </row>
    <row r="279" spans="1:31" x14ac:dyDescent="0.25">
      <c r="A279" s="316"/>
      <c r="B279" s="317" t="str">
        <f>IF(A279&lt;&gt;"",_xlfn.MAXIFS($B$1:B278,$A$1:A278,A279)+1,"")</f>
        <v/>
      </c>
      <c r="C279" s="296"/>
      <c r="D279" s="296"/>
      <c r="E279" s="296"/>
      <c r="F279" s="296"/>
      <c r="G279" s="326"/>
      <c r="H279" s="324"/>
      <c r="I279" s="325"/>
      <c r="J279" s="325"/>
      <c r="K279" s="318"/>
      <c r="L279" s="318"/>
      <c r="M279" s="319" t="str">
        <f>IFERROR(VLOOKUP(H279,Lijsten!$H$1:$I$100,2,0),"")</f>
        <v/>
      </c>
      <c r="N279" s="319" t="str">
        <f ca="1">IFERROR(IF(VLOOKUP(F279,Kostentypen!$A$3:$E$21,3,0)=0,"",IF(OR(F279="Arbeidskosten",F279="Vergoeding"),VLOOKUP(G279,Tb_KostenTypen[],2,0),VLOOKUP(F279,Kostentypen!$A$3:$E$20,3,0))),"")</f>
        <v/>
      </c>
      <c r="O279" s="320" t="str" cm="1">
        <f t="array" ref="O279">_xlfn.IFNA(IF(INDEX(Tb_KostenOptiesDB[],MATCH($F279,Tb_KostenOptiesDB[KostenOptie],0),IFERROR(MATCH(Methode_Keuze,Tb_KostenOptiesDB[#Headers],0),2))=1,_xlfn.SWITCH($N279,"Uurtarief",IF(OR(AND(RIGHT($F279,3)="IKS",VLOOKUP($M279,DB_Loonkosten,2,0)="Ja"),AND(RIGHT($F279,3)&lt;&gt;"IKS",VLOOKUP($M279,DB_Loonkosten,2,0)="Nee")),IFERROR(VLOOKUP($M279,DB_Loonkosten,24,0),""),0),"Vast tarief",IF(LEFT(F279,8)="Bijdrage",VLOOKUP($F279,Tb_KostenTypen[],MATCH(Lijsten!$P$1,Tb_KostenTypen[#Headers],0),0),VLOOKUP($G279,Lijsten!L:P,MATCH(Lijsten!$P$1,Kop_Tarief_Vast,0),0))),""),"")</f>
        <v/>
      </c>
      <c r="P279" s="320" t="str" cm="1">
        <f t="array" ref="P279">_xlfn.IFNA(IF(INDEX(Tb_KostenOptiesDB[],MATCH($F279,Tb_KostenOptiesDB[KostenOptie],0),IFERROR(MATCH(Methode_Keuze,Tb_KostenOptiesDB[#Headers],0),2))=1,_xlfn.SWITCH($N279,"Uurtarief",IF(OR(AND(RIGHT($F279,3)="IKS",VLOOKUP($M279,DB_Loonkosten,2,0)="Ja"),AND(RIGHT($F279,3)&lt;&gt;"IKS",VLOOKUP($M279,DB_Loonkosten,2,0)="Nee")),IFERROR(VLOOKUP($M279,DB_Loonkosten,25,0),""),0),"Vast tarief",IF(LEFT(F279,8)="Bijdrage",VLOOKUP($F279,Tb_KostenTypen[],MATCH(Lijsten!$P$1,Tb_KostenTypen[#Headers],0),0),VLOOKUP($G279,Lijsten!L:P,MATCH(Lijsten!$P$1,Kop_Tarief_Vast,0),0))),""),"")</f>
        <v/>
      </c>
      <c r="Q279" s="359"/>
      <c r="R279" s="359"/>
      <c r="S279" s="321"/>
      <c r="T279" s="321"/>
      <c r="U279" s="373" t="str">
        <f t="shared" si="16"/>
        <v/>
      </c>
      <c r="V279" s="314" t="str">
        <f t="shared" si="17"/>
        <v/>
      </c>
      <c r="W279" s="314" t="str" cm="1">
        <f t="array" aca="1" ref="W279" ca="1">IFERROR(IF(AE279&lt;&gt;"ja",_xlfn.IFNA(_xlfn.IFS(AND(O279&lt;&gt;"",F279&lt;&gt;"",RIGHT($N279,6)="tarief",F279="Vergoeding"),SUM(O279)*FLOOR(SUM(Q279),0.0001),AND(O279&lt;&gt;"",F279&lt;&gt;"",RIGHT($N279,6)="tarief"),SUM(O279)*FLOOR(SUM(Q279),0.01),S279&gt;0,IF(F279&lt;&gt;"",FLOOR(SUM(S279),0.01),"")),""),""),"")</f>
        <v/>
      </c>
      <c r="X279" s="314" t="str" cm="1">
        <f t="array" aca="1" ref="X279" ca="1">IFERROR(IF(AE279&lt;&gt;"ja",_xlfn.IFNA(_xlfn.IFS(AND(P279&lt;&gt;"",R279&lt;&gt;"",RIGHT($N279,6)="tarief",F279="Vergoeding"),SUM(P279)*FLOOR(SUM(R279),0.0001),AND(P279&lt;&gt;"",R279&lt;&gt;"",RIGHT($N279,6)="tarief"),P279*FLOOR(R279,0.01),T279&gt;0,FLOOR(SUM(T279),0.01)),""),""),"")</f>
        <v/>
      </c>
      <c r="Y279" s="314" t="str">
        <f t="shared" ca="1" si="18"/>
        <v/>
      </c>
      <c r="Z279" s="314" t="str" cm="1">
        <f t="array" aca="1" ref="Z279" ca="1">IFERROR(_xlfn.IFS(OR(F279="",LEFT(Methode_Keuze,4)="Geen",Methode_Keuze=""),"",AND(W279&lt;&gt;"",F279&lt;&gt;"Arbeidskosten"),W279*VLOOKUP(F279,Tb_ProjectKosten[],MATCH(Tb_ProjectKosten[[#Headers],[Forfait_Percentage]],Tb_ProjectKosten[#Headers],0),0),AND(F279="Arbeidskosten",G279&lt;&gt;""),IFERROR(W279*VLOOKUP(G279,Tb_KostenTypen[],3,0)*VLOOKUP(F279,Tb_ProjectKosten[],MATCH(Tb_ProjectKosten[[#Headers],[Forfait_Percentage]],Tb_ProjectKosten[#Headers],0),0),""),W279 &lt;=0,0),"")</f>
        <v/>
      </c>
      <c r="AA279" s="314" t="str" cm="1">
        <f t="array" aca="1" ref="AA279" ca="1">IFERROR(_xlfn.IFS(OR(F279="",LEFT(Methode_Keuze,4)="Geen",Methode_Keuze=""),"",AND(X279&lt;&gt;"",F279&lt;&gt;"Arbeidskosten"),X279*VLOOKUP(F279,Tb_ProjectKosten[],MATCH(Tb_ProjectKosten[[#Headers],[Forfait_Percentage]],Tb_ProjectKosten[#Headers],0),0),AND(F279="Arbeidskosten",G279&lt;&gt;""),IFERROR(X279*VLOOKUP(G279,Tb_KostenTypen[],3,0)*VLOOKUP(F279,Tb_ProjectKosten[],MATCH(Tb_ProjectKosten[[#Headers],[Forfait_Percentage]],Tb_ProjectKosten[#Headers],0),0),""),X279 &lt;=0,0),"")</f>
        <v/>
      </c>
      <c r="AB279" s="314" t="str">
        <f t="shared" ca="1" si="19"/>
        <v/>
      </c>
      <c r="AC279" s="322"/>
      <c r="AD279" s="315"/>
      <c r="AE279" s="32" t="str" cm="1">
        <f t="array" ref="AE279">IFERROR(IF(INDEX(SubsidieTabel!$AD$1:$AG$12,MATCH($F279,SubsidieTabel!$AD$1:$AD$12,0),IFERROR(MATCH(Methode_Keuze,SubsidieTabel!$AD$1:$AG$1,0),2))&lt;&gt;1=TRUE,"ja",""),"")</f>
        <v/>
      </c>
    </row>
    <row r="280" spans="1:31" x14ac:dyDescent="0.25">
      <c r="A280" s="316"/>
      <c r="B280" s="317" t="str">
        <f>IF(A280&lt;&gt;"",_xlfn.MAXIFS($B$1:B279,$A$1:A279,A280)+1,"")</f>
        <v/>
      </c>
      <c r="C280" s="296"/>
      <c r="D280" s="296"/>
      <c r="E280" s="296"/>
      <c r="F280" s="296"/>
      <c r="G280" s="326"/>
      <c r="H280" s="324"/>
      <c r="I280" s="325"/>
      <c r="J280" s="325"/>
      <c r="K280" s="318"/>
      <c r="L280" s="318"/>
      <c r="M280" s="319" t="str">
        <f>IFERROR(VLOOKUP(H280,Lijsten!$H$1:$I$100,2,0),"")</f>
        <v/>
      </c>
      <c r="N280" s="319" t="str">
        <f ca="1">IFERROR(IF(VLOOKUP(F280,Kostentypen!$A$3:$E$21,3,0)=0,"",IF(OR(F280="Arbeidskosten",F280="Vergoeding"),VLOOKUP(G280,Tb_KostenTypen[],2,0),VLOOKUP(F280,Kostentypen!$A$3:$E$20,3,0))),"")</f>
        <v/>
      </c>
      <c r="O280" s="320" t="str" cm="1">
        <f t="array" ref="O280">_xlfn.IFNA(IF(INDEX(Tb_KostenOptiesDB[],MATCH($F280,Tb_KostenOptiesDB[KostenOptie],0),IFERROR(MATCH(Methode_Keuze,Tb_KostenOptiesDB[#Headers],0),2))=1,_xlfn.SWITCH($N280,"Uurtarief",IF(OR(AND(RIGHT($F280,3)="IKS",VLOOKUP($M280,DB_Loonkosten,2,0)="Ja"),AND(RIGHT($F280,3)&lt;&gt;"IKS",VLOOKUP($M280,DB_Loonkosten,2,0)="Nee")),IFERROR(VLOOKUP($M280,DB_Loonkosten,24,0),""),0),"Vast tarief",IF(LEFT(F280,8)="Bijdrage",VLOOKUP($F280,Tb_KostenTypen[],MATCH(Lijsten!$P$1,Tb_KostenTypen[#Headers],0),0),VLOOKUP($G280,Lijsten!L:P,MATCH(Lijsten!$P$1,Kop_Tarief_Vast,0),0))),""),"")</f>
        <v/>
      </c>
      <c r="P280" s="320" t="str" cm="1">
        <f t="array" ref="P280">_xlfn.IFNA(IF(INDEX(Tb_KostenOptiesDB[],MATCH($F280,Tb_KostenOptiesDB[KostenOptie],0),IFERROR(MATCH(Methode_Keuze,Tb_KostenOptiesDB[#Headers],0),2))=1,_xlfn.SWITCH($N280,"Uurtarief",IF(OR(AND(RIGHT($F280,3)="IKS",VLOOKUP($M280,DB_Loonkosten,2,0)="Ja"),AND(RIGHT($F280,3)&lt;&gt;"IKS",VLOOKUP($M280,DB_Loonkosten,2,0)="Nee")),IFERROR(VLOOKUP($M280,DB_Loonkosten,25,0),""),0),"Vast tarief",IF(LEFT(F280,8)="Bijdrage",VLOOKUP($F280,Tb_KostenTypen[],MATCH(Lijsten!$P$1,Tb_KostenTypen[#Headers],0),0),VLOOKUP($G280,Lijsten!L:P,MATCH(Lijsten!$P$1,Kop_Tarief_Vast,0),0))),""),"")</f>
        <v/>
      </c>
      <c r="Q280" s="359"/>
      <c r="R280" s="359"/>
      <c r="S280" s="321"/>
      <c r="T280" s="321"/>
      <c r="U280" s="373" t="str">
        <f t="shared" si="16"/>
        <v/>
      </c>
      <c r="V280" s="314" t="str">
        <f t="shared" si="17"/>
        <v/>
      </c>
      <c r="W280" s="314" t="str" cm="1">
        <f t="array" aca="1" ref="W280" ca="1">IFERROR(IF(AE280&lt;&gt;"ja",_xlfn.IFNA(_xlfn.IFS(AND(O280&lt;&gt;"",F280&lt;&gt;"",RIGHT($N280,6)="tarief",F280="Vergoeding"),SUM(O280)*FLOOR(SUM(Q280),0.0001),AND(O280&lt;&gt;"",F280&lt;&gt;"",RIGHT($N280,6)="tarief"),SUM(O280)*FLOOR(SUM(Q280),0.01),S280&gt;0,IF(F280&lt;&gt;"",FLOOR(SUM(S280),0.01),"")),""),""),"")</f>
        <v/>
      </c>
      <c r="X280" s="314" t="str" cm="1">
        <f t="array" aca="1" ref="X280" ca="1">IFERROR(IF(AE280&lt;&gt;"ja",_xlfn.IFNA(_xlfn.IFS(AND(P280&lt;&gt;"",R280&lt;&gt;"",RIGHT($N280,6)="tarief",F280="Vergoeding"),SUM(P280)*FLOOR(SUM(R280),0.0001),AND(P280&lt;&gt;"",R280&lt;&gt;"",RIGHT($N280,6)="tarief"),P280*FLOOR(R280,0.01),T280&gt;0,FLOOR(SUM(T280),0.01)),""),""),"")</f>
        <v/>
      </c>
      <c r="Y280" s="314" t="str">
        <f t="shared" ca="1" si="18"/>
        <v/>
      </c>
      <c r="Z280" s="314" t="str" cm="1">
        <f t="array" aca="1" ref="Z280" ca="1">IFERROR(_xlfn.IFS(OR(F280="",LEFT(Methode_Keuze,4)="Geen",Methode_Keuze=""),"",AND(W280&lt;&gt;"",F280&lt;&gt;"Arbeidskosten"),W280*VLOOKUP(F280,Tb_ProjectKosten[],MATCH(Tb_ProjectKosten[[#Headers],[Forfait_Percentage]],Tb_ProjectKosten[#Headers],0),0),AND(F280="Arbeidskosten",G280&lt;&gt;""),IFERROR(W280*VLOOKUP(G280,Tb_KostenTypen[],3,0)*VLOOKUP(F280,Tb_ProjectKosten[],MATCH(Tb_ProjectKosten[[#Headers],[Forfait_Percentage]],Tb_ProjectKosten[#Headers],0),0),""),W280 &lt;=0,0),"")</f>
        <v/>
      </c>
      <c r="AA280" s="314" t="str" cm="1">
        <f t="array" aca="1" ref="AA280" ca="1">IFERROR(_xlfn.IFS(OR(F280="",LEFT(Methode_Keuze,4)="Geen",Methode_Keuze=""),"",AND(X280&lt;&gt;"",F280&lt;&gt;"Arbeidskosten"),X280*VLOOKUP(F280,Tb_ProjectKosten[],MATCH(Tb_ProjectKosten[[#Headers],[Forfait_Percentage]],Tb_ProjectKosten[#Headers],0),0),AND(F280="Arbeidskosten",G280&lt;&gt;""),IFERROR(X280*VLOOKUP(G280,Tb_KostenTypen[],3,0)*VLOOKUP(F280,Tb_ProjectKosten[],MATCH(Tb_ProjectKosten[[#Headers],[Forfait_Percentage]],Tb_ProjectKosten[#Headers],0),0),""),X280 &lt;=0,0),"")</f>
        <v/>
      </c>
      <c r="AB280" s="314" t="str">
        <f t="shared" ca="1" si="19"/>
        <v/>
      </c>
      <c r="AC280" s="322"/>
      <c r="AD280" s="315"/>
      <c r="AE280" s="32" t="str" cm="1">
        <f t="array" ref="AE280">IFERROR(IF(INDEX(SubsidieTabel!$AD$1:$AG$12,MATCH($F280,SubsidieTabel!$AD$1:$AD$12,0),IFERROR(MATCH(Methode_Keuze,SubsidieTabel!$AD$1:$AG$1,0),2))&lt;&gt;1=TRUE,"ja",""),"")</f>
        <v/>
      </c>
    </row>
    <row r="281" spans="1:31" x14ac:dyDescent="0.25">
      <c r="A281" s="316"/>
      <c r="B281" s="317" t="str">
        <f>IF(A281&lt;&gt;"",_xlfn.MAXIFS($B$1:B280,$A$1:A280,A281)+1,"")</f>
        <v/>
      </c>
      <c r="C281" s="296"/>
      <c r="D281" s="296"/>
      <c r="E281" s="296"/>
      <c r="F281" s="296"/>
      <c r="G281" s="326"/>
      <c r="H281" s="324"/>
      <c r="I281" s="325"/>
      <c r="J281" s="325"/>
      <c r="K281" s="318"/>
      <c r="L281" s="318"/>
      <c r="M281" s="319" t="str">
        <f>IFERROR(VLOOKUP(H281,Lijsten!$H$1:$I$100,2,0),"")</f>
        <v/>
      </c>
      <c r="N281" s="319" t="str">
        <f ca="1">IFERROR(IF(VLOOKUP(F281,Kostentypen!$A$3:$E$21,3,0)=0,"",IF(OR(F281="Arbeidskosten",F281="Vergoeding"),VLOOKUP(G281,Tb_KostenTypen[],2,0),VLOOKUP(F281,Kostentypen!$A$3:$E$20,3,0))),"")</f>
        <v/>
      </c>
      <c r="O281" s="320" t="str" cm="1">
        <f t="array" ref="O281">_xlfn.IFNA(IF(INDEX(Tb_KostenOptiesDB[],MATCH($F281,Tb_KostenOptiesDB[KostenOptie],0),IFERROR(MATCH(Methode_Keuze,Tb_KostenOptiesDB[#Headers],0),2))=1,_xlfn.SWITCH($N281,"Uurtarief",IF(OR(AND(RIGHT($F281,3)="IKS",VLOOKUP($M281,DB_Loonkosten,2,0)="Ja"),AND(RIGHT($F281,3)&lt;&gt;"IKS",VLOOKUP($M281,DB_Loonkosten,2,0)="Nee")),IFERROR(VLOOKUP($M281,DB_Loonkosten,24,0),""),0),"Vast tarief",IF(LEFT(F281,8)="Bijdrage",VLOOKUP($F281,Tb_KostenTypen[],MATCH(Lijsten!$P$1,Tb_KostenTypen[#Headers],0),0),VLOOKUP($G281,Lijsten!L:P,MATCH(Lijsten!$P$1,Kop_Tarief_Vast,0),0))),""),"")</f>
        <v/>
      </c>
      <c r="P281" s="320" t="str" cm="1">
        <f t="array" ref="P281">_xlfn.IFNA(IF(INDEX(Tb_KostenOptiesDB[],MATCH($F281,Tb_KostenOptiesDB[KostenOptie],0),IFERROR(MATCH(Methode_Keuze,Tb_KostenOptiesDB[#Headers],0),2))=1,_xlfn.SWITCH($N281,"Uurtarief",IF(OR(AND(RIGHT($F281,3)="IKS",VLOOKUP($M281,DB_Loonkosten,2,0)="Ja"),AND(RIGHT($F281,3)&lt;&gt;"IKS",VLOOKUP($M281,DB_Loonkosten,2,0)="Nee")),IFERROR(VLOOKUP($M281,DB_Loonkosten,25,0),""),0),"Vast tarief",IF(LEFT(F281,8)="Bijdrage",VLOOKUP($F281,Tb_KostenTypen[],MATCH(Lijsten!$P$1,Tb_KostenTypen[#Headers],0),0),VLOOKUP($G281,Lijsten!L:P,MATCH(Lijsten!$P$1,Kop_Tarief_Vast,0),0))),""),"")</f>
        <v/>
      </c>
      <c r="Q281" s="359"/>
      <c r="R281" s="359"/>
      <c r="S281" s="321"/>
      <c r="T281" s="321"/>
      <c r="U281" s="373" t="str">
        <f t="shared" si="16"/>
        <v/>
      </c>
      <c r="V281" s="314" t="str">
        <f t="shared" si="17"/>
        <v/>
      </c>
      <c r="W281" s="314" t="str" cm="1">
        <f t="array" aca="1" ref="W281" ca="1">IFERROR(IF(AE281&lt;&gt;"ja",_xlfn.IFNA(_xlfn.IFS(AND(O281&lt;&gt;"",F281&lt;&gt;"",RIGHT($N281,6)="tarief",F281="Vergoeding"),SUM(O281)*FLOOR(SUM(Q281),0.0001),AND(O281&lt;&gt;"",F281&lt;&gt;"",RIGHT($N281,6)="tarief"),SUM(O281)*FLOOR(SUM(Q281),0.01),S281&gt;0,IF(F281&lt;&gt;"",FLOOR(SUM(S281),0.01),"")),""),""),"")</f>
        <v/>
      </c>
      <c r="X281" s="314" t="str" cm="1">
        <f t="array" aca="1" ref="X281" ca="1">IFERROR(IF(AE281&lt;&gt;"ja",_xlfn.IFNA(_xlfn.IFS(AND(P281&lt;&gt;"",R281&lt;&gt;"",RIGHT($N281,6)="tarief",F281="Vergoeding"),SUM(P281)*FLOOR(SUM(R281),0.0001),AND(P281&lt;&gt;"",R281&lt;&gt;"",RIGHT($N281,6)="tarief"),P281*FLOOR(R281,0.01),T281&gt;0,FLOOR(SUM(T281),0.01)),""),""),"")</f>
        <v/>
      </c>
      <c r="Y281" s="314" t="str">
        <f t="shared" ca="1" si="18"/>
        <v/>
      </c>
      <c r="Z281" s="314" t="str" cm="1">
        <f t="array" aca="1" ref="Z281" ca="1">IFERROR(_xlfn.IFS(OR(F281="",LEFT(Methode_Keuze,4)="Geen",Methode_Keuze=""),"",AND(W281&lt;&gt;"",F281&lt;&gt;"Arbeidskosten"),W281*VLOOKUP(F281,Tb_ProjectKosten[],MATCH(Tb_ProjectKosten[[#Headers],[Forfait_Percentage]],Tb_ProjectKosten[#Headers],0),0),AND(F281="Arbeidskosten",G281&lt;&gt;""),IFERROR(W281*VLOOKUP(G281,Tb_KostenTypen[],3,0)*VLOOKUP(F281,Tb_ProjectKosten[],MATCH(Tb_ProjectKosten[[#Headers],[Forfait_Percentage]],Tb_ProjectKosten[#Headers],0),0),""),W281 &lt;=0,0),"")</f>
        <v/>
      </c>
      <c r="AA281" s="314" t="str" cm="1">
        <f t="array" aca="1" ref="AA281" ca="1">IFERROR(_xlfn.IFS(OR(F281="",LEFT(Methode_Keuze,4)="Geen",Methode_Keuze=""),"",AND(X281&lt;&gt;"",F281&lt;&gt;"Arbeidskosten"),X281*VLOOKUP(F281,Tb_ProjectKosten[],MATCH(Tb_ProjectKosten[[#Headers],[Forfait_Percentage]],Tb_ProjectKosten[#Headers],0),0),AND(F281="Arbeidskosten",G281&lt;&gt;""),IFERROR(X281*VLOOKUP(G281,Tb_KostenTypen[],3,0)*VLOOKUP(F281,Tb_ProjectKosten[],MATCH(Tb_ProjectKosten[[#Headers],[Forfait_Percentage]],Tb_ProjectKosten[#Headers],0),0),""),X281 &lt;=0,0),"")</f>
        <v/>
      </c>
      <c r="AB281" s="314" t="str">
        <f t="shared" ca="1" si="19"/>
        <v/>
      </c>
      <c r="AC281" s="322"/>
      <c r="AD281" s="315"/>
      <c r="AE281" s="32" t="str" cm="1">
        <f t="array" ref="AE281">IFERROR(IF(INDEX(SubsidieTabel!$AD$1:$AG$12,MATCH($F281,SubsidieTabel!$AD$1:$AD$12,0),IFERROR(MATCH(Methode_Keuze,SubsidieTabel!$AD$1:$AG$1,0),2))&lt;&gt;1=TRUE,"ja",""),"")</f>
        <v/>
      </c>
    </row>
    <row r="282" spans="1:31" x14ac:dyDescent="0.25">
      <c r="A282" s="316"/>
      <c r="B282" s="317" t="str">
        <f>IF(A282&lt;&gt;"",_xlfn.MAXIFS($B$1:B281,$A$1:A281,A282)+1,"")</f>
        <v/>
      </c>
      <c r="C282" s="296"/>
      <c r="D282" s="296"/>
      <c r="E282" s="296"/>
      <c r="F282" s="296"/>
      <c r="G282" s="326"/>
      <c r="H282" s="324"/>
      <c r="I282" s="325"/>
      <c r="J282" s="325"/>
      <c r="K282" s="318"/>
      <c r="L282" s="318"/>
      <c r="M282" s="319" t="str">
        <f>IFERROR(VLOOKUP(H282,Lijsten!$H$1:$I$100,2,0),"")</f>
        <v/>
      </c>
      <c r="N282" s="319" t="str">
        <f ca="1">IFERROR(IF(VLOOKUP(F282,Kostentypen!$A$3:$E$21,3,0)=0,"",IF(OR(F282="Arbeidskosten",F282="Vergoeding"),VLOOKUP(G282,Tb_KostenTypen[],2,0),VLOOKUP(F282,Kostentypen!$A$3:$E$20,3,0))),"")</f>
        <v/>
      </c>
      <c r="O282" s="320" t="str" cm="1">
        <f t="array" ref="O282">_xlfn.IFNA(IF(INDEX(Tb_KostenOptiesDB[],MATCH($F282,Tb_KostenOptiesDB[KostenOptie],0),IFERROR(MATCH(Methode_Keuze,Tb_KostenOptiesDB[#Headers],0),2))=1,_xlfn.SWITCH($N282,"Uurtarief",IF(OR(AND(RIGHT($F282,3)="IKS",VLOOKUP($M282,DB_Loonkosten,2,0)="Ja"),AND(RIGHT($F282,3)&lt;&gt;"IKS",VLOOKUP($M282,DB_Loonkosten,2,0)="Nee")),IFERROR(VLOOKUP($M282,DB_Loonkosten,24,0),""),0),"Vast tarief",IF(LEFT(F282,8)="Bijdrage",VLOOKUP($F282,Tb_KostenTypen[],MATCH(Lijsten!$P$1,Tb_KostenTypen[#Headers],0),0),VLOOKUP($G282,Lijsten!L:P,MATCH(Lijsten!$P$1,Kop_Tarief_Vast,0),0))),""),"")</f>
        <v/>
      </c>
      <c r="P282" s="320" t="str" cm="1">
        <f t="array" ref="P282">_xlfn.IFNA(IF(INDEX(Tb_KostenOptiesDB[],MATCH($F282,Tb_KostenOptiesDB[KostenOptie],0),IFERROR(MATCH(Methode_Keuze,Tb_KostenOptiesDB[#Headers],0),2))=1,_xlfn.SWITCH($N282,"Uurtarief",IF(OR(AND(RIGHT($F282,3)="IKS",VLOOKUP($M282,DB_Loonkosten,2,0)="Ja"),AND(RIGHT($F282,3)&lt;&gt;"IKS",VLOOKUP($M282,DB_Loonkosten,2,0)="Nee")),IFERROR(VLOOKUP($M282,DB_Loonkosten,25,0),""),0),"Vast tarief",IF(LEFT(F282,8)="Bijdrage",VLOOKUP($F282,Tb_KostenTypen[],MATCH(Lijsten!$P$1,Tb_KostenTypen[#Headers],0),0),VLOOKUP($G282,Lijsten!L:P,MATCH(Lijsten!$P$1,Kop_Tarief_Vast,0),0))),""),"")</f>
        <v/>
      </c>
      <c r="Q282" s="359"/>
      <c r="R282" s="359"/>
      <c r="S282" s="321"/>
      <c r="T282" s="321"/>
      <c r="U282" s="373" t="str">
        <f t="shared" si="16"/>
        <v/>
      </c>
      <c r="V282" s="314" t="str">
        <f t="shared" si="17"/>
        <v/>
      </c>
      <c r="W282" s="314" t="str" cm="1">
        <f t="array" aca="1" ref="W282" ca="1">IFERROR(IF(AE282&lt;&gt;"ja",_xlfn.IFNA(_xlfn.IFS(AND(O282&lt;&gt;"",F282&lt;&gt;"",RIGHT($N282,6)="tarief",F282="Vergoeding"),SUM(O282)*FLOOR(SUM(Q282),0.0001),AND(O282&lt;&gt;"",F282&lt;&gt;"",RIGHT($N282,6)="tarief"),SUM(O282)*FLOOR(SUM(Q282),0.01),S282&gt;0,IF(F282&lt;&gt;"",FLOOR(SUM(S282),0.01),"")),""),""),"")</f>
        <v/>
      </c>
      <c r="X282" s="314" t="str" cm="1">
        <f t="array" aca="1" ref="X282" ca="1">IFERROR(IF(AE282&lt;&gt;"ja",_xlfn.IFNA(_xlfn.IFS(AND(P282&lt;&gt;"",R282&lt;&gt;"",RIGHT($N282,6)="tarief",F282="Vergoeding"),SUM(P282)*FLOOR(SUM(R282),0.0001),AND(P282&lt;&gt;"",R282&lt;&gt;"",RIGHT($N282,6)="tarief"),P282*FLOOR(R282,0.01),T282&gt;0,FLOOR(SUM(T282),0.01)),""),""),"")</f>
        <v/>
      </c>
      <c r="Y282" s="314" t="str">
        <f t="shared" ca="1" si="18"/>
        <v/>
      </c>
      <c r="Z282" s="314" t="str" cm="1">
        <f t="array" aca="1" ref="Z282" ca="1">IFERROR(_xlfn.IFS(OR(F282="",LEFT(Methode_Keuze,4)="Geen",Methode_Keuze=""),"",AND(W282&lt;&gt;"",F282&lt;&gt;"Arbeidskosten"),W282*VLOOKUP(F282,Tb_ProjectKosten[],MATCH(Tb_ProjectKosten[[#Headers],[Forfait_Percentage]],Tb_ProjectKosten[#Headers],0),0),AND(F282="Arbeidskosten",G282&lt;&gt;""),IFERROR(W282*VLOOKUP(G282,Tb_KostenTypen[],3,0)*VLOOKUP(F282,Tb_ProjectKosten[],MATCH(Tb_ProjectKosten[[#Headers],[Forfait_Percentage]],Tb_ProjectKosten[#Headers],0),0),""),W282 &lt;=0,0),"")</f>
        <v/>
      </c>
      <c r="AA282" s="314" t="str" cm="1">
        <f t="array" aca="1" ref="AA282" ca="1">IFERROR(_xlfn.IFS(OR(F282="",LEFT(Methode_Keuze,4)="Geen",Methode_Keuze=""),"",AND(X282&lt;&gt;"",F282&lt;&gt;"Arbeidskosten"),X282*VLOOKUP(F282,Tb_ProjectKosten[],MATCH(Tb_ProjectKosten[[#Headers],[Forfait_Percentage]],Tb_ProjectKosten[#Headers],0),0),AND(F282="Arbeidskosten",G282&lt;&gt;""),IFERROR(X282*VLOOKUP(G282,Tb_KostenTypen[],3,0)*VLOOKUP(F282,Tb_ProjectKosten[],MATCH(Tb_ProjectKosten[[#Headers],[Forfait_Percentage]],Tb_ProjectKosten[#Headers],0),0),""),X282 &lt;=0,0),"")</f>
        <v/>
      </c>
      <c r="AB282" s="314" t="str">
        <f t="shared" ca="1" si="19"/>
        <v/>
      </c>
      <c r="AC282" s="322"/>
      <c r="AD282" s="315"/>
      <c r="AE282" s="32" t="str" cm="1">
        <f t="array" ref="AE282">IFERROR(IF(INDEX(SubsidieTabel!$AD$1:$AG$12,MATCH($F282,SubsidieTabel!$AD$1:$AD$12,0),IFERROR(MATCH(Methode_Keuze,SubsidieTabel!$AD$1:$AG$1,0),2))&lt;&gt;1=TRUE,"ja",""),"")</f>
        <v/>
      </c>
    </row>
    <row r="283" spans="1:31" x14ac:dyDescent="0.25">
      <c r="A283" s="316"/>
      <c r="B283" s="317" t="str">
        <f>IF(A283&lt;&gt;"",_xlfn.MAXIFS($B$1:B282,$A$1:A282,A283)+1,"")</f>
        <v/>
      </c>
      <c r="C283" s="296"/>
      <c r="D283" s="296"/>
      <c r="E283" s="296"/>
      <c r="F283" s="296"/>
      <c r="G283" s="326"/>
      <c r="H283" s="324"/>
      <c r="I283" s="325"/>
      <c r="J283" s="325"/>
      <c r="K283" s="318"/>
      <c r="L283" s="318"/>
      <c r="M283" s="319" t="str">
        <f>IFERROR(VLOOKUP(H283,Lijsten!$H$1:$I$100,2,0),"")</f>
        <v/>
      </c>
      <c r="N283" s="319" t="str">
        <f ca="1">IFERROR(IF(VLOOKUP(F283,Kostentypen!$A$3:$E$21,3,0)=0,"",IF(OR(F283="Arbeidskosten",F283="Vergoeding"),VLOOKUP(G283,Tb_KostenTypen[],2,0),VLOOKUP(F283,Kostentypen!$A$3:$E$20,3,0))),"")</f>
        <v/>
      </c>
      <c r="O283" s="320" t="str" cm="1">
        <f t="array" ref="O283">_xlfn.IFNA(IF(INDEX(Tb_KostenOptiesDB[],MATCH($F283,Tb_KostenOptiesDB[KostenOptie],0),IFERROR(MATCH(Methode_Keuze,Tb_KostenOptiesDB[#Headers],0),2))=1,_xlfn.SWITCH($N283,"Uurtarief",IF(OR(AND(RIGHT($F283,3)="IKS",VLOOKUP($M283,DB_Loonkosten,2,0)="Ja"),AND(RIGHT($F283,3)&lt;&gt;"IKS",VLOOKUP($M283,DB_Loonkosten,2,0)="Nee")),IFERROR(VLOOKUP($M283,DB_Loonkosten,24,0),""),0),"Vast tarief",IF(LEFT(F283,8)="Bijdrage",VLOOKUP($F283,Tb_KostenTypen[],MATCH(Lijsten!$P$1,Tb_KostenTypen[#Headers],0),0),VLOOKUP($G283,Lijsten!L:P,MATCH(Lijsten!$P$1,Kop_Tarief_Vast,0),0))),""),"")</f>
        <v/>
      </c>
      <c r="P283" s="320" t="str" cm="1">
        <f t="array" ref="P283">_xlfn.IFNA(IF(INDEX(Tb_KostenOptiesDB[],MATCH($F283,Tb_KostenOptiesDB[KostenOptie],0),IFERROR(MATCH(Methode_Keuze,Tb_KostenOptiesDB[#Headers],0),2))=1,_xlfn.SWITCH($N283,"Uurtarief",IF(OR(AND(RIGHT($F283,3)="IKS",VLOOKUP($M283,DB_Loonkosten,2,0)="Ja"),AND(RIGHT($F283,3)&lt;&gt;"IKS",VLOOKUP($M283,DB_Loonkosten,2,0)="Nee")),IFERROR(VLOOKUP($M283,DB_Loonkosten,25,0),""),0),"Vast tarief",IF(LEFT(F283,8)="Bijdrage",VLOOKUP($F283,Tb_KostenTypen[],MATCH(Lijsten!$P$1,Tb_KostenTypen[#Headers],0),0),VLOOKUP($G283,Lijsten!L:P,MATCH(Lijsten!$P$1,Kop_Tarief_Vast,0),0))),""),"")</f>
        <v/>
      </c>
      <c r="Q283" s="359"/>
      <c r="R283" s="359"/>
      <c r="S283" s="321"/>
      <c r="T283" s="321"/>
      <c r="U283" s="373" t="str">
        <f t="shared" si="16"/>
        <v/>
      </c>
      <c r="V283" s="314" t="str">
        <f t="shared" si="17"/>
        <v/>
      </c>
      <c r="W283" s="314" t="str" cm="1">
        <f t="array" aca="1" ref="W283" ca="1">IFERROR(IF(AE283&lt;&gt;"ja",_xlfn.IFNA(_xlfn.IFS(AND(O283&lt;&gt;"",F283&lt;&gt;"",RIGHT($N283,6)="tarief",F283="Vergoeding"),SUM(O283)*FLOOR(SUM(Q283),0.0001),AND(O283&lt;&gt;"",F283&lt;&gt;"",RIGHT($N283,6)="tarief"),SUM(O283)*FLOOR(SUM(Q283),0.01),S283&gt;0,IF(F283&lt;&gt;"",FLOOR(SUM(S283),0.01),"")),""),""),"")</f>
        <v/>
      </c>
      <c r="X283" s="314" t="str" cm="1">
        <f t="array" aca="1" ref="X283" ca="1">IFERROR(IF(AE283&lt;&gt;"ja",_xlfn.IFNA(_xlfn.IFS(AND(P283&lt;&gt;"",R283&lt;&gt;"",RIGHT($N283,6)="tarief",F283="Vergoeding"),SUM(P283)*FLOOR(SUM(R283),0.0001),AND(P283&lt;&gt;"",R283&lt;&gt;"",RIGHT($N283,6)="tarief"),P283*FLOOR(R283,0.01),T283&gt;0,FLOOR(SUM(T283),0.01)),""),""),"")</f>
        <v/>
      </c>
      <c r="Y283" s="314" t="str">
        <f t="shared" ca="1" si="18"/>
        <v/>
      </c>
      <c r="Z283" s="314" t="str" cm="1">
        <f t="array" aca="1" ref="Z283" ca="1">IFERROR(_xlfn.IFS(OR(F283="",LEFT(Methode_Keuze,4)="Geen",Methode_Keuze=""),"",AND(W283&lt;&gt;"",F283&lt;&gt;"Arbeidskosten"),W283*VLOOKUP(F283,Tb_ProjectKosten[],MATCH(Tb_ProjectKosten[[#Headers],[Forfait_Percentage]],Tb_ProjectKosten[#Headers],0),0),AND(F283="Arbeidskosten",G283&lt;&gt;""),IFERROR(W283*VLOOKUP(G283,Tb_KostenTypen[],3,0)*VLOOKUP(F283,Tb_ProjectKosten[],MATCH(Tb_ProjectKosten[[#Headers],[Forfait_Percentage]],Tb_ProjectKosten[#Headers],0),0),""),W283 &lt;=0,0),"")</f>
        <v/>
      </c>
      <c r="AA283" s="314" t="str" cm="1">
        <f t="array" aca="1" ref="AA283" ca="1">IFERROR(_xlfn.IFS(OR(F283="",LEFT(Methode_Keuze,4)="Geen",Methode_Keuze=""),"",AND(X283&lt;&gt;"",F283&lt;&gt;"Arbeidskosten"),X283*VLOOKUP(F283,Tb_ProjectKosten[],MATCH(Tb_ProjectKosten[[#Headers],[Forfait_Percentage]],Tb_ProjectKosten[#Headers],0),0),AND(F283="Arbeidskosten",G283&lt;&gt;""),IFERROR(X283*VLOOKUP(G283,Tb_KostenTypen[],3,0)*VLOOKUP(F283,Tb_ProjectKosten[],MATCH(Tb_ProjectKosten[[#Headers],[Forfait_Percentage]],Tb_ProjectKosten[#Headers],0),0),""),X283 &lt;=0,0),"")</f>
        <v/>
      </c>
      <c r="AB283" s="314" t="str">
        <f t="shared" ca="1" si="19"/>
        <v/>
      </c>
      <c r="AC283" s="322"/>
      <c r="AD283" s="315"/>
      <c r="AE283" s="32" t="str" cm="1">
        <f t="array" ref="AE283">IFERROR(IF(INDEX(SubsidieTabel!$AD$1:$AG$12,MATCH($F283,SubsidieTabel!$AD$1:$AD$12,0),IFERROR(MATCH(Methode_Keuze,SubsidieTabel!$AD$1:$AG$1,0),2))&lt;&gt;1=TRUE,"ja",""),"")</f>
        <v/>
      </c>
    </row>
    <row r="284" spans="1:31" x14ac:dyDescent="0.25">
      <c r="A284" s="316"/>
      <c r="B284" s="317" t="str">
        <f>IF(A284&lt;&gt;"",_xlfn.MAXIFS($B$1:B283,$A$1:A283,A284)+1,"")</f>
        <v/>
      </c>
      <c r="C284" s="296"/>
      <c r="D284" s="296"/>
      <c r="E284" s="296"/>
      <c r="F284" s="296"/>
      <c r="G284" s="326"/>
      <c r="H284" s="324"/>
      <c r="I284" s="325"/>
      <c r="J284" s="325"/>
      <c r="K284" s="318"/>
      <c r="L284" s="318"/>
      <c r="M284" s="319" t="str">
        <f>IFERROR(VLOOKUP(H284,Lijsten!$H$1:$I$100,2,0),"")</f>
        <v/>
      </c>
      <c r="N284" s="319" t="str">
        <f ca="1">IFERROR(IF(VLOOKUP(F284,Kostentypen!$A$3:$E$21,3,0)=0,"",IF(OR(F284="Arbeidskosten",F284="Vergoeding"),VLOOKUP(G284,Tb_KostenTypen[],2,0),VLOOKUP(F284,Kostentypen!$A$3:$E$20,3,0))),"")</f>
        <v/>
      </c>
      <c r="O284" s="320" t="str" cm="1">
        <f t="array" ref="O284">_xlfn.IFNA(IF(INDEX(Tb_KostenOptiesDB[],MATCH($F284,Tb_KostenOptiesDB[KostenOptie],0),IFERROR(MATCH(Methode_Keuze,Tb_KostenOptiesDB[#Headers],0),2))=1,_xlfn.SWITCH($N284,"Uurtarief",IF(OR(AND(RIGHT($F284,3)="IKS",VLOOKUP($M284,DB_Loonkosten,2,0)="Ja"),AND(RIGHT($F284,3)&lt;&gt;"IKS",VLOOKUP($M284,DB_Loonkosten,2,0)="Nee")),IFERROR(VLOOKUP($M284,DB_Loonkosten,24,0),""),0),"Vast tarief",IF(LEFT(F284,8)="Bijdrage",VLOOKUP($F284,Tb_KostenTypen[],MATCH(Lijsten!$P$1,Tb_KostenTypen[#Headers],0),0),VLOOKUP($G284,Lijsten!L:P,MATCH(Lijsten!$P$1,Kop_Tarief_Vast,0),0))),""),"")</f>
        <v/>
      </c>
      <c r="P284" s="320" t="str" cm="1">
        <f t="array" ref="P284">_xlfn.IFNA(IF(INDEX(Tb_KostenOptiesDB[],MATCH($F284,Tb_KostenOptiesDB[KostenOptie],0),IFERROR(MATCH(Methode_Keuze,Tb_KostenOptiesDB[#Headers],0),2))=1,_xlfn.SWITCH($N284,"Uurtarief",IF(OR(AND(RIGHT($F284,3)="IKS",VLOOKUP($M284,DB_Loonkosten,2,0)="Ja"),AND(RIGHT($F284,3)&lt;&gt;"IKS",VLOOKUP($M284,DB_Loonkosten,2,0)="Nee")),IFERROR(VLOOKUP($M284,DB_Loonkosten,25,0),""),0),"Vast tarief",IF(LEFT(F284,8)="Bijdrage",VLOOKUP($F284,Tb_KostenTypen[],MATCH(Lijsten!$P$1,Tb_KostenTypen[#Headers],0),0),VLOOKUP($G284,Lijsten!L:P,MATCH(Lijsten!$P$1,Kop_Tarief_Vast,0),0))),""),"")</f>
        <v/>
      </c>
      <c r="Q284" s="359"/>
      <c r="R284" s="359"/>
      <c r="S284" s="321"/>
      <c r="T284" s="321"/>
      <c r="U284" s="373" t="str">
        <f t="shared" si="16"/>
        <v/>
      </c>
      <c r="V284" s="314" t="str">
        <f t="shared" si="17"/>
        <v/>
      </c>
      <c r="W284" s="314" t="str" cm="1">
        <f t="array" aca="1" ref="W284" ca="1">IFERROR(IF(AE284&lt;&gt;"ja",_xlfn.IFNA(_xlfn.IFS(AND(O284&lt;&gt;"",F284&lt;&gt;"",RIGHT($N284,6)="tarief",F284="Vergoeding"),SUM(O284)*FLOOR(SUM(Q284),0.0001),AND(O284&lt;&gt;"",F284&lt;&gt;"",RIGHT($N284,6)="tarief"),SUM(O284)*FLOOR(SUM(Q284),0.01),S284&gt;0,IF(F284&lt;&gt;"",FLOOR(SUM(S284),0.01),"")),""),""),"")</f>
        <v/>
      </c>
      <c r="X284" s="314" t="str" cm="1">
        <f t="array" aca="1" ref="X284" ca="1">IFERROR(IF(AE284&lt;&gt;"ja",_xlfn.IFNA(_xlfn.IFS(AND(P284&lt;&gt;"",R284&lt;&gt;"",RIGHT($N284,6)="tarief",F284="Vergoeding"),SUM(P284)*FLOOR(SUM(R284),0.0001),AND(P284&lt;&gt;"",R284&lt;&gt;"",RIGHT($N284,6)="tarief"),P284*FLOOR(R284,0.01),T284&gt;0,FLOOR(SUM(T284),0.01)),""),""),"")</f>
        <v/>
      </c>
      <c r="Y284" s="314" t="str">
        <f t="shared" ca="1" si="18"/>
        <v/>
      </c>
      <c r="Z284" s="314" t="str" cm="1">
        <f t="array" aca="1" ref="Z284" ca="1">IFERROR(_xlfn.IFS(OR(F284="",LEFT(Methode_Keuze,4)="Geen",Methode_Keuze=""),"",AND(W284&lt;&gt;"",F284&lt;&gt;"Arbeidskosten"),W284*VLOOKUP(F284,Tb_ProjectKosten[],MATCH(Tb_ProjectKosten[[#Headers],[Forfait_Percentage]],Tb_ProjectKosten[#Headers],0),0),AND(F284="Arbeidskosten",G284&lt;&gt;""),IFERROR(W284*VLOOKUP(G284,Tb_KostenTypen[],3,0)*VLOOKUP(F284,Tb_ProjectKosten[],MATCH(Tb_ProjectKosten[[#Headers],[Forfait_Percentage]],Tb_ProjectKosten[#Headers],0),0),""),W284 &lt;=0,0),"")</f>
        <v/>
      </c>
      <c r="AA284" s="314" t="str" cm="1">
        <f t="array" aca="1" ref="AA284" ca="1">IFERROR(_xlfn.IFS(OR(F284="",LEFT(Methode_Keuze,4)="Geen",Methode_Keuze=""),"",AND(X284&lt;&gt;"",F284&lt;&gt;"Arbeidskosten"),X284*VLOOKUP(F284,Tb_ProjectKosten[],MATCH(Tb_ProjectKosten[[#Headers],[Forfait_Percentage]],Tb_ProjectKosten[#Headers],0),0),AND(F284="Arbeidskosten",G284&lt;&gt;""),IFERROR(X284*VLOOKUP(G284,Tb_KostenTypen[],3,0)*VLOOKUP(F284,Tb_ProjectKosten[],MATCH(Tb_ProjectKosten[[#Headers],[Forfait_Percentage]],Tb_ProjectKosten[#Headers],0),0),""),X284 &lt;=0,0),"")</f>
        <v/>
      </c>
      <c r="AB284" s="314" t="str">
        <f t="shared" ca="1" si="19"/>
        <v/>
      </c>
      <c r="AC284" s="322"/>
      <c r="AD284" s="315"/>
      <c r="AE284" s="32" t="str" cm="1">
        <f t="array" ref="AE284">IFERROR(IF(INDEX(SubsidieTabel!$AD$1:$AG$12,MATCH($F284,SubsidieTabel!$AD$1:$AD$12,0),IFERROR(MATCH(Methode_Keuze,SubsidieTabel!$AD$1:$AG$1,0),2))&lt;&gt;1=TRUE,"ja",""),"")</f>
        <v/>
      </c>
    </row>
    <row r="285" spans="1:31" x14ac:dyDescent="0.25">
      <c r="A285" s="316"/>
      <c r="B285" s="317" t="str">
        <f>IF(A285&lt;&gt;"",_xlfn.MAXIFS($B$1:B284,$A$1:A284,A285)+1,"")</f>
        <v/>
      </c>
      <c r="C285" s="296"/>
      <c r="D285" s="296"/>
      <c r="E285" s="296"/>
      <c r="F285" s="296"/>
      <c r="G285" s="326"/>
      <c r="H285" s="324"/>
      <c r="I285" s="325"/>
      <c r="J285" s="325"/>
      <c r="K285" s="318"/>
      <c r="L285" s="318"/>
      <c r="M285" s="319" t="str">
        <f>IFERROR(VLOOKUP(H285,Lijsten!$H$1:$I$100,2,0),"")</f>
        <v/>
      </c>
      <c r="N285" s="319" t="str">
        <f ca="1">IFERROR(IF(VLOOKUP(F285,Kostentypen!$A$3:$E$21,3,0)=0,"",IF(OR(F285="Arbeidskosten",F285="Vergoeding"),VLOOKUP(G285,Tb_KostenTypen[],2,0),VLOOKUP(F285,Kostentypen!$A$3:$E$20,3,0))),"")</f>
        <v/>
      </c>
      <c r="O285" s="320" t="str" cm="1">
        <f t="array" ref="O285">_xlfn.IFNA(IF(INDEX(Tb_KostenOptiesDB[],MATCH($F285,Tb_KostenOptiesDB[KostenOptie],0),IFERROR(MATCH(Methode_Keuze,Tb_KostenOptiesDB[#Headers],0),2))=1,_xlfn.SWITCH($N285,"Uurtarief",IF(OR(AND(RIGHT($F285,3)="IKS",VLOOKUP($M285,DB_Loonkosten,2,0)="Ja"),AND(RIGHT($F285,3)&lt;&gt;"IKS",VLOOKUP($M285,DB_Loonkosten,2,0)="Nee")),IFERROR(VLOOKUP($M285,DB_Loonkosten,24,0),""),0),"Vast tarief",IF(LEFT(F285,8)="Bijdrage",VLOOKUP($F285,Tb_KostenTypen[],MATCH(Lijsten!$P$1,Tb_KostenTypen[#Headers],0),0),VLOOKUP($G285,Lijsten!L:P,MATCH(Lijsten!$P$1,Kop_Tarief_Vast,0),0))),""),"")</f>
        <v/>
      </c>
      <c r="P285" s="320" t="str" cm="1">
        <f t="array" ref="P285">_xlfn.IFNA(IF(INDEX(Tb_KostenOptiesDB[],MATCH($F285,Tb_KostenOptiesDB[KostenOptie],0),IFERROR(MATCH(Methode_Keuze,Tb_KostenOptiesDB[#Headers],0),2))=1,_xlfn.SWITCH($N285,"Uurtarief",IF(OR(AND(RIGHT($F285,3)="IKS",VLOOKUP($M285,DB_Loonkosten,2,0)="Ja"),AND(RIGHT($F285,3)&lt;&gt;"IKS",VLOOKUP($M285,DB_Loonkosten,2,0)="Nee")),IFERROR(VLOOKUP($M285,DB_Loonkosten,25,0),""),0),"Vast tarief",IF(LEFT(F285,8)="Bijdrage",VLOOKUP($F285,Tb_KostenTypen[],MATCH(Lijsten!$P$1,Tb_KostenTypen[#Headers],0),0),VLOOKUP($G285,Lijsten!L:P,MATCH(Lijsten!$P$1,Kop_Tarief_Vast,0),0))),""),"")</f>
        <v/>
      </c>
      <c r="Q285" s="359"/>
      <c r="R285" s="359"/>
      <c r="S285" s="321"/>
      <c r="T285" s="321"/>
      <c r="U285" s="373" t="str">
        <f t="shared" si="16"/>
        <v/>
      </c>
      <c r="V285" s="314" t="str">
        <f t="shared" si="17"/>
        <v/>
      </c>
      <c r="W285" s="314" t="str" cm="1">
        <f t="array" aca="1" ref="W285" ca="1">IFERROR(IF(AE285&lt;&gt;"ja",_xlfn.IFNA(_xlfn.IFS(AND(O285&lt;&gt;"",F285&lt;&gt;"",RIGHT($N285,6)="tarief",F285="Vergoeding"),SUM(O285)*FLOOR(SUM(Q285),0.0001),AND(O285&lt;&gt;"",F285&lt;&gt;"",RIGHT($N285,6)="tarief"),SUM(O285)*FLOOR(SUM(Q285),0.01),S285&gt;0,IF(F285&lt;&gt;"",FLOOR(SUM(S285),0.01),"")),""),""),"")</f>
        <v/>
      </c>
      <c r="X285" s="314" t="str" cm="1">
        <f t="array" aca="1" ref="X285" ca="1">IFERROR(IF(AE285&lt;&gt;"ja",_xlfn.IFNA(_xlfn.IFS(AND(P285&lt;&gt;"",R285&lt;&gt;"",RIGHT($N285,6)="tarief",F285="Vergoeding"),SUM(P285)*FLOOR(SUM(R285),0.0001),AND(P285&lt;&gt;"",R285&lt;&gt;"",RIGHT($N285,6)="tarief"),P285*FLOOR(R285,0.01),T285&gt;0,FLOOR(SUM(T285),0.01)),""),""),"")</f>
        <v/>
      </c>
      <c r="Y285" s="314" t="str">
        <f t="shared" ca="1" si="18"/>
        <v/>
      </c>
      <c r="Z285" s="314" t="str" cm="1">
        <f t="array" aca="1" ref="Z285" ca="1">IFERROR(_xlfn.IFS(OR(F285="",LEFT(Methode_Keuze,4)="Geen",Methode_Keuze=""),"",AND(W285&lt;&gt;"",F285&lt;&gt;"Arbeidskosten"),W285*VLOOKUP(F285,Tb_ProjectKosten[],MATCH(Tb_ProjectKosten[[#Headers],[Forfait_Percentage]],Tb_ProjectKosten[#Headers],0),0),AND(F285="Arbeidskosten",G285&lt;&gt;""),IFERROR(W285*VLOOKUP(G285,Tb_KostenTypen[],3,0)*VLOOKUP(F285,Tb_ProjectKosten[],MATCH(Tb_ProjectKosten[[#Headers],[Forfait_Percentage]],Tb_ProjectKosten[#Headers],0),0),""),W285 &lt;=0,0),"")</f>
        <v/>
      </c>
      <c r="AA285" s="314" t="str" cm="1">
        <f t="array" aca="1" ref="AA285" ca="1">IFERROR(_xlfn.IFS(OR(F285="",LEFT(Methode_Keuze,4)="Geen",Methode_Keuze=""),"",AND(X285&lt;&gt;"",F285&lt;&gt;"Arbeidskosten"),X285*VLOOKUP(F285,Tb_ProjectKosten[],MATCH(Tb_ProjectKosten[[#Headers],[Forfait_Percentage]],Tb_ProjectKosten[#Headers],0),0),AND(F285="Arbeidskosten",G285&lt;&gt;""),IFERROR(X285*VLOOKUP(G285,Tb_KostenTypen[],3,0)*VLOOKUP(F285,Tb_ProjectKosten[],MATCH(Tb_ProjectKosten[[#Headers],[Forfait_Percentage]],Tb_ProjectKosten[#Headers],0),0),""),X285 &lt;=0,0),"")</f>
        <v/>
      </c>
      <c r="AB285" s="314" t="str">
        <f t="shared" ca="1" si="19"/>
        <v/>
      </c>
      <c r="AC285" s="322"/>
      <c r="AD285" s="315"/>
      <c r="AE285" s="32" t="str" cm="1">
        <f t="array" ref="AE285">IFERROR(IF(INDEX(SubsidieTabel!$AD$1:$AG$12,MATCH($F285,SubsidieTabel!$AD$1:$AD$12,0),IFERROR(MATCH(Methode_Keuze,SubsidieTabel!$AD$1:$AG$1,0),2))&lt;&gt;1=TRUE,"ja",""),"")</f>
        <v/>
      </c>
    </row>
    <row r="286" spans="1:31" x14ac:dyDescent="0.25">
      <c r="A286" s="316"/>
      <c r="B286" s="317" t="str">
        <f>IF(A286&lt;&gt;"",_xlfn.MAXIFS($B$1:B285,$A$1:A285,A286)+1,"")</f>
        <v/>
      </c>
      <c r="C286" s="296"/>
      <c r="D286" s="296"/>
      <c r="E286" s="296"/>
      <c r="F286" s="296"/>
      <c r="G286" s="326"/>
      <c r="H286" s="324"/>
      <c r="I286" s="325"/>
      <c r="J286" s="325"/>
      <c r="K286" s="318"/>
      <c r="L286" s="318"/>
      <c r="M286" s="319" t="str">
        <f>IFERROR(VLOOKUP(H286,Lijsten!$H$1:$I$100,2,0),"")</f>
        <v/>
      </c>
      <c r="N286" s="319" t="str">
        <f ca="1">IFERROR(IF(VLOOKUP(F286,Kostentypen!$A$3:$E$21,3,0)=0,"",IF(OR(F286="Arbeidskosten",F286="Vergoeding"),VLOOKUP(G286,Tb_KostenTypen[],2,0),VLOOKUP(F286,Kostentypen!$A$3:$E$20,3,0))),"")</f>
        <v/>
      </c>
      <c r="O286" s="320" t="str" cm="1">
        <f t="array" ref="O286">_xlfn.IFNA(IF(INDEX(Tb_KostenOptiesDB[],MATCH($F286,Tb_KostenOptiesDB[KostenOptie],0),IFERROR(MATCH(Methode_Keuze,Tb_KostenOptiesDB[#Headers],0),2))=1,_xlfn.SWITCH($N286,"Uurtarief",IF(OR(AND(RIGHT($F286,3)="IKS",VLOOKUP($M286,DB_Loonkosten,2,0)="Ja"),AND(RIGHT($F286,3)&lt;&gt;"IKS",VLOOKUP($M286,DB_Loonkosten,2,0)="Nee")),IFERROR(VLOOKUP($M286,DB_Loonkosten,24,0),""),0),"Vast tarief",IF(LEFT(F286,8)="Bijdrage",VLOOKUP($F286,Tb_KostenTypen[],MATCH(Lijsten!$P$1,Tb_KostenTypen[#Headers],0),0),VLOOKUP($G286,Lijsten!L:P,MATCH(Lijsten!$P$1,Kop_Tarief_Vast,0),0))),""),"")</f>
        <v/>
      </c>
      <c r="P286" s="320" t="str" cm="1">
        <f t="array" ref="P286">_xlfn.IFNA(IF(INDEX(Tb_KostenOptiesDB[],MATCH($F286,Tb_KostenOptiesDB[KostenOptie],0),IFERROR(MATCH(Methode_Keuze,Tb_KostenOptiesDB[#Headers],0),2))=1,_xlfn.SWITCH($N286,"Uurtarief",IF(OR(AND(RIGHT($F286,3)="IKS",VLOOKUP($M286,DB_Loonkosten,2,0)="Ja"),AND(RIGHT($F286,3)&lt;&gt;"IKS",VLOOKUP($M286,DB_Loonkosten,2,0)="Nee")),IFERROR(VLOOKUP($M286,DB_Loonkosten,25,0),""),0),"Vast tarief",IF(LEFT(F286,8)="Bijdrage",VLOOKUP($F286,Tb_KostenTypen[],MATCH(Lijsten!$P$1,Tb_KostenTypen[#Headers],0),0),VLOOKUP($G286,Lijsten!L:P,MATCH(Lijsten!$P$1,Kop_Tarief_Vast,0),0))),""),"")</f>
        <v/>
      </c>
      <c r="Q286" s="359"/>
      <c r="R286" s="359"/>
      <c r="S286" s="321"/>
      <c r="T286" s="321"/>
      <c r="U286" s="373" t="str">
        <f t="shared" si="16"/>
        <v/>
      </c>
      <c r="V286" s="314" t="str">
        <f t="shared" si="17"/>
        <v/>
      </c>
      <c r="W286" s="314" t="str" cm="1">
        <f t="array" aca="1" ref="W286" ca="1">IFERROR(IF(AE286&lt;&gt;"ja",_xlfn.IFNA(_xlfn.IFS(AND(O286&lt;&gt;"",F286&lt;&gt;"",RIGHT($N286,6)="tarief",F286="Vergoeding"),SUM(O286)*FLOOR(SUM(Q286),0.0001),AND(O286&lt;&gt;"",F286&lt;&gt;"",RIGHT($N286,6)="tarief"),SUM(O286)*FLOOR(SUM(Q286),0.01),S286&gt;0,IF(F286&lt;&gt;"",FLOOR(SUM(S286),0.01),"")),""),""),"")</f>
        <v/>
      </c>
      <c r="X286" s="314" t="str" cm="1">
        <f t="array" aca="1" ref="X286" ca="1">IFERROR(IF(AE286&lt;&gt;"ja",_xlfn.IFNA(_xlfn.IFS(AND(P286&lt;&gt;"",R286&lt;&gt;"",RIGHT($N286,6)="tarief",F286="Vergoeding"),SUM(P286)*FLOOR(SUM(R286),0.0001),AND(P286&lt;&gt;"",R286&lt;&gt;"",RIGHT($N286,6)="tarief"),P286*FLOOR(R286,0.01),T286&gt;0,FLOOR(SUM(T286),0.01)),""),""),"")</f>
        <v/>
      </c>
      <c r="Y286" s="314" t="str">
        <f t="shared" ca="1" si="18"/>
        <v/>
      </c>
      <c r="Z286" s="314" t="str" cm="1">
        <f t="array" aca="1" ref="Z286" ca="1">IFERROR(_xlfn.IFS(OR(F286="",LEFT(Methode_Keuze,4)="Geen",Methode_Keuze=""),"",AND(W286&lt;&gt;"",F286&lt;&gt;"Arbeidskosten"),W286*VLOOKUP(F286,Tb_ProjectKosten[],MATCH(Tb_ProjectKosten[[#Headers],[Forfait_Percentage]],Tb_ProjectKosten[#Headers],0),0),AND(F286="Arbeidskosten",G286&lt;&gt;""),IFERROR(W286*VLOOKUP(G286,Tb_KostenTypen[],3,0)*VLOOKUP(F286,Tb_ProjectKosten[],MATCH(Tb_ProjectKosten[[#Headers],[Forfait_Percentage]],Tb_ProjectKosten[#Headers],0),0),""),W286 &lt;=0,0),"")</f>
        <v/>
      </c>
      <c r="AA286" s="314" t="str" cm="1">
        <f t="array" aca="1" ref="AA286" ca="1">IFERROR(_xlfn.IFS(OR(F286="",LEFT(Methode_Keuze,4)="Geen",Methode_Keuze=""),"",AND(X286&lt;&gt;"",F286&lt;&gt;"Arbeidskosten"),X286*VLOOKUP(F286,Tb_ProjectKosten[],MATCH(Tb_ProjectKosten[[#Headers],[Forfait_Percentage]],Tb_ProjectKosten[#Headers],0),0),AND(F286="Arbeidskosten",G286&lt;&gt;""),IFERROR(X286*VLOOKUP(G286,Tb_KostenTypen[],3,0)*VLOOKUP(F286,Tb_ProjectKosten[],MATCH(Tb_ProjectKosten[[#Headers],[Forfait_Percentage]],Tb_ProjectKosten[#Headers],0),0),""),X286 &lt;=0,0),"")</f>
        <v/>
      </c>
      <c r="AB286" s="314" t="str">
        <f t="shared" ca="1" si="19"/>
        <v/>
      </c>
      <c r="AC286" s="322"/>
      <c r="AD286" s="315"/>
      <c r="AE286" s="32" t="str" cm="1">
        <f t="array" ref="AE286">IFERROR(IF(INDEX(SubsidieTabel!$AD$1:$AG$12,MATCH($F286,SubsidieTabel!$AD$1:$AD$12,0),IFERROR(MATCH(Methode_Keuze,SubsidieTabel!$AD$1:$AG$1,0),2))&lt;&gt;1=TRUE,"ja",""),"")</f>
        <v/>
      </c>
    </row>
    <row r="287" spans="1:31" x14ac:dyDescent="0.25">
      <c r="A287" s="316"/>
      <c r="B287" s="317" t="str">
        <f>IF(A287&lt;&gt;"",_xlfn.MAXIFS($B$1:B286,$A$1:A286,A287)+1,"")</f>
        <v/>
      </c>
      <c r="C287" s="296"/>
      <c r="D287" s="296"/>
      <c r="E287" s="296"/>
      <c r="F287" s="296"/>
      <c r="G287" s="326"/>
      <c r="H287" s="324"/>
      <c r="I287" s="325"/>
      <c r="J287" s="325"/>
      <c r="K287" s="318"/>
      <c r="L287" s="318"/>
      <c r="M287" s="319" t="str">
        <f>IFERROR(VLOOKUP(H287,Lijsten!$H$1:$I$100,2,0),"")</f>
        <v/>
      </c>
      <c r="N287" s="319" t="str">
        <f ca="1">IFERROR(IF(VLOOKUP(F287,Kostentypen!$A$3:$E$21,3,0)=0,"",IF(OR(F287="Arbeidskosten",F287="Vergoeding"),VLOOKUP(G287,Tb_KostenTypen[],2,0),VLOOKUP(F287,Kostentypen!$A$3:$E$20,3,0))),"")</f>
        <v/>
      </c>
      <c r="O287" s="320" t="str" cm="1">
        <f t="array" ref="O287">_xlfn.IFNA(IF(INDEX(Tb_KostenOptiesDB[],MATCH($F287,Tb_KostenOptiesDB[KostenOptie],0),IFERROR(MATCH(Methode_Keuze,Tb_KostenOptiesDB[#Headers],0),2))=1,_xlfn.SWITCH($N287,"Uurtarief",IF(OR(AND(RIGHT($F287,3)="IKS",VLOOKUP($M287,DB_Loonkosten,2,0)="Ja"),AND(RIGHT($F287,3)&lt;&gt;"IKS",VLOOKUP($M287,DB_Loonkosten,2,0)="Nee")),IFERROR(VLOOKUP($M287,DB_Loonkosten,24,0),""),0),"Vast tarief",IF(LEFT(F287,8)="Bijdrage",VLOOKUP($F287,Tb_KostenTypen[],MATCH(Lijsten!$P$1,Tb_KostenTypen[#Headers],0),0),VLOOKUP($G287,Lijsten!L:P,MATCH(Lijsten!$P$1,Kop_Tarief_Vast,0),0))),""),"")</f>
        <v/>
      </c>
      <c r="P287" s="320" t="str" cm="1">
        <f t="array" ref="P287">_xlfn.IFNA(IF(INDEX(Tb_KostenOptiesDB[],MATCH($F287,Tb_KostenOptiesDB[KostenOptie],0),IFERROR(MATCH(Methode_Keuze,Tb_KostenOptiesDB[#Headers],0),2))=1,_xlfn.SWITCH($N287,"Uurtarief",IF(OR(AND(RIGHT($F287,3)="IKS",VLOOKUP($M287,DB_Loonkosten,2,0)="Ja"),AND(RIGHT($F287,3)&lt;&gt;"IKS",VLOOKUP($M287,DB_Loonkosten,2,0)="Nee")),IFERROR(VLOOKUP($M287,DB_Loonkosten,25,0),""),0),"Vast tarief",IF(LEFT(F287,8)="Bijdrage",VLOOKUP($F287,Tb_KostenTypen[],MATCH(Lijsten!$P$1,Tb_KostenTypen[#Headers],0),0),VLOOKUP($G287,Lijsten!L:P,MATCH(Lijsten!$P$1,Kop_Tarief_Vast,0),0))),""),"")</f>
        <v/>
      </c>
      <c r="Q287" s="359"/>
      <c r="R287" s="359"/>
      <c r="S287" s="321"/>
      <c r="T287" s="321"/>
      <c r="U287" s="373" t="str">
        <f t="shared" si="16"/>
        <v/>
      </c>
      <c r="V287" s="314" t="str">
        <f t="shared" si="17"/>
        <v/>
      </c>
      <c r="W287" s="314" t="str" cm="1">
        <f t="array" aca="1" ref="W287" ca="1">IFERROR(IF(AE287&lt;&gt;"ja",_xlfn.IFNA(_xlfn.IFS(AND(O287&lt;&gt;"",F287&lt;&gt;"",RIGHT($N287,6)="tarief",F287="Vergoeding"),SUM(O287)*FLOOR(SUM(Q287),0.0001),AND(O287&lt;&gt;"",F287&lt;&gt;"",RIGHT($N287,6)="tarief"),SUM(O287)*FLOOR(SUM(Q287),0.01),S287&gt;0,IF(F287&lt;&gt;"",FLOOR(SUM(S287),0.01),"")),""),""),"")</f>
        <v/>
      </c>
      <c r="X287" s="314" t="str" cm="1">
        <f t="array" aca="1" ref="X287" ca="1">IFERROR(IF(AE287&lt;&gt;"ja",_xlfn.IFNA(_xlfn.IFS(AND(P287&lt;&gt;"",R287&lt;&gt;"",RIGHT($N287,6)="tarief",F287="Vergoeding"),SUM(P287)*FLOOR(SUM(R287),0.0001),AND(P287&lt;&gt;"",R287&lt;&gt;"",RIGHT($N287,6)="tarief"),P287*FLOOR(R287,0.01),T287&gt;0,FLOOR(SUM(T287),0.01)),""),""),"")</f>
        <v/>
      </c>
      <c r="Y287" s="314" t="str">
        <f t="shared" ca="1" si="18"/>
        <v/>
      </c>
      <c r="Z287" s="314" t="str" cm="1">
        <f t="array" aca="1" ref="Z287" ca="1">IFERROR(_xlfn.IFS(OR(F287="",LEFT(Methode_Keuze,4)="Geen",Methode_Keuze=""),"",AND(W287&lt;&gt;"",F287&lt;&gt;"Arbeidskosten"),W287*VLOOKUP(F287,Tb_ProjectKosten[],MATCH(Tb_ProjectKosten[[#Headers],[Forfait_Percentage]],Tb_ProjectKosten[#Headers],0),0),AND(F287="Arbeidskosten",G287&lt;&gt;""),IFERROR(W287*VLOOKUP(G287,Tb_KostenTypen[],3,0)*VLOOKUP(F287,Tb_ProjectKosten[],MATCH(Tb_ProjectKosten[[#Headers],[Forfait_Percentage]],Tb_ProjectKosten[#Headers],0),0),""),W287 &lt;=0,0),"")</f>
        <v/>
      </c>
      <c r="AA287" s="314" t="str" cm="1">
        <f t="array" aca="1" ref="AA287" ca="1">IFERROR(_xlfn.IFS(OR(F287="",LEFT(Methode_Keuze,4)="Geen",Methode_Keuze=""),"",AND(X287&lt;&gt;"",F287&lt;&gt;"Arbeidskosten"),X287*VLOOKUP(F287,Tb_ProjectKosten[],MATCH(Tb_ProjectKosten[[#Headers],[Forfait_Percentage]],Tb_ProjectKosten[#Headers],0),0),AND(F287="Arbeidskosten",G287&lt;&gt;""),IFERROR(X287*VLOOKUP(G287,Tb_KostenTypen[],3,0)*VLOOKUP(F287,Tb_ProjectKosten[],MATCH(Tb_ProjectKosten[[#Headers],[Forfait_Percentage]],Tb_ProjectKosten[#Headers],0),0),""),X287 &lt;=0,0),"")</f>
        <v/>
      </c>
      <c r="AB287" s="314" t="str">
        <f t="shared" ca="1" si="19"/>
        <v/>
      </c>
      <c r="AC287" s="322"/>
      <c r="AD287" s="315"/>
      <c r="AE287" s="32" t="str" cm="1">
        <f t="array" ref="AE287">IFERROR(IF(INDEX(SubsidieTabel!$AD$1:$AG$12,MATCH($F287,SubsidieTabel!$AD$1:$AD$12,0),IFERROR(MATCH(Methode_Keuze,SubsidieTabel!$AD$1:$AG$1,0),2))&lt;&gt;1=TRUE,"ja",""),"")</f>
        <v/>
      </c>
    </row>
    <row r="288" spans="1:31" x14ac:dyDescent="0.25">
      <c r="A288" s="316"/>
      <c r="B288" s="317" t="str">
        <f>IF(A288&lt;&gt;"",_xlfn.MAXIFS($B$1:B287,$A$1:A287,A288)+1,"")</f>
        <v/>
      </c>
      <c r="C288" s="296"/>
      <c r="D288" s="296"/>
      <c r="E288" s="296"/>
      <c r="F288" s="296"/>
      <c r="G288" s="326"/>
      <c r="H288" s="324"/>
      <c r="I288" s="325"/>
      <c r="J288" s="325"/>
      <c r="K288" s="318"/>
      <c r="L288" s="318"/>
      <c r="M288" s="319" t="str">
        <f>IFERROR(VLOOKUP(H288,Lijsten!$H$1:$I$100,2,0),"")</f>
        <v/>
      </c>
      <c r="N288" s="319" t="str">
        <f ca="1">IFERROR(IF(VLOOKUP(F288,Kostentypen!$A$3:$E$21,3,0)=0,"",IF(OR(F288="Arbeidskosten",F288="Vergoeding"),VLOOKUP(G288,Tb_KostenTypen[],2,0),VLOOKUP(F288,Kostentypen!$A$3:$E$20,3,0))),"")</f>
        <v/>
      </c>
      <c r="O288" s="320" t="str" cm="1">
        <f t="array" ref="O288">_xlfn.IFNA(IF(INDEX(Tb_KostenOptiesDB[],MATCH($F288,Tb_KostenOptiesDB[KostenOptie],0),IFERROR(MATCH(Methode_Keuze,Tb_KostenOptiesDB[#Headers],0),2))=1,_xlfn.SWITCH($N288,"Uurtarief",IF(OR(AND(RIGHT($F288,3)="IKS",VLOOKUP($M288,DB_Loonkosten,2,0)="Ja"),AND(RIGHT($F288,3)&lt;&gt;"IKS",VLOOKUP($M288,DB_Loonkosten,2,0)="Nee")),IFERROR(VLOOKUP($M288,DB_Loonkosten,24,0),""),0),"Vast tarief",IF(LEFT(F288,8)="Bijdrage",VLOOKUP($F288,Tb_KostenTypen[],MATCH(Lijsten!$P$1,Tb_KostenTypen[#Headers],0),0),VLOOKUP($G288,Lijsten!L:P,MATCH(Lijsten!$P$1,Kop_Tarief_Vast,0),0))),""),"")</f>
        <v/>
      </c>
      <c r="P288" s="320" t="str" cm="1">
        <f t="array" ref="P288">_xlfn.IFNA(IF(INDEX(Tb_KostenOptiesDB[],MATCH($F288,Tb_KostenOptiesDB[KostenOptie],0),IFERROR(MATCH(Methode_Keuze,Tb_KostenOptiesDB[#Headers],0),2))=1,_xlfn.SWITCH($N288,"Uurtarief",IF(OR(AND(RIGHT($F288,3)="IKS",VLOOKUP($M288,DB_Loonkosten,2,0)="Ja"),AND(RIGHT($F288,3)&lt;&gt;"IKS",VLOOKUP($M288,DB_Loonkosten,2,0)="Nee")),IFERROR(VLOOKUP($M288,DB_Loonkosten,25,0),""),0),"Vast tarief",IF(LEFT(F288,8)="Bijdrage",VLOOKUP($F288,Tb_KostenTypen[],MATCH(Lijsten!$P$1,Tb_KostenTypen[#Headers],0),0),VLOOKUP($G288,Lijsten!L:P,MATCH(Lijsten!$P$1,Kop_Tarief_Vast,0),0))),""),"")</f>
        <v/>
      </c>
      <c r="Q288" s="359"/>
      <c r="R288" s="359"/>
      <c r="S288" s="321"/>
      <c r="T288" s="321"/>
      <c r="U288" s="373" t="str">
        <f t="shared" si="16"/>
        <v/>
      </c>
      <c r="V288" s="314" t="str">
        <f t="shared" si="17"/>
        <v/>
      </c>
      <c r="W288" s="314" t="str" cm="1">
        <f t="array" aca="1" ref="W288" ca="1">IFERROR(IF(AE288&lt;&gt;"ja",_xlfn.IFNA(_xlfn.IFS(AND(O288&lt;&gt;"",F288&lt;&gt;"",RIGHT($N288,6)="tarief",F288="Vergoeding"),SUM(O288)*FLOOR(SUM(Q288),0.0001),AND(O288&lt;&gt;"",F288&lt;&gt;"",RIGHT($N288,6)="tarief"),SUM(O288)*FLOOR(SUM(Q288),0.01),S288&gt;0,IF(F288&lt;&gt;"",FLOOR(SUM(S288),0.01),"")),""),""),"")</f>
        <v/>
      </c>
      <c r="X288" s="314" t="str" cm="1">
        <f t="array" aca="1" ref="X288" ca="1">IFERROR(IF(AE288&lt;&gt;"ja",_xlfn.IFNA(_xlfn.IFS(AND(P288&lt;&gt;"",R288&lt;&gt;"",RIGHT($N288,6)="tarief",F288="Vergoeding"),SUM(P288)*FLOOR(SUM(R288),0.0001),AND(P288&lt;&gt;"",R288&lt;&gt;"",RIGHT($N288,6)="tarief"),P288*FLOOR(R288,0.01),T288&gt;0,FLOOR(SUM(T288),0.01)),""),""),"")</f>
        <v/>
      </c>
      <c r="Y288" s="314" t="str">
        <f t="shared" ca="1" si="18"/>
        <v/>
      </c>
      <c r="Z288" s="314" t="str" cm="1">
        <f t="array" aca="1" ref="Z288" ca="1">IFERROR(_xlfn.IFS(OR(F288="",LEFT(Methode_Keuze,4)="Geen",Methode_Keuze=""),"",AND(W288&lt;&gt;"",F288&lt;&gt;"Arbeidskosten"),W288*VLOOKUP(F288,Tb_ProjectKosten[],MATCH(Tb_ProjectKosten[[#Headers],[Forfait_Percentage]],Tb_ProjectKosten[#Headers],0),0),AND(F288="Arbeidskosten",G288&lt;&gt;""),IFERROR(W288*VLOOKUP(G288,Tb_KostenTypen[],3,0)*VLOOKUP(F288,Tb_ProjectKosten[],MATCH(Tb_ProjectKosten[[#Headers],[Forfait_Percentage]],Tb_ProjectKosten[#Headers],0),0),""),W288 &lt;=0,0),"")</f>
        <v/>
      </c>
      <c r="AA288" s="314" t="str" cm="1">
        <f t="array" aca="1" ref="AA288" ca="1">IFERROR(_xlfn.IFS(OR(F288="",LEFT(Methode_Keuze,4)="Geen",Methode_Keuze=""),"",AND(X288&lt;&gt;"",F288&lt;&gt;"Arbeidskosten"),X288*VLOOKUP(F288,Tb_ProjectKosten[],MATCH(Tb_ProjectKosten[[#Headers],[Forfait_Percentage]],Tb_ProjectKosten[#Headers],0),0),AND(F288="Arbeidskosten",G288&lt;&gt;""),IFERROR(X288*VLOOKUP(G288,Tb_KostenTypen[],3,0)*VLOOKUP(F288,Tb_ProjectKosten[],MATCH(Tb_ProjectKosten[[#Headers],[Forfait_Percentage]],Tb_ProjectKosten[#Headers],0),0),""),X288 &lt;=0,0),"")</f>
        <v/>
      </c>
      <c r="AB288" s="314" t="str">
        <f t="shared" ca="1" si="19"/>
        <v/>
      </c>
      <c r="AC288" s="322"/>
      <c r="AD288" s="315"/>
      <c r="AE288" s="32" t="str" cm="1">
        <f t="array" ref="AE288">IFERROR(IF(INDEX(SubsidieTabel!$AD$1:$AG$12,MATCH($F288,SubsidieTabel!$AD$1:$AD$12,0),IFERROR(MATCH(Methode_Keuze,SubsidieTabel!$AD$1:$AG$1,0),2))&lt;&gt;1=TRUE,"ja",""),"")</f>
        <v/>
      </c>
    </row>
    <row r="289" spans="1:31" x14ac:dyDescent="0.25">
      <c r="A289" s="316"/>
      <c r="B289" s="317" t="str">
        <f>IF(A289&lt;&gt;"",_xlfn.MAXIFS($B$1:B288,$A$1:A288,A289)+1,"")</f>
        <v/>
      </c>
      <c r="C289" s="296"/>
      <c r="D289" s="296"/>
      <c r="E289" s="296"/>
      <c r="F289" s="296"/>
      <c r="G289" s="326"/>
      <c r="H289" s="324"/>
      <c r="I289" s="325"/>
      <c r="J289" s="325"/>
      <c r="K289" s="318"/>
      <c r="L289" s="318"/>
      <c r="M289" s="319" t="str">
        <f>IFERROR(VLOOKUP(H289,Lijsten!$H$1:$I$100,2,0),"")</f>
        <v/>
      </c>
      <c r="N289" s="319" t="str">
        <f ca="1">IFERROR(IF(VLOOKUP(F289,Kostentypen!$A$3:$E$21,3,0)=0,"",IF(OR(F289="Arbeidskosten",F289="Vergoeding"),VLOOKUP(G289,Tb_KostenTypen[],2,0),VLOOKUP(F289,Kostentypen!$A$3:$E$20,3,0))),"")</f>
        <v/>
      </c>
      <c r="O289" s="320" t="str" cm="1">
        <f t="array" ref="O289">_xlfn.IFNA(IF(INDEX(Tb_KostenOptiesDB[],MATCH($F289,Tb_KostenOptiesDB[KostenOptie],0),IFERROR(MATCH(Methode_Keuze,Tb_KostenOptiesDB[#Headers],0),2))=1,_xlfn.SWITCH($N289,"Uurtarief",IF(OR(AND(RIGHT($F289,3)="IKS",VLOOKUP($M289,DB_Loonkosten,2,0)="Ja"),AND(RIGHT($F289,3)&lt;&gt;"IKS",VLOOKUP($M289,DB_Loonkosten,2,0)="Nee")),IFERROR(VLOOKUP($M289,DB_Loonkosten,24,0),""),0),"Vast tarief",IF(LEFT(F289,8)="Bijdrage",VLOOKUP($F289,Tb_KostenTypen[],MATCH(Lijsten!$P$1,Tb_KostenTypen[#Headers],0),0),VLOOKUP($G289,Lijsten!L:P,MATCH(Lijsten!$P$1,Kop_Tarief_Vast,0),0))),""),"")</f>
        <v/>
      </c>
      <c r="P289" s="320" t="str" cm="1">
        <f t="array" ref="P289">_xlfn.IFNA(IF(INDEX(Tb_KostenOptiesDB[],MATCH($F289,Tb_KostenOptiesDB[KostenOptie],0),IFERROR(MATCH(Methode_Keuze,Tb_KostenOptiesDB[#Headers],0),2))=1,_xlfn.SWITCH($N289,"Uurtarief",IF(OR(AND(RIGHT($F289,3)="IKS",VLOOKUP($M289,DB_Loonkosten,2,0)="Ja"),AND(RIGHT($F289,3)&lt;&gt;"IKS",VLOOKUP($M289,DB_Loonkosten,2,0)="Nee")),IFERROR(VLOOKUP($M289,DB_Loonkosten,25,0),""),0),"Vast tarief",IF(LEFT(F289,8)="Bijdrage",VLOOKUP($F289,Tb_KostenTypen[],MATCH(Lijsten!$P$1,Tb_KostenTypen[#Headers],0),0),VLOOKUP($G289,Lijsten!L:P,MATCH(Lijsten!$P$1,Kop_Tarief_Vast,0),0))),""),"")</f>
        <v/>
      </c>
      <c r="Q289" s="359"/>
      <c r="R289" s="359"/>
      <c r="S289" s="321"/>
      <c r="T289" s="321"/>
      <c r="U289" s="373" t="str">
        <f t="shared" si="16"/>
        <v/>
      </c>
      <c r="V289" s="314" t="str">
        <f t="shared" si="17"/>
        <v/>
      </c>
      <c r="W289" s="314" t="str" cm="1">
        <f t="array" aca="1" ref="W289" ca="1">IFERROR(IF(AE289&lt;&gt;"ja",_xlfn.IFNA(_xlfn.IFS(AND(O289&lt;&gt;"",F289&lt;&gt;"",RIGHT($N289,6)="tarief",F289="Vergoeding"),SUM(O289)*FLOOR(SUM(Q289),0.0001),AND(O289&lt;&gt;"",F289&lt;&gt;"",RIGHT($N289,6)="tarief"),SUM(O289)*FLOOR(SUM(Q289),0.01),S289&gt;0,IF(F289&lt;&gt;"",FLOOR(SUM(S289),0.01),"")),""),""),"")</f>
        <v/>
      </c>
      <c r="X289" s="314" t="str" cm="1">
        <f t="array" aca="1" ref="X289" ca="1">IFERROR(IF(AE289&lt;&gt;"ja",_xlfn.IFNA(_xlfn.IFS(AND(P289&lt;&gt;"",R289&lt;&gt;"",RIGHT($N289,6)="tarief",F289="Vergoeding"),SUM(P289)*FLOOR(SUM(R289),0.0001),AND(P289&lt;&gt;"",R289&lt;&gt;"",RIGHT($N289,6)="tarief"),P289*FLOOR(R289,0.01),T289&gt;0,FLOOR(SUM(T289),0.01)),""),""),"")</f>
        <v/>
      </c>
      <c r="Y289" s="314" t="str">
        <f t="shared" ca="1" si="18"/>
        <v/>
      </c>
      <c r="Z289" s="314" t="str" cm="1">
        <f t="array" aca="1" ref="Z289" ca="1">IFERROR(_xlfn.IFS(OR(F289="",LEFT(Methode_Keuze,4)="Geen",Methode_Keuze=""),"",AND(W289&lt;&gt;"",F289&lt;&gt;"Arbeidskosten"),W289*VLOOKUP(F289,Tb_ProjectKosten[],MATCH(Tb_ProjectKosten[[#Headers],[Forfait_Percentage]],Tb_ProjectKosten[#Headers],0),0),AND(F289="Arbeidskosten",G289&lt;&gt;""),IFERROR(W289*VLOOKUP(G289,Tb_KostenTypen[],3,0)*VLOOKUP(F289,Tb_ProjectKosten[],MATCH(Tb_ProjectKosten[[#Headers],[Forfait_Percentage]],Tb_ProjectKosten[#Headers],0),0),""),W289 &lt;=0,0),"")</f>
        <v/>
      </c>
      <c r="AA289" s="314" t="str" cm="1">
        <f t="array" aca="1" ref="AA289" ca="1">IFERROR(_xlfn.IFS(OR(F289="",LEFT(Methode_Keuze,4)="Geen",Methode_Keuze=""),"",AND(X289&lt;&gt;"",F289&lt;&gt;"Arbeidskosten"),X289*VLOOKUP(F289,Tb_ProjectKosten[],MATCH(Tb_ProjectKosten[[#Headers],[Forfait_Percentage]],Tb_ProjectKosten[#Headers],0),0),AND(F289="Arbeidskosten",G289&lt;&gt;""),IFERROR(X289*VLOOKUP(G289,Tb_KostenTypen[],3,0)*VLOOKUP(F289,Tb_ProjectKosten[],MATCH(Tb_ProjectKosten[[#Headers],[Forfait_Percentage]],Tb_ProjectKosten[#Headers],0),0),""),X289 &lt;=0,0),"")</f>
        <v/>
      </c>
      <c r="AB289" s="314" t="str">
        <f t="shared" ca="1" si="19"/>
        <v/>
      </c>
      <c r="AC289" s="322"/>
      <c r="AD289" s="315"/>
      <c r="AE289" s="32" t="str" cm="1">
        <f t="array" ref="AE289">IFERROR(IF(INDEX(SubsidieTabel!$AD$1:$AG$12,MATCH($F289,SubsidieTabel!$AD$1:$AD$12,0),IFERROR(MATCH(Methode_Keuze,SubsidieTabel!$AD$1:$AG$1,0),2))&lt;&gt;1=TRUE,"ja",""),"")</f>
        <v/>
      </c>
    </row>
    <row r="290" spans="1:31" x14ac:dyDescent="0.25">
      <c r="A290" s="316"/>
      <c r="B290" s="317" t="str">
        <f>IF(A290&lt;&gt;"",_xlfn.MAXIFS($B$1:B289,$A$1:A289,A290)+1,"")</f>
        <v/>
      </c>
      <c r="C290" s="296"/>
      <c r="D290" s="296"/>
      <c r="E290" s="296"/>
      <c r="F290" s="296"/>
      <c r="G290" s="326"/>
      <c r="H290" s="324"/>
      <c r="I290" s="325"/>
      <c r="J290" s="325"/>
      <c r="K290" s="318"/>
      <c r="L290" s="318"/>
      <c r="M290" s="319" t="str">
        <f>IFERROR(VLOOKUP(H290,Lijsten!$H$1:$I$100,2,0),"")</f>
        <v/>
      </c>
      <c r="N290" s="319" t="str">
        <f ca="1">IFERROR(IF(VLOOKUP(F290,Kostentypen!$A$3:$E$21,3,0)=0,"",IF(OR(F290="Arbeidskosten",F290="Vergoeding"),VLOOKUP(G290,Tb_KostenTypen[],2,0),VLOOKUP(F290,Kostentypen!$A$3:$E$20,3,0))),"")</f>
        <v/>
      </c>
      <c r="O290" s="320" t="str" cm="1">
        <f t="array" ref="O290">_xlfn.IFNA(IF(INDEX(Tb_KostenOptiesDB[],MATCH($F290,Tb_KostenOptiesDB[KostenOptie],0),IFERROR(MATCH(Methode_Keuze,Tb_KostenOptiesDB[#Headers],0),2))=1,_xlfn.SWITCH($N290,"Uurtarief",IF(OR(AND(RIGHT($F290,3)="IKS",VLOOKUP($M290,DB_Loonkosten,2,0)="Ja"),AND(RIGHT($F290,3)&lt;&gt;"IKS",VLOOKUP($M290,DB_Loonkosten,2,0)="Nee")),IFERROR(VLOOKUP($M290,DB_Loonkosten,24,0),""),0),"Vast tarief",IF(LEFT(F290,8)="Bijdrage",VLOOKUP($F290,Tb_KostenTypen[],MATCH(Lijsten!$P$1,Tb_KostenTypen[#Headers],0),0),VLOOKUP($G290,Lijsten!L:P,MATCH(Lijsten!$P$1,Kop_Tarief_Vast,0),0))),""),"")</f>
        <v/>
      </c>
      <c r="P290" s="320" t="str" cm="1">
        <f t="array" ref="P290">_xlfn.IFNA(IF(INDEX(Tb_KostenOptiesDB[],MATCH($F290,Tb_KostenOptiesDB[KostenOptie],0),IFERROR(MATCH(Methode_Keuze,Tb_KostenOptiesDB[#Headers],0),2))=1,_xlfn.SWITCH($N290,"Uurtarief",IF(OR(AND(RIGHT($F290,3)="IKS",VLOOKUP($M290,DB_Loonkosten,2,0)="Ja"),AND(RIGHT($F290,3)&lt;&gt;"IKS",VLOOKUP($M290,DB_Loonkosten,2,0)="Nee")),IFERROR(VLOOKUP($M290,DB_Loonkosten,25,0),""),0),"Vast tarief",IF(LEFT(F290,8)="Bijdrage",VLOOKUP($F290,Tb_KostenTypen[],MATCH(Lijsten!$P$1,Tb_KostenTypen[#Headers],0),0),VLOOKUP($G290,Lijsten!L:P,MATCH(Lijsten!$P$1,Kop_Tarief_Vast,0),0))),""),"")</f>
        <v/>
      </c>
      <c r="Q290" s="359"/>
      <c r="R290" s="359"/>
      <c r="S290" s="321"/>
      <c r="T290" s="321"/>
      <c r="U290" s="373" t="str">
        <f t="shared" si="16"/>
        <v/>
      </c>
      <c r="V290" s="314" t="str">
        <f t="shared" si="17"/>
        <v/>
      </c>
      <c r="W290" s="314" t="str" cm="1">
        <f t="array" aca="1" ref="W290" ca="1">IFERROR(IF(AE290&lt;&gt;"ja",_xlfn.IFNA(_xlfn.IFS(AND(O290&lt;&gt;"",F290&lt;&gt;"",RIGHT($N290,6)="tarief",F290="Vergoeding"),SUM(O290)*FLOOR(SUM(Q290),0.0001),AND(O290&lt;&gt;"",F290&lt;&gt;"",RIGHT($N290,6)="tarief"),SUM(O290)*FLOOR(SUM(Q290),0.01),S290&gt;0,IF(F290&lt;&gt;"",FLOOR(SUM(S290),0.01),"")),""),""),"")</f>
        <v/>
      </c>
      <c r="X290" s="314" t="str" cm="1">
        <f t="array" aca="1" ref="X290" ca="1">IFERROR(IF(AE290&lt;&gt;"ja",_xlfn.IFNA(_xlfn.IFS(AND(P290&lt;&gt;"",R290&lt;&gt;"",RIGHT($N290,6)="tarief",F290="Vergoeding"),SUM(P290)*FLOOR(SUM(R290),0.0001),AND(P290&lt;&gt;"",R290&lt;&gt;"",RIGHT($N290,6)="tarief"),P290*FLOOR(R290,0.01),T290&gt;0,FLOOR(SUM(T290),0.01)),""),""),"")</f>
        <v/>
      </c>
      <c r="Y290" s="314" t="str">
        <f t="shared" ca="1" si="18"/>
        <v/>
      </c>
      <c r="Z290" s="314" t="str" cm="1">
        <f t="array" aca="1" ref="Z290" ca="1">IFERROR(_xlfn.IFS(OR(F290="",LEFT(Methode_Keuze,4)="Geen",Methode_Keuze=""),"",AND(W290&lt;&gt;"",F290&lt;&gt;"Arbeidskosten"),W290*VLOOKUP(F290,Tb_ProjectKosten[],MATCH(Tb_ProjectKosten[[#Headers],[Forfait_Percentage]],Tb_ProjectKosten[#Headers],0),0),AND(F290="Arbeidskosten",G290&lt;&gt;""),IFERROR(W290*VLOOKUP(G290,Tb_KostenTypen[],3,0)*VLOOKUP(F290,Tb_ProjectKosten[],MATCH(Tb_ProjectKosten[[#Headers],[Forfait_Percentage]],Tb_ProjectKosten[#Headers],0),0),""),W290 &lt;=0,0),"")</f>
        <v/>
      </c>
      <c r="AA290" s="314" t="str" cm="1">
        <f t="array" aca="1" ref="AA290" ca="1">IFERROR(_xlfn.IFS(OR(F290="",LEFT(Methode_Keuze,4)="Geen",Methode_Keuze=""),"",AND(X290&lt;&gt;"",F290&lt;&gt;"Arbeidskosten"),X290*VLOOKUP(F290,Tb_ProjectKosten[],MATCH(Tb_ProjectKosten[[#Headers],[Forfait_Percentage]],Tb_ProjectKosten[#Headers],0),0),AND(F290="Arbeidskosten",G290&lt;&gt;""),IFERROR(X290*VLOOKUP(G290,Tb_KostenTypen[],3,0)*VLOOKUP(F290,Tb_ProjectKosten[],MATCH(Tb_ProjectKosten[[#Headers],[Forfait_Percentage]],Tb_ProjectKosten[#Headers],0),0),""),X290 &lt;=0,0),"")</f>
        <v/>
      </c>
      <c r="AB290" s="314" t="str">
        <f t="shared" ca="1" si="19"/>
        <v/>
      </c>
      <c r="AC290" s="322"/>
      <c r="AD290" s="315"/>
      <c r="AE290" s="32" t="str" cm="1">
        <f t="array" ref="AE290">IFERROR(IF(INDEX(SubsidieTabel!$AD$1:$AG$12,MATCH($F290,SubsidieTabel!$AD$1:$AD$12,0),IFERROR(MATCH(Methode_Keuze,SubsidieTabel!$AD$1:$AG$1,0),2))&lt;&gt;1=TRUE,"ja",""),"")</f>
        <v/>
      </c>
    </row>
    <row r="291" spans="1:31" x14ac:dyDescent="0.25">
      <c r="A291" s="316"/>
      <c r="B291" s="317" t="str">
        <f>IF(A291&lt;&gt;"",_xlfn.MAXIFS($B$1:B290,$A$1:A290,A291)+1,"")</f>
        <v/>
      </c>
      <c r="C291" s="296"/>
      <c r="D291" s="296"/>
      <c r="E291" s="296"/>
      <c r="F291" s="296"/>
      <c r="G291" s="326"/>
      <c r="H291" s="324"/>
      <c r="I291" s="325"/>
      <c r="J291" s="325"/>
      <c r="K291" s="318"/>
      <c r="L291" s="318"/>
      <c r="M291" s="319" t="str">
        <f>IFERROR(VLOOKUP(H291,Lijsten!$H$1:$I$100,2,0),"")</f>
        <v/>
      </c>
      <c r="N291" s="319" t="str">
        <f ca="1">IFERROR(IF(VLOOKUP(F291,Kostentypen!$A$3:$E$21,3,0)=0,"",IF(OR(F291="Arbeidskosten",F291="Vergoeding"),VLOOKUP(G291,Tb_KostenTypen[],2,0),VLOOKUP(F291,Kostentypen!$A$3:$E$20,3,0))),"")</f>
        <v/>
      </c>
      <c r="O291" s="320" t="str" cm="1">
        <f t="array" ref="O291">_xlfn.IFNA(IF(INDEX(Tb_KostenOptiesDB[],MATCH($F291,Tb_KostenOptiesDB[KostenOptie],0),IFERROR(MATCH(Methode_Keuze,Tb_KostenOptiesDB[#Headers],0),2))=1,_xlfn.SWITCH($N291,"Uurtarief",IF(OR(AND(RIGHT($F291,3)="IKS",VLOOKUP($M291,DB_Loonkosten,2,0)="Ja"),AND(RIGHT($F291,3)&lt;&gt;"IKS",VLOOKUP($M291,DB_Loonkosten,2,0)="Nee")),IFERROR(VLOOKUP($M291,DB_Loonkosten,24,0),""),0),"Vast tarief",IF(LEFT(F291,8)="Bijdrage",VLOOKUP($F291,Tb_KostenTypen[],MATCH(Lijsten!$P$1,Tb_KostenTypen[#Headers],0),0),VLOOKUP($G291,Lijsten!L:P,MATCH(Lijsten!$P$1,Kop_Tarief_Vast,0),0))),""),"")</f>
        <v/>
      </c>
      <c r="P291" s="320" t="str" cm="1">
        <f t="array" ref="P291">_xlfn.IFNA(IF(INDEX(Tb_KostenOptiesDB[],MATCH($F291,Tb_KostenOptiesDB[KostenOptie],0),IFERROR(MATCH(Methode_Keuze,Tb_KostenOptiesDB[#Headers],0),2))=1,_xlfn.SWITCH($N291,"Uurtarief",IF(OR(AND(RIGHT($F291,3)="IKS",VLOOKUP($M291,DB_Loonkosten,2,0)="Ja"),AND(RIGHT($F291,3)&lt;&gt;"IKS",VLOOKUP($M291,DB_Loonkosten,2,0)="Nee")),IFERROR(VLOOKUP($M291,DB_Loonkosten,25,0),""),0),"Vast tarief",IF(LEFT(F291,8)="Bijdrage",VLOOKUP($F291,Tb_KostenTypen[],MATCH(Lijsten!$P$1,Tb_KostenTypen[#Headers],0),0),VLOOKUP($G291,Lijsten!L:P,MATCH(Lijsten!$P$1,Kop_Tarief_Vast,0),0))),""),"")</f>
        <v/>
      </c>
      <c r="Q291" s="359"/>
      <c r="R291" s="359"/>
      <c r="S291" s="321"/>
      <c r="T291" s="321"/>
      <c r="U291" s="373" t="str">
        <f t="shared" si="16"/>
        <v/>
      </c>
      <c r="V291" s="314" t="str">
        <f t="shared" si="17"/>
        <v/>
      </c>
      <c r="W291" s="314" t="str" cm="1">
        <f t="array" aca="1" ref="W291" ca="1">IFERROR(IF(AE291&lt;&gt;"ja",_xlfn.IFNA(_xlfn.IFS(AND(O291&lt;&gt;"",F291&lt;&gt;"",RIGHT($N291,6)="tarief",F291="Vergoeding"),SUM(O291)*FLOOR(SUM(Q291),0.0001),AND(O291&lt;&gt;"",F291&lt;&gt;"",RIGHT($N291,6)="tarief"),SUM(O291)*FLOOR(SUM(Q291),0.01),S291&gt;0,IF(F291&lt;&gt;"",FLOOR(SUM(S291),0.01),"")),""),""),"")</f>
        <v/>
      </c>
      <c r="X291" s="314" t="str" cm="1">
        <f t="array" aca="1" ref="X291" ca="1">IFERROR(IF(AE291&lt;&gt;"ja",_xlfn.IFNA(_xlfn.IFS(AND(P291&lt;&gt;"",R291&lt;&gt;"",RIGHT($N291,6)="tarief",F291="Vergoeding"),SUM(P291)*FLOOR(SUM(R291),0.0001),AND(P291&lt;&gt;"",R291&lt;&gt;"",RIGHT($N291,6)="tarief"),P291*FLOOR(R291,0.01),T291&gt;0,FLOOR(SUM(T291),0.01)),""),""),"")</f>
        <v/>
      </c>
      <c r="Y291" s="314" t="str">
        <f t="shared" ca="1" si="18"/>
        <v/>
      </c>
      <c r="Z291" s="314" t="str" cm="1">
        <f t="array" aca="1" ref="Z291" ca="1">IFERROR(_xlfn.IFS(OR(F291="",LEFT(Methode_Keuze,4)="Geen",Methode_Keuze=""),"",AND(W291&lt;&gt;"",F291&lt;&gt;"Arbeidskosten"),W291*VLOOKUP(F291,Tb_ProjectKosten[],MATCH(Tb_ProjectKosten[[#Headers],[Forfait_Percentage]],Tb_ProjectKosten[#Headers],0),0),AND(F291="Arbeidskosten",G291&lt;&gt;""),IFERROR(W291*VLOOKUP(G291,Tb_KostenTypen[],3,0)*VLOOKUP(F291,Tb_ProjectKosten[],MATCH(Tb_ProjectKosten[[#Headers],[Forfait_Percentage]],Tb_ProjectKosten[#Headers],0),0),""),W291 &lt;=0,0),"")</f>
        <v/>
      </c>
      <c r="AA291" s="314" t="str" cm="1">
        <f t="array" aca="1" ref="AA291" ca="1">IFERROR(_xlfn.IFS(OR(F291="",LEFT(Methode_Keuze,4)="Geen",Methode_Keuze=""),"",AND(X291&lt;&gt;"",F291&lt;&gt;"Arbeidskosten"),X291*VLOOKUP(F291,Tb_ProjectKosten[],MATCH(Tb_ProjectKosten[[#Headers],[Forfait_Percentage]],Tb_ProjectKosten[#Headers],0),0),AND(F291="Arbeidskosten",G291&lt;&gt;""),IFERROR(X291*VLOOKUP(G291,Tb_KostenTypen[],3,0)*VLOOKUP(F291,Tb_ProjectKosten[],MATCH(Tb_ProjectKosten[[#Headers],[Forfait_Percentage]],Tb_ProjectKosten[#Headers],0),0),""),X291 &lt;=0,0),"")</f>
        <v/>
      </c>
      <c r="AB291" s="314" t="str">
        <f t="shared" ca="1" si="19"/>
        <v/>
      </c>
      <c r="AC291" s="322"/>
      <c r="AD291" s="315"/>
      <c r="AE291" s="32" t="str" cm="1">
        <f t="array" ref="AE291">IFERROR(IF(INDEX(SubsidieTabel!$AD$1:$AG$12,MATCH($F291,SubsidieTabel!$AD$1:$AD$12,0),IFERROR(MATCH(Methode_Keuze,SubsidieTabel!$AD$1:$AG$1,0),2))&lt;&gt;1=TRUE,"ja",""),"")</f>
        <v/>
      </c>
    </row>
    <row r="292" spans="1:31" x14ac:dyDescent="0.25">
      <c r="A292" s="316"/>
      <c r="B292" s="317" t="str">
        <f>IF(A292&lt;&gt;"",_xlfn.MAXIFS($B$1:B291,$A$1:A291,A292)+1,"")</f>
        <v/>
      </c>
      <c r="C292" s="296"/>
      <c r="D292" s="296"/>
      <c r="E292" s="296"/>
      <c r="F292" s="296"/>
      <c r="G292" s="326"/>
      <c r="H292" s="324"/>
      <c r="I292" s="325"/>
      <c r="J292" s="325"/>
      <c r="K292" s="318"/>
      <c r="L292" s="318"/>
      <c r="M292" s="319" t="str">
        <f>IFERROR(VLOOKUP(H292,Lijsten!$H$1:$I$100,2,0),"")</f>
        <v/>
      </c>
      <c r="N292" s="319" t="str">
        <f ca="1">IFERROR(IF(VLOOKUP(F292,Kostentypen!$A$3:$E$21,3,0)=0,"",IF(OR(F292="Arbeidskosten",F292="Vergoeding"),VLOOKUP(G292,Tb_KostenTypen[],2,0),VLOOKUP(F292,Kostentypen!$A$3:$E$20,3,0))),"")</f>
        <v/>
      </c>
      <c r="O292" s="320" t="str" cm="1">
        <f t="array" ref="O292">_xlfn.IFNA(IF(INDEX(Tb_KostenOptiesDB[],MATCH($F292,Tb_KostenOptiesDB[KostenOptie],0),IFERROR(MATCH(Methode_Keuze,Tb_KostenOptiesDB[#Headers],0),2))=1,_xlfn.SWITCH($N292,"Uurtarief",IF(OR(AND(RIGHT($F292,3)="IKS",VLOOKUP($M292,DB_Loonkosten,2,0)="Ja"),AND(RIGHT($F292,3)&lt;&gt;"IKS",VLOOKUP($M292,DB_Loonkosten,2,0)="Nee")),IFERROR(VLOOKUP($M292,DB_Loonkosten,24,0),""),0),"Vast tarief",IF(LEFT(F292,8)="Bijdrage",VLOOKUP($F292,Tb_KostenTypen[],MATCH(Lijsten!$P$1,Tb_KostenTypen[#Headers],0),0),VLOOKUP($G292,Lijsten!L:P,MATCH(Lijsten!$P$1,Kop_Tarief_Vast,0),0))),""),"")</f>
        <v/>
      </c>
      <c r="P292" s="320" t="str" cm="1">
        <f t="array" ref="P292">_xlfn.IFNA(IF(INDEX(Tb_KostenOptiesDB[],MATCH($F292,Tb_KostenOptiesDB[KostenOptie],0),IFERROR(MATCH(Methode_Keuze,Tb_KostenOptiesDB[#Headers],0),2))=1,_xlfn.SWITCH($N292,"Uurtarief",IF(OR(AND(RIGHT($F292,3)="IKS",VLOOKUP($M292,DB_Loonkosten,2,0)="Ja"),AND(RIGHT($F292,3)&lt;&gt;"IKS",VLOOKUP($M292,DB_Loonkosten,2,0)="Nee")),IFERROR(VLOOKUP($M292,DB_Loonkosten,25,0),""),0),"Vast tarief",IF(LEFT(F292,8)="Bijdrage",VLOOKUP($F292,Tb_KostenTypen[],MATCH(Lijsten!$P$1,Tb_KostenTypen[#Headers],0),0),VLOOKUP($G292,Lijsten!L:P,MATCH(Lijsten!$P$1,Kop_Tarief_Vast,0),0))),""),"")</f>
        <v/>
      </c>
      <c r="Q292" s="359"/>
      <c r="R292" s="359"/>
      <c r="S292" s="321"/>
      <c r="T292" s="321"/>
      <c r="U292" s="373" t="str">
        <f t="shared" si="16"/>
        <v/>
      </c>
      <c r="V292" s="314" t="str">
        <f t="shared" si="17"/>
        <v/>
      </c>
      <c r="W292" s="314" t="str" cm="1">
        <f t="array" aca="1" ref="W292" ca="1">IFERROR(IF(AE292&lt;&gt;"ja",_xlfn.IFNA(_xlfn.IFS(AND(O292&lt;&gt;"",F292&lt;&gt;"",RIGHT($N292,6)="tarief",F292="Vergoeding"),SUM(O292)*FLOOR(SUM(Q292),0.0001),AND(O292&lt;&gt;"",F292&lt;&gt;"",RIGHT($N292,6)="tarief"),SUM(O292)*FLOOR(SUM(Q292),0.01),S292&gt;0,IF(F292&lt;&gt;"",FLOOR(SUM(S292),0.01),"")),""),""),"")</f>
        <v/>
      </c>
      <c r="X292" s="314" t="str" cm="1">
        <f t="array" aca="1" ref="X292" ca="1">IFERROR(IF(AE292&lt;&gt;"ja",_xlfn.IFNA(_xlfn.IFS(AND(P292&lt;&gt;"",R292&lt;&gt;"",RIGHT($N292,6)="tarief",F292="Vergoeding"),SUM(P292)*FLOOR(SUM(R292),0.0001),AND(P292&lt;&gt;"",R292&lt;&gt;"",RIGHT($N292,6)="tarief"),P292*FLOOR(R292,0.01),T292&gt;0,FLOOR(SUM(T292),0.01)),""),""),"")</f>
        <v/>
      </c>
      <c r="Y292" s="314" t="str">
        <f t="shared" ca="1" si="18"/>
        <v/>
      </c>
      <c r="Z292" s="314" t="str" cm="1">
        <f t="array" aca="1" ref="Z292" ca="1">IFERROR(_xlfn.IFS(OR(F292="",LEFT(Methode_Keuze,4)="Geen",Methode_Keuze=""),"",AND(W292&lt;&gt;"",F292&lt;&gt;"Arbeidskosten"),W292*VLOOKUP(F292,Tb_ProjectKosten[],MATCH(Tb_ProjectKosten[[#Headers],[Forfait_Percentage]],Tb_ProjectKosten[#Headers],0),0),AND(F292="Arbeidskosten",G292&lt;&gt;""),IFERROR(W292*VLOOKUP(G292,Tb_KostenTypen[],3,0)*VLOOKUP(F292,Tb_ProjectKosten[],MATCH(Tb_ProjectKosten[[#Headers],[Forfait_Percentage]],Tb_ProjectKosten[#Headers],0),0),""),W292 &lt;=0,0),"")</f>
        <v/>
      </c>
      <c r="AA292" s="314" t="str" cm="1">
        <f t="array" aca="1" ref="AA292" ca="1">IFERROR(_xlfn.IFS(OR(F292="",LEFT(Methode_Keuze,4)="Geen",Methode_Keuze=""),"",AND(X292&lt;&gt;"",F292&lt;&gt;"Arbeidskosten"),X292*VLOOKUP(F292,Tb_ProjectKosten[],MATCH(Tb_ProjectKosten[[#Headers],[Forfait_Percentage]],Tb_ProjectKosten[#Headers],0),0),AND(F292="Arbeidskosten",G292&lt;&gt;""),IFERROR(X292*VLOOKUP(G292,Tb_KostenTypen[],3,0)*VLOOKUP(F292,Tb_ProjectKosten[],MATCH(Tb_ProjectKosten[[#Headers],[Forfait_Percentage]],Tb_ProjectKosten[#Headers],0),0),""),X292 &lt;=0,0),"")</f>
        <v/>
      </c>
      <c r="AB292" s="314" t="str">
        <f t="shared" ca="1" si="19"/>
        <v/>
      </c>
      <c r="AC292" s="322"/>
      <c r="AD292" s="315"/>
      <c r="AE292" s="32" t="str" cm="1">
        <f t="array" ref="AE292">IFERROR(IF(INDEX(SubsidieTabel!$AD$1:$AG$12,MATCH($F292,SubsidieTabel!$AD$1:$AD$12,0),IFERROR(MATCH(Methode_Keuze,SubsidieTabel!$AD$1:$AG$1,0),2))&lt;&gt;1=TRUE,"ja",""),"")</f>
        <v/>
      </c>
    </row>
    <row r="293" spans="1:31" x14ac:dyDescent="0.25">
      <c r="A293" s="316"/>
      <c r="B293" s="317" t="str">
        <f>IF(A293&lt;&gt;"",_xlfn.MAXIFS($B$1:B292,$A$1:A292,A293)+1,"")</f>
        <v/>
      </c>
      <c r="C293" s="296"/>
      <c r="D293" s="296"/>
      <c r="E293" s="296"/>
      <c r="F293" s="296"/>
      <c r="G293" s="326"/>
      <c r="H293" s="324"/>
      <c r="I293" s="325"/>
      <c r="J293" s="325"/>
      <c r="K293" s="318"/>
      <c r="L293" s="318"/>
      <c r="M293" s="319" t="str">
        <f>IFERROR(VLOOKUP(H293,Lijsten!$H$1:$I$100,2,0),"")</f>
        <v/>
      </c>
      <c r="N293" s="319" t="str">
        <f ca="1">IFERROR(IF(VLOOKUP(F293,Kostentypen!$A$3:$E$21,3,0)=0,"",IF(OR(F293="Arbeidskosten",F293="Vergoeding"),VLOOKUP(G293,Tb_KostenTypen[],2,0),VLOOKUP(F293,Kostentypen!$A$3:$E$20,3,0))),"")</f>
        <v/>
      </c>
      <c r="O293" s="320" t="str" cm="1">
        <f t="array" ref="O293">_xlfn.IFNA(IF(INDEX(Tb_KostenOptiesDB[],MATCH($F293,Tb_KostenOptiesDB[KostenOptie],0),IFERROR(MATCH(Methode_Keuze,Tb_KostenOptiesDB[#Headers],0),2))=1,_xlfn.SWITCH($N293,"Uurtarief",IF(OR(AND(RIGHT($F293,3)="IKS",VLOOKUP($M293,DB_Loonkosten,2,0)="Ja"),AND(RIGHT($F293,3)&lt;&gt;"IKS",VLOOKUP($M293,DB_Loonkosten,2,0)="Nee")),IFERROR(VLOOKUP($M293,DB_Loonkosten,24,0),""),0),"Vast tarief",IF(LEFT(F293,8)="Bijdrage",VLOOKUP($F293,Tb_KostenTypen[],MATCH(Lijsten!$P$1,Tb_KostenTypen[#Headers],0),0),VLOOKUP($G293,Lijsten!L:P,MATCH(Lijsten!$P$1,Kop_Tarief_Vast,0),0))),""),"")</f>
        <v/>
      </c>
      <c r="P293" s="320" t="str" cm="1">
        <f t="array" ref="P293">_xlfn.IFNA(IF(INDEX(Tb_KostenOptiesDB[],MATCH($F293,Tb_KostenOptiesDB[KostenOptie],0),IFERROR(MATCH(Methode_Keuze,Tb_KostenOptiesDB[#Headers],0),2))=1,_xlfn.SWITCH($N293,"Uurtarief",IF(OR(AND(RIGHT($F293,3)="IKS",VLOOKUP($M293,DB_Loonkosten,2,0)="Ja"),AND(RIGHT($F293,3)&lt;&gt;"IKS",VLOOKUP($M293,DB_Loonkosten,2,0)="Nee")),IFERROR(VLOOKUP($M293,DB_Loonkosten,25,0),""),0),"Vast tarief",IF(LEFT(F293,8)="Bijdrage",VLOOKUP($F293,Tb_KostenTypen[],MATCH(Lijsten!$P$1,Tb_KostenTypen[#Headers],0),0),VLOOKUP($G293,Lijsten!L:P,MATCH(Lijsten!$P$1,Kop_Tarief_Vast,0),0))),""),"")</f>
        <v/>
      </c>
      <c r="Q293" s="359"/>
      <c r="R293" s="359"/>
      <c r="S293" s="321"/>
      <c r="T293" s="321"/>
      <c r="U293" s="373" t="str">
        <f t="shared" si="16"/>
        <v/>
      </c>
      <c r="V293" s="314" t="str">
        <f t="shared" si="17"/>
        <v/>
      </c>
      <c r="W293" s="314" t="str" cm="1">
        <f t="array" aca="1" ref="W293" ca="1">IFERROR(IF(AE293&lt;&gt;"ja",_xlfn.IFNA(_xlfn.IFS(AND(O293&lt;&gt;"",F293&lt;&gt;"",RIGHT($N293,6)="tarief",F293="Vergoeding"),SUM(O293)*FLOOR(SUM(Q293),0.0001),AND(O293&lt;&gt;"",F293&lt;&gt;"",RIGHT($N293,6)="tarief"),SUM(O293)*FLOOR(SUM(Q293),0.01),S293&gt;0,IF(F293&lt;&gt;"",FLOOR(SUM(S293),0.01),"")),""),""),"")</f>
        <v/>
      </c>
      <c r="X293" s="314" t="str" cm="1">
        <f t="array" aca="1" ref="X293" ca="1">IFERROR(IF(AE293&lt;&gt;"ja",_xlfn.IFNA(_xlfn.IFS(AND(P293&lt;&gt;"",R293&lt;&gt;"",RIGHT($N293,6)="tarief",F293="Vergoeding"),SUM(P293)*FLOOR(SUM(R293),0.0001),AND(P293&lt;&gt;"",R293&lt;&gt;"",RIGHT($N293,6)="tarief"),P293*FLOOR(R293,0.01),T293&gt;0,FLOOR(SUM(T293),0.01)),""),""),"")</f>
        <v/>
      </c>
      <c r="Y293" s="314" t="str">
        <f t="shared" ca="1" si="18"/>
        <v/>
      </c>
      <c r="Z293" s="314" t="str" cm="1">
        <f t="array" aca="1" ref="Z293" ca="1">IFERROR(_xlfn.IFS(OR(F293="",LEFT(Methode_Keuze,4)="Geen",Methode_Keuze=""),"",AND(W293&lt;&gt;"",F293&lt;&gt;"Arbeidskosten"),W293*VLOOKUP(F293,Tb_ProjectKosten[],MATCH(Tb_ProjectKosten[[#Headers],[Forfait_Percentage]],Tb_ProjectKosten[#Headers],0),0),AND(F293="Arbeidskosten",G293&lt;&gt;""),IFERROR(W293*VLOOKUP(G293,Tb_KostenTypen[],3,0)*VLOOKUP(F293,Tb_ProjectKosten[],MATCH(Tb_ProjectKosten[[#Headers],[Forfait_Percentage]],Tb_ProjectKosten[#Headers],0),0),""),W293 &lt;=0,0),"")</f>
        <v/>
      </c>
      <c r="AA293" s="314" t="str" cm="1">
        <f t="array" aca="1" ref="AA293" ca="1">IFERROR(_xlfn.IFS(OR(F293="",LEFT(Methode_Keuze,4)="Geen",Methode_Keuze=""),"",AND(X293&lt;&gt;"",F293&lt;&gt;"Arbeidskosten"),X293*VLOOKUP(F293,Tb_ProjectKosten[],MATCH(Tb_ProjectKosten[[#Headers],[Forfait_Percentage]],Tb_ProjectKosten[#Headers],0),0),AND(F293="Arbeidskosten",G293&lt;&gt;""),IFERROR(X293*VLOOKUP(G293,Tb_KostenTypen[],3,0)*VLOOKUP(F293,Tb_ProjectKosten[],MATCH(Tb_ProjectKosten[[#Headers],[Forfait_Percentage]],Tb_ProjectKosten[#Headers],0),0),""),X293 &lt;=0,0),"")</f>
        <v/>
      </c>
      <c r="AB293" s="314" t="str">
        <f t="shared" ca="1" si="19"/>
        <v/>
      </c>
      <c r="AC293" s="322"/>
      <c r="AD293" s="315"/>
      <c r="AE293" s="32" t="str" cm="1">
        <f t="array" ref="AE293">IFERROR(IF(INDEX(SubsidieTabel!$AD$1:$AG$12,MATCH($F293,SubsidieTabel!$AD$1:$AD$12,0),IFERROR(MATCH(Methode_Keuze,SubsidieTabel!$AD$1:$AG$1,0),2))&lt;&gt;1=TRUE,"ja",""),"")</f>
        <v/>
      </c>
    </row>
    <row r="294" spans="1:31" x14ac:dyDescent="0.25">
      <c r="A294" s="316"/>
      <c r="B294" s="317" t="str">
        <f>IF(A294&lt;&gt;"",_xlfn.MAXIFS($B$1:B293,$A$1:A293,A294)+1,"")</f>
        <v/>
      </c>
      <c r="C294" s="296"/>
      <c r="D294" s="296"/>
      <c r="E294" s="296"/>
      <c r="F294" s="296"/>
      <c r="G294" s="326"/>
      <c r="H294" s="324"/>
      <c r="I294" s="325"/>
      <c r="J294" s="325"/>
      <c r="K294" s="318"/>
      <c r="L294" s="318"/>
      <c r="M294" s="319" t="str">
        <f>IFERROR(VLOOKUP(H294,Lijsten!$H$1:$I$100,2,0),"")</f>
        <v/>
      </c>
      <c r="N294" s="319" t="str">
        <f ca="1">IFERROR(IF(VLOOKUP(F294,Kostentypen!$A$3:$E$21,3,0)=0,"",IF(OR(F294="Arbeidskosten",F294="Vergoeding"),VLOOKUP(G294,Tb_KostenTypen[],2,0),VLOOKUP(F294,Kostentypen!$A$3:$E$20,3,0))),"")</f>
        <v/>
      </c>
      <c r="O294" s="320" t="str" cm="1">
        <f t="array" ref="O294">_xlfn.IFNA(IF(INDEX(Tb_KostenOptiesDB[],MATCH($F294,Tb_KostenOptiesDB[KostenOptie],0),IFERROR(MATCH(Methode_Keuze,Tb_KostenOptiesDB[#Headers],0),2))=1,_xlfn.SWITCH($N294,"Uurtarief",IF(OR(AND(RIGHT($F294,3)="IKS",VLOOKUP($M294,DB_Loonkosten,2,0)="Ja"),AND(RIGHT($F294,3)&lt;&gt;"IKS",VLOOKUP($M294,DB_Loonkosten,2,0)="Nee")),IFERROR(VLOOKUP($M294,DB_Loonkosten,24,0),""),0),"Vast tarief",IF(LEFT(F294,8)="Bijdrage",VLOOKUP($F294,Tb_KostenTypen[],MATCH(Lijsten!$P$1,Tb_KostenTypen[#Headers],0),0),VLOOKUP($G294,Lijsten!L:P,MATCH(Lijsten!$P$1,Kop_Tarief_Vast,0),0))),""),"")</f>
        <v/>
      </c>
      <c r="P294" s="320" t="str" cm="1">
        <f t="array" ref="P294">_xlfn.IFNA(IF(INDEX(Tb_KostenOptiesDB[],MATCH($F294,Tb_KostenOptiesDB[KostenOptie],0),IFERROR(MATCH(Methode_Keuze,Tb_KostenOptiesDB[#Headers],0),2))=1,_xlfn.SWITCH($N294,"Uurtarief",IF(OR(AND(RIGHT($F294,3)="IKS",VLOOKUP($M294,DB_Loonkosten,2,0)="Ja"),AND(RIGHT($F294,3)&lt;&gt;"IKS",VLOOKUP($M294,DB_Loonkosten,2,0)="Nee")),IFERROR(VLOOKUP($M294,DB_Loonkosten,25,0),""),0),"Vast tarief",IF(LEFT(F294,8)="Bijdrage",VLOOKUP($F294,Tb_KostenTypen[],MATCH(Lijsten!$P$1,Tb_KostenTypen[#Headers],0),0),VLOOKUP($G294,Lijsten!L:P,MATCH(Lijsten!$P$1,Kop_Tarief_Vast,0),0))),""),"")</f>
        <v/>
      </c>
      <c r="Q294" s="359"/>
      <c r="R294" s="359"/>
      <c r="S294" s="321"/>
      <c r="T294" s="321"/>
      <c r="U294" s="373" t="str">
        <f t="shared" si="16"/>
        <v/>
      </c>
      <c r="V294" s="314" t="str">
        <f t="shared" si="17"/>
        <v/>
      </c>
      <c r="W294" s="314" t="str" cm="1">
        <f t="array" aca="1" ref="W294" ca="1">IFERROR(IF(AE294&lt;&gt;"ja",_xlfn.IFNA(_xlfn.IFS(AND(O294&lt;&gt;"",F294&lt;&gt;"",RIGHT($N294,6)="tarief",F294="Vergoeding"),SUM(O294)*FLOOR(SUM(Q294),0.0001),AND(O294&lt;&gt;"",F294&lt;&gt;"",RIGHT($N294,6)="tarief"),SUM(O294)*FLOOR(SUM(Q294),0.01),S294&gt;0,IF(F294&lt;&gt;"",FLOOR(SUM(S294),0.01),"")),""),""),"")</f>
        <v/>
      </c>
      <c r="X294" s="314" t="str" cm="1">
        <f t="array" aca="1" ref="X294" ca="1">IFERROR(IF(AE294&lt;&gt;"ja",_xlfn.IFNA(_xlfn.IFS(AND(P294&lt;&gt;"",R294&lt;&gt;"",RIGHT($N294,6)="tarief",F294="Vergoeding"),SUM(P294)*FLOOR(SUM(R294),0.0001),AND(P294&lt;&gt;"",R294&lt;&gt;"",RIGHT($N294,6)="tarief"),P294*FLOOR(R294,0.01),T294&gt;0,FLOOR(SUM(T294),0.01)),""),""),"")</f>
        <v/>
      </c>
      <c r="Y294" s="314" t="str">
        <f t="shared" ca="1" si="18"/>
        <v/>
      </c>
      <c r="Z294" s="314" t="str" cm="1">
        <f t="array" aca="1" ref="Z294" ca="1">IFERROR(_xlfn.IFS(OR(F294="",LEFT(Methode_Keuze,4)="Geen",Methode_Keuze=""),"",AND(W294&lt;&gt;"",F294&lt;&gt;"Arbeidskosten"),W294*VLOOKUP(F294,Tb_ProjectKosten[],MATCH(Tb_ProjectKosten[[#Headers],[Forfait_Percentage]],Tb_ProjectKosten[#Headers],0),0),AND(F294="Arbeidskosten",G294&lt;&gt;""),IFERROR(W294*VLOOKUP(G294,Tb_KostenTypen[],3,0)*VLOOKUP(F294,Tb_ProjectKosten[],MATCH(Tb_ProjectKosten[[#Headers],[Forfait_Percentage]],Tb_ProjectKosten[#Headers],0),0),""),W294 &lt;=0,0),"")</f>
        <v/>
      </c>
      <c r="AA294" s="314" t="str" cm="1">
        <f t="array" aca="1" ref="AA294" ca="1">IFERROR(_xlfn.IFS(OR(F294="",LEFT(Methode_Keuze,4)="Geen",Methode_Keuze=""),"",AND(X294&lt;&gt;"",F294&lt;&gt;"Arbeidskosten"),X294*VLOOKUP(F294,Tb_ProjectKosten[],MATCH(Tb_ProjectKosten[[#Headers],[Forfait_Percentage]],Tb_ProjectKosten[#Headers],0),0),AND(F294="Arbeidskosten",G294&lt;&gt;""),IFERROR(X294*VLOOKUP(G294,Tb_KostenTypen[],3,0)*VLOOKUP(F294,Tb_ProjectKosten[],MATCH(Tb_ProjectKosten[[#Headers],[Forfait_Percentage]],Tb_ProjectKosten[#Headers],0),0),""),X294 &lt;=0,0),"")</f>
        <v/>
      </c>
      <c r="AB294" s="314" t="str">
        <f t="shared" ca="1" si="19"/>
        <v/>
      </c>
      <c r="AC294" s="322"/>
      <c r="AD294" s="315"/>
      <c r="AE294" s="32" t="str" cm="1">
        <f t="array" ref="AE294">IFERROR(IF(INDEX(SubsidieTabel!$AD$1:$AG$12,MATCH($F294,SubsidieTabel!$AD$1:$AD$12,0),IFERROR(MATCH(Methode_Keuze,SubsidieTabel!$AD$1:$AG$1,0),2))&lt;&gt;1=TRUE,"ja",""),"")</f>
        <v/>
      </c>
    </row>
    <row r="295" spans="1:31" x14ac:dyDescent="0.25">
      <c r="A295" s="316"/>
      <c r="B295" s="317" t="str">
        <f>IF(A295&lt;&gt;"",_xlfn.MAXIFS($B$1:B294,$A$1:A294,A295)+1,"")</f>
        <v/>
      </c>
      <c r="C295" s="296"/>
      <c r="D295" s="296"/>
      <c r="E295" s="296"/>
      <c r="F295" s="296"/>
      <c r="G295" s="326"/>
      <c r="H295" s="324"/>
      <c r="I295" s="325"/>
      <c r="J295" s="325"/>
      <c r="K295" s="318"/>
      <c r="L295" s="318"/>
      <c r="M295" s="319" t="str">
        <f>IFERROR(VLOOKUP(H295,Lijsten!$H$1:$I$100,2,0),"")</f>
        <v/>
      </c>
      <c r="N295" s="319" t="str">
        <f ca="1">IFERROR(IF(VLOOKUP(F295,Kostentypen!$A$3:$E$21,3,0)=0,"",IF(OR(F295="Arbeidskosten",F295="Vergoeding"),VLOOKUP(G295,Tb_KostenTypen[],2,0),VLOOKUP(F295,Kostentypen!$A$3:$E$20,3,0))),"")</f>
        <v/>
      </c>
      <c r="O295" s="320" t="str" cm="1">
        <f t="array" ref="O295">_xlfn.IFNA(IF(INDEX(Tb_KostenOptiesDB[],MATCH($F295,Tb_KostenOptiesDB[KostenOptie],0),IFERROR(MATCH(Methode_Keuze,Tb_KostenOptiesDB[#Headers],0),2))=1,_xlfn.SWITCH($N295,"Uurtarief",IF(OR(AND(RIGHT($F295,3)="IKS",VLOOKUP($M295,DB_Loonkosten,2,0)="Ja"),AND(RIGHT($F295,3)&lt;&gt;"IKS",VLOOKUP($M295,DB_Loonkosten,2,0)="Nee")),IFERROR(VLOOKUP($M295,DB_Loonkosten,24,0),""),0),"Vast tarief",IF(LEFT(F295,8)="Bijdrage",VLOOKUP($F295,Tb_KostenTypen[],MATCH(Lijsten!$P$1,Tb_KostenTypen[#Headers],0),0),VLOOKUP($G295,Lijsten!L:P,MATCH(Lijsten!$P$1,Kop_Tarief_Vast,0),0))),""),"")</f>
        <v/>
      </c>
      <c r="P295" s="320" t="str" cm="1">
        <f t="array" ref="P295">_xlfn.IFNA(IF(INDEX(Tb_KostenOptiesDB[],MATCH($F295,Tb_KostenOptiesDB[KostenOptie],0),IFERROR(MATCH(Methode_Keuze,Tb_KostenOptiesDB[#Headers],0),2))=1,_xlfn.SWITCH($N295,"Uurtarief",IF(OR(AND(RIGHT($F295,3)="IKS",VLOOKUP($M295,DB_Loonkosten,2,0)="Ja"),AND(RIGHT($F295,3)&lt;&gt;"IKS",VLOOKUP($M295,DB_Loonkosten,2,0)="Nee")),IFERROR(VLOOKUP($M295,DB_Loonkosten,25,0),""),0),"Vast tarief",IF(LEFT(F295,8)="Bijdrage",VLOOKUP($F295,Tb_KostenTypen[],MATCH(Lijsten!$P$1,Tb_KostenTypen[#Headers],0),0),VLOOKUP($G295,Lijsten!L:P,MATCH(Lijsten!$P$1,Kop_Tarief_Vast,0),0))),""),"")</f>
        <v/>
      </c>
      <c r="Q295" s="359"/>
      <c r="R295" s="359"/>
      <c r="S295" s="321"/>
      <c r="T295" s="321"/>
      <c r="U295" s="373" t="str">
        <f t="shared" si="16"/>
        <v/>
      </c>
      <c r="V295" s="314" t="str">
        <f t="shared" si="17"/>
        <v/>
      </c>
      <c r="W295" s="314" t="str" cm="1">
        <f t="array" aca="1" ref="W295" ca="1">IFERROR(IF(AE295&lt;&gt;"ja",_xlfn.IFNA(_xlfn.IFS(AND(O295&lt;&gt;"",F295&lt;&gt;"",RIGHT($N295,6)="tarief",F295="Vergoeding"),SUM(O295)*FLOOR(SUM(Q295),0.0001),AND(O295&lt;&gt;"",F295&lt;&gt;"",RIGHT($N295,6)="tarief"),SUM(O295)*FLOOR(SUM(Q295),0.01),S295&gt;0,IF(F295&lt;&gt;"",FLOOR(SUM(S295),0.01),"")),""),""),"")</f>
        <v/>
      </c>
      <c r="X295" s="314" t="str" cm="1">
        <f t="array" aca="1" ref="X295" ca="1">IFERROR(IF(AE295&lt;&gt;"ja",_xlfn.IFNA(_xlfn.IFS(AND(P295&lt;&gt;"",R295&lt;&gt;"",RIGHT($N295,6)="tarief",F295="Vergoeding"),SUM(P295)*FLOOR(SUM(R295),0.0001),AND(P295&lt;&gt;"",R295&lt;&gt;"",RIGHT($N295,6)="tarief"),P295*FLOOR(R295,0.01),T295&gt;0,FLOOR(SUM(T295),0.01)),""),""),"")</f>
        <v/>
      </c>
      <c r="Y295" s="314" t="str">
        <f t="shared" ca="1" si="18"/>
        <v/>
      </c>
      <c r="Z295" s="314" t="str" cm="1">
        <f t="array" aca="1" ref="Z295" ca="1">IFERROR(_xlfn.IFS(OR(F295="",LEFT(Methode_Keuze,4)="Geen",Methode_Keuze=""),"",AND(W295&lt;&gt;"",F295&lt;&gt;"Arbeidskosten"),W295*VLOOKUP(F295,Tb_ProjectKosten[],MATCH(Tb_ProjectKosten[[#Headers],[Forfait_Percentage]],Tb_ProjectKosten[#Headers],0),0),AND(F295="Arbeidskosten",G295&lt;&gt;""),IFERROR(W295*VLOOKUP(G295,Tb_KostenTypen[],3,0)*VLOOKUP(F295,Tb_ProjectKosten[],MATCH(Tb_ProjectKosten[[#Headers],[Forfait_Percentage]],Tb_ProjectKosten[#Headers],0),0),""),W295 &lt;=0,0),"")</f>
        <v/>
      </c>
      <c r="AA295" s="314" t="str" cm="1">
        <f t="array" aca="1" ref="AA295" ca="1">IFERROR(_xlfn.IFS(OR(F295="",LEFT(Methode_Keuze,4)="Geen",Methode_Keuze=""),"",AND(X295&lt;&gt;"",F295&lt;&gt;"Arbeidskosten"),X295*VLOOKUP(F295,Tb_ProjectKosten[],MATCH(Tb_ProjectKosten[[#Headers],[Forfait_Percentage]],Tb_ProjectKosten[#Headers],0),0),AND(F295="Arbeidskosten",G295&lt;&gt;""),IFERROR(X295*VLOOKUP(G295,Tb_KostenTypen[],3,0)*VLOOKUP(F295,Tb_ProjectKosten[],MATCH(Tb_ProjectKosten[[#Headers],[Forfait_Percentage]],Tb_ProjectKosten[#Headers],0),0),""),X295 &lt;=0,0),"")</f>
        <v/>
      </c>
      <c r="AB295" s="314" t="str">
        <f t="shared" ca="1" si="19"/>
        <v/>
      </c>
      <c r="AC295" s="322"/>
      <c r="AD295" s="315"/>
      <c r="AE295" s="32" t="str" cm="1">
        <f t="array" ref="AE295">IFERROR(IF(INDEX(SubsidieTabel!$AD$1:$AG$12,MATCH($F295,SubsidieTabel!$AD$1:$AD$12,0),IFERROR(MATCH(Methode_Keuze,SubsidieTabel!$AD$1:$AG$1,0),2))&lt;&gt;1=TRUE,"ja",""),"")</f>
        <v/>
      </c>
    </row>
    <row r="296" spans="1:31" x14ac:dyDescent="0.25">
      <c r="A296" s="316"/>
      <c r="B296" s="317" t="str">
        <f>IF(A296&lt;&gt;"",_xlfn.MAXIFS($B$1:B295,$A$1:A295,A296)+1,"")</f>
        <v/>
      </c>
      <c r="C296" s="296"/>
      <c r="D296" s="296"/>
      <c r="E296" s="296"/>
      <c r="F296" s="296"/>
      <c r="G296" s="326"/>
      <c r="H296" s="324"/>
      <c r="I296" s="325"/>
      <c r="J296" s="325"/>
      <c r="K296" s="318"/>
      <c r="L296" s="318"/>
      <c r="M296" s="319" t="str">
        <f>IFERROR(VLOOKUP(H296,Lijsten!$H$1:$I$100,2,0),"")</f>
        <v/>
      </c>
      <c r="N296" s="319" t="str">
        <f ca="1">IFERROR(IF(VLOOKUP(F296,Kostentypen!$A$3:$E$21,3,0)=0,"",IF(OR(F296="Arbeidskosten",F296="Vergoeding"),VLOOKUP(G296,Tb_KostenTypen[],2,0),VLOOKUP(F296,Kostentypen!$A$3:$E$20,3,0))),"")</f>
        <v/>
      </c>
      <c r="O296" s="320" t="str" cm="1">
        <f t="array" ref="O296">_xlfn.IFNA(IF(INDEX(Tb_KostenOptiesDB[],MATCH($F296,Tb_KostenOptiesDB[KostenOptie],0),IFERROR(MATCH(Methode_Keuze,Tb_KostenOptiesDB[#Headers],0),2))=1,_xlfn.SWITCH($N296,"Uurtarief",IF(OR(AND(RIGHT($F296,3)="IKS",VLOOKUP($M296,DB_Loonkosten,2,0)="Ja"),AND(RIGHT($F296,3)&lt;&gt;"IKS",VLOOKUP($M296,DB_Loonkosten,2,0)="Nee")),IFERROR(VLOOKUP($M296,DB_Loonkosten,24,0),""),0),"Vast tarief",IF(LEFT(F296,8)="Bijdrage",VLOOKUP($F296,Tb_KostenTypen[],MATCH(Lijsten!$P$1,Tb_KostenTypen[#Headers],0),0),VLOOKUP($G296,Lijsten!L:P,MATCH(Lijsten!$P$1,Kop_Tarief_Vast,0),0))),""),"")</f>
        <v/>
      </c>
      <c r="P296" s="320" t="str" cm="1">
        <f t="array" ref="P296">_xlfn.IFNA(IF(INDEX(Tb_KostenOptiesDB[],MATCH($F296,Tb_KostenOptiesDB[KostenOptie],0),IFERROR(MATCH(Methode_Keuze,Tb_KostenOptiesDB[#Headers],0),2))=1,_xlfn.SWITCH($N296,"Uurtarief",IF(OR(AND(RIGHT($F296,3)="IKS",VLOOKUP($M296,DB_Loonkosten,2,0)="Ja"),AND(RIGHT($F296,3)&lt;&gt;"IKS",VLOOKUP($M296,DB_Loonkosten,2,0)="Nee")),IFERROR(VLOOKUP($M296,DB_Loonkosten,25,0),""),0),"Vast tarief",IF(LEFT(F296,8)="Bijdrage",VLOOKUP($F296,Tb_KostenTypen[],MATCH(Lijsten!$P$1,Tb_KostenTypen[#Headers],0),0),VLOOKUP($G296,Lijsten!L:P,MATCH(Lijsten!$P$1,Kop_Tarief_Vast,0),0))),""),"")</f>
        <v/>
      </c>
      <c r="Q296" s="359"/>
      <c r="R296" s="359"/>
      <c r="S296" s="321"/>
      <c r="T296" s="321"/>
      <c r="U296" s="373" t="str">
        <f t="shared" si="16"/>
        <v/>
      </c>
      <c r="V296" s="314" t="str">
        <f t="shared" si="17"/>
        <v/>
      </c>
      <c r="W296" s="314" t="str" cm="1">
        <f t="array" aca="1" ref="W296" ca="1">IFERROR(IF(AE296&lt;&gt;"ja",_xlfn.IFNA(_xlfn.IFS(AND(O296&lt;&gt;"",F296&lt;&gt;"",RIGHT($N296,6)="tarief",F296="Vergoeding"),SUM(O296)*FLOOR(SUM(Q296),0.0001),AND(O296&lt;&gt;"",F296&lt;&gt;"",RIGHT($N296,6)="tarief"),SUM(O296)*FLOOR(SUM(Q296),0.01),S296&gt;0,IF(F296&lt;&gt;"",FLOOR(SUM(S296),0.01),"")),""),""),"")</f>
        <v/>
      </c>
      <c r="X296" s="314" t="str" cm="1">
        <f t="array" aca="1" ref="X296" ca="1">IFERROR(IF(AE296&lt;&gt;"ja",_xlfn.IFNA(_xlfn.IFS(AND(P296&lt;&gt;"",R296&lt;&gt;"",RIGHT($N296,6)="tarief",F296="Vergoeding"),SUM(P296)*FLOOR(SUM(R296),0.0001),AND(P296&lt;&gt;"",R296&lt;&gt;"",RIGHT($N296,6)="tarief"),P296*FLOOR(R296,0.01),T296&gt;0,FLOOR(SUM(T296),0.01)),""),""),"")</f>
        <v/>
      </c>
      <c r="Y296" s="314" t="str">
        <f t="shared" ca="1" si="18"/>
        <v/>
      </c>
      <c r="Z296" s="314" t="str" cm="1">
        <f t="array" aca="1" ref="Z296" ca="1">IFERROR(_xlfn.IFS(OR(F296="",LEFT(Methode_Keuze,4)="Geen",Methode_Keuze=""),"",AND(W296&lt;&gt;"",F296&lt;&gt;"Arbeidskosten"),W296*VLOOKUP(F296,Tb_ProjectKosten[],MATCH(Tb_ProjectKosten[[#Headers],[Forfait_Percentage]],Tb_ProjectKosten[#Headers],0),0),AND(F296="Arbeidskosten",G296&lt;&gt;""),IFERROR(W296*VLOOKUP(G296,Tb_KostenTypen[],3,0)*VLOOKUP(F296,Tb_ProjectKosten[],MATCH(Tb_ProjectKosten[[#Headers],[Forfait_Percentage]],Tb_ProjectKosten[#Headers],0),0),""),W296 &lt;=0,0),"")</f>
        <v/>
      </c>
      <c r="AA296" s="314" t="str" cm="1">
        <f t="array" aca="1" ref="AA296" ca="1">IFERROR(_xlfn.IFS(OR(F296="",LEFT(Methode_Keuze,4)="Geen",Methode_Keuze=""),"",AND(X296&lt;&gt;"",F296&lt;&gt;"Arbeidskosten"),X296*VLOOKUP(F296,Tb_ProjectKosten[],MATCH(Tb_ProjectKosten[[#Headers],[Forfait_Percentage]],Tb_ProjectKosten[#Headers],0),0),AND(F296="Arbeidskosten",G296&lt;&gt;""),IFERROR(X296*VLOOKUP(G296,Tb_KostenTypen[],3,0)*VLOOKUP(F296,Tb_ProjectKosten[],MATCH(Tb_ProjectKosten[[#Headers],[Forfait_Percentage]],Tb_ProjectKosten[#Headers],0),0),""),X296 &lt;=0,0),"")</f>
        <v/>
      </c>
      <c r="AB296" s="314" t="str">
        <f t="shared" ca="1" si="19"/>
        <v/>
      </c>
      <c r="AC296" s="322"/>
      <c r="AD296" s="315"/>
      <c r="AE296" s="32" t="str" cm="1">
        <f t="array" ref="AE296">IFERROR(IF(INDEX(SubsidieTabel!$AD$1:$AG$12,MATCH($F296,SubsidieTabel!$AD$1:$AD$12,0),IFERROR(MATCH(Methode_Keuze,SubsidieTabel!$AD$1:$AG$1,0),2))&lt;&gt;1=TRUE,"ja",""),"")</f>
        <v/>
      </c>
    </row>
    <row r="297" spans="1:31" x14ac:dyDescent="0.25">
      <c r="A297" s="316"/>
      <c r="B297" s="317" t="str">
        <f>IF(A297&lt;&gt;"",_xlfn.MAXIFS($B$1:B296,$A$1:A296,A297)+1,"")</f>
        <v/>
      </c>
      <c r="C297" s="296"/>
      <c r="D297" s="296"/>
      <c r="E297" s="296"/>
      <c r="F297" s="296"/>
      <c r="G297" s="326"/>
      <c r="H297" s="324"/>
      <c r="I297" s="325"/>
      <c r="J297" s="325"/>
      <c r="K297" s="318"/>
      <c r="L297" s="318"/>
      <c r="M297" s="319" t="str">
        <f>IFERROR(VLOOKUP(H297,Lijsten!$H$1:$I$100,2,0),"")</f>
        <v/>
      </c>
      <c r="N297" s="319" t="str">
        <f ca="1">IFERROR(IF(VLOOKUP(F297,Kostentypen!$A$3:$E$21,3,0)=0,"",IF(OR(F297="Arbeidskosten",F297="Vergoeding"),VLOOKUP(G297,Tb_KostenTypen[],2,0),VLOOKUP(F297,Kostentypen!$A$3:$E$20,3,0))),"")</f>
        <v/>
      </c>
      <c r="O297" s="320" t="str" cm="1">
        <f t="array" ref="O297">_xlfn.IFNA(IF(INDEX(Tb_KostenOptiesDB[],MATCH($F297,Tb_KostenOptiesDB[KostenOptie],0),IFERROR(MATCH(Methode_Keuze,Tb_KostenOptiesDB[#Headers],0),2))=1,_xlfn.SWITCH($N297,"Uurtarief",IF(OR(AND(RIGHT($F297,3)="IKS",VLOOKUP($M297,DB_Loonkosten,2,0)="Ja"),AND(RIGHT($F297,3)&lt;&gt;"IKS",VLOOKUP($M297,DB_Loonkosten,2,0)="Nee")),IFERROR(VLOOKUP($M297,DB_Loonkosten,24,0),""),0),"Vast tarief",IF(LEFT(F297,8)="Bijdrage",VLOOKUP($F297,Tb_KostenTypen[],MATCH(Lijsten!$P$1,Tb_KostenTypen[#Headers],0),0),VLOOKUP($G297,Lijsten!L:P,MATCH(Lijsten!$P$1,Kop_Tarief_Vast,0),0))),""),"")</f>
        <v/>
      </c>
      <c r="P297" s="320" t="str" cm="1">
        <f t="array" ref="P297">_xlfn.IFNA(IF(INDEX(Tb_KostenOptiesDB[],MATCH($F297,Tb_KostenOptiesDB[KostenOptie],0),IFERROR(MATCH(Methode_Keuze,Tb_KostenOptiesDB[#Headers],0),2))=1,_xlfn.SWITCH($N297,"Uurtarief",IF(OR(AND(RIGHT($F297,3)="IKS",VLOOKUP($M297,DB_Loonkosten,2,0)="Ja"),AND(RIGHT($F297,3)&lt;&gt;"IKS",VLOOKUP($M297,DB_Loonkosten,2,0)="Nee")),IFERROR(VLOOKUP($M297,DB_Loonkosten,25,0),""),0),"Vast tarief",IF(LEFT(F297,8)="Bijdrage",VLOOKUP($F297,Tb_KostenTypen[],MATCH(Lijsten!$P$1,Tb_KostenTypen[#Headers],0),0),VLOOKUP($G297,Lijsten!L:P,MATCH(Lijsten!$P$1,Kop_Tarief_Vast,0),0))),""),"")</f>
        <v/>
      </c>
      <c r="Q297" s="359"/>
      <c r="R297" s="359"/>
      <c r="S297" s="321"/>
      <c r="T297" s="321"/>
      <c r="U297" s="373" t="str">
        <f t="shared" si="16"/>
        <v/>
      </c>
      <c r="V297" s="314" t="str">
        <f t="shared" si="17"/>
        <v/>
      </c>
      <c r="W297" s="314" t="str" cm="1">
        <f t="array" aca="1" ref="W297" ca="1">IFERROR(IF(AE297&lt;&gt;"ja",_xlfn.IFNA(_xlfn.IFS(AND(O297&lt;&gt;"",F297&lt;&gt;"",RIGHT($N297,6)="tarief",F297="Vergoeding"),SUM(O297)*FLOOR(SUM(Q297),0.0001),AND(O297&lt;&gt;"",F297&lt;&gt;"",RIGHT($N297,6)="tarief"),SUM(O297)*FLOOR(SUM(Q297),0.01),S297&gt;0,IF(F297&lt;&gt;"",FLOOR(SUM(S297),0.01),"")),""),""),"")</f>
        <v/>
      </c>
      <c r="X297" s="314" t="str" cm="1">
        <f t="array" aca="1" ref="X297" ca="1">IFERROR(IF(AE297&lt;&gt;"ja",_xlfn.IFNA(_xlfn.IFS(AND(P297&lt;&gt;"",R297&lt;&gt;"",RIGHT($N297,6)="tarief",F297="Vergoeding"),SUM(P297)*FLOOR(SUM(R297),0.0001),AND(P297&lt;&gt;"",R297&lt;&gt;"",RIGHT($N297,6)="tarief"),P297*FLOOR(R297,0.01),T297&gt;0,FLOOR(SUM(T297),0.01)),""),""),"")</f>
        <v/>
      </c>
      <c r="Y297" s="314" t="str">
        <f t="shared" ca="1" si="18"/>
        <v/>
      </c>
      <c r="Z297" s="314" t="str" cm="1">
        <f t="array" aca="1" ref="Z297" ca="1">IFERROR(_xlfn.IFS(OR(F297="",LEFT(Methode_Keuze,4)="Geen",Methode_Keuze=""),"",AND(W297&lt;&gt;"",F297&lt;&gt;"Arbeidskosten"),W297*VLOOKUP(F297,Tb_ProjectKosten[],MATCH(Tb_ProjectKosten[[#Headers],[Forfait_Percentage]],Tb_ProjectKosten[#Headers],0),0),AND(F297="Arbeidskosten",G297&lt;&gt;""),IFERROR(W297*VLOOKUP(G297,Tb_KostenTypen[],3,0)*VLOOKUP(F297,Tb_ProjectKosten[],MATCH(Tb_ProjectKosten[[#Headers],[Forfait_Percentage]],Tb_ProjectKosten[#Headers],0),0),""),W297 &lt;=0,0),"")</f>
        <v/>
      </c>
      <c r="AA297" s="314" t="str" cm="1">
        <f t="array" aca="1" ref="AA297" ca="1">IFERROR(_xlfn.IFS(OR(F297="",LEFT(Methode_Keuze,4)="Geen",Methode_Keuze=""),"",AND(X297&lt;&gt;"",F297&lt;&gt;"Arbeidskosten"),X297*VLOOKUP(F297,Tb_ProjectKosten[],MATCH(Tb_ProjectKosten[[#Headers],[Forfait_Percentage]],Tb_ProjectKosten[#Headers],0),0),AND(F297="Arbeidskosten",G297&lt;&gt;""),IFERROR(X297*VLOOKUP(G297,Tb_KostenTypen[],3,0)*VLOOKUP(F297,Tb_ProjectKosten[],MATCH(Tb_ProjectKosten[[#Headers],[Forfait_Percentage]],Tb_ProjectKosten[#Headers],0),0),""),X297 &lt;=0,0),"")</f>
        <v/>
      </c>
      <c r="AB297" s="314" t="str">
        <f t="shared" ca="1" si="19"/>
        <v/>
      </c>
      <c r="AC297" s="322"/>
      <c r="AD297" s="315"/>
      <c r="AE297" s="32" t="str" cm="1">
        <f t="array" ref="AE297">IFERROR(IF(INDEX(SubsidieTabel!$AD$1:$AG$12,MATCH($F297,SubsidieTabel!$AD$1:$AD$12,0),IFERROR(MATCH(Methode_Keuze,SubsidieTabel!$AD$1:$AG$1,0),2))&lt;&gt;1=TRUE,"ja",""),"")</f>
        <v/>
      </c>
    </row>
    <row r="298" spans="1:31" x14ac:dyDescent="0.25">
      <c r="A298" s="316"/>
      <c r="B298" s="317" t="str">
        <f>IF(A298&lt;&gt;"",_xlfn.MAXIFS($B$1:B297,$A$1:A297,A298)+1,"")</f>
        <v/>
      </c>
      <c r="C298" s="296"/>
      <c r="D298" s="296"/>
      <c r="E298" s="296"/>
      <c r="F298" s="296"/>
      <c r="G298" s="326"/>
      <c r="H298" s="324"/>
      <c r="I298" s="325"/>
      <c r="J298" s="325"/>
      <c r="K298" s="318"/>
      <c r="L298" s="318"/>
      <c r="M298" s="319" t="str">
        <f>IFERROR(VLOOKUP(H298,Lijsten!$H$1:$I$100,2,0),"")</f>
        <v/>
      </c>
      <c r="N298" s="319" t="str">
        <f ca="1">IFERROR(IF(VLOOKUP(F298,Kostentypen!$A$3:$E$21,3,0)=0,"",IF(OR(F298="Arbeidskosten",F298="Vergoeding"),VLOOKUP(G298,Tb_KostenTypen[],2,0),VLOOKUP(F298,Kostentypen!$A$3:$E$20,3,0))),"")</f>
        <v/>
      </c>
      <c r="O298" s="320" t="str" cm="1">
        <f t="array" ref="O298">_xlfn.IFNA(IF(INDEX(Tb_KostenOptiesDB[],MATCH($F298,Tb_KostenOptiesDB[KostenOptie],0),IFERROR(MATCH(Methode_Keuze,Tb_KostenOptiesDB[#Headers],0),2))=1,_xlfn.SWITCH($N298,"Uurtarief",IF(OR(AND(RIGHT($F298,3)="IKS",VLOOKUP($M298,DB_Loonkosten,2,0)="Ja"),AND(RIGHT($F298,3)&lt;&gt;"IKS",VLOOKUP($M298,DB_Loonkosten,2,0)="Nee")),IFERROR(VLOOKUP($M298,DB_Loonkosten,24,0),""),0),"Vast tarief",IF(LEFT(F298,8)="Bijdrage",VLOOKUP($F298,Tb_KostenTypen[],MATCH(Lijsten!$P$1,Tb_KostenTypen[#Headers],0),0),VLOOKUP($G298,Lijsten!L:P,MATCH(Lijsten!$P$1,Kop_Tarief_Vast,0),0))),""),"")</f>
        <v/>
      </c>
      <c r="P298" s="320" t="str" cm="1">
        <f t="array" ref="P298">_xlfn.IFNA(IF(INDEX(Tb_KostenOptiesDB[],MATCH($F298,Tb_KostenOptiesDB[KostenOptie],0),IFERROR(MATCH(Methode_Keuze,Tb_KostenOptiesDB[#Headers],0),2))=1,_xlfn.SWITCH($N298,"Uurtarief",IF(OR(AND(RIGHT($F298,3)="IKS",VLOOKUP($M298,DB_Loonkosten,2,0)="Ja"),AND(RIGHT($F298,3)&lt;&gt;"IKS",VLOOKUP($M298,DB_Loonkosten,2,0)="Nee")),IFERROR(VLOOKUP($M298,DB_Loonkosten,25,0),""),0),"Vast tarief",IF(LEFT(F298,8)="Bijdrage",VLOOKUP($F298,Tb_KostenTypen[],MATCH(Lijsten!$P$1,Tb_KostenTypen[#Headers],0),0),VLOOKUP($G298,Lijsten!L:P,MATCH(Lijsten!$P$1,Kop_Tarief_Vast,0),0))),""),"")</f>
        <v/>
      </c>
      <c r="Q298" s="359"/>
      <c r="R298" s="359"/>
      <c r="S298" s="321"/>
      <c r="T298" s="321"/>
      <c r="U298" s="373" t="str">
        <f t="shared" si="16"/>
        <v/>
      </c>
      <c r="V298" s="314" t="str">
        <f t="shared" si="17"/>
        <v/>
      </c>
      <c r="W298" s="314" t="str" cm="1">
        <f t="array" aca="1" ref="W298" ca="1">IFERROR(IF(AE298&lt;&gt;"ja",_xlfn.IFNA(_xlfn.IFS(AND(O298&lt;&gt;"",F298&lt;&gt;"",RIGHT($N298,6)="tarief",F298="Vergoeding"),SUM(O298)*FLOOR(SUM(Q298),0.0001),AND(O298&lt;&gt;"",F298&lt;&gt;"",RIGHT($N298,6)="tarief"),SUM(O298)*FLOOR(SUM(Q298),0.01),S298&gt;0,IF(F298&lt;&gt;"",FLOOR(SUM(S298),0.01),"")),""),""),"")</f>
        <v/>
      </c>
      <c r="X298" s="314" t="str" cm="1">
        <f t="array" aca="1" ref="X298" ca="1">IFERROR(IF(AE298&lt;&gt;"ja",_xlfn.IFNA(_xlfn.IFS(AND(P298&lt;&gt;"",R298&lt;&gt;"",RIGHT($N298,6)="tarief",F298="Vergoeding"),SUM(P298)*FLOOR(SUM(R298),0.0001),AND(P298&lt;&gt;"",R298&lt;&gt;"",RIGHT($N298,6)="tarief"),P298*FLOOR(R298,0.01),T298&gt;0,FLOOR(SUM(T298),0.01)),""),""),"")</f>
        <v/>
      </c>
      <c r="Y298" s="314" t="str">
        <f t="shared" ca="1" si="18"/>
        <v/>
      </c>
      <c r="Z298" s="314" t="str" cm="1">
        <f t="array" aca="1" ref="Z298" ca="1">IFERROR(_xlfn.IFS(OR(F298="",LEFT(Methode_Keuze,4)="Geen",Methode_Keuze=""),"",AND(W298&lt;&gt;"",F298&lt;&gt;"Arbeidskosten"),W298*VLOOKUP(F298,Tb_ProjectKosten[],MATCH(Tb_ProjectKosten[[#Headers],[Forfait_Percentage]],Tb_ProjectKosten[#Headers],0),0),AND(F298="Arbeidskosten",G298&lt;&gt;""),IFERROR(W298*VLOOKUP(G298,Tb_KostenTypen[],3,0)*VLOOKUP(F298,Tb_ProjectKosten[],MATCH(Tb_ProjectKosten[[#Headers],[Forfait_Percentage]],Tb_ProjectKosten[#Headers],0),0),""),W298 &lt;=0,0),"")</f>
        <v/>
      </c>
      <c r="AA298" s="314" t="str" cm="1">
        <f t="array" aca="1" ref="AA298" ca="1">IFERROR(_xlfn.IFS(OR(F298="",LEFT(Methode_Keuze,4)="Geen",Methode_Keuze=""),"",AND(X298&lt;&gt;"",F298&lt;&gt;"Arbeidskosten"),X298*VLOOKUP(F298,Tb_ProjectKosten[],MATCH(Tb_ProjectKosten[[#Headers],[Forfait_Percentage]],Tb_ProjectKosten[#Headers],0),0),AND(F298="Arbeidskosten",G298&lt;&gt;""),IFERROR(X298*VLOOKUP(G298,Tb_KostenTypen[],3,0)*VLOOKUP(F298,Tb_ProjectKosten[],MATCH(Tb_ProjectKosten[[#Headers],[Forfait_Percentage]],Tb_ProjectKosten[#Headers],0),0),""),X298 &lt;=0,0),"")</f>
        <v/>
      </c>
      <c r="AB298" s="314" t="str">
        <f t="shared" ca="1" si="19"/>
        <v/>
      </c>
      <c r="AC298" s="322"/>
      <c r="AD298" s="315"/>
      <c r="AE298" s="32" t="str" cm="1">
        <f t="array" ref="AE298">IFERROR(IF(INDEX(SubsidieTabel!$AD$1:$AG$12,MATCH($F298,SubsidieTabel!$AD$1:$AD$12,0),IFERROR(MATCH(Methode_Keuze,SubsidieTabel!$AD$1:$AG$1,0),2))&lt;&gt;1=TRUE,"ja",""),"")</f>
        <v/>
      </c>
    </row>
    <row r="299" spans="1:31" x14ac:dyDescent="0.25">
      <c r="A299" s="316"/>
      <c r="B299" s="317" t="str">
        <f>IF(A299&lt;&gt;"",_xlfn.MAXIFS($B$1:B298,$A$1:A298,A299)+1,"")</f>
        <v/>
      </c>
      <c r="C299" s="296"/>
      <c r="D299" s="296"/>
      <c r="E299" s="296"/>
      <c r="F299" s="296"/>
      <c r="G299" s="326"/>
      <c r="H299" s="324"/>
      <c r="I299" s="325"/>
      <c r="J299" s="325"/>
      <c r="K299" s="318"/>
      <c r="L299" s="318"/>
      <c r="M299" s="319" t="str">
        <f>IFERROR(VLOOKUP(H299,Lijsten!$H$1:$I$100,2,0),"")</f>
        <v/>
      </c>
      <c r="N299" s="319" t="str">
        <f ca="1">IFERROR(IF(VLOOKUP(F299,Kostentypen!$A$3:$E$21,3,0)=0,"",IF(OR(F299="Arbeidskosten",F299="Vergoeding"),VLOOKUP(G299,Tb_KostenTypen[],2,0),VLOOKUP(F299,Kostentypen!$A$3:$E$20,3,0))),"")</f>
        <v/>
      </c>
      <c r="O299" s="320" t="str" cm="1">
        <f t="array" ref="O299">_xlfn.IFNA(IF(INDEX(Tb_KostenOptiesDB[],MATCH($F299,Tb_KostenOptiesDB[KostenOptie],0),IFERROR(MATCH(Methode_Keuze,Tb_KostenOptiesDB[#Headers],0),2))=1,_xlfn.SWITCH($N299,"Uurtarief",IF(OR(AND(RIGHT($F299,3)="IKS",VLOOKUP($M299,DB_Loonkosten,2,0)="Ja"),AND(RIGHT($F299,3)&lt;&gt;"IKS",VLOOKUP($M299,DB_Loonkosten,2,0)="Nee")),IFERROR(VLOOKUP($M299,DB_Loonkosten,24,0),""),0),"Vast tarief",IF(LEFT(F299,8)="Bijdrage",VLOOKUP($F299,Tb_KostenTypen[],MATCH(Lijsten!$P$1,Tb_KostenTypen[#Headers],0),0),VLOOKUP($G299,Lijsten!L:P,MATCH(Lijsten!$P$1,Kop_Tarief_Vast,0),0))),""),"")</f>
        <v/>
      </c>
      <c r="P299" s="320" t="str" cm="1">
        <f t="array" ref="P299">_xlfn.IFNA(IF(INDEX(Tb_KostenOptiesDB[],MATCH($F299,Tb_KostenOptiesDB[KostenOptie],0),IFERROR(MATCH(Methode_Keuze,Tb_KostenOptiesDB[#Headers],0),2))=1,_xlfn.SWITCH($N299,"Uurtarief",IF(OR(AND(RIGHT($F299,3)="IKS",VLOOKUP($M299,DB_Loonkosten,2,0)="Ja"),AND(RIGHT($F299,3)&lt;&gt;"IKS",VLOOKUP($M299,DB_Loonkosten,2,0)="Nee")),IFERROR(VLOOKUP($M299,DB_Loonkosten,25,0),""),0),"Vast tarief",IF(LEFT(F299,8)="Bijdrage",VLOOKUP($F299,Tb_KostenTypen[],MATCH(Lijsten!$P$1,Tb_KostenTypen[#Headers],0),0),VLOOKUP($G299,Lijsten!L:P,MATCH(Lijsten!$P$1,Kop_Tarief_Vast,0),0))),""),"")</f>
        <v/>
      </c>
      <c r="Q299" s="359"/>
      <c r="R299" s="359"/>
      <c r="S299" s="321"/>
      <c r="T299" s="321"/>
      <c r="U299" s="373" t="str">
        <f t="shared" si="16"/>
        <v/>
      </c>
      <c r="V299" s="314" t="str">
        <f t="shared" si="17"/>
        <v/>
      </c>
      <c r="W299" s="314" t="str" cm="1">
        <f t="array" aca="1" ref="W299" ca="1">IFERROR(IF(AE299&lt;&gt;"ja",_xlfn.IFNA(_xlfn.IFS(AND(O299&lt;&gt;"",F299&lt;&gt;"",RIGHT($N299,6)="tarief",F299="Vergoeding"),SUM(O299)*FLOOR(SUM(Q299),0.0001),AND(O299&lt;&gt;"",F299&lt;&gt;"",RIGHT($N299,6)="tarief"),SUM(O299)*FLOOR(SUM(Q299),0.01),S299&gt;0,IF(F299&lt;&gt;"",FLOOR(SUM(S299),0.01),"")),""),""),"")</f>
        <v/>
      </c>
      <c r="X299" s="314" t="str" cm="1">
        <f t="array" aca="1" ref="X299" ca="1">IFERROR(IF(AE299&lt;&gt;"ja",_xlfn.IFNA(_xlfn.IFS(AND(P299&lt;&gt;"",R299&lt;&gt;"",RIGHT($N299,6)="tarief",F299="Vergoeding"),SUM(P299)*FLOOR(SUM(R299),0.0001),AND(P299&lt;&gt;"",R299&lt;&gt;"",RIGHT($N299,6)="tarief"),P299*FLOOR(R299,0.01),T299&gt;0,FLOOR(SUM(T299),0.01)),""),""),"")</f>
        <v/>
      </c>
      <c r="Y299" s="314" t="str">
        <f t="shared" ca="1" si="18"/>
        <v/>
      </c>
      <c r="Z299" s="314" t="str" cm="1">
        <f t="array" aca="1" ref="Z299" ca="1">IFERROR(_xlfn.IFS(OR(F299="",LEFT(Methode_Keuze,4)="Geen",Methode_Keuze=""),"",AND(W299&lt;&gt;"",F299&lt;&gt;"Arbeidskosten"),W299*VLOOKUP(F299,Tb_ProjectKosten[],MATCH(Tb_ProjectKosten[[#Headers],[Forfait_Percentage]],Tb_ProjectKosten[#Headers],0),0),AND(F299="Arbeidskosten",G299&lt;&gt;""),IFERROR(W299*VLOOKUP(G299,Tb_KostenTypen[],3,0)*VLOOKUP(F299,Tb_ProjectKosten[],MATCH(Tb_ProjectKosten[[#Headers],[Forfait_Percentage]],Tb_ProjectKosten[#Headers],0),0),""),W299 &lt;=0,0),"")</f>
        <v/>
      </c>
      <c r="AA299" s="314" t="str" cm="1">
        <f t="array" aca="1" ref="AA299" ca="1">IFERROR(_xlfn.IFS(OR(F299="",LEFT(Methode_Keuze,4)="Geen",Methode_Keuze=""),"",AND(X299&lt;&gt;"",F299&lt;&gt;"Arbeidskosten"),X299*VLOOKUP(F299,Tb_ProjectKosten[],MATCH(Tb_ProjectKosten[[#Headers],[Forfait_Percentage]],Tb_ProjectKosten[#Headers],0),0),AND(F299="Arbeidskosten",G299&lt;&gt;""),IFERROR(X299*VLOOKUP(G299,Tb_KostenTypen[],3,0)*VLOOKUP(F299,Tb_ProjectKosten[],MATCH(Tb_ProjectKosten[[#Headers],[Forfait_Percentage]],Tb_ProjectKosten[#Headers],0),0),""),X299 &lt;=0,0),"")</f>
        <v/>
      </c>
      <c r="AB299" s="314" t="str">
        <f t="shared" ca="1" si="19"/>
        <v/>
      </c>
      <c r="AC299" s="322"/>
      <c r="AD299" s="315"/>
      <c r="AE299" s="32" t="str" cm="1">
        <f t="array" ref="AE299">IFERROR(IF(INDEX(SubsidieTabel!$AD$1:$AG$12,MATCH($F299,SubsidieTabel!$AD$1:$AD$12,0),IFERROR(MATCH(Methode_Keuze,SubsidieTabel!$AD$1:$AG$1,0),2))&lt;&gt;1=TRUE,"ja",""),"")</f>
        <v/>
      </c>
    </row>
    <row r="300" spans="1:31" x14ac:dyDescent="0.25">
      <c r="A300" s="316"/>
      <c r="B300" s="317" t="str">
        <f>IF(A300&lt;&gt;"",_xlfn.MAXIFS($B$1:B299,$A$1:A299,A300)+1,"")</f>
        <v/>
      </c>
      <c r="C300" s="296"/>
      <c r="D300" s="296"/>
      <c r="E300" s="296"/>
      <c r="F300" s="296"/>
      <c r="G300" s="326"/>
      <c r="H300" s="324"/>
      <c r="I300" s="325"/>
      <c r="J300" s="325"/>
      <c r="K300" s="318"/>
      <c r="L300" s="318"/>
      <c r="M300" s="319" t="str">
        <f>IFERROR(VLOOKUP(H300,Lijsten!$H$1:$I$100,2,0),"")</f>
        <v/>
      </c>
      <c r="N300" s="319" t="str">
        <f ca="1">IFERROR(IF(VLOOKUP(F300,Kostentypen!$A$3:$E$21,3,0)=0,"",IF(OR(F300="Arbeidskosten",F300="Vergoeding"),VLOOKUP(G300,Tb_KostenTypen[],2,0),VLOOKUP(F300,Kostentypen!$A$3:$E$20,3,0))),"")</f>
        <v/>
      </c>
      <c r="O300" s="320" t="str" cm="1">
        <f t="array" ref="O300">_xlfn.IFNA(IF(INDEX(Tb_KostenOptiesDB[],MATCH($F300,Tb_KostenOptiesDB[KostenOptie],0),IFERROR(MATCH(Methode_Keuze,Tb_KostenOptiesDB[#Headers],0),2))=1,_xlfn.SWITCH($N300,"Uurtarief",IF(OR(AND(RIGHT($F300,3)="IKS",VLOOKUP($M300,DB_Loonkosten,2,0)="Ja"),AND(RIGHT($F300,3)&lt;&gt;"IKS",VLOOKUP($M300,DB_Loonkosten,2,0)="Nee")),IFERROR(VLOOKUP($M300,DB_Loonkosten,24,0),""),0),"Vast tarief",IF(LEFT(F300,8)="Bijdrage",VLOOKUP($F300,Tb_KostenTypen[],MATCH(Lijsten!$P$1,Tb_KostenTypen[#Headers],0),0),VLOOKUP($G300,Lijsten!L:P,MATCH(Lijsten!$P$1,Kop_Tarief_Vast,0),0))),""),"")</f>
        <v/>
      </c>
      <c r="P300" s="320" t="str" cm="1">
        <f t="array" ref="P300">_xlfn.IFNA(IF(INDEX(Tb_KostenOptiesDB[],MATCH($F300,Tb_KostenOptiesDB[KostenOptie],0),IFERROR(MATCH(Methode_Keuze,Tb_KostenOptiesDB[#Headers],0),2))=1,_xlfn.SWITCH($N300,"Uurtarief",IF(OR(AND(RIGHT($F300,3)="IKS",VLOOKUP($M300,DB_Loonkosten,2,0)="Ja"),AND(RIGHT($F300,3)&lt;&gt;"IKS",VLOOKUP($M300,DB_Loonkosten,2,0)="Nee")),IFERROR(VLOOKUP($M300,DB_Loonkosten,25,0),""),0),"Vast tarief",IF(LEFT(F300,8)="Bijdrage",VLOOKUP($F300,Tb_KostenTypen[],MATCH(Lijsten!$P$1,Tb_KostenTypen[#Headers],0),0),VLOOKUP($G300,Lijsten!L:P,MATCH(Lijsten!$P$1,Kop_Tarief_Vast,0),0))),""),"")</f>
        <v/>
      </c>
      <c r="Q300" s="359"/>
      <c r="R300" s="359"/>
      <c r="S300" s="321"/>
      <c r="T300" s="321"/>
      <c r="U300" s="373" t="str">
        <f t="shared" si="16"/>
        <v/>
      </c>
      <c r="V300" s="314" t="str">
        <f t="shared" si="17"/>
        <v/>
      </c>
      <c r="W300" s="314" t="str" cm="1">
        <f t="array" aca="1" ref="W300" ca="1">IFERROR(IF(AE300&lt;&gt;"ja",_xlfn.IFNA(_xlfn.IFS(AND(O300&lt;&gt;"",F300&lt;&gt;"",RIGHT($N300,6)="tarief",F300="Vergoeding"),SUM(O300)*FLOOR(SUM(Q300),0.0001),AND(O300&lt;&gt;"",F300&lt;&gt;"",RIGHT($N300,6)="tarief"),SUM(O300)*FLOOR(SUM(Q300),0.01),S300&gt;0,IF(F300&lt;&gt;"",FLOOR(SUM(S300),0.01),"")),""),""),"")</f>
        <v/>
      </c>
      <c r="X300" s="314" t="str" cm="1">
        <f t="array" aca="1" ref="X300" ca="1">IFERROR(IF(AE300&lt;&gt;"ja",_xlfn.IFNA(_xlfn.IFS(AND(P300&lt;&gt;"",R300&lt;&gt;"",RIGHT($N300,6)="tarief",F300="Vergoeding"),SUM(P300)*FLOOR(SUM(R300),0.0001),AND(P300&lt;&gt;"",R300&lt;&gt;"",RIGHT($N300,6)="tarief"),P300*FLOOR(R300,0.01),T300&gt;0,FLOOR(SUM(T300),0.01)),""),""),"")</f>
        <v/>
      </c>
      <c r="Y300" s="314" t="str">
        <f t="shared" ca="1" si="18"/>
        <v/>
      </c>
      <c r="Z300" s="314" t="str" cm="1">
        <f t="array" aca="1" ref="Z300" ca="1">IFERROR(_xlfn.IFS(OR(F300="",LEFT(Methode_Keuze,4)="Geen",Methode_Keuze=""),"",AND(W300&lt;&gt;"",F300&lt;&gt;"Arbeidskosten"),W300*VLOOKUP(F300,Tb_ProjectKosten[],MATCH(Tb_ProjectKosten[[#Headers],[Forfait_Percentage]],Tb_ProjectKosten[#Headers],0),0),AND(F300="Arbeidskosten",G300&lt;&gt;""),IFERROR(W300*VLOOKUP(G300,Tb_KostenTypen[],3,0)*VLOOKUP(F300,Tb_ProjectKosten[],MATCH(Tb_ProjectKosten[[#Headers],[Forfait_Percentage]],Tb_ProjectKosten[#Headers],0),0),""),W300 &lt;=0,0),"")</f>
        <v/>
      </c>
      <c r="AA300" s="314" t="str" cm="1">
        <f t="array" aca="1" ref="AA300" ca="1">IFERROR(_xlfn.IFS(OR(F300="",LEFT(Methode_Keuze,4)="Geen",Methode_Keuze=""),"",AND(X300&lt;&gt;"",F300&lt;&gt;"Arbeidskosten"),X300*VLOOKUP(F300,Tb_ProjectKosten[],MATCH(Tb_ProjectKosten[[#Headers],[Forfait_Percentage]],Tb_ProjectKosten[#Headers],0),0),AND(F300="Arbeidskosten",G300&lt;&gt;""),IFERROR(X300*VLOOKUP(G300,Tb_KostenTypen[],3,0)*VLOOKUP(F300,Tb_ProjectKosten[],MATCH(Tb_ProjectKosten[[#Headers],[Forfait_Percentage]],Tb_ProjectKosten[#Headers],0),0),""),X300 &lt;=0,0),"")</f>
        <v/>
      </c>
      <c r="AB300" s="314" t="str">
        <f t="shared" ca="1" si="19"/>
        <v/>
      </c>
      <c r="AC300" s="322"/>
      <c r="AD300" s="315"/>
      <c r="AE300" s="32" t="str" cm="1">
        <f t="array" ref="AE300">IFERROR(IF(INDEX(SubsidieTabel!$AD$1:$AG$12,MATCH($F300,SubsidieTabel!$AD$1:$AD$12,0),IFERROR(MATCH(Methode_Keuze,SubsidieTabel!$AD$1:$AG$1,0),2))&lt;&gt;1=TRUE,"ja",""),"")</f>
        <v/>
      </c>
    </row>
    <row r="301" spans="1:31" x14ac:dyDescent="0.25">
      <c r="A301" s="316"/>
      <c r="B301" s="317" t="str">
        <f>IF(A301&lt;&gt;"",_xlfn.MAXIFS($B$1:B300,$A$1:A300,A301)+1,"")</f>
        <v/>
      </c>
      <c r="C301" s="296"/>
      <c r="D301" s="296"/>
      <c r="E301" s="296"/>
      <c r="F301" s="296"/>
      <c r="G301" s="326"/>
      <c r="H301" s="324"/>
      <c r="I301" s="325"/>
      <c r="J301" s="325"/>
      <c r="K301" s="318"/>
      <c r="L301" s="318"/>
      <c r="M301" s="319" t="str">
        <f>IFERROR(VLOOKUP(H301,Lijsten!$H$1:$I$100,2,0),"")</f>
        <v/>
      </c>
      <c r="N301" s="319" t="str">
        <f ca="1">IFERROR(IF(VLOOKUP(F301,Kostentypen!$A$3:$E$21,3,0)=0,"",IF(OR(F301="Arbeidskosten",F301="Vergoeding"),VLOOKUP(G301,Tb_KostenTypen[],2,0),VLOOKUP(F301,Kostentypen!$A$3:$E$20,3,0))),"")</f>
        <v/>
      </c>
      <c r="O301" s="320" t="str" cm="1">
        <f t="array" ref="O301">_xlfn.IFNA(IF(INDEX(Tb_KostenOptiesDB[],MATCH($F301,Tb_KostenOptiesDB[KostenOptie],0),IFERROR(MATCH(Methode_Keuze,Tb_KostenOptiesDB[#Headers],0),2))=1,_xlfn.SWITCH($N301,"Uurtarief",IF(OR(AND(RIGHT($F301,3)="IKS",VLOOKUP($M301,DB_Loonkosten,2,0)="Ja"),AND(RIGHT($F301,3)&lt;&gt;"IKS",VLOOKUP($M301,DB_Loonkosten,2,0)="Nee")),IFERROR(VLOOKUP($M301,DB_Loonkosten,24,0),""),0),"Vast tarief",IF(LEFT(F301,8)="Bijdrage",VLOOKUP($F301,Tb_KostenTypen[],MATCH(Lijsten!$P$1,Tb_KostenTypen[#Headers],0),0),VLOOKUP($G301,Lijsten!L:P,MATCH(Lijsten!$P$1,Kop_Tarief_Vast,0),0))),""),"")</f>
        <v/>
      </c>
      <c r="P301" s="320" t="str" cm="1">
        <f t="array" ref="P301">_xlfn.IFNA(IF(INDEX(Tb_KostenOptiesDB[],MATCH($F301,Tb_KostenOptiesDB[KostenOptie],0),IFERROR(MATCH(Methode_Keuze,Tb_KostenOptiesDB[#Headers],0),2))=1,_xlfn.SWITCH($N301,"Uurtarief",IF(OR(AND(RIGHT($F301,3)="IKS",VLOOKUP($M301,DB_Loonkosten,2,0)="Ja"),AND(RIGHT($F301,3)&lt;&gt;"IKS",VLOOKUP($M301,DB_Loonkosten,2,0)="Nee")),IFERROR(VLOOKUP($M301,DB_Loonkosten,25,0),""),0),"Vast tarief",IF(LEFT(F301,8)="Bijdrage",VLOOKUP($F301,Tb_KostenTypen[],MATCH(Lijsten!$P$1,Tb_KostenTypen[#Headers],0),0),VLOOKUP($G301,Lijsten!L:P,MATCH(Lijsten!$P$1,Kop_Tarief_Vast,0),0))),""),"")</f>
        <v/>
      </c>
      <c r="Q301" s="359"/>
      <c r="R301" s="359"/>
      <c r="S301" s="321"/>
      <c r="T301" s="321"/>
      <c r="U301" s="373" t="str">
        <f t="shared" si="16"/>
        <v/>
      </c>
      <c r="V301" s="314" t="str">
        <f t="shared" si="17"/>
        <v/>
      </c>
      <c r="W301" s="314" t="str" cm="1">
        <f t="array" aca="1" ref="W301" ca="1">IFERROR(IF(AE301&lt;&gt;"ja",_xlfn.IFNA(_xlfn.IFS(AND(O301&lt;&gt;"",F301&lt;&gt;"",RIGHT($N301,6)="tarief",F301="Vergoeding"),SUM(O301)*FLOOR(SUM(Q301),0.0001),AND(O301&lt;&gt;"",F301&lt;&gt;"",RIGHT($N301,6)="tarief"),SUM(O301)*FLOOR(SUM(Q301),0.01),S301&gt;0,IF(F301&lt;&gt;"",FLOOR(SUM(S301),0.01),"")),""),""),"")</f>
        <v/>
      </c>
      <c r="X301" s="314" t="str" cm="1">
        <f t="array" aca="1" ref="X301" ca="1">IFERROR(IF(AE301&lt;&gt;"ja",_xlfn.IFNA(_xlfn.IFS(AND(P301&lt;&gt;"",R301&lt;&gt;"",RIGHT($N301,6)="tarief",F301="Vergoeding"),SUM(P301)*FLOOR(SUM(R301),0.0001),AND(P301&lt;&gt;"",R301&lt;&gt;"",RIGHT($N301,6)="tarief"),P301*FLOOR(R301,0.01),T301&gt;0,FLOOR(SUM(T301),0.01)),""),""),"")</f>
        <v/>
      </c>
      <c r="Y301" s="314" t="str">
        <f t="shared" ca="1" si="18"/>
        <v/>
      </c>
      <c r="Z301" s="314" t="str" cm="1">
        <f t="array" aca="1" ref="Z301" ca="1">IFERROR(_xlfn.IFS(OR(F301="",LEFT(Methode_Keuze,4)="Geen",Methode_Keuze=""),"",AND(W301&lt;&gt;"",F301&lt;&gt;"Arbeidskosten"),W301*VLOOKUP(F301,Tb_ProjectKosten[],MATCH(Tb_ProjectKosten[[#Headers],[Forfait_Percentage]],Tb_ProjectKosten[#Headers],0),0),AND(F301="Arbeidskosten",G301&lt;&gt;""),IFERROR(W301*VLOOKUP(G301,Tb_KostenTypen[],3,0)*VLOOKUP(F301,Tb_ProjectKosten[],MATCH(Tb_ProjectKosten[[#Headers],[Forfait_Percentage]],Tb_ProjectKosten[#Headers],0),0),""),W301 &lt;=0,0),"")</f>
        <v/>
      </c>
      <c r="AA301" s="314" t="str" cm="1">
        <f t="array" aca="1" ref="AA301" ca="1">IFERROR(_xlfn.IFS(OR(F301="",LEFT(Methode_Keuze,4)="Geen",Methode_Keuze=""),"",AND(X301&lt;&gt;"",F301&lt;&gt;"Arbeidskosten"),X301*VLOOKUP(F301,Tb_ProjectKosten[],MATCH(Tb_ProjectKosten[[#Headers],[Forfait_Percentage]],Tb_ProjectKosten[#Headers],0),0),AND(F301="Arbeidskosten",G301&lt;&gt;""),IFERROR(X301*VLOOKUP(G301,Tb_KostenTypen[],3,0)*VLOOKUP(F301,Tb_ProjectKosten[],MATCH(Tb_ProjectKosten[[#Headers],[Forfait_Percentage]],Tb_ProjectKosten[#Headers],0),0),""),X301 &lt;=0,0),"")</f>
        <v/>
      </c>
      <c r="AB301" s="314" t="str">
        <f t="shared" ca="1" si="19"/>
        <v/>
      </c>
      <c r="AC301" s="322"/>
      <c r="AD301" s="315"/>
      <c r="AE301" s="32" t="str" cm="1">
        <f t="array" ref="AE301">IFERROR(IF(INDEX(SubsidieTabel!$AD$1:$AG$12,MATCH($F301,SubsidieTabel!$AD$1:$AD$12,0),IFERROR(MATCH(Methode_Keuze,SubsidieTabel!$AD$1:$AG$1,0),2))&lt;&gt;1=TRUE,"ja",""),"")</f>
        <v/>
      </c>
    </row>
    <row r="302" spans="1:31" x14ac:dyDescent="0.25">
      <c r="A302" s="316"/>
      <c r="B302" s="317" t="str">
        <f>IF(A302&lt;&gt;"",_xlfn.MAXIFS($B$1:B301,$A$1:A301,A302)+1,"")</f>
        <v/>
      </c>
      <c r="C302" s="296"/>
      <c r="D302" s="296"/>
      <c r="E302" s="296"/>
      <c r="F302" s="296"/>
      <c r="G302" s="326"/>
      <c r="H302" s="324"/>
      <c r="I302" s="325"/>
      <c r="J302" s="325"/>
      <c r="K302" s="318"/>
      <c r="L302" s="318"/>
      <c r="M302" s="319" t="str">
        <f>IFERROR(VLOOKUP(H302,Lijsten!$H$1:$I$100,2,0),"")</f>
        <v/>
      </c>
      <c r="N302" s="319" t="str">
        <f ca="1">IFERROR(IF(VLOOKUP(F302,Kostentypen!$A$3:$E$21,3,0)=0,"",IF(OR(F302="Arbeidskosten",F302="Vergoeding"),VLOOKUP(G302,Tb_KostenTypen[],2,0),VLOOKUP(F302,Kostentypen!$A$3:$E$20,3,0))),"")</f>
        <v/>
      </c>
      <c r="O302" s="320" t="str" cm="1">
        <f t="array" ref="O302">_xlfn.IFNA(IF(INDEX(Tb_KostenOptiesDB[],MATCH($F302,Tb_KostenOptiesDB[KostenOptie],0),IFERROR(MATCH(Methode_Keuze,Tb_KostenOptiesDB[#Headers],0),2))=1,_xlfn.SWITCH($N302,"Uurtarief",IF(OR(AND(RIGHT($F302,3)="IKS",VLOOKUP($M302,DB_Loonkosten,2,0)="Ja"),AND(RIGHT($F302,3)&lt;&gt;"IKS",VLOOKUP($M302,DB_Loonkosten,2,0)="Nee")),IFERROR(VLOOKUP($M302,DB_Loonkosten,24,0),""),0),"Vast tarief",IF(LEFT(F302,8)="Bijdrage",VLOOKUP($F302,Tb_KostenTypen[],MATCH(Lijsten!$P$1,Tb_KostenTypen[#Headers],0),0),VLOOKUP($G302,Lijsten!L:P,MATCH(Lijsten!$P$1,Kop_Tarief_Vast,0),0))),""),"")</f>
        <v/>
      </c>
      <c r="P302" s="320" t="str" cm="1">
        <f t="array" ref="P302">_xlfn.IFNA(IF(INDEX(Tb_KostenOptiesDB[],MATCH($F302,Tb_KostenOptiesDB[KostenOptie],0),IFERROR(MATCH(Methode_Keuze,Tb_KostenOptiesDB[#Headers],0),2))=1,_xlfn.SWITCH($N302,"Uurtarief",IF(OR(AND(RIGHT($F302,3)="IKS",VLOOKUP($M302,DB_Loonkosten,2,0)="Ja"),AND(RIGHT($F302,3)&lt;&gt;"IKS",VLOOKUP($M302,DB_Loonkosten,2,0)="Nee")),IFERROR(VLOOKUP($M302,DB_Loonkosten,25,0),""),0),"Vast tarief",IF(LEFT(F302,8)="Bijdrage",VLOOKUP($F302,Tb_KostenTypen[],MATCH(Lijsten!$P$1,Tb_KostenTypen[#Headers],0),0),VLOOKUP($G302,Lijsten!L:P,MATCH(Lijsten!$P$1,Kop_Tarief_Vast,0),0))),""),"")</f>
        <v/>
      </c>
      <c r="Q302" s="359"/>
      <c r="R302" s="359"/>
      <c r="S302" s="321"/>
      <c r="T302" s="321"/>
      <c r="U302" s="373" t="str">
        <f t="shared" si="16"/>
        <v/>
      </c>
      <c r="V302" s="314" t="str">
        <f t="shared" si="17"/>
        <v/>
      </c>
      <c r="W302" s="314" t="str" cm="1">
        <f t="array" aca="1" ref="W302" ca="1">IFERROR(IF(AE302&lt;&gt;"ja",_xlfn.IFNA(_xlfn.IFS(AND(O302&lt;&gt;"",F302&lt;&gt;"",RIGHT($N302,6)="tarief",F302="Vergoeding"),SUM(O302)*FLOOR(SUM(Q302),0.0001),AND(O302&lt;&gt;"",F302&lt;&gt;"",RIGHT($N302,6)="tarief"),SUM(O302)*FLOOR(SUM(Q302),0.01),S302&gt;0,IF(F302&lt;&gt;"",FLOOR(SUM(S302),0.01),"")),""),""),"")</f>
        <v/>
      </c>
      <c r="X302" s="314" t="str" cm="1">
        <f t="array" aca="1" ref="X302" ca="1">IFERROR(IF(AE302&lt;&gt;"ja",_xlfn.IFNA(_xlfn.IFS(AND(P302&lt;&gt;"",R302&lt;&gt;"",RIGHT($N302,6)="tarief",F302="Vergoeding"),SUM(P302)*FLOOR(SUM(R302),0.0001),AND(P302&lt;&gt;"",R302&lt;&gt;"",RIGHT($N302,6)="tarief"),P302*FLOOR(R302,0.01),T302&gt;0,FLOOR(SUM(T302),0.01)),""),""),"")</f>
        <v/>
      </c>
      <c r="Y302" s="314" t="str">
        <f t="shared" ca="1" si="18"/>
        <v/>
      </c>
      <c r="Z302" s="314" t="str" cm="1">
        <f t="array" aca="1" ref="Z302" ca="1">IFERROR(_xlfn.IFS(OR(F302="",LEFT(Methode_Keuze,4)="Geen",Methode_Keuze=""),"",AND(W302&lt;&gt;"",F302&lt;&gt;"Arbeidskosten"),W302*VLOOKUP(F302,Tb_ProjectKosten[],MATCH(Tb_ProjectKosten[[#Headers],[Forfait_Percentage]],Tb_ProjectKosten[#Headers],0),0),AND(F302="Arbeidskosten",G302&lt;&gt;""),IFERROR(W302*VLOOKUP(G302,Tb_KostenTypen[],3,0)*VLOOKUP(F302,Tb_ProjectKosten[],MATCH(Tb_ProjectKosten[[#Headers],[Forfait_Percentage]],Tb_ProjectKosten[#Headers],0),0),""),W302 &lt;=0,0),"")</f>
        <v/>
      </c>
      <c r="AA302" s="314" t="str" cm="1">
        <f t="array" aca="1" ref="AA302" ca="1">IFERROR(_xlfn.IFS(OR(F302="",LEFT(Methode_Keuze,4)="Geen",Methode_Keuze=""),"",AND(X302&lt;&gt;"",F302&lt;&gt;"Arbeidskosten"),X302*VLOOKUP(F302,Tb_ProjectKosten[],MATCH(Tb_ProjectKosten[[#Headers],[Forfait_Percentage]],Tb_ProjectKosten[#Headers],0),0),AND(F302="Arbeidskosten",G302&lt;&gt;""),IFERROR(X302*VLOOKUP(G302,Tb_KostenTypen[],3,0)*VLOOKUP(F302,Tb_ProjectKosten[],MATCH(Tb_ProjectKosten[[#Headers],[Forfait_Percentage]],Tb_ProjectKosten[#Headers],0),0),""),X302 &lt;=0,0),"")</f>
        <v/>
      </c>
      <c r="AB302" s="314" t="str">
        <f t="shared" ca="1" si="19"/>
        <v/>
      </c>
      <c r="AC302" s="322"/>
      <c r="AD302" s="315"/>
      <c r="AE302" s="32" t="str" cm="1">
        <f t="array" ref="AE302">IFERROR(IF(INDEX(SubsidieTabel!$AD$1:$AG$12,MATCH($F302,SubsidieTabel!$AD$1:$AD$12,0),IFERROR(MATCH(Methode_Keuze,SubsidieTabel!$AD$1:$AG$1,0),2))&lt;&gt;1=TRUE,"ja",""),"")</f>
        <v/>
      </c>
    </row>
    <row r="303" spans="1:31" x14ac:dyDescent="0.25">
      <c r="A303" s="316"/>
      <c r="B303" s="317" t="str">
        <f>IF(A303&lt;&gt;"",_xlfn.MAXIFS($B$1:B302,$A$1:A302,A303)+1,"")</f>
        <v/>
      </c>
      <c r="C303" s="296"/>
      <c r="D303" s="296"/>
      <c r="E303" s="296"/>
      <c r="F303" s="296"/>
      <c r="G303" s="326"/>
      <c r="H303" s="324"/>
      <c r="I303" s="325"/>
      <c r="J303" s="325"/>
      <c r="K303" s="318"/>
      <c r="L303" s="318"/>
      <c r="M303" s="319" t="str">
        <f>IFERROR(VLOOKUP(H303,Lijsten!$H$1:$I$100,2,0),"")</f>
        <v/>
      </c>
      <c r="N303" s="319" t="str">
        <f ca="1">IFERROR(IF(VLOOKUP(F303,Kostentypen!$A$3:$E$21,3,0)=0,"",IF(OR(F303="Arbeidskosten",F303="Vergoeding"),VLOOKUP(G303,Tb_KostenTypen[],2,0),VLOOKUP(F303,Kostentypen!$A$3:$E$20,3,0))),"")</f>
        <v/>
      </c>
      <c r="O303" s="320" t="str" cm="1">
        <f t="array" ref="O303">_xlfn.IFNA(IF(INDEX(Tb_KostenOptiesDB[],MATCH($F303,Tb_KostenOptiesDB[KostenOptie],0),IFERROR(MATCH(Methode_Keuze,Tb_KostenOptiesDB[#Headers],0),2))=1,_xlfn.SWITCH($N303,"Uurtarief",IF(OR(AND(RIGHT($F303,3)="IKS",VLOOKUP($M303,DB_Loonkosten,2,0)="Ja"),AND(RIGHT($F303,3)&lt;&gt;"IKS",VLOOKUP($M303,DB_Loonkosten,2,0)="Nee")),IFERROR(VLOOKUP($M303,DB_Loonkosten,24,0),""),0),"Vast tarief",IF(LEFT(F303,8)="Bijdrage",VLOOKUP($F303,Tb_KostenTypen[],MATCH(Lijsten!$P$1,Tb_KostenTypen[#Headers],0),0),VLOOKUP($G303,Lijsten!L:P,MATCH(Lijsten!$P$1,Kop_Tarief_Vast,0),0))),""),"")</f>
        <v/>
      </c>
      <c r="P303" s="320" t="str" cm="1">
        <f t="array" ref="P303">_xlfn.IFNA(IF(INDEX(Tb_KostenOptiesDB[],MATCH($F303,Tb_KostenOptiesDB[KostenOptie],0),IFERROR(MATCH(Methode_Keuze,Tb_KostenOptiesDB[#Headers],0),2))=1,_xlfn.SWITCH($N303,"Uurtarief",IF(OR(AND(RIGHT($F303,3)="IKS",VLOOKUP($M303,DB_Loonkosten,2,0)="Ja"),AND(RIGHT($F303,3)&lt;&gt;"IKS",VLOOKUP($M303,DB_Loonkosten,2,0)="Nee")),IFERROR(VLOOKUP($M303,DB_Loonkosten,25,0),""),0),"Vast tarief",IF(LEFT(F303,8)="Bijdrage",VLOOKUP($F303,Tb_KostenTypen[],MATCH(Lijsten!$P$1,Tb_KostenTypen[#Headers],0),0),VLOOKUP($G303,Lijsten!L:P,MATCH(Lijsten!$P$1,Kop_Tarief_Vast,0),0))),""),"")</f>
        <v/>
      </c>
      <c r="Q303" s="359"/>
      <c r="R303" s="359"/>
      <c r="S303" s="321"/>
      <c r="T303" s="321"/>
      <c r="U303" s="373" t="str">
        <f t="shared" si="16"/>
        <v/>
      </c>
      <c r="V303" s="314" t="str">
        <f t="shared" si="17"/>
        <v/>
      </c>
      <c r="W303" s="314" t="str" cm="1">
        <f t="array" aca="1" ref="W303" ca="1">IFERROR(IF(AE303&lt;&gt;"ja",_xlfn.IFNA(_xlfn.IFS(AND(O303&lt;&gt;"",F303&lt;&gt;"",RIGHT($N303,6)="tarief",F303="Vergoeding"),SUM(O303)*FLOOR(SUM(Q303),0.0001),AND(O303&lt;&gt;"",F303&lt;&gt;"",RIGHT($N303,6)="tarief"),SUM(O303)*FLOOR(SUM(Q303),0.01),S303&gt;0,IF(F303&lt;&gt;"",FLOOR(SUM(S303),0.01),"")),""),""),"")</f>
        <v/>
      </c>
      <c r="X303" s="314" t="str" cm="1">
        <f t="array" aca="1" ref="X303" ca="1">IFERROR(IF(AE303&lt;&gt;"ja",_xlfn.IFNA(_xlfn.IFS(AND(P303&lt;&gt;"",R303&lt;&gt;"",RIGHT($N303,6)="tarief",F303="Vergoeding"),SUM(P303)*FLOOR(SUM(R303),0.0001),AND(P303&lt;&gt;"",R303&lt;&gt;"",RIGHT($N303,6)="tarief"),P303*FLOOR(R303,0.01),T303&gt;0,FLOOR(SUM(T303),0.01)),""),""),"")</f>
        <v/>
      </c>
      <c r="Y303" s="314" t="str">
        <f t="shared" ca="1" si="18"/>
        <v/>
      </c>
      <c r="Z303" s="314" t="str" cm="1">
        <f t="array" aca="1" ref="Z303" ca="1">IFERROR(_xlfn.IFS(OR(F303="",LEFT(Methode_Keuze,4)="Geen",Methode_Keuze=""),"",AND(W303&lt;&gt;"",F303&lt;&gt;"Arbeidskosten"),W303*VLOOKUP(F303,Tb_ProjectKosten[],MATCH(Tb_ProjectKosten[[#Headers],[Forfait_Percentage]],Tb_ProjectKosten[#Headers],0),0),AND(F303="Arbeidskosten",G303&lt;&gt;""),IFERROR(W303*VLOOKUP(G303,Tb_KostenTypen[],3,0)*VLOOKUP(F303,Tb_ProjectKosten[],MATCH(Tb_ProjectKosten[[#Headers],[Forfait_Percentage]],Tb_ProjectKosten[#Headers],0),0),""),W303 &lt;=0,0),"")</f>
        <v/>
      </c>
      <c r="AA303" s="314" t="str" cm="1">
        <f t="array" aca="1" ref="AA303" ca="1">IFERROR(_xlfn.IFS(OR(F303="",LEFT(Methode_Keuze,4)="Geen",Methode_Keuze=""),"",AND(X303&lt;&gt;"",F303&lt;&gt;"Arbeidskosten"),X303*VLOOKUP(F303,Tb_ProjectKosten[],MATCH(Tb_ProjectKosten[[#Headers],[Forfait_Percentage]],Tb_ProjectKosten[#Headers],0),0),AND(F303="Arbeidskosten",G303&lt;&gt;""),IFERROR(X303*VLOOKUP(G303,Tb_KostenTypen[],3,0)*VLOOKUP(F303,Tb_ProjectKosten[],MATCH(Tb_ProjectKosten[[#Headers],[Forfait_Percentage]],Tb_ProjectKosten[#Headers],0),0),""),X303 &lt;=0,0),"")</f>
        <v/>
      </c>
      <c r="AB303" s="314" t="str">
        <f t="shared" ca="1" si="19"/>
        <v/>
      </c>
      <c r="AC303" s="322"/>
      <c r="AD303" s="315"/>
      <c r="AE303" s="32" t="str" cm="1">
        <f t="array" ref="AE303">IFERROR(IF(INDEX(SubsidieTabel!$AD$1:$AG$12,MATCH($F303,SubsidieTabel!$AD$1:$AD$12,0),IFERROR(MATCH(Methode_Keuze,SubsidieTabel!$AD$1:$AG$1,0),2))&lt;&gt;1=TRUE,"ja",""),"")</f>
        <v/>
      </c>
    </row>
    <row r="304" spans="1:31" x14ac:dyDescent="0.25">
      <c r="A304" s="316"/>
      <c r="B304" s="317" t="str">
        <f>IF(A304&lt;&gt;"",_xlfn.MAXIFS($B$1:B303,$A$1:A303,A304)+1,"")</f>
        <v/>
      </c>
      <c r="C304" s="296"/>
      <c r="D304" s="296"/>
      <c r="E304" s="296"/>
      <c r="F304" s="296"/>
      <c r="G304" s="326"/>
      <c r="H304" s="324"/>
      <c r="I304" s="325"/>
      <c r="J304" s="325"/>
      <c r="K304" s="318"/>
      <c r="L304" s="318"/>
      <c r="M304" s="319" t="str">
        <f>IFERROR(VLOOKUP(H304,Lijsten!$H$1:$I$100,2,0),"")</f>
        <v/>
      </c>
      <c r="N304" s="319" t="str">
        <f ca="1">IFERROR(IF(VLOOKUP(F304,Kostentypen!$A$3:$E$21,3,0)=0,"",IF(OR(F304="Arbeidskosten",F304="Vergoeding"),VLOOKUP(G304,Tb_KostenTypen[],2,0),VLOOKUP(F304,Kostentypen!$A$3:$E$20,3,0))),"")</f>
        <v/>
      </c>
      <c r="O304" s="320" t="str" cm="1">
        <f t="array" ref="O304">_xlfn.IFNA(IF(INDEX(Tb_KostenOptiesDB[],MATCH($F304,Tb_KostenOptiesDB[KostenOptie],0),IFERROR(MATCH(Methode_Keuze,Tb_KostenOptiesDB[#Headers],0),2))=1,_xlfn.SWITCH($N304,"Uurtarief",IF(OR(AND(RIGHT($F304,3)="IKS",VLOOKUP($M304,DB_Loonkosten,2,0)="Ja"),AND(RIGHT($F304,3)&lt;&gt;"IKS",VLOOKUP($M304,DB_Loonkosten,2,0)="Nee")),IFERROR(VLOOKUP($M304,DB_Loonkosten,24,0),""),0),"Vast tarief",IF(LEFT(F304,8)="Bijdrage",VLOOKUP($F304,Tb_KostenTypen[],MATCH(Lijsten!$P$1,Tb_KostenTypen[#Headers],0),0),VLOOKUP($G304,Lijsten!L:P,MATCH(Lijsten!$P$1,Kop_Tarief_Vast,0),0))),""),"")</f>
        <v/>
      </c>
      <c r="P304" s="320" t="str" cm="1">
        <f t="array" ref="P304">_xlfn.IFNA(IF(INDEX(Tb_KostenOptiesDB[],MATCH($F304,Tb_KostenOptiesDB[KostenOptie],0),IFERROR(MATCH(Methode_Keuze,Tb_KostenOptiesDB[#Headers],0),2))=1,_xlfn.SWITCH($N304,"Uurtarief",IF(OR(AND(RIGHT($F304,3)="IKS",VLOOKUP($M304,DB_Loonkosten,2,0)="Ja"),AND(RIGHT($F304,3)&lt;&gt;"IKS",VLOOKUP($M304,DB_Loonkosten,2,0)="Nee")),IFERROR(VLOOKUP($M304,DB_Loonkosten,25,0),""),0),"Vast tarief",IF(LEFT(F304,8)="Bijdrage",VLOOKUP($F304,Tb_KostenTypen[],MATCH(Lijsten!$P$1,Tb_KostenTypen[#Headers],0),0),VLOOKUP($G304,Lijsten!L:P,MATCH(Lijsten!$P$1,Kop_Tarief_Vast,0),0))),""),"")</f>
        <v/>
      </c>
      <c r="Q304" s="359"/>
      <c r="R304" s="359"/>
      <c r="S304" s="321"/>
      <c r="T304" s="321"/>
      <c r="U304" s="373" t="str">
        <f t="shared" si="16"/>
        <v/>
      </c>
      <c r="V304" s="314" t="str">
        <f t="shared" si="17"/>
        <v/>
      </c>
      <c r="W304" s="314" t="str" cm="1">
        <f t="array" aca="1" ref="W304" ca="1">IFERROR(IF(AE304&lt;&gt;"ja",_xlfn.IFNA(_xlfn.IFS(AND(O304&lt;&gt;"",F304&lt;&gt;"",RIGHT($N304,6)="tarief",F304="Vergoeding"),SUM(O304)*FLOOR(SUM(Q304),0.0001),AND(O304&lt;&gt;"",F304&lt;&gt;"",RIGHT($N304,6)="tarief"),SUM(O304)*FLOOR(SUM(Q304),0.01),S304&gt;0,IF(F304&lt;&gt;"",FLOOR(SUM(S304),0.01),"")),""),""),"")</f>
        <v/>
      </c>
      <c r="X304" s="314" t="str" cm="1">
        <f t="array" aca="1" ref="X304" ca="1">IFERROR(IF(AE304&lt;&gt;"ja",_xlfn.IFNA(_xlfn.IFS(AND(P304&lt;&gt;"",R304&lt;&gt;"",RIGHT($N304,6)="tarief",F304="Vergoeding"),SUM(P304)*FLOOR(SUM(R304),0.0001),AND(P304&lt;&gt;"",R304&lt;&gt;"",RIGHT($N304,6)="tarief"),P304*FLOOR(R304,0.01),T304&gt;0,FLOOR(SUM(T304),0.01)),""),""),"")</f>
        <v/>
      </c>
      <c r="Y304" s="314" t="str">
        <f t="shared" ca="1" si="18"/>
        <v/>
      </c>
      <c r="Z304" s="314" t="str" cm="1">
        <f t="array" aca="1" ref="Z304" ca="1">IFERROR(_xlfn.IFS(OR(F304="",LEFT(Methode_Keuze,4)="Geen",Methode_Keuze=""),"",AND(W304&lt;&gt;"",F304&lt;&gt;"Arbeidskosten"),W304*VLOOKUP(F304,Tb_ProjectKosten[],MATCH(Tb_ProjectKosten[[#Headers],[Forfait_Percentage]],Tb_ProjectKosten[#Headers],0),0),AND(F304="Arbeidskosten",G304&lt;&gt;""),IFERROR(W304*VLOOKUP(G304,Tb_KostenTypen[],3,0)*VLOOKUP(F304,Tb_ProjectKosten[],MATCH(Tb_ProjectKosten[[#Headers],[Forfait_Percentage]],Tb_ProjectKosten[#Headers],0),0),""),W304 &lt;=0,0),"")</f>
        <v/>
      </c>
      <c r="AA304" s="314" t="str" cm="1">
        <f t="array" aca="1" ref="AA304" ca="1">IFERROR(_xlfn.IFS(OR(F304="",LEFT(Methode_Keuze,4)="Geen",Methode_Keuze=""),"",AND(X304&lt;&gt;"",F304&lt;&gt;"Arbeidskosten"),X304*VLOOKUP(F304,Tb_ProjectKosten[],MATCH(Tb_ProjectKosten[[#Headers],[Forfait_Percentage]],Tb_ProjectKosten[#Headers],0),0),AND(F304="Arbeidskosten",G304&lt;&gt;""),IFERROR(X304*VLOOKUP(G304,Tb_KostenTypen[],3,0)*VLOOKUP(F304,Tb_ProjectKosten[],MATCH(Tb_ProjectKosten[[#Headers],[Forfait_Percentage]],Tb_ProjectKosten[#Headers],0),0),""),X304 &lt;=0,0),"")</f>
        <v/>
      </c>
      <c r="AB304" s="314" t="str">
        <f t="shared" ca="1" si="19"/>
        <v/>
      </c>
      <c r="AC304" s="322"/>
      <c r="AD304" s="315"/>
      <c r="AE304" s="32" t="str" cm="1">
        <f t="array" ref="AE304">IFERROR(IF(INDEX(SubsidieTabel!$AD$1:$AG$12,MATCH($F304,SubsidieTabel!$AD$1:$AD$12,0),IFERROR(MATCH(Methode_Keuze,SubsidieTabel!$AD$1:$AG$1,0),2))&lt;&gt;1=TRUE,"ja",""),"")</f>
        <v/>
      </c>
    </row>
    <row r="305" spans="1:31" x14ac:dyDescent="0.25">
      <c r="A305" s="316"/>
      <c r="B305" s="317" t="str">
        <f>IF(A305&lt;&gt;"",_xlfn.MAXIFS($B$1:B304,$A$1:A304,A305)+1,"")</f>
        <v/>
      </c>
      <c r="C305" s="296"/>
      <c r="D305" s="296"/>
      <c r="E305" s="296"/>
      <c r="F305" s="296"/>
      <c r="G305" s="326"/>
      <c r="H305" s="324"/>
      <c r="I305" s="325"/>
      <c r="J305" s="325"/>
      <c r="K305" s="318"/>
      <c r="L305" s="318"/>
      <c r="M305" s="319" t="str">
        <f>IFERROR(VLOOKUP(H305,Lijsten!$H$1:$I$100,2,0),"")</f>
        <v/>
      </c>
      <c r="N305" s="319" t="str">
        <f ca="1">IFERROR(IF(VLOOKUP(F305,Kostentypen!$A$3:$E$21,3,0)=0,"",IF(OR(F305="Arbeidskosten",F305="Vergoeding"),VLOOKUP(G305,Tb_KostenTypen[],2,0),VLOOKUP(F305,Kostentypen!$A$3:$E$20,3,0))),"")</f>
        <v/>
      </c>
      <c r="O305" s="320" t="str" cm="1">
        <f t="array" ref="O305">_xlfn.IFNA(IF(INDEX(Tb_KostenOptiesDB[],MATCH($F305,Tb_KostenOptiesDB[KostenOptie],0),IFERROR(MATCH(Methode_Keuze,Tb_KostenOptiesDB[#Headers],0),2))=1,_xlfn.SWITCH($N305,"Uurtarief",IF(OR(AND(RIGHT($F305,3)="IKS",VLOOKUP($M305,DB_Loonkosten,2,0)="Ja"),AND(RIGHT($F305,3)&lt;&gt;"IKS",VLOOKUP($M305,DB_Loonkosten,2,0)="Nee")),IFERROR(VLOOKUP($M305,DB_Loonkosten,24,0),""),0),"Vast tarief",IF(LEFT(F305,8)="Bijdrage",VLOOKUP($F305,Tb_KostenTypen[],MATCH(Lijsten!$P$1,Tb_KostenTypen[#Headers],0),0),VLOOKUP($G305,Lijsten!L:P,MATCH(Lijsten!$P$1,Kop_Tarief_Vast,0),0))),""),"")</f>
        <v/>
      </c>
      <c r="P305" s="320" t="str" cm="1">
        <f t="array" ref="P305">_xlfn.IFNA(IF(INDEX(Tb_KostenOptiesDB[],MATCH($F305,Tb_KostenOptiesDB[KostenOptie],0),IFERROR(MATCH(Methode_Keuze,Tb_KostenOptiesDB[#Headers],0),2))=1,_xlfn.SWITCH($N305,"Uurtarief",IF(OR(AND(RIGHT($F305,3)="IKS",VLOOKUP($M305,DB_Loonkosten,2,0)="Ja"),AND(RIGHT($F305,3)&lt;&gt;"IKS",VLOOKUP($M305,DB_Loonkosten,2,0)="Nee")),IFERROR(VLOOKUP($M305,DB_Loonkosten,25,0),""),0),"Vast tarief",IF(LEFT(F305,8)="Bijdrage",VLOOKUP($F305,Tb_KostenTypen[],MATCH(Lijsten!$P$1,Tb_KostenTypen[#Headers],0),0),VLOOKUP($G305,Lijsten!L:P,MATCH(Lijsten!$P$1,Kop_Tarief_Vast,0),0))),""),"")</f>
        <v/>
      </c>
      <c r="Q305" s="359"/>
      <c r="R305" s="359"/>
      <c r="S305" s="321"/>
      <c r="T305" s="321"/>
      <c r="U305" s="373" t="str">
        <f t="shared" si="16"/>
        <v/>
      </c>
      <c r="V305" s="314" t="str">
        <f t="shared" si="17"/>
        <v/>
      </c>
      <c r="W305" s="314" t="str" cm="1">
        <f t="array" aca="1" ref="W305" ca="1">IFERROR(IF(AE305&lt;&gt;"ja",_xlfn.IFNA(_xlfn.IFS(AND(O305&lt;&gt;"",F305&lt;&gt;"",RIGHT($N305,6)="tarief",F305="Vergoeding"),SUM(O305)*FLOOR(SUM(Q305),0.0001),AND(O305&lt;&gt;"",F305&lt;&gt;"",RIGHT($N305,6)="tarief"),SUM(O305)*FLOOR(SUM(Q305),0.01),S305&gt;0,IF(F305&lt;&gt;"",FLOOR(SUM(S305),0.01),"")),""),""),"")</f>
        <v/>
      </c>
      <c r="X305" s="314" t="str" cm="1">
        <f t="array" aca="1" ref="X305" ca="1">IFERROR(IF(AE305&lt;&gt;"ja",_xlfn.IFNA(_xlfn.IFS(AND(P305&lt;&gt;"",R305&lt;&gt;"",RIGHT($N305,6)="tarief",F305="Vergoeding"),SUM(P305)*FLOOR(SUM(R305),0.0001),AND(P305&lt;&gt;"",R305&lt;&gt;"",RIGHT($N305,6)="tarief"),P305*FLOOR(R305,0.01),T305&gt;0,FLOOR(SUM(T305),0.01)),""),""),"")</f>
        <v/>
      </c>
      <c r="Y305" s="314" t="str">
        <f t="shared" ca="1" si="18"/>
        <v/>
      </c>
      <c r="Z305" s="314" t="str" cm="1">
        <f t="array" aca="1" ref="Z305" ca="1">IFERROR(_xlfn.IFS(OR(F305="",LEFT(Methode_Keuze,4)="Geen",Methode_Keuze=""),"",AND(W305&lt;&gt;"",F305&lt;&gt;"Arbeidskosten"),W305*VLOOKUP(F305,Tb_ProjectKosten[],MATCH(Tb_ProjectKosten[[#Headers],[Forfait_Percentage]],Tb_ProjectKosten[#Headers],0),0),AND(F305="Arbeidskosten",G305&lt;&gt;""),IFERROR(W305*VLOOKUP(G305,Tb_KostenTypen[],3,0)*VLOOKUP(F305,Tb_ProjectKosten[],MATCH(Tb_ProjectKosten[[#Headers],[Forfait_Percentage]],Tb_ProjectKosten[#Headers],0),0),""),W305 &lt;=0,0),"")</f>
        <v/>
      </c>
      <c r="AA305" s="314" t="str" cm="1">
        <f t="array" aca="1" ref="AA305" ca="1">IFERROR(_xlfn.IFS(OR(F305="",LEFT(Methode_Keuze,4)="Geen",Methode_Keuze=""),"",AND(X305&lt;&gt;"",F305&lt;&gt;"Arbeidskosten"),X305*VLOOKUP(F305,Tb_ProjectKosten[],MATCH(Tb_ProjectKosten[[#Headers],[Forfait_Percentage]],Tb_ProjectKosten[#Headers],0),0),AND(F305="Arbeidskosten",G305&lt;&gt;""),IFERROR(X305*VLOOKUP(G305,Tb_KostenTypen[],3,0)*VLOOKUP(F305,Tb_ProjectKosten[],MATCH(Tb_ProjectKosten[[#Headers],[Forfait_Percentage]],Tb_ProjectKosten[#Headers],0),0),""),X305 &lt;=0,0),"")</f>
        <v/>
      </c>
      <c r="AB305" s="314" t="str">
        <f t="shared" ca="1" si="19"/>
        <v/>
      </c>
      <c r="AC305" s="322"/>
      <c r="AD305" s="315"/>
      <c r="AE305" s="32" t="str" cm="1">
        <f t="array" ref="AE305">IFERROR(IF(INDEX(SubsidieTabel!$AD$1:$AG$12,MATCH($F305,SubsidieTabel!$AD$1:$AD$12,0),IFERROR(MATCH(Methode_Keuze,SubsidieTabel!$AD$1:$AG$1,0),2))&lt;&gt;1=TRUE,"ja",""),"")</f>
        <v/>
      </c>
    </row>
    <row r="306" spans="1:31" x14ac:dyDescent="0.25">
      <c r="A306" s="316"/>
      <c r="B306" s="317" t="str">
        <f>IF(A306&lt;&gt;"",_xlfn.MAXIFS($B$1:B305,$A$1:A305,A306)+1,"")</f>
        <v/>
      </c>
      <c r="C306" s="296"/>
      <c r="D306" s="296"/>
      <c r="E306" s="296"/>
      <c r="F306" s="296"/>
      <c r="G306" s="326"/>
      <c r="H306" s="324"/>
      <c r="I306" s="325"/>
      <c r="J306" s="325"/>
      <c r="K306" s="318"/>
      <c r="L306" s="318"/>
      <c r="M306" s="319" t="str">
        <f>IFERROR(VLOOKUP(H306,Lijsten!$H$1:$I$100,2,0),"")</f>
        <v/>
      </c>
      <c r="N306" s="319" t="str">
        <f ca="1">IFERROR(IF(VLOOKUP(F306,Kostentypen!$A$3:$E$21,3,0)=0,"",IF(OR(F306="Arbeidskosten",F306="Vergoeding"),VLOOKUP(G306,Tb_KostenTypen[],2,0),VLOOKUP(F306,Kostentypen!$A$3:$E$20,3,0))),"")</f>
        <v/>
      </c>
      <c r="O306" s="320" t="str" cm="1">
        <f t="array" ref="O306">_xlfn.IFNA(IF(INDEX(Tb_KostenOptiesDB[],MATCH($F306,Tb_KostenOptiesDB[KostenOptie],0),IFERROR(MATCH(Methode_Keuze,Tb_KostenOptiesDB[#Headers],0),2))=1,_xlfn.SWITCH($N306,"Uurtarief",IF(OR(AND(RIGHT($F306,3)="IKS",VLOOKUP($M306,DB_Loonkosten,2,0)="Ja"),AND(RIGHT($F306,3)&lt;&gt;"IKS",VLOOKUP($M306,DB_Loonkosten,2,0)="Nee")),IFERROR(VLOOKUP($M306,DB_Loonkosten,24,0),""),0),"Vast tarief",IF(LEFT(F306,8)="Bijdrage",VLOOKUP($F306,Tb_KostenTypen[],MATCH(Lijsten!$P$1,Tb_KostenTypen[#Headers],0),0),VLOOKUP($G306,Lijsten!L:P,MATCH(Lijsten!$P$1,Kop_Tarief_Vast,0),0))),""),"")</f>
        <v/>
      </c>
      <c r="P306" s="320" t="str" cm="1">
        <f t="array" ref="P306">_xlfn.IFNA(IF(INDEX(Tb_KostenOptiesDB[],MATCH($F306,Tb_KostenOptiesDB[KostenOptie],0),IFERROR(MATCH(Methode_Keuze,Tb_KostenOptiesDB[#Headers],0),2))=1,_xlfn.SWITCH($N306,"Uurtarief",IF(OR(AND(RIGHT($F306,3)="IKS",VLOOKUP($M306,DB_Loonkosten,2,0)="Ja"),AND(RIGHT($F306,3)&lt;&gt;"IKS",VLOOKUP($M306,DB_Loonkosten,2,0)="Nee")),IFERROR(VLOOKUP($M306,DB_Loonkosten,25,0),""),0),"Vast tarief",IF(LEFT(F306,8)="Bijdrage",VLOOKUP($F306,Tb_KostenTypen[],MATCH(Lijsten!$P$1,Tb_KostenTypen[#Headers],0),0),VLOOKUP($G306,Lijsten!L:P,MATCH(Lijsten!$P$1,Kop_Tarief_Vast,0),0))),""),"")</f>
        <v/>
      </c>
      <c r="Q306" s="359"/>
      <c r="R306" s="359"/>
      <c r="S306" s="321"/>
      <c r="T306" s="321"/>
      <c r="U306" s="373" t="str">
        <f t="shared" si="16"/>
        <v/>
      </c>
      <c r="V306" s="314" t="str">
        <f t="shared" si="17"/>
        <v/>
      </c>
      <c r="W306" s="314" t="str" cm="1">
        <f t="array" aca="1" ref="W306" ca="1">IFERROR(IF(AE306&lt;&gt;"ja",_xlfn.IFNA(_xlfn.IFS(AND(O306&lt;&gt;"",F306&lt;&gt;"",RIGHT($N306,6)="tarief",F306="Vergoeding"),SUM(O306)*FLOOR(SUM(Q306),0.0001),AND(O306&lt;&gt;"",F306&lt;&gt;"",RIGHT($N306,6)="tarief"),SUM(O306)*FLOOR(SUM(Q306),0.01),S306&gt;0,IF(F306&lt;&gt;"",FLOOR(SUM(S306),0.01),"")),""),""),"")</f>
        <v/>
      </c>
      <c r="X306" s="314" t="str" cm="1">
        <f t="array" aca="1" ref="X306" ca="1">IFERROR(IF(AE306&lt;&gt;"ja",_xlfn.IFNA(_xlfn.IFS(AND(P306&lt;&gt;"",R306&lt;&gt;"",RIGHT($N306,6)="tarief",F306="Vergoeding"),SUM(P306)*FLOOR(SUM(R306),0.0001),AND(P306&lt;&gt;"",R306&lt;&gt;"",RIGHT($N306,6)="tarief"),P306*FLOOR(R306,0.01),T306&gt;0,FLOOR(SUM(T306),0.01)),""),""),"")</f>
        <v/>
      </c>
      <c r="Y306" s="314" t="str">
        <f t="shared" ca="1" si="18"/>
        <v/>
      </c>
      <c r="Z306" s="314" t="str" cm="1">
        <f t="array" aca="1" ref="Z306" ca="1">IFERROR(_xlfn.IFS(OR(F306="",LEFT(Methode_Keuze,4)="Geen",Methode_Keuze=""),"",AND(W306&lt;&gt;"",F306&lt;&gt;"Arbeidskosten"),W306*VLOOKUP(F306,Tb_ProjectKosten[],MATCH(Tb_ProjectKosten[[#Headers],[Forfait_Percentage]],Tb_ProjectKosten[#Headers],0),0),AND(F306="Arbeidskosten",G306&lt;&gt;""),IFERROR(W306*VLOOKUP(G306,Tb_KostenTypen[],3,0)*VLOOKUP(F306,Tb_ProjectKosten[],MATCH(Tb_ProjectKosten[[#Headers],[Forfait_Percentage]],Tb_ProjectKosten[#Headers],0),0),""),W306 &lt;=0,0),"")</f>
        <v/>
      </c>
      <c r="AA306" s="314" t="str" cm="1">
        <f t="array" aca="1" ref="AA306" ca="1">IFERROR(_xlfn.IFS(OR(F306="",LEFT(Methode_Keuze,4)="Geen",Methode_Keuze=""),"",AND(X306&lt;&gt;"",F306&lt;&gt;"Arbeidskosten"),X306*VLOOKUP(F306,Tb_ProjectKosten[],MATCH(Tb_ProjectKosten[[#Headers],[Forfait_Percentage]],Tb_ProjectKosten[#Headers],0),0),AND(F306="Arbeidskosten",G306&lt;&gt;""),IFERROR(X306*VLOOKUP(G306,Tb_KostenTypen[],3,0)*VLOOKUP(F306,Tb_ProjectKosten[],MATCH(Tb_ProjectKosten[[#Headers],[Forfait_Percentage]],Tb_ProjectKosten[#Headers],0),0),""),X306 &lt;=0,0),"")</f>
        <v/>
      </c>
      <c r="AB306" s="314" t="str">
        <f t="shared" ca="1" si="19"/>
        <v/>
      </c>
      <c r="AC306" s="322"/>
      <c r="AD306" s="315"/>
      <c r="AE306" s="32" t="str" cm="1">
        <f t="array" ref="AE306">IFERROR(IF(INDEX(SubsidieTabel!$AD$1:$AG$12,MATCH($F306,SubsidieTabel!$AD$1:$AD$12,0),IFERROR(MATCH(Methode_Keuze,SubsidieTabel!$AD$1:$AG$1,0),2))&lt;&gt;1=TRUE,"ja",""),"")</f>
        <v/>
      </c>
    </row>
    <row r="307" spans="1:31" x14ac:dyDescent="0.25">
      <c r="A307" s="316"/>
      <c r="B307" s="317" t="str">
        <f>IF(A307&lt;&gt;"",_xlfn.MAXIFS($B$1:B306,$A$1:A306,A307)+1,"")</f>
        <v/>
      </c>
      <c r="C307" s="296"/>
      <c r="D307" s="296"/>
      <c r="E307" s="296"/>
      <c r="F307" s="296"/>
      <c r="G307" s="326"/>
      <c r="H307" s="324"/>
      <c r="I307" s="325"/>
      <c r="J307" s="325"/>
      <c r="K307" s="318"/>
      <c r="L307" s="318"/>
      <c r="M307" s="319" t="str">
        <f>IFERROR(VLOOKUP(H307,Lijsten!$H$1:$I$100,2,0),"")</f>
        <v/>
      </c>
      <c r="N307" s="319" t="str">
        <f ca="1">IFERROR(IF(VLOOKUP(F307,Kostentypen!$A$3:$E$21,3,0)=0,"",IF(OR(F307="Arbeidskosten",F307="Vergoeding"),VLOOKUP(G307,Tb_KostenTypen[],2,0),VLOOKUP(F307,Kostentypen!$A$3:$E$20,3,0))),"")</f>
        <v/>
      </c>
      <c r="O307" s="320" t="str" cm="1">
        <f t="array" ref="O307">_xlfn.IFNA(IF(INDEX(Tb_KostenOptiesDB[],MATCH($F307,Tb_KostenOptiesDB[KostenOptie],0),IFERROR(MATCH(Methode_Keuze,Tb_KostenOptiesDB[#Headers],0),2))=1,_xlfn.SWITCH($N307,"Uurtarief",IF(OR(AND(RIGHT($F307,3)="IKS",VLOOKUP($M307,DB_Loonkosten,2,0)="Ja"),AND(RIGHT($F307,3)&lt;&gt;"IKS",VLOOKUP($M307,DB_Loonkosten,2,0)="Nee")),IFERROR(VLOOKUP($M307,DB_Loonkosten,24,0),""),0),"Vast tarief",IF(LEFT(F307,8)="Bijdrage",VLOOKUP($F307,Tb_KostenTypen[],MATCH(Lijsten!$P$1,Tb_KostenTypen[#Headers],0),0),VLOOKUP($G307,Lijsten!L:P,MATCH(Lijsten!$P$1,Kop_Tarief_Vast,0),0))),""),"")</f>
        <v/>
      </c>
      <c r="P307" s="320" t="str" cm="1">
        <f t="array" ref="P307">_xlfn.IFNA(IF(INDEX(Tb_KostenOptiesDB[],MATCH($F307,Tb_KostenOptiesDB[KostenOptie],0),IFERROR(MATCH(Methode_Keuze,Tb_KostenOptiesDB[#Headers],0),2))=1,_xlfn.SWITCH($N307,"Uurtarief",IF(OR(AND(RIGHT($F307,3)="IKS",VLOOKUP($M307,DB_Loonkosten,2,0)="Ja"),AND(RIGHT($F307,3)&lt;&gt;"IKS",VLOOKUP($M307,DB_Loonkosten,2,0)="Nee")),IFERROR(VLOOKUP($M307,DB_Loonkosten,25,0),""),0),"Vast tarief",IF(LEFT(F307,8)="Bijdrage",VLOOKUP($F307,Tb_KostenTypen[],MATCH(Lijsten!$P$1,Tb_KostenTypen[#Headers],0),0),VLOOKUP($G307,Lijsten!L:P,MATCH(Lijsten!$P$1,Kop_Tarief_Vast,0),0))),""),"")</f>
        <v/>
      </c>
      <c r="Q307" s="359"/>
      <c r="R307" s="359"/>
      <c r="S307" s="321"/>
      <c r="T307" s="321"/>
      <c r="U307" s="373" t="str">
        <f t="shared" si="16"/>
        <v/>
      </c>
      <c r="V307" s="314" t="str">
        <f t="shared" si="17"/>
        <v/>
      </c>
      <c r="W307" s="314" t="str" cm="1">
        <f t="array" aca="1" ref="W307" ca="1">IFERROR(IF(AE307&lt;&gt;"ja",_xlfn.IFNA(_xlfn.IFS(AND(O307&lt;&gt;"",F307&lt;&gt;"",RIGHT($N307,6)="tarief",F307="Vergoeding"),SUM(O307)*FLOOR(SUM(Q307),0.0001),AND(O307&lt;&gt;"",F307&lt;&gt;"",RIGHT($N307,6)="tarief"),SUM(O307)*FLOOR(SUM(Q307),0.01),S307&gt;0,IF(F307&lt;&gt;"",FLOOR(SUM(S307),0.01),"")),""),""),"")</f>
        <v/>
      </c>
      <c r="X307" s="314" t="str" cm="1">
        <f t="array" aca="1" ref="X307" ca="1">IFERROR(IF(AE307&lt;&gt;"ja",_xlfn.IFNA(_xlfn.IFS(AND(P307&lt;&gt;"",R307&lt;&gt;"",RIGHT($N307,6)="tarief",F307="Vergoeding"),SUM(P307)*FLOOR(SUM(R307),0.0001),AND(P307&lt;&gt;"",R307&lt;&gt;"",RIGHT($N307,6)="tarief"),P307*FLOOR(R307,0.01),T307&gt;0,FLOOR(SUM(T307),0.01)),""),""),"")</f>
        <v/>
      </c>
      <c r="Y307" s="314" t="str">
        <f t="shared" ca="1" si="18"/>
        <v/>
      </c>
      <c r="Z307" s="314" t="str" cm="1">
        <f t="array" aca="1" ref="Z307" ca="1">IFERROR(_xlfn.IFS(OR(F307="",LEFT(Methode_Keuze,4)="Geen",Methode_Keuze=""),"",AND(W307&lt;&gt;"",F307&lt;&gt;"Arbeidskosten"),W307*VLOOKUP(F307,Tb_ProjectKosten[],MATCH(Tb_ProjectKosten[[#Headers],[Forfait_Percentage]],Tb_ProjectKosten[#Headers],0),0),AND(F307="Arbeidskosten",G307&lt;&gt;""),IFERROR(W307*VLOOKUP(G307,Tb_KostenTypen[],3,0)*VLOOKUP(F307,Tb_ProjectKosten[],MATCH(Tb_ProjectKosten[[#Headers],[Forfait_Percentage]],Tb_ProjectKosten[#Headers],0),0),""),W307 &lt;=0,0),"")</f>
        <v/>
      </c>
      <c r="AA307" s="314" t="str" cm="1">
        <f t="array" aca="1" ref="AA307" ca="1">IFERROR(_xlfn.IFS(OR(F307="",LEFT(Methode_Keuze,4)="Geen",Methode_Keuze=""),"",AND(X307&lt;&gt;"",F307&lt;&gt;"Arbeidskosten"),X307*VLOOKUP(F307,Tb_ProjectKosten[],MATCH(Tb_ProjectKosten[[#Headers],[Forfait_Percentage]],Tb_ProjectKosten[#Headers],0),0),AND(F307="Arbeidskosten",G307&lt;&gt;""),IFERROR(X307*VLOOKUP(G307,Tb_KostenTypen[],3,0)*VLOOKUP(F307,Tb_ProjectKosten[],MATCH(Tb_ProjectKosten[[#Headers],[Forfait_Percentage]],Tb_ProjectKosten[#Headers],0),0),""),X307 &lt;=0,0),"")</f>
        <v/>
      </c>
      <c r="AB307" s="314" t="str">
        <f t="shared" ca="1" si="19"/>
        <v/>
      </c>
      <c r="AC307" s="322"/>
      <c r="AD307" s="315"/>
      <c r="AE307" s="32" t="str" cm="1">
        <f t="array" ref="AE307">IFERROR(IF(INDEX(SubsidieTabel!$AD$1:$AG$12,MATCH($F307,SubsidieTabel!$AD$1:$AD$12,0),IFERROR(MATCH(Methode_Keuze,SubsidieTabel!$AD$1:$AG$1,0),2))&lt;&gt;1=TRUE,"ja",""),"")</f>
        <v/>
      </c>
    </row>
    <row r="308" spans="1:31" x14ac:dyDescent="0.25">
      <c r="A308" s="316"/>
      <c r="B308" s="317" t="str">
        <f>IF(A308&lt;&gt;"",_xlfn.MAXIFS($B$1:B307,$A$1:A307,A308)+1,"")</f>
        <v/>
      </c>
      <c r="C308" s="296"/>
      <c r="D308" s="296"/>
      <c r="E308" s="296"/>
      <c r="F308" s="296"/>
      <c r="G308" s="326"/>
      <c r="H308" s="324"/>
      <c r="I308" s="325"/>
      <c r="J308" s="325"/>
      <c r="K308" s="318"/>
      <c r="L308" s="318"/>
      <c r="M308" s="319" t="str">
        <f>IFERROR(VLOOKUP(H308,Lijsten!$H$1:$I$100,2,0),"")</f>
        <v/>
      </c>
      <c r="N308" s="319" t="str">
        <f ca="1">IFERROR(IF(VLOOKUP(F308,Kostentypen!$A$3:$E$21,3,0)=0,"",IF(OR(F308="Arbeidskosten",F308="Vergoeding"),VLOOKUP(G308,Tb_KostenTypen[],2,0),VLOOKUP(F308,Kostentypen!$A$3:$E$20,3,0))),"")</f>
        <v/>
      </c>
      <c r="O308" s="320" t="str" cm="1">
        <f t="array" ref="O308">_xlfn.IFNA(IF(INDEX(Tb_KostenOptiesDB[],MATCH($F308,Tb_KostenOptiesDB[KostenOptie],0),IFERROR(MATCH(Methode_Keuze,Tb_KostenOptiesDB[#Headers],0),2))=1,_xlfn.SWITCH($N308,"Uurtarief",IF(OR(AND(RIGHT($F308,3)="IKS",VLOOKUP($M308,DB_Loonkosten,2,0)="Ja"),AND(RIGHT($F308,3)&lt;&gt;"IKS",VLOOKUP($M308,DB_Loonkosten,2,0)="Nee")),IFERROR(VLOOKUP($M308,DB_Loonkosten,24,0),""),0),"Vast tarief",IF(LEFT(F308,8)="Bijdrage",VLOOKUP($F308,Tb_KostenTypen[],MATCH(Lijsten!$P$1,Tb_KostenTypen[#Headers],0),0),VLOOKUP($G308,Lijsten!L:P,MATCH(Lijsten!$P$1,Kop_Tarief_Vast,0),0))),""),"")</f>
        <v/>
      </c>
      <c r="P308" s="320" t="str" cm="1">
        <f t="array" ref="P308">_xlfn.IFNA(IF(INDEX(Tb_KostenOptiesDB[],MATCH($F308,Tb_KostenOptiesDB[KostenOptie],0),IFERROR(MATCH(Methode_Keuze,Tb_KostenOptiesDB[#Headers],0),2))=1,_xlfn.SWITCH($N308,"Uurtarief",IF(OR(AND(RIGHT($F308,3)="IKS",VLOOKUP($M308,DB_Loonkosten,2,0)="Ja"),AND(RIGHT($F308,3)&lt;&gt;"IKS",VLOOKUP($M308,DB_Loonkosten,2,0)="Nee")),IFERROR(VLOOKUP($M308,DB_Loonkosten,25,0),""),0),"Vast tarief",IF(LEFT(F308,8)="Bijdrage",VLOOKUP($F308,Tb_KostenTypen[],MATCH(Lijsten!$P$1,Tb_KostenTypen[#Headers],0),0),VLOOKUP($G308,Lijsten!L:P,MATCH(Lijsten!$P$1,Kop_Tarief_Vast,0),0))),""),"")</f>
        <v/>
      </c>
      <c r="Q308" s="359"/>
      <c r="R308" s="359"/>
      <c r="S308" s="321"/>
      <c r="T308" s="321"/>
      <c r="U308" s="373" t="str">
        <f t="shared" si="16"/>
        <v/>
      </c>
      <c r="V308" s="314" t="str">
        <f t="shared" si="17"/>
        <v/>
      </c>
      <c r="W308" s="314" t="str" cm="1">
        <f t="array" aca="1" ref="W308" ca="1">IFERROR(IF(AE308&lt;&gt;"ja",_xlfn.IFNA(_xlfn.IFS(AND(O308&lt;&gt;"",F308&lt;&gt;"",RIGHT($N308,6)="tarief",F308="Vergoeding"),SUM(O308)*FLOOR(SUM(Q308),0.0001),AND(O308&lt;&gt;"",F308&lt;&gt;"",RIGHT($N308,6)="tarief"),SUM(O308)*FLOOR(SUM(Q308),0.01),S308&gt;0,IF(F308&lt;&gt;"",FLOOR(SUM(S308),0.01),"")),""),""),"")</f>
        <v/>
      </c>
      <c r="X308" s="314" t="str" cm="1">
        <f t="array" aca="1" ref="X308" ca="1">IFERROR(IF(AE308&lt;&gt;"ja",_xlfn.IFNA(_xlfn.IFS(AND(P308&lt;&gt;"",R308&lt;&gt;"",RIGHT($N308,6)="tarief",F308="Vergoeding"),SUM(P308)*FLOOR(SUM(R308),0.0001),AND(P308&lt;&gt;"",R308&lt;&gt;"",RIGHT($N308,6)="tarief"),P308*FLOOR(R308,0.01),T308&gt;0,FLOOR(SUM(T308),0.01)),""),""),"")</f>
        <v/>
      </c>
      <c r="Y308" s="314" t="str">
        <f t="shared" ca="1" si="18"/>
        <v/>
      </c>
      <c r="Z308" s="314" t="str" cm="1">
        <f t="array" aca="1" ref="Z308" ca="1">IFERROR(_xlfn.IFS(OR(F308="",LEFT(Methode_Keuze,4)="Geen",Methode_Keuze=""),"",AND(W308&lt;&gt;"",F308&lt;&gt;"Arbeidskosten"),W308*VLOOKUP(F308,Tb_ProjectKosten[],MATCH(Tb_ProjectKosten[[#Headers],[Forfait_Percentage]],Tb_ProjectKosten[#Headers],0),0),AND(F308="Arbeidskosten",G308&lt;&gt;""),IFERROR(W308*VLOOKUP(G308,Tb_KostenTypen[],3,0)*VLOOKUP(F308,Tb_ProjectKosten[],MATCH(Tb_ProjectKosten[[#Headers],[Forfait_Percentage]],Tb_ProjectKosten[#Headers],0),0),""),W308 &lt;=0,0),"")</f>
        <v/>
      </c>
      <c r="AA308" s="314" t="str" cm="1">
        <f t="array" aca="1" ref="AA308" ca="1">IFERROR(_xlfn.IFS(OR(F308="",LEFT(Methode_Keuze,4)="Geen",Methode_Keuze=""),"",AND(X308&lt;&gt;"",F308&lt;&gt;"Arbeidskosten"),X308*VLOOKUP(F308,Tb_ProjectKosten[],MATCH(Tb_ProjectKosten[[#Headers],[Forfait_Percentage]],Tb_ProjectKosten[#Headers],0),0),AND(F308="Arbeidskosten",G308&lt;&gt;""),IFERROR(X308*VLOOKUP(G308,Tb_KostenTypen[],3,0)*VLOOKUP(F308,Tb_ProjectKosten[],MATCH(Tb_ProjectKosten[[#Headers],[Forfait_Percentage]],Tb_ProjectKosten[#Headers],0),0),""),X308 &lt;=0,0),"")</f>
        <v/>
      </c>
      <c r="AB308" s="314" t="str">
        <f t="shared" ca="1" si="19"/>
        <v/>
      </c>
      <c r="AC308" s="322"/>
      <c r="AD308" s="315"/>
      <c r="AE308" s="32" t="str" cm="1">
        <f t="array" ref="AE308">IFERROR(IF(INDEX(SubsidieTabel!$AD$1:$AG$12,MATCH($F308,SubsidieTabel!$AD$1:$AD$12,0),IFERROR(MATCH(Methode_Keuze,SubsidieTabel!$AD$1:$AG$1,0),2))&lt;&gt;1=TRUE,"ja",""),"")</f>
        <v/>
      </c>
    </row>
    <row r="309" spans="1:31" x14ac:dyDescent="0.25">
      <c r="A309" s="316"/>
      <c r="B309" s="317" t="str">
        <f>IF(A309&lt;&gt;"",_xlfn.MAXIFS($B$1:B308,$A$1:A308,A309)+1,"")</f>
        <v/>
      </c>
      <c r="C309" s="296"/>
      <c r="D309" s="296"/>
      <c r="E309" s="296"/>
      <c r="F309" s="296"/>
      <c r="G309" s="326"/>
      <c r="H309" s="324"/>
      <c r="I309" s="325"/>
      <c r="J309" s="325"/>
      <c r="K309" s="318"/>
      <c r="L309" s="318"/>
      <c r="M309" s="319" t="str">
        <f>IFERROR(VLOOKUP(H309,Lijsten!$H$1:$I$100,2,0),"")</f>
        <v/>
      </c>
      <c r="N309" s="319" t="str">
        <f ca="1">IFERROR(IF(VLOOKUP(F309,Kostentypen!$A$3:$E$21,3,0)=0,"",IF(OR(F309="Arbeidskosten",F309="Vergoeding"),VLOOKUP(G309,Tb_KostenTypen[],2,0),VLOOKUP(F309,Kostentypen!$A$3:$E$20,3,0))),"")</f>
        <v/>
      </c>
      <c r="O309" s="320" t="str" cm="1">
        <f t="array" ref="O309">_xlfn.IFNA(IF(INDEX(Tb_KostenOptiesDB[],MATCH($F309,Tb_KostenOptiesDB[KostenOptie],0),IFERROR(MATCH(Methode_Keuze,Tb_KostenOptiesDB[#Headers],0),2))=1,_xlfn.SWITCH($N309,"Uurtarief",IF(OR(AND(RIGHT($F309,3)="IKS",VLOOKUP($M309,DB_Loonkosten,2,0)="Ja"),AND(RIGHT($F309,3)&lt;&gt;"IKS",VLOOKUP($M309,DB_Loonkosten,2,0)="Nee")),IFERROR(VLOOKUP($M309,DB_Loonkosten,24,0),""),0),"Vast tarief",IF(LEFT(F309,8)="Bijdrage",VLOOKUP($F309,Tb_KostenTypen[],MATCH(Lijsten!$P$1,Tb_KostenTypen[#Headers],0),0),VLOOKUP($G309,Lijsten!L:P,MATCH(Lijsten!$P$1,Kop_Tarief_Vast,0),0))),""),"")</f>
        <v/>
      </c>
      <c r="P309" s="320" t="str" cm="1">
        <f t="array" ref="P309">_xlfn.IFNA(IF(INDEX(Tb_KostenOptiesDB[],MATCH($F309,Tb_KostenOptiesDB[KostenOptie],0),IFERROR(MATCH(Methode_Keuze,Tb_KostenOptiesDB[#Headers],0),2))=1,_xlfn.SWITCH($N309,"Uurtarief",IF(OR(AND(RIGHT($F309,3)="IKS",VLOOKUP($M309,DB_Loonkosten,2,0)="Ja"),AND(RIGHT($F309,3)&lt;&gt;"IKS",VLOOKUP($M309,DB_Loonkosten,2,0)="Nee")),IFERROR(VLOOKUP($M309,DB_Loonkosten,25,0),""),0),"Vast tarief",IF(LEFT(F309,8)="Bijdrage",VLOOKUP($F309,Tb_KostenTypen[],MATCH(Lijsten!$P$1,Tb_KostenTypen[#Headers],0),0),VLOOKUP($G309,Lijsten!L:P,MATCH(Lijsten!$P$1,Kop_Tarief_Vast,0),0))),""),"")</f>
        <v/>
      </c>
      <c r="Q309" s="359"/>
      <c r="R309" s="359"/>
      <c r="S309" s="321"/>
      <c r="T309" s="321"/>
      <c r="U309" s="373" t="str">
        <f t="shared" si="16"/>
        <v/>
      </c>
      <c r="V309" s="314" t="str">
        <f t="shared" si="17"/>
        <v/>
      </c>
      <c r="W309" s="314" t="str" cm="1">
        <f t="array" aca="1" ref="W309" ca="1">IFERROR(IF(AE309&lt;&gt;"ja",_xlfn.IFNA(_xlfn.IFS(AND(O309&lt;&gt;"",F309&lt;&gt;"",RIGHT($N309,6)="tarief",F309="Vergoeding"),SUM(O309)*FLOOR(SUM(Q309),0.0001),AND(O309&lt;&gt;"",F309&lt;&gt;"",RIGHT($N309,6)="tarief"),SUM(O309)*FLOOR(SUM(Q309),0.01),S309&gt;0,IF(F309&lt;&gt;"",FLOOR(SUM(S309),0.01),"")),""),""),"")</f>
        <v/>
      </c>
      <c r="X309" s="314" t="str" cm="1">
        <f t="array" aca="1" ref="X309" ca="1">IFERROR(IF(AE309&lt;&gt;"ja",_xlfn.IFNA(_xlfn.IFS(AND(P309&lt;&gt;"",R309&lt;&gt;"",RIGHT($N309,6)="tarief",F309="Vergoeding"),SUM(P309)*FLOOR(SUM(R309),0.0001),AND(P309&lt;&gt;"",R309&lt;&gt;"",RIGHT($N309,6)="tarief"),P309*FLOOR(R309,0.01),T309&gt;0,FLOOR(SUM(T309),0.01)),""),""),"")</f>
        <v/>
      </c>
      <c r="Y309" s="314" t="str">
        <f t="shared" ca="1" si="18"/>
        <v/>
      </c>
      <c r="Z309" s="314" t="str" cm="1">
        <f t="array" aca="1" ref="Z309" ca="1">IFERROR(_xlfn.IFS(OR(F309="",LEFT(Methode_Keuze,4)="Geen",Methode_Keuze=""),"",AND(W309&lt;&gt;"",F309&lt;&gt;"Arbeidskosten"),W309*VLOOKUP(F309,Tb_ProjectKosten[],MATCH(Tb_ProjectKosten[[#Headers],[Forfait_Percentage]],Tb_ProjectKosten[#Headers],0),0),AND(F309="Arbeidskosten",G309&lt;&gt;""),IFERROR(W309*VLOOKUP(G309,Tb_KostenTypen[],3,0)*VLOOKUP(F309,Tb_ProjectKosten[],MATCH(Tb_ProjectKosten[[#Headers],[Forfait_Percentage]],Tb_ProjectKosten[#Headers],0),0),""),W309 &lt;=0,0),"")</f>
        <v/>
      </c>
      <c r="AA309" s="314" t="str" cm="1">
        <f t="array" aca="1" ref="AA309" ca="1">IFERROR(_xlfn.IFS(OR(F309="",LEFT(Methode_Keuze,4)="Geen",Methode_Keuze=""),"",AND(X309&lt;&gt;"",F309&lt;&gt;"Arbeidskosten"),X309*VLOOKUP(F309,Tb_ProjectKosten[],MATCH(Tb_ProjectKosten[[#Headers],[Forfait_Percentage]],Tb_ProjectKosten[#Headers],0),0),AND(F309="Arbeidskosten",G309&lt;&gt;""),IFERROR(X309*VLOOKUP(G309,Tb_KostenTypen[],3,0)*VLOOKUP(F309,Tb_ProjectKosten[],MATCH(Tb_ProjectKosten[[#Headers],[Forfait_Percentage]],Tb_ProjectKosten[#Headers],0),0),""),X309 &lt;=0,0),"")</f>
        <v/>
      </c>
      <c r="AB309" s="314" t="str">
        <f t="shared" ca="1" si="19"/>
        <v/>
      </c>
      <c r="AC309" s="322"/>
      <c r="AD309" s="315"/>
      <c r="AE309" s="32" t="str" cm="1">
        <f t="array" ref="AE309">IFERROR(IF(INDEX(SubsidieTabel!$AD$1:$AG$12,MATCH($F309,SubsidieTabel!$AD$1:$AD$12,0),IFERROR(MATCH(Methode_Keuze,SubsidieTabel!$AD$1:$AG$1,0),2))&lt;&gt;1=TRUE,"ja",""),"")</f>
        <v/>
      </c>
    </row>
    <row r="310" spans="1:31" x14ac:dyDescent="0.25">
      <c r="A310" s="316"/>
      <c r="B310" s="317" t="str">
        <f>IF(A310&lt;&gt;"",_xlfn.MAXIFS($B$1:B309,$A$1:A309,A310)+1,"")</f>
        <v/>
      </c>
      <c r="C310" s="296"/>
      <c r="D310" s="296"/>
      <c r="E310" s="296"/>
      <c r="F310" s="296"/>
      <c r="G310" s="326"/>
      <c r="H310" s="324"/>
      <c r="I310" s="325"/>
      <c r="J310" s="325"/>
      <c r="K310" s="318"/>
      <c r="L310" s="318"/>
      <c r="M310" s="319" t="str">
        <f>IFERROR(VLOOKUP(H310,Lijsten!$H$1:$I$100,2,0),"")</f>
        <v/>
      </c>
      <c r="N310" s="319" t="str">
        <f ca="1">IFERROR(IF(VLOOKUP(F310,Kostentypen!$A$3:$E$21,3,0)=0,"",IF(OR(F310="Arbeidskosten",F310="Vergoeding"),VLOOKUP(G310,Tb_KostenTypen[],2,0),VLOOKUP(F310,Kostentypen!$A$3:$E$20,3,0))),"")</f>
        <v/>
      </c>
      <c r="O310" s="320" t="str" cm="1">
        <f t="array" ref="O310">_xlfn.IFNA(IF(INDEX(Tb_KostenOptiesDB[],MATCH($F310,Tb_KostenOptiesDB[KostenOptie],0),IFERROR(MATCH(Methode_Keuze,Tb_KostenOptiesDB[#Headers],0),2))=1,_xlfn.SWITCH($N310,"Uurtarief",IF(OR(AND(RIGHT($F310,3)="IKS",VLOOKUP($M310,DB_Loonkosten,2,0)="Ja"),AND(RIGHT($F310,3)&lt;&gt;"IKS",VLOOKUP($M310,DB_Loonkosten,2,0)="Nee")),IFERROR(VLOOKUP($M310,DB_Loonkosten,24,0),""),0),"Vast tarief",IF(LEFT(F310,8)="Bijdrage",VLOOKUP($F310,Tb_KostenTypen[],MATCH(Lijsten!$P$1,Tb_KostenTypen[#Headers],0),0),VLOOKUP($G310,Lijsten!L:P,MATCH(Lijsten!$P$1,Kop_Tarief_Vast,0),0))),""),"")</f>
        <v/>
      </c>
      <c r="P310" s="320" t="str" cm="1">
        <f t="array" ref="P310">_xlfn.IFNA(IF(INDEX(Tb_KostenOptiesDB[],MATCH($F310,Tb_KostenOptiesDB[KostenOptie],0),IFERROR(MATCH(Methode_Keuze,Tb_KostenOptiesDB[#Headers],0),2))=1,_xlfn.SWITCH($N310,"Uurtarief",IF(OR(AND(RIGHT($F310,3)="IKS",VLOOKUP($M310,DB_Loonkosten,2,0)="Ja"),AND(RIGHT($F310,3)&lt;&gt;"IKS",VLOOKUP($M310,DB_Loonkosten,2,0)="Nee")),IFERROR(VLOOKUP($M310,DB_Loonkosten,25,0),""),0),"Vast tarief",IF(LEFT(F310,8)="Bijdrage",VLOOKUP($F310,Tb_KostenTypen[],MATCH(Lijsten!$P$1,Tb_KostenTypen[#Headers],0),0),VLOOKUP($G310,Lijsten!L:P,MATCH(Lijsten!$P$1,Kop_Tarief_Vast,0),0))),""),"")</f>
        <v/>
      </c>
      <c r="Q310" s="359"/>
      <c r="R310" s="359"/>
      <c r="S310" s="321"/>
      <c r="T310" s="321"/>
      <c r="U310" s="373" t="str">
        <f t="shared" si="16"/>
        <v/>
      </c>
      <c r="V310" s="314" t="str">
        <f t="shared" si="17"/>
        <v/>
      </c>
      <c r="W310" s="314" t="str" cm="1">
        <f t="array" aca="1" ref="W310" ca="1">IFERROR(IF(AE310&lt;&gt;"ja",_xlfn.IFNA(_xlfn.IFS(AND(O310&lt;&gt;"",F310&lt;&gt;"",RIGHT($N310,6)="tarief",F310="Vergoeding"),SUM(O310)*FLOOR(SUM(Q310),0.0001),AND(O310&lt;&gt;"",F310&lt;&gt;"",RIGHT($N310,6)="tarief"),SUM(O310)*FLOOR(SUM(Q310),0.01),S310&gt;0,IF(F310&lt;&gt;"",FLOOR(SUM(S310),0.01),"")),""),""),"")</f>
        <v/>
      </c>
      <c r="X310" s="314" t="str" cm="1">
        <f t="array" aca="1" ref="X310" ca="1">IFERROR(IF(AE310&lt;&gt;"ja",_xlfn.IFNA(_xlfn.IFS(AND(P310&lt;&gt;"",R310&lt;&gt;"",RIGHT($N310,6)="tarief",F310="Vergoeding"),SUM(P310)*FLOOR(SUM(R310),0.0001),AND(P310&lt;&gt;"",R310&lt;&gt;"",RIGHT($N310,6)="tarief"),P310*FLOOR(R310,0.01),T310&gt;0,FLOOR(SUM(T310),0.01)),""),""),"")</f>
        <v/>
      </c>
      <c r="Y310" s="314" t="str">
        <f t="shared" ca="1" si="18"/>
        <v/>
      </c>
      <c r="Z310" s="314" t="str" cm="1">
        <f t="array" aca="1" ref="Z310" ca="1">IFERROR(_xlfn.IFS(OR(F310="",LEFT(Methode_Keuze,4)="Geen",Methode_Keuze=""),"",AND(W310&lt;&gt;"",F310&lt;&gt;"Arbeidskosten"),W310*VLOOKUP(F310,Tb_ProjectKosten[],MATCH(Tb_ProjectKosten[[#Headers],[Forfait_Percentage]],Tb_ProjectKosten[#Headers],0),0),AND(F310="Arbeidskosten",G310&lt;&gt;""),IFERROR(W310*VLOOKUP(G310,Tb_KostenTypen[],3,0)*VLOOKUP(F310,Tb_ProjectKosten[],MATCH(Tb_ProjectKosten[[#Headers],[Forfait_Percentage]],Tb_ProjectKosten[#Headers],0),0),""),W310 &lt;=0,0),"")</f>
        <v/>
      </c>
      <c r="AA310" s="314" t="str" cm="1">
        <f t="array" aca="1" ref="AA310" ca="1">IFERROR(_xlfn.IFS(OR(F310="",LEFT(Methode_Keuze,4)="Geen",Methode_Keuze=""),"",AND(X310&lt;&gt;"",F310&lt;&gt;"Arbeidskosten"),X310*VLOOKUP(F310,Tb_ProjectKosten[],MATCH(Tb_ProjectKosten[[#Headers],[Forfait_Percentage]],Tb_ProjectKosten[#Headers],0),0),AND(F310="Arbeidskosten",G310&lt;&gt;""),IFERROR(X310*VLOOKUP(G310,Tb_KostenTypen[],3,0)*VLOOKUP(F310,Tb_ProjectKosten[],MATCH(Tb_ProjectKosten[[#Headers],[Forfait_Percentage]],Tb_ProjectKosten[#Headers],0),0),""),X310 &lt;=0,0),"")</f>
        <v/>
      </c>
      <c r="AB310" s="314" t="str">
        <f t="shared" ca="1" si="19"/>
        <v/>
      </c>
      <c r="AC310" s="322"/>
      <c r="AD310" s="315"/>
      <c r="AE310" s="32" t="str" cm="1">
        <f t="array" ref="AE310">IFERROR(IF(INDEX(SubsidieTabel!$AD$1:$AG$12,MATCH($F310,SubsidieTabel!$AD$1:$AD$12,0),IFERROR(MATCH(Methode_Keuze,SubsidieTabel!$AD$1:$AG$1,0),2))&lt;&gt;1=TRUE,"ja",""),"")</f>
        <v/>
      </c>
    </row>
    <row r="311" spans="1:31" x14ac:dyDescent="0.25">
      <c r="A311" s="316"/>
      <c r="B311" s="317" t="str">
        <f>IF(A311&lt;&gt;"",_xlfn.MAXIFS($B$1:B310,$A$1:A310,A311)+1,"")</f>
        <v/>
      </c>
      <c r="C311" s="296"/>
      <c r="D311" s="296"/>
      <c r="E311" s="296"/>
      <c r="F311" s="296"/>
      <c r="G311" s="326"/>
      <c r="H311" s="324"/>
      <c r="I311" s="325"/>
      <c r="J311" s="325"/>
      <c r="K311" s="318"/>
      <c r="L311" s="318"/>
      <c r="M311" s="319" t="str">
        <f>IFERROR(VLOOKUP(H311,Lijsten!$H$1:$I$100,2,0),"")</f>
        <v/>
      </c>
      <c r="N311" s="319" t="str">
        <f ca="1">IFERROR(IF(VLOOKUP(F311,Kostentypen!$A$3:$E$21,3,0)=0,"",IF(OR(F311="Arbeidskosten",F311="Vergoeding"),VLOOKUP(G311,Tb_KostenTypen[],2,0),VLOOKUP(F311,Kostentypen!$A$3:$E$20,3,0))),"")</f>
        <v/>
      </c>
      <c r="O311" s="320" t="str" cm="1">
        <f t="array" ref="O311">_xlfn.IFNA(IF(INDEX(Tb_KostenOptiesDB[],MATCH($F311,Tb_KostenOptiesDB[KostenOptie],0),IFERROR(MATCH(Methode_Keuze,Tb_KostenOptiesDB[#Headers],0),2))=1,_xlfn.SWITCH($N311,"Uurtarief",IF(OR(AND(RIGHT($F311,3)="IKS",VLOOKUP($M311,DB_Loonkosten,2,0)="Ja"),AND(RIGHT($F311,3)&lt;&gt;"IKS",VLOOKUP($M311,DB_Loonkosten,2,0)="Nee")),IFERROR(VLOOKUP($M311,DB_Loonkosten,24,0),""),0),"Vast tarief",IF(LEFT(F311,8)="Bijdrage",VLOOKUP($F311,Tb_KostenTypen[],MATCH(Lijsten!$P$1,Tb_KostenTypen[#Headers],0),0),VLOOKUP($G311,Lijsten!L:P,MATCH(Lijsten!$P$1,Kop_Tarief_Vast,0),0))),""),"")</f>
        <v/>
      </c>
      <c r="P311" s="320" t="str" cm="1">
        <f t="array" ref="P311">_xlfn.IFNA(IF(INDEX(Tb_KostenOptiesDB[],MATCH($F311,Tb_KostenOptiesDB[KostenOptie],0),IFERROR(MATCH(Methode_Keuze,Tb_KostenOptiesDB[#Headers],0),2))=1,_xlfn.SWITCH($N311,"Uurtarief",IF(OR(AND(RIGHT($F311,3)="IKS",VLOOKUP($M311,DB_Loonkosten,2,0)="Ja"),AND(RIGHT($F311,3)&lt;&gt;"IKS",VLOOKUP($M311,DB_Loonkosten,2,0)="Nee")),IFERROR(VLOOKUP($M311,DB_Loonkosten,25,0),""),0),"Vast tarief",IF(LEFT(F311,8)="Bijdrage",VLOOKUP($F311,Tb_KostenTypen[],MATCH(Lijsten!$P$1,Tb_KostenTypen[#Headers],0),0),VLOOKUP($G311,Lijsten!L:P,MATCH(Lijsten!$P$1,Kop_Tarief_Vast,0),0))),""),"")</f>
        <v/>
      </c>
      <c r="Q311" s="359"/>
      <c r="R311" s="359"/>
      <c r="S311" s="321"/>
      <c r="T311" s="321"/>
      <c r="U311" s="373" t="str">
        <f t="shared" si="16"/>
        <v/>
      </c>
      <c r="V311" s="314" t="str">
        <f t="shared" si="17"/>
        <v/>
      </c>
      <c r="W311" s="314" t="str" cm="1">
        <f t="array" aca="1" ref="W311" ca="1">IFERROR(IF(AE311&lt;&gt;"ja",_xlfn.IFNA(_xlfn.IFS(AND(O311&lt;&gt;"",F311&lt;&gt;"",RIGHT($N311,6)="tarief",F311="Vergoeding"),SUM(O311)*FLOOR(SUM(Q311),0.0001),AND(O311&lt;&gt;"",F311&lt;&gt;"",RIGHT($N311,6)="tarief"),SUM(O311)*FLOOR(SUM(Q311),0.01),S311&gt;0,IF(F311&lt;&gt;"",FLOOR(SUM(S311),0.01),"")),""),""),"")</f>
        <v/>
      </c>
      <c r="X311" s="314" t="str" cm="1">
        <f t="array" aca="1" ref="X311" ca="1">IFERROR(IF(AE311&lt;&gt;"ja",_xlfn.IFNA(_xlfn.IFS(AND(P311&lt;&gt;"",R311&lt;&gt;"",RIGHT($N311,6)="tarief",F311="Vergoeding"),SUM(P311)*FLOOR(SUM(R311),0.0001),AND(P311&lt;&gt;"",R311&lt;&gt;"",RIGHT($N311,6)="tarief"),P311*FLOOR(R311,0.01),T311&gt;0,FLOOR(SUM(T311),0.01)),""),""),"")</f>
        <v/>
      </c>
      <c r="Y311" s="314" t="str">
        <f t="shared" ca="1" si="18"/>
        <v/>
      </c>
      <c r="Z311" s="314" t="str" cm="1">
        <f t="array" aca="1" ref="Z311" ca="1">IFERROR(_xlfn.IFS(OR(F311="",LEFT(Methode_Keuze,4)="Geen",Methode_Keuze=""),"",AND(W311&lt;&gt;"",F311&lt;&gt;"Arbeidskosten"),W311*VLOOKUP(F311,Tb_ProjectKosten[],MATCH(Tb_ProjectKosten[[#Headers],[Forfait_Percentage]],Tb_ProjectKosten[#Headers],0),0),AND(F311="Arbeidskosten",G311&lt;&gt;""),IFERROR(W311*VLOOKUP(G311,Tb_KostenTypen[],3,0)*VLOOKUP(F311,Tb_ProjectKosten[],MATCH(Tb_ProjectKosten[[#Headers],[Forfait_Percentage]],Tb_ProjectKosten[#Headers],0),0),""),W311 &lt;=0,0),"")</f>
        <v/>
      </c>
      <c r="AA311" s="314" t="str" cm="1">
        <f t="array" aca="1" ref="AA311" ca="1">IFERROR(_xlfn.IFS(OR(F311="",LEFT(Methode_Keuze,4)="Geen",Methode_Keuze=""),"",AND(X311&lt;&gt;"",F311&lt;&gt;"Arbeidskosten"),X311*VLOOKUP(F311,Tb_ProjectKosten[],MATCH(Tb_ProjectKosten[[#Headers],[Forfait_Percentage]],Tb_ProjectKosten[#Headers],0),0),AND(F311="Arbeidskosten",G311&lt;&gt;""),IFERROR(X311*VLOOKUP(G311,Tb_KostenTypen[],3,0)*VLOOKUP(F311,Tb_ProjectKosten[],MATCH(Tb_ProjectKosten[[#Headers],[Forfait_Percentage]],Tb_ProjectKosten[#Headers],0),0),""),X311 &lt;=0,0),"")</f>
        <v/>
      </c>
      <c r="AB311" s="314" t="str">
        <f t="shared" ca="1" si="19"/>
        <v/>
      </c>
      <c r="AC311" s="322"/>
      <c r="AD311" s="315"/>
      <c r="AE311" s="32" t="str" cm="1">
        <f t="array" ref="AE311">IFERROR(IF(INDEX(SubsidieTabel!$AD$1:$AG$12,MATCH($F311,SubsidieTabel!$AD$1:$AD$12,0),IFERROR(MATCH(Methode_Keuze,SubsidieTabel!$AD$1:$AG$1,0),2))&lt;&gt;1=TRUE,"ja",""),"")</f>
        <v/>
      </c>
    </row>
    <row r="312" spans="1:31" x14ac:dyDescent="0.25">
      <c r="A312" s="316"/>
      <c r="B312" s="317" t="str">
        <f>IF(A312&lt;&gt;"",_xlfn.MAXIFS($B$1:B311,$A$1:A311,A312)+1,"")</f>
        <v/>
      </c>
      <c r="C312" s="296"/>
      <c r="D312" s="296"/>
      <c r="E312" s="296"/>
      <c r="F312" s="296"/>
      <c r="G312" s="326"/>
      <c r="H312" s="324"/>
      <c r="I312" s="325"/>
      <c r="J312" s="325"/>
      <c r="K312" s="318"/>
      <c r="L312" s="318"/>
      <c r="M312" s="319" t="str">
        <f>IFERROR(VLOOKUP(H312,Lijsten!$H$1:$I$100,2,0),"")</f>
        <v/>
      </c>
      <c r="N312" s="319" t="str">
        <f ca="1">IFERROR(IF(VLOOKUP(F312,Kostentypen!$A$3:$E$21,3,0)=0,"",IF(OR(F312="Arbeidskosten",F312="Vergoeding"),VLOOKUP(G312,Tb_KostenTypen[],2,0),VLOOKUP(F312,Kostentypen!$A$3:$E$20,3,0))),"")</f>
        <v/>
      </c>
      <c r="O312" s="320" t="str" cm="1">
        <f t="array" ref="O312">_xlfn.IFNA(IF(INDEX(Tb_KostenOptiesDB[],MATCH($F312,Tb_KostenOptiesDB[KostenOptie],0),IFERROR(MATCH(Methode_Keuze,Tb_KostenOptiesDB[#Headers],0),2))=1,_xlfn.SWITCH($N312,"Uurtarief",IF(OR(AND(RIGHT($F312,3)="IKS",VLOOKUP($M312,DB_Loonkosten,2,0)="Ja"),AND(RIGHT($F312,3)&lt;&gt;"IKS",VLOOKUP($M312,DB_Loonkosten,2,0)="Nee")),IFERROR(VLOOKUP($M312,DB_Loonkosten,24,0),""),0),"Vast tarief",IF(LEFT(F312,8)="Bijdrage",VLOOKUP($F312,Tb_KostenTypen[],MATCH(Lijsten!$P$1,Tb_KostenTypen[#Headers],0),0),VLOOKUP($G312,Lijsten!L:P,MATCH(Lijsten!$P$1,Kop_Tarief_Vast,0),0))),""),"")</f>
        <v/>
      </c>
      <c r="P312" s="320" t="str" cm="1">
        <f t="array" ref="P312">_xlfn.IFNA(IF(INDEX(Tb_KostenOptiesDB[],MATCH($F312,Tb_KostenOptiesDB[KostenOptie],0),IFERROR(MATCH(Methode_Keuze,Tb_KostenOptiesDB[#Headers],0),2))=1,_xlfn.SWITCH($N312,"Uurtarief",IF(OR(AND(RIGHT($F312,3)="IKS",VLOOKUP($M312,DB_Loonkosten,2,0)="Ja"),AND(RIGHT($F312,3)&lt;&gt;"IKS",VLOOKUP($M312,DB_Loonkosten,2,0)="Nee")),IFERROR(VLOOKUP($M312,DB_Loonkosten,25,0),""),0),"Vast tarief",IF(LEFT(F312,8)="Bijdrage",VLOOKUP($F312,Tb_KostenTypen[],MATCH(Lijsten!$P$1,Tb_KostenTypen[#Headers],0),0),VLOOKUP($G312,Lijsten!L:P,MATCH(Lijsten!$P$1,Kop_Tarief_Vast,0),0))),""),"")</f>
        <v/>
      </c>
      <c r="Q312" s="359"/>
      <c r="R312" s="359"/>
      <c r="S312" s="321"/>
      <c r="T312" s="321"/>
      <c r="U312" s="373" t="str">
        <f t="shared" si="16"/>
        <v/>
      </c>
      <c r="V312" s="314" t="str">
        <f t="shared" si="17"/>
        <v/>
      </c>
      <c r="W312" s="314" t="str" cm="1">
        <f t="array" aca="1" ref="W312" ca="1">IFERROR(IF(AE312&lt;&gt;"ja",_xlfn.IFNA(_xlfn.IFS(AND(O312&lt;&gt;"",F312&lt;&gt;"",RIGHT($N312,6)="tarief",F312="Vergoeding"),SUM(O312)*FLOOR(SUM(Q312),0.0001),AND(O312&lt;&gt;"",F312&lt;&gt;"",RIGHT($N312,6)="tarief"),SUM(O312)*FLOOR(SUM(Q312),0.01),S312&gt;0,IF(F312&lt;&gt;"",FLOOR(SUM(S312),0.01),"")),""),""),"")</f>
        <v/>
      </c>
      <c r="X312" s="314" t="str" cm="1">
        <f t="array" aca="1" ref="X312" ca="1">IFERROR(IF(AE312&lt;&gt;"ja",_xlfn.IFNA(_xlfn.IFS(AND(P312&lt;&gt;"",R312&lt;&gt;"",RIGHT($N312,6)="tarief",F312="Vergoeding"),SUM(P312)*FLOOR(SUM(R312),0.0001),AND(P312&lt;&gt;"",R312&lt;&gt;"",RIGHT($N312,6)="tarief"),P312*FLOOR(R312,0.01),T312&gt;0,FLOOR(SUM(T312),0.01)),""),""),"")</f>
        <v/>
      </c>
      <c r="Y312" s="314" t="str">
        <f t="shared" ca="1" si="18"/>
        <v/>
      </c>
      <c r="Z312" s="314" t="str" cm="1">
        <f t="array" aca="1" ref="Z312" ca="1">IFERROR(_xlfn.IFS(OR(F312="",LEFT(Methode_Keuze,4)="Geen",Methode_Keuze=""),"",AND(W312&lt;&gt;"",F312&lt;&gt;"Arbeidskosten"),W312*VLOOKUP(F312,Tb_ProjectKosten[],MATCH(Tb_ProjectKosten[[#Headers],[Forfait_Percentage]],Tb_ProjectKosten[#Headers],0),0),AND(F312="Arbeidskosten",G312&lt;&gt;""),IFERROR(W312*VLOOKUP(G312,Tb_KostenTypen[],3,0)*VLOOKUP(F312,Tb_ProjectKosten[],MATCH(Tb_ProjectKosten[[#Headers],[Forfait_Percentage]],Tb_ProjectKosten[#Headers],0),0),""),W312 &lt;=0,0),"")</f>
        <v/>
      </c>
      <c r="AA312" s="314" t="str" cm="1">
        <f t="array" aca="1" ref="AA312" ca="1">IFERROR(_xlfn.IFS(OR(F312="",LEFT(Methode_Keuze,4)="Geen",Methode_Keuze=""),"",AND(X312&lt;&gt;"",F312&lt;&gt;"Arbeidskosten"),X312*VLOOKUP(F312,Tb_ProjectKosten[],MATCH(Tb_ProjectKosten[[#Headers],[Forfait_Percentage]],Tb_ProjectKosten[#Headers],0),0),AND(F312="Arbeidskosten",G312&lt;&gt;""),IFERROR(X312*VLOOKUP(G312,Tb_KostenTypen[],3,0)*VLOOKUP(F312,Tb_ProjectKosten[],MATCH(Tb_ProjectKosten[[#Headers],[Forfait_Percentage]],Tb_ProjectKosten[#Headers],0),0),""),X312 &lt;=0,0),"")</f>
        <v/>
      </c>
      <c r="AB312" s="314" t="str">
        <f t="shared" ca="1" si="19"/>
        <v/>
      </c>
      <c r="AC312" s="322"/>
      <c r="AD312" s="315"/>
      <c r="AE312" s="32" t="str" cm="1">
        <f t="array" ref="AE312">IFERROR(IF(INDEX(SubsidieTabel!$AD$1:$AG$12,MATCH($F312,SubsidieTabel!$AD$1:$AD$12,0),IFERROR(MATCH(Methode_Keuze,SubsidieTabel!$AD$1:$AG$1,0),2))&lt;&gt;1=TRUE,"ja",""),"")</f>
        <v/>
      </c>
    </row>
    <row r="313" spans="1:31" x14ac:dyDescent="0.25">
      <c r="A313" s="316"/>
      <c r="B313" s="317" t="str">
        <f>IF(A313&lt;&gt;"",_xlfn.MAXIFS($B$1:B312,$A$1:A312,A313)+1,"")</f>
        <v/>
      </c>
      <c r="C313" s="296"/>
      <c r="D313" s="296"/>
      <c r="E313" s="296"/>
      <c r="F313" s="296"/>
      <c r="G313" s="326"/>
      <c r="H313" s="324"/>
      <c r="I313" s="325"/>
      <c r="J313" s="325"/>
      <c r="K313" s="318"/>
      <c r="L313" s="318"/>
      <c r="M313" s="319" t="str">
        <f>IFERROR(VLOOKUP(H313,Lijsten!$H$1:$I$100,2,0),"")</f>
        <v/>
      </c>
      <c r="N313" s="319" t="str">
        <f ca="1">IFERROR(IF(VLOOKUP(F313,Kostentypen!$A$3:$E$21,3,0)=0,"",IF(OR(F313="Arbeidskosten",F313="Vergoeding"),VLOOKUP(G313,Tb_KostenTypen[],2,0),VLOOKUP(F313,Kostentypen!$A$3:$E$20,3,0))),"")</f>
        <v/>
      </c>
      <c r="O313" s="320" t="str" cm="1">
        <f t="array" ref="O313">_xlfn.IFNA(IF(INDEX(Tb_KostenOptiesDB[],MATCH($F313,Tb_KostenOptiesDB[KostenOptie],0),IFERROR(MATCH(Methode_Keuze,Tb_KostenOptiesDB[#Headers],0),2))=1,_xlfn.SWITCH($N313,"Uurtarief",IF(OR(AND(RIGHT($F313,3)="IKS",VLOOKUP($M313,DB_Loonkosten,2,0)="Ja"),AND(RIGHT($F313,3)&lt;&gt;"IKS",VLOOKUP($M313,DB_Loonkosten,2,0)="Nee")),IFERROR(VLOOKUP($M313,DB_Loonkosten,24,0),""),0),"Vast tarief",IF(LEFT(F313,8)="Bijdrage",VLOOKUP($F313,Tb_KostenTypen[],MATCH(Lijsten!$P$1,Tb_KostenTypen[#Headers],0),0),VLOOKUP($G313,Lijsten!L:P,MATCH(Lijsten!$P$1,Kop_Tarief_Vast,0),0))),""),"")</f>
        <v/>
      </c>
      <c r="P313" s="320" t="str" cm="1">
        <f t="array" ref="P313">_xlfn.IFNA(IF(INDEX(Tb_KostenOptiesDB[],MATCH($F313,Tb_KostenOptiesDB[KostenOptie],0),IFERROR(MATCH(Methode_Keuze,Tb_KostenOptiesDB[#Headers],0),2))=1,_xlfn.SWITCH($N313,"Uurtarief",IF(OR(AND(RIGHT($F313,3)="IKS",VLOOKUP($M313,DB_Loonkosten,2,0)="Ja"),AND(RIGHT($F313,3)&lt;&gt;"IKS",VLOOKUP($M313,DB_Loonkosten,2,0)="Nee")),IFERROR(VLOOKUP($M313,DB_Loonkosten,25,0),""),0),"Vast tarief",IF(LEFT(F313,8)="Bijdrage",VLOOKUP($F313,Tb_KostenTypen[],MATCH(Lijsten!$P$1,Tb_KostenTypen[#Headers],0),0),VLOOKUP($G313,Lijsten!L:P,MATCH(Lijsten!$P$1,Kop_Tarief_Vast,0),0))),""),"")</f>
        <v/>
      </c>
      <c r="Q313" s="359"/>
      <c r="R313" s="359"/>
      <c r="S313" s="321"/>
      <c r="T313" s="321"/>
      <c r="U313" s="373" t="str">
        <f t="shared" si="16"/>
        <v/>
      </c>
      <c r="V313" s="314" t="str">
        <f t="shared" si="17"/>
        <v/>
      </c>
      <c r="W313" s="314" t="str" cm="1">
        <f t="array" aca="1" ref="W313" ca="1">IFERROR(IF(AE313&lt;&gt;"ja",_xlfn.IFNA(_xlfn.IFS(AND(O313&lt;&gt;"",F313&lt;&gt;"",RIGHT($N313,6)="tarief",F313="Vergoeding"),SUM(O313)*FLOOR(SUM(Q313),0.0001),AND(O313&lt;&gt;"",F313&lt;&gt;"",RIGHT($N313,6)="tarief"),SUM(O313)*FLOOR(SUM(Q313),0.01),S313&gt;0,IF(F313&lt;&gt;"",FLOOR(SUM(S313),0.01),"")),""),""),"")</f>
        <v/>
      </c>
      <c r="X313" s="314" t="str" cm="1">
        <f t="array" aca="1" ref="X313" ca="1">IFERROR(IF(AE313&lt;&gt;"ja",_xlfn.IFNA(_xlfn.IFS(AND(P313&lt;&gt;"",R313&lt;&gt;"",RIGHT($N313,6)="tarief",F313="Vergoeding"),SUM(P313)*FLOOR(SUM(R313),0.0001),AND(P313&lt;&gt;"",R313&lt;&gt;"",RIGHT($N313,6)="tarief"),P313*FLOOR(R313,0.01),T313&gt;0,FLOOR(SUM(T313),0.01)),""),""),"")</f>
        <v/>
      </c>
      <c r="Y313" s="314" t="str">
        <f t="shared" ca="1" si="18"/>
        <v/>
      </c>
      <c r="Z313" s="314" t="str" cm="1">
        <f t="array" aca="1" ref="Z313" ca="1">IFERROR(_xlfn.IFS(OR(F313="",LEFT(Methode_Keuze,4)="Geen",Methode_Keuze=""),"",AND(W313&lt;&gt;"",F313&lt;&gt;"Arbeidskosten"),W313*VLOOKUP(F313,Tb_ProjectKosten[],MATCH(Tb_ProjectKosten[[#Headers],[Forfait_Percentage]],Tb_ProjectKosten[#Headers],0),0),AND(F313="Arbeidskosten",G313&lt;&gt;""),IFERROR(W313*VLOOKUP(G313,Tb_KostenTypen[],3,0)*VLOOKUP(F313,Tb_ProjectKosten[],MATCH(Tb_ProjectKosten[[#Headers],[Forfait_Percentage]],Tb_ProjectKosten[#Headers],0),0),""),W313 &lt;=0,0),"")</f>
        <v/>
      </c>
      <c r="AA313" s="314" t="str" cm="1">
        <f t="array" aca="1" ref="AA313" ca="1">IFERROR(_xlfn.IFS(OR(F313="",LEFT(Methode_Keuze,4)="Geen",Methode_Keuze=""),"",AND(X313&lt;&gt;"",F313&lt;&gt;"Arbeidskosten"),X313*VLOOKUP(F313,Tb_ProjectKosten[],MATCH(Tb_ProjectKosten[[#Headers],[Forfait_Percentage]],Tb_ProjectKosten[#Headers],0),0),AND(F313="Arbeidskosten",G313&lt;&gt;""),IFERROR(X313*VLOOKUP(G313,Tb_KostenTypen[],3,0)*VLOOKUP(F313,Tb_ProjectKosten[],MATCH(Tb_ProjectKosten[[#Headers],[Forfait_Percentage]],Tb_ProjectKosten[#Headers],0),0),""),X313 &lt;=0,0),"")</f>
        <v/>
      </c>
      <c r="AB313" s="314" t="str">
        <f t="shared" ca="1" si="19"/>
        <v/>
      </c>
      <c r="AC313" s="322"/>
      <c r="AD313" s="315"/>
      <c r="AE313" s="32" t="str" cm="1">
        <f t="array" ref="AE313">IFERROR(IF(INDEX(SubsidieTabel!$AD$1:$AG$12,MATCH($F313,SubsidieTabel!$AD$1:$AD$12,0),IFERROR(MATCH(Methode_Keuze,SubsidieTabel!$AD$1:$AG$1,0),2))&lt;&gt;1=TRUE,"ja",""),"")</f>
        <v/>
      </c>
    </row>
    <row r="314" spans="1:31" x14ac:dyDescent="0.25">
      <c r="A314" s="316"/>
      <c r="B314" s="317" t="str">
        <f>IF(A314&lt;&gt;"",_xlfn.MAXIFS($B$1:B313,$A$1:A313,A314)+1,"")</f>
        <v/>
      </c>
      <c r="C314" s="296"/>
      <c r="D314" s="296"/>
      <c r="E314" s="296"/>
      <c r="F314" s="296"/>
      <c r="G314" s="326"/>
      <c r="H314" s="324"/>
      <c r="I314" s="325"/>
      <c r="J314" s="325"/>
      <c r="K314" s="318"/>
      <c r="L314" s="318"/>
      <c r="M314" s="319" t="str">
        <f>IFERROR(VLOOKUP(H314,Lijsten!$H$1:$I$100,2,0),"")</f>
        <v/>
      </c>
      <c r="N314" s="319" t="str">
        <f ca="1">IFERROR(IF(VLOOKUP(F314,Kostentypen!$A$3:$E$21,3,0)=0,"",IF(OR(F314="Arbeidskosten",F314="Vergoeding"),VLOOKUP(G314,Tb_KostenTypen[],2,0),VLOOKUP(F314,Kostentypen!$A$3:$E$20,3,0))),"")</f>
        <v/>
      </c>
      <c r="O314" s="320" t="str" cm="1">
        <f t="array" ref="O314">_xlfn.IFNA(IF(INDEX(Tb_KostenOptiesDB[],MATCH($F314,Tb_KostenOptiesDB[KostenOptie],0),IFERROR(MATCH(Methode_Keuze,Tb_KostenOptiesDB[#Headers],0),2))=1,_xlfn.SWITCH($N314,"Uurtarief",IF(OR(AND(RIGHT($F314,3)="IKS",VLOOKUP($M314,DB_Loonkosten,2,0)="Ja"),AND(RIGHT($F314,3)&lt;&gt;"IKS",VLOOKUP($M314,DB_Loonkosten,2,0)="Nee")),IFERROR(VLOOKUP($M314,DB_Loonkosten,24,0),""),0),"Vast tarief",IF(LEFT(F314,8)="Bijdrage",VLOOKUP($F314,Tb_KostenTypen[],MATCH(Lijsten!$P$1,Tb_KostenTypen[#Headers],0),0),VLOOKUP($G314,Lijsten!L:P,MATCH(Lijsten!$P$1,Kop_Tarief_Vast,0),0))),""),"")</f>
        <v/>
      </c>
      <c r="P314" s="320" t="str" cm="1">
        <f t="array" ref="P314">_xlfn.IFNA(IF(INDEX(Tb_KostenOptiesDB[],MATCH($F314,Tb_KostenOptiesDB[KostenOptie],0),IFERROR(MATCH(Methode_Keuze,Tb_KostenOptiesDB[#Headers],0),2))=1,_xlfn.SWITCH($N314,"Uurtarief",IF(OR(AND(RIGHT($F314,3)="IKS",VLOOKUP($M314,DB_Loonkosten,2,0)="Ja"),AND(RIGHT($F314,3)&lt;&gt;"IKS",VLOOKUP($M314,DB_Loonkosten,2,0)="Nee")),IFERROR(VLOOKUP($M314,DB_Loonkosten,25,0),""),0),"Vast tarief",IF(LEFT(F314,8)="Bijdrage",VLOOKUP($F314,Tb_KostenTypen[],MATCH(Lijsten!$P$1,Tb_KostenTypen[#Headers],0),0),VLOOKUP($G314,Lijsten!L:P,MATCH(Lijsten!$P$1,Kop_Tarief_Vast,0),0))),""),"")</f>
        <v/>
      </c>
      <c r="Q314" s="359"/>
      <c r="R314" s="359"/>
      <c r="S314" s="321"/>
      <c r="T314" s="321"/>
      <c r="U314" s="373" t="str">
        <f t="shared" si="16"/>
        <v/>
      </c>
      <c r="V314" s="314" t="str">
        <f t="shared" si="17"/>
        <v/>
      </c>
      <c r="W314" s="314" t="str" cm="1">
        <f t="array" aca="1" ref="W314" ca="1">IFERROR(IF(AE314&lt;&gt;"ja",_xlfn.IFNA(_xlfn.IFS(AND(O314&lt;&gt;"",F314&lt;&gt;"",RIGHT($N314,6)="tarief",F314="Vergoeding"),SUM(O314)*FLOOR(SUM(Q314),0.0001),AND(O314&lt;&gt;"",F314&lt;&gt;"",RIGHT($N314,6)="tarief"),SUM(O314)*FLOOR(SUM(Q314),0.01),S314&gt;0,IF(F314&lt;&gt;"",FLOOR(SUM(S314),0.01),"")),""),""),"")</f>
        <v/>
      </c>
      <c r="X314" s="314" t="str" cm="1">
        <f t="array" aca="1" ref="X314" ca="1">IFERROR(IF(AE314&lt;&gt;"ja",_xlfn.IFNA(_xlfn.IFS(AND(P314&lt;&gt;"",R314&lt;&gt;"",RIGHT($N314,6)="tarief",F314="Vergoeding"),SUM(P314)*FLOOR(SUM(R314),0.0001),AND(P314&lt;&gt;"",R314&lt;&gt;"",RIGHT($N314,6)="tarief"),P314*FLOOR(R314,0.01),T314&gt;0,FLOOR(SUM(T314),0.01)),""),""),"")</f>
        <v/>
      </c>
      <c r="Y314" s="314" t="str">
        <f t="shared" ca="1" si="18"/>
        <v/>
      </c>
      <c r="Z314" s="314" t="str" cm="1">
        <f t="array" aca="1" ref="Z314" ca="1">IFERROR(_xlfn.IFS(OR(F314="",LEFT(Methode_Keuze,4)="Geen",Methode_Keuze=""),"",AND(W314&lt;&gt;"",F314&lt;&gt;"Arbeidskosten"),W314*VLOOKUP(F314,Tb_ProjectKosten[],MATCH(Tb_ProjectKosten[[#Headers],[Forfait_Percentage]],Tb_ProjectKosten[#Headers],0),0),AND(F314="Arbeidskosten",G314&lt;&gt;""),IFERROR(W314*VLOOKUP(G314,Tb_KostenTypen[],3,0)*VLOOKUP(F314,Tb_ProjectKosten[],MATCH(Tb_ProjectKosten[[#Headers],[Forfait_Percentage]],Tb_ProjectKosten[#Headers],0),0),""),W314 &lt;=0,0),"")</f>
        <v/>
      </c>
      <c r="AA314" s="314" t="str" cm="1">
        <f t="array" aca="1" ref="AA314" ca="1">IFERROR(_xlfn.IFS(OR(F314="",LEFT(Methode_Keuze,4)="Geen",Methode_Keuze=""),"",AND(X314&lt;&gt;"",F314&lt;&gt;"Arbeidskosten"),X314*VLOOKUP(F314,Tb_ProjectKosten[],MATCH(Tb_ProjectKosten[[#Headers],[Forfait_Percentage]],Tb_ProjectKosten[#Headers],0),0),AND(F314="Arbeidskosten",G314&lt;&gt;""),IFERROR(X314*VLOOKUP(G314,Tb_KostenTypen[],3,0)*VLOOKUP(F314,Tb_ProjectKosten[],MATCH(Tb_ProjectKosten[[#Headers],[Forfait_Percentage]],Tb_ProjectKosten[#Headers],0),0),""),X314 &lt;=0,0),"")</f>
        <v/>
      </c>
      <c r="AB314" s="314" t="str">
        <f t="shared" ca="1" si="19"/>
        <v/>
      </c>
      <c r="AC314" s="322"/>
      <c r="AD314" s="315"/>
      <c r="AE314" s="32" t="str" cm="1">
        <f t="array" ref="AE314">IFERROR(IF(INDEX(SubsidieTabel!$AD$1:$AG$12,MATCH($F314,SubsidieTabel!$AD$1:$AD$12,0),IFERROR(MATCH(Methode_Keuze,SubsidieTabel!$AD$1:$AG$1,0),2))&lt;&gt;1=TRUE,"ja",""),"")</f>
        <v/>
      </c>
    </row>
    <row r="315" spans="1:31" x14ac:dyDescent="0.25">
      <c r="A315" s="316"/>
      <c r="B315" s="317" t="str">
        <f>IF(A315&lt;&gt;"",_xlfn.MAXIFS($B$1:B314,$A$1:A314,A315)+1,"")</f>
        <v/>
      </c>
      <c r="C315" s="296"/>
      <c r="D315" s="296"/>
      <c r="E315" s="296"/>
      <c r="F315" s="296"/>
      <c r="G315" s="326"/>
      <c r="H315" s="324"/>
      <c r="I315" s="325"/>
      <c r="J315" s="325"/>
      <c r="K315" s="318"/>
      <c r="L315" s="318"/>
      <c r="M315" s="319" t="str">
        <f>IFERROR(VLOOKUP(H315,Lijsten!$H$1:$I$100,2,0),"")</f>
        <v/>
      </c>
      <c r="N315" s="319" t="str">
        <f ca="1">IFERROR(IF(VLOOKUP(F315,Kostentypen!$A$3:$E$21,3,0)=0,"",IF(OR(F315="Arbeidskosten",F315="Vergoeding"),VLOOKUP(G315,Tb_KostenTypen[],2,0),VLOOKUP(F315,Kostentypen!$A$3:$E$20,3,0))),"")</f>
        <v/>
      </c>
      <c r="O315" s="320" t="str" cm="1">
        <f t="array" ref="O315">_xlfn.IFNA(IF(INDEX(Tb_KostenOptiesDB[],MATCH($F315,Tb_KostenOptiesDB[KostenOptie],0),IFERROR(MATCH(Methode_Keuze,Tb_KostenOptiesDB[#Headers],0),2))=1,_xlfn.SWITCH($N315,"Uurtarief",IF(OR(AND(RIGHT($F315,3)="IKS",VLOOKUP($M315,DB_Loonkosten,2,0)="Ja"),AND(RIGHT($F315,3)&lt;&gt;"IKS",VLOOKUP($M315,DB_Loonkosten,2,0)="Nee")),IFERROR(VLOOKUP($M315,DB_Loonkosten,24,0),""),0),"Vast tarief",IF(LEFT(F315,8)="Bijdrage",VLOOKUP($F315,Tb_KostenTypen[],MATCH(Lijsten!$P$1,Tb_KostenTypen[#Headers],0),0),VLOOKUP($G315,Lijsten!L:P,MATCH(Lijsten!$P$1,Kop_Tarief_Vast,0),0))),""),"")</f>
        <v/>
      </c>
      <c r="P315" s="320" t="str" cm="1">
        <f t="array" ref="P315">_xlfn.IFNA(IF(INDEX(Tb_KostenOptiesDB[],MATCH($F315,Tb_KostenOptiesDB[KostenOptie],0),IFERROR(MATCH(Methode_Keuze,Tb_KostenOptiesDB[#Headers],0),2))=1,_xlfn.SWITCH($N315,"Uurtarief",IF(OR(AND(RIGHT($F315,3)="IKS",VLOOKUP($M315,DB_Loonkosten,2,0)="Ja"),AND(RIGHT($F315,3)&lt;&gt;"IKS",VLOOKUP($M315,DB_Loonkosten,2,0)="Nee")),IFERROR(VLOOKUP($M315,DB_Loonkosten,25,0),""),0),"Vast tarief",IF(LEFT(F315,8)="Bijdrage",VLOOKUP($F315,Tb_KostenTypen[],MATCH(Lijsten!$P$1,Tb_KostenTypen[#Headers],0),0),VLOOKUP($G315,Lijsten!L:P,MATCH(Lijsten!$P$1,Kop_Tarief_Vast,0),0))),""),"")</f>
        <v/>
      </c>
      <c r="Q315" s="359"/>
      <c r="R315" s="359"/>
      <c r="S315" s="321"/>
      <c r="T315" s="321"/>
      <c r="U315" s="373" t="str">
        <f t="shared" si="16"/>
        <v/>
      </c>
      <c r="V315" s="314" t="str">
        <f t="shared" si="17"/>
        <v/>
      </c>
      <c r="W315" s="314" t="str" cm="1">
        <f t="array" aca="1" ref="W315" ca="1">IFERROR(IF(AE315&lt;&gt;"ja",_xlfn.IFNA(_xlfn.IFS(AND(O315&lt;&gt;"",F315&lt;&gt;"",RIGHT($N315,6)="tarief",F315="Vergoeding"),SUM(O315)*FLOOR(SUM(Q315),0.0001),AND(O315&lt;&gt;"",F315&lt;&gt;"",RIGHT($N315,6)="tarief"),SUM(O315)*FLOOR(SUM(Q315),0.01),S315&gt;0,IF(F315&lt;&gt;"",FLOOR(SUM(S315),0.01),"")),""),""),"")</f>
        <v/>
      </c>
      <c r="X315" s="314" t="str" cm="1">
        <f t="array" aca="1" ref="X315" ca="1">IFERROR(IF(AE315&lt;&gt;"ja",_xlfn.IFNA(_xlfn.IFS(AND(P315&lt;&gt;"",R315&lt;&gt;"",RIGHT($N315,6)="tarief",F315="Vergoeding"),SUM(P315)*FLOOR(SUM(R315),0.0001),AND(P315&lt;&gt;"",R315&lt;&gt;"",RIGHT($N315,6)="tarief"),P315*FLOOR(R315,0.01),T315&gt;0,FLOOR(SUM(T315),0.01)),""),""),"")</f>
        <v/>
      </c>
      <c r="Y315" s="314" t="str">
        <f t="shared" ca="1" si="18"/>
        <v/>
      </c>
      <c r="Z315" s="314" t="str" cm="1">
        <f t="array" aca="1" ref="Z315" ca="1">IFERROR(_xlfn.IFS(OR(F315="",LEFT(Methode_Keuze,4)="Geen",Methode_Keuze=""),"",AND(W315&lt;&gt;"",F315&lt;&gt;"Arbeidskosten"),W315*VLOOKUP(F315,Tb_ProjectKosten[],MATCH(Tb_ProjectKosten[[#Headers],[Forfait_Percentage]],Tb_ProjectKosten[#Headers],0),0),AND(F315="Arbeidskosten",G315&lt;&gt;""),IFERROR(W315*VLOOKUP(G315,Tb_KostenTypen[],3,0)*VLOOKUP(F315,Tb_ProjectKosten[],MATCH(Tb_ProjectKosten[[#Headers],[Forfait_Percentage]],Tb_ProjectKosten[#Headers],0),0),""),W315 &lt;=0,0),"")</f>
        <v/>
      </c>
      <c r="AA315" s="314" t="str" cm="1">
        <f t="array" aca="1" ref="AA315" ca="1">IFERROR(_xlfn.IFS(OR(F315="",LEFT(Methode_Keuze,4)="Geen",Methode_Keuze=""),"",AND(X315&lt;&gt;"",F315&lt;&gt;"Arbeidskosten"),X315*VLOOKUP(F315,Tb_ProjectKosten[],MATCH(Tb_ProjectKosten[[#Headers],[Forfait_Percentage]],Tb_ProjectKosten[#Headers],0),0),AND(F315="Arbeidskosten",G315&lt;&gt;""),IFERROR(X315*VLOOKUP(G315,Tb_KostenTypen[],3,0)*VLOOKUP(F315,Tb_ProjectKosten[],MATCH(Tb_ProjectKosten[[#Headers],[Forfait_Percentage]],Tb_ProjectKosten[#Headers],0),0),""),X315 &lt;=0,0),"")</f>
        <v/>
      </c>
      <c r="AB315" s="314" t="str">
        <f t="shared" ca="1" si="19"/>
        <v/>
      </c>
      <c r="AC315" s="322"/>
      <c r="AD315" s="315"/>
      <c r="AE315" s="32" t="str" cm="1">
        <f t="array" ref="AE315">IFERROR(IF(INDEX(SubsidieTabel!$AD$1:$AG$12,MATCH($F315,SubsidieTabel!$AD$1:$AD$12,0),IFERROR(MATCH(Methode_Keuze,SubsidieTabel!$AD$1:$AG$1,0),2))&lt;&gt;1=TRUE,"ja",""),"")</f>
        <v/>
      </c>
    </row>
    <row r="316" spans="1:31" x14ac:dyDescent="0.25">
      <c r="A316" s="316"/>
      <c r="B316" s="317" t="str">
        <f>IF(A316&lt;&gt;"",_xlfn.MAXIFS($B$1:B315,$A$1:A315,A316)+1,"")</f>
        <v/>
      </c>
      <c r="C316" s="296"/>
      <c r="D316" s="296"/>
      <c r="E316" s="296"/>
      <c r="F316" s="296"/>
      <c r="G316" s="326"/>
      <c r="H316" s="324"/>
      <c r="I316" s="325"/>
      <c r="J316" s="325"/>
      <c r="K316" s="318"/>
      <c r="L316" s="318"/>
      <c r="M316" s="319" t="str">
        <f>IFERROR(VLOOKUP(H316,Lijsten!$H$1:$I$100,2,0),"")</f>
        <v/>
      </c>
      <c r="N316" s="319" t="str">
        <f ca="1">IFERROR(IF(VLOOKUP(F316,Kostentypen!$A$3:$E$21,3,0)=0,"",IF(OR(F316="Arbeidskosten",F316="Vergoeding"),VLOOKUP(G316,Tb_KostenTypen[],2,0),VLOOKUP(F316,Kostentypen!$A$3:$E$20,3,0))),"")</f>
        <v/>
      </c>
      <c r="O316" s="320" t="str" cm="1">
        <f t="array" ref="O316">_xlfn.IFNA(IF(INDEX(Tb_KostenOptiesDB[],MATCH($F316,Tb_KostenOptiesDB[KostenOptie],0),IFERROR(MATCH(Methode_Keuze,Tb_KostenOptiesDB[#Headers],0),2))=1,_xlfn.SWITCH($N316,"Uurtarief",IF(OR(AND(RIGHT($F316,3)="IKS",VLOOKUP($M316,DB_Loonkosten,2,0)="Ja"),AND(RIGHT($F316,3)&lt;&gt;"IKS",VLOOKUP($M316,DB_Loonkosten,2,0)="Nee")),IFERROR(VLOOKUP($M316,DB_Loonkosten,24,0),""),0),"Vast tarief",IF(LEFT(F316,8)="Bijdrage",VLOOKUP($F316,Tb_KostenTypen[],MATCH(Lijsten!$P$1,Tb_KostenTypen[#Headers],0),0),VLOOKUP($G316,Lijsten!L:P,MATCH(Lijsten!$P$1,Kop_Tarief_Vast,0),0))),""),"")</f>
        <v/>
      </c>
      <c r="P316" s="320" t="str" cm="1">
        <f t="array" ref="P316">_xlfn.IFNA(IF(INDEX(Tb_KostenOptiesDB[],MATCH($F316,Tb_KostenOptiesDB[KostenOptie],0),IFERROR(MATCH(Methode_Keuze,Tb_KostenOptiesDB[#Headers],0),2))=1,_xlfn.SWITCH($N316,"Uurtarief",IF(OR(AND(RIGHT($F316,3)="IKS",VLOOKUP($M316,DB_Loonkosten,2,0)="Ja"),AND(RIGHT($F316,3)&lt;&gt;"IKS",VLOOKUP($M316,DB_Loonkosten,2,0)="Nee")),IFERROR(VLOOKUP($M316,DB_Loonkosten,25,0),""),0),"Vast tarief",IF(LEFT(F316,8)="Bijdrage",VLOOKUP($F316,Tb_KostenTypen[],MATCH(Lijsten!$P$1,Tb_KostenTypen[#Headers],0),0),VLOOKUP($G316,Lijsten!L:P,MATCH(Lijsten!$P$1,Kop_Tarief_Vast,0),0))),""),"")</f>
        <v/>
      </c>
      <c r="Q316" s="359"/>
      <c r="R316" s="359"/>
      <c r="S316" s="321"/>
      <c r="T316" s="321"/>
      <c r="U316" s="373" t="str">
        <f t="shared" si="16"/>
        <v/>
      </c>
      <c r="V316" s="314" t="str">
        <f t="shared" si="17"/>
        <v/>
      </c>
      <c r="W316" s="314" t="str" cm="1">
        <f t="array" aca="1" ref="W316" ca="1">IFERROR(IF(AE316&lt;&gt;"ja",_xlfn.IFNA(_xlfn.IFS(AND(O316&lt;&gt;"",F316&lt;&gt;"",RIGHT($N316,6)="tarief",F316="Vergoeding"),SUM(O316)*FLOOR(SUM(Q316),0.0001),AND(O316&lt;&gt;"",F316&lt;&gt;"",RIGHT($N316,6)="tarief"),SUM(O316)*FLOOR(SUM(Q316),0.01),S316&gt;0,IF(F316&lt;&gt;"",FLOOR(SUM(S316),0.01),"")),""),""),"")</f>
        <v/>
      </c>
      <c r="X316" s="314" t="str" cm="1">
        <f t="array" aca="1" ref="X316" ca="1">IFERROR(IF(AE316&lt;&gt;"ja",_xlfn.IFNA(_xlfn.IFS(AND(P316&lt;&gt;"",R316&lt;&gt;"",RIGHT($N316,6)="tarief",F316="Vergoeding"),SUM(P316)*FLOOR(SUM(R316),0.0001),AND(P316&lt;&gt;"",R316&lt;&gt;"",RIGHT($N316,6)="tarief"),P316*FLOOR(R316,0.01),T316&gt;0,FLOOR(SUM(T316),0.01)),""),""),"")</f>
        <v/>
      </c>
      <c r="Y316" s="314" t="str">
        <f t="shared" ca="1" si="18"/>
        <v/>
      </c>
      <c r="Z316" s="314" t="str" cm="1">
        <f t="array" aca="1" ref="Z316" ca="1">IFERROR(_xlfn.IFS(OR(F316="",LEFT(Methode_Keuze,4)="Geen",Methode_Keuze=""),"",AND(W316&lt;&gt;"",F316&lt;&gt;"Arbeidskosten"),W316*VLOOKUP(F316,Tb_ProjectKosten[],MATCH(Tb_ProjectKosten[[#Headers],[Forfait_Percentage]],Tb_ProjectKosten[#Headers],0),0),AND(F316="Arbeidskosten",G316&lt;&gt;""),IFERROR(W316*VLOOKUP(G316,Tb_KostenTypen[],3,0)*VLOOKUP(F316,Tb_ProjectKosten[],MATCH(Tb_ProjectKosten[[#Headers],[Forfait_Percentage]],Tb_ProjectKosten[#Headers],0),0),""),W316 &lt;=0,0),"")</f>
        <v/>
      </c>
      <c r="AA316" s="314" t="str" cm="1">
        <f t="array" aca="1" ref="AA316" ca="1">IFERROR(_xlfn.IFS(OR(F316="",LEFT(Methode_Keuze,4)="Geen",Methode_Keuze=""),"",AND(X316&lt;&gt;"",F316&lt;&gt;"Arbeidskosten"),X316*VLOOKUP(F316,Tb_ProjectKosten[],MATCH(Tb_ProjectKosten[[#Headers],[Forfait_Percentage]],Tb_ProjectKosten[#Headers],0),0),AND(F316="Arbeidskosten",G316&lt;&gt;""),IFERROR(X316*VLOOKUP(G316,Tb_KostenTypen[],3,0)*VLOOKUP(F316,Tb_ProjectKosten[],MATCH(Tb_ProjectKosten[[#Headers],[Forfait_Percentage]],Tb_ProjectKosten[#Headers],0),0),""),X316 &lt;=0,0),"")</f>
        <v/>
      </c>
      <c r="AB316" s="314" t="str">
        <f t="shared" ca="1" si="19"/>
        <v/>
      </c>
      <c r="AC316" s="322"/>
      <c r="AD316" s="315"/>
      <c r="AE316" s="32" t="str" cm="1">
        <f t="array" ref="AE316">IFERROR(IF(INDEX(SubsidieTabel!$AD$1:$AG$12,MATCH($F316,SubsidieTabel!$AD$1:$AD$12,0),IFERROR(MATCH(Methode_Keuze,SubsidieTabel!$AD$1:$AG$1,0),2))&lt;&gt;1=TRUE,"ja",""),"")</f>
        <v/>
      </c>
    </row>
    <row r="317" spans="1:31" x14ac:dyDescent="0.25">
      <c r="A317" s="316"/>
      <c r="B317" s="317" t="str">
        <f>IF(A317&lt;&gt;"",_xlfn.MAXIFS($B$1:B316,$A$1:A316,A317)+1,"")</f>
        <v/>
      </c>
      <c r="C317" s="296"/>
      <c r="D317" s="296"/>
      <c r="E317" s="296"/>
      <c r="F317" s="296"/>
      <c r="G317" s="326"/>
      <c r="H317" s="324"/>
      <c r="I317" s="325"/>
      <c r="J317" s="325"/>
      <c r="K317" s="318"/>
      <c r="L317" s="318"/>
      <c r="M317" s="319" t="str">
        <f>IFERROR(VLOOKUP(H317,Lijsten!$H$1:$I$100,2,0),"")</f>
        <v/>
      </c>
      <c r="N317" s="319" t="str">
        <f ca="1">IFERROR(IF(VLOOKUP(F317,Kostentypen!$A$3:$E$21,3,0)=0,"",IF(OR(F317="Arbeidskosten",F317="Vergoeding"),VLOOKUP(G317,Tb_KostenTypen[],2,0),VLOOKUP(F317,Kostentypen!$A$3:$E$20,3,0))),"")</f>
        <v/>
      </c>
      <c r="O317" s="320" t="str" cm="1">
        <f t="array" ref="O317">_xlfn.IFNA(IF(INDEX(Tb_KostenOptiesDB[],MATCH($F317,Tb_KostenOptiesDB[KostenOptie],0),IFERROR(MATCH(Methode_Keuze,Tb_KostenOptiesDB[#Headers],0),2))=1,_xlfn.SWITCH($N317,"Uurtarief",IF(OR(AND(RIGHT($F317,3)="IKS",VLOOKUP($M317,DB_Loonkosten,2,0)="Ja"),AND(RIGHT($F317,3)&lt;&gt;"IKS",VLOOKUP($M317,DB_Loonkosten,2,0)="Nee")),IFERROR(VLOOKUP($M317,DB_Loonkosten,24,0),""),0),"Vast tarief",IF(LEFT(F317,8)="Bijdrage",VLOOKUP($F317,Tb_KostenTypen[],MATCH(Lijsten!$P$1,Tb_KostenTypen[#Headers],0),0),VLOOKUP($G317,Lijsten!L:P,MATCH(Lijsten!$P$1,Kop_Tarief_Vast,0),0))),""),"")</f>
        <v/>
      </c>
      <c r="P317" s="320" t="str" cm="1">
        <f t="array" ref="P317">_xlfn.IFNA(IF(INDEX(Tb_KostenOptiesDB[],MATCH($F317,Tb_KostenOptiesDB[KostenOptie],0),IFERROR(MATCH(Methode_Keuze,Tb_KostenOptiesDB[#Headers],0),2))=1,_xlfn.SWITCH($N317,"Uurtarief",IF(OR(AND(RIGHT($F317,3)="IKS",VLOOKUP($M317,DB_Loonkosten,2,0)="Ja"),AND(RIGHT($F317,3)&lt;&gt;"IKS",VLOOKUP($M317,DB_Loonkosten,2,0)="Nee")),IFERROR(VLOOKUP($M317,DB_Loonkosten,25,0),""),0),"Vast tarief",IF(LEFT(F317,8)="Bijdrage",VLOOKUP($F317,Tb_KostenTypen[],MATCH(Lijsten!$P$1,Tb_KostenTypen[#Headers],0),0),VLOOKUP($G317,Lijsten!L:P,MATCH(Lijsten!$P$1,Kop_Tarief_Vast,0),0))),""),"")</f>
        <v/>
      </c>
      <c r="Q317" s="359"/>
      <c r="R317" s="359"/>
      <c r="S317" s="321"/>
      <c r="T317" s="321"/>
      <c r="U317" s="373" t="str">
        <f t="shared" si="16"/>
        <v/>
      </c>
      <c r="V317" s="314" t="str">
        <f t="shared" si="17"/>
        <v/>
      </c>
      <c r="W317" s="314" t="str" cm="1">
        <f t="array" aca="1" ref="W317" ca="1">IFERROR(IF(AE317&lt;&gt;"ja",_xlfn.IFNA(_xlfn.IFS(AND(O317&lt;&gt;"",F317&lt;&gt;"",RIGHT($N317,6)="tarief",F317="Vergoeding"),SUM(O317)*FLOOR(SUM(Q317),0.0001),AND(O317&lt;&gt;"",F317&lt;&gt;"",RIGHT($N317,6)="tarief"),SUM(O317)*FLOOR(SUM(Q317),0.01),S317&gt;0,IF(F317&lt;&gt;"",FLOOR(SUM(S317),0.01),"")),""),""),"")</f>
        <v/>
      </c>
      <c r="X317" s="314" t="str" cm="1">
        <f t="array" aca="1" ref="X317" ca="1">IFERROR(IF(AE317&lt;&gt;"ja",_xlfn.IFNA(_xlfn.IFS(AND(P317&lt;&gt;"",R317&lt;&gt;"",RIGHT($N317,6)="tarief",F317="Vergoeding"),SUM(P317)*FLOOR(SUM(R317),0.0001),AND(P317&lt;&gt;"",R317&lt;&gt;"",RIGHT($N317,6)="tarief"),P317*FLOOR(R317,0.01),T317&gt;0,FLOOR(SUM(T317),0.01)),""),""),"")</f>
        <v/>
      </c>
      <c r="Y317" s="314" t="str">
        <f t="shared" ca="1" si="18"/>
        <v/>
      </c>
      <c r="Z317" s="314" t="str" cm="1">
        <f t="array" aca="1" ref="Z317" ca="1">IFERROR(_xlfn.IFS(OR(F317="",LEFT(Methode_Keuze,4)="Geen",Methode_Keuze=""),"",AND(W317&lt;&gt;"",F317&lt;&gt;"Arbeidskosten"),W317*VLOOKUP(F317,Tb_ProjectKosten[],MATCH(Tb_ProjectKosten[[#Headers],[Forfait_Percentage]],Tb_ProjectKosten[#Headers],0),0),AND(F317="Arbeidskosten",G317&lt;&gt;""),IFERROR(W317*VLOOKUP(G317,Tb_KostenTypen[],3,0)*VLOOKUP(F317,Tb_ProjectKosten[],MATCH(Tb_ProjectKosten[[#Headers],[Forfait_Percentage]],Tb_ProjectKosten[#Headers],0),0),""),W317 &lt;=0,0),"")</f>
        <v/>
      </c>
      <c r="AA317" s="314" t="str" cm="1">
        <f t="array" aca="1" ref="AA317" ca="1">IFERROR(_xlfn.IFS(OR(F317="",LEFT(Methode_Keuze,4)="Geen",Methode_Keuze=""),"",AND(X317&lt;&gt;"",F317&lt;&gt;"Arbeidskosten"),X317*VLOOKUP(F317,Tb_ProjectKosten[],MATCH(Tb_ProjectKosten[[#Headers],[Forfait_Percentage]],Tb_ProjectKosten[#Headers],0),0),AND(F317="Arbeidskosten",G317&lt;&gt;""),IFERROR(X317*VLOOKUP(G317,Tb_KostenTypen[],3,0)*VLOOKUP(F317,Tb_ProjectKosten[],MATCH(Tb_ProjectKosten[[#Headers],[Forfait_Percentage]],Tb_ProjectKosten[#Headers],0),0),""),X317 &lt;=0,0),"")</f>
        <v/>
      </c>
      <c r="AB317" s="314" t="str">
        <f t="shared" ca="1" si="19"/>
        <v/>
      </c>
      <c r="AC317" s="322"/>
      <c r="AD317" s="315"/>
      <c r="AE317" s="32" t="str" cm="1">
        <f t="array" ref="AE317">IFERROR(IF(INDEX(SubsidieTabel!$AD$1:$AG$12,MATCH($F317,SubsidieTabel!$AD$1:$AD$12,0),IFERROR(MATCH(Methode_Keuze,SubsidieTabel!$AD$1:$AG$1,0),2))&lt;&gt;1=TRUE,"ja",""),"")</f>
        <v/>
      </c>
    </row>
    <row r="318" spans="1:31" x14ac:dyDescent="0.25">
      <c r="A318" s="316"/>
      <c r="B318" s="317" t="str">
        <f>IF(A318&lt;&gt;"",_xlfn.MAXIFS($B$1:B317,$A$1:A317,A318)+1,"")</f>
        <v/>
      </c>
      <c r="C318" s="296"/>
      <c r="D318" s="296"/>
      <c r="E318" s="296"/>
      <c r="F318" s="296"/>
      <c r="G318" s="326"/>
      <c r="H318" s="324"/>
      <c r="I318" s="325"/>
      <c r="J318" s="325"/>
      <c r="K318" s="318"/>
      <c r="L318" s="318"/>
      <c r="M318" s="319" t="str">
        <f>IFERROR(VLOOKUP(H318,Lijsten!$H$1:$I$100,2,0),"")</f>
        <v/>
      </c>
      <c r="N318" s="319" t="str">
        <f ca="1">IFERROR(IF(VLOOKUP(F318,Kostentypen!$A$3:$E$21,3,0)=0,"",IF(OR(F318="Arbeidskosten",F318="Vergoeding"),VLOOKUP(G318,Tb_KostenTypen[],2,0),VLOOKUP(F318,Kostentypen!$A$3:$E$20,3,0))),"")</f>
        <v/>
      </c>
      <c r="O318" s="320" t="str" cm="1">
        <f t="array" ref="O318">_xlfn.IFNA(IF(INDEX(Tb_KostenOptiesDB[],MATCH($F318,Tb_KostenOptiesDB[KostenOptie],0),IFERROR(MATCH(Methode_Keuze,Tb_KostenOptiesDB[#Headers],0),2))=1,_xlfn.SWITCH($N318,"Uurtarief",IF(OR(AND(RIGHT($F318,3)="IKS",VLOOKUP($M318,DB_Loonkosten,2,0)="Ja"),AND(RIGHT($F318,3)&lt;&gt;"IKS",VLOOKUP($M318,DB_Loonkosten,2,0)="Nee")),IFERROR(VLOOKUP($M318,DB_Loonkosten,24,0),""),0),"Vast tarief",IF(LEFT(F318,8)="Bijdrage",VLOOKUP($F318,Tb_KostenTypen[],MATCH(Lijsten!$P$1,Tb_KostenTypen[#Headers],0),0),VLOOKUP($G318,Lijsten!L:P,MATCH(Lijsten!$P$1,Kop_Tarief_Vast,0),0))),""),"")</f>
        <v/>
      </c>
      <c r="P318" s="320" t="str" cm="1">
        <f t="array" ref="P318">_xlfn.IFNA(IF(INDEX(Tb_KostenOptiesDB[],MATCH($F318,Tb_KostenOptiesDB[KostenOptie],0),IFERROR(MATCH(Methode_Keuze,Tb_KostenOptiesDB[#Headers],0),2))=1,_xlfn.SWITCH($N318,"Uurtarief",IF(OR(AND(RIGHT($F318,3)="IKS",VLOOKUP($M318,DB_Loonkosten,2,0)="Ja"),AND(RIGHT($F318,3)&lt;&gt;"IKS",VLOOKUP($M318,DB_Loonkosten,2,0)="Nee")),IFERROR(VLOOKUP($M318,DB_Loonkosten,25,0),""),0),"Vast tarief",IF(LEFT(F318,8)="Bijdrage",VLOOKUP($F318,Tb_KostenTypen[],MATCH(Lijsten!$P$1,Tb_KostenTypen[#Headers],0),0),VLOOKUP($G318,Lijsten!L:P,MATCH(Lijsten!$P$1,Kop_Tarief_Vast,0),0))),""),"")</f>
        <v/>
      </c>
      <c r="Q318" s="359"/>
      <c r="R318" s="359"/>
      <c r="S318" s="321"/>
      <c r="T318" s="321"/>
      <c r="U318" s="373" t="str">
        <f t="shared" si="16"/>
        <v/>
      </c>
      <c r="V318" s="314" t="str">
        <f t="shared" si="17"/>
        <v/>
      </c>
      <c r="W318" s="314" t="str" cm="1">
        <f t="array" aca="1" ref="W318" ca="1">IFERROR(IF(AE318&lt;&gt;"ja",_xlfn.IFNA(_xlfn.IFS(AND(O318&lt;&gt;"",F318&lt;&gt;"",RIGHT($N318,6)="tarief",F318="Vergoeding"),SUM(O318)*FLOOR(SUM(Q318),0.0001),AND(O318&lt;&gt;"",F318&lt;&gt;"",RIGHT($N318,6)="tarief"),SUM(O318)*FLOOR(SUM(Q318),0.01),S318&gt;0,IF(F318&lt;&gt;"",FLOOR(SUM(S318),0.01),"")),""),""),"")</f>
        <v/>
      </c>
      <c r="X318" s="314" t="str" cm="1">
        <f t="array" aca="1" ref="X318" ca="1">IFERROR(IF(AE318&lt;&gt;"ja",_xlfn.IFNA(_xlfn.IFS(AND(P318&lt;&gt;"",R318&lt;&gt;"",RIGHT($N318,6)="tarief",F318="Vergoeding"),SUM(P318)*FLOOR(SUM(R318),0.0001),AND(P318&lt;&gt;"",R318&lt;&gt;"",RIGHT($N318,6)="tarief"),P318*FLOOR(R318,0.01),T318&gt;0,FLOOR(SUM(T318),0.01)),""),""),"")</f>
        <v/>
      </c>
      <c r="Y318" s="314" t="str">
        <f t="shared" ca="1" si="18"/>
        <v/>
      </c>
      <c r="Z318" s="314" t="str" cm="1">
        <f t="array" aca="1" ref="Z318" ca="1">IFERROR(_xlfn.IFS(OR(F318="",LEFT(Methode_Keuze,4)="Geen",Methode_Keuze=""),"",AND(W318&lt;&gt;"",F318&lt;&gt;"Arbeidskosten"),W318*VLOOKUP(F318,Tb_ProjectKosten[],MATCH(Tb_ProjectKosten[[#Headers],[Forfait_Percentage]],Tb_ProjectKosten[#Headers],0),0),AND(F318="Arbeidskosten",G318&lt;&gt;""),IFERROR(W318*VLOOKUP(G318,Tb_KostenTypen[],3,0)*VLOOKUP(F318,Tb_ProjectKosten[],MATCH(Tb_ProjectKosten[[#Headers],[Forfait_Percentage]],Tb_ProjectKosten[#Headers],0),0),""),W318 &lt;=0,0),"")</f>
        <v/>
      </c>
      <c r="AA318" s="314" t="str" cm="1">
        <f t="array" aca="1" ref="AA318" ca="1">IFERROR(_xlfn.IFS(OR(F318="",LEFT(Methode_Keuze,4)="Geen",Methode_Keuze=""),"",AND(X318&lt;&gt;"",F318&lt;&gt;"Arbeidskosten"),X318*VLOOKUP(F318,Tb_ProjectKosten[],MATCH(Tb_ProjectKosten[[#Headers],[Forfait_Percentage]],Tb_ProjectKosten[#Headers],0),0),AND(F318="Arbeidskosten",G318&lt;&gt;""),IFERROR(X318*VLOOKUP(G318,Tb_KostenTypen[],3,0)*VLOOKUP(F318,Tb_ProjectKosten[],MATCH(Tb_ProjectKosten[[#Headers],[Forfait_Percentage]],Tb_ProjectKosten[#Headers],0),0),""),X318 &lt;=0,0),"")</f>
        <v/>
      </c>
      <c r="AB318" s="314" t="str">
        <f t="shared" ca="1" si="19"/>
        <v/>
      </c>
      <c r="AC318" s="322"/>
      <c r="AD318" s="315"/>
      <c r="AE318" s="32" t="str" cm="1">
        <f t="array" ref="AE318">IFERROR(IF(INDEX(SubsidieTabel!$AD$1:$AG$12,MATCH($F318,SubsidieTabel!$AD$1:$AD$12,0),IFERROR(MATCH(Methode_Keuze,SubsidieTabel!$AD$1:$AG$1,0),2))&lt;&gt;1=TRUE,"ja",""),"")</f>
        <v/>
      </c>
    </row>
    <row r="319" spans="1:31" x14ac:dyDescent="0.25">
      <c r="A319" s="316"/>
      <c r="B319" s="317" t="str">
        <f>IF(A319&lt;&gt;"",_xlfn.MAXIFS($B$1:B318,$A$1:A318,A319)+1,"")</f>
        <v/>
      </c>
      <c r="C319" s="296"/>
      <c r="D319" s="296"/>
      <c r="E319" s="296"/>
      <c r="F319" s="296"/>
      <c r="G319" s="326"/>
      <c r="H319" s="324"/>
      <c r="I319" s="325"/>
      <c r="J319" s="325"/>
      <c r="K319" s="318"/>
      <c r="L319" s="318"/>
      <c r="M319" s="319" t="str">
        <f>IFERROR(VLOOKUP(H319,Lijsten!$H$1:$I$100,2,0),"")</f>
        <v/>
      </c>
      <c r="N319" s="319" t="str">
        <f ca="1">IFERROR(IF(VLOOKUP(F319,Kostentypen!$A$3:$E$21,3,0)=0,"",IF(OR(F319="Arbeidskosten",F319="Vergoeding"),VLOOKUP(G319,Tb_KostenTypen[],2,0),VLOOKUP(F319,Kostentypen!$A$3:$E$20,3,0))),"")</f>
        <v/>
      </c>
      <c r="O319" s="320" t="str" cm="1">
        <f t="array" ref="O319">_xlfn.IFNA(IF(INDEX(Tb_KostenOptiesDB[],MATCH($F319,Tb_KostenOptiesDB[KostenOptie],0),IFERROR(MATCH(Methode_Keuze,Tb_KostenOptiesDB[#Headers],0),2))=1,_xlfn.SWITCH($N319,"Uurtarief",IF(OR(AND(RIGHT($F319,3)="IKS",VLOOKUP($M319,DB_Loonkosten,2,0)="Ja"),AND(RIGHT($F319,3)&lt;&gt;"IKS",VLOOKUP($M319,DB_Loonkosten,2,0)="Nee")),IFERROR(VLOOKUP($M319,DB_Loonkosten,24,0),""),0),"Vast tarief",IF(LEFT(F319,8)="Bijdrage",VLOOKUP($F319,Tb_KostenTypen[],MATCH(Lijsten!$P$1,Tb_KostenTypen[#Headers],0),0),VLOOKUP($G319,Lijsten!L:P,MATCH(Lijsten!$P$1,Kop_Tarief_Vast,0),0))),""),"")</f>
        <v/>
      </c>
      <c r="P319" s="320" t="str" cm="1">
        <f t="array" ref="P319">_xlfn.IFNA(IF(INDEX(Tb_KostenOptiesDB[],MATCH($F319,Tb_KostenOptiesDB[KostenOptie],0),IFERROR(MATCH(Methode_Keuze,Tb_KostenOptiesDB[#Headers],0),2))=1,_xlfn.SWITCH($N319,"Uurtarief",IF(OR(AND(RIGHT($F319,3)="IKS",VLOOKUP($M319,DB_Loonkosten,2,0)="Ja"),AND(RIGHT($F319,3)&lt;&gt;"IKS",VLOOKUP($M319,DB_Loonkosten,2,0)="Nee")),IFERROR(VLOOKUP($M319,DB_Loonkosten,25,0),""),0),"Vast tarief",IF(LEFT(F319,8)="Bijdrage",VLOOKUP($F319,Tb_KostenTypen[],MATCH(Lijsten!$P$1,Tb_KostenTypen[#Headers],0),0),VLOOKUP($G319,Lijsten!L:P,MATCH(Lijsten!$P$1,Kop_Tarief_Vast,0),0))),""),"")</f>
        <v/>
      </c>
      <c r="Q319" s="359"/>
      <c r="R319" s="359"/>
      <c r="S319" s="321"/>
      <c r="T319" s="321"/>
      <c r="U319" s="373" t="str">
        <f t="shared" si="16"/>
        <v/>
      </c>
      <c r="V319" s="314" t="str">
        <f t="shared" si="17"/>
        <v/>
      </c>
      <c r="W319" s="314" t="str" cm="1">
        <f t="array" aca="1" ref="W319" ca="1">IFERROR(IF(AE319&lt;&gt;"ja",_xlfn.IFNA(_xlfn.IFS(AND(O319&lt;&gt;"",F319&lt;&gt;"",RIGHT($N319,6)="tarief",F319="Vergoeding"),SUM(O319)*FLOOR(SUM(Q319),0.0001),AND(O319&lt;&gt;"",F319&lt;&gt;"",RIGHT($N319,6)="tarief"),SUM(O319)*FLOOR(SUM(Q319),0.01),S319&gt;0,IF(F319&lt;&gt;"",FLOOR(SUM(S319),0.01),"")),""),""),"")</f>
        <v/>
      </c>
      <c r="X319" s="314" t="str" cm="1">
        <f t="array" aca="1" ref="X319" ca="1">IFERROR(IF(AE319&lt;&gt;"ja",_xlfn.IFNA(_xlfn.IFS(AND(P319&lt;&gt;"",R319&lt;&gt;"",RIGHT($N319,6)="tarief",F319="Vergoeding"),SUM(P319)*FLOOR(SUM(R319),0.0001),AND(P319&lt;&gt;"",R319&lt;&gt;"",RIGHT($N319,6)="tarief"),P319*FLOOR(R319,0.01),T319&gt;0,FLOOR(SUM(T319),0.01)),""),""),"")</f>
        <v/>
      </c>
      <c r="Y319" s="314" t="str">
        <f t="shared" ca="1" si="18"/>
        <v/>
      </c>
      <c r="Z319" s="314" t="str" cm="1">
        <f t="array" aca="1" ref="Z319" ca="1">IFERROR(_xlfn.IFS(OR(F319="",LEFT(Methode_Keuze,4)="Geen",Methode_Keuze=""),"",AND(W319&lt;&gt;"",F319&lt;&gt;"Arbeidskosten"),W319*VLOOKUP(F319,Tb_ProjectKosten[],MATCH(Tb_ProjectKosten[[#Headers],[Forfait_Percentage]],Tb_ProjectKosten[#Headers],0),0),AND(F319="Arbeidskosten",G319&lt;&gt;""),IFERROR(W319*VLOOKUP(G319,Tb_KostenTypen[],3,0)*VLOOKUP(F319,Tb_ProjectKosten[],MATCH(Tb_ProjectKosten[[#Headers],[Forfait_Percentage]],Tb_ProjectKosten[#Headers],0),0),""),W319 &lt;=0,0),"")</f>
        <v/>
      </c>
      <c r="AA319" s="314" t="str" cm="1">
        <f t="array" aca="1" ref="AA319" ca="1">IFERROR(_xlfn.IFS(OR(F319="",LEFT(Methode_Keuze,4)="Geen",Methode_Keuze=""),"",AND(X319&lt;&gt;"",F319&lt;&gt;"Arbeidskosten"),X319*VLOOKUP(F319,Tb_ProjectKosten[],MATCH(Tb_ProjectKosten[[#Headers],[Forfait_Percentage]],Tb_ProjectKosten[#Headers],0),0),AND(F319="Arbeidskosten",G319&lt;&gt;""),IFERROR(X319*VLOOKUP(G319,Tb_KostenTypen[],3,0)*VLOOKUP(F319,Tb_ProjectKosten[],MATCH(Tb_ProjectKosten[[#Headers],[Forfait_Percentage]],Tb_ProjectKosten[#Headers],0),0),""),X319 &lt;=0,0),"")</f>
        <v/>
      </c>
      <c r="AB319" s="314" t="str">
        <f t="shared" ca="1" si="19"/>
        <v/>
      </c>
      <c r="AC319" s="322"/>
      <c r="AD319" s="315"/>
      <c r="AE319" s="32" t="str" cm="1">
        <f t="array" ref="AE319">IFERROR(IF(INDEX(SubsidieTabel!$AD$1:$AG$12,MATCH($F319,SubsidieTabel!$AD$1:$AD$12,0),IFERROR(MATCH(Methode_Keuze,SubsidieTabel!$AD$1:$AG$1,0),2))&lt;&gt;1=TRUE,"ja",""),"")</f>
        <v/>
      </c>
    </row>
    <row r="320" spans="1:31" x14ac:dyDescent="0.25">
      <c r="A320" s="316"/>
      <c r="B320" s="317" t="str">
        <f>IF(A320&lt;&gt;"",_xlfn.MAXIFS($B$1:B319,$A$1:A319,A320)+1,"")</f>
        <v/>
      </c>
      <c r="C320" s="296"/>
      <c r="D320" s="296"/>
      <c r="E320" s="296"/>
      <c r="F320" s="296"/>
      <c r="G320" s="326"/>
      <c r="H320" s="324"/>
      <c r="I320" s="325"/>
      <c r="J320" s="325"/>
      <c r="K320" s="318"/>
      <c r="L320" s="318"/>
      <c r="M320" s="319" t="str">
        <f>IFERROR(VLOOKUP(H320,Lijsten!$H$1:$I$100,2,0),"")</f>
        <v/>
      </c>
      <c r="N320" s="319" t="str">
        <f ca="1">IFERROR(IF(VLOOKUP(F320,Kostentypen!$A$3:$E$21,3,0)=0,"",IF(OR(F320="Arbeidskosten",F320="Vergoeding"),VLOOKUP(G320,Tb_KostenTypen[],2,0),VLOOKUP(F320,Kostentypen!$A$3:$E$20,3,0))),"")</f>
        <v/>
      </c>
      <c r="O320" s="320" t="str" cm="1">
        <f t="array" ref="O320">_xlfn.IFNA(IF(INDEX(Tb_KostenOptiesDB[],MATCH($F320,Tb_KostenOptiesDB[KostenOptie],0),IFERROR(MATCH(Methode_Keuze,Tb_KostenOptiesDB[#Headers],0),2))=1,_xlfn.SWITCH($N320,"Uurtarief",IF(OR(AND(RIGHT($F320,3)="IKS",VLOOKUP($M320,DB_Loonkosten,2,0)="Ja"),AND(RIGHT($F320,3)&lt;&gt;"IKS",VLOOKUP($M320,DB_Loonkosten,2,0)="Nee")),IFERROR(VLOOKUP($M320,DB_Loonkosten,24,0),""),0),"Vast tarief",IF(LEFT(F320,8)="Bijdrage",VLOOKUP($F320,Tb_KostenTypen[],MATCH(Lijsten!$P$1,Tb_KostenTypen[#Headers],0),0),VLOOKUP($G320,Lijsten!L:P,MATCH(Lijsten!$P$1,Kop_Tarief_Vast,0),0))),""),"")</f>
        <v/>
      </c>
      <c r="P320" s="320" t="str" cm="1">
        <f t="array" ref="P320">_xlfn.IFNA(IF(INDEX(Tb_KostenOptiesDB[],MATCH($F320,Tb_KostenOptiesDB[KostenOptie],0),IFERROR(MATCH(Methode_Keuze,Tb_KostenOptiesDB[#Headers],0),2))=1,_xlfn.SWITCH($N320,"Uurtarief",IF(OR(AND(RIGHT($F320,3)="IKS",VLOOKUP($M320,DB_Loonkosten,2,0)="Ja"),AND(RIGHT($F320,3)&lt;&gt;"IKS",VLOOKUP($M320,DB_Loonkosten,2,0)="Nee")),IFERROR(VLOOKUP($M320,DB_Loonkosten,25,0),""),0),"Vast tarief",IF(LEFT(F320,8)="Bijdrage",VLOOKUP($F320,Tb_KostenTypen[],MATCH(Lijsten!$P$1,Tb_KostenTypen[#Headers],0),0),VLOOKUP($G320,Lijsten!L:P,MATCH(Lijsten!$P$1,Kop_Tarief_Vast,0),0))),""),"")</f>
        <v/>
      </c>
      <c r="Q320" s="359"/>
      <c r="R320" s="359"/>
      <c r="S320" s="321"/>
      <c r="T320" s="321"/>
      <c r="U320" s="373" t="str">
        <f t="shared" si="16"/>
        <v/>
      </c>
      <c r="V320" s="314" t="str">
        <f t="shared" si="17"/>
        <v/>
      </c>
      <c r="W320" s="314" t="str" cm="1">
        <f t="array" aca="1" ref="W320" ca="1">IFERROR(IF(AE320&lt;&gt;"ja",_xlfn.IFNA(_xlfn.IFS(AND(O320&lt;&gt;"",F320&lt;&gt;"",RIGHT($N320,6)="tarief",F320="Vergoeding"),SUM(O320)*FLOOR(SUM(Q320),0.0001),AND(O320&lt;&gt;"",F320&lt;&gt;"",RIGHT($N320,6)="tarief"),SUM(O320)*FLOOR(SUM(Q320),0.01),S320&gt;0,IF(F320&lt;&gt;"",FLOOR(SUM(S320),0.01),"")),""),""),"")</f>
        <v/>
      </c>
      <c r="X320" s="314" t="str" cm="1">
        <f t="array" aca="1" ref="X320" ca="1">IFERROR(IF(AE320&lt;&gt;"ja",_xlfn.IFNA(_xlfn.IFS(AND(P320&lt;&gt;"",R320&lt;&gt;"",RIGHT($N320,6)="tarief",F320="Vergoeding"),SUM(P320)*FLOOR(SUM(R320),0.0001),AND(P320&lt;&gt;"",R320&lt;&gt;"",RIGHT($N320,6)="tarief"),P320*FLOOR(R320,0.01),T320&gt;0,FLOOR(SUM(T320),0.01)),""),""),"")</f>
        <v/>
      </c>
      <c r="Y320" s="314" t="str">
        <f t="shared" ca="1" si="18"/>
        <v/>
      </c>
      <c r="Z320" s="314" t="str" cm="1">
        <f t="array" aca="1" ref="Z320" ca="1">IFERROR(_xlfn.IFS(OR(F320="",LEFT(Methode_Keuze,4)="Geen",Methode_Keuze=""),"",AND(W320&lt;&gt;"",F320&lt;&gt;"Arbeidskosten"),W320*VLOOKUP(F320,Tb_ProjectKosten[],MATCH(Tb_ProjectKosten[[#Headers],[Forfait_Percentage]],Tb_ProjectKosten[#Headers],0),0),AND(F320="Arbeidskosten",G320&lt;&gt;""),IFERROR(W320*VLOOKUP(G320,Tb_KostenTypen[],3,0)*VLOOKUP(F320,Tb_ProjectKosten[],MATCH(Tb_ProjectKosten[[#Headers],[Forfait_Percentage]],Tb_ProjectKosten[#Headers],0),0),""),W320 &lt;=0,0),"")</f>
        <v/>
      </c>
      <c r="AA320" s="314" t="str" cm="1">
        <f t="array" aca="1" ref="AA320" ca="1">IFERROR(_xlfn.IFS(OR(F320="",LEFT(Methode_Keuze,4)="Geen",Methode_Keuze=""),"",AND(X320&lt;&gt;"",F320&lt;&gt;"Arbeidskosten"),X320*VLOOKUP(F320,Tb_ProjectKosten[],MATCH(Tb_ProjectKosten[[#Headers],[Forfait_Percentage]],Tb_ProjectKosten[#Headers],0),0),AND(F320="Arbeidskosten",G320&lt;&gt;""),IFERROR(X320*VLOOKUP(G320,Tb_KostenTypen[],3,0)*VLOOKUP(F320,Tb_ProjectKosten[],MATCH(Tb_ProjectKosten[[#Headers],[Forfait_Percentage]],Tb_ProjectKosten[#Headers],0),0),""),X320 &lt;=0,0),"")</f>
        <v/>
      </c>
      <c r="AB320" s="314" t="str">
        <f t="shared" ca="1" si="19"/>
        <v/>
      </c>
      <c r="AC320" s="322"/>
      <c r="AD320" s="315"/>
      <c r="AE320" s="32" t="str" cm="1">
        <f t="array" ref="AE320">IFERROR(IF(INDEX(SubsidieTabel!$AD$1:$AG$12,MATCH($F320,SubsidieTabel!$AD$1:$AD$12,0),IFERROR(MATCH(Methode_Keuze,SubsidieTabel!$AD$1:$AG$1,0),2))&lt;&gt;1=TRUE,"ja",""),"")</f>
        <v/>
      </c>
    </row>
    <row r="321" spans="1:31" x14ac:dyDescent="0.25">
      <c r="A321" s="316"/>
      <c r="B321" s="317" t="str">
        <f>IF(A321&lt;&gt;"",_xlfn.MAXIFS($B$1:B320,$A$1:A320,A321)+1,"")</f>
        <v/>
      </c>
      <c r="C321" s="296"/>
      <c r="D321" s="296"/>
      <c r="E321" s="296"/>
      <c r="F321" s="296"/>
      <c r="G321" s="326"/>
      <c r="H321" s="324"/>
      <c r="I321" s="325"/>
      <c r="J321" s="325"/>
      <c r="K321" s="318"/>
      <c r="L321" s="318"/>
      <c r="M321" s="319" t="str">
        <f>IFERROR(VLOOKUP(H321,Lijsten!$H$1:$I$100,2,0),"")</f>
        <v/>
      </c>
      <c r="N321" s="319" t="str">
        <f ca="1">IFERROR(IF(VLOOKUP(F321,Kostentypen!$A$3:$E$21,3,0)=0,"",IF(OR(F321="Arbeidskosten",F321="Vergoeding"),VLOOKUP(G321,Tb_KostenTypen[],2,0),VLOOKUP(F321,Kostentypen!$A$3:$E$20,3,0))),"")</f>
        <v/>
      </c>
      <c r="O321" s="320" t="str" cm="1">
        <f t="array" ref="O321">_xlfn.IFNA(IF(INDEX(Tb_KostenOptiesDB[],MATCH($F321,Tb_KostenOptiesDB[KostenOptie],0),IFERROR(MATCH(Methode_Keuze,Tb_KostenOptiesDB[#Headers],0),2))=1,_xlfn.SWITCH($N321,"Uurtarief",IF(OR(AND(RIGHT($F321,3)="IKS",VLOOKUP($M321,DB_Loonkosten,2,0)="Ja"),AND(RIGHT($F321,3)&lt;&gt;"IKS",VLOOKUP($M321,DB_Loonkosten,2,0)="Nee")),IFERROR(VLOOKUP($M321,DB_Loonkosten,24,0),""),0),"Vast tarief",IF(LEFT(F321,8)="Bijdrage",VLOOKUP($F321,Tb_KostenTypen[],MATCH(Lijsten!$P$1,Tb_KostenTypen[#Headers],0),0),VLOOKUP($G321,Lijsten!L:P,MATCH(Lijsten!$P$1,Kop_Tarief_Vast,0),0))),""),"")</f>
        <v/>
      </c>
      <c r="P321" s="320" t="str" cm="1">
        <f t="array" ref="P321">_xlfn.IFNA(IF(INDEX(Tb_KostenOptiesDB[],MATCH($F321,Tb_KostenOptiesDB[KostenOptie],0),IFERROR(MATCH(Methode_Keuze,Tb_KostenOptiesDB[#Headers],0),2))=1,_xlfn.SWITCH($N321,"Uurtarief",IF(OR(AND(RIGHT($F321,3)="IKS",VLOOKUP($M321,DB_Loonkosten,2,0)="Ja"),AND(RIGHT($F321,3)&lt;&gt;"IKS",VLOOKUP($M321,DB_Loonkosten,2,0)="Nee")),IFERROR(VLOOKUP($M321,DB_Loonkosten,25,0),""),0),"Vast tarief",IF(LEFT(F321,8)="Bijdrage",VLOOKUP($F321,Tb_KostenTypen[],MATCH(Lijsten!$P$1,Tb_KostenTypen[#Headers],0),0),VLOOKUP($G321,Lijsten!L:P,MATCH(Lijsten!$P$1,Kop_Tarief_Vast,0),0))),""),"")</f>
        <v/>
      </c>
      <c r="Q321" s="359"/>
      <c r="R321" s="359"/>
      <c r="S321" s="321"/>
      <c r="T321" s="321"/>
      <c r="U321" s="373" t="str">
        <f t="shared" si="16"/>
        <v/>
      </c>
      <c r="V321" s="314" t="str">
        <f t="shared" si="17"/>
        <v/>
      </c>
      <c r="W321" s="314" t="str" cm="1">
        <f t="array" aca="1" ref="W321" ca="1">IFERROR(IF(AE321&lt;&gt;"ja",_xlfn.IFNA(_xlfn.IFS(AND(O321&lt;&gt;"",F321&lt;&gt;"",RIGHT($N321,6)="tarief",F321="Vergoeding"),SUM(O321)*FLOOR(SUM(Q321),0.0001),AND(O321&lt;&gt;"",F321&lt;&gt;"",RIGHT($N321,6)="tarief"),SUM(O321)*FLOOR(SUM(Q321),0.01),S321&gt;0,IF(F321&lt;&gt;"",FLOOR(SUM(S321),0.01),"")),""),""),"")</f>
        <v/>
      </c>
      <c r="X321" s="314" t="str" cm="1">
        <f t="array" aca="1" ref="X321" ca="1">IFERROR(IF(AE321&lt;&gt;"ja",_xlfn.IFNA(_xlfn.IFS(AND(P321&lt;&gt;"",R321&lt;&gt;"",RIGHT($N321,6)="tarief",F321="Vergoeding"),SUM(P321)*FLOOR(SUM(R321),0.0001),AND(P321&lt;&gt;"",R321&lt;&gt;"",RIGHT($N321,6)="tarief"),P321*FLOOR(R321,0.01),T321&gt;0,FLOOR(SUM(T321),0.01)),""),""),"")</f>
        <v/>
      </c>
      <c r="Y321" s="314" t="str">
        <f t="shared" ca="1" si="18"/>
        <v/>
      </c>
      <c r="Z321" s="314" t="str" cm="1">
        <f t="array" aca="1" ref="Z321" ca="1">IFERROR(_xlfn.IFS(OR(F321="",LEFT(Methode_Keuze,4)="Geen",Methode_Keuze=""),"",AND(W321&lt;&gt;"",F321&lt;&gt;"Arbeidskosten"),W321*VLOOKUP(F321,Tb_ProjectKosten[],MATCH(Tb_ProjectKosten[[#Headers],[Forfait_Percentage]],Tb_ProjectKosten[#Headers],0),0),AND(F321="Arbeidskosten",G321&lt;&gt;""),IFERROR(W321*VLOOKUP(G321,Tb_KostenTypen[],3,0)*VLOOKUP(F321,Tb_ProjectKosten[],MATCH(Tb_ProjectKosten[[#Headers],[Forfait_Percentage]],Tb_ProjectKosten[#Headers],0),0),""),W321 &lt;=0,0),"")</f>
        <v/>
      </c>
      <c r="AA321" s="314" t="str" cm="1">
        <f t="array" aca="1" ref="AA321" ca="1">IFERROR(_xlfn.IFS(OR(F321="",LEFT(Methode_Keuze,4)="Geen",Methode_Keuze=""),"",AND(X321&lt;&gt;"",F321&lt;&gt;"Arbeidskosten"),X321*VLOOKUP(F321,Tb_ProjectKosten[],MATCH(Tb_ProjectKosten[[#Headers],[Forfait_Percentage]],Tb_ProjectKosten[#Headers],0),0),AND(F321="Arbeidskosten",G321&lt;&gt;""),IFERROR(X321*VLOOKUP(G321,Tb_KostenTypen[],3,0)*VLOOKUP(F321,Tb_ProjectKosten[],MATCH(Tb_ProjectKosten[[#Headers],[Forfait_Percentage]],Tb_ProjectKosten[#Headers],0),0),""),X321 &lt;=0,0),"")</f>
        <v/>
      </c>
      <c r="AB321" s="314" t="str">
        <f t="shared" ca="1" si="19"/>
        <v/>
      </c>
      <c r="AC321" s="322"/>
      <c r="AD321" s="315"/>
      <c r="AE321" s="32" t="str" cm="1">
        <f t="array" ref="AE321">IFERROR(IF(INDEX(SubsidieTabel!$AD$1:$AG$12,MATCH($F321,SubsidieTabel!$AD$1:$AD$12,0),IFERROR(MATCH(Methode_Keuze,SubsidieTabel!$AD$1:$AG$1,0),2))&lt;&gt;1=TRUE,"ja",""),"")</f>
        <v/>
      </c>
    </row>
    <row r="322" spans="1:31" x14ac:dyDescent="0.25">
      <c r="A322" s="316"/>
      <c r="B322" s="317" t="str">
        <f>IF(A322&lt;&gt;"",_xlfn.MAXIFS($B$1:B321,$A$1:A321,A322)+1,"")</f>
        <v/>
      </c>
      <c r="C322" s="296"/>
      <c r="D322" s="296"/>
      <c r="E322" s="296"/>
      <c r="F322" s="296"/>
      <c r="G322" s="326"/>
      <c r="H322" s="324"/>
      <c r="I322" s="325"/>
      <c r="J322" s="325"/>
      <c r="K322" s="318"/>
      <c r="L322" s="318"/>
      <c r="M322" s="319" t="str">
        <f>IFERROR(VLOOKUP(H322,Lijsten!$H$1:$I$100,2,0),"")</f>
        <v/>
      </c>
      <c r="N322" s="319" t="str">
        <f ca="1">IFERROR(IF(VLOOKUP(F322,Kostentypen!$A$3:$E$21,3,0)=0,"",IF(OR(F322="Arbeidskosten",F322="Vergoeding"),VLOOKUP(G322,Tb_KostenTypen[],2,0),VLOOKUP(F322,Kostentypen!$A$3:$E$20,3,0))),"")</f>
        <v/>
      </c>
      <c r="O322" s="320" t="str" cm="1">
        <f t="array" ref="O322">_xlfn.IFNA(IF(INDEX(Tb_KostenOptiesDB[],MATCH($F322,Tb_KostenOptiesDB[KostenOptie],0),IFERROR(MATCH(Methode_Keuze,Tb_KostenOptiesDB[#Headers],0),2))=1,_xlfn.SWITCH($N322,"Uurtarief",IF(OR(AND(RIGHT($F322,3)="IKS",VLOOKUP($M322,DB_Loonkosten,2,0)="Ja"),AND(RIGHT($F322,3)&lt;&gt;"IKS",VLOOKUP($M322,DB_Loonkosten,2,0)="Nee")),IFERROR(VLOOKUP($M322,DB_Loonkosten,24,0),""),0),"Vast tarief",IF(LEFT(F322,8)="Bijdrage",VLOOKUP($F322,Tb_KostenTypen[],MATCH(Lijsten!$P$1,Tb_KostenTypen[#Headers],0),0),VLOOKUP($G322,Lijsten!L:P,MATCH(Lijsten!$P$1,Kop_Tarief_Vast,0),0))),""),"")</f>
        <v/>
      </c>
      <c r="P322" s="320" t="str" cm="1">
        <f t="array" ref="P322">_xlfn.IFNA(IF(INDEX(Tb_KostenOptiesDB[],MATCH($F322,Tb_KostenOptiesDB[KostenOptie],0),IFERROR(MATCH(Methode_Keuze,Tb_KostenOptiesDB[#Headers],0),2))=1,_xlfn.SWITCH($N322,"Uurtarief",IF(OR(AND(RIGHT($F322,3)="IKS",VLOOKUP($M322,DB_Loonkosten,2,0)="Ja"),AND(RIGHT($F322,3)&lt;&gt;"IKS",VLOOKUP($M322,DB_Loonkosten,2,0)="Nee")),IFERROR(VLOOKUP($M322,DB_Loonkosten,25,0),""),0),"Vast tarief",IF(LEFT(F322,8)="Bijdrage",VLOOKUP($F322,Tb_KostenTypen[],MATCH(Lijsten!$P$1,Tb_KostenTypen[#Headers],0),0),VLOOKUP($G322,Lijsten!L:P,MATCH(Lijsten!$P$1,Kop_Tarief_Vast,0),0))),""),"")</f>
        <v/>
      </c>
      <c r="Q322" s="359"/>
      <c r="R322" s="359"/>
      <c r="S322" s="321"/>
      <c r="T322" s="321"/>
      <c r="U322" s="373" t="str">
        <f t="shared" si="16"/>
        <v/>
      </c>
      <c r="V322" s="314" t="str">
        <f t="shared" si="17"/>
        <v/>
      </c>
      <c r="W322" s="314" t="str" cm="1">
        <f t="array" aca="1" ref="W322" ca="1">IFERROR(IF(AE322&lt;&gt;"ja",_xlfn.IFNA(_xlfn.IFS(AND(O322&lt;&gt;"",F322&lt;&gt;"",RIGHT($N322,6)="tarief",F322="Vergoeding"),SUM(O322)*FLOOR(SUM(Q322),0.0001),AND(O322&lt;&gt;"",F322&lt;&gt;"",RIGHT($N322,6)="tarief"),SUM(O322)*FLOOR(SUM(Q322),0.01),S322&gt;0,IF(F322&lt;&gt;"",FLOOR(SUM(S322),0.01),"")),""),""),"")</f>
        <v/>
      </c>
      <c r="X322" s="314" t="str" cm="1">
        <f t="array" aca="1" ref="X322" ca="1">IFERROR(IF(AE322&lt;&gt;"ja",_xlfn.IFNA(_xlfn.IFS(AND(P322&lt;&gt;"",R322&lt;&gt;"",RIGHT($N322,6)="tarief",F322="Vergoeding"),SUM(P322)*FLOOR(SUM(R322),0.0001),AND(P322&lt;&gt;"",R322&lt;&gt;"",RIGHT($N322,6)="tarief"),P322*FLOOR(R322,0.01),T322&gt;0,FLOOR(SUM(T322),0.01)),""),""),"")</f>
        <v/>
      </c>
      <c r="Y322" s="314" t="str">
        <f t="shared" ca="1" si="18"/>
        <v/>
      </c>
      <c r="Z322" s="314" t="str" cm="1">
        <f t="array" aca="1" ref="Z322" ca="1">IFERROR(_xlfn.IFS(OR(F322="",LEFT(Methode_Keuze,4)="Geen",Methode_Keuze=""),"",AND(W322&lt;&gt;"",F322&lt;&gt;"Arbeidskosten"),W322*VLOOKUP(F322,Tb_ProjectKosten[],MATCH(Tb_ProjectKosten[[#Headers],[Forfait_Percentage]],Tb_ProjectKosten[#Headers],0),0),AND(F322="Arbeidskosten",G322&lt;&gt;""),IFERROR(W322*VLOOKUP(G322,Tb_KostenTypen[],3,0)*VLOOKUP(F322,Tb_ProjectKosten[],MATCH(Tb_ProjectKosten[[#Headers],[Forfait_Percentage]],Tb_ProjectKosten[#Headers],0),0),""),W322 &lt;=0,0),"")</f>
        <v/>
      </c>
      <c r="AA322" s="314" t="str" cm="1">
        <f t="array" aca="1" ref="AA322" ca="1">IFERROR(_xlfn.IFS(OR(F322="",LEFT(Methode_Keuze,4)="Geen",Methode_Keuze=""),"",AND(X322&lt;&gt;"",F322&lt;&gt;"Arbeidskosten"),X322*VLOOKUP(F322,Tb_ProjectKosten[],MATCH(Tb_ProjectKosten[[#Headers],[Forfait_Percentage]],Tb_ProjectKosten[#Headers],0),0),AND(F322="Arbeidskosten",G322&lt;&gt;""),IFERROR(X322*VLOOKUP(G322,Tb_KostenTypen[],3,0)*VLOOKUP(F322,Tb_ProjectKosten[],MATCH(Tb_ProjectKosten[[#Headers],[Forfait_Percentage]],Tb_ProjectKosten[#Headers],0),0),""),X322 &lt;=0,0),"")</f>
        <v/>
      </c>
      <c r="AB322" s="314" t="str">
        <f t="shared" ca="1" si="19"/>
        <v/>
      </c>
      <c r="AC322" s="322"/>
      <c r="AD322" s="315"/>
      <c r="AE322" s="32" t="str" cm="1">
        <f t="array" ref="AE322">IFERROR(IF(INDEX(SubsidieTabel!$AD$1:$AG$12,MATCH($F322,SubsidieTabel!$AD$1:$AD$12,0),IFERROR(MATCH(Methode_Keuze,SubsidieTabel!$AD$1:$AG$1,0),2))&lt;&gt;1=TRUE,"ja",""),"")</f>
        <v/>
      </c>
    </row>
    <row r="323" spans="1:31" x14ac:dyDescent="0.25">
      <c r="A323" s="316"/>
      <c r="B323" s="317" t="str">
        <f>IF(A323&lt;&gt;"",_xlfn.MAXIFS($B$1:B322,$A$1:A322,A323)+1,"")</f>
        <v/>
      </c>
      <c r="C323" s="296"/>
      <c r="D323" s="296"/>
      <c r="E323" s="296"/>
      <c r="F323" s="296"/>
      <c r="G323" s="326"/>
      <c r="H323" s="324"/>
      <c r="I323" s="325"/>
      <c r="J323" s="325"/>
      <c r="K323" s="318"/>
      <c r="L323" s="318"/>
      <c r="M323" s="319" t="str">
        <f>IFERROR(VLOOKUP(H323,Lijsten!$H$1:$I$100,2,0),"")</f>
        <v/>
      </c>
      <c r="N323" s="319" t="str">
        <f ca="1">IFERROR(IF(VLOOKUP(F323,Kostentypen!$A$3:$E$21,3,0)=0,"",IF(OR(F323="Arbeidskosten",F323="Vergoeding"),VLOOKUP(G323,Tb_KostenTypen[],2,0),VLOOKUP(F323,Kostentypen!$A$3:$E$20,3,0))),"")</f>
        <v/>
      </c>
      <c r="O323" s="320" t="str" cm="1">
        <f t="array" ref="O323">_xlfn.IFNA(IF(INDEX(Tb_KostenOptiesDB[],MATCH($F323,Tb_KostenOptiesDB[KostenOptie],0),IFERROR(MATCH(Methode_Keuze,Tb_KostenOptiesDB[#Headers],0),2))=1,_xlfn.SWITCH($N323,"Uurtarief",IF(OR(AND(RIGHT($F323,3)="IKS",VLOOKUP($M323,DB_Loonkosten,2,0)="Ja"),AND(RIGHT($F323,3)&lt;&gt;"IKS",VLOOKUP($M323,DB_Loonkosten,2,0)="Nee")),IFERROR(VLOOKUP($M323,DB_Loonkosten,24,0),""),0),"Vast tarief",IF(LEFT(F323,8)="Bijdrage",VLOOKUP($F323,Tb_KostenTypen[],MATCH(Lijsten!$P$1,Tb_KostenTypen[#Headers],0),0),VLOOKUP($G323,Lijsten!L:P,MATCH(Lijsten!$P$1,Kop_Tarief_Vast,0),0))),""),"")</f>
        <v/>
      </c>
      <c r="P323" s="320" t="str" cm="1">
        <f t="array" ref="P323">_xlfn.IFNA(IF(INDEX(Tb_KostenOptiesDB[],MATCH($F323,Tb_KostenOptiesDB[KostenOptie],0),IFERROR(MATCH(Methode_Keuze,Tb_KostenOptiesDB[#Headers],0),2))=1,_xlfn.SWITCH($N323,"Uurtarief",IF(OR(AND(RIGHT($F323,3)="IKS",VLOOKUP($M323,DB_Loonkosten,2,0)="Ja"),AND(RIGHT($F323,3)&lt;&gt;"IKS",VLOOKUP($M323,DB_Loonkosten,2,0)="Nee")),IFERROR(VLOOKUP($M323,DB_Loonkosten,25,0),""),0),"Vast tarief",IF(LEFT(F323,8)="Bijdrage",VLOOKUP($F323,Tb_KostenTypen[],MATCH(Lijsten!$P$1,Tb_KostenTypen[#Headers],0),0),VLOOKUP($G323,Lijsten!L:P,MATCH(Lijsten!$P$1,Kop_Tarief_Vast,0),0))),""),"")</f>
        <v/>
      </c>
      <c r="Q323" s="359"/>
      <c r="R323" s="359"/>
      <c r="S323" s="321"/>
      <c r="T323" s="321"/>
      <c r="U323" s="373" t="str">
        <f t="shared" ref="U323:U386" si="20">IFERROR(IF(AND(R323&lt;&gt;"",R323&lt;&gt;Q323),-1*(R323-Q323),""),"")</f>
        <v/>
      </c>
      <c r="V323" s="314" t="str">
        <f t="shared" ref="V323:V386" si="21">IFERROR(IF(AND(T323&lt;&gt;"",T323&lt;&gt;S323),-1*(T323-S323),""),"")</f>
        <v/>
      </c>
      <c r="W323" s="314" t="str" cm="1">
        <f t="array" aca="1" ref="W323" ca="1">IFERROR(IF(AE323&lt;&gt;"ja",_xlfn.IFNA(_xlfn.IFS(AND(O323&lt;&gt;"",F323&lt;&gt;"",RIGHT($N323,6)="tarief",F323="Vergoeding"),SUM(O323)*FLOOR(SUM(Q323),0.0001),AND(O323&lt;&gt;"",F323&lt;&gt;"",RIGHT($N323,6)="tarief"),SUM(O323)*FLOOR(SUM(Q323),0.01),S323&gt;0,IF(F323&lt;&gt;"",FLOOR(SUM(S323),0.01),"")),""),""),"")</f>
        <v/>
      </c>
      <c r="X323" s="314" t="str" cm="1">
        <f t="array" aca="1" ref="X323" ca="1">IFERROR(IF(AE323&lt;&gt;"ja",_xlfn.IFNA(_xlfn.IFS(AND(P323&lt;&gt;"",R323&lt;&gt;"",RIGHT($N323,6)="tarief",F323="Vergoeding"),SUM(P323)*FLOOR(SUM(R323),0.0001),AND(P323&lt;&gt;"",R323&lt;&gt;"",RIGHT($N323,6)="tarief"),P323*FLOOR(R323,0.01),T323&gt;0,FLOOR(SUM(T323),0.01)),""),""),"")</f>
        <v/>
      </c>
      <c r="Y323" s="314" t="str">
        <f t="shared" ref="Y323:Y386" ca="1" si="22">IFERROR(IF(AND(X323&lt;&gt;"",X323&lt;&gt;W323),-1*(X323-W323),""),"")</f>
        <v/>
      </c>
      <c r="Z323" s="314" t="str" cm="1">
        <f t="array" aca="1" ref="Z323" ca="1">IFERROR(_xlfn.IFS(OR(F323="",LEFT(Methode_Keuze,4)="Geen",Methode_Keuze=""),"",AND(W323&lt;&gt;"",F323&lt;&gt;"Arbeidskosten"),W323*VLOOKUP(F323,Tb_ProjectKosten[],MATCH(Tb_ProjectKosten[[#Headers],[Forfait_Percentage]],Tb_ProjectKosten[#Headers],0),0),AND(F323="Arbeidskosten",G323&lt;&gt;""),IFERROR(W323*VLOOKUP(G323,Tb_KostenTypen[],3,0)*VLOOKUP(F323,Tb_ProjectKosten[],MATCH(Tb_ProjectKosten[[#Headers],[Forfait_Percentage]],Tb_ProjectKosten[#Headers],0),0),""),W323 &lt;=0,0),"")</f>
        <v/>
      </c>
      <c r="AA323" s="314" t="str" cm="1">
        <f t="array" aca="1" ref="AA323" ca="1">IFERROR(_xlfn.IFS(OR(F323="",LEFT(Methode_Keuze,4)="Geen",Methode_Keuze=""),"",AND(X323&lt;&gt;"",F323&lt;&gt;"Arbeidskosten"),X323*VLOOKUP(F323,Tb_ProjectKosten[],MATCH(Tb_ProjectKosten[[#Headers],[Forfait_Percentage]],Tb_ProjectKosten[#Headers],0),0),AND(F323="Arbeidskosten",G323&lt;&gt;""),IFERROR(X323*VLOOKUP(G323,Tb_KostenTypen[],3,0)*VLOOKUP(F323,Tb_ProjectKosten[],MATCH(Tb_ProjectKosten[[#Headers],[Forfait_Percentage]],Tb_ProjectKosten[#Headers],0),0),""),X323 &lt;=0,0),"")</f>
        <v/>
      </c>
      <c r="AB323" s="314" t="str">
        <f t="shared" ref="AB323:AB386" ca="1" si="23">IFERROR(IF(AND(AA323&lt;&gt;"",AA323&lt;&gt;Z323),-1*(AA323-Z323),""),"")</f>
        <v/>
      </c>
      <c r="AC323" s="322"/>
      <c r="AD323" s="315"/>
      <c r="AE323" s="32" t="str" cm="1">
        <f t="array" ref="AE323">IFERROR(IF(INDEX(SubsidieTabel!$AD$1:$AG$12,MATCH($F323,SubsidieTabel!$AD$1:$AD$12,0),IFERROR(MATCH(Methode_Keuze,SubsidieTabel!$AD$1:$AG$1,0),2))&lt;&gt;1=TRUE,"ja",""),"")</f>
        <v/>
      </c>
    </row>
    <row r="324" spans="1:31" x14ac:dyDescent="0.25">
      <c r="A324" s="316"/>
      <c r="B324" s="317" t="str">
        <f>IF(A324&lt;&gt;"",_xlfn.MAXIFS($B$1:B323,$A$1:A323,A324)+1,"")</f>
        <v/>
      </c>
      <c r="C324" s="296"/>
      <c r="D324" s="296"/>
      <c r="E324" s="296"/>
      <c r="F324" s="296"/>
      <c r="G324" s="326"/>
      <c r="H324" s="324"/>
      <c r="I324" s="325"/>
      <c r="J324" s="325"/>
      <c r="K324" s="318"/>
      <c r="L324" s="318"/>
      <c r="M324" s="319" t="str">
        <f>IFERROR(VLOOKUP(H324,Lijsten!$H$1:$I$100,2,0),"")</f>
        <v/>
      </c>
      <c r="N324" s="319" t="str">
        <f ca="1">IFERROR(IF(VLOOKUP(F324,Kostentypen!$A$3:$E$21,3,0)=0,"",IF(OR(F324="Arbeidskosten",F324="Vergoeding"),VLOOKUP(G324,Tb_KostenTypen[],2,0),VLOOKUP(F324,Kostentypen!$A$3:$E$20,3,0))),"")</f>
        <v/>
      </c>
      <c r="O324" s="320" t="str" cm="1">
        <f t="array" ref="O324">_xlfn.IFNA(IF(INDEX(Tb_KostenOptiesDB[],MATCH($F324,Tb_KostenOptiesDB[KostenOptie],0),IFERROR(MATCH(Methode_Keuze,Tb_KostenOptiesDB[#Headers],0),2))=1,_xlfn.SWITCH($N324,"Uurtarief",IF(OR(AND(RIGHT($F324,3)="IKS",VLOOKUP($M324,DB_Loonkosten,2,0)="Ja"),AND(RIGHT($F324,3)&lt;&gt;"IKS",VLOOKUP($M324,DB_Loonkosten,2,0)="Nee")),IFERROR(VLOOKUP($M324,DB_Loonkosten,24,0),""),0),"Vast tarief",IF(LEFT(F324,8)="Bijdrage",VLOOKUP($F324,Tb_KostenTypen[],MATCH(Lijsten!$P$1,Tb_KostenTypen[#Headers],0),0),VLOOKUP($G324,Lijsten!L:P,MATCH(Lijsten!$P$1,Kop_Tarief_Vast,0),0))),""),"")</f>
        <v/>
      </c>
      <c r="P324" s="320" t="str" cm="1">
        <f t="array" ref="P324">_xlfn.IFNA(IF(INDEX(Tb_KostenOptiesDB[],MATCH($F324,Tb_KostenOptiesDB[KostenOptie],0),IFERROR(MATCH(Methode_Keuze,Tb_KostenOptiesDB[#Headers],0),2))=1,_xlfn.SWITCH($N324,"Uurtarief",IF(OR(AND(RIGHT($F324,3)="IKS",VLOOKUP($M324,DB_Loonkosten,2,0)="Ja"),AND(RIGHT($F324,3)&lt;&gt;"IKS",VLOOKUP($M324,DB_Loonkosten,2,0)="Nee")),IFERROR(VLOOKUP($M324,DB_Loonkosten,25,0),""),0),"Vast tarief",IF(LEFT(F324,8)="Bijdrage",VLOOKUP($F324,Tb_KostenTypen[],MATCH(Lijsten!$P$1,Tb_KostenTypen[#Headers],0),0),VLOOKUP($G324,Lijsten!L:P,MATCH(Lijsten!$P$1,Kop_Tarief_Vast,0),0))),""),"")</f>
        <v/>
      </c>
      <c r="Q324" s="359"/>
      <c r="R324" s="359"/>
      <c r="S324" s="321"/>
      <c r="T324" s="321"/>
      <c r="U324" s="373" t="str">
        <f t="shared" si="20"/>
        <v/>
      </c>
      <c r="V324" s="314" t="str">
        <f t="shared" si="21"/>
        <v/>
      </c>
      <c r="W324" s="314" t="str" cm="1">
        <f t="array" aca="1" ref="W324" ca="1">IFERROR(IF(AE324&lt;&gt;"ja",_xlfn.IFNA(_xlfn.IFS(AND(O324&lt;&gt;"",F324&lt;&gt;"",RIGHT($N324,6)="tarief",F324="Vergoeding"),SUM(O324)*FLOOR(SUM(Q324),0.0001),AND(O324&lt;&gt;"",F324&lt;&gt;"",RIGHT($N324,6)="tarief"),SUM(O324)*FLOOR(SUM(Q324),0.01),S324&gt;0,IF(F324&lt;&gt;"",FLOOR(SUM(S324),0.01),"")),""),""),"")</f>
        <v/>
      </c>
      <c r="X324" s="314" t="str" cm="1">
        <f t="array" aca="1" ref="X324" ca="1">IFERROR(IF(AE324&lt;&gt;"ja",_xlfn.IFNA(_xlfn.IFS(AND(P324&lt;&gt;"",R324&lt;&gt;"",RIGHT($N324,6)="tarief",F324="Vergoeding"),SUM(P324)*FLOOR(SUM(R324),0.0001),AND(P324&lt;&gt;"",R324&lt;&gt;"",RIGHT($N324,6)="tarief"),P324*FLOOR(R324,0.01),T324&gt;0,FLOOR(SUM(T324),0.01)),""),""),"")</f>
        <v/>
      </c>
      <c r="Y324" s="314" t="str">
        <f t="shared" ca="1" si="22"/>
        <v/>
      </c>
      <c r="Z324" s="314" t="str" cm="1">
        <f t="array" aca="1" ref="Z324" ca="1">IFERROR(_xlfn.IFS(OR(F324="",LEFT(Methode_Keuze,4)="Geen",Methode_Keuze=""),"",AND(W324&lt;&gt;"",F324&lt;&gt;"Arbeidskosten"),W324*VLOOKUP(F324,Tb_ProjectKosten[],MATCH(Tb_ProjectKosten[[#Headers],[Forfait_Percentage]],Tb_ProjectKosten[#Headers],0),0),AND(F324="Arbeidskosten",G324&lt;&gt;""),IFERROR(W324*VLOOKUP(G324,Tb_KostenTypen[],3,0)*VLOOKUP(F324,Tb_ProjectKosten[],MATCH(Tb_ProjectKosten[[#Headers],[Forfait_Percentage]],Tb_ProjectKosten[#Headers],0),0),""),W324 &lt;=0,0),"")</f>
        <v/>
      </c>
      <c r="AA324" s="314" t="str" cm="1">
        <f t="array" aca="1" ref="AA324" ca="1">IFERROR(_xlfn.IFS(OR(F324="",LEFT(Methode_Keuze,4)="Geen",Methode_Keuze=""),"",AND(X324&lt;&gt;"",F324&lt;&gt;"Arbeidskosten"),X324*VLOOKUP(F324,Tb_ProjectKosten[],MATCH(Tb_ProjectKosten[[#Headers],[Forfait_Percentage]],Tb_ProjectKosten[#Headers],0),0),AND(F324="Arbeidskosten",G324&lt;&gt;""),IFERROR(X324*VLOOKUP(G324,Tb_KostenTypen[],3,0)*VLOOKUP(F324,Tb_ProjectKosten[],MATCH(Tb_ProjectKosten[[#Headers],[Forfait_Percentage]],Tb_ProjectKosten[#Headers],0),0),""),X324 &lt;=0,0),"")</f>
        <v/>
      </c>
      <c r="AB324" s="314" t="str">
        <f t="shared" ca="1" si="23"/>
        <v/>
      </c>
      <c r="AC324" s="322"/>
      <c r="AD324" s="315"/>
      <c r="AE324" s="32" t="str" cm="1">
        <f t="array" ref="AE324">IFERROR(IF(INDEX(SubsidieTabel!$AD$1:$AG$12,MATCH($F324,SubsidieTabel!$AD$1:$AD$12,0),IFERROR(MATCH(Methode_Keuze,SubsidieTabel!$AD$1:$AG$1,0),2))&lt;&gt;1=TRUE,"ja",""),"")</f>
        <v/>
      </c>
    </row>
    <row r="325" spans="1:31" x14ac:dyDescent="0.25">
      <c r="A325" s="316"/>
      <c r="B325" s="317" t="str">
        <f>IF(A325&lt;&gt;"",_xlfn.MAXIFS($B$1:B324,$A$1:A324,A325)+1,"")</f>
        <v/>
      </c>
      <c r="C325" s="296"/>
      <c r="D325" s="296"/>
      <c r="E325" s="296"/>
      <c r="F325" s="296"/>
      <c r="G325" s="326"/>
      <c r="H325" s="324"/>
      <c r="I325" s="325"/>
      <c r="J325" s="325"/>
      <c r="K325" s="318"/>
      <c r="L325" s="318"/>
      <c r="M325" s="319" t="str">
        <f>IFERROR(VLOOKUP(H325,Lijsten!$H$1:$I$100,2,0),"")</f>
        <v/>
      </c>
      <c r="N325" s="319" t="str">
        <f ca="1">IFERROR(IF(VLOOKUP(F325,Kostentypen!$A$3:$E$21,3,0)=0,"",IF(OR(F325="Arbeidskosten",F325="Vergoeding"),VLOOKUP(G325,Tb_KostenTypen[],2,0),VLOOKUP(F325,Kostentypen!$A$3:$E$20,3,0))),"")</f>
        <v/>
      </c>
      <c r="O325" s="320" t="str" cm="1">
        <f t="array" ref="O325">_xlfn.IFNA(IF(INDEX(Tb_KostenOptiesDB[],MATCH($F325,Tb_KostenOptiesDB[KostenOptie],0),IFERROR(MATCH(Methode_Keuze,Tb_KostenOptiesDB[#Headers],0),2))=1,_xlfn.SWITCH($N325,"Uurtarief",IF(OR(AND(RIGHT($F325,3)="IKS",VLOOKUP($M325,DB_Loonkosten,2,0)="Ja"),AND(RIGHT($F325,3)&lt;&gt;"IKS",VLOOKUP($M325,DB_Loonkosten,2,0)="Nee")),IFERROR(VLOOKUP($M325,DB_Loonkosten,24,0),""),0),"Vast tarief",IF(LEFT(F325,8)="Bijdrage",VLOOKUP($F325,Tb_KostenTypen[],MATCH(Lijsten!$P$1,Tb_KostenTypen[#Headers],0),0),VLOOKUP($G325,Lijsten!L:P,MATCH(Lijsten!$P$1,Kop_Tarief_Vast,0),0))),""),"")</f>
        <v/>
      </c>
      <c r="P325" s="320" t="str" cm="1">
        <f t="array" ref="P325">_xlfn.IFNA(IF(INDEX(Tb_KostenOptiesDB[],MATCH($F325,Tb_KostenOptiesDB[KostenOptie],0),IFERROR(MATCH(Methode_Keuze,Tb_KostenOptiesDB[#Headers],0),2))=1,_xlfn.SWITCH($N325,"Uurtarief",IF(OR(AND(RIGHT($F325,3)="IKS",VLOOKUP($M325,DB_Loonkosten,2,0)="Ja"),AND(RIGHT($F325,3)&lt;&gt;"IKS",VLOOKUP($M325,DB_Loonkosten,2,0)="Nee")),IFERROR(VLOOKUP($M325,DB_Loonkosten,25,0),""),0),"Vast tarief",IF(LEFT(F325,8)="Bijdrage",VLOOKUP($F325,Tb_KostenTypen[],MATCH(Lijsten!$P$1,Tb_KostenTypen[#Headers],0),0),VLOOKUP($G325,Lijsten!L:P,MATCH(Lijsten!$P$1,Kop_Tarief_Vast,0),0))),""),"")</f>
        <v/>
      </c>
      <c r="Q325" s="359"/>
      <c r="R325" s="359"/>
      <c r="S325" s="321"/>
      <c r="T325" s="321"/>
      <c r="U325" s="373" t="str">
        <f t="shared" si="20"/>
        <v/>
      </c>
      <c r="V325" s="314" t="str">
        <f t="shared" si="21"/>
        <v/>
      </c>
      <c r="W325" s="314" t="str" cm="1">
        <f t="array" aca="1" ref="W325" ca="1">IFERROR(IF(AE325&lt;&gt;"ja",_xlfn.IFNA(_xlfn.IFS(AND(O325&lt;&gt;"",F325&lt;&gt;"",RIGHT($N325,6)="tarief",F325="Vergoeding"),SUM(O325)*FLOOR(SUM(Q325),0.0001),AND(O325&lt;&gt;"",F325&lt;&gt;"",RIGHT($N325,6)="tarief"),SUM(O325)*FLOOR(SUM(Q325),0.01),S325&gt;0,IF(F325&lt;&gt;"",FLOOR(SUM(S325),0.01),"")),""),""),"")</f>
        <v/>
      </c>
      <c r="X325" s="314" t="str" cm="1">
        <f t="array" aca="1" ref="X325" ca="1">IFERROR(IF(AE325&lt;&gt;"ja",_xlfn.IFNA(_xlfn.IFS(AND(P325&lt;&gt;"",R325&lt;&gt;"",RIGHT($N325,6)="tarief",F325="Vergoeding"),SUM(P325)*FLOOR(SUM(R325),0.0001),AND(P325&lt;&gt;"",R325&lt;&gt;"",RIGHT($N325,6)="tarief"),P325*FLOOR(R325,0.01),T325&gt;0,FLOOR(SUM(T325),0.01)),""),""),"")</f>
        <v/>
      </c>
      <c r="Y325" s="314" t="str">
        <f t="shared" ca="1" si="22"/>
        <v/>
      </c>
      <c r="Z325" s="314" t="str" cm="1">
        <f t="array" aca="1" ref="Z325" ca="1">IFERROR(_xlfn.IFS(OR(F325="",LEFT(Methode_Keuze,4)="Geen",Methode_Keuze=""),"",AND(W325&lt;&gt;"",F325&lt;&gt;"Arbeidskosten"),W325*VLOOKUP(F325,Tb_ProjectKosten[],MATCH(Tb_ProjectKosten[[#Headers],[Forfait_Percentage]],Tb_ProjectKosten[#Headers],0),0),AND(F325="Arbeidskosten",G325&lt;&gt;""),IFERROR(W325*VLOOKUP(G325,Tb_KostenTypen[],3,0)*VLOOKUP(F325,Tb_ProjectKosten[],MATCH(Tb_ProjectKosten[[#Headers],[Forfait_Percentage]],Tb_ProjectKosten[#Headers],0),0),""),W325 &lt;=0,0),"")</f>
        <v/>
      </c>
      <c r="AA325" s="314" t="str" cm="1">
        <f t="array" aca="1" ref="AA325" ca="1">IFERROR(_xlfn.IFS(OR(F325="",LEFT(Methode_Keuze,4)="Geen",Methode_Keuze=""),"",AND(X325&lt;&gt;"",F325&lt;&gt;"Arbeidskosten"),X325*VLOOKUP(F325,Tb_ProjectKosten[],MATCH(Tb_ProjectKosten[[#Headers],[Forfait_Percentage]],Tb_ProjectKosten[#Headers],0),0),AND(F325="Arbeidskosten",G325&lt;&gt;""),IFERROR(X325*VLOOKUP(G325,Tb_KostenTypen[],3,0)*VLOOKUP(F325,Tb_ProjectKosten[],MATCH(Tb_ProjectKosten[[#Headers],[Forfait_Percentage]],Tb_ProjectKosten[#Headers],0),0),""),X325 &lt;=0,0),"")</f>
        <v/>
      </c>
      <c r="AB325" s="314" t="str">
        <f t="shared" ca="1" si="23"/>
        <v/>
      </c>
      <c r="AC325" s="322"/>
      <c r="AD325" s="315"/>
      <c r="AE325" s="32" t="str" cm="1">
        <f t="array" ref="AE325">IFERROR(IF(INDEX(SubsidieTabel!$AD$1:$AG$12,MATCH($F325,SubsidieTabel!$AD$1:$AD$12,0),IFERROR(MATCH(Methode_Keuze,SubsidieTabel!$AD$1:$AG$1,0),2))&lt;&gt;1=TRUE,"ja",""),"")</f>
        <v/>
      </c>
    </row>
    <row r="326" spans="1:31" x14ac:dyDescent="0.25">
      <c r="A326" s="316"/>
      <c r="B326" s="317" t="str">
        <f>IF(A326&lt;&gt;"",_xlfn.MAXIFS($B$1:B325,$A$1:A325,A326)+1,"")</f>
        <v/>
      </c>
      <c r="C326" s="296"/>
      <c r="D326" s="296"/>
      <c r="E326" s="296"/>
      <c r="F326" s="296"/>
      <c r="G326" s="326"/>
      <c r="H326" s="324"/>
      <c r="I326" s="325"/>
      <c r="J326" s="325"/>
      <c r="K326" s="318"/>
      <c r="L326" s="318"/>
      <c r="M326" s="319" t="str">
        <f>IFERROR(VLOOKUP(H326,Lijsten!$H$1:$I$100,2,0),"")</f>
        <v/>
      </c>
      <c r="N326" s="319" t="str">
        <f ca="1">IFERROR(IF(VLOOKUP(F326,Kostentypen!$A$3:$E$21,3,0)=0,"",IF(OR(F326="Arbeidskosten",F326="Vergoeding"),VLOOKUP(G326,Tb_KostenTypen[],2,0),VLOOKUP(F326,Kostentypen!$A$3:$E$20,3,0))),"")</f>
        <v/>
      </c>
      <c r="O326" s="320" t="str" cm="1">
        <f t="array" ref="O326">_xlfn.IFNA(IF(INDEX(Tb_KostenOptiesDB[],MATCH($F326,Tb_KostenOptiesDB[KostenOptie],0),IFERROR(MATCH(Methode_Keuze,Tb_KostenOptiesDB[#Headers],0),2))=1,_xlfn.SWITCH($N326,"Uurtarief",IF(OR(AND(RIGHT($F326,3)="IKS",VLOOKUP($M326,DB_Loonkosten,2,0)="Ja"),AND(RIGHT($F326,3)&lt;&gt;"IKS",VLOOKUP($M326,DB_Loonkosten,2,0)="Nee")),IFERROR(VLOOKUP($M326,DB_Loonkosten,24,0),""),0),"Vast tarief",IF(LEFT(F326,8)="Bijdrage",VLOOKUP($F326,Tb_KostenTypen[],MATCH(Lijsten!$P$1,Tb_KostenTypen[#Headers],0),0),VLOOKUP($G326,Lijsten!L:P,MATCH(Lijsten!$P$1,Kop_Tarief_Vast,0),0))),""),"")</f>
        <v/>
      </c>
      <c r="P326" s="320" t="str" cm="1">
        <f t="array" ref="P326">_xlfn.IFNA(IF(INDEX(Tb_KostenOptiesDB[],MATCH($F326,Tb_KostenOptiesDB[KostenOptie],0),IFERROR(MATCH(Methode_Keuze,Tb_KostenOptiesDB[#Headers],0),2))=1,_xlfn.SWITCH($N326,"Uurtarief",IF(OR(AND(RIGHT($F326,3)="IKS",VLOOKUP($M326,DB_Loonkosten,2,0)="Ja"),AND(RIGHT($F326,3)&lt;&gt;"IKS",VLOOKUP($M326,DB_Loonkosten,2,0)="Nee")),IFERROR(VLOOKUP($M326,DB_Loonkosten,25,0),""),0),"Vast tarief",IF(LEFT(F326,8)="Bijdrage",VLOOKUP($F326,Tb_KostenTypen[],MATCH(Lijsten!$P$1,Tb_KostenTypen[#Headers],0),0),VLOOKUP($G326,Lijsten!L:P,MATCH(Lijsten!$P$1,Kop_Tarief_Vast,0),0))),""),"")</f>
        <v/>
      </c>
      <c r="Q326" s="359"/>
      <c r="R326" s="359"/>
      <c r="S326" s="321"/>
      <c r="T326" s="321"/>
      <c r="U326" s="373" t="str">
        <f t="shared" si="20"/>
        <v/>
      </c>
      <c r="V326" s="314" t="str">
        <f t="shared" si="21"/>
        <v/>
      </c>
      <c r="W326" s="314" t="str" cm="1">
        <f t="array" aca="1" ref="W326" ca="1">IFERROR(IF(AE326&lt;&gt;"ja",_xlfn.IFNA(_xlfn.IFS(AND(O326&lt;&gt;"",F326&lt;&gt;"",RIGHT($N326,6)="tarief",F326="Vergoeding"),SUM(O326)*FLOOR(SUM(Q326),0.0001),AND(O326&lt;&gt;"",F326&lt;&gt;"",RIGHT($N326,6)="tarief"),SUM(O326)*FLOOR(SUM(Q326),0.01),S326&gt;0,IF(F326&lt;&gt;"",FLOOR(SUM(S326),0.01),"")),""),""),"")</f>
        <v/>
      </c>
      <c r="X326" s="314" t="str" cm="1">
        <f t="array" aca="1" ref="X326" ca="1">IFERROR(IF(AE326&lt;&gt;"ja",_xlfn.IFNA(_xlfn.IFS(AND(P326&lt;&gt;"",R326&lt;&gt;"",RIGHT($N326,6)="tarief",F326="Vergoeding"),SUM(P326)*FLOOR(SUM(R326),0.0001),AND(P326&lt;&gt;"",R326&lt;&gt;"",RIGHT($N326,6)="tarief"),P326*FLOOR(R326,0.01),T326&gt;0,FLOOR(SUM(T326),0.01)),""),""),"")</f>
        <v/>
      </c>
      <c r="Y326" s="314" t="str">
        <f t="shared" ca="1" si="22"/>
        <v/>
      </c>
      <c r="Z326" s="314" t="str" cm="1">
        <f t="array" aca="1" ref="Z326" ca="1">IFERROR(_xlfn.IFS(OR(F326="",LEFT(Methode_Keuze,4)="Geen",Methode_Keuze=""),"",AND(W326&lt;&gt;"",F326&lt;&gt;"Arbeidskosten"),W326*VLOOKUP(F326,Tb_ProjectKosten[],MATCH(Tb_ProjectKosten[[#Headers],[Forfait_Percentage]],Tb_ProjectKosten[#Headers],0),0),AND(F326="Arbeidskosten",G326&lt;&gt;""),IFERROR(W326*VLOOKUP(G326,Tb_KostenTypen[],3,0)*VLOOKUP(F326,Tb_ProjectKosten[],MATCH(Tb_ProjectKosten[[#Headers],[Forfait_Percentage]],Tb_ProjectKosten[#Headers],0),0),""),W326 &lt;=0,0),"")</f>
        <v/>
      </c>
      <c r="AA326" s="314" t="str" cm="1">
        <f t="array" aca="1" ref="AA326" ca="1">IFERROR(_xlfn.IFS(OR(F326="",LEFT(Methode_Keuze,4)="Geen",Methode_Keuze=""),"",AND(X326&lt;&gt;"",F326&lt;&gt;"Arbeidskosten"),X326*VLOOKUP(F326,Tb_ProjectKosten[],MATCH(Tb_ProjectKosten[[#Headers],[Forfait_Percentage]],Tb_ProjectKosten[#Headers],0),0),AND(F326="Arbeidskosten",G326&lt;&gt;""),IFERROR(X326*VLOOKUP(G326,Tb_KostenTypen[],3,0)*VLOOKUP(F326,Tb_ProjectKosten[],MATCH(Tb_ProjectKosten[[#Headers],[Forfait_Percentage]],Tb_ProjectKosten[#Headers],0),0),""),X326 &lt;=0,0),"")</f>
        <v/>
      </c>
      <c r="AB326" s="314" t="str">
        <f t="shared" ca="1" si="23"/>
        <v/>
      </c>
      <c r="AC326" s="322"/>
      <c r="AD326" s="315"/>
      <c r="AE326" s="32" t="str" cm="1">
        <f t="array" ref="AE326">IFERROR(IF(INDEX(SubsidieTabel!$AD$1:$AG$12,MATCH($F326,SubsidieTabel!$AD$1:$AD$12,0),IFERROR(MATCH(Methode_Keuze,SubsidieTabel!$AD$1:$AG$1,0),2))&lt;&gt;1=TRUE,"ja",""),"")</f>
        <v/>
      </c>
    </row>
    <row r="327" spans="1:31" x14ac:dyDescent="0.25">
      <c r="A327" s="316"/>
      <c r="B327" s="317" t="str">
        <f>IF(A327&lt;&gt;"",_xlfn.MAXIFS($B$1:B326,$A$1:A326,A327)+1,"")</f>
        <v/>
      </c>
      <c r="C327" s="296"/>
      <c r="D327" s="296"/>
      <c r="E327" s="296"/>
      <c r="F327" s="296"/>
      <c r="G327" s="326"/>
      <c r="H327" s="324"/>
      <c r="I327" s="325"/>
      <c r="J327" s="325"/>
      <c r="K327" s="318"/>
      <c r="L327" s="318"/>
      <c r="M327" s="319" t="str">
        <f>IFERROR(VLOOKUP(H327,Lijsten!$H$1:$I$100,2,0),"")</f>
        <v/>
      </c>
      <c r="N327" s="319" t="str">
        <f ca="1">IFERROR(IF(VLOOKUP(F327,Kostentypen!$A$3:$E$21,3,0)=0,"",IF(OR(F327="Arbeidskosten",F327="Vergoeding"),VLOOKUP(G327,Tb_KostenTypen[],2,0),VLOOKUP(F327,Kostentypen!$A$3:$E$20,3,0))),"")</f>
        <v/>
      </c>
      <c r="O327" s="320" t="str" cm="1">
        <f t="array" ref="O327">_xlfn.IFNA(IF(INDEX(Tb_KostenOptiesDB[],MATCH($F327,Tb_KostenOptiesDB[KostenOptie],0),IFERROR(MATCH(Methode_Keuze,Tb_KostenOptiesDB[#Headers],0),2))=1,_xlfn.SWITCH($N327,"Uurtarief",IF(OR(AND(RIGHT($F327,3)="IKS",VLOOKUP($M327,DB_Loonkosten,2,0)="Ja"),AND(RIGHT($F327,3)&lt;&gt;"IKS",VLOOKUP($M327,DB_Loonkosten,2,0)="Nee")),IFERROR(VLOOKUP($M327,DB_Loonkosten,24,0),""),0),"Vast tarief",IF(LEFT(F327,8)="Bijdrage",VLOOKUP($F327,Tb_KostenTypen[],MATCH(Lijsten!$P$1,Tb_KostenTypen[#Headers],0),0),VLOOKUP($G327,Lijsten!L:P,MATCH(Lijsten!$P$1,Kop_Tarief_Vast,0),0))),""),"")</f>
        <v/>
      </c>
      <c r="P327" s="320" t="str" cm="1">
        <f t="array" ref="P327">_xlfn.IFNA(IF(INDEX(Tb_KostenOptiesDB[],MATCH($F327,Tb_KostenOptiesDB[KostenOptie],0),IFERROR(MATCH(Methode_Keuze,Tb_KostenOptiesDB[#Headers],0),2))=1,_xlfn.SWITCH($N327,"Uurtarief",IF(OR(AND(RIGHT($F327,3)="IKS",VLOOKUP($M327,DB_Loonkosten,2,0)="Ja"),AND(RIGHT($F327,3)&lt;&gt;"IKS",VLOOKUP($M327,DB_Loonkosten,2,0)="Nee")),IFERROR(VLOOKUP($M327,DB_Loonkosten,25,0),""),0),"Vast tarief",IF(LEFT(F327,8)="Bijdrage",VLOOKUP($F327,Tb_KostenTypen[],MATCH(Lijsten!$P$1,Tb_KostenTypen[#Headers],0),0),VLOOKUP($G327,Lijsten!L:P,MATCH(Lijsten!$P$1,Kop_Tarief_Vast,0),0))),""),"")</f>
        <v/>
      </c>
      <c r="Q327" s="359"/>
      <c r="R327" s="359"/>
      <c r="S327" s="321"/>
      <c r="T327" s="321"/>
      <c r="U327" s="373" t="str">
        <f t="shared" si="20"/>
        <v/>
      </c>
      <c r="V327" s="314" t="str">
        <f t="shared" si="21"/>
        <v/>
      </c>
      <c r="W327" s="314" t="str" cm="1">
        <f t="array" aca="1" ref="W327" ca="1">IFERROR(IF(AE327&lt;&gt;"ja",_xlfn.IFNA(_xlfn.IFS(AND(O327&lt;&gt;"",F327&lt;&gt;"",RIGHT($N327,6)="tarief",F327="Vergoeding"),SUM(O327)*FLOOR(SUM(Q327),0.0001),AND(O327&lt;&gt;"",F327&lt;&gt;"",RIGHT($N327,6)="tarief"),SUM(O327)*FLOOR(SUM(Q327),0.01),S327&gt;0,IF(F327&lt;&gt;"",FLOOR(SUM(S327),0.01),"")),""),""),"")</f>
        <v/>
      </c>
      <c r="X327" s="314" t="str" cm="1">
        <f t="array" aca="1" ref="X327" ca="1">IFERROR(IF(AE327&lt;&gt;"ja",_xlfn.IFNA(_xlfn.IFS(AND(P327&lt;&gt;"",R327&lt;&gt;"",RIGHT($N327,6)="tarief",F327="Vergoeding"),SUM(P327)*FLOOR(SUM(R327),0.0001),AND(P327&lt;&gt;"",R327&lt;&gt;"",RIGHT($N327,6)="tarief"),P327*FLOOR(R327,0.01),T327&gt;0,FLOOR(SUM(T327),0.01)),""),""),"")</f>
        <v/>
      </c>
      <c r="Y327" s="314" t="str">
        <f t="shared" ca="1" si="22"/>
        <v/>
      </c>
      <c r="Z327" s="314" t="str" cm="1">
        <f t="array" aca="1" ref="Z327" ca="1">IFERROR(_xlfn.IFS(OR(F327="",LEFT(Methode_Keuze,4)="Geen",Methode_Keuze=""),"",AND(W327&lt;&gt;"",F327&lt;&gt;"Arbeidskosten"),W327*VLOOKUP(F327,Tb_ProjectKosten[],MATCH(Tb_ProjectKosten[[#Headers],[Forfait_Percentage]],Tb_ProjectKosten[#Headers],0),0),AND(F327="Arbeidskosten",G327&lt;&gt;""),IFERROR(W327*VLOOKUP(G327,Tb_KostenTypen[],3,0)*VLOOKUP(F327,Tb_ProjectKosten[],MATCH(Tb_ProjectKosten[[#Headers],[Forfait_Percentage]],Tb_ProjectKosten[#Headers],0),0),""),W327 &lt;=0,0),"")</f>
        <v/>
      </c>
      <c r="AA327" s="314" t="str" cm="1">
        <f t="array" aca="1" ref="AA327" ca="1">IFERROR(_xlfn.IFS(OR(F327="",LEFT(Methode_Keuze,4)="Geen",Methode_Keuze=""),"",AND(X327&lt;&gt;"",F327&lt;&gt;"Arbeidskosten"),X327*VLOOKUP(F327,Tb_ProjectKosten[],MATCH(Tb_ProjectKosten[[#Headers],[Forfait_Percentage]],Tb_ProjectKosten[#Headers],0),0),AND(F327="Arbeidskosten",G327&lt;&gt;""),IFERROR(X327*VLOOKUP(G327,Tb_KostenTypen[],3,0)*VLOOKUP(F327,Tb_ProjectKosten[],MATCH(Tb_ProjectKosten[[#Headers],[Forfait_Percentage]],Tb_ProjectKosten[#Headers],0),0),""),X327 &lt;=0,0),"")</f>
        <v/>
      </c>
      <c r="AB327" s="314" t="str">
        <f t="shared" ca="1" si="23"/>
        <v/>
      </c>
      <c r="AC327" s="322"/>
      <c r="AD327" s="315"/>
      <c r="AE327" s="32" t="str" cm="1">
        <f t="array" ref="AE327">IFERROR(IF(INDEX(SubsidieTabel!$AD$1:$AG$12,MATCH($F327,SubsidieTabel!$AD$1:$AD$12,0),IFERROR(MATCH(Methode_Keuze,SubsidieTabel!$AD$1:$AG$1,0),2))&lt;&gt;1=TRUE,"ja",""),"")</f>
        <v/>
      </c>
    </row>
    <row r="328" spans="1:31" x14ac:dyDescent="0.25">
      <c r="A328" s="316"/>
      <c r="B328" s="317" t="str">
        <f>IF(A328&lt;&gt;"",_xlfn.MAXIFS($B$1:B327,$A$1:A327,A328)+1,"")</f>
        <v/>
      </c>
      <c r="C328" s="296"/>
      <c r="D328" s="296"/>
      <c r="E328" s="296"/>
      <c r="F328" s="296"/>
      <c r="G328" s="326"/>
      <c r="H328" s="324"/>
      <c r="I328" s="325"/>
      <c r="J328" s="325"/>
      <c r="K328" s="318"/>
      <c r="L328" s="318"/>
      <c r="M328" s="319" t="str">
        <f>IFERROR(VLOOKUP(H328,Lijsten!$H$1:$I$100,2,0),"")</f>
        <v/>
      </c>
      <c r="N328" s="319" t="str">
        <f ca="1">IFERROR(IF(VLOOKUP(F328,Kostentypen!$A$3:$E$21,3,0)=0,"",IF(OR(F328="Arbeidskosten",F328="Vergoeding"),VLOOKUP(G328,Tb_KostenTypen[],2,0),VLOOKUP(F328,Kostentypen!$A$3:$E$20,3,0))),"")</f>
        <v/>
      </c>
      <c r="O328" s="320" t="str" cm="1">
        <f t="array" ref="O328">_xlfn.IFNA(IF(INDEX(Tb_KostenOptiesDB[],MATCH($F328,Tb_KostenOptiesDB[KostenOptie],0),IFERROR(MATCH(Methode_Keuze,Tb_KostenOptiesDB[#Headers],0),2))=1,_xlfn.SWITCH($N328,"Uurtarief",IF(OR(AND(RIGHT($F328,3)="IKS",VLOOKUP($M328,DB_Loonkosten,2,0)="Ja"),AND(RIGHT($F328,3)&lt;&gt;"IKS",VLOOKUP($M328,DB_Loonkosten,2,0)="Nee")),IFERROR(VLOOKUP($M328,DB_Loonkosten,24,0),""),0),"Vast tarief",IF(LEFT(F328,8)="Bijdrage",VLOOKUP($F328,Tb_KostenTypen[],MATCH(Lijsten!$P$1,Tb_KostenTypen[#Headers],0),0),VLOOKUP($G328,Lijsten!L:P,MATCH(Lijsten!$P$1,Kop_Tarief_Vast,0),0))),""),"")</f>
        <v/>
      </c>
      <c r="P328" s="320" t="str" cm="1">
        <f t="array" ref="P328">_xlfn.IFNA(IF(INDEX(Tb_KostenOptiesDB[],MATCH($F328,Tb_KostenOptiesDB[KostenOptie],0),IFERROR(MATCH(Methode_Keuze,Tb_KostenOptiesDB[#Headers],0),2))=1,_xlfn.SWITCH($N328,"Uurtarief",IF(OR(AND(RIGHT($F328,3)="IKS",VLOOKUP($M328,DB_Loonkosten,2,0)="Ja"),AND(RIGHT($F328,3)&lt;&gt;"IKS",VLOOKUP($M328,DB_Loonkosten,2,0)="Nee")),IFERROR(VLOOKUP($M328,DB_Loonkosten,25,0),""),0),"Vast tarief",IF(LEFT(F328,8)="Bijdrage",VLOOKUP($F328,Tb_KostenTypen[],MATCH(Lijsten!$P$1,Tb_KostenTypen[#Headers],0),0),VLOOKUP($G328,Lijsten!L:P,MATCH(Lijsten!$P$1,Kop_Tarief_Vast,0),0))),""),"")</f>
        <v/>
      </c>
      <c r="Q328" s="359"/>
      <c r="R328" s="359"/>
      <c r="S328" s="321"/>
      <c r="T328" s="321"/>
      <c r="U328" s="373" t="str">
        <f t="shared" si="20"/>
        <v/>
      </c>
      <c r="V328" s="314" t="str">
        <f t="shared" si="21"/>
        <v/>
      </c>
      <c r="W328" s="314" t="str" cm="1">
        <f t="array" aca="1" ref="W328" ca="1">IFERROR(IF(AE328&lt;&gt;"ja",_xlfn.IFNA(_xlfn.IFS(AND(O328&lt;&gt;"",F328&lt;&gt;"",RIGHT($N328,6)="tarief",F328="Vergoeding"),SUM(O328)*FLOOR(SUM(Q328),0.0001),AND(O328&lt;&gt;"",F328&lt;&gt;"",RIGHT($N328,6)="tarief"),SUM(O328)*FLOOR(SUM(Q328),0.01),S328&gt;0,IF(F328&lt;&gt;"",FLOOR(SUM(S328),0.01),"")),""),""),"")</f>
        <v/>
      </c>
      <c r="X328" s="314" t="str" cm="1">
        <f t="array" aca="1" ref="X328" ca="1">IFERROR(IF(AE328&lt;&gt;"ja",_xlfn.IFNA(_xlfn.IFS(AND(P328&lt;&gt;"",R328&lt;&gt;"",RIGHT($N328,6)="tarief",F328="Vergoeding"),SUM(P328)*FLOOR(SUM(R328),0.0001),AND(P328&lt;&gt;"",R328&lt;&gt;"",RIGHT($N328,6)="tarief"),P328*FLOOR(R328,0.01),T328&gt;0,FLOOR(SUM(T328),0.01)),""),""),"")</f>
        <v/>
      </c>
      <c r="Y328" s="314" t="str">
        <f t="shared" ca="1" si="22"/>
        <v/>
      </c>
      <c r="Z328" s="314" t="str" cm="1">
        <f t="array" aca="1" ref="Z328" ca="1">IFERROR(_xlfn.IFS(OR(F328="",LEFT(Methode_Keuze,4)="Geen",Methode_Keuze=""),"",AND(W328&lt;&gt;"",F328&lt;&gt;"Arbeidskosten"),W328*VLOOKUP(F328,Tb_ProjectKosten[],MATCH(Tb_ProjectKosten[[#Headers],[Forfait_Percentage]],Tb_ProjectKosten[#Headers],0),0),AND(F328="Arbeidskosten",G328&lt;&gt;""),IFERROR(W328*VLOOKUP(G328,Tb_KostenTypen[],3,0)*VLOOKUP(F328,Tb_ProjectKosten[],MATCH(Tb_ProjectKosten[[#Headers],[Forfait_Percentage]],Tb_ProjectKosten[#Headers],0),0),""),W328 &lt;=0,0),"")</f>
        <v/>
      </c>
      <c r="AA328" s="314" t="str" cm="1">
        <f t="array" aca="1" ref="AA328" ca="1">IFERROR(_xlfn.IFS(OR(F328="",LEFT(Methode_Keuze,4)="Geen",Methode_Keuze=""),"",AND(X328&lt;&gt;"",F328&lt;&gt;"Arbeidskosten"),X328*VLOOKUP(F328,Tb_ProjectKosten[],MATCH(Tb_ProjectKosten[[#Headers],[Forfait_Percentage]],Tb_ProjectKosten[#Headers],0),0),AND(F328="Arbeidskosten",G328&lt;&gt;""),IFERROR(X328*VLOOKUP(G328,Tb_KostenTypen[],3,0)*VLOOKUP(F328,Tb_ProjectKosten[],MATCH(Tb_ProjectKosten[[#Headers],[Forfait_Percentage]],Tb_ProjectKosten[#Headers],0),0),""),X328 &lt;=0,0),"")</f>
        <v/>
      </c>
      <c r="AB328" s="314" t="str">
        <f t="shared" ca="1" si="23"/>
        <v/>
      </c>
      <c r="AC328" s="322"/>
      <c r="AD328" s="315"/>
      <c r="AE328" s="32" t="str" cm="1">
        <f t="array" ref="AE328">IFERROR(IF(INDEX(SubsidieTabel!$AD$1:$AG$12,MATCH($F328,SubsidieTabel!$AD$1:$AD$12,0),IFERROR(MATCH(Methode_Keuze,SubsidieTabel!$AD$1:$AG$1,0),2))&lt;&gt;1=TRUE,"ja",""),"")</f>
        <v/>
      </c>
    </row>
    <row r="329" spans="1:31" x14ac:dyDescent="0.25">
      <c r="A329" s="316"/>
      <c r="B329" s="317" t="str">
        <f>IF(A329&lt;&gt;"",_xlfn.MAXIFS($B$1:B328,$A$1:A328,A329)+1,"")</f>
        <v/>
      </c>
      <c r="C329" s="296"/>
      <c r="D329" s="296"/>
      <c r="E329" s="296"/>
      <c r="F329" s="296"/>
      <c r="G329" s="326"/>
      <c r="H329" s="324"/>
      <c r="I329" s="325"/>
      <c r="J329" s="325"/>
      <c r="K329" s="318"/>
      <c r="L329" s="318"/>
      <c r="M329" s="319" t="str">
        <f>IFERROR(VLOOKUP(H329,Lijsten!$H$1:$I$100,2,0),"")</f>
        <v/>
      </c>
      <c r="N329" s="319" t="str">
        <f ca="1">IFERROR(IF(VLOOKUP(F329,Kostentypen!$A$3:$E$21,3,0)=0,"",IF(OR(F329="Arbeidskosten",F329="Vergoeding"),VLOOKUP(G329,Tb_KostenTypen[],2,0),VLOOKUP(F329,Kostentypen!$A$3:$E$20,3,0))),"")</f>
        <v/>
      </c>
      <c r="O329" s="320" t="str" cm="1">
        <f t="array" ref="O329">_xlfn.IFNA(IF(INDEX(Tb_KostenOptiesDB[],MATCH($F329,Tb_KostenOptiesDB[KostenOptie],0),IFERROR(MATCH(Methode_Keuze,Tb_KostenOptiesDB[#Headers],0),2))=1,_xlfn.SWITCH($N329,"Uurtarief",IF(OR(AND(RIGHT($F329,3)="IKS",VLOOKUP($M329,DB_Loonkosten,2,0)="Ja"),AND(RIGHT($F329,3)&lt;&gt;"IKS",VLOOKUP($M329,DB_Loonkosten,2,0)="Nee")),IFERROR(VLOOKUP($M329,DB_Loonkosten,24,0),""),0),"Vast tarief",IF(LEFT(F329,8)="Bijdrage",VLOOKUP($F329,Tb_KostenTypen[],MATCH(Lijsten!$P$1,Tb_KostenTypen[#Headers],0),0),VLOOKUP($G329,Lijsten!L:P,MATCH(Lijsten!$P$1,Kop_Tarief_Vast,0),0))),""),"")</f>
        <v/>
      </c>
      <c r="P329" s="320" t="str" cm="1">
        <f t="array" ref="P329">_xlfn.IFNA(IF(INDEX(Tb_KostenOptiesDB[],MATCH($F329,Tb_KostenOptiesDB[KostenOptie],0),IFERROR(MATCH(Methode_Keuze,Tb_KostenOptiesDB[#Headers],0),2))=1,_xlfn.SWITCH($N329,"Uurtarief",IF(OR(AND(RIGHT($F329,3)="IKS",VLOOKUP($M329,DB_Loonkosten,2,0)="Ja"),AND(RIGHT($F329,3)&lt;&gt;"IKS",VLOOKUP($M329,DB_Loonkosten,2,0)="Nee")),IFERROR(VLOOKUP($M329,DB_Loonkosten,25,0),""),0),"Vast tarief",IF(LEFT(F329,8)="Bijdrage",VLOOKUP($F329,Tb_KostenTypen[],MATCH(Lijsten!$P$1,Tb_KostenTypen[#Headers],0),0),VLOOKUP($G329,Lijsten!L:P,MATCH(Lijsten!$P$1,Kop_Tarief_Vast,0),0))),""),"")</f>
        <v/>
      </c>
      <c r="Q329" s="359"/>
      <c r="R329" s="359"/>
      <c r="S329" s="321"/>
      <c r="T329" s="321"/>
      <c r="U329" s="373" t="str">
        <f t="shared" si="20"/>
        <v/>
      </c>
      <c r="V329" s="314" t="str">
        <f t="shared" si="21"/>
        <v/>
      </c>
      <c r="W329" s="314" t="str" cm="1">
        <f t="array" aca="1" ref="W329" ca="1">IFERROR(IF(AE329&lt;&gt;"ja",_xlfn.IFNA(_xlfn.IFS(AND(O329&lt;&gt;"",F329&lt;&gt;"",RIGHT($N329,6)="tarief",F329="Vergoeding"),SUM(O329)*FLOOR(SUM(Q329),0.0001),AND(O329&lt;&gt;"",F329&lt;&gt;"",RIGHT($N329,6)="tarief"),SUM(O329)*FLOOR(SUM(Q329),0.01),S329&gt;0,IF(F329&lt;&gt;"",FLOOR(SUM(S329),0.01),"")),""),""),"")</f>
        <v/>
      </c>
      <c r="X329" s="314" t="str" cm="1">
        <f t="array" aca="1" ref="X329" ca="1">IFERROR(IF(AE329&lt;&gt;"ja",_xlfn.IFNA(_xlfn.IFS(AND(P329&lt;&gt;"",R329&lt;&gt;"",RIGHT($N329,6)="tarief",F329="Vergoeding"),SUM(P329)*FLOOR(SUM(R329),0.0001),AND(P329&lt;&gt;"",R329&lt;&gt;"",RIGHT($N329,6)="tarief"),P329*FLOOR(R329,0.01),T329&gt;0,FLOOR(SUM(T329),0.01)),""),""),"")</f>
        <v/>
      </c>
      <c r="Y329" s="314" t="str">
        <f t="shared" ca="1" si="22"/>
        <v/>
      </c>
      <c r="Z329" s="314" t="str" cm="1">
        <f t="array" aca="1" ref="Z329" ca="1">IFERROR(_xlfn.IFS(OR(F329="",LEFT(Methode_Keuze,4)="Geen",Methode_Keuze=""),"",AND(W329&lt;&gt;"",F329&lt;&gt;"Arbeidskosten"),W329*VLOOKUP(F329,Tb_ProjectKosten[],MATCH(Tb_ProjectKosten[[#Headers],[Forfait_Percentage]],Tb_ProjectKosten[#Headers],0),0),AND(F329="Arbeidskosten",G329&lt;&gt;""),IFERROR(W329*VLOOKUP(G329,Tb_KostenTypen[],3,0)*VLOOKUP(F329,Tb_ProjectKosten[],MATCH(Tb_ProjectKosten[[#Headers],[Forfait_Percentage]],Tb_ProjectKosten[#Headers],0),0),""),W329 &lt;=0,0),"")</f>
        <v/>
      </c>
      <c r="AA329" s="314" t="str" cm="1">
        <f t="array" aca="1" ref="AA329" ca="1">IFERROR(_xlfn.IFS(OR(F329="",LEFT(Methode_Keuze,4)="Geen",Methode_Keuze=""),"",AND(X329&lt;&gt;"",F329&lt;&gt;"Arbeidskosten"),X329*VLOOKUP(F329,Tb_ProjectKosten[],MATCH(Tb_ProjectKosten[[#Headers],[Forfait_Percentage]],Tb_ProjectKosten[#Headers],0),0),AND(F329="Arbeidskosten",G329&lt;&gt;""),IFERROR(X329*VLOOKUP(G329,Tb_KostenTypen[],3,0)*VLOOKUP(F329,Tb_ProjectKosten[],MATCH(Tb_ProjectKosten[[#Headers],[Forfait_Percentage]],Tb_ProjectKosten[#Headers],0),0),""),X329 &lt;=0,0),"")</f>
        <v/>
      </c>
      <c r="AB329" s="314" t="str">
        <f t="shared" ca="1" si="23"/>
        <v/>
      </c>
      <c r="AC329" s="322"/>
      <c r="AD329" s="315"/>
      <c r="AE329" s="32" t="str" cm="1">
        <f t="array" ref="AE329">IFERROR(IF(INDEX(SubsidieTabel!$AD$1:$AG$12,MATCH($F329,SubsidieTabel!$AD$1:$AD$12,0),IFERROR(MATCH(Methode_Keuze,SubsidieTabel!$AD$1:$AG$1,0),2))&lt;&gt;1=TRUE,"ja",""),"")</f>
        <v/>
      </c>
    </row>
    <row r="330" spans="1:31" x14ac:dyDescent="0.25">
      <c r="A330" s="316"/>
      <c r="B330" s="317" t="str">
        <f>IF(A330&lt;&gt;"",_xlfn.MAXIFS($B$1:B329,$A$1:A329,A330)+1,"")</f>
        <v/>
      </c>
      <c r="C330" s="296"/>
      <c r="D330" s="296"/>
      <c r="E330" s="296"/>
      <c r="F330" s="296"/>
      <c r="G330" s="326"/>
      <c r="H330" s="324"/>
      <c r="I330" s="325"/>
      <c r="J330" s="325"/>
      <c r="K330" s="318"/>
      <c r="L330" s="318"/>
      <c r="M330" s="319" t="str">
        <f>IFERROR(VLOOKUP(H330,Lijsten!$H$1:$I$100,2,0),"")</f>
        <v/>
      </c>
      <c r="N330" s="319" t="str">
        <f ca="1">IFERROR(IF(VLOOKUP(F330,Kostentypen!$A$3:$E$21,3,0)=0,"",IF(OR(F330="Arbeidskosten",F330="Vergoeding"),VLOOKUP(G330,Tb_KostenTypen[],2,0),VLOOKUP(F330,Kostentypen!$A$3:$E$20,3,0))),"")</f>
        <v/>
      </c>
      <c r="O330" s="320" t="str" cm="1">
        <f t="array" ref="O330">_xlfn.IFNA(IF(INDEX(Tb_KostenOptiesDB[],MATCH($F330,Tb_KostenOptiesDB[KostenOptie],0),IFERROR(MATCH(Methode_Keuze,Tb_KostenOptiesDB[#Headers],0),2))=1,_xlfn.SWITCH($N330,"Uurtarief",IF(OR(AND(RIGHT($F330,3)="IKS",VLOOKUP($M330,DB_Loonkosten,2,0)="Ja"),AND(RIGHT($F330,3)&lt;&gt;"IKS",VLOOKUP($M330,DB_Loonkosten,2,0)="Nee")),IFERROR(VLOOKUP($M330,DB_Loonkosten,24,0),""),0),"Vast tarief",IF(LEFT(F330,8)="Bijdrage",VLOOKUP($F330,Tb_KostenTypen[],MATCH(Lijsten!$P$1,Tb_KostenTypen[#Headers],0),0),VLOOKUP($G330,Lijsten!L:P,MATCH(Lijsten!$P$1,Kop_Tarief_Vast,0),0))),""),"")</f>
        <v/>
      </c>
      <c r="P330" s="320" t="str" cm="1">
        <f t="array" ref="P330">_xlfn.IFNA(IF(INDEX(Tb_KostenOptiesDB[],MATCH($F330,Tb_KostenOptiesDB[KostenOptie],0),IFERROR(MATCH(Methode_Keuze,Tb_KostenOptiesDB[#Headers],0),2))=1,_xlfn.SWITCH($N330,"Uurtarief",IF(OR(AND(RIGHT($F330,3)="IKS",VLOOKUP($M330,DB_Loonkosten,2,0)="Ja"),AND(RIGHT($F330,3)&lt;&gt;"IKS",VLOOKUP($M330,DB_Loonkosten,2,0)="Nee")),IFERROR(VLOOKUP($M330,DB_Loonkosten,25,0),""),0),"Vast tarief",IF(LEFT(F330,8)="Bijdrage",VLOOKUP($F330,Tb_KostenTypen[],MATCH(Lijsten!$P$1,Tb_KostenTypen[#Headers],0),0),VLOOKUP($G330,Lijsten!L:P,MATCH(Lijsten!$P$1,Kop_Tarief_Vast,0),0))),""),"")</f>
        <v/>
      </c>
      <c r="Q330" s="359"/>
      <c r="R330" s="359"/>
      <c r="S330" s="321"/>
      <c r="T330" s="321"/>
      <c r="U330" s="373" t="str">
        <f t="shared" si="20"/>
        <v/>
      </c>
      <c r="V330" s="314" t="str">
        <f t="shared" si="21"/>
        <v/>
      </c>
      <c r="W330" s="314" t="str" cm="1">
        <f t="array" aca="1" ref="W330" ca="1">IFERROR(IF(AE330&lt;&gt;"ja",_xlfn.IFNA(_xlfn.IFS(AND(O330&lt;&gt;"",F330&lt;&gt;"",RIGHT($N330,6)="tarief",F330="Vergoeding"),SUM(O330)*FLOOR(SUM(Q330),0.0001),AND(O330&lt;&gt;"",F330&lt;&gt;"",RIGHT($N330,6)="tarief"),SUM(O330)*FLOOR(SUM(Q330),0.01),S330&gt;0,IF(F330&lt;&gt;"",FLOOR(SUM(S330),0.01),"")),""),""),"")</f>
        <v/>
      </c>
      <c r="X330" s="314" t="str" cm="1">
        <f t="array" aca="1" ref="X330" ca="1">IFERROR(IF(AE330&lt;&gt;"ja",_xlfn.IFNA(_xlfn.IFS(AND(P330&lt;&gt;"",R330&lt;&gt;"",RIGHT($N330,6)="tarief",F330="Vergoeding"),SUM(P330)*FLOOR(SUM(R330),0.0001),AND(P330&lt;&gt;"",R330&lt;&gt;"",RIGHT($N330,6)="tarief"),P330*FLOOR(R330,0.01),T330&gt;0,FLOOR(SUM(T330),0.01)),""),""),"")</f>
        <v/>
      </c>
      <c r="Y330" s="314" t="str">
        <f t="shared" ca="1" si="22"/>
        <v/>
      </c>
      <c r="Z330" s="314" t="str" cm="1">
        <f t="array" aca="1" ref="Z330" ca="1">IFERROR(_xlfn.IFS(OR(F330="",LEFT(Methode_Keuze,4)="Geen",Methode_Keuze=""),"",AND(W330&lt;&gt;"",F330&lt;&gt;"Arbeidskosten"),W330*VLOOKUP(F330,Tb_ProjectKosten[],MATCH(Tb_ProjectKosten[[#Headers],[Forfait_Percentage]],Tb_ProjectKosten[#Headers],0),0),AND(F330="Arbeidskosten",G330&lt;&gt;""),IFERROR(W330*VLOOKUP(G330,Tb_KostenTypen[],3,0)*VLOOKUP(F330,Tb_ProjectKosten[],MATCH(Tb_ProjectKosten[[#Headers],[Forfait_Percentage]],Tb_ProjectKosten[#Headers],0),0),""),W330 &lt;=0,0),"")</f>
        <v/>
      </c>
      <c r="AA330" s="314" t="str" cm="1">
        <f t="array" aca="1" ref="AA330" ca="1">IFERROR(_xlfn.IFS(OR(F330="",LEFT(Methode_Keuze,4)="Geen",Methode_Keuze=""),"",AND(X330&lt;&gt;"",F330&lt;&gt;"Arbeidskosten"),X330*VLOOKUP(F330,Tb_ProjectKosten[],MATCH(Tb_ProjectKosten[[#Headers],[Forfait_Percentage]],Tb_ProjectKosten[#Headers],0),0),AND(F330="Arbeidskosten",G330&lt;&gt;""),IFERROR(X330*VLOOKUP(G330,Tb_KostenTypen[],3,0)*VLOOKUP(F330,Tb_ProjectKosten[],MATCH(Tb_ProjectKosten[[#Headers],[Forfait_Percentage]],Tb_ProjectKosten[#Headers],0),0),""),X330 &lt;=0,0),"")</f>
        <v/>
      </c>
      <c r="AB330" s="314" t="str">
        <f t="shared" ca="1" si="23"/>
        <v/>
      </c>
      <c r="AC330" s="322"/>
      <c r="AD330" s="315"/>
      <c r="AE330" s="32" t="str" cm="1">
        <f t="array" ref="AE330">IFERROR(IF(INDEX(SubsidieTabel!$AD$1:$AG$12,MATCH($F330,SubsidieTabel!$AD$1:$AD$12,0),IFERROR(MATCH(Methode_Keuze,SubsidieTabel!$AD$1:$AG$1,0),2))&lt;&gt;1=TRUE,"ja",""),"")</f>
        <v/>
      </c>
    </row>
    <row r="331" spans="1:31" x14ac:dyDescent="0.25">
      <c r="A331" s="316"/>
      <c r="B331" s="317" t="str">
        <f>IF(A331&lt;&gt;"",_xlfn.MAXIFS($B$1:B330,$A$1:A330,A331)+1,"")</f>
        <v/>
      </c>
      <c r="C331" s="296"/>
      <c r="D331" s="296"/>
      <c r="E331" s="296"/>
      <c r="F331" s="296"/>
      <c r="G331" s="326"/>
      <c r="H331" s="324"/>
      <c r="I331" s="325"/>
      <c r="J331" s="325"/>
      <c r="K331" s="318"/>
      <c r="L331" s="318"/>
      <c r="M331" s="319" t="str">
        <f>IFERROR(VLOOKUP(H331,Lijsten!$H$1:$I$100,2,0),"")</f>
        <v/>
      </c>
      <c r="N331" s="319" t="str">
        <f ca="1">IFERROR(IF(VLOOKUP(F331,Kostentypen!$A$3:$E$21,3,0)=0,"",IF(OR(F331="Arbeidskosten",F331="Vergoeding"),VLOOKUP(G331,Tb_KostenTypen[],2,0),VLOOKUP(F331,Kostentypen!$A$3:$E$20,3,0))),"")</f>
        <v/>
      </c>
      <c r="O331" s="320" t="str" cm="1">
        <f t="array" ref="O331">_xlfn.IFNA(IF(INDEX(Tb_KostenOptiesDB[],MATCH($F331,Tb_KostenOptiesDB[KostenOptie],0),IFERROR(MATCH(Methode_Keuze,Tb_KostenOptiesDB[#Headers],0),2))=1,_xlfn.SWITCH($N331,"Uurtarief",IF(OR(AND(RIGHT($F331,3)="IKS",VLOOKUP($M331,DB_Loonkosten,2,0)="Ja"),AND(RIGHT($F331,3)&lt;&gt;"IKS",VLOOKUP($M331,DB_Loonkosten,2,0)="Nee")),IFERROR(VLOOKUP($M331,DB_Loonkosten,24,0),""),0),"Vast tarief",IF(LEFT(F331,8)="Bijdrage",VLOOKUP($F331,Tb_KostenTypen[],MATCH(Lijsten!$P$1,Tb_KostenTypen[#Headers],0),0),VLOOKUP($G331,Lijsten!L:P,MATCH(Lijsten!$P$1,Kop_Tarief_Vast,0),0))),""),"")</f>
        <v/>
      </c>
      <c r="P331" s="320" t="str" cm="1">
        <f t="array" ref="P331">_xlfn.IFNA(IF(INDEX(Tb_KostenOptiesDB[],MATCH($F331,Tb_KostenOptiesDB[KostenOptie],0),IFERROR(MATCH(Methode_Keuze,Tb_KostenOptiesDB[#Headers],0),2))=1,_xlfn.SWITCH($N331,"Uurtarief",IF(OR(AND(RIGHT($F331,3)="IKS",VLOOKUP($M331,DB_Loonkosten,2,0)="Ja"),AND(RIGHT($F331,3)&lt;&gt;"IKS",VLOOKUP($M331,DB_Loonkosten,2,0)="Nee")),IFERROR(VLOOKUP($M331,DB_Loonkosten,25,0),""),0),"Vast tarief",IF(LEFT(F331,8)="Bijdrage",VLOOKUP($F331,Tb_KostenTypen[],MATCH(Lijsten!$P$1,Tb_KostenTypen[#Headers],0),0),VLOOKUP($G331,Lijsten!L:P,MATCH(Lijsten!$P$1,Kop_Tarief_Vast,0),0))),""),"")</f>
        <v/>
      </c>
      <c r="Q331" s="359"/>
      <c r="R331" s="359"/>
      <c r="S331" s="321"/>
      <c r="T331" s="321"/>
      <c r="U331" s="373" t="str">
        <f t="shared" si="20"/>
        <v/>
      </c>
      <c r="V331" s="314" t="str">
        <f t="shared" si="21"/>
        <v/>
      </c>
      <c r="W331" s="314" t="str" cm="1">
        <f t="array" aca="1" ref="W331" ca="1">IFERROR(IF(AE331&lt;&gt;"ja",_xlfn.IFNA(_xlfn.IFS(AND(O331&lt;&gt;"",F331&lt;&gt;"",RIGHT($N331,6)="tarief",F331="Vergoeding"),SUM(O331)*FLOOR(SUM(Q331),0.0001),AND(O331&lt;&gt;"",F331&lt;&gt;"",RIGHT($N331,6)="tarief"),SUM(O331)*FLOOR(SUM(Q331),0.01),S331&gt;0,IF(F331&lt;&gt;"",FLOOR(SUM(S331),0.01),"")),""),""),"")</f>
        <v/>
      </c>
      <c r="X331" s="314" t="str" cm="1">
        <f t="array" aca="1" ref="X331" ca="1">IFERROR(IF(AE331&lt;&gt;"ja",_xlfn.IFNA(_xlfn.IFS(AND(P331&lt;&gt;"",R331&lt;&gt;"",RIGHT($N331,6)="tarief",F331="Vergoeding"),SUM(P331)*FLOOR(SUM(R331),0.0001),AND(P331&lt;&gt;"",R331&lt;&gt;"",RIGHT($N331,6)="tarief"),P331*FLOOR(R331,0.01),T331&gt;0,FLOOR(SUM(T331),0.01)),""),""),"")</f>
        <v/>
      </c>
      <c r="Y331" s="314" t="str">
        <f t="shared" ca="1" si="22"/>
        <v/>
      </c>
      <c r="Z331" s="314" t="str" cm="1">
        <f t="array" aca="1" ref="Z331" ca="1">IFERROR(_xlfn.IFS(OR(F331="",LEFT(Methode_Keuze,4)="Geen",Methode_Keuze=""),"",AND(W331&lt;&gt;"",F331&lt;&gt;"Arbeidskosten"),W331*VLOOKUP(F331,Tb_ProjectKosten[],MATCH(Tb_ProjectKosten[[#Headers],[Forfait_Percentage]],Tb_ProjectKosten[#Headers],0),0),AND(F331="Arbeidskosten",G331&lt;&gt;""),IFERROR(W331*VLOOKUP(G331,Tb_KostenTypen[],3,0)*VLOOKUP(F331,Tb_ProjectKosten[],MATCH(Tb_ProjectKosten[[#Headers],[Forfait_Percentage]],Tb_ProjectKosten[#Headers],0),0),""),W331 &lt;=0,0),"")</f>
        <v/>
      </c>
      <c r="AA331" s="314" t="str" cm="1">
        <f t="array" aca="1" ref="AA331" ca="1">IFERROR(_xlfn.IFS(OR(F331="",LEFT(Methode_Keuze,4)="Geen",Methode_Keuze=""),"",AND(X331&lt;&gt;"",F331&lt;&gt;"Arbeidskosten"),X331*VLOOKUP(F331,Tb_ProjectKosten[],MATCH(Tb_ProjectKosten[[#Headers],[Forfait_Percentage]],Tb_ProjectKosten[#Headers],0),0),AND(F331="Arbeidskosten",G331&lt;&gt;""),IFERROR(X331*VLOOKUP(G331,Tb_KostenTypen[],3,0)*VLOOKUP(F331,Tb_ProjectKosten[],MATCH(Tb_ProjectKosten[[#Headers],[Forfait_Percentage]],Tb_ProjectKosten[#Headers],0),0),""),X331 &lt;=0,0),"")</f>
        <v/>
      </c>
      <c r="AB331" s="314" t="str">
        <f t="shared" ca="1" si="23"/>
        <v/>
      </c>
      <c r="AC331" s="322"/>
      <c r="AD331" s="315"/>
      <c r="AE331" s="32" t="str" cm="1">
        <f t="array" ref="AE331">IFERROR(IF(INDEX(SubsidieTabel!$AD$1:$AG$12,MATCH($F331,SubsidieTabel!$AD$1:$AD$12,0),IFERROR(MATCH(Methode_Keuze,SubsidieTabel!$AD$1:$AG$1,0),2))&lt;&gt;1=TRUE,"ja",""),"")</f>
        <v/>
      </c>
    </row>
    <row r="332" spans="1:31" x14ac:dyDescent="0.25">
      <c r="A332" s="316"/>
      <c r="B332" s="317" t="str">
        <f>IF(A332&lt;&gt;"",_xlfn.MAXIFS($B$1:B331,$A$1:A331,A332)+1,"")</f>
        <v/>
      </c>
      <c r="C332" s="296"/>
      <c r="D332" s="296"/>
      <c r="E332" s="296"/>
      <c r="F332" s="296"/>
      <c r="G332" s="326"/>
      <c r="H332" s="324"/>
      <c r="I332" s="325"/>
      <c r="J332" s="325"/>
      <c r="K332" s="318"/>
      <c r="L332" s="318"/>
      <c r="M332" s="319" t="str">
        <f>IFERROR(VLOOKUP(H332,Lijsten!$H$1:$I$100,2,0),"")</f>
        <v/>
      </c>
      <c r="N332" s="319" t="str">
        <f ca="1">IFERROR(IF(VLOOKUP(F332,Kostentypen!$A$3:$E$21,3,0)=0,"",IF(OR(F332="Arbeidskosten",F332="Vergoeding"),VLOOKUP(G332,Tb_KostenTypen[],2,0),VLOOKUP(F332,Kostentypen!$A$3:$E$20,3,0))),"")</f>
        <v/>
      </c>
      <c r="O332" s="320" t="str" cm="1">
        <f t="array" ref="O332">_xlfn.IFNA(IF(INDEX(Tb_KostenOptiesDB[],MATCH($F332,Tb_KostenOptiesDB[KostenOptie],0),IFERROR(MATCH(Methode_Keuze,Tb_KostenOptiesDB[#Headers],0),2))=1,_xlfn.SWITCH($N332,"Uurtarief",IF(OR(AND(RIGHT($F332,3)="IKS",VLOOKUP($M332,DB_Loonkosten,2,0)="Ja"),AND(RIGHT($F332,3)&lt;&gt;"IKS",VLOOKUP($M332,DB_Loonkosten,2,0)="Nee")),IFERROR(VLOOKUP($M332,DB_Loonkosten,24,0),""),0),"Vast tarief",IF(LEFT(F332,8)="Bijdrage",VLOOKUP($F332,Tb_KostenTypen[],MATCH(Lijsten!$P$1,Tb_KostenTypen[#Headers],0),0),VLOOKUP($G332,Lijsten!L:P,MATCH(Lijsten!$P$1,Kop_Tarief_Vast,0),0))),""),"")</f>
        <v/>
      </c>
      <c r="P332" s="320" t="str" cm="1">
        <f t="array" ref="P332">_xlfn.IFNA(IF(INDEX(Tb_KostenOptiesDB[],MATCH($F332,Tb_KostenOptiesDB[KostenOptie],0),IFERROR(MATCH(Methode_Keuze,Tb_KostenOptiesDB[#Headers],0),2))=1,_xlfn.SWITCH($N332,"Uurtarief",IF(OR(AND(RIGHT($F332,3)="IKS",VLOOKUP($M332,DB_Loonkosten,2,0)="Ja"),AND(RIGHT($F332,3)&lt;&gt;"IKS",VLOOKUP($M332,DB_Loonkosten,2,0)="Nee")),IFERROR(VLOOKUP($M332,DB_Loonkosten,25,0),""),0),"Vast tarief",IF(LEFT(F332,8)="Bijdrage",VLOOKUP($F332,Tb_KostenTypen[],MATCH(Lijsten!$P$1,Tb_KostenTypen[#Headers],0),0),VLOOKUP($G332,Lijsten!L:P,MATCH(Lijsten!$P$1,Kop_Tarief_Vast,0),0))),""),"")</f>
        <v/>
      </c>
      <c r="Q332" s="359"/>
      <c r="R332" s="359"/>
      <c r="S332" s="321"/>
      <c r="T332" s="321"/>
      <c r="U332" s="373" t="str">
        <f t="shared" si="20"/>
        <v/>
      </c>
      <c r="V332" s="314" t="str">
        <f t="shared" si="21"/>
        <v/>
      </c>
      <c r="W332" s="314" t="str" cm="1">
        <f t="array" aca="1" ref="W332" ca="1">IFERROR(IF(AE332&lt;&gt;"ja",_xlfn.IFNA(_xlfn.IFS(AND(O332&lt;&gt;"",F332&lt;&gt;"",RIGHT($N332,6)="tarief",F332="Vergoeding"),SUM(O332)*FLOOR(SUM(Q332),0.0001),AND(O332&lt;&gt;"",F332&lt;&gt;"",RIGHT($N332,6)="tarief"),SUM(O332)*FLOOR(SUM(Q332),0.01),S332&gt;0,IF(F332&lt;&gt;"",FLOOR(SUM(S332),0.01),"")),""),""),"")</f>
        <v/>
      </c>
      <c r="X332" s="314" t="str" cm="1">
        <f t="array" aca="1" ref="X332" ca="1">IFERROR(IF(AE332&lt;&gt;"ja",_xlfn.IFNA(_xlfn.IFS(AND(P332&lt;&gt;"",R332&lt;&gt;"",RIGHT($N332,6)="tarief",F332="Vergoeding"),SUM(P332)*FLOOR(SUM(R332),0.0001),AND(P332&lt;&gt;"",R332&lt;&gt;"",RIGHT($N332,6)="tarief"),P332*FLOOR(R332,0.01),T332&gt;0,FLOOR(SUM(T332),0.01)),""),""),"")</f>
        <v/>
      </c>
      <c r="Y332" s="314" t="str">
        <f t="shared" ca="1" si="22"/>
        <v/>
      </c>
      <c r="Z332" s="314" t="str" cm="1">
        <f t="array" aca="1" ref="Z332" ca="1">IFERROR(_xlfn.IFS(OR(F332="",LEFT(Methode_Keuze,4)="Geen",Methode_Keuze=""),"",AND(W332&lt;&gt;"",F332&lt;&gt;"Arbeidskosten"),W332*VLOOKUP(F332,Tb_ProjectKosten[],MATCH(Tb_ProjectKosten[[#Headers],[Forfait_Percentage]],Tb_ProjectKosten[#Headers],0),0),AND(F332="Arbeidskosten",G332&lt;&gt;""),IFERROR(W332*VLOOKUP(G332,Tb_KostenTypen[],3,0)*VLOOKUP(F332,Tb_ProjectKosten[],MATCH(Tb_ProjectKosten[[#Headers],[Forfait_Percentage]],Tb_ProjectKosten[#Headers],0),0),""),W332 &lt;=0,0),"")</f>
        <v/>
      </c>
      <c r="AA332" s="314" t="str" cm="1">
        <f t="array" aca="1" ref="AA332" ca="1">IFERROR(_xlfn.IFS(OR(F332="",LEFT(Methode_Keuze,4)="Geen",Methode_Keuze=""),"",AND(X332&lt;&gt;"",F332&lt;&gt;"Arbeidskosten"),X332*VLOOKUP(F332,Tb_ProjectKosten[],MATCH(Tb_ProjectKosten[[#Headers],[Forfait_Percentage]],Tb_ProjectKosten[#Headers],0),0),AND(F332="Arbeidskosten",G332&lt;&gt;""),IFERROR(X332*VLOOKUP(G332,Tb_KostenTypen[],3,0)*VLOOKUP(F332,Tb_ProjectKosten[],MATCH(Tb_ProjectKosten[[#Headers],[Forfait_Percentage]],Tb_ProjectKosten[#Headers],0),0),""),X332 &lt;=0,0),"")</f>
        <v/>
      </c>
      <c r="AB332" s="314" t="str">
        <f t="shared" ca="1" si="23"/>
        <v/>
      </c>
      <c r="AC332" s="322"/>
      <c r="AD332" s="315"/>
      <c r="AE332" s="32" t="str" cm="1">
        <f t="array" ref="AE332">IFERROR(IF(INDEX(SubsidieTabel!$AD$1:$AG$12,MATCH($F332,SubsidieTabel!$AD$1:$AD$12,0),IFERROR(MATCH(Methode_Keuze,SubsidieTabel!$AD$1:$AG$1,0),2))&lt;&gt;1=TRUE,"ja",""),"")</f>
        <v/>
      </c>
    </row>
    <row r="333" spans="1:31" x14ac:dyDescent="0.25">
      <c r="A333" s="316"/>
      <c r="B333" s="317" t="str">
        <f>IF(A333&lt;&gt;"",_xlfn.MAXIFS($B$1:B332,$A$1:A332,A333)+1,"")</f>
        <v/>
      </c>
      <c r="C333" s="296"/>
      <c r="D333" s="296"/>
      <c r="E333" s="296"/>
      <c r="F333" s="296"/>
      <c r="G333" s="326"/>
      <c r="H333" s="324"/>
      <c r="I333" s="325"/>
      <c r="J333" s="325"/>
      <c r="K333" s="318"/>
      <c r="L333" s="318"/>
      <c r="M333" s="319" t="str">
        <f>IFERROR(VLOOKUP(H333,Lijsten!$H$1:$I$100,2,0),"")</f>
        <v/>
      </c>
      <c r="N333" s="319" t="str">
        <f ca="1">IFERROR(IF(VLOOKUP(F333,Kostentypen!$A$3:$E$21,3,0)=0,"",IF(OR(F333="Arbeidskosten",F333="Vergoeding"),VLOOKUP(G333,Tb_KostenTypen[],2,0),VLOOKUP(F333,Kostentypen!$A$3:$E$20,3,0))),"")</f>
        <v/>
      </c>
      <c r="O333" s="320" t="str" cm="1">
        <f t="array" ref="O333">_xlfn.IFNA(IF(INDEX(Tb_KostenOptiesDB[],MATCH($F333,Tb_KostenOptiesDB[KostenOptie],0),IFERROR(MATCH(Methode_Keuze,Tb_KostenOptiesDB[#Headers],0),2))=1,_xlfn.SWITCH($N333,"Uurtarief",IF(OR(AND(RIGHT($F333,3)="IKS",VLOOKUP($M333,DB_Loonkosten,2,0)="Ja"),AND(RIGHT($F333,3)&lt;&gt;"IKS",VLOOKUP($M333,DB_Loonkosten,2,0)="Nee")),IFERROR(VLOOKUP($M333,DB_Loonkosten,24,0),""),0),"Vast tarief",IF(LEFT(F333,8)="Bijdrage",VLOOKUP($F333,Tb_KostenTypen[],MATCH(Lijsten!$P$1,Tb_KostenTypen[#Headers],0),0),VLOOKUP($G333,Lijsten!L:P,MATCH(Lijsten!$P$1,Kop_Tarief_Vast,0),0))),""),"")</f>
        <v/>
      </c>
      <c r="P333" s="320" t="str" cm="1">
        <f t="array" ref="P333">_xlfn.IFNA(IF(INDEX(Tb_KostenOptiesDB[],MATCH($F333,Tb_KostenOptiesDB[KostenOptie],0),IFERROR(MATCH(Methode_Keuze,Tb_KostenOptiesDB[#Headers],0),2))=1,_xlfn.SWITCH($N333,"Uurtarief",IF(OR(AND(RIGHT($F333,3)="IKS",VLOOKUP($M333,DB_Loonkosten,2,0)="Ja"),AND(RIGHT($F333,3)&lt;&gt;"IKS",VLOOKUP($M333,DB_Loonkosten,2,0)="Nee")),IFERROR(VLOOKUP($M333,DB_Loonkosten,25,0),""),0),"Vast tarief",IF(LEFT(F333,8)="Bijdrage",VLOOKUP($F333,Tb_KostenTypen[],MATCH(Lijsten!$P$1,Tb_KostenTypen[#Headers],0),0),VLOOKUP($G333,Lijsten!L:P,MATCH(Lijsten!$P$1,Kop_Tarief_Vast,0),0))),""),"")</f>
        <v/>
      </c>
      <c r="Q333" s="359"/>
      <c r="R333" s="359"/>
      <c r="S333" s="321"/>
      <c r="T333" s="321"/>
      <c r="U333" s="373" t="str">
        <f t="shared" si="20"/>
        <v/>
      </c>
      <c r="V333" s="314" t="str">
        <f t="shared" si="21"/>
        <v/>
      </c>
      <c r="W333" s="314" t="str" cm="1">
        <f t="array" aca="1" ref="W333" ca="1">IFERROR(IF(AE333&lt;&gt;"ja",_xlfn.IFNA(_xlfn.IFS(AND(O333&lt;&gt;"",F333&lt;&gt;"",RIGHT($N333,6)="tarief",F333="Vergoeding"),SUM(O333)*FLOOR(SUM(Q333),0.0001),AND(O333&lt;&gt;"",F333&lt;&gt;"",RIGHT($N333,6)="tarief"),SUM(O333)*FLOOR(SUM(Q333),0.01),S333&gt;0,IF(F333&lt;&gt;"",FLOOR(SUM(S333),0.01),"")),""),""),"")</f>
        <v/>
      </c>
      <c r="X333" s="314" t="str" cm="1">
        <f t="array" aca="1" ref="X333" ca="1">IFERROR(IF(AE333&lt;&gt;"ja",_xlfn.IFNA(_xlfn.IFS(AND(P333&lt;&gt;"",R333&lt;&gt;"",RIGHT($N333,6)="tarief",F333="Vergoeding"),SUM(P333)*FLOOR(SUM(R333),0.0001),AND(P333&lt;&gt;"",R333&lt;&gt;"",RIGHT($N333,6)="tarief"),P333*FLOOR(R333,0.01),T333&gt;0,FLOOR(SUM(T333),0.01)),""),""),"")</f>
        <v/>
      </c>
      <c r="Y333" s="314" t="str">
        <f t="shared" ca="1" si="22"/>
        <v/>
      </c>
      <c r="Z333" s="314" t="str" cm="1">
        <f t="array" aca="1" ref="Z333" ca="1">IFERROR(_xlfn.IFS(OR(F333="",LEFT(Methode_Keuze,4)="Geen",Methode_Keuze=""),"",AND(W333&lt;&gt;"",F333&lt;&gt;"Arbeidskosten"),W333*VLOOKUP(F333,Tb_ProjectKosten[],MATCH(Tb_ProjectKosten[[#Headers],[Forfait_Percentage]],Tb_ProjectKosten[#Headers],0),0),AND(F333="Arbeidskosten",G333&lt;&gt;""),IFERROR(W333*VLOOKUP(G333,Tb_KostenTypen[],3,0)*VLOOKUP(F333,Tb_ProjectKosten[],MATCH(Tb_ProjectKosten[[#Headers],[Forfait_Percentage]],Tb_ProjectKosten[#Headers],0),0),""),W333 &lt;=0,0),"")</f>
        <v/>
      </c>
      <c r="AA333" s="314" t="str" cm="1">
        <f t="array" aca="1" ref="AA333" ca="1">IFERROR(_xlfn.IFS(OR(F333="",LEFT(Methode_Keuze,4)="Geen",Methode_Keuze=""),"",AND(X333&lt;&gt;"",F333&lt;&gt;"Arbeidskosten"),X333*VLOOKUP(F333,Tb_ProjectKosten[],MATCH(Tb_ProjectKosten[[#Headers],[Forfait_Percentage]],Tb_ProjectKosten[#Headers],0),0),AND(F333="Arbeidskosten",G333&lt;&gt;""),IFERROR(X333*VLOOKUP(G333,Tb_KostenTypen[],3,0)*VLOOKUP(F333,Tb_ProjectKosten[],MATCH(Tb_ProjectKosten[[#Headers],[Forfait_Percentage]],Tb_ProjectKosten[#Headers],0),0),""),X333 &lt;=0,0),"")</f>
        <v/>
      </c>
      <c r="AB333" s="314" t="str">
        <f t="shared" ca="1" si="23"/>
        <v/>
      </c>
      <c r="AC333" s="322"/>
      <c r="AD333" s="315"/>
      <c r="AE333" s="32" t="str" cm="1">
        <f t="array" ref="AE333">IFERROR(IF(INDEX(SubsidieTabel!$AD$1:$AG$12,MATCH($F333,SubsidieTabel!$AD$1:$AD$12,0),IFERROR(MATCH(Methode_Keuze,SubsidieTabel!$AD$1:$AG$1,0),2))&lt;&gt;1=TRUE,"ja",""),"")</f>
        <v/>
      </c>
    </row>
    <row r="334" spans="1:31" x14ac:dyDescent="0.25">
      <c r="A334" s="316"/>
      <c r="B334" s="317" t="str">
        <f>IF(A334&lt;&gt;"",_xlfn.MAXIFS($B$1:B333,$A$1:A333,A334)+1,"")</f>
        <v/>
      </c>
      <c r="C334" s="296"/>
      <c r="D334" s="296"/>
      <c r="E334" s="296"/>
      <c r="F334" s="296"/>
      <c r="G334" s="326"/>
      <c r="H334" s="324"/>
      <c r="I334" s="325"/>
      <c r="J334" s="325"/>
      <c r="K334" s="318"/>
      <c r="L334" s="318"/>
      <c r="M334" s="319" t="str">
        <f>IFERROR(VLOOKUP(H334,Lijsten!$H$1:$I$100,2,0),"")</f>
        <v/>
      </c>
      <c r="N334" s="319" t="str">
        <f ca="1">IFERROR(IF(VLOOKUP(F334,Kostentypen!$A$3:$E$21,3,0)=0,"",IF(OR(F334="Arbeidskosten",F334="Vergoeding"),VLOOKUP(G334,Tb_KostenTypen[],2,0),VLOOKUP(F334,Kostentypen!$A$3:$E$20,3,0))),"")</f>
        <v/>
      </c>
      <c r="O334" s="320" t="str" cm="1">
        <f t="array" ref="O334">_xlfn.IFNA(IF(INDEX(Tb_KostenOptiesDB[],MATCH($F334,Tb_KostenOptiesDB[KostenOptie],0),IFERROR(MATCH(Methode_Keuze,Tb_KostenOptiesDB[#Headers],0),2))=1,_xlfn.SWITCH($N334,"Uurtarief",IF(OR(AND(RIGHT($F334,3)="IKS",VLOOKUP($M334,DB_Loonkosten,2,0)="Ja"),AND(RIGHT($F334,3)&lt;&gt;"IKS",VLOOKUP($M334,DB_Loonkosten,2,0)="Nee")),IFERROR(VLOOKUP($M334,DB_Loonkosten,24,0),""),0),"Vast tarief",IF(LEFT(F334,8)="Bijdrage",VLOOKUP($F334,Tb_KostenTypen[],MATCH(Lijsten!$P$1,Tb_KostenTypen[#Headers],0),0),VLOOKUP($G334,Lijsten!L:P,MATCH(Lijsten!$P$1,Kop_Tarief_Vast,0),0))),""),"")</f>
        <v/>
      </c>
      <c r="P334" s="320" t="str" cm="1">
        <f t="array" ref="P334">_xlfn.IFNA(IF(INDEX(Tb_KostenOptiesDB[],MATCH($F334,Tb_KostenOptiesDB[KostenOptie],0),IFERROR(MATCH(Methode_Keuze,Tb_KostenOptiesDB[#Headers],0),2))=1,_xlfn.SWITCH($N334,"Uurtarief",IF(OR(AND(RIGHT($F334,3)="IKS",VLOOKUP($M334,DB_Loonkosten,2,0)="Ja"),AND(RIGHT($F334,3)&lt;&gt;"IKS",VLOOKUP($M334,DB_Loonkosten,2,0)="Nee")),IFERROR(VLOOKUP($M334,DB_Loonkosten,25,0),""),0),"Vast tarief",IF(LEFT(F334,8)="Bijdrage",VLOOKUP($F334,Tb_KostenTypen[],MATCH(Lijsten!$P$1,Tb_KostenTypen[#Headers],0),0),VLOOKUP($G334,Lijsten!L:P,MATCH(Lijsten!$P$1,Kop_Tarief_Vast,0),0))),""),"")</f>
        <v/>
      </c>
      <c r="Q334" s="359"/>
      <c r="R334" s="359"/>
      <c r="S334" s="321"/>
      <c r="T334" s="321"/>
      <c r="U334" s="373" t="str">
        <f t="shared" si="20"/>
        <v/>
      </c>
      <c r="V334" s="314" t="str">
        <f t="shared" si="21"/>
        <v/>
      </c>
      <c r="W334" s="314" t="str" cm="1">
        <f t="array" aca="1" ref="W334" ca="1">IFERROR(IF(AE334&lt;&gt;"ja",_xlfn.IFNA(_xlfn.IFS(AND(O334&lt;&gt;"",F334&lt;&gt;"",RIGHT($N334,6)="tarief",F334="Vergoeding"),SUM(O334)*FLOOR(SUM(Q334),0.0001),AND(O334&lt;&gt;"",F334&lt;&gt;"",RIGHT($N334,6)="tarief"),SUM(O334)*FLOOR(SUM(Q334),0.01),S334&gt;0,IF(F334&lt;&gt;"",FLOOR(SUM(S334),0.01),"")),""),""),"")</f>
        <v/>
      </c>
      <c r="X334" s="314" t="str" cm="1">
        <f t="array" aca="1" ref="X334" ca="1">IFERROR(IF(AE334&lt;&gt;"ja",_xlfn.IFNA(_xlfn.IFS(AND(P334&lt;&gt;"",R334&lt;&gt;"",RIGHT($N334,6)="tarief",F334="Vergoeding"),SUM(P334)*FLOOR(SUM(R334),0.0001),AND(P334&lt;&gt;"",R334&lt;&gt;"",RIGHT($N334,6)="tarief"),P334*FLOOR(R334,0.01),T334&gt;0,FLOOR(SUM(T334),0.01)),""),""),"")</f>
        <v/>
      </c>
      <c r="Y334" s="314" t="str">
        <f t="shared" ca="1" si="22"/>
        <v/>
      </c>
      <c r="Z334" s="314" t="str" cm="1">
        <f t="array" aca="1" ref="Z334" ca="1">IFERROR(_xlfn.IFS(OR(F334="",LEFT(Methode_Keuze,4)="Geen",Methode_Keuze=""),"",AND(W334&lt;&gt;"",F334&lt;&gt;"Arbeidskosten"),W334*VLOOKUP(F334,Tb_ProjectKosten[],MATCH(Tb_ProjectKosten[[#Headers],[Forfait_Percentage]],Tb_ProjectKosten[#Headers],0),0),AND(F334="Arbeidskosten",G334&lt;&gt;""),IFERROR(W334*VLOOKUP(G334,Tb_KostenTypen[],3,0)*VLOOKUP(F334,Tb_ProjectKosten[],MATCH(Tb_ProjectKosten[[#Headers],[Forfait_Percentage]],Tb_ProjectKosten[#Headers],0),0),""),W334 &lt;=0,0),"")</f>
        <v/>
      </c>
      <c r="AA334" s="314" t="str" cm="1">
        <f t="array" aca="1" ref="AA334" ca="1">IFERROR(_xlfn.IFS(OR(F334="",LEFT(Methode_Keuze,4)="Geen",Methode_Keuze=""),"",AND(X334&lt;&gt;"",F334&lt;&gt;"Arbeidskosten"),X334*VLOOKUP(F334,Tb_ProjectKosten[],MATCH(Tb_ProjectKosten[[#Headers],[Forfait_Percentage]],Tb_ProjectKosten[#Headers],0),0),AND(F334="Arbeidskosten",G334&lt;&gt;""),IFERROR(X334*VLOOKUP(G334,Tb_KostenTypen[],3,0)*VLOOKUP(F334,Tb_ProjectKosten[],MATCH(Tb_ProjectKosten[[#Headers],[Forfait_Percentage]],Tb_ProjectKosten[#Headers],0),0),""),X334 &lt;=0,0),"")</f>
        <v/>
      </c>
      <c r="AB334" s="314" t="str">
        <f t="shared" ca="1" si="23"/>
        <v/>
      </c>
      <c r="AC334" s="322"/>
      <c r="AD334" s="315"/>
      <c r="AE334" s="32" t="str" cm="1">
        <f t="array" ref="AE334">IFERROR(IF(INDEX(SubsidieTabel!$AD$1:$AG$12,MATCH($F334,SubsidieTabel!$AD$1:$AD$12,0),IFERROR(MATCH(Methode_Keuze,SubsidieTabel!$AD$1:$AG$1,0),2))&lt;&gt;1=TRUE,"ja",""),"")</f>
        <v/>
      </c>
    </row>
    <row r="335" spans="1:31" x14ac:dyDescent="0.25">
      <c r="A335" s="316"/>
      <c r="B335" s="317" t="str">
        <f>IF(A335&lt;&gt;"",_xlfn.MAXIFS($B$1:B334,$A$1:A334,A335)+1,"")</f>
        <v/>
      </c>
      <c r="C335" s="296"/>
      <c r="D335" s="296"/>
      <c r="E335" s="296"/>
      <c r="F335" s="296"/>
      <c r="G335" s="326"/>
      <c r="H335" s="324"/>
      <c r="I335" s="325"/>
      <c r="J335" s="325"/>
      <c r="K335" s="318"/>
      <c r="L335" s="318"/>
      <c r="M335" s="319" t="str">
        <f>IFERROR(VLOOKUP(H335,Lijsten!$H$1:$I$100,2,0),"")</f>
        <v/>
      </c>
      <c r="N335" s="319" t="str">
        <f ca="1">IFERROR(IF(VLOOKUP(F335,Kostentypen!$A$3:$E$21,3,0)=0,"",IF(OR(F335="Arbeidskosten",F335="Vergoeding"),VLOOKUP(G335,Tb_KostenTypen[],2,0),VLOOKUP(F335,Kostentypen!$A$3:$E$20,3,0))),"")</f>
        <v/>
      </c>
      <c r="O335" s="320" t="str" cm="1">
        <f t="array" ref="O335">_xlfn.IFNA(IF(INDEX(Tb_KostenOptiesDB[],MATCH($F335,Tb_KostenOptiesDB[KostenOptie],0),IFERROR(MATCH(Methode_Keuze,Tb_KostenOptiesDB[#Headers],0),2))=1,_xlfn.SWITCH($N335,"Uurtarief",IF(OR(AND(RIGHT($F335,3)="IKS",VLOOKUP($M335,DB_Loonkosten,2,0)="Ja"),AND(RIGHT($F335,3)&lt;&gt;"IKS",VLOOKUP($M335,DB_Loonkosten,2,0)="Nee")),IFERROR(VLOOKUP($M335,DB_Loonkosten,24,0),""),0),"Vast tarief",IF(LEFT(F335,8)="Bijdrage",VLOOKUP($F335,Tb_KostenTypen[],MATCH(Lijsten!$P$1,Tb_KostenTypen[#Headers],0),0),VLOOKUP($G335,Lijsten!L:P,MATCH(Lijsten!$P$1,Kop_Tarief_Vast,0),0))),""),"")</f>
        <v/>
      </c>
      <c r="P335" s="320" t="str" cm="1">
        <f t="array" ref="P335">_xlfn.IFNA(IF(INDEX(Tb_KostenOptiesDB[],MATCH($F335,Tb_KostenOptiesDB[KostenOptie],0),IFERROR(MATCH(Methode_Keuze,Tb_KostenOptiesDB[#Headers],0),2))=1,_xlfn.SWITCH($N335,"Uurtarief",IF(OR(AND(RIGHT($F335,3)="IKS",VLOOKUP($M335,DB_Loonkosten,2,0)="Ja"),AND(RIGHT($F335,3)&lt;&gt;"IKS",VLOOKUP($M335,DB_Loonkosten,2,0)="Nee")),IFERROR(VLOOKUP($M335,DB_Loonkosten,25,0),""),0),"Vast tarief",IF(LEFT(F335,8)="Bijdrage",VLOOKUP($F335,Tb_KostenTypen[],MATCH(Lijsten!$P$1,Tb_KostenTypen[#Headers],0),0),VLOOKUP($G335,Lijsten!L:P,MATCH(Lijsten!$P$1,Kop_Tarief_Vast,0),0))),""),"")</f>
        <v/>
      </c>
      <c r="Q335" s="359"/>
      <c r="R335" s="359"/>
      <c r="S335" s="321"/>
      <c r="T335" s="321"/>
      <c r="U335" s="373" t="str">
        <f t="shared" si="20"/>
        <v/>
      </c>
      <c r="V335" s="314" t="str">
        <f t="shared" si="21"/>
        <v/>
      </c>
      <c r="W335" s="314" t="str" cm="1">
        <f t="array" aca="1" ref="W335" ca="1">IFERROR(IF(AE335&lt;&gt;"ja",_xlfn.IFNA(_xlfn.IFS(AND(O335&lt;&gt;"",F335&lt;&gt;"",RIGHT($N335,6)="tarief",F335="Vergoeding"),SUM(O335)*FLOOR(SUM(Q335),0.0001),AND(O335&lt;&gt;"",F335&lt;&gt;"",RIGHT($N335,6)="tarief"),SUM(O335)*FLOOR(SUM(Q335),0.01),S335&gt;0,IF(F335&lt;&gt;"",FLOOR(SUM(S335),0.01),"")),""),""),"")</f>
        <v/>
      </c>
      <c r="X335" s="314" t="str" cm="1">
        <f t="array" aca="1" ref="X335" ca="1">IFERROR(IF(AE335&lt;&gt;"ja",_xlfn.IFNA(_xlfn.IFS(AND(P335&lt;&gt;"",R335&lt;&gt;"",RIGHT($N335,6)="tarief",F335="Vergoeding"),SUM(P335)*FLOOR(SUM(R335),0.0001),AND(P335&lt;&gt;"",R335&lt;&gt;"",RIGHT($N335,6)="tarief"),P335*FLOOR(R335,0.01),T335&gt;0,FLOOR(SUM(T335),0.01)),""),""),"")</f>
        <v/>
      </c>
      <c r="Y335" s="314" t="str">
        <f t="shared" ca="1" si="22"/>
        <v/>
      </c>
      <c r="Z335" s="314" t="str" cm="1">
        <f t="array" aca="1" ref="Z335" ca="1">IFERROR(_xlfn.IFS(OR(F335="",LEFT(Methode_Keuze,4)="Geen",Methode_Keuze=""),"",AND(W335&lt;&gt;"",F335&lt;&gt;"Arbeidskosten"),W335*VLOOKUP(F335,Tb_ProjectKosten[],MATCH(Tb_ProjectKosten[[#Headers],[Forfait_Percentage]],Tb_ProjectKosten[#Headers],0),0),AND(F335="Arbeidskosten",G335&lt;&gt;""),IFERROR(W335*VLOOKUP(G335,Tb_KostenTypen[],3,0)*VLOOKUP(F335,Tb_ProjectKosten[],MATCH(Tb_ProjectKosten[[#Headers],[Forfait_Percentage]],Tb_ProjectKosten[#Headers],0),0),""),W335 &lt;=0,0),"")</f>
        <v/>
      </c>
      <c r="AA335" s="314" t="str" cm="1">
        <f t="array" aca="1" ref="AA335" ca="1">IFERROR(_xlfn.IFS(OR(F335="",LEFT(Methode_Keuze,4)="Geen",Methode_Keuze=""),"",AND(X335&lt;&gt;"",F335&lt;&gt;"Arbeidskosten"),X335*VLOOKUP(F335,Tb_ProjectKosten[],MATCH(Tb_ProjectKosten[[#Headers],[Forfait_Percentage]],Tb_ProjectKosten[#Headers],0),0),AND(F335="Arbeidskosten",G335&lt;&gt;""),IFERROR(X335*VLOOKUP(G335,Tb_KostenTypen[],3,0)*VLOOKUP(F335,Tb_ProjectKosten[],MATCH(Tb_ProjectKosten[[#Headers],[Forfait_Percentage]],Tb_ProjectKosten[#Headers],0),0),""),X335 &lt;=0,0),"")</f>
        <v/>
      </c>
      <c r="AB335" s="314" t="str">
        <f t="shared" ca="1" si="23"/>
        <v/>
      </c>
      <c r="AC335" s="322"/>
      <c r="AD335" s="315"/>
      <c r="AE335" s="32" t="str" cm="1">
        <f t="array" ref="AE335">IFERROR(IF(INDEX(SubsidieTabel!$AD$1:$AG$12,MATCH($F335,SubsidieTabel!$AD$1:$AD$12,0),IFERROR(MATCH(Methode_Keuze,SubsidieTabel!$AD$1:$AG$1,0),2))&lt;&gt;1=TRUE,"ja",""),"")</f>
        <v/>
      </c>
    </row>
    <row r="336" spans="1:31" x14ac:dyDescent="0.25">
      <c r="A336" s="316"/>
      <c r="B336" s="317" t="str">
        <f>IF(A336&lt;&gt;"",_xlfn.MAXIFS($B$1:B335,$A$1:A335,A336)+1,"")</f>
        <v/>
      </c>
      <c r="C336" s="296"/>
      <c r="D336" s="296"/>
      <c r="E336" s="296"/>
      <c r="F336" s="296"/>
      <c r="G336" s="326"/>
      <c r="H336" s="324"/>
      <c r="I336" s="325"/>
      <c r="J336" s="325"/>
      <c r="K336" s="318"/>
      <c r="L336" s="318"/>
      <c r="M336" s="319" t="str">
        <f>IFERROR(VLOOKUP(H336,Lijsten!$H$1:$I$100,2,0),"")</f>
        <v/>
      </c>
      <c r="N336" s="319" t="str">
        <f ca="1">IFERROR(IF(VLOOKUP(F336,Kostentypen!$A$3:$E$21,3,0)=0,"",IF(OR(F336="Arbeidskosten",F336="Vergoeding"),VLOOKUP(G336,Tb_KostenTypen[],2,0),VLOOKUP(F336,Kostentypen!$A$3:$E$20,3,0))),"")</f>
        <v/>
      </c>
      <c r="O336" s="320" t="str" cm="1">
        <f t="array" ref="O336">_xlfn.IFNA(IF(INDEX(Tb_KostenOptiesDB[],MATCH($F336,Tb_KostenOptiesDB[KostenOptie],0),IFERROR(MATCH(Methode_Keuze,Tb_KostenOptiesDB[#Headers],0),2))=1,_xlfn.SWITCH($N336,"Uurtarief",IF(OR(AND(RIGHT($F336,3)="IKS",VLOOKUP($M336,DB_Loonkosten,2,0)="Ja"),AND(RIGHT($F336,3)&lt;&gt;"IKS",VLOOKUP($M336,DB_Loonkosten,2,0)="Nee")),IFERROR(VLOOKUP($M336,DB_Loonkosten,24,0),""),0),"Vast tarief",IF(LEFT(F336,8)="Bijdrage",VLOOKUP($F336,Tb_KostenTypen[],MATCH(Lijsten!$P$1,Tb_KostenTypen[#Headers],0),0),VLOOKUP($G336,Lijsten!L:P,MATCH(Lijsten!$P$1,Kop_Tarief_Vast,0),0))),""),"")</f>
        <v/>
      </c>
      <c r="P336" s="320" t="str" cm="1">
        <f t="array" ref="P336">_xlfn.IFNA(IF(INDEX(Tb_KostenOptiesDB[],MATCH($F336,Tb_KostenOptiesDB[KostenOptie],0),IFERROR(MATCH(Methode_Keuze,Tb_KostenOptiesDB[#Headers],0),2))=1,_xlfn.SWITCH($N336,"Uurtarief",IF(OR(AND(RIGHT($F336,3)="IKS",VLOOKUP($M336,DB_Loonkosten,2,0)="Ja"),AND(RIGHT($F336,3)&lt;&gt;"IKS",VLOOKUP($M336,DB_Loonkosten,2,0)="Nee")),IFERROR(VLOOKUP($M336,DB_Loonkosten,25,0),""),0),"Vast tarief",IF(LEFT(F336,8)="Bijdrage",VLOOKUP($F336,Tb_KostenTypen[],MATCH(Lijsten!$P$1,Tb_KostenTypen[#Headers],0),0),VLOOKUP($G336,Lijsten!L:P,MATCH(Lijsten!$P$1,Kop_Tarief_Vast,0),0))),""),"")</f>
        <v/>
      </c>
      <c r="Q336" s="359"/>
      <c r="R336" s="359"/>
      <c r="S336" s="321"/>
      <c r="T336" s="321"/>
      <c r="U336" s="373" t="str">
        <f t="shared" si="20"/>
        <v/>
      </c>
      <c r="V336" s="314" t="str">
        <f t="shared" si="21"/>
        <v/>
      </c>
      <c r="W336" s="314" t="str" cm="1">
        <f t="array" aca="1" ref="W336" ca="1">IFERROR(IF(AE336&lt;&gt;"ja",_xlfn.IFNA(_xlfn.IFS(AND(O336&lt;&gt;"",F336&lt;&gt;"",RIGHT($N336,6)="tarief",F336="Vergoeding"),SUM(O336)*FLOOR(SUM(Q336),0.0001),AND(O336&lt;&gt;"",F336&lt;&gt;"",RIGHT($N336,6)="tarief"),SUM(O336)*FLOOR(SUM(Q336),0.01),S336&gt;0,IF(F336&lt;&gt;"",FLOOR(SUM(S336),0.01),"")),""),""),"")</f>
        <v/>
      </c>
      <c r="X336" s="314" t="str" cm="1">
        <f t="array" aca="1" ref="X336" ca="1">IFERROR(IF(AE336&lt;&gt;"ja",_xlfn.IFNA(_xlfn.IFS(AND(P336&lt;&gt;"",R336&lt;&gt;"",RIGHT($N336,6)="tarief",F336="Vergoeding"),SUM(P336)*FLOOR(SUM(R336),0.0001),AND(P336&lt;&gt;"",R336&lt;&gt;"",RIGHT($N336,6)="tarief"),P336*FLOOR(R336,0.01),T336&gt;0,FLOOR(SUM(T336),0.01)),""),""),"")</f>
        <v/>
      </c>
      <c r="Y336" s="314" t="str">
        <f t="shared" ca="1" si="22"/>
        <v/>
      </c>
      <c r="Z336" s="314" t="str" cm="1">
        <f t="array" aca="1" ref="Z336" ca="1">IFERROR(_xlfn.IFS(OR(F336="",LEFT(Methode_Keuze,4)="Geen",Methode_Keuze=""),"",AND(W336&lt;&gt;"",F336&lt;&gt;"Arbeidskosten"),W336*VLOOKUP(F336,Tb_ProjectKosten[],MATCH(Tb_ProjectKosten[[#Headers],[Forfait_Percentage]],Tb_ProjectKosten[#Headers],0),0),AND(F336="Arbeidskosten",G336&lt;&gt;""),IFERROR(W336*VLOOKUP(G336,Tb_KostenTypen[],3,0)*VLOOKUP(F336,Tb_ProjectKosten[],MATCH(Tb_ProjectKosten[[#Headers],[Forfait_Percentage]],Tb_ProjectKosten[#Headers],0),0),""),W336 &lt;=0,0),"")</f>
        <v/>
      </c>
      <c r="AA336" s="314" t="str" cm="1">
        <f t="array" aca="1" ref="AA336" ca="1">IFERROR(_xlfn.IFS(OR(F336="",LEFT(Methode_Keuze,4)="Geen",Methode_Keuze=""),"",AND(X336&lt;&gt;"",F336&lt;&gt;"Arbeidskosten"),X336*VLOOKUP(F336,Tb_ProjectKosten[],MATCH(Tb_ProjectKosten[[#Headers],[Forfait_Percentage]],Tb_ProjectKosten[#Headers],0),0),AND(F336="Arbeidskosten",G336&lt;&gt;""),IFERROR(X336*VLOOKUP(G336,Tb_KostenTypen[],3,0)*VLOOKUP(F336,Tb_ProjectKosten[],MATCH(Tb_ProjectKosten[[#Headers],[Forfait_Percentage]],Tb_ProjectKosten[#Headers],0),0),""),X336 &lt;=0,0),"")</f>
        <v/>
      </c>
      <c r="AB336" s="314" t="str">
        <f t="shared" ca="1" si="23"/>
        <v/>
      </c>
      <c r="AC336" s="322"/>
      <c r="AD336" s="315"/>
      <c r="AE336" s="32" t="str" cm="1">
        <f t="array" ref="AE336">IFERROR(IF(INDEX(SubsidieTabel!$AD$1:$AG$12,MATCH($F336,SubsidieTabel!$AD$1:$AD$12,0),IFERROR(MATCH(Methode_Keuze,SubsidieTabel!$AD$1:$AG$1,0),2))&lt;&gt;1=TRUE,"ja",""),"")</f>
        <v/>
      </c>
    </row>
    <row r="337" spans="1:31" x14ac:dyDescent="0.25">
      <c r="A337" s="316"/>
      <c r="B337" s="317" t="str">
        <f>IF(A337&lt;&gt;"",_xlfn.MAXIFS($B$1:B336,$A$1:A336,A337)+1,"")</f>
        <v/>
      </c>
      <c r="C337" s="296"/>
      <c r="D337" s="296"/>
      <c r="E337" s="296"/>
      <c r="F337" s="296"/>
      <c r="G337" s="326"/>
      <c r="H337" s="324"/>
      <c r="I337" s="325"/>
      <c r="J337" s="325"/>
      <c r="K337" s="318"/>
      <c r="L337" s="318"/>
      <c r="M337" s="319" t="str">
        <f>IFERROR(VLOOKUP(H337,Lijsten!$H$1:$I$100,2,0),"")</f>
        <v/>
      </c>
      <c r="N337" s="319" t="str">
        <f ca="1">IFERROR(IF(VLOOKUP(F337,Kostentypen!$A$3:$E$21,3,0)=0,"",IF(OR(F337="Arbeidskosten",F337="Vergoeding"),VLOOKUP(G337,Tb_KostenTypen[],2,0),VLOOKUP(F337,Kostentypen!$A$3:$E$20,3,0))),"")</f>
        <v/>
      </c>
      <c r="O337" s="320" t="str" cm="1">
        <f t="array" ref="O337">_xlfn.IFNA(IF(INDEX(Tb_KostenOptiesDB[],MATCH($F337,Tb_KostenOptiesDB[KostenOptie],0),IFERROR(MATCH(Methode_Keuze,Tb_KostenOptiesDB[#Headers],0),2))=1,_xlfn.SWITCH($N337,"Uurtarief",IF(OR(AND(RIGHT($F337,3)="IKS",VLOOKUP($M337,DB_Loonkosten,2,0)="Ja"),AND(RIGHT($F337,3)&lt;&gt;"IKS",VLOOKUP($M337,DB_Loonkosten,2,0)="Nee")),IFERROR(VLOOKUP($M337,DB_Loonkosten,24,0),""),0),"Vast tarief",IF(LEFT(F337,8)="Bijdrage",VLOOKUP($F337,Tb_KostenTypen[],MATCH(Lijsten!$P$1,Tb_KostenTypen[#Headers],0),0),VLOOKUP($G337,Lijsten!L:P,MATCH(Lijsten!$P$1,Kop_Tarief_Vast,0),0))),""),"")</f>
        <v/>
      </c>
      <c r="P337" s="320" t="str" cm="1">
        <f t="array" ref="P337">_xlfn.IFNA(IF(INDEX(Tb_KostenOptiesDB[],MATCH($F337,Tb_KostenOptiesDB[KostenOptie],0),IFERROR(MATCH(Methode_Keuze,Tb_KostenOptiesDB[#Headers],0),2))=1,_xlfn.SWITCH($N337,"Uurtarief",IF(OR(AND(RIGHT($F337,3)="IKS",VLOOKUP($M337,DB_Loonkosten,2,0)="Ja"),AND(RIGHT($F337,3)&lt;&gt;"IKS",VLOOKUP($M337,DB_Loonkosten,2,0)="Nee")),IFERROR(VLOOKUP($M337,DB_Loonkosten,25,0),""),0),"Vast tarief",IF(LEFT(F337,8)="Bijdrage",VLOOKUP($F337,Tb_KostenTypen[],MATCH(Lijsten!$P$1,Tb_KostenTypen[#Headers],0),0),VLOOKUP($G337,Lijsten!L:P,MATCH(Lijsten!$P$1,Kop_Tarief_Vast,0),0))),""),"")</f>
        <v/>
      </c>
      <c r="Q337" s="359"/>
      <c r="R337" s="359"/>
      <c r="S337" s="321"/>
      <c r="T337" s="321"/>
      <c r="U337" s="373" t="str">
        <f t="shared" si="20"/>
        <v/>
      </c>
      <c r="V337" s="314" t="str">
        <f t="shared" si="21"/>
        <v/>
      </c>
      <c r="W337" s="314" t="str" cm="1">
        <f t="array" aca="1" ref="W337" ca="1">IFERROR(IF(AE337&lt;&gt;"ja",_xlfn.IFNA(_xlfn.IFS(AND(O337&lt;&gt;"",F337&lt;&gt;"",RIGHT($N337,6)="tarief",F337="Vergoeding"),SUM(O337)*FLOOR(SUM(Q337),0.0001),AND(O337&lt;&gt;"",F337&lt;&gt;"",RIGHT($N337,6)="tarief"),SUM(O337)*FLOOR(SUM(Q337),0.01),S337&gt;0,IF(F337&lt;&gt;"",FLOOR(SUM(S337),0.01),"")),""),""),"")</f>
        <v/>
      </c>
      <c r="X337" s="314" t="str" cm="1">
        <f t="array" aca="1" ref="X337" ca="1">IFERROR(IF(AE337&lt;&gt;"ja",_xlfn.IFNA(_xlfn.IFS(AND(P337&lt;&gt;"",R337&lt;&gt;"",RIGHT($N337,6)="tarief",F337="Vergoeding"),SUM(P337)*FLOOR(SUM(R337),0.0001),AND(P337&lt;&gt;"",R337&lt;&gt;"",RIGHT($N337,6)="tarief"),P337*FLOOR(R337,0.01),T337&gt;0,FLOOR(SUM(T337),0.01)),""),""),"")</f>
        <v/>
      </c>
      <c r="Y337" s="314" t="str">
        <f t="shared" ca="1" si="22"/>
        <v/>
      </c>
      <c r="Z337" s="314" t="str" cm="1">
        <f t="array" aca="1" ref="Z337" ca="1">IFERROR(_xlfn.IFS(OR(F337="",LEFT(Methode_Keuze,4)="Geen",Methode_Keuze=""),"",AND(W337&lt;&gt;"",F337&lt;&gt;"Arbeidskosten"),W337*VLOOKUP(F337,Tb_ProjectKosten[],MATCH(Tb_ProjectKosten[[#Headers],[Forfait_Percentage]],Tb_ProjectKosten[#Headers],0),0),AND(F337="Arbeidskosten",G337&lt;&gt;""),IFERROR(W337*VLOOKUP(G337,Tb_KostenTypen[],3,0)*VLOOKUP(F337,Tb_ProjectKosten[],MATCH(Tb_ProjectKosten[[#Headers],[Forfait_Percentage]],Tb_ProjectKosten[#Headers],0),0),""),W337 &lt;=0,0),"")</f>
        <v/>
      </c>
      <c r="AA337" s="314" t="str" cm="1">
        <f t="array" aca="1" ref="AA337" ca="1">IFERROR(_xlfn.IFS(OR(F337="",LEFT(Methode_Keuze,4)="Geen",Methode_Keuze=""),"",AND(X337&lt;&gt;"",F337&lt;&gt;"Arbeidskosten"),X337*VLOOKUP(F337,Tb_ProjectKosten[],MATCH(Tb_ProjectKosten[[#Headers],[Forfait_Percentage]],Tb_ProjectKosten[#Headers],0),0),AND(F337="Arbeidskosten",G337&lt;&gt;""),IFERROR(X337*VLOOKUP(G337,Tb_KostenTypen[],3,0)*VLOOKUP(F337,Tb_ProjectKosten[],MATCH(Tb_ProjectKosten[[#Headers],[Forfait_Percentage]],Tb_ProjectKosten[#Headers],0),0),""),X337 &lt;=0,0),"")</f>
        <v/>
      </c>
      <c r="AB337" s="314" t="str">
        <f t="shared" ca="1" si="23"/>
        <v/>
      </c>
      <c r="AC337" s="322"/>
      <c r="AD337" s="315"/>
      <c r="AE337" s="32" t="str" cm="1">
        <f t="array" ref="AE337">IFERROR(IF(INDEX(SubsidieTabel!$AD$1:$AG$12,MATCH($F337,SubsidieTabel!$AD$1:$AD$12,0),IFERROR(MATCH(Methode_Keuze,SubsidieTabel!$AD$1:$AG$1,0),2))&lt;&gt;1=TRUE,"ja",""),"")</f>
        <v/>
      </c>
    </row>
    <row r="338" spans="1:31" x14ac:dyDescent="0.25">
      <c r="A338" s="316"/>
      <c r="B338" s="317" t="str">
        <f>IF(A338&lt;&gt;"",_xlfn.MAXIFS($B$1:B337,$A$1:A337,A338)+1,"")</f>
        <v/>
      </c>
      <c r="C338" s="296"/>
      <c r="D338" s="296"/>
      <c r="E338" s="296"/>
      <c r="F338" s="296"/>
      <c r="G338" s="326"/>
      <c r="H338" s="324"/>
      <c r="I338" s="325"/>
      <c r="J338" s="325"/>
      <c r="K338" s="318"/>
      <c r="L338" s="318"/>
      <c r="M338" s="319" t="str">
        <f>IFERROR(VLOOKUP(H338,Lijsten!$H$1:$I$100,2,0),"")</f>
        <v/>
      </c>
      <c r="N338" s="319" t="str">
        <f ca="1">IFERROR(IF(VLOOKUP(F338,Kostentypen!$A$3:$E$21,3,0)=0,"",IF(OR(F338="Arbeidskosten",F338="Vergoeding"),VLOOKUP(G338,Tb_KostenTypen[],2,0),VLOOKUP(F338,Kostentypen!$A$3:$E$20,3,0))),"")</f>
        <v/>
      </c>
      <c r="O338" s="320" t="str" cm="1">
        <f t="array" ref="O338">_xlfn.IFNA(IF(INDEX(Tb_KostenOptiesDB[],MATCH($F338,Tb_KostenOptiesDB[KostenOptie],0),IFERROR(MATCH(Methode_Keuze,Tb_KostenOptiesDB[#Headers],0),2))=1,_xlfn.SWITCH($N338,"Uurtarief",IF(OR(AND(RIGHT($F338,3)="IKS",VLOOKUP($M338,DB_Loonkosten,2,0)="Ja"),AND(RIGHT($F338,3)&lt;&gt;"IKS",VLOOKUP($M338,DB_Loonkosten,2,0)="Nee")),IFERROR(VLOOKUP($M338,DB_Loonkosten,24,0),""),0),"Vast tarief",IF(LEFT(F338,8)="Bijdrage",VLOOKUP($F338,Tb_KostenTypen[],MATCH(Lijsten!$P$1,Tb_KostenTypen[#Headers],0),0),VLOOKUP($G338,Lijsten!L:P,MATCH(Lijsten!$P$1,Kop_Tarief_Vast,0),0))),""),"")</f>
        <v/>
      </c>
      <c r="P338" s="320" t="str" cm="1">
        <f t="array" ref="P338">_xlfn.IFNA(IF(INDEX(Tb_KostenOptiesDB[],MATCH($F338,Tb_KostenOptiesDB[KostenOptie],0),IFERROR(MATCH(Methode_Keuze,Tb_KostenOptiesDB[#Headers],0),2))=1,_xlfn.SWITCH($N338,"Uurtarief",IF(OR(AND(RIGHT($F338,3)="IKS",VLOOKUP($M338,DB_Loonkosten,2,0)="Ja"),AND(RIGHT($F338,3)&lt;&gt;"IKS",VLOOKUP($M338,DB_Loonkosten,2,0)="Nee")),IFERROR(VLOOKUP($M338,DB_Loonkosten,25,0),""),0),"Vast tarief",IF(LEFT(F338,8)="Bijdrage",VLOOKUP($F338,Tb_KostenTypen[],MATCH(Lijsten!$P$1,Tb_KostenTypen[#Headers],0),0),VLOOKUP($G338,Lijsten!L:P,MATCH(Lijsten!$P$1,Kop_Tarief_Vast,0),0))),""),"")</f>
        <v/>
      </c>
      <c r="Q338" s="359"/>
      <c r="R338" s="359"/>
      <c r="S338" s="321"/>
      <c r="T338" s="321"/>
      <c r="U338" s="373" t="str">
        <f t="shared" si="20"/>
        <v/>
      </c>
      <c r="V338" s="314" t="str">
        <f t="shared" si="21"/>
        <v/>
      </c>
      <c r="W338" s="314" t="str" cm="1">
        <f t="array" aca="1" ref="W338" ca="1">IFERROR(IF(AE338&lt;&gt;"ja",_xlfn.IFNA(_xlfn.IFS(AND(O338&lt;&gt;"",F338&lt;&gt;"",RIGHT($N338,6)="tarief",F338="Vergoeding"),SUM(O338)*FLOOR(SUM(Q338),0.0001),AND(O338&lt;&gt;"",F338&lt;&gt;"",RIGHT($N338,6)="tarief"),SUM(O338)*FLOOR(SUM(Q338),0.01),S338&gt;0,IF(F338&lt;&gt;"",FLOOR(SUM(S338),0.01),"")),""),""),"")</f>
        <v/>
      </c>
      <c r="X338" s="314" t="str" cm="1">
        <f t="array" aca="1" ref="X338" ca="1">IFERROR(IF(AE338&lt;&gt;"ja",_xlfn.IFNA(_xlfn.IFS(AND(P338&lt;&gt;"",R338&lt;&gt;"",RIGHT($N338,6)="tarief",F338="Vergoeding"),SUM(P338)*FLOOR(SUM(R338),0.0001),AND(P338&lt;&gt;"",R338&lt;&gt;"",RIGHT($N338,6)="tarief"),P338*FLOOR(R338,0.01),T338&gt;0,FLOOR(SUM(T338),0.01)),""),""),"")</f>
        <v/>
      </c>
      <c r="Y338" s="314" t="str">
        <f t="shared" ca="1" si="22"/>
        <v/>
      </c>
      <c r="Z338" s="314" t="str" cm="1">
        <f t="array" aca="1" ref="Z338" ca="1">IFERROR(_xlfn.IFS(OR(F338="",LEFT(Methode_Keuze,4)="Geen",Methode_Keuze=""),"",AND(W338&lt;&gt;"",F338&lt;&gt;"Arbeidskosten"),W338*VLOOKUP(F338,Tb_ProjectKosten[],MATCH(Tb_ProjectKosten[[#Headers],[Forfait_Percentage]],Tb_ProjectKosten[#Headers],0),0),AND(F338="Arbeidskosten",G338&lt;&gt;""),IFERROR(W338*VLOOKUP(G338,Tb_KostenTypen[],3,0)*VLOOKUP(F338,Tb_ProjectKosten[],MATCH(Tb_ProjectKosten[[#Headers],[Forfait_Percentage]],Tb_ProjectKosten[#Headers],0),0),""),W338 &lt;=0,0),"")</f>
        <v/>
      </c>
      <c r="AA338" s="314" t="str" cm="1">
        <f t="array" aca="1" ref="AA338" ca="1">IFERROR(_xlfn.IFS(OR(F338="",LEFT(Methode_Keuze,4)="Geen",Methode_Keuze=""),"",AND(X338&lt;&gt;"",F338&lt;&gt;"Arbeidskosten"),X338*VLOOKUP(F338,Tb_ProjectKosten[],MATCH(Tb_ProjectKosten[[#Headers],[Forfait_Percentage]],Tb_ProjectKosten[#Headers],0),0),AND(F338="Arbeidskosten",G338&lt;&gt;""),IFERROR(X338*VLOOKUP(G338,Tb_KostenTypen[],3,0)*VLOOKUP(F338,Tb_ProjectKosten[],MATCH(Tb_ProjectKosten[[#Headers],[Forfait_Percentage]],Tb_ProjectKosten[#Headers],0),0),""),X338 &lt;=0,0),"")</f>
        <v/>
      </c>
      <c r="AB338" s="314" t="str">
        <f t="shared" ca="1" si="23"/>
        <v/>
      </c>
      <c r="AC338" s="322"/>
      <c r="AD338" s="315"/>
      <c r="AE338" s="32" t="str" cm="1">
        <f t="array" ref="AE338">IFERROR(IF(INDEX(SubsidieTabel!$AD$1:$AG$12,MATCH($F338,SubsidieTabel!$AD$1:$AD$12,0),IFERROR(MATCH(Methode_Keuze,SubsidieTabel!$AD$1:$AG$1,0),2))&lt;&gt;1=TRUE,"ja",""),"")</f>
        <v/>
      </c>
    </row>
    <row r="339" spans="1:31" x14ac:dyDescent="0.25">
      <c r="A339" s="316"/>
      <c r="B339" s="317" t="str">
        <f>IF(A339&lt;&gt;"",_xlfn.MAXIFS($B$1:B338,$A$1:A338,A339)+1,"")</f>
        <v/>
      </c>
      <c r="C339" s="296"/>
      <c r="D339" s="296"/>
      <c r="E339" s="296"/>
      <c r="F339" s="296"/>
      <c r="G339" s="326"/>
      <c r="H339" s="324"/>
      <c r="I339" s="325"/>
      <c r="J339" s="325"/>
      <c r="K339" s="318"/>
      <c r="L339" s="318"/>
      <c r="M339" s="319" t="str">
        <f>IFERROR(VLOOKUP(H339,Lijsten!$H$1:$I$100,2,0),"")</f>
        <v/>
      </c>
      <c r="N339" s="319" t="str">
        <f ca="1">IFERROR(IF(VLOOKUP(F339,Kostentypen!$A$3:$E$21,3,0)=0,"",IF(OR(F339="Arbeidskosten",F339="Vergoeding"),VLOOKUP(G339,Tb_KostenTypen[],2,0),VLOOKUP(F339,Kostentypen!$A$3:$E$20,3,0))),"")</f>
        <v/>
      </c>
      <c r="O339" s="320" t="str" cm="1">
        <f t="array" ref="O339">_xlfn.IFNA(IF(INDEX(Tb_KostenOptiesDB[],MATCH($F339,Tb_KostenOptiesDB[KostenOptie],0),IFERROR(MATCH(Methode_Keuze,Tb_KostenOptiesDB[#Headers],0),2))=1,_xlfn.SWITCH($N339,"Uurtarief",IF(OR(AND(RIGHT($F339,3)="IKS",VLOOKUP($M339,DB_Loonkosten,2,0)="Ja"),AND(RIGHT($F339,3)&lt;&gt;"IKS",VLOOKUP($M339,DB_Loonkosten,2,0)="Nee")),IFERROR(VLOOKUP($M339,DB_Loonkosten,24,0),""),0),"Vast tarief",IF(LEFT(F339,8)="Bijdrage",VLOOKUP($F339,Tb_KostenTypen[],MATCH(Lijsten!$P$1,Tb_KostenTypen[#Headers],0),0),VLOOKUP($G339,Lijsten!L:P,MATCH(Lijsten!$P$1,Kop_Tarief_Vast,0),0))),""),"")</f>
        <v/>
      </c>
      <c r="P339" s="320" t="str" cm="1">
        <f t="array" ref="P339">_xlfn.IFNA(IF(INDEX(Tb_KostenOptiesDB[],MATCH($F339,Tb_KostenOptiesDB[KostenOptie],0),IFERROR(MATCH(Methode_Keuze,Tb_KostenOptiesDB[#Headers],0),2))=1,_xlfn.SWITCH($N339,"Uurtarief",IF(OR(AND(RIGHT($F339,3)="IKS",VLOOKUP($M339,DB_Loonkosten,2,0)="Ja"),AND(RIGHT($F339,3)&lt;&gt;"IKS",VLOOKUP($M339,DB_Loonkosten,2,0)="Nee")),IFERROR(VLOOKUP($M339,DB_Loonkosten,25,0),""),0),"Vast tarief",IF(LEFT(F339,8)="Bijdrage",VLOOKUP($F339,Tb_KostenTypen[],MATCH(Lijsten!$P$1,Tb_KostenTypen[#Headers],0),0),VLOOKUP($G339,Lijsten!L:P,MATCH(Lijsten!$P$1,Kop_Tarief_Vast,0),0))),""),"")</f>
        <v/>
      </c>
      <c r="Q339" s="359"/>
      <c r="R339" s="359"/>
      <c r="S339" s="321"/>
      <c r="T339" s="321"/>
      <c r="U339" s="373" t="str">
        <f t="shared" si="20"/>
        <v/>
      </c>
      <c r="V339" s="314" t="str">
        <f t="shared" si="21"/>
        <v/>
      </c>
      <c r="W339" s="314" t="str" cm="1">
        <f t="array" aca="1" ref="W339" ca="1">IFERROR(IF(AE339&lt;&gt;"ja",_xlfn.IFNA(_xlfn.IFS(AND(O339&lt;&gt;"",F339&lt;&gt;"",RIGHT($N339,6)="tarief",F339="Vergoeding"),SUM(O339)*FLOOR(SUM(Q339),0.0001),AND(O339&lt;&gt;"",F339&lt;&gt;"",RIGHT($N339,6)="tarief"),SUM(O339)*FLOOR(SUM(Q339),0.01),S339&gt;0,IF(F339&lt;&gt;"",FLOOR(SUM(S339),0.01),"")),""),""),"")</f>
        <v/>
      </c>
      <c r="X339" s="314" t="str" cm="1">
        <f t="array" aca="1" ref="X339" ca="1">IFERROR(IF(AE339&lt;&gt;"ja",_xlfn.IFNA(_xlfn.IFS(AND(P339&lt;&gt;"",R339&lt;&gt;"",RIGHT($N339,6)="tarief",F339="Vergoeding"),SUM(P339)*FLOOR(SUM(R339),0.0001),AND(P339&lt;&gt;"",R339&lt;&gt;"",RIGHT($N339,6)="tarief"),P339*FLOOR(R339,0.01),T339&gt;0,FLOOR(SUM(T339),0.01)),""),""),"")</f>
        <v/>
      </c>
      <c r="Y339" s="314" t="str">
        <f t="shared" ca="1" si="22"/>
        <v/>
      </c>
      <c r="Z339" s="314" t="str" cm="1">
        <f t="array" aca="1" ref="Z339" ca="1">IFERROR(_xlfn.IFS(OR(F339="",LEFT(Methode_Keuze,4)="Geen",Methode_Keuze=""),"",AND(W339&lt;&gt;"",F339&lt;&gt;"Arbeidskosten"),W339*VLOOKUP(F339,Tb_ProjectKosten[],MATCH(Tb_ProjectKosten[[#Headers],[Forfait_Percentage]],Tb_ProjectKosten[#Headers],0),0),AND(F339="Arbeidskosten",G339&lt;&gt;""),IFERROR(W339*VLOOKUP(G339,Tb_KostenTypen[],3,0)*VLOOKUP(F339,Tb_ProjectKosten[],MATCH(Tb_ProjectKosten[[#Headers],[Forfait_Percentage]],Tb_ProjectKosten[#Headers],0),0),""),W339 &lt;=0,0),"")</f>
        <v/>
      </c>
      <c r="AA339" s="314" t="str" cm="1">
        <f t="array" aca="1" ref="AA339" ca="1">IFERROR(_xlfn.IFS(OR(F339="",LEFT(Methode_Keuze,4)="Geen",Methode_Keuze=""),"",AND(X339&lt;&gt;"",F339&lt;&gt;"Arbeidskosten"),X339*VLOOKUP(F339,Tb_ProjectKosten[],MATCH(Tb_ProjectKosten[[#Headers],[Forfait_Percentage]],Tb_ProjectKosten[#Headers],0),0),AND(F339="Arbeidskosten",G339&lt;&gt;""),IFERROR(X339*VLOOKUP(G339,Tb_KostenTypen[],3,0)*VLOOKUP(F339,Tb_ProjectKosten[],MATCH(Tb_ProjectKosten[[#Headers],[Forfait_Percentage]],Tb_ProjectKosten[#Headers],0),0),""),X339 &lt;=0,0),"")</f>
        <v/>
      </c>
      <c r="AB339" s="314" t="str">
        <f t="shared" ca="1" si="23"/>
        <v/>
      </c>
      <c r="AC339" s="322"/>
      <c r="AD339" s="315"/>
      <c r="AE339" s="32" t="str" cm="1">
        <f t="array" ref="AE339">IFERROR(IF(INDEX(SubsidieTabel!$AD$1:$AG$12,MATCH($F339,SubsidieTabel!$AD$1:$AD$12,0),IFERROR(MATCH(Methode_Keuze,SubsidieTabel!$AD$1:$AG$1,0),2))&lt;&gt;1=TRUE,"ja",""),"")</f>
        <v/>
      </c>
    </row>
    <row r="340" spans="1:31" x14ac:dyDescent="0.25">
      <c r="A340" s="316"/>
      <c r="B340" s="317" t="str">
        <f>IF(A340&lt;&gt;"",_xlfn.MAXIFS($B$1:B339,$A$1:A339,A340)+1,"")</f>
        <v/>
      </c>
      <c r="C340" s="296"/>
      <c r="D340" s="296"/>
      <c r="E340" s="296"/>
      <c r="F340" s="296"/>
      <c r="G340" s="326"/>
      <c r="H340" s="324"/>
      <c r="I340" s="325"/>
      <c r="J340" s="325"/>
      <c r="K340" s="318"/>
      <c r="L340" s="318"/>
      <c r="M340" s="319" t="str">
        <f>IFERROR(VLOOKUP(H340,Lijsten!$H$1:$I$100,2,0),"")</f>
        <v/>
      </c>
      <c r="N340" s="319" t="str">
        <f ca="1">IFERROR(IF(VLOOKUP(F340,Kostentypen!$A$3:$E$21,3,0)=0,"",IF(OR(F340="Arbeidskosten",F340="Vergoeding"),VLOOKUP(G340,Tb_KostenTypen[],2,0),VLOOKUP(F340,Kostentypen!$A$3:$E$20,3,0))),"")</f>
        <v/>
      </c>
      <c r="O340" s="320" t="str" cm="1">
        <f t="array" ref="O340">_xlfn.IFNA(IF(INDEX(Tb_KostenOptiesDB[],MATCH($F340,Tb_KostenOptiesDB[KostenOptie],0),IFERROR(MATCH(Methode_Keuze,Tb_KostenOptiesDB[#Headers],0),2))=1,_xlfn.SWITCH($N340,"Uurtarief",IF(OR(AND(RIGHT($F340,3)="IKS",VLOOKUP($M340,DB_Loonkosten,2,0)="Ja"),AND(RIGHT($F340,3)&lt;&gt;"IKS",VLOOKUP($M340,DB_Loonkosten,2,0)="Nee")),IFERROR(VLOOKUP($M340,DB_Loonkosten,24,0),""),0),"Vast tarief",IF(LEFT(F340,8)="Bijdrage",VLOOKUP($F340,Tb_KostenTypen[],MATCH(Lijsten!$P$1,Tb_KostenTypen[#Headers],0),0),VLOOKUP($G340,Lijsten!L:P,MATCH(Lijsten!$P$1,Kop_Tarief_Vast,0),0))),""),"")</f>
        <v/>
      </c>
      <c r="P340" s="320" t="str" cm="1">
        <f t="array" ref="P340">_xlfn.IFNA(IF(INDEX(Tb_KostenOptiesDB[],MATCH($F340,Tb_KostenOptiesDB[KostenOptie],0),IFERROR(MATCH(Methode_Keuze,Tb_KostenOptiesDB[#Headers],0),2))=1,_xlfn.SWITCH($N340,"Uurtarief",IF(OR(AND(RIGHT($F340,3)="IKS",VLOOKUP($M340,DB_Loonkosten,2,0)="Ja"),AND(RIGHT($F340,3)&lt;&gt;"IKS",VLOOKUP($M340,DB_Loonkosten,2,0)="Nee")),IFERROR(VLOOKUP($M340,DB_Loonkosten,25,0),""),0),"Vast tarief",IF(LEFT(F340,8)="Bijdrage",VLOOKUP($F340,Tb_KostenTypen[],MATCH(Lijsten!$P$1,Tb_KostenTypen[#Headers],0),0),VLOOKUP($G340,Lijsten!L:P,MATCH(Lijsten!$P$1,Kop_Tarief_Vast,0),0))),""),"")</f>
        <v/>
      </c>
      <c r="Q340" s="359"/>
      <c r="R340" s="359"/>
      <c r="S340" s="321"/>
      <c r="T340" s="321"/>
      <c r="U340" s="373" t="str">
        <f t="shared" si="20"/>
        <v/>
      </c>
      <c r="V340" s="314" t="str">
        <f t="shared" si="21"/>
        <v/>
      </c>
      <c r="W340" s="314" t="str" cm="1">
        <f t="array" aca="1" ref="W340" ca="1">IFERROR(IF(AE340&lt;&gt;"ja",_xlfn.IFNA(_xlfn.IFS(AND(O340&lt;&gt;"",F340&lt;&gt;"",RIGHT($N340,6)="tarief",F340="Vergoeding"),SUM(O340)*FLOOR(SUM(Q340),0.0001),AND(O340&lt;&gt;"",F340&lt;&gt;"",RIGHT($N340,6)="tarief"),SUM(O340)*FLOOR(SUM(Q340),0.01),S340&gt;0,IF(F340&lt;&gt;"",FLOOR(SUM(S340),0.01),"")),""),""),"")</f>
        <v/>
      </c>
      <c r="X340" s="314" t="str" cm="1">
        <f t="array" aca="1" ref="X340" ca="1">IFERROR(IF(AE340&lt;&gt;"ja",_xlfn.IFNA(_xlfn.IFS(AND(P340&lt;&gt;"",R340&lt;&gt;"",RIGHT($N340,6)="tarief",F340="Vergoeding"),SUM(P340)*FLOOR(SUM(R340),0.0001),AND(P340&lt;&gt;"",R340&lt;&gt;"",RIGHT($N340,6)="tarief"),P340*FLOOR(R340,0.01),T340&gt;0,FLOOR(SUM(T340),0.01)),""),""),"")</f>
        <v/>
      </c>
      <c r="Y340" s="314" t="str">
        <f t="shared" ca="1" si="22"/>
        <v/>
      </c>
      <c r="Z340" s="314" t="str" cm="1">
        <f t="array" aca="1" ref="Z340" ca="1">IFERROR(_xlfn.IFS(OR(F340="",LEFT(Methode_Keuze,4)="Geen",Methode_Keuze=""),"",AND(W340&lt;&gt;"",F340&lt;&gt;"Arbeidskosten"),W340*VLOOKUP(F340,Tb_ProjectKosten[],MATCH(Tb_ProjectKosten[[#Headers],[Forfait_Percentage]],Tb_ProjectKosten[#Headers],0),0),AND(F340="Arbeidskosten",G340&lt;&gt;""),IFERROR(W340*VLOOKUP(G340,Tb_KostenTypen[],3,0)*VLOOKUP(F340,Tb_ProjectKosten[],MATCH(Tb_ProjectKosten[[#Headers],[Forfait_Percentage]],Tb_ProjectKosten[#Headers],0),0),""),W340 &lt;=0,0),"")</f>
        <v/>
      </c>
      <c r="AA340" s="314" t="str" cm="1">
        <f t="array" aca="1" ref="AA340" ca="1">IFERROR(_xlfn.IFS(OR(F340="",LEFT(Methode_Keuze,4)="Geen",Methode_Keuze=""),"",AND(X340&lt;&gt;"",F340&lt;&gt;"Arbeidskosten"),X340*VLOOKUP(F340,Tb_ProjectKosten[],MATCH(Tb_ProjectKosten[[#Headers],[Forfait_Percentage]],Tb_ProjectKosten[#Headers],0),0),AND(F340="Arbeidskosten",G340&lt;&gt;""),IFERROR(X340*VLOOKUP(G340,Tb_KostenTypen[],3,0)*VLOOKUP(F340,Tb_ProjectKosten[],MATCH(Tb_ProjectKosten[[#Headers],[Forfait_Percentage]],Tb_ProjectKosten[#Headers],0),0),""),X340 &lt;=0,0),"")</f>
        <v/>
      </c>
      <c r="AB340" s="314" t="str">
        <f t="shared" ca="1" si="23"/>
        <v/>
      </c>
      <c r="AC340" s="322"/>
      <c r="AD340" s="315"/>
      <c r="AE340" s="32" t="str" cm="1">
        <f t="array" ref="AE340">IFERROR(IF(INDEX(SubsidieTabel!$AD$1:$AG$12,MATCH($F340,SubsidieTabel!$AD$1:$AD$12,0),IFERROR(MATCH(Methode_Keuze,SubsidieTabel!$AD$1:$AG$1,0),2))&lt;&gt;1=TRUE,"ja",""),"")</f>
        <v/>
      </c>
    </row>
    <row r="341" spans="1:31" x14ac:dyDescent="0.25">
      <c r="A341" s="316"/>
      <c r="B341" s="317" t="str">
        <f>IF(A341&lt;&gt;"",_xlfn.MAXIFS($B$1:B340,$A$1:A340,A341)+1,"")</f>
        <v/>
      </c>
      <c r="C341" s="296"/>
      <c r="D341" s="296"/>
      <c r="E341" s="296"/>
      <c r="F341" s="296"/>
      <c r="G341" s="326"/>
      <c r="H341" s="324"/>
      <c r="I341" s="325"/>
      <c r="J341" s="325"/>
      <c r="K341" s="318"/>
      <c r="L341" s="318"/>
      <c r="M341" s="319" t="str">
        <f>IFERROR(VLOOKUP(H341,Lijsten!$H$1:$I$100,2,0),"")</f>
        <v/>
      </c>
      <c r="N341" s="319" t="str">
        <f ca="1">IFERROR(IF(VLOOKUP(F341,Kostentypen!$A$3:$E$21,3,0)=0,"",IF(OR(F341="Arbeidskosten",F341="Vergoeding"),VLOOKUP(G341,Tb_KostenTypen[],2,0),VLOOKUP(F341,Kostentypen!$A$3:$E$20,3,0))),"")</f>
        <v/>
      </c>
      <c r="O341" s="320" t="str" cm="1">
        <f t="array" ref="O341">_xlfn.IFNA(IF(INDEX(Tb_KostenOptiesDB[],MATCH($F341,Tb_KostenOptiesDB[KostenOptie],0),IFERROR(MATCH(Methode_Keuze,Tb_KostenOptiesDB[#Headers],0),2))=1,_xlfn.SWITCH($N341,"Uurtarief",IF(OR(AND(RIGHT($F341,3)="IKS",VLOOKUP($M341,DB_Loonkosten,2,0)="Ja"),AND(RIGHT($F341,3)&lt;&gt;"IKS",VLOOKUP($M341,DB_Loonkosten,2,0)="Nee")),IFERROR(VLOOKUP($M341,DB_Loonkosten,24,0),""),0),"Vast tarief",IF(LEFT(F341,8)="Bijdrage",VLOOKUP($F341,Tb_KostenTypen[],MATCH(Lijsten!$P$1,Tb_KostenTypen[#Headers],0),0),VLOOKUP($G341,Lijsten!L:P,MATCH(Lijsten!$P$1,Kop_Tarief_Vast,0),0))),""),"")</f>
        <v/>
      </c>
      <c r="P341" s="320" t="str" cm="1">
        <f t="array" ref="P341">_xlfn.IFNA(IF(INDEX(Tb_KostenOptiesDB[],MATCH($F341,Tb_KostenOptiesDB[KostenOptie],0),IFERROR(MATCH(Methode_Keuze,Tb_KostenOptiesDB[#Headers],0),2))=1,_xlfn.SWITCH($N341,"Uurtarief",IF(OR(AND(RIGHT($F341,3)="IKS",VLOOKUP($M341,DB_Loonkosten,2,0)="Ja"),AND(RIGHT($F341,3)&lt;&gt;"IKS",VLOOKUP($M341,DB_Loonkosten,2,0)="Nee")),IFERROR(VLOOKUP($M341,DB_Loonkosten,25,0),""),0),"Vast tarief",IF(LEFT(F341,8)="Bijdrage",VLOOKUP($F341,Tb_KostenTypen[],MATCH(Lijsten!$P$1,Tb_KostenTypen[#Headers],0),0),VLOOKUP($G341,Lijsten!L:P,MATCH(Lijsten!$P$1,Kop_Tarief_Vast,0),0))),""),"")</f>
        <v/>
      </c>
      <c r="Q341" s="359"/>
      <c r="R341" s="359"/>
      <c r="S341" s="321"/>
      <c r="T341" s="321"/>
      <c r="U341" s="373" t="str">
        <f t="shared" si="20"/>
        <v/>
      </c>
      <c r="V341" s="314" t="str">
        <f t="shared" si="21"/>
        <v/>
      </c>
      <c r="W341" s="314" t="str" cm="1">
        <f t="array" aca="1" ref="W341" ca="1">IFERROR(IF(AE341&lt;&gt;"ja",_xlfn.IFNA(_xlfn.IFS(AND(O341&lt;&gt;"",F341&lt;&gt;"",RIGHT($N341,6)="tarief",F341="Vergoeding"),SUM(O341)*FLOOR(SUM(Q341),0.0001),AND(O341&lt;&gt;"",F341&lt;&gt;"",RIGHT($N341,6)="tarief"),SUM(O341)*FLOOR(SUM(Q341),0.01),S341&gt;0,IF(F341&lt;&gt;"",FLOOR(SUM(S341),0.01),"")),""),""),"")</f>
        <v/>
      </c>
      <c r="X341" s="314" t="str" cm="1">
        <f t="array" aca="1" ref="X341" ca="1">IFERROR(IF(AE341&lt;&gt;"ja",_xlfn.IFNA(_xlfn.IFS(AND(P341&lt;&gt;"",R341&lt;&gt;"",RIGHT($N341,6)="tarief",F341="Vergoeding"),SUM(P341)*FLOOR(SUM(R341),0.0001),AND(P341&lt;&gt;"",R341&lt;&gt;"",RIGHT($N341,6)="tarief"),P341*FLOOR(R341,0.01),T341&gt;0,FLOOR(SUM(T341),0.01)),""),""),"")</f>
        <v/>
      </c>
      <c r="Y341" s="314" t="str">
        <f t="shared" ca="1" si="22"/>
        <v/>
      </c>
      <c r="Z341" s="314" t="str" cm="1">
        <f t="array" aca="1" ref="Z341" ca="1">IFERROR(_xlfn.IFS(OR(F341="",LEFT(Methode_Keuze,4)="Geen",Methode_Keuze=""),"",AND(W341&lt;&gt;"",F341&lt;&gt;"Arbeidskosten"),W341*VLOOKUP(F341,Tb_ProjectKosten[],MATCH(Tb_ProjectKosten[[#Headers],[Forfait_Percentage]],Tb_ProjectKosten[#Headers],0),0),AND(F341="Arbeidskosten",G341&lt;&gt;""),IFERROR(W341*VLOOKUP(G341,Tb_KostenTypen[],3,0)*VLOOKUP(F341,Tb_ProjectKosten[],MATCH(Tb_ProjectKosten[[#Headers],[Forfait_Percentage]],Tb_ProjectKosten[#Headers],0),0),""),W341 &lt;=0,0),"")</f>
        <v/>
      </c>
      <c r="AA341" s="314" t="str" cm="1">
        <f t="array" aca="1" ref="AA341" ca="1">IFERROR(_xlfn.IFS(OR(F341="",LEFT(Methode_Keuze,4)="Geen",Methode_Keuze=""),"",AND(X341&lt;&gt;"",F341&lt;&gt;"Arbeidskosten"),X341*VLOOKUP(F341,Tb_ProjectKosten[],MATCH(Tb_ProjectKosten[[#Headers],[Forfait_Percentage]],Tb_ProjectKosten[#Headers],0),0),AND(F341="Arbeidskosten",G341&lt;&gt;""),IFERROR(X341*VLOOKUP(G341,Tb_KostenTypen[],3,0)*VLOOKUP(F341,Tb_ProjectKosten[],MATCH(Tb_ProjectKosten[[#Headers],[Forfait_Percentage]],Tb_ProjectKosten[#Headers],0),0),""),X341 &lt;=0,0),"")</f>
        <v/>
      </c>
      <c r="AB341" s="314" t="str">
        <f t="shared" ca="1" si="23"/>
        <v/>
      </c>
      <c r="AC341" s="322"/>
      <c r="AD341" s="315"/>
      <c r="AE341" s="32" t="str" cm="1">
        <f t="array" ref="AE341">IFERROR(IF(INDEX(SubsidieTabel!$AD$1:$AG$12,MATCH($F341,SubsidieTabel!$AD$1:$AD$12,0),IFERROR(MATCH(Methode_Keuze,SubsidieTabel!$AD$1:$AG$1,0),2))&lt;&gt;1=TRUE,"ja",""),"")</f>
        <v/>
      </c>
    </row>
    <row r="342" spans="1:31" x14ac:dyDescent="0.25">
      <c r="A342" s="316"/>
      <c r="B342" s="317" t="str">
        <f>IF(A342&lt;&gt;"",_xlfn.MAXIFS($B$1:B341,$A$1:A341,A342)+1,"")</f>
        <v/>
      </c>
      <c r="C342" s="296"/>
      <c r="D342" s="296"/>
      <c r="E342" s="296"/>
      <c r="F342" s="296"/>
      <c r="G342" s="326"/>
      <c r="H342" s="324"/>
      <c r="I342" s="325"/>
      <c r="J342" s="325"/>
      <c r="K342" s="318"/>
      <c r="L342" s="318"/>
      <c r="M342" s="319" t="str">
        <f>IFERROR(VLOOKUP(H342,Lijsten!$H$1:$I$100,2,0),"")</f>
        <v/>
      </c>
      <c r="N342" s="319" t="str">
        <f ca="1">IFERROR(IF(VLOOKUP(F342,Kostentypen!$A$3:$E$21,3,0)=0,"",IF(OR(F342="Arbeidskosten",F342="Vergoeding"),VLOOKUP(G342,Tb_KostenTypen[],2,0),VLOOKUP(F342,Kostentypen!$A$3:$E$20,3,0))),"")</f>
        <v/>
      </c>
      <c r="O342" s="320" t="str" cm="1">
        <f t="array" ref="O342">_xlfn.IFNA(IF(INDEX(Tb_KostenOptiesDB[],MATCH($F342,Tb_KostenOptiesDB[KostenOptie],0),IFERROR(MATCH(Methode_Keuze,Tb_KostenOptiesDB[#Headers],0),2))=1,_xlfn.SWITCH($N342,"Uurtarief",IF(OR(AND(RIGHT($F342,3)="IKS",VLOOKUP($M342,DB_Loonkosten,2,0)="Ja"),AND(RIGHT($F342,3)&lt;&gt;"IKS",VLOOKUP($M342,DB_Loonkosten,2,0)="Nee")),IFERROR(VLOOKUP($M342,DB_Loonkosten,24,0),""),0),"Vast tarief",IF(LEFT(F342,8)="Bijdrage",VLOOKUP($F342,Tb_KostenTypen[],MATCH(Lijsten!$P$1,Tb_KostenTypen[#Headers],0),0),VLOOKUP($G342,Lijsten!L:P,MATCH(Lijsten!$P$1,Kop_Tarief_Vast,0),0))),""),"")</f>
        <v/>
      </c>
      <c r="P342" s="320" t="str" cm="1">
        <f t="array" ref="P342">_xlfn.IFNA(IF(INDEX(Tb_KostenOptiesDB[],MATCH($F342,Tb_KostenOptiesDB[KostenOptie],0),IFERROR(MATCH(Methode_Keuze,Tb_KostenOptiesDB[#Headers],0),2))=1,_xlfn.SWITCH($N342,"Uurtarief",IF(OR(AND(RIGHT($F342,3)="IKS",VLOOKUP($M342,DB_Loonkosten,2,0)="Ja"),AND(RIGHT($F342,3)&lt;&gt;"IKS",VLOOKUP($M342,DB_Loonkosten,2,0)="Nee")),IFERROR(VLOOKUP($M342,DB_Loonkosten,25,0),""),0),"Vast tarief",IF(LEFT(F342,8)="Bijdrage",VLOOKUP($F342,Tb_KostenTypen[],MATCH(Lijsten!$P$1,Tb_KostenTypen[#Headers],0),0),VLOOKUP($G342,Lijsten!L:P,MATCH(Lijsten!$P$1,Kop_Tarief_Vast,0),0))),""),"")</f>
        <v/>
      </c>
      <c r="Q342" s="359"/>
      <c r="R342" s="359"/>
      <c r="S342" s="321"/>
      <c r="T342" s="321"/>
      <c r="U342" s="373" t="str">
        <f t="shared" si="20"/>
        <v/>
      </c>
      <c r="V342" s="314" t="str">
        <f t="shared" si="21"/>
        <v/>
      </c>
      <c r="W342" s="314" t="str" cm="1">
        <f t="array" aca="1" ref="W342" ca="1">IFERROR(IF(AE342&lt;&gt;"ja",_xlfn.IFNA(_xlfn.IFS(AND(O342&lt;&gt;"",F342&lt;&gt;"",RIGHT($N342,6)="tarief",F342="Vergoeding"),SUM(O342)*FLOOR(SUM(Q342),0.0001),AND(O342&lt;&gt;"",F342&lt;&gt;"",RIGHT($N342,6)="tarief"),SUM(O342)*FLOOR(SUM(Q342),0.01),S342&gt;0,IF(F342&lt;&gt;"",FLOOR(SUM(S342),0.01),"")),""),""),"")</f>
        <v/>
      </c>
      <c r="X342" s="314" t="str" cm="1">
        <f t="array" aca="1" ref="X342" ca="1">IFERROR(IF(AE342&lt;&gt;"ja",_xlfn.IFNA(_xlfn.IFS(AND(P342&lt;&gt;"",R342&lt;&gt;"",RIGHT($N342,6)="tarief",F342="Vergoeding"),SUM(P342)*FLOOR(SUM(R342),0.0001),AND(P342&lt;&gt;"",R342&lt;&gt;"",RIGHT($N342,6)="tarief"),P342*FLOOR(R342,0.01),T342&gt;0,FLOOR(SUM(T342),0.01)),""),""),"")</f>
        <v/>
      </c>
      <c r="Y342" s="314" t="str">
        <f t="shared" ca="1" si="22"/>
        <v/>
      </c>
      <c r="Z342" s="314" t="str" cm="1">
        <f t="array" aca="1" ref="Z342" ca="1">IFERROR(_xlfn.IFS(OR(F342="",LEFT(Methode_Keuze,4)="Geen",Methode_Keuze=""),"",AND(W342&lt;&gt;"",F342&lt;&gt;"Arbeidskosten"),W342*VLOOKUP(F342,Tb_ProjectKosten[],MATCH(Tb_ProjectKosten[[#Headers],[Forfait_Percentage]],Tb_ProjectKosten[#Headers],0),0),AND(F342="Arbeidskosten",G342&lt;&gt;""),IFERROR(W342*VLOOKUP(G342,Tb_KostenTypen[],3,0)*VLOOKUP(F342,Tb_ProjectKosten[],MATCH(Tb_ProjectKosten[[#Headers],[Forfait_Percentage]],Tb_ProjectKosten[#Headers],0),0),""),W342 &lt;=0,0),"")</f>
        <v/>
      </c>
      <c r="AA342" s="314" t="str" cm="1">
        <f t="array" aca="1" ref="AA342" ca="1">IFERROR(_xlfn.IFS(OR(F342="",LEFT(Methode_Keuze,4)="Geen",Methode_Keuze=""),"",AND(X342&lt;&gt;"",F342&lt;&gt;"Arbeidskosten"),X342*VLOOKUP(F342,Tb_ProjectKosten[],MATCH(Tb_ProjectKosten[[#Headers],[Forfait_Percentage]],Tb_ProjectKosten[#Headers],0),0),AND(F342="Arbeidskosten",G342&lt;&gt;""),IFERROR(X342*VLOOKUP(G342,Tb_KostenTypen[],3,0)*VLOOKUP(F342,Tb_ProjectKosten[],MATCH(Tb_ProjectKosten[[#Headers],[Forfait_Percentage]],Tb_ProjectKosten[#Headers],0),0),""),X342 &lt;=0,0),"")</f>
        <v/>
      </c>
      <c r="AB342" s="314" t="str">
        <f t="shared" ca="1" si="23"/>
        <v/>
      </c>
      <c r="AC342" s="322"/>
      <c r="AD342" s="315"/>
      <c r="AE342" s="32" t="str" cm="1">
        <f t="array" ref="AE342">IFERROR(IF(INDEX(SubsidieTabel!$AD$1:$AG$12,MATCH($F342,SubsidieTabel!$AD$1:$AD$12,0),IFERROR(MATCH(Methode_Keuze,SubsidieTabel!$AD$1:$AG$1,0),2))&lt;&gt;1=TRUE,"ja",""),"")</f>
        <v/>
      </c>
    </row>
    <row r="343" spans="1:31" x14ac:dyDescent="0.25">
      <c r="A343" s="316"/>
      <c r="B343" s="317" t="str">
        <f>IF(A343&lt;&gt;"",_xlfn.MAXIFS($B$1:B342,$A$1:A342,A343)+1,"")</f>
        <v/>
      </c>
      <c r="C343" s="296"/>
      <c r="D343" s="296"/>
      <c r="E343" s="296"/>
      <c r="F343" s="296"/>
      <c r="G343" s="326"/>
      <c r="H343" s="324"/>
      <c r="I343" s="325"/>
      <c r="J343" s="325"/>
      <c r="K343" s="318"/>
      <c r="L343" s="318"/>
      <c r="M343" s="319" t="str">
        <f>IFERROR(VLOOKUP(H343,Lijsten!$H$1:$I$100,2,0),"")</f>
        <v/>
      </c>
      <c r="N343" s="319" t="str">
        <f ca="1">IFERROR(IF(VLOOKUP(F343,Kostentypen!$A$3:$E$21,3,0)=0,"",IF(OR(F343="Arbeidskosten",F343="Vergoeding"),VLOOKUP(G343,Tb_KostenTypen[],2,0),VLOOKUP(F343,Kostentypen!$A$3:$E$20,3,0))),"")</f>
        <v/>
      </c>
      <c r="O343" s="320" t="str" cm="1">
        <f t="array" ref="O343">_xlfn.IFNA(IF(INDEX(Tb_KostenOptiesDB[],MATCH($F343,Tb_KostenOptiesDB[KostenOptie],0),IFERROR(MATCH(Methode_Keuze,Tb_KostenOptiesDB[#Headers],0),2))=1,_xlfn.SWITCH($N343,"Uurtarief",IF(OR(AND(RIGHT($F343,3)="IKS",VLOOKUP($M343,DB_Loonkosten,2,0)="Ja"),AND(RIGHT($F343,3)&lt;&gt;"IKS",VLOOKUP($M343,DB_Loonkosten,2,0)="Nee")),IFERROR(VLOOKUP($M343,DB_Loonkosten,24,0),""),0),"Vast tarief",IF(LEFT(F343,8)="Bijdrage",VLOOKUP($F343,Tb_KostenTypen[],MATCH(Lijsten!$P$1,Tb_KostenTypen[#Headers],0),0),VLOOKUP($G343,Lijsten!L:P,MATCH(Lijsten!$P$1,Kop_Tarief_Vast,0),0))),""),"")</f>
        <v/>
      </c>
      <c r="P343" s="320" t="str" cm="1">
        <f t="array" ref="P343">_xlfn.IFNA(IF(INDEX(Tb_KostenOptiesDB[],MATCH($F343,Tb_KostenOptiesDB[KostenOptie],0),IFERROR(MATCH(Methode_Keuze,Tb_KostenOptiesDB[#Headers],0),2))=1,_xlfn.SWITCH($N343,"Uurtarief",IF(OR(AND(RIGHT($F343,3)="IKS",VLOOKUP($M343,DB_Loonkosten,2,0)="Ja"),AND(RIGHT($F343,3)&lt;&gt;"IKS",VLOOKUP($M343,DB_Loonkosten,2,0)="Nee")),IFERROR(VLOOKUP($M343,DB_Loonkosten,25,0),""),0),"Vast tarief",IF(LEFT(F343,8)="Bijdrage",VLOOKUP($F343,Tb_KostenTypen[],MATCH(Lijsten!$P$1,Tb_KostenTypen[#Headers],0),0),VLOOKUP($G343,Lijsten!L:P,MATCH(Lijsten!$P$1,Kop_Tarief_Vast,0),0))),""),"")</f>
        <v/>
      </c>
      <c r="Q343" s="359"/>
      <c r="R343" s="359"/>
      <c r="S343" s="321"/>
      <c r="T343" s="321"/>
      <c r="U343" s="373" t="str">
        <f t="shared" si="20"/>
        <v/>
      </c>
      <c r="V343" s="314" t="str">
        <f t="shared" si="21"/>
        <v/>
      </c>
      <c r="W343" s="314" t="str" cm="1">
        <f t="array" aca="1" ref="W343" ca="1">IFERROR(IF(AE343&lt;&gt;"ja",_xlfn.IFNA(_xlfn.IFS(AND(O343&lt;&gt;"",F343&lt;&gt;"",RIGHT($N343,6)="tarief",F343="Vergoeding"),SUM(O343)*FLOOR(SUM(Q343),0.0001),AND(O343&lt;&gt;"",F343&lt;&gt;"",RIGHT($N343,6)="tarief"),SUM(O343)*FLOOR(SUM(Q343),0.01),S343&gt;0,IF(F343&lt;&gt;"",FLOOR(SUM(S343),0.01),"")),""),""),"")</f>
        <v/>
      </c>
      <c r="X343" s="314" t="str" cm="1">
        <f t="array" aca="1" ref="X343" ca="1">IFERROR(IF(AE343&lt;&gt;"ja",_xlfn.IFNA(_xlfn.IFS(AND(P343&lt;&gt;"",R343&lt;&gt;"",RIGHT($N343,6)="tarief",F343="Vergoeding"),SUM(P343)*FLOOR(SUM(R343),0.0001),AND(P343&lt;&gt;"",R343&lt;&gt;"",RIGHT($N343,6)="tarief"),P343*FLOOR(R343,0.01),T343&gt;0,FLOOR(SUM(T343),0.01)),""),""),"")</f>
        <v/>
      </c>
      <c r="Y343" s="314" t="str">
        <f t="shared" ca="1" si="22"/>
        <v/>
      </c>
      <c r="Z343" s="314" t="str" cm="1">
        <f t="array" aca="1" ref="Z343" ca="1">IFERROR(_xlfn.IFS(OR(F343="",LEFT(Methode_Keuze,4)="Geen",Methode_Keuze=""),"",AND(W343&lt;&gt;"",F343&lt;&gt;"Arbeidskosten"),W343*VLOOKUP(F343,Tb_ProjectKosten[],MATCH(Tb_ProjectKosten[[#Headers],[Forfait_Percentage]],Tb_ProjectKosten[#Headers],0),0),AND(F343="Arbeidskosten",G343&lt;&gt;""),IFERROR(W343*VLOOKUP(G343,Tb_KostenTypen[],3,0)*VLOOKUP(F343,Tb_ProjectKosten[],MATCH(Tb_ProjectKosten[[#Headers],[Forfait_Percentage]],Tb_ProjectKosten[#Headers],0),0),""),W343 &lt;=0,0),"")</f>
        <v/>
      </c>
      <c r="AA343" s="314" t="str" cm="1">
        <f t="array" aca="1" ref="AA343" ca="1">IFERROR(_xlfn.IFS(OR(F343="",LEFT(Methode_Keuze,4)="Geen",Methode_Keuze=""),"",AND(X343&lt;&gt;"",F343&lt;&gt;"Arbeidskosten"),X343*VLOOKUP(F343,Tb_ProjectKosten[],MATCH(Tb_ProjectKosten[[#Headers],[Forfait_Percentage]],Tb_ProjectKosten[#Headers],0),0),AND(F343="Arbeidskosten",G343&lt;&gt;""),IFERROR(X343*VLOOKUP(G343,Tb_KostenTypen[],3,0)*VLOOKUP(F343,Tb_ProjectKosten[],MATCH(Tb_ProjectKosten[[#Headers],[Forfait_Percentage]],Tb_ProjectKosten[#Headers],0),0),""),X343 &lt;=0,0),"")</f>
        <v/>
      </c>
      <c r="AB343" s="314" t="str">
        <f t="shared" ca="1" si="23"/>
        <v/>
      </c>
      <c r="AC343" s="322"/>
      <c r="AD343" s="315"/>
      <c r="AE343" s="32" t="str" cm="1">
        <f t="array" ref="AE343">IFERROR(IF(INDEX(SubsidieTabel!$AD$1:$AG$12,MATCH($F343,SubsidieTabel!$AD$1:$AD$12,0),IFERROR(MATCH(Methode_Keuze,SubsidieTabel!$AD$1:$AG$1,0),2))&lt;&gt;1=TRUE,"ja",""),"")</f>
        <v/>
      </c>
    </row>
    <row r="344" spans="1:31" x14ac:dyDescent="0.25">
      <c r="A344" s="316"/>
      <c r="B344" s="317" t="str">
        <f>IF(A344&lt;&gt;"",_xlfn.MAXIFS($B$1:B343,$A$1:A343,A344)+1,"")</f>
        <v/>
      </c>
      <c r="C344" s="296"/>
      <c r="D344" s="296"/>
      <c r="E344" s="296"/>
      <c r="F344" s="296"/>
      <c r="G344" s="326"/>
      <c r="H344" s="324"/>
      <c r="I344" s="325"/>
      <c r="J344" s="325"/>
      <c r="K344" s="318"/>
      <c r="L344" s="318"/>
      <c r="M344" s="319" t="str">
        <f>IFERROR(VLOOKUP(H344,Lijsten!$H$1:$I$100,2,0),"")</f>
        <v/>
      </c>
      <c r="N344" s="319" t="str">
        <f ca="1">IFERROR(IF(VLOOKUP(F344,Kostentypen!$A$3:$E$21,3,0)=0,"",IF(OR(F344="Arbeidskosten",F344="Vergoeding"),VLOOKUP(G344,Tb_KostenTypen[],2,0),VLOOKUP(F344,Kostentypen!$A$3:$E$20,3,0))),"")</f>
        <v/>
      </c>
      <c r="O344" s="320" t="str" cm="1">
        <f t="array" ref="O344">_xlfn.IFNA(IF(INDEX(Tb_KostenOptiesDB[],MATCH($F344,Tb_KostenOptiesDB[KostenOptie],0),IFERROR(MATCH(Methode_Keuze,Tb_KostenOptiesDB[#Headers],0),2))=1,_xlfn.SWITCH($N344,"Uurtarief",IF(OR(AND(RIGHT($F344,3)="IKS",VLOOKUP($M344,DB_Loonkosten,2,0)="Ja"),AND(RIGHT($F344,3)&lt;&gt;"IKS",VLOOKUP($M344,DB_Loonkosten,2,0)="Nee")),IFERROR(VLOOKUP($M344,DB_Loonkosten,24,0),""),0),"Vast tarief",IF(LEFT(F344,8)="Bijdrage",VLOOKUP($F344,Tb_KostenTypen[],MATCH(Lijsten!$P$1,Tb_KostenTypen[#Headers],0),0),VLOOKUP($G344,Lijsten!L:P,MATCH(Lijsten!$P$1,Kop_Tarief_Vast,0),0))),""),"")</f>
        <v/>
      </c>
      <c r="P344" s="320" t="str" cm="1">
        <f t="array" ref="P344">_xlfn.IFNA(IF(INDEX(Tb_KostenOptiesDB[],MATCH($F344,Tb_KostenOptiesDB[KostenOptie],0),IFERROR(MATCH(Methode_Keuze,Tb_KostenOptiesDB[#Headers],0),2))=1,_xlfn.SWITCH($N344,"Uurtarief",IF(OR(AND(RIGHT($F344,3)="IKS",VLOOKUP($M344,DB_Loonkosten,2,0)="Ja"),AND(RIGHT($F344,3)&lt;&gt;"IKS",VLOOKUP($M344,DB_Loonkosten,2,0)="Nee")),IFERROR(VLOOKUP($M344,DB_Loonkosten,25,0),""),0),"Vast tarief",IF(LEFT(F344,8)="Bijdrage",VLOOKUP($F344,Tb_KostenTypen[],MATCH(Lijsten!$P$1,Tb_KostenTypen[#Headers],0),0),VLOOKUP($G344,Lijsten!L:P,MATCH(Lijsten!$P$1,Kop_Tarief_Vast,0),0))),""),"")</f>
        <v/>
      </c>
      <c r="Q344" s="359"/>
      <c r="R344" s="359"/>
      <c r="S344" s="321"/>
      <c r="T344" s="321"/>
      <c r="U344" s="373" t="str">
        <f t="shared" si="20"/>
        <v/>
      </c>
      <c r="V344" s="314" t="str">
        <f t="shared" si="21"/>
        <v/>
      </c>
      <c r="W344" s="314" t="str" cm="1">
        <f t="array" aca="1" ref="W344" ca="1">IFERROR(IF(AE344&lt;&gt;"ja",_xlfn.IFNA(_xlfn.IFS(AND(O344&lt;&gt;"",F344&lt;&gt;"",RIGHT($N344,6)="tarief",F344="Vergoeding"),SUM(O344)*FLOOR(SUM(Q344),0.0001),AND(O344&lt;&gt;"",F344&lt;&gt;"",RIGHT($N344,6)="tarief"),SUM(O344)*FLOOR(SUM(Q344),0.01),S344&gt;0,IF(F344&lt;&gt;"",FLOOR(SUM(S344),0.01),"")),""),""),"")</f>
        <v/>
      </c>
      <c r="X344" s="314" t="str" cm="1">
        <f t="array" aca="1" ref="X344" ca="1">IFERROR(IF(AE344&lt;&gt;"ja",_xlfn.IFNA(_xlfn.IFS(AND(P344&lt;&gt;"",R344&lt;&gt;"",RIGHT($N344,6)="tarief",F344="Vergoeding"),SUM(P344)*FLOOR(SUM(R344),0.0001),AND(P344&lt;&gt;"",R344&lt;&gt;"",RIGHT($N344,6)="tarief"),P344*FLOOR(R344,0.01),T344&gt;0,FLOOR(SUM(T344),0.01)),""),""),"")</f>
        <v/>
      </c>
      <c r="Y344" s="314" t="str">
        <f t="shared" ca="1" si="22"/>
        <v/>
      </c>
      <c r="Z344" s="314" t="str" cm="1">
        <f t="array" aca="1" ref="Z344" ca="1">IFERROR(_xlfn.IFS(OR(F344="",LEFT(Methode_Keuze,4)="Geen",Methode_Keuze=""),"",AND(W344&lt;&gt;"",F344&lt;&gt;"Arbeidskosten"),W344*VLOOKUP(F344,Tb_ProjectKosten[],MATCH(Tb_ProjectKosten[[#Headers],[Forfait_Percentage]],Tb_ProjectKosten[#Headers],0),0),AND(F344="Arbeidskosten",G344&lt;&gt;""),IFERROR(W344*VLOOKUP(G344,Tb_KostenTypen[],3,0)*VLOOKUP(F344,Tb_ProjectKosten[],MATCH(Tb_ProjectKosten[[#Headers],[Forfait_Percentage]],Tb_ProjectKosten[#Headers],0),0),""),W344 &lt;=0,0),"")</f>
        <v/>
      </c>
      <c r="AA344" s="314" t="str" cm="1">
        <f t="array" aca="1" ref="AA344" ca="1">IFERROR(_xlfn.IFS(OR(F344="",LEFT(Methode_Keuze,4)="Geen",Methode_Keuze=""),"",AND(X344&lt;&gt;"",F344&lt;&gt;"Arbeidskosten"),X344*VLOOKUP(F344,Tb_ProjectKosten[],MATCH(Tb_ProjectKosten[[#Headers],[Forfait_Percentage]],Tb_ProjectKosten[#Headers],0),0),AND(F344="Arbeidskosten",G344&lt;&gt;""),IFERROR(X344*VLOOKUP(G344,Tb_KostenTypen[],3,0)*VLOOKUP(F344,Tb_ProjectKosten[],MATCH(Tb_ProjectKosten[[#Headers],[Forfait_Percentage]],Tb_ProjectKosten[#Headers],0),0),""),X344 &lt;=0,0),"")</f>
        <v/>
      </c>
      <c r="AB344" s="314" t="str">
        <f t="shared" ca="1" si="23"/>
        <v/>
      </c>
      <c r="AC344" s="322"/>
      <c r="AD344" s="315"/>
      <c r="AE344" s="32" t="str" cm="1">
        <f t="array" ref="AE344">IFERROR(IF(INDEX(SubsidieTabel!$AD$1:$AG$12,MATCH($F344,SubsidieTabel!$AD$1:$AD$12,0),IFERROR(MATCH(Methode_Keuze,SubsidieTabel!$AD$1:$AG$1,0),2))&lt;&gt;1=TRUE,"ja",""),"")</f>
        <v/>
      </c>
    </row>
    <row r="345" spans="1:31" x14ac:dyDescent="0.25">
      <c r="A345" s="316"/>
      <c r="B345" s="317" t="str">
        <f>IF(A345&lt;&gt;"",_xlfn.MAXIFS($B$1:B344,$A$1:A344,A345)+1,"")</f>
        <v/>
      </c>
      <c r="C345" s="296"/>
      <c r="D345" s="296"/>
      <c r="E345" s="296"/>
      <c r="F345" s="296"/>
      <c r="G345" s="326"/>
      <c r="H345" s="324"/>
      <c r="I345" s="325"/>
      <c r="J345" s="325"/>
      <c r="K345" s="318"/>
      <c r="L345" s="318"/>
      <c r="M345" s="319" t="str">
        <f>IFERROR(VLOOKUP(H345,Lijsten!$H$1:$I$100,2,0),"")</f>
        <v/>
      </c>
      <c r="N345" s="319" t="str">
        <f ca="1">IFERROR(IF(VLOOKUP(F345,Kostentypen!$A$3:$E$21,3,0)=0,"",IF(OR(F345="Arbeidskosten",F345="Vergoeding"),VLOOKUP(G345,Tb_KostenTypen[],2,0),VLOOKUP(F345,Kostentypen!$A$3:$E$20,3,0))),"")</f>
        <v/>
      </c>
      <c r="O345" s="320" t="str" cm="1">
        <f t="array" ref="O345">_xlfn.IFNA(IF(INDEX(Tb_KostenOptiesDB[],MATCH($F345,Tb_KostenOptiesDB[KostenOptie],0),IFERROR(MATCH(Methode_Keuze,Tb_KostenOptiesDB[#Headers],0),2))=1,_xlfn.SWITCH($N345,"Uurtarief",IF(OR(AND(RIGHT($F345,3)="IKS",VLOOKUP($M345,DB_Loonkosten,2,0)="Ja"),AND(RIGHT($F345,3)&lt;&gt;"IKS",VLOOKUP($M345,DB_Loonkosten,2,0)="Nee")),IFERROR(VLOOKUP($M345,DB_Loonkosten,24,0),""),0),"Vast tarief",IF(LEFT(F345,8)="Bijdrage",VLOOKUP($F345,Tb_KostenTypen[],MATCH(Lijsten!$P$1,Tb_KostenTypen[#Headers],0),0),VLOOKUP($G345,Lijsten!L:P,MATCH(Lijsten!$P$1,Kop_Tarief_Vast,0),0))),""),"")</f>
        <v/>
      </c>
      <c r="P345" s="320" t="str" cm="1">
        <f t="array" ref="P345">_xlfn.IFNA(IF(INDEX(Tb_KostenOptiesDB[],MATCH($F345,Tb_KostenOptiesDB[KostenOptie],0),IFERROR(MATCH(Methode_Keuze,Tb_KostenOptiesDB[#Headers],0),2))=1,_xlfn.SWITCH($N345,"Uurtarief",IF(OR(AND(RIGHT($F345,3)="IKS",VLOOKUP($M345,DB_Loonkosten,2,0)="Ja"),AND(RIGHT($F345,3)&lt;&gt;"IKS",VLOOKUP($M345,DB_Loonkosten,2,0)="Nee")),IFERROR(VLOOKUP($M345,DB_Loonkosten,25,0),""),0),"Vast tarief",IF(LEFT(F345,8)="Bijdrage",VLOOKUP($F345,Tb_KostenTypen[],MATCH(Lijsten!$P$1,Tb_KostenTypen[#Headers],0),0),VLOOKUP($G345,Lijsten!L:P,MATCH(Lijsten!$P$1,Kop_Tarief_Vast,0),0))),""),"")</f>
        <v/>
      </c>
      <c r="Q345" s="359"/>
      <c r="R345" s="359"/>
      <c r="S345" s="321"/>
      <c r="T345" s="321"/>
      <c r="U345" s="373" t="str">
        <f t="shared" si="20"/>
        <v/>
      </c>
      <c r="V345" s="314" t="str">
        <f t="shared" si="21"/>
        <v/>
      </c>
      <c r="W345" s="314" t="str" cm="1">
        <f t="array" aca="1" ref="W345" ca="1">IFERROR(IF(AE345&lt;&gt;"ja",_xlfn.IFNA(_xlfn.IFS(AND(O345&lt;&gt;"",F345&lt;&gt;"",RIGHT($N345,6)="tarief",F345="Vergoeding"),SUM(O345)*FLOOR(SUM(Q345),0.0001),AND(O345&lt;&gt;"",F345&lt;&gt;"",RIGHT($N345,6)="tarief"),SUM(O345)*FLOOR(SUM(Q345),0.01),S345&gt;0,IF(F345&lt;&gt;"",FLOOR(SUM(S345),0.01),"")),""),""),"")</f>
        <v/>
      </c>
      <c r="X345" s="314" t="str" cm="1">
        <f t="array" aca="1" ref="X345" ca="1">IFERROR(IF(AE345&lt;&gt;"ja",_xlfn.IFNA(_xlfn.IFS(AND(P345&lt;&gt;"",R345&lt;&gt;"",RIGHT($N345,6)="tarief",F345="Vergoeding"),SUM(P345)*FLOOR(SUM(R345),0.0001),AND(P345&lt;&gt;"",R345&lt;&gt;"",RIGHT($N345,6)="tarief"),P345*FLOOR(R345,0.01),T345&gt;0,FLOOR(SUM(T345),0.01)),""),""),"")</f>
        <v/>
      </c>
      <c r="Y345" s="314" t="str">
        <f t="shared" ca="1" si="22"/>
        <v/>
      </c>
      <c r="Z345" s="314" t="str" cm="1">
        <f t="array" aca="1" ref="Z345" ca="1">IFERROR(_xlfn.IFS(OR(F345="",LEFT(Methode_Keuze,4)="Geen",Methode_Keuze=""),"",AND(W345&lt;&gt;"",F345&lt;&gt;"Arbeidskosten"),W345*VLOOKUP(F345,Tb_ProjectKosten[],MATCH(Tb_ProjectKosten[[#Headers],[Forfait_Percentage]],Tb_ProjectKosten[#Headers],0),0),AND(F345="Arbeidskosten",G345&lt;&gt;""),IFERROR(W345*VLOOKUP(G345,Tb_KostenTypen[],3,0)*VLOOKUP(F345,Tb_ProjectKosten[],MATCH(Tb_ProjectKosten[[#Headers],[Forfait_Percentage]],Tb_ProjectKosten[#Headers],0),0),""),W345 &lt;=0,0),"")</f>
        <v/>
      </c>
      <c r="AA345" s="314" t="str" cm="1">
        <f t="array" aca="1" ref="AA345" ca="1">IFERROR(_xlfn.IFS(OR(F345="",LEFT(Methode_Keuze,4)="Geen",Methode_Keuze=""),"",AND(X345&lt;&gt;"",F345&lt;&gt;"Arbeidskosten"),X345*VLOOKUP(F345,Tb_ProjectKosten[],MATCH(Tb_ProjectKosten[[#Headers],[Forfait_Percentage]],Tb_ProjectKosten[#Headers],0),0),AND(F345="Arbeidskosten",G345&lt;&gt;""),IFERROR(X345*VLOOKUP(G345,Tb_KostenTypen[],3,0)*VLOOKUP(F345,Tb_ProjectKosten[],MATCH(Tb_ProjectKosten[[#Headers],[Forfait_Percentage]],Tb_ProjectKosten[#Headers],0),0),""),X345 &lt;=0,0),"")</f>
        <v/>
      </c>
      <c r="AB345" s="314" t="str">
        <f t="shared" ca="1" si="23"/>
        <v/>
      </c>
      <c r="AC345" s="322"/>
      <c r="AD345" s="315"/>
      <c r="AE345" s="32" t="str" cm="1">
        <f t="array" ref="AE345">IFERROR(IF(INDEX(SubsidieTabel!$AD$1:$AG$12,MATCH($F345,SubsidieTabel!$AD$1:$AD$12,0),IFERROR(MATCH(Methode_Keuze,SubsidieTabel!$AD$1:$AG$1,0),2))&lt;&gt;1=TRUE,"ja",""),"")</f>
        <v/>
      </c>
    </row>
    <row r="346" spans="1:31" x14ac:dyDescent="0.25">
      <c r="A346" s="316"/>
      <c r="B346" s="317" t="str">
        <f>IF(A346&lt;&gt;"",_xlfn.MAXIFS($B$1:B345,$A$1:A345,A346)+1,"")</f>
        <v/>
      </c>
      <c r="C346" s="296"/>
      <c r="D346" s="296"/>
      <c r="E346" s="296"/>
      <c r="F346" s="296"/>
      <c r="G346" s="326"/>
      <c r="H346" s="324"/>
      <c r="I346" s="325"/>
      <c r="J346" s="325"/>
      <c r="K346" s="318"/>
      <c r="L346" s="318"/>
      <c r="M346" s="319" t="str">
        <f>IFERROR(VLOOKUP(H346,Lijsten!$H$1:$I$100,2,0),"")</f>
        <v/>
      </c>
      <c r="N346" s="319" t="str">
        <f ca="1">IFERROR(IF(VLOOKUP(F346,Kostentypen!$A$3:$E$21,3,0)=0,"",IF(OR(F346="Arbeidskosten",F346="Vergoeding"),VLOOKUP(G346,Tb_KostenTypen[],2,0),VLOOKUP(F346,Kostentypen!$A$3:$E$20,3,0))),"")</f>
        <v/>
      </c>
      <c r="O346" s="320" t="str" cm="1">
        <f t="array" ref="O346">_xlfn.IFNA(IF(INDEX(Tb_KostenOptiesDB[],MATCH($F346,Tb_KostenOptiesDB[KostenOptie],0),IFERROR(MATCH(Methode_Keuze,Tb_KostenOptiesDB[#Headers],0),2))=1,_xlfn.SWITCH($N346,"Uurtarief",IF(OR(AND(RIGHT($F346,3)="IKS",VLOOKUP($M346,DB_Loonkosten,2,0)="Ja"),AND(RIGHT($F346,3)&lt;&gt;"IKS",VLOOKUP($M346,DB_Loonkosten,2,0)="Nee")),IFERROR(VLOOKUP($M346,DB_Loonkosten,24,0),""),0),"Vast tarief",IF(LEFT(F346,8)="Bijdrage",VLOOKUP($F346,Tb_KostenTypen[],MATCH(Lijsten!$P$1,Tb_KostenTypen[#Headers],0),0),VLOOKUP($G346,Lijsten!L:P,MATCH(Lijsten!$P$1,Kop_Tarief_Vast,0),0))),""),"")</f>
        <v/>
      </c>
      <c r="P346" s="320" t="str" cm="1">
        <f t="array" ref="P346">_xlfn.IFNA(IF(INDEX(Tb_KostenOptiesDB[],MATCH($F346,Tb_KostenOptiesDB[KostenOptie],0),IFERROR(MATCH(Methode_Keuze,Tb_KostenOptiesDB[#Headers],0),2))=1,_xlfn.SWITCH($N346,"Uurtarief",IF(OR(AND(RIGHT($F346,3)="IKS",VLOOKUP($M346,DB_Loonkosten,2,0)="Ja"),AND(RIGHT($F346,3)&lt;&gt;"IKS",VLOOKUP($M346,DB_Loonkosten,2,0)="Nee")),IFERROR(VLOOKUP($M346,DB_Loonkosten,25,0),""),0),"Vast tarief",IF(LEFT(F346,8)="Bijdrage",VLOOKUP($F346,Tb_KostenTypen[],MATCH(Lijsten!$P$1,Tb_KostenTypen[#Headers],0),0),VLOOKUP($G346,Lijsten!L:P,MATCH(Lijsten!$P$1,Kop_Tarief_Vast,0),0))),""),"")</f>
        <v/>
      </c>
      <c r="Q346" s="359"/>
      <c r="R346" s="359"/>
      <c r="S346" s="321"/>
      <c r="T346" s="321"/>
      <c r="U346" s="373" t="str">
        <f t="shared" si="20"/>
        <v/>
      </c>
      <c r="V346" s="314" t="str">
        <f t="shared" si="21"/>
        <v/>
      </c>
      <c r="W346" s="314" t="str" cm="1">
        <f t="array" aca="1" ref="W346" ca="1">IFERROR(IF(AE346&lt;&gt;"ja",_xlfn.IFNA(_xlfn.IFS(AND(O346&lt;&gt;"",F346&lt;&gt;"",RIGHT($N346,6)="tarief",F346="Vergoeding"),SUM(O346)*FLOOR(SUM(Q346),0.0001),AND(O346&lt;&gt;"",F346&lt;&gt;"",RIGHT($N346,6)="tarief"),SUM(O346)*FLOOR(SUM(Q346),0.01),S346&gt;0,IF(F346&lt;&gt;"",FLOOR(SUM(S346),0.01),"")),""),""),"")</f>
        <v/>
      </c>
      <c r="X346" s="314" t="str" cm="1">
        <f t="array" aca="1" ref="X346" ca="1">IFERROR(IF(AE346&lt;&gt;"ja",_xlfn.IFNA(_xlfn.IFS(AND(P346&lt;&gt;"",R346&lt;&gt;"",RIGHT($N346,6)="tarief",F346="Vergoeding"),SUM(P346)*FLOOR(SUM(R346),0.0001),AND(P346&lt;&gt;"",R346&lt;&gt;"",RIGHT($N346,6)="tarief"),P346*FLOOR(R346,0.01),T346&gt;0,FLOOR(SUM(T346),0.01)),""),""),"")</f>
        <v/>
      </c>
      <c r="Y346" s="314" t="str">
        <f t="shared" ca="1" si="22"/>
        <v/>
      </c>
      <c r="Z346" s="314" t="str" cm="1">
        <f t="array" aca="1" ref="Z346" ca="1">IFERROR(_xlfn.IFS(OR(F346="",LEFT(Methode_Keuze,4)="Geen",Methode_Keuze=""),"",AND(W346&lt;&gt;"",F346&lt;&gt;"Arbeidskosten"),W346*VLOOKUP(F346,Tb_ProjectKosten[],MATCH(Tb_ProjectKosten[[#Headers],[Forfait_Percentage]],Tb_ProjectKosten[#Headers],0),0),AND(F346="Arbeidskosten",G346&lt;&gt;""),IFERROR(W346*VLOOKUP(G346,Tb_KostenTypen[],3,0)*VLOOKUP(F346,Tb_ProjectKosten[],MATCH(Tb_ProjectKosten[[#Headers],[Forfait_Percentage]],Tb_ProjectKosten[#Headers],0),0),""),W346 &lt;=0,0),"")</f>
        <v/>
      </c>
      <c r="AA346" s="314" t="str" cm="1">
        <f t="array" aca="1" ref="AA346" ca="1">IFERROR(_xlfn.IFS(OR(F346="",LEFT(Methode_Keuze,4)="Geen",Methode_Keuze=""),"",AND(X346&lt;&gt;"",F346&lt;&gt;"Arbeidskosten"),X346*VLOOKUP(F346,Tb_ProjectKosten[],MATCH(Tb_ProjectKosten[[#Headers],[Forfait_Percentage]],Tb_ProjectKosten[#Headers],0),0),AND(F346="Arbeidskosten",G346&lt;&gt;""),IFERROR(X346*VLOOKUP(G346,Tb_KostenTypen[],3,0)*VLOOKUP(F346,Tb_ProjectKosten[],MATCH(Tb_ProjectKosten[[#Headers],[Forfait_Percentage]],Tb_ProjectKosten[#Headers],0),0),""),X346 &lt;=0,0),"")</f>
        <v/>
      </c>
      <c r="AB346" s="314" t="str">
        <f t="shared" ca="1" si="23"/>
        <v/>
      </c>
      <c r="AC346" s="322"/>
      <c r="AD346" s="315"/>
      <c r="AE346" s="32" t="str" cm="1">
        <f t="array" ref="AE346">IFERROR(IF(INDEX(SubsidieTabel!$AD$1:$AG$12,MATCH($F346,SubsidieTabel!$AD$1:$AD$12,0),IFERROR(MATCH(Methode_Keuze,SubsidieTabel!$AD$1:$AG$1,0),2))&lt;&gt;1=TRUE,"ja",""),"")</f>
        <v/>
      </c>
    </row>
    <row r="347" spans="1:31" x14ac:dyDescent="0.25">
      <c r="A347" s="316"/>
      <c r="B347" s="317" t="str">
        <f>IF(A347&lt;&gt;"",_xlfn.MAXIFS($B$1:B346,$A$1:A346,A347)+1,"")</f>
        <v/>
      </c>
      <c r="C347" s="296"/>
      <c r="D347" s="296"/>
      <c r="E347" s="296"/>
      <c r="F347" s="296"/>
      <c r="G347" s="326"/>
      <c r="H347" s="324"/>
      <c r="I347" s="325"/>
      <c r="J347" s="325"/>
      <c r="K347" s="318"/>
      <c r="L347" s="318"/>
      <c r="M347" s="319" t="str">
        <f>IFERROR(VLOOKUP(H347,Lijsten!$H$1:$I$100,2,0),"")</f>
        <v/>
      </c>
      <c r="N347" s="319" t="str">
        <f ca="1">IFERROR(IF(VLOOKUP(F347,Kostentypen!$A$3:$E$21,3,0)=0,"",IF(OR(F347="Arbeidskosten",F347="Vergoeding"),VLOOKUP(G347,Tb_KostenTypen[],2,0),VLOOKUP(F347,Kostentypen!$A$3:$E$20,3,0))),"")</f>
        <v/>
      </c>
      <c r="O347" s="320" t="str" cm="1">
        <f t="array" ref="O347">_xlfn.IFNA(IF(INDEX(Tb_KostenOptiesDB[],MATCH($F347,Tb_KostenOptiesDB[KostenOptie],0),IFERROR(MATCH(Methode_Keuze,Tb_KostenOptiesDB[#Headers],0),2))=1,_xlfn.SWITCH($N347,"Uurtarief",IF(OR(AND(RIGHT($F347,3)="IKS",VLOOKUP($M347,DB_Loonkosten,2,0)="Ja"),AND(RIGHT($F347,3)&lt;&gt;"IKS",VLOOKUP($M347,DB_Loonkosten,2,0)="Nee")),IFERROR(VLOOKUP($M347,DB_Loonkosten,24,0),""),0),"Vast tarief",IF(LEFT(F347,8)="Bijdrage",VLOOKUP($F347,Tb_KostenTypen[],MATCH(Lijsten!$P$1,Tb_KostenTypen[#Headers],0),0),VLOOKUP($G347,Lijsten!L:P,MATCH(Lijsten!$P$1,Kop_Tarief_Vast,0),0))),""),"")</f>
        <v/>
      </c>
      <c r="P347" s="320" t="str" cm="1">
        <f t="array" ref="P347">_xlfn.IFNA(IF(INDEX(Tb_KostenOptiesDB[],MATCH($F347,Tb_KostenOptiesDB[KostenOptie],0),IFERROR(MATCH(Methode_Keuze,Tb_KostenOptiesDB[#Headers],0),2))=1,_xlfn.SWITCH($N347,"Uurtarief",IF(OR(AND(RIGHT($F347,3)="IKS",VLOOKUP($M347,DB_Loonkosten,2,0)="Ja"),AND(RIGHT($F347,3)&lt;&gt;"IKS",VLOOKUP($M347,DB_Loonkosten,2,0)="Nee")),IFERROR(VLOOKUP($M347,DB_Loonkosten,25,0),""),0),"Vast tarief",IF(LEFT(F347,8)="Bijdrage",VLOOKUP($F347,Tb_KostenTypen[],MATCH(Lijsten!$P$1,Tb_KostenTypen[#Headers],0),0),VLOOKUP($G347,Lijsten!L:P,MATCH(Lijsten!$P$1,Kop_Tarief_Vast,0),0))),""),"")</f>
        <v/>
      </c>
      <c r="Q347" s="359"/>
      <c r="R347" s="359"/>
      <c r="S347" s="321"/>
      <c r="T347" s="321"/>
      <c r="U347" s="373" t="str">
        <f t="shared" si="20"/>
        <v/>
      </c>
      <c r="V347" s="314" t="str">
        <f t="shared" si="21"/>
        <v/>
      </c>
      <c r="W347" s="314" t="str" cm="1">
        <f t="array" aca="1" ref="W347" ca="1">IFERROR(IF(AE347&lt;&gt;"ja",_xlfn.IFNA(_xlfn.IFS(AND(O347&lt;&gt;"",F347&lt;&gt;"",RIGHT($N347,6)="tarief",F347="Vergoeding"),SUM(O347)*FLOOR(SUM(Q347),0.0001),AND(O347&lt;&gt;"",F347&lt;&gt;"",RIGHT($N347,6)="tarief"),SUM(O347)*FLOOR(SUM(Q347),0.01),S347&gt;0,IF(F347&lt;&gt;"",FLOOR(SUM(S347),0.01),"")),""),""),"")</f>
        <v/>
      </c>
      <c r="X347" s="314" t="str" cm="1">
        <f t="array" aca="1" ref="X347" ca="1">IFERROR(IF(AE347&lt;&gt;"ja",_xlfn.IFNA(_xlfn.IFS(AND(P347&lt;&gt;"",R347&lt;&gt;"",RIGHT($N347,6)="tarief",F347="Vergoeding"),SUM(P347)*FLOOR(SUM(R347),0.0001),AND(P347&lt;&gt;"",R347&lt;&gt;"",RIGHT($N347,6)="tarief"),P347*FLOOR(R347,0.01),T347&gt;0,FLOOR(SUM(T347),0.01)),""),""),"")</f>
        <v/>
      </c>
      <c r="Y347" s="314" t="str">
        <f t="shared" ca="1" si="22"/>
        <v/>
      </c>
      <c r="Z347" s="314" t="str" cm="1">
        <f t="array" aca="1" ref="Z347" ca="1">IFERROR(_xlfn.IFS(OR(F347="",LEFT(Methode_Keuze,4)="Geen",Methode_Keuze=""),"",AND(W347&lt;&gt;"",F347&lt;&gt;"Arbeidskosten"),W347*VLOOKUP(F347,Tb_ProjectKosten[],MATCH(Tb_ProjectKosten[[#Headers],[Forfait_Percentage]],Tb_ProjectKosten[#Headers],0),0),AND(F347="Arbeidskosten",G347&lt;&gt;""),IFERROR(W347*VLOOKUP(G347,Tb_KostenTypen[],3,0)*VLOOKUP(F347,Tb_ProjectKosten[],MATCH(Tb_ProjectKosten[[#Headers],[Forfait_Percentage]],Tb_ProjectKosten[#Headers],0),0),""),W347 &lt;=0,0),"")</f>
        <v/>
      </c>
      <c r="AA347" s="314" t="str" cm="1">
        <f t="array" aca="1" ref="AA347" ca="1">IFERROR(_xlfn.IFS(OR(F347="",LEFT(Methode_Keuze,4)="Geen",Methode_Keuze=""),"",AND(X347&lt;&gt;"",F347&lt;&gt;"Arbeidskosten"),X347*VLOOKUP(F347,Tb_ProjectKosten[],MATCH(Tb_ProjectKosten[[#Headers],[Forfait_Percentage]],Tb_ProjectKosten[#Headers],0),0),AND(F347="Arbeidskosten",G347&lt;&gt;""),IFERROR(X347*VLOOKUP(G347,Tb_KostenTypen[],3,0)*VLOOKUP(F347,Tb_ProjectKosten[],MATCH(Tb_ProjectKosten[[#Headers],[Forfait_Percentage]],Tb_ProjectKosten[#Headers],0),0),""),X347 &lt;=0,0),"")</f>
        <v/>
      </c>
      <c r="AB347" s="314" t="str">
        <f t="shared" ca="1" si="23"/>
        <v/>
      </c>
      <c r="AC347" s="322"/>
      <c r="AD347" s="315"/>
      <c r="AE347" s="32" t="str" cm="1">
        <f t="array" ref="AE347">IFERROR(IF(INDEX(SubsidieTabel!$AD$1:$AG$12,MATCH($F347,SubsidieTabel!$AD$1:$AD$12,0),IFERROR(MATCH(Methode_Keuze,SubsidieTabel!$AD$1:$AG$1,0),2))&lt;&gt;1=TRUE,"ja",""),"")</f>
        <v/>
      </c>
    </row>
    <row r="348" spans="1:31" x14ac:dyDescent="0.25">
      <c r="A348" s="316"/>
      <c r="B348" s="317" t="str">
        <f>IF(A348&lt;&gt;"",_xlfn.MAXIFS($B$1:B347,$A$1:A347,A348)+1,"")</f>
        <v/>
      </c>
      <c r="C348" s="296"/>
      <c r="D348" s="296"/>
      <c r="E348" s="296"/>
      <c r="F348" s="296"/>
      <c r="G348" s="326"/>
      <c r="H348" s="324"/>
      <c r="I348" s="325"/>
      <c r="J348" s="325"/>
      <c r="K348" s="318"/>
      <c r="L348" s="318"/>
      <c r="M348" s="319" t="str">
        <f>IFERROR(VLOOKUP(H348,Lijsten!$H$1:$I$100,2,0),"")</f>
        <v/>
      </c>
      <c r="N348" s="319" t="str">
        <f ca="1">IFERROR(IF(VLOOKUP(F348,Kostentypen!$A$3:$E$21,3,0)=0,"",IF(OR(F348="Arbeidskosten",F348="Vergoeding"),VLOOKUP(G348,Tb_KostenTypen[],2,0),VLOOKUP(F348,Kostentypen!$A$3:$E$20,3,0))),"")</f>
        <v/>
      </c>
      <c r="O348" s="320" t="str" cm="1">
        <f t="array" ref="O348">_xlfn.IFNA(IF(INDEX(Tb_KostenOptiesDB[],MATCH($F348,Tb_KostenOptiesDB[KostenOptie],0),IFERROR(MATCH(Methode_Keuze,Tb_KostenOptiesDB[#Headers],0),2))=1,_xlfn.SWITCH($N348,"Uurtarief",IF(OR(AND(RIGHT($F348,3)="IKS",VLOOKUP($M348,DB_Loonkosten,2,0)="Ja"),AND(RIGHT($F348,3)&lt;&gt;"IKS",VLOOKUP($M348,DB_Loonkosten,2,0)="Nee")),IFERROR(VLOOKUP($M348,DB_Loonkosten,24,0),""),0),"Vast tarief",IF(LEFT(F348,8)="Bijdrage",VLOOKUP($F348,Tb_KostenTypen[],MATCH(Lijsten!$P$1,Tb_KostenTypen[#Headers],0),0),VLOOKUP($G348,Lijsten!L:P,MATCH(Lijsten!$P$1,Kop_Tarief_Vast,0),0))),""),"")</f>
        <v/>
      </c>
      <c r="P348" s="320" t="str" cm="1">
        <f t="array" ref="P348">_xlfn.IFNA(IF(INDEX(Tb_KostenOptiesDB[],MATCH($F348,Tb_KostenOptiesDB[KostenOptie],0),IFERROR(MATCH(Methode_Keuze,Tb_KostenOptiesDB[#Headers],0),2))=1,_xlfn.SWITCH($N348,"Uurtarief",IF(OR(AND(RIGHT($F348,3)="IKS",VLOOKUP($M348,DB_Loonkosten,2,0)="Ja"),AND(RIGHT($F348,3)&lt;&gt;"IKS",VLOOKUP($M348,DB_Loonkosten,2,0)="Nee")),IFERROR(VLOOKUP($M348,DB_Loonkosten,25,0),""),0),"Vast tarief",IF(LEFT(F348,8)="Bijdrage",VLOOKUP($F348,Tb_KostenTypen[],MATCH(Lijsten!$P$1,Tb_KostenTypen[#Headers],0),0),VLOOKUP($G348,Lijsten!L:P,MATCH(Lijsten!$P$1,Kop_Tarief_Vast,0),0))),""),"")</f>
        <v/>
      </c>
      <c r="Q348" s="359"/>
      <c r="R348" s="359"/>
      <c r="S348" s="321"/>
      <c r="T348" s="321"/>
      <c r="U348" s="373" t="str">
        <f t="shared" si="20"/>
        <v/>
      </c>
      <c r="V348" s="314" t="str">
        <f t="shared" si="21"/>
        <v/>
      </c>
      <c r="W348" s="314" t="str" cm="1">
        <f t="array" aca="1" ref="W348" ca="1">IFERROR(IF(AE348&lt;&gt;"ja",_xlfn.IFNA(_xlfn.IFS(AND(O348&lt;&gt;"",F348&lt;&gt;"",RIGHT($N348,6)="tarief",F348="Vergoeding"),SUM(O348)*FLOOR(SUM(Q348),0.0001),AND(O348&lt;&gt;"",F348&lt;&gt;"",RIGHT($N348,6)="tarief"),SUM(O348)*FLOOR(SUM(Q348),0.01),S348&gt;0,IF(F348&lt;&gt;"",FLOOR(SUM(S348),0.01),"")),""),""),"")</f>
        <v/>
      </c>
      <c r="X348" s="314" t="str" cm="1">
        <f t="array" aca="1" ref="X348" ca="1">IFERROR(IF(AE348&lt;&gt;"ja",_xlfn.IFNA(_xlfn.IFS(AND(P348&lt;&gt;"",R348&lt;&gt;"",RIGHT($N348,6)="tarief",F348="Vergoeding"),SUM(P348)*FLOOR(SUM(R348),0.0001),AND(P348&lt;&gt;"",R348&lt;&gt;"",RIGHT($N348,6)="tarief"),P348*FLOOR(R348,0.01),T348&gt;0,FLOOR(SUM(T348),0.01)),""),""),"")</f>
        <v/>
      </c>
      <c r="Y348" s="314" t="str">
        <f t="shared" ca="1" si="22"/>
        <v/>
      </c>
      <c r="Z348" s="314" t="str" cm="1">
        <f t="array" aca="1" ref="Z348" ca="1">IFERROR(_xlfn.IFS(OR(F348="",LEFT(Methode_Keuze,4)="Geen",Methode_Keuze=""),"",AND(W348&lt;&gt;"",F348&lt;&gt;"Arbeidskosten"),W348*VLOOKUP(F348,Tb_ProjectKosten[],MATCH(Tb_ProjectKosten[[#Headers],[Forfait_Percentage]],Tb_ProjectKosten[#Headers],0),0),AND(F348="Arbeidskosten",G348&lt;&gt;""),IFERROR(W348*VLOOKUP(G348,Tb_KostenTypen[],3,0)*VLOOKUP(F348,Tb_ProjectKosten[],MATCH(Tb_ProjectKosten[[#Headers],[Forfait_Percentage]],Tb_ProjectKosten[#Headers],0),0),""),W348 &lt;=0,0),"")</f>
        <v/>
      </c>
      <c r="AA348" s="314" t="str" cm="1">
        <f t="array" aca="1" ref="AA348" ca="1">IFERROR(_xlfn.IFS(OR(F348="",LEFT(Methode_Keuze,4)="Geen",Methode_Keuze=""),"",AND(X348&lt;&gt;"",F348&lt;&gt;"Arbeidskosten"),X348*VLOOKUP(F348,Tb_ProjectKosten[],MATCH(Tb_ProjectKosten[[#Headers],[Forfait_Percentage]],Tb_ProjectKosten[#Headers],0),0),AND(F348="Arbeidskosten",G348&lt;&gt;""),IFERROR(X348*VLOOKUP(G348,Tb_KostenTypen[],3,0)*VLOOKUP(F348,Tb_ProjectKosten[],MATCH(Tb_ProjectKosten[[#Headers],[Forfait_Percentage]],Tb_ProjectKosten[#Headers],0),0),""),X348 &lt;=0,0),"")</f>
        <v/>
      </c>
      <c r="AB348" s="314" t="str">
        <f t="shared" ca="1" si="23"/>
        <v/>
      </c>
      <c r="AC348" s="322"/>
      <c r="AD348" s="315"/>
      <c r="AE348" s="32" t="str" cm="1">
        <f t="array" ref="AE348">IFERROR(IF(INDEX(SubsidieTabel!$AD$1:$AG$12,MATCH($F348,SubsidieTabel!$AD$1:$AD$12,0),IFERROR(MATCH(Methode_Keuze,SubsidieTabel!$AD$1:$AG$1,0),2))&lt;&gt;1=TRUE,"ja",""),"")</f>
        <v/>
      </c>
    </row>
    <row r="349" spans="1:31" x14ac:dyDescent="0.25">
      <c r="A349" s="316"/>
      <c r="B349" s="317" t="str">
        <f>IF(A349&lt;&gt;"",_xlfn.MAXIFS($B$1:B348,$A$1:A348,A349)+1,"")</f>
        <v/>
      </c>
      <c r="C349" s="296"/>
      <c r="D349" s="296"/>
      <c r="E349" s="296"/>
      <c r="F349" s="296"/>
      <c r="G349" s="326"/>
      <c r="H349" s="324"/>
      <c r="I349" s="325"/>
      <c r="J349" s="325"/>
      <c r="K349" s="318"/>
      <c r="L349" s="318"/>
      <c r="M349" s="319" t="str">
        <f>IFERROR(VLOOKUP(H349,Lijsten!$H$1:$I$100,2,0),"")</f>
        <v/>
      </c>
      <c r="N349" s="319" t="str">
        <f ca="1">IFERROR(IF(VLOOKUP(F349,Kostentypen!$A$3:$E$21,3,0)=0,"",IF(OR(F349="Arbeidskosten",F349="Vergoeding"),VLOOKUP(G349,Tb_KostenTypen[],2,0),VLOOKUP(F349,Kostentypen!$A$3:$E$20,3,0))),"")</f>
        <v/>
      </c>
      <c r="O349" s="320" t="str" cm="1">
        <f t="array" ref="O349">_xlfn.IFNA(IF(INDEX(Tb_KostenOptiesDB[],MATCH($F349,Tb_KostenOptiesDB[KostenOptie],0),IFERROR(MATCH(Methode_Keuze,Tb_KostenOptiesDB[#Headers],0),2))=1,_xlfn.SWITCH($N349,"Uurtarief",IF(OR(AND(RIGHT($F349,3)="IKS",VLOOKUP($M349,DB_Loonkosten,2,0)="Ja"),AND(RIGHT($F349,3)&lt;&gt;"IKS",VLOOKUP($M349,DB_Loonkosten,2,0)="Nee")),IFERROR(VLOOKUP($M349,DB_Loonkosten,24,0),""),0),"Vast tarief",IF(LEFT(F349,8)="Bijdrage",VLOOKUP($F349,Tb_KostenTypen[],MATCH(Lijsten!$P$1,Tb_KostenTypen[#Headers],0),0),VLOOKUP($G349,Lijsten!L:P,MATCH(Lijsten!$P$1,Kop_Tarief_Vast,0),0))),""),"")</f>
        <v/>
      </c>
      <c r="P349" s="320" t="str" cm="1">
        <f t="array" ref="P349">_xlfn.IFNA(IF(INDEX(Tb_KostenOptiesDB[],MATCH($F349,Tb_KostenOptiesDB[KostenOptie],0),IFERROR(MATCH(Methode_Keuze,Tb_KostenOptiesDB[#Headers],0),2))=1,_xlfn.SWITCH($N349,"Uurtarief",IF(OR(AND(RIGHT($F349,3)="IKS",VLOOKUP($M349,DB_Loonkosten,2,0)="Ja"),AND(RIGHT($F349,3)&lt;&gt;"IKS",VLOOKUP($M349,DB_Loonkosten,2,0)="Nee")),IFERROR(VLOOKUP($M349,DB_Loonkosten,25,0),""),0),"Vast tarief",IF(LEFT(F349,8)="Bijdrage",VLOOKUP($F349,Tb_KostenTypen[],MATCH(Lijsten!$P$1,Tb_KostenTypen[#Headers],0),0),VLOOKUP($G349,Lijsten!L:P,MATCH(Lijsten!$P$1,Kop_Tarief_Vast,0),0))),""),"")</f>
        <v/>
      </c>
      <c r="Q349" s="359"/>
      <c r="R349" s="359"/>
      <c r="S349" s="321"/>
      <c r="T349" s="321"/>
      <c r="U349" s="373" t="str">
        <f t="shared" si="20"/>
        <v/>
      </c>
      <c r="V349" s="314" t="str">
        <f t="shared" si="21"/>
        <v/>
      </c>
      <c r="W349" s="314" t="str" cm="1">
        <f t="array" aca="1" ref="W349" ca="1">IFERROR(IF(AE349&lt;&gt;"ja",_xlfn.IFNA(_xlfn.IFS(AND(O349&lt;&gt;"",F349&lt;&gt;"",RIGHT($N349,6)="tarief",F349="Vergoeding"),SUM(O349)*FLOOR(SUM(Q349),0.0001),AND(O349&lt;&gt;"",F349&lt;&gt;"",RIGHT($N349,6)="tarief"),SUM(O349)*FLOOR(SUM(Q349),0.01),S349&gt;0,IF(F349&lt;&gt;"",FLOOR(SUM(S349),0.01),"")),""),""),"")</f>
        <v/>
      </c>
      <c r="X349" s="314" t="str" cm="1">
        <f t="array" aca="1" ref="X349" ca="1">IFERROR(IF(AE349&lt;&gt;"ja",_xlfn.IFNA(_xlfn.IFS(AND(P349&lt;&gt;"",R349&lt;&gt;"",RIGHT($N349,6)="tarief",F349="Vergoeding"),SUM(P349)*FLOOR(SUM(R349),0.0001),AND(P349&lt;&gt;"",R349&lt;&gt;"",RIGHT($N349,6)="tarief"),P349*FLOOR(R349,0.01),T349&gt;0,FLOOR(SUM(T349),0.01)),""),""),"")</f>
        <v/>
      </c>
      <c r="Y349" s="314" t="str">
        <f t="shared" ca="1" si="22"/>
        <v/>
      </c>
      <c r="Z349" s="314" t="str" cm="1">
        <f t="array" aca="1" ref="Z349" ca="1">IFERROR(_xlfn.IFS(OR(F349="",LEFT(Methode_Keuze,4)="Geen",Methode_Keuze=""),"",AND(W349&lt;&gt;"",F349&lt;&gt;"Arbeidskosten"),W349*VLOOKUP(F349,Tb_ProjectKosten[],MATCH(Tb_ProjectKosten[[#Headers],[Forfait_Percentage]],Tb_ProjectKosten[#Headers],0),0),AND(F349="Arbeidskosten",G349&lt;&gt;""),IFERROR(W349*VLOOKUP(G349,Tb_KostenTypen[],3,0)*VLOOKUP(F349,Tb_ProjectKosten[],MATCH(Tb_ProjectKosten[[#Headers],[Forfait_Percentage]],Tb_ProjectKosten[#Headers],0),0),""),W349 &lt;=0,0),"")</f>
        <v/>
      </c>
      <c r="AA349" s="314" t="str" cm="1">
        <f t="array" aca="1" ref="AA349" ca="1">IFERROR(_xlfn.IFS(OR(F349="",LEFT(Methode_Keuze,4)="Geen",Methode_Keuze=""),"",AND(X349&lt;&gt;"",F349&lt;&gt;"Arbeidskosten"),X349*VLOOKUP(F349,Tb_ProjectKosten[],MATCH(Tb_ProjectKosten[[#Headers],[Forfait_Percentage]],Tb_ProjectKosten[#Headers],0),0),AND(F349="Arbeidskosten",G349&lt;&gt;""),IFERROR(X349*VLOOKUP(G349,Tb_KostenTypen[],3,0)*VLOOKUP(F349,Tb_ProjectKosten[],MATCH(Tb_ProjectKosten[[#Headers],[Forfait_Percentage]],Tb_ProjectKosten[#Headers],0),0),""),X349 &lt;=0,0),"")</f>
        <v/>
      </c>
      <c r="AB349" s="314" t="str">
        <f t="shared" ca="1" si="23"/>
        <v/>
      </c>
      <c r="AC349" s="322"/>
      <c r="AD349" s="315"/>
      <c r="AE349" s="32" t="str" cm="1">
        <f t="array" ref="AE349">IFERROR(IF(INDEX(SubsidieTabel!$AD$1:$AG$12,MATCH($F349,SubsidieTabel!$AD$1:$AD$12,0),IFERROR(MATCH(Methode_Keuze,SubsidieTabel!$AD$1:$AG$1,0),2))&lt;&gt;1=TRUE,"ja",""),"")</f>
        <v/>
      </c>
    </row>
    <row r="350" spans="1:31" x14ac:dyDescent="0.25">
      <c r="A350" s="316"/>
      <c r="B350" s="317" t="str">
        <f>IF(A350&lt;&gt;"",_xlfn.MAXIFS($B$1:B349,$A$1:A349,A350)+1,"")</f>
        <v/>
      </c>
      <c r="C350" s="296"/>
      <c r="D350" s="296"/>
      <c r="E350" s="296"/>
      <c r="F350" s="296"/>
      <c r="G350" s="326"/>
      <c r="H350" s="324"/>
      <c r="I350" s="325"/>
      <c r="J350" s="325"/>
      <c r="K350" s="318"/>
      <c r="L350" s="318"/>
      <c r="M350" s="319" t="str">
        <f>IFERROR(VLOOKUP(H350,Lijsten!$H$1:$I$100,2,0),"")</f>
        <v/>
      </c>
      <c r="N350" s="319" t="str">
        <f ca="1">IFERROR(IF(VLOOKUP(F350,Kostentypen!$A$3:$E$21,3,0)=0,"",IF(OR(F350="Arbeidskosten",F350="Vergoeding"),VLOOKUP(G350,Tb_KostenTypen[],2,0),VLOOKUP(F350,Kostentypen!$A$3:$E$20,3,0))),"")</f>
        <v/>
      </c>
      <c r="O350" s="320" t="str" cm="1">
        <f t="array" ref="O350">_xlfn.IFNA(IF(INDEX(Tb_KostenOptiesDB[],MATCH($F350,Tb_KostenOptiesDB[KostenOptie],0),IFERROR(MATCH(Methode_Keuze,Tb_KostenOptiesDB[#Headers],0),2))=1,_xlfn.SWITCH($N350,"Uurtarief",IF(OR(AND(RIGHT($F350,3)="IKS",VLOOKUP($M350,DB_Loonkosten,2,0)="Ja"),AND(RIGHT($F350,3)&lt;&gt;"IKS",VLOOKUP($M350,DB_Loonkosten,2,0)="Nee")),IFERROR(VLOOKUP($M350,DB_Loonkosten,24,0),""),0),"Vast tarief",IF(LEFT(F350,8)="Bijdrage",VLOOKUP($F350,Tb_KostenTypen[],MATCH(Lijsten!$P$1,Tb_KostenTypen[#Headers],0),0),VLOOKUP($G350,Lijsten!L:P,MATCH(Lijsten!$P$1,Kop_Tarief_Vast,0),0))),""),"")</f>
        <v/>
      </c>
      <c r="P350" s="320" t="str" cm="1">
        <f t="array" ref="P350">_xlfn.IFNA(IF(INDEX(Tb_KostenOptiesDB[],MATCH($F350,Tb_KostenOptiesDB[KostenOptie],0),IFERROR(MATCH(Methode_Keuze,Tb_KostenOptiesDB[#Headers],0),2))=1,_xlfn.SWITCH($N350,"Uurtarief",IF(OR(AND(RIGHT($F350,3)="IKS",VLOOKUP($M350,DB_Loonkosten,2,0)="Ja"),AND(RIGHT($F350,3)&lt;&gt;"IKS",VLOOKUP($M350,DB_Loonkosten,2,0)="Nee")),IFERROR(VLOOKUP($M350,DB_Loonkosten,25,0),""),0),"Vast tarief",IF(LEFT(F350,8)="Bijdrage",VLOOKUP($F350,Tb_KostenTypen[],MATCH(Lijsten!$P$1,Tb_KostenTypen[#Headers],0),0),VLOOKUP($G350,Lijsten!L:P,MATCH(Lijsten!$P$1,Kop_Tarief_Vast,0),0))),""),"")</f>
        <v/>
      </c>
      <c r="Q350" s="359"/>
      <c r="R350" s="359"/>
      <c r="S350" s="321"/>
      <c r="T350" s="321"/>
      <c r="U350" s="373" t="str">
        <f t="shared" si="20"/>
        <v/>
      </c>
      <c r="V350" s="314" t="str">
        <f t="shared" si="21"/>
        <v/>
      </c>
      <c r="W350" s="314" t="str" cm="1">
        <f t="array" aca="1" ref="W350" ca="1">IFERROR(IF(AE350&lt;&gt;"ja",_xlfn.IFNA(_xlfn.IFS(AND(O350&lt;&gt;"",F350&lt;&gt;"",RIGHT($N350,6)="tarief",F350="Vergoeding"),SUM(O350)*FLOOR(SUM(Q350),0.0001),AND(O350&lt;&gt;"",F350&lt;&gt;"",RIGHT($N350,6)="tarief"),SUM(O350)*FLOOR(SUM(Q350),0.01),S350&gt;0,IF(F350&lt;&gt;"",FLOOR(SUM(S350),0.01),"")),""),""),"")</f>
        <v/>
      </c>
      <c r="X350" s="314" t="str" cm="1">
        <f t="array" aca="1" ref="X350" ca="1">IFERROR(IF(AE350&lt;&gt;"ja",_xlfn.IFNA(_xlfn.IFS(AND(P350&lt;&gt;"",R350&lt;&gt;"",RIGHT($N350,6)="tarief",F350="Vergoeding"),SUM(P350)*FLOOR(SUM(R350),0.0001),AND(P350&lt;&gt;"",R350&lt;&gt;"",RIGHT($N350,6)="tarief"),P350*FLOOR(R350,0.01),T350&gt;0,FLOOR(SUM(T350),0.01)),""),""),"")</f>
        <v/>
      </c>
      <c r="Y350" s="314" t="str">
        <f t="shared" ca="1" si="22"/>
        <v/>
      </c>
      <c r="Z350" s="314" t="str" cm="1">
        <f t="array" aca="1" ref="Z350" ca="1">IFERROR(_xlfn.IFS(OR(F350="",LEFT(Methode_Keuze,4)="Geen",Methode_Keuze=""),"",AND(W350&lt;&gt;"",F350&lt;&gt;"Arbeidskosten"),W350*VLOOKUP(F350,Tb_ProjectKosten[],MATCH(Tb_ProjectKosten[[#Headers],[Forfait_Percentage]],Tb_ProjectKosten[#Headers],0),0),AND(F350="Arbeidskosten",G350&lt;&gt;""),IFERROR(W350*VLOOKUP(G350,Tb_KostenTypen[],3,0)*VLOOKUP(F350,Tb_ProjectKosten[],MATCH(Tb_ProjectKosten[[#Headers],[Forfait_Percentage]],Tb_ProjectKosten[#Headers],0),0),""),W350 &lt;=0,0),"")</f>
        <v/>
      </c>
      <c r="AA350" s="314" t="str" cm="1">
        <f t="array" aca="1" ref="AA350" ca="1">IFERROR(_xlfn.IFS(OR(F350="",LEFT(Methode_Keuze,4)="Geen",Methode_Keuze=""),"",AND(X350&lt;&gt;"",F350&lt;&gt;"Arbeidskosten"),X350*VLOOKUP(F350,Tb_ProjectKosten[],MATCH(Tb_ProjectKosten[[#Headers],[Forfait_Percentage]],Tb_ProjectKosten[#Headers],0),0),AND(F350="Arbeidskosten",G350&lt;&gt;""),IFERROR(X350*VLOOKUP(G350,Tb_KostenTypen[],3,0)*VLOOKUP(F350,Tb_ProjectKosten[],MATCH(Tb_ProjectKosten[[#Headers],[Forfait_Percentage]],Tb_ProjectKosten[#Headers],0),0),""),X350 &lt;=0,0),"")</f>
        <v/>
      </c>
      <c r="AB350" s="314" t="str">
        <f t="shared" ca="1" si="23"/>
        <v/>
      </c>
      <c r="AC350" s="322"/>
      <c r="AD350" s="315"/>
      <c r="AE350" s="32" t="str" cm="1">
        <f t="array" ref="AE350">IFERROR(IF(INDEX(SubsidieTabel!$AD$1:$AG$12,MATCH($F350,SubsidieTabel!$AD$1:$AD$12,0),IFERROR(MATCH(Methode_Keuze,SubsidieTabel!$AD$1:$AG$1,0),2))&lt;&gt;1=TRUE,"ja",""),"")</f>
        <v/>
      </c>
    </row>
    <row r="351" spans="1:31" x14ac:dyDescent="0.25">
      <c r="A351" s="316"/>
      <c r="B351" s="317" t="str">
        <f>IF(A351&lt;&gt;"",_xlfn.MAXIFS($B$1:B350,$A$1:A350,A351)+1,"")</f>
        <v/>
      </c>
      <c r="C351" s="296"/>
      <c r="D351" s="296"/>
      <c r="E351" s="296"/>
      <c r="F351" s="296"/>
      <c r="G351" s="326"/>
      <c r="H351" s="324"/>
      <c r="I351" s="325"/>
      <c r="J351" s="325"/>
      <c r="K351" s="318"/>
      <c r="L351" s="318"/>
      <c r="M351" s="319" t="str">
        <f>IFERROR(VLOOKUP(H351,Lijsten!$H$1:$I$100,2,0),"")</f>
        <v/>
      </c>
      <c r="N351" s="319" t="str">
        <f ca="1">IFERROR(IF(VLOOKUP(F351,Kostentypen!$A$3:$E$21,3,0)=0,"",IF(OR(F351="Arbeidskosten",F351="Vergoeding"),VLOOKUP(G351,Tb_KostenTypen[],2,0),VLOOKUP(F351,Kostentypen!$A$3:$E$20,3,0))),"")</f>
        <v/>
      </c>
      <c r="O351" s="320" t="str" cm="1">
        <f t="array" ref="O351">_xlfn.IFNA(IF(INDEX(Tb_KostenOptiesDB[],MATCH($F351,Tb_KostenOptiesDB[KostenOptie],0),IFERROR(MATCH(Methode_Keuze,Tb_KostenOptiesDB[#Headers],0),2))=1,_xlfn.SWITCH($N351,"Uurtarief",IF(OR(AND(RIGHT($F351,3)="IKS",VLOOKUP($M351,DB_Loonkosten,2,0)="Ja"),AND(RIGHT($F351,3)&lt;&gt;"IKS",VLOOKUP($M351,DB_Loonkosten,2,0)="Nee")),IFERROR(VLOOKUP($M351,DB_Loonkosten,24,0),""),0),"Vast tarief",IF(LEFT(F351,8)="Bijdrage",VLOOKUP($F351,Tb_KostenTypen[],MATCH(Lijsten!$P$1,Tb_KostenTypen[#Headers],0),0),VLOOKUP($G351,Lijsten!L:P,MATCH(Lijsten!$P$1,Kop_Tarief_Vast,0),0))),""),"")</f>
        <v/>
      </c>
      <c r="P351" s="320" t="str" cm="1">
        <f t="array" ref="P351">_xlfn.IFNA(IF(INDEX(Tb_KostenOptiesDB[],MATCH($F351,Tb_KostenOptiesDB[KostenOptie],0),IFERROR(MATCH(Methode_Keuze,Tb_KostenOptiesDB[#Headers],0),2))=1,_xlfn.SWITCH($N351,"Uurtarief",IF(OR(AND(RIGHT($F351,3)="IKS",VLOOKUP($M351,DB_Loonkosten,2,0)="Ja"),AND(RIGHT($F351,3)&lt;&gt;"IKS",VLOOKUP($M351,DB_Loonkosten,2,0)="Nee")),IFERROR(VLOOKUP($M351,DB_Loonkosten,25,0),""),0),"Vast tarief",IF(LEFT(F351,8)="Bijdrage",VLOOKUP($F351,Tb_KostenTypen[],MATCH(Lijsten!$P$1,Tb_KostenTypen[#Headers],0),0),VLOOKUP($G351,Lijsten!L:P,MATCH(Lijsten!$P$1,Kop_Tarief_Vast,0),0))),""),"")</f>
        <v/>
      </c>
      <c r="Q351" s="359"/>
      <c r="R351" s="359"/>
      <c r="S351" s="321"/>
      <c r="T351" s="321"/>
      <c r="U351" s="373" t="str">
        <f t="shared" si="20"/>
        <v/>
      </c>
      <c r="V351" s="314" t="str">
        <f t="shared" si="21"/>
        <v/>
      </c>
      <c r="W351" s="314" t="str" cm="1">
        <f t="array" aca="1" ref="W351" ca="1">IFERROR(IF(AE351&lt;&gt;"ja",_xlfn.IFNA(_xlfn.IFS(AND(O351&lt;&gt;"",F351&lt;&gt;"",RIGHT($N351,6)="tarief",F351="Vergoeding"),SUM(O351)*FLOOR(SUM(Q351),0.0001),AND(O351&lt;&gt;"",F351&lt;&gt;"",RIGHT($N351,6)="tarief"),SUM(O351)*FLOOR(SUM(Q351),0.01),S351&gt;0,IF(F351&lt;&gt;"",FLOOR(SUM(S351),0.01),"")),""),""),"")</f>
        <v/>
      </c>
      <c r="X351" s="314" t="str" cm="1">
        <f t="array" aca="1" ref="X351" ca="1">IFERROR(IF(AE351&lt;&gt;"ja",_xlfn.IFNA(_xlfn.IFS(AND(P351&lt;&gt;"",R351&lt;&gt;"",RIGHT($N351,6)="tarief",F351="Vergoeding"),SUM(P351)*FLOOR(SUM(R351),0.0001),AND(P351&lt;&gt;"",R351&lt;&gt;"",RIGHT($N351,6)="tarief"),P351*FLOOR(R351,0.01),T351&gt;0,FLOOR(SUM(T351),0.01)),""),""),"")</f>
        <v/>
      </c>
      <c r="Y351" s="314" t="str">
        <f t="shared" ca="1" si="22"/>
        <v/>
      </c>
      <c r="Z351" s="314" t="str" cm="1">
        <f t="array" aca="1" ref="Z351" ca="1">IFERROR(_xlfn.IFS(OR(F351="",LEFT(Methode_Keuze,4)="Geen",Methode_Keuze=""),"",AND(W351&lt;&gt;"",F351&lt;&gt;"Arbeidskosten"),W351*VLOOKUP(F351,Tb_ProjectKosten[],MATCH(Tb_ProjectKosten[[#Headers],[Forfait_Percentage]],Tb_ProjectKosten[#Headers],0),0),AND(F351="Arbeidskosten",G351&lt;&gt;""),IFERROR(W351*VLOOKUP(G351,Tb_KostenTypen[],3,0)*VLOOKUP(F351,Tb_ProjectKosten[],MATCH(Tb_ProjectKosten[[#Headers],[Forfait_Percentage]],Tb_ProjectKosten[#Headers],0),0),""),W351 &lt;=0,0),"")</f>
        <v/>
      </c>
      <c r="AA351" s="314" t="str" cm="1">
        <f t="array" aca="1" ref="AA351" ca="1">IFERROR(_xlfn.IFS(OR(F351="",LEFT(Methode_Keuze,4)="Geen",Methode_Keuze=""),"",AND(X351&lt;&gt;"",F351&lt;&gt;"Arbeidskosten"),X351*VLOOKUP(F351,Tb_ProjectKosten[],MATCH(Tb_ProjectKosten[[#Headers],[Forfait_Percentage]],Tb_ProjectKosten[#Headers],0),0),AND(F351="Arbeidskosten",G351&lt;&gt;""),IFERROR(X351*VLOOKUP(G351,Tb_KostenTypen[],3,0)*VLOOKUP(F351,Tb_ProjectKosten[],MATCH(Tb_ProjectKosten[[#Headers],[Forfait_Percentage]],Tb_ProjectKosten[#Headers],0),0),""),X351 &lt;=0,0),"")</f>
        <v/>
      </c>
      <c r="AB351" s="314" t="str">
        <f t="shared" ca="1" si="23"/>
        <v/>
      </c>
      <c r="AC351" s="322"/>
      <c r="AD351" s="315"/>
      <c r="AE351" s="32" t="str" cm="1">
        <f t="array" ref="AE351">IFERROR(IF(INDEX(SubsidieTabel!$AD$1:$AG$12,MATCH($F351,SubsidieTabel!$AD$1:$AD$12,0),IFERROR(MATCH(Methode_Keuze,SubsidieTabel!$AD$1:$AG$1,0),2))&lt;&gt;1=TRUE,"ja",""),"")</f>
        <v/>
      </c>
    </row>
    <row r="352" spans="1:31" x14ac:dyDescent="0.25">
      <c r="A352" s="316"/>
      <c r="B352" s="317" t="str">
        <f>IF(A352&lt;&gt;"",_xlfn.MAXIFS($B$1:B351,$A$1:A351,A352)+1,"")</f>
        <v/>
      </c>
      <c r="C352" s="296"/>
      <c r="D352" s="296"/>
      <c r="E352" s="296"/>
      <c r="F352" s="296"/>
      <c r="G352" s="326"/>
      <c r="H352" s="324"/>
      <c r="I352" s="325"/>
      <c r="J352" s="325"/>
      <c r="K352" s="318"/>
      <c r="L352" s="318"/>
      <c r="M352" s="319" t="str">
        <f>IFERROR(VLOOKUP(H352,Lijsten!$H$1:$I$100,2,0),"")</f>
        <v/>
      </c>
      <c r="N352" s="319" t="str">
        <f ca="1">IFERROR(IF(VLOOKUP(F352,Kostentypen!$A$3:$E$21,3,0)=0,"",IF(OR(F352="Arbeidskosten",F352="Vergoeding"),VLOOKUP(G352,Tb_KostenTypen[],2,0),VLOOKUP(F352,Kostentypen!$A$3:$E$20,3,0))),"")</f>
        <v/>
      </c>
      <c r="O352" s="320" t="str" cm="1">
        <f t="array" ref="O352">_xlfn.IFNA(IF(INDEX(Tb_KostenOptiesDB[],MATCH($F352,Tb_KostenOptiesDB[KostenOptie],0),IFERROR(MATCH(Methode_Keuze,Tb_KostenOptiesDB[#Headers],0),2))=1,_xlfn.SWITCH($N352,"Uurtarief",IF(OR(AND(RIGHT($F352,3)="IKS",VLOOKUP($M352,DB_Loonkosten,2,0)="Ja"),AND(RIGHT($F352,3)&lt;&gt;"IKS",VLOOKUP($M352,DB_Loonkosten,2,0)="Nee")),IFERROR(VLOOKUP($M352,DB_Loonkosten,24,0),""),0),"Vast tarief",IF(LEFT(F352,8)="Bijdrage",VLOOKUP($F352,Tb_KostenTypen[],MATCH(Lijsten!$P$1,Tb_KostenTypen[#Headers],0),0),VLOOKUP($G352,Lijsten!L:P,MATCH(Lijsten!$P$1,Kop_Tarief_Vast,0),0))),""),"")</f>
        <v/>
      </c>
      <c r="P352" s="320" t="str" cm="1">
        <f t="array" ref="P352">_xlfn.IFNA(IF(INDEX(Tb_KostenOptiesDB[],MATCH($F352,Tb_KostenOptiesDB[KostenOptie],0),IFERROR(MATCH(Methode_Keuze,Tb_KostenOptiesDB[#Headers],0),2))=1,_xlfn.SWITCH($N352,"Uurtarief",IF(OR(AND(RIGHT($F352,3)="IKS",VLOOKUP($M352,DB_Loonkosten,2,0)="Ja"),AND(RIGHT($F352,3)&lt;&gt;"IKS",VLOOKUP($M352,DB_Loonkosten,2,0)="Nee")),IFERROR(VLOOKUP($M352,DB_Loonkosten,25,0),""),0),"Vast tarief",IF(LEFT(F352,8)="Bijdrage",VLOOKUP($F352,Tb_KostenTypen[],MATCH(Lijsten!$P$1,Tb_KostenTypen[#Headers],0),0),VLOOKUP($G352,Lijsten!L:P,MATCH(Lijsten!$P$1,Kop_Tarief_Vast,0),0))),""),"")</f>
        <v/>
      </c>
      <c r="Q352" s="359"/>
      <c r="R352" s="359"/>
      <c r="S352" s="321"/>
      <c r="T352" s="321"/>
      <c r="U352" s="373" t="str">
        <f t="shared" si="20"/>
        <v/>
      </c>
      <c r="V352" s="314" t="str">
        <f t="shared" si="21"/>
        <v/>
      </c>
      <c r="W352" s="314" t="str" cm="1">
        <f t="array" aca="1" ref="W352" ca="1">IFERROR(IF(AE352&lt;&gt;"ja",_xlfn.IFNA(_xlfn.IFS(AND(O352&lt;&gt;"",F352&lt;&gt;"",RIGHT($N352,6)="tarief",F352="Vergoeding"),SUM(O352)*FLOOR(SUM(Q352),0.0001),AND(O352&lt;&gt;"",F352&lt;&gt;"",RIGHT($N352,6)="tarief"),SUM(O352)*FLOOR(SUM(Q352),0.01),S352&gt;0,IF(F352&lt;&gt;"",FLOOR(SUM(S352),0.01),"")),""),""),"")</f>
        <v/>
      </c>
      <c r="X352" s="314" t="str" cm="1">
        <f t="array" aca="1" ref="X352" ca="1">IFERROR(IF(AE352&lt;&gt;"ja",_xlfn.IFNA(_xlfn.IFS(AND(P352&lt;&gt;"",R352&lt;&gt;"",RIGHT($N352,6)="tarief",F352="Vergoeding"),SUM(P352)*FLOOR(SUM(R352),0.0001),AND(P352&lt;&gt;"",R352&lt;&gt;"",RIGHT($N352,6)="tarief"),P352*FLOOR(R352,0.01),T352&gt;0,FLOOR(SUM(T352),0.01)),""),""),"")</f>
        <v/>
      </c>
      <c r="Y352" s="314" t="str">
        <f t="shared" ca="1" si="22"/>
        <v/>
      </c>
      <c r="Z352" s="314" t="str" cm="1">
        <f t="array" aca="1" ref="Z352" ca="1">IFERROR(_xlfn.IFS(OR(F352="",LEFT(Methode_Keuze,4)="Geen",Methode_Keuze=""),"",AND(W352&lt;&gt;"",F352&lt;&gt;"Arbeidskosten"),W352*VLOOKUP(F352,Tb_ProjectKosten[],MATCH(Tb_ProjectKosten[[#Headers],[Forfait_Percentage]],Tb_ProjectKosten[#Headers],0),0),AND(F352="Arbeidskosten",G352&lt;&gt;""),IFERROR(W352*VLOOKUP(G352,Tb_KostenTypen[],3,0)*VLOOKUP(F352,Tb_ProjectKosten[],MATCH(Tb_ProjectKosten[[#Headers],[Forfait_Percentage]],Tb_ProjectKosten[#Headers],0),0),""),W352 &lt;=0,0),"")</f>
        <v/>
      </c>
      <c r="AA352" s="314" t="str" cm="1">
        <f t="array" aca="1" ref="AA352" ca="1">IFERROR(_xlfn.IFS(OR(F352="",LEFT(Methode_Keuze,4)="Geen",Methode_Keuze=""),"",AND(X352&lt;&gt;"",F352&lt;&gt;"Arbeidskosten"),X352*VLOOKUP(F352,Tb_ProjectKosten[],MATCH(Tb_ProjectKosten[[#Headers],[Forfait_Percentage]],Tb_ProjectKosten[#Headers],0),0),AND(F352="Arbeidskosten",G352&lt;&gt;""),IFERROR(X352*VLOOKUP(G352,Tb_KostenTypen[],3,0)*VLOOKUP(F352,Tb_ProjectKosten[],MATCH(Tb_ProjectKosten[[#Headers],[Forfait_Percentage]],Tb_ProjectKosten[#Headers],0),0),""),X352 &lt;=0,0),"")</f>
        <v/>
      </c>
      <c r="AB352" s="314" t="str">
        <f t="shared" ca="1" si="23"/>
        <v/>
      </c>
      <c r="AC352" s="322"/>
      <c r="AD352" s="315"/>
      <c r="AE352" s="32" t="str" cm="1">
        <f t="array" ref="AE352">IFERROR(IF(INDEX(SubsidieTabel!$AD$1:$AG$12,MATCH($F352,SubsidieTabel!$AD$1:$AD$12,0),IFERROR(MATCH(Methode_Keuze,SubsidieTabel!$AD$1:$AG$1,0),2))&lt;&gt;1=TRUE,"ja",""),"")</f>
        <v/>
      </c>
    </row>
    <row r="353" spans="1:31" x14ac:dyDescent="0.25">
      <c r="A353" s="316"/>
      <c r="B353" s="317" t="str">
        <f>IF(A353&lt;&gt;"",_xlfn.MAXIFS($B$1:B352,$A$1:A352,A353)+1,"")</f>
        <v/>
      </c>
      <c r="C353" s="296"/>
      <c r="D353" s="296"/>
      <c r="E353" s="296"/>
      <c r="F353" s="296"/>
      <c r="G353" s="326"/>
      <c r="H353" s="324"/>
      <c r="I353" s="325"/>
      <c r="J353" s="325"/>
      <c r="K353" s="318"/>
      <c r="L353" s="318"/>
      <c r="M353" s="319" t="str">
        <f>IFERROR(VLOOKUP(H353,Lijsten!$H$1:$I$100,2,0),"")</f>
        <v/>
      </c>
      <c r="N353" s="319" t="str">
        <f ca="1">IFERROR(IF(VLOOKUP(F353,Kostentypen!$A$3:$E$21,3,0)=0,"",IF(OR(F353="Arbeidskosten",F353="Vergoeding"),VLOOKUP(G353,Tb_KostenTypen[],2,0),VLOOKUP(F353,Kostentypen!$A$3:$E$20,3,0))),"")</f>
        <v/>
      </c>
      <c r="O353" s="320" t="str" cm="1">
        <f t="array" ref="O353">_xlfn.IFNA(IF(INDEX(Tb_KostenOptiesDB[],MATCH($F353,Tb_KostenOptiesDB[KostenOptie],0),IFERROR(MATCH(Methode_Keuze,Tb_KostenOptiesDB[#Headers],0),2))=1,_xlfn.SWITCH($N353,"Uurtarief",IF(OR(AND(RIGHT($F353,3)="IKS",VLOOKUP($M353,DB_Loonkosten,2,0)="Ja"),AND(RIGHT($F353,3)&lt;&gt;"IKS",VLOOKUP($M353,DB_Loonkosten,2,0)="Nee")),IFERROR(VLOOKUP($M353,DB_Loonkosten,24,0),""),0),"Vast tarief",IF(LEFT(F353,8)="Bijdrage",VLOOKUP($F353,Tb_KostenTypen[],MATCH(Lijsten!$P$1,Tb_KostenTypen[#Headers],0),0),VLOOKUP($G353,Lijsten!L:P,MATCH(Lijsten!$P$1,Kop_Tarief_Vast,0),0))),""),"")</f>
        <v/>
      </c>
      <c r="P353" s="320" t="str" cm="1">
        <f t="array" ref="P353">_xlfn.IFNA(IF(INDEX(Tb_KostenOptiesDB[],MATCH($F353,Tb_KostenOptiesDB[KostenOptie],0),IFERROR(MATCH(Methode_Keuze,Tb_KostenOptiesDB[#Headers],0),2))=1,_xlfn.SWITCH($N353,"Uurtarief",IF(OR(AND(RIGHT($F353,3)="IKS",VLOOKUP($M353,DB_Loonkosten,2,0)="Ja"),AND(RIGHT($F353,3)&lt;&gt;"IKS",VLOOKUP($M353,DB_Loonkosten,2,0)="Nee")),IFERROR(VLOOKUP($M353,DB_Loonkosten,25,0),""),0),"Vast tarief",IF(LEFT(F353,8)="Bijdrage",VLOOKUP($F353,Tb_KostenTypen[],MATCH(Lijsten!$P$1,Tb_KostenTypen[#Headers],0),0),VLOOKUP($G353,Lijsten!L:P,MATCH(Lijsten!$P$1,Kop_Tarief_Vast,0),0))),""),"")</f>
        <v/>
      </c>
      <c r="Q353" s="359"/>
      <c r="R353" s="359"/>
      <c r="S353" s="321"/>
      <c r="T353" s="321"/>
      <c r="U353" s="373" t="str">
        <f t="shared" si="20"/>
        <v/>
      </c>
      <c r="V353" s="314" t="str">
        <f t="shared" si="21"/>
        <v/>
      </c>
      <c r="W353" s="314" t="str" cm="1">
        <f t="array" aca="1" ref="W353" ca="1">IFERROR(IF(AE353&lt;&gt;"ja",_xlfn.IFNA(_xlfn.IFS(AND(O353&lt;&gt;"",F353&lt;&gt;"",RIGHT($N353,6)="tarief",F353="Vergoeding"),SUM(O353)*FLOOR(SUM(Q353),0.0001),AND(O353&lt;&gt;"",F353&lt;&gt;"",RIGHT($N353,6)="tarief"),SUM(O353)*FLOOR(SUM(Q353),0.01),S353&gt;0,IF(F353&lt;&gt;"",FLOOR(SUM(S353),0.01),"")),""),""),"")</f>
        <v/>
      </c>
      <c r="X353" s="314" t="str" cm="1">
        <f t="array" aca="1" ref="X353" ca="1">IFERROR(IF(AE353&lt;&gt;"ja",_xlfn.IFNA(_xlfn.IFS(AND(P353&lt;&gt;"",R353&lt;&gt;"",RIGHT($N353,6)="tarief",F353="Vergoeding"),SUM(P353)*FLOOR(SUM(R353),0.0001),AND(P353&lt;&gt;"",R353&lt;&gt;"",RIGHT($N353,6)="tarief"),P353*FLOOR(R353,0.01),T353&gt;0,FLOOR(SUM(T353),0.01)),""),""),"")</f>
        <v/>
      </c>
      <c r="Y353" s="314" t="str">
        <f t="shared" ca="1" si="22"/>
        <v/>
      </c>
      <c r="Z353" s="314" t="str" cm="1">
        <f t="array" aca="1" ref="Z353" ca="1">IFERROR(_xlfn.IFS(OR(F353="",LEFT(Methode_Keuze,4)="Geen",Methode_Keuze=""),"",AND(W353&lt;&gt;"",F353&lt;&gt;"Arbeidskosten"),W353*VLOOKUP(F353,Tb_ProjectKosten[],MATCH(Tb_ProjectKosten[[#Headers],[Forfait_Percentage]],Tb_ProjectKosten[#Headers],0),0),AND(F353="Arbeidskosten",G353&lt;&gt;""),IFERROR(W353*VLOOKUP(G353,Tb_KostenTypen[],3,0)*VLOOKUP(F353,Tb_ProjectKosten[],MATCH(Tb_ProjectKosten[[#Headers],[Forfait_Percentage]],Tb_ProjectKosten[#Headers],0),0),""),W353 &lt;=0,0),"")</f>
        <v/>
      </c>
      <c r="AA353" s="314" t="str" cm="1">
        <f t="array" aca="1" ref="AA353" ca="1">IFERROR(_xlfn.IFS(OR(F353="",LEFT(Methode_Keuze,4)="Geen",Methode_Keuze=""),"",AND(X353&lt;&gt;"",F353&lt;&gt;"Arbeidskosten"),X353*VLOOKUP(F353,Tb_ProjectKosten[],MATCH(Tb_ProjectKosten[[#Headers],[Forfait_Percentage]],Tb_ProjectKosten[#Headers],0),0),AND(F353="Arbeidskosten",G353&lt;&gt;""),IFERROR(X353*VLOOKUP(G353,Tb_KostenTypen[],3,0)*VLOOKUP(F353,Tb_ProjectKosten[],MATCH(Tb_ProjectKosten[[#Headers],[Forfait_Percentage]],Tb_ProjectKosten[#Headers],0),0),""),X353 &lt;=0,0),"")</f>
        <v/>
      </c>
      <c r="AB353" s="314" t="str">
        <f t="shared" ca="1" si="23"/>
        <v/>
      </c>
      <c r="AC353" s="322"/>
      <c r="AD353" s="315"/>
      <c r="AE353" s="32" t="str" cm="1">
        <f t="array" ref="AE353">IFERROR(IF(INDEX(SubsidieTabel!$AD$1:$AG$12,MATCH($F353,SubsidieTabel!$AD$1:$AD$12,0),IFERROR(MATCH(Methode_Keuze,SubsidieTabel!$AD$1:$AG$1,0),2))&lt;&gt;1=TRUE,"ja",""),"")</f>
        <v/>
      </c>
    </row>
    <row r="354" spans="1:31" x14ac:dyDescent="0.25">
      <c r="A354" s="316"/>
      <c r="B354" s="317" t="str">
        <f>IF(A354&lt;&gt;"",_xlfn.MAXIFS($B$1:B353,$A$1:A353,A354)+1,"")</f>
        <v/>
      </c>
      <c r="C354" s="296"/>
      <c r="D354" s="296"/>
      <c r="E354" s="296"/>
      <c r="F354" s="296"/>
      <c r="G354" s="326"/>
      <c r="H354" s="324"/>
      <c r="I354" s="325"/>
      <c r="J354" s="325"/>
      <c r="K354" s="318"/>
      <c r="L354" s="318"/>
      <c r="M354" s="319" t="str">
        <f>IFERROR(VLOOKUP(H354,Lijsten!$H$1:$I$100,2,0),"")</f>
        <v/>
      </c>
      <c r="N354" s="319" t="str">
        <f ca="1">IFERROR(IF(VLOOKUP(F354,Kostentypen!$A$3:$E$21,3,0)=0,"",IF(OR(F354="Arbeidskosten",F354="Vergoeding"),VLOOKUP(G354,Tb_KostenTypen[],2,0),VLOOKUP(F354,Kostentypen!$A$3:$E$20,3,0))),"")</f>
        <v/>
      </c>
      <c r="O354" s="320" t="str" cm="1">
        <f t="array" ref="O354">_xlfn.IFNA(IF(INDEX(Tb_KostenOptiesDB[],MATCH($F354,Tb_KostenOptiesDB[KostenOptie],0),IFERROR(MATCH(Methode_Keuze,Tb_KostenOptiesDB[#Headers],0),2))=1,_xlfn.SWITCH($N354,"Uurtarief",IF(OR(AND(RIGHT($F354,3)="IKS",VLOOKUP($M354,DB_Loonkosten,2,0)="Ja"),AND(RIGHT($F354,3)&lt;&gt;"IKS",VLOOKUP($M354,DB_Loonkosten,2,0)="Nee")),IFERROR(VLOOKUP($M354,DB_Loonkosten,24,0),""),0),"Vast tarief",IF(LEFT(F354,8)="Bijdrage",VLOOKUP($F354,Tb_KostenTypen[],MATCH(Lijsten!$P$1,Tb_KostenTypen[#Headers],0),0),VLOOKUP($G354,Lijsten!L:P,MATCH(Lijsten!$P$1,Kop_Tarief_Vast,0),0))),""),"")</f>
        <v/>
      </c>
      <c r="P354" s="320" t="str" cm="1">
        <f t="array" ref="P354">_xlfn.IFNA(IF(INDEX(Tb_KostenOptiesDB[],MATCH($F354,Tb_KostenOptiesDB[KostenOptie],0),IFERROR(MATCH(Methode_Keuze,Tb_KostenOptiesDB[#Headers],0),2))=1,_xlfn.SWITCH($N354,"Uurtarief",IF(OR(AND(RIGHT($F354,3)="IKS",VLOOKUP($M354,DB_Loonkosten,2,0)="Ja"),AND(RIGHT($F354,3)&lt;&gt;"IKS",VLOOKUP($M354,DB_Loonkosten,2,0)="Nee")),IFERROR(VLOOKUP($M354,DB_Loonkosten,25,0),""),0),"Vast tarief",IF(LEFT(F354,8)="Bijdrage",VLOOKUP($F354,Tb_KostenTypen[],MATCH(Lijsten!$P$1,Tb_KostenTypen[#Headers],0),0),VLOOKUP($G354,Lijsten!L:P,MATCH(Lijsten!$P$1,Kop_Tarief_Vast,0),0))),""),"")</f>
        <v/>
      </c>
      <c r="Q354" s="359"/>
      <c r="R354" s="359"/>
      <c r="S354" s="321"/>
      <c r="T354" s="321"/>
      <c r="U354" s="373" t="str">
        <f t="shared" si="20"/>
        <v/>
      </c>
      <c r="V354" s="314" t="str">
        <f t="shared" si="21"/>
        <v/>
      </c>
      <c r="W354" s="314" t="str" cm="1">
        <f t="array" aca="1" ref="W354" ca="1">IFERROR(IF(AE354&lt;&gt;"ja",_xlfn.IFNA(_xlfn.IFS(AND(O354&lt;&gt;"",F354&lt;&gt;"",RIGHT($N354,6)="tarief",F354="Vergoeding"),SUM(O354)*FLOOR(SUM(Q354),0.0001),AND(O354&lt;&gt;"",F354&lt;&gt;"",RIGHT($N354,6)="tarief"),SUM(O354)*FLOOR(SUM(Q354),0.01),S354&gt;0,IF(F354&lt;&gt;"",FLOOR(SUM(S354),0.01),"")),""),""),"")</f>
        <v/>
      </c>
      <c r="X354" s="314" t="str" cm="1">
        <f t="array" aca="1" ref="X354" ca="1">IFERROR(IF(AE354&lt;&gt;"ja",_xlfn.IFNA(_xlfn.IFS(AND(P354&lt;&gt;"",R354&lt;&gt;"",RIGHT($N354,6)="tarief",F354="Vergoeding"),SUM(P354)*FLOOR(SUM(R354),0.0001),AND(P354&lt;&gt;"",R354&lt;&gt;"",RIGHT($N354,6)="tarief"),P354*FLOOR(R354,0.01),T354&gt;0,FLOOR(SUM(T354),0.01)),""),""),"")</f>
        <v/>
      </c>
      <c r="Y354" s="314" t="str">
        <f t="shared" ca="1" si="22"/>
        <v/>
      </c>
      <c r="Z354" s="314" t="str" cm="1">
        <f t="array" aca="1" ref="Z354" ca="1">IFERROR(_xlfn.IFS(OR(F354="",LEFT(Methode_Keuze,4)="Geen",Methode_Keuze=""),"",AND(W354&lt;&gt;"",F354&lt;&gt;"Arbeidskosten"),W354*VLOOKUP(F354,Tb_ProjectKosten[],MATCH(Tb_ProjectKosten[[#Headers],[Forfait_Percentage]],Tb_ProjectKosten[#Headers],0),0),AND(F354="Arbeidskosten",G354&lt;&gt;""),IFERROR(W354*VLOOKUP(G354,Tb_KostenTypen[],3,0)*VLOOKUP(F354,Tb_ProjectKosten[],MATCH(Tb_ProjectKosten[[#Headers],[Forfait_Percentage]],Tb_ProjectKosten[#Headers],0),0),""),W354 &lt;=0,0),"")</f>
        <v/>
      </c>
      <c r="AA354" s="314" t="str" cm="1">
        <f t="array" aca="1" ref="AA354" ca="1">IFERROR(_xlfn.IFS(OR(F354="",LEFT(Methode_Keuze,4)="Geen",Methode_Keuze=""),"",AND(X354&lt;&gt;"",F354&lt;&gt;"Arbeidskosten"),X354*VLOOKUP(F354,Tb_ProjectKosten[],MATCH(Tb_ProjectKosten[[#Headers],[Forfait_Percentage]],Tb_ProjectKosten[#Headers],0),0),AND(F354="Arbeidskosten",G354&lt;&gt;""),IFERROR(X354*VLOOKUP(G354,Tb_KostenTypen[],3,0)*VLOOKUP(F354,Tb_ProjectKosten[],MATCH(Tb_ProjectKosten[[#Headers],[Forfait_Percentage]],Tb_ProjectKosten[#Headers],0),0),""),X354 &lt;=0,0),"")</f>
        <v/>
      </c>
      <c r="AB354" s="314" t="str">
        <f t="shared" ca="1" si="23"/>
        <v/>
      </c>
      <c r="AC354" s="322"/>
      <c r="AD354" s="315"/>
      <c r="AE354" s="32" t="str" cm="1">
        <f t="array" ref="AE354">IFERROR(IF(INDEX(SubsidieTabel!$AD$1:$AG$12,MATCH($F354,SubsidieTabel!$AD$1:$AD$12,0),IFERROR(MATCH(Methode_Keuze,SubsidieTabel!$AD$1:$AG$1,0),2))&lt;&gt;1=TRUE,"ja",""),"")</f>
        <v/>
      </c>
    </row>
    <row r="355" spans="1:31" x14ac:dyDescent="0.25">
      <c r="A355" s="316"/>
      <c r="B355" s="317" t="str">
        <f>IF(A355&lt;&gt;"",_xlfn.MAXIFS($B$1:B354,$A$1:A354,A355)+1,"")</f>
        <v/>
      </c>
      <c r="C355" s="296"/>
      <c r="D355" s="296"/>
      <c r="E355" s="296"/>
      <c r="F355" s="296"/>
      <c r="G355" s="326"/>
      <c r="H355" s="324"/>
      <c r="I355" s="325"/>
      <c r="J355" s="325"/>
      <c r="K355" s="318"/>
      <c r="L355" s="318"/>
      <c r="M355" s="319" t="str">
        <f>IFERROR(VLOOKUP(H355,Lijsten!$H$1:$I$100,2,0),"")</f>
        <v/>
      </c>
      <c r="N355" s="319" t="str">
        <f ca="1">IFERROR(IF(VLOOKUP(F355,Kostentypen!$A$3:$E$21,3,0)=0,"",IF(OR(F355="Arbeidskosten",F355="Vergoeding"),VLOOKUP(G355,Tb_KostenTypen[],2,0),VLOOKUP(F355,Kostentypen!$A$3:$E$20,3,0))),"")</f>
        <v/>
      </c>
      <c r="O355" s="320" t="str" cm="1">
        <f t="array" ref="O355">_xlfn.IFNA(IF(INDEX(Tb_KostenOptiesDB[],MATCH($F355,Tb_KostenOptiesDB[KostenOptie],0),IFERROR(MATCH(Methode_Keuze,Tb_KostenOptiesDB[#Headers],0),2))=1,_xlfn.SWITCH($N355,"Uurtarief",IF(OR(AND(RIGHT($F355,3)="IKS",VLOOKUP($M355,DB_Loonkosten,2,0)="Ja"),AND(RIGHT($F355,3)&lt;&gt;"IKS",VLOOKUP($M355,DB_Loonkosten,2,0)="Nee")),IFERROR(VLOOKUP($M355,DB_Loonkosten,24,0),""),0),"Vast tarief",IF(LEFT(F355,8)="Bijdrage",VLOOKUP($F355,Tb_KostenTypen[],MATCH(Lijsten!$P$1,Tb_KostenTypen[#Headers],0),0),VLOOKUP($G355,Lijsten!L:P,MATCH(Lijsten!$P$1,Kop_Tarief_Vast,0),0))),""),"")</f>
        <v/>
      </c>
      <c r="P355" s="320" t="str" cm="1">
        <f t="array" ref="P355">_xlfn.IFNA(IF(INDEX(Tb_KostenOptiesDB[],MATCH($F355,Tb_KostenOptiesDB[KostenOptie],0),IFERROR(MATCH(Methode_Keuze,Tb_KostenOptiesDB[#Headers],0),2))=1,_xlfn.SWITCH($N355,"Uurtarief",IF(OR(AND(RIGHT($F355,3)="IKS",VLOOKUP($M355,DB_Loonkosten,2,0)="Ja"),AND(RIGHT($F355,3)&lt;&gt;"IKS",VLOOKUP($M355,DB_Loonkosten,2,0)="Nee")),IFERROR(VLOOKUP($M355,DB_Loonkosten,25,0),""),0),"Vast tarief",IF(LEFT(F355,8)="Bijdrage",VLOOKUP($F355,Tb_KostenTypen[],MATCH(Lijsten!$P$1,Tb_KostenTypen[#Headers],0),0),VLOOKUP($G355,Lijsten!L:P,MATCH(Lijsten!$P$1,Kop_Tarief_Vast,0),0))),""),"")</f>
        <v/>
      </c>
      <c r="Q355" s="359"/>
      <c r="R355" s="359"/>
      <c r="S355" s="321"/>
      <c r="T355" s="321"/>
      <c r="U355" s="373" t="str">
        <f t="shared" si="20"/>
        <v/>
      </c>
      <c r="V355" s="314" t="str">
        <f t="shared" si="21"/>
        <v/>
      </c>
      <c r="W355" s="314" t="str" cm="1">
        <f t="array" aca="1" ref="W355" ca="1">IFERROR(IF(AE355&lt;&gt;"ja",_xlfn.IFNA(_xlfn.IFS(AND(O355&lt;&gt;"",F355&lt;&gt;"",RIGHT($N355,6)="tarief",F355="Vergoeding"),SUM(O355)*FLOOR(SUM(Q355),0.0001),AND(O355&lt;&gt;"",F355&lt;&gt;"",RIGHT($N355,6)="tarief"),SUM(O355)*FLOOR(SUM(Q355),0.01),S355&gt;0,IF(F355&lt;&gt;"",FLOOR(SUM(S355),0.01),"")),""),""),"")</f>
        <v/>
      </c>
      <c r="X355" s="314" t="str" cm="1">
        <f t="array" aca="1" ref="X355" ca="1">IFERROR(IF(AE355&lt;&gt;"ja",_xlfn.IFNA(_xlfn.IFS(AND(P355&lt;&gt;"",R355&lt;&gt;"",RIGHT($N355,6)="tarief",F355="Vergoeding"),SUM(P355)*FLOOR(SUM(R355),0.0001),AND(P355&lt;&gt;"",R355&lt;&gt;"",RIGHT($N355,6)="tarief"),P355*FLOOR(R355,0.01),T355&gt;0,FLOOR(SUM(T355),0.01)),""),""),"")</f>
        <v/>
      </c>
      <c r="Y355" s="314" t="str">
        <f t="shared" ca="1" si="22"/>
        <v/>
      </c>
      <c r="Z355" s="314" t="str" cm="1">
        <f t="array" aca="1" ref="Z355" ca="1">IFERROR(_xlfn.IFS(OR(F355="",LEFT(Methode_Keuze,4)="Geen",Methode_Keuze=""),"",AND(W355&lt;&gt;"",F355&lt;&gt;"Arbeidskosten"),W355*VLOOKUP(F355,Tb_ProjectKosten[],MATCH(Tb_ProjectKosten[[#Headers],[Forfait_Percentage]],Tb_ProjectKosten[#Headers],0),0),AND(F355="Arbeidskosten",G355&lt;&gt;""),IFERROR(W355*VLOOKUP(G355,Tb_KostenTypen[],3,0)*VLOOKUP(F355,Tb_ProjectKosten[],MATCH(Tb_ProjectKosten[[#Headers],[Forfait_Percentage]],Tb_ProjectKosten[#Headers],0),0),""),W355 &lt;=0,0),"")</f>
        <v/>
      </c>
      <c r="AA355" s="314" t="str" cm="1">
        <f t="array" aca="1" ref="AA355" ca="1">IFERROR(_xlfn.IFS(OR(F355="",LEFT(Methode_Keuze,4)="Geen",Methode_Keuze=""),"",AND(X355&lt;&gt;"",F355&lt;&gt;"Arbeidskosten"),X355*VLOOKUP(F355,Tb_ProjectKosten[],MATCH(Tb_ProjectKosten[[#Headers],[Forfait_Percentage]],Tb_ProjectKosten[#Headers],0),0),AND(F355="Arbeidskosten",G355&lt;&gt;""),IFERROR(X355*VLOOKUP(G355,Tb_KostenTypen[],3,0)*VLOOKUP(F355,Tb_ProjectKosten[],MATCH(Tb_ProjectKosten[[#Headers],[Forfait_Percentage]],Tb_ProjectKosten[#Headers],0),0),""),X355 &lt;=0,0),"")</f>
        <v/>
      </c>
      <c r="AB355" s="314" t="str">
        <f t="shared" ca="1" si="23"/>
        <v/>
      </c>
      <c r="AC355" s="322"/>
      <c r="AD355" s="315"/>
      <c r="AE355" s="32" t="str" cm="1">
        <f t="array" ref="AE355">IFERROR(IF(INDEX(SubsidieTabel!$AD$1:$AG$12,MATCH($F355,SubsidieTabel!$AD$1:$AD$12,0),IFERROR(MATCH(Methode_Keuze,SubsidieTabel!$AD$1:$AG$1,0),2))&lt;&gt;1=TRUE,"ja",""),"")</f>
        <v/>
      </c>
    </row>
    <row r="356" spans="1:31" x14ac:dyDescent="0.25">
      <c r="A356" s="316"/>
      <c r="B356" s="317" t="str">
        <f>IF(A356&lt;&gt;"",_xlfn.MAXIFS($B$1:B355,$A$1:A355,A356)+1,"")</f>
        <v/>
      </c>
      <c r="C356" s="296"/>
      <c r="D356" s="296"/>
      <c r="E356" s="296"/>
      <c r="F356" s="296"/>
      <c r="G356" s="326"/>
      <c r="H356" s="324"/>
      <c r="I356" s="325"/>
      <c r="J356" s="325"/>
      <c r="K356" s="318"/>
      <c r="L356" s="318"/>
      <c r="M356" s="319" t="str">
        <f>IFERROR(VLOOKUP(H356,Lijsten!$H$1:$I$100,2,0),"")</f>
        <v/>
      </c>
      <c r="N356" s="319" t="str">
        <f ca="1">IFERROR(IF(VLOOKUP(F356,Kostentypen!$A$3:$E$21,3,0)=0,"",IF(OR(F356="Arbeidskosten",F356="Vergoeding"),VLOOKUP(G356,Tb_KostenTypen[],2,0),VLOOKUP(F356,Kostentypen!$A$3:$E$20,3,0))),"")</f>
        <v/>
      </c>
      <c r="O356" s="320" t="str" cm="1">
        <f t="array" ref="O356">_xlfn.IFNA(IF(INDEX(Tb_KostenOptiesDB[],MATCH($F356,Tb_KostenOptiesDB[KostenOptie],0),IFERROR(MATCH(Methode_Keuze,Tb_KostenOptiesDB[#Headers],0),2))=1,_xlfn.SWITCH($N356,"Uurtarief",IF(OR(AND(RIGHT($F356,3)="IKS",VLOOKUP($M356,DB_Loonkosten,2,0)="Ja"),AND(RIGHT($F356,3)&lt;&gt;"IKS",VLOOKUP($M356,DB_Loonkosten,2,0)="Nee")),IFERROR(VLOOKUP($M356,DB_Loonkosten,24,0),""),0),"Vast tarief",IF(LEFT(F356,8)="Bijdrage",VLOOKUP($F356,Tb_KostenTypen[],MATCH(Lijsten!$P$1,Tb_KostenTypen[#Headers],0),0),VLOOKUP($G356,Lijsten!L:P,MATCH(Lijsten!$P$1,Kop_Tarief_Vast,0),0))),""),"")</f>
        <v/>
      </c>
      <c r="P356" s="320" t="str" cm="1">
        <f t="array" ref="P356">_xlfn.IFNA(IF(INDEX(Tb_KostenOptiesDB[],MATCH($F356,Tb_KostenOptiesDB[KostenOptie],0),IFERROR(MATCH(Methode_Keuze,Tb_KostenOptiesDB[#Headers],0),2))=1,_xlfn.SWITCH($N356,"Uurtarief",IF(OR(AND(RIGHT($F356,3)="IKS",VLOOKUP($M356,DB_Loonkosten,2,0)="Ja"),AND(RIGHT($F356,3)&lt;&gt;"IKS",VLOOKUP($M356,DB_Loonkosten,2,0)="Nee")),IFERROR(VLOOKUP($M356,DB_Loonkosten,25,0),""),0),"Vast tarief",IF(LEFT(F356,8)="Bijdrage",VLOOKUP($F356,Tb_KostenTypen[],MATCH(Lijsten!$P$1,Tb_KostenTypen[#Headers],0),0),VLOOKUP($G356,Lijsten!L:P,MATCH(Lijsten!$P$1,Kop_Tarief_Vast,0),0))),""),"")</f>
        <v/>
      </c>
      <c r="Q356" s="359"/>
      <c r="R356" s="359"/>
      <c r="S356" s="321"/>
      <c r="T356" s="321"/>
      <c r="U356" s="373" t="str">
        <f t="shared" si="20"/>
        <v/>
      </c>
      <c r="V356" s="314" t="str">
        <f t="shared" si="21"/>
        <v/>
      </c>
      <c r="W356" s="314" t="str" cm="1">
        <f t="array" aca="1" ref="W356" ca="1">IFERROR(IF(AE356&lt;&gt;"ja",_xlfn.IFNA(_xlfn.IFS(AND(O356&lt;&gt;"",F356&lt;&gt;"",RIGHT($N356,6)="tarief",F356="Vergoeding"),SUM(O356)*FLOOR(SUM(Q356),0.0001),AND(O356&lt;&gt;"",F356&lt;&gt;"",RIGHT($N356,6)="tarief"),SUM(O356)*FLOOR(SUM(Q356),0.01),S356&gt;0,IF(F356&lt;&gt;"",FLOOR(SUM(S356),0.01),"")),""),""),"")</f>
        <v/>
      </c>
      <c r="X356" s="314" t="str" cm="1">
        <f t="array" aca="1" ref="X356" ca="1">IFERROR(IF(AE356&lt;&gt;"ja",_xlfn.IFNA(_xlfn.IFS(AND(P356&lt;&gt;"",R356&lt;&gt;"",RIGHT($N356,6)="tarief",F356="Vergoeding"),SUM(P356)*FLOOR(SUM(R356),0.0001),AND(P356&lt;&gt;"",R356&lt;&gt;"",RIGHT($N356,6)="tarief"),P356*FLOOR(R356,0.01),T356&gt;0,FLOOR(SUM(T356),0.01)),""),""),"")</f>
        <v/>
      </c>
      <c r="Y356" s="314" t="str">
        <f t="shared" ca="1" si="22"/>
        <v/>
      </c>
      <c r="Z356" s="314" t="str" cm="1">
        <f t="array" aca="1" ref="Z356" ca="1">IFERROR(_xlfn.IFS(OR(F356="",LEFT(Methode_Keuze,4)="Geen",Methode_Keuze=""),"",AND(W356&lt;&gt;"",F356&lt;&gt;"Arbeidskosten"),W356*VLOOKUP(F356,Tb_ProjectKosten[],MATCH(Tb_ProjectKosten[[#Headers],[Forfait_Percentage]],Tb_ProjectKosten[#Headers],0),0),AND(F356="Arbeidskosten",G356&lt;&gt;""),IFERROR(W356*VLOOKUP(G356,Tb_KostenTypen[],3,0)*VLOOKUP(F356,Tb_ProjectKosten[],MATCH(Tb_ProjectKosten[[#Headers],[Forfait_Percentage]],Tb_ProjectKosten[#Headers],0),0),""),W356 &lt;=0,0),"")</f>
        <v/>
      </c>
      <c r="AA356" s="314" t="str" cm="1">
        <f t="array" aca="1" ref="AA356" ca="1">IFERROR(_xlfn.IFS(OR(F356="",LEFT(Methode_Keuze,4)="Geen",Methode_Keuze=""),"",AND(X356&lt;&gt;"",F356&lt;&gt;"Arbeidskosten"),X356*VLOOKUP(F356,Tb_ProjectKosten[],MATCH(Tb_ProjectKosten[[#Headers],[Forfait_Percentage]],Tb_ProjectKosten[#Headers],0),0),AND(F356="Arbeidskosten",G356&lt;&gt;""),IFERROR(X356*VLOOKUP(G356,Tb_KostenTypen[],3,0)*VLOOKUP(F356,Tb_ProjectKosten[],MATCH(Tb_ProjectKosten[[#Headers],[Forfait_Percentage]],Tb_ProjectKosten[#Headers],0),0),""),X356 &lt;=0,0),"")</f>
        <v/>
      </c>
      <c r="AB356" s="314" t="str">
        <f t="shared" ca="1" si="23"/>
        <v/>
      </c>
      <c r="AC356" s="322"/>
      <c r="AD356" s="315"/>
      <c r="AE356" s="32" t="str" cm="1">
        <f t="array" ref="AE356">IFERROR(IF(INDEX(SubsidieTabel!$AD$1:$AG$12,MATCH($F356,SubsidieTabel!$AD$1:$AD$12,0),IFERROR(MATCH(Methode_Keuze,SubsidieTabel!$AD$1:$AG$1,0),2))&lt;&gt;1=TRUE,"ja",""),"")</f>
        <v/>
      </c>
    </row>
    <row r="357" spans="1:31" x14ac:dyDescent="0.25">
      <c r="A357" s="316"/>
      <c r="B357" s="317" t="str">
        <f>IF(A357&lt;&gt;"",_xlfn.MAXIFS($B$1:B356,$A$1:A356,A357)+1,"")</f>
        <v/>
      </c>
      <c r="C357" s="296"/>
      <c r="D357" s="296"/>
      <c r="E357" s="296"/>
      <c r="F357" s="296"/>
      <c r="G357" s="326"/>
      <c r="H357" s="324"/>
      <c r="I357" s="325"/>
      <c r="J357" s="325"/>
      <c r="K357" s="318"/>
      <c r="L357" s="318"/>
      <c r="M357" s="319" t="str">
        <f>IFERROR(VLOOKUP(H357,Lijsten!$H$1:$I$100,2,0),"")</f>
        <v/>
      </c>
      <c r="N357" s="319" t="str">
        <f ca="1">IFERROR(IF(VLOOKUP(F357,Kostentypen!$A$3:$E$21,3,0)=0,"",IF(OR(F357="Arbeidskosten",F357="Vergoeding"),VLOOKUP(G357,Tb_KostenTypen[],2,0),VLOOKUP(F357,Kostentypen!$A$3:$E$20,3,0))),"")</f>
        <v/>
      </c>
      <c r="O357" s="320" t="str" cm="1">
        <f t="array" ref="O357">_xlfn.IFNA(IF(INDEX(Tb_KostenOptiesDB[],MATCH($F357,Tb_KostenOptiesDB[KostenOptie],0),IFERROR(MATCH(Methode_Keuze,Tb_KostenOptiesDB[#Headers],0),2))=1,_xlfn.SWITCH($N357,"Uurtarief",IF(OR(AND(RIGHT($F357,3)="IKS",VLOOKUP($M357,DB_Loonkosten,2,0)="Ja"),AND(RIGHT($F357,3)&lt;&gt;"IKS",VLOOKUP($M357,DB_Loonkosten,2,0)="Nee")),IFERROR(VLOOKUP($M357,DB_Loonkosten,24,0),""),0),"Vast tarief",IF(LEFT(F357,8)="Bijdrage",VLOOKUP($F357,Tb_KostenTypen[],MATCH(Lijsten!$P$1,Tb_KostenTypen[#Headers],0),0),VLOOKUP($G357,Lijsten!L:P,MATCH(Lijsten!$P$1,Kop_Tarief_Vast,0),0))),""),"")</f>
        <v/>
      </c>
      <c r="P357" s="320" t="str" cm="1">
        <f t="array" ref="P357">_xlfn.IFNA(IF(INDEX(Tb_KostenOptiesDB[],MATCH($F357,Tb_KostenOptiesDB[KostenOptie],0),IFERROR(MATCH(Methode_Keuze,Tb_KostenOptiesDB[#Headers],0),2))=1,_xlfn.SWITCH($N357,"Uurtarief",IF(OR(AND(RIGHT($F357,3)="IKS",VLOOKUP($M357,DB_Loonkosten,2,0)="Ja"),AND(RIGHT($F357,3)&lt;&gt;"IKS",VLOOKUP($M357,DB_Loonkosten,2,0)="Nee")),IFERROR(VLOOKUP($M357,DB_Loonkosten,25,0),""),0),"Vast tarief",IF(LEFT(F357,8)="Bijdrage",VLOOKUP($F357,Tb_KostenTypen[],MATCH(Lijsten!$P$1,Tb_KostenTypen[#Headers],0),0),VLOOKUP($G357,Lijsten!L:P,MATCH(Lijsten!$P$1,Kop_Tarief_Vast,0),0))),""),"")</f>
        <v/>
      </c>
      <c r="Q357" s="359"/>
      <c r="R357" s="359"/>
      <c r="S357" s="321"/>
      <c r="T357" s="321"/>
      <c r="U357" s="373" t="str">
        <f t="shared" si="20"/>
        <v/>
      </c>
      <c r="V357" s="314" t="str">
        <f t="shared" si="21"/>
        <v/>
      </c>
      <c r="W357" s="314" t="str" cm="1">
        <f t="array" aca="1" ref="W357" ca="1">IFERROR(IF(AE357&lt;&gt;"ja",_xlfn.IFNA(_xlfn.IFS(AND(O357&lt;&gt;"",F357&lt;&gt;"",RIGHT($N357,6)="tarief",F357="Vergoeding"),SUM(O357)*FLOOR(SUM(Q357),0.0001),AND(O357&lt;&gt;"",F357&lt;&gt;"",RIGHT($N357,6)="tarief"),SUM(O357)*FLOOR(SUM(Q357),0.01),S357&gt;0,IF(F357&lt;&gt;"",FLOOR(SUM(S357),0.01),"")),""),""),"")</f>
        <v/>
      </c>
      <c r="X357" s="314" t="str" cm="1">
        <f t="array" aca="1" ref="X357" ca="1">IFERROR(IF(AE357&lt;&gt;"ja",_xlfn.IFNA(_xlfn.IFS(AND(P357&lt;&gt;"",R357&lt;&gt;"",RIGHT($N357,6)="tarief",F357="Vergoeding"),SUM(P357)*FLOOR(SUM(R357),0.0001),AND(P357&lt;&gt;"",R357&lt;&gt;"",RIGHT($N357,6)="tarief"),P357*FLOOR(R357,0.01),T357&gt;0,FLOOR(SUM(T357),0.01)),""),""),"")</f>
        <v/>
      </c>
      <c r="Y357" s="314" t="str">
        <f t="shared" ca="1" si="22"/>
        <v/>
      </c>
      <c r="Z357" s="314" t="str" cm="1">
        <f t="array" aca="1" ref="Z357" ca="1">IFERROR(_xlfn.IFS(OR(F357="",LEFT(Methode_Keuze,4)="Geen",Methode_Keuze=""),"",AND(W357&lt;&gt;"",F357&lt;&gt;"Arbeidskosten"),W357*VLOOKUP(F357,Tb_ProjectKosten[],MATCH(Tb_ProjectKosten[[#Headers],[Forfait_Percentage]],Tb_ProjectKosten[#Headers],0),0),AND(F357="Arbeidskosten",G357&lt;&gt;""),IFERROR(W357*VLOOKUP(G357,Tb_KostenTypen[],3,0)*VLOOKUP(F357,Tb_ProjectKosten[],MATCH(Tb_ProjectKosten[[#Headers],[Forfait_Percentage]],Tb_ProjectKosten[#Headers],0),0),""),W357 &lt;=0,0),"")</f>
        <v/>
      </c>
      <c r="AA357" s="314" t="str" cm="1">
        <f t="array" aca="1" ref="AA357" ca="1">IFERROR(_xlfn.IFS(OR(F357="",LEFT(Methode_Keuze,4)="Geen",Methode_Keuze=""),"",AND(X357&lt;&gt;"",F357&lt;&gt;"Arbeidskosten"),X357*VLOOKUP(F357,Tb_ProjectKosten[],MATCH(Tb_ProjectKosten[[#Headers],[Forfait_Percentage]],Tb_ProjectKosten[#Headers],0),0),AND(F357="Arbeidskosten",G357&lt;&gt;""),IFERROR(X357*VLOOKUP(G357,Tb_KostenTypen[],3,0)*VLOOKUP(F357,Tb_ProjectKosten[],MATCH(Tb_ProjectKosten[[#Headers],[Forfait_Percentage]],Tb_ProjectKosten[#Headers],0),0),""),X357 &lt;=0,0),"")</f>
        <v/>
      </c>
      <c r="AB357" s="314" t="str">
        <f t="shared" ca="1" si="23"/>
        <v/>
      </c>
      <c r="AC357" s="322"/>
      <c r="AD357" s="315"/>
      <c r="AE357" s="32" t="str" cm="1">
        <f t="array" ref="AE357">IFERROR(IF(INDEX(SubsidieTabel!$AD$1:$AG$12,MATCH($F357,SubsidieTabel!$AD$1:$AD$12,0),IFERROR(MATCH(Methode_Keuze,SubsidieTabel!$AD$1:$AG$1,0),2))&lt;&gt;1=TRUE,"ja",""),"")</f>
        <v/>
      </c>
    </row>
    <row r="358" spans="1:31" x14ac:dyDescent="0.25">
      <c r="A358" s="316"/>
      <c r="B358" s="317" t="str">
        <f>IF(A358&lt;&gt;"",_xlfn.MAXIFS($B$1:B357,$A$1:A357,A358)+1,"")</f>
        <v/>
      </c>
      <c r="C358" s="296"/>
      <c r="D358" s="296"/>
      <c r="E358" s="296"/>
      <c r="F358" s="296"/>
      <c r="G358" s="326"/>
      <c r="H358" s="324"/>
      <c r="I358" s="325"/>
      <c r="J358" s="325"/>
      <c r="K358" s="318"/>
      <c r="L358" s="318"/>
      <c r="M358" s="319" t="str">
        <f>IFERROR(VLOOKUP(H358,Lijsten!$H$1:$I$100,2,0),"")</f>
        <v/>
      </c>
      <c r="N358" s="319" t="str">
        <f ca="1">IFERROR(IF(VLOOKUP(F358,Kostentypen!$A$3:$E$21,3,0)=0,"",IF(OR(F358="Arbeidskosten",F358="Vergoeding"),VLOOKUP(G358,Tb_KostenTypen[],2,0),VLOOKUP(F358,Kostentypen!$A$3:$E$20,3,0))),"")</f>
        <v/>
      </c>
      <c r="O358" s="320" t="str" cm="1">
        <f t="array" ref="O358">_xlfn.IFNA(IF(INDEX(Tb_KostenOptiesDB[],MATCH($F358,Tb_KostenOptiesDB[KostenOptie],0),IFERROR(MATCH(Methode_Keuze,Tb_KostenOptiesDB[#Headers],0),2))=1,_xlfn.SWITCH($N358,"Uurtarief",IF(OR(AND(RIGHT($F358,3)="IKS",VLOOKUP($M358,DB_Loonkosten,2,0)="Ja"),AND(RIGHT($F358,3)&lt;&gt;"IKS",VLOOKUP($M358,DB_Loonkosten,2,0)="Nee")),IFERROR(VLOOKUP($M358,DB_Loonkosten,24,0),""),0),"Vast tarief",IF(LEFT(F358,8)="Bijdrage",VLOOKUP($F358,Tb_KostenTypen[],MATCH(Lijsten!$P$1,Tb_KostenTypen[#Headers],0),0),VLOOKUP($G358,Lijsten!L:P,MATCH(Lijsten!$P$1,Kop_Tarief_Vast,0),0))),""),"")</f>
        <v/>
      </c>
      <c r="P358" s="320" t="str" cm="1">
        <f t="array" ref="P358">_xlfn.IFNA(IF(INDEX(Tb_KostenOptiesDB[],MATCH($F358,Tb_KostenOptiesDB[KostenOptie],0),IFERROR(MATCH(Methode_Keuze,Tb_KostenOptiesDB[#Headers],0),2))=1,_xlfn.SWITCH($N358,"Uurtarief",IF(OR(AND(RIGHT($F358,3)="IKS",VLOOKUP($M358,DB_Loonkosten,2,0)="Ja"),AND(RIGHT($F358,3)&lt;&gt;"IKS",VLOOKUP($M358,DB_Loonkosten,2,0)="Nee")),IFERROR(VLOOKUP($M358,DB_Loonkosten,25,0),""),0),"Vast tarief",IF(LEFT(F358,8)="Bijdrage",VLOOKUP($F358,Tb_KostenTypen[],MATCH(Lijsten!$P$1,Tb_KostenTypen[#Headers],0),0),VLOOKUP($G358,Lijsten!L:P,MATCH(Lijsten!$P$1,Kop_Tarief_Vast,0),0))),""),"")</f>
        <v/>
      </c>
      <c r="Q358" s="359"/>
      <c r="R358" s="359"/>
      <c r="S358" s="321"/>
      <c r="T358" s="321"/>
      <c r="U358" s="373" t="str">
        <f t="shared" si="20"/>
        <v/>
      </c>
      <c r="V358" s="314" t="str">
        <f t="shared" si="21"/>
        <v/>
      </c>
      <c r="W358" s="314" t="str" cm="1">
        <f t="array" aca="1" ref="W358" ca="1">IFERROR(IF(AE358&lt;&gt;"ja",_xlfn.IFNA(_xlfn.IFS(AND(O358&lt;&gt;"",F358&lt;&gt;"",RIGHT($N358,6)="tarief",F358="Vergoeding"),SUM(O358)*FLOOR(SUM(Q358),0.0001),AND(O358&lt;&gt;"",F358&lt;&gt;"",RIGHT($N358,6)="tarief"),SUM(O358)*FLOOR(SUM(Q358),0.01),S358&gt;0,IF(F358&lt;&gt;"",FLOOR(SUM(S358),0.01),"")),""),""),"")</f>
        <v/>
      </c>
      <c r="X358" s="314" t="str" cm="1">
        <f t="array" aca="1" ref="X358" ca="1">IFERROR(IF(AE358&lt;&gt;"ja",_xlfn.IFNA(_xlfn.IFS(AND(P358&lt;&gt;"",R358&lt;&gt;"",RIGHT($N358,6)="tarief",F358="Vergoeding"),SUM(P358)*FLOOR(SUM(R358),0.0001),AND(P358&lt;&gt;"",R358&lt;&gt;"",RIGHT($N358,6)="tarief"),P358*FLOOR(R358,0.01),T358&gt;0,FLOOR(SUM(T358),0.01)),""),""),"")</f>
        <v/>
      </c>
      <c r="Y358" s="314" t="str">
        <f t="shared" ca="1" si="22"/>
        <v/>
      </c>
      <c r="Z358" s="314" t="str" cm="1">
        <f t="array" aca="1" ref="Z358" ca="1">IFERROR(_xlfn.IFS(OR(F358="",LEFT(Methode_Keuze,4)="Geen",Methode_Keuze=""),"",AND(W358&lt;&gt;"",F358&lt;&gt;"Arbeidskosten"),W358*VLOOKUP(F358,Tb_ProjectKosten[],MATCH(Tb_ProjectKosten[[#Headers],[Forfait_Percentage]],Tb_ProjectKosten[#Headers],0),0),AND(F358="Arbeidskosten",G358&lt;&gt;""),IFERROR(W358*VLOOKUP(G358,Tb_KostenTypen[],3,0)*VLOOKUP(F358,Tb_ProjectKosten[],MATCH(Tb_ProjectKosten[[#Headers],[Forfait_Percentage]],Tb_ProjectKosten[#Headers],0),0),""),W358 &lt;=0,0),"")</f>
        <v/>
      </c>
      <c r="AA358" s="314" t="str" cm="1">
        <f t="array" aca="1" ref="AA358" ca="1">IFERROR(_xlfn.IFS(OR(F358="",LEFT(Methode_Keuze,4)="Geen",Methode_Keuze=""),"",AND(X358&lt;&gt;"",F358&lt;&gt;"Arbeidskosten"),X358*VLOOKUP(F358,Tb_ProjectKosten[],MATCH(Tb_ProjectKosten[[#Headers],[Forfait_Percentage]],Tb_ProjectKosten[#Headers],0),0),AND(F358="Arbeidskosten",G358&lt;&gt;""),IFERROR(X358*VLOOKUP(G358,Tb_KostenTypen[],3,0)*VLOOKUP(F358,Tb_ProjectKosten[],MATCH(Tb_ProjectKosten[[#Headers],[Forfait_Percentage]],Tb_ProjectKosten[#Headers],0),0),""),X358 &lt;=0,0),"")</f>
        <v/>
      </c>
      <c r="AB358" s="314" t="str">
        <f t="shared" ca="1" si="23"/>
        <v/>
      </c>
      <c r="AC358" s="322"/>
      <c r="AD358" s="315"/>
      <c r="AE358" s="32" t="str" cm="1">
        <f t="array" ref="AE358">IFERROR(IF(INDEX(SubsidieTabel!$AD$1:$AG$12,MATCH($F358,SubsidieTabel!$AD$1:$AD$12,0),IFERROR(MATCH(Methode_Keuze,SubsidieTabel!$AD$1:$AG$1,0),2))&lt;&gt;1=TRUE,"ja",""),"")</f>
        <v/>
      </c>
    </row>
    <row r="359" spans="1:31" x14ac:dyDescent="0.25">
      <c r="A359" s="316"/>
      <c r="B359" s="317" t="str">
        <f>IF(A359&lt;&gt;"",_xlfn.MAXIFS($B$1:B358,$A$1:A358,A359)+1,"")</f>
        <v/>
      </c>
      <c r="C359" s="296"/>
      <c r="D359" s="296"/>
      <c r="E359" s="296"/>
      <c r="F359" s="296"/>
      <c r="G359" s="326"/>
      <c r="H359" s="324"/>
      <c r="I359" s="325"/>
      <c r="J359" s="325"/>
      <c r="K359" s="318"/>
      <c r="L359" s="318"/>
      <c r="M359" s="319" t="str">
        <f>IFERROR(VLOOKUP(H359,Lijsten!$H$1:$I$100,2,0),"")</f>
        <v/>
      </c>
      <c r="N359" s="319" t="str">
        <f ca="1">IFERROR(IF(VLOOKUP(F359,Kostentypen!$A$3:$E$21,3,0)=0,"",IF(OR(F359="Arbeidskosten",F359="Vergoeding"),VLOOKUP(G359,Tb_KostenTypen[],2,0),VLOOKUP(F359,Kostentypen!$A$3:$E$20,3,0))),"")</f>
        <v/>
      </c>
      <c r="O359" s="320" t="str" cm="1">
        <f t="array" ref="O359">_xlfn.IFNA(IF(INDEX(Tb_KostenOptiesDB[],MATCH($F359,Tb_KostenOptiesDB[KostenOptie],0),IFERROR(MATCH(Methode_Keuze,Tb_KostenOptiesDB[#Headers],0),2))=1,_xlfn.SWITCH($N359,"Uurtarief",IF(OR(AND(RIGHT($F359,3)="IKS",VLOOKUP($M359,DB_Loonkosten,2,0)="Ja"),AND(RIGHT($F359,3)&lt;&gt;"IKS",VLOOKUP($M359,DB_Loonkosten,2,0)="Nee")),IFERROR(VLOOKUP($M359,DB_Loonkosten,24,0),""),0),"Vast tarief",IF(LEFT(F359,8)="Bijdrage",VLOOKUP($F359,Tb_KostenTypen[],MATCH(Lijsten!$P$1,Tb_KostenTypen[#Headers],0),0),VLOOKUP($G359,Lijsten!L:P,MATCH(Lijsten!$P$1,Kop_Tarief_Vast,0),0))),""),"")</f>
        <v/>
      </c>
      <c r="P359" s="320" t="str" cm="1">
        <f t="array" ref="P359">_xlfn.IFNA(IF(INDEX(Tb_KostenOptiesDB[],MATCH($F359,Tb_KostenOptiesDB[KostenOptie],0),IFERROR(MATCH(Methode_Keuze,Tb_KostenOptiesDB[#Headers],0),2))=1,_xlfn.SWITCH($N359,"Uurtarief",IF(OR(AND(RIGHT($F359,3)="IKS",VLOOKUP($M359,DB_Loonkosten,2,0)="Ja"),AND(RIGHT($F359,3)&lt;&gt;"IKS",VLOOKUP($M359,DB_Loonkosten,2,0)="Nee")),IFERROR(VLOOKUP($M359,DB_Loonkosten,25,0),""),0),"Vast tarief",IF(LEFT(F359,8)="Bijdrage",VLOOKUP($F359,Tb_KostenTypen[],MATCH(Lijsten!$P$1,Tb_KostenTypen[#Headers],0),0),VLOOKUP($G359,Lijsten!L:P,MATCH(Lijsten!$P$1,Kop_Tarief_Vast,0),0))),""),"")</f>
        <v/>
      </c>
      <c r="Q359" s="359"/>
      <c r="R359" s="359"/>
      <c r="S359" s="321"/>
      <c r="T359" s="321"/>
      <c r="U359" s="373" t="str">
        <f t="shared" si="20"/>
        <v/>
      </c>
      <c r="V359" s="314" t="str">
        <f t="shared" si="21"/>
        <v/>
      </c>
      <c r="W359" s="314" t="str" cm="1">
        <f t="array" aca="1" ref="W359" ca="1">IFERROR(IF(AE359&lt;&gt;"ja",_xlfn.IFNA(_xlfn.IFS(AND(O359&lt;&gt;"",F359&lt;&gt;"",RIGHT($N359,6)="tarief",F359="Vergoeding"),SUM(O359)*FLOOR(SUM(Q359),0.0001),AND(O359&lt;&gt;"",F359&lt;&gt;"",RIGHT($N359,6)="tarief"),SUM(O359)*FLOOR(SUM(Q359),0.01),S359&gt;0,IF(F359&lt;&gt;"",FLOOR(SUM(S359),0.01),"")),""),""),"")</f>
        <v/>
      </c>
      <c r="X359" s="314" t="str" cm="1">
        <f t="array" aca="1" ref="X359" ca="1">IFERROR(IF(AE359&lt;&gt;"ja",_xlfn.IFNA(_xlfn.IFS(AND(P359&lt;&gt;"",R359&lt;&gt;"",RIGHT($N359,6)="tarief",F359="Vergoeding"),SUM(P359)*FLOOR(SUM(R359),0.0001),AND(P359&lt;&gt;"",R359&lt;&gt;"",RIGHT($N359,6)="tarief"),P359*FLOOR(R359,0.01),T359&gt;0,FLOOR(SUM(T359),0.01)),""),""),"")</f>
        <v/>
      </c>
      <c r="Y359" s="314" t="str">
        <f t="shared" ca="1" si="22"/>
        <v/>
      </c>
      <c r="Z359" s="314" t="str" cm="1">
        <f t="array" aca="1" ref="Z359" ca="1">IFERROR(_xlfn.IFS(OR(F359="",LEFT(Methode_Keuze,4)="Geen",Methode_Keuze=""),"",AND(W359&lt;&gt;"",F359&lt;&gt;"Arbeidskosten"),W359*VLOOKUP(F359,Tb_ProjectKosten[],MATCH(Tb_ProjectKosten[[#Headers],[Forfait_Percentage]],Tb_ProjectKosten[#Headers],0),0),AND(F359="Arbeidskosten",G359&lt;&gt;""),IFERROR(W359*VLOOKUP(G359,Tb_KostenTypen[],3,0)*VLOOKUP(F359,Tb_ProjectKosten[],MATCH(Tb_ProjectKosten[[#Headers],[Forfait_Percentage]],Tb_ProjectKosten[#Headers],0),0),""),W359 &lt;=0,0),"")</f>
        <v/>
      </c>
      <c r="AA359" s="314" t="str" cm="1">
        <f t="array" aca="1" ref="AA359" ca="1">IFERROR(_xlfn.IFS(OR(F359="",LEFT(Methode_Keuze,4)="Geen",Methode_Keuze=""),"",AND(X359&lt;&gt;"",F359&lt;&gt;"Arbeidskosten"),X359*VLOOKUP(F359,Tb_ProjectKosten[],MATCH(Tb_ProjectKosten[[#Headers],[Forfait_Percentage]],Tb_ProjectKosten[#Headers],0),0),AND(F359="Arbeidskosten",G359&lt;&gt;""),IFERROR(X359*VLOOKUP(G359,Tb_KostenTypen[],3,0)*VLOOKUP(F359,Tb_ProjectKosten[],MATCH(Tb_ProjectKosten[[#Headers],[Forfait_Percentage]],Tb_ProjectKosten[#Headers],0),0),""),X359 &lt;=0,0),"")</f>
        <v/>
      </c>
      <c r="AB359" s="314" t="str">
        <f t="shared" ca="1" si="23"/>
        <v/>
      </c>
      <c r="AC359" s="322"/>
      <c r="AD359" s="315"/>
      <c r="AE359" s="32" t="str" cm="1">
        <f t="array" ref="AE359">IFERROR(IF(INDEX(SubsidieTabel!$AD$1:$AG$12,MATCH($F359,SubsidieTabel!$AD$1:$AD$12,0),IFERROR(MATCH(Methode_Keuze,SubsidieTabel!$AD$1:$AG$1,0),2))&lt;&gt;1=TRUE,"ja",""),"")</f>
        <v/>
      </c>
    </row>
    <row r="360" spans="1:31" x14ac:dyDescent="0.25">
      <c r="A360" s="316"/>
      <c r="B360" s="317" t="str">
        <f>IF(A360&lt;&gt;"",_xlfn.MAXIFS($B$1:B359,$A$1:A359,A360)+1,"")</f>
        <v/>
      </c>
      <c r="C360" s="296"/>
      <c r="D360" s="296"/>
      <c r="E360" s="296"/>
      <c r="F360" s="296"/>
      <c r="G360" s="326"/>
      <c r="H360" s="324"/>
      <c r="I360" s="325"/>
      <c r="J360" s="325"/>
      <c r="K360" s="318"/>
      <c r="L360" s="318"/>
      <c r="M360" s="319" t="str">
        <f>IFERROR(VLOOKUP(H360,Lijsten!$H$1:$I$100,2,0),"")</f>
        <v/>
      </c>
      <c r="N360" s="319" t="str">
        <f ca="1">IFERROR(IF(VLOOKUP(F360,Kostentypen!$A$3:$E$21,3,0)=0,"",IF(OR(F360="Arbeidskosten",F360="Vergoeding"),VLOOKUP(G360,Tb_KostenTypen[],2,0),VLOOKUP(F360,Kostentypen!$A$3:$E$20,3,0))),"")</f>
        <v/>
      </c>
      <c r="O360" s="320" t="str" cm="1">
        <f t="array" ref="O360">_xlfn.IFNA(IF(INDEX(Tb_KostenOptiesDB[],MATCH($F360,Tb_KostenOptiesDB[KostenOptie],0),IFERROR(MATCH(Methode_Keuze,Tb_KostenOptiesDB[#Headers],0),2))=1,_xlfn.SWITCH($N360,"Uurtarief",IF(OR(AND(RIGHT($F360,3)="IKS",VLOOKUP($M360,DB_Loonkosten,2,0)="Ja"),AND(RIGHT($F360,3)&lt;&gt;"IKS",VLOOKUP($M360,DB_Loonkosten,2,0)="Nee")),IFERROR(VLOOKUP($M360,DB_Loonkosten,24,0),""),0),"Vast tarief",IF(LEFT(F360,8)="Bijdrage",VLOOKUP($F360,Tb_KostenTypen[],MATCH(Lijsten!$P$1,Tb_KostenTypen[#Headers],0),0),VLOOKUP($G360,Lijsten!L:P,MATCH(Lijsten!$P$1,Kop_Tarief_Vast,0),0))),""),"")</f>
        <v/>
      </c>
      <c r="P360" s="320" t="str" cm="1">
        <f t="array" ref="P360">_xlfn.IFNA(IF(INDEX(Tb_KostenOptiesDB[],MATCH($F360,Tb_KostenOptiesDB[KostenOptie],0),IFERROR(MATCH(Methode_Keuze,Tb_KostenOptiesDB[#Headers],0),2))=1,_xlfn.SWITCH($N360,"Uurtarief",IF(OR(AND(RIGHT($F360,3)="IKS",VLOOKUP($M360,DB_Loonkosten,2,0)="Ja"),AND(RIGHT($F360,3)&lt;&gt;"IKS",VLOOKUP($M360,DB_Loonkosten,2,0)="Nee")),IFERROR(VLOOKUP($M360,DB_Loonkosten,25,0),""),0),"Vast tarief",IF(LEFT(F360,8)="Bijdrage",VLOOKUP($F360,Tb_KostenTypen[],MATCH(Lijsten!$P$1,Tb_KostenTypen[#Headers],0),0),VLOOKUP($G360,Lijsten!L:P,MATCH(Lijsten!$P$1,Kop_Tarief_Vast,0),0))),""),"")</f>
        <v/>
      </c>
      <c r="Q360" s="359"/>
      <c r="R360" s="359"/>
      <c r="S360" s="321"/>
      <c r="T360" s="321"/>
      <c r="U360" s="373" t="str">
        <f t="shared" si="20"/>
        <v/>
      </c>
      <c r="V360" s="314" t="str">
        <f t="shared" si="21"/>
        <v/>
      </c>
      <c r="W360" s="314" t="str" cm="1">
        <f t="array" aca="1" ref="W360" ca="1">IFERROR(IF(AE360&lt;&gt;"ja",_xlfn.IFNA(_xlfn.IFS(AND(O360&lt;&gt;"",F360&lt;&gt;"",RIGHT($N360,6)="tarief",F360="Vergoeding"),SUM(O360)*FLOOR(SUM(Q360),0.0001),AND(O360&lt;&gt;"",F360&lt;&gt;"",RIGHT($N360,6)="tarief"),SUM(O360)*FLOOR(SUM(Q360),0.01),S360&gt;0,IF(F360&lt;&gt;"",FLOOR(SUM(S360),0.01),"")),""),""),"")</f>
        <v/>
      </c>
      <c r="X360" s="314" t="str" cm="1">
        <f t="array" aca="1" ref="X360" ca="1">IFERROR(IF(AE360&lt;&gt;"ja",_xlfn.IFNA(_xlfn.IFS(AND(P360&lt;&gt;"",R360&lt;&gt;"",RIGHT($N360,6)="tarief",F360="Vergoeding"),SUM(P360)*FLOOR(SUM(R360),0.0001),AND(P360&lt;&gt;"",R360&lt;&gt;"",RIGHT($N360,6)="tarief"),P360*FLOOR(R360,0.01),T360&gt;0,FLOOR(SUM(T360),0.01)),""),""),"")</f>
        <v/>
      </c>
      <c r="Y360" s="314" t="str">
        <f t="shared" ca="1" si="22"/>
        <v/>
      </c>
      <c r="Z360" s="314" t="str" cm="1">
        <f t="array" aca="1" ref="Z360" ca="1">IFERROR(_xlfn.IFS(OR(F360="",LEFT(Methode_Keuze,4)="Geen",Methode_Keuze=""),"",AND(W360&lt;&gt;"",F360&lt;&gt;"Arbeidskosten"),W360*VLOOKUP(F360,Tb_ProjectKosten[],MATCH(Tb_ProjectKosten[[#Headers],[Forfait_Percentage]],Tb_ProjectKosten[#Headers],0),0),AND(F360="Arbeidskosten",G360&lt;&gt;""),IFERROR(W360*VLOOKUP(G360,Tb_KostenTypen[],3,0)*VLOOKUP(F360,Tb_ProjectKosten[],MATCH(Tb_ProjectKosten[[#Headers],[Forfait_Percentage]],Tb_ProjectKosten[#Headers],0),0),""),W360 &lt;=0,0),"")</f>
        <v/>
      </c>
      <c r="AA360" s="314" t="str" cm="1">
        <f t="array" aca="1" ref="AA360" ca="1">IFERROR(_xlfn.IFS(OR(F360="",LEFT(Methode_Keuze,4)="Geen",Methode_Keuze=""),"",AND(X360&lt;&gt;"",F360&lt;&gt;"Arbeidskosten"),X360*VLOOKUP(F360,Tb_ProjectKosten[],MATCH(Tb_ProjectKosten[[#Headers],[Forfait_Percentage]],Tb_ProjectKosten[#Headers],0),0),AND(F360="Arbeidskosten",G360&lt;&gt;""),IFERROR(X360*VLOOKUP(G360,Tb_KostenTypen[],3,0)*VLOOKUP(F360,Tb_ProjectKosten[],MATCH(Tb_ProjectKosten[[#Headers],[Forfait_Percentage]],Tb_ProjectKosten[#Headers],0),0),""),X360 &lt;=0,0),"")</f>
        <v/>
      </c>
      <c r="AB360" s="314" t="str">
        <f t="shared" ca="1" si="23"/>
        <v/>
      </c>
      <c r="AC360" s="322"/>
      <c r="AD360" s="315"/>
      <c r="AE360" s="32" t="str" cm="1">
        <f t="array" ref="AE360">IFERROR(IF(INDEX(SubsidieTabel!$AD$1:$AG$12,MATCH($F360,SubsidieTabel!$AD$1:$AD$12,0),IFERROR(MATCH(Methode_Keuze,SubsidieTabel!$AD$1:$AG$1,0),2))&lt;&gt;1=TRUE,"ja",""),"")</f>
        <v/>
      </c>
    </row>
    <row r="361" spans="1:31" x14ac:dyDescent="0.25">
      <c r="A361" s="316"/>
      <c r="B361" s="317" t="str">
        <f>IF(A361&lt;&gt;"",_xlfn.MAXIFS($B$1:B360,$A$1:A360,A361)+1,"")</f>
        <v/>
      </c>
      <c r="C361" s="296"/>
      <c r="D361" s="296"/>
      <c r="E361" s="296"/>
      <c r="F361" s="296"/>
      <c r="G361" s="326"/>
      <c r="H361" s="324"/>
      <c r="I361" s="325"/>
      <c r="J361" s="325"/>
      <c r="K361" s="318"/>
      <c r="L361" s="318"/>
      <c r="M361" s="319" t="str">
        <f>IFERROR(VLOOKUP(H361,Lijsten!$H$1:$I$100,2,0),"")</f>
        <v/>
      </c>
      <c r="N361" s="319" t="str">
        <f ca="1">IFERROR(IF(VLOOKUP(F361,Kostentypen!$A$3:$E$21,3,0)=0,"",IF(OR(F361="Arbeidskosten",F361="Vergoeding"),VLOOKUP(G361,Tb_KostenTypen[],2,0),VLOOKUP(F361,Kostentypen!$A$3:$E$20,3,0))),"")</f>
        <v/>
      </c>
      <c r="O361" s="320" t="str" cm="1">
        <f t="array" ref="O361">_xlfn.IFNA(IF(INDEX(Tb_KostenOptiesDB[],MATCH($F361,Tb_KostenOptiesDB[KostenOptie],0),IFERROR(MATCH(Methode_Keuze,Tb_KostenOptiesDB[#Headers],0),2))=1,_xlfn.SWITCH($N361,"Uurtarief",IF(OR(AND(RIGHT($F361,3)="IKS",VLOOKUP($M361,DB_Loonkosten,2,0)="Ja"),AND(RIGHT($F361,3)&lt;&gt;"IKS",VLOOKUP($M361,DB_Loonkosten,2,0)="Nee")),IFERROR(VLOOKUP($M361,DB_Loonkosten,24,0),""),0),"Vast tarief",IF(LEFT(F361,8)="Bijdrage",VLOOKUP($F361,Tb_KostenTypen[],MATCH(Lijsten!$P$1,Tb_KostenTypen[#Headers],0),0),VLOOKUP($G361,Lijsten!L:P,MATCH(Lijsten!$P$1,Kop_Tarief_Vast,0),0))),""),"")</f>
        <v/>
      </c>
      <c r="P361" s="320" t="str" cm="1">
        <f t="array" ref="P361">_xlfn.IFNA(IF(INDEX(Tb_KostenOptiesDB[],MATCH($F361,Tb_KostenOptiesDB[KostenOptie],0),IFERROR(MATCH(Methode_Keuze,Tb_KostenOptiesDB[#Headers],0),2))=1,_xlfn.SWITCH($N361,"Uurtarief",IF(OR(AND(RIGHT($F361,3)="IKS",VLOOKUP($M361,DB_Loonkosten,2,0)="Ja"),AND(RIGHT($F361,3)&lt;&gt;"IKS",VLOOKUP($M361,DB_Loonkosten,2,0)="Nee")),IFERROR(VLOOKUP($M361,DB_Loonkosten,25,0),""),0),"Vast tarief",IF(LEFT(F361,8)="Bijdrage",VLOOKUP($F361,Tb_KostenTypen[],MATCH(Lijsten!$P$1,Tb_KostenTypen[#Headers],0),0),VLOOKUP($G361,Lijsten!L:P,MATCH(Lijsten!$P$1,Kop_Tarief_Vast,0),0))),""),"")</f>
        <v/>
      </c>
      <c r="Q361" s="359"/>
      <c r="R361" s="359"/>
      <c r="S361" s="321"/>
      <c r="T361" s="321"/>
      <c r="U361" s="373" t="str">
        <f t="shared" si="20"/>
        <v/>
      </c>
      <c r="V361" s="314" t="str">
        <f t="shared" si="21"/>
        <v/>
      </c>
      <c r="W361" s="314" t="str" cm="1">
        <f t="array" aca="1" ref="W361" ca="1">IFERROR(IF(AE361&lt;&gt;"ja",_xlfn.IFNA(_xlfn.IFS(AND(O361&lt;&gt;"",F361&lt;&gt;"",RIGHT($N361,6)="tarief",F361="Vergoeding"),SUM(O361)*FLOOR(SUM(Q361),0.0001),AND(O361&lt;&gt;"",F361&lt;&gt;"",RIGHT($N361,6)="tarief"),SUM(O361)*FLOOR(SUM(Q361),0.01),S361&gt;0,IF(F361&lt;&gt;"",FLOOR(SUM(S361),0.01),"")),""),""),"")</f>
        <v/>
      </c>
      <c r="X361" s="314" t="str" cm="1">
        <f t="array" aca="1" ref="X361" ca="1">IFERROR(IF(AE361&lt;&gt;"ja",_xlfn.IFNA(_xlfn.IFS(AND(P361&lt;&gt;"",R361&lt;&gt;"",RIGHT($N361,6)="tarief",F361="Vergoeding"),SUM(P361)*FLOOR(SUM(R361),0.0001),AND(P361&lt;&gt;"",R361&lt;&gt;"",RIGHT($N361,6)="tarief"),P361*FLOOR(R361,0.01),T361&gt;0,FLOOR(SUM(T361),0.01)),""),""),"")</f>
        <v/>
      </c>
      <c r="Y361" s="314" t="str">
        <f t="shared" ca="1" si="22"/>
        <v/>
      </c>
      <c r="Z361" s="314" t="str" cm="1">
        <f t="array" aca="1" ref="Z361" ca="1">IFERROR(_xlfn.IFS(OR(F361="",LEFT(Methode_Keuze,4)="Geen",Methode_Keuze=""),"",AND(W361&lt;&gt;"",F361&lt;&gt;"Arbeidskosten"),W361*VLOOKUP(F361,Tb_ProjectKosten[],MATCH(Tb_ProjectKosten[[#Headers],[Forfait_Percentage]],Tb_ProjectKosten[#Headers],0),0),AND(F361="Arbeidskosten",G361&lt;&gt;""),IFERROR(W361*VLOOKUP(G361,Tb_KostenTypen[],3,0)*VLOOKUP(F361,Tb_ProjectKosten[],MATCH(Tb_ProjectKosten[[#Headers],[Forfait_Percentage]],Tb_ProjectKosten[#Headers],0),0),""),W361 &lt;=0,0),"")</f>
        <v/>
      </c>
      <c r="AA361" s="314" t="str" cm="1">
        <f t="array" aca="1" ref="AA361" ca="1">IFERROR(_xlfn.IFS(OR(F361="",LEFT(Methode_Keuze,4)="Geen",Methode_Keuze=""),"",AND(X361&lt;&gt;"",F361&lt;&gt;"Arbeidskosten"),X361*VLOOKUP(F361,Tb_ProjectKosten[],MATCH(Tb_ProjectKosten[[#Headers],[Forfait_Percentage]],Tb_ProjectKosten[#Headers],0),0),AND(F361="Arbeidskosten",G361&lt;&gt;""),IFERROR(X361*VLOOKUP(G361,Tb_KostenTypen[],3,0)*VLOOKUP(F361,Tb_ProjectKosten[],MATCH(Tb_ProjectKosten[[#Headers],[Forfait_Percentage]],Tb_ProjectKosten[#Headers],0),0),""),X361 &lt;=0,0),"")</f>
        <v/>
      </c>
      <c r="AB361" s="314" t="str">
        <f t="shared" ca="1" si="23"/>
        <v/>
      </c>
      <c r="AC361" s="322"/>
      <c r="AD361" s="315"/>
      <c r="AE361" s="32" t="str" cm="1">
        <f t="array" ref="AE361">IFERROR(IF(INDEX(SubsidieTabel!$AD$1:$AG$12,MATCH($F361,SubsidieTabel!$AD$1:$AD$12,0),IFERROR(MATCH(Methode_Keuze,SubsidieTabel!$AD$1:$AG$1,0),2))&lt;&gt;1=TRUE,"ja",""),"")</f>
        <v/>
      </c>
    </row>
    <row r="362" spans="1:31" x14ac:dyDescent="0.25">
      <c r="A362" s="316"/>
      <c r="B362" s="317" t="str">
        <f>IF(A362&lt;&gt;"",_xlfn.MAXIFS($B$1:B361,$A$1:A361,A362)+1,"")</f>
        <v/>
      </c>
      <c r="C362" s="296"/>
      <c r="D362" s="296"/>
      <c r="E362" s="296"/>
      <c r="F362" s="296"/>
      <c r="G362" s="326"/>
      <c r="H362" s="324"/>
      <c r="I362" s="325"/>
      <c r="J362" s="325"/>
      <c r="K362" s="318"/>
      <c r="L362" s="318"/>
      <c r="M362" s="319" t="str">
        <f>IFERROR(VLOOKUP(H362,Lijsten!$H$1:$I$100,2,0),"")</f>
        <v/>
      </c>
      <c r="N362" s="319" t="str">
        <f ca="1">IFERROR(IF(VLOOKUP(F362,Kostentypen!$A$3:$E$21,3,0)=0,"",IF(OR(F362="Arbeidskosten",F362="Vergoeding"),VLOOKUP(G362,Tb_KostenTypen[],2,0),VLOOKUP(F362,Kostentypen!$A$3:$E$20,3,0))),"")</f>
        <v/>
      </c>
      <c r="O362" s="320" t="str" cm="1">
        <f t="array" ref="O362">_xlfn.IFNA(IF(INDEX(Tb_KostenOptiesDB[],MATCH($F362,Tb_KostenOptiesDB[KostenOptie],0),IFERROR(MATCH(Methode_Keuze,Tb_KostenOptiesDB[#Headers],0),2))=1,_xlfn.SWITCH($N362,"Uurtarief",IF(OR(AND(RIGHT($F362,3)="IKS",VLOOKUP($M362,DB_Loonkosten,2,0)="Ja"),AND(RIGHT($F362,3)&lt;&gt;"IKS",VLOOKUP($M362,DB_Loonkosten,2,0)="Nee")),IFERROR(VLOOKUP($M362,DB_Loonkosten,24,0),""),0),"Vast tarief",IF(LEFT(F362,8)="Bijdrage",VLOOKUP($F362,Tb_KostenTypen[],MATCH(Lijsten!$P$1,Tb_KostenTypen[#Headers],0),0),VLOOKUP($G362,Lijsten!L:P,MATCH(Lijsten!$P$1,Kop_Tarief_Vast,0),0))),""),"")</f>
        <v/>
      </c>
      <c r="P362" s="320" t="str" cm="1">
        <f t="array" ref="P362">_xlfn.IFNA(IF(INDEX(Tb_KostenOptiesDB[],MATCH($F362,Tb_KostenOptiesDB[KostenOptie],0),IFERROR(MATCH(Methode_Keuze,Tb_KostenOptiesDB[#Headers],0),2))=1,_xlfn.SWITCH($N362,"Uurtarief",IF(OR(AND(RIGHT($F362,3)="IKS",VLOOKUP($M362,DB_Loonkosten,2,0)="Ja"),AND(RIGHT($F362,3)&lt;&gt;"IKS",VLOOKUP($M362,DB_Loonkosten,2,0)="Nee")),IFERROR(VLOOKUP($M362,DB_Loonkosten,25,0),""),0),"Vast tarief",IF(LEFT(F362,8)="Bijdrage",VLOOKUP($F362,Tb_KostenTypen[],MATCH(Lijsten!$P$1,Tb_KostenTypen[#Headers],0),0),VLOOKUP($G362,Lijsten!L:P,MATCH(Lijsten!$P$1,Kop_Tarief_Vast,0),0))),""),"")</f>
        <v/>
      </c>
      <c r="Q362" s="359"/>
      <c r="R362" s="359"/>
      <c r="S362" s="321"/>
      <c r="T362" s="321"/>
      <c r="U362" s="373" t="str">
        <f t="shared" si="20"/>
        <v/>
      </c>
      <c r="V362" s="314" t="str">
        <f t="shared" si="21"/>
        <v/>
      </c>
      <c r="W362" s="314" t="str" cm="1">
        <f t="array" aca="1" ref="W362" ca="1">IFERROR(IF(AE362&lt;&gt;"ja",_xlfn.IFNA(_xlfn.IFS(AND(O362&lt;&gt;"",F362&lt;&gt;"",RIGHT($N362,6)="tarief",F362="Vergoeding"),SUM(O362)*FLOOR(SUM(Q362),0.0001),AND(O362&lt;&gt;"",F362&lt;&gt;"",RIGHT($N362,6)="tarief"),SUM(O362)*FLOOR(SUM(Q362),0.01),S362&gt;0,IF(F362&lt;&gt;"",FLOOR(SUM(S362),0.01),"")),""),""),"")</f>
        <v/>
      </c>
      <c r="X362" s="314" t="str" cm="1">
        <f t="array" aca="1" ref="X362" ca="1">IFERROR(IF(AE362&lt;&gt;"ja",_xlfn.IFNA(_xlfn.IFS(AND(P362&lt;&gt;"",R362&lt;&gt;"",RIGHT($N362,6)="tarief",F362="Vergoeding"),SUM(P362)*FLOOR(SUM(R362),0.0001),AND(P362&lt;&gt;"",R362&lt;&gt;"",RIGHT($N362,6)="tarief"),P362*FLOOR(R362,0.01),T362&gt;0,FLOOR(SUM(T362),0.01)),""),""),"")</f>
        <v/>
      </c>
      <c r="Y362" s="314" t="str">
        <f t="shared" ca="1" si="22"/>
        <v/>
      </c>
      <c r="Z362" s="314" t="str" cm="1">
        <f t="array" aca="1" ref="Z362" ca="1">IFERROR(_xlfn.IFS(OR(F362="",LEFT(Methode_Keuze,4)="Geen",Methode_Keuze=""),"",AND(W362&lt;&gt;"",F362&lt;&gt;"Arbeidskosten"),W362*VLOOKUP(F362,Tb_ProjectKosten[],MATCH(Tb_ProjectKosten[[#Headers],[Forfait_Percentage]],Tb_ProjectKosten[#Headers],0),0),AND(F362="Arbeidskosten",G362&lt;&gt;""),IFERROR(W362*VLOOKUP(G362,Tb_KostenTypen[],3,0)*VLOOKUP(F362,Tb_ProjectKosten[],MATCH(Tb_ProjectKosten[[#Headers],[Forfait_Percentage]],Tb_ProjectKosten[#Headers],0),0),""),W362 &lt;=0,0),"")</f>
        <v/>
      </c>
      <c r="AA362" s="314" t="str" cm="1">
        <f t="array" aca="1" ref="AA362" ca="1">IFERROR(_xlfn.IFS(OR(F362="",LEFT(Methode_Keuze,4)="Geen",Methode_Keuze=""),"",AND(X362&lt;&gt;"",F362&lt;&gt;"Arbeidskosten"),X362*VLOOKUP(F362,Tb_ProjectKosten[],MATCH(Tb_ProjectKosten[[#Headers],[Forfait_Percentage]],Tb_ProjectKosten[#Headers],0),0),AND(F362="Arbeidskosten",G362&lt;&gt;""),IFERROR(X362*VLOOKUP(G362,Tb_KostenTypen[],3,0)*VLOOKUP(F362,Tb_ProjectKosten[],MATCH(Tb_ProjectKosten[[#Headers],[Forfait_Percentage]],Tb_ProjectKosten[#Headers],0),0),""),X362 &lt;=0,0),"")</f>
        <v/>
      </c>
      <c r="AB362" s="314" t="str">
        <f t="shared" ca="1" si="23"/>
        <v/>
      </c>
      <c r="AC362" s="322"/>
      <c r="AD362" s="315"/>
      <c r="AE362" s="32" t="str" cm="1">
        <f t="array" ref="AE362">IFERROR(IF(INDEX(SubsidieTabel!$AD$1:$AG$12,MATCH($F362,SubsidieTabel!$AD$1:$AD$12,0),IFERROR(MATCH(Methode_Keuze,SubsidieTabel!$AD$1:$AG$1,0),2))&lt;&gt;1=TRUE,"ja",""),"")</f>
        <v/>
      </c>
    </row>
    <row r="363" spans="1:31" x14ac:dyDescent="0.25">
      <c r="A363" s="316"/>
      <c r="B363" s="317" t="str">
        <f>IF(A363&lt;&gt;"",_xlfn.MAXIFS($B$1:B362,$A$1:A362,A363)+1,"")</f>
        <v/>
      </c>
      <c r="C363" s="296"/>
      <c r="D363" s="296"/>
      <c r="E363" s="296"/>
      <c r="F363" s="296"/>
      <c r="G363" s="326"/>
      <c r="H363" s="324"/>
      <c r="I363" s="325"/>
      <c r="J363" s="325"/>
      <c r="K363" s="318"/>
      <c r="L363" s="318"/>
      <c r="M363" s="319" t="str">
        <f>IFERROR(VLOOKUP(H363,Lijsten!$H$1:$I$100,2,0),"")</f>
        <v/>
      </c>
      <c r="N363" s="319" t="str">
        <f ca="1">IFERROR(IF(VLOOKUP(F363,Kostentypen!$A$3:$E$21,3,0)=0,"",IF(OR(F363="Arbeidskosten",F363="Vergoeding"),VLOOKUP(G363,Tb_KostenTypen[],2,0),VLOOKUP(F363,Kostentypen!$A$3:$E$20,3,0))),"")</f>
        <v/>
      </c>
      <c r="O363" s="320" t="str" cm="1">
        <f t="array" ref="O363">_xlfn.IFNA(IF(INDEX(Tb_KostenOptiesDB[],MATCH($F363,Tb_KostenOptiesDB[KostenOptie],0),IFERROR(MATCH(Methode_Keuze,Tb_KostenOptiesDB[#Headers],0),2))=1,_xlfn.SWITCH($N363,"Uurtarief",IF(OR(AND(RIGHT($F363,3)="IKS",VLOOKUP($M363,DB_Loonkosten,2,0)="Ja"),AND(RIGHT($F363,3)&lt;&gt;"IKS",VLOOKUP($M363,DB_Loonkosten,2,0)="Nee")),IFERROR(VLOOKUP($M363,DB_Loonkosten,24,0),""),0),"Vast tarief",IF(LEFT(F363,8)="Bijdrage",VLOOKUP($F363,Tb_KostenTypen[],MATCH(Lijsten!$P$1,Tb_KostenTypen[#Headers],0),0),VLOOKUP($G363,Lijsten!L:P,MATCH(Lijsten!$P$1,Kop_Tarief_Vast,0),0))),""),"")</f>
        <v/>
      </c>
      <c r="P363" s="320" t="str" cm="1">
        <f t="array" ref="P363">_xlfn.IFNA(IF(INDEX(Tb_KostenOptiesDB[],MATCH($F363,Tb_KostenOptiesDB[KostenOptie],0),IFERROR(MATCH(Methode_Keuze,Tb_KostenOptiesDB[#Headers],0),2))=1,_xlfn.SWITCH($N363,"Uurtarief",IF(OR(AND(RIGHT($F363,3)="IKS",VLOOKUP($M363,DB_Loonkosten,2,0)="Ja"),AND(RIGHT($F363,3)&lt;&gt;"IKS",VLOOKUP($M363,DB_Loonkosten,2,0)="Nee")),IFERROR(VLOOKUP($M363,DB_Loonkosten,25,0),""),0),"Vast tarief",IF(LEFT(F363,8)="Bijdrage",VLOOKUP($F363,Tb_KostenTypen[],MATCH(Lijsten!$P$1,Tb_KostenTypen[#Headers],0),0),VLOOKUP($G363,Lijsten!L:P,MATCH(Lijsten!$P$1,Kop_Tarief_Vast,0),0))),""),"")</f>
        <v/>
      </c>
      <c r="Q363" s="359"/>
      <c r="R363" s="359"/>
      <c r="S363" s="321"/>
      <c r="T363" s="321"/>
      <c r="U363" s="373" t="str">
        <f t="shared" si="20"/>
        <v/>
      </c>
      <c r="V363" s="314" t="str">
        <f t="shared" si="21"/>
        <v/>
      </c>
      <c r="W363" s="314" t="str" cm="1">
        <f t="array" aca="1" ref="W363" ca="1">IFERROR(IF(AE363&lt;&gt;"ja",_xlfn.IFNA(_xlfn.IFS(AND(O363&lt;&gt;"",F363&lt;&gt;"",RIGHT($N363,6)="tarief",F363="Vergoeding"),SUM(O363)*FLOOR(SUM(Q363),0.0001),AND(O363&lt;&gt;"",F363&lt;&gt;"",RIGHT($N363,6)="tarief"),SUM(O363)*FLOOR(SUM(Q363),0.01),S363&gt;0,IF(F363&lt;&gt;"",FLOOR(SUM(S363),0.01),"")),""),""),"")</f>
        <v/>
      </c>
      <c r="X363" s="314" t="str" cm="1">
        <f t="array" aca="1" ref="X363" ca="1">IFERROR(IF(AE363&lt;&gt;"ja",_xlfn.IFNA(_xlfn.IFS(AND(P363&lt;&gt;"",R363&lt;&gt;"",RIGHT($N363,6)="tarief",F363="Vergoeding"),SUM(P363)*FLOOR(SUM(R363),0.0001),AND(P363&lt;&gt;"",R363&lt;&gt;"",RIGHT($N363,6)="tarief"),P363*FLOOR(R363,0.01),T363&gt;0,FLOOR(SUM(T363),0.01)),""),""),"")</f>
        <v/>
      </c>
      <c r="Y363" s="314" t="str">
        <f t="shared" ca="1" si="22"/>
        <v/>
      </c>
      <c r="Z363" s="314" t="str" cm="1">
        <f t="array" aca="1" ref="Z363" ca="1">IFERROR(_xlfn.IFS(OR(F363="",LEFT(Methode_Keuze,4)="Geen",Methode_Keuze=""),"",AND(W363&lt;&gt;"",F363&lt;&gt;"Arbeidskosten"),W363*VLOOKUP(F363,Tb_ProjectKosten[],MATCH(Tb_ProjectKosten[[#Headers],[Forfait_Percentage]],Tb_ProjectKosten[#Headers],0),0),AND(F363="Arbeidskosten",G363&lt;&gt;""),IFERROR(W363*VLOOKUP(G363,Tb_KostenTypen[],3,0)*VLOOKUP(F363,Tb_ProjectKosten[],MATCH(Tb_ProjectKosten[[#Headers],[Forfait_Percentage]],Tb_ProjectKosten[#Headers],0),0),""),W363 &lt;=0,0),"")</f>
        <v/>
      </c>
      <c r="AA363" s="314" t="str" cm="1">
        <f t="array" aca="1" ref="AA363" ca="1">IFERROR(_xlfn.IFS(OR(F363="",LEFT(Methode_Keuze,4)="Geen",Methode_Keuze=""),"",AND(X363&lt;&gt;"",F363&lt;&gt;"Arbeidskosten"),X363*VLOOKUP(F363,Tb_ProjectKosten[],MATCH(Tb_ProjectKosten[[#Headers],[Forfait_Percentage]],Tb_ProjectKosten[#Headers],0),0),AND(F363="Arbeidskosten",G363&lt;&gt;""),IFERROR(X363*VLOOKUP(G363,Tb_KostenTypen[],3,0)*VLOOKUP(F363,Tb_ProjectKosten[],MATCH(Tb_ProjectKosten[[#Headers],[Forfait_Percentage]],Tb_ProjectKosten[#Headers],0),0),""),X363 &lt;=0,0),"")</f>
        <v/>
      </c>
      <c r="AB363" s="314" t="str">
        <f t="shared" ca="1" si="23"/>
        <v/>
      </c>
      <c r="AC363" s="322"/>
      <c r="AD363" s="315"/>
      <c r="AE363" s="32" t="str" cm="1">
        <f t="array" ref="AE363">IFERROR(IF(INDEX(SubsidieTabel!$AD$1:$AG$12,MATCH($F363,SubsidieTabel!$AD$1:$AD$12,0),IFERROR(MATCH(Methode_Keuze,SubsidieTabel!$AD$1:$AG$1,0),2))&lt;&gt;1=TRUE,"ja",""),"")</f>
        <v/>
      </c>
    </row>
    <row r="364" spans="1:31" x14ac:dyDescent="0.25">
      <c r="A364" s="316"/>
      <c r="B364" s="317" t="str">
        <f>IF(A364&lt;&gt;"",_xlfn.MAXIFS($B$1:B363,$A$1:A363,A364)+1,"")</f>
        <v/>
      </c>
      <c r="C364" s="296"/>
      <c r="D364" s="296"/>
      <c r="E364" s="296"/>
      <c r="F364" s="296"/>
      <c r="G364" s="326"/>
      <c r="H364" s="324"/>
      <c r="I364" s="325"/>
      <c r="J364" s="325"/>
      <c r="K364" s="318"/>
      <c r="L364" s="318"/>
      <c r="M364" s="319" t="str">
        <f>IFERROR(VLOOKUP(H364,Lijsten!$H$1:$I$100,2,0),"")</f>
        <v/>
      </c>
      <c r="N364" s="319" t="str">
        <f ca="1">IFERROR(IF(VLOOKUP(F364,Kostentypen!$A$3:$E$21,3,0)=0,"",IF(OR(F364="Arbeidskosten",F364="Vergoeding"),VLOOKUP(G364,Tb_KostenTypen[],2,0),VLOOKUP(F364,Kostentypen!$A$3:$E$20,3,0))),"")</f>
        <v/>
      </c>
      <c r="O364" s="320" t="str" cm="1">
        <f t="array" ref="O364">_xlfn.IFNA(IF(INDEX(Tb_KostenOptiesDB[],MATCH($F364,Tb_KostenOptiesDB[KostenOptie],0),IFERROR(MATCH(Methode_Keuze,Tb_KostenOptiesDB[#Headers],0),2))=1,_xlfn.SWITCH($N364,"Uurtarief",IF(OR(AND(RIGHT($F364,3)="IKS",VLOOKUP($M364,DB_Loonkosten,2,0)="Ja"),AND(RIGHT($F364,3)&lt;&gt;"IKS",VLOOKUP($M364,DB_Loonkosten,2,0)="Nee")),IFERROR(VLOOKUP($M364,DB_Loonkosten,24,0),""),0),"Vast tarief",IF(LEFT(F364,8)="Bijdrage",VLOOKUP($F364,Tb_KostenTypen[],MATCH(Lijsten!$P$1,Tb_KostenTypen[#Headers],0),0),VLOOKUP($G364,Lijsten!L:P,MATCH(Lijsten!$P$1,Kop_Tarief_Vast,0),0))),""),"")</f>
        <v/>
      </c>
      <c r="P364" s="320" t="str" cm="1">
        <f t="array" ref="P364">_xlfn.IFNA(IF(INDEX(Tb_KostenOptiesDB[],MATCH($F364,Tb_KostenOptiesDB[KostenOptie],0),IFERROR(MATCH(Methode_Keuze,Tb_KostenOptiesDB[#Headers],0),2))=1,_xlfn.SWITCH($N364,"Uurtarief",IF(OR(AND(RIGHT($F364,3)="IKS",VLOOKUP($M364,DB_Loonkosten,2,0)="Ja"),AND(RIGHT($F364,3)&lt;&gt;"IKS",VLOOKUP($M364,DB_Loonkosten,2,0)="Nee")),IFERROR(VLOOKUP($M364,DB_Loonkosten,25,0),""),0),"Vast tarief",IF(LEFT(F364,8)="Bijdrage",VLOOKUP($F364,Tb_KostenTypen[],MATCH(Lijsten!$P$1,Tb_KostenTypen[#Headers],0),0),VLOOKUP($G364,Lijsten!L:P,MATCH(Lijsten!$P$1,Kop_Tarief_Vast,0),0))),""),"")</f>
        <v/>
      </c>
      <c r="Q364" s="359"/>
      <c r="R364" s="359"/>
      <c r="S364" s="321"/>
      <c r="T364" s="321"/>
      <c r="U364" s="373" t="str">
        <f t="shared" si="20"/>
        <v/>
      </c>
      <c r="V364" s="314" t="str">
        <f t="shared" si="21"/>
        <v/>
      </c>
      <c r="W364" s="314" t="str" cm="1">
        <f t="array" aca="1" ref="W364" ca="1">IFERROR(IF(AE364&lt;&gt;"ja",_xlfn.IFNA(_xlfn.IFS(AND(O364&lt;&gt;"",F364&lt;&gt;"",RIGHT($N364,6)="tarief",F364="Vergoeding"),SUM(O364)*FLOOR(SUM(Q364),0.0001),AND(O364&lt;&gt;"",F364&lt;&gt;"",RIGHT($N364,6)="tarief"),SUM(O364)*FLOOR(SUM(Q364),0.01),S364&gt;0,IF(F364&lt;&gt;"",FLOOR(SUM(S364),0.01),"")),""),""),"")</f>
        <v/>
      </c>
      <c r="X364" s="314" t="str" cm="1">
        <f t="array" aca="1" ref="X364" ca="1">IFERROR(IF(AE364&lt;&gt;"ja",_xlfn.IFNA(_xlfn.IFS(AND(P364&lt;&gt;"",R364&lt;&gt;"",RIGHT($N364,6)="tarief",F364="Vergoeding"),SUM(P364)*FLOOR(SUM(R364),0.0001),AND(P364&lt;&gt;"",R364&lt;&gt;"",RIGHT($N364,6)="tarief"),P364*FLOOR(R364,0.01),T364&gt;0,FLOOR(SUM(T364),0.01)),""),""),"")</f>
        <v/>
      </c>
      <c r="Y364" s="314" t="str">
        <f t="shared" ca="1" si="22"/>
        <v/>
      </c>
      <c r="Z364" s="314" t="str" cm="1">
        <f t="array" aca="1" ref="Z364" ca="1">IFERROR(_xlfn.IFS(OR(F364="",LEFT(Methode_Keuze,4)="Geen",Methode_Keuze=""),"",AND(W364&lt;&gt;"",F364&lt;&gt;"Arbeidskosten"),W364*VLOOKUP(F364,Tb_ProjectKosten[],MATCH(Tb_ProjectKosten[[#Headers],[Forfait_Percentage]],Tb_ProjectKosten[#Headers],0),0),AND(F364="Arbeidskosten",G364&lt;&gt;""),IFERROR(W364*VLOOKUP(G364,Tb_KostenTypen[],3,0)*VLOOKUP(F364,Tb_ProjectKosten[],MATCH(Tb_ProjectKosten[[#Headers],[Forfait_Percentage]],Tb_ProjectKosten[#Headers],0),0),""),W364 &lt;=0,0),"")</f>
        <v/>
      </c>
      <c r="AA364" s="314" t="str" cm="1">
        <f t="array" aca="1" ref="AA364" ca="1">IFERROR(_xlfn.IFS(OR(F364="",LEFT(Methode_Keuze,4)="Geen",Methode_Keuze=""),"",AND(X364&lt;&gt;"",F364&lt;&gt;"Arbeidskosten"),X364*VLOOKUP(F364,Tb_ProjectKosten[],MATCH(Tb_ProjectKosten[[#Headers],[Forfait_Percentage]],Tb_ProjectKosten[#Headers],0),0),AND(F364="Arbeidskosten",G364&lt;&gt;""),IFERROR(X364*VLOOKUP(G364,Tb_KostenTypen[],3,0)*VLOOKUP(F364,Tb_ProjectKosten[],MATCH(Tb_ProjectKosten[[#Headers],[Forfait_Percentage]],Tb_ProjectKosten[#Headers],0),0),""),X364 &lt;=0,0),"")</f>
        <v/>
      </c>
      <c r="AB364" s="314" t="str">
        <f t="shared" ca="1" si="23"/>
        <v/>
      </c>
      <c r="AC364" s="322"/>
      <c r="AD364" s="315"/>
      <c r="AE364" s="32" t="str" cm="1">
        <f t="array" ref="AE364">IFERROR(IF(INDEX(SubsidieTabel!$AD$1:$AG$12,MATCH($F364,SubsidieTabel!$AD$1:$AD$12,0),IFERROR(MATCH(Methode_Keuze,SubsidieTabel!$AD$1:$AG$1,0),2))&lt;&gt;1=TRUE,"ja",""),"")</f>
        <v/>
      </c>
    </row>
    <row r="365" spans="1:31" x14ac:dyDescent="0.25">
      <c r="A365" s="316"/>
      <c r="B365" s="317" t="str">
        <f>IF(A365&lt;&gt;"",_xlfn.MAXIFS($B$1:B364,$A$1:A364,A365)+1,"")</f>
        <v/>
      </c>
      <c r="C365" s="296"/>
      <c r="D365" s="296"/>
      <c r="E365" s="296"/>
      <c r="F365" s="296"/>
      <c r="G365" s="326"/>
      <c r="H365" s="324"/>
      <c r="I365" s="325"/>
      <c r="J365" s="325"/>
      <c r="K365" s="318"/>
      <c r="L365" s="318"/>
      <c r="M365" s="319" t="str">
        <f>IFERROR(VLOOKUP(H365,Lijsten!$H$1:$I$100,2,0),"")</f>
        <v/>
      </c>
      <c r="N365" s="319" t="str">
        <f ca="1">IFERROR(IF(VLOOKUP(F365,Kostentypen!$A$3:$E$21,3,0)=0,"",IF(OR(F365="Arbeidskosten",F365="Vergoeding"),VLOOKUP(G365,Tb_KostenTypen[],2,0),VLOOKUP(F365,Kostentypen!$A$3:$E$20,3,0))),"")</f>
        <v/>
      </c>
      <c r="O365" s="320" t="str" cm="1">
        <f t="array" ref="O365">_xlfn.IFNA(IF(INDEX(Tb_KostenOptiesDB[],MATCH($F365,Tb_KostenOptiesDB[KostenOptie],0),IFERROR(MATCH(Methode_Keuze,Tb_KostenOptiesDB[#Headers],0),2))=1,_xlfn.SWITCH($N365,"Uurtarief",IF(OR(AND(RIGHT($F365,3)="IKS",VLOOKUP($M365,DB_Loonkosten,2,0)="Ja"),AND(RIGHT($F365,3)&lt;&gt;"IKS",VLOOKUP($M365,DB_Loonkosten,2,0)="Nee")),IFERROR(VLOOKUP($M365,DB_Loonkosten,24,0),""),0),"Vast tarief",IF(LEFT(F365,8)="Bijdrage",VLOOKUP($F365,Tb_KostenTypen[],MATCH(Lijsten!$P$1,Tb_KostenTypen[#Headers],0),0),VLOOKUP($G365,Lijsten!L:P,MATCH(Lijsten!$P$1,Kop_Tarief_Vast,0),0))),""),"")</f>
        <v/>
      </c>
      <c r="P365" s="320" t="str" cm="1">
        <f t="array" ref="P365">_xlfn.IFNA(IF(INDEX(Tb_KostenOptiesDB[],MATCH($F365,Tb_KostenOptiesDB[KostenOptie],0),IFERROR(MATCH(Methode_Keuze,Tb_KostenOptiesDB[#Headers],0),2))=1,_xlfn.SWITCH($N365,"Uurtarief",IF(OR(AND(RIGHT($F365,3)="IKS",VLOOKUP($M365,DB_Loonkosten,2,0)="Ja"),AND(RIGHT($F365,3)&lt;&gt;"IKS",VLOOKUP($M365,DB_Loonkosten,2,0)="Nee")),IFERROR(VLOOKUP($M365,DB_Loonkosten,25,0),""),0),"Vast tarief",IF(LEFT(F365,8)="Bijdrage",VLOOKUP($F365,Tb_KostenTypen[],MATCH(Lijsten!$P$1,Tb_KostenTypen[#Headers],0),0),VLOOKUP($G365,Lijsten!L:P,MATCH(Lijsten!$P$1,Kop_Tarief_Vast,0),0))),""),"")</f>
        <v/>
      </c>
      <c r="Q365" s="359"/>
      <c r="R365" s="359"/>
      <c r="S365" s="321"/>
      <c r="T365" s="321"/>
      <c r="U365" s="373" t="str">
        <f t="shared" si="20"/>
        <v/>
      </c>
      <c r="V365" s="314" t="str">
        <f t="shared" si="21"/>
        <v/>
      </c>
      <c r="W365" s="314" t="str" cm="1">
        <f t="array" aca="1" ref="W365" ca="1">IFERROR(IF(AE365&lt;&gt;"ja",_xlfn.IFNA(_xlfn.IFS(AND(O365&lt;&gt;"",F365&lt;&gt;"",RIGHT($N365,6)="tarief",F365="Vergoeding"),SUM(O365)*FLOOR(SUM(Q365),0.0001),AND(O365&lt;&gt;"",F365&lt;&gt;"",RIGHT($N365,6)="tarief"),SUM(O365)*FLOOR(SUM(Q365),0.01),S365&gt;0,IF(F365&lt;&gt;"",FLOOR(SUM(S365),0.01),"")),""),""),"")</f>
        <v/>
      </c>
      <c r="X365" s="314" t="str" cm="1">
        <f t="array" aca="1" ref="X365" ca="1">IFERROR(IF(AE365&lt;&gt;"ja",_xlfn.IFNA(_xlfn.IFS(AND(P365&lt;&gt;"",R365&lt;&gt;"",RIGHT($N365,6)="tarief",F365="Vergoeding"),SUM(P365)*FLOOR(SUM(R365),0.0001),AND(P365&lt;&gt;"",R365&lt;&gt;"",RIGHT($N365,6)="tarief"),P365*FLOOR(R365,0.01),T365&gt;0,FLOOR(SUM(T365),0.01)),""),""),"")</f>
        <v/>
      </c>
      <c r="Y365" s="314" t="str">
        <f t="shared" ca="1" si="22"/>
        <v/>
      </c>
      <c r="Z365" s="314" t="str" cm="1">
        <f t="array" aca="1" ref="Z365" ca="1">IFERROR(_xlfn.IFS(OR(F365="",LEFT(Methode_Keuze,4)="Geen",Methode_Keuze=""),"",AND(W365&lt;&gt;"",F365&lt;&gt;"Arbeidskosten"),W365*VLOOKUP(F365,Tb_ProjectKosten[],MATCH(Tb_ProjectKosten[[#Headers],[Forfait_Percentage]],Tb_ProjectKosten[#Headers],0),0),AND(F365="Arbeidskosten",G365&lt;&gt;""),IFERROR(W365*VLOOKUP(G365,Tb_KostenTypen[],3,0)*VLOOKUP(F365,Tb_ProjectKosten[],MATCH(Tb_ProjectKosten[[#Headers],[Forfait_Percentage]],Tb_ProjectKosten[#Headers],0),0),""),W365 &lt;=0,0),"")</f>
        <v/>
      </c>
      <c r="AA365" s="314" t="str" cm="1">
        <f t="array" aca="1" ref="AA365" ca="1">IFERROR(_xlfn.IFS(OR(F365="",LEFT(Methode_Keuze,4)="Geen",Methode_Keuze=""),"",AND(X365&lt;&gt;"",F365&lt;&gt;"Arbeidskosten"),X365*VLOOKUP(F365,Tb_ProjectKosten[],MATCH(Tb_ProjectKosten[[#Headers],[Forfait_Percentage]],Tb_ProjectKosten[#Headers],0),0),AND(F365="Arbeidskosten",G365&lt;&gt;""),IFERROR(X365*VLOOKUP(G365,Tb_KostenTypen[],3,0)*VLOOKUP(F365,Tb_ProjectKosten[],MATCH(Tb_ProjectKosten[[#Headers],[Forfait_Percentage]],Tb_ProjectKosten[#Headers],0),0),""),X365 &lt;=0,0),"")</f>
        <v/>
      </c>
      <c r="AB365" s="314" t="str">
        <f t="shared" ca="1" si="23"/>
        <v/>
      </c>
      <c r="AC365" s="322"/>
      <c r="AD365" s="315"/>
      <c r="AE365" s="32" t="str" cm="1">
        <f t="array" ref="AE365">IFERROR(IF(INDEX(SubsidieTabel!$AD$1:$AG$12,MATCH($F365,SubsidieTabel!$AD$1:$AD$12,0),IFERROR(MATCH(Methode_Keuze,SubsidieTabel!$AD$1:$AG$1,0),2))&lt;&gt;1=TRUE,"ja",""),"")</f>
        <v/>
      </c>
    </row>
    <row r="366" spans="1:31" x14ac:dyDescent="0.25">
      <c r="A366" s="316"/>
      <c r="B366" s="317" t="str">
        <f>IF(A366&lt;&gt;"",_xlfn.MAXIFS($B$1:B365,$A$1:A365,A366)+1,"")</f>
        <v/>
      </c>
      <c r="C366" s="296"/>
      <c r="D366" s="296"/>
      <c r="E366" s="296"/>
      <c r="F366" s="296"/>
      <c r="G366" s="326"/>
      <c r="H366" s="324"/>
      <c r="I366" s="325"/>
      <c r="J366" s="325"/>
      <c r="K366" s="318"/>
      <c r="L366" s="318"/>
      <c r="M366" s="319" t="str">
        <f>IFERROR(VLOOKUP(H366,Lijsten!$H$1:$I$100,2,0),"")</f>
        <v/>
      </c>
      <c r="N366" s="319" t="str">
        <f ca="1">IFERROR(IF(VLOOKUP(F366,Kostentypen!$A$3:$E$21,3,0)=0,"",IF(OR(F366="Arbeidskosten",F366="Vergoeding"),VLOOKUP(G366,Tb_KostenTypen[],2,0),VLOOKUP(F366,Kostentypen!$A$3:$E$20,3,0))),"")</f>
        <v/>
      </c>
      <c r="O366" s="320" t="str" cm="1">
        <f t="array" ref="O366">_xlfn.IFNA(IF(INDEX(Tb_KostenOptiesDB[],MATCH($F366,Tb_KostenOptiesDB[KostenOptie],0),IFERROR(MATCH(Methode_Keuze,Tb_KostenOptiesDB[#Headers],0),2))=1,_xlfn.SWITCH($N366,"Uurtarief",IF(OR(AND(RIGHT($F366,3)="IKS",VLOOKUP($M366,DB_Loonkosten,2,0)="Ja"),AND(RIGHT($F366,3)&lt;&gt;"IKS",VLOOKUP($M366,DB_Loonkosten,2,0)="Nee")),IFERROR(VLOOKUP($M366,DB_Loonkosten,24,0),""),0),"Vast tarief",IF(LEFT(F366,8)="Bijdrage",VLOOKUP($F366,Tb_KostenTypen[],MATCH(Lijsten!$P$1,Tb_KostenTypen[#Headers],0),0),VLOOKUP($G366,Lijsten!L:P,MATCH(Lijsten!$P$1,Kop_Tarief_Vast,0),0))),""),"")</f>
        <v/>
      </c>
      <c r="P366" s="320" t="str" cm="1">
        <f t="array" ref="P366">_xlfn.IFNA(IF(INDEX(Tb_KostenOptiesDB[],MATCH($F366,Tb_KostenOptiesDB[KostenOptie],0),IFERROR(MATCH(Methode_Keuze,Tb_KostenOptiesDB[#Headers],0),2))=1,_xlfn.SWITCH($N366,"Uurtarief",IF(OR(AND(RIGHT($F366,3)="IKS",VLOOKUP($M366,DB_Loonkosten,2,0)="Ja"),AND(RIGHT($F366,3)&lt;&gt;"IKS",VLOOKUP($M366,DB_Loonkosten,2,0)="Nee")),IFERROR(VLOOKUP($M366,DB_Loonkosten,25,0),""),0),"Vast tarief",IF(LEFT(F366,8)="Bijdrage",VLOOKUP($F366,Tb_KostenTypen[],MATCH(Lijsten!$P$1,Tb_KostenTypen[#Headers],0),0),VLOOKUP($G366,Lijsten!L:P,MATCH(Lijsten!$P$1,Kop_Tarief_Vast,0),0))),""),"")</f>
        <v/>
      </c>
      <c r="Q366" s="359"/>
      <c r="R366" s="359"/>
      <c r="S366" s="321"/>
      <c r="T366" s="321"/>
      <c r="U366" s="373" t="str">
        <f t="shared" si="20"/>
        <v/>
      </c>
      <c r="V366" s="314" t="str">
        <f t="shared" si="21"/>
        <v/>
      </c>
      <c r="W366" s="314" t="str" cm="1">
        <f t="array" aca="1" ref="W366" ca="1">IFERROR(IF(AE366&lt;&gt;"ja",_xlfn.IFNA(_xlfn.IFS(AND(O366&lt;&gt;"",F366&lt;&gt;"",RIGHT($N366,6)="tarief",F366="Vergoeding"),SUM(O366)*FLOOR(SUM(Q366),0.0001),AND(O366&lt;&gt;"",F366&lt;&gt;"",RIGHT($N366,6)="tarief"),SUM(O366)*FLOOR(SUM(Q366),0.01),S366&gt;0,IF(F366&lt;&gt;"",FLOOR(SUM(S366),0.01),"")),""),""),"")</f>
        <v/>
      </c>
      <c r="X366" s="314" t="str" cm="1">
        <f t="array" aca="1" ref="X366" ca="1">IFERROR(IF(AE366&lt;&gt;"ja",_xlfn.IFNA(_xlfn.IFS(AND(P366&lt;&gt;"",R366&lt;&gt;"",RIGHT($N366,6)="tarief",F366="Vergoeding"),SUM(P366)*FLOOR(SUM(R366),0.0001),AND(P366&lt;&gt;"",R366&lt;&gt;"",RIGHT($N366,6)="tarief"),P366*FLOOR(R366,0.01),T366&gt;0,FLOOR(SUM(T366),0.01)),""),""),"")</f>
        <v/>
      </c>
      <c r="Y366" s="314" t="str">
        <f t="shared" ca="1" si="22"/>
        <v/>
      </c>
      <c r="Z366" s="314" t="str" cm="1">
        <f t="array" aca="1" ref="Z366" ca="1">IFERROR(_xlfn.IFS(OR(F366="",LEFT(Methode_Keuze,4)="Geen",Methode_Keuze=""),"",AND(W366&lt;&gt;"",F366&lt;&gt;"Arbeidskosten"),W366*VLOOKUP(F366,Tb_ProjectKosten[],MATCH(Tb_ProjectKosten[[#Headers],[Forfait_Percentage]],Tb_ProjectKosten[#Headers],0),0),AND(F366="Arbeidskosten",G366&lt;&gt;""),IFERROR(W366*VLOOKUP(G366,Tb_KostenTypen[],3,0)*VLOOKUP(F366,Tb_ProjectKosten[],MATCH(Tb_ProjectKosten[[#Headers],[Forfait_Percentage]],Tb_ProjectKosten[#Headers],0),0),""),W366 &lt;=0,0),"")</f>
        <v/>
      </c>
      <c r="AA366" s="314" t="str" cm="1">
        <f t="array" aca="1" ref="AA366" ca="1">IFERROR(_xlfn.IFS(OR(F366="",LEFT(Methode_Keuze,4)="Geen",Methode_Keuze=""),"",AND(X366&lt;&gt;"",F366&lt;&gt;"Arbeidskosten"),X366*VLOOKUP(F366,Tb_ProjectKosten[],MATCH(Tb_ProjectKosten[[#Headers],[Forfait_Percentage]],Tb_ProjectKosten[#Headers],0),0),AND(F366="Arbeidskosten",G366&lt;&gt;""),IFERROR(X366*VLOOKUP(G366,Tb_KostenTypen[],3,0)*VLOOKUP(F366,Tb_ProjectKosten[],MATCH(Tb_ProjectKosten[[#Headers],[Forfait_Percentage]],Tb_ProjectKosten[#Headers],0),0),""),X366 &lt;=0,0),"")</f>
        <v/>
      </c>
      <c r="AB366" s="314" t="str">
        <f t="shared" ca="1" si="23"/>
        <v/>
      </c>
      <c r="AC366" s="322"/>
      <c r="AD366" s="315"/>
      <c r="AE366" s="32" t="str" cm="1">
        <f t="array" ref="AE366">IFERROR(IF(INDEX(SubsidieTabel!$AD$1:$AG$12,MATCH($F366,SubsidieTabel!$AD$1:$AD$12,0),IFERROR(MATCH(Methode_Keuze,SubsidieTabel!$AD$1:$AG$1,0),2))&lt;&gt;1=TRUE,"ja",""),"")</f>
        <v/>
      </c>
    </row>
    <row r="367" spans="1:31" x14ac:dyDescent="0.25">
      <c r="A367" s="316"/>
      <c r="B367" s="317" t="str">
        <f>IF(A367&lt;&gt;"",_xlfn.MAXIFS($B$1:B366,$A$1:A366,A367)+1,"")</f>
        <v/>
      </c>
      <c r="C367" s="296"/>
      <c r="D367" s="296"/>
      <c r="E367" s="296"/>
      <c r="F367" s="296"/>
      <c r="G367" s="326"/>
      <c r="H367" s="324"/>
      <c r="I367" s="325"/>
      <c r="J367" s="325"/>
      <c r="K367" s="318"/>
      <c r="L367" s="318"/>
      <c r="M367" s="319" t="str">
        <f>IFERROR(VLOOKUP(H367,Lijsten!$H$1:$I$100,2,0),"")</f>
        <v/>
      </c>
      <c r="N367" s="319" t="str">
        <f ca="1">IFERROR(IF(VLOOKUP(F367,Kostentypen!$A$3:$E$21,3,0)=0,"",IF(OR(F367="Arbeidskosten",F367="Vergoeding"),VLOOKUP(G367,Tb_KostenTypen[],2,0),VLOOKUP(F367,Kostentypen!$A$3:$E$20,3,0))),"")</f>
        <v/>
      </c>
      <c r="O367" s="320" t="str" cm="1">
        <f t="array" ref="O367">_xlfn.IFNA(IF(INDEX(Tb_KostenOptiesDB[],MATCH($F367,Tb_KostenOptiesDB[KostenOptie],0),IFERROR(MATCH(Methode_Keuze,Tb_KostenOptiesDB[#Headers],0),2))=1,_xlfn.SWITCH($N367,"Uurtarief",IF(OR(AND(RIGHT($F367,3)="IKS",VLOOKUP($M367,DB_Loonkosten,2,0)="Ja"),AND(RIGHT($F367,3)&lt;&gt;"IKS",VLOOKUP($M367,DB_Loonkosten,2,0)="Nee")),IFERROR(VLOOKUP($M367,DB_Loonkosten,24,0),""),0),"Vast tarief",IF(LEFT(F367,8)="Bijdrage",VLOOKUP($F367,Tb_KostenTypen[],MATCH(Lijsten!$P$1,Tb_KostenTypen[#Headers],0),0),VLOOKUP($G367,Lijsten!L:P,MATCH(Lijsten!$P$1,Kop_Tarief_Vast,0),0))),""),"")</f>
        <v/>
      </c>
      <c r="P367" s="320" t="str" cm="1">
        <f t="array" ref="P367">_xlfn.IFNA(IF(INDEX(Tb_KostenOptiesDB[],MATCH($F367,Tb_KostenOptiesDB[KostenOptie],0),IFERROR(MATCH(Methode_Keuze,Tb_KostenOptiesDB[#Headers],0),2))=1,_xlfn.SWITCH($N367,"Uurtarief",IF(OR(AND(RIGHT($F367,3)="IKS",VLOOKUP($M367,DB_Loonkosten,2,0)="Ja"),AND(RIGHT($F367,3)&lt;&gt;"IKS",VLOOKUP($M367,DB_Loonkosten,2,0)="Nee")),IFERROR(VLOOKUP($M367,DB_Loonkosten,25,0),""),0),"Vast tarief",IF(LEFT(F367,8)="Bijdrage",VLOOKUP($F367,Tb_KostenTypen[],MATCH(Lijsten!$P$1,Tb_KostenTypen[#Headers],0),0),VLOOKUP($G367,Lijsten!L:P,MATCH(Lijsten!$P$1,Kop_Tarief_Vast,0),0))),""),"")</f>
        <v/>
      </c>
      <c r="Q367" s="359"/>
      <c r="R367" s="359"/>
      <c r="S367" s="321"/>
      <c r="T367" s="321"/>
      <c r="U367" s="373" t="str">
        <f t="shared" si="20"/>
        <v/>
      </c>
      <c r="V367" s="314" t="str">
        <f t="shared" si="21"/>
        <v/>
      </c>
      <c r="W367" s="314" t="str" cm="1">
        <f t="array" aca="1" ref="W367" ca="1">IFERROR(IF(AE367&lt;&gt;"ja",_xlfn.IFNA(_xlfn.IFS(AND(O367&lt;&gt;"",F367&lt;&gt;"",RIGHT($N367,6)="tarief",F367="Vergoeding"),SUM(O367)*FLOOR(SUM(Q367),0.0001),AND(O367&lt;&gt;"",F367&lt;&gt;"",RIGHT($N367,6)="tarief"),SUM(O367)*FLOOR(SUM(Q367),0.01),S367&gt;0,IF(F367&lt;&gt;"",FLOOR(SUM(S367),0.01),"")),""),""),"")</f>
        <v/>
      </c>
      <c r="X367" s="314" t="str" cm="1">
        <f t="array" aca="1" ref="X367" ca="1">IFERROR(IF(AE367&lt;&gt;"ja",_xlfn.IFNA(_xlfn.IFS(AND(P367&lt;&gt;"",R367&lt;&gt;"",RIGHT($N367,6)="tarief",F367="Vergoeding"),SUM(P367)*FLOOR(SUM(R367),0.0001),AND(P367&lt;&gt;"",R367&lt;&gt;"",RIGHT($N367,6)="tarief"),P367*FLOOR(R367,0.01),T367&gt;0,FLOOR(SUM(T367),0.01)),""),""),"")</f>
        <v/>
      </c>
      <c r="Y367" s="314" t="str">
        <f t="shared" ca="1" si="22"/>
        <v/>
      </c>
      <c r="Z367" s="314" t="str" cm="1">
        <f t="array" aca="1" ref="Z367" ca="1">IFERROR(_xlfn.IFS(OR(F367="",LEFT(Methode_Keuze,4)="Geen",Methode_Keuze=""),"",AND(W367&lt;&gt;"",F367&lt;&gt;"Arbeidskosten"),W367*VLOOKUP(F367,Tb_ProjectKosten[],MATCH(Tb_ProjectKosten[[#Headers],[Forfait_Percentage]],Tb_ProjectKosten[#Headers],0),0),AND(F367="Arbeidskosten",G367&lt;&gt;""),IFERROR(W367*VLOOKUP(G367,Tb_KostenTypen[],3,0)*VLOOKUP(F367,Tb_ProjectKosten[],MATCH(Tb_ProjectKosten[[#Headers],[Forfait_Percentage]],Tb_ProjectKosten[#Headers],0),0),""),W367 &lt;=0,0),"")</f>
        <v/>
      </c>
      <c r="AA367" s="314" t="str" cm="1">
        <f t="array" aca="1" ref="AA367" ca="1">IFERROR(_xlfn.IFS(OR(F367="",LEFT(Methode_Keuze,4)="Geen",Methode_Keuze=""),"",AND(X367&lt;&gt;"",F367&lt;&gt;"Arbeidskosten"),X367*VLOOKUP(F367,Tb_ProjectKosten[],MATCH(Tb_ProjectKosten[[#Headers],[Forfait_Percentage]],Tb_ProjectKosten[#Headers],0),0),AND(F367="Arbeidskosten",G367&lt;&gt;""),IFERROR(X367*VLOOKUP(G367,Tb_KostenTypen[],3,0)*VLOOKUP(F367,Tb_ProjectKosten[],MATCH(Tb_ProjectKosten[[#Headers],[Forfait_Percentage]],Tb_ProjectKosten[#Headers],0),0),""),X367 &lt;=0,0),"")</f>
        <v/>
      </c>
      <c r="AB367" s="314" t="str">
        <f t="shared" ca="1" si="23"/>
        <v/>
      </c>
      <c r="AC367" s="322"/>
      <c r="AD367" s="315"/>
      <c r="AE367" s="32" t="str" cm="1">
        <f t="array" ref="AE367">IFERROR(IF(INDEX(SubsidieTabel!$AD$1:$AG$12,MATCH($F367,SubsidieTabel!$AD$1:$AD$12,0),IFERROR(MATCH(Methode_Keuze,SubsidieTabel!$AD$1:$AG$1,0),2))&lt;&gt;1=TRUE,"ja",""),"")</f>
        <v/>
      </c>
    </row>
    <row r="368" spans="1:31" x14ac:dyDescent="0.25">
      <c r="A368" s="316"/>
      <c r="B368" s="317" t="str">
        <f>IF(A368&lt;&gt;"",_xlfn.MAXIFS($B$1:B367,$A$1:A367,A368)+1,"")</f>
        <v/>
      </c>
      <c r="C368" s="296"/>
      <c r="D368" s="296"/>
      <c r="E368" s="296"/>
      <c r="F368" s="296"/>
      <c r="G368" s="326"/>
      <c r="H368" s="324"/>
      <c r="I368" s="325"/>
      <c r="J368" s="325"/>
      <c r="K368" s="318"/>
      <c r="L368" s="318"/>
      <c r="M368" s="319" t="str">
        <f>IFERROR(VLOOKUP(H368,Lijsten!$H$1:$I$100,2,0),"")</f>
        <v/>
      </c>
      <c r="N368" s="319" t="str">
        <f ca="1">IFERROR(IF(VLOOKUP(F368,Kostentypen!$A$3:$E$21,3,0)=0,"",IF(OR(F368="Arbeidskosten",F368="Vergoeding"),VLOOKUP(G368,Tb_KostenTypen[],2,0),VLOOKUP(F368,Kostentypen!$A$3:$E$20,3,0))),"")</f>
        <v/>
      </c>
      <c r="O368" s="320" t="str" cm="1">
        <f t="array" ref="O368">_xlfn.IFNA(IF(INDEX(Tb_KostenOptiesDB[],MATCH($F368,Tb_KostenOptiesDB[KostenOptie],0),IFERROR(MATCH(Methode_Keuze,Tb_KostenOptiesDB[#Headers],0),2))=1,_xlfn.SWITCH($N368,"Uurtarief",IF(OR(AND(RIGHT($F368,3)="IKS",VLOOKUP($M368,DB_Loonkosten,2,0)="Ja"),AND(RIGHT($F368,3)&lt;&gt;"IKS",VLOOKUP($M368,DB_Loonkosten,2,0)="Nee")),IFERROR(VLOOKUP($M368,DB_Loonkosten,24,0),""),0),"Vast tarief",IF(LEFT(F368,8)="Bijdrage",VLOOKUP($F368,Tb_KostenTypen[],MATCH(Lijsten!$P$1,Tb_KostenTypen[#Headers],0),0),VLOOKUP($G368,Lijsten!L:P,MATCH(Lijsten!$P$1,Kop_Tarief_Vast,0),0))),""),"")</f>
        <v/>
      </c>
      <c r="P368" s="320" t="str" cm="1">
        <f t="array" ref="P368">_xlfn.IFNA(IF(INDEX(Tb_KostenOptiesDB[],MATCH($F368,Tb_KostenOptiesDB[KostenOptie],0),IFERROR(MATCH(Methode_Keuze,Tb_KostenOptiesDB[#Headers],0),2))=1,_xlfn.SWITCH($N368,"Uurtarief",IF(OR(AND(RIGHT($F368,3)="IKS",VLOOKUP($M368,DB_Loonkosten,2,0)="Ja"),AND(RIGHT($F368,3)&lt;&gt;"IKS",VLOOKUP($M368,DB_Loonkosten,2,0)="Nee")),IFERROR(VLOOKUP($M368,DB_Loonkosten,25,0),""),0),"Vast tarief",IF(LEFT(F368,8)="Bijdrage",VLOOKUP($F368,Tb_KostenTypen[],MATCH(Lijsten!$P$1,Tb_KostenTypen[#Headers],0),0),VLOOKUP($G368,Lijsten!L:P,MATCH(Lijsten!$P$1,Kop_Tarief_Vast,0),0))),""),"")</f>
        <v/>
      </c>
      <c r="Q368" s="359"/>
      <c r="R368" s="359"/>
      <c r="S368" s="321"/>
      <c r="T368" s="321"/>
      <c r="U368" s="373" t="str">
        <f t="shared" si="20"/>
        <v/>
      </c>
      <c r="V368" s="314" t="str">
        <f t="shared" si="21"/>
        <v/>
      </c>
      <c r="W368" s="314" t="str" cm="1">
        <f t="array" aca="1" ref="W368" ca="1">IFERROR(IF(AE368&lt;&gt;"ja",_xlfn.IFNA(_xlfn.IFS(AND(O368&lt;&gt;"",F368&lt;&gt;"",RIGHT($N368,6)="tarief",F368="Vergoeding"),SUM(O368)*FLOOR(SUM(Q368),0.0001),AND(O368&lt;&gt;"",F368&lt;&gt;"",RIGHT($N368,6)="tarief"),SUM(O368)*FLOOR(SUM(Q368),0.01),S368&gt;0,IF(F368&lt;&gt;"",FLOOR(SUM(S368),0.01),"")),""),""),"")</f>
        <v/>
      </c>
      <c r="X368" s="314" t="str" cm="1">
        <f t="array" aca="1" ref="X368" ca="1">IFERROR(IF(AE368&lt;&gt;"ja",_xlfn.IFNA(_xlfn.IFS(AND(P368&lt;&gt;"",R368&lt;&gt;"",RIGHT($N368,6)="tarief",F368="Vergoeding"),SUM(P368)*FLOOR(SUM(R368),0.0001),AND(P368&lt;&gt;"",R368&lt;&gt;"",RIGHT($N368,6)="tarief"),P368*FLOOR(R368,0.01),T368&gt;0,FLOOR(SUM(T368),0.01)),""),""),"")</f>
        <v/>
      </c>
      <c r="Y368" s="314" t="str">
        <f t="shared" ca="1" si="22"/>
        <v/>
      </c>
      <c r="Z368" s="314" t="str" cm="1">
        <f t="array" aca="1" ref="Z368" ca="1">IFERROR(_xlfn.IFS(OR(F368="",LEFT(Methode_Keuze,4)="Geen",Methode_Keuze=""),"",AND(W368&lt;&gt;"",F368&lt;&gt;"Arbeidskosten"),W368*VLOOKUP(F368,Tb_ProjectKosten[],MATCH(Tb_ProjectKosten[[#Headers],[Forfait_Percentage]],Tb_ProjectKosten[#Headers],0),0),AND(F368="Arbeidskosten",G368&lt;&gt;""),IFERROR(W368*VLOOKUP(G368,Tb_KostenTypen[],3,0)*VLOOKUP(F368,Tb_ProjectKosten[],MATCH(Tb_ProjectKosten[[#Headers],[Forfait_Percentage]],Tb_ProjectKosten[#Headers],0),0),""),W368 &lt;=0,0),"")</f>
        <v/>
      </c>
      <c r="AA368" s="314" t="str" cm="1">
        <f t="array" aca="1" ref="AA368" ca="1">IFERROR(_xlfn.IFS(OR(F368="",LEFT(Methode_Keuze,4)="Geen",Methode_Keuze=""),"",AND(X368&lt;&gt;"",F368&lt;&gt;"Arbeidskosten"),X368*VLOOKUP(F368,Tb_ProjectKosten[],MATCH(Tb_ProjectKosten[[#Headers],[Forfait_Percentage]],Tb_ProjectKosten[#Headers],0),0),AND(F368="Arbeidskosten",G368&lt;&gt;""),IFERROR(X368*VLOOKUP(G368,Tb_KostenTypen[],3,0)*VLOOKUP(F368,Tb_ProjectKosten[],MATCH(Tb_ProjectKosten[[#Headers],[Forfait_Percentage]],Tb_ProjectKosten[#Headers],0),0),""),X368 &lt;=0,0),"")</f>
        <v/>
      </c>
      <c r="AB368" s="314" t="str">
        <f t="shared" ca="1" si="23"/>
        <v/>
      </c>
      <c r="AC368" s="322"/>
      <c r="AD368" s="315"/>
      <c r="AE368" s="32" t="str" cm="1">
        <f t="array" ref="AE368">IFERROR(IF(INDEX(SubsidieTabel!$AD$1:$AG$12,MATCH($F368,SubsidieTabel!$AD$1:$AD$12,0),IFERROR(MATCH(Methode_Keuze,SubsidieTabel!$AD$1:$AG$1,0),2))&lt;&gt;1=TRUE,"ja",""),"")</f>
        <v/>
      </c>
    </row>
    <row r="369" spans="1:31" x14ac:dyDescent="0.25">
      <c r="A369" s="316"/>
      <c r="B369" s="317" t="str">
        <f>IF(A369&lt;&gt;"",_xlfn.MAXIFS($B$1:B368,$A$1:A368,A369)+1,"")</f>
        <v/>
      </c>
      <c r="C369" s="296"/>
      <c r="D369" s="296"/>
      <c r="E369" s="296"/>
      <c r="F369" s="296"/>
      <c r="G369" s="326"/>
      <c r="H369" s="324"/>
      <c r="I369" s="325"/>
      <c r="J369" s="325"/>
      <c r="K369" s="318"/>
      <c r="L369" s="318"/>
      <c r="M369" s="319" t="str">
        <f>IFERROR(VLOOKUP(H369,Lijsten!$H$1:$I$100,2,0),"")</f>
        <v/>
      </c>
      <c r="N369" s="319" t="str">
        <f ca="1">IFERROR(IF(VLOOKUP(F369,Kostentypen!$A$3:$E$21,3,0)=0,"",IF(OR(F369="Arbeidskosten",F369="Vergoeding"),VLOOKUP(G369,Tb_KostenTypen[],2,0),VLOOKUP(F369,Kostentypen!$A$3:$E$20,3,0))),"")</f>
        <v/>
      </c>
      <c r="O369" s="320" t="str" cm="1">
        <f t="array" ref="O369">_xlfn.IFNA(IF(INDEX(Tb_KostenOptiesDB[],MATCH($F369,Tb_KostenOptiesDB[KostenOptie],0),IFERROR(MATCH(Methode_Keuze,Tb_KostenOptiesDB[#Headers],0),2))=1,_xlfn.SWITCH($N369,"Uurtarief",IF(OR(AND(RIGHT($F369,3)="IKS",VLOOKUP($M369,DB_Loonkosten,2,0)="Ja"),AND(RIGHT($F369,3)&lt;&gt;"IKS",VLOOKUP($M369,DB_Loonkosten,2,0)="Nee")),IFERROR(VLOOKUP($M369,DB_Loonkosten,24,0),""),0),"Vast tarief",IF(LEFT(F369,8)="Bijdrage",VLOOKUP($F369,Tb_KostenTypen[],MATCH(Lijsten!$P$1,Tb_KostenTypen[#Headers],0),0),VLOOKUP($G369,Lijsten!L:P,MATCH(Lijsten!$P$1,Kop_Tarief_Vast,0),0))),""),"")</f>
        <v/>
      </c>
      <c r="P369" s="320" t="str" cm="1">
        <f t="array" ref="P369">_xlfn.IFNA(IF(INDEX(Tb_KostenOptiesDB[],MATCH($F369,Tb_KostenOptiesDB[KostenOptie],0),IFERROR(MATCH(Methode_Keuze,Tb_KostenOptiesDB[#Headers],0),2))=1,_xlfn.SWITCH($N369,"Uurtarief",IF(OR(AND(RIGHT($F369,3)="IKS",VLOOKUP($M369,DB_Loonkosten,2,0)="Ja"),AND(RIGHT($F369,3)&lt;&gt;"IKS",VLOOKUP($M369,DB_Loonkosten,2,0)="Nee")),IFERROR(VLOOKUP($M369,DB_Loonkosten,25,0),""),0),"Vast tarief",IF(LEFT(F369,8)="Bijdrage",VLOOKUP($F369,Tb_KostenTypen[],MATCH(Lijsten!$P$1,Tb_KostenTypen[#Headers],0),0),VLOOKUP($G369,Lijsten!L:P,MATCH(Lijsten!$P$1,Kop_Tarief_Vast,0),0))),""),"")</f>
        <v/>
      </c>
      <c r="Q369" s="359"/>
      <c r="R369" s="359"/>
      <c r="S369" s="321"/>
      <c r="T369" s="321"/>
      <c r="U369" s="373" t="str">
        <f t="shared" si="20"/>
        <v/>
      </c>
      <c r="V369" s="314" t="str">
        <f t="shared" si="21"/>
        <v/>
      </c>
      <c r="W369" s="314" t="str" cm="1">
        <f t="array" aca="1" ref="W369" ca="1">IFERROR(IF(AE369&lt;&gt;"ja",_xlfn.IFNA(_xlfn.IFS(AND(O369&lt;&gt;"",F369&lt;&gt;"",RIGHT($N369,6)="tarief",F369="Vergoeding"),SUM(O369)*FLOOR(SUM(Q369),0.0001),AND(O369&lt;&gt;"",F369&lt;&gt;"",RIGHT($N369,6)="tarief"),SUM(O369)*FLOOR(SUM(Q369),0.01),S369&gt;0,IF(F369&lt;&gt;"",FLOOR(SUM(S369),0.01),"")),""),""),"")</f>
        <v/>
      </c>
      <c r="X369" s="314" t="str" cm="1">
        <f t="array" aca="1" ref="X369" ca="1">IFERROR(IF(AE369&lt;&gt;"ja",_xlfn.IFNA(_xlfn.IFS(AND(P369&lt;&gt;"",R369&lt;&gt;"",RIGHT($N369,6)="tarief",F369="Vergoeding"),SUM(P369)*FLOOR(SUM(R369),0.0001),AND(P369&lt;&gt;"",R369&lt;&gt;"",RIGHT($N369,6)="tarief"),P369*FLOOR(R369,0.01),T369&gt;0,FLOOR(SUM(T369),0.01)),""),""),"")</f>
        <v/>
      </c>
      <c r="Y369" s="314" t="str">
        <f t="shared" ca="1" si="22"/>
        <v/>
      </c>
      <c r="Z369" s="314" t="str" cm="1">
        <f t="array" aca="1" ref="Z369" ca="1">IFERROR(_xlfn.IFS(OR(F369="",LEFT(Methode_Keuze,4)="Geen",Methode_Keuze=""),"",AND(W369&lt;&gt;"",F369&lt;&gt;"Arbeidskosten"),W369*VLOOKUP(F369,Tb_ProjectKosten[],MATCH(Tb_ProjectKosten[[#Headers],[Forfait_Percentage]],Tb_ProjectKosten[#Headers],0),0),AND(F369="Arbeidskosten",G369&lt;&gt;""),IFERROR(W369*VLOOKUP(G369,Tb_KostenTypen[],3,0)*VLOOKUP(F369,Tb_ProjectKosten[],MATCH(Tb_ProjectKosten[[#Headers],[Forfait_Percentage]],Tb_ProjectKosten[#Headers],0),0),""),W369 &lt;=0,0),"")</f>
        <v/>
      </c>
      <c r="AA369" s="314" t="str" cm="1">
        <f t="array" aca="1" ref="AA369" ca="1">IFERROR(_xlfn.IFS(OR(F369="",LEFT(Methode_Keuze,4)="Geen",Methode_Keuze=""),"",AND(X369&lt;&gt;"",F369&lt;&gt;"Arbeidskosten"),X369*VLOOKUP(F369,Tb_ProjectKosten[],MATCH(Tb_ProjectKosten[[#Headers],[Forfait_Percentage]],Tb_ProjectKosten[#Headers],0),0),AND(F369="Arbeidskosten",G369&lt;&gt;""),IFERROR(X369*VLOOKUP(G369,Tb_KostenTypen[],3,0)*VLOOKUP(F369,Tb_ProjectKosten[],MATCH(Tb_ProjectKosten[[#Headers],[Forfait_Percentage]],Tb_ProjectKosten[#Headers],0),0),""),X369 &lt;=0,0),"")</f>
        <v/>
      </c>
      <c r="AB369" s="314" t="str">
        <f t="shared" ca="1" si="23"/>
        <v/>
      </c>
      <c r="AC369" s="322"/>
      <c r="AD369" s="315"/>
      <c r="AE369" s="32" t="str" cm="1">
        <f t="array" ref="AE369">IFERROR(IF(INDEX(SubsidieTabel!$AD$1:$AG$12,MATCH($F369,SubsidieTabel!$AD$1:$AD$12,0),IFERROR(MATCH(Methode_Keuze,SubsidieTabel!$AD$1:$AG$1,0),2))&lt;&gt;1=TRUE,"ja",""),"")</f>
        <v/>
      </c>
    </row>
    <row r="370" spans="1:31" x14ac:dyDescent="0.25">
      <c r="A370" s="316"/>
      <c r="B370" s="317" t="str">
        <f>IF(A370&lt;&gt;"",_xlfn.MAXIFS($B$1:B369,$A$1:A369,A370)+1,"")</f>
        <v/>
      </c>
      <c r="C370" s="296"/>
      <c r="D370" s="296"/>
      <c r="E370" s="296"/>
      <c r="F370" s="296"/>
      <c r="G370" s="326"/>
      <c r="H370" s="324"/>
      <c r="I370" s="325"/>
      <c r="J370" s="325"/>
      <c r="K370" s="318"/>
      <c r="L370" s="318"/>
      <c r="M370" s="319" t="str">
        <f>IFERROR(VLOOKUP(H370,Lijsten!$H$1:$I$100,2,0),"")</f>
        <v/>
      </c>
      <c r="N370" s="319" t="str">
        <f ca="1">IFERROR(IF(VLOOKUP(F370,Kostentypen!$A$3:$E$21,3,0)=0,"",IF(OR(F370="Arbeidskosten",F370="Vergoeding"),VLOOKUP(G370,Tb_KostenTypen[],2,0),VLOOKUP(F370,Kostentypen!$A$3:$E$20,3,0))),"")</f>
        <v/>
      </c>
      <c r="O370" s="320" t="str" cm="1">
        <f t="array" ref="O370">_xlfn.IFNA(IF(INDEX(Tb_KostenOptiesDB[],MATCH($F370,Tb_KostenOptiesDB[KostenOptie],0),IFERROR(MATCH(Methode_Keuze,Tb_KostenOptiesDB[#Headers],0),2))=1,_xlfn.SWITCH($N370,"Uurtarief",IF(OR(AND(RIGHT($F370,3)="IKS",VLOOKUP($M370,DB_Loonkosten,2,0)="Ja"),AND(RIGHT($F370,3)&lt;&gt;"IKS",VLOOKUP($M370,DB_Loonkosten,2,0)="Nee")),IFERROR(VLOOKUP($M370,DB_Loonkosten,24,0),""),0),"Vast tarief",IF(LEFT(F370,8)="Bijdrage",VLOOKUP($F370,Tb_KostenTypen[],MATCH(Lijsten!$P$1,Tb_KostenTypen[#Headers],0),0),VLOOKUP($G370,Lijsten!L:P,MATCH(Lijsten!$P$1,Kop_Tarief_Vast,0),0))),""),"")</f>
        <v/>
      </c>
      <c r="P370" s="320" t="str" cm="1">
        <f t="array" ref="P370">_xlfn.IFNA(IF(INDEX(Tb_KostenOptiesDB[],MATCH($F370,Tb_KostenOptiesDB[KostenOptie],0),IFERROR(MATCH(Methode_Keuze,Tb_KostenOptiesDB[#Headers],0),2))=1,_xlfn.SWITCH($N370,"Uurtarief",IF(OR(AND(RIGHT($F370,3)="IKS",VLOOKUP($M370,DB_Loonkosten,2,0)="Ja"),AND(RIGHT($F370,3)&lt;&gt;"IKS",VLOOKUP($M370,DB_Loonkosten,2,0)="Nee")),IFERROR(VLOOKUP($M370,DB_Loonkosten,25,0),""),0),"Vast tarief",IF(LEFT(F370,8)="Bijdrage",VLOOKUP($F370,Tb_KostenTypen[],MATCH(Lijsten!$P$1,Tb_KostenTypen[#Headers],0),0),VLOOKUP($G370,Lijsten!L:P,MATCH(Lijsten!$P$1,Kop_Tarief_Vast,0),0))),""),"")</f>
        <v/>
      </c>
      <c r="Q370" s="359"/>
      <c r="R370" s="359"/>
      <c r="S370" s="321"/>
      <c r="T370" s="321"/>
      <c r="U370" s="373" t="str">
        <f t="shared" si="20"/>
        <v/>
      </c>
      <c r="V370" s="314" t="str">
        <f t="shared" si="21"/>
        <v/>
      </c>
      <c r="W370" s="314" t="str" cm="1">
        <f t="array" aca="1" ref="W370" ca="1">IFERROR(IF(AE370&lt;&gt;"ja",_xlfn.IFNA(_xlfn.IFS(AND(O370&lt;&gt;"",F370&lt;&gt;"",RIGHT($N370,6)="tarief",F370="Vergoeding"),SUM(O370)*FLOOR(SUM(Q370),0.0001),AND(O370&lt;&gt;"",F370&lt;&gt;"",RIGHT($N370,6)="tarief"),SUM(O370)*FLOOR(SUM(Q370),0.01),S370&gt;0,IF(F370&lt;&gt;"",FLOOR(SUM(S370),0.01),"")),""),""),"")</f>
        <v/>
      </c>
      <c r="X370" s="314" t="str" cm="1">
        <f t="array" aca="1" ref="X370" ca="1">IFERROR(IF(AE370&lt;&gt;"ja",_xlfn.IFNA(_xlfn.IFS(AND(P370&lt;&gt;"",R370&lt;&gt;"",RIGHT($N370,6)="tarief",F370="Vergoeding"),SUM(P370)*FLOOR(SUM(R370),0.0001),AND(P370&lt;&gt;"",R370&lt;&gt;"",RIGHT($N370,6)="tarief"),P370*FLOOR(R370,0.01),T370&gt;0,FLOOR(SUM(T370),0.01)),""),""),"")</f>
        <v/>
      </c>
      <c r="Y370" s="314" t="str">
        <f t="shared" ca="1" si="22"/>
        <v/>
      </c>
      <c r="Z370" s="314" t="str" cm="1">
        <f t="array" aca="1" ref="Z370" ca="1">IFERROR(_xlfn.IFS(OR(F370="",LEFT(Methode_Keuze,4)="Geen",Methode_Keuze=""),"",AND(W370&lt;&gt;"",F370&lt;&gt;"Arbeidskosten"),W370*VLOOKUP(F370,Tb_ProjectKosten[],MATCH(Tb_ProjectKosten[[#Headers],[Forfait_Percentage]],Tb_ProjectKosten[#Headers],0),0),AND(F370="Arbeidskosten",G370&lt;&gt;""),IFERROR(W370*VLOOKUP(G370,Tb_KostenTypen[],3,0)*VLOOKUP(F370,Tb_ProjectKosten[],MATCH(Tb_ProjectKosten[[#Headers],[Forfait_Percentage]],Tb_ProjectKosten[#Headers],0),0),""),W370 &lt;=0,0),"")</f>
        <v/>
      </c>
      <c r="AA370" s="314" t="str" cm="1">
        <f t="array" aca="1" ref="AA370" ca="1">IFERROR(_xlfn.IFS(OR(F370="",LEFT(Methode_Keuze,4)="Geen",Methode_Keuze=""),"",AND(X370&lt;&gt;"",F370&lt;&gt;"Arbeidskosten"),X370*VLOOKUP(F370,Tb_ProjectKosten[],MATCH(Tb_ProjectKosten[[#Headers],[Forfait_Percentage]],Tb_ProjectKosten[#Headers],0),0),AND(F370="Arbeidskosten",G370&lt;&gt;""),IFERROR(X370*VLOOKUP(G370,Tb_KostenTypen[],3,0)*VLOOKUP(F370,Tb_ProjectKosten[],MATCH(Tb_ProjectKosten[[#Headers],[Forfait_Percentage]],Tb_ProjectKosten[#Headers],0),0),""),X370 &lt;=0,0),"")</f>
        <v/>
      </c>
      <c r="AB370" s="314" t="str">
        <f t="shared" ca="1" si="23"/>
        <v/>
      </c>
      <c r="AC370" s="322"/>
      <c r="AD370" s="315"/>
      <c r="AE370" s="32" t="str" cm="1">
        <f t="array" ref="AE370">IFERROR(IF(INDEX(SubsidieTabel!$AD$1:$AG$12,MATCH($F370,SubsidieTabel!$AD$1:$AD$12,0),IFERROR(MATCH(Methode_Keuze,SubsidieTabel!$AD$1:$AG$1,0),2))&lt;&gt;1=TRUE,"ja",""),"")</f>
        <v/>
      </c>
    </row>
    <row r="371" spans="1:31" x14ac:dyDescent="0.25">
      <c r="A371" s="316"/>
      <c r="B371" s="317" t="str">
        <f>IF(A371&lt;&gt;"",_xlfn.MAXIFS($B$1:B370,$A$1:A370,A371)+1,"")</f>
        <v/>
      </c>
      <c r="C371" s="296"/>
      <c r="D371" s="296"/>
      <c r="E371" s="296"/>
      <c r="F371" s="296"/>
      <c r="G371" s="326"/>
      <c r="H371" s="324"/>
      <c r="I371" s="325"/>
      <c r="J371" s="325"/>
      <c r="K371" s="318"/>
      <c r="L371" s="318"/>
      <c r="M371" s="319" t="str">
        <f>IFERROR(VLOOKUP(H371,Lijsten!$H$1:$I$100,2,0),"")</f>
        <v/>
      </c>
      <c r="N371" s="319" t="str">
        <f ca="1">IFERROR(IF(VLOOKUP(F371,Kostentypen!$A$3:$E$21,3,0)=0,"",IF(OR(F371="Arbeidskosten",F371="Vergoeding"),VLOOKUP(G371,Tb_KostenTypen[],2,0),VLOOKUP(F371,Kostentypen!$A$3:$E$20,3,0))),"")</f>
        <v/>
      </c>
      <c r="O371" s="320" t="str" cm="1">
        <f t="array" ref="O371">_xlfn.IFNA(IF(INDEX(Tb_KostenOptiesDB[],MATCH($F371,Tb_KostenOptiesDB[KostenOptie],0),IFERROR(MATCH(Methode_Keuze,Tb_KostenOptiesDB[#Headers],0),2))=1,_xlfn.SWITCH($N371,"Uurtarief",IF(OR(AND(RIGHT($F371,3)="IKS",VLOOKUP($M371,DB_Loonkosten,2,0)="Ja"),AND(RIGHT($F371,3)&lt;&gt;"IKS",VLOOKUP($M371,DB_Loonkosten,2,0)="Nee")),IFERROR(VLOOKUP($M371,DB_Loonkosten,24,0),""),0),"Vast tarief",IF(LEFT(F371,8)="Bijdrage",VLOOKUP($F371,Tb_KostenTypen[],MATCH(Lijsten!$P$1,Tb_KostenTypen[#Headers],0),0),VLOOKUP($G371,Lijsten!L:P,MATCH(Lijsten!$P$1,Kop_Tarief_Vast,0),0))),""),"")</f>
        <v/>
      </c>
      <c r="P371" s="320" t="str" cm="1">
        <f t="array" ref="P371">_xlfn.IFNA(IF(INDEX(Tb_KostenOptiesDB[],MATCH($F371,Tb_KostenOptiesDB[KostenOptie],0),IFERROR(MATCH(Methode_Keuze,Tb_KostenOptiesDB[#Headers],0),2))=1,_xlfn.SWITCH($N371,"Uurtarief",IF(OR(AND(RIGHT($F371,3)="IKS",VLOOKUP($M371,DB_Loonkosten,2,0)="Ja"),AND(RIGHT($F371,3)&lt;&gt;"IKS",VLOOKUP($M371,DB_Loonkosten,2,0)="Nee")),IFERROR(VLOOKUP($M371,DB_Loonkosten,25,0),""),0),"Vast tarief",IF(LEFT(F371,8)="Bijdrage",VLOOKUP($F371,Tb_KostenTypen[],MATCH(Lijsten!$P$1,Tb_KostenTypen[#Headers],0),0),VLOOKUP($G371,Lijsten!L:P,MATCH(Lijsten!$P$1,Kop_Tarief_Vast,0),0))),""),"")</f>
        <v/>
      </c>
      <c r="Q371" s="359"/>
      <c r="R371" s="359"/>
      <c r="S371" s="321"/>
      <c r="T371" s="321"/>
      <c r="U371" s="373" t="str">
        <f t="shared" si="20"/>
        <v/>
      </c>
      <c r="V371" s="314" t="str">
        <f t="shared" si="21"/>
        <v/>
      </c>
      <c r="W371" s="314" t="str" cm="1">
        <f t="array" aca="1" ref="W371" ca="1">IFERROR(IF(AE371&lt;&gt;"ja",_xlfn.IFNA(_xlfn.IFS(AND(O371&lt;&gt;"",F371&lt;&gt;"",RIGHT($N371,6)="tarief",F371="Vergoeding"),SUM(O371)*FLOOR(SUM(Q371),0.0001),AND(O371&lt;&gt;"",F371&lt;&gt;"",RIGHT($N371,6)="tarief"),SUM(O371)*FLOOR(SUM(Q371),0.01),S371&gt;0,IF(F371&lt;&gt;"",FLOOR(SUM(S371),0.01),"")),""),""),"")</f>
        <v/>
      </c>
      <c r="X371" s="314" t="str" cm="1">
        <f t="array" aca="1" ref="X371" ca="1">IFERROR(IF(AE371&lt;&gt;"ja",_xlfn.IFNA(_xlfn.IFS(AND(P371&lt;&gt;"",R371&lt;&gt;"",RIGHT($N371,6)="tarief",F371="Vergoeding"),SUM(P371)*FLOOR(SUM(R371),0.0001),AND(P371&lt;&gt;"",R371&lt;&gt;"",RIGHT($N371,6)="tarief"),P371*FLOOR(R371,0.01),T371&gt;0,FLOOR(SUM(T371),0.01)),""),""),"")</f>
        <v/>
      </c>
      <c r="Y371" s="314" t="str">
        <f t="shared" ca="1" si="22"/>
        <v/>
      </c>
      <c r="Z371" s="314" t="str" cm="1">
        <f t="array" aca="1" ref="Z371" ca="1">IFERROR(_xlfn.IFS(OR(F371="",LEFT(Methode_Keuze,4)="Geen",Methode_Keuze=""),"",AND(W371&lt;&gt;"",F371&lt;&gt;"Arbeidskosten"),W371*VLOOKUP(F371,Tb_ProjectKosten[],MATCH(Tb_ProjectKosten[[#Headers],[Forfait_Percentage]],Tb_ProjectKosten[#Headers],0),0),AND(F371="Arbeidskosten",G371&lt;&gt;""),IFERROR(W371*VLOOKUP(G371,Tb_KostenTypen[],3,0)*VLOOKUP(F371,Tb_ProjectKosten[],MATCH(Tb_ProjectKosten[[#Headers],[Forfait_Percentage]],Tb_ProjectKosten[#Headers],0),0),""),W371 &lt;=0,0),"")</f>
        <v/>
      </c>
      <c r="AA371" s="314" t="str" cm="1">
        <f t="array" aca="1" ref="AA371" ca="1">IFERROR(_xlfn.IFS(OR(F371="",LEFT(Methode_Keuze,4)="Geen",Methode_Keuze=""),"",AND(X371&lt;&gt;"",F371&lt;&gt;"Arbeidskosten"),X371*VLOOKUP(F371,Tb_ProjectKosten[],MATCH(Tb_ProjectKosten[[#Headers],[Forfait_Percentage]],Tb_ProjectKosten[#Headers],0),0),AND(F371="Arbeidskosten",G371&lt;&gt;""),IFERROR(X371*VLOOKUP(G371,Tb_KostenTypen[],3,0)*VLOOKUP(F371,Tb_ProjectKosten[],MATCH(Tb_ProjectKosten[[#Headers],[Forfait_Percentage]],Tb_ProjectKosten[#Headers],0),0),""),X371 &lt;=0,0),"")</f>
        <v/>
      </c>
      <c r="AB371" s="314" t="str">
        <f t="shared" ca="1" si="23"/>
        <v/>
      </c>
      <c r="AC371" s="322"/>
      <c r="AD371" s="315"/>
      <c r="AE371" s="32" t="str" cm="1">
        <f t="array" ref="AE371">IFERROR(IF(INDEX(SubsidieTabel!$AD$1:$AG$12,MATCH($F371,SubsidieTabel!$AD$1:$AD$12,0),IFERROR(MATCH(Methode_Keuze,SubsidieTabel!$AD$1:$AG$1,0),2))&lt;&gt;1=TRUE,"ja",""),"")</f>
        <v/>
      </c>
    </row>
    <row r="372" spans="1:31" x14ac:dyDescent="0.25">
      <c r="A372" s="316"/>
      <c r="B372" s="317" t="str">
        <f>IF(A372&lt;&gt;"",_xlfn.MAXIFS($B$1:B371,$A$1:A371,A372)+1,"")</f>
        <v/>
      </c>
      <c r="C372" s="296"/>
      <c r="D372" s="296"/>
      <c r="E372" s="296"/>
      <c r="F372" s="296"/>
      <c r="G372" s="326"/>
      <c r="H372" s="324"/>
      <c r="I372" s="325"/>
      <c r="J372" s="325"/>
      <c r="K372" s="318"/>
      <c r="L372" s="318"/>
      <c r="M372" s="319" t="str">
        <f>IFERROR(VLOOKUP(H372,Lijsten!$H$1:$I$100,2,0),"")</f>
        <v/>
      </c>
      <c r="N372" s="319" t="str">
        <f ca="1">IFERROR(IF(VLOOKUP(F372,Kostentypen!$A$3:$E$21,3,0)=0,"",IF(OR(F372="Arbeidskosten",F372="Vergoeding"),VLOOKUP(G372,Tb_KostenTypen[],2,0),VLOOKUP(F372,Kostentypen!$A$3:$E$20,3,0))),"")</f>
        <v/>
      </c>
      <c r="O372" s="320" t="str" cm="1">
        <f t="array" ref="O372">_xlfn.IFNA(IF(INDEX(Tb_KostenOptiesDB[],MATCH($F372,Tb_KostenOptiesDB[KostenOptie],0),IFERROR(MATCH(Methode_Keuze,Tb_KostenOptiesDB[#Headers],0),2))=1,_xlfn.SWITCH($N372,"Uurtarief",IF(OR(AND(RIGHT($F372,3)="IKS",VLOOKUP($M372,DB_Loonkosten,2,0)="Ja"),AND(RIGHT($F372,3)&lt;&gt;"IKS",VLOOKUP($M372,DB_Loonkosten,2,0)="Nee")),IFERROR(VLOOKUP($M372,DB_Loonkosten,24,0),""),0),"Vast tarief",IF(LEFT(F372,8)="Bijdrage",VLOOKUP($F372,Tb_KostenTypen[],MATCH(Lijsten!$P$1,Tb_KostenTypen[#Headers],0),0),VLOOKUP($G372,Lijsten!L:P,MATCH(Lijsten!$P$1,Kop_Tarief_Vast,0),0))),""),"")</f>
        <v/>
      </c>
      <c r="P372" s="320" t="str" cm="1">
        <f t="array" ref="P372">_xlfn.IFNA(IF(INDEX(Tb_KostenOptiesDB[],MATCH($F372,Tb_KostenOptiesDB[KostenOptie],0),IFERROR(MATCH(Methode_Keuze,Tb_KostenOptiesDB[#Headers],0),2))=1,_xlfn.SWITCH($N372,"Uurtarief",IF(OR(AND(RIGHT($F372,3)="IKS",VLOOKUP($M372,DB_Loonkosten,2,0)="Ja"),AND(RIGHT($F372,3)&lt;&gt;"IKS",VLOOKUP($M372,DB_Loonkosten,2,0)="Nee")),IFERROR(VLOOKUP($M372,DB_Loonkosten,25,0),""),0),"Vast tarief",IF(LEFT(F372,8)="Bijdrage",VLOOKUP($F372,Tb_KostenTypen[],MATCH(Lijsten!$P$1,Tb_KostenTypen[#Headers],0),0),VLOOKUP($G372,Lijsten!L:P,MATCH(Lijsten!$P$1,Kop_Tarief_Vast,0),0))),""),"")</f>
        <v/>
      </c>
      <c r="Q372" s="359"/>
      <c r="R372" s="359"/>
      <c r="S372" s="321"/>
      <c r="T372" s="321"/>
      <c r="U372" s="373" t="str">
        <f t="shared" si="20"/>
        <v/>
      </c>
      <c r="V372" s="314" t="str">
        <f t="shared" si="21"/>
        <v/>
      </c>
      <c r="W372" s="314" t="str" cm="1">
        <f t="array" aca="1" ref="W372" ca="1">IFERROR(IF(AE372&lt;&gt;"ja",_xlfn.IFNA(_xlfn.IFS(AND(O372&lt;&gt;"",F372&lt;&gt;"",RIGHT($N372,6)="tarief",F372="Vergoeding"),SUM(O372)*FLOOR(SUM(Q372),0.0001),AND(O372&lt;&gt;"",F372&lt;&gt;"",RIGHT($N372,6)="tarief"),SUM(O372)*FLOOR(SUM(Q372),0.01),S372&gt;0,IF(F372&lt;&gt;"",FLOOR(SUM(S372),0.01),"")),""),""),"")</f>
        <v/>
      </c>
      <c r="X372" s="314" t="str" cm="1">
        <f t="array" aca="1" ref="X372" ca="1">IFERROR(IF(AE372&lt;&gt;"ja",_xlfn.IFNA(_xlfn.IFS(AND(P372&lt;&gt;"",R372&lt;&gt;"",RIGHT($N372,6)="tarief",F372="Vergoeding"),SUM(P372)*FLOOR(SUM(R372),0.0001),AND(P372&lt;&gt;"",R372&lt;&gt;"",RIGHT($N372,6)="tarief"),P372*FLOOR(R372,0.01),T372&gt;0,FLOOR(SUM(T372),0.01)),""),""),"")</f>
        <v/>
      </c>
      <c r="Y372" s="314" t="str">
        <f t="shared" ca="1" si="22"/>
        <v/>
      </c>
      <c r="Z372" s="314" t="str" cm="1">
        <f t="array" aca="1" ref="Z372" ca="1">IFERROR(_xlfn.IFS(OR(F372="",LEFT(Methode_Keuze,4)="Geen",Methode_Keuze=""),"",AND(W372&lt;&gt;"",F372&lt;&gt;"Arbeidskosten"),W372*VLOOKUP(F372,Tb_ProjectKosten[],MATCH(Tb_ProjectKosten[[#Headers],[Forfait_Percentage]],Tb_ProjectKosten[#Headers],0),0),AND(F372="Arbeidskosten",G372&lt;&gt;""),IFERROR(W372*VLOOKUP(G372,Tb_KostenTypen[],3,0)*VLOOKUP(F372,Tb_ProjectKosten[],MATCH(Tb_ProjectKosten[[#Headers],[Forfait_Percentage]],Tb_ProjectKosten[#Headers],0),0),""),W372 &lt;=0,0),"")</f>
        <v/>
      </c>
      <c r="AA372" s="314" t="str" cm="1">
        <f t="array" aca="1" ref="AA372" ca="1">IFERROR(_xlfn.IFS(OR(F372="",LEFT(Methode_Keuze,4)="Geen",Methode_Keuze=""),"",AND(X372&lt;&gt;"",F372&lt;&gt;"Arbeidskosten"),X372*VLOOKUP(F372,Tb_ProjectKosten[],MATCH(Tb_ProjectKosten[[#Headers],[Forfait_Percentage]],Tb_ProjectKosten[#Headers],0),0),AND(F372="Arbeidskosten",G372&lt;&gt;""),IFERROR(X372*VLOOKUP(G372,Tb_KostenTypen[],3,0)*VLOOKUP(F372,Tb_ProjectKosten[],MATCH(Tb_ProjectKosten[[#Headers],[Forfait_Percentage]],Tb_ProjectKosten[#Headers],0),0),""),X372 &lt;=0,0),"")</f>
        <v/>
      </c>
      <c r="AB372" s="314" t="str">
        <f t="shared" ca="1" si="23"/>
        <v/>
      </c>
      <c r="AC372" s="322"/>
      <c r="AD372" s="315"/>
      <c r="AE372" s="32" t="str" cm="1">
        <f t="array" ref="AE372">IFERROR(IF(INDEX(SubsidieTabel!$AD$1:$AG$12,MATCH($F372,SubsidieTabel!$AD$1:$AD$12,0),IFERROR(MATCH(Methode_Keuze,SubsidieTabel!$AD$1:$AG$1,0),2))&lt;&gt;1=TRUE,"ja",""),"")</f>
        <v/>
      </c>
    </row>
    <row r="373" spans="1:31" x14ac:dyDescent="0.25">
      <c r="A373" s="316"/>
      <c r="B373" s="317" t="str">
        <f>IF(A373&lt;&gt;"",_xlfn.MAXIFS($B$1:B372,$A$1:A372,A373)+1,"")</f>
        <v/>
      </c>
      <c r="C373" s="296"/>
      <c r="D373" s="296"/>
      <c r="E373" s="296"/>
      <c r="F373" s="296"/>
      <c r="G373" s="326"/>
      <c r="H373" s="324"/>
      <c r="I373" s="325"/>
      <c r="J373" s="325"/>
      <c r="K373" s="318"/>
      <c r="L373" s="318"/>
      <c r="M373" s="319" t="str">
        <f>IFERROR(VLOOKUP(H373,Lijsten!$H$1:$I$100,2,0),"")</f>
        <v/>
      </c>
      <c r="N373" s="319" t="str">
        <f ca="1">IFERROR(IF(VLOOKUP(F373,Kostentypen!$A$3:$E$21,3,0)=0,"",IF(OR(F373="Arbeidskosten",F373="Vergoeding"),VLOOKUP(G373,Tb_KostenTypen[],2,0),VLOOKUP(F373,Kostentypen!$A$3:$E$20,3,0))),"")</f>
        <v/>
      </c>
      <c r="O373" s="320" t="str" cm="1">
        <f t="array" ref="O373">_xlfn.IFNA(IF(INDEX(Tb_KostenOptiesDB[],MATCH($F373,Tb_KostenOptiesDB[KostenOptie],0),IFERROR(MATCH(Methode_Keuze,Tb_KostenOptiesDB[#Headers],0),2))=1,_xlfn.SWITCH($N373,"Uurtarief",IF(OR(AND(RIGHT($F373,3)="IKS",VLOOKUP($M373,DB_Loonkosten,2,0)="Ja"),AND(RIGHT($F373,3)&lt;&gt;"IKS",VLOOKUP($M373,DB_Loonkosten,2,0)="Nee")),IFERROR(VLOOKUP($M373,DB_Loonkosten,24,0),""),0),"Vast tarief",IF(LEFT(F373,8)="Bijdrage",VLOOKUP($F373,Tb_KostenTypen[],MATCH(Lijsten!$P$1,Tb_KostenTypen[#Headers],0),0),VLOOKUP($G373,Lijsten!L:P,MATCH(Lijsten!$P$1,Kop_Tarief_Vast,0),0))),""),"")</f>
        <v/>
      </c>
      <c r="P373" s="320" t="str" cm="1">
        <f t="array" ref="P373">_xlfn.IFNA(IF(INDEX(Tb_KostenOptiesDB[],MATCH($F373,Tb_KostenOptiesDB[KostenOptie],0),IFERROR(MATCH(Methode_Keuze,Tb_KostenOptiesDB[#Headers],0),2))=1,_xlfn.SWITCH($N373,"Uurtarief",IF(OR(AND(RIGHT($F373,3)="IKS",VLOOKUP($M373,DB_Loonkosten,2,0)="Ja"),AND(RIGHT($F373,3)&lt;&gt;"IKS",VLOOKUP($M373,DB_Loonkosten,2,0)="Nee")),IFERROR(VLOOKUP($M373,DB_Loonkosten,25,0),""),0),"Vast tarief",IF(LEFT(F373,8)="Bijdrage",VLOOKUP($F373,Tb_KostenTypen[],MATCH(Lijsten!$P$1,Tb_KostenTypen[#Headers],0),0),VLOOKUP($G373,Lijsten!L:P,MATCH(Lijsten!$P$1,Kop_Tarief_Vast,0),0))),""),"")</f>
        <v/>
      </c>
      <c r="Q373" s="359"/>
      <c r="R373" s="359"/>
      <c r="S373" s="321"/>
      <c r="T373" s="321"/>
      <c r="U373" s="373" t="str">
        <f t="shared" si="20"/>
        <v/>
      </c>
      <c r="V373" s="314" t="str">
        <f t="shared" si="21"/>
        <v/>
      </c>
      <c r="W373" s="314" t="str" cm="1">
        <f t="array" aca="1" ref="W373" ca="1">IFERROR(IF(AE373&lt;&gt;"ja",_xlfn.IFNA(_xlfn.IFS(AND(O373&lt;&gt;"",F373&lt;&gt;"",RIGHT($N373,6)="tarief",F373="Vergoeding"),SUM(O373)*FLOOR(SUM(Q373),0.0001),AND(O373&lt;&gt;"",F373&lt;&gt;"",RIGHT($N373,6)="tarief"),SUM(O373)*FLOOR(SUM(Q373),0.01),S373&gt;0,IF(F373&lt;&gt;"",FLOOR(SUM(S373),0.01),"")),""),""),"")</f>
        <v/>
      </c>
      <c r="X373" s="314" t="str" cm="1">
        <f t="array" aca="1" ref="X373" ca="1">IFERROR(IF(AE373&lt;&gt;"ja",_xlfn.IFNA(_xlfn.IFS(AND(P373&lt;&gt;"",R373&lt;&gt;"",RIGHT($N373,6)="tarief",F373="Vergoeding"),SUM(P373)*FLOOR(SUM(R373),0.0001),AND(P373&lt;&gt;"",R373&lt;&gt;"",RIGHT($N373,6)="tarief"),P373*FLOOR(R373,0.01),T373&gt;0,FLOOR(SUM(T373),0.01)),""),""),"")</f>
        <v/>
      </c>
      <c r="Y373" s="314" t="str">
        <f t="shared" ca="1" si="22"/>
        <v/>
      </c>
      <c r="Z373" s="314" t="str" cm="1">
        <f t="array" aca="1" ref="Z373" ca="1">IFERROR(_xlfn.IFS(OR(F373="",LEFT(Methode_Keuze,4)="Geen",Methode_Keuze=""),"",AND(W373&lt;&gt;"",F373&lt;&gt;"Arbeidskosten"),W373*VLOOKUP(F373,Tb_ProjectKosten[],MATCH(Tb_ProjectKosten[[#Headers],[Forfait_Percentage]],Tb_ProjectKosten[#Headers],0),0),AND(F373="Arbeidskosten",G373&lt;&gt;""),IFERROR(W373*VLOOKUP(G373,Tb_KostenTypen[],3,0)*VLOOKUP(F373,Tb_ProjectKosten[],MATCH(Tb_ProjectKosten[[#Headers],[Forfait_Percentage]],Tb_ProjectKosten[#Headers],0),0),""),W373 &lt;=0,0),"")</f>
        <v/>
      </c>
      <c r="AA373" s="314" t="str" cm="1">
        <f t="array" aca="1" ref="AA373" ca="1">IFERROR(_xlfn.IFS(OR(F373="",LEFT(Methode_Keuze,4)="Geen",Methode_Keuze=""),"",AND(X373&lt;&gt;"",F373&lt;&gt;"Arbeidskosten"),X373*VLOOKUP(F373,Tb_ProjectKosten[],MATCH(Tb_ProjectKosten[[#Headers],[Forfait_Percentage]],Tb_ProjectKosten[#Headers],0),0),AND(F373="Arbeidskosten",G373&lt;&gt;""),IFERROR(X373*VLOOKUP(G373,Tb_KostenTypen[],3,0)*VLOOKUP(F373,Tb_ProjectKosten[],MATCH(Tb_ProjectKosten[[#Headers],[Forfait_Percentage]],Tb_ProjectKosten[#Headers],0),0),""),X373 &lt;=0,0),"")</f>
        <v/>
      </c>
      <c r="AB373" s="314" t="str">
        <f t="shared" ca="1" si="23"/>
        <v/>
      </c>
      <c r="AC373" s="322"/>
      <c r="AD373" s="315"/>
      <c r="AE373" s="32" t="str" cm="1">
        <f t="array" ref="AE373">IFERROR(IF(INDEX(SubsidieTabel!$AD$1:$AG$12,MATCH($F373,SubsidieTabel!$AD$1:$AD$12,0),IFERROR(MATCH(Methode_Keuze,SubsidieTabel!$AD$1:$AG$1,0),2))&lt;&gt;1=TRUE,"ja",""),"")</f>
        <v/>
      </c>
    </row>
    <row r="374" spans="1:31" x14ac:dyDescent="0.25">
      <c r="A374" s="316"/>
      <c r="B374" s="317" t="str">
        <f>IF(A374&lt;&gt;"",_xlfn.MAXIFS($B$1:B373,$A$1:A373,A374)+1,"")</f>
        <v/>
      </c>
      <c r="C374" s="296"/>
      <c r="D374" s="296"/>
      <c r="E374" s="296"/>
      <c r="F374" s="296"/>
      <c r="G374" s="326"/>
      <c r="H374" s="324"/>
      <c r="I374" s="325"/>
      <c r="J374" s="325"/>
      <c r="K374" s="318"/>
      <c r="L374" s="318"/>
      <c r="M374" s="319" t="str">
        <f>IFERROR(VLOOKUP(H374,Lijsten!$H$1:$I$100,2,0),"")</f>
        <v/>
      </c>
      <c r="N374" s="319" t="str">
        <f ca="1">IFERROR(IF(VLOOKUP(F374,Kostentypen!$A$3:$E$21,3,0)=0,"",IF(OR(F374="Arbeidskosten",F374="Vergoeding"),VLOOKUP(G374,Tb_KostenTypen[],2,0),VLOOKUP(F374,Kostentypen!$A$3:$E$20,3,0))),"")</f>
        <v/>
      </c>
      <c r="O374" s="320" t="str" cm="1">
        <f t="array" ref="O374">_xlfn.IFNA(IF(INDEX(Tb_KostenOptiesDB[],MATCH($F374,Tb_KostenOptiesDB[KostenOptie],0),IFERROR(MATCH(Methode_Keuze,Tb_KostenOptiesDB[#Headers],0),2))=1,_xlfn.SWITCH($N374,"Uurtarief",IF(OR(AND(RIGHT($F374,3)="IKS",VLOOKUP($M374,DB_Loonkosten,2,0)="Ja"),AND(RIGHT($F374,3)&lt;&gt;"IKS",VLOOKUP($M374,DB_Loonkosten,2,0)="Nee")),IFERROR(VLOOKUP($M374,DB_Loonkosten,24,0),""),0),"Vast tarief",IF(LEFT(F374,8)="Bijdrage",VLOOKUP($F374,Tb_KostenTypen[],MATCH(Lijsten!$P$1,Tb_KostenTypen[#Headers],0),0),VLOOKUP($G374,Lijsten!L:P,MATCH(Lijsten!$P$1,Kop_Tarief_Vast,0),0))),""),"")</f>
        <v/>
      </c>
      <c r="P374" s="320" t="str" cm="1">
        <f t="array" ref="P374">_xlfn.IFNA(IF(INDEX(Tb_KostenOptiesDB[],MATCH($F374,Tb_KostenOptiesDB[KostenOptie],0),IFERROR(MATCH(Methode_Keuze,Tb_KostenOptiesDB[#Headers],0),2))=1,_xlfn.SWITCH($N374,"Uurtarief",IF(OR(AND(RIGHT($F374,3)="IKS",VLOOKUP($M374,DB_Loonkosten,2,0)="Ja"),AND(RIGHT($F374,3)&lt;&gt;"IKS",VLOOKUP($M374,DB_Loonkosten,2,0)="Nee")),IFERROR(VLOOKUP($M374,DB_Loonkosten,25,0),""),0),"Vast tarief",IF(LEFT(F374,8)="Bijdrage",VLOOKUP($F374,Tb_KostenTypen[],MATCH(Lijsten!$P$1,Tb_KostenTypen[#Headers],0),0),VLOOKUP($G374,Lijsten!L:P,MATCH(Lijsten!$P$1,Kop_Tarief_Vast,0),0))),""),"")</f>
        <v/>
      </c>
      <c r="Q374" s="359"/>
      <c r="R374" s="359"/>
      <c r="S374" s="321"/>
      <c r="T374" s="321"/>
      <c r="U374" s="373" t="str">
        <f t="shared" si="20"/>
        <v/>
      </c>
      <c r="V374" s="314" t="str">
        <f t="shared" si="21"/>
        <v/>
      </c>
      <c r="W374" s="314" t="str" cm="1">
        <f t="array" aca="1" ref="W374" ca="1">IFERROR(IF(AE374&lt;&gt;"ja",_xlfn.IFNA(_xlfn.IFS(AND(O374&lt;&gt;"",F374&lt;&gt;"",RIGHT($N374,6)="tarief",F374="Vergoeding"),SUM(O374)*FLOOR(SUM(Q374),0.0001),AND(O374&lt;&gt;"",F374&lt;&gt;"",RIGHT($N374,6)="tarief"),SUM(O374)*FLOOR(SUM(Q374),0.01),S374&gt;0,IF(F374&lt;&gt;"",FLOOR(SUM(S374),0.01),"")),""),""),"")</f>
        <v/>
      </c>
      <c r="X374" s="314" t="str" cm="1">
        <f t="array" aca="1" ref="X374" ca="1">IFERROR(IF(AE374&lt;&gt;"ja",_xlfn.IFNA(_xlfn.IFS(AND(P374&lt;&gt;"",R374&lt;&gt;"",RIGHT($N374,6)="tarief",F374="Vergoeding"),SUM(P374)*FLOOR(SUM(R374),0.0001),AND(P374&lt;&gt;"",R374&lt;&gt;"",RIGHT($N374,6)="tarief"),P374*FLOOR(R374,0.01),T374&gt;0,FLOOR(SUM(T374),0.01)),""),""),"")</f>
        <v/>
      </c>
      <c r="Y374" s="314" t="str">
        <f t="shared" ca="1" si="22"/>
        <v/>
      </c>
      <c r="Z374" s="314" t="str" cm="1">
        <f t="array" aca="1" ref="Z374" ca="1">IFERROR(_xlfn.IFS(OR(F374="",LEFT(Methode_Keuze,4)="Geen",Methode_Keuze=""),"",AND(W374&lt;&gt;"",F374&lt;&gt;"Arbeidskosten"),W374*VLOOKUP(F374,Tb_ProjectKosten[],MATCH(Tb_ProjectKosten[[#Headers],[Forfait_Percentage]],Tb_ProjectKosten[#Headers],0),0),AND(F374="Arbeidskosten",G374&lt;&gt;""),IFERROR(W374*VLOOKUP(G374,Tb_KostenTypen[],3,0)*VLOOKUP(F374,Tb_ProjectKosten[],MATCH(Tb_ProjectKosten[[#Headers],[Forfait_Percentage]],Tb_ProjectKosten[#Headers],0),0),""),W374 &lt;=0,0),"")</f>
        <v/>
      </c>
      <c r="AA374" s="314" t="str" cm="1">
        <f t="array" aca="1" ref="AA374" ca="1">IFERROR(_xlfn.IFS(OR(F374="",LEFT(Methode_Keuze,4)="Geen",Methode_Keuze=""),"",AND(X374&lt;&gt;"",F374&lt;&gt;"Arbeidskosten"),X374*VLOOKUP(F374,Tb_ProjectKosten[],MATCH(Tb_ProjectKosten[[#Headers],[Forfait_Percentage]],Tb_ProjectKosten[#Headers],0),0),AND(F374="Arbeidskosten",G374&lt;&gt;""),IFERROR(X374*VLOOKUP(G374,Tb_KostenTypen[],3,0)*VLOOKUP(F374,Tb_ProjectKosten[],MATCH(Tb_ProjectKosten[[#Headers],[Forfait_Percentage]],Tb_ProjectKosten[#Headers],0),0),""),X374 &lt;=0,0),"")</f>
        <v/>
      </c>
      <c r="AB374" s="314" t="str">
        <f t="shared" ca="1" si="23"/>
        <v/>
      </c>
      <c r="AC374" s="322"/>
      <c r="AD374" s="315"/>
      <c r="AE374" s="32" t="str" cm="1">
        <f t="array" ref="AE374">IFERROR(IF(INDEX(SubsidieTabel!$AD$1:$AG$12,MATCH($F374,SubsidieTabel!$AD$1:$AD$12,0),IFERROR(MATCH(Methode_Keuze,SubsidieTabel!$AD$1:$AG$1,0),2))&lt;&gt;1=TRUE,"ja",""),"")</f>
        <v/>
      </c>
    </row>
    <row r="375" spans="1:31" x14ac:dyDescent="0.25">
      <c r="A375" s="316"/>
      <c r="B375" s="317" t="str">
        <f>IF(A375&lt;&gt;"",_xlfn.MAXIFS($B$1:B374,$A$1:A374,A375)+1,"")</f>
        <v/>
      </c>
      <c r="C375" s="296"/>
      <c r="D375" s="296"/>
      <c r="E375" s="296"/>
      <c r="F375" s="296"/>
      <c r="G375" s="326"/>
      <c r="H375" s="324"/>
      <c r="I375" s="325"/>
      <c r="J375" s="325"/>
      <c r="K375" s="318"/>
      <c r="L375" s="318"/>
      <c r="M375" s="319" t="str">
        <f>IFERROR(VLOOKUP(H375,Lijsten!$H$1:$I$100,2,0),"")</f>
        <v/>
      </c>
      <c r="N375" s="319" t="str">
        <f ca="1">IFERROR(IF(VLOOKUP(F375,Kostentypen!$A$3:$E$21,3,0)=0,"",IF(OR(F375="Arbeidskosten",F375="Vergoeding"),VLOOKUP(G375,Tb_KostenTypen[],2,0),VLOOKUP(F375,Kostentypen!$A$3:$E$20,3,0))),"")</f>
        <v/>
      </c>
      <c r="O375" s="320" t="str" cm="1">
        <f t="array" ref="O375">_xlfn.IFNA(IF(INDEX(Tb_KostenOptiesDB[],MATCH($F375,Tb_KostenOptiesDB[KostenOptie],0),IFERROR(MATCH(Methode_Keuze,Tb_KostenOptiesDB[#Headers],0),2))=1,_xlfn.SWITCH($N375,"Uurtarief",IF(OR(AND(RIGHT($F375,3)="IKS",VLOOKUP($M375,DB_Loonkosten,2,0)="Ja"),AND(RIGHT($F375,3)&lt;&gt;"IKS",VLOOKUP($M375,DB_Loonkosten,2,0)="Nee")),IFERROR(VLOOKUP($M375,DB_Loonkosten,24,0),""),0),"Vast tarief",IF(LEFT(F375,8)="Bijdrage",VLOOKUP($F375,Tb_KostenTypen[],MATCH(Lijsten!$P$1,Tb_KostenTypen[#Headers],0),0),VLOOKUP($G375,Lijsten!L:P,MATCH(Lijsten!$P$1,Kop_Tarief_Vast,0),0))),""),"")</f>
        <v/>
      </c>
      <c r="P375" s="320" t="str" cm="1">
        <f t="array" ref="P375">_xlfn.IFNA(IF(INDEX(Tb_KostenOptiesDB[],MATCH($F375,Tb_KostenOptiesDB[KostenOptie],0),IFERROR(MATCH(Methode_Keuze,Tb_KostenOptiesDB[#Headers],0),2))=1,_xlfn.SWITCH($N375,"Uurtarief",IF(OR(AND(RIGHT($F375,3)="IKS",VLOOKUP($M375,DB_Loonkosten,2,0)="Ja"),AND(RIGHT($F375,3)&lt;&gt;"IKS",VLOOKUP($M375,DB_Loonkosten,2,0)="Nee")),IFERROR(VLOOKUP($M375,DB_Loonkosten,25,0),""),0),"Vast tarief",IF(LEFT(F375,8)="Bijdrage",VLOOKUP($F375,Tb_KostenTypen[],MATCH(Lijsten!$P$1,Tb_KostenTypen[#Headers],0),0),VLOOKUP($G375,Lijsten!L:P,MATCH(Lijsten!$P$1,Kop_Tarief_Vast,0),0))),""),"")</f>
        <v/>
      </c>
      <c r="Q375" s="359"/>
      <c r="R375" s="359"/>
      <c r="S375" s="321"/>
      <c r="T375" s="321"/>
      <c r="U375" s="373" t="str">
        <f t="shared" si="20"/>
        <v/>
      </c>
      <c r="V375" s="314" t="str">
        <f t="shared" si="21"/>
        <v/>
      </c>
      <c r="W375" s="314" t="str" cm="1">
        <f t="array" aca="1" ref="W375" ca="1">IFERROR(IF(AE375&lt;&gt;"ja",_xlfn.IFNA(_xlfn.IFS(AND(O375&lt;&gt;"",F375&lt;&gt;"",RIGHT($N375,6)="tarief",F375="Vergoeding"),SUM(O375)*FLOOR(SUM(Q375),0.0001),AND(O375&lt;&gt;"",F375&lt;&gt;"",RIGHT($N375,6)="tarief"),SUM(O375)*FLOOR(SUM(Q375),0.01),S375&gt;0,IF(F375&lt;&gt;"",FLOOR(SUM(S375),0.01),"")),""),""),"")</f>
        <v/>
      </c>
      <c r="X375" s="314" t="str" cm="1">
        <f t="array" aca="1" ref="X375" ca="1">IFERROR(IF(AE375&lt;&gt;"ja",_xlfn.IFNA(_xlfn.IFS(AND(P375&lt;&gt;"",R375&lt;&gt;"",RIGHT($N375,6)="tarief",F375="Vergoeding"),SUM(P375)*FLOOR(SUM(R375),0.0001),AND(P375&lt;&gt;"",R375&lt;&gt;"",RIGHT($N375,6)="tarief"),P375*FLOOR(R375,0.01),T375&gt;0,FLOOR(SUM(T375),0.01)),""),""),"")</f>
        <v/>
      </c>
      <c r="Y375" s="314" t="str">
        <f t="shared" ca="1" si="22"/>
        <v/>
      </c>
      <c r="Z375" s="314" t="str" cm="1">
        <f t="array" aca="1" ref="Z375" ca="1">IFERROR(_xlfn.IFS(OR(F375="",LEFT(Methode_Keuze,4)="Geen",Methode_Keuze=""),"",AND(W375&lt;&gt;"",F375&lt;&gt;"Arbeidskosten"),W375*VLOOKUP(F375,Tb_ProjectKosten[],MATCH(Tb_ProjectKosten[[#Headers],[Forfait_Percentage]],Tb_ProjectKosten[#Headers],0),0),AND(F375="Arbeidskosten",G375&lt;&gt;""),IFERROR(W375*VLOOKUP(G375,Tb_KostenTypen[],3,0)*VLOOKUP(F375,Tb_ProjectKosten[],MATCH(Tb_ProjectKosten[[#Headers],[Forfait_Percentage]],Tb_ProjectKosten[#Headers],0),0),""),W375 &lt;=0,0),"")</f>
        <v/>
      </c>
      <c r="AA375" s="314" t="str" cm="1">
        <f t="array" aca="1" ref="AA375" ca="1">IFERROR(_xlfn.IFS(OR(F375="",LEFT(Methode_Keuze,4)="Geen",Methode_Keuze=""),"",AND(X375&lt;&gt;"",F375&lt;&gt;"Arbeidskosten"),X375*VLOOKUP(F375,Tb_ProjectKosten[],MATCH(Tb_ProjectKosten[[#Headers],[Forfait_Percentage]],Tb_ProjectKosten[#Headers],0),0),AND(F375="Arbeidskosten",G375&lt;&gt;""),IFERROR(X375*VLOOKUP(G375,Tb_KostenTypen[],3,0)*VLOOKUP(F375,Tb_ProjectKosten[],MATCH(Tb_ProjectKosten[[#Headers],[Forfait_Percentage]],Tb_ProjectKosten[#Headers],0),0),""),X375 &lt;=0,0),"")</f>
        <v/>
      </c>
      <c r="AB375" s="314" t="str">
        <f t="shared" ca="1" si="23"/>
        <v/>
      </c>
      <c r="AC375" s="322"/>
      <c r="AD375" s="315"/>
      <c r="AE375" s="32" t="str" cm="1">
        <f t="array" ref="AE375">IFERROR(IF(INDEX(SubsidieTabel!$AD$1:$AG$12,MATCH($F375,SubsidieTabel!$AD$1:$AD$12,0),IFERROR(MATCH(Methode_Keuze,SubsidieTabel!$AD$1:$AG$1,0),2))&lt;&gt;1=TRUE,"ja",""),"")</f>
        <v/>
      </c>
    </row>
    <row r="376" spans="1:31" x14ac:dyDescent="0.25">
      <c r="A376" s="316"/>
      <c r="B376" s="317" t="str">
        <f>IF(A376&lt;&gt;"",_xlfn.MAXIFS($B$1:B375,$A$1:A375,A376)+1,"")</f>
        <v/>
      </c>
      <c r="C376" s="296"/>
      <c r="D376" s="296"/>
      <c r="E376" s="296"/>
      <c r="F376" s="296"/>
      <c r="G376" s="326"/>
      <c r="H376" s="324"/>
      <c r="I376" s="325"/>
      <c r="J376" s="325"/>
      <c r="K376" s="318"/>
      <c r="L376" s="318"/>
      <c r="M376" s="319" t="str">
        <f>IFERROR(VLOOKUP(H376,Lijsten!$H$1:$I$100,2,0),"")</f>
        <v/>
      </c>
      <c r="N376" s="319" t="str">
        <f ca="1">IFERROR(IF(VLOOKUP(F376,Kostentypen!$A$3:$E$21,3,0)=0,"",IF(OR(F376="Arbeidskosten",F376="Vergoeding"),VLOOKUP(G376,Tb_KostenTypen[],2,0),VLOOKUP(F376,Kostentypen!$A$3:$E$20,3,0))),"")</f>
        <v/>
      </c>
      <c r="O376" s="320" t="str" cm="1">
        <f t="array" ref="O376">_xlfn.IFNA(IF(INDEX(Tb_KostenOptiesDB[],MATCH($F376,Tb_KostenOptiesDB[KostenOptie],0),IFERROR(MATCH(Methode_Keuze,Tb_KostenOptiesDB[#Headers],0),2))=1,_xlfn.SWITCH($N376,"Uurtarief",IF(OR(AND(RIGHT($F376,3)="IKS",VLOOKUP($M376,DB_Loonkosten,2,0)="Ja"),AND(RIGHT($F376,3)&lt;&gt;"IKS",VLOOKUP($M376,DB_Loonkosten,2,0)="Nee")),IFERROR(VLOOKUP($M376,DB_Loonkosten,24,0),""),0),"Vast tarief",IF(LEFT(F376,8)="Bijdrage",VLOOKUP($F376,Tb_KostenTypen[],MATCH(Lijsten!$P$1,Tb_KostenTypen[#Headers],0),0),VLOOKUP($G376,Lijsten!L:P,MATCH(Lijsten!$P$1,Kop_Tarief_Vast,0),0))),""),"")</f>
        <v/>
      </c>
      <c r="P376" s="320" t="str" cm="1">
        <f t="array" ref="P376">_xlfn.IFNA(IF(INDEX(Tb_KostenOptiesDB[],MATCH($F376,Tb_KostenOptiesDB[KostenOptie],0),IFERROR(MATCH(Methode_Keuze,Tb_KostenOptiesDB[#Headers],0),2))=1,_xlfn.SWITCH($N376,"Uurtarief",IF(OR(AND(RIGHT($F376,3)="IKS",VLOOKUP($M376,DB_Loonkosten,2,0)="Ja"),AND(RIGHT($F376,3)&lt;&gt;"IKS",VLOOKUP($M376,DB_Loonkosten,2,0)="Nee")),IFERROR(VLOOKUP($M376,DB_Loonkosten,25,0),""),0),"Vast tarief",IF(LEFT(F376,8)="Bijdrage",VLOOKUP($F376,Tb_KostenTypen[],MATCH(Lijsten!$P$1,Tb_KostenTypen[#Headers],0),0),VLOOKUP($G376,Lijsten!L:P,MATCH(Lijsten!$P$1,Kop_Tarief_Vast,0),0))),""),"")</f>
        <v/>
      </c>
      <c r="Q376" s="359"/>
      <c r="R376" s="359"/>
      <c r="S376" s="321"/>
      <c r="T376" s="321"/>
      <c r="U376" s="373" t="str">
        <f t="shared" si="20"/>
        <v/>
      </c>
      <c r="V376" s="314" t="str">
        <f t="shared" si="21"/>
        <v/>
      </c>
      <c r="W376" s="314" t="str" cm="1">
        <f t="array" aca="1" ref="W376" ca="1">IFERROR(IF(AE376&lt;&gt;"ja",_xlfn.IFNA(_xlfn.IFS(AND(O376&lt;&gt;"",F376&lt;&gt;"",RIGHT($N376,6)="tarief",F376="Vergoeding"),SUM(O376)*FLOOR(SUM(Q376),0.0001),AND(O376&lt;&gt;"",F376&lt;&gt;"",RIGHT($N376,6)="tarief"),SUM(O376)*FLOOR(SUM(Q376),0.01),S376&gt;0,IF(F376&lt;&gt;"",FLOOR(SUM(S376),0.01),"")),""),""),"")</f>
        <v/>
      </c>
      <c r="X376" s="314" t="str" cm="1">
        <f t="array" aca="1" ref="X376" ca="1">IFERROR(IF(AE376&lt;&gt;"ja",_xlfn.IFNA(_xlfn.IFS(AND(P376&lt;&gt;"",R376&lt;&gt;"",RIGHT($N376,6)="tarief",F376="Vergoeding"),SUM(P376)*FLOOR(SUM(R376),0.0001),AND(P376&lt;&gt;"",R376&lt;&gt;"",RIGHT($N376,6)="tarief"),P376*FLOOR(R376,0.01),T376&gt;0,FLOOR(SUM(T376),0.01)),""),""),"")</f>
        <v/>
      </c>
      <c r="Y376" s="314" t="str">
        <f t="shared" ca="1" si="22"/>
        <v/>
      </c>
      <c r="Z376" s="314" t="str" cm="1">
        <f t="array" aca="1" ref="Z376" ca="1">IFERROR(_xlfn.IFS(OR(F376="",LEFT(Methode_Keuze,4)="Geen",Methode_Keuze=""),"",AND(W376&lt;&gt;"",F376&lt;&gt;"Arbeidskosten"),W376*VLOOKUP(F376,Tb_ProjectKosten[],MATCH(Tb_ProjectKosten[[#Headers],[Forfait_Percentage]],Tb_ProjectKosten[#Headers],0),0),AND(F376="Arbeidskosten",G376&lt;&gt;""),IFERROR(W376*VLOOKUP(G376,Tb_KostenTypen[],3,0)*VLOOKUP(F376,Tb_ProjectKosten[],MATCH(Tb_ProjectKosten[[#Headers],[Forfait_Percentage]],Tb_ProjectKosten[#Headers],0),0),""),W376 &lt;=0,0),"")</f>
        <v/>
      </c>
      <c r="AA376" s="314" t="str" cm="1">
        <f t="array" aca="1" ref="AA376" ca="1">IFERROR(_xlfn.IFS(OR(F376="",LEFT(Methode_Keuze,4)="Geen",Methode_Keuze=""),"",AND(X376&lt;&gt;"",F376&lt;&gt;"Arbeidskosten"),X376*VLOOKUP(F376,Tb_ProjectKosten[],MATCH(Tb_ProjectKosten[[#Headers],[Forfait_Percentage]],Tb_ProjectKosten[#Headers],0),0),AND(F376="Arbeidskosten",G376&lt;&gt;""),IFERROR(X376*VLOOKUP(G376,Tb_KostenTypen[],3,0)*VLOOKUP(F376,Tb_ProjectKosten[],MATCH(Tb_ProjectKosten[[#Headers],[Forfait_Percentage]],Tb_ProjectKosten[#Headers],0),0),""),X376 &lt;=0,0),"")</f>
        <v/>
      </c>
      <c r="AB376" s="314" t="str">
        <f t="shared" ca="1" si="23"/>
        <v/>
      </c>
      <c r="AC376" s="322"/>
      <c r="AD376" s="315"/>
      <c r="AE376" s="32" t="str" cm="1">
        <f t="array" ref="AE376">IFERROR(IF(INDEX(SubsidieTabel!$AD$1:$AG$12,MATCH($F376,SubsidieTabel!$AD$1:$AD$12,0),IFERROR(MATCH(Methode_Keuze,SubsidieTabel!$AD$1:$AG$1,0),2))&lt;&gt;1=TRUE,"ja",""),"")</f>
        <v/>
      </c>
    </row>
    <row r="377" spans="1:31" x14ac:dyDescent="0.25">
      <c r="A377" s="316"/>
      <c r="B377" s="317" t="str">
        <f>IF(A377&lt;&gt;"",_xlfn.MAXIFS($B$1:B376,$A$1:A376,A377)+1,"")</f>
        <v/>
      </c>
      <c r="C377" s="296"/>
      <c r="D377" s="296"/>
      <c r="E377" s="296"/>
      <c r="F377" s="296"/>
      <c r="G377" s="326"/>
      <c r="H377" s="324"/>
      <c r="I377" s="325"/>
      <c r="J377" s="325"/>
      <c r="K377" s="318"/>
      <c r="L377" s="318"/>
      <c r="M377" s="319" t="str">
        <f>IFERROR(VLOOKUP(H377,Lijsten!$H$1:$I$100,2,0),"")</f>
        <v/>
      </c>
      <c r="N377" s="319" t="str">
        <f ca="1">IFERROR(IF(VLOOKUP(F377,Kostentypen!$A$3:$E$21,3,0)=0,"",IF(OR(F377="Arbeidskosten",F377="Vergoeding"),VLOOKUP(G377,Tb_KostenTypen[],2,0),VLOOKUP(F377,Kostentypen!$A$3:$E$20,3,0))),"")</f>
        <v/>
      </c>
      <c r="O377" s="320" t="str" cm="1">
        <f t="array" ref="O377">_xlfn.IFNA(IF(INDEX(Tb_KostenOptiesDB[],MATCH($F377,Tb_KostenOptiesDB[KostenOptie],0),IFERROR(MATCH(Methode_Keuze,Tb_KostenOptiesDB[#Headers],0),2))=1,_xlfn.SWITCH($N377,"Uurtarief",IF(OR(AND(RIGHT($F377,3)="IKS",VLOOKUP($M377,DB_Loonkosten,2,0)="Ja"),AND(RIGHT($F377,3)&lt;&gt;"IKS",VLOOKUP($M377,DB_Loonkosten,2,0)="Nee")),IFERROR(VLOOKUP($M377,DB_Loonkosten,24,0),""),0),"Vast tarief",IF(LEFT(F377,8)="Bijdrage",VLOOKUP($F377,Tb_KostenTypen[],MATCH(Lijsten!$P$1,Tb_KostenTypen[#Headers],0),0),VLOOKUP($G377,Lijsten!L:P,MATCH(Lijsten!$P$1,Kop_Tarief_Vast,0),0))),""),"")</f>
        <v/>
      </c>
      <c r="P377" s="320" t="str" cm="1">
        <f t="array" ref="P377">_xlfn.IFNA(IF(INDEX(Tb_KostenOptiesDB[],MATCH($F377,Tb_KostenOptiesDB[KostenOptie],0),IFERROR(MATCH(Methode_Keuze,Tb_KostenOptiesDB[#Headers],0),2))=1,_xlfn.SWITCH($N377,"Uurtarief",IF(OR(AND(RIGHT($F377,3)="IKS",VLOOKUP($M377,DB_Loonkosten,2,0)="Ja"),AND(RIGHT($F377,3)&lt;&gt;"IKS",VLOOKUP($M377,DB_Loonkosten,2,0)="Nee")),IFERROR(VLOOKUP($M377,DB_Loonkosten,25,0),""),0),"Vast tarief",IF(LEFT(F377,8)="Bijdrage",VLOOKUP($F377,Tb_KostenTypen[],MATCH(Lijsten!$P$1,Tb_KostenTypen[#Headers],0),0),VLOOKUP($G377,Lijsten!L:P,MATCH(Lijsten!$P$1,Kop_Tarief_Vast,0),0))),""),"")</f>
        <v/>
      </c>
      <c r="Q377" s="359"/>
      <c r="R377" s="359"/>
      <c r="S377" s="321"/>
      <c r="T377" s="321"/>
      <c r="U377" s="373" t="str">
        <f t="shared" si="20"/>
        <v/>
      </c>
      <c r="V377" s="314" t="str">
        <f t="shared" si="21"/>
        <v/>
      </c>
      <c r="W377" s="314" t="str" cm="1">
        <f t="array" aca="1" ref="W377" ca="1">IFERROR(IF(AE377&lt;&gt;"ja",_xlfn.IFNA(_xlfn.IFS(AND(O377&lt;&gt;"",F377&lt;&gt;"",RIGHT($N377,6)="tarief",F377="Vergoeding"),SUM(O377)*FLOOR(SUM(Q377),0.0001),AND(O377&lt;&gt;"",F377&lt;&gt;"",RIGHT($N377,6)="tarief"),SUM(O377)*FLOOR(SUM(Q377),0.01),S377&gt;0,IF(F377&lt;&gt;"",FLOOR(SUM(S377),0.01),"")),""),""),"")</f>
        <v/>
      </c>
      <c r="X377" s="314" t="str" cm="1">
        <f t="array" aca="1" ref="X377" ca="1">IFERROR(IF(AE377&lt;&gt;"ja",_xlfn.IFNA(_xlfn.IFS(AND(P377&lt;&gt;"",R377&lt;&gt;"",RIGHT($N377,6)="tarief",F377="Vergoeding"),SUM(P377)*FLOOR(SUM(R377),0.0001),AND(P377&lt;&gt;"",R377&lt;&gt;"",RIGHT($N377,6)="tarief"),P377*FLOOR(R377,0.01),T377&gt;0,FLOOR(SUM(T377),0.01)),""),""),"")</f>
        <v/>
      </c>
      <c r="Y377" s="314" t="str">
        <f t="shared" ca="1" si="22"/>
        <v/>
      </c>
      <c r="Z377" s="314" t="str" cm="1">
        <f t="array" aca="1" ref="Z377" ca="1">IFERROR(_xlfn.IFS(OR(F377="",LEFT(Methode_Keuze,4)="Geen",Methode_Keuze=""),"",AND(W377&lt;&gt;"",F377&lt;&gt;"Arbeidskosten"),W377*VLOOKUP(F377,Tb_ProjectKosten[],MATCH(Tb_ProjectKosten[[#Headers],[Forfait_Percentage]],Tb_ProjectKosten[#Headers],0),0),AND(F377="Arbeidskosten",G377&lt;&gt;""),IFERROR(W377*VLOOKUP(G377,Tb_KostenTypen[],3,0)*VLOOKUP(F377,Tb_ProjectKosten[],MATCH(Tb_ProjectKosten[[#Headers],[Forfait_Percentage]],Tb_ProjectKosten[#Headers],0),0),""),W377 &lt;=0,0),"")</f>
        <v/>
      </c>
      <c r="AA377" s="314" t="str" cm="1">
        <f t="array" aca="1" ref="AA377" ca="1">IFERROR(_xlfn.IFS(OR(F377="",LEFT(Methode_Keuze,4)="Geen",Methode_Keuze=""),"",AND(X377&lt;&gt;"",F377&lt;&gt;"Arbeidskosten"),X377*VLOOKUP(F377,Tb_ProjectKosten[],MATCH(Tb_ProjectKosten[[#Headers],[Forfait_Percentage]],Tb_ProjectKosten[#Headers],0),0),AND(F377="Arbeidskosten",G377&lt;&gt;""),IFERROR(X377*VLOOKUP(G377,Tb_KostenTypen[],3,0)*VLOOKUP(F377,Tb_ProjectKosten[],MATCH(Tb_ProjectKosten[[#Headers],[Forfait_Percentage]],Tb_ProjectKosten[#Headers],0),0),""),X377 &lt;=0,0),"")</f>
        <v/>
      </c>
      <c r="AB377" s="314" t="str">
        <f t="shared" ca="1" si="23"/>
        <v/>
      </c>
      <c r="AC377" s="322"/>
      <c r="AD377" s="315"/>
      <c r="AE377" s="32" t="str" cm="1">
        <f t="array" ref="AE377">IFERROR(IF(INDEX(SubsidieTabel!$AD$1:$AG$12,MATCH($F377,SubsidieTabel!$AD$1:$AD$12,0),IFERROR(MATCH(Methode_Keuze,SubsidieTabel!$AD$1:$AG$1,0),2))&lt;&gt;1=TRUE,"ja",""),"")</f>
        <v/>
      </c>
    </row>
    <row r="378" spans="1:31" x14ac:dyDescent="0.25">
      <c r="A378" s="316"/>
      <c r="B378" s="317" t="str">
        <f>IF(A378&lt;&gt;"",_xlfn.MAXIFS($B$1:B377,$A$1:A377,A378)+1,"")</f>
        <v/>
      </c>
      <c r="C378" s="296"/>
      <c r="D378" s="296"/>
      <c r="E378" s="296"/>
      <c r="F378" s="296"/>
      <c r="G378" s="326"/>
      <c r="H378" s="324"/>
      <c r="I378" s="325"/>
      <c r="J378" s="325"/>
      <c r="K378" s="318"/>
      <c r="L378" s="318"/>
      <c r="M378" s="319" t="str">
        <f>IFERROR(VLOOKUP(H378,Lijsten!$H$1:$I$100,2,0),"")</f>
        <v/>
      </c>
      <c r="N378" s="319" t="str">
        <f ca="1">IFERROR(IF(VLOOKUP(F378,Kostentypen!$A$3:$E$21,3,0)=0,"",IF(OR(F378="Arbeidskosten",F378="Vergoeding"),VLOOKUP(G378,Tb_KostenTypen[],2,0),VLOOKUP(F378,Kostentypen!$A$3:$E$20,3,0))),"")</f>
        <v/>
      </c>
      <c r="O378" s="320" t="str" cm="1">
        <f t="array" ref="O378">_xlfn.IFNA(IF(INDEX(Tb_KostenOptiesDB[],MATCH($F378,Tb_KostenOptiesDB[KostenOptie],0),IFERROR(MATCH(Methode_Keuze,Tb_KostenOptiesDB[#Headers],0),2))=1,_xlfn.SWITCH($N378,"Uurtarief",IF(OR(AND(RIGHT($F378,3)="IKS",VLOOKUP($M378,DB_Loonkosten,2,0)="Ja"),AND(RIGHT($F378,3)&lt;&gt;"IKS",VLOOKUP($M378,DB_Loonkosten,2,0)="Nee")),IFERROR(VLOOKUP($M378,DB_Loonkosten,24,0),""),0),"Vast tarief",IF(LEFT(F378,8)="Bijdrage",VLOOKUP($F378,Tb_KostenTypen[],MATCH(Lijsten!$P$1,Tb_KostenTypen[#Headers],0),0),VLOOKUP($G378,Lijsten!L:P,MATCH(Lijsten!$P$1,Kop_Tarief_Vast,0),0))),""),"")</f>
        <v/>
      </c>
      <c r="P378" s="320" t="str" cm="1">
        <f t="array" ref="P378">_xlfn.IFNA(IF(INDEX(Tb_KostenOptiesDB[],MATCH($F378,Tb_KostenOptiesDB[KostenOptie],0),IFERROR(MATCH(Methode_Keuze,Tb_KostenOptiesDB[#Headers],0),2))=1,_xlfn.SWITCH($N378,"Uurtarief",IF(OR(AND(RIGHT($F378,3)="IKS",VLOOKUP($M378,DB_Loonkosten,2,0)="Ja"),AND(RIGHT($F378,3)&lt;&gt;"IKS",VLOOKUP($M378,DB_Loonkosten,2,0)="Nee")),IFERROR(VLOOKUP($M378,DB_Loonkosten,25,0),""),0),"Vast tarief",IF(LEFT(F378,8)="Bijdrage",VLOOKUP($F378,Tb_KostenTypen[],MATCH(Lijsten!$P$1,Tb_KostenTypen[#Headers],0),0),VLOOKUP($G378,Lijsten!L:P,MATCH(Lijsten!$P$1,Kop_Tarief_Vast,0),0))),""),"")</f>
        <v/>
      </c>
      <c r="Q378" s="359"/>
      <c r="R378" s="359"/>
      <c r="S378" s="321"/>
      <c r="T378" s="321"/>
      <c r="U378" s="373" t="str">
        <f t="shared" si="20"/>
        <v/>
      </c>
      <c r="V378" s="314" t="str">
        <f t="shared" si="21"/>
        <v/>
      </c>
      <c r="W378" s="314" t="str" cm="1">
        <f t="array" aca="1" ref="W378" ca="1">IFERROR(IF(AE378&lt;&gt;"ja",_xlfn.IFNA(_xlfn.IFS(AND(O378&lt;&gt;"",F378&lt;&gt;"",RIGHT($N378,6)="tarief",F378="Vergoeding"),SUM(O378)*FLOOR(SUM(Q378),0.0001),AND(O378&lt;&gt;"",F378&lt;&gt;"",RIGHT($N378,6)="tarief"),SUM(O378)*FLOOR(SUM(Q378),0.01),S378&gt;0,IF(F378&lt;&gt;"",FLOOR(SUM(S378),0.01),"")),""),""),"")</f>
        <v/>
      </c>
      <c r="X378" s="314" t="str" cm="1">
        <f t="array" aca="1" ref="X378" ca="1">IFERROR(IF(AE378&lt;&gt;"ja",_xlfn.IFNA(_xlfn.IFS(AND(P378&lt;&gt;"",R378&lt;&gt;"",RIGHT($N378,6)="tarief",F378="Vergoeding"),SUM(P378)*FLOOR(SUM(R378),0.0001),AND(P378&lt;&gt;"",R378&lt;&gt;"",RIGHT($N378,6)="tarief"),P378*FLOOR(R378,0.01),T378&gt;0,FLOOR(SUM(T378),0.01)),""),""),"")</f>
        <v/>
      </c>
      <c r="Y378" s="314" t="str">
        <f t="shared" ca="1" si="22"/>
        <v/>
      </c>
      <c r="Z378" s="314" t="str" cm="1">
        <f t="array" aca="1" ref="Z378" ca="1">IFERROR(_xlfn.IFS(OR(F378="",LEFT(Methode_Keuze,4)="Geen",Methode_Keuze=""),"",AND(W378&lt;&gt;"",F378&lt;&gt;"Arbeidskosten"),W378*VLOOKUP(F378,Tb_ProjectKosten[],MATCH(Tb_ProjectKosten[[#Headers],[Forfait_Percentage]],Tb_ProjectKosten[#Headers],0),0),AND(F378="Arbeidskosten",G378&lt;&gt;""),IFERROR(W378*VLOOKUP(G378,Tb_KostenTypen[],3,0)*VLOOKUP(F378,Tb_ProjectKosten[],MATCH(Tb_ProjectKosten[[#Headers],[Forfait_Percentage]],Tb_ProjectKosten[#Headers],0),0),""),W378 &lt;=0,0),"")</f>
        <v/>
      </c>
      <c r="AA378" s="314" t="str" cm="1">
        <f t="array" aca="1" ref="AA378" ca="1">IFERROR(_xlfn.IFS(OR(F378="",LEFT(Methode_Keuze,4)="Geen",Methode_Keuze=""),"",AND(X378&lt;&gt;"",F378&lt;&gt;"Arbeidskosten"),X378*VLOOKUP(F378,Tb_ProjectKosten[],MATCH(Tb_ProjectKosten[[#Headers],[Forfait_Percentage]],Tb_ProjectKosten[#Headers],0),0),AND(F378="Arbeidskosten",G378&lt;&gt;""),IFERROR(X378*VLOOKUP(G378,Tb_KostenTypen[],3,0)*VLOOKUP(F378,Tb_ProjectKosten[],MATCH(Tb_ProjectKosten[[#Headers],[Forfait_Percentage]],Tb_ProjectKosten[#Headers],0),0),""),X378 &lt;=0,0),"")</f>
        <v/>
      </c>
      <c r="AB378" s="314" t="str">
        <f t="shared" ca="1" si="23"/>
        <v/>
      </c>
      <c r="AC378" s="322"/>
      <c r="AD378" s="315"/>
      <c r="AE378" s="32" t="str" cm="1">
        <f t="array" ref="AE378">IFERROR(IF(INDEX(SubsidieTabel!$AD$1:$AG$12,MATCH($F378,SubsidieTabel!$AD$1:$AD$12,0),IFERROR(MATCH(Methode_Keuze,SubsidieTabel!$AD$1:$AG$1,0),2))&lt;&gt;1=TRUE,"ja",""),"")</f>
        <v/>
      </c>
    </row>
    <row r="379" spans="1:31" x14ac:dyDescent="0.25">
      <c r="A379" s="316"/>
      <c r="B379" s="317" t="str">
        <f>IF(A379&lt;&gt;"",_xlfn.MAXIFS($B$1:B378,$A$1:A378,A379)+1,"")</f>
        <v/>
      </c>
      <c r="C379" s="296"/>
      <c r="D379" s="296"/>
      <c r="E379" s="296"/>
      <c r="F379" s="296"/>
      <c r="G379" s="326"/>
      <c r="H379" s="324"/>
      <c r="I379" s="325"/>
      <c r="J379" s="325"/>
      <c r="K379" s="318"/>
      <c r="L379" s="318"/>
      <c r="M379" s="319" t="str">
        <f>IFERROR(VLOOKUP(H379,Lijsten!$H$1:$I$100,2,0),"")</f>
        <v/>
      </c>
      <c r="N379" s="319" t="str">
        <f ca="1">IFERROR(IF(VLOOKUP(F379,Kostentypen!$A$3:$E$21,3,0)=0,"",IF(OR(F379="Arbeidskosten",F379="Vergoeding"),VLOOKUP(G379,Tb_KostenTypen[],2,0),VLOOKUP(F379,Kostentypen!$A$3:$E$20,3,0))),"")</f>
        <v/>
      </c>
      <c r="O379" s="320" t="str" cm="1">
        <f t="array" ref="O379">_xlfn.IFNA(IF(INDEX(Tb_KostenOptiesDB[],MATCH($F379,Tb_KostenOptiesDB[KostenOptie],0),IFERROR(MATCH(Methode_Keuze,Tb_KostenOptiesDB[#Headers],0),2))=1,_xlfn.SWITCH($N379,"Uurtarief",IF(OR(AND(RIGHT($F379,3)="IKS",VLOOKUP($M379,DB_Loonkosten,2,0)="Ja"),AND(RIGHT($F379,3)&lt;&gt;"IKS",VLOOKUP($M379,DB_Loonkosten,2,0)="Nee")),IFERROR(VLOOKUP($M379,DB_Loonkosten,24,0),""),0),"Vast tarief",IF(LEFT(F379,8)="Bijdrage",VLOOKUP($F379,Tb_KostenTypen[],MATCH(Lijsten!$P$1,Tb_KostenTypen[#Headers],0),0),VLOOKUP($G379,Lijsten!L:P,MATCH(Lijsten!$P$1,Kop_Tarief_Vast,0),0))),""),"")</f>
        <v/>
      </c>
      <c r="P379" s="320" t="str" cm="1">
        <f t="array" ref="P379">_xlfn.IFNA(IF(INDEX(Tb_KostenOptiesDB[],MATCH($F379,Tb_KostenOptiesDB[KostenOptie],0),IFERROR(MATCH(Methode_Keuze,Tb_KostenOptiesDB[#Headers],0),2))=1,_xlfn.SWITCH($N379,"Uurtarief",IF(OR(AND(RIGHT($F379,3)="IKS",VLOOKUP($M379,DB_Loonkosten,2,0)="Ja"),AND(RIGHT($F379,3)&lt;&gt;"IKS",VLOOKUP($M379,DB_Loonkosten,2,0)="Nee")),IFERROR(VLOOKUP($M379,DB_Loonkosten,25,0),""),0),"Vast tarief",IF(LEFT(F379,8)="Bijdrage",VLOOKUP($F379,Tb_KostenTypen[],MATCH(Lijsten!$P$1,Tb_KostenTypen[#Headers],0),0),VLOOKUP($G379,Lijsten!L:P,MATCH(Lijsten!$P$1,Kop_Tarief_Vast,0),0))),""),"")</f>
        <v/>
      </c>
      <c r="Q379" s="359"/>
      <c r="R379" s="359"/>
      <c r="S379" s="321"/>
      <c r="T379" s="321"/>
      <c r="U379" s="373" t="str">
        <f t="shared" si="20"/>
        <v/>
      </c>
      <c r="V379" s="314" t="str">
        <f t="shared" si="21"/>
        <v/>
      </c>
      <c r="W379" s="314" t="str" cm="1">
        <f t="array" aca="1" ref="W379" ca="1">IFERROR(IF(AE379&lt;&gt;"ja",_xlfn.IFNA(_xlfn.IFS(AND(O379&lt;&gt;"",F379&lt;&gt;"",RIGHT($N379,6)="tarief",F379="Vergoeding"),SUM(O379)*FLOOR(SUM(Q379),0.0001),AND(O379&lt;&gt;"",F379&lt;&gt;"",RIGHT($N379,6)="tarief"),SUM(O379)*FLOOR(SUM(Q379),0.01),S379&gt;0,IF(F379&lt;&gt;"",FLOOR(SUM(S379),0.01),"")),""),""),"")</f>
        <v/>
      </c>
      <c r="X379" s="314" t="str" cm="1">
        <f t="array" aca="1" ref="X379" ca="1">IFERROR(IF(AE379&lt;&gt;"ja",_xlfn.IFNA(_xlfn.IFS(AND(P379&lt;&gt;"",R379&lt;&gt;"",RIGHT($N379,6)="tarief",F379="Vergoeding"),SUM(P379)*FLOOR(SUM(R379),0.0001),AND(P379&lt;&gt;"",R379&lt;&gt;"",RIGHT($N379,6)="tarief"),P379*FLOOR(R379,0.01),T379&gt;0,FLOOR(SUM(T379),0.01)),""),""),"")</f>
        <v/>
      </c>
      <c r="Y379" s="314" t="str">
        <f t="shared" ca="1" si="22"/>
        <v/>
      </c>
      <c r="Z379" s="314" t="str" cm="1">
        <f t="array" aca="1" ref="Z379" ca="1">IFERROR(_xlfn.IFS(OR(F379="",LEFT(Methode_Keuze,4)="Geen",Methode_Keuze=""),"",AND(W379&lt;&gt;"",F379&lt;&gt;"Arbeidskosten"),W379*VLOOKUP(F379,Tb_ProjectKosten[],MATCH(Tb_ProjectKosten[[#Headers],[Forfait_Percentage]],Tb_ProjectKosten[#Headers],0),0),AND(F379="Arbeidskosten",G379&lt;&gt;""),IFERROR(W379*VLOOKUP(G379,Tb_KostenTypen[],3,0)*VLOOKUP(F379,Tb_ProjectKosten[],MATCH(Tb_ProjectKosten[[#Headers],[Forfait_Percentage]],Tb_ProjectKosten[#Headers],0),0),""),W379 &lt;=0,0),"")</f>
        <v/>
      </c>
      <c r="AA379" s="314" t="str" cm="1">
        <f t="array" aca="1" ref="AA379" ca="1">IFERROR(_xlfn.IFS(OR(F379="",LEFT(Methode_Keuze,4)="Geen",Methode_Keuze=""),"",AND(X379&lt;&gt;"",F379&lt;&gt;"Arbeidskosten"),X379*VLOOKUP(F379,Tb_ProjectKosten[],MATCH(Tb_ProjectKosten[[#Headers],[Forfait_Percentage]],Tb_ProjectKosten[#Headers],0),0),AND(F379="Arbeidskosten",G379&lt;&gt;""),IFERROR(X379*VLOOKUP(G379,Tb_KostenTypen[],3,0)*VLOOKUP(F379,Tb_ProjectKosten[],MATCH(Tb_ProjectKosten[[#Headers],[Forfait_Percentage]],Tb_ProjectKosten[#Headers],0),0),""),X379 &lt;=0,0),"")</f>
        <v/>
      </c>
      <c r="AB379" s="314" t="str">
        <f t="shared" ca="1" si="23"/>
        <v/>
      </c>
      <c r="AC379" s="322"/>
      <c r="AD379" s="315"/>
      <c r="AE379" s="32" t="str" cm="1">
        <f t="array" ref="AE379">IFERROR(IF(INDEX(SubsidieTabel!$AD$1:$AG$12,MATCH($F379,SubsidieTabel!$AD$1:$AD$12,0),IFERROR(MATCH(Methode_Keuze,SubsidieTabel!$AD$1:$AG$1,0),2))&lt;&gt;1=TRUE,"ja",""),"")</f>
        <v/>
      </c>
    </row>
    <row r="380" spans="1:31" x14ac:dyDescent="0.25">
      <c r="A380" s="316"/>
      <c r="B380" s="317" t="str">
        <f>IF(A380&lt;&gt;"",_xlfn.MAXIFS($B$1:B379,$A$1:A379,A380)+1,"")</f>
        <v/>
      </c>
      <c r="C380" s="296"/>
      <c r="D380" s="296"/>
      <c r="E380" s="296"/>
      <c r="F380" s="296"/>
      <c r="G380" s="326"/>
      <c r="H380" s="324"/>
      <c r="I380" s="325"/>
      <c r="J380" s="325"/>
      <c r="K380" s="318"/>
      <c r="L380" s="318"/>
      <c r="M380" s="319" t="str">
        <f>IFERROR(VLOOKUP(H380,Lijsten!$H$1:$I$100,2,0),"")</f>
        <v/>
      </c>
      <c r="N380" s="319" t="str">
        <f ca="1">IFERROR(IF(VLOOKUP(F380,Kostentypen!$A$3:$E$21,3,0)=0,"",IF(OR(F380="Arbeidskosten",F380="Vergoeding"),VLOOKUP(G380,Tb_KostenTypen[],2,0),VLOOKUP(F380,Kostentypen!$A$3:$E$20,3,0))),"")</f>
        <v/>
      </c>
      <c r="O380" s="320" t="str" cm="1">
        <f t="array" ref="O380">_xlfn.IFNA(IF(INDEX(Tb_KostenOptiesDB[],MATCH($F380,Tb_KostenOptiesDB[KostenOptie],0),IFERROR(MATCH(Methode_Keuze,Tb_KostenOptiesDB[#Headers],0),2))=1,_xlfn.SWITCH($N380,"Uurtarief",IF(OR(AND(RIGHT($F380,3)="IKS",VLOOKUP($M380,DB_Loonkosten,2,0)="Ja"),AND(RIGHT($F380,3)&lt;&gt;"IKS",VLOOKUP($M380,DB_Loonkosten,2,0)="Nee")),IFERROR(VLOOKUP($M380,DB_Loonkosten,24,0),""),0),"Vast tarief",IF(LEFT(F380,8)="Bijdrage",VLOOKUP($F380,Tb_KostenTypen[],MATCH(Lijsten!$P$1,Tb_KostenTypen[#Headers],0),0),VLOOKUP($G380,Lijsten!L:P,MATCH(Lijsten!$P$1,Kop_Tarief_Vast,0),0))),""),"")</f>
        <v/>
      </c>
      <c r="P380" s="320" t="str" cm="1">
        <f t="array" ref="P380">_xlfn.IFNA(IF(INDEX(Tb_KostenOptiesDB[],MATCH($F380,Tb_KostenOptiesDB[KostenOptie],0),IFERROR(MATCH(Methode_Keuze,Tb_KostenOptiesDB[#Headers],0),2))=1,_xlfn.SWITCH($N380,"Uurtarief",IF(OR(AND(RIGHT($F380,3)="IKS",VLOOKUP($M380,DB_Loonkosten,2,0)="Ja"),AND(RIGHT($F380,3)&lt;&gt;"IKS",VLOOKUP($M380,DB_Loonkosten,2,0)="Nee")),IFERROR(VLOOKUP($M380,DB_Loonkosten,25,0),""),0),"Vast tarief",IF(LEFT(F380,8)="Bijdrage",VLOOKUP($F380,Tb_KostenTypen[],MATCH(Lijsten!$P$1,Tb_KostenTypen[#Headers],0),0),VLOOKUP($G380,Lijsten!L:P,MATCH(Lijsten!$P$1,Kop_Tarief_Vast,0),0))),""),"")</f>
        <v/>
      </c>
      <c r="Q380" s="359"/>
      <c r="R380" s="359"/>
      <c r="S380" s="321"/>
      <c r="T380" s="321"/>
      <c r="U380" s="373" t="str">
        <f t="shared" si="20"/>
        <v/>
      </c>
      <c r="V380" s="314" t="str">
        <f t="shared" si="21"/>
        <v/>
      </c>
      <c r="W380" s="314" t="str" cm="1">
        <f t="array" aca="1" ref="W380" ca="1">IFERROR(IF(AE380&lt;&gt;"ja",_xlfn.IFNA(_xlfn.IFS(AND(O380&lt;&gt;"",F380&lt;&gt;"",RIGHT($N380,6)="tarief",F380="Vergoeding"),SUM(O380)*FLOOR(SUM(Q380),0.0001),AND(O380&lt;&gt;"",F380&lt;&gt;"",RIGHT($N380,6)="tarief"),SUM(O380)*FLOOR(SUM(Q380),0.01),S380&gt;0,IF(F380&lt;&gt;"",FLOOR(SUM(S380),0.01),"")),""),""),"")</f>
        <v/>
      </c>
      <c r="X380" s="314" t="str" cm="1">
        <f t="array" aca="1" ref="X380" ca="1">IFERROR(IF(AE380&lt;&gt;"ja",_xlfn.IFNA(_xlfn.IFS(AND(P380&lt;&gt;"",R380&lt;&gt;"",RIGHT($N380,6)="tarief",F380="Vergoeding"),SUM(P380)*FLOOR(SUM(R380),0.0001),AND(P380&lt;&gt;"",R380&lt;&gt;"",RIGHT($N380,6)="tarief"),P380*FLOOR(R380,0.01),T380&gt;0,FLOOR(SUM(T380),0.01)),""),""),"")</f>
        <v/>
      </c>
      <c r="Y380" s="314" t="str">
        <f t="shared" ca="1" si="22"/>
        <v/>
      </c>
      <c r="Z380" s="314" t="str" cm="1">
        <f t="array" aca="1" ref="Z380" ca="1">IFERROR(_xlfn.IFS(OR(F380="",LEFT(Methode_Keuze,4)="Geen",Methode_Keuze=""),"",AND(W380&lt;&gt;"",F380&lt;&gt;"Arbeidskosten"),W380*VLOOKUP(F380,Tb_ProjectKosten[],MATCH(Tb_ProjectKosten[[#Headers],[Forfait_Percentage]],Tb_ProjectKosten[#Headers],0),0),AND(F380="Arbeidskosten",G380&lt;&gt;""),IFERROR(W380*VLOOKUP(G380,Tb_KostenTypen[],3,0)*VLOOKUP(F380,Tb_ProjectKosten[],MATCH(Tb_ProjectKosten[[#Headers],[Forfait_Percentage]],Tb_ProjectKosten[#Headers],0),0),""),W380 &lt;=0,0),"")</f>
        <v/>
      </c>
      <c r="AA380" s="314" t="str" cm="1">
        <f t="array" aca="1" ref="AA380" ca="1">IFERROR(_xlfn.IFS(OR(F380="",LEFT(Methode_Keuze,4)="Geen",Methode_Keuze=""),"",AND(X380&lt;&gt;"",F380&lt;&gt;"Arbeidskosten"),X380*VLOOKUP(F380,Tb_ProjectKosten[],MATCH(Tb_ProjectKosten[[#Headers],[Forfait_Percentage]],Tb_ProjectKosten[#Headers],0),0),AND(F380="Arbeidskosten",G380&lt;&gt;""),IFERROR(X380*VLOOKUP(G380,Tb_KostenTypen[],3,0)*VLOOKUP(F380,Tb_ProjectKosten[],MATCH(Tb_ProjectKosten[[#Headers],[Forfait_Percentage]],Tb_ProjectKosten[#Headers],0),0),""),X380 &lt;=0,0),"")</f>
        <v/>
      </c>
      <c r="AB380" s="314" t="str">
        <f t="shared" ca="1" si="23"/>
        <v/>
      </c>
      <c r="AC380" s="322"/>
      <c r="AD380" s="315"/>
      <c r="AE380" s="32" t="str" cm="1">
        <f t="array" ref="AE380">IFERROR(IF(INDEX(SubsidieTabel!$AD$1:$AG$12,MATCH($F380,SubsidieTabel!$AD$1:$AD$12,0),IFERROR(MATCH(Methode_Keuze,SubsidieTabel!$AD$1:$AG$1,0),2))&lt;&gt;1=TRUE,"ja",""),"")</f>
        <v/>
      </c>
    </row>
    <row r="381" spans="1:31" x14ac:dyDescent="0.25">
      <c r="A381" s="316"/>
      <c r="B381" s="317" t="str">
        <f>IF(A381&lt;&gt;"",_xlfn.MAXIFS($B$1:B380,$A$1:A380,A381)+1,"")</f>
        <v/>
      </c>
      <c r="C381" s="296"/>
      <c r="D381" s="296"/>
      <c r="E381" s="296"/>
      <c r="F381" s="296"/>
      <c r="G381" s="326"/>
      <c r="H381" s="324"/>
      <c r="I381" s="325"/>
      <c r="J381" s="325"/>
      <c r="K381" s="318"/>
      <c r="L381" s="318"/>
      <c r="M381" s="319" t="str">
        <f>IFERROR(VLOOKUP(H381,Lijsten!$H$1:$I$100,2,0),"")</f>
        <v/>
      </c>
      <c r="N381" s="319" t="str">
        <f ca="1">IFERROR(IF(VLOOKUP(F381,Kostentypen!$A$3:$E$21,3,0)=0,"",IF(OR(F381="Arbeidskosten",F381="Vergoeding"),VLOOKUP(G381,Tb_KostenTypen[],2,0),VLOOKUP(F381,Kostentypen!$A$3:$E$20,3,0))),"")</f>
        <v/>
      </c>
      <c r="O381" s="320" t="str" cm="1">
        <f t="array" ref="O381">_xlfn.IFNA(IF(INDEX(Tb_KostenOptiesDB[],MATCH($F381,Tb_KostenOptiesDB[KostenOptie],0),IFERROR(MATCH(Methode_Keuze,Tb_KostenOptiesDB[#Headers],0),2))=1,_xlfn.SWITCH($N381,"Uurtarief",IF(OR(AND(RIGHT($F381,3)="IKS",VLOOKUP($M381,DB_Loonkosten,2,0)="Ja"),AND(RIGHT($F381,3)&lt;&gt;"IKS",VLOOKUP($M381,DB_Loonkosten,2,0)="Nee")),IFERROR(VLOOKUP($M381,DB_Loonkosten,24,0),""),0),"Vast tarief",IF(LEFT(F381,8)="Bijdrage",VLOOKUP($F381,Tb_KostenTypen[],MATCH(Lijsten!$P$1,Tb_KostenTypen[#Headers],0),0),VLOOKUP($G381,Lijsten!L:P,MATCH(Lijsten!$P$1,Kop_Tarief_Vast,0),0))),""),"")</f>
        <v/>
      </c>
      <c r="P381" s="320" t="str" cm="1">
        <f t="array" ref="P381">_xlfn.IFNA(IF(INDEX(Tb_KostenOptiesDB[],MATCH($F381,Tb_KostenOptiesDB[KostenOptie],0),IFERROR(MATCH(Methode_Keuze,Tb_KostenOptiesDB[#Headers],0),2))=1,_xlfn.SWITCH($N381,"Uurtarief",IF(OR(AND(RIGHT($F381,3)="IKS",VLOOKUP($M381,DB_Loonkosten,2,0)="Ja"),AND(RIGHT($F381,3)&lt;&gt;"IKS",VLOOKUP($M381,DB_Loonkosten,2,0)="Nee")),IFERROR(VLOOKUP($M381,DB_Loonkosten,25,0),""),0),"Vast tarief",IF(LEFT(F381,8)="Bijdrage",VLOOKUP($F381,Tb_KostenTypen[],MATCH(Lijsten!$P$1,Tb_KostenTypen[#Headers],0),0),VLOOKUP($G381,Lijsten!L:P,MATCH(Lijsten!$P$1,Kop_Tarief_Vast,0),0))),""),"")</f>
        <v/>
      </c>
      <c r="Q381" s="359"/>
      <c r="R381" s="359"/>
      <c r="S381" s="321"/>
      <c r="T381" s="321"/>
      <c r="U381" s="373" t="str">
        <f t="shared" si="20"/>
        <v/>
      </c>
      <c r="V381" s="314" t="str">
        <f t="shared" si="21"/>
        <v/>
      </c>
      <c r="W381" s="314" t="str" cm="1">
        <f t="array" aca="1" ref="W381" ca="1">IFERROR(IF(AE381&lt;&gt;"ja",_xlfn.IFNA(_xlfn.IFS(AND(O381&lt;&gt;"",F381&lt;&gt;"",RIGHT($N381,6)="tarief",F381="Vergoeding"),SUM(O381)*FLOOR(SUM(Q381),0.0001),AND(O381&lt;&gt;"",F381&lt;&gt;"",RIGHT($N381,6)="tarief"),SUM(O381)*FLOOR(SUM(Q381),0.01),S381&gt;0,IF(F381&lt;&gt;"",FLOOR(SUM(S381),0.01),"")),""),""),"")</f>
        <v/>
      </c>
      <c r="X381" s="314" t="str" cm="1">
        <f t="array" aca="1" ref="X381" ca="1">IFERROR(IF(AE381&lt;&gt;"ja",_xlfn.IFNA(_xlfn.IFS(AND(P381&lt;&gt;"",R381&lt;&gt;"",RIGHT($N381,6)="tarief",F381="Vergoeding"),SUM(P381)*FLOOR(SUM(R381),0.0001),AND(P381&lt;&gt;"",R381&lt;&gt;"",RIGHT($N381,6)="tarief"),P381*FLOOR(R381,0.01),T381&gt;0,FLOOR(SUM(T381),0.01)),""),""),"")</f>
        <v/>
      </c>
      <c r="Y381" s="314" t="str">
        <f t="shared" ca="1" si="22"/>
        <v/>
      </c>
      <c r="Z381" s="314" t="str" cm="1">
        <f t="array" aca="1" ref="Z381" ca="1">IFERROR(_xlfn.IFS(OR(F381="",LEFT(Methode_Keuze,4)="Geen",Methode_Keuze=""),"",AND(W381&lt;&gt;"",F381&lt;&gt;"Arbeidskosten"),W381*VLOOKUP(F381,Tb_ProjectKosten[],MATCH(Tb_ProjectKosten[[#Headers],[Forfait_Percentage]],Tb_ProjectKosten[#Headers],0),0),AND(F381="Arbeidskosten",G381&lt;&gt;""),IFERROR(W381*VLOOKUP(G381,Tb_KostenTypen[],3,0)*VLOOKUP(F381,Tb_ProjectKosten[],MATCH(Tb_ProjectKosten[[#Headers],[Forfait_Percentage]],Tb_ProjectKosten[#Headers],0),0),""),W381 &lt;=0,0),"")</f>
        <v/>
      </c>
      <c r="AA381" s="314" t="str" cm="1">
        <f t="array" aca="1" ref="AA381" ca="1">IFERROR(_xlfn.IFS(OR(F381="",LEFT(Methode_Keuze,4)="Geen",Methode_Keuze=""),"",AND(X381&lt;&gt;"",F381&lt;&gt;"Arbeidskosten"),X381*VLOOKUP(F381,Tb_ProjectKosten[],MATCH(Tb_ProjectKosten[[#Headers],[Forfait_Percentage]],Tb_ProjectKosten[#Headers],0),0),AND(F381="Arbeidskosten",G381&lt;&gt;""),IFERROR(X381*VLOOKUP(G381,Tb_KostenTypen[],3,0)*VLOOKUP(F381,Tb_ProjectKosten[],MATCH(Tb_ProjectKosten[[#Headers],[Forfait_Percentage]],Tb_ProjectKosten[#Headers],0),0),""),X381 &lt;=0,0),"")</f>
        <v/>
      </c>
      <c r="AB381" s="314" t="str">
        <f t="shared" ca="1" si="23"/>
        <v/>
      </c>
      <c r="AC381" s="322"/>
      <c r="AD381" s="315"/>
      <c r="AE381" s="32" t="str" cm="1">
        <f t="array" ref="AE381">IFERROR(IF(INDEX(SubsidieTabel!$AD$1:$AG$12,MATCH($F381,SubsidieTabel!$AD$1:$AD$12,0),IFERROR(MATCH(Methode_Keuze,SubsidieTabel!$AD$1:$AG$1,0),2))&lt;&gt;1=TRUE,"ja",""),"")</f>
        <v/>
      </c>
    </row>
    <row r="382" spans="1:31" x14ac:dyDescent="0.25">
      <c r="A382" s="316"/>
      <c r="B382" s="317" t="str">
        <f>IF(A382&lt;&gt;"",_xlfn.MAXIFS($B$1:B381,$A$1:A381,A382)+1,"")</f>
        <v/>
      </c>
      <c r="C382" s="296"/>
      <c r="D382" s="296"/>
      <c r="E382" s="296"/>
      <c r="F382" s="296"/>
      <c r="G382" s="326"/>
      <c r="H382" s="324"/>
      <c r="I382" s="325"/>
      <c r="J382" s="325"/>
      <c r="K382" s="318"/>
      <c r="L382" s="318"/>
      <c r="M382" s="319" t="str">
        <f>IFERROR(VLOOKUP(H382,Lijsten!$H$1:$I$100,2,0),"")</f>
        <v/>
      </c>
      <c r="N382" s="319" t="str">
        <f ca="1">IFERROR(IF(VLOOKUP(F382,Kostentypen!$A$3:$E$21,3,0)=0,"",IF(OR(F382="Arbeidskosten",F382="Vergoeding"),VLOOKUP(G382,Tb_KostenTypen[],2,0),VLOOKUP(F382,Kostentypen!$A$3:$E$20,3,0))),"")</f>
        <v/>
      </c>
      <c r="O382" s="320" t="str" cm="1">
        <f t="array" ref="O382">_xlfn.IFNA(IF(INDEX(Tb_KostenOptiesDB[],MATCH($F382,Tb_KostenOptiesDB[KostenOptie],0),IFERROR(MATCH(Methode_Keuze,Tb_KostenOptiesDB[#Headers],0),2))=1,_xlfn.SWITCH($N382,"Uurtarief",IF(OR(AND(RIGHT($F382,3)="IKS",VLOOKUP($M382,DB_Loonkosten,2,0)="Ja"),AND(RIGHT($F382,3)&lt;&gt;"IKS",VLOOKUP($M382,DB_Loonkosten,2,0)="Nee")),IFERROR(VLOOKUP($M382,DB_Loonkosten,24,0),""),0),"Vast tarief",IF(LEFT(F382,8)="Bijdrage",VLOOKUP($F382,Tb_KostenTypen[],MATCH(Lijsten!$P$1,Tb_KostenTypen[#Headers],0),0),VLOOKUP($G382,Lijsten!L:P,MATCH(Lijsten!$P$1,Kop_Tarief_Vast,0),0))),""),"")</f>
        <v/>
      </c>
      <c r="P382" s="320" t="str" cm="1">
        <f t="array" ref="P382">_xlfn.IFNA(IF(INDEX(Tb_KostenOptiesDB[],MATCH($F382,Tb_KostenOptiesDB[KostenOptie],0),IFERROR(MATCH(Methode_Keuze,Tb_KostenOptiesDB[#Headers],0),2))=1,_xlfn.SWITCH($N382,"Uurtarief",IF(OR(AND(RIGHT($F382,3)="IKS",VLOOKUP($M382,DB_Loonkosten,2,0)="Ja"),AND(RIGHT($F382,3)&lt;&gt;"IKS",VLOOKUP($M382,DB_Loonkosten,2,0)="Nee")),IFERROR(VLOOKUP($M382,DB_Loonkosten,25,0),""),0),"Vast tarief",IF(LEFT(F382,8)="Bijdrage",VLOOKUP($F382,Tb_KostenTypen[],MATCH(Lijsten!$P$1,Tb_KostenTypen[#Headers],0),0),VLOOKUP($G382,Lijsten!L:P,MATCH(Lijsten!$P$1,Kop_Tarief_Vast,0),0))),""),"")</f>
        <v/>
      </c>
      <c r="Q382" s="359"/>
      <c r="R382" s="359"/>
      <c r="S382" s="321"/>
      <c r="T382" s="321"/>
      <c r="U382" s="373" t="str">
        <f t="shared" si="20"/>
        <v/>
      </c>
      <c r="V382" s="314" t="str">
        <f t="shared" si="21"/>
        <v/>
      </c>
      <c r="W382" s="314" t="str" cm="1">
        <f t="array" aca="1" ref="W382" ca="1">IFERROR(IF(AE382&lt;&gt;"ja",_xlfn.IFNA(_xlfn.IFS(AND(O382&lt;&gt;"",F382&lt;&gt;"",RIGHT($N382,6)="tarief",F382="Vergoeding"),SUM(O382)*FLOOR(SUM(Q382),0.0001),AND(O382&lt;&gt;"",F382&lt;&gt;"",RIGHT($N382,6)="tarief"),SUM(O382)*FLOOR(SUM(Q382),0.01),S382&gt;0,IF(F382&lt;&gt;"",FLOOR(SUM(S382),0.01),"")),""),""),"")</f>
        <v/>
      </c>
      <c r="X382" s="314" t="str" cm="1">
        <f t="array" aca="1" ref="X382" ca="1">IFERROR(IF(AE382&lt;&gt;"ja",_xlfn.IFNA(_xlfn.IFS(AND(P382&lt;&gt;"",R382&lt;&gt;"",RIGHT($N382,6)="tarief",F382="Vergoeding"),SUM(P382)*FLOOR(SUM(R382),0.0001),AND(P382&lt;&gt;"",R382&lt;&gt;"",RIGHT($N382,6)="tarief"),P382*FLOOR(R382,0.01),T382&gt;0,FLOOR(SUM(T382),0.01)),""),""),"")</f>
        <v/>
      </c>
      <c r="Y382" s="314" t="str">
        <f t="shared" ca="1" si="22"/>
        <v/>
      </c>
      <c r="Z382" s="314" t="str" cm="1">
        <f t="array" aca="1" ref="Z382" ca="1">IFERROR(_xlfn.IFS(OR(F382="",LEFT(Methode_Keuze,4)="Geen",Methode_Keuze=""),"",AND(W382&lt;&gt;"",F382&lt;&gt;"Arbeidskosten"),W382*VLOOKUP(F382,Tb_ProjectKosten[],MATCH(Tb_ProjectKosten[[#Headers],[Forfait_Percentage]],Tb_ProjectKosten[#Headers],0),0),AND(F382="Arbeidskosten",G382&lt;&gt;""),IFERROR(W382*VLOOKUP(G382,Tb_KostenTypen[],3,0)*VLOOKUP(F382,Tb_ProjectKosten[],MATCH(Tb_ProjectKosten[[#Headers],[Forfait_Percentage]],Tb_ProjectKosten[#Headers],0),0),""),W382 &lt;=0,0),"")</f>
        <v/>
      </c>
      <c r="AA382" s="314" t="str" cm="1">
        <f t="array" aca="1" ref="AA382" ca="1">IFERROR(_xlfn.IFS(OR(F382="",LEFT(Methode_Keuze,4)="Geen",Methode_Keuze=""),"",AND(X382&lt;&gt;"",F382&lt;&gt;"Arbeidskosten"),X382*VLOOKUP(F382,Tb_ProjectKosten[],MATCH(Tb_ProjectKosten[[#Headers],[Forfait_Percentage]],Tb_ProjectKosten[#Headers],0),0),AND(F382="Arbeidskosten",G382&lt;&gt;""),IFERROR(X382*VLOOKUP(G382,Tb_KostenTypen[],3,0)*VLOOKUP(F382,Tb_ProjectKosten[],MATCH(Tb_ProjectKosten[[#Headers],[Forfait_Percentage]],Tb_ProjectKosten[#Headers],0),0),""),X382 &lt;=0,0),"")</f>
        <v/>
      </c>
      <c r="AB382" s="314" t="str">
        <f t="shared" ca="1" si="23"/>
        <v/>
      </c>
      <c r="AC382" s="322"/>
      <c r="AD382" s="315"/>
      <c r="AE382" s="32" t="str" cm="1">
        <f t="array" ref="AE382">IFERROR(IF(INDEX(SubsidieTabel!$AD$1:$AG$12,MATCH($F382,SubsidieTabel!$AD$1:$AD$12,0),IFERROR(MATCH(Methode_Keuze,SubsidieTabel!$AD$1:$AG$1,0),2))&lt;&gt;1=TRUE,"ja",""),"")</f>
        <v/>
      </c>
    </row>
    <row r="383" spans="1:31" x14ac:dyDescent="0.25">
      <c r="A383" s="316"/>
      <c r="B383" s="317" t="str">
        <f>IF(A383&lt;&gt;"",_xlfn.MAXIFS($B$1:B382,$A$1:A382,A383)+1,"")</f>
        <v/>
      </c>
      <c r="C383" s="296"/>
      <c r="D383" s="296"/>
      <c r="E383" s="296"/>
      <c r="F383" s="296"/>
      <c r="G383" s="326"/>
      <c r="H383" s="324"/>
      <c r="I383" s="325"/>
      <c r="J383" s="325"/>
      <c r="K383" s="318"/>
      <c r="L383" s="318"/>
      <c r="M383" s="319" t="str">
        <f>IFERROR(VLOOKUP(H383,Lijsten!$H$1:$I$100,2,0),"")</f>
        <v/>
      </c>
      <c r="N383" s="319" t="str">
        <f ca="1">IFERROR(IF(VLOOKUP(F383,Kostentypen!$A$3:$E$21,3,0)=0,"",IF(OR(F383="Arbeidskosten",F383="Vergoeding"),VLOOKUP(G383,Tb_KostenTypen[],2,0),VLOOKUP(F383,Kostentypen!$A$3:$E$20,3,0))),"")</f>
        <v/>
      </c>
      <c r="O383" s="320" t="str" cm="1">
        <f t="array" ref="O383">_xlfn.IFNA(IF(INDEX(Tb_KostenOptiesDB[],MATCH($F383,Tb_KostenOptiesDB[KostenOptie],0),IFERROR(MATCH(Methode_Keuze,Tb_KostenOptiesDB[#Headers],0),2))=1,_xlfn.SWITCH($N383,"Uurtarief",IF(OR(AND(RIGHT($F383,3)="IKS",VLOOKUP($M383,DB_Loonkosten,2,0)="Ja"),AND(RIGHT($F383,3)&lt;&gt;"IKS",VLOOKUP($M383,DB_Loonkosten,2,0)="Nee")),IFERROR(VLOOKUP($M383,DB_Loonkosten,24,0),""),0),"Vast tarief",IF(LEFT(F383,8)="Bijdrage",VLOOKUP($F383,Tb_KostenTypen[],MATCH(Lijsten!$P$1,Tb_KostenTypen[#Headers],0),0),VLOOKUP($G383,Lijsten!L:P,MATCH(Lijsten!$P$1,Kop_Tarief_Vast,0),0))),""),"")</f>
        <v/>
      </c>
      <c r="P383" s="320" t="str" cm="1">
        <f t="array" ref="P383">_xlfn.IFNA(IF(INDEX(Tb_KostenOptiesDB[],MATCH($F383,Tb_KostenOptiesDB[KostenOptie],0),IFERROR(MATCH(Methode_Keuze,Tb_KostenOptiesDB[#Headers],0),2))=1,_xlfn.SWITCH($N383,"Uurtarief",IF(OR(AND(RIGHT($F383,3)="IKS",VLOOKUP($M383,DB_Loonkosten,2,0)="Ja"),AND(RIGHT($F383,3)&lt;&gt;"IKS",VLOOKUP($M383,DB_Loonkosten,2,0)="Nee")),IFERROR(VLOOKUP($M383,DB_Loonkosten,25,0),""),0),"Vast tarief",IF(LEFT(F383,8)="Bijdrage",VLOOKUP($F383,Tb_KostenTypen[],MATCH(Lijsten!$P$1,Tb_KostenTypen[#Headers],0),0),VLOOKUP($G383,Lijsten!L:P,MATCH(Lijsten!$P$1,Kop_Tarief_Vast,0),0))),""),"")</f>
        <v/>
      </c>
      <c r="Q383" s="359"/>
      <c r="R383" s="359"/>
      <c r="S383" s="321"/>
      <c r="T383" s="321"/>
      <c r="U383" s="373" t="str">
        <f t="shared" si="20"/>
        <v/>
      </c>
      <c r="V383" s="314" t="str">
        <f t="shared" si="21"/>
        <v/>
      </c>
      <c r="W383" s="314" t="str" cm="1">
        <f t="array" aca="1" ref="W383" ca="1">IFERROR(IF(AE383&lt;&gt;"ja",_xlfn.IFNA(_xlfn.IFS(AND(O383&lt;&gt;"",F383&lt;&gt;"",RIGHT($N383,6)="tarief",F383="Vergoeding"),SUM(O383)*FLOOR(SUM(Q383),0.0001),AND(O383&lt;&gt;"",F383&lt;&gt;"",RIGHT($N383,6)="tarief"),SUM(O383)*FLOOR(SUM(Q383),0.01),S383&gt;0,IF(F383&lt;&gt;"",FLOOR(SUM(S383),0.01),"")),""),""),"")</f>
        <v/>
      </c>
      <c r="X383" s="314" t="str" cm="1">
        <f t="array" aca="1" ref="X383" ca="1">IFERROR(IF(AE383&lt;&gt;"ja",_xlfn.IFNA(_xlfn.IFS(AND(P383&lt;&gt;"",R383&lt;&gt;"",RIGHT($N383,6)="tarief",F383="Vergoeding"),SUM(P383)*FLOOR(SUM(R383),0.0001),AND(P383&lt;&gt;"",R383&lt;&gt;"",RIGHT($N383,6)="tarief"),P383*FLOOR(R383,0.01),T383&gt;0,FLOOR(SUM(T383),0.01)),""),""),"")</f>
        <v/>
      </c>
      <c r="Y383" s="314" t="str">
        <f t="shared" ca="1" si="22"/>
        <v/>
      </c>
      <c r="Z383" s="314" t="str" cm="1">
        <f t="array" aca="1" ref="Z383" ca="1">IFERROR(_xlfn.IFS(OR(F383="",LEFT(Methode_Keuze,4)="Geen",Methode_Keuze=""),"",AND(W383&lt;&gt;"",F383&lt;&gt;"Arbeidskosten"),W383*VLOOKUP(F383,Tb_ProjectKosten[],MATCH(Tb_ProjectKosten[[#Headers],[Forfait_Percentage]],Tb_ProjectKosten[#Headers],0),0),AND(F383="Arbeidskosten",G383&lt;&gt;""),IFERROR(W383*VLOOKUP(G383,Tb_KostenTypen[],3,0)*VLOOKUP(F383,Tb_ProjectKosten[],MATCH(Tb_ProjectKosten[[#Headers],[Forfait_Percentage]],Tb_ProjectKosten[#Headers],0),0),""),W383 &lt;=0,0),"")</f>
        <v/>
      </c>
      <c r="AA383" s="314" t="str" cm="1">
        <f t="array" aca="1" ref="AA383" ca="1">IFERROR(_xlfn.IFS(OR(F383="",LEFT(Methode_Keuze,4)="Geen",Methode_Keuze=""),"",AND(X383&lt;&gt;"",F383&lt;&gt;"Arbeidskosten"),X383*VLOOKUP(F383,Tb_ProjectKosten[],MATCH(Tb_ProjectKosten[[#Headers],[Forfait_Percentage]],Tb_ProjectKosten[#Headers],0),0),AND(F383="Arbeidskosten",G383&lt;&gt;""),IFERROR(X383*VLOOKUP(G383,Tb_KostenTypen[],3,0)*VLOOKUP(F383,Tb_ProjectKosten[],MATCH(Tb_ProjectKosten[[#Headers],[Forfait_Percentage]],Tb_ProjectKosten[#Headers],0),0),""),X383 &lt;=0,0),"")</f>
        <v/>
      </c>
      <c r="AB383" s="314" t="str">
        <f t="shared" ca="1" si="23"/>
        <v/>
      </c>
      <c r="AC383" s="322"/>
      <c r="AD383" s="315"/>
      <c r="AE383" s="32" t="str" cm="1">
        <f t="array" ref="AE383">IFERROR(IF(INDEX(SubsidieTabel!$AD$1:$AG$12,MATCH($F383,SubsidieTabel!$AD$1:$AD$12,0),IFERROR(MATCH(Methode_Keuze,SubsidieTabel!$AD$1:$AG$1,0),2))&lt;&gt;1=TRUE,"ja",""),"")</f>
        <v/>
      </c>
    </row>
    <row r="384" spans="1:31" x14ac:dyDescent="0.25">
      <c r="A384" s="316"/>
      <c r="B384" s="317" t="str">
        <f>IF(A384&lt;&gt;"",_xlfn.MAXIFS($B$1:B383,$A$1:A383,A384)+1,"")</f>
        <v/>
      </c>
      <c r="C384" s="296"/>
      <c r="D384" s="296"/>
      <c r="E384" s="296"/>
      <c r="F384" s="296"/>
      <c r="G384" s="326"/>
      <c r="H384" s="324"/>
      <c r="I384" s="325"/>
      <c r="J384" s="325"/>
      <c r="K384" s="318"/>
      <c r="L384" s="318"/>
      <c r="M384" s="319" t="str">
        <f>IFERROR(VLOOKUP(H384,Lijsten!$H$1:$I$100,2,0),"")</f>
        <v/>
      </c>
      <c r="N384" s="319" t="str">
        <f ca="1">IFERROR(IF(VLOOKUP(F384,Kostentypen!$A$3:$E$21,3,0)=0,"",IF(OR(F384="Arbeidskosten",F384="Vergoeding"),VLOOKUP(G384,Tb_KostenTypen[],2,0),VLOOKUP(F384,Kostentypen!$A$3:$E$20,3,0))),"")</f>
        <v/>
      </c>
      <c r="O384" s="320" t="str" cm="1">
        <f t="array" ref="O384">_xlfn.IFNA(IF(INDEX(Tb_KostenOptiesDB[],MATCH($F384,Tb_KostenOptiesDB[KostenOptie],0),IFERROR(MATCH(Methode_Keuze,Tb_KostenOptiesDB[#Headers],0),2))=1,_xlfn.SWITCH($N384,"Uurtarief",IF(OR(AND(RIGHT($F384,3)="IKS",VLOOKUP($M384,DB_Loonkosten,2,0)="Ja"),AND(RIGHT($F384,3)&lt;&gt;"IKS",VLOOKUP($M384,DB_Loonkosten,2,0)="Nee")),IFERROR(VLOOKUP($M384,DB_Loonkosten,24,0),""),0),"Vast tarief",IF(LEFT(F384,8)="Bijdrage",VLOOKUP($F384,Tb_KostenTypen[],MATCH(Lijsten!$P$1,Tb_KostenTypen[#Headers],0),0),VLOOKUP($G384,Lijsten!L:P,MATCH(Lijsten!$P$1,Kop_Tarief_Vast,0),0))),""),"")</f>
        <v/>
      </c>
      <c r="P384" s="320" t="str" cm="1">
        <f t="array" ref="P384">_xlfn.IFNA(IF(INDEX(Tb_KostenOptiesDB[],MATCH($F384,Tb_KostenOptiesDB[KostenOptie],0),IFERROR(MATCH(Methode_Keuze,Tb_KostenOptiesDB[#Headers],0),2))=1,_xlfn.SWITCH($N384,"Uurtarief",IF(OR(AND(RIGHT($F384,3)="IKS",VLOOKUP($M384,DB_Loonkosten,2,0)="Ja"),AND(RIGHT($F384,3)&lt;&gt;"IKS",VLOOKUP($M384,DB_Loonkosten,2,0)="Nee")),IFERROR(VLOOKUP($M384,DB_Loonkosten,25,0),""),0),"Vast tarief",IF(LEFT(F384,8)="Bijdrage",VLOOKUP($F384,Tb_KostenTypen[],MATCH(Lijsten!$P$1,Tb_KostenTypen[#Headers],0),0),VLOOKUP($G384,Lijsten!L:P,MATCH(Lijsten!$P$1,Kop_Tarief_Vast,0),0))),""),"")</f>
        <v/>
      </c>
      <c r="Q384" s="359"/>
      <c r="R384" s="359"/>
      <c r="S384" s="321"/>
      <c r="T384" s="321"/>
      <c r="U384" s="373" t="str">
        <f t="shared" si="20"/>
        <v/>
      </c>
      <c r="V384" s="314" t="str">
        <f t="shared" si="21"/>
        <v/>
      </c>
      <c r="W384" s="314" t="str" cm="1">
        <f t="array" aca="1" ref="W384" ca="1">IFERROR(IF(AE384&lt;&gt;"ja",_xlfn.IFNA(_xlfn.IFS(AND(O384&lt;&gt;"",F384&lt;&gt;"",RIGHT($N384,6)="tarief",F384="Vergoeding"),SUM(O384)*FLOOR(SUM(Q384),0.0001),AND(O384&lt;&gt;"",F384&lt;&gt;"",RIGHT($N384,6)="tarief"),SUM(O384)*FLOOR(SUM(Q384),0.01),S384&gt;0,IF(F384&lt;&gt;"",FLOOR(SUM(S384),0.01),"")),""),""),"")</f>
        <v/>
      </c>
      <c r="X384" s="314" t="str" cm="1">
        <f t="array" aca="1" ref="X384" ca="1">IFERROR(IF(AE384&lt;&gt;"ja",_xlfn.IFNA(_xlfn.IFS(AND(P384&lt;&gt;"",R384&lt;&gt;"",RIGHT($N384,6)="tarief",F384="Vergoeding"),SUM(P384)*FLOOR(SUM(R384),0.0001),AND(P384&lt;&gt;"",R384&lt;&gt;"",RIGHT($N384,6)="tarief"),P384*FLOOR(R384,0.01),T384&gt;0,FLOOR(SUM(T384),0.01)),""),""),"")</f>
        <v/>
      </c>
      <c r="Y384" s="314" t="str">
        <f t="shared" ca="1" si="22"/>
        <v/>
      </c>
      <c r="Z384" s="314" t="str" cm="1">
        <f t="array" aca="1" ref="Z384" ca="1">IFERROR(_xlfn.IFS(OR(F384="",LEFT(Methode_Keuze,4)="Geen",Methode_Keuze=""),"",AND(W384&lt;&gt;"",F384&lt;&gt;"Arbeidskosten"),W384*VLOOKUP(F384,Tb_ProjectKosten[],MATCH(Tb_ProjectKosten[[#Headers],[Forfait_Percentage]],Tb_ProjectKosten[#Headers],0),0),AND(F384="Arbeidskosten",G384&lt;&gt;""),IFERROR(W384*VLOOKUP(G384,Tb_KostenTypen[],3,0)*VLOOKUP(F384,Tb_ProjectKosten[],MATCH(Tb_ProjectKosten[[#Headers],[Forfait_Percentage]],Tb_ProjectKosten[#Headers],0),0),""),W384 &lt;=0,0),"")</f>
        <v/>
      </c>
      <c r="AA384" s="314" t="str" cm="1">
        <f t="array" aca="1" ref="AA384" ca="1">IFERROR(_xlfn.IFS(OR(F384="",LEFT(Methode_Keuze,4)="Geen",Methode_Keuze=""),"",AND(X384&lt;&gt;"",F384&lt;&gt;"Arbeidskosten"),X384*VLOOKUP(F384,Tb_ProjectKosten[],MATCH(Tb_ProjectKosten[[#Headers],[Forfait_Percentage]],Tb_ProjectKosten[#Headers],0),0),AND(F384="Arbeidskosten",G384&lt;&gt;""),IFERROR(X384*VLOOKUP(G384,Tb_KostenTypen[],3,0)*VLOOKUP(F384,Tb_ProjectKosten[],MATCH(Tb_ProjectKosten[[#Headers],[Forfait_Percentage]],Tb_ProjectKosten[#Headers],0),0),""),X384 &lt;=0,0),"")</f>
        <v/>
      </c>
      <c r="AB384" s="314" t="str">
        <f t="shared" ca="1" si="23"/>
        <v/>
      </c>
      <c r="AC384" s="322"/>
      <c r="AD384" s="315"/>
      <c r="AE384" s="32" t="str" cm="1">
        <f t="array" ref="AE384">IFERROR(IF(INDEX(SubsidieTabel!$AD$1:$AG$12,MATCH($F384,SubsidieTabel!$AD$1:$AD$12,0),IFERROR(MATCH(Methode_Keuze,SubsidieTabel!$AD$1:$AG$1,0),2))&lt;&gt;1=TRUE,"ja",""),"")</f>
        <v/>
      </c>
    </row>
    <row r="385" spans="1:31" x14ac:dyDescent="0.25">
      <c r="A385" s="316"/>
      <c r="B385" s="317" t="str">
        <f>IF(A385&lt;&gt;"",_xlfn.MAXIFS($B$1:B384,$A$1:A384,A385)+1,"")</f>
        <v/>
      </c>
      <c r="C385" s="296"/>
      <c r="D385" s="296"/>
      <c r="E385" s="296"/>
      <c r="F385" s="296"/>
      <c r="G385" s="326"/>
      <c r="H385" s="324"/>
      <c r="I385" s="325"/>
      <c r="J385" s="325"/>
      <c r="K385" s="318"/>
      <c r="L385" s="318"/>
      <c r="M385" s="319" t="str">
        <f>IFERROR(VLOOKUP(H385,Lijsten!$H$1:$I$100,2,0),"")</f>
        <v/>
      </c>
      <c r="N385" s="319" t="str">
        <f ca="1">IFERROR(IF(VLOOKUP(F385,Kostentypen!$A$3:$E$21,3,0)=0,"",IF(OR(F385="Arbeidskosten",F385="Vergoeding"),VLOOKUP(G385,Tb_KostenTypen[],2,0),VLOOKUP(F385,Kostentypen!$A$3:$E$20,3,0))),"")</f>
        <v/>
      </c>
      <c r="O385" s="320" t="str" cm="1">
        <f t="array" ref="O385">_xlfn.IFNA(IF(INDEX(Tb_KostenOptiesDB[],MATCH($F385,Tb_KostenOptiesDB[KostenOptie],0),IFERROR(MATCH(Methode_Keuze,Tb_KostenOptiesDB[#Headers],0),2))=1,_xlfn.SWITCH($N385,"Uurtarief",IF(OR(AND(RIGHT($F385,3)="IKS",VLOOKUP($M385,DB_Loonkosten,2,0)="Ja"),AND(RIGHT($F385,3)&lt;&gt;"IKS",VLOOKUP($M385,DB_Loonkosten,2,0)="Nee")),IFERROR(VLOOKUP($M385,DB_Loonkosten,24,0),""),0),"Vast tarief",IF(LEFT(F385,8)="Bijdrage",VLOOKUP($F385,Tb_KostenTypen[],MATCH(Lijsten!$P$1,Tb_KostenTypen[#Headers],0),0),VLOOKUP($G385,Lijsten!L:P,MATCH(Lijsten!$P$1,Kop_Tarief_Vast,0),0))),""),"")</f>
        <v/>
      </c>
      <c r="P385" s="320" t="str" cm="1">
        <f t="array" ref="P385">_xlfn.IFNA(IF(INDEX(Tb_KostenOptiesDB[],MATCH($F385,Tb_KostenOptiesDB[KostenOptie],0),IFERROR(MATCH(Methode_Keuze,Tb_KostenOptiesDB[#Headers],0),2))=1,_xlfn.SWITCH($N385,"Uurtarief",IF(OR(AND(RIGHT($F385,3)="IKS",VLOOKUP($M385,DB_Loonkosten,2,0)="Ja"),AND(RIGHT($F385,3)&lt;&gt;"IKS",VLOOKUP($M385,DB_Loonkosten,2,0)="Nee")),IFERROR(VLOOKUP($M385,DB_Loonkosten,25,0),""),0),"Vast tarief",IF(LEFT(F385,8)="Bijdrage",VLOOKUP($F385,Tb_KostenTypen[],MATCH(Lijsten!$P$1,Tb_KostenTypen[#Headers],0),0),VLOOKUP($G385,Lijsten!L:P,MATCH(Lijsten!$P$1,Kop_Tarief_Vast,0),0))),""),"")</f>
        <v/>
      </c>
      <c r="Q385" s="359"/>
      <c r="R385" s="359"/>
      <c r="S385" s="321"/>
      <c r="T385" s="321"/>
      <c r="U385" s="373" t="str">
        <f t="shared" si="20"/>
        <v/>
      </c>
      <c r="V385" s="314" t="str">
        <f t="shared" si="21"/>
        <v/>
      </c>
      <c r="W385" s="314" t="str" cm="1">
        <f t="array" aca="1" ref="W385" ca="1">IFERROR(IF(AE385&lt;&gt;"ja",_xlfn.IFNA(_xlfn.IFS(AND(O385&lt;&gt;"",F385&lt;&gt;"",RIGHT($N385,6)="tarief",F385="Vergoeding"),SUM(O385)*FLOOR(SUM(Q385),0.0001),AND(O385&lt;&gt;"",F385&lt;&gt;"",RIGHT($N385,6)="tarief"),SUM(O385)*FLOOR(SUM(Q385),0.01),S385&gt;0,IF(F385&lt;&gt;"",FLOOR(SUM(S385),0.01),"")),""),""),"")</f>
        <v/>
      </c>
      <c r="X385" s="314" t="str" cm="1">
        <f t="array" aca="1" ref="X385" ca="1">IFERROR(IF(AE385&lt;&gt;"ja",_xlfn.IFNA(_xlfn.IFS(AND(P385&lt;&gt;"",R385&lt;&gt;"",RIGHT($N385,6)="tarief",F385="Vergoeding"),SUM(P385)*FLOOR(SUM(R385),0.0001),AND(P385&lt;&gt;"",R385&lt;&gt;"",RIGHT($N385,6)="tarief"),P385*FLOOR(R385,0.01),T385&gt;0,FLOOR(SUM(T385),0.01)),""),""),"")</f>
        <v/>
      </c>
      <c r="Y385" s="314" t="str">
        <f t="shared" ca="1" si="22"/>
        <v/>
      </c>
      <c r="Z385" s="314" t="str" cm="1">
        <f t="array" aca="1" ref="Z385" ca="1">IFERROR(_xlfn.IFS(OR(F385="",LEFT(Methode_Keuze,4)="Geen",Methode_Keuze=""),"",AND(W385&lt;&gt;"",F385&lt;&gt;"Arbeidskosten"),W385*VLOOKUP(F385,Tb_ProjectKosten[],MATCH(Tb_ProjectKosten[[#Headers],[Forfait_Percentage]],Tb_ProjectKosten[#Headers],0),0),AND(F385="Arbeidskosten",G385&lt;&gt;""),IFERROR(W385*VLOOKUP(G385,Tb_KostenTypen[],3,0)*VLOOKUP(F385,Tb_ProjectKosten[],MATCH(Tb_ProjectKosten[[#Headers],[Forfait_Percentage]],Tb_ProjectKosten[#Headers],0),0),""),W385 &lt;=0,0),"")</f>
        <v/>
      </c>
      <c r="AA385" s="314" t="str" cm="1">
        <f t="array" aca="1" ref="AA385" ca="1">IFERROR(_xlfn.IFS(OR(F385="",LEFT(Methode_Keuze,4)="Geen",Methode_Keuze=""),"",AND(X385&lt;&gt;"",F385&lt;&gt;"Arbeidskosten"),X385*VLOOKUP(F385,Tb_ProjectKosten[],MATCH(Tb_ProjectKosten[[#Headers],[Forfait_Percentage]],Tb_ProjectKosten[#Headers],0),0),AND(F385="Arbeidskosten",G385&lt;&gt;""),IFERROR(X385*VLOOKUP(G385,Tb_KostenTypen[],3,0)*VLOOKUP(F385,Tb_ProjectKosten[],MATCH(Tb_ProjectKosten[[#Headers],[Forfait_Percentage]],Tb_ProjectKosten[#Headers],0),0),""),X385 &lt;=0,0),"")</f>
        <v/>
      </c>
      <c r="AB385" s="314" t="str">
        <f t="shared" ca="1" si="23"/>
        <v/>
      </c>
      <c r="AC385" s="322"/>
      <c r="AD385" s="315"/>
      <c r="AE385" s="32" t="str" cm="1">
        <f t="array" ref="AE385">IFERROR(IF(INDEX(SubsidieTabel!$AD$1:$AG$12,MATCH($F385,SubsidieTabel!$AD$1:$AD$12,0),IFERROR(MATCH(Methode_Keuze,SubsidieTabel!$AD$1:$AG$1,0),2))&lt;&gt;1=TRUE,"ja",""),"")</f>
        <v/>
      </c>
    </row>
    <row r="386" spans="1:31" x14ac:dyDescent="0.25">
      <c r="A386" s="316"/>
      <c r="B386" s="317" t="str">
        <f>IF(A386&lt;&gt;"",_xlfn.MAXIFS($B$1:B385,$A$1:A385,A386)+1,"")</f>
        <v/>
      </c>
      <c r="C386" s="296"/>
      <c r="D386" s="296"/>
      <c r="E386" s="296"/>
      <c r="F386" s="296"/>
      <c r="G386" s="326"/>
      <c r="H386" s="324"/>
      <c r="I386" s="325"/>
      <c r="J386" s="325"/>
      <c r="K386" s="318"/>
      <c r="L386" s="318"/>
      <c r="M386" s="319" t="str">
        <f>IFERROR(VLOOKUP(H386,Lijsten!$H$1:$I$100,2,0),"")</f>
        <v/>
      </c>
      <c r="N386" s="319" t="str">
        <f ca="1">IFERROR(IF(VLOOKUP(F386,Kostentypen!$A$3:$E$21,3,0)=0,"",IF(OR(F386="Arbeidskosten",F386="Vergoeding"),VLOOKUP(G386,Tb_KostenTypen[],2,0),VLOOKUP(F386,Kostentypen!$A$3:$E$20,3,0))),"")</f>
        <v/>
      </c>
      <c r="O386" s="320" t="str" cm="1">
        <f t="array" ref="O386">_xlfn.IFNA(IF(INDEX(Tb_KostenOptiesDB[],MATCH($F386,Tb_KostenOptiesDB[KostenOptie],0),IFERROR(MATCH(Methode_Keuze,Tb_KostenOptiesDB[#Headers],0),2))=1,_xlfn.SWITCH($N386,"Uurtarief",IF(OR(AND(RIGHT($F386,3)="IKS",VLOOKUP($M386,DB_Loonkosten,2,0)="Ja"),AND(RIGHT($F386,3)&lt;&gt;"IKS",VLOOKUP($M386,DB_Loonkosten,2,0)="Nee")),IFERROR(VLOOKUP($M386,DB_Loonkosten,24,0),""),0),"Vast tarief",IF(LEFT(F386,8)="Bijdrage",VLOOKUP($F386,Tb_KostenTypen[],MATCH(Lijsten!$P$1,Tb_KostenTypen[#Headers],0),0),VLOOKUP($G386,Lijsten!L:P,MATCH(Lijsten!$P$1,Kop_Tarief_Vast,0),0))),""),"")</f>
        <v/>
      </c>
      <c r="P386" s="320" t="str" cm="1">
        <f t="array" ref="P386">_xlfn.IFNA(IF(INDEX(Tb_KostenOptiesDB[],MATCH($F386,Tb_KostenOptiesDB[KostenOptie],0),IFERROR(MATCH(Methode_Keuze,Tb_KostenOptiesDB[#Headers],0),2))=1,_xlfn.SWITCH($N386,"Uurtarief",IF(OR(AND(RIGHT($F386,3)="IKS",VLOOKUP($M386,DB_Loonkosten,2,0)="Ja"),AND(RIGHT($F386,3)&lt;&gt;"IKS",VLOOKUP($M386,DB_Loonkosten,2,0)="Nee")),IFERROR(VLOOKUP($M386,DB_Loonkosten,25,0),""),0),"Vast tarief",IF(LEFT(F386,8)="Bijdrage",VLOOKUP($F386,Tb_KostenTypen[],MATCH(Lijsten!$P$1,Tb_KostenTypen[#Headers],0),0),VLOOKUP($G386,Lijsten!L:P,MATCH(Lijsten!$P$1,Kop_Tarief_Vast,0),0))),""),"")</f>
        <v/>
      </c>
      <c r="Q386" s="359"/>
      <c r="R386" s="359"/>
      <c r="S386" s="321"/>
      <c r="T386" s="321"/>
      <c r="U386" s="373" t="str">
        <f t="shared" si="20"/>
        <v/>
      </c>
      <c r="V386" s="314" t="str">
        <f t="shared" si="21"/>
        <v/>
      </c>
      <c r="W386" s="314" t="str" cm="1">
        <f t="array" aca="1" ref="W386" ca="1">IFERROR(IF(AE386&lt;&gt;"ja",_xlfn.IFNA(_xlfn.IFS(AND(O386&lt;&gt;"",F386&lt;&gt;"",RIGHT($N386,6)="tarief",F386="Vergoeding"),SUM(O386)*FLOOR(SUM(Q386),0.0001),AND(O386&lt;&gt;"",F386&lt;&gt;"",RIGHT($N386,6)="tarief"),SUM(O386)*FLOOR(SUM(Q386),0.01),S386&gt;0,IF(F386&lt;&gt;"",FLOOR(SUM(S386),0.01),"")),""),""),"")</f>
        <v/>
      </c>
      <c r="X386" s="314" t="str" cm="1">
        <f t="array" aca="1" ref="X386" ca="1">IFERROR(IF(AE386&lt;&gt;"ja",_xlfn.IFNA(_xlfn.IFS(AND(P386&lt;&gt;"",R386&lt;&gt;"",RIGHT($N386,6)="tarief",F386="Vergoeding"),SUM(P386)*FLOOR(SUM(R386),0.0001),AND(P386&lt;&gt;"",R386&lt;&gt;"",RIGHT($N386,6)="tarief"),P386*FLOOR(R386,0.01),T386&gt;0,FLOOR(SUM(T386),0.01)),""),""),"")</f>
        <v/>
      </c>
      <c r="Y386" s="314" t="str">
        <f t="shared" ca="1" si="22"/>
        <v/>
      </c>
      <c r="Z386" s="314" t="str" cm="1">
        <f t="array" aca="1" ref="Z386" ca="1">IFERROR(_xlfn.IFS(OR(F386="",LEFT(Methode_Keuze,4)="Geen",Methode_Keuze=""),"",AND(W386&lt;&gt;"",F386&lt;&gt;"Arbeidskosten"),W386*VLOOKUP(F386,Tb_ProjectKosten[],MATCH(Tb_ProjectKosten[[#Headers],[Forfait_Percentage]],Tb_ProjectKosten[#Headers],0),0),AND(F386="Arbeidskosten",G386&lt;&gt;""),IFERROR(W386*VLOOKUP(G386,Tb_KostenTypen[],3,0)*VLOOKUP(F386,Tb_ProjectKosten[],MATCH(Tb_ProjectKosten[[#Headers],[Forfait_Percentage]],Tb_ProjectKosten[#Headers],0),0),""),W386 &lt;=0,0),"")</f>
        <v/>
      </c>
      <c r="AA386" s="314" t="str" cm="1">
        <f t="array" aca="1" ref="AA386" ca="1">IFERROR(_xlfn.IFS(OR(F386="",LEFT(Methode_Keuze,4)="Geen",Methode_Keuze=""),"",AND(X386&lt;&gt;"",F386&lt;&gt;"Arbeidskosten"),X386*VLOOKUP(F386,Tb_ProjectKosten[],MATCH(Tb_ProjectKosten[[#Headers],[Forfait_Percentage]],Tb_ProjectKosten[#Headers],0),0),AND(F386="Arbeidskosten",G386&lt;&gt;""),IFERROR(X386*VLOOKUP(G386,Tb_KostenTypen[],3,0)*VLOOKUP(F386,Tb_ProjectKosten[],MATCH(Tb_ProjectKosten[[#Headers],[Forfait_Percentage]],Tb_ProjectKosten[#Headers],0),0),""),X386 &lt;=0,0),"")</f>
        <v/>
      </c>
      <c r="AB386" s="314" t="str">
        <f t="shared" ca="1" si="23"/>
        <v/>
      </c>
      <c r="AC386" s="322"/>
      <c r="AD386" s="315"/>
      <c r="AE386" s="32" t="str" cm="1">
        <f t="array" ref="AE386">IFERROR(IF(INDEX(SubsidieTabel!$AD$1:$AG$12,MATCH($F386,SubsidieTabel!$AD$1:$AD$12,0),IFERROR(MATCH(Methode_Keuze,SubsidieTabel!$AD$1:$AG$1,0),2))&lt;&gt;1=TRUE,"ja",""),"")</f>
        <v/>
      </c>
    </row>
    <row r="387" spans="1:31" x14ac:dyDescent="0.25">
      <c r="A387" s="316"/>
      <c r="B387" s="317" t="str">
        <f>IF(A387&lt;&gt;"",_xlfn.MAXIFS($B$1:B386,$A$1:A386,A387)+1,"")</f>
        <v/>
      </c>
      <c r="C387" s="296"/>
      <c r="D387" s="296"/>
      <c r="E387" s="296"/>
      <c r="F387" s="296"/>
      <c r="G387" s="326"/>
      <c r="H387" s="324"/>
      <c r="I387" s="325"/>
      <c r="J387" s="325"/>
      <c r="K387" s="318"/>
      <c r="L387" s="318"/>
      <c r="M387" s="319" t="str">
        <f>IFERROR(VLOOKUP(H387,Lijsten!$H$1:$I$100,2,0),"")</f>
        <v/>
      </c>
      <c r="N387" s="319" t="str">
        <f ca="1">IFERROR(IF(VLOOKUP(F387,Kostentypen!$A$3:$E$21,3,0)=0,"",IF(OR(F387="Arbeidskosten",F387="Vergoeding"),VLOOKUP(G387,Tb_KostenTypen[],2,0),VLOOKUP(F387,Kostentypen!$A$3:$E$20,3,0))),"")</f>
        <v/>
      </c>
      <c r="O387" s="320" t="str" cm="1">
        <f t="array" ref="O387">_xlfn.IFNA(IF(INDEX(Tb_KostenOptiesDB[],MATCH($F387,Tb_KostenOptiesDB[KostenOptie],0),IFERROR(MATCH(Methode_Keuze,Tb_KostenOptiesDB[#Headers],0),2))=1,_xlfn.SWITCH($N387,"Uurtarief",IF(OR(AND(RIGHT($F387,3)="IKS",VLOOKUP($M387,DB_Loonkosten,2,0)="Ja"),AND(RIGHT($F387,3)&lt;&gt;"IKS",VLOOKUP($M387,DB_Loonkosten,2,0)="Nee")),IFERROR(VLOOKUP($M387,DB_Loonkosten,24,0),""),0),"Vast tarief",IF(LEFT(F387,8)="Bijdrage",VLOOKUP($F387,Tb_KostenTypen[],MATCH(Lijsten!$P$1,Tb_KostenTypen[#Headers],0),0),VLOOKUP($G387,Lijsten!L:P,MATCH(Lijsten!$P$1,Kop_Tarief_Vast,0),0))),""),"")</f>
        <v/>
      </c>
      <c r="P387" s="320" t="str" cm="1">
        <f t="array" ref="P387">_xlfn.IFNA(IF(INDEX(Tb_KostenOptiesDB[],MATCH($F387,Tb_KostenOptiesDB[KostenOptie],0),IFERROR(MATCH(Methode_Keuze,Tb_KostenOptiesDB[#Headers],0),2))=1,_xlfn.SWITCH($N387,"Uurtarief",IF(OR(AND(RIGHT($F387,3)="IKS",VLOOKUP($M387,DB_Loonkosten,2,0)="Ja"),AND(RIGHT($F387,3)&lt;&gt;"IKS",VLOOKUP($M387,DB_Loonkosten,2,0)="Nee")),IFERROR(VLOOKUP($M387,DB_Loonkosten,25,0),""),0),"Vast tarief",IF(LEFT(F387,8)="Bijdrage",VLOOKUP($F387,Tb_KostenTypen[],MATCH(Lijsten!$P$1,Tb_KostenTypen[#Headers],0),0),VLOOKUP($G387,Lijsten!L:P,MATCH(Lijsten!$P$1,Kop_Tarief_Vast,0),0))),""),"")</f>
        <v/>
      </c>
      <c r="Q387" s="359"/>
      <c r="R387" s="359"/>
      <c r="S387" s="321"/>
      <c r="T387" s="321"/>
      <c r="U387" s="373" t="str">
        <f t="shared" ref="U387:U450" si="24">IFERROR(IF(AND(R387&lt;&gt;"",R387&lt;&gt;Q387),-1*(R387-Q387),""),"")</f>
        <v/>
      </c>
      <c r="V387" s="314" t="str">
        <f t="shared" ref="V387:V450" si="25">IFERROR(IF(AND(T387&lt;&gt;"",T387&lt;&gt;S387),-1*(T387-S387),""),"")</f>
        <v/>
      </c>
      <c r="W387" s="314" t="str" cm="1">
        <f t="array" aca="1" ref="W387" ca="1">IFERROR(IF(AE387&lt;&gt;"ja",_xlfn.IFNA(_xlfn.IFS(AND(O387&lt;&gt;"",F387&lt;&gt;"",RIGHT($N387,6)="tarief",F387="Vergoeding"),SUM(O387)*FLOOR(SUM(Q387),0.0001),AND(O387&lt;&gt;"",F387&lt;&gt;"",RIGHT($N387,6)="tarief"),SUM(O387)*FLOOR(SUM(Q387),0.01),S387&gt;0,IF(F387&lt;&gt;"",FLOOR(SUM(S387),0.01),"")),""),""),"")</f>
        <v/>
      </c>
      <c r="X387" s="314" t="str" cm="1">
        <f t="array" aca="1" ref="X387" ca="1">IFERROR(IF(AE387&lt;&gt;"ja",_xlfn.IFNA(_xlfn.IFS(AND(P387&lt;&gt;"",R387&lt;&gt;"",RIGHT($N387,6)="tarief",F387="Vergoeding"),SUM(P387)*FLOOR(SUM(R387),0.0001),AND(P387&lt;&gt;"",R387&lt;&gt;"",RIGHT($N387,6)="tarief"),P387*FLOOR(R387,0.01),T387&gt;0,FLOOR(SUM(T387),0.01)),""),""),"")</f>
        <v/>
      </c>
      <c r="Y387" s="314" t="str">
        <f t="shared" ref="Y387:Y450" ca="1" si="26">IFERROR(IF(AND(X387&lt;&gt;"",X387&lt;&gt;W387),-1*(X387-W387),""),"")</f>
        <v/>
      </c>
      <c r="Z387" s="314" t="str" cm="1">
        <f t="array" aca="1" ref="Z387" ca="1">IFERROR(_xlfn.IFS(OR(F387="",LEFT(Methode_Keuze,4)="Geen",Methode_Keuze=""),"",AND(W387&lt;&gt;"",F387&lt;&gt;"Arbeidskosten"),W387*VLOOKUP(F387,Tb_ProjectKosten[],MATCH(Tb_ProjectKosten[[#Headers],[Forfait_Percentage]],Tb_ProjectKosten[#Headers],0),0),AND(F387="Arbeidskosten",G387&lt;&gt;""),IFERROR(W387*VLOOKUP(G387,Tb_KostenTypen[],3,0)*VLOOKUP(F387,Tb_ProjectKosten[],MATCH(Tb_ProjectKosten[[#Headers],[Forfait_Percentage]],Tb_ProjectKosten[#Headers],0),0),""),W387 &lt;=0,0),"")</f>
        <v/>
      </c>
      <c r="AA387" s="314" t="str" cm="1">
        <f t="array" aca="1" ref="AA387" ca="1">IFERROR(_xlfn.IFS(OR(F387="",LEFT(Methode_Keuze,4)="Geen",Methode_Keuze=""),"",AND(X387&lt;&gt;"",F387&lt;&gt;"Arbeidskosten"),X387*VLOOKUP(F387,Tb_ProjectKosten[],MATCH(Tb_ProjectKosten[[#Headers],[Forfait_Percentage]],Tb_ProjectKosten[#Headers],0),0),AND(F387="Arbeidskosten",G387&lt;&gt;""),IFERROR(X387*VLOOKUP(G387,Tb_KostenTypen[],3,0)*VLOOKUP(F387,Tb_ProjectKosten[],MATCH(Tb_ProjectKosten[[#Headers],[Forfait_Percentage]],Tb_ProjectKosten[#Headers],0),0),""),X387 &lt;=0,0),"")</f>
        <v/>
      </c>
      <c r="AB387" s="314" t="str">
        <f t="shared" ref="AB387:AB450" ca="1" si="27">IFERROR(IF(AND(AA387&lt;&gt;"",AA387&lt;&gt;Z387),-1*(AA387-Z387),""),"")</f>
        <v/>
      </c>
      <c r="AC387" s="322"/>
      <c r="AD387" s="315"/>
      <c r="AE387" s="32" t="str" cm="1">
        <f t="array" ref="AE387">IFERROR(IF(INDEX(SubsidieTabel!$AD$1:$AG$12,MATCH($F387,SubsidieTabel!$AD$1:$AD$12,0),IFERROR(MATCH(Methode_Keuze,SubsidieTabel!$AD$1:$AG$1,0),2))&lt;&gt;1=TRUE,"ja",""),"")</f>
        <v/>
      </c>
    </row>
    <row r="388" spans="1:31" x14ac:dyDescent="0.25">
      <c r="A388" s="316"/>
      <c r="B388" s="317" t="str">
        <f>IF(A388&lt;&gt;"",_xlfn.MAXIFS($B$1:B387,$A$1:A387,A388)+1,"")</f>
        <v/>
      </c>
      <c r="C388" s="296"/>
      <c r="D388" s="296"/>
      <c r="E388" s="296"/>
      <c r="F388" s="296"/>
      <c r="G388" s="326"/>
      <c r="H388" s="324"/>
      <c r="I388" s="325"/>
      <c r="J388" s="325"/>
      <c r="K388" s="318"/>
      <c r="L388" s="318"/>
      <c r="M388" s="319" t="str">
        <f>IFERROR(VLOOKUP(H388,Lijsten!$H$1:$I$100,2,0),"")</f>
        <v/>
      </c>
      <c r="N388" s="319" t="str">
        <f ca="1">IFERROR(IF(VLOOKUP(F388,Kostentypen!$A$3:$E$21,3,0)=0,"",IF(OR(F388="Arbeidskosten",F388="Vergoeding"),VLOOKUP(G388,Tb_KostenTypen[],2,0),VLOOKUP(F388,Kostentypen!$A$3:$E$20,3,0))),"")</f>
        <v/>
      </c>
      <c r="O388" s="320" t="str" cm="1">
        <f t="array" ref="O388">_xlfn.IFNA(IF(INDEX(Tb_KostenOptiesDB[],MATCH($F388,Tb_KostenOptiesDB[KostenOptie],0),IFERROR(MATCH(Methode_Keuze,Tb_KostenOptiesDB[#Headers],0),2))=1,_xlfn.SWITCH($N388,"Uurtarief",IF(OR(AND(RIGHT($F388,3)="IKS",VLOOKUP($M388,DB_Loonkosten,2,0)="Ja"),AND(RIGHT($F388,3)&lt;&gt;"IKS",VLOOKUP($M388,DB_Loonkosten,2,0)="Nee")),IFERROR(VLOOKUP($M388,DB_Loonkosten,24,0),""),0),"Vast tarief",IF(LEFT(F388,8)="Bijdrage",VLOOKUP($F388,Tb_KostenTypen[],MATCH(Lijsten!$P$1,Tb_KostenTypen[#Headers],0),0),VLOOKUP($G388,Lijsten!L:P,MATCH(Lijsten!$P$1,Kop_Tarief_Vast,0),0))),""),"")</f>
        <v/>
      </c>
      <c r="P388" s="320" t="str" cm="1">
        <f t="array" ref="P388">_xlfn.IFNA(IF(INDEX(Tb_KostenOptiesDB[],MATCH($F388,Tb_KostenOptiesDB[KostenOptie],0),IFERROR(MATCH(Methode_Keuze,Tb_KostenOptiesDB[#Headers],0),2))=1,_xlfn.SWITCH($N388,"Uurtarief",IF(OR(AND(RIGHT($F388,3)="IKS",VLOOKUP($M388,DB_Loonkosten,2,0)="Ja"),AND(RIGHT($F388,3)&lt;&gt;"IKS",VLOOKUP($M388,DB_Loonkosten,2,0)="Nee")),IFERROR(VLOOKUP($M388,DB_Loonkosten,25,0),""),0),"Vast tarief",IF(LEFT(F388,8)="Bijdrage",VLOOKUP($F388,Tb_KostenTypen[],MATCH(Lijsten!$P$1,Tb_KostenTypen[#Headers],0),0),VLOOKUP($G388,Lijsten!L:P,MATCH(Lijsten!$P$1,Kop_Tarief_Vast,0),0))),""),"")</f>
        <v/>
      </c>
      <c r="Q388" s="359"/>
      <c r="R388" s="359"/>
      <c r="S388" s="321"/>
      <c r="T388" s="321"/>
      <c r="U388" s="373" t="str">
        <f t="shared" si="24"/>
        <v/>
      </c>
      <c r="V388" s="314" t="str">
        <f t="shared" si="25"/>
        <v/>
      </c>
      <c r="W388" s="314" t="str" cm="1">
        <f t="array" aca="1" ref="W388" ca="1">IFERROR(IF(AE388&lt;&gt;"ja",_xlfn.IFNA(_xlfn.IFS(AND(O388&lt;&gt;"",F388&lt;&gt;"",RIGHT($N388,6)="tarief",F388="Vergoeding"),SUM(O388)*FLOOR(SUM(Q388),0.0001),AND(O388&lt;&gt;"",F388&lt;&gt;"",RIGHT($N388,6)="tarief"),SUM(O388)*FLOOR(SUM(Q388),0.01),S388&gt;0,IF(F388&lt;&gt;"",FLOOR(SUM(S388),0.01),"")),""),""),"")</f>
        <v/>
      </c>
      <c r="X388" s="314" t="str" cm="1">
        <f t="array" aca="1" ref="X388" ca="1">IFERROR(IF(AE388&lt;&gt;"ja",_xlfn.IFNA(_xlfn.IFS(AND(P388&lt;&gt;"",R388&lt;&gt;"",RIGHT($N388,6)="tarief",F388="Vergoeding"),SUM(P388)*FLOOR(SUM(R388),0.0001),AND(P388&lt;&gt;"",R388&lt;&gt;"",RIGHT($N388,6)="tarief"),P388*FLOOR(R388,0.01),T388&gt;0,FLOOR(SUM(T388),0.01)),""),""),"")</f>
        <v/>
      </c>
      <c r="Y388" s="314" t="str">
        <f t="shared" ca="1" si="26"/>
        <v/>
      </c>
      <c r="Z388" s="314" t="str" cm="1">
        <f t="array" aca="1" ref="Z388" ca="1">IFERROR(_xlfn.IFS(OR(F388="",LEFT(Methode_Keuze,4)="Geen",Methode_Keuze=""),"",AND(W388&lt;&gt;"",F388&lt;&gt;"Arbeidskosten"),W388*VLOOKUP(F388,Tb_ProjectKosten[],MATCH(Tb_ProjectKosten[[#Headers],[Forfait_Percentage]],Tb_ProjectKosten[#Headers],0),0),AND(F388="Arbeidskosten",G388&lt;&gt;""),IFERROR(W388*VLOOKUP(G388,Tb_KostenTypen[],3,0)*VLOOKUP(F388,Tb_ProjectKosten[],MATCH(Tb_ProjectKosten[[#Headers],[Forfait_Percentage]],Tb_ProjectKosten[#Headers],0),0),""),W388 &lt;=0,0),"")</f>
        <v/>
      </c>
      <c r="AA388" s="314" t="str" cm="1">
        <f t="array" aca="1" ref="AA388" ca="1">IFERROR(_xlfn.IFS(OR(F388="",LEFT(Methode_Keuze,4)="Geen",Methode_Keuze=""),"",AND(X388&lt;&gt;"",F388&lt;&gt;"Arbeidskosten"),X388*VLOOKUP(F388,Tb_ProjectKosten[],MATCH(Tb_ProjectKosten[[#Headers],[Forfait_Percentage]],Tb_ProjectKosten[#Headers],0),0),AND(F388="Arbeidskosten",G388&lt;&gt;""),IFERROR(X388*VLOOKUP(G388,Tb_KostenTypen[],3,0)*VLOOKUP(F388,Tb_ProjectKosten[],MATCH(Tb_ProjectKosten[[#Headers],[Forfait_Percentage]],Tb_ProjectKosten[#Headers],0),0),""),X388 &lt;=0,0),"")</f>
        <v/>
      </c>
      <c r="AB388" s="314" t="str">
        <f t="shared" ca="1" si="27"/>
        <v/>
      </c>
      <c r="AC388" s="322"/>
      <c r="AD388" s="315"/>
      <c r="AE388" s="32" t="str" cm="1">
        <f t="array" ref="AE388">IFERROR(IF(INDEX(SubsidieTabel!$AD$1:$AG$12,MATCH($F388,SubsidieTabel!$AD$1:$AD$12,0),IFERROR(MATCH(Methode_Keuze,SubsidieTabel!$AD$1:$AG$1,0),2))&lt;&gt;1=TRUE,"ja",""),"")</f>
        <v/>
      </c>
    </row>
    <row r="389" spans="1:31" x14ac:dyDescent="0.25">
      <c r="A389" s="316"/>
      <c r="B389" s="317" t="str">
        <f>IF(A389&lt;&gt;"",_xlfn.MAXIFS($B$1:B388,$A$1:A388,A389)+1,"")</f>
        <v/>
      </c>
      <c r="C389" s="296"/>
      <c r="D389" s="296"/>
      <c r="E389" s="296"/>
      <c r="F389" s="296"/>
      <c r="G389" s="326"/>
      <c r="H389" s="324"/>
      <c r="I389" s="325"/>
      <c r="J389" s="325"/>
      <c r="K389" s="318"/>
      <c r="L389" s="318"/>
      <c r="M389" s="319" t="str">
        <f>IFERROR(VLOOKUP(H389,Lijsten!$H$1:$I$100,2,0),"")</f>
        <v/>
      </c>
      <c r="N389" s="319" t="str">
        <f ca="1">IFERROR(IF(VLOOKUP(F389,Kostentypen!$A$3:$E$21,3,0)=0,"",IF(OR(F389="Arbeidskosten",F389="Vergoeding"),VLOOKUP(G389,Tb_KostenTypen[],2,0),VLOOKUP(F389,Kostentypen!$A$3:$E$20,3,0))),"")</f>
        <v/>
      </c>
      <c r="O389" s="320" t="str" cm="1">
        <f t="array" ref="O389">_xlfn.IFNA(IF(INDEX(Tb_KostenOptiesDB[],MATCH($F389,Tb_KostenOptiesDB[KostenOptie],0),IFERROR(MATCH(Methode_Keuze,Tb_KostenOptiesDB[#Headers],0),2))=1,_xlfn.SWITCH($N389,"Uurtarief",IF(OR(AND(RIGHT($F389,3)="IKS",VLOOKUP($M389,DB_Loonkosten,2,0)="Ja"),AND(RIGHT($F389,3)&lt;&gt;"IKS",VLOOKUP($M389,DB_Loonkosten,2,0)="Nee")),IFERROR(VLOOKUP($M389,DB_Loonkosten,24,0),""),0),"Vast tarief",IF(LEFT(F389,8)="Bijdrage",VLOOKUP($F389,Tb_KostenTypen[],MATCH(Lijsten!$P$1,Tb_KostenTypen[#Headers],0),0),VLOOKUP($G389,Lijsten!L:P,MATCH(Lijsten!$P$1,Kop_Tarief_Vast,0),0))),""),"")</f>
        <v/>
      </c>
      <c r="P389" s="320" t="str" cm="1">
        <f t="array" ref="P389">_xlfn.IFNA(IF(INDEX(Tb_KostenOptiesDB[],MATCH($F389,Tb_KostenOptiesDB[KostenOptie],0),IFERROR(MATCH(Methode_Keuze,Tb_KostenOptiesDB[#Headers],0),2))=1,_xlfn.SWITCH($N389,"Uurtarief",IF(OR(AND(RIGHT($F389,3)="IKS",VLOOKUP($M389,DB_Loonkosten,2,0)="Ja"),AND(RIGHT($F389,3)&lt;&gt;"IKS",VLOOKUP($M389,DB_Loonkosten,2,0)="Nee")),IFERROR(VLOOKUP($M389,DB_Loonkosten,25,0),""),0),"Vast tarief",IF(LEFT(F389,8)="Bijdrage",VLOOKUP($F389,Tb_KostenTypen[],MATCH(Lijsten!$P$1,Tb_KostenTypen[#Headers],0),0),VLOOKUP($G389,Lijsten!L:P,MATCH(Lijsten!$P$1,Kop_Tarief_Vast,0),0))),""),"")</f>
        <v/>
      </c>
      <c r="Q389" s="359"/>
      <c r="R389" s="359"/>
      <c r="S389" s="321"/>
      <c r="T389" s="321"/>
      <c r="U389" s="373" t="str">
        <f t="shared" si="24"/>
        <v/>
      </c>
      <c r="V389" s="314" t="str">
        <f t="shared" si="25"/>
        <v/>
      </c>
      <c r="W389" s="314" t="str" cm="1">
        <f t="array" aca="1" ref="W389" ca="1">IFERROR(IF(AE389&lt;&gt;"ja",_xlfn.IFNA(_xlfn.IFS(AND(O389&lt;&gt;"",F389&lt;&gt;"",RIGHT($N389,6)="tarief",F389="Vergoeding"),SUM(O389)*FLOOR(SUM(Q389),0.0001),AND(O389&lt;&gt;"",F389&lt;&gt;"",RIGHT($N389,6)="tarief"),SUM(O389)*FLOOR(SUM(Q389),0.01),S389&gt;0,IF(F389&lt;&gt;"",FLOOR(SUM(S389),0.01),"")),""),""),"")</f>
        <v/>
      </c>
      <c r="X389" s="314" t="str" cm="1">
        <f t="array" aca="1" ref="X389" ca="1">IFERROR(IF(AE389&lt;&gt;"ja",_xlfn.IFNA(_xlfn.IFS(AND(P389&lt;&gt;"",R389&lt;&gt;"",RIGHT($N389,6)="tarief",F389="Vergoeding"),SUM(P389)*FLOOR(SUM(R389),0.0001),AND(P389&lt;&gt;"",R389&lt;&gt;"",RIGHT($N389,6)="tarief"),P389*FLOOR(R389,0.01),T389&gt;0,FLOOR(SUM(T389),0.01)),""),""),"")</f>
        <v/>
      </c>
      <c r="Y389" s="314" t="str">
        <f t="shared" ca="1" si="26"/>
        <v/>
      </c>
      <c r="Z389" s="314" t="str" cm="1">
        <f t="array" aca="1" ref="Z389" ca="1">IFERROR(_xlfn.IFS(OR(F389="",LEFT(Methode_Keuze,4)="Geen",Methode_Keuze=""),"",AND(W389&lt;&gt;"",F389&lt;&gt;"Arbeidskosten"),W389*VLOOKUP(F389,Tb_ProjectKosten[],MATCH(Tb_ProjectKosten[[#Headers],[Forfait_Percentage]],Tb_ProjectKosten[#Headers],0),0),AND(F389="Arbeidskosten",G389&lt;&gt;""),IFERROR(W389*VLOOKUP(G389,Tb_KostenTypen[],3,0)*VLOOKUP(F389,Tb_ProjectKosten[],MATCH(Tb_ProjectKosten[[#Headers],[Forfait_Percentage]],Tb_ProjectKosten[#Headers],0),0),""),W389 &lt;=0,0),"")</f>
        <v/>
      </c>
      <c r="AA389" s="314" t="str" cm="1">
        <f t="array" aca="1" ref="AA389" ca="1">IFERROR(_xlfn.IFS(OR(F389="",LEFT(Methode_Keuze,4)="Geen",Methode_Keuze=""),"",AND(X389&lt;&gt;"",F389&lt;&gt;"Arbeidskosten"),X389*VLOOKUP(F389,Tb_ProjectKosten[],MATCH(Tb_ProjectKosten[[#Headers],[Forfait_Percentage]],Tb_ProjectKosten[#Headers],0),0),AND(F389="Arbeidskosten",G389&lt;&gt;""),IFERROR(X389*VLOOKUP(G389,Tb_KostenTypen[],3,0)*VLOOKUP(F389,Tb_ProjectKosten[],MATCH(Tb_ProjectKosten[[#Headers],[Forfait_Percentage]],Tb_ProjectKosten[#Headers],0),0),""),X389 &lt;=0,0),"")</f>
        <v/>
      </c>
      <c r="AB389" s="314" t="str">
        <f t="shared" ca="1" si="27"/>
        <v/>
      </c>
      <c r="AC389" s="322"/>
      <c r="AD389" s="315"/>
      <c r="AE389" s="32" t="str" cm="1">
        <f t="array" ref="AE389">IFERROR(IF(INDEX(SubsidieTabel!$AD$1:$AG$12,MATCH($F389,SubsidieTabel!$AD$1:$AD$12,0),IFERROR(MATCH(Methode_Keuze,SubsidieTabel!$AD$1:$AG$1,0),2))&lt;&gt;1=TRUE,"ja",""),"")</f>
        <v/>
      </c>
    </row>
    <row r="390" spans="1:31" x14ac:dyDescent="0.25">
      <c r="A390" s="316"/>
      <c r="B390" s="317" t="str">
        <f>IF(A390&lt;&gt;"",_xlfn.MAXIFS($B$1:B389,$A$1:A389,A390)+1,"")</f>
        <v/>
      </c>
      <c r="C390" s="296"/>
      <c r="D390" s="296"/>
      <c r="E390" s="296"/>
      <c r="F390" s="296"/>
      <c r="G390" s="326"/>
      <c r="H390" s="324"/>
      <c r="I390" s="325"/>
      <c r="J390" s="325"/>
      <c r="K390" s="318"/>
      <c r="L390" s="318"/>
      <c r="M390" s="319" t="str">
        <f>IFERROR(VLOOKUP(H390,Lijsten!$H$1:$I$100,2,0),"")</f>
        <v/>
      </c>
      <c r="N390" s="319" t="str">
        <f ca="1">IFERROR(IF(VLOOKUP(F390,Kostentypen!$A$3:$E$21,3,0)=0,"",IF(OR(F390="Arbeidskosten",F390="Vergoeding"),VLOOKUP(G390,Tb_KostenTypen[],2,0),VLOOKUP(F390,Kostentypen!$A$3:$E$20,3,0))),"")</f>
        <v/>
      </c>
      <c r="O390" s="320" t="str" cm="1">
        <f t="array" ref="O390">_xlfn.IFNA(IF(INDEX(Tb_KostenOptiesDB[],MATCH($F390,Tb_KostenOptiesDB[KostenOptie],0),IFERROR(MATCH(Methode_Keuze,Tb_KostenOptiesDB[#Headers],0),2))=1,_xlfn.SWITCH($N390,"Uurtarief",IF(OR(AND(RIGHT($F390,3)="IKS",VLOOKUP($M390,DB_Loonkosten,2,0)="Ja"),AND(RIGHT($F390,3)&lt;&gt;"IKS",VLOOKUP($M390,DB_Loonkosten,2,0)="Nee")),IFERROR(VLOOKUP($M390,DB_Loonkosten,24,0),""),0),"Vast tarief",IF(LEFT(F390,8)="Bijdrage",VLOOKUP($F390,Tb_KostenTypen[],MATCH(Lijsten!$P$1,Tb_KostenTypen[#Headers],0),0),VLOOKUP($G390,Lijsten!L:P,MATCH(Lijsten!$P$1,Kop_Tarief_Vast,0),0))),""),"")</f>
        <v/>
      </c>
      <c r="P390" s="320" t="str" cm="1">
        <f t="array" ref="P390">_xlfn.IFNA(IF(INDEX(Tb_KostenOptiesDB[],MATCH($F390,Tb_KostenOptiesDB[KostenOptie],0),IFERROR(MATCH(Methode_Keuze,Tb_KostenOptiesDB[#Headers],0),2))=1,_xlfn.SWITCH($N390,"Uurtarief",IF(OR(AND(RIGHT($F390,3)="IKS",VLOOKUP($M390,DB_Loonkosten,2,0)="Ja"),AND(RIGHT($F390,3)&lt;&gt;"IKS",VLOOKUP($M390,DB_Loonkosten,2,0)="Nee")),IFERROR(VLOOKUP($M390,DB_Loonkosten,25,0),""),0),"Vast tarief",IF(LEFT(F390,8)="Bijdrage",VLOOKUP($F390,Tb_KostenTypen[],MATCH(Lijsten!$P$1,Tb_KostenTypen[#Headers],0),0),VLOOKUP($G390,Lijsten!L:P,MATCH(Lijsten!$P$1,Kop_Tarief_Vast,0),0))),""),"")</f>
        <v/>
      </c>
      <c r="Q390" s="359"/>
      <c r="R390" s="359"/>
      <c r="S390" s="321"/>
      <c r="T390" s="321"/>
      <c r="U390" s="373" t="str">
        <f t="shared" si="24"/>
        <v/>
      </c>
      <c r="V390" s="314" t="str">
        <f t="shared" si="25"/>
        <v/>
      </c>
      <c r="W390" s="314" t="str" cm="1">
        <f t="array" aca="1" ref="W390" ca="1">IFERROR(IF(AE390&lt;&gt;"ja",_xlfn.IFNA(_xlfn.IFS(AND(O390&lt;&gt;"",F390&lt;&gt;"",RIGHT($N390,6)="tarief",F390="Vergoeding"),SUM(O390)*FLOOR(SUM(Q390),0.0001),AND(O390&lt;&gt;"",F390&lt;&gt;"",RIGHT($N390,6)="tarief"),SUM(O390)*FLOOR(SUM(Q390),0.01),S390&gt;0,IF(F390&lt;&gt;"",FLOOR(SUM(S390),0.01),"")),""),""),"")</f>
        <v/>
      </c>
      <c r="X390" s="314" t="str" cm="1">
        <f t="array" aca="1" ref="X390" ca="1">IFERROR(IF(AE390&lt;&gt;"ja",_xlfn.IFNA(_xlfn.IFS(AND(P390&lt;&gt;"",R390&lt;&gt;"",RIGHT($N390,6)="tarief",F390="Vergoeding"),SUM(P390)*FLOOR(SUM(R390),0.0001),AND(P390&lt;&gt;"",R390&lt;&gt;"",RIGHT($N390,6)="tarief"),P390*FLOOR(R390,0.01),T390&gt;0,FLOOR(SUM(T390),0.01)),""),""),"")</f>
        <v/>
      </c>
      <c r="Y390" s="314" t="str">
        <f t="shared" ca="1" si="26"/>
        <v/>
      </c>
      <c r="Z390" s="314" t="str" cm="1">
        <f t="array" aca="1" ref="Z390" ca="1">IFERROR(_xlfn.IFS(OR(F390="",LEFT(Methode_Keuze,4)="Geen",Methode_Keuze=""),"",AND(W390&lt;&gt;"",F390&lt;&gt;"Arbeidskosten"),W390*VLOOKUP(F390,Tb_ProjectKosten[],MATCH(Tb_ProjectKosten[[#Headers],[Forfait_Percentage]],Tb_ProjectKosten[#Headers],0),0),AND(F390="Arbeidskosten",G390&lt;&gt;""),IFERROR(W390*VLOOKUP(G390,Tb_KostenTypen[],3,0)*VLOOKUP(F390,Tb_ProjectKosten[],MATCH(Tb_ProjectKosten[[#Headers],[Forfait_Percentage]],Tb_ProjectKosten[#Headers],0),0),""),W390 &lt;=0,0),"")</f>
        <v/>
      </c>
      <c r="AA390" s="314" t="str" cm="1">
        <f t="array" aca="1" ref="AA390" ca="1">IFERROR(_xlfn.IFS(OR(F390="",LEFT(Methode_Keuze,4)="Geen",Methode_Keuze=""),"",AND(X390&lt;&gt;"",F390&lt;&gt;"Arbeidskosten"),X390*VLOOKUP(F390,Tb_ProjectKosten[],MATCH(Tb_ProjectKosten[[#Headers],[Forfait_Percentage]],Tb_ProjectKosten[#Headers],0),0),AND(F390="Arbeidskosten",G390&lt;&gt;""),IFERROR(X390*VLOOKUP(G390,Tb_KostenTypen[],3,0)*VLOOKUP(F390,Tb_ProjectKosten[],MATCH(Tb_ProjectKosten[[#Headers],[Forfait_Percentage]],Tb_ProjectKosten[#Headers],0),0),""),X390 &lt;=0,0),"")</f>
        <v/>
      </c>
      <c r="AB390" s="314" t="str">
        <f t="shared" ca="1" si="27"/>
        <v/>
      </c>
      <c r="AC390" s="322"/>
      <c r="AD390" s="315"/>
      <c r="AE390" s="32" t="str" cm="1">
        <f t="array" ref="AE390">IFERROR(IF(INDEX(SubsidieTabel!$AD$1:$AG$12,MATCH($F390,SubsidieTabel!$AD$1:$AD$12,0),IFERROR(MATCH(Methode_Keuze,SubsidieTabel!$AD$1:$AG$1,0),2))&lt;&gt;1=TRUE,"ja",""),"")</f>
        <v/>
      </c>
    </row>
    <row r="391" spans="1:31" x14ac:dyDescent="0.25">
      <c r="A391" s="316"/>
      <c r="B391" s="317" t="str">
        <f>IF(A391&lt;&gt;"",_xlfn.MAXIFS($B$1:B390,$A$1:A390,A391)+1,"")</f>
        <v/>
      </c>
      <c r="C391" s="296"/>
      <c r="D391" s="296"/>
      <c r="E391" s="296"/>
      <c r="F391" s="296"/>
      <c r="G391" s="326"/>
      <c r="H391" s="324"/>
      <c r="I391" s="325"/>
      <c r="J391" s="325"/>
      <c r="K391" s="318"/>
      <c r="L391" s="318"/>
      <c r="M391" s="319" t="str">
        <f>IFERROR(VLOOKUP(H391,Lijsten!$H$1:$I$100,2,0),"")</f>
        <v/>
      </c>
      <c r="N391" s="319" t="str">
        <f ca="1">IFERROR(IF(VLOOKUP(F391,Kostentypen!$A$3:$E$21,3,0)=0,"",IF(OR(F391="Arbeidskosten",F391="Vergoeding"),VLOOKUP(G391,Tb_KostenTypen[],2,0),VLOOKUP(F391,Kostentypen!$A$3:$E$20,3,0))),"")</f>
        <v/>
      </c>
      <c r="O391" s="320" t="str" cm="1">
        <f t="array" ref="O391">_xlfn.IFNA(IF(INDEX(Tb_KostenOptiesDB[],MATCH($F391,Tb_KostenOptiesDB[KostenOptie],0),IFERROR(MATCH(Methode_Keuze,Tb_KostenOptiesDB[#Headers],0),2))=1,_xlfn.SWITCH($N391,"Uurtarief",IF(OR(AND(RIGHT($F391,3)="IKS",VLOOKUP($M391,DB_Loonkosten,2,0)="Ja"),AND(RIGHT($F391,3)&lt;&gt;"IKS",VLOOKUP($M391,DB_Loonkosten,2,0)="Nee")),IFERROR(VLOOKUP($M391,DB_Loonkosten,24,0),""),0),"Vast tarief",IF(LEFT(F391,8)="Bijdrage",VLOOKUP($F391,Tb_KostenTypen[],MATCH(Lijsten!$P$1,Tb_KostenTypen[#Headers],0),0),VLOOKUP($G391,Lijsten!L:P,MATCH(Lijsten!$P$1,Kop_Tarief_Vast,0),0))),""),"")</f>
        <v/>
      </c>
      <c r="P391" s="320" t="str" cm="1">
        <f t="array" ref="P391">_xlfn.IFNA(IF(INDEX(Tb_KostenOptiesDB[],MATCH($F391,Tb_KostenOptiesDB[KostenOptie],0),IFERROR(MATCH(Methode_Keuze,Tb_KostenOptiesDB[#Headers],0),2))=1,_xlfn.SWITCH($N391,"Uurtarief",IF(OR(AND(RIGHT($F391,3)="IKS",VLOOKUP($M391,DB_Loonkosten,2,0)="Ja"),AND(RIGHT($F391,3)&lt;&gt;"IKS",VLOOKUP($M391,DB_Loonkosten,2,0)="Nee")),IFERROR(VLOOKUP($M391,DB_Loonkosten,25,0),""),0),"Vast tarief",IF(LEFT(F391,8)="Bijdrage",VLOOKUP($F391,Tb_KostenTypen[],MATCH(Lijsten!$P$1,Tb_KostenTypen[#Headers],0),0),VLOOKUP($G391,Lijsten!L:P,MATCH(Lijsten!$P$1,Kop_Tarief_Vast,0),0))),""),"")</f>
        <v/>
      </c>
      <c r="Q391" s="359"/>
      <c r="R391" s="359"/>
      <c r="S391" s="321"/>
      <c r="T391" s="321"/>
      <c r="U391" s="373" t="str">
        <f t="shared" si="24"/>
        <v/>
      </c>
      <c r="V391" s="314" t="str">
        <f t="shared" si="25"/>
        <v/>
      </c>
      <c r="W391" s="314" t="str" cm="1">
        <f t="array" aca="1" ref="W391" ca="1">IFERROR(IF(AE391&lt;&gt;"ja",_xlfn.IFNA(_xlfn.IFS(AND(O391&lt;&gt;"",F391&lt;&gt;"",RIGHT($N391,6)="tarief",F391="Vergoeding"),SUM(O391)*FLOOR(SUM(Q391),0.0001),AND(O391&lt;&gt;"",F391&lt;&gt;"",RIGHT($N391,6)="tarief"),SUM(O391)*FLOOR(SUM(Q391),0.01),S391&gt;0,IF(F391&lt;&gt;"",FLOOR(SUM(S391),0.01),"")),""),""),"")</f>
        <v/>
      </c>
      <c r="X391" s="314" t="str" cm="1">
        <f t="array" aca="1" ref="X391" ca="1">IFERROR(IF(AE391&lt;&gt;"ja",_xlfn.IFNA(_xlfn.IFS(AND(P391&lt;&gt;"",R391&lt;&gt;"",RIGHT($N391,6)="tarief",F391="Vergoeding"),SUM(P391)*FLOOR(SUM(R391),0.0001),AND(P391&lt;&gt;"",R391&lt;&gt;"",RIGHT($N391,6)="tarief"),P391*FLOOR(R391,0.01),T391&gt;0,FLOOR(SUM(T391),0.01)),""),""),"")</f>
        <v/>
      </c>
      <c r="Y391" s="314" t="str">
        <f t="shared" ca="1" si="26"/>
        <v/>
      </c>
      <c r="Z391" s="314" t="str" cm="1">
        <f t="array" aca="1" ref="Z391" ca="1">IFERROR(_xlfn.IFS(OR(F391="",LEFT(Methode_Keuze,4)="Geen",Methode_Keuze=""),"",AND(W391&lt;&gt;"",F391&lt;&gt;"Arbeidskosten"),W391*VLOOKUP(F391,Tb_ProjectKosten[],MATCH(Tb_ProjectKosten[[#Headers],[Forfait_Percentage]],Tb_ProjectKosten[#Headers],0),0),AND(F391="Arbeidskosten",G391&lt;&gt;""),IFERROR(W391*VLOOKUP(G391,Tb_KostenTypen[],3,0)*VLOOKUP(F391,Tb_ProjectKosten[],MATCH(Tb_ProjectKosten[[#Headers],[Forfait_Percentage]],Tb_ProjectKosten[#Headers],0),0),""),W391 &lt;=0,0),"")</f>
        <v/>
      </c>
      <c r="AA391" s="314" t="str" cm="1">
        <f t="array" aca="1" ref="AA391" ca="1">IFERROR(_xlfn.IFS(OR(F391="",LEFT(Methode_Keuze,4)="Geen",Methode_Keuze=""),"",AND(X391&lt;&gt;"",F391&lt;&gt;"Arbeidskosten"),X391*VLOOKUP(F391,Tb_ProjectKosten[],MATCH(Tb_ProjectKosten[[#Headers],[Forfait_Percentage]],Tb_ProjectKosten[#Headers],0),0),AND(F391="Arbeidskosten",G391&lt;&gt;""),IFERROR(X391*VLOOKUP(G391,Tb_KostenTypen[],3,0)*VLOOKUP(F391,Tb_ProjectKosten[],MATCH(Tb_ProjectKosten[[#Headers],[Forfait_Percentage]],Tb_ProjectKosten[#Headers],0),0),""),X391 &lt;=0,0),"")</f>
        <v/>
      </c>
      <c r="AB391" s="314" t="str">
        <f t="shared" ca="1" si="27"/>
        <v/>
      </c>
      <c r="AC391" s="322"/>
      <c r="AD391" s="315"/>
      <c r="AE391" s="32" t="str" cm="1">
        <f t="array" ref="AE391">IFERROR(IF(INDEX(SubsidieTabel!$AD$1:$AG$12,MATCH($F391,SubsidieTabel!$AD$1:$AD$12,0),IFERROR(MATCH(Methode_Keuze,SubsidieTabel!$AD$1:$AG$1,0),2))&lt;&gt;1=TRUE,"ja",""),"")</f>
        <v/>
      </c>
    </row>
    <row r="392" spans="1:31" x14ac:dyDescent="0.25">
      <c r="A392" s="316"/>
      <c r="B392" s="317" t="str">
        <f>IF(A392&lt;&gt;"",_xlfn.MAXIFS($B$1:B391,$A$1:A391,A392)+1,"")</f>
        <v/>
      </c>
      <c r="C392" s="296"/>
      <c r="D392" s="296"/>
      <c r="E392" s="296"/>
      <c r="F392" s="296"/>
      <c r="G392" s="326"/>
      <c r="H392" s="324"/>
      <c r="I392" s="325"/>
      <c r="J392" s="325"/>
      <c r="K392" s="318"/>
      <c r="L392" s="318"/>
      <c r="M392" s="319" t="str">
        <f>IFERROR(VLOOKUP(H392,Lijsten!$H$1:$I$100,2,0),"")</f>
        <v/>
      </c>
      <c r="N392" s="319" t="str">
        <f ca="1">IFERROR(IF(VLOOKUP(F392,Kostentypen!$A$3:$E$21,3,0)=0,"",IF(OR(F392="Arbeidskosten",F392="Vergoeding"),VLOOKUP(G392,Tb_KostenTypen[],2,0),VLOOKUP(F392,Kostentypen!$A$3:$E$20,3,0))),"")</f>
        <v/>
      </c>
      <c r="O392" s="320" t="str" cm="1">
        <f t="array" ref="O392">_xlfn.IFNA(IF(INDEX(Tb_KostenOptiesDB[],MATCH($F392,Tb_KostenOptiesDB[KostenOptie],0),IFERROR(MATCH(Methode_Keuze,Tb_KostenOptiesDB[#Headers],0),2))=1,_xlfn.SWITCH($N392,"Uurtarief",IF(OR(AND(RIGHT($F392,3)="IKS",VLOOKUP($M392,DB_Loonkosten,2,0)="Ja"),AND(RIGHT($F392,3)&lt;&gt;"IKS",VLOOKUP($M392,DB_Loonkosten,2,0)="Nee")),IFERROR(VLOOKUP($M392,DB_Loonkosten,24,0),""),0),"Vast tarief",IF(LEFT(F392,8)="Bijdrage",VLOOKUP($F392,Tb_KostenTypen[],MATCH(Lijsten!$P$1,Tb_KostenTypen[#Headers],0),0),VLOOKUP($G392,Lijsten!L:P,MATCH(Lijsten!$P$1,Kop_Tarief_Vast,0),0))),""),"")</f>
        <v/>
      </c>
      <c r="P392" s="320" t="str" cm="1">
        <f t="array" ref="P392">_xlfn.IFNA(IF(INDEX(Tb_KostenOptiesDB[],MATCH($F392,Tb_KostenOptiesDB[KostenOptie],0),IFERROR(MATCH(Methode_Keuze,Tb_KostenOptiesDB[#Headers],0),2))=1,_xlfn.SWITCH($N392,"Uurtarief",IF(OR(AND(RIGHT($F392,3)="IKS",VLOOKUP($M392,DB_Loonkosten,2,0)="Ja"),AND(RIGHT($F392,3)&lt;&gt;"IKS",VLOOKUP($M392,DB_Loonkosten,2,0)="Nee")),IFERROR(VLOOKUP($M392,DB_Loonkosten,25,0),""),0),"Vast tarief",IF(LEFT(F392,8)="Bijdrage",VLOOKUP($F392,Tb_KostenTypen[],MATCH(Lijsten!$P$1,Tb_KostenTypen[#Headers],0),0),VLOOKUP($G392,Lijsten!L:P,MATCH(Lijsten!$P$1,Kop_Tarief_Vast,0),0))),""),"")</f>
        <v/>
      </c>
      <c r="Q392" s="359"/>
      <c r="R392" s="359"/>
      <c r="S392" s="321"/>
      <c r="T392" s="321"/>
      <c r="U392" s="373" t="str">
        <f t="shared" si="24"/>
        <v/>
      </c>
      <c r="V392" s="314" t="str">
        <f t="shared" si="25"/>
        <v/>
      </c>
      <c r="W392" s="314" t="str" cm="1">
        <f t="array" aca="1" ref="W392" ca="1">IFERROR(IF(AE392&lt;&gt;"ja",_xlfn.IFNA(_xlfn.IFS(AND(O392&lt;&gt;"",F392&lt;&gt;"",RIGHT($N392,6)="tarief",F392="Vergoeding"),SUM(O392)*FLOOR(SUM(Q392),0.0001),AND(O392&lt;&gt;"",F392&lt;&gt;"",RIGHT($N392,6)="tarief"),SUM(O392)*FLOOR(SUM(Q392),0.01),S392&gt;0,IF(F392&lt;&gt;"",FLOOR(SUM(S392),0.01),"")),""),""),"")</f>
        <v/>
      </c>
      <c r="X392" s="314" t="str" cm="1">
        <f t="array" aca="1" ref="X392" ca="1">IFERROR(IF(AE392&lt;&gt;"ja",_xlfn.IFNA(_xlfn.IFS(AND(P392&lt;&gt;"",R392&lt;&gt;"",RIGHT($N392,6)="tarief",F392="Vergoeding"),SUM(P392)*FLOOR(SUM(R392),0.0001),AND(P392&lt;&gt;"",R392&lt;&gt;"",RIGHT($N392,6)="tarief"),P392*FLOOR(R392,0.01),T392&gt;0,FLOOR(SUM(T392),0.01)),""),""),"")</f>
        <v/>
      </c>
      <c r="Y392" s="314" t="str">
        <f t="shared" ca="1" si="26"/>
        <v/>
      </c>
      <c r="Z392" s="314" t="str" cm="1">
        <f t="array" aca="1" ref="Z392" ca="1">IFERROR(_xlfn.IFS(OR(F392="",LEFT(Methode_Keuze,4)="Geen",Methode_Keuze=""),"",AND(W392&lt;&gt;"",F392&lt;&gt;"Arbeidskosten"),W392*VLOOKUP(F392,Tb_ProjectKosten[],MATCH(Tb_ProjectKosten[[#Headers],[Forfait_Percentage]],Tb_ProjectKosten[#Headers],0),0),AND(F392="Arbeidskosten",G392&lt;&gt;""),IFERROR(W392*VLOOKUP(G392,Tb_KostenTypen[],3,0)*VLOOKUP(F392,Tb_ProjectKosten[],MATCH(Tb_ProjectKosten[[#Headers],[Forfait_Percentage]],Tb_ProjectKosten[#Headers],0),0),""),W392 &lt;=0,0),"")</f>
        <v/>
      </c>
      <c r="AA392" s="314" t="str" cm="1">
        <f t="array" aca="1" ref="AA392" ca="1">IFERROR(_xlfn.IFS(OR(F392="",LEFT(Methode_Keuze,4)="Geen",Methode_Keuze=""),"",AND(X392&lt;&gt;"",F392&lt;&gt;"Arbeidskosten"),X392*VLOOKUP(F392,Tb_ProjectKosten[],MATCH(Tb_ProjectKosten[[#Headers],[Forfait_Percentage]],Tb_ProjectKosten[#Headers],0),0),AND(F392="Arbeidskosten",G392&lt;&gt;""),IFERROR(X392*VLOOKUP(G392,Tb_KostenTypen[],3,0)*VLOOKUP(F392,Tb_ProjectKosten[],MATCH(Tb_ProjectKosten[[#Headers],[Forfait_Percentage]],Tb_ProjectKosten[#Headers],0),0),""),X392 &lt;=0,0),"")</f>
        <v/>
      </c>
      <c r="AB392" s="314" t="str">
        <f t="shared" ca="1" si="27"/>
        <v/>
      </c>
      <c r="AC392" s="322"/>
      <c r="AD392" s="315"/>
      <c r="AE392" s="32" t="str" cm="1">
        <f t="array" ref="AE392">IFERROR(IF(INDEX(SubsidieTabel!$AD$1:$AG$12,MATCH($F392,SubsidieTabel!$AD$1:$AD$12,0),IFERROR(MATCH(Methode_Keuze,SubsidieTabel!$AD$1:$AG$1,0),2))&lt;&gt;1=TRUE,"ja",""),"")</f>
        <v/>
      </c>
    </row>
    <row r="393" spans="1:31" x14ac:dyDescent="0.25">
      <c r="A393" s="316"/>
      <c r="B393" s="317" t="str">
        <f>IF(A393&lt;&gt;"",_xlfn.MAXIFS($B$1:B392,$A$1:A392,A393)+1,"")</f>
        <v/>
      </c>
      <c r="C393" s="296"/>
      <c r="D393" s="296"/>
      <c r="E393" s="296"/>
      <c r="F393" s="296"/>
      <c r="G393" s="326"/>
      <c r="H393" s="324"/>
      <c r="I393" s="325"/>
      <c r="J393" s="325"/>
      <c r="K393" s="318"/>
      <c r="L393" s="318"/>
      <c r="M393" s="319" t="str">
        <f>IFERROR(VLOOKUP(H393,Lijsten!$H$1:$I$100,2,0),"")</f>
        <v/>
      </c>
      <c r="N393" s="319" t="str">
        <f ca="1">IFERROR(IF(VLOOKUP(F393,Kostentypen!$A$3:$E$21,3,0)=0,"",IF(OR(F393="Arbeidskosten",F393="Vergoeding"),VLOOKUP(G393,Tb_KostenTypen[],2,0),VLOOKUP(F393,Kostentypen!$A$3:$E$20,3,0))),"")</f>
        <v/>
      </c>
      <c r="O393" s="320" t="str" cm="1">
        <f t="array" ref="O393">_xlfn.IFNA(IF(INDEX(Tb_KostenOptiesDB[],MATCH($F393,Tb_KostenOptiesDB[KostenOptie],0),IFERROR(MATCH(Methode_Keuze,Tb_KostenOptiesDB[#Headers],0),2))=1,_xlfn.SWITCH($N393,"Uurtarief",IF(OR(AND(RIGHT($F393,3)="IKS",VLOOKUP($M393,DB_Loonkosten,2,0)="Ja"),AND(RIGHT($F393,3)&lt;&gt;"IKS",VLOOKUP($M393,DB_Loonkosten,2,0)="Nee")),IFERROR(VLOOKUP($M393,DB_Loonkosten,24,0),""),0),"Vast tarief",IF(LEFT(F393,8)="Bijdrage",VLOOKUP($F393,Tb_KostenTypen[],MATCH(Lijsten!$P$1,Tb_KostenTypen[#Headers],0),0),VLOOKUP($G393,Lijsten!L:P,MATCH(Lijsten!$P$1,Kop_Tarief_Vast,0),0))),""),"")</f>
        <v/>
      </c>
      <c r="P393" s="320" t="str" cm="1">
        <f t="array" ref="P393">_xlfn.IFNA(IF(INDEX(Tb_KostenOptiesDB[],MATCH($F393,Tb_KostenOptiesDB[KostenOptie],0),IFERROR(MATCH(Methode_Keuze,Tb_KostenOptiesDB[#Headers],0),2))=1,_xlfn.SWITCH($N393,"Uurtarief",IF(OR(AND(RIGHT($F393,3)="IKS",VLOOKUP($M393,DB_Loonkosten,2,0)="Ja"),AND(RIGHT($F393,3)&lt;&gt;"IKS",VLOOKUP($M393,DB_Loonkosten,2,0)="Nee")),IFERROR(VLOOKUP($M393,DB_Loonkosten,25,0),""),0),"Vast tarief",IF(LEFT(F393,8)="Bijdrage",VLOOKUP($F393,Tb_KostenTypen[],MATCH(Lijsten!$P$1,Tb_KostenTypen[#Headers],0),0),VLOOKUP($G393,Lijsten!L:P,MATCH(Lijsten!$P$1,Kop_Tarief_Vast,0),0))),""),"")</f>
        <v/>
      </c>
      <c r="Q393" s="359"/>
      <c r="R393" s="359"/>
      <c r="S393" s="321"/>
      <c r="T393" s="321"/>
      <c r="U393" s="373" t="str">
        <f t="shared" si="24"/>
        <v/>
      </c>
      <c r="V393" s="314" t="str">
        <f t="shared" si="25"/>
        <v/>
      </c>
      <c r="W393" s="314" t="str" cm="1">
        <f t="array" aca="1" ref="W393" ca="1">IFERROR(IF(AE393&lt;&gt;"ja",_xlfn.IFNA(_xlfn.IFS(AND(O393&lt;&gt;"",F393&lt;&gt;"",RIGHT($N393,6)="tarief",F393="Vergoeding"),SUM(O393)*FLOOR(SUM(Q393),0.0001),AND(O393&lt;&gt;"",F393&lt;&gt;"",RIGHT($N393,6)="tarief"),SUM(O393)*FLOOR(SUM(Q393),0.01),S393&gt;0,IF(F393&lt;&gt;"",FLOOR(SUM(S393),0.01),"")),""),""),"")</f>
        <v/>
      </c>
      <c r="X393" s="314" t="str" cm="1">
        <f t="array" aca="1" ref="X393" ca="1">IFERROR(IF(AE393&lt;&gt;"ja",_xlfn.IFNA(_xlfn.IFS(AND(P393&lt;&gt;"",R393&lt;&gt;"",RIGHT($N393,6)="tarief",F393="Vergoeding"),SUM(P393)*FLOOR(SUM(R393),0.0001),AND(P393&lt;&gt;"",R393&lt;&gt;"",RIGHT($N393,6)="tarief"),P393*FLOOR(R393,0.01),T393&gt;0,FLOOR(SUM(T393),0.01)),""),""),"")</f>
        <v/>
      </c>
      <c r="Y393" s="314" t="str">
        <f t="shared" ca="1" si="26"/>
        <v/>
      </c>
      <c r="Z393" s="314" t="str" cm="1">
        <f t="array" aca="1" ref="Z393" ca="1">IFERROR(_xlfn.IFS(OR(F393="",LEFT(Methode_Keuze,4)="Geen",Methode_Keuze=""),"",AND(W393&lt;&gt;"",F393&lt;&gt;"Arbeidskosten"),W393*VLOOKUP(F393,Tb_ProjectKosten[],MATCH(Tb_ProjectKosten[[#Headers],[Forfait_Percentage]],Tb_ProjectKosten[#Headers],0),0),AND(F393="Arbeidskosten",G393&lt;&gt;""),IFERROR(W393*VLOOKUP(G393,Tb_KostenTypen[],3,0)*VLOOKUP(F393,Tb_ProjectKosten[],MATCH(Tb_ProjectKosten[[#Headers],[Forfait_Percentage]],Tb_ProjectKosten[#Headers],0),0),""),W393 &lt;=0,0),"")</f>
        <v/>
      </c>
      <c r="AA393" s="314" t="str" cm="1">
        <f t="array" aca="1" ref="AA393" ca="1">IFERROR(_xlfn.IFS(OR(F393="",LEFT(Methode_Keuze,4)="Geen",Methode_Keuze=""),"",AND(X393&lt;&gt;"",F393&lt;&gt;"Arbeidskosten"),X393*VLOOKUP(F393,Tb_ProjectKosten[],MATCH(Tb_ProjectKosten[[#Headers],[Forfait_Percentage]],Tb_ProjectKosten[#Headers],0),0),AND(F393="Arbeidskosten",G393&lt;&gt;""),IFERROR(X393*VLOOKUP(G393,Tb_KostenTypen[],3,0)*VLOOKUP(F393,Tb_ProjectKosten[],MATCH(Tb_ProjectKosten[[#Headers],[Forfait_Percentage]],Tb_ProjectKosten[#Headers],0),0),""),X393 &lt;=0,0),"")</f>
        <v/>
      </c>
      <c r="AB393" s="314" t="str">
        <f t="shared" ca="1" si="27"/>
        <v/>
      </c>
      <c r="AC393" s="322"/>
      <c r="AD393" s="315"/>
      <c r="AE393" s="32" t="str" cm="1">
        <f t="array" ref="AE393">IFERROR(IF(INDEX(SubsidieTabel!$AD$1:$AG$12,MATCH($F393,SubsidieTabel!$AD$1:$AD$12,0),IFERROR(MATCH(Methode_Keuze,SubsidieTabel!$AD$1:$AG$1,0),2))&lt;&gt;1=TRUE,"ja",""),"")</f>
        <v/>
      </c>
    </row>
    <row r="394" spans="1:31" x14ac:dyDescent="0.25">
      <c r="A394" s="316"/>
      <c r="B394" s="317" t="str">
        <f>IF(A394&lt;&gt;"",_xlfn.MAXIFS($B$1:B393,$A$1:A393,A394)+1,"")</f>
        <v/>
      </c>
      <c r="C394" s="296"/>
      <c r="D394" s="296"/>
      <c r="E394" s="296"/>
      <c r="F394" s="296"/>
      <c r="G394" s="326"/>
      <c r="H394" s="324"/>
      <c r="I394" s="325"/>
      <c r="J394" s="325"/>
      <c r="K394" s="318"/>
      <c r="L394" s="318"/>
      <c r="M394" s="319" t="str">
        <f>IFERROR(VLOOKUP(H394,Lijsten!$H$1:$I$100,2,0),"")</f>
        <v/>
      </c>
      <c r="N394" s="319" t="str">
        <f ca="1">IFERROR(IF(VLOOKUP(F394,Kostentypen!$A$3:$E$21,3,0)=0,"",IF(OR(F394="Arbeidskosten",F394="Vergoeding"),VLOOKUP(G394,Tb_KostenTypen[],2,0),VLOOKUP(F394,Kostentypen!$A$3:$E$20,3,0))),"")</f>
        <v/>
      </c>
      <c r="O394" s="320" t="str" cm="1">
        <f t="array" ref="O394">_xlfn.IFNA(IF(INDEX(Tb_KostenOptiesDB[],MATCH($F394,Tb_KostenOptiesDB[KostenOptie],0),IFERROR(MATCH(Methode_Keuze,Tb_KostenOptiesDB[#Headers],0),2))=1,_xlfn.SWITCH($N394,"Uurtarief",IF(OR(AND(RIGHT($F394,3)="IKS",VLOOKUP($M394,DB_Loonkosten,2,0)="Ja"),AND(RIGHT($F394,3)&lt;&gt;"IKS",VLOOKUP($M394,DB_Loonkosten,2,0)="Nee")),IFERROR(VLOOKUP($M394,DB_Loonkosten,24,0),""),0),"Vast tarief",IF(LEFT(F394,8)="Bijdrage",VLOOKUP($F394,Tb_KostenTypen[],MATCH(Lijsten!$P$1,Tb_KostenTypen[#Headers],0),0),VLOOKUP($G394,Lijsten!L:P,MATCH(Lijsten!$P$1,Kop_Tarief_Vast,0),0))),""),"")</f>
        <v/>
      </c>
      <c r="P394" s="320" t="str" cm="1">
        <f t="array" ref="P394">_xlfn.IFNA(IF(INDEX(Tb_KostenOptiesDB[],MATCH($F394,Tb_KostenOptiesDB[KostenOptie],0),IFERROR(MATCH(Methode_Keuze,Tb_KostenOptiesDB[#Headers],0),2))=1,_xlfn.SWITCH($N394,"Uurtarief",IF(OR(AND(RIGHT($F394,3)="IKS",VLOOKUP($M394,DB_Loonkosten,2,0)="Ja"),AND(RIGHT($F394,3)&lt;&gt;"IKS",VLOOKUP($M394,DB_Loonkosten,2,0)="Nee")),IFERROR(VLOOKUP($M394,DB_Loonkosten,25,0),""),0),"Vast tarief",IF(LEFT(F394,8)="Bijdrage",VLOOKUP($F394,Tb_KostenTypen[],MATCH(Lijsten!$P$1,Tb_KostenTypen[#Headers],0),0),VLOOKUP($G394,Lijsten!L:P,MATCH(Lijsten!$P$1,Kop_Tarief_Vast,0),0))),""),"")</f>
        <v/>
      </c>
      <c r="Q394" s="359"/>
      <c r="R394" s="359"/>
      <c r="S394" s="321"/>
      <c r="T394" s="321"/>
      <c r="U394" s="373" t="str">
        <f t="shared" si="24"/>
        <v/>
      </c>
      <c r="V394" s="314" t="str">
        <f t="shared" si="25"/>
        <v/>
      </c>
      <c r="W394" s="314" t="str" cm="1">
        <f t="array" aca="1" ref="W394" ca="1">IFERROR(IF(AE394&lt;&gt;"ja",_xlfn.IFNA(_xlfn.IFS(AND(O394&lt;&gt;"",F394&lt;&gt;"",RIGHT($N394,6)="tarief",F394="Vergoeding"),SUM(O394)*FLOOR(SUM(Q394),0.0001),AND(O394&lt;&gt;"",F394&lt;&gt;"",RIGHT($N394,6)="tarief"),SUM(O394)*FLOOR(SUM(Q394),0.01),S394&gt;0,IF(F394&lt;&gt;"",FLOOR(SUM(S394),0.01),"")),""),""),"")</f>
        <v/>
      </c>
      <c r="X394" s="314" t="str" cm="1">
        <f t="array" aca="1" ref="X394" ca="1">IFERROR(IF(AE394&lt;&gt;"ja",_xlfn.IFNA(_xlfn.IFS(AND(P394&lt;&gt;"",R394&lt;&gt;"",RIGHT($N394,6)="tarief",F394="Vergoeding"),SUM(P394)*FLOOR(SUM(R394),0.0001),AND(P394&lt;&gt;"",R394&lt;&gt;"",RIGHT($N394,6)="tarief"),P394*FLOOR(R394,0.01),T394&gt;0,FLOOR(SUM(T394),0.01)),""),""),"")</f>
        <v/>
      </c>
      <c r="Y394" s="314" t="str">
        <f t="shared" ca="1" si="26"/>
        <v/>
      </c>
      <c r="Z394" s="314" t="str" cm="1">
        <f t="array" aca="1" ref="Z394" ca="1">IFERROR(_xlfn.IFS(OR(F394="",LEFT(Methode_Keuze,4)="Geen",Methode_Keuze=""),"",AND(W394&lt;&gt;"",F394&lt;&gt;"Arbeidskosten"),W394*VLOOKUP(F394,Tb_ProjectKosten[],MATCH(Tb_ProjectKosten[[#Headers],[Forfait_Percentage]],Tb_ProjectKosten[#Headers],0),0),AND(F394="Arbeidskosten",G394&lt;&gt;""),IFERROR(W394*VLOOKUP(G394,Tb_KostenTypen[],3,0)*VLOOKUP(F394,Tb_ProjectKosten[],MATCH(Tb_ProjectKosten[[#Headers],[Forfait_Percentage]],Tb_ProjectKosten[#Headers],0),0),""),W394 &lt;=0,0),"")</f>
        <v/>
      </c>
      <c r="AA394" s="314" t="str" cm="1">
        <f t="array" aca="1" ref="AA394" ca="1">IFERROR(_xlfn.IFS(OR(F394="",LEFT(Methode_Keuze,4)="Geen",Methode_Keuze=""),"",AND(X394&lt;&gt;"",F394&lt;&gt;"Arbeidskosten"),X394*VLOOKUP(F394,Tb_ProjectKosten[],MATCH(Tb_ProjectKosten[[#Headers],[Forfait_Percentage]],Tb_ProjectKosten[#Headers],0),0),AND(F394="Arbeidskosten",G394&lt;&gt;""),IFERROR(X394*VLOOKUP(G394,Tb_KostenTypen[],3,0)*VLOOKUP(F394,Tb_ProjectKosten[],MATCH(Tb_ProjectKosten[[#Headers],[Forfait_Percentage]],Tb_ProjectKosten[#Headers],0),0),""),X394 &lt;=0,0),"")</f>
        <v/>
      </c>
      <c r="AB394" s="314" t="str">
        <f t="shared" ca="1" si="27"/>
        <v/>
      </c>
      <c r="AC394" s="322"/>
      <c r="AD394" s="315"/>
      <c r="AE394" s="32" t="str" cm="1">
        <f t="array" ref="AE394">IFERROR(IF(INDEX(SubsidieTabel!$AD$1:$AG$12,MATCH($F394,SubsidieTabel!$AD$1:$AD$12,0),IFERROR(MATCH(Methode_Keuze,SubsidieTabel!$AD$1:$AG$1,0),2))&lt;&gt;1=TRUE,"ja",""),"")</f>
        <v/>
      </c>
    </row>
    <row r="395" spans="1:31" x14ac:dyDescent="0.25">
      <c r="A395" s="316"/>
      <c r="B395" s="317" t="str">
        <f>IF(A395&lt;&gt;"",_xlfn.MAXIFS($B$1:B394,$A$1:A394,A395)+1,"")</f>
        <v/>
      </c>
      <c r="C395" s="296"/>
      <c r="D395" s="296"/>
      <c r="E395" s="296"/>
      <c r="F395" s="296"/>
      <c r="G395" s="326"/>
      <c r="H395" s="324"/>
      <c r="I395" s="325"/>
      <c r="J395" s="325"/>
      <c r="K395" s="318"/>
      <c r="L395" s="318"/>
      <c r="M395" s="319" t="str">
        <f>IFERROR(VLOOKUP(H395,Lijsten!$H$1:$I$100,2,0),"")</f>
        <v/>
      </c>
      <c r="N395" s="319" t="str">
        <f ca="1">IFERROR(IF(VLOOKUP(F395,Kostentypen!$A$3:$E$21,3,0)=0,"",IF(OR(F395="Arbeidskosten",F395="Vergoeding"),VLOOKUP(G395,Tb_KostenTypen[],2,0),VLOOKUP(F395,Kostentypen!$A$3:$E$20,3,0))),"")</f>
        <v/>
      </c>
      <c r="O395" s="320" t="str" cm="1">
        <f t="array" ref="O395">_xlfn.IFNA(IF(INDEX(Tb_KostenOptiesDB[],MATCH($F395,Tb_KostenOptiesDB[KostenOptie],0),IFERROR(MATCH(Methode_Keuze,Tb_KostenOptiesDB[#Headers],0),2))=1,_xlfn.SWITCH($N395,"Uurtarief",IF(OR(AND(RIGHT($F395,3)="IKS",VLOOKUP($M395,DB_Loonkosten,2,0)="Ja"),AND(RIGHT($F395,3)&lt;&gt;"IKS",VLOOKUP($M395,DB_Loonkosten,2,0)="Nee")),IFERROR(VLOOKUP($M395,DB_Loonkosten,24,0),""),0),"Vast tarief",IF(LEFT(F395,8)="Bijdrage",VLOOKUP($F395,Tb_KostenTypen[],MATCH(Lijsten!$P$1,Tb_KostenTypen[#Headers],0),0),VLOOKUP($G395,Lijsten!L:P,MATCH(Lijsten!$P$1,Kop_Tarief_Vast,0),0))),""),"")</f>
        <v/>
      </c>
      <c r="P395" s="320" t="str" cm="1">
        <f t="array" ref="P395">_xlfn.IFNA(IF(INDEX(Tb_KostenOptiesDB[],MATCH($F395,Tb_KostenOptiesDB[KostenOptie],0),IFERROR(MATCH(Methode_Keuze,Tb_KostenOptiesDB[#Headers],0),2))=1,_xlfn.SWITCH($N395,"Uurtarief",IF(OR(AND(RIGHT($F395,3)="IKS",VLOOKUP($M395,DB_Loonkosten,2,0)="Ja"),AND(RIGHT($F395,3)&lt;&gt;"IKS",VLOOKUP($M395,DB_Loonkosten,2,0)="Nee")),IFERROR(VLOOKUP($M395,DB_Loonkosten,25,0),""),0),"Vast tarief",IF(LEFT(F395,8)="Bijdrage",VLOOKUP($F395,Tb_KostenTypen[],MATCH(Lijsten!$P$1,Tb_KostenTypen[#Headers],0),0),VLOOKUP($G395,Lijsten!L:P,MATCH(Lijsten!$P$1,Kop_Tarief_Vast,0),0))),""),"")</f>
        <v/>
      </c>
      <c r="Q395" s="359"/>
      <c r="R395" s="359"/>
      <c r="S395" s="321"/>
      <c r="T395" s="321"/>
      <c r="U395" s="373" t="str">
        <f t="shared" si="24"/>
        <v/>
      </c>
      <c r="V395" s="314" t="str">
        <f t="shared" si="25"/>
        <v/>
      </c>
      <c r="W395" s="314" t="str" cm="1">
        <f t="array" aca="1" ref="W395" ca="1">IFERROR(IF(AE395&lt;&gt;"ja",_xlfn.IFNA(_xlfn.IFS(AND(O395&lt;&gt;"",F395&lt;&gt;"",RIGHT($N395,6)="tarief",F395="Vergoeding"),SUM(O395)*FLOOR(SUM(Q395),0.0001),AND(O395&lt;&gt;"",F395&lt;&gt;"",RIGHT($N395,6)="tarief"),SUM(O395)*FLOOR(SUM(Q395),0.01),S395&gt;0,IF(F395&lt;&gt;"",FLOOR(SUM(S395),0.01),"")),""),""),"")</f>
        <v/>
      </c>
      <c r="X395" s="314" t="str" cm="1">
        <f t="array" aca="1" ref="X395" ca="1">IFERROR(IF(AE395&lt;&gt;"ja",_xlfn.IFNA(_xlfn.IFS(AND(P395&lt;&gt;"",R395&lt;&gt;"",RIGHT($N395,6)="tarief",F395="Vergoeding"),SUM(P395)*FLOOR(SUM(R395),0.0001),AND(P395&lt;&gt;"",R395&lt;&gt;"",RIGHT($N395,6)="tarief"),P395*FLOOR(R395,0.01),T395&gt;0,FLOOR(SUM(T395),0.01)),""),""),"")</f>
        <v/>
      </c>
      <c r="Y395" s="314" t="str">
        <f t="shared" ca="1" si="26"/>
        <v/>
      </c>
      <c r="Z395" s="314" t="str" cm="1">
        <f t="array" aca="1" ref="Z395" ca="1">IFERROR(_xlfn.IFS(OR(F395="",LEFT(Methode_Keuze,4)="Geen",Methode_Keuze=""),"",AND(W395&lt;&gt;"",F395&lt;&gt;"Arbeidskosten"),W395*VLOOKUP(F395,Tb_ProjectKosten[],MATCH(Tb_ProjectKosten[[#Headers],[Forfait_Percentage]],Tb_ProjectKosten[#Headers],0),0),AND(F395="Arbeidskosten",G395&lt;&gt;""),IFERROR(W395*VLOOKUP(G395,Tb_KostenTypen[],3,0)*VLOOKUP(F395,Tb_ProjectKosten[],MATCH(Tb_ProjectKosten[[#Headers],[Forfait_Percentage]],Tb_ProjectKosten[#Headers],0),0),""),W395 &lt;=0,0),"")</f>
        <v/>
      </c>
      <c r="AA395" s="314" t="str" cm="1">
        <f t="array" aca="1" ref="AA395" ca="1">IFERROR(_xlfn.IFS(OR(F395="",LEFT(Methode_Keuze,4)="Geen",Methode_Keuze=""),"",AND(X395&lt;&gt;"",F395&lt;&gt;"Arbeidskosten"),X395*VLOOKUP(F395,Tb_ProjectKosten[],MATCH(Tb_ProjectKosten[[#Headers],[Forfait_Percentage]],Tb_ProjectKosten[#Headers],0),0),AND(F395="Arbeidskosten",G395&lt;&gt;""),IFERROR(X395*VLOOKUP(G395,Tb_KostenTypen[],3,0)*VLOOKUP(F395,Tb_ProjectKosten[],MATCH(Tb_ProjectKosten[[#Headers],[Forfait_Percentage]],Tb_ProjectKosten[#Headers],0),0),""),X395 &lt;=0,0),"")</f>
        <v/>
      </c>
      <c r="AB395" s="314" t="str">
        <f t="shared" ca="1" si="27"/>
        <v/>
      </c>
      <c r="AC395" s="322"/>
      <c r="AD395" s="315"/>
      <c r="AE395" s="32" t="str" cm="1">
        <f t="array" ref="AE395">IFERROR(IF(INDEX(SubsidieTabel!$AD$1:$AG$12,MATCH($F395,SubsidieTabel!$AD$1:$AD$12,0),IFERROR(MATCH(Methode_Keuze,SubsidieTabel!$AD$1:$AG$1,0),2))&lt;&gt;1=TRUE,"ja",""),"")</f>
        <v/>
      </c>
    </row>
    <row r="396" spans="1:31" x14ac:dyDescent="0.25">
      <c r="A396" s="316"/>
      <c r="B396" s="317" t="str">
        <f>IF(A396&lt;&gt;"",_xlfn.MAXIFS($B$1:B395,$A$1:A395,A396)+1,"")</f>
        <v/>
      </c>
      <c r="C396" s="296"/>
      <c r="D396" s="296"/>
      <c r="E396" s="296"/>
      <c r="F396" s="296"/>
      <c r="G396" s="326"/>
      <c r="H396" s="324"/>
      <c r="I396" s="325"/>
      <c r="J396" s="325"/>
      <c r="K396" s="318"/>
      <c r="L396" s="318"/>
      <c r="M396" s="319" t="str">
        <f>IFERROR(VLOOKUP(H396,Lijsten!$H$1:$I$100,2,0),"")</f>
        <v/>
      </c>
      <c r="N396" s="319" t="str">
        <f ca="1">IFERROR(IF(VLOOKUP(F396,Kostentypen!$A$3:$E$21,3,0)=0,"",IF(OR(F396="Arbeidskosten",F396="Vergoeding"),VLOOKUP(G396,Tb_KostenTypen[],2,0),VLOOKUP(F396,Kostentypen!$A$3:$E$20,3,0))),"")</f>
        <v/>
      </c>
      <c r="O396" s="320" t="str" cm="1">
        <f t="array" ref="O396">_xlfn.IFNA(IF(INDEX(Tb_KostenOptiesDB[],MATCH($F396,Tb_KostenOptiesDB[KostenOptie],0),IFERROR(MATCH(Methode_Keuze,Tb_KostenOptiesDB[#Headers],0),2))=1,_xlfn.SWITCH($N396,"Uurtarief",IF(OR(AND(RIGHT($F396,3)="IKS",VLOOKUP($M396,DB_Loonkosten,2,0)="Ja"),AND(RIGHT($F396,3)&lt;&gt;"IKS",VLOOKUP($M396,DB_Loonkosten,2,0)="Nee")),IFERROR(VLOOKUP($M396,DB_Loonkosten,24,0),""),0),"Vast tarief",IF(LEFT(F396,8)="Bijdrage",VLOOKUP($F396,Tb_KostenTypen[],MATCH(Lijsten!$P$1,Tb_KostenTypen[#Headers],0),0),VLOOKUP($G396,Lijsten!L:P,MATCH(Lijsten!$P$1,Kop_Tarief_Vast,0),0))),""),"")</f>
        <v/>
      </c>
      <c r="P396" s="320" t="str" cm="1">
        <f t="array" ref="P396">_xlfn.IFNA(IF(INDEX(Tb_KostenOptiesDB[],MATCH($F396,Tb_KostenOptiesDB[KostenOptie],0),IFERROR(MATCH(Methode_Keuze,Tb_KostenOptiesDB[#Headers],0),2))=1,_xlfn.SWITCH($N396,"Uurtarief",IF(OR(AND(RIGHT($F396,3)="IKS",VLOOKUP($M396,DB_Loonkosten,2,0)="Ja"),AND(RIGHT($F396,3)&lt;&gt;"IKS",VLOOKUP($M396,DB_Loonkosten,2,0)="Nee")),IFERROR(VLOOKUP($M396,DB_Loonkosten,25,0),""),0),"Vast tarief",IF(LEFT(F396,8)="Bijdrage",VLOOKUP($F396,Tb_KostenTypen[],MATCH(Lijsten!$P$1,Tb_KostenTypen[#Headers],0),0),VLOOKUP($G396,Lijsten!L:P,MATCH(Lijsten!$P$1,Kop_Tarief_Vast,0),0))),""),"")</f>
        <v/>
      </c>
      <c r="Q396" s="359"/>
      <c r="R396" s="359"/>
      <c r="S396" s="321"/>
      <c r="T396" s="321"/>
      <c r="U396" s="373" t="str">
        <f t="shared" si="24"/>
        <v/>
      </c>
      <c r="V396" s="314" t="str">
        <f t="shared" si="25"/>
        <v/>
      </c>
      <c r="W396" s="314" t="str" cm="1">
        <f t="array" aca="1" ref="W396" ca="1">IFERROR(IF(AE396&lt;&gt;"ja",_xlfn.IFNA(_xlfn.IFS(AND(O396&lt;&gt;"",F396&lt;&gt;"",RIGHT($N396,6)="tarief",F396="Vergoeding"),SUM(O396)*FLOOR(SUM(Q396),0.0001),AND(O396&lt;&gt;"",F396&lt;&gt;"",RIGHT($N396,6)="tarief"),SUM(O396)*FLOOR(SUM(Q396),0.01),S396&gt;0,IF(F396&lt;&gt;"",FLOOR(SUM(S396),0.01),"")),""),""),"")</f>
        <v/>
      </c>
      <c r="X396" s="314" t="str" cm="1">
        <f t="array" aca="1" ref="X396" ca="1">IFERROR(IF(AE396&lt;&gt;"ja",_xlfn.IFNA(_xlfn.IFS(AND(P396&lt;&gt;"",R396&lt;&gt;"",RIGHT($N396,6)="tarief",F396="Vergoeding"),SUM(P396)*FLOOR(SUM(R396),0.0001),AND(P396&lt;&gt;"",R396&lt;&gt;"",RIGHT($N396,6)="tarief"),P396*FLOOR(R396,0.01),T396&gt;0,FLOOR(SUM(T396),0.01)),""),""),"")</f>
        <v/>
      </c>
      <c r="Y396" s="314" t="str">
        <f t="shared" ca="1" si="26"/>
        <v/>
      </c>
      <c r="Z396" s="314" t="str" cm="1">
        <f t="array" aca="1" ref="Z396" ca="1">IFERROR(_xlfn.IFS(OR(F396="",LEFT(Methode_Keuze,4)="Geen",Methode_Keuze=""),"",AND(W396&lt;&gt;"",F396&lt;&gt;"Arbeidskosten"),W396*VLOOKUP(F396,Tb_ProjectKosten[],MATCH(Tb_ProjectKosten[[#Headers],[Forfait_Percentage]],Tb_ProjectKosten[#Headers],0),0),AND(F396="Arbeidskosten",G396&lt;&gt;""),IFERROR(W396*VLOOKUP(G396,Tb_KostenTypen[],3,0)*VLOOKUP(F396,Tb_ProjectKosten[],MATCH(Tb_ProjectKosten[[#Headers],[Forfait_Percentage]],Tb_ProjectKosten[#Headers],0),0),""),W396 &lt;=0,0),"")</f>
        <v/>
      </c>
      <c r="AA396" s="314" t="str" cm="1">
        <f t="array" aca="1" ref="AA396" ca="1">IFERROR(_xlfn.IFS(OR(F396="",LEFT(Methode_Keuze,4)="Geen",Methode_Keuze=""),"",AND(X396&lt;&gt;"",F396&lt;&gt;"Arbeidskosten"),X396*VLOOKUP(F396,Tb_ProjectKosten[],MATCH(Tb_ProjectKosten[[#Headers],[Forfait_Percentage]],Tb_ProjectKosten[#Headers],0),0),AND(F396="Arbeidskosten",G396&lt;&gt;""),IFERROR(X396*VLOOKUP(G396,Tb_KostenTypen[],3,0)*VLOOKUP(F396,Tb_ProjectKosten[],MATCH(Tb_ProjectKosten[[#Headers],[Forfait_Percentage]],Tb_ProjectKosten[#Headers],0),0),""),X396 &lt;=0,0),"")</f>
        <v/>
      </c>
      <c r="AB396" s="314" t="str">
        <f t="shared" ca="1" si="27"/>
        <v/>
      </c>
      <c r="AC396" s="322"/>
      <c r="AD396" s="315"/>
      <c r="AE396" s="32" t="str" cm="1">
        <f t="array" ref="AE396">IFERROR(IF(INDEX(SubsidieTabel!$AD$1:$AG$12,MATCH($F396,SubsidieTabel!$AD$1:$AD$12,0),IFERROR(MATCH(Methode_Keuze,SubsidieTabel!$AD$1:$AG$1,0),2))&lt;&gt;1=TRUE,"ja",""),"")</f>
        <v/>
      </c>
    </row>
    <row r="397" spans="1:31" x14ac:dyDescent="0.25">
      <c r="A397" s="316"/>
      <c r="B397" s="317" t="str">
        <f>IF(A397&lt;&gt;"",_xlfn.MAXIFS($B$1:B396,$A$1:A396,A397)+1,"")</f>
        <v/>
      </c>
      <c r="C397" s="296"/>
      <c r="D397" s="296"/>
      <c r="E397" s="296"/>
      <c r="F397" s="296"/>
      <c r="G397" s="326"/>
      <c r="H397" s="324"/>
      <c r="I397" s="325"/>
      <c r="J397" s="325"/>
      <c r="K397" s="318"/>
      <c r="L397" s="318"/>
      <c r="M397" s="319" t="str">
        <f>IFERROR(VLOOKUP(H397,Lijsten!$H$1:$I$100,2,0),"")</f>
        <v/>
      </c>
      <c r="N397" s="319" t="str">
        <f ca="1">IFERROR(IF(VLOOKUP(F397,Kostentypen!$A$3:$E$21,3,0)=0,"",IF(OR(F397="Arbeidskosten",F397="Vergoeding"),VLOOKUP(G397,Tb_KostenTypen[],2,0),VLOOKUP(F397,Kostentypen!$A$3:$E$20,3,0))),"")</f>
        <v/>
      </c>
      <c r="O397" s="320" t="str" cm="1">
        <f t="array" ref="O397">_xlfn.IFNA(IF(INDEX(Tb_KostenOptiesDB[],MATCH($F397,Tb_KostenOptiesDB[KostenOptie],0),IFERROR(MATCH(Methode_Keuze,Tb_KostenOptiesDB[#Headers],0),2))=1,_xlfn.SWITCH($N397,"Uurtarief",IF(OR(AND(RIGHT($F397,3)="IKS",VLOOKUP($M397,DB_Loonkosten,2,0)="Ja"),AND(RIGHT($F397,3)&lt;&gt;"IKS",VLOOKUP($M397,DB_Loonkosten,2,0)="Nee")),IFERROR(VLOOKUP($M397,DB_Loonkosten,24,0),""),0),"Vast tarief",IF(LEFT(F397,8)="Bijdrage",VLOOKUP($F397,Tb_KostenTypen[],MATCH(Lijsten!$P$1,Tb_KostenTypen[#Headers],0),0),VLOOKUP($G397,Lijsten!L:P,MATCH(Lijsten!$P$1,Kop_Tarief_Vast,0),0))),""),"")</f>
        <v/>
      </c>
      <c r="P397" s="320" t="str" cm="1">
        <f t="array" ref="P397">_xlfn.IFNA(IF(INDEX(Tb_KostenOptiesDB[],MATCH($F397,Tb_KostenOptiesDB[KostenOptie],0),IFERROR(MATCH(Methode_Keuze,Tb_KostenOptiesDB[#Headers],0),2))=1,_xlfn.SWITCH($N397,"Uurtarief",IF(OR(AND(RIGHT($F397,3)="IKS",VLOOKUP($M397,DB_Loonkosten,2,0)="Ja"),AND(RIGHT($F397,3)&lt;&gt;"IKS",VLOOKUP($M397,DB_Loonkosten,2,0)="Nee")),IFERROR(VLOOKUP($M397,DB_Loonkosten,25,0),""),0),"Vast tarief",IF(LEFT(F397,8)="Bijdrage",VLOOKUP($F397,Tb_KostenTypen[],MATCH(Lijsten!$P$1,Tb_KostenTypen[#Headers],0),0),VLOOKUP($G397,Lijsten!L:P,MATCH(Lijsten!$P$1,Kop_Tarief_Vast,0),0))),""),"")</f>
        <v/>
      </c>
      <c r="Q397" s="359"/>
      <c r="R397" s="359"/>
      <c r="S397" s="321"/>
      <c r="T397" s="321"/>
      <c r="U397" s="373" t="str">
        <f t="shared" si="24"/>
        <v/>
      </c>
      <c r="V397" s="314" t="str">
        <f t="shared" si="25"/>
        <v/>
      </c>
      <c r="W397" s="314" t="str" cm="1">
        <f t="array" aca="1" ref="W397" ca="1">IFERROR(IF(AE397&lt;&gt;"ja",_xlfn.IFNA(_xlfn.IFS(AND(O397&lt;&gt;"",F397&lt;&gt;"",RIGHT($N397,6)="tarief",F397="Vergoeding"),SUM(O397)*FLOOR(SUM(Q397),0.0001),AND(O397&lt;&gt;"",F397&lt;&gt;"",RIGHT($N397,6)="tarief"),SUM(O397)*FLOOR(SUM(Q397),0.01),S397&gt;0,IF(F397&lt;&gt;"",FLOOR(SUM(S397),0.01),"")),""),""),"")</f>
        <v/>
      </c>
      <c r="X397" s="314" t="str" cm="1">
        <f t="array" aca="1" ref="X397" ca="1">IFERROR(IF(AE397&lt;&gt;"ja",_xlfn.IFNA(_xlfn.IFS(AND(P397&lt;&gt;"",R397&lt;&gt;"",RIGHT($N397,6)="tarief",F397="Vergoeding"),SUM(P397)*FLOOR(SUM(R397),0.0001),AND(P397&lt;&gt;"",R397&lt;&gt;"",RIGHT($N397,6)="tarief"),P397*FLOOR(R397,0.01),T397&gt;0,FLOOR(SUM(T397),0.01)),""),""),"")</f>
        <v/>
      </c>
      <c r="Y397" s="314" t="str">
        <f t="shared" ca="1" si="26"/>
        <v/>
      </c>
      <c r="Z397" s="314" t="str" cm="1">
        <f t="array" aca="1" ref="Z397" ca="1">IFERROR(_xlfn.IFS(OR(F397="",LEFT(Methode_Keuze,4)="Geen",Methode_Keuze=""),"",AND(W397&lt;&gt;"",F397&lt;&gt;"Arbeidskosten"),W397*VLOOKUP(F397,Tb_ProjectKosten[],MATCH(Tb_ProjectKosten[[#Headers],[Forfait_Percentage]],Tb_ProjectKosten[#Headers],0),0),AND(F397="Arbeidskosten",G397&lt;&gt;""),IFERROR(W397*VLOOKUP(G397,Tb_KostenTypen[],3,0)*VLOOKUP(F397,Tb_ProjectKosten[],MATCH(Tb_ProjectKosten[[#Headers],[Forfait_Percentage]],Tb_ProjectKosten[#Headers],0),0),""),W397 &lt;=0,0),"")</f>
        <v/>
      </c>
      <c r="AA397" s="314" t="str" cm="1">
        <f t="array" aca="1" ref="AA397" ca="1">IFERROR(_xlfn.IFS(OR(F397="",LEFT(Methode_Keuze,4)="Geen",Methode_Keuze=""),"",AND(X397&lt;&gt;"",F397&lt;&gt;"Arbeidskosten"),X397*VLOOKUP(F397,Tb_ProjectKosten[],MATCH(Tb_ProjectKosten[[#Headers],[Forfait_Percentage]],Tb_ProjectKosten[#Headers],0),0),AND(F397="Arbeidskosten",G397&lt;&gt;""),IFERROR(X397*VLOOKUP(G397,Tb_KostenTypen[],3,0)*VLOOKUP(F397,Tb_ProjectKosten[],MATCH(Tb_ProjectKosten[[#Headers],[Forfait_Percentage]],Tb_ProjectKosten[#Headers],0),0),""),X397 &lt;=0,0),"")</f>
        <v/>
      </c>
      <c r="AB397" s="314" t="str">
        <f t="shared" ca="1" si="27"/>
        <v/>
      </c>
      <c r="AC397" s="322"/>
      <c r="AD397" s="315"/>
      <c r="AE397" s="32" t="str" cm="1">
        <f t="array" ref="AE397">IFERROR(IF(INDEX(SubsidieTabel!$AD$1:$AG$12,MATCH($F397,SubsidieTabel!$AD$1:$AD$12,0),IFERROR(MATCH(Methode_Keuze,SubsidieTabel!$AD$1:$AG$1,0),2))&lt;&gt;1=TRUE,"ja",""),"")</f>
        <v/>
      </c>
    </row>
    <row r="398" spans="1:31" x14ac:dyDescent="0.25">
      <c r="A398" s="316"/>
      <c r="B398" s="317" t="str">
        <f>IF(A398&lt;&gt;"",_xlfn.MAXIFS($B$1:B397,$A$1:A397,A398)+1,"")</f>
        <v/>
      </c>
      <c r="C398" s="296"/>
      <c r="D398" s="296"/>
      <c r="E398" s="296"/>
      <c r="F398" s="296"/>
      <c r="G398" s="326"/>
      <c r="H398" s="324"/>
      <c r="I398" s="325"/>
      <c r="J398" s="325"/>
      <c r="K398" s="318"/>
      <c r="L398" s="318"/>
      <c r="M398" s="319" t="str">
        <f>IFERROR(VLOOKUP(H398,Lijsten!$H$1:$I$100,2,0),"")</f>
        <v/>
      </c>
      <c r="N398" s="319" t="str">
        <f ca="1">IFERROR(IF(VLOOKUP(F398,Kostentypen!$A$3:$E$21,3,0)=0,"",IF(OR(F398="Arbeidskosten",F398="Vergoeding"),VLOOKUP(G398,Tb_KostenTypen[],2,0),VLOOKUP(F398,Kostentypen!$A$3:$E$20,3,0))),"")</f>
        <v/>
      </c>
      <c r="O398" s="320" t="str" cm="1">
        <f t="array" ref="O398">_xlfn.IFNA(IF(INDEX(Tb_KostenOptiesDB[],MATCH($F398,Tb_KostenOptiesDB[KostenOptie],0),IFERROR(MATCH(Methode_Keuze,Tb_KostenOptiesDB[#Headers],0),2))=1,_xlfn.SWITCH($N398,"Uurtarief",IF(OR(AND(RIGHT($F398,3)="IKS",VLOOKUP($M398,DB_Loonkosten,2,0)="Ja"),AND(RIGHT($F398,3)&lt;&gt;"IKS",VLOOKUP($M398,DB_Loonkosten,2,0)="Nee")),IFERROR(VLOOKUP($M398,DB_Loonkosten,24,0),""),0),"Vast tarief",IF(LEFT(F398,8)="Bijdrage",VLOOKUP($F398,Tb_KostenTypen[],MATCH(Lijsten!$P$1,Tb_KostenTypen[#Headers],0),0),VLOOKUP($G398,Lijsten!L:P,MATCH(Lijsten!$P$1,Kop_Tarief_Vast,0),0))),""),"")</f>
        <v/>
      </c>
      <c r="P398" s="320" t="str" cm="1">
        <f t="array" ref="P398">_xlfn.IFNA(IF(INDEX(Tb_KostenOptiesDB[],MATCH($F398,Tb_KostenOptiesDB[KostenOptie],0),IFERROR(MATCH(Methode_Keuze,Tb_KostenOptiesDB[#Headers],0),2))=1,_xlfn.SWITCH($N398,"Uurtarief",IF(OR(AND(RIGHT($F398,3)="IKS",VLOOKUP($M398,DB_Loonkosten,2,0)="Ja"),AND(RIGHT($F398,3)&lt;&gt;"IKS",VLOOKUP($M398,DB_Loonkosten,2,0)="Nee")),IFERROR(VLOOKUP($M398,DB_Loonkosten,25,0),""),0),"Vast tarief",IF(LEFT(F398,8)="Bijdrage",VLOOKUP($F398,Tb_KostenTypen[],MATCH(Lijsten!$P$1,Tb_KostenTypen[#Headers],0),0),VLOOKUP($G398,Lijsten!L:P,MATCH(Lijsten!$P$1,Kop_Tarief_Vast,0),0))),""),"")</f>
        <v/>
      </c>
      <c r="Q398" s="359"/>
      <c r="R398" s="359"/>
      <c r="S398" s="321"/>
      <c r="T398" s="321"/>
      <c r="U398" s="373" t="str">
        <f t="shared" si="24"/>
        <v/>
      </c>
      <c r="V398" s="314" t="str">
        <f t="shared" si="25"/>
        <v/>
      </c>
      <c r="W398" s="314" t="str" cm="1">
        <f t="array" aca="1" ref="W398" ca="1">IFERROR(IF(AE398&lt;&gt;"ja",_xlfn.IFNA(_xlfn.IFS(AND(O398&lt;&gt;"",F398&lt;&gt;"",RIGHT($N398,6)="tarief",F398="Vergoeding"),SUM(O398)*FLOOR(SUM(Q398),0.0001),AND(O398&lt;&gt;"",F398&lt;&gt;"",RIGHT($N398,6)="tarief"),SUM(O398)*FLOOR(SUM(Q398),0.01),S398&gt;0,IF(F398&lt;&gt;"",FLOOR(SUM(S398),0.01),"")),""),""),"")</f>
        <v/>
      </c>
      <c r="X398" s="314" t="str" cm="1">
        <f t="array" aca="1" ref="X398" ca="1">IFERROR(IF(AE398&lt;&gt;"ja",_xlfn.IFNA(_xlfn.IFS(AND(P398&lt;&gt;"",R398&lt;&gt;"",RIGHT($N398,6)="tarief",F398="Vergoeding"),SUM(P398)*FLOOR(SUM(R398),0.0001),AND(P398&lt;&gt;"",R398&lt;&gt;"",RIGHT($N398,6)="tarief"),P398*FLOOR(R398,0.01),T398&gt;0,FLOOR(SUM(T398),0.01)),""),""),"")</f>
        <v/>
      </c>
      <c r="Y398" s="314" t="str">
        <f t="shared" ca="1" si="26"/>
        <v/>
      </c>
      <c r="Z398" s="314" t="str" cm="1">
        <f t="array" aca="1" ref="Z398" ca="1">IFERROR(_xlfn.IFS(OR(F398="",LEFT(Methode_Keuze,4)="Geen",Methode_Keuze=""),"",AND(W398&lt;&gt;"",F398&lt;&gt;"Arbeidskosten"),W398*VLOOKUP(F398,Tb_ProjectKosten[],MATCH(Tb_ProjectKosten[[#Headers],[Forfait_Percentage]],Tb_ProjectKosten[#Headers],0),0),AND(F398="Arbeidskosten",G398&lt;&gt;""),IFERROR(W398*VLOOKUP(G398,Tb_KostenTypen[],3,0)*VLOOKUP(F398,Tb_ProjectKosten[],MATCH(Tb_ProjectKosten[[#Headers],[Forfait_Percentage]],Tb_ProjectKosten[#Headers],0),0),""),W398 &lt;=0,0),"")</f>
        <v/>
      </c>
      <c r="AA398" s="314" t="str" cm="1">
        <f t="array" aca="1" ref="AA398" ca="1">IFERROR(_xlfn.IFS(OR(F398="",LEFT(Methode_Keuze,4)="Geen",Methode_Keuze=""),"",AND(X398&lt;&gt;"",F398&lt;&gt;"Arbeidskosten"),X398*VLOOKUP(F398,Tb_ProjectKosten[],MATCH(Tb_ProjectKosten[[#Headers],[Forfait_Percentage]],Tb_ProjectKosten[#Headers],0),0),AND(F398="Arbeidskosten",G398&lt;&gt;""),IFERROR(X398*VLOOKUP(G398,Tb_KostenTypen[],3,0)*VLOOKUP(F398,Tb_ProjectKosten[],MATCH(Tb_ProjectKosten[[#Headers],[Forfait_Percentage]],Tb_ProjectKosten[#Headers],0),0),""),X398 &lt;=0,0),"")</f>
        <v/>
      </c>
      <c r="AB398" s="314" t="str">
        <f t="shared" ca="1" si="27"/>
        <v/>
      </c>
      <c r="AC398" s="322"/>
      <c r="AD398" s="315"/>
      <c r="AE398" s="32" t="str" cm="1">
        <f t="array" ref="AE398">IFERROR(IF(INDEX(SubsidieTabel!$AD$1:$AG$12,MATCH($F398,SubsidieTabel!$AD$1:$AD$12,0),IFERROR(MATCH(Methode_Keuze,SubsidieTabel!$AD$1:$AG$1,0),2))&lt;&gt;1=TRUE,"ja",""),"")</f>
        <v/>
      </c>
    </row>
    <row r="399" spans="1:31" x14ac:dyDescent="0.25">
      <c r="A399" s="316"/>
      <c r="B399" s="317" t="str">
        <f>IF(A399&lt;&gt;"",_xlfn.MAXIFS($B$1:B398,$A$1:A398,A399)+1,"")</f>
        <v/>
      </c>
      <c r="C399" s="296"/>
      <c r="D399" s="296"/>
      <c r="E399" s="296"/>
      <c r="F399" s="296"/>
      <c r="G399" s="326"/>
      <c r="H399" s="324"/>
      <c r="I399" s="325"/>
      <c r="J399" s="325"/>
      <c r="K399" s="318"/>
      <c r="L399" s="318"/>
      <c r="M399" s="319" t="str">
        <f>IFERROR(VLOOKUP(H399,Lijsten!$H$1:$I$100,2,0),"")</f>
        <v/>
      </c>
      <c r="N399" s="319" t="str">
        <f ca="1">IFERROR(IF(VLOOKUP(F399,Kostentypen!$A$3:$E$21,3,0)=0,"",IF(OR(F399="Arbeidskosten",F399="Vergoeding"),VLOOKUP(G399,Tb_KostenTypen[],2,0),VLOOKUP(F399,Kostentypen!$A$3:$E$20,3,0))),"")</f>
        <v/>
      </c>
      <c r="O399" s="320" t="str" cm="1">
        <f t="array" ref="O399">_xlfn.IFNA(IF(INDEX(Tb_KostenOptiesDB[],MATCH($F399,Tb_KostenOptiesDB[KostenOptie],0),IFERROR(MATCH(Methode_Keuze,Tb_KostenOptiesDB[#Headers],0),2))=1,_xlfn.SWITCH($N399,"Uurtarief",IF(OR(AND(RIGHT($F399,3)="IKS",VLOOKUP($M399,DB_Loonkosten,2,0)="Ja"),AND(RIGHT($F399,3)&lt;&gt;"IKS",VLOOKUP($M399,DB_Loonkosten,2,0)="Nee")),IFERROR(VLOOKUP($M399,DB_Loonkosten,24,0),""),0),"Vast tarief",IF(LEFT(F399,8)="Bijdrage",VLOOKUP($F399,Tb_KostenTypen[],MATCH(Lijsten!$P$1,Tb_KostenTypen[#Headers],0),0),VLOOKUP($G399,Lijsten!L:P,MATCH(Lijsten!$P$1,Kop_Tarief_Vast,0),0))),""),"")</f>
        <v/>
      </c>
      <c r="P399" s="320" t="str" cm="1">
        <f t="array" ref="P399">_xlfn.IFNA(IF(INDEX(Tb_KostenOptiesDB[],MATCH($F399,Tb_KostenOptiesDB[KostenOptie],0),IFERROR(MATCH(Methode_Keuze,Tb_KostenOptiesDB[#Headers],0),2))=1,_xlfn.SWITCH($N399,"Uurtarief",IF(OR(AND(RIGHT($F399,3)="IKS",VLOOKUP($M399,DB_Loonkosten,2,0)="Ja"),AND(RIGHT($F399,3)&lt;&gt;"IKS",VLOOKUP($M399,DB_Loonkosten,2,0)="Nee")),IFERROR(VLOOKUP($M399,DB_Loonkosten,25,0),""),0),"Vast tarief",IF(LEFT(F399,8)="Bijdrage",VLOOKUP($F399,Tb_KostenTypen[],MATCH(Lijsten!$P$1,Tb_KostenTypen[#Headers],0),0),VLOOKUP($G399,Lijsten!L:P,MATCH(Lijsten!$P$1,Kop_Tarief_Vast,0),0))),""),"")</f>
        <v/>
      </c>
      <c r="Q399" s="359"/>
      <c r="R399" s="359"/>
      <c r="S399" s="321"/>
      <c r="T399" s="321"/>
      <c r="U399" s="373" t="str">
        <f t="shared" si="24"/>
        <v/>
      </c>
      <c r="V399" s="314" t="str">
        <f t="shared" si="25"/>
        <v/>
      </c>
      <c r="W399" s="314" t="str" cm="1">
        <f t="array" aca="1" ref="W399" ca="1">IFERROR(IF(AE399&lt;&gt;"ja",_xlfn.IFNA(_xlfn.IFS(AND(O399&lt;&gt;"",F399&lt;&gt;"",RIGHT($N399,6)="tarief",F399="Vergoeding"),SUM(O399)*FLOOR(SUM(Q399),0.0001),AND(O399&lt;&gt;"",F399&lt;&gt;"",RIGHT($N399,6)="tarief"),SUM(O399)*FLOOR(SUM(Q399),0.01),S399&gt;0,IF(F399&lt;&gt;"",FLOOR(SUM(S399),0.01),"")),""),""),"")</f>
        <v/>
      </c>
      <c r="X399" s="314" t="str" cm="1">
        <f t="array" aca="1" ref="X399" ca="1">IFERROR(IF(AE399&lt;&gt;"ja",_xlfn.IFNA(_xlfn.IFS(AND(P399&lt;&gt;"",R399&lt;&gt;"",RIGHT($N399,6)="tarief",F399="Vergoeding"),SUM(P399)*FLOOR(SUM(R399),0.0001),AND(P399&lt;&gt;"",R399&lt;&gt;"",RIGHT($N399,6)="tarief"),P399*FLOOR(R399,0.01),T399&gt;0,FLOOR(SUM(T399),0.01)),""),""),"")</f>
        <v/>
      </c>
      <c r="Y399" s="314" t="str">
        <f t="shared" ca="1" si="26"/>
        <v/>
      </c>
      <c r="Z399" s="314" t="str" cm="1">
        <f t="array" aca="1" ref="Z399" ca="1">IFERROR(_xlfn.IFS(OR(F399="",LEFT(Methode_Keuze,4)="Geen",Methode_Keuze=""),"",AND(W399&lt;&gt;"",F399&lt;&gt;"Arbeidskosten"),W399*VLOOKUP(F399,Tb_ProjectKosten[],MATCH(Tb_ProjectKosten[[#Headers],[Forfait_Percentage]],Tb_ProjectKosten[#Headers],0),0),AND(F399="Arbeidskosten",G399&lt;&gt;""),IFERROR(W399*VLOOKUP(G399,Tb_KostenTypen[],3,0)*VLOOKUP(F399,Tb_ProjectKosten[],MATCH(Tb_ProjectKosten[[#Headers],[Forfait_Percentage]],Tb_ProjectKosten[#Headers],0),0),""),W399 &lt;=0,0),"")</f>
        <v/>
      </c>
      <c r="AA399" s="314" t="str" cm="1">
        <f t="array" aca="1" ref="AA399" ca="1">IFERROR(_xlfn.IFS(OR(F399="",LEFT(Methode_Keuze,4)="Geen",Methode_Keuze=""),"",AND(X399&lt;&gt;"",F399&lt;&gt;"Arbeidskosten"),X399*VLOOKUP(F399,Tb_ProjectKosten[],MATCH(Tb_ProjectKosten[[#Headers],[Forfait_Percentage]],Tb_ProjectKosten[#Headers],0),0),AND(F399="Arbeidskosten",G399&lt;&gt;""),IFERROR(X399*VLOOKUP(G399,Tb_KostenTypen[],3,0)*VLOOKUP(F399,Tb_ProjectKosten[],MATCH(Tb_ProjectKosten[[#Headers],[Forfait_Percentage]],Tb_ProjectKosten[#Headers],0),0),""),X399 &lt;=0,0),"")</f>
        <v/>
      </c>
      <c r="AB399" s="314" t="str">
        <f t="shared" ca="1" si="27"/>
        <v/>
      </c>
      <c r="AC399" s="322"/>
      <c r="AD399" s="315"/>
      <c r="AE399" s="32" t="str" cm="1">
        <f t="array" ref="AE399">IFERROR(IF(INDEX(SubsidieTabel!$AD$1:$AG$12,MATCH($F399,SubsidieTabel!$AD$1:$AD$12,0),IFERROR(MATCH(Methode_Keuze,SubsidieTabel!$AD$1:$AG$1,0),2))&lt;&gt;1=TRUE,"ja",""),"")</f>
        <v/>
      </c>
    </row>
    <row r="400" spans="1:31" x14ac:dyDescent="0.25">
      <c r="A400" s="316"/>
      <c r="B400" s="317" t="str">
        <f>IF(A400&lt;&gt;"",_xlfn.MAXIFS($B$1:B399,$A$1:A399,A400)+1,"")</f>
        <v/>
      </c>
      <c r="C400" s="296"/>
      <c r="D400" s="296"/>
      <c r="E400" s="296"/>
      <c r="F400" s="296"/>
      <c r="G400" s="326"/>
      <c r="H400" s="324"/>
      <c r="I400" s="325"/>
      <c r="J400" s="325"/>
      <c r="K400" s="318"/>
      <c r="L400" s="318"/>
      <c r="M400" s="319" t="str">
        <f>IFERROR(VLOOKUP(H400,Lijsten!$H$1:$I$100,2,0),"")</f>
        <v/>
      </c>
      <c r="N400" s="319" t="str">
        <f ca="1">IFERROR(IF(VLOOKUP(F400,Kostentypen!$A$3:$E$21,3,0)=0,"",IF(OR(F400="Arbeidskosten",F400="Vergoeding"),VLOOKUP(G400,Tb_KostenTypen[],2,0),VLOOKUP(F400,Kostentypen!$A$3:$E$20,3,0))),"")</f>
        <v/>
      </c>
      <c r="O400" s="320" t="str" cm="1">
        <f t="array" ref="O400">_xlfn.IFNA(IF(INDEX(Tb_KostenOptiesDB[],MATCH($F400,Tb_KostenOptiesDB[KostenOptie],0),IFERROR(MATCH(Methode_Keuze,Tb_KostenOptiesDB[#Headers],0),2))=1,_xlfn.SWITCH($N400,"Uurtarief",IF(OR(AND(RIGHT($F400,3)="IKS",VLOOKUP($M400,DB_Loonkosten,2,0)="Ja"),AND(RIGHT($F400,3)&lt;&gt;"IKS",VLOOKUP($M400,DB_Loonkosten,2,0)="Nee")),IFERROR(VLOOKUP($M400,DB_Loonkosten,24,0),""),0),"Vast tarief",IF(LEFT(F400,8)="Bijdrage",VLOOKUP($F400,Tb_KostenTypen[],MATCH(Lijsten!$P$1,Tb_KostenTypen[#Headers],0),0),VLOOKUP($G400,Lijsten!L:P,MATCH(Lijsten!$P$1,Kop_Tarief_Vast,0),0))),""),"")</f>
        <v/>
      </c>
      <c r="P400" s="320" t="str" cm="1">
        <f t="array" ref="P400">_xlfn.IFNA(IF(INDEX(Tb_KostenOptiesDB[],MATCH($F400,Tb_KostenOptiesDB[KostenOptie],0),IFERROR(MATCH(Methode_Keuze,Tb_KostenOptiesDB[#Headers],0),2))=1,_xlfn.SWITCH($N400,"Uurtarief",IF(OR(AND(RIGHT($F400,3)="IKS",VLOOKUP($M400,DB_Loonkosten,2,0)="Ja"),AND(RIGHT($F400,3)&lt;&gt;"IKS",VLOOKUP($M400,DB_Loonkosten,2,0)="Nee")),IFERROR(VLOOKUP($M400,DB_Loonkosten,25,0),""),0),"Vast tarief",IF(LEFT(F400,8)="Bijdrage",VLOOKUP($F400,Tb_KostenTypen[],MATCH(Lijsten!$P$1,Tb_KostenTypen[#Headers],0),0),VLOOKUP($G400,Lijsten!L:P,MATCH(Lijsten!$P$1,Kop_Tarief_Vast,0),0))),""),"")</f>
        <v/>
      </c>
      <c r="Q400" s="359"/>
      <c r="R400" s="359"/>
      <c r="S400" s="321"/>
      <c r="T400" s="321"/>
      <c r="U400" s="373" t="str">
        <f t="shared" si="24"/>
        <v/>
      </c>
      <c r="V400" s="314" t="str">
        <f t="shared" si="25"/>
        <v/>
      </c>
      <c r="W400" s="314" t="str" cm="1">
        <f t="array" aca="1" ref="W400" ca="1">IFERROR(IF(AE400&lt;&gt;"ja",_xlfn.IFNA(_xlfn.IFS(AND(O400&lt;&gt;"",F400&lt;&gt;"",RIGHT($N400,6)="tarief",F400="Vergoeding"),SUM(O400)*FLOOR(SUM(Q400),0.0001),AND(O400&lt;&gt;"",F400&lt;&gt;"",RIGHT($N400,6)="tarief"),SUM(O400)*FLOOR(SUM(Q400),0.01),S400&gt;0,IF(F400&lt;&gt;"",FLOOR(SUM(S400),0.01),"")),""),""),"")</f>
        <v/>
      </c>
      <c r="X400" s="314" t="str" cm="1">
        <f t="array" aca="1" ref="X400" ca="1">IFERROR(IF(AE400&lt;&gt;"ja",_xlfn.IFNA(_xlfn.IFS(AND(P400&lt;&gt;"",R400&lt;&gt;"",RIGHT($N400,6)="tarief",F400="Vergoeding"),SUM(P400)*FLOOR(SUM(R400),0.0001),AND(P400&lt;&gt;"",R400&lt;&gt;"",RIGHT($N400,6)="tarief"),P400*FLOOR(R400,0.01),T400&gt;0,FLOOR(SUM(T400),0.01)),""),""),"")</f>
        <v/>
      </c>
      <c r="Y400" s="314" t="str">
        <f t="shared" ca="1" si="26"/>
        <v/>
      </c>
      <c r="Z400" s="314" t="str" cm="1">
        <f t="array" aca="1" ref="Z400" ca="1">IFERROR(_xlfn.IFS(OR(F400="",LEFT(Methode_Keuze,4)="Geen",Methode_Keuze=""),"",AND(W400&lt;&gt;"",F400&lt;&gt;"Arbeidskosten"),W400*VLOOKUP(F400,Tb_ProjectKosten[],MATCH(Tb_ProjectKosten[[#Headers],[Forfait_Percentage]],Tb_ProjectKosten[#Headers],0),0),AND(F400="Arbeidskosten",G400&lt;&gt;""),IFERROR(W400*VLOOKUP(G400,Tb_KostenTypen[],3,0)*VLOOKUP(F400,Tb_ProjectKosten[],MATCH(Tb_ProjectKosten[[#Headers],[Forfait_Percentage]],Tb_ProjectKosten[#Headers],0),0),""),W400 &lt;=0,0),"")</f>
        <v/>
      </c>
      <c r="AA400" s="314" t="str" cm="1">
        <f t="array" aca="1" ref="AA400" ca="1">IFERROR(_xlfn.IFS(OR(F400="",LEFT(Methode_Keuze,4)="Geen",Methode_Keuze=""),"",AND(X400&lt;&gt;"",F400&lt;&gt;"Arbeidskosten"),X400*VLOOKUP(F400,Tb_ProjectKosten[],MATCH(Tb_ProjectKosten[[#Headers],[Forfait_Percentage]],Tb_ProjectKosten[#Headers],0),0),AND(F400="Arbeidskosten",G400&lt;&gt;""),IFERROR(X400*VLOOKUP(G400,Tb_KostenTypen[],3,0)*VLOOKUP(F400,Tb_ProjectKosten[],MATCH(Tb_ProjectKosten[[#Headers],[Forfait_Percentage]],Tb_ProjectKosten[#Headers],0),0),""),X400 &lt;=0,0),"")</f>
        <v/>
      </c>
      <c r="AB400" s="314" t="str">
        <f t="shared" ca="1" si="27"/>
        <v/>
      </c>
      <c r="AC400" s="322"/>
      <c r="AD400" s="315"/>
      <c r="AE400" s="32" t="str" cm="1">
        <f t="array" ref="AE400">IFERROR(IF(INDEX(SubsidieTabel!$AD$1:$AG$12,MATCH($F400,SubsidieTabel!$AD$1:$AD$12,0),IFERROR(MATCH(Methode_Keuze,SubsidieTabel!$AD$1:$AG$1,0),2))&lt;&gt;1=TRUE,"ja",""),"")</f>
        <v/>
      </c>
    </row>
    <row r="401" spans="1:31" x14ac:dyDescent="0.25">
      <c r="A401" s="316"/>
      <c r="B401" s="317" t="str">
        <f>IF(A401&lt;&gt;"",_xlfn.MAXIFS($B$1:B400,$A$1:A400,A401)+1,"")</f>
        <v/>
      </c>
      <c r="C401" s="296"/>
      <c r="D401" s="296"/>
      <c r="E401" s="296"/>
      <c r="F401" s="296"/>
      <c r="G401" s="326"/>
      <c r="H401" s="324"/>
      <c r="I401" s="325"/>
      <c r="J401" s="325"/>
      <c r="K401" s="318"/>
      <c r="L401" s="318"/>
      <c r="M401" s="319" t="str">
        <f>IFERROR(VLOOKUP(H401,Lijsten!$H$1:$I$100,2,0),"")</f>
        <v/>
      </c>
      <c r="N401" s="319" t="str">
        <f ca="1">IFERROR(IF(VLOOKUP(F401,Kostentypen!$A$3:$E$21,3,0)=0,"",IF(OR(F401="Arbeidskosten",F401="Vergoeding"),VLOOKUP(G401,Tb_KostenTypen[],2,0),VLOOKUP(F401,Kostentypen!$A$3:$E$20,3,0))),"")</f>
        <v/>
      </c>
      <c r="O401" s="320" t="str" cm="1">
        <f t="array" ref="O401">_xlfn.IFNA(IF(INDEX(Tb_KostenOptiesDB[],MATCH($F401,Tb_KostenOptiesDB[KostenOptie],0),IFERROR(MATCH(Methode_Keuze,Tb_KostenOptiesDB[#Headers],0),2))=1,_xlfn.SWITCH($N401,"Uurtarief",IF(OR(AND(RIGHT($F401,3)="IKS",VLOOKUP($M401,DB_Loonkosten,2,0)="Ja"),AND(RIGHT($F401,3)&lt;&gt;"IKS",VLOOKUP($M401,DB_Loonkosten,2,0)="Nee")),IFERROR(VLOOKUP($M401,DB_Loonkosten,24,0),""),0),"Vast tarief",IF(LEFT(F401,8)="Bijdrage",VLOOKUP($F401,Tb_KostenTypen[],MATCH(Lijsten!$P$1,Tb_KostenTypen[#Headers],0),0),VLOOKUP($G401,Lijsten!L:P,MATCH(Lijsten!$P$1,Kop_Tarief_Vast,0),0))),""),"")</f>
        <v/>
      </c>
      <c r="P401" s="320" t="str" cm="1">
        <f t="array" ref="P401">_xlfn.IFNA(IF(INDEX(Tb_KostenOptiesDB[],MATCH($F401,Tb_KostenOptiesDB[KostenOptie],0),IFERROR(MATCH(Methode_Keuze,Tb_KostenOptiesDB[#Headers],0),2))=1,_xlfn.SWITCH($N401,"Uurtarief",IF(OR(AND(RIGHT($F401,3)="IKS",VLOOKUP($M401,DB_Loonkosten,2,0)="Ja"),AND(RIGHT($F401,3)&lt;&gt;"IKS",VLOOKUP($M401,DB_Loonkosten,2,0)="Nee")),IFERROR(VLOOKUP($M401,DB_Loonkosten,25,0),""),0),"Vast tarief",IF(LEFT(F401,8)="Bijdrage",VLOOKUP($F401,Tb_KostenTypen[],MATCH(Lijsten!$P$1,Tb_KostenTypen[#Headers],0),0),VLOOKUP($G401,Lijsten!L:P,MATCH(Lijsten!$P$1,Kop_Tarief_Vast,0),0))),""),"")</f>
        <v/>
      </c>
      <c r="Q401" s="359"/>
      <c r="R401" s="359"/>
      <c r="S401" s="321"/>
      <c r="T401" s="321"/>
      <c r="U401" s="373" t="str">
        <f t="shared" si="24"/>
        <v/>
      </c>
      <c r="V401" s="314" t="str">
        <f t="shared" si="25"/>
        <v/>
      </c>
      <c r="W401" s="314" t="str" cm="1">
        <f t="array" aca="1" ref="W401" ca="1">IFERROR(IF(AE401&lt;&gt;"ja",_xlfn.IFNA(_xlfn.IFS(AND(O401&lt;&gt;"",F401&lt;&gt;"",RIGHT($N401,6)="tarief",F401="Vergoeding"),SUM(O401)*FLOOR(SUM(Q401),0.0001),AND(O401&lt;&gt;"",F401&lt;&gt;"",RIGHT($N401,6)="tarief"),SUM(O401)*FLOOR(SUM(Q401),0.01),S401&gt;0,IF(F401&lt;&gt;"",FLOOR(SUM(S401),0.01),"")),""),""),"")</f>
        <v/>
      </c>
      <c r="X401" s="314" t="str" cm="1">
        <f t="array" aca="1" ref="X401" ca="1">IFERROR(IF(AE401&lt;&gt;"ja",_xlfn.IFNA(_xlfn.IFS(AND(P401&lt;&gt;"",R401&lt;&gt;"",RIGHT($N401,6)="tarief",F401="Vergoeding"),SUM(P401)*FLOOR(SUM(R401),0.0001),AND(P401&lt;&gt;"",R401&lt;&gt;"",RIGHT($N401,6)="tarief"),P401*FLOOR(R401,0.01),T401&gt;0,FLOOR(SUM(T401),0.01)),""),""),"")</f>
        <v/>
      </c>
      <c r="Y401" s="314" t="str">
        <f t="shared" ca="1" si="26"/>
        <v/>
      </c>
      <c r="Z401" s="314" t="str" cm="1">
        <f t="array" aca="1" ref="Z401" ca="1">IFERROR(_xlfn.IFS(OR(F401="",LEFT(Methode_Keuze,4)="Geen",Methode_Keuze=""),"",AND(W401&lt;&gt;"",F401&lt;&gt;"Arbeidskosten"),W401*VLOOKUP(F401,Tb_ProjectKosten[],MATCH(Tb_ProjectKosten[[#Headers],[Forfait_Percentage]],Tb_ProjectKosten[#Headers],0),0),AND(F401="Arbeidskosten",G401&lt;&gt;""),IFERROR(W401*VLOOKUP(G401,Tb_KostenTypen[],3,0)*VLOOKUP(F401,Tb_ProjectKosten[],MATCH(Tb_ProjectKosten[[#Headers],[Forfait_Percentage]],Tb_ProjectKosten[#Headers],0),0),""),W401 &lt;=0,0),"")</f>
        <v/>
      </c>
      <c r="AA401" s="314" t="str" cm="1">
        <f t="array" aca="1" ref="AA401" ca="1">IFERROR(_xlfn.IFS(OR(F401="",LEFT(Methode_Keuze,4)="Geen",Methode_Keuze=""),"",AND(X401&lt;&gt;"",F401&lt;&gt;"Arbeidskosten"),X401*VLOOKUP(F401,Tb_ProjectKosten[],MATCH(Tb_ProjectKosten[[#Headers],[Forfait_Percentage]],Tb_ProjectKosten[#Headers],0),0),AND(F401="Arbeidskosten",G401&lt;&gt;""),IFERROR(X401*VLOOKUP(G401,Tb_KostenTypen[],3,0)*VLOOKUP(F401,Tb_ProjectKosten[],MATCH(Tb_ProjectKosten[[#Headers],[Forfait_Percentage]],Tb_ProjectKosten[#Headers],0),0),""),X401 &lt;=0,0),"")</f>
        <v/>
      </c>
      <c r="AB401" s="314" t="str">
        <f t="shared" ca="1" si="27"/>
        <v/>
      </c>
      <c r="AC401" s="322"/>
      <c r="AD401" s="315"/>
      <c r="AE401" s="32" t="str" cm="1">
        <f t="array" ref="AE401">IFERROR(IF(INDEX(SubsidieTabel!$AD$1:$AG$12,MATCH($F401,SubsidieTabel!$AD$1:$AD$12,0),IFERROR(MATCH(Methode_Keuze,SubsidieTabel!$AD$1:$AG$1,0),2))&lt;&gt;1=TRUE,"ja",""),"")</f>
        <v/>
      </c>
    </row>
    <row r="402" spans="1:31" x14ac:dyDescent="0.25">
      <c r="A402" s="316"/>
      <c r="B402" s="317" t="str">
        <f>IF(A402&lt;&gt;"",_xlfn.MAXIFS($B$1:B401,$A$1:A401,A402)+1,"")</f>
        <v/>
      </c>
      <c r="C402" s="296"/>
      <c r="D402" s="296"/>
      <c r="E402" s="296"/>
      <c r="F402" s="296"/>
      <c r="G402" s="326"/>
      <c r="H402" s="324"/>
      <c r="I402" s="325"/>
      <c r="J402" s="325"/>
      <c r="K402" s="318"/>
      <c r="L402" s="318"/>
      <c r="M402" s="319" t="str">
        <f>IFERROR(VLOOKUP(H402,Lijsten!$H$1:$I$100,2,0),"")</f>
        <v/>
      </c>
      <c r="N402" s="319" t="str">
        <f ca="1">IFERROR(IF(VLOOKUP(F402,Kostentypen!$A$3:$E$21,3,0)=0,"",IF(OR(F402="Arbeidskosten",F402="Vergoeding"),VLOOKUP(G402,Tb_KostenTypen[],2,0),VLOOKUP(F402,Kostentypen!$A$3:$E$20,3,0))),"")</f>
        <v/>
      </c>
      <c r="O402" s="320" t="str" cm="1">
        <f t="array" ref="O402">_xlfn.IFNA(IF(INDEX(Tb_KostenOptiesDB[],MATCH($F402,Tb_KostenOptiesDB[KostenOptie],0),IFERROR(MATCH(Methode_Keuze,Tb_KostenOptiesDB[#Headers],0),2))=1,_xlfn.SWITCH($N402,"Uurtarief",IF(OR(AND(RIGHT($F402,3)="IKS",VLOOKUP($M402,DB_Loonkosten,2,0)="Ja"),AND(RIGHT($F402,3)&lt;&gt;"IKS",VLOOKUP($M402,DB_Loonkosten,2,0)="Nee")),IFERROR(VLOOKUP($M402,DB_Loonkosten,24,0),""),0),"Vast tarief",IF(LEFT(F402,8)="Bijdrage",VLOOKUP($F402,Tb_KostenTypen[],MATCH(Lijsten!$P$1,Tb_KostenTypen[#Headers],0),0),VLOOKUP($G402,Lijsten!L:P,MATCH(Lijsten!$P$1,Kop_Tarief_Vast,0),0))),""),"")</f>
        <v/>
      </c>
      <c r="P402" s="320" t="str" cm="1">
        <f t="array" ref="P402">_xlfn.IFNA(IF(INDEX(Tb_KostenOptiesDB[],MATCH($F402,Tb_KostenOptiesDB[KostenOptie],0),IFERROR(MATCH(Methode_Keuze,Tb_KostenOptiesDB[#Headers],0),2))=1,_xlfn.SWITCH($N402,"Uurtarief",IF(OR(AND(RIGHT($F402,3)="IKS",VLOOKUP($M402,DB_Loonkosten,2,0)="Ja"),AND(RIGHT($F402,3)&lt;&gt;"IKS",VLOOKUP($M402,DB_Loonkosten,2,0)="Nee")),IFERROR(VLOOKUP($M402,DB_Loonkosten,25,0),""),0),"Vast tarief",IF(LEFT(F402,8)="Bijdrage",VLOOKUP($F402,Tb_KostenTypen[],MATCH(Lijsten!$P$1,Tb_KostenTypen[#Headers],0),0),VLOOKUP($G402,Lijsten!L:P,MATCH(Lijsten!$P$1,Kop_Tarief_Vast,0),0))),""),"")</f>
        <v/>
      </c>
      <c r="Q402" s="359"/>
      <c r="R402" s="359"/>
      <c r="S402" s="321"/>
      <c r="T402" s="321"/>
      <c r="U402" s="373" t="str">
        <f t="shared" si="24"/>
        <v/>
      </c>
      <c r="V402" s="314" t="str">
        <f t="shared" si="25"/>
        <v/>
      </c>
      <c r="W402" s="314" t="str" cm="1">
        <f t="array" aca="1" ref="W402" ca="1">IFERROR(IF(AE402&lt;&gt;"ja",_xlfn.IFNA(_xlfn.IFS(AND(O402&lt;&gt;"",F402&lt;&gt;"",RIGHT($N402,6)="tarief",F402="Vergoeding"),SUM(O402)*FLOOR(SUM(Q402),0.0001),AND(O402&lt;&gt;"",F402&lt;&gt;"",RIGHT($N402,6)="tarief"),SUM(O402)*FLOOR(SUM(Q402),0.01),S402&gt;0,IF(F402&lt;&gt;"",FLOOR(SUM(S402),0.01),"")),""),""),"")</f>
        <v/>
      </c>
      <c r="X402" s="314" t="str" cm="1">
        <f t="array" aca="1" ref="X402" ca="1">IFERROR(IF(AE402&lt;&gt;"ja",_xlfn.IFNA(_xlfn.IFS(AND(P402&lt;&gt;"",R402&lt;&gt;"",RIGHT($N402,6)="tarief",F402="Vergoeding"),SUM(P402)*FLOOR(SUM(R402),0.0001),AND(P402&lt;&gt;"",R402&lt;&gt;"",RIGHT($N402,6)="tarief"),P402*FLOOR(R402,0.01),T402&gt;0,FLOOR(SUM(T402),0.01)),""),""),"")</f>
        <v/>
      </c>
      <c r="Y402" s="314" t="str">
        <f t="shared" ca="1" si="26"/>
        <v/>
      </c>
      <c r="Z402" s="314" t="str" cm="1">
        <f t="array" aca="1" ref="Z402" ca="1">IFERROR(_xlfn.IFS(OR(F402="",LEFT(Methode_Keuze,4)="Geen",Methode_Keuze=""),"",AND(W402&lt;&gt;"",F402&lt;&gt;"Arbeidskosten"),W402*VLOOKUP(F402,Tb_ProjectKosten[],MATCH(Tb_ProjectKosten[[#Headers],[Forfait_Percentage]],Tb_ProjectKosten[#Headers],0),0),AND(F402="Arbeidskosten",G402&lt;&gt;""),IFERROR(W402*VLOOKUP(G402,Tb_KostenTypen[],3,0)*VLOOKUP(F402,Tb_ProjectKosten[],MATCH(Tb_ProjectKosten[[#Headers],[Forfait_Percentage]],Tb_ProjectKosten[#Headers],0),0),""),W402 &lt;=0,0),"")</f>
        <v/>
      </c>
      <c r="AA402" s="314" t="str" cm="1">
        <f t="array" aca="1" ref="AA402" ca="1">IFERROR(_xlfn.IFS(OR(F402="",LEFT(Methode_Keuze,4)="Geen",Methode_Keuze=""),"",AND(X402&lt;&gt;"",F402&lt;&gt;"Arbeidskosten"),X402*VLOOKUP(F402,Tb_ProjectKosten[],MATCH(Tb_ProjectKosten[[#Headers],[Forfait_Percentage]],Tb_ProjectKosten[#Headers],0),0),AND(F402="Arbeidskosten",G402&lt;&gt;""),IFERROR(X402*VLOOKUP(G402,Tb_KostenTypen[],3,0)*VLOOKUP(F402,Tb_ProjectKosten[],MATCH(Tb_ProjectKosten[[#Headers],[Forfait_Percentage]],Tb_ProjectKosten[#Headers],0),0),""),X402 &lt;=0,0),"")</f>
        <v/>
      </c>
      <c r="AB402" s="314" t="str">
        <f t="shared" ca="1" si="27"/>
        <v/>
      </c>
      <c r="AC402" s="322"/>
      <c r="AD402" s="315"/>
      <c r="AE402" s="32" t="str" cm="1">
        <f t="array" ref="AE402">IFERROR(IF(INDEX(SubsidieTabel!$AD$1:$AG$12,MATCH($F402,SubsidieTabel!$AD$1:$AD$12,0),IFERROR(MATCH(Methode_Keuze,SubsidieTabel!$AD$1:$AG$1,0),2))&lt;&gt;1=TRUE,"ja",""),"")</f>
        <v/>
      </c>
    </row>
    <row r="403" spans="1:31" x14ac:dyDescent="0.25">
      <c r="A403" s="316"/>
      <c r="B403" s="317" t="str">
        <f>IF(A403&lt;&gt;"",_xlfn.MAXIFS($B$1:B402,$A$1:A402,A403)+1,"")</f>
        <v/>
      </c>
      <c r="C403" s="296"/>
      <c r="D403" s="296"/>
      <c r="E403" s="296"/>
      <c r="F403" s="296"/>
      <c r="G403" s="326"/>
      <c r="H403" s="324"/>
      <c r="I403" s="325"/>
      <c r="J403" s="325"/>
      <c r="K403" s="318"/>
      <c r="L403" s="318"/>
      <c r="M403" s="319" t="str">
        <f>IFERROR(VLOOKUP(H403,Lijsten!$H$1:$I$100,2,0),"")</f>
        <v/>
      </c>
      <c r="N403" s="319" t="str">
        <f ca="1">IFERROR(IF(VLOOKUP(F403,Kostentypen!$A$3:$E$21,3,0)=0,"",IF(OR(F403="Arbeidskosten",F403="Vergoeding"),VLOOKUP(G403,Tb_KostenTypen[],2,0),VLOOKUP(F403,Kostentypen!$A$3:$E$20,3,0))),"")</f>
        <v/>
      </c>
      <c r="O403" s="320" t="str" cm="1">
        <f t="array" ref="O403">_xlfn.IFNA(IF(INDEX(Tb_KostenOptiesDB[],MATCH($F403,Tb_KostenOptiesDB[KostenOptie],0),IFERROR(MATCH(Methode_Keuze,Tb_KostenOptiesDB[#Headers],0),2))=1,_xlfn.SWITCH($N403,"Uurtarief",IF(OR(AND(RIGHT($F403,3)="IKS",VLOOKUP($M403,DB_Loonkosten,2,0)="Ja"),AND(RIGHT($F403,3)&lt;&gt;"IKS",VLOOKUP($M403,DB_Loonkosten,2,0)="Nee")),IFERROR(VLOOKUP($M403,DB_Loonkosten,24,0),""),0),"Vast tarief",IF(LEFT(F403,8)="Bijdrage",VLOOKUP($F403,Tb_KostenTypen[],MATCH(Lijsten!$P$1,Tb_KostenTypen[#Headers],0),0),VLOOKUP($G403,Lijsten!L:P,MATCH(Lijsten!$P$1,Kop_Tarief_Vast,0),0))),""),"")</f>
        <v/>
      </c>
      <c r="P403" s="320" t="str" cm="1">
        <f t="array" ref="P403">_xlfn.IFNA(IF(INDEX(Tb_KostenOptiesDB[],MATCH($F403,Tb_KostenOptiesDB[KostenOptie],0),IFERROR(MATCH(Methode_Keuze,Tb_KostenOptiesDB[#Headers],0),2))=1,_xlfn.SWITCH($N403,"Uurtarief",IF(OR(AND(RIGHT($F403,3)="IKS",VLOOKUP($M403,DB_Loonkosten,2,0)="Ja"),AND(RIGHT($F403,3)&lt;&gt;"IKS",VLOOKUP($M403,DB_Loonkosten,2,0)="Nee")),IFERROR(VLOOKUP($M403,DB_Loonkosten,25,0),""),0),"Vast tarief",IF(LEFT(F403,8)="Bijdrage",VLOOKUP($F403,Tb_KostenTypen[],MATCH(Lijsten!$P$1,Tb_KostenTypen[#Headers],0),0),VLOOKUP($G403,Lijsten!L:P,MATCH(Lijsten!$P$1,Kop_Tarief_Vast,0),0))),""),"")</f>
        <v/>
      </c>
      <c r="Q403" s="359"/>
      <c r="R403" s="359"/>
      <c r="S403" s="321"/>
      <c r="T403" s="321"/>
      <c r="U403" s="373" t="str">
        <f t="shared" si="24"/>
        <v/>
      </c>
      <c r="V403" s="314" t="str">
        <f t="shared" si="25"/>
        <v/>
      </c>
      <c r="W403" s="314" t="str" cm="1">
        <f t="array" aca="1" ref="W403" ca="1">IFERROR(IF(AE403&lt;&gt;"ja",_xlfn.IFNA(_xlfn.IFS(AND(O403&lt;&gt;"",F403&lt;&gt;"",RIGHT($N403,6)="tarief",F403="Vergoeding"),SUM(O403)*FLOOR(SUM(Q403),0.0001),AND(O403&lt;&gt;"",F403&lt;&gt;"",RIGHT($N403,6)="tarief"),SUM(O403)*FLOOR(SUM(Q403),0.01),S403&gt;0,IF(F403&lt;&gt;"",FLOOR(SUM(S403),0.01),"")),""),""),"")</f>
        <v/>
      </c>
      <c r="X403" s="314" t="str" cm="1">
        <f t="array" aca="1" ref="X403" ca="1">IFERROR(IF(AE403&lt;&gt;"ja",_xlfn.IFNA(_xlfn.IFS(AND(P403&lt;&gt;"",R403&lt;&gt;"",RIGHT($N403,6)="tarief",F403="Vergoeding"),SUM(P403)*FLOOR(SUM(R403),0.0001),AND(P403&lt;&gt;"",R403&lt;&gt;"",RIGHT($N403,6)="tarief"),P403*FLOOR(R403,0.01),T403&gt;0,FLOOR(SUM(T403),0.01)),""),""),"")</f>
        <v/>
      </c>
      <c r="Y403" s="314" t="str">
        <f t="shared" ca="1" si="26"/>
        <v/>
      </c>
      <c r="Z403" s="314" t="str" cm="1">
        <f t="array" aca="1" ref="Z403" ca="1">IFERROR(_xlfn.IFS(OR(F403="",LEFT(Methode_Keuze,4)="Geen",Methode_Keuze=""),"",AND(W403&lt;&gt;"",F403&lt;&gt;"Arbeidskosten"),W403*VLOOKUP(F403,Tb_ProjectKosten[],MATCH(Tb_ProjectKosten[[#Headers],[Forfait_Percentage]],Tb_ProjectKosten[#Headers],0),0),AND(F403="Arbeidskosten",G403&lt;&gt;""),IFERROR(W403*VLOOKUP(G403,Tb_KostenTypen[],3,0)*VLOOKUP(F403,Tb_ProjectKosten[],MATCH(Tb_ProjectKosten[[#Headers],[Forfait_Percentage]],Tb_ProjectKosten[#Headers],0),0),""),W403 &lt;=0,0),"")</f>
        <v/>
      </c>
      <c r="AA403" s="314" t="str" cm="1">
        <f t="array" aca="1" ref="AA403" ca="1">IFERROR(_xlfn.IFS(OR(F403="",LEFT(Methode_Keuze,4)="Geen",Methode_Keuze=""),"",AND(X403&lt;&gt;"",F403&lt;&gt;"Arbeidskosten"),X403*VLOOKUP(F403,Tb_ProjectKosten[],MATCH(Tb_ProjectKosten[[#Headers],[Forfait_Percentage]],Tb_ProjectKosten[#Headers],0),0),AND(F403="Arbeidskosten",G403&lt;&gt;""),IFERROR(X403*VLOOKUP(G403,Tb_KostenTypen[],3,0)*VLOOKUP(F403,Tb_ProjectKosten[],MATCH(Tb_ProjectKosten[[#Headers],[Forfait_Percentage]],Tb_ProjectKosten[#Headers],0),0),""),X403 &lt;=0,0),"")</f>
        <v/>
      </c>
      <c r="AB403" s="314" t="str">
        <f t="shared" ca="1" si="27"/>
        <v/>
      </c>
      <c r="AC403" s="322"/>
      <c r="AD403" s="315"/>
      <c r="AE403" s="32" t="str" cm="1">
        <f t="array" ref="AE403">IFERROR(IF(INDEX(SubsidieTabel!$AD$1:$AG$12,MATCH($F403,SubsidieTabel!$AD$1:$AD$12,0),IFERROR(MATCH(Methode_Keuze,SubsidieTabel!$AD$1:$AG$1,0),2))&lt;&gt;1=TRUE,"ja",""),"")</f>
        <v/>
      </c>
    </row>
    <row r="404" spans="1:31" x14ac:dyDescent="0.25">
      <c r="A404" s="316"/>
      <c r="B404" s="317" t="str">
        <f>IF(A404&lt;&gt;"",_xlfn.MAXIFS($B$1:B403,$A$1:A403,A404)+1,"")</f>
        <v/>
      </c>
      <c r="C404" s="296"/>
      <c r="D404" s="296"/>
      <c r="E404" s="296"/>
      <c r="F404" s="296"/>
      <c r="G404" s="326"/>
      <c r="H404" s="324"/>
      <c r="I404" s="325"/>
      <c r="J404" s="325"/>
      <c r="K404" s="318"/>
      <c r="L404" s="318"/>
      <c r="M404" s="319" t="str">
        <f>IFERROR(VLOOKUP(H404,Lijsten!$H$1:$I$100,2,0),"")</f>
        <v/>
      </c>
      <c r="N404" s="319" t="str">
        <f ca="1">IFERROR(IF(VLOOKUP(F404,Kostentypen!$A$3:$E$21,3,0)=0,"",IF(OR(F404="Arbeidskosten",F404="Vergoeding"),VLOOKUP(G404,Tb_KostenTypen[],2,0),VLOOKUP(F404,Kostentypen!$A$3:$E$20,3,0))),"")</f>
        <v/>
      </c>
      <c r="O404" s="320" t="str" cm="1">
        <f t="array" ref="O404">_xlfn.IFNA(IF(INDEX(Tb_KostenOptiesDB[],MATCH($F404,Tb_KostenOptiesDB[KostenOptie],0),IFERROR(MATCH(Methode_Keuze,Tb_KostenOptiesDB[#Headers],0),2))=1,_xlfn.SWITCH($N404,"Uurtarief",IF(OR(AND(RIGHT($F404,3)="IKS",VLOOKUP($M404,DB_Loonkosten,2,0)="Ja"),AND(RIGHT($F404,3)&lt;&gt;"IKS",VLOOKUP($M404,DB_Loonkosten,2,0)="Nee")),IFERROR(VLOOKUP($M404,DB_Loonkosten,24,0),""),0),"Vast tarief",IF(LEFT(F404,8)="Bijdrage",VLOOKUP($F404,Tb_KostenTypen[],MATCH(Lijsten!$P$1,Tb_KostenTypen[#Headers],0),0),VLOOKUP($G404,Lijsten!L:P,MATCH(Lijsten!$P$1,Kop_Tarief_Vast,0),0))),""),"")</f>
        <v/>
      </c>
      <c r="P404" s="320" t="str" cm="1">
        <f t="array" ref="P404">_xlfn.IFNA(IF(INDEX(Tb_KostenOptiesDB[],MATCH($F404,Tb_KostenOptiesDB[KostenOptie],0),IFERROR(MATCH(Methode_Keuze,Tb_KostenOptiesDB[#Headers],0),2))=1,_xlfn.SWITCH($N404,"Uurtarief",IF(OR(AND(RIGHT($F404,3)="IKS",VLOOKUP($M404,DB_Loonkosten,2,0)="Ja"),AND(RIGHT($F404,3)&lt;&gt;"IKS",VLOOKUP($M404,DB_Loonkosten,2,0)="Nee")),IFERROR(VLOOKUP($M404,DB_Loonkosten,25,0),""),0),"Vast tarief",IF(LEFT(F404,8)="Bijdrage",VLOOKUP($F404,Tb_KostenTypen[],MATCH(Lijsten!$P$1,Tb_KostenTypen[#Headers],0),0),VLOOKUP($G404,Lijsten!L:P,MATCH(Lijsten!$P$1,Kop_Tarief_Vast,0),0))),""),"")</f>
        <v/>
      </c>
      <c r="Q404" s="359"/>
      <c r="R404" s="359"/>
      <c r="S404" s="321"/>
      <c r="T404" s="321"/>
      <c r="U404" s="373" t="str">
        <f t="shared" si="24"/>
        <v/>
      </c>
      <c r="V404" s="314" t="str">
        <f t="shared" si="25"/>
        <v/>
      </c>
      <c r="W404" s="314" t="str" cm="1">
        <f t="array" aca="1" ref="W404" ca="1">IFERROR(IF(AE404&lt;&gt;"ja",_xlfn.IFNA(_xlfn.IFS(AND(O404&lt;&gt;"",F404&lt;&gt;"",RIGHT($N404,6)="tarief",F404="Vergoeding"),SUM(O404)*FLOOR(SUM(Q404),0.0001),AND(O404&lt;&gt;"",F404&lt;&gt;"",RIGHT($N404,6)="tarief"),SUM(O404)*FLOOR(SUM(Q404),0.01),S404&gt;0,IF(F404&lt;&gt;"",FLOOR(SUM(S404),0.01),"")),""),""),"")</f>
        <v/>
      </c>
      <c r="X404" s="314" t="str" cm="1">
        <f t="array" aca="1" ref="X404" ca="1">IFERROR(IF(AE404&lt;&gt;"ja",_xlfn.IFNA(_xlfn.IFS(AND(P404&lt;&gt;"",R404&lt;&gt;"",RIGHT($N404,6)="tarief",F404="Vergoeding"),SUM(P404)*FLOOR(SUM(R404),0.0001),AND(P404&lt;&gt;"",R404&lt;&gt;"",RIGHT($N404,6)="tarief"),P404*FLOOR(R404,0.01),T404&gt;0,FLOOR(SUM(T404),0.01)),""),""),"")</f>
        <v/>
      </c>
      <c r="Y404" s="314" t="str">
        <f t="shared" ca="1" si="26"/>
        <v/>
      </c>
      <c r="Z404" s="314" t="str" cm="1">
        <f t="array" aca="1" ref="Z404" ca="1">IFERROR(_xlfn.IFS(OR(F404="",LEFT(Methode_Keuze,4)="Geen",Methode_Keuze=""),"",AND(W404&lt;&gt;"",F404&lt;&gt;"Arbeidskosten"),W404*VLOOKUP(F404,Tb_ProjectKosten[],MATCH(Tb_ProjectKosten[[#Headers],[Forfait_Percentage]],Tb_ProjectKosten[#Headers],0),0),AND(F404="Arbeidskosten",G404&lt;&gt;""),IFERROR(W404*VLOOKUP(G404,Tb_KostenTypen[],3,0)*VLOOKUP(F404,Tb_ProjectKosten[],MATCH(Tb_ProjectKosten[[#Headers],[Forfait_Percentage]],Tb_ProjectKosten[#Headers],0),0),""),W404 &lt;=0,0),"")</f>
        <v/>
      </c>
      <c r="AA404" s="314" t="str" cm="1">
        <f t="array" aca="1" ref="AA404" ca="1">IFERROR(_xlfn.IFS(OR(F404="",LEFT(Methode_Keuze,4)="Geen",Methode_Keuze=""),"",AND(X404&lt;&gt;"",F404&lt;&gt;"Arbeidskosten"),X404*VLOOKUP(F404,Tb_ProjectKosten[],MATCH(Tb_ProjectKosten[[#Headers],[Forfait_Percentage]],Tb_ProjectKosten[#Headers],0),0),AND(F404="Arbeidskosten",G404&lt;&gt;""),IFERROR(X404*VLOOKUP(G404,Tb_KostenTypen[],3,0)*VLOOKUP(F404,Tb_ProjectKosten[],MATCH(Tb_ProjectKosten[[#Headers],[Forfait_Percentage]],Tb_ProjectKosten[#Headers],0),0),""),X404 &lt;=0,0),"")</f>
        <v/>
      </c>
      <c r="AB404" s="314" t="str">
        <f t="shared" ca="1" si="27"/>
        <v/>
      </c>
      <c r="AC404" s="322"/>
      <c r="AD404" s="315"/>
      <c r="AE404" s="32" t="str" cm="1">
        <f t="array" ref="AE404">IFERROR(IF(INDEX(SubsidieTabel!$AD$1:$AG$12,MATCH($F404,SubsidieTabel!$AD$1:$AD$12,0),IFERROR(MATCH(Methode_Keuze,SubsidieTabel!$AD$1:$AG$1,0),2))&lt;&gt;1=TRUE,"ja",""),"")</f>
        <v/>
      </c>
    </row>
    <row r="405" spans="1:31" x14ac:dyDescent="0.25">
      <c r="A405" s="316"/>
      <c r="B405" s="317" t="str">
        <f>IF(A405&lt;&gt;"",_xlfn.MAXIFS($B$1:B404,$A$1:A404,A405)+1,"")</f>
        <v/>
      </c>
      <c r="C405" s="296"/>
      <c r="D405" s="296"/>
      <c r="E405" s="296"/>
      <c r="F405" s="296"/>
      <c r="G405" s="326"/>
      <c r="H405" s="324"/>
      <c r="I405" s="325"/>
      <c r="J405" s="325"/>
      <c r="K405" s="318"/>
      <c r="L405" s="318"/>
      <c r="M405" s="319" t="str">
        <f>IFERROR(VLOOKUP(H405,Lijsten!$H$1:$I$100,2,0),"")</f>
        <v/>
      </c>
      <c r="N405" s="319" t="str">
        <f ca="1">IFERROR(IF(VLOOKUP(F405,Kostentypen!$A$3:$E$21,3,0)=0,"",IF(OR(F405="Arbeidskosten",F405="Vergoeding"),VLOOKUP(G405,Tb_KostenTypen[],2,0),VLOOKUP(F405,Kostentypen!$A$3:$E$20,3,0))),"")</f>
        <v/>
      </c>
      <c r="O405" s="320" t="str" cm="1">
        <f t="array" ref="O405">_xlfn.IFNA(IF(INDEX(Tb_KostenOptiesDB[],MATCH($F405,Tb_KostenOptiesDB[KostenOptie],0),IFERROR(MATCH(Methode_Keuze,Tb_KostenOptiesDB[#Headers],0),2))=1,_xlfn.SWITCH($N405,"Uurtarief",IF(OR(AND(RIGHT($F405,3)="IKS",VLOOKUP($M405,DB_Loonkosten,2,0)="Ja"),AND(RIGHT($F405,3)&lt;&gt;"IKS",VLOOKUP($M405,DB_Loonkosten,2,0)="Nee")),IFERROR(VLOOKUP($M405,DB_Loonkosten,24,0),""),0),"Vast tarief",IF(LEFT(F405,8)="Bijdrage",VLOOKUP($F405,Tb_KostenTypen[],MATCH(Lijsten!$P$1,Tb_KostenTypen[#Headers],0),0),VLOOKUP($G405,Lijsten!L:P,MATCH(Lijsten!$P$1,Kop_Tarief_Vast,0),0))),""),"")</f>
        <v/>
      </c>
      <c r="P405" s="320" t="str" cm="1">
        <f t="array" ref="P405">_xlfn.IFNA(IF(INDEX(Tb_KostenOptiesDB[],MATCH($F405,Tb_KostenOptiesDB[KostenOptie],0),IFERROR(MATCH(Methode_Keuze,Tb_KostenOptiesDB[#Headers],0),2))=1,_xlfn.SWITCH($N405,"Uurtarief",IF(OR(AND(RIGHT($F405,3)="IKS",VLOOKUP($M405,DB_Loonkosten,2,0)="Ja"),AND(RIGHT($F405,3)&lt;&gt;"IKS",VLOOKUP($M405,DB_Loonkosten,2,0)="Nee")),IFERROR(VLOOKUP($M405,DB_Loonkosten,25,0),""),0),"Vast tarief",IF(LEFT(F405,8)="Bijdrage",VLOOKUP($F405,Tb_KostenTypen[],MATCH(Lijsten!$P$1,Tb_KostenTypen[#Headers],0),0),VLOOKUP($G405,Lijsten!L:P,MATCH(Lijsten!$P$1,Kop_Tarief_Vast,0),0))),""),"")</f>
        <v/>
      </c>
      <c r="Q405" s="359"/>
      <c r="R405" s="359"/>
      <c r="S405" s="321"/>
      <c r="T405" s="321"/>
      <c r="U405" s="373" t="str">
        <f t="shared" si="24"/>
        <v/>
      </c>
      <c r="V405" s="314" t="str">
        <f t="shared" si="25"/>
        <v/>
      </c>
      <c r="W405" s="314" t="str" cm="1">
        <f t="array" aca="1" ref="W405" ca="1">IFERROR(IF(AE405&lt;&gt;"ja",_xlfn.IFNA(_xlfn.IFS(AND(O405&lt;&gt;"",F405&lt;&gt;"",RIGHT($N405,6)="tarief",F405="Vergoeding"),SUM(O405)*FLOOR(SUM(Q405),0.0001),AND(O405&lt;&gt;"",F405&lt;&gt;"",RIGHT($N405,6)="tarief"),SUM(O405)*FLOOR(SUM(Q405),0.01),S405&gt;0,IF(F405&lt;&gt;"",FLOOR(SUM(S405),0.01),"")),""),""),"")</f>
        <v/>
      </c>
      <c r="X405" s="314" t="str" cm="1">
        <f t="array" aca="1" ref="X405" ca="1">IFERROR(IF(AE405&lt;&gt;"ja",_xlfn.IFNA(_xlfn.IFS(AND(P405&lt;&gt;"",R405&lt;&gt;"",RIGHT($N405,6)="tarief",F405="Vergoeding"),SUM(P405)*FLOOR(SUM(R405),0.0001),AND(P405&lt;&gt;"",R405&lt;&gt;"",RIGHT($N405,6)="tarief"),P405*FLOOR(R405,0.01),T405&gt;0,FLOOR(SUM(T405),0.01)),""),""),"")</f>
        <v/>
      </c>
      <c r="Y405" s="314" t="str">
        <f t="shared" ca="1" si="26"/>
        <v/>
      </c>
      <c r="Z405" s="314" t="str" cm="1">
        <f t="array" aca="1" ref="Z405" ca="1">IFERROR(_xlfn.IFS(OR(F405="",LEFT(Methode_Keuze,4)="Geen",Methode_Keuze=""),"",AND(W405&lt;&gt;"",F405&lt;&gt;"Arbeidskosten"),W405*VLOOKUP(F405,Tb_ProjectKosten[],MATCH(Tb_ProjectKosten[[#Headers],[Forfait_Percentage]],Tb_ProjectKosten[#Headers],0),0),AND(F405="Arbeidskosten",G405&lt;&gt;""),IFERROR(W405*VLOOKUP(G405,Tb_KostenTypen[],3,0)*VLOOKUP(F405,Tb_ProjectKosten[],MATCH(Tb_ProjectKosten[[#Headers],[Forfait_Percentage]],Tb_ProjectKosten[#Headers],0),0),""),W405 &lt;=0,0),"")</f>
        <v/>
      </c>
      <c r="AA405" s="314" t="str" cm="1">
        <f t="array" aca="1" ref="AA405" ca="1">IFERROR(_xlfn.IFS(OR(F405="",LEFT(Methode_Keuze,4)="Geen",Methode_Keuze=""),"",AND(X405&lt;&gt;"",F405&lt;&gt;"Arbeidskosten"),X405*VLOOKUP(F405,Tb_ProjectKosten[],MATCH(Tb_ProjectKosten[[#Headers],[Forfait_Percentage]],Tb_ProjectKosten[#Headers],0),0),AND(F405="Arbeidskosten",G405&lt;&gt;""),IFERROR(X405*VLOOKUP(G405,Tb_KostenTypen[],3,0)*VLOOKUP(F405,Tb_ProjectKosten[],MATCH(Tb_ProjectKosten[[#Headers],[Forfait_Percentage]],Tb_ProjectKosten[#Headers],0),0),""),X405 &lt;=0,0),"")</f>
        <v/>
      </c>
      <c r="AB405" s="314" t="str">
        <f t="shared" ca="1" si="27"/>
        <v/>
      </c>
      <c r="AC405" s="322"/>
      <c r="AD405" s="315"/>
      <c r="AE405" s="32" t="str" cm="1">
        <f t="array" ref="AE405">IFERROR(IF(INDEX(SubsidieTabel!$AD$1:$AG$12,MATCH($F405,SubsidieTabel!$AD$1:$AD$12,0),IFERROR(MATCH(Methode_Keuze,SubsidieTabel!$AD$1:$AG$1,0),2))&lt;&gt;1=TRUE,"ja",""),"")</f>
        <v/>
      </c>
    </row>
    <row r="406" spans="1:31" x14ac:dyDescent="0.25">
      <c r="A406" s="316"/>
      <c r="B406" s="317" t="str">
        <f>IF(A406&lt;&gt;"",_xlfn.MAXIFS($B$1:B405,$A$1:A405,A406)+1,"")</f>
        <v/>
      </c>
      <c r="C406" s="296"/>
      <c r="D406" s="296"/>
      <c r="E406" s="296"/>
      <c r="F406" s="296"/>
      <c r="G406" s="326"/>
      <c r="H406" s="324"/>
      <c r="I406" s="325"/>
      <c r="J406" s="325"/>
      <c r="K406" s="318"/>
      <c r="L406" s="318"/>
      <c r="M406" s="319" t="str">
        <f>IFERROR(VLOOKUP(H406,Lijsten!$H$1:$I$100,2,0),"")</f>
        <v/>
      </c>
      <c r="N406" s="319" t="str">
        <f ca="1">IFERROR(IF(VLOOKUP(F406,Kostentypen!$A$3:$E$21,3,0)=0,"",IF(OR(F406="Arbeidskosten",F406="Vergoeding"),VLOOKUP(G406,Tb_KostenTypen[],2,0),VLOOKUP(F406,Kostentypen!$A$3:$E$20,3,0))),"")</f>
        <v/>
      </c>
      <c r="O406" s="320" t="str" cm="1">
        <f t="array" ref="O406">_xlfn.IFNA(IF(INDEX(Tb_KostenOptiesDB[],MATCH($F406,Tb_KostenOptiesDB[KostenOptie],0),IFERROR(MATCH(Methode_Keuze,Tb_KostenOptiesDB[#Headers],0),2))=1,_xlfn.SWITCH($N406,"Uurtarief",IF(OR(AND(RIGHT($F406,3)="IKS",VLOOKUP($M406,DB_Loonkosten,2,0)="Ja"),AND(RIGHT($F406,3)&lt;&gt;"IKS",VLOOKUP($M406,DB_Loonkosten,2,0)="Nee")),IFERROR(VLOOKUP($M406,DB_Loonkosten,24,0),""),0),"Vast tarief",IF(LEFT(F406,8)="Bijdrage",VLOOKUP($F406,Tb_KostenTypen[],MATCH(Lijsten!$P$1,Tb_KostenTypen[#Headers],0),0),VLOOKUP($G406,Lijsten!L:P,MATCH(Lijsten!$P$1,Kop_Tarief_Vast,0),0))),""),"")</f>
        <v/>
      </c>
      <c r="P406" s="320" t="str" cm="1">
        <f t="array" ref="P406">_xlfn.IFNA(IF(INDEX(Tb_KostenOptiesDB[],MATCH($F406,Tb_KostenOptiesDB[KostenOptie],0),IFERROR(MATCH(Methode_Keuze,Tb_KostenOptiesDB[#Headers],0),2))=1,_xlfn.SWITCH($N406,"Uurtarief",IF(OR(AND(RIGHT($F406,3)="IKS",VLOOKUP($M406,DB_Loonkosten,2,0)="Ja"),AND(RIGHT($F406,3)&lt;&gt;"IKS",VLOOKUP($M406,DB_Loonkosten,2,0)="Nee")),IFERROR(VLOOKUP($M406,DB_Loonkosten,25,0),""),0),"Vast tarief",IF(LEFT(F406,8)="Bijdrage",VLOOKUP($F406,Tb_KostenTypen[],MATCH(Lijsten!$P$1,Tb_KostenTypen[#Headers],0),0),VLOOKUP($G406,Lijsten!L:P,MATCH(Lijsten!$P$1,Kop_Tarief_Vast,0),0))),""),"")</f>
        <v/>
      </c>
      <c r="Q406" s="359"/>
      <c r="R406" s="359"/>
      <c r="S406" s="321"/>
      <c r="T406" s="321"/>
      <c r="U406" s="373" t="str">
        <f t="shared" si="24"/>
        <v/>
      </c>
      <c r="V406" s="314" t="str">
        <f t="shared" si="25"/>
        <v/>
      </c>
      <c r="W406" s="314" t="str" cm="1">
        <f t="array" aca="1" ref="W406" ca="1">IFERROR(IF(AE406&lt;&gt;"ja",_xlfn.IFNA(_xlfn.IFS(AND(O406&lt;&gt;"",F406&lt;&gt;"",RIGHT($N406,6)="tarief",F406="Vergoeding"),SUM(O406)*FLOOR(SUM(Q406),0.0001),AND(O406&lt;&gt;"",F406&lt;&gt;"",RIGHT($N406,6)="tarief"),SUM(O406)*FLOOR(SUM(Q406),0.01),S406&gt;0,IF(F406&lt;&gt;"",FLOOR(SUM(S406),0.01),"")),""),""),"")</f>
        <v/>
      </c>
      <c r="X406" s="314" t="str" cm="1">
        <f t="array" aca="1" ref="X406" ca="1">IFERROR(IF(AE406&lt;&gt;"ja",_xlfn.IFNA(_xlfn.IFS(AND(P406&lt;&gt;"",R406&lt;&gt;"",RIGHT($N406,6)="tarief",F406="Vergoeding"),SUM(P406)*FLOOR(SUM(R406),0.0001),AND(P406&lt;&gt;"",R406&lt;&gt;"",RIGHT($N406,6)="tarief"),P406*FLOOR(R406,0.01),T406&gt;0,FLOOR(SUM(T406),0.01)),""),""),"")</f>
        <v/>
      </c>
      <c r="Y406" s="314" t="str">
        <f t="shared" ca="1" si="26"/>
        <v/>
      </c>
      <c r="Z406" s="314" t="str" cm="1">
        <f t="array" aca="1" ref="Z406" ca="1">IFERROR(_xlfn.IFS(OR(F406="",LEFT(Methode_Keuze,4)="Geen",Methode_Keuze=""),"",AND(W406&lt;&gt;"",F406&lt;&gt;"Arbeidskosten"),W406*VLOOKUP(F406,Tb_ProjectKosten[],MATCH(Tb_ProjectKosten[[#Headers],[Forfait_Percentage]],Tb_ProjectKosten[#Headers],0),0),AND(F406="Arbeidskosten",G406&lt;&gt;""),IFERROR(W406*VLOOKUP(G406,Tb_KostenTypen[],3,0)*VLOOKUP(F406,Tb_ProjectKosten[],MATCH(Tb_ProjectKosten[[#Headers],[Forfait_Percentage]],Tb_ProjectKosten[#Headers],0),0),""),W406 &lt;=0,0),"")</f>
        <v/>
      </c>
      <c r="AA406" s="314" t="str" cm="1">
        <f t="array" aca="1" ref="AA406" ca="1">IFERROR(_xlfn.IFS(OR(F406="",LEFT(Methode_Keuze,4)="Geen",Methode_Keuze=""),"",AND(X406&lt;&gt;"",F406&lt;&gt;"Arbeidskosten"),X406*VLOOKUP(F406,Tb_ProjectKosten[],MATCH(Tb_ProjectKosten[[#Headers],[Forfait_Percentage]],Tb_ProjectKosten[#Headers],0),0),AND(F406="Arbeidskosten",G406&lt;&gt;""),IFERROR(X406*VLOOKUP(G406,Tb_KostenTypen[],3,0)*VLOOKUP(F406,Tb_ProjectKosten[],MATCH(Tb_ProjectKosten[[#Headers],[Forfait_Percentage]],Tb_ProjectKosten[#Headers],0),0),""),X406 &lt;=0,0),"")</f>
        <v/>
      </c>
      <c r="AB406" s="314" t="str">
        <f t="shared" ca="1" si="27"/>
        <v/>
      </c>
      <c r="AC406" s="322"/>
      <c r="AD406" s="315"/>
      <c r="AE406" s="32" t="str" cm="1">
        <f t="array" ref="AE406">IFERROR(IF(INDEX(SubsidieTabel!$AD$1:$AG$12,MATCH($F406,SubsidieTabel!$AD$1:$AD$12,0),IFERROR(MATCH(Methode_Keuze,SubsidieTabel!$AD$1:$AG$1,0),2))&lt;&gt;1=TRUE,"ja",""),"")</f>
        <v/>
      </c>
    </row>
    <row r="407" spans="1:31" x14ac:dyDescent="0.25">
      <c r="A407" s="316"/>
      <c r="B407" s="317" t="str">
        <f>IF(A407&lt;&gt;"",_xlfn.MAXIFS($B$1:B406,$A$1:A406,A407)+1,"")</f>
        <v/>
      </c>
      <c r="C407" s="296"/>
      <c r="D407" s="296"/>
      <c r="E407" s="296"/>
      <c r="F407" s="296"/>
      <c r="G407" s="326"/>
      <c r="H407" s="324"/>
      <c r="I407" s="325"/>
      <c r="J407" s="325"/>
      <c r="K407" s="318"/>
      <c r="L407" s="318"/>
      <c r="M407" s="319" t="str">
        <f>IFERROR(VLOOKUP(H407,Lijsten!$H$1:$I$100,2,0),"")</f>
        <v/>
      </c>
      <c r="N407" s="319" t="str">
        <f ca="1">IFERROR(IF(VLOOKUP(F407,Kostentypen!$A$3:$E$21,3,0)=0,"",IF(OR(F407="Arbeidskosten",F407="Vergoeding"),VLOOKUP(G407,Tb_KostenTypen[],2,0),VLOOKUP(F407,Kostentypen!$A$3:$E$20,3,0))),"")</f>
        <v/>
      </c>
      <c r="O407" s="320" t="str" cm="1">
        <f t="array" ref="O407">_xlfn.IFNA(IF(INDEX(Tb_KostenOptiesDB[],MATCH($F407,Tb_KostenOptiesDB[KostenOptie],0),IFERROR(MATCH(Methode_Keuze,Tb_KostenOptiesDB[#Headers],0),2))=1,_xlfn.SWITCH($N407,"Uurtarief",IF(OR(AND(RIGHT($F407,3)="IKS",VLOOKUP($M407,DB_Loonkosten,2,0)="Ja"),AND(RIGHT($F407,3)&lt;&gt;"IKS",VLOOKUP($M407,DB_Loonkosten,2,0)="Nee")),IFERROR(VLOOKUP($M407,DB_Loonkosten,24,0),""),0),"Vast tarief",IF(LEFT(F407,8)="Bijdrage",VLOOKUP($F407,Tb_KostenTypen[],MATCH(Lijsten!$P$1,Tb_KostenTypen[#Headers],0),0),VLOOKUP($G407,Lijsten!L:P,MATCH(Lijsten!$P$1,Kop_Tarief_Vast,0),0))),""),"")</f>
        <v/>
      </c>
      <c r="P407" s="320" t="str" cm="1">
        <f t="array" ref="P407">_xlfn.IFNA(IF(INDEX(Tb_KostenOptiesDB[],MATCH($F407,Tb_KostenOptiesDB[KostenOptie],0),IFERROR(MATCH(Methode_Keuze,Tb_KostenOptiesDB[#Headers],0),2))=1,_xlfn.SWITCH($N407,"Uurtarief",IF(OR(AND(RIGHT($F407,3)="IKS",VLOOKUP($M407,DB_Loonkosten,2,0)="Ja"),AND(RIGHT($F407,3)&lt;&gt;"IKS",VLOOKUP($M407,DB_Loonkosten,2,0)="Nee")),IFERROR(VLOOKUP($M407,DB_Loonkosten,25,0),""),0),"Vast tarief",IF(LEFT(F407,8)="Bijdrage",VLOOKUP($F407,Tb_KostenTypen[],MATCH(Lijsten!$P$1,Tb_KostenTypen[#Headers],0),0),VLOOKUP($G407,Lijsten!L:P,MATCH(Lijsten!$P$1,Kop_Tarief_Vast,0),0))),""),"")</f>
        <v/>
      </c>
      <c r="Q407" s="359"/>
      <c r="R407" s="359"/>
      <c r="S407" s="321"/>
      <c r="T407" s="321"/>
      <c r="U407" s="373" t="str">
        <f t="shared" si="24"/>
        <v/>
      </c>
      <c r="V407" s="314" t="str">
        <f t="shared" si="25"/>
        <v/>
      </c>
      <c r="W407" s="314" t="str" cm="1">
        <f t="array" aca="1" ref="W407" ca="1">IFERROR(IF(AE407&lt;&gt;"ja",_xlfn.IFNA(_xlfn.IFS(AND(O407&lt;&gt;"",F407&lt;&gt;"",RIGHT($N407,6)="tarief",F407="Vergoeding"),SUM(O407)*FLOOR(SUM(Q407),0.0001),AND(O407&lt;&gt;"",F407&lt;&gt;"",RIGHT($N407,6)="tarief"),SUM(O407)*FLOOR(SUM(Q407),0.01),S407&gt;0,IF(F407&lt;&gt;"",FLOOR(SUM(S407),0.01),"")),""),""),"")</f>
        <v/>
      </c>
      <c r="X407" s="314" t="str" cm="1">
        <f t="array" aca="1" ref="X407" ca="1">IFERROR(IF(AE407&lt;&gt;"ja",_xlfn.IFNA(_xlfn.IFS(AND(P407&lt;&gt;"",R407&lt;&gt;"",RIGHT($N407,6)="tarief",F407="Vergoeding"),SUM(P407)*FLOOR(SUM(R407),0.0001),AND(P407&lt;&gt;"",R407&lt;&gt;"",RIGHT($N407,6)="tarief"),P407*FLOOR(R407,0.01),T407&gt;0,FLOOR(SUM(T407),0.01)),""),""),"")</f>
        <v/>
      </c>
      <c r="Y407" s="314" t="str">
        <f t="shared" ca="1" si="26"/>
        <v/>
      </c>
      <c r="Z407" s="314" t="str" cm="1">
        <f t="array" aca="1" ref="Z407" ca="1">IFERROR(_xlfn.IFS(OR(F407="",LEFT(Methode_Keuze,4)="Geen",Methode_Keuze=""),"",AND(W407&lt;&gt;"",F407&lt;&gt;"Arbeidskosten"),W407*VLOOKUP(F407,Tb_ProjectKosten[],MATCH(Tb_ProjectKosten[[#Headers],[Forfait_Percentage]],Tb_ProjectKosten[#Headers],0),0),AND(F407="Arbeidskosten",G407&lt;&gt;""),IFERROR(W407*VLOOKUP(G407,Tb_KostenTypen[],3,0)*VLOOKUP(F407,Tb_ProjectKosten[],MATCH(Tb_ProjectKosten[[#Headers],[Forfait_Percentage]],Tb_ProjectKosten[#Headers],0),0),""),W407 &lt;=0,0),"")</f>
        <v/>
      </c>
      <c r="AA407" s="314" t="str" cm="1">
        <f t="array" aca="1" ref="AA407" ca="1">IFERROR(_xlfn.IFS(OR(F407="",LEFT(Methode_Keuze,4)="Geen",Methode_Keuze=""),"",AND(X407&lt;&gt;"",F407&lt;&gt;"Arbeidskosten"),X407*VLOOKUP(F407,Tb_ProjectKosten[],MATCH(Tb_ProjectKosten[[#Headers],[Forfait_Percentage]],Tb_ProjectKosten[#Headers],0),0),AND(F407="Arbeidskosten",G407&lt;&gt;""),IFERROR(X407*VLOOKUP(G407,Tb_KostenTypen[],3,0)*VLOOKUP(F407,Tb_ProjectKosten[],MATCH(Tb_ProjectKosten[[#Headers],[Forfait_Percentage]],Tb_ProjectKosten[#Headers],0),0),""),X407 &lt;=0,0),"")</f>
        <v/>
      </c>
      <c r="AB407" s="314" t="str">
        <f t="shared" ca="1" si="27"/>
        <v/>
      </c>
      <c r="AC407" s="322"/>
      <c r="AD407" s="315"/>
      <c r="AE407" s="32" t="str" cm="1">
        <f t="array" ref="AE407">IFERROR(IF(INDEX(SubsidieTabel!$AD$1:$AG$12,MATCH($F407,SubsidieTabel!$AD$1:$AD$12,0),IFERROR(MATCH(Methode_Keuze,SubsidieTabel!$AD$1:$AG$1,0),2))&lt;&gt;1=TRUE,"ja",""),"")</f>
        <v/>
      </c>
    </row>
    <row r="408" spans="1:31" x14ac:dyDescent="0.25">
      <c r="A408" s="316"/>
      <c r="B408" s="317" t="str">
        <f>IF(A408&lt;&gt;"",_xlfn.MAXIFS($B$1:B407,$A$1:A407,A408)+1,"")</f>
        <v/>
      </c>
      <c r="C408" s="296"/>
      <c r="D408" s="296"/>
      <c r="E408" s="296"/>
      <c r="F408" s="296"/>
      <c r="G408" s="326"/>
      <c r="H408" s="324"/>
      <c r="I408" s="325"/>
      <c r="J408" s="325"/>
      <c r="K408" s="318"/>
      <c r="L408" s="318"/>
      <c r="M408" s="319" t="str">
        <f>IFERROR(VLOOKUP(H408,Lijsten!$H$1:$I$100,2,0),"")</f>
        <v/>
      </c>
      <c r="N408" s="319" t="str">
        <f ca="1">IFERROR(IF(VLOOKUP(F408,Kostentypen!$A$3:$E$21,3,0)=0,"",IF(OR(F408="Arbeidskosten",F408="Vergoeding"),VLOOKUP(G408,Tb_KostenTypen[],2,0),VLOOKUP(F408,Kostentypen!$A$3:$E$20,3,0))),"")</f>
        <v/>
      </c>
      <c r="O408" s="320" t="str" cm="1">
        <f t="array" ref="O408">_xlfn.IFNA(IF(INDEX(Tb_KostenOptiesDB[],MATCH($F408,Tb_KostenOptiesDB[KostenOptie],0),IFERROR(MATCH(Methode_Keuze,Tb_KostenOptiesDB[#Headers],0),2))=1,_xlfn.SWITCH($N408,"Uurtarief",IF(OR(AND(RIGHT($F408,3)="IKS",VLOOKUP($M408,DB_Loonkosten,2,0)="Ja"),AND(RIGHT($F408,3)&lt;&gt;"IKS",VLOOKUP($M408,DB_Loonkosten,2,0)="Nee")),IFERROR(VLOOKUP($M408,DB_Loonkosten,24,0),""),0),"Vast tarief",IF(LEFT(F408,8)="Bijdrage",VLOOKUP($F408,Tb_KostenTypen[],MATCH(Lijsten!$P$1,Tb_KostenTypen[#Headers],0),0),VLOOKUP($G408,Lijsten!L:P,MATCH(Lijsten!$P$1,Kop_Tarief_Vast,0),0))),""),"")</f>
        <v/>
      </c>
      <c r="P408" s="320" t="str" cm="1">
        <f t="array" ref="P408">_xlfn.IFNA(IF(INDEX(Tb_KostenOptiesDB[],MATCH($F408,Tb_KostenOptiesDB[KostenOptie],0),IFERROR(MATCH(Methode_Keuze,Tb_KostenOptiesDB[#Headers],0),2))=1,_xlfn.SWITCH($N408,"Uurtarief",IF(OR(AND(RIGHT($F408,3)="IKS",VLOOKUP($M408,DB_Loonkosten,2,0)="Ja"),AND(RIGHT($F408,3)&lt;&gt;"IKS",VLOOKUP($M408,DB_Loonkosten,2,0)="Nee")),IFERROR(VLOOKUP($M408,DB_Loonkosten,25,0),""),0),"Vast tarief",IF(LEFT(F408,8)="Bijdrage",VLOOKUP($F408,Tb_KostenTypen[],MATCH(Lijsten!$P$1,Tb_KostenTypen[#Headers],0),0),VLOOKUP($G408,Lijsten!L:P,MATCH(Lijsten!$P$1,Kop_Tarief_Vast,0),0))),""),"")</f>
        <v/>
      </c>
      <c r="Q408" s="359"/>
      <c r="R408" s="359"/>
      <c r="S408" s="321"/>
      <c r="T408" s="321"/>
      <c r="U408" s="373" t="str">
        <f t="shared" si="24"/>
        <v/>
      </c>
      <c r="V408" s="314" t="str">
        <f t="shared" si="25"/>
        <v/>
      </c>
      <c r="W408" s="314" t="str" cm="1">
        <f t="array" aca="1" ref="W408" ca="1">IFERROR(IF(AE408&lt;&gt;"ja",_xlfn.IFNA(_xlfn.IFS(AND(O408&lt;&gt;"",F408&lt;&gt;"",RIGHT($N408,6)="tarief",F408="Vergoeding"),SUM(O408)*FLOOR(SUM(Q408),0.0001),AND(O408&lt;&gt;"",F408&lt;&gt;"",RIGHT($N408,6)="tarief"),SUM(O408)*FLOOR(SUM(Q408),0.01),S408&gt;0,IF(F408&lt;&gt;"",FLOOR(SUM(S408),0.01),"")),""),""),"")</f>
        <v/>
      </c>
      <c r="X408" s="314" t="str" cm="1">
        <f t="array" aca="1" ref="X408" ca="1">IFERROR(IF(AE408&lt;&gt;"ja",_xlfn.IFNA(_xlfn.IFS(AND(P408&lt;&gt;"",R408&lt;&gt;"",RIGHT($N408,6)="tarief",F408="Vergoeding"),SUM(P408)*FLOOR(SUM(R408),0.0001),AND(P408&lt;&gt;"",R408&lt;&gt;"",RIGHT($N408,6)="tarief"),P408*FLOOR(R408,0.01),T408&gt;0,FLOOR(SUM(T408),0.01)),""),""),"")</f>
        <v/>
      </c>
      <c r="Y408" s="314" t="str">
        <f t="shared" ca="1" si="26"/>
        <v/>
      </c>
      <c r="Z408" s="314" t="str" cm="1">
        <f t="array" aca="1" ref="Z408" ca="1">IFERROR(_xlfn.IFS(OR(F408="",LEFT(Methode_Keuze,4)="Geen",Methode_Keuze=""),"",AND(W408&lt;&gt;"",F408&lt;&gt;"Arbeidskosten"),W408*VLOOKUP(F408,Tb_ProjectKosten[],MATCH(Tb_ProjectKosten[[#Headers],[Forfait_Percentage]],Tb_ProjectKosten[#Headers],0),0),AND(F408="Arbeidskosten",G408&lt;&gt;""),IFERROR(W408*VLOOKUP(G408,Tb_KostenTypen[],3,0)*VLOOKUP(F408,Tb_ProjectKosten[],MATCH(Tb_ProjectKosten[[#Headers],[Forfait_Percentage]],Tb_ProjectKosten[#Headers],0),0),""),W408 &lt;=0,0),"")</f>
        <v/>
      </c>
      <c r="AA408" s="314" t="str" cm="1">
        <f t="array" aca="1" ref="AA408" ca="1">IFERROR(_xlfn.IFS(OR(F408="",LEFT(Methode_Keuze,4)="Geen",Methode_Keuze=""),"",AND(X408&lt;&gt;"",F408&lt;&gt;"Arbeidskosten"),X408*VLOOKUP(F408,Tb_ProjectKosten[],MATCH(Tb_ProjectKosten[[#Headers],[Forfait_Percentage]],Tb_ProjectKosten[#Headers],0),0),AND(F408="Arbeidskosten",G408&lt;&gt;""),IFERROR(X408*VLOOKUP(G408,Tb_KostenTypen[],3,0)*VLOOKUP(F408,Tb_ProjectKosten[],MATCH(Tb_ProjectKosten[[#Headers],[Forfait_Percentage]],Tb_ProjectKosten[#Headers],0),0),""),X408 &lt;=0,0),"")</f>
        <v/>
      </c>
      <c r="AB408" s="314" t="str">
        <f t="shared" ca="1" si="27"/>
        <v/>
      </c>
      <c r="AC408" s="322"/>
      <c r="AD408" s="315"/>
      <c r="AE408" s="32" t="str" cm="1">
        <f t="array" ref="AE408">IFERROR(IF(INDEX(SubsidieTabel!$AD$1:$AG$12,MATCH($F408,SubsidieTabel!$AD$1:$AD$12,0),IFERROR(MATCH(Methode_Keuze,SubsidieTabel!$AD$1:$AG$1,0),2))&lt;&gt;1=TRUE,"ja",""),"")</f>
        <v/>
      </c>
    </row>
    <row r="409" spans="1:31" x14ac:dyDescent="0.25">
      <c r="A409" s="316"/>
      <c r="B409" s="317" t="str">
        <f>IF(A409&lt;&gt;"",_xlfn.MAXIFS($B$1:B408,$A$1:A408,A409)+1,"")</f>
        <v/>
      </c>
      <c r="C409" s="296"/>
      <c r="D409" s="296"/>
      <c r="E409" s="296"/>
      <c r="F409" s="296"/>
      <c r="G409" s="326"/>
      <c r="H409" s="324"/>
      <c r="I409" s="325"/>
      <c r="J409" s="325"/>
      <c r="K409" s="318"/>
      <c r="L409" s="318"/>
      <c r="M409" s="319" t="str">
        <f>IFERROR(VLOOKUP(H409,Lijsten!$H$1:$I$100,2,0),"")</f>
        <v/>
      </c>
      <c r="N409" s="319" t="str">
        <f ca="1">IFERROR(IF(VLOOKUP(F409,Kostentypen!$A$3:$E$21,3,0)=0,"",IF(OR(F409="Arbeidskosten",F409="Vergoeding"),VLOOKUP(G409,Tb_KostenTypen[],2,0),VLOOKUP(F409,Kostentypen!$A$3:$E$20,3,0))),"")</f>
        <v/>
      </c>
      <c r="O409" s="320" t="str" cm="1">
        <f t="array" ref="O409">_xlfn.IFNA(IF(INDEX(Tb_KostenOptiesDB[],MATCH($F409,Tb_KostenOptiesDB[KostenOptie],0),IFERROR(MATCH(Methode_Keuze,Tb_KostenOptiesDB[#Headers],0),2))=1,_xlfn.SWITCH($N409,"Uurtarief",IF(OR(AND(RIGHT($F409,3)="IKS",VLOOKUP($M409,DB_Loonkosten,2,0)="Ja"),AND(RIGHT($F409,3)&lt;&gt;"IKS",VLOOKUP($M409,DB_Loonkosten,2,0)="Nee")),IFERROR(VLOOKUP($M409,DB_Loonkosten,24,0),""),0),"Vast tarief",IF(LEFT(F409,8)="Bijdrage",VLOOKUP($F409,Tb_KostenTypen[],MATCH(Lijsten!$P$1,Tb_KostenTypen[#Headers],0),0),VLOOKUP($G409,Lijsten!L:P,MATCH(Lijsten!$P$1,Kop_Tarief_Vast,0),0))),""),"")</f>
        <v/>
      </c>
      <c r="P409" s="320" t="str" cm="1">
        <f t="array" ref="P409">_xlfn.IFNA(IF(INDEX(Tb_KostenOptiesDB[],MATCH($F409,Tb_KostenOptiesDB[KostenOptie],0),IFERROR(MATCH(Methode_Keuze,Tb_KostenOptiesDB[#Headers],0),2))=1,_xlfn.SWITCH($N409,"Uurtarief",IF(OR(AND(RIGHT($F409,3)="IKS",VLOOKUP($M409,DB_Loonkosten,2,0)="Ja"),AND(RIGHT($F409,3)&lt;&gt;"IKS",VLOOKUP($M409,DB_Loonkosten,2,0)="Nee")),IFERROR(VLOOKUP($M409,DB_Loonkosten,25,0),""),0),"Vast tarief",IF(LEFT(F409,8)="Bijdrage",VLOOKUP($F409,Tb_KostenTypen[],MATCH(Lijsten!$P$1,Tb_KostenTypen[#Headers],0),0),VLOOKUP($G409,Lijsten!L:P,MATCH(Lijsten!$P$1,Kop_Tarief_Vast,0),0))),""),"")</f>
        <v/>
      </c>
      <c r="Q409" s="359"/>
      <c r="R409" s="359"/>
      <c r="S409" s="321"/>
      <c r="T409" s="321"/>
      <c r="U409" s="373" t="str">
        <f t="shared" si="24"/>
        <v/>
      </c>
      <c r="V409" s="314" t="str">
        <f t="shared" si="25"/>
        <v/>
      </c>
      <c r="W409" s="314" t="str" cm="1">
        <f t="array" aca="1" ref="W409" ca="1">IFERROR(IF(AE409&lt;&gt;"ja",_xlfn.IFNA(_xlfn.IFS(AND(O409&lt;&gt;"",F409&lt;&gt;"",RIGHT($N409,6)="tarief",F409="Vergoeding"),SUM(O409)*FLOOR(SUM(Q409),0.0001),AND(O409&lt;&gt;"",F409&lt;&gt;"",RIGHT($N409,6)="tarief"),SUM(O409)*FLOOR(SUM(Q409),0.01),S409&gt;0,IF(F409&lt;&gt;"",FLOOR(SUM(S409),0.01),"")),""),""),"")</f>
        <v/>
      </c>
      <c r="X409" s="314" t="str" cm="1">
        <f t="array" aca="1" ref="X409" ca="1">IFERROR(IF(AE409&lt;&gt;"ja",_xlfn.IFNA(_xlfn.IFS(AND(P409&lt;&gt;"",R409&lt;&gt;"",RIGHT($N409,6)="tarief",F409="Vergoeding"),SUM(P409)*FLOOR(SUM(R409),0.0001),AND(P409&lt;&gt;"",R409&lt;&gt;"",RIGHT($N409,6)="tarief"),P409*FLOOR(R409,0.01),T409&gt;0,FLOOR(SUM(T409),0.01)),""),""),"")</f>
        <v/>
      </c>
      <c r="Y409" s="314" t="str">
        <f t="shared" ca="1" si="26"/>
        <v/>
      </c>
      <c r="Z409" s="314" t="str" cm="1">
        <f t="array" aca="1" ref="Z409" ca="1">IFERROR(_xlfn.IFS(OR(F409="",LEFT(Methode_Keuze,4)="Geen",Methode_Keuze=""),"",AND(W409&lt;&gt;"",F409&lt;&gt;"Arbeidskosten"),W409*VLOOKUP(F409,Tb_ProjectKosten[],MATCH(Tb_ProjectKosten[[#Headers],[Forfait_Percentage]],Tb_ProjectKosten[#Headers],0),0),AND(F409="Arbeidskosten",G409&lt;&gt;""),IFERROR(W409*VLOOKUP(G409,Tb_KostenTypen[],3,0)*VLOOKUP(F409,Tb_ProjectKosten[],MATCH(Tb_ProjectKosten[[#Headers],[Forfait_Percentage]],Tb_ProjectKosten[#Headers],0),0),""),W409 &lt;=0,0),"")</f>
        <v/>
      </c>
      <c r="AA409" s="314" t="str" cm="1">
        <f t="array" aca="1" ref="AA409" ca="1">IFERROR(_xlfn.IFS(OR(F409="",LEFT(Methode_Keuze,4)="Geen",Methode_Keuze=""),"",AND(X409&lt;&gt;"",F409&lt;&gt;"Arbeidskosten"),X409*VLOOKUP(F409,Tb_ProjectKosten[],MATCH(Tb_ProjectKosten[[#Headers],[Forfait_Percentage]],Tb_ProjectKosten[#Headers],0),0),AND(F409="Arbeidskosten",G409&lt;&gt;""),IFERROR(X409*VLOOKUP(G409,Tb_KostenTypen[],3,0)*VLOOKUP(F409,Tb_ProjectKosten[],MATCH(Tb_ProjectKosten[[#Headers],[Forfait_Percentage]],Tb_ProjectKosten[#Headers],0),0),""),X409 &lt;=0,0),"")</f>
        <v/>
      </c>
      <c r="AB409" s="314" t="str">
        <f t="shared" ca="1" si="27"/>
        <v/>
      </c>
      <c r="AC409" s="322"/>
      <c r="AD409" s="315"/>
      <c r="AE409" s="32" t="str" cm="1">
        <f t="array" ref="AE409">IFERROR(IF(INDEX(SubsidieTabel!$AD$1:$AG$12,MATCH($F409,SubsidieTabel!$AD$1:$AD$12,0),IFERROR(MATCH(Methode_Keuze,SubsidieTabel!$AD$1:$AG$1,0),2))&lt;&gt;1=TRUE,"ja",""),"")</f>
        <v/>
      </c>
    </row>
    <row r="410" spans="1:31" x14ac:dyDescent="0.25">
      <c r="A410" s="316"/>
      <c r="B410" s="317" t="str">
        <f>IF(A410&lt;&gt;"",_xlfn.MAXIFS($B$1:B409,$A$1:A409,A410)+1,"")</f>
        <v/>
      </c>
      <c r="C410" s="296"/>
      <c r="D410" s="296"/>
      <c r="E410" s="296"/>
      <c r="F410" s="296"/>
      <c r="G410" s="326"/>
      <c r="H410" s="324"/>
      <c r="I410" s="325"/>
      <c r="J410" s="325"/>
      <c r="K410" s="318"/>
      <c r="L410" s="318"/>
      <c r="M410" s="319" t="str">
        <f>IFERROR(VLOOKUP(H410,Lijsten!$H$1:$I$100,2,0),"")</f>
        <v/>
      </c>
      <c r="N410" s="319" t="str">
        <f ca="1">IFERROR(IF(VLOOKUP(F410,Kostentypen!$A$3:$E$21,3,0)=0,"",IF(OR(F410="Arbeidskosten",F410="Vergoeding"),VLOOKUP(G410,Tb_KostenTypen[],2,0),VLOOKUP(F410,Kostentypen!$A$3:$E$20,3,0))),"")</f>
        <v/>
      </c>
      <c r="O410" s="320" t="str" cm="1">
        <f t="array" ref="O410">_xlfn.IFNA(IF(INDEX(Tb_KostenOptiesDB[],MATCH($F410,Tb_KostenOptiesDB[KostenOptie],0),IFERROR(MATCH(Methode_Keuze,Tb_KostenOptiesDB[#Headers],0),2))=1,_xlfn.SWITCH($N410,"Uurtarief",IF(OR(AND(RIGHT($F410,3)="IKS",VLOOKUP($M410,DB_Loonkosten,2,0)="Ja"),AND(RIGHT($F410,3)&lt;&gt;"IKS",VLOOKUP($M410,DB_Loonkosten,2,0)="Nee")),IFERROR(VLOOKUP($M410,DB_Loonkosten,24,0),""),0),"Vast tarief",IF(LEFT(F410,8)="Bijdrage",VLOOKUP($F410,Tb_KostenTypen[],MATCH(Lijsten!$P$1,Tb_KostenTypen[#Headers],0),0),VLOOKUP($G410,Lijsten!L:P,MATCH(Lijsten!$P$1,Kop_Tarief_Vast,0),0))),""),"")</f>
        <v/>
      </c>
      <c r="P410" s="320" t="str" cm="1">
        <f t="array" ref="P410">_xlfn.IFNA(IF(INDEX(Tb_KostenOptiesDB[],MATCH($F410,Tb_KostenOptiesDB[KostenOptie],0),IFERROR(MATCH(Methode_Keuze,Tb_KostenOptiesDB[#Headers],0),2))=1,_xlfn.SWITCH($N410,"Uurtarief",IF(OR(AND(RIGHT($F410,3)="IKS",VLOOKUP($M410,DB_Loonkosten,2,0)="Ja"),AND(RIGHT($F410,3)&lt;&gt;"IKS",VLOOKUP($M410,DB_Loonkosten,2,0)="Nee")),IFERROR(VLOOKUP($M410,DB_Loonkosten,25,0),""),0),"Vast tarief",IF(LEFT(F410,8)="Bijdrage",VLOOKUP($F410,Tb_KostenTypen[],MATCH(Lijsten!$P$1,Tb_KostenTypen[#Headers],0),0),VLOOKUP($G410,Lijsten!L:P,MATCH(Lijsten!$P$1,Kop_Tarief_Vast,0),0))),""),"")</f>
        <v/>
      </c>
      <c r="Q410" s="359"/>
      <c r="R410" s="359"/>
      <c r="S410" s="321"/>
      <c r="T410" s="321"/>
      <c r="U410" s="373" t="str">
        <f t="shared" si="24"/>
        <v/>
      </c>
      <c r="V410" s="314" t="str">
        <f t="shared" si="25"/>
        <v/>
      </c>
      <c r="W410" s="314" t="str" cm="1">
        <f t="array" aca="1" ref="W410" ca="1">IFERROR(IF(AE410&lt;&gt;"ja",_xlfn.IFNA(_xlfn.IFS(AND(O410&lt;&gt;"",F410&lt;&gt;"",RIGHT($N410,6)="tarief",F410="Vergoeding"),SUM(O410)*FLOOR(SUM(Q410),0.0001),AND(O410&lt;&gt;"",F410&lt;&gt;"",RIGHT($N410,6)="tarief"),SUM(O410)*FLOOR(SUM(Q410),0.01),S410&gt;0,IF(F410&lt;&gt;"",FLOOR(SUM(S410),0.01),"")),""),""),"")</f>
        <v/>
      </c>
      <c r="X410" s="314" t="str" cm="1">
        <f t="array" aca="1" ref="X410" ca="1">IFERROR(IF(AE410&lt;&gt;"ja",_xlfn.IFNA(_xlfn.IFS(AND(P410&lt;&gt;"",R410&lt;&gt;"",RIGHT($N410,6)="tarief",F410="Vergoeding"),SUM(P410)*FLOOR(SUM(R410),0.0001),AND(P410&lt;&gt;"",R410&lt;&gt;"",RIGHT($N410,6)="tarief"),P410*FLOOR(R410,0.01),T410&gt;0,FLOOR(SUM(T410),0.01)),""),""),"")</f>
        <v/>
      </c>
      <c r="Y410" s="314" t="str">
        <f t="shared" ca="1" si="26"/>
        <v/>
      </c>
      <c r="Z410" s="314" t="str" cm="1">
        <f t="array" aca="1" ref="Z410" ca="1">IFERROR(_xlfn.IFS(OR(F410="",LEFT(Methode_Keuze,4)="Geen",Methode_Keuze=""),"",AND(W410&lt;&gt;"",F410&lt;&gt;"Arbeidskosten"),W410*VLOOKUP(F410,Tb_ProjectKosten[],MATCH(Tb_ProjectKosten[[#Headers],[Forfait_Percentage]],Tb_ProjectKosten[#Headers],0),0),AND(F410="Arbeidskosten",G410&lt;&gt;""),IFERROR(W410*VLOOKUP(G410,Tb_KostenTypen[],3,0)*VLOOKUP(F410,Tb_ProjectKosten[],MATCH(Tb_ProjectKosten[[#Headers],[Forfait_Percentage]],Tb_ProjectKosten[#Headers],0),0),""),W410 &lt;=0,0),"")</f>
        <v/>
      </c>
      <c r="AA410" s="314" t="str" cm="1">
        <f t="array" aca="1" ref="AA410" ca="1">IFERROR(_xlfn.IFS(OR(F410="",LEFT(Methode_Keuze,4)="Geen",Methode_Keuze=""),"",AND(X410&lt;&gt;"",F410&lt;&gt;"Arbeidskosten"),X410*VLOOKUP(F410,Tb_ProjectKosten[],MATCH(Tb_ProjectKosten[[#Headers],[Forfait_Percentage]],Tb_ProjectKosten[#Headers],0),0),AND(F410="Arbeidskosten",G410&lt;&gt;""),IFERROR(X410*VLOOKUP(G410,Tb_KostenTypen[],3,0)*VLOOKUP(F410,Tb_ProjectKosten[],MATCH(Tb_ProjectKosten[[#Headers],[Forfait_Percentage]],Tb_ProjectKosten[#Headers],0),0),""),X410 &lt;=0,0),"")</f>
        <v/>
      </c>
      <c r="AB410" s="314" t="str">
        <f t="shared" ca="1" si="27"/>
        <v/>
      </c>
      <c r="AC410" s="322"/>
      <c r="AD410" s="315"/>
      <c r="AE410" s="32" t="str" cm="1">
        <f t="array" ref="AE410">IFERROR(IF(INDEX(SubsidieTabel!$AD$1:$AG$12,MATCH($F410,SubsidieTabel!$AD$1:$AD$12,0),IFERROR(MATCH(Methode_Keuze,SubsidieTabel!$AD$1:$AG$1,0),2))&lt;&gt;1=TRUE,"ja",""),"")</f>
        <v/>
      </c>
    </row>
    <row r="411" spans="1:31" x14ac:dyDescent="0.25">
      <c r="A411" s="316"/>
      <c r="B411" s="317" t="str">
        <f>IF(A411&lt;&gt;"",_xlfn.MAXIFS($B$1:B410,$A$1:A410,A411)+1,"")</f>
        <v/>
      </c>
      <c r="C411" s="296"/>
      <c r="D411" s="296"/>
      <c r="E411" s="296"/>
      <c r="F411" s="296"/>
      <c r="G411" s="326"/>
      <c r="H411" s="324"/>
      <c r="I411" s="325"/>
      <c r="J411" s="325"/>
      <c r="K411" s="318"/>
      <c r="L411" s="318"/>
      <c r="M411" s="319" t="str">
        <f>IFERROR(VLOOKUP(H411,Lijsten!$H$1:$I$100,2,0),"")</f>
        <v/>
      </c>
      <c r="N411" s="319" t="str">
        <f ca="1">IFERROR(IF(VLOOKUP(F411,Kostentypen!$A$3:$E$21,3,0)=0,"",IF(OR(F411="Arbeidskosten",F411="Vergoeding"),VLOOKUP(G411,Tb_KostenTypen[],2,0),VLOOKUP(F411,Kostentypen!$A$3:$E$20,3,0))),"")</f>
        <v/>
      </c>
      <c r="O411" s="320" t="str" cm="1">
        <f t="array" ref="O411">_xlfn.IFNA(IF(INDEX(Tb_KostenOptiesDB[],MATCH($F411,Tb_KostenOptiesDB[KostenOptie],0),IFERROR(MATCH(Methode_Keuze,Tb_KostenOptiesDB[#Headers],0),2))=1,_xlfn.SWITCH($N411,"Uurtarief",IF(OR(AND(RIGHT($F411,3)="IKS",VLOOKUP($M411,DB_Loonkosten,2,0)="Ja"),AND(RIGHT($F411,3)&lt;&gt;"IKS",VLOOKUP($M411,DB_Loonkosten,2,0)="Nee")),IFERROR(VLOOKUP($M411,DB_Loonkosten,24,0),""),0),"Vast tarief",IF(LEFT(F411,8)="Bijdrage",VLOOKUP($F411,Tb_KostenTypen[],MATCH(Lijsten!$P$1,Tb_KostenTypen[#Headers],0),0),VLOOKUP($G411,Lijsten!L:P,MATCH(Lijsten!$P$1,Kop_Tarief_Vast,0),0))),""),"")</f>
        <v/>
      </c>
      <c r="P411" s="320" t="str" cm="1">
        <f t="array" ref="P411">_xlfn.IFNA(IF(INDEX(Tb_KostenOptiesDB[],MATCH($F411,Tb_KostenOptiesDB[KostenOptie],0),IFERROR(MATCH(Methode_Keuze,Tb_KostenOptiesDB[#Headers],0),2))=1,_xlfn.SWITCH($N411,"Uurtarief",IF(OR(AND(RIGHT($F411,3)="IKS",VLOOKUP($M411,DB_Loonkosten,2,0)="Ja"),AND(RIGHT($F411,3)&lt;&gt;"IKS",VLOOKUP($M411,DB_Loonkosten,2,0)="Nee")),IFERROR(VLOOKUP($M411,DB_Loonkosten,25,0),""),0),"Vast tarief",IF(LEFT(F411,8)="Bijdrage",VLOOKUP($F411,Tb_KostenTypen[],MATCH(Lijsten!$P$1,Tb_KostenTypen[#Headers],0),0),VLOOKUP($G411,Lijsten!L:P,MATCH(Lijsten!$P$1,Kop_Tarief_Vast,0),0))),""),"")</f>
        <v/>
      </c>
      <c r="Q411" s="359"/>
      <c r="R411" s="359"/>
      <c r="S411" s="321"/>
      <c r="T411" s="321"/>
      <c r="U411" s="373" t="str">
        <f t="shared" si="24"/>
        <v/>
      </c>
      <c r="V411" s="314" t="str">
        <f t="shared" si="25"/>
        <v/>
      </c>
      <c r="W411" s="314" t="str" cm="1">
        <f t="array" aca="1" ref="W411" ca="1">IFERROR(IF(AE411&lt;&gt;"ja",_xlfn.IFNA(_xlfn.IFS(AND(O411&lt;&gt;"",F411&lt;&gt;"",RIGHT($N411,6)="tarief",F411="Vergoeding"),SUM(O411)*FLOOR(SUM(Q411),0.0001),AND(O411&lt;&gt;"",F411&lt;&gt;"",RIGHT($N411,6)="tarief"),SUM(O411)*FLOOR(SUM(Q411),0.01),S411&gt;0,IF(F411&lt;&gt;"",FLOOR(SUM(S411),0.01),"")),""),""),"")</f>
        <v/>
      </c>
      <c r="X411" s="314" t="str" cm="1">
        <f t="array" aca="1" ref="X411" ca="1">IFERROR(IF(AE411&lt;&gt;"ja",_xlfn.IFNA(_xlfn.IFS(AND(P411&lt;&gt;"",R411&lt;&gt;"",RIGHT($N411,6)="tarief",F411="Vergoeding"),SUM(P411)*FLOOR(SUM(R411),0.0001),AND(P411&lt;&gt;"",R411&lt;&gt;"",RIGHT($N411,6)="tarief"),P411*FLOOR(R411,0.01),T411&gt;0,FLOOR(SUM(T411),0.01)),""),""),"")</f>
        <v/>
      </c>
      <c r="Y411" s="314" t="str">
        <f t="shared" ca="1" si="26"/>
        <v/>
      </c>
      <c r="Z411" s="314" t="str" cm="1">
        <f t="array" aca="1" ref="Z411" ca="1">IFERROR(_xlfn.IFS(OR(F411="",LEFT(Methode_Keuze,4)="Geen",Methode_Keuze=""),"",AND(W411&lt;&gt;"",F411&lt;&gt;"Arbeidskosten"),W411*VLOOKUP(F411,Tb_ProjectKosten[],MATCH(Tb_ProjectKosten[[#Headers],[Forfait_Percentage]],Tb_ProjectKosten[#Headers],0),0),AND(F411="Arbeidskosten",G411&lt;&gt;""),IFERROR(W411*VLOOKUP(G411,Tb_KostenTypen[],3,0)*VLOOKUP(F411,Tb_ProjectKosten[],MATCH(Tb_ProjectKosten[[#Headers],[Forfait_Percentage]],Tb_ProjectKosten[#Headers],0),0),""),W411 &lt;=0,0),"")</f>
        <v/>
      </c>
      <c r="AA411" s="314" t="str" cm="1">
        <f t="array" aca="1" ref="AA411" ca="1">IFERROR(_xlfn.IFS(OR(F411="",LEFT(Methode_Keuze,4)="Geen",Methode_Keuze=""),"",AND(X411&lt;&gt;"",F411&lt;&gt;"Arbeidskosten"),X411*VLOOKUP(F411,Tb_ProjectKosten[],MATCH(Tb_ProjectKosten[[#Headers],[Forfait_Percentage]],Tb_ProjectKosten[#Headers],0),0),AND(F411="Arbeidskosten",G411&lt;&gt;""),IFERROR(X411*VLOOKUP(G411,Tb_KostenTypen[],3,0)*VLOOKUP(F411,Tb_ProjectKosten[],MATCH(Tb_ProjectKosten[[#Headers],[Forfait_Percentage]],Tb_ProjectKosten[#Headers],0),0),""),X411 &lt;=0,0),"")</f>
        <v/>
      </c>
      <c r="AB411" s="314" t="str">
        <f t="shared" ca="1" si="27"/>
        <v/>
      </c>
      <c r="AC411" s="322"/>
      <c r="AD411" s="315"/>
      <c r="AE411" s="32" t="str" cm="1">
        <f t="array" ref="AE411">IFERROR(IF(INDEX(SubsidieTabel!$AD$1:$AG$12,MATCH($F411,SubsidieTabel!$AD$1:$AD$12,0),IFERROR(MATCH(Methode_Keuze,SubsidieTabel!$AD$1:$AG$1,0),2))&lt;&gt;1=TRUE,"ja",""),"")</f>
        <v/>
      </c>
    </row>
    <row r="412" spans="1:31" x14ac:dyDescent="0.25">
      <c r="A412" s="316"/>
      <c r="B412" s="317" t="str">
        <f>IF(A412&lt;&gt;"",_xlfn.MAXIFS($B$1:B411,$A$1:A411,A412)+1,"")</f>
        <v/>
      </c>
      <c r="C412" s="296"/>
      <c r="D412" s="296"/>
      <c r="E412" s="296"/>
      <c r="F412" s="296"/>
      <c r="G412" s="326"/>
      <c r="H412" s="324"/>
      <c r="I412" s="325"/>
      <c r="J412" s="325"/>
      <c r="K412" s="318"/>
      <c r="L412" s="318"/>
      <c r="M412" s="319" t="str">
        <f>IFERROR(VLOOKUP(H412,Lijsten!$H$1:$I$100,2,0),"")</f>
        <v/>
      </c>
      <c r="N412" s="319" t="str">
        <f ca="1">IFERROR(IF(VLOOKUP(F412,Kostentypen!$A$3:$E$21,3,0)=0,"",IF(OR(F412="Arbeidskosten",F412="Vergoeding"),VLOOKUP(G412,Tb_KostenTypen[],2,0),VLOOKUP(F412,Kostentypen!$A$3:$E$20,3,0))),"")</f>
        <v/>
      </c>
      <c r="O412" s="320" t="str" cm="1">
        <f t="array" ref="O412">_xlfn.IFNA(IF(INDEX(Tb_KostenOptiesDB[],MATCH($F412,Tb_KostenOptiesDB[KostenOptie],0),IFERROR(MATCH(Methode_Keuze,Tb_KostenOptiesDB[#Headers],0),2))=1,_xlfn.SWITCH($N412,"Uurtarief",IF(OR(AND(RIGHT($F412,3)="IKS",VLOOKUP($M412,DB_Loonkosten,2,0)="Ja"),AND(RIGHT($F412,3)&lt;&gt;"IKS",VLOOKUP($M412,DB_Loonkosten,2,0)="Nee")),IFERROR(VLOOKUP($M412,DB_Loonkosten,24,0),""),0),"Vast tarief",IF(LEFT(F412,8)="Bijdrage",VLOOKUP($F412,Tb_KostenTypen[],MATCH(Lijsten!$P$1,Tb_KostenTypen[#Headers],0),0),VLOOKUP($G412,Lijsten!L:P,MATCH(Lijsten!$P$1,Kop_Tarief_Vast,0),0))),""),"")</f>
        <v/>
      </c>
      <c r="P412" s="320" t="str" cm="1">
        <f t="array" ref="P412">_xlfn.IFNA(IF(INDEX(Tb_KostenOptiesDB[],MATCH($F412,Tb_KostenOptiesDB[KostenOptie],0),IFERROR(MATCH(Methode_Keuze,Tb_KostenOptiesDB[#Headers],0),2))=1,_xlfn.SWITCH($N412,"Uurtarief",IF(OR(AND(RIGHT($F412,3)="IKS",VLOOKUP($M412,DB_Loonkosten,2,0)="Ja"),AND(RIGHT($F412,3)&lt;&gt;"IKS",VLOOKUP($M412,DB_Loonkosten,2,0)="Nee")),IFERROR(VLOOKUP($M412,DB_Loonkosten,25,0),""),0),"Vast tarief",IF(LEFT(F412,8)="Bijdrage",VLOOKUP($F412,Tb_KostenTypen[],MATCH(Lijsten!$P$1,Tb_KostenTypen[#Headers],0),0),VLOOKUP($G412,Lijsten!L:P,MATCH(Lijsten!$P$1,Kop_Tarief_Vast,0),0))),""),"")</f>
        <v/>
      </c>
      <c r="Q412" s="359"/>
      <c r="R412" s="359"/>
      <c r="S412" s="321"/>
      <c r="T412" s="321"/>
      <c r="U412" s="373" t="str">
        <f t="shared" si="24"/>
        <v/>
      </c>
      <c r="V412" s="314" t="str">
        <f t="shared" si="25"/>
        <v/>
      </c>
      <c r="W412" s="314" t="str" cm="1">
        <f t="array" aca="1" ref="W412" ca="1">IFERROR(IF(AE412&lt;&gt;"ja",_xlfn.IFNA(_xlfn.IFS(AND(O412&lt;&gt;"",F412&lt;&gt;"",RIGHT($N412,6)="tarief",F412="Vergoeding"),SUM(O412)*FLOOR(SUM(Q412),0.0001),AND(O412&lt;&gt;"",F412&lt;&gt;"",RIGHT($N412,6)="tarief"),SUM(O412)*FLOOR(SUM(Q412),0.01),S412&gt;0,IF(F412&lt;&gt;"",FLOOR(SUM(S412),0.01),"")),""),""),"")</f>
        <v/>
      </c>
      <c r="X412" s="314" t="str" cm="1">
        <f t="array" aca="1" ref="X412" ca="1">IFERROR(IF(AE412&lt;&gt;"ja",_xlfn.IFNA(_xlfn.IFS(AND(P412&lt;&gt;"",R412&lt;&gt;"",RIGHT($N412,6)="tarief",F412="Vergoeding"),SUM(P412)*FLOOR(SUM(R412),0.0001),AND(P412&lt;&gt;"",R412&lt;&gt;"",RIGHT($N412,6)="tarief"),P412*FLOOR(R412,0.01),T412&gt;0,FLOOR(SUM(T412),0.01)),""),""),"")</f>
        <v/>
      </c>
      <c r="Y412" s="314" t="str">
        <f t="shared" ca="1" si="26"/>
        <v/>
      </c>
      <c r="Z412" s="314" t="str" cm="1">
        <f t="array" aca="1" ref="Z412" ca="1">IFERROR(_xlfn.IFS(OR(F412="",LEFT(Methode_Keuze,4)="Geen",Methode_Keuze=""),"",AND(W412&lt;&gt;"",F412&lt;&gt;"Arbeidskosten"),W412*VLOOKUP(F412,Tb_ProjectKosten[],MATCH(Tb_ProjectKosten[[#Headers],[Forfait_Percentage]],Tb_ProjectKosten[#Headers],0),0),AND(F412="Arbeidskosten",G412&lt;&gt;""),IFERROR(W412*VLOOKUP(G412,Tb_KostenTypen[],3,0)*VLOOKUP(F412,Tb_ProjectKosten[],MATCH(Tb_ProjectKosten[[#Headers],[Forfait_Percentage]],Tb_ProjectKosten[#Headers],0),0),""),W412 &lt;=0,0),"")</f>
        <v/>
      </c>
      <c r="AA412" s="314" t="str" cm="1">
        <f t="array" aca="1" ref="AA412" ca="1">IFERROR(_xlfn.IFS(OR(F412="",LEFT(Methode_Keuze,4)="Geen",Methode_Keuze=""),"",AND(X412&lt;&gt;"",F412&lt;&gt;"Arbeidskosten"),X412*VLOOKUP(F412,Tb_ProjectKosten[],MATCH(Tb_ProjectKosten[[#Headers],[Forfait_Percentage]],Tb_ProjectKosten[#Headers],0),0),AND(F412="Arbeidskosten",G412&lt;&gt;""),IFERROR(X412*VLOOKUP(G412,Tb_KostenTypen[],3,0)*VLOOKUP(F412,Tb_ProjectKosten[],MATCH(Tb_ProjectKosten[[#Headers],[Forfait_Percentage]],Tb_ProjectKosten[#Headers],0),0),""),X412 &lt;=0,0),"")</f>
        <v/>
      </c>
      <c r="AB412" s="314" t="str">
        <f t="shared" ca="1" si="27"/>
        <v/>
      </c>
      <c r="AC412" s="322"/>
      <c r="AD412" s="315"/>
      <c r="AE412" s="32" t="str" cm="1">
        <f t="array" ref="AE412">IFERROR(IF(INDEX(SubsidieTabel!$AD$1:$AG$12,MATCH($F412,SubsidieTabel!$AD$1:$AD$12,0),IFERROR(MATCH(Methode_Keuze,SubsidieTabel!$AD$1:$AG$1,0),2))&lt;&gt;1=TRUE,"ja",""),"")</f>
        <v/>
      </c>
    </row>
    <row r="413" spans="1:31" x14ac:dyDescent="0.25">
      <c r="A413" s="316"/>
      <c r="B413" s="317" t="str">
        <f>IF(A413&lt;&gt;"",_xlfn.MAXIFS($B$1:B412,$A$1:A412,A413)+1,"")</f>
        <v/>
      </c>
      <c r="C413" s="296"/>
      <c r="D413" s="296"/>
      <c r="E413" s="296"/>
      <c r="F413" s="296"/>
      <c r="G413" s="326"/>
      <c r="H413" s="324"/>
      <c r="I413" s="325"/>
      <c r="J413" s="325"/>
      <c r="K413" s="318"/>
      <c r="L413" s="318"/>
      <c r="M413" s="319" t="str">
        <f>IFERROR(VLOOKUP(H413,Lijsten!$H$1:$I$100,2,0),"")</f>
        <v/>
      </c>
      <c r="N413" s="319" t="str">
        <f ca="1">IFERROR(IF(VLOOKUP(F413,Kostentypen!$A$3:$E$21,3,0)=0,"",IF(OR(F413="Arbeidskosten",F413="Vergoeding"),VLOOKUP(G413,Tb_KostenTypen[],2,0),VLOOKUP(F413,Kostentypen!$A$3:$E$20,3,0))),"")</f>
        <v/>
      </c>
      <c r="O413" s="320" t="str" cm="1">
        <f t="array" ref="O413">_xlfn.IFNA(IF(INDEX(Tb_KostenOptiesDB[],MATCH($F413,Tb_KostenOptiesDB[KostenOptie],0),IFERROR(MATCH(Methode_Keuze,Tb_KostenOptiesDB[#Headers],0),2))=1,_xlfn.SWITCH($N413,"Uurtarief",IF(OR(AND(RIGHT($F413,3)="IKS",VLOOKUP($M413,DB_Loonkosten,2,0)="Ja"),AND(RIGHT($F413,3)&lt;&gt;"IKS",VLOOKUP($M413,DB_Loonkosten,2,0)="Nee")),IFERROR(VLOOKUP($M413,DB_Loonkosten,24,0),""),0),"Vast tarief",IF(LEFT(F413,8)="Bijdrage",VLOOKUP($F413,Tb_KostenTypen[],MATCH(Lijsten!$P$1,Tb_KostenTypen[#Headers],0),0),VLOOKUP($G413,Lijsten!L:P,MATCH(Lijsten!$P$1,Kop_Tarief_Vast,0),0))),""),"")</f>
        <v/>
      </c>
      <c r="P413" s="320" t="str" cm="1">
        <f t="array" ref="P413">_xlfn.IFNA(IF(INDEX(Tb_KostenOptiesDB[],MATCH($F413,Tb_KostenOptiesDB[KostenOptie],0),IFERROR(MATCH(Methode_Keuze,Tb_KostenOptiesDB[#Headers],0),2))=1,_xlfn.SWITCH($N413,"Uurtarief",IF(OR(AND(RIGHT($F413,3)="IKS",VLOOKUP($M413,DB_Loonkosten,2,0)="Ja"),AND(RIGHT($F413,3)&lt;&gt;"IKS",VLOOKUP($M413,DB_Loonkosten,2,0)="Nee")),IFERROR(VLOOKUP($M413,DB_Loonkosten,25,0),""),0),"Vast tarief",IF(LEFT(F413,8)="Bijdrage",VLOOKUP($F413,Tb_KostenTypen[],MATCH(Lijsten!$P$1,Tb_KostenTypen[#Headers],0),0),VLOOKUP($G413,Lijsten!L:P,MATCH(Lijsten!$P$1,Kop_Tarief_Vast,0),0))),""),"")</f>
        <v/>
      </c>
      <c r="Q413" s="359"/>
      <c r="R413" s="359"/>
      <c r="S413" s="321"/>
      <c r="T413" s="321"/>
      <c r="U413" s="373" t="str">
        <f t="shared" si="24"/>
        <v/>
      </c>
      <c r="V413" s="314" t="str">
        <f t="shared" si="25"/>
        <v/>
      </c>
      <c r="W413" s="314" t="str" cm="1">
        <f t="array" aca="1" ref="W413" ca="1">IFERROR(IF(AE413&lt;&gt;"ja",_xlfn.IFNA(_xlfn.IFS(AND(O413&lt;&gt;"",F413&lt;&gt;"",RIGHT($N413,6)="tarief",F413="Vergoeding"),SUM(O413)*FLOOR(SUM(Q413),0.0001),AND(O413&lt;&gt;"",F413&lt;&gt;"",RIGHT($N413,6)="tarief"),SUM(O413)*FLOOR(SUM(Q413),0.01),S413&gt;0,IF(F413&lt;&gt;"",FLOOR(SUM(S413),0.01),"")),""),""),"")</f>
        <v/>
      </c>
      <c r="X413" s="314" t="str" cm="1">
        <f t="array" aca="1" ref="X413" ca="1">IFERROR(IF(AE413&lt;&gt;"ja",_xlfn.IFNA(_xlfn.IFS(AND(P413&lt;&gt;"",R413&lt;&gt;"",RIGHT($N413,6)="tarief",F413="Vergoeding"),SUM(P413)*FLOOR(SUM(R413),0.0001),AND(P413&lt;&gt;"",R413&lt;&gt;"",RIGHT($N413,6)="tarief"),P413*FLOOR(R413,0.01),T413&gt;0,FLOOR(SUM(T413),0.01)),""),""),"")</f>
        <v/>
      </c>
      <c r="Y413" s="314" t="str">
        <f t="shared" ca="1" si="26"/>
        <v/>
      </c>
      <c r="Z413" s="314" t="str" cm="1">
        <f t="array" aca="1" ref="Z413" ca="1">IFERROR(_xlfn.IFS(OR(F413="",LEFT(Methode_Keuze,4)="Geen",Methode_Keuze=""),"",AND(W413&lt;&gt;"",F413&lt;&gt;"Arbeidskosten"),W413*VLOOKUP(F413,Tb_ProjectKosten[],MATCH(Tb_ProjectKosten[[#Headers],[Forfait_Percentage]],Tb_ProjectKosten[#Headers],0),0),AND(F413="Arbeidskosten",G413&lt;&gt;""),IFERROR(W413*VLOOKUP(G413,Tb_KostenTypen[],3,0)*VLOOKUP(F413,Tb_ProjectKosten[],MATCH(Tb_ProjectKosten[[#Headers],[Forfait_Percentage]],Tb_ProjectKosten[#Headers],0),0),""),W413 &lt;=0,0),"")</f>
        <v/>
      </c>
      <c r="AA413" s="314" t="str" cm="1">
        <f t="array" aca="1" ref="AA413" ca="1">IFERROR(_xlfn.IFS(OR(F413="",LEFT(Methode_Keuze,4)="Geen",Methode_Keuze=""),"",AND(X413&lt;&gt;"",F413&lt;&gt;"Arbeidskosten"),X413*VLOOKUP(F413,Tb_ProjectKosten[],MATCH(Tb_ProjectKosten[[#Headers],[Forfait_Percentage]],Tb_ProjectKosten[#Headers],0),0),AND(F413="Arbeidskosten",G413&lt;&gt;""),IFERROR(X413*VLOOKUP(G413,Tb_KostenTypen[],3,0)*VLOOKUP(F413,Tb_ProjectKosten[],MATCH(Tb_ProjectKosten[[#Headers],[Forfait_Percentage]],Tb_ProjectKosten[#Headers],0),0),""),X413 &lt;=0,0),"")</f>
        <v/>
      </c>
      <c r="AB413" s="314" t="str">
        <f t="shared" ca="1" si="27"/>
        <v/>
      </c>
      <c r="AC413" s="322"/>
      <c r="AD413" s="315"/>
      <c r="AE413" s="32" t="str" cm="1">
        <f t="array" ref="AE413">IFERROR(IF(INDEX(SubsidieTabel!$AD$1:$AG$12,MATCH($F413,SubsidieTabel!$AD$1:$AD$12,0),IFERROR(MATCH(Methode_Keuze,SubsidieTabel!$AD$1:$AG$1,0),2))&lt;&gt;1=TRUE,"ja",""),"")</f>
        <v/>
      </c>
    </row>
    <row r="414" spans="1:31" x14ac:dyDescent="0.25">
      <c r="A414" s="316"/>
      <c r="B414" s="317" t="str">
        <f>IF(A414&lt;&gt;"",_xlfn.MAXIFS($B$1:B413,$A$1:A413,A414)+1,"")</f>
        <v/>
      </c>
      <c r="C414" s="296"/>
      <c r="D414" s="296"/>
      <c r="E414" s="296"/>
      <c r="F414" s="296"/>
      <c r="G414" s="326"/>
      <c r="H414" s="324"/>
      <c r="I414" s="325"/>
      <c r="J414" s="325"/>
      <c r="K414" s="318"/>
      <c r="L414" s="318"/>
      <c r="M414" s="319" t="str">
        <f>IFERROR(VLOOKUP(H414,Lijsten!$H$1:$I$100,2,0),"")</f>
        <v/>
      </c>
      <c r="N414" s="319" t="str">
        <f ca="1">IFERROR(IF(VLOOKUP(F414,Kostentypen!$A$3:$E$21,3,0)=0,"",IF(OR(F414="Arbeidskosten",F414="Vergoeding"),VLOOKUP(G414,Tb_KostenTypen[],2,0),VLOOKUP(F414,Kostentypen!$A$3:$E$20,3,0))),"")</f>
        <v/>
      </c>
      <c r="O414" s="320" t="str" cm="1">
        <f t="array" ref="O414">_xlfn.IFNA(IF(INDEX(Tb_KostenOptiesDB[],MATCH($F414,Tb_KostenOptiesDB[KostenOptie],0),IFERROR(MATCH(Methode_Keuze,Tb_KostenOptiesDB[#Headers],0),2))=1,_xlfn.SWITCH($N414,"Uurtarief",IF(OR(AND(RIGHT($F414,3)="IKS",VLOOKUP($M414,DB_Loonkosten,2,0)="Ja"),AND(RIGHT($F414,3)&lt;&gt;"IKS",VLOOKUP($M414,DB_Loonkosten,2,0)="Nee")),IFERROR(VLOOKUP($M414,DB_Loonkosten,24,0),""),0),"Vast tarief",IF(LEFT(F414,8)="Bijdrage",VLOOKUP($F414,Tb_KostenTypen[],MATCH(Lijsten!$P$1,Tb_KostenTypen[#Headers],0),0),VLOOKUP($G414,Lijsten!L:P,MATCH(Lijsten!$P$1,Kop_Tarief_Vast,0),0))),""),"")</f>
        <v/>
      </c>
      <c r="P414" s="320" t="str" cm="1">
        <f t="array" ref="P414">_xlfn.IFNA(IF(INDEX(Tb_KostenOptiesDB[],MATCH($F414,Tb_KostenOptiesDB[KostenOptie],0),IFERROR(MATCH(Methode_Keuze,Tb_KostenOptiesDB[#Headers],0),2))=1,_xlfn.SWITCH($N414,"Uurtarief",IF(OR(AND(RIGHT($F414,3)="IKS",VLOOKUP($M414,DB_Loonkosten,2,0)="Ja"),AND(RIGHT($F414,3)&lt;&gt;"IKS",VLOOKUP($M414,DB_Loonkosten,2,0)="Nee")),IFERROR(VLOOKUP($M414,DB_Loonkosten,25,0),""),0),"Vast tarief",IF(LEFT(F414,8)="Bijdrage",VLOOKUP($F414,Tb_KostenTypen[],MATCH(Lijsten!$P$1,Tb_KostenTypen[#Headers],0),0),VLOOKUP($G414,Lijsten!L:P,MATCH(Lijsten!$P$1,Kop_Tarief_Vast,0),0))),""),"")</f>
        <v/>
      </c>
      <c r="Q414" s="359"/>
      <c r="R414" s="359"/>
      <c r="S414" s="321"/>
      <c r="T414" s="321"/>
      <c r="U414" s="373" t="str">
        <f t="shared" si="24"/>
        <v/>
      </c>
      <c r="V414" s="314" t="str">
        <f t="shared" si="25"/>
        <v/>
      </c>
      <c r="W414" s="314" t="str" cm="1">
        <f t="array" aca="1" ref="W414" ca="1">IFERROR(IF(AE414&lt;&gt;"ja",_xlfn.IFNA(_xlfn.IFS(AND(O414&lt;&gt;"",F414&lt;&gt;"",RIGHT($N414,6)="tarief",F414="Vergoeding"),SUM(O414)*FLOOR(SUM(Q414),0.0001),AND(O414&lt;&gt;"",F414&lt;&gt;"",RIGHT($N414,6)="tarief"),SUM(O414)*FLOOR(SUM(Q414),0.01),S414&gt;0,IF(F414&lt;&gt;"",FLOOR(SUM(S414),0.01),"")),""),""),"")</f>
        <v/>
      </c>
      <c r="X414" s="314" t="str" cm="1">
        <f t="array" aca="1" ref="X414" ca="1">IFERROR(IF(AE414&lt;&gt;"ja",_xlfn.IFNA(_xlfn.IFS(AND(P414&lt;&gt;"",R414&lt;&gt;"",RIGHT($N414,6)="tarief",F414="Vergoeding"),SUM(P414)*FLOOR(SUM(R414),0.0001),AND(P414&lt;&gt;"",R414&lt;&gt;"",RIGHT($N414,6)="tarief"),P414*FLOOR(R414,0.01),T414&gt;0,FLOOR(SUM(T414),0.01)),""),""),"")</f>
        <v/>
      </c>
      <c r="Y414" s="314" t="str">
        <f t="shared" ca="1" si="26"/>
        <v/>
      </c>
      <c r="Z414" s="314" t="str" cm="1">
        <f t="array" aca="1" ref="Z414" ca="1">IFERROR(_xlfn.IFS(OR(F414="",LEFT(Methode_Keuze,4)="Geen",Methode_Keuze=""),"",AND(W414&lt;&gt;"",F414&lt;&gt;"Arbeidskosten"),W414*VLOOKUP(F414,Tb_ProjectKosten[],MATCH(Tb_ProjectKosten[[#Headers],[Forfait_Percentage]],Tb_ProjectKosten[#Headers],0),0),AND(F414="Arbeidskosten",G414&lt;&gt;""),IFERROR(W414*VLOOKUP(G414,Tb_KostenTypen[],3,0)*VLOOKUP(F414,Tb_ProjectKosten[],MATCH(Tb_ProjectKosten[[#Headers],[Forfait_Percentage]],Tb_ProjectKosten[#Headers],0),0),""),W414 &lt;=0,0),"")</f>
        <v/>
      </c>
      <c r="AA414" s="314" t="str" cm="1">
        <f t="array" aca="1" ref="AA414" ca="1">IFERROR(_xlfn.IFS(OR(F414="",LEFT(Methode_Keuze,4)="Geen",Methode_Keuze=""),"",AND(X414&lt;&gt;"",F414&lt;&gt;"Arbeidskosten"),X414*VLOOKUP(F414,Tb_ProjectKosten[],MATCH(Tb_ProjectKosten[[#Headers],[Forfait_Percentage]],Tb_ProjectKosten[#Headers],0),0),AND(F414="Arbeidskosten",G414&lt;&gt;""),IFERROR(X414*VLOOKUP(G414,Tb_KostenTypen[],3,0)*VLOOKUP(F414,Tb_ProjectKosten[],MATCH(Tb_ProjectKosten[[#Headers],[Forfait_Percentage]],Tb_ProjectKosten[#Headers],0),0),""),X414 &lt;=0,0),"")</f>
        <v/>
      </c>
      <c r="AB414" s="314" t="str">
        <f t="shared" ca="1" si="27"/>
        <v/>
      </c>
      <c r="AC414" s="322"/>
      <c r="AD414" s="315"/>
      <c r="AE414" s="32" t="str" cm="1">
        <f t="array" ref="AE414">IFERROR(IF(INDEX(SubsidieTabel!$AD$1:$AG$12,MATCH($F414,SubsidieTabel!$AD$1:$AD$12,0),IFERROR(MATCH(Methode_Keuze,SubsidieTabel!$AD$1:$AG$1,0),2))&lt;&gt;1=TRUE,"ja",""),"")</f>
        <v/>
      </c>
    </row>
    <row r="415" spans="1:31" x14ac:dyDescent="0.25">
      <c r="A415" s="316"/>
      <c r="B415" s="317" t="str">
        <f>IF(A415&lt;&gt;"",_xlfn.MAXIFS($B$1:B414,$A$1:A414,A415)+1,"")</f>
        <v/>
      </c>
      <c r="C415" s="296"/>
      <c r="D415" s="296"/>
      <c r="E415" s="296"/>
      <c r="F415" s="296"/>
      <c r="G415" s="326"/>
      <c r="H415" s="324"/>
      <c r="I415" s="325"/>
      <c r="J415" s="325"/>
      <c r="K415" s="318"/>
      <c r="L415" s="318"/>
      <c r="M415" s="319" t="str">
        <f>IFERROR(VLOOKUP(H415,Lijsten!$H$1:$I$100,2,0),"")</f>
        <v/>
      </c>
      <c r="N415" s="319" t="str">
        <f ca="1">IFERROR(IF(VLOOKUP(F415,Kostentypen!$A$3:$E$21,3,0)=0,"",IF(OR(F415="Arbeidskosten",F415="Vergoeding"),VLOOKUP(G415,Tb_KostenTypen[],2,0),VLOOKUP(F415,Kostentypen!$A$3:$E$20,3,0))),"")</f>
        <v/>
      </c>
      <c r="O415" s="320" t="str" cm="1">
        <f t="array" ref="O415">_xlfn.IFNA(IF(INDEX(Tb_KostenOptiesDB[],MATCH($F415,Tb_KostenOptiesDB[KostenOptie],0),IFERROR(MATCH(Methode_Keuze,Tb_KostenOptiesDB[#Headers],0),2))=1,_xlfn.SWITCH($N415,"Uurtarief",IF(OR(AND(RIGHT($F415,3)="IKS",VLOOKUP($M415,DB_Loonkosten,2,0)="Ja"),AND(RIGHT($F415,3)&lt;&gt;"IKS",VLOOKUP($M415,DB_Loonkosten,2,0)="Nee")),IFERROR(VLOOKUP($M415,DB_Loonkosten,24,0),""),0),"Vast tarief",IF(LEFT(F415,8)="Bijdrage",VLOOKUP($F415,Tb_KostenTypen[],MATCH(Lijsten!$P$1,Tb_KostenTypen[#Headers],0),0),VLOOKUP($G415,Lijsten!L:P,MATCH(Lijsten!$P$1,Kop_Tarief_Vast,0),0))),""),"")</f>
        <v/>
      </c>
      <c r="P415" s="320" t="str" cm="1">
        <f t="array" ref="P415">_xlfn.IFNA(IF(INDEX(Tb_KostenOptiesDB[],MATCH($F415,Tb_KostenOptiesDB[KostenOptie],0),IFERROR(MATCH(Methode_Keuze,Tb_KostenOptiesDB[#Headers],0),2))=1,_xlfn.SWITCH($N415,"Uurtarief",IF(OR(AND(RIGHT($F415,3)="IKS",VLOOKUP($M415,DB_Loonkosten,2,0)="Ja"),AND(RIGHT($F415,3)&lt;&gt;"IKS",VLOOKUP($M415,DB_Loonkosten,2,0)="Nee")),IFERROR(VLOOKUP($M415,DB_Loonkosten,25,0),""),0),"Vast tarief",IF(LEFT(F415,8)="Bijdrage",VLOOKUP($F415,Tb_KostenTypen[],MATCH(Lijsten!$P$1,Tb_KostenTypen[#Headers],0),0),VLOOKUP($G415,Lijsten!L:P,MATCH(Lijsten!$P$1,Kop_Tarief_Vast,0),0))),""),"")</f>
        <v/>
      </c>
      <c r="Q415" s="359"/>
      <c r="R415" s="359"/>
      <c r="S415" s="321"/>
      <c r="T415" s="321"/>
      <c r="U415" s="373" t="str">
        <f t="shared" si="24"/>
        <v/>
      </c>
      <c r="V415" s="314" t="str">
        <f t="shared" si="25"/>
        <v/>
      </c>
      <c r="W415" s="314" t="str" cm="1">
        <f t="array" aca="1" ref="W415" ca="1">IFERROR(IF(AE415&lt;&gt;"ja",_xlfn.IFNA(_xlfn.IFS(AND(O415&lt;&gt;"",F415&lt;&gt;"",RIGHT($N415,6)="tarief",F415="Vergoeding"),SUM(O415)*FLOOR(SUM(Q415),0.0001),AND(O415&lt;&gt;"",F415&lt;&gt;"",RIGHT($N415,6)="tarief"),SUM(O415)*FLOOR(SUM(Q415),0.01),S415&gt;0,IF(F415&lt;&gt;"",FLOOR(SUM(S415),0.01),"")),""),""),"")</f>
        <v/>
      </c>
      <c r="X415" s="314" t="str" cm="1">
        <f t="array" aca="1" ref="X415" ca="1">IFERROR(IF(AE415&lt;&gt;"ja",_xlfn.IFNA(_xlfn.IFS(AND(P415&lt;&gt;"",R415&lt;&gt;"",RIGHT($N415,6)="tarief",F415="Vergoeding"),SUM(P415)*FLOOR(SUM(R415),0.0001),AND(P415&lt;&gt;"",R415&lt;&gt;"",RIGHT($N415,6)="tarief"),P415*FLOOR(R415,0.01),T415&gt;0,FLOOR(SUM(T415),0.01)),""),""),"")</f>
        <v/>
      </c>
      <c r="Y415" s="314" t="str">
        <f t="shared" ca="1" si="26"/>
        <v/>
      </c>
      <c r="Z415" s="314" t="str" cm="1">
        <f t="array" aca="1" ref="Z415" ca="1">IFERROR(_xlfn.IFS(OR(F415="",LEFT(Methode_Keuze,4)="Geen",Methode_Keuze=""),"",AND(W415&lt;&gt;"",F415&lt;&gt;"Arbeidskosten"),W415*VLOOKUP(F415,Tb_ProjectKosten[],MATCH(Tb_ProjectKosten[[#Headers],[Forfait_Percentage]],Tb_ProjectKosten[#Headers],0),0),AND(F415="Arbeidskosten",G415&lt;&gt;""),IFERROR(W415*VLOOKUP(G415,Tb_KostenTypen[],3,0)*VLOOKUP(F415,Tb_ProjectKosten[],MATCH(Tb_ProjectKosten[[#Headers],[Forfait_Percentage]],Tb_ProjectKosten[#Headers],0),0),""),W415 &lt;=0,0),"")</f>
        <v/>
      </c>
      <c r="AA415" s="314" t="str" cm="1">
        <f t="array" aca="1" ref="AA415" ca="1">IFERROR(_xlfn.IFS(OR(F415="",LEFT(Methode_Keuze,4)="Geen",Methode_Keuze=""),"",AND(X415&lt;&gt;"",F415&lt;&gt;"Arbeidskosten"),X415*VLOOKUP(F415,Tb_ProjectKosten[],MATCH(Tb_ProjectKosten[[#Headers],[Forfait_Percentage]],Tb_ProjectKosten[#Headers],0),0),AND(F415="Arbeidskosten",G415&lt;&gt;""),IFERROR(X415*VLOOKUP(G415,Tb_KostenTypen[],3,0)*VLOOKUP(F415,Tb_ProjectKosten[],MATCH(Tb_ProjectKosten[[#Headers],[Forfait_Percentage]],Tb_ProjectKosten[#Headers],0),0),""),X415 &lt;=0,0),"")</f>
        <v/>
      </c>
      <c r="AB415" s="314" t="str">
        <f t="shared" ca="1" si="27"/>
        <v/>
      </c>
      <c r="AC415" s="322"/>
      <c r="AD415" s="315"/>
      <c r="AE415" s="32" t="str" cm="1">
        <f t="array" ref="AE415">IFERROR(IF(INDEX(SubsidieTabel!$AD$1:$AG$12,MATCH($F415,SubsidieTabel!$AD$1:$AD$12,0),IFERROR(MATCH(Methode_Keuze,SubsidieTabel!$AD$1:$AG$1,0),2))&lt;&gt;1=TRUE,"ja",""),"")</f>
        <v/>
      </c>
    </row>
    <row r="416" spans="1:31" x14ac:dyDescent="0.25">
      <c r="A416" s="316"/>
      <c r="B416" s="317" t="str">
        <f>IF(A416&lt;&gt;"",_xlfn.MAXIFS($B$1:B415,$A$1:A415,A416)+1,"")</f>
        <v/>
      </c>
      <c r="C416" s="296"/>
      <c r="D416" s="296"/>
      <c r="E416" s="296"/>
      <c r="F416" s="296"/>
      <c r="G416" s="326"/>
      <c r="H416" s="324"/>
      <c r="I416" s="325"/>
      <c r="J416" s="325"/>
      <c r="K416" s="318"/>
      <c r="L416" s="318"/>
      <c r="M416" s="319" t="str">
        <f>IFERROR(VLOOKUP(H416,Lijsten!$H$1:$I$100,2,0),"")</f>
        <v/>
      </c>
      <c r="N416" s="319" t="str">
        <f ca="1">IFERROR(IF(VLOOKUP(F416,Kostentypen!$A$3:$E$21,3,0)=0,"",IF(OR(F416="Arbeidskosten",F416="Vergoeding"),VLOOKUP(G416,Tb_KostenTypen[],2,0),VLOOKUP(F416,Kostentypen!$A$3:$E$20,3,0))),"")</f>
        <v/>
      </c>
      <c r="O416" s="320" t="str" cm="1">
        <f t="array" ref="O416">_xlfn.IFNA(IF(INDEX(Tb_KostenOptiesDB[],MATCH($F416,Tb_KostenOptiesDB[KostenOptie],0),IFERROR(MATCH(Methode_Keuze,Tb_KostenOptiesDB[#Headers],0),2))=1,_xlfn.SWITCH($N416,"Uurtarief",IF(OR(AND(RIGHT($F416,3)="IKS",VLOOKUP($M416,DB_Loonkosten,2,0)="Ja"),AND(RIGHT($F416,3)&lt;&gt;"IKS",VLOOKUP($M416,DB_Loonkosten,2,0)="Nee")),IFERROR(VLOOKUP($M416,DB_Loonkosten,24,0),""),0),"Vast tarief",IF(LEFT(F416,8)="Bijdrage",VLOOKUP($F416,Tb_KostenTypen[],MATCH(Lijsten!$P$1,Tb_KostenTypen[#Headers],0),0),VLOOKUP($G416,Lijsten!L:P,MATCH(Lijsten!$P$1,Kop_Tarief_Vast,0),0))),""),"")</f>
        <v/>
      </c>
      <c r="P416" s="320" t="str" cm="1">
        <f t="array" ref="P416">_xlfn.IFNA(IF(INDEX(Tb_KostenOptiesDB[],MATCH($F416,Tb_KostenOptiesDB[KostenOptie],0),IFERROR(MATCH(Methode_Keuze,Tb_KostenOptiesDB[#Headers],0),2))=1,_xlfn.SWITCH($N416,"Uurtarief",IF(OR(AND(RIGHT($F416,3)="IKS",VLOOKUP($M416,DB_Loonkosten,2,0)="Ja"),AND(RIGHT($F416,3)&lt;&gt;"IKS",VLOOKUP($M416,DB_Loonkosten,2,0)="Nee")),IFERROR(VLOOKUP($M416,DB_Loonkosten,25,0),""),0),"Vast tarief",IF(LEFT(F416,8)="Bijdrage",VLOOKUP($F416,Tb_KostenTypen[],MATCH(Lijsten!$P$1,Tb_KostenTypen[#Headers],0),0),VLOOKUP($G416,Lijsten!L:P,MATCH(Lijsten!$P$1,Kop_Tarief_Vast,0),0))),""),"")</f>
        <v/>
      </c>
      <c r="Q416" s="359"/>
      <c r="R416" s="359"/>
      <c r="S416" s="321"/>
      <c r="T416" s="321"/>
      <c r="U416" s="373" t="str">
        <f t="shared" si="24"/>
        <v/>
      </c>
      <c r="V416" s="314" t="str">
        <f t="shared" si="25"/>
        <v/>
      </c>
      <c r="W416" s="314" t="str" cm="1">
        <f t="array" aca="1" ref="W416" ca="1">IFERROR(IF(AE416&lt;&gt;"ja",_xlfn.IFNA(_xlfn.IFS(AND(O416&lt;&gt;"",F416&lt;&gt;"",RIGHT($N416,6)="tarief",F416="Vergoeding"),SUM(O416)*FLOOR(SUM(Q416),0.0001),AND(O416&lt;&gt;"",F416&lt;&gt;"",RIGHT($N416,6)="tarief"),SUM(O416)*FLOOR(SUM(Q416),0.01),S416&gt;0,IF(F416&lt;&gt;"",FLOOR(SUM(S416),0.01),"")),""),""),"")</f>
        <v/>
      </c>
      <c r="X416" s="314" t="str" cm="1">
        <f t="array" aca="1" ref="X416" ca="1">IFERROR(IF(AE416&lt;&gt;"ja",_xlfn.IFNA(_xlfn.IFS(AND(P416&lt;&gt;"",R416&lt;&gt;"",RIGHT($N416,6)="tarief",F416="Vergoeding"),SUM(P416)*FLOOR(SUM(R416),0.0001),AND(P416&lt;&gt;"",R416&lt;&gt;"",RIGHT($N416,6)="tarief"),P416*FLOOR(R416,0.01),T416&gt;0,FLOOR(SUM(T416),0.01)),""),""),"")</f>
        <v/>
      </c>
      <c r="Y416" s="314" t="str">
        <f t="shared" ca="1" si="26"/>
        <v/>
      </c>
      <c r="Z416" s="314" t="str" cm="1">
        <f t="array" aca="1" ref="Z416" ca="1">IFERROR(_xlfn.IFS(OR(F416="",LEFT(Methode_Keuze,4)="Geen",Methode_Keuze=""),"",AND(W416&lt;&gt;"",F416&lt;&gt;"Arbeidskosten"),W416*VLOOKUP(F416,Tb_ProjectKosten[],MATCH(Tb_ProjectKosten[[#Headers],[Forfait_Percentage]],Tb_ProjectKosten[#Headers],0),0),AND(F416="Arbeidskosten",G416&lt;&gt;""),IFERROR(W416*VLOOKUP(G416,Tb_KostenTypen[],3,0)*VLOOKUP(F416,Tb_ProjectKosten[],MATCH(Tb_ProjectKosten[[#Headers],[Forfait_Percentage]],Tb_ProjectKosten[#Headers],0),0),""),W416 &lt;=0,0),"")</f>
        <v/>
      </c>
      <c r="AA416" s="314" t="str" cm="1">
        <f t="array" aca="1" ref="AA416" ca="1">IFERROR(_xlfn.IFS(OR(F416="",LEFT(Methode_Keuze,4)="Geen",Methode_Keuze=""),"",AND(X416&lt;&gt;"",F416&lt;&gt;"Arbeidskosten"),X416*VLOOKUP(F416,Tb_ProjectKosten[],MATCH(Tb_ProjectKosten[[#Headers],[Forfait_Percentage]],Tb_ProjectKosten[#Headers],0),0),AND(F416="Arbeidskosten",G416&lt;&gt;""),IFERROR(X416*VLOOKUP(G416,Tb_KostenTypen[],3,0)*VLOOKUP(F416,Tb_ProjectKosten[],MATCH(Tb_ProjectKosten[[#Headers],[Forfait_Percentage]],Tb_ProjectKosten[#Headers],0),0),""),X416 &lt;=0,0),"")</f>
        <v/>
      </c>
      <c r="AB416" s="314" t="str">
        <f t="shared" ca="1" si="27"/>
        <v/>
      </c>
      <c r="AC416" s="322"/>
      <c r="AD416" s="315"/>
      <c r="AE416" s="32" t="str" cm="1">
        <f t="array" ref="AE416">IFERROR(IF(INDEX(SubsidieTabel!$AD$1:$AG$12,MATCH($F416,SubsidieTabel!$AD$1:$AD$12,0),IFERROR(MATCH(Methode_Keuze,SubsidieTabel!$AD$1:$AG$1,0),2))&lt;&gt;1=TRUE,"ja",""),"")</f>
        <v/>
      </c>
    </row>
    <row r="417" spans="1:31" x14ac:dyDescent="0.25">
      <c r="A417" s="316"/>
      <c r="B417" s="317" t="str">
        <f>IF(A417&lt;&gt;"",_xlfn.MAXIFS($B$1:B416,$A$1:A416,A417)+1,"")</f>
        <v/>
      </c>
      <c r="C417" s="296"/>
      <c r="D417" s="296"/>
      <c r="E417" s="296"/>
      <c r="F417" s="296"/>
      <c r="G417" s="326"/>
      <c r="H417" s="324"/>
      <c r="I417" s="325"/>
      <c r="J417" s="325"/>
      <c r="K417" s="318"/>
      <c r="L417" s="318"/>
      <c r="M417" s="319" t="str">
        <f>IFERROR(VLOOKUP(H417,Lijsten!$H$1:$I$100,2,0),"")</f>
        <v/>
      </c>
      <c r="N417" s="319" t="str">
        <f ca="1">IFERROR(IF(VLOOKUP(F417,Kostentypen!$A$3:$E$21,3,0)=0,"",IF(OR(F417="Arbeidskosten",F417="Vergoeding"),VLOOKUP(G417,Tb_KostenTypen[],2,0),VLOOKUP(F417,Kostentypen!$A$3:$E$20,3,0))),"")</f>
        <v/>
      </c>
      <c r="O417" s="320" t="str" cm="1">
        <f t="array" ref="O417">_xlfn.IFNA(IF(INDEX(Tb_KostenOptiesDB[],MATCH($F417,Tb_KostenOptiesDB[KostenOptie],0),IFERROR(MATCH(Methode_Keuze,Tb_KostenOptiesDB[#Headers],0),2))=1,_xlfn.SWITCH($N417,"Uurtarief",IF(OR(AND(RIGHT($F417,3)="IKS",VLOOKUP($M417,DB_Loonkosten,2,0)="Ja"),AND(RIGHT($F417,3)&lt;&gt;"IKS",VLOOKUP($M417,DB_Loonkosten,2,0)="Nee")),IFERROR(VLOOKUP($M417,DB_Loonkosten,24,0),""),0),"Vast tarief",IF(LEFT(F417,8)="Bijdrage",VLOOKUP($F417,Tb_KostenTypen[],MATCH(Lijsten!$P$1,Tb_KostenTypen[#Headers],0),0),VLOOKUP($G417,Lijsten!L:P,MATCH(Lijsten!$P$1,Kop_Tarief_Vast,0),0))),""),"")</f>
        <v/>
      </c>
      <c r="P417" s="320" t="str" cm="1">
        <f t="array" ref="P417">_xlfn.IFNA(IF(INDEX(Tb_KostenOptiesDB[],MATCH($F417,Tb_KostenOptiesDB[KostenOptie],0),IFERROR(MATCH(Methode_Keuze,Tb_KostenOptiesDB[#Headers],0),2))=1,_xlfn.SWITCH($N417,"Uurtarief",IF(OR(AND(RIGHT($F417,3)="IKS",VLOOKUP($M417,DB_Loonkosten,2,0)="Ja"),AND(RIGHT($F417,3)&lt;&gt;"IKS",VLOOKUP($M417,DB_Loonkosten,2,0)="Nee")),IFERROR(VLOOKUP($M417,DB_Loonkosten,25,0),""),0),"Vast tarief",IF(LEFT(F417,8)="Bijdrage",VLOOKUP($F417,Tb_KostenTypen[],MATCH(Lijsten!$P$1,Tb_KostenTypen[#Headers],0),0),VLOOKUP($G417,Lijsten!L:P,MATCH(Lijsten!$P$1,Kop_Tarief_Vast,0),0))),""),"")</f>
        <v/>
      </c>
      <c r="Q417" s="359"/>
      <c r="R417" s="359"/>
      <c r="S417" s="321"/>
      <c r="T417" s="321"/>
      <c r="U417" s="373" t="str">
        <f t="shared" si="24"/>
        <v/>
      </c>
      <c r="V417" s="314" t="str">
        <f t="shared" si="25"/>
        <v/>
      </c>
      <c r="W417" s="314" t="str" cm="1">
        <f t="array" aca="1" ref="W417" ca="1">IFERROR(IF(AE417&lt;&gt;"ja",_xlfn.IFNA(_xlfn.IFS(AND(O417&lt;&gt;"",F417&lt;&gt;"",RIGHT($N417,6)="tarief",F417="Vergoeding"),SUM(O417)*FLOOR(SUM(Q417),0.0001),AND(O417&lt;&gt;"",F417&lt;&gt;"",RIGHT($N417,6)="tarief"),SUM(O417)*FLOOR(SUM(Q417),0.01),S417&gt;0,IF(F417&lt;&gt;"",FLOOR(SUM(S417),0.01),"")),""),""),"")</f>
        <v/>
      </c>
      <c r="X417" s="314" t="str" cm="1">
        <f t="array" aca="1" ref="X417" ca="1">IFERROR(IF(AE417&lt;&gt;"ja",_xlfn.IFNA(_xlfn.IFS(AND(P417&lt;&gt;"",R417&lt;&gt;"",RIGHT($N417,6)="tarief",F417="Vergoeding"),SUM(P417)*FLOOR(SUM(R417),0.0001),AND(P417&lt;&gt;"",R417&lt;&gt;"",RIGHT($N417,6)="tarief"),P417*FLOOR(R417,0.01),T417&gt;0,FLOOR(SUM(T417),0.01)),""),""),"")</f>
        <v/>
      </c>
      <c r="Y417" s="314" t="str">
        <f t="shared" ca="1" si="26"/>
        <v/>
      </c>
      <c r="Z417" s="314" t="str" cm="1">
        <f t="array" aca="1" ref="Z417" ca="1">IFERROR(_xlfn.IFS(OR(F417="",LEFT(Methode_Keuze,4)="Geen",Methode_Keuze=""),"",AND(W417&lt;&gt;"",F417&lt;&gt;"Arbeidskosten"),W417*VLOOKUP(F417,Tb_ProjectKosten[],MATCH(Tb_ProjectKosten[[#Headers],[Forfait_Percentage]],Tb_ProjectKosten[#Headers],0),0),AND(F417="Arbeidskosten",G417&lt;&gt;""),IFERROR(W417*VLOOKUP(G417,Tb_KostenTypen[],3,0)*VLOOKUP(F417,Tb_ProjectKosten[],MATCH(Tb_ProjectKosten[[#Headers],[Forfait_Percentage]],Tb_ProjectKosten[#Headers],0),0),""),W417 &lt;=0,0),"")</f>
        <v/>
      </c>
      <c r="AA417" s="314" t="str" cm="1">
        <f t="array" aca="1" ref="AA417" ca="1">IFERROR(_xlfn.IFS(OR(F417="",LEFT(Methode_Keuze,4)="Geen",Methode_Keuze=""),"",AND(X417&lt;&gt;"",F417&lt;&gt;"Arbeidskosten"),X417*VLOOKUP(F417,Tb_ProjectKosten[],MATCH(Tb_ProjectKosten[[#Headers],[Forfait_Percentage]],Tb_ProjectKosten[#Headers],0),0),AND(F417="Arbeidskosten",G417&lt;&gt;""),IFERROR(X417*VLOOKUP(G417,Tb_KostenTypen[],3,0)*VLOOKUP(F417,Tb_ProjectKosten[],MATCH(Tb_ProjectKosten[[#Headers],[Forfait_Percentage]],Tb_ProjectKosten[#Headers],0),0),""),X417 &lt;=0,0),"")</f>
        <v/>
      </c>
      <c r="AB417" s="314" t="str">
        <f t="shared" ca="1" si="27"/>
        <v/>
      </c>
      <c r="AC417" s="322"/>
      <c r="AD417" s="315"/>
      <c r="AE417" s="32" t="str" cm="1">
        <f t="array" ref="AE417">IFERROR(IF(INDEX(SubsidieTabel!$AD$1:$AG$12,MATCH($F417,SubsidieTabel!$AD$1:$AD$12,0),IFERROR(MATCH(Methode_Keuze,SubsidieTabel!$AD$1:$AG$1,0),2))&lt;&gt;1=TRUE,"ja",""),"")</f>
        <v/>
      </c>
    </row>
    <row r="418" spans="1:31" x14ac:dyDescent="0.25">
      <c r="A418" s="316"/>
      <c r="B418" s="317" t="str">
        <f>IF(A418&lt;&gt;"",_xlfn.MAXIFS($B$1:B417,$A$1:A417,A418)+1,"")</f>
        <v/>
      </c>
      <c r="C418" s="296"/>
      <c r="D418" s="296"/>
      <c r="E418" s="296"/>
      <c r="F418" s="296"/>
      <c r="G418" s="326"/>
      <c r="H418" s="324"/>
      <c r="I418" s="325"/>
      <c r="J418" s="325"/>
      <c r="K418" s="318"/>
      <c r="L418" s="318"/>
      <c r="M418" s="319" t="str">
        <f>IFERROR(VLOOKUP(H418,Lijsten!$H$1:$I$100,2,0),"")</f>
        <v/>
      </c>
      <c r="N418" s="319" t="str">
        <f ca="1">IFERROR(IF(VLOOKUP(F418,Kostentypen!$A$3:$E$21,3,0)=0,"",IF(OR(F418="Arbeidskosten",F418="Vergoeding"),VLOOKUP(G418,Tb_KostenTypen[],2,0),VLOOKUP(F418,Kostentypen!$A$3:$E$20,3,0))),"")</f>
        <v/>
      </c>
      <c r="O418" s="320" t="str" cm="1">
        <f t="array" ref="O418">_xlfn.IFNA(IF(INDEX(Tb_KostenOptiesDB[],MATCH($F418,Tb_KostenOptiesDB[KostenOptie],0),IFERROR(MATCH(Methode_Keuze,Tb_KostenOptiesDB[#Headers],0),2))=1,_xlfn.SWITCH($N418,"Uurtarief",IF(OR(AND(RIGHT($F418,3)="IKS",VLOOKUP($M418,DB_Loonkosten,2,0)="Ja"),AND(RIGHT($F418,3)&lt;&gt;"IKS",VLOOKUP($M418,DB_Loonkosten,2,0)="Nee")),IFERROR(VLOOKUP($M418,DB_Loonkosten,24,0),""),0),"Vast tarief",IF(LEFT(F418,8)="Bijdrage",VLOOKUP($F418,Tb_KostenTypen[],MATCH(Lijsten!$P$1,Tb_KostenTypen[#Headers],0),0),VLOOKUP($G418,Lijsten!L:P,MATCH(Lijsten!$P$1,Kop_Tarief_Vast,0),0))),""),"")</f>
        <v/>
      </c>
      <c r="P418" s="320" t="str" cm="1">
        <f t="array" ref="P418">_xlfn.IFNA(IF(INDEX(Tb_KostenOptiesDB[],MATCH($F418,Tb_KostenOptiesDB[KostenOptie],0),IFERROR(MATCH(Methode_Keuze,Tb_KostenOptiesDB[#Headers],0),2))=1,_xlfn.SWITCH($N418,"Uurtarief",IF(OR(AND(RIGHT($F418,3)="IKS",VLOOKUP($M418,DB_Loonkosten,2,0)="Ja"),AND(RIGHT($F418,3)&lt;&gt;"IKS",VLOOKUP($M418,DB_Loonkosten,2,0)="Nee")),IFERROR(VLOOKUP($M418,DB_Loonkosten,25,0),""),0),"Vast tarief",IF(LEFT(F418,8)="Bijdrage",VLOOKUP($F418,Tb_KostenTypen[],MATCH(Lijsten!$P$1,Tb_KostenTypen[#Headers],0),0),VLOOKUP($G418,Lijsten!L:P,MATCH(Lijsten!$P$1,Kop_Tarief_Vast,0),0))),""),"")</f>
        <v/>
      </c>
      <c r="Q418" s="359"/>
      <c r="R418" s="359"/>
      <c r="S418" s="321"/>
      <c r="T418" s="321"/>
      <c r="U418" s="373" t="str">
        <f t="shared" si="24"/>
        <v/>
      </c>
      <c r="V418" s="314" t="str">
        <f t="shared" si="25"/>
        <v/>
      </c>
      <c r="W418" s="314" t="str" cm="1">
        <f t="array" aca="1" ref="W418" ca="1">IFERROR(IF(AE418&lt;&gt;"ja",_xlfn.IFNA(_xlfn.IFS(AND(O418&lt;&gt;"",F418&lt;&gt;"",RIGHT($N418,6)="tarief",F418="Vergoeding"),SUM(O418)*FLOOR(SUM(Q418),0.0001),AND(O418&lt;&gt;"",F418&lt;&gt;"",RIGHT($N418,6)="tarief"),SUM(O418)*FLOOR(SUM(Q418),0.01),S418&gt;0,IF(F418&lt;&gt;"",FLOOR(SUM(S418),0.01),"")),""),""),"")</f>
        <v/>
      </c>
      <c r="X418" s="314" t="str" cm="1">
        <f t="array" aca="1" ref="X418" ca="1">IFERROR(IF(AE418&lt;&gt;"ja",_xlfn.IFNA(_xlfn.IFS(AND(P418&lt;&gt;"",R418&lt;&gt;"",RIGHT($N418,6)="tarief",F418="Vergoeding"),SUM(P418)*FLOOR(SUM(R418),0.0001),AND(P418&lt;&gt;"",R418&lt;&gt;"",RIGHT($N418,6)="tarief"),P418*FLOOR(R418,0.01),T418&gt;0,FLOOR(SUM(T418),0.01)),""),""),"")</f>
        <v/>
      </c>
      <c r="Y418" s="314" t="str">
        <f t="shared" ca="1" si="26"/>
        <v/>
      </c>
      <c r="Z418" s="314" t="str" cm="1">
        <f t="array" aca="1" ref="Z418" ca="1">IFERROR(_xlfn.IFS(OR(F418="",LEFT(Methode_Keuze,4)="Geen",Methode_Keuze=""),"",AND(W418&lt;&gt;"",F418&lt;&gt;"Arbeidskosten"),W418*VLOOKUP(F418,Tb_ProjectKosten[],MATCH(Tb_ProjectKosten[[#Headers],[Forfait_Percentage]],Tb_ProjectKosten[#Headers],0),0),AND(F418="Arbeidskosten",G418&lt;&gt;""),IFERROR(W418*VLOOKUP(G418,Tb_KostenTypen[],3,0)*VLOOKUP(F418,Tb_ProjectKosten[],MATCH(Tb_ProjectKosten[[#Headers],[Forfait_Percentage]],Tb_ProjectKosten[#Headers],0),0),""),W418 &lt;=0,0),"")</f>
        <v/>
      </c>
      <c r="AA418" s="314" t="str" cm="1">
        <f t="array" aca="1" ref="AA418" ca="1">IFERROR(_xlfn.IFS(OR(F418="",LEFT(Methode_Keuze,4)="Geen",Methode_Keuze=""),"",AND(X418&lt;&gt;"",F418&lt;&gt;"Arbeidskosten"),X418*VLOOKUP(F418,Tb_ProjectKosten[],MATCH(Tb_ProjectKosten[[#Headers],[Forfait_Percentage]],Tb_ProjectKosten[#Headers],0),0),AND(F418="Arbeidskosten",G418&lt;&gt;""),IFERROR(X418*VLOOKUP(G418,Tb_KostenTypen[],3,0)*VLOOKUP(F418,Tb_ProjectKosten[],MATCH(Tb_ProjectKosten[[#Headers],[Forfait_Percentage]],Tb_ProjectKosten[#Headers],0),0),""),X418 &lt;=0,0),"")</f>
        <v/>
      </c>
      <c r="AB418" s="314" t="str">
        <f t="shared" ca="1" si="27"/>
        <v/>
      </c>
      <c r="AC418" s="322"/>
      <c r="AD418" s="315"/>
      <c r="AE418" s="32" t="str" cm="1">
        <f t="array" ref="AE418">IFERROR(IF(INDEX(SubsidieTabel!$AD$1:$AG$12,MATCH($F418,SubsidieTabel!$AD$1:$AD$12,0),IFERROR(MATCH(Methode_Keuze,SubsidieTabel!$AD$1:$AG$1,0),2))&lt;&gt;1=TRUE,"ja",""),"")</f>
        <v/>
      </c>
    </row>
    <row r="419" spans="1:31" x14ac:dyDescent="0.25">
      <c r="A419" s="316"/>
      <c r="B419" s="317" t="str">
        <f>IF(A419&lt;&gt;"",_xlfn.MAXIFS($B$1:B418,$A$1:A418,A419)+1,"")</f>
        <v/>
      </c>
      <c r="C419" s="296"/>
      <c r="D419" s="296"/>
      <c r="E419" s="296"/>
      <c r="F419" s="296"/>
      <c r="G419" s="326"/>
      <c r="H419" s="324"/>
      <c r="I419" s="325"/>
      <c r="J419" s="325"/>
      <c r="K419" s="318"/>
      <c r="L419" s="318"/>
      <c r="M419" s="319" t="str">
        <f>IFERROR(VLOOKUP(H419,Lijsten!$H$1:$I$100,2,0),"")</f>
        <v/>
      </c>
      <c r="N419" s="319" t="str">
        <f ca="1">IFERROR(IF(VLOOKUP(F419,Kostentypen!$A$3:$E$21,3,0)=0,"",IF(OR(F419="Arbeidskosten",F419="Vergoeding"),VLOOKUP(G419,Tb_KostenTypen[],2,0),VLOOKUP(F419,Kostentypen!$A$3:$E$20,3,0))),"")</f>
        <v/>
      </c>
      <c r="O419" s="320" t="str" cm="1">
        <f t="array" ref="O419">_xlfn.IFNA(IF(INDEX(Tb_KostenOptiesDB[],MATCH($F419,Tb_KostenOptiesDB[KostenOptie],0),IFERROR(MATCH(Methode_Keuze,Tb_KostenOptiesDB[#Headers],0),2))=1,_xlfn.SWITCH($N419,"Uurtarief",IF(OR(AND(RIGHT($F419,3)="IKS",VLOOKUP($M419,DB_Loonkosten,2,0)="Ja"),AND(RIGHT($F419,3)&lt;&gt;"IKS",VLOOKUP($M419,DB_Loonkosten,2,0)="Nee")),IFERROR(VLOOKUP($M419,DB_Loonkosten,24,0),""),0),"Vast tarief",IF(LEFT(F419,8)="Bijdrage",VLOOKUP($F419,Tb_KostenTypen[],MATCH(Lijsten!$P$1,Tb_KostenTypen[#Headers],0),0),VLOOKUP($G419,Lijsten!L:P,MATCH(Lijsten!$P$1,Kop_Tarief_Vast,0),0))),""),"")</f>
        <v/>
      </c>
      <c r="P419" s="320" t="str" cm="1">
        <f t="array" ref="P419">_xlfn.IFNA(IF(INDEX(Tb_KostenOptiesDB[],MATCH($F419,Tb_KostenOptiesDB[KostenOptie],0),IFERROR(MATCH(Methode_Keuze,Tb_KostenOptiesDB[#Headers],0),2))=1,_xlfn.SWITCH($N419,"Uurtarief",IF(OR(AND(RIGHT($F419,3)="IKS",VLOOKUP($M419,DB_Loonkosten,2,0)="Ja"),AND(RIGHT($F419,3)&lt;&gt;"IKS",VLOOKUP($M419,DB_Loonkosten,2,0)="Nee")),IFERROR(VLOOKUP($M419,DB_Loonkosten,25,0),""),0),"Vast tarief",IF(LEFT(F419,8)="Bijdrage",VLOOKUP($F419,Tb_KostenTypen[],MATCH(Lijsten!$P$1,Tb_KostenTypen[#Headers],0),0),VLOOKUP($G419,Lijsten!L:P,MATCH(Lijsten!$P$1,Kop_Tarief_Vast,0),0))),""),"")</f>
        <v/>
      </c>
      <c r="Q419" s="359"/>
      <c r="R419" s="359"/>
      <c r="S419" s="321"/>
      <c r="T419" s="321"/>
      <c r="U419" s="373" t="str">
        <f t="shared" si="24"/>
        <v/>
      </c>
      <c r="V419" s="314" t="str">
        <f t="shared" si="25"/>
        <v/>
      </c>
      <c r="W419" s="314" t="str" cm="1">
        <f t="array" aca="1" ref="W419" ca="1">IFERROR(IF(AE419&lt;&gt;"ja",_xlfn.IFNA(_xlfn.IFS(AND(O419&lt;&gt;"",F419&lt;&gt;"",RIGHT($N419,6)="tarief",F419="Vergoeding"),SUM(O419)*FLOOR(SUM(Q419),0.0001),AND(O419&lt;&gt;"",F419&lt;&gt;"",RIGHT($N419,6)="tarief"),SUM(O419)*FLOOR(SUM(Q419),0.01),S419&gt;0,IF(F419&lt;&gt;"",FLOOR(SUM(S419),0.01),"")),""),""),"")</f>
        <v/>
      </c>
      <c r="X419" s="314" t="str" cm="1">
        <f t="array" aca="1" ref="X419" ca="1">IFERROR(IF(AE419&lt;&gt;"ja",_xlfn.IFNA(_xlfn.IFS(AND(P419&lt;&gt;"",R419&lt;&gt;"",RIGHT($N419,6)="tarief",F419="Vergoeding"),SUM(P419)*FLOOR(SUM(R419),0.0001),AND(P419&lt;&gt;"",R419&lt;&gt;"",RIGHT($N419,6)="tarief"),P419*FLOOR(R419,0.01),T419&gt;0,FLOOR(SUM(T419),0.01)),""),""),"")</f>
        <v/>
      </c>
      <c r="Y419" s="314" t="str">
        <f t="shared" ca="1" si="26"/>
        <v/>
      </c>
      <c r="Z419" s="314" t="str" cm="1">
        <f t="array" aca="1" ref="Z419" ca="1">IFERROR(_xlfn.IFS(OR(F419="",LEFT(Methode_Keuze,4)="Geen",Methode_Keuze=""),"",AND(W419&lt;&gt;"",F419&lt;&gt;"Arbeidskosten"),W419*VLOOKUP(F419,Tb_ProjectKosten[],MATCH(Tb_ProjectKosten[[#Headers],[Forfait_Percentage]],Tb_ProjectKosten[#Headers],0),0),AND(F419="Arbeidskosten",G419&lt;&gt;""),IFERROR(W419*VLOOKUP(G419,Tb_KostenTypen[],3,0)*VLOOKUP(F419,Tb_ProjectKosten[],MATCH(Tb_ProjectKosten[[#Headers],[Forfait_Percentage]],Tb_ProjectKosten[#Headers],0),0),""),W419 &lt;=0,0),"")</f>
        <v/>
      </c>
      <c r="AA419" s="314" t="str" cm="1">
        <f t="array" aca="1" ref="AA419" ca="1">IFERROR(_xlfn.IFS(OR(F419="",LEFT(Methode_Keuze,4)="Geen",Methode_Keuze=""),"",AND(X419&lt;&gt;"",F419&lt;&gt;"Arbeidskosten"),X419*VLOOKUP(F419,Tb_ProjectKosten[],MATCH(Tb_ProjectKosten[[#Headers],[Forfait_Percentage]],Tb_ProjectKosten[#Headers],0),0),AND(F419="Arbeidskosten",G419&lt;&gt;""),IFERROR(X419*VLOOKUP(G419,Tb_KostenTypen[],3,0)*VLOOKUP(F419,Tb_ProjectKosten[],MATCH(Tb_ProjectKosten[[#Headers],[Forfait_Percentage]],Tb_ProjectKosten[#Headers],0),0),""),X419 &lt;=0,0),"")</f>
        <v/>
      </c>
      <c r="AB419" s="314" t="str">
        <f t="shared" ca="1" si="27"/>
        <v/>
      </c>
      <c r="AC419" s="322"/>
      <c r="AD419" s="315"/>
      <c r="AE419" s="32" t="str" cm="1">
        <f t="array" ref="AE419">IFERROR(IF(INDEX(SubsidieTabel!$AD$1:$AG$12,MATCH($F419,SubsidieTabel!$AD$1:$AD$12,0),IFERROR(MATCH(Methode_Keuze,SubsidieTabel!$AD$1:$AG$1,0),2))&lt;&gt;1=TRUE,"ja",""),"")</f>
        <v/>
      </c>
    </row>
    <row r="420" spans="1:31" x14ac:dyDescent="0.25">
      <c r="A420" s="316"/>
      <c r="B420" s="317" t="str">
        <f>IF(A420&lt;&gt;"",_xlfn.MAXIFS($B$1:B419,$A$1:A419,A420)+1,"")</f>
        <v/>
      </c>
      <c r="C420" s="296"/>
      <c r="D420" s="296"/>
      <c r="E420" s="296"/>
      <c r="F420" s="296"/>
      <c r="G420" s="326"/>
      <c r="H420" s="324"/>
      <c r="I420" s="325"/>
      <c r="J420" s="325"/>
      <c r="K420" s="318"/>
      <c r="L420" s="318"/>
      <c r="M420" s="319" t="str">
        <f>IFERROR(VLOOKUP(H420,Lijsten!$H$1:$I$100,2,0),"")</f>
        <v/>
      </c>
      <c r="N420" s="319" t="str">
        <f ca="1">IFERROR(IF(VLOOKUP(F420,Kostentypen!$A$3:$E$21,3,0)=0,"",IF(OR(F420="Arbeidskosten",F420="Vergoeding"),VLOOKUP(G420,Tb_KostenTypen[],2,0),VLOOKUP(F420,Kostentypen!$A$3:$E$20,3,0))),"")</f>
        <v/>
      </c>
      <c r="O420" s="320" t="str" cm="1">
        <f t="array" ref="O420">_xlfn.IFNA(IF(INDEX(Tb_KostenOptiesDB[],MATCH($F420,Tb_KostenOptiesDB[KostenOptie],0),IFERROR(MATCH(Methode_Keuze,Tb_KostenOptiesDB[#Headers],0),2))=1,_xlfn.SWITCH($N420,"Uurtarief",IF(OR(AND(RIGHT($F420,3)="IKS",VLOOKUP($M420,DB_Loonkosten,2,0)="Ja"),AND(RIGHT($F420,3)&lt;&gt;"IKS",VLOOKUP($M420,DB_Loonkosten,2,0)="Nee")),IFERROR(VLOOKUP($M420,DB_Loonkosten,24,0),""),0),"Vast tarief",IF(LEFT(F420,8)="Bijdrage",VLOOKUP($F420,Tb_KostenTypen[],MATCH(Lijsten!$P$1,Tb_KostenTypen[#Headers],0),0),VLOOKUP($G420,Lijsten!L:P,MATCH(Lijsten!$P$1,Kop_Tarief_Vast,0),0))),""),"")</f>
        <v/>
      </c>
      <c r="P420" s="320" t="str" cm="1">
        <f t="array" ref="P420">_xlfn.IFNA(IF(INDEX(Tb_KostenOptiesDB[],MATCH($F420,Tb_KostenOptiesDB[KostenOptie],0),IFERROR(MATCH(Methode_Keuze,Tb_KostenOptiesDB[#Headers],0),2))=1,_xlfn.SWITCH($N420,"Uurtarief",IF(OR(AND(RIGHT($F420,3)="IKS",VLOOKUP($M420,DB_Loonkosten,2,0)="Ja"),AND(RIGHT($F420,3)&lt;&gt;"IKS",VLOOKUP($M420,DB_Loonkosten,2,0)="Nee")),IFERROR(VLOOKUP($M420,DB_Loonkosten,25,0),""),0),"Vast tarief",IF(LEFT(F420,8)="Bijdrage",VLOOKUP($F420,Tb_KostenTypen[],MATCH(Lijsten!$P$1,Tb_KostenTypen[#Headers],0),0),VLOOKUP($G420,Lijsten!L:P,MATCH(Lijsten!$P$1,Kop_Tarief_Vast,0),0))),""),"")</f>
        <v/>
      </c>
      <c r="Q420" s="359"/>
      <c r="R420" s="359"/>
      <c r="S420" s="321"/>
      <c r="T420" s="321"/>
      <c r="U420" s="373" t="str">
        <f t="shared" si="24"/>
        <v/>
      </c>
      <c r="V420" s="314" t="str">
        <f t="shared" si="25"/>
        <v/>
      </c>
      <c r="W420" s="314" t="str" cm="1">
        <f t="array" aca="1" ref="W420" ca="1">IFERROR(IF(AE420&lt;&gt;"ja",_xlfn.IFNA(_xlfn.IFS(AND(O420&lt;&gt;"",F420&lt;&gt;"",RIGHT($N420,6)="tarief",F420="Vergoeding"),SUM(O420)*FLOOR(SUM(Q420),0.0001),AND(O420&lt;&gt;"",F420&lt;&gt;"",RIGHT($N420,6)="tarief"),SUM(O420)*FLOOR(SUM(Q420),0.01),S420&gt;0,IF(F420&lt;&gt;"",FLOOR(SUM(S420),0.01),"")),""),""),"")</f>
        <v/>
      </c>
      <c r="X420" s="314" t="str" cm="1">
        <f t="array" aca="1" ref="X420" ca="1">IFERROR(IF(AE420&lt;&gt;"ja",_xlfn.IFNA(_xlfn.IFS(AND(P420&lt;&gt;"",R420&lt;&gt;"",RIGHT($N420,6)="tarief",F420="Vergoeding"),SUM(P420)*FLOOR(SUM(R420),0.0001),AND(P420&lt;&gt;"",R420&lt;&gt;"",RIGHT($N420,6)="tarief"),P420*FLOOR(R420,0.01),T420&gt;0,FLOOR(SUM(T420),0.01)),""),""),"")</f>
        <v/>
      </c>
      <c r="Y420" s="314" t="str">
        <f t="shared" ca="1" si="26"/>
        <v/>
      </c>
      <c r="Z420" s="314" t="str" cm="1">
        <f t="array" aca="1" ref="Z420" ca="1">IFERROR(_xlfn.IFS(OR(F420="",LEFT(Methode_Keuze,4)="Geen",Methode_Keuze=""),"",AND(W420&lt;&gt;"",F420&lt;&gt;"Arbeidskosten"),W420*VLOOKUP(F420,Tb_ProjectKosten[],MATCH(Tb_ProjectKosten[[#Headers],[Forfait_Percentage]],Tb_ProjectKosten[#Headers],0),0),AND(F420="Arbeidskosten",G420&lt;&gt;""),IFERROR(W420*VLOOKUP(G420,Tb_KostenTypen[],3,0)*VLOOKUP(F420,Tb_ProjectKosten[],MATCH(Tb_ProjectKosten[[#Headers],[Forfait_Percentage]],Tb_ProjectKosten[#Headers],0),0),""),W420 &lt;=0,0),"")</f>
        <v/>
      </c>
      <c r="AA420" s="314" t="str" cm="1">
        <f t="array" aca="1" ref="AA420" ca="1">IFERROR(_xlfn.IFS(OR(F420="",LEFT(Methode_Keuze,4)="Geen",Methode_Keuze=""),"",AND(X420&lt;&gt;"",F420&lt;&gt;"Arbeidskosten"),X420*VLOOKUP(F420,Tb_ProjectKosten[],MATCH(Tb_ProjectKosten[[#Headers],[Forfait_Percentage]],Tb_ProjectKosten[#Headers],0),0),AND(F420="Arbeidskosten",G420&lt;&gt;""),IFERROR(X420*VLOOKUP(G420,Tb_KostenTypen[],3,0)*VLOOKUP(F420,Tb_ProjectKosten[],MATCH(Tb_ProjectKosten[[#Headers],[Forfait_Percentage]],Tb_ProjectKosten[#Headers],0),0),""),X420 &lt;=0,0),"")</f>
        <v/>
      </c>
      <c r="AB420" s="314" t="str">
        <f t="shared" ca="1" si="27"/>
        <v/>
      </c>
      <c r="AC420" s="322"/>
      <c r="AD420" s="315"/>
      <c r="AE420" s="32" t="str" cm="1">
        <f t="array" ref="AE420">IFERROR(IF(INDEX(SubsidieTabel!$AD$1:$AG$12,MATCH($F420,SubsidieTabel!$AD$1:$AD$12,0),IFERROR(MATCH(Methode_Keuze,SubsidieTabel!$AD$1:$AG$1,0),2))&lt;&gt;1=TRUE,"ja",""),"")</f>
        <v/>
      </c>
    </row>
    <row r="421" spans="1:31" x14ac:dyDescent="0.25">
      <c r="A421" s="316"/>
      <c r="B421" s="317" t="str">
        <f>IF(A421&lt;&gt;"",_xlfn.MAXIFS($B$1:B420,$A$1:A420,A421)+1,"")</f>
        <v/>
      </c>
      <c r="C421" s="296"/>
      <c r="D421" s="296"/>
      <c r="E421" s="296"/>
      <c r="F421" s="296"/>
      <c r="G421" s="326"/>
      <c r="H421" s="324"/>
      <c r="I421" s="325"/>
      <c r="J421" s="325"/>
      <c r="K421" s="318"/>
      <c r="L421" s="318"/>
      <c r="M421" s="319" t="str">
        <f>IFERROR(VLOOKUP(H421,Lijsten!$H$1:$I$100,2,0),"")</f>
        <v/>
      </c>
      <c r="N421" s="319" t="str">
        <f ca="1">IFERROR(IF(VLOOKUP(F421,Kostentypen!$A$3:$E$21,3,0)=0,"",IF(OR(F421="Arbeidskosten",F421="Vergoeding"),VLOOKUP(G421,Tb_KostenTypen[],2,0),VLOOKUP(F421,Kostentypen!$A$3:$E$20,3,0))),"")</f>
        <v/>
      </c>
      <c r="O421" s="320" t="str" cm="1">
        <f t="array" ref="O421">_xlfn.IFNA(IF(INDEX(Tb_KostenOptiesDB[],MATCH($F421,Tb_KostenOptiesDB[KostenOptie],0),IFERROR(MATCH(Methode_Keuze,Tb_KostenOptiesDB[#Headers],0),2))=1,_xlfn.SWITCH($N421,"Uurtarief",IF(OR(AND(RIGHT($F421,3)="IKS",VLOOKUP($M421,DB_Loonkosten,2,0)="Ja"),AND(RIGHT($F421,3)&lt;&gt;"IKS",VLOOKUP($M421,DB_Loonkosten,2,0)="Nee")),IFERROR(VLOOKUP($M421,DB_Loonkosten,24,0),""),0),"Vast tarief",IF(LEFT(F421,8)="Bijdrage",VLOOKUP($F421,Tb_KostenTypen[],MATCH(Lijsten!$P$1,Tb_KostenTypen[#Headers],0),0),VLOOKUP($G421,Lijsten!L:P,MATCH(Lijsten!$P$1,Kop_Tarief_Vast,0),0))),""),"")</f>
        <v/>
      </c>
      <c r="P421" s="320" t="str" cm="1">
        <f t="array" ref="P421">_xlfn.IFNA(IF(INDEX(Tb_KostenOptiesDB[],MATCH($F421,Tb_KostenOptiesDB[KostenOptie],0),IFERROR(MATCH(Methode_Keuze,Tb_KostenOptiesDB[#Headers],0),2))=1,_xlfn.SWITCH($N421,"Uurtarief",IF(OR(AND(RIGHT($F421,3)="IKS",VLOOKUP($M421,DB_Loonkosten,2,0)="Ja"),AND(RIGHT($F421,3)&lt;&gt;"IKS",VLOOKUP($M421,DB_Loonkosten,2,0)="Nee")),IFERROR(VLOOKUP($M421,DB_Loonkosten,25,0),""),0),"Vast tarief",IF(LEFT(F421,8)="Bijdrage",VLOOKUP($F421,Tb_KostenTypen[],MATCH(Lijsten!$P$1,Tb_KostenTypen[#Headers],0),0),VLOOKUP($G421,Lijsten!L:P,MATCH(Lijsten!$P$1,Kop_Tarief_Vast,0),0))),""),"")</f>
        <v/>
      </c>
      <c r="Q421" s="359"/>
      <c r="R421" s="359"/>
      <c r="S421" s="321"/>
      <c r="T421" s="321"/>
      <c r="U421" s="373" t="str">
        <f t="shared" si="24"/>
        <v/>
      </c>
      <c r="V421" s="314" t="str">
        <f t="shared" si="25"/>
        <v/>
      </c>
      <c r="W421" s="314" t="str" cm="1">
        <f t="array" aca="1" ref="W421" ca="1">IFERROR(IF(AE421&lt;&gt;"ja",_xlfn.IFNA(_xlfn.IFS(AND(O421&lt;&gt;"",F421&lt;&gt;"",RIGHT($N421,6)="tarief",F421="Vergoeding"),SUM(O421)*FLOOR(SUM(Q421),0.0001),AND(O421&lt;&gt;"",F421&lt;&gt;"",RIGHT($N421,6)="tarief"),SUM(O421)*FLOOR(SUM(Q421),0.01),S421&gt;0,IF(F421&lt;&gt;"",FLOOR(SUM(S421),0.01),"")),""),""),"")</f>
        <v/>
      </c>
      <c r="X421" s="314" t="str" cm="1">
        <f t="array" aca="1" ref="X421" ca="1">IFERROR(IF(AE421&lt;&gt;"ja",_xlfn.IFNA(_xlfn.IFS(AND(P421&lt;&gt;"",R421&lt;&gt;"",RIGHT($N421,6)="tarief",F421="Vergoeding"),SUM(P421)*FLOOR(SUM(R421),0.0001),AND(P421&lt;&gt;"",R421&lt;&gt;"",RIGHT($N421,6)="tarief"),P421*FLOOR(R421,0.01),T421&gt;0,FLOOR(SUM(T421),0.01)),""),""),"")</f>
        <v/>
      </c>
      <c r="Y421" s="314" t="str">
        <f t="shared" ca="1" si="26"/>
        <v/>
      </c>
      <c r="Z421" s="314" t="str" cm="1">
        <f t="array" aca="1" ref="Z421" ca="1">IFERROR(_xlfn.IFS(OR(F421="",LEFT(Methode_Keuze,4)="Geen",Methode_Keuze=""),"",AND(W421&lt;&gt;"",F421&lt;&gt;"Arbeidskosten"),W421*VLOOKUP(F421,Tb_ProjectKosten[],MATCH(Tb_ProjectKosten[[#Headers],[Forfait_Percentage]],Tb_ProjectKosten[#Headers],0),0),AND(F421="Arbeidskosten",G421&lt;&gt;""),IFERROR(W421*VLOOKUP(G421,Tb_KostenTypen[],3,0)*VLOOKUP(F421,Tb_ProjectKosten[],MATCH(Tb_ProjectKosten[[#Headers],[Forfait_Percentage]],Tb_ProjectKosten[#Headers],0),0),""),W421 &lt;=0,0),"")</f>
        <v/>
      </c>
      <c r="AA421" s="314" t="str" cm="1">
        <f t="array" aca="1" ref="AA421" ca="1">IFERROR(_xlfn.IFS(OR(F421="",LEFT(Methode_Keuze,4)="Geen",Methode_Keuze=""),"",AND(X421&lt;&gt;"",F421&lt;&gt;"Arbeidskosten"),X421*VLOOKUP(F421,Tb_ProjectKosten[],MATCH(Tb_ProjectKosten[[#Headers],[Forfait_Percentage]],Tb_ProjectKosten[#Headers],0),0),AND(F421="Arbeidskosten",G421&lt;&gt;""),IFERROR(X421*VLOOKUP(G421,Tb_KostenTypen[],3,0)*VLOOKUP(F421,Tb_ProjectKosten[],MATCH(Tb_ProjectKosten[[#Headers],[Forfait_Percentage]],Tb_ProjectKosten[#Headers],0),0),""),X421 &lt;=0,0),"")</f>
        <v/>
      </c>
      <c r="AB421" s="314" t="str">
        <f t="shared" ca="1" si="27"/>
        <v/>
      </c>
      <c r="AC421" s="322"/>
      <c r="AD421" s="315"/>
      <c r="AE421" s="32" t="str" cm="1">
        <f t="array" ref="AE421">IFERROR(IF(INDEX(SubsidieTabel!$AD$1:$AG$12,MATCH($F421,SubsidieTabel!$AD$1:$AD$12,0),IFERROR(MATCH(Methode_Keuze,SubsidieTabel!$AD$1:$AG$1,0),2))&lt;&gt;1=TRUE,"ja",""),"")</f>
        <v/>
      </c>
    </row>
    <row r="422" spans="1:31" x14ac:dyDescent="0.25">
      <c r="A422" s="316"/>
      <c r="B422" s="317" t="str">
        <f>IF(A422&lt;&gt;"",_xlfn.MAXIFS($B$1:B421,$A$1:A421,A422)+1,"")</f>
        <v/>
      </c>
      <c r="C422" s="296"/>
      <c r="D422" s="296"/>
      <c r="E422" s="296"/>
      <c r="F422" s="296"/>
      <c r="G422" s="326"/>
      <c r="H422" s="324"/>
      <c r="I422" s="325"/>
      <c r="J422" s="325"/>
      <c r="K422" s="318"/>
      <c r="L422" s="318"/>
      <c r="M422" s="319" t="str">
        <f>IFERROR(VLOOKUP(H422,Lijsten!$H$1:$I$100,2,0),"")</f>
        <v/>
      </c>
      <c r="N422" s="319" t="str">
        <f ca="1">IFERROR(IF(VLOOKUP(F422,Kostentypen!$A$3:$E$21,3,0)=0,"",IF(OR(F422="Arbeidskosten",F422="Vergoeding"),VLOOKUP(G422,Tb_KostenTypen[],2,0),VLOOKUP(F422,Kostentypen!$A$3:$E$20,3,0))),"")</f>
        <v/>
      </c>
      <c r="O422" s="320" t="str" cm="1">
        <f t="array" ref="O422">_xlfn.IFNA(IF(INDEX(Tb_KostenOptiesDB[],MATCH($F422,Tb_KostenOptiesDB[KostenOptie],0),IFERROR(MATCH(Methode_Keuze,Tb_KostenOptiesDB[#Headers],0),2))=1,_xlfn.SWITCH($N422,"Uurtarief",IF(OR(AND(RIGHT($F422,3)="IKS",VLOOKUP($M422,DB_Loonkosten,2,0)="Ja"),AND(RIGHT($F422,3)&lt;&gt;"IKS",VLOOKUP($M422,DB_Loonkosten,2,0)="Nee")),IFERROR(VLOOKUP($M422,DB_Loonkosten,24,0),""),0),"Vast tarief",IF(LEFT(F422,8)="Bijdrage",VLOOKUP($F422,Tb_KostenTypen[],MATCH(Lijsten!$P$1,Tb_KostenTypen[#Headers],0),0),VLOOKUP($G422,Lijsten!L:P,MATCH(Lijsten!$P$1,Kop_Tarief_Vast,0),0))),""),"")</f>
        <v/>
      </c>
      <c r="P422" s="320" t="str" cm="1">
        <f t="array" ref="P422">_xlfn.IFNA(IF(INDEX(Tb_KostenOptiesDB[],MATCH($F422,Tb_KostenOptiesDB[KostenOptie],0),IFERROR(MATCH(Methode_Keuze,Tb_KostenOptiesDB[#Headers],0),2))=1,_xlfn.SWITCH($N422,"Uurtarief",IF(OR(AND(RIGHT($F422,3)="IKS",VLOOKUP($M422,DB_Loonkosten,2,0)="Ja"),AND(RIGHT($F422,3)&lt;&gt;"IKS",VLOOKUP($M422,DB_Loonkosten,2,0)="Nee")),IFERROR(VLOOKUP($M422,DB_Loonkosten,25,0),""),0),"Vast tarief",IF(LEFT(F422,8)="Bijdrage",VLOOKUP($F422,Tb_KostenTypen[],MATCH(Lijsten!$P$1,Tb_KostenTypen[#Headers],0),0),VLOOKUP($G422,Lijsten!L:P,MATCH(Lijsten!$P$1,Kop_Tarief_Vast,0),0))),""),"")</f>
        <v/>
      </c>
      <c r="Q422" s="359"/>
      <c r="R422" s="359"/>
      <c r="S422" s="321"/>
      <c r="T422" s="321"/>
      <c r="U422" s="373" t="str">
        <f t="shared" si="24"/>
        <v/>
      </c>
      <c r="V422" s="314" t="str">
        <f t="shared" si="25"/>
        <v/>
      </c>
      <c r="W422" s="314" t="str" cm="1">
        <f t="array" aca="1" ref="W422" ca="1">IFERROR(IF(AE422&lt;&gt;"ja",_xlfn.IFNA(_xlfn.IFS(AND(O422&lt;&gt;"",F422&lt;&gt;"",RIGHT($N422,6)="tarief",F422="Vergoeding"),SUM(O422)*FLOOR(SUM(Q422),0.0001),AND(O422&lt;&gt;"",F422&lt;&gt;"",RIGHT($N422,6)="tarief"),SUM(O422)*FLOOR(SUM(Q422),0.01),S422&gt;0,IF(F422&lt;&gt;"",FLOOR(SUM(S422),0.01),"")),""),""),"")</f>
        <v/>
      </c>
      <c r="X422" s="314" t="str" cm="1">
        <f t="array" aca="1" ref="X422" ca="1">IFERROR(IF(AE422&lt;&gt;"ja",_xlfn.IFNA(_xlfn.IFS(AND(P422&lt;&gt;"",R422&lt;&gt;"",RIGHT($N422,6)="tarief",F422="Vergoeding"),SUM(P422)*FLOOR(SUM(R422),0.0001),AND(P422&lt;&gt;"",R422&lt;&gt;"",RIGHT($N422,6)="tarief"),P422*FLOOR(R422,0.01),T422&gt;0,FLOOR(SUM(T422),0.01)),""),""),"")</f>
        <v/>
      </c>
      <c r="Y422" s="314" t="str">
        <f t="shared" ca="1" si="26"/>
        <v/>
      </c>
      <c r="Z422" s="314" t="str" cm="1">
        <f t="array" aca="1" ref="Z422" ca="1">IFERROR(_xlfn.IFS(OR(F422="",LEFT(Methode_Keuze,4)="Geen",Methode_Keuze=""),"",AND(W422&lt;&gt;"",F422&lt;&gt;"Arbeidskosten"),W422*VLOOKUP(F422,Tb_ProjectKosten[],MATCH(Tb_ProjectKosten[[#Headers],[Forfait_Percentage]],Tb_ProjectKosten[#Headers],0),0),AND(F422="Arbeidskosten",G422&lt;&gt;""),IFERROR(W422*VLOOKUP(G422,Tb_KostenTypen[],3,0)*VLOOKUP(F422,Tb_ProjectKosten[],MATCH(Tb_ProjectKosten[[#Headers],[Forfait_Percentage]],Tb_ProjectKosten[#Headers],0),0),""),W422 &lt;=0,0),"")</f>
        <v/>
      </c>
      <c r="AA422" s="314" t="str" cm="1">
        <f t="array" aca="1" ref="AA422" ca="1">IFERROR(_xlfn.IFS(OR(F422="",LEFT(Methode_Keuze,4)="Geen",Methode_Keuze=""),"",AND(X422&lt;&gt;"",F422&lt;&gt;"Arbeidskosten"),X422*VLOOKUP(F422,Tb_ProjectKosten[],MATCH(Tb_ProjectKosten[[#Headers],[Forfait_Percentage]],Tb_ProjectKosten[#Headers],0),0),AND(F422="Arbeidskosten",G422&lt;&gt;""),IFERROR(X422*VLOOKUP(G422,Tb_KostenTypen[],3,0)*VLOOKUP(F422,Tb_ProjectKosten[],MATCH(Tb_ProjectKosten[[#Headers],[Forfait_Percentage]],Tb_ProjectKosten[#Headers],0),0),""),X422 &lt;=0,0),"")</f>
        <v/>
      </c>
      <c r="AB422" s="314" t="str">
        <f t="shared" ca="1" si="27"/>
        <v/>
      </c>
      <c r="AC422" s="322"/>
      <c r="AD422" s="315"/>
      <c r="AE422" s="32" t="str" cm="1">
        <f t="array" ref="AE422">IFERROR(IF(INDEX(SubsidieTabel!$AD$1:$AG$12,MATCH($F422,SubsidieTabel!$AD$1:$AD$12,0),IFERROR(MATCH(Methode_Keuze,SubsidieTabel!$AD$1:$AG$1,0),2))&lt;&gt;1=TRUE,"ja",""),"")</f>
        <v/>
      </c>
    </row>
    <row r="423" spans="1:31" x14ac:dyDescent="0.25">
      <c r="A423" s="316"/>
      <c r="B423" s="317" t="str">
        <f>IF(A423&lt;&gt;"",_xlfn.MAXIFS($B$1:B422,$A$1:A422,A423)+1,"")</f>
        <v/>
      </c>
      <c r="C423" s="296"/>
      <c r="D423" s="296"/>
      <c r="E423" s="296"/>
      <c r="F423" s="296"/>
      <c r="G423" s="326"/>
      <c r="H423" s="324"/>
      <c r="I423" s="325"/>
      <c r="J423" s="325"/>
      <c r="K423" s="318"/>
      <c r="L423" s="318"/>
      <c r="M423" s="319" t="str">
        <f>IFERROR(VLOOKUP(H423,Lijsten!$H$1:$I$100,2,0),"")</f>
        <v/>
      </c>
      <c r="N423" s="319" t="str">
        <f ca="1">IFERROR(IF(VLOOKUP(F423,Kostentypen!$A$3:$E$21,3,0)=0,"",IF(OR(F423="Arbeidskosten",F423="Vergoeding"),VLOOKUP(G423,Tb_KostenTypen[],2,0),VLOOKUP(F423,Kostentypen!$A$3:$E$20,3,0))),"")</f>
        <v/>
      </c>
      <c r="O423" s="320" t="str" cm="1">
        <f t="array" ref="O423">_xlfn.IFNA(IF(INDEX(Tb_KostenOptiesDB[],MATCH($F423,Tb_KostenOptiesDB[KostenOptie],0),IFERROR(MATCH(Methode_Keuze,Tb_KostenOptiesDB[#Headers],0),2))=1,_xlfn.SWITCH($N423,"Uurtarief",IF(OR(AND(RIGHT($F423,3)="IKS",VLOOKUP($M423,DB_Loonkosten,2,0)="Ja"),AND(RIGHT($F423,3)&lt;&gt;"IKS",VLOOKUP($M423,DB_Loonkosten,2,0)="Nee")),IFERROR(VLOOKUP($M423,DB_Loonkosten,24,0),""),0),"Vast tarief",IF(LEFT(F423,8)="Bijdrage",VLOOKUP($F423,Tb_KostenTypen[],MATCH(Lijsten!$P$1,Tb_KostenTypen[#Headers],0),0),VLOOKUP($G423,Lijsten!L:P,MATCH(Lijsten!$P$1,Kop_Tarief_Vast,0),0))),""),"")</f>
        <v/>
      </c>
      <c r="P423" s="320" t="str" cm="1">
        <f t="array" ref="P423">_xlfn.IFNA(IF(INDEX(Tb_KostenOptiesDB[],MATCH($F423,Tb_KostenOptiesDB[KostenOptie],0),IFERROR(MATCH(Methode_Keuze,Tb_KostenOptiesDB[#Headers],0),2))=1,_xlfn.SWITCH($N423,"Uurtarief",IF(OR(AND(RIGHT($F423,3)="IKS",VLOOKUP($M423,DB_Loonkosten,2,0)="Ja"),AND(RIGHT($F423,3)&lt;&gt;"IKS",VLOOKUP($M423,DB_Loonkosten,2,0)="Nee")),IFERROR(VLOOKUP($M423,DB_Loonkosten,25,0),""),0),"Vast tarief",IF(LEFT(F423,8)="Bijdrage",VLOOKUP($F423,Tb_KostenTypen[],MATCH(Lijsten!$P$1,Tb_KostenTypen[#Headers],0),0),VLOOKUP($G423,Lijsten!L:P,MATCH(Lijsten!$P$1,Kop_Tarief_Vast,0),0))),""),"")</f>
        <v/>
      </c>
      <c r="Q423" s="359"/>
      <c r="R423" s="359"/>
      <c r="S423" s="321"/>
      <c r="T423" s="321"/>
      <c r="U423" s="373" t="str">
        <f t="shared" si="24"/>
        <v/>
      </c>
      <c r="V423" s="314" t="str">
        <f t="shared" si="25"/>
        <v/>
      </c>
      <c r="W423" s="314" t="str" cm="1">
        <f t="array" aca="1" ref="W423" ca="1">IFERROR(IF(AE423&lt;&gt;"ja",_xlfn.IFNA(_xlfn.IFS(AND(O423&lt;&gt;"",F423&lt;&gt;"",RIGHT($N423,6)="tarief",F423="Vergoeding"),SUM(O423)*FLOOR(SUM(Q423),0.0001),AND(O423&lt;&gt;"",F423&lt;&gt;"",RIGHT($N423,6)="tarief"),SUM(O423)*FLOOR(SUM(Q423),0.01),S423&gt;0,IF(F423&lt;&gt;"",FLOOR(SUM(S423),0.01),"")),""),""),"")</f>
        <v/>
      </c>
      <c r="X423" s="314" t="str" cm="1">
        <f t="array" aca="1" ref="X423" ca="1">IFERROR(IF(AE423&lt;&gt;"ja",_xlfn.IFNA(_xlfn.IFS(AND(P423&lt;&gt;"",R423&lt;&gt;"",RIGHT($N423,6)="tarief",F423="Vergoeding"),SUM(P423)*FLOOR(SUM(R423),0.0001),AND(P423&lt;&gt;"",R423&lt;&gt;"",RIGHT($N423,6)="tarief"),P423*FLOOR(R423,0.01),T423&gt;0,FLOOR(SUM(T423),0.01)),""),""),"")</f>
        <v/>
      </c>
      <c r="Y423" s="314" t="str">
        <f t="shared" ca="1" si="26"/>
        <v/>
      </c>
      <c r="Z423" s="314" t="str" cm="1">
        <f t="array" aca="1" ref="Z423" ca="1">IFERROR(_xlfn.IFS(OR(F423="",LEFT(Methode_Keuze,4)="Geen",Methode_Keuze=""),"",AND(W423&lt;&gt;"",F423&lt;&gt;"Arbeidskosten"),W423*VLOOKUP(F423,Tb_ProjectKosten[],MATCH(Tb_ProjectKosten[[#Headers],[Forfait_Percentage]],Tb_ProjectKosten[#Headers],0),0),AND(F423="Arbeidskosten",G423&lt;&gt;""),IFERROR(W423*VLOOKUP(G423,Tb_KostenTypen[],3,0)*VLOOKUP(F423,Tb_ProjectKosten[],MATCH(Tb_ProjectKosten[[#Headers],[Forfait_Percentage]],Tb_ProjectKosten[#Headers],0),0),""),W423 &lt;=0,0),"")</f>
        <v/>
      </c>
      <c r="AA423" s="314" t="str" cm="1">
        <f t="array" aca="1" ref="AA423" ca="1">IFERROR(_xlfn.IFS(OR(F423="",LEFT(Methode_Keuze,4)="Geen",Methode_Keuze=""),"",AND(X423&lt;&gt;"",F423&lt;&gt;"Arbeidskosten"),X423*VLOOKUP(F423,Tb_ProjectKosten[],MATCH(Tb_ProjectKosten[[#Headers],[Forfait_Percentage]],Tb_ProjectKosten[#Headers],0),0),AND(F423="Arbeidskosten",G423&lt;&gt;""),IFERROR(X423*VLOOKUP(G423,Tb_KostenTypen[],3,0)*VLOOKUP(F423,Tb_ProjectKosten[],MATCH(Tb_ProjectKosten[[#Headers],[Forfait_Percentage]],Tb_ProjectKosten[#Headers],0),0),""),X423 &lt;=0,0),"")</f>
        <v/>
      </c>
      <c r="AB423" s="314" t="str">
        <f t="shared" ca="1" si="27"/>
        <v/>
      </c>
      <c r="AC423" s="322"/>
      <c r="AD423" s="315"/>
      <c r="AE423" s="32" t="str" cm="1">
        <f t="array" ref="AE423">IFERROR(IF(INDEX(SubsidieTabel!$AD$1:$AG$12,MATCH($F423,SubsidieTabel!$AD$1:$AD$12,0),IFERROR(MATCH(Methode_Keuze,SubsidieTabel!$AD$1:$AG$1,0),2))&lt;&gt;1=TRUE,"ja",""),"")</f>
        <v/>
      </c>
    </row>
    <row r="424" spans="1:31" x14ac:dyDescent="0.25">
      <c r="A424" s="316"/>
      <c r="B424" s="317" t="str">
        <f>IF(A424&lt;&gt;"",_xlfn.MAXIFS($B$1:B423,$A$1:A423,A424)+1,"")</f>
        <v/>
      </c>
      <c r="C424" s="296"/>
      <c r="D424" s="296"/>
      <c r="E424" s="296"/>
      <c r="F424" s="296"/>
      <c r="G424" s="326"/>
      <c r="H424" s="324"/>
      <c r="I424" s="325"/>
      <c r="J424" s="325"/>
      <c r="K424" s="318"/>
      <c r="L424" s="318"/>
      <c r="M424" s="319" t="str">
        <f>IFERROR(VLOOKUP(H424,Lijsten!$H$1:$I$100,2,0),"")</f>
        <v/>
      </c>
      <c r="N424" s="319" t="str">
        <f ca="1">IFERROR(IF(VLOOKUP(F424,Kostentypen!$A$3:$E$21,3,0)=0,"",IF(OR(F424="Arbeidskosten",F424="Vergoeding"),VLOOKUP(G424,Tb_KostenTypen[],2,0),VLOOKUP(F424,Kostentypen!$A$3:$E$20,3,0))),"")</f>
        <v/>
      </c>
      <c r="O424" s="320" t="str" cm="1">
        <f t="array" ref="O424">_xlfn.IFNA(IF(INDEX(Tb_KostenOptiesDB[],MATCH($F424,Tb_KostenOptiesDB[KostenOptie],0),IFERROR(MATCH(Methode_Keuze,Tb_KostenOptiesDB[#Headers],0),2))=1,_xlfn.SWITCH($N424,"Uurtarief",IF(OR(AND(RIGHT($F424,3)="IKS",VLOOKUP($M424,DB_Loonkosten,2,0)="Ja"),AND(RIGHT($F424,3)&lt;&gt;"IKS",VLOOKUP($M424,DB_Loonkosten,2,0)="Nee")),IFERROR(VLOOKUP($M424,DB_Loonkosten,24,0),""),0),"Vast tarief",IF(LEFT(F424,8)="Bijdrage",VLOOKUP($F424,Tb_KostenTypen[],MATCH(Lijsten!$P$1,Tb_KostenTypen[#Headers],0),0),VLOOKUP($G424,Lijsten!L:P,MATCH(Lijsten!$P$1,Kop_Tarief_Vast,0),0))),""),"")</f>
        <v/>
      </c>
      <c r="P424" s="320" t="str" cm="1">
        <f t="array" ref="P424">_xlfn.IFNA(IF(INDEX(Tb_KostenOptiesDB[],MATCH($F424,Tb_KostenOptiesDB[KostenOptie],0),IFERROR(MATCH(Methode_Keuze,Tb_KostenOptiesDB[#Headers],0),2))=1,_xlfn.SWITCH($N424,"Uurtarief",IF(OR(AND(RIGHT($F424,3)="IKS",VLOOKUP($M424,DB_Loonkosten,2,0)="Ja"),AND(RIGHT($F424,3)&lt;&gt;"IKS",VLOOKUP($M424,DB_Loonkosten,2,0)="Nee")),IFERROR(VLOOKUP($M424,DB_Loonkosten,25,0),""),0),"Vast tarief",IF(LEFT(F424,8)="Bijdrage",VLOOKUP($F424,Tb_KostenTypen[],MATCH(Lijsten!$P$1,Tb_KostenTypen[#Headers],0),0),VLOOKUP($G424,Lijsten!L:P,MATCH(Lijsten!$P$1,Kop_Tarief_Vast,0),0))),""),"")</f>
        <v/>
      </c>
      <c r="Q424" s="359"/>
      <c r="R424" s="359"/>
      <c r="S424" s="321"/>
      <c r="T424" s="321"/>
      <c r="U424" s="373" t="str">
        <f t="shared" si="24"/>
        <v/>
      </c>
      <c r="V424" s="314" t="str">
        <f t="shared" si="25"/>
        <v/>
      </c>
      <c r="W424" s="314" t="str" cm="1">
        <f t="array" aca="1" ref="W424" ca="1">IFERROR(IF(AE424&lt;&gt;"ja",_xlfn.IFNA(_xlfn.IFS(AND(O424&lt;&gt;"",F424&lt;&gt;"",RIGHT($N424,6)="tarief",F424="Vergoeding"),SUM(O424)*FLOOR(SUM(Q424),0.0001),AND(O424&lt;&gt;"",F424&lt;&gt;"",RIGHT($N424,6)="tarief"),SUM(O424)*FLOOR(SUM(Q424),0.01),S424&gt;0,IF(F424&lt;&gt;"",FLOOR(SUM(S424),0.01),"")),""),""),"")</f>
        <v/>
      </c>
      <c r="X424" s="314" t="str" cm="1">
        <f t="array" aca="1" ref="X424" ca="1">IFERROR(IF(AE424&lt;&gt;"ja",_xlfn.IFNA(_xlfn.IFS(AND(P424&lt;&gt;"",R424&lt;&gt;"",RIGHT($N424,6)="tarief",F424="Vergoeding"),SUM(P424)*FLOOR(SUM(R424),0.0001),AND(P424&lt;&gt;"",R424&lt;&gt;"",RIGHT($N424,6)="tarief"),P424*FLOOR(R424,0.01),T424&gt;0,FLOOR(SUM(T424),0.01)),""),""),"")</f>
        <v/>
      </c>
      <c r="Y424" s="314" t="str">
        <f t="shared" ca="1" si="26"/>
        <v/>
      </c>
      <c r="Z424" s="314" t="str" cm="1">
        <f t="array" aca="1" ref="Z424" ca="1">IFERROR(_xlfn.IFS(OR(F424="",LEFT(Methode_Keuze,4)="Geen",Methode_Keuze=""),"",AND(W424&lt;&gt;"",F424&lt;&gt;"Arbeidskosten"),W424*VLOOKUP(F424,Tb_ProjectKosten[],MATCH(Tb_ProjectKosten[[#Headers],[Forfait_Percentage]],Tb_ProjectKosten[#Headers],0),0),AND(F424="Arbeidskosten",G424&lt;&gt;""),IFERROR(W424*VLOOKUP(G424,Tb_KostenTypen[],3,0)*VLOOKUP(F424,Tb_ProjectKosten[],MATCH(Tb_ProjectKosten[[#Headers],[Forfait_Percentage]],Tb_ProjectKosten[#Headers],0),0),""),W424 &lt;=0,0),"")</f>
        <v/>
      </c>
      <c r="AA424" s="314" t="str" cm="1">
        <f t="array" aca="1" ref="AA424" ca="1">IFERROR(_xlfn.IFS(OR(F424="",LEFT(Methode_Keuze,4)="Geen",Methode_Keuze=""),"",AND(X424&lt;&gt;"",F424&lt;&gt;"Arbeidskosten"),X424*VLOOKUP(F424,Tb_ProjectKosten[],MATCH(Tb_ProjectKosten[[#Headers],[Forfait_Percentage]],Tb_ProjectKosten[#Headers],0),0),AND(F424="Arbeidskosten",G424&lt;&gt;""),IFERROR(X424*VLOOKUP(G424,Tb_KostenTypen[],3,0)*VLOOKUP(F424,Tb_ProjectKosten[],MATCH(Tb_ProjectKosten[[#Headers],[Forfait_Percentage]],Tb_ProjectKosten[#Headers],0),0),""),X424 &lt;=0,0),"")</f>
        <v/>
      </c>
      <c r="AB424" s="314" t="str">
        <f t="shared" ca="1" si="27"/>
        <v/>
      </c>
      <c r="AC424" s="322"/>
      <c r="AD424" s="315"/>
      <c r="AE424" s="32" t="str" cm="1">
        <f t="array" ref="AE424">IFERROR(IF(INDEX(SubsidieTabel!$AD$1:$AG$12,MATCH($F424,SubsidieTabel!$AD$1:$AD$12,0),IFERROR(MATCH(Methode_Keuze,SubsidieTabel!$AD$1:$AG$1,0),2))&lt;&gt;1=TRUE,"ja",""),"")</f>
        <v/>
      </c>
    </row>
    <row r="425" spans="1:31" x14ac:dyDescent="0.25">
      <c r="A425" s="316"/>
      <c r="B425" s="317" t="str">
        <f>IF(A425&lt;&gt;"",_xlfn.MAXIFS($B$1:B424,$A$1:A424,A425)+1,"")</f>
        <v/>
      </c>
      <c r="C425" s="296"/>
      <c r="D425" s="296"/>
      <c r="E425" s="296"/>
      <c r="F425" s="296"/>
      <c r="G425" s="326"/>
      <c r="H425" s="324"/>
      <c r="I425" s="325"/>
      <c r="J425" s="325"/>
      <c r="K425" s="318"/>
      <c r="L425" s="318"/>
      <c r="M425" s="319" t="str">
        <f>IFERROR(VLOOKUP(H425,Lijsten!$H$1:$I$100,2,0),"")</f>
        <v/>
      </c>
      <c r="N425" s="319" t="str">
        <f ca="1">IFERROR(IF(VLOOKUP(F425,Kostentypen!$A$3:$E$21,3,0)=0,"",IF(OR(F425="Arbeidskosten",F425="Vergoeding"),VLOOKUP(G425,Tb_KostenTypen[],2,0),VLOOKUP(F425,Kostentypen!$A$3:$E$20,3,0))),"")</f>
        <v/>
      </c>
      <c r="O425" s="320" t="str" cm="1">
        <f t="array" ref="O425">_xlfn.IFNA(IF(INDEX(Tb_KostenOptiesDB[],MATCH($F425,Tb_KostenOptiesDB[KostenOptie],0),IFERROR(MATCH(Methode_Keuze,Tb_KostenOptiesDB[#Headers],0),2))=1,_xlfn.SWITCH($N425,"Uurtarief",IF(OR(AND(RIGHT($F425,3)="IKS",VLOOKUP($M425,DB_Loonkosten,2,0)="Ja"),AND(RIGHT($F425,3)&lt;&gt;"IKS",VLOOKUP($M425,DB_Loonkosten,2,0)="Nee")),IFERROR(VLOOKUP($M425,DB_Loonkosten,24,0),""),0),"Vast tarief",IF(LEFT(F425,8)="Bijdrage",VLOOKUP($F425,Tb_KostenTypen[],MATCH(Lijsten!$P$1,Tb_KostenTypen[#Headers],0),0),VLOOKUP($G425,Lijsten!L:P,MATCH(Lijsten!$P$1,Kop_Tarief_Vast,0),0))),""),"")</f>
        <v/>
      </c>
      <c r="P425" s="320" t="str" cm="1">
        <f t="array" ref="P425">_xlfn.IFNA(IF(INDEX(Tb_KostenOptiesDB[],MATCH($F425,Tb_KostenOptiesDB[KostenOptie],0),IFERROR(MATCH(Methode_Keuze,Tb_KostenOptiesDB[#Headers],0),2))=1,_xlfn.SWITCH($N425,"Uurtarief",IF(OR(AND(RIGHT($F425,3)="IKS",VLOOKUP($M425,DB_Loonkosten,2,0)="Ja"),AND(RIGHT($F425,3)&lt;&gt;"IKS",VLOOKUP($M425,DB_Loonkosten,2,0)="Nee")),IFERROR(VLOOKUP($M425,DB_Loonkosten,25,0),""),0),"Vast tarief",IF(LEFT(F425,8)="Bijdrage",VLOOKUP($F425,Tb_KostenTypen[],MATCH(Lijsten!$P$1,Tb_KostenTypen[#Headers],0),0),VLOOKUP($G425,Lijsten!L:P,MATCH(Lijsten!$P$1,Kop_Tarief_Vast,0),0))),""),"")</f>
        <v/>
      </c>
      <c r="Q425" s="359"/>
      <c r="R425" s="359"/>
      <c r="S425" s="321"/>
      <c r="T425" s="321"/>
      <c r="U425" s="373" t="str">
        <f t="shared" si="24"/>
        <v/>
      </c>
      <c r="V425" s="314" t="str">
        <f t="shared" si="25"/>
        <v/>
      </c>
      <c r="W425" s="314" t="str" cm="1">
        <f t="array" aca="1" ref="W425" ca="1">IFERROR(IF(AE425&lt;&gt;"ja",_xlfn.IFNA(_xlfn.IFS(AND(O425&lt;&gt;"",F425&lt;&gt;"",RIGHT($N425,6)="tarief",F425="Vergoeding"),SUM(O425)*FLOOR(SUM(Q425),0.0001),AND(O425&lt;&gt;"",F425&lt;&gt;"",RIGHT($N425,6)="tarief"),SUM(O425)*FLOOR(SUM(Q425),0.01),S425&gt;0,IF(F425&lt;&gt;"",FLOOR(SUM(S425),0.01),"")),""),""),"")</f>
        <v/>
      </c>
      <c r="X425" s="314" t="str" cm="1">
        <f t="array" aca="1" ref="X425" ca="1">IFERROR(IF(AE425&lt;&gt;"ja",_xlfn.IFNA(_xlfn.IFS(AND(P425&lt;&gt;"",R425&lt;&gt;"",RIGHT($N425,6)="tarief",F425="Vergoeding"),SUM(P425)*FLOOR(SUM(R425),0.0001),AND(P425&lt;&gt;"",R425&lt;&gt;"",RIGHT($N425,6)="tarief"),P425*FLOOR(R425,0.01),T425&gt;0,FLOOR(SUM(T425),0.01)),""),""),"")</f>
        <v/>
      </c>
      <c r="Y425" s="314" t="str">
        <f t="shared" ca="1" si="26"/>
        <v/>
      </c>
      <c r="Z425" s="314" t="str" cm="1">
        <f t="array" aca="1" ref="Z425" ca="1">IFERROR(_xlfn.IFS(OR(F425="",LEFT(Methode_Keuze,4)="Geen",Methode_Keuze=""),"",AND(W425&lt;&gt;"",F425&lt;&gt;"Arbeidskosten"),W425*VLOOKUP(F425,Tb_ProjectKosten[],MATCH(Tb_ProjectKosten[[#Headers],[Forfait_Percentage]],Tb_ProjectKosten[#Headers],0),0),AND(F425="Arbeidskosten",G425&lt;&gt;""),IFERROR(W425*VLOOKUP(G425,Tb_KostenTypen[],3,0)*VLOOKUP(F425,Tb_ProjectKosten[],MATCH(Tb_ProjectKosten[[#Headers],[Forfait_Percentage]],Tb_ProjectKosten[#Headers],0),0),""),W425 &lt;=0,0),"")</f>
        <v/>
      </c>
      <c r="AA425" s="314" t="str" cm="1">
        <f t="array" aca="1" ref="AA425" ca="1">IFERROR(_xlfn.IFS(OR(F425="",LEFT(Methode_Keuze,4)="Geen",Methode_Keuze=""),"",AND(X425&lt;&gt;"",F425&lt;&gt;"Arbeidskosten"),X425*VLOOKUP(F425,Tb_ProjectKosten[],MATCH(Tb_ProjectKosten[[#Headers],[Forfait_Percentage]],Tb_ProjectKosten[#Headers],0),0),AND(F425="Arbeidskosten",G425&lt;&gt;""),IFERROR(X425*VLOOKUP(G425,Tb_KostenTypen[],3,0)*VLOOKUP(F425,Tb_ProjectKosten[],MATCH(Tb_ProjectKosten[[#Headers],[Forfait_Percentage]],Tb_ProjectKosten[#Headers],0),0),""),X425 &lt;=0,0),"")</f>
        <v/>
      </c>
      <c r="AB425" s="314" t="str">
        <f t="shared" ca="1" si="27"/>
        <v/>
      </c>
      <c r="AC425" s="322"/>
      <c r="AD425" s="315"/>
      <c r="AE425" s="32" t="str" cm="1">
        <f t="array" ref="AE425">IFERROR(IF(INDEX(SubsidieTabel!$AD$1:$AG$12,MATCH($F425,SubsidieTabel!$AD$1:$AD$12,0),IFERROR(MATCH(Methode_Keuze,SubsidieTabel!$AD$1:$AG$1,0),2))&lt;&gt;1=TRUE,"ja",""),"")</f>
        <v/>
      </c>
    </row>
    <row r="426" spans="1:31" x14ac:dyDescent="0.25">
      <c r="A426" s="316"/>
      <c r="B426" s="317" t="str">
        <f>IF(A426&lt;&gt;"",_xlfn.MAXIFS($B$1:B425,$A$1:A425,A426)+1,"")</f>
        <v/>
      </c>
      <c r="C426" s="296"/>
      <c r="D426" s="296"/>
      <c r="E426" s="296"/>
      <c r="F426" s="296"/>
      <c r="G426" s="326"/>
      <c r="H426" s="324"/>
      <c r="I426" s="325"/>
      <c r="J426" s="325"/>
      <c r="K426" s="318"/>
      <c r="L426" s="318"/>
      <c r="M426" s="319" t="str">
        <f>IFERROR(VLOOKUP(H426,Lijsten!$H$1:$I$100,2,0),"")</f>
        <v/>
      </c>
      <c r="N426" s="319" t="str">
        <f ca="1">IFERROR(IF(VLOOKUP(F426,Kostentypen!$A$3:$E$21,3,0)=0,"",IF(OR(F426="Arbeidskosten",F426="Vergoeding"),VLOOKUP(G426,Tb_KostenTypen[],2,0),VLOOKUP(F426,Kostentypen!$A$3:$E$20,3,0))),"")</f>
        <v/>
      </c>
      <c r="O426" s="320" t="str" cm="1">
        <f t="array" ref="O426">_xlfn.IFNA(IF(INDEX(Tb_KostenOptiesDB[],MATCH($F426,Tb_KostenOptiesDB[KostenOptie],0),IFERROR(MATCH(Methode_Keuze,Tb_KostenOptiesDB[#Headers],0),2))=1,_xlfn.SWITCH($N426,"Uurtarief",IF(OR(AND(RIGHT($F426,3)="IKS",VLOOKUP($M426,DB_Loonkosten,2,0)="Ja"),AND(RIGHT($F426,3)&lt;&gt;"IKS",VLOOKUP($M426,DB_Loonkosten,2,0)="Nee")),IFERROR(VLOOKUP($M426,DB_Loonkosten,24,0),""),0),"Vast tarief",IF(LEFT(F426,8)="Bijdrage",VLOOKUP($F426,Tb_KostenTypen[],MATCH(Lijsten!$P$1,Tb_KostenTypen[#Headers],0),0),VLOOKUP($G426,Lijsten!L:P,MATCH(Lijsten!$P$1,Kop_Tarief_Vast,0),0))),""),"")</f>
        <v/>
      </c>
      <c r="P426" s="320" t="str" cm="1">
        <f t="array" ref="P426">_xlfn.IFNA(IF(INDEX(Tb_KostenOptiesDB[],MATCH($F426,Tb_KostenOptiesDB[KostenOptie],0),IFERROR(MATCH(Methode_Keuze,Tb_KostenOptiesDB[#Headers],0),2))=1,_xlfn.SWITCH($N426,"Uurtarief",IF(OR(AND(RIGHT($F426,3)="IKS",VLOOKUP($M426,DB_Loonkosten,2,0)="Ja"),AND(RIGHT($F426,3)&lt;&gt;"IKS",VLOOKUP($M426,DB_Loonkosten,2,0)="Nee")),IFERROR(VLOOKUP($M426,DB_Loonkosten,25,0),""),0),"Vast tarief",IF(LEFT(F426,8)="Bijdrage",VLOOKUP($F426,Tb_KostenTypen[],MATCH(Lijsten!$P$1,Tb_KostenTypen[#Headers],0),0),VLOOKUP($G426,Lijsten!L:P,MATCH(Lijsten!$P$1,Kop_Tarief_Vast,0),0))),""),"")</f>
        <v/>
      </c>
      <c r="Q426" s="359"/>
      <c r="R426" s="359"/>
      <c r="S426" s="321"/>
      <c r="T426" s="321"/>
      <c r="U426" s="373" t="str">
        <f t="shared" si="24"/>
        <v/>
      </c>
      <c r="V426" s="314" t="str">
        <f t="shared" si="25"/>
        <v/>
      </c>
      <c r="W426" s="314" t="str" cm="1">
        <f t="array" aca="1" ref="W426" ca="1">IFERROR(IF(AE426&lt;&gt;"ja",_xlfn.IFNA(_xlfn.IFS(AND(O426&lt;&gt;"",F426&lt;&gt;"",RIGHT($N426,6)="tarief",F426="Vergoeding"),SUM(O426)*FLOOR(SUM(Q426),0.0001),AND(O426&lt;&gt;"",F426&lt;&gt;"",RIGHT($N426,6)="tarief"),SUM(O426)*FLOOR(SUM(Q426),0.01),S426&gt;0,IF(F426&lt;&gt;"",FLOOR(SUM(S426),0.01),"")),""),""),"")</f>
        <v/>
      </c>
      <c r="X426" s="314" t="str" cm="1">
        <f t="array" aca="1" ref="X426" ca="1">IFERROR(IF(AE426&lt;&gt;"ja",_xlfn.IFNA(_xlfn.IFS(AND(P426&lt;&gt;"",R426&lt;&gt;"",RIGHT($N426,6)="tarief",F426="Vergoeding"),SUM(P426)*FLOOR(SUM(R426),0.0001),AND(P426&lt;&gt;"",R426&lt;&gt;"",RIGHT($N426,6)="tarief"),P426*FLOOR(R426,0.01),T426&gt;0,FLOOR(SUM(T426),0.01)),""),""),"")</f>
        <v/>
      </c>
      <c r="Y426" s="314" t="str">
        <f t="shared" ca="1" si="26"/>
        <v/>
      </c>
      <c r="Z426" s="314" t="str" cm="1">
        <f t="array" aca="1" ref="Z426" ca="1">IFERROR(_xlfn.IFS(OR(F426="",LEFT(Methode_Keuze,4)="Geen",Methode_Keuze=""),"",AND(W426&lt;&gt;"",F426&lt;&gt;"Arbeidskosten"),W426*VLOOKUP(F426,Tb_ProjectKosten[],MATCH(Tb_ProjectKosten[[#Headers],[Forfait_Percentage]],Tb_ProjectKosten[#Headers],0),0),AND(F426="Arbeidskosten",G426&lt;&gt;""),IFERROR(W426*VLOOKUP(G426,Tb_KostenTypen[],3,0)*VLOOKUP(F426,Tb_ProjectKosten[],MATCH(Tb_ProjectKosten[[#Headers],[Forfait_Percentage]],Tb_ProjectKosten[#Headers],0),0),""),W426 &lt;=0,0),"")</f>
        <v/>
      </c>
      <c r="AA426" s="314" t="str" cm="1">
        <f t="array" aca="1" ref="AA426" ca="1">IFERROR(_xlfn.IFS(OR(F426="",LEFT(Methode_Keuze,4)="Geen",Methode_Keuze=""),"",AND(X426&lt;&gt;"",F426&lt;&gt;"Arbeidskosten"),X426*VLOOKUP(F426,Tb_ProjectKosten[],MATCH(Tb_ProjectKosten[[#Headers],[Forfait_Percentage]],Tb_ProjectKosten[#Headers],0),0),AND(F426="Arbeidskosten",G426&lt;&gt;""),IFERROR(X426*VLOOKUP(G426,Tb_KostenTypen[],3,0)*VLOOKUP(F426,Tb_ProjectKosten[],MATCH(Tb_ProjectKosten[[#Headers],[Forfait_Percentage]],Tb_ProjectKosten[#Headers],0),0),""),X426 &lt;=0,0),"")</f>
        <v/>
      </c>
      <c r="AB426" s="314" t="str">
        <f t="shared" ca="1" si="27"/>
        <v/>
      </c>
      <c r="AC426" s="322"/>
      <c r="AD426" s="315"/>
      <c r="AE426" s="32" t="str" cm="1">
        <f t="array" ref="AE426">IFERROR(IF(INDEX(SubsidieTabel!$AD$1:$AG$12,MATCH($F426,SubsidieTabel!$AD$1:$AD$12,0),IFERROR(MATCH(Methode_Keuze,SubsidieTabel!$AD$1:$AG$1,0),2))&lt;&gt;1=TRUE,"ja",""),"")</f>
        <v/>
      </c>
    </row>
    <row r="427" spans="1:31" x14ac:dyDescent="0.25">
      <c r="A427" s="316"/>
      <c r="B427" s="317" t="str">
        <f>IF(A427&lt;&gt;"",_xlfn.MAXIFS($B$1:B426,$A$1:A426,A427)+1,"")</f>
        <v/>
      </c>
      <c r="C427" s="296"/>
      <c r="D427" s="296"/>
      <c r="E427" s="296"/>
      <c r="F427" s="296"/>
      <c r="G427" s="326"/>
      <c r="H427" s="324"/>
      <c r="I427" s="325"/>
      <c r="J427" s="325"/>
      <c r="K427" s="318"/>
      <c r="L427" s="318"/>
      <c r="M427" s="319" t="str">
        <f>IFERROR(VLOOKUP(H427,Lijsten!$H$1:$I$100,2,0),"")</f>
        <v/>
      </c>
      <c r="N427" s="319" t="str">
        <f ca="1">IFERROR(IF(VLOOKUP(F427,Kostentypen!$A$3:$E$21,3,0)=0,"",IF(OR(F427="Arbeidskosten",F427="Vergoeding"),VLOOKUP(G427,Tb_KostenTypen[],2,0),VLOOKUP(F427,Kostentypen!$A$3:$E$20,3,0))),"")</f>
        <v/>
      </c>
      <c r="O427" s="320" t="str" cm="1">
        <f t="array" ref="O427">_xlfn.IFNA(IF(INDEX(Tb_KostenOptiesDB[],MATCH($F427,Tb_KostenOptiesDB[KostenOptie],0),IFERROR(MATCH(Methode_Keuze,Tb_KostenOptiesDB[#Headers],0),2))=1,_xlfn.SWITCH($N427,"Uurtarief",IF(OR(AND(RIGHT($F427,3)="IKS",VLOOKUP($M427,DB_Loonkosten,2,0)="Ja"),AND(RIGHT($F427,3)&lt;&gt;"IKS",VLOOKUP($M427,DB_Loonkosten,2,0)="Nee")),IFERROR(VLOOKUP($M427,DB_Loonkosten,24,0),""),0),"Vast tarief",IF(LEFT(F427,8)="Bijdrage",VLOOKUP($F427,Tb_KostenTypen[],MATCH(Lijsten!$P$1,Tb_KostenTypen[#Headers],0),0),VLOOKUP($G427,Lijsten!L:P,MATCH(Lijsten!$P$1,Kop_Tarief_Vast,0),0))),""),"")</f>
        <v/>
      </c>
      <c r="P427" s="320" t="str" cm="1">
        <f t="array" ref="P427">_xlfn.IFNA(IF(INDEX(Tb_KostenOptiesDB[],MATCH($F427,Tb_KostenOptiesDB[KostenOptie],0),IFERROR(MATCH(Methode_Keuze,Tb_KostenOptiesDB[#Headers],0),2))=1,_xlfn.SWITCH($N427,"Uurtarief",IF(OR(AND(RIGHT($F427,3)="IKS",VLOOKUP($M427,DB_Loonkosten,2,0)="Ja"),AND(RIGHT($F427,3)&lt;&gt;"IKS",VLOOKUP($M427,DB_Loonkosten,2,0)="Nee")),IFERROR(VLOOKUP($M427,DB_Loonkosten,25,0),""),0),"Vast tarief",IF(LEFT(F427,8)="Bijdrage",VLOOKUP($F427,Tb_KostenTypen[],MATCH(Lijsten!$P$1,Tb_KostenTypen[#Headers],0),0),VLOOKUP($G427,Lijsten!L:P,MATCH(Lijsten!$P$1,Kop_Tarief_Vast,0),0))),""),"")</f>
        <v/>
      </c>
      <c r="Q427" s="359"/>
      <c r="R427" s="359"/>
      <c r="S427" s="321"/>
      <c r="T427" s="321"/>
      <c r="U427" s="373" t="str">
        <f t="shared" si="24"/>
        <v/>
      </c>
      <c r="V427" s="314" t="str">
        <f t="shared" si="25"/>
        <v/>
      </c>
      <c r="W427" s="314" t="str" cm="1">
        <f t="array" aca="1" ref="W427" ca="1">IFERROR(IF(AE427&lt;&gt;"ja",_xlfn.IFNA(_xlfn.IFS(AND(O427&lt;&gt;"",F427&lt;&gt;"",RIGHT($N427,6)="tarief",F427="Vergoeding"),SUM(O427)*FLOOR(SUM(Q427),0.0001),AND(O427&lt;&gt;"",F427&lt;&gt;"",RIGHT($N427,6)="tarief"),SUM(O427)*FLOOR(SUM(Q427),0.01),S427&gt;0,IF(F427&lt;&gt;"",FLOOR(SUM(S427),0.01),"")),""),""),"")</f>
        <v/>
      </c>
      <c r="X427" s="314" t="str" cm="1">
        <f t="array" aca="1" ref="X427" ca="1">IFERROR(IF(AE427&lt;&gt;"ja",_xlfn.IFNA(_xlfn.IFS(AND(P427&lt;&gt;"",R427&lt;&gt;"",RIGHT($N427,6)="tarief",F427="Vergoeding"),SUM(P427)*FLOOR(SUM(R427),0.0001),AND(P427&lt;&gt;"",R427&lt;&gt;"",RIGHT($N427,6)="tarief"),P427*FLOOR(R427,0.01),T427&gt;0,FLOOR(SUM(T427),0.01)),""),""),"")</f>
        <v/>
      </c>
      <c r="Y427" s="314" t="str">
        <f t="shared" ca="1" si="26"/>
        <v/>
      </c>
      <c r="Z427" s="314" t="str" cm="1">
        <f t="array" aca="1" ref="Z427" ca="1">IFERROR(_xlfn.IFS(OR(F427="",LEFT(Methode_Keuze,4)="Geen",Methode_Keuze=""),"",AND(W427&lt;&gt;"",F427&lt;&gt;"Arbeidskosten"),W427*VLOOKUP(F427,Tb_ProjectKosten[],MATCH(Tb_ProjectKosten[[#Headers],[Forfait_Percentage]],Tb_ProjectKosten[#Headers],0),0),AND(F427="Arbeidskosten",G427&lt;&gt;""),IFERROR(W427*VLOOKUP(G427,Tb_KostenTypen[],3,0)*VLOOKUP(F427,Tb_ProjectKosten[],MATCH(Tb_ProjectKosten[[#Headers],[Forfait_Percentage]],Tb_ProjectKosten[#Headers],0),0),""),W427 &lt;=0,0),"")</f>
        <v/>
      </c>
      <c r="AA427" s="314" t="str" cm="1">
        <f t="array" aca="1" ref="AA427" ca="1">IFERROR(_xlfn.IFS(OR(F427="",LEFT(Methode_Keuze,4)="Geen",Methode_Keuze=""),"",AND(X427&lt;&gt;"",F427&lt;&gt;"Arbeidskosten"),X427*VLOOKUP(F427,Tb_ProjectKosten[],MATCH(Tb_ProjectKosten[[#Headers],[Forfait_Percentage]],Tb_ProjectKosten[#Headers],0),0),AND(F427="Arbeidskosten",G427&lt;&gt;""),IFERROR(X427*VLOOKUP(G427,Tb_KostenTypen[],3,0)*VLOOKUP(F427,Tb_ProjectKosten[],MATCH(Tb_ProjectKosten[[#Headers],[Forfait_Percentage]],Tb_ProjectKosten[#Headers],0),0),""),X427 &lt;=0,0),"")</f>
        <v/>
      </c>
      <c r="AB427" s="314" t="str">
        <f t="shared" ca="1" si="27"/>
        <v/>
      </c>
      <c r="AC427" s="322"/>
      <c r="AD427" s="315"/>
      <c r="AE427" s="32" t="str" cm="1">
        <f t="array" ref="AE427">IFERROR(IF(INDEX(SubsidieTabel!$AD$1:$AG$12,MATCH($F427,SubsidieTabel!$AD$1:$AD$12,0),IFERROR(MATCH(Methode_Keuze,SubsidieTabel!$AD$1:$AG$1,0),2))&lt;&gt;1=TRUE,"ja",""),"")</f>
        <v/>
      </c>
    </row>
    <row r="428" spans="1:31" x14ac:dyDescent="0.25">
      <c r="A428" s="316"/>
      <c r="B428" s="317" t="str">
        <f>IF(A428&lt;&gt;"",_xlfn.MAXIFS($B$1:B427,$A$1:A427,A428)+1,"")</f>
        <v/>
      </c>
      <c r="C428" s="296"/>
      <c r="D428" s="296"/>
      <c r="E428" s="296"/>
      <c r="F428" s="296"/>
      <c r="G428" s="326"/>
      <c r="H428" s="324"/>
      <c r="I428" s="325"/>
      <c r="J428" s="325"/>
      <c r="K428" s="318"/>
      <c r="L428" s="318"/>
      <c r="M428" s="319" t="str">
        <f>IFERROR(VLOOKUP(H428,Lijsten!$H$1:$I$100,2,0),"")</f>
        <v/>
      </c>
      <c r="N428" s="319" t="str">
        <f ca="1">IFERROR(IF(VLOOKUP(F428,Kostentypen!$A$3:$E$21,3,0)=0,"",IF(OR(F428="Arbeidskosten",F428="Vergoeding"),VLOOKUP(G428,Tb_KostenTypen[],2,0),VLOOKUP(F428,Kostentypen!$A$3:$E$20,3,0))),"")</f>
        <v/>
      </c>
      <c r="O428" s="320" t="str" cm="1">
        <f t="array" ref="O428">_xlfn.IFNA(IF(INDEX(Tb_KostenOptiesDB[],MATCH($F428,Tb_KostenOptiesDB[KostenOptie],0),IFERROR(MATCH(Methode_Keuze,Tb_KostenOptiesDB[#Headers],0),2))=1,_xlfn.SWITCH($N428,"Uurtarief",IF(OR(AND(RIGHT($F428,3)="IKS",VLOOKUP($M428,DB_Loonkosten,2,0)="Ja"),AND(RIGHT($F428,3)&lt;&gt;"IKS",VLOOKUP($M428,DB_Loonkosten,2,0)="Nee")),IFERROR(VLOOKUP($M428,DB_Loonkosten,24,0),""),0),"Vast tarief",IF(LEFT(F428,8)="Bijdrage",VLOOKUP($F428,Tb_KostenTypen[],MATCH(Lijsten!$P$1,Tb_KostenTypen[#Headers],0),0),VLOOKUP($G428,Lijsten!L:P,MATCH(Lijsten!$P$1,Kop_Tarief_Vast,0),0))),""),"")</f>
        <v/>
      </c>
      <c r="P428" s="320" t="str" cm="1">
        <f t="array" ref="P428">_xlfn.IFNA(IF(INDEX(Tb_KostenOptiesDB[],MATCH($F428,Tb_KostenOptiesDB[KostenOptie],0),IFERROR(MATCH(Methode_Keuze,Tb_KostenOptiesDB[#Headers],0),2))=1,_xlfn.SWITCH($N428,"Uurtarief",IF(OR(AND(RIGHT($F428,3)="IKS",VLOOKUP($M428,DB_Loonkosten,2,0)="Ja"),AND(RIGHT($F428,3)&lt;&gt;"IKS",VLOOKUP($M428,DB_Loonkosten,2,0)="Nee")),IFERROR(VLOOKUP($M428,DB_Loonkosten,25,0),""),0),"Vast tarief",IF(LEFT(F428,8)="Bijdrage",VLOOKUP($F428,Tb_KostenTypen[],MATCH(Lijsten!$P$1,Tb_KostenTypen[#Headers],0),0),VLOOKUP($G428,Lijsten!L:P,MATCH(Lijsten!$P$1,Kop_Tarief_Vast,0),0))),""),"")</f>
        <v/>
      </c>
      <c r="Q428" s="359"/>
      <c r="R428" s="359"/>
      <c r="S428" s="321"/>
      <c r="T428" s="321"/>
      <c r="U428" s="373" t="str">
        <f t="shared" si="24"/>
        <v/>
      </c>
      <c r="V428" s="314" t="str">
        <f t="shared" si="25"/>
        <v/>
      </c>
      <c r="W428" s="314" t="str" cm="1">
        <f t="array" aca="1" ref="W428" ca="1">IFERROR(IF(AE428&lt;&gt;"ja",_xlfn.IFNA(_xlfn.IFS(AND(O428&lt;&gt;"",F428&lt;&gt;"",RIGHT($N428,6)="tarief",F428="Vergoeding"),SUM(O428)*FLOOR(SUM(Q428),0.0001),AND(O428&lt;&gt;"",F428&lt;&gt;"",RIGHT($N428,6)="tarief"),SUM(O428)*FLOOR(SUM(Q428),0.01),S428&gt;0,IF(F428&lt;&gt;"",FLOOR(SUM(S428),0.01),"")),""),""),"")</f>
        <v/>
      </c>
      <c r="X428" s="314" t="str" cm="1">
        <f t="array" aca="1" ref="X428" ca="1">IFERROR(IF(AE428&lt;&gt;"ja",_xlfn.IFNA(_xlfn.IFS(AND(P428&lt;&gt;"",R428&lt;&gt;"",RIGHT($N428,6)="tarief",F428="Vergoeding"),SUM(P428)*FLOOR(SUM(R428),0.0001),AND(P428&lt;&gt;"",R428&lt;&gt;"",RIGHT($N428,6)="tarief"),P428*FLOOR(R428,0.01),T428&gt;0,FLOOR(SUM(T428),0.01)),""),""),"")</f>
        <v/>
      </c>
      <c r="Y428" s="314" t="str">
        <f t="shared" ca="1" si="26"/>
        <v/>
      </c>
      <c r="Z428" s="314" t="str" cm="1">
        <f t="array" aca="1" ref="Z428" ca="1">IFERROR(_xlfn.IFS(OR(F428="",LEFT(Methode_Keuze,4)="Geen",Methode_Keuze=""),"",AND(W428&lt;&gt;"",F428&lt;&gt;"Arbeidskosten"),W428*VLOOKUP(F428,Tb_ProjectKosten[],MATCH(Tb_ProjectKosten[[#Headers],[Forfait_Percentage]],Tb_ProjectKosten[#Headers],0),0),AND(F428="Arbeidskosten",G428&lt;&gt;""),IFERROR(W428*VLOOKUP(G428,Tb_KostenTypen[],3,0)*VLOOKUP(F428,Tb_ProjectKosten[],MATCH(Tb_ProjectKosten[[#Headers],[Forfait_Percentage]],Tb_ProjectKosten[#Headers],0),0),""),W428 &lt;=0,0),"")</f>
        <v/>
      </c>
      <c r="AA428" s="314" t="str" cm="1">
        <f t="array" aca="1" ref="AA428" ca="1">IFERROR(_xlfn.IFS(OR(F428="",LEFT(Methode_Keuze,4)="Geen",Methode_Keuze=""),"",AND(X428&lt;&gt;"",F428&lt;&gt;"Arbeidskosten"),X428*VLOOKUP(F428,Tb_ProjectKosten[],MATCH(Tb_ProjectKosten[[#Headers],[Forfait_Percentage]],Tb_ProjectKosten[#Headers],0),0),AND(F428="Arbeidskosten",G428&lt;&gt;""),IFERROR(X428*VLOOKUP(G428,Tb_KostenTypen[],3,0)*VLOOKUP(F428,Tb_ProjectKosten[],MATCH(Tb_ProjectKosten[[#Headers],[Forfait_Percentage]],Tb_ProjectKosten[#Headers],0),0),""),X428 &lt;=0,0),"")</f>
        <v/>
      </c>
      <c r="AB428" s="314" t="str">
        <f t="shared" ca="1" si="27"/>
        <v/>
      </c>
      <c r="AC428" s="322"/>
      <c r="AD428" s="315"/>
      <c r="AE428" s="32" t="str" cm="1">
        <f t="array" ref="AE428">IFERROR(IF(INDEX(SubsidieTabel!$AD$1:$AG$12,MATCH($F428,SubsidieTabel!$AD$1:$AD$12,0),IFERROR(MATCH(Methode_Keuze,SubsidieTabel!$AD$1:$AG$1,0),2))&lt;&gt;1=TRUE,"ja",""),"")</f>
        <v/>
      </c>
    </row>
    <row r="429" spans="1:31" x14ac:dyDescent="0.25">
      <c r="A429" s="316"/>
      <c r="B429" s="317" t="str">
        <f>IF(A429&lt;&gt;"",_xlfn.MAXIFS($B$1:B428,$A$1:A428,A429)+1,"")</f>
        <v/>
      </c>
      <c r="C429" s="296"/>
      <c r="D429" s="296"/>
      <c r="E429" s="296"/>
      <c r="F429" s="296"/>
      <c r="G429" s="326"/>
      <c r="H429" s="324"/>
      <c r="I429" s="325"/>
      <c r="J429" s="325"/>
      <c r="K429" s="318"/>
      <c r="L429" s="318"/>
      <c r="M429" s="319" t="str">
        <f>IFERROR(VLOOKUP(H429,Lijsten!$H$1:$I$100,2,0),"")</f>
        <v/>
      </c>
      <c r="N429" s="319" t="str">
        <f ca="1">IFERROR(IF(VLOOKUP(F429,Kostentypen!$A$3:$E$21,3,0)=0,"",IF(OR(F429="Arbeidskosten",F429="Vergoeding"),VLOOKUP(G429,Tb_KostenTypen[],2,0),VLOOKUP(F429,Kostentypen!$A$3:$E$20,3,0))),"")</f>
        <v/>
      </c>
      <c r="O429" s="320" t="str" cm="1">
        <f t="array" ref="O429">_xlfn.IFNA(IF(INDEX(Tb_KostenOptiesDB[],MATCH($F429,Tb_KostenOptiesDB[KostenOptie],0),IFERROR(MATCH(Methode_Keuze,Tb_KostenOptiesDB[#Headers],0),2))=1,_xlfn.SWITCH($N429,"Uurtarief",IF(OR(AND(RIGHT($F429,3)="IKS",VLOOKUP($M429,DB_Loonkosten,2,0)="Ja"),AND(RIGHT($F429,3)&lt;&gt;"IKS",VLOOKUP($M429,DB_Loonkosten,2,0)="Nee")),IFERROR(VLOOKUP($M429,DB_Loonkosten,24,0),""),0),"Vast tarief",IF(LEFT(F429,8)="Bijdrage",VLOOKUP($F429,Tb_KostenTypen[],MATCH(Lijsten!$P$1,Tb_KostenTypen[#Headers],0),0),VLOOKUP($G429,Lijsten!L:P,MATCH(Lijsten!$P$1,Kop_Tarief_Vast,0),0))),""),"")</f>
        <v/>
      </c>
      <c r="P429" s="320" t="str" cm="1">
        <f t="array" ref="P429">_xlfn.IFNA(IF(INDEX(Tb_KostenOptiesDB[],MATCH($F429,Tb_KostenOptiesDB[KostenOptie],0),IFERROR(MATCH(Methode_Keuze,Tb_KostenOptiesDB[#Headers],0),2))=1,_xlfn.SWITCH($N429,"Uurtarief",IF(OR(AND(RIGHT($F429,3)="IKS",VLOOKUP($M429,DB_Loonkosten,2,0)="Ja"),AND(RIGHT($F429,3)&lt;&gt;"IKS",VLOOKUP($M429,DB_Loonkosten,2,0)="Nee")),IFERROR(VLOOKUP($M429,DB_Loonkosten,25,0),""),0),"Vast tarief",IF(LEFT(F429,8)="Bijdrage",VLOOKUP($F429,Tb_KostenTypen[],MATCH(Lijsten!$P$1,Tb_KostenTypen[#Headers],0),0),VLOOKUP($G429,Lijsten!L:P,MATCH(Lijsten!$P$1,Kop_Tarief_Vast,0),0))),""),"")</f>
        <v/>
      </c>
      <c r="Q429" s="359"/>
      <c r="R429" s="359"/>
      <c r="S429" s="321"/>
      <c r="T429" s="321"/>
      <c r="U429" s="373" t="str">
        <f t="shared" si="24"/>
        <v/>
      </c>
      <c r="V429" s="314" t="str">
        <f t="shared" si="25"/>
        <v/>
      </c>
      <c r="W429" s="314" t="str" cm="1">
        <f t="array" aca="1" ref="W429" ca="1">IFERROR(IF(AE429&lt;&gt;"ja",_xlfn.IFNA(_xlfn.IFS(AND(O429&lt;&gt;"",F429&lt;&gt;"",RIGHT($N429,6)="tarief",F429="Vergoeding"),SUM(O429)*FLOOR(SUM(Q429),0.0001),AND(O429&lt;&gt;"",F429&lt;&gt;"",RIGHT($N429,6)="tarief"),SUM(O429)*FLOOR(SUM(Q429),0.01),S429&gt;0,IF(F429&lt;&gt;"",FLOOR(SUM(S429),0.01),"")),""),""),"")</f>
        <v/>
      </c>
      <c r="X429" s="314" t="str" cm="1">
        <f t="array" aca="1" ref="X429" ca="1">IFERROR(IF(AE429&lt;&gt;"ja",_xlfn.IFNA(_xlfn.IFS(AND(P429&lt;&gt;"",R429&lt;&gt;"",RIGHT($N429,6)="tarief",F429="Vergoeding"),SUM(P429)*FLOOR(SUM(R429),0.0001),AND(P429&lt;&gt;"",R429&lt;&gt;"",RIGHT($N429,6)="tarief"),P429*FLOOR(R429,0.01),T429&gt;0,FLOOR(SUM(T429),0.01)),""),""),"")</f>
        <v/>
      </c>
      <c r="Y429" s="314" t="str">
        <f t="shared" ca="1" si="26"/>
        <v/>
      </c>
      <c r="Z429" s="314" t="str" cm="1">
        <f t="array" aca="1" ref="Z429" ca="1">IFERROR(_xlfn.IFS(OR(F429="",LEFT(Methode_Keuze,4)="Geen",Methode_Keuze=""),"",AND(W429&lt;&gt;"",F429&lt;&gt;"Arbeidskosten"),W429*VLOOKUP(F429,Tb_ProjectKosten[],MATCH(Tb_ProjectKosten[[#Headers],[Forfait_Percentage]],Tb_ProjectKosten[#Headers],0),0),AND(F429="Arbeidskosten",G429&lt;&gt;""),IFERROR(W429*VLOOKUP(G429,Tb_KostenTypen[],3,0)*VLOOKUP(F429,Tb_ProjectKosten[],MATCH(Tb_ProjectKosten[[#Headers],[Forfait_Percentage]],Tb_ProjectKosten[#Headers],0),0),""),W429 &lt;=0,0),"")</f>
        <v/>
      </c>
      <c r="AA429" s="314" t="str" cm="1">
        <f t="array" aca="1" ref="AA429" ca="1">IFERROR(_xlfn.IFS(OR(F429="",LEFT(Methode_Keuze,4)="Geen",Methode_Keuze=""),"",AND(X429&lt;&gt;"",F429&lt;&gt;"Arbeidskosten"),X429*VLOOKUP(F429,Tb_ProjectKosten[],MATCH(Tb_ProjectKosten[[#Headers],[Forfait_Percentage]],Tb_ProjectKosten[#Headers],0),0),AND(F429="Arbeidskosten",G429&lt;&gt;""),IFERROR(X429*VLOOKUP(G429,Tb_KostenTypen[],3,0)*VLOOKUP(F429,Tb_ProjectKosten[],MATCH(Tb_ProjectKosten[[#Headers],[Forfait_Percentage]],Tb_ProjectKosten[#Headers],0),0),""),X429 &lt;=0,0),"")</f>
        <v/>
      </c>
      <c r="AB429" s="314" t="str">
        <f t="shared" ca="1" si="27"/>
        <v/>
      </c>
      <c r="AC429" s="322"/>
      <c r="AD429" s="315"/>
      <c r="AE429" s="32" t="str" cm="1">
        <f t="array" ref="AE429">IFERROR(IF(INDEX(SubsidieTabel!$AD$1:$AG$12,MATCH($F429,SubsidieTabel!$AD$1:$AD$12,0),IFERROR(MATCH(Methode_Keuze,SubsidieTabel!$AD$1:$AG$1,0),2))&lt;&gt;1=TRUE,"ja",""),"")</f>
        <v/>
      </c>
    </row>
    <row r="430" spans="1:31" x14ac:dyDescent="0.25">
      <c r="A430" s="316"/>
      <c r="B430" s="317" t="str">
        <f>IF(A430&lt;&gt;"",_xlfn.MAXIFS($B$1:B429,$A$1:A429,A430)+1,"")</f>
        <v/>
      </c>
      <c r="C430" s="296"/>
      <c r="D430" s="296"/>
      <c r="E430" s="296"/>
      <c r="F430" s="296"/>
      <c r="G430" s="326"/>
      <c r="H430" s="324"/>
      <c r="I430" s="325"/>
      <c r="J430" s="325"/>
      <c r="K430" s="318"/>
      <c r="L430" s="318"/>
      <c r="M430" s="319" t="str">
        <f>IFERROR(VLOOKUP(H430,Lijsten!$H$1:$I$100,2,0),"")</f>
        <v/>
      </c>
      <c r="N430" s="319" t="str">
        <f ca="1">IFERROR(IF(VLOOKUP(F430,Kostentypen!$A$3:$E$21,3,0)=0,"",IF(OR(F430="Arbeidskosten",F430="Vergoeding"),VLOOKUP(G430,Tb_KostenTypen[],2,0),VLOOKUP(F430,Kostentypen!$A$3:$E$20,3,0))),"")</f>
        <v/>
      </c>
      <c r="O430" s="320" t="str" cm="1">
        <f t="array" ref="O430">_xlfn.IFNA(IF(INDEX(Tb_KostenOptiesDB[],MATCH($F430,Tb_KostenOptiesDB[KostenOptie],0),IFERROR(MATCH(Methode_Keuze,Tb_KostenOptiesDB[#Headers],0),2))=1,_xlfn.SWITCH($N430,"Uurtarief",IF(OR(AND(RIGHT($F430,3)="IKS",VLOOKUP($M430,DB_Loonkosten,2,0)="Ja"),AND(RIGHT($F430,3)&lt;&gt;"IKS",VLOOKUP($M430,DB_Loonkosten,2,0)="Nee")),IFERROR(VLOOKUP($M430,DB_Loonkosten,24,0),""),0),"Vast tarief",IF(LEFT(F430,8)="Bijdrage",VLOOKUP($F430,Tb_KostenTypen[],MATCH(Lijsten!$P$1,Tb_KostenTypen[#Headers],0),0),VLOOKUP($G430,Lijsten!L:P,MATCH(Lijsten!$P$1,Kop_Tarief_Vast,0),0))),""),"")</f>
        <v/>
      </c>
      <c r="P430" s="320" t="str" cm="1">
        <f t="array" ref="P430">_xlfn.IFNA(IF(INDEX(Tb_KostenOptiesDB[],MATCH($F430,Tb_KostenOptiesDB[KostenOptie],0),IFERROR(MATCH(Methode_Keuze,Tb_KostenOptiesDB[#Headers],0),2))=1,_xlfn.SWITCH($N430,"Uurtarief",IF(OR(AND(RIGHT($F430,3)="IKS",VLOOKUP($M430,DB_Loonkosten,2,0)="Ja"),AND(RIGHT($F430,3)&lt;&gt;"IKS",VLOOKUP($M430,DB_Loonkosten,2,0)="Nee")),IFERROR(VLOOKUP($M430,DB_Loonkosten,25,0),""),0),"Vast tarief",IF(LEFT(F430,8)="Bijdrage",VLOOKUP($F430,Tb_KostenTypen[],MATCH(Lijsten!$P$1,Tb_KostenTypen[#Headers],0),0),VLOOKUP($G430,Lijsten!L:P,MATCH(Lijsten!$P$1,Kop_Tarief_Vast,0),0))),""),"")</f>
        <v/>
      </c>
      <c r="Q430" s="359"/>
      <c r="R430" s="359"/>
      <c r="S430" s="321"/>
      <c r="T430" s="321"/>
      <c r="U430" s="373" t="str">
        <f t="shared" si="24"/>
        <v/>
      </c>
      <c r="V430" s="314" t="str">
        <f t="shared" si="25"/>
        <v/>
      </c>
      <c r="W430" s="314" t="str" cm="1">
        <f t="array" aca="1" ref="W430" ca="1">IFERROR(IF(AE430&lt;&gt;"ja",_xlfn.IFNA(_xlfn.IFS(AND(O430&lt;&gt;"",F430&lt;&gt;"",RIGHT($N430,6)="tarief",F430="Vergoeding"),SUM(O430)*FLOOR(SUM(Q430),0.0001),AND(O430&lt;&gt;"",F430&lt;&gt;"",RIGHT($N430,6)="tarief"),SUM(O430)*FLOOR(SUM(Q430),0.01),S430&gt;0,IF(F430&lt;&gt;"",FLOOR(SUM(S430),0.01),"")),""),""),"")</f>
        <v/>
      </c>
      <c r="X430" s="314" t="str" cm="1">
        <f t="array" aca="1" ref="X430" ca="1">IFERROR(IF(AE430&lt;&gt;"ja",_xlfn.IFNA(_xlfn.IFS(AND(P430&lt;&gt;"",R430&lt;&gt;"",RIGHT($N430,6)="tarief",F430="Vergoeding"),SUM(P430)*FLOOR(SUM(R430),0.0001),AND(P430&lt;&gt;"",R430&lt;&gt;"",RIGHT($N430,6)="tarief"),P430*FLOOR(R430,0.01),T430&gt;0,FLOOR(SUM(T430),0.01)),""),""),"")</f>
        <v/>
      </c>
      <c r="Y430" s="314" t="str">
        <f t="shared" ca="1" si="26"/>
        <v/>
      </c>
      <c r="Z430" s="314" t="str" cm="1">
        <f t="array" aca="1" ref="Z430" ca="1">IFERROR(_xlfn.IFS(OR(F430="",LEFT(Methode_Keuze,4)="Geen",Methode_Keuze=""),"",AND(W430&lt;&gt;"",F430&lt;&gt;"Arbeidskosten"),W430*VLOOKUP(F430,Tb_ProjectKosten[],MATCH(Tb_ProjectKosten[[#Headers],[Forfait_Percentage]],Tb_ProjectKosten[#Headers],0),0),AND(F430="Arbeidskosten",G430&lt;&gt;""),IFERROR(W430*VLOOKUP(G430,Tb_KostenTypen[],3,0)*VLOOKUP(F430,Tb_ProjectKosten[],MATCH(Tb_ProjectKosten[[#Headers],[Forfait_Percentage]],Tb_ProjectKosten[#Headers],0),0),""),W430 &lt;=0,0),"")</f>
        <v/>
      </c>
      <c r="AA430" s="314" t="str" cm="1">
        <f t="array" aca="1" ref="AA430" ca="1">IFERROR(_xlfn.IFS(OR(F430="",LEFT(Methode_Keuze,4)="Geen",Methode_Keuze=""),"",AND(X430&lt;&gt;"",F430&lt;&gt;"Arbeidskosten"),X430*VLOOKUP(F430,Tb_ProjectKosten[],MATCH(Tb_ProjectKosten[[#Headers],[Forfait_Percentage]],Tb_ProjectKosten[#Headers],0),0),AND(F430="Arbeidskosten",G430&lt;&gt;""),IFERROR(X430*VLOOKUP(G430,Tb_KostenTypen[],3,0)*VLOOKUP(F430,Tb_ProjectKosten[],MATCH(Tb_ProjectKosten[[#Headers],[Forfait_Percentage]],Tb_ProjectKosten[#Headers],0),0),""),X430 &lt;=0,0),"")</f>
        <v/>
      </c>
      <c r="AB430" s="314" t="str">
        <f t="shared" ca="1" si="27"/>
        <v/>
      </c>
      <c r="AC430" s="322"/>
      <c r="AD430" s="315"/>
      <c r="AE430" s="32" t="str" cm="1">
        <f t="array" ref="AE430">IFERROR(IF(INDEX(SubsidieTabel!$AD$1:$AG$12,MATCH($F430,SubsidieTabel!$AD$1:$AD$12,0),IFERROR(MATCH(Methode_Keuze,SubsidieTabel!$AD$1:$AG$1,0),2))&lt;&gt;1=TRUE,"ja",""),"")</f>
        <v/>
      </c>
    </row>
    <row r="431" spans="1:31" x14ac:dyDescent="0.25">
      <c r="A431" s="316"/>
      <c r="B431" s="317" t="str">
        <f>IF(A431&lt;&gt;"",_xlfn.MAXIFS($B$1:B430,$A$1:A430,A431)+1,"")</f>
        <v/>
      </c>
      <c r="C431" s="296"/>
      <c r="D431" s="296"/>
      <c r="E431" s="296"/>
      <c r="F431" s="296"/>
      <c r="G431" s="326"/>
      <c r="H431" s="324"/>
      <c r="I431" s="325"/>
      <c r="J431" s="325"/>
      <c r="K431" s="318"/>
      <c r="L431" s="318"/>
      <c r="M431" s="319" t="str">
        <f>IFERROR(VLOOKUP(H431,Lijsten!$H$1:$I$100,2,0),"")</f>
        <v/>
      </c>
      <c r="N431" s="319" t="str">
        <f ca="1">IFERROR(IF(VLOOKUP(F431,Kostentypen!$A$3:$E$21,3,0)=0,"",IF(OR(F431="Arbeidskosten",F431="Vergoeding"),VLOOKUP(G431,Tb_KostenTypen[],2,0),VLOOKUP(F431,Kostentypen!$A$3:$E$20,3,0))),"")</f>
        <v/>
      </c>
      <c r="O431" s="320" t="str" cm="1">
        <f t="array" ref="O431">_xlfn.IFNA(IF(INDEX(Tb_KostenOptiesDB[],MATCH($F431,Tb_KostenOptiesDB[KostenOptie],0),IFERROR(MATCH(Methode_Keuze,Tb_KostenOptiesDB[#Headers],0),2))=1,_xlfn.SWITCH($N431,"Uurtarief",IF(OR(AND(RIGHT($F431,3)="IKS",VLOOKUP($M431,DB_Loonkosten,2,0)="Ja"),AND(RIGHT($F431,3)&lt;&gt;"IKS",VLOOKUP($M431,DB_Loonkosten,2,0)="Nee")),IFERROR(VLOOKUP($M431,DB_Loonkosten,24,0),""),0),"Vast tarief",IF(LEFT(F431,8)="Bijdrage",VLOOKUP($F431,Tb_KostenTypen[],MATCH(Lijsten!$P$1,Tb_KostenTypen[#Headers],0),0),VLOOKUP($G431,Lijsten!L:P,MATCH(Lijsten!$P$1,Kop_Tarief_Vast,0),0))),""),"")</f>
        <v/>
      </c>
      <c r="P431" s="320" t="str" cm="1">
        <f t="array" ref="P431">_xlfn.IFNA(IF(INDEX(Tb_KostenOptiesDB[],MATCH($F431,Tb_KostenOptiesDB[KostenOptie],0),IFERROR(MATCH(Methode_Keuze,Tb_KostenOptiesDB[#Headers],0),2))=1,_xlfn.SWITCH($N431,"Uurtarief",IF(OR(AND(RIGHT($F431,3)="IKS",VLOOKUP($M431,DB_Loonkosten,2,0)="Ja"),AND(RIGHT($F431,3)&lt;&gt;"IKS",VLOOKUP($M431,DB_Loonkosten,2,0)="Nee")),IFERROR(VLOOKUP($M431,DB_Loonkosten,25,0),""),0),"Vast tarief",IF(LEFT(F431,8)="Bijdrage",VLOOKUP($F431,Tb_KostenTypen[],MATCH(Lijsten!$P$1,Tb_KostenTypen[#Headers],0),0),VLOOKUP($G431,Lijsten!L:P,MATCH(Lijsten!$P$1,Kop_Tarief_Vast,0),0))),""),"")</f>
        <v/>
      </c>
      <c r="Q431" s="359"/>
      <c r="R431" s="359"/>
      <c r="S431" s="321"/>
      <c r="T431" s="321"/>
      <c r="U431" s="373" t="str">
        <f t="shared" si="24"/>
        <v/>
      </c>
      <c r="V431" s="314" t="str">
        <f t="shared" si="25"/>
        <v/>
      </c>
      <c r="W431" s="314" t="str" cm="1">
        <f t="array" aca="1" ref="W431" ca="1">IFERROR(IF(AE431&lt;&gt;"ja",_xlfn.IFNA(_xlfn.IFS(AND(O431&lt;&gt;"",F431&lt;&gt;"",RIGHT($N431,6)="tarief",F431="Vergoeding"),SUM(O431)*FLOOR(SUM(Q431),0.0001),AND(O431&lt;&gt;"",F431&lt;&gt;"",RIGHT($N431,6)="tarief"),SUM(O431)*FLOOR(SUM(Q431),0.01),S431&gt;0,IF(F431&lt;&gt;"",FLOOR(SUM(S431),0.01),"")),""),""),"")</f>
        <v/>
      </c>
      <c r="X431" s="314" t="str" cm="1">
        <f t="array" aca="1" ref="X431" ca="1">IFERROR(IF(AE431&lt;&gt;"ja",_xlfn.IFNA(_xlfn.IFS(AND(P431&lt;&gt;"",R431&lt;&gt;"",RIGHT($N431,6)="tarief",F431="Vergoeding"),SUM(P431)*FLOOR(SUM(R431),0.0001),AND(P431&lt;&gt;"",R431&lt;&gt;"",RIGHT($N431,6)="tarief"),P431*FLOOR(R431,0.01),T431&gt;0,FLOOR(SUM(T431),0.01)),""),""),"")</f>
        <v/>
      </c>
      <c r="Y431" s="314" t="str">
        <f t="shared" ca="1" si="26"/>
        <v/>
      </c>
      <c r="Z431" s="314" t="str" cm="1">
        <f t="array" aca="1" ref="Z431" ca="1">IFERROR(_xlfn.IFS(OR(F431="",LEFT(Methode_Keuze,4)="Geen",Methode_Keuze=""),"",AND(W431&lt;&gt;"",F431&lt;&gt;"Arbeidskosten"),W431*VLOOKUP(F431,Tb_ProjectKosten[],MATCH(Tb_ProjectKosten[[#Headers],[Forfait_Percentage]],Tb_ProjectKosten[#Headers],0),0),AND(F431="Arbeidskosten",G431&lt;&gt;""),IFERROR(W431*VLOOKUP(G431,Tb_KostenTypen[],3,0)*VLOOKUP(F431,Tb_ProjectKosten[],MATCH(Tb_ProjectKosten[[#Headers],[Forfait_Percentage]],Tb_ProjectKosten[#Headers],0),0),""),W431 &lt;=0,0),"")</f>
        <v/>
      </c>
      <c r="AA431" s="314" t="str" cm="1">
        <f t="array" aca="1" ref="AA431" ca="1">IFERROR(_xlfn.IFS(OR(F431="",LEFT(Methode_Keuze,4)="Geen",Methode_Keuze=""),"",AND(X431&lt;&gt;"",F431&lt;&gt;"Arbeidskosten"),X431*VLOOKUP(F431,Tb_ProjectKosten[],MATCH(Tb_ProjectKosten[[#Headers],[Forfait_Percentage]],Tb_ProjectKosten[#Headers],0),0),AND(F431="Arbeidskosten",G431&lt;&gt;""),IFERROR(X431*VLOOKUP(G431,Tb_KostenTypen[],3,0)*VLOOKUP(F431,Tb_ProjectKosten[],MATCH(Tb_ProjectKosten[[#Headers],[Forfait_Percentage]],Tb_ProjectKosten[#Headers],0),0),""),X431 &lt;=0,0),"")</f>
        <v/>
      </c>
      <c r="AB431" s="314" t="str">
        <f t="shared" ca="1" si="27"/>
        <v/>
      </c>
      <c r="AC431" s="322"/>
      <c r="AD431" s="315"/>
      <c r="AE431" s="32" t="str" cm="1">
        <f t="array" ref="AE431">IFERROR(IF(INDEX(SubsidieTabel!$AD$1:$AG$12,MATCH($F431,SubsidieTabel!$AD$1:$AD$12,0),IFERROR(MATCH(Methode_Keuze,SubsidieTabel!$AD$1:$AG$1,0),2))&lt;&gt;1=TRUE,"ja",""),"")</f>
        <v/>
      </c>
    </row>
    <row r="432" spans="1:31" x14ac:dyDescent="0.25">
      <c r="A432" s="316"/>
      <c r="B432" s="317" t="str">
        <f>IF(A432&lt;&gt;"",_xlfn.MAXIFS($B$1:B431,$A$1:A431,A432)+1,"")</f>
        <v/>
      </c>
      <c r="C432" s="296"/>
      <c r="D432" s="296"/>
      <c r="E432" s="296"/>
      <c r="F432" s="296"/>
      <c r="G432" s="326"/>
      <c r="H432" s="324"/>
      <c r="I432" s="325"/>
      <c r="J432" s="325"/>
      <c r="K432" s="318"/>
      <c r="L432" s="318"/>
      <c r="M432" s="319" t="str">
        <f>IFERROR(VLOOKUP(H432,Lijsten!$H$1:$I$100,2,0),"")</f>
        <v/>
      </c>
      <c r="N432" s="319" t="str">
        <f ca="1">IFERROR(IF(VLOOKUP(F432,Kostentypen!$A$3:$E$21,3,0)=0,"",IF(OR(F432="Arbeidskosten",F432="Vergoeding"),VLOOKUP(G432,Tb_KostenTypen[],2,0),VLOOKUP(F432,Kostentypen!$A$3:$E$20,3,0))),"")</f>
        <v/>
      </c>
      <c r="O432" s="320" t="str" cm="1">
        <f t="array" ref="O432">_xlfn.IFNA(IF(INDEX(Tb_KostenOptiesDB[],MATCH($F432,Tb_KostenOptiesDB[KostenOptie],0),IFERROR(MATCH(Methode_Keuze,Tb_KostenOptiesDB[#Headers],0),2))=1,_xlfn.SWITCH($N432,"Uurtarief",IF(OR(AND(RIGHT($F432,3)="IKS",VLOOKUP($M432,DB_Loonkosten,2,0)="Ja"),AND(RIGHT($F432,3)&lt;&gt;"IKS",VLOOKUP($M432,DB_Loonkosten,2,0)="Nee")),IFERROR(VLOOKUP($M432,DB_Loonkosten,24,0),""),0),"Vast tarief",IF(LEFT(F432,8)="Bijdrage",VLOOKUP($F432,Tb_KostenTypen[],MATCH(Lijsten!$P$1,Tb_KostenTypen[#Headers],0),0),VLOOKUP($G432,Lijsten!L:P,MATCH(Lijsten!$P$1,Kop_Tarief_Vast,0),0))),""),"")</f>
        <v/>
      </c>
      <c r="P432" s="320" t="str" cm="1">
        <f t="array" ref="P432">_xlfn.IFNA(IF(INDEX(Tb_KostenOptiesDB[],MATCH($F432,Tb_KostenOptiesDB[KostenOptie],0),IFERROR(MATCH(Methode_Keuze,Tb_KostenOptiesDB[#Headers],0),2))=1,_xlfn.SWITCH($N432,"Uurtarief",IF(OR(AND(RIGHT($F432,3)="IKS",VLOOKUP($M432,DB_Loonkosten,2,0)="Ja"),AND(RIGHT($F432,3)&lt;&gt;"IKS",VLOOKUP($M432,DB_Loonkosten,2,0)="Nee")),IFERROR(VLOOKUP($M432,DB_Loonkosten,25,0),""),0),"Vast tarief",IF(LEFT(F432,8)="Bijdrage",VLOOKUP($F432,Tb_KostenTypen[],MATCH(Lijsten!$P$1,Tb_KostenTypen[#Headers],0),0),VLOOKUP($G432,Lijsten!L:P,MATCH(Lijsten!$P$1,Kop_Tarief_Vast,0),0))),""),"")</f>
        <v/>
      </c>
      <c r="Q432" s="359"/>
      <c r="R432" s="359"/>
      <c r="S432" s="321"/>
      <c r="T432" s="321"/>
      <c r="U432" s="373" t="str">
        <f t="shared" si="24"/>
        <v/>
      </c>
      <c r="V432" s="314" t="str">
        <f t="shared" si="25"/>
        <v/>
      </c>
      <c r="W432" s="314" t="str" cm="1">
        <f t="array" aca="1" ref="W432" ca="1">IFERROR(IF(AE432&lt;&gt;"ja",_xlfn.IFNA(_xlfn.IFS(AND(O432&lt;&gt;"",F432&lt;&gt;"",RIGHT($N432,6)="tarief",F432="Vergoeding"),SUM(O432)*FLOOR(SUM(Q432),0.0001),AND(O432&lt;&gt;"",F432&lt;&gt;"",RIGHT($N432,6)="tarief"),SUM(O432)*FLOOR(SUM(Q432),0.01),S432&gt;0,IF(F432&lt;&gt;"",FLOOR(SUM(S432),0.01),"")),""),""),"")</f>
        <v/>
      </c>
      <c r="X432" s="314" t="str" cm="1">
        <f t="array" aca="1" ref="X432" ca="1">IFERROR(IF(AE432&lt;&gt;"ja",_xlfn.IFNA(_xlfn.IFS(AND(P432&lt;&gt;"",R432&lt;&gt;"",RIGHT($N432,6)="tarief",F432="Vergoeding"),SUM(P432)*FLOOR(SUM(R432),0.0001),AND(P432&lt;&gt;"",R432&lt;&gt;"",RIGHT($N432,6)="tarief"),P432*FLOOR(R432,0.01),T432&gt;0,FLOOR(SUM(T432),0.01)),""),""),"")</f>
        <v/>
      </c>
      <c r="Y432" s="314" t="str">
        <f t="shared" ca="1" si="26"/>
        <v/>
      </c>
      <c r="Z432" s="314" t="str" cm="1">
        <f t="array" aca="1" ref="Z432" ca="1">IFERROR(_xlfn.IFS(OR(F432="",LEFT(Methode_Keuze,4)="Geen",Methode_Keuze=""),"",AND(W432&lt;&gt;"",F432&lt;&gt;"Arbeidskosten"),W432*VLOOKUP(F432,Tb_ProjectKosten[],MATCH(Tb_ProjectKosten[[#Headers],[Forfait_Percentage]],Tb_ProjectKosten[#Headers],0),0),AND(F432="Arbeidskosten",G432&lt;&gt;""),IFERROR(W432*VLOOKUP(G432,Tb_KostenTypen[],3,0)*VLOOKUP(F432,Tb_ProjectKosten[],MATCH(Tb_ProjectKosten[[#Headers],[Forfait_Percentage]],Tb_ProjectKosten[#Headers],0),0),""),W432 &lt;=0,0),"")</f>
        <v/>
      </c>
      <c r="AA432" s="314" t="str" cm="1">
        <f t="array" aca="1" ref="AA432" ca="1">IFERROR(_xlfn.IFS(OR(F432="",LEFT(Methode_Keuze,4)="Geen",Methode_Keuze=""),"",AND(X432&lt;&gt;"",F432&lt;&gt;"Arbeidskosten"),X432*VLOOKUP(F432,Tb_ProjectKosten[],MATCH(Tb_ProjectKosten[[#Headers],[Forfait_Percentage]],Tb_ProjectKosten[#Headers],0),0),AND(F432="Arbeidskosten",G432&lt;&gt;""),IFERROR(X432*VLOOKUP(G432,Tb_KostenTypen[],3,0)*VLOOKUP(F432,Tb_ProjectKosten[],MATCH(Tb_ProjectKosten[[#Headers],[Forfait_Percentage]],Tb_ProjectKosten[#Headers],0),0),""),X432 &lt;=0,0),"")</f>
        <v/>
      </c>
      <c r="AB432" s="314" t="str">
        <f t="shared" ca="1" si="27"/>
        <v/>
      </c>
      <c r="AC432" s="322"/>
      <c r="AD432" s="315"/>
      <c r="AE432" s="32" t="str" cm="1">
        <f t="array" ref="AE432">IFERROR(IF(INDEX(SubsidieTabel!$AD$1:$AG$12,MATCH($F432,SubsidieTabel!$AD$1:$AD$12,0),IFERROR(MATCH(Methode_Keuze,SubsidieTabel!$AD$1:$AG$1,0),2))&lt;&gt;1=TRUE,"ja",""),"")</f>
        <v/>
      </c>
    </row>
    <row r="433" spans="1:31" x14ac:dyDescent="0.25">
      <c r="A433" s="316"/>
      <c r="B433" s="317" t="str">
        <f>IF(A433&lt;&gt;"",_xlfn.MAXIFS($B$1:B432,$A$1:A432,A433)+1,"")</f>
        <v/>
      </c>
      <c r="C433" s="296"/>
      <c r="D433" s="296"/>
      <c r="E433" s="296"/>
      <c r="F433" s="296"/>
      <c r="G433" s="326"/>
      <c r="H433" s="324"/>
      <c r="I433" s="325"/>
      <c r="J433" s="325"/>
      <c r="K433" s="318"/>
      <c r="L433" s="318"/>
      <c r="M433" s="319" t="str">
        <f>IFERROR(VLOOKUP(H433,Lijsten!$H$1:$I$100,2,0),"")</f>
        <v/>
      </c>
      <c r="N433" s="319" t="str">
        <f ca="1">IFERROR(IF(VLOOKUP(F433,Kostentypen!$A$3:$E$21,3,0)=0,"",IF(OR(F433="Arbeidskosten",F433="Vergoeding"),VLOOKUP(G433,Tb_KostenTypen[],2,0),VLOOKUP(F433,Kostentypen!$A$3:$E$20,3,0))),"")</f>
        <v/>
      </c>
      <c r="O433" s="320" t="str" cm="1">
        <f t="array" ref="O433">_xlfn.IFNA(IF(INDEX(Tb_KostenOptiesDB[],MATCH($F433,Tb_KostenOptiesDB[KostenOptie],0),IFERROR(MATCH(Methode_Keuze,Tb_KostenOptiesDB[#Headers],0),2))=1,_xlfn.SWITCH($N433,"Uurtarief",IF(OR(AND(RIGHT($F433,3)="IKS",VLOOKUP($M433,DB_Loonkosten,2,0)="Ja"),AND(RIGHT($F433,3)&lt;&gt;"IKS",VLOOKUP($M433,DB_Loonkosten,2,0)="Nee")),IFERROR(VLOOKUP($M433,DB_Loonkosten,24,0),""),0),"Vast tarief",IF(LEFT(F433,8)="Bijdrage",VLOOKUP($F433,Tb_KostenTypen[],MATCH(Lijsten!$P$1,Tb_KostenTypen[#Headers],0),0),VLOOKUP($G433,Lijsten!L:P,MATCH(Lijsten!$P$1,Kop_Tarief_Vast,0),0))),""),"")</f>
        <v/>
      </c>
      <c r="P433" s="320" t="str" cm="1">
        <f t="array" ref="P433">_xlfn.IFNA(IF(INDEX(Tb_KostenOptiesDB[],MATCH($F433,Tb_KostenOptiesDB[KostenOptie],0),IFERROR(MATCH(Methode_Keuze,Tb_KostenOptiesDB[#Headers],0),2))=1,_xlfn.SWITCH($N433,"Uurtarief",IF(OR(AND(RIGHT($F433,3)="IKS",VLOOKUP($M433,DB_Loonkosten,2,0)="Ja"),AND(RIGHT($F433,3)&lt;&gt;"IKS",VLOOKUP($M433,DB_Loonkosten,2,0)="Nee")),IFERROR(VLOOKUP($M433,DB_Loonkosten,25,0),""),0),"Vast tarief",IF(LEFT(F433,8)="Bijdrage",VLOOKUP($F433,Tb_KostenTypen[],MATCH(Lijsten!$P$1,Tb_KostenTypen[#Headers],0),0),VLOOKUP($G433,Lijsten!L:P,MATCH(Lijsten!$P$1,Kop_Tarief_Vast,0),0))),""),"")</f>
        <v/>
      </c>
      <c r="Q433" s="359"/>
      <c r="R433" s="359"/>
      <c r="S433" s="321"/>
      <c r="T433" s="321"/>
      <c r="U433" s="373" t="str">
        <f t="shared" si="24"/>
        <v/>
      </c>
      <c r="V433" s="314" t="str">
        <f t="shared" si="25"/>
        <v/>
      </c>
      <c r="W433" s="314" t="str" cm="1">
        <f t="array" aca="1" ref="W433" ca="1">IFERROR(IF(AE433&lt;&gt;"ja",_xlfn.IFNA(_xlfn.IFS(AND(O433&lt;&gt;"",F433&lt;&gt;"",RIGHT($N433,6)="tarief",F433="Vergoeding"),SUM(O433)*FLOOR(SUM(Q433),0.0001),AND(O433&lt;&gt;"",F433&lt;&gt;"",RIGHT($N433,6)="tarief"),SUM(O433)*FLOOR(SUM(Q433),0.01),S433&gt;0,IF(F433&lt;&gt;"",FLOOR(SUM(S433),0.01),"")),""),""),"")</f>
        <v/>
      </c>
      <c r="X433" s="314" t="str" cm="1">
        <f t="array" aca="1" ref="X433" ca="1">IFERROR(IF(AE433&lt;&gt;"ja",_xlfn.IFNA(_xlfn.IFS(AND(P433&lt;&gt;"",R433&lt;&gt;"",RIGHT($N433,6)="tarief",F433="Vergoeding"),SUM(P433)*FLOOR(SUM(R433),0.0001),AND(P433&lt;&gt;"",R433&lt;&gt;"",RIGHT($N433,6)="tarief"),P433*FLOOR(R433,0.01),T433&gt;0,FLOOR(SUM(T433),0.01)),""),""),"")</f>
        <v/>
      </c>
      <c r="Y433" s="314" t="str">
        <f t="shared" ca="1" si="26"/>
        <v/>
      </c>
      <c r="Z433" s="314" t="str" cm="1">
        <f t="array" aca="1" ref="Z433" ca="1">IFERROR(_xlfn.IFS(OR(F433="",LEFT(Methode_Keuze,4)="Geen",Methode_Keuze=""),"",AND(W433&lt;&gt;"",F433&lt;&gt;"Arbeidskosten"),W433*VLOOKUP(F433,Tb_ProjectKosten[],MATCH(Tb_ProjectKosten[[#Headers],[Forfait_Percentage]],Tb_ProjectKosten[#Headers],0),0),AND(F433="Arbeidskosten",G433&lt;&gt;""),IFERROR(W433*VLOOKUP(G433,Tb_KostenTypen[],3,0)*VLOOKUP(F433,Tb_ProjectKosten[],MATCH(Tb_ProjectKosten[[#Headers],[Forfait_Percentage]],Tb_ProjectKosten[#Headers],0),0),""),W433 &lt;=0,0),"")</f>
        <v/>
      </c>
      <c r="AA433" s="314" t="str" cm="1">
        <f t="array" aca="1" ref="AA433" ca="1">IFERROR(_xlfn.IFS(OR(F433="",LEFT(Methode_Keuze,4)="Geen",Methode_Keuze=""),"",AND(X433&lt;&gt;"",F433&lt;&gt;"Arbeidskosten"),X433*VLOOKUP(F433,Tb_ProjectKosten[],MATCH(Tb_ProjectKosten[[#Headers],[Forfait_Percentage]],Tb_ProjectKosten[#Headers],0),0),AND(F433="Arbeidskosten",G433&lt;&gt;""),IFERROR(X433*VLOOKUP(G433,Tb_KostenTypen[],3,0)*VLOOKUP(F433,Tb_ProjectKosten[],MATCH(Tb_ProjectKosten[[#Headers],[Forfait_Percentage]],Tb_ProjectKosten[#Headers],0),0),""),X433 &lt;=0,0),"")</f>
        <v/>
      </c>
      <c r="AB433" s="314" t="str">
        <f t="shared" ca="1" si="27"/>
        <v/>
      </c>
      <c r="AC433" s="322"/>
      <c r="AD433" s="315"/>
      <c r="AE433" s="32" t="str" cm="1">
        <f t="array" ref="AE433">IFERROR(IF(INDEX(SubsidieTabel!$AD$1:$AG$12,MATCH($F433,SubsidieTabel!$AD$1:$AD$12,0),IFERROR(MATCH(Methode_Keuze,SubsidieTabel!$AD$1:$AG$1,0),2))&lt;&gt;1=TRUE,"ja",""),"")</f>
        <v/>
      </c>
    </row>
    <row r="434" spans="1:31" x14ac:dyDescent="0.25">
      <c r="A434" s="316"/>
      <c r="B434" s="317" t="str">
        <f>IF(A434&lt;&gt;"",_xlfn.MAXIFS($B$1:B433,$A$1:A433,A434)+1,"")</f>
        <v/>
      </c>
      <c r="C434" s="296"/>
      <c r="D434" s="296"/>
      <c r="E434" s="296"/>
      <c r="F434" s="296"/>
      <c r="G434" s="326"/>
      <c r="H434" s="324"/>
      <c r="I434" s="325"/>
      <c r="J434" s="325"/>
      <c r="K434" s="318"/>
      <c r="L434" s="318"/>
      <c r="M434" s="319" t="str">
        <f>IFERROR(VLOOKUP(H434,Lijsten!$H$1:$I$100,2,0),"")</f>
        <v/>
      </c>
      <c r="N434" s="319" t="str">
        <f ca="1">IFERROR(IF(VLOOKUP(F434,Kostentypen!$A$3:$E$21,3,0)=0,"",IF(OR(F434="Arbeidskosten",F434="Vergoeding"),VLOOKUP(G434,Tb_KostenTypen[],2,0),VLOOKUP(F434,Kostentypen!$A$3:$E$20,3,0))),"")</f>
        <v/>
      </c>
      <c r="O434" s="320" t="str" cm="1">
        <f t="array" ref="O434">_xlfn.IFNA(IF(INDEX(Tb_KostenOptiesDB[],MATCH($F434,Tb_KostenOptiesDB[KostenOptie],0),IFERROR(MATCH(Methode_Keuze,Tb_KostenOptiesDB[#Headers],0),2))=1,_xlfn.SWITCH($N434,"Uurtarief",IF(OR(AND(RIGHT($F434,3)="IKS",VLOOKUP($M434,DB_Loonkosten,2,0)="Ja"),AND(RIGHT($F434,3)&lt;&gt;"IKS",VLOOKUP($M434,DB_Loonkosten,2,0)="Nee")),IFERROR(VLOOKUP($M434,DB_Loonkosten,24,0),""),0),"Vast tarief",IF(LEFT(F434,8)="Bijdrage",VLOOKUP($F434,Tb_KostenTypen[],MATCH(Lijsten!$P$1,Tb_KostenTypen[#Headers],0),0),VLOOKUP($G434,Lijsten!L:P,MATCH(Lijsten!$P$1,Kop_Tarief_Vast,0),0))),""),"")</f>
        <v/>
      </c>
      <c r="P434" s="320" t="str" cm="1">
        <f t="array" ref="P434">_xlfn.IFNA(IF(INDEX(Tb_KostenOptiesDB[],MATCH($F434,Tb_KostenOptiesDB[KostenOptie],0),IFERROR(MATCH(Methode_Keuze,Tb_KostenOptiesDB[#Headers],0),2))=1,_xlfn.SWITCH($N434,"Uurtarief",IF(OR(AND(RIGHT($F434,3)="IKS",VLOOKUP($M434,DB_Loonkosten,2,0)="Ja"),AND(RIGHT($F434,3)&lt;&gt;"IKS",VLOOKUP($M434,DB_Loonkosten,2,0)="Nee")),IFERROR(VLOOKUP($M434,DB_Loonkosten,25,0),""),0),"Vast tarief",IF(LEFT(F434,8)="Bijdrage",VLOOKUP($F434,Tb_KostenTypen[],MATCH(Lijsten!$P$1,Tb_KostenTypen[#Headers],0),0),VLOOKUP($G434,Lijsten!L:P,MATCH(Lijsten!$P$1,Kop_Tarief_Vast,0),0))),""),"")</f>
        <v/>
      </c>
      <c r="Q434" s="359"/>
      <c r="R434" s="359"/>
      <c r="S434" s="321"/>
      <c r="T434" s="321"/>
      <c r="U434" s="373" t="str">
        <f t="shared" si="24"/>
        <v/>
      </c>
      <c r="V434" s="314" t="str">
        <f t="shared" si="25"/>
        <v/>
      </c>
      <c r="W434" s="314" t="str" cm="1">
        <f t="array" aca="1" ref="W434" ca="1">IFERROR(IF(AE434&lt;&gt;"ja",_xlfn.IFNA(_xlfn.IFS(AND(O434&lt;&gt;"",F434&lt;&gt;"",RIGHT($N434,6)="tarief",F434="Vergoeding"),SUM(O434)*FLOOR(SUM(Q434),0.0001),AND(O434&lt;&gt;"",F434&lt;&gt;"",RIGHT($N434,6)="tarief"),SUM(O434)*FLOOR(SUM(Q434),0.01),S434&gt;0,IF(F434&lt;&gt;"",FLOOR(SUM(S434),0.01),"")),""),""),"")</f>
        <v/>
      </c>
      <c r="X434" s="314" t="str" cm="1">
        <f t="array" aca="1" ref="X434" ca="1">IFERROR(IF(AE434&lt;&gt;"ja",_xlfn.IFNA(_xlfn.IFS(AND(P434&lt;&gt;"",R434&lt;&gt;"",RIGHT($N434,6)="tarief",F434="Vergoeding"),SUM(P434)*FLOOR(SUM(R434),0.0001),AND(P434&lt;&gt;"",R434&lt;&gt;"",RIGHT($N434,6)="tarief"),P434*FLOOR(R434,0.01),T434&gt;0,FLOOR(SUM(T434),0.01)),""),""),"")</f>
        <v/>
      </c>
      <c r="Y434" s="314" t="str">
        <f t="shared" ca="1" si="26"/>
        <v/>
      </c>
      <c r="Z434" s="314" t="str" cm="1">
        <f t="array" aca="1" ref="Z434" ca="1">IFERROR(_xlfn.IFS(OR(F434="",LEFT(Methode_Keuze,4)="Geen",Methode_Keuze=""),"",AND(W434&lt;&gt;"",F434&lt;&gt;"Arbeidskosten"),W434*VLOOKUP(F434,Tb_ProjectKosten[],MATCH(Tb_ProjectKosten[[#Headers],[Forfait_Percentage]],Tb_ProjectKosten[#Headers],0),0),AND(F434="Arbeidskosten",G434&lt;&gt;""),IFERROR(W434*VLOOKUP(G434,Tb_KostenTypen[],3,0)*VLOOKUP(F434,Tb_ProjectKosten[],MATCH(Tb_ProjectKosten[[#Headers],[Forfait_Percentage]],Tb_ProjectKosten[#Headers],0),0),""),W434 &lt;=0,0),"")</f>
        <v/>
      </c>
      <c r="AA434" s="314" t="str" cm="1">
        <f t="array" aca="1" ref="AA434" ca="1">IFERROR(_xlfn.IFS(OR(F434="",LEFT(Methode_Keuze,4)="Geen",Methode_Keuze=""),"",AND(X434&lt;&gt;"",F434&lt;&gt;"Arbeidskosten"),X434*VLOOKUP(F434,Tb_ProjectKosten[],MATCH(Tb_ProjectKosten[[#Headers],[Forfait_Percentage]],Tb_ProjectKosten[#Headers],0),0),AND(F434="Arbeidskosten",G434&lt;&gt;""),IFERROR(X434*VLOOKUP(G434,Tb_KostenTypen[],3,0)*VLOOKUP(F434,Tb_ProjectKosten[],MATCH(Tb_ProjectKosten[[#Headers],[Forfait_Percentage]],Tb_ProjectKosten[#Headers],0),0),""),X434 &lt;=0,0),"")</f>
        <v/>
      </c>
      <c r="AB434" s="314" t="str">
        <f t="shared" ca="1" si="27"/>
        <v/>
      </c>
      <c r="AC434" s="322"/>
      <c r="AD434" s="315"/>
      <c r="AE434" s="32" t="str" cm="1">
        <f t="array" ref="AE434">IFERROR(IF(INDEX(SubsidieTabel!$AD$1:$AG$12,MATCH($F434,SubsidieTabel!$AD$1:$AD$12,0),IFERROR(MATCH(Methode_Keuze,SubsidieTabel!$AD$1:$AG$1,0),2))&lt;&gt;1=TRUE,"ja",""),"")</f>
        <v/>
      </c>
    </row>
    <row r="435" spans="1:31" x14ac:dyDescent="0.25">
      <c r="A435" s="316"/>
      <c r="B435" s="317" t="str">
        <f>IF(A435&lt;&gt;"",_xlfn.MAXIFS($B$1:B434,$A$1:A434,A435)+1,"")</f>
        <v/>
      </c>
      <c r="C435" s="296"/>
      <c r="D435" s="296"/>
      <c r="E435" s="296"/>
      <c r="F435" s="296"/>
      <c r="G435" s="326"/>
      <c r="H435" s="324"/>
      <c r="I435" s="325"/>
      <c r="J435" s="325"/>
      <c r="K435" s="318"/>
      <c r="L435" s="318"/>
      <c r="M435" s="319" t="str">
        <f>IFERROR(VLOOKUP(H435,Lijsten!$H$1:$I$100,2,0),"")</f>
        <v/>
      </c>
      <c r="N435" s="319" t="str">
        <f ca="1">IFERROR(IF(VLOOKUP(F435,Kostentypen!$A$3:$E$21,3,0)=0,"",IF(OR(F435="Arbeidskosten",F435="Vergoeding"),VLOOKUP(G435,Tb_KostenTypen[],2,0),VLOOKUP(F435,Kostentypen!$A$3:$E$20,3,0))),"")</f>
        <v/>
      </c>
      <c r="O435" s="320" t="str" cm="1">
        <f t="array" ref="O435">_xlfn.IFNA(IF(INDEX(Tb_KostenOptiesDB[],MATCH($F435,Tb_KostenOptiesDB[KostenOptie],0),IFERROR(MATCH(Methode_Keuze,Tb_KostenOptiesDB[#Headers],0),2))=1,_xlfn.SWITCH($N435,"Uurtarief",IF(OR(AND(RIGHT($F435,3)="IKS",VLOOKUP($M435,DB_Loonkosten,2,0)="Ja"),AND(RIGHT($F435,3)&lt;&gt;"IKS",VLOOKUP($M435,DB_Loonkosten,2,0)="Nee")),IFERROR(VLOOKUP($M435,DB_Loonkosten,24,0),""),0),"Vast tarief",IF(LEFT(F435,8)="Bijdrage",VLOOKUP($F435,Tb_KostenTypen[],MATCH(Lijsten!$P$1,Tb_KostenTypen[#Headers],0),0),VLOOKUP($G435,Lijsten!L:P,MATCH(Lijsten!$P$1,Kop_Tarief_Vast,0),0))),""),"")</f>
        <v/>
      </c>
      <c r="P435" s="320" t="str" cm="1">
        <f t="array" ref="P435">_xlfn.IFNA(IF(INDEX(Tb_KostenOptiesDB[],MATCH($F435,Tb_KostenOptiesDB[KostenOptie],0),IFERROR(MATCH(Methode_Keuze,Tb_KostenOptiesDB[#Headers],0),2))=1,_xlfn.SWITCH($N435,"Uurtarief",IF(OR(AND(RIGHT($F435,3)="IKS",VLOOKUP($M435,DB_Loonkosten,2,0)="Ja"),AND(RIGHT($F435,3)&lt;&gt;"IKS",VLOOKUP($M435,DB_Loonkosten,2,0)="Nee")),IFERROR(VLOOKUP($M435,DB_Loonkosten,25,0),""),0),"Vast tarief",IF(LEFT(F435,8)="Bijdrage",VLOOKUP($F435,Tb_KostenTypen[],MATCH(Lijsten!$P$1,Tb_KostenTypen[#Headers],0),0),VLOOKUP($G435,Lijsten!L:P,MATCH(Lijsten!$P$1,Kop_Tarief_Vast,0),0))),""),"")</f>
        <v/>
      </c>
      <c r="Q435" s="359"/>
      <c r="R435" s="359"/>
      <c r="S435" s="321"/>
      <c r="T435" s="321"/>
      <c r="U435" s="373" t="str">
        <f t="shared" si="24"/>
        <v/>
      </c>
      <c r="V435" s="314" t="str">
        <f t="shared" si="25"/>
        <v/>
      </c>
      <c r="W435" s="314" t="str" cm="1">
        <f t="array" aca="1" ref="W435" ca="1">IFERROR(IF(AE435&lt;&gt;"ja",_xlfn.IFNA(_xlfn.IFS(AND(O435&lt;&gt;"",F435&lt;&gt;"",RIGHT($N435,6)="tarief",F435="Vergoeding"),SUM(O435)*FLOOR(SUM(Q435),0.0001),AND(O435&lt;&gt;"",F435&lt;&gt;"",RIGHT($N435,6)="tarief"),SUM(O435)*FLOOR(SUM(Q435),0.01),S435&gt;0,IF(F435&lt;&gt;"",FLOOR(SUM(S435),0.01),"")),""),""),"")</f>
        <v/>
      </c>
      <c r="X435" s="314" t="str" cm="1">
        <f t="array" aca="1" ref="X435" ca="1">IFERROR(IF(AE435&lt;&gt;"ja",_xlfn.IFNA(_xlfn.IFS(AND(P435&lt;&gt;"",R435&lt;&gt;"",RIGHT($N435,6)="tarief",F435="Vergoeding"),SUM(P435)*FLOOR(SUM(R435),0.0001),AND(P435&lt;&gt;"",R435&lt;&gt;"",RIGHT($N435,6)="tarief"),P435*FLOOR(R435,0.01),T435&gt;0,FLOOR(SUM(T435),0.01)),""),""),"")</f>
        <v/>
      </c>
      <c r="Y435" s="314" t="str">
        <f t="shared" ca="1" si="26"/>
        <v/>
      </c>
      <c r="Z435" s="314" t="str" cm="1">
        <f t="array" aca="1" ref="Z435" ca="1">IFERROR(_xlfn.IFS(OR(F435="",LEFT(Methode_Keuze,4)="Geen",Methode_Keuze=""),"",AND(W435&lt;&gt;"",F435&lt;&gt;"Arbeidskosten"),W435*VLOOKUP(F435,Tb_ProjectKosten[],MATCH(Tb_ProjectKosten[[#Headers],[Forfait_Percentage]],Tb_ProjectKosten[#Headers],0),0),AND(F435="Arbeidskosten",G435&lt;&gt;""),IFERROR(W435*VLOOKUP(G435,Tb_KostenTypen[],3,0)*VLOOKUP(F435,Tb_ProjectKosten[],MATCH(Tb_ProjectKosten[[#Headers],[Forfait_Percentage]],Tb_ProjectKosten[#Headers],0),0),""),W435 &lt;=0,0),"")</f>
        <v/>
      </c>
      <c r="AA435" s="314" t="str" cm="1">
        <f t="array" aca="1" ref="AA435" ca="1">IFERROR(_xlfn.IFS(OR(F435="",LEFT(Methode_Keuze,4)="Geen",Methode_Keuze=""),"",AND(X435&lt;&gt;"",F435&lt;&gt;"Arbeidskosten"),X435*VLOOKUP(F435,Tb_ProjectKosten[],MATCH(Tb_ProjectKosten[[#Headers],[Forfait_Percentage]],Tb_ProjectKosten[#Headers],0),0),AND(F435="Arbeidskosten",G435&lt;&gt;""),IFERROR(X435*VLOOKUP(G435,Tb_KostenTypen[],3,0)*VLOOKUP(F435,Tb_ProjectKosten[],MATCH(Tb_ProjectKosten[[#Headers],[Forfait_Percentage]],Tb_ProjectKosten[#Headers],0),0),""),X435 &lt;=0,0),"")</f>
        <v/>
      </c>
      <c r="AB435" s="314" t="str">
        <f t="shared" ca="1" si="27"/>
        <v/>
      </c>
      <c r="AC435" s="322"/>
      <c r="AD435" s="315"/>
      <c r="AE435" s="32" t="str" cm="1">
        <f t="array" ref="AE435">IFERROR(IF(INDEX(SubsidieTabel!$AD$1:$AG$12,MATCH($F435,SubsidieTabel!$AD$1:$AD$12,0),IFERROR(MATCH(Methode_Keuze,SubsidieTabel!$AD$1:$AG$1,0),2))&lt;&gt;1=TRUE,"ja",""),"")</f>
        <v/>
      </c>
    </row>
    <row r="436" spans="1:31" x14ac:dyDescent="0.25">
      <c r="A436" s="316"/>
      <c r="B436" s="317" t="str">
        <f>IF(A436&lt;&gt;"",_xlfn.MAXIFS($B$1:B435,$A$1:A435,A436)+1,"")</f>
        <v/>
      </c>
      <c r="C436" s="296"/>
      <c r="D436" s="296"/>
      <c r="E436" s="296"/>
      <c r="F436" s="296"/>
      <c r="G436" s="326"/>
      <c r="H436" s="324"/>
      <c r="I436" s="325"/>
      <c r="J436" s="325"/>
      <c r="K436" s="318"/>
      <c r="L436" s="318"/>
      <c r="M436" s="319" t="str">
        <f>IFERROR(VLOOKUP(H436,Lijsten!$H$1:$I$100,2,0),"")</f>
        <v/>
      </c>
      <c r="N436" s="319" t="str">
        <f ca="1">IFERROR(IF(VLOOKUP(F436,Kostentypen!$A$3:$E$21,3,0)=0,"",IF(OR(F436="Arbeidskosten",F436="Vergoeding"),VLOOKUP(G436,Tb_KostenTypen[],2,0),VLOOKUP(F436,Kostentypen!$A$3:$E$20,3,0))),"")</f>
        <v/>
      </c>
      <c r="O436" s="320" t="str" cm="1">
        <f t="array" ref="O436">_xlfn.IFNA(IF(INDEX(Tb_KostenOptiesDB[],MATCH($F436,Tb_KostenOptiesDB[KostenOptie],0),IFERROR(MATCH(Methode_Keuze,Tb_KostenOptiesDB[#Headers],0),2))=1,_xlfn.SWITCH($N436,"Uurtarief",IF(OR(AND(RIGHT($F436,3)="IKS",VLOOKUP($M436,DB_Loonkosten,2,0)="Ja"),AND(RIGHT($F436,3)&lt;&gt;"IKS",VLOOKUP($M436,DB_Loonkosten,2,0)="Nee")),IFERROR(VLOOKUP($M436,DB_Loonkosten,24,0),""),0),"Vast tarief",IF(LEFT(F436,8)="Bijdrage",VLOOKUP($F436,Tb_KostenTypen[],MATCH(Lijsten!$P$1,Tb_KostenTypen[#Headers],0),0),VLOOKUP($G436,Lijsten!L:P,MATCH(Lijsten!$P$1,Kop_Tarief_Vast,0),0))),""),"")</f>
        <v/>
      </c>
      <c r="P436" s="320" t="str" cm="1">
        <f t="array" ref="P436">_xlfn.IFNA(IF(INDEX(Tb_KostenOptiesDB[],MATCH($F436,Tb_KostenOptiesDB[KostenOptie],0),IFERROR(MATCH(Methode_Keuze,Tb_KostenOptiesDB[#Headers],0),2))=1,_xlfn.SWITCH($N436,"Uurtarief",IF(OR(AND(RIGHT($F436,3)="IKS",VLOOKUP($M436,DB_Loonkosten,2,0)="Ja"),AND(RIGHT($F436,3)&lt;&gt;"IKS",VLOOKUP($M436,DB_Loonkosten,2,0)="Nee")),IFERROR(VLOOKUP($M436,DB_Loonkosten,25,0),""),0),"Vast tarief",IF(LEFT(F436,8)="Bijdrage",VLOOKUP($F436,Tb_KostenTypen[],MATCH(Lijsten!$P$1,Tb_KostenTypen[#Headers],0),0),VLOOKUP($G436,Lijsten!L:P,MATCH(Lijsten!$P$1,Kop_Tarief_Vast,0),0))),""),"")</f>
        <v/>
      </c>
      <c r="Q436" s="359"/>
      <c r="R436" s="359"/>
      <c r="S436" s="321"/>
      <c r="T436" s="321"/>
      <c r="U436" s="373" t="str">
        <f t="shared" si="24"/>
        <v/>
      </c>
      <c r="V436" s="314" t="str">
        <f t="shared" si="25"/>
        <v/>
      </c>
      <c r="W436" s="314" t="str" cm="1">
        <f t="array" aca="1" ref="W436" ca="1">IFERROR(IF(AE436&lt;&gt;"ja",_xlfn.IFNA(_xlfn.IFS(AND(O436&lt;&gt;"",F436&lt;&gt;"",RIGHT($N436,6)="tarief",F436="Vergoeding"),SUM(O436)*FLOOR(SUM(Q436),0.0001),AND(O436&lt;&gt;"",F436&lt;&gt;"",RIGHT($N436,6)="tarief"),SUM(O436)*FLOOR(SUM(Q436),0.01),S436&gt;0,IF(F436&lt;&gt;"",FLOOR(SUM(S436),0.01),"")),""),""),"")</f>
        <v/>
      </c>
      <c r="X436" s="314" t="str" cm="1">
        <f t="array" aca="1" ref="X436" ca="1">IFERROR(IF(AE436&lt;&gt;"ja",_xlfn.IFNA(_xlfn.IFS(AND(P436&lt;&gt;"",R436&lt;&gt;"",RIGHT($N436,6)="tarief",F436="Vergoeding"),SUM(P436)*FLOOR(SUM(R436),0.0001),AND(P436&lt;&gt;"",R436&lt;&gt;"",RIGHT($N436,6)="tarief"),P436*FLOOR(R436,0.01),T436&gt;0,FLOOR(SUM(T436),0.01)),""),""),"")</f>
        <v/>
      </c>
      <c r="Y436" s="314" t="str">
        <f t="shared" ca="1" si="26"/>
        <v/>
      </c>
      <c r="Z436" s="314" t="str" cm="1">
        <f t="array" aca="1" ref="Z436" ca="1">IFERROR(_xlfn.IFS(OR(F436="",LEFT(Methode_Keuze,4)="Geen",Methode_Keuze=""),"",AND(W436&lt;&gt;"",F436&lt;&gt;"Arbeidskosten"),W436*VLOOKUP(F436,Tb_ProjectKosten[],MATCH(Tb_ProjectKosten[[#Headers],[Forfait_Percentage]],Tb_ProjectKosten[#Headers],0),0),AND(F436="Arbeidskosten",G436&lt;&gt;""),IFERROR(W436*VLOOKUP(G436,Tb_KostenTypen[],3,0)*VLOOKUP(F436,Tb_ProjectKosten[],MATCH(Tb_ProjectKosten[[#Headers],[Forfait_Percentage]],Tb_ProjectKosten[#Headers],0),0),""),W436 &lt;=0,0),"")</f>
        <v/>
      </c>
      <c r="AA436" s="314" t="str" cm="1">
        <f t="array" aca="1" ref="AA436" ca="1">IFERROR(_xlfn.IFS(OR(F436="",LEFT(Methode_Keuze,4)="Geen",Methode_Keuze=""),"",AND(X436&lt;&gt;"",F436&lt;&gt;"Arbeidskosten"),X436*VLOOKUP(F436,Tb_ProjectKosten[],MATCH(Tb_ProjectKosten[[#Headers],[Forfait_Percentage]],Tb_ProjectKosten[#Headers],0),0),AND(F436="Arbeidskosten",G436&lt;&gt;""),IFERROR(X436*VLOOKUP(G436,Tb_KostenTypen[],3,0)*VLOOKUP(F436,Tb_ProjectKosten[],MATCH(Tb_ProjectKosten[[#Headers],[Forfait_Percentage]],Tb_ProjectKosten[#Headers],0),0),""),X436 &lt;=0,0),"")</f>
        <v/>
      </c>
      <c r="AB436" s="314" t="str">
        <f t="shared" ca="1" si="27"/>
        <v/>
      </c>
      <c r="AC436" s="322"/>
      <c r="AD436" s="315"/>
      <c r="AE436" s="32" t="str" cm="1">
        <f t="array" ref="AE436">IFERROR(IF(INDEX(SubsidieTabel!$AD$1:$AG$12,MATCH($F436,SubsidieTabel!$AD$1:$AD$12,0),IFERROR(MATCH(Methode_Keuze,SubsidieTabel!$AD$1:$AG$1,0),2))&lt;&gt;1=TRUE,"ja",""),"")</f>
        <v/>
      </c>
    </row>
    <row r="437" spans="1:31" x14ac:dyDescent="0.25">
      <c r="A437" s="316"/>
      <c r="B437" s="317" t="str">
        <f>IF(A437&lt;&gt;"",_xlfn.MAXIFS($B$1:B436,$A$1:A436,A437)+1,"")</f>
        <v/>
      </c>
      <c r="C437" s="296"/>
      <c r="D437" s="296"/>
      <c r="E437" s="296"/>
      <c r="F437" s="296"/>
      <c r="G437" s="326"/>
      <c r="H437" s="324"/>
      <c r="I437" s="325"/>
      <c r="J437" s="325"/>
      <c r="K437" s="318"/>
      <c r="L437" s="318"/>
      <c r="M437" s="319" t="str">
        <f>IFERROR(VLOOKUP(H437,Lijsten!$H$1:$I$100,2,0),"")</f>
        <v/>
      </c>
      <c r="N437" s="319" t="str">
        <f ca="1">IFERROR(IF(VLOOKUP(F437,Kostentypen!$A$3:$E$21,3,0)=0,"",IF(OR(F437="Arbeidskosten",F437="Vergoeding"),VLOOKUP(G437,Tb_KostenTypen[],2,0),VLOOKUP(F437,Kostentypen!$A$3:$E$20,3,0))),"")</f>
        <v/>
      </c>
      <c r="O437" s="320" t="str" cm="1">
        <f t="array" ref="O437">_xlfn.IFNA(IF(INDEX(Tb_KostenOptiesDB[],MATCH($F437,Tb_KostenOptiesDB[KostenOptie],0),IFERROR(MATCH(Methode_Keuze,Tb_KostenOptiesDB[#Headers],0),2))=1,_xlfn.SWITCH($N437,"Uurtarief",IF(OR(AND(RIGHT($F437,3)="IKS",VLOOKUP($M437,DB_Loonkosten,2,0)="Ja"),AND(RIGHT($F437,3)&lt;&gt;"IKS",VLOOKUP($M437,DB_Loonkosten,2,0)="Nee")),IFERROR(VLOOKUP($M437,DB_Loonkosten,24,0),""),0),"Vast tarief",IF(LEFT(F437,8)="Bijdrage",VLOOKUP($F437,Tb_KostenTypen[],MATCH(Lijsten!$P$1,Tb_KostenTypen[#Headers],0),0),VLOOKUP($G437,Lijsten!L:P,MATCH(Lijsten!$P$1,Kop_Tarief_Vast,0),0))),""),"")</f>
        <v/>
      </c>
      <c r="P437" s="320" t="str" cm="1">
        <f t="array" ref="P437">_xlfn.IFNA(IF(INDEX(Tb_KostenOptiesDB[],MATCH($F437,Tb_KostenOptiesDB[KostenOptie],0),IFERROR(MATCH(Methode_Keuze,Tb_KostenOptiesDB[#Headers],0),2))=1,_xlfn.SWITCH($N437,"Uurtarief",IF(OR(AND(RIGHT($F437,3)="IKS",VLOOKUP($M437,DB_Loonkosten,2,0)="Ja"),AND(RIGHT($F437,3)&lt;&gt;"IKS",VLOOKUP($M437,DB_Loonkosten,2,0)="Nee")),IFERROR(VLOOKUP($M437,DB_Loonkosten,25,0),""),0),"Vast tarief",IF(LEFT(F437,8)="Bijdrage",VLOOKUP($F437,Tb_KostenTypen[],MATCH(Lijsten!$P$1,Tb_KostenTypen[#Headers],0),0),VLOOKUP($G437,Lijsten!L:P,MATCH(Lijsten!$P$1,Kop_Tarief_Vast,0),0))),""),"")</f>
        <v/>
      </c>
      <c r="Q437" s="359"/>
      <c r="R437" s="359"/>
      <c r="S437" s="321"/>
      <c r="T437" s="321"/>
      <c r="U437" s="373" t="str">
        <f t="shared" si="24"/>
        <v/>
      </c>
      <c r="V437" s="314" t="str">
        <f t="shared" si="25"/>
        <v/>
      </c>
      <c r="W437" s="314" t="str" cm="1">
        <f t="array" aca="1" ref="W437" ca="1">IFERROR(IF(AE437&lt;&gt;"ja",_xlfn.IFNA(_xlfn.IFS(AND(O437&lt;&gt;"",F437&lt;&gt;"",RIGHT($N437,6)="tarief",F437="Vergoeding"),SUM(O437)*FLOOR(SUM(Q437),0.0001),AND(O437&lt;&gt;"",F437&lt;&gt;"",RIGHT($N437,6)="tarief"),SUM(O437)*FLOOR(SUM(Q437),0.01),S437&gt;0,IF(F437&lt;&gt;"",FLOOR(SUM(S437),0.01),"")),""),""),"")</f>
        <v/>
      </c>
      <c r="X437" s="314" t="str" cm="1">
        <f t="array" aca="1" ref="X437" ca="1">IFERROR(IF(AE437&lt;&gt;"ja",_xlfn.IFNA(_xlfn.IFS(AND(P437&lt;&gt;"",R437&lt;&gt;"",RIGHT($N437,6)="tarief",F437="Vergoeding"),SUM(P437)*FLOOR(SUM(R437),0.0001),AND(P437&lt;&gt;"",R437&lt;&gt;"",RIGHT($N437,6)="tarief"),P437*FLOOR(R437,0.01),T437&gt;0,FLOOR(SUM(T437),0.01)),""),""),"")</f>
        <v/>
      </c>
      <c r="Y437" s="314" t="str">
        <f t="shared" ca="1" si="26"/>
        <v/>
      </c>
      <c r="Z437" s="314" t="str" cm="1">
        <f t="array" aca="1" ref="Z437" ca="1">IFERROR(_xlfn.IFS(OR(F437="",LEFT(Methode_Keuze,4)="Geen",Methode_Keuze=""),"",AND(W437&lt;&gt;"",F437&lt;&gt;"Arbeidskosten"),W437*VLOOKUP(F437,Tb_ProjectKosten[],MATCH(Tb_ProjectKosten[[#Headers],[Forfait_Percentage]],Tb_ProjectKosten[#Headers],0),0),AND(F437="Arbeidskosten",G437&lt;&gt;""),IFERROR(W437*VLOOKUP(G437,Tb_KostenTypen[],3,0)*VLOOKUP(F437,Tb_ProjectKosten[],MATCH(Tb_ProjectKosten[[#Headers],[Forfait_Percentage]],Tb_ProjectKosten[#Headers],0),0),""),W437 &lt;=0,0),"")</f>
        <v/>
      </c>
      <c r="AA437" s="314" t="str" cm="1">
        <f t="array" aca="1" ref="AA437" ca="1">IFERROR(_xlfn.IFS(OR(F437="",LEFT(Methode_Keuze,4)="Geen",Methode_Keuze=""),"",AND(X437&lt;&gt;"",F437&lt;&gt;"Arbeidskosten"),X437*VLOOKUP(F437,Tb_ProjectKosten[],MATCH(Tb_ProjectKosten[[#Headers],[Forfait_Percentage]],Tb_ProjectKosten[#Headers],0),0),AND(F437="Arbeidskosten",G437&lt;&gt;""),IFERROR(X437*VLOOKUP(G437,Tb_KostenTypen[],3,0)*VLOOKUP(F437,Tb_ProjectKosten[],MATCH(Tb_ProjectKosten[[#Headers],[Forfait_Percentage]],Tb_ProjectKosten[#Headers],0),0),""),X437 &lt;=0,0),"")</f>
        <v/>
      </c>
      <c r="AB437" s="314" t="str">
        <f t="shared" ca="1" si="27"/>
        <v/>
      </c>
      <c r="AC437" s="322"/>
      <c r="AD437" s="315"/>
      <c r="AE437" s="32" t="str" cm="1">
        <f t="array" ref="AE437">IFERROR(IF(INDEX(SubsidieTabel!$AD$1:$AG$12,MATCH($F437,SubsidieTabel!$AD$1:$AD$12,0),IFERROR(MATCH(Methode_Keuze,SubsidieTabel!$AD$1:$AG$1,0),2))&lt;&gt;1=TRUE,"ja",""),"")</f>
        <v/>
      </c>
    </row>
    <row r="438" spans="1:31" x14ac:dyDescent="0.25">
      <c r="A438" s="316"/>
      <c r="B438" s="317" t="str">
        <f>IF(A438&lt;&gt;"",_xlfn.MAXIFS($B$1:B437,$A$1:A437,A438)+1,"")</f>
        <v/>
      </c>
      <c r="C438" s="296"/>
      <c r="D438" s="296"/>
      <c r="E438" s="296"/>
      <c r="F438" s="296"/>
      <c r="G438" s="326"/>
      <c r="H438" s="324"/>
      <c r="I438" s="325"/>
      <c r="J438" s="325"/>
      <c r="K438" s="318"/>
      <c r="L438" s="318"/>
      <c r="M438" s="319" t="str">
        <f>IFERROR(VLOOKUP(H438,Lijsten!$H$1:$I$100,2,0),"")</f>
        <v/>
      </c>
      <c r="N438" s="319" t="str">
        <f ca="1">IFERROR(IF(VLOOKUP(F438,Kostentypen!$A$3:$E$21,3,0)=0,"",IF(OR(F438="Arbeidskosten",F438="Vergoeding"),VLOOKUP(G438,Tb_KostenTypen[],2,0),VLOOKUP(F438,Kostentypen!$A$3:$E$20,3,0))),"")</f>
        <v/>
      </c>
      <c r="O438" s="320" t="str" cm="1">
        <f t="array" ref="O438">_xlfn.IFNA(IF(INDEX(Tb_KostenOptiesDB[],MATCH($F438,Tb_KostenOptiesDB[KostenOptie],0),IFERROR(MATCH(Methode_Keuze,Tb_KostenOptiesDB[#Headers],0),2))=1,_xlfn.SWITCH($N438,"Uurtarief",IF(OR(AND(RIGHT($F438,3)="IKS",VLOOKUP($M438,DB_Loonkosten,2,0)="Ja"),AND(RIGHT($F438,3)&lt;&gt;"IKS",VLOOKUP($M438,DB_Loonkosten,2,0)="Nee")),IFERROR(VLOOKUP($M438,DB_Loonkosten,24,0),""),0),"Vast tarief",IF(LEFT(F438,8)="Bijdrage",VLOOKUP($F438,Tb_KostenTypen[],MATCH(Lijsten!$P$1,Tb_KostenTypen[#Headers],0),0),VLOOKUP($G438,Lijsten!L:P,MATCH(Lijsten!$P$1,Kop_Tarief_Vast,0),0))),""),"")</f>
        <v/>
      </c>
      <c r="P438" s="320" t="str" cm="1">
        <f t="array" ref="P438">_xlfn.IFNA(IF(INDEX(Tb_KostenOptiesDB[],MATCH($F438,Tb_KostenOptiesDB[KostenOptie],0),IFERROR(MATCH(Methode_Keuze,Tb_KostenOptiesDB[#Headers],0),2))=1,_xlfn.SWITCH($N438,"Uurtarief",IF(OR(AND(RIGHT($F438,3)="IKS",VLOOKUP($M438,DB_Loonkosten,2,0)="Ja"),AND(RIGHT($F438,3)&lt;&gt;"IKS",VLOOKUP($M438,DB_Loonkosten,2,0)="Nee")),IFERROR(VLOOKUP($M438,DB_Loonkosten,25,0),""),0),"Vast tarief",IF(LEFT(F438,8)="Bijdrage",VLOOKUP($F438,Tb_KostenTypen[],MATCH(Lijsten!$P$1,Tb_KostenTypen[#Headers],0),0),VLOOKUP($G438,Lijsten!L:P,MATCH(Lijsten!$P$1,Kop_Tarief_Vast,0),0))),""),"")</f>
        <v/>
      </c>
      <c r="Q438" s="359"/>
      <c r="R438" s="359"/>
      <c r="S438" s="321"/>
      <c r="T438" s="321"/>
      <c r="U438" s="373" t="str">
        <f t="shared" si="24"/>
        <v/>
      </c>
      <c r="V438" s="314" t="str">
        <f t="shared" si="25"/>
        <v/>
      </c>
      <c r="W438" s="314" t="str" cm="1">
        <f t="array" aca="1" ref="W438" ca="1">IFERROR(IF(AE438&lt;&gt;"ja",_xlfn.IFNA(_xlfn.IFS(AND(O438&lt;&gt;"",F438&lt;&gt;"",RIGHT($N438,6)="tarief",F438="Vergoeding"),SUM(O438)*FLOOR(SUM(Q438),0.0001),AND(O438&lt;&gt;"",F438&lt;&gt;"",RIGHT($N438,6)="tarief"),SUM(O438)*FLOOR(SUM(Q438),0.01),S438&gt;0,IF(F438&lt;&gt;"",FLOOR(SUM(S438),0.01),"")),""),""),"")</f>
        <v/>
      </c>
      <c r="X438" s="314" t="str" cm="1">
        <f t="array" aca="1" ref="X438" ca="1">IFERROR(IF(AE438&lt;&gt;"ja",_xlfn.IFNA(_xlfn.IFS(AND(P438&lt;&gt;"",R438&lt;&gt;"",RIGHT($N438,6)="tarief",F438="Vergoeding"),SUM(P438)*FLOOR(SUM(R438),0.0001),AND(P438&lt;&gt;"",R438&lt;&gt;"",RIGHT($N438,6)="tarief"),P438*FLOOR(R438,0.01),T438&gt;0,FLOOR(SUM(T438),0.01)),""),""),"")</f>
        <v/>
      </c>
      <c r="Y438" s="314" t="str">
        <f t="shared" ca="1" si="26"/>
        <v/>
      </c>
      <c r="Z438" s="314" t="str" cm="1">
        <f t="array" aca="1" ref="Z438" ca="1">IFERROR(_xlfn.IFS(OR(F438="",LEFT(Methode_Keuze,4)="Geen",Methode_Keuze=""),"",AND(W438&lt;&gt;"",F438&lt;&gt;"Arbeidskosten"),W438*VLOOKUP(F438,Tb_ProjectKosten[],MATCH(Tb_ProjectKosten[[#Headers],[Forfait_Percentage]],Tb_ProjectKosten[#Headers],0),0),AND(F438="Arbeidskosten",G438&lt;&gt;""),IFERROR(W438*VLOOKUP(G438,Tb_KostenTypen[],3,0)*VLOOKUP(F438,Tb_ProjectKosten[],MATCH(Tb_ProjectKosten[[#Headers],[Forfait_Percentage]],Tb_ProjectKosten[#Headers],0),0),""),W438 &lt;=0,0),"")</f>
        <v/>
      </c>
      <c r="AA438" s="314" t="str" cm="1">
        <f t="array" aca="1" ref="AA438" ca="1">IFERROR(_xlfn.IFS(OR(F438="",LEFT(Methode_Keuze,4)="Geen",Methode_Keuze=""),"",AND(X438&lt;&gt;"",F438&lt;&gt;"Arbeidskosten"),X438*VLOOKUP(F438,Tb_ProjectKosten[],MATCH(Tb_ProjectKosten[[#Headers],[Forfait_Percentage]],Tb_ProjectKosten[#Headers],0),0),AND(F438="Arbeidskosten",G438&lt;&gt;""),IFERROR(X438*VLOOKUP(G438,Tb_KostenTypen[],3,0)*VLOOKUP(F438,Tb_ProjectKosten[],MATCH(Tb_ProjectKosten[[#Headers],[Forfait_Percentage]],Tb_ProjectKosten[#Headers],0),0),""),X438 &lt;=0,0),"")</f>
        <v/>
      </c>
      <c r="AB438" s="314" t="str">
        <f t="shared" ca="1" si="27"/>
        <v/>
      </c>
      <c r="AC438" s="322"/>
      <c r="AD438" s="315"/>
      <c r="AE438" s="32" t="str" cm="1">
        <f t="array" ref="AE438">IFERROR(IF(INDEX(SubsidieTabel!$AD$1:$AG$12,MATCH($F438,SubsidieTabel!$AD$1:$AD$12,0),IFERROR(MATCH(Methode_Keuze,SubsidieTabel!$AD$1:$AG$1,0),2))&lt;&gt;1=TRUE,"ja",""),"")</f>
        <v/>
      </c>
    </row>
    <row r="439" spans="1:31" x14ac:dyDescent="0.25">
      <c r="A439" s="316"/>
      <c r="B439" s="317" t="str">
        <f>IF(A439&lt;&gt;"",_xlfn.MAXIFS($B$1:B438,$A$1:A438,A439)+1,"")</f>
        <v/>
      </c>
      <c r="C439" s="296"/>
      <c r="D439" s="296"/>
      <c r="E439" s="296"/>
      <c r="F439" s="296"/>
      <c r="G439" s="326"/>
      <c r="H439" s="324"/>
      <c r="I439" s="325"/>
      <c r="J439" s="325"/>
      <c r="K439" s="318"/>
      <c r="L439" s="318"/>
      <c r="M439" s="319" t="str">
        <f>IFERROR(VLOOKUP(H439,Lijsten!$H$1:$I$100,2,0),"")</f>
        <v/>
      </c>
      <c r="N439" s="319" t="str">
        <f ca="1">IFERROR(IF(VLOOKUP(F439,Kostentypen!$A$3:$E$21,3,0)=0,"",IF(OR(F439="Arbeidskosten",F439="Vergoeding"),VLOOKUP(G439,Tb_KostenTypen[],2,0),VLOOKUP(F439,Kostentypen!$A$3:$E$20,3,0))),"")</f>
        <v/>
      </c>
      <c r="O439" s="320" t="str" cm="1">
        <f t="array" ref="O439">_xlfn.IFNA(IF(INDEX(Tb_KostenOptiesDB[],MATCH($F439,Tb_KostenOptiesDB[KostenOptie],0),IFERROR(MATCH(Methode_Keuze,Tb_KostenOptiesDB[#Headers],0),2))=1,_xlfn.SWITCH($N439,"Uurtarief",IF(OR(AND(RIGHT($F439,3)="IKS",VLOOKUP($M439,DB_Loonkosten,2,0)="Ja"),AND(RIGHT($F439,3)&lt;&gt;"IKS",VLOOKUP($M439,DB_Loonkosten,2,0)="Nee")),IFERROR(VLOOKUP($M439,DB_Loonkosten,24,0),""),0),"Vast tarief",IF(LEFT(F439,8)="Bijdrage",VLOOKUP($F439,Tb_KostenTypen[],MATCH(Lijsten!$P$1,Tb_KostenTypen[#Headers],0),0),VLOOKUP($G439,Lijsten!L:P,MATCH(Lijsten!$P$1,Kop_Tarief_Vast,0),0))),""),"")</f>
        <v/>
      </c>
      <c r="P439" s="320" t="str" cm="1">
        <f t="array" ref="P439">_xlfn.IFNA(IF(INDEX(Tb_KostenOptiesDB[],MATCH($F439,Tb_KostenOptiesDB[KostenOptie],0),IFERROR(MATCH(Methode_Keuze,Tb_KostenOptiesDB[#Headers],0),2))=1,_xlfn.SWITCH($N439,"Uurtarief",IF(OR(AND(RIGHT($F439,3)="IKS",VLOOKUP($M439,DB_Loonkosten,2,0)="Ja"),AND(RIGHT($F439,3)&lt;&gt;"IKS",VLOOKUP($M439,DB_Loonkosten,2,0)="Nee")),IFERROR(VLOOKUP($M439,DB_Loonkosten,25,0),""),0),"Vast tarief",IF(LEFT(F439,8)="Bijdrage",VLOOKUP($F439,Tb_KostenTypen[],MATCH(Lijsten!$P$1,Tb_KostenTypen[#Headers],0),0),VLOOKUP($G439,Lijsten!L:P,MATCH(Lijsten!$P$1,Kop_Tarief_Vast,0),0))),""),"")</f>
        <v/>
      </c>
      <c r="Q439" s="359"/>
      <c r="R439" s="359"/>
      <c r="S439" s="321"/>
      <c r="T439" s="321"/>
      <c r="U439" s="373" t="str">
        <f t="shared" si="24"/>
        <v/>
      </c>
      <c r="V439" s="314" t="str">
        <f t="shared" si="25"/>
        <v/>
      </c>
      <c r="W439" s="314" t="str" cm="1">
        <f t="array" aca="1" ref="W439" ca="1">IFERROR(IF(AE439&lt;&gt;"ja",_xlfn.IFNA(_xlfn.IFS(AND(O439&lt;&gt;"",F439&lt;&gt;"",RIGHT($N439,6)="tarief",F439="Vergoeding"),SUM(O439)*FLOOR(SUM(Q439),0.0001),AND(O439&lt;&gt;"",F439&lt;&gt;"",RIGHT($N439,6)="tarief"),SUM(O439)*FLOOR(SUM(Q439),0.01),S439&gt;0,IF(F439&lt;&gt;"",FLOOR(SUM(S439),0.01),"")),""),""),"")</f>
        <v/>
      </c>
      <c r="X439" s="314" t="str" cm="1">
        <f t="array" aca="1" ref="X439" ca="1">IFERROR(IF(AE439&lt;&gt;"ja",_xlfn.IFNA(_xlfn.IFS(AND(P439&lt;&gt;"",R439&lt;&gt;"",RIGHT($N439,6)="tarief",F439="Vergoeding"),SUM(P439)*FLOOR(SUM(R439),0.0001),AND(P439&lt;&gt;"",R439&lt;&gt;"",RIGHT($N439,6)="tarief"),P439*FLOOR(R439,0.01),T439&gt;0,FLOOR(SUM(T439),0.01)),""),""),"")</f>
        <v/>
      </c>
      <c r="Y439" s="314" t="str">
        <f t="shared" ca="1" si="26"/>
        <v/>
      </c>
      <c r="Z439" s="314" t="str" cm="1">
        <f t="array" aca="1" ref="Z439" ca="1">IFERROR(_xlfn.IFS(OR(F439="",LEFT(Methode_Keuze,4)="Geen",Methode_Keuze=""),"",AND(W439&lt;&gt;"",F439&lt;&gt;"Arbeidskosten"),W439*VLOOKUP(F439,Tb_ProjectKosten[],MATCH(Tb_ProjectKosten[[#Headers],[Forfait_Percentage]],Tb_ProjectKosten[#Headers],0),0),AND(F439="Arbeidskosten",G439&lt;&gt;""),IFERROR(W439*VLOOKUP(G439,Tb_KostenTypen[],3,0)*VLOOKUP(F439,Tb_ProjectKosten[],MATCH(Tb_ProjectKosten[[#Headers],[Forfait_Percentage]],Tb_ProjectKosten[#Headers],0),0),""),W439 &lt;=0,0),"")</f>
        <v/>
      </c>
      <c r="AA439" s="314" t="str" cm="1">
        <f t="array" aca="1" ref="AA439" ca="1">IFERROR(_xlfn.IFS(OR(F439="",LEFT(Methode_Keuze,4)="Geen",Methode_Keuze=""),"",AND(X439&lt;&gt;"",F439&lt;&gt;"Arbeidskosten"),X439*VLOOKUP(F439,Tb_ProjectKosten[],MATCH(Tb_ProjectKosten[[#Headers],[Forfait_Percentage]],Tb_ProjectKosten[#Headers],0),0),AND(F439="Arbeidskosten",G439&lt;&gt;""),IFERROR(X439*VLOOKUP(G439,Tb_KostenTypen[],3,0)*VLOOKUP(F439,Tb_ProjectKosten[],MATCH(Tb_ProjectKosten[[#Headers],[Forfait_Percentage]],Tb_ProjectKosten[#Headers],0),0),""),X439 &lt;=0,0),"")</f>
        <v/>
      </c>
      <c r="AB439" s="314" t="str">
        <f t="shared" ca="1" si="27"/>
        <v/>
      </c>
      <c r="AC439" s="322"/>
      <c r="AD439" s="315"/>
      <c r="AE439" s="32" t="str" cm="1">
        <f t="array" ref="AE439">IFERROR(IF(INDEX(SubsidieTabel!$AD$1:$AG$12,MATCH($F439,SubsidieTabel!$AD$1:$AD$12,0),IFERROR(MATCH(Methode_Keuze,SubsidieTabel!$AD$1:$AG$1,0),2))&lt;&gt;1=TRUE,"ja",""),"")</f>
        <v/>
      </c>
    </row>
    <row r="440" spans="1:31" x14ac:dyDescent="0.25">
      <c r="A440" s="316"/>
      <c r="B440" s="317" t="str">
        <f>IF(A440&lt;&gt;"",_xlfn.MAXIFS($B$1:B439,$A$1:A439,A440)+1,"")</f>
        <v/>
      </c>
      <c r="C440" s="296"/>
      <c r="D440" s="296"/>
      <c r="E440" s="296"/>
      <c r="F440" s="296"/>
      <c r="G440" s="326"/>
      <c r="H440" s="324"/>
      <c r="I440" s="325"/>
      <c r="J440" s="325"/>
      <c r="K440" s="318"/>
      <c r="L440" s="318"/>
      <c r="M440" s="319" t="str">
        <f>IFERROR(VLOOKUP(H440,Lijsten!$H$1:$I$100,2,0),"")</f>
        <v/>
      </c>
      <c r="N440" s="319" t="str">
        <f ca="1">IFERROR(IF(VLOOKUP(F440,Kostentypen!$A$3:$E$21,3,0)=0,"",IF(OR(F440="Arbeidskosten",F440="Vergoeding"),VLOOKUP(G440,Tb_KostenTypen[],2,0),VLOOKUP(F440,Kostentypen!$A$3:$E$20,3,0))),"")</f>
        <v/>
      </c>
      <c r="O440" s="320" t="str" cm="1">
        <f t="array" ref="O440">_xlfn.IFNA(IF(INDEX(Tb_KostenOptiesDB[],MATCH($F440,Tb_KostenOptiesDB[KostenOptie],0),IFERROR(MATCH(Methode_Keuze,Tb_KostenOptiesDB[#Headers],0),2))=1,_xlfn.SWITCH($N440,"Uurtarief",IF(OR(AND(RIGHT($F440,3)="IKS",VLOOKUP($M440,DB_Loonkosten,2,0)="Ja"),AND(RIGHT($F440,3)&lt;&gt;"IKS",VLOOKUP($M440,DB_Loonkosten,2,0)="Nee")),IFERROR(VLOOKUP($M440,DB_Loonkosten,24,0),""),0),"Vast tarief",IF(LEFT(F440,8)="Bijdrage",VLOOKUP($F440,Tb_KostenTypen[],MATCH(Lijsten!$P$1,Tb_KostenTypen[#Headers],0),0),VLOOKUP($G440,Lijsten!L:P,MATCH(Lijsten!$P$1,Kop_Tarief_Vast,0),0))),""),"")</f>
        <v/>
      </c>
      <c r="P440" s="320" t="str" cm="1">
        <f t="array" ref="P440">_xlfn.IFNA(IF(INDEX(Tb_KostenOptiesDB[],MATCH($F440,Tb_KostenOptiesDB[KostenOptie],0),IFERROR(MATCH(Methode_Keuze,Tb_KostenOptiesDB[#Headers],0),2))=1,_xlfn.SWITCH($N440,"Uurtarief",IF(OR(AND(RIGHT($F440,3)="IKS",VLOOKUP($M440,DB_Loonkosten,2,0)="Ja"),AND(RIGHT($F440,3)&lt;&gt;"IKS",VLOOKUP($M440,DB_Loonkosten,2,0)="Nee")),IFERROR(VLOOKUP($M440,DB_Loonkosten,25,0),""),0),"Vast tarief",IF(LEFT(F440,8)="Bijdrage",VLOOKUP($F440,Tb_KostenTypen[],MATCH(Lijsten!$P$1,Tb_KostenTypen[#Headers],0),0),VLOOKUP($G440,Lijsten!L:P,MATCH(Lijsten!$P$1,Kop_Tarief_Vast,0),0))),""),"")</f>
        <v/>
      </c>
      <c r="Q440" s="359"/>
      <c r="R440" s="359"/>
      <c r="S440" s="321"/>
      <c r="T440" s="321"/>
      <c r="U440" s="373" t="str">
        <f t="shared" si="24"/>
        <v/>
      </c>
      <c r="V440" s="314" t="str">
        <f t="shared" si="25"/>
        <v/>
      </c>
      <c r="W440" s="314" t="str" cm="1">
        <f t="array" aca="1" ref="W440" ca="1">IFERROR(IF(AE440&lt;&gt;"ja",_xlfn.IFNA(_xlfn.IFS(AND(O440&lt;&gt;"",F440&lt;&gt;"",RIGHT($N440,6)="tarief",F440="Vergoeding"),SUM(O440)*FLOOR(SUM(Q440),0.0001),AND(O440&lt;&gt;"",F440&lt;&gt;"",RIGHT($N440,6)="tarief"),SUM(O440)*FLOOR(SUM(Q440),0.01),S440&gt;0,IF(F440&lt;&gt;"",FLOOR(SUM(S440),0.01),"")),""),""),"")</f>
        <v/>
      </c>
      <c r="X440" s="314" t="str" cm="1">
        <f t="array" aca="1" ref="X440" ca="1">IFERROR(IF(AE440&lt;&gt;"ja",_xlfn.IFNA(_xlfn.IFS(AND(P440&lt;&gt;"",R440&lt;&gt;"",RIGHT($N440,6)="tarief",F440="Vergoeding"),SUM(P440)*FLOOR(SUM(R440),0.0001),AND(P440&lt;&gt;"",R440&lt;&gt;"",RIGHT($N440,6)="tarief"),P440*FLOOR(R440,0.01),T440&gt;0,FLOOR(SUM(T440),0.01)),""),""),"")</f>
        <v/>
      </c>
      <c r="Y440" s="314" t="str">
        <f t="shared" ca="1" si="26"/>
        <v/>
      </c>
      <c r="Z440" s="314" t="str" cm="1">
        <f t="array" aca="1" ref="Z440" ca="1">IFERROR(_xlfn.IFS(OR(F440="",LEFT(Methode_Keuze,4)="Geen",Methode_Keuze=""),"",AND(W440&lt;&gt;"",F440&lt;&gt;"Arbeidskosten"),W440*VLOOKUP(F440,Tb_ProjectKosten[],MATCH(Tb_ProjectKosten[[#Headers],[Forfait_Percentage]],Tb_ProjectKosten[#Headers],0),0),AND(F440="Arbeidskosten",G440&lt;&gt;""),IFERROR(W440*VLOOKUP(G440,Tb_KostenTypen[],3,0)*VLOOKUP(F440,Tb_ProjectKosten[],MATCH(Tb_ProjectKosten[[#Headers],[Forfait_Percentage]],Tb_ProjectKosten[#Headers],0),0),""),W440 &lt;=0,0),"")</f>
        <v/>
      </c>
      <c r="AA440" s="314" t="str" cm="1">
        <f t="array" aca="1" ref="AA440" ca="1">IFERROR(_xlfn.IFS(OR(F440="",LEFT(Methode_Keuze,4)="Geen",Methode_Keuze=""),"",AND(X440&lt;&gt;"",F440&lt;&gt;"Arbeidskosten"),X440*VLOOKUP(F440,Tb_ProjectKosten[],MATCH(Tb_ProjectKosten[[#Headers],[Forfait_Percentage]],Tb_ProjectKosten[#Headers],0),0),AND(F440="Arbeidskosten",G440&lt;&gt;""),IFERROR(X440*VLOOKUP(G440,Tb_KostenTypen[],3,0)*VLOOKUP(F440,Tb_ProjectKosten[],MATCH(Tb_ProjectKosten[[#Headers],[Forfait_Percentage]],Tb_ProjectKosten[#Headers],0),0),""),X440 &lt;=0,0),"")</f>
        <v/>
      </c>
      <c r="AB440" s="314" t="str">
        <f t="shared" ca="1" si="27"/>
        <v/>
      </c>
      <c r="AC440" s="322"/>
      <c r="AD440" s="315"/>
      <c r="AE440" s="32" t="str" cm="1">
        <f t="array" ref="AE440">IFERROR(IF(INDEX(SubsidieTabel!$AD$1:$AG$12,MATCH($F440,SubsidieTabel!$AD$1:$AD$12,0),IFERROR(MATCH(Methode_Keuze,SubsidieTabel!$AD$1:$AG$1,0),2))&lt;&gt;1=TRUE,"ja",""),"")</f>
        <v/>
      </c>
    </row>
    <row r="441" spans="1:31" x14ac:dyDescent="0.25">
      <c r="A441" s="316"/>
      <c r="B441" s="317" t="str">
        <f>IF(A441&lt;&gt;"",_xlfn.MAXIFS($B$1:B440,$A$1:A440,A441)+1,"")</f>
        <v/>
      </c>
      <c r="C441" s="296"/>
      <c r="D441" s="296"/>
      <c r="E441" s="296"/>
      <c r="F441" s="296"/>
      <c r="G441" s="326"/>
      <c r="H441" s="324"/>
      <c r="I441" s="325"/>
      <c r="J441" s="325"/>
      <c r="K441" s="318"/>
      <c r="L441" s="318"/>
      <c r="M441" s="319" t="str">
        <f>IFERROR(VLOOKUP(H441,Lijsten!$H$1:$I$100,2,0),"")</f>
        <v/>
      </c>
      <c r="N441" s="319" t="str">
        <f ca="1">IFERROR(IF(VLOOKUP(F441,Kostentypen!$A$3:$E$21,3,0)=0,"",IF(OR(F441="Arbeidskosten",F441="Vergoeding"),VLOOKUP(G441,Tb_KostenTypen[],2,0),VLOOKUP(F441,Kostentypen!$A$3:$E$20,3,0))),"")</f>
        <v/>
      </c>
      <c r="O441" s="320" t="str" cm="1">
        <f t="array" ref="O441">_xlfn.IFNA(IF(INDEX(Tb_KostenOptiesDB[],MATCH($F441,Tb_KostenOptiesDB[KostenOptie],0),IFERROR(MATCH(Methode_Keuze,Tb_KostenOptiesDB[#Headers],0),2))=1,_xlfn.SWITCH($N441,"Uurtarief",IF(OR(AND(RIGHT($F441,3)="IKS",VLOOKUP($M441,DB_Loonkosten,2,0)="Ja"),AND(RIGHT($F441,3)&lt;&gt;"IKS",VLOOKUP($M441,DB_Loonkosten,2,0)="Nee")),IFERROR(VLOOKUP($M441,DB_Loonkosten,24,0),""),0),"Vast tarief",IF(LEFT(F441,8)="Bijdrage",VLOOKUP($F441,Tb_KostenTypen[],MATCH(Lijsten!$P$1,Tb_KostenTypen[#Headers],0),0),VLOOKUP($G441,Lijsten!L:P,MATCH(Lijsten!$P$1,Kop_Tarief_Vast,0),0))),""),"")</f>
        <v/>
      </c>
      <c r="P441" s="320" t="str" cm="1">
        <f t="array" ref="P441">_xlfn.IFNA(IF(INDEX(Tb_KostenOptiesDB[],MATCH($F441,Tb_KostenOptiesDB[KostenOptie],0),IFERROR(MATCH(Methode_Keuze,Tb_KostenOptiesDB[#Headers],0),2))=1,_xlfn.SWITCH($N441,"Uurtarief",IF(OR(AND(RIGHT($F441,3)="IKS",VLOOKUP($M441,DB_Loonkosten,2,0)="Ja"),AND(RIGHT($F441,3)&lt;&gt;"IKS",VLOOKUP($M441,DB_Loonkosten,2,0)="Nee")),IFERROR(VLOOKUP($M441,DB_Loonkosten,25,0),""),0),"Vast tarief",IF(LEFT(F441,8)="Bijdrage",VLOOKUP($F441,Tb_KostenTypen[],MATCH(Lijsten!$P$1,Tb_KostenTypen[#Headers],0),0),VLOOKUP($G441,Lijsten!L:P,MATCH(Lijsten!$P$1,Kop_Tarief_Vast,0),0))),""),"")</f>
        <v/>
      </c>
      <c r="Q441" s="359"/>
      <c r="R441" s="359"/>
      <c r="S441" s="321"/>
      <c r="T441" s="321"/>
      <c r="U441" s="373" t="str">
        <f t="shared" si="24"/>
        <v/>
      </c>
      <c r="V441" s="314" t="str">
        <f t="shared" si="25"/>
        <v/>
      </c>
      <c r="W441" s="314" t="str" cm="1">
        <f t="array" aca="1" ref="W441" ca="1">IFERROR(IF(AE441&lt;&gt;"ja",_xlfn.IFNA(_xlfn.IFS(AND(O441&lt;&gt;"",F441&lt;&gt;"",RIGHT($N441,6)="tarief",F441="Vergoeding"),SUM(O441)*FLOOR(SUM(Q441),0.0001),AND(O441&lt;&gt;"",F441&lt;&gt;"",RIGHT($N441,6)="tarief"),SUM(O441)*FLOOR(SUM(Q441),0.01),S441&gt;0,IF(F441&lt;&gt;"",FLOOR(SUM(S441),0.01),"")),""),""),"")</f>
        <v/>
      </c>
      <c r="X441" s="314" t="str" cm="1">
        <f t="array" aca="1" ref="X441" ca="1">IFERROR(IF(AE441&lt;&gt;"ja",_xlfn.IFNA(_xlfn.IFS(AND(P441&lt;&gt;"",R441&lt;&gt;"",RIGHT($N441,6)="tarief",F441="Vergoeding"),SUM(P441)*FLOOR(SUM(R441),0.0001),AND(P441&lt;&gt;"",R441&lt;&gt;"",RIGHT($N441,6)="tarief"),P441*FLOOR(R441,0.01),T441&gt;0,FLOOR(SUM(T441),0.01)),""),""),"")</f>
        <v/>
      </c>
      <c r="Y441" s="314" t="str">
        <f t="shared" ca="1" si="26"/>
        <v/>
      </c>
      <c r="Z441" s="314" t="str" cm="1">
        <f t="array" aca="1" ref="Z441" ca="1">IFERROR(_xlfn.IFS(OR(F441="",LEFT(Methode_Keuze,4)="Geen",Methode_Keuze=""),"",AND(W441&lt;&gt;"",F441&lt;&gt;"Arbeidskosten"),W441*VLOOKUP(F441,Tb_ProjectKosten[],MATCH(Tb_ProjectKosten[[#Headers],[Forfait_Percentage]],Tb_ProjectKosten[#Headers],0),0),AND(F441="Arbeidskosten",G441&lt;&gt;""),IFERROR(W441*VLOOKUP(G441,Tb_KostenTypen[],3,0)*VLOOKUP(F441,Tb_ProjectKosten[],MATCH(Tb_ProjectKosten[[#Headers],[Forfait_Percentage]],Tb_ProjectKosten[#Headers],0),0),""),W441 &lt;=0,0),"")</f>
        <v/>
      </c>
      <c r="AA441" s="314" t="str" cm="1">
        <f t="array" aca="1" ref="AA441" ca="1">IFERROR(_xlfn.IFS(OR(F441="",LEFT(Methode_Keuze,4)="Geen",Methode_Keuze=""),"",AND(X441&lt;&gt;"",F441&lt;&gt;"Arbeidskosten"),X441*VLOOKUP(F441,Tb_ProjectKosten[],MATCH(Tb_ProjectKosten[[#Headers],[Forfait_Percentage]],Tb_ProjectKosten[#Headers],0),0),AND(F441="Arbeidskosten",G441&lt;&gt;""),IFERROR(X441*VLOOKUP(G441,Tb_KostenTypen[],3,0)*VLOOKUP(F441,Tb_ProjectKosten[],MATCH(Tb_ProjectKosten[[#Headers],[Forfait_Percentage]],Tb_ProjectKosten[#Headers],0),0),""),X441 &lt;=0,0),"")</f>
        <v/>
      </c>
      <c r="AB441" s="314" t="str">
        <f t="shared" ca="1" si="27"/>
        <v/>
      </c>
      <c r="AC441" s="322"/>
      <c r="AD441" s="315"/>
      <c r="AE441" s="32" t="str" cm="1">
        <f t="array" ref="AE441">IFERROR(IF(INDEX(SubsidieTabel!$AD$1:$AG$12,MATCH($F441,SubsidieTabel!$AD$1:$AD$12,0),IFERROR(MATCH(Methode_Keuze,SubsidieTabel!$AD$1:$AG$1,0),2))&lt;&gt;1=TRUE,"ja",""),"")</f>
        <v/>
      </c>
    </row>
    <row r="442" spans="1:31" x14ac:dyDescent="0.25">
      <c r="A442" s="316"/>
      <c r="B442" s="317" t="str">
        <f>IF(A442&lt;&gt;"",_xlfn.MAXIFS($B$1:B441,$A$1:A441,A442)+1,"")</f>
        <v/>
      </c>
      <c r="C442" s="296"/>
      <c r="D442" s="296"/>
      <c r="E442" s="296"/>
      <c r="F442" s="296"/>
      <c r="G442" s="326"/>
      <c r="H442" s="324"/>
      <c r="I442" s="325"/>
      <c r="J442" s="325"/>
      <c r="K442" s="318"/>
      <c r="L442" s="318"/>
      <c r="M442" s="319" t="str">
        <f>IFERROR(VLOOKUP(H442,Lijsten!$H$1:$I$100,2,0),"")</f>
        <v/>
      </c>
      <c r="N442" s="319" t="str">
        <f ca="1">IFERROR(IF(VLOOKUP(F442,Kostentypen!$A$3:$E$21,3,0)=0,"",IF(OR(F442="Arbeidskosten",F442="Vergoeding"),VLOOKUP(G442,Tb_KostenTypen[],2,0),VLOOKUP(F442,Kostentypen!$A$3:$E$20,3,0))),"")</f>
        <v/>
      </c>
      <c r="O442" s="320" t="str" cm="1">
        <f t="array" ref="O442">_xlfn.IFNA(IF(INDEX(Tb_KostenOptiesDB[],MATCH($F442,Tb_KostenOptiesDB[KostenOptie],0),IFERROR(MATCH(Methode_Keuze,Tb_KostenOptiesDB[#Headers],0),2))=1,_xlfn.SWITCH($N442,"Uurtarief",IF(OR(AND(RIGHT($F442,3)="IKS",VLOOKUP($M442,DB_Loonkosten,2,0)="Ja"),AND(RIGHT($F442,3)&lt;&gt;"IKS",VLOOKUP($M442,DB_Loonkosten,2,0)="Nee")),IFERROR(VLOOKUP($M442,DB_Loonkosten,24,0),""),0),"Vast tarief",IF(LEFT(F442,8)="Bijdrage",VLOOKUP($F442,Tb_KostenTypen[],MATCH(Lijsten!$P$1,Tb_KostenTypen[#Headers],0),0),VLOOKUP($G442,Lijsten!L:P,MATCH(Lijsten!$P$1,Kop_Tarief_Vast,0),0))),""),"")</f>
        <v/>
      </c>
      <c r="P442" s="320" t="str" cm="1">
        <f t="array" ref="P442">_xlfn.IFNA(IF(INDEX(Tb_KostenOptiesDB[],MATCH($F442,Tb_KostenOptiesDB[KostenOptie],0),IFERROR(MATCH(Methode_Keuze,Tb_KostenOptiesDB[#Headers],0),2))=1,_xlfn.SWITCH($N442,"Uurtarief",IF(OR(AND(RIGHT($F442,3)="IKS",VLOOKUP($M442,DB_Loonkosten,2,0)="Ja"),AND(RIGHT($F442,3)&lt;&gt;"IKS",VLOOKUP($M442,DB_Loonkosten,2,0)="Nee")),IFERROR(VLOOKUP($M442,DB_Loonkosten,25,0),""),0),"Vast tarief",IF(LEFT(F442,8)="Bijdrage",VLOOKUP($F442,Tb_KostenTypen[],MATCH(Lijsten!$P$1,Tb_KostenTypen[#Headers],0),0),VLOOKUP($G442,Lijsten!L:P,MATCH(Lijsten!$P$1,Kop_Tarief_Vast,0),0))),""),"")</f>
        <v/>
      </c>
      <c r="Q442" s="359"/>
      <c r="R442" s="359"/>
      <c r="S442" s="321"/>
      <c r="T442" s="321"/>
      <c r="U442" s="373" t="str">
        <f t="shared" si="24"/>
        <v/>
      </c>
      <c r="V442" s="314" t="str">
        <f t="shared" si="25"/>
        <v/>
      </c>
      <c r="W442" s="314" t="str" cm="1">
        <f t="array" aca="1" ref="W442" ca="1">IFERROR(IF(AE442&lt;&gt;"ja",_xlfn.IFNA(_xlfn.IFS(AND(O442&lt;&gt;"",F442&lt;&gt;"",RIGHT($N442,6)="tarief",F442="Vergoeding"),SUM(O442)*FLOOR(SUM(Q442),0.0001),AND(O442&lt;&gt;"",F442&lt;&gt;"",RIGHT($N442,6)="tarief"),SUM(O442)*FLOOR(SUM(Q442),0.01),S442&gt;0,IF(F442&lt;&gt;"",FLOOR(SUM(S442),0.01),"")),""),""),"")</f>
        <v/>
      </c>
      <c r="X442" s="314" t="str" cm="1">
        <f t="array" aca="1" ref="X442" ca="1">IFERROR(IF(AE442&lt;&gt;"ja",_xlfn.IFNA(_xlfn.IFS(AND(P442&lt;&gt;"",R442&lt;&gt;"",RIGHT($N442,6)="tarief",F442="Vergoeding"),SUM(P442)*FLOOR(SUM(R442),0.0001),AND(P442&lt;&gt;"",R442&lt;&gt;"",RIGHT($N442,6)="tarief"),P442*FLOOR(R442,0.01),T442&gt;0,FLOOR(SUM(T442),0.01)),""),""),"")</f>
        <v/>
      </c>
      <c r="Y442" s="314" t="str">
        <f t="shared" ca="1" si="26"/>
        <v/>
      </c>
      <c r="Z442" s="314" t="str" cm="1">
        <f t="array" aca="1" ref="Z442" ca="1">IFERROR(_xlfn.IFS(OR(F442="",LEFT(Methode_Keuze,4)="Geen",Methode_Keuze=""),"",AND(W442&lt;&gt;"",F442&lt;&gt;"Arbeidskosten"),W442*VLOOKUP(F442,Tb_ProjectKosten[],MATCH(Tb_ProjectKosten[[#Headers],[Forfait_Percentage]],Tb_ProjectKosten[#Headers],0),0),AND(F442="Arbeidskosten",G442&lt;&gt;""),IFERROR(W442*VLOOKUP(G442,Tb_KostenTypen[],3,0)*VLOOKUP(F442,Tb_ProjectKosten[],MATCH(Tb_ProjectKosten[[#Headers],[Forfait_Percentage]],Tb_ProjectKosten[#Headers],0),0),""),W442 &lt;=0,0),"")</f>
        <v/>
      </c>
      <c r="AA442" s="314" t="str" cm="1">
        <f t="array" aca="1" ref="AA442" ca="1">IFERROR(_xlfn.IFS(OR(F442="",LEFT(Methode_Keuze,4)="Geen",Methode_Keuze=""),"",AND(X442&lt;&gt;"",F442&lt;&gt;"Arbeidskosten"),X442*VLOOKUP(F442,Tb_ProjectKosten[],MATCH(Tb_ProjectKosten[[#Headers],[Forfait_Percentage]],Tb_ProjectKosten[#Headers],0),0),AND(F442="Arbeidskosten",G442&lt;&gt;""),IFERROR(X442*VLOOKUP(G442,Tb_KostenTypen[],3,0)*VLOOKUP(F442,Tb_ProjectKosten[],MATCH(Tb_ProjectKosten[[#Headers],[Forfait_Percentage]],Tb_ProjectKosten[#Headers],0),0),""),X442 &lt;=0,0),"")</f>
        <v/>
      </c>
      <c r="AB442" s="314" t="str">
        <f t="shared" ca="1" si="27"/>
        <v/>
      </c>
      <c r="AC442" s="322"/>
      <c r="AD442" s="315"/>
      <c r="AE442" s="32" t="str" cm="1">
        <f t="array" ref="AE442">IFERROR(IF(INDEX(SubsidieTabel!$AD$1:$AG$12,MATCH($F442,SubsidieTabel!$AD$1:$AD$12,0),IFERROR(MATCH(Methode_Keuze,SubsidieTabel!$AD$1:$AG$1,0),2))&lt;&gt;1=TRUE,"ja",""),"")</f>
        <v/>
      </c>
    </row>
    <row r="443" spans="1:31" x14ac:dyDescent="0.25">
      <c r="A443" s="316"/>
      <c r="B443" s="317" t="str">
        <f>IF(A443&lt;&gt;"",_xlfn.MAXIFS($B$1:B442,$A$1:A442,A443)+1,"")</f>
        <v/>
      </c>
      <c r="C443" s="296"/>
      <c r="D443" s="296"/>
      <c r="E443" s="296"/>
      <c r="F443" s="296"/>
      <c r="G443" s="326"/>
      <c r="H443" s="324"/>
      <c r="I443" s="325"/>
      <c r="J443" s="325"/>
      <c r="K443" s="318"/>
      <c r="L443" s="318"/>
      <c r="M443" s="319" t="str">
        <f>IFERROR(VLOOKUP(H443,Lijsten!$H$1:$I$100,2,0),"")</f>
        <v/>
      </c>
      <c r="N443" s="319" t="str">
        <f ca="1">IFERROR(IF(VLOOKUP(F443,Kostentypen!$A$3:$E$21,3,0)=0,"",IF(OR(F443="Arbeidskosten",F443="Vergoeding"),VLOOKUP(G443,Tb_KostenTypen[],2,0),VLOOKUP(F443,Kostentypen!$A$3:$E$20,3,0))),"")</f>
        <v/>
      </c>
      <c r="O443" s="320" t="str" cm="1">
        <f t="array" ref="O443">_xlfn.IFNA(IF(INDEX(Tb_KostenOptiesDB[],MATCH($F443,Tb_KostenOptiesDB[KostenOptie],0),IFERROR(MATCH(Methode_Keuze,Tb_KostenOptiesDB[#Headers],0),2))=1,_xlfn.SWITCH($N443,"Uurtarief",IF(OR(AND(RIGHT($F443,3)="IKS",VLOOKUP($M443,DB_Loonkosten,2,0)="Ja"),AND(RIGHT($F443,3)&lt;&gt;"IKS",VLOOKUP($M443,DB_Loonkosten,2,0)="Nee")),IFERROR(VLOOKUP($M443,DB_Loonkosten,24,0),""),0),"Vast tarief",IF(LEFT(F443,8)="Bijdrage",VLOOKUP($F443,Tb_KostenTypen[],MATCH(Lijsten!$P$1,Tb_KostenTypen[#Headers],0),0),VLOOKUP($G443,Lijsten!L:P,MATCH(Lijsten!$P$1,Kop_Tarief_Vast,0),0))),""),"")</f>
        <v/>
      </c>
      <c r="P443" s="320" t="str" cm="1">
        <f t="array" ref="P443">_xlfn.IFNA(IF(INDEX(Tb_KostenOptiesDB[],MATCH($F443,Tb_KostenOptiesDB[KostenOptie],0),IFERROR(MATCH(Methode_Keuze,Tb_KostenOptiesDB[#Headers],0),2))=1,_xlfn.SWITCH($N443,"Uurtarief",IF(OR(AND(RIGHT($F443,3)="IKS",VLOOKUP($M443,DB_Loonkosten,2,0)="Ja"),AND(RIGHT($F443,3)&lt;&gt;"IKS",VLOOKUP($M443,DB_Loonkosten,2,0)="Nee")),IFERROR(VLOOKUP($M443,DB_Loonkosten,25,0),""),0),"Vast tarief",IF(LEFT(F443,8)="Bijdrage",VLOOKUP($F443,Tb_KostenTypen[],MATCH(Lijsten!$P$1,Tb_KostenTypen[#Headers],0),0),VLOOKUP($G443,Lijsten!L:P,MATCH(Lijsten!$P$1,Kop_Tarief_Vast,0),0))),""),"")</f>
        <v/>
      </c>
      <c r="Q443" s="359"/>
      <c r="R443" s="359"/>
      <c r="S443" s="321"/>
      <c r="T443" s="321"/>
      <c r="U443" s="373" t="str">
        <f t="shared" si="24"/>
        <v/>
      </c>
      <c r="V443" s="314" t="str">
        <f t="shared" si="25"/>
        <v/>
      </c>
      <c r="W443" s="314" t="str" cm="1">
        <f t="array" aca="1" ref="W443" ca="1">IFERROR(IF(AE443&lt;&gt;"ja",_xlfn.IFNA(_xlfn.IFS(AND(O443&lt;&gt;"",F443&lt;&gt;"",RIGHT($N443,6)="tarief",F443="Vergoeding"),SUM(O443)*FLOOR(SUM(Q443),0.0001),AND(O443&lt;&gt;"",F443&lt;&gt;"",RIGHT($N443,6)="tarief"),SUM(O443)*FLOOR(SUM(Q443),0.01),S443&gt;0,IF(F443&lt;&gt;"",FLOOR(SUM(S443),0.01),"")),""),""),"")</f>
        <v/>
      </c>
      <c r="X443" s="314" t="str" cm="1">
        <f t="array" aca="1" ref="X443" ca="1">IFERROR(IF(AE443&lt;&gt;"ja",_xlfn.IFNA(_xlfn.IFS(AND(P443&lt;&gt;"",R443&lt;&gt;"",RIGHT($N443,6)="tarief",F443="Vergoeding"),SUM(P443)*FLOOR(SUM(R443),0.0001),AND(P443&lt;&gt;"",R443&lt;&gt;"",RIGHT($N443,6)="tarief"),P443*FLOOR(R443,0.01),T443&gt;0,FLOOR(SUM(T443),0.01)),""),""),"")</f>
        <v/>
      </c>
      <c r="Y443" s="314" t="str">
        <f t="shared" ca="1" si="26"/>
        <v/>
      </c>
      <c r="Z443" s="314" t="str" cm="1">
        <f t="array" aca="1" ref="Z443" ca="1">IFERROR(_xlfn.IFS(OR(F443="",LEFT(Methode_Keuze,4)="Geen",Methode_Keuze=""),"",AND(W443&lt;&gt;"",F443&lt;&gt;"Arbeidskosten"),W443*VLOOKUP(F443,Tb_ProjectKosten[],MATCH(Tb_ProjectKosten[[#Headers],[Forfait_Percentage]],Tb_ProjectKosten[#Headers],0),0),AND(F443="Arbeidskosten",G443&lt;&gt;""),IFERROR(W443*VLOOKUP(G443,Tb_KostenTypen[],3,0)*VLOOKUP(F443,Tb_ProjectKosten[],MATCH(Tb_ProjectKosten[[#Headers],[Forfait_Percentage]],Tb_ProjectKosten[#Headers],0),0),""),W443 &lt;=0,0),"")</f>
        <v/>
      </c>
      <c r="AA443" s="314" t="str" cm="1">
        <f t="array" aca="1" ref="AA443" ca="1">IFERROR(_xlfn.IFS(OR(F443="",LEFT(Methode_Keuze,4)="Geen",Methode_Keuze=""),"",AND(X443&lt;&gt;"",F443&lt;&gt;"Arbeidskosten"),X443*VLOOKUP(F443,Tb_ProjectKosten[],MATCH(Tb_ProjectKosten[[#Headers],[Forfait_Percentage]],Tb_ProjectKosten[#Headers],0),0),AND(F443="Arbeidskosten",G443&lt;&gt;""),IFERROR(X443*VLOOKUP(G443,Tb_KostenTypen[],3,0)*VLOOKUP(F443,Tb_ProjectKosten[],MATCH(Tb_ProjectKosten[[#Headers],[Forfait_Percentage]],Tb_ProjectKosten[#Headers],0),0),""),X443 &lt;=0,0),"")</f>
        <v/>
      </c>
      <c r="AB443" s="314" t="str">
        <f t="shared" ca="1" si="27"/>
        <v/>
      </c>
      <c r="AC443" s="322"/>
      <c r="AD443" s="315"/>
      <c r="AE443" s="32" t="str" cm="1">
        <f t="array" ref="AE443">IFERROR(IF(INDEX(SubsidieTabel!$AD$1:$AG$12,MATCH($F443,SubsidieTabel!$AD$1:$AD$12,0),IFERROR(MATCH(Methode_Keuze,SubsidieTabel!$AD$1:$AG$1,0),2))&lt;&gt;1=TRUE,"ja",""),"")</f>
        <v/>
      </c>
    </row>
    <row r="444" spans="1:31" x14ac:dyDescent="0.25">
      <c r="A444" s="316"/>
      <c r="B444" s="317" t="str">
        <f>IF(A444&lt;&gt;"",_xlfn.MAXIFS($B$1:B443,$A$1:A443,A444)+1,"")</f>
        <v/>
      </c>
      <c r="C444" s="296"/>
      <c r="D444" s="296"/>
      <c r="E444" s="296"/>
      <c r="F444" s="296"/>
      <c r="G444" s="326"/>
      <c r="H444" s="324"/>
      <c r="I444" s="325"/>
      <c r="J444" s="325"/>
      <c r="K444" s="318"/>
      <c r="L444" s="318"/>
      <c r="M444" s="319" t="str">
        <f>IFERROR(VLOOKUP(H444,Lijsten!$H$1:$I$100,2,0),"")</f>
        <v/>
      </c>
      <c r="N444" s="319" t="str">
        <f ca="1">IFERROR(IF(VLOOKUP(F444,Kostentypen!$A$3:$E$21,3,0)=0,"",IF(OR(F444="Arbeidskosten",F444="Vergoeding"),VLOOKUP(G444,Tb_KostenTypen[],2,0),VLOOKUP(F444,Kostentypen!$A$3:$E$20,3,0))),"")</f>
        <v/>
      </c>
      <c r="O444" s="320" t="str" cm="1">
        <f t="array" ref="O444">_xlfn.IFNA(IF(INDEX(Tb_KostenOptiesDB[],MATCH($F444,Tb_KostenOptiesDB[KostenOptie],0),IFERROR(MATCH(Methode_Keuze,Tb_KostenOptiesDB[#Headers],0),2))=1,_xlfn.SWITCH($N444,"Uurtarief",IF(OR(AND(RIGHT($F444,3)="IKS",VLOOKUP($M444,DB_Loonkosten,2,0)="Ja"),AND(RIGHT($F444,3)&lt;&gt;"IKS",VLOOKUP($M444,DB_Loonkosten,2,0)="Nee")),IFERROR(VLOOKUP($M444,DB_Loonkosten,24,0),""),0),"Vast tarief",IF(LEFT(F444,8)="Bijdrage",VLOOKUP($F444,Tb_KostenTypen[],MATCH(Lijsten!$P$1,Tb_KostenTypen[#Headers],0),0),VLOOKUP($G444,Lijsten!L:P,MATCH(Lijsten!$P$1,Kop_Tarief_Vast,0),0))),""),"")</f>
        <v/>
      </c>
      <c r="P444" s="320" t="str" cm="1">
        <f t="array" ref="P444">_xlfn.IFNA(IF(INDEX(Tb_KostenOptiesDB[],MATCH($F444,Tb_KostenOptiesDB[KostenOptie],0),IFERROR(MATCH(Methode_Keuze,Tb_KostenOptiesDB[#Headers],0),2))=1,_xlfn.SWITCH($N444,"Uurtarief",IF(OR(AND(RIGHT($F444,3)="IKS",VLOOKUP($M444,DB_Loonkosten,2,0)="Ja"),AND(RIGHT($F444,3)&lt;&gt;"IKS",VLOOKUP($M444,DB_Loonkosten,2,0)="Nee")),IFERROR(VLOOKUP($M444,DB_Loonkosten,25,0),""),0),"Vast tarief",IF(LEFT(F444,8)="Bijdrage",VLOOKUP($F444,Tb_KostenTypen[],MATCH(Lijsten!$P$1,Tb_KostenTypen[#Headers],0),0),VLOOKUP($G444,Lijsten!L:P,MATCH(Lijsten!$P$1,Kop_Tarief_Vast,0),0))),""),"")</f>
        <v/>
      </c>
      <c r="Q444" s="359"/>
      <c r="R444" s="359"/>
      <c r="S444" s="321"/>
      <c r="T444" s="321"/>
      <c r="U444" s="373" t="str">
        <f t="shared" si="24"/>
        <v/>
      </c>
      <c r="V444" s="314" t="str">
        <f t="shared" si="25"/>
        <v/>
      </c>
      <c r="W444" s="314" t="str" cm="1">
        <f t="array" aca="1" ref="W444" ca="1">IFERROR(IF(AE444&lt;&gt;"ja",_xlfn.IFNA(_xlfn.IFS(AND(O444&lt;&gt;"",F444&lt;&gt;"",RIGHT($N444,6)="tarief",F444="Vergoeding"),SUM(O444)*FLOOR(SUM(Q444),0.0001),AND(O444&lt;&gt;"",F444&lt;&gt;"",RIGHT($N444,6)="tarief"),SUM(O444)*FLOOR(SUM(Q444),0.01),S444&gt;0,IF(F444&lt;&gt;"",FLOOR(SUM(S444),0.01),"")),""),""),"")</f>
        <v/>
      </c>
      <c r="X444" s="314" t="str" cm="1">
        <f t="array" aca="1" ref="X444" ca="1">IFERROR(IF(AE444&lt;&gt;"ja",_xlfn.IFNA(_xlfn.IFS(AND(P444&lt;&gt;"",R444&lt;&gt;"",RIGHT($N444,6)="tarief",F444="Vergoeding"),SUM(P444)*FLOOR(SUM(R444),0.0001),AND(P444&lt;&gt;"",R444&lt;&gt;"",RIGHT($N444,6)="tarief"),P444*FLOOR(R444,0.01),T444&gt;0,FLOOR(SUM(T444),0.01)),""),""),"")</f>
        <v/>
      </c>
      <c r="Y444" s="314" t="str">
        <f t="shared" ca="1" si="26"/>
        <v/>
      </c>
      <c r="Z444" s="314" t="str" cm="1">
        <f t="array" aca="1" ref="Z444" ca="1">IFERROR(_xlfn.IFS(OR(F444="",LEFT(Methode_Keuze,4)="Geen",Methode_Keuze=""),"",AND(W444&lt;&gt;"",F444&lt;&gt;"Arbeidskosten"),W444*VLOOKUP(F444,Tb_ProjectKosten[],MATCH(Tb_ProjectKosten[[#Headers],[Forfait_Percentage]],Tb_ProjectKosten[#Headers],0),0),AND(F444="Arbeidskosten",G444&lt;&gt;""),IFERROR(W444*VLOOKUP(G444,Tb_KostenTypen[],3,0)*VLOOKUP(F444,Tb_ProjectKosten[],MATCH(Tb_ProjectKosten[[#Headers],[Forfait_Percentage]],Tb_ProjectKosten[#Headers],0),0),""),W444 &lt;=0,0),"")</f>
        <v/>
      </c>
      <c r="AA444" s="314" t="str" cm="1">
        <f t="array" aca="1" ref="AA444" ca="1">IFERROR(_xlfn.IFS(OR(F444="",LEFT(Methode_Keuze,4)="Geen",Methode_Keuze=""),"",AND(X444&lt;&gt;"",F444&lt;&gt;"Arbeidskosten"),X444*VLOOKUP(F444,Tb_ProjectKosten[],MATCH(Tb_ProjectKosten[[#Headers],[Forfait_Percentage]],Tb_ProjectKosten[#Headers],0),0),AND(F444="Arbeidskosten",G444&lt;&gt;""),IFERROR(X444*VLOOKUP(G444,Tb_KostenTypen[],3,0)*VLOOKUP(F444,Tb_ProjectKosten[],MATCH(Tb_ProjectKosten[[#Headers],[Forfait_Percentage]],Tb_ProjectKosten[#Headers],0),0),""),X444 &lt;=0,0),"")</f>
        <v/>
      </c>
      <c r="AB444" s="314" t="str">
        <f t="shared" ca="1" si="27"/>
        <v/>
      </c>
      <c r="AC444" s="322"/>
      <c r="AD444" s="315"/>
      <c r="AE444" s="32" t="str" cm="1">
        <f t="array" ref="AE444">IFERROR(IF(INDEX(SubsidieTabel!$AD$1:$AG$12,MATCH($F444,SubsidieTabel!$AD$1:$AD$12,0),IFERROR(MATCH(Methode_Keuze,SubsidieTabel!$AD$1:$AG$1,0),2))&lt;&gt;1=TRUE,"ja",""),"")</f>
        <v/>
      </c>
    </row>
    <row r="445" spans="1:31" x14ac:dyDescent="0.25">
      <c r="A445" s="316"/>
      <c r="B445" s="317" t="str">
        <f>IF(A445&lt;&gt;"",_xlfn.MAXIFS($B$1:B444,$A$1:A444,A445)+1,"")</f>
        <v/>
      </c>
      <c r="C445" s="296"/>
      <c r="D445" s="296"/>
      <c r="E445" s="296"/>
      <c r="F445" s="296"/>
      <c r="G445" s="326"/>
      <c r="H445" s="324"/>
      <c r="I445" s="325"/>
      <c r="J445" s="325"/>
      <c r="K445" s="318"/>
      <c r="L445" s="318"/>
      <c r="M445" s="319" t="str">
        <f>IFERROR(VLOOKUP(H445,Lijsten!$H$1:$I$100,2,0),"")</f>
        <v/>
      </c>
      <c r="N445" s="319" t="str">
        <f ca="1">IFERROR(IF(VLOOKUP(F445,Kostentypen!$A$3:$E$21,3,0)=0,"",IF(OR(F445="Arbeidskosten",F445="Vergoeding"),VLOOKUP(G445,Tb_KostenTypen[],2,0),VLOOKUP(F445,Kostentypen!$A$3:$E$20,3,0))),"")</f>
        <v/>
      </c>
      <c r="O445" s="320" t="str" cm="1">
        <f t="array" ref="O445">_xlfn.IFNA(IF(INDEX(Tb_KostenOptiesDB[],MATCH($F445,Tb_KostenOptiesDB[KostenOptie],0),IFERROR(MATCH(Methode_Keuze,Tb_KostenOptiesDB[#Headers],0),2))=1,_xlfn.SWITCH($N445,"Uurtarief",IF(OR(AND(RIGHT($F445,3)="IKS",VLOOKUP($M445,DB_Loonkosten,2,0)="Ja"),AND(RIGHT($F445,3)&lt;&gt;"IKS",VLOOKUP($M445,DB_Loonkosten,2,0)="Nee")),IFERROR(VLOOKUP($M445,DB_Loonkosten,24,0),""),0),"Vast tarief",IF(LEFT(F445,8)="Bijdrage",VLOOKUP($F445,Tb_KostenTypen[],MATCH(Lijsten!$P$1,Tb_KostenTypen[#Headers],0),0),VLOOKUP($G445,Lijsten!L:P,MATCH(Lijsten!$P$1,Kop_Tarief_Vast,0),0))),""),"")</f>
        <v/>
      </c>
      <c r="P445" s="320" t="str" cm="1">
        <f t="array" ref="P445">_xlfn.IFNA(IF(INDEX(Tb_KostenOptiesDB[],MATCH($F445,Tb_KostenOptiesDB[KostenOptie],0),IFERROR(MATCH(Methode_Keuze,Tb_KostenOptiesDB[#Headers],0),2))=1,_xlfn.SWITCH($N445,"Uurtarief",IF(OR(AND(RIGHT($F445,3)="IKS",VLOOKUP($M445,DB_Loonkosten,2,0)="Ja"),AND(RIGHT($F445,3)&lt;&gt;"IKS",VLOOKUP($M445,DB_Loonkosten,2,0)="Nee")),IFERROR(VLOOKUP($M445,DB_Loonkosten,25,0),""),0),"Vast tarief",IF(LEFT(F445,8)="Bijdrage",VLOOKUP($F445,Tb_KostenTypen[],MATCH(Lijsten!$P$1,Tb_KostenTypen[#Headers],0),0),VLOOKUP($G445,Lijsten!L:P,MATCH(Lijsten!$P$1,Kop_Tarief_Vast,0),0))),""),"")</f>
        <v/>
      </c>
      <c r="Q445" s="359"/>
      <c r="R445" s="359"/>
      <c r="S445" s="321"/>
      <c r="T445" s="321"/>
      <c r="U445" s="373" t="str">
        <f t="shared" si="24"/>
        <v/>
      </c>
      <c r="V445" s="314" t="str">
        <f t="shared" si="25"/>
        <v/>
      </c>
      <c r="W445" s="314" t="str" cm="1">
        <f t="array" aca="1" ref="W445" ca="1">IFERROR(IF(AE445&lt;&gt;"ja",_xlfn.IFNA(_xlfn.IFS(AND(O445&lt;&gt;"",F445&lt;&gt;"",RIGHT($N445,6)="tarief",F445="Vergoeding"),SUM(O445)*FLOOR(SUM(Q445),0.0001),AND(O445&lt;&gt;"",F445&lt;&gt;"",RIGHT($N445,6)="tarief"),SUM(O445)*FLOOR(SUM(Q445),0.01),S445&gt;0,IF(F445&lt;&gt;"",FLOOR(SUM(S445),0.01),"")),""),""),"")</f>
        <v/>
      </c>
      <c r="X445" s="314" t="str" cm="1">
        <f t="array" aca="1" ref="X445" ca="1">IFERROR(IF(AE445&lt;&gt;"ja",_xlfn.IFNA(_xlfn.IFS(AND(P445&lt;&gt;"",R445&lt;&gt;"",RIGHT($N445,6)="tarief",F445="Vergoeding"),SUM(P445)*FLOOR(SUM(R445),0.0001),AND(P445&lt;&gt;"",R445&lt;&gt;"",RIGHT($N445,6)="tarief"),P445*FLOOR(R445,0.01),T445&gt;0,FLOOR(SUM(T445),0.01)),""),""),"")</f>
        <v/>
      </c>
      <c r="Y445" s="314" t="str">
        <f t="shared" ca="1" si="26"/>
        <v/>
      </c>
      <c r="Z445" s="314" t="str" cm="1">
        <f t="array" aca="1" ref="Z445" ca="1">IFERROR(_xlfn.IFS(OR(F445="",LEFT(Methode_Keuze,4)="Geen",Methode_Keuze=""),"",AND(W445&lt;&gt;"",F445&lt;&gt;"Arbeidskosten"),W445*VLOOKUP(F445,Tb_ProjectKosten[],MATCH(Tb_ProjectKosten[[#Headers],[Forfait_Percentage]],Tb_ProjectKosten[#Headers],0),0),AND(F445="Arbeidskosten",G445&lt;&gt;""),IFERROR(W445*VLOOKUP(G445,Tb_KostenTypen[],3,0)*VLOOKUP(F445,Tb_ProjectKosten[],MATCH(Tb_ProjectKosten[[#Headers],[Forfait_Percentage]],Tb_ProjectKosten[#Headers],0),0),""),W445 &lt;=0,0),"")</f>
        <v/>
      </c>
      <c r="AA445" s="314" t="str" cm="1">
        <f t="array" aca="1" ref="AA445" ca="1">IFERROR(_xlfn.IFS(OR(F445="",LEFT(Methode_Keuze,4)="Geen",Methode_Keuze=""),"",AND(X445&lt;&gt;"",F445&lt;&gt;"Arbeidskosten"),X445*VLOOKUP(F445,Tb_ProjectKosten[],MATCH(Tb_ProjectKosten[[#Headers],[Forfait_Percentage]],Tb_ProjectKosten[#Headers],0),0),AND(F445="Arbeidskosten",G445&lt;&gt;""),IFERROR(X445*VLOOKUP(G445,Tb_KostenTypen[],3,0)*VLOOKUP(F445,Tb_ProjectKosten[],MATCH(Tb_ProjectKosten[[#Headers],[Forfait_Percentage]],Tb_ProjectKosten[#Headers],0),0),""),X445 &lt;=0,0),"")</f>
        <v/>
      </c>
      <c r="AB445" s="314" t="str">
        <f t="shared" ca="1" si="27"/>
        <v/>
      </c>
      <c r="AC445" s="322"/>
      <c r="AD445" s="315"/>
      <c r="AE445" s="32" t="str" cm="1">
        <f t="array" ref="AE445">IFERROR(IF(INDEX(SubsidieTabel!$AD$1:$AG$12,MATCH($F445,SubsidieTabel!$AD$1:$AD$12,0),IFERROR(MATCH(Methode_Keuze,SubsidieTabel!$AD$1:$AG$1,0),2))&lt;&gt;1=TRUE,"ja",""),"")</f>
        <v/>
      </c>
    </row>
    <row r="446" spans="1:31" x14ac:dyDescent="0.25">
      <c r="A446" s="316"/>
      <c r="B446" s="317" t="str">
        <f>IF(A446&lt;&gt;"",_xlfn.MAXIFS($B$1:B445,$A$1:A445,A446)+1,"")</f>
        <v/>
      </c>
      <c r="C446" s="296"/>
      <c r="D446" s="296"/>
      <c r="E446" s="296"/>
      <c r="F446" s="296"/>
      <c r="G446" s="326"/>
      <c r="H446" s="324"/>
      <c r="I446" s="325"/>
      <c r="J446" s="325"/>
      <c r="K446" s="318"/>
      <c r="L446" s="318"/>
      <c r="M446" s="319" t="str">
        <f>IFERROR(VLOOKUP(H446,Lijsten!$H$1:$I$100,2,0),"")</f>
        <v/>
      </c>
      <c r="N446" s="319" t="str">
        <f ca="1">IFERROR(IF(VLOOKUP(F446,Kostentypen!$A$3:$E$21,3,0)=0,"",IF(OR(F446="Arbeidskosten",F446="Vergoeding"),VLOOKUP(G446,Tb_KostenTypen[],2,0),VLOOKUP(F446,Kostentypen!$A$3:$E$20,3,0))),"")</f>
        <v/>
      </c>
      <c r="O446" s="320" t="str" cm="1">
        <f t="array" ref="O446">_xlfn.IFNA(IF(INDEX(Tb_KostenOptiesDB[],MATCH($F446,Tb_KostenOptiesDB[KostenOptie],0),IFERROR(MATCH(Methode_Keuze,Tb_KostenOptiesDB[#Headers],0),2))=1,_xlfn.SWITCH($N446,"Uurtarief",IF(OR(AND(RIGHT($F446,3)="IKS",VLOOKUP($M446,DB_Loonkosten,2,0)="Ja"),AND(RIGHT($F446,3)&lt;&gt;"IKS",VLOOKUP($M446,DB_Loonkosten,2,0)="Nee")),IFERROR(VLOOKUP($M446,DB_Loonkosten,24,0),""),0),"Vast tarief",IF(LEFT(F446,8)="Bijdrage",VLOOKUP($F446,Tb_KostenTypen[],MATCH(Lijsten!$P$1,Tb_KostenTypen[#Headers],0),0),VLOOKUP($G446,Lijsten!L:P,MATCH(Lijsten!$P$1,Kop_Tarief_Vast,0),0))),""),"")</f>
        <v/>
      </c>
      <c r="P446" s="320" t="str" cm="1">
        <f t="array" ref="P446">_xlfn.IFNA(IF(INDEX(Tb_KostenOptiesDB[],MATCH($F446,Tb_KostenOptiesDB[KostenOptie],0),IFERROR(MATCH(Methode_Keuze,Tb_KostenOptiesDB[#Headers],0),2))=1,_xlfn.SWITCH($N446,"Uurtarief",IF(OR(AND(RIGHT($F446,3)="IKS",VLOOKUP($M446,DB_Loonkosten,2,0)="Ja"),AND(RIGHT($F446,3)&lt;&gt;"IKS",VLOOKUP($M446,DB_Loonkosten,2,0)="Nee")),IFERROR(VLOOKUP($M446,DB_Loonkosten,25,0),""),0),"Vast tarief",IF(LEFT(F446,8)="Bijdrage",VLOOKUP($F446,Tb_KostenTypen[],MATCH(Lijsten!$P$1,Tb_KostenTypen[#Headers],0),0),VLOOKUP($G446,Lijsten!L:P,MATCH(Lijsten!$P$1,Kop_Tarief_Vast,0),0))),""),"")</f>
        <v/>
      </c>
      <c r="Q446" s="359"/>
      <c r="R446" s="359"/>
      <c r="S446" s="321"/>
      <c r="T446" s="321"/>
      <c r="U446" s="373" t="str">
        <f t="shared" si="24"/>
        <v/>
      </c>
      <c r="V446" s="314" t="str">
        <f t="shared" si="25"/>
        <v/>
      </c>
      <c r="W446" s="314" t="str" cm="1">
        <f t="array" aca="1" ref="W446" ca="1">IFERROR(IF(AE446&lt;&gt;"ja",_xlfn.IFNA(_xlfn.IFS(AND(O446&lt;&gt;"",F446&lt;&gt;"",RIGHT($N446,6)="tarief",F446="Vergoeding"),SUM(O446)*FLOOR(SUM(Q446),0.0001),AND(O446&lt;&gt;"",F446&lt;&gt;"",RIGHT($N446,6)="tarief"),SUM(O446)*FLOOR(SUM(Q446),0.01),S446&gt;0,IF(F446&lt;&gt;"",FLOOR(SUM(S446),0.01),"")),""),""),"")</f>
        <v/>
      </c>
      <c r="X446" s="314" t="str" cm="1">
        <f t="array" aca="1" ref="X446" ca="1">IFERROR(IF(AE446&lt;&gt;"ja",_xlfn.IFNA(_xlfn.IFS(AND(P446&lt;&gt;"",R446&lt;&gt;"",RIGHT($N446,6)="tarief",F446="Vergoeding"),SUM(P446)*FLOOR(SUM(R446),0.0001),AND(P446&lt;&gt;"",R446&lt;&gt;"",RIGHT($N446,6)="tarief"),P446*FLOOR(R446,0.01),T446&gt;0,FLOOR(SUM(T446),0.01)),""),""),"")</f>
        <v/>
      </c>
      <c r="Y446" s="314" t="str">
        <f t="shared" ca="1" si="26"/>
        <v/>
      </c>
      <c r="Z446" s="314" t="str" cm="1">
        <f t="array" aca="1" ref="Z446" ca="1">IFERROR(_xlfn.IFS(OR(F446="",LEFT(Methode_Keuze,4)="Geen",Methode_Keuze=""),"",AND(W446&lt;&gt;"",F446&lt;&gt;"Arbeidskosten"),W446*VLOOKUP(F446,Tb_ProjectKosten[],MATCH(Tb_ProjectKosten[[#Headers],[Forfait_Percentage]],Tb_ProjectKosten[#Headers],0),0),AND(F446="Arbeidskosten",G446&lt;&gt;""),IFERROR(W446*VLOOKUP(G446,Tb_KostenTypen[],3,0)*VLOOKUP(F446,Tb_ProjectKosten[],MATCH(Tb_ProjectKosten[[#Headers],[Forfait_Percentage]],Tb_ProjectKosten[#Headers],0),0),""),W446 &lt;=0,0),"")</f>
        <v/>
      </c>
      <c r="AA446" s="314" t="str" cm="1">
        <f t="array" aca="1" ref="AA446" ca="1">IFERROR(_xlfn.IFS(OR(F446="",LEFT(Methode_Keuze,4)="Geen",Methode_Keuze=""),"",AND(X446&lt;&gt;"",F446&lt;&gt;"Arbeidskosten"),X446*VLOOKUP(F446,Tb_ProjectKosten[],MATCH(Tb_ProjectKosten[[#Headers],[Forfait_Percentage]],Tb_ProjectKosten[#Headers],0),0),AND(F446="Arbeidskosten",G446&lt;&gt;""),IFERROR(X446*VLOOKUP(G446,Tb_KostenTypen[],3,0)*VLOOKUP(F446,Tb_ProjectKosten[],MATCH(Tb_ProjectKosten[[#Headers],[Forfait_Percentage]],Tb_ProjectKosten[#Headers],0),0),""),X446 &lt;=0,0),"")</f>
        <v/>
      </c>
      <c r="AB446" s="314" t="str">
        <f t="shared" ca="1" si="27"/>
        <v/>
      </c>
      <c r="AC446" s="322"/>
      <c r="AD446" s="315"/>
      <c r="AE446" s="32" t="str" cm="1">
        <f t="array" ref="AE446">IFERROR(IF(INDEX(SubsidieTabel!$AD$1:$AG$12,MATCH($F446,SubsidieTabel!$AD$1:$AD$12,0),IFERROR(MATCH(Methode_Keuze,SubsidieTabel!$AD$1:$AG$1,0),2))&lt;&gt;1=TRUE,"ja",""),"")</f>
        <v/>
      </c>
    </row>
    <row r="447" spans="1:31" x14ac:dyDescent="0.25">
      <c r="A447" s="316"/>
      <c r="B447" s="317" t="str">
        <f>IF(A447&lt;&gt;"",_xlfn.MAXIFS($B$1:B446,$A$1:A446,A447)+1,"")</f>
        <v/>
      </c>
      <c r="C447" s="296"/>
      <c r="D447" s="296"/>
      <c r="E447" s="296"/>
      <c r="F447" s="296"/>
      <c r="G447" s="326"/>
      <c r="H447" s="324"/>
      <c r="I447" s="325"/>
      <c r="J447" s="325"/>
      <c r="K447" s="318"/>
      <c r="L447" s="318"/>
      <c r="M447" s="319" t="str">
        <f>IFERROR(VLOOKUP(H447,Lijsten!$H$1:$I$100,2,0),"")</f>
        <v/>
      </c>
      <c r="N447" s="319" t="str">
        <f ca="1">IFERROR(IF(VLOOKUP(F447,Kostentypen!$A$3:$E$21,3,0)=0,"",IF(OR(F447="Arbeidskosten",F447="Vergoeding"),VLOOKUP(G447,Tb_KostenTypen[],2,0),VLOOKUP(F447,Kostentypen!$A$3:$E$20,3,0))),"")</f>
        <v/>
      </c>
      <c r="O447" s="320" t="str" cm="1">
        <f t="array" ref="O447">_xlfn.IFNA(IF(INDEX(Tb_KostenOptiesDB[],MATCH($F447,Tb_KostenOptiesDB[KostenOptie],0),IFERROR(MATCH(Methode_Keuze,Tb_KostenOptiesDB[#Headers],0),2))=1,_xlfn.SWITCH($N447,"Uurtarief",IF(OR(AND(RIGHT($F447,3)="IKS",VLOOKUP($M447,DB_Loonkosten,2,0)="Ja"),AND(RIGHT($F447,3)&lt;&gt;"IKS",VLOOKUP($M447,DB_Loonkosten,2,0)="Nee")),IFERROR(VLOOKUP($M447,DB_Loonkosten,24,0),""),0),"Vast tarief",IF(LEFT(F447,8)="Bijdrage",VLOOKUP($F447,Tb_KostenTypen[],MATCH(Lijsten!$P$1,Tb_KostenTypen[#Headers],0),0),VLOOKUP($G447,Lijsten!L:P,MATCH(Lijsten!$P$1,Kop_Tarief_Vast,0),0))),""),"")</f>
        <v/>
      </c>
      <c r="P447" s="320" t="str" cm="1">
        <f t="array" ref="P447">_xlfn.IFNA(IF(INDEX(Tb_KostenOptiesDB[],MATCH($F447,Tb_KostenOptiesDB[KostenOptie],0),IFERROR(MATCH(Methode_Keuze,Tb_KostenOptiesDB[#Headers],0),2))=1,_xlfn.SWITCH($N447,"Uurtarief",IF(OR(AND(RIGHT($F447,3)="IKS",VLOOKUP($M447,DB_Loonkosten,2,0)="Ja"),AND(RIGHT($F447,3)&lt;&gt;"IKS",VLOOKUP($M447,DB_Loonkosten,2,0)="Nee")),IFERROR(VLOOKUP($M447,DB_Loonkosten,25,0),""),0),"Vast tarief",IF(LEFT(F447,8)="Bijdrage",VLOOKUP($F447,Tb_KostenTypen[],MATCH(Lijsten!$P$1,Tb_KostenTypen[#Headers],0),0),VLOOKUP($G447,Lijsten!L:P,MATCH(Lijsten!$P$1,Kop_Tarief_Vast,0),0))),""),"")</f>
        <v/>
      </c>
      <c r="Q447" s="359"/>
      <c r="R447" s="359"/>
      <c r="S447" s="321"/>
      <c r="T447" s="321"/>
      <c r="U447" s="373" t="str">
        <f t="shared" si="24"/>
        <v/>
      </c>
      <c r="V447" s="314" t="str">
        <f t="shared" si="25"/>
        <v/>
      </c>
      <c r="W447" s="314" t="str" cm="1">
        <f t="array" aca="1" ref="W447" ca="1">IFERROR(IF(AE447&lt;&gt;"ja",_xlfn.IFNA(_xlfn.IFS(AND(O447&lt;&gt;"",F447&lt;&gt;"",RIGHT($N447,6)="tarief",F447="Vergoeding"),SUM(O447)*FLOOR(SUM(Q447),0.0001),AND(O447&lt;&gt;"",F447&lt;&gt;"",RIGHT($N447,6)="tarief"),SUM(O447)*FLOOR(SUM(Q447),0.01),S447&gt;0,IF(F447&lt;&gt;"",FLOOR(SUM(S447),0.01),"")),""),""),"")</f>
        <v/>
      </c>
      <c r="X447" s="314" t="str" cm="1">
        <f t="array" aca="1" ref="X447" ca="1">IFERROR(IF(AE447&lt;&gt;"ja",_xlfn.IFNA(_xlfn.IFS(AND(P447&lt;&gt;"",R447&lt;&gt;"",RIGHT($N447,6)="tarief",F447="Vergoeding"),SUM(P447)*FLOOR(SUM(R447),0.0001),AND(P447&lt;&gt;"",R447&lt;&gt;"",RIGHT($N447,6)="tarief"),P447*FLOOR(R447,0.01),T447&gt;0,FLOOR(SUM(T447),0.01)),""),""),"")</f>
        <v/>
      </c>
      <c r="Y447" s="314" t="str">
        <f t="shared" ca="1" si="26"/>
        <v/>
      </c>
      <c r="Z447" s="314" t="str" cm="1">
        <f t="array" aca="1" ref="Z447" ca="1">IFERROR(_xlfn.IFS(OR(F447="",LEFT(Methode_Keuze,4)="Geen",Methode_Keuze=""),"",AND(W447&lt;&gt;"",F447&lt;&gt;"Arbeidskosten"),W447*VLOOKUP(F447,Tb_ProjectKosten[],MATCH(Tb_ProjectKosten[[#Headers],[Forfait_Percentage]],Tb_ProjectKosten[#Headers],0),0),AND(F447="Arbeidskosten",G447&lt;&gt;""),IFERROR(W447*VLOOKUP(G447,Tb_KostenTypen[],3,0)*VLOOKUP(F447,Tb_ProjectKosten[],MATCH(Tb_ProjectKosten[[#Headers],[Forfait_Percentage]],Tb_ProjectKosten[#Headers],0),0),""),W447 &lt;=0,0),"")</f>
        <v/>
      </c>
      <c r="AA447" s="314" t="str" cm="1">
        <f t="array" aca="1" ref="AA447" ca="1">IFERROR(_xlfn.IFS(OR(F447="",LEFT(Methode_Keuze,4)="Geen",Methode_Keuze=""),"",AND(X447&lt;&gt;"",F447&lt;&gt;"Arbeidskosten"),X447*VLOOKUP(F447,Tb_ProjectKosten[],MATCH(Tb_ProjectKosten[[#Headers],[Forfait_Percentage]],Tb_ProjectKosten[#Headers],0),0),AND(F447="Arbeidskosten",G447&lt;&gt;""),IFERROR(X447*VLOOKUP(G447,Tb_KostenTypen[],3,0)*VLOOKUP(F447,Tb_ProjectKosten[],MATCH(Tb_ProjectKosten[[#Headers],[Forfait_Percentage]],Tb_ProjectKosten[#Headers],0),0),""),X447 &lt;=0,0),"")</f>
        <v/>
      </c>
      <c r="AB447" s="314" t="str">
        <f t="shared" ca="1" si="27"/>
        <v/>
      </c>
      <c r="AC447" s="322"/>
      <c r="AD447" s="315"/>
      <c r="AE447" s="32" t="str" cm="1">
        <f t="array" ref="AE447">IFERROR(IF(INDEX(SubsidieTabel!$AD$1:$AG$12,MATCH($F447,SubsidieTabel!$AD$1:$AD$12,0),IFERROR(MATCH(Methode_Keuze,SubsidieTabel!$AD$1:$AG$1,0),2))&lt;&gt;1=TRUE,"ja",""),"")</f>
        <v/>
      </c>
    </row>
    <row r="448" spans="1:31" x14ac:dyDescent="0.25">
      <c r="A448" s="316"/>
      <c r="B448" s="317" t="str">
        <f>IF(A448&lt;&gt;"",_xlfn.MAXIFS($B$1:B447,$A$1:A447,A448)+1,"")</f>
        <v/>
      </c>
      <c r="C448" s="296"/>
      <c r="D448" s="296"/>
      <c r="E448" s="296"/>
      <c r="F448" s="296"/>
      <c r="G448" s="326"/>
      <c r="H448" s="324"/>
      <c r="I448" s="325"/>
      <c r="J448" s="325"/>
      <c r="K448" s="318"/>
      <c r="L448" s="318"/>
      <c r="M448" s="319" t="str">
        <f>IFERROR(VLOOKUP(H448,Lijsten!$H$1:$I$100,2,0),"")</f>
        <v/>
      </c>
      <c r="N448" s="319" t="str">
        <f ca="1">IFERROR(IF(VLOOKUP(F448,Kostentypen!$A$3:$E$21,3,0)=0,"",IF(OR(F448="Arbeidskosten",F448="Vergoeding"),VLOOKUP(G448,Tb_KostenTypen[],2,0),VLOOKUP(F448,Kostentypen!$A$3:$E$20,3,0))),"")</f>
        <v/>
      </c>
      <c r="O448" s="320" t="str" cm="1">
        <f t="array" ref="O448">_xlfn.IFNA(IF(INDEX(Tb_KostenOptiesDB[],MATCH($F448,Tb_KostenOptiesDB[KostenOptie],0),IFERROR(MATCH(Methode_Keuze,Tb_KostenOptiesDB[#Headers],0),2))=1,_xlfn.SWITCH($N448,"Uurtarief",IF(OR(AND(RIGHT($F448,3)="IKS",VLOOKUP($M448,DB_Loonkosten,2,0)="Ja"),AND(RIGHT($F448,3)&lt;&gt;"IKS",VLOOKUP($M448,DB_Loonkosten,2,0)="Nee")),IFERROR(VLOOKUP($M448,DB_Loonkosten,24,0),""),0),"Vast tarief",IF(LEFT(F448,8)="Bijdrage",VLOOKUP($F448,Tb_KostenTypen[],MATCH(Lijsten!$P$1,Tb_KostenTypen[#Headers],0),0),VLOOKUP($G448,Lijsten!L:P,MATCH(Lijsten!$P$1,Kop_Tarief_Vast,0),0))),""),"")</f>
        <v/>
      </c>
      <c r="P448" s="320" t="str" cm="1">
        <f t="array" ref="P448">_xlfn.IFNA(IF(INDEX(Tb_KostenOptiesDB[],MATCH($F448,Tb_KostenOptiesDB[KostenOptie],0),IFERROR(MATCH(Methode_Keuze,Tb_KostenOptiesDB[#Headers],0),2))=1,_xlfn.SWITCH($N448,"Uurtarief",IF(OR(AND(RIGHT($F448,3)="IKS",VLOOKUP($M448,DB_Loonkosten,2,0)="Ja"),AND(RIGHT($F448,3)&lt;&gt;"IKS",VLOOKUP($M448,DB_Loonkosten,2,0)="Nee")),IFERROR(VLOOKUP($M448,DB_Loonkosten,25,0),""),0),"Vast tarief",IF(LEFT(F448,8)="Bijdrage",VLOOKUP($F448,Tb_KostenTypen[],MATCH(Lijsten!$P$1,Tb_KostenTypen[#Headers],0),0),VLOOKUP($G448,Lijsten!L:P,MATCH(Lijsten!$P$1,Kop_Tarief_Vast,0),0))),""),"")</f>
        <v/>
      </c>
      <c r="Q448" s="359"/>
      <c r="R448" s="359"/>
      <c r="S448" s="321"/>
      <c r="T448" s="321"/>
      <c r="U448" s="373" t="str">
        <f t="shared" si="24"/>
        <v/>
      </c>
      <c r="V448" s="314" t="str">
        <f t="shared" si="25"/>
        <v/>
      </c>
      <c r="W448" s="314" t="str" cm="1">
        <f t="array" aca="1" ref="W448" ca="1">IFERROR(IF(AE448&lt;&gt;"ja",_xlfn.IFNA(_xlfn.IFS(AND(O448&lt;&gt;"",F448&lt;&gt;"",RIGHT($N448,6)="tarief",F448="Vergoeding"),SUM(O448)*FLOOR(SUM(Q448),0.0001),AND(O448&lt;&gt;"",F448&lt;&gt;"",RIGHT($N448,6)="tarief"),SUM(O448)*FLOOR(SUM(Q448),0.01),S448&gt;0,IF(F448&lt;&gt;"",FLOOR(SUM(S448),0.01),"")),""),""),"")</f>
        <v/>
      </c>
      <c r="X448" s="314" t="str" cm="1">
        <f t="array" aca="1" ref="X448" ca="1">IFERROR(IF(AE448&lt;&gt;"ja",_xlfn.IFNA(_xlfn.IFS(AND(P448&lt;&gt;"",R448&lt;&gt;"",RIGHT($N448,6)="tarief",F448="Vergoeding"),SUM(P448)*FLOOR(SUM(R448),0.0001),AND(P448&lt;&gt;"",R448&lt;&gt;"",RIGHT($N448,6)="tarief"),P448*FLOOR(R448,0.01),T448&gt;0,FLOOR(SUM(T448),0.01)),""),""),"")</f>
        <v/>
      </c>
      <c r="Y448" s="314" t="str">
        <f t="shared" ca="1" si="26"/>
        <v/>
      </c>
      <c r="Z448" s="314" t="str" cm="1">
        <f t="array" aca="1" ref="Z448" ca="1">IFERROR(_xlfn.IFS(OR(F448="",LEFT(Methode_Keuze,4)="Geen",Methode_Keuze=""),"",AND(W448&lt;&gt;"",F448&lt;&gt;"Arbeidskosten"),W448*VLOOKUP(F448,Tb_ProjectKosten[],MATCH(Tb_ProjectKosten[[#Headers],[Forfait_Percentage]],Tb_ProjectKosten[#Headers],0),0),AND(F448="Arbeidskosten",G448&lt;&gt;""),IFERROR(W448*VLOOKUP(G448,Tb_KostenTypen[],3,0)*VLOOKUP(F448,Tb_ProjectKosten[],MATCH(Tb_ProjectKosten[[#Headers],[Forfait_Percentage]],Tb_ProjectKosten[#Headers],0),0),""),W448 &lt;=0,0),"")</f>
        <v/>
      </c>
      <c r="AA448" s="314" t="str" cm="1">
        <f t="array" aca="1" ref="AA448" ca="1">IFERROR(_xlfn.IFS(OR(F448="",LEFT(Methode_Keuze,4)="Geen",Methode_Keuze=""),"",AND(X448&lt;&gt;"",F448&lt;&gt;"Arbeidskosten"),X448*VLOOKUP(F448,Tb_ProjectKosten[],MATCH(Tb_ProjectKosten[[#Headers],[Forfait_Percentage]],Tb_ProjectKosten[#Headers],0),0),AND(F448="Arbeidskosten",G448&lt;&gt;""),IFERROR(X448*VLOOKUP(G448,Tb_KostenTypen[],3,0)*VLOOKUP(F448,Tb_ProjectKosten[],MATCH(Tb_ProjectKosten[[#Headers],[Forfait_Percentage]],Tb_ProjectKosten[#Headers],0),0),""),X448 &lt;=0,0),"")</f>
        <v/>
      </c>
      <c r="AB448" s="314" t="str">
        <f t="shared" ca="1" si="27"/>
        <v/>
      </c>
      <c r="AC448" s="322"/>
      <c r="AD448" s="315"/>
      <c r="AE448" s="32" t="str" cm="1">
        <f t="array" ref="AE448">IFERROR(IF(INDEX(SubsidieTabel!$AD$1:$AG$12,MATCH($F448,SubsidieTabel!$AD$1:$AD$12,0),IFERROR(MATCH(Methode_Keuze,SubsidieTabel!$AD$1:$AG$1,0),2))&lt;&gt;1=TRUE,"ja",""),"")</f>
        <v/>
      </c>
    </row>
    <row r="449" spans="1:31" x14ac:dyDescent="0.25">
      <c r="A449" s="316"/>
      <c r="B449" s="317" t="str">
        <f>IF(A449&lt;&gt;"",_xlfn.MAXIFS($B$1:B448,$A$1:A448,A449)+1,"")</f>
        <v/>
      </c>
      <c r="C449" s="296"/>
      <c r="D449" s="296"/>
      <c r="E449" s="296"/>
      <c r="F449" s="296"/>
      <c r="G449" s="326"/>
      <c r="H449" s="324"/>
      <c r="I449" s="325"/>
      <c r="J449" s="325"/>
      <c r="K449" s="318"/>
      <c r="L449" s="318"/>
      <c r="M449" s="319" t="str">
        <f>IFERROR(VLOOKUP(H449,Lijsten!$H$1:$I$100,2,0),"")</f>
        <v/>
      </c>
      <c r="N449" s="319" t="str">
        <f ca="1">IFERROR(IF(VLOOKUP(F449,Kostentypen!$A$3:$E$21,3,0)=0,"",IF(OR(F449="Arbeidskosten",F449="Vergoeding"),VLOOKUP(G449,Tb_KostenTypen[],2,0),VLOOKUP(F449,Kostentypen!$A$3:$E$20,3,0))),"")</f>
        <v/>
      </c>
      <c r="O449" s="320" t="str" cm="1">
        <f t="array" ref="O449">_xlfn.IFNA(IF(INDEX(Tb_KostenOptiesDB[],MATCH($F449,Tb_KostenOptiesDB[KostenOptie],0),IFERROR(MATCH(Methode_Keuze,Tb_KostenOptiesDB[#Headers],0),2))=1,_xlfn.SWITCH($N449,"Uurtarief",IF(OR(AND(RIGHT($F449,3)="IKS",VLOOKUP($M449,DB_Loonkosten,2,0)="Ja"),AND(RIGHT($F449,3)&lt;&gt;"IKS",VLOOKUP($M449,DB_Loonkosten,2,0)="Nee")),IFERROR(VLOOKUP($M449,DB_Loonkosten,24,0),""),0),"Vast tarief",IF(LEFT(F449,8)="Bijdrage",VLOOKUP($F449,Tb_KostenTypen[],MATCH(Lijsten!$P$1,Tb_KostenTypen[#Headers],0),0),VLOOKUP($G449,Lijsten!L:P,MATCH(Lijsten!$P$1,Kop_Tarief_Vast,0),0))),""),"")</f>
        <v/>
      </c>
      <c r="P449" s="320" t="str" cm="1">
        <f t="array" ref="P449">_xlfn.IFNA(IF(INDEX(Tb_KostenOptiesDB[],MATCH($F449,Tb_KostenOptiesDB[KostenOptie],0),IFERROR(MATCH(Methode_Keuze,Tb_KostenOptiesDB[#Headers],0),2))=1,_xlfn.SWITCH($N449,"Uurtarief",IF(OR(AND(RIGHT($F449,3)="IKS",VLOOKUP($M449,DB_Loonkosten,2,0)="Ja"),AND(RIGHT($F449,3)&lt;&gt;"IKS",VLOOKUP($M449,DB_Loonkosten,2,0)="Nee")),IFERROR(VLOOKUP($M449,DB_Loonkosten,25,0),""),0),"Vast tarief",IF(LEFT(F449,8)="Bijdrage",VLOOKUP($F449,Tb_KostenTypen[],MATCH(Lijsten!$P$1,Tb_KostenTypen[#Headers],0),0),VLOOKUP($G449,Lijsten!L:P,MATCH(Lijsten!$P$1,Kop_Tarief_Vast,0),0))),""),"")</f>
        <v/>
      </c>
      <c r="Q449" s="359"/>
      <c r="R449" s="359"/>
      <c r="S449" s="321"/>
      <c r="T449" s="321"/>
      <c r="U449" s="373" t="str">
        <f t="shared" si="24"/>
        <v/>
      </c>
      <c r="V449" s="314" t="str">
        <f t="shared" si="25"/>
        <v/>
      </c>
      <c r="W449" s="314" t="str" cm="1">
        <f t="array" aca="1" ref="W449" ca="1">IFERROR(IF(AE449&lt;&gt;"ja",_xlfn.IFNA(_xlfn.IFS(AND(O449&lt;&gt;"",F449&lt;&gt;"",RIGHT($N449,6)="tarief",F449="Vergoeding"),SUM(O449)*FLOOR(SUM(Q449),0.0001),AND(O449&lt;&gt;"",F449&lt;&gt;"",RIGHT($N449,6)="tarief"),SUM(O449)*FLOOR(SUM(Q449),0.01),S449&gt;0,IF(F449&lt;&gt;"",FLOOR(SUM(S449),0.01),"")),""),""),"")</f>
        <v/>
      </c>
      <c r="X449" s="314" t="str" cm="1">
        <f t="array" aca="1" ref="X449" ca="1">IFERROR(IF(AE449&lt;&gt;"ja",_xlfn.IFNA(_xlfn.IFS(AND(P449&lt;&gt;"",R449&lt;&gt;"",RIGHT($N449,6)="tarief",F449="Vergoeding"),SUM(P449)*FLOOR(SUM(R449),0.0001),AND(P449&lt;&gt;"",R449&lt;&gt;"",RIGHT($N449,6)="tarief"),P449*FLOOR(R449,0.01),T449&gt;0,FLOOR(SUM(T449),0.01)),""),""),"")</f>
        <v/>
      </c>
      <c r="Y449" s="314" t="str">
        <f t="shared" ca="1" si="26"/>
        <v/>
      </c>
      <c r="Z449" s="314" t="str" cm="1">
        <f t="array" aca="1" ref="Z449" ca="1">IFERROR(_xlfn.IFS(OR(F449="",LEFT(Methode_Keuze,4)="Geen",Methode_Keuze=""),"",AND(W449&lt;&gt;"",F449&lt;&gt;"Arbeidskosten"),W449*VLOOKUP(F449,Tb_ProjectKosten[],MATCH(Tb_ProjectKosten[[#Headers],[Forfait_Percentage]],Tb_ProjectKosten[#Headers],0),0),AND(F449="Arbeidskosten",G449&lt;&gt;""),IFERROR(W449*VLOOKUP(G449,Tb_KostenTypen[],3,0)*VLOOKUP(F449,Tb_ProjectKosten[],MATCH(Tb_ProjectKosten[[#Headers],[Forfait_Percentage]],Tb_ProjectKosten[#Headers],0),0),""),W449 &lt;=0,0),"")</f>
        <v/>
      </c>
      <c r="AA449" s="314" t="str" cm="1">
        <f t="array" aca="1" ref="AA449" ca="1">IFERROR(_xlfn.IFS(OR(F449="",LEFT(Methode_Keuze,4)="Geen",Methode_Keuze=""),"",AND(X449&lt;&gt;"",F449&lt;&gt;"Arbeidskosten"),X449*VLOOKUP(F449,Tb_ProjectKosten[],MATCH(Tb_ProjectKosten[[#Headers],[Forfait_Percentage]],Tb_ProjectKosten[#Headers],0),0),AND(F449="Arbeidskosten",G449&lt;&gt;""),IFERROR(X449*VLOOKUP(G449,Tb_KostenTypen[],3,0)*VLOOKUP(F449,Tb_ProjectKosten[],MATCH(Tb_ProjectKosten[[#Headers],[Forfait_Percentage]],Tb_ProjectKosten[#Headers],0),0),""),X449 &lt;=0,0),"")</f>
        <v/>
      </c>
      <c r="AB449" s="314" t="str">
        <f t="shared" ca="1" si="27"/>
        <v/>
      </c>
      <c r="AC449" s="322"/>
      <c r="AD449" s="315"/>
      <c r="AE449" s="32" t="str" cm="1">
        <f t="array" ref="AE449">IFERROR(IF(INDEX(SubsidieTabel!$AD$1:$AG$12,MATCH($F449,SubsidieTabel!$AD$1:$AD$12,0),IFERROR(MATCH(Methode_Keuze,SubsidieTabel!$AD$1:$AG$1,0),2))&lt;&gt;1=TRUE,"ja",""),"")</f>
        <v/>
      </c>
    </row>
    <row r="450" spans="1:31" x14ac:dyDescent="0.25">
      <c r="A450" s="316"/>
      <c r="B450" s="317" t="str">
        <f>IF(A450&lt;&gt;"",_xlfn.MAXIFS($B$1:B449,$A$1:A449,A450)+1,"")</f>
        <v/>
      </c>
      <c r="C450" s="296"/>
      <c r="D450" s="296"/>
      <c r="E450" s="296"/>
      <c r="F450" s="296"/>
      <c r="G450" s="326"/>
      <c r="H450" s="324"/>
      <c r="I450" s="325"/>
      <c r="J450" s="325"/>
      <c r="K450" s="318"/>
      <c r="L450" s="318"/>
      <c r="M450" s="319" t="str">
        <f>IFERROR(VLOOKUP(H450,Lijsten!$H$1:$I$100,2,0),"")</f>
        <v/>
      </c>
      <c r="N450" s="319" t="str">
        <f ca="1">IFERROR(IF(VLOOKUP(F450,Kostentypen!$A$3:$E$21,3,0)=0,"",IF(OR(F450="Arbeidskosten",F450="Vergoeding"),VLOOKUP(G450,Tb_KostenTypen[],2,0),VLOOKUP(F450,Kostentypen!$A$3:$E$20,3,0))),"")</f>
        <v/>
      </c>
      <c r="O450" s="320" t="str" cm="1">
        <f t="array" ref="O450">_xlfn.IFNA(IF(INDEX(Tb_KostenOptiesDB[],MATCH($F450,Tb_KostenOptiesDB[KostenOptie],0),IFERROR(MATCH(Methode_Keuze,Tb_KostenOptiesDB[#Headers],0),2))=1,_xlfn.SWITCH($N450,"Uurtarief",IF(OR(AND(RIGHT($F450,3)="IKS",VLOOKUP($M450,DB_Loonkosten,2,0)="Ja"),AND(RIGHT($F450,3)&lt;&gt;"IKS",VLOOKUP($M450,DB_Loonkosten,2,0)="Nee")),IFERROR(VLOOKUP($M450,DB_Loonkosten,24,0),""),0),"Vast tarief",IF(LEFT(F450,8)="Bijdrage",VLOOKUP($F450,Tb_KostenTypen[],MATCH(Lijsten!$P$1,Tb_KostenTypen[#Headers],0),0),VLOOKUP($G450,Lijsten!L:P,MATCH(Lijsten!$P$1,Kop_Tarief_Vast,0),0))),""),"")</f>
        <v/>
      </c>
      <c r="P450" s="320" t="str" cm="1">
        <f t="array" ref="P450">_xlfn.IFNA(IF(INDEX(Tb_KostenOptiesDB[],MATCH($F450,Tb_KostenOptiesDB[KostenOptie],0),IFERROR(MATCH(Methode_Keuze,Tb_KostenOptiesDB[#Headers],0),2))=1,_xlfn.SWITCH($N450,"Uurtarief",IF(OR(AND(RIGHT($F450,3)="IKS",VLOOKUP($M450,DB_Loonkosten,2,0)="Ja"),AND(RIGHT($F450,3)&lt;&gt;"IKS",VLOOKUP($M450,DB_Loonkosten,2,0)="Nee")),IFERROR(VLOOKUP($M450,DB_Loonkosten,25,0),""),0),"Vast tarief",IF(LEFT(F450,8)="Bijdrage",VLOOKUP($F450,Tb_KostenTypen[],MATCH(Lijsten!$P$1,Tb_KostenTypen[#Headers],0),0),VLOOKUP($G450,Lijsten!L:P,MATCH(Lijsten!$P$1,Kop_Tarief_Vast,0),0))),""),"")</f>
        <v/>
      </c>
      <c r="Q450" s="359"/>
      <c r="R450" s="359"/>
      <c r="S450" s="321"/>
      <c r="T450" s="321"/>
      <c r="U450" s="373" t="str">
        <f t="shared" si="24"/>
        <v/>
      </c>
      <c r="V450" s="314" t="str">
        <f t="shared" si="25"/>
        <v/>
      </c>
      <c r="W450" s="314" t="str" cm="1">
        <f t="array" aca="1" ref="W450" ca="1">IFERROR(IF(AE450&lt;&gt;"ja",_xlfn.IFNA(_xlfn.IFS(AND(O450&lt;&gt;"",F450&lt;&gt;"",RIGHT($N450,6)="tarief",F450="Vergoeding"),SUM(O450)*FLOOR(SUM(Q450),0.0001),AND(O450&lt;&gt;"",F450&lt;&gt;"",RIGHT($N450,6)="tarief"),SUM(O450)*FLOOR(SUM(Q450),0.01),S450&gt;0,IF(F450&lt;&gt;"",FLOOR(SUM(S450),0.01),"")),""),""),"")</f>
        <v/>
      </c>
      <c r="X450" s="314" t="str" cm="1">
        <f t="array" aca="1" ref="X450" ca="1">IFERROR(IF(AE450&lt;&gt;"ja",_xlfn.IFNA(_xlfn.IFS(AND(P450&lt;&gt;"",R450&lt;&gt;"",RIGHT($N450,6)="tarief",F450="Vergoeding"),SUM(P450)*FLOOR(SUM(R450),0.0001),AND(P450&lt;&gt;"",R450&lt;&gt;"",RIGHT($N450,6)="tarief"),P450*FLOOR(R450,0.01),T450&gt;0,FLOOR(SUM(T450),0.01)),""),""),"")</f>
        <v/>
      </c>
      <c r="Y450" s="314" t="str">
        <f t="shared" ca="1" si="26"/>
        <v/>
      </c>
      <c r="Z450" s="314" t="str" cm="1">
        <f t="array" aca="1" ref="Z450" ca="1">IFERROR(_xlfn.IFS(OR(F450="",LEFT(Methode_Keuze,4)="Geen",Methode_Keuze=""),"",AND(W450&lt;&gt;"",F450&lt;&gt;"Arbeidskosten"),W450*VLOOKUP(F450,Tb_ProjectKosten[],MATCH(Tb_ProjectKosten[[#Headers],[Forfait_Percentage]],Tb_ProjectKosten[#Headers],0),0),AND(F450="Arbeidskosten",G450&lt;&gt;""),IFERROR(W450*VLOOKUP(G450,Tb_KostenTypen[],3,0)*VLOOKUP(F450,Tb_ProjectKosten[],MATCH(Tb_ProjectKosten[[#Headers],[Forfait_Percentage]],Tb_ProjectKosten[#Headers],0),0),""),W450 &lt;=0,0),"")</f>
        <v/>
      </c>
      <c r="AA450" s="314" t="str" cm="1">
        <f t="array" aca="1" ref="AA450" ca="1">IFERROR(_xlfn.IFS(OR(F450="",LEFT(Methode_Keuze,4)="Geen",Methode_Keuze=""),"",AND(X450&lt;&gt;"",F450&lt;&gt;"Arbeidskosten"),X450*VLOOKUP(F450,Tb_ProjectKosten[],MATCH(Tb_ProjectKosten[[#Headers],[Forfait_Percentage]],Tb_ProjectKosten[#Headers],0),0),AND(F450="Arbeidskosten",G450&lt;&gt;""),IFERROR(X450*VLOOKUP(G450,Tb_KostenTypen[],3,0)*VLOOKUP(F450,Tb_ProjectKosten[],MATCH(Tb_ProjectKosten[[#Headers],[Forfait_Percentage]],Tb_ProjectKosten[#Headers],0),0),""),X450 &lt;=0,0),"")</f>
        <v/>
      </c>
      <c r="AB450" s="314" t="str">
        <f t="shared" ca="1" si="27"/>
        <v/>
      </c>
      <c r="AC450" s="322"/>
      <c r="AD450" s="315"/>
      <c r="AE450" s="32" t="str" cm="1">
        <f t="array" ref="AE450">IFERROR(IF(INDEX(SubsidieTabel!$AD$1:$AG$12,MATCH($F450,SubsidieTabel!$AD$1:$AD$12,0),IFERROR(MATCH(Methode_Keuze,SubsidieTabel!$AD$1:$AG$1,0),2))&lt;&gt;1=TRUE,"ja",""),"")</f>
        <v/>
      </c>
    </row>
    <row r="451" spans="1:31" x14ac:dyDescent="0.25">
      <c r="A451" s="316"/>
      <c r="B451" s="317" t="str">
        <f>IF(A451&lt;&gt;"",_xlfn.MAXIFS($B$1:B450,$A$1:A450,A451)+1,"")</f>
        <v/>
      </c>
      <c r="C451" s="296"/>
      <c r="D451" s="296"/>
      <c r="E451" s="296"/>
      <c r="F451" s="296"/>
      <c r="G451" s="326"/>
      <c r="H451" s="324"/>
      <c r="I451" s="325"/>
      <c r="J451" s="325"/>
      <c r="K451" s="318"/>
      <c r="L451" s="318"/>
      <c r="M451" s="319" t="str">
        <f>IFERROR(VLOOKUP(H451,Lijsten!$H$1:$I$100,2,0),"")</f>
        <v/>
      </c>
      <c r="N451" s="319" t="str">
        <f ca="1">IFERROR(IF(VLOOKUP(F451,Kostentypen!$A$3:$E$21,3,0)=0,"",IF(OR(F451="Arbeidskosten",F451="Vergoeding"),VLOOKUP(G451,Tb_KostenTypen[],2,0),VLOOKUP(F451,Kostentypen!$A$3:$E$20,3,0))),"")</f>
        <v/>
      </c>
      <c r="O451" s="320" t="str" cm="1">
        <f t="array" ref="O451">_xlfn.IFNA(IF(INDEX(Tb_KostenOptiesDB[],MATCH($F451,Tb_KostenOptiesDB[KostenOptie],0),IFERROR(MATCH(Methode_Keuze,Tb_KostenOptiesDB[#Headers],0),2))=1,_xlfn.SWITCH($N451,"Uurtarief",IF(OR(AND(RIGHT($F451,3)="IKS",VLOOKUP($M451,DB_Loonkosten,2,0)="Ja"),AND(RIGHT($F451,3)&lt;&gt;"IKS",VLOOKUP($M451,DB_Loonkosten,2,0)="Nee")),IFERROR(VLOOKUP($M451,DB_Loonkosten,24,0),""),0),"Vast tarief",IF(LEFT(F451,8)="Bijdrage",VLOOKUP($F451,Tb_KostenTypen[],MATCH(Lijsten!$P$1,Tb_KostenTypen[#Headers],0),0),VLOOKUP($G451,Lijsten!L:P,MATCH(Lijsten!$P$1,Kop_Tarief_Vast,0),0))),""),"")</f>
        <v/>
      </c>
      <c r="P451" s="320" t="str" cm="1">
        <f t="array" ref="P451">_xlfn.IFNA(IF(INDEX(Tb_KostenOptiesDB[],MATCH($F451,Tb_KostenOptiesDB[KostenOptie],0),IFERROR(MATCH(Methode_Keuze,Tb_KostenOptiesDB[#Headers],0),2))=1,_xlfn.SWITCH($N451,"Uurtarief",IF(OR(AND(RIGHT($F451,3)="IKS",VLOOKUP($M451,DB_Loonkosten,2,0)="Ja"),AND(RIGHT($F451,3)&lt;&gt;"IKS",VLOOKUP($M451,DB_Loonkosten,2,0)="Nee")),IFERROR(VLOOKUP($M451,DB_Loonkosten,25,0),""),0),"Vast tarief",IF(LEFT(F451,8)="Bijdrage",VLOOKUP($F451,Tb_KostenTypen[],MATCH(Lijsten!$P$1,Tb_KostenTypen[#Headers],0),0),VLOOKUP($G451,Lijsten!L:P,MATCH(Lijsten!$P$1,Kop_Tarief_Vast,0),0))),""),"")</f>
        <v/>
      </c>
      <c r="Q451" s="359"/>
      <c r="R451" s="359"/>
      <c r="S451" s="321"/>
      <c r="T451" s="321"/>
      <c r="U451" s="373" t="str">
        <f t="shared" ref="U451:U514" si="28">IFERROR(IF(AND(R451&lt;&gt;"",R451&lt;&gt;Q451),-1*(R451-Q451),""),"")</f>
        <v/>
      </c>
      <c r="V451" s="314" t="str">
        <f t="shared" ref="V451:V514" si="29">IFERROR(IF(AND(T451&lt;&gt;"",T451&lt;&gt;S451),-1*(T451-S451),""),"")</f>
        <v/>
      </c>
      <c r="W451" s="314" t="str" cm="1">
        <f t="array" aca="1" ref="W451" ca="1">IFERROR(IF(AE451&lt;&gt;"ja",_xlfn.IFNA(_xlfn.IFS(AND(O451&lt;&gt;"",F451&lt;&gt;"",RIGHT($N451,6)="tarief",F451="Vergoeding"),SUM(O451)*FLOOR(SUM(Q451),0.0001),AND(O451&lt;&gt;"",F451&lt;&gt;"",RIGHT($N451,6)="tarief"),SUM(O451)*FLOOR(SUM(Q451),0.01),S451&gt;0,IF(F451&lt;&gt;"",FLOOR(SUM(S451),0.01),"")),""),""),"")</f>
        <v/>
      </c>
      <c r="X451" s="314" t="str" cm="1">
        <f t="array" aca="1" ref="X451" ca="1">IFERROR(IF(AE451&lt;&gt;"ja",_xlfn.IFNA(_xlfn.IFS(AND(P451&lt;&gt;"",R451&lt;&gt;"",RIGHT($N451,6)="tarief",F451="Vergoeding"),SUM(P451)*FLOOR(SUM(R451),0.0001),AND(P451&lt;&gt;"",R451&lt;&gt;"",RIGHT($N451,6)="tarief"),P451*FLOOR(R451,0.01),T451&gt;0,FLOOR(SUM(T451),0.01)),""),""),"")</f>
        <v/>
      </c>
      <c r="Y451" s="314" t="str">
        <f t="shared" ref="Y451:Y514" ca="1" si="30">IFERROR(IF(AND(X451&lt;&gt;"",X451&lt;&gt;W451),-1*(X451-W451),""),"")</f>
        <v/>
      </c>
      <c r="Z451" s="314" t="str" cm="1">
        <f t="array" aca="1" ref="Z451" ca="1">IFERROR(_xlfn.IFS(OR(F451="",LEFT(Methode_Keuze,4)="Geen",Methode_Keuze=""),"",AND(W451&lt;&gt;"",F451&lt;&gt;"Arbeidskosten"),W451*VLOOKUP(F451,Tb_ProjectKosten[],MATCH(Tb_ProjectKosten[[#Headers],[Forfait_Percentage]],Tb_ProjectKosten[#Headers],0),0),AND(F451="Arbeidskosten",G451&lt;&gt;""),IFERROR(W451*VLOOKUP(G451,Tb_KostenTypen[],3,0)*VLOOKUP(F451,Tb_ProjectKosten[],MATCH(Tb_ProjectKosten[[#Headers],[Forfait_Percentage]],Tb_ProjectKosten[#Headers],0),0),""),W451 &lt;=0,0),"")</f>
        <v/>
      </c>
      <c r="AA451" s="314" t="str" cm="1">
        <f t="array" aca="1" ref="AA451" ca="1">IFERROR(_xlfn.IFS(OR(F451="",LEFT(Methode_Keuze,4)="Geen",Methode_Keuze=""),"",AND(X451&lt;&gt;"",F451&lt;&gt;"Arbeidskosten"),X451*VLOOKUP(F451,Tb_ProjectKosten[],MATCH(Tb_ProjectKosten[[#Headers],[Forfait_Percentage]],Tb_ProjectKosten[#Headers],0),0),AND(F451="Arbeidskosten",G451&lt;&gt;""),IFERROR(X451*VLOOKUP(G451,Tb_KostenTypen[],3,0)*VLOOKUP(F451,Tb_ProjectKosten[],MATCH(Tb_ProjectKosten[[#Headers],[Forfait_Percentage]],Tb_ProjectKosten[#Headers],0),0),""),X451 &lt;=0,0),"")</f>
        <v/>
      </c>
      <c r="AB451" s="314" t="str">
        <f t="shared" ref="AB451:AB514" ca="1" si="31">IFERROR(IF(AND(AA451&lt;&gt;"",AA451&lt;&gt;Z451),-1*(AA451-Z451),""),"")</f>
        <v/>
      </c>
      <c r="AC451" s="322"/>
      <c r="AD451" s="315"/>
      <c r="AE451" s="32" t="str" cm="1">
        <f t="array" ref="AE451">IFERROR(IF(INDEX(SubsidieTabel!$AD$1:$AG$12,MATCH($F451,SubsidieTabel!$AD$1:$AD$12,0),IFERROR(MATCH(Methode_Keuze,SubsidieTabel!$AD$1:$AG$1,0),2))&lt;&gt;1=TRUE,"ja",""),"")</f>
        <v/>
      </c>
    </row>
    <row r="452" spans="1:31" x14ac:dyDescent="0.25">
      <c r="A452" s="316"/>
      <c r="B452" s="317" t="str">
        <f>IF(A452&lt;&gt;"",_xlfn.MAXIFS($B$1:B451,$A$1:A451,A452)+1,"")</f>
        <v/>
      </c>
      <c r="C452" s="296"/>
      <c r="D452" s="296"/>
      <c r="E452" s="296"/>
      <c r="F452" s="296"/>
      <c r="G452" s="326"/>
      <c r="H452" s="324"/>
      <c r="I452" s="325"/>
      <c r="J452" s="325"/>
      <c r="K452" s="318"/>
      <c r="L452" s="318"/>
      <c r="M452" s="319" t="str">
        <f>IFERROR(VLOOKUP(H452,Lijsten!$H$1:$I$100,2,0),"")</f>
        <v/>
      </c>
      <c r="N452" s="319" t="str">
        <f ca="1">IFERROR(IF(VLOOKUP(F452,Kostentypen!$A$3:$E$21,3,0)=0,"",IF(OR(F452="Arbeidskosten",F452="Vergoeding"),VLOOKUP(G452,Tb_KostenTypen[],2,0),VLOOKUP(F452,Kostentypen!$A$3:$E$20,3,0))),"")</f>
        <v/>
      </c>
      <c r="O452" s="320" t="str" cm="1">
        <f t="array" ref="O452">_xlfn.IFNA(IF(INDEX(Tb_KostenOptiesDB[],MATCH($F452,Tb_KostenOptiesDB[KostenOptie],0),IFERROR(MATCH(Methode_Keuze,Tb_KostenOptiesDB[#Headers],0),2))=1,_xlfn.SWITCH($N452,"Uurtarief",IF(OR(AND(RIGHT($F452,3)="IKS",VLOOKUP($M452,DB_Loonkosten,2,0)="Ja"),AND(RIGHT($F452,3)&lt;&gt;"IKS",VLOOKUP($M452,DB_Loonkosten,2,0)="Nee")),IFERROR(VLOOKUP($M452,DB_Loonkosten,24,0),""),0),"Vast tarief",IF(LEFT(F452,8)="Bijdrage",VLOOKUP($F452,Tb_KostenTypen[],MATCH(Lijsten!$P$1,Tb_KostenTypen[#Headers],0),0),VLOOKUP($G452,Lijsten!L:P,MATCH(Lijsten!$P$1,Kop_Tarief_Vast,0),0))),""),"")</f>
        <v/>
      </c>
      <c r="P452" s="320" t="str" cm="1">
        <f t="array" ref="P452">_xlfn.IFNA(IF(INDEX(Tb_KostenOptiesDB[],MATCH($F452,Tb_KostenOptiesDB[KostenOptie],0),IFERROR(MATCH(Methode_Keuze,Tb_KostenOptiesDB[#Headers],0),2))=1,_xlfn.SWITCH($N452,"Uurtarief",IF(OR(AND(RIGHT($F452,3)="IKS",VLOOKUP($M452,DB_Loonkosten,2,0)="Ja"),AND(RIGHT($F452,3)&lt;&gt;"IKS",VLOOKUP($M452,DB_Loonkosten,2,0)="Nee")),IFERROR(VLOOKUP($M452,DB_Loonkosten,25,0),""),0),"Vast tarief",IF(LEFT(F452,8)="Bijdrage",VLOOKUP($F452,Tb_KostenTypen[],MATCH(Lijsten!$P$1,Tb_KostenTypen[#Headers],0),0),VLOOKUP($G452,Lijsten!L:P,MATCH(Lijsten!$P$1,Kop_Tarief_Vast,0),0))),""),"")</f>
        <v/>
      </c>
      <c r="Q452" s="359"/>
      <c r="R452" s="359"/>
      <c r="S452" s="321"/>
      <c r="T452" s="321"/>
      <c r="U452" s="373" t="str">
        <f t="shared" si="28"/>
        <v/>
      </c>
      <c r="V452" s="314" t="str">
        <f t="shared" si="29"/>
        <v/>
      </c>
      <c r="W452" s="314" t="str" cm="1">
        <f t="array" aca="1" ref="W452" ca="1">IFERROR(IF(AE452&lt;&gt;"ja",_xlfn.IFNA(_xlfn.IFS(AND(O452&lt;&gt;"",F452&lt;&gt;"",RIGHT($N452,6)="tarief",F452="Vergoeding"),SUM(O452)*FLOOR(SUM(Q452),0.0001),AND(O452&lt;&gt;"",F452&lt;&gt;"",RIGHT($N452,6)="tarief"),SUM(O452)*FLOOR(SUM(Q452),0.01),S452&gt;0,IF(F452&lt;&gt;"",FLOOR(SUM(S452),0.01),"")),""),""),"")</f>
        <v/>
      </c>
      <c r="X452" s="314" t="str" cm="1">
        <f t="array" aca="1" ref="X452" ca="1">IFERROR(IF(AE452&lt;&gt;"ja",_xlfn.IFNA(_xlfn.IFS(AND(P452&lt;&gt;"",R452&lt;&gt;"",RIGHT($N452,6)="tarief",F452="Vergoeding"),SUM(P452)*FLOOR(SUM(R452),0.0001),AND(P452&lt;&gt;"",R452&lt;&gt;"",RIGHT($N452,6)="tarief"),P452*FLOOR(R452,0.01),T452&gt;0,FLOOR(SUM(T452),0.01)),""),""),"")</f>
        <v/>
      </c>
      <c r="Y452" s="314" t="str">
        <f t="shared" ca="1" si="30"/>
        <v/>
      </c>
      <c r="Z452" s="314" t="str" cm="1">
        <f t="array" aca="1" ref="Z452" ca="1">IFERROR(_xlfn.IFS(OR(F452="",LEFT(Methode_Keuze,4)="Geen",Methode_Keuze=""),"",AND(W452&lt;&gt;"",F452&lt;&gt;"Arbeidskosten"),W452*VLOOKUP(F452,Tb_ProjectKosten[],MATCH(Tb_ProjectKosten[[#Headers],[Forfait_Percentage]],Tb_ProjectKosten[#Headers],0),0),AND(F452="Arbeidskosten",G452&lt;&gt;""),IFERROR(W452*VLOOKUP(G452,Tb_KostenTypen[],3,0)*VLOOKUP(F452,Tb_ProjectKosten[],MATCH(Tb_ProjectKosten[[#Headers],[Forfait_Percentage]],Tb_ProjectKosten[#Headers],0),0),""),W452 &lt;=0,0),"")</f>
        <v/>
      </c>
      <c r="AA452" s="314" t="str" cm="1">
        <f t="array" aca="1" ref="AA452" ca="1">IFERROR(_xlfn.IFS(OR(F452="",LEFT(Methode_Keuze,4)="Geen",Methode_Keuze=""),"",AND(X452&lt;&gt;"",F452&lt;&gt;"Arbeidskosten"),X452*VLOOKUP(F452,Tb_ProjectKosten[],MATCH(Tb_ProjectKosten[[#Headers],[Forfait_Percentage]],Tb_ProjectKosten[#Headers],0),0),AND(F452="Arbeidskosten",G452&lt;&gt;""),IFERROR(X452*VLOOKUP(G452,Tb_KostenTypen[],3,0)*VLOOKUP(F452,Tb_ProjectKosten[],MATCH(Tb_ProjectKosten[[#Headers],[Forfait_Percentage]],Tb_ProjectKosten[#Headers],0),0),""),X452 &lt;=0,0),"")</f>
        <v/>
      </c>
      <c r="AB452" s="314" t="str">
        <f t="shared" ca="1" si="31"/>
        <v/>
      </c>
      <c r="AC452" s="322"/>
      <c r="AD452" s="315"/>
      <c r="AE452" s="32" t="str" cm="1">
        <f t="array" ref="AE452">IFERROR(IF(INDEX(SubsidieTabel!$AD$1:$AG$12,MATCH($F452,SubsidieTabel!$AD$1:$AD$12,0),IFERROR(MATCH(Methode_Keuze,SubsidieTabel!$AD$1:$AG$1,0),2))&lt;&gt;1=TRUE,"ja",""),"")</f>
        <v/>
      </c>
    </row>
    <row r="453" spans="1:31" x14ac:dyDescent="0.25">
      <c r="A453" s="316"/>
      <c r="B453" s="317" t="str">
        <f>IF(A453&lt;&gt;"",_xlfn.MAXIFS($B$1:B452,$A$1:A452,A453)+1,"")</f>
        <v/>
      </c>
      <c r="C453" s="296"/>
      <c r="D453" s="296"/>
      <c r="E453" s="296"/>
      <c r="F453" s="296"/>
      <c r="G453" s="326"/>
      <c r="H453" s="324"/>
      <c r="I453" s="325"/>
      <c r="J453" s="325"/>
      <c r="K453" s="318"/>
      <c r="L453" s="318"/>
      <c r="M453" s="319" t="str">
        <f>IFERROR(VLOOKUP(H453,Lijsten!$H$1:$I$100,2,0),"")</f>
        <v/>
      </c>
      <c r="N453" s="319" t="str">
        <f ca="1">IFERROR(IF(VLOOKUP(F453,Kostentypen!$A$3:$E$21,3,0)=0,"",IF(OR(F453="Arbeidskosten",F453="Vergoeding"),VLOOKUP(G453,Tb_KostenTypen[],2,0),VLOOKUP(F453,Kostentypen!$A$3:$E$20,3,0))),"")</f>
        <v/>
      </c>
      <c r="O453" s="320" t="str" cm="1">
        <f t="array" ref="O453">_xlfn.IFNA(IF(INDEX(Tb_KostenOptiesDB[],MATCH($F453,Tb_KostenOptiesDB[KostenOptie],0),IFERROR(MATCH(Methode_Keuze,Tb_KostenOptiesDB[#Headers],0),2))=1,_xlfn.SWITCH($N453,"Uurtarief",IF(OR(AND(RIGHT($F453,3)="IKS",VLOOKUP($M453,DB_Loonkosten,2,0)="Ja"),AND(RIGHT($F453,3)&lt;&gt;"IKS",VLOOKUP($M453,DB_Loonkosten,2,0)="Nee")),IFERROR(VLOOKUP($M453,DB_Loonkosten,24,0),""),0),"Vast tarief",IF(LEFT(F453,8)="Bijdrage",VLOOKUP($F453,Tb_KostenTypen[],MATCH(Lijsten!$P$1,Tb_KostenTypen[#Headers],0),0),VLOOKUP($G453,Lijsten!L:P,MATCH(Lijsten!$P$1,Kop_Tarief_Vast,0),0))),""),"")</f>
        <v/>
      </c>
      <c r="P453" s="320" t="str" cm="1">
        <f t="array" ref="P453">_xlfn.IFNA(IF(INDEX(Tb_KostenOptiesDB[],MATCH($F453,Tb_KostenOptiesDB[KostenOptie],0),IFERROR(MATCH(Methode_Keuze,Tb_KostenOptiesDB[#Headers],0),2))=1,_xlfn.SWITCH($N453,"Uurtarief",IF(OR(AND(RIGHT($F453,3)="IKS",VLOOKUP($M453,DB_Loonkosten,2,0)="Ja"),AND(RIGHT($F453,3)&lt;&gt;"IKS",VLOOKUP($M453,DB_Loonkosten,2,0)="Nee")),IFERROR(VLOOKUP($M453,DB_Loonkosten,25,0),""),0),"Vast tarief",IF(LEFT(F453,8)="Bijdrage",VLOOKUP($F453,Tb_KostenTypen[],MATCH(Lijsten!$P$1,Tb_KostenTypen[#Headers],0),0),VLOOKUP($G453,Lijsten!L:P,MATCH(Lijsten!$P$1,Kop_Tarief_Vast,0),0))),""),"")</f>
        <v/>
      </c>
      <c r="Q453" s="359"/>
      <c r="R453" s="359"/>
      <c r="S453" s="321"/>
      <c r="T453" s="321"/>
      <c r="U453" s="373" t="str">
        <f t="shared" si="28"/>
        <v/>
      </c>
      <c r="V453" s="314" t="str">
        <f t="shared" si="29"/>
        <v/>
      </c>
      <c r="W453" s="314" t="str" cm="1">
        <f t="array" aca="1" ref="W453" ca="1">IFERROR(IF(AE453&lt;&gt;"ja",_xlfn.IFNA(_xlfn.IFS(AND(O453&lt;&gt;"",F453&lt;&gt;"",RIGHT($N453,6)="tarief",F453="Vergoeding"),SUM(O453)*FLOOR(SUM(Q453),0.0001),AND(O453&lt;&gt;"",F453&lt;&gt;"",RIGHT($N453,6)="tarief"),SUM(O453)*FLOOR(SUM(Q453),0.01),S453&gt;0,IF(F453&lt;&gt;"",FLOOR(SUM(S453),0.01),"")),""),""),"")</f>
        <v/>
      </c>
      <c r="X453" s="314" t="str" cm="1">
        <f t="array" aca="1" ref="X453" ca="1">IFERROR(IF(AE453&lt;&gt;"ja",_xlfn.IFNA(_xlfn.IFS(AND(P453&lt;&gt;"",R453&lt;&gt;"",RIGHT($N453,6)="tarief",F453="Vergoeding"),SUM(P453)*FLOOR(SUM(R453),0.0001),AND(P453&lt;&gt;"",R453&lt;&gt;"",RIGHT($N453,6)="tarief"),P453*FLOOR(R453,0.01),T453&gt;0,FLOOR(SUM(T453),0.01)),""),""),"")</f>
        <v/>
      </c>
      <c r="Y453" s="314" t="str">
        <f t="shared" ca="1" si="30"/>
        <v/>
      </c>
      <c r="Z453" s="314" t="str" cm="1">
        <f t="array" aca="1" ref="Z453" ca="1">IFERROR(_xlfn.IFS(OR(F453="",LEFT(Methode_Keuze,4)="Geen",Methode_Keuze=""),"",AND(W453&lt;&gt;"",F453&lt;&gt;"Arbeidskosten"),W453*VLOOKUP(F453,Tb_ProjectKosten[],MATCH(Tb_ProjectKosten[[#Headers],[Forfait_Percentage]],Tb_ProjectKosten[#Headers],0),0),AND(F453="Arbeidskosten",G453&lt;&gt;""),IFERROR(W453*VLOOKUP(G453,Tb_KostenTypen[],3,0)*VLOOKUP(F453,Tb_ProjectKosten[],MATCH(Tb_ProjectKosten[[#Headers],[Forfait_Percentage]],Tb_ProjectKosten[#Headers],0),0),""),W453 &lt;=0,0),"")</f>
        <v/>
      </c>
      <c r="AA453" s="314" t="str" cm="1">
        <f t="array" aca="1" ref="AA453" ca="1">IFERROR(_xlfn.IFS(OR(F453="",LEFT(Methode_Keuze,4)="Geen",Methode_Keuze=""),"",AND(X453&lt;&gt;"",F453&lt;&gt;"Arbeidskosten"),X453*VLOOKUP(F453,Tb_ProjectKosten[],MATCH(Tb_ProjectKosten[[#Headers],[Forfait_Percentage]],Tb_ProjectKosten[#Headers],0),0),AND(F453="Arbeidskosten",G453&lt;&gt;""),IFERROR(X453*VLOOKUP(G453,Tb_KostenTypen[],3,0)*VLOOKUP(F453,Tb_ProjectKosten[],MATCH(Tb_ProjectKosten[[#Headers],[Forfait_Percentage]],Tb_ProjectKosten[#Headers],0),0),""),X453 &lt;=0,0),"")</f>
        <v/>
      </c>
      <c r="AB453" s="314" t="str">
        <f t="shared" ca="1" si="31"/>
        <v/>
      </c>
      <c r="AC453" s="322"/>
      <c r="AD453" s="315"/>
      <c r="AE453" s="32" t="str" cm="1">
        <f t="array" ref="AE453">IFERROR(IF(INDEX(SubsidieTabel!$AD$1:$AG$12,MATCH($F453,SubsidieTabel!$AD$1:$AD$12,0),IFERROR(MATCH(Methode_Keuze,SubsidieTabel!$AD$1:$AG$1,0),2))&lt;&gt;1=TRUE,"ja",""),"")</f>
        <v/>
      </c>
    </row>
    <row r="454" spans="1:31" x14ac:dyDescent="0.25">
      <c r="A454" s="316"/>
      <c r="B454" s="317" t="str">
        <f>IF(A454&lt;&gt;"",_xlfn.MAXIFS($B$1:B453,$A$1:A453,A454)+1,"")</f>
        <v/>
      </c>
      <c r="C454" s="296"/>
      <c r="D454" s="296"/>
      <c r="E454" s="296"/>
      <c r="F454" s="296"/>
      <c r="G454" s="326"/>
      <c r="H454" s="324"/>
      <c r="I454" s="325"/>
      <c r="J454" s="325"/>
      <c r="K454" s="318"/>
      <c r="L454" s="318"/>
      <c r="M454" s="319" t="str">
        <f>IFERROR(VLOOKUP(H454,Lijsten!$H$1:$I$100,2,0),"")</f>
        <v/>
      </c>
      <c r="N454" s="319" t="str">
        <f ca="1">IFERROR(IF(VLOOKUP(F454,Kostentypen!$A$3:$E$21,3,0)=0,"",IF(OR(F454="Arbeidskosten",F454="Vergoeding"),VLOOKUP(G454,Tb_KostenTypen[],2,0),VLOOKUP(F454,Kostentypen!$A$3:$E$20,3,0))),"")</f>
        <v/>
      </c>
      <c r="O454" s="320" t="str" cm="1">
        <f t="array" ref="O454">_xlfn.IFNA(IF(INDEX(Tb_KostenOptiesDB[],MATCH($F454,Tb_KostenOptiesDB[KostenOptie],0),IFERROR(MATCH(Methode_Keuze,Tb_KostenOptiesDB[#Headers],0),2))=1,_xlfn.SWITCH($N454,"Uurtarief",IF(OR(AND(RIGHT($F454,3)="IKS",VLOOKUP($M454,DB_Loonkosten,2,0)="Ja"),AND(RIGHT($F454,3)&lt;&gt;"IKS",VLOOKUP($M454,DB_Loonkosten,2,0)="Nee")),IFERROR(VLOOKUP($M454,DB_Loonkosten,24,0),""),0),"Vast tarief",IF(LEFT(F454,8)="Bijdrage",VLOOKUP($F454,Tb_KostenTypen[],MATCH(Lijsten!$P$1,Tb_KostenTypen[#Headers],0),0),VLOOKUP($G454,Lijsten!L:P,MATCH(Lijsten!$P$1,Kop_Tarief_Vast,0),0))),""),"")</f>
        <v/>
      </c>
      <c r="P454" s="320" t="str" cm="1">
        <f t="array" ref="P454">_xlfn.IFNA(IF(INDEX(Tb_KostenOptiesDB[],MATCH($F454,Tb_KostenOptiesDB[KostenOptie],0),IFERROR(MATCH(Methode_Keuze,Tb_KostenOptiesDB[#Headers],0),2))=1,_xlfn.SWITCH($N454,"Uurtarief",IF(OR(AND(RIGHT($F454,3)="IKS",VLOOKUP($M454,DB_Loonkosten,2,0)="Ja"),AND(RIGHT($F454,3)&lt;&gt;"IKS",VLOOKUP($M454,DB_Loonkosten,2,0)="Nee")),IFERROR(VLOOKUP($M454,DB_Loonkosten,25,0),""),0),"Vast tarief",IF(LEFT(F454,8)="Bijdrage",VLOOKUP($F454,Tb_KostenTypen[],MATCH(Lijsten!$P$1,Tb_KostenTypen[#Headers],0),0),VLOOKUP($G454,Lijsten!L:P,MATCH(Lijsten!$P$1,Kop_Tarief_Vast,0),0))),""),"")</f>
        <v/>
      </c>
      <c r="Q454" s="359"/>
      <c r="R454" s="359"/>
      <c r="S454" s="321"/>
      <c r="T454" s="321"/>
      <c r="U454" s="373" t="str">
        <f t="shared" si="28"/>
        <v/>
      </c>
      <c r="V454" s="314" t="str">
        <f t="shared" si="29"/>
        <v/>
      </c>
      <c r="W454" s="314" t="str" cm="1">
        <f t="array" aca="1" ref="W454" ca="1">IFERROR(IF(AE454&lt;&gt;"ja",_xlfn.IFNA(_xlfn.IFS(AND(O454&lt;&gt;"",F454&lt;&gt;"",RIGHT($N454,6)="tarief",F454="Vergoeding"),SUM(O454)*FLOOR(SUM(Q454),0.0001),AND(O454&lt;&gt;"",F454&lt;&gt;"",RIGHT($N454,6)="tarief"),SUM(O454)*FLOOR(SUM(Q454),0.01),S454&gt;0,IF(F454&lt;&gt;"",FLOOR(SUM(S454),0.01),"")),""),""),"")</f>
        <v/>
      </c>
      <c r="X454" s="314" t="str" cm="1">
        <f t="array" aca="1" ref="X454" ca="1">IFERROR(IF(AE454&lt;&gt;"ja",_xlfn.IFNA(_xlfn.IFS(AND(P454&lt;&gt;"",R454&lt;&gt;"",RIGHT($N454,6)="tarief",F454="Vergoeding"),SUM(P454)*FLOOR(SUM(R454),0.0001),AND(P454&lt;&gt;"",R454&lt;&gt;"",RIGHT($N454,6)="tarief"),P454*FLOOR(R454,0.01),T454&gt;0,FLOOR(SUM(T454),0.01)),""),""),"")</f>
        <v/>
      </c>
      <c r="Y454" s="314" t="str">
        <f t="shared" ca="1" si="30"/>
        <v/>
      </c>
      <c r="Z454" s="314" t="str" cm="1">
        <f t="array" aca="1" ref="Z454" ca="1">IFERROR(_xlfn.IFS(OR(F454="",LEFT(Methode_Keuze,4)="Geen",Methode_Keuze=""),"",AND(W454&lt;&gt;"",F454&lt;&gt;"Arbeidskosten"),W454*VLOOKUP(F454,Tb_ProjectKosten[],MATCH(Tb_ProjectKosten[[#Headers],[Forfait_Percentage]],Tb_ProjectKosten[#Headers],0),0),AND(F454="Arbeidskosten",G454&lt;&gt;""),IFERROR(W454*VLOOKUP(G454,Tb_KostenTypen[],3,0)*VLOOKUP(F454,Tb_ProjectKosten[],MATCH(Tb_ProjectKosten[[#Headers],[Forfait_Percentage]],Tb_ProjectKosten[#Headers],0),0),""),W454 &lt;=0,0),"")</f>
        <v/>
      </c>
      <c r="AA454" s="314" t="str" cm="1">
        <f t="array" aca="1" ref="AA454" ca="1">IFERROR(_xlfn.IFS(OR(F454="",LEFT(Methode_Keuze,4)="Geen",Methode_Keuze=""),"",AND(X454&lt;&gt;"",F454&lt;&gt;"Arbeidskosten"),X454*VLOOKUP(F454,Tb_ProjectKosten[],MATCH(Tb_ProjectKosten[[#Headers],[Forfait_Percentage]],Tb_ProjectKosten[#Headers],0),0),AND(F454="Arbeidskosten",G454&lt;&gt;""),IFERROR(X454*VLOOKUP(G454,Tb_KostenTypen[],3,0)*VLOOKUP(F454,Tb_ProjectKosten[],MATCH(Tb_ProjectKosten[[#Headers],[Forfait_Percentage]],Tb_ProjectKosten[#Headers],0),0),""),X454 &lt;=0,0),"")</f>
        <v/>
      </c>
      <c r="AB454" s="314" t="str">
        <f t="shared" ca="1" si="31"/>
        <v/>
      </c>
      <c r="AC454" s="322"/>
      <c r="AD454" s="315"/>
      <c r="AE454" s="32" t="str" cm="1">
        <f t="array" ref="AE454">IFERROR(IF(INDEX(SubsidieTabel!$AD$1:$AG$12,MATCH($F454,SubsidieTabel!$AD$1:$AD$12,0),IFERROR(MATCH(Methode_Keuze,SubsidieTabel!$AD$1:$AG$1,0),2))&lt;&gt;1=TRUE,"ja",""),"")</f>
        <v/>
      </c>
    </row>
    <row r="455" spans="1:31" x14ac:dyDescent="0.25">
      <c r="A455" s="316"/>
      <c r="B455" s="317" t="str">
        <f>IF(A455&lt;&gt;"",_xlfn.MAXIFS($B$1:B454,$A$1:A454,A455)+1,"")</f>
        <v/>
      </c>
      <c r="C455" s="296"/>
      <c r="D455" s="296"/>
      <c r="E455" s="296"/>
      <c r="F455" s="296"/>
      <c r="G455" s="326"/>
      <c r="H455" s="324"/>
      <c r="I455" s="325"/>
      <c r="J455" s="325"/>
      <c r="K455" s="318"/>
      <c r="L455" s="318"/>
      <c r="M455" s="319" t="str">
        <f>IFERROR(VLOOKUP(H455,Lijsten!$H$1:$I$100,2,0),"")</f>
        <v/>
      </c>
      <c r="N455" s="319" t="str">
        <f ca="1">IFERROR(IF(VLOOKUP(F455,Kostentypen!$A$3:$E$21,3,0)=0,"",IF(OR(F455="Arbeidskosten",F455="Vergoeding"),VLOOKUP(G455,Tb_KostenTypen[],2,0),VLOOKUP(F455,Kostentypen!$A$3:$E$20,3,0))),"")</f>
        <v/>
      </c>
      <c r="O455" s="320" t="str" cm="1">
        <f t="array" ref="O455">_xlfn.IFNA(IF(INDEX(Tb_KostenOptiesDB[],MATCH($F455,Tb_KostenOptiesDB[KostenOptie],0),IFERROR(MATCH(Methode_Keuze,Tb_KostenOptiesDB[#Headers],0),2))=1,_xlfn.SWITCH($N455,"Uurtarief",IF(OR(AND(RIGHT($F455,3)="IKS",VLOOKUP($M455,DB_Loonkosten,2,0)="Ja"),AND(RIGHT($F455,3)&lt;&gt;"IKS",VLOOKUP($M455,DB_Loonkosten,2,0)="Nee")),IFERROR(VLOOKUP($M455,DB_Loonkosten,24,0),""),0),"Vast tarief",IF(LEFT(F455,8)="Bijdrage",VLOOKUP($F455,Tb_KostenTypen[],MATCH(Lijsten!$P$1,Tb_KostenTypen[#Headers],0),0),VLOOKUP($G455,Lijsten!L:P,MATCH(Lijsten!$P$1,Kop_Tarief_Vast,0),0))),""),"")</f>
        <v/>
      </c>
      <c r="P455" s="320" t="str" cm="1">
        <f t="array" ref="P455">_xlfn.IFNA(IF(INDEX(Tb_KostenOptiesDB[],MATCH($F455,Tb_KostenOptiesDB[KostenOptie],0),IFERROR(MATCH(Methode_Keuze,Tb_KostenOptiesDB[#Headers],0),2))=1,_xlfn.SWITCH($N455,"Uurtarief",IF(OR(AND(RIGHT($F455,3)="IKS",VLOOKUP($M455,DB_Loonkosten,2,0)="Ja"),AND(RIGHT($F455,3)&lt;&gt;"IKS",VLOOKUP($M455,DB_Loonkosten,2,0)="Nee")),IFERROR(VLOOKUP($M455,DB_Loonkosten,25,0),""),0),"Vast tarief",IF(LEFT(F455,8)="Bijdrage",VLOOKUP($F455,Tb_KostenTypen[],MATCH(Lijsten!$P$1,Tb_KostenTypen[#Headers],0),0),VLOOKUP($G455,Lijsten!L:P,MATCH(Lijsten!$P$1,Kop_Tarief_Vast,0),0))),""),"")</f>
        <v/>
      </c>
      <c r="Q455" s="359"/>
      <c r="R455" s="359"/>
      <c r="S455" s="321"/>
      <c r="T455" s="321"/>
      <c r="U455" s="373" t="str">
        <f t="shared" si="28"/>
        <v/>
      </c>
      <c r="V455" s="314" t="str">
        <f t="shared" si="29"/>
        <v/>
      </c>
      <c r="W455" s="314" t="str" cm="1">
        <f t="array" aca="1" ref="W455" ca="1">IFERROR(IF(AE455&lt;&gt;"ja",_xlfn.IFNA(_xlfn.IFS(AND(O455&lt;&gt;"",F455&lt;&gt;"",RIGHT($N455,6)="tarief",F455="Vergoeding"),SUM(O455)*FLOOR(SUM(Q455),0.0001),AND(O455&lt;&gt;"",F455&lt;&gt;"",RIGHT($N455,6)="tarief"),SUM(O455)*FLOOR(SUM(Q455),0.01),S455&gt;0,IF(F455&lt;&gt;"",FLOOR(SUM(S455),0.01),"")),""),""),"")</f>
        <v/>
      </c>
      <c r="X455" s="314" t="str" cm="1">
        <f t="array" aca="1" ref="X455" ca="1">IFERROR(IF(AE455&lt;&gt;"ja",_xlfn.IFNA(_xlfn.IFS(AND(P455&lt;&gt;"",R455&lt;&gt;"",RIGHT($N455,6)="tarief",F455="Vergoeding"),SUM(P455)*FLOOR(SUM(R455),0.0001),AND(P455&lt;&gt;"",R455&lt;&gt;"",RIGHT($N455,6)="tarief"),P455*FLOOR(R455,0.01),T455&gt;0,FLOOR(SUM(T455),0.01)),""),""),"")</f>
        <v/>
      </c>
      <c r="Y455" s="314" t="str">
        <f t="shared" ca="1" si="30"/>
        <v/>
      </c>
      <c r="Z455" s="314" t="str" cm="1">
        <f t="array" aca="1" ref="Z455" ca="1">IFERROR(_xlfn.IFS(OR(F455="",LEFT(Methode_Keuze,4)="Geen",Methode_Keuze=""),"",AND(W455&lt;&gt;"",F455&lt;&gt;"Arbeidskosten"),W455*VLOOKUP(F455,Tb_ProjectKosten[],MATCH(Tb_ProjectKosten[[#Headers],[Forfait_Percentage]],Tb_ProjectKosten[#Headers],0),0),AND(F455="Arbeidskosten",G455&lt;&gt;""),IFERROR(W455*VLOOKUP(G455,Tb_KostenTypen[],3,0)*VLOOKUP(F455,Tb_ProjectKosten[],MATCH(Tb_ProjectKosten[[#Headers],[Forfait_Percentage]],Tb_ProjectKosten[#Headers],0),0),""),W455 &lt;=0,0),"")</f>
        <v/>
      </c>
      <c r="AA455" s="314" t="str" cm="1">
        <f t="array" aca="1" ref="AA455" ca="1">IFERROR(_xlfn.IFS(OR(F455="",LEFT(Methode_Keuze,4)="Geen",Methode_Keuze=""),"",AND(X455&lt;&gt;"",F455&lt;&gt;"Arbeidskosten"),X455*VLOOKUP(F455,Tb_ProjectKosten[],MATCH(Tb_ProjectKosten[[#Headers],[Forfait_Percentage]],Tb_ProjectKosten[#Headers],0),0),AND(F455="Arbeidskosten",G455&lt;&gt;""),IFERROR(X455*VLOOKUP(G455,Tb_KostenTypen[],3,0)*VLOOKUP(F455,Tb_ProjectKosten[],MATCH(Tb_ProjectKosten[[#Headers],[Forfait_Percentage]],Tb_ProjectKosten[#Headers],0),0),""),X455 &lt;=0,0),"")</f>
        <v/>
      </c>
      <c r="AB455" s="314" t="str">
        <f t="shared" ca="1" si="31"/>
        <v/>
      </c>
      <c r="AC455" s="322"/>
      <c r="AD455" s="315"/>
      <c r="AE455" s="32" t="str" cm="1">
        <f t="array" ref="AE455">IFERROR(IF(INDEX(SubsidieTabel!$AD$1:$AG$12,MATCH($F455,SubsidieTabel!$AD$1:$AD$12,0),IFERROR(MATCH(Methode_Keuze,SubsidieTabel!$AD$1:$AG$1,0),2))&lt;&gt;1=TRUE,"ja",""),"")</f>
        <v/>
      </c>
    </row>
    <row r="456" spans="1:31" x14ac:dyDescent="0.25">
      <c r="A456" s="316"/>
      <c r="B456" s="317" t="str">
        <f>IF(A456&lt;&gt;"",_xlfn.MAXIFS($B$1:B455,$A$1:A455,A456)+1,"")</f>
        <v/>
      </c>
      <c r="C456" s="296"/>
      <c r="D456" s="296"/>
      <c r="E456" s="296"/>
      <c r="F456" s="296"/>
      <c r="G456" s="326"/>
      <c r="H456" s="324"/>
      <c r="I456" s="325"/>
      <c r="J456" s="325"/>
      <c r="K456" s="318"/>
      <c r="L456" s="318"/>
      <c r="M456" s="319" t="str">
        <f>IFERROR(VLOOKUP(H456,Lijsten!$H$1:$I$100,2,0),"")</f>
        <v/>
      </c>
      <c r="N456" s="319" t="str">
        <f ca="1">IFERROR(IF(VLOOKUP(F456,Kostentypen!$A$3:$E$21,3,0)=0,"",IF(OR(F456="Arbeidskosten",F456="Vergoeding"),VLOOKUP(G456,Tb_KostenTypen[],2,0),VLOOKUP(F456,Kostentypen!$A$3:$E$20,3,0))),"")</f>
        <v/>
      </c>
      <c r="O456" s="320" t="str" cm="1">
        <f t="array" ref="O456">_xlfn.IFNA(IF(INDEX(Tb_KostenOptiesDB[],MATCH($F456,Tb_KostenOptiesDB[KostenOptie],0),IFERROR(MATCH(Methode_Keuze,Tb_KostenOptiesDB[#Headers],0),2))=1,_xlfn.SWITCH($N456,"Uurtarief",IF(OR(AND(RIGHT($F456,3)="IKS",VLOOKUP($M456,DB_Loonkosten,2,0)="Ja"),AND(RIGHT($F456,3)&lt;&gt;"IKS",VLOOKUP($M456,DB_Loonkosten,2,0)="Nee")),IFERROR(VLOOKUP($M456,DB_Loonkosten,24,0),""),0),"Vast tarief",IF(LEFT(F456,8)="Bijdrage",VLOOKUP($F456,Tb_KostenTypen[],MATCH(Lijsten!$P$1,Tb_KostenTypen[#Headers],0),0),VLOOKUP($G456,Lijsten!L:P,MATCH(Lijsten!$P$1,Kop_Tarief_Vast,0),0))),""),"")</f>
        <v/>
      </c>
      <c r="P456" s="320" t="str" cm="1">
        <f t="array" ref="P456">_xlfn.IFNA(IF(INDEX(Tb_KostenOptiesDB[],MATCH($F456,Tb_KostenOptiesDB[KostenOptie],0),IFERROR(MATCH(Methode_Keuze,Tb_KostenOptiesDB[#Headers],0),2))=1,_xlfn.SWITCH($N456,"Uurtarief",IF(OR(AND(RIGHT($F456,3)="IKS",VLOOKUP($M456,DB_Loonkosten,2,0)="Ja"),AND(RIGHT($F456,3)&lt;&gt;"IKS",VLOOKUP($M456,DB_Loonkosten,2,0)="Nee")),IFERROR(VLOOKUP($M456,DB_Loonkosten,25,0),""),0),"Vast tarief",IF(LEFT(F456,8)="Bijdrage",VLOOKUP($F456,Tb_KostenTypen[],MATCH(Lijsten!$P$1,Tb_KostenTypen[#Headers],0),0),VLOOKUP($G456,Lijsten!L:P,MATCH(Lijsten!$P$1,Kop_Tarief_Vast,0),0))),""),"")</f>
        <v/>
      </c>
      <c r="Q456" s="359"/>
      <c r="R456" s="359"/>
      <c r="S456" s="321"/>
      <c r="T456" s="321"/>
      <c r="U456" s="373" t="str">
        <f t="shared" si="28"/>
        <v/>
      </c>
      <c r="V456" s="314" t="str">
        <f t="shared" si="29"/>
        <v/>
      </c>
      <c r="W456" s="314" t="str" cm="1">
        <f t="array" aca="1" ref="W456" ca="1">IFERROR(IF(AE456&lt;&gt;"ja",_xlfn.IFNA(_xlfn.IFS(AND(O456&lt;&gt;"",F456&lt;&gt;"",RIGHT($N456,6)="tarief",F456="Vergoeding"),SUM(O456)*FLOOR(SUM(Q456),0.0001),AND(O456&lt;&gt;"",F456&lt;&gt;"",RIGHT($N456,6)="tarief"),SUM(O456)*FLOOR(SUM(Q456),0.01),S456&gt;0,IF(F456&lt;&gt;"",FLOOR(SUM(S456),0.01),"")),""),""),"")</f>
        <v/>
      </c>
      <c r="X456" s="314" t="str" cm="1">
        <f t="array" aca="1" ref="X456" ca="1">IFERROR(IF(AE456&lt;&gt;"ja",_xlfn.IFNA(_xlfn.IFS(AND(P456&lt;&gt;"",R456&lt;&gt;"",RIGHT($N456,6)="tarief",F456="Vergoeding"),SUM(P456)*FLOOR(SUM(R456),0.0001),AND(P456&lt;&gt;"",R456&lt;&gt;"",RIGHT($N456,6)="tarief"),P456*FLOOR(R456,0.01),T456&gt;0,FLOOR(SUM(T456),0.01)),""),""),"")</f>
        <v/>
      </c>
      <c r="Y456" s="314" t="str">
        <f t="shared" ca="1" si="30"/>
        <v/>
      </c>
      <c r="Z456" s="314" t="str" cm="1">
        <f t="array" aca="1" ref="Z456" ca="1">IFERROR(_xlfn.IFS(OR(F456="",LEFT(Methode_Keuze,4)="Geen",Methode_Keuze=""),"",AND(W456&lt;&gt;"",F456&lt;&gt;"Arbeidskosten"),W456*VLOOKUP(F456,Tb_ProjectKosten[],MATCH(Tb_ProjectKosten[[#Headers],[Forfait_Percentage]],Tb_ProjectKosten[#Headers],0),0),AND(F456="Arbeidskosten",G456&lt;&gt;""),IFERROR(W456*VLOOKUP(G456,Tb_KostenTypen[],3,0)*VLOOKUP(F456,Tb_ProjectKosten[],MATCH(Tb_ProjectKosten[[#Headers],[Forfait_Percentage]],Tb_ProjectKosten[#Headers],0),0),""),W456 &lt;=0,0),"")</f>
        <v/>
      </c>
      <c r="AA456" s="314" t="str" cm="1">
        <f t="array" aca="1" ref="AA456" ca="1">IFERROR(_xlfn.IFS(OR(F456="",LEFT(Methode_Keuze,4)="Geen",Methode_Keuze=""),"",AND(X456&lt;&gt;"",F456&lt;&gt;"Arbeidskosten"),X456*VLOOKUP(F456,Tb_ProjectKosten[],MATCH(Tb_ProjectKosten[[#Headers],[Forfait_Percentage]],Tb_ProjectKosten[#Headers],0),0),AND(F456="Arbeidskosten",G456&lt;&gt;""),IFERROR(X456*VLOOKUP(G456,Tb_KostenTypen[],3,0)*VLOOKUP(F456,Tb_ProjectKosten[],MATCH(Tb_ProjectKosten[[#Headers],[Forfait_Percentage]],Tb_ProjectKosten[#Headers],0),0),""),X456 &lt;=0,0),"")</f>
        <v/>
      </c>
      <c r="AB456" s="314" t="str">
        <f t="shared" ca="1" si="31"/>
        <v/>
      </c>
      <c r="AC456" s="322"/>
      <c r="AD456" s="315"/>
      <c r="AE456" s="32" t="str" cm="1">
        <f t="array" ref="AE456">IFERROR(IF(INDEX(SubsidieTabel!$AD$1:$AG$12,MATCH($F456,SubsidieTabel!$AD$1:$AD$12,0),IFERROR(MATCH(Methode_Keuze,SubsidieTabel!$AD$1:$AG$1,0),2))&lt;&gt;1=TRUE,"ja",""),"")</f>
        <v/>
      </c>
    </row>
    <row r="457" spans="1:31" x14ac:dyDescent="0.25">
      <c r="A457" s="316"/>
      <c r="B457" s="317" t="str">
        <f>IF(A457&lt;&gt;"",_xlfn.MAXIFS($B$1:B456,$A$1:A456,A457)+1,"")</f>
        <v/>
      </c>
      <c r="C457" s="296"/>
      <c r="D457" s="296"/>
      <c r="E457" s="296"/>
      <c r="F457" s="296"/>
      <c r="G457" s="326"/>
      <c r="H457" s="324"/>
      <c r="I457" s="325"/>
      <c r="J457" s="325"/>
      <c r="K457" s="318"/>
      <c r="L457" s="318"/>
      <c r="M457" s="319" t="str">
        <f>IFERROR(VLOOKUP(H457,Lijsten!$H$1:$I$100,2,0),"")</f>
        <v/>
      </c>
      <c r="N457" s="319" t="str">
        <f ca="1">IFERROR(IF(VLOOKUP(F457,Kostentypen!$A$3:$E$21,3,0)=0,"",IF(OR(F457="Arbeidskosten",F457="Vergoeding"),VLOOKUP(G457,Tb_KostenTypen[],2,0),VLOOKUP(F457,Kostentypen!$A$3:$E$20,3,0))),"")</f>
        <v/>
      </c>
      <c r="O457" s="320" t="str" cm="1">
        <f t="array" ref="O457">_xlfn.IFNA(IF(INDEX(Tb_KostenOptiesDB[],MATCH($F457,Tb_KostenOptiesDB[KostenOptie],0),IFERROR(MATCH(Methode_Keuze,Tb_KostenOptiesDB[#Headers],0),2))=1,_xlfn.SWITCH($N457,"Uurtarief",IF(OR(AND(RIGHT($F457,3)="IKS",VLOOKUP($M457,DB_Loonkosten,2,0)="Ja"),AND(RIGHT($F457,3)&lt;&gt;"IKS",VLOOKUP($M457,DB_Loonkosten,2,0)="Nee")),IFERROR(VLOOKUP($M457,DB_Loonkosten,24,0),""),0),"Vast tarief",IF(LEFT(F457,8)="Bijdrage",VLOOKUP($F457,Tb_KostenTypen[],MATCH(Lijsten!$P$1,Tb_KostenTypen[#Headers],0),0),VLOOKUP($G457,Lijsten!L:P,MATCH(Lijsten!$P$1,Kop_Tarief_Vast,0),0))),""),"")</f>
        <v/>
      </c>
      <c r="P457" s="320" t="str" cm="1">
        <f t="array" ref="P457">_xlfn.IFNA(IF(INDEX(Tb_KostenOptiesDB[],MATCH($F457,Tb_KostenOptiesDB[KostenOptie],0),IFERROR(MATCH(Methode_Keuze,Tb_KostenOptiesDB[#Headers],0),2))=1,_xlfn.SWITCH($N457,"Uurtarief",IF(OR(AND(RIGHT($F457,3)="IKS",VLOOKUP($M457,DB_Loonkosten,2,0)="Ja"),AND(RIGHT($F457,3)&lt;&gt;"IKS",VLOOKUP($M457,DB_Loonkosten,2,0)="Nee")),IFERROR(VLOOKUP($M457,DB_Loonkosten,25,0),""),0),"Vast tarief",IF(LEFT(F457,8)="Bijdrage",VLOOKUP($F457,Tb_KostenTypen[],MATCH(Lijsten!$P$1,Tb_KostenTypen[#Headers],0),0),VLOOKUP($G457,Lijsten!L:P,MATCH(Lijsten!$P$1,Kop_Tarief_Vast,0),0))),""),"")</f>
        <v/>
      </c>
      <c r="Q457" s="359"/>
      <c r="R457" s="359"/>
      <c r="S457" s="321"/>
      <c r="T457" s="321"/>
      <c r="U457" s="373" t="str">
        <f t="shared" si="28"/>
        <v/>
      </c>
      <c r="V457" s="314" t="str">
        <f t="shared" si="29"/>
        <v/>
      </c>
      <c r="W457" s="314" t="str" cm="1">
        <f t="array" aca="1" ref="W457" ca="1">IFERROR(IF(AE457&lt;&gt;"ja",_xlfn.IFNA(_xlfn.IFS(AND(O457&lt;&gt;"",F457&lt;&gt;"",RIGHT($N457,6)="tarief",F457="Vergoeding"),SUM(O457)*FLOOR(SUM(Q457),0.0001),AND(O457&lt;&gt;"",F457&lt;&gt;"",RIGHT($N457,6)="tarief"),SUM(O457)*FLOOR(SUM(Q457),0.01),S457&gt;0,IF(F457&lt;&gt;"",FLOOR(SUM(S457),0.01),"")),""),""),"")</f>
        <v/>
      </c>
      <c r="X457" s="314" t="str" cm="1">
        <f t="array" aca="1" ref="X457" ca="1">IFERROR(IF(AE457&lt;&gt;"ja",_xlfn.IFNA(_xlfn.IFS(AND(P457&lt;&gt;"",R457&lt;&gt;"",RIGHT($N457,6)="tarief",F457="Vergoeding"),SUM(P457)*FLOOR(SUM(R457),0.0001),AND(P457&lt;&gt;"",R457&lt;&gt;"",RIGHT($N457,6)="tarief"),P457*FLOOR(R457,0.01),T457&gt;0,FLOOR(SUM(T457),0.01)),""),""),"")</f>
        <v/>
      </c>
      <c r="Y457" s="314" t="str">
        <f t="shared" ca="1" si="30"/>
        <v/>
      </c>
      <c r="Z457" s="314" t="str" cm="1">
        <f t="array" aca="1" ref="Z457" ca="1">IFERROR(_xlfn.IFS(OR(F457="",LEFT(Methode_Keuze,4)="Geen",Methode_Keuze=""),"",AND(W457&lt;&gt;"",F457&lt;&gt;"Arbeidskosten"),W457*VLOOKUP(F457,Tb_ProjectKosten[],MATCH(Tb_ProjectKosten[[#Headers],[Forfait_Percentage]],Tb_ProjectKosten[#Headers],0),0),AND(F457="Arbeidskosten",G457&lt;&gt;""),IFERROR(W457*VLOOKUP(G457,Tb_KostenTypen[],3,0)*VLOOKUP(F457,Tb_ProjectKosten[],MATCH(Tb_ProjectKosten[[#Headers],[Forfait_Percentage]],Tb_ProjectKosten[#Headers],0),0),""),W457 &lt;=0,0),"")</f>
        <v/>
      </c>
      <c r="AA457" s="314" t="str" cm="1">
        <f t="array" aca="1" ref="AA457" ca="1">IFERROR(_xlfn.IFS(OR(F457="",LEFT(Methode_Keuze,4)="Geen",Methode_Keuze=""),"",AND(X457&lt;&gt;"",F457&lt;&gt;"Arbeidskosten"),X457*VLOOKUP(F457,Tb_ProjectKosten[],MATCH(Tb_ProjectKosten[[#Headers],[Forfait_Percentage]],Tb_ProjectKosten[#Headers],0),0),AND(F457="Arbeidskosten",G457&lt;&gt;""),IFERROR(X457*VLOOKUP(G457,Tb_KostenTypen[],3,0)*VLOOKUP(F457,Tb_ProjectKosten[],MATCH(Tb_ProjectKosten[[#Headers],[Forfait_Percentage]],Tb_ProjectKosten[#Headers],0),0),""),X457 &lt;=0,0),"")</f>
        <v/>
      </c>
      <c r="AB457" s="314" t="str">
        <f t="shared" ca="1" si="31"/>
        <v/>
      </c>
      <c r="AC457" s="322"/>
      <c r="AD457" s="315"/>
      <c r="AE457" s="32" t="str" cm="1">
        <f t="array" ref="AE457">IFERROR(IF(INDEX(SubsidieTabel!$AD$1:$AG$12,MATCH($F457,SubsidieTabel!$AD$1:$AD$12,0),IFERROR(MATCH(Methode_Keuze,SubsidieTabel!$AD$1:$AG$1,0),2))&lt;&gt;1=TRUE,"ja",""),"")</f>
        <v/>
      </c>
    </row>
    <row r="458" spans="1:31" x14ac:dyDescent="0.25">
      <c r="A458" s="316"/>
      <c r="B458" s="317" t="str">
        <f>IF(A458&lt;&gt;"",_xlfn.MAXIFS($B$1:B457,$A$1:A457,A458)+1,"")</f>
        <v/>
      </c>
      <c r="C458" s="296"/>
      <c r="D458" s="296"/>
      <c r="E458" s="296"/>
      <c r="F458" s="296"/>
      <c r="G458" s="326"/>
      <c r="H458" s="324"/>
      <c r="I458" s="325"/>
      <c r="J458" s="325"/>
      <c r="K458" s="318"/>
      <c r="L458" s="318"/>
      <c r="M458" s="319" t="str">
        <f>IFERROR(VLOOKUP(H458,Lijsten!$H$1:$I$100,2,0),"")</f>
        <v/>
      </c>
      <c r="N458" s="319" t="str">
        <f ca="1">IFERROR(IF(VLOOKUP(F458,Kostentypen!$A$3:$E$21,3,0)=0,"",IF(OR(F458="Arbeidskosten",F458="Vergoeding"),VLOOKUP(G458,Tb_KostenTypen[],2,0),VLOOKUP(F458,Kostentypen!$A$3:$E$20,3,0))),"")</f>
        <v/>
      </c>
      <c r="O458" s="320" t="str" cm="1">
        <f t="array" ref="O458">_xlfn.IFNA(IF(INDEX(Tb_KostenOptiesDB[],MATCH($F458,Tb_KostenOptiesDB[KostenOptie],0),IFERROR(MATCH(Methode_Keuze,Tb_KostenOptiesDB[#Headers],0),2))=1,_xlfn.SWITCH($N458,"Uurtarief",IF(OR(AND(RIGHT($F458,3)="IKS",VLOOKUP($M458,DB_Loonkosten,2,0)="Ja"),AND(RIGHT($F458,3)&lt;&gt;"IKS",VLOOKUP($M458,DB_Loonkosten,2,0)="Nee")),IFERROR(VLOOKUP($M458,DB_Loonkosten,24,0),""),0),"Vast tarief",IF(LEFT(F458,8)="Bijdrage",VLOOKUP($F458,Tb_KostenTypen[],MATCH(Lijsten!$P$1,Tb_KostenTypen[#Headers],0),0),VLOOKUP($G458,Lijsten!L:P,MATCH(Lijsten!$P$1,Kop_Tarief_Vast,0),0))),""),"")</f>
        <v/>
      </c>
      <c r="P458" s="320" t="str" cm="1">
        <f t="array" ref="P458">_xlfn.IFNA(IF(INDEX(Tb_KostenOptiesDB[],MATCH($F458,Tb_KostenOptiesDB[KostenOptie],0),IFERROR(MATCH(Methode_Keuze,Tb_KostenOptiesDB[#Headers],0),2))=1,_xlfn.SWITCH($N458,"Uurtarief",IF(OR(AND(RIGHT($F458,3)="IKS",VLOOKUP($M458,DB_Loonkosten,2,0)="Ja"),AND(RIGHT($F458,3)&lt;&gt;"IKS",VLOOKUP($M458,DB_Loonkosten,2,0)="Nee")),IFERROR(VLOOKUP($M458,DB_Loonkosten,25,0),""),0),"Vast tarief",IF(LEFT(F458,8)="Bijdrage",VLOOKUP($F458,Tb_KostenTypen[],MATCH(Lijsten!$P$1,Tb_KostenTypen[#Headers],0),0),VLOOKUP($G458,Lijsten!L:P,MATCH(Lijsten!$P$1,Kop_Tarief_Vast,0),0))),""),"")</f>
        <v/>
      </c>
      <c r="Q458" s="359"/>
      <c r="R458" s="359"/>
      <c r="S458" s="321"/>
      <c r="T458" s="321"/>
      <c r="U458" s="373" t="str">
        <f t="shared" si="28"/>
        <v/>
      </c>
      <c r="V458" s="314" t="str">
        <f t="shared" si="29"/>
        <v/>
      </c>
      <c r="W458" s="314" t="str" cm="1">
        <f t="array" aca="1" ref="W458" ca="1">IFERROR(IF(AE458&lt;&gt;"ja",_xlfn.IFNA(_xlfn.IFS(AND(O458&lt;&gt;"",F458&lt;&gt;"",RIGHT($N458,6)="tarief",F458="Vergoeding"),SUM(O458)*FLOOR(SUM(Q458),0.0001),AND(O458&lt;&gt;"",F458&lt;&gt;"",RIGHT($N458,6)="tarief"),SUM(O458)*FLOOR(SUM(Q458),0.01),S458&gt;0,IF(F458&lt;&gt;"",FLOOR(SUM(S458),0.01),"")),""),""),"")</f>
        <v/>
      </c>
      <c r="X458" s="314" t="str" cm="1">
        <f t="array" aca="1" ref="X458" ca="1">IFERROR(IF(AE458&lt;&gt;"ja",_xlfn.IFNA(_xlfn.IFS(AND(P458&lt;&gt;"",R458&lt;&gt;"",RIGHT($N458,6)="tarief",F458="Vergoeding"),SUM(P458)*FLOOR(SUM(R458),0.0001),AND(P458&lt;&gt;"",R458&lt;&gt;"",RIGHT($N458,6)="tarief"),P458*FLOOR(R458,0.01),T458&gt;0,FLOOR(SUM(T458),0.01)),""),""),"")</f>
        <v/>
      </c>
      <c r="Y458" s="314" t="str">
        <f t="shared" ca="1" si="30"/>
        <v/>
      </c>
      <c r="Z458" s="314" t="str" cm="1">
        <f t="array" aca="1" ref="Z458" ca="1">IFERROR(_xlfn.IFS(OR(F458="",LEFT(Methode_Keuze,4)="Geen",Methode_Keuze=""),"",AND(W458&lt;&gt;"",F458&lt;&gt;"Arbeidskosten"),W458*VLOOKUP(F458,Tb_ProjectKosten[],MATCH(Tb_ProjectKosten[[#Headers],[Forfait_Percentage]],Tb_ProjectKosten[#Headers],0),0),AND(F458="Arbeidskosten",G458&lt;&gt;""),IFERROR(W458*VLOOKUP(G458,Tb_KostenTypen[],3,0)*VLOOKUP(F458,Tb_ProjectKosten[],MATCH(Tb_ProjectKosten[[#Headers],[Forfait_Percentage]],Tb_ProjectKosten[#Headers],0),0),""),W458 &lt;=0,0),"")</f>
        <v/>
      </c>
      <c r="AA458" s="314" t="str" cm="1">
        <f t="array" aca="1" ref="AA458" ca="1">IFERROR(_xlfn.IFS(OR(F458="",LEFT(Methode_Keuze,4)="Geen",Methode_Keuze=""),"",AND(X458&lt;&gt;"",F458&lt;&gt;"Arbeidskosten"),X458*VLOOKUP(F458,Tb_ProjectKosten[],MATCH(Tb_ProjectKosten[[#Headers],[Forfait_Percentage]],Tb_ProjectKosten[#Headers],0),0),AND(F458="Arbeidskosten",G458&lt;&gt;""),IFERROR(X458*VLOOKUP(G458,Tb_KostenTypen[],3,0)*VLOOKUP(F458,Tb_ProjectKosten[],MATCH(Tb_ProjectKosten[[#Headers],[Forfait_Percentage]],Tb_ProjectKosten[#Headers],0),0),""),X458 &lt;=0,0),"")</f>
        <v/>
      </c>
      <c r="AB458" s="314" t="str">
        <f t="shared" ca="1" si="31"/>
        <v/>
      </c>
      <c r="AC458" s="322"/>
      <c r="AD458" s="315"/>
      <c r="AE458" s="32" t="str" cm="1">
        <f t="array" ref="AE458">IFERROR(IF(INDEX(SubsidieTabel!$AD$1:$AG$12,MATCH($F458,SubsidieTabel!$AD$1:$AD$12,0),IFERROR(MATCH(Methode_Keuze,SubsidieTabel!$AD$1:$AG$1,0),2))&lt;&gt;1=TRUE,"ja",""),"")</f>
        <v/>
      </c>
    </row>
    <row r="459" spans="1:31" x14ac:dyDescent="0.25">
      <c r="A459" s="316"/>
      <c r="B459" s="317" t="str">
        <f>IF(A459&lt;&gt;"",_xlfn.MAXIFS($B$1:B458,$A$1:A458,A459)+1,"")</f>
        <v/>
      </c>
      <c r="C459" s="296"/>
      <c r="D459" s="296"/>
      <c r="E459" s="296"/>
      <c r="F459" s="296"/>
      <c r="G459" s="326"/>
      <c r="H459" s="324"/>
      <c r="I459" s="325"/>
      <c r="J459" s="325"/>
      <c r="K459" s="318"/>
      <c r="L459" s="318"/>
      <c r="M459" s="319" t="str">
        <f>IFERROR(VLOOKUP(H459,Lijsten!$H$1:$I$100,2,0),"")</f>
        <v/>
      </c>
      <c r="N459" s="319" t="str">
        <f ca="1">IFERROR(IF(VLOOKUP(F459,Kostentypen!$A$3:$E$21,3,0)=0,"",IF(OR(F459="Arbeidskosten",F459="Vergoeding"),VLOOKUP(G459,Tb_KostenTypen[],2,0),VLOOKUP(F459,Kostentypen!$A$3:$E$20,3,0))),"")</f>
        <v/>
      </c>
      <c r="O459" s="320" t="str" cm="1">
        <f t="array" ref="O459">_xlfn.IFNA(IF(INDEX(Tb_KostenOptiesDB[],MATCH($F459,Tb_KostenOptiesDB[KostenOptie],0),IFERROR(MATCH(Methode_Keuze,Tb_KostenOptiesDB[#Headers],0),2))=1,_xlfn.SWITCH($N459,"Uurtarief",IF(OR(AND(RIGHT($F459,3)="IKS",VLOOKUP($M459,DB_Loonkosten,2,0)="Ja"),AND(RIGHT($F459,3)&lt;&gt;"IKS",VLOOKUP($M459,DB_Loonkosten,2,0)="Nee")),IFERROR(VLOOKUP($M459,DB_Loonkosten,24,0),""),0),"Vast tarief",IF(LEFT(F459,8)="Bijdrage",VLOOKUP($F459,Tb_KostenTypen[],MATCH(Lijsten!$P$1,Tb_KostenTypen[#Headers],0),0),VLOOKUP($G459,Lijsten!L:P,MATCH(Lijsten!$P$1,Kop_Tarief_Vast,0),0))),""),"")</f>
        <v/>
      </c>
      <c r="P459" s="320" t="str" cm="1">
        <f t="array" ref="P459">_xlfn.IFNA(IF(INDEX(Tb_KostenOptiesDB[],MATCH($F459,Tb_KostenOptiesDB[KostenOptie],0),IFERROR(MATCH(Methode_Keuze,Tb_KostenOptiesDB[#Headers],0),2))=1,_xlfn.SWITCH($N459,"Uurtarief",IF(OR(AND(RIGHT($F459,3)="IKS",VLOOKUP($M459,DB_Loonkosten,2,0)="Ja"),AND(RIGHT($F459,3)&lt;&gt;"IKS",VLOOKUP($M459,DB_Loonkosten,2,0)="Nee")),IFERROR(VLOOKUP($M459,DB_Loonkosten,25,0),""),0),"Vast tarief",IF(LEFT(F459,8)="Bijdrage",VLOOKUP($F459,Tb_KostenTypen[],MATCH(Lijsten!$P$1,Tb_KostenTypen[#Headers],0),0),VLOOKUP($G459,Lijsten!L:P,MATCH(Lijsten!$P$1,Kop_Tarief_Vast,0),0))),""),"")</f>
        <v/>
      </c>
      <c r="Q459" s="359"/>
      <c r="R459" s="359"/>
      <c r="S459" s="321"/>
      <c r="T459" s="321"/>
      <c r="U459" s="373" t="str">
        <f t="shared" si="28"/>
        <v/>
      </c>
      <c r="V459" s="314" t="str">
        <f t="shared" si="29"/>
        <v/>
      </c>
      <c r="W459" s="314" t="str" cm="1">
        <f t="array" aca="1" ref="W459" ca="1">IFERROR(IF(AE459&lt;&gt;"ja",_xlfn.IFNA(_xlfn.IFS(AND(O459&lt;&gt;"",F459&lt;&gt;"",RIGHT($N459,6)="tarief",F459="Vergoeding"),SUM(O459)*FLOOR(SUM(Q459),0.0001),AND(O459&lt;&gt;"",F459&lt;&gt;"",RIGHT($N459,6)="tarief"),SUM(O459)*FLOOR(SUM(Q459),0.01),S459&gt;0,IF(F459&lt;&gt;"",FLOOR(SUM(S459),0.01),"")),""),""),"")</f>
        <v/>
      </c>
      <c r="X459" s="314" t="str" cm="1">
        <f t="array" aca="1" ref="X459" ca="1">IFERROR(IF(AE459&lt;&gt;"ja",_xlfn.IFNA(_xlfn.IFS(AND(P459&lt;&gt;"",R459&lt;&gt;"",RIGHT($N459,6)="tarief",F459="Vergoeding"),SUM(P459)*FLOOR(SUM(R459),0.0001),AND(P459&lt;&gt;"",R459&lt;&gt;"",RIGHT($N459,6)="tarief"),P459*FLOOR(R459,0.01),T459&gt;0,FLOOR(SUM(T459),0.01)),""),""),"")</f>
        <v/>
      </c>
      <c r="Y459" s="314" t="str">
        <f t="shared" ca="1" si="30"/>
        <v/>
      </c>
      <c r="Z459" s="314" t="str" cm="1">
        <f t="array" aca="1" ref="Z459" ca="1">IFERROR(_xlfn.IFS(OR(F459="",LEFT(Methode_Keuze,4)="Geen",Methode_Keuze=""),"",AND(W459&lt;&gt;"",F459&lt;&gt;"Arbeidskosten"),W459*VLOOKUP(F459,Tb_ProjectKosten[],MATCH(Tb_ProjectKosten[[#Headers],[Forfait_Percentage]],Tb_ProjectKosten[#Headers],0),0),AND(F459="Arbeidskosten",G459&lt;&gt;""),IFERROR(W459*VLOOKUP(G459,Tb_KostenTypen[],3,0)*VLOOKUP(F459,Tb_ProjectKosten[],MATCH(Tb_ProjectKosten[[#Headers],[Forfait_Percentage]],Tb_ProjectKosten[#Headers],0),0),""),W459 &lt;=0,0),"")</f>
        <v/>
      </c>
      <c r="AA459" s="314" t="str" cm="1">
        <f t="array" aca="1" ref="AA459" ca="1">IFERROR(_xlfn.IFS(OR(F459="",LEFT(Methode_Keuze,4)="Geen",Methode_Keuze=""),"",AND(X459&lt;&gt;"",F459&lt;&gt;"Arbeidskosten"),X459*VLOOKUP(F459,Tb_ProjectKosten[],MATCH(Tb_ProjectKosten[[#Headers],[Forfait_Percentage]],Tb_ProjectKosten[#Headers],0),0),AND(F459="Arbeidskosten",G459&lt;&gt;""),IFERROR(X459*VLOOKUP(G459,Tb_KostenTypen[],3,0)*VLOOKUP(F459,Tb_ProjectKosten[],MATCH(Tb_ProjectKosten[[#Headers],[Forfait_Percentage]],Tb_ProjectKosten[#Headers],0),0),""),X459 &lt;=0,0),"")</f>
        <v/>
      </c>
      <c r="AB459" s="314" t="str">
        <f t="shared" ca="1" si="31"/>
        <v/>
      </c>
      <c r="AC459" s="322"/>
      <c r="AD459" s="315"/>
      <c r="AE459" s="32" t="str" cm="1">
        <f t="array" ref="AE459">IFERROR(IF(INDEX(SubsidieTabel!$AD$1:$AG$12,MATCH($F459,SubsidieTabel!$AD$1:$AD$12,0),IFERROR(MATCH(Methode_Keuze,SubsidieTabel!$AD$1:$AG$1,0),2))&lt;&gt;1=TRUE,"ja",""),"")</f>
        <v/>
      </c>
    </row>
    <row r="460" spans="1:31" x14ac:dyDescent="0.25">
      <c r="A460" s="316"/>
      <c r="B460" s="317" t="str">
        <f>IF(A460&lt;&gt;"",_xlfn.MAXIFS($B$1:B459,$A$1:A459,A460)+1,"")</f>
        <v/>
      </c>
      <c r="C460" s="296"/>
      <c r="D460" s="296"/>
      <c r="E460" s="296"/>
      <c r="F460" s="296"/>
      <c r="G460" s="326"/>
      <c r="H460" s="324"/>
      <c r="I460" s="325"/>
      <c r="J460" s="325"/>
      <c r="K460" s="318"/>
      <c r="L460" s="318"/>
      <c r="M460" s="319" t="str">
        <f>IFERROR(VLOOKUP(H460,Lijsten!$H$1:$I$100,2,0),"")</f>
        <v/>
      </c>
      <c r="N460" s="319" t="str">
        <f ca="1">IFERROR(IF(VLOOKUP(F460,Kostentypen!$A$3:$E$21,3,0)=0,"",IF(OR(F460="Arbeidskosten",F460="Vergoeding"),VLOOKUP(G460,Tb_KostenTypen[],2,0),VLOOKUP(F460,Kostentypen!$A$3:$E$20,3,0))),"")</f>
        <v/>
      </c>
      <c r="O460" s="320" t="str" cm="1">
        <f t="array" ref="O460">_xlfn.IFNA(IF(INDEX(Tb_KostenOptiesDB[],MATCH($F460,Tb_KostenOptiesDB[KostenOptie],0),IFERROR(MATCH(Methode_Keuze,Tb_KostenOptiesDB[#Headers],0),2))=1,_xlfn.SWITCH($N460,"Uurtarief",IF(OR(AND(RIGHT($F460,3)="IKS",VLOOKUP($M460,DB_Loonkosten,2,0)="Ja"),AND(RIGHT($F460,3)&lt;&gt;"IKS",VLOOKUP($M460,DB_Loonkosten,2,0)="Nee")),IFERROR(VLOOKUP($M460,DB_Loonkosten,24,0),""),0),"Vast tarief",IF(LEFT(F460,8)="Bijdrage",VLOOKUP($F460,Tb_KostenTypen[],MATCH(Lijsten!$P$1,Tb_KostenTypen[#Headers],0),0),VLOOKUP($G460,Lijsten!L:P,MATCH(Lijsten!$P$1,Kop_Tarief_Vast,0),0))),""),"")</f>
        <v/>
      </c>
      <c r="P460" s="320" t="str" cm="1">
        <f t="array" ref="P460">_xlfn.IFNA(IF(INDEX(Tb_KostenOptiesDB[],MATCH($F460,Tb_KostenOptiesDB[KostenOptie],0),IFERROR(MATCH(Methode_Keuze,Tb_KostenOptiesDB[#Headers],0),2))=1,_xlfn.SWITCH($N460,"Uurtarief",IF(OR(AND(RIGHT($F460,3)="IKS",VLOOKUP($M460,DB_Loonkosten,2,0)="Ja"),AND(RIGHT($F460,3)&lt;&gt;"IKS",VLOOKUP($M460,DB_Loonkosten,2,0)="Nee")),IFERROR(VLOOKUP($M460,DB_Loonkosten,25,0),""),0),"Vast tarief",IF(LEFT(F460,8)="Bijdrage",VLOOKUP($F460,Tb_KostenTypen[],MATCH(Lijsten!$P$1,Tb_KostenTypen[#Headers],0),0),VLOOKUP($G460,Lijsten!L:P,MATCH(Lijsten!$P$1,Kop_Tarief_Vast,0),0))),""),"")</f>
        <v/>
      </c>
      <c r="Q460" s="359"/>
      <c r="R460" s="359"/>
      <c r="S460" s="321"/>
      <c r="T460" s="321"/>
      <c r="U460" s="373" t="str">
        <f t="shared" si="28"/>
        <v/>
      </c>
      <c r="V460" s="314" t="str">
        <f t="shared" si="29"/>
        <v/>
      </c>
      <c r="W460" s="314" t="str" cm="1">
        <f t="array" aca="1" ref="W460" ca="1">IFERROR(IF(AE460&lt;&gt;"ja",_xlfn.IFNA(_xlfn.IFS(AND(O460&lt;&gt;"",F460&lt;&gt;"",RIGHT($N460,6)="tarief",F460="Vergoeding"),SUM(O460)*FLOOR(SUM(Q460),0.0001),AND(O460&lt;&gt;"",F460&lt;&gt;"",RIGHT($N460,6)="tarief"),SUM(O460)*FLOOR(SUM(Q460),0.01),S460&gt;0,IF(F460&lt;&gt;"",FLOOR(SUM(S460),0.01),"")),""),""),"")</f>
        <v/>
      </c>
      <c r="X460" s="314" t="str" cm="1">
        <f t="array" aca="1" ref="X460" ca="1">IFERROR(IF(AE460&lt;&gt;"ja",_xlfn.IFNA(_xlfn.IFS(AND(P460&lt;&gt;"",R460&lt;&gt;"",RIGHT($N460,6)="tarief",F460="Vergoeding"),SUM(P460)*FLOOR(SUM(R460),0.0001),AND(P460&lt;&gt;"",R460&lt;&gt;"",RIGHT($N460,6)="tarief"),P460*FLOOR(R460,0.01),T460&gt;0,FLOOR(SUM(T460),0.01)),""),""),"")</f>
        <v/>
      </c>
      <c r="Y460" s="314" t="str">
        <f t="shared" ca="1" si="30"/>
        <v/>
      </c>
      <c r="Z460" s="314" t="str" cm="1">
        <f t="array" aca="1" ref="Z460" ca="1">IFERROR(_xlfn.IFS(OR(F460="",LEFT(Methode_Keuze,4)="Geen",Methode_Keuze=""),"",AND(W460&lt;&gt;"",F460&lt;&gt;"Arbeidskosten"),W460*VLOOKUP(F460,Tb_ProjectKosten[],MATCH(Tb_ProjectKosten[[#Headers],[Forfait_Percentage]],Tb_ProjectKosten[#Headers],0),0),AND(F460="Arbeidskosten",G460&lt;&gt;""),IFERROR(W460*VLOOKUP(G460,Tb_KostenTypen[],3,0)*VLOOKUP(F460,Tb_ProjectKosten[],MATCH(Tb_ProjectKosten[[#Headers],[Forfait_Percentage]],Tb_ProjectKosten[#Headers],0),0),""),W460 &lt;=0,0),"")</f>
        <v/>
      </c>
      <c r="AA460" s="314" t="str" cm="1">
        <f t="array" aca="1" ref="AA460" ca="1">IFERROR(_xlfn.IFS(OR(F460="",LEFT(Methode_Keuze,4)="Geen",Methode_Keuze=""),"",AND(X460&lt;&gt;"",F460&lt;&gt;"Arbeidskosten"),X460*VLOOKUP(F460,Tb_ProjectKosten[],MATCH(Tb_ProjectKosten[[#Headers],[Forfait_Percentage]],Tb_ProjectKosten[#Headers],0),0),AND(F460="Arbeidskosten",G460&lt;&gt;""),IFERROR(X460*VLOOKUP(G460,Tb_KostenTypen[],3,0)*VLOOKUP(F460,Tb_ProjectKosten[],MATCH(Tb_ProjectKosten[[#Headers],[Forfait_Percentage]],Tb_ProjectKosten[#Headers],0),0),""),X460 &lt;=0,0),"")</f>
        <v/>
      </c>
      <c r="AB460" s="314" t="str">
        <f t="shared" ca="1" si="31"/>
        <v/>
      </c>
      <c r="AC460" s="322"/>
      <c r="AD460" s="315"/>
      <c r="AE460" s="32" t="str" cm="1">
        <f t="array" ref="AE460">IFERROR(IF(INDEX(SubsidieTabel!$AD$1:$AG$12,MATCH($F460,SubsidieTabel!$AD$1:$AD$12,0),IFERROR(MATCH(Methode_Keuze,SubsidieTabel!$AD$1:$AG$1,0),2))&lt;&gt;1=TRUE,"ja",""),"")</f>
        <v/>
      </c>
    </row>
    <row r="461" spans="1:31" x14ac:dyDescent="0.25">
      <c r="A461" s="316"/>
      <c r="B461" s="317" t="str">
        <f>IF(A461&lt;&gt;"",_xlfn.MAXIFS($B$1:B460,$A$1:A460,A461)+1,"")</f>
        <v/>
      </c>
      <c r="C461" s="296"/>
      <c r="D461" s="296"/>
      <c r="E461" s="296"/>
      <c r="F461" s="296"/>
      <c r="G461" s="326"/>
      <c r="H461" s="324"/>
      <c r="I461" s="325"/>
      <c r="J461" s="325"/>
      <c r="K461" s="318"/>
      <c r="L461" s="318"/>
      <c r="M461" s="319" t="str">
        <f>IFERROR(VLOOKUP(H461,Lijsten!$H$1:$I$100,2,0),"")</f>
        <v/>
      </c>
      <c r="N461" s="319" t="str">
        <f ca="1">IFERROR(IF(VLOOKUP(F461,Kostentypen!$A$3:$E$21,3,0)=0,"",IF(OR(F461="Arbeidskosten",F461="Vergoeding"),VLOOKUP(G461,Tb_KostenTypen[],2,0),VLOOKUP(F461,Kostentypen!$A$3:$E$20,3,0))),"")</f>
        <v/>
      </c>
      <c r="O461" s="320" t="str" cm="1">
        <f t="array" ref="O461">_xlfn.IFNA(IF(INDEX(Tb_KostenOptiesDB[],MATCH($F461,Tb_KostenOptiesDB[KostenOptie],0),IFERROR(MATCH(Methode_Keuze,Tb_KostenOptiesDB[#Headers],0),2))=1,_xlfn.SWITCH($N461,"Uurtarief",IF(OR(AND(RIGHT($F461,3)="IKS",VLOOKUP($M461,DB_Loonkosten,2,0)="Ja"),AND(RIGHT($F461,3)&lt;&gt;"IKS",VLOOKUP($M461,DB_Loonkosten,2,0)="Nee")),IFERROR(VLOOKUP($M461,DB_Loonkosten,24,0),""),0),"Vast tarief",IF(LEFT(F461,8)="Bijdrage",VLOOKUP($F461,Tb_KostenTypen[],MATCH(Lijsten!$P$1,Tb_KostenTypen[#Headers],0),0),VLOOKUP($G461,Lijsten!L:P,MATCH(Lijsten!$P$1,Kop_Tarief_Vast,0),0))),""),"")</f>
        <v/>
      </c>
      <c r="P461" s="320" t="str" cm="1">
        <f t="array" ref="P461">_xlfn.IFNA(IF(INDEX(Tb_KostenOptiesDB[],MATCH($F461,Tb_KostenOptiesDB[KostenOptie],0),IFERROR(MATCH(Methode_Keuze,Tb_KostenOptiesDB[#Headers],0),2))=1,_xlfn.SWITCH($N461,"Uurtarief",IF(OR(AND(RIGHT($F461,3)="IKS",VLOOKUP($M461,DB_Loonkosten,2,0)="Ja"),AND(RIGHT($F461,3)&lt;&gt;"IKS",VLOOKUP($M461,DB_Loonkosten,2,0)="Nee")),IFERROR(VLOOKUP($M461,DB_Loonkosten,25,0),""),0),"Vast tarief",IF(LEFT(F461,8)="Bijdrage",VLOOKUP($F461,Tb_KostenTypen[],MATCH(Lijsten!$P$1,Tb_KostenTypen[#Headers],0),0),VLOOKUP($G461,Lijsten!L:P,MATCH(Lijsten!$P$1,Kop_Tarief_Vast,0),0))),""),"")</f>
        <v/>
      </c>
      <c r="Q461" s="359"/>
      <c r="R461" s="359"/>
      <c r="S461" s="321"/>
      <c r="T461" s="321"/>
      <c r="U461" s="373" t="str">
        <f t="shared" si="28"/>
        <v/>
      </c>
      <c r="V461" s="314" t="str">
        <f t="shared" si="29"/>
        <v/>
      </c>
      <c r="W461" s="314" t="str" cm="1">
        <f t="array" aca="1" ref="W461" ca="1">IFERROR(IF(AE461&lt;&gt;"ja",_xlfn.IFNA(_xlfn.IFS(AND(O461&lt;&gt;"",F461&lt;&gt;"",RIGHT($N461,6)="tarief",F461="Vergoeding"),SUM(O461)*FLOOR(SUM(Q461),0.0001),AND(O461&lt;&gt;"",F461&lt;&gt;"",RIGHT($N461,6)="tarief"),SUM(O461)*FLOOR(SUM(Q461),0.01),S461&gt;0,IF(F461&lt;&gt;"",FLOOR(SUM(S461),0.01),"")),""),""),"")</f>
        <v/>
      </c>
      <c r="X461" s="314" t="str" cm="1">
        <f t="array" aca="1" ref="X461" ca="1">IFERROR(IF(AE461&lt;&gt;"ja",_xlfn.IFNA(_xlfn.IFS(AND(P461&lt;&gt;"",R461&lt;&gt;"",RIGHT($N461,6)="tarief",F461="Vergoeding"),SUM(P461)*FLOOR(SUM(R461),0.0001),AND(P461&lt;&gt;"",R461&lt;&gt;"",RIGHT($N461,6)="tarief"),P461*FLOOR(R461,0.01),T461&gt;0,FLOOR(SUM(T461),0.01)),""),""),"")</f>
        <v/>
      </c>
      <c r="Y461" s="314" t="str">
        <f t="shared" ca="1" si="30"/>
        <v/>
      </c>
      <c r="Z461" s="314" t="str" cm="1">
        <f t="array" aca="1" ref="Z461" ca="1">IFERROR(_xlfn.IFS(OR(F461="",LEFT(Methode_Keuze,4)="Geen",Methode_Keuze=""),"",AND(W461&lt;&gt;"",F461&lt;&gt;"Arbeidskosten"),W461*VLOOKUP(F461,Tb_ProjectKosten[],MATCH(Tb_ProjectKosten[[#Headers],[Forfait_Percentage]],Tb_ProjectKosten[#Headers],0),0),AND(F461="Arbeidskosten",G461&lt;&gt;""),IFERROR(W461*VLOOKUP(G461,Tb_KostenTypen[],3,0)*VLOOKUP(F461,Tb_ProjectKosten[],MATCH(Tb_ProjectKosten[[#Headers],[Forfait_Percentage]],Tb_ProjectKosten[#Headers],0),0),""),W461 &lt;=0,0),"")</f>
        <v/>
      </c>
      <c r="AA461" s="314" t="str" cm="1">
        <f t="array" aca="1" ref="AA461" ca="1">IFERROR(_xlfn.IFS(OR(F461="",LEFT(Methode_Keuze,4)="Geen",Methode_Keuze=""),"",AND(X461&lt;&gt;"",F461&lt;&gt;"Arbeidskosten"),X461*VLOOKUP(F461,Tb_ProjectKosten[],MATCH(Tb_ProjectKosten[[#Headers],[Forfait_Percentage]],Tb_ProjectKosten[#Headers],0),0),AND(F461="Arbeidskosten",G461&lt;&gt;""),IFERROR(X461*VLOOKUP(G461,Tb_KostenTypen[],3,0)*VLOOKUP(F461,Tb_ProjectKosten[],MATCH(Tb_ProjectKosten[[#Headers],[Forfait_Percentage]],Tb_ProjectKosten[#Headers],0),0),""),X461 &lt;=0,0),"")</f>
        <v/>
      </c>
      <c r="AB461" s="314" t="str">
        <f t="shared" ca="1" si="31"/>
        <v/>
      </c>
      <c r="AC461" s="322"/>
      <c r="AD461" s="315"/>
      <c r="AE461" s="32" t="str" cm="1">
        <f t="array" ref="AE461">IFERROR(IF(INDEX(SubsidieTabel!$AD$1:$AG$12,MATCH($F461,SubsidieTabel!$AD$1:$AD$12,0),IFERROR(MATCH(Methode_Keuze,SubsidieTabel!$AD$1:$AG$1,0),2))&lt;&gt;1=TRUE,"ja",""),"")</f>
        <v/>
      </c>
    </row>
    <row r="462" spans="1:31" x14ac:dyDescent="0.25">
      <c r="A462" s="316"/>
      <c r="B462" s="317" t="str">
        <f>IF(A462&lt;&gt;"",_xlfn.MAXIFS($B$1:B461,$A$1:A461,A462)+1,"")</f>
        <v/>
      </c>
      <c r="C462" s="296"/>
      <c r="D462" s="296"/>
      <c r="E462" s="296"/>
      <c r="F462" s="296"/>
      <c r="G462" s="326"/>
      <c r="H462" s="324"/>
      <c r="I462" s="325"/>
      <c r="J462" s="325"/>
      <c r="K462" s="318"/>
      <c r="L462" s="318"/>
      <c r="M462" s="319" t="str">
        <f>IFERROR(VLOOKUP(H462,Lijsten!$H$1:$I$100,2,0),"")</f>
        <v/>
      </c>
      <c r="N462" s="319" t="str">
        <f ca="1">IFERROR(IF(VLOOKUP(F462,Kostentypen!$A$3:$E$21,3,0)=0,"",IF(OR(F462="Arbeidskosten",F462="Vergoeding"),VLOOKUP(G462,Tb_KostenTypen[],2,0),VLOOKUP(F462,Kostentypen!$A$3:$E$20,3,0))),"")</f>
        <v/>
      </c>
      <c r="O462" s="320" t="str" cm="1">
        <f t="array" ref="O462">_xlfn.IFNA(IF(INDEX(Tb_KostenOptiesDB[],MATCH($F462,Tb_KostenOptiesDB[KostenOptie],0),IFERROR(MATCH(Methode_Keuze,Tb_KostenOptiesDB[#Headers],0),2))=1,_xlfn.SWITCH($N462,"Uurtarief",IF(OR(AND(RIGHT($F462,3)="IKS",VLOOKUP($M462,DB_Loonkosten,2,0)="Ja"),AND(RIGHT($F462,3)&lt;&gt;"IKS",VLOOKUP($M462,DB_Loonkosten,2,0)="Nee")),IFERROR(VLOOKUP($M462,DB_Loonkosten,24,0),""),0),"Vast tarief",IF(LEFT(F462,8)="Bijdrage",VLOOKUP($F462,Tb_KostenTypen[],MATCH(Lijsten!$P$1,Tb_KostenTypen[#Headers],0),0),VLOOKUP($G462,Lijsten!L:P,MATCH(Lijsten!$P$1,Kop_Tarief_Vast,0),0))),""),"")</f>
        <v/>
      </c>
      <c r="P462" s="320" t="str" cm="1">
        <f t="array" ref="P462">_xlfn.IFNA(IF(INDEX(Tb_KostenOptiesDB[],MATCH($F462,Tb_KostenOptiesDB[KostenOptie],0),IFERROR(MATCH(Methode_Keuze,Tb_KostenOptiesDB[#Headers],0),2))=1,_xlfn.SWITCH($N462,"Uurtarief",IF(OR(AND(RIGHT($F462,3)="IKS",VLOOKUP($M462,DB_Loonkosten,2,0)="Ja"),AND(RIGHT($F462,3)&lt;&gt;"IKS",VLOOKUP($M462,DB_Loonkosten,2,0)="Nee")),IFERROR(VLOOKUP($M462,DB_Loonkosten,25,0),""),0),"Vast tarief",IF(LEFT(F462,8)="Bijdrage",VLOOKUP($F462,Tb_KostenTypen[],MATCH(Lijsten!$P$1,Tb_KostenTypen[#Headers],0),0),VLOOKUP($G462,Lijsten!L:P,MATCH(Lijsten!$P$1,Kop_Tarief_Vast,0),0))),""),"")</f>
        <v/>
      </c>
      <c r="Q462" s="359"/>
      <c r="R462" s="359"/>
      <c r="S462" s="321"/>
      <c r="T462" s="321"/>
      <c r="U462" s="373" t="str">
        <f t="shared" si="28"/>
        <v/>
      </c>
      <c r="V462" s="314" t="str">
        <f t="shared" si="29"/>
        <v/>
      </c>
      <c r="W462" s="314" t="str" cm="1">
        <f t="array" aca="1" ref="W462" ca="1">IFERROR(IF(AE462&lt;&gt;"ja",_xlfn.IFNA(_xlfn.IFS(AND(O462&lt;&gt;"",F462&lt;&gt;"",RIGHT($N462,6)="tarief",F462="Vergoeding"),SUM(O462)*FLOOR(SUM(Q462),0.0001),AND(O462&lt;&gt;"",F462&lt;&gt;"",RIGHT($N462,6)="tarief"),SUM(O462)*FLOOR(SUM(Q462),0.01),S462&gt;0,IF(F462&lt;&gt;"",FLOOR(SUM(S462),0.01),"")),""),""),"")</f>
        <v/>
      </c>
      <c r="X462" s="314" t="str" cm="1">
        <f t="array" aca="1" ref="X462" ca="1">IFERROR(IF(AE462&lt;&gt;"ja",_xlfn.IFNA(_xlfn.IFS(AND(P462&lt;&gt;"",R462&lt;&gt;"",RIGHT($N462,6)="tarief",F462="Vergoeding"),SUM(P462)*FLOOR(SUM(R462),0.0001),AND(P462&lt;&gt;"",R462&lt;&gt;"",RIGHT($N462,6)="tarief"),P462*FLOOR(R462,0.01),T462&gt;0,FLOOR(SUM(T462),0.01)),""),""),"")</f>
        <v/>
      </c>
      <c r="Y462" s="314" t="str">
        <f t="shared" ca="1" si="30"/>
        <v/>
      </c>
      <c r="Z462" s="314" t="str" cm="1">
        <f t="array" aca="1" ref="Z462" ca="1">IFERROR(_xlfn.IFS(OR(F462="",LEFT(Methode_Keuze,4)="Geen",Methode_Keuze=""),"",AND(W462&lt;&gt;"",F462&lt;&gt;"Arbeidskosten"),W462*VLOOKUP(F462,Tb_ProjectKosten[],MATCH(Tb_ProjectKosten[[#Headers],[Forfait_Percentage]],Tb_ProjectKosten[#Headers],0),0),AND(F462="Arbeidskosten",G462&lt;&gt;""),IFERROR(W462*VLOOKUP(G462,Tb_KostenTypen[],3,0)*VLOOKUP(F462,Tb_ProjectKosten[],MATCH(Tb_ProjectKosten[[#Headers],[Forfait_Percentage]],Tb_ProjectKosten[#Headers],0),0),""),W462 &lt;=0,0),"")</f>
        <v/>
      </c>
      <c r="AA462" s="314" t="str" cm="1">
        <f t="array" aca="1" ref="AA462" ca="1">IFERROR(_xlfn.IFS(OR(F462="",LEFT(Methode_Keuze,4)="Geen",Methode_Keuze=""),"",AND(X462&lt;&gt;"",F462&lt;&gt;"Arbeidskosten"),X462*VLOOKUP(F462,Tb_ProjectKosten[],MATCH(Tb_ProjectKosten[[#Headers],[Forfait_Percentage]],Tb_ProjectKosten[#Headers],0),0),AND(F462="Arbeidskosten",G462&lt;&gt;""),IFERROR(X462*VLOOKUP(G462,Tb_KostenTypen[],3,0)*VLOOKUP(F462,Tb_ProjectKosten[],MATCH(Tb_ProjectKosten[[#Headers],[Forfait_Percentage]],Tb_ProjectKosten[#Headers],0),0),""),X462 &lt;=0,0),"")</f>
        <v/>
      </c>
      <c r="AB462" s="314" t="str">
        <f t="shared" ca="1" si="31"/>
        <v/>
      </c>
      <c r="AC462" s="322"/>
      <c r="AD462" s="315"/>
      <c r="AE462" s="32" t="str" cm="1">
        <f t="array" ref="AE462">IFERROR(IF(INDEX(SubsidieTabel!$AD$1:$AG$12,MATCH($F462,SubsidieTabel!$AD$1:$AD$12,0),IFERROR(MATCH(Methode_Keuze,SubsidieTabel!$AD$1:$AG$1,0),2))&lt;&gt;1=TRUE,"ja",""),"")</f>
        <v/>
      </c>
    </row>
    <row r="463" spans="1:31" x14ac:dyDescent="0.25">
      <c r="A463" s="316"/>
      <c r="B463" s="317" t="str">
        <f>IF(A463&lt;&gt;"",_xlfn.MAXIFS($B$1:B462,$A$1:A462,A463)+1,"")</f>
        <v/>
      </c>
      <c r="C463" s="296"/>
      <c r="D463" s="296"/>
      <c r="E463" s="296"/>
      <c r="F463" s="296"/>
      <c r="G463" s="326"/>
      <c r="H463" s="324"/>
      <c r="I463" s="325"/>
      <c r="J463" s="325"/>
      <c r="K463" s="318"/>
      <c r="L463" s="318"/>
      <c r="M463" s="319" t="str">
        <f>IFERROR(VLOOKUP(H463,Lijsten!$H$1:$I$100,2,0),"")</f>
        <v/>
      </c>
      <c r="N463" s="319" t="str">
        <f ca="1">IFERROR(IF(VLOOKUP(F463,Kostentypen!$A$3:$E$21,3,0)=0,"",IF(OR(F463="Arbeidskosten",F463="Vergoeding"),VLOOKUP(G463,Tb_KostenTypen[],2,0),VLOOKUP(F463,Kostentypen!$A$3:$E$20,3,0))),"")</f>
        <v/>
      </c>
      <c r="O463" s="320" t="str" cm="1">
        <f t="array" ref="O463">_xlfn.IFNA(IF(INDEX(Tb_KostenOptiesDB[],MATCH($F463,Tb_KostenOptiesDB[KostenOptie],0),IFERROR(MATCH(Methode_Keuze,Tb_KostenOptiesDB[#Headers],0),2))=1,_xlfn.SWITCH($N463,"Uurtarief",IF(OR(AND(RIGHT($F463,3)="IKS",VLOOKUP($M463,DB_Loonkosten,2,0)="Ja"),AND(RIGHT($F463,3)&lt;&gt;"IKS",VLOOKUP($M463,DB_Loonkosten,2,0)="Nee")),IFERROR(VLOOKUP($M463,DB_Loonkosten,24,0),""),0),"Vast tarief",IF(LEFT(F463,8)="Bijdrage",VLOOKUP($F463,Tb_KostenTypen[],MATCH(Lijsten!$P$1,Tb_KostenTypen[#Headers],0),0),VLOOKUP($G463,Lijsten!L:P,MATCH(Lijsten!$P$1,Kop_Tarief_Vast,0),0))),""),"")</f>
        <v/>
      </c>
      <c r="P463" s="320" t="str" cm="1">
        <f t="array" ref="P463">_xlfn.IFNA(IF(INDEX(Tb_KostenOptiesDB[],MATCH($F463,Tb_KostenOptiesDB[KostenOptie],0),IFERROR(MATCH(Methode_Keuze,Tb_KostenOptiesDB[#Headers],0),2))=1,_xlfn.SWITCH($N463,"Uurtarief",IF(OR(AND(RIGHT($F463,3)="IKS",VLOOKUP($M463,DB_Loonkosten,2,0)="Ja"),AND(RIGHT($F463,3)&lt;&gt;"IKS",VLOOKUP($M463,DB_Loonkosten,2,0)="Nee")),IFERROR(VLOOKUP($M463,DB_Loonkosten,25,0),""),0),"Vast tarief",IF(LEFT(F463,8)="Bijdrage",VLOOKUP($F463,Tb_KostenTypen[],MATCH(Lijsten!$P$1,Tb_KostenTypen[#Headers],0),0),VLOOKUP($G463,Lijsten!L:P,MATCH(Lijsten!$P$1,Kop_Tarief_Vast,0),0))),""),"")</f>
        <v/>
      </c>
      <c r="Q463" s="359"/>
      <c r="R463" s="359"/>
      <c r="S463" s="321"/>
      <c r="T463" s="321"/>
      <c r="U463" s="373" t="str">
        <f t="shared" si="28"/>
        <v/>
      </c>
      <c r="V463" s="314" t="str">
        <f t="shared" si="29"/>
        <v/>
      </c>
      <c r="W463" s="314" t="str" cm="1">
        <f t="array" aca="1" ref="W463" ca="1">IFERROR(IF(AE463&lt;&gt;"ja",_xlfn.IFNA(_xlfn.IFS(AND(O463&lt;&gt;"",F463&lt;&gt;"",RIGHT($N463,6)="tarief",F463="Vergoeding"),SUM(O463)*FLOOR(SUM(Q463),0.0001),AND(O463&lt;&gt;"",F463&lt;&gt;"",RIGHT($N463,6)="tarief"),SUM(O463)*FLOOR(SUM(Q463),0.01),S463&gt;0,IF(F463&lt;&gt;"",FLOOR(SUM(S463),0.01),"")),""),""),"")</f>
        <v/>
      </c>
      <c r="X463" s="314" t="str" cm="1">
        <f t="array" aca="1" ref="X463" ca="1">IFERROR(IF(AE463&lt;&gt;"ja",_xlfn.IFNA(_xlfn.IFS(AND(P463&lt;&gt;"",R463&lt;&gt;"",RIGHT($N463,6)="tarief",F463="Vergoeding"),SUM(P463)*FLOOR(SUM(R463),0.0001),AND(P463&lt;&gt;"",R463&lt;&gt;"",RIGHT($N463,6)="tarief"),P463*FLOOR(R463,0.01),T463&gt;0,FLOOR(SUM(T463),0.01)),""),""),"")</f>
        <v/>
      </c>
      <c r="Y463" s="314" t="str">
        <f t="shared" ca="1" si="30"/>
        <v/>
      </c>
      <c r="Z463" s="314" t="str" cm="1">
        <f t="array" aca="1" ref="Z463" ca="1">IFERROR(_xlfn.IFS(OR(F463="",LEFT(Methode_Keuze,4)="Geen",Methode_Keuze=""),"",AND(W463&lt;&gt;"",F463&lt;&gt;"Arbeidskosten"),W463*VLOOKUP(F463,Tb_ProjectKosten[],MATCH(Tb_ProjectKosten[[#Headers],[Forfait_Percentage]],Tb_ProjectKosten[#Headers],0),0),AND(F463="Arbeidskosten",G463&lt;&gt;""),IFERROR(W463*VLOOKUP(G463,Tb_KostenTypen[],3,0)*VLOOKUP(F463,Tb_ProjectKosten[],MATCH(Tb_ProjectKosten[[#Headers],[Forfait_Percentage]],Tb_ProjectKosten[#Headers],0),0),""),W463 &lt;=0,0),"")</f>
        <v/>
      </c>
      <c r="AA463" s="314" t="str" cm="1">
        <f t="array" aca="1" ref="AA463" ca="1">IFERROR(_xlfn.IFS(OR(F463="",LEFT(Methode_Keuze,4)="Geen",Methode_Keuze=""),"",AND(X463&lt;&gt;"",F463&lt;&gt;"Arbeidskosten"),X463*VLOOKUP(F463,Tb_ProjectKosten[],MATCH(Tb_ProjectKosten[[#Headers],[Forfait_Percentage]],Tb_ProjectKosten[#Headers],0),0),AND(F463="Arbeidskosten",G463&lt;&gt;""),IFERROR(X463*VLOOKUP(G463,Tb_KostenTypen[],3,0)*VLOOKUP(F463,Tb_ProjectKosten[],MATCH(Tb_ProjectKosten[[#Headers],[Forfait_Percentage]],Tb_ProjectKosten[#Headers],0),0),""),X463 &lt;=0,0),"")</f>
        <v/>
      </c>
      <c r="AB463" s="314" t="str">
        <f t="shared" ca="1" si="31"/>
        <v/>
      </c>
      <c r="AC463" s="322"/>
      <c r="AD463" s="315"/>
      <c r="AE463" s="32" t="str" cm="1">
        <f t="array" ref="AE463">IFERROR(IF(INDEX(SubsidieTabel!$AD$1:$AG$12,MATCH($F463,SubsidieTabel!$AD$1:$AD$12,0),IFERROR(MATCH(Methode_Keuze,SubsidieTabel!$AD$1:$AG$1,0),2))&lt;&gt;1=TRUE,"ja",""),"")</f>
        <v/>
      </c>
    </row>
    <row r="464" spans="1:31" x14ac:dyDescent="0.25">
      <c r="A464" s="316"/>
      <c r="B464" s="317" t="str">
        <f>IF(A464&lt;&gt;"",_xlfn.MAXIFS($B$1:B463,$A$1:A463,A464)+1,"")</f>
        <v/>
      </c>
      <c r="C464" s="296"/>
      <c r="D464" s="296"/>
      <c r="E464" s="296"/>
      <c r="F464" s="296"/>
      <c r="G464" s="326"/>
      <c r="H464" s="324"/>
      <c r="I464" s="325"/>
      <c r="J464" s="325"/>
      <c r="K464" s="318"/>
      <c r="L464" s="318"/>
      <c r="M464" s="319" t="str">
        <f>IFERROR(VLOOKUP(H464,Lijsten!$H$1:$I$100,2,0),"")</f>
        <v/>
      </c>
      <c r="N464" s="319" t="str">
        <f ca="1">IFERROR(IF(VLOOKUP(F464,Kostentypen!$A$3:$E$21,3,0)=0,"",IF(OR(F464="Arbeidskosten",F464="Vergoeding"),VLOOKUP(G464,Tb_KostenTypen[],2,0),VLOOKUP(F464,Kostentypen!$A$3:$E$20,3,0))),"")</f>
        <v/>
      </c>
      <c r="O464" s="320" t="str" cm="1">
        <f t="array" ref="O464">_xlfn.IFNA(IF(INDEX(Tb_KostenOptiesDB[],MATCH($F464,Tb_KostenOptiesDB[KostenOptie],0),IFERROR(MATCH(Methode_Keuze,Tb_KostenOptiesDB[#Headers],0),2))=1,_xlfn.SWITCH($N464,"Uurtarief",IF(OR(AND(RIGHT($F464,3)="IKS",VLOOKUP($M464,DB_Loonkosten,2,0)="Ja"),AND(RIGHT($F464,3)&lt;&gt;"IKS",VLOOKUP($M464,DB_Loonkosten,2,0)="Nee")),IFERROR(VLOOKUP($M464,DB_Loonkosten,24,0),""),0),"Vast tarief",IF(LEFT(F464,8)="Bijdrage",VLOOKUP($F464,Tb_KostenTypen[],MATCH(Lijsten!$P$1,Tb_KostenTypen[#Headers],0),0),VLOOKUP($G464,Lijsten!L:P,MATCH(Lijsten!$P$1,Kop_Tarief_Vast,0),0))),""),"")</f>
        <v/>
      </c>
      <c r="P464" s="320" t="str" cm="1">
        <f t="array" ref="P464">_xlfn.IFNA(IF(INDEX(Tb_KostenOptiesDB[],MATCH($F464,Tb_KostenOptiesDB[KostenOptie],0),IFERROR(MATCH(Methode_Keuze,Tb_KostenOptiesDB[#Headers],0),2))=1,_xlfn.SWITCH($N464,"Uurtarief",IF(OR(AND(RIGHT($F464,3)="IKS",VLOOKUP($M464,DB_Loonkosten,2,0)="Ja"),AND(RIGHT($F464,3)&lt;&gt;"IKS",VLOOKUP($M464,DB_Loonkosten,2,0)="Nee")),IFERROR(VLOOKUP($M464,DB_Loonkosten,25,0),""),0),"Vast tarief",IF(LEFT(F464,8)="Bijdrage",VLOOKUP($F464,Tb_KostenTypen[],MATCH(Lijsten!$P$1,Tb_KostenTypen[#Headers],0),0),VLOOKUP($G464,Lijsten!L:P,MATCH(Lijsten!$P$1,Kop_Tarief_Vast,0),0))),""),"")</f>
        <v/>
      </c>
      <c r="Q464" s="359"/>
      <c r="R464" s="359"/>
      <c r="S464" s="321"/>
      <c r="T464" s="321"/>
      <c r="U464" s="373" t="str">
        <f t="shared" si="28"/>
        <v/>
      </c>
      <c r="V464" s="314" t="str">
        <f t="shared" si="29"/>
        <v/>
      </c>
      <c r="W464" s="314" t="str" cm="1">
        <f t="array" aca="1" ref="W464" ca="1">IFERROR(IF(AE464&lt;&gt;"ja",_xlfn.IFNA(_xlfn.IFS(AND(O464&lt;&gt;"",F464&lt;&gt;"",RIGHT($N464,6)="tarief",F464="Vergoeding"),SUM(O464)*FLOOR(SUM(Q464),0.0001),AND(O464&lt;&gt;"",F464&lt;&gt;"",RIGHT($N464,6)="tarief"),SUM(O464)*FLOOR(SUM(Q464),0.01),S464&gt;0,IF(F464&lt;&gt;"",FLOOR(SUM(S464),0.01),"")),""),""),"")</f>
        <v/>
      </c>
      <c r="X464" s="314" t="str" cm="1">
        <f t="array" aca="1" ref="X464" ca="1">IFERROR(IF(AE464&lt;&gt;"ja",_xlfn.IFNA(_xlfn.IFS(AND(P464&lt;&gt;"",R464&lt;&gt;"",RIGHT($N464,6)="tarief",F464="Vergoeding"),SUM(P464)*FLOOR(SUM(R464),0.0001),AND(P464&lt;&gt;"",R464&lt;&gt;"",RIGHT($N464,6)="tarief"),P464*FLOOR(R464,0.01),T464&gt;0,FLOOR(SUM(T464),0.01)),""),""),"")</f>
        <v/>
      </c>
      <c r="Y464" s="314" t="str">
        <f t="shared" ca="1" si="30"/>
        <v/>
      </c>
      <c r="Z464" s="314" t="str" cm="1">
        <f t="array" aca="1" ref="Z464" ca="1">IFERROR(_xlfn.IFS(OR(F464="",LEFT(Methode_Keuze,4)="Geen",Methode_Keuze=""),"",AND(W464&lt;&gt;"",F464&lt;&gt;"Arbeidskosten"),W464*VLOOKUP(F464,Tb_ProjectKosten[],MATCH(Tb_ProjectKosten[[#Headers],[Forfait_Percentage]],Tb_ProjectKosten[#Headers],0),0),AND(F464="Arbeidskosten",G464&lt;&gt;""),IFERROR(W464*VLOOKUP(G464,Tb_KostenTypen[],3,0)*VLOOKUP(F464,Tb_ProjectKosten[],MATCH(Tb_ProjectKosten[[#Headers],[Forfait_Percentage]],Tb_ProjectKosten[#Headers],0),0),""),W464 &lt;=0,0),"")</f>
        <v/>
      </c>
      <c r="AA464" s="314" t="str" cm="1">
        <f t="array" aca="1" ref="AA464" ca="1">IFERROR(_xlfn.IFS(OR(F464="",LEFT(Methode_Keuze,4)="Geen",Methode_Keuze=""),"",AND(X464&lt;&gt;"",F464&lt;&gt;"Arbeidskosten"),X464*VLOOKUP(F464,Tb_ProjectKosten[],MATCH(Tb_ProjectKosten[[#Headers],[Forfait_Percentage]],Tb_ProjectKosten[#Headers],0),0),AND(F464="Arbeidskosten",G464&lt;&gt;""),IFERROR(X464*VLOOKUP(G464,Tb_KostenTypen[],3,0)*VLOOKUP(F464,Tb_ProjectKosten[],MATCH(Tb_ProjectKosten[[#Headers],[Forfait_Percentage]],Tb_ProjectKosten[#Headers],0),0),""),X464 &lt;=0,0),"")</f>
        <v/>
      </c>
      <c r="AB464" s="314" t="str">
        <f t="shared" ca="1" si="31"/>
        <v/>
      </c>
      <c r="AC464" s="322"/>
      <c r="AD464" s="315"/>
      <c r="AE464" s="32" t="str" cm="1">
        <f t="array" ref="AE464">IFERROR(IF(INDEX(SubsidieTabel!$AD$1:$AG$12,MATCH($F464,SubsidieTabel!$AD$1:$AD$12,0),IFERROR(MATCH(Methode_Keuze,SubsidieTabel!$AD$1:$AG$1,0),2))&lt;&gt;1=TRUE,"ja",""),"")</f>
        <v/>
      </c>
    </row>
    <row r="465" spans="1:31" x14ac:dyDescent="0.25">
      <c r="A465" s="316"/>
      <c r="B465" s="317" t="str">
        <f>IF(A465&lt;&gt;"",_xlfn.MAXIFS($B$1:B464,$A$1:A464,A465)+1,"")</f>
        <v/>
      </c>
      <c r="C465" s="296"/>
      <c r="D465" s="296"/>
      <c r="E465" s="296"/>
      <c r="F465" s="296"/>
      <c r="G465" s="326"/>
      <c r="H465" s="324"/>
      <c r="I465" s="325"/>
      <c r="J465" s="325"/>
      <c r="K465" s="318"/>
      <c r="L465" s="318"/>
      <c r="M465" s="319" t="str">
        <f>IFERROR(VLOOKUP(H465,Lijsten!$H$1:$I$100,2,0),"")</f>
        <v/>
      </c>
      <c r="N465" s="319" t="str">
        <f ca="1">IFERROR(IF(VLOOKUP(F465,Kostentypen!$A$3:$E$21,3,0)=0,"",IF(OR(F465="Arbeidskosten",F465="Vergoeding"),VLOOKUP(G465,Tb_KostenTypen[],2,0),VLOOKUP(F465,Kostentypen!$A$3:$E$20,3,0))),"")</f>
        <v/>
      </c>
      <c r="O465" s="320" t="str" cm="1">
        <f t="array" ref="O465">_xlfn.IFNA(IF(INDEX(Tb_KostenOptiesDB[],MATCH($F465,Tb_KostenOptiesDB[KostenOptie],0),IFERROR(MATCH(Methode_Keuze,Tb_KostenOptiesDB[#Headers],0),2))=1,_xlfn.SWITCH($N465,"Uurtarief",IF(OR(AND(RIGHT($F465,3)="IKS",VLOOKUP($M465,DB_Loonkosten,2,0)="Ja"),AND(RIGHT($F465,3)&lt;&gt;"IKS",VLOOKUP($M465,DB_Loonkosten,2,0)="Nee")),IFERROR(VLOOKUP($M465,DB_Loonkosten,24,0),""),0),"Vast tarief",IF(LEFT(F465,8)="Bijdrage",VLOOKUP($F465,Tb_KostenTypen[],MATCH(Lijsten!$P$1,Tb_KostenTypen[#Headers],0),0),VLOOKUP($G465,Lijsten!L:P,MATCH(Lijsten!$P$1,Kop_Tarief_Vast,0),0))),""),"")</f>
        <v/>
      </c>
      <c r="P465" s="320" t="str" cm="1">
        <f t="array" ref="P465">_xlfn.IFNA(IF(INDEX(Tb_KostenOptiesDB[],MATCH($F465,Tb_KostenOptiesDB[KostenOptie],0),IFERROR(MATCH(Methode_Keuze,Tb_KostenOptiesDB[#Headers],0),2))=1,_xlfn.SWITCH($N465,"Uurtarief",IF(OR(AND(RIGHT($F465,3)="IKS",VLOOKUP($M465,DB_Loonkosten,2,0)="Ja"),AND(RIGHT($F465,3)&lt;&gt;"IKS",VLOOKUP($M465,DB_Loonkosten,2,0)="Nee")),IFERROR(VLOOKUP($M465,DB_Loonkosten,25,0),""),0),"Vast tarief",IF(LEFT(F465,8)="Bijdrage",VLOOKUP($F465,Tb_KostenTypen[],MATCH(Lijsten!$P$1,Tb_KostenTypen[#Headers],0),0),VLOOKUP($G465,Lijsten!L:P,MATCH(Lijsten!$P$1,Kop_Tarief_Vast,0),0))),""),"")</f>
        <v/>
      </c>
      <c r="Q465" s="359"/>
      <c r="R465" s="359"/>
      <c r="S465" s="321"/>
      <c r="T465" s="321"/>
      <c r="U465" s="373" t="str">
        <f t="shared" si="28"/>
        <v/>
      </c>
      <c r="V465" s="314" t="str">
        <f t="shared" si="29"/>
        <v/>
      </c>
      <c r="W465" s="314" t="str" cm="1">
        <f t="array" aca="1" ref="W465" ca="1">IFERROR(IF(AE465&lt;&gt;"ja",_xlfn.IFNA(_xlfn.IFS(AND(O465&lt;&gt;"",F465&lt;&gt;"",RIGHT($N465,6)="tarief",F465="Vergoeding"),SUM(O465)*FLOOR(SUM(Q465),0.0001),AND(O465&lt;&gt;"",F465&lt;&gt;"",RIGHT($N465,6)="tarief"),SUM(O465)*FLOOR(SUM(Q465),0.01),S465&gt;0,IF(F465&lt;&gt;"",FLOOR(SUM(S465),0.01),"")),""),""),"")</f>
        <v/>
      </c>
      <c r="X465" s="314" t="str" cm="1">
        <f t="array" aca="1" ref="X465" ca="1">IFERROR(IF(AE465&lt;&gt;"ja",_xlfn.IFNA(_xlfn.IFS(AND(P465&lt;&gt;"",R465&lt;&gt;"",RIGHT($N465,6)="tarief",F465="Vergoeding"),SUM(P465)*FLOOR(SUM(R465),0.0001),AND(P465&lt;&gt;"",R465&lt;&gt;"",RIGHT($N465,6)="tarief"),P465*FLOOR(R465,0.01),T465&gt;0,FLOOR(SUM(T465),0.01)),""),""),"")</f>
        <v/>
      </c>
      <c r="Y465" s="314" t="str">
        <f t="shared" ca="1" si="30"/>
        <v/>
      </c>
      <c r="Z465" s="314" t="str" cm="1">
        <f t="array" aca="1" ref="Z465" ca="1">IFERROR(_xlfn.IFS(OR(F465="",LEFT(Methode_Keuze,4)="Geen",Methode_Keuze=""),"",AND(W465&lt;&gt;"",F465&lt;&gt;"Arbeidskosten"),W465*VLOOKUP(F465,Tb_ProjectKosten[],MATCH(Tb_ProjectKosten[[#Headers],[Forfait_Percentage]],Tb_ProjectKosten[#Headers],0),0),AND(F465="Arbeidskosten",G465&lt;&gt;""),IFERROR(W465*VLOOKUP(G465,Tb_KostenTypen[],3,0)*VLOOKUP(F465,Tb_ProjectKosten[],MATCH(Tb_ProjectKosten[[#Headers],[Forfait_Percentage]],Tb_ProjectKosten[#Headers],0),0),""),W465 &lt;=0,0),"")</f>
        <v/>
      </c>
      <c r="AA465" s="314" t="str" cm="1">
        <f t="array" aca="1" ref="AA465" ca="1">IFERROR(_xlfn.IFS(OR(F465="",LEFT(Methode_Keuze,4)="Geen",Methode_Keuze=""),"",AND(X465&lt;&gt;"",F465&lt;&gt;"Arbeidskosten"),X465*VLOOKUP(F465,Tb_ProjectKosten[],MATCH(Tb_ProjectKosten[[#Headers],[Forfait_Percentage]],Tb_ProjectKosten[#Headers],0),0),AND(F465="Arbeidskosten",G465&lt;&gt;""),IFERROR(X465*VLOOKUP(G465,Tb_KostenTypen[],3,0)*VLOOKUP(F465,Tb_ProjectKosten[],MATCH(Tb_ProjectKosten[[#Headers],[Forfait_Percentage]],Tb_ProjectKosten[#Headers],0),0),""),X465 &lt;=0,0),"")</f>
        <v/>
      </c>
      <c r="AB465" s="314" t="str">
        <f t="shared" ca="1" si="31"/>
        <v/>
      </c>
      <c r="AC465" s="322"/>
      <c r="AD465" s="315"/>
      <c r="AE465" s="32" t="str" cm="1">
        <f t="array" ref="AE465">IFERROR(IF(INDEX(SubsidieTabel!$AD$1:$AG$12,MATCH($F465,SubsidieTabel!$AD$1:$AD$12,0),IFERROR(MATCH(Methode_Keuze,SubsidieTabel!$AD$1:$AG$1,0),2))&lt;&gt;1=TRUE,"ja",""),"")</f>
        <v/>
      </c>
    </row>
    <row r="466" spans="1:31" x14ac:dyDescent="0.25">
      <c r="A466" s="316"/>
      <c r="B466" s="317" t="str">
        <f>IF(A466&lt;&gt;"",_xlfn.MAXIFS($B$1:B465,$A$1:A465,A466)+1,"")</f>
        <v/>
      </c>
      <c r="C466" s="296"/>
      <c r="D466" s="296"/>
      <c r="E466" s="296"/>
      <c r="F466" s="296"/>
      <c r="G466" s="326"/>
      <c r="H466" s="324"/>
      <c r="I466" s="325"/>
      <c r="J466" s="325"/>
      <c r="K466" s="318"/>
      <c r="L466" s="318"/>
      <c r="M466" s="319" t="str">
        <f>IFERROR(VLOOKUP(H466,Lijsten!$H$1:$I$100,2,0),"")</f>
        <v/>
      </c>
      <c r="N466" s="319" t="str">
        <f ca="1">IFERROR(IF(VLOOKUP(F466,Kostentypen!$A$3:$E$21,3,0)=0,"",IF(OR(F466="Arbeidskosten",F466="Vergoeding"),VLOOKUP(G466,Tb_KostenTypen[],2,0),VLOOKUP(F466,Kostentypen!$A$3:$E$20,3,0))),"")</f>
        <v/>
      </c>
      <c r="O466" s="320" t="str" cm="1">
        <f t="array" ref="O466">_xlfn.IFNA(IF(INDEX(Tb_KostenOptiesDB[],MATCH($F466,Tb_KostenOptiesDB[KostenOptie],0),IFERROR(MATCH(Methode_Keuze,Tb_KostenOptiesDB[#Headers],0),2))=1,_xlfn.SWITCH($N466,"Uurtarief",IF(OR(AND(RIGHT($F466,3)="IKS",VLOOKUP($M466,DB_Loonkosten,2,0)="Ja"),AND(RIGHT($F466,3)&lt;&gt;"IKS",VLOOKUP($M466,DB_Loonkosten,2,0)="Nee")),IFERROR(VLOOKUP($M466,DB_Loonkosten,24,0),""),0),"Vast tarief",IF(LEFT(F466,8)="Bijdrage",VLOOKUP($F466,Tb_KostenTypen[],MATCH(Lijsten!$P$1,Tb_KostenTypen[#Headers],0),0),VLOOKUP($G466,Lijsten!L:P,MATCH(Lijsten!$P$1,Kop_Tarief_Vast,0),0))),""),"")</f>
        <v/>
      </c>
      <c r="P466" s="320" t="str" cm="1">
        <f t="array" ref="P466">_xlfn.IFNA(IF(INDEX(Tb_KostenOptiesDB[],MATCH($F466,Tb_KostenOptiesDB[KostenOptie],0),IFERROR(MATCH(Methode_Keuze,Tb_KostenOptiesDB[#Headers],0),2))=1,_xlfn.SWITCH($N466,"Uurtarief",IF(OR(AND(RIGHT($F466,3)="IKS",VLOOKUP($M466,DB_Loonkosten,2,0)="Ja"),AND(RIGHT($F466,3)&lt;&gt;"IKS",VLOOKUP($M466,DB_Loonkosten,2,0)="Nee")),IFERROR(VLOOKUP($M466,DB_Loonkosten,25,0),""),0),"Vast tarief",IF(LEFT(F466,8)="Bijdrage",VLOOKUP($F466,Tb_KostenTypen[],MATCH(Lijsten!$P$1,Tb_KostenTypen[#Headers],0),0),VLOOKUP($G466,Lijsten!L:P,MATCH(Lijsten!$P$1,Kop_Tarief_Vast,0),0))),""),"")</f>
        <v/>
      </c>
      <c r="Q466" s="359"/>
      <c r="R466" s="359"/>
      <c r="S466" s="321"/>
      <c r="T466" s="321"/>
      <c r="U466" s="373" t="str">
        <f t="shared" si="28"/>
        <v/>
      </c>
      <c r="V466" s="314" t="str">
        <f t="shared" si="29"/>
        <v/>
      </c>
      <c r="W466" s="314" t="str" cm="1">
        <f t="array" aca="1" ref="W466" ca="1">IFERROR(IF(AE466&lt;&gt;"ja",_xlfn.IFNA(_xlfn.IFS(AND(O466&lt;&gt;"",F466&lt;&gt;"",RIGHT($N466,6)="tarief",F466="Vergoeding"),SUM(O466)*FLOOR(SUM(Q466),0.0001),AND(O466&lt;&gt;"",F466&lt;&gt;"",RIGHT($N466,6)="tarief"),SUM(O466)*FLOOR(SUM(Q466),0.01),S466&gt;0,IF(F466&lt;&gt;"",FLOOR(SUM(S466),0.01),"")),""),""),"")</f>
        <v/>
      </c>
      <c r="X466" s="314" t="str" cm="1">
        <f t="array" aca="1" ref="X466" ca="1">IFERROR(IF(AE466&lt;&gt;"ja",_xlfn.IFNA(_xlfn.IFS(AND(P466&lt;&gt;"",R466&lt;&gt;"",RIGHT($N466,6)="tarief",F466="Vergoeding"),SUM(P466)*FLOOR(SUM(R466),0.0001),AND(P466&lt;&gt;"",R466&lt;&gt;"",RIGHT($N466,6)="tarief"),P466*FLOOR(R466,0.01),T466&gt;0,FLOOR(SUM(T466),0.01)),""),""),"")</f>
        <v/>
      </c>
      <c r="Y466" s="314" t="str">
        <f t="shared" ca="1" si="30"/>
        <v/>
      </c>
      <c r="Z466" s="314" t="str" cm="1">
        <f t="array" aca="1" ref="Z466" ca="1">IFERROR(_xlfn.IFS(OR(F466="",LEFT(Methode_Keuze,4)="Geen",Methode_Keuze=""),"",AND(W466&lt;&gt;"",F466&lt;&gt;"Arbeidskosten"),W466*VLOOKUP(F466,Tb_ProjectKosten[],MATCH(Tb_ProjectKosten[[#Headers],[Forfait_Percentage]],Tb_ProjectKosten[#Headers],0),0),AND(F466="Arbeidskosten",G466&lt;&gt;""),IFERROR(W466*VLOOKUP(G466,Tb_KostenTypen[],3,0)*VLOOKUP(F466,Tb_ProjectKosten[],MATCH(Tb_ProjectKosten[[#Headers],[Forfait_Percentage]],Tb_ProjectKosten[#Headers],0),0),""),W466 &lt;=0,0),"")</f>
        <v/>
      </c>
      <c r="AA466" s="314" t="str" cm="1">
        <f t="array" aca="1" ref="AA466" ca="1">IFERROR(_xlfn.IFS(OR(F466="",LEFT(Methode_Keuze,4)="Geen",Methode_Keuze=""),"",AND(X466&lt;&gt;"",F466&lt;&gt;"Arbeidskosten"),X466*VLOOKUP(F466,Tb_ProjectKosten[],MATCH(Tb_ProjectKosten[[#Headers],[Forfait_Percentage]],Tb_ProjectKosten[#Headers],0),0),AND(F466="Arbeidskosten",G466&lt;&gt;""),IFERROR(X466*VLOOKUP(G466,Tb_KostenTypen[],3,0)*VLOOKUP(F466,Tb_ProjectKosten[],MATCH(Tb_ProjectKosten[[#Headers],[Forfait_Percentage]],Tb_ProjectKosten[#Headers],0),0),""),X466 &lt;=0,0),"")</f>
        <v/>
      </c>
      <c r="AB466" s="314" t="str">
        <f t="shared" ca="1" si="31"/>
        <v/>
      </c>
      <c r="AC466" s="322"/>
      <c r="AD466" s="315"/>
      <c r="AE466" s="32" t="str" cm="1">
        <f t="array" ref="AE466">IFERROR(IF(INDEX(SubsidieTabel!$AD$1:$AG$12,MATCH($F466,SubsidieTabel!$AD$1:$AD$12,0),IFERROR(MATCH(Methode_Keuze,SubsidieTabel!$AD$1:$AG$1,0),2))&lt;&gt;1=TRUE,"ja",""),"")</f>
        <v/>
      </c>
    </row>
    <row r="467" spans="1:31" x14ac:dyDescent="0.25">
      <c r="A467" s="316"/>
      <c r="B467" s="317" t="str">
        <f>IF(A467&lt;&gt;"",_xlfn.MAXIFS($B$1:B466,$A$1:A466,A467)+1,"")</f>
        <v/>
      </c>
      <c r="C467" s="296"/>
      <c r="D467" s="296"/>
      <c r="E467" s="296"/>
      <c r="F467" s="296"/>
      <c r="G467" s="326"/>
      <c r="H467" s="324"/>
      <c r="I467" s="325"/>
      <c r="J467" s="325"/>
      <c r="K467" s="318"/>
      <c r="L467" s="318"/>
      <c r="M467" s="319" t="str">
        <f>IFERROR(VLOOKUP(H467,Lijsten!$H$1:$I$100,2,0),"")</f>
        <v/>
      </c>
      <c r="N467" s="319" t="str">
        <f ca="1">IFERROR(IF(VLOOKUP(F467,Kostentypen!$A$3:$E$21,3,0)=0,"",IF(OR(F467="Arbeidskosten",F467="Vergoeding"),VLOOKUP(G467,Tb_KostenTypen[],2,0),VLOOKUP(F467,Kostentypen!$A$3:$E$20,3,0))),"")</f>
        <v/>
      </c>
      <c r="O467" s="320" t="str" cm="1">
        <f t="array" ref="O467">_xlfn.IFNA(IF(INDEX(Tb_KostenOptiesDB[],MATCH($F467,Tb_KostenOptiesDB[KostenOptie],0),IFERROR(MATCH(Methode_Keuze,Tb_KostenOptiesDB[#Headers],0),2))=1,_xlfn.SWITCH($N467,"Uurtarief",IF(OR(AND(RIGHT($F467,3)="IKS",VLOOKUP($M467,DB_Loonkosten,2,0)="Ja"),AND(RIGHT($F467,3)&lt;&gt;"IKS",VLOOKUP($M467,DB_Loonkosten,2,0)="Nee")),IFERROR(VLOOKUP($M467,DB_Loonkosten,24,0),""),0),"Vast tarief",IF(LEFT(F467,8)="Bijdrage",VLOOKUP($F467,Tb_KostenTypen[],MATCH(Lijsten!$P$1,Tb_KostenTypen[#Headers],0),0),VLOOKUP($G467,Lijsten!L:P,MATCH(Lijsten!$P$1,Kop_Tarief_Vast,0),0))),""),"")</f>
        <v/>
      </c>
      <c r="P467" s="320" t="str" cm="1">
        <f t="array" ref="P467">_xlfn.IFNA(IF(INDEX(Tb_KostenOptiesDB[],MATCH($F467,Tb_KostenOptiesDB[KostenOptie],0),IFERROR(MATCH(Methode_Keuze,Tb_KostenOptiesDB[#Headers],0),2))=1,_xlfn.SWITCH($N467,"Uurtarief",IF(OR(AND(RIGHT($F467,3)="IKS",VLOOKUP($M467,DB_Loonkosten,2,0)="Ja"),AND(RIGHT($F467,3)&lt;&gt;"IKS",VLOOKUP($M467,DB_Loonkosten,2,0)="Nee")),IFERROR(VLOOKUP($M467,DB_Loonkosten,25,0),""),0),"Vast tarief",IF(LEFT(F467,8)="Bijdrage",VLOOKUP($F467,Tb_KostenTypen[],MATCH(Lijsten!$P$1,Tb_KostenTypen[#Headers],0),0),VLOOKUP($G467,Lijsten!L:P,MATCH(Lijsten!$P$1,Kop_Tarief_Vast,0),0))),""),"")</f>
        <v/>
      </c>
      <c r="Q467" s="359"/>
      <c r="R467" s="359"/>
      <c r="S467" s="321"/>
      <c r="T467" s="321"/>
      <c r="U467" s="373" t="str">
        <f t="shared" si="28"/>
        <v/>
      </c>
      <c r="V467" s="314" t="str">
        <f t="shared" si="29"/>
        <v/>
      </c>
      <c r="W467" s="314" t="str" cm="1">
        <f t="array" aca="1" ref="W467" ca="1">IFERROR(IF(AE467&lt;&gt;"ja",_xlfn.IFNA(_xlfn.IFS(AND(O467&lt;&gt;"",F467&lt;&gt;"",RIGHT($N467,6)="tarief",F467="Vergoeding"),SUM(O467)*FLOOR(SUM(Q467),0.0001),AND(O467&lt;&gt;"",F467&lt;&gt;"",RIGHT($N467,6)="tarief"),SUM(O467)*FLOOR(SUM(Q467),0.01),S467&gt;0,IF(F467&lt;&gt;"",FLOOR(SUM(S467),0.01),"")),""),""),"")</f>
        <v/>
      </c>
      <c r="X467" s="314" t="str" cm="1">
        <f t="array" aca="1" ref="X467" ca="1">IFERROR(IF(AE467&lt;&gt;"ja",_xlfn.IFNA(_xlfn.IFS(AND(P467&lt;&gt;"",R467&lt;&gt;"",RIGHT($N467,6)="tarief",F467="Vergoeding"),SUM(P467)*FLOOR(SUM(R467),0.0001),AND(P467&lt;&gt;"",R467&lt;&gt;"",RIGHT($N467,6)="tarief"),P467*FLOOR(R467,0.01),T467&gt;0,FLOOR(SUM(T467),0.01)),""),""),"")</f>
        <v/>
      </c>
      <c r="Y467" s="314" t="str">
        <f t="shared" ca="1" si="30"/>
        <v/>
      </c>
      <c r="Z467" s="314" t="str" cm="1">
        <f t="array" aca="1" ref="Z467" ca="1">IFERROR(_xlfn.IFS(OR(F467="",LEFT(Methode_Keuze,4)="Geen",Methode_Keuze=""),"",AND(W467&lt;&gt;"",F467&lt;&gt;"Arbeidskosten"),W467*VLOOKUP(F467,Tb_ProjectKosten[],MATCH(Tb_ProjectKosten[[#Headers],[Forfait_Percentage]],Tb_ProjectKosten[#Headers],0),0),AND(F467="Arbeidskosten",G467&lt;&gt;""),IFERROR(W467*VLOOKUP(G467,Tb_KostenTypen[],3,0)*VLOOKUP(F467,Tb_ProjectKosten[],MATCH(Tb_ProjectKosten[[#Headers],[Forfait_Percentage]],Tb_ProjectKosten[#Headers],0),0),""),W467 &lt;=0,0),"")</f>
        <v/>
      </c>
      <c r="AA467" s="314" t="str" cm="1">
        <f t="array" aca="1" ref="AA467" ca="1">IFERROR(_xlfn.IFS(OR(F467="",LEFT(Methode_Keuze,4)="Geen",Methode_Keuze=""),"",AND(X467&lt;&gt;"",F467&lt;&gt;"Arbeidskosten"),X467*VLOOKUP(F467,Tb_ProjectKosten[],MATCH(Tb_ProjectKosten[[#Headers],[Forfait_Percentage]],Tb_ProjectKosten[#Headers],0),0),AND(F467="Arbeidskosten",G467&lt;&gt;""),IFERROR(X467*VLOOKUP(G467,Tb_KostenTypen[],3,0)*VLOOKUP(F467,Tb_ProjectKosten[],MATCH(Tb_ProjectKosten[[#Headers],[Forfait_Percentage]],Tb_ProjectKosten[#Headers],0),0),""),X467 &lt;=0,0),"")</f>
        <v/>
      </c>
      <c r="AB467" s="314" t="str">
        <f t="shared" ca="1" si="31"/>
        <v/>
      </c>
      <c r="AC467" s="322"/>
      <c r="AD467" s="315"/>
      <c r="AE467" s="32" t="str" cm="1">
        <f t="array" ref="AE467">IFERROR(IF(INDEX(SubsidieTabel!$AD$1:$AG$12,MATCH($F467,SubsidieTabel!$AD$1:$AD$12,0),IFERROR(MATCH(Methode_Keuze,SubsidieTabel!$AD$1:$AG$1,0),2))&lt;&gt;1=TRUE,"ja",""),"")</f>
        <v/>
      </c>
    </row>
    <row r="468" spans="1:31" x14ac:dyDescent="0.25">
      <c r="A468" s="316"/>
      <c r="B468" s="317" t="str">
        <f>IF(A468&lt;&gt;"",_xlfn.MAXIFS($B$1:B467,$A$1:A467,A468)+1,"")</f>
        <v/>
      </c>
      <c r="C468" s="296"/>
      <c r="D468" s="296"/>
      <c r="E468" s="296"/>
      <c r="F468" s="296"/>
      <c r="G468" s="326"/>
      <c r="H468" s="324"/>
      <c r="I468" s="325"/>
      <c r="J468" s="325"/>
      <c r="K468" s="318"/>
      <c r="L468" s="318"/>
      <c r="M468" s="319" t="str">
        <f>IFERROR(VLOOKUP(H468,Lijsten!$H$1:$I$100,2,0),"")</f>
        <v/>
      </c>
      <c r="N468" s="319" t="str">
        <f ca="1">IFERROR(IF(VLOOKUP(F468,Kostentypen!$A$3:$E$21,3,0)=0,"",IF(OR(F468="Arbeidskosten",F468="Vergoeding"),VLOOKUP(G468,Tb_KostenTypen[],2,0),VLOOKUP(F468,Kostentypen!$A$3:$E$20,3,0))),"")</f>
        <v/>
      </c>
      <c r="O468" s="320" t="str" cm="1">
        <f t="array" ref="O468">_xlfn.IFNA(IF(INDEX(Tb_KostenOptiesDB[],MATCH($F468,Tb_KostenOptiesDB[KostenOptie],0),IFERROR(MATCH(Methode_Keuze,Tb_KostenOptiesDB[#Headers],0),2))=1,_xlfn.SWITCH($N468,"Uurtarief",IF(OR(AND(RIGHT($F468,3)="IKS",VLOOKUP($M468,DB_Loonkosten,2,0)="Ja"),AND(RIGHT($F468,3)&lt;&gt;"IKS",VLOOKUP($M468,DB_Loonkosten,2,0)="Nee")),IFERROR(VLOOKUP($M468,DB_Loonkosten,24,0),""),0),"Vast tarief",IF(LEFT(F468,8)="Bijdrage",VLOOKUP($F468,Tb_KostenTypen[],MATCH(Lijsten!$P$1,Tb_KostenTypen[#Headers],0),0),VLOOKUP($G468,Lijsten!L:P,MATCH(Lijsten!$P$1,Kop_Tarief_Vast,0),0))),""),"")</f>
        <v/>
      </c>
      <c r="P468" s="320" t="str" cm="1">
        <f t="array" ref="P468">_xlfn.IFNA(IF(INDEX(Tb_KostenOptiesDB[],MATCH($F468,Tb_KostenOptiesDB[KostenOptie],0),IFERROR(MATCH(Methode_Keuze,Tb_KostenOptiesDB[#Headers],0),2))=1,_xlfn.SWITCH($N468,"Uurtarief",IF(OR(AND(RIGHT($F468,3)="IKS",VLOOKUP($M468,DB_Loonkosten,2,0)="Ja"),AND(RIGHT($F468,3)&lt;&gt;"IKS",VLOOKUP($M468,DB_Loonkosten,2,0)="Nee")),IFERROR(VLOOKUP($M468,DB_Loonkosten,25,0),""),0),"Vast tarief",IF(LEFT(F468,8)="Bijdrage",VLOOKUP($F468,Tb_KostenTypen[],MATCH(Lijsten!$P$1,Tb_KostenTypen[#Headers],0),0),VLOOKUP($G468,Lijsten!L:P,MATCH(Lijsten!$P$1,Kop_Tarief_Vast,0),0))),""),"")</f>
        <v/>
      </c>
      <c r="Q468" s="359"/>
      <c r="R468" s="359"/>
      <c r="S468" s="321"/>
      <c r="T468" s="321"/>
      <c r="U468" s="373" t="str">
        <f t="shared" si="28"/>
        <v/>
      </c>
      <c r="V468" s="314" t="str">
        <f t="shared" si="29"/>
        <v/>
      </c>
      <c r="W468" s="314" t="str" cm="1">
        <f t="array" aca="1" ref="W468" ca="1">IFERROR(IF(AE468&lt;&gt;"ja",_xlfn.IFNA(_xlfn.IFS(AND(O468&lt;&gt;"",F468&lt;&gt;"",RIGHT($N468,6)="tarief",F468="Vergoeding"),SUM(O468)*FLOOR(SUM(Q468),0.0001),AND(O468&lt;&gt;"",F468&lt;&gt;"",RIGHT($N468,6)="tarief"),SUM(O468)*FLOOR(SUM(Q468),0.01),S468&gt;0,IF(F468&lt;&gt;"",FLOOR(SUM(S468),0.01),"")),""),""),"")</f>
        <v/>
      </c>
      <c r="X468" s="314" t="str" cm="1">
        <f t="array" aca="1" ref="X468" ca="1">IFERROR(IF(AE468&lt;&gt;"ja",_xlfn.IFNA(_xlfn.IFS(AND(P468&lt;&gt;"",R468&lt;&gt;"",RIGHT($N468,6)="tarief",F468="Vergoeding"),SUM(P468)*FLOOR(SUM(R468),0.0001),AND(P468&lt;&gt;"",R468&lt;&gt;"",RIGHT($N468,6)="tarief"),P468*FLOOR(R468,0.01),T468&gt;0,FLOOR(SUM(T468),0.01)),""),""),"")</f>
        <v/>
      </c>
      <c r="Y468" s="314" t="str">
        <f t="shared" ca="1" si="30"/>
        <v/>
      </c>
      <c r="Z468" s="314" t="str" cm="1">
        <f t="array" aca="1" ref="Z468" ca="1">IFERROR(_xlfn.IFS(OR(F468="",LEFT(Methode_Keuze,4)="Geen",Methode_Keuze=""),"",AND(W468&lt;&gt;"",F468&lt;&gt;"Arbeidskosten"),W468*VLOOKUP(F468,Tb_ProjectKosten[],MATCH(Tb_ProjectKosten[[#Headers],[Forfait_Percentage]],Tb_ProjectKosten[#Headers],0),0),AND(F468="Arbeidskosten",G468&lt;&gt;""),IFERROR(W468*VLOOKUP(G468,Tb_KostenTypen[],3,0)*VLOOKUP(F468,Tb_ProjectKosten[],MATCH(Tb_ProjectKosten[[#Headers],[Forfait_Percentage]],Tb_ProjectKosten[#Headers],0),0),""),W468 &lt;=0,0),"")</f>
        <v/>
      </c>
      <c r="AA468" s="314" t="str" cm="1">
        <f t="array" aca="1" ref="AA468" ca="1">IFERROR(_xlfn.IFS(OR(F468="",LEFT(Methode_Keuze,4)="Geen",Methode_Keuze=""),"",AND(X468&lt;&gt;"",F468&lt;&gt;"Arbeidskosten"),X468*VLOOKUP(F468,Tb_ProjectKosten[],MATCH(Tb_ProjectKosten[[#Headers],[Forfait_Percentage]],Tb_ProjectKosten[#Headers],0),0),AND(F468="Arbeidskosten",G468&lt;&gt;""),IFERROR(X468*VLOOKUP(G468,Tb_KostenTypen[],3,0)*VLOOKUP(F468,Tb_ProjectKosten[],MATCH(Tb_ProjectKosten[[#Headers],[Forfait_Percentage]],Tb_ProjectKosten[#Headers],0),0),""),X468 &lt;=0,0),"")</f>
        <v/>
      </c>
      <c r="AB468" s="314" t="str">
        <f t="shared" ca="1" si="31"/>
        <v/>
      </c>
      <c r="AC468" s="322"/>
      <c r="AD468" s="315"/>
      <c r="AE468" s="32" t="str" cm="1">
        <f t="array" ref="AE468">IFERROR(IF(INDEX(SubsidieTabel!$AD$1:$AG$12,MATCH($F468,SubsidieTabel!$AD$1:$AD$12,0),IFERROR(MATCH(Methode_Keuze,SubsidieTabel!$AD$1:$AG$1,0),2))&lt;&gt;1=TRUE,"ja",""),"")</f>
        <v/>
      </c>
    </row>
    <row r="469" spans="1:31" x14ac:dyDescent="0.25">
      <c r="A469" s="316"/>
      <c r="B469" s="317" t="str">
        <f>IF(A469&lt;&gt;"",_xlfn.MAXIFS($B$1:B468,$A$1:A468,A469)+1,"")</f>
        <v/>
      </c>
      <c r="C469" s="296"/>
      <c r="D469" s="296"/>
      <c r="E469" s="296"/>
      <c r="F469" s="296"/>
      <c r="G469" s="326"/>
      <c r="H469" s="324"/>
      <c r="I469" s="325"/>
      <c r="J469" s="325"/>
      <c r="K469" s="318"/>
      <c r="L469" s="318"/>
      <c r="M469" s="319" t="str">
        <f>IFERROR(VLOOKUP(H469,Lijsten!$H$1:$I$100,2,0),"")</f>
        <v/>
      </c>
      <c r="N469" s="319" t="str">
        <f ca="1">IFERROR(IF(VLOOKUP(F469,Kostentypen!$A$3:$E$21,3,0)=0,"",IF(OR(F469="Arbeidskosten",F469="Vergoeding"),VLOOKUP(G469,Tb_KostenTypen[],2,0),VLOOKUP(F469,Kostentypen!$A$3:$E$20,3,0))),"")</f>
        <v/>
      </c>
      <c r="O469" s="320" t="str" cm="1">
        <f t="array" ref="O469">_xlfn.IFNA(IF(INDEX(Tb_KostenOptiesDB[],MATCH($F469,Tb_KostenOptiesDB[KostenOptie],0),IFERROR(MATCH(Methode_Keuze,Tb_KostenOptiesDB[#Headers],0),2))=1,_xlfn.SWITCH($N469,"Uurtarief",IF(OR(AND(RIGHT($F469,3)="IKS",VLOOKUP($M469,DB_Loonkosten,2,0)="Ja"),AND(RIGHT($F469,3)&lt;&gt;"IKS",VLOOKUP($M469,DB_Loonkosten,2,0)="Nee")),IFERROR(VLOOKUP($M469,DB_Loonkosten,24,0),""),0),"Vast tarief",IF(LEFT(F469,8)="Bijdrage",VLOOKUP($F469,Tb_KostenTypen[],MATCH(Lijsten!$P$1,Tb_KostenTypen[#Headers],0),0),VLOOKUP($G469,Lijsten!L:P,MATCH(Lijsten!$P$1,Kop_Tarief_Vast,0),0))),""),"")</f>
        <v/>
      </c>
      <c r="P469" s="320" t="str" cm="1">
        <f t="array" ref="P469">_xlfn.IFNA(IF(INDEX(Tb_KostenOptiesDB[],MATCH($F469,Tb_KostenOptiesDB[KostenOptie],0),IFERROR(MATCH(Methode_Keuze,Tb_KostenOptiesDB[#Headers],0),2))=1,_xlfn.SWITCH($N469,"Uurtarief",IF(OR(AND(RIGHT($F469,3)="IKS",VLOOKUP($M469,DB_Loonkosten,2,0)="Ja"),AND(RIGHT($F469,3)&lt;&gt;"IKS",VLOOKUP($M469,DB_Loonkosten,2,0)="Nee")),IFERROR(VLOOKUP($M469,DB_Loonkosten,25,0),""),0),"Vast tarief",IF(LEFT(F469,8)="Bijdrage",VLOOKUP($F469,Tb_KostenTypen[],MATCH(Lijsten!$P$1,Tb_KostenTypen[#Headers],0),0),VLOOKUP($G469,Lijsten!L:P,MATCH(Lijsten!$P$1,Kop_Tarief_Vast,0),0))),""),"")</f>
        <v/>
      </c>
      <c r="Q469" s="359"/>
      <c r="R469" s="359"/>
      <c r="S469" s="321"/>
      <c r="T469" s="321"/>
      <c r="U469" s="373" t="str">
        <f t="shared" si="28"/>
        <v/>
      </c>
      <c r="V469" s="314" t="str">
        <f t="shared" si="29"/>
        <v/>
      </c>
      <c r="W469" s="314" t="str" cm="1">
        <f t="array" aca="1" ref="W469" ca="1">IFERROR(IF(AE469&lt;&gt;"ja",_xlfn.IFNA(_xlfn.IFS(AND(O469&lt;&gt;"",F469&lt;&gt;"",RIGHT($N469,6)="tarief",F469="Vergoeding"),SUM(O469)*FLOOR(SUM(Q469),0.0001),AND(O469&lt;&gt;"",F469&lt;&gt;"",RIGHT($N469,6)="tarief"),SUM(O469)*FLOOR(SUM(Q469),0.01),S469&gt;0,IF(F469&lt;&gt;"",FLOOR(SUM(S469),0.01),"")),""),""),"")</f>
        <v/>
      </c>
      <c r="X469" s="314" t="str" cm="1">
        <f t="array" aca="1" ref="X469" ca="1">IFERROR(IF(AE469&lt;&gt;"ja",_xlfn.IFNA(_xlfn.IFS(AND(P469&lt;&gt;"",R469&lt;&gt;"",RIGHT($N469,6)="tarief",F469="Vergoeding"),SUM(P469)*FLOOR(SUM(R469),0.0001),AND(P469&lt;&gt;"",R469&lt;&gt;"",RIGHT($N469,6)="tarief"),P469*FLOOR(R469,0.01),T469&gt;0,FLOOR(SUM(T469),0.01)),""),""),"")</f>
        <v/>
      </c>
      <c r="Y469" s="314" t="str">
        <f t="shared" ca="1" si="30"/>
        <v/>
      </c>
      <c r="Z469" s="314" t="str" cm="1">
        <f t="array" aca="1" ref="Z469" ca="1">IFERROR(_xlfn.IFS(OR(F469="",LEFT(Methode_Keuze,4)="Geen",Methode_Keuze=""),"",AND(W469&lt;&gt;"",F469&lt;&gt;"Arbeidskosten"),W469*VLOOKUP(F469,Tb_ProjectKosten[],MATCH(Tb_ProjectKosten[[#Headers],[Forfait_Percentage]],Tb_ProjectKosten[#Headers],0),0),AND(F469="Arbeidskosten",G469&lt;&gt;""),IFERROR(W469*VLOOKUP(G469,Tb_KostenTypen[],3,0)*VLOOKUP(F469,Tb_ProjectKosten[],MATCH(Tb_ProjectKosten[[#Headers],[Forfait_Percentage]],Tb_ProjectKosten[#Headers],0),0),""),W469 &lt;=0,0),"")</f>
        <v/>
      </c>
      <c r="AA469" s="314" t="str" cm="1">
        <f t="array" aca="1" ref="AA469" ca="1">IFERROR(_xlfn.IFS(OR(F469="",LEFT(Methode_Keuze,4)="Geen",Methode_Keuze=""),"",AND(X469&lt;&gt;"",F469&lt;&gt;"Arbeidskosten"),X469*VLOOKUP(F469,Tb_ProjectKosten[],MATCH(Tb_ProjectKosten[[#Headers],[Forfait_Percentage]],Tb_ProjectKosten[#Headers],0),0),AND(F469="Arbeidskosten",G469&lt;&gt;""),IFERROR(X469*VLOOKUP(G469,Tb_KostenTypen[],3,0)*VLOOKUP(F469,Tb_ProjectKosten[],MATCH(Tb_ProjectKosten[[#Headers],[Forfait_Percentage]],Tb_ProjectKosten[#Headers],0),0),""),X469 &lt;=0,0),"")</f>
        <v/>
      </c>
      <c r="AB469" s="314" t="str">
        <f t="shared" ca="1" si="31"/>
        <v/>
      </c>
      <c r="AC469" s="322"/>
      <c r="AD469" s="315"/>
      <c r="AE469" s="32" t="str" cm="1">
        <f t="array" ref="AE469">IFERROR(IF(INDEX(SubsidieTabel!$AD$1:$AG$12,MATCH($F469,SubsidieTabel!$AD$1:$AD$12,0),IFERROR(MATCH(Methode_Keuze,SubsidieTabel!$AD$1:$AG$1,0),2))&lt;&gt;1=TRUE,"ja",""),"")</f>
        <v/>
      </c>
    </row>
    <row r="470" spans="1:31" x14ac:dyDescent="0.25">
      <c r="A470" s="316"/>
      <c r="B470" s="317" t="str">
        <f>IF(A470&lt;&gt;"",_xlfn.MAXIFS($B$1:B469,$A$1:A469,A470)+1,"")</f>
        <v/>
      </c>
      <c r="C470" s="296"/>
      <c r="D470" s="296"/>
      <c r="E470" s="296"/>
      <c r="F470" s="296"/>
      <c r="G470" s="326"/>
      <c r="H470" s="324"/>
      <c r="I470" s="325"/>
      <c r="J470" s="325"/>
      <c r="K470" s="318"/>
      <c r="L470" s="318"/>
      <c r="M470" s="319" t="str">
        <f>IFERROR(VLOOKUP(H470,Lijsten!$H$1:$I$100,2,0),"")</f>
        <v/>
      </c>
      <c r="N470" s="319" t="str">
        <f ca="1">IFERROR(IF(VLOOKUP(F470,Kostentypen!$A$3:$E$21,3,0)=0,"",IF(OR(F470="Arbeidskosten",F470="Vergoeding"),VLOOKUP(G470,Tb_KostenTypen[],2,0),VLOOKUP(F470,Kostentypen!$A$3:$E$20,3,0))),"")</f>
        <v/>
      </c>
      <c r="O470" s="320" t="str" cm="1">
        <f t="array" ref="O470">_xlfn.IFNA(IF(INDEX(Tb_KostenOptiesDB[],MATCH($F470,Tb_KostenOptiesDB[KostenOptie],0),IFERROR(MATCH(Methode_Keuze,Tb_KostenOptiesDB[#Headers],0),2))=1,_xlfn.SWITCH($N470,"Uurtarief",IF(OR(AND(RIGHT($F470,3)="IKS",VLOOKUP($M470,DB_Loonkosten,2,0)="Ja"),AND(RIGHT($F470,3)&lt;&gt;"IKS",VLOOKUP($M470,DB_Loonkosten,2,0)="Nee")),IFERROR(VLOOKUP($M470,DB_Loonkosten,24,0),""),0),"Vast tarief",IF(LEFT(F470,8)="Bijdrage",VLOOKUP($F470,Tb_KostenTypen[],MATCH(Lijsten!$P$1,Tb_KostenTypen[#Headers],0),0),VLOOKUP($G470,Lijsten!L:P,MATCH(Lijsten!$P$1,Kop_Tarief_Vast,0),0))),""),"")</f>
        <v/>
      </c>
      <c r="P470" s="320" t="str" cm="1">
        <f t="array" ref="P470">_xlfn.IFNA(IF(INDEX(Tb_KostenOptiesDB[],MATCH($F470,Tb_KostenOptiesDB[KostenOptie],0),IFERROR(MATCH(Methode_Keuze,Tb_KostenOptiesDB[#Headers],0),2))=1,_xlfn.SWITCH($N470,"Uurtarief",IF(OR(AND(RIGHT($F470,3)="IKS",VLOOKUP($M470,DB_Loonkosten,2,0)="Ja"),AND(RIGHT($F470,3)&lt;&gt;"IKS",VLOOKUP($M470,DB_Loonkosten,2,0)="Nee")),IFERROR(VLOOKUP($M470,DB_Loonkosten,25,0),""),0),"Vast tarief",IF(LEFT(F470,8)="Bijdrage",VLOOKUP($F470,Tb_KostenTypen[],MATCH(Lijsten!$P$1,Tb_KostenTypen[#Headers],0),0),VLOOKUP($G470,Lijsten!L:P,MATCH(Lijsten!$P$1,Kop_Tarief_Vast,0),0))),""),"")</f>
        <v/>
      </c>
      <c r="Q470" s="359"/>
      <c r="R470" s="359"/>
      <c r="S470" s="321"/>
      <c r="T470" s="321"/>
      <c r="U470" s="373" t="str">
        <f t="shared" si="28"/>
        <v/>
      </c>
      <c r="V470" s="314" t="str">
        <f t="shared" si="29"/>
        <v/>
      </c>
      <c r="W470" s="314" t="str" cm="1">
        <f t="array" aca="1" ref="W470" ca="1">IFERROR(IF(AE470&lt;&gt;"ja",_xlfn.IFNA(_xlfn.IFS(AND(O470&lt;&gt;"",F470&lt;&gt;"",RIGHT($N470,6)="tarief",F470="Vergoeding"),SUM(O470)*FLOOR(SUM(Q470),0.0001),AND(O470&lt;&gt;"",F470&lt;&gt;"",RIGHT($N470,6)="tarief"),SUM(O470)*FLOOR(SUM(Q470),0.01),S470&gt;0,IF(F470&lt;&gt;"",FLOOR(SUM(S470),0.01),"")),""),""),"")</f>
        <v/>
      </c>
      <c r="X470" s="314" t="str" cm="1">
        <f t="array" aca="1" ref="X470" ca="1">IFERROR(IF(AE470&lt;&gt;"ja",_xlfn.IFNA(_xlfn.IFS(AND(P470&lt;&gt;"",R470&lt;&gt;"",RIGHT($N470,6)="tarief",F470="Vergoeding"),SUM(P470)*FLOOR(SUM(R470),0.0001),AND(P470&lt;&gt;"",R470&lt;&gt;"",RIGHT($N470,6)="tarief"),P470*FLOOR(R470,0.01),T470&gt;0,FLOOR(SUM(T470),0.01)),""),""),"")</f>
        <v/>
      </c>
      <c r="Y470" s="314" t="str">
        <f t="shared" ca="1" si="30"/>
        <v/>
      </c>
      <c r="Z470" s="314" t="str" cm="1">
        <f t="array" aca="1" ref="Z470" ca="1">IFERROR(_xlfn.IFS(OR(F470="",LEFT(Methode_Keuze,4)="Geen",Methode_Keuze=""),"",AND(W470&lt;&gt;"",F470&lt;&gt;"Arbeidskosten"),W470*VLOOKUP(F470,Tb_ProjectKosten[],MATCH(Tb_ProjectKosten[[#Headers],[Forfait_Percentage]],Tb_ProjectKosten[#Headers],0),0),AND(F470="Arbeidskosten",G470&lt;&gt;""),IFERROR(W470*VLOOKUP(G470,Tb_KostenTypen[],3,0)*VLOOKUP(F470,Tb_ProjectKosten[],MATCH(Tb_ProjectKosten[[#Headers],[Forfait_Percentage]],Tb_ProjectKosten[#Headers],0),0),""),W470 &lt;=0,0),"")</f>
        <v/>
      </c>
      <c r="AA470" s="314" t="str" cm="1">
        <f t="array" aca="1" ref="AA470" ca="1">IFERROR(_xlfn.IFS(OR(F470="",LEFT(Methode_Keuze,4)="Geen",Methode_Keuze=""),"",AND(X470&lt;&gt;"",F470&lt;&gt;"Arbeidskosten"),X470*VLOOKUP(F470,Tb_ProjectKosten[],MATCH(Tb_ProjectKosten[[#Headers],[Forfait_Percentage]],Tb_ProjectKosten[#Headers],0),0),AND(F470="Arbeidskosten",G470&lt;&gt;""),IFERROR(X470*VLOOKUP(G470,Tb_KostenTypen[],3,0)*VLOOKUP(F470,Tb_ProjectKosten[],MATCH(Tb_ProjectKosten[[#Headers],[Forfait_Percentage]],Tb_ProjectKosten[#Headers],0),0),""),X470 &lt;=0,0),"")</f>
        <v/>
      </c>
      <c r="AB470" s="314" t="str">
        <f t="shared" ca="1" si="31"/>
        <v/>
      </c>
      <c r="AC470" s="322"/>
      <c r="AD470" s="315"/>
      <c r="AE470" s="32" t="str" cm="1">
        <f t="array" ref="AE470">IFERROR(IF(INDEX(SubsidieTabel!$AD$1:$AG$12,MATCH($F470,SubsidieTabel!$AD$1:$AD$12,0),IFERROR(MATCH(Methode_Keuze,SubsidieTabel!$AD$1:$AG$1,0),2))&lt;&gt;1=TRUE,"ja",""),"")</f>
        <v/>
      </c>
    </row>
    <row r="471" spans="1:31" x14ac:dyDescent="0.25">
      <c r="A471" s="316"/>
      <c r="B471" s="317" t="str">
        <f>IF(A471&lt;&gt;"",_xlfn.MAXIFS($B$1:B470,$A$1:A470,A471)+1,"")</f>
        <v/>
      </c>
      <c r="C471" s="296"/>
      <c r="D471" s="296"/>
      <c r="E471" s="296"/>
      <c r="F471" s="296"/>
      <c r="G471" s="326"/>
      <c r="H471" s="324"/>
      <c r="I471" s="325"/>
      <c r="J471" s="325"/>
      <c r="K471" s="318"/>
      <c r="L471" s="318"/>
      <c r="M471" s="319" t="str">
        <f>IFERROR(VLOOKUP(H471,Lijsten!$H$1:$I$100,2,0),"")</f>
        <v/>
      </c>
      <c r="N471" s="319" t="str">
        <f ca="1">IFERROR(IF(VLOOKUP(F471,Kostentypen!$A$3:$E$21,3,0)=0,"",IF(OR(F471="Arbeidskosten",F471="Vergoeding"),VLOOKUP(G471,Tb_KostenTypen[],2,0),VLOOKUP(F471,Kostentypen!$A$3:$E$20,3,0))),"")</f>
        <v/>
      </c>
      <c r="O471" s="320" t="str" cm="1">
        <f t="array" ref="O471">_xlfn.IFNA(IF(INDEX(Tb_KostenOptiesDB[],MATCH($F471,Tb_KostenOptiesDB[KostenOptie],0),IFERROR(MATCH(Methode_Keuze,Tb_KostenOptiesDB[#Headers],0),2))=1,_xlfn.SWITCH($N471,"Uurtarief",IF(OR(AND(RIGHT($F471,3)="IKS",VLOOKUP($M471,DB_Loonkosten,2,0)="Ja"),AND(RIGHT($F471,3)&lt;&gt;"IKS",VLOOKUP($M471,DB_Loonkosten,2,0)="Nee")),IFERROR(VLOOKUP($M471,DB_Loonkosten,24,0),""),0),"Vast tarief",IF(LEFT(F471,8)="Bijdrage",VLOOKUP($F471,Tb_KostenTypen[],MATCH(Lijsten!$P$1,Tb_KostenTypen[#Headers],0),0),VLOOKUP($G471,Lijsten!L:P,MATCH(Lijsten!$P$1,Kop_Tarief_Vast,0),0))),""),"")</f>
        <v/>
      </c>
      <c r="P471" s="320" t="str" cm="1">
        <f t="array" ref="P471">_xlfn.IFNA(IF(INDEX(Tb_KostenOptiesDB[],MATCH($F471,Tb_KostenOptiesDB[KostenOptie],0),IFERROR(MATCH(Methode_Keuze,Tb_KostenOptiesDB[#Headers],0),2))=1,_xlfn.SWITCH($N471,"Uurtarief",IF(OR(AND(RIGHT($F471,3)="IKS",VLOOKUP($M471,DB_Loonkosten,2,0)="Ja"),AND(RIGHT($F471,3)&lt;&gt;"IKS",VLOOKUP($M471,DB_Loonkosten,2,0)="Nee")),IFERROR(VLOOKUP($M471,DB_Loonkosten,25,0),""),0),"Vast tarief",IF(LEFT(F471,8)="Bijdrage",VLOOKUP($F471,Tb_KostenTypen[],MATCH(Lijsten!$P$1,Tb_KostenTypen[#Headers],0),0),VLOOKUP($G471,Lijsten!L:P,MATCH(Lijsten!$P$1,Kop_Tarief_Vast,0),0))),""),"")</f>
        <v/>
      </c>
      <c r="Q471" s="359"/>
      <c r="R471" s="359"/>
      <c r="S471" s="321"/>
      <c r="T471" s="321"/>
      <c r="U471" s="373" t="str">
        <f t="shared" si="28"/>
        <v/>
      </c>
      <c r="V471" s="314" t="str">
        <f t="shared" si="29"/>
        <v/>
      </c>
      <c r="W471" s="314" t="str" cm="1">
        <f t="array" aca="1" ref="W471" ca="1">IFERROR(IF(AE471&lt;&gt;"ja",_xlfn.IFNA(_xlfn.IFS(AND(O471&lt;&gt;"",F471&lt;&gt;"",RIGHT($N471,6)="tarief",F471="Vergoeding"),SUM(O471)*FLOOR(SUM(Q471),0.0001),AND(O471&lt;&gt;"",F471&lt;&gt;"",RIGHT($N471,6)="tarief"),SUM(O471)*FLOOR(SUM(Q471),0.01),S471&gt;0,IF(F471&lt;&gt;"",FLOOR(SUM(S471),0.01),"")),""),""),"")</f>
        <v/>
      </c>
      <c r="X471" s="314" t="str" cm="1">
        <f t="array" aca="1" ref="X471" ca="1">IFERROR(IF(AE471&lt;&gt;"ja",_xlfn.IFNA(_xlfn.IFS(AND(P471&lt;&gt;"",R471&lt;&gt;"",RIGHT($N471,6)="tarief",F471="Vergoeding"),SUM(P471)*FLOOR(SUM(R471),0.0001),AND(P471&lt;&gt;"",R471&lt;&gt;"",RIGHT($N471,6)="tarief"),P471*FLOOR(R471,0.01),T471&gt;0,FLOOR(SUM(T471),0.01)),""),""),"")</f>
        <v/>
      </c>
      <c r="Y471" s="314" t="str">
        <f t="shared" ca="1" si="30"/>
        <v/>
      </c>
      <c r="Z471" s="314" t="str" cm="1">
        <f t="array" aca="1" ref="Z471" ca="1">IFERROR(_xlfn.IFS(OR(F471="",LEFT(Methode_Keuze,4)="Geen",Methode_Keuze=""),"",AND(W471&lt;&gt;"",F471&lt;&gt;"Arbeidskosten"),W471*VLOOKUP(F471,Tb_ProjectKosten[],MATCH(Tb_ProjectKosten[[#Headers],[Forfait_Percentage]],Tb_ProjectKosten[#Headers],0),0),AND(F471="Arbeidskosten",G471&lt;&gt;""),IFERROR(W471*VLOOKUP(G471,Tb_KostenTypen[],3,0)*VLOOKUP(F471,Tb_ProjectKosten[],MATCH(Tb_ProjectKosten[[#Headers],[Forfait_Percentage]],Tb_ProjectKosten[#Headers],0),0),""),W471 &lt;=0,0),"")</f>
        <v/>
      </c>
      <c r="AA471" s="314" t="str" cm="1">
        <f t="array" aca="1" ref="AA471" ca="1">IFERROR(_xlfn.IFS(OR(F471="",LEFT(Methode_Keuze,4)="Geen",Methode_Keuze=""),"",AND(X471&lt;&gt;"",F471&lt;&gt;"Arbeidskosten"),X471*VLOOKUP(F471,Tb_ProjectKosten[],MATCH(Tb_ProjectKosten[[#Headers],[Forfait_Percentage]],Tb_ProjectKosten[#Headers],0),0),AND(F471="Arbeidskosten",G471&lt;&gt;""),IFERROR(X471*VLOOKUP(G471,Tb_KostenTypen[],3,0)*VLOOKUP(F471,Tb_ProjectKosten[],MATCH(Tb_ProjectKosten[[#Headers],[Forfait_Percentage]],Tb_ProjectKosten[#Headers],0),0),""),X471 &lt;=0,0),"")</f>
        <v/>
      </c>
      <c r="AB471" s="314" t="str">
        <f t="shared" ca="1" si="31"/>
        <v/>
      </c>
      <c r="AC471" s="322"/>
      <c r="AD471" s="315"/>
      <c r="AE471" s="32" t="str" cm="1">
        <f t="array" ref="AE471">IFERROR(IF(INDEX(SubsidieTabel!$AD$1:$AG$12,MATCH($F471,SubsidieTabel!$AD$1:$AD$12,0),IFERROR(MATCH(Methode_Keuze,SubsidieTabel!$AD$1:$AG$1,0),2))&lt;&gt;1=TRUE,"ja",""),"")</f>
        <v/>
      </c>
    </row>
    <row r="472" spans="1:31" x14ac:dyDescent="0.25">
      <c r="A472" s="316"/>
      <c r="B472" s="317" t="str">
        <f>IF(A472&lt;&gt;"",_xlfn.MAXIFS($B$1:B471,$A$1:A471,A472)+1,"")</f>
        <v/>
      </c>
      <c r="C472" s="296"/>
      <c r="D472" s="296"/>
      <c r="E472" s="296"/>
      <c r="F472" s="296"/>
      <c r="G472" s="326"/>
      <c r="H472" s="324"/>
      <c r="I472" s="325"/>
      <c r="J472" s="325"/>
      <c r="K472" s="318"/>
      <c r="L472" s="318"/>
      <c r="M472" s="319" t="str">
        <f>IFERROR(VLOOKUP(H472,Lijsten!$H$1:$I$100,2,0),"")</f>
        <v/>
      </c>
      <c r="N472" s="319" t="str">
        <f ca="1">IFERROR(IF(VLOOKUP(F472,Kostentypen!$A$3:$E$21,3,0)=0,"",IF(OR(F472="Arbeidskosten",F472="Vergoeding"),VLOOKUP(G472,Tb_KostenTypen[],2,0),VLOOKUP(F472,Kostentypen!$A$3:$E$20,3,0))),"")</f>
        <v/>
      </c>
      <c r="O472" s="320" t="str" cm="1">
        <f t="array" ref="O472">_xlfn.IFNA(IF(INDEX(Tb_KostenOptiesDB[],MATCH($F472,Tb_KostenOptiesDB[KostenOptie],0),IFERROR(MATCH(Methode_Keuze,Tb_KostenOptiesDB[#Headers],0),2))=1,_xlfn.SWITCH($N472,"Uurtarief",IF(OR(AND(RIGHT($F472,3)="IKS",VLOOKUP($M472,DB_Loonkosten,2,0)="Ja"),AND(RIGHT($F472,3)&lt;&gt;"IKS",VLOOKUP($M472,DB_Loonkosten,2,0)="Nee")),IFERROR(VLOOKUP($M472,DB_Loonkosten,24,0),""),0),"Vast tarief",IF(LEFT(F472,8)="Bijdrage",VLOOKUP($F472,Tb_KostenTypen[],MATCH(Lijsten!$P$1,Tb_KostenTypen[#Headers],0),0),VLOOKUP($G472,Lijsten!L:P,MATCH(Lijsten!$P$1,Kop_Tarief_Vast,0),0))),""),"")</f>
        <v/>
      </c>
      <c r="P472" s="320" t="str" cm="1">
        <f t="array" ref="P472">_xlfn.IFNA(IF(INDEX(Tb_KostenOptiesDB[],MATCH($F472,Tb_KostenOptiesDB[KostenOptie],0),IFERROR(MATCH(Methode_Keuze,Tb_KostenOptiesDB[#Headers],0),2))=1,_xlfn.SWITCH($N472,"Uurtarief",IF(OR(AND(RIGHT($F472,3)="IKS",VLOOKUP($M472,DB_Loonkosten,2,0)="Ja"),AND(RIGHT($F472,3)&lt;&gt;"IKS",VLOOKUP($M472,DB_Loonkosten,2,0)="Nee")),IFERROR(VLOOKUP($M472,DB_Loonkosten,25,0),""),0),"Vast tarief",IF(LEFT(F472,8)="Bijdrage",VLOOKUP($F472,Tb_KostenTypen[],MATCH(Lijsten!$P$1,Tb_KostenTypen[#Headers],0),0),VLOOKUP($G472,Lijsten!L:P,MATCH(Lijsten!$P$1,Kop_Tarief_Vast,0),0))),""),"")</f>
        <v/>
      </c>
      <c r="Q472" s="359"/>
      <c r="R472" s="359"/>
      <c r="S472" s="321"/>
      <c r="T472" s="321"/>
      <c r="U472" s="373" t="str">
        <f t="shared" si="28"/>
        <v/>
      </c>
      <c r="V472" s="314" t="str">
        <f t="shared" si="29"/>
        <v/>
      </c>
      <c r="W472" s="314" t="str" cm="1">
        <f t="array" aca="1" ref="W472" ca="1">IFERROR(IF(AE472&lt;&gt;"ja",_xlfn.IFNA(_xlfn.IFS(AND(O472&lt;&gt;"",F472&lt;&gt;"",RIGHT($N472,6)="tarief",F472="Vergoeding"),SUM(O472)*FLOOR(SUM(Q472),0.0001),AND(O472&lt;&gt;"",F472&lt;&gt;"",RIGHT($N472,6)="tarief"),SUM(O472)*FLOOR(SUM(Q472),0.01),S472&gt;0,IF(F472&lt;&gt;"",FLOOR(SUM(S472),0.01),"")),""),""),"")</f>
        <v/>
      </c>
      <c r="X472" s="314" t="str" cm="1">
        <f t="array" aca="1" ref="X472" ca="1">IFERROR(IF(AE472&lt;&gt;"ja",_xlfn.IFNA(_xlfn.IFS(AND(P472&lt;&gt;"",R472&lt;&gt;"",RIGHT($N472,6)="tarief",F472="Vergoeding"),SUM(P472)*FLOOR(SUM(R472),0.0001),AND(P472&lt;&gt;"",R472&lt;&gt;"",RIGHT($N472,6)="tarief"),P472*FLOOR(R472,0.01),T472&gt;0,FLOOR(SUM(T472),0.01)),""),""),"")</f>
        <v/>
      </c>
      <c r="Y472" s="314" t="str">
        <f t="shared" ca="1" si="30"/>
        <v/>
      </c>
      <c r="Z472" s="314" t="str" cm="1">
        <f t="array" aca="1" ref="Z472" ca="1">IFERROR(_xlfn.IFS(OR(F472="",LEFT(Methode_Keuze,4)="Geen",Methode_Keuze=""),"",AND(W472&lt;&gt;"",F472&lt;&gt;"Arbeidskosten"),W472*VLOOKUP(F472,Tb_ProjectKosten[],MATCH(Tb_ProjectKosten[[#Headers],[Forfait_Percentage]],Tb_ProjectKosten[#Headers],0),0),AND(F472="Arbeidskosten",G472&lt;&gt;""),IFERROR(W472*VLOOKUP(G472,Tb_KostenTypen[],3,0)*VLOOKUP(F472,Tb_ProjectKosten[],MATCH(Tb_ProjectKosten[[#Headers],[Forfait_Percentage]],Tb_ProjectKosten[#Headers],0),0),""),W472 &lt;=0,0),"")</f>
        <v/>
      </c>
      <c r="AA472" s="314" t="str" cm="1">
        <f t="array" aca="1" ref="AA472" ca="1">IFERROR(_xlfn.IFS(OR(F472="",LEFT(Methode_Keuze,4)="Geen",Methode_Keuze=""),"",AND(X472&lt;&gt;"",F472&lt;&gt;"Arbeidskosten"),X472*VLOOKUP(F472,Tb_ProjectKosten[],MATCH(Tb_ProjectKosten[[#Headers],[Forfait_Percentage]],Tb_ProjectKosten[#Headers],0),0),AND(F472="Arbeidskosten",G472&lt;&gt;""),IFERROR(X472*VLOOKUP(G472,Tb_KostenTypen[],3,0)*VLOOKUP(F472,Tb_ProjectKosten[],MATCH(Tb_ProjectKosten[[#Headers],[Forfait_Percentage]],Tb_ProjectKosten[#Headers],0),0),""),X472 &lt;=0,0),"")</f>
        <v/>
      </c>
      <c r="AB472" s="314" t="str">
        <f t="shared" ca="1" si="31"/>
        <v/>
      </c>
      <c r="AC472" s="322"/>
      <c r="AD472" s="315"/>
      <c r="AE472" s="32" t="str" cm="1">
        <f t="array" ref="AE472">IFERROR(IF(INDEX(SubsidieTabel!$AD$1:$AG$12,MATCH($F472,SubsidieTabel!$AD$1:$AD$12,0),IFERROR(MATCH(Methode_Keuze,SubsidieTabel!$AD$1:$AG$1,0),2))&lt;&gt;1=TRUE,"ja",""),"")</f>
        <v/>
      </c>
    </row>
    <row r="473" spans="1:31" x14ac:dyDescent="0.25">
      <c r="A473" s="316"/>
      <c r="B473" s="317" t="str">
        <f>IF(A473&lt;&gt;"",_xlfn.MAXIFS($B$1:B472,$A$1:A472,A473)+1,"")</f>
        <v/>
      </c>
      <c r="C473" s="296"/>
      <c r="D473" s="296"/>
      <c r="E473" s="296"/>
      <c r="F473" s="296"/>
      <c r="G473" s="326"/>
      <c r="H473" s="324"/>
      <c r="I473" s="325"/>
      <c r="J473" s="325"/>
      <c r="K473" s="318"/>
      <c r="L473" s="318"/>
      <c r="M473" s="319" t="str">
        <f>IFERROR(VLOOKUP(H473,Lijsten!$H$1:$I$100,2,0),"")</f>
        <v/>
      </c>
      <c r="N473" s="319" t="str">
        <f ca="1">IFERROR(IF(VLOOKUP(F473,Kostentypen!$A$3:$E$21,3,0)=0,"",IF(OR(F473="Arbeidskosten",F473="Vergoeding"),VLOOKUP(G473,Tb_KostenTypen[],2,0),VLOOKUP(F473,Kostentypen!$A$3:$E$20,3,0))),"")</f>
        <v/>
      </c>
      <c r="O473" s="320" t="str" cm="1">
        <f t="array" ref="O473">_xlfn.IFNA(IF(INDEX(Tb_KostenOptiesDB[],MATCH($F473,Tb_KostenOptiesDB[KostenOptie],0),IFERROR(MATCH(Methode_Keuze,Tb_KostenOptiesDB[#Headers],0),2))=1,_xlfn.SWITCH($N473,"Uurtarief",IF(OR(AND(RIGHT($F473,3)="IKS",VLOOKUP($M473,DB_Loonkosten,2,0)="Ja"),AND(RIGHT($F473,3)&lt;&gt;"IKS",VLOOKUP($M473,DB_Loonkosten,2,0)="Nee")),IFERROR(VLOOKUP($M473,DB_Loonkosten,24,0),""),0),"Vast tarief",IF(LEFT(F473,8)="Bijdrage",VLOOKUP($F473,Tb_KostenTypen[],MATCH(Lijsten!$P$1,Tb_KostenTypen[#Headers],0),0),VLOOKUP($G473,Lijsten!L:P,MATCH(Lijsten!$P$1,Kop_Tarief_Vast,0),0))),""),"")</f>
        <v/>
      </c>
      <c r="P473" s="320" t="str" cm="1">
        <f t="array" ref="P473">_xlfn.IFNA(IF(INDEX(Tb_KostenOptiesDB[],MATCH($F473,Tb_KostenOptiesDB[KostenOptie],0),IFERROR(MATCH(Methode_Keuze,Tb_KostenOptiesDB[#Headers],0),2))=1,_xlfn.SWITCH($N473,"Uurtarief",IF(OR(AND(RIGHT($F473,3)="IKS",VLOOKUP($M473,DB_Loonkosten,2,0)="Ja"),AND(RIGHT($F473,3)&lt;&gt;"IKS",VLOOKUP($M473,DB_Loonkosten,2,0)="Nee")),IFERROR(VLOOKUP($M473,DB_Loonkosten,25,0),""),0),"Vast tarief",IF(LEFT(F473,8)="Bijdrage",VLOOKUP($F473,Tb_KostenTypen[],MATCH(Lijsten!$P$1,Tb_KostenTypen[#Headers],0),0),VLOOKUP($G473,Lijsten!L:P,MATCH(Lijsten!$P$1,Kop_Tarief_Vast,0),0))),""),"")</f>
        <v/>
      </c>
      <c r="Q473" s="359"/>
      <c r="R473" s="359"/>
      <c r="S473" s="321"/>
      <c r="T473" s="321"/>
      <c r="U473" s="373" t="str">
        <f t="shared" si="28"/>
        <v/>
      </c>
      <c r="V473" s="314" t="str">
        <f t="shared" si="29"/>
        <v/>
      </c>
      <c r="W473" s="314" t="str" cm="1">
        <f t="array" aca="1" ref="W473" ca="1">IFERROR(IF(AE473&lt;&gt;"ja",_xlfn.IFNA(_xlfn.IFS(AND(O473&lt;&gt;"",F473&lt;&gt;"",RIGHT($N473,6)="tarief",F473="Vergoeding"),SUM(O473)*FLOOR(SUM(Q473),0.0001),AND(O473&lt;&gt;"",F473&lt;&gt;"",RIGHT($N473,6)="tarief"),SUM(O473)*FLOOR(SUM(Q473),0.01),S473&gt;0,IF(F473&lt;&gt;"",FLOOR(SUM(S473),0.01),"")),""),""),"")</f>
        <v/>
      </c>
      <c r="X473" s="314" t="str" cm="1">
        <f t="array" aca="1" ref="X473" ca="1">IFERROR(IF(AE473&lt;&gt;"ja",_xlfn.IFNA(_xlfn.IFS(AND(P473&lt;&gt;"",R473&lt;&gt;"",RIGHT($N473,6)="tarief",F473="Vergoeding"),SUM(P473)*FLOOR(SUM(R473),0.0001),AND(P473&lt;&gt;"",R473&lt;&gt;"",RIGHT($N473,6)="tarief"),P473*FLOOR(R473,0.01),T473&gt;0,FLOOR(SUM(T473),0.01)),""),""),"")</f>
        <v/>
      </c>
      <c r="Y473" s="314" t="str">
        <f t="shared" ca="1" si="30"/>
        <v/>
      </c>
      <c r="Z473" s="314" t="str" cm="1">
        <f t="array" aca="1" ref="Z473" ca="1">IFERROR(_xlfn.IFS(OR(F473="",LEFT(Methode_Keuze,4)="Geen",Methode_Keuze=""),"",AND(W473&lt;&gt;"",F473&lt;&gt;"Arbeidskosten"),W473*VLOOKUP(F473,Tb_ProjectKosten[],MATCH(Tb_ProjectKosten[[#Headers],[Forfait_Percentage]],Tb_ProjectKosten[#Headers],0),0),AND(F473="Arbeidskosten",G473&lt;&gt;""),IFERROR(W473*VLOOKUP(G473,Tb_KostenTypen[],3,0)*VLOOKUP(F473,Tb_ProjectKosten[],MATCH(Tb_ProjectKosten[[#Headers],[Forfait_Percentage]],Tb_ProjectKosten[#Headers],0),0),""),W473 &lt;=0,0),"")</f>
        <v/>
      </c>
      <c r="AA473" s="314" t="str" cm="1">
        <f t="array" aca="1" ref="AA473" ca="1">IFERROR(_xlfn.IFS(OR(F473="",LEFT(Methode_Keuze,4)="Geen",Methode_Keuze=""),"",AND(X473&lt;&gt;"",F473&lt;&gt;"Arbeidskosten"),X473*VLOOKUP(F473,Tb_ProjectKosten[],MATCH(Tb_ProjectKosten[[#Headers],[Forfait_Percentage]],Tb_ProjectKosten[#Headers],0),0),AND(F473="Arbeidskosten",G473&lt;&gt;""),IFERROR(X473*VLOOKUP(G473,Tb_KostenTypen[],3,0)*VLOOKUP(F473,Tb_ProjectKosten[],MATCH(Tb_ProjectKosten[[#Headers],[Forfait_Percentage]],Tb_ProjectKosten[#Headers],0),0),""),X473 &lt;=0,0),"")</f>
        <v/>
      </c>
      <c r="AB473" s="314" t="str">
        <f t="shared" ca="1" si="31"/>
        <v/>
      </c>
      <c r="AC473" s="322"/>
      <c r="AD473" s="315"/>
      <c r="AE473" s="32" t="str" cm="1">
        <f t="array" ref="AE473">IFERROR(IF(INDEX(SubsidieTabel!$AD$1:$AG$12,MATCH($F473,SubsidieTabel!$AD$1:$AD$12,0),IFERROR(MATCH(Methode_Keuze,SubsidieTabel!$AD$1:$AG$1,0),2))&lt;&gt;1=TRUE,"ja",""),"")</f>
        <v/>
      </c>
    </row>
    <row r="474" spans="1:31" x14ac:dyDescent="0.25">
      <c r="A474" s="316"/>
      <c r="B474" s="317" t="str">
        <f>IF(A474&lt;&gt;"",_xlfn.MAXIFS($B$1:B473,$A$1:A473,A474)+1,"")</f>
        <v/>
      </c>
      <c r="C474" s="296"/>
      <c r="D474" s="296"/>
      <c r="E474" s="296"/>
      <c r="F474" s="296"/>
      <c r="G474" s="326"/>
      <c r="H474" s="324"/>
      <c r="I474" s="325"/>
      <c r="J474" s="325"/>
      <c r="K474" s="318"/>
      <c r="L474" s="318"/>
      <c r="M474" s="319" t="str">
        <f>IFERROR(VLOOKUP(H474,Lijsten!$H$1:$I$100,2,0),"")</f>
        <v/>
      </c>
      <c r="N474" s="319" t="str">
        <f ca="1">IFERROR(IF(VLOOKUP(F474,Kostentypen!$A$3:$E$21,3,0)=0,"",IF(OR(F474="Arbeidskosten",F474="Vergoeding"),VLOOKUP(G474,Tb_KostenTypen[],2,0),VLOOKUP(F474,Kostentypen!$A$3:$E$20,3,0))),"")</f>
        <v/>
      </c>
      <c r="O474" s="320" t="str" cm="1">
        <f t="array" ref="O474">_xlfn.IFNA(IF(INDEX(Tb_KostenOptiesDB[],MATCH($F474,Tb_KostenOptiesDB[KostenOptie],0),IFERROR(MATCH(Methode_Keuze,Tb_KostenOptiesDB[#Headers],0),2))=1,_xlfn.SWITCH($N474,"Uurtarief",IF(OR(AND(RIGHT($F474,3)="IKS",VLOOKUP($M474,DB_Loonkosten,2,0)="Ja"),AND(RIGHT($F474,3)&lt;&gt;"IKS",VLOOKUP($M474,DB_Loonkosten,2,0)="Nee")),IFERROR(VLOOKUP($M474,DB_Loonkosten,24,0),""),0),"Vast tarief",IF(LEFT(F474,8)="Bijdrage",VLOOKUP($F474,Tb_KostenTypen[],MATCH(Lijsten!$P$1,Tb_KostenTypen[#Headers],0),0),VLOOKUP($G474,Lijsten!L:P,MATCH(Lijsten!$P$1,Kop_Tarief_Vast,0),0))),""),"")</f>
        <v/>
      </c>
      <c r="P474" s="320" t="str" cm="1">
        <f t="array" ref="P474">_xlfn.IFNA(IF(INDEX(Tb_KostenOptiesDB[],MATCH($F474,Tb_KostenOptiesDB[KostenOptie],0),IFERROR(MATCH(Methode_Keuze,Tb_KostenOptiesDB[#Headers],0),2))=1,_xlfn.SWITCH($N474,"Uurtarief",IF(OR(AND(RIGHT($F474,3)="IKS",VLOOKUP($M474,DB_Loonkosten,2,0)="Ja"),AND(RIGHT($F474,3)&lt;&gt;"IKS",VLOOKUP($M474,DB_Loonkosten,2,0)="Nee")),IFERROR(VLOOKUP($M474,DB_Loonkosten,25,0),""),0),"Vast tarief",IF(LEFT(F474,8)="Bijdrage",VLOOKUP($F474,Tb_KostenTypen[],MATCH(Lijsten!$P$1,Tb_KostenTypen[#Headers],0),0),VLOOKUP($G474,Lijsten!L:P,MATCH(Lijsten!$P$1,Kop_Tarief_Vast,0),0))),""),"")</f>
        <v/>
      </c>
      <c r="Q474" s="359"/>
      <c r="R474" s="359"/>
      <c r="S474" s="321"/>
      <c r="T474" s="321"/>
      <c r="U474" s="373" t="str">
        <f t="shared" si="28"/>
        <v/>
      </c>
      <c r="V474" s="314" t="str">
        <f t="shared" si="29"/>
        <v/>
      </c>
      <c r="W474" s="314" t="str" cm="1">
        <f t="array" aca="1" ref="W474" ca="1">IFERROR(IF(AE474&lt;&gt;"ja",_xlfn.IFNA(_xlfn.IFS(AND(O474&lt;&gt;"",F474&lt;&gt;"",RIGHT($N474,6)="tarief",F474="Vergoeding"),SUM(O474)*FLOOR(SUM(Q474),0.0001),AND(O474&lt;&gt;"",F474&lt;&gt;"",RIGHT($N474,6)="tarief"),SUM(O474)*FLOOR(SUM(Q474),0.01),S474&gt;0,IF(F474&lt;&gt;"",FLOOR(SUM(S474),0.01),"")),""),""),"")</f>
        <v/>
      </c>
      <c r="X474" s="314" t="str" cm="1">
        <f t="array" aca="1" ref="X474" ca="1">IFERROR(IF(AE474&lt;&gt;"ja",_xlfn.IFNA(_xlfn.IFS(AND(P474&lt;&gt;"",R474&lt;&gt;"",RIGHT($N474,6)="tarief",F474="Vergoeding"),SUM(P474)*FLOOR(SUM(R474),0.0001),AND(P474&lt;&gt;"",R474&lt;&gt;"",RIGHT($N474,6)="tarief"),P474*FLOOR(R474,0.01),T474&gt;0,FLOOR(SUM(T474),0.01)),""),""),"")</f>
        <v/>
      </c>
      <c r="Y474" s="314" t="str">
        <f t="shared" ca="1" si="30"/>
        <v/>
      </c>
      <c r="Z474" s="314" t="str" cm="1">
        <f t="array" aca="1" ref="Z474" ca="1">IFERROR(_xlfn.IFS(OR(F474="",LEFT(Methode_Keuze,4)="Geen",Methode_Keuze=""),"",AND(W474&lt;&gt;"",F474&lt;&gt;"Arbeidskosten"),W474*VLOOKUP(F474,Tb_ProjectKosten[],MATCH(Tb_ProjectKosten[[#Headers],[Forfait_Percentage]],Tb_ProjectKosten[#Headers],0),0),AND(F474="Arbeidskosten",G474&lt;&gt;""),IFERROR(W474*VLOOKUP(G474,Tb_KostenTypen[],3,0)*VLOOKUP(F474,Tb_ProjectKosten[],MATCH(Tb_ProjectKosten[[#Headers],[Forfait_Percentage]],Tb_ProjectKosten[#Headers],0),0),""),W474 &lt;=0,0),"")</f>
        <v/>
      </c>
      <c r="AA474" s="314" t="str" cm="1">
        <f t="array" aca="1" ref="AA474" ca="1">IFERROR(_xlfn.IFS(OR(F474="",LEFT(Methode_Keuze,4)="Geen",Methode_Keuze=""),"",AND(X474&lt;&gt;"",F474&lt;&gt;"Arbeidskosten"),X474*VLOOKUP(F474,Tb_ProjectKosten[],MATCH(Tb_ProjectKosten[[#Headers],[Forfait_Percentage]],Tb_ProjectKosten[#Headers],0),0),AND(F474="Arbeidskosten",G474&lt;&gt;""),IFERROR(X474*VLOOKUP(G474,Tb_KostenTypen[],3,0)*VLOOKUP(F474,Tb_ProjectKosten[],MATCH(Tb_ProjectKosten[[#Headers],[Forfait_Percentage]],Tb_ProjectKosten[#Headers],0),0),""),X474 &lt;=0,0),"")</f>
        <v/>
      </c>
      <c r="AB474" s="314" t="str">
        <f t="shared" ca="1" si="31"/>
        <v/>
      </c>
      <c r="AC474" s="322"/>
      <c r="AD474" s="315"/>
      <c r="AE474" s="32" t="str" cm="1">
        <f t="array" ref="AE474">IFERROR(IF(INDEX(SubsidieTabel!$AD$1:$AG$12,MATCH($F474,SubsidieTabel!$AD$1:$AD$12,0),IFERROR(MATCH(Methode_Keuze,SubsidieTabel!$AD$1:$AG$1,0),2))&lt;&gt;1=TRUE,"ja",""),"")</f>
        <v/>
      </c>
    </row>
    <row r="475" spans="1:31" x14ac:dyDescent="0.25">
      <c r="A475" s="316"/>
      <c r="B475" s="317" t="str">
        <f>IF(A475&lt;&gt;"",_xlfn.MAXIFS($B$1:B474,$A$1:A474,A475)+1,"")</f>
        <v/>
      </c>
      <c r="C475" s="296"/>
      <c r="D475" s="296"/>
      <c r="E475" s="296"/>
      <c r="F475" s="296"/>
      <c r="G475" s="326"/>
      <c r="H475" s="324"/>
      <c r="I475" s="325"/>
      <c r="J475" s="325"/>
      <c r="K475" s="318"/>
      <c r="L475" s="318"/>
      <c r="M475" s="319" t="str">
        <f>IFERROR(VLOOKUP(H475,Lijsten!$H$1:$I$100,2,0),"")</f>
        <v/>
      </c>
      <c r="N475" s="319" t="str">
        <f ca="1">IFERROR(IF(VLOOKUP(F475,Kostentypen!$A$3:$E$21,3,0)=0,"",IF(OR(F475="Arbeidskosten",F475="Vergoeding"),VLOOKUP(G475,Tb_KostenTypen[],2,0),VLOOKUP(F475,Kostentypen!$A$3:$E$20,3,0))),"")</f>
        <v/>
      </c>
      <c r="O475" s="320" t="str" cm="1">
        <f t="array" ref="O475">_xlfn.IFNA(IF(INDEX(Tb_KostenOptiesDB[],MATCH($F475,Tb_KostenOptiesDB[KostenOptie],0),IFERROR(MATCH(Methode_Keuze,Tb_KostenOptiesDB[#Headers],0),2))=1,_xlfn.SWITCH($N475,"Uurtarief",IF(OR(AND(RIGHT($F475,3)="IKS",VLOOKUP($M475,DB_Loonkosten,2,0)="Ja"),AND(RIGHT($F475,3)&lt;&gt;"IKS",VLOOKUP($M475,DB_Loonkosten,2,0)="Nee")),IFERROR(VLOOKUP($M475,DB_Loonkosten,24,0),""),0),"Vast tarief",IF(LEFT(F475,8)="Bijdrage",VLOOKUP($F475,Tb_KostenTypen[],MATCH(Lijsten!$P$1,Tb_KostenTypen[#Headers],0),0),VLOOKUP($G475,Lijsten!L:P,MATCH(Lijsten!$P$1,Kop_Tarief_Vast,0),0))),""),"")</f>
        <v/>
      </c>
      <c r="P475" s="320" t="str" cm="1">
        <f t="array" ref="P475">_xlfn.IFNA(IF(INDEX(Tb_KostenOptiesDB[],MATCH($F475,Tb_KostenOptiesDB[KostenOptie],0),IFERROR(MATCH(Methode_Keuze,Tb_KostenOptiesDB[#Headers],0),2))=1,_xlfn.SWITCH($N475,"Uurtarief",IF(OR(AND(RIGHT($F475,3)="IKS",VLOOKUP($M475,DB_Loonkosten,2,0)="Ja"),AND(RIGHT($F475,3)&lt;&gt;"IKS",VLOOKUP($M475,DB_Loonkosten,2,0)="Nee")),IFERROR(VLOOKUP($M475,DB_Loonkosten,25,0),""),0),"Vast tarief",IF(LEFT(F475,8)="Bijdrage",VLOOKUP($F475,Tb_KostenTypen[],MATCH(Lijsten!$P$1,Tb_KostenTypen[#Headers],0),0),VLOOKUP($G475,Lijsten!L:P,MATCH(Lijsten!$P$1,Kop_Tarief_Vast,0),0))),""),"")</f>
        <v/>
      </c>
      <c r="Q475" s="359"/>
      <c r="R475" s="359"/>
      <c r="S475" s="321"/>
      <c r="T475" s="321"/>
      <c r="U475" s="373" t="str">
        <f t="shared" si="28"/>
        <v/>
      </c>
      <c r="V475" s="314" t="str">
        <f t="shared" si="29"/>
        <v/>
      </c>
      <c r="W475" s="314" t="str" cm="1">
        <f t="array" aca="1" ref="W475" ca="1">IFERROR(IF(AE475&lt;&gt;"ja",_xlfn.IFNA(_xlfn.IFS(AND(O475&lt;&gt;"",F475&lt;&gt;"",RIGHT($N475,6)="tarief",F475="Vergoeding"),SUM(O475)*FLOOR(SUM(Q475),0.0001),AND(O475&lt;&gt;"",F475&lt;&gt;"",RIGHT($N475,6)="tarief"),SUM(O475)*FLOOR(SUM(Q475),0.01),S475&gt;0,IF(F475&lt;&gt;"",FLOOR(SUM(S475),0.01),"")),""),""),"")</f>
        <v/>
      </c>
      <c r="X475" s="314" t="str" cm="1">
        <f t="array" aca="1" ref="X475" ca="1">IFERROR(IF(AE475&lt;&gt;"ja",_xlfn.IFNA(_xlfn.IFS(AND(P475&lt;&gt;"",R475&lt;&gt;"",RIGHT($N475,6)="tarief",F475="Vergoeding"),SUM(P475)*FLOOR(SUM(R475),0.0001),AND(P475&lt;&gt;"",R475&lt;&gt;"",RIGHT($N475,6)="tarief"),P475*FLOOR(R475,0.01),T475&gt;0,FLOOR(SUM(T475),0.01)),""),""),"")</f>
        <v/>
      </c>
      <c r="Y475" s="314" t="str">
        <f t="shared" ca="1" si="30"/>
        <v/>
      </c>
      <c r="Z475" s="314" t="str" cm="1">
        <f t="array" aca="1" ref="Z475" ca="1">IFERROR(_xlfn.IFS(OR(F475="",LEFT(Methode_Keuze,4)="Geen",Methode_Keuze=""),"",AND(W475&lt;&gt;"",F475&lt;&gt;"Arbeidskosten"),W475*VLOOKUP(F475,Tb_ProjectKosten[],MATCH(Tb_ProjectKosten[[#Headers],[Forfait_Percentage]],Tb_ProjectKosten[#Headers],0),0),AND(F475="Arbeidskosten",G475&lt;&gt;""),IFERROR(W475*VLOOKUP(G475,Tb_KostenTypen[],3,0)*VLOOKUP(F475,Tb_ProjectKosten[],MATCH(Tb_ProjectKosten[[#Headers],[Forfait_Percentage]],Tb_ProjectKosten[#Headers],0),0),""),W475 &lt;=0,0),"")</f>
        <v/>
      </c>
      <c r="AA475" s="314" t="str" cm="1">
        <f t="array" aca="1" ref="AA475" ca="1">IFERROR(_xlfn.IFS(OR(F475="",LEFT(Methode_Keuze,4)="Geen",Methode_Keuze=""),"",AND(X475&lt;&gt;"",F475&lt;&gt;"Arbeidskosten"),X475*VLOOKUP(F475,Tb_ProjectKosten[],MATCH(Tb_ProjectKosten[[#Headers],[Forfait_Percentage]],Tb_ProjectKosten[#Headers],0),0),AND(F475="Arbeidskosten",G475&lt;&gt;""),IFERROR(X475*VLOOKUP(G475,Tb_KostenTypen[],3,0)*VLOOKUP(F475,Tb_ProjectKosten[],MATCH(Tb_ProjectKosten[[#Headers],[Forfait_Percentage]],Tb_ProjectKosten[#Headers],0),0),""),X475 &lt;=0,0),"")</f>
        <v/>
      </c>
      <c r="AB475" s="314" t="str">
        <f t="shared" ca="1" si="31"/>
        <v/>
      </c>
      <c r="AC475" s="322"/>
      <c r="AD475" s="315"/>
      <c r="AE475" s="32" t="str" cm="1">
        <f t="array" ref="AE475">IFERROR(IF(INDEX(SubsidieTabel!$AD$1:$AG$12,MATCH($F475,SubsidieTabel!$AD$1:$AD$12,0),IFERROR(MATCH(Methode_Keuze,SubsidieTabel!$AD$1:$AG$1,0),2))&lt;&gt;1=TRUE,"ja",""),"")</f>
        <v/>
      </c>
    </row>
    <row r="476" spans="1:31" x14ac:dyDescent="0.25">
      <c r="A476" s="316"/>
      <c r="B476" s="317" t="str">
        <f>IF(A476&lt;&gt;"",_xlfn.MAXIFS($B$1:B475,$A$1:A475,A476)+1,"")</f>
        <v/>
      </c>
      <c r="C476" s="296"/>
      <c r="D476" s="296"/>
      <c r="E476" s="296"/>
      <c r="F476" s="296"/>
      <c r="G476" s="326"/>
      <c r="H476" s="324"/>
      <c r="I476" s="325"/>
      <c r="J476" s="325"/>
      <c r="K476" s="318"/>
      <c r="L476" s="318"/>
      <c r="M476" s="319" t="str">
        <f>IFERROR(VLOOKUP(H476,Lijsten!$H$1:$I$100,2,0),"")</f>
        <v/>
      </c>
      <c r="N476" s="319" t="str">
        <f ca="1">IFERROR(IF(VLOOKUP(F476,Kostentypen!$A$3:$E$21,3,0)=0,"",IF(OR(F476="Arbeidskosten",F476="Vergoeding"),VLOOKUP(G476,Tb_KostenTypen[],2,0),VLOOKUP(F476,Kostentypen!$A$3:$E$20,3,0))),"")</f>
        <v/>
      </c>
      <c r="O476" s="320" t="str" cm="1">
        <f t="array" ref="O476">_xlfn.IFNA(IF(INDEX(Tb_KostenOptiesDB[],MATCH($F476,Tb_KostenOptiesDB[KostenOptie],0),IFERROR(MATCH(Methode_Keuze,Tb_KostenOptiesDB[#Headers],0),2))=1,_xlfn.SWITCH($N476,"Uurtarief",IF(OR(AND(RIGHT($F476,3)="IKS",VLOOKUP($M476,DB_Loonkosten,2,0)="Ja"),AND(RIGHT($F476,3)&lt;&gt;"IKS",VLOOKUP($M476,DB_Loonkosten,2,0)="Nee")),IFERROR(VLOOKUP($M476,DB_Loonkosten,24,0),""),0),"Vast tarief",IF(LEFT(F476,8)="Bijdrage",VLOOKUP($F476,Tb_KostenTypen[],MATCH(Lijsten!$P$1,Tb_KostenTypen[#Headers],0),0),VLOOKUP($G476,Lijsten!L:P,MATCH(Lijsten!$P$1,Kop_Tarief_Vast,0),0))),""),"")</f>
        <v/>
      </c>
      <c r="P476" s="320" t="str" cm="1">
        <f t="array" ref="P476">_xlfn.IFNA(IF(INDEX(Tb_KostenOptiesDB[],MATCH($F476,Tb_KostenOptiesDB[KostenOptie],0),IFERROR(MATCH(Methode_Keuze,Tb_KostenOptiesDB[#Headers],0),2))=1,_xlfn.SWITCH($N476,"Uurtarief",IF(OR(AND(RIGHT($F476,3)="IKS",VLOOKUP($M476,DB_Loonkosten,2,0)="Ja"),AND(RIGHT($F476,3)&lt;&gt;"IKS",VLOOKUP($M476,DB_Loonkosten,2,0)="Nee")),IFERROR(VLOOKUP($M476,DB_Loonkosten,25,0),""),0),"Vast tarief",IF(LEFT(F476,8)="Bijdrage",VLOOKUP($F476,Tb_KostenTypen[],MATCH(Lijsten!$P$1,Tb_KostenTypen[#Headers],0),0),VLOOKUP($G476,Lijsten!L:P,MATCH(Lijsten!$P$1,Kop_Tarief_Vast,0),0))),""),"")</f>
        <v/>
      </c>
      <c r="Q476" s="359"/>
      <c r="R476" s="359"/>
      <c r="S476" s="321"/>
      <c r="T476" s="321"/>
      <c r="U476" s="373" t="str">
        <f t="shared" si="28"/>
        <v/>
      </c>
      <c r="V476" s="314" t="str">
        <f t="shared" si="29"/>
        <v/>
      </c>
      <c r="W476" s="314" t="str" cm="1">
        <f t="array" aca="1" ref="W476" ca="1">IFERROR(IF(AE476&lt;&gt;"ja",_xlfn.IFNA(_xlfn.IFS(AND(O476&lt;&gt;"",F476&lt;&gt;"",RIGHT($N476,6)="tarief",F476="Vergoeding"),SUM(O476)*FLOOR(SUM(Q476),0.0001),AND(O476&lt;&gt;"",F476&lt;&gt;"",RIGHT($N476,6)="tarief"),SUM(O476)*FLOOR(SUM(Q476),0.01),S476&gt;0,IF(F476&lt;&gt;"",FLOOR(SUM(S476),0.01),"")),""),""),"")</f>
        <v/>
      </c>
      <c r="X476" s="314" t="str" cm="1">
        <f t="array" aca="1" ref="X476" ca="1">IFERROR(IF(AE476&lt;&gt;"ja",_xlfn.IFNA(_xlfn.IFS(AND(P476&lt;&gt;"",R476&lt;&gt;"",RIGHT($N476,6)="tarief",F476="Vergoeding"),SUM(P476)*FLOOR(SUM(R476),0.0001),AND(P476&lt;&gt;"",R476&lt;&gt;"",RIGHT($N476,6)="tarief"),P476*FLOOR(R476,0.01),T476&gt;0,FLOOR(SUM(T476),0.01)),""),""),"")</f>
        <v/>
      </c>
      <c r="Y476" s="314" t="str">
        <f t="shared" ca="1" si="30"/>
        <v/>
      </c>
      <c r="Z476" s="314" t="str" cm="1">
        <f t="array" aca="1" ref="Z476" ca="1">IFERROR(_xlfn.IFS(OR(F476="",LEFT(Methode_Keuze,4)="Geen",Methode_Keuze=""),"",AND(W476&lt;&gt;"",F476&lt;&gt;"Arbeidskosten"),W476*VLOOKUP(F476,Tb_ProjectKosten[],MATCH(Tb_ProjectKosten[[#Headers],[Forfait_Percentage]],Tb_ProjectKosten[#Headers],0),0),AND(F476="Arbeidskosten",G476&lt;&gt;""),IFERROR(W476*VLOOKUP(G476,Tb_KostenTypen[],3,0)*VLOOKUP(F476,Tb_ProjectKosten[],MATCH(Tb_ProjectKosten[[#Headers],[Forfait_Percentage]],Tb_ProjectKosten[#Headers],0),0),""),W476 &lt;=0,0),"")</f>
        <v/>
      </c>
      <c r="AA476" s="314" t="str" cm="1">
        <f t="array" aca="1" ref="AA476" ca="1">IFERROR(_xlfn.IFS(OR(F476="",LEFT(Methode_Keuze,4)="Geen",Methode_Keuze=""),"",AND(X476&lt;&gt;"",F476&lt;&gt;"Arbeidskosten"),X476*VLOOKUP(F476,Tb_ProjectKosten[],MATCH(Tb_ProjectKosten[[#Headers],[Forfait_Percentage]],Tb_ProjectKosten[#Headers],0),0),AND(F476="Arbeidskosten",G476&lt;&gt;""),IFERROR(X476*VLOOKUP(G476,Tb_KostenTypen[],3,0)*VLOOKUP(F476,Tb_ProjectKosten[],MATCH(Tb_ProjectKosten[[#Headers],[Forfait_Percentage]],Tb_ProjectKosten[#Headers],0),0),""),X476 &lt;=0,0),"")</f>
        <v/>
      </c>
      <c r="AB476" s="314" t="str">
        <f t="shared" ca="1" si="31"/>
        <v/>
      </c>
      <c r="AC476" s="322"/>
      <c r="AD476" s="315"/>
      <c r="AE476" s="32" t="str" cm="1">
        <f t="array" ref="AE476">IFERROR(IF(INDEX(SubsidieTabel!$AD$1:$AG$12,MATCH($F476,SubsidieTabel!$AD$1:$AD$12,0),IFERROR(MATCH(Methode_Keuze,SubsidieTabel!$AD$1:$AG$1,0),2))&lt;&gt;1=TRUE,"ja",""),"")</f>
        <v/>
      </c>
    </row>
    <row r="477" spans="1:31" x14ac:dyDescent="0.25">
      <c r="A477" s="316"/>
      <c r="B477" s="317" t="str">
        <f>IF(A477&lt;&gt;"",_xlfn.MAXIFS($B$1:B476,$A$1:A476,A477)+1,"")</f>
        <v/>
      </c>
      <c r="C477" s="296"/>
      <c r="D477" s="296"/>
      <c r="E477" s="296"/>
      <c r="F477" s="296"/>
      <c r="G477" s="326"/>
      <c r="H477" s="324"/>
      <c r="I477" s="325"/>
      <c r="J477" s="325"/>
      <c r="K477" s="318"/>
      <c r="L477" s="318"/>
      <c r="M477" s="319" t="str">
        <f>IFERROR(VLOOKUP(H477,Lijsten!$H$1:$I$100,2,0),"")</f>
        <v/>
      </c>
      <c r="N477" s="319" t="str">
        <f ca="1">IFERROR(IF(VLOOKUP(F477,Kostentypen!$A$3:$E$21,3,0)=0,"",IF(OR(F477="Arbeidskosten",F477="Vergoeding"),VLOOKUP(G477,Tb_KostenTypen[],2,0),VLOOKUP(F477,Kostentypen!$A$3:$E$20,3,0))),"")</f>
        <v/>
      </c>
      <c r="O477" s="320" t="str" cm="1">
        <f t="array" ref="O477">_xlfn.IFNA(IF(INDEX(Tb_KostenOptiesDB[],MATCH($F477,Tb_KostenOptiesDB[KostenOptie],0),IFERROR(MATCH(Methode_Keuze,Tb_KostenOptiesDB[#Headers],0),2))=1,_xlfn.SWITCH($N477,"Uurtarief",IF(OR(AND(RIGHT($F477,3)="IKS",VLOOKUP($M477,DB_Loonkosten,2,0)="Ja"),AND(RIGHT($F477,3)&lt;&gt;"IKS",VLOOKUP($M477,DB_Loonkosten,2,0)="Nee")),IFERROR(VLOOKUP($M477,DB_Loonkosten,24,0),""),0),"Vast tarief",IF(LEFT(F477,8)="Bijdrage",VLOOKUP($F477,Tb_KostenTypen[],MATCH(Lijsten!$P$1,Tb_KostenTypen[#Headers],0),0),VLOOKUP($G477,Lijsten!L:P,MATCH(Lijsten!$P$1,Kop_Tarief_Vast,0),0))),""),"")</f>
        <v/>
      </c>
      <c r="P477" s="320" t="str" cm="1">
        <f t="array" ref="P477">_xlfn.IFNA(IF(INDEX(Tb_KostenOptiesDB[],MATCH($F477,Tb_KostenOptiesDB[KostenOptie],0),IFERROR(MATCH(Methode_Keuze,Tb_KostenOptiesDB[#Headers],0),2))=1,_xlfn.SWITCH($N477,"Uurtarief",IF(OR(AND(RIGHT($F477,3)="IKS",VLOOKUP($M477,DB_Loonkosten,2,0)="Ja"),AND(RIGHT($F477,3)&lt;&gt;"IKS",VLOOKUP($M477,DB_Loonkosten,2,0)="Nee")),IFERROR(VLOOKUP($M477,DB_Loonkosten,25,0),""),0),"Vast tarief",IF(LEFT(F477,8)="Bijdrage",VLOOKUP($F477,Tb_KostenTypen[],MATCH(Lijsten!$P$1,Tb_KostenTypen[#Headers],0),0),VLOOKUP($G477,Lijsten!L:P,MATCH(Lijsten!$P$1,Kop_Tarief_Vast,0),0))),""),"")</f>
        <v/>
      </c>
      <c r="Q477" s="359"/>
      <c r="R477" s="359"/>
      <c r="S477" s="321"/>
      <c r="T477" s="321"/>
      <c r="U477" s="373" t="str">
        <f t="shared" si="28"/>
        <v/>
      </c>
      <c r="V477" s="314" t="str">
        <f t="shared" si="29"/>
        <v/>
      </c>
      <c r="W477" s="314" t="str" cm="1">
        <f t="array" aca="1" ref="W477" ca="1">IFERROR(IF(AE477&lt;&gt;"ja",_xlfn.IFNA(_xlfn.IFS(AND(O477&lt;&gt;"",F477&lt;&gt;"",RIGHT($N477,6)="tarief",F477="Vergoeding"),SUM(O477)*FLOOR(SUM(Q477),0.0001),AND(O477&lt;&gt;"",F477&lt;&gt;"",RIGHT($N477,6)="tarief"),SUM(O477)*FLOOR(SUM(Q477),0.01),S477&gt;0,IF(F477&lt;&gt;"",FLOOR(SUM(S477),0.01),"")),""),""),"")</f>
        <v/>
      </c>
      <c r="X477" s="314" t="str" cm="1">
        <f t="array" aca="1" ref="X477" ca="1">IFERROR(IF(AE477&lt;&gt;"ja",_xlfn.IFNA(_xlfn.IFS(AND(P477&lt;&gt;"",R477&lt;&gt;"",RIGHT($N477,6)="tarief",F477="Vergoeding"),SUM(P477)*FLOOR(SUM(R477),0.0001),AND(P477&lt;&gt;"",R477&lt;&gt;"",RIGHT($N477,6)="tarief"),P477*FLOOR(R477,0.01),T477&gt;0,FLOOR(SUM(T477),0.01)),""),""),"")</f>
        <v/>
      </c>
      <c r="Y477" s="314" t="str">
        <f t="shared" ca="1" si="30"/>
        <v/>
      </c>
      <c r="Z477" s="314" t="str" cm="1">
        <f t="array" aca="1" ref="Z477" ca="1">IFERROR(_xlfn.IFS(OR(F477="",LEFT(Methode_Keuze,4)="Geen",Methode_Keuze=""),"",AND(W477&lt;&gt;"",F477&lt;&gt;"Arbeidskosten"),W477*VLOOKUP(F477,Tb_ProjectKosten[],MATCH(Tb_ProjectKosten[[#Headers],[Forfait_Percentage]],Tb_ProjectKosten[#Headers],0),0),AND(F477="Arbeidskosten",G477&lt;&gt;""),IFERROR(W477*VLOOKUP(G477,Tb_KostenTypen[],3,0)*VLOOKUP(F477,Tb_ProjectKosten[],MATCH(Tb_ProjectKosten[[#Headers],[Forfait_Percentage]],Tb_ProjectKosten[#Headers],0),0),""),W477 &lt;=0,0),"")</f>
        <v/>
      </c>
      <c r="AA477" s="314" t="str" cm="1">
        <f t="array" aca="1" ref="AA477" ca="1">IFERROR(_xlfn.IFS(OR(F477="",LEFT(Methode_Keuze,4)="Geen",Methode_Keuze=""),"",AND(X477&lt;&gt;"",F477&lt;&gt;"Arbeidskosten"),X477*VLOOKUP(F477,Tb_ProjectKosten[],MATCH(Tb_ProjectKosten[[#Headers],[Forfait_Percentage]],Tb_ProjectKosten[#Headers],0),0),AND(F477="Arbeidskosten",G477&lt;&gt;""),IFERROR(X477*VLOOKUP(G477,Tb_KostenTypen[],3,0)*VLOOKUP(F477,Tb_ProjectKosten[],MATCH(Tb_ProjectKosten[[#Headers],[Forfait_Percentage]],Tb_ProjectKosten[#Headers],0),0),""),X477 &lt;=0,0),"")</f>
        <v/>
      </c>
      <c r="AB477" s="314" t="str">
        <f t="shared" ca="1" si="31"/>
        <v/>
      </c>
      <c r="AC477" s="322"/>
      <c r="AD477" s="315"/>
      <c r="AE477" s="32" t="str" cm="1">
        <f t="array" ref="AE477">IFERROR(IF(INDEX(SubsidieTabel!$AD$1:$AG$12,MATCH($F477,SubsidieTabel!$AD$1:$AD$12,0),IFERROR(MATCH(Methode_Keuze,SubsidieTabel!$AD$1:$AG$1,0),2))&lt;&gt;1=TRUE,"ja",""),"")</f>
        <v/>
      </c>
    </row>
    <row r="478" spans="1:31" x14ac:dyDescent="0.25">
      <c r="A478" s="316"/>
      <c r="B478" s="317" t="str">
        <f>IF(A478&lt;&gt;"",_xlfn.MAXIFS($B$1:B477,$A$1:A477,A478)+1,"")</f>
        <v/>
      </c>
      <c r="C478" s="296"/>
      <c r="D478" s="296"/>
      <c r="E478" s="296"/>
      <c r="F478" s="296"/>
      <c r="G478" s="326"/>
      <c r="H478" s="324"/>
      <c r="I478" s="325"/>
      <c r="J478" s="325"/>
      <c r="K478" s="318"/>
      <c r="L478" s="318"/>
      <c r="M478" s="319" t="str">
        <f>IFERROR(VLOOKUP(H478,Lijsten!$H$1:$I$100,2,0),"")</f>
        <v/>
      </c>
      <c r="N478" s="319" t="str">
        <f ca="1">IFERROR(IF(VLOOKUP(F478,Kostentypen!$A$3:$E$21,3,0)=0,"",IF(OR(F478="Arbeidskosten",F478="Vergoeding"),VLOOKUP(G478,Tb_KostenTypen[],2,0),VLOOKUP(F478,Kostentypen!$A$3:$E$20,3,0))),"")</f>
        <v/>
      </c>
      <c r="O478" s="320" t="str" cm="1">
        <f t="array" ref="O478">_xlfn.IFNA(IF(INDEX(Tb_KostenOptiesDB[],MATCH($F478,Tb_KostenOptiesDB[KostenOptie],0),IFERROR(MATCH(Methode_Keuze,Tb_KostenOptiesDB[#Headers],0),2))=1,_xlfn.SWITCH($N478,"Uurtarief",IF(OR(AND(RIGHT($F478,3)="IKS",VLOOKUP($M478,DB_Loonkosten,2,0)="Ja"),AND(RIGHT($F478,3)&lt;&gt;"IKS",VLOOKUP($M478,DB_Loonkosten,2,0)="Nee")),IFERROR(VLOOKUP($M478,DB_Loonkosten,24,0),""),0),"Vast tarief",IF(LEFT(F478,8)="Bijdrage",VLOOKUP($F478,Tb_KostenTypen[],MATCH(Lijsten!$P$1,Tb_KostenTypen[#Headers],0),0),VLOOKUP($G478,Lijsten!L:P,MATCH(Lijsten!$P$1,Kop_Tarief_Vast,0),0))),""),"")</f>
        <v/>
      </c>
      <c r="P478" s="320" t="str" cm="1">
        <f t="array" ref="P478">_xlfn.IFNA(IF(INDEX(Tb_KostenOptiesDB[],MATCH($F478,Tb_KostenOptiesDB[KostenOptie],0),IFERROR(MATCH(Methode_Keuze,Tb_KostenOptiesDB[#Headers],0),2))=1,_xlfn.SWITCH($N478,"Uurtarief",IF(OR(AND(RIGHT($F478,3)="IKS",VLOOKUP($M478,DB_Loonkosten,2,0)="Ja"),AND(RIGHT($F478,3)&lt;&gt;"IKS",VLOOKUP($M478,DB_Loonkosten,2,0)="Nee")),IFERROR(VLOOKUP($M478,DB_Loonkosten,25,0),""),0),"Vast tarief",IF(LEFT(F478,8)="Bijdrage",VLOOKUP($F478,Tb_KostenTypen[],MATCH(Lijsten!$P$1,Tb_KostenTypen[#Headers],0),0),VLOOKUP($G478,Lijsten!L:P,MATCH(Lijsten!$P$1,Kop_Tarief_Vast,0),0))),""),"")</f>
        <v/>
      </c>
      <c r="Q478" s="359"/>
      <c r="R478" s="359"/>
      <c r="S478" s="321"/>
      <c r="T478" s="321"/>
      <c r="U478" s="373" t="str">
        <f t="shared" si="28"/>
        <v/>
      </c>
      <c r="V478" s="314" t="str">
        <f t="shared" si="29"/>
        <v/>
      </c>
      <c r="W478" s="314" t="str" cm="1">
        <f t="array" aca="1" ref="W478" ca="1">IFERROR(IF(AE478&lt;&gt;"ja",_xlfn.IFNA(_xlfn.IFS(AND(O478&lt;&gt;"",F478&lt;&gt;"",RIGHT($N478,6)="tarief",F478="Vergoeding"),SUM(O478)*FLOOR(SUM(Q478),0.0001),AND(O478&lt;&gt;"",F478&lt;&gt;"",RIGHT($N478,6)="tarief"),SUM(O478)*FLOOR(SUM(Q478),0.01),S478&gt;0,IF(F478&lt;&gt;"",FLOOR(SUM(S478),0.01),"")),""),""),"")</f>
        <v/>
      </c>
      <c r="X478" s="314" t="str" cm="1">
        <f t="array" aca="1" ref="X478" ca="1">IFERROR(IF(AE478&lt;&gt;"ja",_xlfn.IFNA(_xlfn.IFS(AND(P478&lt;&gt;"",R478&lt;&gt;"",RIGHT($N478,6)="tarief",F478="Vergoeding"),SUM(P478)*FLOOR(SUM(R478),0.0001),AND(P478&lt;&gt;"",R478&lt;&gt;"",RIGHT($N478,6)="tarief"),P478*FLOOR(R478,0.01),T478&gt;0,FLOOR(SUM(T478),0.01)),""),""),"")</f>
        <v/>
      </c>
      <c r="Y478" s="314" t="str">
        <f t="shared" ca="1" si="30"/>
        <v/>
      </c>
      <c r="Z478" s="314" t="str" cm="1">
        <f t="array" aca="1" ref="Z478" ca="1">IFERROR(_xlfn.IFS(OR(F478="",LEFT(Methode_Keuze,4)="Geen",Methode_Keuze=""),"",AND(W478&lt;&gt;"",F478&lt;&gt;"Arbeidskosten"),W478*VLOOKUP(F478,Tb_ProjectKosten[],MATCH(Tb_ProjectKosten[[#Headers],[Forfait_Percentage]],Tb_ProjectKosten[#Headers],0),0),AND(F478="Arbeidskosten",G478&lt;&gt;""),IFERROR(W478*VLOOKUP(G478,Tb_KostenTypen[],3,0)*VLOOKUP(F478,Tb_ProjectKosten[],MATCH(Tb_ProjectKosten[[#Headers],[Forfait_Percentage]],Tb_ProjectKosten[#Headers],0),0),""),W478 &lt;=0,0),"")</f>
        <v/>
      </c>
      <c r="AA478" s="314" t="str" cm="1">
        <f t="array" aca="1" ref="AA478" ca="1">IFERROR(_xlfn.IFS(OR(F478="",LEFT(Methode_Keuze,4)="Geen",Methode_Keuze=""),"",AND(X478&lt;&gt;"",F478&lt;&gt;"Arbeidskosten"),X478*VLOOKUP(F478,Tb_ProjectKosten[],MATCH(Tb_ProjectKosten[[#Headers],[Forfait_Percentage]],Tb_ProjectKosten[#Headers],0),0),AND(F478="Arbeidskosten",G478&lt;&gt;""),IFERROR(X478*VLOOKUP(G478,Tb_KostenTypen[],3,0)*VLOOKUP(F478,Tb_ProjectKosten[],MATCH(Tb_ProjectKosten[[#Headers],[Forfait_Percentage]],Tb_ProjectKosten[#Headers],0),0),""),X478 &lt;=0,0),"")</f>
        <v/>
      </c>
      <c r="AB478" s="314" t="str">
        <f t="shared" ca="1" si="31"/>
        <v/>
      </c>
      <c r="AC478" s="322"/>
      <c r="AD478" s="315"/>
      <c r="AE478" s="32" t="str" cm="1">
        <f t="array" ref="AE478">IFERROR(IF(INDEX(SubsidieTabel!$AD$1:$AG$12,MATCH($F478,SubsidieTabel!$AD$1:$AD$12,0),IFERROR(MATCH(Methode_Keuze,SubsidieTabel!$AD$1:$AG$1,0),2))&lt;&gt;1=TRUE,"ja",""),"")</f>
        <v/>
      </c>
    </row>
    <row r="479" spans="1:31" x14ac:dyDescent="0.25">
      <c r="A479" s="316"/>
      <c r="B479" s="317" t="str">
        <f>IF(A479&lt;&gt;"",_xlfn.MAXIFS($B$1:B478,$A$1:A478,A479)+1,"")</f>
        <v/>
      </c>
      <c r="C479" s="296"/>
      <c r="D479" s="296"/>
      <c r="E479" s="296"/>
      <c r="F479" s="296"/>
      <c r="G479" s="326"/>
      <c r="H479" s="324"/>
      <c r="I479" s="325"/>
      <c r="J479" s="325"/>
      <c r="K479" s="318"/>
      <c r="L479" s="318"/>
      <c r="M479" s="319" t="str">
        <f>IFERROR(VLOOKUP(H479,Lijsten!$H$1:$I$100,2,0),"")</f>
        <v/>
      </c>
      <c r="N479" s="319" t="str">
        <f ca="1">IFERROR(IF(VLOOKUP(F479,Kostentypen!$A$3:$E$21,3,0)=0,"",IF(OR(F479="Arbeidskosten",F479="Vergoeding"),VLOOKUP(G479,Tb_KostenTypen[],2,0),VLOOKUP(F479,Kostentypen!$A$3:$E$20,3,0))),"")</f>
        <v/>
      </c>
      <c r="O479" s="320" t="str" cm="1">
        <f t="array" ref="O479">_xlfn.IFNA(IF(INDEX(Tb_KostenOptiesDB[],MATCH($F479,Tb_KostenOptiesDB[KostenOptie],0),IFERROR(MATCH(Methode_Keuze,Tb_KostenOptiesDB[#Headers],0),2))=1,_xlfn.SWITCH($N479,"Uurtarief",IF(OR(AND(RIGHT($F479,3)="IKS",VLOOKUP($M479,DB_Loonkosten,2,0)="Ja"),AND(RIGHT($F479,3)&lt;&gt;"IKS",VLOOKUP($M479,DB_Loonkosten,2,0)="Nee")),IFERROR(VLOOKUP($M479,DB_Loonkosten,24,0),""),0),"Vast tarief",IF(LEFT(F479,8)="Bijdrage",VLOOKUP($F479,Tb_KostenTypen[],MATCH(Lijsten!$P$1,Tb_KostenTypen[#Headers],0),0),VLOOKUP($G479,Lijsten!L:P,MATCH(Lijsten!$P$1,Kop_Tarief_Vast,0),0))),""),"")</f>
        <v/>
      </c>
      <c r="P479" s="320" t="str" cm="1">
        <f t="array" ref="P479">_xlfn.IFNA(IF(INDEX(Tb_KostenOptiesDB[],MATCH($F479,Tb_KostenOptiesDB[KostenOptie],0),IFERROR(MATCH(Methode_Keuze,Tb_KostenOptiesDB[#Headers],0),2))=1,_xlfn.SWITCH($N479,"Uurtarief",IF(OR(AND(RIGHT($F479,3)="IKS",VLOOKUP($M479,DB_Loonkosten,2,0)="Ja"),AND(RIGHT($F479,3)&lt;&gt;"IKS",VLOOKUP($M479,DB_Loonkosten,2,0)="Nee")),IFERROR(VLOOKUP($M479,DB_Loonkosten,25,0),""),0),"Vast tarief",IF(LEFT(F479,8)="Bijdrage",VLOOKUP($F479,Tb_KostenTypen[],MATCH(Lijsten!$P$1,Tb_KostenTypen[#Headers],0),0),VLOOKUP($G479,Lijsten!L:P,MATCH(Lijsten!$P$1,Kop_Tarief_Vast,0),0))),""),"")</f>
        <v/>
      </c>
      <c r="Q479" s="359"/>
      <c r="R479" s="359"/>
      <c r="S479" s="321"/>
      <c r="T479" s="321"/>
      <c r="U479" s="373" t="str">
        <f t="shared" si="28"/>
        <v/>
      </c>
      <c r="V479" s="314" t="str">
        <f t="shared" si="29"/>
        <v/>
      </c>
      <c r="W479" s="314" t="str" cm="1">
        <f t="array" aca="1" ref="W479" ca="1">IFERROR(IF(AE479&lt;&gt;"ja",_xlfn.IFNA(_xlfn.IFS(AND(O479&lt;&gt;"",F479&lt;&gt;"",RIGHT($N479,6)="tarief",F479="Vergoeding"),SUM(O479)*FLOOR(SUM(Q479),0.0001),AND(O479&lt;&gt;"",F479&lt;&gt;"",RIGHT($N479,6)="tarief"),SUM(O479)*FLOOR(SUM(Q479),0.01),S479&gt;0,IF(F479&lt;&gt;"",FLOOR(SUM(S479),0.01),"")),""),""),"")</f>
        <v/>
      </c>
      <c r="X479" s="314" t="str" cm="1">
        <f t="array" aca="1" ref="X479" ca="1">IFERROR(IF(AE479&lt;&gt;"ja",_xlfn.IFNA(_xlfn.IFS(AND(P479&lt;&gt;"",R479&lt;&gt;"",RIGHT($N479,6)="tarief",F479="Vergoeding"),SUM(P479)*FLOOR(SUM(R479),0.0001),AND(P479&lt;&gt;"",R479&lt;&gt;"",RIGHT($N479,6)="tarief"),P479*FLOOR(R479,0.01),T479&gt;0,FLOOR(SUM(T479),0.01)),""),""),"")</f>
        <v/>
      </c>
      <c r="Y479" s="314" t="str">
        <f t="shared" ca="1" si="30"/>
        <v/>
      </c>
      <c r="Z479" s="314" t="str" cm="1">
        <f t="array" aca="1" ref="Z479" ca="1">IFERROR(_xlfn.IFS(OR(F479="",LEFT(Methode_Keuze,4)="Geen",Methode_Keuze=""),"",AND(W479&lt;&gt;"",F479&lt;&gt;"Arbeidskosten"),W479*VLOOKUP(F479,Tb_ProjectKosten[],MATCH(Tb_ProjectKosten[[#Headers],[Forfait_Percentage]],Tb_ProjectKosten[#Headers],0),0),AND(F479="Arbeidskosten",G479&lt;&gt;""),IFERROR(W479*VLOOKUP(G479,Tb_KostenTypen[],3,0)*VLOOKUP(F479,Tb_ProjectKosten[],MATCH(Tb_ProjectKosten[[#Headers],[Forfait_Percentage]],Tb_ProjectKosten[#Headers],0),0),""),W479 &lt;=0,0),"")</f>
        <v/>
      </c>
      <c r="AA479" s="314" t="str" cm="1">
        <f t="array" aca="1" ref="AA479" ca="1">IFERROR(_xlfn.IFS(OR(F479="",LEFT(Methode_Keuze,4)="Geen",Methode_Keuze=""),"",AND(X479&lt;&gt;"",F479&lt;&gt;"Arbeidskosten"),X479*VLOOKUP(F479,Tb_ProjectKosten[],MATCH(Tb_ProjectKosten[[#Headers],[Forfait_Percentage]],Tb_ProjectKosten[#Headers],0),0),AND(F479="Arbeidskosten",G479&lt;&gt;""),IFERROR(X479*VLOOKUP(G479,Tb_KostenTypen[],3,0)*VLOOKUP(F479,Tb_ProjectKosten[],MATCH(Tb_ProjectKosten[[#Headers],[Forfait_Percentage]],Tb_ProjectKosten[#Headers],0),0),""),X479 &lt;=0,0),"")</f>
        <v/>
      </c>
      <c r="AB479" s="314" t="str">
        <f t="shared" ca="1" si="31"/>
        <v/>
      </c>
      <c r="AC479" s="322"/>
      <c r="AD479" s="315"/>
      <c r="AE479" s="32" t="str" cm="1">
        <f t="array" ref="AE479">IFERROR(IF(INDEX(SubsidieTabel!$AD$1:$AG$12,MATCH($F479,SubsidieTabel!$AD$1:$AD$12,0),IFERROR(MATCH(Methode_Keuze,SubsidieTabel!$AD$1:$AG$1,0),2))&lt;&gt;1=TRUE,"ja",""),"")</f>
        <v/>
      </c>
    </row>
    <row r="480" spans="1:31" x14ac:dyDescent="0.25">
      <c r="A480" s="316"/>
      <c r="B480" s="317" t="str">
        <f>IF(A480&lt;&gt;"",_xlfn.MAXIFS($B$1:B479,$A$1:A479,A480)+1,"")</f>
        <v/>
      </c>
      <c r="C480" s="296"/>
      <c r="D480" s="296"/>
      <c r="E480" s="296"/>
      <c r="F480" s="296"/>
      <c r="G480" s="326"/>
      <c r="H480" s="324"/>
      <c r="I480" s="325"/>
      <c r="J480" s="325"/>
      <c r="K480" s="318"/>
      <c r="L480" s="318"/>
      <c r="M480" s="319" t="str">
        <f>IFERROR(VLOOKUP(H480,Lijsten!$H$1:$I$100,2,0),"")</f>
        <v/>
      </c>
      <c r="N480" s="319" t="str">
        <f ca="1">IFERROR(IF(VLOOKUP(F480,Kostentypen!$A$3:$E$21,3,0)=0,"",IF(OR(F480="Arbeidskosten",F480="Vergoeding"),VLOOKUP(G480,Tb_KostenTypen[],2,0),VLOOKUP(F480,Kostentypen!$A$3:$E$20,3,0))),"")</f>
        <v/>
      </c>
      <c r="O480" s="320" t="str" cm="1">
        <f t="array" ref="O480">_xlfn.IFNA(IF(INDEX(Tb_KostenOptiesDB[],MATCH($F480,Tb_KostenOptiesDB[KostenOptie],0),IFERROR(MATCH(Methode_Keuze,Tb_KostenOptiesDB[#Headers],0),2))=1,_xlfn.SWITCH($N480,"Uurtarief",IF(OR(AND(RIGHT($F480,3)="IKS",VLOOKUP($M480,DB_Loonkosten,2,0)="Ja"),AND(RIGHT($F480,3)&lt;&gt;"IKS",VLOOKUP($M480,DB_Loonkosten,2,0)="Nee")),IFERROR(VLOOKUP($M480,DB_Loonkosten,24,0),""),0),"Vast tarief",IF(LEFT(F480,8)="Bijdrage",VLOOKUP($F480,Tb_KostenTypen[],MATCH(Lijsten!$P$1,Tb_KostenTypen[#Headers],0),0),VLOOKUP($G480,Lijsten!L:P,MATCH(Lijsten!$P$1,Kop_Tarief_Vast,0),0))),""),"")</f>
        <v/>
      </c>
      <c r="P480" s="320" t="str" cm="1">
        <f t="array" ref="P480">_xlfn.IFNA(IF(INDEX(Tb_KostenOptiesDB[],MATCH($F480,Tb_KostenOptiesDB[KostenOptie],0),IFERROR(MATCH(Methode_Keuze,Tb_KostenOptiesDB[#Headers],0),2))=1,_xlfn.SWITCH($N480,"Uurtarief",IF(OR(AND(RIGHT($F480,3)="IKS",VLOOKUP($M480,DB_Loonkosten,2,0)="Ja"),AND(RIGHT($F480,3)&lt;&gt;"IKS",VLOOKUP($M480,DB_Loonkosten,2,0)="Nee")),IFERROR(VLOOKUP($M480,DB_Loonkosten,25,0),""),0),"Vast tarief",IF(LEFT(F480,8)="Bijdrage",VLOOKUP($F480,Tb_KostenTypen[],MATCH(Lijsten!$P$1,Tb_KostenTypen[#Headers],0),0),VLOOKUP($G480,Lijsten!L:P,MATCH(Lijsten!$P$1,Kop_Tarief_Vast,0),0))),""),"")</f>
        <v/>
      </c>
      <c r="Q480" s="359"/>
      <c r="R480" s="359"/>
      <c r="S480" s="321"/>
      <c r="T480" s="321"/>
      <c r="U480" s="373" t="str">
        <f t="shared" si="28"/>
        <v/>
      </c>
      <c r="V480" s="314" t="str">
        <f t="shared" si="29"/>
        <v/>
      </c>
      <c r="W480" s="314" t="str" cm="1">
        <f t="array" aca="1" ref="W480" ca="1">IFERROR(IF(AE480&lt;&gt;"ja",_xlfn.IFNA(_xlfn.IFS(AND(O480&lt;&gt;"",F480&lt;&gt;"",RIGHT($N480,6)="tarief",F480="Vergoeding"),SUM(O480)*FLOOR(SUM(Q480),0.0001),AND(O480&lt;&gt;"",F480&lt;&gt;"",RIGHT($N480,6)="tarief"),SUM(O480)*FLOOR(SUM(Q480),0.01),S480&gt;0,IF(F480&lt;&gt;"",FLOOR(SUM(S480),0.01),"")),""),""),"")</f>
        <v/>
      </c>
      <c r="X480" s="314" t="str" cm="1">
        <f t="array" aca="1" ref="X480" ca="1">IFERROR(IF(AE480&lt;&gt;"ja",_xlfn.IFNA(_xlfn.IFS(AND(P480&lt;&gt;"",R480&lt;&gt;"",RIGHT($N480,6)="tarief",F480="Vergoeding"),SUM(P480)*FLOOR(SUM(R480),0.0001),AND(P480&lt;&gt;"",R480&lt;&gt;"",RIGHT($N480,6)="tarief"),P480*FLOOR(R480,0.01),T480&gt;0,FLOOR(SUM(T480),0.01)),""),""),"")</f>
        <v/>
      </c>
      <c r="Y480" s="314" t="str">
        <f t="shared" ca="1" si="30"/>
        <v/>
      </c>
      <c r="Z480" s="314" t="str" cm="1">
        <f t="array" aca="1" ref="Z480" ca="1">IFERROR(_xlfn.IFS(OR(F480="",LEFT(Methode_Keuze,4)="Geen",Methode_Keuze=""),"",AND(W480&lt;&gt;"",F480&lt;&gt;"Arbeidskosten"),W480*VLOOKUP(F480,Tb_ProjectKosten[],MATCH(Tb_ProjectKosten[[#Headers],[Forfait_Percentage]],Tb_ProjectKosten[#Headers],0),0),AND(F480="Arbeidskosten",G480&lt;&gt;""),IFERROR(W480*VLOOKUP(G480,Tb_KostenTypen[],3,0)*VLOOKUP(F480,Tb_ProjectKosten[],MATCH(Tb_ProjectKosten[[#Headers],[Forfait_Percentage]],Tb_ProjectKosten[#Headers],0),0),""),W480 &lt;=0,0),"")</f>
        <v/>
      </c>
      <c r="AA480" s="314" t="str" cm="1">
        <f t="array" aca="1" ref="AA480" ca="1">IFERROR(_xlfn.IFS(OR(F480="",LEFT(Methode_Keuze,4)="Geen",Methode_Keuze=""),"",AND(X480&lt;&gt;"",F480&lt;&gt;"Arbeidskosten"),X480*VLOOKUP(F480,Tb_ProjectKosten[],MATCH(Tb_ProjectKosten[[#Headers],[Forfait_Percentage]],Tb_ProjectKosten[#Headers],0),0),AND(F480="Arbeidskosten",G480&lt;&gt;""),IFERROR(X480*VLOOKUP(G480,Tb_KostenTypen[],3,0)*VLOOKUP(F480,Tb_ProjectKosten[],MATCH(Tb_ProjectKosten[[#Headers],[Forfait_Percentage]],Tb_ProjectKosten[#Headers],0),0),""),X480 &lt;=0,0),"")</f>
        <v/>
      </c>
      <c r="AB480" s="314" t="str">
        <f t="shared" ca="1" si="31"/>
        <v/>
      </c>
      <c r="AC480" s="322"/>
      <c r="AD480" s="315"/>
      <c r="AE480" s="32" t="str" cm="1">
        <f t="array" ref="AE480">IFERROR(IF(INDEX(SubsidieTabel!$AD$1:$AG$12,MATCH($F480,SubsidieTabel!$AD$1:$AD$12,0),IFERROR(MATCH(Methode_Keuze,SubsidieTabel!$AD$1:$AG$1,0),2))&lt;&gt;1=TRUE,"ja",""),"")</f>
        <v/>
      </c>
    </row>
    <row r="481" spans="1:31" x14ac:dyDescent="0.25">
      <c r="A481" s="316"/>
      <c r="B481" s="317" t="str">
        <f>IF(A481&lt;&gt;"",_xlfn.MAXIFS($B$1:B480,$A$1:A480,A481)+1,"")</f>
        <v/>
      </c>
      <c r="C481" s="296"/>
      <c r="D481" s="296"/>
      <c r="E481" s="296"/>
      <c r="F481" s="296"/>
      <c r="G481" s="326"/>
      <c r="H481" s="324"/>
      <c r="I481" s="325"/>
      <c r="J481" s="325"/>
      <c r="K481" s="318"/>
      <c r="L481" s="318"/>
      <c r="M481" s="319" t="str">
        <f>IFERROR(VLOOKUP(H481,Lijsten!$H$1:$I$100,2,0),"")</f>
        <v/>
      </c>
      <c r="N481" s="319" t="str">
        <f ca="1">IFERROR(IF(VLOOKUP(F481,Kostentypen!$A$3:$E$21,3,0)=0,"",IF(OR(F481="Arbeidskosten",F481="Vergoeding"),VLOOKUP(G481,Tb_KostenTypen[],2,0),VLOOKUP(F481,Kostentypen!$A$3:$E$20,3,0))),"")</f>
        <v/>
      </c>
      <c r="O481" s="320" t="str" cm="1">
        <f t="array" ref="O481">_xlfn.IFNA(IF(INDEX(Tb_KostenOptiesDB[],MATCH($F481,Tb_KostenOptiesDB[KostenOptie],0),IFERROR(MATCH(Methode_Keuze,Tb_KostenOptiesDB[#Headers],0),2))=1,_xlfn.SWITCH($N481,"Uurtarief",IF(OR(AND(RIGHT($F481,3)="IKS",VLOOKUP($M481,DB_Loonkosten,2,0)="Ja"),AND(RIGHT($F481,3)&lt;&gt;"IKS",VLOOKUP($M481,DB_Loonkosten,2,0)="Nee")),IFERROR(VLOOKUP($M481,DB_Loonkosten,24,0),""),0),"Vast tarief",IF(LEFT(F481,8)="Bijdrage",VLOOKUP($F481,Tb_KostenTypen[],MATCH(Lijsten!$P$1,Tb_KostenTypen[#Headers],0),0),VLOOKUP($G481,Lijsten!L:P,MATCH(Lijsten!$P$1,Kop_Tarief_Vast,0),0))),""),"")</f>
        <v/>
      </c>
      <c r="P481" s="320" t="str" cm="1">
        <f t="array" ref="P481">_xlfn.IFNA(IF(INDEX(Tb_KostenOptiesDB[],MATCH($F481,Tb_KostenOptiesDB[KostenOptie],0),IFERROR(MATCH(Methode_Keuze,Tb_KostenOptiesDB[#Headers],0),2))=1,_xlfn.SWITCH($N481,"Uurtarief",IF(OR(AND(RIGHT($F481,3)="IKS",VLOOKUP($M481,DB_Loonkosten,2,0)="Ja"),AND(RIGHT($F481,3)&lt;&gt;"IKS",VLOOKUP($M481,DB_Loonkosten,2,0)="Nee")),IFERROR(VLOOKUP($M481,DB_Loonkosten,25,0),""),0),"Vast tarief",IF(LEFT(F481,8)="Bijdrage",VLOOKUP($F481,Tb_KostenTypen[],MATCH(Lijsten!$P$1,Tb_KostenTypen[#Headers],0),0),VLOOKUP($G481,Lijsten!L:P,MATCH(Lijsten!$P$1,Kop_Tarief_Vast,0),0))),""),"")</f>
        <v/>
      </c>
      <c r="Q481" s="359"/>
      <c r="R481" s="359"/>
      <c r="S481" s="321"/>
      <c r="T481" s="321"/>
      <c r="U481" s="373" t="str">
        <f t="shared" si="28"/>
        <v/>
      </c>
      <c r="V481" s="314" t="str">
        <f t="shared" si="29"/>
        <v/>
      </c>
      <c r="W481" s="314" t="str" cm="1">
        <f t="array" aca="1" ref="W481" ca="1">IFERROR(IF(AE481&lt;&gt;"ja",_xlfn.IFNA(_xlfn.IFS(AND(O481&lt;&gt;"",F481&lt;&gt;"",RIGHT($N481,6)="tarief",F481="Vergoeding"),SUM(O481)*FLOOR(SUM(Q481),0.0001),AND(O481&lt;&gt;"",F481&lt;&gt;"",RIGHT($N481,6)="tarief"),SUM(O481)*FLOOR(SUM(Q481),0.01),S481&gt;0,IF(F481&lt;&gt;"",FLOOR(SUM(S481),0.01),"")),""),""),"")</f>
        <v/>
      </c>
      <c r="X481" s="314" t="str" cm="1">
        <f t="array" aca="1" ref="X481" ca="1">IFERROR(IF(AE481&lt;&gt;"ja",_xlfn.IFNA(_xlfn.IFS(AND(P481&lt;&gt;"",R481&lt;&gt;"",RIGHT($N481,6)="tarief",F481="Vergoeding"),SUM(P481)*FLOOR(SUM(R481),0.0001),AND(P481&lt;&gt;"",R481&lt;&gt;"",RIGHT($N481,6)="tarief"),P481*FLOOR(R481,0.01),T481&gt;0,FLOOR(SUM(T481),0.01)),""),""),"")</f>
        <v/>
      </c>
      <c r="Y481" s="314" t="str">
        <f t="shared" ca="1" si="30"/>
        <v/>
      </c>
      <c r="Z481" s="314" t="str" cm="1">
        <f t="array" aca="1" ref="Z481" ca="1">IFERROR(_xlfn.IFS(OR(F481="",LEFT(Methode_Keuze,4)="Geen",Methode_Keuze=""),"",AND(W481&lt;&gt;"",F481&lt;&gt;"Arbeidskosten"),W481*VLOOKUP(F481,Tb_ProjectKosten[],MATCH(Tb_ProjectKosten[[#Headers],[Forfait_Percentage]],Tb_ProjectKosten[#Headers],0),0),AND(F481="Arbeidskosten",G481&lt;&gt;""),IFERROR(W481*VLOOKUP(G481,Tb_KostenTypen[],3,0)*VLOOKUP(F481,Tb_ProjectKosten[],MATCH(Tb_ProjectKosten[[#Headers],[Forfait_Percentage]],Tb_ProjectKosten[#Headers],0),0),""),W481 &lt;=0,0),"")</f>
        <v/>
      </c>
      <c r="AA481" s="314" t="str" cm="1">
        <f t="array" aca="1" ref="AA481" ca="1">IFERROR(_xlfn.IFS(OR(F481="",LEFT(Methode_Keuze,4)="Geen",Methode_Keuze=""),"",AND(X481&lt;&gt;"",F481&lt;&gt;"Arbeidskosten"),X481*VLOOKUP(F481,Tb_ProjectKosten[],MATCH(Tb_ProjectKosten[[#Headers],[Forfait_Percentage]],Tb_ProjectKosten[#Headers],0),0),AND(F481="Arbeidskosten",G481&lt;&gt;""),IFERROR(X481*VLOOKUP(G481,Tb_KostenTypen[],3,0)*VLOOKUP(F481,Tb_ProjectKosten[],MATCH(Tb_ProjectKosten[[#Headers],[Forfait_Percentage]],Tb_ProjectKosten[#Headers],0),0),""),X481 &lt;=0,0),"")</f>
        <v/>
      </c>
      <c r="AB481" s="314" t="str">
        <f t="shared" ca="1" si="31"/>
        <v/>
      </c>
      <c r="AC481" s="322"/>
      <c r="AD481" s="315"/>
      <c r="AE481" s="32" t="str" cm="1">
        <f t="array" ref="AE481">IFERROR(IF(INDEX(SubsidieTabel!$AD$1:$AG$12,MATCH($F481,SubsidieTabel!$AD$1:$AD$12,0),IFERROR(MATCH(Methode_Keuze,SubsidieTabel!$AD$1:$AG$1,0),2))&lt;&gt;1=TRUE,"ja",""),"")</f>
        <v/>
      </c>
    </row>
    <row r="482" spans="1:31" x14ac:dyDescent="0.25">
      <c r="A482" s="316"/>
      <c r="B482" s="317" t="str">
        <f>IF(A482&lt;&gt;"",_xlfn.MAXIFS($B$1:B481,$A$1:A481,A482)+1,"")</f>
        <v/>
      </c>
      <c r="C482" s="296"/>
      <c r="D482" s="296"/>
      <c r="E482" s="296"/>
      <c r="F482" s="296"/>
      <c r="G482" s="326"/>
      <c r="H482" s="324"/>
      <c r="I482" s="325"/>
      <c r="J482" s="325"/>
      <c r="K482" s="318"/>
      <c r="L482" s="318"/>
      <c r="M482" s="319" t="str">
        <f>IFERROR(VLOOKUP(H482,Lijsten!$H$1:$I$100,2,0),"")</f>
        <v/>
      </c>
      <c r="N482" s="319" t="str">
        <f ca="1">IFERROR(IF(VLOOKUP(F482,Kostentypen!$A$3:$E$21,3,0)=0,"",IF(OR(F482="Arbeidskosten",F482="Vergoeding"),VLOOKUP(G482,Tb_KostenTypen[],2,0),VLOOKUP(F482,Kostentypen!$A$3:$E$20,3,0))),"")</f>
        <v/>
      </c>
      <c r="O482" s="320" t="str" cm="1">
        <f t="array" ref="O482">_xlfn.IFNA(IF(INDEX(Tb_KostenOptiesDB[],MATCH($F482,Tb_KostenOptiesDB[KostenOptie],0),IFERROR(MATCH(Methode_Keuze,Tb_KostenOptiesDB[#Headers],0),2))=1,_xlfn.SWITCH($N482,"Uurtarief",IF(OR(AND(RIGHT($F482,3)="IKS",VLOOKUP($M482,DB_Loonkosten,2,0)="Ja"),AND(RIGHT($F482,3)&lt;&gt;"IKS",VLOOKUP($M482,DB_Loonkosten,2,0)="Nee")),IFERROR(VLOOKUP($M482,DB_Loonkosten,24,0),""),0),"Vast tarief",IF(LEFT(F482,8)="Bijdrage",VLOOKUP($F482,Tb_KostenTypen[],MATCH(Lijsten!$P$1,Tb_KostenTypen[#Headers],0),0),VLOOKUP($G482,Lijsten!L:P,MATCH(Lijsten!$P$1,Kop_Tarief_Vast,0),0))),""),"")</f>
        <v/>
      </c>
      <c r="P482" s="320" t="str" cm="1">
        <f t="array" ref="P482">_xlfn.IFNA(IF(INDEX(Tb_KostenOptiesDB[],MATCH($F482,Tb_KostenOptiesDB[KostenOptie],0),IFERROR(MATCH(Methode_Keuze,Tb_KostenOptiesDB[#Headers],0),2))=1,_xlfn.SWITCH($N482,"Uurtarief",IF(OR(AND(RIGHT($F482,3)="IKS",VLOOKUP($M482,DB_Loonkosten,2,0)="Ja"),AND(RIGHT($F482,3)&lt;&gt;"IKS",VLOOKUP($M482,DB_Loonkosten,2,0)="Nee")),IFERROR(VLOOKUP($M482,DB_Loonkosten,25,0),""),0),"Vast tarief",IF(LEFT(F482,8)="Bijdrage",VLOOKUP($F482,Tb_KostenTypen[],MATCH(Lijsten!$P$1,Tb_KostenTypen[#Headers],0),0),VLOOKUP($G482,Lijsten!L:P,MATCH(Lijsten!$P$1,Kop_Tarief_Vast,0),0))),""),"")</f>
        <v/>
      </c>
      <c r="Q482" s="359"/>
      <c r="R482" s="359"/>
      <c r="S482" s="321"/>
      <c r="T482" s="321"/>
      <c r="U482" s="373" t="str">
        <f t="shared" si="28"/>
        <v/>
      </c>
      <c r="V482" s="314" t="str">
        <f t="shared" si="29"/>
        <v/>
      </c>
      <c r="W482" s="314" t="str" cm="1">
        <f t="array" aca="1" ref="W482" ca="1">IFERROR(IF(AE482&lt;&gt;"ja",_xlfn.IFNA(_xlfn.IFS(AND(O482&lt;&gt;"",F482&lt;&gt;"",RIGHT($N482,6)="tarief",F482="Vergoeding"),SUM(O482)*FLOOR(SUM(Q482),0.0001),AND(O482&lt;&gt;"",F482&lt;&gt;"",RIGHT($N482,6)="tarief"),SUM(O482)*FLOOR(SUM(Q482),0.01),S482&gt;0,IF(F482&lt;&gt;"",FLOOR(SUM(S482),0.01),"")),""),""),"")</f>
        <v/>
      </c>
      <c r="X482" s="314" t="str" cm="1">
        <f t="array" aca="1" ref="X482" ca="1">IFERROR(IF(AE482&lt;&gt;"ja",_xlfn.IFNA(_xlfn.IFS(AND(P482&lt;&gt;"",R482&lt;&gt;"",RIGHT($N482,6)="tarief",F482="Vergoeding"),SUM(P482)*FLOOR(SUM(R482),0.0001),AND(P482&lt;&gt;"",R482&lt;&gt;"",RIGHT($N482,6)="tarief"),P482*FLOOR(R482,0.01),T482&gt;0,FLOOR(SUM(T482),0.01)),""),""),"")</f>
        <v/>
      </c>
      <c r="Y482" s="314" t="str">
        <f t="shared" ca="1" si="30"/>
        <v/>
      </c>
      <c r="Z482" s="314" t="str" cm="1">
        <f t="array" aca="1" ref="Z482" ca="1">IFERROR(_xlfn.IFS(OR(F482="",LEFT(Methode_Keuze,4)="Geen",Methode_Keuze=""),"",AND(W482&lt;&gt;"",F482&lt;&gt;"Arbeidskosten"),W482*VLOOKUP(F482,Tb_ProjectKosten[],MATCH(Tb_ProjectKosten[[#Headers],[Forfait_Percentage]],Tb_ProjectKosten[#Headers],0),0),AND(F482="Arbeidskosten",G482&lt;&gt;""),IFERROR(W482*VLOOKUP(G482,Tb_KostenTypen[],3,0)*VLOOKUP(F482,Tb_ProjectKosten[],MATCH(Tb_ProjectKosten[[#Headers],[Forfait_Percentage]],Tb_ProjectKosten[#Headers],0),0),""),W482 &lt;=0,0),"")</f>
        <v/>
      </c>
      <c r="AA482" s="314" t="str" cm="1">
        <f t="array" aca="1" ref="AA482" ca="1">IFERROR(_xlfn.IFS(OR(F482="",LEFT(Methode_Keuze,4)="Geen",Methode_Keuze=""),"",AND(X482&lt;&gt;"",F482&lt;&gt;"Arbeidskosten"),X482*VLOOKUP(F482,Tb_ProjectKosten[],MATCH(Tb_ProjectKosten[[#Headers],[Forfait_Percentage]],Tb_ProjectKosten[#Headers],0),0),AND(F482="Arbeidskosten",G482&lt;&gt;""),IFERROR(X482*VLOOKUP(G482,Tb_KostenTypen[],3,0)*VLOOKUP(F482,Tb_ProjectKosten[],MATCH(Tb_ProjectKosten[[#Headers],[Forfait_Percentage]],Tb_ProjectKosten[#Headers],0),0),""),X482 &lt;=0,0),"")</f>
        <v/>
      </c>
      <c r="AB482" s="314" t="str">
        <f t="shared" ca="1" si="31"/>
        <v/>
      </c>
      <c r="AC482" s="322"/>
      <c r="AD482" s="315"/>
      <c r="AE482" s="32" t="str" cm="1">
        <f t="array" ref="AE482">IFERROR(IF(INDEX(SubsidieTabel!$AD$1:$AG$12,MATCH($F482,SubsidieTabel!$AD$1:$AD$12,0),IFERROR(MATCH(Methode_Keuze,SubsidieTabel!$AD$1:$AG$1,0),2))&lt;&gt;1=TRUE,"ja",""),"")</f>
        <v/>
      </c>
    </row>
    <row r="483" spans="1:31" x14ac:dyDescent="0.25">
      <c r="A483" s="316"/>
      <c r="B483" s="317" t="str">
        <f>IF(A483&lt;&gt;"",_xlfn.MAXIFS($B$1:B482,$A$1:A482,A483)+1,"")</f>
        <v/>
      </c>
      <c r="C483" s="296"/>
      <c r="D483" s="296"/>
      <c r="E483" s="296"/>
      <c r="F483" s="296"/>
      <c r="G483" s="326"/>
      <c r="H483" s="324"/>
      <c r="I483" s="325"/>
      <c r="J483" s="325"/>
      <c r="K483" s="318"/>
      <c r="L483" s="318"/>
      <c r="M483" s="319" t="str">
        <f>IFERROR(VLOOKUP(H483,Lijsten!$H$1:$I$100,2,0),"")</f>
        <v/>
      </c>
      <c r="N483" s="319" t="str">
        <f ca="1">IFERROR(IF(VLOOKUP(F483,Kostentypen!$A$3:$E$21,3,0)=0,"",IF(OR(F483="Arbeidskosten",F483="Vergoeding"),VLOOKUP(G483,Tb_KostenTypen[],2,0),VLOOKUP(F483,Kostentypen!$A$3:$E$20,3,0))),"")</f>
        <v/>
      </c>
      <c r="O483" s="320" t="str" cm="1">
        <f t="array" ref="O483">_xlfn.IFNA(IF(INDEX(Tb_KostenOptiesDB[],MATCH($F483,Tb_KostenOptiesDB[KostenOptie],0),IFERROR(MATCH(Methode_Keuze,Tb_KostenOptiesDB[#Headers],0),2))=1,_xlfn.SWITCH($N483,"Uurtarief",IF(OR(AND(RIGHT($F483,3)="IKS",VLOOKUP($M483,DB_Loonkosten,2,0)="Ja"),AND(RIGHT($F483,3)&lt;&gt;"IKS",VLOOKUP($M483,DB_Loonkosten,2,0)="Nee")),IFERROR(VLOOKUP($M483,DB_Loonkosten,24,0),""),0),"Vast tarief",IF(LEFT(F483,8)="Bijdrage",VLOOKUP($F483,Tb_KostenTypen[],MATCH(Lijsten!$P$1,Tb_KostenTypen[#Headers],0),0),VLOOKUP($G483,Lijsten!L:P,MATCH(Lijsten!$P$1,Kop_Tarief_Vast,0),0))),""),"")</f>
        <v/>
      </c>
      <c r="P483" s="320" t="str" cm="1">
        <f t="array" ref="P483">_xlfn.IFNA(IF(INDEX(Tb_KostenOptiesDB[],MATCH($F483,Tb_KostenOptiesDB[KostenOptie],0),IFERROR(MATCH(Methode_Keuze,Tb_KostenOptiesDB[#Headers],0),2))=1,_xlfn.SWITCH($N483,"Uurtarief",IF(OR(AND(RIGHT($F483,3)="IKS",VLOOKUP($M483,DB_Loonkosten,2,0)="Ja"),AND(RIGHT($F483,3)&lt;&gt;"IKS",VLOOKUP($M483,DB_Loonkosten,2,0)="Nee")),IFERROR(VLOOKUP($M483,DB_Loonkosten,25,0),""),0),"Vast tarief",IF(LEFT(F483,8)="Bijdrage",VLOOKUP($F483,Tb_KostenTypen[],MATCH(Lijsten!$P$1,Tb_KostenTypen[#Headers],0),0),VLOOKUP($G483,Lijsten!L:P,MATCH(Lijsten!$P$1,Kop_Tarief_Vast,0),0))),""),"")</f>
        <v/>
      </c>
      <c r="Q483" s="359"/>
      <c r="R483" s="359"/>
      <c r="S483" s="321"/>
      <c r="T483" s="321"/>
      <c r="U483" s="373" t="str">
        <f t="shared" si="28"/>
        <v/>
      </c>
      <c r="V483" s="314" t="str">
        <f t="shared" si="29"/>
        <v/>
      </c>
      <c r="W483" s="314" t="str" cm="1">
        <f t="array" aca="1" ref="W483" ca="1">IFERROR(IF(AE483&lt;&gt;"ja",_xlfn.IFNA(_xlfn.IFS(AND(O483&lt;&gt;"",F483&lt;&gt;"",RIGHT($N483,6)="tarief",F483="Vergoeding"),SUM(O483)*FLOOR(SUM(Q483),0.0001),AND(O483&lt;&gt;"",F483&lt;&gt;"",RIGHT($N483,6)="tarief"),SUM(O483)*FLOOR(SUM(Q483),0.01),S483&gt;0,IF(F483&lt;&gt;"",FLOOR(SUM(S483),0.01),"")),""),""),"")</f>
        <v/>
      </c>
      <c r="X483" s="314" t="str" cm="1">
        <f t="array" aca="1" ref="X483" ca="1">IFERROR(IF(AE483&lt;&gt;"ja",_xlfn.IFNA(_xlfn.IFS(AND(P483&lt;&gt;"",R483&lt;&gt;"",RIGHT($N483,6)="tarief",F483="Vergoeding"),SUM(P483)*FLOOR(SUM(R483),0.0001),AND(P483&lt;&gt;"",R483&lt;&gt;"",RIGHT($N483,6)="tarief"),P483*FLOOR(R483,0.01),T483&gt;0,FLOOR(SUM(T483),0.01)),""),""),"")</f>
        <v/>
      </c>
      <c r="Y483" s="314" t="str">
        <f t="shared" ca="1" si="30"/>
        <v/>
      </c>
      <c r="Z483" s="314" t="str" cm="1">
        <f t="array" aca="1" ref="Z483" ca="1">IFERROR(_xlfn.IFS(OR(F483="",LEFT(Methode_Keuze,4)="Geen",Methode_Keuze=""),"",AND(W483&lt;&gt;"",F483&lt;&gt;"Arbeidskosten"),W483*VLOOKUP(F483,Tb_ProjectKosten[],MATCH(Tb_ProjectKosten[[#Headers],[Forfait_Percentage]],Tb_ProjectKosten[#Headers],0),0),AND(F483="Arbeidskosten",G483&lt;&gt;""),IFERROR(W483*VLOOKUP(G483,Tb_KostenTypen[],3,0)*VLOOKUP(F483,Tb_ProjectKosten[],MATCH(Tb_ProjectKosten[[#Headers],[Forfait_Percentage]],Tb_ProjectKosten[#Headers],0),0),""),W483 &lt;=0,0),"")</f>
        <v/>
      </c>
      <c r="AA483" s="314" t="str" cm="1">
        <f t="array" aca="1" ref="AA483" ca="1">IFERROR(_xlfn.IFS(OR(F483="",LEFT(Methode_Keuze,4)="Geen",Methode_Keuze=""),"",AND(X483&lt;&gt;"",F483&lt;&gt;"Arbeidskosten"),X483*VLOOKUP(F483,Tb_ProjectKosten[],MATCH(Tb_ProjectKosten[[#Headers],[Forfait_Percentage]],Tb_ProjectKosten[#Headers],0),0),AND(F483="Arbeidskosten",G483&lt;&gt;""),IFERROR(X483*VLOOKUP(G483,Tb_KostenTypen[],3,0)*VLOOKUP(F483,Tb_ProjectKosten[],MATCH(Tb_ProjectKosten[[#Headers],[Forfait_Percentage]],Tb_ProjectKosten[#Headers],0),0),""),X483 &lt;=0,0),"")</f>
        <v/>
      </c>
      <c r="AB483" s="314" t="str">
        <f t="shared" ca="1" si="31"/>
        <v/>
      </c>
      <c r="AC483" s="322"/>
      <c r="AD483" s="315"/>
      <c r="AE483" s="32" t="str" cm="1">
        <f t="array" ref="AE483">IFERROR(IF(INDEX(SubsidieTabel!$AD$1:$AG$12,MATCH($F483,SubsidieTabel!$AD$1:$AD$12,0),IFERROR(MATCH(Methode_Keuze,SubsidieTabel!$AD$1:$AG$1,0),2))&lt;&gt;1=TRUE,"ja",""),"")</f>
        <v/>
      </c>
    </row>
    <row r="484" spans="1:31" x14ac:dyDescent="0.25">
      <c r="A484" s="316"/>
      <c r="B484" s="317" t="str">
        <f>IF(A484&lt;&gt;"",_xlfn.MAXIFS($B$1:B483,$A$1:A483,A484)+1,"")</f>
        <v/>
      </c>
      <c r="C484" s="296"/>
      <c r="D484" s="296"/>
      <c r="E484" s="296"/>
      <c r="F484" s="296"/>
      <c r="G484" s="326"/>
      <c r="H484" s="324"/>
      <c r="I484" s="325"/>
      <c r="J484" s="325"/>
      <c r="K484" s="318"/>
      <c r="L484" s="318"/>
      <c r="M484" s="319" t="str">
        <f>IFERROR(VLOOKUP(H484,Lijsten!$H$1:$I$100,2,0),"")</f>
        <v/>
      </c>
      <c r="N484" s="319" t="str">
        <f ca="1">IFERROR(IF(VLOOKUP(F484,Kostentypen!$A$3:$E$21,3,0)=0,"",IF(OR(F484="Arbeidskosten",F484="Vergoeding"),VLOOKUP(G484,Tb_KostenTypen[],2,0),VLOOKUP(F484,Kostentypen!$A$3:$E$20,3,0))),"")</f>
        <v/>
      </c>
      <c r="O484" s="320" t="str" cm="1">
        <f t="array" ref="O484">_xlfn.IFNA(IF(INDEX(Tb_KostenOptiesDB[],MATCH($F484,Tb_KostenOptiesDB[KostenOptie],0),IFERROR(MATCH(Methode_Keuze,Tb_KostenOptiesDB[#Headers],0),2))=1,_xlfn.SWITCH($N484,"Uurtarief",IF(OR(AND(RIGHT($F484,3)="IKS",VLOOKUP($M484,DB_Loonkosten,2,0)="Ja"),AND(RIGHT($F484,3)&lt;&gt;"IKS",VLOOKUP($M484,DB_Loonkosten,2,0)="Nee")),IFERROR(VLOOKUP($M484,DB_Loonkosten,24,0),""),0),"Vast tarief",IF(LEFT(F484,8)="Bijdrage",VLOOKUP($F484,Tb_KostenTypen[],MATCH(Lijsten!$P$1,Tb_KostenTypen[#Headers],0),0),VLOOKUP($G484,Lijsten!L:P,MATCH(Lijsten!$P$1,Kop_Tarief_Vast,0),0))),""),"")</f>
        <v/>
      </c>
      <c r="P484" s="320" t="str" cm="1">
        <f t="array" ref="P484">_xlfn.IFNA(IF(INDEX(Tb_KostenOptiesDB[],MATCH($F484,Tb_KostenOptiesDB[KostenOptie],0),IFERROR(MATCH(Methode_Keuze,Tb_KostenOptiesDB[#Headers],0),2))=1,_xlfn.SWITCH($N484,"Uurtarief",IF(OR(AND(RIGHT($F484,3)="IKS",VLOOKUP($M484,DB_Loonkosten,2,0)="Ja"),AND(RIGHT($F484,3)&lt;&gt;"IKS",VLOOKUP($M484,DB_Loonkosten,2,0)="Nee")),IFERROR(VLOOKUP($M484,DB_Loonkosten,25,0),""),0),"Vast tarief",IF(LEFT(F484,8)="Bijdrage",VLOOKUP($F484,Tb_KostenTypen[],MATCH(Lijsten!$P$1,Tb_KostenTypen[#Headers],0),0),VLOOKUP($G484,Lijsten!L:P,MATCH(Lijsten!$P$1,Kop_Tarief_Vast,0),0))),""),"")</f>
        <v/>
      </c>
      <c r="Q484" s="359"/>
      <c r="R484" s="359"/>
      <c r="S484" s="321"/>
      <c r="T484" s="321"/>
      <c r="U484" s="373" t="str">
        <f t="shared" si="28"/>
        <v/>
      </c>
      <c r="V484" s="314" t="str">
        <f t="shared" si="29"/>
        <v/>
      </c>
      <c r="W484" s="314" t="str" cm="1">
        <f t="array" aca="1" ref="W484" ca="1">IFERROR(IF(AE484&lt;&gt;"ja",_xlfn.IFNA(_xlfn.IFS(AND(O484&lt;&gt;"",F484&lt;&gt;"",RIGHT($N484,6)="tarief",F484="Vergoeding"),SUM(O484)*FLOOR(SUM(Q484),0.0001),AND(O484&lt;&gt;"",F484&lt;&gt;"",RIGHT($N484,6)="tarief"),SUM(O484)*FLOOR(SUM(Q484),0.01),S484&gt;0,IF(F484&lt;&gt;"",FLOOR(SUM(S484),0.01),"")),""),""),"")</f>
        <v/>
      </c>
      <c r="X484" s="314" t="str" cm="1">
        <f t="array" aca="1" ref="X484" ca="1">IFERROR(IF(AE484&lt;&gt;"ja",_xlfn.IFNA(_xlfn.IFS(AND(P484&lt;&gt;"",R484&lt;&gt;"",RIGHT($N484,6)="tarief",F484="Vergoeding"),SUM(P484)*FLOOR(SUM(R484),0.0001),AND(P484&lt;&gt;"",R484&lt;&gt;"",RIGHT($N484,6)="tarief"),P484*FLOOR(R484,0.01),T484&gt;0,FLOOR(SUM(T484),0.01)),""),""),"")</f>
        <v/>
      </c>
      <c r="Y484" s="314" t="str">
        <f t="shared" ca="1" si="30"/>
        <v/>
      </c>
      <c r="Z484" s="314" t="str" cm="1">
        <f t="array" aca="1" ref="Z484" ca="1">IFERROR(_xlfn.IFS(OR(F484="",LEFT(Methode_Keuze,4)="Geen",Methode_Keuze=""),"",AND(W484&lt;&gt;"",F484&lt;&gt;"Arbeidskosten"),W484*VLOOKUP(F484,Tb_ProjectKosten[],MATCH(Tb_ProjectKosten[[#Headers],[Forfait_Percentage]],Tb_ProjectKosten[#Headers],0),0),AND(F484="Arbeidskosten",G484&lt;&gt;""),IFERROR(W484*VLOOKUP(G484,Tb_KostenTypen[],3,0)*VLOOKUP(F484,Tb_ProjectKosten[],MATCH(Tb_ProjectKosten[[#Headers],[Forfait_Percentage]],Tb_ProjectKosten[#Headers],0),0),""),W484 &lt;=0,0),"")</f>
        <v/>
      </c>
      <c r="AA484" s="314" t="str" cm="1">
        <f t="array" aca="1" ref="AA484" ca="1">IFERROR(_xlfn.IFS(OR(F484="",LEFT(Methode_Keuze,4)="Geen",Methode_Keuze=""),"",AND(X484&lt;&gt;"",F484&lt;&gt;"Arbeidskosten"),X484*VLOOKUP(F484,Tb_ProjectKosten[],MATCH(Tb_ProjectKosten[[#Headers],[Forfait_Percentage]],Tb_ProjectKosten[#Headers],0),0),AND(F484="Arbeidskosten",G484&lt;&gt;""),IFERROR(X484*VLOOKUP(G484,Tb_KostenTypen[],3,0)*VLOOKUP(F484,Tb_ProjectKosten[],MATCH(Tb_ProjectKosten[[#Headers],[Forfait_Percentage]],Tb_ProjectKosten[#Headers],0),0),""),X484 &lt;=0,0),"")</f>
        <v/>
      </c>
      <c r="AB484" s="314" t="str">
        <f t="shared" ca="1" si="31"/>
        <v/>
      </c>
      <c r="AC484" s="322"/>
      <c r="AD484" s="315"/>
      <c r="AE484" s="32" t="str" cm="1">
        <f t="array" ref="AE484">IFERROR(IF(INDEX(SubsidieTabel!$AD$1:$AG$12,MATCH($F484,SubsidieTabel!$AD$1:$AD$12,0),IFERROR(MATCH(Methode_Keuze,SubsidieTabel!$AD$1:$AG$1,0),2))&lt;&gt;1=TRUE,"ja",""),"")</f>
        <v/>
      </c>
    </row>
    <row r="485" spans="1:31" x14ac:dyDescent="0.25">
      <c r="A485" s="316"/>
      <c r="B485" s="317" t="str">
        <f>IF(A485&lt;&gt;"",_xlfn.MAXIFS($B$1:B484,$A$1:A484,A485)+1,"")</f>
        <v/>
      </c>
      <c r="C485" s="296"/>
      <c r="D485" s="296"/>
      <c r="E485" s="296"/>
      <c r="F485" s="296"/>
      <c r="G485" s="326"/>
      <c r="H485" s="324"/>
      <c r="I485" s="325"/>
      <c r="J485" s="325"/>
      <c r="K485" s="318"/>
      <c r="L485" s="318"/>
      <c r="M485" s="319" t="str">
        <f>IFERROR(VLOOKUP(H485,Lijsten!$H$1:$I$100,2,0),"")</f>
        <v/>
      </c>
      <c r="N485" s="319" t="str">
        <f ca="1">IFERROR(IF(VLOOKUP(F485,Kostentypen!$A$3:$E$21,3,0)=0,"",IF(OR(F485="Arbeidskosten",F485="Vergoeding"),VLOOKUP(G485,Tb_KostenTypen[],2,0),VLOOKUP(F485,Kostentypen!$A$3:$E$20,3,0))),"")</f>
        <v/>
      </c>
      <c r="O485" s="320" t="str" cm="1">
        <f t="array" ref="O485">_xlfn.IFNA(IF(INDEX(Tb_KostenOptiesDB[],MATCH($F485,Tb_KostenOptiesDB[KostenOptie],0),IFERROR(MATCH(Methode_Keuze,Tb_KostenOptiesDB[#Headers],0),2))=1,_xlfn.SWITCH($N485,"Uurtarief",IF(OR(AND(RIGHT($F485,3)="IKS",VLOOKUP($M485,DB_Loonkosten,2,0)="Ja"),AND(RIGHT($F485,3)&lt;&gt;"IKS",VLOOKUP($M485,DB_Loonkosten,2,0)="Nee")),IFERROR(VLOOKUP($M485,DB_Loonkosten,24,0),""),0),"Vast tarief",IF(LEFT(F485,8)="Bijdrage",VLOOKUP($F485,Tb_KostenTypen[],MATCH(Lijsten!$P$1,Tb_KostenTypen[#Headers],0),0),VLOOKUP($G485,Lijsten!L:P,MATCH(Lijsten!$P$1,Kop_Tarief_Vast,0),0))),""),"")</f>
        <v/>
      </c>
      <c r="P485" s="320" t="str" cm="1">
        <f t="array" ref="P485">_xlfn.IFNA(IF(INDEX(Tb_KostenOptiesDB[],MATCH($F485,Tb_KostenOptiesDB[KostenOptie],0),IFERROR(MATCH(Methode_Keuze,Tb_KostenOptiesDB[#Headers],0),2))=1,_xlfn.SWITCH($N485,"Uurtarief",IF(OR(AND(RIGHT($F485,3)="IKS",VLOOKUP($M485,DB_Loonkosten,2,0)="Ja"),AND(RIGHT($F485,3)&lt;&gt;"IKS",VLOOKUP($M485,DB_Loonkosten,2,0)="Nee")),IFERROR(VLOOKUP($M485,DB_Loonkosten,25,0),""),0),"Vast tarief",IF(LEFT(F485,8)="Bijdrage",VLOOKUP($F485,Tb_KostenTypen[],MATCH(Lijsten!$P$1,Tb_KostenTypen[#Headers],0),0),VLOOKUP($G485,Lijsten!L:P,MATCH(Lijsten!$P$1,Kop_Tarief_Vast,0),0))),""),"")</f>
        <v/>
      </c>
      <c r="Q485" s="359"/>
      <c r="R485" s="359"/>
      <c r="S485" s="321"/>
      <c r="T485" s="321"/>
      <c r="U485" s="373" t="str">
        <f t="shared" si="28"/>
        <v/>
      </c>
      <c r="V485" s="314" t="str">
        <f t="shared" si="29"/>
        <v/>
      </c>
      <c r="W485" s="314" t="str" cm="1">
        <f t="array" aca="1" ref="W485" ca="1">IFERROR(IF(AE485&lt;&gt;"ja",_xlfn.IFNA(_xlfn.IFS(AND(O485&lt;&gt;"",F485&lt;&gt;"",RIGHT($N485,6)="tarief",F485="Vergoeding"),SUM(O485)*FLOOR(SUM(Q485),0.0001),AND(O485&lt;&gt;"",F485&lt;&gt;"",RIGHT($N485,6)="tarief"),SUM(O485)*FLOOR(SUM(Q485),0.01),S485&gt;0,IF(F485&lt;&gt;"",FLOOR(SUM(S485),0.01),"")),""),""),"")</f>
        <v/>
      </c>
      <c r="X485" s="314" t="str" cm="1">
        <f t="array" aca="1" ref="X485" ca="1">IFERROR(IF(AE485&lt;&gt;"ja",_xlfn.IFNA(_xlfn.IFS(AND(P485&lt;&gt;"",R485&lt;&gt;"",RIGHT($N485,6)="tarief",F485="Vergoeding"),SUM(P485)*FLOOR(SUM(R485),0.0001),AND(P485&lt;&gt;"",R485&lt;&gt;"",RIGHT($N485,6)="tarief"),P485*FLOOR(R485,0.01),T485&gt;0,FLOOR(SUM(T485),0.01)),""),""),"")</f>
        <v/>
      </c>
      <c r="Y485" s="314" t="str">
        <f t="shared" ca="1" si="30"/>
        <v/>
      </c>
      <c r="Z485" s="314" t="str" cm="1">
        <f t="array" aca="1" ref="Z485" ca="1">IFERROR(_xlfn.IFS(OR(F485="",LEFT(Methode_Keuze,4)="Geen",Methode_Keuze=""),"",AND(W485&lt;&gt;"",F485&lt;&gt;"Arbeidskosten"),W485*VLOOKUP(F485,Tb_ProjectKosten[],MATCH(Tb_ProjectKosten[[#Headers],[Forfait_Percentage]],Tb_ProjectKosten[#Headers],0),0),AND(F485="Arbeidskosten",G485&lt;&gt;""),IFERROR(W485*VLOOKUP(G485,Tb_KostenTypen[],3,0)*VLOOKUP(F485,Tb_ProjectKosten[],MATCH(Tb_ProjectKosten[[#Headers],[Forfait_Percentage]],Tb_ProjectKosten[#Headers],0),0),""),W485 &lt;=0,0),"")</f>
        <v/>
      </c>
      <c r="AA485" s="314" t="str" cm="1">
        <f t="array" aca="1" ref="AA485" ca="1">IFERROR(_xlfn.IFS(OR(F485="",LEFT(Methode_Keuze,4)="Geen",Methode_Keuze=""),"",AND(X485&lt;&gt;"",F485&lt;&gt;"Arbeidskosten"),X485*VLOOKUP(F485,Tb_ProjectKosten[],MATCH(Tb_ProjectKosten[[#Headers],[Forfait_Percentage]],Tb_ProjectKosten[#Headers],0),0),AND(F485="Arbeidskosten",G485&lt;&gt;""),IFERROR(X485*VLOOKUP(G485,Tb_KostenTypen[],3,0)*VLOOKUP(F485,Tb_ProjectKosten[],MATCH(Tb_ProjectKosten[[#Headers],[Forfait_Percentage]],Tb_ProjectKosten[#Headers],0),0),""),X485 &lt;=0,0),"")</f>
        <v/>
      </c>
      <c r="AB485" s="314" t="str">
        <f t="shared" ca="1" si="31"/>
        <v/>
      </c>
      <c r="AC485" s="322"/>
      <c r="AD485" s="315"/>
      <c r="AE485" s="32" t="str" cm="1">
        <f t="array" ref="AE485">IFERROR(IF(INDEX(SubsidieTabel!$AD$1:$AG$12,MATCH($F485,SubsidieTabel!$AD$1:$AD$12,0),IFERROR(MATCH(Methode_Keuze,SubsidieTabel!$AD$1:$AG$1,0),2))&lt;&gt;1=TRUE,"ja",""),"")</f>
        <v/>
      </c>
    </row>
    <row r="486" spans="1:31" x14ac:dyDescent="0.25">
      <c r="A486" s="316"/>
      <c r="B486" s="317" t="str">
        <f>IF(A486&lt;&gt;"",_xlfn.MAXIFS($B$1:B485,$A$1:A485,A486)+1,"")</f>
        <v/>
      </c>
      <c r="C486" s="296"/>
      <c r="D486" s="296"/>
      <c r="E486" s="296"/>
      <c r="F486" s="296"/>
      <c r="G486" s="326"/>
      <c r="H486" s="324"/>
      <c r="I486" s="325"/>
      <c r="J486" s="325"/>
      <c r="K486" s="318"/>
      <c r="L486" s="318"/>
      <c r="M486" s="319" t="str">
        <f>IFERROR(VLOOKUP(H486,Lijsten!$H$1:$I$100,2,0),"")</f>
        <v/>
      </c>
      <c r="N486" s="319" t="str">
        <f ca="1">IFERROR(IF(VLOOKUP(F486,Kostentypen!$A$3:$E$21,3,0)=0,"",IF(OR(F486="Arbeidskosten",F486="Vergoeding"),VLOOKUP(G486,Tb_KostenTypen[],2,0),VLOOKUP(F486,Kostentypen!$A$3:$E$20,3,0))),"")</f>
        <v/>
      </c>
      <c r="O486" s="320" t="str" cm="1">
        <f t="array" ref="O486">_xlfn.IFNA(IF(INDEX(Tb_KostenOptiesDB[],MATCH($F486,Tb_KostenOptiesDB[KostenOptie],0),IFERROR(MATCH(Methode_Keuze,Tb_KostenOptiesDB[#Headers],0),2))=1,_xlfn.SWITCH($N486,"Uurtarief",IF(OR(AND(RIGHT($F486,3)="IKS",VLOOKUP($M486,DB_Loonkosten,2,0)="Ja"),AND(RIGHT($F486,3)&lt;&gt;"IKS",VLOOKUP($M486,DB_Loonkosten,2,0)="Nee")),IFERROR(VLOOKUP($M486,DB_Loonkosten,24,0),""),0),"Vast tarief",IF(LEFT(F486,8)="Bijdrage",VLOOKUP($F486,Tb_KostenTypen[],MATCH(Lijsten!$P$1,Tb_KostenTypen[#Headers],0),0),VLOOKUP($G486,Lijsten!L:P,MATCH(Lijsten!$P$1,Kop_Tarief_Vast,0),0))),""),"")</f>
        <v/>
      </c>
      <c r="P486" s="320" t="str" cm="1">
        <f t="array" ref="P486">_xlfn.IFNA(IF(INDEX(Tb_KostenOptiesDB[],MATCH($F486,Tb_KostenOptiesDB[KostenOptie],0),IFERROR(MATCH(Methode_Keuze,Tb_KostenOptiesDB[#Headers],0),2))=1,_xlfn.SWITCH($N486,"Uurtarief",IF(OR(AND(RIGHT($F486,3)="IKS",VLOOKUP($M486,DB_Loonkosten,2,0)="Ja"),AND(RIGHT($F486,3)&lt;&gt;"IKS",VLOOKUP($M486,DB_Loonkosten,2,0)="Nee")),IFERROR(VLOOKUP($M486,DB_Loonkosten,25,0),""),0),"Vast tarief",IF(LEFT(F486,8)="Bijdrage",VLOOKUP($F486,Tb_KostenTypen[],MATCH(Lijsten!$P$1,Tb_KostenTypen[#Headers],0),0),VLOOKUP($G486,Lijsten!L:P,MATCH(Lijsten!$P$1,Kop_Tarief_Vast,0),0))),""),"")</f>
        <v/>
      </c>
      <c r="Q486" s="359"/>
      <c r="R486" s="359"/>
      <c r="S486" s="321"/>
      <c r="T486" s="321"/>
      <c r="U486" s="373" t="str">
        <f t="shared" si="28"/>
        <v/>
      </c>
      <c r="V486" s="314" t="str">
        <f t="shared" si="29"/>
        <v/>
      </c>
      <c r="W486" s="314" t="str" cm="1">
        <f t="array" aca="1" ref="W486" ca="1">IFERROR(IF(AE486&lt;&gt;"ja",_xlfn.IFNA(_xlfn.IFS(AND(O486&lt;&gt;"",F486&lt;&gt;"",RIGHT($N486,6)="tarief",F486="Vergoeding"),SUM(O486)*FLOOR(SUM(Q486),0.0001),AND(O486&lt;&gt;"",F486&lt;&gt;"",RIGHT($N486,6)="tarief"),SUM(O486)*FLOOR(SUM(Q486),0.01),S486&gt;0,IF(F486&lt;&gt;"",FLOOR(SUM(S486),0.01),"")),""),""),"")</f>
        <v/>
      </c>
      <c r="X486" s="314" t="str" cm="1">
        <f t="array" aca="1" ref="X486" ca="1">IFERROR(IF(AE486&lt;&gt;"ja",_xlfn.IFNA(_xlfn.IFS(AND(P486&lt;&gt;"",R486&lt;&gt;"",RIGHT($N486,6)="tarief",F486="Vergoeding"),SUM(P486)*FLOOR(SUM(R486),0.0001),AND(P486&lt;&gt;"",R486&lt;&gt;"",RIGHT($N486,6)="tarief"),P486*FLOOR(R486,0.01),T486&gt;0,FLOOR(SUM(T486),0.01)),""),""),"")</f>
        <v/>
      </c>
      <c r="Y486" s="314" t="str">
        <f t="shared" ca="1" si="30"/>
        <v/>
      </c>
      <c r="Z486" s="314" t="str" cm="1">
        <f t="array" aca="1" ref="Z486" ca="1">IFERROR(_xlfn.IFS(OR(F486="",LEFT(Methode_Keuze,4)="Geen",Methode_Keuze=""),"",AND(W486&lt;&gt;"",F486&lt;&gt;"Arbeidskosten"),W486*VLOOKUP(F486,Tb_ProjectKosten[],MATCH(Tb_ProjectKosten[[#Headers],[Forfait_Percentage]],Tb_ProjectKosten[#Headers],0),0),AND(F486="Arbeidskosten",G486&lt;&gt;""),IFERROR(W486*VLOOKUP(G486,Tb_KostenTypen[],3,0)*VLOOKUP(F486,Tb_ProjectKosten[],MATCH(Tb_ProjectKosten[[#Headers],[Forfait_Percentage]],Tb_ProjectKosten[#Headers],0),0),""),W486 &lt;=0,0),"")</f>
        <v/>
      </c>
      <c r="AA486" s="314" t="str" cm="1">
        <f t="array" aca="1" ref="AA486" ca="1">IFERROR(_xlfn.IFS(OR(F486="",LEFT(Methode_Keuze,4)="Geen",Methode_Keuze=""),"",AND(X486&lt;&gt;"",F486&lt;&gt;"Arbeidskosten"),X486*VLOOKUP(F486,Tb_ProjectKosten[],MATCH(Tb_ProjectKosten[[#Headers],[Forfait_Percentage]],Tb_ProjectKosten[#Headers],0),0),AND(F486="Arbeidskosten",G486&lt;&gt;""),IFERROR(X486*VLOOKUP(G486,Tb_KostenTypen[],3,0)*VLOOKUP(F486,Tb_ProjectKosten[],MATCH(Tb_ProjectKosten[[#Headers],[Forfait_Percentage]],Tb_ProjectKosten[#Headers],0),0),""),X486 &lt;=0,0),"")</f>
        <v/>
      </c>
      <c r="AB486" s="314" t="str">
        <f t="shared" ca="1" si="31"/>
        <v/>
      </c>
      <c r="AC486" s="322"/>
      <c r="AD486" s="315"/>
      <c r="AE486" s="32" t="str" cm="1">
        <f t="array" ref="AE486">IFERROR(IF(INDEX(SubsidieTabel!$AD$1:$AG$12,MATCH($F486,SubsidieTabel!$AD$1:$AD$12,0),IFERROR(MATCH(Methode_Keuze,SubsidieTabel!$AD$1:$AG$1,0),2))&lt;&gt;1=TRUE,"ja",""),"")</f>
        <v/>
      </c>
    </row>
    <row r="487" spans="1:31" x14ac:dyDescent="0.25">
      <c r="A487" s="316"/>
      <c r="B487" s="317" t="str">
        <f>IF(A487&lt;&gt;"",_xlfn.MAXIFS($B$1:B486,$A$1:A486,A487)+1,"")</f>
        <v/>
      </c>
      <c r="C487" s="296"/>
      <c r="D487" s="296"/>
      <c r="E487" s="296"/>
      <c r="F487" s="296"/>
      <c r="G487" s="326"/>
      <c r="H487" s="324"/>
      <c r="I487" s="325"/>
      <c r="J487" s="325"/>
      <c r="K487" s="318"/>
      <c r="L487" s="318"/>
      <c r="M487" s="319" t="str">
        <f>IFERROR(VLOOKUP(H487,Lijsten!$H$1:$I$100,2,0),"")</f>
        <v/>
      </c>
      <c r="N487" s="319" t="str">
        <f ca="1">IFERROR(IF(VLOOKUP(F487,Kostentypen!$A$3:$E$21,3,0)=0,"",IF(OR(F487="Arbeidskosten",F487="Vergoeding"),VLOOKUP(G487,Tb_KostenTypen[],2,0),VLOOKUP(F487,Kostentypen!$A$3:$E$20,3,0))),"")</f>
        <v/>
      </c>
      <c r="O487" s="320" t="str" cm="1">
        <f t="array" ref="O487">_xlfn.IFNA(IF(INDEX(Tb_KostenOptiesDB[],MATCH($F487,Tb_KostenOptiesDB[KostenOptie],0),IFERROR(MATCH(Methode_Keuze,Tb_KostenOptiesDB[#Headers],0),2))=1,_xlfn.SWITCH($N487,"Uurtarief",IF(OR(AND(RIGHT($F487,3)="IKS",VLOOKUP($M487,DB_Loonkosten,2,0)="Ja"),AND(RIGHT($F487,3)&lt;&gt;"IKS",VLOOKUP($M487,DB_Loonkosten,2,0)="Nee")),IFERROR(VLOOKUP($M487,DB_Loonkosten,24,0),""),0),"Vast tarief",IF(LEFT(F487,8)="Bijdrage",VLOOKUP($F487,Tb_KostenTypen[],MATCH(Lijsten!$P$1,Tb_KostenTypen[#Headers],0),0),VLOOKUP($G487,Lijsten!L:P,MATCH(Lijsten!$P$1,Kop_Tarief_Vast,0),0))),""),"")</f>
        <v/>
      </c>
      <c r="P487" s="320" t="str" cm="1">
        <f t="array" ref="P487">_xlfn.IFNA(IF(INDEX(Tb_KostenOptiesDB[],MATCH($F487,Tb_KostenOptiesDB[KostenOptie],0),IFERROR(MATCH(Methode_Keuze,Tb_KostenOptiesDB[#Headers],0),2))=1,_xlfn.SWITCH($N487,"Uurtarief",IF(OR(AND(RIGHT($F487,3)="IKS",VLOOKUP($M487,DB_Loonkosten,2,0)="Ja"),AND(RIGHT($F487,3)&lt;&gt;"IKS",VLOOKUP($M487,DB_Loonkosten,2,0)="Nee")),IFERROR(VLOOKUP($M487,DB_Loonkosten,25,0),""),0),"Vast tarief",IF(LEFT(F487,8)="Bijdrage",VLOOKUP($F487,Tb_KostenTypen[],MATCH(Lijsten!$P$1,Tb_KostenTypen[#Headers],0),0),VLOOKUP($G487,Lijsten!L:P,MATCH(Lijsten!$P$1,Kop_Tarief_Vast,0),0))),""),"")</f>
        <v/>
      </c>
      <c r="Q487" s="359"/>
      <c r="R487" s="359"/>
      <c r="S487" s="321"/>
      <c r="T487" s="321"/>
      <c r="U487" s="373" t="str">
        <f t="shared" si="28"/>
        <v/>
      </c>
      <c r="V487" s="314" t="str">
        <f t="shared" si="29"/>
        <v/>
      </c>
      <c r="W487" s="314" t="str" cm="1">
        <f t="array" aca="1" ref="W487" ca="1">IFERROR(IF(AE487&lt;&gt;"ja",_xlfn.IFNA(_xlfn.IFS(AND(O487&lt;&gt;"",F487&lt;&gt;"",RIGHT($N487,6)="tarief",F487="Vergoeding"),SUM(O487)*FLOOR(SUM(Q487),0.0001),AND(O487&lt;&gt;"",F487&lt;&gt;"",RIGHT($N487,6)="tarief"),SUM(O487)*FLOOR(SUM(Q487),0.01),S487&gt;0,IF(F487&lt;&gt;"",FLOOR(SUM(S487),0.01),"")),""),""),"")</f>
        <v/>
      </c>
      <c r="X487" s="314" t="str" cm="1">
        <f t="array" aca="1" ref="X487" ca="1">IFERROR(IF(AE487&lt;&gt;"ja",_xlfn.IFNA(_xlfn.IFS(AND(P487&lt;&gt;"",R487&lt;&gt;"",RIGHT($N487,6)="tarief",F487="Vergoeding"),SUM(P487)*FLOOR(SUM(R487),0.0001),AND(P487&lt;&gt;"",R487&lt;&gt;"",RIGHT($N487,6)="tarief"),P487*FLOOR(R487,0.01),T487&gt;0,FLOOR(SUM(T487),0.01)),""),""),"")</f>
        <v/>
      </c>
      <c r="Y487" s="314" t="str">
        <f t="shared" ca="1" si="30"/>
        <v/>
      </c>
      <c r="Z487" s="314" t="str" cm="1">
        <f t="array" aca="1" ref="Z487" ca="1">IFERROR(_xlfn.IFS(OR(F487="",LEFT(Methode_Keuze,4)="Geen",Methode_Keuze=""),"",AND(W487&lt;&gt;"",F487&lt;&gt;"Arbeidskosten"),W487*VLOOKUP(F487,Tb_ProjectKosten[],MATCH(Tb_ProjectKosten[[#Headers],[Forfait_Percentage]],Tb_ProjectKosten[#Headers],0),0),AND(F487="Arbeidskosten",G487&lt;&gt;""),IFERROR(W487*VLOOKUP(G487,Tb_KostenTypen[],3,0)*VLOOKUP(F487,Tb_ProjectKosten[],MATCH(Tb_ProjectKosten[[#Headers],[Forfait_Percentage]],Tb_ProjectKosten[#Headers],0),0),""),W487 &lt;=0,0),"")</f>
        <v/>
      </c>
      <c r="AA487" s="314" t="str" cm="1">
        <f t="array" aca="1" ref="AA487" ca="1">IFERROR(_xlfn.IFS(OR(F487="",LEFT(Methode_Keuze,4)="Geen",Methode_Keuze=""),"",AND(X487&lt;&gt;"",F487&lt;&gt;"Arbeidskosten"),X487*VLOOKUP(F487,Tb_ProjectKosten[],MATCH(Tb_ProjectKosten[[#Headers],[Forfait_Percentage]],Tb_ProjectKosten[#Headers],0),0),AND(F487="Arbeidskosten",G487&lt;&gt;""),IFERROR(X487*VLOOKUP(G487,Tb_KostenTypen[],3,0)*VLOOKUP(F487,Tb_ProjectKosten[],MATCH(Tb_ProjectKosten[[#Headers],[Forfait_Percentage]],Tb_ProjectKosten[#Headers],0),0),""),X487 &lt;=0,0),"")</f>
        <v/>
      </c>
      <c r="AB487" s="314" t="str">
        <f t="shared" ca="1" si="31"/>
        <v/>
      </c>
      <c r="AC487" s="322"/>
      <c r="AD487" s="315"/>
      <c r="AE487" s="32" t="str" cm="1">
        <f t="array" ref="AE487">IFERROR(IF(INDEX(SubsidieTabel!$AD$1:$AG$12,MATCH($F487,SubsidieTabel!$AD$1:$AD$12,0),IFERROR(MATCH(Methode_Keuze,SubsidieTabel!$AD$1:$AG$1,0),2))&lt;&gt;1=TRUE,"ja",""),"")</f>
        <v/>
      </c>
    </row>
    <row r="488" spans="1:31" x14ac:dyDescent="0.25">
      <c r="A488" s="316"/>
      <c r="B488" s="317" t="str">
        <f>IF(A488&lt;&gt;"",_xlfn.MAXIFS($B$1:B487,$A$1:A487,A488)+1,"")</f>
        <v/>
      </c>
      <c r="C488" s="296"/>
      <c r="D488" s="296"/>
      <c r="E488" s="296"/>
      <c r="F488" s="296"/>
      <c r="G488" s="326"/>
      <c r="H488" s="324"/>
      <c r="I488" s="325"/>
      <c r="J488" s="325"/>
      <c r="K488" s="318"/>
      <c r="L488" s="318"/>
      <c r="M488" s="319" t="str">
        <f>IFERROR(VLOOKUP(H488,Lijsten!$H$1:$I$100,2,0),"")</f>
        <v/>
      </c>
      <c r="N488" s="319" t="str">
        <f ca="1">IFERROR(IF(VLOOKUP(F488,Kostentypen!$A$3:$E$21,3,0)=0,"",IF(OR(F488="Arbeidskosten",F488="Vergoeding"),VLOOKUP(G488,Tb_KostenTypen[],2,0),VLOOKUP(F488,Kostentypen!$A$3:$E$20,3,0))),"")</f>
        <v/>
      </c>
      <c r="O488" s="320" t="str" cm="1">
        <f t="array" ref="O488">_xlfn.IFNA(IF(INDEX(Tb_KostenOptiesDB[],MATCH($F488,Tb_KostenOptiesDB[KostenOptie],0),IFERROR(MATCH(Methode_Keuze,Tb_KostenOptiesDB[#Headers],0),2))=1,_xlfn.SWITCH($N488,"Uurtarief",IF(OR(AND(RIGHT($F488,3)="IKS",VLOOKUP($M488,DB_Loonkosten,2,0)="Ja"),AND(RIGHT($F488,3)&lt;&gt;"IKS",VLOOKUP($M488,DB_Loonkosten,2,0)="Nee")),IFERROR(VLOOKUP($M488,DB_Loonkosten,24,0),""),0),"Vast tarief",IF(LEFT(F488,8)="Bijdrage",VLOOKUP($F488,Tb_KostenTypen[],MATCH(Lijsten!$P$1,Tb_KostenTypen[#Headers],0),0),VLOOKUP($G488,Lijsten!L:P,MATCH(Lijsten!$P$1,Kop_Tarief_Vast,0),0))),""),"")</f>
        <v/>
      </c>
      <c r="P488" s="320" t="str" cm="1">
        <f t="array" ref="P488">_xlfn.IFNA(IF(INDEX(Tb_KostenOptiesDB[],MATCH($F488,Tb_KostenOptiesDB[KostenOptie],0),IFERROR(MATCH(Methode_Keuze,Tb_KostenOptiesDB[#Headers],0),2))=1,_xlfn.SWITCH($N488,"Uurtarief",IF(OR(AND(RIGHT($F488,3)="IKS",VLOOKUP($M488,DB_Loonkosten,2,0)="Ja"),AND(RIGHT($F488,3)&lt;&gt;"IKS",VLOOKUP($M488,DB_Loonkosten,2,0)="Nee")),IFERROR(VLOOKUP($M488,DB_Loonkosten,25,0),""),0),"Vast tarief",IF(LEFT(F488,8)="Bijdrage",VLOOKUP($F488,Tb_KostenTypen[],MATCH(Lijsten!$P$1,Tb_KostenTypen[#Headers],0),0),VLOOKUP($G488,Lijsten!L:P,MATCH(Lijsten!$P$1,Kop_Tarief_Vast,0),0))),""),"")</f>
        <v/>
      </c>
      <c r="Q488" s="359"/>
      <c r="R488" s="359"/>
      <c r="S488" s="321"/>
      <c r="T488" s="321"/>
      <c r="U488" s="373" t="str">
        <f t="shared" si="28"/>
        <v/>
      </c>
      <c r="V488" s="314" t="str">
        <f t="shared" si="29"/>
        <v/>
      </c>
      <c r="W488" s="314" t="str" cm="1">
        <f t="array" aca="1" ref="W488" ca="1">IFERROR(IF(AE488&lt;&gt;"ja",_xlfn.IFNA(_xlfn.IFS(AND(O488&lt;&gt;"",F488&lt;&gt;"",RIGHT($N488,6)="tarief",F488="Vergoeding"),SUM(O488)*FLOOR(SUM(Q488),0.0001),AND(O488&lt;&gt;"",F488&lt;&gt;"",RIGHT($N488,6)="tarief"),SUM(O488)*FLOOR(SUM(Q488),0.01),S488&gt;0,IF(F488&lt;&gt;"",FLOOR(SUM(S488),0.01),"")),""),""),"")</f>
        <v/>
      </c>
      <c r="X488" s="314" t="str" cm="1">
        <f t="array" aca="1" ref="X488" ca="1">IFERROR(IF(AE488&lt;&gt;"ja",_xlfn.IFNA(_xlfn.IFS(AND(P488&lt;&gt;"",R488&lt;&gt;"",RIGHT($N488,6)="tarief",F488="Vergoeding"),SUM(P488)*FLOOR(SUM(R488),0.0001),AND(P488&lt;&gt;"",R488&lt;&gt;"",RIGHT($N488,6)="tarief"),P488*FLOOR(R488,0.01),T488&gt;0,FLOOR(SUM(T488),0.01)),""),""),"")</f>
        <v/>
      </c>
      <c r="Y488" s="314" t="str">
        <f t="shared" ca="1" si="30"/>
        <v/>
      </c>
      <c r="Z488" s="314" t="str" cm="1">
        <f t="array" aca="1" ref="Z488" ca="1">IFERROR(_xlfn.IFS(OR(F488="",LEFT(Methode_Keuze,4)="Geen",Methode_Keuze=""),"",AND(W488&lt;&gt;"",F488&lt;&gt;"Arbeidskosten"),W488*VLOOKUP(F488,Tb_ProjectKosten[],MATCH(Tb_ProjectKosten[[#Headers],[Forfait_Percentage]],Tb_ProjectKosten[#Headers],0),0),AND(F488="Arbeidskosten",G488&lt;&gt;""),IFERROR(W488*VLOOKUP(G488,Tb_KostenTypen[],3,0)*VLOOKUP(F488,Tb_ProjectKosten[],MATCH(Tb_ProjectKosten[[#Headers],[Forfait_Percentage]],Tb_ProjectKosten[#Headers],0),0),""),W488 &lt;=0,0),"")</f>
        <v/>
      </c>
      <c r="AA488" s="314" t="str" cm="1">
        <f t="array" aca="1" ref="AA488" ca="1">IFERROR(_xlfn.IFS(OR(F488="",LEFT(Methode_Keuze,4)="Geen",Methode_Keuze=""),"",AND(X488&lt;&gt;"",F488&lt;&gt;"Arbeidskosten"),X488*VLOOKUP(F488,Tb_ProjectKosten[],MATCH(Tb_ProjectKosten[[#Headers],[Forfait_Percentage]],Tb_ProjectKosten[#Headers],0),0),AND(F488="Arbeidskosten",G488&lt;&gt;""),IFERROR(X488*VLOOKUP(G488,Tb_KostenTypen[],3,0)*VLOOKUP(F488,Tb_ProjectKosten[],MATCH(Tb_ProjectKosten[[#Headers],[Forfait_Percentage]],Tb_ProjectKosten[#Headers],0),0),""),X488 &lt;=0,0),"")</f>
        <v/>
      </c>
      <c r="AB488" s="314" t="str">
        <f t="shared" ca="1" si="31"/>
        <v/>
      </c>
      <c r="AC488" s="322"/>
      <c r="AD488" s="315"/>
      <c r="AE488" s="32" t="str" cm="1">
        <f t="array" ref="AE488">IFERROR(IF(INDEX(SubsidieTabel!$AD$1:$AG$12,MATCH($F488,SubsidieTabel!$AD$1:$AD$12,0),IFERROR(MATCH(Methode_Keuze,SubsidieTabel!$AD$1:$AG$1,0),2))&lt;&gt;1=TRUE,"ja",""),"")</f>
        <v/>
      </c>
    </row>
    <row r="489" spans="1:31" x14ac:dyDescent="0.25">
      <c r="A489" s="316"/>
      <c r="B489" s="317" t="str">
        <f>IF(A489&lt;&gt;"",_xlfn.MAXIFS($B$1:B488,$A$1:A488,A489)+1,"")</f>
        <v/>
      </c>
      <c r="C489" s="296"/>
      <c r="D489" s="296"/>
      <c r="E489" s="296"/>
      <c r="F489" s="296"/>
      <c r="G489" s="326"/>
      <c r="H489" s="324"/>
      <c r="I489" s="325"/>
      <c r="J489" s="325"/>
      <c r="K489" s="318"/>
      <c r="L489" s="318"/>
      <c r="M489" s="319" t="str">
        <f>IFERROR(VLOOKUP(H489,Lijsten!$H$1:$I$100,2,0),"")</f>
        <v/>
      </c>
      <c r="N489" s="319" t="str">
        <f ca="1">IFERROR(IF(VLOOKUP(F489,Kostentypen!$A$3:$E$21,3,0)=0,"",IF(OR(F489="Arbeidskosten",F489="Vergoeding"),VLOOKUP(G489,Tb_KostenTypen[],2,0),VLOOKUP(F489,Kostentypen!$A$3:$E$20,3,0))),"")</f>
        <v/>
      </c>
      <c r="O489" s="320" t="str" cm="1">
        <f t="array" ref="O489">_xlfn.IFNA(IF(INDEX(Tb_KostenOptiesDB[],MATCH($F489,Tb_KostenOptiesDB[KostenOptie],0),IFERROR(MATCH(Methode_Keuze,Tb_KostenOptiesDB[#Headers],0),2))=1,_xlfn.SWITCH($N489,"Uurtarief",IF(OR(AND(RIGHT($F489,3)="IKS",VLOOKUP($M489,DB_Loonkosten,2,0)="Ja"),AND(RIGHT($F489,3)&lt;&gt;"IKS",VLOOKUP($M489,DB_Loonkosten,2,0)="Nee")),IFERROR(VLOOKUP($M489,DB_Loonkosten,24,0),""),0),"Vast tarief",IF(LEFT(F489,8)="Bijdrage",VLOOKUP($F489,Tb_KostenTypen[],MATCH(Lijsten!$P$1,Tb_KostenTypen[#Headers],0),0),VLOOKUP($G489,Lijsten!L:P,MATCH(Lijsten!$P$1,Kop_Tarief_Vast,0),0))),""),"")</f>
        <v/>
      </c>
      <c r="P489" s="320" t="str" cm="1">
        <f t="array" ref="P489">_xlfn.IFNA(IF(INDEX(Tb_KostenOptiesDB[],MATCH($F489,Tb_KostenOptiesDB[KostenOptie],0),IFERROR(MATCH(Methode_Keuze,Tb_KostenOptiesDB[#Headers],0),2))=1,_xlfn.SWITCH($N489,"Uurtarief",IF(OR(AND(RIGHT($F489,3)="IKS",VLOOKUP($M489,DB_Loonkosten,2,0)="Ja"),AND(RIGHT($F489,3)&lt;&gt;"IKS",VLOOKUP($M489,DB_Loonkosten,2,0)="Nee")),IFERROR(VLOOKUP($M489,DB_Loonkosten,25,0),""),0),"Vast tarief",IF(LEFT(F489,8)="Bijdrage",VLOOKUP($F489,Tb_KostenTypen[],MATCH(Lijsten!$P$1,Tb_KostenTypen[#Headers],0),0),VLOOKUP($G489,Lijsten!L:P,MATCH(Lijsten!$P$1,Kop_Tarief_Vast,0),0))),""),"")</f>
        <v/>
      </c>
      <c r="Q489" s="359"/>
      <c r="R489" s="359"/>
      <c r="S489" s="321"/>
      <c r="T489" s="321"/>
      <c r="U489" s="373" t="str">
        <f t="shared" si="28"/>
        <v/>
      </c>
      <c r="V489" s="314" t="str">
        <f t="shared" si="29"/>
        <v/>
      </c>
      <c r="W489" s="314" t="str" cm="1">
        <f t="array" aca="1" ref="W489" ca="1">IFERROR(IF(AE489&lt;&gt;"ja",_xlfn.IFNA(_xlfn.IFS(AND(O489&lt;&gt;"",F489&lt;&gt;"",RIGHT($N489,6)="tarief",F489="Vergoeding"),SUM(O489)*FLOOR(SUM(Q489),0.0001),AND(O489&lt;&gt;"",F489&lt;&gt;"",RIGHT($N489,6)="tarief"),SUM(O489)*FLOOR(SUM(Q489),0.01),S489&gt;0,IF(F489&lt;&gt;"",FLOOR(SUM(S489),0.01),"")),""),""),"")</f>
        <v/>
      </c>
      <c r="X489" s="314" t="str" cm="1">
        <f t="array" aca="1" ref="X489" ca="1">IFERROR(IF(AE489&lt;&gt;"ja",_xlfn.IFNA(_xlfn.IFS(AND(P489&lt;&gt;"",R489&lt;&gt;"",RIGHT($N489,6)="tarief",F489="Vergoeding"),SUM(P489)*FLOOR(SUM(R489),0.0001),AND(P489&lt;&gt;"",R489&lt;&gt;"",RIGHT($N489,6)="tarief"),P489*FLOOR(R489,0.01),T489&gt;0,FLOOR(SUM(T489),0.01)),""),""),"")</f>
        <v/>
      </c>
      <c r="Y489" s="314" t="str">
        <f t="shared" ca="1" si="30"/>
        <v/>
      </c>
      <c r="Z489" s="314" t="str" cm="1">
        <f t="array" aca="1" ref="Z489" ca="1">IFERROR(_xlfn.IFS(OR(F489="",LEFT(Methode_Keuze,4)="Geen",Methode_Keuze=""),"",AND(W489&lt;&gt;"",F489&lt;&gt;"Arbeidskosten"),W489*VLOOKUP(F489,Tb_ProjectKosten[],MATCH(Tb_ProjectKosten[[#Headers],[Forfait_Percentage]],Tb_ProjectKosten[#Headers],0),0),AND(F489="Arbeidskosten",G489&lt;&gt;""),IFERROR(W489*VLOOKUP(G489,Tb_KostenTypen[],3,0)*VLOOKUP(F489,Tb_ProjectKosten[],MATCH(Tb_ProjectKosten[[#Headers],[Forfait_Percentage]],Tb_ProjectKosten[#Headers],0),0),""),W489 &lt;=0,0),"")</f>
        <v/>
      </c>
      <c r="AA489" s="314" t="str" cm="1">
        <f t="array" aca="1" ref="AA489" ca="1">IFERROR(_xlfn.IFS(OR(F489="",LEFT(Methode_Keuze,4)="Geen",Methode_Keuze=""),"",AND(X489&lt;&gt;"",F489&lt;&gt;"Arbeidskosten"),X489*VLOOKUP(F489,Tb_ProjectKosten[],MATCH(Tb_ProjectKosten[[#Headers],[Forfait_Percentage]],Tb_ProjectKosten[#Headers],0),0),AND(F489="Arbeidskosten",G489&lt;&gt;""),IFERROR(X489*VLOOKUP(G489,Tb_KostenTypen[],3,0)*VLOOKUP(F489,Tb_ProjectKosten[],MATCH(Tb_ProjectKosten[[#Headers],[Forfait_Percentage]],Tb_ProjectKosten[#Headers],0),0),""),X489 &lt;=0,0),"")</f>
        <v/>
      </c>
      <c r="AB489" s="314" t="str">
        <f t="shared" ca="1" si="31"/>
        <v/>
      </c>
      <c r="AC489" s="322"/>
      <c r="AD489" s="315"/>
      <c r="AE489" s="32" t="str" cm="1">
        <f t="array" ref="AE489">IFERROR(IF(INDEX(SubsidieTabel!$AD$1:$AG$12,MATCH($F489,SubsidieTabel!$AD$1:$AD$12,0),IFERROR(MATCH(Methode_Keuze,SubsidieTabel!$AD$1:$AG$1,0),2))&lt;&gt;1=TRUE,"ja",""),"")</f>
        <v/>
      </c>
    </row>
    <row r="490" spans="1:31" x14ac:dyDescent="0.25">
      <c r="A490" s="316"/>
      <c r="B490" s="317" t="str">
        <f>IF(A490&lt;&gt;"",_xlfn.MAXIFS($B$1:B489,$A$1:A489,A490)+1,"")</f>
        <v/>
      </c>
      <c r="C490" s="296"/>
      <c r="D490" s="296"/>
      <c r="E490" s="296"/>
      <c r="F490" s="296"/>
      <c r="G490" s="326"/>
      <c r="H490" s="324"/>
      <c r="I490" s="325"/>
      <c r="J490" s="325"/>
      <c r="K490" s="318"/>
      <c r="L490" s="318"/>
      <c r="M490" s="319" t="str">
        <f>IFERROR(VLOOKUP(H490,Lijsten!$H$1:$I$100,2,0),"")</f>
        <v/>
      </c>
      <c r="N490" s="319" t="str">
        <f ca="1">IFERROR(IF(VLOOKUP(F490,Kostentypen!$A$3:$E$21,3,0)=0,"",IF(OR(F490="Arbeidskosten",F490="Vergoeding"),VLOOKUP(G490,Tb_KostenTypen[],2,0),VLOOKUP(F490,Kostentypen!$A$3:$E$20,3,0))),"")</f>
        <v/>
      </c>
      <c r="O490" s="320" t="str" cm="1">
        <f t="array" ref="O490">_xlfn.IFNA(IF(INDEX(Tb_KostenOptiesDB[],MATCH($F490,Tb_KostenOptiesDB[KostenOptie],0),IFERROR(MATCH(Methode_Keuze,Tb_KostenOptiesDB[#Headers],0),2))=1,_xlfn.SWITCH($N490,"Uurtarief",IF(OR(AND(RIGHT($F490,3)="IKS",VLOOKUP($M490,DB_Loonkosten,2,0)="Ja"),AND(RIGHT($F490,3)&lt;&gt;"IKS",VLOOKUP($M490,DB_Loonkosten,2,0)="Nee")),IFERROR(VLOOKUP($M490,DB_Loonkosten,24,0),""),0),"Vast tarief",IF(LEFT(F490,8)="Bijdrage",VLOOKUP($F490,Tb_KostenTypen[],MATCH(Lijsten!$P$1,Tb_KostenTypen[#Headers],0),0),VLOOKUP($G490,Lijsten!L:P,MATCH(Lijsten!$P$1,Kop_Tarief_Vast,0),0))),""),"")</f>
        <v/>
      </c>
      <c r="P490" s="320" t="str" cm="1">
        <f t="array" ref="P490">_xlfn.IFNA(IF(INDEX(Tb_KostenOptiesDB[],MATCH($F490,Tb_KostenOptiesDB[KostenOptie],0),IFERROR(MATCH(Methode_Keuze,Tb_KostenOptiesDB[#Headers],0),2))=1,_xlfn.SWITCH($N490,"Uurtarief",IF(OR(AND(RIGHT($F490,3)="IKS",VLOOKUP($M490,DB_Loonkosten,2,0)="Ja"),AND(RIGHT($F490,3)&lt;&gt;"IKS",VLOOKUP($M490,DB_Loonkosten,2,0)="Nee")),IFERROR(VLOOKUP($M490,DB_Loonkosten,25,0),""),0),"Vast tarief",IF(LEFT(F490,8)="Bijdrage",VLOOKUP($F490,Tb_KostenTypen[],MATCH(Lijsten!$P$1,Tb_KostenTypen[#Headers],0),0),VLOOKUP($G490,Lijsten!L:P,MATCH(Lijsten!$P$1,Kop_Tarief_Vast,0),0))),""),"")</f>
        <v/>
      </c>
      <c r="Q490" s="359"/>
      <c r="R490" s="359"/>
      <c r="S490" s="321"/>
      <c r="T490" s="321"/>
      <c r="U490" s="373" t="str">
        <f t="shared" si="28"/>
        <v/>
      </c>
      <c r="V490" s="314" t="str">
        <f t="shared" si="29"/>
        <v/>
      </c>
      <c r="W490" s="314" t="str" cm="1">
        <f t="array" aca="1" ref="W490" ca="1">IFERROR(IF(AE490&lt;&gt;"ja",_xlfn.IFNA(_xlfn.IFS(AND(O490&lt;&gt;"",F490&lt;&gt;"",RIGHT($N490,6)="tarief",F490="Vergoeding"),SUM(O490)*FLOOR(SUM(Q490),0.0001),AND(O490&lt;&gt;"",F490&lt;&gt;"",RIGHT($N490,6)="tarief"),SUM(O490)*FLOOR(SUM(Q490),0.01),S490&gt;0,IF(F490&lt;&gt;"",FLOOR(SUM(S490),0.01),"")),""),""),"")</f>
        <v/>
      </c>
      <c r="X490" s="314" t="str" cm="1">
        <f t="array" aca="1" ref="X490" ca="1">IFERROR(IF(AE490&lt;&gt;"ja",_xlfn.IFNA(_xlfn.IFS(AND(P490&lt;&gt;"",R490&lt;&gt;"",RIGHT($N490,6)="tarief",F490="Vergoeding"),SUM(P490)*FLOOR(SUM(R490),0.0001),AND(P490&lt;&gt;"",R490&lt;&gt;"",RIGHT($N490,6)="tarief"),P490*FLOOR(R490,0.01),T490&gt;0,FLOOR(SUM(T490),0.01)),""),""),"")</f>
        <v/>
      </c>
      <c r="Y490" s="314" t="str">
        <f t="shared" ca="1" si="30"/>
        <v/>
      </c>
      <c r="Z490" s="314" t="str" cm="1">
        <f t="array" aca="1" ref="Z490" ca="1">IFERROR(_xlfn.IFS(OR(F490="",LEFT(Methode_Keuze,4)="Geen",Methode_Keuze=""),"",AND(W490&lt;&gt;"",F490&lt;&gt;"Arbeidskosten"),W490*VLOOKUP(F490,Tb_ProjectKosten[],MATCH(Tb_ProjectKosten[[#Headers],[Forfait_Percentage]],Tb_ProjectKosten[#Headers],0),0),AND(F490="Arbeidskosten",G490&lt;&gt;""),IFERROR(W490*VLOOKUP(G490,Tb_KostenTypen[],3,0)*VLOOKUP(F490,Tb_ProjectKosten[],MATCH(Tb_ProjectKosten[[#Headers],[Forfait_Percentage]],Tb_ProjectKosten[#Headers],0),0),""),W490 &lt;=0,0),"")</f>
        <v/>
      </c>
      <c r="AA490" s="314" t="str" cm="1">
        <f t="array" aca="1" ref="AA490" ca="1">IFERROR(_xlfn.IFS(OR(F490="",LEFT(Methode_Keuze,4)="Geen",Methode_Keuze=""),"",AND(X490&lt;&gt;"",F490&lt;&gt;"Arbeidskosten"),X490*VLOOKUP(F490,Tb_ProjectKosten[],MATCH(Tb_ProjectKosten[[#Headers],[Forfait_Percentage]],Tb_ProjectKosten[#Headers],0),0),AND(F490="Arbeidskosten",G490&lt;&gt;""),IFERROR(X490*VLOOKUP(G490,Tb_KostenTypen[],3,0)*VLOOKUP(F490,Tb_ProjectKosten[],MATCH(Tb_ProjectKosten[[#Headers],[Forfait_Percentage]],Tb_ProjectKosten[#Headers],0),0),""),X490 &lt;=0,0),"")</f>
        <v/>
      </c>
      <c r="AB490" s="314" t="str">
        <f t="shared" ca="1" si="31"/>
        <v/>
      </c>
      <c r="AC490" s="322"/>
      <c r="AD490" s="315"/>
      <c r="AE490" s="32" t="str" cm="1">
        <f t="array" ref="AE490">IFERROR(IF(INDEX(SubsidieTabel!$AD$1:$AG$12,MATCH($F490,SubsidieTabel!$AD$1:$AD$12,0),IFERROR(MATCH(Methode_Keuze,SubsidieTabel!$AD$1:$AG$1,0),2))&lt;&gt;1=TRUE,"ja",""),"")</f>
        <v/>
      </c>
    </row>
    <row r="491" spans="1:31" x14ac:dyDescent="0.25">
      <c r="A491" s="316"/>
      <c r="B491" s="317" t="str">
        <f>IF(A491&lt;&gt;"",_xlfn.MAXIFS($B$1:B490,$A$1:A490,A491)+1,"")</f>
        <v/>
      </c>
      <c r="C491" s="296"/>
      <c r="D491" s="296"/>
      <c r="E491" s="296"/>
      <c r="F491" s="296"/>
      <c r="G491" s="326"/>
      <c r="H491" s="324"/>
      <c r="I491" s="325"/>
      <c r="J491" s="325"/>
      <c r="K491" s="318"/>
      <c r="L491" s="318"/>
      <c r="M491" s="319" t="str">
        <f>IFERROR(VLOOKUP(H491,Lijsten!$H$1:$I$100,2,0),"")</f>
        <v/>
      </c>
      <c r="N491" s="319" t="str">
        <f ca="1">IFERROR(IF(VLOOKUP(F491,Kostentypen!$A$3:$E$21,3,0)=0,"",IF(OR(F491="Arbeidskosten",F491="Vergoeding"),VLOOKUP(G491,Tb_KostenTypen[],2,0),VLOOKUP(F491,Kostentypen!$A$3:$E$20,3,0))),"")</f>
        <v/>
      </c>
      <c r="O491" s="320" t="str" cm="1">
        <f t="array" ref="O491">_xlfn.IFNA(IF(INDEX(Tb_KostenOptiesDB[],MATCH($F491,Tb_KostenOptiesDB[KostenOptie],0),IFERROR(MATCH(Methode_Keuze,Tb_KostenOptiesDB[#Headers],0),2))=1,_xlfn.SWITCH($N491,"Uurtarief",IF(OR(AND(RIGHT($F491,3)="IKS",VLOOKUP($M491,DB_Loonkosten,2,0)="Ja"),AND(RIGHT($F491,3)&lt;&gt;"IKS",VLOOKUP($M491,DB_Loonkosten,2,0)="Nee")),IFERROR(VLOOKUP($M491,DB_Loonkosten,24,0),""),0),"Vast tarief",IF(LEFT(F491,8)="Bijdrage",VLOOKUP($F491,Tb_KostenTypen[],MATCH(Lijsten!$P$1,Tb_KostenTypen[#Headers],0),0),VLOOKUP($G491,Lijsten!L:P,MATCH(Lijsten!$P$1,Kop_Tarief_Vast,0),0))),""),"")</f>
        <v/>
      </c>
      <c r="P491" s="320" t="str" cm="1">
        <f t="array" ref="P491">_xlfn.IFNA(IF(INDEX(Tb_KostenOptiesDB[],MATCH($F491,Tb_KostenOptiesDB[KostenOptie],0),IFERROR(MATCH(Methode_Keuze,Tb_KostenOptiesDB[#Headers],0),2))=1,_xlfn.SWITCH($N491,"Uurtarief",IF(OR(AND(RIGHT($F491,3)="IKS",VLOOKUP($M491,DB_Loonkosten,2,0)="Ja"),AND(RIGHT($F491,3)&lt;&gt;"IKS",VLOOKUP($M491,DB_Loonkosten,2,0)="Nee")),IFERROR(VLOOKUP($M491,DB_Loonkosten,25,0),""),0),"Vast tarief",IF(LEFT(F491,8)="Bijdrage",VLOOKUP($F491,Tb_KostenTypen[],MATCH(Lijsten!$P$1,Tb_KostenTypen[#Headers],0),0),VLOOKUP($G491,Lijsten!L:P,MATCH(Lijsten!$P$1,Kop_Tarief_Vast,0),0))),""),"")</f>
        <v/>
      </c>
      <c r="Q491" s="359"/>
      <c r="R491" s="359"/>
      <c r="S491" s="321"/>
      <c r="T491" s="321"/>
      <c r="U491" s="373" t="str">
        <f t="shared" si="28"/>
        <v/>
      </c>
      <c r="V491" s="314" t="str">
        <f t="shared" si="29"/>
        <v/>
      </c>
      <c r="W491" s="314" t="str" cm="1">
        <f t="array" aca="1" ref="W491" ca="1">IFERROR(IF(AE491&lt;&gt;"ja",_xlfn.IFNA(_xlfn.IFS(AND(O491&lt;&gt;"",F491&lt;&gt;"",RIGHT($N491,6)="tarief",F491="Vergoeding"),SUM(O491)*FLOOR(SUM(Q491),0.0001),AND(O491&lt;&gt;"",F491&lt;&gt;"",RIGHT($N491,6)="tarief"),SUM(O491)*FLOOR(SUM(Q491),0.01),S491&gt;0,IF(F491&lt;&gt;"",FLOOR(SUM(S491),0.01),"")),""),""),"")</f>
        <v/>
      </c>
      <c r="X491" s="314" t="str" cm="1">
        <f t="array" aca="1" ref="X491" ca="1">IFERROR(IF(AE491&lt;&gt;"ja",_xlfn.IFNA(_xlfn.IFS(AND(P491&lt;&gt;"",R491&lt;&gt;"",RIGHT($N491,6)="tarief",F491="Vergoeding"),SUM(P491)*FLOOR(SUM(R491),0.0001),AND(P491&lt;&gt;"",R491&lt;&gt;"",RIGHT($N491,6)="tarief"),P491*FLOOR(R491,0.01),T491&gt;0,FLOOR(SUM(T491),0.01)),""),""),"")</f>
        <v/>
      </c>
      <c r="Y491" s="314" t="str">
        <f t="shared" ca="1" si="30"/>
        <v/>
      </c>
      <c r="Z491" s="314" t="str" cm="1">
        <f t="array" aca="1" ref="Z491" ca="1">IFERROR(_xlfn.IFS(OR(F491="",LEFT(Methode_Keuze,4)="Geen",Methode_Keuze=""),"",AND(W491&lt;&gt;"",F491&lt;&gt;"Arbeidskosten"),W491*VLOOKUP(F491,Tb_ProjectKosten[],MATCH(Tb_ProjectKosten[[#Headers],[Forfait_Percentage]],Tb_ProjectKosten[#Headers],0),0),AND(F491="Arbeidskosten",G491&lt;&gt;""),IFERROR(W491*VLOOKUP(G491,Tb_KostenTypen[],3,0)*VLOOKUP(F491,Tb_ProjectKosten[],MATCH(Tb_ProjectKosten[[#Headers],[Forfait_Percentage]],Tb_ProjectKosten[#Headers],0),0),""),W491 &lt;=0,0),"")</f>
        <v/>
      </c>
      <c r="AA491" s="314" t="str" cm="1">
        <f t="array" aca="1" ref="AA491" ca="1">IFERROR(_xlfn.IFS(OR(F491="",LEFT(Methode_Keuze,4)="Geen",Methode_Keuze=""),"",AND(X491&lt;&gt;"",F491&lt;&gt;"Arbeidskosten"),X491*VLOOKUP(F491,Tb_ProjectKosten[],MATCH(Tb_ProjectKosten[[#Headers],[Forfait_Percentage]],Tb_ProjectKosten[#Headers],0),0),AND(F491="Arbeidskosten",G491&lt;&gt;""),IFERROR(X491*VLOOKUP(G491,Tb_KostenTypen[],3,0)*VLOOKUP(F491,Tb_ProjectKosten[],MATCH(Tb_ProjectKosten[[#Headers],[Forfait_Percentage]],Tb_ProjectKosten[#Headers],0),0),""),X491 &lt;=0,0),"")</f>
        <v/>
      </c>
      <c r="AB491" s="314" t="str">
        <f t="shared" ca="1" si="31"/>
        <v/>
      </c>
      <c r="AC491" s="322"/>
      <c r="AD491" s="315"/>
      <c r="AE491" s="32" t="str" cm="1">
        <f t="array" ref="AE491">IFERROR(IF(INDEX(SubsidieTabel!$AD$1:$AG$12,MATCH($F491,SubsidieTabel!$AD$1:$AD$12,0),IFERROR(MATCH(Methode_Keuze,SubsidieTabel!$AD$1:$AG$1,0),2))&lt;&gt;1=TRUE,"ja",""),"")</f>
        <v/>
      </c>
    </row>
    <row r="492" spans="1:31" x14ac:dyDescent="0.25">
      <c r="A492" s="316"/>
      <c r="B492" s="317" t="str">
        <f>IF(A492&lt;&gt;"",_xlfn.MAXIFS($B$1:B491,$A$1:A491,A492)+1,"")</f>
        <v/>
      </c>
      <c r="C492" s="296"/>
      <c r="D492" s="296"/>
      <c r="E492" s="296"/>
      <c r="F492" s="296"/>
      <c r="G492" s="326"/>
      <c r="H492" s="324"/>
      <c r="I492" s="325"/>
      <c r="J492" s="325"/>
      <c r="K492" s="318"/>
      <c r="L492" s="318"/>
      <c r="M492" s="319" t="str">
        <f>IFERROR(VLOOKUP(H492,Lijsten!$H$1:$I$100,2,0),"")</f>
        <v/>
      </c>
      <c r="N492" s="319" t="str">
        <f ca="1">IFERROR(IF(VLOOKUP(F492,Kostentypen!$A$3:$E$21,3,0)=0,"",IF(OR(F492="Arbeidskosten",F492="Vergoeding"),VLOOKUP(G492,Tb_KostenTypen[],2,0),VLOOKUP(F492,Kostentypen!$A$3:$E$20,3,0))),"")</f>
        <v/>
      </c>
      <c r="O492" s="320" t="str" cm="1">
        <f t="array" ref="O492">_xlfn.IFNA(IF(INDEX(Tb_KostenOptiesDB[],MATCH($F492,Tb_KostenOptiesDB[KostenOptie],0),IFERROR(MATCH(Methode_Keuze,Tb_KostenOptiesDB[#Headers],0),2))=1,_xlfn.SWITCH($N492,"Uurtarief",IF(OR(AND(RIGHT($F492,3)="IKS",VLOOKUP($M492,DB_Loonkosten,2,0)="Ja"),AND(RIGHT($F492,3)&lt;&gt;"IKS",VLOOKUP($M492,DB_Loonkosten,2,0)="Nee")),IFERROR(VLOOKUP($M492,DB_Loonkosten,24,0),""),0),"Vast tarief",IF(LEFT(F492,8)="Bijdrage",VLOOKUP($F492,Tb_KostenTypen[],MATCH(Lijsten!$P$1,Tb_KostenTypen[#Headers],0),0),VLOOKUP($G492,Lijsten!L:P,MATCH(Lijsten!$P$1,Kop_Tarief_Vast,0),0))),""),"")</f>
        <v/>
      </c>
      <c r="P492" s="320" t="str" cm="1">
        <f t="array" ref="P492">_xlfn.IFNA(IF(INDEX(Tb_KostenOptiesDB[],MATCH($F492,Tb_KostenOptiesDB[KostenOptie],0),IFERROR(MATCH(Methode_Keuze,Tb_KostenOptiesDB[#Headers],0),2))=1,_xlfn.SWITCH($N492,"Uurtarief",IF(OR(AND(RIGHT($F492,3)="IKS",VLOOKUP($M492,DB_Loonkosten,2,0)="Ja"),AND(RIGHT($F492,3)&lt;&gt;"IKS",VLOOKUP($M492,DB_Loonkosten,2,0)="Nee")),IFERROR(VLOOKUP($M492,DB_Loonkosten,25,0),""),0),"Vast tarief",IF(LEFT(F492,8)="Bijdrage",VLOOKUP($F492,Tb_KostenTypen[],MATCH(Lijsten!$P$1,Tb_KostenTypen[#Headers],0),0),VLOOKUP($G492,Lijsten!L:P,MATCH(Lijsten!$P$1,Kop_Tarief_Vast,0),0))),""),"")</f>
        <v/>
      </c>
      <c r="Q492" s="359"/>
      <c r="R492" s="359"/>
      <c r="S492" s="321"/>
      <c r="T492" s="321"/>
      <c r="U492" s="373" t="str">
        <f t="shared" si="28"/>
        <v/>
      </c>
      <c r="V492" s="314" t="str">
        <f t="shared" si="29"/>
        <v/>
      </c>
      <c r="W492" s="314" t="str" cm="1">
        <f t="array" aca="1" ref="W492" ca="1">IFERROR(IF(AE492&lt;&gt;"ja",_xlfn.IFNA(_xlfn.IFS(AND(O492&lt;&gt;"",F492&lt;&gt;"",RIGHT($N492,6)="tarief",F492="Vergoeding"),SUM(O492)*FLOOR(SUM(Q492),0.0001),AND(O492&lt;&gt;"",F492&lt;&gt;"",RIGHT($N492,6)="tarief"),SUM(O492)*FLOOR(SUM(Q492),0.01),S492&gt;0,IF(F492&lt;&gt;"",FLOOR(SUM(S492),0.01),"")),""),""),"")</f>
        <v/>
      </c>
      <c r="X492" s="314" t="str" cm="1">
        <f t="array" aca="1" ref="X492" ca="1">IFERROR(IF(AE492&lt;&gt;"ja",_xlfn.IFNA(_xlfn.IFS(AND(P492&lt;&gt;"",R492&lt;&gt;"",RIGHT($N492,6)="tarief",F492="Vergoeding"),SUM(P492)*FLOOR(SUM(R492),0.0001),AND(P492&lt;&gt;"",R492&lt;&gt;"",RIGHT($N492,6)="tarief"),P492*FLOOR(R492,0.01),T492&gt;0,FLOOR(SUM(T492),0.01)),""),""),"")</f>
        <v/>
      </c>
      <c r="Y492" s="314" t="str">
        <f t="shared" ca="1" si="30"/>
        <v/>
      </c>
      <c r="Z492" s="314" t="str" cm="1">
        <f t="array" aca="1" ref="Z492" ca="1">IFERROR(_xlfn.IFS(OR(F492="",LEFT(Methode_Keuze,4)="Geen",Methode_Keuze=""),"",AND(W492&lt;&gt;"",F492&lt;&gt;"Arbeidskosten"),W492*VLOOKUP(F492,Tb_ProjectKosten[],MATCH(Tb_ProjectKosten[[#Headers],[Forfait_Percentage]],Tb_ProjectKosten[#Headers],0),0),AND(F492="Arbeidskosten",G492&lt;&gt;""),IFERROR(W492*VLOOKUP(G492,Tb_KostenTypen[],3,0)*VLOOKUP(F492,Tb_ProjectKosten[],MATCH(Tb_ProjectKosten[[#Headers],[Forfait_Percentage]],Tb_ProjectKosten[#Headers],0),0),""),W492 &lt;=0,0),"")</f>
        <v/>
      </c>
      <c r="AA492" s="314" t="str" cm="1">
        <f t="array" aca="1" ref="AA492" ca="1">IFERROR(_xlfn.IFS(OR(F492="",LEFT(Methode_Keuze,4)="Geen",Methode_Keuze=""),"",AND(X492&lt;&gt;"",F492&lt;&gt;"Arbeidskosten"),X492*VLOOKUP(F492,Tb_ProjectKosten[],MATCH(Tb_ProjectKosten[[#Headers],[Forfait_Percentage]],Tb_ProjectKosten[#Headers],0),0),AND(F492="Arbeidskosten",G492&lt;&gt;""),IFERROR(X492*VLOOKUP(G492,Tb_KostenTypen[],3,0)*VLOOKUP(F492,Tb_ProjectKosten[],MATCH(Tb_ProjectKosten[[#Headers],[Forfait_Percentage]],Tb_ProjectKosten[#Headers],0),0),""),X492 &lt;=0,0),"")</f>
        <v/>
      </c>
      <c r="AB492" s="314" t="str">
        <f t="shared" ca="1" si="31"/>
        <v/>
      </c>
      <c r="AC492" s="322"/>
      <c r="AD492" s="315"/>
      <c r="AE492" s="32" t="str" cm="1">
        <f t="array" ref="AE492">IFERROR(IF(INDEX(SubsidieTabel!$AD$1:$AG$12,MATCH($F492,SubsidieTabel!$AD$1:$AD$12,0),IFERROR(MATCH(Methode_Keuze,SubsidieTabel!$AD$1:$AG$1,0),2))&lt;&gt;1=TRUE,"ja",""),"")</f>
        <v/>
      </c>
    </row>
    <row r="493" spans="1:31" x14ac:dyDescent="0.25">
      <c r="A493" s="316"/>
      <c r="B493" s="317" t="str">
        <f>IF(A493&lt;&gt;"",_xlfn.MAXIFS($B$1:B492,$A$1:A492,A493)+1,"")</f>
        <v/>
      </c>
      <c r="C493" s="296"/>
      <c r="D493" s="296"/>
      <c r="E493" s="296"/>
      <c r="F493" s="296"/>
      <c r="G493" s="326"/>
      <c r="H493" s="324"/>
      <c r="I493" s="325"/>
      <c r="J493" s="325"/>
      <c r="K493" s="318"/>
      <c r="L493" s="318"/>
      <c r="M493" s="319" t="str">
        <f>IFERROR(VLOOKUP(H493,Lijsten!$H$1:$I$100,2,0),"")</f>
        <v/>
      </c>
      <c r="N493" s="319" t="str">
        <f ca="1">IFERROR(IF(VLOOKUP(F493,Kostentypen!$A$3:$E$21,3,0)=0,"",IF(OR(F493="Arbeidskosten",F493="Vergoeding"),VLOOKUP(G493,Tb_KostenTypen[],2,0),VLOOKUP(F493,Kostentypen!$A$3:$E$20,3,0))),"")</f>
        <v/>
      </c>
      <c r="O493" s="320" t="str" cm="1">
        <f t="array" ref="O493">_xlfn.IFNA(IF(INDEX(Tb_KostenOptiesDB[],MATCH($F493,Tb_KostenOptiesDB[KostenOptie],0),IFERROR(MATCH(Methode_Keuze,Tb_KostenOptiesDB[#Headers],0),2))=1,_xlfn.SWITCH($N493,"Uurtarief",IF(OR(AND(RIGHT($F493,3)="IKS",VLOOKUP($M493,DB_Loonkosten,2,0)="Ja"),AND(RIGHT($F493,3)&lt;&gt;"IKS",VLOOKUP($M493,DB_Loonkosten,2,0)="Nee")),IFERROR(VLOOKUP($M493,DB_Loonkosten,24,0),""),0),"Vast tarief",IF(LEFT(F493,8)="Bijdrage",VLOOKUP($F493,Tb_KostenTypen[],MATCH(Lijsten!$P$1,Tb_KostenTypen[#Headers],0),0),VLOOKUP($G493,Lijsten!L:P,MATCH(Lijsten!$P$1,Kop_Tarief_Vast,0),0))),""),"")</f>
        <v/>
      </c>
      <c r="P493" s="320" t="str" cm="1">
        <f t="array" ref="P493">_xlfn.IFNA(IF(INDEX(Tb_KostenOptiesDB[],MATCH($F493,Tb_KostenOptiesDB[KostenOptie],0),IFERROR(MATCH(Methode_Keuze,Tb_KostenOptiesDB[#Headers],0),2))=1,_xlfn.SWITCH($N493,"Uurtarief",IF(OR(AND(RIGHT($F493,3)="IKS",VLOOKUP($M493,DB_Loonkosten,2,0)="Ja"),AND(RIGHT($F493,3)&lt;&gt;"IKS",VLOOKUP($M493,DB_Loonkosten,2,0)="Nee")),IFERROR(VLOOKUP($M493,DB_Loonkosten,25,0),""),0),"Vast tarief",IF(LEFT(F493,8)="Bijdrage",VLOOKUP($F493,Tb_KostenTypen[],MATCH(Lijsten!$P$1,Tb_KostenTypen[#Headers],0),0),VLOOKUP($G493,Lijsten!L:P,MATCH(Lijsten!$P$1,Kop_Tarief_Vast,0),0))),""),"")</f>
        <v/>
      </c>
      <c r="Q493" s="359"/>
      <c r="R493" s="359"/>
      <c r="S493" s="321"/>
      <c r="T493" s="321"/>
      <c r="U493" s="373" t="str">
        <f t="shared" si="28"/>
        <v/>
      </c>
      <c r="V493" s="314" t="str">
        <f t="shared" si="29"/>
        <v/>
      </c>
      <c r="W493" s="314" t="str" cm="1">
        <f t="array" aca="1" ref="W493" ca="1">IFERROR(IF(AE493&lt;&gt;"ja",_xlfn.IFNA(_xlfn.IFS(AND(O493&lt;&gt;"",F493&lt;&gt;"",RIGHT($N493,6)="tarief",F493="Vergoeding"),SUM(O493)*FLOOR(SUM(Q493),0.0001),AND(O493&lt;&gt;"",F493&lt;&gt;"",RIGHT($N493,6)="tarief"),SUM(O493)*FLOOR(SUM(Q493),0.01),S493&gt;0,IF(F493&lt;&gt;"",FLOOR(SUM(S493),0.01),"")),""),""),"")</f>
        <v/>
      </c>
      <c r="X493" s="314" t="str" cm="1">
        <f t="array" aca="1" ref="X493" ca="1">IFERROR(IF(AE493&lt;&gt;"ja",_xlfn.IFNA(_xlfn.IFS(AND(P493&lt;&gt;"",R493&lt;&gt;"",RIGHT($N493,6)="tarief",F493="Vergoeding"),SUM(P493)*FLOOR(SUM(R493),0.0001),AND(P493&lt;&gt;"",R493&lt;&gt;"",RIGHT($N493,6)="tarief"),P493*FLOOR(R493,0.01),T493&gt;0,FLOOR(SUM(T493),0.01)),""),""),"")</f>
        <v/>
      </c>
      <c r="Y493" s="314" t="str">
        <f t="shared" ca="1" si="30"/>
        <v/>
      </c>
      <c r="Z493" s="314" t="str" cm="1">
        <f t="array" aca="1" ref="Z493" ca="1">IFERROR(_xlfn.IFS(OR(F493="",LEFT(Methode_Keuze,4)="Geen",Methode_Keuze=""),"",AND(W493&lt;&gt;"",F493&lt;&gt;"Arbeidskosten"),W493*VLOOKUP(F493,Tb_ProjectKosten[],MATCH(Tb_ProjectKosten[[#Headers],[Forfait_Percentage]],Tb_ProjectKosten[#Headers],0),0),AND(F493="Arbeidskosten",G493&lt;&gt;""),IFERROR(W493*VLOOKUP(G493,Tb_KostenTypen[],3,0)*VLOOKUP(F493,Tb_ProjectKosten[],MATCH(Tb_ProjectKosten[[#Headers],[Forfait_Percentage]],Tb_ProjectKosten[#Headers],0),0),""),W493 &lt;=0,0),"")</f>
        <v/>
      </c>
      <c r="AA493" s="314" t="str" cm="1">
        <f t="array" aca="1" ref="AA493" ca="1">IFERROR(_xlfn.IFS(OR(F493="",LEFT(Methode_Keuze,4)="Geen",Methode_Keuze=""),"",AND(X493&lt;&gt;"",F493&lt;&gt;"Arbeidskosten"),X493*VLOOKUP(F493,Tb_ProjectKosten[],MATCH(Tb_ProjectKosten[[#Headers],[Forfait_Percentage]],Tb_ProjectKosten[#Headers],0),0),AND(F493="Arbeidskosten",G493&lt;&gt;""),IFERROR(X493*VLOOKUP(G493,Tb_KostenTypen[],3,0)*VLOOKUP(F493,Tb_ProjectKosten[],MATCH(Tb_ProjectKosten[[#Headers],[Forfait_Percentage]],Tb_ProjectKosten[#Headers],0),0),""),X493 &lt;=0,0),"")</f>
        <v/>
      </c>
      <c r="AB493" s="314" t="str">
        <f t="shared" ca="1" si="31"/>
        <v/>
      </c>
      <c r="AC493" s="322"/>
      <c r="AD493" s="315"/>
      <c r="AE493" s="32" t="str" cm="1">
        <f t="array" ref="AE493">IFERROR(IF(INDEX(SubsidieTabel!$AD$1:$AG$12,MATCH($F493,SubsidieTabel!$AD$1:$AD$12,0),IFERROR(MATCH(Methode_Keuze,SubsidieTabel!$AD$1:$AG$1,0),2))&lt;&gt;1=TRUE,"ja",""),"")</f>
        <v/>
      </c>
    </row>
    <row r="494" spans="1:31" x14ac:dyDescent="0.25">
      <c r="A494" s="316"/>
      <c r="B494" s="317" t="str">
        <f>IF(A494&lt;&gt;"",_xlfn.MAXIFS($B$1:B493,$A$1:A493,A494)+1,"")</f>
        <v/>
      </c>
      <c r="C494" s="296"/>
      <c r="D494" s="296"/>
      <c r="E494" s="296"/>
      <c r="F494" s="296"/>
      <c r="G494" s="326"/>
      <c r="H494" s="324"/>
      <c r="I494" s="325"/>
      <c r="J494" s="325"/>
      <c r="K494" s="318"/>
      <c r="L494" s="318"/>
      <c r="M494" s="319" t="str">
        <f>IFERROR(VLOOKUP(H494,Lijsten!$H$1:$I$100,2,0),"")</f>
        <v/>
      </c>
      <c r="N494" s="319" t="str">
        <f ca="1">IFERROR(IF(VLOOKUP(F494,Kostentypen!$A$3:$E$21,3,0)=0,"",IF(OR(F494="Arbeidskosten",F494="Vergoeding"),VLOOKUP(G494,Tb_KostenTypen[],2,0),VLOOKUP(F494,Kostentypen!$A$3:$E$20,3,0))),"")</f>
        <v/>
      </c>
      <c r="O494" s="320" t="str" cm="1">
        <f t="array" ref="O494">_xlfn.IFNA(IF(INDEX(Tb_KostenOptiesDB[],MATCH($F494,Tb_KostenOptiesDB[KostenOptie],0),IFERROR(MATCH(Methode_Keuze,Tb_KostenOptiesDB[#Headers],0),2))=1,_xlfn.SWITCH($N494,"Uurtarief",IF(OR(AND(RIGHT($F494,3)="IKS",VLOOKUP($M494,DB_Loonkosten,2,0)="Ja"),AND(RIGHT($F494,3)&lt;&gt;"IKS",VLOOKUP($M494,DB_Loonkosten,2,0)="Nee")),IFERROR(VLOOKUP($M494,DB_Loonkosten,24,0),""),0),"Vast tarief",IF(LEFT(F494,8)="Bijdrage",VLOOKUP($F494,Tb_KostenTypen[],MATCH(Lijsten!$P$1,Tb_KostenTypen[#Headers],0),0),VLOOKUP($G494,Lijsten!L:P,MATCH(Lijsten!$P$1,Kop_Tarief_Vast,0),0))),""),"")</f>
        <v/>
      </c>
      <c r="P494" s="320" t="str" cm="1">
        <f t="array" ref="P494">_xlfn.IFNA(IF(INDEX(Tb_KostenOptiesDB[],MATCH($F494,Tb_KostenOptiesDB[KostenOptie],0),IFERROR(MATCH(Methode_Keuze,Tb_KostenOptiesDB[#Headers],0),2))=1,_xlfn.SWITCH($N494,"Uurtarief",IF(OR(AND(RIGHT($F494,3)="IKS",VLOOKUP($M494,DB_Loonkosten,2,0)="Ja"),AND(RIGHT($F494,3)&lt;&gt;"IKS",VLOOKUP($M494,DB_Loonkosten,2,0)="Nee")),IFERROR(VLOOKUP($M494,DB_Loonkosten,25,0),""),0),"Vast tarief",IF(LEFT(F494,8)="Bijdrage",VLOOKUP($F494,Tb_KostenTypen[],MATCH(Lijsten!$P$1,Tb_KostenTypen[#Headers],0),0),VLOOKUP($G494,Lijsten!L:P,MATCH(Lijsten!$P$1,Kop_Tarief_Vast,0),0))),""),"")</f>
        <v/>
      </c>
      <c r="Q494" s="359"/>
      <c r="R494" s="359"/>
      <c r="S494" s="321"/>
      <c r="T494" s="321"/>
      <c r="U494" s="373" t="str">
        <f t="shared" si="28"/>
        <v/>
      </c>
      <c r="V494" s="314" t="str">
        <f t="shared" si="29"/>
        <v/>
      </c>
      <c r="W494" s="314" t="str" cm="1">
        <f t="array" aca="1" ref="W494" ca="1">IFERROR(IF(AE494&lt;&gt;"ja",_xlfn.IFNA(_xlfn.IFS(AND(O494&lt;&gt;"",F494&lt;&gt;"",RIGHT($N494,6)="tarief",F494="Vergoeding"),SUM(O494)*FLOOR(SUM(Q494),0.0001),AND(O494&lt;&gt;"",F494&lt;&gt;"",RIGHT($N494,6)="tarief"),SUM(O494)*FLOOR(SUM(Q494),0.01),S494&gt;0,IF(F494&lt;&gt;"",FLOOR(SUM(S494),0.01),"")),""),""),"")</f>
        <v/>
      </c>
      <c r="X494" s="314" t="str" cm="1">
        <f t="array" aca="1" ref="X494" ca="1">IFERROR(IF(AE494&lt;&gt;"ja",_xlfn.IFNA(_xlfn.IFS(AND(P494&lt;&gt;"",R494&lt;&gt;"",RIGHT($N494,6)="tarief",F494="Vergoeding"),SUM(P494)*FLOOR(SUM(R494),0.0001),AND(P494&lt;&gt;"",R494&lt;&gt;"",RIGHT($N494,6)="tarief"),P494*FLOOR(R494,0.01),T494&gt;0,FLOOR(SUM(T494),0.01)),""),""),"")</f>
        <v/>
      </c>
      <c r="Y494" s="314" t="str">
        <f t="shared" ca="1" si="30"/>
        <v/>
      </c>
      <c r="Z494" s="314" t="str" cm="1">
        <f t="array" aca="1" ref="Z494" ca="1">IFERROR(_xlfn.IFS(OR(F494="",LEFT(Methode_Keuze,4)="Geen",Methode_Keuze=""),"",AND(W494&lt;&gt;"",F494&lt;&gt;"Arbeidskosten"),W494*VLOOKUP(F494,Tb_ProjectKosten[],MATCH(Tb_ProjectKosten[[#Headers],[Forfait_Percentage]],Tb_ProjectKosten[#Headers],0),0),AND(F494="Arbeidskosten",G494&lt;&gt;""),IFERROR(W494*VLOOKUP(G494,Tb_KostenTypen[],3,0)*VLOOKUP(F494,Tb_ProjectKosten[],MATCH(Tb_ProjectKosten[[#Headers],[Forfait_Percentage]],Tb_ProjectKosten[#Headers],0),0),""),W494 &lt;=0,0),"")</f>
        <v/>
      </c>
      <c r="AA494" s="314" t="str" cm="1">
        <f t="array" aca="1" ref="AA494" ca="1">IFERROR(_xlfn.IFS(OR(F494="",LEFT(Methode_Keuze,4)="Geen",Methode_Keuze=""),"",AND(X494&lt;&gt;"",F494&lt;&gt;"Arbeidskosten"),X494*VLOOKUP(F494,Tb_ProjectKosten[],MATCH(Tb_ProjectKosten[[#Headers],[Forfait_Percentage]],Tb_ProjectKosten[#Headers],0),0),AND(F494="Arbeidskosten",G494&lt;&gt;""),IFERROR(X494*VLOOKUP(G494,Tb_KostenTypen[],3,0)*VLOOKUP(F494,Tb_ProjectKosten[],MATCH(Tb_ProjectKosten[[#Headers],[Forfait_Percentage]],Tb_ProjectKosten[#Headers],0),0),""),X494 &lt;=0,0),"")</f>
        <v/>
      </c>
      <c r="AB494" s="314" t="str">
        <f t="shared" ca="1" si="31"/>
        <v/>
      </c>
      <c r="AC494" s="322"/>
      <c r="AD494" s="315"/>
      <c r="AE494" s="32" t="str" cm="1">
        <f t="array" ref="AE494">IFERROR(IF(INDEX(SubsidieTabel!$AD$1:$AG$12,MATCH($F494,SubsidieTabel!$AD$1:$AD$12,0),IFERROR(MATCH(Methode_Keuze,SubsidieTabel!$AD$1:$AG$1,0),2))&lt;&gt;1=TRUE,"ja",""),"")</f>
        <v/>
      </c>
    </row>
    <row r="495" spans="1:31" x14ac:dyDescent="0.25">
      <c r="A495" s="316"/>
      <c r="B495" s="317" t="str">
        <f>IF(A495&lt;&gt;"",_xlfn.MAXIFS($B$1:B494,$A$1:A494,A495)+1,"")</f>
        <v/>
      </c>
      <c r="C495" s="296"/>
      <c r="D495" s="296"/>
      <c r="E495" s="296"/>
      <c r="F495" s="296"/>
      <c r="G495" s="326"/>
      <c r="H495" s="324"/>
      <c r="I495" s="325"/>
      <c r="J495" s="325"/>
      <c r="K495" s="318"/>
      <c r="L495" s="318"/>
      <c r="M495" s="319" t="str">
        <f>IFERROR(VLOOKUP(H495,Lijsten!$H$1:$I$100,2,0),"")</f>
        <v/>
      </c>
      <c r="N495" s="319" t="str">
        <f ca="1">IFERROR(IF(VLOOKUP(F495,Kostentypen!$A$3:$E$21,3,0)=0,"",IF(OR(F495="Arbeidskosten",F495="Vergoeding"),VLOOKUP(G495,Tb_KostenTypen[],2,0),VLOOKUP(F495,Kostentypen!$A$3:$E$20,3,0))),"")</f>
        <v/>
      </c>
      <c r="O495" s="320" t="str" cm="1">
        <f t="array" ref="O495">_xlfn.IFNA(IF(INDEX(Tb_KostenOptiesDB[],MATCH($F495,Tb_KostenOptiesDB[KostenOptie],0),IFERROR(MATCH(Methode_Keuze,Tb_KostenOptiesDB[#Headers],0),2))=1,_xlfn.SWITCH($N495,"Uurtarief",IF(OR(AND(RIGHT($F495,3)="IKS",VLOOKUP($M495,DB_Loonkosten,2,0)="Ja"),AND(RIGHT($F495,3)&lt;&gt;"IKS",VLOOKUP($M495,DB_Loonkosten,2,0)="Nee")),IFERROR(VLOOKUP($M495,DB_Loonkosten,24,0),""),0),"Vast tarief",IF(LEFT(F495,8)="Bijdrage",VLOOKUP($F495,Tb_KostenTypen[],MATCH(Lijsten!$P$1,Tb_KostenTypen[#Headers],0),0),VLOOKUP($G495,Lijsten!L:P,MATCH(Lijsten!$P$1,Kop_Tarief_Vast,0),0))),""),"")</f>
        <v/>
      </c>
      <c r="P495" s="320" t="str" cm="1">
        <f t="array" ref="P495">_xlfn.IFNA(IF(INDEX(Tb_KostenOptiesDB[],MATCH($F495,Tb_KostenOptiesDB[KostenOptie],0),IFERROR(MATCH(Methode_Keuze,Tb_KostenOptiesDB[#Headers],0),2))=1,_xlfn.SWITCH($N495,"Uurtarief",IF(OR(AND(RIGHT($F495,3)="IKS",VLOOKUP($M495,DB_Loonkosten,2,0)="Ja"),AND(RIGHT($F495,3)&lt;&gt;"IKS",VLOOKUP($M495,DB_Loonkosten,2,0)="Nee")),IFERROR(VLOOKUP($M495,DB_Loonkosten,25,0),""),0),"Vast tarief",IF(LEFT(F495,8)="Bijdrage",VLOOKUP($F495,Tb_KostenTypen[],MATCH(Lijsten!$P$1,Tb_KostenTypen[#Headers],0),0),VLOOKUP($G495,Lijsten!L:P,MATCH(Lijsten!$P$1,Kop_Tarief_Vast,0),0))),""),"")</f>
        <v/>
      </c>
      <c r="Q495" s="359"/>
      <c r="R495" s="359"/>
      <c r="S495" s="321"/>
      <c r="T495" s="321"/>
      <c r="U495" s="373" t="str">
        <f t="shared" si="28"/>
        <v/>
      </c>
      <c r="V495" s="314" t="str">
        <f t="shared" si="29"/>
        <v/>
      </c>
      <c r="W495" s="314" t="str" cm="1">
        <f t="array" aca="1" ref="W495" ca="1">IFERROR(IF(AE495&lt;&gt;"ja",_xlfn.IFNA(_xlfn.IFS(AND(O495&lt;&gt;"",F495&lt;&gt;"",RIGHT($N495,6)="tarief",F495="Vergoeding"),SUM(O495)*FLOOR(SUM(Q495),0.0001),AND(O495&lt;&gt;"",F495&lt;&gt;"",RIGHT($N495,6)="tarief"),SUM(O495)*FLOOR(SUM(Q495),0.01),S495&gt;0,IF(F495&lt;&gt;"",FLOOR(SUM(S495),0.01),"")),""),""),"")</f>
        <v/>
      </c>
      <c r="X495" s="314" t="str" cm="1">
        <f t="array" aca="1" ref="X495" ca="1">IFERROR(IF(AE495&lt;&gt;"ja",_xlfn.IFNA(_xlfn.IFS(AND(P495&lt;&gt;"",R495&lt;&gt;"",RIGHT($N495,6)="tarief",F495="Vergoeding"),SUM(P495)*FLOOR(SUM(R495),0.0001),AND(P495&lt;&gt;"",R495&lt;&gt;"",RIGHT($N495,6)="tarief"),P495*FLOOR(R495,0.01),T495&gt;0,FLOOR(SUM(T495),0.01)),""),""),"")</f>
        <v/>
      </c>
      <c r="Y495" s="314" t="str">
        <f t="shared" ca="1" si="30"/>
        <v/>
      </c>
      <c r="Z495" s="314" t="str" cm="1">
        <f t="array" aca="1" ref="Z495" ca="1">IFERROR(_xlfn.IFS(OR(F495="",LEFT(Methode_Keuze,4)="Geen",Methode_Keuze=""),"",AND(W495&lt;&gt;"",F495&lt;&gt;"Arbeidskosten"),W495*VLOOKUP(F495,Tb_ProjectKosten[],MATCH(Tb_ProjectKosten[[#Headers],[Forfait_Percentage]],Tb_ProjectKosten[#Headers],0),0),AND(F495="Arbeidskosten",G495&lt;&gt;""),IFERROR(W495*VLOOKUP(G495,Tb_KostenTypen[],3,0)*VLOOKUP(F495,Tb_ProjectKosten[],MATCH(Tb_ProjectKosten[[#Headers],[Forfait_Percentage]],Tb_ProjectKosten[#Headers],0),0),""),W495 &lt;=0,0),"")</f>
        <v/>
      </c>
      <c r="AA495" s="314" t="str" cm="1">
        <f t="array" aca="1" ref="AA495" ca="1">IFERROR(_xlfn.IFS(OR(F495="",LEFT(Methode_Keuze,4)="Geen",Methode_Keuze=""),"",AND(X495&lt;&gt;"",F495&lt;&gt;"Arbeidskosten"),X495*VLOOKUP(F495,Tb_ProjectKosten[],MATCH(Tb_ProjectKosten[[#Headers],[Forfait_Percentage]],Tb_ProjectKosten[#Headers],0),0),AND(F495="Arbeidskosten",G495&lt;&gt;""),IFERROR(X495*VLOOKUP(G495,Tb_KostenTypen[],3,0)*VLOOKUP(F495,Tb_ProjectKosten[],MATCH(Tb_ProjectKosten[[#Headers],[Forfait_Percentage]],Tb_ProjectKosten[#Headers],0),0),""),X495 &lt;=0,0),"")</f>
        <v/>
      </c>
      <c r="AB495" s="314" t="str">
        <f t="shared" ca="1" si="31"/>
        <v/>
      </c>
      <c r="AC495" s="322"/>
      <c r="AD495" s="315"/>
      <c r="AE495" s="32" t="str" cm="1">
        <f t="array" ref="AE495">IFERROR(IF(INDEX(SubsidieTabel!$AD$1:$AG$12,MATCH($F495,SubsidieTabel!$AD$1:$AD$12,0),IFERROR(MATCH(Methode_Keuze,SubsidieTabel!$AD$1:$AG$1,0),2))&lt;&gt;1=TRUE,"ja",""),"")</f>
        <v/>
      </c>
    </row>
    <row r="496" spans="1:31" x14ac:dyDescent="0.25">
      <c r="A496" s="316"/>
      <c r="B496" s="317" t="str">
        <f>IF(A496&lt;&gt;"",_xlfn.MAXIFS($B$1:B495,$A$1:A495,A496)+1,"")</f>
        <v/>
      </c>
      <c r="C496" s="296"/>
      <c r="D496" s="296"/>
      <c r="E496" s="296"/>
      <c r="F496" s="296"/>
      <c r="G496" s="326"/>
      <c r="H496" s="324"/>
      <c r="I496" s="325"/>
      <c r="J496" s="325"/>
      <c r="K496" s="318"/>
      <c r="L496" s="318"/>
      <c r="M496" s="319" t="str">
        <f>IFERROR(VLOOKUP(H496,Lijsten!$H$1:$I$100,2,0),"")</f>
        <v/>
      </c>
      <c r="N496" s="319" t="str">
        <f ca="1">IFERROR(IF(VLOOKUP(F496,Kostentypen!$A$3:$E$21,3,0)=0,"",IF(OR(F496="Arbeidskosten",F496="Vergoeding"),VLOOKUP(G496,Tb_KostenTypen[],2,0),VLOOKUP(F496,Kostentypen!$A$3:$E$20,3,0))),"")</f>
        <v/>
      </c>
      <c r="O496" s="320" t="str" cm="1">
        <f t="array" ref="O496">_xlfn.IFNA(IF(INDEX(Tb_KostenOptiesDB[],MATCH($F496,Tb_KostenOptiesDB[KostenOptie],0),IFERROR(MATCH(Methode_Keuze,Tb_KostenOptiesDB[#Headers],0),2))=1,_xlfn.SWITCH($N496,"Uurtarief",IF(OR(AND(RIGHT($F496,3)="IKS",VLOOKUP($M496,DB_Loonkosten,2,0)="Ja"),AND(RIGHT($F496,3)&lt;&gt;"IKS",VLOOKUP($M496,DB_Loonkosten,2,0)="Nee")),IFERROR(VLOOKUP($M496,DB_Loonkosten,24,0),""),0),"Vast tarief",IF(LEFT(F496,8)="Bijdrage",VLOOKUP($F496,Tb_KostenTypen[],MATCH(Lijsten!$P$1,Tb_KostenTypen[#Headers],0),0),VLOOKUP($G496,Lijsten!L:P,MATCH(Lijsten!$P$1,Kop_Tarief_Vast,0),0))),""),"")</f>
        <v/>
      </c>
      <c r="P496" s="320" t="str" cm="1">
        <f t="array" ref="P496">_xlfn.IFNA(IF(INDEX(Tb_KostenOptiesDB[],MATCH($F496,Tb_KostenOptiesDB[KostenOptie],0),IFERROR(MATCH(Methode_Keuze,Tb_KostenOptiesDB[#Headers],0),2))=1,_xlfn.SWITCH($N496,"Uurtarief",IF(OR(AND(RIGHT($F496,3)="IKS",VLOOKUP($M496,DB_Loonkosten,2,0)="Ja"),AND(RIGHT($F496,3)&lt;&gt;"IKS",VLOOKUP($M496,DB_Loonkosten,2,0)="Nee")),IFERROR(VLOOKUP($M496,DB_Loonkosten,25,0),""),0),"Vast tarief",IF(LEFT(F496,8)="Bijdrage",VLOOKUP($F496,Tb_KostenTypen[],MATCH(Lijsten!$P$1,Tb_KostenTypen[#Headers],0),0),VLOOKUP($G496,Lijsten!L:P,MATCH(Lijsten!$P$1,Kop_Tarief_Vast,0),0))),""),"")</f>
        <v/>
      </c>
      <c r="Q496" s="359"/>
      <c r="R496" s="359"/>
      <c r="S496" s="321"/>
      <c r="T496" s="321"/>
      <c r="U496" s="373" t="str">
        <f t="shared" si="28"/>
        <v/>
      </c>
      <c r="V496" s="314" t="str">
        <f t="shared" si="29"/>
        <v/>
      </c>
      <c r="W496" s="314" t="str" cm="1">
        <f t="array" aca="1" ref="W496" ca="1">IFERROR(IF(AE496&lt;&gt;"ja",_xlfn.IFNA(_xlfn.IFS(AND(O496&lt;&gt;"",F496&lt;&gt;"",RIGHT($N496,6)="tarief",F496="Vergoeding"),SUM(O496)*FLOOR(SUM(Q496),0.0001),AND(O496&lt;&gt;"",F496&lt;&gt;"",RIGHT($N496,6)="tarief"),SUM(O496)*FLOOR(SUM(Q496),0.01),S496&gt;0,IF(F496&lt;&gt;"",FLOOR(SUM(S496),0.01),"")),""),""),"")</f>
        <v/>
      </c>
      <c r="X496" s="314" t="str" cm="1">
        <f t="array" aca="1" ref="X496" ca="1">IFERROR(IF(AE496&lt;&gt;"ja",_xlfn.IFNA(_xlfn.IFS(AND(P496&lt;&gt;"",R496&lt;&gt;"",RIGHT($N496,6)="tarief",F496="Vergoeding"),SUM(P496)*FLOOR(SUM(R496),0.0001),AND(P496&lt;&gt;"",R496&lt;&gt;"",RIGHT($N496,6)="tarief"),P496*FLOOR(R496,0.01),T496&gt;0,FLOOR(SUM(T496),0.01)),""),""),"")</f>
        <v/>
      </c>
      <c r="Y496" s="314" t="str">
        <f t="shared" ca="1" si="30"/>
        <v/>
      </c>
      <c r="Z496" s="314" t="str" cm="1">
        <f t="array" aca="1" ref="Z496" ca="1">IFERROR(_xlfn.IFS(OR(F496="",LEFT(Methode_Keuze,4)="Geen",Methode_Keuze=""),"",AND(W496&lt;&gt;"",F496&lt;&gt;"Arbeidskosten"),W496*VLOOKUP(F496,Tb_ProjectKosten[],MATCH(Tb_ProjectKosten[[#Headers],[Forfait_Percentage]],Tb_ProjectKosten[#Headers],0),0),AND(F496="Arbeidskosten",G496&lt;&gt;""),IFERROR(W496*VLOOKUP(G496,Tb_KostenTypen[],3,0)*VLOOKUP(F496,Tb_ProjectKosten[],MATCH(Tb_ProjectKosten[[#Headers],[Forfait_Percentage]],Tb_ProjectKosten[#Headers],0),0),""),W496 &lt;=0,0),"")</f>
        <v/>
      </c>
      <c r="AA496" s="314" t="str" cm="1">
        <f t="array" aca="1" ref="AA496" ca="1">IFERROR(_xlfn.IFS(OR(F496="",LEFT(Methode_Keuze,4)="Geen",Methode_Keuze=""),"",AND(X496&lt;&gt;"",F496&lt;&gt;"Arbeidskosten"),X496*VLOOKUP(F496,Tb_ProjectKosten[],MATCH(Tb_ProjectKosten[[#Headers],[Forfait_Percentage]],Tb_ProjectKosten[#Headers],0),0),AND(F496="Arbeidskosten",G496&lt;&gt;""),IFERROR(X496*VLOOKUP(G496,Tb_KostenTypen[],3,0)*VLOOKUP(F496,Tb_ProjectKosten[],MATCH(Tb_ProjectKosten[[#Headers],[Forfait_Percentage]],Tb_ProjectKosten[#Headers],0),0),""),X496 &lt;=0,0),"")</f>
        <v/>
      </c>
      <c r="AB496" s="314" t="str">
        <f t="shared" ca="1" si="31"/>
        <v/>
      </c>
      <c r="AC496" s="322"/>
      <c r="AD496" s="315"/>
      <c r="AE496" s="32" t="str" cm="1">
        <f t="array" ref="AE496">IFERROR(IF(INDEX(SubsidieTabel!$AD$1:$AG$12,MATCH($F496,SubsidieTabel!$AD$1:$AD$12,0),IFERROR(MATCH(Methode_Keuze,SubsidieTabel!$AD$1:$AG$1,0),2))&lt;&gt;1=TRUE,"ja",""),"")</f>
        <v/>
      </c>
    </row>
    <row r="497" spans="1:31" x14ac:dyDescent="0.25">
      <c r="A497" s="316"/>
      <c r="B497" s="317" t="str">
        <f>IF(A497&lt;&gt;"",_xlfn.MAXIFS($B$1:B496,$A$1:A496,A497)+1,"")</f>
        <v/>
      </c>
      <c r="C497" s="296"/>
      <c r="D497" s="296"/>
      <c r="E497" s="296"/>
      <c r="F497" s="296"/>
      <c r="G497" s="326"/>
      <c r="H497" s="324"/>
      <c r="I497" s="325"/>
      <c r="J497" s="325"/>
      <c r="K497" s="318"/>
      <c r="L497" s="318"/>
      <c r="M497" s="319" t="str">
        <f>IFERROR(VLOOKUP(H497,Lijsten!$H$1:$I$100,2,0),"")</f>
        <v/>
      </c>
      <c r="N497" s="319" t="str">
        <f ca="1">IFERROR(IF(VLOOKUP(F497,Kostentypen!$A$3:$E$21,3,0)=0,"",IF(OR(F497="Arbeidskosten",F497="Vergoeding"),VLOOKUP(G497,Tb_KostenTypen[],2,0),VLOOKUP(F497,Kostentypen!$A$3:$E$20,3,0))),"")</f>
        <v/>
      </c>
      <c r="O497" s="320" t="str" cm="1">
        <f t="array" ref="O497">_xlfn.IFNA(IF(INDEX(Tb_KostenOptiesDB[],MATCH($F497,Tb_KostenOptiesDB[KostenOptie],0),IFERROR(MATCH(Methode_Keuze,Tb_KostenOptiesDB[#Headers],0),2))=1,_xlfn.SWITCH($N497,"Uurtarief",IF(OR(AND(RIGHT($F497,3)="IKS",VLOOKUP($M497,DB_Loonkosten,2,0)="Ja"),AND(RIGHT($F497,3)&lt;&gt;"IKS",VLOOKUP($M497,DB_Loonkosten,2,0)="Nee")),IFERROR(VLOOKUP($M497,DB_Loonkosten,24,0),""),0),"Vast tarief",IF(LEFT(F497,8)="Bijdrage",VLOOKUP($F497,Tb_KostenTypen[],MATCH(Lijsten!$P$1,Tb_KostenTypen[#Headers],0),0),VLOOKUP($G497,Lijsten!L:P,MATCH(Lijsten!$P$1,Kop_Tarief_Vast,0),0))),""),"")</f>
        <v/>
      </c>
      <c r="P497" s="320" t="str" cm="1">
        <f t="array" ref="P497">_xlfn.IFNA(IF(INDEX(Tb_KostenOptiesDB[],MATCH($F497,Tb_KostenOptiesDB[KostenOptie],0),IFERROR(MATCH(Methode_Keuze,Tb_KostenOptiesDB[#Headers],0),2))=1,_xlfn.SWITCH($N497,"Uurtarief",IF(OR(AND(RIGHT($F497,3)="IKS",VLOOKUP($M497,DB_Loonkosten,2,0)="Ja"),AND(RIGHT($F497,3)&lt;&gt;"IKS",VLOOKUP($M497,DB_Loonkosten,2,0)="Nee")),IFERROR(VLOOKUP($M497,DB_Loonkosten,25,0),""),0),"Vast tarief",IF(LEFT(F497,8)="Bijdrage",VLOOKUP($F497,Tb_KostenTypen[],MATCH(Lijsten!$P$1,Tb_KostenTypen[#Headers],0),0),VLOOKUP($G497,Lijsten!L:P,MATCH(Lijsten!$P$1,Kop_Tarief_Vast,0),0))),""),"")</f>
        <v/>
      </c>
      <c r="Q497" s="359"/>
      <c r="R497" s="359"/>
      <c r="S497" s="321"/>
      <c r="T497" s="321"/>
      <c r="U497" s="373" t="str">
        <f t="shared" si="28"/>
        <v/>
      </c>
      <c r="V497" s="314" t="str">
        <f t="shared" si="29"/>
        <v/>
      </c>
      <c r="W497" s="314" t="str" cm="1">
        <f t="array" aca="1" ref="W497" ca="1">IFERROR(IF(AE497&lt;&gt;"ja",_xlfn.IFNA(_xlfn.IFS(AND(O497&lt;&gt;"",F497&lt;&gt;"",RIGHT($N497,6)="tarief",F497="Vergoeding"),SUM(O497)*FLOOR(SUM(Q497),0.0001),AND(O497&lt;&gt;"",F497&lt;&gt;"",RIGHT($N497,6)="tarief"),SUM(O497)*FLOOR(SUM(Q497),0.01),S497&gt;0,IF(F497&lt;&gt;"",FLOOR(SUM(S497),0.01),"")),""),""),"")</f>
        <v/>
      </c>
      <c r="X497" s="314" t="str" cm="1">
        <f t="array" aca="1" ref="X497" ca="1">IFERROR(IF(AE497&lt;&gt;"ja",_xlfn.IFNA(_xlfn.IFS(AND(P497&lt;&gt;"",R497&lt;&gt;"",RIGHT($N497,6)="tarief",F497="Vergoeding"),SUM(P497)*FLOOR(SUM(R497),0.0001),AND(P497&lt;&gt;"",R497&lt;&gt;"",RIGHT($N497,6)="tarief"),P497*FLOOR(R497,0.01),T497&gt;0,FLOOR(SUM(T497),0.01)),""),""),"")</f>
        <v/>
      </c>
      <c r="Y497" s="314" t="str">
        <f t="shared" ca="1" si="30"/>
        <v/>
      </c>
      <c r="Z497" s="314" t="str" cm="1">
        <f t="array" aca="1" ref="Z497" ca="1">IFERROR(_xlfn.IFS(OR(F497="",LEFT(Methode_Keuze,4)="Geen",Methode_Keuze=""),"",AND(W497&lt;&gt;"",F497&lt;&gt;"Arbeidskosten"),W497*VLOOKUP(F497,Tb_ProjectKosten[],MATCH(Tb_ProjectKosten[[#Headers],[Forfait_Percentage]],Tb_ProjectKosten[#Headers],0),0),AND(F497="Arbeidskosten",G497&lt;&gt;""),IFERROR(W497*VLOOKUP(G497,Tb_KostenTypen[],3,0)*VLOOKUP(F497,Tb_ProjectKosten[],MATCH(Tb_ProjectKosten[[#Headers],[Forfait_Percentage]],Tb_ProjectKosten[#Headers],0),0),""),W497 &lt;=0,0),"")</f>
        <v/>
      </c>
      <c r="AA497" s="314" t="str" cm="1">
        <f t="array" aca="1" ref="AA497" ca="1">IFERROR(_xlfn.IFS(OR(F497="",LEFT(Methode_Keuze,4)="Geen",Methode_Keuze=""),"",AND(X497&lt;&gt;"",F497&lt;&gt;"Arbeidskosten"),X497*VLOOKUP(F497,Tb_ProjectKosten[],MATCH(Tb_ProjectKosten[[#Headers],[Forfait_Percentage]],Tb_ProjectKosten[#Headers],0),0),AND(F497="Arbeidskosten",G497&lt;&gt;""),IFERROR(X497*VLOOKUP(G497,Tb_KostenTypen[],3,0)*VLOOKUP(F497,Tb_ProjectKosten[],MATCH(Tb_ProjectKosten[[#Headers],[Forfait_Percentage]],Tb_ProjectKosten[#Headers],0),0),""),X497 &lt;=0,0),"")</f>
        <v/>
      </c>
      <c r="AB497" s="314" t="str">
        <f t="shared" ca="1" si="31"/>
        <v/>
      </c>
      <c r="AC497" s="322"/>
      <c r="AD497" s="315"/>
      <c r="AE497" s="32" t="str" cm="1">
        <f t="array" ref="AE497">IFERROR(IF(INDEX(SubsidieTabel!$AD$1:$AG$12,MATCH($F497,SubsidieTabel!$AD$1:$AD$12,0),IFERROR(MATCH(Methode_Keuze,SubsidieTabel!$AD$1:$AG$1,0),2))&lt;&gt;1=TRUE,"ja",""),"")</f>
        <v/>
      </c>
    </row>
    <row r="498" spans="1:31" x14ac:dyDescent="0.25">
      <c r="A498" s="316"/>
      <c r="B498" s="317" t="str">
        <f>IF(A498&lt;&gt;"",_xlfn.MAXIFS($B$1:B497,$A$1:A497,A498)+1,"")</f>
        <v/>
      </c>
      <c r="C498" s="296"/>
      <c r="D498" s="296"/>
      <c r="E498" s="296"/>
      <c r="F498" s="296"/>
      <c r="G498" s="326"/>
      <c r="H498" s="324"/>
      <c r="I498" s="325"/>
      <c r="J498" s="325"/>
      <c r="K498" s="318"/>
      <c r="L498" s="318"/>
      <c r="M498" s="319" t="str">
        <f>IFERROR(VLOOKUP(H498,Lijsten!$H$1:$I$100,2,0),"")</f>
        <v/>
      </c>
      <c r="N498" s="319" t="str">
        <f ca="1">IFERROR(IF(VLOOKUP(F498,Kostentypen!$A$3:$E$21,3,0)=0,"",IF(OR(F498="Arbeidskosten",F498="Vergoeding"),VLOOKUP(G498,Tb_KostenTypen[],2,0),VLOOKUP(F498,Kostentypen!$A$3:$E$20,3,0))),"")</f>
        <v/>
      </c>
      <c r="O498" s="320" t="str" cm="1">
        <f t="array" ref="O498">_xlfn.IFNA(IF(INDEX(Tb_KostenOptiesDB[],MATCH($F498,Tb_KostenOptiesDB[KostenOptie],0),IFERROR(MATCH(Methode_Keuze,Tb_KostenOptiesDB[#Headers],0),2))=1,_xlfn.SWITCH($N498,"Uurtarief",IF(OR(AND(RIGHT($F498,3)="IKS",VLOOKUP($M498,DB_Loonkosten,2,0)="Ja"),AND(RIGHT($F498,3)&lt;&gt;"IKS",VLOOKUP($M498,DB_Loonkosten,2,0)="Nee")),IFERROR(VLOOKUP($M498,DB_Loonkosten,24,0),""),0),"Vast tarief",IF(LEFT(F498,8)="Bijdrage",VLOOKUP($F498,Tb_KostenTypen[],MATCH(Lijsten!$P$1,Tb_KostenTypen[#Headers],0),0),VLOOKUP($G498,Lijsten!L:P,MATCH(Lijsten!$P$1,Kop_Tarief_Vast,0),0))),""),"")</f>
        <v/>
      </c>
      <c r="P498" s="320" t="str" cm="1">
        <f t="array" ref="P498">_xlfn.IFNA(IF(INDEX(Tb_KostenOptiesDB[],MATCH($F498,Tb_KostenOptiesDB[KostenOptie],0),IFERROR(MATCH(Methode_Keuze,Tb_KostenOptiesDB[#Headers],0),2))=1,_xlfn.SWITCH($N498,"Uurtarief",IF(OR(AND(RIGHT($F498,3)="IKS",VLOOKUP($M498,DB_Loonkosten,2,0)="Ja"),AND(RIGHT($F498,3)&lt;&gt;"IKS",VLOOKUP($M498,DB_Loonkosten,2,0)="Nee")),IFERROR(VLOOKUP($M498,DB_Loonkosten,25,0),""),0),"Vast tarief",IF(LEFT(F498,8)="Bijdrage",VLOOKUP($F498,Tb_KostenTypen[],MATCH(Lijsten!$P$1,Tb_KostenTypen[#Headers],0),0),VLOOKUP($G498,Lijsten!L:P,MATCH(Lijsten!$P$1,Kop_Tarief_Vast,0),0))),""),"")</f>
        <v/>
      </c>
      <c r="Q498" s="359"/>
      <c r="R498" s="359"/>
      <c r="S498" s="321"/>
      <c r="T498" s="321"/>
      <c r="U498" s="373" t="str">
        <f t="shared" si="28"/>
        <v/>
      </c>
      <c r="V498" s="314" t="str">
        <f t="shared" si="29"/>
        <v/>
      </c>
      <c r="W498" s="314" t="str" cm="1">
        <f t="array" aca="1" ref="W498" ca="1">IFERROR(IF(AE498&lt;&gt;"ja",_xlfn.IFNA(_xlfn.IFS(AND(O498&lt;&gt;"",F498&lt;&gt;"",RIGHT($N498,6)="tarief",F498="Vergoeding"),SUM(O498)*FLOOR(SUM(Q498),0.0001),AND(O498&lt;&gt;"",F498&lt;&gt;"",RIGHT($N498,6)="tarief"),SUM(O498)*FLOOR(SUM(Q498),0.01),S498&gt;0,IF(F498&lt;&gt;"",FLOOR(SUM(S498),0.01),"")),""),""),"")</f>
        <v/>
      </c>
      <c r="X498" s="314" t="str" cm="1">
        <f t="array" aca="1" ref="X498" ca="1">IFERROR(IF(AE498&lt;&gt;"ja",_xlfn.IFNA(_xlfn.IFS(AND(P498&lt;&gt;"",R498&lt;&gt;"",RIGHT($N498,6)="tarief",F498="Vergoeding"),SUM(P498)*FLOOR(SUM(R498),0.0001),AND(P498&lt;&gt;"",R498&lt;&gt;"",RIGHT($N498,6)="tarief"),P498*FLOOR(R498,0.01),T498&gt;0,FLOOR(SUM(T498),0.01)),""),""),"")</f>
        <v/>
      </c>
      <c r="Y498" s="314" t="str">
        <f t="shared" ca="1" si="30"/>
        <v/>
      </c>
      <c r="Z498" s="314" t="str" cm="1">
        <f t="array" aca="1" ref="Z498" ca="1">IFERROR(_xlfn.IFS(OR(F498="",LEFT(Methode_Keuze,4)="Geen",Methode_Keuze=""),"",AND(W498&lt;&gt;"",F498&lt;&gt;"Arbeidskosten"),W498*VLOOKUP(F498,Tb_ProjectKosten[],MATCH(Tb_ProjectKosten[[#Headers],[Forfait_Percentage]],Tb_ProjectKosten[#Headers],0),0),AND(F498="Arbeidskosten",G498&lt;&gt;""),IFERROR(W498*VLOOKUP(G498,Tb_KostenTypen[],3,0)*VLOOKUP(F498,Tb_ProjectKosten[],MATCH(Tb_ProjectKosten[[#Headers],[Forfait_Percentage]],Tb_ProjectKosten[#Headers],0),0),""),W498 &lt;=0,0),"")</f>
        <v/>
      </c>
      <c r="AA498" s="314" t="str" cm="1">
        <f t="array" aca="1" ref="AA498" ca="1">IFERROR(_xlfn.IFS(OR(F498="",LEFT(Methode_Keuze,4)="Geen",Methode_Keuze=""),"",AND(X498&lt;&gt;"",F498&lt;&gt;"Arbeidskosten"),X498*VLOOKUP(F498,Tb_ProjectKosten[],MATCH(Tb_ProjectKosten[[#Headers],[Forfait_Percentage]],Tb_ProjectKosten[#Headers],0),0),AND(F498="Arbeidskosten",G498&lt;&gt;""),IFERROR(X498*VLOOKUP(G498,Tb_KostenTypen[],3,0)*VLOOKUP(F498,Tb_ProjectKosten[],MATCH(Tb_ProjectKosten[[#Headers],[Forfait_Percentage]],Tb_ProjectKosten[#Headers],0),0),""),X498 &lt;=0,0),"")</f>
        <v/>
      </c>
      <c r="AB498" s="314" t="str">
        <f t="shared" ca="1" si="31"/>
        <v/>
      </c>
      <c r="AC498" s="322"/>
      <c r="AD498" s="315"/>
      <c r="AE498" s="32" t="str" cm="1">
        <f t="array" ref="AE498">IFERROR(IF(INDEX(SubsidieTabel!$AD$1:$AG$12,MATCH($F498,SubsidieTabel!$AD$1:$AD$12,0),IFERROR(MATCH(Methode_Keuze,SubsidieTabel!$AD$1:$AG$1,0),2))&lt;&gt;1=TRUE,"ja",""),"")</f>
        <v/>
      </c>
    </row>
    <row r="499" spans="1:31" x14ac:dyDescent="0.25">
      <c r="A499" s="316"/>
      <c r="B499" s="317" t="str">
        <f>IF(A499&lt;&gt;"",_xlfn.MAXIFS($B$1:B498,$A$1:A498,A499)+1,"")</f>
        <v/>
      </c>
      <c r="C499" s="296"/>
      <c r="D499" s="296"/>
      <c r="E499" s="296"/>
      <c r="F499" s="296"/>
      <c r="G499" s="326"/>
      <c r="H499" s="324"/>
      <c r="I499" s="325"/>
      <c r="J499" s="325"/>
      <c r="K499" s="318"/>
      <c r="L499" s="318"/>
      <c r="M499" s="319" t="str">
        <f>IFERROR(VLOOKUP(H499,Lijsten!$H$1:$I$100,2,0),"")</f>
        <v/>
      </c>
      <c r="N499" s="319" t="str">
        <f ca="1">IFERROR(IF(VLOOKUP(F499,Kostentypen!$A$3:$E$21,3,0)=0,"",IF(OR(F499="Arbeidskosten",F499="Vergoeding"),VLOOKUP(G499,Tb_KostenTypen[],2,0),VLOOKUP(F499,Kostentypen!$A$3:$E$20,3,0))),"")</f>
        <v/>
      </c>
      <c r="O499" s="320" t="str" cm="1">
        <f t="array" ref="O499">_xlfn.IFNA(IF(INDEX(Tb_KostenOptiesDB[],MATCH($F499,Tb_KostenOptiesDB[KostenOptie],0),IFERROR(MATCH(Methode_Keuze,Tb_KostenOptiesDB[#Headers],0),2))=1,_xlfn.SWITCH($N499,"Uurtarief",IF(OR(AND(RIGHT($F499,3)="IKS",VLOOKUP($M499,DB_Loonkosten,2,0)="Ja"),AND(RIGHT($F499,3)&lt;&gt;"IKS",VLOOKUP($M499,DB_Loonkosten,2,0)="Nee")),IFERROR(VLOOKUP($M499,DB_Loonkosten,24,0),""),0),"Vast tarief",IF(LEFT(F499,8)="Bijdrage",VLOOKUP($F499,Tb_KostenTypen[],MATCH(Lijsten!$P$1,Tb_KostenTypen[#Headers],0),0),VLOOKUP($G499,Lijsten!L:P,MATCH(Lijsten!$P$1,Kop_Tarief_Vast,0),0))),""),"")</f>
        <v/>
      </c>
      <c r="P499" s="320" t="str" cm="1">
        <f t="array" ref="P499">_xlfn.IFNA(IF(INDEX(Tb_KostenOptiesDB[],MATCH($F499,Tb_KostenOptiesDB[KostenOptie],0),IFERROR(MATCH(Methode_Keuze,Tb_KostenOptiesDB[#Headers],0),2))=1,_xlfn.SWITCH($N499,"Uurtarief",IF(OR(AND(RIGHT($F499,3)="IKS",VLOOKUP($M499,DB_Loonkosten,2,0)="Ja"),AND(RIGHT($F499,3)&lt;&gt;"IKS",VLOOKUP($M499,DB_Loonkosten,2,0)="Nee")),IFERROR(VLOOKUP($M499,DB_Loonkosten,25,0),""),0),"Vast tarief",IF(LEFT(F499,8)="Bijdrage",VLOOKUP($F499,Tb_KostenTypen[],MATCH(Lijsten!$P$1,Tb_KostenTypen[#Headers],0),0),VLOOKUP($G499,Lijsten!L:P,MATCH(Lijsten!$P$1,Kop_Tarief_Vast,0),0))),""),"")</f>
        <v/>
      </c>
      <c r="Q499" s="359"/>
      <c r="R499" s="359"/>
      <c r="S499" s="321"/>
      <c r="T499" s="321"/>
      <c r="U499" s="373" t="str">
        <f t="shared" si="28"/>
        <v/>
      </c>
      <c r="V499" s="314" t="str">
        <f t="shared" si="29"/>
        <v/>
      </c>
      <c r="W499" s="314" t="str" cm="1">
        <f t="array" aca="1" ref="W499" ca="1">IFERROR(IF(AE499&lt;&gt;"ja",_xlfn.IFNA(_xlfn.IFS(AND(O499&lt;&gt;"",F499&lt;&gt;"",RIGHT($N499,6)="tarief",F499="Vergoeding"),SUM(O499)*FLOOR(SUM(Q499),0.0001),AND(O499&lt;&gt;"",F499&lt;&gt;"",RIGHT($N499,6)="tarief"),SUM(O499)*FLOOR(SUM(Q499),0.01),S499&gt;0,IF(F499&lt;&gt;"",FLOOR(SUM(S499),0.01),"")),""),""),"")</f>
        <v/>
      </c>
      <c r="X499" s="314" t="str" cm="1">
        <f t="array" aca="1" ref="X499" ca="1">IFERROR(IF(AE499&lt;&gt;"ja",_xlfn.IFNA(_xlfn.IFS(AND(P499&lt;&gt;"",R499&lt;&gt;"",RIGHT($N499,6)="tarief",F499="Vergoeding"),SUM(P499)*FLOOR(SUM(R499),0.0001),AND(P499&lt;&gt;"",R499&lt;&gt;"",RIGHT($N499,6)="tarief"),P499*FLOOR(R499,0.01),T499&gt;0,FLOOR(SUM(T499),0.01)),""),""),"")</f>
        <v/>
      </c>
      <c r="Y499" s="314" t="str">
        <f t="shared" ca="1" si="30"/>
        <v/>
      </c>
      <c r="Z499" s="314" t="str" cm="1">
        <f t="array" aca="1" ref="Z499" ca="1">IFERROR(_xlfn.IFS(OR(F499="",LEFT(Methode_Keuze,4)="Geen",Methode_Keuze=""),"",AND(W499&lt;&gt;"",F499&lt;&gt;"Arbeidskosten"),W499*VLOOKUP(F499,Tb_ProjectKosten[],MATCH(Tb_ProjectKosten[[#Headers],[Forfait_Percentage]],Tb_ProjectKosten[#Headers],0),0),AND(F499="Arbeidskosten",G499&lt;&gt;""),IFERROR(W499*VLOOKUP(G499,Tb_KostenTypen[],3,0)*VLOOKUP(F499,Tb_ProjectKosten[],MATCH(Tb_ProjectKosten[[#Headers],[Forfait_Percentage]],Tb_ProjectKosten[#Headers],0),0),""),W499 &lt;=0,0),"")</f>
        <v/>
      </c>
      <c r="AA499" s="314" t="str" cm="1">
        <f t="array" aca="1" ref="AA499" ca="1">IFERROR(_xlfn.IFS(OR(F499="",LEFT(Methode_Keuze,4)="Geen",Methode_Keuze=""),"",AND(X499&lt;&gt;"",F499&lt;&gt;"Arbeidskosten"),X499*VLOOKUP(F499,Tb_ProjectKosten[],MATCH(Tb_ProjectKosten[[#Headers],[Forfait_Percentage]],Tb_ProjectKosten[#Headers],0),0),AND(F499="Arbeidskosten",G499&lt;&gt;""),IFERROR(X499*VLOOKUP(G499,Tb_KostenTypen[],3,0)*VLOOKUP(F499,Tb_ProjectKosten[],MATCH(Tb_ProjectKosten[[#Headers],[Forfait_Percentage]],Tb_ProjectKosten[#Headers],0),0),""),X499 &lt;=0,0),"")</f>
        <v/>
      </c>
      <c r="AB499" s="314" t="str">
        <f t="shared" ca="1" si="31"/>
        <v/>
      </c>
      <c r="AC499" s="322"/>
      <c r="AD499" s="315"/>
      <c r="AE499" s="32" t="str" cm="1">
        <f t="array" ref="AE499">IFERROR(IF(INDEX(SubsidieTabel!$AD$1:$AG$12,MATCH($F499,SubsidieTabel!$AD$1:$AD$12,0),IFERROR(MATCH(Methode_Keuze,SubsidieTabel!$AD$1:$AG$1,0),2))&lt;&gt;1=TRUE,"ja",""),"")</f>
        <v/>
      </c>
    </row>
    <row r="500" spans="1:31" x14ac:dyDescent="0.25">
      <c r="A500" s="316"/>
      <c r="B500" s="317" t="str">
        <f>IF(A500&lt;&gt;"",_xlfn.MAXIFS($B$1:B499,$A$1:A499,A500)+1,"")</f>
        <v/>
      </c>
      <c r="C500" s="296"/>
      <c r="D500" s="296"/>
      <c r="E500" s="296"/>
      <c r="F500" s="296"/>
      <c r="G500" s="326"/>
      <c r="H500" s="324"/>
      <c r="I500" s="325"/>
      <c r="J500" s="325"/>
      <c r="K500" s="318"/>
      <c r="L500" s="318"/>
      <c r="M500" s="319" t="str">
        <f>IFERROR(VLOOKUP(H500,Lijsten!$H$1:$I$100,2,0),"")</f>
        <v/>
      </c>
      <c r="N500" s="319" t="str">
        <f ca="1">IFERROR(IF(VLOOKUP(F500,Kostentypen!$A$3:$E$21,3,0)=0,"",IF(OR(F500="Arbeidskosten",F500="Vergoeding"),VLOOKUP(G500,Tb_KostenTypen[],2,0),VLOOKUP(F500,Kostentypen!$A$3:$E$20,3,0))),"")</f>
        <v/>
      </c>
      <c r="O500" s="320" t="str" cm="1">
        <f t="array" ref="O500">_xlfn.IFNA(IF(INDEX(Tb_KostenOptiesDB[],MATCH($F500,Tb_KostenOptiesDB[KostenOptie],0),IFERROR(MATCH(Methode_Keuze,Tb_KostenOptiesDB[#Headers],0),2))=1,_xlfn.SWITCH($N500,"Uurtarief",IF(OR(AND(RIGHT($F500,3)="IKS",VLOOKUP($M500,DB_Loonkosten,2,0)="Ja"),AND(RIGHT($F500,3)&lt;&gt;"IKS",VLOOKUP($M500,DB_Loonkosten,2,0)="Nee")),IFERROR(VLOOKUP($M500,DB_Loonkosten,24,0),""),0),"Vast tarief",IF(LEFT(F500,8)="Bijdrage",VLOOKUP($F500,Tb_KostenTypen[],MATCH(Lijsten!$P$1,Tb_KostenTypen[#Headers],0),0),VLOOKUP($G500,Lijsten!L:P,MATCH(Lijsten!$P$1,Kop_Tarief_Vast,0),0))),""),"")</f>
        <v/>
      </c>
      <c r="P500" s="320" t="str" cm="1">
        <f t="array" ref="P500">_xlfn.IFNA(IF(INDEX(Tb_KostenOptiesDB[],MATCH($F500,Tb_KostenOptiesDB[KostenOptie],0),IFERROR(MATCH(Methode_Keuze,Tb_KostenOptiesDB[#Headers],0),2))=1,_xlfn.SWITCH($N500,"Uurtarief",IF(OR(AND(RIGHT($F500,3)="IKS",VLOOKUP($M500,DB_Loonkosten,2,0)="Ja"),AND(RIGHT($F500,3)&lt;&gt;"IKS",VLOOKUP($M500,DB_Loonkosten,2,0)="Nee")),IFERROR(VLOOKUP($M500,DB_Loonkosten,25,0),""),0),"Vast tarief",IF(LEFT(F500,8)="Bijdrage",VLOOKUP($F500,Tb_KostenTypen[],MATCH(Lijsten!$P$1,Tb_KostenTypen[#Headers],0),0),VLOOKUP($G500,Lijsten!L:P,MATCH(Lijsten!$P$1,Kop_Tarief_Vast,0),0))),""),"")</f>
        <v/>
      </c>
      <c r="Q500" s="359"/>
      <c r="R500" s="359"/>
      <c r="S500" s="321"/>
      <c r="T500" s="321"/>
      <c r="U500" s="373" t="str">
        <f t="shared" si="28"/>
        <v/>
      </c>
      <c r="V500" s="314" t="str">
        <f t="shared" si="29"/>
        <v/>
      </c>
      <c r="W500" s="314" t="str" cm="1">
        <f t="array" aca="1" ref="W500" ca="1">IFERROR(IF(AE500&lt;&gt;"ja",_xlfn.IFNA(_xlfn.IFS(AND(O500&lt;&gt;"",F500&lt;&gt;"",RIGHT($N500,6)="tarief",F500="Vergoeding"),SUM(O500)*FLOOR(SUM(Q500),0.0001),AND(O500&lt;&gt;"",F500&lt;&gt;"",RIGHT($N500,6)="tarief"),SUM(O500)*FLOOR(SUM(Q500),0.01),S500&gt;0,IF(F500&lt;&gt;"",FLOOR(SUM(S500),0.01),"")),""),""),"")</f>
        <v/>
      </c>
      <c r="X500" s="314" t="str" cm="1">
        <f t="array" aca="1" ref="X500" ca="1">IFERROR(IF(AE500&lt;&gt;"ja",_xlfn.IFNA(_xlfn.IFS(AND(P500&lt;&gt;"",R500&lt;&gt;"",RIGHT($N500,6)="tarief",F500="Vergoeding"),SUM(P500)*FLOOR(SUM(R500),0.0001),AND(P500&lt;&gt;"",R500&lt;&gt;"",RIGHT($N500,6)="tarief"),P500*FLOOR(R500,0.01),T500&gt;0,FLOOR(SUM(T500),0.01)),""),""),"")</f>
        <v/>
      </c>
      <c r="Y500" s="314" t="str">
        <f t="shared" ca="1" si="30"/>
        <v/>
      </c>
      <c r="Z500" s="314" t="str" cm="1">
        <f t="array" aca="1" ref="Z500" ca="1">IFERROR(_xlfn.IFS(OR(F500="",LEFT(Methode_Keuze,4)="Geen",Methode_Keuze=""),"",AND(W500&lt;&gt;"",F500&lt;&gt;"Arbeidskosten"),W500*VLOOKUP(F500,Tb_ProjectKosten[],MATCH(Tb_ProjectKosten[[#Headers],[Forfait_Percentage]],Tb_ProjectKosten[#Headers],0),0),AND(F500="Arbeidskosten",G500&lt;&gt;""),IFERROR(W500*VLOOKUP(G500,Tb_KostenTypen[],3,0)*VLOOKUP(F500,Tb_ProjectKosten[],MATCH(Tb_ProjectKosten[[#Headers],[Forfait_Percentage]],Tb_ProjectKosten[#Headers],0),0),""),W500 &lt;=0,0),"")</f>
        <v/>
      </c>
      <c r="AA500" s="314" t="str" cm="1">
        <f t="array" aca="1" ref="AA500" ca="1">IFERROR(_xlfn.IFS(OR(F500="",LEFT(Methode_Keuze,4)="Geen",Methode_Keuze=""),"",AND(X500&lt;&gt;"",F500&lt;&gt;"Arbeidskosten"),X500*VLOOKUP(F500,Tb_ProjectKosten[],MATCH(Tb_ProjectKosten[[#Headers],[Forfait_Percentage]],Tb_ProjectKosten[#Headers],0),0),AND(F500="Arbeidskosten",G500&lt;&gt;""),IFERROR(X500*VLOOKUP(G500,Tb_KostenTypen[],3,0)*VLOOKUP(F500,Tb_ProjectKosten[],MATCH(Tb_ProjectKosten[[#Headers],[Forfait_Percentage]],Tb_ProjectKosten[#Headers],0),0),""),X500 &lt;=0,0),"")</f>
        <v/>
      </c>
      <c r="AB500" s="314" t="str">
        <f t="shared" ca="1" si="31"/>
        <v/>
      </c>
      <c r="AC500" s="322"/>
      <c r="AD500" s="315"/>
      <c r="AE500" s="32" t="str" cm="1">
        <f t="array" ref="AE500">IFERROR(IF(INDEX(SubsidieTabel!$AD$1:$AG$12,MATCH($F500,SubsidieTabel!$AD$1:$AD$12,0),IFERROR(MATCH(Methode_Keuze,SubsidieTabel!$AD$1:$AG$1,0),2))&lt;&gt;1=TRUE,"ja",""),"")</f>
        <v/>
      </c>
    </row>
    <row r="501" spans="1:31" x14ac:dyDescent="0.25">
      <c r="A501" s="316"/>
      <c r="B501" s="317" t="str">
        <f>IF(A501&lt;&gt;"",_xlfn.MAXIFS($B$1:B500,$A$1:A500,A501)+1,"")</f>
        <v/>
      </c>
      <c r="C501" s="296"/>
      <c r="D501" s="296"/>
      <c r="E501" s="296"/>
      <c r="F501" s="296"/>
      <c r="G501" s="326"/>
      <c r="H501" s="324"/>
      <c r="I501" s="325"/>
      <c r="J501" s="325"/>
      <c r="K501" s="318"/>
      <c r="L501" s="318"/>
      <c r="M501" s="319" t="str">
        <f>IFERROR(VLOOKUP(H501,Lijsten!$H$1:$I$100,2,0),"")</f>
        <v/>
      </c>
      <c r="N501" s="319" t="str">
        <f ca="1">IFERROR(IF(VLOOKUP(F501,Kostentypen!$A$3:$E$21,3,0)=0,"",IF(OR(F501="Arbeidskosten",F501="Vergoeding"),VLOOKUP(G501,Tb_KostenTypen[],2,0),VLOOKUP(F501,Kostentypen!$A$3:$E$20,3,0))),"")</f>
        <v/>
      </c>
      <c r="O501" s="320" t="str" cm="1">
        <f t="array" ref="O501">_xlfn.IFNA(IF(INDEX(Tb_KostenOptiesDB[],MATCH($F501,Tb_KostenOptiesDB[KostenOptie],0),IFERROR(MATCH(Methode_Keuze,Tb_KostenOptiesDB[#Headers],0),2))=1,_xlfn.SWITCH($N501,"Uurtarief",IF(OR(AND(RIGHT($F501,3)="IKS",VLOOKUP($M501,DB_Loonkosten,2,0)="Ja"),AND(RIGHT($F501,3)&lt;&gt;"IKS",VLOOKUP($M501,DB_Loonkosten,2,0)="Nee")),IFERROR(VLOOKUP($M501,DB_Loonkosten,24,0),""),0),"Vast tarief",IF(LEFT(F501,8)="Bijdrage",VLOOKUP($F501,Tb_KostenTypen[],MATCH(Lijsten!$P$1,Tb_KostenTypen[#Headers],0),0),VLOOKUP($G501,Lijsten!L:P,MATCH(Lijsten!$P$1,Kop_Tarief_Vast,0),0))),""),"")</f>
        <v/>
      </c>
      <c r="P501" s="320" t="str" cm="1">
        <f t="array" ref="P501">_xlfn.IFNA(IF(INDEX(Tb_KostenOptiesDB[],MATCH($F501,Tb_KostenOptiesDB[KostenOptie],0),IFERROR(MATCH(Methode_Keuze,Tb_KostenOptiesDB[#Headers],0),2))=1,_xlfn.SWITCH($N501,"Uurtarief",IF(OR(AND(RIGHT($F501,3)="IKS",VLOOKUP($M501,DB_Loonkosten,2,0)="Ja"),AND(RIGHT($F501,3)&lt;&gt;"IKS",VLOOKUP($M501,DB_Loonkosten,2,0)="Nee")),IFERROR(VLOOKUP($M501,DB_Loonkosten,25,0),""),0),"Vast tarief",IF(LEFT(F501,8)="Bijdrage",VLOOKUP($F501,Tb_KostenTypen[],MATCH(Lijsten!$P$1,Tb_KostenTypen[#Headers],0),0),VLOOKUP($G501,Lijsten!L:P,MATCH(Lijsten!$P$1,Kop_Tarief_Vast,0),0))),""),"")</f>
        <v/>
      </c>
      <c r="Q501" s="359"/>
      <c r="R501" s="359"/>
      <c r="S501" s="321"/>
      <c r="T501" s="321"/>
      <c r="U501" s="373" t="str">
        <f t="shared" si="28"/>
        <v/>
      </c>
      <c r="V501" s="314" t="str">
        <f t="shared" si="29"/>
        <v/>
      </c>
      <c r="W501" s="314" t="str" cm="1">
        <f t="array" aca="1" ref="W501" ca="1">IFERROR(IF(AE501&lt;&gt;"ja",_xlfn.IFNA(_xlfn.IFS(AND(O501&lt;&gt;"",F501&lt;&gt;"",RIGHT($N501,6)="tarief",F501="Vergoeding"),SUM(O501)*FLOOR(SUM(Q501),0.0001),AND(O501&lt;&gt;"",F501&lt;&gt;"",RIGHT($N501,6)="tarief"),SUM(O501)*FLOOR(SUM(Q501),0.01),S501&gt;0,IF(F501&lt;&gt;"",FLOOR(SUM(S501),0.01),"")),""),""),"")</f>
        <v/>
      </c>
      <c r="X501" s="314" t="str" cm="1">
        <f t="array" aca="1" ref="X501" ca="1">IFERROR(IF(AE501&lt;&gt;"ja",_xlfn.IFNA(_xlfn.IFS(AND(P501&lt;&gt;"",R501&lt;&gt;"",RIGHT($N501,6)="tarief",F501="Vergoeding"),SUM(P501)*FLOOR(SUM(R501),0.0001),AND(P501&lt;&gt;"",R501&lt;&gt;"",RIGHT($N501,6)="tarief"),P501*FLOOR(R501,0.01),T501&gt;0,FLOOR(SUM(T501),0.01)),""),""),"")</f>
        <v/>
      </c>
      <c r="Y501" s="314" t="str">
        <f t="shared" ca="1" si="30"/>
        <v/>
      </c>
      <c r="Z501" s="314" t="str" cm="1">
        <f t="array" aca="1" ref="Z501" ca="1">IFERROR(_xlfn.IFS(OR(F501="",LEFT(Methode_Keuze,4)="Geen",Methode_Keuze=""),"",AND(W501&lt;&gt;"",F501&lt;&gt;"Arbeidskosten"),W501*VLOOKUP(F501,Tb_ProjectKosten[],MATCH(Tb_ProjectKosten[[#Headers],[Forfait_Percentage]],Tb_ProjectKosten[#Headers],0),0),AND(F501="Arbeidskosten",G501&lt;&gt;""),IFERROR(W501*VLOOKUP(G501,Tb_KostenTypen[],3,0)*VLOOKUP(F501,Tb_ProjectKosten[],MATCH(Tb_ProjectKosten[[#Headers],[Forfait_Percentage]],Tb_ProjectKosten[#Headers],0),0),""),W501 &lt;=0,0),"")</f>
        <v/>
      </c>
      <c r="AA501" s="314" t="str" cm="1">
        <f t="array" aca="1" ref="AA501" ca="1">IFERROR(_xlfn.IFS(OR(F501="",LEFT(Methode_Keuze,4)="Geen",Methode_Keuze=""),"",AND(X501&lt;&gt;"",F501&lt;&gt;"Arbeidskosten"),X501*VLOOKUP(F501,Tb_ProjectKosten[],MATCH(Tb_ProjectKosten[[#Headers],[Forfait_Percentage]],Tb_ProjectKosten[#Headers],0),0),AND(F501="Arbeidskosten",G501&lt;&gt;""),IFERROR(X501*VLOOKUP(G501,Tb_KostenTypen[],3,0)*VLOOKUP(F501,Tb_ProjectKosten[],MATCH(Tb_ProjectKosten[[#Headers],[Forfait_Percentage]],Tb_ProjectKosten[#Headers],0),0),""),X501 &lt;=0,0),"")</f>
        <v/>
      </c>
      <c r="AB501" s="314" t="str">
        <f t="shared" ca="1" si="31"/>
        <v/>
      </c>
      <c r="AC501" s="322"/>
      <c r="AD501" s="315"/>
      <c r="AE501" s="32" t="str" cm="1">
        <f t="array" ref="AE501">IFERROR(IF(INDEX(SubsidieTabel!$AD$1:$AG$12,MATCH($F501,SubsidieTabel!$AD$1:$AD$12,0),IFERROR(MATCH(Methode_Keuze,SubsidieTabel!$AD$1:$AG$1,0),2))&lt;&gt;1=TRUE,"ja",""),"")</f>
        <v/>
      </c>
    </row>
    <row r="502" spans="1:31" x14ac:dyDescent="0.25">
      <c r="A502" s="316"/>
      <c r="B502" s="317" t="str">
        <f>IF(A502&lt;&gt;"",_xlfn.MAXIFS($B$1:B501,$A$1:A501,A502)+1,"")</f>
        <v/>
      </c>
      <c r="C502" s="296"/>
      <c r="D502" s="296"/>
      <c r="E502" s="296"/>
      <c r="F502" s="296"/>
      <c r="G502" s="326"/>
      <c r="H502" s="324"/>
      <c r="I502" s="325"/>
      <c r="J502" s="325"/>
      <c r="K502" s="318"/>
      <c r="L502" s="318"/>
      <c r="M502" s="319" t="str">
        <f>IFERROR(VLOOKUP(H502,Lijsten!$H$1:$I$100,2,0),"")</f>
        <v/>
      </c>
      <c r="N502" s="319" t="str">
        <f ca="1">IFERROR(IF(VLOOKUP(F502,Kostentypen!$A$3:$E$21,3,0)=0,"",IF(OR(F502="Arbeidskosten",F502="Vergoeding"),VLOOKUP(G502,Tb_KostenTypen[],2,0),VLOOKUP(F502,Kostentypen!$A$3:$E$20,3,0))),"")</f>
        <v/>
      </c>
      <c r="O502" s="320" t="str" cm="1">
        <f t="array" ref="O502">_xlfn.IFNA(IF(INDEX(Tb_KostenOptiesDB[],MATCH($F502,Tb_KostenOptiesDB[KostenOptie],0),IFERROR(MATCH(Methode_Keuze,Tb_KostenOptiesDB[#Headers],0),2))=1,_xlfn.SWITCH($N502,"Uurtarief",IF(OR(AND(RIGHT($F502,3)="IKS",VLOOKUP($M502,DB_Loonkosten,2,0)="Ja"),AND(RIGHT($F502,3)&lt;&gt;"IKS",VLOOKUP($M502,DB_Loonkosten,2,0)="Nee")),IFERROR(VLOOKUP($M502,DB_Loonkosten,24,0),""),0),"Vast tarief",IF(LEFT(F502,8)="Bijdrage",VLOOKUP($F502,Tb_KostenTypen[],MATCH(Lijsten!$P$1,Tb_KostenTypen[#Headers],0),0),VLOOKUP($G502,Lijsten!L:P,MATCH(Lijsten!$P$1,Kop_Tarief_Vast,0),0))),""),"")</f>
        <v/>
      </c>
      <c r="P502" s="320" t="str" cm="1">
        <f t="array" ref="P502">_xlfn.IFNA(IF(INDEX(Tb_KostenOptiesDB[],MATCH($F502,Tb_KostenOptiesDB[KostenOptie],0),IFERROR(MATCH(Methode_Keuze,Tb_KostenOptiesDB[#Headers],0),2))=1,_xlfn.SWITCH($N502,"Uurtarief",IF(OR(AND(RIGHT($F502,3)="IKS",VLOOKUP($M502,DB_Loonkosten,2,0)="Ja"),AND(RIGHT($F502,3)&lt;&gt;"IKS",VLOOKUP($M502,DB_Loonkosten,2,0)="Nee")),IFERROR(VLOOKUP($M502,DB_Loonkosten,25,0),""),0),"Vast tarief",IF(LEFT(F502,8)="Bijdrage",VLOOKUP($F502,Tb_KostenTypen[],MATCH(Lijsten!$P$1,Tb_KostenTypen[#Headers],0),0),VLOOKUP($G502,Lijsten!L:P,MATCH(Lijsten!$P$1,Kop_Tarief_Vast,0),0))),""),"")</f>
        <v/>
      </c>
      <c r="Q502" s="359"/>
      <c r="R502" s="359"/>
      <c r="S502" s="321"/>
      <c r="T502" s="321"/>
      <c r="U502" s="373" t="str">
        <f t="shared" si="28"/>
        <v/>
      </c>
      <c r="V502" s="314" t="str">
        <f t="shared" si="29"/>
        <v/>
      </c>
      <c r="W502" s="314" t="str" cm="1">
        <f t="array" aca="1" ref="W502" ca="1">IFERROR(IF(AE502&lt;&gt;"ja",_xlfn.IFNA(_xlfn.IFS(AND(O502&lt;&gt;"",F502&lt;&gt;"",RIGHT($N502,6)="tarief",F502="Vergoeding"),SUM(O502)*FLOOR(SUM(Q502),0.0001),AND(O502&lt;&gt;"",F502&lt;&gt;"",RIGHT($N502,6)="tarief"),SUM(O502)*FLOOR(SUM(Q502),0.01),S502&gt;0,IF(F502&lt;&gt;"",FLOOR(SUM(S502),0.01),"")),""),""),"")</f>
        <v/>
      </c>
      <c r="X502" s="314" t="str" cm="1">
        <f t="array" aca="1" ref="X502" ca="1">IFERROR(IF(AE502&lt;&gt;"ja",_xlfn.IFNA(_xlfn.IFS(AND(P502&lt;&gt;"",R502&lt;&gt;"",RIGHT($N502,6)="tarief",F502="Vergoeding"),SUM(P502)*FLOOR(SUM(R502),0.0001),AND(P502&lt;&gt;"",R502&lt;&gt;"",RIGHT($N502,6)="tarief"),P502*FLOOR(R502,0.01),T502&gt;0,FLOOR(SUM(T502),0.01)),""),""),"")</f>
        <v/>
      </c>
      <c r="Y502" s="314" t="str">
        <f t="shared" ca="1" si="30"/>
        <v/>
      </c>
      <c r="Z502" s="314" t="str" cm="1">
        <f t="array" aca="1" ref="Z502" ca="1">IFERROR(_xlfn.IFS(OR(F502="",LEFT(Methode_Keuze,4)="Geen",Methode_Keuze=""),"",AND(W502&lt;&gt;"",F502&lt;&gt;"Arbeidskosten"),W502*VLOOKUP(F502,Tb_ProjectKosten[],MATCH(Tb_ProjectKosten[[#Headers],[Forfait_Percentage]],Tb_ProjectKosten[#Headers],0),0),AND(F502="Arbeidskosten",G502&lt;&gt;""),IFERROR(W502*VLOOKUP(G502,Tb_KostenTypen[],3,0)*VLOOKUP(F502,Tb_ProjectKosten[],MATCH(Tb_ProjectKosten[[#Headers],[Forfait_Percentage]],Tb_ProjectKosten[#Headers],0),0),""),W502 &lt;=0,0),"")</f>
        <v/>
      </c>
      <c r="AA502" s="314" t="str" cm="1">
        <f t="array" aca="1" ref="AA502" ca="1">IFERROR(_xlfn.IFS(OR(F502="",LEFT(Methode_Keuze,4)="Geen",Methode_Keuze=""),"",AND(X502&lt;&gt;"",F502&lt;&gt;"Arbeidskosten"),X502*VLOOKUP(F502,Tb_ProjectKosten[],MATCH(Tb_ProjectKosten[[#Headers],[Forfait_Percentage]],Tb_ProjectKosten[#Headers],0),0),AND(F502="Arbeidskosten",G502&lt;&gt;""),IFERROR(X502*VLOOKUP(G502,Tb_KostenTypen[],3,0)*VLOOKUP(F502,Tb_ProjectKosten[],MATCH(Tb_ProjectKosten[[#Headers],[Forfait_Percentage]],Tb_ProjectKosten[#Headers],0),0),""),X502 &lt;=0,0),"")</f>
        <v/>
      </c>
      <c r="AB502" s="314" t="str">
        <f t="shared" ca="1" si="31"/>
        <v/>
      </c>
      <c r="AC502" s="322"/>
      <c r="AD502" s="315"/>
      <c r="AE502" s="32" t="str" cm="1">
        <f t="array" ref="AE502">IFERROR(IF(INDEX(SubsidieTabel!$AD$1:$AG$12,MATCH($F502,SubsidieTabel!$AD$1:$AD$12,0),IFERROR(MATCH(Methode_Keuze,SubsidieTabel!$AD$1:$AG$1,0),2))&lt;&gt;1=TRUE,"ja",""),"")</f>
        <v/>
      </c>
    </row>
    <row r="503" spans="1:31" x14ac:dyDescent="0.25">
      <c r="A503" s="316"/>
      <c r="B503" s="317" t="str">
        <f>IF(A503&lt;&gt;"",_xlfn.MAXIFS($B$1:B502,$A$1:A502,A503)+1,"")</f>
        <v/>
      </c>
      <c r="C503" s="296"/>
      <c r="D503" s="296"/>
      <c r="E503" s="296"/>
      <c r="F503" s="296"/>
      <c r="G503" s="326"/>
      <c r="H503" s="324"/>
      <c r="I503" s="325"/>
      <c r="J503" s="325"/>
      <c r="K503" s="318"/>
      <c r="L503" s="318"/>
      <c r="M503" s="319" t="str">
        <f>IFERROR(VLOOKUP(H503,Lijsten!$H$1:$I$100,2,0),"")</f>
        <v/>
      </c>
      <c r="N503" s="319" t="str">
        <f ca="1">IFERROR(IF(VLOOKUP(F503,Kostentypen!$A$3:$E$21,3,0)=0,"",IF(OR(F503="Arbeidskosten",F503="Vergoeding"),VLOOKUP(G503,Tb_KostenTypen[],2,0),VLOOKUP(F503,Kostentypen!$A$3:$E$20,3,0))),"")</f>
        <v/>
      </c>
      <c r="O503" s="320" t="str" cm="1">
        <f t="array" ref="O503">_xlfn.IFNA(IF(INDEX(Tb_KostenOptiesDB[],MATCH($F503,Tb_KostenOptiesDB[KostenOptie],0),IFERROR(MATCH(Methode_Keuze,Tb_KostenOptiesDB[#Headers],0),2))=1,_xlfn.SWITCH($N503,"Uurtarief",IF(OR(AND(RIGHT($F503,3)="IKS",VLOOKUP($M503,DB_Loonkosten,2,0)="Ja"),AND(RIGHT($F503,3)&lt;&gt;"IKS",VLOOKUP($M503,DB_Loonkosten,2,0)="Nee")),IFERROR(VLOOKUP($M503,DB_Loonkosten,24,0),""),0),"Vast tarief",IF(LEFT(F503,8)="Bijdrage",VLOOKUP($F503,Tb_KostenTypen[],MATCH(Lijsten!$P$1,Tb_KostenTypen[#Headers],0),0),VLOOKUP($G503,Lijsten!L:P,MATCH(Lijsten!$P$1,Kop_Tarief_Vast,0),0))),""),"")</f>
        <v/>
      </c>
      <c r="P503" s="320" t="str" cm="1">
        <f t="array" ref="P503">_xlfn.IFNA(IF(INDEX(Tb_KostenOptiesDB[],MATCH($F503,Tb_KostenOptiesDB[KostenOptie],0),IFERROR(MATCH(Methode_Keuze,Tb_KostenOptiesDB[#Headers],0),2))=1,_xlfn.SWITCH($N503,"Uurtarief",IF(OR(AND(RIGHT($F503,3)="IKS",VLOOKUP($M503,DB_Loonkosten,2,0)="Ja"),AND(RIGHT($F503,3)&lt;&gt;"IKS",VLOOKUP($M503,DB_Loonkosten,2,0)="Nee")),IFERROR(VLOOKUP($M503,DB_Loonkosten,25,0),""),0),"Vast tarief",IF(LEFT(F503,8)="Bijdrage",VLOOKUP($F503,Tb_KostenTypen[],MATCH(Lijsten!$P$1,Tb_KostenTypen[#Headers],0),0),VLOOKUP($G503,Lijsten!L:P,MATCH(Lijsten!$P$1,Kop_Tarief_Vast,0),0))),""),"")</f>
        <v/>
      </c>
      <c r="Q503" s="359"/>
      <c r="R503" s="359"/>
      <c r="S503" s="321"/>
      <c r="T503" s="321"/>
      <c r="U503" s="373" t="str">
        <f t="shared" si="28"/>
        <v/>
      </c>
      <c r="V503" s="314" t="str">
        <f t="shared" si="29"/>
        <v/>
      </c>
      <c r="W503" s="314" t="str" cm="1">
        <f t="array" aca="1" ref="W503" ca="1">IFERROR(IF(AE503&lt;&gt;"ja",_xlfn.IFNA(_xlfn.IFS(AND(O503&lt;&gt;"",F503&lt;&gt;"",RIGHT($N503,6)="tarief",F503="Vergoeding"),SUM(O503)*FLOOR(SUM(Q503),0.0001),AND(O503&lt;&gt;"",F503&lt;&gt;"",RIGHT($N503,6)="tarief"),SUM(O503)*FLOOR(SUM(Q503),0.01),S503&gt;0,IF(F503&lt;&gt;"",FLOOR(SUM(S503),0.01),"")),""),""),"")</f>
        <v/>
      </c>
      <c r="X503" s="314" t="str" cm="1">
        <f t="array" aca="1" ref="X503" ca="1">IFERROR(IF(AE503&lt;&gt;"ja",_xlfn.IFNA(_xlfn.IFS(AND(P503&lt;&gt;"",R503&lt;&gt;"",RIGHT($N503,6)="tarief",F503="Vergoeding"),SUM(P503)*FLOOR(SUM(R503),0.0001),AND(P503&lt;&gt;"",R503&lt;&gt;"",RIGHT($N503,6)="tarief"),P503*FLOOR(R503,0.01),T503&gt;0,FLOOR(SUM(T503),0.01)),""),""),"")</f>
        <v/>
      </c>
      <c r="Y503" s="314" t="str">
        <f t="shared" ca="1" si="30"/>
        <v/>
      </c>
      <c r="Z503" s="314" t="str" cm="1">
        <f t="array" aca="1" ref="Z503" ca="1">IFERROR(_xlfn.IFS(OR(F503="",LEFT(Methode_Keuze,4)="Geen",Methode_Keuze=""),"",AND(W503&lt;&gt;"",F503&lt;&gt;"Arbeidskosten"),W503*VLOOKUP(F503,Tb_ProjectKosten[],MATCH(Tb_ProjectKosten[[#Headers],[Forfait_Percentage]],Tb_ProjectKosten[#Headers],0),0),AND(F503="Arbeidskosten",G503&lt;&gt;""),IFERROR(W503*VLOOKUP(G503,Tb_KostenTypen[],3,0)*VLOOKUP(F503,Tb_ProjectKosten[],MATCH(Tb_ProjectKosten[[#Headers],[Forfait_Percentage]],Tb_ProjectKosten[#Headers],0),0),""),W503 &lt;=0,0),"")</f>
        <v/>
      </c>
      <c r="AA503" s="314" t="str" cm="1">
        <f t="array" aca="1" ref="AA503" ca="1">IFERROR(_xlfn.IFS(OR(F503="",LEFT(Methode_Keuze,4)="Geen",Methode_Keuze=""),"",AND(X503&lt;&gt;"",F503&lt;&gt;"Arbeidskosten"),X503*VLOOKUP(F503,Tb_ProjectKosten[],MATCH(Tb_ProjectKosten[[#Headers],[Forfait_Percentage]],Tb_ProjectKosten[#Headers],0),0),AND(F503="Arbeidskosten",G503&lt;&gt;""),IFERROR(X503*VLOOKUP(G503,Tb_KostenTypen[],3,0)*VLOOKUP(F503,Tb_ProjectKosten[],MATCH(Tb_ProjectKosten[[#Headers],[Forfait_Percentage]],Tb_ProjectKosten[#Headers],0),0),""),X503 &lt;=0,0),"")</f>
        <v/>
      </c>
      <c r="AB503" s="314" t="str">
        <f t="shared" ca="1" si="31"/>
        <v/>
      </c>
      <c r="AC503" s="322"/>
      <c r="AD503" s="315"/>
      <c r="AE503" s="32" t="str" cm="1">
        <f t="array" ref="AE503">IFERROR(IF(INDEX(SubsidieTabel!$AD$1:$AG$12,MATCH($F503,SubsidieTabel!$AD$1:$AD$12,0),IFERROR(MATCH(Methode_Keuze,SubsidieTabel!$AD$1:$AG$1,0),2))&lt;&gt;1=TRUE,"ja",""),"")</f>
        <v/>
      </c>
    </row>
    <row r="504" spans="1:31" x14ac:dyDescent="0.25">
      <c r="A504" s="316"/>
      <c r="B504" s="317" t="str">
        <f>IF(A504&lt;&gt;"",_xlfn.MAXIFS($B$1:B503,$A$1:A503,A504)+1,"")</f>
        <v/>
      </c>
      <c r="C504" s="296"/>
      <c r="D504" s="296"/>
      <c r="E504" s="296"/>
      <c r="F504" s="296"/>
      <c r="G504" s="326"/>
      <c r="H504" s="324"/>
      <c r="I504" s="325"/>
      <c r="J504" s="325"/>
      <c r="K504" s="318"/>
      <c r="L504" s="318"/>
      <c r="M504" s="319" t="str">
        <f>IFERROR(VLOOKUP(H504,Lijsten!$H$1:$I$100,2,0),"")</f>
        <v/>
      </c>
      <c r="N504" s="319" t="str">
        <f ca="1">IFERROR(IF(VLOOKUP(F504,Kostentypen!$A$3:$E$21,3,0)=0,"",IF(OR(F504="Arbeidskosten",F504="Vergoeding"),VLOOKUP(G504,Tb_KostenTypen[],2,0),VLOOKUP(F504,Kostentypen!$A$3:$E$20,3,0))),"")</f>
        <v/>
      </c>
      <c r="O504" s="320" t="str" cm="1">
        <f t="array" ref="O504">_xlfn.IFNA(IF(INDEX(Tb_KostenOptiesDB[],MATCH($F504,Tb_KostenOptiesDB[KostenOptie],0),IFERROR(MATCH(Methode_Keuze,Tb_KostenOptiesDB[#Headers],0),2))=1,_xlfn.SWITCH($N504,"Uurtarief",IF(OR(AND(RIGHT($F504,3)="IKS",VLOOKUP($M504,DB_Loonkosten,2,0)="Ja"),AND(RIGHT($F504,3)&lt;&gt;"IKS",VLOOKUP($M504,DB_Loonkosten,2,0)="Nee")),IFERROR(VLOOKUP($M504,DB_Loonkosten,24,0),""),0),"Vast tarief",IF(LEFT(F504,8)="Bijdrage",VLOOKUP($F504,Tb_KostenTypen[],MATCH(Lijsten!$P$1,Tb_KostenTypen[#Headers],0),0),VLOOKUP($G504,Lijsten!L:P,MATCH(Lijsten!$P$1,Kop_Tarief_Vast,0),0))),""),"")</f>
        <v/>
      </c>
      <c r="P504" s="320" t="str" cm="1">
        <f t="array" ref="P504">_xlfn.IFNA(IF(INDEX(Tb_KostenOptiesDB[],MATCH($F504,Tb_KostenOptiesDB[KostenOptie],0),IFERROR(MATCH(Methode_Keuze,Tb_KostenOptiesDB[#Headers],0),2))=1,_xlfn.SWITCH($N504,"Uurtarief",IF(OR(AND(RIGHT($F504,3)="IKS",VLOOKUP($M504,DB_Loonkosten,2,0)="Ja"),AND(RIGHT($F504,3)&lt;&gt;"IKS",VLOOKUP($M504,DB_Loonkosten,2,0)="Nee")),IFERROR(VLOOKUP($M504,DB_Loonkosten,25,0),""),0),"Vast tarief",IF(LEFT(F504,8)="Bijdrage",VLOOKUP($F504,Tb_KostenTypen[],MATCH(Lijsten!$P$1,Tb_KostenTypen[#Headers],0),0),VLOOKUP($G504,Lijsten!L:P,MATCH(Lijsten!$P$1,Kop_Tarief_Vast,0),0))),""),"")</f>
        <v/>
      </c>
      <c r="Q504" s="359"/>
      <c r="R504" s="359"/>
      <c r="S504" s="321"/>
      <c r="T504" s="321"/>
      <c r="U504" s="373" t="str">
        <f t="shared" si="28"/>
        <v/>
      </c>
      <c r="V504" s="314" t="str">
        <f t="shared" si="29"/>
        <v/>
      </c>
      <c r="W504" s="314" t="str" cm="1">
        <f t="array" aca="1" ref="W504" ca="1">IFERROR(IF(AE504&lt;&gt;"ja",_xlfn.IFNA(_xlfn.IFS(AND(O504&lt;&gt;"",F504&lt;&gt;"",RIGHT($N504,6)="tarief",F504="Vergoeding"),SUM(O504)*FLOOR(SUM(Q504),0.0001),AND(O504&lt;&gt;"",F504&lt;&gt;"",RIGHT($N504,6)="tarief"),SUM(O504)*FLOOR(SUM(Q504),0.01),S504&gt;0,IF(F504&lt;&gt;"",FLOOR(SUM(S504),0.01),"")),""),""),"")</f>
        <v/>
      </c>
      <c r="X504" s="314" t="str" cm="1">
        <f t="array" aca="1" ref="X504" ca="1">IFERROR(IF(AE504&lt;&gt;"ja",_xlfn.IFNA(_xlfn.IFS(AND(P504&lt;&gt;"",R504&lt;&gt;"",RIGHT($N504,6)="tarief",F504="Vergoeding"),SUM(P504)*FLOOR(SUM(R504),0.0001),AND(P504&lt;&gt;"",R504&lt;&gt;"",RIGHT($N504,6)="tarief"),P504*FLOOR(R504,0.01),T504&gt;0,FLOOR(SUM(T504),0.01)),""),""),"")</f>
        <v/>
      </c>
      <c r="Y504" s="314" t="str">
        <f t="shared" ca="1" si="30"/>
        <v/>
      </c>
      <c r="Z504" s="314" t="str" cm="1">
        <f t="array" aca="1" ref="Z504" ca="1">IFERROR(_xlfn.IFS(OR(F504="",LEFT(Methode_Keuze,4)="Geen",Methode_Keuze=""),"",AND(W504&lt;&gt;"",F504&lt;&gt;"Arbeidskosten"),W504*VLOOKUP(F504,Tb_ProjectKosten[],MATCH(Tb_ProjectKosten[[#Headers],[Forfait_Percentage]],Tb_ProjectKosten[#Headers],0),0),AND(F504="Arbeidskosten",G504&lt;&gt;""),IFERROR(W504*VLOOKUP(G504,Tb_KostenTypen[],3,0)*VLOOKUP(F504,Tb_ProjectKosten[],MATCH(Tb_ProjectKosten[[#Headers],[Forfait_Percentage]],Tb_ProjectKosten[#Headers],0),0),""),W504 &lt;=0,0),"")</f>
        <v/>
      </c>
      <c r="AA504" s="314" t="str" cm="1">
        <f t="array" aca="1" ref="AA504" ca="1">IFERROR(_xlfn.IFS(OR(F504="",LEFT(Methode_Keuze,4)="Geen",Methode_Keuze=""),"",AND(X504&lt;&gt;"",F504&lt;&gt;"Arbeidskosten"),X504*VLOOKUP(F504,Tb_ProjectKosten[],MATCH(Tb_ProjectKosten[[#Headers],[Forfait_Percentage]],Tb_ProjectKosten[#Headers],0),0),AND(F504="Arbeidskosten",G504&lt;&gt;""),IFERROR(X504*VLOOKUP(G504,Tb_KostenTypen[],3,0)*VLOOKUP(F504,Tb_ProjectKosten[],MATCH(Tb_ProjectKosten[[#Headers],[Forfait_Percentage]],Tb_ProjectKosten[#Headers],0),0),""),X504 &lt;=0,0),"")</f>
        <v/>
      </c>
      <c r="AB504" s="314" t="str">
        <f t="shared" ca="1" si="31"/>
        <v/>
      </c>
      <c r="AC504" s="322"/>
      <c r="AD504" s="315"/>
      <c r="AE504" s="32" t="str" cm="1">
        <f t="array" ref="AE504">IFERROR(IF(INDEX(SubsidieTabel!$AD$1:$AG$12,MATCH($F504,SubsidieTabel!$AD$1:$AD$12,0),IFERROR(MATCH(Methode_Keuze,SubsidieTabel!$AD$1:$AG$1,0),2))&lt;&gt;1=TRUE,"ja",""),"")</f>
        <v/>
      </c>
    </row>
    <row r="505" spans="1:31" x14ac:dyDescent="0.25">
      <c r="A505" s="316"/>
      <c r="B505" s="317" t="str">
        <f>IF(A505&lt;&gt;"",_xlfn.MAXIFS($B$1:B504,$A$1:A504,A505)+1,"")</f>
        <v/>
      </c>
      <c r="C505" s="296"/>
      <c r="D505" s="296"/>
      <c r="E505" s="296"/>
      <c r="F505" s="296"/>
      <c r="G505" s="326"/>
      <c r="H505" s="324"/>
      <c r="I505" s="325"/>
      <c r="J505" s="325"/>
      <c r="K505" s="318"/>
      <c r="L505" s="318"/>
      <c r="M505" s="319" t="str">
        <f>IFERROR(VLOOKUP(H505,Lijsten!$H$1:$I$100,2,0),"")</f>
        <v/>
      </c>
      <c r="N505" s="319" t="str">
        <f ca="1">IFERROR(IF(VLOOKUP(F505,Kostentypen!$A$3:$E$21,3,0)=0,"",IF(OR(F505="Arbeidskosten",F505="Vergoeding"),VLOOKUP(G505,Tb_KostenTypen[],2,0),VLOOKUP(F505,Kostentypen!$A$3:$E$20,3,0))),"")</f>
        <v/>
      </c>
      <c r="O505" s="320" t="str" cm="1">
        <f t="array" ref="O505">_xlfn.IFNA(IF(INDEX(Tb_KostenOptiesDB[],MATCH($F505,Tb_KostenOptiesDB[KostenOptie],0),IFERROR(MATCH(Methode_Keuze,Tb_KostenOptiesDB[#Headers],0),2))=1,_xlfn.SWITCH($N505,"Uurtarief",IF(OR(AND(RIGHT($F505,3)="IKS",VLOOKUP($M505,DB_Loonkosten,2,0)="Ja"),AND(RIGHT($F505,3)&lt;&gt;"IKS",VLOOKUP($M505,DB_Loonkosten,2,0)="Nee")),IFERROR(VLOOKUP($M505,DB_Loonkosten,24,0),""),0),"Vast tarief",IF(LEFT(F505,8)="Bijdrage",VLOOKUP($F505,Tb_KostenTypen[],MATCH(Lijsten!$P$1,Tb_KostenTypen[#Headers],0),0),VLOOKUP($G505,Lijsten!L:P,MATCH(Lijsten!$P$1,Kop_Tarief_Vast,0),0))),""),"")</f>
        <v/>
      </c>
      <c r="P505" s="320" t="str" cm="1">
        <f t="array" ref="P505">_xlfn.IFNA(IF(INDEX(Tb_KostenOptiesDB[],MATCH($F505,Tb_KostenOptiesDB[KostenOptie],0),IFERROR(MATCH(Methode_Keuze,Tb_KostenOptiesDB[#Headers],0),2))=1,_xlfn.SWITCH($N505,"Uurtarief",IF(OR(AND(RIGHT($F505,3)="IKS",VLOOKUP($M505,DB_Loonkosten,2,0)="Ja"),AND(RIGHT($F505,3)&lt;&gt;"IKS",VLOOKUP($M505,DB_Loonkosten,2,0)="Nee")),IFERROR(VLOOKUP($M505,DB_Loonkosten,25,0),""),0),"Vast tarief",IF(LEFT(F505,8)="Bijdrage",VLOOKUP($F505,Tb_KostenTypen[],MATCH(Lijsten!$P$1,Tb_KostenTypen[#Headers],0),0),VLOOKUP($G505,Lijsten!L:P,MATCH(Lijsten!$P$1,Kop_Tarief_Vast,0),0))),""),"")</f>
        <v/>
      </c>
      <c r="Q505" s="359"/>
      <c r="R505" s="359"/>
      <c r="S505" s="321"/>
      <c r="T505" s="321"/>
      <c r="U505" s="373" t="str">
        <f t="shared" si="28"/>
        <v/>
      </c>
      <c r="V505" s="314" t="str">
        <f t="shared" si="29"/>
        <v/>
      </c>
      <c r="W505" s="314" t="str" cm="1">
        <f t="array" aca="1" ref="W505" ca="1">IFERROR(IF(AE505&lt;&gt;"ja",_xlfn.IFNA(_xlfn.IFS(AND(O505&lt;&gt;"",F505&lt;&gt;"",RIGHT($N505,6)="tarief",F505="Vergoeding"),SUM(O505)*FLOOR(SUM(Q505),0.0001),AND(O505&lt;&gt;"",F505&lt;&gt;"",RIGHT($N505,6)="tarief"),SUM(O505)*FLOOR(SUM(Q505),0.01),S505&gt;0,IF(F505&lt;&gt;"",FLOOR(SUM(S505),0.01),"")),""),""),"")</f>
        <v/>
      </c>
      <c r="X505" s="314" t="str" cm="1">
        <f t="array" aca="1" ref="X505" ca="1">IFERROR(IF(AE505&lt;&gt;"ja",_xlfn.IFNA(_xlfn.IFS(AND(P505&lt;&gt;"",R505&lt;&gt;"",RIGHT($N505,6)="tarief",F505="Vergoeding"),SUM(P505)*FLOOR(SUM(R505),0.0001),AND(P505&lt;&gt;"",R505&lt;&gt;"",RIGHT($N505,6)="tarief"),P505*FLOOR(R505,0.01),T505&gt;0,FLOOR(SUM(T505),0.01)),""),""),"")</f>
        <v/>
      </c>
      <c r="Y505" s="314" t="str">
        <f t="shared" ca="1" si="30"/>
        <v/>
      </c>
      <c r="Z505" s="314" t="str" cm="1">
        <f t="array" aca="1" ref="Z505" ca="1">IFERROR(_xlfn.IFS(OR(F505="",LEFT(Methode_Keuze,4)="Geen",Methode_Keuze=""),"",AND(W505&lt;&gt;"",F505&lt;&gt;"Arbeidskosten"),W505*VLOOKUP(F505,Tb_ProjectKosten[],MATCH(Tb_ProjectKosten[[#Headers],[Forfait_Percentage]],Tb_ProjectKosten[#Headers],0),0),AND(F505="Arbeidskosten",G505&lt;&gt;""),IFERROR(W505*VLOOKUP(G505,Tb_KostenTypen[],3,0)*VLOOKUP(F505,Tb_ProjectKosten[],MATCH(Tb_ProjectKosten[[#Headers],[Forfait_Percentage]],Tb_ProjectKosten[#Headers],0),0),""),W505 &lt;=0,0),"")</f>
        <v/>
      </c>
      <c r="AA505" s="314" t="str" cm="1">
        <f t="array" aca="1" ref="AA505" ca="1">IFERROR(_xlfn.IFS(OR(F505="",LEFT(Methode_Keuze,4)="Geen",Methode_Keuze=""),"",AND(X505&lt;&gt;"",F505&lt;&gt;"Arbeidskosten"),X505*VLOOKUP(F505,Tb_ProjectKosten[],MATCH(Tb_ProjectKosten[[#Headers],[Forfait_Percentage]],Tb_ProjectKosten[#Headers],0),0),AND(F505="Arbeidskosten",G505&lt;&gt;""),IFERROR(X505*VLOOKUP(G505,Tb_KostenTypen[],3,0)*VLOOKUP(F505,Tb_ProjectKosten[],MATCH(Tb_ProjectKosten[[#Headers],[Forfait_Percentage]],Tb_ProjectKosten[#Headers],0),0),""),X505 &lt;=0,0),"")</f>
        <v/>
      </c>
      <c r="AB505" s="314" t="str">
        <f t="shared" ca="1" si="31"/>
        <v/>
      </c>
      <c r="AC505" s="322"/>
      <c r="AD505" s="315"/>
      <c r="AE505" s="32" t="str" cm="1">
        <f t="array" ref="AE505">IFERROR(IF(INDEX(SubsidieTabel!$AD$1:$AG$12,MATCH($F505,SubsidieTabel!$AD$1:$AD$12,0),IFERROR(MATCH(Methode_Keuze,SubsidieTabel!$AD$1:$AG$1,0),2))&lt;&gt;1=TRUE,"ja",""),"")</f>
        <v/>
      </c>
    </row>
    <row r="506" spans="1:31" x14ac:dyDescent="0.25">
      <c r="A506" s="316"/>
      <c r="B506" s="317" t="str">
        <f>IF(A506&lt;&gt;"",_xlfn.MAXIFS($B$1:B505,$A$1:A505,A506)+1,"")</f>
        <v/>
      </c>
      <c r="C506" s="296"/>
      <c r="D506" s="296"/>
      <c r="E506" s="296"/>
      <c r="F506" s="296"/>
      <c r="G506" s="326"/>
      <c r="H506" s="324"/>
      <c r="I506" s="325"/>
      <c r="J506" s="325"/>
      <c r="K506" s="318"/>
      <c r="L506" s="318"/>
      <c r="M506" s="319" t="str">
        <f>IFERROR(VLOOKUP(H506,Lijsten!$H$1:$I$100,2,0),"")</f>
        <v/>
      </c>
      <c r="N506" s="319" t="str">
        <f ca="1">IFERROR(IF(VLOOKUP(F506,Kostentypen!$A$3:$E$21,3,0)=0,"",IF(OR(F506="Arbeidskosten",F506="Vergoeding"),VLOOKUP(G506,Tb_KostenTypen[],2,0),VLOOKUP(F506,Kostentypen!$A$3:$E$20,3,0))),"")</f>
        <v/>
      </c>
      <c r="O506" s="320" t="str" cm="1">
        <f t="array" ref="O506">_xlfn.IFNA(IF(INDEX(Tb_KostenOptiesDB[],MATCH($F506,Tb_KostenOptiesDB[KostenOptie],0),IFERROR(MATCH(Methode_Keuze,Tb_KostenOptiesDB[#Headers],0),2))=1,_xlfn.SWITCH($N506,"Uurtarief",IF(OR(AND(RIGHT($F506,3)="IKS",VLOOKUP($M506,DB_Loonkosten,2,0)="Ja"),AND(RIGHT($F506,3)&lt;&gt;"IKS",VLOOKUP($M506,DB_Loonkosten,2,0)="Nee")),IFERROR(VLOOKUP($M506,DB_Loonkosten,24,0),""),0),"Vast tarief",IF(LEFT(F506,8)="Bijdrage",VLOOKUP($F506,Tb_KostenTypen[],MATCH(Lijsten!$P$1,Tb_KostenTypen[#Headers],0),0),VLOOKUP($G506,Lijsten!L:P,MATCH(Lijsten!$P$1,Kop_Tarief_Vast,0),0))),""),"")</f>
        <v/>
      </c>
      <c r="P506" s="320" t="str" cm="1">
        <f t="array" ref="P506">_xlfn.IFNA(IF(INDEX(Tb_KostenOptiesDB[],MATCH($F506,Tb_KostenOptiesDB[KostenOptie],0),IFERROR(MATCH(Methode_Keuze,Tb_KostenOptiesDB[#Headers],0),2))=1,_xlfn.SWITCH($N506,"Uurtarief",IF(OR(AND(RIGHT($F506,3)="IKS",VLOOKUP($M506,DB_Loonkosten,2,0)="Ja"),AND(RIGHT($F506,3)&lt;&gt;"IKS",VLOOKUP($M506,DB_Loonkosten,2,0)="Nee")),IFERROR(VLOOKUP($M506,DB_Loonkosten,25,0),""),0),"Vast tarief",IF(LEFT(F506,8)="Bijdrage",VLOOKUP($F506,Tb_KostenTypen[],MATCH(Lijsten!$P$1,Tb_KostenTypen[#Headers],0),0),VLOOKUP($G506,Lijsten!L:P,MATCH(Lijsten!$P$1,Kop_Tarief_Vast,0),0))),""),"")</f>
        <v/>
      </c>
      <c r="Q506" s="359"/>
      <c r="R506" s="359"/>
      <c r="S506" s="321"/>
      <c r="T506" s="321"/>
      <c r="U506" s="373" t="str">
        <f t="shared" si="28"/>
        <v/>
      </c>
      <c r="V506" s="314" t="str">
        <f t="shared" si="29"/>
        <v/>
      </c>
      <c r="W506" s="314" t="str" cm="1">
        <f t="array" aca="1" ref="W506" ca="1">IFERROR(IF(AE506&lt;&gt;"ja",_xlfn.IFNA(_xlfn.IFS(AND(O506&lt;&gt;"",F506&lt;&gt;"",RIGHT($N506,6)="tarief",F506="Vergoeding"),SUM(O506)*FLOOR(SUM(Q506),0.0001),AND(O506&lt;&gt;"",F506&lt;&gt;"",RIGHT($N506,6)="tarief"),SUM(O506)*FLOOR(SUM(Q506),0.01),S506&gt;0,IF(F506&lt;&gt;"",FLOOR(SUM(S506),0.01),"")),""),""),"")</f>
        <v/>
      </c>
      <c r="X506" s="314" t="str" cm="1">
        <f t="array" aca="1" ref="X506" ca="1">IFERROR(IF(AE506&lt;&gt;"ja",_xlfn.IFNA(_xlfn.IFS(AND(P506&lt;&gt;"",R506&lt;&gt;"",RIGHT($N506,6)="tarief",F506="Vergoeding"),SUM(P506)*FLOOR(SUM(R506),0.0001),AND(P506&lt;&gt;"",R506&lt;&gt;"",RIGHT($N506,6)="tarief"),P506*FLOOR(R506,0.01),T506&gt;0,FLOOR(SUM(T506),0.01)),""),""),"")</f>
        <v/>
      </c>
      <c r="Y506" s="314" t="str">
        <f t="shared" ca="1" si="30"/>
        <v/>
      </c>
      <c r="Z506" s="314" t="str" cm="1">
        <f t="array" aca="1" ref="Z506" ca="1">IFERROR(_xlfn.IFS(OR(F506="",LEFT(Methode_Keuze,4)="Geen",Methode_Keuze=""),"",AND(W506&lt;&gt;"",F506&lt;&gt;"Arbeidskosten"),W506*VLOOKUP(F506,Tb_ProjectKosten[],MATCH(Tb_ProjectKosten[[#Headers],[Forfait_Percentage]],Tb_ProjectKosten[#Headers],0),0),AND(F506="Arbeidskosten",G506&lt;&gt;""),IFERROR(W506*VLOOKUP(G506,Tb_KostenTypen[],3,0)*VLOOKUP(F506,Tb_ProjectKosten[],MATCH(Tb_ProjectKosten[[#Headers],[Forfait_Percentage]],Tb_ProjectKosten[#Headers],0),0),""),W506 &lt;=0,0),"")</f>
        <v/>
      </c>
      <c r="AA506" s="314" t="str" cm="1">
        <f t="array" aca="1" ref="AA506" ca="1">IFERROR(_xlfn.IFS(OR(F506="",LEFT(Methode_Keuze,4)="Geen",Methode_Keuze=""),"",AND(X506&lt;&gt;"",F506&lt;&gt;"Arbeidskosten"),X506*VLOOKUP(F506,Tb_ProjectKosten[],MATCH(Tb_ProjectKosten[[#Headers],[Forfait_Percentage]],Tb_ProjectKosten[#Headers],0),0),AND(F506="Arbeidskosten",G506&lt;&gt;""),IFERROR(X506*VLOOKUP(G506,Tb_KostenTypen[],3,0)*VLOOKUP(F506,Tb_ProjectKosten[],MATCH(Tb_ProjectKosten[[#Headers],[Forfait_Percentage]],Tb_ProjectKosten[#Headers],0),0),""),X506 &lt;=0,0),"")</f>
        <v/>
      </c>
      <c r="AB506" s="314" t="str">
        <f t="shared" ca="1" si="31"/>
        <v/>
      </c>
      <c r="AC506" s="322"/>
      <c r="AD506" s="315"/>
      <c r="AE506" s="32" t="str" cm="1">
        <f t="array" ref="AE506">IFERROR(IF(INDEX(SubsidieTabel!$AD$1:$AG$12,MATCH($F506,SubsidieTabel!$AD$1:$AD$12,0),IFERROR(MATCH(Methode_Keuze,SubsidieTabel!$AD$1:$AG$1,0),2))&lt;&gt;1=TRUE,"ja",""),"")</f>
        <v/>
      </c>
    </row>
    <row r="507" spans="1:31" x14ac:dyDescent="0.25">
      <c r="A507" s="316"/>
      <c r="B507" s="317" t="str">
        <f>IF(A507&lt;&gt;"",_xlfn.MAXIFS($B$1:B506,$A$1:A506,A507)+1,"")</f>
        <v/>
      </c>
      <c r="C507" s="296"/>
      <c r="D507" s="296"/>
      <c r="E507" s="296"/>
      <c r="F507" s="296"/>
      <c r="G507" s="326"/>
      <c r="H507" s="324"/>
      <c r="I507" s="325"/>
      <c r="J507" s="325"/>
      <c r="K507" s="318"/>
      <c r="L507" s="318"/>
      <c r="M507" s="319" t="str">
        <f>IFERROR(VLOOKUP(H507,Lijsten!$H$1:$I$100,2,0),"")</f>
        <v/>
      </c>
      <c r="N507" s="319" t="str">
        <f ca="1">IFERROR(IF(VLOOKUP(F507,Kostentypen!$A$3:$E$21,3,0)=0,"",IF(OR(F507="Arbeidskosten",F507="Vergoeding"),VLOOKUP(G507,Tb_KostenTypen[],2,0),VLOOKUP(F507,Kostentypen!$A$3:$E$20,3,0))),"")</f>
        <v/>
      </c>
      <c r="O507" s="320" t="str" cm="1">
        <f t="array" ref="O507">_xlfn.IFNA(IF(INDEX(Tb_KostenOptiesDB[],MATCH($F507,Tb_KostenOptiesDB[KostenOptie],0),IFERROR(MATCH(Methode_Keuze,Tb_KostenOptiesDB[#Headers],0),2))=1,_xlfn.SWITCH($N507,"Uurtarief",IF(OR(AND(RIGHT($F507,3)="IKS",VLOOKUP($M507,DB_Loonkosten,2,0)="Ja"),AND(RIGHT($F507,3)&lt;&gt;"IKS",VLOOKUP($M507,DB_Loonkosten,2,0)="Nee")),IFERROR(VLOOKUP($M507,DB_Loonkosten,24,0),""),0),"Vast tarief",IF(LEFT(F507,8)="Bijdrage",VLOOKUP($F507,Tb_KostenTypen[],MATCH(Lijsten!$P$1,Tb_KostenTypen[#Headers],0),0),VLOOKUP($G507,Lijsten!L:P,MATCH(Lijsten!$P$1,Kop_Tarief_Vast,0),0))),""),"")</f>
        <v/>
      </c>
      <c r="P507" s="320" t="str" cm="1">
        <f t="array" ref="P507">_xlfn.IFNA(IF(INDEX(Tb_KostenOptiesDB[],MATCH($F507,Tb_KostenOptiesDB[KostenOptie],0),IFERROR(MATCH(Methode_Keuze,Tb_KostenOptiesDB[#Headers],0),2))=1,_xlfn.SWITCH($N507,"Uurtarief",IF(OR(AND(RIGHT($F507,3)="IKS",VLOOKUP($M507,DB_Loonkosten,2,0)="Ja"),AND(RIGHT($F507,3)&lt;&gt;"IKS",VLOOKUP($M507,DB_Loonkosten,2,0)="Nee")),IFERROR(VLOOKUP($M507,DB_Loonkosten,25,0),""),0),"Vast tarief",IF(LEFT(F507,8)="Bijdrage",VLOOKUP($F507,Tb_KostenTypen[],MATCH(Lijsten!$P$1,Tb_KostenTypen[#Headers],0),0),VLOOKUP($G507,Lijsten!L:P,MATCH(Lijsten!$P$1,Kop_Tarief_Vast,0),0))),""),"")</f>
        <v/>
      </c>
      <c r="Q507" s="359"/>
      <c r="R507" s="359"/>
      <c r="S507" s="321"/>
      <c r="T507" s="321"/>
      <c r="U507" s="373" t="str">
        <f t="shared" si="28"/>
        <v/>
      </c>
      <c r="V507" s="314" t="str">
        <f t="shared" si="29"/>
        <v/>
      </c>
      <c r="W507" s="314" t="str" cm="1">
        <f t="array" aca="1" ref="W507" ca="1">IFERROR(IF(AE507&lt;&gt;"ja",_xlfn.IFNA(_xlfn.IFS(AND(O507&lt;&gt;"",F507&lt;&gt;"",RIGHT($N507,6)="tarief",F507="Vergoeding"),SUM(O507)*FLOOR(SUM(Q507),0.0001),AND(O507&lt;&gt;"",F507&lt;&gt;"",RIGHT($N507,6)="tarief"),SUM(O507)*FLOOR(SUM(Q507),0.01),S507&gt;0,IF(F507&lt;&gt;"",FLOOR(SUM(S507),0.01),"")),""),""),"")</f>
        <v/>
      </c>
      <c r="X507" s="314" t="str" cm="1">
        <f t="array" aca="1" ref="X507" ca="1">IFERROR(IF(AE507&lt;&gt;"ja",_xlfn.IFNA(_xlfn.IFS(AND(P507&lt;&gt;"",R507&lt;&gt;"",RIGHT($N507,6)="tarief",F507="Vergoeding"),SUM(P507)*FLOOR(SUM(R507),0.0001),AND(P507&lt;&gt;"",R507&lt;&gt;"",RIGHT($N507,6)="tarief"),P507*FLOOR(R507,0.01),T507&gt;0,FLOOR(SUM(T507),0.01)),""),""),"")</f>
        <v/>
      </c>
      <c r="Y507" s="314" t="str">
        <f t="shared" ca="1" si="30"/>
        <v/>
      </c>
      <c r="Z507" s="314" t="str" cm="1">
        <f t="array" aca="1" ref="Z507" ca="1">IFERROR(_xlfn.IFS(OR(F507="",LEFT(Methode_Keuze,4)="Geen",Methode_Keuze=""),"",AND(W507&lt;&gt;"",F507&lt;&gt;"Arbeidskosten"),W507*VLOOKUP(F507,Tb_ProjectKosten[],MATCH(Tb_ProjectKosten[[#Headers],[Forfait_Percentage]],Tb_ProjectKosten[#Headers],0),0),AND(F507="Arbeidskosten",G507&lt;&gt;""),IFERROR(W507*VLOOKUP(G507,Tb_KostenTypen[],3,0)*VLOOKUP(F507,Tb_ProjectKosten[],MATCH(Tb_ProjectKosten[[#Headers],[Forfait_Percentage]],Tb_ProjectKosten[#Headers],0),0),""),W507 &lt;=0,0),"")</f>
        <v/>
      </c>
      <c r="AA507" s="314" t="str" cm="1">
        <f t="array" aca="1" ref="AA507" ca="1">IFERROR(_xlfn.IFS(OR(F507="",LEFT(Methode_Keuze,4)="Geen",Methode_Keuze=""),"",AND(X507&lt;&gt;"",F507&lt;&gt;"Arbeidskosten"),X507*VLOOKUP(F507,Tb_ProjectKosten[],MATCH(Tb_ProjectKosten[[#Headers],[Forfait_Percentage]],Tb_ProjectKosten[#Headers],0),0),AND(F507="Arbeidskosten",G507&lt;&gt;""),IFERROR(X507*VLOOKUP(G507,Tb_KostenTypen[],3,0)*VLOOKUP(F507,Tb_ProjectKosten[],MATCH(Tb_ProjectKosten[[#Headers],[Forfait_Percentage]],Tb_ProjectKosten[#Headers],0),0),""),X507 &lt;=0,0),"")</f>
        <v/>
      </c>
      <c r="AB507" s="314" t="str">
        <f t="shared" ca="1" si="31"/>
        <v/>
      </c>
      <c r="AC507" s="322"/>
      <c r="AD507" s="315"/>
      <c r="AE507" s="32" t="str" cm="1">
        <f t="array" ref="AE507">IFERROR(IF(INDEX(SubsidieTabel!$AD$1:$AG$12,MATCH($F507,SubsidieTabel!$AD$1:$AD$12,0),IFERROR(MATCH(Methode_Keuze,SubsidieTabel!$AD$1:$AG$1,0),2))&lt;&gt;1=TRUE,"ja",""),"")</f>
        <v/>
      </c>
    </row>
    <row r="508" spans="1:31" x14ac:dyDescent="0.25">
      <c r="A508" s="316"/>
      <c r="B508" s="317" t="str">
        <f>IF(A508&lt;&gt;"",_xlfn.MAXIFS($B$1:B507,$A$1:A507,A508)+1,"")</f>
        <v/>
      </c>
      <c r="C508" s="296"/>
      <c r="D508" s="296"/>
      <c r="E508" s="296"/>
      <c r="F508" s="296"/>
      <c r="G508" s="326"/>
      <c r="H508" s="324"/>
      <c r="I508" s="325"/>
      <c r="J508" s="325"/>
      <c r="K508" s="318"/>
      <c r="L508" s="318"/>
      <c r="M508" s="319" t="str">
        <f>IFERROR(VLOOKUP(H508,Lijsten!$H$1:$I$100,2,0),"")</f>
        <v/>
      </c>
      <c r="N508" s="319" t="str">
        <f ca="1">IFERROR(IF(VLOOKUP(F508,Kostentypen!$A$3:$E$21,3,0)=0,"",IF(OR(F508="Arbeidskosten",F508="Vergoeding"),VLOOKUP(G508,Tb_KostenTypen[],2,0),VLOOKUP(F508,Kostentypen!$A$3:$E$20,3,0))),"")</f>
        <v/>
      </c>
      <c r="O508" s="320" t="str" cm="1">
        <f t="array" ref="O508">_xlfn.IFNA(IF(INDEX(Tb_KostenOptiesDB[],MATCH($F508,Tb_KostenOptiesDB[KostenOptie],0),IFERROR(MATCH(Methode_Keuze,Tb_KostenOptiesDB[#Headers],0),2))=1,_xlfn.SWITCH($N508,"Uurtarief",IF(OR(AND(RIGHT($F508,3)="IKS",VLOOKUP($M508,DB_Loonkosten,2,0)="Ja"),AND(RIGHT($F508,3)&lt;&gt;"IKS",VLOOKUP($M508,DB_Loonkosten,2,0)="Nee")),IFERROR(VLOOKUP($M508,DB_Loonkosten,24,0),""),0),"Vast tarief",IF(LEFT(F508,8)="Bijdrage",VLOOKUP($F508,Tb_KostenTypen[],MATCH(Lijsten!$P$1,Tb_KostenTypen[#Headers],0),0),VLOOKUP($G508,Lijsten!L:P,MATCH(Lijsten!$P$1,Kop_Tarief_Vast,0),0))),""),"")</f>
        <v/>
      </c>
      <c r="P508" s="320" t="str" cm="1">
        <f t="array" ref="P508">_xlfn.IFNA(IF(INDEX(Tb_KostenOptiesDB[],MATCH($F508,Tb_KostenOptiesDB[KostenOptie],0),IFERROR(MATCH(Methode_Keuze,Tb_KostenOptiesDB[#Headers],0),2))=1,_xlfn.SWITCH($N508,"Uurtarief",IF(OR(AND(RIGHT($F508,3)="IKS",VLOOKUP($M508,DB_Loonkosten,2,0)="Ja"),AND(RIGHT($F508,3)&lt;&gt;"IKS",VLOOKUP($M508,DB_Loonkosten,2,0)="Nee")),IFERROR(VLOOKUP($M508,DB_Loonkosten,25,0),""),0),"Vast tarief",IF(LEFT(F508,8)="Bijdrage",VLOOKUP($F508,Tb_KostenTypen[],MATCH(Lijsten!$P$1,Tb_KostenTypen[#Headers],0),0),VLOOKUP($G508,Lijsten!L:P,MATCH(Lijsten!$P$1,Kop_Tarief_Vast,0),0))),""),"")</f>
        <v/>
      </c>
      <c r="Q508" s="359"/>
      <c r="R508" s="359"/>
      <c r="S508" s="321"/>
      <c r="T508" s="321"/>
      <c r="U508" s="373" t="str">
        <f t="shared" si="28"/>
        <v/>
      </c>
      <c r="V508" s="314" t="str">
        <f t="shared" si="29"/>
        <v/>
      </c>
      <c r="W508" s="314" t="str" cm="1">
        <f t="array" aca="1" ref="W508" ca="1">IFERROR(IF(AE508&lt;&gt;"ja",_xlfn.IFNA(_xlfn.IFS(AND(O508&lt;&gt;"",F508&lt;&gt;"",RIGHT($N508,6)="tarief",F508="Vergoeding"),SUM(O508)*FLOOR(SUM(Q508),0.0001),AND(O508&lt;&gt;"",F508&lt;&gt;"",RIGHT($N508,6)="tarief"),SUM(O508)*FLOOR(SUM(Q508),0.01),S508&gt;0,IF(F508&lt;&gt;"",FLOOR(SUM(S508),0.01),"")),""),""),"")</f>
        <v/>
      </c>
      <c r="X508" s="314" t="str" cm="1">
        <f t="array" aca="1" ref="X508" ca="1">IFERROR(IF(AE508&lt;&gt;"ja",_xlfn.IFNA(_xlfn.IFS(AND(P508&lt;&gt;"",R508&lt;&gt;"",RIGHT($N508,6)="tarief",F508="Vergoeding"),SUM(P508)*FLOOR(SUM(R508),0.0001),AND(P508&lt;&gt;"",R508&lt;&gt;"",RIGHT($N508,6)="tarief"),P508*FLOOR(R508,0.01),T508&gt;0,FLOOR(SUM(T508),0.01)),""),""),"")</f>
        <v/>
      </c>
      <c r="Y508" s="314" t="str">
        <f t="shared" ca="1" si="30"/>
        <v/>
      </c>
      <c r="Z508" s="314" t="str" cm="1">
        <f t="array" aca="1" ref="Z508" ca="1">IFERROR(_xlfn.IFS(OR(F508="",LEFT(Methode_Keuze,4)="Geen",Methode_Keuze=""),"",AND(W508&lt;&gt;"",F508&lt;&gt;"Arbeidskosten"),W508*VLOOKUP(F508,Tb_ProjectKosten[],MATCH(Tb_ProjectKosten[[#Headers],[Forfait_Percentage]],Tb_ProjectKosten[#Headers],0),0),AND(F508="Arbeidskosten",G508&lt;&gt;""),IFERROR(W508*VLOOKUP(G508,Tb_KostenTypen[],3,0)*VLOOKUP(F508,Tb_ProjectKosten[],MATCH(Tb_ProjectKosten[[#Headers],[Forfait_Percentage]],Tb_ProjectKosten[#Headers],0),0),""),W508 &lt;=0,0),"")</f>
        <v/>
      </c>
      <c r="AA508" s="314" t="str" cm="1">
        <f t="array" aca="1" ref="AA508" ca="1">IFERROR(_xlfn.IFS(OR(F508="",LEFT(Methode_Keuze,4)="Geen",Methode_Keuze=""),"",AND(X508&lt;&gt;"",F508&lt;&gt;"Arbeidskosten"),X508*VLOOKUP(F508,Tb_ProjectKosten[],MATCH(Tb_ProjectKosten[[#Headers],[Forfait_Percentage]],Tb_ProjectKosten[#Headers],0),0),AND(F508="Arbeidskosten",G508&lt;&gt;""),IFERROR(X508*VLOOKUP(G508,Tb_KostenTypen[],3,0)*VLOOKUP(F508,Tb_ProjectKosten[],MATCH(Tb_ProjectKosten[[#Headers],[Forfait_Percentage]],Tb_ProjectKosten[#Headers],0),0),""),X508 &lt;=0,0),"")</f>
        <v/>
      </c>
      <c r="AB508" s="314" t="str">
        <f t="shared" ca="1" si="31"/>
        <v/>
      </c>
      <c r="AC508" s="322"/>
      <c r="AD508" s="315"/>
      <c r="AE508" s="32" t="str" cm="1">
        <f t="array" ref="AE508">IFERROR(IF(INDEX(SubsidieTabel!$AD$1:$AG$12,MATCH($F508,SubsidieTabel!$AD$1:$AD$12,0),IFERROR(MATCH(Methode_Keuze,SubsidieTabel!$AD$1:$AG$1,0),2))&lt;&gt;1=TRUE,"ja",""),"")</f>
        <v/>
      </c>
    </row>
    <row r="509" spans="1:31" x14ac:dyDescent="0.25">
      <c r="A509" s="316"/>
      <c r="B509" s="317" t="str">
        <f>IF(A509&lt;&gt;"",_xlfn.MAXIFS($B$1:B508,$A$1:A508,A509)+1,"")</f>
        <v/>
      </c>
      <c r="C509" s="296"/>
      <c r="D509" s="296"/>
      <c r="E509" s="296"/>
      <c r="F509" s="296"/>
      <c r="G509" s="326"/>
      <c r="H509" s="324"/>
      <c r="I509" s="325"/>
      <c r="J509" s="325"/>
      <c r="K509" s="318"/>
      <c r="L509" s="318"/>
      <c r="M509" s="319" t="str">
        <f>IFERROR(VLOOKUP(H509,Lijsten!$H$1:$I$100,2,0),"")</f>
        <v/>
      </c>
      <c r="N509" s="319" t="str">
        <f ca="1">IFERROR(IF(VLOOKUP(F509,Kostentypen!$A$3:$E$21,3,0)=0,"",IF(OR(F509="Arbeidskosten",F509="Vergoeding"),VLOOKUP(G509,Tb_KostenTypen[],2,0),VLOOKUP(F509,Kostentypen!$A$3:$E$20,3,0))),"")</f>
        <v/>
      </c>
      <c r="O509" s="320" t="str" cm="1">
        <f t="array" ref="O509">_xlfn.IFNA(IF(INDEX(Tb_KostenOptiesDB[],MATCH($F509,Tb_KostenOptiesDB[KostenOptie],0),IFERROR(MATCH(Methode_Keuze,Tb_KostenOptiesDB[#Headers],0),2))=1,_xlfn.SWITCH($N509,"Uurtarief",IF(OR(AND(RIGHT($F509,3)="IKS",VLOOKUP($M509,DB_Loonkosten,2,0)="Ja"),AND(RIGHT($F509,3)&lt;&gt;"IKS",VLOOKUP($M509,DB_Loonkosten,2,0)="Nee")),IFERROR(VLOOKUP($M509,DB_Loonkosten,24,0),""),0),"Vast tarief",IF(LEFT(F509,8)="Bijdrage",VLOOKUP($F509,Tb_KostenTypen[],MATCH(Lijsten!$P$1,Tb_KostenTypen[#Headers],0),0),VLOOKUP($G509,Lijsten!L:P,MATCH(Lijsten!$P$1,Kop_Tarief_Vast,0),0))),""),"")</f>
        <v/>
      </c>
      <c r="P509" s="320" t="str" cm="1">
        <f t="array" ref="P509">_xlfn.IFNA(IF(INDEX(Tb_KostenOptiesDB[],MATCH($F509,Tb_KostenOptiesDB[KostenOptie],0),IFERROR(MATCH(Methode_Keuze,Tb_KostenOptiesDB[#Headers],0),2))=1,_xlfn.SWITCH($N509,"Uurtarief",IF(OR(AND(RIGHT($F509,3)="IKS",VLOOKUP($M509,DB_Loonkosten,2,0)="Ja"),AND(RIGHT($F509,3)&lt;&gt;"IKS",VLOOKUP($M509,DB_Loonkosten,2,0)="Nee")),IFERROR(VLOOKUP($M509,DB_Loonkosten,25,0),""),0),"Vast tarief",IF(LEFT(F509,8)="Bijdrage",VLOOKUP($F509,Tb_KostenTypen[],MATCH(Lijsten!$P$1,Tb_KostenTypen[#Headers],0),0),VLOOKUP($G509,Lijsten!L:P,MATCH(Lijsten!$P$1,Kop_Tarief_Vast,0),0))),""),"")</f>
        <v/>
      </c>
      <c r="Q509" s="359"/>
      <c r="R509" s="359"/>
      <c r="S509" s="321"/>
      <c r="T509" s="321"/>
      <c r="U509" s="373" t="str">
        <f t="shared" si="28"/>
        <v/>
      </c>
      <c r="V509" s="314" t="str">
        <f t="shared" si="29"/>
        <v/>
      </c>
      <c r="W509" s="314" t="str" cm="1">
        <f t="array" aca="1" ref="W509" ca="1">IFERROR(IF(AE509&lt;&gt;"ja",_xlfn.IFNA(_xlfn.IFS(AND(O509&lt;&gt;"",F509&lt;&gt;"",RIGHT($N509,6)="tarief",F509="Vergoeding"),SUM(O509)*FLOOR(SUM(Q509),0.0001),AND(O509&lt;&gt;"",F509&lt;&gt;"",RIGHT($N509,6)="tarief"),SUM(O509)*FLOOR(SUM(Q509),0.01),S509&gt;0,IF(F509&lt;&gt;"",FLOOR(SUM(S509),0.01),"")),""),""),"")</f>
        <v/>
      </c>
      <c r="X509" s="314" t="str" cm="1">
        <f t="array" aca="1" ref="X509" ca="1">IFERROR(IF(AE509&lt;&gt;"ja",_xlfn.IFNA(_xlfn.IFS(AND(P509&lt;&gt;"",R509&lt;&gt;"",RIGHT($N509,6)="tarief",F509="Vergoeding"),SUM(P509)*FLOOR(SUM(R509),0.0001),AND(P509&lt;&gt;"",R509&lt;&gt;"",RIGHT($N509,6)="tarief"),P509*FLOOR(R509,0.01),T509&gt;0,FLOOR(SUM(T509),0.01)),""),""),"")</f>
        <v/>
      </c>
      <c r="Y509" s="314" t="str">
        <f t="shared" ca="1" si="30"/>
        <v/>
      </c>
      <c r="Z509" s="314" t="str" cm="1">
        <f t="array" aca="1" ref="Z509" ca="1">IFERROR(_xlfn.IFS(OR(F509="",LEFT(Methode_Keuze,4)="Geen",Methode_Keuze=""),"",AND(W509&lt;&gt;"",F509&lt;&gt;"Arbeidskosten"),W509*VLOOKUP(F509,Tb_ProjectKosten[],MATCH(Tb_ProjectKosten[[#Headers],[Forfait_Percentage]],Tb_ProjectKosten[#Headers],0),0),AND(F509="Arbeidskosten",G509&lt;&gt;""),IFERROR(W509*VLOOKUP(G509,Tb_KostenTypen[],3,0)*VLOOKUP(F509,Tb_ProjectKosten[],MATCH(Tb_ProjectKosten[[#Headers],[Forfait_Percentage]],Tb_ProjectKosten[#Headers],0),0),""),W509 &lt;=0,0),"")</f>
        <v/>
      </c>
      <c r="AA509" s="314" t="str" cm="1">
        <f t="array" aca="1" ref="AA509" ca="1">IFERROR(_xlfn.IFS(OR(F509="",LEFT(Methode_Keuze,4)="Geen",Methode_Keuze=""),"",AND(X509&lt;&gt;"",F509&lt;&gt;"Arbeidskosten"),X509*VLOOKUP(F509,Tb_ProjectKosten[],MATCH(Tb_ProjectKosten[[#Headers],[Forfait_Percentage]],Tb_ProjectKosten[#Headers],0),0),AND(F509="Arbeidskosten",G509&lt;&gt;""),IFERROR(X509*VLOOKUP(G509,Tb_KostenTypen[],3,0)*VLOOKUP(F509,Tb_ProjectKosten[],MATCH(Tb_ProjectKosten[[#Headers],[Forfait_Percentage]],Tb_ProjectKosten[#Headers],0),0),""),X509 &lt;=0,0),"")</f>
        <v/>
      </c>
      <c r="AB509" s="314" t="str">
        <f t="shared" ca="1" si="31"/>
        <v/>
      </c>
      <c r="AC509" s="322"/>
      <c r="AD509" s="315"/>
      <c r="AE509" s="32" t="str" cm="1">
        <f t="array" ref="AE509">IFERROR(IF(INDEX(SubsidieTabel!$AD$1:$AG$12,MATCH($F509,SubsidieTabel!$AD$1:$AD$12,0),IFERROR(MATCH(Methode_Keuze,SubsidieTabel!$AD$1:$AG$1,0),2))&lt;&gt;1=TRUE,"ja",""),"")</f>
        <v/>
      </c>
    </row>
    <row r="510" spans="1:31" x14ac:dyDescent="0.25">
      <c r="A510" s="316"/>
      <c r="B510" s="317" t="str">
        <f>IF(A510&lt;&gt;"",_xlfn.MAXIFS($B$1:B509,$A$1:A509,A510)+1,"")</f>
        <v/>
      </c>
      <c r="C510" s="296"/>
      <c r="D510" s="296"/>
      <c r="E510" s="296"/>
      <c r="F510" s="296"/>
      <c r="G510" s="326"/>
      <c r="H510" s="324"/>
      <c r="I510" s="325"/>
      <c r="J510" s="325"/>
      <c r="K510" s="318"/>
      <c r="L510" s="318"/>
      <c r="M510" s="319" t="str">
        <f>IFERROR(VLOOKUP(H510,Lijsten!$H$1:$I$100,2,0),"")</f>
        <v/>
      </c>
      <c r="N510" s="319" t="str">
        <f ca="1">IFERROR(IF(VLOOKUP(F510,Kostentypen!$A$3:$E$21,3,0)=0,"",IF(OR(F510="Arbeidskosten",F510="Vergoeding"),VLOOKUP(G510,Tb_KostenTypen[],2,0),VLOOKUP(F510,Kostentypen!$A$3:$E$20,3,0))),"")</f>
        <v/>
      </c>
      <c r="O510" s="320" t="str" cm="1">
        <f t="array" ref="O510">_xlfn.IFNA(IF(INDEX(Tb_KostenOptiesDB[],MATCH($F510,Tb_KostenOptiesDB[KostenOptie],0),IFERROR(MATCH(Methode_Keuze,Tb_KostenOptiesDB[#Headers],0),2))=1,_xlfn.SWITCH($N510,"Uurtarief",IF(OR(AND(RIGHT($F510,3)="IKS",VLOOKUP($M510,DB_Loonkosten,2,0)="Ja"),AND(RIGHT($F510,3)&lt;&gt;"IKS",VLOOKUP($M510,DB_Loonkosten,2,0)="Nee")),IFERROR(VLOOKUP($M510,DB_Loonkosten,24,0),""),0),"Vast tarief",IF(LEFT(F510,8)="Bijdrage",VLOOKUP($F510,Tb_KostenTypen[],MATCH(Lijsten!$P$1,Tb_KostenTypen[#Headers],0),0),VLOOKUP($G510,Lijsten!L:P,MATCH(Lijsten!$P$1,Kop_Tarief_Vast,0),0))),""),"")</f>
        <v/>
      </c>
      <c r="P510" s="320" t="str" cm="1">
        <f t="array" ref="P510">_xlfn.IFNA(IF(INDEX(Tb_KostenOptiesDB[],MATCH($F510,Tb_KostenOptiesDB[KostenOptie],0),IFERROR(MATCH(Methode_Keuze,Tb_KostenOptiesDB[#Headers],0),2))=1,_xlfn.SWITCH($N510,"Uurtarief",IF(OR(AND(RIGHT($F510,3)="IKS",VLOOKUP($M510,DB_Loonkosten,2,0)="Ja"),AND(RIGHT($F510,3)&lt;&gt;"IKS",VLOOKUP($M510,DB_Loonkosten,2,0)="Nee")),IFERROR(VLOOKUP($M510,DB_Loonkosten,25,0),""),0),"Vast tarief",IF(LEFT(F510,8)="Bijdrage",VLOOKUP($F510,Tb_KostenTypen[],MATCH(Lijsten!$P$1,Tb_KostenTypen[#Headers],0),0),VLOOKUP($G510,Lijsten!L:P,MATCH(Lijsten!$P$1,Kop_Tarief_Vast,0),0))),""),"")</f>
        <v/>
      </c>
      <c r="Q510" s="359"/>
      <c r="R510" s="359"/>
      <c r="S510" s="321"/>
      <c r="T510" s="321"/>
      <c r="U510" s="373" t="str">
        <f t="shared" si="28"/>
        <v/>
      </c>
      <c r="V510" s="314" t="str">
        <f t="shared" si="29"/>
        <v/>
      </c>
      <c r="W510" s="314" t="str" cm="1">
        <f t="array" aca="1" ref="W510" ca="1">IFERROR(IF(AE510&lt;&gt;"ja",_xlfn.IFNA(_xlfn.IFS(AND(O510&lt;&gt;"",F510&lt;&gt;"",RIGHT($N510,6)="tarief",F510="Vergoeding"),SUM(O510)*FLOOR(SUM(Q510),0.0001),AND(O510&lt;&gt;"",F510&lt;&gt;"",RIGHT($N510,6)="tarief"),SUM(O510)*FLOOR(SUM(Q510),0.01),S510&gt;0,IF(F510&lt;&gt;"",FLOOR(SUM(S510),0.01),"")),""),""),"")</f>
        <v/>
      </c>
      <c r="X510" s="314" t="str" cm="1">
        <f t="array" aca="1" ref="X510" ca="1">IFERROR(IF(AE510&lt;&gt;"ja",_xlfn.IFNA(_xlfn.IFS(AND(P510&lt;&gt;"",R510&lt;&gt;"",RIGHT($N510,6)="tarief",F510="Vergoeding"),SUM(P510)*FLOOR(SUM(R510),0.0001),AND(P510&lt;&gt;"",R510&lt;&gt;"",RIGHT($N510,6)="tarief"),P510*FLOOR(R510,0.01),T510&gt;0,FLOOR(SUM(T510),0.01)),""),""),"")</f>
        <v/>
      </c>
      <c r="Y510" s="314" t="str">
        <f t="shared" ca="1" si="30"/>
        <v/>
      </c>
      <c r="Z510" s="314" t="str" cm="1">
        <f t="array" aca="1" ref="Z510" ca="1">IFERROR(_xlfn.IFS(OR(F510="",LEFT(Methode_Keuze,4)="Geen",Methode_Keuze=""),"",AND(W510&lt;&gt;"",F510&lt;&gt;"Arbeidskosten"),W510*VLOOKUP(F510,Tb_ProjectKosten[],MATCH(Tb_ProjectKosten[[#Headers],[Forfait_Percentage]],Tb_ProjectKosten[#Headers],0),0),AND(F510="Arbeidskosten",G510&lt;&gt;""),IFERROR(W510*VLOOKUP(G510,Tb_KostenTypen[],3,0)*VLOOKUP(F510,Tb_ProjectKosten[],MATCH(Tb_ProjectKosten[[#Headers],[Forfait_Percentage]],Tb_ProjectKosten[#Headers],0),0),""),W510 &lt;=0,0),"")</f>
        <v/>
      </c>
      <c r="AA510" s="314" t="str" cm="1">
        <f t="array" aca="1" ref="AA510" ca="1">IFERROR(_xlfn.IFS(OR(F510="",LEFT(Methode_Keuze,4)="Geen",Methode_Keuze=""),"",AND(X510&lt;&gt;"",F510&lt;&gt;"Arbeidskosten"),X510*VLOOKUP(F510,Tb_ProjectKosten[],MATCH(Tb_ProjectKosten[[#Headers],[Forfait_Percentage]],Tb_ProjectKosten[#Headers],0),0),AND(F510="Arbeidskosten",G510&lt;&gt;""),IFERROR(X510*VLOOKUP(G510,Tb_KostenTypen[],3,0)*VLOOKUP(F510,Tb_ProjectKosten[],MATCH(Tb_ProjectKosten[[#Headers],[Forfait_Percentage]],Tb_ProjectKosten[#Headers],0),0),""),X510 &lt;=0,0),"")</f>
        <v/>
      </c>
      <c r="AB510" s="314" t="str">
        <f t="shared" ca="1" si="31"/>
        <v/>
      </c>
      <c r="AC510" s="322"/>
      <c r="AD510" s="315"/>
      <c r="AE510" s="32" t="str" cm="1">
        <f t="array" ref="AE510">IFERROR(IF(INDEX(SubsidieTabel!$AD$1:$AG$12,MATCH($F510,SubsidieTabel!$AD$1:$AD$12,0),IFERROR(MATCH(Methode_Keuze,SubsidieTabel!$AD$1:$AG$1,0),2))&lt;&gt;1=TRUE,"ja",""),"")</f>
        <v/>
      </c>
    </row>
    <row r="511" spans="1:31" x14ac:dyDescent="0.25">
      <c r="A511" s="316"/>
      <c r="B511" s="317" t="str">
        <f>IF(A511&lt;&gt;"",_xlfn.MAXIFS($B$1:B510,$A$1:A510,A511)+1,"")</f>
        <v/>
      </c>
      <c r="C511" s="296"/>
      <c r="D511" s="296"/>
      <c r="E511" s="296"/>
      <c r="F511" s="296"/>
      <c r="G511" s="326"/>
      <c r="H511" s="324"/>
      <c r="I511" s="325"/>
      <c r="J511" s="325"/>
      <c r="K511" s="318"/>
      <c r="L511" s="318"/>
      <c r="M511" s="319" t="str">
        <f>IFERROR(VLOOKUP(H511,Lijsten!$H$1:$I$100,2,0),"")</f>
        <v/>
      </c>
      <c r="N511" s="319" t="str">
        <f ca="1">IFERROR(IF(VLOOKUP(F511,Kostentypen!$A$3:$E$21,3,0)=0,"",IF(OR(F511="Arbeidskosten",F511="Vergoeding"),VLOOKUP(G511,Tb_KostenTypen[],2,0),VLOOKUP(F511,Kostentypen!$A$3:$E$20,3,0))),"")</f>
        <v/>
      </c>
      <c r="O511" s="320" t="str" cm="1">
        <f t="array" ref="O511">_xlfn.IFNA(IF(INDEX(Tb_KostenOptiesDB[],MATCH($F511,Tb_KostenOptiesDB[KostenOptie],0),IFERROR(MATCH(Methode_Keuze,Tb_KostenOptiesDB[#Headers],0),2))=1,_xlfn.SWITCH($N511,"Uurtarief",IF(OR(AND(RIGHT($F511,3)="IKS",VLOOKUP($M511,DB_Loonkosten,2,0)="Ja"),AND(RIGHT($F511,3)&lt;&gt;"IKS",VLOOKUP($M511,DB_Loonkosten,2,0)="Nee")),IFERROR(VLOOKUP($M511,DB_Loonkosten,24,0),""),0),"Vast tarief",IF(LEFT(F511,8)="Bijdrage",VLOOKUP($F511,Tb_KostenTypen[],MATCH(Lijsten!$P$1,Tb_KostenTypen[#Headers],0),0),VLOOKUP($G511,Lijsten!L:P,MATCH(Lijsten!$P$1,Kop_Tarief_Vast,0),0))),""),"")</f>
        <v/>
      </c>
      <c r="P511" s="320" t="str" cm="1">
        <f t="array" ref="P511">_xlfn.IFNA(IF(INDEX(Tb_KostenOptiesDB[],MATCH($F511,Tb_KostenOptiesDB[KostenOptie],0),IFERROR(MATCH(Methode_Keuze,Tb_KostenOptiesDB[#Headers],0),2))=1,_xlfn.SWITCH($N511,"Uurtarief",IF(OR(AND(RIGHT($F511,3)="IKS",VLOOKUP($M511,DB_Loonkosten,2,0)="Ja"),AND(RIGHT($F511,3)&lt;&gt;"IKS",VLOOKUP($M511,DB_Loonkosten,2,0)="Nee")),IFERROR(VLOOKUP($M511,DB_Loonkosten,25,0),""),0),"Vast tarief",IF(LEFT(F511,8)="Bijdrage",VLOOKUP($F511,Tb_KostenTypen[],MATCH(Lijsten!$P$1,Tb_KostenTypen[#Headers],0),0),VLOOKUP($G511,Lijsten!L:P,MATCH(Lijsten!$P$1,Kop_Tarief_Vast,0),0))),""),"")</f>
        <v/>
      </c>
      <c r="Q511" s="359"/>
      <c r="R511" s="359"/>
      <c r="S511" s="321"/>
      <c r="T511" s="321"/>
      <c r="U511" s="373" t="str">
        <f t="shared" si="28"/>
        <v/>
      </c>
      <c r="V511" s="314" t="str">
        <f t="shared" si="29"/>
        <v/>
      </c>
      <c r="W511" s="314" t="str" cm="1">
        <f t="array" aca="1" ref="W511" ca="1">IFERROR(IF(AE511&lt;&gt;"ja",_xlfn.IFNA(_xlfn.IFS(AND(O511&lt;&gt;"",F511&lt;&gt;"",RIGHT($N511,6)="tarief",F511="Vergoeding"),SUM(O511)*FLOOR(SUM(Q511),0.0001),AND(O511&lt;&gt;"",F511&lt;&gt;"",RIGHT($N511,6)="tarief"),SUM(O511)*FLOOR(SUM(Q511),0.01),S511&gt;0,IF(F511&lt;&gt;"",FLOOR(SUM(S511),0.01),"")),""),""),"")</f>
        <v/>
      </c>
      <c r="X511" s="314" t="str" cm="1">
        <f t="array" aca="1" ref="X511" ca="1">IFERROR(IF(AE511&lt;&gt;"ja",_xlfn.IFNA(_xlfn.IFS(AND(P511&lt;&gt;"",R511&lt;&gt;"",RIGHT($N511,6)="tarief",F511="Vergoeding"),SUM(P511)*FLOOR(SUM(R511),0.0001),AND(P511&lt;&gt;"",R511&lt;&gt;"",RIGHT($N511,6)="tarief"),P511*FLOOR(R511,0.01),T511&gt;0,FLOOR(SUM(T511),0.01)),""),""),"")</f>
        <v/>
      </c>
      <c r="Y511" s="314" t="str">
        <f t="shared" ca="1" si="30"/>
        <v/>
      </c>
      <c r="Z511" s="314" t="str" cm="1">
        <f t="array" aca="1" ref="Z511" ca="1">IFERROR(_xlfn.IFS(OR(F511="",LEFT(Methode_Keuze,4)="Geen",Methode_Keuze=""),"",AND(W511&lt;&gt;"",F511&lt;&gt;"Arbeidskosten"),W511*VLOOKUP(F511,Tb_ProjectKosten[],MATCH(Tb_ProjectKosten[[#Headers],[Forfait_Percentage]],Tb_ProjectKosten[#Headers],0),0),AND(F511="Arbeidskosten",G511&lt;&gt;""),IFERROR(W511*VLOOKUP(G511,Tb_KostenTypen[],3,0)*VLOOKUP(F511,Tb_ProjectKosten[],MATCH(Tb_ProjectKosten[[#Headers],[Forfait_Percentage]],Tb_ProjectKosten[#Headers],0),0),""),W511 &lt;=0,0),"")</f>
        <v/>
      </c>
      <c r="AA511" s="314" t="str" cm="1">
        <f t="array" aca="1" ref="AA511" ca="1">IFERROR(_xlfn.IFS(OR(F511="",LEFT(Methode_Keuze,4)="Geen",Methode_Keuze=""),"",AND(X511&lt;&gt;"",F511&lt;&gt;"Arbeidskosten"),X511*VLOOKUP(F511,Tb_ProjectKosten[],MATCH(Tb_ProjectKosten[[#Headers],[Forfait_Percentage]],Tb_ProjectKosten[#Headers],0),0),AND(F511="Arbeidskosten",G511&lt;&gt;""),IFERROR(X511*VLOOKUP(G511,Tb_KostenTypen[],3,0)*VLOOKUP(F511,Tb_ProjectKosten[],MATCH(Tb_ProjectKosten[[#Headers],[Forfait_Percentage]],Tb_ProjectKosten[#Headers],0),0),""),X511 &lt;=0,0),"")</f>
        <v/>
      </c>
      <c r="AB511" s="314" t="str">
        <f t="shared" ca="1" si="31"/>
        <v/>
      </c>
      <c r="AC511" s="322"/>
      <c r="AD511" s="315"/>
      <c r="AE511" s="32" t="str" cm="1">
        <f t="array" ref="AE511">IFERROR(IF(INDEX(SubsidieTabel!$AD$1:$AG$12,MATCH($F511,SubsidieTabel!$AD$1:$AD$12,0),IFERROR(MATCH(Methode_Keuze,SubsidieTabel!$AD$1:$AG$1,0),2))&lt;&gt;1=TRUE,"ja",""),"")</f>
        <v/>
      </c>
    </row>
    <row r="512" spans="1:31" x14ac:dyDescent="0.25">
      <c r="A512" s="316"/>
      <c r="B512" s="317" t="str">
        <f>IF(A512&lt;&gt;"",_xlfn.MAXIFS($B$1:B511,$A$1:A511,A512)+1,"")</f>
        <v/>
      </c>
      <c r="C512" s="296"/>
      <c r="D512" s="296"/>
      <c r="E512" s="296"/>
      <c r="F512" s="296"/>
      <c r="G512" s="326"/>
      <c r="H512" s="324"/>
      <c r="I512" s="325"/>
      <c r="J512" s="325"/>
      <c r="K512" s="318"/>
      <c r="L512" s="318"/>
      <c r="M512" s="319" t="str">
        <f>IFERROR(VLOOKUP(H512,Lijsten!$H$1:$I$100,2,0),"")</f>
        <v/>
      </c>
      <c r="N512" s="319" t="str">
        <f ca="1">IFERROR(IF(VLOOKUP(F512,Kostentypen!$A$3:$E$21,3,0)=0,"",IF(OR(F512="Arbeidskosten",F512="Vergoeding"),VLOOKUP(G512,Tb_KostenTypen[],2,0),VLOOKUP(F512,Kostentypen!$A$3:$E$20,3,0))),"")</f>
        <v/>
      </c>
      <c r="O512" s="320" t="str" cm="1">
        <f t="array" ref="O512">_xlfn.IFNA(IF(INDEX(Tb_KostenOptiesDB[],MATCH($F512,Tb_KostenOptiesDB[KostenOptie],0),IFERROR(MATCH(Methode_Keuze,Tb_KostenOptiesDB[#Headers],0),2))=1,_xlfn.SWITCH($N512,"Uurtarief",IF(OR(AND(RIGHT($F512,3)="IKS",VLOOKUP($M512,DB_Loonkosten,2,0)="Ja"),AND(RIGHT($F512,3)&lt;&gt;"IKS",VLOOKUP($M512,DB_Loonkosten,2,0)="Nee")),IFERROR(VLOOKUP($M512,DB_Loonkosten,24,0),""),0),"Vast tarief",IF(LEFT(F512,8)="Bijdrage",VLOOKUP($F512,Tb_KostenTypen[],MATCH(Lijsten!$P$1,Tb_KostenTypen[#Headers],0),0),VLOOKUP($G512,Lijsten!L:P,MATCH(Lijsten!$P$1,Kop_Tarief_Vast,0),0))),""),"")</f>
        <v/>
      </c>
      <c r="P512" s="320" t="str" cm="1">
        <f t="array" ref="P512">_xlfn.IFNA(IF(INDEX(Tb_KostenOptiesDB[],MATCH($F512,Tb_KostenOptiesDB[KostenOptie],0),IFERROR(MATCH(Methode_Keuze,Tb_KostenOptiesDB[#Headers],0),2))=1,_xlfn.SWITCH($N512,"Uurtarief",IF(OR(AND(RIGHT($F512,3)="IKS",VLOOKUP($M512,DB_Loonkosten,2,0)="Ja"),AND(RIGHT($F512,3)&lt;&gt;"IKS",VLOOKUP($M512,DB_Loonkosten,2,0)="Nee")),IFERROR(VLOOKUP($M512,DB_Loonkosten,25,0),""),0),"Vast tarief",IF(LEFT(F512,8)="Bijdrage",VLOOKUP($F512,Tb_KostenTypen[],MATCH(Lijsten!$P$1,Tb_KostenTypen[#Headers],0),0),VLOOKUP($G512,Lijsten!L:P,MATCH(Lijsten!$P$1,Kop_Tarief_Vast,0),0))),""),"")</f>
        <v/>
      </c>
      <c r="Q512" s="359"/>
      <c r="R512" s="359"/>
      <c r="S512" s="321"/>
      <c r="T512" s="321"/>
      <c r="U512" s="373" t="str">
        <f t="shared" si="28"/>
        <v/>
      </c>
      <c r="V512" s="314" t="str">
        <f t="shared" si="29"/>
        <v/>
      </c>
      <c r="W512" s="314" t="str" cm="1">
        <f t="array" aca="1" ref="W512" ca="1">IFERROR(IF(AE512&lt;&gt;"ja",_xlfn.IFNA(_xlfn.IFS(AND(O512&lt;&gt;"",F512&lt;&gt;"",RIGHT($N512,6)="tarief",F512="Vergoeding"),SUM(O512)*FLOOR(SUM(Q512),0.0001),AND(O512&lt;&gt;"",F512&lt;&gt;"",RIGHT($N512,6)="tarief"),SUM(O512)*FLOOR(SUM(Q512),0.01),S512&gt;0,IF(F512&lt;&gt;"",FLOOR(SUM(S512),0.01),"")),""),""),"")</f>
        <v/>
      </c>
      <c r="X512" s="314" t="str" cm="1">
        <f t="array" aca="1" ref="X512" ca="1">IFERROR(IF(AE512&lt;&gt;"ja",_xlfn.IFNA(_xlfn.IFS(AND(P512&lt;&gt;"",R512&lt;&gt;"",RIGHT($N512,6)="tarief",F512="Vergoeding"),SUM(P512)*FLOOR(SUM(R512),0.0001),AND(P512&lt;&gt;"",R512&lt;&gt;"",RIGHT($N512,6)="tarief"),P512*FLOOR(R512,0.01),T512&gt;0,FLOOR(SUM(T512),0.01)),""),""),"")</f>
        <v/>
      </c>
      <c r="Y512" s="314" t="str">
        <f t="shared" ca="1" si="30"/>
        <v/>
      </c>
      <c r="Z512" s="314" t="str" cm="1">
        <f t="array" aca="1" ref="Z512" ca="1">IFERROR(_xlfn.IFS(OR(F512="",LEFT(Methode_Keuze,4)="Geen",Methode_Keuze=""),"",AND(W512&lt;&gt;"",F512&lt;&gt;"Arbeidskosten"),W512*VLOOKUP(F512,Tb_ProjectKosten[],MATCH(Tb_ProjectKosten[[#Headers],[Forfait_Percentage]],Tb_ProjectKosten[#Headers],0),0),AND(F512="Arbeidskosten",G512&lt;&gt;""),IFERROR(W512*VLOOKUP(G512,Tb_KostenTypen[],3,0)*VLOOKUP(F512,Tb_ProjectKosten[],MATCH(Tb_ProjectKosten[[#Headers],[Forfait_Percentage]],Tb_ProjectKosten[#Headers],0),0),""),W512 &lt;=0,0),"")</f>
        <v/>
      </c>
      <c r="AA512" s="314" t="str" cm="1">
        <f t="array" aca="1" ref="AA512" ca="1">IFERROR(_xlfn.IFS(OR(F512="",LEFT(Methode_Keuze,4)="Geen",Methode_Keuze=""),"",AND(X512&lt;&gt;"",F512&lt;&gt;"Arbeidskosten"),X512*VLOOKUP(F512,Tb_ProjectKosten[],MATCH(Tb_ProjectKosten[[#Headers],[Forfait_Percentage]],Tb_ProjectKosten[#Headers],0),0),AND(F512="Arbeidskosten",G512&lt;&gt;""),IFERROR(X512*VLOOKUP(G512,Tb_KostenTypen[],3,0)*VLOOKUP(F512,Tb_ProjectKosten[],MATCH(Tb_ProjectKosten[[#Headers],[Forfait_Percentage]],Tb_ProjectKosten[#Headers],0),0),""),X512 &lt;=0,0),"")</f>
        <v/>
      </c>
      <c r="AB512" s="314" t="str">
        <f t="shared" ca="1" si="31"/>
        <v/>
      </c>
      <c r="AC512" s="322"/>
      <c r="AD512" s="315"/>
      <c r="AE512" s="32" t="str" cm="1">
        <f t="array" ref="AE512">IFERROR(IF(INDEX(SubsidieTabel!$AD$1:$AG$12,MATCH($F512,SubsidieTabel!$AD$1:$AD$12,0),IFERROR(MATCH(Methode_Keuze,SubsidieTabel!$AD$1:$AG$1,0),2))&lt;&gt;1=TRUE,"ja",""),"")</f>
        <v/>
      </c>
    </row>
    <row r="513" spans="1:31" x14ac:dyDescent="0.25">
      <c r="A513" s="316"/>
      <c r="B513" s="317" t="str">
        <f>IF(A513&lt;&gt;"",_xlfn.MAXIFS($B$1:B512,$A$1:A512,A513)+1,"")</f>
        <v/>
      </c>
      <c r="C513" s="296"/>
      <c r="D513" s="296"/>
      <c r="E513" s="296"/>
      <c r="F513" s="296"/>
      <c r="G513" s="326"/>
      <c r="H513" s="324"/>
      <c r="I513" s="325"/>
      <c r="J513" s="325"/>
      <c r="K513" s="318"/>
      <c r="L513" s="318"/>
      <c r="M513" s="319" t="str">
        <f>IFERROR(VLOOKUP(H513,Lijsten!$H$1:$I$100,2,0),"")</f>
        <v/>
      </c>
      <c r="N513" s="319" t="str">
        <f ca="1">IFERROR(IF(VLOOKUP(F513,Kostentypen!$A$3:$E$21,3,0)=0,"",IF(OR(F513="Arbeidskosten",F513="Vergoeding"),VLOOKUP(G513,Tb_KostenTypen[],2,0),VLOOKUP(F513,Kostentypen!$A$3:$E$20,3,0))),"")</f>
        <v/>
      </c>
      <c r="O513" s="320" t="str" cm="1">
        <f t="array" ref="O513">_xlfn.IFNA(IF(INDEX(Tb_KostenOptiesDB[],MATCH($F513,Tb_KostenOptiesDB[KostenOptie],0),IFERROR(MATCH(Methode_Keuze,Tb_KostenOptiesDB[#Headers],0),2))=1,_xlfn.SWITCH($N513,"Uurtarief",IF(OR(AND(RIGHT($F513,3)="IKS",VLOOKUP($M513,DB_Loonkosten,2,0)="Ja"),AND(RIGHT($F513,3)&lt;&gt;"IKS",VLOOKUP($M513,DB_Loonkosten,2,0)="Nee")),IFERROR(VLOOKUP($M513,DB_Loonkosten,24,0),""),0),"Vast tarief",IF(LEFT(F513,8)="Bijdrage",VLOOKUP($F513,Tb_KostenTypen[],MATCH(Lijsten!$P$1,Tb_KostenTypen[#Headers],0),0),VLOOKUP($G513,Lijsten!L:P,MATCH(Lijsten!$P$1,Kop_Tarief_Vast,0),0))),""),"")</f>
        <v/>
      </c>
      <c r="P513" s="320" t="str" cm="1">
        <f t="array" ref="P513">_xlfn.IFNA(IF(INDEX(Tb_KostenOptiesDB[],MATCH($F513,Tb_KostenOptiesDB[KostenOptie],0),IFERROR(MATCH(Methode_Keuze,Tb_KostenOptiesDB[#Headers],0),2))=1,_xlfn.SWITCH($N513,"Uurtarief",IF(OR(AND(RIGHT($F513,3)="IKS",VLOOKUP($M513,DB_Loonkosten,2,0)="Ja"),AND(RIGHT($F513,3)&lt;&gt;"IKS",VLOOKUP($M513,DB_Loonkosten,2,0)="Nee")),IFERROR(VLOOKUP($M513,DB_Loonkosten,25,0),""),0),"Vast tarief",IF(LEFT(F513,8)="Bijdrage",VLOOKUP($F513,Tb_KostenTypen[],MATCH(Lijsten!$P$1,Tb_KostenTypen[#Headers],0),0),VLOOKUP($G513,Lijsten!L:P,MATCH(Lijsten!$P$1,Kop_Tarief_Vast,0),0))),""),"")</f>
        <v/>
      </c>
      <c r="Q513" s="359"/>
      <c r="R513" s="359"/>
      <c r="S513" s="321"/>
      <c r="T513" s="321"/>
      <c r="U513" s="373" t="str">
        <f t="shared" si="28"/>
        <v/>
      </c>
      <c r="V513" s="314" t="str">
        <f t="shared" si="29"/>
        <v/>
      </c>
      <c r="W513" s="314" t="str" cm="1">
        <f t="array" aca="1" ref="W513" ca="1">IFERROR(IF(AE513&lt;&gt;"ja",_xlfn.IFNA(_xlfn.IFS(AND(O513&lt;&gt;"",F513&lt;&gt;"",RIGHT($N513,6)="tarief",F513="Vergoeding"),SUM(O513)*FLOOR(SUM(Q513),0.0001),AND(O513&lt;&gt;"",F513&lt;&gt;"",RIGHT($N513,6)="tarief"),SUM(O513)*FLOOR(SUM(Q513),0.01),S513&gt;0,IF(F513&lt;&gt;"",FLOOR(SUM(S513),0.01),"")),""),""),"")</f>
        <v/>
      </c>
      <c r="X513" s="314" t="str" cm="1">
        <f t="array" aca="1" ref="X513" ca="1">IFERROR(IF(AE513&lt;&gt;"ja",_xlfn.IFNA(_xlfn.IFS(AND(P513&lt;&gt;"",R513&lt;&gt;"",RIGHT($N513,6)="tarief",F513="Vergoeding"),SUM(P513)*FLOOR(SUM(R513),0.0001),AND(P513&lt;&gt;"",R513&lt;&gt;"",RIGHT($N513,6)="tarief"),P513*FLOOR(R513,0.01),T513&gt;0,FLOOR(SUM(T513),0.01)),""),""),"")</f>
        <v/>
      </c>
      <c r="Y513" s="314" t="str">
        <f t="shared" ca="1" si="30"/>
        <v/>
      </c>
      <c r="Z513" s="314" t="str" cm="1">
        <f t="array" aca="1" ref="Z513" ca="1">IFERROR(_xlfn.IFS(OR(F513="",LEFT(Methode_Keuze,4)="Geen",Methode_Keuze=""),"",AND(W513&lt;&gt;"",F513&lt;&gt;"Arbeidskosten"),W513*VLOOKUP(F513,Tb_ProjectKosten[],MATCH(Tb_ProjectKosten[[#Headers],[Forfait_Percentage]],Tb_ProjectKosten[#Headers],0),0),AND(F513="Arbeidskosten",G513&lt;&gt;""),IFERROR(W513*VLOOKUP(G513,Tb_KostenTypen[],3,0)*VLOOKUP(F513,Tb_ProjectKosten[],MATCH(Tb_ProjectKosten[[#Headers],[Forfait_Percentage]],Tb_ProjectKosten[#Headers],0),0),""),W513 &lt;=0,0),"")</f>
        <v/>
      </c>
      <c r="AA513" s="314" t="str" cm="1">
        <f t="array" aca="1" ref="AA513" ca="1">IFERROR(_xlfn.IFS(OR(F513="",LEFT(Methode_Keuze,4)="Geen",Methode_Keuze=""),"",AND(X513&lt;&gt;"",F513&lt;&gt;"Arbeidskosten"),X513*VLOOKUP(F513,Tb_ProjectKosten[],MATCH(Tb_ProjectKosten[[#Headers],[Forfait_Percentage]],Tb_ProjectKosten[#Headers],0),0),AND(F513="Arbeidskosten",G513&lt;&gt;""),IFERROR(X513*VLOOKUP(G513,Tb_KostenTypen[],3,0)*VLOOKUP(F513,Tb_ProjectKosten[],MATCH(Tb_ProjectKosten[[#Headers],[Forfait_Percentage]],Tb_ProjectKosten[#Headers],0),0),""),X513 &lt;=0,0),"")</f>
        <v/>
      </c>
      <c r="AB513" s="314" t="str">
        <f t="shared" ca="1" si="31"/>
        <v/>
      </c>
      <c r="AC513" s="322"/>
      <c r="AD513" s="315"/>
      <c r="AE513" s="32" t="str" cm="1">
        <f t="array" ref="AE513">IFERROR(IF(INDEX(SubsidieTabel!$AD$1:$AG$12,MATCH($F513,SubsidieTabel!$AD$1:$AD$12,0),IFERROR(MATCH(Methode_Keuze,SubsidieTabel!$AD$1:$AG$1,0),2))&lt;&gt;1=TRUE,"ja",""),"")</f>
        <v/>
      </c>
    </row>
    <row r="514" spans="1:31" x14ac:dyDescent="0.25">
      <c r="A514" s="316"/>
      <c r="B514" s="317" t="str">
        <f>IF(A514&lt;&gt;"",_xlfn.MAXIFS($B$1:B513,$A$1:A513,A514)+1,"")</f>
        <v/>
      </c>
      <c r="C514" s="296"/>
      <c r="D514" s="296"/>
      <c r="E514" s="296"/>
      <c r="F514" s="296"/>
      <c r="G514" s="326"/>
      <c r="H514" s="324"/>
      <c r="I514" s="325"/>
      <c r="J514" s="325"/>
      <c r="K514" s="318"/>
      <c r="L514" s="318"/>
      <c r="M514" s="319" t="str">
        <f>IFERROR(VLOOKUP(H514,Lijsten!$H$1:$I$100,2,0),"")</f>
        <v/>
      </c>
      <c r="N514" s="319" t="str">
        <f ca="1">IFERROR(IF(VLOOKUP(F514,Kostentypen!$A$3:$E$21,3,0)=0,"",IF(OR(F514="Arbeidskosten",F514="Vergoeding"),VLOOKUP(G514,Tb_KostenTypen[],2,0),VLOOKUP(F514,Kostentypen!$A$3:$E$20,3,0))),"")</f>
        <v/>
      </c>
      <c r="O514" s="320" t="str" cm="1">
        <f t="array" ref="O514">_xlfn.IFNA(IF(INDEX(Tb_KostenOptiesDB[],MATCH($F514,Tb_KostenOptiesDB[KostenOptie],0),IFERROR(MATCH(Methode_Keuze,Tb_KostenOptiesDB[#Headers],0),2))=1,_xlfn.SWITCH($N514,"Uurtarief",IF(OR(AND(RIGHT($F514,3)="IKS",VLOOKUP($M514,DB_Loonkosten,2,0)="Ja"),AND(RIGHT($F514,3)&lt;&gt;"IKS",VLOOKUP($M514,DB_Loonkosten,2,0)="Nee")),IFERROR(VLOOKUP($M514,DB_Loonkosten,24,0),""),0),"Vast tarief",IF(LEFT(F514,8)="Bijdrage",VLOOKUP($F514,Tb_KostenTypen[],MATCH(Lijsten!$P$1,Tb_KostenTypen[#Headers],0),0),VLOOKUP($G514,Lijsten!L:P,MATCH(Lijsten!$P$1,Kop_Tarief_Vast,0),0))),""),"")</f>
        <v/>
      </c>
      <c r="P514" s="320" t="str" cm="1">
        <f t="array" ref="P514">_xlfn.IFNA(IF(INDEX(Tb_KostenOptiesDB[],MATCH($F514,Tb_KostenOptiesDB[KostenOptie],0),IFERROR(MATCH(Methode_Keuze,Tb_KostenOptiesDB[#Headers],0),2))=1,_xlfn.SWITCH($N514,"Uurtarief",IF(OR(AND(RIGHT($F514,3)="IKS",VLOOKUP($M514,DB_Loonkosten,2,0)="Ja"),AND(RIGHT($F514,3)&lt;&gt;"IKS",VLOOKUP($M514,DB_Loonkosten,2,0)="Nee")),IFERROR(VLOOKUP($M514,DB_Loonkosten,25,0),""),0),"Vast tarief",IF(LEFT(F514,8)="Bijdrage",VLOOKUP($F514,Tb_KostenTypen[],MATCH(Lijsten!$P$1,Tb_KostenTypen[#Headers],0),0),VLOOKUP($G514,Lijsten!L:P,MATCH(Lijsten!$P$1,Kop_Tarief_Vast,0),0))),""),"")</f>
        <v/>
      </c>
      <c r="Q514" s="359"/>
      <c r="R514" s="359"/>
      <c r="S514" s="321"/>
      <c r="T514" s="321"/>
      <c r="U514" s="373" t="str">
        <f t="shared" si="28"/>
        <v/>
      </c>
      <c r="V514" s="314" t="str">
        <f t="shared" si="29"/>
        <v/>
      </c>
      <c r="W514" s="314" t="str" cm="1">
        <f t="array" aca="1" ref="W514" ca="1">IFERROR(IF(AE514&lt;&gt;"ja",_xlfn.IFNA(_xlfn.IFS(AND(O514&lt;&gt;"",F514&lt;&gt;"",RIGHT($N514,6)="tarief",F514="Vergoeding"),SUM(O514)*FLOOR(SUM(Q514),0.0001),AND(O514&lt;&gt;"",F514&lt;&gt;"",RIGHT($N514,6)="tarief"),SUM(O514)*FLOOR(SUM(Q514),0.01),S514&gt;0,IF(F514&lt;&gt;"",FLOOR(SUM(S514),0.01),"")),""),""),"")</f>
        <v/>
      </c>
      <c r="X514" s="314" t="str" cm="1">
        <f t="array" aca="1" ref="X514" ca="1">IFERROR(IF(AE514&lt;&gt;"ja",_xlfn.IFNA(_xlfn.IFS(AND(P514&lt;&gt;"",R514&lt;&gt;"",RIGHT($N514,6)="tarief",F514="Vergoeding"),SUM(P514)*FLOOR(SUM(R514),0.0001),AND(P514&lt;&gt;"",R514&lt;&gt;"",RIGHT($N514,6)="tarief"),P514*FLOOR(R514,0.01),T514&gt;0,FLOOR(SUM(T514),0.01)),""),""),"")</f>
        <v/>
      </c>
      <c r="Y514" s="314" t="str">
        <f t="shared" ca="1" si="30"/>
        <v/>
      </c>
      <c r="Z514" s="314" t="str" cm="1">
        <f t="array" aca="1" ref="Z514" ca="1">IFERROR(_xlfn.IFS(OR(F514="",LEFT(Methode_Keuze,4)="Geen",Methode_Keuze=""),"",AND(W514&lt;&gt;"",F514&lt;&gt;"Arbeidskosten"),W514*VLOOKUP(F514,Tb_ProjectKosten[],MATCH(Tb_ProjectKosten[[#Headers],[Forfait_Percentage]],Tb_ProjectKosten[#Headers],0),0),AND(F514="Arbeidskosten",G514&lt;&gt;""),IFERROR(W514*VLOOKUP(G514,Tb_KostenTypen[],3,0)*VLOOKUP(F514,Tb_ProjectKosten[],MATCH(Tb_ProjectKosten[[#Headers],[Forfait_Percentage]],Tb_ProjectKosten[#Headers],0),0),""),W514 &lt;=0,0),"")</f>
        <v/>
      </c>
      <c r="AA514" s="314" t="str" cm="1">
        <f t="array" aca="1" ref="AA514" ca="1">IFERROR(_xlfn.IFS(OR(F514="",LEFT(Methode_Keuze,4)="Geen",Methode_Keuze=""),"",AND(X514&lt;&gt;"",F514&lt;&gt;"Arbeidskosten"),X514*VLOOKUP(F514,Tb_ProjectKosten[],MATCH(Tb_ProjectKosten[[#Headers],[Forfait_Percentage]],Tb_ProjectKosten[#Headers],0),0),AND(F514="Arbeidskosten",G514&lt;&gt;""),IFERROR(X514*VLOOKUP(G514,Tb_KostenTypen[],3,0)*VLOOKUP(F514,Tb_ProjectKosten[],MATCH(Tb_ProjectKosten[[#Headers],[Forfait_Percentage]],Tb_ProjectKosten[#Headers],0),0),""),X514 &lt;=0,0),"")</f>
        <v/>
      </c>
      <c r="AB514" s="314" t="str">
        <f t="shared" ca="1" si="31"/>
        <v/>
      </c>
      <c r="AC514" s="322"/>
      <c r="AD514" s="315"/>
      <c r="AE514" s="32" t="str" cm="1">
        <f t="array" ref="AE514">IFERROR(IF(INDEX(SubsidieTabel!$AD$1:$AG$12,MATCH($F514,SubsidieTabel!$AD$1:$AD$12,0),IFERROR(MATCH(Methode_Keuze,SubsidieTabel!$AD$1:$AG$1,0),2))&lt;&gt;1=TRUE,"ja",""),"")</f>
        <v/>
      </c>
    </row>
    <row r="515" spans="1:31" x14ac:dyDescent="0.25">
      <c r="A515" s="316"/>
      <c r="B515" s="317" t="str">
        <f>IF(A515&lt;&gt;"",_xlfn.MAXIFS($B$1:B514,$A$1:A514,A515)+1,"")</f>
        <v/>
      </c>
      <c r="C515" s="296"/>
      <c r="D515" s="296"/>
      <c r="E515" s="296"/>
      <c r="F515" s="296"/>
      <c r="G515" s="326"/>
      <c r="H515" s="324"/>
      <c r="I515" s="325"/>
      <c r="J515" s="325"/>
      <c r="K515" s="318"/>
      <c r="L515" s="318"/>
      <c r="M515" s="319" t="str">
        <f>IFERROR(VLOOKUP(H515,Lijsten!$H$1:$I$100,2,0),"")</f>
        <v/>
      </c>
      <c r="N515" s="319" t="str">
        <f ca="1">IFERROR(IF(VLOOKUP(F515,Kostentypen!$A$3:$E$21,3,0)=0,"",IF(OR(F515="Arbeidskosten",F515="Vergoeding"),VLOOKUP(G515,Tb_KostenTypen[],2,0),VLOOKUP(F515,Kostentypen!$A$3:$E$20,3,0))),"")</f>
        <v/>
      </c>
      <c r="O515" s="320" t="str" cm="1">
        <f t="array" ref="O515">_xlfn.IFNA(IF(INDEX(Tb_KostenOptiesDB[],MATCH($F515,Tb_KostenOptiesDB[KostenOptie],0),IFERROR(MATCH(Methode_Keuze,Tb_KostenOptiesDB[#Headers],0),2))=1,_xlfn.SWITCH($N515,"Uurtarief",IF(OR(AND(RIGHT($F515,3)="IKS",VLOOKUP($M515,DB_Loonkosten,2,0)="Ja"),AND(RIGHT($F515,3)&lt;&gt;"IKS",VLOOKUP($M515,DB_Loonkosten,2,0)="Nee")),IFERROR(VLOOKUP($M515,DB_Loonkosten,24,0),""),0),"Vast tarief",IF(LEFT(F515,8)="Bijdrage",VLOOKUP($F515,Tb_KostenTypen[],MATCH(Lijsten!$P$1,Tb_KostenTypen[#Headers],0),0),VLOOKUP($G515,Lijsten!L:P,MATCH(Lijsten!$P$1,Kop_Tarief_Vast,0),0))),""),"")</f>
        <v/>
      </c>
      <c r="P515" s="320" t="str" cm="1">
        <f t="array" ref="P515">_xlfn.IFNA(IF(INDEX(Tb_KostenOptiesDB[],MATCH($F515,Tb_KostenOptiesDB[KostenOptie],0),IFERROR(MATCH(Methode_Keuze,Tb_KostenOptiesDB[#Headers],0),2))=1,_xlfn.SWITCH($N515,"Uurtarief",IF(OR(AND(RIGHT($F515,3)="IKS",VLOOKUP($M515,DB_Loonkosten,2,0)="Ja"),AND(RIGHT($F515,3)&lt;&gt;"IKS",VLOOKUP($M515,DB_Loonkosten,2,0)="Nee")),IFERROR(VLOOKUP($M515,DB_Loonkosten,25,0),""),0),"Vast tarief",IF(LEFT(F515,8)="Bijdrage",VLOOKUP($F515,Tb_KostenTypen[],MATCH(Lijsten!$P$1,Tb_KostenTypen[#Headers],0),0),VLOOKUP($G515,Lijsten!L:P,MATCH(Lijsten!$P$1,Kop_Tarief_Vast,0),0))),""),"")</f>
        <v/>
      </c>
      <c r="Q515" s="359"/>
      <c r="R515" s="359"/>
      <c r="S515" s="321"/>
      <c r="T515" s="321"/>
      <c r="U515" s="373" t="str">
        <f t="shared" ref="U515:U578" si="32">IFERROR(IF(AND(R515&lt;&gt;"",R515&lt;&gt;Q515),-1*(R515-Q515),""),"")</f>
        <v/>
      </c>
      <c r="V515" s="314" t="str">
        <f t="shared" ref="V515:V578" si="33">IFERROR(IF(AND(T515&lt;&gt;"",T515&lt;&gt;S515),-1*(T515-S515),""),"")</f>
        <v/>
      </c>
      <c r="W515" s="314" t="str" cm="1">
        <f t="array" aca="1" ref="W515" ca="1">IFERROR(IF(AE515&lt;&gt;"ja",_xlfn.IFNA(_xlfn.IFS(AND(O515&lt;&gt;"",F515&lt;&gt;"",RIGHT($N515,6)="tarief",F515="Vergoeding"),SUM(O515)*FLOOR(SUM(Q515),0.0001),AND(O515&lt;&gt;"",F515&lt;&gt;"",RIGHT($N515,6)="tarief"),SUM(O515)*FLOOR(SUM(Q515),0.01),S515&gt;0,IF(F515&lt;&gt;"",FLOOR(SUM(S515),0.01),"")),""),""),"")</f>
        <v/>
      </c>
      <c r="X515" s="314" t="str" cm="1">
        <f t="array" aca="1" ref="X515" ca="1">IFERROR(IF(AE515&lt;&gt;"ja",_xlfn.IFNA(_xlfn.IFS(AND(P515&lt;&gt;"",R515&lt;&gt;"",RIGHT($N515,6)="tarief",F515="Vergoeding"),SUM(P515)*FLOOR(SUM(R515),0.0001),AND(P515&lt;&gt;"",R515&lt;&gt;"",RIGHT($N515,6)="tarief"),P515*FLOOR(R515,0.01),T515&gt;0,FLOOR(SUM(T515),0.01)),""),""),"")</f>
        <v/>
      </c>
      <c r="Y515" s="314" t="str">
        <f t="shared" ref="Y515:Y578" ca="1" si="34">IFERROR(IF(AND(X515&lt;&gt;"",X515&lt;&gt;W515),-1*(X515-W515),""),"")</f>
        <v/>
      </c>
      <c r="Z515" s="314" t="str" cm="1">
        <f t="array" aca="1" ref="Z515" ca="1">IFERROR(_xlfn.IFS(OR(F515="",LEFT(Methode_Keuze,4)="Geen",Methode_Keuze=""),"",AND(W515&lt;&gt;"",F515&lt;&gt;"Arbeidskosten"),W515*VLOOKUP(F515,Tb_ProjectKosten[],MATCH(Tb_ProjectKosten[[#Headers],[Forfait_Percentage]],Tb_ProjectKosten[#Headers],0),0),AND(F515="Arbeidskosten",G515&lt;&gt;""),IFERROR(W515*VLOOKUP(G515,Tb_KostenTypen[],3,0)*VLOOKUP(F515,Tb_ProjectKosten[],MATCH(Tb_ProjectKosten[[#Headers],[Forfait_Percentage]],Tb_ProjectKosten[#Headers],0),0),""),W515 &lt;=0,0),"")</f>
        <v/>
      </c>
      <c r="AA515" s="314" t="str" cm="1">
        <f t="array" aca="1" ref="AA515" ca="1">IFERROR(_xlfn.IFS(OR(F515="",LEFT(Methode_Keuze,4)="Geen",Methode_Keuze=""),"",AND(X515&lt;&gt;"",F515&lt;&gt;"Arbeidskosten"),X515*VLOOKUP(F515,Tb_ProjectKosten[],MATCH(Tb_ProjectKosten[[#Headers],[Forfait_Percentage]],Tb_ProjectKosten[#Headers],0),0),AND(F515="Arbeidskosten",G515&lt;&gt;""),IFERROR(X515*VLOOKUP(G515,Tb_KostenTypen[],3,0)*VLOOKUP(F515,Tb_ProjectKosten[],MATCH(Tb_ProjectKosten[[#Headers],[Forfait_Percentage]],Tb_ProjectKosten[#Headers],0),0),""),X515 &lt;=0,0),"")</f>
        <v/>
      </c>
      <c r="AB515" s="314" t="str">
        <f t="shared" ref="AB515:AB578" ca="1" si="35">IFERROR(IF(AND(AA515&lt;&gt;"",AA515&lt;&gt;Z515),-1*(AA515-Z515),""),"")</f>
        <v/>
      </c>
      <c r="AC515" s="322"/>
      <c r="AD515" s="315"/>
      <c r="AE515" s="32" t="str" cm="1">
        <f t="array" ref="AE515">IFERROR(IF(INDEX(SubsidieTabel!$AD$1:$AG$12,MATCH($F515,SubsidieTabel!$AD$1:$AD$12,0),IFERROR(MATCH(Methode_Keuze,SubsidieTabel!$AD$1:$AG$1,0),2))&lt;&gt;1=TRUE,"ja",""),"")</f>
        <v/>
      </c>
    </row>
    <row r="516" spans="1:31" x14ac:dyDescent="0.25">
      <c r="A516" s="316"/>
      <c r="B516" s="317" t="str">
        <f>IF(A516&lt;&gt;"",_xlfn.MAXIFS($B$1:B515,$A$1:A515,A516)+1,"")</f>
        <v/>
      </c>
      <c r="C516" s="296"/>
      <c r="D516" s="296"/>
      <c r="E516" s="296"/>
      <c r="F516" s="296"/>
      <c r="G516" s="326"/>
      <c r="H516" s="324"/>
      <c r="I516" s="325"/>
      <c r="J516" s="325"/>
      <c r="K516" s="318"/>
      <c r="L516" s="318"/>
      <c r="M516" s="319" t="str">
        <f>IFERROR(VLOOKUP(H516,Lijsten!$H$1:$I$100,2,0),"")</f>
        <v/>
      </c>
      <c r="N516" s="319" t="str">
        <f ca="1">IFERROR(IF(VLOOKUP(F516,Kostentypen!$A$3:$E$21,3,0)=0,"",IF(OR(F516="Arbeidskosten",F516="Vergoeding"),VLOOKUP(G516,Tb_KostenTypen[],2,0),VLOOKUP(F516,Kostentypen!$A$3:$E$20,3,0))),"")</f>
        <v/>
      </c>
      <c r="O516" s="320" t="str" cm="1">
        <f t="array" ref="O516">_xlfn.IFNA(IF(INDEX(Tb_KostenOptiesDB[],MATCH($F516,Tb_KostenOptiesDB[KostenOptie],0),IFERROR(MATCH(Methode_Keuze,Tb_KostenOptiesDB[#Headers],0),2))=1,_xlfn.SWITCH($N516,"Uurtarief",IF(OR(AND(RIGHT($F516,3)="IKS",VLOOKUP($M516,DB_Loonkosten,2,0)="Ja"),AND(RIGHT($F516,3)&lt;&gt;"IKS",VLOOKUP($M516,DB_Loonkosten,2,0)="Nee")),IFERROR(VLOOKUP($M516,DB_Loonkosten,24,0),""),0),"Vast tarief",IF(LEFT(F516,8)="Bijdrage",VLOOKUP($F516,Tb_KostenTypen[],MATCH(Lijsten!$P$1,Tb_KostenTypen[#Headers],0),0),VLOOKUP($G516,Lijsten!L:P,MATCH(Lijsten!$P$1,Kop_Tarief_Vast,0),0))),""),"")</f>
        <v/>
      </c>
      <c r="P516" s="320" t="str" cm="1">
        <f t="array" ref="P516">_xlfn.IFNA(IF(INDEX(Tb_KostenOptiesDB[],MATCH($F516,Tb_KostenOptiesDB[KostenOptie],0),IFERROR(MATCH(Methode_Keuze,Tb_KostenOptiesDB[#Headers],0),2))=1,_xlfn.SWITCH($N516,"Uurtarief",IF(OR(AND(RIGHT($F516,3)="IKS",VLOOKUP($M516,DB_Loonkosten,2,0)="Ja"),AND(RIGHT($F516,3)&lt;&gt;"IKS",VLOOKUP($M516,DB_Loonkosten,2,0)="Nee")),IFERROR(VLOOKUP($M516,DB_Loonkosten,25,0),""),0),"Vast tarief",IF(LEFT(F516,8)="Bijdrage",VLOOKUP($F516,Tb_KostenTypen[],MATCH(Lijsten!$P$1,Tb_KostenTypen[#Headers],0),0),VLOOKUP($G516,Lijsten!L:P,MATCH(Lijsten!$P$1,Kop_Tarief_Vast,0),0))),""),"")</f>
        <v/>
      </c>
      <c r="Q516" s="359"/>
      <c r="R516" s="359"/>
      <c r="S516" s="321"/>
      <c r="T516" s="321"/>
      <c r="U516" s="373" t="str">
        <f t="shared" si="32"/>
        <v/>
      </c>
      <c r="V516" s="314" t="str">
        <f t="shared" si="33"/>
        <v/>
      </c>
      <c r="W516" s="314" t="str" cm="1">
        <f t="array" aca="1" ref="W516" ca="1">IFERROR(IF(AE516&lt;&gt;"ja",_xlfn.IFNA(_xlfn.IFS(AND(O516&lt;&gt;"",F516&lt;&gt;"",RIGHT($N516,6)="tarief",F516="Vergoeding"),SUM(O516)*FLOOR(SUM(Q516),0.0001),AND(O516&lt;&gt;"",F516&lt;&gt;"",RIGHT($N516,6)="tarief"),SUM(O516)*FLOOR(SUM(Q516),0.01),S516&gt;0,IF(F516&lt;&gt;"",FLOOR(SUM(S516),0.01),"")),""),""),"")</f>
        <v/>
      </c>
      <c r="X516" s="314" t="str" cm="1">
        <f t="array" aca="1" ref="X516" ca="1">IFERROR(IF(AE516&lt;&gt;"ja",_xlfn.IFNA(_xlfn.IFS(AND(P516&lt;&gt;"",R516&lt;&gt;"",RIGHT($N516,6)="tarief",F516="Vergoeding"),SUM(P516)*FLOOR(SUM(R516),0.0001),AND(P516&lt;&gt;"",R516&lt;&gt;"",RIGHT($N516,6)="tarief"),P516*FLOOR(R516,0.01),T516&gt;0,FLOOR(SUM(T516),0.01)),""),""),"")</f>
        <v/>
      </c>
      <c r="Y516" s="314" t="str">
        <f t="shared" ca="1" si="34"/>
        <v/>
      </c>
      <c r="Z516" s="314" t="str" cm="1">
        <f t="array" aca="1" ref="Z516" ca="1">IFERROR(_xlfn.IFS(OR(F516="",LEFT(Methode_Keuze,4)="Geen",Methode_Keuze=""),"",AND(W516&lt;&gt;"",F516&lt;&gt;"Arbeidskosten"),W516*VLOOKUP(F516,Tb_ProjectKosten[],MATCH(Tb_ProjectKosten[[#Headers],[Forfait_Percentage]],Tb_ProjectKosten[#Headers],0),0),AND(F516="Arbeidskosten",G516&lt;&gt;""),IFERROR(W516*VLOOKUP(G516,Tb_KostenTypen[],3,0)*VLOOKUP(F516,Tb_ProjectKosten[],MATCH(Tb_ProjectKosten[[#Headers],[Forfait_Percentage]],Tb_ProjectKosten[#Headers],0),0),""),W516 &lt;=0,0),"")</f>
        <v/>
      </c>
      <c r="AA516" s="314" t="str" cm="1">
        <f t="array" aca="1" ref="AA516" ca="1">IFERROR(_xlfn.IFS(OR(F516="",LEFT(Methode_Keuze,4)="Geen",Methode_Keuze=""),"",AND(X516&lt;&gt;"",F516&lt;&gt;"Arbeidskosten"),X516*VLOOKUP(F516,Tb_ProjectKosten[],MATCH(Tb_ProjectKosten[[#Headers],[Forfait_Percentage]],Tb_ProjectKosten[#Headers],0),0),AND(F516="Arbeidskosten",G516&lt;&gt;""),IFERROR(X516*VLOOKUP(G516,Tb_KostenTypen[],3,0)*VLOOKUP(F516,Tb_ProjectKosten[],MATCH(Tb_ProjectKosten[[#Headers],[Forfait_Percentage]],Tb_ProjectKosten[#Headers],0),0),""),X516 &lt;=0,0),"")</f>
        <v/>
      </c>
      <c r="AB516" s="314" t="str">
        <f t="shared" ca="1" si="35"/>
        <v/>
      </c>
      <c r="AC516" s="322"/>
      <c r="AD516" s="315"/>
      <c r="AE516" s="32" t="str" cm="1">
        <f t="array" ref="AE516">IFERROR(IF(INDEX(SubsidieTabel!$AD$1:$AG$12,MATCH($F516,SubsidieTabel!$AD$1:$AD$12,0),IFERROR(MATCH(Methode_Keuze,SubsidieTabel!$AD$1:$AG$1,0),2))&lt;&gt;1=TRUE,"ja",""),"")</f>
        <v/>
      </c>
    </row>
    <row r="517" spans="1:31" x14ac:dyDescent="0.25">
      <c r="A517" s="316"/>
      <c r="B517" s="317" t="str">
        <f>IF(A517&lt;&gt;"",_xlfn.MAXIFS($B$1:B516,$A$1:A516,A517)+1,"")</f>
        <v/>
      </c>
      <c r="C517" s="296"/>
      <c r="D517" s="296"/>
      <c r="E517" s="296"/>
      <c r="F517" s="296"/>
      <c r="G517" s="326"/>
      <c r="H517" s="324"/>
      <c r="I517" s="325"/>
      <c r="J517" s="325"/>
      <c r="K517" s="318"/>
      <c r="L517" s="318"/>
      <c r="M517" s="319" t="str">
        <f>IFERROR(VLOOKUP(H517,Lijsten!$H$1:$I$100,2,0),"")</f>
        <v/>
      </c>
      <c r="N517" s="319" t="str">
        <f ca="1">IFERROR(IF(VLOOKUP(F517,Kostentypen!$A$3:$E$21,3,0)=0,"",IF(OR(F517="Arbeidskosten",F517="Vergoeding"),VLOOKUP(G517,Tb_KostenTypen[],2,0),VLOOKUP(F517,Kostentypen!$A$3:$E$20,3,0))),"")</f>
        <v/>
      </c>
      <c r="O517" s="320" t="str" cm="1">
        <f t="array" ref="O517">_xlfn.IFNA(IF(INDEX(Tb_KostenOptiesDB[],MATCH($F517,Tb_KostenOptiesDB[KostenOptie],0),IFERROR(MATCH(Methode_Keuze,Tb_KostenOptiesDB[#Headers],0),2))=1,_xlfn.SWITCH($N517,"Uurtarief",IF(OR(AND(RIGHT($F517,3)="IKS",VLOOKUP($M517,DB_Loonkosten,2,0)="Ja"),AND(RIGHT($F517,3)&lt;&gt;"IKS",VLOOKUP($M517,DB_Loonkosten,2,0)="Nee")),IFERROR(VLOOKUP($M517,DB_Loonkosten,24,0),""),0),"Vast tarief",IF(LEFT(F517,8)="Bijdrage",VLOOKUP($F517,Tb_KostenTypen[],MATCH(Lijsten!$P$1,Tb_KostenTypen[#Headers],0),0),VLOOKUP($G517,Lijsten!L:P,MATCH(Lijsten!$P$1,Kop_Tarief_Vast,0),0))),""),"")</f>
        <v/>
      </c>
      <c r="P517" s="320" t="str" cm="1">
        <f t="array" ref="P517">_xlfn.IFNA(IF(INDEX(Tb_KostenOptiesDB[],MATCH($F517,Tb_KostenOptiesDB[KostenOptie],0),IFERROR(MATCH(Methode_Keuze,Tb_KostenOptiesDB[#Headers],0),2))=1,_xlfn.SWITCH($N517,"Uurtarief",IF(OR(AND(RIGHT($F517,3)="IKS",VLOOKUP($M517,DB_Loonkosten,2,0)="Ja"),AND(RIGHT($F517,3)&lt;&gt;"IKS",VLOOKUP($M517,DB_Loonkosten,2,0)="Nee")),IFERROR(VLOOKUP($M517,DB_Loonkosten,25,0),""),0),"Vast tarief",IF(LEFT(F517,8)="Bijdrage",VLOOKUP($F517,Tb_KostenTypen[],MATCH(Lijsten!$P$1,Tb_KostenTypen[#Headers],0),0),VLOOKUP($G517,Lijsten!L:P,MATCH(Lijsten!$P$1,Kop_Tarief_Vast,0),0))),""),"")</f>
        <v/>
      </c>
      <c r="Q517" s="359"/>
      <c r="R517" s="359"/>
      <c r="S517" s="321"/>
      <c r="T517" s="321"/>
      <c r="U517" s="373" t="str">
        <f t="shared" si="32"/>
        <v/>
      </c>
      <c r="V517" s="314" t="str">
        <f t="shared" si="33"/>
        <v/>
      </c>
      <c r="W517" s="314" t="str" cm="1">
        <f t="array" aca="1" ref="W517" ca="1">IFERROR(IF(AE517&lt;&gt;"ja",_xlfn.IFNA(_xlfn.IFS(AND(O517&lt;&gt;"",F517&lt;&gt;"",RIGHT($N517,6)="tarief",F517="Vergoeding"),SUM(O517)*FLOOR(SUM(Q517),0.0001),AND(O517&lt;&gt;"",F517&lt;&gt;"",RIGHT($N517,6)="tarief"),SUM(O517)*FLOOR(SUM(Q517),0.01),S517&gt;0,IF(F517&lt;&gt;"",FLOOR(SUM(S517),0.01),"")),""),""),"")</f>
        <v/>
      </c>
      <c r="X517" s="314" t="str" cm="1">
        <f t="array" aca="1" ref="X517" ca="1">IFERROR(IF(AE517&lt;&gt;"ja",_xlfn.IFNA(_xlfn.IFS(AND(P517&lt;&gt;"",R517&lt;&gt;"",RIGHT($N517,6)="tarief",F517="Vergoeding"),SUM(P517)*FLOOR(SUM(R517),0.0001),AND(P517&lt;&gt;"",R517&lt;&gt;"",RIGHT($N517,6)="tarief"),P517*FLOOR(R517,0.01),T517&gt;0,FLOOR(SUM(T517),0.01)),""),""),"")</f>
        <v/>
      </c>
      <c r="Y517" s="314" t="str">
        <f t="shared" ca="1" si="34"/>
        <v/>
      </c>
      <c r="Z517" s="314" t="str" cm="1">
        <f t="array" aca="1" ref="Z517" ca="1">IFERROR(_xlfn.IFS(OR(F517="",LEFT(Methode_Keuze,4)="Geen",Methode_Keuze=""),"",AND(W517&lt;&gt;"",F517&lt;&gt;"Arbeidskosten"),W517*VLOOKUP(F517,Tb_ProjectKosten[],MATCH(Tb_ProjectKosten[[#Headers],[Forfait_Percentage]],Tb_ProjectKosten[#Headers],0),0),AND(F517="Arbeidskosten",G517&lt;&gt;""),IFERROR(W517*VLOOKUP(G517,Tb_KostenTypen[],3,0)*VLOOKUP(F517,Tb_ProjectKosten[],MATCH(Tb_ProjectKosten[[#Headers],[Forfait_Percentage]],Tb_ProjectKosten[#Headers],0),0),""),W517 &lt;=0,0),"")</f>
        <v/>
      </c>
      <c r="AA517" s="314" t="str" cm="1">
        <f t="array" aca="1" ref="AA517" ca="1">IFERROR(_xlfn.IFS(OR(F517="",LEFT(Methode_Keuze,4)="Geen",Methode_Keuze=""),"",AND(X517&lt;&gt;"",F517&lt;&gt;"Arbeidskosten"),X517*VLOOKUP(F517,Tb_ProjectKosten[],MATCH(Tb_ProjectKosten[[#Headers],[Forfait_Percentage]],Tb_ProjectKosten[#Headers],0),0),AND(F517="Arbeidskosten",G517&lt;&gt;""),IFERROR(X517*VLOOKUP(G517,Tb_KostenTypen[],3,0)*VLOOKUP(F517,Tb_ProjectKosten[],MATCH(Tb_ProjectKosten[[#Headers],[Forfait_Percentage]],Tb_ProjectKosten[#Headers],0),0),""),X517 &lt;=0,0),"")</f>
        <v/>
      </c>
      <c r="AB517" s="314" t="str">
        <f t="shared" ca="1" si="35"/>
        <v/>
      </c>
      <c r="AC517" s="322"/>
      <c r="AD517" s="315"/>
      <c r="AE517" s="32" t="str" cm="1">
        <f t="array" ref="AE517">IFERROR(IF(INDEX(SubsidieTabel!$AD$1:$AG$12,MATCH($F517,SubsidieTabel!$AD$1:$AD$12,0),IFERROR(MATCH(Methode_Keuze,SubsidieTabel!$AD$1:$AG$1,0),2))&lt;&gt;1=TRUE,"ja",""),"")</f>
        <v/>
      </c>
    </row>
    <row r="518" spans="1:31" x14ac:dyDescent="0.25">
      <c r="A518" s="316"/>
      <c r="B518" s="317" t="str">
        <f>IF(A518&lt;&gt;"",_xlfn.MAXIFS($B$1:B517,$A$1:A517,A518)+1,"")</f>
        <v/>
      </c>
      <c r="C518" s="296"/>
      <c r="D518" s="296"/>
      <c r="E518" s="296"/>
      <c r="F518" s="296"/>
      <c r="G518" s="326"/>
      <c r="H518" s="324"/>
      <c r="I518" s="325"/>
      <c r="J518" s="325"/>
      <c r="K518" s="318"/>
      <c r="L518" s="318"/>
      <c r="M518" s="319" t="str">
        <f>IFERROR(VLOOKUP(H518,Lijsten!$H$1:$I$100,2,0),"")</f>
        <v/>
      </c>
      <c r="N518" s="319" t="str">
        <f ca="1">IFERROR(IF(VLOOKUP(F518,Kostentypen!$A$3:$E$21,3,0)=0,"",IF(OR(F518="Arbeidskosten",F518="Vergoeding"),VLOOKUP(G518,Tb_KostenTypen[],2,0),VLOOKUP(F518,Kostentypen!$A$3:$E$20,3,0))),"")</f>
        <v/>
      </c>
      <c r="O518" s="320" t="str" cm="1">
        <f t="array" ref="O518">_xlfn.IFNA(IF(INDEX(Tb_KostenOptiesDB[],MATCH($F518,Tb_KostenOptiesDB[KostenOptie],0),IFERROR(MATCH(Methode_Keuze,Tb_KostenOptiesDB[#Headers],0),2))=1,_xlfn.SWITCH($N518,"Uurtarief",IF(OR(AND(RIGHT($F518,3)="IKS",VLOOKUP($M518,DB_Loonkosten,2,0)="Ja"),AND(RIGHT($F518,3)&lt;&gt;"IKS",VLOOKUP($M518,DB_Loonkosten,2,0)="Nee")),IFERROR(VLOOKUP($M518,DB_Loonkosten,24,0),""),0),"Vast tarief",IF(LEFT(F518,8)="Bijdrage",VLOOKUP($F518,Tb_KostenTypen[],MATCH(Lijsten!$P$1,Tb_KostenTypen[#Headers],0),0),VLOOKUP($G518,Lijsten!L:P,MATCH(Lijsten!$P$1,Kop_Tarief_Vast,0),0))),""),"")</f>
        <v/>
      </c>
      <c r="P518" s="320" t="str" cm="1">
        <f t="array" ref="P518">_xlfn.IFNA(IF(INDEX(Tb_KostenOptiesDB[],MATCH($F518,Tb_KostenOptiesDB[KostenOptie],0),IFERROR(MATCH(Methode_Keuze,Tb_KostenOptiesDB[#Headers],0),2))=1,_xlfn.SWITCH($N518,"Uurtarief",IF(OR(AND(RIGHT($F518,3)="IKS",VLOOKUP($M518,DB_Loonkosten,2,0)="Ja"),AND(RIGHT($F518,3)&lt;&gt;"IKS",VLOOKUP($M518,DB_Loonkosten,2,0)="Nee")),IFERROR(VLOOKUP($M518,DB_Loonkosten,25,0),""),0),"Vast tarief",IF(LEFT(F518,8)="Bijdrage",VLOOKUP($F518,Tb_KostenTypen[],MATCH(Lijsten!$P$1,Tb_KostenTypen[#Headers],0),0),VLOOKUP($G518,Lijsten!L:P,MATCH(Lijsten!$P$1,Kop_Tarief_Vast,0),0))),""),"")</f>
        <v/>
      </c>
      <c r="Q518" s="359"/>
      <c r="R518" s="359"/>
      <c r="S518" s="321"/>
      <c r="T518" s="321"/>
      <c r="U518" s="373" t="str">
        <f t="shared" si="32"/>
        <v/>
      </c>
      <c r="V518" s="314" t="str">
        <f t="shared" si="33"/>
        <v/>
      </c>
      <c r="W518" s="314" t="str" cm="1">
        <f t="array" aca="1" ref="W518" ca="1">IFERROR(IF(AE518&lt;&gt;"ja",_xlfn.IFNA(_xlfn.IFS(AND(O518&lt;&gt;"",F518&lt;&gt;"",RIGHT($N518,6)="tarief",F518="Vergoeding"),SUM(O518)*FLOOR(SUM(Q518),0.0001),AND(O518&lt;&gt;"",F518&lt;&gt;"",RIGHT($N518,6)="tarief"),SUM(O518)*FLOOR(SUM(Q518),0.01),S518&gt;0,IF(F518&lt;&gt;"",FLOOR(SUM(S518),0.01),"")),""),""),"")</f>
        <v/>
      </c>
      <c r="X518" s="314" t="str" cm="1">
        <f t="array" aca="1" ref="X518" ca="1">IFERROR(IF(AE518&lt;&gt;"ja",_xlfn.IFNA(_xlfn.IFS(AND(P518&lt;&gt;"",R518&lt;&gt;"",RIGHT($N518,6)="tarief",F518="Vergoeding"),SUM(P518)*FLOOR(SUM(R518),0.0001),AND(P518&lt;&gt;"",R518&lt;&gt;"",RIGHT($N518,6)="tarief"),P518*FLOOR(R518,0.01),T518&gt;0,FLOOR(SUM(T518),0.01)),""),""),"")</f>
        <v/>
      </c>
      <c r="Y518" s="314" t="str">
        <f t="shared" ca="1" si="34"/>
        <v/>
      </c>
      <c r="Z518" s="314" t="str" cm="1">
        <f t="array" aca="1" ref="Z518" ca="1">IFERROR(_xlfn.IFS(OR(F518="",LEFT(Methode_Keuze,4)="Geen",Methode_Keuze=""),"",AND(W518&lt;&gt;"",F518&lt;&gt;"Arbeidskosten"),W518*VLOOKUP(F518,Tb_ProjectKosten[],MATCH(Tb_ProjectKosten[[#Headers],[Forfait_Percentage]],Tb_ProjectKosten[#Headers],0),0),AND(F518="Arbeidskosten",G518&lt;&gt;""),IFERROR(W518*VLOOKUP(G518,Tb_KostenTypen[],3,0)*VLOOKUP(F518,Tb_ProjectKosten[],MATCH(Tb_ProjectKosten[[#Headers],[Forfait_Percentage]],Tb_ProjectKosten[#Headers],0),0),""),W518 &lt;=0,0),"")</f>
        <v/>
      </c>
      <c r="AA518" s="314" t="str" cm="1">
        <f t="array" aca="1" ref="AA518" ca="1">IFERROR(_xlfn.IFS(OR(F518="",LEFT(Methode_Keuze,4)="Geen",Methode_Keuze=""),"",AND(X518&lt;&gt;"",F518&lt;&gt;"Arbeidskosten"),X518*VLOOKUP(F518,Tb_ProjectKosten[],MATCH(Tb_ProjectKosten[[#Headers],[Forfait_Percentage]],Tb_ProjectKosten[#Headers],0),0),AND(F518="Arbeidskosten",G518&lt;&gt;""),IFERROR(X518*VLOOKUP(G518,Tb_KostenTypen[],3,0)*VLOOKUP(F518,Tb_ProjectKosten[],MATCH(Tb_ProjectKosten[[#Headers],[Forfait_Percentage]],Tb_ProjectKosten[#Headers],0),0),""),X518 &lt;=0,0),"")</f>
        <v/>
      </c>
      <c r="AB518" s="314" t="str">
        <f t="shared" ca="1" si="35"/>
        <v/>
      </c>
      <c r="AC518" s="322"/>
      <c r="AD518" s="315"/>
      <c r="AE518" s="32" t="str" cm="1">
        <f t="array" ref="AE518">IFERROR(IF(INDEX(SubsidieTabel!$AD$1:$AG$12,MATCH($F518,SubsidieTabel!$AD$1:$AD$12,0),IFERROR(MATCH(Methode_Keuze,SubsidieTabel!$AD$1:$AG$1,0),2))&lt;&gt;1=TRUE,"ja",""),"")</f>
        <v/>
      </c>
    </row>
    <row r="519" spans="1:31" x14ac:dyDescent="0.25">
      <c r="A519" s="316"/>
      <c r="B519" s="317" t="str">
        <f>IF(A519&lt;&gt;"",_xlfn.MAXIFS($B$1:B518,$A$1:A518,A519)+1,"")</f>
        <v/>
      </c>
      <c r="C519" s="296"/>
      <c r="D519" s="296"/>
      <c r="E519" s="296"/>
      <c r="F519" s="296"/>
      <c r="G519" s="326"/>
      <c r="H519" s="324"/>
      <c r="I519" s="325"/>
      <c r="J519" s="325"/>
      <c r="K519" s="318"/>
      <c r="L519" s="318"/>
      <c r="M519" s="319" t="str">
        <f>IFERROR(VLOOKUP(H519,Lijsten!$H$1:$I$100,2,0),"")</f>
        <v/>
      </c>
      <c r="N519" s="319" t="str">
        <f ca="1">IFERROR(IF(VLOOKUP(F519,Kostentypen!$A$3:$E$21,3,0)=0,"",IF(OR(F519="Arbeidskosten",F519="Vergoeding"),VLOOKUP(G519,Tb_KostenTypen[],2,0),VLOOKUP(F519,Kostentypen!$A$3:$E$20,3,0))),"")</f>
        <v/>
      </c>
      <c r="O519" s="320" t="str" cm="1">
        <f t="array" ref="O519">_xlfn.IFNA(IF(INDEX(Tb_KostenOptiesDB[],MATCH($F519,Tb_KostenOptiesDB[KostenOptie],0),IFERROR(MATCH(Methode_Keuze,Tb_KostenOptiesDB[#Headers],0),2))=1,_xlfn.SWITCH($N519,"Uurtarief",IF(OR(AND(RIGHT($F519,3)="IKS",VLOOKUP($M519,DB_Loonkosten,2,0)="Ja"),AND(RIGHT($F519,3)&lt;&gt;"IKS",VLOOKUP($M519,DB_Loonkosten,2,0)="Nee")),IFERROR(VLOOKUP($M519,DB_Loonkosten,24,0),""),0),"Vast tarief",IF(LEFT(F519,8)="Bijdrage",VLOOKUP($F519,Tb_KostenTypen[],MATCH(Lijsten!$P$1,Tb_KostenTypen[#Headers],0),0),VLOOKUP($G519,Lijsten!L:P,MATCH(Lijsten!$P$1,Kop_Tarief_Vast,0),0))),""),"")</f>
        <v/>
      </c>
      <c r="P519" s="320" t="str" cm="1">
        <f t="array" ref="P519">_xlfn.IFNA(IF(INDEX(Tb_KostenOptiesDB[],MATCH($F519,Tb_KostenOptiesDB[KostenOptie],0),IFERROR(MATCH(Methode_Keuze,Tb_KostenOptiesDB[#Headers],0),2))=1,_xlfn.SWITCH($N519,"Uurtarief",IF(OR(AND(RIGHT($F519,3)="IKS",VLOOKUP($M519,DB_Loonkosten,2,0)="Ja"),AND(RIGHT($F519,3)&lt;&gt;"IKS",VLOOKUP($M519,DB_Loonkosten,2,0)="Nee")),IFERROR(VLOOKUP($M519,DB_Loonkosten,25,0),""),0),"Vast tarief",IF(LEFT(F519,8)="Bijdrage",VLOOKUP($F519,Tb_KostenTypen[],MATCH(Lijsten!$P$1,Tb_KostenTypen[#Headers],0),0),VLOOKUP($G519,Lijsten!L:P,MATCH(Lijsten!$P$1,Kop_Tarief_Vast,0),0))),""),"")</f>
        <v/>
      </c>
      <c r="Q519" s="359"/>
      <c r="R519" s="359"/>
      <c r="S519" s="321"/>
      <c r="T519" s="321"/>
      <c r="U519" s="373" t="str">
        <f t="shared" si="32"/>
        <v/>
      </c>
      <c r="V519" s="314" t="str">
        <f t="shared" si="33"/>
        <v/>
      </c>
      <c r="W519" s="314" t="str" cm="1">
        <f t="array" aca="1" ref="W519" ca="1">IFERROR(IF(AE519&lt;&gt;"ja",_xlfn.IFNA(_xlfn.IFS(AND(O519&lt;&gt;"",F519&lt;&gt;"",RIGHT($N519,6)="tarief",F519="Vergoeding"),SUM(O519)*FLOOR(SUM(Q519),0.0001),AND(O519&lt;&gt;"",F519&lt;&gt;"",RIGHT($N519,6)="tarief"),SUM(O519)*FLOOR(SUM(Q519),0.01),S519&gt;0,IF(F519&lt;&gt;"",FLOOR(SUM(S519),0.01),"")),""),""),"")</f>
        <v/>
      </c>
      <c r="X519" s="314" t="str" cm="1">
        <f t="array" aca="1" ref="X519" ca="1">IFERROR(IF(AE519&lt;&gt;"ja",_xlfn.IFNA(_xlfn.IFS(AND(P519&lt;&gt;"",R519&lt;&gt;"",RIGHT($N519,6)="tarief",F519="Vergoeding"),SUM(P519)*FLOOR(SUM(R519),0.0001),AND(P519&lt;&gt;"",R519&lt;&gt;"",RIGHT($N519,6)="tarief"),P519*FLOOR(R519,0.01),T519&gt;0,FLOOR(SUM(T519),0.01)),""),""),"")</f>
        <v/>
      </c>
      <c r="Y519" s="314" t="str">
        <f t="shared" ca="1" si="34"/>
        <v/>
      </c>
      <c r="Z519" s="314" t="str" cm="1">
        <f t="array" aca="1" ref="Z519" ca="1">IFERROR(_xlfn.IFS(OR(F519="",LEFT(Methode_Keuze,4)="Geen",Methode_Keuze=""),"",AND(W519&lt;&gt;"",F519&lt;&gt;"Arbeidskosten"),W519*VLOOKUP(F519,Tb_ProjectKosten[],MATCH(Tb_ProjectKosten[[#Headers],[Forfait_Percentage]],Tb_ProjectKosten[#Headers],0),0),AND(F519="Arbeidskosten",G519&lt;&gt;""),IFERROR(W519*VLOOKUP(G519,Tb_KostenTypen[],3,0)*VLOOKUP(F519,Tb_ProjectKosten[],MATCH(Tb_ProjectKosten[[#Headers],[Forfait_Percentage]],Tb_ProjectKosten[#Headers],0),0),""),W519 &lt;=0,0),"")</f>
        <v/>
      </c>
      <c r="AA519" s="314" t="str" cm="1">
        <f t="array" aca="1" ref="AA519" ca="1">IFERROR(_xlfn.IFS(OR(F519="",LEFT(Methode_Keuze,4)="Geen",Methode_Keuze=""),"",AND(X519&lt;&gt;"",F519&lt;&gt;"Arbeidskosten"),X519*VLOOKUP(F519,Tb_ProjectKosten[],MATCH(Tb_ProjectKosten[[#Headers],[Forfait_Percentage]],Tb_ProjectKosten[#Headers],0),0),AND(F519="Arbeidskosten",G519&lt;&gt;""),IFERROR(X519*VLOOKUP(G519,Tb_KostenTypen[],3,0)*VLOOKUP(F519,Tb_ProjectKosten[],MATCH(Tb_ProjectKosten[[#Headers],[Forfait_Percentage]],Tb_ProjectKosten[#Headers],0),0),""),X519 &lt;=0,0),"")</f>
        <v/>
      </c>
      <c r="AB519" s="314" t="str">
        <f t="shared" ca="1" si="35"/>
        <v/>
      </c>
      <c r="AC519" s="322"/>
      <c r="AD519" s="315"/>
      <c r="AE519" s="32" t="str" cm="1">
        <f t="array" ref="AE519">IFERROR(IF(INDEX(SubsidieTabel!$AD$1:$AG$12,MATCH($F519,SubsidieTabel!$AD$1:$AD$12,0),IFERROR(MATCH(Methode_Keuze,SubsidieTabel!$AD$1:$AG$1,0),2))&lt;&gt;1=TRUE,"ja",""),"")</f>
        <v/>
      </c>
    </row>
    <row r="520" spans="1:31" x14ac:dyDescent="0.25">
      <c r="A520" s="316"/>
      <c r="B520" s="317" t="str">
        <f>IF(A520&lt;&gt;"",_xlfn.MAXIFS($B$1:B519,$A$1:A519,A520)+1,"")</f>
        <v/>
      </c>
      <c r="C520" s="296"/>
      <c r="D520" s="296"/>
      <c r="E520" s="296"/>
      <c r="F520" s="296"/>
      <c r="G520" s="326"/>
      <c r="H520" s="324"/>
      <c r="I520" s="325"/>
      <c r="J520" s="325"/>
      <c r="K520" s="318"/>
      <c r="L520" s="318"/>
      <c r="M520" s="319" t="str">
        <f>IFERROR(VLOOKUP(H520,Lijsten!$H$1:$I$100,2,0),"")</f>
        <v/>
      </c>
      <c r="N520" s="319" t="str">
        <f ca="1">IFERROR(IF(VLOOKUP(F520,Kostentypen!$A$3:$E$21,3,0)=0,"",IF(OR(F520="Arbeidskosten",F520="Vergoeding"),VLOOKUP(G520,Tb_KostenTypen[],2,0),VLOOKUP(F520,Kostentypen!$A$3:$E$20,3,0))),"")</f>
        <v/>
      </c>
      <c r="O520" s="320" t="str" cm="1">
        <f t="array" ref="O520">_xlfn.IFNA(IF(INDEX(Tb_KostenOptiesDB[],MATCH($F520,Tb_KostenOptiesDB[KostenOptie],0),IFERROR(MATCH(Methode_Keuze,Tb_KostenOptiesDB[#Headers],0),2))=1,_xlfn.SWITCH($N520,"Uurtarief",IF(OR(AND(RIGHT($F520,3)="IKS",VLOOKUP($M520,DB_Loonkosten,2,0)="Ja"),AND(RIGHT($F520,3)&lt;&gt;"IKS",VLOOKUP($M520,DB_Loonkosten,2,0)="Nee")),IFERROR(VLOOKUP($M520,DB_Loonkosten,24,0),""),0),"Vast tarief",IF(LEFT(F520,8)="Bijdrage",VLOOKUP($F520,Tb_KostenTypen[],MATCH(Lijsten!$P$1,Tb_KostenTypen[#Headers],0),0),VLOOKUP($G520,Lijsten!L:P,MATCH(Lijsten!$P$1,Kop_Tarief_Vast,0),0))),""),"")</f>
        <v/>
      </c>
      <c r="P520" s="320" t="str" cm="1">
        <f t="array" ref="P520">_xlfn.IFNA(IF(INDEX(Tb_KostenOptiesDB[],MATCH($F520,Tb_KostenOptiesDB[KostenOptie],0),IFERROR(MATCH(Methode_Keuze,Tb_KostenOptiesDB[#Headers],0),2))=1,_xlfn.SWITCH($N520,"Uurtarief",IF(OR(AND(RIGHT($F520,3)="IKS",VLOOKUP($M520,DB_Loonkosten,2,0)="Ja"),AND(RIGHT($F520,3)&lt;&gt;"IKS",VLOOKUP($M520,DB_Loonkosten,2,0)="Nee")),IFERROR(VLOOKUP($M520,DB_Loonkosten,25,0),""),0),"Vast tarief",IF(LEFT(F520,8)="Bijdrage",VLOOKUP($F520,Tb_KostenTypen[],MATCH(Lijsten!$P$1,Tb_KostenTypen[#Headers],0),0),VLOOKUP($G520,Lijsten!L:P,MATCH(Lijsten!$P$1,Kop_Tarief_Vast,0),0))),""),"")</f>
        <v/>
      </c>
      <c r="Q520" s="359"/>
      <c r="R520" s="359"/>
      <c r="S520" s="321"/>
      <c r="T520" s="321"/>
      <c r="U520" s="373" t="str">
        <f t="shared" si="32"/>
        <v/>
      </c>
      <c r="V520" s="314" t="str">
        <f t="shared" si="33"/>
        <v/>
      </c>
      <c r="W520" s="314" t="str" cm="1">
        <f t="array" aca="1" ref="W520" ca="1">IFERROR(IF(AE520&lt;&gt;"ja",_xlfn.IFNA(_xlfn.IFS(AND(O520&lt;&gt;"",F520&lt;&gt;"",RIGHT($N520,6)="tarief",F520="Vergoeding"),SUM(O520)*FLOOR(SUM(Q520),0.0001),AND(O520&lt;&gt;"",F520&lt;&gt;"",RIGHT($N520,6)="tarief"),SUM(O520)*FLOOR(SUM(Q520),0.01),S520&gt;0,IF(F520&lt;&gt;"",FLOOR(SUM(S520),0.01),"")),""),""),"")</f>
        <v/>
      </c>
      <c r="X520" s="314" t="str" cm="1">
        <f t="array" aca="1" ref="X520" ca="1">IFERROR(IF(AE520&lt;&gt;"ja",_xlfn.IFNA(_xlfn.IFS(AND(P520&lt;&gt;"",R520&lt;&gt;"",RIGHT($N520,6)="tarief",F520="Vergoeding"),SUM(P520)*FLOOR(SUM(R520),0.0001),AND(P520&lt;&gt;"",R520&lt;&gt;"",RIGHT($N520,6)="tarief"),P520*FLOOR(R520,0.01),T520&gt;0,FLOOR(SUM(T520),0.01)),""),""),"")</f>
        <v/>
      </c>
      <c r="Y520" s="314" t="str">
        <f t="shared" ca="1" si="34"/>
        <v/>
      </c>
      <c r="Z520" s="314" t="str" cm="1">
        <f t="array" aca="1" ref="Z520" ca="1">IFERROR(_xlfn.IFS(OR(F520="",LEFT(Methode_Keuze,4)="Geen",Methode_Keuze=""),"",AND(W520&lt;&gt;"",F520&lt;&gt;"Arbeidskosten"),W520*VLOOKUP(F520,Tb_ProjectKosten[],MATCH(Tb_ProjectKosten[[#Headers],[Forfait_Percentage]],Tb_ProjectKosten[#Headers],0),0),AND(F520="Arbeidskosten",G520&lt;&gt;""),IFERROR(W520*VLOOKUP(G520,Tb_KostenTypen[],3,0)*VLOOKUP(F520,Tb_ProjectKosten[],MATCH(Tb_ProjectKosten[[#Headers],[Forfait_Percentage]],Tb_ProjectKosten[#Headers],0),0),""),W520 &lt;=0,0),"")</f>
        <v/>
      </c>
      <c r="AA520" s="314" t="str" cm="1">
        <f t="array" aca="1" ref="AA520" ca="1">IFERROR(_xlfn.IFS(OR(F520="",LEFT(Methode_Keuze,4)="Geen",Methode_Keuze=""),"",AND(X520&lt;&gt;"",F520&lt;&gt;"Arbeidskosten"),X520*VLOOKUP(F520,Tb_ProjectKosten[],MATCH(Tb_ProjectKosten[[#Headers],[Forfait_Percentage]],Tb_ProjectKosten[#Headers],0),0),AND(F520="Arbeidskosten",G520&lt;&gt;""),IFERROR(X520*VLOOKUP(G520,Tb_KostenTypen[],3,0)*VLOOKUP(F520,Tb_ProjectKosten[],MATCH(Tb_ProjectKosten[[#Headers],[Forfait_Percentage]],Tb_ProjectKosten[#Headers],0),0),""),X520 &lt;=0,0),"")</f>
        <v/>
      </c>
      <c r="AB520" s="314" t="str">
        <f t="shared" ca="1" si="35"/>
        <v/>
      </c>
      <c r="AC520" s="322"/>
      <c r="AD520" s="315"/>
      <c r="AE520" s="32" t="str" cm="1">
        <f t="array" ref="AE520">IFERROR(IF(INDEX(SubsidieTabel!$AD$1:$AG$12,MATCH($F520,SubsidieTabel!$AD$1:$AD$12,0),IFERROR(MATCH(Methode_Keuze,SubsidieTabel!$AD$1:$AG$1,0),2))&lt;&gt;1=TRUE,"ja",""),"")</f>
        <v/>
      </c>
    </row>
    <row r="521" spans="1:31" x14ac:dyDescent="0.25">
      <c r="A521" s="316"/>
      <c r="B521" s="317" t="str">
        <f>IF(A521&lt;&gt;"",_xlfn.MAXIFS($B$1:B520,$A$1:A520,A521)+1,"")</f>
        <v/>
      </c>
      <c r="C521" s="296"/>
      <c r="D521" s="296"/>
      <c r="E521" s="296"/>
      <c r="F521" s="296"/>
      <c r="G521" s="326"/>
      <c r="H521" s="324"/>
      <c r="I521" s="325"/>
      <c r="J521" s="325"/>
      <c r="K521" s="318"/>
      <c r="L521" s="318"/>
      <c r="M521" s="319" t="str">
        <f>IFERROR(VLOOKUP(H521,Lijsten!$H$1:$I$100,2,0),"")</f>
        <v/>
      </c>
      <c r="N521" s="319" t="str">
        <f ca="1">IFERROR(IF(VLOOKUP(F521,Kostentypen!$A$3:$E$21,3,0)=0,"",IF(OR(F521="Arbeidskosten",F521="Vergoeding"),VLOOKUP(G521,Tb_KostenTypen[],2,0),VLOOKUP(F521,Kostentypen!$A$3:$E$20,3,0))),"")</f>
        <v/>
      </c>
      <c r="O521" s="320" t="str" cm="1">
        <f t="array" ref="O521">_xlfn.IFNA(IF(INDEX(Tb_KostenOptiesDB[],MATCH($F521,Tb_KostenOptiesDB[KostenOptie],0),IFERROR(MATCH(Methode_Keuze,Tb_KostenOptiesDB[#Headers],0),2))=1,_xlfn.SWITCH($N521,"Uurtarief",IF(OR(AND(RIGHT($F521,3)="IKS",VLOOKUP($M521,DB_Loonkosten,2,0)="Ja"),AND(RIGHT($F521,3)&lt;&gt;"IKS",VLOOKUP($M521,DB_Loonkosten,2,0)="Nee")),IFERROR(VLOOKUP($M521,DB_Loonkosten,24,0),""),0),"Vast tarief",IF(LEFT(F521,8)="Bijdrage",VLOOKUP($F521,Tb_KostenTypen[],MATCH(Lijsten!$P$1,Tb_KostenTypen[#Headers],0),0),VLOOKUP($G521,Lijsten!L:P,MATCH(Lijsten!$P$1,Kop_Tarief_Vast,0),0))),""),"")</f>
        <v/>
      </c>
      <c r="P521" s="320" t="str" cm="1">
        <f t="array" ref="P521">_xlfn.IFNA(IF(INDEX(Tb_KostenOptiesDB[],MATCH($F521,Tb_KostenOptiesDB[KostenOptie],0),IFERROR(MATCH(Methode_Keuze,Tb_KostenOptiesDB[#Headers],0),2))=1,_xlfn.SWITCH($N521,"Uurtarief",IF(OR(AND(RIGHT($F521,3)="IKS",VLOOKUP($M521,DB_Loonkosten,2,0)="Ja"),AND(RIGHT($F521,3)&lt;&gt;"IKS",VLOOKUP($M521,DB_Loonkosten,2,0)="Nee")),IFERROR(VLOOKUP($M521,DB_Loonkosten,25,0),""),0),"Vast tarief",IF(LEFT(F521,8)="Bijdrage",VLOOKUP($F521,Tb_KostenTypen[],MATCH(Lijsten!$P$1,Tb_KostenTypen[#Headers],0),0),VLOOKUP($G521,Lijsten!L:P,MATCH(Lijsten!$P$1,Kop_Tarief_Vast,0),0))),""),"")</f>
        <v/>
      </c>
      <c r="Q521" s="359"/>
      <c r="R521" s="359"/>
      <c r="S521" s="321"/>
      <c r="T521" s="321"/>
      <c r="U521" s="373" t="str">
        <f t="shared" si="32"/>
        <v/>
      </c>
      <c r="V521" s="314" t="str">
        <f t="shared" si="33"/>
        <v/>
      </c>
      <c r="W521" s="314" t="str" cm="1">
        <f t="array" aca="1" ref="W521" ca="1">IFERROR(IF(AE521&lt;&gt;"ja",_xlfn.IFNA(_xlfn.IFS(AND(O521&lt;&gt;"",F521&lt;&gt;"",RIGHT($N521,6)="tarief",F521="Vergoeding"),SUM(O521)*FLOOR(SUM(Q521),0.0001),AND(O521&lt;&gt;"",F521&lt;&gt;"",RIGHT($N521,6)="tarief"),SUM(O521)*FLOOR(SUM(Q521),0.01),S521&gt;0,IF(F521&lt;&gt;"",FLOOR(SUM(S521),0.01),"")),""),""),"")</f>
        <v/>
      </c>
      <c r="X521" s="314" t="str" cm="1">
        <f t="array" aca="1" ref="X521" ca="1">IFERROR(IF(AE521&lt;&gt;"ja",_xlfn.IFNA(_xlfn.IFS(AND(P521&lt;&gt;"",R521&lt;&gt;"",RIGHT($N521,6)="tarief",F521="Vergoeding"),SUM(P521)*FLOOR(SUM(R521),0.0001),AND(P521&lt;&gt;"",R521&lt;&gt;"",RIGHT($N521,6)="tarief"),P521*FLOOR(R521,0.01),T521&gt;0,FLOOR(SUM(T521),0.01)),""),""),"")</f>
        <v/>
      </c>
      <c r="Y521" s="314" t="str">
        <f t="shared" ca="1" si="34"/>
        <v/>
      </c>
      <c r="Z521" s="314" t="str" cm="1">
        <f t="array" aca="1" ref="Z521" ca="1">IFERROR(_xlfn.IFS(OR(F521="",LEFT(Methode_Keuze,4)="Geen",Methode_Keuze=""),"",AND(W521&lt;&gt;"",F521&lt;&gt;"Arbeidskosten"),W521*VLOOKUP(F521,Tb_ProjectKosten[],MATCH(Tb_ProjectKosten[[#Headers],[Forfait_Percentage]],Tb_ProjectKosten[#Headers],0),0),AND(F521="Arbeidskosten",G521&lt;&gt;""),IFERROR(W521*VLOOKUP(G521,Tb_KostenTypen[],3,0)*VLOOKUP(F521,Tb_ProjectKosten[],MATCH(Tb_ProjectKosten[[#Headers],[Forfait_Percentage]],Tb_ProjectKosten[#Headers],0),0),""),W521 &lt;=0,0),"")</f>
        <v/>
      </c>
      <c r="AA521" s="314" t="str" cm="1">
        <f t="array" aca="1" ref="AA521" ca="1">IFERROR(_xlfn.IFS(OR(F521="",LEFT(Methode_Keuze,4)="Geen",Methode_Keuze=""),"",AND(X521&lt;&gt;"",F521&lt;&gt;"Arbeidskosten"),X521*VLOOKUP(F521,Tb_ProjectKosten[],MATCH(Tb_ProjectKosten[[#Headers],[Forfait_Percentage]],Tb_ProjectKosten[#Headers],0),0),AND(F521="Arbeidskosten",G521&lt;&gt;""),IFERROR(X521*VLOOKUP(G521,Tb_KostenTypen[],3,0)*VLOOKUP(F521,Tb_ProjectKosten[],MATCH(Tb_ProjectKosten[[#Headers],[Forfait_Percentage]],Tb_ProjectKosten[#Headers],0),0),""),X521 &lt;=0,0),"")</f>
        <v/>
      </c>
      <c r="AB521" s="314" t="str">
        <f t="shared" ca="1" si="35"/>
        <v/>
      </c>
      <c r="AC521" s="322"/>
      <c r="AD521" s="315"/>
      <c r="AE521" s="32" t="str" cm="1">
        <f t="array" ref="AE521">IFERROR(IF(INDEX(SubsidieTabel!$AD$1:$AG$12,MATCH($F521,SubsidieTabel!$AD$1:$AD$12,0),IFERROR(MATCH(Methode_Keuze,SubsidieTabel!$AD$1:$AG$1,0),2))&lt;&gt;1=TRUE,"ja",""),"")</f>
        <v/>
      </c>
    </row>
    <row r="522" spans="1:31" x14ac:dyDescent="0.25">
      <c r="A522" s="316"/>
      <c r="B522" s="317" t="str">
        <f>IF(A522&lt;&gt;"",_xlfn.MAXIFS($B$1:B521,$A$1:A521,A522)+1,"")</f>
        <v/>
      </c>
      <c r="C522" s="296"/>
      <c r="D522" s="296"/>
      <c r="E522" s="296"/>
      <c r="F522" s="296"/>
      <c r="G522" s="326"/>
      <c r="H522" s="324"/>
      <c r="I522" s="325"/>
      <c r="J522" s="325"/>
      <c r="K522" s="318"/>
      <c r="L522" s="318"/>
      <c r="M522" s="319" t="str">
        <f>IFERROR(VLOOKUP(H522,Lijsten!$H$1:$I$100,2,0),"")</f>
        <v/>
      </c>
      <c r="N522" s="319" t="str">
        <f ca="1">IFERROR(IF(VLOOKUP(F522,Kostentypen!$A$3:$E$21,3,0)=0,"",IF(OR(F522="Arbeidskosten",F522="Vergoeding"),VLOOKUP(G522,Tb_KostenTypen[],2,0),VLOOKUP(F522,Kostentypen!$A$3:$E$20,3,0))),"")</f>
        <v/>
      </c>
      <c r="O522" s="320" t="str" cm="1">
        <f t="array" ref="O522">_xlfn.IFNA(IF(INDEX(Tb_KostenOptiesDB[],MATCH($F522,Tb_KostenOptiesDB[KostenOptie],0),IFERROR(MATCH(Methode_Keuze,Tb_KostenOptiesDB[#Headers],0),2))=1,_xlfn.SWITCH($N522,"Uurtarief",IF(OR(AND(RIGHT($F522,3)="IKS",VLOOKUP($M522,DB_Loonkosten,2,0)="Ja"),AND(RIGHT($F522,3)&lt;&gt;"IKS",VLOOKUP($M522,DB_Loonkosten,2,0)="Nee")),IFERROR(VLOOKUP($M522,DB_Loonkosten,24,0),""),0),"Vast tarief",IF(LEFT(F522,8)="Bijdrage",VLOOKUP($F522,Tb_KostenTypen[],MATCH(Lijsten!$P$1,Tb_KostenTypen[#Headers],0),0),VLOOKUP($G522,Lijsten!L:P,MATCH(Lijsten!$P$1,Kop_Tarief_Vast,0),0))),""),"")</f>
        <v/>
      </c>
      <c r="P522" s="320" t="str" cm="1">
        <f t="array" ref="P522">_xlfn.IFNA(IF(INDEX(Tb_KostenOptiesDB[],MATCH($F522,Tb_KostenOptiesDB[KostenOptie],0),IFERROR(MATCH(Methode_Keuze,Tb_KostenOptiesDB[#Headers],0),2))=1,_xlfn.SWITCH($N522,"Uurtarief",IF(OR(AND(RIGHT($F522,3)="IKS",VLOOKUP($M522,DB_Loonkosten,2,0)="Ja"),AND(RIGHT($F522,3)&lt;&gt;"IKS",VLOOKUP($M522,DB_Loonkosten,2,0)="Nee")),IFERROR(VLOOKUP($M522,DB_Loonkosten,25,0),""),0),"Vast tarief",IF(LEFT(F522,8)="Bijdrage",VLOOKUP($F522,Tb_KostenTypen[],MATCH(Lijsten!$P$1,Tb_KostenTypen[#Headers],0),0),VLOOKUP($G522,Lijsten!L:P,MATCH(Lijsten!$P$1,Kop_Tarief_Vast,0),0))),""),"")</f>
        <v/>
      </c>
      <c r="Q522" s="359"/>
      <c r="R522" s="359"/>
      <c r="S522" s="321"/>
      <c r="T522" s="321"/>
      <c r="U522" s="373" t="str">
        <f t="shared" si="32"/>
        <v/>
      </c>
      <c r="V522" s="314" t="str">
        <f t="shared" si="33"/>
        <v/>
      </c>
      <c r="W522" s="314" t="str" cm="1">
        <f t="array" aca="1" ref="W522" ca="1">IFERROR(IF(AE522&lt;&gt;"ja",_xlfn.IFNA(_xlfn.IFS(AND(O522&lt;&gt;"",F522&lt;&gt;"",RIGHT($N522,6)="tarief",F522="Vergoeding"),SUM(O522)*FLOOR(SUM(Q522),0.0001),AND(O522&lt;&gt;"",F522&lt;&gt;"",RIGHT($N522,6)="tarief"),SUM(O522)*FLOOR(SUM(Q522),0.01),S522&gt;0,IF(F522&lt;&gt;"",FLOOR(SUM(S522),0.01),"")),""),""),"")</f>
        <v/>
      </c>
      <c r="X522" s="314" t="str" cm="1">
        <f t="array" aca="1" ref="X522" ca="1">IFERROR(IF(AE522&lt;&gt;"ja",_xlfn.IFNA(_xlfn.IFS(AND(P522&lt;&gt;"",R522&lt;&gt;"",RIGHT($N522,6)="tarief",F522="Vergoeding"),SUM(P522)*FLOOR(SUM(R522),0.0001),AND(P522&lt;&gt;"",R522&lt;&gt;"",RIGHT($N522,6)="tarief"),P522*FLOOR(R522,0.01),T522&gt;0,FLOOR(SUM(T522),0.01)),""),""),"")</f>
        <v/>
      </c>
      <c r="Y522" s="314" t="str">
        <f t="shared" ca="1" si="34"/>
        <v/>
      </c>
      <c r="Z522" s="314" t="str" cm="1">
        <f t="array" aca="1" ref="Z522" ca="1">IFERROR(_xlfn.IFS(OR(F522="",LEFT(Methode_Keuze,4)="Geen",Methode_Keuze=""),"",AND(W522&lt;&gt;"",F522&lt;&gt;"Arbeidskosten"),W522*VLOOKUP(F522,Tb_ProjectKosten[],MATCH(Tb_ProjectKosten[[#Headers],[Forfait_Percentage]],Tb_ProjectKosten[#Headers],0),0),AND(F522="Arbeidskosten",G522&lt;&gt;""),IFERROR(W522*VLOOKUP(G522,Tb_KostenTypen[],3,0)*VLOOKUP(F522,Tb_ProjectKosten[],MATCH(Tb_ProjectKosten[[#Headers],[Forfait_Percentage]],Tb_ProjectKosten[#Headers],0),0),""),W522 &lt;=0,0),"")</f>
        <v/>
      </c>
      <c r="AA522" s="314" t="str" cm="1">
        <f t="array" aca="1" ref="AA522" ca="1">IFERROR(_xlfn.IFS(OR(F522="",LEFT(Methode_Keuze,4)="Geen",Methode_Keuze=""),"",AND(X522&lt;&gt;"",F522&lt;&gt;"Arbeidskosten"),X522*VLOOKUP(F522,Tb_ProjectKosten[],MATCH(Tb_ProjectKosten[[#Headers],[Forfait_Percentage]],Tb_ProjectKosten[#Headers],0),0),AND(F522="Arbeidskosten",G522&lt;&gt;""),IFERROR(X522*VLOOKUP(G522,Tb_KostenTypen[],3,0)*VLOOKUP(F522,Tb_ProjectKosten[],MATCH(Tb_ProjectKosten[[#Headers],[Forfait_Percentage]],Tb_ProjectKosten[#Headers],0),0),""),X522 &lt;=0,0),"")</f>
        <v/>
      </c>
      <c r="AB522" s="314" t="str">
        <f t="shared" ca="1" si="35"/>
        <v/>
      </c>
      <c r="AC522" s="322"/>
      <c r="AD522" s="315"/>
      <c r="AE522" s="32" t="str" cm="1">
        <f t="array" ref="AE522">IFERROR(IF(INDEX(SubsidieTabel!$AD$1:$AG$12,MATCH($F522,SubsidieTabel!$AD$1:$AD$12,0),IFERROR(MATCH(Methode_Keuze,SubsidieTabel!$AD$1:$AG$1,0),2))&lt;&gt;1=TRUE,"ja",""),"")</f>
        <v/>
      </c>
    </row>
    <row r="523" spans="1:31" x14ac:dyDescent="0.25">
      <c r="A523" s="316"/>
      <c r="B523" s="317" t="str">
        <f>IF(A523&lt;&gt;"",_xlfn.MAXIFS($B$1:B522,$A$1:A522,A523)+1,"")</f>
        <v/>
      </c>
      <c r="C523" s="296"/>
      <c r="D523" s="296"/>
      <c r="E523" s="296"/>
      <c r="F523" s="296"/>
      <c r="G523" s="326"/>
      <c r="H523" s="324"/>
      <c r="I523" s="325"/>
      <c r="J523" s="325"/>
      <c r="K523" s="318"/>
      <c r="L523" s="318"/>
      <c r="M523" s="319" t="str">
        <f>IFERROR(VLOOKUP(H523,Lijsten!$H$1:$I$100,2,0),"")</f>
        <v/>
      </c>
      <c r="N523" s="319" t="str">
        <f ca="1">IFERROR(IF(VLOOKUP(F523,Kostentypen!$A$3:$E$21,3,0)=0,"",IF(OR(F523="Arbeidskosten",F523="Vergoeding"),VLOOKUP(G523,Tb_KostenTypen[],2,0),VLOOKUP(F523,Kostentypen!$A$3:$E$20,3,0))),"")</f>
        <v/>
      </c>
      <c r="O523" s="320" t="str" cm="1">
        <f t="array" ref="O523">_xlfn.IFNA(IF(INDEX(Tb_KostenOptiesDB[],MATCH($F523,Tb_KostenOptiesDB[KostenOptie],0),IFERROR(MATCH(Methode_Keuze,Tb_KostenOptiesDB[#Headers],0),2))=1,_xlfn.SWITCH($N523,"Uurtarief",IF(OR(AND(RIGHT($F523,3)="IKS",VLOOKUP($M523,DB_Loonkosten,2,0)="Ja"),AND(RIGHT($F523,3)&lt;&gt;"IKS",VLOOKUP($M523,DB_Loonkosten,2,0)="Nee")),IFERROR(VLOOKUP($M523,DB_Loonkosten,24,0),""),0),"Vast tarief",IF(LEFT(F523,8)="Bijdrage",VLOOKUP($F523,Tb_KostenTypen[],MATCH(Lijsten!$P$1,Tb_KostenTypen[#Headers],0),0),VLOOKUP($G523,Lijsten!L:P,MATCH(Lijsten!$P$1,Kop_Tarief_Vast,0),0))),""),"")</f>
        <v/>
      </c>
      <c r="P523" s="320" t="str" cm="1">
        <f t="array" ref="P523">_xlfn.IFNA(IF(INDEX(Tb_KostenOptiesDB[],MATCH($F523,Tb_KostenOptiesDB[KostenOptie],0),IFERROR(MATCH(Methode_Keuze,Tb_KostenOptiesDB[#Headers],0),2))=1,_xlfn.SWITCH($N523,"Uurtarief",IF(OR(AND(RIGHT($F523,3)="IKS",VLOOKUP($M523,DB_Loonkosten,2,0)="Ja"),AND(RIGHT($F523,3)&lt;&gt;"IKS",VLOOKUP($M523,DB_Loonkosten,2,0)="Nee")),IFERROR(VLOOKUP($M523,DB_Loonkosten,25,0),""),0),"Vast tarief",IF(LEFT(F523,8)="Bijdrage",VLOOKUP($F523,Tb_KostenTypen[],MATCH(Lijsten!$P$1,Tb_KostenTypen[#Headers],0),0),VLOOKUP($G523,Lijsten!L:P,MATCH(Lijsten!$P$1,Kop_Tarief_Vast,0),0))),""),"")</f>
        <v/>
      </c>
      <c r="Q523" s="359"/>
      <c r="R523" s="359"/>
      <c r="S523" s="321"/>
      <c r="T523" s="321"/>
      <c r="U523" s="373" t="str">
        <f t="shared" si="32"/>
        <v/>
      </c>
      <c r="V523" s="314" t="str">
        <f t="shared" si="33"/>
        <v/>
      </c>
      <c r="W523" s="314" t="str" cm="1">
        <f t="array" aca="1" ref="W523" ca="1">IFERROR(IF(AE523&lt;&gt;"ja",_xlfn.IFNA(_xlfn.IFS(AND(O523&lt;&gt;"",F523&lt;&gt;"",RIGHT($N523,6)="tarief",F523="Vergoeding"),SUM(O523)*FLOOR(SUM(Q523),0.0001),AND(O523&lt;&gt;"",F523&lt;&gt;"",RIGHT($N523,6)="tarief"),SUM(O523)*FLOOR(SUM(Q523),0.01),S523&gt;0,IF(F523&lt;&gt;"",FLOOR(SUM(S523),0.01),"")),""),""),"")</f>
        <v/>
      </c>
      <c r="X523" s="314" t="str" cm="1">
        <f t="array" aca="1" ref="X523" ca="1">IFERROR(IF(AE523&lt;&gt;"ja",_xlfn.IFNA(_xlfn.IFS(AND(P523&lt;&gt;"",R523&lt;&gt;"",RIGHT($N523,6)="tarief",F523="Vergoeding"),SUM(P523)*FLOOR(SUM(R523),0.0001),AND(P523&lt;&gt;"",R523&lt;&gt;"",RIGHT($N523,6)="tarief"),P523*FLOOR(R523,0.01),T523&gt;0,FLOOR(SUM(T523),0.01)),""),""),"")</f>
        <v/>
      </c>
      <c r="Y523" s="314" t="str">
        <f t="shared" ca="1" si="34"/>
        <v/>
      </c>
      <c r="Z523" s="314" t="str" cm="1">
        <f t="array" aca="1" ref="Z523" ca="1">IFERROR(_xlfn.IFS(OR(F523="",LEFT(Methode_Keuze,4)="Geen",Methode_Keuze=""),"",AND(W523&lt;&gt;"",F523&lt;&gt;"Arbeidskosten"),W523*VLOOKUP(F523,Tb_ProjectKosten[],MATCH(Tb_ProjectKosten[[#Headers],[Forfait_Percentage]],Tb_ProjectKosten[#Headers],0),0),AND(F523="Arbeidskosten",G523&lt;&gt;""),IFERROR(W523*VLOOKUP(G523,Tb_KostenTypen[],3,0)*VLOOKUP(F523,Tb_ProjectKosten[],MATCH(Tb_ProjectKosten[[#Headers],[Forfait_Percentage]],Tb_ProjectKosten[#Headers],0),0),""),W523 &lt;=0,0),"")</f>
        <v/>
      </c>
      <c r="AA523" s="314" t="str" cm="1">
        <f t="array" aca="1" ref="AA523" ca="1">IFERROR(_xlfn.IFS(OR(F523="",LEFT(Methode_Keuze,4)="Geen",Methode_Keuze=""),"",AND(X523&lt;&gt;"",F523&lt;&gt;"Arbeidskosten"),X523*VLOOKUP(F523,Tb_ProjectKosten[],MATCH(Tb_ProjectKosten[[#Headers],[Forfait_Percentage]],Tb_ProjectKosten[#Headers],0),0),AND(F523="Arbeidskosten",G523&lt;&gt;""),IFERROR(X523*VLOOKUP(G523,Tb_KostenTypen[],3,0)*VLOOKUP(F523,Tb_ProjectKosten[],MATCH(Tb_ProjectKosten[[#Headers],[Forfait_Percentage]],Tb_ProjectKosten[#Headers],0),0),""),X523 &lt;=0,0),"")</f>
        <v/>
      </c>
      <c r="AB523" s="314" t="str">
        <f t="shared" ca="1" si="35"/>
        <v/>
      </c>
      <c r="AC523" s="322"/>
      <c r="AD523" s="315"/>
      <c r="AE523" s="32" t="str" cm="1">
        <f t="array" ref="AE523">IFERROR(IF(INDEX(SubsidieTabel!$AD$1:$AG$12,MATCH($F523,SubsidieTabel!$AD$1:$AD$12,0),IFERROR(MATCH(Methode_Keuze,SubsidieTabel!$AD$1:$AG$1,0),2))&lt;&gt;1=TRUE,"ja",""),"")</f>
        <v/>
      </c>
    </row>
    <row r="524" spans="1:31" x14ac:dyDescent="0.25">
      <c r="A524" s="316"/>
      <c r="B524" s="317" t="str">
        <f>IF(A524&lt;&gt;"",_xlfn.MAXIFS($B$1:B523,$A$1:A523,A524)+1,"")</f>
        <v/>
      </c>
      <c r="C524" s="296"/>
      <c r="D524" s="296"/>
      <c r="E524" s="296"/>
      <c r="F524" s="296"/>
      <c r="G524" s="326"/>
      <c r="H524" s="324"/>
      <c r="I524" s="325"/>
      <c r="J524" s="325"/>
      <c r="K524" s="318"/>
      <c r="L524" s="318"/>
      <c r="M524" s="319" t="str">
        <f>IFERROR(VLOOKUP(H524,Lijsten!$H$1:$I$100,2,0),"")</f>
        <v/>
      </c>
      <c r="N524" s="319" t="str">
        <f ca="1">IFERROR(IF(VLOOKUP(F524,Kostentypen!$A$3:$E$21,3,0)=0,"",IF(OR(F524="Arbeidskosten",F524="Vergoeding"),VLOOKUP(G524,Tb_KostenTypen[],2,0),VLOOKUP(F524,Kostentypen!$A$3:$E$20,3,0))),"")</f>
        <v/>
      </c>
      <c r="O524" s="320" t="str" cm="1">
        <f t="array" ref="O524">_xlfn.IFNA(IF(INDEX(Tb_KostenOptiesDB[],MATCH($F524,Tb_KostenOptiesDB[KostenOptie],0),IFERROR(MATCH(Methode_Keuze,Tb_KostenOptiesDB[#Headers],0),2))=1,_xlfn.SWITCH($N524,"Uurtarief",IF(OR(AND(RIGHT($F524,3)="IKS",VLOOKUP($M524,DB_Loonkosten,2,0)="Ja"),AND(RIGHT($F524,3)&lt;&gt;"IKS",VLOOKUP($M524,DB_Loonkosten,2,0)="Nee")),IFERROR(VLOOKUP($M524,DB_Loonkosten,24,0),""),0),"Vast tarief",IF(LEFT(F524,8)="Bijdrage",VLOOKUP($F524,Tb_KostenTypen[],MATCH(Lijsten!$P$1,Tb_KostenTypen[#Headers],0),0),VLOOKUP($G524,Lijsten!L:P,MATCH(Lijsten!$P$1,Kop_Tarief_Vast,0),0))),""),"")</f>
        <v/>
      </c>
      <c r="P524" s="320" t="str" cm="1">
        <f t="array" ref="P524">_xlfn.IFNA(IF(INDEX(Tb_KostenOptiesDB[],MATCH($F524,Tb_KostenOptiesDB[KostenOptie],0),IFERROR(MATCH(Methode_Keuze,Tb_KostenOptiesDB[#Headers],0),2))=1,_xlfn.SWITCH($N524,"Uurtarief",IF(OR(AND(RIGHT($F524,3)="IKS",VLOOKUP($M524,DB_Loonkosten,2,0)="Ja"),AND(RIGHT($F524,3)&lt;&gt;"IKS",VLOOKUP($M524,DB_Loonkosten,2,0)="Nee")),IFERROR(VLOOKUP($M524,DB_Loonkosten,25,0),""),0),"Vast tarief",IF(LEFT(F524,8)="Bijdrage",VLOOKUP($F524,Tb_KostenTypen[],MATCH(Lijsten!$P$1,Tb_KostenTypen[#Headers],0),0),VLOOKUP($G524,Lijsten!L:P,MATCH(Lijsten!$P$1,Kop_Tarief_Vast,0),0))),""),"")</f>
        <v/>
      </c>
      <c r="Q524" s="359"/>
      <c r="R524" s="359"/>
      <c r="S524" s="321"/>
      <c r="T524" s="321"/>
      <c r="U524" s="373" t="str">
        <f t="shared" si="32"/>
        <v/>
      </c>
      <c r="V524" s="314" t="str">
        <f t="shared" si="33"/>
        <v/>
      </c>
      <c r="W524" s="314" t="str" cm="1">
        <f t="array" aca="1" ref="W524" ca="1">IFERROR(IF(AE524&lt;&gt;"ja",_xlfn.IFNA(_xlfn.IFS(AND(O524&lt;&gt;"",F524&lt;&gt;"",RIGHT($N524,6)="tarief",F524="Vergoeding"),SUM(O524)*FLOOR(SUM(Q524),0.0001),AND(O524&lt;&gt;"",F524&lt;&gt;"",RIGHT($N524,6)="tarief"),SUM(O524)*FLOOR(SUM(Q524),0.01),S524&gt;0,IF(F524&lt;&gt;"",FLOOR(SUM(S524),0.01),"")),""),""),"")</f>
        <v/>
      </c>
      <c r="X524" s="314" t="str" cm="1">
        <f t="array" aca="1" ref="X524" ca="1">IFERROR(IF(AE524&lt;&gt;"ja",_xlfn.IFNA(_xlfn.IFS(AND(P524&lt;&gt;"",R524&lt;&gt;"",RIGHT($N524,6)="tarief",F524="Vergoeding"),SUM(P524)*FLOOR(SUM(R524),0.0001),AND(P524&lt;&gt;"",R524&lt;&gt;"",RIGHT($N524,6)="tarief"),P524*FLOOR(R524,0.01),T524&gt;0,FLOOR(SUM(T524),0.01)),""),""),"")</f>
        <v/>
      </c>
      <c r="Y524" s="314" t="str">
        <f t="shared" ca="1" si="34"/>
        <v/>
      </c>
      <c r="Z524" s="314" t="str" cm="1">
        <f t="array" aca="1" ref="Z524" ca="1">IFERROR(_xlfn.IFS(OR(F524="",LEFT(Methode_Keuze,4)="Geen",Methode_Keuze=""),"",AND(W524&lt;&gt;"",F524&lt;&gt;"Arbeidskosten"),W524*VLOOKUP(F524,Tb_ProjectKosten[],MATCH(Tb_ProjectKosten[[#Headers],[Forfait_Percentage]],Tb_ProjectKosten[#Headers],0),0),AND(F524="Arbeidskosten",G524&lt;&gt;""),IFERROR(W524*VLOOKUP(G524,Tb_KostenTypen[],3,0)*VLOOKUP(F524,Tb_ProjectKosten[],MATCH(Tb_ProjectKosten[[#Headers],[Forfait_Percentage]],Tb_ProjectKosten[#Headers],0),0),""),W524 &lt;=0,0),"")</f>
        <v/>
      </c>
      <c r="AA524" s="314" t="str" cm="1">
        <f t="array" aca="1" ref="AA524" ca="1">IFERROR(_xlfn.IFS(OR(F524="",LEFT(Methode_Keuze,4)="Geen",Methode_Keuze=""),"",AND(X524&lt;&gt;"",F524&lt;&gt;"Arbeidskosten"),X524*VLOOKUP(F524,Tb_ProjectKosten[],MATCH(Tb_ProjectKosten[[#Headers],[Forfait_Percentage]],Tb_ProjectKosten[#Headers],0),0),AND(F524="Arbeidskosten",G524&lt;&gt;""),IFERROR(X524*VLOOKUP(G524,Tb_KostenTypen[],3,0)*VLOOKUP(F524,Tb_ProjectKosten[],MATCH(Tb_ProjectKosten[[#Headers],[Forfait_Percentage]],Tb_ProjectKosten[#Headers],0),0),""),X524 &lt;=0,0),"")</f>
        <v/>
      </c>
      <c r="AB524" s="314" t="str">
        <f t="shared" ca="1" si="35"/>
        <v/>
      </c>
      <c r="AC524" s="322"/>
      <c r="AD524" s="315"/>
      <c r="AE524" s="32" t="str" cm="1">
        <f t="array" ref="AE524">IFERROR(IF(INDEX(SubsidieTabel!$AD$1:$AG$12,MATCH($F524,SubsidieTabel!$AD$1:$AD$12,0),IFERROR(MATCH(Methode_Keuze,SubsidieTabel!$AD$1:$AG$1,0),2))&lt;&gt;1=TRUE,"ja",""),"")</f>
        <v/>
      </c>
    </row>
    <row r="525" spans="1:31" x14ac:dyDescent="0.25">
      <c r="A525" s="316"/>
      <c r="B525" s="317" t="str">
        <f>IF(A525&lt;&gt;"",_xlfn.MAXIFS($B$1:B524,$A$1:A524,A525)+1,"")</f>
        <v/>
      </c>
      <c r="C525" s="296"/>
      <c r="D525" s="296"/>
      <c r="E525" s="296"/>
      <c r="F525" s="296"/>
      <c r="G525" s="326"/>
      <c r="H525" s="324"/>
      <c r="I525" s="325"/>
      <c r="J525" s="325"/>
      <c r="K525" s="318"/>
      <c r="L525" s="318"/>
      <c r="M525" s="319" t="str">
        <f>IFERROR(VLOOKUP(H525,Lijsten!$H$1:$I$100,2,0),"")</f>
        <v/>
      </c>
      <c r="N525" s="319" t="str">
        <f ca="1">IFERROR(IF(VLOOKUP(F525,Kostentypen!$A$3:$E$21,3,0)=0,"",IF(OR(F525="Arbeidskosten",F525="Vergoeding"),VLOOKUP(G525,Tb_KostenTypen[],2,0),VLOOKUP(F525,Kostentypen!$A$3:$E$20,3,0))),"")</f>
        <v/>
      </c>
      <c r="O525" s="320" t="str" cm="1">
        <f t="array" ref="O525">_xlfn.IFNA(IF(INDEX(Tb_KostenOptiesDB[],MATCH($F525,Tb_KostenOptiesDB[KostenOptie],0),IFERROR(MATCH(Methode_Keuze,Tb_KostenOptiesDB[#Headers],0),2))=1,_xlfn.SWITCH($N525,"Uurtarief",IF(OR(AND(RIGHT($F525,3)="IKS",VLOOKUP($M525,DB_Loonkosten,2,0)="Ja"),AND(RIGHT($F525,3)&lt;&gt;"IKS",VLOOKUP($M525,DB_Loonkosten,2,0)="Nee")),IFERROR(VLOOKUP($M525,DB_Loonkosten,24,0),""),0),"Vast tarief",IF(LEFT(F525,8)="Bijdrage",VLOOKUP($F525,Tb_KostenTypen[],MATCH(Lijsten!$P$1,Tb_KostenTypen[#Headers],0),0),VLOOKUP($G525,Lijsten!L:P,MATCH(Lijsten!$P$1,Kop_Tarief_Vast,0),0))),""),"")</f>
        <v/>
      </c>
      <c r="P525" s="320" t="str" cm="1">
        <f t="array" ref="P525">_xlfn.IFNA(IF(INDEX(Tb_KostenOptiesDB[],MATCH($F525,Tb_KostenOptiesDB[KostenOptie],0),IFERROR(MATCH(Methode_Keuze,Tb_KostenOptiesDB[#Headers],0),2))=1,_xlfn.SWITCH($N525,"Uurtarief",IF(OR(AND(RIGHT($F525,3)="IKS",VLOOKUP($M525,DB_Loonkosten,2,0)="Ja"),AND(RIGHT($F525,3)&lt;&gt;"IKS",VLOOKUP($M525,DB_Loonkosten,2,0)="Nee")),IFERROR(VLOOKUP($M525,DB_Loonkosten,25,0),""),0),"Vast tarief",IF(LEFT(F525,8)="Bijdrage",VLOOKUP($F525,Tb_KostenTypen[],MATCH(Lijsten!$P$1,Tb_KostenTypen[#Headers],0),0),VLOOKUP($G525,Lijsten!L:P,MATCH(Lijsten!$P$1,Kop_Tarief_Vast,0),0))),""),"")</f>
        <v/>
      </c>
      <c r="Q525" s="359"/>
      <c r="R525" s="359"/>
      <c r="S525" s="321"/>
      <c r="T525" s="321"/>
      <c r="U525" s="373" t="str">
        <f t="shared" si="32"/>
        <v/>
      </c>
      <c r="V525" s="314" t="str">
        <f t="shared" si="33"/>
        <v/>
      </c>
      <c r="W525" s="314" t="str" cm="1">
        <f t="array" aca="1" ref="W525" ca="1">IFERROR(IF(AE525&lt;&gt;"ja",_xlfn.IFNA(_xlfn.IFS(AND(O525&lt;&gt;"",F525&lt;&gt;"",RIGHT($N525,6)="tarief",F525="Vergoeding"),SUM(O525)*FLOOR(SUM(Q525),0.0001),AND(O525&lt;&gt;"",F525&lt;&gt;"",RIGHT($N525,6)="tarief"),SUM(O525)*FLOOR(SUM(Q525),0.01),S525&gt;0,IF(F525&lt;&gt;"",FLOOR(SUM(S525),0.01),"")),""),""),"")</f>
        <v/>
      </c>
      <c r="X525" s="314" t="str" cm="1">
        <f t="array" aca="1" ref="X525" ca="1">IFERROR(IF(AE525&lt;&gt;"ja",_xlfn.IFNA(_xlfn.IFS(AND(P525&lt;&gt;"",R525&lt;&gt;"",RIGHT($N525,6)="tarief",F525="Vergoeding"),SUM(P525)*FLOOR(SUM(R525),0.0001),AND(P525&lt;&gt;"",R525&lt;&gt;"",RIGHT($N525,6)="tarief"),P525*FLOOR(R525,0.01),T525&gt;0,FLOOR(SUM(T525),0.01)),""),""),"")</f>
        <v/>
      </c>
      <c r="Y525" s="314" t="str">
        <f t="shared" ca="1" si="34"/>
        <v/>
      </c>
      <c r="Z525" s="314" t="str" cm="1">
        <f t="array" aca="1" ref="Z525" ca="1">IFERROR(_xlfn.IFS(OR(F525="",LEFT(Methode_Keuze,4)="Geen",Methode_Keuze=""),"",AND(W525&lt;&gt;"",F525&lt;&gt;"Arbeidskosten"),W525*VLOOKUP(F525,Tb_ProjectKosten[],MATCH(Tb_ProjectKosten[[#Headers],[Forfait_Percentage]],Tb_ProjectKosten[#Headers],0),0),AND(F525="Arbeidskosten",G525&lt;&gt;""),IFERROR(W525*VLOOKUP(G525,Tb_KostenTypen[],3,0)*VLOOKUP(F525,Tb_ProjectKosten[],MATCH(Tb_ProjectKosten[[#Headers],[Forfait_Percentage]],Tb_ProjectKosten[#Headers],0),0),""),W525 &lt;=0,0),"")</f>
        <v/>
      </c>
      <c r="AA525" s="314" t="str" cm="1">
        <f t="array" aca="1" ref="AA525" ca="1">IFERROR(_xlfn.IFS(OR(F525="",LEFT(Methode_Keuze,4)="Geen",Methode_Keuze=""),"",AND(X525&lt;&gt;"",F525&lt;&gt;"Arbeidskosten"),X525*VLOOKUP(F525,Tb_ProjectKosten[],MATCH(Tb_ProjectKosten[[#Headers],[Forfait_Percentage]],Tb_ProjectKosten[#Headers],0),0),AND(F525="Arbeidskosten",G525&lt;&gt;""),IFERROR(X525*VLOOKUP(G525,Tb_KostenTypen[],3,0)*VLOOKUP(F525,Tb_ProjectKosten[],MATCH(Tb_ProjectKosten[[#Headers],[Forfait_Percentage]],Tb_ProjectKosten[#Headers],0),0),""),X525 &lt;=0,0),"")</f>
        <v/>
      </c>
      <c r="AB525" s="314" t="str">
        <f t="shared" ca="1" si="35"/>
        <v/>
      </c>
      <c r="AC525" s="322"/>
      <c r="AD525" s="315"/>
      <c r="AE525" s="32" t="str" cm="1">
        <f t="array" ref="AE525">IFERROR(IF(INDEX(SubsidieTabel!$AD$1:$AG$12,MATCH($F525,SubsidieTabel!$AD$1:$AD$12,0),IFERROR(MATCH(Methode_Keuze,SubsidieTabel!$AD$1:$AG$1,0),2))&lt;&gt;1=TRUE,"ja",""),"")</f>
        <v/>
      </c>
    </row>
    <row r="526" spans="1:31" x14ac:dyDescent="0.25">
      <c r="A526" s="316"/>
      <c r="B526" s="317" t="str">
        <f>IF(A526&lt;&gt;"",_xlfn.MAXIFS($B$1:B525,$A$1:A525,A526)+1,"")</f>
        <v/>
      </c>
      <c r="C526" s="296"/>
      <c r="D526" s="296"/>
      <c r="E526" s="296"/>
      <c r="F526" s="296"/>
      <c r="G526" s="326"/>
      <c r="H526" s="324"/>
      <c r="I526" s="325"/>
      <c r="J526" s="325"/>
      <c r="K526" s="318"/>
      <c r="L526" s="318"/>
      <c r="M526" s="319" t="str">
        <f>IFERROR(VLOOKUP(H526,Lijsten!$H$1:$I$100,2,0),"")</f>
        <v/>
      </c>
      <c r="N526" s="319" t="str">
        <f ca="1">IFERROR(IF(VLOOKUP(F526,Kostentypen!$A$3:$E$21,3,0)=0,"",IF(OR(F526="Arbeidskosten",F526="Vergoeding"),VLOOKUP(G526,Tb_KostenTypen[],2,0),VLOOKUP(F526,Kostentypen!$A$3:$E$20,3,0))),"")</f>
        <v/>
      </c>
      <c r="O526" s="320" t="str" cm="1">
        <f t="array" ref="O526">_xlfn.IFNA(IF(INDEX(Tb_KostenOptiesDB[],MATCH($F526,Tb_KostenOptiesDB[KostenOptie],0),IFERROR(MATCH(Methode_Keuze,Tb_KostenOptiesDB[#Headers],0),2))=1,_xlfn.SWITCH($N526,"Uurtarief",IF(OR(AND(RIGHT($F526,3)="IKS",VLOOKUP($M526,DB_Loonkosten,2,0)="Ja"),AND(RIGHT($F526,3)&lt;&gt;"IKS",VLOOKUP($M526,DB_Loonkosten,2,0)="Nee")),IFERROR(VLOOKUP($M526,DB_Loonkosten,24,0),""),0),"Vast tarief",IF(LEFT(F526,8)="Bijdrage",VLOOKUP($F526,Tb_KostenTypen[],MATCH(Lijsten!$P$1,Tb_KostenTypen[#Headers],0),0),VLOOKUP($G526,Lijsten!L:P,MATCH(Lijsten!$P$1,Kop_Tarief_Vast,0),0))),""),"")</f>
        <v/>
      </c>
      <c r="P526" s="320" t="str" cm="1">
        <f t="array" ref="P526">_xlfn.IFNA(IF(INDEX(Tb_KostenOptiesDB[],MATCH($F526,Tb_KostenOptiesDB[KostenOptie],0),IFERROR(MATCH(Methode_Keuze,Tb_KostenOptiesDB[#Headers],0),2))=1,_xlfn.SWITCH($N526,"Uurtarief",IF(OR(AND(RIGHT($F526,3)="IKS",VLOOKUP($M526,DB_Loonkosten,2,0)="Ja"),AND(RIGHT($F526,3)&lt;&gt;"IKS",VLOOKUP($M526,DB_Loonkosten,2,0)="Nee")),IFERROR(VLOOKUP($M526,DB_Loonkosten,25,0),""),0),"Vast tarief",IF(LEFT(F526,8)="Bijdrage",VLOOKUP($F526,Tb_KostenTypen[],MATCH(Lijsten!$P$1,Tb_KostenTypen[#Headers],0),0),VLOOKUP($G526,Lijsten!L:P,MATCH(Lijsten!$P$1,Kop_Tarief_Vast,0),0))),""),"")</f>
        <v/>
      </c>
      <c r="Q526" s="359"/>
      <c r="R526" s="359"/>
      <c r="S526" s="321"/>
      <c r="T526" s="321"/>
      <c r="U526" s="373" t="str">
        <f t="shared" si="32"/>
        <v/>
      </c>
      <c r="V526" s="314" t="str">
        <f t="shared" si="33"/>
        <v/>
      </c>
      <c r="W526" s="314" t="str" cm="1">
        <f t="array" aca="1" ref="W526" ca="1">IFERROR(IF(AE526&lt;&gt;"ja",_xlfn.IFNA(_xlfn.IFS(AND(O526&lt;&gt;"",F526&lt;&gt;"",RIGHT($N526,6)="tarief",F526="Vergoeding"),SUM(O526)*FLOOR(SUM(Q526),0.0001),AND(O526&lt;&gt;"",F526&lt;&gt;"",RIGHT($N526,6)="tarief"),SUM(O526)*FLOOR(SUM(Q526),0.01),S526&gt;0,IF(F526&lt;&gt;"",FLOOR(SUM(S526),0.01),"")),""),""),"")</f>
        <v/>
      </c>
      <c r="X526" s="314" t="str" cm="1">
        <f t="array" aca="1" ref="X526" ca="1">IFERROR(IF(AE526&lt;&gt;"ja",_xlfn.IFNA(_xlfn.IFS(AND(P526&lt;&gt;"",R526&lt;&gt;"",RIGHT($N526,6)="tarief",F526="Vergoeding"),SUM(P526)*FLOOR(SUM(R526),0.0001),AND(P526&lt;&gt;"",R526&lt;&gt;"",RIGHT($N526,6)="tarief"),P526*FLOOR(R526,0.01),T526&gt;0,FLOOR(SUM(T526),0.01)),""),""),"")</f>
        <v/>
      </c>
      <c r="Y526" s="314" t="str">
        <f t="shared" ca="1" si="34"/>
        <v/>
      </c>
      <c r="Z526" s="314" t="str" cm="1">
        <f t="array" aca="1" ref="Z526" ca="1">IFERROR(_xlfn.IFS(OR(F526="",LEFT(Methode_Keuze,4)="Geen",Methode_Keuze=""),"",AND(W526&lt;&gt;"",F526&lt;&gt;"Arbeidskosten"),W526*VLOOKUP(F526,Tb_ProjectKosten[],MATCH(Tb_ProjectKosten[[#Headers],[Forfait_Percentage]],Tb_ProjectKosten[#Headers],0),0),AND(F526="Arbeidskosten",G526&lt;&gt;""),IFERROR(W526*VLOOKUP(G526,Tb_KostenTypen[],3,0)*VLOOKUP(F526,Tb_ProjectKosten[],MATCH(Tb_ProjectKosten[[#Headers],[Forfait_Percentage]],Tb_ProjectKosten[#Headers],0),0),""),W526 &lt;=0,0),"")</f>
        <v/>
      </c>
      <c r="AA526" s="314" t="str" cm="1">
        <f t="array" aca="1" ref="AA526" ca="1">IFERROR(_xlfn.IFS(OR(F526="",LEFT(Methode_Keuze,4)="Geen",Methode_Keuze=""),"",AND(X526&lt;&gt;"",F526&lt;&gt;"Arbeidskosten"),X526*VLOOKUP(F526,Tb_ProjectKosten[],MATCH(Tb_ProjectKosten[[#Headers],[Forfait_Percentage]],Tb_ProjectKosten[#Headers],0),0),AND(F526="Arbeidskosten",G526&lt;&gt;""),IFERROR(X526*VLOOKUP(G526,Tb_KostenTypen[],3,0)*VLOOKUP(F526,Tb_ProjectKosten[],MATCH(Tb_ProjectKosten[[#Headers],[Forfait_Percentage]],Tb_ProjectKosten[#Headers],0),0),""),X526 &lt;=0,0),"")</f>
        <v/>
      </c>
      <c r="AB526" s="314" t="str">
        <f t="shared" ca="1" si="35"/>
        <v/>
      </c>
      <c r="AC526" s="322"/>
      <c r="AD526" s="315"/>
      <c r="AE526" s="32" t="str" cm="1">
        <f t="array" ref="AE526">IFERROR(IF(INDEX(SubsidieTabel!$AD$1:$AG$12,MATCH($F526,SubsidieTabel!$AD$1:$AD$12,0),IFERROR(MATCH(Methode_Keuze,SubsidieTabel!$AD$1:$AG$1,0),2))&lt;&gt;1=TRUE,"ja",""),"")</f>
        <v/>
      </c>
    </row>
    <row r="527" spans="1:31" x14ac:dyDescent="0.25">
      <c r="A527" s="316"/>
      <c r="B527" s="317" t="str">
        <f>IF(A527&lt;&gt;"",_xlfn.MAXIFS($B$1:B526,$A$1:A526,A527)+1,"")</f>
        <v/>
      </c>
      <c r="C527" s="296"/>
      <c r="D527" s="296"/>
      <c r="E527" s="296"/>
      <c r="F527" s="296"/>
      <c r="G527" s="326"/>
      <c r="H527" s="324"/>
      <c r="I527" s="325"/>
      <c r="J527" s="325"/>
      <c r="K527" s="318"/>
      <c r="L527" s="318"/>
      <c r="M527" s="319" t="str">
        <f>IFERROR(VLOOKUP(H527,Lijsten!$H$1:$I$100,2,0),"")</f>
        <v/>
      </c>
      <c r="N527" s="319" t="str">
        <f ca="1">IFERROR(IF(VLOOKUP(F527,Kostentypen!$A$3:$E$21,3,0)=0,"",IF(OR(F527="Arbeidskosten",F527="Vergoeding"),VLOOKUP(G527,Tb_KostenTypen[],2,0),VLOOKUP(F527,Kostentypen!$A$3:$E$20,3,0))),"")</f>
        <v/>
      </c>
      <c r="O527" s="320" t="str" cm="1">
        <f t="array" ref="O527">_xlfn.IFNA(IF(INDEX(Tb_KostenOptiesDB[],MATCH($F527,Tb_KostenOptiesDB[KostenOptie],0),IFERROR(MATCH(Methode_Keuze,Tb_KostenOptiesDB[#Headers],0),2))=1,_xlfn.SWITCH($N527,"Uurtarief",IF(OR(AND(RIGHT($F527,3)="IKS",VLOOKUP($M527,DB_Loonkosten,2,0)="Ja"),AND(RIGHT($F527,3)&lt;&gt;"IKS",VLOOKUP($M527,DB_Loonkosten,2,0)="Nee")),IFERROR(VLOOKUP($M527,DB_Loonkosten,24,0),""),0),"Vast tarief",IF(LEFT(F527,8)="Bijdrage",VLOOKUP($F527,Tb_KostenTypen[],MATCH(Lijsten!$P$1,Tb_KostenTypen[#Headers],0),0),VLOOKUP($G527,Lijsten!L:P,MATCH(Lijsten!$P$1,Kop_Tarief_Vast,0),0))),""),"")</f>
        <v/>
      </c>
      <c r="P527" s="320" t="str" cm="1">
        <f t="array" ref="P527">_xlfn.IFNA(IF(INDEX(Tb_KostenOptiesDB[],MATCH($F527,Tb_KostenOptiesDB[KostenOptie],0),IFERROR(MATCH(Methode_Keuze,Tb_KostenOptiesDB[#Headers],0),2))=1,_xlfn.SWITCH($N527,"Uurtarief",IF(OR(AND(RIGHT($F527,3)="IKS",VLOOKUP($M527,DB_Loonkosten,2,0)="Ja"),AND(RIGHT($F527,3)&lt;&gt;"IKS",VLOOKUP($M527,DB_Loonkosten,2,0)="Nee")),IFERROR(VLOOKUP($M527,DB_Loonkosten,25,0),""),0),"Vast tarief",IF(LEFT(F527,8)="Bijdrage",VLOOKUP($F527,Tb_KostenTypen[],MATCH(Lijsten!$P$1,Tb_KostenTypen[#Headers],0),0),VLOOKUP($G527,Lijsten!L:P,MATCH(Lijsten!$P$1,Kop_Tarief_Vast,0),0))),""),"")</f>
        <v/>
      </c>
      <c r="Q527" s="359"/>
      <c r="R527" s="359"/>
      <c r="S527" s="321"/>
      <c r="T527" s="321"/>
      <c r="U527" s="373" t="str">
        <f t="shared" si="32"/>
        <v/>
      </c>
      <c r="V527" s="314" t="str">
        <f t="shared" si="33"/>
        <v/>
      </c>
      <c r="W527" s="314" t="str" cm="1">
        <f t="array" aca="1" ref="W527" ca="1">IFERROR(IF(AE527&lt;&gt;"ja",_xlfn.IFNA(_xlfn.IFS(AND(O527&lt;&gt;"",F527&lt;&gt;"",RIGHT($N527,6)="tarief",F527="Vergoeding"),SUM(O527)*FLOOR(SUM(Q527),0.0001),AND(O527&lt;&gt;"",F527&lt;&gt;"",RIGHT($N527,6)="tarief"),SUM(O527)*FLOOR(SUM(Q527),0.01),S527&gt;0,IF(F527&lt;&gt;"",FLOOR(SUM(S527),0.01),"")),""),""),"")</f>
        <v/>
      </c>
      <c r="X527" s="314" t="str" cm="1">
        <f t="array" aca="1" ref="X527" ca="1">IFERROR(IF(AE527&lt;&gt;"ja",_xlfn.IFNA(_xlfn.IFS(AND(P527&lt;&gt;"",R527&lt;&gt;"",RIGHT($N527,6)="tarief",F527="Vergoeding"),SUM(P527)*FLOOR(SUM(R527),0.0001),AND(P527&lt;&gt;"",R527&lt;&gt;"",RIGHT($N527,6)="tarief"),P527*FLOOR(R527,0.01),T527&gt;0,FLOOR(SUM(T527),0.01)),""),""),"")</f>
        <v/>
      </c>
      <c r="Y527" s="314" t="str">
        <f t="shared" ca="1" si="34"/>
        <v/>
      </c>
      <c r="Z527" s="314" t="str" cm="1">
        <f t="array" aca="1" ref="Z527" ca="1">IFERROR(_xlfn.IFS(OR(F527="",LEFT(Methode_Keuze,4)="Geen",Methode_Keuze=""),"",AND(W527&lt;&gt;"",F527&lt;&gt;"Arbeidskosten"),W527*VLOOKUP(F527,Tb_ProjectKosten[],MATCH(Tb_ProjectKosten[[#Headers],[Forfait_Percentage]],Tb_ProjectKosten[#Headers],0),0),AND(F527="Arbeidskosten",G527&lt;&gt;""),IFERROR(W527*VLOOKUP(G527,Tb_KostenTypen[],3,0)*VLOOKUP(F527,Tb_ProjectKosten[],MATCH(Tb_ProjectKosten[[#Headers],[Forfait_Percentage]],Tb_ProjectKosten[#Headers],0),0),""),W527 &lt;=0,0),"")</f>
        <v/>
      </c>
      <c r="AA527" s="314" t="str" cm="1">
        <f t="array" aca="1" ref="AA527" ca="1">IFERROR(_xlfn.IFS(OR(F527="",LEFT(Methode_Keuze,4)="Geen",Methode_Keuze=""),"",AND(X527&lt;&gt;"",F527&lt;&gt;"Arbeidskosten"),X527*VLOOKUP(F527,Tb_ProjectKosten[],MATCH(Tb_ProjectKosten[[#Headers],[Forfait_Percentage]],Tb_ProjectKosten[#Headers],0),0),AND(F527="Arbeidskosten",G527&lt;&gt;""),IFERROR(X527*VLOOKUP(G527,Tb_KostenTypen[],3,0)*VLOOKUP(F527,Tb_ProjectKosten[],MATCH(Tb_ProjectKosten[[#Headers],[Forfait_Percentage]],Tb_ProjectKosten[#Headers],0),0),""),X527 &lt;=0,0),"")</f>
        <v/>
      </c>
      <c r="AB527" s="314" t="str">
        <f t="shared" ca="1" si="35"/>
        <v/>
      </c>
      <c r="AC527" s="322"/>
      <c r="AD527" s="315"/>
      <c r="AE527" s="32" t="str" cm="1">
        <f t="array" ref="AE527">IFERROR(IF(INDEX(SubsidieTabel!$AD$1:$AG$12,MATCH($F527,SubsidieTabel!$AD$1:$AD$12,0),IFERROR(MATCH(Methode_Keuze,SubsidieTabel!$AD$1:$AG$1,0),2))&lt;&gt;1=TRUE,"ja",""),"")</f>
        <v/>
      </c>
    </row>
    <row r="528" spans="1:31" x14ac:dyDescent="0.25">
      <c r="A528" s="316"/>
      <c r="B528" s="317" t="str">
        <f>IF(A528&lt;&gt;"",_xlfn.MAXIFS($B$1:B527,$A$1:A527,A528)+1,"")</f>
        <v/>
      </c>
      <c r="C528" s="296"/>
      <c r="D528" s="296"/>
      <c r="E528" s="296"/>
      <c r="F528" s="296"/>
      <c r="G528" s="326"/>
      <c r="H528" s="324"/>
      <c r="I528" s="325"/>
      <c r="J528" s="325"/>
      <c r="K528" s="318"/>
      <c r="L528" s="318"/>
      <c r="M528" s="319" t="str">
        <f>IFERROR(VLOOKUP(H528,Lijsten!$H$1:$I$100,2,0),"")</f>
        <v/>
      </c>
      <c r="N528" s="319" t="str">
        <f ca="1">IFERROR(IF(VLOOKUP(F528,Kostentypen!$A$3:$E$21,3,0)=0,"",IF(OR(F528="Arbeidskosten",F528="Vergoeding"),VLOOKUP(G528,Tb_KostenTypen[],2,0),VLOOKUP(F528,Kostentypen!$A$3:$E$20,3,0))),"")</f>
        <v/>
      </c>
      <c r="O528" s="320" t="str" cm="1">
        <f t="array" ref="O528">_xlfn.IFNA(IF(INDEX(Tb_KostenOptiesDB[],MATCH($F528,Tb_KostenOptiesDB[KostenOptie],0),IFERROR(MATCH(Methode_Keuze,Tb_KostenOptiesDB[#Headers],0),2))=1,_xlfn.SWITCH($N528,"Uurtarief",IF(OR(AND(RIGHT($F528,3)="IKS",VLOOKUP($M528,DB_Loonkosten,2,0)="Ja"),AND(RIGHT($F528,3)&lt;&gt;"IKS",VLOOKUP($M528,DB_Loonkosten,2,0)="Nee")),IFERROR(VLOOKUP($M528,DB_Loonkosten,24,0),""),0),"Vast tarief",IF(LEFT(F528,8)="Bijdrage",VLOOKUP($F528,Tb_KostenTypen[],MATCH(Lijsten!$P$1,Tb_KostenTypen[#Headers],0),0),VLOOKUP($G528,Lijsten!L:P,MATCH(Lijsten!$P$1,Kop_Tarief_Vast,0),0))),""),"")</f>
        <v/>
      </c>
      <c r="P528" s="320" t="str" cm="1">
        <f t="array" ref="P528">_xlfn.IFNA(IF(INDEX(Tb_KostenOptiesDB[],MATCH($F528,Tb_KostenOptiesDB[KostenOptie],0),IFERROR(MATCH(Methode_Keuze,Tb_KostenOptiesDB[#Headers],0),2))=1,_xlfn.SWITCH($N528,"Uurtarief",IF(OR(AND(RIGHT($F528,3)="IKS",VLOOKUP($M528,DB_Loonkosten,2,0)="Ja"),AND(RIGHT($F528,3)&lt;&gt;"IKS",VLOOKUP($M528,DB_Loonkosten,2,0)="Nee")),IFERROR(VLOOKUP($M528,DB_Loonkosten,25,0),""),0),"Vast tarief",IF(LEFT(F528,8)="Bijdrage",VLOOKUP($F528,Tb_KostenTypen[],MATCH(Lijsten!$P$1,Tb_KostenTypen[#Headers],0),0),VLOOKUP($G528,Lijsten!L:P,MATCH(Lijsten!$P$1,Kop_Tarief_Vast,0),0))),""),"")</f>
        <v/>
      </c>
      <c r="Q528" s="359"/>
      <c r="R528" s="359"/>
      <c r="S528" s="321"/>
      <c r="T528" s="321"/>
      <c r="U528" s="373" t="str">
        <f t="shared" si="32"/>
        <v/>
      </c>
      <c r="V528" s="314" t="str">
        <f t="shared" si="33"/>
        <v/>
      </c>
      <c r="W528" s="314" t="str" cm="1">
        <f t="array" aca="1" ref="W528" ca="1">IFERROR(IF(AE528&lt;&gt;"ja",_xlfn.IFNA(_xlfn.IFS(AND(O528&lt;&gt;"",F528&lt;&gt;"",RIGHT($N528,6)="tarief",F528="Vergoeding"),SUM(O528)*FLOOR(SUM(Q528),0.0001),AND(O528&lt;&gt;"",F528&lt;&gt;"",RIGHT($N528,6)="tarief"),SUM(O528)*FLOOR(SUM(Q528),0.01),S528&gt;0,IF(F528&lt;&gt;"",FLOOR(SUM(S528),0.01),"")),""),""),"")</f>
        <v/>
      </c>
      <c r="X528" s="314" t="str" cm="1">
        <f t="array" aca="1" ref="X528" ca="1">IFERROR(IF(AE528&lt;&gt;"ja",_xlfn.IFNA(_xlfn.IFS(AND(P528&lt;&gt;"",R528&lt;&gt;"",RIGHT($N528,6)="tarief",F528="Vergoeding"),SUM(P528)*FLOOR(SUM(R528),0.0001),AND(P528&lt;&gt;"",R528&lt;&gt;"",RIGHT($N528,6)="tarief"),P528*FLOOR(R528,0.01),T528&gt;0,FLOOR(SUM(T528),0.01)),""),""),"")</f>
        <v/>
      </c>
      <c r="Y528" s="314" t="str">
        <f t="shared" ca="1" si="34"/>
        <v/>
      </c>
      <c r="Z528" s="314" t="str" cm="1">
        <f t="array" aca="1" ref="Z528" ca="1">IFERROR(_xlfn.IFS(OR(F528="",LEFT(Methode_Keuze,4)="Geen",Methode_Keuze=""),"",AND(W528&lt;&gt;"",F528&lt;&gt;"Arbeidskosten"),W528*VLOOKUP(F528,Tb_ProjectKosten[],MATCH(Tb_ProjectKosten[[#Headers],[Forfait_Percentage]],Tb_ProjectKosten[#Headers],0),0),AND(F528="Arbeidskosten",G528&lt;&gt;""),IFERROR(W528*VLOOKUP(G528,Tb_KostenTypen[],3,0)*VLOOKUP(F528,Tb_ProjectKosten[],MATCH(Tb_ProjectKosten[[#Headers],[Forfait_Percentage]],Tb_ProjectKosten[#Headers],0),0),""),W528 &lt;=0,0),"")</f>
        <v/>
      </c>
      <c r="AA528" s="314" t="str" cm="1">
        <f t="array" aca="1" ref="AA528" ca="1">IFERROR(_xlfn.IFS(OR(F528="",LEFT(Methode_Keuze,4)="Geen",Methode_Keuze=""),"",AND(X528&lt;&gt;"",F528&lt;&gt;"Arbeidskosten"),X528*VLOOKUP(F528,Tb_ProjectKosten[],MATCH(Tb_ProjectKosten[[#Headers],[Forfait_Percentage]],Tb_ProjectKosten[#Headers],0),0),AND(F528="Arbeidskosten",G528&lt;&gt;""),IFERROR(X528*VLOOKUP(G528,Tb_KostenTypen[],3,0)*VLOOKUP(F528,Tb_ProjectKosten[],MATCH(Tb_ProjectKosten[[#Headers],[Forfait_Percentage]],Tb_ProjectKosten[#Headers],0),0),""),X528 &lt;=0,0),"")</f>
        <v/>
      </c>
      <c r="AB528" s="314" t="str">
        <f t="shared" ca="1" si="35"/>
        <v/>
      </c>
      <c r="AC528" s="322"/>
      <c r="AD528" s="315"/>
      <c r="AE528" s="32" t="str" cm="1">
        <f t="array" ref="AE528">IFERROR(IF(INDEX(SubsidieTabel!$AD$1:$AG$12,MATCH($F528,SubsidieTabel!$AD$1:$AD$12,0),IFERROR(MATCH(Methode_Keuze,SubsidieTabel!$AD$1:$AG$1,0),2))&lt;&gt;1=TRUE,"ja",""),"")</f>
        <v/>
      </c>
    </row>
    <row r="529" spans="1:31" x14ac:dyDescent="0.25">
      <c r="A529" s="316"/>
      <c r="B529" s="317" t="str">
        <f>IF(A529&lt;&gt;"",_xlfn.MAXIFS($B$1:B528,$A$1:A528,A529)+1,"")</f>
        <v/>
      </c>
      <c r="C529" s="296"/>
      <c r="D529" s="296"/>
      <c r="E529" s="296"/>
      <c r="F529" s="296"/>
      <c r="G529" s="326"/>
      <c r="H529" s="324"/>
      <c r="I529" s="325"/>
      <c r="J529" s="325"/>
      <c r="K529" s="318"/>
      <c r="L529" s="318"/>
      <c r="M529" s="319" t="str">
        <f>IFERROR(VLOOKUP(H529,Lijsten!$H$1:$I$100,2,0),"")</f>
        <v/>
      </c>
      <c r="N529" s="319" t="str">
        <f ca="1">IFERROR(IF(VLOOKUP(F529,Kostentypen!$A$3:$E$21,3,0)=0,"",IF(OR(F529="Arbeidskosten",F529="Vergoeding"),VLOOKUP(G529,Tb_KostenTypen[],2,0),VLOOKUP(F529,Kostentypen!$A$3:$E$20,3,0))),"")</f>
        <v/>
      </c>
      <c r="O529" s="320" t="str" cm="1">
        <f t="array" ref="O529">_xlfn.IFNA(IF(INDEX(Tb_KostenOptiesDB[],MATCH($F529,Tb_KostenOptiesDB[KostenOptie],0),IFERROR(MATCH(Methode_Keuze,Tb_KostenOptiesDB[#Headers],0),2))=1,_xlfn.SWITCH($N529,"Uurtarief",IF(OR(AND(RIGHT($F529,3)="IKS",VLOOKUP($M529,DB_Loonkosten,2,0)="Ja"),AND(RIGHT($F529,3)&lt;&gt;"IKS",VLOOKUP($M529,DB_Loonkosten,2,0)="Nee")),IFERROR(VLOOKUP($M529,DB_Loonkosten,24,0),""),0),"Vast tarief",IF(LEFT(F529,8)="Bijdrage",VLOOKUP($F529,Tb_KostenTypen[],MATCH(Lijsten!$P$1,Tb_KostenTypen[#Headers],0),0),VLOOKUP($G529,Lijsten!L:P,MATCH(Lijsten!$P$1,Kop_Tarief_Vast,0),0))),""),"")</f>
        <v/>
      </c>
      <c r="P529" s="320" t="str" cm="1">
        <f t="array" ref="P529">_xlfn.IFNA(IF(INDEX(Tb_KostenOptiesDB[],MATCH($F529,Tb_KostenOptiesDB[KostenOptie],0),IFERROR(MATCH(Methode_Keuze,Tb_KostenOptiesDB[#Headers],0),2))=1,_xlfn.SWITCH($N529,"Uurtarief",IF(OR(AND(RIGHT($F529,3)="IKS",VLOOKUP($M529,DB_Loonkosten,2,0)="Ja"),AND(RIGHT($F529,3)&lt;&gt;"IKS",VLOOKUP($M529,DB_Loonkosten,2,0)="Nee")),IFERROR(VLOOKUP($M529,DB_Loonkosten,25,0),""),0),"Vast tarief",IF(LEFT(F529,8)="Bijdrage",VLOOKUP($F529,Tb_KostenTypen[],MATCH(Lijsten!$P$1,Tb_KostenTypen[#Headers],0),0),VLOOKUP($G529,Lijsten!L:P,MATCH(Lijsten!$P$1,Kop_Tarief_Vast,0),0))),""),"")</f>
        <v/>
      </c>
      <c r="Q529" s="359"/>
      <c r="R529" s="359"/>
      <c r="S529" s="321"/>
      <c r="T529" s="321"/>
      <c r="U529" s="373" t="str">
        <f t="shared" si="32"/>
        <v/>
      </c>
      <c r="V529" s="314" t="str">
        <f t="shared" si="33"/>
        <v/>
      </c>
      <c r="W529" s="314" t="str" cm="1">
        <f t="array" aca="1" ref="W529" ca="1">IFERROR(IF(AE529&lt;&gt;"ja",_xlfn.IFNA(_xlfn.IFS(AND(O529&lt;&gt;"",F529&lt;&gt;"",RIGHT($N529,6)="tarief",F529="Vergoeding"),SUM(O529)*FLOOR(SUM(Q529),0.0001),AND(O529&lt;&gt;"",F529&lt;&gt;"",RIGHT($N529,6)="tarief"),SUM(O529)*FLOOR(SUM(Q529),0.01),S529&gt;0,IF(F529&lt;&gt;"",FLOOR(SUM(S529),0.01),"")),""),""),"")</f>
        <v/>
      </c>
      <c r="X529" s="314" t="str" cm="1">
        <f t="array" aca="1" ref="X529" ca="1">IFERROR(IF(AE529&lt;&gt;"ja",_xlfn.IFNA(_xlfn.IFS(AND(P529&lt;&gt;"",R529&lt;&gt;"",RIGHT($N529,6)="tarief",F529="Vergoeding"),SUM(P529)*FLOOR(SUM(R529),0.0001),AND(P529&lt;&gt;"",R529&lt;&gt;"",RIGHT($N529,6)="tarief"),P529*FLOOR(R529,0.01),T529&gt;0,FLOOR(SUM(T529),0.01)),""),""),"")</f>
        <v/>
      </c>
      <c r="Y529" s="314" t="str">
        <f t="shared" ca="1" si="34"/>
        <v/>
      </c>
      <c r="Z529" s="314" t="str" cm="1">
        <f t="array" aca="1" ref="Z529" ca="1">IFERROR(_xlfn.IFS(OR(F529="",LEFT(Methode_Keuze,4)="Geen",Methode_Keuze=""),"",AND(W529&lt;&gt;"",F529&lt;&gt;"Arbeidskosten"),W529*VLOOKUP(F529,Tb_ProjectKosten[],MATCH(Tb_ProjectKosten[[#Headers],[Forfait_Percentage]],Tb_ProjectKosten[#Headers],0),0),AND(F529="Arbeidskosten",G529&lt;&gt;""),IFERROR(W529*VLOOKUP(G529,Tb_KostenTypen[],3,0)*VLOOKUP(F529,Tb_ProjectKosten[],MATCH(Tb_ProjectKosten[[#Headers],[Forfait_Percentage]],Tb_ProjectKosten[#Headers],0),0),""),W529 &lt;=0,0),"")</f>
        <v/>
      </c>
      <c r="AA529" s="314" t="str" cm="1">
        <f t="array" aca="1" ref="AA529" ca="1">IFERROR(_xlfn.IFS(OR(F529="",LEFT(Methode_Keuze,4)="Geen",Methode_Keuze=""),"",AND(X529&lt;&gt;"",F529&lt;&gt;"Arbeidskosten"),X529*VLOOKUP(F529,Tb_ProjectKosten[],MATCH(Tb_ProjectKosten[[#Headers],[Forfait_Percentage]],Tb_ProjectKosten[#Headers],0),0),AND(F529="Arbeidskosten",G529&lt;&gt;""),IFERROR(X529*VLOOKUP(G529,Tb_KostenTypen[],3,0)*VLOOKUP(F529,Tb_ProjectKosten[],MATCH(Tb_ProjectKosten[[#Headers],[Forfait_Percentage]],Tb_ProjectKosten[#Headers],0),0),""),X529 &lt;=0,0),"")</f>
        <v/>
      </c>
      <c r="AB529" s="314" t="str">
        <f t="shared" ca="1" si="35"/>
        <v/>
      </c>
      <c r="AC529" s="322"/>
      <c r="AD529" s="315"/>
      <c r="AE529" s="32" t="str" cm="1">
        <f t="array" ref="AE529">IFERROR(IF(INDEX(SubsidieTabel!$AD$1:$AG$12,MATCH($F529,SubsidieTabel!$AD$1:$AD$12,0),IFERROR(MATCH(Methode_Keuze,SubsidieTabel!$AD$1:$AG$1,0),2))&lt;&gt;1=TRUE,"ja",""),"")</f>
        <v/>
      </c>
    </row>
    <row r="530" spans="1:31" x14ac:dyDescent="0.25">
      <c r="A530" s="316"/>
      <c r="B530" s="317" t="str">
        <f>IF(A530&lt;&gt;"",_xlfn.MAXIFS($B$1:B529,$A$1:A529,A530)+1,"")</f>
        <v/>
      </c>
      <c r="C530" s="296"/>
      <c r="D530" s="296"/>
      <c r="E530" s="296"/>
      <c r="F530" s="296"/>
      <c r="G530" s="326"/>
      <c r="H530" s="324"/>
      <c r="I530" s="325"/>
      <c r="J530" s="325"/>
      <c r="K530" s="318"/>
      <c r="L530" s="318"/>
      <c r="M530" s="319" t="str">
        <f>IFERROR(VLOOKUP(H530,Lijsten!$H$1:$I$100,2,0),"")</f>
        <v/>
      </c>
      <c r="N530" s="319" t="str">
        <f ca="1">IFERROR(IF(VLOOKUP(F530,Kostentypen!$A$3:$E$21,3,0)=0,"",IF(OR(F530="Arbeidskosten",F530="Vergoeding"),VLOOKUP(G530,Tb_KostenTypen[],2,0),VLOOKUP(F530,Kostentypen!$A$3:$E$20,3,0))),"")</f>
        <v/>
      </c>
      <c r="O530" s="320" t="str" cm="1">
        <f t="array" ref="O530">_xlfn.IFNA(IF(INDEX(Tb_KostenOptiesDB[],MATCH($F530,Tb_KostenOptiesDB[KostenOptie],0),IFERROR(MATCH(Methode_Keuze,Tb_KostenOptiesDB[#Headers],0),2))=1,_xlfn.SWITCH($N530,"Uurtarief",IF(OR(AND(RIGHT($F530,3)="IKS",VLOOKUP($M530,DB_Loonkosten,2,0)="Ja"),AND(RIGHT($F530,3)&lt;&gt;"IKS",VLOOKUP($M530,DB_Loonkosten,2,0)="Nee")),IFERROR(VLOOKUP($M530,DB_Loonkosten,24,0),""),0),"Vast tarief",IF(LEFT(F530,8)="Bijdrage",VLOOKUP($F530,Tb_KostenTypen[],MATCH(Lijsten!$P$1,Tb_KostenTypen[#Headers],0),0),VLOOKUP($G530,Lijsten!L:P,MATCH(Lijsten!$P$1,Kop_Tarief_Vast,0),0))),""),"")</f>
        <v/>
      </c>
      <c r="P530" s="320" t="str" cm="1">
        <f t="array" ref="P530">_xlfn.IFNA(IF(INDEX(Tb_KostenOptiesDB[],MATCH($F530,Tb_KostenOptiesDB[KostenOptie],0),IFERROR(MATCH(Methode_Keuze,Tb_KostenOptiesDB[#Headers],0),2))=1,_xlfn.SWITCH($N530,"Uurtarief",IF(OR(AND(RIGHT($F530,3)="IKS",VLOOKUP($M530,DB_Loonkosten,2,0)="Ja"),AND(RIGHT($F530,3)&lt;&gt;"IKS",VLOOKUP($M530,DB_Loonkosten,2,0)="Nee")),IFERROR(VLOOKUP($M530,DB_Loonkosten,25,0),""),0),"Vast tarief",IF(LEFT(F530,8)="Bijdrage",VLOOKUP($F530,Tb_KostenTypen[],MATCH(Lijsten!$P$1,Tb_KostenTypen[#Headers],0),0),VLOOKUP($G530,Lijsten!L:P,MATCH(Lijsten!$P$1,Kop_Tarief_Vast,0),0))),""),"")</f>
        <v/>
      </c>
      <c r="Q530" s="359"/>
      <c r="R530" s="359"/>
      <c r="S530" s="321"/>
      <c r="T530" s="321"/>
      <c r="U530" s="373" t="str">
        <f t="shared" si="32"/>
        <v/>
      </c>
      <c r="V530" s="314" t="str">
        <f t="shared" si="33"/>
        <v/>
      </c>
      <c r="W530" s="314" t="str" cm="1">
        <f t="array" aca="1" ref="W530" ca="1">IFERROR(IF(AE530&lt;&gt;"ja",_xlfn.IFNA(_xlfn.IFS(AND(O530&lt;&gt;"",F530&lt;&gt;"",RIGHT($N530,6)="tarief",F530="Vergoeding"),SUM(O530)*FLOOR(SUM(Q530),0.0001),AND(O530&lt;&gt;"",F530&lt;&gt;"",RIGHT($N530,6)="tarief"),SUM(O530)*FLOOR(SUM(Q530),0.01),S530&gt;0,IF(F530&lt;&gt;"",FLOOR(SUM(S530),0.01),"")),""),""),"")</f>
        <v/>
      </c>
      <c r="X530" s="314" t="str" cm="1">
        <f t="array" aca="1" ref="X530" ca="1">IFERROR(IF(AE530&lt;&gt;"ja",_xlfn.IFNA(_xlfn.IFS(AND(P530&lt;&gt;"",R530&lt;&gt;"",RIGHT($N530,6)="tarief",F530="Vergoeding"),SUM(P530)*FLOOR(SUM(R530),0.0001),AND(P530&lt;&gt;"",R530&lt;&gt;"",RIGHT($N530,6)="tarief"),P530*FLOOR(R530,0.01),T530&gt;0,FLOOR(SUM(T530),0.01)),""),""),"")</f>
        <v/>
      </c>
      <c r="Y530" s="314" t="str">
        <f t="shared" ca="1" si="34"/>
        <v/>
      </c>
      <c r="Z530" s="314" t="str" cm="1">
        <f t="array" aca="1" ref="Z530" ca="1">IFERROR(_xlfn.IFS(OR(F530="",LEFT(Methode_Keuze,4)="Geen",Methode_Keuze=""),"",AND(W530&lt;&gt;"",F530&lt;&gt;"Arbeidskosten"),W530*VLOOKUP(F530,Tb_ProjectKosten[],MATCH(Tb_ProjectKosten[[#Headers],[Forfait_Percentage]],Tb_ProjectKosten[#Headers],0),0),AND(F530="Arbeidskosten",G530&lt;&gt;""),IFERROR(W530*VLOOKUP(G530,Tb_KostenTypen[],3,0)*VLOOKUP(F530,Tb_ProjectKosten[],MATCH(Tb_ProjectKosten[[#Headers],[Forfait_Percentage]],Tb_ProjectKosten[#Headers],0),0),""),W530 &lt;=0,0),"")</f>
        <v/>
      </c>
      <c r="AA530" s="314" t="str" cm="1">
        <f t="array" aca="1" ref="AA530" ca="1">IFERROR(_xlfn.IFS(OR(F530="",LEFT(Methode_Keuze,4)="Geen",Methode_Keuze=""),"",AND(X530&lt;&gt;"",F530&lt;&gt;"Arbeidskosten"),X530*VLOOKUP(F530,Tb_ProjectKosten[],MATCH(Tb_ProjectKosten[[#Headers],[Forfait_Percentage]],Tb_ProjectKosten[#Headers],0),0),AND(F530="Arbeidskosten",G530&lt;&gt;""),IFERROR(X530*VLOOKUP(G530,Tb_KostenTypen[],3,0)*VLOOKUP(F530,Tb_ProjectKosten[],MATCH(Tb_ProjectKosten[[#Headers],[Forfait_Percentage]],Tb_ProjectKosten[#Headers],0),0),""),X530 &lt;=0,0),"")</f>
        <v/>
      </c>
      <c r="AB530" s="314" t="str">
        <f t="shared" ca="1" si="35"/>
        <v/>
      </c>
      <c r="AC530" s="322"/>
      <c r="AD530" s="315"/>
      <c r="AE530" s="32" t="str" cm="1">
        <f t="array" ref="AE530">IFERROR(IF(INDEX(SubsidieTabel!$AD$1:$AG$12,MATCH($F530,SubsidieTabel!$AD$1:$AD$12,0),IFERROR(MATCH(Methode_Keuze,SubsidieTabel!$AD$1:$AG$1,0),2))&lt;&gt;1=TRUE,"ja",""),"")</f>
        <v/>
      </c>
    </row>
    <row r="531" spans="1:31" x14ac:dyDescent="0.25">
      <c r="A531" s="316"/>
      <c r="B531" s="317" t="str">
        <f>IF(A531&lt;&gt;"",_xlfn.MAXIFS($B$1:B530,$A$1:A530,A531)+1,"")</f>
        <v/>
      </c>
      <c r="C531" s="296"/>
      <c r="D531" s="296"/>
      <c r="E531" s="296"/>
      <c r="F531" s="296"/>
      <c r="G531" s="326"/>
      <c r="H531" s="324"/>
      <c r="I531" s="325"/>
      <c r="J531" s="325"/>
      <c r="K531" s="318"/>
      <c r="L531" s="318"/>
      <c r="M531" s="319" t="str">
        <f>IFERROR(VLOOKUP(H531,Lijsten!$H$1:$I$100,2,0),"")</f>
        <v/>
      </c>
      <c r="N531" s="319" t="str">
        <f ca="1">IFERROR(IF(VLOOKUP(F531,Kostentypen!$A$3:$E$21,3,0)=0,"",IF(OR(F531="Arbeidskosten",F531="Vergoeding"),VLOOKUP(G531,Tb_KostenTypen[],2,0),VLOOKUP(F531,Kostentypen!$A$3:$E$20,3,0))),"")</f>
        <v/>
      </c>
      <c r="O531" s="320" t="str" cm="1">
        <f t="array" ref="O531">_xlfn.IFNA(IF(INDEX(Tb_KostenOptiesDB[],MATCH($F531,Tb_KostenOptiesDB[KostenOptie],0),IFERROR(MATCH(Methode_Keuze,Tb_KostenOptiesDB[#Headers],0),2))=1,_xlfn.SWITCH($N531,"Uurtarief",IF(OR(AND(RIGHT($F531,3)="IKS",VLOOKUP($M531,DB_Loonkosten,2,0)="Ja"),AND(RIGHT($F531,3)&lt;&gt;"IKS",VLOOKUP($M531,DB_Loonkosten,2,0)="Nee")),IFERROR(VLOOKUP($M531,DB_Loonkosten,24,0),""),0),"Vast tarief",IF(LEFT(F531,8)="Bijdrage",VLOOKUP($F531,Tb_KostenTypen[],MATCH(Lijsten!$P$1,Tb_KostenTypen[#Headers],0),0),VLOOKUP($G531,Lijsten!L:P,MATCH(Lijsten!$P$1,Kop_Tarief_Vast,0),0))),""),"")</f>
        <v/>
      </c>
      <c r="P531" s="320" t="str" cm="1">
        <f t="array" ref="P531">_xlfn.IFNA(IF(INDEX(Tb_KostenOptiesDB[],MATCH($F531,Tb_KostenOptiesDB[KostenOptie],0),IFERROR(MATCH(Methode_Keuze,Tb_KostenOptiesDB[#Headers],0),2))=1,_xlfn.SWITCH($N531,"Uurtarief",IF(OR(AND(RIGHT($F531,3)="IKS",VLOOKUP($M531,DB_Loonkosten,2,0)="Ja"),AND(RIGHT($F531,3)&lt;&gt;"IKS",VLOOKUP($M531,DB_Loonkosten,2,0)="Nee")),IFERROR(VLOOKUP($M531,DB_Loonkosten,25,0),""),0),"Vast tarief",IF(LEFT(F531,8)="Bijdrage",VLOOKUP($F531,Tb_KostenTypen[],MATCH(Lijsten!$P$1,Tb_KostenTypen[#Headers],0),0),VLOOKUP($G531,Lijsten!L:P,MATCH(Lijsten!$P$1,Kop_Tarief_Vast,0),0))),""),"")</f>
        <v/>
      </c>
      <c r="Q531" s="359"/>
      <c r="R531" s="359"/>
      <c r="S531" s="321"/>
      <c r="T531" s="321"/>
      <c r="U531" s="373" t="str">
        <f t="shared" si="32"/>
        <v/>
      </c>
      <c r="V531" s="314" t="str">
        <f t="shared" si="33"/>
        <v/>
      </c>
      <c r="W531" s="314" t="str" cm="1">
        <f t="array" aca="1" ref="W531" ca="1">IFERROR(IF(AE531&lt;&gt;"ja",_xlfn.IFNA(_xlfn.IFS(AND(O531&lt;&gt;"",F531&lt;&gt;"",RIGHT($N531,6)="tarief",F531="Vergoeding"),SUM(O531)*FLOOR(SUM(Q531),0.0001),AND(O531&lt;&gt;"",F531&lt;&gt;"",RIGHT($N531,6)="tarief"),SUM(O531)*FLOOR(SUM(Q531),0.01),S531&gt;0,IF(F531&lt;&gt;"",FLOOR(SUM(S531),0.01),"")),""),""),"")</f>
        <v/>
      </c>
      <c r="X531" s="314" t="str" cm="1">
        <f t="array" aca="1" ref="X531" ca="1">IFERROR(IF(AE531&lt;&gt;"ja",_xlfn.IFNA(_xlfn.IFS(AND(P531&lt;&gt;"",R531&lt;&gt;"",RIGHT($N531,6)="tarief",F531="Vergoeding"),SUM(P531)*FLOOR(SUM(R531),0.0001),AND(P531&lt;&gt;"",R531&lt;&gt;"",RIGHT($N531,6)="tarief"),P531*FLOOR(R531,0.01),T531&gt;0,FLOOR(SUM(T531),0.01)),""),""),"")</f>
        <v/>
      </c>
      <c r="Y531" s="314" t="str">
        <f t="shared" ca="1" si="34"/>
        <v/>
      </c>
      <c r="Z531" s="314" t="str" cm="1">
        <f t="array" aca="1" ref="Z531" ca="1">IFERROR(_xlfn.IFS(OR(F531="",LEFT(Methode_Keuze,4)="Geen",Methode_Keuze=""),"",AND(W531&lt;&gt;"",F531&lt;&gt;"Arbeidskosten"),W531*VLOOKUP(F531,Tb_ProjectKosten[],MATCH(Tb_ProjectKosten[[#Headers],[Forfait_Percentage]],Tb_ProjectKosten[#Headers],0),0),AND(F531="Arbeidskosten",G531&lt;&gt;""),IFERROR(W531*VLOOKUP(G531,Tb_KostenTypen[],3,0)*VLOOKUP(F531,Tb_ProjectKosten[],MATCH(Tb_ProjectKosten[[#Headers],[Forfait_Percentage]],Tb_ProjectKosten[#Headers],0),0),""),W531 &lt;=0,0),"")</f>
        <v/>
      </c>
      <c r="AA531" s="314" t="str" cm="1">
        <f t="array" aca="1" ref="AA531" ca="1">IFERROR(_xlfn.IFS(OR(F531="",LEFT(Methode_Keuze,4)="Geen",Methode_Keuze=""),"",AND(X531&lt;&gt;"",F531&lt;&gt;"Arbeidskosten"),X531*VLOOKUP(F531,Tb_ProjectKosten[],MATCH(Tb_ProjectKosten[[#Headers],[Forfait_Percentage]],Tb_ProjectKosten[#Headers],0),0),AND(F531="Arbeidskosten",G531&lt;&gt;""),IFERROR(X531*VLOOKUP(G531,Tb_KostenTypen[],3,0)*VLOOKUP(F531,Tb_ProjectKosten[],MATCH(Tb_ProjectKosten[[#Headers],[Forfait_Percentage]],Tb_ProjectKosten[#Headers],0),0),""),X531 &lt;=0,0),"")</f>
        <v/>
      </c>
      <c r="AB531" s="314" t="str">
        <f t="shared" ca="1" si="35"/>
        <v/>
      </c>
      <c r="AC531" s="322"/>
      <c r="AD531" s="315"/>
      <c r="AE531" s="32" t="str" cm="1">
        <f t="array" ref="AE531">IFERROR(IF(INDEX(SubsidieTabel!$AD$1:$AG$12,MATCH($F531,SubsidieTabel!$AD$1:$AD$12,0),IFERROR(MATCH(Methode_Keuze,SubsidieTabel!$AD$1:$AG$1,0),2))&lt;&gt;1=TRUE,"ja",""),"")</f>
        <v/>
      </c>
    </row>
    <row r="532" spans="1:31" x14ac:dyDescent="0.25">
      <c r="A532" s="316"/>
      <c r="B532" s="317" t="str">
        <f>IF(A532&lt;&gt;"",_xlfn.MAXIFS($B$1:B531,$A$1:A531,A532)+1,"")</f>
        <v/>
      </c>
      <c r="C532" s="296"/>
      <c r="D532" s="296"/>
      <c r="E532" s="296"/>
      <c r="F532" s="296"/>
      <c r="G532" s="326"/>
      <c r="H532" s="324"/>
      <c r="I532" s="325"/>
      <c r="J532" s="325"/>
      <c r="K532" s="318"/>
      <c r="L532" s="318"/>
      <c r="M532" s="319" t="str">
        <f>IFERROR(VLOOKUP(H532,Lijsten!$H$1:$I$100,2,0),"")</f>
        <v/>
      </c>
      <c r="N532" s="319" t="str">
        <f ca="1">IFERROR(IF(VLOOKUP(F532,Kostentypen!$A$3:$E$21,3,0)=0,"",IF(OR(F532="Arbeidskosten",F532="Vergoeding"),VLOOKUP(G532,Tb_KostenTypen[],2,0),VLOOKUP(F532,Kostentypen!$A$3:$E$20,3,0))),"")</f>
        <v/>
      </c>
      <c r="O532" s="320" t="str" cm="1">
        <f t="array" ref="O532">_xlfn.IFNA(IF(INDEX(Tb_KostenOptiesDB[],MATCH($F532,Tb_KostenOptiesDB[KostenOptie],0),IFERROR(MATCH(Methode_Keuze,Tb_KostenOptiesDB[#Headers],0),2))=1,_xlfn.SWITCH($N532,"Uurtarief",IF(OR(AND(RIGHT($F532,3)="IKS",VLOOKUP($M532,DB_Loonkosten,2,0)="Ja"),AND(RIGHT($F532,3)&lt;&gt;"IKS",VLOOKUP($M532,DB_Loonkosten,2,0)="Nee")),IFERROR(VLOOKUP($M532,DB_Loonkosten,24,0),""),0),"Vast tarief",IF(LEFT(F532,8)="Bijdrage",VLOOKUP($F532,Tb_KostenTypen[],MATCH(Lijsten!$P$1,Tb_KostenTypen[#Headers],0),0),VLOOKUP($G532,Lijsten!L:P,MATCH(Lijsten!$P$1,Kop_Tarief_Vast,0),0))),""),"")</f>
        <v/>
      </c>
      <c r="P532" s="320" t="str" cm="1">
        <f t="array" ref="P532">_xlfn.IFNA(IF(INDEX(Tb_KostenOptiesDB[],MATCH($F532,Tb_KostenOptiesDB[KostenOptie],0),IFERROR(MATCH(Methode_Keuze,Tb_KostenOptiesDB[#Headers],0),2))=1,_xlfn.SWITCH($N532,"Uurtarief",IF(OR(AND(RIGHT($F532,3)="IKS",VLOOKUP($M532,DB_Loonkosten,2,0)="Ja"),AND(RIGHT($F532,3)&lt;&gt;"IKS",VLOOKUP($M532,DB_Loonkosten,2,0)="Nee")),IFERROR(VLOOKUP($M532,DB_Loonkosten,25,0),""),0),"Vast tarief",IF(LEFT(F532,8)="Bijdrage",VLOOKUP($F532,Tb_KostenTypen[],MATCH(Lijsten!$P$1,Tb_KostenTypen[#Headers],0),0),VLOOKUP($G532,Lijsten!L:P,MATCH(Lijsten!$P$1,Kop_Tarief_Vast,0),0))),""),"")</f>
        <v/>
      </c>
      <c r="Q532" s="359"/>
      <c r="R532" s="359"/>
      <c r="S532" s="321"/>
      <c r="T532" s="321"/>
      <c r="U532" s="373" t="str">
        <f t="shared" si="32"/>
        <v/>
      </c>
      <c r="V532" s="314" t="str">
        <f t="shared" si="33"/>
        <v/>
      </c>
      <c r="W532" s="314" t="str" cm="1">
        <f t="array" aca="1" ref="W532" ca="1">IFERROR(IF(AE532&lt;&gt;"ja",_xlfn.IFNA(_xlfn.IFS(AND(O532&lt;&gt;"",F532&lt;&gt;"",RIGHT($N532,6)="tarief",F532="Vergoeding"),SUM(O532)*FLOOR(SUM(Q532),0.0001),AND(O532&lt;&gt;"",F532&lt;&gt;"",RIGHT($N532,6)="tarief"),SUM(O532)*FLOOR(SUM(Q532),0.01),S532&gt;0,IF(F532&lt;&gt;"",FLOOR(SUM(S532),0.01),"")),""),""),"")</f>
        <v/>
      </c>
      <c r="X532" s="314" t="str" cm="1">
        <f t="array" aca="1" ref="X532" ca="1">IFERROR(IF(AE532&lt;&gt;"ja",_xlfn.IFNA(_xlfn.IFS(AND(P532&lt;&gt;"",R532&lt;&gt;"",RIGHT($N532,6)="tarief",F532="Vergoeding"),SUM(P532)*FLOOR(SUM(R532),0.0001),AND(P532&lt;&gt;"",R532&lt;&gt;"",RIGHT($N532,6)="tarief"),P532*FLOOR(R532,0.01),T532&gt;0,FLOOR(SUM(T532),0.01)),""),""),"")</f>
        <v/>
      </c>
      <c r="Y532" s="314" t="str">
        <f t="shared" ca="1" si="34"/>
        <v/>
      </c>
      <c r="Z532" s="314" t="str" cm="1">
        <f t="array" aca="1" ref="Z532" ca="1">IFERROR(_xlfn.IFS(OR(F532="",LEFT(Methode_Keuze,4)="Geen",Methode_Keuze=""),"",AND(W532&lt;&gt;"",F532&lt;&gt;"Arbeidskosten"),W532*VLOOKUP(F532,Tb_ProjectKosten[],MATCH(Tb_ProjectKosten[[#Headers],[Forfait_Percentage]],Tb_ProjectKosten[#Headers],0),0),AND(F532="Arbeidskosten",G532&lt;&gt;""),IFERROR(W532*VLOOKUP(G532,Tb_KostenTypen[],3,0)*VLOOKUP(F532,Tb_ProjectKosten[],MATCH(Tb_ProjectKosten[[#Headers],[Forfait_Percentage]],Tb_ProjectKosten[#Headers],0),0),""),W532 &lt;=0,0),"")</f>
        <v/>
      </c>
      <c r="AA532" s="314" t="str" cm="1">
        <f t="array" aca="1" ref="AA532" ca="1">IFERROR(_xlfn.IFS(OR(F532="",LEFT(Methode_Keuze,4)="Geen",Methode_Keuze=""),"",AND(X532&lt;&gt;"",F532&lt;&gt;"Arbeidskosten"),X532*VLOOKUP(F532,Tb_ProjectKosten[],MATCH(Tb_ProjectKosten[[#Headers],[Forfait_Percentage]],Tb_ProjectKosten[#Headers],0),0),AND(F532="Arbeidskosten",G532&lt;&gt;""),IFERROR(X532*VLOOKUP(G532,Tb_KostenTypen[],3,0)*VLOOKUP(F532,Tb_ProjectKosten[],MATCH(Tb_ProjectKosten[[#Headers],[Forfait_Percentage]],Tb_ProjectKosten[#Headers],0),0),""),X532 &lt;=0,0),"")</f>
        <v/>
      </c>
      <c r="AB532" s="314" t="str">
        <f t="shared" ca="1" si="35"/>
        <v/>
      </c>
      <c r="AC532" s="322"/>
      <c r="AD532" s="315"/>
      <c r="AE532" s="32" t="str" cm="1">
        <f t="array" ref="AE532">IFERROR(IF(INDEX(SubsidieTabel!$AD$1:$AG$12,MATCH($F532,SubsidieTabel!$AD$1:$AD$12,0),IFERROR(MATCH(Methode_Keuze,SubsidieTabel!$AD$1:$AG$1,0),2))&lt;&gt;1=TRUE,"ja",""),"")</f>
        <v/>
      </c>
    </row>
    <row r="533" spans="1:31" x14ac:dyDescent="0.25">
      <c r="A533" s="316"/>
      <c r="B533" s="317" t="str">
        <f>IF(A533&lt;&gt;"",_xlfn.MAXIFS($B$1:B532,$A$1:A532,A533)+1,"")</f>
        <v/>
      </c>
      <c r="C533" s="296"/>
      <c r="D533" s="296"/>
      <c r="E533" s="296"/>
      <c r="F533" s="296"/>
      <c r="G533" s="326"/>
      <c r="H533" s="324"/>
      <c r="I533" s="325"/>
      <c r="J533" s="325"/>
      <c r="K533" s="318"/>
      <c r="L533" s="318"/>
      <c r="M533" s="319" t="str">
        <f>IFERROR(VLOOKUP(H533,Lijsten!$H$1:$I$100,2,0),"")</f>
        <v/>
      </c>
      <c r="N533" s="319" t="str">
        <f ca="1">IFERROR(IF(VLOOKUP(F533,Kostentypen!$A$3:$E$21,3,0)=0,"",IF(OR(F533="Arbeidskosten",F533="Vergoeding"),VLOOKUP(G533,Tb_KostenTypen[],2,0),VLOOKUP(F533,Kostentypen!$A$3:$E$20,3,0))),"")</f>
        <v/>
      </c>
      <c r="O533" s="320" t="str" cm="1">
        <f t="array" ref="O533">_xlfn.IFNA(IF(INDEX(Tb_KostenOptiesDB[],MATCH($F533,Tb_KostenOptiesDB[KostenOptie],0),IFERROR(MATCH(Methode_Keuze,Tb_KostenOptiesDB[#Headers],0),2))=1,_xlfn.SWITCH($N533,"Uurtarief",IF(OR(AND(RIGHT($F533,3)="IKS",VLOOKUP($M533,DB_Loonkosten,2,0)="Ja"),AND(RIGHT($F533,3)&lt;&gt;"IKS",VLOOKUP($M533,DB_Loonkosten,2,0)="Nee")),IFERROR(VLOOKUP($M533,DB_Loonkosten,24,0),""),0),"Vast tarief",IF(LEFT(F533,8)="Bijdrage",VLOOKUP($F533,Tb_KostenTypen[],MATCH(Lijsten!$P$1,Tb_KostenTypen[#Headers],0),0),VLOOKUP($G533,Lijsten!L:P,MATCH(Lijsten!$P$1,Kop_Tarief_Vast,0),0))),""),"")</f>
        <v/>
      </c>
      <c r="P533" s="320" t="str" cm="1">
        <f t="array" ref="P533">_xlfn.IFNA(IF(INDEX(Tb_KostenOptiesDB[],MATCH($F533,Tb_KostenOptiesDB[KostenOptie],0),IFERROR(MATCH(Methode_Keuze,Tb_KostenOptiesDB[#Headers],0),2))=1,_xlfn.SWITCH($N533,"Uurtarief",IF(OR(AND(RIGHT($F533,3)="IKS",VLOOKUP($M533,DB_Loonkosten,2,0)="Ja"),AND(RIGHT($F533,3)&lt;&gt;"IKS",VLOOKUP($M533,DB_Loonkosten,2,0)="Nee")),IFERROR(VLOOKUP($M533,DB_Loonkosten,25,0),""),0),"Vast tarief",IF(LEFT(F533,8)="Bijdrage",VLOOKUP($F533,Tb_KostenTypen[],MATCH(Lijsten!$P$1,Tb_KostenTypen[#Headers],0),0),VLOOKUP($G533,Lijsten!L:P,MATCH(Lijsten!$P$1,Kop_Tarief_Vast,0),0))),""),"")</f>
        <v/>
      </c>
      <c r="Q533" s="359"/>
      <c r="R533" s="359"/>
      <c r="S533" s="321"/>
      <c r="T533" s="321"/>
      <c r="U533" s="373" t="str">
        <f t="shared" si="32"/>
        <v/>
      </c>
      <c r="V533" s="314" t="str">
        <f t="shared" si="33"/>
        <v/>
      </c>
      <c r="W533" s="314" t="str" cm="1">
        <f t="array" aca="1" ref="W533" ca="1">IFERROR(IF(AE533&lt;&gt;"ja",_xlfn.IFNA(_xlfn.IFS(AND(O533&lt;&gt;"",F533&lt;&gt;"",RIGHT($N533,6)="tarief",F533="Vergoeding"),SUM(O533)*FLOOR(SUM(Q533),0.0001),AND(O533&lt;&gt;"",F533&lt;&gt;"",RIGHT($N533,6)="tarief"),SUM(O533)*FLOOR(SUM(Q533),0.01),S533&gt;0,IF(F533&lt;&gt;"",FLOOR(SUM(S533),0.01),"")),""),""),"")</f>
        <v/>
      </c>
      <c r="X533" s="314" t="str" cm="1">
        <f t="array" aca="1" ref="X533" ca="1">IFERROR(IF(AE533&lt;&gt;"ja",_xlfn.IFNA(_xlfn.IFS(AND(P533&lt;&gt;"",R533&lt;&gt;"",RIGHT($N533,6)="tarief",F533="Vergoeding"),SUM(P533)*FLOOR(SUM(R533),0.0001),AND(P533&lt;&gt;"",R533&lt;&gt;"",RIGHT($N533,6)="tarief"),P533*FLOOR(R533,0.01),T533&gt;0,FLOOR(SUM(T533),0.01)),""),""),"")</f>
        <v/>
      </c>
      <c r="Y533" s="314" t="str">
        <f t="shared" ca="1" si="34"/>
        <v/>
      </c>
      <c r="Z533" s="314" t="str" cm="1">
        <f t="array" aca="1" ref="Z533" ca="1">IFERROR(_xlfn.IFS(OR(F533="",LEFT(Methode_Keuze,4)="Geen",Methode_Keuze=""),"",AND(W533&lt;&gt;"",F533&lt;&gt;"Arbeidskosten"),W533*VLOOKUP(F533,Tb_ProjectKosten[],MATCH(Tb_ProjectKosten[[#Headers],[Forfait_Percentage]],Tb_ProjectKosten[#Headers],0),0),AND(F533="Arbeidskosten",G533&lt;&gt;""),IFERROR(W533*VLOOKUP(G533,Tb_KostenTypen[],3,0)*VLOOKUP(F533,Tb_ProjectKosten[],MATCH(Tb_ProjectKosten[[#Headers],[Forfait_Percentage]],Tb_ProjectKosten[#Headers],0),0),""),W533 &lt;=0,0),"")</f>
        <v/>
      </c>
      <c r="AA533" s="314" t="str" cm="1">
        <f t="array" aca="1" ref="AA533" ca="1">IFERROR(_xlfn.IFS(OR(F533="",LEFT(Methode_Keuze,4)="Geen",Methode_Keuze=""),"",AND(X533&lt;&gt;"",F533&lt;&gt;"Arbeidskosten"),X533*VLOOKUP(F533,Tb_ProjectKosten[],MATCH(Tb_ProjectKosten[[#Headers],[Forfait_Percentage]],Tb_ProjectKosten[#Headers],0),0),AND(F533="Arbeidskosten",G533&lt;&gt;""),IFERROR(X533*VLOOKUP(G533,Tb_KostenTypen[],3,0)*VLOOKUP(F533,Tb_ProjectKosten[],MATCH(Tb_ProjectKosten[[#Headers],[Forfait_Percentage]],Tb_ProjectKosten[#Headers],0),0),""),X533 &lt;=0,0),"")</f>
        <v/>
      </c>
      <c r="AB533" s="314" t="str">
        <f t="shared" ca="1" si="35"/>
        <v/>
      </c>
      <c r="AC533" s="322"/>
      <c r="AD533" s="315"/>
      <c r="AE533" s="32" t="str" cm="1">
        <f t="array" ref="AE533">IFERROR(IF(INDEX(SubsidieTabel!$AD$1:$AG$12,MATCH($F533,SubsidieTabel!$AD$1:$AD$12,0),IFERROR(MATCH(Methode_Keuze,SubsidieTabel!$AD$1:$AG$1,0),2))&lt;&gt;1=TRUE,"ja",""),"")</f>
        <v/>
      </c>
    </row>
    <row r="534" spans="1:31" x14ac:dyDescent="0.25">
      <c r="A534" s="316"/>
      <c r="B534" s="317" t="str">
        <f>IF(A534&lt;&gt;"",_xlfn.MAXIFS($B$1:B533,$A$1:A533,A534)+1,"")</f>
        <v/>
      </c>
      <c r="C534" s="296"/>
      <c r="D534" s="296"/>
      <c r="E534" s="296"/>
      <c r="F534" s="296"/>
      <c r="G534" s="326"/>
      <c r="H534" s="324"/>
      <c r="I534" s="325"/>
      <c r="J534" s="325"/>
      <c r="K534" s="318"/>
      <c r="L534" s="318"/>
      <c r="M534" s="319" t="str">
        <f>IFERROR(VLOOKUP(H534,Lijsten!$H$1:$I$100,2,0),"")</f>
        <v/>
      </c>
      <c r="N534" s="319" t="str">
        <f ca="1">IFERROR(IF(VLOOKUP(F534,Kostentypen!$A$3:$E$21,3,0)=0,"",IF(OR(F534="Arbeidskosten",F534="Vergoeding"),VLOOKUP(G534,Tb_KostenTypen[],2,0),VLOOKUP(F534,Kostentypen!$A$3:$E$20,3,0))),"")</f>
        <v/>
      </c>
      <c r="O534" s="320" t="str" cm="1">
        <f t="array" ref="O534">_xlfn.IFNA(IF(INDEX(Tb_KostenOptiesDB[],MATCH($F534,Tb_KostenOptiesDB[KostenOptie],0),IFERROR(MATCH(Methode_Keuze,Tb_KostenOptiesDB[#Headers],0),2))=1,_xlfn.SWITCH($N534,"Uurtarief",IF(OR(AND(RIGHT($F534,3)="IKS",VLOOKUP($M534,DB_Loonkosten,2,0)="Ja"),AND(RIGHT($F534,3)&lt;&gt;"IKS",VLOOKUP($M534,DB_Loonkosten,2,0)="Nee")),IFERROR(VLOOKUP($M534,DB_Loonkosten,24,0),""),0),"Vast tarief",IF(LEFT(F534,8)="Bijdrage",VLOOKUP($F534,Tb_KostenTypen[],MATCH(Lijsten!$P$1,Tb_KostenTypen[#Headers],0),0),VLOOKUP($G534,Lijsten!L:P,MATCH(Lijsten!$P$1,Kop_Tarief_Vast,0),0))),""),"")</f>
        <v/>
      </c>
      <c r="P534" s="320" t="str" cm="1">
        <f t="array" ref="P534">_xlfn.IFNA(IF(INDEX(Tb_KostenOptiesDB[],MATCH($F534,Tb_KostenOptiesDB[KostenOptie],0),IFERROR(MATCH(Methode_Keuze,Tb_KostenOptiesDB[#Headers],0),2))=1,_xlfn.SWITCH($N534,"Uurtarief",IF(OR(AND(RIGHT($F534,3)="IKS",VLOOKUP($M534,DB_Loonkosten,2,0)="Ja"),AND(RIGHT($F534,3)&lt;&gt;"IKS",VLOOKUP($M534,DB_Loonkosten,2,0)="Nee")),IFERROR(VLOOKUP($M534,DB_Loonkosten,25,0),""),0),"Vast tarief",IF(LEFT(F534,8)="Bijdrage",VLOOKUP($F534,Tb_KostenTypen[],MATCH(Lijsten!$P$1,Tb_KostenTypen[#Headers],0),0),VLOOKUP($G534,Lijsten!L:P,MATCH(Lijsten!$P$1,Kop_Tarief_Vast,0),0))),""),"")</f>
        <v/>
      </c>
      <c r="Q534" s="359"/>
      <c r="R534" s="359"/>
      <c r="S534" s="321"/>
      <c r="T534" s="321"/>
      <c r="U534" s="373" t="str">
        <f t="shared" si="32"/>
        <v/>
      </c>
      <c r="V534" s="314" t="str">
        <f t="shared" si="33"/>
        <v/>
      </c>
      <c r="W534" s="314" t="str" cm="1">
        <f t="array" aca="1" ref="W534" ca="1">IFERROR(IF(AE534&lt;&gt;"ja",_xlfn.IFNA(_xlfn.IFS(AND(O534&lt;&gt;"",F534&lt;&gt;"",RIGHT($N534,6)="tarief",F534="Vergoeding"),SUM(O534)*FLOOR(SUM(Q534),0.0001),AND(O534&lt;&gt;"",F534&lt;&gt;"",RIGHT($N534,6)="tarief"),SUM(O534)*FLOOR(SUM(Q534),0.01),S534&gt;0,IF(F534&lt;&gt;"",FLOOR(SUM(S534),0.01),"")),""),""),"")</f>
        <v/>
      </c>
      <c r="X534" s="314" t="str" cm="1">
        <f t="array" aca="1" ref="X534" ca="1">IFERROR(IF(AE534&lt;&gt;"ja",_xlfn.IFNA(_xlfn.IFS(AND(P534&lt;&gt;"",R534&lt;&gt;"",RIGHT($N534,6)="tarief",F534="Vergoeding"),SUM(P534)*FLOOR(SUM(R534),0.0001),AND(P534&lt;&gt;"",R534&lt;&gt;"",RIGHT($N534,6)="tarief"),P534*FLOOR(R534,0.01),T534&gt;0,FLOOR(SUM(T534),0.01)),""),""),"")</f>
        <v/>
      </c>
      <c r="Y534" s="314" t="str">
        <f t="shared" ca="1" si="34"/>
        <v/>
      </c>
      <c r="Z534" s="314" t="str" cm="1">
        <f t="array" aca="1" ref="Z534" ca="1">IFERROR(_xlfn.IFS(OR(F534="",LEFT(Methode_Keuze,4)="Geen",Methode_Keuze=""),"",AND(W534&lt;&gt;"",F534&lt;&gt;"Arbeidskosten"),W534*VLOOKUP(F534,Tb_ProjectKosten[],MATCH(Tb_ProjectKosten[[#Headers],[Forfait_Percentage]],Tb_ProjectKosten[#Headers],0),0),AND(F534="Arbeidskosten",G534&lt;&gt;""),IFERROR(W534*VLOOKUP(G534,Tb_KostenTypen[],3,0)*VLOOKUP(F534,Tb_ProjectKosten[],MATCH(Tb_ProjectKosten[[#Headers],[Forfait_Percentage]],Tb_ProjectKosten[#Headers],0),0),""),W534 &lt;=0,0),"")</f>
        <v/>
      </c>
      <c r="AA534" s="314" t="str" cm="1">
        <f t="array" aca="1" ref="AA534" ca="1">IFERROR(_xlfn.IFS(OR(F534="",LEFT(Methode_Keuze,4)="Geen",Methode_Keuze=""),"",AND(X534&lt;&gt;"",F534&lt;&gt;"Arbeidskosten"),X534*VLOOKUP(F534,Tb_ProjectKosten[],MATCH(Tb_ProjectKosten[[#Headers],[Forfait_Percentage]],Tb_ProjectKosten[#Headers],0),0),AND(F534="Arbeidskosten",G534&lt;&gt;""),IFERROR(X534*VLOOKUP(G534,Tb_KostenTypen[],3,0)*VLOOKUP(F534,Tb_ProjectKosten[],MATCH(Tb_ProjectKosten[[#Headers],[Forfait_Percentage]],Tb_ProjectKosten[#Headers],0),0),""),X534 &lt;=0,0),"")</f>
        <v/>
      </c>
      <c r="AB534" s="314" t="str">
        <f t="shared" ca="1" si="35"/>
        <v/>
      </c>
      <c r="AC534" s="322"/>
      <c r="AD534" s="315"/>
      <c r="AE534" s="32" t="str" cm="1">
        <f t="array" ref="AE534">IFERROR(IF(INDEX(SubsidieTabel!$AD$1:$AG$12,MATCH($F534,SubsidieTabel!$AD$1:$AD$12,0),IFERROR(MATCH(Methode_Keuze,SubsidieTabel!$AD$1:$AG$1,0),2))&lt;&gt;1=TRUE,"ja",""),"")</f>
        <v/>
      </c>
    </row>
    <row r="535" spans="1:31" x14ac:dyDescent="0.25">
      <c r="A535" s="316"/>
      <c r="B535" s="317" t="str">
        <f>IF(A535&lt;&gt;"",_xlfn.MAXIFS($B$1:B534,$A$1:A534,A535)+1,"")</f>
        <v/>
      </c>
      <c r="C535" s="296"/>
      <c r="D535" s="296"/>
      <c r="E535" s="296"/>
      <c r="F535" s="296"/>
      <c r="G535" s="326"/>
      <c r="H535" s="324"/>
      <c r="I535" s="325"/>
      <c r="J535" s="325"/>
      <c r="K535" s="318"/>
      <c r="L535" s="318"/>
      <c r="M535" s="319" t="str">
        <f>IFERROR(VLOOKUP(H535,Lijsten!$H$1:$I$100,2,0),"")</f>
        <v/>
      </c>
      <c r="N535" s="319" t="str">
        <f ca="1">IFERROR(IF(VLOOKUP(F535,Kostentypen!$A$3:$E$21,3,0)=0,"",IF(OR(F535="Arbeidskosten",F535="Vergoeding"),VLOOKUP(G535,Tb_KostenTypen[],2,0),VLOOKUP(F535,Kostentypen!$A$3:$E$20,3,0))),"")</f>
        <v/>
      </c>
      <c r="O535" s="320" t="str" cm="1">
        <f t="array" ref="O535">_xlfn.IFNA(IF(INDEX(Tb_KostenOptiesDB[],MATCH($F535,Tb_KostenOptiesDB[KostenOptie],0),IFERROR(MATCH(Methode_Keuze,Tb_KostenOptiesDB[#Headers],0),2))=1,_xlfn.SWITCH($N535,"Uurtarief",IF(OR(AND(RIGHT($F535,3)="IKS",VLOOKUP($M535,DB_Loonkosten,2,0)="Ja"),AND(RIGHT($F535,3)&lt;&gt;"IKS",VLOOKUP($M535,DB_Loonkosten,2,0)="Nee")),IFERROR(VLOOKUP($M535,DB_Loonkosten,24,0),""),0),"Vast tarief",IF(LEFT(F535,8)="Bijdrage",VLOOKUP($F535,Tb_KostenTypen[],MATCH(Lijsten!$P$1,Tb_KostenTypen[#Headers],0),0),VLOOKUP($G535,Lijsten!L:P,MATCH(Lijsten!$P$1,Kop_Tarief_Vast,0),0))),""),"")</f>
        <v/>
      </c>
      <c r="P535" s="320" t="str" cm="1">
        <f t="array" ref="P535">_xlfn.IFNA(IF(INDEX(Tb_KostenOptiesDB[],MATCH($F535,Tb_KostenOptiesDB[KostenOptie],0),IFERROR(MATCH(Methode_Keuze,Tb_KostenOptiesDB[#Headers],0),2))=1,_xlfn.SWITCH($N535,"Uurtarief",IF(OR(AND(RIGHT($F535,3)="IKS",VLOOKUP($M535,DB_Loonkosten,2,0)="Ja"),AND(RIGHT($F535,3)&lt;&gt;"IKS",VLOOKUP($M535,DB_Loonkosten,2,0)="Nee")),IFERROR(VLOOKUP($M535,DB_Loonkosten,25,0),""),0),"Vast tarief",IF(LEFT(F535,8)="Bijdrage",VLOOKUP($F535,Tb_KostenTypen[],MATCH(Lijsten!$P$1,Tb_KostenTypen[#Headers],0),0),VLOOKUP($G535,Lijsten!L:P,MATCH(Lijsten!$P$1,Kop_Tarief_Vast,0),0))),""),"")</f>
        <v/>
      </c>
      <c r="Q535" s="359"/>
      <c r="R535" s="359"/>
      <c r="S535" s="321"/>
      <c r="T535" s="321"/>
      <c r="U535" s="373" t="str">
        <f t="shared" si="32"/>
        <v/>
      </c>
      <c r="V535" s="314" t="str">
        <f t="shared" si="33"/>
        <v/>
      </c>
      <c r="W535" s="314" t="str" cm="1">
        <f t="array" aca="1" ref="W535" ca="1">IFERROR(IF(AE535&lt;&gt;"ja",_xlfn.IFNA(_xlfn.IFS(AND(O535&lt;&gt;"",F535&lt;&gt;"",RIGHT($N535,6)="tarief",F535="Vergoeding"),SUM(O535)*FLOOR(SUM(Q535),0.0001),AND(O535&lt;&gt;"",F535&lt;&gt;"",RIGHT($N535,6)="tarief"),SUM(O535)*FLOOR(SUM(Q535),0.01),S535&gt;0,IF(F535&lt;&gt;"",FLOOR(SUM(S535),0.01),"")),""),""),"")</f>
        <v/>
      </c>
      <c r="X535" s="314" t="str" cm="1">
        <f t="array" aca="1" ref="X535" ca="1">IFERROR(IF(AE535&lt;&gt;"ja",_xlfn.IFNA(_xlfn.IFS(AND(P535&lt;&gt;"",R535&lt;&gt;"",RIGHT($N535,6)="tarief",F535="Vergoeding"),SUM(P535)*FLOOR(SUM(R535),0.0001),AND(P535&lt;&gt;"",R535&lt;&gt;"",RIGHT($N535,6)="tarief"),P535*FLOOR(R535,0.01),T535&gt;0,FLOOR(SUM(T535),0.01)),""),""),"")</f>
        <v/>
      </c>
      <c r="Y535" s="314" t="str">
        <f t="shared" ca="1" si="34"/>
        <v/>
      </c>
      <c r="Z535" s="314" t="str" cm="1">
        <f t="array" aca="1" ref="Z535" ca="1">IFERROR(_xlfn.IFS(OR(F535="",LEFT(Methode_Keuze,4)="Geen",Methode_Keuze=""),"",AND(W535&lt;&gt;"",F535&lt;&gt;"Arbeidskosten"),W535*VLOOKUP(F535,Tb_ProjectKosten[],MATCH(Tb_ProjectKosten[[#Headers],[Forfait_Percentage]],Tb_ProjectKosten[#Headers],0),0),AND(F535="Arbeidskosten",G535&lt;&gt;""),IFERROR(W535*VLOOKUP(G535,Tb_KostenTypen[],3,0)*VLOOKUP(F535,Tb_ProjectKosten[],MATCH(Tb_ProjectKosten[[#Headers],[Forfait_Percentage]],Tb_ProjectKosten[#Headers],0),0),""),W535 &lt;=0,0),"")</f>
        <v/>
      </c>
      <c r="AA535" s="314" t="str" cm="1">
        <f t="array" aca="1" ref="AA535" ca="1">IFERROR(_xlfn.IFS(OR(F535="",LEFT(Methode_Keuze,4)="Geen",Methode_Keuze=""),"",AND(X535&lt;&gt;"",F535&lt;&gt;"Arbeidskosten"),X535*VLOOKUP(F535,Tb_ProjectKosten[],MATCH(Tb_ProjectKosten[[#Headers],[Forfait_Percentage]],Tb_ProjectKosten[#Headers],0),0),AND(F535="Arbeidskosten",G535&lt;&gt;""),IFERROR(X535*VLOOKUP(G535,Tb_KostenTypen[],3,0)*VLOOKUP(F535,Tb_ProjectKosten[],MATCH(Tb_ProjectKosten[[#Headers],[Forfait_Percentage]],Tb_ProjectKosten[#Headers],0),0),""),X535 &lt;=0,0),"")</f>
        <v/>
      </c>
      <c r="AB535" s="314" t="str">
        <f t="shared" ca="1" si="35"/>
        <v/>
      </c>
      <c r="AC535" s="322"/>
      <c r="AD535" s="315"/>
      <c r="AE535" s="32" t="str" cm="1">
        <f t="array" ref="AE535">IFERROR(IF(INDEX(SubsidieTabel!$AD$1:$AG$12,MATCH($F535,SubsidieTabel!$AD$1:$AD$12,0),IFERROR(MATCH(Methode_Keuze,SubsidieTabel!$AD$1:$AG$1,0),2))&lt;&gt;1=TRUE,"ja",""),"")</f>
        <v/>
      </c>
    </row>
    <row r="536" spans="1:31" x14ac:dyDescent="0.25">
      <c r="A536" s="316"/>
      <c r="B536" s="317" t="str">
        <f>IF(A536&lt;&gt;"",_xlfn.MAXIFS($B$1:B535,$A$1:A535,A536)+1,"")</f>
        <v/>
      </c>
      <c r="C536" s="296"/>
      <c r="D536" s="296"/>
      <c r="E536" s="296"/>
      <c r="F536" s="296"/>
      <c r="G536" s="326"/>
      <c r="H536" s="324"/>
      <c r="I536" s="325"/>
      <c r="J536" s="325"/>
      <c r="K536" s="318"/>
      <c r="L536" s="318"/>
      <c r="M536" s="319" t="str">
        <f>IFERROR(VLOOKUP(H536,Lijsten!$H$1:$I$100,2,0),"")</f>
        <v/>
      </c>
      <c r="N536" s="319" t="str">
        <f ca="1">IFERROR(IF(VLOOKUP(F536,Kostentypen!$A$3:$E$21,3,0)=0,"",IF(OR(F536="Arbeidskosten",F536="Vergoeding"),VLOOKUP(G536,Tb_KostenTypen[],2,0),VLOOKUP(F536,Kostentypen!$A$3:$E$20,3,0))),"")</f>
        <v/>
      </c>
      <c r="O536" s="320" t="str" cm="1">
        <f t="array" ref="O536">_xlfn.IFNA(IF(INDEX(Tb_KostenOptiesDB[],MATCH($F536,Tb_KostenOptiesDB[KostenOptie],0),IFERROR(MATCH(Methode_Keuze,Tb_KostenOptiesDB[#Headers],0),2))=1,_xlfn.SWITCH($N536,"Uurtarief",IF(OR(AND(RIGHT($F536,3)="IKS",VLOOKUP($M536,DB_Loonkosten,2,0)="Ja"),AND(RIGHT($F536,3)&lt;&gt;"IKS",VLOOKUP($M536,DB_Loonkosten,2,0)="Nee")),IFERROR(VLOOKUP($M536,DB_Loonkosten,24,0),""),0),"Vast tarief",IF(LEFT(F536,8)="Bijdrage",VLOOKUP($F536,Tb_KostenTypen[],MATCH(Lijsten!$P$1,Tb_KostenTypen[#Headers],0),0),VLOOKUP($G536,Lijsten!L:P,MATCH(Lijsten!$P$1,Kop_Tarief_Vast,0),0))),""),"")</f>
        <v/>
      </c>
      <c r="P536" s="320" t="str" cm="1">
        <f t="array" ref="P536">_xlfn.IFNA(IF(INDEX(Tb_KostenOptiesDB[],MATCH($F536,Tb_KostenOptiesDB[KostenOptie],0),IFERROR(MATCH(Methode_Keuze,Tb_KostenOptiesDB[#Headers],0),2))=1,_xlfn.SWITCH($N536,"Uurtarief",IF(OR(AND(RIGHT($F536,3)="IKS",VLOOKUP($M536,DB_Loonkosten,2,0)="Ja"),AND(RIGHT($F536,3)&lt;&gt;"IKS",VLOOKUP($M536,DB_Loonkosten,2,0)="Nee")),IFERROR(VLOOKUP($M536,DB_Loonkosten,25,0),""),0),"Vast tarief",IF(LEFT(F536,8)="Bijdrage",VLOOKUP($F536,Tb_KostenTypen[],MATCH(Lijsten!$P$1,Tb_KostenTypen[#Headers],0),0),VLOOKUP($G536,Lijsten!L:P,MATCH(Lijsten!$P$1,Kop_Tarief_Vast,0),0))),""),"")</f>
        <v/>
      </c>
      <c r="Q536" s="359"/>
      <c r="R536" s="359"/>
      <c r="S536" s="321"/>
      <c r="T536" s="321"/>
      <c r="U536" s="373" t="str">
        <f t="shared" si="32"/>
        <v/>
      </c>
      <c r="V536" s="314" t="str">
        <f t="shared" si="33"/>
        <v/>
      </c>
      <c r="W536" s="314" t="str" cm="1">
        <f t="array" aca="1" ref="W536" ca="1">IFERROR(IF(AE536&lt;&gt;"ja",_xlfn.IFNA(_xlfn.IFS(AND(O536&lt;&gt;"",F536&lt;&gt;"",RIGHT($N536,6)="tarief",F536="Vergoeding"),SUM(O536)*FLOOR(SUM(Q536),0.0001),AND(O536&lt;&gt;"",F536&lt;&gt;"",RIGHT($N536,6)="tarief"),SUM(O536)*FLOOR(SUM(Q536),0.01),S536&gt;0,IF(F536&lt;&gt;"",FLOOR(SUM(S536),0.01),"")),""),""),"")</f>
        <v/>
      </c>
      <c r="X536" s="314" t="str" cm="1">
        <f t="array" aca="1" ref="X536" ca="1">IFERROR(IF(AE536&lt;&gt;"ja",_xlfn.IFNA(_xlfn.IFS(AND(P536&lt;&gt;"",R536&lt;&gt;"",RIGHT($N536,6)="tarief",F536="Vergoeding"),SUM(P536)*FLOOR(SUM(R536),0.0001),AND(P536&lt;&gt;"",R536&lt;&gt;"",RIGHT($N536,6)="tarief"),P536*FLOOR(R536,0.01),T536&gt;0,FLOOR(SUM(T536),0.01)),""),""),"")</f>
        <v/>
      </c>
      <c r="Y536" s="314" t="str">
        <f t="shared" ca="1" si="34"/>
        <v/>
      </c>
      <c r="Z536" s="314" t="str" cm="1">
        <f t="array" aca="1" ref="Z536" ca="1">IFERROR(_xlfn.IFS(OR(F536="",LEFT(Methode_Keuze,4)="Geen",Methode_Keuze=""),"",AND(W536&lt;&gt;"",F536&lt;&gt;"Arbeidskosten"),W536*VLOOKUP(F536,Tb_ProjectKosten[],MATCH(Tb_ProjectKosten[[#Headers],[Forfait_Percentage]],Tb_ProjectKosten[#Headers],0),0),AND(F536="Arbeidskosten",G536&lt;&gt;""),IFERROR(W536*VLOOKUP(G536,Tb_KostenTypen[],3,0)*VLOOKUP(F536,Tb_ProjectKosten[],MATCH(Tb_ProjectKosten[[#Headers],[Forfait_Percentage]],Tb_ProjectKosten[#Headers],0),0),""),W536 &lt;=0,0),"")</f>
        <v/>
      </c>
      <c r="AA536" s="314" t="str" cm="1">
        <f t="array" aca="1" ref="AA536" ca="1">IFERROR(_xlfn.IFS(OR(F536="",LEFT(Methode_Keuze,4)="Geen",Methode_Keuze=""),"",AND(X536&lt;&gt;"",F536&lt;&gt;"Arbeidskosten"),X536*VLOOKUP(F536,Tb_ProjectKosten[],MATCH(Tb_ProjectKosten[[#Headers],[Forfait_Percentage]],Tb_ProjectKosten[#Headers],0),0),AND(F536="Arbeidskosten",G536&lt;&gt;""),IFERROR(X536*VLOOKUP(G536,Tb_KostenTypen[],3,0)*VLOOKUP(F536,Tb_ProjectKosten[],MATCH(Tb_ProjectKosten[[#Headers],[Forfait_Percentage]],Tb_ProjectKosten[#Headers],0),0),""),X536 &lt;=0,0),"")</f>
        <v/>
      </c>
      <c r="AB536" s="314" t="str">
        <f t="shared" ca="1" si="35"/>
        <v/>
      </c>
      <c r="AC536" s="322"/>
      <c r="AD536" s="315"/>
      <c r="AE536" s="32" t="str" cm="1">
        <f t="array" ref="AE536">IFERROR(IF(INDEX(SubsidieTabel!$AD$1:$AG$12,MATCH($F536,SubsidieTabel!$AD$1:$AD$12,0),IFERROR(MATCH(Methode_Keuze,SubsidieTabel!$AD$1:$AG$1,0),2))&lt;&gt;1=TRUE,"ja",""),"")</f>
        <v/>
      </c>
    </row>
    <row r="537" spans="1:31" x14ac:dyDescent="0.25">
      <c r="A537" s="316"/>
      <c r="B537" s="317" t="str">
        <f>IF(A537&lt;&gt;"",_xlfn.MAXIFS($B$1:B536,$A$1:A536,A537)+1,"")</f>
        <v/>
      </c>
      <c r="C537" s="296"/>
      <c r="D537" s="296"/>
      <c r="E537" s="296"/>
      <c r="F537" s="296"/>
      <c r="G537" s="326"/>
      <c r="H537" s="324"/>
      <c r="I537" s="325"/>
      <c r="J537" s="325"/>
      <c r="K537" s="318"/>
      <c r="L537" s="318"/>
      <c r="M537" s="319" t="str">
        <f>IFERROR(VLOOKUP(H537,Lijsten!$H$1:$I$100,2,0),"")</f>
        <v/>
      </c>
      <c r="N537" s="319" t="str">
        <f ca="1">IFERROR(IF(VLOOKUP(F537,Kostentypen!$A$3:$E$21,3,0)=0,"",IF(OR(F537="Arbeidskosten",F537="Vergoeding"),VLOOKUP(G537,Tb_KostenTypen[],2,0),VLOOKUP(F537,Kostentypen!$A$3:$E$20,3,0))),"")</f>
        <v/>
      </c>
      <c r="O537" s="320" t="str" cm="1">
        <f t="array" ref="O537">_xlfn.IFNA(IF(INDEX(Tb_KostenOptiesDB[],MATCH($F537,Tb_KostenOptiesDB[KostenOptie],0),IFERROR(MATCH(Methode_Keuze,Tb_KostenOptiesDB[#Headers],0),2))=1,_xlfn.SWITCH($N537,"Uurtarief",IF(OR(AND(RIGHT($F537,3)="IKS",VLOOKUP($M537,DB_Loonkosten,2,0)="Ja"),AND(RIGHT($F537,3)&lt;&gt;"IKS",VLOOKUP($M537,DB_Loonkosten,2,0)="Nee")),IFERROR(VLOOKUP($M537,DB_Loonkosten,24,0),""),0),"Vast tarief",IF(LEFT(F537,8)="Bijdrage",VLOOKUP($F537,Tb_KostenTypen[],MATCH(Lijsten!$P$1,Tb_KostenTypen[#Headers],0),0),VLOOKUP($G537,Lijsten!L:P,MATCH(Lijsten!$P$1,Kop_Tarief_Vast,0),0))),""),"")</f>
        <v/>
      </c>
      <c r="P537" s="320" t="str" cm="1">
        <f t="array" ref="P537">_xlfn.IFNA(IF(INDEX(Tb_KostenOptiesDB[],MATCH($F537,Tb_KostenOptiesDB[KostenOptie],0),IFERROR(MATCH(Methode_Keuze,Tb_KostenOptiesDB[#Headers],0),2))=1,_xlfn.SWITCH($N537,"Uurtarief",IF(OR(AND(RIGHT($F537,3)="IKS",VLOOKUP($M537,DB_Loonkosten,2,0)="Ja"),AND(RIGHT($F537,3)&lt;&gt;"IKS",VLOOKUP($M537,DB_Loonkosten,2,0)="Nee")),IFERROR(VLOOKUP($M537,DB_Loonkosten,25,0),""),0),"Vast tarief",IF(LEFT(F537,8)="Bijdrage",VLOOKUP($F537,Tb_KostenTypen[],MATCH(Lijsten!$P$1,Tb_KostenTypen[#Headers],0),0),VLOOKUP($G537,Lijsten!L:P,MATCH(Lijsten!$P$1,Kop_Tarief_Vast,0),0))),""),"")</f>
        <v/>
      </c>
      <c r="Q537" s="359"/>
      <c r="R537" s="359"/>
      <c r="S537" s="321"/>
      <c r="T537" s="321"/>
      <c r="U537" s="373" t="str">
        <f t="shared" si="32"/>
        <v/>
      </c>
      <c r="V537" s="314" t="str">
        <f t="shared" si="33"/>
        <v/>
      </c>
      <c r="W537" s="314" t="str" cm="1">
        <f t="array" aca="1" ref="W537" ca="1">IFERROR(IF(AE537&lt;&gt;"ja",_xlfn.IFNA(_xlfn.IFS(AND(O537&lt;&gt;"",F537&lt;&gt;"",RIGHT($N537,6)="tarief",F537="Vergoeding"),SUM(O537)*FLOOR(SUM(Q537),0.0001),AND(O537&lt;&gt;"",F537&lt;&gt;"",RIGHT($N537,6)="tarief"),SUM(O537)*FLOOR(SUM(Q537),0.01),S537&gt;0,IF(F537&lt;&gt;"",FLOOR(SUM(S537),0.01),"")),""),""),"")</f>
        <v/>
      </c>
      <c r="X537" s="314" t="str" cm="1">
        <f t="array" aca="1" ref="X537" ca="1">IFERROR(IF(AE537&lt;&gt;"ja",_xlfn.IFNA(_xlfn.IFS(AND(P537&lt;&gt;"",R537&lt;&gt;"",RIGHT($N537,6)="tarief",F537="Vergoeding"),SUM(P537)*FLOOR(SUM(R537),0.0001),AND(P537&lt;&gt;"",R537&lt;&gt;"",RIGHT($N537,6)="tarief"),P537*FLOOR(R537,0.01),T537&gt;0,FLOOR(SUM(T537),0.01)),""),""),"")</f>
        <v/>
      </c>
      <c r="Y537" s="314" t="str">
        <f t="shared" ca="1" si="34"/>
        <v/>
      </c>
      <c r="Z537" s="314" t="str" cm="1">
        <f t="array" aca="1" ref="Z537" ca="1">IFERROR(_xlfn.IFS(OR(F537="",LEFT(Methode_Keuze,4)="Geen",Methode_Keuze=""),"",AND(W537&lt;&gt;"",F537&lt;&gt;"Arbeidskosten"),W537*VLOOKUP(F537,Tb_ProjectKosten[],MATCH(Tb_ProjectKosten[[#Headers],[Forfait_Percentage]],Tb_ProjectKosten[#Headers],0),0),AND(F537="Arbeidskosten",G537&lt;&gt;""),IFERROR(W537*VLOOKUP(G537,Tb_KostenTypen[],3,0)*VLOOKUP(F537,Tb_ProjectKosten[],MATCH(Tb_ProjectKosten[[#Headers],[Forfait_Percentage]],Tb_ProjectKosten[#Headers],0),0),""),W537 &lt;=0,0),"")</f>
        <v/>
      </c>
      <c r="AA537" s="314" t="str" cm="1">
        <f t="array" aca="1" ref="AA537" ca="1">IFERROR(_xlfn.IFS(OR(F537="",LEFT(Methode_Keuze,4)="Geen",Methode_Keuze=""),"",AND(X537&lt;&gt;"",F537&lt;&gt;"Arbeidskosten"),X537*VLOOKUP(F537,Tb_ProjectKosten[],MATCH(Tb_ProjectKosten[[#Headers],[Forfait_Percentage]],Tb_ProjectKosten[#Headers],0),0),AND(F537="Arbeidskosten",G537&lt;&gt;""),IFERROR(X537*VLOOKUP(G537,Tb_KostenTypen[],3,0)*VLOOKUP(F537,Tb_ProjectKosten[],MATCH(Tb_ProjectKosten[[#Headers],[Forfait_Percentage]],Tb_ProjectKosten[#Headers],0),0),""),X537 &lt;=0,0),"")</f>
        <v/>
      </c>
      <c r="AB537" s="314" t="str">
        <f t="shared" ca="1" si="35"/>
        <v/>
      </c>
      <c r="AC537" s="322"/>
      <c r="AD537" s="315"/>
      <c r="AE537" s="32" t="str" cm="1">
        <f t="array" ref="AE537">IFERROR(IF(INDEX(SubsidieTabel!$AD$1:$AG$12,MATCH($F537,SubsidieTabel!$AD$1:$AD$12,0),IFERROR(MATCH(Methode_Keuze,SubsidieTabel!$AD$1:$AG$1,0),2))&lt;&gt;1=TRUE,"ja",""),"")</f>
        <v/>
      </c>
    </row>
    <row r="538" spans="1:31" x14ac:dyDescent="0.25">
      <c r="A538" s="316"/>
      <c r="B538" s="317" t="str">
        <f>IF(A538&lt;&gt;"",_xlfn.MAXIFS($B$1:B537,$A$1:A537,A538)+1,"")</f>
        <v/>
      </c>
      <c r="C538" s="296"/>
      <c r="D538" s="296"/>
      <c r="E538" s="296"/>
      <c r="F538" s="296"/>
      <c r="G538" s="326"/>
      <c r="H538" s="324"/>
      <c r="I538" s="325"/>
      <c r="J538" s="325"/>
      <c r="K538" s="318"/>
      <c r="L538" s="318"/>
      <c r="M538" s="319" t="str">
        <f>IFERROR(VLOOKUP(H538,Lijsten!$H$1:$I$100,2,0),"")</f>
        <v/>
      </c>
      <c r="N538" s="319" t="str">
        <f ca="1">IFERROR(IF(VLOOKUP(F538,Kostentypen!$A$3:$E$21,3,0)=0,"",IF(OR(F538="Arbeidskosten",F538="Vergoeding"),VLOOKUP(G538,Tb_KostenTypen[],2,0),VLOOKUP(F538,Kostentypen!$A$3:$E$20,3,0))),"")</f>
        <v/>
      </c>
      <c r="O538" s="320" t="str" cm="1">
        <f t="array" ref="O538">_xlfn.IFNA(IF(INDEX(Tb_KostenOptiesDB[],MATCH($F538,Tb_KostenOptiesDB[KostenOptie],0),IFERROR(MATCH(Methode_Keuze,Tb_KostenOptiesDB[#Headers],0),2))=1,_xlfn.SWITCH($N538,"Uurtarief",IF(OR(AND(RIGHT($F538,3)="IKS",VLOOKUP($M538,DB_Loonkosten,2,0)="Ja"),AND(RIGHT($F538,3)&lt;&gt;"IKS",VLOOKUP($M538,DB_Loonkosten,2,0)="Nee")),IFERROR(VLOOKUP($M538,DB_Loonkosten,24,0),""),0),"Vast tarief",IF(LEFT(F538,8)="Bijdrage",VLOOKUP($F538,Tb_KostenTypen[],MATCH(Lijsten!$P$1,Tb_KostenTypen[#Headers],0),0),VLOOKUP($G538,Lijsten!L:P,MATCH(Lijsten!$P$1,Kop_Tarief_Vast,0),0))),""),"")</f>
        <v/>
      </c>
      <c r="P538" s="320" t="str" cm="1">
        <f t="array" ref="P538">_xlfn.IFNA(IF(INDEX(Tb_KostenOptiesDB[],MATCH($F538,Tb_KostenOptiesDB[KostenOptie],0),IFERROR(MATCH(Methode_Keuze,Tb_KostenOptiesDB[#Headers],0),2))=1,_xlfn.SWITCH($N538,"Uurtarief",IF(OR(AND(RIGHT($F538,3)="IKS",VLOOKUP($M538,DB_Loonkosten,2,0)="Ja"),AND(RIGHT($F538,3)&lt;&gt;"IKS",VLOOKUP($M538,DB_Loonkosten,2,0)="Nee")),IFERROR(VLOOKUP($M538,DB_Loonkosten,25,0),""),0),"Vast tarief",IF(LEFT(F538,8)="Bijdrage",VLOOKUP($F538,Tb_KostenTypen[],MATCH(Lijsten!$P$1,Tb_KostenTypen[#Headers],0),0),VLOOKUP($G538,Lijsten!L:P,MATCH(Lijsten!$P$1,Kop_Tarief_Vast,0),0))),""),"")</f>
        <v/>
      </c>
      <c r="Q538" s="359"/>
      <c r="R538" s="359"/>
      <c r="S538" s="321"/>
      <c r="T538" s="321"/>
      <c r="U538" s="373" t="str">
        <f t="shared" si="32"/>
        <v/>
      </c>
      <c r="V538" s="314" t="str">
        <f t="shared" si="33"/>
        <v/>
      </c>
      <c r="W538" s="314" t="str" cm="1">
        <f t="array" aca="1" ref="W538" ca="1">IFERROR(IF(AE538&lt;&gt;"ja",_xlfn.IFNA(_xlfn.IFS(AND(O538&lt;&gt;"",F538&lt;&gt;"",RIGHT($N538,6)="tarief",F538="Vergoeding"),SUM(O538)*FLOOR(SUM(Q538),0.0001),AND(O538&lt;&gt;"",F538&lt;&gt;"",RIGHT($N538,6)="tarief"),SUM(O538)*FLOOR(SUM(Q538),0.01),S538&gt;0,IF(F538&lt;&gt;"",FLOOR(SUM(S538),0.01),"")),""),""),"")</f>
        <v/>
      </c>
      <c r="X538" s="314" t="str" cm="1">
        <f t="array" aca="1" ref="X538" ca="1">IFERROR(IF(AE538&lt;&gt;"ja",_xlfn.IFNA(_xlfn.IFS(AND(P538&lt;&gt;"",R538&lt;&gt;"",RIGHT($N538,6)="tarief",F538="Vergoeding"),SUM(P538)*FLOOR(SUM(R538),0.0001),AND(P538&lt;&gt;"",R538&lt;&gt;"",RIGHT($N538,6)="tarief"),P538*FLOOR(R538,0.01),T538&gt;0,FLOOR(SUM(T538),0.01)),""),""),"")</f>
        <v/>
      </c>
      <c r="Y538" s="314" t="str">
        <f t="shared" ca="1" si="34"/>
        <v/>
      </c>
      <c r="Z538" s="314" t="str" cm="1">
        <f t="array" aca="1" ref="Z538" ca="1">IFERROR(_xlfn.IFS(OR(F538="",LEFT(Methode_Keuze,4)="Geen",Methode_Keuze=""),"",AND(W538&lt;&gt;"",F538&lt;&gt;"Arbeidskosten"),W538*VLOOKUP(F538,Tb_ProjectKosten[],MATCH(Tb_ProjectKosten[[#Headers],[Forfait_Percentage]],Tb_ProjectKosten[#Headers],0),0),AND(F538="Arbeidskosten",G538&lt;&gt;""),IFERROR(W538*VLOOKUP(G538,Tb_KostenTypen[],3,0)*VLOOKUP(F538,Tb_ProjectKosten[],MATCH(Tb_ProjectKosten[[#Headers],[Forfait_Percentage]],Tb_ProjectKosten[#Headers],0),0),""),W538 &lt;=0,0),"")</f>
        <v/>
      </c>
      <c r="AA538" s="314" t="str" cm="1">
        <f t="array" aca="1" ref="AA538" ca="1">IFERROR(_xlfn.IFS(OR(F538="",LEFT(Methode_Keuze,4)="Geen",Methode_Keuze=""),"",AND(X538&lt;&gt;"",F538&lt;&gt;"Arbeidskosten"),X538*VLOOKUP(F538,Tb_ProjectKosten[],MATCH(Tb_ProjectKosten[[#Headers],[Forfait_Percentage]],Tb_ProjectKosten[#Headers],0),0),AND(F538="Arbeidskosten",G538&lt;&gt;""),IFERROR(X538*VLOOKUP(G538,Tb_KostenTypen[],3,0)*VLOOKUP(F538,Tb_ProjectKosten[],MATCH(Tb_ProjectKosten[[#Headers],[Forfait_Percentage]],Tb_ProjectKosten[#Headers],0),0),""),X538 &lt;=0,0),"")</f>
        <v/>
      </c>
      <c r="AB538" s="314" t="str">
        <f t="shared" ca="1" si="35"/>
        <v/>
      </c>
      <c r="AC538" s="322"/>
      <c r="AD538" s="315"/>
      <c r="AE538" s="32" t="str" cm="1">
        <f t="array" ref="AE538">IFERROR(IF(INDEX(SubsidieTabel!$AD$1:$AG$12,MATCH($F538,SubsidieTabel!$AD$1:$AD$12,0),IFERROR(MATCH(Methode_Keuze,SubsidieTabel!$AD$1:$AG$1,0),2))&lt;&gt;1=TRUE,"ja",""),"")</f>
        <v/>
      </c>
    </row>
    <row r="539" spans="1:31" x14ac:dyDescent="0.25">
      <c r="A539" s="316"/>
      <c r="B539" s="317" t="str">
        <f>IF(A539&lt;&gt;"",_xlfn.MAXIFS($B$1:B538,$A$1:A538,A539)+1,"")</f>
        <v/>
      </c>
      <c r="C539" s="296"/>
      <c r="D539" s="296"/>
      <c r="E539" s="296"/>
      <c r="F539" s="296"/>
      <c r="G539" s="326"/>
      <c r="H539" s="324"/>
      <c r="I539" s="325"/>
      <c r="J539" s="325"/>
      <c r="K539" s="318"/>
      <c r="L539" s="318"/>
      <c r="M539" s="319" t="str">
        <f>IFERROR(VLOOKUP(H539,Lijsten!$H$1:$I$100,2,0),"")</f>
        <v/>
      </c>
      <c r="N539" s="319" t="str">
        <f ca="1">IFERROR(IF(VLOOKUP(F539,Kostentypen!$A$3:$E$21,3,0)=0,"",IF(OR(F539="Arbeidskosten",F539="Vergoeding"),VLOOKUP(G539,Tb_KostenTypen[],2,0),VLOOKUP(F539,Kostentypen!$A$3:$E$20,3,0))),"")</f>
        <v/>
      </c>
      <c r="O539" s="320" t="str" cm="1">
        <f t="array" ref="O539">_xlfn.IFNA(IF(INDEX(Tb_KostenOptiesDB[],MATCH($F539,Tb_KostenOptiesDB[KostenOptie],0),IFERROR(MATCH(Methode_Keuze,Tb_KostenOptiesDB[#Headers],0),2))=1,_xlfn.SWITCH($N539,"Uurtarief",IF(OR(AND(RIGHT($F539,3)="IKS",VLOOKUP($M539,DB_Loonkosten,2,0)="Ja"),AND(RIGHT($F539,3)&lt;&gt;"IKS",VLOOKUP($M539,DB_Loonkosten,2,0)="Nee")),IFERROR(VLOOKUP($M539,DB_Loonkosten,24,0),""),0),"Vast tarief",IF(LEFT(F539,8)="Bijdrage",VLOOKUP($F539,Tb_KostenTypen[],MATCH(Lijsten!$P$1,Tb_KostenTypen[#Headers],0),0),VLOOKUP($G539,Lijsten!L:P,MATCH(Lijsten!$P$1,Kop_Tarief_Vast,0),0))),""),"")</f>
        <v/>
      </c>
      <c r="P539" s="320" t="str" cm="1">
        <f t="array" ref="P539">_xlfn.IFNA(IF(INDEX(Tb_KostenOptiesDB[],MATCH($F539,Tb_KostenOptiesDB[KostenOptie],0),IFERROR(MATCH(Methode_Keuze,Tb_KostenOptiesDB[#Headers],0),2))=1,_xlfn.SWITCH($N539,"Uurtarief",IF(OR(AND(RIGHT($F539,3)="IKS",VLOOKUP($M539,DB_Loonkosten,2,0)="Ja"),AND(RIGHT($F539,3)&lt;&gt;"IKS",VLOOKUP($M539,DB_Loonkosten,2,0)="Nee")),IFERROR(VLOOKUP($M539,DB_Loonkosten,25,0),""),0),"Vast tarief",IF(LEFT(F539,8)="Bijdrage",VLOOKUP($F539,Tb_KostenTypen[],MATCH(Lijsten!$P$1,Tb_KostenTypen[#Headers],0),0),VLOOKUP($G539,Lijsten!L:P,MATCH(Lijsten!$P$1,Kop_Tarief_Vast,0),0))),""),"")</f>
        <v/>
      </c>
      <c r="Q539" s="359"/>
      <c r="R539" s="359"/>
      <c r="S539" s="321"/>
      <c r="T539" s="321"/>
      <c r="U539" s="373" t="str">
        <f t="shared" si="32"/>
        <v/>
      </c>
      <c r="V539" s="314" t="str">
        <f t="shared" si="33"/>
        <v/>
      </c>
      <c r="W539" s="314" t="str" cm="1">
        <f t="array" aca="1" ref="W539" ca="1">IFERROR(IF(AE539&lt;&gt;"ja",_xlfn.IFNA(_xlfn.IFS(AND(O539&lt;&gt;"",F539&lt;&gt;"",RIGHT($N539,6)="tarief",F539="Vergoeding"),SUM(O539)*FLOOR(SUM(Q539),0.0001),AND(O539&lt;&gt;"",F539&lt;&gt;"",RIGHT($N539,6)="tarief"),SUM(O539)*FLOOR(SUM(Q539),0.01),S539&gt;0,IF(F539&lt;&gt;"",FLOOR(SUM(S539),0.01),"")),""),""),"")</f>
        <v/>
      </c>
      <c r="X539" s="314" t="str" cm="1">
        <f t="array" aca="1" ref="X539" ca="1">IFERROR(IF(AE539&lt;&gt;"ja",_xlfn.IFNA(_xlfn.IFS(AND(P539&lt;&gt;"",R539&lt;&gt;"",RIGHT($N539,6)="tarief",F539="Vergoeding"),SUM(P539)*FLOOR(SUM(R539),0.0001),AND(P539&lt;&gt;"",R539&lt;&gt;"",RIGHT($N539,6)="tarief"),P539*FLOOR(R539,0.01),T539&gt;0,FLOOR(SUM(T539),0.01)),""),""),"")</f>
        <v/>
      </c>
      <c r="Y539" s="314" t="str">
        <f t="shared" ca="1" si="34"/>
        <v/>
      </c>
      <c r="Z539" s="314" t="str" cm="1">
        <f t="array" aca="1" ref="Z539" ca="1">IFERROR(_xlfn.IFS(OR(F539="",LEFT(Methode_Keuze,4)="Geen",Methode_Keuze=""),"",AND(W539&lt;&gt;"",F539&lt;&gt;"Arbeidskosten"),W539*VLOOKUP(F539,Tb_ProjectKosten[],MATCH(Tb_ProjectKosten[[#Headers],[Forfait_Percentage]],Tb_ProjectKosten[#Headers],0),0),AND(F539="Arbeidskosten",G539&lt;&gt;""),IFERROR(W539*VLOOKUP(G539,Tb_KostenTypen[],3,0)*VLOOKUP(F539,Tb_ProjectKosten[],MATCH(Tb_ProjectKosten[[#Headers],[Forfait_Percentage]],Tb_ProjectKosten[#Headers],0),0),""),W539 &lt;=0,0),"")</f>
        <v/>
      </c>
      <c r="AA539" s="314" t="str" cm="1">
        <f t="array" aca="1" ref="AA539" ca="1">IFERROR(_xlfn.IFS(OR(F539="",LEFT(Methode_Keuze,4)="Geen",Methode_Keuze=""),"",AND(X539&lt;&gt;"",F539&lt;&gt;"Arbeidskosten"),X539*VLOOKUP(F539,Tb_ProjectKosten[],MATCH(Tb_ProjectKosten[[#Headers],[Forfait_Percentage]],Tb_ProjectKosten[#Headers],0),0),AND(F539="Arbeidskosten",G539&lt;&gt;""),IFERROR(X539*VLOOKUP(G539,Tb_KostenTypen[],3,0)*VLOOKUP(F539,Tb_ProjectKosten[],MATCH(Tb_ProjectKosten[[#Headers],[Forfait_Percentage]],Tb_ProjectKosten[#Headers],0),0),""),X539 &lt;=0,0),"")</f>
        <v/>
      </c>
      <c r="AB539" s="314" t="str">
        <f t="shared" ca="1" si="35"/>
        <v/>
      </c>
      <c r="AC539" s="322"/>
      <c r="AD539" s="315"/>
      <c r="AE539" s="32" t="str" cm="1">
        <f t="array" ref="AE539">IFERROR(IF(INDEX(SubsidieTabel!$AD$1:$AG$12,MATCH($F539,SubsidieTabel!$AD$1:$AD$12,0),IFERROR(MATCH(Methode_Keuze,SubsidieTabel!$AD$1:$AG$1,0),2))&lt;&gt;1=TRUE,"ja",""),"")</f>
        <v/>
      </c>
    </row>
    <row r="540" spans="1:31" x14ac:dyDescent="0.25">
      <c r="A540" s="316"/>
      <c r="B540" s="317" t="str">
        <f>IF(A540&lt;&gt;"",_xlfn.MAXIFS($B$1:B539,$A$1:A539,A540)+1,"")</f>
        <v/>
      </c>
      <c r="C540" s="296"/>
      <c r="D540" s="296"/>
      <c r="E540" s="296"/>
      <c r="F540" s="296"/>
      <c r="G540" s="326"/>
      <c r="H540" s="324"/>
      <c r="I540" s="325"/>
      <c r="J540" s="325"/>
      <c r="K540" s="318"/>
      <c r="L540" s="318"/>
      <c r="M540" s="319" t="str">
        <f>IFERROR(VLOOKUP(H540,Lijsten!$H$1:$I$100,2,0),"")</f>
        <v/>
      </c>
      <c r="N540" s="319" t="str">
        <f ca="1">IFERROR(IF(VLOOKUP(F540,Kostentypen!$A$3:$E$21,3,0)=0,"",IF(OR(F540="Arbeidskosten",F540="Vergoeding"),VLOOKUP(G540,Tb_KostenTypen[],2,0),VLOOKUP(F540,Kostentypen!$A$3:$E$20,3,0))),"")</f>
        <v/>
      </c>
      <c r="O540" s="320" t="str" cm="1">
        <f t="array" ref="O540">_xlfn.IFNA(IF(INDEX(Tb_KostenOptiesDB[],MATCH($F540,Tb_KostenOptiesDB[KostenOptie],0),IFERROR(MATCH(Methode_Keuze,Tb_KostenOptiesDB[#Headers],0),2))=1,_xlfn.SWITCH($N540,"Uurtarief",IF(OR(AND(RIGHT($F540,3)="IKS",VLOOKUP($M540,DB_Loonkosten,2,0)="Ja"),AND(RIGHT($F540,3)&lt;&gt;"IKS",VLOOKUP($M540,DB_Loonkosten,2,0)="Nee")),IFERROR(VLOOKUP($M540,DB_Loonkosten,24,0),""),0),"Vast tarief",IF(LEFT(F540,8)="Bijdrage",VLOOKUP($F540,Tb_KostenTypen[],MATCH(Lijsten!$P$1,Tb_KostenTypen[#Headers],0),0),VLOOKUP($G540,Lijsten!L:P,MATCH(Lijsten!$P$1,Kop_Tarief_Vast,0),0))),""),"")</f>
        <v/>
      </c>
      <c r="P540" s="320" t="str" cm="1">
        <f t="array" ref="P540">_xlfn.IFNA(IF(INDEX(Tb_KostenOptiesDB[],MATCH($F540,Tb_KostenOptiesDB[KostenOptie],0),IFERROR(MATCH(Methode_Keuze,Tb_KostenOptiesDB[#Headers],0),2))=1,_xlfn.SWITCH($N540,"Uurtarief",IF(OR(AND(RIGHT($F540,3)="IKS",VLOOKUP($M540,DB_Loonkosten,2,0)="Ja"),AND(RIGHT($F540,3)&lt;&gt;"IKS",VLOOKUP($M540,DB_Loonkosten,2,0)="Nee")),IFERROR(VLOOKUP($M540,DB_Loonkosten,25,0),""),0),"Vast tarief",IF(LEFT(F540,8)="Bijdrage",VLOOKUP($F540,Tb_KostenTypen[],MATCH(Lijsten!$P$1,Tb_KostenTypen[#Headers],0),0),VLOOKUP($G540,Lijsten!L:P,MATCH(Lijsten!$P$1,Kop_Tarief_Vast,0),0))),""),"")</f>
        <v/>
      </c>
      <c r="Q540" s="359"/>
      <c r="R540" s="359"/>
      <c r="S540" s="321"/>
      <c r="T540" s="321"/>
      <c r="U540" s="373" t="str">
        <f t="shared" si="32"/>
        <v/>
      </c>
      <c r="V540" s="314" t="str">
        <f t="shared" si="33"/>
        <v/>
      </c>
      <c r="W540" s="314" t="str" cm="1">
        <f t="array" aca="1" ref="W540" ca="1">IFERROR(IF(AE540&lt;&gt;"ja",_xlfn.IFNA(_xlfn.IFS(AND(O540&lt;&gt;"",F540&lt;&gt;"",RIGHT($N540,6)="tarief",F540="Vergoeding"),SUM(O540)*FLOOR(SUM(Q540),0.0001),AND(O540&lt;&gt;"",F540&lt;&gt;"",RIGHT($N540,6)="tarief"),SUM(O540)*FLOOR(SUM(Q540),0.01),S540&gt;0,IF(F540&lt;&gt;"",FLOOR(SUM(S540),0.01),"")),""),""),"")</f>
        <v/>
      </c>
      <c r="X540" s="314" t="str" cm="1">
        <f t="array" aca="1" ref="X540" ca="1">IFERROR(IF(AE540&lt;&gt;"ja",_xlfn.IFNA(_xlfn.IFS(AND(P540&lt;&gt;"",R540&lt;&gt;"",RIGHT($N540,6)="tarief",F540="Vergoeding"),SUM(P540)*FLOOR(SUM(R540),0.0001),AND(P540&lt;&gt;"",R540&lt;&gt;"",RIGHT($N540,6)="tarief"),P540*FLOOR(R540,0.01),T540&gt;0,FLOOR(SUM(T540),0.01)),""),""),"")</f>
        <v/>
      </c>
      <c r="Y540" s="314" t="str">
        <f t="shared" ca="1" si="34"/>
        <v/>
      </c>
      <c r="Z540" s="314" t="str" cm="1">
        <f t="array" aca="1" ref="Z540" ca="1">IFERROR(_xlfn.IFS(OR(F540="",LEFT(Methode_Keuze,4)="Geen",Methode_Keuze=""),"",AND(W540&lt;&gt;"",F540&lt;&gt;"Arbeidskosten"),W540*VLOOKUP(F540,Tb_ProjectKosten[],MATCH(Tb_ProjectKosten[[#Headers],[Forfait_Percentage]],Tb_ProjectKosten[#Headers],0),0),AND(F540="Arbeidskosten",G540&lt;&gt;""),IFERROR(W540*VLOOKUP(G540,Tb_KostenTypen[],3,0)*VLOOKUP(F540,Tb_ProjectKosten[],MATCH(Tb_ProjectKosten[[#Headers],[Forfait_Percentage]],Tb_ProjectKosten[#Headers],0),0),""),W540 &lt;=0,0),"")</f>
        <v/>
      </c>
      <c r="AA540" s="314" t="str" cm="1">
        <f t="array" aca="1" ref="AA540" ca="1">IFERROR(_xlfn.IFS(OR(F540="",LEFT(Methode_Keuze,4)="Geen",Methode_Keuze=""),"",AND(X540&lt;&gt;"",F540&lt;&gt;"Arbeidskosten"),X540*VLOOKUP(F540,Tb_ProjectKosten[],MATCH(Tb_ProjectKosten[[#Headers],[Forfait_Percentage]],Tb_ProjectKosten[#Headers],0),0),AND(F540="Arbeidskosten",G540&lt;&gt;""),IFERROR(X540*VLOOKUP(G540,Tb_KostenTypen[],3,0)*VLOOKUP(F540,Tb_ProjectKosten[],MATCH(Tb_ProjectKosten[[#Headers],[Forfait_Percentage]],Tb_ProjectKosten[#Headers],0),0),""),X540 &lt;=0,0),"")</f>
        <v/>
      </c>
      <c r="AB540" s="314" t="str">
        <f t="shared" ca="1" si="35"/>
        <v/>
      </c>
      <c r="AC540" s="322"/>
      <c r="AD540" s="315"/>
      <c r="AE540" s="32" t="str" cm="1">
        <f t="array" ref="AE540">IFERROR(IF(INDEX(SubsidieTabel!$AD$1:$AG$12,MATCH($F540,SubsidieTabel!$AD$1:$AD$12,0),IFERROR(MATCH(Methode_Keuze,SubsidieTabel!$AD$1:$AG$1,0),2))&lt;&gt;1=TRUE,"ja",""),"")</f>
        <v/>
      </c>
    </row>
    <row r="541" spans="1:31" x14ac:dyDescent="0.25">
      <c r="A541" s="316"/>
      <c r="B541" s="317" t="str">
        <f>IF(A541&lt;&gt;"",_xlfn.MAXIFS($B$1:B540,$A$1:A540,A541)+1,"")</f>
        <v/>
      </c>
      <c r="C541" s="296"/>
      <c r="D541" s="296"/>
      <c r="E541" s="296"/>
      <c r="F541" s="296"/>
      <c r="G541" s="326"/>
      <c r="H541" s="324"/>
      <c r="I541" s="325"/>
      <c r="J541" s="325"/>
      <c r="K541" s="318"/>
      <c r="L541" s="318"/>
      <c r="M541" s="319" t="str">
        <f>IFERROR(VLOOKUP(H541,Lijsten!$H$1:$I$100,2,0),"")</f>
        <v/>
      </c>
      <c r="N541" s="319" t="str">
        <f ca="1">IFERROR(IF(VLOOKUP(F541,Kostentypen!$A$3:$E$21,3,0)=0,"",IF(OR(F541="Arbeidskosten",F541="Vergoeding"),VLOOKUP(G541,Tb_KostenTypen[],2,0),VLOOKUP(F541,Kostentypen!$A$3:$E$20,3,0))),"")</f>
        <v/>
      </c>
      <c r="O541" s="320" t="str" cm="1">
        <f t="array" ref="O541">_xlfn.IFNA(IF(INDEX(Tb_KostenOptiesDB[],MATCH($F541,Tb_KostenOptiesDB[KostenOptie],0),IFERROR(MATCH(Methode_Keuze,Tb_KostenOptiesDB[#Headers],0),2))=1,_xlfn.SWITCH($N541,"Uurtarief",IF(OR(AND(RIGHT($F541,3)="IKS",VLOOKUP($M541,DB_Loonkosten,2,0)="Ja"),AND(RIGHT($F541,3)&lt;&gt;"IKS",VLOOKUP($M541,DB_Loonkosten,2,0)="Nee")),IFERROR(VLOOKUP($M541,DB_Loonkosten,24,0),""),0),"Vast tarief",IF(LEFT(F541,8)="Bijdrage",VLOOKUP($F541,Tb_KostenTypen[],MATCH(Lijsten!$P$1,Tb_KostenTypen[#Headers],0),0),VLOOKUP($G541,Lijsten!L:P,MATCH(Lijsten!$P$1,Kop_Tarief_Vast,0),0))),""),"")</f>
        <v/>
      </c>
      <c r="P541" s="320" t="str" cm="1">
        <f t="array" ref="P541">_xlfn.IFNA(IF(INDEX(Tb_KostenOptiesDB[],MATCH($F541,Tb_KostenOptiesDB[KostenOptie],0),IFERROR(MATCH(Methode_Keuze,Tb_KostenOptiesDB[#Headers],0),2))=1,_xlfn.SWITCH($N541,"Uurtarief",IF(OR(AND(RIGHT($F541,3)="IKS",VLOOKUP($M541,DB_Loonkosten,2,0)="Ja"),AND(RIGHT($F541,3)&lt;&gt;"IKS",VLOOKUP($M541,DB_Loonkosten,2,0)="Nee")),IFERROR(VLOOKUP($M541,DB_Loonkosten,25,0),""),0),"Vast tarief",IF(LEFT(F541,8)="Bijdrage",VLOOKUP($F541,Tb_KostenTypen[],MATCH(Lijsten!$P$1,Tb_KostenTypen[#Headers],0),0),VLOOKUP($G541,Lijsten!L:P,MATCH(Lijsten!$P$1,Kop_Tarief_Vast,0),0))),""),"")</f>
        <v/>
      </c>
      <c r="Q541" s="359"/>
      <c r="R541" s="359"/>
      <c r="S541" s="321"/>
      <c r="T541" s="321"/>
      <c r="U541" s="373" t="str">
        <f t="shared" si="32"/>
        <v/>
      </c>
      <c r="V541" s="314" t="str">
        <f t="shared" si="33"/>
        <v/>
      </c>
      <c r="W541" s="314" t="str" cm="1">
        <f t="array" aca="1" ref="W541" ca="1">IFERROR(IF(AE541&lt;&gt;"ja",_xlfn.IFNA(_xlfn.IFS(AND(O541&lt;&gt;"",F541&lt;&gt;"",RIGHT($N541,6)="tarief",F541="Vergoeding"),SUM(O541)*FLOOR(SUM(Q541),0.0001),AND(O541&lt;&gt;"",F541&lt;&gt;"",RIGHT($N541,6)="tarief"),SUM(O541)*FLOOR(SUM(Q541),0.01),S541&gt;0,IF(F541&lt;&gt;"",FLOOR(SUM(S541),0.01),"")),""),""),"")</f>
        <v/>
      </c>
      <c r="X541" s="314" t="str" cm="1">
        <f t="array" aca="1" ref="X541" ca="1">IFERROR(IF(AE541&lt;&gt;"ja",_xlfn.IFNA(_xlfn.IFS(AND(P541&lt;&gt;"",R541&lt;&gt;"",RIGHT($N541,6)="tarief",F541="Vergoeding"),SUM(P541)*FLOOR(SUM(R541),0.0001),AND(P541&lt;&gt;"",R541&lt;&gt;"",RIGHT($N541,6)="tarief"),P541*FLOOR(R541,0.01),T541&gt;0,FLOOR(SUM(T541),0.01)),""),""),"")</f>
        <v/>
      </c>
      <c r="Y541" s="314" t="str">
        <f t="shared" ca="1" si="34"/>
        <v/>
      </c>
      <c r="Z541" s="314" t="str" cm="1">
        <f t="array" aca="1" ref="Z541" ca="1">IFERROR(_xlfn.IFS(OR(F541="",LEFT(Methode_Keuze,4)="Geen",Methode_Keuze=""),"",AND(W541&lt;&gt;"",F541&lt;&gt;"Arbeidskosten"),W541*VLOOKUP(F541,Tb_ProjectKosten[],MATCH(Tb_ProjectKosten[[#Headers],[Forfait_Percentage]],Tb_ProjectKosten[#Headers],0),0),AND(F541="Arbeidskosten",G541&lt;&gt;""),IFERROR(W541*VLOOKUP(G541,Tb_KostenTypen[],3,0)*VLOOKUP(F541,Tb_ProjectKosten[],MATCH(Tb_ProjectKosten[[#Headers],[Forfait_Percentage]],Tb_ProjectKosten[#Headers],0),0),""),W541 &lt;=0,0),"")</f>
        <v/>
      </c>
      <c r="AA541" s="314" t="str" cm="1">
        <f t="array" aca="1" ref="AA541" ca="1">IFERROR(_xlfn.IFS(OR(F541="",LEFT(Methode_Keuze,4)="Geen",Methode_Keuze=""),"",AND(X541&lt;&gt;"",F541&lt;&gt;"Arbeidskosten"),X541*VLOOKUP(F541,Tb_ProjectKosten[],MATCH(Tb_ProjectKosten[[#Headers],[Forfait_Percentage]],Tb_ProjectKosten[#Headers],0),0),AND(F541="Arbeidskosten",G541&lt;&gt;""),IFERROR(X541*VLOOKUP(G541,Tb_KostenTypen[],3,0)*VLOOKUP(F541,Tb_ProjectKosten[],MATCH(Tb_ProjectKosten[[#Headers],[Forfait_Percentage]],Tb_ProjectKosten[#Headers],0),0),""),X541 &lt;=0,0),"")</f>
        <v/>
      </c>
      <c r="AB541" s="314" t="str">
        <f t="shared" ca="1" si="35"/>
        <v/>
      </c>
      <c r="AC541" s="322"/>
      <c r="AD541" s="315"/>
      <c r="AE541" s="32" t="str" cm="1">
        <f t="array" ref="AE541">IFERROR(IF(INDEX(SubsidieTabel!$AD$1:$AG$12,MATCH($F541,SubsidieTabel!$AD$1:$AD$12,0),IFERROR(MATCH(Methode_Keuze,SubsidieTabel!$AD$1:$AG$1,0),2))&lt;&gt;1=TRUE,"ja",""),"")</f>
        <v/>
      </c>
    </row>
    <row r="542" spans="1:31" x14ac:dyDescent="0.25">
      <c r="A542" s="316"/>
      <c r="B542" s="317" t="str">
        <f>IF(A542&lt;&gt;"",_xlfn.MAXIFS($B$1:B541,$A$1:A541,A542)+1,"")</f>
        <v/>
      </c>
      <c r="C542" s="296"/>
      <c r="D542" s="296"/>
      <c r="E542" s="296"/>
      <c r="F542" s="296"/>
      <c r="G542" s="326"/>
      <c r="H542" s="324"/>
      <c r="I542" s="325"/>
      <c r="J542" s="325"/>
      <c r="K542" s="318"/>
      <c r="L542" s="318"/>
      <c r="M542" s="319" t="str">
        <f>IFERROR(VLOOKUP(H542,Lijsten!$H$1:$I$100,2,0),"")</f>
        <v/>
      </c>
      <c r="N542" s="319" t="str">
        <f ca="1">IFERROR(IF(VLOOKUP(F542,Kostentypen!$A$3:$E$21,3,0)=0,"",IF(OR(F542="Arbeidskosten",F542="Vergoeding"),VLOOKUP(G542,Tb_KostenTypen[],2,0),VLOOKUP(F542,Kostentypen!$A$3:$E$20,3,0))),"")</f>
        <v/>
      </c>
      <c r="O542" s="320" t="str" cm="1">
        <f t="array" ref="O542">_xlfn.IFNA(IF(INDEX(Tb_KostenOptiesDB[],MATCH($F542,Tb_KostenOptiesDB[KostenOptie],0),IFERROR(MATCH(Methode_Keuze,Tb_KostenOptiesDB[#Headers],0),2))=1,_xlfn.SWITCH($N542,"Uurtarief",IF(OR(AND(RIGHT($F542,3)="IKS",VLOOKUP($M542,DB_Loonkosten,2,0)="Ja"),AND(RIGHT($F542,3)&lt;&gt;"IKS",VLOOKUP($M542,DB_Loonkosten,2,0)="Nee")),IFERROR(VLOOKUP($M542,DB_Loonkosten,24,0),""),0),"Vast tarief",IF(LEFT(F542,8)="Bijdrage",VLOOKUP($F542,Tb_KostenTypen[],MATCH(Lijsten!$P$1,Tb_KostenTypen[#Headers],0),0),VLOOKUP($G542,Lijsten!L:P,MATCH(Lijsten!$P$1,Kop_Tarief_Vast,0),0))),""),"")</f>
        <v/>
      </c>
      <c r="P542" s="320" t="str" cm="1">
        <f t="array" ref="P542">_xlfn.IFNA(IF(INDEX(Tb_KostenOptiesDB[],MATCH($F542,Tb_KostenOptiesDB[KostenOptie],0),IFERROR(MATCH(Methode_Keuze,Tb_KostenOptiesDB[#Headers],0),2))=1,_xlfn.SWITCH($N542,"Uurtarief",IF(OR(AND(RIGHT($F542,3)="IKS",VLOOKUP($M542,DB_Loonkosten,2,0)="Ja"),AND(RIGHT($F542,3)&lt;&gt;"IKS",VLOOKUP($M542,DB_Loonkosten,2,0)="Nee")),IFERROR(VLOOKUP($M542,DB_Loonkosten,25,0),""),0),"Vast tarief",IF(LEFT(F542,8)="Bijdrage",VLOOKUP($F542,Tb_KostenTypen[],MATCH(Lijsten!$P$1,Tb_KostenTypen[#Headers],0),0),VLOOKUP($G542,Lijsten!L:P,MATCH(Lijsten!$P$1,Kop_Tarief_Vast,0),0))),""),"")</f>
        <v/>
      </c>
      <c r="Q542" s="359"/>
      <c r="R542" s="359"/>
      <c r="S542" s="321"/>
      <c r="T542" s="321"/>
      <c r="U542" s="373" t="str">
        <f t="shared" si="32"/>
        <v/>
      </c>
      <c r="V542" s="314" t="str">
        <f t="shared" si="33"/>
        <v/>
      </c>
      <c r="W542" s="314" t="str" cm="1">
        <f t="array" aca="1" ref="W542" ca="1">IFERROR(IF(AE542&lt;&gt;"ja",_xlfn.IFNA(_xlfn.IFS(AND(O542&lt;&gt;"",F542&lt;&gt;"",RIGHT($N542,6)="tarief",F542="Vergoeding"),SUM(O542)*FLOOR(SUM(Q542),0.0001),AND(O542&lt;&gt;"",F542&lt;&gt;"",RIGHT($N542,6)="tarief"),SUM(O542)*FLOOR(SUM(Q542),0.01),S542&gt;0,IF(F542&lt;&gt;"",FLOOR(SUM(S542),0.01),"")),""),""),"")</f>
        <v/>
      </c>
      <c r="X542" s="314" t="str" cm="1">
        <f t="array" aca="1" ref="X542" ca="1">IFERROR(IF(AE542&lt;&gt;"ja",_xlfn.IFNA(_xlfn.IFS(AND(P542&lt;&gt;"",R542&lt;&gt;"",RIGHT($N542,6)="tarief",F542="Vergoeding"),SUM(P542)*FLOOR(SUM(R542),0.0001),AND(P542&lt;&gt;"",R542&lt;&gt;"",RIGHT($N542,6)="tarief"),P542*FLOOR(R542,0.01),T542&gt;0,FLOOR(SUM(T542),0.01)),""),""),"")</f>
        <v/>
      </c>
      <c r="Y542" s="314" t="str">
        <f t="shared" ca="1" si="34"/>
        <v/>
      </c>
      <c r="Z542" s="314" t="str" cm="1">
        <f t="array" aca="1" ref="Z542" ca="1">IFERROR(_xlfn.IFS(OR(F542="",LEFT(Methode_Keuze,4)="Geen",Methode_Keuze=""),"",AND(W542&lt;&gt;"",F542&lt;&gt;"Arbeidskosten"),W542*VLOOKUP(F542,Tb_ProjectKosten[],MATCH(Tb_ProjectKosten[[#Headers],[Forfait_Percentage]],Tb_ProjectKosten[#Headers],0),0),AND(F542="Arbeidskosten",G542&lt;&gt;""),IFERROR(W542*VLOOKUP(G542,Tb_KostenTypen[],3,0)*VLOOKUP(F542,Tb_ProjectKosten[],MATCH(Tb_ProjectKosten[[#Headers],[Forfait_Percentage]],Tb_ProjectKosten[#Headers],0),0),""),W542 &lt;=0,0),"")</f>
        <v/>
      </c>
      <c r="AA542" s="314" t="str" cm="1">
        <f t="array" aca="1" ref="AA542" ca="1">IFERROR(_xlfn.IFS(OR(F542="",LEFT(Methode_Keuze,4)="Geen",Methode_Keuze=""),"",AND(X542&lt;&gt;"",F542&lt;&gt;"Arbeidskosten"),X542*VLOOKUP(F542,Tb_ProjectKosten[],MATCH(Tb_ProjectKosten[[#Headers],[Forfait_Percentage]],Tb_ProjectKosten[#Headers],0),0),AND(F542="Arbeidskosten",G542&lt;&gt;""),IFERROR(X542*VLOOKUP(G542,Tb_KostenTypen[],3,0)*VLOOKUP(F542,Tb_ProjectKosten[],MATCH(Tb_ProjectKosten[[#Headers],[Forfait_Percentage]],Tb_ProjectKosten[#Headers],0),0),""),X542 &lt;=0,0),"")</f>
        <v/>
      </c>
      <c r="AB542" s="314" t="str">
        <f t="shared" ca="1" si="35"/>
        <v/>
      </c>
      <c r="AC542" s="322"/>
      <c r="AD542" s="315"/>
      <c r="AE542" s="32" t="str" cm="1">
        <f t="array" ref="AE542">IFERROR(IF(INDEX(SubsidieTabel!$AD$1:$AG$12,MATCH($F542,SubsidieTabel!$AD$1:$AD$12,0),IFERROR(MATCH(Methode_Keuze,SubsidieTabel!$AD$1:$AG$1,0),2))&lt;&gt;1=TRUE,"ja",""),"")</f>
        <v/>
      </c>
    </row>
    <row r="543" spans="1:31" x14ac:dyDescent="0.25">
      <c r="A543" s="316"/>
      <c r="B543" s="317" t="str">
        <f>IF(A543&lt;&gt;"",_xlfn.MAXIFS($B$1:B542,$A$1:A542,A543)+1,"")</f>
        <v/>
      </c>
      <c r="C543" s="296"/>
      <c r="D543" s="296"/>
      <c r="E543" s="296"/>
      <c r="F543" s="296"/>
      <c r="G543" s="326"/>
      <c r="H543" s="324"/>
      <c r="I543" s="325"/>
      <c r="J543" s="325"/>
      <c r="K543" s="318"/>
      <c r="L543" s="318"/>
      <c r="M543" s="319" t="str">
        <f>IFERROR(VLOOKUP(H543,Lijsten!$H$1:$I$100,2,0),"")</f>
        <v/>
      </c>
      <c r="N543" s="319" t="str">
        <f ca="1">IFERROR(IF(VLOOKUP(F543,Kostentypen!$A$3:$E$21,3,0)=0,"",IF(OR(F543="Arbeidskosten",F543="Vergoeding"),VLOOKUP(G543,Tb_KostenTypen[],2,0),VLOOKUP(F543,Kostentypen!$A$3:$E$20,3,0))),"")</f>
        <v/>
      </c>
      <c r="O543" s="320" t="str" cm="1">
        <f t="array" ref="O543">_xlfn.IFNA(IF(INDEX(Tb_KostenOptiesDB[],MATCH($F543,Tb_KostenOptiesDB[KostenOptie],0),IFERROR(MATCH(Methode_Keuze,Tb_KostenOptiesDB[#Headers],0),2))=1,_xlfn.SWITCH($N543,"Uurtarief",IF(OR(AND(RIGHT($F543,3)="IKS",VLOOKUP($M543,DB_Loonkosten,2,0)="Ja"),AND(RIGHT($F543,3)&lt;&gt;"IKS",VLOOKUP($M543,DB_Loonkosten,2,0)="Nee")),IFERROR(VLOOKUP($M543,DB_Loonkosten,24,0),""),0),"Vast tarief",IF(LEFT(F543,8)="Bijdrage",VLOOKUP($F543,Tb_KostenTypen[],MATCH(Lijsten!$P$1,Tb_KostenTypen[#Headers],0),0),VLOOKUP($G543,Lijsten!L:P,MATCH(Lijsten!$P$1,Kop_Tarief_Vast,0),0))),""),"")</f>
        <v/>
      </c>
      <c r="P543" s="320" t="str" cm="1">
        <f t="array" ref="P543">_xlfn.IFNA(IF(INDEX(Tb_KostenOptiesDB[],MATCH($F543,Tb_KostenOptiesDB[KostenOptie],0),IFERROR(MATCH(Methode_Keuze,Tb_KostenOptiesDB[#Headers],0),2))=1,_xlfn.SWITCH($N543,"Uurtarief",IF(OR(AND(RIGHT($F543,3)="IKS",VLOOKUP($M543,DB_Loonkosten,2,0)="Ja"),AND(RIGHT($F543,3)&lt;&gt;"IKS",VLOOKUP($M543,DB_Loonkosten,2,0)="Nee")),IFERROR(VLOOKUP($M543,DB_Loonkosten,25,0),""),0),"Vast tarief",IF(LEFT(F543,8)="Bijdrage",VLOOKUP($F543,Tb_KostenTypen[],MATCH(Lijsten!$P$1,Tb_KostenTypen[#Headers],0),0),VLOOKUP($G543,Lijsten!L:P,MATCH(Lijsten!$P$1,Kop_Tarief_Vast,0),0))),""),"")</f>
        <v/>
      </c>
      <c r="Q543" s="359"/>
      <c r="R543" s="359"/>
      <c r="S543" s="321"/>
      <c r="T543" s="321"/>
      <c r="U543" s="373" t="str">
        <f t="shared" si="32"/>
        <v/>
      </c>
      <c r="V543" s="314" t="str">
        <f t="shared" si="33"/>
        <v/>
      </c>
      <c r="W543" s="314" t="str" cm="1">
        <f t="array" aca="1" ref="W543" ca="1">IFERROR(IF(AE543&lt;&gt;"ja",_xlfn.IFNA(_xlfn.IFS(AND(O543&lt;&gt;"",F543&lt;&gt;"",RIGHT($N543,6)="tarief",F543="Vergoeding"),SUM(O543)*FLOOR(SUM(Q543),0.0001),AND(O543&lt;&gt;"",F543&lt;&gt;"",RIGHT($N543,6)="tarief"),SUM(O543)*FLOOR(SUM(Q543),0.01),S543&gt;0,IF(F543&lt;&gt;"",FLOOR(SUM(S543),0.01),"")),""),""),"")</f>
        <v/>
      </c>
      <c r="X543" s="314" t="str" cm="1">
        <f t="array" aca="1" ref="X543" ca="1">IFERROR(IF(AE543&lt;&gt;"ja",_xlfn.IFNA(_xlfn.IFS(AND(P543&lt;&gt;"",R543&lt;&gt;"",RIGHT($N543,6)="tarief",F543="Vergoeding"),SUM(P543)*FLOOR(SUM(R543),0.0001),AND(P543&lt;&gt;"",R543&lt;&gt;"",RIGHT($N543,6)="tarief"),P543*FLOOR(R543,0.01),T543&gt;0,FLOOR(SUM(T543),0.01)),""),""),"")</f>
        <v/>
      </c>
      <c r="Y543" s="314" t="str">
        <f t="shared" ca="1" si="34"/>
        <v/>
      </c>
      <c r="Z543" s="314" t="str" cm="1">
        <f t="array" aca="1" ref="Z543" ca="1">IFERROR(_xlfn.IFS(OR(F543="",LEFT(Methode_Keuze,4)="Geen",Methode_Keuze=""),"",AND(W543&lt;&gt;"",F543&lt;&gt;"Arbeidskosten"),W543*VLOOKUP(F543,Tb_ProjectKosten[],MATCH(Tb_ProjectKosten[[#Headers],[Forfait_Percentage]],Tb_ProjectKosten[#Headers],0),0),AND(F543="Arbeidskosten",G543&lt;&gt;""),IFERROR(W543*VLOOKUP(G543,Tb_KostenTypen[],3,0)*VLOOKUP(F543,Tb_ProjectKosten[],MATCH(Tb_ProjectKosten[[#Headers],[Forfait_Percentage]],Tb_ProjectKosten[#Headers],0),0),""),W543 &lt;=0,0),"")</f>
        <v/>
      </c>
      <c r="AA543" s="314" t="str" cm="1">
        <f t="array" aca="1" ref="AA543" ca="1">IFERROR(_xlfn.IFS(OR(F543="",LEFT(Methode_Keuze,4)="Geen",Methode_Keuze=""),"",AND(X543&lt;&gt;"",F543&lt;&gt;"Arbeidskosten"),X543*VLOOKUP(F543,Tb_ProjectKosten[],MATCH(Tb_ProjectKosten[[#Headers],[Forfait_Percentage]],Tb_ProjectKosten[#Headers],0),0),AND(F543="Arbeidskosten",G543&lt;&gt;""),IFERROR(X543*VLOOKUP(G543,Tb_KostenTypen[],3,0)*VLOOKUP(F543,Tb_ProjectKosten[],MATCH(Tb_ProjectKosten[[#Headers],[Forfait_Percentage]],Tb_ProjectKosten[#Headers],0),0),""),X543 &lt;=0,0),"")</f>
        <v/>
      </c>
      <c r="AB543" s="314" t="str">
        <f t="shared" ca="1" si="35"/>
        <v/>
      </c>
      <c r="AC543" s="322"/>
      <c r="AD543" s="315"/>
      <c r="AE543" s="32" t="str" cm="1">
        <f t="array" ref="AE543">IFERROR(IF(INDEX(SubsidieTabel!$AD$1:$AG$12,MATCH($F543,SubsidieTabel!$AD$1:$AD$12,0),IFERROR(MATCH(Methode_Keuze,SubsidieTabel!$AD$1:$AG$1,0),2))&lt;&gt;1=TRUE,"ja",""),"")</f>
        <v/>
      </c>
    </row>
    <row r="544" spans="1:31" x14ac:dyDescent="0.25">
      <c r="A544" s="316"/>
      <c r="B544" s="317" t="str">
        <f>IF(A544&lt;&gt;"",_xlfn.MAXIFS($B$1:B543,$A$1:A543,A544)+1,"")</f>
        <v/>
      </c>
      <c r="C544" s="296"/>
      <c r="D544" s="296"/>
      <c r="E544" s="296"/>
      <c r="F544" s="296"/>
      <c r="G544" s="326"/>
      <c r="H544" s="324"/>
      <c r="I544" s="325"/>
      <c r="J544" s="325"/>
      <c r="K544" s="318"/>
      <c r="L544" s="318"/>
      <c r="M544" s="319" t="str">
        <f>IFERROR(VLOOKUP(H544,Lijsten!$H$1:$I$100,2,0),"")</f>
        <v/>
      </c>
      <c r="N544" s="319" t="str">
        <f ca="1">IFERROR(IF(VLOOKUP(F544,Kostentypen!$A$3:$E$21,3,0)=0,"",IF(OR(F544="Arbeidskosten",F544="Vergoeding"),VLOOKUP(G544,Tb_KostenTypen[],2,0),VLOOKUP(F544,Kostentypen!$A$3:$E$20,3,0))),"")</f>
        <v/>
      </c>
      <c r="O544" s="320" t="str" cm="1">
        <f t="array" ref="O544">_xlfn.IFNA(IF(INDEX(Tb_KostenOptiesDB[],MATCH($F544,Tb_KostenOptiesDB[KostenOptie],0),IFERROR(MATCH(Methode_Keuze,Tb_KostenOptiesDB[#Headers],0),2))=1,_xlfn.SWITCH($N544,"Uurtarief",IF(OR(AND(RIGHT($F544,3)="IKS",VLOOKUP($M544,DB_Loonkosten,2,0)="Ja"),AND(RIGHT($F544,3)&lt;&gt;"IKS",VLOOKUP($M544,DB_Loonkosten,2,0)="Nee")),IFERROR(VLOOKUP($M544,DB_Loonkosten,24,0),""),0),"Vast tarief",IF(LEFT(F544,8)="Bijdrage",VLOOKUP($F544,Tb_KostenTypen[],MATCH(Lijsten!$P$1,Tb_KostenTypen[#Headers],0),0),VLOOKUP($G544,Lijsten!L:P,MATCH(Lijsten!$P$1,Kop_Tarief_Vast,0),0))),""),"")</f>
        <v/>
      </c>
      <c r="P544" s="320" t="str" cm="1">
        <f t="array" ref="P544">_xlfn.IFNA(IF(INDEX(Tb_KostenOptiesDB[],MATCH($F544,Tb_KostenOptiesDB[KostenOptie],0),IFERROR(MATCH(Methode_Keuze,Tb_KostenOptiesDB[#Headers],0),2))=1,_xlfn.SWITCH($N544,"Uurtarief",IF(OR(AND(RIGHT($F544,3)="IKS",VLOOKUP($M544,DB_Loonkosten,2,0)="Ja"),AND(RIGHT($F544,3)&lt;&gt;"IKS",VLOOKUP($M544,DB_Loonkosten,2,0)="Nee")),IFERROR(VLOOKUP($M544,DB_Loonkosten,25,0),""),0),"Vast tarief",IF(LEFT(F544,8)="Bijdrage",VLOOKUP($F544,Tb_KostenTypen[],MATCH(Lijsten!$P$1,Tb_KostenTypen[#Headers],0),0),VLOOKUP($G544,Lijsten!L:P,MATCH(Lijsten!$P$1,Kop_Tarief_Vast,0),0))),""),"")</f>
        <v/>
      </c>
      <c r="Q544" s="359"/>
      <c r="R544" s="359"/>
      <c r="S544" s="321"/>
      <c r="T544" s="321"/>
      <c r="U544" s="373" t="str">
        <f t="shared" si="32"/>
        <v/>
      </c>
      <c r="V544" s="314" t="str">
        <f t="shared" si="33"/>
        <v/>
      </c>
      <c r="W544" s="314" t="str" cm="1">
        <f t="array" aca="1" ref="W544" ca="1">IFERROR(IF(AE544&lt;&gt;"ja",_xlfn.IFNA(_xlfn.IFS(AND(O544&lt;&gt;"",F544&lt;&gt;"",RIGHT($N544,6)="tarief",F544="Vergoeding"),SUM(O544)*FLOOR(SUM(Q544),0.0001),AND(O544&lt;&gt;"",F544&lt;&gt;"",RIGHT($N544,6)="tarief"),SUM(O544)*FLOOR(SUM(Q544),0.01),S544&gt;0,IF(F544&lt;&gt;"",FLOOR(SUM(S544),0.01),"")),""),""),"")</f>
        <v/>
      </c>
      <c r="X544" s="314" t="str" cm="1">
        <f t="array" aca="1" ref="X544" ca="1">IFERROR(IF(AE544&lt;&gt;"ja",_xlfn.IFNA(_xlfn.IFS(AND(P544&lt;&gt;"",R544&lt;&gt;"",RIGHT($N544,6)="tarief",F544="Vergoeding"),SUM(P544)*FLOOR(SUM(R544),0.0001),AND(P544&lt;&gt;"",R544&lt;&gt;"",RIGHT($N544,6)="tarief"),P544*FLOOR(R544,0.01),T544&gt;0,FLOOR(SUM(T544),0.01)),""),""),"")</f>
        <v/>
      </c>
      <c r="Y544" s="314" t="str">
        <f t="shared" ca="1" si="34"/>
        <v/>
      </c>
      <c r="Z544" s="314" t="str" cm="1">
        <f t="array" aca="1" ref="Z544" ca="1">IFERROR(_xlfn.IFS(OR(F544="",LEFT(Methode_Keuze,4)="Geen",Methode_Keuze=""),"",AND(W544&lt;&gt;"",F544&lt;&gt;"Arbeidskosten"),W544*VLOOKUP(F544,Tb_ProjectKosten[],MATCH(Tb_ProjectKosten[[#Headers],[Forfait_Percentage]],Tb_ProjectKosten[#Headers],0),0),AND(F544="Arbeidskosten",G544&lt;&gt;""),IFERROR(W544*VLOOKUP(G544,Tb_KostenTypen[],3,0)*VLOOKUP(F544,Tb_ProjectKosten[],MATCH(Tb_ProjectKosten[[#Headers],[Forfait_Percentage]],Tb_ProjectKosten[#Headers],0),0),""),W544 &lt;=0,0),"")</f>
        <v/>
      </c>
      <c r="AA544" s="314" t="str" cm="1">
        <f t="array" aca="1" ref="AA544" ca="1">IFERROR(_xlfn.IFS(OR(F544="",LEFT(Methode_Keuze,4)="Geen",Methode_Keuze=""),"",AND(X544&lt;&gt;"",F544&lt;&gt;"Arbeidskosten"),X544*VLOOKUP(F544,Tb_ProjectKosten[],MATCH(Tb_ProjectKosten[[#Headers],[Forfait_Percentage]],Tb_ProjectKosten[#Headers],0),0),AND(F544="Arbeidskosten",G544&lt;&gt;""),IFERROR(X544*VLOOKUP(G544,Tb_KostenTypen[],3,0)*VLOOKUP(F544,Tb_ProjectKosten[],MATCH(Tb_ProjectKosten[[#Headers],[Forfait_Percentage]],Tb_ProjectKosten[#Headers],0),0),""),X544 &lt;=0,0),"")</f>
        <v/>
      </c>
      <c r="AB544" s="314" t="str">
        <f t="shared" ca="1" si="35"/>
        <v/>
      </c>
      <c r="AC544" s="322"/>
      <c r="AD544" s="315"/>
      <c r="AE544" s="32" t="str" cm="1">
        <f t="array" ref="AE544">IFERROR(IF(INDEX(SubsidieTabel!$AD$1:$AG$12,MATCH($F544,SubsidieTabel!$AD$1:$AD$12,0),IFERROR(MATCH(Methode_Keuze,SubsidieTabel!$AD$1:$AG$1,0),2))&lt;&gt;1=TRUE,"ja",""),"")</f>
        <v/>
      </c>
    </row>
    <row r="545" spans="1:31" x14ac:dyDescent="0.25">
      <c r="A545" s="316"/>
      <c r="B545" s="317" t="str">
        <f>IF(A545&lt;&gt;"",_xlfn.MAXIFS($B$1:B544,$A$1:A544,A545)+1,"")</f>
        <v/>
      </c>
      <c r="C545" s="296"/>
      <c r="D545" s="296"/>
      <c r="E545" s="296"/>
      <c r="F545" s="296"/>
      <c r="G545" s="326"/>
      <c r="H545" s="324"/>
      <c r="I545" s="325"/>
      <c r="J545" s="325"/>
      <c r="K545" s="318"/>
      <c r="L545" s="318"/>
      <c r="M545" s="319" t="str">
        <f>IFERROR(VLOOKUP(H545,Lijsten!$H$1:$I$100,2,0),"")</f>
        <v/>
      </c>
      <c r="N545" s="319" t="str">
        <f ca="1">IFERROR(IF(VLOOKUP(F545,Kostentypen!$A$3:$E$21,3,0)=0,"",IF(OR(F545="Arbeidskosten",F545="Vergoeding"),VLOOKUP(G545,Tb_KostenTypen[],2,0),VLOOKUP(F545,Kostentypen!$A$3:$E$20,3,0))),"")</f>
        <v/>
      </c>
      <c r="O545" s="320" t="str" cm="1">
        <f t="array" ref="O545">_xlfn.IFNA(IF(INDEX(Tb_KostenOptiesDB[],MATCH($F545,Tb_KostenOptiesDB[KostenOptie],0),IFERROR(MATCH(Methode_Keuze,Tb_KostenOptiesDB[#Headers],0),2))=1,_xlfn.SWITCH($N545,"Uurtarief",IF(OR(AND(RIGHT($F545,3)="IKS",VLOOKUP($M545,DB_Loonkosten,2,0)="Ja"),AND(RIGHT($F545,3)&lt;&gt;"IKS",VLOOKUP($M545,DB_Loonkosten,2,0)="Nee")),IFERROR(VLOOKUP($M545,DB_Loonkosten,24,0),""),0),"Vast tarief",IF(LEFT(F545,8)="Bijdrage",VLOOKUP($F545,Tb_KostenTypen[],MATCH(Lijsten!$P$1,Tb_KostenTypen[#Headers],0),0),VLOOKUP($G545,Lijsten!L:P,MATCH(Lijsten!$P$1,Kop_Tarief_Vast,0),0))),""),"")</f>
        <v/>
      </c>
      <c r="P545" s="320" t="str" cm="1">
        <f t="array" ref="P545">_xlfn.IFNA(IF(INDEX(Tb_KostenOptiesDB[],MATCH($F545,Tb_KostenOptiesDB[KostenOptie],0),IFERROR(MATCH(Methode_Keuze,Tb_KostenOptiesDB[#Headers],0),2))=1,_xlfn.SWITCH($N545,"Uurtarief",IF(OR(AND(RIGHT($F545,3)="IKS",VLOOKUP($M545,DB_Loonkosten,2,0)="Ja"),AND(RIGHT($F545,3)&lt;&gt;"IKS",VLOOKUP($M545,DB_Loonkosten,2,0)="Nee")),IFERROR(VLOOKUP($M545,DB_Loonkosten,25,0),""),0),"Vast tarief",IF(LEFT(F545,8)="Bijdrage",VLOOKUP($F545,Tb_KostenTypen[],MATCH(Lijsten!$P$1,Tb_KostenTypen[#Headers],0),0),VLOOKUP($G545,Lijsten!L:P,MATCH(Lijsten!$P$1,Kop_Tarief_Vast,0),0))),""),"")</f>
        <v/>
      </c>
      <c r="Q545" s="359"/>
      <c r="R545" s="359"/>
      <c r="S545" s="321"/>
      <c r="T545" s="321"/>
      <c r="U545" s="373" t="str">
        <f t="shared" si="32"/>
        <v/>
      </c>
      <c r="V545" s="314" t="str">
        <f t="shared" si="33"/>
        <v/>
      </c>
      <c r="W545" s="314" t="str" cm="1">
        <f t="array" aca="1" ref="W545" ca="1">IFERROR(IF(AE545&lt;&gt;"ja",_xlfn.IFNA(_xlfn.IFS(AND(O545&lt;&gt;"",F545&lt;&gt;"",RIGHT($N545,6)="tarief",F545="Vergoeding"),SUM(O545)*FLOOR(SUM(Q545),0.0001),AND(O545&lt;&gt;"",F545&lt;&gt;"",RIGHT($N545,6)="tarief"),SUM(O545)*FLOOR(SUM(Q545),0.01),S545&gt;0,IF(F545&lt;&gt;"",FLOOR(SUM(S545),0.01),"")),""),""),"")</f>
        <v/>
      </c>
      <c r="X545" s="314" t="str" cm="1">
        <f t="array" aca="1" ref="X545" ca="1">IFERROR(IF(AE545&lt;&gt;"ja",_xlfn.IFNA(_xlfn.IFS(AND(P545&lt;&gt;"",R545&lt;&gt;"",RIGHT($N545,6)="tarief",F545="Vergoeding"),SUM(P545)*FLOOR(SUM(R545),0.0001),AND(P545&lt;&gt;"",R545&lt;&gt;"",RIGHT($N545,6)="tarief"),P545*FLOOR(R545,0.01),T545&gt;0,FLOOR(SUM(T545),0.01)),""),""),"")</f>
        <v/>
      </c>
      <c r="Y545" s="314" t="str">
        <f t="shared" ca="1" si="34"/>
        <v/>
      </c>
      <c r="Z545" s="314" t="str" cm="1">
        <f t="array" aca="1" ref="Z545" ca="1">IFERROR(_xlfn.IFS(OR(F545="",LEFT(Methode_Keuze,4)="Geen",Methode_Keuze=""),"",AND(W545&lt;&gt;"",F545&lt;&gt;"Arbeidskosten"),W545*VLOOKUP(F545,Tb_ProjectKosten[],MATCH(Tb_ProjectKosten[[#Headers],[Forfait_Percentage]],Tb_ProjectKosten[#Headers],0),0),AND(F545="Arbeidskosten",G545&lt;&gt;""),IFERROR(W545*VLOOKUP(G545,Tb_KostenTypen[],3,0)*VLOOKUP(F545,Tb_ProjectKosten[],MATCH(Tb_ProjectKosten[[#Headers],[Forfait_Percentage]],Tb_ProjectKosten[#Headers],0),0),""),W545 &lt;=0,0),"")</f>
        <v/>
      </c>
      <c r="AA545" s="314" t="str" cm="1">
        <f t="array" aca="1" ref="AA545" ca="1">IFERROR(_xlfn.IFS(OR(F545="",LEFT(Methode_Keuze,4)="Geen",Methode_Keuze=""),"",AND(X545&lt;&gt;"",F545&lt;&gt;"Arbeidskosten"),X545*VLOOKUP(F545,Tb_ProjectKosten[],MATCH(Tb_ProjectKosten[[#Headers],[Forfait_Percentage]],Tb_ProjectKosten[#Headers],0),0),AND(F545="Arbeidskosten",G545&lt;&gt;""),IFERROR(X545*VLOOKUP(G545,Tb_KostenTypen[],3,0)*VLOOKUP(F545,Tb_ProjectKosten[],MATCH(Tb_ProjectKosten[[#Headers],[Forfait_Percentage]],Tb_ProjectKosten[#Headers],0),0),""),X545 &lt;=0,0),"")</f>
        <v/>
      </c>
      <c r="AB545" s="314" t="str">
        <f t="shared" ca="1" si="35"/>
        <v/>
      </c>
      <c r="AC545" s="322"/>
      <c r="AD545" s="315"/>
      <c r="AE545" s="32" t="str" cm="1">
        <f t="array" ref="AE545">IFERROR(IF(INDEX(SubsidieTabel!$AD$1:$AG$12,MATCH($F545,SubsidieTabel!$AD$1:$AD$12,0),IFERROR(MATCH(Methode_Keuze,SubsidieTabel!$AD$1:$AG$1,0),2))&lt;&gt;1=TRUE,"ja",""),"")</f>
        <v/>
      </c>
    </row>
    <row r="546" spans="1:31" x14ac:dyDescent="0.25">
      <c r="A546" s="316"/>
      <c r="B546" s="317" t="str">
        <f>IF(A546&lt;&gt;"",_xlfn.MAXIFS($B$1:B545,$A$1:A545,A546)+1,"")</f>
        <v/>
      </c>
      <c r="C546" s="296"/>
      <c r="D546" s="296"/>
      <c r="E546" s="296"/>
      <c r="F546" s="296"/>
      <c r="G546" s="326"/>
      <c r="H546" s="324"/>
      <c r="I546" s="325"/>
      <c r="J546" s="325"/>
      <c r="K546" s="318"/>
      <c r="L546" s="318"/>
      <c r="M546" s="319" t="str">
        <f>IFERROR(VLOOKUP(H546,Lijsten!$H$1:$I$100,2,0),"")</f>
        <v/>
      </c>
      <c r="N546" s="319" t="str">
        <f ca="1">IFERROR(IF(VLOOKUP(F546,Kostentypen!$A$3:$E$21,3,0)=0,"",IF(OR(F546="Arbeidskosten",F546="Vergoeding"),VLOOKUP(G546,Tb_KostenTypen[],2,0),VLOOKUP(F546,Kostentypen!$A$3:$E$20,3,0))),"")</f>
        <v/>
      </c>
      <c r="O546" s="320" t="str" cm="1">
        <f t="array" ref="O546">_xlfn.IFNA(IF(INDEX(Tb_KostenOptiesDB[],MATCH($F546,Tb_KostenOptiesDB[KostenOptie],0),IFERROR(MATCH(Methode_Keuze,Tb_KostenOptiesDB[#Headers],0),2))=1,_xlfn.SWITCH($N546,"Uurtarief",IF(OR(AND(RIGHT($F546,3)="IKS",VLOOKUP($M546,DB_Loonkosten,2,0)="Ja"),AND(RIGHT($F546,3)&lt;&gt;"IKS",VLOOKUP($M546,DB_Loonkosten,2,0)="Nee")),IFERROR(VLOOKUP($M546,DB_Loonkosten,24,0),""),0),"Vast tarief",IF(LEFT(F546,8)="Bijdrage",VLOOKUP($F546,Tb_KostenTypen[],MATCH(Lijsten!$P$1,Tb_KostenTypen[#Headers],0),0),VLOOKUP($G546,Lijsten!L:P,MATCH(Lijsten!$P$1,Kop_Tarief_Vast,0),0))),""),"")</f>
        <v/>
      </c>
      <c r="P546" s="320" t="str" cm="1">
        <f t="array" ref="P546">_xlfn.IFNA(IF(INDEX(Tb_KostenOptiesDB[],MATCH($F546,Tb_KostenOptiesDB[KostenOptie],0),IFERROR(MATCH(Methode_Keuze,Tb_KostenOptiesDB[#Headers],0),2))=1,_xlfn.SWITCH($N546,"Uurtarief",IF(OR(AND(RIGHT($F546,3)="IKS",VLOOKUP($M546,DB_Loonkosten,2,0)="Ja"),AND(RIGHT($F546,3)&lt;&gt;"IKS",VLOOKUP($M546,DB_Loonkosten,2,0)="Nee")),IFERROR(VLOOKUP($M546,DB_Loonkosten,25,0),""),0),"Vast tarief",IF(LEFT(F546,8)="Bijdrage",VLOOKUP($F546,Tb_KostenTypen[],MATCH(Lijsten!$P$1,Tb_KostenTypen[#Headers],0),0),VLOOKUP($G546,Lijsten!L:P,MATCH(Lijsten!$P$1,Kop_Tarief_Vast,0),0))),""),"")</f>
        <v/>
      </c>
      <c r="Q546" s="359"/>
      <c r="R546" s="359"/>
      <c r="S546" s="321"/>
      <c r="T546" s="321"/>
      <c r="U546" s="373" t="str">
        <f t="shared" si="32"/>
        <v/>
      </c>
      <c r="V546" s="314" t="str">
        <f t="shared" si="33"/>
        <v/>
      </c>
      <c r="W546" s="314" t="str" cm="1">
        <f t="array" aca="1" ref="W546" ca="1">IFERROR(IF(AE546&lt;&gt;"ja",_xlfn.IFNA(_xlfn.IFS(AND(O546&lt;&gt;"",F546&lt;&gt;"",RIGHT($N546,6)="tarief",F546="Vergoeding"),SUM(O546)*FLOOR(SUM(Q546),0.0001),AND(O546&lt;&gt;"",F546&lt;&gt;"",RIGHT($N546,6)="tarief"),SUM(O546)*FLOOR(SUM(Q546),0.01),S546&gt;0,IF(F546&lt;&gt;"",FLOOR(SUM(S546),0.01),"")),""),""),"")</f>
        <v/>
      </c>
      <c r="X546" s="314" t="str" cm="1">
        <f t="array" aca="1" ref="X546" ca="1">IFERROR(IF(AE546&lt;&gt;"ja",_xlfn.IFNA(_xlfn.IFS(AND(P546&lt;&gt;"",R546&lt;&gt;"",RIGHT($N546,6)="tarief",F546="Vergoeding"),SUM(P546)*FLOOR(SUM(R546),0.0001),AND(P546&lt;&gt;"",R546&lt;&gt;"",RIGHT($N546,6)="tarief"),P546*FLOOR(R546,0.01),T546&gt;0,FLOOR(SUM(T546),0.01)),""),""),"")</f>
        <v/>
      </c>
      <c r="Y546" s="314" t="str">
        <f t="shared" ca="1" si="34"/>
        <v/>
      </c>
      <c r="Z546" s="314" t="str" cm="1">
        <f t="array" aca="1" ref="Z546" ca="1">IFERROR(_xlfn.IFS(OR(F546="",LEFT(Methode_Keuze,4)="Geen",Methode_Keuze=""),"",AND(W546&lt;&gt;"",F546&lt;&gt;"Arbeidskosten"),W546*VLOOKUP(F546,Tb_ProjectKosten[],MATCH(Tb_ProjectKosten[[#Headers],[Forfait_Percentage]],Tb_ProjectKosten[#Headers],0),0),AND(F546="Arbeidskosten",G546&lt;&gt;""),IFERROR(W546*VLOOKUP(G546,Tb_KostenTypen[],3,0)*VLOOKUP(F546,Tb_ProjectKosten[],MATCH(Tb_ProjectKosten[[#Headers],[Forfait_Percentage]],Tb_ProjectKosten[#Headers],0),0),""),W546 &lt;=0,0),"")</f>
        <v/>
      </c>
      <c r="AA546" s="314" t="str" cm="1">
        <f t="array" aca="1" ref="AA546" ca="1">IFERROR(_xlfn.IFS(OR(F546="",LEFT(Methode_Keuze,4)="Geen",Methode_Keuze=""),"",AND(X546&lt;&gt;"",F546&lt;&gt;"Arbeidskosten"),X546*VLOOKUP(F546,Tb_ProjectKosten[],MATCH(Tb_ProjectKosten[[#Headers],[Forfait_Percentage]],Tb_ProjectKosten[#Headers],0),0),AND(F546="Arbeidskosten",G546&lt;&gt;""),IFERROR(X546*VLOOKUP(G546,Tb_KostenTypen[],3,0)*VLOOKUP(F546,Tb_ProjectKosten[],MATCH(Tb_ProjectKosten[[#Headers],[Forfait_Percentage]],Tb_ProjectKosten[#Headers],0),0),""),X546 &lt;=0,0),"")</f>
        <v/>
      </c>
      <c r="AB546" s="314" t="str">
        <f t="shared" ca="1" si="35"/>
        <v/>
      </c>
      <c r="AC546" s="322"/>
      <c r="AD546" s="315"/>
      <c r="AE546" s="32" t="str" cm="1">
        <f t="array" ref="AE546">IFERROR(IF(INDEX(SubsidieTabel!$AD$1:$AG$12,MATCH($F546,SubsidieTabel!$AD$1:$AD$12,0),IFERROR(MATCH(Methode_Keuze,SubsidieTabel!$AD$1:$AG$1,0),2))&lt;&gt;1=TRUE,"ja",""),"")</f>
        <v/>
      </c>
    </row>
    <row r="547" spans="1:31" x14ac:dyDescent="0.25">
      <c r="A547" s="316"/>
      <c r="B547" s="317" t="str">
        <f>IF(A547&lt;&gt;"",_xlfn.MAXIFS($B$1:B546,$A$1:A546,A547)+1,"")</f>
        <v/>
      </c>
      <c r="C547" s="296"/>
      <c r="D547" s="296"/>
      <c r="E547" s="296"/>
      <c r="F547" s="296"/>
      <c r="G547" s="326"/>
      <c r="H547" s="324"/>
      <c r="I547" s="325"/>
      <c r="J547" s="325"/>
      <c r="K547" s="318"/>
      <c r="L547" s="318"/>
      <c r="M547" s="319" t="str">
        <f>IFERROR(VLOOKUP(H547,Lijsten!$H$1:$I$100,2,0),"")</f>
        <v/>
      </c>
      <c r="N547" s="319" t="str">
        <f ca="1">IFERROR(IF(VLOOKUP(F547,Kostentypen!$A$3:$E$21,3,0)=0,"",IF(OR(F547="Arbeidskosten",F547="Vergoeding"),VLOOKUP(G547,Tb_KostenTypen[],2,0),VLOOKUP(F547,Kostentypen!$A$3:$E$20,3,0))),"")</f>
        <v/>
      </c>
      <c r="O547" s="320" t="str" cm="1">
        <f t="array" ref="O547">_xlfn.IFNA(IF(INDEX(Tb_KostenOptiesDB[],MATCH($F547,Tb_KostenOptiesDB[KostenOptie],0),IFERROR(MATCH(Methode_Keuze,Tb_KostenOptiesDB[#Headers],0),2))=1,_xlfn.SWITCH($N547,"Uurtarief",IF(OR(AND(RIGHT($F547,3)="IKS",VLOOKUP($M547,DB_Loonkosten,2,0)="Ja"),AND(RIGHT($F547,3)&lt;&gt;"IKS",VLOOKUP($M547,DB_Loonkosten,2,0)="Nee")),IFERROR(VLOOKUP($M547,DB_Loonkosten,24,0),""),0),"Vast tarief",IF(LEFT(F547,8)="Bijdrage",VLOOKUP($F547,Tb_KostenTypen[],MATCH(Lijsten!$P$1,Tb_KostenTypen[#Headers],0),0),VLOOKUP($G547,Lijsten!L:P,MATCH(Lijsten!$P$1,Kop_Tarief_Vast,0),0))),""),"")</f>
        <v/>
      </c>
      <c r="P547" s="320" t="str" cm="1">
        <f t="array" ref="P547">_xlfn.IFNA(IF(INDEX(Tb_KostenOptiesDB[],MATCH($F547,Tb_KostenOptiesDB[KostenOptie],0),IFERROR(MATCH(Methode_Keuze,Tb_KostenOptiesDB[#Headers],0),2))=1,_xlfn.SWITCH($N547,"Uurtarief",IF(OR(AND(RIGHT($F547,3)="IKS",VLOOKUP($M547,DB_Loonkosten,2,0)="Ja"),AND(RIGHT($F547,3)&lt;&gt;"IKS",VLOOKUP($M547,DB_Loonkosten,2,0)="Nee")),IFERROR(VLOOKUP($M547,DB_Loonkosten,25,0),""),0),"Vast tarief",IF(LEFT(F547,8)="Bijdrage",VLOOKUP($F547,Tb_KostenTypen[],MATCH(Lijsten!$P$1,Tb_KostenTypen[#Headers],0),0),VLOOKUP($G547,Lijsten!L:P,MATCH(Lijsten!$P$1,Kop_Tarief_Vast,0),0))),""),"")</f>
        <v/>
      </c>
      <c r="Q547" s="359"/>
      <c r="R547" s="359"/>
      <c r="S547" s="321"/>
      <c r="T547" s="321"/>
      <c r="U547" s="373" t="str">
        <f t="shared" si="32"/>
        <v/>
      </c>
      <c r="V547" s="314" t="str">
        <f t="shared" si="33"/>
        <v/>
      </c>
      <c r="W547" s="314" t="str" cm="1">
        <f t="array" aca="1" ref="W547" ca="1">IFERROR(IF(AE547&lt;&gt;"ja",_xlfn.IFNA(_xlfn.IFS(AND(O547&lt;&gt;"",F547&lt;&gt;"",RIGHT($N547,6)="tarief",F547="Vergoeding"),SUM(O547)*FLOOR(SUM(Q547),0.0001),AND(O547&lt;&gt;"",F547&lt;&gt;"",RIGHT($N547,6)="tarief"),SUM(O547)*FLOOR(SUM(Q547),0.01),S547&gt;0,IF(F547&lt;&gt;"",FLOOR(SUM(S547),0.01),"")),""),""),"")</f>
        <v/>
      </c>
      <c r="X547" s="314" t="str" cm="1">
        <f t="array" aca="1" ref="X547" ca="1">IFERROR(IF(AE547&lt;&gt;"ja",_xlfn.IFNA(_xlfn.IFS(AND(P547&lt;&gt;"",R547&lt;&gt;"",RIGHT($N547,6)="tarief",F547="Vergoeding"),SUM(P547)*FLOOR(SUM(R547),0.0001),AND(P547&lt;&gt;"",R547&lt;&gt;"",RIGHT($N547,6)="tarief"),P547*FLOOR(R547,0.01),T547&gt;0,FLOOR(SUM(T547),0.01)),""),""),"")</f>
        <v/>
      </c>
      <c r="Y547" s="314" t="str">
        <f t="shared" ca="1" si="34"/>
        <v/>
      </c>
      <c r="Z547" s="314" t="str" cm="1">
        <f t="array" aca="1" ref="Z547" ca="1">IFERROR(_xlfn.IFS(OR(F547="",LEFT(Methode_Keuze,4)="Geen",Methode_Keuze=""),"",AND(W547&lt;&gt;"",F547&lt;&gt;"Arbeidskosten"),W547*VLOOKUP(F547,Tb_ProjectKosten[],MATCH(Tb_ProjectKosten[[#Headers],[Forfait_Percentage]],Tb_ProjectKosten[#Headers],0),0),AND(F547="Arbeidskosten",G547&lt;&gt;""),IFERROR(W547*VLOOKUP(G547,Tb_KostenTypen[],3,0)*VLOOKUP(F547,Tb_ProjectKosten[],MATCH(Tb_ProjectKosten[[#Headers],[Forfait_Percentage]],Tb_ProjectKosten[#Headers],0),0),""),W547 &lt;=0,0),"")</f>
        <v/>
      </c>
      <c r="AA547" s="314" t="str" cm="1">
        <f t="array" aca="1" ref="AA547" ca="1">IFERROR(_xlfn.IFS(OR(F547="",LEFT(Methode_Keuze,4)="Geen",Methode_Keuze=""),"",AND(X547&lt;&gt;"",F547&lt;&gt;"Arbeidskosten"),X547*VLOOKUP(F547,Tb_ProjectKosten[],MATCH(Tb_ProjectKosten[[#Headers],[Forfait_Percentage]],Tb_ProjectKosten[#Headers],0),0),AND(F547="Arbeidskosten",G547&lt;&gt;""),IFERROR(X547*VLOOKUP(G547,Tb_KostenTypen[],3,0)*VLOOKUP(F547,Tb_ProjectKosten[],MATCH(Tb_ProjectKosten[[#Headers],[Forfait_Percentage]],Tb_ProjectKosten[#Headers],0),0),""),X547 &lt;=0,0),"")</f>
        <v/>
      </c>
      <c r="AB547" s="314" t="str">
        <f t="shared" ca="1" si="35"/>
        <v/>
      </c>
      <c r="AC547" s="322"/>
      <c r="AD547" s="315"/>
      <c r="AE547" s="32" t="str" cm="1">
        <f t="array" ref="AE547">IFERROR(IF(INDEX(SubsidieTabel!$AD$1:$AG$12,MATCH($F547,SubsidieTabel!$AD$1:$AD$12,0),IFERROR(MATCH(Methode_Keuze,SubsidieTabel!$AD$1:$AG$1,0),2))&lt;&gt;1=TRUE,"ja",""),"")</f>
        <v/>
      </c>
    </row>
    <row r="548" spans="1:31" x14ac:dyDescent="0.25">
      <c r="A548" s="316"/>
      <c r="B548" s="317" t="str">
        <f>IF(A548&lt;&gt;"",_xlfn.MAXIFS($B$1:B547,$A$1:A547,A548)+1,"")</f>
        <v/>
      </c>
      <c r="C548" s="296"/>
      <c r="D548" s="296"/>
      <c r="E548" s="296"/>
      <c r="F548" s="296"/>
      <c r="G548" s="326"/>
      <c r="H548" s="324"/>
      <c r="I548" s="325"/>
      <c r="J548" s="325"/>
      <c r="K548" s="318"/>
      <c r="L548" s="318"/>
      <c r="M548" s="319" t="str">
        <f>IFERROR(VLOOKUP(H548,Lijsten!$H$1:$I$100,2,0),"")</f>
        <v/>
      </c>
      <c r="N548" s="319" t="str">
        <f ca="1">IFERROR(IF(VLOOKUP(F548,Kostentypen!$A$3:$E$21,3,0)=0,"",IF(OR(F548="Arbeidskosten",F548="Vergoeding"),VLOOKUP(G548,Tb_KostenTypen[],2,0),VLOOKUP(F548,Kostentypen!$A$3:$E$20,3,0))),"")</f>
        <v/>
      </c>
      <c r="O548" s="320" t="str" cm="1">
        <f t="array" ref="O548">_xlfn.IFNA(IF(INDEX(Tb_KostenOptiesDB[],MATCH($F548,Tb_KostenOptiesDB[KostenOptie],0),IFERROR(MATCH(Methode_Keuze,Tb_KostenOptiesDB[#Headers],0),2))=1,_xlfn.SWITCH($N548,"Uurtarief",IF(OR(AND(RIGHT($F548,3)="IKS",VLOOKUP($M548,DB_Loonkosten,2,0)="Ja"),AND(RIGHT($F548,3)&lt;&gt;"IKS",VLOOKUP($M548,DB_Loonkosten,2,0)="Nee")),IFERROR(VLOOKUP($M548,DB_Loonkosten,24,0),""),0),"Vast tarief",IF(LEFT(F548,8)="Bijdrage",VLOOKUP($F548,Tb_KostenTypen[],MATCH(Lijsten!$P$1,Tb_KostenTypen[#Headers],0),0),VLOOKUP($G548,Lijsten!L:P,MATCH(Lijsten!$P$1,Kop_Tarief_Vast,0),0))),""),"")</f>
        <v/>
      </c>
      <c r="P548" s="320" t="str" cm="1">
        <f t="array" ref="P548">_xlfn.IFNA(IF(INDEX(Tb_KostenOptiesDB[],MATCH($F548,Tb_KostenOptiesDB[KostenOptie],0),IFERROR(MATCH(Methode_Keuze,Tb_KostenOptiesDB[#Headers],0),2))=1,_xlfn.SWITCH($N548,"Uurtarief",IF(OR(AND(RIGHT($F548,3)="IKS",VLOOKUP($M548,DB_Loonkosten,2,0)="Ja"),AND(RIGHT($F548,3)&lt;&gt;"IKS",VLOOKUP($M548,DB_Loonkosten,2,0)="Nee")),IFERROR(VLOOKUP($M548,DB_Loonkosten,25,0),""),0),"Vast tarief",IF(LEFT(F548,8)="Bijdrage",VLOOKUP($F548,Tb_KostenTypen[],MATCH(Lijsten!$P$1,Tb_KostenTypen[#Headers],0),0),VLOOKUP($G548,Lijsten!L:P,MATCH(Lijsten!$P$1,Kop_Tarief_Vast,0),0))),""),"")</f>
        <v/>
      </c>
      <c r="Q548" s="359"/>
      <c r="R548" s="359"/>
      <c r="S548" s="321"/>
      <c r="T548" s="321"/>
      <c r="U548" s="373" t="str">
        <f t="shared" si="32"/>
        <v/>
      </c>
      <c r="V548" s="314" t="str">
        <f t="shared" si="33"/>
        <v/>
      </c>
      <c r="W548" s="314" t="str" cm="1">
        <f t="array" aca="1" ref="W548" ca="1">IFERROR(IF(AE548&lt;&gt;"ja",_xlfn.IFNA(_xlfn.IFS(AND(O548&lt;&gt;"",F548&lt;&gt;"",RIGHT($N548,6)="tarief",F548="Vergoeding"),SUM(O548)*FLOOR(SUM(Q548),0.0001),AND(O548&lt;&gt;"",F548&lt;&gt;"",RIGHT($N548,6)="tarief"),SUM(O548)*FLOOR(SUM(Q548),0.01),S548&gt;0,IF(F548&lt;&gt;"",FLOOR(SUM(S548),0.01),"")),""),""),"")</f>
        <v/>
      </c>
      <c r="X548" s="314" t="str" cm="1">
        <f t="array" aca="1" ref="X548" ca="1">IFERROR(IF(AE548&lt;&gt;"ja",_xlfn.IFNA(_xlfn.IFS(AND(P548&lt;&gt;"",R548&lt;&gt;"",RIGHT($N548,6)="tarief",F548="Vergoeding"),SUM(P548)*FLOOR(SUM(R548),0.0001),AND(P548&lt;&gt;"",R548&lt;&gt;"",RIGHT($N548,6)="tarief"),P548*FLOOR(R548,0.01),T548&gt;0,FLOOR(SUM(T548),0.01)),""),""),"")</f>
        <v/>
      </c>
      <c r="Y548" s="314" t="str">
        <f t="shared" ca="1" si="34"/>
        <v/>
      </c>
      <c r="Z548" s="314" t="str" cm="1">
        <f t="array" aca="1" ref="Z548" ca="1">IFERROR(_xlfn.IFS(OR(F548="",LEFT(Methode_Keuze,4)="Geen",Methode_Keuze=""),"",AND(W548&lt;&gt;"",F548&lt;&gt;"Arbeidskosten"),W548*VLOOKUP(F548,Tb_ProjectKosten[],MATCH(Tb_ProjectKosten[[#Headers],[Forfait_Percentage]],Tb_ProjectKosten[#Headers],0),0),AND(F548="Arbeidskosten",G548&lt;&gt;""),IFERROR(W548*VLOOKUP(G548,Tb_KostenTypen[],3,0)*VLOOKUP(F548,Tb_ProjectKosten[],MATCH(Tb_ProjectKosten[[#Headers],[Forfait_Percentage]],Tb_ProjectKosten[#Headers],0),0),""),W548 &lt;=0,0),"")</f>
        <v/>
      </c>
      <c r="AA548" s="314" t="str" cm="1">
        <f t="array" aca="1" ref="AA548" ca="1">IFERROR(_xlfn.IFS(OR(F548="",LEFT(Methode_Keuze,4)="Geen",Methode_Keuze=""),"",AND(X548&lt;&gt;"",F548&lt;&gt;"Arbeidskosten"),X548*VLOOKUP(F548,Tb_ProjectKosten[],MATCH(Tb_ProjectKosten[[#Headers],[Forfait_Percentage]],Tb_ProjectKosten[#Headers],0),0),AND(F548="Arbeidskosten",G548&lt;&gt;""),IFERROR(X548*VLOOKUP(G548,Tb_KostenTypen[],3,0)*VLOOKUP(F548,Tb_ProjectKosten[],MATCH(Tb_ProjectKosten[[#Headers],[Forfait_Percentage]],Tb_ProjectKosten[#Headers],0),0),""),X548 &lt;=0,0),"")</f>
        <v/>
      </c>
      <c r="AB548" s="314" t="str">
        <f t="shared" ca="1" si="35"/>
        <v/>
      </c>
      <c r="AC548" s="322"/>
      <c r="AD548" s="315"/>
      <c r="AE548" s="32" t="str" cm="1">
        <f t="array" ref="AE548">IFERROR(IF(INDEX(SubsidieTabel!$AD$1:$AG$12,MATCH($F548,SubsidieTabel!$AD$1:$AD$12,0),IFERROR(MATCH(Methode_Keuze,SubsidieTabel!$AD$1:$AG$1,0),2))&lt;&gt;1=TRUE,"ja",""),"")</f>
        <v/>
      </c>
    </row>
    <row r="549" spans="1:31" x14ac:dyDescent="0.25">
      <c r="A549" s="316"/>
      <c r="B549" s="317" t="str">
        <f>IF(A549&lt;&gt;"",_xlfn.MAXIFS($B$1:B548,$A$1:A548,A549)+1,"")</f>
        <v/>
      </c>
      <c r="C549" s="296"/>
      <c r="D549" s="296"/>
      <c r="E549" s="296"/>
      <c r="F549" s="296"/>
      <c r="G549" s="326"/>
      <c r="H549" s="324"/>
      <c r="I549" s="325"/>
      <c r="J549" s="325"/>
      <c r="K549" s="318"/>
      <c r="L549" s="318"/>
      <c r="M549" s="319" t="str">
        <f>IFERROR(VLOOKUP(H549,Lijsten!$H$1:$I$100,2,0),"")</f>
        <v/>
      </c>
      <c r="N549" s="319" t="str">
        <f ca="1">IFERROR(IF(VLOOKUP(F549,Kostentypen!$A$3:$E$21,3,0)=0,"",IF(OR(F549="Arbeidskosten",F549="Vergoeding"),VLOOKUP(G549,Tb_KostenTypen[],2,0),VLOOKUP(F549,Kostentypen!$A$3:$E$20,3,0))),"")</f>
        <v/>
      </c>
      <c r="O549" s="320" t="str" cm="1">
        <f t="array" ref="O549">_xlfn.IFNA(IF(INDEX(Tb_KostenOptiesDB[],MATCH($F549,Tb_KostenOptiesDB[KostenOptie],0),IFERROR(MATCH(Methode_Keuze,Tb_KostenOptiesDB[#Headers],0),2))=1,_xlfn.SWITCH($N549,"Uurtarief",IF(OR(AND(RIGHT($F549,3)="IKS",VLOOKUP($M549,DB_Loonkosten,2,0)="Ja"),AND(RIGHT($F549,3)&lt;&gt;"IKS",VLOOKUP($M549,DB_Loonkosten,2,0)="Nee")),IFERROR(VLOOKUP($M549,DB_Loonkosten,24,0),""),0),"Vast tarief",IF(LEFT(F549,8)="Bijdrage",VLOOKUP($F549,Tb_KostenTypen[],MATCH(Lijsten!$P$1,Tb_KostenTypen[#Headers],0),0),VLOOKUP($G549,Lijsten!L:P,MATCH(Lijsten!$P$1,Kop_Tarief_Vast,0),0))),""),"")</f>
        <v/>
      </c>
      <c r="P549" s="320" t="str" cm="1">
        <f t="array" ref="P549">_xlfn.IFNA(IF(INDEX(Tb_KostenOptiesDB[],MATCH($F549,Tb_KostenOptiesDB[KostenOptie],0),IFERROR(MATCH(Methode_Keuze,Tb_KostenOptiesDB[#Headers],0),2))=1,_xlfn.SWITCH($N549,"Uurtarief",IF(OR(AND(RIGHT($F549,3)="IKS",VLOOKUP($M549,DB_Loonkosten,2,0)="Ja"),AND(RIGHT($F549,3)&lt;&gt;"IKS",VLOOKUP($M549,DB_Loonkosten,2,0)="Nee")),IFERROR(VLOOKUP($M549,DB_Loonkosten,25,0),""),0),"Vast tarief",IF(LEFT(F549,8)="Bijdrage",VLOOKUP($F549,Tb_KostenTypen[],MATCH(Lijsten!$P$1,Tb_KostenTypen[#Headers],0),0),VLOOKUP($G549,Lijsten!L:P,MATCH(Lijsten!$P$1,Kop_Tarief_Vast,0),0))),""),"")</f>
        <v/>
      </c>
      <c r="Q549" s="359"/>
      <c r="R549" s="359"/>
      <c r="S549" s="321"/>
      <c r="T549" s="321"/>
      <c r="U549" s="373" t="str">
        <f t="shared" si="32"/>
        <v/>
      </c>
      <c r="V549" s="314" t="str">
        <f t="shared" si="33"/>
        <v/>
      </c>
      <c r="W549" s="314" t="str" cm="1">
        <f t="array" aca="1" ref="W549" ca="1">IFERROR(IF(AE549&lt;&gt;"ja",_xlfn.IFNA(_xlfn.IFS(AND(O549&lt;&gt;"",F549&lt;&gt;"",RIGHT($N549,6)="tarief",F549="Vergoeding"),SUM(O549)*FLOOR(SUM(Q549),0.0001),AND(O549&lt;&gt;"",F549&lt;&gt;"",RIGHT($N549,6)="tarief"),SUM(O549)*FLOOR(SUM(Q549),0.01),S549&gt;0,IF(F549&lt;&gt;"",FLOOR(SUM(S549),0.01),"")),""),""),"")</f>
        <v/>
      </c>
      <c r="X549" s="314" t="str" cm="1">
        <f t="array" aca="1" ref="X549" ca="1">IFERROR(IF(AE549&lt;&gt;"ja",_xlfn.IFNA(_xlfn.IFS(AND(P549&lt;&gt;"",R549&lt;&gt;"",RIGHT($N549,6)="tarief",F549="Vergoeding"),SUM(P549)*FLOOR(SUM(R549),0.0001),AND(P549&lt;&gt;"",R549&lt;&gt;"",RIGHT($N549,6)="tarief"),P549*FLOOR(R549,0.01),T549&gt;0,FLOOR(SUM(T549),0.01)),""),""),"")</f>
        <v/>
      </c>
      <c r="Y549" s="314" t="str">
        <f t="shared" ca="1" si="34"/>
        <v/>
      </c>
      <c r="Z549" s="314" t="str" cm="1">
        <f t="array" aca="1" ref="Z549" ca="1">IFERROR(_xlfn.IFS(OR(F549="",LEFT(Methode_Keuze,4)="Geen",Methode_Keuze=""),"",AND(W549&lt;&gt;"",F549&lt;&gt;"Arbeidskosten"),W549*VLOOKUP(F549,Tb_ProjectKosten[],MATCH(Tb_ProjectKosten[[#Headers],[Forfait_Percentage]],Tb_ProjectKosten[#Headers],0),0),AND(F549="Arbeidskosten",G549&lt;&gt;""),IFERROR(W549*VLOOKUP(G549,Tb_KostenTypen[],3,0)*VLOOKUP(F549,Tb_ProjectKosten[],MATCH(Tb_ProjectKosten[[#Headers],[Forfait_Percentage]],Tb_ProjectKosten[#Headers],0),0),""),W549 &lt;=0,0),"")</f>
        <v/>
      </c>
      <c r="AA549" s="314" t="str" cm="1">
        <f t="array" aca="1" ref="AA549" ca="1">IFERROR(_xlfn.IFS(OR(F549="",LEFT(Methode_Keuze,4)="Geen",Methode_Keuze=""),"",AND(X549&lt;&gt;"",F549&lt;&gt;"Arbeidskosten"),X549*VLOOKUP(F549,Tb_ProjectKosten[],MATCH(Tb_ProjectKosten[[#Headers],[Forfait_Percentage]],Tb_ProjectKosten[#Headers],0),0),AND(F549="Arbeidskosten",G549&lt;&gt;""),IFERROR(X549*VLOOKUP(G549,Tb_KostenTypen[],3,0)*VLOOKUP(F549,Tb_ProjectKosten[],MATCH(Tb_ProjectKosten[[#Headers],[Forfait_Percentage]],Tb_ProjectKosten[#Headers],0),0),""),X549 &lt;=0,0),"")</f>
        <v/>
      </c>
      <c r="AB549" s="314" t="str">
        <f t="shared" ca="1" si="35"/>
        <v/>
      </c>
      <c r="AC549" s="322"/>
      <c r="AD549" s="315"/>
      <c r="AE549" s="32" t="str" cm="1">
        <f t="array" ref="AE549">IFERROR(IF(INDEX(SubsidieTabel!$AD$1:$AG$12,MATCH($F549,SubsidieTabel!$AD$1:$AD$12,0),IFERROR(MATCH(Methode_Keuze,SubsidieTabel!$AD$1:$AG$1,0),2))&lt;&gt;1=TRUE,"ja",""),"")</f>
        <v/>
      </c>
    </row>
    <row r="550" spans="1:31" x14ac:dyDescent="0.25">
      <c r="A550" s="316"/>
      <c r="B550" s="317" t="str">
        <f>IF(A550&lt;&gt;"",_xlfn.MAXIFS($B$1:B549,$A$1:A549,A550)+1,"")</f>
        <v/>
      </c>
      <c r="C550" s="296"/>
      <c r="D550" s="296"/>
      <c r="E550" s="296"/>
      <c r="F550" s="296"/>
      <c r="G550" s="326"/>
      <c r="H550" s="324"/>
      <c r="I550" s="325"/>
      <c r="J550" s="325"/>
      <c r="K550" s="318"/>
      <c r="L550" s="318"/>
      <c r="M550" s="319" t="str">
        <f>IFERROR(VLOOKUP(H550,Lijsten!$H$1:$I$100,2,0),"")</f>
        <v/>
      </c>
      <c r="N550" s="319" t="str">
        <f ca="1">IFERROR(IF(VLOOKUP(F550,Kostentypen!$A$3:$E$21,3,0)=0,"",IF(OR(F550="Arbeidskosten",F550="Vergoeding"),VLOOKUP(G550,Tb_KostenTypen[],2,0),VLOOKUP(F550,Kostentypen!$A$3:$E$20,3,0))),"")</f>
        <v/>
      </c>
      <c r="O550" s="320" t="str" cm="1">
        <f t="array" ref="O550">_xlfn.IFNA(IF(INDEX(Tb_KostenOptiesDB[],MATCH($F550,Tb_KostenOptiesDB[KostenOptie],0),IFERROR(MATCH(Methode_Keuze,Tb_KostenOptiesDB[#Headers],0),2))=1,_xlfn.SWITCH($N550,"Uurtarief",IF(OR(AND(RIGHT($F550,3)="IKS",VLOOKUP($M550,DB_Loonkosten,2,0)="Ja"),AND(RIGHT($F550,3)&lt;&gt;"IKS",VLOOKUP($M550,DB_Loonkosten,2,0)="Nee")),IFERROR(VLOOKUP($M550,DB_Loonkosten,24,0),""),0),"Vast tarief",IF(LEFT(F550,8)="Bijdrage",VLOOKUP($F550,Tb_KostenTypen[],MATCH(Lijsten!$P$1,Tb_KostenTypen[#Headers],0),0),VLOOKUP($G550,Lijsten!L:P,MATCH(Lijsten!$P$1,Kop_Tarief_Vast,0),0))),""),"")</f>
        <v/>
      </c>
      <c r="P550" s="320" t="str" cm="1">
        <f t="array" ref="P550">_xlfn.IFNA(IF(INDEX(Tb_KostenOptiesDB[],MATCH($F550,Tb_KostenOptiesDB[KostenOptie],0),IFERROR(MATCH(Methode_Keuze,Tb_KostenOptiesDB[#Headers],0),2))=1,_xlfn.SWITCH($N550,"Uurtarief",IF(OR(AND(RIGHT($F550,3)="IKS",VLOOKUP($M550,DB_Loonkosten,2,0)="Ja"),AND(RIGHT($F550,3)&lt;&gt;"IKS",VLOOKUP($M550,DB_Loonkosten,2,0)="Nee")),IFERROR(VLOOKUP($M550,DB_Loonkosten,25,0),""),0),"Vast tarief",IF(LEFT(F550,8)="Bijdrage",VLOOKUP($F550,Tb_KostenTypen[],MATCH(Lijsten!$P$1,Tb_KostenTypen[#Headers],0),0),VLOOKUP($G550,Lijsten!L:P,MATCH(Lijsten!$P$1,Kop_Tarief_Vast,0),0))),""),"")</f>
        <v/>
      </c>
      <c r="Q550" s="359"/>
      <c r="R550" s="359"/>
      <c r="S550" s="321"/>
      <c r="T550" s="321"/>
      <c r="U550" s="373" t="str">
        <f t="shared" si="32"/>
        <v/>
      </c>
      <c r="V550" s="314" t="str">
        <f t="shared" si="33"/>
        <v/>
      </c>
      <c r="W550" s="314" t="str" cm="1">
        <f t="array" aca="1" ref="W550" ca="1">IFERROR(IF(AE550&lt;&gt;"ja",_xlfn.IFNA(_xlfn.IFS(AND(O550&lt;&gt;"",F550&lt;&gt;"",RIGHT($N550,6)="tarief",F550="Vergoeding"),SUM(O550)*FLOOR(SUM(Q550),0.0001),AND(O550&lt;&gt;"",F550&lt;&gt;"",RIGHT($N550,6)="tarief"),SUM(O550)*FLOOR(SUM(Q550),0.01),S550&gt;0,IF(F550&lt;&gt;"",FLOOR(SUM(S550),0.01),"")),""),""),"")</f>
        <v/>
      </c>
      <c r="X550" s="314" t="str" cm="1">
        <f t="array" aca="1" ref="X550" ca="1">IFERROR(IF(AE550&lt;&gt;"ja",_xlfn.IFNA(_xlfn.IFS(AND(P550&lt;&gt;"",R550&lt;&gt;"",RIGHT($N550,6)="tarief",F550="Vergoeding"),SUM(P550)*FLOOR(SUM(R550),0.0001),AND(P550&lt;&gt;"",R550&lt;&gt;"",RIGHT($N550,6)="tarief"),P550*FLOOR(R550,0.01),T550&gt;0,FLOOR(SUM(T550),0.01)),""),""),"")</f>
        <v/>
      </c>
      <c r="Y550" s="314" t="str">
        <f t="shared" ca="1" si="34"/>
        <v/>
      </c>
      <c r="Z550" s="314" t="str" cm="1">
        <f t="array" aca="1" ref="Z550" ca="1">IFERROR(_xlfn.IFS(OR(F550="",LEFT(Methode_Keuze,4)="Geen",Methode_Keuze=""),"",AND(W550&lt;&gt;"",F550&lt;&gt;"Arbeidskosten"),W550*VLOOKUP(F550,Tb_ProjectKosten[],MATCH(Tb_ProjectKosten[[#Headers],[Forfait_Percentage]],Tb_ProjectKosten[#Headers],0),0),AND(F550="Arbeidskosten",G550&lt;&gt;""),IFERROR(W550*VLOOKUP(G550,Tb_KostenTypen[],3,0)*VLOOKUP(F550,Tb_ProjectKosten[],MATCH(Tb_ProjectKosten[[#Headers],[Forfait_Percentage]],Tb_ProjectKosten[#Headers],0),0),""),W550 &lt;=0,0),"")</f>
        <v/>
      </c>
      <c r="AA550" s="314" t="str" cm="1">
        <f t="array" aca="1" ref="AA550" ca="1">IFERROR(_xlfn.IFS(OR(F550="",LEFT(Methode_Keuze,4)="Geen",Methode_Keuze=""),"",AND(X550&lt;&gt;"",F550&lt;&gt;"Arbeidskosten"),X550*VLOOKUP(F550,Tb_ProjectKosten[],MATCH(Tb_ProjectKosten[[#Headers],[Forfait_Percentage]],Tb_ProjectKosten[#Headers],0),0),AND(F550="Arbeidskosten",G550&lt;&gt;""),IFERROR(X550*VLOOKUP(G550,Tb_KostenTypen[],3,0)*VLOOKUP(F550,Tb_ProjectKosten[],MATCH(Tb_ProjectKosten[[#Headers],[Forfait_Percentage]],Tb_ProjectKosten[#Headers],0),0),""),X550 &lt;=0,0),"")</f>
        <v/>
      </c>
      <c r="AB550" s="314" t="str">
        <f t="shared" ca="1" si="35"/>
        <v/>
      </c>
      <c r="AC550" s="322"/>
      <c r="AD550" s="315"/>
      <c r="AE550" s="32" t="str" cm="1">
        <f t="array" ref="AE550">IFERROR(IF(INDEX(SubsidieTabel!$AD$1:$AG$12,MATCH($F550,SubsidieTabel!$AD$1:$AD$12,0),IFERROR(MATCH(Methode_Keuze,SubsidieTabel!$AD$1:$AG$1,0),2))&lt;&gt;1=TRUE,"ja",""),"")</f>
        <v/>
      </c>
    </row>
    <row r="551" spans="1:31" x14ac:dyDescent="0.25">
      <c r="A551" s="316"/>
      <c r="B551" s="317" t="str">
        <f>IF(A551&lt;&gt;"",_xlfn.MAXIFS($B$1:B550,$A$1:A550,A551)+1,"")</f>
        <v/>
      </c>
      <c r="C551" s="296"/>
      <c r="D551" s="296"/>
      <c r="E551" s="296"/>
      <c r="F551" s="296"/>
      <c r="G551" s="326"/>
      <c r="H551" s="324"/>
      <c r="I551" s="325"/>
      <c r="J551" s="325"/>
      <c r="K551" s="318"/>
      <c r="L551" s="318"/>
      <c r="M551" s="319" t="str">
        <f>IFERROR(VLOOKUP(H551,Lijsten!$H$1:$I$100,2,0),"")</f>
        <v/>
      </c>
      <c r="N551" s="319" t="str">
        <f ca="1">IFERROR(IF(VLOOKUP(F551,Kostentypen!$A$3:$E$21,3,0)=0,"",IF(OR(F551="Arbeidskosten",F551="Vergoeding"),VLOOKUP(G551,Tb_KostenTypen[],2,0),VLOOKUP(F551,Kostentypen!$A$3:$E$20,3,0))),"")</f>
        <v/>
      </c>
      <c r="O551" s="320" t="str" cm="1">
        <f t="array" ref="O551">_xlfn.IFNA(IF(INDEX(Tb_KostenOptiesDB[],MATCH($F551,Tb_KostenOptiesDB[KostenOptie],0),IFERROR(MATCH(Methode_Keuze,Tb_KostenOptiesDB[#Headers],0),2))=1,_xlfn.SWITCH($N551,"Uurtarief",IF(OR(AND(RIGHT($F551,3)="IKS",VLOOKUP($M551,DB_Loonkosten,2,0)="Ja"),AND(RIGHT($F551,3)&lt;&gt;"IKS",VLOOKUP($M551,DB_Loonkosten,2,0)="Nee")),IFERROR(VLOOKUP($M551,DB_Loonkosten,24,0),""),0),"Vast tarief",IF(LEFT(F551,8)="Bijdrage",VLOOKUP($F551,Tb_KostenTypen[],MATCH(Lijsten!$P$1,Tb_KostenTypen[#Headers],0),0),VLOOKUP($G551,Lijsten!L:P,MATCH(Lijsten!$P$1,Kop_Tarief_Vast,0),0))),""),"")</f>
        <v/>
      </c>
      <c r="P551" s="320" t="str" cm="1">
        <f t="array" ref="P551">_xlfn.IFNA(IF(INDEX(Tb_KostenOptiesDB[],MATCH($F551,Tb_KostenOptiesDB[KostenOptie],0),IFERROR(MATCH(Methode_Keuze,Tb_KostenOptiesDB[#Headers],0),2))=1,_xlfn.SWITCH($N551,"Uurtarief",IF(OR(AND(RIGHT($F551,3)="IKS",VLOOKUP($M551,DB_Loonkosten,2,0)="Ja"),AND(RIGHT($F551,3)&lt;&gt;"IKS",VLOOKUP($M551,DB_Loonkosten,2,0)="Nee")),IFERROR(VLOOKUP($M551,DB_Loonkosten,25,0),""),0),"Vast tarief",IF(LEFT(F551,8)="Bijdrage",VLOOKUP($F551,Tb_KostenTypen[],MATCH(Lijsten!$P$1,Tb_KostenTypen[#Headers],0),0),VLOOKUP($G551,Lijsten!L:P,MATCH(Lijsten!$P$1,Kop_Tarief_Vast,0),0))),""),"")</f>
        <v/>
      </c>
      <c r="Q551" s="359"/>
      <c r="R551" s="359"/>
      <c r="S551" s="321"/>
      <c r="T551" s="321"/>
      <c r="U551" s="373" t="str">
        <f t="shared" si="32"/>
        <v/>
      </c>
      <c r="V551" s="314" t="str">
        <f t="shared" si="33"/>
        <v/>
      </c>
      <c r="W551" s="314" t="str" cm="1">
        <f t="array" aca="1" ref="W551" ca="1">IFERROR(IF(AE551&lt;&gt;"ja",_xlfn.IFNA(_xlfn.IFS(AND(O551&lt;&gt;"",F551&lt;&gt;"",RIGHT($N551,6)="tarief",F551="Vergoeding"),SUM(O551)*FLOOR(SUM(Q551),0.0001),AND(O551&lt;&gt;"",F551&lt;&gt;"",RIGHT($N551,6)="tarief"),SUM(O551)*FLOOR(SUM(Q551),0.01),S551&gt;0,IF(F551&lt;&gt;"",FLOOR(SUM(S551),0.01),"")),""),""),"")</f>
        <v/>
      </c>
      <c r="X551" s="314" t="str" cm="1">
        <f t="array" aca="1" ref="X551" ca="1">IFERROR(IF(AE551&lt;&gt;"ja",_xlfn.IFNA(_xlfn.IFS(AND(P551&lt;&gt;"",R551&lt;&gt;"",RIGHT($N551,6)="tarief",F551="Vergoeding"),SUM(P551)*FLOOR(SUM(R551),0.0001),AND(P551&lt;&gt;"",R551&lt;&gt;"",RIGHT($N551,6)="tarief"),P551*FLOOR(R551,0.01),T551&gt;0,FLOOR(SUM(T551),0.01)),""),""),"")</f>
        <v/>
      </c>
      <c r="Y551" s="314" t="str">
        <f t="shared" ca="1" si="34"/>
        <v/>
      </c>
      <c r="Z551" s="314" t="str" cm="1">
        <f t="array" aca="1" ref="Z551" ca="1">IFERROR(_xlfn.IFS(OR(F551="",LEFT(Methode_Keuze,4)="Geen",Methode_Keuze=""),"",AND(W551&lt;&gt;"",F551&lt;&gt;"Arbeidskosten"),W551*VLOOKUP(F551,Tb_ProjectKosten[],MATCH(Tb_ProjectKosten[[#Headers],[Forfait_Percentage]],Tb_ProjectKosten[#Headers],0),0),AND(F551="Arbeidskosten",G551&lt;&gt;""),IFERROR(W551*VLOOKUP(G551,Tb_KostenTypen[],3,0)*VLOOKUP(F551,Tb_ProjectKosten[],MATCH(Tb_ProjectKosten[[#Headers],[Forfait_Percentage]],Tb_ProjectKosten[#Headers],0),0),""),W551 &lt;=0,0),"")</f>
        <v/>
      </c>
      <c r="AA551" s="314" t="str" cm="1">
        <f t="array" aca="1" ref="AA551" ca="1">IFERROR(_xlfn.IFS(OR(F551="",LEFT(Methode_Keuze,4)="Geen",Methode_Keuze=""),"",AND(X551&lt;&gt;"",F551&lt;&gt;"Arbeidskosten"),X551*VLOOKUP(F551,Tb_ProjectKosten[],MATCH(Tb_ProjectKosten[[#Headers],[Forfait_Percentage]],Tb_ProjectKosten[#Headers],0),0),AND(F551="Arbeidskosten",G551&lt;&gt;""),IFERROR(X551*VLOOKUP(G551,Tb_KostenTypen[],3,0)*VLOOKUP(F551,Tb_ProjectKosten[],MATCH(Tb_ProjectKosten[[#Headers],[Forfait_Percentage]],Tb_ProjectKosten[#Headers],0),0),""),X551 &lt;=0,0),"")</f>
        <v/>
      </c>
      <c r="AB551" s="314" t="str">
        <f t="shared" ca="1" si="35"/>
        <v/>
      </c>
      <c r="AC551" s="322"/>
      <c r="AD551" s="315"/>
      <c r="AE551" s="32" t="str" cm="1">
        <f t="array" ref="AE551">IFERROR(IF(INDEX(SubsidieTabel!$AD$1:$AG$12,MATCH($F551,SubsidieTabel!$AD$1:$AD$12,0),IFERROR(MATCH(Methode_Keuze,SubsidieTabel!$AD$1:$AG$1,0),2))&lt;&gt;1=TRUE,"ja",""),"")</f>
        <v/>
      </c>
    </row>
    <row r="552" spans="1:31" x14ac:dyDescent="0.25">
      <c r="A552" s="316"/>
      <c r="B552" s="317" t="str">
        <f>IF(A552&lt;&gt;"",_xlfn.MAXIFS($B$1:B551,$A$1:A551,A552)+1,"")</f>
        <v/>
      </c>
      <c r="C552" s="296"/>
      <c r="D552" s="296"/>
      <c r="E552" s="296"/>
      <c r="F552" s="296"/>
      <c r="G552" s="326"/>
      <c r="H552" s="324"/>
      <c r="I552" s="325"/>
      <c r="J552" s="325"/>
      <c r="K552" s="318"/>
      <c r="L552" s="318"/>
      <c r="M552" s="319" t="str">
        <f>IFERROR(VLOOKUP(H552,Lijsten!$H$1:$I$100,2,0),"")</f>
        <v/>
      </c>
      <c r="N552" s="319" t="str">
        <f ca="1">IFERROR(IF(VLOOKUP(F552,Kostentypen!$A$3:$E$21,3,0)=0,"",IF(OR(F552="Arbeidskosten",F552="Vergoeding"),VLOOKUP(G552,Tb_KostenTypen[],2,0),VLOOKUP(F552,Kostentypen!$A$3:$E$20,3,0))),"")</f>
        <v/>
      </c>
      <c r="O552" s="320" t="str" cm="1">
        <f t="array" ref="O552">_xlfn.IFNA(IF(INDEX(Tb_KostenOptiesDB[],MATCH($F552,Tb_KostenOptiesDB[KostenOptie],0),IFERROR(MATCH(Methode_Keuze,Tb_KostenOptiesDB[#Headers],0),2))=1,_xlfn.SWITCH($N552,"Uurtarief",IF(OR(AND(RIGHT($F552,3)="IKS",VLOOKUP($M552,DB_Loonkosten,2,0)="Ja"),AND(RIGHT($F552,3)&lt;&gt;"IKS",VLOOKUP($M552,DB_Loonkosten,2,0)="Nee")),IFERROR(VLOOKUP($M552,DB_Loonkosten,24,0),""),0),"Vast tarief",IF(LEFT(F552,8)="Bijdrage",VLOOKUP($F552,Tb_KostenTypen[],MATCH(Lijsten!$P$1,Tb_KostenTypen[#Headers],0),0),VLOOKUP($G552,Lijsten!L:P,MATCH(Lijsten!$P$1,Kop_Tarief_Vast,0),0))),""),"")</f>
        <v/>
      </c>
      <c r="P552" s="320" t="str" cm="1">
        <f t="array" ref="P552">_xlfn.IFNA(IF(INDEX(Tb_KostenOptiesDB[],MATCH($F552,Tb_KostenOptiesDB[KostenOptie],0),IFERROR(MATCH(Methode_Keuze,Tb_KostenOptiesDB[#Headers],0),2))=1,_xlfn.SWITCH($N552,"Uurtarief",IF(OR(AND(RIGHT($F552,3)="IKS",VLOOKUP($M552,DB_Loonkosten,2,0)="Ja"),AND(RIGHT($F552,3)&lt;&gt;"IKS",VLOOKUP($M552,DB_Loonkosten,2,0)="Nee")),IFERROR(VLOOKUP($M552,DB_Loonkosten,25,0),""),0),"Vast tarief",IF(LEFT(F552,8)="Bijdrage",VLOOKUP($F552,Tb_KostenTypen[],MATCH(Lijsten!$P$1,Tb_KostenTypen[#Headers],0),0),VLOOKUP($G552,Lijsten!L:P,MATCH(Lijsten!$P$1,Kop_Tarief_Vast,0),0))),""),"")</f>
        <v/>
      </c>
      <c r="Q552" s="359"/>
      <c r="R552" s="359"/>
      <c r="S552" s="321"/>
      <c r="T552" s="321"/>
      <c r="U552" s="373" t="str">
        <f t="shared" si="32"/>
        <v/>
      </c>
      <c r="V552" s="314" t="str">
        <f t="shared" si="33"/>
        <v/>
      </c>
      <c r="W552" s="314" t="str" cm="1">
        <f t="array" aca="1" ref="W552" ca="1">IFERROR(IF(AE552&lt;&gt;"ja",_xlfn.IFNA(_xlfn.IFS(AND(O552&lt;&gt;"",F552&lt;&gt;"",RIGHT($N552,6)="tarief",F552="Vergoeding"),SUM(O552)*FLOOR(SUM(Q552),0.0001),AND(O552&lt;&gt;"",F552&lt;&gt;"",RIGHT($N552,6)="tarief"),SUM(O552)*FLOOR(SUM(Q552),0.01),S552&gt;0,IF(F552&lt;&gt;"",FLOOR(SUM(S552),0.01),"")),""),""),"")</f>
        <v/>
      </c>
      <c r="X552" s="314" t="str" cm="1">
        <f t="array" aca="1" ref="X552" ca="1">IFERROR(IF(AE552&lt;&gt;"ja",_xlfn.IFNA(_xlfn.IFS(AND(P552&lt;&gt;"",R552&lt;&gt;"",RIGHT($N552,6)="tarief",F552="Vergoeding"),SUM(P552)*FLOOR(SUM(R552),0.0001),AND(P552&lt;&gt;"",R552&lt;&gt;"",RIGHT($N552,6)="tarief"),P552*FLOOR(R552,0.01),T552&gt;0,FLOOR(SUM(T552),0.01)),""),""),"")</f>
        <v/>
      </c>
      <c r="Y552" s="314" t="str">
        <f t="shared" ca="1" si="34"/>
        <v/>
      </c>
      <c r="Z552" s="314" t="str" cm="1">
        <f t="array" aca="1" ref="Z552" ca="1">IFERROR(_xlfn.IFS(OR(F552="",LEFT(Methode_Keuze,4)="Geen",Methode_Keuze=""),"",AND(W552&lt;&gt;"",F552&lt;&gt;"Arbeidskosten"),W552*VLOOKUP(F552,Tb_ProjectKosten[],MATCH(Tb_ProjectKosten[[#Headers],[Forfait_Percentage]],Tb_ProjectKosten[#Headers],0),0),AND(F552="Arbeidskosten",G552&lt;&gt;""),IFERROR(W552*VLOOKUP(G552,Tb_KostenTypen[],3,0)*VLOOKUP(F552,Tb_ProjectKosten[],MATCH(Tb_ProjectKosten[[#Headers],[Forfait_Percentage]],Tb_ProjectKosten[#Headers],0),0),""),W552 &lt;=0,0),"")</f>
        <v/>
      </c>
      <c r="AA552" s="314" t="str" cm="1">
        <f t="array" aca="1" ref="AA552" ca="1">IFERROR(_xlfn.IFS(OR(F552="",LEFT(Methode_Keuze,4)="Geen",Methode_Keuze=""),"",AND(X552&lt;&gt;"",F552&lt;&gt;"Arbeidskosten"),X552*VLOOKUP(F552,Tb_ProjectKosten[],MATCH(Tb_ProjectKosten[[#Headers],[Forfait_Percentage]],Tb_ProjectKosten[#Headers],0),0),AND(F552="Arbeidskosten",G552&lt;&gt;""),IFERROR(X552*VLOOKUP(G552,Tb_KostenTypen[],3,0)*VLOOKUP(F552,Tb_ProjectKosten[],MATCH(Tb_ProjectKosten[[#Headers],[Forfait_Percentage]],Tb_ProjectKosten[#Headers],0),0),""),X552 &lt;=0,0),"")</f>
        <v/>
      </c>
      <c r="AB552" s="314" t="str">
        <f t="shared" ca="1" si="35"/>
        <v/>
      </c>
      <c r="AC552" s="322"/>
      <c r="AD552" s="315"/>
      <c r="AE552" s="32" t="str" cm="1">
        <f t="array" ref="AE552">IFERROR(IF(INDEX(SubsidieTabel!$AD$1:$AG$12,MATCH($F552,SubsidieTabel!$AD$1:$AD$12,0),IFERROR(MATCH(Methode_Keuze,SubsidieTabel!$AD$1:$AG$1,0),2))&lt;&gt;1=TRUE,"ja",""),"")</f>
        <v/>
      </c>
    </row>
    <row r="553" spans="1:31" x14ac:dyDescent="0.25">
      <c r="A553" s="316"/>
      <c r="B553" s="317" t="str">
        <f>IF(A553&lt;&gt;"",_xlfn.MAXIFS($B$1:B552,$A$1:A552,A553)+1,"")</f>
        <v/>
      </c>
      <c r="C553" s="296"/>
      <c r="D553" s="296"/>
      <c r="E553" s="296"/>
      <c r="F553" s="296"/>
      <c r="G553" s="326"/>
      <c r="H553" s="324"/>
      <c r="I553" s="325"/>
      <c r="J553" s="325"/>
      <c r="K553" s="318"/>
      <c r="L553" s="318"/>
      <c r="M553" s="319" t="str">
        <f>IFERROR(VLOOKUP(H553,Lijsten!$H$1:$I$100,2,0),"")</f>
        <v/>
      </c>
      <c r="N553" s="319" t="str">
        <f ca="1">IFERROR(IF(VLOOKUP(F553,Kostentypen!$A$3:$E$21,3,0)=0,"",IF(OR(F553="Arbeidskosten",F553="Vergoeding"),VLOOKUP(G553,Tb_KostenTypen[],2,0),VLOOKUP(F553,Kostentypen!$A$3:$E$20,3,0))),"")</f>
        <v/>
      </c>
      <c r="O553" s="320" t="str" cm="1">
        <f t="array" ref="O553">_xlfn.IFNA(IF(INDEX(Tb_KostenOptiesDB[],MATCH($F553,Tb_KostenOptiesDB[KostenOptie],0),IFERROR(MATCH(Methode_Keuze,Tb_KostenOptiesDB[#Headers],0),2))=1,_xlfn.SWITCH($N553,"Uurtarief",IF(OR(AND(RIGHT($F553,3)="IKS",VLOOKUP($M553,DB_Loonkosten,2,0)="Ja"),AND(RIGHT($F553,3)&lt;&gt;"IKS",VLOOKUP($M553,DB_Loonkosten,2,0)="Nee")),IFERROR(VLOOKUP($M553,DB_Loonkosten,24,0),""),0),"Vast tarief",IF(LEFT(F553,8)="Bijdrage",VLOOKUP($F553,Tb_KostenTypen[],MATCH(Lijsten!$P$1,Tb_KostenTypen[#Headers],0),0),VLOOKUP($G553,Lijsten!L:P,MATCH(Lijsten!$P$1,Kop_Tarief_Vast,0),0))),""),"")</f>
        <v/>
      </c>
      <c r="P553" s="320" t="str" cm="1">
        <f t="array" ref="P553">_xlfn.IFNA(IF(INDEX(Tb_KostenOptiesDB[],MATCH($F553,Tb_KostenOptiesDB[KostenOptie],0),IFERROR(MATCH(Methode_Keuze,Tb_KostenOptiesDB[#Headers],0),2))=1,_xlfn.SWITCH($N553,"Uurtarief",IF(OR(AND(RIGHT($F553,3)="IKS",VLOOKUP($M553,DB_Loonkosten,2,0)="Ja"),AND(RIGHT($F553,3)&lt;&gt;"IKS",VLOOKUP($M553,DB_Loonkosten,2,0)="Nee")),IFERROR(VLOOKUP($M553,DB_Loonkosten,25,0),""),0),"Vast tarief",IF(LEFT(F553,8)="Bijdrage",VLOOKUP($F553,Tb_KostenTypen[],MATCH(Lijsten!$P$1,Tb_KostenTypen[#Headers],0),0),VLOOKUP($G553,Lijsten!L:P,MATCH(Lijsten!$P$1,Kop_Tarief_Vast,0),0))),""),"")</f>
        <v/>
      </c>
      <c r="Q553" s="359"/>
      <c r="R553" s="359"/>
      <c r="S553" s="321"/>
      <c r="T553" s="321"/>
      <c r="U553" s="373" t="str">
        <f t="shared" si="32"/>
        <v/>
      </c>
      <c r="V553" s="314" t="str">
        <f t="shared" si="33"/>
        <v/>
      </c>
      <c r="W553" s="314" t="str" cm="1">
        <f t="array" aca="1" ref="W553" ca="1">IFERROR(IF(AE553&lt;&gt;"ja",_xlfn.IFNA(_xlfn.IFS(AND(O553&lt;&gt;"",F553&lt;&gt;"",RIGHT($N553,6)="tarief",F553="Vergoeding"),SUM(O553)*FLOOR(SUM(Q553),0.0001),AND(O553&lt;&gt;"",F553&lt;&gt;"",RIGHT($N553,6)="tarief"),SUM(O553)*FLOOR(SUM(Q553),0.01),S553&gt;0,IF(F553&lt;&gt;"",FLOOR(SUM(S553),0.01),"")),""),""),"")</f>
        <v/>
      </c>
      <c r="X553" s="314" t="str" cm="1">
        <f t="array" aca="1" ref="X553" ca="1">IFERROR(IF(AE553&lt;&gt;"ja",_xlfn.IFNA(_xlfn.IFS(AND(P553&lt;&gt;"",R553&lt;&gt;"",RIGHT($N553,6)="tarief",F553="Vergoeding"),SUM(P553)*FLOOR(SUM(R553),0.0001),AND(P553&lt;&gt;"",R553&lt;&gt;"",RIGHT($N553,6)="tarief"),P553*FLOOR(R553,0.01),T553&gt;0,FLOOR(SUM(T553),0.01)),""),""),"")</f>
        <v/>
      </c>
      <c r="Y553" s="314" t="str">
        <f t="shared" ca="1" si="34"/>
        <v/>
      </c>
      <c r="Z553" s="314" t="str" cm="1">
        <f t="array" aca="1" ref="Z553" ca="1">IFERROR(_xlfn.IFS(OR(F553="",LEFT(Methode_Keuze,4)="Geen",Methode_Keuze=""),"",AND(W553&lt;&gt;"",F553&lt;&gt;"Arbeidskosten"),W553*VLOOKUP(F553,Tb_ProjectKosten[],MATCH(Tb_ProjectKosten[[#Headers],[Forfait_Percentage]],Tb_ProjectKosten[#Headers],0),0),AND(F553="Arbeidskosten",G553&lt;&gt;""),IFERROR(W553*VLOOKUP(G553,Tb_KostenTypen[],3,0)*VLOOKUP(F553,Tb_ProjectKosten[],MATCH(Tb_ProjectKosten[[#Headers],[Forfait_Percentage]],Tb_ProjectKosten[#Headers],0),0),""),W553 &lt;=0,0),"")</f>
        <v/>
      </c>
      <c r="AA553" s="314" t="str" cm="1">
        <f t="array" aca="1" ref="AA553" ca="1">IFERROR(_xlfn.IFS(OR(F553="",LEFT(Methode_Keuze,4)="Geen",Methode_Keuze=""),"",AND(X553&lt;&gt;"",F553&lt;&gt;"Arbeidskosten"),X553*VLOOKUP(F553,Tb_ProjectKosten[],MATCH(Tb_ProjectKosten[[#Headers],[Forfait_Percentage]],Tb_ProjectKosten[#Headers],0),0),AND(F553="Arbeidskosten",G553&lt;&gt;""),IFERROR(X553*VLOOKUP(G553,Tb_KostenTypen[],3,0)*VLOOKUP(F553,Tb_ProjectKosten[],MATCH(Tb_ProjectKosten[[#Headers],[Forfait_Percentage]],Tb_ProjectKosten[#Headers],0),0),""),X553 &lt;=0,0),"")</f>
        <v/>
      </c>
      <c r="AB553" s="314" t="str">
        <f t="shared" ca="1" si="35"/>
        <v/>
      </c>
      <c r="AC553" s="322"/>
      <c r="AD553" s="315"/>
      <c r="AE553" s="32" t="str" cm="1">
        <f t="array" ref="AE553">IFERROR(IF(INDEX(SubsidieTabel!$AD$1:$AG$12,MATCH($F553,SubsidieTabel!$AD$1:$AD$12,0),IFERROR(MATCH(Methode_Keuze,SubsidieTabel!$AD$1:$AG$1,0),2))&lt;&gt;1=TRUE,"ja",""),"")</f>
        <v/>
      </c>
    </row>
    <row r="554" spans="1:31" x14ac:dyDescent="0.25">
      <c r="A554" s="316"/>
      <c r="B554" s="317" t="str">
        <f>IF(A554&lt;&gt;"",_xlfn.MAXIFS($B$1:B553,$A$1:A553,A554)+1,"")</f>
        <v/>
      </c>
      <c r="C554" s="296"/>
      <c r="D554" s="296"/>
      <c r="E554" s="296"/>
      <c r="F554" s="296"/>
      <c r="G554" s="326"/>
      <c r="H554" s="324"/>
      <c r="I554" s="325"/>
      <c r="J554" s="325"/>
      <c r="K554" s="318"/>
      <c r="L554" s="318"/>
      <c r="M554" s="319" t="str">
        <f>IFERROR(VLOOKUP(H554,Lijsten!$H$1:$I$100,2,0),"")</f>
        <v/>
      </c>
      <c r="N554" s="319" t="str">
        <f ca="1">IFERROR(IF(VLOOKUP(F554,Kostentypen!$A$3:$E$21,3,0)=0,"",IF(OR(F554="Arbeidskosten",F554="Vergoeding"),VLOOKUP(G554,Tb_KostenTypen[],2,0),VLOOKUP(F554,Kostentypen!$A$3:$E$20,3,0))),"")</f>
        <v/>
      </c>
      <c r="O554" s="320" t="str" cm="1">
        <f t="array" ref="O554">_xlfn.IFNA(IF(INDEX(Tb_KostenOptiesDB[],MATCH($F554,Tb_KostenOptiesDB[KostenOptie],0),IFERROR(MATCH(Methode_Keuze,Tb_KostenOptiesDB[#Headers],0),2))=1,_xlfn.SWITCH($N554,"Uurtarief",IF(OR(AND(RIGHT($F554,3)="IKS",VLOOKUP($M554,DB_Loonkosten,2,0)="Ja"),AND(RIGHT($F554,3)&lt;&gt;"IKS",VLOOKUP($M554,DB_Loonkosten,2,0)="Nee")),IFERROR(VLOOKUP($M554,DB_Loonkosten,24,0),""),0),"Vast tarief",IF(LEFT(F554,8)="Bijdrage",VLOOKUP($F554,Tb_KostenTypen[],MATCH(Lijsten!$P$1,Tb_KostenTypen[#Headers],0),0),VLOOKUP($G554,Lijsten!L:P,MATCH(Lijsten!$P$1,Kop_Tarief_Vast,0),0))),""),"")</f>
        <v/>
      </c>
      <c r="P554" s="320" t="str" cm="1">
        <f t="array" ref="P554">_xlfn.IFNA(IF(INDEX(Tb_KostenOptiesDB[],MATCH($F554,Tb_KostenOptiesDB[KostenOptie],0),IFERROR(MATCH(Methode_Keuze,Tb_KostenOptiesDB[#Headers],0),2))=1,_xlfn.SWITCH($N554,"Uurtarief",IF(OR(AND(RIGHT($F554,3)="IKS",VLOOKUP($M554,DB_Loonkosten,2,0)="Ja"),AND(RIGHT($F554,3)&lt;&gt;"IKS",VLOOKUP($M554,DB_Loonkosten,2,0)="Nee")),IFERROR(VLOOKUP($M554,DB_Loonkosten,25,0),""),0),"Vast tarief",IF(LEFT(F554,8)="Bijdrage",VLOOKUP($F554,Tb_KostenTypen[],MATCH(Lijsten!$P$1,Tb_KostenTypen[#Headers],0),0),VLOOKUP($G554,Lijsten!L:P,MATCH(Lijsten!$P$1,Kop_Tarief_Vast,0),0))),""),"")</f>
        <v/>
      </c>
      <c r="Q554" s="359"/>
      <c r="R554" s="359"/>
      <c r="S554" s="321"/>
      <c r="T554" s="321"/>
      <c r="U554" s="373" t="str">
        <f t="shared" si="32"/>
        <v/>
      </c>
      <c r="V554" s="314" t="str">
        <f t="shared" si="33"/>
        <v/>
      </c>
      <c r="W554" s="314" t="str" cm="1">
        <f t="array" aca="1" ref="W554" ca="1">IFERROR(IF(AE554&lt;&gt;"ja",_xlfn.IFNA(_xlfn.IFS(AND(O554&lt;&gt;"",F554&lt;&gt;"",RIGHT($N554,6)="tarief",F554="Vergoeding"),SUM(O554)*FLOOR(SUM(Q554),0.0001),AND(O554&lt;&gt;"",F554&lt;&gt;"",RIGHT($N554,6)="tarief"),SUM(O554)*FLOOR(SUM(Q554),0.01),S554&gt;0,IF(F554&lt;&gt;"",FLOOR(SUM(S554),0.01),"")),""),""),"")</f>
        <v/>
      </c>
      <c r="X554" s="314" t="str" cm="1">
        <f t="array" aca="1" ref="X554" ca="1">IFERROR(IF(AE554&lt;&gt;"ja",_xlfn.IFNA(_xlfn.IFS(AND(P554&lt;&gt;"",R554&lt;&gt;"",RIGHT($N554,6)="tarief",F554="Vergoeding"),SUM(P554)*FLOOR(SUM(R554),0.0001),AND(P554&lt;&gt;"",R554&lt;&gt;"",RIGHT($N554,6)="tarief"),P554*FLOOR(R554,0.01),T554&gt;0,FLOOR(SUM(T554),0.01)),""),""),"")</f>
        <v/>
      </c>
      <c r="Y554" s="314" t="str">
        <f t="shared" ca="1" si="34"/>
        <v/>
      </c>
      <c r="Z554" s="314" t="str" cm="1">
        <f t="array" aca="1" ref="Z554" ca="1">IFERROR(_xlfn.IFS(OR(F554="",LEFT(Methode_Keuze,4)="Geen",Methode_Keuze=""),"",AND(W554&lt;&gt;"",F554&lt;&gt;"Arbeidskosten"),W554*VLOOKUP(F554,Tb_ProjectKosten[],MATCH(Tb_ProjectKosten[[#Headers],[Forfait_Percentage]],Tb_ProjectKosten[#Headers],0),0),AND(F554="Arbeidskosten",G554&lt;&gt;""),IFERROR(W554*VLOOKUP(G554,Tb_KostenTypen[],3,0)*VLOOKUP(F554,Tb_ProjectKosten[],MATCH(Tb_ProjectKosten[[#Headers],[Forfait_Percentage]],Tb_ProjectKosten[#Headers],0),0),""),W554 &lt;=0,0),"")</f>
        <v/>
      </c>
      <c r="AA554" s="314" t="str" cm="1">
        <f t="array" aca="1" ref="AA554" ca="1">IFERROR(_xlfn.IFS(OR(F554="",LEFT(Methode_Keuze,4)="Geen",Methode_Keuze=""),"",AND(X554&lt;&gt;"",F554&lt;&gt;"Arbeidskosten"),X554*VLOOKUP(F554,Tb_ProjectKosten[],MATCH(Tb_ProjectKosten[[#Headers],[Forfait_Percentage]],Tb_ProjectKosten[#Headers],0),0),AND(F554="Arbeidskosten",G554&lt;&gt;""),IFERROR(X554*VLOOKUP(G554,Tb_KostenTypen[],3,0)*VLOOKUP(F554,Tb_ProjectKosten[],MATCH(Tb_ProjectKosten[[#Headers],[Forfait_Percentage]],Tb_ProjectKosten[#Headers],0),0),""),X554 &lt;=0,0),"")</f>
        <v/>
      </c>
      <c r="AB554" s="314" t="str">
        <f t="shared" ca="1" si="35"/>
        <v/>
      </c>
      <c r="AC554" s="322"/>
      <c r="AD554" s="315"/>
      <c r="AE554" s="32" t="str" cm="1">
        <f t="array" ref="AE554">IFERROR(IF(INDEX(SubsidieTabel!$AD$1:$AG$12,MATCH($F554,SubsidieTabel!$AD$1:$AD$12,0),IFERROR(MATCH(Methode_Keuze,SubsidieTabel!$AD$1:$AG$1,0),2))&lt;&gt;1=TRUE,"ja",""),"")</f>
        <v/>
      </c>
    </row>
    <row r="555" spans="1:31" x14ac:dyDescent="0.25">
      <c r="A555" s="316"/>
      <c r="B555" s="317" t="str">
        <f>IF(A555&lt;&gt;"",_xlfn.MAXIFS($B$1:B554,$A$1:A554,A555)+1,"")</f>
        <v/>
      </c>
      <c r="C555" s="296"/>
      <c r="D555" s="296"/>
      <c r="E555" s="296"/>
      <c r="F555" s="296"/>
      <c r="G555" s="326"/>
      <c r="H555" s="324"/>
      <c r="I555" s="325"/>
      <c r="J555" s="325"/>
      <c r="K555" s="318"/>
      <c r="L555" s="318"/>
      <c r="M555" s="319" t="str">
        <f>IFERROR(VLOOKUP(H555,Lijsten!$H$1:$I$100,2,0),"")</f>
        <v/>
      </c>
      <c r="N555" s="319" t="str">
        <f ca="1">IFERROR(IF(VLOOKUP(F555,Kostentypen!$A$3:$E$21,3,0)=0,"",IF(OR(F555="Arbeidskosten",F555="Vergoeding"),VLOOKUP(G555,Tb_KostenTypen[],2,0),VLOOKUP(F555,Kostentypen!$A$3:$E$20,3,0))),"")</f>
        <v/>
      </c>
      <c r="O555" s="320" t="str" cm="1">
        <f t="array" ref="O555">_xlfn.IFNA(IF(INDEX(Tb_KostenOptiesDB[],MATCH($F555,Tb_KostenOptiesDB[KostenOptie],0),IFERROR(MATCH(Methode_Keuze,Tb_KostenOptiesDB[#Headers],0),2))=1,_xlfn.SWITCH($N555,"Uurtarief",IF(OR(AND(RIGHT($F555,3)="IKS",VLOOKUP($M555,DB_Loonkosten,2,0)="Ja"),AND(RIGHT($F555,3)&lt;&gt;"IKS",VLOOKUP($M555,DB_Loonkosten,2,0)="Nee")),IFERROR(VLOOKUP($M555,DB_Loonkosten,24,0),""),0),"Vast tarief",IF(LEFT(F555,8)="Bijdrage",VLOOKUP($F555,Tb_KostenTypen[],MATCH(Lijsten!$P$1,Tb_KostenTypen[#Headers],0),0),VLOOKUP($G555,Lijsten!L:P,MATCH(Lijsten!$P$1,Kop_Tarief_Vast,0),0))),""),"")</f>
        <v/>
      </c>
      <c r="P555" s="320" t="str" cm="1">
        <f t="array" ref="P555">_xlfn.IFNA(IF(INDEX(Tb_KostenOptiesDB[],MATCH($F555,Tb_KostenOptiesDB[KostenOptie],0),IFERROR(MATCH(Methode_Keuze,Tb_KostenOptiesDB[#Headers],0),2))=1,_xlfn.SWITCH($N555,"Uurtarief",IF(OR(AND(RIGHT($F555,3)="IKS",VLOOKUP($M555,DB_Loonkosten,2,0)="Ja"),AND(RIGHT($F555,3)&lt;&gt;"IKS",VLOOKUP($M555,DB_Loonkosten,2,0)="Nee")),IFERROR(VLOOKUP($M555,DB_Loonkosten,25,0),""),0),"Vast tarief",IF(LEFT(F555,8)="Bijdrage",VLOOKUP($F555,Tb_KostenTypen[],MATCH(Lijsten!$P$1,Tb_KostenTypen[#Headers],0),0),VLOOKUP($G555,Lijsten!L:P,MATCH(Lijsten!$P$1,Kop_Tarief_Vast,0),0))),""),"")</f>
        <v/>
      </c>
      <c r="Q555" s="359"/>
      <c r="R555" s="359"/>
      <c r="S555" s="321"/>
      <c r="T555" s="321"/>
      <c r="U555" s="373" t="str">
        <f t="shared" si="32"/>
        <v/>
      </c>
      <c r="V555" s="314" t="str">
        <f t="shared" si="33"/>
        <v/>
      </c>
      <c r="W555" s="314" t="str" cm="1">
        <f t="array" aca="1" ref="W555" ca="1">IFERROR(IF(AE555&lt;&gt;"ja",_xlfn.IFNA(_xlfn.IFS(AND(O555&lt;&gt;"",F555&lt;&gt;"",RIGHT($N555,6)="tarief",F555="Vergoeding"),SUM(O555)*FLOOR(SUM(Q555),0.0001),AND(O555&lt;&gt;"",F555&lt;&gt;"",RIGHT($N555,6)="tarief"),SUM(O555)*FLOOR(SUM(Q555),0.01),S555&gt;0,IF(F555&lt;&gt;"",FLOOR(SUM(S555),0.01),"")),""),""),"")</f>
        <v/>
      </c>
      <c r="X555" s="314" t="str" cm="1">
        <f t="array" aca="1" ref="X555" ca="1">IFERROR(IF(AE555&lt;&gt;"ja",_xlfn.IFNA(_xlfn.IFS(AND(P555&lt;&gt;"",R555&lt;&gt;"",RIGHT($N555,6)="tarief",F555="Vergoeding"),SUM(P555)*FLOOR(SUM(R555),0.0001),AND(P555&lt;&gt;"",R555&lt;&gt;"",RIGHT($N555,6)="tarief"),P555*FLOOR(R555,0.01),T555&gt;0,FLOOR(SUM(T555),0.01)),""),""),"")</f>
        <v/>
      </c>
      <c r="Y555" s="314" t="str">
        <f t="shared" ca="1" si="34"/>
        <v/>
      </c>
      <c r="Z555" s="314" t="str" cm="1">
        <f t="array" aca="1" ref="Z555" ca="1">IFERROR(_xlfn.IFS(OR(F555="",LEFT(Methode_Keuze,4)="Geen",Methode_Keuze=""),"",AND(W555&lt;&gt;"",F555&lt;&gt;"Arbeidskosten"),W555*VLOOKUP(F555,Tb_ProjectKosten[],MATCH(Tb_ProjectKosten[[#Headers],[Forfait_Percentage]],Tb_ProjectKosten[#Headers],0),0),AND(F555="Arbeidskosten",G555&lt;&gt;""),IFERROR(W555*VLOOKUP(G555,Tb_KostenTypen[],3,0)*VLOOKUP(F555,Tb_ProjectKosten[],MATCH(Tb_ProjectKosten[[#Headers],[Forfait_Percentage]],Tb_ProjectKosten[#Headers],0),0),""),W555 &lt;=0,0),"")</f>
        <v/>
      </c>
      <c r="AA555" s="314" t="str" cm="1">
        <f t="array" aca="1" ref="AA555" ca="1">IFERROR(_xlfn.IFS(OR(F555="",LEFT(Methode_Keuze,4)="Geen",Methode_Keuze=""),"",AND(X555&lt;&gt;"",F555&lt;&gt;"Arbeidskosten"),X555*VLOOKUP(F555,Tb_ProjectKosten[],MATCH(Tb_ProjectKosten[[#Headers],[Forfait_Percentage]],Tb_ProjectKosten[#Headers],0),0),AND(F555="Arbeidskosten",G555&lt;&gt;""),IFERROR(X555*VLOOKUP(G555,Tb_KostenTypen[],3,0)*VLOOKUP(F555,Tb_ProjectKosten[],MATCH(Tb_ProjectKosten[[#Headers],[Forfait_Percentage]],Tb_ProjectKosten[#Headers],0),0),""),X555 &lt;=0,0),"")</f>
        <v/>
      </c>
      <c r="AB555" s="314" t="str">
        <f t="shared" ca="1" si="35"/>
        <v/>
      </c>
      <c r="AC555" s="322"/>
      <c r="AD555" s="315"/>
      <c r="AE555" s="32" t="str" cm="1">
        <f t="array" ref="AE555">IFERROR(IF(INDEX(SubsidieTabel!$AD$1:$AG$12,MATCH($F555,SubsidieTabel!$AD$1:$AD$12,0),IFERROR(MATCH(Methode_Keuze,SubsidieTabel!$AD$1:$AG$1,0),2))&lt;&gt;1=TRUE,"ja",""),"")</f>
        <v/>
      </c>
    </row>
    <row r="556" spans="1:31" x14ac:dyDescent="0.25">
      <c r="A556" s="316"/>
      <c r="B556" s="317" t="str">
        <f>IF(A556&lt;&gt;"",_xlfn.MAXIFS($B$1:B555,$A$1:A555,A556)+1,"")</f>
        <v/>
      </c>
      <c r="C556" s="296"/>
      <c r="D556" s="296"/>
      <c r="E556" s="296"/>
      <c r="F556" s="296"/>
      <c r="G556" s="326"/>
      <c r="H556" s="324"/>
      <c r="I556" s="325"/>
      <c r="J556" s="325"/>
      <c r="K556" s="318"/>
      <c r="L556" s="318"/>
      <c r="M556" s="319" t="str">
        <f>IFERROR(VLOOKUP(H556,Lijsten!$H$1:$I$100,2,0),"")</f>
        <v/>
      </c>
      <c r="N556" s="319" t="str">
        <f ca="1">IFERROR(IF(VLOOKUP(F556,Kostentypen!$A$3:$E$21,3,0)=0,"",IF(OR(F556="Arbeidskosten",F556="Vergoeding"),VLOOKUP(G556,Tb_KostenTypen[],2,0),VLOOKUP(F556,Kostentypen!$A$3:$E$20,3,0))),"")</f>
        <v/>
      </c>
      <c r="O556" s="320" t="str" cm="1">
        <f t="array" ref="O556">_xlfn.IFNA(IF(INDEX(Tb_KostenOptiesDB[],MATCH($F556,Tb_KostenOptiesDB[KostenOptie],0),IFERROR(MATCH(Methode_Keuze,Tb_KostenOptiesDB[#Headers],0),2))=1,_xlfn.SWITCH($N556,"Uurtarief",IF(OR(AND(RIGHT($F556,3)="IKS",VLOOKUP($M556,DB_Loonkosten,2,0)="Ja"),AND(RIGHT($F556,3)&lt;&gt;"IKS",VLOOKUP($M556,DB_Loonkosten,2,0)="Nee")),IFERROR(VLOOKUP($M556,DB_Loonkosten,24,0),""),0),"Vast tarief",IF(LEFT(F556,8)="Bijdrage",VLOOKUP($F556,Tb_KostenTypen[],MATCH(Lijsten!$P$1,Tb_KostenTypen[#Headers],0),0),VLOOKUP($G556,Lijsten!L:P,MATCH(Lijsten!$P$1,Kop_Tarief_Vast,0),0))),""),"")</f>
        <v/>
      </c>
      <c r="P556" s="320" t="str" cm="1">
        <f t="array" ref="P556">_xlfn.IFNA(IF(INDEX(Tb_KostenOptiesDB[],MATCH($F556,Tb_KostenOptiesDB[KostenOptie],0),IFERROR(MATCH(Methode_Keuze,Tb_KostenOptiesDB[#Headers],0),2))=1,_xlfn.SWITCH($N556,"Uurtarief",IF(OR(AND(RIGHT($F556,3)="IKS",VLOOKUP($M556,DB_Loonkosten,2,0)="Ja"),AND(RIGHT($F556,3)&lt;&gt;"IKS",VLOOKUP($M556,DB_Loonkosten,2,0)="Nee")),IFERROR(VLOOKUP($M556,DB_Loonkosten,25,0),""),0),"Vast tarief",IF(LEFT(F556,8)="Bijdrage",VLOOKUP($F556,Tb_KostenTypen[],MATCH(Lijsten!$P$1,Tb_KostenTypen[#Headers],0),0),VLOOKUP($G556,Lijsten!L:P,MATCH(Lijsten!$P$1,Kop_Tarief_Vast,0),0))),""),"")</f>
        <v/>
      </c>
      <c r="Q556" s="359"/>
      <c r="R556" s="359"/>
      <c r="S556" s="321"/>
      <c r="T556" s="321"/>
      <c r="U556" s="373" t="str">
        <f t="shared" si="32"/>
        <v/>
      </c>
      <c r="V556" s="314" t="str">
        <f t="shared" si="33"/>
        <v/>
      </c>
      <c r="W556" s="314" t="str" cm="1">
        <f t="array" aca="1" ref="W556" ca="1">IFERROR(IF(AE556&lt;&gt;"ja",_xlfn.IFNA(_xlfn.IFS(AND(O556&lt;&gt;"",F556&lt;&gt;"",RIGHT($N556,6)="tarief",F556="Vergoeding"),SUM(O556)*FLOOR(SUM(Q556),0.0001),AND(O556&lt;&gt;"",F556&lt;&gt;"",RIGHT($N556,6)="tarief"),SUM(O556)*FLOOR(SUM(Q556),0.01),S556&gt;0,IF(F556&lt;&gt;"",FLOOR(SUM(S556),0.01),"")),""),""),"")</f>
        <v/>
      </c>
      <c r="X556" s="314" t="str" cm="1">
        <f t="array" aca="1" ref="X556" ca="1">IFERROR(IF(AE556&lt;&gt;"ja",_xlfn.IFNA(_xlfn.IFS(AND(P556&lt;&gt;"",R556&lt;&gt;"",RIGHT($N556,6)="tarief",F556="Vergoeding"),SUM(P556)*FLOOR(SUM(R556),0.0001),AND(P556&lt;&gt;"",R556&lt;&gt;"",RIGHT($N556,6)="tarief"),P556*FLOOR(R556,0.01),T556&gt;0,FLOOR(SUM(T556),0.01)),""),""),"")</f>
        <v/>
      </c>
      <c r="Y556" s="314" t="str">
        <f t="shared" ca="1" si="34"/>
        <v/>
      </c>
      <c r="Z556" s="314" t="str" cm="1">
        <f t="array" aca="1" ref="Z556" ca="1">IFERROR(_xlfn.IFS(OR(F556="",LEFT(Methode_Keuze,4)="Geen",Methode_Keuze=""),"",AND(W556&lt;&gt;"",F556&lt;&gt;"Arbeidskosten"),W556*VLOOKUP(F556,Tb_ProjectKosten[],MATCH(Tb_ProjectKosten[[#Headers],[Forfait_Percentage]],Tb_ProjectKosten[#Headers],0),0),AND(F556="Arbeidskosten",G556&lt;&gt;""),IFERROR(W556*VLOOKUP(G556,Tb_KostenTypen[],3,0)*VLOOKUP(F556,Tb_ProjectKosten[],MATCH(Tb_ProjectKosten[[#Headers],[Forfait_Percentage]],Tb_ProjectKosten[#Headers],0),0),""),W556 &lt;=0,0),"")</f>
        <v/>
      </c>
      <c r="AA556" s="314" t="str" cm="1">
        <f t="array" aca="1" ref="AA556" ca="1">IFERROR(_xlfn.IFS(OR(F556="",LEFT(Methode_Keuze,4)="Geen",Methode_Keuze=""),"",AND(X556&lt;&gt;"",F556&lt;&gt;"Arbeidskosten"),X556*VLOOKUP(F556,Tb_ProjectKosten[],MATCH(Tb_ProjectKosten[[#Headers],[Forfait_Percentage]],Tb_ProjectKosten[#Headers],0),0),AND(F556="Arbeidskosten",G556&lt;&gt;""),IFERROR(X556*VLOOKUP(G556,Tb_KostenTypen[],3,0)*VLOOKUP(F556,Tb_ProjectKosten[],MATCH(Tb_ProjectKosten[[#Headers],[Forfait_Percentage]],Tb_ProjectKosten[#Headers],0),0),""),X556 &lt;=0,0),"")</f>
        <v/>
      </c>
      <c r="AB556" s="314" t="str">
        <f t="shared" ca="1" si="35"/>
        <v/>
      </c>
      <c r="AC556" s="322"/>
      <c r="AD556" s="315"/>
      <c r="AE556" s="32" t="str" cm="1">
        <f t="array" ref="AE556">IFERROR(IF(INDEX(SubsidieTabel!$AD$1:$AG$12,MATCH($F556,SubsidieTabel!$AD$1:$AD$12,0),IFERROR(MATCH(Methode_Keuze,SubsidieTabel!$AD$1:$AG$1,0),2))&lt;&gt;1=TRUE,"ja",""),"")</f>
        <v/>
      </c>
    </row>
    <row r="557" spans="1:31" x14ac:dyDescent="0.25">
      <c r="A557" s="316"/>
      <c r="B557" s="317" t="str">
        <f>IF(A557&lt;&gt;"",_xlfn.MAXIFS($B$1:B556,$A$1:A556,A557)+1,"")</f>
        <v/>
      </c>
      <c r="C557" s="296"/>
      <c r="D557" s="296"/>
      <c r="E557" s="296"/>
      <c r="F557" s="296"/>
      <c r="G557" s="326"/>
      <c r="H557" s="324"/>
      <c r="I557" s="325"/>
      <c r="J557" s="325"/>
      <c r="K557" s="318"/>
      <c r="L557" s="318"/>
      <c r="M557" s="319" t="str">
        <f>IFERROR(VLOOKUP(H557,Lijsten!$H$1:$I$100,2,0),"")</f>
        <v/>
      </c>
      <c r="N557" s="319" t="str">
        <f ca="1">IFERROR(IF(VLOOKUP(F557,Kostentypen!$A$3:$E$21,3,0)=0,"",IF(OR(F557="Arbeidskosten",F557="Vergoeding"),VLOOKUP(G557,Tb_KostenTypen[],2,0),VLOOKUP(F557,Kostentypen!$A$3:$E$20,3,0))),"")</f>
        <v/>
      </c>
      <c r="O557" s="320" t="str" cm="1">
        <f t="array" ref="O557">_xlfn.IFNA(IF(INDEX(Tb_KostenOptiesDB[],MATCH($F557,Tb_KostenOptiesDB[KostenOptie],0),IFERROR(MATCH(Methode_Keuze,Tb_KostenOptiesDB[#Headers],0),2))=1,_xlfn.SWITCH($N557,"Uurtarief",IF(OR(AND(RIGHT($F557,3)="IKS",VLOOKUP($M557,DB_Loonkosten,2,0)="Ja"),AND(RIGHT($F557,3)&lt;&gt;"IKS",VLOOKUP($M557,DB_Loonkosten,2,0)="Nee")),IFERROR(VLOOKUP($M557,DB_Loonkosten,24,0),""),0),"Vast tarief",IF(LEFT(F557,8)="Bijdrage",VLOOKUP($F557,Tb_KostenTypen[],MATCH(Lijsten!$P$1,Tb_KostenTypen[#Headers],0),0),VLOOKUP($G557,Lijsten!L:P,MATCH(Lijsten!$P$1,Kop_Tarief_Vast,0),0))),""),"")</f>
        <v/>
      </c>
      <c r="P557" s="320" t="str" cm="1">
        <f t="array" ref="P557">_xlfn.IFNA(IF(INDEX(Tb_KostenOptiesDB[],MATCH($F557,Tb_KostenOptiesDB[KostenOptie],0),IFERROR(MATCH(Methode_Keuze,Tb_KostenOptiesDB[#Headers],0),2))=1,_xlfn.SWITCH($N557,"Uurtarief",IF(OR(AND(RIGHT($F557,3)="IKS",VLOOKUP($M557,DB_Loonkosten,2,0)="Ja"),AND(RIGHT($F557,3)&lt;&gt;"IKS",VLOOKUP($M557,DB_Loonkosten,2,0)="Nee")),IFERROR(VLOOKUP($M557,DB_Loonkosten,25,0),""),0),"Vast tarief",IF(LEFT(F557,8)="Bijdrage",VLOOKUP($F557,Tb_KostenTypen[],MATCH(Lijsten!$P$1,Tb_KostenTypen[#Headers],0),0),VLOOKUP($G557,Lijsten!L:P,MATCH(Lijsten!$P$1,Kop_Tarief_Vast,0),0))),""),"")</f>
        <v/>
      </c>
      <c r="Q557" s="359"/>
      <c r="R557" s="359"/>
      <c r="S557" s="321"/>
      <c r="T557" s="321"/>
      <c r="U557" s="373" t="str">
        <f t="shared" si="32"/>
        <v/>
      </c>
      <c r="V557" s="314" t="str">
        <f t="shared" si="33"/>
        <v/>
      </c>
      <c r="W557" s="314" t="str" cm="1">
        <f t="array" aca="1" ref="W557" ca="1">IFERROR(IF(AE557&lt;&gt;"ja",_xlfn.IFNA(_xlfn.IFS(AND(O557&lt;&gt;"",F557&lt;&gt;"",RIGHT($N557,6)="tarief",F557="Vergoeding"),SUM(O557)*FLOOR(SUM(Q557),0.0001),AND(O557&lt;&gt;"",F557&lt;&gt;"",RIGHT($N557,6)="tarief"),SUM(O557)*FLOOR(SUM(Q557),0.01),S557&gt;0,IF(F557&lt;&gt;"",FLOOR(SUM(S557),0.01),"")),""),""),"")</f>
        <v/>
      </c>
      <c r="X557" s="314" t="str" cm="1">
        <f t="array" aca="1" ref="X557" ca="1">IFERROR(IF(AE557&lt;&gt;"ja",_xlfn.IFNA(_xlfn.IFS(AND(P557&lt;&gt;"",R557&lt;&gt;"",RIGHT($N557,6)="tarief",F557="Vergoeding"),SUM(P557)*FLOOR(SUM(R557),0.0001),AND(P557&lt;&gt;"",R557&lt;&gt;"",RIGHT($N557,6)="tarief"),P557*FLOOR(R557,0.01),T557&gt;0,FLOOR(SUM(T557),0.01)),""),""),"")</f>
        <v/>
      </c>
      <c r="Y557" s="314" t="str">
        <f t="shared" ca="1" si="34"/>
        <v/>
      </c>
      <c r="Z557" s="314" t="str" cm="1">
        <f t="array" aca="1" ref="Z557" ca="1">IFERROR(_xlfn.IFS(OR(F557="",LEFT(Methode_Keuze,4)="Geen",Methode_Keuze=""),"",AND(W557&lt;&gt;"",F557&lt;&gt;"Arbeidskosten"),W557*VLOOKUP(F557,Tb_ProjectKosten[],MATCH(Tb_ProjectKosten[[#Headers],[Forfait_Percentage]],Tb_ProjectKosten[#Headers],0),0),AND(F557="Arbeidskosten",G557&lt;&gt;""),IFERROR(W557*VLOOKUP(G557,Tb_KostenTypen[],3,0)*VLOOKUP(F557,Tb_ProjectKosten[],MATCH(Tb_ProjectKosten[[#Headers],[Forfait_Percentage]],Tb_ProjectKosten[#Headers],0),0),""),W557 &lt;=0,0),"")</f>
        <v/>
      </c>
      <c r="AA557" s="314" t="str" cm="1">
        <f t="array" aca="1" ref="AA557" ca="1">IFERROR(_xlfn.IFS(OR(F557="",LEFT(Methode_Keuze,4)="Geen",Methode_Keuze=""),"",AND(X557&lt;&gt;"",F557&lt;&gt;"Arbeidskosten"),X557*VLOOKUP(F557,Tb_ProjectKosten[],MATCH(Tb_ProjectKosten[[#Headers],[Forfait_Percentage]],Tb_ProjectKosten[#Headers],0),0),AND(F557="Arbeidskosten",G557&lt;&gt;""),IFERROR(X557*VLOOKUP(G557,Tb_KostenTypen[],3,0)*VLOOKUP(F557,Tb_ProjectKosten[],MATCH(Tb_ProjectKosten[[#Headers],[Forfait_Percentage]],Tb_ProjectKosten[#Headers],0),0),""),X557 &lt;=0,0),"")</f>
        <v/>
      </c>
      <c r="AB557" s="314" t="str">
        <f t="shared" ca="1" si="35"/>
        <v/>
      </c>
      <c r="AC557" s="322"/>
      <c r="AD557" s="315"/>
      <c r="AE557" s="32" t="str" cm="1">
        <f t="array" ref="AE557">IFERROR(IF(INDEX(SubsidieTabel!$AD$1:$AG$12,MATCH($F557,SubsidieTabel!$AD$1:$AD$12,0),IFERROR(MATCH(Methode_Keuze,SubsidieTabel!$AD$1:$AG$1,0),2))&lt;&gt;1=TRUE,"ja",""),"")</f>
        <v/>
      </c>
    </row>
    <row r="558" spans="1:31" x14ac:dyDescent="0.25">
      <c r="A558" s="316"/>
      <c r="B558" s="317" t="str">
        <f>IF(A558&lt;&gt;"",_xlfn.MAXIFS($B$1:B557,$A$1:A557,A558)+1,"")</f>
        <v/>
      </c>
      <c r="C558" s="296"/>
      <c r="D558" s="296"/>
      <c r="E558" s="296"/>
      <c r="F558" s="296"/>
      <c r="G558" s="326"/>
      <c r="H558" s="324"/>
      <c r="I558" s="325"/>
      <c r="J558" s="325"/>
      <c r="K558" s="318"/>
      <c r="L558" s="318"/>
      <c r="M558" s="319" t="str">
        <f>IFERROR(VLOOKUP(H558,Lijsten!$H$1:$I$100,2,0),"")</f>
        <v/>
      </c>
      <c r="N558" s="319" t="str">
        <f ca="1">IFERROR(IF(VLOOKUP(F558,Kostentypen!$A$3:$E$21,3,0)=0,"",IF(OR(F558="Arbeidskosten",F558="Vergoeding"),VLOOKUP(G558,Tb_KostenTypen[],2,0),VLOOKUP(F558,Kostentypen!$A$3:$E$20,3,0))),"")</f>
        <v/>
      </c>
      <c r="O558" s="320" t="str" cm="1">
        <f t="array" ref="O558">_xlfn.IFNA(IF(INDEX(Tb_KostenOptiesDB[],MATCH($F558,Tb_KostenOptiesDB[KostenOptie],0),IFERROR(MATCH(Methode_Keuze,Tb_KostenOptiesDB[#Headers],0),2))=1,_xlfn.SWITCH($N558,"Uurtarief",IF(OR(AND(RIGHT($F558,3)="IKS",VLOOKUP($M558,DB_Loonkosten,2,0)="Ja"),AND(RIGHT($F558,3)&lt;&gt;"IKS",VLOOKUP($M558,DB_Loonkosten,2,0)="Nee")),IFERROR(VLOOKUP($M558,DB_Loonkosten,24,0),""),0),"Vast tarief",IF(LEFT(F558,8)="Bijdrage",VLOOKUP($F558,Tb_KostenTypen[],MATCH(Lijsten!$P$1,Tb_KostenTypen[#Headers],0),0),VLOOKUP($G558,Lijsten!L:P,MATCH(Lijsten!$P$1,Kop_Tarief_Vast,0),0))),""),"")</f>
        <v/>
      </c>
      <c r="P558" s="320" t="str" cm="1">
        <f t="array" ref="P558">_xlfn.IFNA(IF(INDEX(Tb_KostenOptiesDB[],MATCH($F558,Tb_KostenOptiesDB[KostenOptie],0),IFERROR(MATCH(Methode_Keuze,Tb_KostenOptiesDB[#Headers],0),2))=1,_xlfn.SWITCH($N558,"Uurtarief",IF(OR(AND(RIGHT($F558,3)="IKS",VLOOKUP($M558,DB_Loonkosten,2,0)="Ja"),AND(RIGHT($F558,3)&lt;&gt;"IKS",VLOOKUP($M558,DB_Loonkosten,2,0)="Nee")),IFERROR(VLOOKUP($M558,DB_Loonkosten,25,0),""),0),"Vast tarief",IF(LEFT(F558,8)="Bijdrage",VLOOKUP($F558,Tb_KostenTypen[],MATCH(Lijsten!$P$1,Tb_KostenTypen[#Headers],0),0),VLOOKUP($G558,Lijsten!L:P,MATCH(Lijsten!$P$1,Kop_Tarief_Vast,0),0))),""),"")</f>
        <v/>
      </c>
      <c r="Q558" s="359"/>
      <c r="R558" s="359"/>
      <c r="S558" s="321"/>
      <c r="T558" s="321"/>
      <c r="U558" s="373" t="str">
        <f t="shared" si="32"/>
        <v/>
      </c>
      <c r="V558" s="314" t="str">
        <f t="shared" si="33"/>
        <v/>
      </c>
      <c r="W558" s="314" t="str" cm="1">
        <f t="array" aca="1" ref="W558" ca="1">IFERROR(IF(AE558&lt;&gt;"ja",_xlfn.IFNA(_xlfn.IFS(AND(O558&lt;&gt;"",F558&lt;&gt;"",RIGHT($N558,6)="tarief",F558="Vergoeding"),SUM(O558)*FLOOR(SUM(Q558),0.0001),AND(O558&lt;&gt;"",F558&lt;&gt;"",RIGHT($N558,6)="tarief"),SUM(O558)*FLOOR(SUM(Q558),0.01),S558&gt;0,IF(F558&lt;&gt;"",FLOOR(SUM(S558),0.01),"")),""),""),"")</f>
        <v/>
      </c>
      <c r="X558" s="314" t="str" cm="1">
        <f t="array" aca="1" ref="X558" ca="1">IFERROR(IF(AE558&lt;&gt;"ja",_xlfn.IFNA(_xlfn.IFS(AND(P558&lt;&gt;"",R558&lt;&gt;"",RIGHT($N558,6)="tarief",F558="Vergoeding"),SUM(P558)*FLOOR(SUM(R558),0.0001),AND(P558&lt;&gt;"",R558&lt;&gt;"",RIGHT($N558,6)="tarief"),P558*FLOOR(R558,0.01),T558&gt;0,FLOOR(SUM(T558),0.01)),""),""),"")</f>
        <v/>
      </c>
      <c r="Y558" s="314" t="str">
        <f t="shared" ca="1" si="34"/>
        <v/>
      </c>
      <c r="Z558" s="314" t="str" cm="1">
        <f t="array" aca="1" ref="Z558" ca="1">IFERROR(_xlfn.IFS(OR(F558="",LEFT(Methode_Keuze,4)="Geen",Methode_Keuze=""),"",AND(W558&lt;&gt;"",F558&lt;&gt;"Arbeidskosten"),W558*VLOOKUP(F558,Tb_ProjectKosten[],MATCH(Tb_ProjectKosten[[#Headers],[Forfait_Percentage]],Tb_ProjectKosten[#Headers],0),0),AND(F558="Arbeidskosten",G558&lt;&gt;""),IFERROR(W558*VLOOKUP(G558,Tb_KostenTypen[],3,0)*VLOOKUP(F558,Tb_ProjectKosten[],MATCH(Tb_ProjectKosten[[#Headers],[Forfait_Percentage]],Tb_ProjectKosten[#Headers],0),0),""),W558 &lt;=0,0),"")</f>
        <v/>
      </c>
      <c r="AA558" s="314" t="str" cm="1">
        <f t="array" aca="1" ref="AA558" ca="1">IFERROR(_xlfn.IFS(OR(F558="",LEFT(Methode_Keuze,4)="Geen",Methode_Keuze=""),"",AND(X558&lt;&gt;"",F558&lt;&gt;"Arbeidskosten"),X558*VLOOKUP(F558,Tb_ProjectKosten[],MATCH(Tb_ProjectKosten[[#Headers],[Forfait_Percentage]],Tb_ProjectKosten[#Headers],0),0),AND(F558="Arbeidskosten",G558&lt;&gt;""),IFERROR(X558*VLOOKUP(G558,Tb_KostenTypen[],3,0)*VLOOKUP(F558,Tb_ProjectKosten[],MATCH(Tb_ProjectKosten[[#Headers],[Forfait_Percentage]],Tb_ProjectKosten[#Headers],0),0),""),X558 &lt;=0,0),"")</f>
        <v/>
      </c>
      <c r="AB558" s="314" t="str">
        <f t="shared" ca="1" si="35"/>
        <v/>
      </c>
      <c r="AC558" s="322"/>
      <c r="AD558" s="315"/>
      <c r="AE558" s="32" t="str" cm="1">
        <f t="array" ref="AE558">IFERROR(IF(INDEX(SubsidieTabel!$AD$1:$AG$12,MATCH($F558,SubsidieTabel!$AD$1:$AD$12,0),IFERROR(MATCH(Methode_Keuze,SubsidieTabel!$AD$1:$AG$1,0),2))&lt;&gt;1=TRUE,"ja",""),"")</f>
        <v/>
      </c>
    </row>
    <row r="559" spans="1:31" x14ac:dyDescent="0.25">
      <c r="A559" s="316"/>
      <c r="B559" s="317" t="str">
        <f>IF(A559&lt;&gt;"",_xlfn.MAXIFS($B$1:B558,$A$1:A558,A559)+1,"")</f>
        <v/>
      </c>
      <c r="C559" s="296"/>
      <c r="D559" s="296"/>
      <c r="E559" s="296"/>
      <c r="F559" s="296"/>
      <c r="G559" s="326"/>
      <c r="H559" s="324"/>
      <c r="I559" s="325"/>
      <c r="J559" s="325"/>
      <c r="K559" s="318"/>
      <c r="L559" s="318"/>
      <c r="M559" s="319" t="str">
        <f>IFERROR(VLOOKUP(H559,Lijsten!$H$1:$I$100,2,0),"")</f>
        <v/>
      </c>
      <c r="N559" s="319" t="str">
        <f ca="1">IFERROR(IF(VLOOKUP(F559,Kostentypen!$A$3:$E$21,3,0)=0,"",IF(OR(F559="Arbeidskosten",F559="Vergoeding"),VLOOKUP(G559,Tb_KostenTypen[],2,0),VLOOKUP(F559,Kostentypen!$A$3:$E$20,3,0))),"")</f>
        <v/>
      </c>
      <c r="O559" s="320" t="str" cm="1">
        <f t="array" ref="O559">_xlfn.IFNA(IF(INDEX(Tb_KostenOptiesDB[],MATCH($F559,Tb_KostenOptiesDB[KostenOptie],0),IFERROR(MATCH(Methode_Keuze,Tb_KostenOptiesDB[#Headers],0),2))=1,_xlfn.SWITCH($N559,"Uurtarief",IF(OR(AND(RIGHT($F559,3)="IKS",VLOOKUP($M559,DB_Loonkosten,2,0)="Ja"),AND(RIGHT($F559,3)&lt;&gt;"IKS",VLOOKUP($M559,DB_Loonkosten,2,0)="Nee")),IFERROR(VLOOKUP($M559,DB_Loonkosten,24,0),""),0),"Vast tarief",IF(LEFT(F559,8)="Bijdrage",VLOOKUP($F559,Tb_KostenTypen[],MATCH(Lijsten!$P$1,Tb_KostenTypen[#Headers],0),0),VLOOKUP($G559,Lijsten!L:P,MATCH(Lijsten!$P$1,Kop_Tarief_Vast,0),0))),""),"")</f>
        <v/>
      </c>
      <c r="P559" s="320" t="str" cm="1">
        <f t="array" ref="P559">_xlfn.IFNA(IF(INDEX(Tb_KostenOptiesDB[],MATCH($F559,Tb_KostenOptiesDB[KostenOptie],0),IFERROR(MATCH(Methode_Keuze,Tb_KostenOptiesDB[#Headers],0),2))=1,_xlfn.SWITCH($N559,"Uurtarief",IF(OR(AND(RIGHT($F559,3)="IKS",VLOOKUP($M559,DB_Loonkosten,2,0)="Ja"),AND(RIGHT($F559,3)&lt;&gt;"IKS",VLOOKUP($M559,DB_Loonkosten,2,0)="Nee")),IFERROR(VLOOKUP($M559,DB_Loonkosten,25,0),""),0),"Vast tarief",IF(LEFT(F559,8)="Bijdrage",VLOOKUP($F559,Tb_KostenTypen[],MATCH(Lijsten!$P$1,Tb_KostenTypen[#Headers],0),0),VLOOKUP($G559,Lijsten!L:P,MATCH(Lijsten!$P$1,Kop_Tarief_Vast,0),0))),""),"")</f>
        <v/>
      </c>
      <c r="Q559" s="359"/>
      <c r="R559" s="359"/>
      <c r="S559" s="321"/>
      <c r="T559" s="321"/>
      <c r="U559" s="373" t="str">
        <f t="shared" si="32"/>
        <v/>
      </c>
      <c r="V559" s="314" t="str">
        <f t="shared" si="33"/>
        <v/>
      </c>
      <c r="W559" s="314" t="str" cm="1">
        <f t="array" aca="1" ref="W559" ca="1">IFERROR(IF(AE559&lt;&gt;"ja",_xlfn.IFNA(_xlfn.IFS(AND(O559&lt;&gt;"",F559&lt;&gt;"",RIGHT($N559,6)="tarief",F559="Vergoeding"),SUM(O559)*FLOOR(SUM(Q559),0.0001),AND(O559&lt;&gt;"",F559&lt;&gt;"",RIGHT($N559,6)="tarief"),SUM(O559)*FLOOR(SUM(Q559),0.01),S559&gt;0,IF(F559&lt;&gt;"",FLOOR(SUM(S559),0.01),"")),""),""),"")</f>
        <v/>
      </c>
      <c r="X559" s="314" t="str" cm="1">
        <f t="array" aca="1" ref="X559" ca="1">IFERROR(IF(AE559&lt;&gt;"ja",_xlfn.IFNA(_xlfn.IFS(AND(P559&lt;&gt;"",R559&lt;&gt;"",RIGHT($N559,6)="tarief",F559="Vergoeding"),SUM(P559)*FLOOR(SUM(R559),0.0001),AND(P559&lt;&gt;"",R559&lt;&gt;"",RIGHT($N559,6)="tarief"),P559*FLOOR(R559,0.01),T559&gt;0,FLOOR(SUM(T559),0.01)),""),""),"")</f>
        <v/>
      </c>
      <c r="Y559" s="314" t="str">
        <f t="shared" ca="1" si="34"/>
        <v/>
      </c>
      <c r="Z559" s="314" t="str" cm="1">
        <f t="array" aca="1" ref="Z559" ca="1">IFERROR(_xlfn.IFS(OR(F559="",LEFT(Methode_Keuze,4)="Geen",Methode_Keuze=""),"",AND(W559&lt;&gt;"",F559&lt;&gt;"Arbeidskosten"),W559*VLOOKUP(F559,Tb_ProjectKosten[],MATCH(Tb_ProjectKosten[[#Headers],[Forfait_Percentage]],Tb_ProjectKosten[#Headers],0),0),AND(F559="Arbeidskosten",G559&lt;&gt;""),IFERROR(W559*VLOOKUP(G559,Tb_KostenTypen[],3,0)*VLOOKUP(F559,Tb_ProjectKosten[],MATCH(Tb_ProjectKosten[[#Headers],[Forfait_Percentage]],Tb_ProjectKosten[#Headers],0),0),""),W559 &lt;=0,0),"")</f>
        <v/>
      </c>
      <c r="AA559" s="314" t="str" cm="1">
        <f t="array" aca="1" ref="AA559" ca="1">IFERROR(_xlfn.IFS(OR(F559="",LEFT(Methode_Keuze,4)="Geen",Methode_Keuze=""),"",AND(X559&lt;&gt;"",F559&lt;&gt;"Arbeidskosten"),X559*VLOOKUP(F559,Tb_ProjectKosten[],MATCH(Tb_ProjectKosten[[#Headers],[Forfait_Percentage]],Tb_ProjectKosten[#Headers],0),0),AND(F559="Arbeidskosten",G559&lt;&gt;""),IFERROR(X559*VLOOKUP(G559,Tb_KostenTypen[],3,0)*VLOOKUP(F559,Tb_ProjectKosten[],MATCH(Tb_ProjectKosten[[#Headers],[Forfait_Percentage]],Tb_ProjectKosten[#Headers],0),0),""),X559 &lt;=0,0),"")</f>
        <v/>
      </c>
      <c r="AB559" s="314" t="str">
        <f t="shared" ca="1" si="35"/>
        <v/>
      </c>
      <c r="AC559" s="322"/>
      <c r="AD559" s="315"/>
      <c r="AE559" s="32" t="str" cm="1">
        <f t="array" ref="AE559">IFERROR(IF(INDEX(SubsidieTabel!$AD$1:$AG$12,MATCH($F559,SubsidieTabel!$AD$1:$AD$12,0),IFERROR(MATCH(Methode_Keuze,SubsidieTabel!$AD$1:$AG$1,0),2))&lt;&gt;1=TRUE,"ja",""),"")</f>
        <v/>
      </c>
    </row>
    <row r="560" spans="1:31" x14ac:dyDescent="0.25">
      <c r="A560" s="316"/>
      <c r="B560" s="317" t="str">
        <f>IF(A560&lt;&gt;"",_xlfn.MAXIFS($B$1:B559,$A$1:A559,A560)+1,"")</f>
        <v/>
      </c>
      <c r="C560" s="296"/>
      <c r="D560" s="296"/>
      <c r="E560" s="296"/>
      <c r="F560" s="296"/>
      <c r="G560" s="326"/>
      <c r="H560" s="324"/>
      <c r="I560" s="325"/>
      <c r="J560" s="325"/>
      <c r="K560" s="318"/>
      <c r="L560" s="318"/>
      <c r="M560" s="319" t="str">
        <f>IFERROR(VLOOKUP(H560,Lijsten!$H$1:$I$100,2,0),"")</f>
        <v/>
      </c>
      <c r="N560" s="319" t="str">
        <f ca="1">IFERROR(IF(VLOOKUP(F560,Kostentypen!$A$3:$E$21,3,0)=0,"",IF(OR(F560="Arbeidskosten",F560="Vergoeding"),VLOOKUP(G560,Tb_KostenTypen[],2,0),VLOOKUP(F560,Kostentypen!$A$3:$E$20,3,0))),"")</f>
        <v/>
      </c>
      <c r="O560" s="320" t="str" cm="1">
        <f t="array" ref="O560">_xlfn.IFNA(IF(INDEX(Tb_KostenOptiesDB[],MATCH($F560,Tb_KostenOptiesDB[KostenOptie],0),IFERROR(MATCH(Methode_Keuze,Tb_KostenOptiesDB[#Headers],0),2))=1,_xlfn.SWITCH($N560,"Uurtarief",IF(OR(AND(RIGHT($F560,3)="IKS",VLOOKUP($M560,DB_Loonkosten,2,0)="Ja"),AND(RIGHT($F560,3)&lt;&gt;"IKS",VLOOKUP($M560,DB_Loonkosten,2,0)="Nee")),IFERROR(VLOOKUP($M560,DB_Loonkosten,24,0),""),0),"Vast tarief",IF(LEFT(F560,8)="Bijdrage",VLOOKUP($F560,Tb_KostenTypen[],MATCH(Lijsten!$P$1,Tb_KostenTypen[#Headers],0),0),VLOOKUP($G560,Lijsten!L:P,MATCH(Lijsten!$P$1,Kop_Tarief_Vast,0),0))),""),"")</f>
        <v/>
      </c>
      <c r="P560" s="320" t="str" cm="1">
        <f t="array" ref="P560">_xlfn.IFNA(IF(INDEX(Tb_KostenOptiesDB[],MATCH($F560,Tb_KostenOptiesDB[KostenOptie],0),IFERROR(MATCH(Methode_Keuze,Tb_KostenOptiesDB[#Headers],0),2))=1,_xlfn.SWITCH($N560,"Uurtarief",IF(OR(AND(RIGHT($F560,3)="IKS",VLOOKUP($M560,DB_Loonkosten,2,0)="Ja"),AND(RIGHT($F560,3)&lt;&gt;"IKS",VLOOKUP($M560,DB_Loonkosten,2,0)="Nee")),IFERROR(VLOOKUP($M560,DB_Loonkosten,25,0),""),0),"Vast tarief",IF(LEFT(F560,8)="Bijdrage",VLOOKUP($F560,Tb_KostenTypen[],MATCH(Lijsten!$P$1,Tb_KostenTypen[#Headers],0),0),VLOOKUP($G560,Lijsten!L:P,MATCH(Lijsten!$P$1,Kop_Tarief_Vast,0),0))),""),"")</f>
        <v/>
      </c>
      <c r="Q560" s="359"/>
      <c r="R560" s="359"/>
      <c r="S560" s="321"/>
      <c r="T560" s="321"/>
      <c r="U560" s="373" t="str">
        <f t="shared" si="32"/>
        <v/>
      </c>
      <c r="V560" s="314" t="str">
        <f t="shared" si="33"/>
        <v/>
      </c>
      <c r="W560" s="314" t="str" cm="1">
        <f t="array" aca="1" ref="W560" ca="1">IFERROR(IF(AE560&lt;&gt;"ja",_xlfn.IFNA(_xlfn.IFS(AND(O560&lt;&gt;"",F560&lt;&gt;"",RIGHT($N560,6)="tarief",F560="Vergoeding"),SUM(O560)*FLOOR(SUM(Q560),0.0001),AND(O560&lt;&gt;"",F560&lt;&gt;"",RIGHT($N560,6)="tarief"),SUM(O560)*FLOOR(SUM(Q560),0.01),S560&gt;0,IF(F560&lt;&gt;"",FLOOR(SUM(S560),0.01),"")),""),""),"")</f>
        <v/>
      </c>
      <c r="X560" s="314" t="str" cm="1">
        <f t="array" aca="1" ref="X560" ca="1">IFERROR(IF(AE560&lt;&gt;"ja",_xlfn.IFNA(_xlfn.IFS(AND(P560&lt;&gt;"",R560&lt;&gt;"",RIGHT($N560,6)="tarief",F560="Vergoeding"),SUM(P560)*FLOOR(SUM(R560),0.0001),AND(P560&lt;&gt;"",R560&lt;&gt;"",RIGHT($N560,6)="tarief"),P560*FLOOR(R560,0.01),T560&gt;0,FLOOR(SUM(T560),0.01)),""),""),"")</f>
        <v/>
      </c>
      <c r="Y560" s="314" t="str">
        <f t="shared" ca="1" si="34"/>
        <v/>
      </c>
      <c r="Z560" s="314" t="str" cm="1">
        <f t="array" aca="1" ref="Z560" ca="1">IFERROR(_xlfn.IFS(OR(F560="",LEFT(Methode_Keuze,4)="Geen",Methode_Keuze=""),"",AND(W560&lt;&gt;"",F560&lt;&gt;"Arbeidskosten"),W560*VLOOKUP(F560,Tb_ProjectKosten[],MATCH(Tb_ProjectKosten[[#Headers],[Forfait_Percentage]],Tb_ProjectKosten[#Headers],0),0),AND(F560="Arbeidskosten",G560&lt;&gt;""),IFERROR(W560*VLOOKUP(G560,Tb_KostenTypen[],3,0)*VLOOKUP(F560,Tb_ProjectKosten[],MATCH(Tb_ProjectKosten[[#Headers],[Forfait_Percentage]],Tb_ProjectKosten[#Headers],0),0),""),W560 &lt;=0,0),"")</f>
        <v/>
      </c>
      <c r="AA560" s="314" t="str" cm="1">
        <f t="array" aca="1" ref="AA560" ca="1">IFERROR(_xlfn.IFS(OR(F560="",LEFT(Methode_Keuze,4)="Geen",Methode_Keuze=""),"",AND(X560&lt;&gt;"",F560&lt;&gt;"Arbeidskosten"),X560*VLOOKUP(F560,Tb_ProjectKosten[],MATCH(Tb_ProjectKosten[[#Headers],[Forfait_Percentage]],Tb_ProjectKosten[#Headers],0),0),AND(F560="Arbeidskosten",G560&lt;&gt;""),IFERROR(X560*VLOOKUP(G560,Tb_KostenTypen[],3,0)*VLOOKUP(F560,Tb_ProjectKosten[],MATCH(Tb_ProjectKosten[[#Headers],[Forfait_Percentage]],Tb_ProjectKosten[#Headers],0),0),""),X560 &lt;=0,0),"")</f>
        <v/>
      </c>
      <c r="AB560" s="314" t="str">
        <f t="shared" ca="1" si="35"/>
        <v/>
      </c>
      <c r="AC560" s="322"/>
      <c r="AD560" s="315"/>
      <c r="AE560" s="32" t="str" cm="1">
        <f t="array" ref="AE560">IFERROR(IF(INDEX(SubsidieTabel!$AD$1:$AG$12,MATCH($F560,SubsidieTabel!$AD$1:$AD$12,0),IFERROR(MATCH(Methode_Keuze,SubsidieTabel!$AD$1:$AG$1,0),2))&lt;&gt;1=TRUE,"ja",""),"")</f>
        <v/>
      </c>
    </row>
    <row r="561" spans="1:31" x14ac:dyDescent="0.25">
      <c r="A561" s="316"/>
      <c r="B561" s="317" t="str">
        <f>IF(A561&lt;&gt;"",_xlfn.MAXIFS($B$1:B560,$A$1:A560,A561)+1,"")</f>
        <v/>
      </c>
      <c r="C561" s="296"/>
      <c r="D561" s="296"/>
      <c r="E561" s="296"/>
      <c r="F561" s="296"/>
      <c r="G561" s="326"/>
      <c r="H561" s="324"/>
      <c r="I561" s="325"/>
      <c r="J561" s="325"/>
      <c r="K561" s="318"/>
      <c r="L561" s="318"/>
      <c r="M561" s="319" t="str">
        <f>IFERROR(VLOOKUP(H561,Lijsten!$H$1:$I$100,2,0),"")</f>
        <v/>
      </c>
      <c r="N561" s="319" t="str">
        <f ca="1">IFERROR(IF(VLOOKUP(F561,Kostentypen!$A$3:$E$21,3,0)=0,"",IF(OR(F561="Arbeidskosten",F561="Vergoeding"),VLOOKUP(G561,Tb_KostenTypen[],2,0),VLOOKUP(F561,Kostentypen!$A$3:$E$20,3,0))),"")</f>
        <v/>
      </c>
      <c r="O561" s="320" t="str" cm="1">
        <f t="array" ref="O561">_xlfn.IFNA(IF(INDEX(Tb_KostenOptiesDB[],MATCH($F561,Tb_KostenOptiesDB[KostenOptie],0),IFERROR(MATCH(Methode_Keuze,Tb_KostenOptiesDB[#Headers],0),2))=1,_xlfn.SWITCH($N561,"Uurtarief",IF(OR(AND(RIGHT($F561,3)="IKS",VLOOKUP($M561,DB_Loonkosten,2,0)="Ja"),AND(RIGHT($F561,3)&lt;&gt;"IKS",VLOOKUP($M561,DB_Loonkosten,2,0)="Nee")),IFERROR(VLOOKUP($M561,DB_Loonkosten,24,0),""),0),"Vast tarief",IF(LEFT(F561,8)="Bijdrage",VLOOKUP($F561,Tb_KostenTypen[],MATCH(Lijsten!$P$1,Tb_KostenTypen[#Headers],0),0),VLOOKUP($G561,Lijsten!L:P,MATCH(Lijsten!$P$1,Kop_Tarief_Vast,0),0))),""),"")</f>
        <v/>
      </c>
      <c r="P561" s="320" t="str" cm="1">
        <f t="array" ref="P561">_xlfn.IFNA(IF(INDEX(Tb_KostenOptiesDB[],MATCH($F561,Tb_KostenOptiesDB[KostenOptie],0),IFERROR(MATCH(Methode_Keuze,Tb_KostenOptiesDB[#Headers],0),2))=1,_xlfn.SWITCH($N561,"Uurtarief",IF(OR(AND(RIGHT($F561,3)="IKS",VLOOKUP($M561,DB_Loonkosten,2,0)="Ja"),AND(RIGHT($F561,3)&lt;&gt;"IKS",VLOOKUP($M561,DB_Loonkosten,2,0)="Nee")),IFERROR(VLOOKUP($M561,DB_Loonkosten,25,0),""),0),"Vast tarief",IF(LEFT(F561,8)="Bijdrage",VLOOKUP($F561,Tb_KostenTypen[],MATCH(Lijsten!$P$1,Tb_KostenTypen[#Headers],0),0),VLOOKUP($G561,Lijsten!L:P,MATCH(Lijsten!$P$1,Kop_Tarief_Vast,0),0))),""),"")</f>
        <v/>
      </c>
      <c r="Q561" s="359"/>
      <c r="R561" s="359"/>
      <c r="S561" s="321"/>
      <c r="T561" s="321"/>
      <c r="U561" s="373" t="str">
        <f t="shared" si="32"/>
        <v/>
      </c>
      <c r="V561" s="314" t="str">
        <f t="shared" si="33"/>
        <v/>
      </c>
      <c r="W561" s="314" t="str" cm="1">
        <f t="array" aca="1" ref="W561" ca="1">IFERROR(IF(AE561&lt;&gt;"ja",_xlfn.IFNA(_xlfn.IFS(AND(O561&lt;&gt;"",F561&lt;&gt;"",RIGHT($N561,6)="tarief",F561="Vergoeding"),SUM(O561)*FLOOR(SUM(Q561),0.0001),AND(O561&lt;&gt;"",F561&lt;&gt;"",RIGHT($N561,6)="tarief"),SUM(O561)*FLOOR(SUM(Q561),0.01),S561&gt;0,IF(F561&lt;&gt;"",FLOOR(SUM(S561),0.01),"")),""),""),"")</f>
        <v/>
      </c>
      <c r="X561" s="314" t="str" cm="1">
        <f t="array" aca="1" ref="X561" ca="1">IFERROR(IF(AE561&lt;&gt;"ja",_xlfn.IFNA(_xlfn.IFS(AND(P561&lt;&gt;"",R561&lt;&gt;"",RIGHT($N561,6)="tarief",F561="Vergoeding"),SUM(P561)*FLOOR(SUM(R561),0.0001),AND(P561&lt;&gt;"",R561&lt;&gt;"",RIGHT($N561,6)="tarief"),P561*FLOOR(R561,0.01),T561&gt;0,FLOOR(SUM(T561),0.01)),""),""),"")</f>
        <v/>
      </c>
      <c r="Y561" s="314" t="str">
        <f t="shared" ca="1" si="34"/>
        <v/>
      </c>
      <c r="Z561" s="314" t="str" cm="1">
        <f t="array" aca="1" ref="Z561" ca="1">IFERROR(_xlfn.IFS(OR(F561="",LEFT(Methode_Keuze,4)="Geen",Methode_Keuze=""),"",AND(W561&lt;&gt;"",F561&lt;&gt;"Arbeidskosten"),W561*VLOOKUP(F561,Tb_ProjectKosten[],MATCH(Tb_ProjectKosten[[#Headers],[Forfait_Percentage]],Tb_ProjectKosten[#Headers],0),0),AND(F561="Arbeidskosten",G561&lt;&gt;""),IFERROR(W561*VLOOKUP(G561,Tb_KostenTypen[],3,0)*VLOOKUP(F561,Tb_ProjectKosten[],MATCH(Tb_ProjectKosten[[#Headers],[Forfait_Percentage]],Tb_ProjectKosten[#Headers],0),0),""),W561 &lt;=0,0),"")</f>
        <v/>
      </c>
      <c r="AA561" s="314" t="str" cm="1">
        <f t="array" aca="1" ref="AA561" ca="1">IFERROR(_xlfn.IFS(OR(F561="",LEFT(Methode_Keuze,4)="Geen",Methode_Keuze=""),"",AND(X561&lt;&gt;"",F561&lt;&gt;"Arbeidskosten"),X561*VLOOKUP(F561,Tb_ProjectKosten[],MATCH(Tb_ProjectKosten[[#Headers],[Forfait_Percentage]],Tb_ProjectKosten[#Headers],0),0),AND(F561="Arbeidskosten",G561&lt;&gt;""),IFERROR(X561*VLOOKUP(G561,Tb_KostenTypen[],3,0)*VLOOKUP(F561,Tb_ProjectKosten[],MATCH(Tb_ProjectKosten[[#Headers],[Forfait_Percentage]],Tb_ProjectKosten[#Headers],0),0),""),X561 &lt;=0,0),"")</f>
        <v/>
      </c>
      <c r="AB561" s="314" t="str">
        <f t="shared" ca="1" si="35"/>
        <v/>
      </c>
      <c r="AC561" s="322"/>
      <c r="AD561" s="315"/>
      <c r="AE561" s="32" t="str" cm="1">
        <f t="array" ref="AE561">IFERROR(IF(INDEX(SubsidieTabel!$AD$1:$AG$12,MATCH($F561,SubsidieTabel!$AD$1:$AD$12,0),IFERROR(MATCH(Methode_Keuze,SubsidieTabel!$AD$1:$AG$1,0),2))&lt;&gt;1=TRUE,"ja",""),"")</f>
        <v/>
      </c>
    </row>
    <row r="562" spans="1:31" x14ac:dyDescent="0.25">
      <c r="A562" s="316"/>
      <c r="B562" s="317" t="str">
        <f>IF(A562&lt;&gt;"",_xlfn.MAXIFS($B$1:B561,$A$1:A561,A562)+1,"")</f>
        <v/>
      </c>
      <c r="C562" s="296"/>
      <c r="D562" s="296"/>
      <c r="E562" s="296"/>
      <c r="F562" s="296"/>
      <c r="G562" s="326"/>
      <c r="H562" s="324"/>
      <c r="I562" s="325"/>
      <c r="J562" s="325"/>
      <c r="K562" s="318"/>
      <c r="L562" s="318"/>
      <c r="M562" s="319" t="str">
        <f>IFERROR(VLOOKUP(H562,Lijsten!$H$1:$I$100,2,0),"")</f>
        <v/>
      </c>
      <c r="N562" s="319" t="str">
        <f ca="1">IFERROR(IF(VLOOKUP(F562,Kostentypen!$A$3:$E$21,3,0)=0,"",IF(OR(F562="Arbeidskosten",F562="Vergoeding"),VLOOKUP(G562,Tb_KostenTypen[],2,0),VLOOKUP(F562,Kostentypen!$A$3:$E$20,3,0))),"")</f>
        <v/>
      </c>
      <c r="O562" s="320" t="str" cm="1">
        <f t="array" ref="O562">_xlfn.IFNA(IF(INDEX(Tb_KostenOptiesDB[],MATCH($F562,Tb_KostenOptiesDB[KostenOptie],0),IFERROR(MATCH(Methode_Keuze,Tb_KostenOptiesDB[#Headers],0),2))=1,_xlfn.SWITCH($N562,"Uurtarief",IF(OR(AND(RIGHT($F562,3)="IKS",VLOOKUP($M562,DB_Loonkosten,2,0)="Ja"),AND(RIGHT($F562,3)&lt;&gt;"IKS",VLOOKUP($M562,DB_Loonkosten,2,0)="Nee")),IFERROR(VLOOKUP($M562,DB_Loonkosten,24,0),""),0),"Vast tarief",IF(LEFT(F562,8)="Bijdrage",VLOOKUP($F562,Tb_KostenTypen[],MATCH(Lijsten!$P$1,Tb_KostenTypen[#Headers],0),0),VLOOKUP($G562,Lijsten!L:P,MATCH(Lijsten!$P$1,Kop_Tarief_Vast,0),0))),""),"")</f>
        <v/>
      </c>
      <c r="P562" s="320" t="str" cm="1">
        <f t="array" ref="P562">_xlfn.IFNA(IF(INDEX(Tb_KostenOptiesDB[],MATCH($F562,Tb_KostenOptiesDB[KostenOptie],0),IFERROR(MATCH(Methode_Keuze,Tb_KostenOptiesDB[#Headers],0),2))=1,_xlfn.SWITCH($N562,"Uurtarief",IF(OR(AND(RIGHT($F562,3)="IKS",VLOOKUP($M562,DB_Loonkosten,2,0)="Ja"),AND(RIGHT($F562,3)&lt;&gt;"IKS",VLOOKUP($M562,DB_Loonkosten,2,0)="Nee")),IFERROR(VLOOKUP($M562,DB_Loonkosten,25,0),""),0),"Vast tarief",IF(LEFT(F562,8)="Bijdrage",VLOOKUP($F562,Tb_KostenTypen[],MATCH(Lijsten!$P$1,Tb_KostenTypen[#Headers],0),0),VLOOKUP($G562,Lijsten!L:P,MATCH(Lijsten!$P$1,Kop_Tarief_Vast,0),0))),""),"")</f>
        <v/>
      </c>
      <c r="Q562" s="359"/>
      <c r="R562" s="359"/>
      <c r="S562" s="321"/>
      <c r="T562" s="321"/>
      <c r="U562" s="373" t="str">
        <f t="shared" si="32"/>
        <v/>
      </c>
      <c r="V562" s="314" t="str">
        <f t="shared" si="33"/>
        <v/>
      </c>
      <c r="W562" s="314" t="str" cm="1">
        <f t="array" aca="1" ref="W562" ca="1">IFERROR(IF(AE562&lt;&gt;"ja",_xlfn.IFNA(_xlfn.IFS(AND(O562&lt;&gt;"",F562&lt;&gt;"",RIGHT($N562,6)="tarief",F562="Vergoeding"),SUM(O562)*FLOOR(SUM(Q562),0.0001),AND(O562&lt;&gt;"",F562&lt;&gt;"",RIGHT($N562,6)="tarief"),SUM(O562)*FLOOR(SUM(Q562),0.01),S562&gt;0,IF(F562&lt;&gt;"",FLOOR(SUM(S562),0.01),"")),""),""),"")</f>
        <v/>
      </c>
      <c r="X562" s="314" t="str" cm="1">
        <f t="array" aca="1" ref="X562" ca="1">IFERROR(IF(AE562&lt;&gt;"ja",_xlfn.IFNA(_xlfn.IFS(AND(P562&lt;&gt;"",R562&lt;&gt;"",RIGHT($N562,6)="tarief",F562="Vergoeding"),SUM(P562)*FLOOR(SUM(R562),0.0001),AND(P562&lt;&gt;"",R562&lt;&gt;"",RIGHT($N562,6)="tarief"),P562*FLOOR(R562,0.01),T562&gt;0,FLOOR(SUM(T562),0.01)),""),""),"")</f>
        <v/>
      </c>
      <c r="Y562" s="314" t="str">
        <f t="shared" ca="1" si="34"/>
        <v/>
      </c>
      <c r="Z562" s="314" t="str" cm="1">
        <f t="array" aca="1" ref="Z562" ca="1">IFERROR(_xlfn.IFS(OR(F562="",LEFT(Methode_Keuze,4)="Geen",Methode_Keuze=""),"",AND(W562&lt;&gt;"",F562&lt;&gt;"Arbeidskosten"),W562*VLOOKUP(F562,Tb_ProjectKosten[],MATCH(Tb_ProjectKosten[[#Headers],[Forfait_Percentage]],Tb_ProjectKosten[#Headers],0),0),AND(F562="Arbeidskosten",G562&lt;&gt;""),IFERROR(W562*VLOOKUP(G562,Tb_KostenTypen[],3,0)*VLOOKUP(F562,Tb_ProjectKosten[],MATCH(Tb_ProjectKosten[[#Headers],[Forfait_Percentage]],Tb_ProjectKosten[#Headers],0),0),""),W562 &lt;=0,0),"")</f>
        <v/>
      </c>
      <c r="AA562" s="314" t="str" cm="1">
        <f t="array" aca="1" ref="AA562" ca="1">IFERROR(_xlfn.IFS(OR(F562="",LEFT(Methode_Keuze,4)="Geen",Methode_Keuze=""),"",AND(X562&lt;&gt;"",F562&lt;&gt;"Arbeidskosten"),X562*VLOOKUP(F562,Tb_ProjectKosten[],MATCH(Tb_ProjectKosten[[#Headers],[Forfait_Percentage]],Tb_ProjectKosten[#Headers],0),0),AND(F562="Arbeidskosten",G562&lt;&gt;""),IFERROR(X562*VLOOKUP(G562,Tb_KostenTypen[],3,0)*VLOOKUP(F562,Tb_ProjectKosten[],MATCH(Tb_ProjectKosten[[#Headers],[Forfait_Percentage]],Tb_ProjectKosten[#Headers],0),0),""),X562 &lt;=0,0),"")</f>
        <v/>
      </c>
      <c r="AB562" s="314" t="str">
        <f t="shared" ca="1" si="35"/>
        <v/>
      </c>
      <c r="AC562" s="322"/>
      <c r="AD562" s="315"/>
      <c r="AE562" s="32" t="str" cm="1">
        <f t="array" ref="AE562">IFERROR(IF(INDEX(SubsidieTabel!$AD$1:$AG$12,MATCH($F562,SubsidieTabel!$AD$1:$AD$12,0),IFERROR(MATCH(Methode_Keuze,SubsidieTabel!$AD$1:$AG$1,0),2))&lt;&gt;1=TRUE,"ja",""),"")</f>
        <v/>
      </c>
    </row>
    <row r="563" spans="1:31" x14ac:dyDescent="0.25">
      <c r="A563" s="316"/>
      <c r="B563" s="317" t="str">
        <f>IF(A563&lt;&gt;"",_xlfn.MAXIFS($B$1:B562,$A$1:A562,A563)+1,"")</f>
        <v/>
      </c>
      <c r="C563" s="296"/>
      <c r="D563" s="296"/>
      <c r="E563" s="296"/>
      <c r="F563" s="296"/>
      <c r="G563" s="326"/>
      <c r="H563" s="324"/>
      <c r="I563" s="325"/>
      <c r="J563" s="325"/>
      <c r="K563" s="318"/>
      <c r="L563" s="318"/>
      <c r="M563" s="319" t="str">
        <f>IFERROR(VLOOKUP(H563,Lijsten!$H$1:$I$100,2,0),"")</f>
        <v/>
      </c>
      <c r="N563" s="319" t="str">
        <f ca="1">IFERROR(IF(VLOOKUP(F563,Kostentypen!$A$3:$E$21,3,0)=0,"",IF(OR(F563="Arbeidskosten",F563="Vergoeding"),VLOOKUP(G563,Tb_KostenTypen[],2,0),VLOOKUP(F563,Kostentypen!$A$3:$E$20,3,0))),"")</f>
        <v/>
      </c>
      <c r="O563" s="320" t="str" cm="1">
        <f t="array" ref="O563">_xlfn.IFNA(IF(INDEX(Tb_KostenOptiesDB[],MATCH($F563,Tb_KostenOptiesDB[KostenOptie],0),IFERROR(MATCH(Methode_Keuze,Tb_KostenOptiesDB[#Headers],0),2))=1,_xlfn.SWITCH($N563,"Uurtarief",IF(OR(AND(RIGHT($F563,3)="IKS",VLOOKUP($M563,DB_Loonkosten,2,0)="Ja"),AND(RIGHT($F563,3)&lt;&gt;"IKS",VLOOKUP($M563,DB_Loonkosten,2,0)="Nee")),IFERROR(VLOOKUP($M563,DB_Loonkosten,24,0),""),0),"Vast tarief",IF(LEFT(F563,8)="Bijdrage",VLOOKUP($F563,Tb_KostenTypen[],MATCH(Lijsten!$P$1,Tb_KostenTypen[#Headers],0),0),VLOOKUP($G563,Lijsten!L:P,MATCH(Lijsten!$P$1,Kop_Tarief_Vast,0),0))),""),"")</f>
        <v/>
      </c>
      <c r="P563" s="320" t="str" cm="1">
        <f t="array" ref="P563">_xlfn.IFNA(IF(INDEX(Tb_KostenOptiesDB[],MATCH($F563,Tb_KostenOptiesDB[KostenOptie],0),IFERROR(MATCH(Methode_Keuze,Tb_KostenOptiesDB[#Headers],0),2))=1,_xlfn.SWITCH($N563,"Uurtarief",IF(OR(AND(RIGHT($F563,3)="IKS",VLOOKUP($M563,DB_Loonkosten,2,0)="Ja"),AND(RIGHT($F563,3)&lt;&gt;"IKS",VLOOKUP($M563,DB_Loonkosten,2,0)="Nee")),IFERROR(VLOOKUP($M563,DB_Loonkosten,25,0),""),0),"Vast tarief",IF(LEFT(F563,8)="Bijdrage",VLOOKUP($F563,Tb_KostenTypen[],MATCH(Lijsten!$P$1,Tb_KostenTypen[#Headers],0),0),VLOOKUP($G563,Lijsten!L:P,MATCH(Lijsten!$P$1,Kop_Tarief_Vast,0),0))),""),"")</f>
        <v/>
      </c>
      <c r="Q563" s="359"/>
      <c r="R563" s="359"/>
      <c r="S563" s="321"/>
      <c r="T563" s="321"/>
      <c r="U563" s="373" t="str">
        <f t="shared" si="32"/>
        <v/>
      </c>
      <c r="V563" s="314" t="str">
        <f t="shared" si="33"/>
        <v/>
      </c>
      <c r="W563" s="314" t="str" cm="1">
        <f t="array" aca="1" ref="W563" ca="1">IFERROR(IF(AE563&lt;&gt;"ja",_xlfn.IFNA(_xlfn.IFS(AND(O563&lt;&gt;"",F563&lt;&gt;"",RIGHT($N563,6)="tarief",F563="Vergoeding"),SUM(O563)*FLOOR(SUM(Q563),0.0001),AND(O563&lt;&gt;"",F563&lt;&gt;"",RIGHT($N563,6)="tarief"),SUM(O563)*FLOOR(SUM(Q563),0.01),S563&gt;0,IF(F563&lt;&gt;"",FLOOR(SUM(S563),0.01),"")),""),""),"")</f>
        <v/>
      </c>
      <c r="X563" s="314" t="str" cm="1">
        <f t="array" aca="1" ref="X563" ca="1">IFERROR(IF(AE563&lt;&gt;"ja",_xlfn.IFNA(_xlfn.IFS(AND(P563&lt;&gt;"",R563&lt;&gt;"",RIGHT($N563,6)="tarief",F563="Vergoeding"),SUM(P563)*FLOOR(SUM(R563),0.0001),AND(P563&lt;&gt;"",R563&lt;&gt;"",RIGHT($N563,6)="tarief"),P563*FLOOR(R563,0.01),T563&gt;0,FLOOR(SUM(T563),0.01)),""),""),"")</f>
        <v/>
      </c>
      <c r="Y563" s="314" t="str">
        <f t="shared" ca="1" si="34"/>
        <v/>
      </c>
      <c r="Z563" s="314" t="str" cm="1">
        <f t="array" aca="1" ref="Z563" ca="1">IFERROR(_xlfn.IFS(OR(F563="",LEFT(Methode_Keuze,4)="Geen",Methode_Keuze=""),"",AND(W563&lt;&gt;"",F563&lt;&gt;"Arbeidskosten"),W563*VLOOKUP(F563,Tb_ProjectKosten[],MATCH(Tb_ProjectKosten[[#Headers],[Forfait_Percentage]],Tb_ProjectKosten[#Headers],0),0),AND(F563="Arbeidskosten",G563&lt;&gt;""),IFERROR(W563*VLOOKUP(G563,Tb_KostenTypen[],3,0)*VLOOKUP(F563,Tb_ProjectKosten[],MATCH(Tb_ProjectKosten[[#Headers],[Forfait_Percentage]],Tb_ProjectKosten[#Headers],0),0),""),W563 &lt;=0,0),"")</f>
        <v/>
      </c>
      <c r="AA563" s="314" t="str" cm="1">
        <f t="array" aca="1" ref="AA563" ca="1">IFERROR(_xlfn.IFS(OR(F563="",LEFT(Methode_Keuze,4)="Geen",Methode_Keuze=""),"",AND(X563&lt;&gt;"",F563&lt;&gt;"Arbeidskosten"),X563*VLOOKUP(F563,Tb_ProjectKosten[],MATCH(Tb_ProjectKosten[[#Headers],[Forfait_Percentage]],Tb_ProjectKosten[#Headers],0),0),AND(F563="Arbeidskosten",G563&lt;&gt;""),IFERROR(X563*VLOOKUP(G563,Tb_KostenTypen[],3,0)*VLOOKUP(F563,Tb_ProjectKosten[],MATCH(Tb_ProjectKosten[[#Headers],[Forfait_Percentage]],Tb_ProjectKosten[#Headers],0),0),""),X563 &lt;=0,0),"")</f>
        <v/>
      </c>
      <c r="AB563" s="314" t="str">
        <f t="shared" ca="1" si="35"/>
        <v/>
      </c>
      <c r="AC563" s="322"/>
      <c r="AD563" s="315"/>
      <c r="AE563" s="32" t="str" cm="1">
        <f t="array" ref="AE563">IFERROR(IF(INDEX(SubsidieTabel!$AD$1:$AG$12,MATCH($F563,SubsidieTabel!$AD$1:$AD$12,0),IFERROR(MATCH(Methode_Keuze,SubsidieTabel!$AD$1:$AG$1,0),2))&lt;&gt;1=TRUE,"ja",""),"")</f>
        <v/>
      </c>
    </row>
    <row r="564" spans="1:31" x14ac:dyDescent="0.25">
      <c r="A564" s="316"/>
      <c r="B564" s="317" t="str">
        <f>IF(A564&lt;&gt;"",_xlfn.MAXIFS($B$1:B563,$A$1:A563,A564)+1,"")</f>
        <v/>
      </c>
      <c r="C564" s="296"/>
      <c r="D564" s="296"/>
      <c r="E564" s="296"/>
      <c r="F564" s="296"/>
      <c r="G564" s="326"/>
      <c r="H564" s="324"/>
      <c r="I564" s="325"/>
      <c r="J564" s="325"/>
      <c r="K564" s="318"/>
      <c r="L564" s="318"/>
      <c r="M564" s="319" t="str">
        <f>IFERROR(VLOOKUP(H564,Lijsten!$H$1:$I$100,2,0),"")</f>
        <v/>
      </c>
      <c r="N564" s="319" t="str">
        <f ca="1">IFERROR(IF(VLOOKUP(F564,Kostentypen!$A$3:$E$21,3,0)=0,"",IF(OR(F564="Arbeidskosten",F564="Vergoeding"),VLOOKUP(G564,Tb_KostenTypen[],2,0),VLOOKUP(F564,Kostentypen!$A$3:$E$20,3,0))),"")</f>
        <v/>
      </c>
      <c r="O564" s="320" t="str" cm="1">
        <f t="array" ref="O564">_xlfn.IFNA(IF(INDEX(Tb_KostenOptiesDB[],MATCH($F564,Tb_KostenOptiesDB[KostenOptie],0),IFERROR(MATCH(Methode_Keuze,Tb_KostenOptiesDB[#Headers],0),2))=1,_xlfn.SWITCH($N564,"Uurtarief",IF(OR(AND(RIGHT($F564,3)="IKS",VLOOKUP($M564,DB_Loonkosten,2,0)="Ja"),AND(RIGHT($F564,3)&lt;&gt;"IKS",VLOOKUP($M564,DB_Loonkosten,2,0)="Nee")),IFERROR(VLOOKUP($M564,DB_Loonkosten,24,0),""),0),"Vast tarief",IF(LEFT(F564,8)="Bijdrage",VLOOKUP($F564,Tb_KostenTypen[],MATCH(Lijsten!$P$1,Tb_KostenTypen[#Headers],0),0),VLOOKUP($G564,Lijsten!L:P,MATCH(Lijsten!$P$1,Kop_Tarief_Vast,0),0))),""),"")</f>
        <v/>
      </c>
      <c r="P564" s="320" t="str" cm="1">
        <f t="array" ref="P564">_xlfn.IFNA(IF(INDEX(Tb_KostenOptiesDB[],MATCH($F564,Tb_KostenOptiesDB[KostenOptie],0),IFERROR(MATCH(Methode_Keuze,Tb_KostenOptiesDB[#Headers],0),2))=1,_xlfn.SWITCH($N564,"Uurtarief",IF(OR(AND(RIGHT($F564,3)="IKS",VLOOKUP($M564,DB_Loonkosten,2,0)="Ja"),AND(RIGHT($F564,3)&lt;&gt;"IKS",VLOOKUP($M564,DB_Loonkosten,2,0)="Nee")),IFERROR(VLOOKUP($M564,DB_Loonkosten,25,0),""),0),"Vast tarief",IF(LEFT(F564,8)="Bijdrage",VLOOKUP($F564,Tb_KostenTypen[],MATCH(Lijsten!$P$1,Tb_KostenTypen[#Headers],0),0),VLOOKUP($G564,Lijsten!L:P,MATCH(Lijsten!$P$1,Kop_Tarief_Vast,0),0))),""),"")</f>
        <v/>
      </c>
      <c r="Q564" s="359"/>
      <c r="R564" s="359"/>
      <c r="S564" s="321"/>
      <c r="T564" s="321"/>
      <c r="U564" s="373" t="str">
        <f t="shared" si="32"/>
        <v/>
      </c>
      <c r="V564" s="314" t="str">
        <f t="shared" si="33"/>
        <v/>
      </c>
      <c r="W564" s="314" t="str" cm="1">
        <f t="array" aca="1" ref="W564" ca="1">IFERROR(IF(AE564&lt;&gt;"ja",_xlfn.IFNA(_xlfn.IFS(AND(O564&lt;&gt;"",F564&lt;&gt;"",RIGHT($N564,6)="tarief",F564="Vergoeding"),SUM(O564)*FLOOR(SUM(Q564),0.0001),AND(O564&lt;&gt;"",F564&lt;&gt;"",RIGHT($N564,6)="tarief"),SUM(O564)*FLOOR(SUM(Q564),0.01),S564&gt;0,IF(F564&lt;&gt;"",FLOOR(SUM(S564),0.01),"")),""),""),"")</f>
        <v/>
      </c>
      <c r="X564" s="314" t="str" cm="1">
        <f t="array" aca="1" ref="X564" ca="1">IFERROR(IF(AE564&lt;&gt;"ja",_xlfn.IFNA(_xlfn.IFS(AND(P564&lt;&gt;"",R564&lt;&gt;"",RIGHT($N564,6)="tarief",F564="Vergoeding"),SUM(P564)*FLOOR(SUM(R564),0.0001),AND(P564&lt;&gt;"",R564&lt;&gt;"",RIGHT($N564,6)="tarief"),P564*FLOOR(R564,0.01),T564&gt;0,FLOOR(SUM(T564),0.01)),""),""),"")</f>
        <v/>
      </c>
      <c r="Y564" s="314" t="str">
        <f t="shared" ca="1" si="34"/>
        <v/>
      </c>
      <c r="Z564" s="314" t="str" cm="1">
        <f t="array" aca="1" ref="Z564" ca="1">IFERROR(_xlfn.IFS(OR(F564="",LEFT(Methode_Keuze,4)="Geen",Methode_Keuze=""),"",AND(W564&lt;&gt;"",F564&lt;&gt;"Arbeidskosten"),W564*VLOOKUP(F564,Tb_ProjectKosten[],MATCH(Tb_ProjectKosten[[#Headers],[Forfait_Percentage]],Tb_ProjectKosten[#Headers],0),0),AND(F564="Arbeidskosten",G564&lt;&gt;""),IFERROR(W564*VLOOKUP(G564,Tb_KostenTypen[],3,0)*VLOOKUP(F564,Tb_ProjectKosten[],MATCH(Tb_ProjectKosten[[#Headers],[Forfait_Percentage]],Tb_ProjectKosten[#Headers],0),0),""),W564 &lt;=0,0),"")</f>
        <v/>
      </c>
      <c r="AA564" s="314" t="str" cm="1">
        <f t="array" aca="1" ref="AA564" ca="1">IFERROR(_xlfn.IFS(OR(F564="",LEFT(Methode_Keuze,4)="Geen",Methode_Keuze=""),"",AND(X564&lt;&gt;"",F564&lt;&gt;"Arbeidskosten"),X564*VLOOKUP(F564,Tb_ProjectKosten[],MATCH(Tb_ProjectKosten[[#Headers],[Forfait_Percentage]],Tb_ProjectKosten[#Headers],0),0),AND(F564="Arbeidskosten",G564&lt;&gt;""),IFERROR(X564*VLOOKUP(G564,Tb_KostenTypen[],3,0)*VLOOKUP(F564,Tb_ProjectKosten[],MATCH(Tb_ProjectKosten[[#Headers],[Forfait_Percentage]],Tb_ProjectKosten[#Headers],0),0),""),X564 &lt;=0,0),"")</f>
        <v/>
      </c>
      <c r="AB564" s="314" t="str">
        <f t="shared" ca="1" si="35"/>
        <v/>
      </c>
      <c r="AC564" s="322"/>
      <c r="AD564" s="315"/>
      <c r="AE564" s="32" t="str" cm="1">
        <f t="array" ref="AE564">IFERROR(IF(INDEX(SubsidieTabel!$AD$1:$AG$12,MATCH($F564,SubsidieTabel!$AD$1:$AD$12,0),IFERROR(MATCH(Methode_Keuze,SubsidieTabel!$AD$1:$AG$1,0),2))&lt;&gt;1=TRUE,"ja",""),"")</f>
        <v/>
      </c>
    </row>
    <row r="565" spans="1:31" x14ac:dyDescent="0.25">
      <c r="A565" s="316"/>
      <c r="B565" s="317" t="str">
        <f>IF(A565&lt;&gt;"",_xlfn.MAXIFS($B$1:B564,$A$1:A564,A565)+1,"")</f>
        <v/>
      </c>
      <c r="C565" s="296"/>
      <c r="D565" s="296"/>
      <c r="E565" s="296"/>
      <c r="F565" s="296"/>
      <c r="G565" s="326"/>
      <c r="H565" s="324"/>
      <c r="I565" s="325"/>
      <c r="J565" s="325"/>
      <c r="K565" s="318"/>
      <c r="L565" s="318"/>
      <c r="M565" s="319" t="str">
        <f>IFERROR(VLOOKUP(H565,Lijsten!$H$1:$I$100,2,0),"")</f>
        <v/>
      </c>
      <c r="N565" s="319" t="str">
        <f ca="1">IFERROR(IF(VLOOKUP(F565,Kostentypen!$A$3:$E$21,3,0)=0,"",IF(OR(F565="Arbeidskosten",F565="Vergoeding"),VLOOKUP(G565,Tb_KostenTypen[],2,0),VLOOKUP(F565,Kostentypen!$A$3:$E$20,3,0))),"")</f>
        <v/>
      </c>
      <c r="O565" s="320" t="str" cm="1">
        <f t="array" ref="O565">_xlfn.IFNA(IF(INDEX(Tb_KostenOptiesDB[],MATCH($F565,Tb_KostenOptiesDB[KostenOptie],0),IFERROR(MATCH(Methode_Keuze,Tb_KostenOptiesDB[#Headers],0),2))=1,_xlfn.SWITCH($N565,"Uurtarief",IF(OR(AND(RIGHT($F565,3)="IKS",VLOOKUP($M565,DB_Loonkosten,2,0)="Ja"),AND(RIGHT($F565,3)&lt;&gt;"IKS",VLOOKUP($M565,DB_Loonkosten,2,0)="Nee")),IFERROR(VLOOKUP($M565,DB_Loonkosten,24,0),""),0),"Vast tarief",IF(LEFT(F565,8)="Bijdrage",VLOOKUP($F565,Tb_KostenTypen[],MATCH(Lijsten!$P$1,Tb_KostenTypen[#Headers],0),0),VLOOKUP($G565,Lijsten!L:P,MATCH(Lijsten!$P$1,Kop_Tarief_Vast,0),0))),""),"")</f>
        <v/>
      </c>
      <c r="P565" s="320" t="str" cm="1">
        <f t="array" ref="P565">_xlfn.IFNA(IF(INDEX(Tb_KostenOptiesDB[],MATCH($F565,Tb_KostenOptiesDB[KostenOptie],0),IFERROR(MATCH(Methode_Keuze,Tb_KostenOptiesDB[#Headers],0),2))=1,_xlfn.SWITCH($N565,"Uurtarief",IF(OR(AND(RIGHT($F565,3)="IKS",VLOOKUP($M565,DB_Loonkosten,2,0)="Ja"),AND(RIGHT($F565,3)&lt;&gt;"IKS",VLOOKUP($M565,DB_Loonkosten,2,0)="Nee")),IFERROR(VLOOKUP($M565,DB_Loonkosten,25,0),""),0),"Vast tarief",IF(LEFT(F565,8)="Bijdrage",VLOOKUP($F565,Tb_KostenTypen[],MATCH(Lijsten!$P$1,Tb_KostenTypen[#Headers],0),0),VLOOKUP($G565,Lijsten!L:P,MATCH(Lijsten!$P$1,Kop_Tarief_Vast,0),0))),""),"")</f>
        <v/>
      </c>
      <c r="Q565" s="359"/>
      <c r="R565" s="359"/>
      <c r="S565" s="321"/>
      <c r="T565" s="321"/>
      <c r="U565" s="373" t="str">
        <f t="shared" si="32"/>
        <v/>
      </c>
      <c r="V565" s="314" t="str">
        <f t="shared" si="33"/>
        <v/>
      </c>
      <c r="W565" s="314" t="str" cm="1">
        <f t="array" aca="1" ref="W565" ca="1">IFERROR(IF(AE565&lt;&gt;"ja",_xlfn.IFNA(_xlfn.IFS(AND(O565&lt;&gt;"",F565&lt;&gt;"",RIGHT($N565,6)="tarief",F565="Vergoeding"),SUM(O565)*FLOOR(SUM(Q565),0.0001),AND(O565&lt;&gt;"",F565&lt;&gt;"",RIGHT($N565,6)="tarief"),SUM(O565)*FLOOR(SUM(Q565),0.01),S565&gt;0,IF(F565&lt;&gt;"",FLOOR(SUM(S565),0.01),"")),""),""),"")</f>
        <v/>
      </c>
      <c r="X565" s="314" t="str" cm="1">
        <f t="array" aca="1" ref="X565" ca="1">IFERROR(IF(AE565&lt;&gt;"ja",_xlfn.IFNA(_xlfn.IFS(AND(P565&lt;&gt;"",R565&lt;&gt;"",RIGHT($N565,6)="tarief",F565="Vergoeding"),SUM(P565)*FLOOR(SUM(R565),0.0001),AND(P565&lt;&gt;"",R565&lt;&gt;"",RIGHT($N565,6)="tarief"),P565*FLOOR(R565,0.01),T565&gt;0,FLOOR(SUM(T565),0.01)),""),""),"")</f>
        <v/>
      </c>
      <c r="Y565" s="314" t="str">
        <f t="shared" ca="1" si="34"/>
        <v/>
      </c>
      <c r="Z565" s="314" t="str" cm="1">
        <f t="array" aca="1" ref="Z565" ca="1">IFERROR(_xlfn.IFS(OR(F565="",LEFT(Methode_Keuze,4)="Geen",Methode_Keuze=""),"",AND(W565&lt;&gt;"",F565&lt;&gt;"Arbeidskosten"),W565*VLOOKUP(F565,Tb_ProjectKosten[],MATCH(Tb_ProjectKosten[[#Headers],[Forfait_Percentage]],Tb_ProjectKosten[#Headers],0),0),AND(F565="Arbeidskosten",G565&lt;&gt;""),IFERROR(W565*VLOOKUP(G565,Tb_KostenTypen[],3,0)*VLOOKUP(F565,Tb_ProjectKosten[],MATCH(Tb_ProjectKosten[[#Headers],[Forfait_Percentage]],Tb_ProjectKosten[#Headers],0),0),""),W565 &lt;=0,0),"")</f>
        <v/>
      </c>
      <c r="AA565" s="314" t="str" cm="1">
        <f t="array" aca="1" ref="AA565" ca="1">IFERROR(_xlfn.IFS(OR(F565="",LEFT(Methode_Keuze,4)="Geen",Methode_Keuze=""),"",AND(X565&lt;&gt;"",F565&lt;&gt;"Arbeidskosten"),X565*VLOOKUP(F565,Tb_ProjectKosten[],MATCH(Tb_ProjectKosten[[#Headers],[Forfait_Percentage]],Tb_ProjectKosten[#Headers],0),0),AND(F565="Arbeidskosten",G565&lt;&gt;""),IFERROR(X565*VLOOKUP(G565,Tb_KostenTypen[],3,0)*VLOOKUP(F565,Tb_ProjectKosten[],MATCH(Tb_ProjectKosten[[#Headers],[Forfait_Percentage]],Tb_ProjectKosten[#Headers],0),0),""),X565 &lt;=0,0),"")</f>
        <v/>
      </c>
      <c r="AB565" s="314" t="str">
        <f t="shared" ca="1" si="35"/>
        <v/>
      </c>
      <c r="AC565" s="322"/>
      <c r="AD565" s="315"/>
      <c r="AE565" s="32" t="str" cm="1">
        <f t="array" ref="AE565">IFERROR(IF(INDEX(SubsidieTabel!$AD$1:$AG$12,MATCH($F565,SubsidieTabel!$AD$1:$AD$12,0),IFERROR(MATCH(Methode_Keuze,SubsidieTabel!$AD$1:$AG$1,0),2))&lt;&gt;1=TRUE,"ja",""),"")</f>
        <v/>
      </c>
    </row>
    <row r="566" spans="1:31" x14ac:dyDescent="0.25">
      <c r="A566" s="316"/>
      <c r="B566" s="317" t="str">
        <f>IF(A566&lt;&gt;"",_xlfn.MAXIFS($B$1:B565,$A$1:A565,A566)+1,"")</f>
        <v/>
      </c>
      <c r="C566" s="296"/>
      <c r="D566" s="296"/>
      <c r="E566" s="296"/>
      <c r="F566" s="296"/>
      <c r="G566" s="326"/>
      <c r="H566" s="324"/>
      <c r="I566" s="325"/>
      <c r="J566" s="325"/>
      <c r="K566" s="318"/>
      <c r="L566" s="318"/>
      <c r="M566" s="319" t="str">
        <f>IFERROR(VLOOKUP(H566,Lijsten!$H$1:$I$100,2,0),"")</f>
        <v/>
      </c>
      <c r="N566" s="319" t="str">
        <f ca="1">IFERROR(IF(VLOOKUP(F566,Kostentypen!$A$3:$E$21,3,0)=0,"",IF(OR(F566="Arbeidskosten",F566="Vergoeding"),VLOOKUP(G566,Tb_KostenTypen[],2,0),VLOOKUP(F566,Kostentypen!$A$3:$E$20,3,0))),"")</f>
        <v/>
      </c>
      <c r="O566" s="320" t="str" cm="1">
        <f t="array" ref="O566">_xlfn.IFNA(IF(INDEX(Tb_KostenOptiesDB[],MATCH($F566,Tb_KostenOptiesDB[KostenOptie],0),IFERROR(MATCH(Methode_Keuze,Tb_KostenOptiesDB[#Headers],0),2))=1,_xlfn.SWITCH($N566,"Uurtarief",IF(OR(AND(RIGHT($F566,3)="IKS",VLOOKUP($M566,DB_Loonkosten,2,0)="Ja"),AND(RIGHT($F566,3)&lt;&gt;"IKS",VLOOKUP($M566,DB_Loonkosten,2,0)="Nee")),IFERROR(VLOOKUP($M566,DB_Loonkosten,24,0),""),0),"Vast tarief",IF(LEFT(F566,8)="Bijdrage",VLOOKUP($F566,Tb_KostenTypen[],MATCH(Lijsten!$P$1,Tb_KostenTypen[#Headers],0),0),VLOOKUP($G566,Lijsten!L:P,MATCH(Lijsten!$P$1,Kop_Tarief_Vast,0),0))),""),"")</f>
        <v/>
      </c>
      <c r="P566" s="320" t="str" cm="1">
        <f t="array" ref="P566">_xlfn.IFNA(IF(INDEX(Tb_KostenOptiesDB[],MATCH($F566,Tb_KostenOptiesDB[KostenOptie],0),IFERROR(MATCH(Methode_Keuze,Tb_KostenOptiesDB[#Headers],0),2))=1,_xlfn.SWITCH($N566,"Uurtarief",IF(OR(AND(RIGHT($F566,3)="IKS",VLOOKUP($M566,DB_Loonkosten,2,0)="Ja"),AND(RIGHT($F566,3)&lt;&gt;"IKS",VLOOKUP($M566,DB_Loonkosten,2,0)="Nee")),IFERROR(VLOOKUP($M566,DB_Loonkosten,25,0),""),0),"Vast tarief",IF(LEFT(F566,8)="Bijdrage",VLOOKUP($F566,Tb_KostenTypen[],MATCH(Lijsten!$P$1,Tb_KostenTypen[#Headers],0),0),VLOOKUP($G566,Lijsten!L:P,MATCH(Lijsten!$P$1,Kop_Tarief_Vast,0),0))),""),"")</f>
        <v/>
      </c>
      <c r="Q566" s="359"/>
      <c r="R566" s="359"/>
      <c r="S566" s="321"/>
      <c r="T566" s="321"/>
      <c r="U566" s="373" t="str">
        <f t="shared" si="32"/>
        <v/>
      </c>
      <c r="V566" s="314" t="str">
        <f t="shared" si="33"/>
        <v/>
      </c>
      <c r="W566" s="314" t="str" cm="1">
        <f t="array" aca="1" ref="W566" ca="1">IFERROR(IF(AE566&lt;&gt;"ja",_xlfn.IFNA(_xlfn.IFS(AND(O566&lt;&gt;"",F566&lt;&gt;"",RIGHT($N566,6)="tarief",F566="Vergoeding"),SUM(O566)*FLOOR(SUM(Q566),0.0001),AND(O566&lt;&gt;"",F566&lt;&gt;"",RIGHT($N566,6)="tarief"),SUM(O566)*FLOOR(SUM(Q566),0.01),S566&gt;0,IF(F566&lt;&gt;"",FLOOR(SUM(S566),0.01),"")),""),""),"")</f>
        <v/>
      </c>
      <c r="X566" s="314" t="str" cm="1">
        <f t="array" aca="1" ref="X566" ca="1">IFERROR(IF(AE566&lt;&gt;"ja",_xlfn.IFNA(_xlfn.IFS(AND(P566&lt;&gt;"",R566&lt;&gt;"",RIGHT($N566,6)="tarief",F566="Vergoeding"),SUM(P566)*FLOOR(SUM(R566),0.0001),AND(P566&lt;&gt;"",R566&lt;&gt;"",RIGHT($N566,6)="tarief"),P566*FLOOR(R566,0.01),T566&gt;0,FLOOR(SUM(T566),0.01)),""),""),"")</f>
        <v/>
      </c>
      <c r="Y566" s="314" t="str">
        <f t="shared" ca="1" si="34"/>
        <v/>
      </c>
      <c r="Z566" s="314" t="str" cm="1">
        <f t="array" aca="1" ref="Z566" ca="1">IFERROR(_xlfn.IFS(OR(F566="",LEFT(Methode_Keuze,4)="Geen",Methode_Keuze=""),"",AND(W566&lt;&gt;"",F566&lt;&gt;"Arbeidskosten"),W566*VLOOKUP(F566,Tb_ProjectKosten[],MATCH(Tb_ProjectKosten[[#Headers],[Forfait_Percentage]],Tb_ProjectKosten[#Headers],0),0),AND(F566="Arbeidskosten",G566&lt;&gt;""),IFERROR(W566*VLOOKUP(G566,Tb_KostenTypen[],3,0)*VLOOKUP(F566,Tb_ProjectKosten[],MATCH(Tb_ProjectKosten[[#Headers],[Forfait_Percentage]],Tb_ProjectKosten[#Headers],0),0),""),W566 &lt;=0,0),"")</f>
        <v/>
      </c>
      <c r="AA566" s="314" t="str" cm="1">
        <f t="array" aca="1" ref="AA566" ca="1">IFERROR(_xlfn.IFS(OR(F566="",LEFT(Methode_Keuze,4)="Geen",Methode_Keuze=""),"",AND(X566&lt;&gt;"",F566&lt;&gt;"Arbeidskosten"),X566*VLOOKUP(F566,Tb_ProjectKosten[],MATCH(Tb_ProjectKosten[[#Headers],[Forfait_Percentage]],Tb_ProjectKosten[#Headers],0),0),AND(F566="Arbeidskosten",G566&lt;&gt;""),IFERROR(X566*VLOOKUP(G566,Tb_KostenTypen[],3,0)*VLOOKUP(F566,Tb_ProjectKosten[],MATCH(Tb_ProjectKosten[[#Headers],[Forfait_Percentage]],Tb_ProjectKosten[#Headers],0),0),""),X566 &lt;=0,0),"")</f>
        <v/>
      </c>
      <c r="AB566" s="314" t="str">
        <f t="shared" ca="1" si="35"/>
        <v/>
      </c>
      <c r="AC566" s="322"/>
      <c r="AD566" s="315"/>
      <c r="AE566" s="32" t="str" cm="1">
        <f t="array" ref="AE566">IFERROR(IF(INDEX(SubsidieTabel!$AD$1:$AG$12,MATCH($F566,SubsidieTabel!$AD$1:$AD$12,0),IFERROR(MATCH(Methode_Keuze,SubsidieTabel!$AD$1:$AG$1,0),2))&lt;&gt;1=TRUE,"ja",""),"")</f>
        <v/>
      </c>
    </row>
    <row r="567" spans="1:31" x14ac:dyDescent="0.25">
      <c r="A567" s="316"/>
      <c r="B567" s="317" t="str">
        <f>IF(A567&lt;&gt;"",_xlfn.MAXIFS($B$1:B566,$A$1:A566,A567)+1,"")</f>
        <v/>
      </c>
      <c r="C567" s="296"/>
      <c r="D567" s="296"/>
      <c r="E567" s="296"/>
      <c r="F567" s="296"/>
      <c r="G567" s="326"/>
      <c r="H567" s="324"/>
      <c r="I567" s="325"/>
      <c r="J567" s="325"/>
      <c r="K567" s="318"/>
      <c r="L567" s="318"/>
      <c r="M567" s="319" t="str">
        <f>IFERROR(VLOOKUP(H567,Lijsten!$H$1:$I$100,2,0),"")</f>
        <v/>
      </c>
      <c r="N567" s="319" t="str">
        <f ca="1">IFERROR(IF(VLOOKUP(F567,Kostentypen!$A$3:$E$21,3,0)=0,"",IF(OR(F567="Arbeidskosten",F567="Vergoeding"),VLOOKUP(G567,Tb_KostenTypen[],2,0),VLOOKUP(F567,Kostentypen!$A$3:$E$20,3,0))),"")</f>
        <v/>
      </c>
      <c r="O567" s="320" t="str" cm="1">
        <f t="array" ref="O567">_xlfn.IFNA(IF(INDEX(Tb_KostenOptiesDB[],MATCH($F567,Tb_KostenOptiesDB[KostenOptie],0),IFERROR(MATCH(Methode_Keuze,Tb_KostenOptiesDB[#Headers],0),2))=1,_xlfn.SWITCH($N567,"Uurtarief",IF(OR(AND(RIGHT($F567,3)="IKS",VLOOKUP($M567,DB_Loonkosten,2,0)="Ja"),AND(RIGHT($F567,3)&lt;&gt;"IKS",VLOOKUP($M567,DB_Loonkosten,2,0)="Nee")),IFERROR(VLOOKUP($M567,DB_Loonkosten,24,0),""),0),"Vast tarief",IF(LEFT(F567,8)="Bijdrage",VLOOKUP($F567,Tb_KostenTypen[],MATCH(Lijsten!$P$1,Tb_KostenTypen[#Headers],0),0),VLOOKUP($G567,Lijsten!L:P,MATCH(Lijsten!$P$1,Kop_Tarief_Vast,0),0))),""),"")</f>
        <v/>
      </c>
      <c r="P567" s="320" t="str" cm="1">
        <f t="array" ref="P567">_xlfn.IFNA(IF(INDEX(Tb_KostenOptiesDB[],MATCH($F567,Tb_KostenOptiesDB[KostenOptie],0),IFERROR(MATCH(Methode_Keuze,Tb_KostenOptiesDB[#Headers],0),2))=1,_xlfn.SWITCH($N567,"Uurtarief",IF(OR(AND(RIGHT($F567,3)="IKS",VLOOKUP($M567,DB_Loonkosten,2,0)="Ja"),AND(RIGHT($F567,3)&lt;&gt;"IKS",VLOOKUP($M567,DB_Loonkosten,2,0)="Nee")),IFERROR(VLOOKUP($M567,DB_Loonkosten,25,0),""),0),"Vast tarief",IF(LEFT(F567,8)="Bijdrage",VLOOKUP($F567,Tb_KostenTypen[],MATCH(Lijsten!$P$1,Tb_KostenTypen[#Headers],0),0),VLOOKUP($G567,Lijsten!L:P,MATCH(Lijsten!$P$1,Kop_Tarief_Vast,0),0))),""),"")</f>
        <v/>
      </c>
      <c r="Q567" s="359"/>
      <c r="R567" s="359"/>
      <c r="S567" s="321"/>
      <c r="T567" s="321"/>
      <c r="U567" s="373" t="str">
        <f t="shared" si="32"/>
        <v/>
      </c>
      <c r="V567" s="314" t="str">
        <f t="shared" si="33"/>
        <v/>
      </c>
      <c r="W567" s="314" t="str" cm="1">
        <f t="array" aca="1" ref="W567" ca="1">IFERROR(IF(AE567&lt;&gt;"ja",_xlfn.IFNA(_xlfn.IFS(AND(O567&lt;&gt;"",F567&lt;&gt;"",RIGHT($N567,6)="tarief",F567="Vergoeding"),SUM(O567)*FLOOR(SUM(Q567),0.0001),AND(O567&lt;&gt;"",F567&lt;&gt;"",RIGHT($N567,6)="tarief"),SUM(O567)*FLOOR(SUM(Q567),0.01),S567&gt;0,IF(F567&lt;&gt;"",FLOOR(SUM(S567),0.01),"")),""),""),"")</f>
        <v/>
      </c>
      <c r="X567" s="314" t="str" cm="1">
        <f t="array" aca="1" ref="X567" ca="1">IFERROR(IF(AE567&lt;&gt;"ja",_xlfn.IFNA(_xlfn.IFS(AND(P567&lt;&gt;"",R567&lt;&gt;"",RIGHT($N567,6)="tarief",F567="Vergoeding"),SUM(P567)*FLOOR(SUM(R567),0.0001),AND(P567&lt;&gt;"",R567&lt;&gt;"",RIGHT($N567,6)="tarief"),P567*FLOOR(R567,0.01),T567&gt;0,FLOOR(SUM(T567),0.01)),""),""),"")</f>
        <v/>
      </c>
      <c r="Y567" s="314" t="str">
        <f t="shared" ca="1" si="34"/>
        <v/>
      </c>
      <c r="Z567" s="314" t="str" cm="1">
        <f t="array" aca="1" ref="Z567" ca="1">IFERROR(_xlfn.IFS(OR(F567="",LEFT(Methode_Keuze,4)="Geen",Methode_Keuze=""),"",AND(W567&lt;&gt;"",F567&lt;&gt;"Arbeidskosten"),W567*VLOOKUP(F567,Tb_ProjectKosten[],MATCH(Tb_ProjectKosten[[#Headers],[Forfait_Percentage]],Tb_ProjectKosten[#Headers],0),0),AND(F567="Arbeidskosten",G567&lt;&gt;""),IFERROR(W567*VLOOKUP(G567,Tb_KostenTypen[],3,0)*VLOOKUP(F567,Tb_ProjectKosten[],MATCH(Tb_ProjectKosten[[#Headers],[Forfait_Percentage]],Tb_ProjectKosten[#Headers],0),0),""),W567 &lt;=0,0),"")</f>
        <v/>
      </c>
      <c r="AA567" s="314" t="str" cm="1">
        <f t="array" aca="1" ref="AA567" ca="1">IFERROR(_xlfn.IFS(OR(F567="",LEFT(Methode_Keuze,4)="Geen",Methode_Keuze=""),"",AND(X567&lt;&gt;"",F567&lt;&gt;"Arbeidskosten"),X567*VLOOKUP(F567,Tb_ProjectKosten[],MATCH(Tb_ProjectKosten[[#Headers],[Forfait_Percentage]],Tb_ProjectKosten[#Headers],0),0),AND(F567="Arbeidskosten",G567&lt;&gt;""),IFERROR(X567*VLOOKUP(G567,Tb_KostenTypen[],3,0)*VLOOKUP(F567,Tb_ProjectKosten[],MATCH(Tb_ProjectKosten[[#Headers],[Forfait_Percentage]],Tb_ProjectKosten[#Headers],0),0),""),X567 &lt;=0,0),"")</f>
        <v/>
      </c>
      <c r="AB567" s="314" t="str">
        <f t="shared" ca="1" si="35"/>
        <v/>
      </c>
      <c r="AC567" s="322"/>
      <c r="AD567" s="315"/>
      <c r="AE567" s="32" t="str" cm="1">
        <f t="array" ref="AE567">IFERROR(IF(INDEX(SubsidieTabel!$AD$1:$AG$12,MATCH($F567,SubsidieTabel!$AD$1:$AD$12,0),IFERROR(MATCH(Methode_Keuze,SubsidieTabel!$AD$1:$AG$1,0),2))&lt;&gt;1=TRUE,"ja",""),"")</f>
        <v/>
      </c>
    </row>
    <row r="568" spans="1:31" x14ac:dyDescent="0.25">
      <c r="A568" s="316"/>
      <c r="B568" s="317" t="str">
        <f>IF(A568&lt;&gt;"",_xlfn.MAXIFS($B$1:B567,$A$1:A567,A568)+1,"")</f>
        <v/>
      </c>
      <c r="C568" s="296"/>
      <c r="D568" s="296"/>
      <c r="E568" s="296"/>
      <c r="F568" s="296"/>
      <c r="G568" s="326"/>
      <c r="H568" s="324"/>
      <c r="I568" s="325"/>
      <c r="J568" s="325"/>
      <c r="K568" s="318"/>
      <c r="L568" s="318"/>
      <c r="M568" s="319" t="str">
        <f>IFERROR(VLOOKUP(H568,Lijsten!$H$1:$I$100,2,0),"")</f>
        <v/>
      </c>
      <c r="N568" s="319" t="str">
        <f ca="1">IFERROR(IF(VLOOKUP(F568,Kostentypen!$A$3:$E$21,3,0)=0,"",IF(OR(F568="Arbeidskosten",F568="Vergoeding"),VLOOKUP(G568,Tb_KostenTypen[],2,0),VLOOKUP(F568,Kostentypen!$A$3:$E$20,3,0))),"")</f>
        <v/>
      </c>
      <c r="O568" s="320" t="str" cm="1">
        <f t="array" ref="O568">_xlfn.IFNA(IF(INDEX(Tb_KostenOptiesDB[],MATCH($F568,Tb_KostenOptiesDB[KostenOptie],0),IFERROR(MATCH(Methode_Keuze,Tb_KostenOptiesDB[#Headers],0),2))=1,_xlfn.SWITCH($N568,"Uurtarief",IF(OR(AND(RIGHT($F568,3)="IKS",VLOOKUP($M568,DB_Loonkosten,2,0)="Ja"),AND(RIGHT($F568,3)&lt;&gt;"IKS",VLOOKUP($M568,DB_Loonkosten,2,0)="Nee")),IFERROR(VLOOKUP($M568,DB_Loonkosten,24,0),""),0),"Vast tarief",IF(LEFT(F568,8)="Bijdrage",VLOOKUP($F568,Tb_KostenTypen[],MATCH(Lijsten!$P$1,Tb_KostenTypen[#Headers],0),0),VLOOKUP($G568,Lijsten!L:P,MATCH(Lijsten!$P$1,Kop_Tarief_Vast,0),0))),""),"")</f>
        <v/>
      </c>
      <c r="P568" s="320" t="str" cm="1">
        <f t="array" ref="P568">_xlfn.IFNA(IF(INDEX(Tb_KostenOptiesDB[],MATCH($F568,Tb_KostenOptiesDB[KostenOptie],0),IFERROR(MATCH(Methode_Keuze,Tb_KostenOptiesDB[#Headers],0),2))=1,_xlfn.SWITCH($N568,"Uurtarief",IF(OR(AND(RIGHT($F568,3)="IKS",VLOOKUP($M568,DB_Loonkosten,2,0)="Ja"),AND(RIGHT($F568,3)&lt;&gt;"IKS",VLOOKUP($M568,DB_Loonkosten,2,0)="Nee")),IFERROR(VLOOKUP($M568,DB_Loonkosten,25,0),""),0),"Vast tarief",IF(LEFT(F568,8)="Bijdrage",VLOOKUP($F568,Tb_KostenTypen[],MATCH(Lijsten!$P$1,Tb_KostenTypen[#Headers],0),0),VLOOKUP($G568,Lijsten!L:P,MATCH(Lijsten!$P$1,Kop_Tarief_Vast,0),0))),""),"")</f>
        <v/>
      </c>
      <c r="Q568" s="359"/>
      <c r="R568" s="359"/>
      <c r="S568" s="321"/>
      <c r="T568" s="321"/>
      <c r="U568" s="373" t="str">
        <f t="shared" si="32"/>
        <v/>
      </c>
      <c r="V568" s="314" t="str">
        <f t="shared" si="33"/>
        <v/>
      </c>
      <c r="W568" s="314" t="str" cm="1">
        <f t="array" aca="1" ref="W568" ca="1">IFERROR(IF(AE568&lt;&gt;"ja",_xlfn.IFNA(_xlfn.IFS(AND(O568&lt;&gt;"",F568&lt;&gt;"",RIGHT($N568,6)="tarief",F568="Vergoeding"),SUM(O568)*FLOOR(SUM(Q568),0.0001),AND(O568&lt;&gt;"",F568&lt;&gt;"",RIGHT($N568,6)="tarief"),SUM(O568)*FLOOR(SUM(Q568),0.01),S568&gt;0,IF(F568&lt;&gt;"",FLOOR(SUM(S568),0.01),"")),""),""),"")</f>
        <v/>
      </c>
      <c r="X568" s="314" t="str" cm="1">
        <f t="array" aca="1" ref="X568" ca="1">IFERROR(IF(AE568&lt;&gt;"ja",_xlfn.IFNA(_xlfn.IFS(AND(P568&lt;&gt;"",R568&lt;&gt;"",RIGHT($N568,6)="tarief",F568="Vergoeding"),SUM(P568)*FLOOR(SUM(R568),0.0001),AND(P568&lt;&gt;"",R568&lt;&gt;"",RIGHT($N568,6)="tarief"),P568*FLOOR(R568,0.01),T568&gt;0,FLOOR(SUM(T568),0.01)),""),""),"")</f>
        <v/>
      </c>
      <c r="Y568" s="314" t="str">
        <f t="shared" ca="1" si="34"/>
        <v/>
      </c>
      <c r="Z568" s="314" t="str" cm="1">
        <f t="array" aca="1" ref="Z568" ca="1">IFERROR(_xlfn.IFS(OR(F568="",LEFT(Methode_Keuze,4)="Geen",Methode_Keuze=""),"",AND(W568&lt;&gt;"",F568&lt;&gt;"Arbeidskosten"),W568*VLOOKUP(F568,Tb_ProjectKosten[],MATCH(Tb_ProjectKosten[[#Headers],[Forfait_Percentage]],Tb_ProjectKosten[#Headers],0),0),AND(F568="Arbeidskosten",G568&lt;&gt;""),IFERROR(W568*VLOOKUP(G568,Tb_KostenTypen[],3,0)*VLOOKUP(F568,Tb_ProjectKosten[],MATCH(Tb_ProjectKosten[[#Headers],[Forfait_Percentage]],Tb_ProjectKosten[#Headers],0),0),""),W568 &lt;=0,0),"")</f>
        <v/>
      </c>
      <c r="AA568" s="314" t="str" cm="1">
        <f t="array" aca="1" ref="AA568" ca="1">IFERROR(_xlfn.IFS(OR(F568="",LEFT(Methode_Keuze,4)="Geen",Methode_Keuze=""),"",AND(X568&lt;&gt;"",F568&lt;&gt;"Arbeidskosten"),X568*VLOOKUP(F568,Tb_ProjectKosten[],MATCH(Tb_ProjectKosten[[#Headers],[Forfait_Percentage]],Tb_ProjectKosten[#Headers],0),0),AND(F568="Arbeidskosten",G568&lt;&gt;""),IFERROR(X568*VLOOKUP(G568,Tb_KostenTypen[],3,0)*VLOOKUP(F568,Tb_ProjectKosten[],MATCH(Tb_ProjectKosten[[#Headers],[Forfait_Percentage]],Tb_ProjectKosten[#Headers],0),0),""),X568 &lt;=0,0),"")</f>
        <v/>
      </c>
      <c r="AB568" s="314" t="str">
        <f t="shared" ca="1" si="35"/>
        <v/>
      </c>
      <c r="AC568" s="322"/>
      <c r="AD568" s="315"/>
      <c r="AE568" s="32" t="str" cm="1">
        <f t="array" ref="AE568">IFERROR(IF(INDEX(SubsidieTabel!$AD$1:$AG$12,MATCH($F568,SubsidieTabel!$AD$1:$AD$12,0),IFERROR(MATCH(Methode_Keuze,SubsidieTabel!$AD$1:$AG$1,0),2))&lt;&gt;1=TRUE,"ja",""),"")</f>
        <v/>
      </c>
    </row>
    <row r="569" spans="1:31" x14ac:dyDescent="0.25">
      <c r="A569" s="316"/>
      <c r="B569" s="317" t="str">
        <f>IF(A569&lt;&gt;"",_xlfn.MAXIFS($B$1:B568,$A$1:A568,A569)+1,"")</f>
        <v/>
      </c>
      <c r="C569" s="296"/>
      <c r="D569" s="296"/>
      <c r="E569" s="296"/>
      <c r="F569" s="296"/>
      <c r="G569" s="326"/>
      <c r="H569" s="324"/>
      <c r="I569" s="325"/>
      <c r="J569" s="325"/>
      <c r="K569" s="318"/>
      <c r="L569" s="318"/>
      <c r="M569" s="319" t="str">
        <f>IFERROR(VLOOKUP(H569,Lijsten!$H$1:$I$100,2,0),"")</f>
        <v/>
      </c>
      <c r="N569" s="319" t="str">
        <f ca="1">IFERROR(IF(VLOOKUP(F569,Kostentypen!$A$3:$E$21,3,0)=0,"",IF(OR(F569="Arbeidskosten",F569="Vergoeding"),VLOOKUP(G569,Tb_KostenTypen[],2,0),VLOOKUP(F569,Kostentypen!$A$3:$E$20,3,0))),"")</f>
        <v/>
      </c>
      <c r="O569" s="320" t="str" cm="1">
        <f t="array" ref="O569">_xlfn.IFNA(IF(INDEX(Tb_KostenOptiesDB[],MATCH($F569,Tb_KostenOptiesDB[KostenOptie],0),IFERROR(MATCH(Methode_Keuze,Tb_KostenOptiesDB[#Headers],0),2))=1,_xlfn.SWITCH($N569,"Uurtarief",IF(OR(AND(RIGHT($F569,3)="IKS",VLOOKUP($M569,DB_Loonkosten,2,0)="Ja"),AND(RIGHT($F569,3)&lt;&gt;"IKS",VLOOKUP($M569,DB_Loonkosten,2,0)="Nee")),IFERROR(VLOOKUP($M569,DB_Loonkosten,24,0),""),0),"Vast tarief",IF(LEFT(F569,8)="Bijdrage",VLOOKUP($F569,Tb_KostenTypen[],MATCH(Lijsten!$P$1,Tb_KostenTypen[#Headers],0),0),VLOOKUP($G569,Lijsten!L:P,MATCH(Lijsten!$P$1,Kop_Tarief_Vast,0),0))),""),"")</f>
        <v/>
      </c>
      <c r="P569" s="320" t="str" cm="1">
        <f t="array" ref="P569">_xlfn.IFNA(IF(INDEX(Tb_KostenOptiesDB[],MATCH($F569,Tb_KostenOptiesDB[KostenOptie],0),IFERROR(MATCH(Methode_Keuze,Tb_KostenOptiesDB[#Headers],0),2))=1,_xlfn.SWITCH($N569,"Uurtarief",IF(OR(AND(RIGHT($F569,3)="IKS",VLOOKUP($M569,DB_Loonkosten,2,0)="Ja"),AND(RIGHT($F569,3)&lt;&gt;"IKS",VLOOKUP($M569,DB_Loonkosten,2,0)="Nee")),IFERROR(VLOOKUP($M569,DB_Loonkosten,25,0),""),0),"Vast tarief",IF(LEFT(F569,8)="Bijdrage",VLOOKUP($F569,Tb_KostenTypen[],MATCH(Lijsten!$P$1,Tb_KostenTypen[#Headers],0),0),VLOOKUP($G569,Lijsten!L:P,MATCH(Lijsten!$P$1,Kop_Tarief_Vast,0),0))),""),"")</f>
        <v/>
      </c>
      <c r="Q569" s="359"/>
      <c r="R569" s="359"/>
      <c r="S569" s="321"/>
      <c r="T569" s="321"/>
      <c r="U569" s="373" t="str">
        <f t="shared" si="32"/>
        <v/>
      </c>
      <c r="V569" s="314" t="str">
        <f t="shared" si="33"/>
        <v/>
      </c>
      <c r="W569" s="314" t="str" cm="1">
        <f t="array" aca="1" ref="W569" ca="1">IFERROR(IF(AE569&lt;&gt;"ja",_xlfn.IFNA(_xlfn.IFS(AND(O569&lt;&gt;"",F569&lt;&gt;"",RIGHT($N569,6)="tarief",F569="Vergoeding"),SUM(O569)*FLOOR(SUM(Q569),0.0001),AND(O569&lt;&gt;"",F569&lt;&gt;"",RIGHT($N569,6)="tarief"),SUM(O569)*FLOOR(SUM(Q569),0.01),S569&gt;0,IF(F569&lt;&gt;"",FLOOR(SUM(S569),0.01),"")),""),""),"")</f>
        <v/>
      </c>
      <c r="X569" s="314" t="str" cm="1">
        <f t="array" aca="1" ref="X569" ca="1">IFERROR(IF(AE569&lt;&gt;"ja",_xlfn.IFNA(_xlfn.IFS(AND(P569&lt;&gt;"",R569&lt;&gt;"",RIGHT($N569,6)="tarief",F569="Vergoeding"),SUM(P569)*FLOOR(SUM(R569),0.0001),AND(P569&lt;&gt;"",R569&lt;&gt;"",RIGHT($N569,6)="tarief"),P569*FLOOR(R569,0.01),T569&gt;0,FLOOR(SUM(T569),0.01)),""),""),"")</f>
        <v/>
      </c>
      <c r="Y569" s="314" t="str">
        <f t="shared" ca="1" si="34"/>
        <v/>
      </c>
      <c r="Z569" s="314" t="str" cm="1">
        <f t="array" aca="1" ref="Z569" ca="1">IFERROR(_xlfn.IFS(OR(F569="",LEFT(Methode_Keuze,4)="Geen",Methode_Keuze=""),"",AND(W569&lt;&gt;"",F569&lt;&gt;"Arbeidskosten"),W569*VLOOKUP(F569,Tb_ProjectKosten[],MATCH(Tb_ProjectKosten[[#Headers],[Forfait_Percentage]],Tb_ProjectKosten[#Headers],0),0),AND(F569="Arbeidskosten",G569&lt;&gt;""),IFERROR(W569*VLOOKUP(G569,Tb_KostenTypen[],3,0)*VLOOKUP(F569,Tb_ProjectKosten[],MATCH(Tb_ProjectKosten[[#Headers],[Forfait_Percentage]],Tb_ProjectKosten[#Headers],0),0),""),W569 &lt;=0,0),"")</f>
        <v/>
      </c>
      <c r="AA569" s="314" t="str" cm="1">
        <f t="array" aca="1" ref="AA569" ca="1">IFERROR(_xlfn.IFS(OR(F569="",LEFT(Methode_Keuze,4)="Geen",Methode_Keuze=""),"",AND(X569&lt;&gt;"",F569&lt;&gt;"Arbeidskosten"),X569*VLOOKUP(F569,Tb_ProjectKosten[],MATCH(Tb_ProjectKosten[[#Headers],[Forfait_Percentage]],Tb_ProjectKosten[#Headers],0),0),AND(F569="Arbeidskosten",G569&lt;&gt;""),IFERROR(X569*VLOOKUP(G569,Tb_KostenTypen[],3,0)*VLOOKUP(F569,Tb_ProjectKosten[],MATCH(Tb_ProjectKosten[[#Headers],[Forfait_Percentage]],Tb_ProjectKosten[#Headers],0),0),""),X569 &lt;=0,0),"")</f>
        <v/>
      </c>
      <c r="AB569" s="314" t="str">
        <f t="shared" ca="1" si="35"/>
        <v/>
      </c>
      <c r="AC569" s="322"/>
      <c r="AD569" s="315"/>
      <c r="AE569" s="32" t="str" cm="1">
        <f t="array" ref="AE569">IFERROR(IF(INDEX(SubsidieTabel!$AD$1:$AG$12,MATCH($F569,SubsidieTabel!$AD$1:$AD$12,0),IFERROR(MATCH(Methode_Keuze,SubsidieTabel!$AD$1:$AG$1,0),2))&lt;&gt;1=TRUE,"ja",""),"")</f>
        <v/>
      </c>
    </row>
    <row r="570" spans="1:31" x14ac:dyDescent="0.25">
      <c r="A570" s="316"/>
      <c r="B570" s="317" t="str">
        <f>IF(A570&lt;&gt;"",_xlfn.MAXIFS($B$1:B569,$A$1:A569,A570)+1,"")</f>
        <v/>
      </c>
      <c r="C570" s="296"/>
      <c r="D570" s="296"/>
      <c r="E570" s="296"/>
      <c r="F570" s="296"/>
      <c r="G570" s="326"/>
      <c r="H570" s="324"/>
      <c r="I570" s="325"/>
      <c r="J570" s="325"/>
      <c r="K570" s="318"/>
      <c r="L570" s="318"/>
      <c r="M570" s="319" t="str">
        <f>IFERROR(VLOOKUP(H570,Lijsten!$H$1:$I$100,2,0),"")</f>
        <v/>
      </c>
      <c r="N570" s="319" t="str">
        <f ca="1">IFERROR(IF(VLOOKUP(F570,Kostentypen!$A$3:$E$21,3,0)=0,"",IF(OR(F570="Arbeidskosten",F570="Vergoeding"),VLOOKUP(G570,Tb_KostenTypen[],2,0),VLOOKUP(F570,Kostentypen!$A$3:$E$20,3,0))),"")</f>
        <v/>
      </c>
      <c r="O570" s="320" t="str" cm="1">
        <f t="array" ref="O570">_xlfn.IFNA(IF(INDEX(Tb_KostenOptiesDB[],MATCH($F570,Tb_KostenOptiesDB[KostenOptie],0),IFERROR(MATCH(Methode_Keuze,Tb_KostenOptiesDB[#Headers],0),2))=1,_xlfn.SWITCH($N570,"Uurtarief",IF(OR(AND(RIGHT($F570,3)="IKS",VLOOKUP($M570,DB_Loonkosten,2,0)="Ja"),AND(RIGHT($F570,3)&lt;&gt;"IKS",VLOOKUP($M570,DB_Loonkosten,2,0)="Nee")),IFERROR(VLOOKUP($M570,DB_Loonkosten,24,0),""),0),"Vast tarief",IF(LEFT(F570,8)="Bijdrage",VLOOKUP($F570,Tb_KostenTypen[],MATCH(Lijsten!$P$1,Tb_KostenTypen[#Headers],0),0),VLOOKUP($G570,Lijsten!L:P,MATCH(Lijsten!$P$1,Kop_Tarief_Vast,0),0))),""),"")</f>
        <v/>
      </c>
      <c r="P570" s="320" t="str" cm="1">
        <f t="array" ref="P570">_xlfn.IFNA(IF(INDEX(Tb_KostenOptiesDB[],MATCH($F570,Tb_KostenOptiesDB[KostenOptie],0),IFERROR(MATCH(Methode_Keuze,Tb_KostenOptiesDB[#Headers],0),2))=1,_xlfn.SWITCH($N570,"Uurtarief",IF(OR(AND(RIGHT($F570,3)="IKS",VLOOKUP($M570,DB_Loonkosten,2,0)="Ja"),AND(RIGHT($F570,3)&lt;&gt;"IKS",VLOOKUP($M570,DB_Loonkosten,2,0)="Nee")),IFERROR(VLOOKUP($M570,DB_Loonkosten,25,0),""),0),"Vast tarief",IF(LEFT(F570,8)="Bijdrage",VLOOKUP($F570,Tb_KostenTypen[],MATCH(Lijsten!$P$1,Tb_KostenTypen[#Headers],0),0),VLOOKUP($G570,Lijsten!L:P,MATCH(Lijsten!$P$1,Kop_Tarief_Vast,0),0))),""),"")</f>
        <v/>
      </c>
      <c r="Q570" s="359"/>
      <c r="R570" s="359"/>
      <c r="S570" s="321"/>
      <c r="T570" s="321"/>
      <c r="U570" s="373" t="str">
        <f t="shared" si="32"/>
        <v/>
      </c>
      <c r="V570" s="314" t="str">
        <f t="shared" si="33"/>
        <v/>
      </c>
      <c r="W570" s="314" t="str" cm="1">
        <f t="array" aca="1" ref="W570" ca="1">IFERROR(IF(AE570&lt;&gt;"ja",_xlfn.IFNA(_xlfn.IFS(AND(O570&lt;&gt;"",F570&lt;&gt;"",RIGHT($N570,6)="tarief",F570="Vergoeding"),SUM(O570)*FLOOR(SUM(Q570),0.0001),AND(O570&lt;&gt;"",F570&lt;&gt;"",RIGHT($N570,6)="tarief"),SUM(O570)*FLOOR(SUM(Q570),0.01),S570&gt;0,IF(F570&lt;&gt;"",FLOOR(SUM(S570),0.01),"")),""),""),"")</f>
        <v/>
      </c>
      <c r="X570" s="314" t="str" cm="1">
        <f t="array" aca="1" ref="X570" ca="1">IFERROR(IF(AE570&lt;&gt;"ja",_xlfn.IFNA(_xlfn.IFS(AND(P570&lt;&gt;"",R570&lt;&gt;"",RIGHT($N570,6)="tarief",F570="Vergoeding"),SUM(P570)*FLOOR(SUM(R570),0.0001),AND(P570&lt;&gt;"",R570&lt;&gt;"",RIGHT($N570,6)="tarief"),P570*FLOOR(R570,0.01),T570&gt;0,FLOOR(SUM(T570),0.01)),""),""),"")</f>
        <v/>
      </c>
      <c r="Y570" s="314" t="str">
        <f t="shared" ca="1" si="34"/>
        <v/>
      </c>
      <c r="Z570" s="314" t="str" cm="1">
        <f t="array" aca="1" ref="Z570" ca="1">IFERROR(_xlfn.IFS(OR(F570="",LEFT(Methode_Keuze,4)="Geen",Methode_Keuze=""),"",AND(W570&lt;&gt;"",F570&lt;&gt;"Arbeidskosten"),W570*VLOOKUP(F570,Tb_ProjectKosten[],MATCH(Tb_ProjectKosten[[#Headers],[Forfait_Percentage]],Tb_ProjectKosten[#Headers],0),0),AND(F570="Arbeidskosten",G570&lt;&gt;""),IFERROR(W570*VLOOKUP(G570,Tb_KostenTypen[],3,0)*VLOOKUP(F570,Tb_ProjectKosten[],MATCH(Tb_ProjectKosten[[#Headers],[Forfait_Percentage]],Tb_ProjectKosten[#Headers],0),0),""),W570 &lt;=0,0),"")</f>
        <v/>
      </c>
      <c r="AA570" s="314" t="str" cm="1">
        <f t="array" aca="1" ref="AA570" ca="1">IFERROR(_xlfn.IFS(OR(F570="",LEFT(Methode_Keuze,4)="Geen",Methode_Keuze=""),"",AND(X570&lt;&gt;"",F570&lt;&gt;"Arbeidskosten"),X570*VLOOKUP(F570,Tb_ProjectKosten[],MATCH(Tb_ProjectKosten[[#Headers],[Forfait_Percentage]],Tb_ProjectKosten[#Headers],0),0),AND(F570="Arbeidskosten",G570&lt;&gt;""),IFERROR(X570*VLOOKUP(G570,Tb_KostenTypen[],3,0)*VLOOKUP(F570,Tb_ProjectKosten[],MATCH(Tb_ProjectKosten[[#Headers],[Forfait_Percentage]],Tb_ProjectKosten[#Headers],0),0),""),X570 &lt;=0,0),"")</f>
        <v/>
      </c>
      <c r="AB570" s="314" t="str">
        <f t="shared" ca="1" si="35"/>
        <v/>
      </c>
      <c r="AC570" s="322"/>
      <c r="AD570" s="315"/>
      <c r="AE570" s="32" t="str" cm="1">
        <f t="array" ref="AE570">IFERROR(IF(INDEX(SubsidieTabel!$AD$1:$AG$12,MATCH($F570,SubsidieTabel!$AD$1:$AD$12,0),IFERROR(MATCH(Methode_Keuze,SubsidieTabel!$AD$1:$AG$1,0),2))&lt;&gt;1=TRUE,"ja",""),"")</f>
        <v/>
      </c>
    </row>
    <row r="571" spans="1:31" x14ac:dyDescent="0.25">
      <c r="A571" s="316"/>
      <c r="B571" s="317" t="str">
        <f>IF(A571&lt;&gt;"",_xlfn.MAXIFS($B$1:B570,$A$1:A570,A571)+1,"")</f>
        <v/>
      </c>
      <c r="C571" s="296"/>
      <c r="D571" s="296"/>
      <c r="E571" s="296"/>
      <c r="F571" s="296"/>
      <c r="G571" s="326"/>
      <c r="H571" s="324"/>
      <c r="I571" s="325"/>
      <c r="J571" s="325"/>
      <c r="K571" s="318"/>
      <c r="L571" s="318"/>
      <c r="M571" s="319" t="str">
        <f>IFERROR(VLOOKUP(H571,Lijsten!$H$1:$I$100,2,0),"")</f>
        <v/>
      </c>
      <c r="N571" s="319" t="str">
        <f ca="1">IFERROR(IF(VLOOKUP(F571,Kostentypen!$A$3:$E$21,3,0)=0,"",IF(OR(F571="Arbeidskosten",F571="Vergoeding"),VLOOKUP(G571,Tb_KostenTypen[],2,0),VLOOKUP(F571,Kostentypen!$A$3:$E$20,3,0))),"")</f>
        <v/>
      </c>
      <c r="O571" s="320" t="str" cm="1">
        <f t="array" ref="O571">_xlfn.IFNA(IF(INDEX(Tb_KostenOptiesDB[],MATCH($F571,Tb_KostenOptiesDB[KostenOptie],0),IFERROR(MATCH(Methode_Keuze,Tb_KostenOptiesDB[#Headers],0),2))=1,_xlfn.SWITCH($N571,"Uurtarief",IF(OR(AND(RIGHT($F571,3)="IKS",VLOOKUP($M571,DB_Loonkosten,2,0)="Ja"),AND(RIGHT($F571,3)&lt;&gt;"IKS",VLOOKUP($M571,DB_Loonkosten,2,0)="Nee")),IFERROR(VLOOKUP($M571,DB_Loonkosten,24,0),""),0),"Vast tarief",IF(LEFT(F571,8)="Bijdrage",VLOOKUP($F571,Tb_KostenTypen[],MATCH(Lijsten!$P$1,Tb_KostenTypen[#Headers],0),0),VLOOKUP($G571,Lijsten!L:P,MATCH(Lijsten!$P$1,Kop_Tarief_Vast,0),0))),""),"")</f>
        <v/>
      </c>
      <c r="P571" s="320" t="str" cm="1">
        <f t="array" ref="P571">_xlfn.IFNA(IF(INDEX(Tb_KostenOptiesDB[],MATCH($F571,Tb_KostenOptiesDB[KostenOptie],0),IFERROR(MATCH(Methode_Keuze,Tb_KostenOptiesDB[#Headers],0),2))=1,_xlfn.SWITCH($N571,"Uurtarief",IF(OR(AND(RIGHT($F571,3)="IKS",VLOOKUP($M571,DB_Loonkosten,2,0)="Ja"),AND(RIGHT($F571,3)&lt;&gt;"IKS",VLOOKUP($M571,DB_Loonkosten,2,0)="Nee")),IFERROR(VLOOKUP($M571,DB_Loonkosten,25,0),""),0),"Vast tarief",IF(LEFT(F571,8)="Bijdrage",VLOOKUP($F571,Tb_KostenTypen[],MATCH(Lijsten!$P$1,Tb_KostenTypen[#Headers],0),0),VLOOKUP($G571,Lijsten!L:P,MATCH(Lijsten!$P$1,Kop_Tarief_Vast,0),0))),""),"")</f>
        <v/>
      </c>
      <c r="Q571" s="359"/>
      <c r="R571" s="359"/>
      <c r="S571" s="321"/>
      <c r="T571" s="321"/>
      <c r="U571" s="373" t="str">
        <f t="shared" si="32"/>
        <v/>
      </c>
      <c r="V571" s="314" t="str">
        <f t="shared" si="33"/>
        <v/>
      </c>
      <c r="W571" s="314" t="str" cm="1">
        <f t="array" aca="1" ref="W571" ca="1">IFERROR(IF(AE571&lt;&gt;"ja",_xlfn.IFNA(_xlfn.IFS(AND(O571&lt;&gt;"",F571&lt;&gt;"",RIGHT($N571,6)="tarief",F571="Vergoeding"),SUM(O571)*FLOOR(SUM(Q571),0.0001),AND(O571&lt;&gt;"",F571&lt;&gt;"",RIGHT($N571,6)="tarief"),SUM(O571)*FLOOR(SUM(Q571),0.01),S571&gt;0,IF(F571&lt;&gt;"",FLOOR(SUM(S571),0.01),"")),""),""),"")</f>
        <v/>
      </c>
      <c r="X571" s="314" t="str" cm="1">
        <f t="array" aca="1" ref="X571" ca="1">IFERROR(IF(AE571&lt;&gt;"ja",_xlfn.IFNA(_xlfn.IFS(AND(P571&lt;&gt;"",R571&lt;&gt;"",RIGHT($N571,6)="tarief",F571="Vergoeding"),SUM(P571)*FLOOR(SUM(R571),0.0001),AND(P571&lt;&gt;"",R571&lt;&gt;"",RIGHT($N571,6)="tarief"),P571*FLOOR(R571,0.01),T571&gt;0,FLOOR(SUM(T571),0.01)),""),""),"")</f>
        <v/>
      </c>
      <c r="Y571" s="314" t="str">
        <f t="shared" ca="1" si="34"/>
        <v/>
      </c>
      <c r="Z571" s="314" t="str" cm="1">
        <f t="array" aca="1" ref="Z571" ca="1">IFERROR(_xlfn.IFS(OR(F571="",LEFT(Methode_Keuze,4)="Geen",Methode_Keuze=""),"",AND(W571&lt;&gt;"",F571&lt;&gt;"Arbeidskosten"),W571*VLOOKUP(F571,Tb_ProjectKosten[],MATCH(Tb_ProjectKosten[[#Headers],[Forfait_Percentage]],Tb_ProjectKosten[#Headers],0),0),AND(F571="Arbeidskosten",G571&lt;&gt;""),IFERROR(W571*VLOOKUP(G571,Tb_KostenTypen[],3,0)*VLOOKUP(F571,Tb_ProjectKosten[],MATCH(Tb_ProjectKosten[[#Headers],[Forfait_Percentage]],Tb_ProjectKosten[#Headers],0),0),""),W571 &lt;=0,0),"")</f>
        <v/>
      </c>
      <c r="AA571" s="314" t="str" cm="1">
        <f t="array" aca="1" ref="AA571" ca="1">IFERROR(_xlfn.IFS(OR(F571="",LEFT(Methode_Keuze,4)="Geen",Methode_Keuze=""),"",AND(X571&lt;&gt;"",F571&lt;&gt;"Arbeidskosten"),X571*VLOOKUP(F571,Tb_ProjectKosten[],MATCH(Tb_ProjectKosten[[#Headers],[Forfait_Percentage]],Tb_ProjectKosten[#Headers],0),0),AND(F571="Arbeidskosten",G571&lt;&gt;""),IFERROR(X571*VLOOKUP(G571,Tb_KostenTypen[],3,0)*VLOOKUP(F571,Tb_ProjectKosten[],MATCH(Tb_ProjectKosten[[#Headers],[Forfait_Percentage]],Tb_ProjectKosten[#Headers],0),0),""),X571 &lt;=0,0),"")</f>
        <v/>
      </c>
      <c r="AB571" s="314" t="str">
        <f t="shared" ca="1" si="35"/>
        <v/>
      </c>
      <c r="AC571" s="322"/>
      <c r="AD571" s="315"/>
      <c r="AE571" s="32" t="str" cm="1">
        <f t="array" ref="AE571">IFERROR(IF(INDEX(SubsidieTabel!$AD$1:$AG$12,MATCH($F571,SubsidieTabel!$AD$1:$AD$12,0),IFERROR(MATCH(Methode_Keuze,SubsidieTabel!$AD$1:$AG$1,0),2))&lt;&gt;1=TRUE,"ja",""),"")</f>
        <v/>
      </c>
    </row>
    <row r="572" spans="1:31" x14ac:dyDescent="0.25">
      <c r="A572" s="316"/>
      <c r="B572" s="317" t="str">
        <f>IF(A572&lt;&gt;"",_xlfn.MAXIFS($B$1:B571,$A$1:A571,A572)+1,"")</f>
        <v/>
      </c>
      <c r="C572" s="296"/>
      <c r="D572" s="296"/>
      <c r="E572" s="296"/>
      <c r="F572" s="296"/>
      <c r="G572" s="326"/>
      <c r="H572" s="324"/>
      <c r="I572" s="325"/>
      <c r="J572" s="325"/>
      <c r="K572" s="318"/>
      <c r="L572" s="318"/>
      <c r="M572" s="319" t="str">
        <f>IFERROR(VLOOKUP(H572,Lijsten!$H$1:$I$100,2,0),"")</f>
        <v/>
      </c>
      <c r="N572" s="319" t="str">
        <f ca="1">IFERROR(IF(VLOOKUP(F572,Kostentypen!$A$3:$E$21,3,0)=0,"",IF(OR(F572="Arbeidskosten",F572="Vergoeding"),VLOOKUP(G572,Tb_KostenTypen[],2,0),VLOOKUP(F572,Kostentypen!$A$3:$E$20,3,0))),"")</f>
        <v/>
      </c>
      <c r="O572" s="320" t="str" cm="1">
        <f t="array" ref="O572">_xlfn.IFNA(IF(INDEX(Tb_KostenOptiesDB[],MATCH($F572,Tb_KostenOptiesDB[KostenOptie],0),IFERROR(MATCH(Methode_Keuze,Tb_KostenOptiesDB[#Headers],0),2))=1,_xlfn.SWITCH($N572,"Uurtarief",IF(OR(AND(RIGHT($F572,3)="IKS",VLOOKUP($M572,DB_Loonkosten,2,0)="Ja"),AND(RIGHT($F572,3)&lt;&gt;"IKS",VLOOKUP($M572,DB_Loonkosten,2,0)="Nee")),IFERROR(VLOOKUP($M572,DB_Loonkosten,24,0),""),0),"Vast tarief",IF(LEFT(F572,8)="Bijdrage",VLOOKUP($F572,Tb_KostenTypen[],MATCH(Lijsten!$P$1,Tb_KostenTypen[#Headers],0),0),VLOOKUP($G572,Lijsten!L:P,MATCH(Lijsten!$P$1,Kop_Tarief_Vast,0),0))),""),"")</f>
        <v/>
      </c>
      <c r="P572" s="320" t="str" cm="1">
        <f t="array" ref="P572">_xlfn.IFNA(IF(INDEX(Tb_KostenOptiesDB[],MATCH($F572,Tb_KostenOptiesDB[KostenOptie],0),IFERROR(MATCH(Methode_Keuze,Tb_KostenOptiesDB[#Headers],0),2))=1,_xlfn.SWITCH($N572,"Uurtarief",IF(OR(AND(RIGHT($F572,3)="IKS",VLOOKUP($M572,DB_Loonkosten,2,0)="Ja"),AND(RIGHT($F572,3)&lt;&gt;"IKS",VLOOKUP($M572,DB_Loonkosten,2,0)="Nee")),IFERROR(VLOOKUP($M572,DB_Loonkosten,25,0),""),0),"Vast tarief",IF(LEFT(F572,8)="Bijdrage",VLOOKUP($F572,Tb_KostenTypen[],MATCH(Lijsten!$P$1,Tb_KostenTypen[#Headers],0),0),VLOOKUP($G572,Lijsten!L:P,MATCH(Lijsten!$P$1,Kop_Tarief_Vast,0),0))),""),"")</f>
        <v/>
      </c>
      <c r="Q572" s="359"/>
      <c r="R572" s="359"/>
      <c r="S572" s="321"/>
      <c r="T572" s="321"/>
      <c r="U572" s="373" t="str">
        <f t="shared" si="32"/>
        <v/>
      </c>
      <c r="V572" s="314" t="str">
        <f t="shared" si="33"/>
        <v/>
      </c>
      <c r="W572" s="314" t="str" cm="1">
        <f t="array" aca="1" ref="W572" ca="1">IFERROR(IF(AE572&lt;&gt;"ja",_xlfn.IFNA(_xlfn.IFS(AND(O572&lt;&gt;"",F572&lt;&gt;"",RIGHT($N572,6)="tarief",F572="Vergoeding"),SUM(O572)*FLOOR(SUM(Q572),0.0001),AND(O572&lt;&gt;"",F572&lt;&gt;"",RIGHT($N572,6)="tarief"),SUM(O572)*FLOOR(SUM(Q572),0.01),S572&gt;0,IF(F572&lt;&gt;"",FLOOR(SUM(S572),0.01),"")),""),""),"")</f>
        <v/>
      </c>
      <c r="X572" s="314" t="str" cm="1">
        <f t="array" aca="1" ref="X572" ca="1">IFERROR(IF(AE572&lt;&gt;"ja",_xlfn.IFNA(_xlfn.IFS(AND(P572&lt;&gt;"",R572&lt;&gt;"",RIGHT($N572,6)="tarief",F572="Vergoeding"),SUM(P572)*FLOOR(SUM(R572),0.0001),AND(P572&lt;&gt;"",R572&lt;&gt;"",RIGHT($N572,6)="tarief"),P572*FLOOR(R572,0.01),T572&gt;0,FLOOR(SUM(T572),0.01)),""),""),"")</f>
        <v/>
      </c>
      <c r="Y572" s="314" t="str">
        <f t="shared" ca="1" si="34"/>
        <v/>
      </c>
      <c r="Z572" s="314" t="str" cm="1">
        <f t="array" aca="1" ref="Z572" ca="1">IFERROR(_xlfn.IFS(OR(F572="",LEFT(Methode_Keuze,4)="Geen",Methode_Keuze=""),"",AND(W572&lt;&gt;"",F572&lt;&gt;"Arbeidskosten"),W572*VLOOKUP(F572,Tb_ProjectKosten[],MATCH(Tb_ProjectKosten[[#Headers],[Forfait_Percentage]],Tb_ProjectKosten[#Headers],0),0),AND(F572="Arbeidskosten",G572&lt;&gt;""),IFERROR(W572*VLOOKUP(G572,Tb_KostenTypen[],3,0)*VLOOKUP(F572,Tb_ProjectKosten[],MATCH(Tb_ProjectKosten[[#Headers],[Forfait_Percentage]],Tb_ProjectKosten[#Headers],0),0),""),W572 &lt;=0,0),"")</f>
        <v/>
      </c>
      <c r="AA572" s="314" t="str" cm="1">
        <f t="array" aca="1" ref="AA572" ca="1">IFERROR(_xlfn.IFS(OR(F572="",LEFT(Methode_Keuze,4)="Geen",Methode_Keuze=""),"",AND(X572&lt;&gt;"",F572&lt;&gt;"Arbeidskosten"),X572*VLOOKUP(F572,Tb_ProjectKosten[],MATCH(Tb_ProjectKosten[[#Headers],[Forfait_Percentage]],Tb_ProjectKosten[#Headers],0),0),AND(F572="Arbeidskosten",G572&lt;&gt;""),IFERROR(X572*VLOOKUP(G572,Tb_KostenTypen[],3,0)*VLOOKUP(F572,Tb_ProjectKosten[],MATCH(Tb_ProjectKosten[[#Headers],[Forfait_Percentage]],Tb_ProjectKosten[#Headers],0),0),""),X572 &lt;=0,0),"")</f>
        <v/>
      </c>
      <c r="AB572" s="314" t="str">
        <f t="shared" ca="1" si="35"/>
        <v/>
      </c>
      <c r="AC572" s="322"/>
      <c r="AD572" s="315"/>
      <c r="AE572" s="32" t="str" cm="1">
        <f t="array" ref="AE572">IFERROR(IF(INDEX(SubsidieTabel!$AD$1:$AG$12,MATCH($F572,SubsidieTabel!$AD$1:$AD$12,0),IFERROR(MATCH(Methode_Keuze,SubsidieTabel!$AD$1:$AG$1,0),2))&lt;&gt;1=TRUE,"ja",""),"")</f>
        <v/>
      </c>
    </row>
    <row r="573" spans="1:31" x14ac:dyDescent="0.25">
      <c r="A573" s="316"/>
      <c r="B573" s="317" t="str">
        <f>IF(A573&lt;&gt;"",_xlfn.MAXIFS($B$1:B572,$A$1:A572,A573)+1,"")</f>
        <v/>
      </c>
      <c r="C573" s="296"/>
      <c r="D573" s="296"/>
      <c r="E573" s="296"/>
      <c r="F573" s="296"/>
      <c r="G573" s="326"/>
      <c r="H573" s="324"/>
      <c r="I573" s="325"/>
      <c r="J573" s="325"/>
      <c r="K573" s="318"/>
      <c r="L573" s="318"/>
      <c r="M573" s="319" t="str">
        <f>IFERROR(VLOOKUP(H573,Lijsten!$H$1:$I$100,2,0),"")</f>
        <v/>
      </c>
      <c r="N573" s="319" t="str">
        <f ca="1">IFERROR(IF(VLOOKUP(F573,Kostentypen!$A$3:$E$21,3,0)=0,"",IF(OR(F573="Arbeidskosten",F573="Vergoeding"),VLOOKUP(G573,Tb_KostenTypen[],2,0),VLOOKUP(F573,Kostentypen!$A$3:$E$20,3,0))),"")</f>
        <v/>
      </c>
      <c r="O573" s="320" t="str" cm="1">
        <f t="array" ref="O573">_xlfn.IFNA(IF(INDEX(Tb_KostenOptiesDB[],MATCH($F573,Tb_KostenOptiesDB[KostenOptie],0),IFERROR(MATCH(Methode_Keuze,Tb_KostenOptiesDB[#Headers],0),2))=1,_xlfn.SWITCH($N573,"Uurtarief",IF(OR(AND(RIGHT($F573,3)="IKS",VLOOKUP($M573,DB_Loonkosten,2,0)="Ja"),AND(RIGHT($F573,3)&lt;&gt;"IKS",VLOOKUP($M573,DB_Loonkosten,2,0)="Nee")),IFERROR(VLOOKUP($M573,DB_Loonkosten,24,0),""),0),"Vast tarief",IF(LEFT(F573,8)="Bijdrage",VLOOKUP($F573,Tb_KostenTypen[],MATCH(Lijsten!$P$1,Tb_KostenTypen[#Headers],0),0),VLOOKUP($G573,Lijsten!L:P,MATCH(Lijsten!$P$1,Kop_Tarief_Vast,0),0))),""),"")</f>
        <v/>
      </c>
      <c r="P573" s="320" t="str" cm="1">
        <f t="array" ref="P573">_xlfn.IFNA(IF(INDEX(Tb_KostenOptiesDB[],MATCH($F573,Tb_KostenOptiesDB[KostenOptie],0),IFERROR(MATCH(Methode_Keuze,Tb_KostenOptiesDB[#Headers],0),2))=1,_xlfn.SWITCH($N573,"Uurtarief",IF(OR(AND(RIGHT($F573,3)="IKS",VLOOKUP($M573,DB_Loonkosten,2,0)="Ja"),AND(RIGHT($F573,3)&lt;&gt;"IKS",VLOOKUP($M573,DB_Loonkosten,2,0)="Nee")),IFERROR(VLOOKUP($M573,DB_Loonkosten,25,0),""),0),"Vast tarief",IF(LEFT(F573,8)="Bijdrage",VLOOKUP($F573,Tb_KostenTypen[],MATCH(Lijsten!$P$1,Tb_KostenTypen[#Headers],0),0),VLOOKUP($G573,Lijsten!L:P,MATCH(Lijsten!$P$1,Kop_Tarief_Vast,0),0))),""),"")</f>
        <v/>
      </c>
      <c r="Q573" s="359"/>
      <c r="R573" s="359"/>
      <c r="S573" s="321"/>
      <c r="T573" s="321"/>
      <c r="U573" s="373" t="str">
        <f t="shared" si="32"/>
        <v/>
      </c>
      <c r="V573" s="314" t="str">
        <f t="shared" si="33"/>
        <v/>
      </c>
      <c r="W573" s="314" t="str" cm="1">
        <f t="array" aca="1" ref="W573" ca="1">IFERROR(IF(AE573&lt;&gt;"ja",_xlfn.IFNA(_xlfn.IFS(AND(O573&lt;&gt;"",F573&lt;&gt;"",RIGHT($N573,6)="tarief",F573="Vergoeding"),SUM(O573)*FLOOR(SUM(Q573),0.0001),AND(O573&lt;&gt;"",F573&lt;&gt;"",RIGHT($N573,6)="tarief"),SUM(O573)*FLOOR(SUM(Q573),0.01),S573&gt;0,IF(F573&lt;&gt;"",FLOOR(SUM(S573),0.01),"")),""),""),"")</f>
        <v/>
      </c>
      <c r="X573" s="314" t="str" cm="1">
        <f t="array" aca="1" ref="X573" ca="1">IFERROR(IF(AE573&lt;&gt;"ja",_xlfn.IFNA(_xlfn.IFS(AND(P573&lt;&gt;"",R573&lt;&gt;"",RIGHT($N573,6)="tarief",F573="Vergoeding"),SUM(P573)*FLOOR(SUM(R573),0.0001),AND(P573&lt;&gt;"",R573&lt;&gt;"",RIGHT($N573,6)="tarief"),P573*FLOOR(R573,0.01),T573&gt;0,FLOOR(SUM(T573),0.01)),""),""),"")</f>
        <v/>
      </c>
      <c r="Y573" s="314" t="str">
        <f t="shared" ca="1" si="34"/>
        <v/>
      </c>
      <c r="Z573" s="314" t="str" cm="1">
        <f t="array" aca="1" ref="Z573" ca="1">IFERROR(_xlfn.IFS(OR(F573="",LEFT(Methode_Keuze,4)="Geen",Methode_Keuze=""),"",AND(W573&lt;&gt;"",F573&lt;&gt;"Arbeidskosten"),W573*VLOOKUP(F573,Tb_ProjectKosten[],MATCH(Tb_ProjectKosten[[#Headers],[Forfait_Percentage]],Tb_ProjectKosten[#Headers],0),0),AND(F573="Arbeidskosten",G573&lt;&gt;""),IFERROR(W573*VLOOKUP(G573,Tb_KostenTypen[],3,0)*VLOOKUP(F573,Tb_ProjectKosten[],MATCH(Tb_ProjectKosten[[#Headers],[Forfait_Percentage]],Tb_ProjectKosten[#Headers],0),0),""),W573 &lt;=0,0),"")</f>
        <v/>
      </c>
      <c r="AA573" s="314" t="str" cm="1">
        <f t="array" aca="1" ref="AA573" ca="1">IFERROR(_xlfn.IFS(OR(F573="",LEFT(Methode_Keuze,4)="Geen",Methode_Keuze=""),"",AND(X573&lt;&gt;"",F573&lt;&gt;"Arbeidskosten"),X573*VLOOKUP(F573,Tb_ProjectKosten[],MATCH(Tb_ProjectKosten[[#Headers],[Forfait_Percentage]],Tb_ProjectKosten[#Headers],0),0),AND(F573="Arbeidskosten",G573&lt;&gt;""),IFERROR(X573*VLOOKUP(G573,Tb_KostenTypen[],3,0)*VLOOKUP(F573,Tb_ProjectKosten[],MATCH(Tb_ProjectKosten[[#Headers],[Forfait_Percentage]],Tb_ProjectKosten[#Headers],0),0),""),X573 &lt;=0,0),"")</f>
        <v/>
      </c>
      <c r="AB573" s="314" t="str">
        <f t="shared" ca="1" si="35"/>
        <v/>
      </c>
      <c r="AC573" s="322"/>
      <c r="AD573" s="315"/>
      <c r="AE573" s="32" t="str" cm="1">
        <f t="array" ref="AE573">IFERROR(IF(INDEX(SubsidieTabel!$AD$1:$AG$12,MATCH($F573,SubsidieTabel!$AD$1:$AD$12,0),IFERROR(MATCH(Methode_Keuze,SubsidieTabel!$AD$1:$AG$1,0),2))&lt;&gt;1=TRUE,"ja",""),"")</f>
        <v/>
      </c>
    </row>
    <row r="574" spans="1:31" x14ac:dyDescent="0.25">
      <c r="A574" s="316"/>
      <c r="B574" s="317" t="str">
        <f>IF(A574&lt;&gt;"",_xlfn.MAXIFS($B$1:B573,$A$1:A573,A574)+1,"")</f>
        <v/>
      </c>
      <c r="C574" s="296"/>
      <c r="D574" s="296"/>
      <c r="E574" s="296"/>
      <c r="F574" s="296"/>
      <c r="G574" s="326"/>
      <c r="H574" s="324"/>
      <c r="I574" s="325"/>
      <c r="J574" s="325"/>
      <c r="K574" s="318"/>
      <c r="L574" s="318"/>
      <c r="M574" s="319" t="str">
        <f>IFERROR(VLOOKUP(H574,Lijsten!$H$1:$I$100,2,0),"")</f>
        <v/>
      </c>
      <c r="N574" s="319" t="str">
        <f ca="1">IFERROR(IF(VLOOKUP(F574,Kostentypen!$A$3:$E$21,3,0)=0,"",IF(OR(F574="Arbeidskosten",F574="Vergoeding"),VLOOKUP(G574,Tb_KostenTypen[],2,0),VLOOKUP(F574,Kostentypen!$A$3:$E$20,3,0))),"")</f>
        <v/>
      </c>
      <c r="O574" s="320" t="str" cm="1">
        <f t="array" ref="O574">_xlfn.IFNA(IF(INDEX(Tb_KostenOptiesDB[],MATCH($F574,Tb_KostenOptiesDB[KostenOptie],0),IFERROR(MATCH(Methode_Keuze,Tb_KostenOptiesDB[#Headers],0),2))=1,_xlfn.SWITCH($N574,"Uurtarief",IF(OR(AND(RIGHT($F574,3)="IKS",VLOOKUP($M574,DB_Loonkosten,2,0)="Ja"),AND(RIGHT($F574,3)&lt;&gt;"IKS",VLOOKUP($M574,DB_Loonkosten,2,0)="Nee")),IFERROR(VLOOKUP($M574,DB_Loonkosten,24,0),""),0),"Vast tarief",IF(LEFT(F574,8)="Bijdrage",VLOOKUP($F574,Tb_KostenTypen[],MATCH(Lijsten!$P$1,Tb_KostenTypen[#Headers],0),0),VLOOKUP($G574,Lijsten!L:P,MATCH(Lijsten!$P$1,Kop_Tarief_Vast,0),0))),""),"")</f>
        <v/>
      </c>
      <c r="P574" s="320" t="str" cm="1">
        <f t="array" ref="P574">_xlfn.IFNA(IF(INDEX(Tb_KostenOptiesDB[],MATCH($F574,Tb_KostenOptiesDB[KostenOptie],0),IFERROR(MATCH(Methode_Keuze,Tb_KostenOptiesDB[#Headers],0),2))=1,_xlfn.SWITCH($N574,"Uurtarief",IF(OR(AND(RIGHT($F574,3)="IKS",VLOOKUP($M574,DB_Loonkosten,2,0)="Ja"),AND(RIGHT($F574,3)&lt;&gt;"IKS",VLOOKUP($M574,DB_Loonkosten,2,0)="Nee")),IFERROR(VLOOKUP($M574,DB_Loonkosten,25,0),""),0),"Vast tarief",IF(LEFT(F574,8)="Bijdrage",VLOOKUP($F574,Tb_KostenTypen[],MATCH(Lijsten!$P$1,Tb_KostenTypen[#Headers],0),0),VLOOKUP($G574,Lijsten!L:P,MATCH(Lijsten!$P$1,Kop_Tarief_Vast,0),0))),""),"")</f>
        <v/>
      </c>
      <c r="Q574" s="359"/>
      <c r="R574" s="359"/>
      <c r="S574" s="321"/>
      <c r="T574" s="321"/>
      <c r="U574" s="373" t="str">
        <f t="shared" si="32"/>
        <v/>
      </c>
      <c r="V574" s="314" t="str">
        <f t="shared" si="33"/>
        <v/>
      </c>
      <c r="W574" s="314" t="str" cm="1">
        <f t="array" aca="1" ref="W574" ca="1">IFERROR(IF(AE574&lt;&gt;"ja",_xlfn.IFNA(_xlfn.IFS(AND(O574&lt;&gt;"",F574&lt;&gt;"",RIGHT($N574,6)="tarief",F574="Vergoeding"),SUM(O574)*FLOOR(SUM(Q574),0.0001),AND(O574&lt;&gt;"",F574&lt;&gt;"",RIGHT($N574,6)="tarief"),SUM(O574)*FLOOR(SUM(Q574),0.01),S574&gt;0,IF(F574&lt;&gt;"",FLOOR(SUM(S574),0.01),"")),""),""),"")</f>
        <v/>
      </c>
      <c r="X574" s="314" t="str" cm="1">
        <f t="array" aca="1" ref="X574" ca="1">IFERROR(IF(AE574&lt;&gt;"ja",_xlfn.IFNA(_xlfn.IFS(AND(P574&lt;&gt;"",R574&lt;&gt;"",RIGHT($N574,6)="tarief",F574="Vergoeding"),SUM(P574)*FLOOR(SUM(R574),0.0001),AND(P574&lt;&gt;"",R574&lt;&gt;"",RIGHT($N574,6)="tarief"),P574*FLOOR(R574,0.01),T574&gt;0,FLOOR(SUM(T574),0.01)),""),""),"")</f>
        <v/>
      </c>
      <c r="Y574" s="314" t="str">
        <f t="shared" ca="1" si="34"/>
        <v/>
      </c>
      <c r="Z574" s="314" t="str" cm="1">
        <f t="array" aca="1" ref="Z574" ca="1">IFERROR(_xlfn.IFS(OR(F574="",LEFT(Methode_Keuze,4)="Geen",Methode_Keuze=""),"",AND(W574&lt;&gt;"",F574&lt;&gt;"Arbeidskosten"),W574*VLOOKUP(F574,Tb_ProjectKosten[],MATCH(Tb_ProjectKosten[[#Headers],[Forfait_Percentage]],Tb_ProjectKosten[#Headers],0),0),AND(F574="Arbeidskosten",G574&lt;&gt;""),IFERROR(W574*VLOOKUP(G574,Tb_KostenTypen[],3,0)*VLOOKUP(F574,Tb_ProjectKosten[],MATCH(Tb_ProjectKosten[[#Headers],[Forfait_Percentage]],Tb_ProjectKosten[#Headers],0),0),""),W574 &lt;=0,0),"")</f>
        <v/>
      </c>
      <c r="AA574" s="314" t="str" cm="1">
        <f t="array" aca="1" ref="AA574" ca="1">IFERROR(_xlfn.IFS(OR(F574="",LEFT(Methode_Keuze,4)="Geen",Methode_Keuze=""),"",AND(X574&lt;&gt;"",F574&lt;&gt;"Arbeidskosten"),X574*VLOOKUP(F574,Tb_ProjectKosten[],MATCH(Tb_ProjectKosten[[#Headers],[Forfait_Percentage]],Tb_ProjectKosten[#Headers],0),0),AND(F574="Arbeidskosten",G574&lt;&gt;""),IFERROR(X574*VLOOKUP(G574,Tb_KostenTypen[],3,0)*VLOOKUP(F574,Tb_ProjectKosten[],MATCH(Tb_ProjectKosten[[#Headers],[Forfait_Percentage]],Tb_ProjectKosten[#Headers],0),0),""),X574 &lt;=0,0),"")</f>
        <v/>
      </c>
      <c r="AB574" s="314" t="str">
        <f t="shared" ca="1" si="35"/>
        <v/>
      </c>
      <c r="AC574" s="322"/>
      <c r="AD574" s="315"/>
      <c r="AE574" s="32" t="str" cm="1">
        <f t="array" ref="AE574">IFERROR(IF(INDEX(SubsidieTabel!$AD$1:$AG$12,MATCH($F574,SubsidieTabel!$AD$1:$AD$12,0),IFERROR(MATCH(Methode_Keuze,SubsidieTabel!$AD$1:$AG$1,0),2))&lt;&gt;1=TRUE,"ja",""),"")</f>
        <v/>
      </c>
    </row>
    <row r="575" spans="1:31" x14ac:dyDescent="0.25">
      <c r="A575" s="316"/>
      <c r="B575" s="317" t="str">
        <f>IF(A575&lt;&gt;"",_xlfn.MAXIFS($B$1:B574,$A$1:A574,A575)+1,"")</f>
        <v/>
      </c>
      <c r="C575" s="296"/>
      <c r="D575" s="296"/>
      <c r="E575" s="296"/>
      <c r="F575" s="296"/>
      <c r="G575" s="326"/>
      <c r="H575" s="324"/>
      <c r="I575" s="325"/>
      <c r="J575" s="325"/>
      <c r="K575" s="318"/>
      <c r="L575" s="318"/>
      <c r="M575" s="319" t="str">
        <f>IFERROR(VLOOKUP(H575,Lijsten!$H$1:$I$100,2,0),"")</f>
        <v/>
      </c>
      <c r="N575" s="319" t="str">
        <f ca="1">IFERROR(IF(VLOOKUP(F575,Kostentypen!$A$3:$E$21,3,0)=0,"",IF(OR(F575="Arbeidskosten",F575="Vergoeding"),VLOOKUP(G575,Tb_KostenTypen[],2,0),VLOOKUP(F575,Kostentypen!$A$3:$E$20,3,0))),"")</f>
        <v/>
      </c>
      <c r="O575" s="320" t="str" cm="1">
        <f t="array" ref="O575">_xlfn.IFNA(IF(INDEX(Tb_KostenOptiesDB[],MATCH($F575,Tb_KostenOptiesDB[KostenOptie],0),IFERROR(MATCH(Methode_Keuze,Tb_KostenOptiesDB[#Headers],0),2))=1,_xlfn.SWITCH($N575,"Uurtarief",IF(OR(AND(RIGHT($F575,3)="IKS",VLOOKUP($M575,DB_Loonkosten,2,0)="Ja"),AND(RIGHT($F575,3)&lt;&gt;"IKS",VLOOKUP($M575,DB_Loonkosten,2,0)="Nee")),IFERROR(VLOOKUP($M575,DB_Loonkosten,24,0),""),0),"Vast tarief",IF(LEFT(F575,8)="Bijdrage",VLOOKUP($F575,Tb_KostenTypen[],MATCH(Lijsten!$P$1,Tb_KostenTypen[#Headers],0),0),VLOOKUP($G575,Lijsten!L:P,MATCH(Lijsten!$P$1,Kop_Tarief_Vast,0),0))),""),"")</f>
        <v/>
      </c>
      <c r="P575" s="320" t="str" cm="1">
        <f t="array" ref="P575">_xlfn.IFNA(IF(INDEX(Tb_KostenOptiesDB[],MATCH($F575,Tb_KostenOptiesDB[KostenOptie],0),IFERROR(MATCH(Methode_Keuze,Tb_KostenOptiesDB[#Headers],0),2))=1,_xlfn.SWITCH($N575,"Uurtarief",IF(OR(AND(RIGHT($F575,3)="IKS",VLOOKUP($M575,DB_Loonkosten,2,0)="Ja"),AND(RIGHT($F575,3)&lt;&gt;"IKS",VLOOKUP($M575,DB_Loonkosten,2,0)="Nee")),IFERROR(VLOOKUP($M575,DB_Loonkosten,25,0),""),0),"Vast tarief",IF(LEFT(F575,8)="Bijdrage",VLOOKUP($F575,Tb_KostenTypen[],MATCH(Lijsten!$P$1,Tb_KostenTypen[#Headers],0),0),VLOOKUP($G575,Lijsten!L:P,MATCH(Lijsten!$P$1,Kop_Tarief_Vast,0),0))),""),"")</f>
        <v/>
      </c>
      <c r="Q575" s="359"/>
      <c r="R575" s="359"/>
      <c r="S575" s="321"/>
      <c r="T575" s="321"/>
      <c r="U575" s="373" t="str">
        <f t="shared" si="32"/>
        <v/>
      </c>
      <c r="V575" s="314" t="str">
        <f t="shared" si="33"/>
        <v/>
      </c>
      <c r="W575" s="314" t="str" cm="1">
        <f t="array" aca="1" ref="W575" ca="1">IFERROR(IF(AE575&lt;&gt;"ja",_xlfn.IFNA(_xlfn.IFS(AND(O575&lt;&gt;"",F575&lt;&gt;"",RIGHT($N575,6)="tarief",F575="Vergoeding"),SUM(O575)*FLOOR(SUM(Q575),0.0001),AND(O575&lt;&gt;"",F575&lt;&gt;"",RIGHT($N575,6)="tarief"),SUM(O575)*FLOOR(SUM(Q575),0.01),S575&gt;0,IF(F575&lt;&gt;"",FLOOR(SUM(S575),0.01),"")),""),""),"")</f>
        <v/>
      </c>
      <c r="X575" s="314" t="str" cm="1">
        <f t="array" aca="1" ref="X575" ca="1">IFERROR(IF(AE575&lt;&gt;"ja",_xlfn.IFNA(_xlfn.IFS(AND(P575&lt;&gt;"",R575&lt;&gt;"",RIGHT($N575,6)="tarief",F575="Vergoeding"),SUM(P575)*FLOOR(SUM(R575),0.0001),AND(P575&lt;&gt;"",R575&lt;&gt;"",RIGHT($N575,6)="tarief"),P575*FLOOR(R575,0.01),T575&gt;0,FLOOR(SUM(T575),0.01)),""),""),"")</f>
        <v/>
      </c>
      <c r="Y575" s="314" t="str">
        <f t="shared" ca="1" si="34"/>
        <v/>
      </c>
      <c r="Z575" s="314" t="str" cm="1">
        <f t="array" aca="1" ref="Z575" ca="1">IFERROR(_xlfn.IFS(OR(F575="",LEFT(Methode_Keuze,4)="Geen",Methode_Keuze=""),"",AND(W575&lt;&gt;"",F575&lt;&gt;"Arbeidskosten"),W575*VLOOKUP(F575,Tb_ProjectKosten[],MATCH(Tb_ProjectKosten[[#Headers],[Forfait_Percentage]],Tb_ProjectKosten[#Headers],0),0),AND(F575="Arbeidskosten",G575&lt;&gt;""),IFERROR(W575*VLOOKUP(G575,Tb_KostenTypen[],3,0)*VLOOKUP(F575,Tb_ProjectKosten[],MATCH(Tb_ProjectKosten[[#Headers],[Forfait_Percentage]],Tb_ProjectKosten[#Headers],0),0),""),W575 &lt;=0,0),"")</f>
        <v/>
      </c>
      <c r="AA575" s="314" t="str" cm="1">
        <f t="array" aca="1" ref="AA575" ca="1">IFERROR(_xlfn.IFS(OR(F575="",LEFT(Methode_Keuze,4)="Geen",Methode_Keuze=""),"",AND(X575&lt;&gt;"",F575&lt;&gt;"Arbeidskosten"),X575*VLOOKUP(F575,Tb_ProjectKosten[],MATCH(Tb_ProjectKosten[[#Headers],[Forfait_Percentage]],Tb_ProjectKosten[#Headers],0),0),AND(F575="Arbeidskosten",G575&lt;&gt;""),IFERROR(X575*VLOOKUP(G575,Tb_KostenTypen[],3,0)*VLOOKUP(F575,Tb_ProjectKosten[],MATCH(Tb_ProjectKosten[[#Headers],[Forfait_Percentage]],Tb_ProjectKosten[#Headers],0),0),""),X575 &lt;=0,0),"")</f>
        <v/>
      </c>
      <c r="AB575" s="314" t="str">
        <f t="shared" ca="1" si="35"/>
        <v/>
      </c>
      <c r="AC575" s="322"/>
      <c r="AD575" s="315"/>
      <c r="AE575" s="32" t="str" cm="1">
        <f t="array" ref="AE575">IFERROR(IF(INDEX(SubsidieTabel!$AD$1:$AG$12,MATCH($F575,SubsidieTabel!$AD$1:$AD$12,0),IFERROR(MATCH(Methode_Keuze,SubsidieTabel!$AD$1:$AG$1,0),2))&lt;&gt;1=TRUE,"ja",""),"")</f>
        <v/>
      </c>
    </row>
    <row r="576" spans="1:31" x14ac:dyDescent="0.25">
      <c r="A576" s="316"/>
      <c r="B576" s="317" t="str">
        <f>IF(A576&lt;&gt;"",_xlfn.MAXIFS($B$1:B575,$A$1:A575,A576)+1,"")</f>
        <v/>
      </c>
      <c r="C576" s="296"/>
      <c r="D576" s="296"/>
      <c r="E576" s="296"/>
      <c r="F576" s="296"/>
      <c r="G576" s="326"/>
      <c r="H576" s="324"/>
      <c r="I576" s="325"/>
      <c r="J576" s="325"/>
      <c r="K576" s="318"/>
      <c r="L576" s="318"/>
      <c r="M576" s="319" t="str">
        <f>IFERROR(VLOOKUP(H576,Lijsten!$H$1:$I$100,2,0),"")</f>
        <v/>
      </c>
      <c r="N576" s="319" t="str">
        <f ca="1">IFERROR(IF(VLOOKUP(F576,Kostentypen!$A$3:$E$21,3,0)=0,"",IF(OR(F576="Arbeidskosten",F576="Vergoeding"),VLOOKUP(G576,Tb_KostenTypen[],2,0),VLOOKUP(F576,Kostentypen!$A$3:$E$20,3,0))),"")</f>
        <v/>
      </c>
      <c r="O576" s="320" t="str" cm="1">
        <f t="array" ref="O576">_xlfn.IFNA(IF(INDEX(Tb_KostenOptiesDB[],MATCH($F576,Tb_KostenOptiesDB[KostenOptie],0),IFERROR(MATCH(Methode_Keuze,Tb_KostenOptiesDB[#Headers],0),2))=1,_xlfn.SWITCH($N576,"Uurtarief",IF(OR(AND(RIGHT($F576,3)="IKS",VLOOKUP($M576,DB_Loonkosten,2,0)="Ja"),AND(RIGHT($F576,3)&lt;&gt;"IKS",VLOOKUP($M576,DB_Loonkosten,2,0)="Nee")),IFERROR(VLOOKUP($M576,DB_Loonkosten,24,0),""),0),"Vast tarief",IF(LEFT(F576,8)="Bijdrage",VLOOKUP($F576,Tb_KostenTypen[],MATCH(Lijsten!$P$1,Tb_KostenTypen[#Headers],0),0),VLOOKUP($G576,Lijsten!L:P,MATCH(Lijsten!$P$1,Kop_Tarief_Vast,0),0))),""),"")</f>
        <v/>
      </c>
      <c r="P576" s="320" t="str" cm="1">
        <f t="array" ref="P576">_xlfn.IFNA(IF(INDEX(Tb_KostenOptiesDB[],MATCH($F576,Tb_KostenOptiesDB[KostenOptie],0),IFERROR(MATCH(Methode_Keuze,Tb_KostenOptiesDB[#Headers],0),2))=1,_xlfn.SWITCH($N576,"Uurtarief",IF(OR(AND(RIGHT($F576,3)="IKS",VLOOKUP($M576,DB_Loonkosten,2,0)="Ja"),AND(RIGHT($F576,3)&lt;&gt;"IKS",VLOOKUP($M576,DB_Loonkosten,2,0)="Nee")),IFERROR(VLOOKUP($M576,DB_Loonkosten,25,0),""),0),"Vast tarief",IF(LEFT(F576,8)="Bijdrage",VLOOKUP($F576,Tb_KostenTypen[],MATCH(Lijsten!$P$1,Tb_KostenTypen[#Headers],0),0),VLOOKUP($G576,Lijsten!L:P,MATCH(Lijsten!$P$1,Kop_Tarief_Vast,0),0))),""),"")</f>
        <v/>
      </c>
      <c r="Q576" s="359"/>
      <c r="R576" s="359"/>
      <c r="S576" s="321"/>
      <c r="T576" s="321"/>
      <c r="U576" s="373" t="str">
        <f t="shared" si="32"/>
        <v/>
      </c>
      <c r="V576" s="314" t="str">
        <f t="shared" si="33"/>
        <v/>
      </c>
      <c r="W576" s="314" t="str" cm="1">
        <f t="array" aca="1" ref="W576" ca="1">IFERROR(IF(AE576&lt;&gt;"ja",_xlfn.IFNA(_xlfn.IFS(AND(O576&lt;&gt;"",F576&lt;&gt;"",RIGHT($N576,6)="tarief",F576="Vergoeding"),SUM(O576)*FLOOR(SUM(Q576),0.0001),AND(O576&lt;&gt;"",F576&lt;&gt;"",RIGHT($N576,6)="tarief"),SUM(O576)*FLOOR(SUM(Q576),0.01),S576&gt;0,IF(F576&lt;&gt;"",FLOOR(SUM(S576),0.01),"")),""),""),"")</f>
        <v/>
      </c>
      <c r="X576" s="314" t="str" cm="1">
        <f t="array" aca="1" ref="X576" ca="1">IFERROR(IF(AE576&lt;&gt;"ja",_xlfn.IFNA(_xlfn.IFS(AND(P576&lt;&gt;"",R576&lt;&gt;"",RIGHT($N576,6)="tarief",F576="Vergoeding"),SUM(P576)*FLOOR(SUM(R576),0.0001),AND(P576&lt;&gt;"",R576&lt;&gt;"",RIGHT($N576,6)="tarief"),P576*FLOOR(R576,0.01),T576&gt;0,FLOOR(SUM(T576),0.01)),""),""),"")</f>
        <v/>
      </c>
      <c r="Y576" s="314" t="str">
        <f t="shared" ca="1" si="34"/>
        <v/>
      </c>
      <c r="Z576" s="314" t="str" cm="1">
        <f t="array" aca="1" ref="Z576" ca="1">IFERROR(_xlfn.IFS(OR(F576="",LEFT(Methode_Keuze,4)="Geen",Methode_Keuze=""),"",AND(W576&lt;&gt;"",F576&lt;&gt;"Arbeidskosten"),W576*VLOOKUP(F576,Tb_ProjectKosten[],MATCH(Tb_ProjectKosten[[#Headers],[Forfait_Percentage]],Tb_ProjectKosten[#Headers],0),0),AND(F576="Arbeidskosten",G576&lt;&gt;""),IFERROR(W576*VLOOKUP(G576,Tb_KostenTypen[],3,0)*VLOOKUP(F576,Tb_ProjectKosten[],MATCH(Tb_ProjectKosten[[#Headers],[Forfait_Percentage]],Tb_ProjectKosten[#Headers],0),0),""),W576 &lt;=0,0),"")</f>
        <v/>
      </c>
      <c r="AA576" s="314" t="str" cm="1">
        <f t="array" aca="1" ref="AA576" ca="1">IFERROR(_xlfn.IFS(OR(F576="",LEFT(Methode_Keuze,4)="Geen",Methode_Keuze=""),"",AND(X576&lt;&gt;"",F576&lt;&gt;"Arbeidskosten"),X576*VLOOKUP(F576,Tb_ProjectKosten[],MATCH(Tb_ProjectKosten[[#Headers],[Forfait_Percentage]],Tb_ProjectKosten[#Headers],0),0),AND(F576="Arbeidskosten",G576&lt;&gt;""),IFERROR(X576*VLOOKUP(G576,Tb_KostenTypen[],3,0)*VLOOKUP(F576,Tb_ProjectKosten[],MATCH(Tb_ProjectKosten[[#Headers],[Forfait_Percentage]],Tb_ProjectKosten[#Headers],0),0),""),X576 &lt;=0,0),"")</f>
        <v/>
      </c>
      <c r="AB576" s="314" t="str">
        <f t="shared" ca="1" si="35"/>
        <v/>
      </c>
      <c r="AC576" s="322"/>
      <c r="AD576" s="315"/>
      <c r="AE576" s="32" t="str" cm="1">
        <f t="array" ref="AE576">IFERROR(IF(INDEX(SubsidieTabel!$AD$1:$AG$12,MATCH($F576,SubsidieTabel!$AD$1:$AD$12,0),IFERROR(MATCH(Methode_Keuze,SubsidieTabel!$AD$1:$AG$1,0),2))&lt;&gt;1=TRUE,"ja",""),"")</f>
        <v/>
      </c>
    </row>
    <row r="577" spans="1:31" x14ac:dyDescent="0.25">
      <c r="A577" s="316"/>
      <c r="B577" s="317" t="str">
        <f>IF(A577&lt;&gt;"",_xlfn.MAXIFS($B$1:B576,$A$1:A576,A577)+1,"")</f>
        <v/>
      </c>
      <c r="C577" s="296"/>
      <c r="D577" s="296"/>
      <c r="E577" s="296"/>
      <c r="F577" s="296"/>
      <c r="G577" s="326"/>
      <c r="H577" s="324"/>
      <c r="I577" s="325"/>
      <c r="J577" s="325"/>
      <c r="K577" s="318"/>
      <c r="L577" s="318"/>
      <c r="M577" s="319" t="str">
        <f>IFERROR(VLOOKUP(H577,Lijsten!$H$1:$I$100,2,0),"")</f>
        <v/>
      </c>
      <c r="N577" s="319" t="str">
        <f ca="1">IFERROR(IF(VLOOKUP(F577,Kostentypen!$A$3:$E$21,3,0)=0,"",IF(OR(F577="Arbeidskosten",F577="Vergoeding"),VLOOKUP(G577,Tb_KostenTypen[],2,0),VLOOKUP(F577,Kostentypen!$A$3:$E$20,3,0))),"")</f>
        <v/>
      </c>
      <c r="O577" s="320" t="str" cm="1">
        <f t="array" ref="O577">_xlfn.IFNA(IF(INDEX(Tb_KostenOptiesDB[],MATCH($F577,Tb_KostenOptiesDB[KostenOptie],0),IFERROR(MATCH(Methode_Keuze,Tb_KostenOptiesDB[#Headers],0),2))=1,_xlfn.SWITCH($N577,"Uurtarief",IF(OR(AND(RIGHT($F577,3)="IKS",VLOOKUP($M577,DB_Loonkosten,2,0)="Ja"),AND(RIGHT($F577,3)&lt;&gt;"IKS",VLOOKUP($M577,DB_Loonkosten,2,0)="Nee")),IFERROR(VLOOKUP($M577,DB_Loonkosten,24,0),""),0),"Vast tarief",IF(LEFT(F577,8)="Bijdrage",VLOOKUP($F577,Tb_KostenTypen[],MATCH(Lijsten!$P$1,Tb_KostenTypen[#Headers],0),0),VLOOKUP($G577,Lijsten!L:P,MATCH(Lijsten!$P$1,Kop_Tarief_Vast,0),0))),""),"")</f>
        <v/>
      </c>
      <c r="P577" s="320" t="str" cm="1">
        <f t="array" ref="P577">_xlfn.IFNA(IF(INDEX(Tb_KostenOptiesDB[],MATCH($F577,Tb_KostenOptiesDB[KostenOptie],0),IFERROR(MATCH(Methode_Keuze,Tb_KostenOptiesDB[#Headers],0),2))=1,_xlfn.SWITCH($N577,"Uurtarief",IF(OR(AND(RIGHT($F577,3)="IKS",VLOOKUP($M577,DB_Loonkosten,2,0)="Ja"),AND(RIGHT($F577,3)&lt;&gt;"IKS",VLOOKUP($M577,DB_Loonkosten,2,0)="Nee")),IFERROR(VLOOKUP($M577,DB_Loonkosten,25,0),""),0),"Vast tarief",IF(LEFT(F577,8)="Bijdrage",VLOOKUP($F577,Tb_KostenTypen[],MATCH(Lijsten!$P$1,Tb_KostenTypen[#Headers],0),0),VLOOKUP($G577,Lijsten!L:P,MATCH(Lijsten!$P$1,Kop_Tarief_Vast,0),0))),""),"")</f>
        <v/>
      </c>
      <c r="Q577" s="359"/>
      <c r="R577" s="359"/>
      <c r="S577" s="321"/>
      <c r="T577" s="321"/>
      <c r="U577" s="373" t="str">
        <f t="shared" si="32"/>
        <v/>
      </c>
      <c r="V577" s="314" t="str">
        <f t="shared" si="33"/>
        <v/>
      </c>
      <c r="W577" s="314" t="str" cm="1">
        <f t="array" aca="1" ref="W577" ca="1">IFERROR(IF(AE577&lt;&gt;"ja",_xlfn.IFNA(_xlfn.IFS(AND(O577&lt;&gt;"",F577&lt;&gt;"",RIGHT($N577,6)="tarief",F577="Vergoeding"),SUM(O577)*FLOOR(SUM(Q577),0.0001),AND(O577&lt;&gt;"",F577&lt;&gt;"",RIGHT($N577,6)="tarief"),SUM(O577)*FLOOR(SUM(Q577),0.01),S577&gt;0,IF(F577&lt;&gt;"",FLOOR(SUM(S577),0.01),"")),""),""),"")</f>
        <v/>
      </c>
      <c r="X577" s="314" t="str" cm="1">
        <f t="array" aca="1" ref="X577" ca="1">IFERROR(IF(AE577&lt;&gt;"ja",_xlfn.IFNA(_xlfn.IFS(AND(P577&lt;&gt;"",R577&lt;&gt;"",RIGHT($N577,6)="tarief",F577="Vergoeding"),SUM(P577)*FLOOR(SUM(R577),0.0001),AND(P577&lt;&gt;"",R577&lt;&gt;"",RIGHT($N577,6)="tarief"),P577*FLOOR(R577,0.01),T577&gt;0,FLOOR(SUM(T577),0.01)),""),""),"")</f>
        <v/>
      </c>
      <c r="Y577" s="314" t="str">
        <f t="shared" ca="1" si="34"/>
        <v/>
      </c>
      <c r="Z577" s="314" t="str" cm="1">
        <f t="array" aca="1" ref="Z577" ca="1">IFERROR(_xlfn.IFS(OR(F577="",LEFT(Methode_Keuze,4)="Geen",Methode_Keuze=""),"",AND(W577&lt;&gt;"",F577&lt;&gt;"Arbeidskosten"),W577*VLOOKUP(F577,Tb_ProjectKosten[],MATCH(Tb_ProjectKosten[[#Headers],[Forfait_Percentage]],Tb_ProjectKosten[#Headers],0),0),AND(F577="Arbeidskosten",G577&lt;&gt;""),IFERROR(W577*VLOOKUP(G577,Tb_KostenTypen[],3,0)*VLOOKUP(F577,Tb_ProjectKosten[],MATCH(Tb_ProjectKosten[[#Headers],[Forfait_Percentage]],Tb_ProjectKosten[#Headers],0),0),""),W577 &lt;=0,0),"")</f>
        <v/>
      </c>
      <c r="AA577" s="314" t="str" cm="1">
        <f t="array" aca="1" ref="AA577" ca="1">IFERROR(_xlfn.IFS(OR(F577="",LEFT(Methode_Keuze,4)="Geen",Methode_Keuze=""),"",AND(X577&lt;&gt;"",F577&lt;&gt;"Arbeidskosten"),X577*VLOOKUP(F577,Tb_ProjectKosten[],MATCH(Tb_ProjectKosten[[#Headers],[Forfait_Percentage]],Tb_ProjectKosten[#Headers],0),0),AND(F577="Arbeidskosten",G577&lt;&gt;""),IFERROR(X577*VLOOKUP(G577,Tb_KostenTypen[],3,0)*VLOOKUP(F577,Tb_ProjectKosten[],MATCH(Tb_ProjectKosten[[#Headers],[Forfait_Percentage]],Tb_ProjectKosten[#Headers],0),0),""),X577 &lt;=0,0),"")</f>
        <v/>
      </c>
      <c r="AB577" s="314" t="str">
        <f t="shared" ca="1" si="35"/>
        <v/>
      </c>
      <c r="AC577" s="322"/>
      <c r="AD577" s="315"/>
      <c r="AE577" s="32" t="str" cm="1">
        <f t="array" ref="AE577">IFERROR(IF(INDEX(SubsidieTabel!$AD$1:$AG$12,MATCH($F577,SubsidieTabel!$AD$1:$AD$12,0),IFERROR(MATCH(Methode_Keuze,SubsidieTabel!$AD$1:$AG$1,0),2))&lt;&gt;1=TRUE,"ja",""),"")</f>
        <v/>
      </c>
    </row>
    <row r="578" spans="1:31" x14ac:dyDescent="0.25">
      <c r="A578" s="316"/>
      <c r="B578" s="317" t="str">
        <f>IF(A578&lt;&gt;"",_xlfn.MAXIFS($B$1:B577,$A$1:A577,A578)+1,"")</f>
        <v/>
      </c>
      <c r="C578" s="296"/>
      <c r="D578" s="296"/>
      <c r="E578" s="296"/>
      <c r="F578" s="296"/>
      <c r="G578" s="326"/>
      <c r="H578" s="324"/>
      <c r="I578" s="325"/>
      <c r="J578" s="325"/>
      <c r="K578" s="318"/>
      <c r="L578" s="318"/>
      <c r="M578" s="319" t="str">
        <f>IFERROR(VLOOKUP(H578,Lijsten!$H$1:$I$100,2,0),"")</f>
        <v/>
      </c>
      <c r="N578" s="319" t="str">
        <f ca="1">IFERROR(IF(VLOOKUP(F578,Kostentypen!$A$3:$E$21,3,0)=0,"",IF(OR(F578="Arbeidskosten",F578="Vergoeding"),VLOOKUP(G578,Tb_KostenTypen[],2,0),VLOOKUP(F578,Kostentypen!$A$3:$E$20,3,0))),"")</f>
        <v/>
      </c>
      <c r="O578" s="320" t="str" cm="1">
        <f t="array" ref="O578">_xlfn.IFNA(IF(INDEX(Tb_KostenOptiesDB[],MATCH($F578,Tb_KostenOptiesDB[KostenOptie],0),IFERROR(MATCH(Methode_Keuze,Tb_KostenOptiesDB[#Headers],0),2))=1,_xlfn.SWITCH($N578,"Uurtarief",IF(OR(AND(RIGHT($F578,3)="IKS",VLOOKUP($M578,DB_Loonkosten,2,0)="Ja"),AND(RIGHT($F578,3)&lt;&gt;"IKS",VLOOKUP($M578,DB_Loonkosten,2,0)="Nee")),IFERROR(VLOOKUP($M578,DB_Loonkosten,24,0),""),0),"Vast tarief",IF(LEFT(F578,8)="Bijdrage",VLOOKUP($F578,Tb_KostenTypen[],MATCH(Lijsten!$P$1,Tb_KostenTypen[#Headers],0),0),VLOOKUP($G578,Lijsten!L:P,MATCH(Lijsten!$P$1,Kop_Tarief_Vast,0),0))),""),"")</f>
        <v/>
      </c>
      <c r="P578" s="320" t="str" cm="1">
        <f t="array" ref="P578">_xlfn.IFNA(IF(INDEX(Tb_KostenOptiesDB[],MATCH($F578,Tb_KostenOptiesDB[KostenOptie],0),IFERROR(MATCH(Methode_Keuze,Tb_KostenOptiesDB[#Headers],0),2))=1,_xlfn.SWITCH($N578,"Uurtarief",IF(OR(AND(RIGHT($F578,3)="IKS",VLOOKUP($M578,DB_Loonkosten,2,0)="Ja"),AND(RIGHT($F578,3)&lt;&gt;"IKS",VLOOKUP($M578,DB_Loonkosten,2,0)="Nee")),IFERROR(VLOOKUP($M578,DB_Loonkosten,25,0),""),0),"Vast tarief",IF(LEFT(F578,8)="Bijdrage",VLOOKUP($F578,Tb_KostenTypen[],MATCH(Lijsten!$P$1,Tb_KostenTypen[#Headers],0),0),VLOOKUP($G578,Lijsten!L:P,MATCH(Lijsten!$P$1,Kop_Tarief_Vast,0),0))),""),"")</f>
        <v/>
      </c>
      <c r="Q578" s="359"/>
      <c r="R578" s="359"/>
      <c r="S578" s="321"/>
      <c r="T578" s="321"/>
      <c r="U578" s="373" t="str">
        <f t="shared" si="32"/>
        <v/>
      </c>
      <c r="V578" s="314" t="str">
        <f t="shared" si="33"/>
        <v/>
      </c>
      <c r="W578" s="314" t="str" cm="1">
        <f t="array" aca="1" ref="W578" ca="1">IFERROR(IF(AE578&lt;&gt;"ja",_xlfn.IFNA(_xlfn.IFS(AND(O578&lt;&gt;"",F578&lt;&gt;"",RIGHT($N578,6)="tarief",F578="Vergoeding"),SUM(O578)*FLOOR(SUM(Q578),0.0001),AND(O578&lt;&gt;"",F578&lt;&gt;"",RIGHT($N578,6)="tarief"),SUM(O578)*FLOOR(SUM(Q578),0.01),S578&gt;0,IF(F578&lt;&gt;"",FLOOR(SUM(S578),0.01),"")),""),""),"")</f>
        <v/>
      </c>
      <c r="X578" s="314" t="str" cm="1">
        <f t="array" aca="1" ref="X578" ca="1">IFERROR(IF(AE578&lt;&gt;"ja",_xlfn.IFNA(_xlfn.IFS(AND(P578&lt;&gt;"",R578&lt;&gt;"",RIGHT($N578,6)="tarief",F578="Vergoeding"),SUM(P578)*FLOOR(SUM(R578),0.0001),AND(P578&lt;&gt;"",R578&lt;&gt;"",RIGHT($N578,6)="tarief"),P578*FLOOR(R578,0.01),T578&gt;0,FLOOR(SUM(T578),0.01)),""),""),"")</f>
        <v/>
      </c>
      <c r="Y578" s="314" t="str">
        <f t="shared" ca="1" si="34"/>
        <v/>
      </c>
      <c r="Z578" s="314" t="str" cm="1">
        <f t="array" aca="1" ref="Z578" ca="1">IFERROR(_xlfn.IFS(OR(F578="",LEFT(Methode_Keuze,4)="Geen",Methode_Keuze=""),"",AND(W578&lt;&gt;"",F578&lt;&gt;"Arbeidskosten"),W578*VLOOKUP(F578,Tb_ProjectKosten[],MATCH(Tb_ProjectKosten[[#Headers],[Forfait_Percentage]],Tb_ProjectKosten[#Headers],0),0),AND(F578="Arbeidskosten",G578&lt;&gt;""),IFERROR(W578*VLOOKUP(G578,Tb_KostenTypen[],3,0)*VLOOKUP(F578,Tb_ProjectKosten[],MATCH(Tb_ProjectKosten[[#Headers],[Forfait_Percentage]],Tb_ProjectKosten[#Headers],0),0),""),W578 &lt;=0,0),"")</f>
        <v/>
      </c>
      <c r="AA578" s="314" t="str" cm="1">
        <f t="array" aca="1" ref="AA578" ca="1">IFERROR(_xlfn.IFS(OR(F578="",LEFT(Methode_Keuze,4)="Geen",Methode_Keuze=""),"",AND(X578&lt;&gt;"",F578&lt;&gt;"Arbeidskosten"),X578*VLOOKUP(F578,Tb_ProjectKosten[],MATCH(Tb_ProjectKosten[[#Headers],[Forfait_Percentage]],Tb_ProjectKosten[#Headers],0),0),AND(F578="Arbeidskosten",G578&lt;&gt;""),IFERROR(X578*VLOOKUP(G578,Tb_KostenTypen[],3,0)*VLOOKUP(F578,Tb_ProjectKosten[],MATCH(Tb_ProjectKosten[[#Headers],[Forfait_Percentage]],Tb_ProjectKosten[#Headers],0),0),""),X578 &lt;=0,0),"")</f>
        <v/>
      </c>
      <c r="AB578" s="314" t="str">
        <f t="shared" ca="1" si="35"/>
        <v/>
      </c>
      <c r="AC578" s="322"/>
      <c r="AD578" s="315"/>
      <c r="AE578" s="32" t="str" cm="1">
        <f t="array" ref="AE578">IFERROR(IF(INDEX(SubsidieTabel!$AD$1:$AG$12,MATCH($F578,SubsidieTabel!$AD$1:$AD$12,0),IFERROR(MATCH(Methode_Keuze,SubsidieTabel!$AD$1:$AG$1,0),2))&lt;&gt;1=TRUE,"ja",""),"")</f>
        <v/>
      </c>
    </row>
    <row r="579" spans="1:31" x14ac:dyDescent="0.25">
      <c r="A579" s="316"/>
      <c r="B579" s="317" t="str">
        <f>IF(A579&lt;&gt;"",_xlfn.MAXIFS($B$1:B578,$A$1:A578,A579)+1,"")</f>
        <v/>
      </c>
      <c r="C579" s="296"/>
      <c r="D579" s="296"/>
      <c r="E579" s="296"/>
      <c r="F579" s="296"/>
      <c r="G579" s="326"/>
      <c r="H579" s="324"/>
      <c r="I579" s="325"/>
      <c r="J579" s="325"/>
      <c r="K579" s="318"/>
      <c r="L579" s="318"/>
      <c r="M579" s="319" t="str">
        <f>IFERROR(VLOOKUP(H579,Lijsten!$H$1:$I$100,2,0),"")</f>
        <v/>
      </c>
      <c r="N579" s="319" t="str">
        <f ca="1">IFERROR(IF(VLOOKUP(F579,Kostentypen!$A$3:$E$21,3,0)=0,"",IF(OR(F579="Arbeidskosten",F579="Vergoeding"),VLOOKUP(G579,Tb_KostenTypen[],2,0),VLOOKUP(F579,Kostentypen!$A$3:$E$20,3,0))),"")</f>
        <v/>
      </c>
      <c r="O579" s="320" t="str" cm="1">
        <f t="array" ref="O579">_xlfn.IFNA(IF(INDEX(Tb_KostenOptiesDB[],MATCH($F579,Tb_KostenOptiesDB[KostenOptie],0),IFERROR(MATCH(Methode_Keuze,Tb_KostenOptiesDB[#Headers],0),2))=1,_xlfn.SWITCH($N579,"Uurtarief",IF(OR(AND(RIGHT($F579,3)="IKS",VLOOKUP($M579,DB_Loonkosten,2,0)="Ja"),AND(RIGHT($F579,3)&lt;&gt;"IKS",VLOOKUP($M579,DB_Loonkosten,2,0)="Nee")),IFERROR(VLOOKUP($M579,DB_Loonkosten,24,0),""),0),"Vast tarief",IF(LEFT(F579,8)="Bijdrage",VLOOKUP($F579,Tb_KostenTypen[],MATCH(Lijsten!$P$1,Tb_KostenTypen[#Headers],0),0),VLOOKUP($G579,Lijsten!L:P,MATCH(Lijsten!$P$1,Kop_Tarief_Vast,0),0))),""),"")</f>
        <v/>
      </c>
      <c r="P579" s="320" t="str" cm="1">
        <f t="array" ref="P579">_xlfn.IFNA(IF(INDEX(Tb_KostenOptiesDB[],MATCH($F579,Tb_KostenOptiesDB[KostenOptie],0),IFERROR(MATCH(Methode_Keuze,Tb_KostenOptiesDB[#Headers],0),2))=1,_xlfn.SWITCH($N579,"Uurtarief",IF(OR(AND(RIGHT($F579,3)="IKS",VLOOKUP($M579,DB_Loonkosten,2,0)="Ja"),AND(RIGHT($F579,3)&lt;&gt;"IKS",VLOOKUP($M579,DB_Loonkosten,2,0)="Nee")),IFERROR(VLOOKUP($M579,DB_Loonkosten,25,0),""),0),"Vast tarief",IF(LEFT(F579,8)="Bijdrage",VLOOKUP($F579,Tb_KostenTypen[],MATCH(Lijsten!$P$1,Tb_KostenTypen[#Headers],0),0),VLOOKUP($G579,Lijsten!L:P,MATCH(Lijsten!$P$1,Kop_Tarief_Vast,0),0))),""),"")</f>
        <v/>
      </c>
      <c r="Q579" s="359"/>
      <c r="R579" s="359"/>
      <c r="S579" s="321"/>
      <c r="T579" s="321"/>
      <c r="U579" s="373" t="str">
        <f t="shared" ref="U579:U642" si="36">IFERROR(IF(AND(R579&lt;&gt;"",R579&lt;&gt;Q579),-1*(R579-Q579),""),"")</f>
        <v/>
      </c>
      <c r="V579" s="314" t="str">
        <f t="shared" ref="V579:V642" si="37">IFERROR(IF(AND(T579&lt;&gt;"",T579&lt;&gt;S579),-1*(T579-S579),""),"")</f>
        <v/>
      </c>
      <c r="W579" s="314" t="str" cm="1">
        <f t="array" aca="1" ref="W579" ca="1">IFERROR(IF(AE579&lt;&gt;"ja",_xlfn.IFNA(_xlfn.IFS(AND(O579&lt;&gt;"",F579&lt;&gt;"",RIGHT($N579,6)="tarief",F579="Vergoeding"),SUM(O579)*FLOOR(SUM(Q579),0.0001),AND(O579&lt;&gt;"",F579&lt;&gt;"",RIGHT($N579,6)="tarief"),SUM(O579)*FLOOR(SUM(Q579),0.01),S579&gt;0,IF(F579&lt;&gt;"",FLOOR(SUM(S579),0.01),"")),""),""),"")</f>
        <v/>
      </c>
      <c r="X579" s="314" t="str" cm="1">
        <f t="array" aca="1" ref="X579" ca="1">IFERROR(IF(AE579&lt;&gt;"ja",_xlfn.IFNA(_xlfn.IFS(AND(P579&lt;&gt;"",R579&lt;&gt;"",RIGHT($N579,6)="tarief",F579="Vergoeding"),SUM(P579)*FLOOR(SUM(R579),0.0001),AND(P579&lt;&gt;"",R579&lt;&gt;"",RIGHT($N579,6)="tarief"),P579*FLOOR(R579,0.01),T579&gt;0,FLOOR(SUM(T579),0.01)),""),""),"")</f>
        <v/>
      </c>
      <c r="Y579" s="314" t="str">
        <f t="shared" ref="Y579:Y642" ca="1" si="38">IFERROR(IF(AND(X579&lt;&gt;"",X579&lt;&gt;W579),-1*(X579-W579),""),"")</f>
        <v/>
      </c>
      <c r="Z579" s="314" t="str" cm="1">
        <f t="array" aca="1" ref="Z579" ca="1">IFERROR(_xlfn.IFS(OR(F579="",LEFT(Methode_Keuze,4)="Geen",Methode_Keuze=""),"",AND(W579&lt;&gt;"",F579&lt;&gt;"Arbeidskosten"),W579*VLOOKUP(F579,Tb_ProjectKosten[],MATCH(Tb_ProjectKosten[[#Headers],[Forfait_Percentage]],Tb_ProjectKosten[#Headers],0),0),AND(F579="Arbeidskosten",G579&lt;&gt;""),IFERROR(W579*VLOOKUP(G579,Tb_KostenTypen[],3,0)*VLOOKUP(F579,Tb_ProjectKosten[],MATCH(Tb_ProjectKosten[[#Headers],[Forfait_Percentage]],Tb_ProjectKosten[#Headers],0),0),""),W579 &lt;=0,0),"")</f>
        <v/>
      </c>
      <c r="AA579" s="314" t="str" cm="1">
        <f t="array" aca="1" ref="AA579" ca="1">IFERROR(_xlfn.IFS(OR(F579="",LEFT(Methode_Keuze,4)="Geen",Methode_Keuze=""),"",AND(X579&lt;&gt;"",F579&lt;&gt;"Arbeidskosten"),X579*VLOOKUP(F579,Tb_ProjectKosten[],MATCH(Tb_ProjectKosten[[#Headers],[Forfait_Percentage]],Tb_ProjectKosten[#Headers],0),0),AND(F579="Arbeidskosten",G579&lt;&gt;""),IFERROR(X579*VLOOKUP(G579,Tb_KostenTypen[],3,0)*VLOOKUP(F579,Tb_ProjectKosten[],MATCH(Tb_ProjectKosten[[#Headers],[Forfait_Percentage]],Tb_ProjectKosten[#Headers],0),0),""),X579 &lt;=0,0),"")</f>
        <v/>
      </c>
      <c r="AB579" s="314" t="str">
        <f t="shared" ref="AB579:AB642" ca="1" si="39">IFERROR(IF(AND(AA579&lt;&gt;"",AA579&lt;&gt;Z579),-1*(AA579-Z579),""),"")</f>
        <v/>
      </c>
      <c r="AC579" s="322"/>
      <c r="AD579" s="315"/>
      <c r="AE579" s="32" t="str" cm="1">
        <f t="array" ref="AE579">IFERROR(IF(INDEX(SubsidieTabel!$AD$1:$AG$12,MATCH($F579,SubsidieTabel!$AD$1:$AD$12,0),IFERROR(MATCH(Methode_Keuze,SubsidieTabel!$AD$1:$AG$1,0),2))&lt;&gt;1=TRUE,"ja",""),"")</f>
        <v/>
      </c>
    </row>
    <row r="580" spans="1:31" x14ac:dyDescent="0.25">
      <c r="A580" s="316"/>
      <c r="B580" s="317" t="str">
        <f>IF(A580&lt;&gt;"",_xlfn.MAXIFS($B$1:B579,$A$1:A579,A580)+1,"")</f>
        <v/>
      </c>
      <c r="C580" s="296"/>
      <c r="D580" s="296"/>
      <c r="E580" s="296"/>
      <c r="F580" s="296"/>
      <c r="G580" s="326"/>
      <c r="H580" s="324"/>
      <c r="I580" s="325"/>
      <c r="J580" s="325"/>
      <c r="K580" s="318"/>
      <c r="L580" s="318"/>
      <c r="M580" s="319" t="str">
        <f>IFERROR(VLOOKUP(H580,Lijsten!$H$1:$I$100,2,0),"")</f>
        <v/>
      </c>
      <c r="N580" s="319" t="str">
        <f ca="1">IFERROR(IF(VLOOKUP(F580,Kostentypen!$A$3:$E$21,3,0)=0,"",IF(OR(F580="Arbeidskosten",F580="Vergoeding"),VLOOKUP(G580,Tb_KostenTypen[],2,0),VLOOKUP(F580,Kostentypen!$A$3:$E$20,3,0))),"")</f>
        <v/>
      </c>
      <c r="O580" s="320" t="str" cm="1">
        <f t="array" ref="O580">_xlfn.IFNA(IF(INDEX(Tb_KostenOptiesDB[],MATCH($F580,Tb_KostenOptiesDB[KostenOptie],0),IFERROR(MATCH(Methode_Keuze,Tb_KostenOptiesDB[#Headers],0),2))=1,_xlfn.SWITCH($N580,"Uurtarief",IF(OR(AND(RIGHT($F580,3)="IKS",VLOOKUP($M580,DB_Loonkosten,2,0)="Ja"),AND(RIGHT($F580,3)&lt;&gt;"IKS",VLOOKUP($M580,DB_Loonkosten,2,0)="Nee")),IFERROR(VLOOKUP($M580,DB_Loonkosten,24,0),""),0),"Vast tarief",IF(LEFT(F580,8)="Bijdrage",VLOOKUP($F580,Tb_KostenTypen[],MATCH(Lijsten!$P$1,Tb_KostenTypen[#Headers],0),0),VLOOKUP($G580,Lijsten!L:P,MATCH(Lijsten!$P$1,Kop_Tarief_Vast,0),0))),""),"")</f>
        <v/>
      </c>
      <c r="P580" s="320" t="str" cm="1">
        <f t="array" ref="P580">_xlfn.IFNA(IF(INDEX(Tb_KostenOptiesDB[],MATCH($F580,Tb_KostenOptiesDB[KostenOptie],0),IFERROR(MATCH(Methode_Keuze,Tb_KostenOptiesDB[#Headers],0),2))=1,_xlfn.SWITCH($N580,"Uurtarief",IF(OR(AND(RIGHT($F580,3)="IKS",VLOOKUP($M580,DB_Loonkosten,2,0)="Ja"),AND(RIGHT($F580,3)&lt;&gt;"IKS",VLOOKUP($M580,DB_Loonkosten,2,0)="Nee")),IFERROR(VLOOKUP($M580,DB_Loonkosten,25,0),""),0),"Vast tarief",IF(LEFT(F580,8)="Bijdrage",VLOOKUP($F580,Tb_KostenTypen[],MATCH(Lijsten!$P$1,Tb_KostenTypen[#Headers],0),0),VLOOKUP($G580,Lijsten!L:P,MATCH(Lijsten!$P$1,Kop_Tarief_Vast,0),0))),""),"")</f>
        <v/>
      </c>
      <c r="Q580" s="359"/>
      <c r="R580" s="359"/>
      <c r="S580" s="321"/>
      <c r="T580" s="321"/>
      <c r="U580" s="373" t="str">
        <f t="shared" si="36"/>
        <v/>
      </c>
      <c r="V580" s="314" t="str">
        <f t="shared" si="37"/>
        <v/>
      </c>
      <c r="W580" s="314" t="str" cm="1">
        <f t="array" aca="1" ref="W580" ca="1">IFERROR(IF(AE580&lt;&gt;"ja",_xlfn.IFNA(_xlfn.IFS(AND(O580&lt;&gt;"",F580&lt;&gt;"",RIGHT($N580,6)="tarief",F580="Vergoeding"),SUM(O580)*FLOOR(SUM(Q580),0.0001),AND(O580&lt;&gt;"",F580&lt;&gt;"",RIGHT($N580,6)="tarief"),SUM(O580)*FLOOR(SUM(Q580),0.01),S580&gt;0,IF(F580&lt;&gt;"",FLOOR(SUM(S580),0.01),"")),""),""),"")</f>
        <v/>
      </c>
      <c r="X580" s="314" t="str" cm="1">
        <f t="array" aca="1" ref="X580" ca="1">IFERROR(IF(AE580&lt;&gt;"ja",_xlfn.IFNA(_xlfn.IFS(AND(P580&lt;&gt;"",R580&lt;&gt;"",RIGHT($N580,6)="tarief",F580="Vergoeding"),SUM(P580)*FLOOR(SUM(R580),0.0001),AND(P580&lt;&gt;"",R580&lt;&gt;"",RIGHT($N580,6)="tarief"),P580*FLOOR(R580,0.01),T580&gt;0,FLOOR(SUM(T580),0.01)),""),""),"")</f>
        <v/>
      </c>
      <c r="Y580" s="314" t="str">
        <f t="shared" ca="1" si="38"/>
        <v/>
      </c>
      <c r="Z580" s="314" t="str" cm="1">
        <f t="array" aca="1" ref="Z580" ca="1">IFERROR(_xlfn.IFS(OR(F580="",LEFT(Methode_Keuze,4)="Geen",Methode_Keuze=""),"",AND(W580&lt;&gt;"",F580&lt;&gt;"Arbeidskosten"),W580*VLOOKUP(F580,Tb_ProjectKosten[],MATCH(Tb_ProjectKosten[[#Headers],[Forfait_Percentage]],Tb_ProjectKosten[#Headers],0),0),AND(F580="Arbeidskosten",G580&lt;&gt;""),IFERROR(W580*VLOOKUP(G580,Tb_KostenTypen[],3,0)*VLOOKUP(F580,Tb_ProjectKosten[],MATCH(Tb_ProjectKosten[[#Headers],[Forfait_Percentage]],Tb_ProjectKosten[#Headers],0),0),""),W580 &lt;=0,0),"")</f>
        <v/>
      </c>
      <c r="AA580" s="314" t="str" cm="1">
        <f t="array" aca="1" ref="AA580" ca="1">IFERROR(_xlfn.IFS(OR(F580="",LEFT(Methode_Keuze,4)="Geen",Methode_Keuze=""),"",AND(X580&lt;&gt;"",F580&lt;&gt;"Arbeidskosten"),X580*VLOOKUP(F580,Tb_ProjectKosten[],MATCH(Tb_ProjectKosten[[#Headers],[Forfait_Percentage]],Tb_ProjectKosten[#Headers],0),0),AND(F580="Arbeidskosten",G580&lt;&gt;""),IFERROR(X580*VLOOKUP(G580,Tb_KostenTypen[],3,0)*VLOOKUP(F580,Tb_ProjectKosten[],MATCH(Tb_ProjectKosten[[#Headers],[Forfait_Percentage]],Tb_ProjectKosten[#Headers],0),0),""),X580 &lt;=0,0),"")</f>
        <v/>
      </c>
      <c r="AB580" s="314" t="str">
        <f t="shared" ca="1" si="39"/>
        <v/>
      </c>
      <c r="AC580" s="322"/>
      <c r="AD580" s="315"/>
      <c r="AE580" s="32" t="str" cm="1">
        <f t="array" ref="AE580">IFERROR(IF(INDEX(SubsidieTabel!$AD$1:$AG$12,MATCH($F580,SubsidieTabel!$AD$1:$AD$12,0),IFERROR(MATCH(Methode_Keuze,SubsidieTabel!$AD$1:$AG$1,0),2))&lt;&gt;1=TRUE,"ja",""),"")</f>
        <v/>
      </c>
    </row>
    <row r="581" spans="1:31" x14ac:dyDescent="0.25">
      <c r="A581" s="316"/>
      <c r="B581" s="317" t="str">
        <f>IF(A581&lt;&gt;"",_xlfn.MAXIFS($B$1:B580,$A$1:A580,A581)+1,"")</f>
        <v/>
      </c>
      <c r="C581" s="296"/>
      <c r="D581" s="296"/>
      <c r="E581" s="296"/>
      <c r="F581" s="296"/>
      <c r="G581" s="326"/>
      <c r="H581" s="324"/>
      <c r="I581" s="325"/>
      <c r="J581" s="325"/>
      <c r="K581" s="318"/>
      <c r="L581" s="318"/>
      <c r="M581" s="319" t="str">
        <f>IFERROR(VLOOKUP(H581,Lijsten!$H$1:$I$100,2,0),"")</f>
        <v/>
      </c>
      <c r="N581" s="319" t="str">
        <f ca="1">IFERROR(IF(VLOOKUP(F581,Kostentypen!$A$3:$E$21,3,0)=0,"",IF(OR(F581="Arbeidskosten",F581="Vergoeding"),VLOOKUP(G581,Tb_KostenTypen[],2,0),VLOOKUP(F581,Kostentypen!$A$3:$E$20,3,0))),"")</f>
        <v/>
      </c>
      <c r="O581" s="320" t="str" cm="1">
        <f t="array" ref="O581">_xlfn.IFNA(IF(INDEX(Tb_KostenOptiesDB[],MATCH($F581,Tb_KostenOptiesDB[KostenOptie],0),IFERROR(MATCH(Methode_Keuze,Tb_KostenOptiesDB[#Headers],0),2))=1,_xlfn.SWITCH($N581,"Uurtarief",IF(OR(AND(RIGHT($F581,3)="IKS",VLOOKUP($M581,DB_Loonkosten,2,0)="Ja"),AND(RIGHT($F581,3)&lt;&gt;"IKS",VLOOKUP($M581,DB_Loonkosten,2,0)="Nee")),IFERROR(VLOOKUP($M581,DB_Loonkosten,24,0),""),0),"Vast tarief",IF(LEFT(F581,8)="Bijdrage",VLOOKUP($F581,Tb_KostenTypen[],MATCH(Lijsten!$P$1,Tb_KostenTypen[#Headers],0),0),VLOOKUP($G581,Lijsten!L:P,MATCH(Lijsten!$P$1,Kop_Tarief_Vast,0),0))),""),"")</f>
        <v/>
      </c>
      <c r="P581" s="320" t="str" cm="1">
        <f t="array" ref="P581">_xlfn.IFNA(IF(INDEX(Tb_KostenOptiesDB[],MATCH($F581,Tb_KostenOptiesDB[KostenOptie],0),IFERROR(MATCH(Methode_Keuze,Tb_KostenOptiesDB[#Headers],0),2))=1,_xlfn.SWITCH($N581,"Uurtarief",IF(OR(AND(RIGHT($F581,3)="IKS",VLOOKUP($M581,DB_Loonkosten,2,0)="Ja"),AND(RIGHT($F581,3)&lt;&gt;"IKS",VLOOKUP($M581,DB_Loonkosten,2,0)="Nee")),IFERROR(VLOOKUP($M581,DB_Loonkosten,25,0),""),0),"Vast tarief",IF(LEFT(F581,8)="Bijdrage",VLOOKUP($F581,Tb_KostenTypen[],MATCH(Lijsten!$P$1,Tb_KostenTypen[#Headers],0),0),VLOOKUP($G581,Lijsten!L:P,MATCH(Lijsten!$P$1,Kop_Tarief_Vast,0),0))),""),"")</f>
        <v/>
      </c>
      <c r="Q581" s="359"/>
      <c r="R581" s="359"/>
      <c r="S581" s="321"/>
      <c r="T581" s="321"/>
      <c r="U581" s="373" t="str">
        <f t="shared" si="36"/>
        <v/>
      </c>
      <c r="V581" s="314" t="str">
        <f t="shared" si="37"/>
        <v/>
      </c>
      <c r="W581" s="314" t="str" cm="1">
        <f t="array" aca="1" ref="W581" ca="1">IFERROR(IF(AE581&lt;&gt;"ja",_xlfn.IFNA(_xlfn.IFS(AND(O581&lt;&gt;"",F581&lt;&gt;"",RIGHT($N581,6)="tarief",F581="Vergoeding"),SUM(O581)*FLOOR(SUM(Q581),0.0001),AND(O581&lt;&gt;"",F581&lt;&gt;"",RIGHT($N581,6)="tarief"),SUM(O581)*FLOOR(SUM(Q581),0.01),S581&gt;0,IF(F581&lt;&gt;"",FLOOR(SUM(S581),0.01),"")),""),""),"")</f>
        <v/>
      </c>
      <c r="X581" s="314" t="str" cm="1">
        <f t="array" aca="1" ref="X581" ca="1">IFERROR(IF(AE581&lt;&gt;"ja",_xlfn.IFNA(_xlfn.IFS(AND(P581&lt;&gt;"",R581&lt;&gt;"",RIGHT($N581,6)="tarief",F581="Vergoeding"),SUM(P581)*FLOOR(SUM(R581),0.0001),AND(P581&lt;&gt;"",R581&lt;&gt;"",RIGHT($N581,6)="tarief"),P581*FLOOR(R581,0.01),T581&gt;0,FLOOR(SUM(T581),0.01)),""),""),"")</f>
        <v/>
      </c>
      <c r="Y581" s="314" t="str">
        <f t="shared" ca="1" si="38"/>
        <v/>
      </c>
      <c r="Z581" s="314" t="str" cm="1">
        <f t="array" aca="1" ref="Z581" ca="1">IFERROR(_xlfn.IFS(OR(F581="",LEFT(Methode_Keuze,4)="Geen",Methode_Keuze=""),"",AND(W581&lt;&gt;"",F581&lt;&gt;"Arbeidskosten"),W581*VLOOKUP(F581,Tb_ProjectKosten[],MATCH(Tb_ProjectKosten[[#Headers],[Forfait_Percentage]],Tb_ProjectKosten[#Headers],0),0),AND(F581="Arbeidskosten",G581&lt;&gt;""),IFERROR(W581*VLOOKUP(G581,Tb_KostenTypen[],3,0)*VLOOKUP(F581,Tb_ProjectKosten[],MATCH(Tb_ProjectKosten[[#Headers],[Forfait_Percentage]],Tb_ProjectKosten[#Headers],0),0),""),W581 &lt;=0,0),"")</f>
        <v/>
      </c>
      <c r="AA581" s="314" t="str" cm="1">
        <f t="array" aca="1" ref="AA581" ca="1">IFERROR(_xlfn.IFS(OR(F581="",LEFT(Methode_Keuze,4)="Geen",Methode_Keuze=""),"",AND(X581&lt;&gt;"",F581&lt;&gt;"Arbeidskosten"),X581*VLOOKUP(F581,Tb_ProjectKosten[],MATCH(Tb_ProjectKosten[[#Headers],[Forfait_Percentage]],Tb_ProjectKosten[#Headers],0),0),AND(F581="Arbeidskosten",G581&lt;&gt;""),IFERROR(X581*VLOOKUP(G581,Tb_KostenTypen[],3,0)*VLOOKUP(F581,Tb_ProjectKosten[],MATCH(Tb_ProjectKosten[[#Headers],[Forfait_Percentage]],Tb_ProjectKosten[#Headers],0),0),""),X581 &lt;=0,0),"")</f>
        <v/>
      </c>
      <c r="AB581" s="314" t="str">
        <f t="shared" ca="1" si="39"/>
        <v/>
      </c>
      <c r="AC581" s="322"/>
      <c r="AD581" s="315"/>
      <c r="AE581" s="32" t="str" cm="1">
        <f t="array" ref="AE581">IFERROR(IF(INDEX(SubsidieTabel!$AD$1:$AG$12,MATCH($F581,SubsidieTabel!$AD$1:$AD$12,0),IFERROR(MATCH(Methode_Keuze,SubsidieTabel!$AD$1:$AG$1,0),2))&lt;&gt;1=TRUE,"ja",""),"")</f>
        <v/>
      </c>
    </row>
    <row r="582" spans="1:31" x14ac:dyDescent="0.25">
      <c r="A582" s="316"/>
      <c r="B582" s="317" t="str">
        <f>IF(A582&lt;&gt;"",_xlfn.MAXIFS($B$1:B581,$A$1:A581,A582)+1,"")</f>
        <v/>
      </c>
      <c r="C582" s="296"/>
      <c r="D582" s="296"/>
      <c r="E582" s="296"/>
      <c r="F582" s="296"/>
      <c r="G582" s="326"/>
      <c r="H582" s="324"/>
      <c r="I582" s="325"/>
      <c r="J582" s="325"/>
      <c r="K582" s="318"/>
      <c r="L582" s="318"/>
      <c r="M582" s="319" t="str">
        <f>IFERROR(VLOOKUP(H582,Lijsten!$H$1:$I$100,2,0),"")</f>
        <v/>
      </c>
      <c r="N582" s="319" t="str">
        <f ca="1">IFERROR(IF(VLOOKUP(F582,Kostentypen!$A$3:$E$21,3,0)=0,"",IF(OR(F582="Arbeidskosten",F582="Vergoeding"),VLOOKUP(G582,Tb_KostenTypen[],2,0),VLOOKUP(F582,Kostentypen!$A$3:$E$20,3,0))),"")</f>
        <v/>
      </c>
      <c r="O582" s="320" t="str" cm="1">
        <f t="array" ref="O582">_xlfn.IFNA(IF(INDEX(Tb_KostenOptiesDB[],MATCH($F582,Tb_KostenOptiesDB[KostenOptie],0),IFERROR(MATCH(Methode_Keuze,Tb_KostenOptiesDB[#Headers],0),2))=1,_xlfn.SWITCH($N582,"Uurtarief",IF(OR(AND(RIGHT($F582,3)="IKS",VLOOKUP($M582,DB_Loonkosten,2,0)="Ja"),AND(RIGHT($F582,3)&lt;&gt;"IKS",VLOOKUP($M582,DB_Loonkosten,2,0)="Nee")),IFERROR(VLOOKUP($M582,DB_Loonkosten,24,0),""),0),"Vast tarief",IF(LEFT(F582,8)="Bijdrage",VLOOKUP($F582,Tb_KostenTypen[],MATCH(Lijsten!$P$1,Tb_KostenTypen[#Headers],0),0),VLOOKUP($G582,Lijsten!L:P,MATCH(Lijsten!$P$1,Kop_Tarief_Vast,0),0))),""),"")</f>
        <v/>
      </c>
      <c r="P582" s="320" t="str" cm="1">
        <f t="array" ref="P582">_xlfn.IFNA(IF(INDEX(Tb_KostenOptiesDB[],MATCH($F582,Tb_KostenOptiesDB[KostenOptie],0),IFERROR(MATCH(Methode_Keuze,Tb_KostenOptiesDB[#Headers],0),2))=1,_xlfn.SWITCH($N582,"Uurtarief",IF(OR(AND(RIGHT($F582,3)="IKS",VLOOKUP($M582,DB_Loonkosten,2,0)="Ja"),AND(RIGHT($F582,3)&lt;&gt;"IKS",VLOOKUP($M582,DB_Loonkosten,2,0)="Nee")),IFERROR(VLOOKUP($M582,DB_Loonkosten,25,0),""),0),"Vast tarief",IF(LEFT(F582,8)="Bijdrage",VLOOKUP($F582,Tb_KostenTypen[],MATCH(Lijsten!$P$1,Tb_KostenTypen[#Headers],0),0),VLOOKUP($G582,Lijsten!L:P,MATCH(Lijsten!$P$1,Kop_Tarief_Vast,0),0))),""),"")</f>
        <v/>
      </c>
      <c r="Q582" s="359"/>
      <c r="R582" s="359"/>
      <c r="S582" s="321"/>
      <c r="T582" s="321"/>
      <c r="U582" s="373" t="str">
        <f t="shared" si="36"/>
        <v/>
      </c>
      <c r="V582" s="314" t="str">
        <f t="shared" si="37"/>
        <v/>
      </c>
      <c r="W582" s="314" t="str" cm="1">
        <f t="array" aca="1" ref="W582" ca="1">IFERROR(IF(AE582&lt;&gt;"ja",_xlfn.IFNA(_xlfn.IFS(AND(O582&lt;&gt;"",F582&lt;&gt;"",RIGHT($N582,6)="tarief",F582="Vergoeding"),SUM(O582)*FLOOR(SUM(Q582),0.0001),AND(O582&lt;&gt;"",F582&lt;&gt;"",RIGHT($N582,6)="tarief"),SUM(O582)*FLOOR(SUM(Q582),0.01),S582&gt;0,IF(F582&lt;&gt;"",FLOOR(SUM(S582),0.01),"")),""),""),"")</f>
        <v/>
      </c>
      <c r="X582" s="314" t="str" cm="1">
        <f t="array" aca="1" ref="X582" ca="1">IFERROR(IF(AE582&lt;&gt;"ja",_xlfn.IFNA(_xlfn.IFS(AND(P582&lt;&gt;"",R582&lt;&gt;"",RIGHT($N582,6)="tarief",F582="Vergoeding"),SUM(P582)*FLOOR(SUM(R582),0.0001),AND(P582&lt;&gt;"",R582&lt;&gt;"",RIGHT($N582,6)="tarief"),P582*FLOOR(R582,0.01),T582&gt;0,FLOOR(SUM(T582),0.01)),""),""),"")</f>
        <v/>
      </c>
      <c r="Y582" s="314" t="str">
        <f t="shared" ca="1" si="38"/>
        <v/>
      </c>
      <c r="Z582" s="314" t="str" cm="1">
        <f t="array" aca="1" ref="Z582" ca="1">IFERROR(_xlfn.IFS(OR(F582="",LEFT(Methode_Keuze,4)="Geen",Methode_Keuze=""),"",AND(W582&lt;&gt;"",F582&lt;&gt;"Arbeidskosten"),W582*VLOOKUP(F582,Tb_ProjectKosten[],MATCH(Tb_ProjectKosten[[#Headers],[Forfait_Percentage]],Tb_ProjectKosten[#Headers],0),0),AND(F582="Arbeidskosten",G582&lt;&gt;""),IFERROR(W582*VLOOKUP(G582,Tb_KostenTypen[],3,0)*VLOOKUP(F582,Tb_ProjectKosten[],MATCH(Tb_ProjectKosten[[#Headers],[Forfait_Percentage]],Tb_ProjectKosten[#Headers],0),0),""),W582 &lt;=0,0),"")</f>
        <v/>
      </c>
      <c r="AA582" s="314" t="str" cm="1">
        <f t="array" aca="1" ref="AA582" ca="1">IFERROR(_xlfn.IFS(OR(F582="",LEFT(Methode_Keuze,4)="Geen",Methode_Keuze=""),"",AND(X582&lt;&gt;"",F582&lt;&gt;"Arbeidskosten"),X582*VLOOKUP(F582,Tb_ProjectKosten[],MATCH(Tb_ProjectKosten[[#Headers],[Forfait_Percentage]],Tb_ProjectKosten[#Headers],0),0),AND(F582="Arbeidskosten",G582&lt;&gt;""),IFERROR(X582*VLOOKUP(G582,Tb_KostenTypen[],3,0)*VLOOKUP(F582,Tb_ProjectKosten[],MATCH(Tb_ProjectKosten[[#Headers],[Forfait_Percentage]],Tb_ProjectKosten[#Headers],0),0),""),X582 &lt;=0,0),"")</f>
        <v/>
      </c>
      <c r="AB582" s="314" t="str">
        <f t="shared" ca="1" si="39"/>
        <v/>
      </c>
      <c r="AC582" s="322"/>
      <c r="AD582" s="315"/>
      <c r="AE582" s="32" t="str" cm="1">
        <f t="array" ref="AE582">IFERROR(IF(INDEX(SubsidieTabel!$AD$1:$AG$12,MATCH($F582,SubsidieTabel!$AD$1:$AD$12,0),IFERROR(MATCH(Methode_Keuze,SubsidieTabel!$AD$1:$AG$1,0),2))&lt;&gt;1=TRUE,"ja",""),"")</f>
        <v/>
      </c>
    </row>
    <row r="583" spans="1:31" x14ac:dyDescent="0.25">
      <c r="A583" s="316"/>
      <c r="B583" s="317" t="str">
        <f>IF(A583&lt;&gt;"",_xlfn.MAXIFS($B$1:B582,$A$1:A582,A583)+1,"")</f>
        <v/>
      </c>
      <c r="C583" s="296"/>
      <c r="D583" s="296"/>
      <c r="E583" s="296"/>
      <c r="F583" s="296"/>
      <c r="G583" s="326"/>
      <c r="H583" s="324"/>
      <c r="I583" s="325"/>
      <c r="J583" s="325"/>
      <c r="K583" s="318"/>
      <c r="L583" s="318"/>
      <c r="M583" s="319" t="str">
        <f>IFERROR(VLOOKUP(H583,Lijsten!$H$1:$I$100,2,0),"")</f>
        <v/>
      </c>
      <c r="N583" s="319" t="str">
        <f ca="1">IFERROR(IF(VLOOKUP(F583,Kostentypen!$A$3:$E$21,3,0)=0,"",IF(OR(F583="Arbeidskosten",F583="Vergoeding"),VLOOKUP(G583,Tb_KostenTypen[],2,0),VLOOKUP(F583,Kostentypen!$A$3:$E$20,3,0))),"")</f>
        <v/>
      </c>
      <c r="O583" s="320" t="str" cm="1">
        <f t="array" ref="O583">_xlfn.IFNA(IF(INDEX(Tb_KostenOptiesDB[],MATCH($F583,Tb_KostenOptiesDB[KostenOptie],0),IFERROR(MATCH(Methode_Keuze,Tb_KostenOptiesDB[#Headers],0),2))=1,_xlfn.SWITCH($N583,"Uurtarief",IF(OR(AND(RIGHT($F583,3)="IKS",VLOOKUP($M583,DB_Loonkosten,2,0)="Ja"),AND(RIGHT($F583,3)&lt;&gt;"IKS",VLOOKUP($M583,DB_Loonkosten,2,0)="Nee")),IFERROR(VLOOKUP($M583,DB_Loonkosten,24,0),""),0),"Vast tarief",IF(LEFT(F583,8)="Bijdrage",VLOOKUP($F583,Tb_KostenTypen[],MATCH(Lijsten!$P$1,Tb_KostenTypen[#Headers],0),0),VLOOKUP($G583,Lijsten!L:P,MATCH(Lijsten!$P$1,Kop_Tarief_Vast,0),0))),""),"")</f>
        <v/>
      </c>
      <c r="P583" s="320" t="str" cm="1">
        <f t="array" ref="P583">_xlfn.IFNA(IF(INDEX(Tb_KostenOptiesDB[],MATCH($F583,Tb_KostenOptiesDB[KostenOptie],0),IFERROR(MATCH(Methode_Keuze,Tb_KostenOptiesDB[#Headers],0),2))=1,_xlfn.SWITCH($N583,"Uurtarief",IF(OR(AND(RIGHT($F583,3)="IKS",VLOOKUP($M583,DB_Loonkosten,2,0)="Ja"),AND(RIGHT($F583,3)&lt;&gt;"IKS",VLOOKUP($M583,DB_Loonkosten,2,0)="Nee")),IFERROR(VLOOKUP($M583,DB_Loonkosten,25,0),""),0),"Vast tarief",IF(LEFT(F583,8)="Bijdrage",VLOOKUP($F583,Tb_KostenTypen[],MATCH(Lijsten!$P$1,Tb_KostenTypen[#Headers],0),0),VLOOKUP($G583,Lijsten!L:P,MATCH(Lijsten!$P$1,Kop_Tarief_Vast,0),0))),""),"")</f>
        <v/>
      </c>
      <c r="Q583" s="359"/>
      <c r="R583" s="359"/>
      <c r="S583" s="321"/>
      <c r="T583" s="321"/>
      <c r="U583" s="373" t="str">
        <f t="shared" si="36"/>
        <v/>
      </c>
      <c r="V583" s="314" t="str">
        <f t="shared" si="37"/>
        <v/>
      </c>
      <c r="W583" s="314" t="str" cm="1">
        <f t="array" aca="1" ref="W583" ca="1">IFERROR(IF(AE583&lt;&gt;"ja",_xlfn.IFNA(_xlfn.IFS(AND(O583&lt;&gt;"",F583&lt;&gt;"",RIGHT($N583,6)="tarief",F583="Vergoeding"),SUM(O583)*FLOOR(SUM(Q583),0.0001),AND(O583&lt;&gt;"",F583&lt;&gt;"",RIGHT($N583,6)="tarief"),SUM(O583)*FLOOR(SUM(Q583),0.01),S583&gt;0,IF(F583&lt;&gt;"",FLOOR(SUM(S583),0.01),"")),""),""),"")</f>
        <v/>
      </c>
      <c r="X583" s="314" t="str" cm="1">
        <f t="array" aca="1" ref="X583" ca="1">IFERROR(IF(AE583&lt;&gt;"ja",_xlfn.IFNA(_xlfn.IFS(AND(P583&lt;&gt;"",R583&lt;&gt;"",RIGHT($N583,6)="tarief",F583="Vergoeding"),SUM(P583)*FLOOR(SUM(R583),0.0001),AND(P583&lt;&gt;"",R583&lt;&gt;"",RIGHT($N583,6)="tarief"),P583*FLOOR(R583,0.01),T583&gt;0,FLOOR(SUM(T583),0.01)),""),""),"")</f>
        <v/>
      </c>
      <c r="Y583" s="314" t="str">
        <f t="shared" ca="1" si="38"/>
        <v/>
      </c>
      <c r="Z583" s="314" t="str" cm="1">
        <f t="array" aca="1" ref="Z583" ca="1">IFERROR(_xlfn.IFS(OR(F583="",LEFT(Methode_Keuze,4)="Geen",Methode_Keuze=""),"",AND(W583&lt;&gt;"",F583&lt;&gt;"Arbeidskosten"),W583*VLOOKUP(F583,Tb_ProjectKosten[],MATCH(Tb_ProjectKosten[[#Headers],[Forfait_Percentage]],Tb_ProjectKosten[#Headers],0),0),AND(F583="Arbeidskosten",G583&lt;&gt;""),IFERROR(W583*VLOOKUP(G583,Tb_KostenTypen[],3,0)*VLOOKUP(F583,Tb_ProjectKosten[],MATCH(Tb_ProjectKosten[[#Headers],[Forfait_Percentage]],Tb_ProjectKosten[#Headers],0),0),""),W583 &lt;=0,0),"")</f>
        <v/>
      </c>
      <c r="AA583" s="314" t="str" cm="1">
        <f t="array" aca="1" ref="AA583" ca="1">IFERROR(_xlfn.IFS(OR(F583="",LEFT(Methode_Keuze,4)="Geen",Methode_Keuze=""),"",AND(X583&lt;&gt;"",F583&lt;&gt;"Arbeidskosten"),X583*VLOOKUP(F583,Tb_ProjectKosten[],MATCH(Tb_ProjectKosten[[#Headers],[Forfait_Percentage]],Tb_ProjectKosten[#Headers],0),0),AND(F583="Arbeidskosten",G583&lt;&gt;""),IFERROR(X583*VLOOKUP(G583,Tb_KostenTypen[],3,0)*VLOOKUP(F583,Tb_ProjectKosten[],MATCH(Tb_ProjectKosten[[#Headers],[Forfait_Percentage]],Tb_ProjectKosten[#Headers],0),0),""),X583 &lt;=0,0),"")</f>
        <v/>
      </c>
      <c r="AB583" s="314" t="str">
        <f t="shared" ca="1" si="39"/>
        <v/>
      </c>
      <c r="AC583" s="322"/>
      <c r="AD583" s="315"/>
      <c r="AE583" s="32" t="str" cm="1">
        <f t="array" ref="AE583">IFERROR(IF(INDEX(SubsidieTabel!$AD$1:$AG$12,MATCH($F583,SubsidieTabel!$AD$1:$AD$12,0),IFERROR(MATCH(Methode_Keuze,SubsidieTabel!$AD$1:$AG$1,0),2))&lt;&gt;1=TRUE,"ja",""),"")</f>
        <v/>
      </c>
    </row>
    <row r="584" spans="1:31" x14ac:dyDescent="0.25">
      <c r="A584" s="316"/>
      <c r="B584" s="317" t="str">
        <f>IF(A584&lt;&gt;"",_xlfn.MAXIFS($B$1:B583,$A$1:A583,A584)+1,"")</f>
        <v/>
      </c>
      <c r="C584" s="296"/>
      <c r="D584" s="296"/>
      <c r="E584" s="296"/>
      <c r="F584" s="296"/>
      <c r="G584" s="326"/>
      <c r="H584" s="324"/>
      <c r="I584" s="325"/>
      <c r="J584" s="325"/>
      <c r="K584" s="318"/>
      <c r="L584" s="318"/>
      <c r="M584" s="319" t="str">
        <f>IFERROR(VLOOKUP(H584,Lijsten!$H$1:$I$100,2,0),"")</f>
        <v/>
      </c>
      <c r="N584" s="319" t="str">
        <f ca="1">IFERROR(IF(VLOOKUP(F584,Kostentypen!$A$3:$E$21,3,0)=0,"",IF(OR(F584="Arbeidskosten",F584="Vergoeding"),VLOOKUP(G584,Tb_KostenTypen[],2,0),VLOOKUP(F584,Kostentypen!$A$3:$E$20,3,0))),"")</f>
        <v/>
      </c>
      <c r="O584" s="320" t="str" cm="1">
        <f t="array" ref="O584">_xlfn.IFNA(IF(INDEX(Tb_KostenOptiesDB[],MATCH($F584,Tb_KostenOptiesDB[KostenOptie],0),IFERROR(MATCH(Methode_Keuze,Tb_KostenOptiesDB[#Headers],0),2))=1,_xlfn.SWITCH($N584,"Uurtarief",IF(OR(AND(RIGHT($F584,3)="IKS",VLOOKUP($M584,DB_Loonkosten,2,0)="Ja"),AND(RIGHT($F584,3)&lt;&gt;"IKS",VLOOKUP($M584,DB_Loonkosten,2,0)="Nee")),IFERROR(VLOOKUP($M584,DB_Loonkosten,24,0),""),0),"Vast tarief",IF(LEFT(F584,8)="Bijdrage",VLOOKUP($F584,Tb_KostenTypen[],MATCH(Lijsten!$P$1,Tb_KostenTypen[#Headers],0),0),VLOOKUP($G584,Lijsten!L:P,MATCH(Lijsten!$P$1,Kop_Tarief_Vast,0),0))),""),"")</f>
        <v/>
      </c>
      <c r="P584" s="320" t="str" cm="1">
        <f t="array" ref="P584">_xlfn.IFNA(IF(INDEX(Tb_KostenOptiesDB[],MATCH($F584,Tb_KostenOptiesDB[KostenOptie],0),IFERROR(MATCH(Methode_Keuze,Tb_KostenOptiesDB[#Headers],0),2))=1,_xlfn.SWITCH($N584,"Uurtarief",IF(OR(AND(RIGHT($F584,3)="IKS",VLOOKUP($M584,DB_Loonkosten,2,0)="Ja"),AND(RIGHT($F584,3)&lt;&gt;"IKS",VLOOKUP($M584,DB_Loonkosten,2,0)="Nee")),IFERROR(VLOOKUP($M584,DB_Loonkosten,25,0),""),0),"Vast tarief",IF(LEFT(F584,8)="Bijdrage",VLOOKUP($F584,Tb_KostenTypen[],MATCH(Lijsten!$P$1,Tb_KostenTypen[#Headers],0),0),VLOOKUP($G584,Lijsten!L:P,MATCH(Lijsten!$P$1,Kop_Tarief_Vast,0),0))),""),"")</f>
        <v/>
      </c>
      <c r="Q584" s="359"/>
      <c r="R584" s="359"/>
      <c r="S584" s="321"/>
      <c r="T584" s="321"/>
      <c r="U584" s="373" t="str">
        <f t="shared" si="36"/>
        <v/>
      </c>
      <c r="V584" s="314" t="str">
        <f t="shared" si="37"/>
        <v/>
      </c>
      <c r="W584" s="314" t="str" cm="1">
        <f t="array" aca="1" ref="W584" ca="1">IFERROR(IF(AE584&lt;&gt;"ja",_xlfn.IFNA(_xlfn.IFS(AND(O584&lt;&gt;"",F584&lt;&gt;"",RIGHT($N584,6)="tarief",F584="Vergoeding"),SUM(O584)*FLOOR(SUM(Q584),0.0001),AND(O584&lt;&gt;"",F584&lt;&gt;"",RIGHT($N584,6)="tarief"),SUM(O584)*FLOOR(SUM(Q584),0.01),S584&gt;0,IF(F584&lt;&gt;"",FLOOR(SUM(S584),0.01),"")),""),""),"")</f>
        <v/>
      </c>
      <c r="X584" s="314" t="str" cm="1">
        <f t="array" aca="1" ref="X584" ca="1">IFERROR(IF(AE584&lt;&gt;"ja",_xlfn.IFNA(_xlfn.IFS(AND(P584&lt;&gt;"",R584&lt;&gt;"",RIGHT($N584,6)="tarief",F584="Vergoeding"),SUM(P584)*FLOOR(SUM(R584),0.0001),AND(P584&lt;&gt;"",R584&lt;&gt;"",RIGHT($N584,6)="tarief"),P584*FLOOR(R584,0.01),T584&gt;0,FLOOR(SUM(T584),0.01)),""),""),"")</f>
        <v/>
      </c>
      <c r="Y584" s="314" t="str">
        <f t="shared" ca="1" si="38"/>
        <v/>
      </c>
      <c r="Z584" s="314" t="str" cm="1">
        <f t="array" aca="1" ref="Z584" ca="1">IFERROR(_xlfn.IFS(OR(F584="",LEFT(Methode_Keuze,4)="Geen",Methode_Keuze=""),"",AND(W584&lt;&gt;"",F584&lt;&gt;"Arbeidskosten"),W584*VLOOKUP(F584,Tb_ProjectKosten[],MATCH(Tb_ProjectKosten[[#Headers],[Forfait_Percentage]],Tb_ProjectKosten[#Headers],0),0),AND(F584="Arbeidskosten",G584&lt;&gt;""),IFERROR(W584*VLOOKUP(G584,Tb_KostenTypen[],3,0)*VLOOKUP(F584,Tb_ProjectKosten[],MATCH(Tb_ProjectKosten[[#Headers],[Forfait_Percentage]],Tb_ProjectKosten[#Headers],0),0),""),W584 &lt;=0,0),"")</f>
        <v/>
      </c>
      <c r="AA584" s="314" t="str" cm="1">
        <f t="array" aca="1" ref="AA584" ca="1">IFERROR(_xlfn.IFS(OR(F584="",LEFT(Methode_Keuze,4)="Geen",Methode_Keuze=""),"",AND(X584&lt;&gt;"",F584&lt;&gt;"Arbeidskosten"),X584*VLOOKUP(F584,Tb_ProjectKosten[],MATCH(Tb_ProjectKosten[[#Headers],[Forfait_Percentage]],Tb_ProjectKosten[#Headers],0),0),AND(F584="Arbeidskosten",G584&lt;&gt;""),IFERROR(X584*VLOOKUP(G584,Tb_KostenTypen[],3,0)*VLOOKUP(F584,Tb_ProjectKosten[],MATCH(Tb_ProjectKosten[[#Headers],[Forfait_Percentage]],Tb_ProjectKosten[#Headers],0),0),""),X584 &lt;=0,0),"")</f>
        <v/>
      </c>
      <c r="AB584" s="314" t="str">
        <f t="shared" ca="1" si="39"/>
        <v/>
      </c>
      <c r="AC584" s="322"/>
      <c r="AD584" s="315"/>
      <c r="AE584" s="32" t="str" cm="1">
        <f t="array" ref="AE584">IFERROR(IF(INDEX(SubsidieTabel!$AD$1:$AG$12,MATCH($F584,SubsidieTabel!$AD$1:$AD$12,0),IFERROR(MATCH(Methode_Keuze,SubsidieTabel!$AD$1:$AG$1,0),2))&lt;&gt;1=TRUE,"ja",""),"")</f>
        <v/>
      </c>
    </row>
    <row r="585" spans="1:31" x14ac:dyDescent="0.25">
      <c r="A585" s="316"/>
      <c r="B585" s="317" t="str">
        <f>IF(A585&lt;&gt;"",_xlfn.MAXIFS($B$1:B584,$A$1:A584,A585)+1,"")</f>
        <v/>
      </c>
      <c r="C585" s="296"/>
      <c r="D585" s="296"/>
      <c r="E585" s="296"/>
      <c r="F585" s="296"/>
      <c r="G585" s="326"/>
      <c r="H585" s="324"/>
      <c r="I585" s="325"/>
      <c r="J585" s="325"/>
      <c r="K585" s="318"/>
      <c r="L585" s="318"/>
      <c r="M585" s="319" t="str">
        <f>IFERROR(VLOOKUP(H585,Lijsten!$H$1:$I$100,2,0),"")</f>
        <v/>
      </c>
      <c r="N585" s="319" t="str">
        <f ca="1">IFERROR(IF(VLOOKUP(F585,Kostentypen!$A$3:$E$21,3,0)=0,"",IF(OR(F585="Arbeidskosten",F585="Vergoeding"),VLOOKUP(G585,Tb_KostenTypen[],2,0),VLOOKUP(F585,Kostentypen!$A$3:$E$20,3,0))),"")</f>
        <v/>
      </c>
      <c r="O585" s="320" t="str" cm="1">
        <f t="array" ref="O585">_xlfn.IFNA(IF(INDEX(Tb_KostenOptiesDB[],MATCH($F585,Tb_KostenOptiesDB[KostenOptie],0),IFERROR(MATCH(Methode_Keuze,Tb_KostenOptiesDB[#Headers],0),2))=1,_xlfn.SWITCH($N585,"Uurtarief",IF(OR(AND(RIGHT($F585,3)="IKS",VLOOKUP($M585,DB_Loonkosten,2,0)="Ja"),AND(RIGHT($F585,3)&lt;&gt;"IKS",VLOOKUP($M585,DB_Loonkosten,2,0)="Nee")),IFERROR(VLOOKUP($M585,DB_Loonkosten,24,0),""),0),"Vast tarief",IF(LEFT(F585,8)="Bijdrage",VLOOKUP($F585,Tb_KostenTypen[],MATCH(Lijsten!$P$1,Tb_KostenTypen[#Headers],0),0),VLOOKUP($G585,Lijsten!L:P,MATCH(Lijsten!$P$1,Kop_Tarief_Vast,0),0))),""),"")</f>
        <v/>
      </c>
      <c r="P585" s="320" t="str" cm="1">
        <f t="array" ref="P585">_xlfn.IFNA(IF(INDEX(Tb_KostenOptiesDB[],MATCH($F585,Tb_KostenOptiesDB[KostenOptie],0),IFERROR(MATCH(Methode_Keuze,Tb_KostenOptiesDB[#Headers],0),2))=1,_xlfn.SWITCH($N585,"Uurtarief",IF(OR(AND(RIGHT($F585,3)="IKS",VLOOKUP($M585,DB_Loonkosten,2,0)="Ja"),AND(RIGHT($F585,3)&lt;&gt;"IKS",VLOOKUP($M585,DB_Loonkosten,2,0)="Nee")),IFERROR(VLOOKUP($M585,DB_Loonkosten,25,0),""),0),"Vast tarief",IF(LEFT(F585,8)="Bijdrage",VLOOKUP($F585,Tb_KostenTypen[],MATCH(Lijsten!$P$1,Tb_KostenTypen[#Headers],0),0),VLOOKUP($G585,Lijsten!L:P,MATCH(Lijsten!$P$1,Kop_Tarief_Vast,0),0))),""),"")</f>
        <v/>
      </c>
      <c r="Q585" s="359"/>
      <c r="R585" s="359"/>
      <c r="S585" s="321"/>
      <c r="T585" s="321"/>
      <c r="U585" s="373" t="str">
        <f t="shared" si="36"/>
        <v/>
      </c>
      <c r="V585" s="314" t="str">
        <f t="shared" si="37"/>
        <v/>
      </c>
      <c r="W585" s="314" t="str" cm="1">
        <f t="array" aca="1" ref="W585" ca="1">IFERROR(IF(AE585&lt;&gt;"ja",_xlfn.IFNA(_xlfn.IFS(AND(O585&lt;&gt;"",F585&lt;&gt;"",RIGHT($N585,6)="tarief",F585="Vergoeding"),SUM(O585)*FLOOR(SUM(Q585),0.0001),AND(O585&lt;&gt;"",F585&lt;&gt;"",RIGHT($N585,6)="tarief"),SUM(O585)*FLOOR(SUM(Q585),0.01),S585&gt;0,IF(F585&lt;&gt;"",FLOOR(SUM(S585),0.01),"")),""),""),"")</f>
        <v/>
      </c>
      <c r="X585" s="314" t="str" cm="1">
        <f t="array" aca="1" ref="X585" ca="1">IFERROR(IF(AE585&lt;&gt;"ja",_xlfn.IFNA(_xlfn.IFS(AND(P585&lt;&gt;"",R585&lt;&gt;"",RIGHT($N585,6)="tarief",F585="Vergoeding"),SUM(P585)*FLOOR(SUM(R585),0.0001),AND(P585&lt;&gt;"",R585&lt;&gt;"",RIGHT($N585,6)="tarief"),P585*FLOOR(R585,0.01),T585&gt;0,FLOOR(SUM(T585),0.01)),""),""),"")</f>
        <v/>
      </c>
      <c r="Y585" s="314" t="str">
        <f t="shared" ca="1" si="38"/>
        <v/>
      </c>
      <c r="Z585" s="314" t="str" cm="1">
        <f t="array" aca="1" ref="Z585" ca="1">IFERROR(_xlfn.IFS(OR(F585="",LEFT(Methode_Keuze,4)="Geen",Methode_Keuze=""),"",AND(W585&lt;&gt;"",F585&lt;&gt;"Arbeidskosten"),W585*VLOOKUP(F585,Tb_ProjectKosten[],MATCH(Tb_ProjectKosten[[#Headers],[Forfait_Percentage]],Tb_ProjectKosten[#Headers],0),0),AND(F585="Arbeidskosten",G585&lt;&gt;""),IFERROR(W585*VLOOKUP(G585,Tb_KostenTypen[],3,0)*VLOOKUP(F585,Tb_ProjectKosten[],MATCH(Tb_ProjectKosten[[#Headers],[Forfait_Percentage]],Tb_ProjectKosten[#Headers],0),0),""),W585 &lt;=0,0),"")</f>
        <v/>
      </c>
      <c r="AA585" s="314" t="str" cm="1">
        <f t="array" aca="1" ref="AA585" ca="1">IFERROR(_xlfn.IFS(OR(F585="",LEFT(Methode_Keuze,4)="Geen",Methode_Keuze=""),"",AND(X585&lt;&gt;"",F585&lt;&gt;"Arbeidskosten"),X585*VLOOKUP(F585,Tb_ProjectKosten[],MATCH(Tb_ProjectKosten[[#Headers],[Forfait_Percentage]],Tb_ProjectKosten[#Headers],0),0),AND(F585="Arbeidskosten",G585&lt;&gt;""),IFERROR(X585*VLOOKUP(G585,Tb_KostenTypen[],3,0)*VLOOKUP(F585,Tb_ProjectKosten[],MATCH(Tb_ProjectKosten[[#Headers],[Forfait_Percentage]],Tb_ProjectKosten[#Headers],0),0),""),X585 &lt;=0,0),"")</f>
        <v/>
      </c>
      <c r="AB585" s="314" t="str">
        <f t="shared" ca="1" si="39"/>
        <v/>
      </c>
      <c r="AC585" s="322"/>
      <c r="AD585" s="315"/>
      <c r="AE585" s="32" t="str" cm="1">
        <f t="array" ref="AE585">IFERROR(IF(INDEX(SubsidieTabel!$AD$1:$AG$12,MATCH($F585,SubsidieTabel!$AD$1:$AD$12,0),IFERROR(MATCH(Methode_Keuze,SubsidieTabel!$AD$1:$AG$1,0),2))&lt;&gt;1=TRUE,"ja",""),"")</f>
        <v/>
      </c>
    </row>
    <row r="586" spans="1:31" x14ac:dyDescent="0.25">
      <c r="A586" s="316"/>
      <c r="B586" s="317" t="str">
        <f>IF(A586&lt;&gt;"",_xlfn.MAXIFS($B$1:B585,$A$1:A585,A586)+1,"")</f>
        <v/>
      </c>
      <c r="C586" s="296"/>
      <c r="D586" s="296"/>
      <c r="E586" s="296"/>
      <c r="F586" s="296"/>
      <c r="G586" s="326"/>
      <c r="H586" s="324"/>
      <c r="I586" s="325"/>
      <c r="J586" s="325"/>
      <c r="K586" s="318"/>
      <c r="L586" s="318"/>
      <c r="M586" s="319" t="str">
        <f>IFERROR(VLOOKUP(H586,Lijsten!$H$1:$I$100,2,0),"")</f>
        <v/>
      </c>
      <c r="N586" s="319" t="str">
        <f ca="1">IFERROR(IF(VLOOKUP(F586,Kostentypen!$A$3:$E$21,3,0)=0,"",IF(OR(F586="Arbeidskosten",F586="Vergoeding"),VLOOKUP(G586,Tb_KostenTypen[],2,0),VLOOKUP(F586,Kostentypen!$A$3:$E$20,3,0))),"")</f>
        <v/>
      </c>
      <c r="O586" s="320" t="str" cm="1">
        <f t="array" ref="O586">_xlfn.IFNA(IF(INDEX(Tb_KostenOptiesDB[],MATCH($F586,Tb_KostenOptiesDB[KostenOptie],0),IFERROR(MATCH(Methode_Keuze,Tb_KostenOptiesDB[#Headers],0),2))=1,_xlfn.SWITCH($N586,"Uurtarief",IF(OR(AND(RIGHT($F586,3)="IKS",VLOOKUP($M586,DB_Loonkosten,2,0)="Ja"),AND(RIGHT($F586,3)&lt;&gt;"IKS",VLOOKUP($M586,DB_Loonkosten,2,0)="Nee")),IFERROR(VLOOKUP($M586,DB_Loonkosten,24,0),""),0),"Vast tarief",IF(LEFT(F586,8)="Bijdrage",VLOOKUP($F586,Tb_KostenTypen[],MATCH(Lijsten!$P$1,Tb_KostenTypen[#Headers],0),0),VLOOKUP($G586,Lijsten!L:P,MATCH(Lijsten!$P$1,Kop_Tarief_Vast,0),0))),""),"")</f>
        <v/>
      </c>
      <c r="P586" s="320" t="str" cm="1">
        <f t="array" ref="P586">_xlfn.IFNA(IF(INDEX(Tb_KostenOptiesDB[],MATCH($F586,Tb_KostenOptiesDB[KostenOptie],0),IFERROR(MATCH(Methode_Keuze,Tb_KostenOptiesDB[#Headers],0),2))=1,_xlfn.SWITCH($N586,"Uurtarief",IF(OR(AND(RIGHT($F586,3)="IKS",VLOOKUP($M586,DB_Loonkosten,2,0)="Ja"),AND(RIGHT($F586,3)&lt;&gt;"IKS",VLOOKUP($M586,DB_Loonkosten,2,0)="Nee")),IFERROR(VLOOKUP($M586,DB_Loonkosten,25,0),""),0),"Vast tarief",IF(LEFT(F586,8)="Bijdrage",VLOOKUP($F586,Tb_KostenTypen[],MATCH(Lijsten!$P$1,Tb_KostenTypen[#Headers],0),0),VLOOKUP($G586,Lijsten!L:P,MATCH(Lijsten!$P$1,Kop_Tarief_Vast,0),0))),""),"")</f>
        <v/>
      </c>
      <c r="Q586" s="359"/>
      <c r="R586" s="359"/>
      <c r="S586" s="321"/>
      <c r="T586" s="321"/>
      <c r="U586" s="373" t="str">
        <f t="shared" si="36"/>
        <v/>
      </c>
      <c r="V586" s="314" t="str">
        <f t="shared" si="37"/>
        <v/>
      </c>
      <c r="W586" s="314" t="str" cm="1">
        <f t="array" aca="1" ref="W586" ca="1">IFERROR(IF(AE586&lt;&gt;"ja",_xlfn.IFNA(_xlfn.IFS(AND(O586&lt;&gt;"",F586&lt;&gt;"",RIGHT($N586,6)="tarief",F586="Vergoeding"),SUM(O586)*FLOOR(SUM(Q586),0.0001),AND(O586&lt;&gt;"",F586&lt;&gt;"",RIGHT($N586,6)="tarief"),SUM(O586)*FLOOR(SUM(Q586),0.01),S586&gt;0,IF(F586&lt;&gt;"",FLOOR(SUM(S586),0.01),"")),""),""),"")</f>
        <v/>
      </c>
      <c r="X586" s="314" t="str" cm="1">
        <f t="array" aca="1" ref="X586" ca="1">IFERROR(IF(AE586&lt;&gt;"ja",_xlfn.IFNA(_xlfn.IFS(AND(P586&lt;&gt;"",R586&lt;&gt;"",RIGHT($N586,6)="tarief",F586="Vergoeding"),SUM(P586)*FLOOR(SUM(R586),0.0001),AND(P586&lt;&gt;"",R586&lt;&gt;"",RIGHT($N586,6)="tarief"),P586*FLOOR(R586,0.01),T586&gt;0,FLOOR(SUM(T586),0.01)),""),""),"")</f>
        <v/>
      </c>
      <c r="Y586" s="314" t="str">
        <f t="shared" ca="1" si="38"/>
        <v/>
      </c>
      <c r="Z586" s="314" t="str" cm="1">
        <f t="array" aca="1" ref="Z586" ca="1">IFERROR(_xlfn.IFS(OR(F586="",LEFT(Methode_Keuze,4)="Geen",Methode_Keuze=""),"",AND(W586&lt;&gt;"",F586&lt;&gt;"Arbeidskosten"),W586*VLOOKUP(F586,Tb_ProjectKosten[],MATCH(Tb_ProjectKosten[[#Headers],[Forfait_Percentage]],Tb_ProjectKosten[#Headers],0),0),AND(F586="Arbeidskosten",G586&lt;&gt;""),IFERROR(W586*VLOOKUP(G586,Tb_KostenTypen[],3,0)*VLOOKUP(F586,Tb_ProjectKosten[],MATCH(Tb_ProjectKosten[[#Headers],[Forfait_Percentage]],Tb_ProjectKosten[#Headers],0),0),""),W586 &lt;=0,0),"")</f>
        <v/>
      </c>
      <c r="AA586" s="314" t="str" cm="1">
        <f t="array" aca="1" ref="AA586" ca="1">IFERROR(_xlfn.IFS(OR(F586="",LEFT(Methode_Keuze,4)="Geen",Methode_Keuze=""),"",AND(X586&lt;&gt;"",F586&lt;&gt;"Arbeidskosten"),X586*VLOOKUP(F586,Tb_ProjectKosten[],MATCH(Tb_ProjectKosten[[#Headers],[Forfait_Percentage]],Tb_ProjectKosten[#Headers],0),0),AND(F586="Arbeidskosten",G586&lt;&gt;""),IFERROR(X586*VLOOKUP(G586,Tb_KostenTypen[],3,0)*VLOOKUP(F586,Tb_ProjectKosten[],MATCH(Tb_ProjectKosten[[#Headers],[Forfait_Percentage]],Tb_ProjectKosten[#Headers],0),0),""),X586 &lt;=0,0),"")</f>
        <v/>
      </c>
      <c r="AB586" s="314" t="str">
        <f t="shared" ca="1" si="39"/>
        <v/>
      </c>
      <c r="AC586" s="322"/>
      <c r="AD586" s="315"/>
      <c r="AE586" s="32" t="str" cm="1">
        <f t="array" ref="AE586">IFERROR(IF(INDEX(SubsidieTabel!$AD$1:$AG$12,MATCH($F586,SubsidieTabel!$AD$1:$AD$12,0),IFERROR(MATCH(Methode_Keuze,SubsidieTabel!$AD$1:$AG$1,0),2))&lt;&gt;1=TRUE,"ja",""),"")</f>
        <v/>
      </c>
    </row>
    <row r="587" spans="1:31" x14ac:dyDescent="0.25">
      <c r="A587" s="316"/>
      <c r="B587" s="317" t="str">
        <f>IF(A587&lt;&gt;"",_xlfn.MAXIFS($B$1:B586,$A$1:A586,A587)+1,"")</f>
        <v/>
      </c>
      <c r="C587" s="296"/>
      <c r="D587" s="296"/>
      <c r="E587" s="296"/>
      <c r="F587" s="296"/>
      <c r="G587" s="326"/>
      <c r="H587" s="324"/>
      <c r="I587" s="325"/>
      <c r="J587" s="325"/>
      <c r="K587" s="318"/>
      <c r="L587" s="318"/>
      <c r="M587" s="319" t="str">
        <f>IFERROR(VLOOKUP(H587,Lijsten!$H$1:$I$100,2,0),"")</f>
        <v/>
      </c>
      <c r="N587" s="319" t="str">
        <f ca="1">IFERROR(IF(VLOOKUP(F587,Kostentypen!$A$3:$E$21,3,0)=0,"",IF(OR(F587="Arbeidskosten",F587="Vergoeding"),VLOOKUP(G587,Tb_KostenTypen[],2,0),VLOOKUP(F587,Kostentypen!$A$3:$E$20,3,0))),"")</f>
        <v/>
      </c>
      <c r="O587" s="320" t="str" cm="1">
        <f t="array" ref="O587">_xlfn.IFNA(IF(INDEX(Tb_KostenOptiesDB[],MATCH($F587,Tb_KostenOptiesDB[KostenOptie],0),IFERROR(MATCH(Methode_Keuze,Tb_KostenOptiesDB[#Headers],0),2))=1,_xlfn.SWITCH($N587,"Uurtarief",IF(OR(AND(RIGHT($F587,3)="IKS",VLOOKUP($M587,DB_Loonkosten,2,0)="Ja"),AND(RIGHT($F587,3)&lt;&gt;"IKS",VLOOKUP($M587,DB_Loonkosten,2,0)="Nee")),IFERROR(VLOOKUP($M587,DB_Loonkosten,24,0),""),0),"Vast tarief",IF(LEFT(F587,8)="Bijdrage",VLOOKUP($F587,Tb_KostenTypen[],MATCH(Lijsten!$P$1,Tb_KostenTypen[#Headers],0),0),VLOOKUP($G587,Lijsten!L:P,MATCH(Lijsten!$P$1,Kop_Tarief_Vast,0),0))),""),"")</f>
        <v/>
      </c>
      <c r="P587" s="320" t="str" cm="1">
        <f t="array" ref="P587">_xlfn.IFNA(IF(INDEX(Tb_KostenOptiesDB[],MATCH($F587,Tb_KostenOptiesDB[KostenOptie],0),IFERROR(MATCH(Methode_Keuze,Tb_KostenOptiesDB[#Headers],0),2))=1,_xlfn.SWITCH($N587,"Uurtarief",IF(OR(AND(RIGHT($F587,3)="IKS",VLOOKUP($M587,DB_Loonkosten,2,0)="Ja"),AND(RIGHT($F587,3)&lt;&gt;"IKS",VLOOKUP($M587,DB_Loonkosten,2,0)="Nee")),IFERROR(VLOOKUP($M587,DB_Loonkosten,25,0),""),0),"Vast tarief",IF(LEFT(F587,8)="Bijdrage",VLOOKUP($F587,Tb_KostenTypen[],MATCH(Lijsten!$P$1,Tb_KostenTypen[#Headers],0),0),VLOOKUP($G587,Lijsten!L:P,MATCH(Lijsten!$P$1,Kop_Tarief_Vast,0),0))),""),"")</f>
        <v/>
      </c>
      <c r="Q587" s="359"/>
      <c r="R587" s="359"/>
      <c r="S587" s="321"/>
      <c r="T587" s="321"/>
      <c r="U587" s="373" t="str">
        <f t="shared" si="36"/>
        <v/>
      </c>
      <c r="V587" s="314" t="str">
        <f t="shared" si="37"/>
        <v/>
      </c>
      <c r="W587" s="314" t="str" cm="1">
        <f t="array" aca="1" ref="W587" ca="1">IFERROR(IF(AE587&lt;&gt;"ja",_xlfn.IFNA(_xlfn.IFS(AND(O587&lt;&gt;"",F587&lt;&gt;"",RIGHT($N587,6)="tarief",F587="Vergoeding"),SUM(O587)*FLOOR(SUM(Q587),0.0001),AND(O587&lt;&gt;"",F587&lt;&gt;"",RIGHT($N587,6)="tarief"),SUM(O587)*FLOOR(SUM(Q587),0.01),S587&gt;0,IF(F587&lt;&gt;"",FLOOR(SUM(S587),0.01),"")),""),""),"")</f>
        <v/>
      </c>
      <c r="X587" s="314" t="str" cm="1">
        <f t="array" aca="1" ref="X587" ca="1">IFERROR(IF(AE587&lt;&gt;"ja",_xlfn.IFNA(_xlfn.IFS(AND(P587&lt;&gt;"",R587&lt;&gt;"",RIGHT($N587,6)="tarief",F587="Vergoeding"),SUM(P587)*FLOOR(SUM(R587),0.0001),AND(P587&lt;&gt;"",R587&lt;&gt;"",RIGHT($N587,6)="tarief"),P587*FLOOR(R587,0.01),T587&gt;0,FLOOR(SUM(T587),0.01)),""),""),"")</f>
        <v/>
      </c>
      <c r="Y587" s="314" t="str">
        <f t="shared" ca="1" si="38"/>
        <v/>
      </c>
      <c r="Z587" s="314" t="str" cm="1">
        <f t="array" aca="1" ref="Z587" ca="1">IFERROR(_xlfn.IFS(OR(F587="",LEFT(Methode_Keuze,4)="Geen",Methode_Keuze=""),"",AND(W587&lt;&gt;"",F587&lt;&gt;"Arbeidskosten"),W587*VLOOKUP(F587,Tb_ProjectKosten[],MATCH(Tb_ProjectKosten[[#Headers],[Forfait_Percentage]],Tb_ProjectKosten[#Headers],0),0),AND(F587="Arbeidskosten",G587&lt;&gt;""),IFERROR(W587*VLOOKUP(G587,Tb_KostenTypen[],3,0)*VLOOKUP(F587,Tb_ProjectKosten[],MATCH(Tb_ProjectKosten[[#Headers],[Forfait_Percentage]],Tb_ProjectKosten[#Headers],0),0),""),W587 &lt;=0,0),"")</f>
        <v/>
      </c>
      <c r="AA587" s="314" t="str" cm="1">
        <f t="array" aca="1" ref="AA587" ca="1">IFERROR(_xlfn.IFS(OR(F587="",LEFT(Methode_Keuze,4)="Geen",Methode_Keuze=""),"",AND(X587&lt;&gt;"",F587&lt;&gt;"Arbeidskosten"),X587*VLOOKUP(F587,Tb_ProjectKosten[],MATCH(Tb_ProjectKosten[[#Headers],[Forfait_Percentage]],Tb_ProjectKosten[#Headers],0),0),AND(F587="Arbeidskosten",G587&lt;&gt;""),IFERROR(X587*VLOOKUP(G587,Tb_KostenTypen[],3,0)*VLOOKUP(F587,Tb_ProjectKosten[],MATCH(Tb_ProjectKosten[[#Headers],[Forfait_Percentage]],Tb_ProjectKosten[#Headers],0),0),""),X587 &lt;=0,0),"")</f>
        <v/>
      </c>
      <c r="AB587" s="314" t="str">
        <f t="shared" ca="1" si="39"/>
        <v/>
      </c>
      <c r="AC587" s="322"/>
      <c r="AD587" s="315"/>
      <c r="AE587" s="32" t="str" cm="1">
        <f t="array" ref="AE587">IFERROR(IF(INDEX(SubsidieTabel!$AD$1:$AG$12,MATCH($F587,SubsidieTabel!$AD$1:$AD$12,0),IFERROR(MATCH(Methode_Keuze,SubsidieTabel!$AD$1:$AG$1,0),2))&lt;&gt;1=TRUE,"ja",""),"")</f>
        <v/>
      </c>
    </row>
    <row r="588" spans="1:31" x14ac:dyDescent="0.25">
      <c r="A588" s="316"/>
      <c r="B588" s="317" t="str">
        <f>IF(A588&lt;&gt;"",_xlfn.MAXIFS($B$1:B587,$A$1:A587,A588)+1,"")</f>
        <v/>
      </c>
      <c r="C588" s="296"/>
      <c r="D588" s="296"/>
      <c r="E588" s="296"/>
      <c r="F588" s="296"/>
      <c r="G588" s="326"/>
      <c r="H588" s="324"/>
      <c r="I588" s="325"/>
      <c r="J588" s="325"/>
      <c r="K588" s="318"/>
      <c r="L588" s="318"/>
      <c r="M588" s="319" t="str">
        <f>IFERROR(VLOOKUP(H588,Lijsten!$H$1:$I$100,2,0),"")</f>
        <v/>
      </c>
      <c r="N588" s="319" t="str">
        <f ca="1">IFERROR(IF(VLOOKUP(F588,Kostentypen!$A$3:$E$21,3,0)=0,"",IF(OR(F588="Arbeidskosten",F588="Vergoeding"),VLOOKUP(G588,Tb_KostenTypen[],2,0),VLOOKUP(F588,Kostentypen!$A$3:$E$20,3,0))),"")</f>
        <v/>
      </c>
      <c r="O588" s="320" t="str" cm="1">
        <f t="array" ref="O588">_xlfn.IFNA(IF(INDEX(Tb_KostenOptiesDB[],MATCH($F588,Tb_KostenOptiesDB[KostenOptie],0),IFERROR(MATCH(Methode_Keuze,Tb_KostenOptiesDB[#Headers],0),2))=1,_xlfn.SWITCH($N588,"Uurtarief",IF(OR(AND(RIGHT($F588,3)="IKS",VLOOKUP($M588,DB_Loonkosten,2,0)="Ja"),AND(RIGHT($F588,3)&lt;&gt;"IKS",VLOOKUP($M588,DB_Loonkosten,2,0)="Nee")),IFERROR(VLOOKUP($M588,DB_Loonkosten,24,0),""),0),"Vast tarief",IF(LEFT(F588,8)="Bijdrage",VLOOKUP($F588,Tb_KostenTypen[],MATCH(Lijsten!$P$1,Tb_KostenTypen[#Headers],0),0),VLOOKUP($G588,Lijsten!L:P,MATCH(Lijsten!$P$1,Kop_Tarief_Vast,0),0))),""),"")</f>
        <v/>
      </c>
      <c r="P588" s="320" t="str" cm="1">
        <f t="array" ref="P588">_xlfn.IFNA(IF(INDEX(Tb_KostenOptiesDB[],MATCH($F588,Tb_KostenOptiesDB[KostenOptie],0),IFERROR(MATCH(Methode_Keuze,Tb_KostenOptiesDB[#Headers],0),2))=1,_xlfn.SWITCH($N588,"Uurtarief",IF(OR(AND(RIGHT($F588,3)="IKS",VLOOKUP($M588,DB_Loonkosten,2,0)="Ja"),AND(RIGHT($F588,3)&lt;&gt;"IKS",VLOOKUP($M588,DB_Loonkosten,2,0)="Nee")),IFERROR(VLOOKUP($M588,DB_Loonkosten,25,0),""),0),"Vast tarief",IF(LEFT(F588,8)="Bijdrage",VLOOKUP($F588,Tb_KostenTypen[],MATCH(Lijsten!$P$1,Tb_KostenTypen[#Headers],0),0),VLOOKUP($G588,Lijsten!L:P,MATCH(Lijsten!$P$1,Kop_Tarief_Vast,0),0))),""),"")</f>
        <v/>
      </c>
      <c r="Q588" s="359"/>
      <c r="R588" s="359"/>
      <c r="S588" s="321"/>
      <c r="T588" s="321"/>
      <c r="U588" s="373" t="str">
        <f t="shared" si="36"/>
        <v/>
      </c>
      <c r="V588" s="314" t="str">
        <f t="shared" si="37"/>
        <v/>
      </c>
      <c r="W588" s="314" t="str" cm="1">
        <f t="array" aca="1" ref="W588" ca="1">IFERROR(IF(AE588&lt;&gt;"ja",_xlfn.IFNA(_xlfn.IFS(AND(O588&lt;&gt;"",F588&lt;&gt;"",RIGHT($N588,6)="tarief",F588="Vergoeding"),SUM(O588)*FLOOR(SUM(Q588),0.0001),AND(O588&lt;&gt;"",F588&lt;&gt;"",RIGHT($N588,6)="tarief"),SUM(O588)*FLOOR(SUM(Q588),0.01),S588&gt;0,IF(F588&lt;&gt;"",FLOOR(SUM(S588),0.01),"")),""),""),"")</f>
        <v/>
      </c>
      <c r="X588" s="314" t="str" cm="1">
        <f t="array" aca="1" ref="X588" ca="1">IFERROR(IF(AE588&lt;&gt;"ja",_xlfn.IFNA(_xlfn.IFS(AND(P588&lt;&gt;"",R588&lt;&gt;"",RIGHT($N588,6)="tarief",F588="Vergoeding"),SUM(P588)*FLOOR(SUM(R588),0.0001),AND(P588&lt;&gt;"",R588&lt;&gt;"",RIGHT($N588,6)="tarief"),P588*FLOOR(R588,0.01),T588&gt;0,FLOOR(SUM(T588),0.01)),""),""),"")</f>
        <v/>
      </c>
      <c r="Y588" s="314" t="str">
        <f t="shared" ca="1" si="38"/>
        <v/>
      </c>
      <c r="Z588" s="314" t="str" cm="1">
        <f t="array" aca="1" ref="Z588" ca="1">IFERROR(_xlfn.IFS(OR(F588="",LEFT(Methode_Keuze,4)="Geen",Methode_Keuze=""),"",AND(W588&lt;&gt;"",F588&lt;&gt;"Arbeidskosten"),W588*VLOOKUP(F588,Tb_ProjectKosten[],MATCH(Tb_ProjectKosten[[#Headers],[Forfait_Percentage]],Tb_ProjectKosten[#Headers],0),0),AND(F588="Arbeidskosten",G588&lt;&gt;""),IFERROR(W588*VLOOKUP(G588,Tb_KostenTypen[],3,0)*VLOOKUP(F588,Tb_ProjectKosten[],MATCH(Tb_ProjectKosten[[#Headers],[Forfait_Percentage]],Tb_ProjectKosten[#Headers],0),0),""),W588 &lt;=0,0),"")</f>
        <v/>
      </c>
      <c r="AA588" s="314" t="str" cm="1">
        <f t="array" aca="1" ref="AA588" ca="1">IFERROR(_xlfn.IFS(OR(F588="",LEFT(Methode_Keuze,4)="Geen",Methode_Keuze=""),"",AND(X588&lt;&gt;"",F588&lt;&gt;"Arbeidskosten"),X588*VLOOKUP(F588,Tb_ProjectKosten[],MATCH(Tb_ProjectKosten[[#Headers],[Forfait_Percentage]],Tb_ProjectKosten[#Headers],0),0),AND(F588="Arbeidskosten",G588&lt;&gt;""),IFERROR(X588*VLOOKUP(G588,Tb_KostenTypen[],3,0)*VLOOKUP(F588,Tb_ProjectKosten[],MATCH(Tb_ProjectKosten[[#Headers],[Forfait_Percentage]],Tb_ProjectKosten[#Headers],0),0),""),X588 &lt;=0,0),"")</f>
        <v/>
      </c>
      <c r="AB588" s="314" t="str">
        <f t="shared" ca="1" si="39"/>
        <v/>
      </c>
      <c r="AC588" s="322"/>
      <c r="AD588" s="315"/>
      <c r="AE588" s="32" t="str" cm="1">
        <f t="array" ref="AE588">IFERROR(IF(INDEX(SubsidieTabel!$AD$1:$AG$12,MATCH($F588,SubsidieTabel!$AD$1:$AD$12,0),IFERROR(MATCH(Methode_Keuze,SubsidieTabel!$AD$1:$AG$1,0),2))&lt;&gt;1=TRUE,"ja",""),"")</f>
        <v/>
      </c>
    </row>
    <row r="589" spans="1:31" x14ac:dyDescent="0.25">
      <c r="A589" s="316"/>
      <c r="B589" s="317" t="str">
        <f>IF(A589&lt;&gt;"",_xlfn.MAXIFS($B$1:B588,$A$1:A588,A589)+1,"")</f>
        <v/>
      </c>
      <c r="C589" s="296"/>
      <c r="D589" s="296"/>
      <c r="E589" s="296"/>
      <c r="F589" s="296"/>
      <c r="G589" s="326"/>
      <c r="H589" s="324"/>
      <c r="I589" s="325"/>
      <c r="J589" s="325"/>
      <c r="K589" s="318"/>
      <c r="L589" s="318"/>
      <c r="M589" s="319" t="str">
        <f>IFERROR(VLOOKUP(H589,Lijsten!$H$1:$I$100,2,0),"")</f>
        <v/>
      </c>
      <c r="N589" s="319" t="str">
        <f ca="1">IFERROR(IF(VLOOKUP(F589,Kostentypen!$A$3:$E$21,3,0)=0,"",IF(OR(F589="Arbeidskosten",F589="Vergoeding"),VLOOKUP(G589,Tb_KostenTypen[],2,0),VLOOKUP(F589,Kostentypen!$A$3:$E$20,3,0))),"")</f>
        <v/>
      </c>
      <c r="O589" s="320" t="str" cm="1">
        <f t="array" ref="O589">_xlfn.IFNA(IF(INDEX(Tb_KostenOptiesDB[],MATCH($F589,Tb_KostenOptiesDB[KostenOptie],0),IFERROR(MATCH(Methode_Keuze,Tb_KostenOptiesDB[#Headers],0),2))=1,_xlfn.SWITCH($N589,"Uurtarief",IF(OR(AND(RIGHT($F589,3)="IKS",VLOOKUP($M589,DB_Loonkosten,2,0)="Ja"),AND(RIGHT($F589,3)&lt;&gt;"IKS",VLOOKUP($M589,DB_Loonkosten,2,0)="Nee")),IFERROR(VLOOKUP($M589,DB_Loonkosten,24,0),""),0),"Vast tarief",IF(LEFT(F589,8)="Bijdrage",VLOOKUP($F589,Tb_KostenTypen[],MATCH(Lijsten!$P$1,Tb_KostenTypen[#Headers],0),0),VLOOKUP($G589,Lijsten!L:P,MATCH(Lijsten!$P$1,Kop_Tarief_Vast,0),0))),""),"")</f>
        <v/>
      </c>
      <c r="P589" s="320" t="str" cm="1">
        <f t="array" ref="P589">_xlfn.IFNA(IF(INDEX(Tb_KostenOptiesDB[],MATCH($F589,Tb_KostenOptiesDB[KostenOptie],0),IFERROR(MATCH(Methode_Keuze,Tb_KostenOptiesDB[#Headers],0),2))=1,_xlfn.SWITCH($N589,"Uurtarief",IF(OR(AND(RIGHT($F589,3)="IKS",VLOOKUP($M589,DB_Loonkosten,2,0)="Ja"),AND(RIGHT($F589,3)&lt;&gt;"IKS",VLOOKUP($M589,DB_Loonkosten,2,0)="Nee")),IFERROR(VLOOKUP($M589,DB_Loonkosten,25,0),""),0),"Vast tarief",IF(LEFT(F589,8)="Bijdrage",VLOOKUP($F589,Tb_KostenTypen[],MATCH(Lijsten!$P$1,Tb_KostenTypen[#Headers],0),0),VLOOKUP($G589,Lijsten!L:P,MATCH(Lijsten!$P$1,Kop_Tarief_Vast,0),0))),""),"")</f>
        <v/>
      </c>
      <c r="Q589" s="359"/>
      <c r="R589" s="359"/>
      <c r="S589" s="321"/>
      <c r="T589" s="321"/>
      <c r="U589" s="373" t="str">
        <f t="shared" si="36"/>
        <v/>
      </c>
      <c r="V589" s="314" t="str">
        <f t="shared" si="37"/>
        <v/>
      </c>
      <c r="W589" s="314" t="str" cm="1">
        <f t="array" aca="1" ref="W589" ca="1">IFERROR(IF(AE589&lt;&gt;"ja",_xlfn.IFNA(_xlfn.IFS(AND(O589&lt;&gt;"",F589&lt;&gt;"",RIGHT($N589,6)="tarief",F589="Vergoeding"),SUM(O589)*FLOOR(SUM(Q589),0.0001),AND(O589&lt;&gt;"",F589&lt;&gt;"",RIGHT($N589,6)="tarief"),SUM(O589)*FLOOR(SUM(Q589),0.01),S589&gt;0,IF(F589&lt;&gt;"",FLOOR(SUM(S589),0.01),"")),""),""),"")</f>
        <v/>
      </c>
      <c r="X589" s="314" t="str" cm="1">
        <f t="array" aca="1" ref="X589" ca="1">IFERROR(IF(AE589&lt;&gt;"ja",_xlfn.IFNA(_xlfn.IFS(AND(P589&lt;&gt;"",R589&lt;&gt;"",RIGHT($N589,6)="tarief",F589="Vergoeding"),SUM(P589)*FLOOR(SUM(R589),0.0001),AND(P589&lt;&gt;"",R589&lt;&gt;"",RIGHT($N589,6)="tarief"),P589*FLOOR(R589,0.01),T589&gt;0,FLOOR(SUM(T589),0.01)),""),""),"")</f>
        <v/>
      </c>
      <c r="Y589" s="314" t="str">
        <f t="shared" ca="1" si="38"/>
        <v/>
      </c>
      <c r="Z589" s="314" t="str" cm="1">
        <f t="array" aca="1" ref="Z589" ca="1">IFERROR(_xlfn.IFS(OR(F589="",LEFT(Methode_Keuze,4)="Geen",Methode_Keuze=""),"",AND(W589&lt;&gt;"",F589&lt;&gt;"Arbeidskosten"),W589*VLOOKUP(F589,Tb_ProjectKosten[],MATCH(Tb_ProjectKosten[[#Headers],[Forfait_Percentage]],Tb_ProjectKosten[#Headers],0),0),AND(F589="Arbeidskosten",G589&lt;&gt;""),IFERROR(W589*VLOOKUP(G589,Tb_KostenTypen[],3,0)*VLOOKUP(F589,Tb_ProjectKosten[],MATCH(Tb_ProjectKosten[[#Headers],[Forfait_Percentage]],Tb_ProjectKosten[#Headers],0),0),""),W589 &lt;=0,0),"")</f>
        <v/>
      </c>
      <c r="AA589" s="314" t="str" cm="1">
        <f t="array" aca="1" ref="AA589" ca="1">IFERROR(_xlfn.IFS(OR(F589="",LEFT(Methode_Keuze,4)="Geen",Methode_Keuze=""),"",AND(X589&lt;&gt;"",F589&lt;&gt;"Arbeidskosten"),X589*VLOOKUP(F589,Tb_ProjectKosten[],MATCH(Tb_ProjectKosten[[#Headers],[Forfait_Percentage]],Tb_ProjectKosten[#Headers],0),0),AND(F589="Arbeidskosten",G589&lt;&gt;""),IFERROR(X589*VLOOKUP(G589,Tb_KostenTypen[],3,0)*VLOOKUP(F589,Tb_ProjectKosten[],MATCH(Tb_ProjectKosten[[#Headers],[Forfait_Percentage]],Tb_ProjectKosten[#Headers],0),0),""),X589 &lt;=0,0),"")</f>
        <v/>
      </c>
      <c r="AB589" s="314" t="str">
        <f t="shared" ca="1" si="39"/>
        <v/>
      </c>
      <c r="AC589" s="322"/>
      <c r="AD589" s="315"/>
      <c r="AE589" s="32" t="str" cm="1">
        <f t="array" ref="AE589">IFERROR(IF(INDEX(SubsidieTabel!$AD$1:$AG$12,MATCH($F589,SubsidieTabel!$AD$1:$AD$12,0),IFERROR(MATCH(Methode_Keuze,SubsidieTabel!$AD$1:$AG$1,0),2))&lt;&gt;1=TRUE,"ja",""),"")</f>
        <v/>
      </c>
    </row>
    <row r="590" spans="1:31" x14ac:dyDescent="0.25">
      <c r="A590" s="316"/>
      <c r="B590" s="317" t="str">
        <f>IF(A590&lt;&gt;"",_xlfn.MAXIFS($B$1:B589,$A$1:A589,A590)+1,"")</f>
        <v/>
      </c>
      <c r="C590" s="296"/>
      <c r="D590" s="296"/>
      <c r="E590" s="296"/>
      <c r="F590" s="296"/>
      <c r="G590" s="326"/>
      <c r="H590" s="324"/>
      <c r="I590" s="325"/>
      <c r="J590" s="325"/>
      <c r="K590" s="318"/>
      <c r="L590" s="318"/>
      <c r="M590" s="319" t="str">
        <f>IFERROR(VLOOKUP(H590,Lijsten!$H$1:$I$100,2,0),"")</f>
        <v/>
      </c>
      <c r="N590" s="319" t="str">
        <f ca="1">IFERROR(IF(VLOOKUP(F590,Kostentypen!$A$3:$E$21,3,0)=0,"",IF(OR(F590="Arbeidskosten",F590="Vergoeding"),VLOOKUP(G590,Tb_KostenTypen[],2,0),VLOOKUP(F590,Kostentypen!$A$3:$E$20,3,0))),"")</f>
        <v/>
      </c>
      <c r="O590" s="320" t="str" cm="1">
        <f t="array" ref="O590">_xlfn.IFNA(IF(INDEX(Tb_KostenOptiesDB[],MATCH($F590,Tb_KostenOptiesDB[KostenOptie],0),IFERROR(MATCH(Methode_Keuze,Tb_KostenOptiesDB[#Headers],0),2))=1,_xlfn.SWITCH($N590,"Uurtarief",IF(OR(AND(RIGHT($F590,3)="IKS",VLOOKUP($M590,DB_Loonkosten,2,0)="Ja"),AND(RIGHT($F590,3)&lt;&gt;"IKS",VLOOKUP($M590,DB_Loonkosten,2,0)="Nee")),IFERROR(VLOOKUP($M590,DB_Loonkosten,24,0),""),0),"Vast tarief",IF(LEFT(F590,8)="Bijdrage",VLOOKUP($F590,Tb_KostenTypen[],MATCH(Lijsten!$P$1,Tb_KostenTypen[#Headers],0),0),VLOOKUP($G590,Lijsten!L:P,MATCH(Lijsten!$P$1,Kop_Tarief_Vast,0),0))),""),"")</f>
        <v/>
      </c>
      <c r="P590" s="320" t="str" cm="1">
        <f t="array" ref="P590">_xlfn.IFNA(IF(INDEX(Tb_KostenOptiesDB[],MATCH($F590,Tb_KostenOptiesDB[KostenOptie],0),IFERROR(MATCH(Methode_Keuze,Tb_KostenOptiesDB[#Headers],0),2))=1,_xlfn.SWITCH($N590,"Uurtarief",IF(OR(AND(RIGHT($F590,3)="IKS",VLOOKUP($M590,DB_Loonkosten,2,0)="Ja"),AND(RIGHT($F590,3)&lt;&gt;"IKS",VLOOKUP($M590,DB_Loonkosten,2,0)="Nee")),IFERROR(VLOOKUP($M590,DB_Loonkosten,25,0),""),0),"Vast tarief",IF(LEFT(F590,8)="Bijdrage",VLOOKUP($F590,Tb_KostenTypen[],MATCH(Lijsten!$P$1,Tb_KostenTypen[#Headers],0),0),VLOOKUP($G590,Lijsten!L:P,MATCH(Lijsten!$P$1,Kop_Tarief_Vast,0),0))),""),"")</f>
        <v/>
      </c>
      <c r="Q590" s="359"/>
      <c r="R590" s="359"/>
      <c r="S590" s="321"/>
      <c r="T590" s="321"/>
      <c r="U590" s="373" t="str">
        <f t="shared" si="36"/>
        <v/>
      </c>
      <c r="V590" s="314" t="str">
        <f t="shared" si="37"/>
        <v/>
      </c>
      <c r="W590" s="314" t="str" cm="1">
        <f t="array" aca="1" ref="W590" ca="1">IFERROR(IF(AE590&lt;&gt;"ja",_xlfn.IFNA(_xlfn.IFS(AND(O590&lt;&gt;"",F590&lt;&gt;"",RIGHT($N590,6)="tarief",F590="Vergoeding"),SUM(O590)*FLOOR(SUM(Q590),0.0001),AND(O590&lt;&gt;"",F590&lt;&gt;"",RIGHT($N590,6)="tarief"),SUM(O590)*FLOOR(SUM(Q590),0.01),S590&gt;0,IF(F590&lt;&gt;"",FLOOR(SUM(S590),0.01),"")),""),""),"")</f>
        <v/>
      </c>
      <c r="X590" s="314" t="str" cm="1">
        <f t="array" aca="1" ref="X590" ca="1">IFERROR(IF(AE590&lt;&gt;"ja",_xlfn.IFNA(_xlfn.IFS(AND(P590&lt;&gt;"",R590&lt;&gt;"",RIGHT($N590,6)="tarief",F590="Vergoeding"),SUM(P590)*FLOOR(SUM(R590),0.0001),AND(P590&lt;&gt;"",R590&lt;&gt;"",RIGHT($N590,6)="tarief"),P590*FLOOR(R590,0.01),T590&gt;0,FLOOR(SUM(T590),0.01)),""),""),"")</f>
        <v/>
      </c>
      <c r="Y590" s="314" t="str">
        <f t="shared" ca="1" si="38"/>
        <v/>
      </c>
      <c r="Z590" s="314" t="str" cm="1">
        <f t="array" aca="1" ref="Z590" ca="1">IFERROR(_xlfn.IFS(OR(F590="",LEFT(Methode_Keuze,4)="Geen",Methode_Keuze=""),"",AND(W590&lt;&gt;"",F590&lt;&gt;"Arbeidskosten"),W590*VLOOKUP(F590,Tb_ProjectKosten[],MATCH(Tb_ProjectKosten[[#Headers],[Forfait_Percentage]],Tb_ProjectKosten[#Headers],0),0),AND(F590="Arbeidskosten",G590&lt;&gt;""),IFERROR(W590*VLOOKUP(G590,Tb_KostenTypen[],3,0)*VLOOKUP(F590,Tb_ProjectKosten[],MATCH(Tb_ProjectKosten[[#Headers],[Forfait_Percentage]],Tb_ProjectKosten[#Headers],0),0),""),W590 &lt;=0,0),"")</f>
        <v/>
      </c>
      <c r="AA590" s="314" t="str" cm="1">
        <f t="array" aca="1" ref="AA590" ca="1">IFERROR(_xlfn.IFS(OR(F590="",LEFT(Methode_Keuze,4)="Geen",Methode_Keuze=""),"",AND(X590&lt;&gt;"",F590&lt;&gt;"Arbeidskosten"),X590*VLOOKUP(F590,Tb_ProjectKosten[],MATCH(Tb_ProjectKosten[[#Headers],[Forfait_Percentage]],Tb_ProjectKosten[#Headers],0),0),AND(F590="Arbeidskosten",G590&lt;&gt;""),IFERROR(X590*VLOOKUP(G590,Tb_KostenTypen[],3,0)*VLOOKUP(F590,Tb_ProjectKosten[],MATCH(Tb_ProjectKosten[[#Headers],[Forfait_Percentage]],Tb_ProjectKosten[#Headers],0),0),""),X590 &lt;=0,0),"")</f>
        <v/>
      </c>
      <c r="AB590" s="314" t="str">
        <f t="shared" ca="1" si="39"/>
        <v/>
      </c>
      <c r="AC590" s="322"/>
      <c r="AD590" s="315"/>
      <c r="AE590" s="32" t="str" cm="1">
        <f t="array" ref="AE590">IFERROR(IF(INDEX(SubsidieTabel!$AD$1:$AG$12,MATCH($F590,SubsidieTabel!$AD$1:$AD$12,0),IFERROR(MATCH(Methode_Keuze,SubsidieTabel!$AD$1:$AG$1,0),2))&lt;&gt;1=TRUE,"ja",""),"")</f>
        <v/>
      </c>
    </row>
    <row r="591" spans="1:31" x14ac:dyDescent="0.25">
      <c r="A591" s="316"/>
      <c r="B591" s="317" t="str">
        <f>IF(A591&lt;&gt;"",_xlfn.MAXIFS($B$1:B590,$A$1:A590,A591)+1,"")</f>
        <v/>
      </c>
      <c r="C591" s="296"/>
      <c r="D591" s="296"/>
      <c r="E591" s="296"/>
      <c r="F591" s="296"/>
      <c r="G591" s="326"/>
      <c r="H591" s="324"/>
      <c r="I591" s="325"/>
      <c r="J591" s="325"/>
      <c r="K591" s="318"/>
      <c r="L591" s="318"/>
      <c r="M591" s="319" t="str">
        <f>IFERROR(VLOOKUP(H591,Lijsten!$H$1:$I$100,2,0),"")</f>
        <v/>
      </c>
      <c r="N591" s="319" t="str">
        <f ca="1">IFERROR(IF(VLOOKUP(F591,Kostentypen!$A$3:$E$21,3,0)=0,"",IF(OR(F591="Arbeidskosten",F591="Vergoeding"),VLOOKUP(G591,Tb_KostenTypen[],2,0),VLOOKUP(F591,Kostentypen!$A$3:$E$20,3,0))),"")</f>
        <v/>
      </c>
      <c r="O591" s="320" t="str" cm="1">
        <f t="array" ref="O591">_xlfn.IFNA(IF(INDEX(Tb_KostenOptiesDB[],MATCH($F591,Tb_KostenOptiesDB[KostenOptie],0),IFERROR(MATCH(Methode_Keuze,Tb_KostenOptiesDB[#Headers],0),2))=1,_xlfn.SWITCH($N591,"Uurtarief",IF(OR(AND(RIGHT($F591,3)="IKS",VLOOKUP($M591,DB_Loonkosten,2,0)="Ja"),AND(RIGHT($F591,3)&lt;&gt;"IKS",VLOOKUP($M591,DB_Loonkosten,2,0)="Nee")),IFERROR(VLOOKUP($M591,DB_Loonkosten,24,0),""),0),"Vast tarief",IF(LEFT(F591,8)="Bijdrage",VLOOKUP($F591,Tb_KostenTypen[],MATCH(Lijsten!$P$1,Tb_KostenTypen[#Headers],0),0),VLOOKUP($G591,Lijsten!L:P,MATCH(Lijsten!$P$1,Kop_Tarief_Vast,0),0))),""),"")</f>
        <v/>
      </c>
      <c r="P591" s="320" t="str" cm="1">
        <f t="array" ref="P591">_xlfn.IFNA(IF(INDEX(Tb_KostenOptiesDB[],MATCH($F591,Tb_KostenOptiesDB[KostenOptie],0),IFERROR(MATCH(Methode_Keuze,Tb_KostenOptiesDB[#Headers],0),2))=1,_xlfn.SWITCH($N591,"Uurtarief",IF(OR(AND(RIGHT($F591,3)="IKS",VLOOKUP($M591,DB_Loonkosten,2,0)="Ja"),AND(RIGHT($F591,3)&lt;&gt;"IKS",VLOOKUP($M591,DB_Loonkosten,2,0)="Nee")),IFERROR(VLOOKUP($M591,DB_Loonkosten,25,0),""),0),"Vast tarief",IF(LEFT(F591,8)="Bijdrage",VLOOKUP($F591,Tb_KostenTypen[],MATCH(Lijsten!$P$1,Tb_KostenTypen[#Headers],0),0),VLOOKUP($G591,Lijsten!L:P,MATCH(Lijsten!$P$1,Kop_Tarief_Vast,0),0))),""),"")</f>
        <v/>
      </c>
      <c r="Q591" s="359"/>
      <c r="R591" s="359"/>
      <c r="S591" s="321"/>
      <c r="T591" s="321"/>
      <c r="U591" s="373" t="str">
        <f t="shared" si="36"/>
        <v/>
      </c>
      <c r="V591" s="314" t="str">
        <f t="shared" si="37"/>
        <v/>
      </c>
      <c r="W591" s="314" t="str" cm="1">
        <f t="array" aca="1" ref="W591" ca="1">IFERROR(IF(AE591&lt;&gt;"ja",_xlfn.IFNA(_xlfn.IFS(AND(O591&lt;&gt;"",F591&lt;&gt;"",RIGHT($N591,6)="tarief",F591="Vergoeding"),SUM(O591)*FLOOR(SUM(Q591),0.0001),AND(O591&lt;&gt;"",F591&lt;&gt;"",RIGHT($N591,6)="tarief"),SUM(O591)*FLOOR(SUM(Q591),0.01),S591&gt;0,IF(F591&lt;&gt;"",FLOOR(SUM(S591),0.01),"")),""),""),"")</f>
        <v/>
      </c>
      <c r="X591" s="314" t="str" cm="1">
        <f t="array" aca="1" ref="X591" ca="1">IFERROR(IF(AE591&lt;&gt;"ja",_xlfn.IFNA(_xlfn.IFS(AND(P591&lt;&gt;"",R591&lt;&gt;"",RIGHT($N591,6)="tarief",F591="Vergoeding"),SUM(P591)*FLOOR(SUM(R591),0.0001),AND(P591&lt;&gt;"",R591&lt;&gt;"",RIGHT($N591,6)="tarief"),P591*FLOOR(R591,0.01),T591&gt;0,FLOOR(SUM(T591),0.01)),""),""),"")</f>
        <v/>
      </c>
      <c r="Y591" s="314" t="str">
        <f t="shared" ca="1" si="38"/>
        <v/>
      </c>
      <c r="Z591" s="314" t="str" cm="1">
        <f t="array" aca="1" ref="Z591" ca="1">IFERROR(_xlfn.IFS(OR(F591="",LEFT(Methode_Keuze,4)="Geen",Methode_Keuze=""),"",AND(W591&lt;&gt;"",F591&lt;&gt;"Arbeidskosten"),W591*VLOOKUP(F591,Tb_ProjectKosten[],MATCH(Tb_ProjectKosten[[#Headers],[Forfait_Percentage]],Tb_ProjectKosten[#Headers],0),0),AND(F591="Arbeidskosten",G591&lt;&gt;""),IFERROR(W591*VLOOKUP(G591,Tb_KostenTypen[],3,0)*VLOOKUP(F591,Tb_ProjectKosten[],MATCH(Tb_ProjectKosten[[#Headers],[Forfait_Percentage]],Tb_ProjectKosten[#Headers],0),0),""),W591 &lt;=0,0),"")</f>
        <v/>
      </c>
      <c r="AA591" s="314" t="str" cm="1">
        <f t="array" aca="1" ref="AA591" ca="1">IFERROR(_xlfn.IFS(OR(F591="",LEFT(Methode_Keuze,4)="Geen",Methode_Keuze=""),"",AND(X591&lt;&gt;"",F591&lt;&gt;"Arbeidskosten"),X591*VLOOKUP(F591,Tb_ProjectKosten[],MATCH(Tb_ProjectKosten[[#Headers],[Forfait_Percentage]],Tb_ProjectKosten[#Headers],0),0),AND(F591="Arbeidskosten",G591&lt;&gt;""),IFERROR(X591*VLOOKUP(G591,Tb_KostenTypen[],3,0)*VLOOKUP(F591,Tb_ProjectKosten[],MATCH(Tb_ProjectKosten[[#Headers],[Forfait_Percentage]],Tb_ProjectKosten[#Headers],0),0),""),X591 &lt;=0,0),"")</f>
        <v/>
      </c>
      <c r="AB591" s="314" t="str">
        <f t="shared" ca="1" si="39"/>
        <v/>
      </c>
      <c r="AC591" s="322"/>
      <c r="AD591" s="315"/>
      <c r="AE591" s="32" t="str" cm="1">
        <f t="array" ref="AE591">IFERROR(IF(INDEX(SubsidieTabel!$AD$1:$AG$12,MATCH($F591,SubsidieTabel!$AD$1:$AD$12,0),IFERROR(MATCH(Methode_Keuze,SubsidieTabel!$AD$1:$AG$1,0),2))&lt;&gt;1=TRUE,"ja",""),"")</f>
        <v/>
      </c>
    </row>
    <row r="592" spans="1:31" x14ac:dyDescent="0.25">
      <c r="A592" s="316"/>
      <c r="B592" s="317" t="str">
        <f>IF(A592&lt;&gt;"",_xlfn.MAXIFS($B$1:B591,$A$1:A591,A592)+1,"")</f>
        <v/>
      </c>
      <c r="C592" s="296"/>
      <c r="D592" s="296"/>
      <c r="E592" s="296"/>
      <c r="F592" s="296"/>
      <c r="G592" s="326"/>
      <c r="H592" s="324"/>
      <c r="I592" s="325"/>
      <c r="J592" s="325"/>
      <c r="K592" s="318"/>
      <c r="L592" s="318"/>
      <c r="M592" s="319" t="str">
        <f>IFERROR(VLOOKUP(H592,Lijsten!$H$1:$I$100,2,0),"")</f>
        <v/>
      </c>
      <c r="N592" s="319" t="str">
        <f ca="1">IFERROR(IF(VLOOKUP(F592,Kostentypen!$A$3:$E$21,3,0)=0,"",IF(OR(F592="Arbeidskosten",F592="Vergoeding"),VLOOKUP(G592,Tb_KostenTypen[],2,0),VLOOKUP(F592,Kostentypen!$A$3:$E$20,3,0))),"")</f>
        <v/>
      </c>
      <c r="O592" s="320" t="str" cm="1">
        <f t="array" ref="O592">_xlfn.IFNA(IF(INDEX(Tb_KostenOptiesDB[],MATCH($F592,Tb_KostenOptiesDB[KostenOptie],0),IFERROR(MATCH(Methode_Keuze,Tb_KostenOptiesDB[#Headers],0),2))=1,_xlfn.SWITCH($N592,"Uurtarief",IF(OR(AND(RIGHT($F592,3)="IKS",VLOOKUP($M592,DB_Loonkosten,2,0)="Ja"),AND(RIGHT($F592,3)&lt;&gt;"IKS",VLOOKUP($M592,DB_Loonkosten,2,0)="Nee")),IFERROR(VLOOKUP($M592,DB_Loonkosten,24,0),""),0),"Vast tarief",IF(LEFT(F592,8)="Bijdrage",VLOOKUP($F592,Tb_KostenTypen[],MATCH(Lijsten!$P$1,Tb_KostenTypen[#Headers],0),0),VLOOKUP($G592,Lijsten!L:P,MATCH(Lijsten!$P$1,Kop_Tarief_Vast,0),0))),""),"")</f>
        <v/>
      </c>
      <c r="P592" s="320" t="str" cm="1">
        <f t="array" ref="P592">_xlfn.IFNA(IF(INDEX(Tb_KostenOptiesDB[],MATCH($F592,Tb_KostenOptiesDB[KostenOptie],0),IFERROR(MATCH(Methode_Keuze,Tb_KostenOptiesDB[#Headers],0),2))=1,_xlfn.SWITCH($N592,"Uurtarief",IF(OR(AND(RIGHT($F592,3)="IKS",VLOOKUP($M592,DB_Loonkosten,2,0)="Ja"),AND(RIGHT($F592,3)&lt;&gt;"IKS",VLOOKUP($M592,DB_Loonkosten,2,0)="Nee")),IFERROR(VLOOKUP($M592,DB_Loonkosten,25,0),""),0),"Vast tarief",IF(LEFT(F592,8)="Bijdrage",VLOOKUP($F592,Tb_KostenTypen[],MATCH(Lijsten!$P$1,Tb_KostenTypen[#Headers],0),0),VLOOKUP($G592,Lijsten!L:P,MATCH(Lijsten!$P$1,Kop_Tarief_Vast,0),0))),""),"")</f>
        <v/>
      </c>
      <c r="Q592" s="359"/>
      <c r="R592" s="359"/>
      <c r="S592" s="321"/>
      <c r="T592" s="321"/>
      <c r="U592" s="373" t="str">
        <f t="shared" si="36"/>
        <v/>
      </c>
      <c r="V592" s="314" t="str">
        <f t="shared" si="37"/>
        <v/>
      </c>
      <c r="W592" s="314" t="str" cm="1">
        <f t="array" aca="1" ref="W592" ca="1">IFERROR(IF(AE592&lt;&gt;"ja",_xlfn.IFNA(_xlfn.IFS(AND(O592&lt;&gt;"",F592&lt;&gt;"",RIGHT($N592,6)="tarief",F592="Vergoeding"),SUM(O592)*FLOOR(SUM(Q592),0.0001),AND(O592&lt;&gt;"",F592&lt;&gt;"",RIGHT($N592,6)="tarief"),SUM(O592)*FLOOR(SUM(Q592),0.01),S592&gt;0,IF(F592&lt;&gt;"",FLOOR(SUM(S592),0.01),"")),""),""),"")</f>
        <v/>
      </c>
      <c r="X592" s="314" t="str" cm="1">
        <f t="array" aca="1" ref="X592" ca="1">IFERROR(IF(AE592&lt;&gt;"ja",_xlfn.IFNA(_xlfn.IFS(AND(P592&lt;&gt;"",R592&lt;&gt;"",RIGHT($N592,6)="tarief",F592="Vergoeding"),SUM(P592)*FLOOR(SUM(R592),0.0001),AND(P592&lt;&gt;"",R592&lt;&gt;"",RIGHT($N592,6)="tarief"),P592*FLOOR(R592,0.01),T592&gt;0,FLOOR(SUM(T592),0.01)),""),""),"")</f>
        <v/>
      </c>
      <c r="Y592" s="314" t="str">
        <f t="shared" ca="1" si="38"/>
        <v/>
      </c>
      <c r="Z592" s="314" t="str" cm="1">
        <f t="array" aca="1" ref="Z592" ca="1">IFERROR(_xlfn.IFS(OR(F592="",LEFT(Methode_Keuze,4)="Geen",Methode_Keuze=""),"",AND(W592&lt;&gt;"",F592&lt;&gt;"Arbeidskosten"),W592*VLOOKUP(F592,Tb_ProjectKosten[],MATCH(Tb_ProjectKosten[[#Headers],[Forfait_Percentage]],Tb_ProjectKosten[#Headers],0),0),AND(F592="Arbeidskosten",G592&lt;&gt;""),IFERROR(W592*VLOOKUP(G592,Tb_KostenTypen[],3,0)*VLOOKUP(F592,Tb_ProjectKosten[],MATCH(Tb_ProjectKosten[[#Headers],[Forfait_Percentage]],Tb_ProjectKosten[#Headers],0),0),""),W592 &lt;=0,0),"")</f>
        <v/>
      </c>
      <c r="AA592" s="314" t="str" cm="1">
        <f t="array" aca="1" ref="AA592" ca="1">IFERROR(_xlfn.IFS(OR(F592="",LEFT(Methode_Keuze,4)="Geen",Methode_Keuze=""),"",AND(X592&lt;&gt;"",F592&lt;&gt;"Arbeidskosten"),X592*VLOOKUP(F592,Tb_ProjectKosten[],MATCH(Tb_ProjectKosten[[#Headers],[Forfait_Percentage]],Tb_ProjectKosten[#Headers],0),0),AND(F592="Arbeidskosten",G592&lt;&gt;""),IFERROR(X592*VLOOKUP(G592,Tb_KostenTypen[],3,0)*VLOOKUP(F592,Tb_ProjectKosten[],MATCH(Tb_ProjectKosten[[#Headers],[Forfait_Percentage]],Tb_ProjectKosten[#Headers],0),0),""),X592 &lt;=0,0),"")</f>
        <v/>
      </c>
      <c r="AB592" s="314" t="str">
        <f t="shared" ca="1" si="39"/>
        <v/>
      </c>
      <c r="AC592" s="322"/>
      <c r="AD592" s="315"/>
      <c r="AE592" s="32" t="str" cm="1">
        <f t="array" ref="AE592">IFERROR(IF(INDEX(SubsidieTabel!$AD$1:$AG$12,MATCH($F592,SubsidieTabel!$AD$1:$AD$12,0),IFERROR(MATCH(Methode_Keuze,SubsidieTabel!$AD$1:$AG$1,0),2))&lt;&gt;1=TRUE,"ja",""),"")</f>
        <v/>
      </c>
    </row>
    <row r="593" spans="1:31" x14ac:dyDescent="0.25">
      <c r="A593" s="316"/>
      <c r="B593" s="317" t="str">
        <f>IF(A593&lt;&gt;"",_xlfn.MAXIFS($B$1:B592,$A$1:A592,A593)+1,"")</f>
        <v/>
      </c>
      <c r="C593" s="296"/>
      <c r="D593" s="296"/>
      <c r="E593" s="296"/>
      <c r="F593" s="296"/>
      <c r="G593" s="326"/>
      <c r="H593" s="324"/>
      <c r="I593" s="325"/>
      <c r="J593" s="325"/>
      <c r="K593" s="318"/>
      <c r="L593" s="318"/>
      <c r="M593" s="319" t="str">
        <f>IFERROR(VLOOKUP(H593,Lijsten!$H$1:$I$100,2,0),"")</f>
        <v/>
      </c>
      <c r="N593" s="319" t="str">
        <f ca="1">IFERROR(IF(VLOOKUP(F593,Kostentypen!$A$3:$E$21,3,0)=0,"",IF(OR(F593="Arbeidskosten",F593="Vergoeding"),VLOOKUP(G593,Tb_KostenTypen[],2,0),VLOOKUP(F593,Kostentypen!$A$3:$E$20,3,0))),"")</f>
        <v/>
      </c>
      <c r="O593" s="320" t="str" cm="1">
        <f t="array" ref="O593">_xlfn.IFNA(IF(INDEX(Tb_KostenOptiesDB[],MATCH($F593,Tb_KostenOptiesDB[KostenOptie],0),IFERROR(MATCH(Methode_Keuze,Tb_KostenOptiesDB[#Headers],0),2))=1,_xlfn.SWITCH($N593,"Uurtarief",IF(OR(AND(RIGHT($F593,3)="IKS",VLOOKUP($M593,DB_Loonkosten,2,0)="Ja"),AND(RIGHT($F593,3)&lt;&gt;"IKS",VLOOKUP($M593,DB_Loonkosten,2,0)="Nee")),IFERROR(VLOOKUP($M593,DB_Loonkosten,24,0),""),0),"Vast tarief",IF(LEFT(F593,8)="Bijdrage",VLOOKUP($F593,Tb_KostenTypen[],MATCH(Lijsten!$P$1,Tb_KostenTypen[#Headers],0),0),VLOOKUP($G593,Lijsten!L:P,MATCH(Lijsten!$P$1,Kop_Tarief_Vast,0),0))),""),"")</f>
        <v/>
      </c>
      <c r="P593" s="320" t="str" cm="1">
        <f t="array" ref="P593">_xlfn.IFNA(IF(INDEX(Tb_KostenOptiesDB[],MATCH($F593,Tb_KostenOptiesDB[KostenOptie],0),IFERROR(MATCH(Methode_Keuze,Tb_KostenOptiesDB[#Headers],0),2))=1,_xlfn.SWITCH($N593,"Uurtarief",IF(OR(AND(RIGHT($F593,3)="IKS",VLOOKUP($M593,DB_Loonkosten,2,0)="Ja"),AND(RIGHT($F593,3)&lt;&gt;"IKS",VLOOKUP($M593,DB_Loonkosten,2,0)="Nee")),IFERROR(VLOOKUP($M593,DB_Loonkosten,25,0),""),0),"Vast tarief",IF(LEFT(F593,8)="Bijdrage",VLOOKUP($F593,Tb_KostenTypen[],MATCH(Lijsten!$P$1,Tb_KostenTypen[#Headers],0),0),VLOOKUP($G593,Lijsten!L:P,MATCH(Lijsten!$P$1,Kop_Tarief_Vast,0),0))),""),"")</f>
        <v/>
      </c>
      <c r="Q593" s="359"/>
      <c r="R593" s="359"/>
      <c r="S593" s="321"/>
      <c r="T593" s="321"/>
      <c r="U593" s="373" t="str">
        <f t="shared" si="36"/>
        <v/>
      </c>
      <c r="V593" s="314" t="str">
        <f t="shared" si="37"/>
        <v/>
      </c>
      <c r="W593" s="314" t="str" cm="1">
        <f t="array" aca="1" ref="W593" ca="1">IFERROR(IF(AE593&lt;&gt;"ja",_xlfn.IFNA(_xlfn.IFS(AND(O593&lt;&gt;"",F593&lt;&gt;"",RIGHT($N593,6)="tarief",F593="Vergoeding"),SUM(O593)*FLOOR(SUM(Q593),0.0001),AND(O593&lt;&gt;"",F593&lt;&gt;"",RIGHT($N593,6)="tarief"),SUM(O593)*FLOOR(SUM(Q593),0.01),S593&gt;0,IF(F593&lt;&gt;"",FLOOR(SUM(S593),0.01),"")),""),""),"")</f>
        <v/>
      </c>
      <c r="X593" s="314" t="str" cm="1">
        <f t="array" aca="1" ref="X593" ca="1">IFERROR(IF(AE593&lt;&gt;"ja",_xlfn.IFNA(_xlfn.IFS(AND(P593&lt;&gt;"",R593&lt;&gt;"",RIGHT($N593,6)="tarief",F593="Vergoeding"),SUM(P593)*FLOOR(SUM(R593),0.0001),AND(P593&lt;&gt;"",R593&lt;&gt;"",RIGHT($N593,6)="tarief"),P593*FLOOR(R593,0.01),T593&gt;0,FLOOR(SUM(T593),0.01)),""),""),"")</f>
        <v/>
      </c>
      <c r="Y593" s="314" t="str">
        <f t="shared" ca="1" si="38"/>
        <v/>
      </c>
      <c r="Z593" s="314" t="str" cm="1">
        <f t="array" aca="1" ref="Z593" ca="1">IFERROR(_xlfn.IFS(OR(F593="",LEFT(Methode_Keuze,4)="Geen",Methode_Keuze=""),"",AND(W593&lt;&gt;"",F593&lt;&gt;"Arbeidskosten"),W593*VLOOKUP(F593,Tb_ProjectKosten[],MATCH(Tb_ProjectKosten[[#Headers],[Forfait_Percentage]],Tb_ProjectKosten[#Headers],0),0),AND(F593="Arbeidskosten",G593&lt;&gt;""),IFERROR(W593*VLOOKUP(G593,Tb_KostenTypen[],3,0)*VLOOKUP(F593,Tb_ProjectKosten[],MATCH(Tb_ProjectKosten[[#Headers],[Forfait_Percentage]],Tb_ProjectKosten[#Headers],0),0),""),W593 &lt;=0,0),"")</f>
        <v/>
      </c>
      <c r="AA593" s="314" t="str" cm="1">
        <f t="array" aca="1" ref="AA593" ca="1">IFERROR(_xlfn.IFS(OR(F593="",LEFT(Methode_Keuze,4)="Geen",Methode_Keuze=""),"",AND(X593&lt;&gt;"",F593&lt;&gt;"Arbeidskosten"),X593*VLOOKUP(F593,Tb_ProjectKosten[],MATCH(Tb_ProjectKosten[[#Headers],[Forfait_Percentage]],Tb_ProjectKosten[#Headers],0),0),AND(F593="Arbeidskosten",G593&lt;&gt;""),IFERROR(X593*VLOOKUP(G593,Tb_KostenTypen[],3,0)*VLOOKUP(F593,Tb_ProjectKosten[],MATCH(Tb_ProjectKosten[[#Headers],[Forfait_Percentage]],Tb_ProjectKosten[#Headers],0),0),""),X593 &lt;=0,0),"")</f>
        <v/>
      </c>
      <c r="AB593" s="314" t="str">
        <f t="shared" ca="1" si="39"/>
        <v/>
      </c>
      <c r="AC593" s="322"/>
      <c r="AD593" s="315"/>
      <c r="AE593" s="32" t="str" cm="1">
        <f t="array" ref="AE593">IFERROR(IF(INDEX(SubsidieTabel!$AD$1:$AG$12,MATCH($F593,SubsidieTabel!$AD$1:$AD$12,0),IFERROR(MATCH(Methode_Keuze,SubsidieTabel!$AD$1:$AG$1,0),2))&lt;&gt;1=TRUE,"ja",""),"")</f>
        <v/>
      </c>
    </row>
    <row r="594" spans="1:31" x14ac:dyDescent="0.25">
      <c r="A594" s="316"/>
      <c r="B594" s="317" t="str">
        <f>IF(A594&lt;&gt;"",_xlfn.MAXIFS($B$1:B593,$A$1:A593,A594)+1,"")</f>
        <v/>
      </c>
      <c r="C594" s="296"/>
      <c r="D594" s="296"/>
      <c r="E594" s="296"/>
      <c r="F594" s="296"/>
      <c r="G594" s="326"/>
      <c r="H594" s="324"/>
      <c r="I594" s="325"/>
      <c r="J594" s="325"/>
      <c r="K594" s="318"/>
      <c r="L594" s="318"/>
      <c r="M594" s="319" t="str">
        <f>IFERROR(VLOOKUP(H594,Lijsten!$H$1:$I$100,2,0),"")</f>
        <v/>
      </c>
      <c r="N594" s="319" t="str">
        <f ca="1">IFERROR(IF(VLOOKUP(F594,Kostentypen!$A$3:$E$21,3,0)=0,"",IF(OR(F594="Arbeidskosten",F594="Vergoeding"),VLOOKUP(G594,Tb_KostenTypen[],2,0),VLOOKUP(F594,Kostentypen!$A$3:$E$20,3,0))),"")</f>
        <v/>
      </c>
      <c r="O594" s="320" t="str" cm="1">
        <f t="array" ref="O594">_xlfn.IFNA(IF(INDEX(Tb_KostenOptiesDB[],MATCH($F594,Tb_KostenOptiesDB[KostenOptie],0),IFERROR(MATCH(Methode_Keuze,Tb_KostenOptiesDB[#Headers],0),2))=1,_xlfn.SWITCH($N594,"Uurtarief",IF(OR(AND(RIGHT($F594,3)="IKS",VLOOKUP($M594,DB_Loonkosten,2,0)="Ja"),AND(RIGHT($F594,3)&lt;&gt;"IKS",VLOOKUP($M594,DB_Loonkosten,2,0)="Nee")),IFERROR(VLOOKUP($M594,DB_Loonkosten,24,0),""),0),"Vast tarief",IF(LEFT(F594,8)="Bijdrage",VLOOKUP($F594,Tb_KostenTypen[],MATCH(Lijsten!$P$1,Tb_KostenTypen[#Headers],0),0),VLOOKUP($G594,Lijsten!L:P,MATCH(Lijsten!$P$1,Kop_Tarief_Vast,0),0))),""),"")</f>
        <v/>
      </c>
      <c r="P594" s="320" t="str" cm="1">
        <f t="array" ref="P594">_xlfn.IFNA(IF(INDEX(Tb_KostenOptiesDB[],MATCH($F594,Tb_KostenOptiesDB[KostenOptie],0),IFERROR(MATCH(Methode_Keuze,Tb_KostenOptiesDB[#Headers],0),2))=1,_xlfn.SWITCH($N594,"Uurtarief",IF(OR(AND(RIGHT($F594,3)="IKS",VLOOKUP($M594,DB_Loonkosten,2,0)="Ja"),AND(RIGHT($F594,3)&lt;&gt;"IKS",VLOOKUP($M594,DB_Loonkosten,2,0)="Nee")),IFERROR(VLOOKUP($M594,DB_Loonkosten,25,0),""),0),"Vast tarief",IF(LEFT(F594,8)="Bijdrage",VLOOKUP($F594,Tb_KostenTypen[],MATCH(Lijsten!$P$1,Tb_KostenTypen[#Headers],0),0),VLOOKUP($G594,Lijsten!L:P,MATCH(Lijsten!$P$1,Kop_Tarief_Vast,0),0))),""),"")</f>
        <v/>
      </c>
      <c r="Q594" s="359"/>
      <c r="R594" s="359"/>
      <c r="S594" s="321"/>
      <c r="T594" s="321"/>
      <c r="U594" s="373" t="str">
        <f t="shared" si="36"/>
        <v/>
      </c>
      <c r="V594" s="314" t="str">
        <f t="shared" si="37"/>
        <v/>
      </c>
      <c r="W594" s="314" t="str" cm="1">
        <f t="array" aca="1" ref="W594" ca="1">IFERROR(IF(AE594&lt;&gt;"ja",_xlfn.IFNA(_xlfn.IFS(AND(O594&lt;&gt;"",F594&lt;&gt;"",RIGHT($N594,6)="tarief",F594="Vergoeding"),SUM(O594)*FLOOR(SUM(Q594),0.0001),AND(O594&lt;&gt;"",F594&lt;&gt;"",RIGHT($N594,6)="tarief"),SUM(O594)*FLOOR(SUM(Q594),0.01),S594&gt;0,IF(F594&lt;&gt;"",FLOOR(SUM(S594),0.01),"")),""),""),"")</f>
        <v/>
      </c>
      <c r="X594" s="314" t="str" cm="1">
        <f t="array" aca="1" ref="X594" ca="1">IFERROR(IF(AE594&lt;&gt;"ja",_xlfn.IFNA(_xlfn.IFS(AND(P594&lt;&gt;"",R594&lt;&gt;"",RIGHT($N594,6)="tarief",F594="Vergoeding"),SUM(P594)*FLOOR(SUM(R594),0.0001),AND(P594&lt;&gt;"",R594&lt;&gt;"",RIGHT($N594,6)="tarief"),P594*FLOOR(R594,0.01),T594&gt;0,FLOOR(SUM(T594),0.01)),""),""),"")</f>
        <v/>
      </c>
      <c r="Y594" s="314" t="str">
        <f t="shared" ca="1" si="38"/>
        <v/>
      </c>
      <c r="Z594" s="314" t="str" cm="1">
        <f t="array" aca="1" ref="Z594" ca="1">IFERROR(_xlfn.IFS(OR(F594="",LEFT(Methode_Keuze,4)="Geen",Methode_Keuze=""),"",AND(W594&lt;&gt;"",F594&lt;&gt;"Arbeidskosten"),W594*VLOOKUP(F594,Tb_ProjectKosten[],MATCH(Tb_ProjectKosten[[#Headers],[Forfait_Percentage]],Tb_ProjectKosten[#Headers],0),0),AND(F594="Arbeidskosten",G594&lt;&gt;""),IFERROR(W594*VLOOKUP(G594,Tb_KostenTypen[],3,0)*VLOOKUP(F594,Tb_ProjectKosten[],MATCH(Tb_ProjectKosten[[#Headers],[Forfait_Percentage]],Tb_ProjectKosten[#Headers],0),0),""),W594 &lt;=0,0),"")</f>
        <v/>
      </c>
      <c r="AA594" s="314" t="str" cm="1">
        <f t="array" aca="1" ref="AA594" ca="1">IFERROR(_xlfn.IFS(OR(F594="",LEFT(Methode_Keuze,4)="Geen",Methode_Keuze=""),"",AND(X594&lt;&gt;"",F594&lt;&gt;"Arbeidskosten"),X594*VLOOKUP(F594,Tb_ProjectKosten[],MATCH(Tb_ProjectKosten[[#Headers],[Forfait_Percentage]],Tb_ProjectKosten[#Headers],0),0),AND(F594="Arbeidskosten",G594&lt;&gt;""),IFERROR(X594*VLOOKUP(G594,Tb_KostenTypen[],3,0)*VLOOKUP(F594,Tb_ProjectKosten[],MATCH(Tb_ProjectKosten[[#Headers],[Forfait_Percentage]],Tb_ProjectKosten[#Headers],0),0),""),X594 &lt;=0,0),"")</f>
        <v/>
      </c>
      <c r="AB594" s="314" t="str">
        <f t="shared" ca="1" si="39"/>
        <v/>
      </c>
      <c r="AC594" s="322"/>
      <c r="AD594" s="315"/>
      <c r="AE594" s="32" t="str" cm="1">
        <f t="array" ref="AE594">IFERROR(IF(INDEX(SubsidieTabel!$AD$1:$AG$12,MATCH($F594,SubsidieTabel!$AD$1:$AD$12,0),IFERROR(MATCH(Methode_Keuze,SubsidieTabel!$AD$1:$AG$1,0),2))&lt;&gt;1=TRUE,"ja",""),"")</f>
        <v/>
      </c>
    </row>
    <row r="595" spans="1:31" x14ac:dyDescent="0.25">
      <c r="A595" s="316"/>
      <c r="B595" s="317" t="str">
        <f>IF(A595&lt;&gt;"",_xlfn.MAXIFS($B$1:B594,$A$1:A594,A595)+1,"")</f>
        <v/>
      </c>
      <c r="C595" s="296"/>
      <c r="D595" s="296"/>
      <c r="E595" s="296"/>
      <c r="F595" s="296"/>
      <c r="G595" s="326"/>
      <c r="H595" s="324"/>
      <c r="I595" s="325"/>
      <c r="J595" s="325"/>
      <c r="K595" s="318"/>
      <c r="L595" s="318"/>
      <c r="M595" s="319" t="str">
        <f>IFERROR(VLOOKUP(H595,Lijsten!$H$1:$I$100,2,0),"")</f>
        <v/>
      </c>
      <c r="N595" s="319" t="str">
        <f ca="1">IFERROR(IF(VLOOKUP(F595,Kostentypen!$A$3:$E$21,3,0)=0,"",IF(OR(F595="Arbeidskosten",F595="Vergoeding"),VLOOKUP(G595,Tb_KostenTypen[],2,0),VLOOKUP(F595,Kostentypen!$A$3:$E$20,3,0))),"")</f>
        <v/>
      </c>
      <c r="O595" s="320" t="str" cm="1">
        <f t="array" ref="O595">_xlfn.IFNA(IF(INDEX(Tb_KostenOptiesDB[],MATCH($F595,Tb_KostenOptiesDB[KostenOptie],0),IFERROR(MATCH(Methode_Keuze,Tb_KostenOptiesDB[#Headers],0),2))=1,_xlfn.SWITCH($N595,"Uurtarief",IF(OR(AND(RIGHT($F595,3)="IKS",VLOOKUP($M595,DB_Loonkosten,2,0)="Ja"),AND(RIGHT($F595,3)&lt;&gt;"IKS",VLOOKUP($M595,DB_Loonkosten,2,0)="Nee")),IFERROR(VLOOKUP($M595,DB_Loonkosten,24,0),""),0),"Vast tarief",IF(LEFT(F595,8)="Bijdrage",VLOOKUP($F595,Tb_KostenTypen[],MATCH(Lijsten!$P$1,Tb_KostenTypen[#Headers],0),0),VLOOKUP($G595,Lijsten!L:P,MATCH(Lijsten!$P$1,Kop_Tarief_Vast,0),0))),""),"")</f>
        <v/>
      </c>
      <c r="P595" s="320" t="str" cm="1">
        <f t="array" ref="P595">_xlfn.IFNA(IF(INDEX(Tb_KostenOptiesDB[],MATCH($F595,Tb_KostenOptiesDB[KostenOptie],0),IFERROR(MATCH(Methode_Keuze,Tb_KostenOptiesDB[#Headers],0),2))=1,_xlfn.SWITCH($N595,"Uurtarief",IF(OR(AND(RIGHT($F595,3)="IKS",VLOOKUP($M595,DB_Loonkosten,2,0)="Ja"),AND(RIGHT($F595,3)&lt;&gt;"IKS",VLOOKUP($M595,DB_Loonkosten,2,0)="Nee")),IFERROR(VLOOKUP($M595,DB_Loonkosten,25,0),""),0),"Vast tarief",IF(LEFT(F595,8)="Bijdrage",VLOOKUP($F595,Tb_KostenTypen[],MATCH(Lijsten!$P$1,Tb_KostenTypen[#Headers],0),0),VLOOKUP($G595,Lijsten!L:P,MATCH(Lijsten!$P$1,Kop_Tarief_Vast,0),0))),""),"")</f>
        <v/>
      </c>
      <c r="Q595" s="359"/>
      <c r="R595" s="359"/>
      <c r="S595" s="321"/>
      <c r="T595" s="321"/>
      <c r="U595" s="373" t="str">
        <f t="shared" si="36"/>
        <v/>
      </c>
      <c r="V595" s="314" t="str">
        <f t="shared" si="37"/>
        <v/>
      </c>
      <c r="W595" s="314" t="str" cm="1">
        <f t="array" aca="1" ref="W595" ca="1">IFERROR(IF(AE595&lt;&gt;"ja",_xlfn.IFNA(_xlfn.IFS(AND(O595&lt;&gt;"",F595&lt;&gt;"",RIGHT($N595,6)="tarief",F595="Vergoeding"),SUM(O595)*FLOOR(SUM(Q595),0.0001),AND(O595&lt;&gt;"",F595&lt;&gt;"",RIGHT($N595,6)="tarief"),SUM(O595)*FLOOR(SUM(Q595),0.01),S595&gt;0,IF(F595&lt;&gt;"",FLOOR(SUM(S595),0.01),"")),""),""),"")</f>
        <v/>
      </c>
      <c r="X595" s="314" t="str" cm="1">
        <f t="array" aca="1" ref="X595" ca="1">IFERROR(IF(AE595&lt;&gt;"ja",_xlfn.IFNA(_xlfn.IFS(AND(P595&lt;&gt;"",R595&lt;&gt;"",RIGHT($N595,6)="tarief",F595="Vergoeding"),SUM(P595)*FLOOR(SUM(R595),0.0001),AND(P595&lt;&gt;"",R595&lt;&gt;"",RIGHT($N595,6)="tarief"),P595*FLOOR(R595,0.01),T595&gt;0,FLOOR(SUM(T595),0.01)),""),""),"")</f>
        <v/>
      </c>
      <c r="Y595" s="314" t="str">
        <f t="shared" ca="1" si="38"/>
        <v/>
      </c>
      <c r="Z595" s="314" t="str" cm="1">
        <f t="array" aca="1" ref="Z595" ca="1">IFERROR(_xlfn.IFS(OR(F595="",LEFT(Methode_Keuze,4)="Geen",Methode_Keuze=""),"",AND(W595&lt;&gt;"",F595&lt;&gt;"Arbeidskosten"),W595*VLOOKUP(F595,Tb_ProjectKosten[],MATCH(Tb_ProjectKosten[[#Headers],[Forfait_Percentage]],Tb_ProjectKosten[#Headers],0),0),AND(F595="Arbeidskosten",G595&lt;&gt;""),IFERROR(W595*VLOOKUP(G595,Tb_KostenTypen[],3,0)*VLOOKUP(F595,Tb_ProjectKosten[],MATCH(Tb_ProjectKosten[[#Headers],[Forfait_Percentage]],Tb_ProjectKosten[#Headers],0),0),""),W595 &lt;=0,0),"")</f>
        <v/>
      </c>
      <c r="AA595" s="314" t="str" cm="1">
        <f t="array" aca="1" ref="AA595" ca="1">IFERROR(_xlfn.IFS(OR(F595="",LEFT(Methode_Keuze,4)="Geen",Methode_Keuze=""),"",AND(X595&lt;&gt;"",F595&lt;&gt;"Arbeidskosten"),X595*VLOOKUP(F595,Tb_ProjectKosten[],MATCH(Tb_ProjectKosten[[#Headers],[Forfait_Percentage]],Tb_ProjectKosten[#Headers],0),0),AND(F595="Arbeidskosten",G595&lt;&gt;""),IFERROR(X595*VLOOKUP(G595,Tb_KostenTypen[],3,0)*VLOOKUP(F595,Tb_ProjectKosten[],MATCH(Tb_ProjectKosten[[#Headers],[Forfait_Percentage]],Tb_ProjectKosten[#Headers],0),0),""),X595 &lt;=0,0),"")</f>
        <v/>
      </c>
      <c r="AB595" s="314" t="str">
        <f t="shared" ca="1" si="39"/>
        <v/>
      </c>
      <c r="AC595" s="322"/>
      <c r="AD595" s="315"/>
      <c r="AE595" s="32" t="str" cm="1">
        <f t="array" ref="AE595">IFERROR(IF(INDEX(SubsidieTabel!$AD$1:$AG$12,MATCH($F595,SubsidieTabel!$AD$1:$AD$12,0),IFERROR(MATCH(Methode_Keuze,SubsidieTabel!$AD$1:$AG$1,0),2))&lt;&gt;1=TRUE,"ja",""),"")</f>
        <v/>
      </c>
    </row>
    <row r="596" spans="1:31" x14ac:dyDescent="0.25">
      <c r="A596" s="316"/>
      <c r="B596" s="317" t="str">
        <f>IF(A596&lt;&gt;"",_xlfn.MAXIFS($B$1:B595,$A$1:A595,A596)+1,"")</f>
        <v/>
      </c>
      <c r="C596" s="296"/>
      <c r="D596" s="296"/>
      <c r="E596" s="296"/>
      <c r="F596" s="296"/>
      <c r="G596" s="326"/>
      <c r="H596" s="324"/>
      <c r="I596" s="325"/>
      <c r="J596" s="325"/>
      <c r="K596" s="318"/>
      <c r="L596" s="318"/>
      <c r="M596" s="319" t="str">
        <f>IFERROR(VLOOKUP(H596,Lijsten!$H$1:$I$100,2,0),"")</f>
        <v/>
      </c>
      <c r="N596" s="319" t="str">
        <f ca="1">IFERROR(IF(VLOOKUP(F596,Kostentypen!$A$3:$E$21,3,0)=0,"",IF(OR(F596="Arbeidskosten",F596="Vergoeding"),VLOOKUP(G596,Tb_KostenTypen[],2,0),VLOOKUP(F596,Kostentypen!$A$3:$E$20,3,0))),"")</f>
        <v/>
      </c>
      <c r="O596" s="320" t="str" cm="1">
        <f t="array" ref="O596">_xlfn.IFNA(IF(INDEX(Tb_KostenOptiesDB[],MATCH($F596,Tb_KostenOptiesDB[KostenOptie],0),IFERROR(MATCH(Methode_Keuze,Tb_KostenOptiesDB[#Headers],0),2))=1,_xlfn.SWITCH($N596,"Uurtarief",IF(OR(AND(RIGHT($F596,3)="IKS",VLOOKUP($M596,DB_Loonkosten,2,0)="Ja"),AND(RIGHT($F596,3)&lt;&gt;"IKS",VLOOKUP($M596,DB_Loonkosten,2,0)="Nee")),IFERROR(VLOOKUP($M596,DB_Loonkosten,24,0),""),0),"Vast tarief",IF(LEFT(F596,8)="Bijdrage",VLOOKUP($F596,Tb_KostenTypen[],MATCH(Lijsten!$P$1,Tb_KostenTypen[#Headers],0),0),VLOOKUP($G596,Lijsten!L:P,MATCH(Lijsten!$P$1,Kop_Tarief_Vast,0),0))),""),"")</f>
        <v/>
      </c>
      <c r="P596" s="320" t="str" cm="1">
        <f t="array" ref="P596">_xlfn.IFNA(IF(INDEX(Tb_KostenOptiesDB[],MATCH($F596,Tb_KostenOptiesDB[KostenOptie],0),IFERROR(MATCH(Methode_Keuze,Tb_KostenOptiesDB[#Headers],0),2))=1,_xlfn.SWITCH($N596,"Uurtarief",IF(OR(AND(RIGHT($F596,3)="IKS",VLOOKUP($M596,DB_Loonkosten,2,0)="Ja"),AND(RIGHT($F596,3)&lt;&gt;"IKS",VLOOKUP($M596,DB_Loonkosten,2,0)="Nee")),IFERROR(VLOOKUP($M596,DB_Loonkosten,25,0),""),0),"Vast tarief",IF(LEFT(F596,8)="Bijdrage",VLOOKUP($F596,Tb_KostenTypen[],MATCH(Lijsten!$P$1,Tb_KostenTypen[#Headers],0),0),VLOOKUP($G596,Lijsten!L:P,MATCH(Lijsten!$P$1,Kop_Tarief_Vast,0),0))),""),"")</f>
        <v/>
      </c>
      <c r="Q596" s="359"/>
      <c r="R596" s="359"/>
      <c r="S596" s="321"/>
      <c r="T596" s="321"/>
      <c r="U596" s="373" t="str">
        <f t="shared" si="36"/>
        <v/>
      </c>
      <c r="V596" s="314" t="str">
        <f t="shared" si="37"/>
        <v/>
      </c>
      <c r="W596" s="314" t="str" cm="1">
        <f t="array" aca="1" ref="W596" ca="1">IFERROR(IF(AE596&lt;&gt;"ja",_xlfn.IFNA(_xlfn.IFS(AND(O596&lt;&gt;"",F596&lt;&gt;"",RIGHT($N596,6)="tarief",F596="Vergoeding"),SUM(O596)*FLOOR(SUM(Q596),0.0001),AND(O596&lt;&gt;"",F596&lt;&gt;"",RIGHT($N596,6)="tarief"),SUM(O596)*FLOOR(SUM(Q596),0.01),S596&gt;0,IF(F596&lt;&gt;"",FLOOR(SUM(S596),0.01),"")),""),""),"")</f>
        <v/>
      </c>
      <c r="X596" s="314" t="str" cm="1">
        <f t="array" aca="1" ref="X596" ca="1">IFERROR(IF(AE596&lt;&gt;"ja",_xlfn.IFNA(_xlfn.IFS(AND(P596&lt;&gt;"",R596&lt;&gt;"",RIGHT($N596,6)="tarief",F596="Vergoeding"),SUM(P596)*FLOOR(SUM(R596),0.0001),AND(P596&lt;&gt;"",R596&lt;&gt;"",RIGHT($N596,6)="tarief"),P596*FLOOR(R596,0.01),T596&gt;0,FLOOR(SUM(T596),0.01)),""),""),"")</f>
        <v/>
      </c>
      <c r="Y596" s="314" t="str">
        <f t="shared" ca="1" si="38"/>
        <v/>
      </c>
      <c r="Z596" s="314" t="str" cm="1">
        <f t="array" aca="1" ref="Z596" ca="1">IFERROR(_xlfn.IFS(OR(F596="",LEFT(Methode_Keuze,4)="Geen",Methode_Keuze=""),"",AND(W596&lt;&gt;"",F596&lt;&gt;"Arbeidskosten"),W596*VLOOKUP(F596,Tb_ProjectKosten[],MATCH(Tb_ProjectKosten[[#Headers],[Forfait_Percentage]],Tb_ProjectKosten[#Headers],0),0),AND(F596="Arbeidskosten",G596&lt;&gt;""),IFERROR(W596*VLOOKUP(G596,Tb_KostenTypen[],3,0)*VLOOKUP(F596,Tb_ProjectKosten[],MATCH(Tb_ProjectKosten[[#Headers],[Forfait_Percentage]],Tb_ProjectKosten[#Headers],0),0),""),W596 &lt;=0,0),"")</f>
        <v/>
      </c>
      <c r="AA596" s="314" t="str" cm="1">
        <f t="array" aca="1" ref="AA596" ca="1">IFERROR(_xlfn.IFS(OR(F596="",LEFT(Methode_Keuze,4)="Geen",Methode_Keuze=""),"",AND(X596&lt;&gt;"",F596&lt;&gt;"Arbeidskosten"),X596*VLOOKUP(F596,Tb_ProjectKosten[],MATCH(Tb_ProjectKosten[[#Headers],[Forfait_Percentage]],Tb_ProjectKosten[#Headers],0),0),AND(F596="Arbeidskosten",G596&lt;&gt;""),IFERROR(X596*VLOOKUP(G596,Tb_KostenTypen[],3,0)*VLOOKUP(F596,Tb_ProjectKosten[],MATCH(Tb_ProjectKosten[[#Headers],[Forfait_Percentage]],Tb_ProjectKosten[#Headers],0),0),""),X596 &lt;=0,0),"")</f>
        <v/>
      </c>
      <c r="AB596" s="314" t="str">
        <f t="shared" ca="1" si="39"/>
        <v/>
      </c>
      <c r="AC596" s="322"/>
      <c r="AD596" s="315"/>
      <c r="AE596" s="32" t="str" cm="1">
        <f t="array" ref="AE596">IFERROR(IF(INDEX(SubsidieTabel!$AD$1:$AG$12,MATCH($F596,SubsidieTabel!$AD$1:$AD$12,0),IFERROR(MATCH(Methode_Keuze,SubsidieTabel!$AD$1:$AG$1,0),2))&lt;&gt;1=TRUE,"ja",""),"")</f>
        <v/>
      </c>
    </row>
    <row r="597" spans="1:31" x14ac:dyDescent="0.25">
      <c r="A597" s="316"/>
      <c r="B597" s="317" t="str">
        <f>IF(A597&lt;&gt;"",_xlfn.MAXIFS($B$1:B596,$A$1:A596,A597)+1,"")</f>
        <v/>
      </c>
      <c r="C597" s="296"/>
      <c r="D597" s="296"/>
      <c r="E597" s="296"/>
      <c r="F597" s="296"/>
      <c r="G597" s="326"/>
      <c r="H597" s="324"/>
      <c r="I597" s="325"/>
      <c r="J597" s="325"/>
      <c r="K597" s="318"/>
      <c r="L597" s="318"/>
      <c r="M597" s="319" t="str">
        <f>IFERROR(VLOOKUP(H597,Lijsten!$H$1:$I$100,2,0),"")</f>
        <v/>
      </c>
      <c r="N597" s="319" t="str">
        <f ca="1">IFERROR(IF(VLOOKUP(F597,Kostentypen!$A$3:$E$21,3,0)=0,"",IF(OR(F597="Arbeidskosten",F597="Vergoeding"),VLOOKUP(G597,Tb_KostenTypen[],2,0),VLOOKUP(F597,Kostentypen!$A$3:$E$20,3,0))),"")</f>
        <v/>
      </c>
      <c r="O597" s="320" t="str" cm="1">
        <f t="array" ref="O597">_xlfn.IFNA(IF(INDEX(Tb_KostenOptiesDB[],MATCH($F597,Tb_KostenOptiesDB[KostenOptie],0),IFERROR(MATCH(Methode_Keuze,Tb_KostenOptiesDB[#Headers],0),2))=1,_xlfn.SWITCH($N597,"Uurtarief",IF(OR(AND(RIGHT($F597,3)="IKS",VLOOKUP($M597,DB_Loonkosten,2,0)="Ja"),AND(RIGHT($F597,3)&lt;&gt;"IKS",VLOOKUP($M597,DB_Loonkosten,2,0)="Nee")),IFERROR(VLOOKUP($M597,DB_Loonkosten,24,0),""),0),"Vast tarief",IF(LEFT(F597,8)="Bijdrage",VLOOKUP($F597,Tb_KostenTypen[],MATCH(Lijsten!$P$1,Tb_KostenTypen[#Headers],0),0),VLOOKUP($G597,Lijsten!L:P,MATCH(Lijsten!$P$1,Kop_Tarief_Vast,0),0))),""),"")</f>
        <v/>
      </c>
      <c r="P597" s="320" t="str" cm="1">
        <f t="array" ref="P597">_xlfn.IFNA(IF(INDEX(Tb_KostenOptiesDB[],MATCH($F597,Tb_KostenOptiesDB[KostenOptie],0),IFERROR(MATCH(Methode_Keuze,Tb_KostenOptiesDB[#Headers],0),2))=1,_xlfn.SWITCH($N597,"Uurtarief",IF(OR(AND(RIGHT($F597,3)="IKS",VLOOKUP($M597,DB_Loonkosten,2,0)="Ja"),AND(RIGHT($F597,3)&lt;&gt;"IKS",VLOOKUP($M597,DB_Loonkosten,2,0)="Nee")),IFERROR(VLOOKUP($M597,DB_Loonkosten,25,0),""),0),"Vast tarief",IF(LEFT(F597,8)="Bijdrage",VLOOKUP($F597,Tb_KostenTypen[],MATCH(Lijsten!$P$1,Tb_KostenTypen[#Headers],0),0),VLOOKUP($G597,Lijsten!L:P,MATCH(Lijsten!$P$1,Kop_Tarief_Vast,0),0))),""),"")</f>
        <v/>
      </c>
      <c r="Q597" s="359"/>
      <c r="R597" s="359"/>
      <c r="S597" s="321"/>
      <c r="T597" s="321"/>
      <c r="U597" s="373" t="str">
        <f t="shared" si="36"/>
        <v/>
      </c>
      <c r="V597" s="314" t="str">
        <f t="shared" si="37"/>
        <v/>
      </c>
      <c r="W597" s="314" t="str" cm="1">
        <f t="array" aca="1" ref="W597" ca="1">IFERROR(IF(AE597&lt;&gt;"ja",_xlfn.IFNA(_xlfn.IFS(AND(O597&lt;&gt;"",F597&lt;&gt;"",RIGHT($N597,6)="tarief",F597="Vergoeding"),SUM(O597)*FLOOR(SUM(Q597),0.0001),AND(O597&lt;&gt;"",F597&lt;&gt;"",RIGHT($N597,6)="tarief"),SUM(O597)*FLOOR(SUM(Q597),0.01),S597&gt;0,IF(F597&lt;&gt;"",FLOOR(SUM(S597),0.01),"")),""),""),"")</f>
        <v/>
      </c>
      <c r="X597" s="314" t="str" cm="1">
        <f t="array" aca="1" ref="X597" ca="1">IFERROR(IF(AE597&lt;&gt;"ja",_xlfn.IFNA(_xlfn.IFS(AND(P597&lt;&gt;"",R597&lt;&gt;"",RIGHT($N597,6)="tarief",F597="Vergoeding"),SUM(P597)*FLOOR(SUM(R597),0.0001),AND(P597&lt;&gt;"",R597&lt;&gt;"",RIGHT($N597,6)="tarief"),P597*FLOOR(R597,0.01),T597&gt;0,FLOOR(SUM(T597),0.01)),""),""),"")</f>
        <v/>
      </c>
      <c r="Y597" s="314" t="str">
        <f t="shared" ca="1" si="38"/>
        <v/>
      </c>
      <c r="Z597" s="314" t="str" cm="1">
        <f t="array" aca="1" ref="Z597" ca="1">IFERROR(_xlfn.IFS(OR(F597="",LEFT(Methode_Keuze,4)="Geen",Methode_Keuze=""),"",AND(W597&lt;&gt;"",F597&lt;&gt;"Arbeidskosten"),W597*VLOOKUP(F597,Tb_ProjectKosten[],MATCH(Tb_ProjectKosten[[#Headers],[Forfait_Percentage]],Tb_ProjectKosten[#Headers],0),0),AND(F597="Arbeidskosten",G597&lt;&gt;""),IFERROR(W597*VLOOKUP(G597,Tb_KostenTypen[],3,0)*VLOOKUP(F597,Tb_ProjectKosten[],MATCH(Tb_ProjectKosten[[#Headers],[Forfait_Percentage]],Tb_ProjectKosten[#Headers],0),0),""),W597 &lt;=0,0),"")</f>
        <v/>
      </c>
      <c r="AA597" s="314" t="str" cm="1">
        <f t="array" aca="1" ref="AA597" ca="1">IFERROR(_xlfn.IFS(OR(F597="",LEFT(Methode_Keuze,4)="Geen",Methode_Keuze=""),"",AND(X597&lt;&gt;"",F597&lt;&gt;"Arbeidskosten"),X597*VLOOKUP(F597,Tb_ProjectKosten[],MATCH(Tb_ProjectKosten[[#Headers],[Forfait_Percentage]],Tb_ProjectKosten[#Headers],0),0),AND(F597="Arbeidskosten",G597&lt;&gt;""),IFERROR(X597*VLOOKUP(G597,Tb_KostenTypen[],3,0)*VLOOKUP(F597,Tb_ProjectKosten[],MATCH(Tb_ProjectKosten[[#Headers],[Forfait_Percentage]],Tb_ProjectKosten[#Headers],0),0),""),X597 &lt;=0,0),"")</f>
        <v/>
      </c>
      <c r="AB597" s="314" t="str">
        <f t="shared" ca="1" si="39"/>
        <v/>
      </c>
      <c r="AC597" s="322"/>
      <c r="AD597" s="315"/>
      <c r="AE597" s="32" t="str" cm="1">
        <f t="array" ref="AE597">IFERROR(IF(INDEX(SubsidieTabel!$AD$1:$AG$12,MATCH($F597,SubsidieTabel!$AD$1:$AD$12,0),IFERROR(MATCH(Methode_Keuze,SubsidieTabel!$AD$1:$AG$1,0),2))&lt;&gt;1=TRUE,"ja",""),"")</f>
        <v/>
      </c>
    </row>
    <row r="598" spans="1:31" x14ac:dyDescent="0.25">
      <c r="A598" s="316"/>
      <c r="B598" s="317" t="str">
        <f>IF(A598&lt;&gt;"",_xlfn.MAXIFS($B$1:B597,$A$1:A597,A598)+1,"")</f>
        <v/>
      </c>
      <c r="C598" s="296"/>
      <c r="D598" s="296"/>
      <c r="E598" s="296"/>
      <c r="F598" s="296"/>
      <c r="G598" s="326"/>
      <c r="H598" s="324"/>
      <c r="I598" s="325"/>
      <c r="J598" s="325"/>
      <c r="K598" s="318"/>
      <c r="L598" s="318"/>
      <c r="M598" s="319" t="str">
        <f>IFERROR(VLOOKUP(H598,Lijsten!$H$1:$I$100,2,0),"")</f>
        <v/>
      </c>
      <c r="N598" s="319" t="str">
        <f ca="1">IFERROR(IF(VLOOKUP(F598,Kostentypen!$A$3:$E$21,3,0)=0,"",IF(OR(F598="Arbeidskosten",F598="Vergoeding"),VLOOKUP(G598,Tb_KostenTypen[],2,0),VLOOKUP(F598,Kostentypen!$A$3:$E$20,3,0))),"")</f>
        <v/>
      </c>
      <c r="O598" s="320" t="str" cm="1">
        <f t="array" ref="O598">_xlfn.IFNA(IF(INDEX(Tb_KostenOptiesDB[],MATCH($F598,Tb_KostenOptiesDB[KostenOptie],0),IFERROR(MATCH(Methode_Keuze,Tb_KostenOptiesDB[#Headers],0),2))=1,_xlfn.SWITCH($N598,"Uurtarief",IF(OR(AND(RIGHT($F598,3)="IKS",VLOOKUP($M598,DB_Loonkosten,2,0)="Ja"),AND(RIGHT($F598,3)&lt;&gt;"IKS",VLOOKUP($M598,DB_Loonkosten,2,0)="Nee")),IFERROR(VLOOKUP($M598,DB_Loonkosten,24,0),""),0),"Vast tarief",IF(LEFT(F598,8)="Bijdrage",VLOOKUP($F598,Tb_KostenTypen[],MATCH(Lijsten!$P$1,Tb_KostenTypen[#Headers],0),0),VLOOKUP($G598,Lijsten!L:P,MATCH(Lijsten!$P$1,Kop_Tarief_Vast,0),0))),""),"")</f>
        <v/>
      </c>
      <c r="P598" s="320" t="str" cm="1">
        <f t="array" ref="P598">_xlfn.IFNA(IF(INDEX(Tb_KostenOptiesDB[],MATCH($F598,Tb_KostenOptiesDB[KostenOptie],0),IFERROR(MATCH(Methode_Keuze,Tb_KostenOptiesDB[#Headers],0),2))=1,_xlfn.SWITCH($N598,"Uurtarief",IF(OR(AND(RIGHT($F598,3)="IKS",VLOOKUP($M598,DB_Loonkosten,2,0)="Ja"),AND(RIGHT($F598,3)&lt;&gt;"IKS",VLOOKUP($M598,DB_Loonkosten,2,0)="Nee")),IFERROR(VLOOKUP($M598,DB_Loonkosten,25,0),""),0),"Vast tarief",IF(LEFT(F598,8)="Bijdrage",VLOOKUP($F598,Tb_KostenTypen[],MATCH(Lijsten!$P$1,Tb_KostenTypen[#Headers],0),0),VLOOKUP($G598,Lijsten!L:P,MATCH(Lijsten!$P$1,Kop_Tarief_Vast,0),0))),""),"")</f>
        <v/>
      </c>
      <c r="Q598" s="359"/>
      <c r="R598" s="359"/>
      <c r="S598" s="321"/>
      <c r="T598" s="321"/>
      <c r="U598" s="373" t="str">
        <f t="shared" si="36"/>
        <v/>
      </c>
      <c r="V598" s="314" t="str">
        <f t="shared" si="37"/>
        <v/>
      </c>
      <c r="W598" s="314" t="str" cm="1">
        <f t="array" aca="1" ref="W598" ca="1">IFERROR(IF(AE598&lt;&gt;"ja",_xlfn.IFNA(_xlfn.IFS(AND(O598&lt;&gt;"",F598&lt;&gt;"",RIGHT($N598,6)="tarief",F598="Vergoeding"),SUM(O598)*FLOOR(SUM(Q598),0.0001),AND(O598&lt;&gt;"",F598&lt;&gt;"",RIGHT($N598,6)="tarief"),SUM(O598)*FLOOR(SUM(Q598),0.01),S598&gt;0,IF(F598&lt;&gt;"",FLOOR(SUM(S598),0.01),"")),""),""),"")</f>
        <v/>
      </c>
      <c r="X598" s="314" t="str" cm="1">
        <f t="array" aca="1" ref="X598" ca="1">IFERROR(IF(AE598&lt;&gt;"ja",_xlfn.IFNA(_xlfn.IFS(AND(P598&lt;&gt;"",R598&lt;&gt;"",RIGHT($N598,6)="tarief",F598="Vergoeding"),SUM(P598)*FLOOR(SUM(R598),0.0001),AND(P598&lt;&gt;"",R598&lt;&gt;"",RIGHT($N598,6)="tarief"),P598*FLOOR(R598,0.01),T598&gt;0,FLOOR(SUM(T598),0.01)),""),""),"")</f>
        <v/>
      </c>
      <c r="Y598" s="314" t="str">
        <f t="shared" ca="1" si="38"/>
        <v/>
      </c>
      <c r="Z598" s="314" t="str" cm="1">
        <f t="array" aca="1" ref="Z598" ca="1">IFERROR(_xlfn.IFS(OR(F598="",LEFT(Methode_Keuze,4)="Geen",Methode_Keuze=""),"",AND(W598&lt;&gt;"",F598&lt;&gt;"Arbeidskosten"),W598*VLOOKUP(F598,Tb_ProjectKosten[],MATCH(Tb_ProjectKosten[[#Headers],[Forfait_Percentage]],Tb_ProjectKosten[#Headers],0),0),AND(F598="Arbeidskosten",G598&lt;&gt;""),IFERROR(W598*VLOOKUP(G598,Tb_KostenTypen[],3,0)*VLOOKUP(F598,Tb_ProjectKosten[],MATCH(Tb_ProjectKosten[[#Headers],[Forfait_Percentage]],Tb_ProjectKosten[#Headers],0),0),""),W598 &lt;=0,0),"")</f>
        <v/>
      </c>
      <c r="AA598" s="314" t="str" cm="1">
        <f t="array" aca="1" ref="AA598" ca="1">IFERROR(_xlfn.IFS(OR(F598="",LEFT(Methode_Keuze,4)="Geen",Methode_Keuze=""),"",AND(X598&lt;&gt;"",F598&lt;&gt;"Arbeidskosten"),X598*VLOOKUP(F598,Tb_ProjectKosten[],MATCH(Tb_ProjectKosten[[#Headers],[Forfait_Percentage]],Tb_ProjectKosten[#Headers],0),0),AND(F598="Arbeidskosten",G598&lt;&gt;""),IFERROR(X598*VLOOKUP(G598,Tb_KostenTypen[],3,0)*VLOOKUP(F598,Tb_ProjectKosten[],MATCH(Tb_ProjectKosten[[#Headers],[Forfait_Percentage]],Tb_ProjectKosten[#Headers],0),0),""),X598 &lt;=0,0),"")</f>
        <v/>
      </c>
      <c r="AB598" s="314" t="str">
        <f t="shared" ca="1" si="39"/>
        <v/>
      </c>
      <c r="AC598" s="322"/>
      <c r="AD598" s="315"/>
      <c r="AE598" s="32" t="str" cm="1">
        <f t="array" ref="AE598">IFERROR(IF(INDEX(SubsidieTabel!$AD$1:$AG$12,MATCH($F598,SubsidieTabel!$AD$1:$AD$12,0),IFERROR(MATCH(Methode_Keuze,SubsidieTabel!$AD$1:$AG$1,0),2))&lt;&gt;1=TRUE,"ja",""),"")</f>
        <v/>
      </c>
    </row>
    <row r="599" spans="1:31" x14ac:dyDescent="0.25">
      <c r="A599" s="316"/>
      <c r="B599" s="317" t="str">
        <f>IF(A599&lt;&gt;"",_xlfn.MAXIFS($B$1:B598,$A$1:A598,A599)+1,"")</f>
        <v/>
      </c>
      <c r="C599" s="296"/>
      <c r="D599" s="296"/>
      <c r="E599" s="296"/>
      <c r="F599" s="296"/>
      <c r="G599" s="326"/>
      <c r="H599" s="324"/>
      <c r="I599" s="325"/>
      <c r="J599" s="325"/>
      <c r="K599" s="318"/>
      <c r="L599" s="318"/>
      <c r="M599" s="319" t="str">
        <f>IFERROR(VLOOKUP(H599,Lijsten!$H$1:$I$100,2,0),"")</f>
        <v/>
      </c>
      <c r="N599" s="319" t="str">
        <f ca="1">IFERROR(IF(VLOOKUP(F599,Kostentypen!$A$3:$E$21,3,0)=0,"",IF(OR(F599="Arbeidskosten",F599="Vergoeding"),VLOOKUP(G599,Tb_KostenTypen[],2,0),VLOOKUP(F599,Kostentypen!$A$3:$E$20,3,0))),"")</f>
        <v/>
      </c>
      <c r="O599" s="320" t="str" cm="1">
        <f t="array" ref="O599">_xlfn.IFNA(IF(INDEX(Tb_KostenOptiesDB[],MATCH($F599,Tb_KostenOptiesDB[KostenOptie],0),IFERROR(MATCH(Methode_Keuze,Tb_KostenOptiesDB[#Headers],0),2))=1,_xlfn.SWITCH($N599,"Uurtarief",IF(OR(AND(RIGHT($F599,3)="IKS",VLOOKUP($M599,DB_Loonkosten,2,0)="Ja"),AND(RIGHT($F599,3)&lt;&gt;"IKS",VLOOKUP($M599,DB_Loonkosten,2,0)="Nee")),IFERROR(VLOOKUP($M599,DB_Loonkosten,24,0),""),0),"Vast tarief",IF(LEFT(F599,8)="Bijdrage",VLOOKUP($F599,Tb_KostenTypen[],MATCH(Lijsten!$P$1,Tb_KostenTypen[#Headers],0),0),VLOOKUP($G599,Lijsten!L:P,MATCH(Lijsten!$P$1,Kop_Tarief_Vast,0),0))),""),"")</f>
        <v/>
      </c>
      <c r="P599" s="320" t="str" cm="1">
        <f t="array" ref="P599">_xlfn.IFNA(IF(INDEX(Tb_KostenOptiesDB[],MATCH($F599,Tb_KostenOptiesDB[KostenOptie],0),IFERROR(MATCH(Methode_Keuze,Tb_KostenOptiesDB[#Headers],0),2))=1,_xlfn.SWITCH($N599,"Uurtarief",IF(OR(AND(RIGHT($F599,3)="IKS",VLOOKUP($M599,DB_Loonkosten,2,0)="Ja"),AND(RIGHT($F599,3)&lt;&gt;"IKS",VLOOKUP($M599,DB_Loonkosten,2,0)="Nee")),IFERROR(VLOOKUP($M599,DB_Loonkosten,25,0),""),0),"Vast tarief",IF(LEFT(F599,8)="Bijdrage",VLOOKUP($F599,Tb_KostenTypen[],MATCH(Lijsten!$P$1,Tb_KostenTypen[#Headers],0),0),VLOOKUP($G599,Lijsten!L:P,MATCH(Lijsten!$P$1,Kop_Tarief_Vast,0),0))),""),"")</f>
        <v/>
      </c>
      <c r="Q599" s="359"/>
      <c r="R599" s="359"/>
      <c r="S599" s="321"/>
      <c r="T599" s="321"/>
      <c r="U599" s="373" t="str">
        <f t="shared" si="36"/>
        <v/>
      </c>
      <c r="V599" s="314" t="str">
        <f t="shared" si="37"/>
        <v/>
      </c>
      <c r="W599" s="314" t="str" cm="1">
        <f t="array" aca="1" ref="W599" ca="1">IFERROR(IF(AE599&lt;&gt;"ja",_xlfn.IFNA(_xlfn.IFS(AND(O599&lt;&gt;"",F599&lt;&gt;"",RIGHT($N599,6)="tarief",F599="Vergoeding"),SUM(O599)*FLOOR(SUM(Q599),0.0001),AND(O599&lt;&gt;"",F599&lt;&gt;"",RIGHT($N599,6)="tarief"),SUM(O599)*FLOOR(SUM(Q599),0.01),S599&gt;0,IF(F599&lt;&gt;"",FLOOR(SUM(S599),0.01),"")),""),""),"")</f>
        <v/>
      </c>
      <c r="X599" s="314" t="str" cm="1">
        <f t="array" aca="1" ref="X599" ca="1">IFERROR(IF(AE599&lt;&gt;"ja",_xlfn.IFNA(_xlfn.IFS(AND(P599&lt;&gt;"",R599&lt;&gt;"",RIGHT($N599,6)="tarief",F599="Vergoeding"),SUM(P599)*FLOOR(SUM(R599),0.0001),AND(P599&lt;&gt;"",R599&lt;&gt;"",RIGHT($N599,6)="tarief"),P599*FLOOR(R599,0.01),T599&gt;0,FLOOR(SUM(T599),0.01)),""),""),"")</f>
        <v/>
      </c>
      <c r="Y599" s="314" t="str">
        <f t="shared" ca="1" si="38"/>
        <v/>
      </c>
      <c r="Z599" s="314" t="str" cm="1">
        <f t="array" aca="1" ref="Z599" ca="1">IFERROR(_xlfn.IFS(OR(F599="",LEFT(Methode_Keuze,4)="Geen",Methode_Keuze=""),"",AND(W599&lt;&gt;"",F599&lt;&gt;"Arbeidskosten"),W599*VLOOKUP(F599,Tb_ProjectKosten[],MATCH(Tb_ProjectKosten[[#Headers],[Forfait_Percentage]],Tb_ProjectKosten[#Headers],0),0),AND(F599="Arbeidskosten",G599&lt;&gt;""),IFERROR(W599*VLOOKUP(G599,Tb_KostenTypen[],3,0)*VLOOKUP(F599,Tb_ProjectKosten[],MATCH(Tb_ProjectKosten[[#Headers],[Forfait_Percentage]],Tb_ProjectKosten[#Headers],0),0),""),W599 &lt;=0,0),"")</f>
        <v/>
      </c>
      <c r="AA599" s="314" t="str" cm="1">
        <f t="array" aca="1" ref="AA599" ca="1">IFERROR(_xlfn.IFS(OR(F599="",LEFT(Methode_Keuze,4)="Geen",Methode_Keuze=""),"",AND(X599&lt;&gt;"",F599&lt;&gt;"Arbeidskosten"),X599*VLOOKUP(F599,Tb_ProjectKosten[],MATCH(Tb_ProjectKosten[[#Headers],[Forfait_Percentage]],Tb_ProjectKosten[#Headers],0),0),AND(F599="Arbeidskosten",G599&lt;&gt;""),IFERROR(X599*VLOOKUP(G599,Tb_KostenTypen[],3,0)*VLOOKUP(F599,Tb_ProjectKosten[],MATCH(Tb_ProjectKosten[[#Headers],[Forfait_Percentage]],Tb_ProjectKosten[#Headers],0),0),""),X599 &lt;=0,0),"")</f>
        <v/>
      </c>
      <c r="AB599" s="314" t="str">
        <f t="shared" ca="1" si="39"/>
        <v/>
      </c>
      <c r="AC599" s="322"/>
      <c r="AD599" s="315"/>
      <c r="AE599" s="32" t="str" cm="1">
        <f t="array" ref="AE599">IFERROR(IF(INDEX(SubsidieTabel!$AD$1:$AG$12,MATCH($F599,SubsidieTabel!$AD$1:$AD$12,0),IFERROR(MATCH(Methode_Keuze,SubsidieTabel!$AD$1:$AG$1,0),2))&lt;&gt;1=TRUE,"ja",""),"")</f>
        <v/>
      </c>
    </row>
    <row r="600" spans="1:31" x14ac:dyDescent="0.25">
      <c r="A600" s="316"/>
      <c r="B600" s="317" t="str">
        <f>IF(A600&lt;&gt;"",_xlfn.MAXIFS($B$1:B599,$A$1:A599,A600)+1,"")</f>
        <v/>
      </c>
      <c r="C600" s="296"/>
      <c r="D600" s="296"/>
      <c r="E600" s="296"/>
      <c r="F600" s="296"/>
      <c r="G600" s="326"/>
      <c r="H600" s="324"/>
      <c r="I600" s="325"/>
      <c r="J600" s="325"/>
      <c r="K600" s="318"/>
      <c r="L600" s="318"/>
      <c r="M600" s="319" t="str">
        <f>IFERROR(VLOOKUP(H600,Lijsten!$H$1:$I$100,2,0),"")</f>
        <v/>
      </c>
      <c r="N600" s="319" t="str">
        <f ca="1">IFERROR(IF(VLOOKUP(F600,Kostentypen!$A$3:$E$21,3,0)=0,"",IF(OR(F600="Arbeidskosten",F600="Vergoeding"),VLOOKUP(G600,Tb_KostenTypen[],2,0),VLOOKUP(F600,Kostentypen!$A$3:$E$20,3,0))),"")</f>
        <v/>
      </c>
      <c r="O600" s="320" t="str" cm="1">
        <f t="array" ref="O600">_xlfn.IFNA(IF(INDEX(Tb_KostenOptiesDB[],MATCH($F600,Tb_KostenOptiesDB[KostenOptie],0),IFERROR(MATCH(Methode_Keuze,Tb_KostenOptiesDB[#Headers],0),2))=1,_xlfn.SWITCH($N600,"Uurtarief",IF(OR(AND(RIGHT($F600,3)="IKS",VLOOKUP($M600,DB_Loonkosten,2,0)="Ja"),AND(RIGHT($F600,3)&lt;&gt;"IKS",VLOOKUP($M600,DB_Loonkosten,2,0)="Nee")),IFERROR(VLOOKUP($M600,DB_Loonkosten,24,0),""),0),"Vast tarief",IF(LEFT(F600,8)="Bijdrage",VLOOKUP($F600,Tb_KostenTypen[],MATCH(Lijsten!$P$1,Tb_KostenTypen[#Headers],0),0),VLOOKUP($G600,Lijsten!L:P,MATCH(Lijsten!$P$1,Kop_Tarief_Vast,0),0))),""),"")</f>
        <v/>
      </c>
      <c r="P600" s="320" t="str" cm="1">
        <f t="array" ref="P600">_xlfn.IFNA(IF(INDEX(Tb_KostenOptiesDB[],MATCH($F600,Tb_KostenOptiesDB[KostenOptie],0),IFERROR(MATCH(Methode_Keuze,Tb_KostenOptiesDB[#Headers],0),2))=1,_xlfn.SWITCH($N600,"Uurtarief",IF(OR(AND(RIGHT($F600,3)="IKS",VLOOKUP($M600,DB_Loonkosten,2,0)="Ja"),AND(RIGHT($F600,3)&lt;&gt;"IKS",VLOOKUP($M600,DB_Loonkosten,2,0)="Nee")),IFERROR(VLOOKUP($M600,DB_Loonkosten,25,0),""),0),"Vast tarief",IF(LEFT(F600,8)="Bijdrage",VLOOKUP($F600,Tb_KostenTypen[],MATCH(Lijsten!$P$1,Tb_KostenTypen[#Headers],0),0),VLOOKUP($G600,Lijsten!L:P,MATCH(Lijsten!$P$1,Kop_Tarief_Vast,0),0))),""),"")</f>
        <v/>
      </c>
      <c r="Q600" s="359"/>
      <c r="R600" s="359"/>
      <c r="S600" s="321"/>
      <c r="T600" s="321"/>
      <c r="U600" s="373" t="str">
        <f t="shared" si="36"/>
        <v/>
      </c>
      <c r="V600" s="314" t="str">
        <f t="shared" si="37"/>
        <v/>
      </c>
      <c r="W600" s="314" t="str" cm="1">
        <f t="array" aca="1" ref="W600" ca="1">IFERROR(IF(AE600&lt;&gt;"ja",_xlfn.IFNA(_xlfn.IFS(AND(O600&lt;&gt;"",F600&lt;&gt;"",RIGHT($N600,6)="tarief",F600="Vergoeding"),SUM(O600)*FLOOR(SUM(Q600),0.0001),AND(O600&lt;&gt;"",F600&lt;&gt;"",RIGHT($N600,6)="tarief"),SUM(O600)*FLOOR(SUM(Q600),0.01),S600&gt;0,IF(F600&lt;&gt;"",FLOOR(SUM(S600),0.01),"")),""),""),"")</f>
        <v/>
      </c>
      <c r="X600" s="314" t="str" cm="1">
        <f t="array" aca="1" ref="X600" ca="1">IFERROR(IF(AE600&lt;&gt;"ja",_xlfn.IFNA(_xlfn.IFS(AND(P600&lt;&gt;"",R600&lt;&gt;"",RIGHT($N600,6)="tarief",F600="Vergoeding"),SUM(P600)*FLOOR(SUM(R600),0.0001),AND(P600&lt;&gt;"",R600&lt;&gt;"",RIGHT($N600,6)="tarief"),P600*FLOOR(R600,0.01),T600&gt;0,FLOOR(SUM(T600),0.01)),""),""),"")</f>
        <v/>
      </c>
      <c r="Y600" s="314" t="str">
        <f t="shared" ca="1" si="38"/>
        <v/>
      </c>
      <c r="Z600" s="314" t="str" cm="1">
        <f t="array" aca="1" ref="Z600" ca="1">IFERROR(_xlfn.IFS(OR(F600="",LEFT(Methode_Keuze,4)="Geen",Methode_Keuze=""),"",AND(W600&lt;&gt;"",F600&lt;&gt;"Arbeidskosten"),W600*VLOOKUP(F600,Tb_ProjectKosten[],MATCH(Tb_ProjectKosten[[#Headers],[Forfait_Percentage]],Tb_ProjectKosten[#Headers],0),0),AND(F600="Arbeidskosten",G600&lt;&gt;""),IFERROR(W600*VLOOKUP(G600,Tb_KostenTypen[],3,0)*VLOOKUP(F600,Tb_ProjectKosten[],MATCH(Tb_ProjectKosten[[#Headers],[Forfait_Percentage]],Tb_ProjectKosten[#Headers],0),0),""),W600 &lt;=0,0),"")</f>
        <v/>
      </c>
      <c r="AA600" s="314" t="str" cm="1">
        <f t="array" aca="1" ref="AA600" ca="1">IFERROR(_xlfn.IFS(OR(F600="",LEFT(Methode_Keuze,4)="Geen",Methode_Keuze=""),"",AND(X600&lt;&gt;"",F600&lt;&gt;"Arbeidskosten"),X600*VLOOKUP(F600,Tb_ProjectKosten[],MATCH(Tb_ProjectKosten[[#Headers],[Forfait_Percentage]],Tb_ProjectKosten[#Headers],0),0),AND(F600="Arbeidskosten",G600&lt;&gt;""),IFERROR(X600*VLOOKUP(G600,Tb_KostenTypen[],3,0)*VLOOKUP(F600,Tb_ProjectKosten[],MATCH(Tb_ProjectKosten[[#Headers],[Forfait_Percentage]],Tb_ProjectKosten[#Headers],0),0),""),X600 &lt;=0,0),"")</f>
        <v/>
      </c>
      <c r="AB600" s="314" t="str">
        <f t="shared" ca="1" si="39"/>
        <v/>
      </c>
      <c r="AC600" s="322"/>
      <c r="AD600" s="315"/>
      <c r="AE600" s="32" t="str" cm="1">
        <f t="array" ref="AE600">IFERROR(IF(INDEX(SubsidieTabel!$AD$1:$AG$12,MATCH($F600,SubsidieTabel!$AD$1:$AD$12,0),IFERROR(MATCH(Methode_Keuze,SubsidieTabel!$AD$1:$AG$1,0),2))&lt;&gt;1=TRUE,"ja",""),"")</f>
        <v/>
      </c>
    </row>
    <row r="601" spans="1:31" x14ac:dyDescent="0.25">
      <c r="A601" s="316"/>
      <c r="B601" s="317" t="str">
        <f>IF(A601&lt;&gt;"",_xlfn.MAXIFS($B$1:B600,$A$1:A600,A601)+1,"")</f>
        <v/>
      </c>
      <c r="C601" s="296"/>
      <c r="D601" s="296"/>
      <c r="E601" s="296"/>
      <c r="F601" s="296"/>
      <c r="G601" s="326"/>
      <c r="H601" s="324"/>
      <c r="I601" s="325"/>
      <c r="J601" s="325"/>
      <c r="K601" s="318"/>
      <c r="L601" s="318"/>
      <c r="M601" s="319" t="str">
        <f>IFERROR(VLOOKUP(H601,Lijsten!$H$1:$I$100,2,0),"")</f>
        <v/>
      </c>
      <c r="N601" s="319" t="str">
        <f ca="1">IFERROR(IF(VLOOKUP(F601,Kostentypen!$A$3:$E$21,3,0)=0,"",IF(OR(F601="Arbeidskosten",F601="Vergoeding"),VLOOKUP(G601,Tb_KostenTypen[],2,0),VLOOKUP(F601,Kostentypen!$A$3:$E$20,3,0))),"")</f>
        <v/>
      </c>
      <c r="O601" s="320" t="str" cm="1">
        <f t="array" ref="O601">_xlfn.IFNA(IF(INDEX(Tb_KostenOptiesDB[],MATCH($F601,Tb_KostenOptiesDB[KostenOptie],0),IFERROR(MATCH(Methode_Keuze,Tb_KostenOptiesDB[#Headers],0),2))=1,_xlfn.SWITCH($N601,"Uurtarief",IF(OR(AND(RIGHT($F601,3)="IKS",VLOOKUP($M601,DB_Loonkosten,2,0)="Ja"),AND(RIGHT($F601,3)&lt;&gt;"IKS",VLOOKUP($M601,DB_Loonkosten,2,0)="Nee")),IFERROR(VLOOKUP($M601,DB_Loonkosten,24,0),""),0),"Vast tarief",IF(LEFT(F601,8)="Bijdrage",VLOOKUP($F601,Tb_KostenTypen[],MATCH(Lijsten!$P$1,Tb_KostenTypen[#Headers],0),0),VLOOKUP($G601,Lijsten!L:P,MATCH(Lijsten!$P$1,Kop_Tarief_Vast,0),0))),""),"")</f>
        <v/>
      </c>
      <c r="P601" s="320" t="str" cm="1">
        <f t="array" ref="P601">_xlfn.IFNA(IF(INDEX(Tb_KostenOptiesDB[],MATCH($F601,Tb_KostenOptiesDB[KostenOptie],0),IFERROR(MATCH(Methode_Keuze,Tb_KostenOptiesDB[#Headers],0),2))=1,_xlfn.SWITCH($N601,"Uurtarief",IF(OR(AND(RIGHT($F601,3)="IKS",VLOOKUP($M601,DB_Loonkosten,2,0)="Ja"),AND(RIGHT($F601,3)&lt;&gt;"IKS",VLOOKUP($M601,DB_Loonkosten,2,0)="Nee")),IFERROR(VLOOKUP($M601,DB_Loonkosten,25,0),""),0),"Vast tarief",IF(LEFT(F601,8)="Bijdrage",VLOOKUP($F601,Tb_KostenTypen[],MATCH(Lijsten!$P$1,Tb_KostenTypen[#Headers],0),0),VLOOKUP($G601,Lijsten!L:P,MATCH(Lijsten!$P$1,Kop_Tarief_Vast,0),0))),""),"")</f>
        <v/>
      </c>
      <c r="Q601" s="359"/>
      <c r="R601" s="359"/>
      <c r="S601" s="321"/>
      <c r="T601" s="321"/>
      <c r="U601" s="373" t="str">
        <f t="shared" si="36"/>
        <v/>
      </c>
      <c r="V601" s="314" t="str">
        <f t="shared" si="37"/>
        <v/>
      </c>
      <c r="W601" s="314" t="str" cm="1">
        <f t="array" aca="1" ref="W601" ca="1">IFERROR(IF(AE601&lt;&gt;"ja",_xlfn.IFNA(_xlfn.IFS(AND(O601&lt;&gt;"",F601&lt;&gt;"",RIGHT($N601,6)="tarief",F601="Vergoeding"),SUM(O601)*FLOOR(SUM(Q601),0.0001),AND(O601&lt;&gt;"",F601&lt;&gt;"",RIGHT($N601,6)="tarief"),SUM(O601)*FLOOR(SUM(Q601),0.01),S601&gt;0,IF(F601&lt;&gt;"",FLOOR(SUM(S601),0.01),"")),""),""),"")</f>
        <v/>
      </c>
      <c r="X601" s="314" t="str" cm="1">
        <f t="array" aca="1" ref="X601" ca="1">IFERROR(IF(AE601&lt;&gt;"ja",_xlfn.IFNA(_xlfn.IFS(AND(P601&lt;&gt;"",R601&lt;&gt;"",RIGHT($N601,6)="tarief",F601="Vergoeding"),SUM(P601)*FLOOR(SUM(R601),0.0001),AND(P601&lt;&gt;"",R601&lt;&gt;"",RIGHT($N601,6)="tarief"),P601*FLOOR(R601,0.01),T601&gt;0,FLOOR(SUM(T601),0.01)),""),""),"")</f>
        <v/>
      </c>
      <c r="Y601" s="314" t="str">
        <f t="shared" ca="1" si="38"/>
        <v/>
      </c>
      <c r="Z601" s="314" t="str" cm="1">
        <f t="array" aca="1" ref="Z601" ca="1">IFERROR(_xlfn.IFS(OR(F601="",LEFT(Methode_Keuze,4)="Geen",Methode_Keuze=""),"",AND(W601&lt;&gt;"",F601&lt;&gt;"Arbeidskosten"),W601*VLOOKUP(F601,Tb_ProjectKosten[],MATCH(Tb_ProjectKosten[[#Headers],[Forfait_Percentage]],Tb_ProjectKosten[#Headers],0),0),AND(F601="Arbeidskosten",G601&lt;&gt;""),IFERROR(W601*VLOOKUP(G601,Tb_KostenTypen[],3,0)*VLOOKUP(F601,Tb_ProjectKosten[],MATCH(Tb_ProjectKosten[[#Headers],[Forfait_Percentage]],Tb_ProjectKosten[#Headers],0),0),""),W601 &lt;=0,0),"")</f>
        <v/>
      </c>
      <c r="AA601" s="314" t="str" cm="1">
        <f t="array" aca="1" ref="AA601" ca="1">IFERROR(_xlfn.IFS(OR(F601="",LEFT(Methode_Keuze,4)="Geen",Methode_Keuze=""),"",AND(X601&lt;&gt;"",F601&lt;&gt;"Arbeidskosten"),X601*VLOOKUP(F601,Tb_ProjectKosten[],MATCH(Tb_ProjectKosten[[#Headers],[Forfait_Percentage]],Tb_ProjectKosten[#Headers],0),0),AND(F601="Arbeidskosten",G601&lt;&gt;""),IFERROR(X601*VLOOKUP(G601,Tb_KostenTypen[],3,0)*VLOOKUP(F601,Tb_ProjectKosten[],MATCH(Tb_ProjectKosten[[#Headers],[Forfait_Percentage]],Tb_ProjectKosten[#Headers],0),0),""),X601 &lt;=0,0),"")</f>
        <v/>
      </c>
      <c r="AB601" s="314" t="str">
        <f t="shared" ca="1" si="39"/>
        <v/>
      </c>
      <c r="AC601" s="322"/>
      <c r="AD601" s="315"/>
      <c r="AE601" s="32" t="str" cm="1">
        <f t="array" ref="AE601">IFERROR(IF(INDEX(SubsidieTabel!$AD$1:$AG$12,MATCH($F601,SubsidieTabel!$AD$1:$AD$12,0),IFERROR(MATCH(Methode_Keuze,SubsidieTabel!$AD$1:$AG$1,0),2))&lt;&gt;1=TRUE,"ja",""),"")</f>
        <v/>
      </c>
    </row>
    <row r="602" spans="1:31" x14ac:dyDescent="0.25">
      <c r="A602" s="316"/>
      <c r="B602" s="317" t="str">
        <f>IF(A602&lt;&gt;"",_xlfn.MAXIFS($B$1:B601,$A$1:A601,A602)+1,"")</f>
        <v/>
      </c>
      <c r="C602" s="296"/>
      <c r="D602" s="296"/>
      <c r="E602" s="296"/>
      <c r="F602" s="296"/>
      <c r="G602" s="326"/>
      <c r="H602" s="324"/>
      <c r="I602" s="325"/>
      <c r="J602" s="325"/>
      <c r="K602" s="318"/>
      <c r="L602" s="318"/>
      <c r="M602" s="319" t="str">
        <f>IFERROR(VLOOKUP(H602,Lijsten!$H$1:$I$100,2,0),"")</f>
        <v/>
      </c>
      <c r="N602" s="319" t="str">
        <f ca="1">IFERROR(IF(VLOOKUP(F602,Kostentypen!$A$3:$E$21,3,0)=0,"",IF(OR(F602="Arbeidskosten",F602="Vergoeding"),VLOOKUP(G602,Tb_KostenTypen[],2,0),VLOOKUP(F602,Kostentypen!$A$3:$E$20,3,0))),"")</f>
        <v/>
      </c>
      <c r="O602" s="320" t="str" cm="1">
        <f t="array" ref="O602">_xlfn.IFNA(IF(INDEX(Tb_KostenOptiesDB[],MATCH($F602,Tb_KostenOptiesDB[KostenOptie],0),IFERROR(MATCH(Methode_Keuze,Tb_KostenOptiesDB[#Headers],0),2))=1,_xlfn.SWITCH($N602,"Uurtarief",IF(OR(AND(RIGHT($F602,3)="IKS",VLOOKUP($M602,DB_Loonkosten,2,0)="Ja"),AND(RIGHT($F602,3)&lt;&gt;"IKS",VLOOKUP($M602,DB_Loonkosten,2,0)="Nee")),IFERROR(VLOOKUP($M602,DB_Loonkosten,24,0),""),0),"Vast tarief",IF(LEFT(F602,8)="Bijdrage",VLOOKUP($F602,Tb_KostenTypen[],MATCH(Lijsten!$P$1,Tb_KostenTypen[#Headers],0),0),VLOOKUP($G602,Lijsten!L:P,MATCH(Lijsten!$P$1,Kop_Tarief_Vast,0),0))),""),"")</f>
        <v/>
      </c>
      <c r="P602" s="320" t="str" cm="1">
        <f t="array" ref="P602">_xlfn.IFNA(IF(INDEX(Tb_KostenOptiesDB[],MATCH($F602,Tb_KostenOptiesDB[KostenOptie],0),IFERROR(MATCH(Methode_Keuze,Tb_KostenOptiesDB[#Headers],0),2))=1,_xlfn.SWITCH($N602,"Uurtarief",IF(OR(AND(RIGHT($F602,3)="IKS",VLOOKUP($M602,DB_Loonkosten,2,0)="Ja"),AND(RIGHT($F602,3)&lt;&gt;"IKS",VLOOKUP($M602,DB_Loonkosten,2,0)="Nee")),IFERROR(VLOOKUP($M602,DB_Loonkosten,25,0),""),0),"Vast tarief",IF(LEFT(F602,8)="Bijdrage",VLOOKUP($F602,Tb_KostenTypen[],MATCH(Lijsten!$P$1,Tb_KostenTypen[#Headers],0),0),VLOOKUP($G602,Lijsten!L:P,MATCH(Lijsten!$P$1,Kop_Tarief_Vast,0),0))),""),"")</f>
        <v/>
      </c>
      <c r="Q602" s="359"/>
      <c r="R602" s="359"/>
      <c r="S602" s="321"/>
      <c r="T602" s="321"/>
      <c r="U602" s="373" t="str">
        <f t="shared" si="36"/>
        <v/>
      </c>
      <c r="V602" s="314" t="str">
        <f t="shared" si="37"/>
        <v/>
      </c>
      <c r="W602" s="314" t="str" cm="1">
        <f t="array" aca="1" ref="W602" ca="1">IFERROR(IF(AE602&lt;&gt;"ja",_xlfn.IFNA(_xlfn.IFS(AND(O602&lt;&gt;"",F602&lt;&gt;"",RIGHT($N602,6)="tarief",F602="Vergoeding"),SUM(O602)*FLOOR(SUM(Q602),0.0001),AND(O602&lt;&gt;"",F602&lt;&gt;"",RIGHT($N602,6)="tarief"),SUM(O602)*FLOOR(SUM(Q602),0.01),S602&gt;0,IF(F602&lt;&gt;"",FLOOR(SUM(S602),0.01),"")),""),""),"")</f>
        <v/>
      </c>
      <c r="X602" s="314" t="str" cm="1">
        <f t="array" aca="1" ref="X602" ca="1">IFERROR(IF(AE602&lt;&gt;"ja",_xlfn.IFNA(_xlfn.IFS(AND(P602&lt;&gt;"",R602&lt;&gt;"",RIGHT($N602,6)="tarief",F602="Vergoeding"),SUM(P602)*FLOOR(SUM(R602),0.0001),AND(P602&lt;&gt;"",R602&lt;&gt;"",RIGHT($N602,6)="tarief"),P602*FLOOR(R602,0.01),T602&gt;0,FLOOR(SUM(T602),0.01)),""),""),"")</f>
        <v/>
      </c>
      <c r="Y602" s="314" t="str">
        <f t="shared" ca="1" si="38"/>
        <v/>
      </c>
      <c r="Z602" s="314" t="str" cm="1">
        <f t="array" aca="1" ref="Z602" ca="1">IFERROR(_xlfn.IFS(OR(F602="",LEFT(Methode_Keuze,4)="Geen",Methode_Keuze=""),"",AND(W602&lt;&gt;"",F602&lt;&gt;"Arbeidskosten"),W602*VLOOKUP(F602,Tb_ProjectKosten[],MATCH(Tb_ProjectKosten[[#Headers],[Forfait_Percentage]],Tb_ProjectKosten[#Headers],0),0),AND(F602="Arbeidskosten",G602&lt;&gt;""),IFERROR(W602*VLOOKUP(G602,Tb_KostenTypen[],3,0)*VLOOKUP(F602,Tb_ProjectKosten[],MATCH(Tb_ProjectKosten[[#Headers],[Forfait_Percentage]],Tb_ProjectKosten[#Headers],0),0),""),W602 &lt;=0,0),"")</f>
        <v/>
      </c>
      <c r="AA602" s="314" t="str" cm="1">
        <f t="array" aca="1" ref="AA602" ca="1">IFERROR(_xlfn.IFS(OR(F602="",LEFT(Methode_Keuze,4)="Geen",Methode_Keuze=""),"",AND(X602&lt;&gt;"",F602&lt;&gt;"Arbeidskosten"),X602*VLOOKUP(F602,Tb_ProjectKosten[],MATCH(Tb_ProjectKosten[[#Headers],[Forfait_Percentage]],Tb_ProjectKosten[#Headers],0),0),AND(F602="Arbeidskosten",G602&lt;&gt;""),IFERROR(X602*VLOOKUP(G602,Tb_KostenTypen[],3,0)*VLOOKUP(F602,Tb_ProjectKosten[],MATCH(Tb_ProjectKosten[[#Headers],[Forfait_Percentage]],Tb_ProjectKosten[#Headers],0),0),""),X602 &lt;=0,0),"")</f>
        <v/>
      </c>
      <c r="AB602" s="314" t="str">
        <f t="shared" ca="1" si="39"/>
        <v/>
      </c>
      <c r="AC602" s="322"/>
      <c r="AD602" s="315"/>
      <c r="AE602" s="32" t="str" cm="1">
        <f t="array" ref="AE602">IFERROR(IF(INDEX(SubsidieTabel!$AD$1:$AG$12,MATCH($F602,SubsidieTabel!$AD$1:$AD$12,0),IFERROR(MATCH(Methode_Keuze,SubsidieTabel!$AD$1:$AG$1,0),2))&lt;&gt;1=TRUE,"ja",""),"")</f>
        <v/>
      </c>
    </row>
    <row r="603" spans="1:31" x14ac:dyDescent="0.25">
      <c r="A603" s="316"/>
      <c r="B603" s="317" t="str">
        <f>IF(A603&lt;&gt;"",_xlfn.MAXIFS($B$1:B602,$A$1:A602,A603)+1,"")</f>
        <v/>
      </c>
      <c r="C603" s="296"/>
      <c r="D603" s="296"/>
      <c r="E603" s="296"/>
      <c r="F603" s="296"/>
      <c r="G603" s="326"/>
      <c r="H603" s="324"/>
      <c r="I603" s="325"/>
      <c r="J603" s="325"/>
      <c r="K603" s="318"/>
      <c r="L603" s="318"/>
      <c r="M603" s="319" t="str">
        <f>IFERROR(VLOOKUP(H603,Lijsten!$H$1:$I$100,2,0),"")</f>
        <v/>
      </c>
      <c r="N603" s="319" t="str">
        <f ca="1">IFERROR(IF(VLOOKUP(F603,Kostentypen!$A$3:$E$21,3,0)=0,"",IF(OR(F603="Arbeidskosten",F603="Vergoeding"),VLOOKUP(G603,Tb_KostenTypen[],2,0),VLOOKUP(F603,Kostentypen!$A$3:$E$20,3,0))),"")</f>
        <v/>
      </c>
      <c r="O603" s="320" t="str" cm="1">
        <f t="array" ref="O603">_xlfn.IFNA(IF(INDEX(Tb_KostenOptiesDB[],MATCH($F603,Tb_KostenOptiesDB[KostenOptie],0),IFERROR(MATCH(Methode_Keuze,Tb_KostenOptiesDB[#Headers],0),2))=1,_xlfn.SWITCH($N603,"Uurtarief",IF(OR(AND(RIGHT($F603,3)="IKS",VLOOKUP($M603,DB_Loonkosten,2,0)="Ja"),AND(RIGHT($F603,3)&lt;&gt;"IKS",VLOOKUP($M603,DB_Loonkosten,2,0)="Nee")),IFERROR(VLOOKUP($M603,DB_Loonkosten,24,0),""),0),"Vast tarief",IF(LEFT(F603,8)="Bijdrage",VLOOKUP($F603,Tb_KostenTypen[],MATCH(Lijsten!$P$1,Tb_KostenTypen[#Headers],0),0),VLOOKUP($G603,Lijsten!L:P,MATCH(Lijsten!$P$1,Kop_Tarief_Vast,0),0))),""),"")</f>
        <v/>
      </c>
      <c r="P603" s="320" t="str" cm="1">
        <f t="array" ref="P603">_xlfn.IFNA(IF(INDEX(Tb_KostenOptiesDB[],MATCH($F603,Tb_KostenOptiesDB[KostenOptie],0),IFERROR(MATCH(Methode_Keuze,Tb_KostenOptiesDB[#Headers],0),2))=1,_xlfn.SWITCH($N603,"Uurtarief",IF(OR(AND(RIGHT($F603,3)="IKS",VLOOKUP($M603,DB_Loonkosten,2,0)="Ja"),AND(RIGHT($F603,3)&lt;&gt;"IKS",VLOOKUP($M603,DB_Loonkosten,2,0)="Nee")),IFERROR(VLOOKUP($M603,DB_Loonkosten,25,0),""),0),"Vast tarief",IF(LEFT(F603,8)="Bijdrage",VLOOKUP($F603,Tb_KostenTypen[],MATCH(Lijsten!$P$1,Tb_KostenTypen[#Headers],0),0),VLOOKUP($G603,Lijsten!L:P,MATCH(Lijsten!$P$1,Kop_Tarief_Vast,0),0))),""),"")</f>
        <v/>
      </c>
      <c r="Q603" s="359"/>
      <c r="R603" s="359"/>
      <c r="S603" s="321"/>
      <c r="T603" s="321"/>
      <c r="U603" s="373" t="str">
        <f t="shared" si="36"/>
        <v/>
      </c>
      <c r="V603" s="314" t="str">
        <f t="shared" si="37"/>
        <v/>
      </c>
      <c r="W603" s="314" t="str" cm="1">
        <f t="array" aca="1" ref="W603" ca="1">IFERROR(IF(AE603&lt;&gt;"ja",_xlfn.IFNA(_xlfn.IFS(AND(O603&lt;&gt;"",F603&lt;&gt;"",RIGHT($N603,6)="tarief",F603="Vergoeding"),SUM(O603)*FLOOR(SUM(Q603),0.0001),AND(O603&lt;&gt;"",F603&lt;&gt;"",RIGHT($N603,6)="tarief"),SUM(O603)*FLOOR(SUM(Q603),0.01),S603&gt;0,IF(F603&lt;&gt;"",FLOOR(SUM(S603),0.01),"")),""),""),"")</f>
        <v/>
      </c>
      <c r="X603" s="314" t="str" cm="1">
        <f t="array" aca="1" ref="X603" ca="1">IFERROR(IF(AE603&lt;&gt;"ja",_xlfn.IFNA(_xlfn.IFS(AND(P603&lt;&gt;"",R603&lt;&gt;"",RIGHT($N603,6)="tarief",F603="Vergoeding"),SUM(P603)*FLOOR(SUM(R603),0.0001),AND(P603&lt;&gt;"",R603&lt;&gt;"",RIGHT($N603,6)="tarief"),P603*FLOOR(R603,0.01),T603&gt;0,FLOOR(SUM(T603),0.01)),""),""),"")</f>
        <v/>
      </c>
      <c r="Y603" s="314" t="str">
        <f t="shared" ca="1" si="38"/>
        <v/>
      </c>
      <c r="Z603" s="314" t="str" cm="1">
        <f t="array" aca="1" ref="Z603" ca="1">IFERROR(_xlfn.IFS(OR(F603="",LEFT(Methode_Keuze,4)="Geen",Methode_Keuze=""),"",AND(W603&lt;&gt;"",F603&lt;&gt;"Arbeidskosten"),W603*VLOOKUP(F603,Tb_ProjectKosten[],MATCH(Tb_ProjectKosten[[#Headers],[Forfait_Percentage]],Tb_ProjectKosten[#Headers],0),0),AND(F603="Arbeidskosten",G603&lt;&gt;""),IFERROR(W603*VLOOKUP(G603,Tb_KostenTypen[],3,0)*VLOOKUP(F603,Tb_ProjectKosten[],MATCH(Tb_ProjectKosten[[#Headers],[Forfait_Percentage]],Tb_ProjectKosten[#Headers],0),0),""),W603 &lt;=0,0),"")</f>
        <v/>
      </c>
      <c r="AA603" s="314" t="str" cm="1">
        <f t="array" aca="1" ref="AA603" ca="1">IFERROR(_xlfn.IFS(OR(F603="",LEFT(Methode_Keuze,4)="Geen",Methode_Keuze=""),"",AND(X603&lt;&gt;"",F603&lt;&gt;"Arbeidskosten"),X603*VLOOKUP(F603,Tb_ProjectKosten[],MATCH(Tb_ProjectKosten[[#Headers],[Forfait_Percentage]],Tb_ProjectKosten[#Headers],0),0),AND(F603="Arbeidskosten",G603&lt;&gt;""),IFERROR(X603*VLOOKUP(G603,Tb_KostenTypen[],3,0)*VLOOKUP(F603,Tb_ProjectKosten[],MATCH(Tb_ProjectKosten[[#Headers],[Forfait_Percentage]],Tb_ProjectKosten[#Headers],0),0),""),X603 &lt;=0,0),"")</f>
        <v/>
      </c>
      <c r="AB603" s="314" t="str">
        <f t="shared" ca="1" si="39"/>
        <v/>
      </c>
      <c r="AC603" s="322"/>
      <c r="AD603" s="315"/>
      <c r="AE603" s="32" t="str" cm="1">
        <f t="array" ref="AE603">IFERROR(IF(INDEX(SubsidieTabel!$AD$1:$AG$12,MATCH($F603,SubsidieTabel!$AD$1:$AD$12,0),IFERROR(MATCH(Methode_Keuze,SubsidieTabel!$AD$1:$AG$1,0),2))&lt;&gt;1=TRUE,"ja",""),"")</f>
        <v/>
      </c>
    </row>
    <row r="604" spans="1:31" x14ac:dyDescent="0.25">
      <c r="A604" s="316"/>
      <c r="B604" s="317" t="str">
        <f>IF(A604&lt;&gt;"",_xlfn.MAXIFS($B$1:B603,$A$1:A603,A604)+1,"")</f>
        <v/>
      </c>
      <c r="C604" s="296"/>
      <c r="D604" s="296"/>
      <c r="E604" s="296"/>
      <c r="F604" s="296"/>
      <c r="G604" s="326"/>
      <c r="H604" s="324"/>
      <c r="I604" s="325"/>
      <c r="J604" s="325"/>
      <c r="K604" s="318"/>
      <c r="L604" s="318"/>
      <c r="M604" s="319" t="str">
        <f>IFERROR(VLOOKUP(H604,Lijsten!$H$1:$I$100,2,0),"")</f>
        <v/>
      </c>
      <c r="N604" s="319" t="str">
        <f ca="1">IFERROR(IF(VLOOKUP(F604,Kostentypen!$A$3:$E$21,3,0)=0,"",IF(OR(F604="Arbeidskosten",F604="Vergoeding"),VLOOKUP(G604,Tb_KostenTypen[],2,0),VLOOKUP(F604,Kostentypen!$A$3:$E$20,3,0))),"")</f>
        <v/>
      </c>
      <c r="O604" s="320" t="str" cm="1">
        <f t="array" ref="O604">_xlfn.IFNA(IF(INDEX(Tb_KostenOptiesDB[],MATCH($F604,Tb_KostenOptiesDB[KostenOptie],0),IFERROR(MATCH(Methode_Keuze,Tb_KostenOptiesDB[#Headers],0),2))=1,_xlfn.SWITCH($N604,"Uurtarief",IF(OR(AND(RIGHT($F604,3)="IKS",VLOOKUP($M604,DB_Loonkosten,2,0)="Ja"),AND(RIGHT($F604,3)&lt;&gt;"IKS",VLOOKUP($M604,DB_Loonkosten,2,0)="Nee")),IFERROR(VLOOKUP($M604,DB_Loonkosten,24,0),""),0),"Vast tarief",IF(LEFT(F604,8)="Bijdrage",VLOOKUP($F604,Tb_KostenTypen[],MATCH(Lijsten!$P$1,Tb_KostenTypen[#Headers],0),0),VLOOKUP($G604,Lijsten!L:P,MATCH(Lijsten!$P$1,Kop_Tarief_Vast,0),0))),""),"")</f>
        <v/>
      </c>
      <c r="P604" s="320" t="str" cm="1">
        <f t="array" ref="P604">_xlfn.IFNA(IF(INDEX(Tb_KostenOptiesDB[],MATCH($F604,Tb_KostenOptiesDB[KostenOptie],0),IFERROR(MATCH(Methode_Keuze,Tb_KostenOptiesDB[#Headers],0),2))=1,_xlfn.SWITCH($N604,"Uurtarief",IF(OR(AND(RIGHT($F604,3)="IKS",VLOOKUP($M604,DB_Loonkosten,2,0)="Ja"),AND(RIGHT($F604,3)&lt;&gt;"IKS",VLOOKUP($M604,DB_Loonkosten,2,0)="Nee")),IFERROR(VLOOKUP($M604,DB_Loonkosten,25,0),""),0),"Vast tarief",IF(LEFT(F604,8)="Bijdrage",VLOOKUP($F604,Tb_KostenTypen[],MATCH(Lijsten!$P$1,Tb_KostenTypen[#Headers],0),0),VLOOKUP($G604,Lijsten!L:P,MATCH(Lijsten!$P$1,Kop_Tarief_Vast,0),0))),""),"")</f>
        <v/>
      </c>
      <c r="Q604" s="359"/>
      <c r="R604" s="359"/>
      <c r="S604" s="321"/>
      <c r="T604" s="321"/>
      <c r="U604" s="373" t="str">
        <f t="shared" si="36"/>
        <v/>
      </c>
      <c r="V604" s="314" t="str">
        <f t="shared" si="37"/>
        <v/>
      </c>
      <c r="W604" s="314" t="str" cm="1">
        <f t="array" aca="1" ref="W604" ca="1">IFERROR(IF(AE604&lt;&gt;"ja",_xlfn.IFNA(_xlfn.IFS(AND(O604&lt;&gt;"",F604&lt;&gt;"",RIGHT($N604,6)="tarief",F604="Vergoeding"),SUM(O604)*FLOOR(SUM(Q604),0.0001),AND(O604&lt;&gt;"",F604&lt;&gt;"",RIGHT($N604,6)="tarief"),SUM(O604)*FLOOR(SUM(Q604),0.01),S604&gt;0,IF(F604&lt;&gt;"",FLOOR(SUM(S604),0.01),"")),""),""),"")</f>
        <v/>
      </c>
      <c r="X604" s="314" t="str" cm="1">
        <f t="array" aca="1" ref="X604" ca="1">IFERROR(IF(AE604&lt;&gt;"ja",_xlfn.IFNA(_xlfn.IFS(AND(P604&lt;&gt;"",R604&lt;&gt;"",RIGHT($N604,6)="tarief",F604="Vergoeding"),SUM(P604)*FLOOR(SUM(R604),0.0001),AND(P604&lt;&gt;"",R604&lt;&gt;"",RIGHT($N604,6)="tarief"),P604*FLOOR(R604,0.01),T604&gt;0,FLOOR(SUM(T604),0.01)),""),""),"")</f>
        <v/>
      </c>
      <c r="Y604" s="314" t="str">
        <f t="shared" ca="1" si="38"/>
        <v/>
      </c>
      <c r="Z604" s="314" t="str" cm="1">
        <f t="array" aca="1" ref="Z604" ca="1">IFERROR(_xlfn.IFS(OR(F604="",LEFT(Methode_Keuze,4)="Geen",Methode_Keuze=""),"",AND(W604&lt;&gt;"",F604&lt;&gt;"Arbeidskosten"),W604*VLOOKUP(F604,Tb_ProjectKosten[],MATCH(Tb_ProjectKosten[[#Headers],[Forfait_Percentage]],Tb_ProjectKosten[#Headers],0),0),AND(F604="Arbeidskosten",G604&lt;&gt;""),IFERROR(W604*VLOOKUP(G604,Tb_KostenTypen[],3,0)*VLOOKUP(F604,Tb_ProjectKosten[],MATCH(Tb_ProjectKosten[[#Headers],[Forfait_Percentage]],Tb_ProjectKosten[#Headers],0),0),""),W604 &lt;=0,0),"")</f>
        <v/>
      </c>
      <c r="AA604" s="314" t="str" cm="1">
        <f t="array" aca="1" ref="AA604" ca="1">IFERROR(_xlfn.IFS(OR(F604="",LEFT(Methode_Keuze,4)="Geen",Methode_Keuze=""),"",AND(X604&lt;&gt;"",F604&lt;&gt;"Arbeidskosten"),X604*VLOOKUP(F604,Tb_ProjectKosten[],MATCH(Tb_ProjectKosten[[#Headers],[Forfait_Percentage]],Tb_ProjectKosten[#Headers],0),0),AND(F604="Arbeidskosten",G604&lt;&gt;""),IFERROR(X604*VLOOKUP(G604,Tb_KostenTypen[],3,0)*VLOOKUP(F604,Tb_ProjectKosten[],MATCH(Tb_ProjectKosten[[#Headers],[Forfait_Percentage]],Tb_ProjectKosten[#Headers],0),0),""),X604 &lt;=0,0),"")</f>
        <v/>
      </c>
      <c r="AB604" s="314" t="str">
        <f t="shared" ca="1" si="39"/>
        <v/>
      </c>
      <c r="AC604" s="322"/>
      <c r="AD604" s="315"/>
      <c r="AE604" s="32" t="str" cm="1">
        <f t="array" ref="AE604">IFERROR(IF(INDEX(SubsidieTabel!$AD$1:$AG$12,MATCH($F604,SubsidieTabel!$AD$1:$AD$12,0),IFERROR(MATCH(Methode_Keuze,SubsidieTabel!$AD$1:$AG$1,0),2))&lt;&gt;1=TRUE,"ja",""),"")</f>
        <v/>
      </c>
    </row>
    <row r="605" spans="1:31" x14ac:dyDescent="0.25">
      <c r="A605" s="316"/>
      <c r="B605" s="317" t="str">
        <f>IF(A605&lt;&gt;"",_xlfn.MAXIFS($B$1:B604,$A$1:A604,A605)+1,"")</f>
        <v/>
      </c>
      <c r="C605" s="296"/>
      <c r="D605" s="296"/>
      <c r="E605" s="296"/>
      <c r="F605" s="296"/>
      <c r="G605" s="326"/>
      <c r="H605" s="324"/>
      <c r="I605" s="325"/>
      <c r="J605" s="325"/>
      <c r="K605" s="318"/>
      <c r="L605" s="318"/>
      <c r="M605" s="319" t="str">
        <f>IFERROR(VLOOKUP(H605,Lijsten!$H$1:$I$100,2,0),"")</f>
        <v/>
      </c>
      <c r="N605" s="319" t="str">
        <f ca="1">IFERROR(IF(VLOOKUP(F605,Kostentypen!$A$3:$E$21,3,0)=0,"",IF(OR(F605="Arbeidskosten",F605="Vergoeding"),VLOOKUP(G605,Tb_KostenTypen[],2,0),VLOOKUP(F605,Kostentypen!$A$3:$E$20,3,0))),"")</f>
        <v/>
      </c>
      <c r="O605" s="320" t="str" cm="1">
        <f t="array" ref="O605">_xlfn.IFNA(IF(INDEX(Tb_KostenOptiesDB[],MATCH($F605,Tb_KostenOptiesDB[KostenOptie],0),IFERROR(MATCH(Methode_Keuze,Tb_KostenOptiesDB[#Headers],0),2))=1,_xlfn.SWITCH($N605,"Uurtarief",IF(OR(AND(RIGHT($F605,3)="IKS",VLOOKUP($M605,DB_Loonkosten,2,0)="Ja"),AND(RIGHT($F605,3)&lt;&gt;"IKS",VLOOKUP($M605,DB_Loonkosten,2,0)="Nee")),IFERROR(VLOOKUP($M605,DB_Loonkosten,24,0),""),0),"Vast tarief",IF(LEFT(F605,8)="Bijdrage",VLOOKUP($F605,Tb_KostenTypen[],MATCH(Lijsten!$P$1,Tb_KostenTypen[#Headers],0),0),VLOOKUP($G605,Lijsten!L:P,MATCH(Lijsten!$P$1,Kop_Tarief_Vast,0),0))),""),"")</f>
        <v/>
      </c>
      <c r="P605" s="320" t="str" cm="1">
        <f t="array" ref="P605">_xlfn.IFNA(IF(INDEX(Tb_KostenOptiesDB[],MATCH($F605,Tb_KostenOptiesDB[KostenOptie],0),IFERROR(MATCH(Methode_Keuze,Tb_KostenOptiesDB[#Headers],0),2))=1,_xlfn.SWITCH($N605,"Uurtarief",IF(OR(AND(RIGHT($F605,3)="IKS",VLOOKUP($M605,DB_Loonkosten,2,0)="Ja"),AND(RIGHT($F605,3)&lt;&gt;"IKS",VLOOKUP($M605,DB_Loonkosten,2,0)="Nee")),IFERROR(VLOOKUP($M605,DB_Loonkosten,25,0),""),0),"Vast tarief",IF(LEFT(F605,8)="Bijdrage",VLOOKUP($F605,Tb_KostenTypen[],MATCH(Lijsten!$P$1,Tb_KostenTypen[#Headers],0),0),VLOOKUP($G605,Lijsten!L:P,MATCH(Lijsten!$P$1,Kop_Tarief_Vast,0),0))),""),"")</f>
        <v/>
      </c>
      <c r="Q605" s="359"/>
      <c r="R605" s="359"/>
      <c r="S605" s="321"/>
      <c r="T605" s="321"/>
      <c r="U605" s="373" t="str">
        <f t="shared" si="36"/>
        <v/>
      </c>
      <c r="V605" s="314" t="str">
        <f t="shared" si="37"/>
        <v/>
      </c>
      <c r="W605" s="314" t="str" cm="1">
        <f t="array" aca="1" ref="W605" ca="1">IFERROR(IF(AE605&lt;&gt;"ja",_xlfn.IFNA(_xlfn.IFS(AND(O605&lt;&gt;"",F605&lt;&gt;"",RIGHT($N605,6)="tarief",F605="Vergoeding"),SUM(O605)*FLOOR(SUM(Q605),0.0001),AND(O605&lt;&gt;"",F605&lt;&gt;"",RIGHT($N605,6)="tarief"),SUM(O605)*FLOOR(SUM(Q605),0.01),S605&gt;0,IF(F605&lt;&gt;"",FLOOR(SUM(S605),0.01),"")),""),""),"")</f>
        <v/>
      </c>
      <c r="X605" s="314" t="str" cm="1">
        <f t="array" aca="1" ref="X605" ca="1">IFERROR(IF(AE605&lt;&gt;"ja",_xlfn.IFNA(_xlfn.IFS(AND(P605&lt;&gt;"",R605&lt;&gt;"",RIGHT($N605,6)="tarief",F605="Vergoeding"),SUM(P605)*FLOOR(SUM(R605),0.0001),AND(P605&lt;&gt;"",R605&lt;&gt;"",RIGHT($N605,6)="tarief"),P605*FLOOR(R605,0.01),T605&gt;0,FLOOR(SUM(T605),0.01)),""),""),"")</f>
        <v/>
      </c>
      <c r="Y605" s="314" t="str">
        <f t="shared" ca="1" si="38"/>
        <v/>
      </c>
      <c r="Z605" s="314" t="str" cm="1">
        <f t="array" aca="1" ref="Z605" ca="1">IFERROR(_xlfn.IFS(OR(F605="",LEFT(Methode_Keuze,4)="Geen",Methode_Keuze=""),"",AND(W605&lt;&gt;"",F605&lt;&gt;"Arbeidskosten"),W605*VLOOKUP(F605,Tb_ProjectKosten[],MATCH(Tb_ProjectKosten[[#Headers],[Forfait_Percentage]],Tb_ProjectKosten[#Headers],0),0),AND(F605="Arbeidskosten",G605&lt;&gt;""),IFERROR(W605*VLOOKUP(G605,Tb_KostenTypen[],3,0)*VLOOKUP(F605,Tb_ProjectKosten[],MATCH(Tb_ProjectKosten[[#Headers],[Forfait_Percentage]],Tb_ProjectKosten[#Headers],0),0),""),W605 &lt;=0,0),"")</f>
        <v/>
      </c>
      <c r="AA605" s="314" t="str" cm="1">
        <f t="array" aca="1" ref="AA605" ca="1">IFERROR(_xlfn.IFS(OR(F605="",LEFT(Methode_Keuze,4)="Geen",Methode_Keuze=""),"",AND(X605&lt;&gt;"",F605&lt;&gt;"Arbeidskosten"),X605*VLOOKUP(F605,Tb_ProjectKosten[],MATCH(Tb_ProjectKosten[[#Headers],[Forfait_Percentage]],Tb_ProjectKosten[#Headers],0),0),AND(F605="Arbeidskosten",G605&lt;&gt;""),IFERROR(X605*VLOOKUP(G605,Tb_KostenTypen[],3,0)*VLOOKUP(F605,Tb_ProjectKosten[],MATCH(Tb_ProjectKosten[[#Headers],[Forfait_Percentage]],Tb_ProjectKosten[#Headers],0),0),""),X605 &lt;=0,0),"")</f>
        <v/>
      </c>
      <c r="AB605" s="314" t="str">
        <f t="shared" ca="1" si="39"/>
        <v/>
      </c>
      <c r="AC605" s="322"/>
      <c r="AD605" s="315"/>
      <c r="AE605" s="32" t="str" cm="1">
        <f t="array" ref="AE605">IFERROR(IF(INDEX(SubsidieTabel!$AD$1:$AG$12,MATCH($F605,SubsidieTabel!$AD$1:$AD$12,0),IFERROR(MATCH(Methode_Keuze,SubsidieTabel!$AD$1:$AG$1,0),2))&lt;&gt;1=TRUE,"ja",""),"")</f>
        <v/>
      </c>
    </row>
    <row r="606" spans="1:31" x14ac:dyDescent="0.25">
      <c r="A606" s="316"/>
      <c r="B606" s="317" t="str">
        <f>IF(A606&lt;&gt;"",_xlfn.MAXIFS($B$1:B605,$A$1:A605,A606)+1,"")</f>
        <v/>
      </c>
      <c r="C606" s="296"/>
      <c r="D606" s="296"/>
      <c r="E606" s="296"/>
      <c r="F606" s="296"/>
      <c r="G606" s="326"/>
      <c r="H606" s="324"/>
      <c r="I606" s="325"/>
      <c r="J606" s="325"/>
      <c r="K606" s="318"/>
      <c r="L606" s="318"/>
      <c r="M606" s="319" t="str">
        <f>IFERROR(VLOOKUP(H606,Lijsten!$H$1:$I$100,2,0),"")</f>
        <v/>
      </c>
      <c r="N606" s="319" t="str">
        <f ca="1">IFERROR(IF(VLOOKUP(F606,Kostentypen!$A$3:$E$21,3,0)=0,"",IF(OR(F606="Arbeidskosten",F606="Vergoeding"),VLOOKUP(G606,Tb_KostenTypen[],2,0),VLOOKUP(F606,Kostentypen!$A$3:$E$20,3,0))),"")</f>
        <v/>
      </c>
      <c r="O606" s="320" t="str" cm="1">
        <f t="array" ref="O606">_xlfn.IFNA(IF(INDEX(Tb_KostenOptiesDB[],MATCH($F606,Tb_KostenOptiesDB[KostenOptie],0),IFERROR(MATCH(Methode_Keuze,Tb_KostenOptiesDB[#Headers],0),2))=1,_xlfn.SWITCH($N606,"Uurtarief",IF(OR(AND(RIGHT($F606,3)="IKS",VLOOKUP($M606,DB_Loonkosten,2,0)="Ja"),AND(RIGHT($F606,3)&lt;&gt;"IKS",VLOOKUP($M606,DB_Loonkosten,2,0)="Nee")),IFERROR(VLOOKUP($M606,DB_Loonkosten,24,0),""),0),"Vast tarief",IF(LEFT(F606,8)="Bijdrage",VLOOKUP($F606,Tb_KostenTypen[],MATCH(Lijsten!$P$1,Tb_KostenTypen[#Headers],0),0),VLOOKUP($G606,Lijsten!L:P,MATCH(Lijsten!$P$1,Kop_Tarief_Vast,0),0))),""),"")</f>
        <v/>
      </c>
      <c r="P606" s="320" t="str" cm="1">
        <f t="array" ref="P606">_xlfn.IFNA(IF(INDEX(Tb_KostenOptiesDB[],MATCH($F606,Tb_KostenOptiesDB[KostenOptie],0),IFERROR(MATCH(Methode_Keuze,Tb_KostenOptiesDB[#Headers],0),2))=1,_xlfn.SWITCH($N606,"Uurtarief",IF(OR(AND(RIGHT($F606,3)="IKS",VLOOKUP($M606,DB_Loonkosten,2,0)="Ja"),AND(RIGHT($F606,3)&lt;&gt;"IKS",VLOOKUP($M606,DB_Loonkosten,2,0)="Nee")),IFERROR(VLOOKUP($M606,DB_Loonkosten,25,0),""),0),"Vast tarief",IF(LEFT(F606,8)="Bijdrage",VLOOKUP($F606,Tb_KostenTypen[],MATCH(Lijsten!$P$1,Tb_KostenTypen[#Headers],0),0),VLOOKUP($G606,Lijsten!L:P,MATCH(Lijsten!$P$1,Kop_Tarief_Vast,0),0))),""),"")</f>
        <v/>
      </c>
      <c r="Q606" s="359"/>
      <c r="R606" s="359"/>
      <c r="S606" s="321"/>
      <c r="T606" s="321"/>
      <c r="U606" s="373" t="str">
        <f t="shared" si="36"/>
        <v/>
      </c>
      <c r="V606" s="314" t="str">
        <f t="shared" si="37"/>
        <v/>
      </c>
      <c r="W606" s="314" t="str" cm="1">
        <f t="array" aca="1" ref="W606" ca="1">IFERROR(IF(AE606&lt;&gt;"ja",_xlfn.IFNA(_xlfn.IFS(AND(O606&lt;&gt;"",F606&lt;&gt;"",RIGHT($N606,6)="tarief",F606="Vergoeding"),SUM(O606)*FLOOR(SUM(Q606),0.0001),AND(O606&lt;&gt;"",F606&lt;&gt;"",RIGHT($N606,6)="tarief"),SUM(O606)*FLOOR(SUM(Q606),0.01),S606&gt;0,IF(F606&lt;&gt;"",FLOOR(SUM(S606),0.01),"")),""),""),"")</f>
        <v/>
      </c>
      <c r="X606" s="314" t="str" cm="1">
        <f t="array" aca="1" ref="X606" ca="1">IFERROR(IF(AE606&lt;&gt;"ja",_xlfn.IFNA(_xlfn.IFS(AND(P606&lt;&gt;"",R606&lt;&gt;"",RIGHT($N606,6)="tarief",F606="Vergoeding"),SUM(P606)*FLOOR(SUM(R606),0.0001),AND(P606&lt;&gt;"",R606&lt;&gt;"",RIGHT($N606,6)="tarief"),P606*FLOOR(R606,0.01),T606&gt;0,FLOOR(SUM(T606),0.01)),""),""),"")</f>
        <v/>
      </c>
      <c r="Y606" s="314" t="str">
        <f t="shared" ca="1" si="38"/>
        <v/>
      </c>
      <c r="Z606" s="314" t="str" cm="1">
        <f t="array" aca="1" ref="Z606" ca="1">IFERROR(_xlfn.IFS(OR(F606="",LEFT(Methode_Keuze,4)="Geen",Methode_Keuze=""),"",AND(W606&lt;&gt;"",F606&lt;&gt;"Arbeidskosten"),W606*VLOOKUP(F606,Tb_ProjectKosten[],MATCH(Tb_ProjectKosten[[#Headers],[Forfait_Percentage]],Tb_ProjectKosten[#Headers],0),0),AND(F606="Arbeidskosten",G606&lt;&gt;""),IFERROR(W606*VLOOKUP(G606,Tb_KostenTypen[],3,0)*VLOOKUP(F606,Tb_ProjectKosten[],MATCH(Tb_ProjectKosten[[#Headers],[Forfait_Percentage]],Tb_ProjectKosten[#Headers],0),0),""),W606 &lt;=0,0),"")</f>
        <v/>
      </c>
      <c r="AA606" s="314" t="str" cm="1">
        <f t="array" aca="1" ref="AA606" ca="1">IFERROR(_xlfn.IFS(OR(F606="",LEFT(Methode_Keuze,4)="Geen",Methode_Keuze=""),"",AND(X606&lt;&gt;"",F606&lt;&gt;"Arbeidskosten"),X606*VLOOKUP(F606,Tb_ProjectKosten[],MATCH(Tb_ProjectKosten[[#Headers],[Forfait_Percentage]],Tb_ProjectKosten[#Headers],0),0),AND(F606="Arbeidskosten",G606&lt;&gt;""),IFERROR(X606*VLOOKUP(G606,Tb_KostenTypen[],3,0)*VLOOKUP(F606,Tb_ProjectKosten[],MATCH(Tb_ProjectKosten[[#Headers],[Forfait_Percentage]],Tb_ProjectKosten[#Headers],0),0),""),X606 &lt;=0,0),"")</f>
        <v/>
      </c>
      <c r="AB606" s="314" t="str">
        <f t="shared" ca="1" si="39"/>
        <v/>
      </c>
      <c r="AC606" s="322"/>
      <c r="AD606" s="315"/>
      <c r="AE606" s="32" t="str" cm="1">
        <f t="array" ref="AE606">IFERROR(IF(INDEX(SubsidieTabel!$AD$1:$AG$12,MATCH($F606,SubsidieTabel!$AD$1:$AD$12,0),IFERROR(MATCH(Methode_Keuze,SubsidieTabel!$AD$1:$AG$1,0),2))&lt;&gt;1=TRUE,"ja",""),"")</f>
        <v/>
      </c>
    </row>
    <row r="607" spans="1:31" x14ac:dyDescent="0.25">
      <c r="A607" s="316"/>
      <c r="B607" s="317" t="str">
        <f>IF(A607&lt;&gt;"",_xlfn.MAXIFS($B$1:B606,$A$1:A606,A607)+1,"")</f>
        <v/>
      </c>
      <c r="C607" s="296"/>
      <c r="D607" s="296"/>
      <c r="E607" s="296"/>
      <c r="F607" s="296"/>
      <c r="G607" s="326"/>
      <c r="H607" s="324"/>
      <c r="I607" s="325"/>
      <c r="J607" s="325"/>
      <c r="K607" s="318"/>
      <c r="L607" s="318"/>
      <c r="M607" s="319" t="str">
        <f>IFERROR(VLOOKUP(H607,Lijsten!$H$1:$I$100,2,0),"")</f>
        <v/>
      </c>
      <c r="N607" s="319" t="str">
        <f ca="1">IFERROR(IF(VLOOKUP(F607,Kostentypen!$A$3:$E$21,3,0)=0,"",IF(OR(F607="Arbeidskosten",F607="Vergoeding"),VLOOKUP(G607,Tb_KostenTypen[],2,0),VLOOKUP(F607,Kostentypen!$A$3:$E$20,3,0))),"")</f>
        <v/>
      </c>
      <c r="O607" s="320" t="str" cm="1">
        <f t="array" ref="O607">_xlfn.IFNA(IF(INDEX(Tb_KostenOptiesDB[],MATCH($F607,Tb_KostenOptiesDB[KostenOptie],0),IFERROR(MATCH(Methode_Keuze,Tb_KostenOptiesDB[#Headers],0),2))=1,_xlfn.SWITCH($N607,"Uurtarief",IF(OR(AND(RIGHT($F607,3)="IKS",VLOOKUP($M607,DB_Loonkosten,2,0)="Ja"),AND(RIGHT($F607,3)&lt;&gt;"IKS",VLOOKUP($M607,DB_Loonkosten,2,0)="Nee")),IFERROR(VLOOKUP($M607,DB_Loonkosten,24,0),""),0),"Vast tarief",IF(LEFT(F607,8)="Bijdrage",VLOOKUP($F607,Tb_KostenTypen[],MATCH(Lijsten!$P$1,Tb_KostenTypen[#Headers],0),0),VLOOKUP($G607,Lijsten!L:P,MATCH(Lijsten!$P$1,Kop_Tarief_Vast,0),0))),""),"")</f>
        <v/>
      </c>
      <c r="P607" s="320" t="str" cm="1">
        <f t="array" ref="P607">_xlfn.IFNA(IF(INDEX(Tb_KostenOptiesDB[],MATCH($F607,Tb_KostenOptiesDB[KostenOptie],0),IFERROR(MATCH(Methode_Keuze,Tb_KostenOptiesDB[#Headers],0),2))=1,_xlfn.SWITCH($N607,"Uurtarief",IF(OR(AND(RIGHT($F607,3)="IKS",VLOOKUP($M607,DB_Loonkosten,2,0)="Ja"),AND(RIGHT($F607,3)&lt;&gt;"IKS",VLOOKUP($M607,DB_Loonkosten,2,0)="Nee")),IFERROR(VLOOKUP($M607,DB_Loonkosten,25,0),""),0),"Vast tarief",IF(LEFT(F607,8)="Bijdrage",VLOOKUP($F607,Tb_KostenTypen[],MATCH(Lijsten!$P$1,Tb_KostenTypen[#Headers],0),0),VLOOKUP($G607,Lijsten!L:P,MATCH(Lijsten!$P$1,Kop_Tarief_Vast,0),0))),""),"")</f>
        <v/>
      </c>
      <c r="Q607" s="359"/>
      <c r="R607" s="359"/>
      <c r="S607" s="321"/>
      <c r="T607" s="321"/>
      <c r="U607" s="373" t="str">
        <f t="shared" si="36"/>
        <v/>
      </c>
      <c r="V607" s="314" t="str">
        <f t="shared" si="37"/>
        <v/>
      </c>
      <c r="W607" s="314" t="str" cm="1">
        <f t="array" aca="1" ref="W607" ca="1">IFERROR(IF(AE607&lt;&gt;"ja",_xlfn.IFNA(_xlfn.IFS(AND(O607&lt;&gt;"",F607&lt;&gt;"",RIGHT($N607,6)="tarief",F607="Vergoeding"),SUM(O607)*FLOOR(SUM(Q607),0.0001),AND(O607&lt;&gt;"",F607&lt;&gt;"",RIGHT($N607,6)="tarief"),SUM(O607)*FLOOR(SUM(Q607),0.01),S607&gt;0,IF(F607&lt;&gt;"",FLOOR(SUM(S607),0.01),"")),""),""),"")</f>
        <v/>
      </c>
      <c r="X607" s="314" t="str" cm="1">
        <f t="array" aca="1" ref="X607" ca="1">IFERROR(IF(AE607&lt;&gt;"ja",_xlfn.IFNA(_xlfn.IFS(AND(P607&lt;&gt;"",R607&lt;&gt;"",RIGHT($N607,6)="tarief",F607="Vergoeding"),SUM(P607)*FLOOR(SUM(R607),0.0001),AND(P607&lt;&gt;"",R607&lt;&gt;"",RIGHT($N607,6)="tarief"),P607*FLOOR(R607,0.01),T607&gt;0,FLOOR(SUM(T607),0.01)),""),""),"")</f>
        <v/>
      </c>
      <c r="Y607" s="314" t="str">
        <f t="shared" ca="1" si="38"/>
        <v/>
      </c>
      <c r="Z607" s="314" t="str" cm="1">
        <f t="array" aca="1" ref="Z607" ca="1">IFERROR(_xlfn.IFS(OR(F607="",LEFT(Methode_Keuze,4)="Geen",Methode_Keuze=""),"",AND(W607&lt;&gt;"",F607&lt;&gt;"Arbeidskosten"),W607*VLOOKUP(F607,Tb_ProjectKosten[],MATCH(Tb_ProjectKosten[[#Headers],[Forfait_Percentage]],Tb_ProjectKosten[#Headers],0),0),AND(F607="Arbeidskosten",G607&lt;&gt;""),IFERROR(W607*VLOOKUP(G607,Tb_KostenTypen[],3,0)*VLOOKUP(F607,Tb_ProjectKosten[],MATCH(Tb_ProjectKosten[[#Headers],[Forfait_Percentage]],Tb_ProjectKosten[#Headers],0),0),""),W607 &lt;=0,0),"")</f>
        <v/>
      </c>
      <c r="AA607" s="314" t="str" cm="1">
        <f t="array" aca="1" ref="AA607" ca="1">IFERROR(_xlfn.IFS(OR(F607="",LEFT(Methode_Keuze,4)="Geen",Methode_Keuze=""),"",AND(X607&lt;&gt;"",F607&lt;&gt;"Arbeidskosten"),X607*VLOOKUP(F607,Tb_ProjectKosten[],MATCH(Tb_ProjectKosten[[#Headers],[Forfait_Percentage]],Tb_ProjectKosten[#Headers],0),0),AND(F607="Arbeidskosten",G607&lt;&gt;""),IFERROR(X607*VLOOKUP(G607,Tb_KostenTypen[],3,0)*VLOOKUP(F607,Tb_ProjectKosten[],MATCH(Tb_ProjectKosten[[#Headers],[Forfait_Percentage]],Tb_ProjectKosten[#Headers],0),0),""),X607 &lt;=0,0),"")</f>
        <v/>
      </c>
      <c r="AB607" s="314" t="str">
        <f t="shared" ca="1" si="39"/>
        <v/>
      </c>
      <c r="AC607" s="322"/>
      <c r="AD607" s="315"/>
      <c r="AE607" s="32" t="str" cm="1">
        <f t="array" ref="AE607">IFERROR(IF(INDEX(SubsidieTabel!$AD$1:$AG$12,MATCH($F607,SubsidieTabel!$AD$1:$AD$12,0),IFERROR(MATCH(Methode_Keuze,SubsidieTabel!$AD$1:$AG$1,0),2))&lt;&gt;1=TRUE,"ja",""),"")</f>
        <v/>
      </c>
    </row>
    <row r="608" spans="1:31" x14ac:dyDescent="0.25">
      <c r="A608" s="316"/>
      <c r="B608" s="317" t="str">
        <f>IF(A608&lt;&gt;"",_xlfn.MAXIFS($B$1:B607,$A$1:A607,A608)+1,"")</f>
        <v/>
      </c>
      <c r="C608" s="296"/>
      <c r="D608" s="296"/>
      <c r="E608" s="296"/>
      <c r="F608" s="296"/>
      <c r="G608" s="326"/>
      <c r="H608" s="324"/>
      <c r="I608" s="325"/>
      <c r="J608" s="325"/>
      <c r="K608" s="318"/>
      <c r="L608" s="318"/>
      <c r="M608" s="319" t="str">
        <f>IFERROR(VLOOKUP(H608,Lijsten!$H$1:$I$100,2,0),"")</f>
        <v/>
      </c>
      <c r="N608" s="319" t="str">
        <f ca="1">IFERROR(IF(VLOOKUP(F608,Kostentypen!$A$3:$E$21,3,0)=0,"",IF(OR(F608="Arbeidskosten",F608="Vergoeding"),VLOOKUP(G608,Tb_KostenTypen[],2,0),VLOOKUP(F608,Kostentypen!$A$3:$E$20,3,0))),"")</f>
        <v/>
      </c>
      <c r="O608" s="320" t="str" cm="1">
        <f t="array" ref="O608">_xlfn.IFNA(IF(INDEX(Tb_KostenOptiesDB[],MATCH($F608,Tb_KostenOptiesDB[KostenOptie],0),IFERROR(MATCH(Methode_Keuze,Tb_KostenOptiesDB[#Headers],0),2))=1,_xlfn.SWITCH($N608,"Uurtarief",IF(OR(AND(RIGHT($F608,3)="IKS",VLOOKUP($M608,DB_Loonkosten,2,0)="Ja"),AND(RIGHT($F608,3)&lt;&gt;"IKS",VLOOKUP($M608,DB_Loonkosten,2,0)="Nee")),IFERROR(VLOOKUP($M608,DB_Loonkosten,24,0),""),0),"Vast tarief",IF(LEFT(F608,8)="Bijdrage",VLOOKUP($F608,Tb_KostenTypen[],MATCH(Lijsten!$P$1,Tb_KostenTypen[#Headers],0),0),VLOOKUP($G608,Lijsten!L:P,MATCH(Lijsten!$P$1,Kop_Tarief_Vast,0),0))),""),"")</f>
        <v/>
      </c>
      <c r="P608" s="320" t="str" cm="1">
        <f t="array" ref="P608">_xlfn.IFNA(IF(INDEX(Tb_KostenOptiesDB[],MATCH($F608,Tb_KostenOptiesDB[KostenOptie],0),IFERROR(MATCH(Methode_Keuze,Tb_KostenOptiesDB[#Headers],0),2))=1,_xlfn.SWITCH($N608,"Uurtarief",IF(OR(AND(RIGHT($F608,3)="IKS",VLOOKUP($M608,DB_Loonkosten,2,0)="Ja"),AND(RIGHT($F608,3)&lt;&gt;"IKS",VLOOKUP($M608,DB_Loonkosten,2,0)="Nee")),IFERROR(VLOOKUP($M608,DB_Loonkosten,25,0),""),0),"Vast tarief",IF(LEFT(F608,8)="Bijdrage",VLOOKUP($F608,Tb_KostenTypen[],MATCH(Lijsten!$P$1,Tb_KostenTypen[#Headers],0),0),VLOOKUP($G608,Lijsten!L:P,MATCH(Lijsten!$P$1,Kop_Tarief_Vast,0),0))),""),"")</f>
        <v/>
      </c>
      <c r="Q608" s="359"/>
      <c r="R608" s="359"/>
      <c r="S608" s="321"/>
      <c r="T608" s="321"/>
      <c r="U608" s="373" t="str">
        <f t="shared" si="36"/>
        <v/>
      </c>
      <c r="V608" s="314" t="str">
        <f t="shared" si="37"/>
        <v/>
      </c>
      <c r="W608" s="314" t="str" cm="1">
        <f t="array" aca="1" ref="W608" ca="1">IFERROR(IF(AE608&lt;&gt;"ja",_xlfn.IFNA(_xlfn.IFS(AND(O608&lt;&gt;"",F608&lt;&gt;"",RIGHT($N608,6)="tarief",F608="Vergoeding"),SUM(O608)*FLOOR(SUM(Q608),0.0001),AND(O608&lt;&gt;"",F608&lt;&gt;"",RIGHT($N608,6)="tarief"),SUM(O608)*FLOOR(SUM(Q608),0.01),S608&gt;0,IF(F608&lt;&gt;"",FLOOR(SUM(S608),0.01),"")),""),""),"")</f>
        <v/>
      </c>
      <c r="X608" s="314" t="str" cm="1">
        <f t="array" aca="1" ref="X608" ca="1">IFERROR(IF(AE608&lt;&gt;"ja",_xlfn.IFNA(_xlfn.IFS(AND(P608&lt;&gt;"",R608&lt;&gt;"",RIGHT($N608,6)="tarief",F608="Vergoeding"),SUM(P608)*FLOOR(SUM(R608),0.0001),AND(P608&lt;&gt;"",R608&lt;&gt;"",RIGHT($N608,6)="tarief"),P608*FLOOR(R608,0.01),T608&gt;0,FLOOR(SUM(T608),0.01)),""),""),"")</f>
        <v/>
      </c>
      <c r="Y608" s="314" t="str">
        <f t="shared" ca="1" si="38"/>
        <v/>
      </c>
      <c r="Z608" s="314" t="str" cm="1">
        <f t="array" aca="1" ref="Z608" ca="1">IFERROR(_xlfn.IFS(OR(F608="",LEFT(Methode_Keuze,4)="Geen",Methode_Keuze=""),"",AND(W608&lt;&gt;"",F608&lt;&gt;"Arbeidskosten"),W608*VLOOKUP(F608,Tb_ProjectKosten[],MATCH(Tb_ProjectKosten[[#Headers],[Forfait_Percentage]],Tb_ProjectKosten[#Headers],0),0),AND(F608="Arbeidskosten",G608&lt;&gt;""),IFERROR(W608*VLOOKUP(G608,Tb_KostenTypen[],3,0)*VLOOKUP(F608,Tb_ProjectKosten[],MATCH(Tb_ProjectKosten[[#Headers],[Forfait_Percentage]],Tb_ProjectKosten[#Headers],0),0),""),W608 &lt;=0,0),"")</f>
        <v/>
      </c>
      <c r="AA608" s="314" t="str" cm="1">
        <f t="array" aca="1" ref="AA608" ca="1">IFERROR(_xlfn.IFS(OR(F608="",LEFT(Methode_Keuze,4)="Geen",Methode_Keuze=""),"",AND(X608&lt;&gt;"",F608&lt;&gt;"Arbeidskosten"),X608*VLOOKUP(F608,Tb_ProjectKosten[],MATCH(Tb_ProjectKosten[[#Headers],[Forfait_Percentage]],Tb_ProjectKosten[#Headers],0),0),AND(F608="Arbeidskosten",G608&lt;&gt;""),IFERROR(X608*VLOOKUP(G608,Tb_KostenTypen[],3,0)*VLOOKUP(F608,Tb_ProjectKosten[],MATCH(Tb_ProjectKosten[[#Headers],[Forfait_Percentage]],Tb_ProjectKosten[#Headers],0),0),""),X608 &lt;=0,0),"")</f>
        <v/>
      </c>
      <c r="AB608" s="314" t="str">
        <f t="shared" ca="1" si="39"/>
        <v/>
      </c>
      <c r="AC608" s="322"/>
      <c r="AD608" s="315"/>
      <c r="AE608" s="32" t="str" cm="1">
        <f t="array" ref="AE608">IFERROR(IF(INDEX(SubsidieTabel!$AD$1:$AG$12,MATCH($F608,SubsidieTabel!$AD$1:$AD$12,0),IFERROR(MATCH(Methode_Keuze,SubsidieTabel!$AD$1:$AG$1,0),2))&lt;&gt;1=TRUE,"ja",""),"")</f>
        <v/>
      </c>
    </row>
    <row r="609" spans="1:31" x14ac:dyDescent="0.25">
      <c r="A609" s="316"/>
      <c r="B609" s="317" t="str">
        <f>IF(A609&lt;&gt;"",_xlfn.MAXIFS($B$1:B608,$A$1:A608,A609)+1,"")</f>
        <v/>
      </c>
      <c r="C609" s="296"/>
      <c r="D609" s="296"/>
      <c r="E609" s="296"/>
      <c r="F609" s="296"/>
      <c r="G609" s="326"/>
      <c r="H609" s="324"/>
      <c r="I609" s="325"/>
      <c r="J609" s="325"/>
      <c r="K609" s="318"/>
      <c r="L609" s="318"/>
      <c r="M609" s="319" t="str">
        <f>IFERROR(VLOOKUP(H609,Lijsten!$H$1:$I$100,2,0),"")</f>
        <v/>
      </c>
      <c r="N609" s="319" t="str">
        <f ca="1">IFERROR(IF(VLOOKUP(F609,Kostentypen!$A$3:$E$21,3,0)=0,"",IF(OR(F609="Arbeidskosten",F609="Vergoeding"),VLOOKUP(G609,Tb_KostenTypen[],2,0),VLOOKUP(F609,Kostentypen!$A$3:$E$20,3,0))),"")</f>
        <v/>
      </c>
      <c r="O609" s="320" t="str" cm="1">
        <f t="array" ref="O609">_xlfn.IFNA(IF(INDEX(Tb_KostenOptiesDB[],MATCH($F609,Tb_KostenOptiesDB[KostenOptie],0),IFERROR(MATCH(Methode_Keuze,Tb_KostenOptiesDB[#Headers],0),2))=1,_xlfn.SWITCH($N609,"Uurtarief",IF(OR(AND(RIGHT($F609,3)="IKS",VLOOKUP($M609,DB_Loonkosten,2,0)="Ja"),AND(RIGHT($F609,3)&lt;&gt;"IKS",VLOOKUP($M609,DB_Loonkosten,2,0)="Nee")),IFERROR(VLOOKUP($M609,DB_Loonkosten,24,0),""),0),"Vast tarief",IF(LEFT(F609,8)="Bijdrage",VLOOKUP($F609,Tb_KostenTypen[],MATCH(Lijsten!$P$1,Tb_KostenTypen[#Headers],0),0),VLOOKUP($G609,Lijsten!L:P,MATCH(Lijsten!$P$1,Kop_Tarief_Vast,0),0))),""),"")</f>
        <v/>
      </c>
      <c r="P609" s="320" t="str" cm="1">
        <f t="array" ref="P609">_xlfn.IFNA(IF(INDEX(Tb_KostenOptiesDB[],MATCH($F609,Tb_KostenOptiesDB[KostenOptie],0),IFERROR(MATCH(Methode_Keuze,Tb_KostenOptiesDB[#Headers],0),2))=1,_xlfn.SWITCH($N609,"Uurtarief",IF(OR(AND(RIGHT($F609,3)="IKS",VLOOKUP($M609,DB_Loonkosten,2,0)="Ja"),AND(RIGHT($F609,3)&lt;&gt;"IKS",VLOOKUP($M609,DB_Loonkosten,2,0)="Nee")),IFERROR(VLOOKUP($M609,DB_Loonkosten,25,0),""),0),"Vast tarief",IF(LEFT(F609,8)="Bijdrage",VLOOKUP($F609,Tb_KostenTypen[],MATCH(Lijsten!$P$1,Tb_KostenTypen[#Headers],0),0),VLOOKUP($G609,Lijsten!L:P,MATCH(Lijsten!$P$1,Kop_Tarief_Vast,0),0))),""),"")</f>
        <v/>
      </c>
      <c r="Q609" s="359"/>
      <c r="R609" s="359"/>
      <c r="S609" s="321"/>
      <c r="T609" s="321"/>
      <c r="U609" s="373" t="str">
        <f t="shared" si="36"/>
        <v/>
      </c>
      <c r="V609" s="314" t="str">
        <f t="shared" si="37"/>
        <v/>
      </c>
      <c r="W609" s="314" t="str" cm="1">
        <f t="array" aca="1" ref="W609" ca="1">IFERROR(IF(AE609&lt;&gt;"ja",_xlfn.IFNA(_xlfn.IFS(AND(O609&lt;&gt;"",F609&lt;&gt;"",RIGHT($N609,6)="tarief",F609="Vergoeding"),SUM(O609)*FLOOR(SUM(Q609),0.0001),AND(O609&lt;&gt;"",F609&lt;&gt;"",RIGHT($N609,6)="tarief"),SUM(O609)*FLOOR(SUM(Q609),0.01),S609&gt;0,IF(F609&lt;&gt;"",FLOOR(SUM(S609),0.01),"")),""),""),"")</f>
        <v/>
      </c>
      <c r="X609" s="314" t="str" cm="1">
        <f t="array" aca="1" ref="X609" ca="1">IFERROR(IF(AE609&lt;&gt;"ja",_xlfn.IFNA(_xlfn.IFS(AND(P609&lt;&gt;"",R609&lt;&gt;"",RIGHT($N609,6)="tarief",F609="Vergoeding"),SUM(P609)*FLOOR(SUM(R609),0.0001),AND(P609&lt;&gt;"",R609&lt;&gt;"",RIGHT($N609,6)="tarief"),P609*FLOOR(R609,0.01),T609&gt;0,FLOOR(SUM(T609),0.01)),""),""),"")</f>
        <v/>
      </c>
      <c r="Y609" s="314" t="str">
        <f t="shared" ca="1" si="38"/>
        <v/>
      </c>
      <c r="Z609" s="314" t="str" cm="1">
        <f t="array" aca="1" ref="Z609" ca="1">IFERROR(_xlfn.IFS(OR(F609="",LEFT(Methode_Keuze,4)="Geen",Methode_Keuze=""),"",AND(W609&lt;&gt;"",F609&lt;&gt;"Arbeidskosten"),W609*VLOOKUP(F609,Tb_ProjectKosten[],MATCH(Tb_ProjectKosten[[#Headers],[Forfait_Percentage]],Tb_ProjectKosten[#Headers],0),0),AND(F609="Arbeidskosten",G609&lt;&gt;""),IFERROR(W609*VLOOKUP(G609,Tb_KostenTypen[],3,0)*VLOOKUP(F609,Tb_ProjectKosten[],MATCH(Tb_ProjectKosten[[#Headers],[Forfait_Percentage]],Tb_ProjectKosten[#Headers],0),0),""),W609 &lt;=0,0),"")</f>
        <v/>
      </c>
      <c r="AA609" s="314" t="str" cm="1">
        <f t="array" aca="1" ref="AA609" ca="1">IFERROR(_xlfn.IFS(OR(F609="",LEFT(Methode_Keuze,4)="Geen",Methode_Keuze=""),"",AND(X609&lt;&gt;"",F609&lt;&gt;"Arbeidskosten"),X609*VLOOKUP(F609,Tb_ProjectKosten[],MATCH(Tb_ProjectKosten[[#Headers],[Forfait_Percentage]],Tb_ProjectKosten[#Headers],0),0),AND(F609="Arbeidskosten",G609&lt;&gt;""),IFERROR(X609*VLOOKUP(G609,Tb_KostenTypen[],3,0)*VLOOKUP(F609,Tb_ProjectKosten[],MATCH(Tb_ProjectKosten[[#Headers],[Forfait_Percentage]],Tb_ProjectKosten[#Headers],0),0),""),X609 &lt;=0,0),"")</f>
        <v/>
      </c>
      <c r="AB609" s="314" t="str">
        <f t="shared" ca="1" si="39"/>
        <v/>
      </c>
      <c r="AC609" s="322"/>
      <c r="AD609" s="315"/>
      <c r="AE609" s="32" t="str" cm="1">
        <f t="array" ref="AE609">IFERROR(IF(INDEX(SubsidieTabel!$AD$1:$AG$12,MATCH($F609,SubsidieTabel!$AD$1:$AD$12,0),IFERROR(MATCH(Methode_Keuze,SubsidieTabel!$AD$1:$AG$1,0),2))&lt;&gt;1=TRUE,"ja",""),"")</f>
        <v/>
      </c>
    </row>
    <row r="610" spans="1:31" x14ac:dyDescent="0.25">
      <c r="A610" s="316"/>
      <c r="B610" s="317" t="str">
        <f>IF(A610&lt;&gt;"",_xlfn.MAXIFS($B$1:B609,$A$1:A609,A610)+1,"")</f>
        <v/>
      </c>
      <c r="C610" s="296"/>
      <c r="D610" s="296"/>
      <c r="E610" s="296"/>
      <c r="F610" s="296"/>
      <c r="G610" s="326"/>
      <c r="H610" s="324"/>
      <c r="I610" s="325"/>
      <c r="J610" s="325"/>
      <c r="K610" s="318"/>
      <c r="L610" s="318"/>
      <c r="M610" s="319" t="str">
        <f>IFERROR(VLOOKUP(H610,Lijsten!$H$1:$I$100,2,0),"")</f>
        <v/>
      </c>
      <c r="N610" s="319" t="str">
        <f ca="1">IFERROR(IF(VLOOKUP(F610,Kostentypen!$A$3:$E$21,3,0)=0,"",IF(OR(F610="Arbeidskosten",F610="Vergoeding"),VLOOKUP(G610,Tb_KostenTypen[],2,0),VLOOKUP(F610,Kostentypen!$A$3:$E$20,3,0))),"")</f>
        <v/>
      </c>
      <c r="O610" s="320" t="str" cm="1">
        <f t="array" ref="O610">_xlfn.IFNA(IF(INDEX(Tb_KostenOptiesDB[],MATCH($F610,Tb_KostenOptiesDB[KostenOptie],0),IFERROR(MATCH(Methode_Keuze,Tb_KostenOptiesDB[#Headers],0),2))=1,_xlfn.SWITCH($N610,"Uurtarief",IF(OR(AND(RIGHT($F610,3)="IKS",VLOOKUP($M610,DB_Loonkosten,2,0)="Ja"),AND(RIGHT($F610,3)&lt;&gt;"IKS",VLOOKUP($M610,DB_Loonkosten,2,0)="Nee")),IFERROR(VLOOKUP($M610,DB_Loonkosten,24,0),""),0),"Vast tarief",IF(LEFT(F610,8)="Bijdrage",VLOOKUP($F610,Tb_KostenTypen[],MATCH(Lijsten!$P$1,Tb_KostenTypen[#Headers],0),0),VLOOKUP($G610,Lijsten!L:P,MATCH(Lijsten!$P$1,Kop_Tarief_Vast,0),0))),""),"")</f>
        <v/>
      </c>
      <c r="P610" s="320" t="str" cm="1">
        <f t="array" ref="P610">_xlfn.IFNA(IF(INDEX(Tb_KostenOptiesDB[],MATCH($F610,Tb_KostenOptiesDB[KostenOptie],0),IFERROR(MATCH(Methode_Keuze,Tb_KostenOptiesDB[#Headers],0),2))=1,_xlfn.SWITCH($N610,"Uurtarief",IF(OR(AND(RIGHT($F610,3)="IKS",VLOOKUP($M610,DB_Loonkosten,2,0)="Ja"),AND(RIGHT($F610,3)&lt;&gt;"IKS",VLOOKUP($M610,DB_Loonkosten,2,0)="Nee")),IFERROR(VLOOKUP($M610,DB_Loonkosten,25,0),""),0),"Vast tarief",IF(LEFT(F610,8)="Bijdrage",VLOOKUP($F610,Tb_KostenTypen[],MATCH(Lijsten!$P$1,Tb_KostenTypen[#Headers],0),0),VLOOKUP($G610,Lijsten!L:P,MATCH(Lijsten!$P$1,Kop_Tarief_Vast,0),0))),""),"")</f>
        <v/>
      </c>
      <c r="Q610" s="359"/>
      <c r="R610" s="359"/>
      <c r="S610" s="321"/>
      <c r="T610" s="321"/>
      <c r="U610" s="373" t="str">
        <f t="shared" si="36"/>
        <v/>
      </c>
      <c r="V610" s="314" t="str">
        <f t="shared" si="37"/>
        <v/>
      </c>
      <c r="W610" s="314" t="str" cm="1">
        <f t="array" aca="1" ref="W610" ca="1">IFERROR(IF(AE610&lt;&gt;"ja",_xlfn.IFNA(_xlfn.IFS(AND(O610&lt;&gt;"",F610&lt;&gt;"",RIGHT($N610,6)="tarief",F610="Vergoeding"),SUM(O610)*FLOOR(SUM(Q610),0.0001),AND(O610&lt;&gt;"",F610&lt;&gt;"",RIGHT($N610,6)="tarief"),SUM(O610)*FLOOR(SUM(Q610),0.01),S610&gt;0,IF(F610&lt;&gt;"",FLOOR(SUM(S610),0.01),"")),""),""),"")</f>
        <v/>
      </c>
      <c r="X610" s="314" t="str" cm="1">
        <f t="array" aca="1" ref="X610" ca="1">IFERROR(IF(AE610&lt;&gt;"ja",_xlfn.IFNA(_xlfn.IFS(AND(P610&lt;&gt;"",R610&lt;&gt;"",RIGHT($N610,6)="tarief",F610="Vergoeding"),SUM(P610)*FLOOR(SUM(R610),0.0001),AND(P610&lt;&gt;"",R610&lt;&gt;"",RIGHT($N610,6)="tarief"),P610*FLOOR(R610,0.01),T610&gt;0,FLOOR(SUM(T610),0.01)),""),""),"")</f>
        <v/>
      </c>
      <c r="Y610" s="314" t="str">
        <f t="shared" ca="1" si="38"/>
        <v/>
      </c>
      <c r="Z610" s="314" t="str" cm="1">
        <f t="array" aca="1" ref="Z610" ca="1">IFERROR(_xlfn.IFS(OR(F610="",LEFT(Methode_Keuze,4)="Geen",Methode_Keuze=""),"",AND(W610&lt;&gt;"",F610&lt;&gt;"Arbeidskosten"),W610*VLOOKUP(F610,Tb_ProjectKosten[],MATCH(Tb_ProjectKosten[[#Headers],[Forfait_Percentage]],Tb_ProjectKosten[#Headers],0),0),AND(F610="Arbeidskosten",G610&lt;&gt;""),IFERROR(W610*VLOOKUP(G610,Tb_KostenTypen[],3,0)*VLOOKUP(F610,Tb_ProjectKosten[],MATCH(Tb_ProjectKosten[[#Headers],[Forfait_Percentage]],Tb_ProjectKosten[#Headers],0),0),""),W610 &lt;=0,0),"")</f>
        <v/>
      </c>
      <c r="AA610" s="314" t="str" cm="1">
        <f t="array" aca="1" ref="AA610" ca="1">IFERROR(_xlfn.IFS(OR(F610="",LEFT(Methode_Keuze,4)="Geen",Methode_Keuze=""),"",AND(X610&lt;&gt;"",F610&lt;&gt;"Arbeidskosten"),X610*VLOOKUP(F610,Tb_ProjectKosten[],MATCH(Tb_ProjectKosten[[#Headers],[Forfait_Percentage]],Tb_ProjectKosten[#Headers],0),0),AND(F610="Arbeidskosten",G610&lt;&gt;""),IFERROR(X610*VLOOKUP(G610,Tb_KostenTypen[],3,0)*VLOOKUP(F610,Tb_ProjectKosten[],MATCH(Tb_ProjectKosten[[#Headers],[Forfait_Percentage]],Tb_ProjectKosten[#Headers],0),0),""),X610 &lt;=0,0),"")</f>
        <v/>
      </c>
      <c r="AB610" s="314" t="str">
        <f t="shared" ca="1" si="39"/>
        <v/>
      </c>
      <c r="AC610" s="322"/>
      <c r="AD610" s="315"/>
      <c r="AE610" s="32" t="str" cm="1">
        <f t="array" ref="AE610">IFERROR(IF(INDEX(SubsidieTabel!$AD$1:$AG$12,MATCH($F610,SubsidieTabel!$AD$1:$AD$12,0),IFERROR(MATCH(Methode_Keuze,SubsidieTabel!$AD$1:$AG$1,0),2))&lt;&gt;1=TRUE,"ja",""),"")</f>
        <v/>
      </c>
    </row>
    <row r="611" spans="1:31" x14ac:dyDescent="0.25">
      <c r="A611" s="316"/>
      <c r="B611" s="317" t="str">
        <f>IF(A611&lt;&gt;"",_xlfn.MAXIFS($B$1:B610,$A$1:A610,A611)+1,"")</f>
        <v/>
      </c>
      <c r="C611" s="296"/>
      <c r="D611" s="296"/>
      <c r="E611" s="296"/>
      <c r="F611" s="296"/>
      <c r="G611" s="326"/>
      <c r="H611" s="324"/>
      <c r="I611" s="325"/>
      <c r="J611" s="325"/>
      <c r="K611" s="318"/>
      <c r="L611" s="318"/>
      <c r="M611" s="319" t="str">
        <f>IFERROR(VLOOKUP(H611,Lijsten!$H$1:$I$100,2,0),"")</f>
        <v/>
      </c>
      <c r="N611" s="319" t="str">
        <f ca="1">IFERROR(IF(VLOOKUP(F611,Kostentypen!$A$3:$E$21,3,0)=0,"",IF(OR(F611="Arbeidskosten",F611="Vergoeding"),VLOOKUP(G611,Tb_KostenTypen[],2,0),VLOOKUP(F611,Kostentypen!$A$3:$E$20,3,0))),"")</f>
        <v/>
      </c>
      <c r="O611" s="320" t="str" cm="1">
        <f t="array" ref="O611">_xlfn.IFNA(IF(INDEX(Tb_KostenOptiesDB[],MATCH($F611,Tb_KostenOptiesDB[KostenOptie],0),IFERROR(MATCH(Methode_Keuze,Tb_KostenOptiesDB[#Headers],0),2))=1,_xlfn.SWITCH($N611,"Uurtarief",IF(OR(AND(RIGHT($F611,3)="IKS",VLOOKUP($M611,DB_Loonkosten,2,0)="Ja"),AND(RIGHT($F611,3)&lt;&gt;"IKS",VLOOKUP($M611,DB_Loonkosten,2,0)="Nee")),IFERROR(VLOOKUP($M611,DB_Loonkosten,24,0),""),0),"Vast tarief",IF(LEFT(F611,8)="Bijdrage",VLOOKUP($F611,Tb_KostenTypen[],MATCH(Lijsten!$P$1,Tb_KostenTypen[#Headers],0),0),VLOOKUP($G611,Lijsten!L:P,MATCH(Lijsten!$P$1,Kop_Tarief_Vast,0),0))),""),"")</f>
        <v/>
      </c>
      <c r="P611" s="320" t="str" cm="1">
        <f t="array" ref="P611">_xlfn.IFNA(IF(INDEX(Tb_KostenOptiesDB[],MATCH($F611,Tb_KostenOptiesDB[KostenOptie],0),IFERROR(MATCH(Methode_Keuze,Tb_KostenOptiesDB[#Headers],0),2))=1,_xlfn.SWITCH($N611,"Uurtarief",IF(OR(AND(RIGHT($F611,3)="IKS",VLOOKUP($M611,DB_Loonkosten,2,0)="Ja"),AND(RIGHT($F611,3)&lt;&gt;"IKS",VLOOKUP($M611,DB_Loonkosten,2,0)="Nee")),IFERROR(VLOOKUP($M611,DB_Loonkosten,25,0),""),0),"Vast tarief",IF(LEFT(F611,8)="Bijdrage",VLOOKUP($F611,Tb_KostenTypen[],MATCH(Lijsten!$P$1,Tb_KostenTypen[#Headers],0),0),VLOOKUP($G611,Lijsten!L:P,MATCH(Lijsten!$P$1,Kop_Tarief_Vast,0),0))),""),"")</f>
        <v/>
      </c>
      <c r="Q611" s="359"/>
      <c r="R611" s="359"/>
      <c r="S611" s="321"/>
      <c r="T611" s="321"/>
      <c r="U611" s="373" t="str">
        <f t="shared" si="36"/>
        <v/>
      </c>
      <c r="V611" s="314" t="str">
        <f t="shared" si="37"/>
        <v/>
      </c>
      <c r="W611" s="314" t="str" cm="1">
        <f t="array" aca="1" ref="W611" ca="1">IFERROR(IF(AE611&lt;&gt;"ja",_xlfn.IFNA(_xlfn.IFS(AND(O611&lt;&gt;"",F611&lt;&gt;"",RIGHT($N611,6)="tarief",F611="Vergoeding"),SUM(O611)*FLOOR(SUM(Q611),0.0001),AND(O611&lt;&gt;"",F611&lt;&gt;"",RIGHT($N611,6)="tarief"),SUM(O611)*FLOOR(SUM(Q611),0.01),S611&gt;0,IF(F611&lt;&gt;"",FLOOR(SUM(S611),0.01),"")),""),""),"")</f>
        <v/>
      </c>
      <c r="X611" s="314" t="str" cm="1">
        <f t="array" aca="1" ref="X611" ca="1">IFERROR(IF(AE611&lt;&gt;"ja",_xlfn.IFNA(_xlfn.IFS(AND(P611&lt;&gt;"",R611&lt;&gt;"",RIGHT($N611,6)="tarief",F611="Vergoeding"),SUM(P611)*FLOOR(SUM(R611),0.0001),AND(P611&lt;&gt;"",R611&lt;&gt;"",RIGHT($N611,6)="tarief"),P611*FLOOR(R611,0.01),T611&gt;0,FLOOR(SUM(T611),0.01)),""),""),"")</f>
        <v/>
      </c>
      <c r="Y611" s="314" t="str">
        <f t="shared" ca="1" si="38"/>
        <v/>
      </c>
      <c r="Z611" s="314" t="str" cm="1">
        <f t="array" aca="1" ref="Z611" ca="1">IFERROR(_xlfn.IFS(OR(F611="",LEFT(Methode_Keuze,4)="Geen",Methode_Keuze=""),"",AND(W611&lt;&gt;"",F611&lt;&gt;"Arbeidskosten"),W611*VLOOKUP(F611,Tb_ProjectKosten[],MATCH(Tb_ProjectKosten[[#Headers],[Forfait_Percentage]],Tb_ProjectKosten[#Headers],0),0),AND(F611="Arbeidskosten",G611&lt;&gt;""),IFERROR(W611*VLOOKUP(G611,Tb_KostenTypen[],3,0)*VLOOKUP(F611,Tb_ProjectKosten[],MATCH(Tb_ProjectKosten[[#Headers],[Forfait_Percentage]],Tb_ProjectKosten[#Headers],0),0),""),W611 &lt;=0,0),"")</f>
        <v/>
      </c>
      <c r="AA611" s="314" t="str" cm="1">
        <f t="array" aca="1" ref="AA611" ca="1">IFERROR(_xlfn.IFS(OR(F611="",LEFT(Methode_Keuze,4)="Geen",Methode_Keuze=""),"",AND(X611&lt;&gt;"",F611&lt;&gt;"Arbeidskosten"),X611*VLOOKUP(F611,Tb_ProjectKosten[],MATCH(Tb_ProjectKosten[[#Headers],[Forfait_Percentage]],Tb_ProjectKosten[#Headers],0),0),AND(F611="Arbeidskosten",G611&lt;&gt;""),IFERROR(X611*VLOOKUP(G611,Tb_KostenTypen[],3,0)*VLOOKUP(F611,Tb_ProjectKosten[],MATCH(Tb_ProjectKosten[[#Headers],[Forfait_Percentage]],Tb_ProjectKosten[#Headers],0),0),""),X611 &lt;=0,0),"")</f>
        <v/>
      </c>
      <c r="AB611" s="314" t="str">
        <f t="shared" ca="1" si="39"/>
        <v/>
      </c>
      <c r="AC611" s="322"/>
      <c r="AD611" s="315"/>
      <c r="AE611" s="32" t="str" cm="1">
        <f t="array" ref="AE611">IFERROR(IF(INDEX(SubsidieTabel!$AD$1:$AG$12,MATCH($F611,SubsidieTabel!$AD$1:$AD$12,0),IFERROR(MATCH(Methode_Keuze,SubsidieTabel!$AD$1:$AG$1,0),2))&lt;&gt;1=TRUE,"ja",""),"")</f>
        <v/>
      </c>
    </row>
    <row r="612" spans="1:31" x14ac:dyDescent="0.25">
      <c r="A612" s="316"/>
      <c r="B612" s="317" t="str">
        <f>IF(A612&lt;&gt;"",_xlfn.MAXIFS($B$1:B611,$A$1:A611,A612)+1,"")</f>
        <v/>
      </c>
      <c r="C612" s="296"/>
      <c r="D612" s="296"/>
      <c r="E612" s="296"/>
      <c r="F612" s="296"/>
      <c r="G612" s="326"/>
      <c r="H612" s="324"/>
      <c r="I612" s="325"/>
      <c r="J612" s="325"/>
      <c r="K612" s="318"/>
      <c r="L612" s="318"/>
      <c r="M612" s="319" t="str">
        <f>IFERROR(VLOOKUP(H612,Lijsten!$H$1:$I$100,2,0),"")</f>
        <v/>
      </c>
      <c r="N612" s="319" t="str">
        <f ca="1">IFERROR(IF(VLOOKUP(F612,Kostentypen!$A$3:$E$21,3,0)=0,"",IF(OR(F612="Arbeidskosten",F612="Vergoeding"),VLOOKUP(G612,Tb_KostenTypen[],2,0),VLOOKUP(F612,Kostentypen!$A$3:$E$20,3,0))),"")</f>
        <v/>
      </c>
      <c r="O612" s="320" t="str" cm="1">
        <f t="array" ref="O612">_xlfn.IFNA(IF(INDEX(Tb_KostenOptiesDB[],MATCH($F612,Tb_KostenOptiesDB[KostenOptie],0),IFERROR(MATCH(Methode_Keuze,Tb_KostenOptiesDB[#Headers],0),2))=1,_xlfn.SWITCH($N612,"Uurtarief",IF(OR(AND(RIGHT($F612,3)="IKS",VLOOKUP($M612,DB_Loonkosten,2,0)="Ja"),AND(RIGHT($F612,3)&lt;&gt;"IKS",VLOOKUP($M612,DB_Loonkosten,2,0)="Nee")),IFERROR(VLOOKUP($M612,DB_Loonkosten,24,0),""),0),"Vast tarief",IF(LEFT(F612,8)="Bijdrage",VLOOKUP($F612,Tb_KostenTypen[],MATCH(Lijsten!$P$1,Tb_KostenTypen[#Headers],0),0),VLOOKUP($G612,Lijsten!L:P,MATCH(Lijsten!$P$1,Kop_Tarief_Vast,0),0))),""),"")</f>
        <v/>
      </c>
      <c r="P612" s="320" t="str" cm="1">
        <f t="array" ref="P612">_xlfn.IFNA(IF(INDEX(Tb_KostenOptiesDB[],MATCH($F612,Tb_KostenOptiesDB[KostenOptie],0),IFERROR(MATCH(Methode_Keuze,Tb_KostenOptiesDB[#Headers],0),2))=1,_xlfn.SWITCH($N612,"Uurtarief",IF(OR(AND(RIGHT($F612,3)="IKS",VLOOKUP($M612,DB_Loonkosten,2,0)="Ja"),AND(RIGHT($F612,3)&lt;&gt;"IKS",VLOOKUP($M612,DB_Loonkosten,2,0)="Nee")),IFERROR(VLOOKUP($M612,DB_Loonkosten,25,0),""),0),"Vast tarief",IF(LEFT(F612,8)="Bijdrage",VLOOKUP($F612,Tb_KostenTypen[],MATCH(Lijsten!$P$1,Tb_KostenTypen[#Headers],0),0),VLOOKUP($G612,Lijsten!L:P,MATCH(Lijsten!$P$1,Kop_Tarief_Vast,0),0))),""),"")</f>
        <v/>
      </c>
      <c r="Q612" s="359"/>
      <c r="R612" s="359"/>
      <c r="S612" s="321"/>
      <c r="T612" s="321"/>
      <c r="U612" s="373" t="str">
        <f t="shared" si="36"/>
        <v/>
      </c>
      <c r="V612" s="314" t="str">
        <f t="shared" si="37"/>
        <v/>
      </c>
      <c r="W612" s="314" t="str" cm="1">
        <f t="array" aca="1" ref="W612" ca="1">IFERROR(IF(AE612&lt;&gt;"ja",_xlfn.IFNA(_xlfn.IFS(AND(O612&lt;&gt;"",F612&lt;&gt;"",RIGHT($N612,6)="tarief",F612="Vergoeding"),SUM(O612)*FLOOR(SUM(Q612),0.0001),AND(O612&lt;&gt;"",F612&lt;&gt;"",RIGHT($N612,6)="tarief"),SUM(O612)*FLOOR(SUM(Q612),0.01),S612&gt;0,IF(F612&lt;&gt;"",FLOOR(SUM(S612),0.01),"")),""),""),"")</f>
        <v/>
      </c>
      <c r="X612" s="314" t="str" cm="1">
        <f t="array" aca="1" ref="X612" ca="1">IFERROR(IF(AE612&lt;&gt;"ja",_xlfn.IFNA(_xlfn.IFS(AND(P612&lt;&gt;"",R612&lt;&gt;"",RIGHT($N612,6)="tarief",F612="Vergoeding"),SUM(P612)*FLOOR(SUM(R612),0.0001),AND(P612&lt;&gt;"",R612&lt;&gt;"",RIGHT($N612,6)="tarief"),P612*FLOOR(R612,0.01),T612&gt;0,FLOOR(SUM(T612),0.01)),""),""),"")</f>
        <v/>
      </c>
      <c r="Y612" s="314" t="str">
        <f t="shared" ca="1" si="38"/>
        <v/>
      </c>
      <c r="Z612" s="314" t="str" cm="1">
        <f t="array" aca="1" ref="Z612" ca="1">IFERROR(_xlfn.IFS(OR(F612="",LEFT(Methode_Keuze,4)="Geen",Methode_Keuze=""),"",AND(W612&lt;&gt;"",F612&lt;&gt;"Arbeidskosten"),W612*VLOOKUP(F612,Tb_ProjectKosten[],MATCH(Tb_ProjectKosten[[#Headers],[Forfait_Percentage]],Tb_ProjectKosten[#Headers],0),0),AND(F612="Arbeidskosten",G612&lt;&gt;""),IFERROR(W612*VLOOKUP(G612,Tb_KostenTypen[],3,0)*VLOOKUP(F612,Tb_ProjectKosten[],MATCH(Tb_ProjectKosten[[#Headers],[Forfait_Percentage]],Tb_ProjectKosten[#Headers],0),0),""),W612 &lt;=0,0),"")</f>
        <v/>
      </c>
      <c r="AA612" s="314" t="str" cm="1">
        <f t="array" aca="1" ref="AA612" ca="1">IFERROR(_xlfn.IFS(OR(F612="",LEFT(Methode_Keuze,4)="Geen",Methode_Keuze=""),"",AND(X612&lt;&gt;"",F612&lt;&gt;"Arbeidskosten"),X612*VLOOKUP(F612,Tb_ProjectKosten[],MATCH(Tb_ProjectKosten[[#Headers],[Forfait_Percentage]],Tb_ProjectKosten[#Headers],0),0),AND(F612="Arbeidskosten",G612&lt;&gt;""),IFERROR(X612*VLOOKUP(G612,Tb_KostenTypen[],3,0)*VLOOKUP(F612,Tb_ProjectKosten[],MATCH(Tb_ProjectKosten[[#Headers],[Forfait_Percentage]],Tb_ProjectKosten[#Headers],0),0),""),X612 &lt;=0,0),"")</f>
        <v/>
      </c>
      <c r="AB612" s="314" t="str">
        <f t="shared" ca="1" si="39"/>
        <v/>
      </c>
      <c r="AC612" s="322"/>
      <c r="AD612" s="315"/>
      <c r="AE612" s="32" t="str" cm="1">
        <f t="array" ref="AE612">IFERROR(IF(INDEX(SubsidieTabel!$AD$1:$AG$12,MATCH($F612,SubsidieTabel!$AD$1:$AD$12,0),IFERROR(MATCH(Methode_Keuze,SubsidieTabel!$AD$1:$AG$1,0),2))&lt;&gt;1=TRUE,"ja",""),"")</f>
        <v/>
      </c>
    </row>
    <row r="613" spans="1:31" x14ac:dyDescent="0.25">
      <c r="A613" s="316"/>
      <c r="B613" s="317" t="str">
        <f>IF(A613&lt;&gt;"",_xlfn.MAXIFS($B$1:B612,$A$1:A612,A613)+1,"")</f>
        <v/>
      </c>
      <c r="C613" s="296"/>
      <c r="D613" s="296"/>
      <c r="E613" s="296"/>
      <c r="F613" s="296"/>
      <c r="G613" s="326"/>
      <c r="H613" s="324"/>
      <c r="I613" s="325"/>
      <c r="J613" s="325"/>
      <c r="K613" s="318"/>
      <c r="L613" s="318"/>
      <c r="M613" s="319" t="str">
        <f>IFERROR(VLOOKUP(H613,Lijsten!$H$1:$I$100,2,0),"")</f>
        <v/>
      </c>
      <c r="N613" s="319" t="str">
        <f ca="1">IFERROR(IF(VLOOKUP(F613,Kostentypen!$A$3:$E$21,3,0)=0,"",IF(OR(F613="Arbeidskosten",F613="Vergoeding"),VLOOKUP(G613,Tb_KostenTypen[],2,0),VLOOKUP(F613,Kostentypen!$A$3:$E$20,3,0))),"")</f>
        <v/>
      </c>
      <c r="O613" s="320" t="str" cm="1">
        <f t="array" ref="O613">_xlfn.IFNA(IF(INDEX(Tb_KostenOptiesDB[],MATCH($F613,Tb_KostenOptiesDB[KostenOptie],0),IFERROR(MATCH(Methode_Keuze,Tb_KostenOptiesDB[#Headers],0),2))=1,_xlfn.SWITCH($N613,"Uurtarief",IF(OR(AND(RIGHT($F613,3)="IKS",VLOOKUP($M613,DB_Loonkosten,2,0)="Ja"),AND(RIGHT($F613,3)&lt;&gt;"IKS",VLOOKUP($M613,DB_Loonkosten,2,0)="Nee")),IFERROR(VLOOKUP($M613,DB_Loonkosten,24,0),""),0),"Vast tarief",IF(LEFT(F613,8)="Bijdrage",VLOOKUP($F613,Tb_KostenTypen[],MATCH(Lijsten!$P$1,Tb_KostenTypen[#Headers],0),0),VLOOKUP($G613,Lijsten!L:P,MATCH(Lijsten!$P$1,Kop_Tarief_Vast,0),0))),""),"")</f>
        <v/>
      </c>
      <c r="P613" s="320" t="str" cm="1">
        <f t="array" ref="P613">_xlfn.IFNA(IF(INDEX(Tb_KostenOptiesDB[],MATCH($F613,Tb_KostenOptiesDB[KostenOptie],0),IFERROR(MATCH(Methode_Keuze,Tb_KostenOptiesDB[#Headers],0),2))=1,_xlfn.SWITCH($N613,"Uurtarief",IF(OR(AND(RIGHT($F613,3)="IKS",VLOOKUP($M613,DB_Loonkosten,2,0)="Ja"),AND(RIGHT($F613,3)&lt;&gt;"IKS",VLOOKUP($M613,DB_Loonkosten,2,0)="Nee")),IFERROR(VLOOKUP($M613,DB_Loonkosten,25,0),""),0),"Vast tarief",IF(LEFT(F613,8)="Bijdrage",VLOOKUP($F613,Tb_KostenTypen[],MATCH(Lijsten!$P$1,Tb_KostenTypen[#Headers],0),0),VLOOKUP($G613,Lijsten!L:P,MATCH(Lijsten!$P$1,Kop_Tarief_Vast,0),0))),""),"")</f>
        <v/>
      </c>
      <c r="Q613" s="359"/>
      <c r="R613" s="359"/>
      <c r="S613" s="321"/>
      <c r="T613" s="321"/>
      <c r="U613" s="373" t="str">
        <f t="shared" si="36"/>
        <v/>
      </c>
      <c r="V613" s="314" t="str">
        <f t="shared" si="37"/>
        <v/>
      </c>
      <c r="W613" s="314" t="str" cm="1">
        <f t="array" aca="1" ref="W613" ca="1">IFERROR(IF(AE613&lt;&gt;"ja",_xlfn.IFNA(_xlfn.IFS(AND(O613&lt;&gt;"",F613&lt;&gt;"",RIGHT($N613,6)="tarief",F613="Vergoeding"),SUM(O613)*FLOOR(SUM(Q613),0.0001),AND(O613&lt;&gt;"",F613&lt;&gt;"",RIGHT($N613,6)="tarief"),SUM(O613)*FLOOR(SUM(Q613),0.01),S613&gt;0,IF(F613&lt;&gt;"",FLOOR(SUM(S613),0.01),"")),""),""),"")</f>
        <v/>
      </c>
      <c r="X613" s="314" t="str" cm="1">
        <f t="array" aca="1" ref="X613" ca="1">IFERROR(IF(AE613&lt;&gt;"ja",_xlfn.IFNA(_xlfn.IFS(AND(P613&lt;&gt;"",R613&lt;&gt;"",RIGHT($N613,6)="tarief",F613="Vergoeding"),SUM(P613)*FLOOR(SUM(R613),0.0001),AND(P613&lt;&gt;"",R613&lt;&gt;"",RIGHT($N613,6)="tarief"),P613*FLOOR(R613,0.01),T613&gt;0,FLOOR(SUM(T613),0.01)),""),""),"")</f>
        <v/>
      </c>
      <c r="Y613" s="314" t="str">
        <f t="shared" ca="1" si="38"/>
        <v/>
      </c>
      <c r="Z613" s="314" t="str" cm="1">
        <f t="array" aca="1" ref="Z613" ca="1">IFERROR(_xlfn.IFS(OR(F613="",LEFT(Methode_Keuze,4)="Geen",Methode_Keuze=""),"",AND(W613&lt;&gt;"",F613&lt;&gt;"Arbeidskosten"),W613*VLOOKUP(F613,Tb_ProjectKosten[],MATCH(Tb_ProjectKosten[[#Headers],[Forfait_Percentage]],Tb_ProjectKosten[#Headers],0),0),AND(F613="Arbeidskosten",G613&lt;&gt;""),IFERROR(W613*VLOOKUP(G613,Tb_KostenTypen[],3,0)*VLOOKUP(F613,Tb_ProjectKosten[],MATCH(Tb_ProjectKosten[[#Headers],[Forfait_Percentage]],Tb_ProjectKosten[#Headers],0),0),""),W613 &lt;=0,0),"")</f>
        <v/>
      </c>
      <c r="AA613" s="314" t="str" cm="1">
        <f t="array" aca="1" ref="AA613" ca="1">IFERROR(_xlfn.IFS(OR(F613="",LEFT(Methode_Keuze,4)="Geen",Methode_Keuze=""),"",AND(X613&lt;&gt;"",F613&lt;&gt;"Arbeidskosten"),X613*VLOOKUP(F613,Tb_ProjectKosten[],MATCH(Tb_ProjectKosten[[#Headers],[Forfait_Percentage]],Tb_ProjectKosten[#Headers],0),0),AND(F613="Arbeidskosten",G613&lt;&gt;""),IFERROR(X613*VLOOKUP(G613,Tb_KostenTypen[],3,0)*VLOOKUP(F613,Tb_ProjectKosten[],MATCH(Tb_ProjectKosten[[#Headers],[Forfait_Percentage]],Tb_ProjectKosten[#Headers],0),0),""),X613 &lt;=0,0),"")</f>
        <v/>
      </c>
      <c r="AB613" s="314" t="str">
        <f t="shared" ca="1" si="39"/>
        <v/>
      </c>
      <c r="AC613" s="322"/>
      <c r="AD613" s="315"/>
      <c r="AE613" s="32" t="str" cm="1">
        <f t="array" ref="AE613">IFERROR(IF(INDEX(SubsidieTabel!$AD$1:$AG$12,MATCH($F613,SubsidieTabel!$AD$1:$AD$12,0),IFERROR(MATCH(Methode_Keuze,SubsidieTabel!$AD$1:$AG$1,0),2))&lt;&gt;1=TRUE,"ja",""),"")</f>
        <v/>
      </c>
    </row>
    <row r="614" spans="1:31" x14ac:dyDescent="0.25">
      <c r="A614" s="316"/>
      <c r="B614" s="317" t="str">
        <f>IF(A614&lt;&gt;"",_xlfn.MAXIFS($B$1:B613,$A$1:A613,A614)+1,"")</f>
        <v/>
      </c>
      <c r="C614" s="296"/>
      <c r="D614" s="296"/>
      <c r="E614" s="296"/>
      <c r="F614" s="296"/>
      <c r="G614" s="326"/>
      <c r="H614" s="324"/>
      <c r="I614" s="325"/>
      <c r="J614" s="325"/>
      <c r="K614" s="318"/>
      <c r="L614" s="318"/>
      <c r="M614" s="319" t="str">
        <f>IFERROR(VLOOKUP(H614,Lijsten!$H$1:$I$100,2,0),"")</f>
        <v/>
      </c>
      <c r="N614" s="319" t="str">
        <f ca="1">IFERROR(IF(VLOOKUP(F614,Kostentypen!$A$3:$E$21,3,0)=0,"",IF(OR(F614="Arbeidskosten",F614="Vergoeding"),VLOOKUP(G614,Tb_KostenTypen[],2,0),VLOOKUP(F614,Kostentypen!$A$3:$E$20,3,0))),"")</f>
        <v/>
      </c>
      <c r="O614" s="320" t="str" cm="1">
        <f t="array" ref="O614">_xlfn.IFNA(IF(INDEX(Tb_KostenOptiesDB[],MATCH($F614,Tb_KostenOptiesDB[KostenOptie],0),IFERROR(MATCH(Methode_Keuze,Tb_KostenOptiesDB[#Headers],0),2))=1,_xlfn.SWITCH($N614,"Uurtarief",IF(OR(AND(RIGHT($F614,3)="IKS",VLOOKUP($M614,DB_Loonkosten,2,0)="Ja"),AND(RIGHT($F614,3)&lt;&gt;"IKS",VLOOKUP($M614,DB_Loonkosten,2,0)="Nee")),IFERROR(VLOOKUP($M614,DB_Loonkosten,24,0),""),0),"Vast tarief",IF(LEFT(F614,8)="Bijdrage",VLOOKUP($F614,Tb_KostenTypen[],MATCH(Lijsten!$P$1,Tb_KostenTypen[#Headers],0),0),VLOOKUP($G614,Lijsten!L:P,MATCH(Lijsten!$P$1,Kop_Tarief_Vast,0),0))),""),"")</f>
        <v/>
      </c>
      <c r="P614" s="320" t="str" cm="1">
        <f t="array" ref="P614">_xlfn.IFNA(IF(INDEX(Tb_KostenOptiesDB[],MATCH($F614,Tb_KostenOptiesDB[KostenOptie],0),IFERROR(MATCH(Methode_Keuze,Tb_KostenOptiesDB[#Headers],0),2))=1,_xlfn.SWITCH($N614,"Uurtarief",IF(OR(AND(RIGHT($F614,3)="IKS",VLOOKUP($M614,DB_Loonkosten,2,0)="Ja"),AND(RIGHT($F614,3)&lt;&gt;"IKS",VLOOKUP($M614,DB_Loonkosten,2,0)="Nee")),IFERROR(VLOOKUP($M614,DB_Loonkosten,25,0),""),0),"Vast tarief",IF(LEFT(F614,8)="Bijdrage",VLOOKUP($F614,Tb_KostenTypen[],MATCH(Lijsten!$P$1,Tb_KostenTypen[#Headers],0),0),VLOOKUP($G614,Lijsten!L:P,MATCH(Lijsten!$P$1,Kop_Tarief_Vast,0),0))),""),"")</f>
        <v/>
      </c>
      <c r="Q614" s="359"/>
      <c r="R614" s="359"/>
      <c r="S614" s="321"/>
      <c r="T614" s="321"/>
      <c r="U614" s="373" t="str">
        <f t="shared" si="36"/>
        <v/>
      </c>
      <c r="V614" s="314" t="str">
        <f t="shared" si="37"/>
        <v/>
      </c>
      <c r="W614" s="314" t="str" cm="1">
        <f t="array" aca="1" ref="W614" ca="1">IFERROR(IF(AE614&lt;&gt;"ja",_xlfn.IFNA(_xlfn.IFS(AND(O614&lt;&gt;"",F614&lt;&gt;"",RIGHT($N614,6)="tarief",F614="Vergoeding"),SUM(O614)*FLOOR(SUM(Q614),0.0001),AND(O614&lt;&gt;"",F614&lt;&gt;"",RIGHT($N614,6)="tarief"),SUM(O614)*FLOOR(SUM(Q614),0.01),S614&gt;0,IF(F614&lt;&gt;"",FLOOR(SUM(S614),0.01),"")),""),""),"")</f>
        <v/>
      </c>
      <c r="X614" s="314" t="str" cm="1">
        <f t="array" aca="1" ref="X614" ca="1">IFERROR(IF(AE614&lt;&gt;"ja",_xlfn.IFNA(_xlfn.IFS(AND(P614&lt;&gt;"",R614&lt;&gt;"",RIGHT($N614,6)="tarief",F614="Vergoeding"),SUM(P614)*FLOOR(SUM(R614),0.0001),AND(P614&lt;&gt;"",R614&lt;&gt;"",RIGHT($N614,6)="tarief"),P614*FLOOR(R614,0.01),T614&gt;0,FLOOR(SUM(T614),0.01)),""),""),"")</f>
        <v/>
      </c>
      <c r="Y614" s="314" t="str">
        <f t="shared" ca="1" si="38"/>
        <v/>
      </c>
      <c r="Z614" s="314" t="str" cm="1">
        <f t="array" aca="1" ref="Z614" ca="1">IFERROR(_xlfn.IFS(OR(F614="",LEFT(Methode_Keuze,4)="Geen",Methode_Keuze=""),"",AND(W614&lt;&gt;"",F614&lt;&gt;"Arbeidskosten"),W614*VLOOKUP(F614,Tb_ProjectKosten[],MATCH(Tb_ProjectKosten[[#Headers],[Forfait_Percentage]],Tb_ProjectKosten[#Headers],0),0),AND(F614="Arbeidskosten",G614&lt;&gt;""),IFERROR(W614*VLOOKUP(G614,Tb_KostenTypen[],3,0)*VLOOKUP(F614,Tb_ProjectKosten[],MATCH(Tb_ProjectKosten[[#Headers],[Forfait_Percentage]],Tb_ProjectKosten[#Headers],0),0),""),W614 &lt;=0,0),"")</f>
        <v/>
      </c>
      <c r="AA614" s="314" t="str" cm="1">
        <f t="array" aca="1" ref="AA614" ca="1">IFERROR(_xlfn.IFS(OR(F614="",LEFT(Methode_Keuze,4)="Geen",Methode_Keuze=""),"",AND(X614&lt;&gt;"",F614&lt;&gt;"Arbeidskosten"),X614*VLOOKUP(F614,Tb_ProjectKosten[],MATCH(Tb_ProjectKosten[[#Headers],[Forfait_Percentage]],Tb_ProjectKosten[#Headers],0),0),AND(F614="Arbeidskosten",G614&lt;&gt;""),IFERROR(X614*VLOOKUP(G614,Tb_KostenTypen[],3,0)*VLOOKUP(F614,Tb_ProjectKosten[],MATCH(Tb_ProjectKosten[[#Headers],[Forfait_Percentage]],Tb_ProjectKosten[#Headers],0),0),""),X614 &lt;=0,0),"")</f>
        <v/>
      </c>
      <c r="AB614" s="314" t="str">
        <f t="shared" ca="1" si="39"/>
        <v/>
      </c>
      <c r="AC614" s="322"/>
      <c r="AD614" s="315"/>
      <c r="AE614" s="32" t="str" cm="1">
        <f t="array" ref="AE614">IFERROR(IF(INDEX(SubsidieTabel!$AD$1:$AG$12,MATCH($F614,SubsidieTabel!$AD$1:$AD$12,0),IFERROR(MATCH(Methode_Keuze,SubsidieTabel!$AD$1:$AG$1,0),2))&lt;&gt;1=TRUE,"ja",""),"")</f>
        <v/>
      </c>
    </row>
    <row r="615" spans="1:31" x14ac:dyDescent="0.25">
      <c r="A615" s="316"/>
      <c r="B615" s="317" t="str">
        <f>IF(A615&lt;&gt;"",_xlfn.MAXIFS($B$1:B614,$A$1:A614,A615)+1,"")</f>
        <v/>
      </c>
      <c r="C615" s="296"/>
      <c r="D615" s="296"/>
      <c r="E615" s="296"/>
      <c r="F615" s="296"/>
      <c r="G615" s="326"/>
      <c r="H615" s="324"/>
      <c r="I615" s="325"/>
      <c r="J615" s="325"/>
      <c r="K615" s="318"/>
      <c r="L615" s="318"/>
      <c r="M615" s="319" t="str">
        <f>IFERROR(VLOOKUP(H615,Lijsten!$H$1:$I$100,2,0),"")</f>
        <v/>
      </c>
      <c r="N615" s="319" t="str">
        <f ca="1">IFERROR(IF(VLOOKUP(F615,Kostentypen!$A$3:$E$21,3,0)=0,"",IF(OR(F615="Arbeidskosten",F615="Vergoeding"),VLOOKUP(G615,Tb_KostenTypen[],2,0),VLOOKUP(F615,Kostentypen!$A$3:$E$20,3,0))),"")</f>
        <v/>
      </c>
      <c r="O615" s="320" t="str" cm="1">
        <f t="array" ref="O615">_xlfn.IFNA(IF(INDEX(Tb_KostenOptiesDB[],MATCH($F615,Tb_KostenOptiesDB[KostenOptie],0),IFERROR(MATCH(Methode_Keuze,Tb_KostenOptiesDB[#Headers],0),2))=1,_xlfn.SWITCH($N615,"Uurtarief",IF(OR(AND(RIGHT($F615,3)="IKS",VLOOKUP($M615,DB_Loonkosten,2,0)="Ja"),AND(RIGHT($F615,3)&lt;&gt;"IKS",VLOOKUP($M615,DB_Loonkosten,2,0)="Nee")),IFERROR(VLOOKUP($M615,DB_Loonkosten,24,0),""),0),"Vast tarief",IF(LEFT(F615,8)="Bijdrage",VLOOKUP($F615,Tb_KostenTypen[],MATCH(Lijsten!$P$1,Tb_KostenTypen[#Headers],0),0),VLOOKUP($G615,Lijsten!L:P,MATCH(Lijsten!$P$1,Kop_Tarief_Vast,0),0))),""),"")</f>
        <v/>
      </c>
      <c r="P615" s="320" t="str" cm="1">
        <f t="array" ref="P615">_xlfn.IFNA(IF(INDEX(Tb_KostenOptiesDB[],MATCH($F615,Tb_KostenOptiesDB[KostenOptie],0),IFERROR(MATCH(Methode_Keuze,Tb_KostenOptiesDB[#Headers],0),2))=1,_xlfn.SWITCH($N615,"Uurtarief",IF(OR(AND(RIGHT($F615,3)="IKS",VLOOKUP($M615,DB_Loonkosten,2,0)="Ja"),AND(RIGHT($F615,3)&lt;&gt;"IKS",VLOOKUP($M615,DB_Loonkosten,2,0)="Nee")),IFERROR(VLOOKUP($M615,DB_Loonkosten,25,0),""),0),"Vast tarief",IF(LEFT(F615,8)="Bijdrage",VLOOKUP($F615,Tb_KostenTypen[],MATCH(Lijsten!$P$1,Tb_KostenTypen[#Headers],0),0),VLOOKUP($G615,Lijsten!L:P,MATCH(Lijsten!$P$1,Kop_Tarief_Vast,0),0))),""),"")</f>
        <v/>
      </c>
      <c r="Q615" s="359"/>
      <c r="R615" s="359"/>
      <c r="S615" s="321"/>
      <c r="T615" s="321"/>
      <c r="U615" s="373" t="str">
        <f t="shared" si="36"/>
        <v/>
      </c>
      <c r="V615" s="314" t="str">
        <f t="shared" si="37"/>
        <v/>
      </c>
      <c r="W615" s="314" t="str" cm="1">
        <f t="array" aca="1" ref="W615" ca="1">IFERROR(IF(AE615&lt;&gt;"ja",_xlfn.IFNA(_xlfn.IFS(AND(O615&lt;&gt;"",F615&lt;&gt;"",RIGHT($N615,6)="tarief",F615="Vergoeding"),SUM(O615)*FLOOR(SUM(Q615),0.0001),AND(O615&lt;&gt;"",F615&lt;&gt;"",RIGHT($N615,6)="tarief"),SUM(O615)*FLOOR(SUM(Q615),0.01),S615&gt;0,IF(F615&lt;&gt;"",FLOOR(SUM(S615),0.01),"")),""),""),"")</f>
        <v/>
      </c>
      <c r="X615" s="314" t="str" cm="1">
        <f t="array" aca="1" ref="X615" ca="1">IFERROR(IF(AE615&lt;&gt;"ja",_xlfn.IFNA(_xlfn.IFS(AND(P615&lt;&gt;"",R615&lt;&gt;"",RIGHT($N615,6)="tarief",F615="Vergoeding"),SUM(P615)*FLOOR(SUM(R615),0.0001),AND(P615&lt;&gt;"",R615&lt;&gt;"",RIGHT($N615,6)="tarief"),P615*FLOOR(R615,0.01),T615&gt;0,FLOOR(SUM(T615),0.01)),""),""),"")</f>
        <v/>
      </c>
      <c r="Y615" s="314" t="str">
        <f t="shared" ca="1" si="38"/>
        <v/>
      </c>
      <c r="Z615" s="314" t="str" cm="1">
        <f t="array" aca="1" ref="Z615" ca="1">IFERROR(_xlfn.IFS(OR(F615="",LEFT(Methode_Keuze,4)="Geen",Methode_Keuze=""),"",AND(W615&lt;&gt;"",F615&lt;&gt;"Arbeidskosten"),W615*VLOOKUP(F615,Tb_ProjectKosten[],MATCH(Tb_ProjectKosten[[#Headers],[Forfait_Percentage]],Tb_ProjectKosten[#Headers],0),0),AND(F615="Arbeidskosten",G615&lt;&gt;""),IFERROR(W615*VLOOKUP(G615,Tb_KostenTypen[],3,0)*VLOOKUP(F615,Tb_ProjectKosten[],MATCH(Tb_ProjectKosten[[#Headers],[Forfait_Percentage]],Tb_ProjectKosten[#Headers],0),0),""),W615 &lt;=0,0),"")</f>
        <v/>
      </c>
      <c r="AA615" s="314" t="str" cm="1">
        <f t="array" aca="1" ref="AA615" ca="1">IFERROR(_xlfn.IFS(OR(F615="",LEFT(Methode_Keuze,4)="Geen",Methode_Keuze=""),"",AND(X615&lt;&gt;"",F615&lt;&gt;"Arbeidskosten"),X615*VLOOKUP(F615,Tb_ProjectKosten[],MATCH(Tb_ProjectKosten[[#Headers],[Forfait_Percentage]],Tb_ProjectKosten[#Headers],0),0),AND(F615="Arbeidskosten",G615&lt;&gt;""),IFERROR(X615*VLOOKUP(G615,Tb_KostenTypen[],3,0)*VLOOKUP(F615,Tb_ProjectKosten[],MATCH(Tb_ProjectKosten[[#Headers],[Forfait_Percentage]],Tb_ProjectKosten[#Headers],0),0),""),X615 &lt;=0,0),"")</f>
        <v/>
      </c>
      <c r="AB615" s="314" t="str">
        <f t="shared" ca="1" si="39"/>
        <v/>
      </c>
      <c r="AC615" s="322"/>
      <c r="AD615" s="315"/>
      <c r="AE615" s="32" t="str" cm="1">
        <f t="array" ref="AE615">IFERROR(IF(INDEX(SubsidieTabel!$AD$1:$AG$12,MATCH($F615,SubsidieTabel!$AD$1:$AD$12,0),IFERROR(MATCH(Methode_Keuze,SubsidieTabel!$AD$1:$AG$1,0),2))&lt;&gt;1=TRUE,"ja",""),"")</f>
        <v/>
      </c>
    </row>
    <row r="616" spans="1:31" x14ac:dyDescent="0.25">
      <c r="A616" s="316"/>
      <c r="B616" s="317" t="str">
        <f>IF(A616&lt;&gt;"",_xlfn.MAXIFS($B$1:B615,$A$1:A615,A616)+1,"")</f>
        <v/>
      </c>
      <c r="C616" s="296"/>
      <c r="D616" s="296"/>
      <c r="E616" s="296"/>
      <c r="F616" s="296"/>
      <c r="G616" s="326"/>
      <c r="H616" s="324"/>
      <c r="I616" s="325"/>
      <c r="J616" s="325"/>
      <c r="K616" s="318"/>
      <c r="L616" s="318"/>
      <c r="M616" s="319" t="str">
        <f>IFERROR(VLOOKUP(H616,Lijsten!$H$1:$I$100,2,0),"")</f>
        <v/>
      </c>
      <c r="N616" s="319" t="str">
        <f ca="1">IFERROR(IF(VLOOKUP(F616,Kostentypen!$A$3:$E$21,3,0)=0,"",IF(OR(F616="Arbeidskosten",F616="Vergoeding"),VLOOKUP(G616,Tb_KostenTypen[],2,0),VLOOKUP(F616,Kostentypen!$A$3:$E$20,3,0))),"")</f>
        <v/>
      </c>
      <c r="O616" s="320" t="str" cm="1">
        <f t="array" ref="O616">_xlfn.IFNA(IF(INDEX(Tb_KostenOptiesDB[],MATCH($F616,Tb_KostenOptiesDB[KostenOptie],0),IFERROR(MATCH(Methode_Keuze,Tb_KostenOptiesDB[#Headers],0),2))=1,_xlfn.SWITCH($N616,"Uurtarief",IF(OR(AND(RIGHT($F616,3)="IKS",VLOOKUP($M616,DB_Loonkosten,2,0)="Ja"),AND(RIGHT($F616,3)&lt;&gt;"IKS",VLOOKUP($M616,DB_Loonkosten,2,0)="Nee")),IFERROR(VLOOKUP($M616,DB_Loonkosten,24,0),""),0),"Vast tarief",IF(LEFT(F616,8)="Bijdrage",VLOOKUP($F616,Tb_KostenTypen[],MATCH(Lijsten!$P$1,Tb_KostenTypen[#Headers],0),0),VLOOKUP($G616,Lijsten!L:P,MATCH(Lijsten!$P$1,Kop_Tarief_Vast,0),0))),""),"")</f>
        <v/>
      </c>
      <c r="P616" s="320" t="str" cm="1">
        <f t="array" ref="P616">_xlfn.IFNA(IF(INDEX(Tb_KostenOptiesDB[],MATCH($F616,Tb_KostenOptiesDB[KostenOptie],0),IFERROR(MATCH(Methode_Keuze,Tb_KostenOptiesDB[#Headers],0),2))=1,_xlfn.SWITCH($N616,"Uurtarief",IF(OR(AND(RIGHT($F616,3)="IKS",VLOOKUP($M616,DB_Loonkosten,2,0)="Ja"),AND(RIGHT($F616,3)&lt;&gt;"IKS",VLOOKUP($M616,DB_Loonkosten,2,0)="Nee")),IFERROR(VLOOKUP($M616,DB_Loonkosten,25,0),""),0),"Vast tarief",IF(LEFT(F616,8)="Bijdrage",VLOOKUP($F616,Tb_KostenTypen[],MATCH(Lijsten!$P$1,Tb_KostenTypen[#Headers],0),0),VLOOKUP($G616,Lijsten!L:P,MATCH(Lijsten!$P$1,Kop_Tarief_Vast,0),0))),""),"")</f>
        <v/>
      </c>
      <c r="Q616" s="359"/>
      <c r="R616" s="359"/>
      <c r="S616" s="321"/>
      <c r="T616" s="321"/>
      <c r="U616" s="373" t="str">
        <f t="shared" si="36"/>
        <v/>
      </c>
      <c r="V616" s="314" t="str">
        <f t="shared" si="37"/>
        <v/>
      </c>
      <c r="W616" s="314" t="str" cm="1">
        <f t="array" aca="1" ref="W616" ca="1">IFERROR(IF(AE616&lt;&gt;"ja",_xlfn.IFNA(_xlfn.IFS(AND(O616&lt;&gt;"",F616&lt;&gt;"",RIGHT($N616,6)="tarief",F616="Vergoeding"),SUM(O616)*FLOOR(SUM(Q616),0.0001),AND(O616&lt;&gt;"",F616&lt;&gt;"",RIGHT($N616,6)="tarief"),SUM(O616)*FLOOR(SUM(Q616),0.01),S616&gt;0,IF(F616&lt;&gt;"",FLOOR(SUM(S616),0.01),"")),""),""),"")</f>
        <v/>
      </c>
      <c r="X616" s="314" t="str" cm="1">
        <f t="array" aca="1" ref="X616" ca="1">IFERROR(IF(AE616&lt;&gt;"ja",_xlfn.IFNA(_xlfn.IFS(AND(P616&lt;&gt;"",R616&lt;&gt;"",RIGHT($N616,6)="tarief",F616="Vergoeding"),SUM(P616)*FLOOR(SUM(R616),0.0001),AND(P616&lt;&gt;"",R616&lt;&gt;"",RIGHT($N616,6)="tarief"),P616*FLOOR(R616,0.01),T616&gt;0,FLOOR(SUM(T616),0.01)),""),""),"")</f>
        <v/>
      </c>
      <c r="Y616" s="314" t="str">
        <f t="shared" ca="1" si="38"/>
        <v/>
      </c>
      <c r="Z616" s="314" t="str" cm="1">
        <f t="array" aca="1" ref="Z616" ca="1">IFERROR(_xlfn.IFS(OR(F616="",LEFT(Methode_Keuze,4)="Geen",Methode_Keuze=""),"",AND(W616&lt;&gt;"",F616&lt;&gt;"Arbeidskosten"),W616*VLOOKUP(F616,Tb_ProjectKosten[],MATCH(Tb_ProjectKosten[[#Headers],[Forfait_Percentage]],Tb_ProjectKosten[#Headers],0),0),AND(F616="Arbeidskosten",G616&lt;&gt;""),IFERROR(W616*VLOOKUP(G616,Tb_KostenTypen[],3,0)*VLOOKUP(F616,Tb_ProjectKosten[],MATCH(Tb_ProjectKosten[[#Headers],[Forfait_Percentage]],Tb_ProjectKosten[#Headers],0),0),""),W616 &lt;=0,0),"")</f>
        <v/>
      </c>
      <c r="AA616" s="314" t="str" cm="1">
        <f t="array" aca="1" ref="AA616" ca="1">IFERROR(_xlfn.IFS(OR(F616="",LEFT(Methode_Keuze,4)="Geen",Methode_Keuze=""),"",AND(X616&lt;&gt;"",F616&lt;&gt;"Arbeidskosten"),X616*VLOOKUP(F616,Tb_ProjectKosten[],MATCH(Tb_ProjectKosten[[#Headers],[Forfait_Percentage]],Tb_ProjectKosten[#Headers],0),0),AND(F616="Arbeidskosten",G616&lt;&gt;""),IFERROR(X616*VLOOKUP(G616,Tb_KostenTypen[],3,0)*VLOOKUP(F616,Tb_ProjectKosten[],MATCH(Tb_ProjectKosten[[#Headers],[Forfait_Percentage]],Tb_ProjectKosten[#Headers],0),0),""),X616 &lt;=0,0),"")</f>
        <v/>
      </c>
      <c r="AB616" s="314" t="str">
        <f t="shared" ca="1" si="39"/>
        <v/>
      </c>
      <c r="AC616" s="322"/>
      <c r="AD616" s="315"/>
      <c r="AE616" s="32" t="str" cm="1">
        <f t="array" ref="AE616">IFERROR(IF(INDEX(SubsidieTabel!$AD$1:$AG$12,MATCH($F616,SubsidieTabel!$AD$1:$AD$12,0),IFERROR(MATCH(Methode_Keuze,SubsidieTabel!$AD$1:$AG$1,0),2))&lt;&gt;1=TRUE,"ja",""),"")</f>
        <v/>
      </c>
    </row>
    <row r="617" spans="1:31" x14ac:dyDescent="0.25">
      <c r="A617" s="316"/>
      <c r="B617" s="317" t="str">
        <f>IF(A617&lt;&gt;"",_xlfn.MAXIFS($B$1:B616,$A$1:A616,A617)+1,"")</f>
        <v/>
      </c>
      <c r="C617" s="296"/>
      <c r="D617" s="296"/>
      <c r="E617" s="296"/>
      <c r="F617" s="296"/>
      <c r="G617" s="326"/>
      <c r="H617" s="324"/>
      <c r="I617" s="325"/>
      <c r="J617" s="325"/>
      <c r="K617" s="318"/>
      <c r="L617" s="318"/>
      <c r="M617" s="319" t="str">
        <f>IFERROR(VLOOKUP(H617,Lijsten!$H$1:$I$100,2,0),"")</f>
        <v/>
      </c>
      <c r="N617" s="319" t="str">
        <f ca="1">IFERROR(IF(VLOOKUP(F617,Kostentypen!$A$3:$E$21,3,0)=0,"",IF(OR(F617="Arbeidskosten",F617="Vergoeding"),VLOOKUP(G617,Tb_KostenTypen[],2,0),VLOOKUP(F617,Kostentypen!$A$3:$E$20,3,0))),"")</f>
        <v/>
      </c>
      <c r="O617" s="320" t="str" cm="1">
        <f t="array" ref="O617">_xlfn.IFNA(IF(INDEX(Tb_KostenOptiesDB[],MATCH($F617,Tb_KostenOptiesDB[KostenOptie],0),IFERROR(MATCH(Methode_Keuze,Tb_KostenOptiesDB[#Headers],0),2))=1,_xlfn.SWITCH($N617,"Uurtarief",IF(OR(AND(RIGHT($F617,3)="IKS",VLOOKUP($M617,DB_Loonkosten,2,0)="Ja"),AND(RIGHT($F617,3)&lt;&gt;"IKS",VLOOKUP($M617,DB_Loonkosten,2,0)="Nee")),IFERROR(VLOOKUP($M617,DB_Loonkosten,24,0),""),0),"Vast tarief",IF(LEFT(F617,8)="Bijdrage",VLOOKUP($F617,Tb_KostenTypen[],MATCH(Lijsten!$P$1,Tb_KostenTypen[#Headers],0),0),VLOOKUP($G617,Lijsten!L:P,MATCH(Lijsten!$P$1,Kop_Tarief_Vast,0),0))),""),"")</f>
        <v/>
      </c>
      <c r="P617" s="320" t="str" cm="1">
        <f t="array" ref="P617">_xlfn.IFNA(IF(INDEX(Tb_KostenOptiesDB[],MATCH($F617,Tb_KostenOptiesDB[KostenOptie],0),IFERROR(MATCH(Methode_Keuze,Tb_KostenOptiesDB[#Headers],0),2))=1,_xlfn.SWITCH($N617,"Uurtarief",IF(OR(AND(RIGHT($F617,3)="IKS",VLOOKUP($M617,DB_Loonkosten,2,0)="Ja"),AND(RIGHT($F617,3)&lt;&gt;"IKS",VLOOKUP($M617,DB_Loonkosten,2,0)="Nee")),IFERROR(VLOOKUP($M617,DB_Loonkosten,25,0),""),0),"Vast tarief",IF(LEFT(F617,8)="Bijdrage",VLOOKUP($F617,Tb_KostenTypen[],MATCH(Lijsten!$P$1,Tb_KostenTypen[#Headers],0),0),VLOOKUP($G617,Lijsten!L:P,MATCH(Lijsten!$P$1,Kop_Tarief_Vast,0),0))),""),"")</f>
        <v/>
      </c>
      <c r="Q617" s="359"/>
      <c r="R617" s="359"/>
      <c r="S617" s="321"/>
      <c r="T617" s="321"/>
      <c r="U617" s="373" t="str">
        <f t="shared" si="36"/>
        <v/>
      </c>
      <c r="V617" s="314" t="str">
        <f t="shared" si="37"/>
        <v/>
      </c>
      <c r="W617" s="314" t="str" cm="1">
        <f t="array" aca="1" ref="W617" ca="1">IFERROR(IF(AE617&lt;&gt;"ja",_xlfn.IFNA(_xlfn.IFS(AND(O617&lt;&gt;"",F617&lt;&gt;"",RIGHT($N617,6)="tarief",F617="Vergoeding"),SUM(O617)*FLOOR(SUM(Q617),0.0001),AND(O617&lt;&gt;"",F617&lt;&gt;"",RIGHT($N617,6)="tarief"),SUM(O617)*FLOOR(SUM(Q617),0.01),S617&gt;0,IF(F617&lt;&gt;"",FLOOR(SUM(S617),0.01),"")),""),""),"")</f>
        <v/>
      </c>
      <c r="X617" s="314" t="str" cm="1">
        <f t="array" aca="1" ref="X617" ca="1">IFERROR(IF(AE617&lt;&gt;"ja",_xlfn.IFNA(_xlfn.IFS(AND(P617&lt;&gt;"",R617&lt;&gt;"",RIGHT($N617,6)="tarief",F617="Vergoeding"),SUM(P617)*FLOOR(SUM(R617),0.0001),AND(P617&lt;&gt;"",R617&lt;&gt;"",RIGHT($N617,6)="tarief"),P617*FLOOR(R617,0.01),T617&gt;0,FLOOR(SUM(T617),0.01)),""),""),"")</f>
        <v/>
      </c>
      <c r="Y617" s="314" t="str">
        <f t="shared" ca="1" si="38"/>
        <v/>
      </c>
      <c r="Z617" s="314" t="str" cm="1">
        <f t="array" aca="1" ref="Z617" ca="1">IFERROR(_xlfn.IFS(OR(F617="",LEFT(Methode_Keuze,4)="Geen",Methode_Keuze=""),"",AND(W617&lt;&gt;"",F617&lt;&gt;"Arbeidskosten"),W617*VLOOKUP(F617,Tb_ProjectKosten[],MATCH(Tb_ProjectKosten[[#Headers],[Forfait_Percentage]],Tb_ProjectKosten[#Headers],0),0),AND(F617="Arbeidskosten",G617&lt;&gt;""),IFERROR(W617*VLOOKUP(G617,Tb_KostenTypen[],3,0)*VLOOKUP(F617,Tb_ProjectKosten[],MATCH(Tb_ProjectKosten[[#Headers],[Forfait_Percentage]],Tb_ProjectKosten[#Headers],0),0),""),W617 &lt;=0,0),"")</f>
        <v/>
      </c>
      <c r="AA617" s="314" t="str" cm="1">
        <f t="array" aca="1" ref="AA617" ca="1">IFERROR(_xlfn.IFS(OR(F617="",LEFT(Methode_Keuze,4)="Geen",Methode_Keuze=""),"",AND(X617&lt;&gt;"",F617&lt;&gt;"Arbeidskosten"),X617*VLOOKUP(F617,Tb_ProjectKosten[],MATCH(Tb_ProjectKosten[[#Headers],[Forfait_Percentage]],Tb_ProjectKosten[#Headers],0),0),AND(F617="Arbeidskosten",G617&lt;&gt;""),IFERROR(X617*VLOOKUP(G617,Tb_KostenTypen[],3,0)*VLOOKUP(F617,Tb_ProjectKosten[],MATCH(Tb_ProjectKosten[[#Headers],[Forfait_Percentage]],Tb_ProjectKosten[#Headers],0),0),""),X617 &lt;=0,0),"")</f>
        <v/>
      </c>
      <c r="AB617" s="314" t="str">
        <f t="shared" ca="1" si="39"/>
        <v/>
      </c>
      <c r="AC617" s="322"/>
      <c r="AD617" s="315"/>
      <c r="AE617" s="32" t="str" cm="1">
        <f t="array" ref="AE617">IFERROR(IF(INDEX(SubsidieTabel!$AD$1:$AG$12,MATCH($F617,SubsidieTabel!$AD$1:$AD$12,0),IFERROR(MATCH(Methode_Keuze,SubsidieTabel!$AD$1:$AG$1,0),2))&lt;&gt;1=TRUE,"ja",""),"")</f>
        <v/>
      </c>
    </row>
    <row r="618" spans="1:31" x14ac:dyDescent="0.25">
      <c r="A618" s="316"/>
      <c r="B618" s="317" t="str">
        <f>IF(A618&lt;&gt;"",_xlfn.MAXIFS($B$1:B617,$A$1:A617,A618)+1,"")</f>
        <v/>
      </c>
      <c r="C618" s="296"/>
      <c r="D618" s="296"/>
      <c r="E618" s="296"/>
      <c r="F618" s="296"/>
      <c r="G618" s="326"/>
      <c r="H618" s="324"/>
      <c r="I618" s="325"/>
      <c r="J618" s="325"/>
      <c r="K618" s="318"/>
      <c r="L618" s="318"/>
      <c r="M618" s="319" t="str">
        <f>IFERROR(VLOOKUP(H618,Lijsten!$H$1:$I$100,2,0),"")</f>
        <v/>
      </c>
      <c r="N618" s="319" t="str">
        <f ca="1">IFERROR(IF(VLOOKUP(F618,Kostentypen!$A$3:$E$21,3,0)=0,"",IF(OR(F618="Arbeidskosten",F618="Vergoeding"),VLOOKUP(G618,Tb_KostenTypen[],2,0),VLOOKUP(F618,Kostentypen!$A$3:$E$20,3,0))),"")</f>
        <v/>
      </c>
      <c r="O618" s="320" t="str" cm="1">
        <f t="array" ref="O618">_xlfn.IFNA(IF(INDEX(Tb_KostenOptiesDB[],MATCH($F618,Tb_KostenOptiesDB[KostenOptie],0),IFERROR(MATCH(Methode_Keuze,Tb_KostenOptiesDB[#Headers],0),2))=1,_xlfn.SWITCH($N618,"Uurtarief",IF(OR(AND(RIGHT($F618,3)="IKS",VLOOKUP($M618,DB_Loonkosten,2,0)="Ja"),AND(RIGHT($F618,3)&lt;&gt;"IKS",VLOOKUP($M618,DB_Loonkosten,2,0)="Nee")),IFERROR(VLOOKUP($M618,DB_Loonkosten,24,0),""),0),"Vast tarief",IF(LEFT(F618,8)="Bijdrage",VLOOKUP($F618,Tb_KostenTypen[],MATCH(Lijsten!$P$1,Tb_KostenTypen[#Headers],0),0),VLOOKUP($G618,Lijsten!L:P,MATCH(Lijsten!$P$1,Kop_Tarief_Vast,0),0))),""),"")</f>
        <v/>
      </c>
      <c r="P618" s="320" t="str" cm="1">
        <f t="array" ref="P618">_xlfn.IFNA(IF(INDEX(Tb_KostenOptiesDB[],MATCH($F618,Tb_KostenOptiesDB[KostenOptie],0),IFERROR(MATCH(Methode_Keuze,Tb_KostenOptiesDB[#Headers],0),2))=1,_xlfn.SWITCH($N618,"Uurtarief",IF(OR(AND(RIGHT($F618,3)="IKS",VLOOKUP($M618,DB_Loonkosten,2,0)="Ja"),AND(RIGHT($F618,3)&lt;&gt;"IKS",VLOOKUP($M618,DB_Loonkosten,2,0)="Nee")),IFERROR(VLOOKUP($M618,DB_Loonkosten,25,0),""),0),"Vast tarief",IF(LEFT(F618,8)="Bijdrage",VLOOKUP($F618,Tb_KostenTypen[],MATCH(Lijsten!$P$1,Tb_KostenTypen[#Headers],0),0),VLOOKUP($G618,Lijsten!L:P,MATCH(Lijsten!$P$1,Kop_Tarief_Vast,0),0))),""),"")</f>
        <v/>
      </c>
      <c r="Q618" s="359"/>
      <c r="R618" s="359"/>
      <c r="S618" s="321"/>
      <c r="T618" s="321"/>
      <c r="U618" s="373" t="str">
        <f t="shared" si="36"/>
        <v/>
      </c>
      <c r="V618" s="314" t="str">
        <f t="shared" si="37"/>
        <v/>
      </c>
      <c r="W618" s="314" t="str" cm="1">
        <f t="array" aca="1" ref="W618" ca="1">IFERROR(IF(AE618&lt;&gt;"ja",_xlfn.IFNA(_xlfn.IFS(AND(O618&lt;&gt;"",F618&lt;&gt;"",RIGHT($N618,6)="tarief",F618="Vergoeding"),SUM(O618)*FLOOR(SUM(Q618),0.0001),AND(O618&lt;&gt;"",F618&lt;&gt;"",RIGHT($N618,6)="tarief"),SUM(O618)*FLOOR(SUM(Q618),0.01),S618&gt;0,IF(F618&lt;&gt;"",FLOOR(SUM(S618),0.01),"")),""),""),"")</f>
        <v/>
      </c>
      <c r="X618" s="314" t="str" cm="1">
        <f t="array" aca="1" ref="X618" ca="1">IFERROR(IF(AE618&lt;&gt;"ja",_xlfn.IFNA(_xlfn.IFS(AND(P618&lt;&gt;"",R618&lt;&gt;"",RIGHT($N618,6)="tarief",F618="Vergoeding"),SUM(P618)*FLOOR(SUM(R618),0.0001),AND(P618&lt;&gt;"",R618&lt;&gt;"",RIGHT($N618,6)="tarief"),P618*FLOOR(R618,0.01),T618&gt;0,FLOOR(SUM(T618),0.01)),""),""),"")</f>
        <v/>
      </c>
      <c r="Y618" s="314" t="str">
        <f t="shared" ca="1" si="38"/>
        <v/>
      </c>
      <c r="Z618" s="314" t="str" cm="1">
        <f t="array" aca="1" ref="Z618" ca="1">IFERROR(_xlfn.IFS(OR(F618="",LEFT(Methode_Keuze,4)="Geen",Methode_Keuze=""),"",AND(W618&lt;&gt;"",F618&lt;&gt;"Arbeidskosten"),W618*VLOOKUP(F618,Tb_ProjectKosten[],MATCH(Tb_ProjectKosten[[#Headers],[Forfait_Percentage]],Tb_ProjectKosten[#Headers],0),0),AND(F618="Arbeidskosten",G618&lt;&gt;""),IFERROR(W618*VLOOKUP(G618,Tb_KostenTypen[],3,0)*VLOOKUP(F618,Tb_ProjectKosten[],MATCH(Tb_ProjectKosten[[#Headers],[Forfait_Percentage]],Tb_ProjectKosten[#Headers],0),0),""),W618 &lt;=0,0),"")</f>
        <v/>
      </c>
      <c r="AA618" s="314" t="str" cm="1">
        <f t="array" aca="1" ref="AA618" ca="1">IFERROR(_xlfn.IFS(OR(F618="",LEFT(Methode_Keuze,4)="Geen",Methode_Keuze=""),"",AND(X618&lt;&gt;"",F618&lt;&gt;"Arbeidskosten"),X618*VLOOKUP(F618,Tb_ProjectKosten[],MATCH(Tb_ProjectKosten[[#Headers],[Forfait_Percentage]],Tb_ProjectKosten[#Headers],0),0),AND(F618="Arbeidskosten",G618&lt;&gt;""),IFERROR(X618*VLOOKUP(G618,Tb_KostenTypen[],3,0)*VLOOKUP(F618,Tb_ProjectKosten[],MATCH(Tb_ProjectKosten[[#Headers],[Forfait_Percentage]],Tb_ProjectKosten[#Headers],0),0),""),X618 &lt;=0,0),"")</f>
        <v/>
      </c>
      <c r="AB618" s="314" t="str">
        <f t="shared" ca="1" si="39"/>
        <v/>
      </c>
      <c r="AC618" s="322"/>
      <c r="AD618" s="315"/>
      <c r="AE618" s="32" t="str" cm="1">
        <f t="array" ref="AE618">IFERROR(IF(INDEX(SubsidieTabel!$AD$1:$AG$12,MATCH($F618,SubsidieTabel!$AD$1:$AD$12,0),IFERROR(MATCH(Methode_Keuze,SubsidieTabel!$AD$1:$AG$1,0),2))&lt;&gt;1=TRUE,"ja",""),"")</f>
        <v/>
      </c>
    </row>
    <row r="619" spans="1:31" x14ac:dyDescent="0.25">
      <c r="A619" s="316"/>
      <c r="B619" s="317" t="str">
        <f>IF(A619&lt;&gt;"",_xlfn.MAXIFS($B$1:B618,$A$1:A618,A619)+1,"")</f>
        <v/>
      </c>
      <c r="C619" s="296"/>
      <c r="D619" s="296"/>
      <c r="E619" s="296"/>
      <c r="F619" s="296"/>
      <c r="G619" s="326"/>
      <c r="H619" s="324"/>
      <c r="I619" s="325"/>
      <c r="J619" s="325"/>
      <c r="K619" s="318"/>
      <c r="L619" s="318"/>
      <c r="M619" s="319" t="str">
        <f>IFERROR(VLOOKUP(H619,Lijsten!$H$1:$I$100,2,0),"")</f>
        <v/>
      </c>
      <c r="N619" s="319" t="str">
        <f ca="1">IFERROR(IF(VLOOKUP(F619,Kostentypen!$A$3:$E$21,3,0)=0,"",IF(OR(F619="Arbeidskosten",F619="Vergoeding"),VLOOKUP(G619,Tb_KostenTypen[],2,0),VLOOKUP(F619,Kostentypen!$A$3:$E$20,3,0))),"")</f>
        <v/>
      </c>
      <c r="O619" s="320" t="str" cm="1">
        <f t="array" ref="O619">_xlfn.IFNA(IF(INDEX(Tb_KostenOptiesDB[],MATCH($F619,Tb_KostenOptiesDB[KostenOptie],0),IFERROR(MATCH(Methode_Keuze,Tb_KostenOptiesDB[#Headers],0),2))=1,_xlfn.SWITCH($N619,"Uurtarief",IF(OR(AND(RIGHT($F619,3)="IKS",VLOOKUP($M619,DB_Loonkosten,2,0)="Ja"),AND(RIGHT($F619,3)&lt;&gt;"IKS",VLOOKUP($M619,DB_Loonkosten,2,0)="Nee")),IFERROR(VLOOKUP($M619,DB_Loonkosten,24,0),""),0),"Vast tarief",IF(LEFT(F619,8)="Bijdrage",VLOOKUP($F619,Tb_KostenTypen[],MATCH(Lijsten!$P$1,Tb_KostenTypen[#Headers],0),0),VLOOKUP($G619,Lijsten!L:P,MATCH(Lijsten!$P$1,Kop_Tarief_Vast,0),0))),""),"")</f>
        <v/>
      </c>
      <c r="P619" s="320" t="str" cm="1">
        <f t="array" ref="P619">_xlfn.IFNA(IF(INDEX(Tb_KostenOptiesDB[],MATCH($F619,Tb_KostenOptiesDB[KostenOptie],0),IFERROR(MATCH(Methode_Keuze,Tb_KostenOptiesDB[#Headers],0),2))=1,_xlfn.SWITCH($N619,"Uurtarief",IF(OR(AND(RIGHT($F619,3)="IKS",VLOOKUP($M619,DB_Loonkosten,2,0)="Ja"),AND(RIGHT($F619,3)&lt;&gt;"IKS",VLOOKUP($M619,DB_Loonkosten,2,0)="Nee")),IFERROR(VLOOKUP($M619,DB_Loonkosten,25,0),""),0),"Vast tarief",IF(LEFT(F619,8)="Bijdrage",VLOOKUP($F619,Tb_KostenTypen[],MATCH(Lijsten!$P$1,Tb_KostenTypen[#Headers],0),0),VLOOKUP($G619,Lijsten!L:P,MATCH(Lijsten!$P$1,Kop_Tarief_Vast,0),0))),""),"")</f>
        <v/>
      </c>
      <c r="Q619" s="359"/>
      <c r="R619" s="359"/>
      <c r="S619" s="321"/>
      <c r="T619" s="321"/>
      <c r="U619" s="373" t="str">
        <f t="shared" si="36"/>
        <v/>
      </c>
      <c r="V619" s="314" t="str">
        <f t="shared" si="37"/>
        <v/>
      </c>
      <c r="W619" s="314" t="str" cm="1">
        <f t="array" aca="1" ref="W619" ca="1">IFERROR(IF(AE619&lt;&gt;"ja",_xlfn.IFNA(_xlfn.IFS(AND(O619&lt;&gt;"",F619&lt;&gt;"",RIGHT($N619,6)="tarief",F619="Vergoeding"),SUM(O619)*FLOOR(SUM(Q619),0.0001),AND(O619&lt;&gt;"",F619&lt;&gt;"",RIGHT($N619,6)="tarief"),SUM(O619)*FLOOR(SUM(Q619),0.01),S619&gt;0,IF(F619&lt;&gt;"",FLOOR(SUM(S619),0.01),"")),""),""),"")</f>
        <v/>
      </c>
      <c r="X619" s="314" t="str" cm="1">
        <f t="array" aca="1" ref="X619" ca="1">IFERROR(IF(AE619&lt;&gt;"ja",_xlfn.IFNA(_xlfn.IFS(AND(P619&lt;&gt;"",R619&lt;&gt;"",RIGHT($N619,6)="tarief",F619="Vergoeding"),SUM(P619)*FLOOR(SUM(R619),0.0001),AND(P619&lt;&gt;"",R619&lt;&gt;"",RIGHT($N619,6)="tarief"),P619*FLOOR(R619,0.01),T619&gt;0,FLOOR(SUM(T619),0.01)),""),""),"")</f>
        <v/>
      </c>
      <c r="Y619" s="314" t="str">
        <f t="shared" ca="1" si="38"/>
        <v/>
      </c>
      <c r="Z619" s="314" t="str" cm="1">
        <f t="array" aca="1" ref="Z619" ca="1">IFERROR(_xlfn.IFS(OR(F619="",LEFT(Methode_Keuze,4)="Geen",Methode_Keuze=""),"",AND(W619&lt;&gt;"",F619&lt;&gt;"Arbeidskosten"),W619*VLOOKUP(F619,Tb_ProjectKosten[],MATCH(Tb_ProjectKosten[[#Headers],[Forfait_Percentage]],Tb_ProjectKosten[#Headers],0),0),AND(F619="Arbeidskosten",G619&lt;&gt;""),IFERROR(W619*VLOOKUP(G619,Tb_KostenTypen[],3,0)*VLOOKUP(F619,Tb_ProjectKosten[],MATCH(Tb_ProjectKosten[[#Headers],[Forfait_Percentage]],Tb_ProjectKosten[#Headers],0),0),""),W619 &lt;=0,0),"")</f>
        <v/>
      </c>
      <c r="AA619" s="314" t="str" cm="1">
        <f t="array" aca="1" ref="AA619" ca="1">IFERROR(_xlfn.IFS(OR(F619="",LEFT(Methode_Keuze,4)="Geen",Methode_Keuze=""),"",AND(X619&lt;&gt;"",F619&lt;&gt;"Arbeidskosten"),X619*VLOOKUP(F619,Tb_ProjectKosten[],MATCH(Tb_ProjectKosten[[#Headers],[Forfait_Percentage]],Tb_ProjectKosten[#Headers],0),0),AND(F619="Arbeidskosten",G619&lt;&gt;""),IFERROR(X619*VLOOKUP(G619,Tb_KostenTypen[],3,0)*VLOOKUP(F619,Tb_ProjectKosten[],MATCH(Tb_ProjectKosten[[#Headers],[Forfait_Percentage]],Tb_ProjectKosten[#Headers],0),0),""),X619 &lt;=0,0),"")</f>
        <v/>
      </c>
      <c r="AB619" s="314" t="str">
        <f t="shared" ca="1" si="39"/>
        <v/>
      </c>
      <c r="AC619" s="322"/>
      <c r="AD619" s="315"/>
      <c r="AE619" s="32" t="str" cm="1">
        <f t="array" ref="AE619">IFERROR(IF(INDEX(SubsidieTabel!$AD$1:$AG$12,MATCH($F619,SubsidieTabel!$AD$1:$AD$12,0),IFERROR(MATCH(Methode_Keuze,SubsidieTabel!$AD$1:$AG$1,0),2))&lt;&gt;1=TRUE,"ja",""),"")</f>
        <v/>
      </c>
    </row>
    <row r="620" spans="1:31" x14ac:dyDescent="0.25">
      <c r="A620" s="316"/>
      <c r="B620" s="317" t="str">
        <f>IF(A620&lt;&gt;"",_xlfn.MAXIFS($B$1:B619,$A$1:A619,A620)+1,"")</f>
        <v/>
      </c>
      <c r="C620" s="296"/>
      <c r="D620" s="296"/>
      <c r="E620" s="296"/>
      <c r="F620" s="296"/>
      <c r="G620" s="326"/>
      <c r="H620" s="324"/>
      <c r="I620" s="325"/>
      <c r="J620" s="325"/>
      <c r="K620" s="318"/>
      <c r="L620" s="318"/>
      <c r="M620" s="319" t="str">
        <f>IFERROR(VLOOKUP(H620,Lijsten!$H$1:$I$100,2,0),"")</f>
        <v/>
      </c>
      <c r="N620" s="319" t="str">
        <f ca="1">IFERROR(IF(VLOOKUP(F620,Kostentypen!$A$3:$E$21,3,0)=0,"",IF(OR(F620="Arbeidskosten",F620="Vergoeding"),VLOOKUP(G620,Tb_KostenTypen[],2,0),VLOOKUP(F620,Kostentypen!$A$3:$E$20,3,0))),"")</f>
        <v/>
      </c>
      <c r="O620" s="320" t="str" cm="1">
        <f t="array" ref="O620">_xlfn.IFNA(IF(INDEX(Tb_KostenOptiesDB[],MATCH($F620,Tb_KostenOptiesDB[KostenOptie],0),IFERROR(MATCH(Methode_Keuze,Tb_KostenOptiesDB[#Headers],0),2))=1,_xlfn.SWITCH($N620,"Uurtarief",IF(OR(AND(RIGHT($F620,3)="IKS",VLOOKUP($M620,DB_Loonkosten,2,0)="Ja"),AND(RIGHT($F620,3)&lt;&gt;"IKS",VLOOKUP($M620,DB_Loonkosten,2,0)="Nee")),IFERROR(VLOOKUP($M620,DB_Loonkosten,24,0),""),0),"Vast tarief",IF(LEFT(F620,8)="Bijdrage",VLOOKUP($F620,Tb_KostenTypen[],MATCH(Lijsten!$P$1,Tb_KostenTypen[#Headers],0),0),VLOOKUP($G620,Lijsten!L:P,MATCH(Lijsten!$P$1,Kop_Tarief_Vast,0),0))),""),"")</f>
        <v/>
      </c>
      <c r="P620" s="320" t="str" cm="1">
        <f t="array" ref="P620">_xlfn.IFNA(IF(INDEX(Tb_KostenOptiesDB[],MATCH($F620,Tb_KostenOptiesDB[KostenOptie],0),IFERROR(MATCH(Methode_Keuze,Tb_KostenOptiesDB[#Headers],0),2))=1,_xlfn.SWITCH($N620,"Uurtarief",IF(OR(AND(RIGHT($F620,3)="IKS",VLOOKUP($M620,DB_Loonkosten,2,0)="Ja"),AND(RIGHT($F620,3)&lt;&gt;"IKS",VLOOKUP($M620,DB_Loonkosten,2,0)="Nee")),IFERROR(VLOOKUP($M620,DB_Loonkosten,25,0),""),0),"Vast tarief",IF(LEFT(F620,8)="Bijdrage",VLOOKUP($F620,Tb_KostenTypen[],MATCH(Lijsten!$P$1,Tb_KostenTypen[#Headers],0),0),VLOOKUP($G620,Lijsten!L:P,MATCH(Lijsten!$P$1,Kop_Tarief_Vast,0),0))),""),"")</f>
        <v/>
      </c>
      <c r="Q620" s="359"/>
      <c r="R620" s="359"/>
      <c r="S620" s="321"/>
      <c r="T620" s="321"/>
      <c r="U620" s="373" t="str">
        <f t="shared" si="36"/>
        <v/>
      </c>
      <c r="V620" s="314" t="str">
        <f t="shared" si="37"/>
        <v/>
      </c>
      <c r="W620" s="314" t="str" cm="1">
        <f t="array" aca="1" ref="W620" ca="1">IFERROR(IF(AE620&lt;&gt;"ja",_xlfn.IFNA(_xlfn.IFS(AND(O620&lt;&gt;"",F620&lt;&gt;"",RIGHT($N620,6)="tarief",F620="Vergoeding"),SUM(O620)*FLOOR(SUM(Q620),0.0001),AND(O620&lt;&gt;"",F620&lt;&gt;"",RIGHT($N620,6)="tarief"),SUM(O620)*FLOOR(SUM(Q620),0.01),S620&gt;0,IF(F620&lt;&gt;"",FLOOR(SUM(S620),0.01),"")),""),""),"")</f>
        <v/>
      </c>
      <c r="X620" s="314" t="str" cm="1">
        <f t="array" aca="1" ref="X620" ca="1">IFERROR(IF(AE620&lt;&gt;"ja",_xlfn.IFNA(_xlfn.IFS(AND(P620&lt;&gt;"",R620&lt;&gt;"",RIGHT($N620,6)="tarief",F620="Vergoeding"),SUM(P620)*FLOOR(SUM(R620),0.0001),AND(P620&lt;&gt;"",R620&lt;&gt;"",RIGHT($N620,6)="tarief"),P620*FLOOR(R620,0.01),T620&gt;0,FLOOR(SUM(T620),0.01)),""),""),"")</f>
        <v/>
      </c>
      <c r="Y620" s="314" t="str">
        <f t="shared" ca="1" si="38"/>
        <v/>
      </c>
      <c r="Z620" s="314" t="str" cm="1">
        <f t="array" aca="1" ref="Z620" ca="1">IFERROR(_xlfn.IFS(OR(F620="",LEFT(Methode_Keuze,4)="Geen",Methode_Keuze=""),"",AND(W620&lt;&gt;"",F620&lt;&gt;"Arbeidskosten"),W620*VLOOKUP(F620,Tb_ProjectKosten[],MATCH(Tb_ProjectKosten[[#Headers],[Forfait_Percentage]],Tb_ProjectKosten[#Headers],0),0),AND(F620="Arbeidskosten",G620&lt;&gt;""),IFERROR(W620*VLOOKUP(G620,Tb_KostenTypen[],3,0)*VLOOKUP(F620,Tb_ProjectKosten[],MATCH(Tb_ProjectKosten[[#Headers],[Forfait_Percentage]],Tb_ProjectKosten[#Headers],0),0),""),W620 &lt;=0,0),"")</f>
        <v/>
      </c>
      <c r="AA620" s="314" t="str" cm="1">
        <f t="array" aca="1" ref="AA620" ca="1">IFERROR(_xlfn.IFS(OR(F620="",LEFT(Methode_Keuze,4)="Geen",Methode_Keuze=""),"",AND(X620&lt;&gt;"",F620&lt;&gt;"Arbeidskosten"),X620*VLOOKUP(F620,Tb_ProjectKosten[],MATCH(Tb_ProjectKosten[[#Headers],[Forfait_Percentage]],Tb_ProjectKosten[#Headers],0),0),AND(F620="Arbeidskosten",G620&lt;&gt;""),IFERROR(X620*VLOOKUP(G620,Tb_KostenTypen[],3,0)*VLOOKUP(F620,Tb_ProjectKosten[],MATCH(Tb_ProjectKosten[[#Headers],[Forfait_Percentage]],Tb_ProjectKosten[#Headers],0),0),""),X620 &lt;=0,0),"")</f>
        <v/>
      </c>
      <c r="AB620" s="314" t="str">
        <f t="shared" ca="1" si="39"/>
        <v/>
      </c>
      <c r="AC620" s="322"/>
      <c r="AD620" s="315"/>
      <c r="AE620" s="32" t="str" cm="1">
        <f t="array" ref="AE620">IFERROR(IF(INDEX(SubsidieTabel!$AD$1:$AG$12,MATCH($F620,SubsidieTabel!$AD$1:$AD$12,0),IFERROR(MATCH(Methode_Keuze,SubsidieTabel!$AD$1:$AG$1,0),2))&lt;&gt;1=TRUE,"ja",""),"")</f>
        <v/>
      </c>
    </row>
    <row r="621" spans="1:31" x14ac:dyDescent="0.25">
      <c r="A621" s="316"/>
      <c r="B621" s="317" t="str">
        <f>IF(A621&lt;&gt;"",_xlfn.MAXIFS($B$1:B620,$A$1:A620,A621)+1,"")</f>
        <v/>
      </c>
      <c r="C621" s="296"/>
      <c r="D621" s="296"/>
      <c r="E621" s="296"/>
      <c r="F621" s="296"/>
      <c r="G621" s="326"/>
      <c r="H621" s="324"/>
      <c r="I621" s="325"/>
      <c r="J621" s="325"/>
      <c r="K621" s="318"/>
      <c r="L621" s="318"/>
      <c r="M621" s="319" t="str">
        <f>IFERROR(VLOOKUP(H621,Lijsten!$H$1:$I$100,2,0),"")</f>
        <v/>
      </c>
      <c r="N621" s="319" t="str">
        <f ca="1">IFERROR(IF(VLOOKUP(F621,Kostentypen!$A$3:$E$21,3,0)=0,"",IF(OR(F621="Arbeidskosten",F621="Vergoeding"),VLOOKUP(G621,Tb_KostenTypen[],2,0),VLOOKUP(F621,Kostentypen!$A$3:$E$20,3,0))),"")</f>
        <v/>
      </c>
      <c r="O621" s="320" t="str" cm="1">
        <f t="array" ref="O621">_xlfn.IFNA(IF(INDEX(Tb_KostenOptiesDB[],MATCH($F621,Tb_KostenOptiesDB[KostenOptie],0),IFERROR(MATCH(Methode_Keuze,Tb_KostenOptiesDB[#Headers],0),2))=1,_xlfn.SWITCH($N621,"Uurtarief",IF(OR(AND(RIGHT($F621,3)="IKS",VLOOKUP($M621,DB_Loonkosten,2,0)="Ja"),AND(RIGHT($F621,3)&lt;&gt;"IKS",VLOOKUP($M621,DB_Loonkosten,2,0)="Nee")),IFERROR(VLOOKUP($M621,DB_Loonkosten,24,0),""),0),"Vast tarief",IF(LEFT(F621,8)="Bijdrage",VLOOKUP($F621,Tb_KostenTypen[],MATCH(Lijsten!$P$1,Tb_KostenTypen[#Headers],0),0),VLOOKUP($G621,Lijsten!L:P,MATCH(Lijsten!$P$1,Kop_Tarief_Vast,0),0))),""),"")</f>
        <v/>
      </c>
      <c r="P621" s="320" t="str" cm="1">
        <f t="array" ref="P621">_xlfn.IFNA(IF(INDEX(Tb_KostenOptiesDB[],MATCH($F621,Tb_KostenOptiesDB[KostenOptie],0),IFERROR(MATCH(Methode_Keuze,Tb_KostenOptiesDB[#Headers],0),2))=1,_xlfn.SWITCH($N621,"Uurtarief",IF(OR(AND(RIGHT($F621,3)="IKS",VLOOKUP($M621,DB_Loonkosten,2,0)="Ja"),AND(RIGHT($F621,3)&lt;&gt;"IKS",VLOOKUP($M621,DB_Loonkosten,2,0)="Nee")),IFERROR(VLOOKUP($M621,DB_Loonkosten,25,0),""),0),"Vast tarief",IF(LEFT(F621,8)="Bijdrage",VLOOKUP($F621,Tb_KostenTypen[],MATCH(Lijsten!$P$1,Tb_KostenTypen[#Headers],0),0),VLOOKUP($G621,Lijsten!L:P,MATCH(Lijsten!$P$1,Kop_Tarief_Vast,0),0))),""),"")</f>
        <v/>
      </c>
      <c r="Q621" s="359"/>
      <c r="R621" s="359"/>
      <c r="S621" s="321"/>
      <c r="T621" s="321"/>
      <c r="U621" s="373" t="str">
        <f t="shared" si="36"/>
        <v/>
      </c>
      <c r="V621" s="314" t="str">
        <f t="shared" si="37"/>
        <v/>
      </c>
      <c r="W621" s="314" t="str" cm="1">
        <f t="array" aca="1" ref="W621" ca="1">IFERROR(IF(AE621&lt;&gt;"ja",_xlfn.IFNA(_xlfn.IFS(AND(O621&lt;&gt;"",F621&lt;&gt;"",RIGHT($N621,6)="tarief",F621="Vergoeding"),SUM(O621)*FLOOR(SUM(Q621),0.0001),AND(O621&lt;&gt;"",F621&lt;&gt;"",RIGHT($N621,6)="tarief"),SUM(O621)*FLOOR(SUM(Q621),0.01),S621&gt;0,IF(F621&lt;&gt;"",FLOOR(SUM(S621),0.01),"")),""),""),"")</f>
        <v/>
      </c>
      <c r="X621" s="314" t="str" cm="1">
        <f t="array" aca="1" ref="X621" ca="1">IFERROR(IF(AE621&lt;&gt;"ja",_xlfn.IFNA(_xlfn.IFS(AND(P621&lt;&gt;"",R621&lt;&gt;"",RIGHT($N621,6)="tarief",F621="Vergoeding"),SUM(P621)*FLOOR(SUM(R621),0.0001),AND(P621&lt;&gt;"",R621&lt;&gt;"",RIGHT($N621,6)="tarief"),P621*FLOOR(R621,0.01),T621&gt;0,FLOOR(SUM(T621),0.01)),""),""),"")</f>
        <v/>
      </c>
      <c r="Y621" s="314" t="str">
        <f t="shared" ca="1" si="38"/>
        <v/>
      </c>
      <c r="Z621" s="314" t="str" cm="1">
        <f t="array" aca="1" ref="Z621" ca="1">IFERROR(_xlfn.IFS(OR(F621="",LEFT(Methode_Keuze,4)="Geen",Methode_Keuze=""),"",AND(W621&lt;&gt;"",F621&lt;&gt;"Arbeidskosten"),W621*VLOOKUP(F621,Tb_ProjectKosten[],MATCH(Tb_ProjectKosten[[#Headers],[Forfait_Percentage]],Tb_ProjectKosten[#Headers],0),0),AND(F621="Arbeidskosten",G621&lt;&gt;""),IFERROR(W621*VLOOKUP(G621,Tb_KostenTypen[],3,0)*VLOOKUP(F621,Tb_ProjectKosten[],MATCH(Tb_ProjectKosten[[#Headers],[Forfait_Percentage]],Tb_ProjectKosten[#Headers],0),0),""),W621 &lt;=0,0),"")</f>
        <v/>
      </c>
      <c r="AA621" s="314" t="str" cm="1">
        <f t="array" aca="1" ref="AA621" ca="1">IFERROR(_xlfn.IFS(OR(F621="",LEFT(Methode_Keuze,4)="Geen",Methode_Keuze=""),"",AND(X621&lt;&gt;"",F621&lt;&gt;"Arbeidskosten"),X621*VLOOKUP(F621,Tb_ProjectKosten[],MATCH(Tb_ProjectKosten[[#Headers],[Forfait_Percentage]],Tb_ProjectKosten[#Headers],0),0),AND(F621="Arbeidskosten",G621&lt;&gt;""),IFERROR(X621*VLOOKUP(G621,Tb_KostenTypen[],3,0)*VLOOKUP(F621,Tb_ProjectKosten[],MATCH(Tb_ProjectKosten[[#Headers],[Forfait_Percentage]],Tb_ProjectKosten[#Headers],0),0),""),X621 &lt;=0,0),"")</f>
        <v/>
      </c>
      <c r="AB621" s="314" t="str">
        <f t="shared" ca="1" si="39"/>
        <v/>
      </c>
      <c r="AC621" s="322"/>
      <c r="AD621" s="315"/>
      <c r="AE621" s="32" t="str" cm="1">
        <f t="array" ref="AE621">IFERROR(IF(INDEX(SubsidieTabel!$AD$1:$AG$12,MATCH($F621,SubsidieTabel!$AD$1:$AD$12,0),IFERROR(MATCH(Methode_Keuze,SubsidieTabel!$AD$1:$AG$1,0),2))&lt;&gt;1=TRUE,"ja",""),"")</f>
        <v/>
      </c>
    </row>
    <row r="622" spans="1:31" x14ac:dyDescent="0.25">
      <c r="A622" s="316"/>
      <c r="B622" s="317" t="str">
        <f>IF(A622&lt;&gt;"",_xlfn.MAXIFS($B$1:B621,$A$1:A621,A622)+1,"")</f>
        <v/>
      </c>
      <c r="C622" s="296"/>
      <c r="D622" s="296"/>
      <c r="E622" s="296"/>
      <c r="F622" s="296"/>
      <c r="G622" s="326"/>
      <c r="H622" s="324"/>
      <c r="I622" s="325"/>
      <c r="J622" s="325"/>
      <c r="K622" s="318"/>
      <c r="L622" s="318"/>
      <c r="M622" s="319" t="str">
        <f>IFERROR(VLOOKUP(H622,Lijsten!$H$1:$I$100,2,0),"")</f>
        <v/>
      </c>
      <c r="N622" s="319" t="str">
        <f ca="1">IFERROR(IF(VLOOKUP(F622,Kostentypen!$A$3:$E$21,3,0)=0,"",IF(OR(F622="Arbeidskosten",F622="Vergoeding"),VLOOKUP(G622,Tb_KostenTypen[],2,0),VLOOKUP(F622,Kostentypen!$A$3:$E$20,3,0))),"")</f>
        <v/>
      </c>
      <c r="O622" s="320" t="str" cm="1">
        <f t="array" ref="O622">_xlfn.IFNA(IF(INDEX(Tb_KostenOptiesDB[],MATCH($F622,Tb_KostenOptiesDB[KostenOptie],0),IFERROR(MATCH(Methode_Keuze,Tb_KostenOptiesDB[#Headers],0),2))=1,_xlfn.SWITCH($N622,"Uurtarief",IF(OR(AND(RIGHT($F622,3)="IKS",VLOOKUP($M622,DB_Loonkosten,2,0)="Ja"),AND(RIGHT($F622,3)&lt;&gt;"IKS",VLOOKUP($M622,DB_Loonkosten,2,0)="Nee")),IFERROR(VLOOKUP($M622,DB_Loonkosten,24,0),""),0),"Vast tarief",IF(LEFT(F622,8)="Bijdrage",VLOOKUP($F622,Tb_KostenTypen[],MATCH(Lijsten!$P$1,Tb_KostenTypen[#Headers],0),0),VLOOKUP($G622,Lijsten!L:P,MATCH(Lijsten!$P$1,Kop_Tarief_Vast,0),0))),""),"")</f>
        <v/>
      </c>
      <c r="P622" s="320" t="str" cm="1">
        <f t="array" ref="P622">_xlfn.IFNA(IF(INDEX(Tb_KostenOptiesDB[],MATCH($F622,Tb_KostenOptiesDB[KostenOptie],0),IFERROR(MATCH(Methode_Keuze,Tb_KostenOptiesDB[#Headers],0),2))=1,_xlfn.SWITCH($N622,"Uurtarief",IF(OR(AND(RIGHT($F622,3)="IKS",VLOOKUP($M622,DB_Loonkosten,2,0)="Ja"),AND(RIGHT($F622,3)&lt;&gt;"IKS",VLOOKUP($M622,DB_Loonkosten,2,0)="Nee")),IFERROR(VLOOKUP($M622,DB_Loonkosten,25,0),""),0),"Vast tarief",IF(LEFT(F622,8)="Bijdrage",VLOOKUP($F622,Tb_KostenTypen[],MATCH(Lijsten!$P$1,Tb_KostenTypen[#Headers],0),0),VLOOKUP($G622,Lijsten!L:P,MATCH(Lijsten!$P$1,Kop_Tarief_Vast,0),0))),""),"")</f>
        <v/>
      </c>
      <c r="Q622" s="359"/>
      <c r="R622" s="359"/>
      <c r="S622" s="321"/>
      <c r="T622" s="321"/>
      <c r="U622" s="373" t="str">
        <f t="shared" si="36"/>
        <v/>
      </c>
      <c r="V622" s="314" t="str">
        <f t="shared" si="37"/>
        <v/>
      </c>
      <c r="W622" s="314" t="str" cm="1">
        <f t="array" aca="1" ref="W622" ca="1">IFERROR(IF(AE622&lt;&gt;"ja",_xlfn.IFNA(_xlfn.IFS(AND(O622&lt;&gt;"",F622&lt;&gt;"",RIGHT($N622,6)="tarief",F622="Vergoeding"),SUM(O622)*FLOOR(SUM(Q622),0.0001),AND(O622&lt;&gt;"",F622&lt;&gt;"",RIGHT($N622,6)="tarief"),SUM(O622)*FLOOR(SUM(Q622),0.01),S622&gt;0,IF(F622&lt;&gt;"",FLOOR(SUM(S622),0.01),"")),""),""),"")</f>
        <v/>
      </c>
      <c r="X622" s="314" t="str" cm="1">
        <f t="array" aca="1" ref="X622" ca="1">IFERROR(IF(AE622&lt;&gt;"ja",_xlfn.IFNA(_xlfn.IFS(AND(P622&lt;&gt;"",R622&lt;&gt;"",RIGHT($N622,6)="tarief",F622="Vergoeding"),SUM(P622)*FLOOR(SUM(R622),0.0001),AND(P622&lt;&gt;"",R622&lt;&gt;"",RIGHT($N622,6)="tarief"),P622*FLOOR(R622,0.01),T622&gt;0,FLOOR(SUM(T622),0.01)),""),""),"")</f>
        <v/>
      </c>
      <c r="Y622" s="314" t="str">
        <f t="shared" ca="1" si="38"/>
        <v/>
      </c>
      <c r="Z622" s="314" t="str" cm="1">
        <f t="array" aca="1" ref="Z622" ca="1">IFERROR(_xlfn.IFS(OR(F622="",LEFT(Methode_Keuze,4)="Geen",Methode_Keuze=""),"",AND(W622&lt;&gt;"",F622&lt;&gt;"Arbeidskosten"),W622*VLOOKUP(F622,Tb_ProjectKosten[],MATCH(Tb_ProjectKosten[[#Headers],[Forfait_Percentage]],Tb_ProjectKosten[#Headers],0),0),AND(F622="Arbeidskosten",G622&lt;&gt;""),IFERROR(W622*VLOOKUP(G622,Tb_KostenTypen[],3,0)*VLOOKUP(F622,Tb_ProjectKosten[],MATCH(Tb_ProjectKosten[[#Headers],[Forfait_Percentage]],Tb_ProjectKosten[#Headers],0),0),""),W622 &lt;=0,0),"")</f>
        <v/>
      </c>
      <c r="AA622" s="314" t="str" cm="1">
        <f t="array" aca="1" ref="AA622" ca="1">IFERROR(_xlfn.IFS(OR(F622="",LEFT(Methode_Keuze,4)="Geen",Methode_Keuze=""),"",AND(X622&lt;&gt;"",F622&lt;&gt;"Arbeidskosten"),X622*VLOOKUP(F622,Tb_ProjectKosten[],MATCH(Tb_ProjectKosten[[#Headers],[Forfait_Percentage]],Tb_ProjectKosten[#Headers],0),0),AND(F622="Arbeidskosten",G622&lt;&gt;""),IFERROR(X622*VLOOKUP(G622,Tb_KostenTypen[],3,0)*VLOOKUP(F622,Tb_ProjectKosten[],MATCH(Tb_ProjectKosten[[#Headers],[Forfait_Percentage]],Tb_ProjectKosten[#Headers],0),0),""),X622 &lt;=0,0),"")</f>
        <v/>
      </c>
      <c r="AB622" s="314" t="str">
        <f t="shared" ca="1" si="39"/>
        <v/>
      </c>
      <c r="AC622" s="322"/>
      <c r="AD622" s="315"/>
      <c r="AE622" s="32" t="str" cm="1">
        <f t="array" ref="AE622">IFERROR(IF(INDEX(SubsidieTabel!$AD$1:$AG$12,MATCH($F622,SubsidieTabel!$AD$1:$AD$12,0),IFERROR(MATCH(Methode_Keuze,SubsidieTabel!$AD$1:$AG$1,0),2))&lt;&gt;1=TRUE,"ja",""),"")</f>
        <v/>
      </c>
    </row>
    <row r="623" spans="1:31" x14ac:dyDescent="0.25">
      <c r="A623" s="316"/>
      <c r="B623" s="317" t="str">
        <f>IF(A623&lt;&gt;"",_xlfn.MAXIFS($B$1:B622,$A$1:A622,A623)+1,"")</f>
        <v/>
      </c>
      <c r="C623" s="296"/>
      <c r="D623" s="296"/>
      <c r="E623" s="296"/>
      <c r="F623" s="296"/>
      <c r="G623" s="326"/>
      <c r="H623" s="324"/>
      <c r="I623" s="325"/>
      <c r="J623" s="325"/>
      <c r="K623" s="318"/>
      <c r="L623" s="318"/>
      <c r="M623" s="319" t="str">
        <f>IFERROR(VLOOKUP(H623,Lijsten!$H$1:$I$100,2,0),"")</f>
        <v/>
      </c>
      <c r="N623" s="319" t="str">
        <f ca="1">IFERROR(IF(VLOOKUP(F623,Kostentypen!$A$3:$E$21,3,0)=0,"",IF(OR(F623="Arbeidskosten",F623="Vergoeding"),VLOOKUP(G623,Tb_KostenTypen[],2,0),VLOOKUP(F623,Kostentypen!$A$3:$E$20,3,0))),"")</f>
        <v/>
      </c>
      <c r="O623" s="320" t="str" cm="1">
        <f t="array" ref="O623">_xlfn.IFNA(IF(INDEX(Tb_KostenOptiesDB[],MATCH($F623,Tb_KostenOptiesDB[KostenOptie],0),IFERROR(MATCH(Methode_Keuze,Tb_KostenOptiesDB[#Headers],0),2))=1,_xlfn.SWITCH($N623,"Uurtarief",IF(OR(AND(RIGHT($F623,3)="IKS",VLOOKUP($M623,DB_Loonkosten,2,0)="Ja"),AND(RIGHT($F623,3)&lt;&gt;"IKS",VLOOKUP($M623,DB_Loonkosten,2,0)="Nee")),IFERROR(VLOOKUP($M623,DB_Loonkosten,24,0),""),0),"Vast tarief",IF(LEFT(F623,8)="Bijdrage",VLOOKUP($F623,Tb_KostenTypen[],MATCH(Lijsten!$P$1,Tb_KostenTypen[#Headers],0),0),VLOOKUP($G623,Lijsten!L:P,MATCH(Lijsten!$P$1,Kop_Tarief_Vast,0),0))),""),"")</f>
        <v/>
      </c>
      <c r="P623" s="320" t="str" cm="1">
        <f t="array" ref="P623">_xlfn.IFNA(IF(INDEX(Tb_KostenOptiesDB[],MATCH($F623,Tb_KostenOptiesDB[KostenOptie],0),IFERROR(MATCH(Methode_Keuze,Tb_KostenOptiesDB[#Headers],0),2))=1,_xlfn.SWITCH($N623,"Uurtarief",IF(OR(AND(RIGHT($F623,3)="IKS",VLOOKUP($M623,DB_Loonkosten,2,0)="Ja"),AND(RIGHT($F623,3)&lt;&gt;"IKS",VLOOKUP($M623,DB_Loonkosten,2,0)="Nee")),IFERROR(VLOOKUP($M623,DB_Loonkosten,25,0),""),0),"Vast tarief",IF(LEFT(F623,8)="Bijdrage",VLOOKUP($F623,Tb_KostenTypen[],MATCH(Lijsten!$P$1,Tb_KostenTypen[#Headers],0),0),VLOOKUP($G623,Lijsten!L:P,MATCH(Lijsten!$P$1,Kop_Tarief_Vast,0),0))),""),"")</f>
        <v/>
      </c>
      <c r="Q623" s="359"/>
      <c r="R623" s="359"/>
      <c r="S623" s="321"/>
      <c r="T623" s="321"/>
      <c r="U623" s="373" t="str">
        <f t="shared" si="36"/>
        <v/>
      </c>
      <c r="V623" s="314" t="str">
        <f t="shared" si="37"/>
        <v/>
      </c>
      <c r="W623" s="314" t="str" cm="1">
        <f t="array" aca="1" ref="W623" ca="1">IFERROR(IF(AE623&lt;&gt;"ja",_xlfn.IFNA(_xlfn.IFS(AND(O623&lt;&gt;"",F623&lt;&gt;"",RIGHT($N623,6)="tarief",F623="Vergoeding"),SUM(O623)*FLOOR(SUM(Q623),0.0001),AND(O623&lt;&gt;"",F623&lt;&gt;"",RIGHT($N623,6)="tarief"),SUM(O623)*FLOOR(SUM(Q623),0.01),S623&gt;0,IF(F623&lt;&gt;"",FLOOR(SUM(S623),0.01),"")),""),""),"")</f>
        <v/>
      </c>
      <c r="X623" s="314" t="str" cm="1">
        <f t="array" aca="1" ref="X623" ca="1">IFERROR(IF(AE623&lt;&gt;"ja",_xlfn.IFNA(_xlfn.IFS(AND(P623&lt;&gt;"",R623&lt;&gt;"",RIGHT($N623,6)="tarief",F623="Vergoeding"),SUM(P623)*FLOOR(SUM(R623),0.0001),AND(P623&lt;&gt;"",R623&lt;&gt;"",RIGHT($N623,6)="tarief"),P623*FLOOR(R623,0.01),T623&gt;0,FLOOR(SUM(T623),0.01)),""),""),"")</f>
        <v/>
      </c>
      <c r="Y623" s="314" t="str">
        <f t="shared" ca="1" si="38"/>
        <v/>
      </c>
      <c r="Z623" s="314" t="str" cm="1">
        <f t="array" aca="1" ref="Z623" ca="1">IFERROR(_xlfn.IFS(OR(F623="",LEFT(Methode_Keuze,4)="Geen",Methode_Keuze=""),"",AND(W623&lt;&gt;"",F623&lt;&gt;"Arbeidskosten"),W623*VLOOKUP(F623,Tb_ProjectKosten[],MATCH(Tb_ProjectKosten[[#Headers],[Forfait_Percentage]],Tb_ProjectKosten[#Headers],0),0),AND(F623="Arbeidskosten",G623&lt;&gt;""),IFERROR(W623*VLOOKUP(G623,Tb_KostenTypen[],3,0)*VLOOKUP(F623,Tb_ProjectKosten[],MATCH(Tb_ProjectKosten[[#Headers],[Forfait_Percentage]],Tb_ProjectKosten[#Headers],0),0),""),W623 &lt;=0,0),"")</f>
        <v/>
      </c>
      <c r="AA623" s="314" t="str" cm="1">
        <f t="array" aca="1" ref="AA623" ca="1">IFERROR(_xlfn.IFS(OR(F623="",LEFT(Methode_Keuze,4)="Geen",Methode_Keuze=""),"",AND(X623&lt;&gt;"",F623&lt;&gt;"Arbeidskosten"),X623*VLOOKUP(F623,Tb_ProjectKosten[],MATCH(Tb_ProjectKosten[[#Headers],[Forfait_Percentage]],Tb_ProjectKosten[#Headers],0),0),AND(F623="Arbeidskosten",G623&lt;&gt;""),IFERROR(X623*VLOOKUP(G623,Tb_KostenTypen[],3,0)*VLOOKUP(F623,Tb_ProjectKosten[],MATCH(Tb_ProjectKosten[[#Headers],[Forfait_Percentage]],Tb_ProjectKosten[#Headers],0),0),""),X623 &lt;=0,0),"")</f>
        <v/>
      </c>
      <c r="AB623" s="314" t="str">
        <f t="shared" ca="1" si="39"/>
        <v/>
      </c>
      <c r="AC623" s="322"/>
      <c r="AD623" s="315"/>
      <c r="AE623" s="32" t="str" cm="1">
        <f t="array" ref="AE623">IFERROR(IF(INDEX(SubsidieTabel!$AD$1:$AG$12,MATCH($F623,SubsidieTabel!$AD$1:$AD$12,0),IFERROR(MATCH(Methode_Keuze,SubsidieTabel!$AD$1:$AG$1,0),2))&lt;&gt;1=TRUE,"ja",""),"")</f>
        <v/>
      </c>
    </row>
    <row r="624" spans="1:31" x14ac:dyDescent="0.25">
      <c r="A624" s="316"/>
      <c r="B624" s="317" t="str">
        <f>IF(A624&lt;&gt;"",_xlfn.MAXIFS($B$1:B623,$A$1:A623,A624)+1,"")</f>
        <v/>
      </c>
      <c r="C624" s="296"/>
      <c r="D624" s="296"/>
      <c r="E624" s="296"/>
      <c r="F624" s="296"/>
      <c r="G624" s="326"/>
      <c r="H624" s="324"/>
      <c r="I624" s="325"/>
      <c r="J624" s="325"/>
      <c r="K624" s="318"/>
      <c r="L624" s="318"/>
      <c r="M624" s="319" t="str">
        <f>IFERROR(VLOOKUP(H624,Lijsten!$H$1:$I$100,2,0),"")</f>
        <v/>
      </c>
      <c r="N624" s="319" t="str">
        <f ca="1">IFERROR(IF(VLOOKUP(F624,Kostentypen!$A$3:$E$21,3,0)=0,"",IF(OR(F624="Arbeidskosten",F624="Vergoeding"),VLOOKUP(G624,Tb_KostenTypen[],2,0),VLOOKUP(F624,Kostentypen!$A$3:$E$20,3,0))),"")</f>
        <v/>
      </c>
      <c r="O624" s="320" t="str" cm="1">
        <f t="array" ref="O624">_xlfn.IFNA(IF(INDEX(Tb_KostenOptiesDB[],MATCH($F624,Tb_KostenOptiesDB[KostenOptie],0),IFERROR(MATCH(Methode_Keuze,Tb_KostenOptiesDB[#Headers],0),2))=1,_xlfn.SWITCH($N624,"Uurtarief",IF(OR(AND(RIGHT($F624,3)="IKS",VLOOKUP($M624,DB_Loonkosten,2,0)="Ja"),AND(RIGHT($F624,3)&lt;&gt;"IKS",VLOOKUP($M624,DB_Loonkosten,2,0)="Nee")),IFERROR(VLOOKUP($M624,DB_Loonkosten,24,0),""),0),"Vast tarief",IF(LEFT(F624,8)="Bijdrage",VLOOKUP($F624,Tb_KostenTypen[],MATCH(Lijsten!$P$1,Tb_KostenTypen[#Headers],0),0),VLOOKUP($G624,Lijsten!L:P,MATCH(Lijsten!$P$1,Kop_Tarief_Vast,0),0))),""),"")</f>
        <v/>
      </c>
      <c r="P624" s="320" t="str" cm="1">
        <f t="array" ref="P624">_xlfn.IFNA(IF(INDEX(Tb_KostenOptiesDB[],MATCH($F624,Tb_KostenOptiesDB[KostenOptie],0),IFERROR(MATCH(Methode_Keuze,Tb_KostenOptiesDB[#Headers],0),2))=1,_xlfn.SWITCH($N624,"Uurtarief",IF(OR(AND(RIGHT($F624,3)="IKS",VLOOKUP($M624,DB_Loonkosten,2,0)="Ja"),AND(RIGHT($F624,3)&lt;&gt;"IKS",VLOOKUP($M624,DB_Loonkosten,2,0)="Nee")),IFERROR(VLOOKUP($M624,DB_Loonkosten,25,0),""),0),"Vast tarief",IF(LEFT(F624,8)="Bijdrage",VLOOKUP($F624,Tb_KostenTypen[],MATCH(Lijsten!$P$1,Tb_KostenTypen[#Headers],0),0),VLOOKUP($G624,Lijsten!L:P,MATCH(Lijsten!$P$1,Kop_Tarief_Vast,0),0))),""),"")</f>
        <v/>
      </c>
      <c r="Q624" s="359"/>
      <c r="R624" s="359"/>
      <c r="S624" s="321"/>
      <c r="T624" s="321"/>
      <c r="U624" s="373" t="str">
        <f t="shared" si="36"/>
        <v/>
      </c>
      <c r="V624" s="314" t="str">
        <f t="shared" si="37"/>
        <v/>
      </c>
      <c r="W624" s="314" t="str" cm="1">
        <f t="array" aca="1" ref="W624" ca="1">IFERROR(IF(AE624&lt;&gt;"ja",_xlfn.IFNA(_xlfn.IFS(AND(O624&lt;&gt;"",F624&lt;&gt;"",RIGHT($N624,6)="tarief",F624="Vergoeding"),SUM(O624)*FLOOR(SUM(Q624),0.0001),AND(O624&lt;&gt;"",F624&lt;&gt;"",RIGHT($N624,6)="tarief"),SUM(O624)*FLOOR(SUM(Q624),0.01),S624&gt;0,IF(F624&lt;&gt;"",FLOOR(SUM(S624),0.01),"")),""),""),"")</f>
        <v/>
      </c>
      <c r="X624" s="314" t="str" cm="1">
        <f t="array" aca="1" ref="X624" ca="1">IFERROR(IF(AE624&lt;&gt;"ja",_xlfn.IFNA(_xlfn.IFS(AND(P624&lt;&gt;"",R624&lt;&gt;"",RIGHT($N624,6)="tarief",F624="Vergoeding"),SUM(P624)*FLOOR(SUM(R624),0.0001),AND(P624&lt;&gt;"",R624&lt;&gt;"",RIGHT($N624,6)="tarief"),P624*FLOOR(R624,0.01),T624&gt;0,FLOOR(SUM(T624),0.01)),""),""),"")</f>
        <v/>
      </c>
      <c r="Y624" s="314" t="str">
        <f t="shared" ca="1" si="38"/>
        <v/>
      </c>
      <c r="Z624" s="314" t="str" cm="1">
        <f t="array" aca="1" ref="Z624" ca="1">IFERROR(_xlfn.IFS(OR(F624="",LEFT(Methode_Keuze,4)="Geen",Methode_Keuze=""),"",AND(W624&lt;&gt;"",F624&lt;&gt;"Arbeidskosten"),W624*VLOOKUP(F624,Tb_ProjectKosten[],MATCH(Tb_ProjectKosten[[#Headers],[Forfait_Percentage]],Tb_ProjectKosten[#Headers],0),0),AND(F624="Arbeidskosten",G624&lt;&gt;""),IFERROR(W624*VLOOKUP(G624,Tb_KostenTypen[],3,0)*VLOOKUP(F624,Tb_ProjectKosten[],MATCH(Tb_ProjectKosten[[#Headers],[Forfait_Percentage]],Tb_ProjectKosten[#Headers],0),0),""),W624 &lt;=0,0),"")</f>
        <v/>
      </c>
      <c r="AA624" s="314" t="str" cm="1">
        <f t="array" aca="1" ref="AA624" ca="1">IFERROR(_xlfn.IFS(OR(F624="",LEFT(Methode_Keuze,4)="Geen",Methode_Keuze=""),"",AND(X624&lt;&gt;"",F624&lt;&gt;"Arbeidskosten"),X624*VLOOKUP(F624,Tb_ProjectKosten[],MATCH(Tb_ProjectKosten[[#Headers],[Forfait_Percentage]],Tb_ProjectKosten[#Headers],0),0),AND(F624="Arbeidskosten",G624&lt;&gt;""),IFERROR(X624*VLOOKUP(G624,Tb_KostenTypen[],3,0)*VLOOKUP(F624,Tb_ProjectKosten[],MATCH(Tb_ProjectKosten[[#Headers],[Forfait_Percentage]],Tb_ProjectKosten[#Headers],0),0),""),X624 &lt;=0,0),"")</f>
        <v/>
      </c>
      <c r="AB624" s="314" t="str">
        <f t="shared" ca="1" si="39"/>
        <v/>
      </c>
      <c r="AC624" s="322"/>
      <c r="AD624" s="315"/>
      <c r="AE624" s="32" t="str" cm="1">
        <f t="array" ref="AE624">IFERROR(IF(INDEX(SubsidieTabel!$AD$1:$AG$12,MATCH($F624,SubsidieTabel!$AD$1:$AD$12,0),IFERROR(MATCH(Methode_Keuze,SubsidieTabel!$AD$1:$AG$1,0),2))&lt;&gt;1=TRUE,"ja",""),"")</f>
        <v/>
      </c>
    </row>
    <row r="625" spans="1:31" x14ac:dyDescent="0.25">
      <c r="A625" s="316"/>
      <c r="B625" s="317" t="str">
        <f>IF(A625&lt;&gt;"",_xlfn.MAXIFS($B$1:B624,$A$1:A624,A625)+1,"")</f>
        <v/>
      </c>
      <c r="C625" s="296"/>
      <c r="D625" s="296"/>
      <c r="E625" s="296"/>
      <c r="F625" s="296"/>
      <c r="G625" s="326"/>
      <c r="H625" s="324"/>
      <c r="I625" s="325"/>
      <c r="J625" s="325"/>
      <c r="K625" s="318"/>
      <c r="L625" s="318"/>
      <c r="M625" s="319" t="str">
        <f>IFERROR(VLOOKUP(H625,Lijsten!$H$1:$I$100,2,0),"")</f>
        <v/>
      </c>
      <c r="N625" s="319" t="str">
        <f ca="1">IFERROR(IF(VLOOKUP(F625,Kostentypen!$A$3:$E$21,3,0)=0,"",IF(OR(F625="Arbeidskosten",F625="Vergoeding"),VLOOKUP(G625,Tb_KostenTypen[],2,0),VLOOKUP(F625,Kostentypen!$A$3:$E$20,3,0))),"")</f>
        <v/>
      </c>
      <c r="O625" s="320" t="str" cm="1">
        <f t="array" ref="O625">_xlfn.IFNA(IF(INDEX(Tb_KostenOptiesDB[],MATCH($F625,Tb_KostenOptiesDB[KostenOptie],0),IFERROR(MATCH(Methode_Keuze,Tb_KostenOptiesDB[#Headers],0),2))=1,_xlfn.SWITCH($N625,"Uurtarief",IF(OR(AND(RIGHT($F625,3)="IKS",VLOOKUP($M625,DB_Loonkosten,2,0)="Ja"),AND(RIGHT($F625,3)&lt;&gt;"IKS",VLOOKUP($M625,DB_Loonkosten,2,0)="Nee")),IFERROR(VLOOKUP($M625,DB_Loonkosten,24,0),""),0),"Vast tarief",IF(LEFT(F625,8)="Bijdrage",VLOOKUP($F625,Tb_KostenTypen[],MATCH(Lijsten!$P$1,Tb_KostenTypen[#Headers],0),0),VLOOKUP($G625,Lijsten!L:P,MATCH(Lijsten!$P$1,Kop_Tarief_Vast,0),0))),""),"")</f>
        <v/>
      </c>
      <c r="P625" s="320" t="str" cm="1">
        <f t="array" ref="P625">_xlfn.IFNA(IF(INDEX(Tb_KostenOptiesDB[],MATCH($F625,Tb_KostenOptiesDB[KostenOptie],0),IFERROR(MATCH(Methode_Keuze,Tb_KostenOptiesDB[#Headers],0),2))=1,_xlfn.SWITCH($N625,"Uurtarief",IF(OR(AND(RIGHT($F625,3)="IKS",VLOOKUP($M625,DB_Loonkosten,2,0)="Ja"),AND(RIGHT($F625,3)&lt;&gt;"IKS",VLOOKUP($M625,DB_Loonkosten,2,0)="Nee")),IFERROR(VLOOKUP($M625,DB_Loonkosten,25,0),""),0),"Vast tarief",IF(LEFT(F625,8)="Bijdrage",VLOOKUP($F625,Tb_KostenTypen[],MATCH(Lijsten!$P$1,Tb_KostenTypen[#Headers],0),0),VLOOKUP($G625,Lijsten!L:P,MATCH(Lijsten!$P$1,Kop_Tarief_Vast,0),0))),""),"")</f>
        <v/>
      </c>
      <c r="Q625" s="359"/>
      <c r="R625" s="359"/>
      <c r="S625" s="321"/>
      <c r="T625" s="321"/>
      <c r="U625" s="373" t="str">
        <f t="shared" si="36"/>
        <v/>
      </c>
      <c r="V625" s="314" t="str">
        <f t="shared" si="37"/>
        <v/>
      </c>
      <c r="W625" s="314" t="str" cm="1">
        <f t="array" aca="1" ref="W625" ca="1">IFERROR(IF(AE625&lt;&gt;"ja",_xlfn.IFNA(_xlfn.IFS(AND(O625&lt;&gt;"",F625&lt;&gt;"",RIGHT($N625,6)="tarief",F625="Vergoeding"),SUM(O625)*FLOOR(SUM(Q625),0.0001),AND(O625&lt;&gt;"",F625&lt;&gt;"",RIGHT($N625,6)="tarief"),SUM(O625)*FLOOR(SUM(Q625),0.01),S625&gt;0,IF(F625&lt;&gt;"",FLOOR(SUM(S625),0.01),"")),""),""),"")</f>
        <v/>
      </c>
      <c r="X625" s="314" t="str" cm="1">
        <f t="array" aca="1" ref="X625" ca="1">IFERROR(IF(AE625&lt;&gt;"ja",_xlfn.IFNA(_xlfn.IFS(AND(P625&lt;&gt;"",R625&lt;&gt;"",RIGHT($N625,6)="tarief",F625="Vergoeding"),SUM(P625)*FLOOR(SUM(R625),0.0001),AND(P625&lt;&gt;"",R625&lt;&gt;"",RIGHT($N625,6)="tarief"),P625*FLOOR(R625,0.01),T625&gt;0,FLOOR(SUM(T625),0.01)),""),""),"")</f>
        <v/>
      </c>
      <c r="Y625" s="314" t="str">
        <f t="shared" ca="1" si="38"/>
        <v/>
      </c>
      <c r="Z625" s="314" t="str" cm="1">
        <f t="array" aca="1" ref="Z625" ca="1">IFERROR(_xlfn.IFS(OR(F625="",LEFT(Methode_Keuze,4)="Geen",Methode_Keuze=""),"",AND(W625&lt;&gt;"",F625&lt;&gt;"Arbeidskosten"),W625*VLOOKUP(F625,Tb_ProjectKosten[],MATCH(Tb_ProjectKosten[[#Headers],[Forfait_Percentage]],Tb_ProjectKosten[#Headers],0),0),AND(F625="Arbeidskosten",G625&lt;&gt;""),IFERROR(W625*VLOOKUP(G625,Tb_KostenTypen[],3,0)*VLOOKUP(F625,Tb_ProjectKosten[],MATCH(Tb_ProjectKosten[[#Headers],[Forfait_Percentage]],Tb_ProjectKosten[#Headers],0),0),""),W625 &lt;=0,0),"")</f>
        <v/>
      </c>
      <c r="AA625" s="314" t="str" cm="1">
        <f t="array" aca="1" ref="AA625" ca="1">IFERROR(_xlfn.IFS(OR(F625="",LEFT(Methode_Keuze,4)="Geen",Methode_Keuze=""),"",AND(X625&lt;&gt;"",F625&lt;&gt;"Arbeidskosten"),X625*VLOOKUP(F625,Tb_ProjectKosten[],MATCH(Tb_ProjectKosten[[#Headers],[Forfait_Percentage]],Tb_ProjectKosten[#Headers],0),0),AND(F625="Arbeidskosten",G625&lt;&gt;""),IFERROR(X625*VLOOKUP(G625,Tb_KostenTypen[],3,0)*VLOOKUP(F625,Tb_ProjectKosten[],MATCH(Tb_ProjectKosten[[#Headers],[Forfait_Percentage]],Tb_ProjectKosten[#Headers],0),0),""),X625 &lt;=0,0),"")</f>
        <v/>
      </c>
      <c r="AB625" s="314" t="str">
        <f t="shared" ca="1" si="39"/>
        <v/>
      </c>
      <c r="AC625" s="322"/>
      <c r="AD625" s="315"/>
      <c r="AE625" s="32" t="str" cm="1">
        <f t="array" ref="AE625">IFERROR(IF(INDEX(SubsidieTabel!$AD$1:$AG$12,MATCH($F625,SubsidieTabel!$AD$1:$AD$12,0),IFERROR(MATCH(Methode_Keuze,SubsidieTabel!$AD$1:$AG$1,0),2))&lt;&gt;1=TRUE,"ja",""),"")</f>
        <v/>
      </c>
    </row>
    <row r="626" spans="1:31" x14ac:dyDescent="0.25">
      <c r="A626" s="316"/>
      <c r="B626" s="317" t="str">
        <f>IF(A626&lt;&gt;"",_xlfn.MAXIFS($B$1:B625,$A$1:A625,A626)+1,"")</f>
        <v/>
      </c>
      <c r="C626" s="296"/>
      <c r="D626" s="296"/>
      <c r="E626" s="296"/>
      <c r="F626" s="296"/>
      <c r="G626" s="326"/>
      <c r="H626" s="324"/>
      <c r="I626" s="325"/>
      <c r="J626" s="325"/>
      <c r="K626" s="318"/>
      <c r="L626" s="318"/>
      <c r="M626" s="319" t="str">
        <f>IFERROR(VLOOKUP(H626,Lijsten!$H$1:$I$100,2,0),"")</f>
        <v/>
      </c>
      <c r="N626" s="319" t="str">
        <f ca="1">IFERROR(IF(VLOOKUP(F626,Kostentypen!$A$3:$E$21,3,0)=0,"",IF(OR(F626="Arbeidskosten",F626="Vergoeding"),VLOOKUP(G626,Tb_KostenTypen[],2,0),VLOOKUP(F626,Kostentypen!$A$3:$E$20,3,0))),"")</f>
        <v/>
      </c>
      <c r="O626" s="320" t="str" cm="1">
        <f t="array" ref="O626">_xlfn.IFNA(IF(INDEX(Tb_KostenOptiesDB[],MATCH($F626,Tb_KostenOptiesDB[KostenOptie],0),IFERROR(MATCH(Methode_Keuze,Tb_KostenOptiesDB[#Headers],0),2))=1,_xlfn.SWITCH($N626,"Uurtarief",IF(OR(AND(RIGHT($F626,3)="IKS",VLOOKUP($M626,DB_Loonkosten,2,0)="Ja"),AND(RIGHT($F626,3)&lt;&gt;"IKS",VLOOKUP($M626,DB_Loonkosten,2,0)="Nee")),IFERROR(VLOOKUP($M626,DB_Loonkosten,24,0),""),0),"Vast tarief",IF(LEFT(F626,8)="Bijdrage",VLOOKUP($F626,Tb_KostenTypen[],MATCH(Lijsten!$P$1,Tb_KostenTypen[#Headers],0),0),VLOOKUP($G626,Lijsten!L:P,MATCH(Lijsten!$P$1,Kop_Tarief_Vast,0),0))),""),"")</f>
        <v/>
      </c>
      <c r="P626" s="320" t="str" cm="1">
        <f t="array" ref="P626">_xlfn.IFNA(IF(INDEX(Tb_KostenOptiesDB[],MATCH($F626,Tb_KostenOptiesDB[KostenOptie],0),IFERROR(MATCH(Methode_Keuze,Tb_KostenOptiesDB[#Headers],0),2))=1,_xlfn.SWITCH($N626,"Uurtarief",IF(OR(AND(RIGHT($F626,3)="IKS",VLOOKUP($M626,DB_Loonkosten,2,0)="Ja"),AND(RIGHT($F626,3)&lt;&gt;"IKS",VLOOKUP($M626,DB_Loonkosten,2,0)="Nee")),IFERROR(VLOOKUP($M626,DB_Loonkosten,25,0),""),0),"Vast tarief",IF(LEFT(F626,8)="Bijdrage",VLOOKUP($F626,Tb_KostenTypen[],MATCH(Lijsten!$P$1,Tb_KostenTypen[#Headers],0),0),VLOOKUP($G626,Lijsten!L:P,MATCH(Lijsten!$P$1,Kop_Tarief_Vast,0),0))),""),"")</f>
        <v/>
      </c>
      <c r="Q626" s="359"/>
      <c r="R626" s="359"/>
      <c r="S626" s="321"/>
      <c r="T626" s="321"/>
      <c r="U626" s="373" t="str">
        <f t="shared" si="36"/>
        <v/>
      </c>
      <c r="V626" s="314" t="str">
        <f t="shared" si="37"/>
        <v/>
      </c>
      <c r="W626" s="314" t="str" cm="1">
        <f t="array" aca="1" ref="W626" ca="1">IFERROR(IF(AE626&lt;&gt;"ja",_xlfn.IFNA(_xlfn.IFS(AND(O626&lt;&gt;"",F626&lt;&gt;"",RIGHT($N626,6)="tarief",F626="Vergoeding"),SUM(O626)*FLOOR(SUM(Q626),0.0001),AND(O626&lt;&gt;"",F626&lt;&gt;"",RIGHT($N626,6)="tarief"),SUM(O626)*FLOOR(SUM(Q626),0.01),S626&gt;0,IF(F626&lt;&gt;"",FLOOR(SUM(S626),0.01),"")),""),""),"")</f>
        <v/>
      </c>
      <c r="X626" s="314" t="str" cm="1">
        <f t="array" aca="1" ref="X626" ca="1">IFERROR(IF(AE626&lt;&gt;"ja",_xlfn.IFNA(_xlfn.IFS(AND(P626&lt;&gt;"",R626&lt;&gt;"",RIGHT($N626,6)="tarief",F626="Vergoeding"),SUM(P626)*FLOOR(SUM(R626),0.0001),AND(P626&lt;&gt;"",R626&lt;&gt;"",RIGHT($N626,6)="tarief"),P626*FLOOR(R626,0.01),T626&gt;0,FLOOR(SUM(T626),0.01)),""),""),"")</f>
        <v/>
      </c>
      <c r="Y626" s="314" t="str">
        <f t="shared" ca="1" si="38"/>
        <v/>
      </c>
      <c r="Z626" s="314" t="str" cm="1">
        <f t="array" aca="1" ref="Z626" ca="1">IFERROR(_xlfn.IFS(OR(F626="",LEFT(Methode_Keuze,4)="Geen",Methode_Keuze=""),"",AND(W626&lt;&gt;"",F626&lt;&gt;"Arbeidskosten"),W626*VLOOKUP(F626,Tb_ProjectKosten[],MATCH(Tb_ProjectKosten[[#Headers],[Forfait_Percentage]],Tb_ProjectKosten[#Headers],0),0),AND(F626="Arbeidskosten",G626&lt;&gt;""),IFERROR(W626*VLOOKUP(G626,Tb_KostenTypen[],3,0)*VLOOKUP(F626,Tb_ProjectKosten[],MATCH(Tb_ProjectKosten[[#Headers],[Forfait_Percentage]],Tb_ProjectKosten[#Headers],0),0),""),W626 &lt;=0,0),"")</f>
        <v/>
      </c>
      <c r="AA626" s="314" t="str" cm="1">
        <f t="array" aca="1" ref="AA626" ca="1">IFERROR(_xlfn.IFS(OR(F626="",LEFT(Methode_Keuze,4)="Geen",Methode_Keuze=""),"",AND(X626&lt;&gt;"",F626&lt;&gt;"Arbeidskosten"),X626*VLOOKUP(F626,Tb_ProjectKosten[],MATCH(Tb_ProjectKosten[[#Headers],[Forfait_Percentage]],Tb_ProjectKosten[#Headers],0),0),AND(F626="Arbeidskosten",G626&lt;&gt;""),IFERROR(X626*VLOOKUP(G626,Tb_KostenTypen[],3,0)*VLOOKUP(F626,Tb_ProjectKosten[],MATCH(Tb_ProjectKosten[[#Headers],[Forfait_Percentage]],Tb_ProjectKosten[#Headers],0),0),""),X626 &lt;=0,0),"")</f>
        <v/>
      </c>
      <c r="AB626" s="314" t="str">
        <f t="shared" ca="1" si="39"/>
        <v/>
      </c>
      <c r="AC626" s="322"/>
      <c r="AD626" s="315"/>
      <c r="AE626" s="32" t="str" cm="1">
        <f t="array" ref="AE626">IFERROR(IF(INDEX(SubsidieTabel!$AD$1:$AG$12,MATCH($F626,SubsidieTabel!$AD$1:$AD$12,0),IFERROR(MATCH(Methode_Keuze,SubsidieTabel!$AD$1:$AG$1,0),2))&lt;&gt;1=TRUE,"ja",""),"")</f>
        <v/>
      </c>
    </row>
    <row r="627" spans="1:31" x14ac:dyDescent="0.25">
      <c r="A627" s="316"/>
      <c r="B627" s="317" t="str">
        <f>IF(A627&lt;&gt;"",_xlfn.MAXIFS($B$1:B626,$A$1:A626,A627)+1,"")</f>
        <v/>
      </c>
      <c r="C627" s="296"/>
      <c r="D627" s="296"/>
      <c r="E627" s="296"/>
      <c r="F627" s="296"/>
      <c r="G627" s="326"/>
      <c r="H627" s="324"/>
      <c r="I627" s="325"/>
      <c r="J627" s="325"/>
      <c r="K627" s="318"/>
      <c r="L627" s="318"/>
      <c r="M627" s="319" t="str">
        <f>IFERROR(VLOOKUP(H627,Lijsten!$H$1:$I$100,2,0),"")</f>
        <v/>
      </c>
      <c r="N627" s="319" t="str">
        <f ca="1">IFERROR(IF(VLOOKUP(F627,Kostentypen!$A$3:$E$21,3,0)=0,"",IF(OR(F627="Arbeidskosten",F627="Vergoeding"),VLOOKUP(G627,Tb_KostenTypen[],2,0),VLOOKUP(F627,Kostentypen!$A$3:$E$20,3,0))),"")</f>
        <v/>
      </c>
      <c r="O627" s="320" t="str" cm="1">
        <f t="array" ref="O627">_xlfn.IFNA(IF(INDEX(Tb_KostenOptiesDB[],MATCH($F627,Tb_KostenOptiesDB[KostenOptie],0),IFERROR(MATCH(Methode_Keuze,Tb_KostenOptiesDB[#Headers],0),2))=1,_xlfn.SWITCH($N627,"Uurtarief",IF(OR(AND(RIGHT($F627,3)="IKS",VLOOKUP($M627,DB_Loonkosten,2,0)="Ja"),AND(RIGHT($F627,3)&lt;&gt;"IKS",VLOOKUP($M627,DB_Loonkosten,2,0)="Nee")),IFERROR(VLOOKUP($M627,DB_Loonkosten,24,0),""),0),"Vast tarief",IF(LEFT(F627,8)="Bijdrage",VLOOKUP($F627,Tb_KostenTypen[],MATCH(Lijsten!$P$1,Tb_KostenTypen[#Headers],0),0),VLOOKUP($G627,Lijsten!L:P,MATCH(Lijsten!$P$1,Kop_Tarief_Vast,0),0))),""),"")</f>
        <v/>
      </c>
      <c r="P627" s="320" t="str" cm="1">
        <f t="array" ref="P627">_xlfn.IFNA(IF(INDEX(Tb_KostenOptiesDB[],MATCH($F627,Tb_KostenOptiesDB[KostenOptie],0),IFERROR(MATCH(Methode_Keuze,Tb_KostenOptiesDB[#Headers],0),2))=1,_xlfn.SWITCH($N627,"Uurtarief",IF(OR(AND(RIGHT($F627,3)="IKS",VLOOKUP($M627,DB_Loonkosten,2,0)="Ja"),AND(RIGHT($F627,3)&lt;&gt;"IKS",VLOOKUP($M627,DB_Loonkosten,2,0)="Nee")),IFERROR(VLOOKUP($M627,DB_Loonkosten,25,0),""),0),"Vast tarief",IF(LEFT(F627,8)="Bijdrage",VLOOKUP($F627,Tb_KostenTypen[],MATCH(Lijsten!$P$1,Tb_KostenTypen[#Headers],0),0),VLOOKUP($G627,Lijsten!L:P,MATCH(Lijsten!$P$1,Kop_Tarief_Vast,0),0))),""),"")</f>
        <v/>
      </c>
      <c r="Q627" s="359"/>
      <c r="R627" s="359"/>
      <c r="S627" s="321"/>
      <c r="T627" s="321"/>
      <c r="U627" s="373" t="str">
        <f t="shared" si="36"/>
        <v/>
      </c>
      <c r="V627" s="314" t="str">
        <f t="shared" si="37"/>
        <v/>
      </c>
      <c r="W627" s="314" t="str" cm="1">
        <f t="array" aca="1" ref="W627" ca="1">IFERROR(IF(AE627&lt;&gt;"ja",_xlfn.IFNA(_xlfn.IFS(AND(O627&lt;&gt;"",F627&lt;&gt;"",RIGHT($N627,6)="tarief",F627="Vergoeding"),SUM(O627)*FLOOR(SUM(Q627),0.0001),AND(O627&lt;&gt;"",F627&lt;&gt;"",RIGHT($N627,6)="tarief"),SUM(O627)*FLOOR(SUM(Q627),0.01),S627&gt;0,IF(F627&lt;&gt;"",FLOOR(SUM(S627),0.01),"")),""),""),"")</f>
        <v/>
      </c>
      <c r="X627" s="314" t="str" cm="1">
        <f t="array" aca="1" ref="X627" ca="1">IFERROR(IF(AE627&lt;&gt;"ja",_xlfn.IFNA(_xlfn.IFS(AND(P627&lt;&gt;"",R627&lt;&gt;"",RIGHT($N627,6)="tarief",F627="Vergoeding"),SUM(P627)*FLOOR(SUM(R627),0.0001),AND(P627&lt;&gt;"",R627&lt;&gt;"",RIGHT($N627,6)="tarief"),P627*FLOOR(R627,0.01),T627&gt;0,FLOOR(SUM(T627),0.01)),""),""),"")</f>
        <v/>
      </c>
      <c r="Y627" s="314" t="str">
        <f t="shared" ca="1" si="38"/>
        <v/>
      </c>
      <c r="Z627" s="314" t="str" cm="1">
        <f t="array" aca="1" ref="Z627" ca="1">IFERROR(_xlfn.IFS(OR(F627="",LEFT(Methode_Keuze,4)="Geen",Methode_Keuze=""),"",AND(W627&lt;&gt;"",F627&lt;&gt;"Arbeidskosten"),W627*VLOOKUP(F627,Tb_ProjectKosten[],MATCH(Tb_ProjectKosten[[#Headers],[Forfait_Percentage]],Tb_ProjectKosten[#Headers],0),0),AND(F627="Arbeidskosten",G627&lt;&gt;""),IFERROR(W627*VLOOKUP(G627,Tb_KostenTypen[],3,0)*VLOOKUP(F627,Tb_ProjectKosten[],MATCH(Tb_ProjectKosten[[#Headers],[Forfait_Percentage]],Tb_ProjectKosten[#Headers],0),0),""),W627 &lt;=0,0),"")</f>
        <v/>
      </c>
      <c r="AA627" s="314" t="str" cm="1">
        <f t="array" aca="1" ref="AA627" ca="1">IFERROR(_xlfn.IFS(OR(F627="",LEFT(Methode_Keuze,4)="Geen",Methode_Keuze=""),"",AND(X627&lt;&gt;"",F627&lt;&gt;"Arbeidskosten"),X627*VLOOKUP(F627,Tb_ProjectKosten[],MATCH(Tb_ProjectKosten[[#Headers],[Forfait_Percentage]],Tb_ProjectKosten[#Headers],0),0),AND(F627="Arbeidskosten",G627&lt;&gt;""),IFERROR(X627*VLOOKUP(G627,Tb_KostenTypen[],3,0)*VLOOKUP(F627,Tb_ProjectKosten[],MATCH(Tb_ProjectKosten[[#Headers],[Forfait_Percentage]],Tb_ProjectKosten[#Headers],0),0),""),X627 &lt;=0,0),"")</f>
        <v/>
      </c>
      <c r="AB627" s="314" t="str">
        <f t="shared" ca="1" si="39"/>
        <v/>
      </c>
      <c r="AC627" s="322"/>
      <c r="AD627" s="315"/>
      <c r="AE627" s="32" t="str" cm="1">
        <f t="array" ref="AE627">IFERROR(IF(INDEX(SubsidieTabel!$AD$1:$AG$12,MATCH($F627,SubsidieTabel!$AD$1:$AD$12,0),IFERROR(MATCH(Methode_Keuze,SubsidieTabel!$AD$1:$AG$1,0),2))&lt;&gt;1=TRUE,"ja",""),"")</f>
        <v/>
      </c>
    </row>
    <row r="628" spans="1:31" x14ac:dyDescent="0.25">
      <c r="A628" s="316"/>
      <c r="B628" s="317" t="str">
        <f>IF(A628&lt;&gt;"",_xlfn.MAXIFS($B$1:B627,$A$1:A627,A628)+1,"")</f>
        <v/>
      </c>
      <c r="C628" s="296"/>
      <c r="D628" s="296"/>
      <c r="E628" s="296"/>
      <c r="F628" s="296"/>
      <c r="G628" s="326"/>
      <c r="H628" s="324"/>
      <c r="I628" s="325"/>
      <c r="J628" s="325"/>
      <c r="K628" s="318"/>
      <c r="L628" s="318"/>
      <c r="M628" s="319" t="str">
        <f>IFERROR(VLOOKUP(H628,Lijsten!$H$1:$I$100,2,0),"")</f>
        <v/>
      </c>
      <c r="N628" s="319" t="str">
        <f ca="1">IFERROR(IF(VLOOKUP(F628,Kostentypen!$A$3:$E$21,3,0)=0,"",IF(OR(F628="Arbeidskosten",F628="Vergoeding"),VLOOKUP(G628,Tb_KostenTypen[],2,0),VLOOKUP(F628,Kostentypen!$A$3:$E$20,3,0))),"")</f>
        <v/>
      </c>
      <c r="O628" s="320" t="str" cm="1">
        <f t="array" ref="O628">_xlfn.IFNA(IF(INDEX(Tb_KostenOptiesDB[],MATCH($F628,Tb_KostenOptiesDB[KostenOptie],0),IFERROR(MATCH(Methode_Keuze,Tb_KostenOptiesDB[#Headers],0),2))=1,_xlfn.SWITCH($N628,"Uurtarief",IF(OR(AND(RIGHT($F628,3)="IKS",VLOOKUP($M628,DB_Loonkosten,2,0)="Ja"),AND(RIGHT($F628,3)&lt;&gt;"IKS",VLOOKUP($M628,DB_Loonkosten,2,0)="Nee")),IFERROR(VLOOKUP($M628,DB_Loonkosten,24,0),""),0),"Vast tarief",IF(LEFT(F628,8)="Bijdrage",VLOOKUP($F628,Tb_KostenTypen[],MATCH(Lijsten!$P$1,Tb_KostenTypen[#Headers],0),0),VLOOKUP($G628,Lijsten!L:P,MATCH(Lijsten!$P$1,Kop_Tarief_Vast,0),0))),""),"")</f>
        <v/>
      </c>
      <c r="P628" s="320" t="str" cm="1">
        <f t="array" ref="P628">_xlfn.IFNA(IF(INDEX(Tb_KostenOptiesDB[],MATCH($F628,Tb_KostenOptiesDB[KostenOptie],0),IFERROR(MATCH(Methode_Keuze,Tb_KostenOptiesDB[#Headers],0),2))=1,_xlfn.SWITCH($N628,"Uurtarief",IF(OR(AND(RIGHT($F628,3)="IKS",VLOOKUP($M628,DB_Loonkosten,2,0)="Ja"),AND(RIGHT($F628,3)&lt;&gt;"IKS",VLOOKUP($M628,DB_Loonkosten,2,0)="Nee")),IFERROR(VLOOKUP($M628,DB_Loonkosten,25,0),""),0),"Vast tarief",IF(LEFT(F628,8)="Bijdrage",VLOOKUP($F628,Tb_KostenTypen[],MATCH(Lijsten!$P$1,Tb_KostenTypen[#Headers],0),0),VLOOKUP($G628,Lijsten!L:P,MATCH(Lijsten!$P$1,Kop_Tarief_Vast,0),0))),""),"")</f>
        <v/>
      </c>
      <c r="Q628" s="359"/>
      <c r="R628" s="359"/>
      <c r="S628" s="321"/>
      <c r="T628" s="321"/>
      <c r="U628" s="373" t="str">
        <f t="shared" si="36"/>
        <v/>
      </c>
      <c r="V628" s="314" t="str">
        <f t="shared" si="37"/>
        <v/>
      </c>
      <c r="W628" s="314" t="str" cm="1">
        <f t="array" aca="1" ref="W628" ca="1">IFERROR(IF(AE628&lt;&gt;"ja",_xlfn.IFNA(_xlfn.IFS(AND(O628&lt;&gt;"",F628&lt;&gt;"",RIGHT($N628,6)="tarief",F628="Vergoeding"),SUM(O628)*FLOOR(SUM(Q628),0.0001),AND(O628&lt;&gt;"",F628&lt;&gt;"",RIGHT($N628,6)="tarief"),SUM(O628)*FLOOR(SUM(Q628),0.01),S628&gt;0,IF(F628&lt;&gt;"",FLOOR(SUM(S628),0.01),"")),""),""),"")</f>
        <v/>
      </c>
      <c r="X628" s="314" t="str" cm="1">
        <f t="array" aca="1" ref="X628" ca="1">IFERROR(IF(AE628&lt;&gt;"ja",_xlfn.IFNA(_xlfn.IFS(AND(P628&lt;&gt;"",R628&lt;&gt;"",RIGHT($N628,6)="tarief",F628="Vergoeding"),SUM(P628)*FLOOR(SUM(R628),0.0001),AND(P628&lt;&gt;"",R628&lt;&gt;"",RIGHT($N628,6)="tarief"),P628*FLOOR(R628,0.01),T628&gt;0,FLOOR(SUM(T628),0.01)),""),""),"")</f>
        <v/>
      </c>
      <c r="Y628" s="314" t="str">
        <f t="shared" ca="1" si="38"/>
        <v/>
      </c>
      <c r="Z628" s="314" t="str" cm="1">
        <f t="array" aca="1" ref="Z628" ca="1">IFERROR(_xlfn.IFS(OR(F628="",LEFT(Methode_Keuze,4)="Geen",Methode_Keuze=""),"",AND(W628&lt;&gt;"",F628&lt;&gt;"Arbeidskosten"),W628*VLOOKUP(F628,Tb_ProjectKosten[],MATCH(Tb_ProjectKosten[[#Headers],[Forfait_Percentage]],Tb_ProjectKosten[#Headers],0),0),AND(F628="Arbeidskosten",G628&lt;&gt;""),IFERROR(W628*VLOOKUP(G628,Tb_KostenTypen[],3,0)*VLOOKUP(F628,Tb_ProjectKosten[],MATCH(Tb_ProjectKosten[[#Headers],[Forfait_Percentage]],Tb_ProjectKosten[#Headers],0),0),""),W628 &lt;=0,0),"")</f>
        <v/>
      </c>
      <c r="AA628" s="314" t="str" cm="1">
        <f t="array" aca="1" ref="AA628" ca="1">IFERROR(_xlfn.IFS(OR(F628="",LEFT(Methode_Keuze,4)="Geen",Methode_Keuze=""),"",AND(X628&lt;&gt;"",F628&lt;&gt;"Arbeidskosten"),X628*VLOOKUP(F628,Tb_ProjectKosten[],MATCH(Tb_ProjectKosten[[#Headers],[Forfait_Percentage]],Tb_ProjectKosten[#Headers],0),0),AND(F628="Arbeidskosten",G628&lt;&gt;""),IFERROR(X628*VLOOKUP(G628,Tb_KostenTypen[],3,0)*VLOOKUP(F628,Tb_ProjectKosten[],MATCH(Tb_ProjectKosten[[#Headers],[Forfait_Percentage]],Tb_ProjectKosten[#Headers],0),0),""),X628 &lt;=0,0),"")</f>
        <v/>
      </c>
      <c r="AB628" s="314" t="str">
        <f t="shared" ca="1" si="39"/>
        <v/>
      </c>
      <c r="AC628" s="322"/>
      <c r="AD628" s="315"/>
      <c r="AE628" s="32" t="str" cm="1">
        <f t="array" ref="AE628">IFERROR(IF(INDEX(SubsidieTabel!$AD$1:$AG$12,MATCH($F628,SubsidieTabel!$AD$1:$AD$12,0),IFERROR(MATCH(Methode_Keuze,SubsidieTabel!$AD$1:$AG$1,0),2))&lt;&gt;1=TRUE,"ja",""),"")</f>
        <v/>
      </c>
    </row>
    <row r="629" spans="1:31" x14ac:dyDescent="0.25">
      <c r="A629" s="316"/>
      <c r="B629" s="317" t="str">
        <f>IF(A629&lt;&gt;"",_xlfn.MAXIFS($B$1:B628,$A$1:A628,A629)+1,"")</f>
        <v/>
      </c>
      <c r="C629" s="296"/>
      <c r="D629" s="296"/>
      <c r="E629" s="296"/>
      <c r="F629" s="296"/>
      <c r="G629" s="326"/>
      <c r="H629" s="324"/>
      <c r="I629" s="325"/>
      <c r="J629" s="325"/>
      <c r="K629" s="318"/>
      <c r="L629" s="318"/>
      <c r="M629" s="319" t="str">
        <f>IFERROR(VLOOKUP(H629,Lijsten!$H$1:$I$100,2,0),"")</f>
        <v/>
      </c>
      <c r="N629" s="319" t="str">
        <f ca="1">IFERROR(IF(VLOOKUP(F629,Kostentypen!$A$3:$E$21,3,0)=0,"",IF(OR(F629="Arbeidskosten",F629="Vergoeding"),VLOOKUP(G629,Tb_KostenTypen[],2,0),VLOOKUP(F629,Kostentypen!$A$3:$E$20,3,0))),"")</f>
        <v/>
      </c>
      <c r="O629" s="320" t="str" cm="1">
        <f t="array" ref="O629">_xlfn.IFNA(IF(INDEX(Tb_KostenOptiesDB[],MATCH($F629,Tb_KostenOptiesDB[KostenOptie],0),IFERROR(MATCH(Methode_Keuze,Tb_KostenOptiesDB[#Headers],0),2))=1,_xlfn.SWITCH($N629,"Uurtarief",IF(OR(AND(RIGHT($F629,3)="IKS",VLOOKUP($M629,DB_Loonkosten,2,0)="Ja"),AND(RIGHT($F629,3)&lt;&gt;"IKS",VLOOKUP($M629,DB_Loonkosten,2,0)="Nee")),IFERROR(VLOOKUP($M629,DB_Loonkosten,24,0),""),0),"Vast tarief",IF(LEFT(F629,8)="Bijdrage",VLOOKUP($F629,Tb_KostenTypen[],MATCH(Lijsten!$P$1,Tb_KostenTypen[#Headers],0),0),VLOOKUP($G629,Lijsten!L:P,MATCH(Lijsten!$P$1,Kop_Tarief_Vast,0),0))),""),"")</f>
        <v/>
      </c>
      <c r="P629" s="320" t="str" cm="1">
        <f t="array" ref="P629">_xlfn.IFNA(IF(INDEX(Tb_KostenOptiesDB[],MATCH($F629,Tb_KostenOptiesDB[KostenOptie],0),IFERROR(MATCH(Methode_Keuze,Tb_KostenOptiesDB[#Headers],0),2))=1,_xlfn.SWITCH($N629,"Uurtarief",IF(OR(AND(RIGHT($F629,3)="IKS",VLOOKUP($M629,DB_Loonkosten,2,0)="Ja"),AND(RIGHT($F629,3)&lt;&gt;"IKS",VLOOKUP($M629,DB_Loonkosten,2,0)="Nee")),IFERROR(VLOOKUP($M629,DB_Loonkosten,25,0),""),0),"Vast tarief",IF(LEFT(F629,8)="Bijdrage",VLOOKUP($F629,Tb_KostenTypen[],MATCH(Lijsten!$P$1,Tb_KostenTypen[#Headers],0),0),VLOOKUP($G629,Lijsten!L:P,MATCH(Lijsten!$P$1,Kop_Tarief_Vast,0),0))),""),"")</f>
        <v/>
      </c>
      <c r="Q629" s="359"/>
      <c r="R629" s="359"/>
      <c r="S629" s="321"/>
      <c r="T629" s="321"/>
      <c r="U629" s="373" t="str">
        <f t="shared" si="36"/>
        <v/>
      </c>
      <c r="V629" s="314" t="str">
        <f t="shared" si="37"/>
        <v/>
      </c>
      <c r="W629" s="314" t="str" cm="1">
        <f t="array" aca="1" ref="W629" ca="1">IFERROR(IF(AE629&lt;&gt;"ja",_xlfn.IFNA(_xlfn.IFS(AND(O629&lt;&gt;"",F629&lt;&gt;"",RIGHT($N629,6)="tarief",F629="Vergoeding"),SUM(O629)*FLOOR(SUM(Q629),0.0001),AND(O629&lt;&gt;"",F629&lt;&gt;"",RIGHT($N629,6)="tarief"),SUM(O629)*FLOOR(SUM(Q629),0.01),S629&gt;0,IF(F629&lt;&gt;"",FLOOR(SUM(S629),0.01),"")),""),""),"")</f>
        <v/>
      </c>
      <c r="X629" s="314" t="str" cm="1">
        <f t="array" aca="1" ref="X629" ca="1">IFERROR(IF(AE629&lt;&gt;"ja",_xlfn.IFNA(_xlfn.IFS(AND(P629&lt;&gt;"",R629&lt;&gt;"",RIGHT($N629,6)="tarief",F629="Vergoeding"),SUM(P629)*FLOOR(SUM(R629),0.0001),AND(P629&lt;&gt;"",R629&lt;&gt;"",RIGHT($N629,6)="tarief"),P629*FLOOR(R629,0.01),T629&gt;0,FLOOR(SUM(T629),0.01)),""),""),"")</f>
        <v/>
      </c>
      <c r="Y629" s="314" t="str">
        <f t="shared" ca="1" si="38"/>
        <v/>
      </c>
      <c r="Z629" s="314" t="str" cm="1">
        <f t="array" aca="1" ref="Z629" ca="1">IFERROR(_xlfn.IFS(OR(F629="",LEFT(Methode_Keuze,4)="Geen",Methode_Keuze=""),"",AND(W629&lt;&gt;"",F629&lt;&gt;"Arbeidskosten"),W629*VLOOKUP(F629,Tb_ProjectKosten[],MATCH(Tb_ProjectKosten[[#Headers],[Forfait_Percentage]],Tb_ProjectKosten[#Headers],0),0),AND(F629="Arbeidskosten",G629&lt;&gt;""),IFERROR(W629*VLOOKUP(G629,Tb_KostenTypen[],3,0)*VLOOKUP(F629,Tb_ProjectKosten[],MATCH(Tb_ProjectKosten[[#Headers],[Forfait_Percentage]],Tb_ProjectKosten[#Headers],0),0),""),W629 &lt;=0,0),"")</f>
        <v/>
      </c>
      <c r="AA629" s="314" t="str" cm="1">
        <f t="array" aca="1" ref="AA629" ca="1">IFERROR(_xlfn.IFS(OR(F629="",LEFT(Methode_Keuze,4)="Geen",Methode_Keuze=""),"",AND(X629&lt;&gt;"",F629&lt;&gt;"Arbeidskosten"),X629*VLOOKUP(F629,Tb_ProjectKosten[],MATCH(Tb_ProjectKosten[[#Headers],[Forfait_Percentage]],Tb_ProjectKosten[#Headers],0),0),AND(F629="Arbeidskosten",G629&lt;&gt;""),IFERROR(X629*VLOOKUP(G629,Tb_KostenTypen[],3,0)*VLOOKUP(F629,Tb_ProjectKosten[],MATCH(Tb_ProjectKosten[[#Headers],[Forfait_Percentage]],Tb_ProjectKosten[#Headers],0),0),""),X629 &lt;=0,0),"")</f>
        <v/>
      </c>
      <c r="AB629" s="314" t="str">
        <f t="shared" ca="1" si="39"/>
        <v/>
      </c>
      <c r="AC629" s="322"/>
      <c r="AD629" s="315"/>
      <c r="AE629" s="32" t="str" cm="1">
        <f t="array" ref="AE629">IFERROR(IF(INDEX(SubsidieTabel!$AD$1:$AG$12,MATCH($F629,SubsidieTabel!$AD$1:$AD$12,0),IFERROR(MATCH(Methode_Keuze,SubsidieTabel!$AD$1:$AG$1,0),2))&lt;&gt;1=TRUE,"ja",""),"")</f>
        <v/>
      </c>
    </row>
    <row r="630" spans="1:31" x14ac:dyDescent="0.25">
      <c r="A630" s="316"/>
      <c r="B630" s="317" t="str">
        <f>IF(A630&lt;&gt;"",_xlfn.MAXIFS($B$1:B629,$A$1:A629,A630)+1,"")</f>
        <v/>
      </c>
      <c r="C630" s="296"/>
      <c r="D630" s="296"/>
      <c r="E630" s="296"/>
      <c r="F630" s="296"/>
      <c r="G630" s="326"/>
      <c r="H630" s="324"/>
      <c r="I630" s="325"/>
      <c r="J630" s="325"/>
      <c r="K630" s="318"/>
      <c r="L630" s="318"/>
      <c r="M630" s="319" t="str">
        <f>IFERROR(VLOOKUP(H630,Lijsten!$H$1:$I$100,2,0),"")</f>
        <v/>
      </c>
      <c r="N630" s="319" t="str">
        <f ca="1">IFERROR(IF(VLOOKUP(F630,Kostentypen!$A$3:$E$21,3,0)=0,"",IF(OR(F630="Arbeidskosten",F630="Vergoeding"),VLOOKUP(G630,Tb_KostenTypen[],2,0),VLOOKUP(F630,Kostentypen!$A$3:$E$20,3,0))),"")</f>
        <v/>
      </c>
      <c r="O630" s="320" t="str" cm="1">
        <f t="array" ref="O630">_xlfn.IFNA(IF(INDEX(Tb_KostenOptiesDB[],MATCH($F630,Tb_KostenOptiesDB[KostenOptie],0),IFERROR(MATCH(Methode_Keuze,Tb_KostenOptiesDB[#Headers],0),2))=1,_xlfn.SWITCH($N630,"Uurtarief",IF(OR(AND(RIGHT($F630,3)="IKS",VLOOKUP($M630,DB_Loonkosten,2,0)="Ja"),AND(RIGHT($F630,3)&lt;&gt;"IKS",VLOOKUP($M630,DB_Loonkosten,2,0)="Nee")),IFERROR(VLOOKUP($M630,DB_Loonkosten,24,0),""),0),"Vast tarief",IF(LEFT(F630,8)="Bijdrage",VLOOKUP($F630,Tb_KostenTypen[],MATCH(Lijsten!$P$1,Tb_KostenTypen[#Headers],0),0),VLOOKUP($G630,Lijsten!L:P,MATCH(Lijsten!$P$1,Kop_Tarief_Vast,0),0))),""),"")</f>
        <v/>
      </c>
      <c r="P630" s="320" t="str" cm="1">
        <f t="array" ref="P630">_xlfn.IFNA(IF(INDEX(Tb_KostenOptiesDB[],MATCH($F630,Tb_KostenOptiesDB[KostenOptie],0),IFERROR(MATCH(Methode_Keuze,Tb_KostenOptiesDB[#Headers],0),2))=1,_xlfn.SWITCH($N630,"Uurtarief",IF(OR(AND(RIGHT($F630,3)="IKS",VLOOKUP($M630,DB_Loonkosten,2,0)="Ja"),AND(RIGHT($F630,3)&lt;&gt;"IKS",VLOOKUP($M630,DB_Loonkosten,2,0)="Nee")),IFERROR(VLOOKUP($M630,DB_Loonkosten,25,0),""),0),"Vast tarief",IF(LEFT(F630,8)="Bijdrage",VLOOKUP($F630,Tb_KostenTypen[],MATCH(Lijsten!$P$1,Tb_KostenTypen[#Headers],0),0),VLOOKUP($G630,Lijsten!L:P,MATCH(Lijsten!$P$1,Kop_Tarief_Vast,0),0))),""),"")</f>
        <v/>
      </c>
      <c r="Q630" s="359"/>
      <c r="R630" s="359"/>
      <c r="S630" s="321"/>
      <c r="T630" s="321"/>
      <c r="U630" s="373" t="str">
        <f t="shared" si="36"/>
        <v/>
      </c>
      <c r="V630" s="314" t="str">
        <f t="shared" si="37"/>
        <v/>
      </c>
      <c r="W630" s="314" t="str" cm="1">
        <f t="array" aca="1" ref="W630" ca="1">IFERROR(IF(AE630&lt;&gt;"ja",_xlfn.IFNA(_xlfn.IFS(AND(O630&lt;&gt;"",F630&lt;&gt;"",RIGHT($N630,6)="tarief",F630="Vergoeding"),SUM(O630)*FLOOR(SUM(Q630),0.0001),AND(O630&lt;&gt;"",F630&lt;&gt;"",RIGHT($N630,6)="tarief"),SUM(O630)*FLOOR(SUM(Q630),0.01),S630&gt;0,IF(F630&lt;&gt;"",FLOOR(SUM(S630),0.01),"")),""),""),"")</f>
        <v/>
      </c>
      <c r="X630" s="314" t="str" cm="1">
        <f t="array" aca="1" ref="X630" ca="1">IFERROR(IF(AE630&lt;&gt;"ja",_xlfn.IFNA(_xlfn.IFS(AND(P630&lt;&gt;"",R630&lt;&gt;"",RIGHT($N630,6)="tarief",F630="Vergoeding"),SUM(P630)*FLOOR(SUM(R630),0.0001),AND(P630&lt;&gt;"",R630&lt;&gt;"",RIGHT($N630,6)="tarief"),P630*FLOOR(R630,0.01),T630&gt;0,FLOOR(SUM(T630),0.01)),""),""),"")</f>
        <v/>
      </c>
      <c r="Y630" s="314" t="str">
        <f t="shared" ca="1" si="38"/>
        <v/>
      </c>
      <c r="Z630" s="314" t="str" cm="1">
        <f t="array" aca="1" ref="Z630" ca="1">IFERROR(_xlfn.IFS(OR(F630="",LEFT(Methode_Keuze,4)="Geen",Methode_Keuze=""),"",AND(W630&lt;&gt;"",F630&lt;&gt;"Arbeidskosten"),W630*VLOOKUP(F630,Tb_ProjectKosten[],MATCH(Tb_ProjectKosten[[#Headers],[Forfait_Percentage]],Tb_ProjectKosten[#Headers],0),0),AND(F630="Arbeidskosten",G630&lt;&gt;""),IFERROR(W630*VLOOKUP(G630,Tb_KostenTypen[],3,0)*VLOOKUP(F630,Tb_ProjectKosten[],MATCH(Tb_ProjectKosten[[#Headers],[Forfait_Percentage]],Tb_ProjectKosten[#Headers],0),0),""),W630 &lt;=0,0),"")</f>
        <v/>
      </c>
      <c r="AA630" s="314" t="str" cm="1">
        <f t="array" aca="1" ref="AA630" ca="1">IFERROR(_xlfn.IFS(OR(F630="",LEFT(Methode_Keuze,4)="Geen",Methode_Keuze=""),"",AND(X630&lt;&gt;"",F630&lt;&gt;"Arbeidskosten"),X630*VLOOKUP(F630,Tb_ProjectKosten[],MATCH(Tb_ProjectKosten[[#Headers],[Forfait_Percentage]],Tb_ProjectKosten[#Headers],0),0),AND(F630="Arbeidskosten",G630&lt;&gt;""),IFERROR(X630*VLOOKUP(G630,Tb_KostenTypen[],3,0)*VLOOKUP(F630,Tb_ProjectKosten[],MATCH(Tb_ProjectKosten[[#Headers],[Forfait_Percentage]],Tb_ProjectKosten[#Headers],0),0),""),X630 &lt;=0,0),"")</f>
        <v/>
      </c>
      <c r="AB630" s="314" t="str">
        <f t="shared" ca="1" si="39"/>
        <v/>
      </c>
      <c r="AC630" s="322"/>
      <c r="AD630" s="315"/>
      <c r="AE630" s="32" t="str" cm="1">
        <f t="array" ref="AE630">IFERROR(IF(INDEX(SubsidieTabel!$AD$1:$AG$12,MATCH($F630,SubsidieTabel!$AD$1:$AD$12,0),IFERROR(MATCH(Methode_Keuze,SubsidieTabel!$AD$1:$AG$1,0),2))&lt;&gt;1=TRUE,"ja",""),"")</f>
        <v/>
      </c>
    </row>
    <row r="631" spans="1:31" x14ac:dyDescent="0.25">
      <c r="A631" s="316"/>
      <c r="B631" s="317" t="str">
        <f>IF(A631&lt;&gt;"",_xlfn.MAXIFS($B$1:B630,$A$1:A630,A631)+1,"")</f>
        <v/>
      </c>
      <c r="C631" s="296"/>
      <c r="D631" s="296"/>
      <c r="E631" s="296"/>
      <c r="F631" s="296"/>
      <c r="G631" s="326"/>
      <c r="H631" s="324"/>
      <c r="I631" s="325"/>
      <c r="J631" s="325"/>
      <c r="K631" s="318"/>
      <c r="L631" s="318"/>
      <c r="M631" s="319" t="str">
        <f>IFERROR(VLOOKUP(H631,Lijsten!$H$1:$I$100,2,0),"")</f>
        <v/>
      </c>
      <c r="N631" s="319" t="str">
        <f ca="1">IFERROR(IF(VLOOKUP(F631,Kostentypen!$A$3:$E$21,3,0)=0,"",IF(OR(F631="Arbeidskosten",F631="Vergoeding"),VLOOKUP(G631,Tb_KostenTypen[],2,0),VLOOKUP(F631,Kostentypen!$A$3:$E$20,3,0))),"")</f>
        <v/>
      </c>
      <c r="O631" s="320" t="str" cm="1">
        <f t="array" ref="O631">_xlfn.IFNA(IF(INDEX(Tb_KostenOptiesDB[],MATCH($F631,Tb_KostenOptiesDB[KostenOptie],0),IFERROR(MATCH(Methode_Keuze,Tb_KostenOptiesDB[#Headers],0),2))=1,_xlfn.SWITCH($N631,"Uurtarief",IF(OR(AND(RIGHT($F631,3)="IKS",VLOOKUP($M631,DB_Loonkosten,2,0)="Ja"),AND(RIGHT($F631,3)&lt;&gt;"IKS",VLOOKUP($M631,DB_Loonkosten,2,0)="Nee")),IFERROR(VLOOKUP($M631,DB_Loonkosten,24,0),""),0),"Vast tarief",IF(LEFT(F631,8)="Bijdrage",VLOOKUP($F631,Tb_KostenTypen[],MATCH(Lijsten!$P$1,Tb_KostenTypen[#Headers],0),0),VLOOKUP($G631,Lijsten!L:P,MATCH(Lijsten!$P$1,Kop_Tarief_Vast,0),0))),""),"")</f>
        <v/>
      </c>
      <c r="P631" s="320" t="str" cm="1">
        <f t="array" ref="P631">_xlfn.IFNA(IF(INDEX(Tb_KostenOptiesDB[],MATCH($F631,Tb_KostenOptiesDB[KostenOptie],0),IFERROR(MATCH(Methode_Keuze,Tb_KostenOptiesDB[#Headers],0),2))=1,_xlfn.SWITCH($N631,"Uurtarief",IF(OR(AND(RIGHT($F631,3)="IKS",VLOOKUP($M631,DB_Loonkosten,2,0)="Ja"),AND(RIGHT($F631,3)&lt;&gt;"IKS",VLOOKUP($M631,DB_Loonkosten,2,0)="Nee")),IFERROR(VLOOKUP($M631,DB_Loonkosten,25,0),""),0),"Vast tarief",IF(LEFT(F631,8)="Bijdrage",VLOOKUP($F631,Tb_KostenTypen[],MATCH(Lijsten!$P$1,Tb_KostenTypen[#Headers],0),0),VLOOKUP($G631,Lijsten!L:P,MATCH(Lijsten!$P$1,Kop_Tarief_Vast,0),0))),""),"")</f>
        <v/>
      </c>
      <c r="Q631" s="359"/>
      <c r="R631" s="359"/>
      <c r="S631" s="321"/>
      <c r="T631" s="321"/>
      <c r="U631" s="373" t="str">
        <f t="shared" si="36"/>
        <v/>
      </c>
      <c r="V631" s="314" t="str">
        <f t="shared" si="37"/>
        <v/>
      </c>
      <c r="W631" s="314" t="str" cm="1">
        <f t="array" aca="1" ref="W631" ca="1">IFERROR(IF(AE631&lt;&gt;"ja",_xlfn.IFNA(_xlfn.IFS(AND(O631&lt;&gt;"",F631&lt;&gt;"",RIGHT($N631,6)="tarief",F631="Vergoeding"),SUM(O631)*FLOOR(SUM(Q631),0.0001),AND(O631&lt;&gt;"",F631&lt;&gt;"",RIGHT($N631,6)="tarief"),SUM(O631)*FLOOR(SUM(Q631),0.01),S631&gt;0,IF(F631&lt;&gt;"",FLOOR(SUM(S631),0.01),"")),""),""),"")</f>
        <v/>
      </c>
      <c r="X631" s="314" t="str" cm="1">
        <f t="array" aca="1" ref="X631" ca="1">IFERROR(IF(AE631&lt;&gt;"ja",_xlfn.IFNA(_xlfn.IFS(AND(P631&lt;&gt;"",R631&lt;&gt;"",RIGHT($N631,6)="tarief",F631="Vergoeding"),SUM(P631)*FLOOR(SUM(R631),0.0001),AND(P631&lt;&gt;"",R631&lt;&gt;"",RIGHT($N631,6)="tarief"),P631*FLOOR(R631,0.01),T631&gt;0,FLOOR(SUM(T631),0.01)),""),""),"")</f>
        <v/>
      </c>
      <c r="Y631" s="314" t="str">
        <f t="shared" ca="1" si="38"/>
        <v/>
      </c>
      <c r="Z631" s="314" t="str" cm="1">
        <f t="array" aca="1" ref="Z631" ca="1">IFERROR(_xlfn.IFS(OR(F631="",LEFT(Methode_Keuze,4)="Geen",Methode_Keuze=""),"",AND(W631&lt;&gt;"",F631&lt;&gt;"Arbeidskosten"),W631*VLOOKUP(F631,Tb_ProjectKosten[],MATCH(Tb_ProjectKosten[[#Headers],[Forfait_Percentage]],Tb_ProjectKosten[#Headers],0),0),AND(F631="Arbeidskosten",G631&lt;&gt;""),IFERROR(W631*VLOOKUP(G631,Tb_KostenTypen[],3,0)*VLOOKUP(F631,Tb_ProjectKosten[],MATCH(Tb_ProjectKosten[[#Headers],[Forfait_Percentage]],Tb_ProjectKosten[#Headers],0),0),""),W631 &lt;=0,0),"")</f>
        <v/>
      </c>
      <c r="AA631" s="314" t="str" cm="1">
        <f t="array" aca="1" ref="AA631" ca="1">IFERROR(_xlfn.IFS(OR(F631="",LEFT(Methode_Keuze,4)="Geen",Methode_Keuze=""),"",AND(X631&lt;&gt;"",F631&lt;&gt;"Arbeidskosten"),X631*VLOOKUP(F631,Tb_ProjectKosten[],MATCH(Tb_ProjectKosten[[#Headers],[Forfait_Percentage]],Tb_ProjectKosten[#Headers],0),0),AND(F631="Arbeidskosten",G631&lt;&gt;""),IFERROR(X631*VLOOKUP(G631,Tb_KostenTypen[],3,0)*VLOOKUP(F631,Tb_ProjectKosten[],MATCH(Tb_ProjectKosten[[#Headers],[Forfait_Percentage]],Tb_ProjectKosten[#Headers],0),0),""),X631 &lt;=0,0),"")</f>
        <v/>
      </c>
      <c r="AB631" s="314" t="str">
        <f t="shared" ca="1" si="39"/>
        <v/>
      </c>
      <c r="AC631" s="322"/>
      <c r="AD631" s="315"/>
      <c r="AE631" s="32" t="str" cm="1">
        <f t="array" ref="AE631">IFERROR(IF(INDEX(SubsidieTabel!$AD$1:$AG$12,MATCH($F631,SubsidieTabel!$AD$1:$AD$12,0),IFERROR(MATCH(Methode_Keuze,SubsidieTabel!$AD$1:$AG$1,0),2))&lt;&gt;1=TRUE,"ja",""),"")</f>
        <v/>
      </c>
    </row>
    <row r="632" spans="1:31" x14ac:dyDescent="0.25">
      <c r="A632" s="316"/>
      <c r="B632" s="317" t="str">
        <f>IF(A632&lt;&gt;"",_xlfn.MAXIFS($B$1:B631,$A$1:A631,A632)+1,"")</f>
        <v/>
      </c>
      <c r="C632" s="296"/>
      <c r="D632" s="296"/>
      <c r="E632" s="296"/>
      <c r="F632" s="296"/>
      <c r="G632" s="326"/>
      <c r="H632" s="324"/>
      <c r="I632" s="325"/>
      <c r="J632" s="325"/>
      <c r="K632" s="318"/>
      <c r="L632" s="318"/>
      <c r="M632" s="319" t="str">
        <f>IFERROR(VLOOKUP(H632,Lijsten!$H$1:$I$100,2,0),"")</f>
        <v/>
      </c>
      <c r="N632" s="319" t="str">
        <f ca="1">IFERROR(IF(VLOOKUP(F632,Kostentypen!$A$3:$E$21,3,0)=0,"",IF(OR(F632="Arbeidskosten",F632="Vergoeding"),VLOOKUP(G632,Tb_KostenTypen[],2,0),VLOOKUP(F632,Kostentypen!$A$3:$E$20,3,0))),"")</f>
        <v/>
      </c>
      <c r="O632" s="320" t="str" cm="1">
        <f t="array" ref="O632">_xlfn.IFNA(IF(INDEX(Tb_KostenOptiesDB[],MATCH($F632,Tb_KostenOptiesDB[KostenOptie],0),IFERROR(MATCH(Methode_Keuze,Tb_KostenOptiesDB[#Headers],0),2))=1,_xlfn.SWITCH($N632,"Uurtarief",IF(OR(AND(RIGHT($F632,3)="IKS",VLOOKUP($M632,DB_Loonkosten,2,0)="Ja"),AND(RIGHT($F632,3)&lt;&gt;"IKS",VLOOKUP($M632,DB_Loonkosten,2,0)="Nee")),IFERROR(VLOOKUP($M632,DB_Loonkosten,24,0),""),0),"Vast tarief",IF(LEFT(F632,8)="Bijdrage",VLOOKUP($F632,Tb_KostenTypen[],MATCH(Lijsten!$P$1,Tb_KostenTypen[#Headers],0),0),VLOOKUP($G632,Lijsten!L:P,MATCH(Lijsten!$P$1,Kop_Tarief_Vast,0),0))),""),"")</f>
        <v/>
      </c>
      <c r="P632" s="320" t="str" cm="1">
        <f t="array" ref="P632">_xlfn.IFNA(IF(INDEX(Tb_KostenOptiesDB[],MATCH($F632,Tb_KostenOptiesDB[KostenOptie],0),IFERROR(MATCH(Methode_Keuze,Tb_KostenOptiesDB[#Headers],0),2))=1,_xlfn.SWITCH($N632,"Uurtarief",IF(OR(AND(RIGHT($F632,3)="IKS",VLOOKUP($M632,DB_Loonkosten,2,0)="Ja"),AND(RIGHT($F632,3)&lt;&gt;"IKS",VLOOKUP($M632,DB_Loonkosten,2,0)="Nee")),IFERROR(VLOOKUP($M632,DB_Loonkosten,25,0),""),0),"Vast tarief",IF(LEFT(F632,8)="Bijdrage",VLOOKUP($F632,Tb_KostenTypen[],MATCH(Lijsten!$P$1,Tb_KostenTypen[#Headers],0),0),VLOOKUP($G632,Lijsten!L:P,MATCH(Lijsten!$P$1,Kop_Tarief_Vast,0),0))),""),"")</f>
        <v/>
      </c>
      <c r="Q632" s="359"/>
      <c r="R632" s="359"/>
      <c r="S632" s="321"/>
      <c r="T632" s="321"/>
      <c r="U632" s="373" t="str">
        <f t="shared" si="36"/>
        <v/>
      </c>
      <c r="V632" s="314" t="str">
        <f t="shared" si="37"/>
        <v/>
      </c>
      <c r="W632" s="314" t="str" cm="1">
        <f t="array" aca="1" ref="W632" ca="1">IFERROR(IF(AE632&lt;&gt;"ja",_xlfn.IFNA(_xlfn.IFS(AND(O632&lt;&gt;"",F632&lt;&gt;"",RIGHT($N632,6)="tarief",F632="Vergoeding"),SUM(O632)*FLOOR(SUM(Q632),0.0001),AND(O632&lt;&gt;"",F632&lt;&gt;"",RIGHT($N632,6)="tarief"),SUM(O632)*FLOOR(SUM(Q632),0.01),S632&gt;0,IF(F632&lt;&gt;"",FLOOR(SUM(S632),0.01),"")),""),""),"")</f>
        <v/>
      </c>
      <c r="X632" s="314" t="str" cm="1">
        <f t="array" aca="1" ref="X632" ca="1">IFERROR(IF(AE632&lt;&gt;"ja",_xlfn.IFNA(_xlfn.IFS(AND(P632&lt;&gt;"",R632&lt;&gt;"",RIGHT($N632,6)="tarief",F632="Vergoeding"),SUM(P632)*FLOOR(SUM(R632),0.0001),AND(P632&lt;&gt;"",R632&lt;&gt;"",RIGHT($N632,6)="tarief"),P632*FLOOR(R632,0.01),T632&gt;0,FLOOR(SUM(T632),0.01)),""),""),"")</f>
        <v/>
      </c>
      <c r="Y632" s="314" t="str">
        <f t="shared" ca="1" si="38"/>
        <v/>
      </c>
      <c r="Z632" s="314" t="str" cm="1">
        <f t="array" aca="1" ref="Z632" ca="1">IFERROR(_xlfn.IFS(OR(F632="",LEFT(Methode_Keuze,4)="Geen",Methode_Keuze=""),"",AND(W632&lt;&gt;"",F632&lt;&gt;"Arbeidskosten"),W632*VLOOKUP(F632,Tb_ProjectKosten[],MATCH(Tb_ProjectKosten[[#Headers],[Forfait_Percentage]],Tb_ProjectKosten[#Headers],0),0),AND(F632="Arbeidskosten",G632&lt;&gt;""),IFERROR(W632*VLOOKUP(G632,Tb_KostenTypen[],3,0)*VLOOKUP(F632,Tb_ProjectKosten[],MATCH(Tb_ProjectKosten[[#Headers],[Forfait_Percentage]],Tb_ProjectKosten[#Headers],0),0),""),W632 &lt;=0,0),"")</f>
        <v/>
      </c>
      <c r="AA632" s="314" t="str" cm="1">
        <f t="array" aca="1" ref="AA632" ca="1">IFERROR(_xlfn.IFS(OR(F632="",LEFT(Methode_Keuze,4)="Geen",Methode_Keuze=""),"",AND(X632&lt;&gt;"",F632&lt;&gt;"Arbeidskosten"),X632*VLOOKUP(F632,Tb_ProjectKosten[],MATCH(Tb_ProjectKosten[[#Headers],[Forfait_Percentage]],Tb_ProjectKosten[#Headers],0),0),AND(F632="Arbeidskosten",G632&lt;&gt;""),IFERROR(X632*VLOOKUP(G632,Tb_KostenTypen[],3,0)*VLOOKUP(F632,Tb_ProjectKosten[],MATCH(Tb_ProjectKosten[[#Headers],[Forfait_Percentage]],Tb_ProjectKosten[#Headers],0),0),""),X632 &lt;=0,0),"")</f>
        <v/>
      </c>
      <c r="AB632" s="314" t="str">
        <f t="shared" ca="1" si="39"/>
        <v/>
      </c>
      <c r="AC632" s="322"/>
      <c r="AD632" s="315"/>
      <c r="AE632" s="32" t="str" cm="1">
        <f t="array" ref="AE632">IFERROR(IF(INDEX(SubsidieTabel!$AD$1:$AG$12,MATCH($F632,SubsidieTabel!$AD$1:$AD$12,0),IFERROR(MATCH(Methode_Keuze,SubsidieTabel!$AD$1:$AG$1,0),2))&lt;&gt;1=TRUE,"ja",""),"")</f>
        <v/>
      </c>
    </row>
    <row r="633" spans="1:31" x14ac:dyDescent="0.25">
      <c r="A633" s="316"/>
      <c r="B633" s="317" t="str">
        <f>IF(A633&lt;&gt;"",_xlfn.MAXIFS($B$1:B632,$A$1:A632,A633)+1,"")</f>
        <v/>
      </c>
      <c r="C633" s="296"/>
      <c r="D633" s="296"/>
      <c r="E633" s="296"/>
      <c r="F633" s="296"/>
      <c r="G633" s="326"/>
      <c r="H633" s="324"/>
      <c r="I633" s="325"/>
      <c r="J633" s="325"/>
      <c r="K633" s="318"/>
      <c r="L633" s="318"/>
      <c r="M633" s="319" t="str">
        <f>IFERROR(VLOOKUP(H633,Lijsten!$H$1:$I$100,2,0),"")</f>
        <v/>
      </c>
      <c r="N633" s="319" t="str">
        <f ca="1">IFERROR(IF(VLOOKUP(F633,Kostentypen!$A$3:$E$21,3,0)=0,"",IF(OR(F633="Arbeidskosten",F633="Vergoeding"),VLOOKUP(G633,Tb_KostenTypen[],2,0),VLOOKUP(F633,Kostentypen!$A$3:$E$20,3,0))),"")</f>
        <v/>
      </c>
      <c r="O633" s="320" t="str" cm="1">
        <f t="array" ref="O633">_xlfn.IFNA(IF(INDEX(Tb_KostenOptiesDB[],MATCH($F633,Tb_KostenOptiesDB[KostenOptie],0),IFERROR(MATCH(Methode_Keuze,Tb_KostenOptiesDB[#Headers],0),2))=1,_xlfn.SWITCH($N633,"Uurtarief",IF(OR(AND(RIGHT($F633,3)="IKS",VLOOKUP($M633,DB_Loonkosten,2,0)="Ja"),AND(RIGHT($F633,3)&lt;&gt;"IKS",VLOOKUP($M633,DB_Loonkosten,2,0)="Nee")),IFERROR(VLOOKUP($M633,DB_Loonkosten,24,0),""),0),"Vast tarief",IF(LEFT(F633,8)="Bijdrage",VLOOKUP($F633,Tb_KostenTypen[],MATCH(Lijsten!$P$1,Tb_KostenTypen[#Headers],0),0),VLOOKUP($G633,Lijsten!L:P,MATCH(Lijsten!$P$1,Kop_Tarief_Vast,0),0))),""),"")</f>
        <v/>
      </c>
      <c r="P633" s="320" t="str" cm="1">
        <f t="array" ref="P633">_xlfn.IFNA(IF(INDEX(Tb_KostenOptiesDB[],MATCH($F633,Tb_KostenOptiesDB[KostenOptie],0),IFERROR(MATCH(Methode_Keuze,Tb_KostenOptiesDB[#Headers],0),2))=1,_xlfn.SWITCH($N633,"Uurtarief",IF(OR(AND(RIGHT($F633,3)="IKS",VLOOKUP($M633,DB_Loonkosten,2,0)="Ja"),AND(RIGHT($F633,3)&lt;&gt;"IKS",VLOOKUP($M633,DB_Loonkosten,2,0)="Nee")),IFERROR(VLOOKUP($M633,DB_Loonkosten,25,0),""),0),"Vast tarief",IF(LEFT(F633,8)="Bijdrage",VLOOKUP($F633,Tb_KostenTypen[],MATCH(Lijsten!$P$1,Tb_KostenTypen[#Headers],0),0),VLOOKUP($G633,Lijsten!L:P,MATCH(Lijsten!$P$1,Kop_Tarief_Vast,0),0))),""),"")</f>
        <v/>
      </c>
      <c r="Q633" s="359"/>
      <c r="R633" s="359"/>
      <c r="S633" s="321"/>
      <c r="T633" s="321"/>
      <c r="U633" s="373" t="str">
        <f t="shared" si="36"/>
        <v/>
      </c>
      <c r="V633" s="314" t="str">
        <f t="shared" si="37"/>
        <v/>
      </c>
      <c r="W633" s="314" t="str" cm="1">
        <f t="array" aca="1" ref="W633" ca="1">IFERROR(IF(AE633&lt;&gt;"ja",_xlfn.IFNA(_xlfn.IFS(AND(O633&lt;&gt;"",F633&lt;&gt;"",RIGHT($N633,6)="tarief",F633="Vergoeding"),SUM(O633)*FLOOR(SUM(Q633),0.0001),AND(O633&lt;&gt;"",F633&lt;&gt;"",RIGHT($N633,6)="tarief"),SUM(O633)*FLOOR(SUM(Q633),0.01),S633&gt;0,IF(F633&lt;&gt;"",FLOOR(SUM(S633),0.01),"")),""),""),"")</f>
        <v/>
      </c>
      <c r="X633" s="314" t="str" cm="1">
        <f t="array" aca="1" ref="X633" ca="1">IFERROR(IF(AE633&lt;&gt;"ja",_xlfn.IFNA(_xlfn.IFS(AND(P633&lt;&gt;"",R633&lt;&gt;"",RIGHT($N633,6)="tarief",F633="Vergoeding"),SUM(P633)*FLOOR(SUM(R633),0.0001),AND(P633&lt;&gt;"",R633&lt;&gt;"",RIGHT($N633,6)="tarief"),P633*FLOOR(R633,0.01),T633&gt;0,FLOOR(SUM(T633),0.01)),""),""),"")</f>
        <v/>
      </c>
      <c r="Y633" s="314" t="str">
        <f t="shared" ca="1" si="38"/>
        <v/>
      </c>
      <c r="Z633" s="314" t="str" cm="1">
        <f t="array" aca="1" ref="Z633" ca="1">IFERROR(_xlfn.IFS(OR(F633="",LEFT(Methode_Keuze,4)="Geen",Methode_Keuze=""),"",AND(W633&lt;&gt;"",F633&lt;&gt;"Arbeidskosten"),W633*VLOOKUP(F633,Tb_ProjectKosten[],MATCH(Tb_ProjectKosten[[#Headers],[Forfait_Percentage]],Tb_ProjectKosten[#Headers],0),0),AND(F633="Arbeidskosten",G633&lt;&gt;""),IFERROR(W633*VLOOKUP(G633,Tb_KostenTypen[],3,0)*VLOOKUP(F633,Tb_ProjectKosten[],MATCH(Tb_ProjectKosten[[#Headers],[Forfait_Percentage]],Tb_ProjectKosten[#Headers],0),0),""),W633 &lt;=0,0),"")</f>
        <v/>
      </c>
      <c r="AA633" s="314" t="str" cm="1">
        <f t="array" aca="1" ref="AA633" ca="1">IFERROR(_xlfn.IFS(OR(F633="",LEFT(Methode_Keuze,4)="Geen",Methode_Keuze=""),"",AND(X633&lt;&gt;"",F633&lt;&gt;"Arbeidskosten"),X633*VLOOKUP(F633,Tb_ProjectKosten[],MATCH(Tb_ProjectKosten[[#Headers],[Forfait_Percentage]],Tb_ProjectKosten[#Headers],0),0),AND(F633="Arbeidskosten",G633&lt;&gt;""),IFERROR(X633*VLOOKUP(G633,Tb_KostenTypen[],3,0)*VLOOKUP(F633,Tb_ProjectKosten[],MATCH(Tb_ProjectKosten[[#Headers],[Forfait_Percentage]],Tb_ProjectKosten[#Headers],0),0),""),X633 &lt;=0,0),"")</f>
        <v/>
      </c>
      <c r="AB633" s="314" t="str">
        <f t="shared" ca="1" si="39"/>
        <v/>
      </c>
      <c r="AC633" s="322"/>
      <c r="AD633" s="315"/>
      <c r="AE633" s="32" t="str" cm="1">
        <f t="array" ref="AE633">IFERROR(IF(INDEX(SubsidieTabel!$AD$1:$AG$12,MATCH($F633,SubsidieTabel!$AD$1:$AD$12,0),IFERROR(MATCH(Methode_Keuze,SubsidieTabel!$AD$1:$AG$1,0),2))&lt;&gt;1=TRUE,"ja",""),"")</f>
        <v/>
      </c>
    </row>
    <row r="634" spans="1:31" x14ac:dyDescent="0.25">
      <c r="A634" s="316"/>
      <c r="B634" s="317" t="str">
        <f>IF(A634&lt;&gt;"",_xlfn.MAXIFS($B$1:B633,$A$1:A633,A634)+1,"")</f>
        <v/>
      </c>
      <c r="C634" s="296"/>
      <c r="D634" s="296"/>
      <c r="E634" s="296"/>
      <c r="F634" s="296"/>
      <c r="G634" s="326"/>
      <c r="H634" s="324"/>
      <c r="I634" s="325"/>
      <c r="J634" s="325"/>
      <c r="K634" s="318"/>
      <c r="L634" s="318"/>
      <c r="M634" s="319" t="str">
        <f>IFERROR(VLOOKUP(H634,Lijsten!$H$1:$I$100,2,0),"")</f>
        <v/>
      </c>
      <c r="N634" s="319" t="str">
        <f ca="1">IFERROR(IF(VLOOKUP(F634,Kostentypen!$A$3:$E$21,3,0)=0,"",IF(OR(F634="Arbeidskosten",F634="Vergoeding"),VLOOKUP(G634,Tb_KostenTypen[],2,0),VLOOKUP(F634,Kostentypen!$A$3:$E$20,3,0))),"")</f>
        <v/>
      </c>
      <c r="O634" s="320" t="str" cm="1">
        <f t="array" ref="O634">_xlfn.IFNA(IF(INDEX(Tb_KostenOptiesDB[],MATCH($F634,Tb_KostenOptiesDB[KostenOptie],0),IFERROR(MATCH(Methode_Keuze,Tb_KostenOptiesDB[#Headers],0),2))=1,_xlfn.SWITCH($N634,"Uurtarief",IF(OR(AND(RIGHT($F634,3)="IKS",VLOOKUP($M634,DB_Loonkosten,2,0)="Ja"),AND(RIGHT($F634,3)&lt;&gt;"IKS",VLOOKUP($M634,DB_Loonkosten,2,0)="Nee")),IFERROR(VLOOKUP($M634,DB_Loonkosten,24,0),""),0),"Vast tarief",IF(LEFT(F634,8)="Bijdrage",VLOOKUP($F634,Tb_KostenTypen[],MATCH(Lijsten!$P$1,Tb_KostenTypen[#Headers],0),0),VLOOKUP($G634,Lijsten!L:P,MATCH(Lijsten!$P$1,Kop_Tarief_Vast,0),0))),""),"")</f>
        <v/>
      </c>
      <c r="P634" s="320" t="str" cm="1">
        <f t="array" ref="P634">_xlfn.IFNA(IF(INDEX(Tb_KostenOptiesDB[],MATCH($F634,Tb_KostenOptiesDB[KostenOptie],0),IFERROR(MATCH(Methode_Keuze,Tb_KostenOptiesDB[#Headers],0),2))=1,_xlfn.SWITCH($N634,"Uurtarief",IF(OR(AND(RIGHT($F634,3)="IKS",VLOOKUP($M634,DB_Loonkosten,2,0)="Ja"),AND(RIGHT($F634,3)&lt;&gt;"IKS",VLOOKUP($M634,DB_Loonkosten,2,0)="Nee")),IFERROR(VLOOKUP($M634,DB_Loonkosten,25,0),""),0),"Vast tarief",IF(LEFT(F634,8)="Bijdrage",VLOOKUP($F634,Tb_KostenTypen[],MATCH(Lijsten!$P$1,Tb_KostenTypen[#Headers],0),0),VLOOKUP($G634,Lijsten!L:P,MATCH(Lijsten!$P$1,Kop_Tarief_Vast,0),0))),""),"")</f>
        <v/>
      </c>
      <c r="Q634" s="359"/>
      <c r="R634" s="359"/>
      <c r="S634" s="321"/>
      <c r="T634" s="321"/>
      <c r="U634" s="373" t="str">
        <f t="shared" si="36"/>
        <v/>
      </c>
      <c r="V634" s="314" t="str">
        <f t="shared" si="37"/>
        <v/>
      </c>
      <c r="W634" s="314" t="str" cm="1">
        <f t="array" aca="1" ref="W634" ca="1">IFERROR(IF(AE634&lt;&gt;"ja",_xlfn.IFNA(_xlfn.IFS(AND(O634&lt;&gt;"",F634&lt;&gt;"",RIGHT($N634,6)="tarief",F634="Vergoeding"),SUM(O634)*FLOOR(SUM(Q634),0.0001),AND(O634&lt;&gt;"",F634&lt;&gt;"",RIGHT($N634,6)="tarief"),SUM(O634)*FLOOR(SUM(Q634),0.01),S634&gt;0,IF(F634&lt;&gt;"",FLOOR(SUM(S634),0.01),"")),""),""),"")</f>
        <v/>
      </c>
      <c r="X634" s="314" t="str" cm="1">
        <f t="array" aca="1" ref="X634" ca="1">IFERROR(IF(AE634&lt;&gt;"ja",_xlfn.IFNA(_xlfn.IFS(AND(P634&lt;&gt;"",R634&lt;&gt;"",RIGHT($N634,6)="tarief",F634="Vergoeding"),SUM(P634)*FLOOR(SUM(R634),0.0001),AND(P634&lt;&gt;"",R634&lt;&gt;"",RIGHT($N634,6)="tarief"),P634*FLOOR(R634,0.01),T634&gt;0,FLOOR(SUM(T634),0.01)),""),""),"")</f>
        <v/>
      </c>
      <c r="Y634" s="314" t="str">
        <f t="shared" ca="1" si="38"/>
        <v/>
      </c>
      <c r="Z634" s="314" t="str" cm="1">
        <f t="array" aca="1" ref="Z634" ca="1">IFERROR(_xlfn.IFS(OR(F634="",LEFT(Methode_Keuze,4)="Geen",Methode_Keuze=""),"",AND(W634&lt;&gt;"",F634&lt;&gt;"Arbeidskosten"),W634*VLOOKUP(F634,Tb_ProjectKosten[],MATCH(Tb_ProjectKosten[[#Headers],[Forfait_Percentage]],Tb_ProjectKosten[#Headers],0),0),AND(F634="Arbeidskosten",G634&lt;&gt;""),IFERROR(W634*VLOOKUP(G634,Tb_KostenTypen[],3,0)*VLOOKUP(F634,Tb_ProjectKosten[],MATCH(Tb_ProjectKosten[[#Headers],[Forfait_Percentage]],Tb_ProjectKosten[#Headers],0),0),""),W634 &lt;=0,0),"")</f>
        <v/>
      </c>
      <c r="AA634" s="314" t="str" cm="1">
        <f t="array" aca="1" ref="AA634" ca="1">IFERROR(_xlfn.IFS(OR(F634="",LEFT(Methode_Keuze,4)="Geen",Methode_Keuze=""),"",AND(X634&lt;&gt;"",F634&lt;&gt;"Arbeidskosten"),X634*VLOOKUP(F634,Tb_ProjectKosten[],MATCH(Tb_ProjectKosten[[#Headers],[Forfait_Percentage]],Tb_ProjectKosten[#Headers],0),0),AND(F634="Arbeidskosten",G634&lt;&gt;""),IFERROR(X634*VLOOKUP(G634,Tb_KostenTypen[],3,0)*VLOOKUP(F634,Tb_ProjectKosten[],MATCH(Tb_ProjectKosten[[#Headers],[Forfait_Percentage]],Tb_ProjectKosten[#Headers],0),0),""),X634 &lt;=0,0),"")</f>
        <v/>
      </c>
      <c r="AB634" s="314" t="str">
        <f t="shared" ca="1" si="39"/>
        <v/>
      </c>
      <c r="AC634" s="322"/>
      <c r="AD634" s="315"/>
      <c r="AE634" s="32" t="str" cm="1">
        <f t="array" ref="AE634">IFERROR(IF(INDEX(SubsidieTabel!$AD$1:$AG$12,MATCH($F634,SubsidieTabel!$AD$1:$AD$12,0),IFERROR(MATCH(Methode_Keuze,SubsidieTabel!$AD$1:$AG$1,0),2))&lt;&gt;1=TRUE,"ja",""),"")</f>
        <v/>
      </c>
    </row>
    <row r="635" spans="1:31" x14ac:dyDescent="0.25">
      <c r="A635" s="316"/>
      <c r="B635" s="317" t="str">
        <f>IF(A635&lt;&gt;"",_xlfn.MAXIFS($B$1:B634,$A$1:A634,A635)+1,"")</f>
        <v/>
      </c>
      <c r="C635" s="296"/>
      <c r="D635" s="296"/>
      <c r="E635" s="296"/>
      <c r="F635" s="296"/>
      <c r="G635" s="326"/>
      <c r="H635" s="324"/>
      <c r="I635" s="325"/>
      <c r="J635" s="325"/>
      <c r="K635" s="318"/>
      <c r="L635" s="318"/>
      <c r="M635" s="319" t="str">
        <f>IFERROR(VLOOKUP(H635,Lijsten!$H$1:$I$100,2,0),"")</f>
        <v/>
      </c>
      <c r="N635" s="319" t="str">
        <f ca="1">IFERROR(IF(VLOOKUP(F635,Kostentypen!$A$3:$E$21,3,0)=0,"",IF(OR(F635="Arbeidskosten",F635="Vergoeding"),VLOOKUP(G635,Tb_KostenTypen[],2,0),VLOOKUP(F635,Kostentypen!$A$3:$E$20,3,0))),"")</f>
        <v/>
      </c>
      <c r="O635" s="320" t="str" cm="1">
        <f t="array" ref="O635">_xlfn.IFNA(IF(INDEX(Tb_KostenOptiesDB[],MATCH($F635,Tb_KostenOptiesDB[KostenOptie],0),IFERROR(MATCH(Methode_Keuze,Tb_KostenOptiesDB[#Headers],0),2))=1,_xlfn.SWITCH($N635,"Uurtarief",IF(OR(AND(RIGHT($F635,3)="IKS",VLOOKUP($M635,DB_Loonkosten,2,0)="Ja"),AND(RIGHT($F635,3)&lt;&gt;"IKS",VLOOKUP($M635,DB_Loonkosten,2,0)="Nee")),IFERROR(VLOOKUP($M635,DB_Loonkosten,24,0),""),0),"Vast tarief",IF(LEFT(F635,8)="Bijdrage",VLOOKUP($F635,Tb_KostenTypen[],MATCH(Lijsten!$P$1,Tb_KostenTypen[#Headers],0),0),VLOOKUP($G635,Lijsten!L:P,MATCH(Lijsten!$P$1,Kop_Tarief_Vast,0),0))),""),"")</f>
        <v/>
      </c>
      <c r="P635" s="320" t="str" cm="1">
        <f t="array" ref="P635">_xlfn.IFNA(IF(INDEX(Tb_KostenOptiesDB[],MATCH($F635,Tb_KostenOptiesDB[KostenOptie],0),IFERROR(MATCH(Methode_Keuze,Tb_KostenOptiesDB[#Headers],0),2))=1,_xlfn.SWITCH($N635,"Uurtarief",IF(OR(AND(RIGHT($F635,3)="IKS",VLOOKUP($M635,DB_Loonkosten,2,0)="Ja"),AND(RIGHT($F635,3)&lt;&gt;"IKS",VLOOKUP($M635,DB_Loonkosten,2,0)="Nee")),IFERROR(VLOOKUP($M635,DB_Loonkosten,25,0),""),0),"Vast tarief",IF(LEFT(F635,8)="Bijdrage",VLOOKUP($F635,Tb_KostenTypen[],MATCH(Lijsten!$P$1,Tb_KostenTypen[#Headers],0),0),VLOOKUP($G635,Lijsten!L:P,MATCH(Lijsten!$P$1,Kop_Tarief_Vast,0),0))),""),"")</f>
        <v/>
      </c>
      <c r="Q635" s="359"/>
      <c r="R635" s="359"/>
      <c r="S635" s="321"/>
      <c r="T635" s="321"/>
      <c r="U635" s="373" t="str">
        <f t="shared" si="36"/>
        <v/>
      </c>
      <c r="V635" s="314" t="str">
        <f t="shared" si="37"/>
        <v/>
      </c>
      <c r="W635" s="314" t="str" cm="1">
        <f t="array" aca="1" ref="W635" ca="1">IFERROR(IF(AE635&lt;&gt;"ja",_xlfn.IFNA(_xlfn.IFS(AND(O635&lt;&gt;"",F635&lt;&gt;"",RIGHT($N635,6)="tarief",F635="Vergoeding"),SUM(O635)*FLOOR(SUM(Q635),0.0001),AND(O635&lt;&gt;"",F635&lt;&gt;"",RIGHT($N635,6)="tarief"),SUM(O635)*FLOOR(SUM(Q635),0.01),S635&gt;0,IF(F635&lt;&gt;"",FLOOR(SUM(S635),0.01),"")),""),""),"")</f>
        <v/>
      </c>
      <c r="X635" s="314" t="str" cm="1">
        <f t="array" aca="1" ref="X635" ca="1">IFERROR(IF(AE635&lt;&gt;"ja",_xlfn.IFNA(_xlfn.IFS(AND(P635&lt;&gt;"",R635&lt;&gt;"",RIGHT($N635,6)="tarief",F635="Vergoeding"),SUM(P635)*FLOOR(SUM(R635),0.0001),AND(P635&lt;&gt;"",R635&lt;&gt;"",RIGHT($N635,6)="tarief"),P635*FLOOR(R635,0.01),T635&gt;0,FLOOR(SUM(T635),0.01)),""),""),"")</f>
        <v/>
      </c>
      <c r="Y635" s="314" t="str">
        <f t="shared" ca="1" si="38"/>
        <v/>
      </c>
      <c r="Z635" s="314" t="str" cm="1">
        <f t="array" aca="1" ref="Z635" ca="1">IFERROR(_xlfn.IFS(OR(F635="",LEFT(Methode_Keuze,4)="Geen",Methode_Keuze=""),"",AND(W635&lt;&gt;"",F635&lt;&gt;"Arbeidskosten"),W635*VLOOKUP(F635,Tb_ProjectKosten[],MATCH(Tb_ProjectKosten[[#Headers],[Forfait_Percentage]],Tb_ProjectKosten[#Headers],0),0),AND(F635="Arbeidskosten",G635&lt;&gt;""),IFERROR(W635*VLOOKUP(G635,Tb_KostenTypen[],3,0)*VLOOKUP(F635,Tb_ProjectKosten[],MATCH(Tb_ProjectKosten[[#Headers],[Forfait_Percentage]],Tb_ProjectKosten[#Headers],0),0),""),W635 &lt;=0,0),"")</f>
        <v/>
      </c>
      <c r="AA635" s="314" t="str" cm="1">
        <f t="array" aca="1" ref="AA635" ca="1">IFERROR(_xlfn.IFS(OR(F635="",LEFT(Methode_Keuze,4)="Geen",Methode_Keuze=""),"",AND(X635&lt;&gt;"",F635&lt;&gt;"Arbeidskosten"),X635*VLOOKUP(F635,Tb_ProjectKosten[],MATCH(Tb_ProjectKosten[[#Headers],[Forfait_Percentage]],Tb_ProjectKosten[#Headers],0),0),AND(F635="Arbeidskosten",G635&lt;&gt;""),IFERROR(X635*VLOOKUP(G635,Tb_KostenTypen[],3,0)*VLOOKUP(F635,Tb_ProjectKosten[],MATCH(Tb_ProjectKosten[[#Headers],[Forfait_Percentage]],Tb_ProjectKosten[#Headers],0),0),""),X635 &lt;=0,0),"")</f>
        <v/>
      </c>
      <c r="AB635" s="314" t="str">
        <f t="shared" ca="1" si="39"/>
        <v/>
      </c>
      <c r="AC635" s="322"/>
      <c r="AD635" s="315"/>
      <c r="AE635" s="32" t="str" cm="1">
        <f t="array" ref="AE635">IFERROR(IF(INDEX(SubsidieTabel!$AD$1:$AG$12,MATCH($F635,SubsidieTabel!$AD$1:$AD$12,0),IFERROR(MATCH(Methode_Keuze,SubsidieTabel!$AD$1:$AG$1,0),2))&lt;&gt;1=TRUE,"ja",""),"")</f>
        <v/>
      </c>
    </row>
    <row r="636" spans="1:31" x14ac:dyDescent="0.25">
      <c r="A636" s="316"/>
      <c r="B636" s="317" t="str">
        <f>IF(A636&lt;&gt;"",_xlfn.MAXIFS($B$1:B635,$A$1:A635,A636)+1,"")</f>
        <v/>
      </c>
      <c r="C636" s="296"/>
      <c r="D636" s="296"/>
      <c r="E636" s="296"/>
      <c r="F636" s="296"/>
      <c r="G636" s="326"/>
      <c r="H636" s="324"/>
      <c r="I636" s="325"/>
      <c r="J636" s="325"/>
      <c r="K636" s="318"/>
      <c r="L636" s="318"/>
      <c r="M636" s="319" t="str">
        <f>IFERROR(VLOOKUP(H636,Lijsten!$H$1:$I$100,2,0),"")</f>
        <v/>
      </c>
      <c r="N636" s="319" t="str">
        <f ca="1">IFERROR(IF(VLOOKUP(F636,Kostentypen!$A$3:$E$21,3,0)=0,"",IF(OR(F636="Arbeidskosten",F636="Vergoeding"),VLOOKUP(G636,Tb_KostenTypen[],2,0),VLOOKUP(F636,Kostentypen!$A$3:$E$20,3,0))),"")</f>
        <v/>
      </c>
      <c r="O636" s="320" t="str" cm="1">
        <f t="array" ref="O636">_xlfn.IFNA(IF(INDEX(Tb_KostenOptiesDB[],MATCH($F636,Tb_KostenOptiesDB[KostenOptie],0),IFERROR(MATCH(Methode_Keuze,Tb_KostenOptiesDB[#Headers],0),2))=1,_xlfn.SWITCH($N636,"Uurtarief",IF(OR(AND(RIGHT($F636,3)="IKS",VLOOKUP($M636,DB_Loonkosten,2,0)="Ja"),AND(RIGHT($F636,3)&lt;&gt;"IKS",VLOOKUP($M636,DB_Loonkosten,2,0)="Nee")),IFERROR(VLOOKUP($M636,DB_Loonkosten,24,0),""),0),"Vast tarief",IF(LEFT(F636,8)="Bijdrage",VLOOKUP($F636,Tb_KostenTypen[],MATCH(Lijsten!$P$1,Tb_KostenTypen[#Headers],0),0),VLOOKUP($G636,Lijsten!L:P,MATCH(Lijsten!$P$1,Kop_Tarief_Vast,0),0))),""),"")</f>
        <v/>
      </c>
      <c r="P636" s="320" t="str" cm="1">
        <f t="array" ref="P636">_xlfn.IFNA(IF(INDEX(Tb_KostenOptiesDB[],MATCH($F636,Tb_KostenOptiesDB[KostenOptie],0),IFERROR(MATCH(Methode_Keuze,Tb_KostenOptiesDB[#Headers],0),2))=1,_xlfn.SWITCH($N636,"Uurtarief",IF(OR(AND(RIGHT($F636,3)="IKS",VLOOKUP($M636,DB_Loonkosten,2,0)="Ja"),AND(RIGHT($F636,3)&lt;&gt;"IKS",VLOOKUP($M636,DB_Loonkosten,2,0)="Nee")),IFERROR(VLOOKUP($M636,DB_Loonkosten,25,0),""),0),"Vast tarief",IF(LEFT(F636,8)="Bijdrage",VLOOKUP($F636,Tb_KostenTypen[],MATCH(Lijsten!$P$1,Tb_KostenTypen[#Headers],0),0),VLOOKUP($G636,Lijsten!L:P,MATCH(Lijsten!$P$1,Kop_Tarief_Vast,0),0))),""),"")</f>
        <v/>
      </c>
      <c r="Q636" s="359"/>
      <c r="R636" s="359"/>
      <c r="S636" s="321"/>
      <c r="T636" s="321"/>
      <c r="U636" s="373" t="str">
        <f t="shared" si="36"/>
        <v/>
      </c>
      <c r="V636" s="314" t="str">
        <f t="shared" si="37"/>
        <v/>
      </c>
      <c r="W636" s="314" t="str" cm="1">
        <f t="array" aca="1" ref="W636" ca="1">IFERROR(IF(AE636&lt;&gt;"ja",_xlfn.IFNA(_xlfn.IFS(AND(O636&lt;&gt;"",F636&lt;&gt;"",RIGHT($N636,6)="tarief",F636="Vergoeding"),SUM(O636)*FLOOR(SUM(Q636),0.0001),AND(O636&lt;&gt;"",F636&lt;&gt;"",RIGHT($N636,6)="tarief"),SUM(O636)*FLOOR(SUM(Q636),0.01),S636&gt;0,IF(F636&lt;&gt;"",FLOOR(SUM(S636),0.01),"")),""),""),"")</f>
        <v/>
      </c>
      <c r="X636" s="314" t="str" cm="1">
        <f t="array" aca="1" ref="X636" ca="1">IFERROR(IF(AE636&lt;&gt;"ja",_xlfn.IFNA(_xlfn.IFS(AND(P636&lt;&gt;"",R636&lt;&gt;"",RIGHT($N636,6)="tarief",F636="Vergoeding"),SUM(P636)*FLOOR(SUM(R636),0.0001),AND(P636&lt;&gt;"",R636&lt;&gt;"",RIGHT($N636,6)="tarief"),P636*FLOOR(R636,0.01),T636&gt;0,FLOOR(SUM(T636),0.01)),""),""),"")</f>
        <v/>
      </c>
      <c r="Y636" s="314" t="str">
        <f t="shared" ca="1" si="38"/>
        <v/>
      </c>
      <c r="Z636" s="314" t="str" cm="1">
        <f t="array" aca="1" ref="Z636" ca="1">IFERROR(_xlfn.IFS(OR(F636="",LEFT(Methode_Keuze,4)="Geen",Methode_Keuze=""),"",AND(W636&lt;&gt;"",F636&lt;&gt;"Arbeidskosten"),W636*VLOOKUP(F636,Tb_ProjectKosten[],MATCH(Tb_ProjectKosten[[#Headers],[Forfait_Percentage]],Tb_ProjectKosten[#Headers],0),0),AND(F636="Arbeidskosten",G636&lt;&gt;""),IFERROR(W636*VLOOKUP(G636,Tb_KostenTypen[],3,0)*VLOOKUP(F636,Tb_ProjectKosten[],MATCH(Tb_ProjectKosten[[#Headers],[Forfait_Percentage]],Tb_ProjectKosten[#Headers],0),0),""),W636 &lt;=0,0),"")</f>
        <v/>
      </c>
      <c r="AA636" s="314" t="str" cm="1">
        <f t="array" aca="1" ref="AA636" ca="1">IFERROR(_xlfn.IFS(OR(F636="",LEFT(Methode_Keuze,4)="Geen",Methode_Keuze=""),"",AND(X636&lt;&gt;"",F636&lt;&gt;"Arbeidskosten"),X636*VLOOKUP(F636,Tb_ProjectKosten[],MATCH(Tb_ProjectKosten[[#Headers],[Forfait_Percentage]],Tb_ProjectKosten[#Headers],0),0),AND(F636="Arbeidskosten",G636&lt;&gt;""),IFERROR(X636*VLOOKUP(G636,Tb_KostenTypen[],3,0)*VLOOKUP(F636,Tb_ProjectKosten[],MATCH(Tb_ProjectKosten[[#Headers],[Forfait_Percentage]],Tb_ProjectKosten[#Headers],0),0),""),X636 &lt;=0,0),"")</f>
        <v/>
      </c>
      <c r="AB636" s="314" t="str">
        <f t="shared" ca="1" si="39"/>
        <v/>
      </c>
      <c r="AC636" s="322"/>
      <c r="AD636" s="315"/>
      <c r="AE636" s="32" t="str" cm="1">
        <f t="array" ref="AE636">IFERROR(IF(INDEX(SubsidieTabel!$AD$1:$AG$12,MATCH($F636,SubsidieTabel!$AD$1:$AD$12,0),IFERROR(MATCH(Methode_Keuze,SubsidieTabel!$AD$1:$AG$1,0),2))&lt;&gt;1=TRUE,"ja",""),"")</f>
        <v/>
      </c>
    </row>
    <row r="637" spans="1:31" x14ac:dyDescent="0.25">
      <c r="A637" s="316"/>
      <c r="B637" s="317" t="str">
        <f>IF(A637&lt;&gt;"",_xlfn.MAXIFS($B$1:B636,$A$1:A636,A637)+1,"")</f>
        <v/>
      </c>
      <c r="C637" s="296"/>
      <c r="D637" s="296"/>
      <c r="E637" s="296"/>
      <c r="F637" s="296"/>
      <c r="G637" s="326"/>
      <c r="H637" s="324"/>
      <c r="I637" s="325"/>
      <c r="J637" s="325"/>
      <c r="K637" s="318"/>
      <c r="L637" s="318"/>
      <c r="M637" s="319" t="str">
        <f>IFERROR(VLOOKUP(H637,Lijsten!$H$1:$I$100,2,0),"")</f>
        <v/>
      </c>
      <c r="N637" s="319" t="str">
        <f ca="1">IFERROR(IF(VLOOKUP(F637,Kostentypen!$A$3:$E$21,3,0)=0,"",IF(OR(F637="Arbeidskosten",F637="Vergoeding"),VLOOKUP(G637,Tb_KostenTypen[],2,0),VLOOKUP(F637,Kostentypen!$A$3:$E$20,3,0))),"")</f>
        <v/>
      </c>
      <c r="O637" s="320" t="str" cm="1">
        <f t="array" ref="O637">_xlfn.IFNA(IF(INDEX(Tb_KostenOptiesDB[],MATCH($F637,Tb_KostenOptiesDB[KostenOptie],0),IFERROR(MATCH(Methode_Keuze,Tb_KostenOptiesDB[#Headers],0),2))=1,_xlfn.SWITCH($N637,"Uurtarief",IF(OR(AND(RIGHT($F637,3)="IKS",VLOOKUP($M637,DB_Loonkosten,2,0)="Ja"),AND(RIGHT($F637,3)&lt;&gt;"IKS",VLOOKUP($M637,DB_Loonkosten,2,0)="Nee")),IFERROR(VLOOKUP($M637,DB_Loonkosten,24,0),""),0),"Vast tarief",IF(LEFT(F637,8)="Bijdrage",VLOOKUP($F637,Tb_KostenTypen[],MATCH(Lijsten!$P$1,Tb_KostenTypen[#Headers],0),0),VLOOKUP($G637,Lijsten!L:P,MATCH(Lijsten!$P$1,Kop_Tarief_Vast,0),0))),""),"")</f>
        <v/>
      </c>
      <c r="P637" s="320" t="str" cm="1">
        <f t="array" ref="P637">_xlfn.IFNA(IF(INDEX(Tb_KostenOptiesDB[],MATCH($F637,Tb_KostenOptiesDB[KostenOptie],0),IFERROR(MATCH(Methode_Keuze,Tb_KostenOptiesDB[#Headers],0),2))=1,_xlfn.SWITCH($N637,"Uurtarief",IF(OR(AND(RIGHT($F637,3)="IKS",VLOOKUP($M637,DB_Loonkosten,2,0)="Ja"),AND(RIGHT($F637,3)&lt;&gt;"IKS",VLOOKUP($M637,DB_Loonkosten,2,0)="Nee")),IFERROR(VLOOKUP($M637,DB_Loonkosten,25,0),""),0),"Vast tarief",IF(LEFT(F637,8)="Bijdrage",VLOOKUP($F637,Tb_KostenTypen[],MATCH(Lijsten!$P$1,Tb_KostenTypen[#Headers],0),0),VLOOKUP($G637,Lijsten!L:P,MATCH(Lijsten!$P$1,Kop_Tarief_Vast,0),0))),""),"")</f>
        <v/>
      </c>
      <c r="Q637" s="359"/>
      <c r="R637" s="359"/>
      <c r="S637" s="321"/>
      <c r="T637" s="321"/>
      <c r="U637" s="373" t="str">
        <f t="shared" si="36"/>
        <v/>
      </c>
      <c r="V637" s="314" t="str">
        <f t="shared" si="37"/>
        <v/>
      </c>
      <c r="W637" s="314" t="str" cm="1">
        <f t="array" aca="1" ref="W637" ca="1">IFERROR(IF(AE637&lt;&gt;"ja",_xlfn.IFNA(_xlfn.IFS(AND(O637&lt;&gt;"",F637&lt;&gt;"",RIGHT($N637,6)="tarief",F637="Vergoeding"),SUM(O637)*FLOOR(SUM(Q637),0.0001),AND(O637&lt;&gt;"",F637&lt;&gt;"",RIGHT($N637,6)="tarief"),SUM(O637)*FLOOR(SUM(Q637),0.01),S637&gt;0,IF(F637&lt;&gt;"",FLOOR(SUM(S637),0.01),"")),""),""),"")</f>
        <v/>
      </c>
      <c r="X637" s="314" t="str" cm="1">
        <f t="array" aca="1" ref="X637" ca="1">IFERROR(IF(AE637&lt;&gt;"ja",_xlfn.IFNA(_xlfn.IFS(AND(P637&lt;&gt;"",R637&lt;&gt;"",RIGHT($N637,6)="tarief",F637="Vergoeding"),SUM(P637)*FLOOR(SUM(R637),0.0001),AND(P637&lt;&gt;"",R637&lt;&gt;"",RIGHT($N637,6)="tarief"),P637*FLOOR(R637,0.01),T637&gt;0,FLOOR(SUM(T637),0.01)),""),""),"")</f>
        <v/>
      </c>
      <c r="Y637" s="314" t="str">
        <f t="shared" ca="1" si="38"/>
        <v/>
      </c>
      <c r="Z637" s="314" t="str" cm="1">
        <f t="array" aca="1" ref="Z637" ca="1">IFERROR(_xlfn.IFS(OR(F637="",LEFT(Methode_Keuze,4)="Geen",Methode_Keuze=""),"",AND(W637&lt;&gt;"",F637&lt;&gt;"Arbeidskosten"),W637*VLOOKUP(F637,Tb_ProjectKosten[],MATCH(Tb_ProjectKosten[[#Headers],[Forfait_Percentage]],Tb_ProjectKosten[#Headers],0),0),AND(F637="Arbeidskosten",G637&lt;&gt;""),IFERROR(W637*VLOOKUP(G637,Tb_KostenTypen[],3,0)*VLOOKUP(F637,Tb_ProjectKosten[],MATCH(Tb_ProjectKosten[[#Headers],[Forfait_Percentage]],Tb_ProjectKosten[#Headers],0),0),""),W637 &lt;=0,0),"")</f>
        <v/>
      </c>
      <c r="AA637" s="314" t="str" cm="1">
        <f t="array" aca="1" ref="AA637" ca="1">IFERROR(_xlfn.IFS(OR(F637="",LEFT(Methode_Keuze,4)="Geen",Methode_Keuze=""),"",AND(X637&lt;&gt;"",F637&lt;&gt;"Arbeidskosten"),X637*VLOOKUP(F637,Tb_ProjectKosten[],MATCH(Tb_ProjectKosten[[#Headers],[Forfait_Percentage]],Tb_ProjectKosten[#Headers],0),0),AND(F637="Arbeidskosten",G637&lt;&gt;""),IFERROR(X637*VLOOKUP(G637,Tb_KostenTypen[],3,0)*VLOOKUP(F637,Tb_ProjectKosten[],MATCH(Tb_ProjectKosten[[#Headers],[Forfait_Percentage]],Tb_ProjectKosten[#Headers],0),0),""),X637 &lt;=0,0),"")</f>
        <v/>
      </c>
      <c r="AB637" s="314" t="str">
        <f t="shared" ca="1" si="39"/>
        <v/>
      </c>
      <c r="AC637" s="322"/>
      <c r="AD637" s="315"/>
      <c r="AE637" s="32" t="str" cm="1">
        <f t="array" ref="AE637">IFERROR(IF(INDEX(SubsidieTabel!$AD$1:$AG$12,MATCH($F637,SubsidieTabel!$AD$1:$AD$12,0),IFERROR(MATCH(Methode_Keuze,SubsidieTabel!$AD$1:$AG$1,0),2))&lt;&gt;1=TRUE,"ja",""),"")</f>
        <v/>
      </c>
    </row>
    <row r="638" spans="1:31" x14ac:dyDescent="0.25">
      <c r="A638" s="316"/>
      <c r="B638" s="317" t="str">
        <f>IF(A638&lt;&gt;"",_xlfn.MAXIFS($B$1:B637,$A$1:A637,A638)+1,"")</f>
        <v/>
      </c>
      <c r="C638" s="296"/>
      <c r="D638" s="296"/>
      <c r="E638" s="296"/>
      <c r="F638" s="296"/>
      <c r="G638" s="326"/>
      <c r="H638" s="324"/>
      <c r="I638" s="325"/>
      <c r="J638" s="325"/>
      <c r="K638" s="318"/>
      <c r="L638" s="318"/>
      <c r="M638" s="319" t="str">
        <f>IFERROR(VLOOKUP(H638,Lijsten!$H$1:$I$100,2,0),"")</f>
        <v/>
      </c>
      <c r="N638" s="319" t="str">
        <f ca="1">IFERROR(IF(VLOOKUP(F638,Kostentypen!$A$3:$E$21,3,0)=0,"",IF(OR(F638="Arbeidskosten",F638="Vergoeding"),VLOOKUP(G638,Tb_KostenTypen[],2,0),VLOOKUP(F638,Kostentypen!$A$3:$E$20,3,0))),"")</f>
        <v/>
      </c>
      <c r="O638" s="320" t="str" cm="1">
        <f t="array" ref="O638">_xlfn.IFNA(IF(INDEX(Tb_KostenOptiesDB[],MATCH($F638,Tb_KostenOptiesDB[KostenOptie],0),IFERROR(MATCH(Methode_Keuze,Tb_KostenOptiesDB[#Headers],0),2))=1,_xlfn.SWITCH($N638,"Uurtarief",IF(OR(AND(RIGHT($F638,3)="IKS",VLOOKUP($M638,DB_Loonkosten,2,0)="Ja"),AND(RIGHT($F638,3)&lt;&gt;"IKS",VLOOKUP($M638,DB_Loonkosten,2,0)="Nee")),IFERROR(VLOOKUP($M638,DB_Loonkosten,24,0),""),0),"Vast tarief",IF(LEFT(F638,8)="Bijdrage",VLOOKUP($F638,Tb_KostenTypen[],MATCH(Lijsten!$P$1,Tb_KostenTypen[#Headers],0),0),VLOOKUP($G638,Lijsten!L:P,MATCH(Lijsten!$P$1,Kop_Tarief_Vast,0),0))),""),"")</f>
        <v/>
      </c>
      <c r="P638" s="320" t="str" cm="1">
        <f t="array" ref="P638">_xlfn.IFNA(IF(INDEX(Tb_KostenOptiesDB[],MATCH($F638,Tb_KostenOptiesDB[KostenOptie],0),IFERROR(MATCH(Methode_Keuze,Tb_KostenOptiesDB[#Headers],0),2))=1,_xlfn.SWITCH($N638,"Uurtarief",IF(OR(AND(RIGHT($F638,3)="IKS",VLOOKUP($M638,DB_Loonkosten,2,0)="Ja"),AND(RIGHT($F638,3)&lt;&gt;"IKS",VLOOKUP($M638,DB_Loonkosten,2,0)="Nee")),IFERROR(VLOOKUP($M638,DB_Loonkosten,25,0),""),0),"Vast tarief",IF(LEFT(F638,8)="Bijdrage",VLOOKUP($F638,Tb_KostenTypen[],MATCH(Lijsten!$P$1,Tb_KostenTypen[#Headers],0),0),VLOOKUP($G638,Lijsten!L:P,MATCH(Lijsten!$P$1,Kop_Tarief_Vast,0),0))),""),"")</f>
        <v/>
      </c>
      <c r="Q638" s="359"/>
      <c r="R638" s="359"/>
      <c r="S638" s="321"/>
      <c r="T638" s="321"/>
      <c r="U638" s="373" t="str">
        <f t="shared" si="36"/>
        <v/>
      </c>
      <c r="V638" s="314" t="str">
        <f t="shared" si="37"/>
        <v/>
      </c>
      <c r="W638" s="314" t="str" cm="1">
        <f t="array" aca="1" ref="W638" ca="1">IFERROR(IF(AE638&lt;&gt;"ja",_xlfn.IFNA(_xlfn.IFS(AND(O638&lt;&gt;"",F638&lt;&gt;"",RIGHT($N638,6)="tarief",F638="Vergoeding"),SUM(O638)*FLOOR(SUM(Q638),0.0001),AND(O638&lt;&gt;"",F638&lt;&gt;"",RIGHT($N638,6)="tarief"),SUM(O638)*FLOOR(SUM(Q638),0.01),S638&gt;0,IF(F638&lt;&gt;"",FLOOR(SUM(S638),0.01),"")),""),""),"")</f>
        <v/>
      </c>
      <c r="X638" s="314" t="str" cm="1">
        <f t="array" aca="1" ref="X638" ca="1">IFERROR(IF(AE638&lt;&gt;"ja",_xlfn.IFNA(_xlfn.IFS(AND(P638&lt;&gt;"",R638&lt;&gt;"",RIGHT($N638,6)="tarief",F638="Vergoeding"),SUM(P638)*FLOOR(SUM(R638),0.0001),AND(P638&lt;&gt;"",R638&lt;&gt;"",RIGHT($N638,6)="tarief"),P638*FLOOR(R638,0.01),T638&gt;0,FLOOR(SUM(T638),0.01)),""),""),"")</f>
        <v/>
      </c>
      <c r="Y638" s="314" t="str">
        <f t="shared" ca="1" si="38"/>
        <v/>
      </c>
      <c r="Z638" s="314" t="str" cm="1">
        <f t="array" aca="1" ref="Z638" ca="1">IFERROR(_xlfn.IFS(OR(F638="",LEFT(Methode_Keuze,4)="Geen",Methode_Keuze=""),"",AND(W638&lt;&gt;"",F638&lt;&gt;"Arbeidskosten"),W638*VLOOKUP(F638,Tb_ProjectKosten[],MATCH(Tb_ProjectKosten[[#Headers],[Forfait_Percentage]],Tb_ProjectKosten[#Headers],0),0),AND(F638="Arbeidskosten",G638&lt;&gt;""),IFERROR(W638*VLOOKUP(G638,Tb_KostenTypen[],3,0)*VLOOKUP(F638,Tb_ProjectKosten[],MATCH(Tb_ProjectKosten[[#Headers],[Forfait_Percentage]],Tb_ProjectKosten[#Headers],0),0),""),W638 &lt;=0,0),"")</f>
        <v/>
      </c>
      <c r="AA638" s="314" t="str" cm="1">
        <f t="array" aca="1" ref="AA638" ca="1">IFERROR(_xlfn.IFS(OR(F638="",LEFT(Methode_Keuze,4)="Geen",Methode_Keuze=""),"",AND(X638&lt;&gt;"",F638&lt;&gt;"Arbeidskosten"),X638*VLOOKUP(F638,Tb_ProjectKosten[],MATCH(Tb_ProjectKosten[[#Headers],[Forfait_Percentage]],Tb_ProjectKosten[#Headers],0),0),AND(F638="Arbeidskosten",G638&lt;&gt;""),IFERROR(X638*VLOOKUP(G638,Tb_KostenTypen[],3,0)*VLOOKUP(F638,Tb_ProjectKosten[],MATCH(Tb_ProjectKosten[[#Headers],[Forfait_Percentage]],Tb_ProjectKosten[#Headers],0),0),""),X638 &lt;=0,0),"")</f>
        <v/>
      </c>
      <c r="AB638" s="314" t="str">
        <f t="shared" ca="1" si="39"/>
        <v/>
      </c>
      <c r="AC638" s="322"/>
      <c r="AD638" s="315"/>
      <c r="AE638" s="32" t="str" cm="1">
        <f t="array" ref="AE638">IFERROR(IF(INDEX(SubsidieTabel!$AD$1:$AG$12,MATCH($F638,SubsidieTabel!$AD$1:$AD$12,0),IFERROR(MATCH(Methode_Keuze,SubsidieTabel!$AD$1:$AG$1,0),2))&lt;&gt;1=TRUE,"ja",""),"")</f>
        <v/>
      </c>
    </row>
    <row r="639" spans="1:31" x14ac:dyDescent="0.25">
      <c r="A639" s="316"/>
      <c r="B639" s="317" t="str">
        <f>IF(A639&lt;&gt;"",_xlfn.MAXIFS($B$1:B638,$A$1:A638,A639)+1,"")</f>
        <v/>
      </c>
      <c r="C639" s="296"/>
      <c r="D639" s="296"/>
      <c r="E639" s="296"/>
      <c r="F639" s="296"/>
      <c r="G639" s="326"/>
      <c r="H639" s="324"/>
      <c r="I639" s="325"/>
      <c r="J639" s="325"/>
      <c r="K639" s="318"/>
      <c r="L639" s="318"/>
      <c r="M639" s="319" t="str">
        <f>IFERROR(VLOOKUP(H639,Lijsten!$H$1:$I$100,2,0),"")</f>
        <v/>
      </c>
      <c r="N639" s="319" t="str">
        <f ca="1">IFERROR(IF(VLOOKUP(F639,Kostentypen!$A$3:$E$21,3,0)=0,"",IF(OR(F639="Arbeidskosten",F639="Vergoeding"),VLOOKUP(G639,Tb_KostenTypen[],2,0),VLOOKUP(F639,Kostentypen!$A$3:$E$20,3,0))),"")</f>
        <v/>
      </c>
      <c r="O639" s="320" t="str" cm="1">
        <f t="array" ref="O639">_xlfn.IFNA(IF(INDEX(Tb_KostenOptiesDB[],MATCH($F639,Tb_KostenOptiesDB[KostenOptie],0),IFERROR(MATCH(Methode_Keuze,Tb_KostenOptiesDB[#Headers],0),2))=1,_xlfn.SWITCH($N639,"Uurtarief",IF(OR(AND(RIGHT($F639,3)="IKS",VLOOKUP($M639,DB_Loonkosten,2,0)="Ja"),AND(RIGHT($F639,3)&lt;&gt;"IKS",VLOOKUP($M639,DB_Loonkosten,2,0)="Nee")),IFERROR(VLOOKUP($M639,DB_Loonkosten,24,0),""),0),"Vast tarief",IF(LEFT(F639,8)="Bijdrage",VLOOKUP($F639,Tb_KostenTypen[],MATCH(Lijsten!$P$1,Tb_KostenTypen[#Headers],0),0),VLOOKUP($G639,Lijsten!L:P,MATCH(Lijsten!$P$1,Kop_Tarief_Vast,0),0))),""),"")</f>
        <v/>
      </c>
      <c r="P639" s="320" t="str" cm="1">
        <f t="array" ref="P639">_xlfn.IFNA(IF(INDEX(Tb_KostenOptiesDB[],MATCH($F639,Tb_KostenOptiesDB[KostenOptie],0),IFERROR(MATCH(Methode_Keuze,Tb_KostenOptiesDB[#Headers],0),2))=1,_xlfn.SWITCH($N639,"Uurtarief",IF(OR(AND(RIGHT($F639,3)="IKS",VLOOKUP($M639,DB_Loonkosten,2,0)="Ja"),AND(RIGHT($F639,3)&lt;&gt;"IKS",VLOOKUP($M639,DB_Loonkosten,2,0)="Nee")),IFERROR(VLOOKUP($M639,DB_Loonkosten,25,0),""),0),"Vast tarief",IF(LEFT(F639,8)="Bijdrage",VLOOKUP($F639,Tb_KostenTypen[],MATCH(Lijsten!$P$1,Tb_KostenTypen[#Headers],0),0),VLOOKUP($G639,Lijsten!L:P,MATCH(Lijsten!$P$1,Kop_Tarief_Vast,0),0))),""),"")</f>
        <v/>
      </c>
      <c r="Q639" s="359"/>
      <c r="R639" s="359"/>
      <c r="S639" s="321"/>
      <c r="T639" s="321"/>
      <c r="U639" s="373" t="str">
        <f t="shared" si="36"/>
        <v/>
      </c>
      <c r="V639" s="314" t="str">
        <f t="shared" si="37"/>
        <v/>
      </c>
      <c r="W639" s="314" t="str" cm="1">
        <f t="array" aca="1" ref="W639" ca="1">IFERROR(IF(AE639&lt;&gt;"ja",_xlfn.IFNA(_xlfn.IFS(AND(O639&lt;&gt;"",F639&lt;&gt;"",RIGHT($N639,6)="tarief",F639="Vergoeding"),SUM(O639)*FLOOR(SUM(Q639),0.0001),AND(O639&lt;&gt;"",F639&lt;&gt;"",RIGHT($N639,6)="tarief"),SUM(O639)*FLOOR(SUM(Q639),0.01),S639&gt;0,IF(F639&lt;&gt;"",FLOOR(SUM(S639),0.01),"")),""),""),"")</f>
        <v/>
      </c>
      <c r="X639" s="314" t="str" cm="1">
        <f t="array" aca="1" ref="X639" ca="1">IFERROR(IF(AE639&lt;&gt;"ja",_xlfn.IFNA(_xlfn.IFS(AND(P639&lt;&gt;"",R639&lt;&gt;"",RIGHT($N639,6)="tarief",F639="Vergoeding"),SUM(P639)*FLOOR(SUM(R639),0.0001),AND(P639&lt;&gt;"",R639&lt;&gt;"",RIGHT($N639,6)="tarief"),P639*FLOOR(R639,0.01),T639&gt;0,FLOOR(SUM(T639),0.01)),""),""),"")</f>
        <v/>
      </c>
      <c r="Y639" s="314" t="str">
        <f t="shared" ca="1" si="38"/>
        <v/>
      </c>
      <c r="Z639" s="314" t="str" cm="1">
        <f t="array" aca="1" ref="Z639" ca="1">IFERROR(_xlfn.IFS(OR(F639="",LEFT(Methode_Keuze,4)="Geen",Methode_Keuze=""),"",AND(W639&lt;&gt;"",F639&lt;&gt;"Arbeidskosten"),W639*VLOOKUP(F639,Tb_ProjectKosten[],MATCH(Tb_ProjectKosten[[#Headers],[Forfait_Percentage]],Tb_ProjectKosten[#Headers],0),0),AND(F639="Arbeidskosten",G639&lt;&gt;""),IFERROR(W639*VLOOKUP(G639,Tb_KostenTypen[],3,0)*VLOOKUP(F639,Tb_ProjectKosten[],MATCH(Tb_ProjectKosten[[#Headers],[Forfait_Percentage]],Tb_ProjectKosten[#Headers],0),0),""),W639 &lt;=0,0),"")</f>
        <v/>
      </c>
      <c r="AA639" s="314" t="str" cm="1">
        <f t="array" aca="1" ref="AA639" ca="1">IFERROR(_xlfn.IFS(OR(F639="",LEFT(Methode_Keuze,4)="Geen",Methode_Keuze=""),"",AND(X639&lt;&gt;"",F639&lt;&gt;"Arbeidskosten"),X639*VLOOKUP(F639,Tb_ProjectKosten[],MATCH(Tb_ProjectKosten[[#Headers],[Forfait_Percentage]],Tb_ProjectKosten[#Headers],0),0),AND(F639="Arbeidskosten",G639&lt;&gt;""),IFERROR(X639*VLOOKUP(G639,Tb_KostenTypen[],3,0)*VLOOKUP(F639,Tb_ProjectKosten[],MATCH(Tb_ProjectKosten[[#Headers],[Forfait_Percentage]],Tb_ProjectKosten[#Headers],0),0),""),X639 &lt;=0,0),"")</f>
        <v/>
      </c>
      <c r="AB639" s="314" t="str">
        <f t="shared" ca="1" si="39"/>
        <v/>
      </c>
      <c r="AC639" s="322"/>
      <c r="AD639" s="315"/>
      <c r="AE639" s="32" t="str" cm="1">
        <f t="array" ref="AE639">IFERROR(IF(INDEX(SubsidieTabel!$AD$1:$AG$12,MATCH($F639,SubsidieTabel!$AD$1:$AD$12,0),IFERROR(MATCH(Methode_Keuze,SubsidieTabel!$AD$1:$AG$1,0),2))&lt;&gt;1=TRUE,"ja",""),"")</f>
        <v/>
      </c>
    </row>
    <row r="640" spans="1:31" x14ac:dyDescent="0.25">
      <c r="A640" s="316"/>
      <c r="B640" s="317" t="str">
        <f>IF(A640&lt;&gt;"",_xlfn.MAXIFS($B$1:B639,$A$1:A639,A640)+1,"")</f>
        <v/>
      </c>
      <c r="C640" s="296"/>
      <c r="D640" s="296"/>
      <c r="E640" s="296"/>
      <c r="F640" s="296"/>
      <c r="G640" s="326"/>
      <c r="H640" s="324"/>
      <c r="I640" s="325"/>
      <c r="J640" s="325"/>
      <c r="K640" s="318"/>
      <c r="L640" s="318"/>
      <c r="M640" s="319" t="str">
        <f>IFERROR(VLOOKUP(H640,Lijsten!$H$1:$I$100,2,0),"")</f>
        <v/>
      </c>
      <c r="N640" s="319" t="str">
        <f ca="1">IFERROR(IF(VLOOKUP(F640,Kostentypen!$A$3:$E$21,3,0)=0,"",IF(OR(F640="Arbeidskosten",F640="Vergoeding"),VLOOKUP(G640,Tb_KostenTypen[],2,0),VLOOKUP(F640,Kostentypen!$A$3:$E$20,3,0))),"")</f>
        <v/>
      </c>
      <c r="O640" s="320" t="str" cm="1">
        <f t="array" ref="O640">_xlfn.IFNA(IF(INDEX(Tb_KostenOptiesDB[],MATCH($F640,Tb_KostenOptiesDB[KostenOptie],0),IFERROR(MATCH(Methode_Keuze,Tb_KostenOptiesDB[#Headers],0),2))=1,_xlfn.SWITCH($N640,"Uurtarief",IF(OR(AND(RIGHT($F640,3)="IKS",VLOOKUP($M640,DB_Loonkosten,2,0)="Ja"),AND(RIGHT($F640,3)&lt;&gt;"IKS",VLOOKUP($M640,DB_Loonkosten,2,0)="Nee")),IFERROR(VLOOKUP($M640,DB_Loonkosten,24,0),""),0),"Vast tarief",IF(LEFT(F640,8)="Bijdrage",VLOOKUP($F640,Tb_KostenTypen[],MATCH(Lijsten!$P$1,Tb_KostenTypen[#Headers],0),0),VLOOKUP($G640,Lijsten!L:P,MATCH(Lijsten!$P$1,Kop_Tarief_Vast,0),0))),""),"")</f>
        <v/>
      </c>
      <c r="P640" s="320" t="str" cm="1">
        <f t="array" ref="P640">_xlfn.IFNA(IF(INDEX(Tb_KostenOptiesDB[],MATCH($F640,Tb_KostenOptiesDB[KostenOptie],0),IFERROR(MATCH(Methode_Keuze,Tb_KostenOptiesDB[#Headers],0),2))=1,_xlfn.SWITCH($N640,"Uurtarief",IF(OR(AND(RIGHT($F640,3)="IKS",VLOOKUP($M640,DB_Loonkosten,2,0)="Ja"),AND(RIGHT($F640,3)&lt;&gt;"IKS",VLOOKUP($M640,DB_Loonkosten,2,0)="Nee")),IFERROR(VLOOKUP($M640,DB_Loonkosten,25,0),""),0),"Vast tarief",IF(LEFT(F640,8)="Bijdrage",VLOOKUP($F640,Tb_KostenTypen[],MATCH(Lijsten!$P$1,Tb_KostenTypen[#Headers],0),0),VLOOKUP($G640,Lijsten!L:P,MATCH(Lijsten!$P$1,Kop_Tarief_Vast,0),0))),""),"")</f>
        <v/>
      </c>
      <c r="Q640" s="359"/>
      <c r="R640" s="359"/>
      <c r="S640" s="321"/>
      <c r="T640" s="321"/>
      <c r="U640" s="373" t="str">
        <f t="shared" si="36"/>
        <v/>
      </c>
      <c r="V640" s="314" t="str">
        <f t="shared" si="37"/>
        <v/>
      </c>
      <c r="W640" s="314" t="str" cm="1">
        <f t="array" aca="1" ref="W640" ca="1">IFERROR(IF(AE640&lt;&gt;"ja",_xlfn.IFNA(_xlfn.IFS(AND(O640&lt;&gt;"",F640&lt;&gt;"",RIGHT($N640,6)="tarief",F640="Vergoeding"),SUM(O640)*FLOOR(SUM(Q640),0.0001),AND(O640&lt;&gt;"",F640&lt;&gt;"",RIGHT($N640,6)="tarief"),SUM(O640)*FLOOR(SUM(Q640),0.01),S640&gt;0,IF(F640&lt;&gt;"",FLOOR(SUM(S640),0.01),"")),""),""),"")</f>
        <v/>
      </c>
      <c r="X640" s="314" t="str" cm="1">
        <f t="array" aca="1" ref="X640" ca="1">IFERROR(IF(AE640&lt;&gt;"ja",_xlfn.IFNA(_xlfn.IFS(AND(P640&lt;&gt;"",R640&lt;&gt;"",RIGHT($N640,6)="tarief",F640="Vergoeding"),SUM(P640)*FLOOR(SUM(R640),0.0001),AND(P640&lt;&gt;"",R640&lt;&gt;"",RIGHT($N640,6)="tarief"),P640*FLOOR(R640,0.01),T640&gt;0,FLOOR(SUM(T640),0.01)),""),""),"")</f>
        <v/>
      </c>
      <c r="Y640" s="314" t="str">
        <f t="shared" ca="1" si="38"/>
        <v/>
      </c>
      <c r="Z640" s="314" t="str" cm="1">
        <f t="array" aca="1" ref="Z640" ca="1">IFERROR(_xlfn.IFS(OR(F640="",LEFT(Methode_Keuze,4)="Geen",Methode_Keuze=""),"",AND(W640&lt;&gt;"",F640&lt;&gt;"Arbeidskosten"),W640*VLOOKUP(F640,Tb_ProjectKosten[],MATCH(Tb_ProjectKosten[[#Headers],[Forfait_Percentage]],Tb_ProjectKosten[#Headers],0),0),AND(F640="Arbeidskosten",G640&lt;&gt;""),IFERROR(W640*VLOOKUP(G640,Tb_KostenTypen[],3,0)*VLOOKUP(F640,Tb_ProjectKosten[],MATCH(Tb_ProjectKosten[[#Headers],[Forfait_Percentage]],Tb_ProjectKosten[#Headers],0),0),""),W640 &lt;=0,0),"")</f>
        <v/>
      </c>
      <c r="AA640" s="314" t="str" cm="1">
        <f t="array" aca="1" ref="AA640" ca="1">IFERROR(_xlfn.IFS(OR(F640="",LEFT(Methode_Keuze,4)="Geen",Methode_Keuze=""),"",AND(X640&lt;&gt;"",F640&lt;&gt;"Arbeidskosten"),X640*VLOOKUP(F640,Tb_ProjectKosten[],MATCH(Tb_ProjectKosten[[#Headers],[Forfait_Percentage]],Tb_ProjectKosten[#Headers],0),0),AND(F640="Arbeidskosten",G640&lt;&gt;""),IFERROR(X640*VLOOKUP(G640,Tb_KostenTypen[],3,0)*VLOOKUP(F640,Tb_ProjectKosten[],MATCH(Tb_ProjectKosten[[#Headers],[Forfait_Percentage]],Tb_ProjectKosten[#Headers],0),0),""),X640 &lt;=0,0),"")</f>
        <v/>
      </c>
      <c r="AB640" s="314" t="str">
        <f t="shared" ca="1" si="39"/>
        <v/>
      </c>
      <c r="AC640" s="322"/>
      <c r="AD640" s="315"/>
      <c r="AE640" s="32" t="str" cm="1">
        <f t="array" ref="AE640">IFERROR(IF(INDEX(SubsidieTabel!$AD$1:$AG$12,MATCH($F640,SubsidieTabel!$AD$1:$AD$12,0),IFERROR(MATCH(Methode_Keuze,SubsidieTabel!$AD$1:$AG$1,0),2))&lt;&gt;1=TRUE,"ja",""),"")</f>
        <v/>
      </c>
    </row>
    <row r="641" spans="1:31" x14ac:dyDescent="0.25">
      <c r="A641" s="316"/>
      <c r="B641" s="317" t="str">
        <f>IF(A641&lt;&gt;"",_xlfn.MAXIFS($B$1:B640,$A$1:A640,A641)+1,"")</f>
        <v/>
      </c>
      <c r="C641" s="296"/>
      <c r="D641" s="296"/>
      <c r="E641" s="296"/>
      <c r="F641" s="296"/>
      <c r="G641" s="326"/>
      <c r="H641" s="324"/>
      <c r="I641" s="325"/>
      <c r="J641" s="325"/>
      <c r="K641" s="318"/>
      <c r="L641" s="318"/>
      <c r="M641" s="319" t="str">
        <f>IFERROR(VLOOKUP(H641,Lijsten!$H$1:$I$100,2,0),"")</f>
        <v/>
      </c>
      <c r="N641" s="319" t="str">
        <f ca="1">IFERROR(IF(VLOOKUP(F641,Kostentypen!$A$3:$E$21,3,0)=0,"",IF(OR(F641="Arbeidskosten",F641="Vergoeding"),VLOOKUP(G641,Tb_KostenTypen[],2,0),VLOOKUP(F641,Kostentypen!$A$3:$E$20,3,0))),"")</f>
        <v/>
      </c>
      <c r="O641" s="320" t="str" cm="1">
        <f t="array" ref="O641">_xlfn.IFNA(IF(INDEX(Tb_KostenOptiesDB[],MATCH($F641,Tb_KostenOptiesDB[KostenOptie],0),IFERROR(MATCH(Methode_Keuze,Tb_KostenOptiesDB[#Headers],0),2))=1,_xlfn.SWITCH($N641,"Uurtarief",IF(OR(AND(RIGHT($F641,3)="IKS",VLOOKUP($M641,DB_Loonkosten,2,0)="Ja"),AND(RIGHT($F641,3)&lt;&gt;"IKS",VLOOKUP($M641,DB_Loonkosten,2,0)="Nee")),IFERROR(VLOOKUP($M641,DB_Loonkosten,24,0),""),0),"Vast tarief",IF(LEFT(F641,8)="Bijdrage",VLOOKUP($F641,Tb_KostenTypen[],MATCH(Lijsten!$P$1,Tb_KostenTypen[#Headers],0),0),VLOOKUP($G641,Lijsten!L:P,MATCH(Lijsten!$P$1,Kop_Tarief_Vast,0),0))),""),"")</f>
        <v/>
      </c>
      <c r="P641" s="320" t="str" cm="1">
        <f t="array" ref="P641">_xlfn.IFNA(IF(INDEX(Tb_KostenOptiesDB[],MATCH($F641,Tb_KostenOptiesDB[KostenOptie],0),IFERROR(MATCH(Methode_Keuze,Tb_KostenOptiesDB[#Headers],0),2))=1,_xlfn.SWITCH($N641,"Uurtarief",IF(OR(AND(RIGHT($F641,3)="IKS",VLOOKUP($M641,DB_Loonkosten,2,0)="Ja"),AND(RIGHT($F641,3)&lt;&gt;"IKS",VLOOKUP($M641,DB_Loonkosten,2,0)="Nee")),IFERROR(VLOOKUP($M641,DB_Loonkosten,25,0),""),0),"Vast tarief",IF(LEFT(F641,8)="Bijdrage",VLOOKUP($F641,Tb_KostenTypen[],MATCH(Lijsten!$P$1,Tb_KostenTypen[#Headers],0),0),VLOOKUP($G641,Lijsten!L:P,MATCH(Lijsten!$P$1,Kop_Tarief_Vast,0),0))),""),"")</f>
        <v/>
      </c>
      <c r="Q641" s="359"/>
      <c r="R641" s="359"/>
      <c r="S641" s="321"/>
      <c r="T641" s="321"/>
      <c r="U641" s="373" t="str">
        <f t="shared" si="36"/>
        <v/>
      </c>
      <c r="V641" s="314" t="str">
        <f t="shared" si="37"/>
        <v/>
      </c>
      <c r="W641" s="314" t="str" cm="1">
        <f t="array" aca="1" ref="W641" ca="1">IFERROR(IF(AE641&lt;&gt;"ja",_xlfn.IFNA(_xlfn.IFS(AND(O641&lt;&gt;"",F641&lt;&gt;"",RIGHT($N641,6)="tarief",F641="Vergoeding"),SUM(O641)*FLOOR(SUM(Q641),0.0001),AND(O641&lt;&gt;"",F641&lt;&gt;"",RIGHT($N641,6)="tarief"),SUM(O641)*FLOOR(SUM(Q641),0.01),S641&gt;0,IF(F641&lt;&gt;"",FLOOR(SUM(S641),0.01),"")),""),""),"")</f>
        <v/>
      </c>
      <c r="X641" s="314" t="str" cm="1">
        <f t="array" aca="1" ref="X641" ca="1">IFERROR(IF(AE641&lt;&gt;"ja",_xlfn.IFNA(_xlfn.IFS(AND(P641&lt;&gt;"",R641&lt;&gt;"",RIGHT($N641,6)="tarief",F641="Vergoeding"),SUM(P641)*FLOOR(SUM(R641),0.0001),AND(P641&lt;&gt;"",R641&lt;&gt;"",RIGHT($N641,6)="tarief"),P641*FLOOR(R641,0.01),T641&gt;0,FLOOR(SUM(T641),0.01)),""),""),"")</f>
        <v/>
      </c>
      <c r="Y641" s="314" t="str">
        <f t="shared" ca="1" si="38"/>
        <v/>
      </c>
      <c r="Z641" s="314" t="str" cm="1">
        <f t="array" aca="1" ref="Z641" ca="1">IFERROR(_xlfn.IFS(OR(F641="",LEFT(Methode_Keuze,4)="Geen",Methode_Keuze=""),"",AND(W641&lt;&gt;"",F641&lt;&gt;"Arbeidskosten"),W641*VLOOKUP(F641,Tb_ProjectKosten[],MATCH(Tb_ProjectKosten[[#Headers],[Forfait_Percentage]],Tb_ProjectKosten[#Headers],0),0),AND(F641="Arbeidskosten",G641&lt;&gt;""),IFERROR(W641*VLOOKUP(G641,Tb_KostenTypen[],3,0)*VLOOKUP(F641,Tb_ProjectKosten[],MATCH(Tb_ProjectKosten[[#Headers],[Forfait_Percentage]],Tb_ProjectKosten[#Headers],0),0),""),W641 &lt;=0,0),"")</f>
        <v/>
      </c>
      <c r="AA641" s="314" t="str" cm="1">
        <f t="array" aca="1" ref="AA641" ca="1">IFERROR(_xlfn.IFS(OR(F641="",LEFT(Methode_Keuze,4)="Geen",Methode_Keuze=""),"",AND(X641&lt;&gt;"",F641&lt;&gt;"Arbeidskosten"),X641*VLOOKUP(F641,Tb_ProjectKosten[],MATCH(Tb_ProjectKosten[[#Headers],[Forfait_Percentage]],Tb_ProjectKosten[#Headers],0),0),AND(F641="Arbeidskosten",G641&lt;&gt;""),IFERROR(X641*VLOOKUP(G641,Tb_KostenTypen[],3,0)*VLOOKUP(F641,Tb_ProjectKosten[],MATCH(Tb_ProjectKosten[[#Headers],[Forfait_Percentage]],Tb_ProjectKosten[#Headers],0),0),""),X641 &lt;=0,0),"")</f>
        <v/>
      </c>
      <c r="AB641" s="314" t="str">
        <f t="shared" ca="1" si="39"/>
        <v/>
      </c>
      <c r="AC641" s="322"/>
      <c r="AD641" s="315"/>
      <c r="AE641" s="32" t="str" cm="1">
        <f t="array" ref="AE641">IFERROR(IF(INDEX(SubsidieTabel!$AD$1:$AG$12,MATCH($F641,SubsidieTabel!$AD$1:$AD$12,0),IFERROR(MATCH(Methode_Keuze,SubsidieTabel!$AD$1:$AG$1,0),2))&lt;&gt;1=TRUE,"ja",""),"")</f>
        <v/>
      </c>
    </row>
    <row r="642" spans="1:31" x14ac:dyDescent="0.25">
      <c r="A642" s="316"/>
      <c r="B642" s="317" t="str">
        <f>IF(A642&lt;&gt;"",_xlfn.MAXIFS($B$1:B641,$A$1:A641,A642)+1,"")</f>
        <v/>
      </c>
      <c r="C642" s="296"/>
      <c r="D642" s="296"/>
      <c r="E642" s="296"/>
      <c r="F642" s="296"/>
      <c r="G642" s="326"/>
      <c r="H642" s="324"/>
      <c r="I642" s="325"/>
      <c r="J642" s="325"/>
      <c r="K642" s="318"/>
      <c r="L642" s="318"/>
      <c r="M642" s="319" t="str">
        <f>IFERROR(VLOOKUP(H642,Lijsten!$H$1:$I$100,2,0),"")</f>
        <v/>
      </c>
      <c r="N642" s="319" t="str">
        <f ca="1">IFERROR(IF(VLOOKUP(F642,Kostentypen!$A$3:$E$21,3,0)=0,"",IF(OR(F642="Arbeidskosten",F642="Vergoeding"),VLOOKUP(G642,Tb_KostenTypen[],2,0),VLOOKUP(F642,Kostentypen!$A$3:$E$20,3,0))),"")</f>
        <v/>
      </c>
      <c r="O642" s="320" t="str" cm="1">
        <f t="array" ref="O642">_xlfn.IFNA(IF(INDEX(Tb_KostenOptiesDB[],MATCH($F642,Tb_KostenOptiesDB[KostenOptie],0),IFERROR(MATCH(Methode_Keuze,Tb_KostenOptiesDB[#Headers],0),2))=1,_xlfn.SWITCH($N642,"Uurtarief",IF(OR(AND(RIGHT($F642,3)="IKS",VLOOKUP($M642,DB_Loonkosten,2,0)="Ja"),AND(RIGHT($F642,3)&lt;&gt;"IKS",VLOOKUP($M642,DB_Loonkosten,2,0)="Nee")),IFERROR(VLOOKUP($M642,DB_Loonkosten,24,0),""),0),"Vast tarief",IF(LEFT(F642,8)="Bijdrage",VLOOKUP($F642,Tb_KostenTypen[],MATCH(Lijsten!$P$1,Tb_KostenTypen[#Headers],0),0),VLOOKUP($G642,Lijsten!L:P,MATCH(Lijsten!$P$1,Kop_Tarief_Vast,0),0))),""),"")</f>
        <v/>
      </c>
      <c r="P642" s="320" t="str" cm="1">
        <f t="array" ref="P642">_xlfn.IFNA(IF(INDEX(Tb_KostenOptiesDB[],MATCH($F642,Tb_KostenOptiesDB[KostenOptie],0),IFERROR(MATCH(Methode_Keuze,Tb_KostenOptiesDB[#Headers],0),2))=1,_xlfn.SWITCH($N642,"Uurtarief",IF(OR(AND(RIGHT($F642,3)="IKS",VLOOKUP($M642,DB_Loonkosten,2,0)="Ja"),AND(RIGHT($F642,3)&lt;&gt;"IKS",VLOOKUP($M642,DB_Loonkosten,2,0)="Nee")),IFERROR(VLOOKUP($M642,DB_Loonkosten,25,0),""),0),"Vast tarief",IF(LEFT(F642,8)="Bijdrage",VLOOKUP($F642,Tb_KostenTypen[],MATCH(Lijsten!$P$1,Tb_KostenTypen[#Headers],0),0),VLOOKUP($G642,Lijsten!L:P,MATCH(Lijsten!$P$1,Kop_Tarief_Vast,0),0))),""),"")</f>
        <v/>
      </c>
      <c r="Q642" s="359"/>
      <c r="R642" s="359"/>
      <c r="S642" s="321"/>
      <c r="T642" s="321"/>
      <c r="U642" s="373" t="str">
        <f t="shared" si="36"/>
        <v/>
      </c>
      <c r="V642" s="314" t="str">
        <f t="shared" si="37"/>
        <v/>
      </c>
      <c r="W642" s="314" t="str" cm="1">
        <f t="array" aca="1" ref="W642" ca="1">IFERROR(IF(AE642&lt;&gt;"ja",_xlfn.IFNA(_xlfn.IFS(AND(O642&lt;&gt;"",F642&lt;&gt;"",RIGHT($N642,6)="tarief",F642="Vergoeding"),SUM(O642)*FLOOR(SUM(Q642),0.0001),AND(O642&lt;&gt;"",F642&lt;&gt;"",RIGHT($N642,6)="tarief"),SUM(O642)*FLOOR(SUM(Q642),0.01),S642&gt;0,IF(F642&lt;&gt;"",FLOOR(SUM(S642),0.01),"")),""),""),"")</f>
        <v/>
      </c>
      <c r="X642" s="314" t="str" cm="1">
        <f t="array" aca="1" ref="X642" ca="1">IFERROR(IF(AE642&lt;&gt;"ja",_xlfn.IFNA(_xlfn.IFS(AND(P642&lt;&gt;"",R642&lt;&gt;"",RIGHT($N642,6)="tarief",F642="Vergoeding"),SUM(P642)*FLOOR(SUM(R642),0.0001),AND(P642&lt;&gt;"",R642&lt;&gt;"",RIGHT($N642,6)="tarief"),P642*FLOOR(R642,0.01),T642&gt;0,FLOOR(SUM(T642),0.01)),""),""),"")</f>
        <v/>
      </c>
      <c r="Y642" s="314" t="str">
        <f t="shared" ca="1" si="38"/>
        <v/>
      </c>
      <c r="Z642" s="314" t="str" cm="1">
        <f t="array" aca="1" ref="Z642" ca="1">IFERROR(_xlfn.IFS(OR(F642="",LEFT(Methode_Keuze,4)="Geen",Methode_Keuze=""),"",AND(W642&lt;&gt;"",F642&lt;&gt;"Arbeidskosten"),W642*VLOOKUP(F642,Tb_ProjectKosten[],MATCH(Tb_ProjectKosten[[#Headers],[Forfait_Percentage]],Tb_ProjectKosten[#Headers],0),0),AND(F642="Arbeidskosten",G642&lt;&gt;""),IFERROR(W642*VLOOKUP(G642,Tb_KostenTypen[],3,0)*VLOOKUP(F642,Tb_ProjectKosten[],MATCH(Tb_ProjectKosten[[#Headers],[Forfait_Percentage]],Tb_ProjectKosten[#Headers],0),0),""),W642 &lt;=0,0),"")</f>
        <v/>
      </c>
      <c r="AA642" s="314" t="str" cm="1">
        <f t="array" aca="1" ref="AA642" ca="1">IFERROR(_xlfn.IFS(OR(F642="",LEFT(Methode_Keuze,4)="Geen",Methode_Keuze=""),"",AND(X642&lt;&gt;"",F642&lt;&gt;"Arbeidskosten"),X642*VLOOKUP(F642,Tb_ProjectKosten[],MATCH(Tb_ProjectKosten[[#Headers],[Forfait_Percentage]],Tb_ProjectKosten[#Headers],0),0),AND(F642="Arbeidskosten",G642&lt;&gt;""),IFERROR(X642*VLOOKUP(G642,Tb_KostenTypen[],3,0)*VLOOKUP(F642,Tb_ProjectKosten[],MATCH(Tb_ProjectKosten[[#Headers],[Forfait_Percentage]],Tb_ProjectKosten[#Headers],0),0),""),X642 &lt;=0,0),"")</f>
        <v/>
      </c>
      <c r="AB642" s="314" t="str">
        <f t="shared" ca="1" si="39"/>
        <v/>
      </c>
      <c r="AC642" s="322"/>
      <c r="AD642" s="315"/>
      <c r="AE642" s="32" t="str" cm="1">
        <f t="array" ref="AE642">IFERROR(IF(INDEX(SubsidieTabel!$AD$1:$AG$12,MATCH($F642,SubsidieTabel!$AD$1:$AD$12,0),IFERROR(MATCH(Methode_Keuze,SubsidieTabel!$AD$1:$AG$1,0),2))&lt;&gt;1=TRUE,"ja",""),"")</f>
        <v/>
      </c>
    </row>
    <row r="643" spans="1:31" x14ac:dyDescent="0.25">
      <c r="A643" s="316"/>
      <c r="B643" s="317" t="str">
        <f>IF(A643&lt;&gt;"",_xlfn.MAXIFS($B$1:B642,$A$1:A642,A643)+1,"")</f>
        <v/>
      </c>
      <c r="C643" s="296"/>
      <c r="D643" s="296"/>
      <c r="E643" s="296"/>
      <c r="F643" s="296"/>
      <c r="G643" s="326"/>
      <c r="H643" s="324"/>
      <c r="I643" s="325"/>
      <c r="J643" s="325"/>
      <c r="K643" s="318"/>
      <c r="L643" s="318"/>
      <c r="M643" s="319" t="str">
        <f>IFERROR(VLOOKUP(H643,Lijsten!$H$1:$I$100,2,0),"")</f>
        <v/>
      </c>
      <c r="N643" s="319" t="str">
        <f ca="1">IFERROR(IF(VLOOKUP(F643,Kostentypen!$A$3:$E$21,3,0)=0,"",IF(OR(F643="Arbeidskosten",F643="Vergoeding"),VLOOKUP(G643,Tb_KostenTypen[],2,0),VLOOKUP(F643,Kostentypen!$A$3:$E$20,3,0))),"")</f>
        <v/>
      </c>
      <c r="O643" s="320" t="str" cm="1">
        <f t="array" ref="O643">_xlfn.IFNA(IF(INDEX(Tb_KostenOptiesDB[],MATCH($F643,Tb_KostenOptiesDB[KostenOptie],0),IFERROR(MATCH(Methode_Keuze,Tb_KostenOptiesDB[#Headers],0),2))=1,_xlfn.SWITCH($N643,"Uurtarief",IF(OR(AND(RIGHT($F643,3)="IKS",VLOOKUP($M643,DB_Loonkosten,2,0)="Ja"),AND(RIGHT($F643,3)&lt;&gt;"IKS",VLOOKUP($M643,DB_Loonkosten,2,0)="Nee")),IFERROR(VLOOKUP($M643,DB_Loonkosten,24,0),""),0),"Vast tarief",IF(LEFT(F643,8)="Bijdrage",VLOOKUP($F643,Tb_KostenTypen[],MATCH(Lijsten!$P$1,Tb_KostenTypen[#Headers],0),0),VLOOKUP($G643,Lijsten!L:P,MATCH(Lijsten!$P$1,Kop_Tarief_Vast,0),0))),""),"")</f>
        <v/>
      </c>
      <c r="P643" s="320" t="str" cm="1">
        <f t="array" ref="P643">_xlfn.IFNA(IF(INDEX(Tb_KostenOptiesDB[],MATCH($F643,Tb_KostenOptiesDB[KostenOptie],0),IFERROR(MATCH(Methode_Keuze,Tb_KostenOptiesDB[#Headers],0),2))=1,_xlfn.SWITCH($N643,"Uurtarief",IF(OR(AND(RIGHT($F643,3)="IKS",VLOOKUP($M643,DB_Loonkosten,2,0)="Ja"),AND(RIGHT($F643,3)&lt;&gt;"IKS",VLOOKUP($M643,DB_Loonkosten,2,0)="Nee")),IFERROR(VLOOKUP($M643,DB_Loonkosten,25,0),""),0),"Vast tarief",IF(LEFT(F643,8)="Bijdrage",VLOOKUP($F643,Tb_KostenTypen[],MATCH(Lijsten!$P$1,Tb_KostenTypen[#Headers],0),0),VLOOKUP($G643,Lijsten!L:P,MATCH(Lijsten!$P$1,Kop_Tarief_Vast,0),0))),""),"")</f>
        <v/>
      </c>
      <c r="Q643" s="359"/>
      <c r="R643" s="359"/>
      <c r="S643" s="321"/>
      <c r="T643" s="321"/>
      <c r="U643" s="373" t="str">
        <f t="shared" ref="U643:U706" si="40">IFERROR(IF(AND(R643&lt;&gt;"",R643&lt;&gt;Q643),-1*(R643-Q643),""),"")</f>
        <v/>
      </c>
      <c r="V643" s="314" t="str">
        <f t="shared" ref="V643:V706" si="41">IFERROR(IF(AND(T643&lt;&gt;"",T643&lt;&gt;S643),-1*(T643-S643),""),"")</f>
        <v/>
      </c>
      <c r="W643" s="314" t="str" cm="1">
        <f t="array" aca="1" ref="W643" ca="1">IFERROR(IF(AE643&lt;&gt;"ja",_xlfn.IFNA(_xlfn.IFS(AND(O643&lt;&gt;"",F643&lt;&gt;"",RIGHT($N643,6)="tarief",F643="Vergoeding"),SUM(O643)*FLOOR(SUM(Q643),0.0001),AND(O643&lt;&gt;"",F643&lt;&gt;"",RIGHT($N643,6)="tarief"),SUM(O643)*FLOOR(SUM(Q643),0.01),S643&gt;0,IF(F643&lt;&gt;"",FLOOR(SUM(S643),0.01),"")),""),""),"")</f>
        <v/>
      </c>
      <c r="X643" s="314" t="str" cm="1">
        <f t="array" aca="1" ref="X643" ca="1">IFERROR(IF(AE643&lt;&gt;"ja",_xlfn.IFNA(_xlfn.IFS(AND(P643&lt;&gt;"",R643&lt;&gt;"",RIGHT($N643,6)="tarief",F643="Vergoeding"),SUM(P643)*FLOOR(SUM(R643),0.0001),AND(P643&lt;&gt;"",R643&lt;&gt;"",RIGHT($N643,6)="tarief"),P643*FLOOR(R643,0.01),T643&gt;0,FLOOR(SUM(T643),0.01)),""),""),"")</f>
        <v/>
      </c>
      <c r="Y643" s="314" t="str">
        <f t="shared" ref="Y643:Y706" ca="1" si="42">IFERROR(IF(AND(X643&lt;&gt;"",X643&lt;&gt;W643),-1*(X643-W643),""),"")</f>
        <v/>
      </c>
      <c r="Z643" s="314" t="str" cm="1">
        <f t="array" aca="1" ref="Z643" ca="1">IFERROR(_xlfn.IFS(OR(F643="",LEFT(Methode_Keuze,4)="Geen",Methode_Keuze=""),"",AND(W643&lt;&gt;"",F643&lt;&gt;"Arbeidskosten"),W643*VLOOKUP(F643,Tb_ProjectKosten[],MATCH(Tb_ProjectKosten[[#Headers],[Forfait_Percentage]],Tb_ProjectKosten[#Headers],0),0),AND(F643="Arbeidskosten",G643&lt;&gt;""),IFERROR(W643*VLOOKUP(G643,Tb_KostenTypen[],3,0)*VLOOKUP(F643,Tb_ProjectKosten[],MATCH(Tb_ProjectKosten[[#Headers],[Forfait_Percentage]],Tb_ProjectKosten[#Headers],0),0),""),W643 &lt;=0,0),"")</f>
        <v/>
      </c>
      <c r="AA643" s="314" t="str" cm="1">
        <f t="array" aca="1" ref="AA643" ca="1">IFERROR(_xlfn.IFS(OR(F643="",LEFT(Methode_Keuze,4)="Geen",Methode_Keuze=""),"",AND(X643&lt;&gt;"",F643&lt;&gt;"Arbeidskosten"),X643*VLOOKUP(F643,Tb_ProjectKosten[],MATCH(Tb_ProjectKosten[[#Headers],[Forfait_Percentage]],Tb_ProjectKosten[#Headers],0),0),AND(F643="Arbeidskosten",G643&lt;&gt;""),IFERROR(X643*VLOOKUP(G643,Tb_KostenTypen[],3,0)*VLOOKUP(F643,Tb_ProjectKosten[],MATCH(Tb_ProjectKosten[[#Headers],[Forfait_Percentage]],Tb_ProjectKosten[#Headers],0),0),""),X643 &lt;=0,0),"")</f>
        <v/>
      </c>
      <c r="AB643" s="314" t="str">
        <f t="shared" ref="AB643:AB706" ca="1" si="43">IFERROR(IF(AND(AA643&lt;&gt;"",AA643&lt;&gt;Z643),-1*(AA643-Z643),""),"")</f>
        <v/>
      </c>
      <c r="AC643" s="322"/>
      <c r="AD643" s="315"/>
      <c r="AE643" s="32" t="str" cm="1">
        <f t="array" ref="AE643">IFERROR(IF(INDEX(SubsidieTabel!$AD$1:$AG$12,MATCH($F643,SubsidieTabel!$AD$1:$AD$12,0),IFERROR(MATCH(Methode_Keuze,SubsidieTabel!$AD$1:$AG$1,0),2))&lt;&gt;1=TRUE,"ja",""),"")</f>
        <v/>
      </c>
    </row>
    <row r="644" spans="1:31" x14ac:dyDescent="0.25">
      <c r="A644" s="316"/>
      <c r="B644" s="317" t="str">
        <f>IF(A644&lt;&gt;"",_xlfn.MAXIFS($B$1:B643,$A$1:A643,A644)+1,"")</f>
        <v/>
      </c>
      <c r="C644" s="296"/>
      <c r="D644" s="296"/>
      <c r="E644" s="296"/>
      <c r="F644" s="296"/>
      <c r="G644" s="326"/>
      <c r="H644" s="324"/>
      <c r="I644" s="325"/>
      <c r="J644" s="325"/>
      <c r="K644" s="318"/>
      <c r="L644" s="318"/>
      <c r="M644" s="319" t="str">
        <f>IFERROR(VLOOKUP(H644,Lijsten!$H$1:$I$100,2,0),"")</f>
        <v/>
      </c>
      <c r="N644" s="319" t="str">
        <f ca="1">IFERROR(IF(VLOOKUP(F644,Kostentypen!$A$3:$E$21,3,0)=0,"",IF(OR(F644="Arbeidskosten",F644="Vergoeding"),VLOOKUP(G644,Tb_KostenTypen[],2,0),VLOOKUP(F644,Kostentypen!$A$3:$E$20,3,0))),"")</f>
        <v/>
      </c>
      <c r="O644" s="320" t="str" cm="1">
        <f t="array" ref="O644">_xlfn.IFNA(IF(INDEX(Tb_KostenOptiesDB[],MATCH($F644,Tb_KostenOptiesDB[KostenOptie],0),IFERROR(MATCH(Methode_Keuze,Tb_KostenOptiesDB[#Headers],0),2))=1,_xlfn.SWITCH($N644,"Uurtarief",IF(OR(AND(RIGHT($F644,3)="IKS",VLOOKUP($M644,DB_Loonkosten,2,0)="Ja"),AND(RIGHT($F644,3)&lt;&gt;"IKS",VLOOKUP($M644,DB_Loonkosten,2,0)="Nee")),IFERROR(VLOOKUP($M644,DB_Loonkosten,24,0),""),0),"Vast tarief",IF(LEFT(F644,8)="Bijdrage",VLOOKUP($F644,Tb_KostenTypen[],MATCH(Lijsten!$P$1,Tb_KostenTypen[#Headers],0),0),VLOOKUP($G644,Lijsten!L:P,MATCH(Lijsten!$P$1,Kop_Tarief_Vast,0),0))),""),"")</f>
        <v/>
      </c>
      <c r="P644" s="320" t="str" cm="1">
        <f t="array" ref="P644">_xlfn.IFNA(IF(INDEX(Tb_KostenOptiesDB[],MATCH($F644,Tb_KostenOptiesDB[KostenOptie],0),IFERROR(MATCH(Methode_Keuze,Tb_KostenOptiesDB[#Headers],0),2))=1,_xlfn.SWITCH($N644,"Uurtarief",IF(OR(AND(RIGHT($F644,3)="IKS",VLOOKUP($M644,DB_Loonkosten,2,0)="Ja"),AND(RIGHT($F644,3)&lt;&gt;"IKS",VLOOKUP($M644,DB_Loonkosten,2,0)="Nee")),IFERROR(VLOOKUP($M644,DB_Loonkosten,25,0),""),0),"Vast tarief",IF(LEFT(F644,8)="Bijdrage",VLOOKUP($F644,Tb_KostenTypen[],MATCH(Lijsten!$P$1,Tb_KostenTypen[#Headers],0),0),VLOOKUP($G644,Lijsten!L:P,MATCH(Lijsten!$P$1,Kop_Tarief_Vast,0),0))),""),"")</f>
        <v/>
      </c>
      <c r="Q644" s="359"/>
      <c r="R644" s="359"/>
      <c r="S644" s="321"/>
      <c r="T644" s="321"/>
      <c r="U644" s="373" t="str">
        <f t="shared" si="40"/>
        <v/>
      </c>
      <c r="V644" s="314" t="str">
        <f t="shared" si="41"/>
        <v/>
      </c>
      <c r="W644" s="314" t="str" cm="1">
        <f t="array" aca="1" ref="W644" ca="1">IFERROR(IF(AE644&lt;&gt;"ja",_xlfn.IFNA(_xlfn.IFS(AND(O644&lt;&gt;"",F644&lt;&gt;"",RIGHT($N644,6)="tarief",F644="Vergoeding"),SUM(O644)*FLOOR(SUM(Q644),0.0001),AND(O644&lt;&gt;"",F644&lt;&gt;"",RIGHT($N644,6)="tarief"),SUM(O644)*FLOOR(SUM(Q644),0.01),S644&gt;0,IF(F644&lt;&gt;"",FLOOR(SUM(S644),0.01),"")),""),""),"")</f>
        <v/>
      </c>
      <c r="X644" s="314" t="str" cm="1">
        <f t="array" aca="1" ref="X644" ca="1">IFERROR(IF(AE644&lt;&gt;"ja",_xlfn.IFNA(_xlfn.IFS(AND(P644&lt;&gt;"",R644&lt;&gt;"",RIGHT($N644,6)="tarief",F644="Vergoeding"),SUM(P644)*FLOOR(SUM(R644),0.0001),AND(P644&lt;&gt;"",R644&lt;&gt;"",RIGHT($N644,6)="tarief"),P644*FLOOR(R644,0.01),T644&gt;0,FLOOR(SUM(T644),0.01)),""),""),"")</f>
        <v/>
      </c>
      <c r="Y644" s="314" t="str">
        <f t="shared" ca="1" si="42"/>
        <v/>
      </c>
      <c r="Z644" s="314" t="str" cm="1">
        <f t="array" aca="1" ref="Z644" ca="1">IFERROR(_xlfn.IFS(OR(F644="",LEFT(Methode_Keuze,4)="Geen",Methode_Keuze=""),"",AND(W644&lt;&gt;"",F644&lt;&gt;"Arbeidskosten"),W644*VLOOKUP(F644,Tb_ProjectKosten[],MATCH(Tb_ProjectKosten[[#Headers],[Forfait_Percentage]],Tb_ProjectKosten[#Headers],0),0),AND(F644="Arbeidskosten",G644&lt;&gt;""),IFERROR(W644*VLOOKUP(G644,Tb_KostenTypen[],3,0)*VLOOKUP(F644,Tb_ProjectKosten[],MATCH(Tb_ProjectKosten[[#Headers],[Forfait_Percentage]],Tb_ProjectKosten[#Headers],0),0),""),W644 &lt;=0,0),"")</f>
        <v/>
      </c>
      <c r="AA644" s="314" t="str" cm="1">
        <f t="array" aca="1" ref="AA644" ca="1">IFERROR(_xlfn.IFS(OR(F644="",LEFT(Methode_Keuze,4)="Geen",Methode_Keuze=""),"",AND(X644&lt;&gt;"",F644&lt;&gt;"Arbeidskosten"),X644*VLOOKUP(F644,Tb_ProjectKosten[],MATCH(Tb_ProjectKosten[[#Headers],[Forfait_Percentage]],Tb_ProjectKosten[#Headers],0),0),AND(F644="Arbeidskosten",G644&lt;&gt;""),IFERROR(X644*VLOOKUP(G644,Tb_KostenTypen[],3,0)*VLOOKUP(F644,Tb_ProjectKosten[],MATCH(Tb_ProjectKosten[[#Headers],[Forfait_Percentage]],Tb_ProjectKosten[#Headers],0),0),""),X644 &lt;=0,0),"")</f>
        <v/>
      </c>
      <c r="AB644" s="314" t="str">
        <f t="shared" ca="1" si="43"/>
        <v/>
      </c>
      <c r="AC644" s="322"/>
      <c r="AD644" s="315"/>
      <c r="AE644" s="32" t="str" cm="1">
        <f t="array" ref="AE644">IFERROR(IF(INDEX(SubsidieTabel!$AD$1:$AG$12,MATCH($F644,SubsidieTabel!$AD$1:$AD$12,0),IFERROR(MATCH(Methode_Keuze,SubsidieTabel!$AD$1:$AG$1,0),2))&lt;&gt;1=TRUE,"ja",""),"")</f>
        <v/>
      </c>
    </row>
    <row r="645" spans="1:31" x14ac:dyDescent="0.25">
      <c r="A645" s="316"/>
      <c r="B645" s="317" t="str">
        <f>IF(A645&lt;&gt;"",_xlfn.MAXIFS($B$1:B644,$A$1:A644,A645)+1,"")</f>
        <v/>
      </c>
      <c r="C645" s="296"/>
      <c r="D645" s="296"/>
      <c r="E645" s="296"/>
      <c r="F645" s="296"/>
      <c r="G645" s="326"/>
      <c r="H645" s="324"/>
      <c r="I645" s="325"/>
      <c r="J645" s="325"/>
      <c r="K645" s="318"/>
      <c r="L645" s="318"/>
      <c r="M645" s="319" t="str">
        <f>IFERROR(VLOOKUP(H645,Lijsten!$H$1:$I$100,2,0),"")</f>
        <v/>
      </c>
      <c r="N645" s="319" t="str">
        <f ca="1">IFERROR(IF(VLOOKUP(F645,Kostentypen!$A$3:$E$21,3,0)=0,"",IF(OR(F645="Arbeidskosten",F645="Vergoeding"),VLOOKUP(G645,Tb_KostenTypen[],2,0),VLOOKUP(F645,Kostentypen!$A$3:$E$20,3,0))),"")</f>
        <v/>
      </c>
      <c r="O645" s="320" t="str" cm="1">
        <f t="array" ref="O645">_xlfn.IFNA(IF(INDEX(Tb_KostenOptiesDB[],MATCH($F645,Tb_KostenOptiesDB[KostenOptie],0),IFERROR(MATCH(Methode_Keuze,Tb_KostenOptiesDB[#Headers],0),2))=1,_xlfn.SWITCH($N645,"Uurtarief",IF(OR(AND(RIGHT($F645,3)="IKS",VLOOKUP($M645,DB_Loonkosten,2,0)="Ja"),AND(RIGHT($F645,3)&lt;&gt;"IKS",VLOOKUP($M645,DB_Loonkosten,2,0)="Nee")),IFERROR(VLOOKUP($M645,DB_Loonkosten,24,0),""),0),"Vast tarief",IF(LEFT(F645,8)="Bijdrage",VLOOKUP($F645,Tb_KostenTypen[],MATCH(Lijsten!$P$1,Tb_KostenTypen[#Headers],0),0),VLOOKUP($G645,Lijsten!L:P,MATCH(Lijsten!$P$1,Kop_Tarief_Vast,0),0))),""),"")</f>
        <v/>
      </c>
      <c r="P645" s="320" t="str" cm="1">
        <f t="array" ref="P645">_xlfn.IFNA(IF(INDEX(Tb_KostenOptiesDB[],MATCH($F645,Tb_KostenOptiesDB[KostenOptie],0),IFERROR(MATCH(Methode_Keuze,Tb_KostenOptiesDB[#Headers],0),2))=1,_xlfn.SWITCH($N645,"Uurtarief",IF(OR(AND(RIGHT($F645,3)="IKS",VLOOKUP($M645,DB_Loonkosten,2,0)="Ja"),AND(RIGHT($F645,3)&lt;&gt;"IKS",VLOOKUP($M645,DB_Loonkosten,2,0)="Nee")),IFERROR(VLOOKUP($M645,DB_Loonkosten,25,0),""),0),"Vast tarief",IF(LEFT(F645,8)="Bijdrage",VLOOKUP($F645,Tb_KostenTypen[],MATCH(Lijsten!$P$1,Tb_KostenTypen[#Headers],0),0),VLOOKUP($G645,Lijsten!L:P,MATCH(Lijsten!$P$1,Kop_Tarief_Vast,0),0))),""),"")</f>
        <v/>
      </c>
      <c r="Q645" s="359"/>
      <c r="R645" s="359"/>
      <c r="S645" s="321"/>
      <c r="T645" s="321"/>
      <c r="U645" s="373" t="str">
        <f t="shared" si="40"/>
        <v/>
      </c>
      <c r="V645" s="314" t="str">
        <f t="shared" si="41"/>
        <v/>
      </c>
      <c r="W645" s="314" t="str" cm="1">
        <f t="array" aca="1" ref="W645" ca="1">IFERROR(IF(AE645&lt;&gt;"ja",_xlfn.IFNA(_xlfn.IFS(AND(O645&lt;&gt;"",F645&lt;&gt;"",RIGHT($N645,6)="tarief",F645="Vergoeding"),SUM(O645)*FLOOR(SUM(Q645),0.0001),AND(O645&lt;&gt;"",F645&lt;&gt;"",RIGHT($N645,6)="tarief"),SUM(O645)*FLOOR(SUM(Q645),0.01),S645&gt;0,IF(F645&lt;&gt;"",FLOOR(SUM(S645),0.01),"")),""),""),"")</f>
        <v/>
      </c>
      <c r="X645" s="314" t="str" cm="1">
        <f t="array" aca="1" ref="X645" ca="1">IFERROR(IF(AE645&lt;&gt;"ja",_xlfn.IFNA(_xlfn.IFS(AND(P645&lt;&gt;"",R645&lt;&gt;"",RIGHT($N645,6)="tarief",F645="Vergoeding"),SUM(P645)*FLOOR(SUM(R645),0.0001),AND(P645&lt;&gt;"",R645&lt;&gt;"",RIGHT($N645,6)="tarief"),P645*FLOOR(R645,0.01),T645&gt;0,FLOOR(SUM(T645),0.01)),""),""),"")</f>
        <v/>
      </c>
      <c r="Y645" s="314" t="str">
        <f t="shared" ca="1" si="42"/>
        <v/>
      </c>
      <c r="Z645" s="314" t="str" cm="1">
        <f t="array" aca="1" ref="Z645" ca="1">IFERROR(_xlfn.IFS(OR(F645="",LEFT(Methode_Keuze,4)="Geen",Methode_Keuze=""),"",AND(W645&lt;&gt;"",F645&lt;&gt;"Arbeidskosten"),W645*VLOOKUP(F645,Tb_ProjectKosten[],MATCH(Tb_ProjectKosten[[#Headers],[Forfait_Percentage]],Tb_ProjectKosten[#Headers],0),0),AND(F645="Arbeidskosten",G645&lt;&gt;""),IFERROR(W645*VLOOKUP(G645,Tb_KostenTypen[],3,0)*VLOOKUP(F645,Tb_ProjectKosten[],MATCH(Tb_ProjectKosten[[#Headers],[Forfait_Percentage]],Tb_ProjectKosten[#Headers],0),0),""),W645 &lt;=0,0),"")</f>
        <v/>
      </c>
      <c r="AA645" s="314" t="str" cm="1">
        <f t="array" aca="1" ref="AA645" ca="1">IFERROR(_xlfn.IFS(OR(F645="",LEFT(Methode_Keuze,4)="Geen",Methode_Keuze=""),"",AND(X645&lt;&gt;"",F645&lt;&gt;"Arbeidskosten"),X645*VLOOKUP(F645,Tb_ProjectKosten[],MATCH(Tb_ProjectKosten[[#Headers],[Forfait_Percentage]],Tb_ProjectKosten[#Headers],0),0),AND(F645="Arbeidskosten",G645&lt;&gt;""),IFERROR(X645*VLOOKUP(G645,Tb_KostenTypen[],3,0)*VLOOKUP(F645,Tb_ProjectKosten[],MATCH(Tb_ProjectKosten[[#Headers],[Forfait_Percentage]],Tb_ProjectKosten[#Headers],0),0),""),X645 &lt;=0,0),"")</f>
        <v/>
      </c>
      <c r="AB645" s="314" t="str">
        <f t="shared" ca="1" si="43"/>
        <v/>
      </c>
      <c r="AC645" s="322"/>
      <c r="AD645" s="315"/>
      <c r="AE645" s="32" t="str" cm="1">
        <f t="array" ref="AE645">IFERROR(IF(INDEX(SubsidieTabel!$AD$1:$AG$12,MATCH($F645,SubsidieTabel!$AD$1:$AD$12,0),IFERROR(MATCH(Methode_Keuze,SubsidieTabel!$AD$1:$AG$1,0),2))&lt;&gt;1=TRUE,"ja",""),"")</f>
        <v/>
      </c>
    </row>
    <row r="646" spans="1:31" x14ac:dyDescent="0.25">
      <c r="A646" s="316"/>
      <c r="B646" s="317" t="str">
        <f>IF(A646&lt;&gt;"",_xlfn.MAXIFS($B$1:B645,$A$1:A645,A646)+1,"")</f>
        <v/>
      </c>
      <c r="C646" s="296"/>
      <c r="D646" s="296"/>
      <c r="E646" s="296"/>
      <c r="F646" s="296"/>
      <c r="G646" s="326"/>
      <c r="H646" s="324"/>
      <c r="I646" s="325"/>
      <c r="J646" s="325"/>
      <c r="K646" s="318"/>
      <c r="L646" s="318"/>
      <c r="M646" s="319" t="str">
        <f>IFERROR(VLOOKUP(H646,Lijsten!$H$1:$I$100,2,0),"")</f>
        <v/>
      </c>
      <c r="N646" s="319" t="str">
        <f ca="1">IFERROR(IF(VLOOKUP(F646,Kostentypen!$A$3:$E$21,3,0)=0,"",IF(OR(F646="Arbeidskosten",F646="Vergoeding"),VLOOKUP(G646,Tb_KostenTypen[],2,0),VLOOKUP(F646,Kostentypen!$A$3:$E$20,3,0))),"")</f>
        <v/>
      </c>
      <c r="O646" s="320" t="str" cm="1">
        <f t="array" ref="O646">_xlfn.IFNA(IF(INDEX(Tb_KostenOptiesDB[],MATCH($F646,Tb_KostenOptiesDB[KostenOptie],0),IFERROR(MATCH(Methode_Keuze,Tb_KostenOptiesDB[#Headers],0),2))=1,_xlfn.SWITCH($N646,"Uurtarief",IF(OR(AND(RIGHT($F646,3)="IKS",VLOOKUP($M646,DB_Loonkosten,2,0)="Ja"),AND(RIGHT($F646,3)&lt;&gt;"IKS",VLOOKUP($M646,DB_Loonkosten,2,0)="Nee")),IFERROR(VLOOKUP($M646,DB_Loonkosten,24,0),""),0),"Vast tarief",IF(LEFT(F646,8)="Bijdrage",VLOOKUP($F646,Tb_KostenTypen[],MATCH(Lijsten!$P$1,Tb_KostenTypen[#Headers],0),0),VLOOKUP($G646,Lijsten!L:P,MATCH(Lijsten!$P$1,Kop_Tarief_Vast,0),0))),""),"")</f>
        <v/>
      </c>
      <c r="P646" s="320" t="str" cm="1">
        <f t="array" ref="P646">_xlfn.IFNA(IF(INDEX(Tb_KostenOptiesDB[],MATCH($F646,Tb_KostenOptiesDB[KostenOptie],0),IFERROR(MATCH(Methode_Keuze,Tb_KostenOptiesDB[#Headers],0),2))=1,_xlfn.SWITCH($N646,"Uurtarief",IF(OR(AND(RIGHT($F646,3)="IKS",VLOOKUP($M646,DB_Loonkosten,2,0)="Ja"),AND(RIGHT($F646,3)&lt;&gt;"IKS",VLOOKUP($M646,DB_Loonkosten,2,0)="Nee")),IFERROR(VLOOKUP($M646,DB_Loonkosten,25,0),""),0),"Vast tarief",IF(LEFT(F646,8)="Bijdrage",VLOOKUP($F646,Tb_KostenTypen[],MATCH(Lijsten!$P$1,Tb_KostenTypen[#Headers],0),0),VLOOKUP($G646,Lijsten!L:P,MATCH(Lijsten!$P$1,Kop_Tarief_Vast,0),0))),""),"")</f>
        <v/>
      </c>
      <c r="Q646" s="359"/>
      <c r="R646" s="359"/>
      <c r="S646" s="321"/>
      <c r="T646" s="321"/>
      <c r="U646" s="373" t="str">
        <f t="shared" si="40"/>
        <v/>
      </c>
      <c r="V646" s="314" t="str">
        <f t="shared" si="41"/>
        <v/>
      </c>
      <c r="W646" s="314" t="str" cm="1">
        <f t="array" aca="1" ref="W646" ca="1">IFERROR(IF(AE646&lt;&gt;"ja",_xlfn.IFNA(_xlfn.IFS(AND(O646&lt;&gt;"",F646&lt;&gt;"",RIGHT($N646,6)="tarief",F646="Vergoeding"),SUM(O646)*FLOOR(SUM(Q646),0.0001),AND(O646&lt;&gt;"",F646&lt;&gt;"",RIGHT($N646,6)="tarief"),SUM(O646)*FLOOR(SUM(Q646),0.01),S646&gt;0,IF(F646&lt;&gt;"",FLOOR(SUM(S646),0.01),"")),""),""),"")</f>
        <v/>
      </c>
      <c r="X646" s="314" t="str" cm="1">
        <f t="array" aca="1" ref="X646" ca="1">IFERROR(IF(AE646&lt;&gt;"ja",_xlfn.IFNA(_xlfn.IFS(AND(P646&lt;&gt;"",R646&lt;&gt;"",RIGHT($N646,6)="tarief",F646="Vergoeding"),SUM(P646)*FLOOR(SUM(R646),0.0001),AND(P646&lt;&gt;"",R646&lt;&gt;"",RIGHT($N646,6)="tarief"),P646*FLOOR(R646,0.01),T646&gt;0,FLOOR(SUM(T646),0.01)),""),""),"")</f>
        <v/>
      </c>
      <c r="Y646" s="314" t="str">
        <f t="shared" ca="1" si="42"/>
        <v/>
      </c>
      <c r="Z646" s="314" t="str" cm="1">
        <f t="array" aca="1" ref="Z646" ca="1">IFERROR(_xlfn.IFS(OR(F646="",LEFT(Methode_Keuze,4)="Geen",Methode_Keuze=""),"",AND(W646&lt;&gt;"",F646&lt;&gt;"Arbeidskosten"),W646*VLOOKUP(F646,Tb_ProjectKosten[],MATCH(Tb_ProjectKosten[[#Headers],[Forfait_Percentage]],Tb_ProjectKosten[#Headers],0),0),AND(F646="Arbeidskosten",G646&lt;&gt;""),IFERROR(W646*VLOOKUP(G646,Tb_KostenTypen[],3,0)*VLOOKUP(F646,Tb_ProjectKosten[],MATCH(Tb_ProjectKosten[[#Headers],[Forfait_Percentage]],Tb_ProjectKosten[#Headers],0),0),""),W646 &lt;=0,0),"")</f>
        <v/>
      </c>
      <c r="AA646" s="314" t="str" cm="1">
        <f t="array" aca="1" ref="AA646" ca="1">IFERROR(_xlfn.IFS(OR(F646="",LEFT(Methode_Keuze,4)="Geen",Methode_Keuze=""),"",AND(X646&lt;&gt;"",F646&lt;&gt;"Arbeidskosten"),X646*VLOOKUP(F646,Tb_ProjectKosten[],MATCH(Tb_ProjectKosten[[#Headers],[Forfait_Percentage]],Tb_ProjectKosten[#Headers],0),0),AND(F646="Arbeidskosten",G646&lt;&gt;""),IFERROR(X646*VLOOKUP(G646,Tb_KostenTypen[],3,0)*VLOOKUP(F646,Tb_ProjectKosten[],MATCH(Tb_ProjectKosten[[#Headers],[Forfait_Percentage]],Tb_ProjectKosten[#Headers],0),0),""),X646 &lt;=0,0),"")</f>
        <v/>
      </c>
      <c r="AB646" s="314" t="str">
        <f t="shared" ca="1" si="43"/>
        <v/>
      </c>
      <c r="AC646" s="322"/>
      <c r="AD646" s="315"/>
      <c r="AE646" s="32" t="str" cm="1">
        <f t="array" ref="AE646">IFERROR(IF(INDEX(SubsidieTabel!$AD$1:$AG$12,MATCH($F646,SubsidieTabel!$AD$1:$AD$12,0),IFERROR(MATCH(Methode_Keuze,SubsidieTabel!$AD$1:$AG$1,0),2))&lt;&gt;1=TRUE,"ja",""),"")</f>
        <v/>
      </c>
    </row>
    <row r="647" spans="1:31" x14ac:dyDescent="0.25">
      <c r="A647" s="316"/>
      <c r="B647" s="317" t="str">
        <f>IF(A647&lt;&gt;"",_xlfn.MAXIFS($B$1:B646,$A$1:A646,A647)+1,"")</f>
        <v/>
      </c>
      <c r="C647" s="296"/>
      <c r="D647" s="296"/>
      <c r="E647" s="296"/>
      <c r="F647" s="296"/>
      <c r="G647" s="326"/>
      <c r="H647" s="324"/>
      <c r="I647" s="325"/>
      <c r="J647" s="325"/>
      <c r="K647" s="318"/>
      <c r="L647" s="318"/>
      <c r="M647" s="319" t="str">
        <f>IFERROR(VLOOKUP(H647,Lijsten!$H$1:$I$100,2,0),"")</f>
        <v/>
      </c>
      <c r="N647" s="319" t="str">
        <f ca="1">IFERROR(IF(VLOOKUP(F647,Kostentypen!$A$3:$E$21,3,0)=0,"",IF(OR(F647="Arbeidskosten",F647="Vergoeding"),VLOOKUP(G647,Tb_KostenTypen[],2,0),VLOOKUP(F647,Kostentypen!$A$3:$E$20,3,0))),"")</f>
        <v/>
      </c>
      <c r="O647" s="320" t="str" cm="1">
        <f t="array" ref="O647">_xlfn.IFNA(IF(INDEX(Tb_KostenOptiesDB[],MATCH($F647,Tb_KostenOptiesDB[KostenOptie],0),IFERROR(MATCH(Methode_Keuze,Tb_KostenOptiesDB[#Headers],0),2))=1,_xlfn.SWITCH($N647,"Uurtarief",IF(OR(AND(RIGHT($F647,3)="IKS",VLOOKUP($M647,DB_Loonkosten,2,0)="Ja"),AND(RIGHT($F647,3)&lt;&gt;"IKS",VLOOKUP($M647,DB_Loonkosten,2,0)="Nee")),IFERROR(VLOOKUP($M647,DB_Loonkosten,24,0),""),0),"Vast tarief",IF(LEFT(F647,8)="Bijdrage",VLOOKUP($F647,Tb_KostenTypen[],MATCH(Lijsten!$P$1,Tb_KostenTypen[#Headers],0),0),VLOOKUP($G647,Lijsten!L:P,MATCH(Lijsten!$P$1,Kop_Tarief_Vast,0),0))),""),"")</f>
        <v/>
      </c>
      <c r="P647" s="320" t="str" cm="1">
        <f t="array" ref="P647">_xlfn.IFNA(IF(INDEX(Tb_KostenOptiesDB[],MATCH($F647,Tb_KostenOptiesDB[KostenOptie],0),IFERROR(MATCH(Methode_Keuze,Tb_KostenOptiesDB[#Headers],0),2))=1,_xlfn.SWITCH($N647,"Uurtarief",IF(OR(AND(RIGHT($F647,3)="IKS",VLOOKUP($M647,DB_Loonkosten,2,0)="Ja"),AND(RIGHT($F647,3)&lt;&gt;"IKS",VLOOKUP($M647,DB_Loonkosten,2,0)="Nee")),IFERROR(VLOOKUP($M647,DB_Loonkosten,25,0),""),0),"Vast tarief",IF(LEFT(F647,8)="Bijdrage",VLOOKUP($F647,Tb_KostenTypen[],MATCH(Lijsten!$P$1,Tb_KostenTypen[#Headers],0),0),VLOOKUP($G647,Lijsten!L:P,MATCH(Lijsten!$P$1,Kop_Tarief_Vast,0),0))),""),"")</f>
        <v/>
      </c>
      <c r="Q647" s="359"/>
      <c r="R647" s="359"/>
      <c r="S647" s="321"/>
      <c r="T647" s="321"/>
      <c r="U647" s="373" t="str">
        <f t="shared" si="40"/>
        <v/>
      </c>
      <c r="V647" s="314" t="str">
        <f t="shared" si="41"/>
        <v/>
      </c>
      <c r="W647" s="314" t="str" cm="1">
        <f t="array" aca="1" ref="W647" ca="1">IFERROR(IF(AE647&lt;&gt;"ja",_xlfn.IFNA(_xlfn.IFS(AND(O647&lt;&gt;"",F647&lt;&gt;"",RIGHT($N647,6)="tarief",F647="Vergoeding"),SUM(O647)*FLOOR(SUM(Q647),0.0001),AND(O647&lt;&gt;"",F647&lt;&gt;"",RIGHT($N647,6)="tarief"),SUM(O647)*FLOOR(SUM(Q647),0.01),S647&gt;0,IF(F647&lt;&gt;"",FLOOR(SUM(S647),0.01),"")),""),""),"")</f>
        <v/>
      </c>
      <c r="X647" s="314" t="str" cm="1">
        <f t="array" aca="1" ref="X647" ca="1">IFERROR(IF(AE647&lt;&gt;"ja",_xlfn.IFNA(_xlfn.IFS(AND(P647&lt;&gt;"",R647&lt;&gt;"",RIGHT($N647,6)="tarief",F647="Vergoeding"),SUM(P647)*FLOOR(SUM(R647),0.0001),AND(P647&lt;&gt;"",R647&lt;&gt;"",RIGHT($N647,6)="tarief"),P647*FLOOR(R647,0.01),T647&gt;0,FLOOR(SUM(T647),0.01)),""),""),"")</f>
        <v/>
      </c>
      <c r="Y647" s="314" t="str">
        <f t="shared" ca="1" si="42"/>
        <v/>
      </c>
      <c r="Z647" s="314" t="str" cm="1">
        <f t="array" aca="1" ref="Z647" ca="1">IFERROR(_xlfn.IFS(OR(F647="",LEFT(Methode_Keuze,4)="Geen",Methode_Keuze=""),"",AND(W647&lt;&gt;"",F647&lt;&gt;"Arbeidskosten"),W647*VLOOKUP(F647,Tb_ProjectKosten[],MATCH(Tb_ProjectKosten[[#Headers],[Forfait_Percentage]],Tb_ProjectKosten[#Headers],0),0),AND(F647="Arbeidskosten",G647&lt;&gt;""),IFERROR(W647*VLOOKUP(G647,Tb_KostenTypen[],3,0)*VLOOKUP(F647,Tb_ProjectKosten[],MATCH(Tb_ProjectKosten[[#Headers],[Forfait_Percentage]],Tb_ProjectKosten[#Headers],0),0),""),W647 &lt;=0,0),"")</f>
        <v/>
      </c>
      <c r="AA647" s="314" t="str" cm="1">
        <f t="array" aca="1" ref="AA647" ca="1">IFERROR(_xlfn.IFS(OR(F647="",LEFT(Methode_Keuze,4)="Geen",Methode_Keuze=""),"",AND(X647&lt;&gt;"",F647&lt;&gt;"Arbeidskosten"),X647*VLOOKUP(F647,Tb_ProjectKosten[],MATCH(Tb_ProjectKosten[[#Headers],[Forfait_Percentage]],Tb_ProjectKosten[#Headers],0),0),AND(F647="Arbeidskosten",G647&lt;&gt;""),IFERROR(X647*VLOOKUP(G647,Tb_KostenTypen[],3,0)*VLOOKUP(F647,Tb_ProjectKosten[],MATCH(Tb_ProjectKosten[[#Headers],[Forfait_Percentage]],Tb_ProjectKosten[#Headers],0),0),""),X647 &lt;=0,0),"")</f>
        <v/>
      </c>
      <c r="AB647" s="314" t="str">
        <f t="shared" ca="1" si="43"/>
        <v/>
      </c>
      <c r="AC647" s="322"/>
      <c r="AD647" s="315"/>
      <c r="AE647" s="32" t="str" cm="1">
        <f t="array" ref="AE647">IFERROR(IF(INDEX(SubsidieTabel!$AD$1:$AG$12,MATCH($F647,SubsidieTabel!$AD$1:$AD$12,0),IFERROR(MATCH(Methode_Keuze,SubsidieTabel!$AD$1:$AG$1,0),2))&lt;&gt;1=TRUE,"ja",""),"")</f>
        <v/>
      </c>
    </row>
    <row r="648" spans="1:31" x14ac:dyDescent="0.25">
      <c r="A648" s="316"/>
      <c r="B648" s="317" t="str">
        <f>IF(A648&lt;&gt;"",_xlfn.MAXIFS($B$1:B647,$A$1:A647,A648)+1,"")</f>
        <v/>
      </c>
      <c r="C648" s="296"/>
      <c r="D648" s="296"/>
      <c r="E648" s="296"/>
      <c r="F648" s="296"/>
      <c r="G648" s="326"/>
      <c r="H648" s="324"/>
      <c r="I648" s="325"/>
      <c r="J648" s="325"/>
      <c r="K648" s="318"/>
      <c r="L648" s="318"/>
      <c r="M648" s="319" t="str">
        <f>IFERROR(VLOOKUP(H648,Lijsten!$H$1:$I$100,2,0),"")</f>
        <v/>
      </c>
      <c r="N648" s="319" t="str">
        <f ca="1">IFERROR(IF(VLOOKUP(F648,Kostentypen!$A$3:$E$21,3,0)=0,"",IF(OR(F648="Arbeidskosten",F648="Vergoeding"),VLOOKUP(G648,Tb_KostenTypen[],2,0),VLOOKUP(F648,Kostentypen!$A$3:$E$20,3,0))),"")</f>
        <v/>
      </c>
      <c r="O648" s="320" t="str" cm="1">
        <f t="array" ref="O648">_xlfn.IFNA(IF(INDEX(Tb_KostenOptiesDB[],MATCH($F648,Tb_KostenOptiesDB[KostenOptie],0),IFERROR(MATCH(Methode_Keuze,Tb_KostenOptiesDB[#Headers],0),2))=1,_xlfn.SWITCH($N648,"Uurtarief",IF(OR(AND(RIGHT($F648,3)="IKS",VLOOKUP($M648,DB_Loonkosten,2,0)="Ja"),AND(RIGHT($F648,3)&lt;&gt;"IKS",VLOOKUP($M648,DB_Loonkosten,2,0)="Nee")),IFERROR(VLOOKUP($M648,DB_Loonkosten,24,0),""),0),"Vast tarief",IF(LEFT(F648,8)="Bijdrage",VLOOKUP($F648,Tb_KostenTypen[],MATCH(Lijsten!$P$1,Tb_KostenTypen[#Headers],0),0),VLOOKUP($G648,Lijsten!L:P,MATCH(Lijsten!$P$1,Kop_Tarief_Vast,0),0))),""),"")</f>
        <v/>
      </c>
      <c r="P648" s="320" t="str" cm="1">
        <f t="array" ref="P648">_xlfn.IFNA(IF(INDEX(Tb_KostenOptiesDB[],MATCH($F648,Tb_KostenOptiesDB[KostenOptie],0),IFERROR(MATCH(Methode_Keuze,Tb_KostenOptiesDB[#Headers],0),2))=1,_xlfn.SWITCH($N648,"Uurtarief",IF(OR(AND(RIGHT($F648,3)="IKS",VLOOKUP($M648,DB_Loonkosten,2,0)="Ja"),AND(RIGHT($F648,3)&lt;&gt;"IKS",VLOOKUP($M648,DB_Loonkosten,2,0)="Nee")),IFERROR(VLOOKUP($M648,DB_Loonkosten,25,0),""),0),"Vast tarief",IF(LEFT(F648,8)="Bijdrage",VLOOKUP($F648,Tb_KostenTypen[],MATCH(Lijsten!$P$1,Tb_KostenTypen[#Headers],0),0),VLOOKUP($G648,Lijsten!L:P,MATCH(Lijsten!$P$1,Kop_Tarief_Vast,0),0))),""),"")</f>
        <v/>
      </c>
      <c r="Q648" s="359"/>
      <c r="R648" s="359"/>
      <c r="S648" s="321"/>
      <c r="T648" s="321"/>
      <c r="U648" s="373" t="str">
        <f t="shared" si="40"/>
        <v/>
      </c>
      <c r="V648" s="314" t="str">
        <f t="shared" si="41"/>
        <v/>
      </c>
      <c r="W648" s="314" t="str" cm="1">
        <f t="array" aca="1" ref="W648" ca="1">IFERROR(IF(AE648&lt;&gt;"ja",_xlfn.IFNA(_xlfn.IFS(AND(O648&lt;&gt;"",F648&lt;&gt;"",RIGHT($N648,6)="tarief",F648="Vergoeding"),SUM(O648)*FLOOR(SUM(Q648),0.0001),AND(O648&lt;&gt;"",F648&lt;&gt;"",RIGHT($N648,6)="tarief"),SUM(O648)*FLOOR(SUM(Q648),0.01),S648&gt;0,IF(F648&lt;&gt;"",FLOOR(SUM(S648),0.01),"")),""),""),"")</f>
        <v/>
      </c>
      <c r="X648" s="314" t="str" cm="1">
        <f t="array" aca="1" ref="X648" ca="1">IFERROR(IF(AE648&lt;&gt;"ja",_xlfn.IFNA(_xlfn.IFS(AND(P648&lt;&gt;"",R648&lt;&gt;"",RIGHT($N648,6)="tarief",F648="Vergoeding"),SUM(P648)*FLOOR(SUM(R648),0.0001),AND(P648&lt;&gt;"",R648&lt;&gt;"",RIGHT($N648,6)="tarief"),P648*FLOOR(R648,0.01),T648&gt;0,FLOOR(SUM(T648),0.01)),""),""),"")</f>
        <v/>
      </c>
      <c r="Y648" s="314" t="str">
        <f t="shared" ca="1" si="42"/>
        <v/>
      </c>
      <c r="Z648" s="314" t="str" cm="1">
        <f t="array" aca="1" ref="Z648" ca="1">IFERROR(_xlfn.IFS(OR(F648="",LEFT(Methode_Keuze,4)="Geen",Methode_Keuze=""),"",AND(W648&lt;&gt;"",F648&lt;&gt;"Arbeidskosten"),W648*VLOOKUP(F648,Tb_ProjectKosten[],MATCH(Tb_ProjectKosten[[#Headers],[Forfait_Percentage]],Tb_ProjectKosten[#Headers],0),0),AND(F648="Arbeidskosten",G648&lt;&gt;""),IFERROR(W648*VLOOKUP(G648,Tb_KostenTypen[],3,0)*VLOOKUP(F648,Tb_ProjectKosten[],MATCH(Tb_ProjectKosten[[#Headers],[Forfait_Percentage]],Tb_ProjectKosten[#Headers],0),0),""),W648 &lt;=0,0),"")</f>
        <v/>
      </c>
      <c r="AA648" s="314" t="str" cm="1">
        <f t="array" aca="1" ref="AA648" ca="1">IFERROR(_xlfn.IFS(OR(F648="",LEFT(Methode_Keuze,4)="Geen",Methode_Keuze=""),"",AND(X648&lt;&gt;"",F648&lt;&gt;"Arbeidskosten"),X648*VLOOKUP(F648,Tb_ProjectKosten[],MATCH(Tb_ProjectKosten[[#Headers],[Forfait_Percentage]],Tb_ProjectKosten[#Headers],0),0),AND(F648="Arbeidskosten",G648&lt;&gt;""),IFERROR(X648*VLOOKUP(G648,Tb_KostenTypen[],3,0)*VLOOKUP(F648,Tb_ProjectKosten[],MATCH(Tb_ProjectKosten[[#Headers],[Forfait_Percentage]],Tb_ProjectKosten[#Headers],0),0),""),X648 &lt;=0,0),"")</f>
        <v/>
      </c>
      <c r="AB648" s="314" t="str">
        <f t="shared" ca="1" si="43"/>
        <v/>
      </c>
      <c r="AC648" s="322"/>
      <c r="AD648" s="315"/>
      <c r="AE648" s="32" t="str" cm="1">
        <f t="array" ref="AE648">IFERROR(IF(INDEX(SubsidieTabel!$AD$1:$AG$12,MATCH($F648,SubsidieTabel!$AD$1:$AD$12,0),IFERROR(MATCH(Methode_Keuze,SubsidieTabel!$AD$1:$AG$1,0),2))&lt;&gt;1=TRUE,"ja",""),"")</f>
        <v/>
      </c>
    </row>
    <row r="649" spans="1:31" x14ac:dyDescent="0.25">
      <c r="A649" s="316"/>
      <c r="B649" s="317" t="str">
        <f>IF(A649&lt;&gt;"",_xlfn.MAXIFS($B$1:B648,$A$1:A648,A649)+1,"")</f>
        <v/>
      </c>
      <c r="C649" s="296"/>
      <c r="D649" s="296"/>
      <c r="E649" s="296"/>
      <c r="F649" s="296"/>
      <c r="G649" s="326"/>
      <c r="H649" s="324"/>
      <c r="I649" s="325"/>
      <c r="J649" s="325"/>
      <c r="K649" s="318"/>
      <c r="L649" s="318"/>
      <c r="M649" s="319" t="str">
        <f>IFERROR(VLOOKUP(H649,Lijsten!$H$1:$I$100,2,0),"")</f>
        <v/>
      </c>
      <c r="N649" s="319" t="str">
        <f ca="1">IFERROR(IF(VLOOKUP(F649,Kostentypen!$A$3:$E$21,3,0)=0,"",IF(OR(F649="Arbeidskosten",F649="Vergoeding"),VLOOKUP(G649,Tb_KostenTypen[],2,0),VLOOKUP(F649,Kostentypen!$A$3:$E$20,3,0))),"")</f>
        <v/>
      </c>
      <c r="O649" s="320" t="str" cm="1">
        <f t="array" ref="O649">_xlfn.IFNA(IF(INDEX(Tb_KostenOptiesDB[],MATCH($F649,Tb_KostenOptiesDB[KostenOptie],0),IFERROR(MATCH(Methode_Keuze,Tb_KostenOptiesDB[#Headers],0),2))=1,_xlfn.SWITCH($N649,"Uurtarief",IF(OR(AND(RIGHT($F649,3)="IKS",VLOOKUP($M649,DB_Loonkosten,2,0)="Ja"),AND(RIGHT($F649,3)&lt;&gt;"IKS",VLOOKUP($M649,DB_Loonkosten,2,0)="Nee")),IFERROR(VLOOKUP($M649,DB_Loonkosten,24,0),""),0),"Vast tarief",IF(LEFT(F649,8)="Bijdrage",VLOOKUP($F649,Tb_KostenTypen[],MATCH(Lijsten!$P$1,Tb_KostenTypen[#Headers],0),0),VLOOKUP($G649,Lijsten!L:P,MATCH(Lijsten!$P$1,Kop_Tarief_Vast,0),0))),""),"")</f>
        <v/>
      </c>
      <c r="P649" s="320" t="str" cm="1">
        <f t="array" ref="P649">_xlfn.IFNA(IF(INDEX(Tb_KostenOptiesDB[],MATCH($F649,Tb_KostenOptiesDB[KostenOptie],0),IFERROR(MATCH(Methode_Keuze,Tb_KostenOptiesDB[#Headers],0),2))=1,_xlfn.SWITCH($N649,"Uurtarief",IF(OR(AND(RIGHT($F649,3)="IKS",VLOOKUP($M649,DB_Loonkosten,2,0)="Ja"),AND(RIGHT($F649,3)&lt;&gt;"IKS",VLOOKUP($M649,DB_Loonkosten,2,0)="Nee")),IFERROR(VLOOKUP($M649,DB_Loonkosten,25,0),""),0),"Vast tarief",IF(LEFT(F649,8)="Bijdrage",VLOOKUP($F649,Tb_KostenTypen[],MATCH(Lijsten!$P$1,Tb_KostenTypen[#Headers],0),0),VLOOKUP($G649,Lijsten!L:P,MATCH(Lijsten!$P$1,Kop_Tarief_Vast,0),0))),""),"")</f>
        <v/>
      </c>
      <c r="Q649" s="359"/>
      <c r="R649" s="359"/>
      <c r="S649" s="321"/>
      <c r="T649" s="321"/>
      <c r="U649" s="373" t="str">
        <f t="shared" si="40"/>
        <v/>
      </c>
      <c r="V649" s="314" t="str">
        <f t="shared" si="41"/>
        <v/>
      </c>
      <c r="W649" s="314" t="str" cm="1">
        <f t="array" aca="1" ref="W649" ca="1">IFERROR(IF(AE649&lt;&gt;"ja",_xlfn.IFNA(_xlfn.IFS(AND(O649&lt;&gt;"",F649&lt;&gt;"",RIGHT($N649,6)="tarief",F649="Vergoeding"),SUM(O649)*FLOOR(SUM(Q649),0.0001),AND(O649&lt;&gt;"",F649&lt;&gt;"",RIGHT($N649,6)="tarief"),SUM(O649)*FLOOR(SUM(Q649),0.01),S649&gt;0,IF(F649&lt;&gt;"",FLOOR(SUM(S649),0.01),"")),""),""),"")</f>
        <v/>
      </c>
      <c r="X649" s="314" t="str" cm="1">
        <f t="array" aca="1" ref="X649" ca="1">IFERROR(IF(AE649&lt;&gt;"ja",_xlfn.IFNA(_xlfn.IFS(AND(P649&lt;&gt;"",R649&lt;&gt;"",RIGHT($N649,6)="tarief",F649="Vergoeding"),SUM(P649)*FLOOR(SUM(R649),0.0001),AND(P649&lt;&gt;"",R649&lt;&gt;"",RIGHT($N649,6)="tarief"),P649*FLOOR(R649,0.01),T649&gt;0,FLOOR(SUM(T649),0.01)),""),""),"")</f>
        <v/>
      </c>
      <c r="Y649" s="314" t="str">
        <f t="shared" ca="1" si="42"/>
        <v/>
      </c>
      <c r="Z649" s="314" t="str" cm="1">
        <f t="array" aca="1" ref="Z649" ca="1">IFERROR(_xlfn.IFS(OR(F649="",LEFT(Methode_Keuze,4)="Geen",Methode_Keuze=""),"",AND(W649&lt;&gt;"",F649&lt;&gt;"Arbeidskosten"),W649*VLOOKUP(F649,Tb_ProjectKosten[],MATCH(Tb_ProjectKosten[[#Headers],[Forfait_Percentage]],Tb_ProjectKosten[#Headers],0),0),AND(F649="Arbeidskosten",G649&lt;&gt;""),IFERROR(W649*VLOOKUP(G649,Tb_KostenTypen[],3,0)*VLOOKUP(F649,Tb_ProjectKosten[],MATCH(Tb_ProjectKosten[[#Headers],[Forfait_Percentage]],Tb_ProjectKosten[#Headers],0),0),""),W649 &lt;=0,0),"")</f>
        <v/>
      </c>
      <c r="AA649" s="314" t="str" cm="1">
        <f t="array" aca="1" ref="AA649" ca="1">IFERROR(_xlfn.IFS(OR(F649="",LEFT(Methode_Keuze,4)="Geen",Methode_Keuze=""),"",AND(X649&lt;&gt;"",F649&lt;&gt;"Arbeidskosten"),X649*VLOOKUP(F649,Tb_ProjectKosten[],MATCH(Tb_ProjectKosten[[#Headers],[Forfait_Percentage]],Tb_ProjectKosten[#Headers],0),0),AND(F649="Arbeidskosten",G649&lt;&gt;""),IFERROR(X649*VLOOKUP(G649,Tb_KostenTypen[],3,0)*VLOOKUP(F649,Tb_ProjectKosten[],MATCH(Tb_ProjectKosten[[#Headers],[Forfait_Percentage]],Tb_ProjectKosten[#Headers],0),0),""),X649 &lt;=0,0),"")</f>
        <v/>
      </c>
      <c r="AB649" s="314" t="str">
        <f t="shared" ca="1" si="43"/>
        <v/>
      </c>
      <c r="AC649" s="322"/>
      <c r="AD649" s="315"/>
      <c r="AE649" s="32" t="str" cm="1">
        <f t="array" ref="AE649">IFERROR(IF(INDEX(SubsidieTabel!$AD$1:$AG$12,MATCH($F649,SubsidieTabel!$AD$1:$AD$12,0),IFERROR(MATCH(Methode_Keuze,SubsidieTabel!$AD$1:$AG$1,0),2))&lt;&gt;1=TRUE,"ja",""),"")</f>
        <v/>
      </c>
    </row>
    <row r="650" spans="1:31" x14ac:dyDescent="0.25">
      <c r="A650" s="316"/>
      <c r="B650" s="317" t="str">
        <f>IF(A650&lt;&gt;"",_xlfn.MAXIFS($B$1:B649,$A$1:A649,A650)+1,"")</f>
        <v/>
      </c>
      <c r="C650" s="296"/>
      <c r="D650" s="296"/>
      <c r="E650" s="296"/>
      <c r="F650" s="296"/>
      <c r="G650" s="326"/>
      <c r="H650" s="324"/>
      <c r="I650" s="325"/>
      <c r="J650" s="325"/>
      <c r="K650" s="318"/>
      <c r="L650" s="318"/>
      <c r="M650" s="319" t="str">
        <f>IFERROR(VLOOKUP(H650,Lijsten!$H$1:$I$100,2,0),"")</f>
        <v/>
      </c>
      <c r="N650" s="319" t="str">
        <f ca="1">IFERROR(IF(VLOOKUP(F650,Kostentypen!$A$3:$E$21,3,0)=0,"",IF(OR(F650="Arbeidskosten",F650="Vergoeding"),VLOOKUP(G650,Tb_KostenTypen[],2,0),VLOOKUP(F650,Kostentypen!$A$3:$E$20,3,0))),"")</f>
        <v/>
      </c>
      <c r="O650" s="320" t="str" cm="1">
        <f t="array" ref="O650">_xlfn.IFNA(IF(INDEX(Tb_KostenOptiesDB[],MATCH($F650,Tb_KostenOptiesDB[KostenOptie],0),IFERROR(MATCH(Methode_Keuze,Tb_KostenOptiesDB[#Headers],0),2))=1,_xlfn.SWITCH($N650,"Uurtarief",IF(OR(AND(RIGHT($F650,3)="IKS",VLOOKUP($M650,DB_Loonkosten,2,0)="Ja"),AND(RIGHT($F650,3)&lt;&gt;"IKS",VLOOKUP($M650,DB_Loonkosten,2,0)="Nee")),IFERROR(VLOOKUP($M650,DB_Loonkosten,24,0),""),0),"Vast tarief",IF(LEFT(F650,8)="Bijdrage",VLOOKUP($F650,Tb_KostenTypen[],MATCH(Lijsten!$P$1,Tb_KostenTypen[#Headers],0),0),VLOOKUP($G650,Lijsten!L:P,MATCH(Lijsten!$P$1,Kop_Tarief_Vast,0),0))),""),"")</f>
        <v/>
      </c>
      <c r="P650" s="320" t="str" cm="1">
        <f t="array" ref="P650">_xlfn.IFNA(IF(INDEX(Tb_KostenOptiesDB[],MATCH($F650,Tb_KostenOptiesDB[KostenOptie],0),IFERROR(MATCH(Methode_Keuze,Tb_KostenOptiesDB[#Headers],0),2))=1,_xlfn.SWITCH($N650,"Uurtarief",IF(OR(AND(RIGHT($F650,3)="IKS",VLOOKUP($M650,DB_Loonkosten,2,0)="Ja"),AND(RIGHT($F650,3)&lt;&gt;"IKS",VLOOKUP($M650,DB_Loonkosten,2,0)="Nee")),IFERROR(VLOOKUP($M650,DB_Loonkosten,25,0),""),0),"Vast tarief",IF(LEFT(F650,8)="Bijdrage",VLOOKUP($F650,Tb_KostenTypen[],MATCH(Lijsten!$P$1,Tb_KostenTypen[#Headers],0),0),VLOOKUP($G650,Lijsten!L:P,MATCH(Lijsten!$P$1,Kop_Tarief_Vast,0),0))),""),"")</f>
        <v/>
      </c>
      <c r="Q650" s="359"/>
      <c r="R650" s="359"/>
      <c r="S650" s="321"/>
      <c r="T650" s="321"/>
      <c r="U650" s="373" t="str">
        <f t="shared" si="40"/>
        <v/>
      </c>
      <c r="V650" s="314" t="str">
        <f t="shared" si="41"/>
        <v/>
      </c>
      <c r="W650" s="314" t="str" cm="1">
        <f t="array" aca="1" ref="W650" ca="1">IFERROR(IF(AE650&lt;&gt;"ja",_xlfn.IFNA(_xlfn.IFS(AND(O650&lt;&gt;"",F650&lt;&gt;"",RIGHT($N650,6)="tarief",F650="Vergoeding"),SUM(O650)*FLOOR(SUM(Q650),0.0001),AND(O650&lt;&gt;"",F650&lt;&gt;"",RIGHT($N650,6)="tarief"),SUM(O650)*FLOOR(SUM(Q650),0.01),S650&gt;0,IF(F650&lt;&gt;"",FLOOR(SUM(S650),0.01),"")),""),""),"")</f>
        <v/>
      </c>
      <c r="X650" s="314" t="str" cm="1">
        <f t="array" aca="1" ref="X650" ca="1">IFERROR(IF(AE650&lt;&gt;"ja",_xlfn.IFNA(_xlfn.IFS(AND(P650&lt;&gt;"",R650&lt;&gt;"",RIGHT($N650,6)="tarief",F650="Vergoeding"),SUM(P650)*FLOOR(SUM(R650),0.0001),AND(P650&lt;&gt;"",R650&lt;&gt;"",RIGHT($N650,6)="tarief"),P650*FLOOR(R650,0.01),T650&gt;0,FLOOR(SUM(T650),0.01)),""),""),"")</f>
        <v/>
      </c>
      <c r="Y650" s="314" t="str">
        <f t="shared" ca="1" si="42"/>
        <v/>
      </c>
      <c r="Z650" s="314" t="str" cm="1">
        <f t="array" aca="1" ref="Z650" ca="1">IFERROR(_xlfn.IFS(OR(F650="",LEFT(Methode_Keuze,4)="Geen",Methode_Keuze=""),"",AND(W650&lt;&gt;"",F650&lt;&gt;"Arbeidskosten"),W650*VLOOKUP(F650,Tb_ProjectKosten[],MATCH(Tb_ProjectKosten[[#Headers],[Forfait_Percentage]],Tb_ProjectKosten[#Headers],0),0),AND(F650="Arbeidskosten",G650&lt;&gt;""),IFERROR(W650*VLOOKUP(G650,Tb_KostenTypen[],3,0)*VLOOKUP(F650,Tb_ProjectKosten[],MATCH(Tb_ProjectKosten[[#Headers],[Forfait_Percentage]],Tb_ProjectKosten[#Headers],0),0),""),W650 &lt;=0,0),"")</f>
        <v/>
      </c>
      <c r="AA650" s="314" t="str" cm="1">
        <f t="array" aca="1" ref="AA650" ca="1">IFERROR(_xlfn.IFS(OR(F650="",LEFT(Methode_Keuze,4)="Geen",Methode_Keuze=""),"",AND(X650&lt;&gt;"",F650&lt;&gt;"Arbeidskosten"),X650*VLOOKUP(F650,Tb_ProjectKosten[],MATCH(Tb_ProjectKosten[[#Headers],[Forfait_Percentage]],Tb_ProjectKosten[#Headers],0),0),AND(F650="Arbeidskosten",G650&lt;&gt;""),IFERROR(X650*VLOOKUP(G650,Tb_KostenTypen[],3,0)*VLOOKUP(F650,Tb_ProjectKosten[],MATCH(Tb_ProjectKosten[[#Headers],[Forfait_Percentage]],Tb_ProjectKosten[#Headers],0),0),""),X650 &lt;=0,0),"")</f>
        <v/>
      </c>
      <c r="AB650" s="314" t="str">
        <f t="shared" ca="1" si="43"/>
        <v/>
      </c>
      <c r="AC650" s="322"/>
      <c r="AD650" s="315"/>
      <c r="AE650" s="32" t="str" cm="1">
        <f t="array" ref="AE650">IFERROR(IF(INDEX(SubsidieTabel!$AD$1:$AG$12,MATCH($F650,SubsidieTabel!$AD$1:$AD$12,0),IFERROR(MATCH(Methode_Keuze,SubsidieTabel!$AD$1:$AG$1,0),2))&lt;&gt;1=TRUE,"ja",""),"")</f>
        <v/>
      </c>
    </row>
    <row r="651" spans="1:31" x14ac:dyDescent="0.25">
      <c r="A651" s="316"/>
      <c r="B651" s="317" t="str">
        <f>IF(A651&lt;&gt;"",_xlfn.MAXIFS($B$1:B650,$A$1:A650,A651)+1,"")</f>
        <v/>
      </c>
      <c r="C651" s="296"/>
      <c r="D651" s="296"/>
      <c r="E651" s="296"/>
      <c r="F651" s="296"/>
      <c r="G651" s="326"/>
      <c r="H651" s="324"/>
      <c r="I651" s="325"/>
      <c r="J651" s="325"/>
      <c r="K651" s="318"/>
      <c r="L651" s="318"/>
      <c r="M651" s="319" t="str">
        <f>IFERROR(VLOOKUP(H651,Lijsten!$H$1:$I$100,2,0),"")</f>
        <v/>
      </c>
      <c r="N651" s="319" t="str">
        <f ca="1">IFERROR(IF(VLOOKUP(F651,Kostentypen!$A$3:$E$21,3,0)=0,"",IF(OR(F651="Arbeidskosten",F651="Vergoeding"),VLOOKUP(G651,Tb_KostenTypen[],2,0),VLOOKUP(F651,Kostentypen!$A$3:$E$20,3,0))),"")</f>
        <v/>
      </c>
      <c r="O651" s="320" t="str" cm="1">
        <f t="array" ref="O651">_xlfn.IFNA(IF(INDEX(Tb_KostenOptiesDB[],MATCH($F651,Tb_KostenOptiesDB[KostenOptie],0),IFERROR(MATCH(Methode_Keuze,Tb_KostenOptiesDB[#Headers],0),2))=1,_xlfn.SWITCH($N651,"Uurtarief",IF(OR(AND(RIGHT($F651,3)="IKS",VLOOKUP($M651,DB_Loonkosten,2,0)="Ja"),AND(RIGHT($F651,3)&lt;&gt;"IKS",VLOOKUP($M651,DB_Loonkosten,2,0)="Nee")),IFERROR(VLOOKUP($M651,DB_Loonkosten,24,0),""),0),"Vast tarief",IF(LEFT(F651,8)="Bijdrage",VLOOKUP($F651,Tb_KostenTypen[],MATCH(Lijsten!$P$1,Tb_KostenTypen[#Headers],0),0),VLOOKUP($G651,Lijsten!L:P,MATCH(Lijsten!$P$1,Kop_Tarief_Vast,0),0))),""),"")</f>
        <v/>
      </c>
      <c r="P651" s="320" t="str" cm="1">
        <f t="array" ref="P651">_xlfn.IFNA(IF(INDEX(Tb_KostenOptiesDB[],MATCH($F651,Tb_KostenOptiesDB[KostenOptie],0),IFERROR(MATCH(Methode_Keuze,Tb_KostenOptiesDB[#Headers],0),2))=1,_xlfn.SWITCH($N651,"Uurtarief",IF(OR(AND(RIGHT($F651,3)="IKS",VLOOKUP($M651,DB_Loonkosten,2,0)="Ja"),AND(RIGHT($F651,3)&lt;&gt;"IKS",VLOOKUP($M651,DB_Loonkosten,2,0)="Nee")),IFERROR(VLOOKUP($M651,DB_Loonkosten,25,0),""),0),"Vast tarief",IF(LEFT(F651,8)="Bijdrage",VLOOKUP($F651,Tb_KostenTypen[],MATCH(Lijsten!$P$1,Tb_KostenTypen[#Headers],0),0),VLOOKUP($G651,Lijsten!L:P,MATCH(Lijsten!$P$1,Kop_Tarief_Vast,0),0))),""),"")</f>
        <v/>
      </c>
      <c r="Q651" s="359"/>
      <c r="R651" s="359"/>
      <c r="S651" s="321"/>
      <c r="T651" s="321"/>
      <c r="U651" s="373" t="str">
        <f t="shared" si="40"/>
        <v/>
      </c>
      <c r="V651" s="314" t="str">
        <f t="shared" si="41"/>
        <v/>
      </c>
      <c r="W651" s="314" t="str" cm="1">
        <f t="array" aca="1" ref="W651" ca="1">IFERROR(IF(AE651&lt;&gt;"ja",_xlfn.IFNA(_xlfn.IFS(AND(O651&lt;&gt;"",F651&lt;&gt;"",RIGHT($N651,6)="tarief",F651="Vergoeding"),SUM(O651)*FLOOR(SUM(Q651),0.0001),AND(O651&lt;&gt;"",F651&lt;&gt;"",RIGHT($N651,6)="tarief"),SUM(O651)*FLOOR(SUM(Q651),0.01),S651&gt;0,IF(F651&lt;&gt;"",FLOOR(SUM(S651),0.01),"")),""),""),"")</f>
        <v/>
      </c>
      <c r="X651" s="314" t="str" cm="1">
        <f t="array" aca="1" ref="X651" ca="1">IFERROR(IF(AE651&lt;&gt;"ja",_xlfn.IFNA(_xlfn.IFS(AND(P651&lt;&gt;"",R651&lt;&gt;"",RIGHT($N651,6)="tarief",F651="Vergoeding"),SUM(P651)*FLOOR(SUM(R651),0.0001),AND(P651&lt;&gt;"",R651&lt;&gt;"",RIGHT($N651,6)="tarief"),P651*FLOOR(R651,0.01),T651&gt;0,FLOOR(SUM(T651),0.01)),""),""),"")</f>
        <v/>
      </c>
      <c r="Y651" s="314" t="str">
        <f t="shared" ca="1" si="42"/>
        <v/>
      </c>
      <c r="Z651" s="314" t="str" cm="1">
        <f t="array" aca="1" ref="Z651" ca="1">IFERROR(_xlfn.IFS(OR(F651="",LEFT(Methode_Keuze,4)="Geen",Methode_Keuze=""),"",AND(W651&lt;&gt;"",F651&lt;&gt;"Arbeidskosten"),W651*VLOOKUP(F651,Tb_ProjectKosten[],MATCH(Tb_ProjectKosten[[#Headers],[Forfait_Percentage]],Tb_ProjectKosten[#Headers],0),0),AND(F651="Arbeidskosten",G651&lt;&gt;""),IFERROR(W651*VLOOKUP(G651,Tb_KostenTypen[],3,0)*VLOOKUP(F651,Tb_ProjectKosten[],MATCH(Tb_ProjectKosten[[#Headers],[Forfait_Percentage]],Tb_ProjectKosten[#Headers],0),0),""),W651 &lt;=0,0),"")</f>
        <v/>
      </c>
      <c r="AA651" s="314" t="str" cm="1">
        <f t="array" aca="1" ref="AA651" ca="1">IFERROR(_xlfn.IFS(OR(F651="",LEFT(Methode_Keuze,4)="Geen",Methode_Keuze=""),"",AND(X651&lt;&gt;"",F651&lt;&gt;"Arbeidskosten"),X651*VLOOKUP(F651,Tb_ProjectKosten[],MATCH(Tb_ProjectKosten[[#Headers],[Forfait_Percentage]],Tb_ProjectKosten[#Headers],0),0),AND(F651="Arbeidskosten",G651&lt;&gt;""),IFERROR(X651*VLOOKUP(G651,Tb_KostenTypen[],3,0)*VLOOKUP(F651,Tb_ProjectKosten[],MATCH(Tb_ProjectKosten[[#Headers],[Forfait_Percentage]],Tb_ProjectKosten[#Headers],0),0),""),X651 &lt;=0,0),"")</f>
        <v/>
      </c>
      <c r="AB651" s="314" t="str">
        <f t="shared" ca="1" si="43"/>
        <v/>
      </c>
      <c r="AC651" s="322"/>
      <c r="AD651" s="315"/>
      <c r="AE651" s="32" t="str" cm="1">
        <f t="array" ref="AE651">IFERROR(IF(INDEX(SubsidieTabel!$AD$1:$AG$12,MATCH($F651,SubsidieTabel!$AD$1:$AD$12,0),IFERROR(MATCH(Methode_Keuze,SubsidieTabel!$AD$1:$AG$1,0),2))&lt;&gt;1=TRUE,"ja",""),"")</f>
        <v/>
      </c>
    </row>
    <row r="652" spans="1:31" x14ac:dyDescent="0.25">
      <c r="A652" s="316"/>
      <c r="B652" s="317" t="str">
        <f>IF(A652&lt;&gt;"",_xlfn.MAXIFS($B$1:B651,$A$1:A651,A652)+1,"")</f>
        <v/>
      </c>
      <c r="C652" s="296"/>
      <c r="D652" s="296"/>
      <c r="E652" s="296"/>
      <c r="F652" s="296"/>
      <c r="G652" s="326"/>
      <c r="H652" s="324"/>
      <c r="I652" s="325"/>
      <c r="J652" s="325"/>
      <c r="K652" s="318"/>
      <c r="L652" s="318"/>
      <c r="M652" s="319" t="str">
        <f>IFERROR(VLOOKUP(H652,Lijsten!$H$1:$I$100,2,0),"")</f>
        <v/>
      </c>
      <c r="N652" s="319" t="str">
        <f ca="1">IFERROR(IF(VLOOKUP(F652,Kostentypen!$A$3:$E$21,3,0)=0,"",IF(OR(F652="Arbeidskosten",F652="Vergoeding"),VLOOKUP(G652,Tb_KostenTypen[],2,0),VLOOKUP(F652,Kostentypen!$A$3:$E$20,3,0))),"")</f>
        <v/>
      </c>
      <c r="O652" s="320" t="str" cm="1">
        <f t="array" ref="O652">_xlfn.IFNA(IF(INDEX(Tb_KostenOptiesDB[],MATCH($F652,Tb_KostenOptiesDB[KostenOptie],0),IFERROR(MATCH(Methode_Keuze,Tb_KostenOptiesDB[#Headers],0),2))=1,_xlfn.SWITCH($N652,"Uurtarief",IF(OR(AND(RIGHT($F652,3)="IKS",VLOOKUP($M652,DB_Loonkosten,2,0)="Ja"),AND(RIGHT($F652,3)&lt;&gt;"IKS",VLOOKUP($M652,DB_Loonkosten,2,0)="Nee")),IFERROR(VLOOKUP($M652,DB_Loonkosten,24,0),""),0),"Vast tarief",IF(LEFT(F652,8)="Bijdrage",VLOOKUP($F652,Tb_KostenTypen[],MATCH(Lijsten!$P$1,Tb_KostenTypen[#Headers],0),0),VLOOKUP($G652,Lijsten!L:P,MATCH(Lijsten!$P$1,Kop_Tarief_Vast,0),0))),""),"")</f>
        <v/>
      </c>
      <c r="P652" s="320" t="str" cm="1">
        <f t="array" ref="P652">_xlfn.IFNA(IF(INDEX(Tb_KostenOptiesDB[],MATCH($F652,Tb_KostenOptiesDB[KostenOptie],0),IFERROR(MATCH(Methode_Keuze,Tb_KostenOptiesDB[#Headers],0),2))=1,_xlfn.SWITCH($N652,"Uurtarief",IF(OR(AND(RIGHT($F652,3)="IKS",VLOOKUP($M652,DB_Loonkosten,2,0)="Ja"),AND(RIGHT($F652,3)&lt;&gt;"IKS",VLOOKUP($M652,DB_Loonkosten,2,0)="Nee")),IFERROR(VLOOKUP($M652,DB_Loonkosten,25,0),""),0),"Vast tarief",IF(LEFT(F652,8)="Bijdrage",VLOOKUP($F652,Tb_KostenTypen[],MATCH(Lijsten!$P$1,Tb_KostenTypen[#Headers],0),0),VLOOKUP($G652,Lijsten!L:P,MATCH(Lijsten!$P$1,Kop_Tarief_Vast,0),0))),""),"")</f>
        <v/>
      </c>
      <c r="Q652" s="359"/>
      <c r="R652" s="359"/>
      <c r="S652" s="321"/>
      <c r="T652" s="321"/>
      <c r="U652" s="373" t="str">
        <f t="shared" si="40"/>
        <v/>
      </c>
      <c r="V652" s="314" t="str">
        <f t="shared" si="41"/>
        <v/>
      </c>
      <c r="W652" s="314" t="str" cm="1">
        <f t="array" aca="1" ref="W652" ca="1">IFERROR(IF(AE652&lt;&gt;"ja",_xlfn.IFNA(_xlfn.IFS(AND(O652&lt;&gt;"",F652&lt;&gt;"",RIGHT($N652,6)="tarief",F652="Vergoeding"),SUM(O652)*FLOOR(SUM(Q652),0.0001),AND(O652&lt;&gt;"",F652&lt;&gt;"",RIGHT($N652,6)="tarief"),SUM(O652)*FLOOR(SUM(Q652),0.01),S652&gt;0,IF(F652&lt;&gt;"",FLOOR(SUM(S652),0.01),"")),""),""),"")</f>
        <v/>
      </c>
      <c r="X652" s="314" t="str" cm="1">
        <f t="array" aca="1" ref="X652" ca="1">IFERROR(IF(AE652&lt;&gt;"ja",_xlfn.IFNA(_xlfn.IFS(AND(P652&lt;&gt;"",R652&lt;&gt;"",RIGHT($N652,6)="tarief",F652="Vergoeding"),SUM(P652)*FLOOR(SUM(R652),0.0001),AND(P652&lt;&gt;"",R652&lt;&gt;"",RIGHT($N652,6)="tarief"),P652*FLOOR(R652,0.01),T652&gt;0,FLOOR(SUM(T652),0.01)),""),""),"")</f>
        <v/>
      </c>
      <c r="Y652" s="314" t="str">
        <f t="shared" ca="1" si="42"/>
        <v/>
      </c>
      <c r="Z652" s="314" t="str" cm="1">
        <f t="array" aca="1" ref="Z652" ca="1">IFERROR(_xlfn.IFS(OR(F652="",LEFT(Methode_Keuze,4)="Geen",Methode_Keuze=""),"",AND(W652&lt;&gt;"",F652&lt;&gt;"Arbeidskosten"),W652*VLOOKUP(F652,Tb_ProjectKosten[],MATCH(Tb_ProjectKosten[[#Headers],[Forfait_Percentage]],Tb_ProjectKosten[#Headers],0),0),AND(F652="Arbeidskosten",G652&lt;&gt;""),IFERROR(W652*VLOOKUP(G652,Tb_KostenTypen[],3,0)*VLOOKUP(F652,Tb_ProjectKosten[],MATCH(Tb_ProjectKosten[[#Headers],[Forfait_Percentage]],Tb_ProjectKosten[#Headers],0),0),""),W652 &lt;=0,0),"")</f>
        <v/>
      </c>
      <c r="AA652" s="314" t="str" cm="1">
        <f t="array" aca="1" ref="AA652" ca="1">IFERROR(_xlfn.IFS(OR(F652="",LEFT(Methode_Keuze,4)="Geen",Methode_Keuze=""),"",AND(X652&lt;&gt;"",F652&lt;&gt;"Arbeidskosten"),X652*VLOOKUP(F652,Tb_ProjectKosten[],MATCH(Tb_ProjectKosten[[#Headers],[Forfait_Percentage]],Tb_ProjectKosten[#Headers],0),0),AND(F652="Arbeidskosten",G652&lt;&gt;""),IFERROR(X652*VLOOKUP(G652,Tb_KostenTypen[],3,0)*VLOOKUP(F652,Tb_ProjectKosten[],MATCH(Tb_ProjectKosten[[#Headers],[Forfait_Percentage]],Tb_ProjectKosten[#Headers],0),0),""),X652 &lt;=0,0),"")</f>
        <v/>
      </c>
      <c r="AB652" s="314" t="str">
        <f t="shared" ca="1" si="43"/>
        <v/>
      </c>
      <c r="AC652" s="322"/>
      <c r="AD652" s="315"/>
      <c r="AE652" s="32" t="str" cm="1">
        <f t="array" ref="AE652">IFERROR(IF(INDEX(SubsidieTabel!$AD$1:$AG$12,MATCH($F652,SubsidieTabel!$AD$1:$AD$12,0),IFERROR(MATCH(Methode_Keuze,SubsidieTabel!$AD$1:$AG$1,0),2))&lt;&gt;1=TRUE,"ja",""),"")</f>
        <v/>
      </c>
    </row>
    <row r="653" spans="1:31" x14ac:dyDescent="0.25">
      <c r="A653" s="316"/>
      <c r="B653" s="317" t="str">
        <f>IF(A653&lt;&gt;"",_xlfn.MAXIFS($B$1:B652,$A$1:A652,A653)+1,"")</f>
        <v/>
      </c>
      <c r="C653" s="296"/>
      <c r="D653" s="296"/>
      <c r="E653" s="296"/>
      <c r="F653" s="296"/>
      <c r="G653" s="326"/>
      <c r="H653" s="324"/>
      <c r="I653" s="325"/>
      <c r="J653" s="325"/>
      <c r="K653" s="318"/>
      <c r="L653" s="318"/>
      <c r="M653" s="319" t="str">
        <f>IFERROR(VLOOKUP(H653,Lijsten!$H$1:$I$100,2,0),"")</f>
        <v/>
      </c>
      <c r="N653" s="319" t="str">
        <f ca="1">IFERROR(IF(VLOOKUP(F653,Kostentypen!$A$3:$E$21,3,0)=0,"",IF(OR(F653="Arbeidskosten",F653="Vergoeding"),VLOOKUP(G653,Tb_KostenTypen[],2,0),VLOOKUP(F653,Kostentypen!$A$3:$E$20,3,0))),"")</f>
        <v/>
      </c>
      <c r="O653" s="320" t="str" cm="1">
        <f t="array" ref="O653">_xlfn.IFNA(IF(INDEX(Tb_KostenOptiesDB[],MATCH($F653,Tb_KostenOptiesDB[KostenOptie],0),IFERROR(MATCH(Methode_Keuze,Tb_KostenOptiesDB[#Headers],0),2))=1,_xlfn.SWITCH($N653,"Uurtarief",IF(OR(AND(RIGHT($F653,3)="IKS",VLOOKUP($M653,DB_Loonkosten,2,0)="Ja"),AND(RIGHT($F653,3)&lt;&gt;"IKS",VLOOKUP($M653,DB_Loonkosten,2,0)="Nee")),IFERROR(VLOOKUP($M653,DB_Loonkosten,24,0),""),0),"Vast tarief",IF(LEFT(F653,8)="Bijdrage",VLOOKUP($F653,Tb_KostenTypen[],MATCH(Lijsten!$P$1,Tb_KostenTypen[#Headers],0),0),VLOOKUP($G653,Lijsten!L:P,MATCH(Lijsten!$P$1,Kop_Tarief_Vast,0),0))),""),"")</f>
        <v/>
      </c>
      <c r="P653" s="320" t="str" cm="1">
        <f t="array" ref="P653">_xlfn.IFNA(IF(INDEX(Tb_KostenOptiesDB[],MATCH($F653,Tb_KostenOptiesDB[KostenOptie],0),IFERROR(MATCH(Methode_Keuze,Tb_KostenOptiesDB[#Headers],0),2))=1,_xlfn.SWITCH($N653,"Uurtarief",IF(OR(AND(RIGHT($F653,3)="IKS",VLOOKUP($M653,DB_Loonkosten,2,0)="Ja"),AND(RIGHT($F653,3)&lt;&gt;"IKS",VLOOKUP($M653,DB_Loonkosten,2,0)="Nee")),IFERROR(VLOOKUP($M653,DB_Loonkosten,25,0),""),0),"Vast tarief",IF(LEFT(F653,8)="Bijdrage",VLOOKUP($F653,Tb_KostenTypen[],MATCH(Lijsten!$P$1,Tb_KostenTypen[#Headers],0),0),VLOOKUP($G653,Lijsten!L:P,MATCH(Lijsten!$P$1,Kop_Tarief_Vast,0),0))),""),"")</f>
        <v/>
      </c>
      <c r="Q653" s="359"/>
      <c r="R653" s="359"/>
      <c r="S653" s="321"/>
      <c r="T653" s="321"/>
      <c r="U653" s="373" t="str">
        <f t="shared" si="40"/>
        <v/>
      </c>
      <c r="V653" s="314" t="str">
        <f t="shared" si="41"/>
        <v/>
      </c>
      <c r="W653" s="314" t="str" cm="1">
        <f t="array" aca="1" ref="W653" ca="1">IFERROR(IF(AE653&lt;&gt;"ja",_xlfn.IFNA(_xlfn.IFS(AND(O653&lt;&gt;"",F653&lt;&gt;"",RIGHT($N653,6)="tarief",F653="Vergoeding"),SUM(O653)*FLOOR(SUM(Q653),0.0001),AND(O653&lt;&gt;"",F653&lt;&gt;"",RIGHT($N653,6)="tarief"),SUM(O653)*FLOOR(SUM(Q653),0.01),S653&gt;0,IF(F653&lt;&gt;"",FLOOR(SUM(S653),0.01),"")),""),""),"")</f>
        <v/>
      </c>
      <c r="X653" s="314" t="str" cm="1">
        <f t="array" aca="1" ref="X653" ca="1">IFERROR(IF(AE653&lt;&gt;"ja",_xlfn.IFNA(_xlfn.IFS(AND(P653&lt;&gt;"",R653&lt;&gt;"",RIGHT($N653,6)="tarief",F653="Vergoeding"),SUM(P653)*FLOOR(SUM(R653),0.0001),AND(P653&lt;&gt;"",R653&lt;&gt;"",RIGHT($N653,6)="tarief"),P653*FLOOR(R653,0.01),T653&gt;0,FLOOR(SUM(T653),0.01)),""),""),"")</f>
        <v/>
      </c>
      <c r="Y653" s="314" t="str">
        <f t="shared" ca="1" si="42"/>
        <v/>
      </c>
      <c r="Z653" s="314" t="str" cm="1">
        <f t="array" aca="1" ref="Z653" ca="1">IFERROR(_xlfn.IFS(OR(F653="",LEFT(Methode_Keuze,4)="Geen",Methode_Keuze=""),"",AND(W653&lt;&gt;"",F653&lt;&gt;"Arbeidskosten"),W653*VLOOKUP(F653,Tb_ProjectKosten[],MATCH(Tb_ProjectKosten[[#Headers],[Forfait_Percentage]],Tb_ProjectKosten[#Headers],0),0),AND(F653="Arbeidskosten",G653&lt;&gt;""),IFERROR(W653*VLOOKUP(G653,Tb_KostenTypen[],3,0)*VLOOKUP(F653,Tb_ProjectKosten[],MATCH(Tb_ProjectKosten[[#Headers],[Forfait_Percentage]],Tb_ProjectKosten[#Headers],0),0),""),W653 &lt;=0,0),"")</f>
        <v/>
      </c>
      <c r="AA653" s="314" t="str" cm="1">
        <f t="array" aca="1" ref="AA653" ca="1">IFERROR(_xlfn.IFS(OR(F653="",LEFT(Methode_Keuze,4)="Geen",Methode_Keuze=""),"",AND(X653&lt;&gt;"",F653&lt;&gt;"Arbeidskosten"),X653*VLOOKUP(F653,Tb_ProjectKosten[],MATCH(Tb_ProjectKosten[[#Headers],[Forfait_Percentage]],Tb_ProjectKosten[#Headers],0),0),AND(F653="Arbeidskosten",G653&lt;&gt;""),IFERROR(X653*VLOOKUP(G653,Tb_KostenTypen[],3,0)*VLOOKUP(F653,Tb_ProjectKosten[],MATCH(Tb_ProjectKosten[[#Headers],[Forfait_Percentage]],Tb_ProjectKosten[#Headers],0),0),""),X653 &lt;=0,0),"")</f>
        <v/>
      </c>
      <c r="AB653" s="314" t="str">
        <f t="shared" ca="1" si="43"/>
        <v/>
      </c>
      <c r="AC653" s="322"/>
      <c r="AD653" s="315"/>
      <c r="AE653" s="32" t="str" cm="1">
        <f t="array" ref="AE653">IFERROR(IF(INDEX(SubsidieTabel!$AD$1:$AG$12,MATCH($F653,SubsidieTabel!$AD$1:$AD$12,0),IFERROR(MATCH(Methode_Keuze,SubsidieTabel!$AD$1:$AG$1,0),2))&lt;&gt;1=TRUE,"ja",""),"")</f>
        <v/>
      </c>
    </row>
    <row r="654" spans="1:31" x14ac:dyDescent="0.25">
      <c r="A654" s="316"/>
      <c r="B654" s="317" t="str">
        <f>IF(A654&lt;&gt;"",_xlfn.MAXIFS($B$1:B653,$A$1:A653,A654)+1,"")</f>
        <v/>
      </c>
      <c r="C654" s="296"/>
      <c r="D654" s="296"/>
      <c r="E654" s="296"/>
      <c r="F654" s="296"/>
      <c r="G654" s="326"/>
      <c r="H654" s="324"/>
      <c r="I654" s="325"/>
      <c r="J654" s="325"/>
      <c r="K654" s="318"/>
      <c r="L654" s="318"/>
      <c r="M654" s="319" t="str">
        <f>IFERROR(VLOOKUP(H654,Lijsten!$H$1:$I$100,2,0),"")</f>
        <v/>
      </c>
      <c r="N654" s="319" t="str">
        <f ca="1">IFERROR(IF(VLOOKUP(F654,Kostentypen!$A$3:$E$21,3,0)=0,"",IF(OR(F654="Arbeidskosten",F654="Vergoeding"),VLOOKUP(G654,Tb_KostenTypen[],2,0),VLOOKUP(F654,Kostentypen!$A$3:$E$20,3,0))),"")</f>
        <v/>
      </c>
      <c r="O654" s="320" t="str" cm="1">
        <f t="array" ref="O654">_xlfn.IFNA(IF(INDEX(Tb_KostenOptiesDB[],MATCH($F654,Tb_KostenOptiesDB[KostenOptie],0),IFERROR(MATCH(Methode_Keuze,Tb_KostenOptiesDB[#Headers],0),2))=1,_xlfn.SWITCH($N654,"Uurtarief",IF(OR(AND(RIGHT($F654,3)="IKS",VLOOKUP($M654,DB_Loonkosten,2,0)="Ja"),AND(RIGHT($F654,3)&lt;&gt;"IKS",VLOOKUP($M654,DB_Loonkosten,2,0)="Nee")),IFERROR(VLOOKUP($M654,DB_Loonkosten,24,0),""),0),"Vast tarief",IF(LEFT(F654,8)="Bijdrage",VLOOKUP($F654,Tb_KostenTypen[],MATCH(Lijsten!$P$1,Tb_KostenTypen[#Headers],0),0),VLOOKUP($G654,Lijsten!L:P,MATCH(Lijsten!$P$1,Kop_Tarief_Vast,0),0))),""),"")</f>
        <v/>
      </c>
      <c r="P654" s="320" t="str" cm="1">
        <f t="array" ref="P654">_xlfn.IFNA(IF(INDEX(Tb_KostenOptiesDB[],MATCH($F654,Tb_KostenOptiesDB[KostenOptie],0),IFERROR(MATCH(Methode_Keuze,Tb_KostenOptiesDB[#Headers],0),2))=1,_xlfn.SWITCH($N654,"Uurtarief",IF(OR(AND(RIGHT($F654,3)="IKS",VLOOKUP($M654,DB_Loonkosten,2,0)="Ja"),AND(RIGHT($F654,3)&lt;&gt;"IKS",VLOOKUP($M654,DB_Loonkosten,2,0)="Nee")),IFERROR(VLOOKUP($M654,DB_Loonkosten,25,0),""),0),"Vast tarief",IF(LEFT(F654,8)="Bijdrage",VLOOKUP($F654,Tb_KostenTypen[],MATCH(Lijsten!$P$1,Tb_KostenTypen[#Headers],0),0),VLOOKUP($G654,Lijsten!L:P,MATCH(Lijsten!$P$1,Kop_Tarief_Vast,0),0))),""),"")</f>
        <v/>
      </c>
      <c r="Q654" s="359"/>
      <c r="R654" s="359"/>
      <c r="S654" s="321"/>
      <c r="T654" s="321"/>
      <c r="U654" s="373" t="str">
        <f t="shared" si="40"/>
        <v/>
      </c>
      <c r="V654" s="314" t="str">
        <f t="shared" si="41"/>
        <v/>
      </c>
      <c r="W654" s="314" t="str" cm="1">
        <f t="array" aca="1" ref="W654" ca="1">IFERROR(IF(AE654&lt;&gt;"ja",_xlfn.IFNA(_xlfn.IFS(AND(O654&lt;&gt;"",F654&lt;&gt;"",RIGHT($N654,6)="tarief",F654="Vergoeding"),SUM(O654)*FLOOR(SUM(Q654),0.0001),AND(O654&lt;&gt;"",F654&lt;&gt;"",RIGHT($N654,6)="tarief"),SUM(O654)*FLOOR(SUM(Q654),0.01),S654&gt;0,IF(F654&lt;&gt;"",FLOOR(SUM(S654),0.01),"")),""),""),"")</f>
        <v/>
      </c>
      <c r="X654" s="314" t="str" cm="1">
        <f t="array" aca="1" ref="X654" ca="1">IFERROR(IF(AE654&lt;&gt;"ja",_xlfn.IFNA(_xlfn.IFS(AND(P654&lt;&gt;"",R654&lt;&gt;"",RIGHT($N654,6)="tarief",F654="Vergoeding"),SUM(P654)*FLOOR(SUM(R654),0.0001),AND(P654&lt;&gt;"",R654&lt;&gt;"",RIGHT($N654,6)="tarief"),P654*FLOOR(R654,0.01),T654&gt;0,FLOOR(SUM(T654),0.01)),""),""),"")</f>
        <v/>
      </c>
      <c r="Y654" s="314" t="str">
        <f t="shared" ca="1" si="42"/>
        <v/>
      </c>
      <c r="Z654" s="314" t="str" cm="1">
        <f t="array" aca="1" ref="Z654" ca="1">IFERROR(_xlfn.IFS(OR(F654="",LEFT(Methode_Keuze,4)="Geen",Methode_Keuze=""),"",AND(W654&lt;&gt;"",F654&lt;&gt;"Arbeidskosten"),W654*VLOOKUP(F654,Tb_ProjectKosten[],MATCH(Tb_ProjectKosten[[#Headers],[Forfait_Percentage]],Tb_ProjectKosten[#Headers],0),0),AND(F654="Arbeidskosten",G654&lt;&gt;""),IFERROR(W654*VLOOKUP(G654,Tb_KostenTypen[],3,0)*VLOOKUP(F654,Tb_ProjectKosten[],MATCH(Tb_ProjectKosten[[#Headers],[Forfait_Percentage]],Tb_ProjectKosten[#Headers],0),0),""),W654 &lt;=0,0),"")</f>
        <v/>
      </c>
      <c r="AA654" s="314" t="str" cm="1">
        <f t="array" aca="1" ref="AA654" ca="1">IFERROR(_xlfn.IFS(OR(F654="",LEFT(Methode_Keuze,4)="Geen",Methode_Keuze=""),"",AND(X654&lt;&gt;"",F654&lt;&gt;"Arbeidskosten"),X654*VLOOKUP(F654,Tb_ProjectKosten[],MATCH(Tb_ProjectKosten[[#Headers],[Forfait_Percentage]],Tb_ProjectKosten[#Headers],0),0),AND(F654="Arbeidskosten",G654&lt;&gt;""),IFERROR(X654*VLOOKUP(G654,Tb_KostenTypen[],3,0)*VLOOKUP(F654,Tb_ProjectKosten[],MATCH(Tb_ProjectKosten[[#Headers],[Forfait_Percentage]],Tb_ProjectKosten[#Headers],0),0),""),X654 &lt;=0,0),"")</f>
        <v/>
      </c>
      <c r="AB654" s="314" t="str">
        <f t="shared" ca="1" si="43"/>
        <v/>
      </c>
      <c r="AC654" s="322"/>
      <c r="AD654" s="315"/>
      <c r="AE654" s="32" t="str" cm="1">
        <f t="array" ref="AE654">IFERROR(IF(INDEX(SubsidieTabel!$AD$1:$AG$12,MATCH($F654,SubsidieTabel!$AD$1:$AD$12,0),IFERROR(MATCH(Methode_Keuze,SubsidieTabel!$AD$1:$AG$1,0),2))&lt;&gt;1=TRUE,"ja",""),"")</f>
        <v/>
      </c>
    </row>
    <row r="655" spans="1:31" x14ac:dyDescent="0.25">
      <c r="A655" s="316"/>
      <c r="B655" s="317" t="str">
        <f>IF(A655&lt;&gt;"",_xlfn.MAXIFS($B$1:B654,$A$1:A654,A655)+1,"")</f>
        <v/>
      </c>
      <c r="C655" s="296"/>
      <c r="D655" s="296"/>
      <c r="E655" s="296"/>
      <c r="F655" s="296"/>
      <c r="G655" s="326"/>
      <c r="H655" s="324"/>
      <c r="I655" s="325"/>
      <c r="J655" s="325"/>
      <c r="K655" s="318"/>
      <c r="L655" s="318"/>
      <c r="M655" s="319" t="str">
        <f>IFERROR(VLOOKUP(H655,Lijsten!$H$1:$I$100,2,0),"")</f>
        <v/>
      </c>
      <c r="N655" s="319" t="str">
        <f ca="1">IFERROR(IF(VLOOKUP(F655,Kostentypen!$A$3:$E$21,3,0)=0,"",IF(OR(F655="Arbeidskosten",F655="Vergoeding"),VLOOKUP(G655,Tb_KostenTypen[],2,0),VLOOKUP(F655,Kostentypen!$A$3:$E$20,3,0))),"")</f>
        <v/>
      </c>
      <c r="O655" s="320" t="str" cm="1">
        <f t="array" ref="O655">_xlfn.IFNA(IF(INDEX(Tb_KostenOptiesDB[],MATCH($F655,Tb_KostenOptiesDB[KostenOptie],0),IFERROR(MATCH(Methode_Keuze,Tb_KostenOptiesDB[#Headers],0),2))=1,_xlfn.SWITCH($N655,"Uurtarief",IF(OR(AND(RIGHT($F655,3)="IKS",VLOOKUP($M655,DB_Loonkosten,2,0)="Ja"),AND(RIGHT($F655,3)&lt;&gt;"IKS",VLOOKUP($M655,DB_Loonkosten,2,0)="Nee")),IFERROR(VLOOKUP($M655,DB_Loonkosten,24,0),""),0),"Vast tarief",IF(LEFT(F655,8)="Bijdrage",VLOOKUP($F655,Tb_KostenTypen[],MATCH(Lijsten!$P$1,Tb_KostenTypen[#Headers],0),0),VLOOKUP($G655,Lijsten!L:P,MATCH(Lijsten!$P$1,Kop_Tarief_Vast,0),0))),""),"")</f>
        <v/>
      </c>
      <c r="P655" s="320" t="str" cm="1">
        <f t="array" ref="P655">_xlfn.IFNA(IF(INDEX(Tb_KostenOptiesDB[],MATCH($F655,Tb_KostenOptiesDB[KostenOptie],0),IFERROR(MATCH(Methode_Keuze,Tb_KostenOptiesDB[#Headers],0),2))=1,_xlfn.SWITCH($N655,"Uurtarief",IF(OR(AND(RIGHT($F655,3)="IKS",VLOOKUP($M655,DB_Loonkosten,2,0)="Ja"),AND(RIGHT($F655,3)&lt;&gt;"IKS",VLOOKUP($M655,DB_Loonkosten,2,0)="Nee")),IFERROR(VLOOKUP($M655,DB_Loonkosten,25,0),""),0),"Vast tarief",IF(LEFT(F655,8)="Bijdrage",VLOOKUP($F655,Tb_KostenTypen[],MATCH(Lijsten!$P$1,Tb_KostenTypen[#Headers],0),0),VLOOKUP($G655,Lijsten!L:P,MATCH(Lijsten!$P$1,Kop_Tarief_Vast,0),0))),""),"")</f>
        <v/>
      </c>
      <c r="Q655" s="359"/>
      <c r="R655" s="359"/>
      <c r="S655" s="321"/>
      <c r="T655" s="321"/>
      <c r="U655" s="373" t="str">
        <f t="shared" si="40"/>
        <v/>
      </c>
      <c r="V655" s="314" t="str">
        <f t="shared" si="41"/>
        <v/>
      </c>
      <c r="W655" s="314" t="str" cm="1">
        <f t="array" aca="1" ref="W655" ca="1">IFERROR(IF(AE655&lt;&gt;"ja",_xlfn.IFNA(_xlfn.IFS(AND(O655&lt;&gt;"",F655&lt;&gt;"",RIGHT($N655,6)="tarief",F655="Vergoeding"),SUM(O655)*FLOOR(SUM(Q655),0.0001),AND(O655&lt;&gt;"",F655&lt;&gt;"",RIGHT($N655,6)="tarief"),SUM(O655)*FLOOR(SUM(Q655),0.01),S655&gt;0,IF(F655&lt;&gt;"",FLOOR(SUM(S655),0.01),"")),""),""),"")</f>
        <v/>
      </c>
      <c r="X655" s="314" t="str" cm="1">
        <f t="array" aca="1" ref="X655" ca="1">IFERROR(IF(AE655&lt;&gt;"ja",_xlfn.IFNA(_xlfn.IFS(AND(P655&lt;&gt;"",R655&lt;&gt;"",RIGHT($N655,6)="tarief",F655="Vergoeding"),SUM(P655)*FLOOR(SUM(R655),0.0001),AND(P655&lt;&gt;"",R655&lt;&gt;"",RIGHT($N655,6)="tarief"),P655*FLOOR(R655,0.01),T655&gt;0,FLOOR(SUM(T655),0.01)),""),""),"")</f>
        <v/>
      </c>
      <c r="Y655" s="314" t="str">
        <f t="shared" ca="1" si="42"/>
        <v/>
      </c>
      <c r="Z655" s="314" t="str" cm="1">
        <f t="array" aca="1" ref="Z655" ca="1">IFERROR(_xlfn.IFS(OR(F655="",LEFT(Methode_Keuze,4)="Geen",Methode_Keuze=""),"",AND(W655&lt;&gt;"",F655&lt;&gt;"Arbeidskosten"),W655*VLOOKUP(F655,Tb_ProjectKosten[],MATCH(Tb_ProjectKosten[[#Headers],[Forfait_Percentage]],Tb_ProjectKosten[#Headers],0),0),AND(F655="Arbeidskosten",G655&lt;&gt;""),IFERROR(W655*VLOOKUP(G655,Tb_KostenTypen[],3,0)*VLOOKUP(F655,Tb_ProjectKosten[],MATCH(Tb_ProjectKosten[[#Headers],[Forfait_Percentage]],Tb_ProjectKosten[#Headers],0),0),""),W655 &lt;=0,0),"")</f>
        <v/>
      </c>
      <c r="AA655" s="314" t="str" cm="1">
        <f t="array" aca="1" ref="AA655" ca="1">IFERROR(_xlfn.IFS(OR(F655="",LEFT(Methode_Keuze,4)="Geen",Methode_Keuze=""),"",AND(X655&lt;&gt;"",F655&lt;&gt;"Arbeidskosten"),X655*VLOOKUP(F655,Tb_ProjectKosten[],MATCH(Tb_ProjectKosten[[#Headers],[Forfait_Percentage]],Tb_ProjectKosten[#Headers],0),0),AND(F655="Arbeidskosten",G655&lt;&gt;""),IFERROR(X655*VLOOKUP(G655,Tb_KostenTypen[],3,0)*VLOOKUP(F655,Tb_ProjectKosten[],MATCH(Tb_ProjectKosten[[#Headers],[Forfait_Percentage]],Tb_ProjectKosten[#Headers],0),0),""),X655 &lt;=0,0),"")</f>
        <v/>
      </c>
      <c r="AB655" s="314" t="str">
        <f t="shared" ca="1" si="43"/>
        <v/>
      </c>
      <c r="AC655" s="322"/>
      <c r="AD655" s="315"/>
      <c r="AE655" s="32" t="str" cm="1">
        <f t="array" ref="AE655">IFERROR(IF(INDEX(SubsidieTabel!$AD$1:$AG$12,MATCH($F655,SubsidieTabel!$AD$1:$AD$12,0),IFERROR(MATCH(Methode_Keuze,SubsidieTabel!$AD$1:$AG$1,0),2))&lt;&gt;1=TRUE,"ja",""),"")</f>
        <v/>
      </c>
    </row>
    <row r="656" spans="1:31" x14ac:dyDescent="0.25">
      <c r="A656" s="316"/>
      <c r="B656" s="317" t="str">
        <f>IF(A656&lt;&gt;"",_xlfn.MAXIFS($B$1:B655,$A$1:A655,A656)+1,"")</f>
        <v/>
      </c>
      <c r="C656" s="296"/>
      <c r="D656" s="296"/>
      <c r="E656" s="296"/>
      <c r="F656" s="296"/>
      <c r="G656" s="326"/>
      <c r="H656" s="324"/>
      <c r="I656" s="325"/>
      <c r="J656" s="325"/>
      <c r="K656" s="318"/>
      <c r="L656" s="318"/>
      <c r="M656" s="319" t="str">
        <f>IFERROR(VLOOKUP(H656,Lijsten!$H$1:$I$100,2,0),"")</f>
        <v/>
      </c>
      <c r="N656" s="319" t="str">
        <f ca="1">IFERROR(IF(VLOOKUP(F656,Kostentypen!$A$3:$E$21,3,0)=0,"",IF(OR(F656="Arbeidskosten",F656="Vergoeding"),VLOOKUP(G656,Tb_KostenTypen[],2,0),VLOOKUP(F656,Kostentypen!$A$3:$E$20,3,0))),"")</f>
        <v/>
      </c>
      <c r="O656" s="320" t="str" cm="1">
        <f t="array" ref="O656">_xlfn.IFNA(IF(INDEX(Tb_KostenOptiesDB[],MATCH($F656,Tb_KostenOptiesDB[KostenOptie],0),IFERROR(MATCH(Methode_Keuze,Tb_KostenOptiesDB[#Headers],0),2))=1,_xlfn.SWITCH($N656,"Uurtarief",IF(OR(AND(RIGHT($F656,3)="IKS",VLOOKUP($M656,DB_Loonkosten,2,0)="Ja"),AND(RIGHT($F656,3)&lt;&gt;"IKS",VLOOKUP($M656,DB_Loonkosten,2,0)="Nee")),IFERROR(VLOOKUP($M656,DB_Loonkosten,24,0),""),0),"Vast tarief",IF(LEFT(F656,8)="Bijdrage",VLOOKUP($F656,Tb_KostenTypen[],MATCH(Lijsten!$P$1,Tb_KostenTypen[#Headers],0),0),VLOOKUP($G656,Lijsten!L:P,MATCH(Lijsten!$P$1,Kop_Tarief_Vast,0),0))),""),"")</f>
        <v/>
      </c>
      <c r="P656" s="320" t="str" cm="1">
        <f t="array" ref="P656">_xlfn.IFNA(IF(INDEX(Tb_KostenOptiesDB[],MATCH($F656,Tb_KostenOptiesDB[KostenOptie],0),IFERROR(MATCH(Methode_Keuze,Tb_KostenOptiesDB[#Headers],0),2))=1,_xlfn.SWITCH($N656,"Uurtarief",IF(OR(AND(RIGHT($F656,3)="IKS",VLOOKUP($M656,DB_Loonkosten,2,0)="Ja"),AND(RIGHT($F656,3)&lt;&gt;"IKS",VLOOKUP($M656,DB_Loonkosten,2,0)="Nee")),IFERROR(VLOOKUP($M656,DB_Loonkosten,25,0),""),0),"Vast tarief",IF(LEFT(F656,8)="Bijdrage",VLOOKUP($F656,Tb_KostenTypen[],MATCH(Lijsten!$P$1,Tb_KostenTypen[#Headers],0),0),VLOOKUP($G656,Lijsten!L:P,MATCH(Lijsten!$P$1,Kop_Tarief_Vast,0),0))),""),"")</f>
        <v/>
      </c>
      <c r="Q656" s="359"/>
      <c r="R656" s="359"/>
      <c r="S656" s="321"/>
      <c r="T656" s="321"/>
      <c r="U656" s="373" t="str">
        <f t="shared" si="40"/>
        <v/>
      </c>
      <c r="V656" s="314" t="str">
        <f t="shared" si="41"/>
        <v/>
      </c>
      <c r="W656" s="314" t="str" cm="1">
        <f t="array" aca="1" ref="W656" ca="1">IFERROR(IF(AE656&lt;&gt;"ja",_xlfn.IFNA(_xlfn.IFS(AND(O656&lt;&gt;"",F656&lt;&gt;"",RIGHT($N656,6)="tarief",F656="Vergoeding"),SUM(O656)*FLOOR(SUM(Q656),0.0001),AND(O656&lt;&gt;"",F656&lt;&gt;"",RIGHT($N656,6)="tarief"),SUM(O656)*FLOOR(SUM(Q656),0.01),S656&gt;0,IF(F656&lt;&gt;"",FLOOR(SUM(S656),0.01),"")),""),""),"")</f>
        <v/>
      </c>
      <c r="X656" s="314" t="str" cm="1">
        <f t="array" aca="1" ref="X656" ca="1">IFERROR(IF(AE656&lt;&gt;"ja",_xlfn.IFNA(_xlfn.IFS(AND(P656&lt;&gt;"",R656&lt;&gt;"",RIGHT($N656,6)="tarief",F656="Vergoeding"),SUM(P656)*FLOOR(SUM(R656),0.0001),AND(P656&lt;&gt;"",R656&lt;&gt;"",RIGHT($N656,6)="tarief"),P656*FLOOR(R656,0.01),T656&gt;0,FLOOR(SUM(T656),0.01)),""),""),"")</f>
        <v/>
      </c>
      <c r="Y656" s="314" t="str">
        <f t="shared" ca="1" si="42"/>
        <v/>
      </c>
      <c r="Z656" s="314" t="str" cm="1">
        <f t="array" aca="1" ref="Z656" ca="1">IFERROR(_xlfn.IFS(OR(F656="",LEFT(Methode_Keuze,4)="Geen",Methode_Keuze=""),"",AND(W656&lt;&gt;"",F656&lt;&gt;"Arbeidskosten"),W656*VLOOKUP(F656,Tb_ProjectKosten[],MATCH(Tb_ProjectKosten[[#Headers],[Forfait_Percentage]],Tb_ProjectKosten[#Headers],0),0),AND(F656="Arbeidskosten",G656&lt;&gt;""),IFERROR(W656*VLOOKUP(G656,Tb_KostenTypen[],3,0)*VLOOKUP(F656,Tb_ProjectKosten[],MATCH(Tb_ProjectKosten[[#Headers],[Forfait_Percentage]],Tb_ProjectKosten[#Headers],0),0),""),W656 &lt;=0,0),"")</f>
        <v/>
      </c>
      <c r="AA656" s="314" t="str" cm="1">
        <f t="array" aca="1" ref="AA656" ca="1">IFERROR(_xlfn.IFS(OR(F656="",LEFT(Methode_Keuze,4)="Geen",Methode_Keuze=""),"",AND(X656&lt;&gt;"",F656&lt;&gt;"Arbeidskosten"),X656*VLOOKUP(F656,Tb_ProjectKosten[],MATCH(Tb_ProjectKosten[[#Headers],[Forfait_Percentage]],Tb_ProjectKosten[#Headers],0),0),AND(F656="Arbeidskosten",G656&lt;&gt;""),IFERROR(X656*VLOOKUP(G656,Tb_KostenTypen[],3,0)*VLOOKUP(F656,Tb_ProjectKosten[],MATCH(Tb_ProjectKosten[[#Headers],[Forfait_Percentage]],Tb_ProjectKosten[#Headers],0),0),""),X656 &lt;=0,0),"")</f>
        <v/>
      </c>
      <c r="AB656" s="314" t="str">
        <f t="shared" ca="1" si="43"/>
        <v/>
      </c>
      <c r="AC656" s="322"/>
      <c r="AD656" s="315"/>
      <c r="AE656" s="32" t="str" cm="1">
        <f t="array" ref="AE656">IFERROR(IF(INDEX(SubsidieTabel!$AD$1:$AG$12,MATCH($F656,SubsidieTabel!$AD$1:$AD$12,0),IFERROR(MATCH(Methode_Keuze,SubsidieTabel!$AD$1:$AG$1,0),2))&lt;&gt;1=TRUE,"ja",""),"")</f>
        <v/>
      </c>
    </row>
    <row r="657" spans="1:31" x14ac:dyDescent="0.25">
      <c r="A657" s="316"/>
      <c r="B657" s="317" t="str">
        <f>IF(A657&lt;&gt;"",_xlfn.MAXIFS($B$1:B656,$A$1:A656,A657)+1,"")</f>
        <v/>
      </c>
      <c r="C657" s="296"/>
      <c r="D657" s="296"/>
      <c r="E657" s="296"/>
      <c r="F657" s="296"/>
      <c r="G657" s="326"/>
      <c r="H657" s="324"/>
      <c r="I657" s="325"/>
      <c r="J657" s="325"/>
      <c r="K657" s="318"/>
      <c r="L657" s="318"/>
      <c r="M657" s="319" t="str">
        <f>IFERROR(VLOOKUP(H657,Lijsten!$H$1:$I$100,2,0),"")</f>
        <v/>
      </c>
      <c r="N657" s="319" t="str">
        <f ca="1">IFERROR(IF(VLOOKUP(F657,Kostentypen!$A$3:$E$21,3,0)=0,"",IF(OR(F657="Arbeidskosten",F657="Vergoeding"),VLOOKUP(G657,Tb_KostenTypen[],2,0),VLOOKUP(F657,Kostentypen!$A$3:$E$20,3,0))),"")</f>
        <v/>
      </c>
      <c r="O657" s="320" t="str" cm="1">
        <f t="array" ref="O657">_xlfn.IFNA(IF(INDEX(Tb_KostenOptiesDB[],MATCH($F657,Tb_KostenOptiesDB[KostenOptie],0),IFERROR(MATCH(Methode_Keuze,Tb_KostenOptiesDB[#Headers],0),2))=1,_xlfn.SWITCH($N657,"Uurtarief",IF(OR(AND(RIGHT($F657,3)="IKS",VLOOKUP($M657,DB_Loonkosten,2,0)="Ja"),AND(RIGHT($F657,3)&lt;&gt;"IKS",VLOOKUP($M657,DB_Loonkosten,2,0)="Nee")),IFERROR(VLOOKUP($M657,DB_Loonkosten,24,0),""),0),"Vast tarief",IF(LEFT(F657,8)="Bijdrage",VLOOKUP($F657,Tb_KostenTypen[],MATCH(Lijsten!$P$1,Tb_KostenTypen[#Headers],0),0),VLOOKUP($G657,Lijsten!L:P,MATCH(Lijsten!$P$1,Kop_Tarief_Vast,0),0))),""),"")</f>
        <v/>
      </c>
      <c r="P657" s="320" t="str" cm="1">
        <f t="array" ref="P657">_xlfn.IFNA(IF(INDEX(Tb_KostenOptiesDB[],MATCH($F657,Tb_KostenOptiesDB[KostenOptie],0),IFERROR(MATCH(Methode_Keuze,Tb_KostenOptiesDB[#Headers],0),2))=1,_xlfn.SWITCH($N657,"Uurtarief",IF(OR(AND(RIGHT($F657,3)="IKS",VLOOKUP($M657,DB_Loonkosten,2,0)="Ja"),AND(RIGHT($F657,3)&lt;&gt;"IKS",VLOOKUP($M657,DB_Loonkosten,2,0)="Nee")),IFERROR(VLOOKUP($M657,DB_Loonkosten,25,0),""),0),"Vast tarief",IF(LEFT(F657,8)="Bijdrage",VLOOKUP($F657,Tb_KostenTypen[],MATCH(Lijsten!$P$1,Tb_KostenTypen[#Headers],0),0),VLOOKUP($G657,Lijsten!L:P,MATCH(Lijsten!$P$1,Kop_Tarief_Vast,0),0))),""),"")</f>
        <v/>
      </c>
      <c r="Q657" s="359"/>
      <c r="R657" s="359"/>
      <c r="S657" s="321"/>
      <c r="T657" s="321"/>
      <c r="U657" s="373" t="str">
        <f t="shared" si="40"/>
        <v/>
      </c>
      <c r="V657" s="314" t="str">
        <f t="shared" si="41"/>
        <v/>
      </c>
      <c r="W657" s="314" t="str" cm="1">
        <f t="array" aca="1" ref="W657" ca="1">IFERROR(IF(AE657&lt;&gt;"ja",_xlfn.IFNA(_xlfn.IFS(AND(O657&lt;&gt;"",F657&lt;&gt;"",RIGHT($N657,6)="tarief",F657="Vergoeding"),SUM(O657)*FLOOR(SUM(Q657),0.0001),AND(O657&lt;&gt;"",F657&lt;&gt;"",RIGHT($N657,6)="tarief"),SUM(O657)*FLOOR(SUM(Q657),0.01),S657&gt;0,IF(F657&lt;&gt;"",FLOOR(SUM(S657),0.01),"")),""),""),"")</f>
        <v/>
      </c>
      <c r="X657" s="314" t="str" cm="1">
        <f t="array" aca="1" ref="X657" ca="1">IFERROR(IF(AE657&lt;&gt;"ja",_xlfn.IFNA(_xlfn.IFS(AND(P657&lt;&gt;"",R657&lt;&gt;"",RIGHT($N657,6)="tarief",F657="Vergoeding"),SUM(P657)*FLOOR(SUM(R657),0.0001),AND(P657&lt;&gt;"",R657&lt;&gt;"",RIGHT($N657,6)="tarief"),P657*FLOOR(R657,0.01),T657&gt;0,FLOOR(SUM(T657),0.01)),""),""),"")</f>
        <v/>
      </c>
      <c r="Y657" s="314" t="str">
        <f t="shared" ca="1" si="42"/>
        <v/>
      </c>
      <c r="Z657" s="314" t="str" cm="1">
        <f t="array" aca="1" ref="Z657" ca="1">IFERROR(_xlfn.IFS(OR(F657="",LEFT(Methode_Keuze,4)="Geen",Methode_Keuze=""),"",AND(W657&lt;&gt;"",F657&lt;&gt;"Arbeidskosten"),W657*VLOOKUP(F657,Tb_ProjectKosten[],MATCH(Tb_ProjectKosten[[#Headers],[Forfait_Percentage]],Tb_ProjectKosten[#Headers],0),0),AND(F657="Arbeidskosten",G657&lt;&gt;""),IFERROR(W657*VLOOKUP(G657,Tb_KostenTypen[],3,0)*VLOOKUP(F657,Tb_ProjectKosten[],MATCH(Tb_ProjectKosten[[#Headers],[Forfait_Percentage]],Tb_ProjectKosten[#Headers],0),0),""),W657 &lt;=0,0),"")</f>
        <v/>
      </c>
      <c r="AA657" s="314" t="str" cm="1">
        <f t="array" aca="1" ref="AA657" ca="1">IFERROR(_xlfn.IFS(OR(F657="",LEFT(Methode_Keuze,4)="Geen",Methode_Keuze=""),"",AND(X657&lt;&gt;"",F657&lt;&gt;"Arbeidskosten"),X657*VLOOKUP(F657,Tb_ProjectKosten[],MATCH(Tb_ProjectKosten[[#Headers],[Forfait_Percentage]],Tb_ProjectKosten[#Headers],0),0),AND(F657="Arbeidskosten",G657&lt;&gt;""),IFERROR(X657*VLOOKUP(G657,Tb_KostenTypen[],3,0)*VLOOKUP(F657,Tb_ProjectKosten[],MATCH(Tb_ProjectKosten[[#Headers],[Forfait_Percentage]],Tb_ProjectKosten[#Headers],0),0),""),X657 &lt;=0,0),"")</f>
        <v/>
      </c>
      <c r="AB657" s="314" t="str">
        <f t="shared" ca="1" si="43"/>
        <v/>
      </c>
      <c r="AC657" s="322"/>
      <c r="AD657" s="315"/>
      <c r="AE657" s="32" t="str" cm="1">
        <f t="array" ref="AE657">IFERROR(IF(INDEX(SubsidieTabel!$AD$1:$AG$12,MATCH($F657,SubsidieTabel!$AD$1:$AD$12,0),IFERROR(MATCH(Methode_Keuze,SubsidieTabel!$AD$1:$AG$1,0),2))&lt;&gt;1=TRUE,"ja",""),"")</f>
        <v/>
      </c>
    </row>
    <row r="658" spans="1:31" x14ac:dyDescent="0.25">
      <c r="A658" s="316"/>
      <c r="B658" s="317" t="str">
        <f>IF(A658&lt;&gt;"",_xlfn.MAXIFS($B$1:B657,$A$1:A657,A658)+1,"")</f>
        <v/>
      </c>
      <c r="C658" s="296"/>
      <c r="D658" s="296"/>
      <c r="E658" s="296"/>
      <c r="F658" s="296"/>
      <c r="G658" s="326"/>
      <c r="H658" s="324"/>
      <c r="I658" s="325"/>
      <c r="J658" s="325"/>
      <c r="K658" s="318"/>
      <c r="L658" s="318"/>
      <c r="M658" s="319" t="str">
        <f>IFERROR(VLOOKUP(H658,Lijsten!$H$1:$I$100,2,0),"")</f>
        <v/>
      </c>
      <c r="N658" s="319" t="str">
        <f ca="1">IFERROR(IF(VLOOKUP(F658,Kostentypen!$A$3:$E$21,3,0)=0,"",IF(OR(F658="Arbeidskosten",F658="Vergoeding"),VLOOKUP(G658,Tb_KostenTypen[],2,0),VLOOKUP(F658,Kostentypen!$A$3:$E$20,3,0))),"")</f>
        <v/>
      </c>
      <c r="O658" s="320" t="str" cm="1">
        <f t="array" ref="O658">_xlfn.IFNA(IF(INDEX(Tb_KostenOptiesDB[],MATCH($F658,Tb_KostenOptiesDB[KostenOptie],0),IFERROR(MATCH(Methode_Keuze,Tb_KostenOptiesDB[#Headers],0),2))=1,_xlfn.SWITCH($N658,"Uurtarief",IF(OR(AND(RIGHT($F658,3)="IKS",VLOOKUP($M658,DB_Loonkosten,2,0)="Ja"),AND(RIGHT($F658,3)&lt;&gt;"IKS",VLOOKUP($M658,DB_Loonkosten,2,0)="Nee")),IFERROR(VLOOKUP($M658,DB_Loonkosten,24,0),""),0),"Vast tarief",IF(LEFT(F658,8)="Bijdrage",VLOOKUP($F658,Tb_KostenTypen[],MATCH(Lijsten!$P$1,Tb_KostenTypen[#Headers],0),0),VLOOKUP($G658,Lijsten!L:P,MATCH(Lijsten!$P$1,Kop_Tarief_Vast,0),0))),""),"")</f>
        <v/>
      </c>
      <c r="P658" s="320" t="str" cm="1">
        <f t="array" ref="P658">_xlfn.IFNA(IF(INDEX(Tb_KostenOptiesDB[],MATCH($F658,Tb_KostenOptiesDB[KostenOptie],0),IFERROR(MATCH(Methode_Keuze,Tb_KostenOptiesDB[#Headers],0),2))=1,_xlfn.SWITCH($N658,"Uurtarief",IF(OR(AND(RIGHT($F658,3)="IKS",VLOOKUP($M658,DB_Loonkosten,2,0)="Ja"),AND(RIGHT($F658,3)&lt;&gt;"IKS",VLOOKUP($M658,DB_Loonkosten,2,0)="Nee")),IFERROR(VLOOKUP($M658,DB_Loonkosten,25,0),""),0),"Vast tarief",IF(LEFT(F658,8)="Bijdrage",VLOOKUP($F658,Tb_KostenTypen[],MATCH(Lijsten!$P$1,Tb_KostenTypen[#Headers],0),0),VLOOKUP($G658,Lijsten!L:P,MATCH(Lijsten!$P$1,Kop_Tarief_Vast,0),0))),""),"")</f>
        <v/>
      </c>
      <c r="Q658" s="359"/>
      <c r="R658" s="359"/>
      <c r="S658" s="321"/>
      <c r="T658" s="321"/>
      <c r="U658" s="373" t="str">
        <f t="shared" si="40"/>
        <v/>
      </c>
      <c r="V658" s="314" t="str">
        <f t="shared" si="41"/>
        <v/>
      </c>
      <c r="W658" s="314" t="str" cm="1">
        <f t="array" aca="1" ref="W658" ca="1">IFERROR(IF(AE658&lt;&gt;"ja",_xlfn.IFNA(_xlfn.IFS(AND(O658&lt;&gt;"",F658&lt;&gt;"",RIGHT($N658,6)="tarief",F658="Vergoeding"),SUM(O658)*FLOOR(SUM(Q658),0.0001),AND(O658&lt;&gt;"",F658&lt;&gt;"",RIGHT($N658,6)="tarief"),SUM(O658)*FLOOR(SUM(Q658),0.01),S658&gt;0,IF(F658&lt;&gt;"",FLOOR(SUM(S658),0.01),"")),""),""),"")</f>
        <v/>
      </c>
      <c r="X658" s="314" t="str" cm="1">
        <f t="array" aca="1" ref="X658" ca="1">IFERROR(IF(AE658&lt;&gt;"ja",_xlfn.IFNA(_xlfn.IFS(AND(P658&lt;&gt;"",R658&lt;&gt;"",RIGHT($N658,6)="tarief",F658="Vergoeding"),SUM(P658)*FLOOR(SUM(R658),0.0001),AND(P658&lt;&gt;"",R658&lt;&gt;"",RIGHT($N658,6)="tarief"),P658*FLOOR(R658,0.01),T658&gt;0,FLOOR(SUM(T658),0.01)),""),""),"")</f>
        <v/>
      </c>
      <c r="Y658" s="314" t="str">
        <f t="shared" ca="1" si="42"/>
        <v/>
      </c>
      <c r="Z658" s="314" t="str" cm="1">
        <f t="array" aca="1" ref="Z658" ca="1">IFERROR(_xlfn.IFS(OR(F658="",LEFT(Methode_Keuze,4)="Geen",Methode_Keuze=""),"",AND(W658&lt;&gt;"",F658&lt;&gt;"Arbeidskosten"),W658*VLOOKUP(F658,Tb_ProjectKosten[],MATCH(Tb_ProjectKosten[[#Headers],[Forfait_Percentage]],Tb_ProjectKosten[#Headers],0),0),AND(F658="Arbeidskosten",G658&lt;&gt;""),IFERROR(W658*VLOOKUP(G658,Tb_KostenTypen[],3,0)*VLOOKUP(F658,Tb_ProjectKosten[],MATCH(Tb_ProjectKosten[[#Headers],[Forfait_Percentage]],Tb_ProjectKosten[#Headers],0),0),""),W658 &lt;=0,0),"")</f>
        <v/>
      </c>
      <c r="AA658" s="314" t="str" cm="1">
        <f t="array" aca="1" ref="AA658" ca="1">IFERROR(_xlfn.IFS(OR(F658="",LEFT(Methode_Keuze,4)="Geen",Methode_Keuze=""),"",AND(X658&lt;&gt;"",F658&lt;&gt;"Arbeidskosten"),X658*VLOOKUP(F658,Tb_ProjectKosten[],MATCH(Tb_ProjectKosten[[#Headers],[Forfait_Percentage]],Tb_ProjectKosten[#Headers],0),0),AND(F658="Arbeidskosten",G658&lt;&gt;""),IFERROR(X658*VLOOKUP(G658,Tb_KostenTypen[],3,0)*VLOOKUP(F658,Tb_ProjectKosten[],MATCH(Tb_ProjectKosten[[#Headers],[Forfait_Percentage]],Tb_ProjectKosten[#Headers],0),0),""),X658 &lt;=0,0),"")</f>
        <v/>
      </c>
      <c r="AB658" s="314" t="str">
        <f t="shared" ca="1" si="43"/>
        <v/>
      </c>
      <c r="AC658" s="322"/>
      <c r="AD658" s="315"/>
      <c r="AE658" s="32" t="str" cm="1">
        <f t="array" ref="AE658">IFERROR(IF(INDEX(SubsidieTabel!$AD$1:$AG$12,MATCH($F658,SubsidieTabel!$AD$1:$AD$12,0),IFERROR(MATCH(Methode_Keuze,SubsidieTabel!$AD$1:$AG$1,0),2))&lt;&gt;1=TRUE,"ja",""),"")</f>
        <v/>
      </c>
    </row>
    <row r="659" spans="1:31" x14ac:dyDescent="0.25">
      <c r="A659" s="316"/>
      <c r="B659" s="317" t="str">
        <f>IF(A659&lt;&gt;"",_xlfn.MAXIFS($B$1:B658,$A$1:A658,A659)+1,"")</f>
        <v/>
      </c>
      <c r="C659" s="296"/>
      <c r="D659" s="296"/>
      <c r="E659" s="296"/>
      <c r="F659" s="296"/>
      <c r="G659" s="326"/>
      <c r="H659" s="324"/>
      <c r="I659" s="325"/>
      <c r="J659" s="325"/>
      <c r="K659" s="318"/>
      <c r="L659" s="318"/>
      <c r="M659" s="319" t="str">
        <f>IFERROR(VLOOKUP(H659,Lijsten!$H$1:$I$100,2,0),"")</f>
        <v/>
      </c>
      <c r="N659" s="319" t="str">
        <f ca="1">IFERROR(IF(VLOOKUP(F659,Kostentypen!$A$3:$E$21,3,0)=0,"",IF(OR(F659="Arbeidskosten",F659="Vergoeding"),VLOOKUP(G659,Tb_KostenTypen[],2,0),VLOOKUP(F659,Kostentypen!$A$3:$E$20,3,0))),"")</f>
        <v/>
      </c>
      <c r="O659" s="320" t="str" cm="1">
        <f t="array" ref="O659">_xlfn.IFNA(IF(INDEX(Tb_KostenOptiesDB[],MATCH($F659,Tb_KostenOptiesDB[KostenOptie],0),IFERROR(MATCH(Methode_Keuze,Tb_KostenOptiesDB[#Headers],0),2))=1,_xlfn.SWITCH($N659,"Uurtarief",IF(OR(AND(RIGHT($F659,3)="IKS",VLOOKUP($M659,DB_Loonkosten,2,0)="Ja"),AND(RIGHT($F659,3)&lt;&gt;"IKS",VLOOKUP($M659,DB_Loonkosten,2,0)="Nee")),IFERROR(VLOOKUP($M659,DB_Loonkosten,24,0),""),0),"Vast tarief",IF(LEFT(F659,8)="Bijdrage",VLOOKUP($F659,Tb_KostenTypen[],MATCH(Lijsten!$P$1,Tb_KostenTypen[#Headers],0),0),VLOOKUP($G659,Lijsten!L:P,MATCH(Lijsten!$P$1,Kop_Tarief_Vast,0),0))),""),"")</f>
        <v/>
      </c>
      <c r="P659" s="320" t="str" cm="1">
        <f t="array" ref="P659">_xlfn.IFNA(IF(INDEX(Tb_KostenOptiesDB[],MATCH($F659,Tb_KostenOptiesDB[KostenOptie],0),IFERROR(MATCH(Methode_Keuze,Tb_KostenOptiesDB[#Headers],0),2))=1,_xlfn.SWITCH($N659,"Uurtarief",IF(OR(AND(RIGHT($F659,3)="IKS",VLOOKUP($M659,DB_Loonkosten,2,0)="Ja"),AND(RIGHT($F659,3)&lt;&gt;"IKS",VLOOKUP($M659,DB_Loonkosten,2,0)="Nee")),IFERROR(VLOOKUP($M659,DB_Loonkosten,25,0),""),0),"Vast tarief",IF(LEFT(F659,8)="Bijdrage",VLOOKUP($F659,Tb_KostenTypen[],MATCH(Lijsten!$P$1,Tb_KostenTypen[#Headers],0),0),VLOOKUP($G659,Lijsten!L:P,MATCH(Lijsten!$P$1,Kop_Tarief_Vast,0),0))),""),"")</f>
        <v/>
      </c>
      <c r="Q659" s="359"/>
      <c r="R659" s="359"/>
      <c r="S659" s="321"/>
      <c r="T659" s="321"/>
      <c r="U659" s="373" t="str">
        <f t="shared" si="40"/>
        <v/>
      </c>
      <c r="V659" s="314" t="str">
        <f t="shared" si="41"/>
        <v/>
      </c>
      <c r="W659" s="314" t="str" cm="1">
        <f t="array" aca="1" ref="W659" ca="1">IFERROR(IF(AE659&lt;&gt;"ja",_xlfn.IFNA(_xlfn.IFS(AND(O659&lt;&gt;"",F659&lt;&gt;"",RIGHT($N659,6)="tarief",F659="Vergoeding"),SUM(O659)*FLOOR(SUM(Q659),0.0001),AND(O659&lt;&gt;"",F659&lt;&gt;"",RIGHT($N659,6)="tarief"),SUM(O659)*FLOOR(SUM(Q659),0.01),S659&gt;0,IF(F659&lt;&gt;"",FLOOR(SUM(S659),0.01),"")),""),""),"")</f>
        <v/>
      </c>
      <c r="X659" s="314" t="str" cm="1">
        <f t="array" aca="1" ref="X659" ca="1">IFERROR(IF(AE659&lt;&gt;"ja",_xlfn.IFNA(_xlfn.IFS(AND(P659&lt;&gt;"",R659&lt;&gt;"",RIGHT($N659,6)="tarief",F659="Vergoeding"),SUM(P659)*FLOOR(SUM(R659),0.0001),AND(P659&lt;&gt;"",R659&lt;&gt;"",RIGHT($N659,6)="tarief"),P659*FLOOR(R659,0.01),T659&gt;0,FLOOR(SUM(T659),0.01)),""),""),"")</f>
        <v/>
      </c>
      <c r="Y659" s="314" t="str">
        <f t="shared" ca="1" si="42"/>
        <v/>
      </c>
      <c r="Z659" s="314" t="str" cm="1">
        <f t="array" aca="1" ref="Z659" ca="1">IFERROR(_xlfn.IFS(OR(F659="",LEFT(Methode_Keuze,4)="Geen",Methode_Keuze=""),"",AND(W659&lt;&gt;"",F659&lt;&gt;"Arbeidskosten"),W659*VLOOKUP(F659,Tb_ProjectKosten[],MATCH(Tb_ProjectKosten[[#Headers],[Forfait_Percentage]],Tb_ProjectKosten[#Headers],0),0),AND(F659="Arbeidskosten",G659&lt;&gt;""),IFERROR(W659*VLOOKUP(G659,Tb_KostenTypen[],3,0)*VLOOKUP(F659,Tb_ProjectKosten[],MATCH(Tb_ProjectKosten[[#Headers],[Forfait_Percentage]],Tb_ProjectKosten[#Headers],0),0),""),W659 &lt;=0,0),"")</f>
        <v/>
      </c>
      <c r="AA659" s="314" t="str" cm="1">
        <f t="array" aca="1" ref="AA659" ca="1">IFERROR(_xlfn.IFS(OR(F659="",LEFT(Methode_Keuze,4)="Geen",Methode_Keuze=""),"",AND(X659&lt;&gt;"",F659&lt;&gt;"Arbeidskosten"),X659*VLOOKUP(F659,Tb_ProjectKosten[],MATCH(Tb_ProjectKosten[[#Headers],[Forfait_Percentage]],Tb_ProjectKosten[#Headers],0),0),AND(F659="Arbeidskosten",G659&lt;&gt;""),IFERROR(X659*VLOOKUP(G659,Tb_KostenTypen[],3,0)*VLOOKUP(F659,Tb_ProjectKosten[],MATCH(Tb_ProjectKosten[[#Headers],[Forfait_Percentage]],Tb_ProjectKosten[#Headers],0),0),""),X659 &lt;=0,0),"")</f>
        <v/>
      </c>
      <c r="AB659" s="314" t="str">
        <f t="shared" ca="1" si="43"/>
        <v/>
      </c>
      <c r="AC659" s="322"/>
      <c r="AD659" s="315"/>
      <c r="AE659" s="32" t="str" cm="1">
        <f t="array" ref="AE659">IFERROR(IF(INDEX(SubsidieTabel!$AD$1:$AG$12,MATCH($F659,SubsidieTabel!$AD$1:$AD$12,0),IFERROR(MATCH(Methode_Keuze,SubsidieTabel!$AD$1:$AG$1,0),2))&lt;&gt;1=TRUE,"ja",""),"")</f>
        <v/>
      </c>
    </row>
    <row r="660" spans="1:31" x14ac:dyDescent="0.25">
      <c r="A660" s="316"/>
      <c r="B660" s="317" t="str">
        <f>IF(A660&lt;&gt;"",_xlfn.MAXIFS($B$1:B659,$A$1:A659,A660)+1,"")</f>
        <v/>
      </c>
      <c r="C660" s="296"/>
      <c r="D660" s="296"/>
      <c r="E660" s="296"/>
      <c r="F660" s="296"/>
      <c r="G660" s="326"/>
      <c r="H660" s="324"/>
      <c r="I660" s="325"/>
      <c r="J660" s="325"/>
      <c r="K660" s="318"/>
      <c r="L660" s="318"/>
      <c r="M660" s="319" t="str">
        <f>IFERROR(VLOOKUP(H660,Lijsten!$H$1:$I$100,2,0),"")</f>
        <v/>
      </c>
      <c r="N660" s="319" t="str">
        <f ca="1">IFERROR(IF(VLOOKUP(F660,Kostentypen!$A$3:$E$21,3,0)=0,"",IF(OR(F660="Arbeidskosten",F660="Vergoeding"),VLOOKUP(G660,Tb_KostenTypen[],2,0),VLOOKUP(F660,Kostentypen!$A$3:$E$20,3,0))),"")</f>
        <v/>
      </c>
      <c r="O660" s="320" t="str" cm="1">
        <f t="array" ref="O660">_xlfn.IFNA(IF(INDEX(Tb_KostenOptiesDB[],MATCH($F660,Tb_KostenOptiesDB[KostenOptie],0),IFERROR(MATCH(Methode_Keuze,Tb_KostenOptiesDB[#Headers],0),2))=1,_xlfn.SWITCH($N660,"Uurtarief",IF(OR(AND(RIGHT($F660,3)="IKS",VLOOKUP($M660,DB_Loonkosten,2,0)="Ja"),AND(RIGHT($F660,3)&lt;&gt;"IKS",VLOOKUP($M660,DB_Loonkosten,2,0)="Nee")),IFERROR(VLOOKUP($M660,DB_Loonkosten,24,0),""),0),"Vast tarief",IF(LEFT(F660,8)="Bijdrage",VLOOKUP($F660,Tb_KostenTypen[],MATCH(Lijsten!$P$1,Tb_KostenTypen[#Headers],0),0),VLOOKUP($G660,Lijsten!L:P,MATCH(Lijsten!$P$1,Kop_Tarief_Vast,0),0))),""),"")</f>
        <v/>
      </c>
      <c r="P660" s="320" t="str" cm="1">
        <f t="array" ref="P660">_xlfn.IFNA(IF(INDEX(Tb_KostenOptiesDB[],MATCH($F660,Tb_KostenOptiesDB[KostenOptie],0),IFERROR(MATCH(Methode_Keuze,Tb_KostenOptiesDB[#Headers],0),2))=1,_xlfn.SWITCH($N660,"Uurtarief",IF(OR(AND(RIGHT($F660,3)="IKS",VLOOKUP($M660,DB_Loonkosten,2,0)="Ja"),AND(RIGHT($F660,3)&lt;&gt;"IKS",VLOOKUP($M660,DB_Loonkosten,2,0)="Nee")),IFERROR(VLOOKUP($M660,DB_Loonkosten,25,0),""),0),"Vast tarief",IF(LEFT(F660,8)="Bijdrage",VLOOKUP($F660,Tb_KostenTypen[],MATCH(Lijsten!$P$1,Tb_KostenTypen[#Headers],0),0),VLOOKUP($G660,Lijsten!L:P,MATCH(Lijsten!$P$1,Kop_Tarief_Vast,0),0))),""),"")</f>
        <v/>
      </c>
      <c r="Q660" s="359"/>
      <c r="R660" s="359"/>
      <c r="S660" s="321"/>
      <c r="T660" s="321"/>
      <c r="U660" s="373" t="str">
        <f t="shared" si="40"/>
        <v/>
      </c>
      <c r="V660" s="314" t="str">
        <f t="shared" si="41"/>
        <v/>
      </c>
      <c r="W660" s="314" t="str" cm="1">
        <f t="array" aca="1" ref="W660" ca="1">IFERROR(IF(AE660&lt;&gt;"ja",_xlfn.IFNA(_xlfn.IFS(AND(O660&lt;&gt;"",F660&lt;&gt;"",RIGHT($N660,6)="tarief",F660="Vergoeding"),SUM(O660)*FLOOR(SUM(Q660),0.0001),AND(O660&lt;&gt;"",F660&lt;&gt;"",RIGHT($N660,6)="tarief"),SUM(O660)*FLOOR(SUM(Q660),0.01),S660&gt;0,IF(F660&lt;&gt;"",FLOOR(SUM(S660),0.01),"")),""),""),"")</f>
        <v/>
      </c>
      <c r="X660" s="314" t="str" cm="1">
        <f t="array" aca="1" ref="X660" ca="1">IFERROR(IF(AE660&lt;&gt;"ja",_xlfn.IFNA(_xlfn.IFS(AND(P660&lt;&gt;"",R660&lt;&gt;"",RIGHT($N660,6)="tarief",F660="Vergoeding"),SUM(P660)*FLOOR(SUM(R660),0.0001),AND(P660&lt;&gt;"",R660&lt;&gt;"",RIGHT($N660,6)="tarief"),P660*FLOOR(R660,0.01),T660&gt;0,FLOOR(SUM(T660),0.01)),""),""),"")</f>
        <v/>
      </c>
      <c r="Y660" s="314" t="str">
        <f t="shared" ca="1" si="42"/>
        <v/>
      </c>
      <c r="Z660" s="314" t="str" cm="1">
        <f t="array" aca="1" ref="Z660" ca="1">IFERROR(_xlfn.IFS(OR(F660="",LEFT(Methode_Keuze,4)="Geen",Methode_Keuze=""),"",AND(W660&lt;&gt;"",F660&lt;&gt;"Arbeidskosten"),W660*VLOOKUP(F660,Tb_ProjectKosten[],MATCH(Tb_ProjectKosten[[#Headers],[Forfait_Percentage]],Tb_ProjectKosten[#Headers],0),0),AND(F660="Arbeidskosten",G660&lt;&gt;""),IFERROR(W660*VLOOKUP(G660,Tb_KostenTypen[],3,0)*VLOOKUP(F660,Tb_ProjectKosten[],MATCH(Tb_ProjectKosten[[#Headers],[Forfait_Percentage]],Tb_ProjectKosten[#Headers],0),0),""),W660 &lt;=0,0),"")</f>
        <v/>
      </c>
      <c r="AA660" s="314" t="str" cm="1">
        <f t="array" aca="1" ref="AA660" ca="1">IFERROR(_xlfn.IFS(OR(F660="",LEFT(Methode_Keuze,4)="Geen",Methode_Keuze=""),"",AND(X660&lt;&gt;"",F660&lt;&gt;"Arbeidskosten"),X660*VLOOKUP(F660,Tb_ProjectKosten[],MATCH(Tb_ProjectKosten[[#Headers],[Forfait_Percentage]],Tb_ProjectKosten[#Headers],0),0),AND(F660="Arbeidskosten",G660&lt;&gt;""),IFERROR(X660*VLOOKUP(G660,Tb_KostenTypen[],3,0)*VLOOKUP(F660,Tb_ProjectKosten[],MATCH(Tb_ProjectKosten[[#Headers],[Forfait_Percentage]],Tb_ProjectKosten[#Headers],0),0),""),X660 &lt;=0,0),"")</f>
        <v/>
      </c>
      <c r="AB660" s="314" t="str">
        <f t="shared" ca="1" si="43"/>
        <v/>
      </c>
      <c r="AC660" s="322"/>
      <c r="AD660" s="315"/>
      <c r="AE660" s="32" t="str" cm="1">
        <f t="array" ref="AE660">IFERROR(IF(INDEX(SubsidieTabel!$AD$1:$AG$12,MATCH($F660,SubsidieTabel!$AD$1:$AD$12,0),IFERROR(MATCH(Methode_Keuze,SubsidieTabel!$AD$1:$AG$1,0),2))&lt;&gt;1=TRUE,"ja",""),"")</f>
        <v/>
      </c>
    </row>
    <row r="661" spans="1:31" x14ac:dyDescent="0.25">
      <c r="A661" s="316"/>
      <c r="B661" s="317" t="str">
        <f>IF(A661&lt;&gt;"",_xlfn.MAXIFS($B$1:B660,$A$1:A660,A661)+1,"")</f>
        <v/>
      </c>
      <c r="C661" s="296"/>
      <c r="D661" s="296"/>
      <c r="E661" s="296"/>
      <c r="F661" s="296"/>
      <c r="G661" s="326"/>
      <c r="H661" s="324"/>
      <c r="I661" s="325"/>
      <c r="J661" s="325"/>
      <c r="K661" s="318"/>
      <c r="L661" s="318"/>
      <c r="M661" s="319" t="str">
        <f>IFERROR(VLOOKUP(H661,Lijsten!$H$1:$I$100,2,0),"")</f>
        <v/>
      </c>
      <c r="N661" s="319" t="str">
        <f ca="1">IFERROR(IF(VLOOKUP(F661,Kostentypen!$A$3:$E$21,3,0)=0,"",IF(OR(F661="Arbeidskosten",F661="Vergoeding"),VLOOKUP(G661,Tb_KostenTypen[],2,0),VLOOKUP(F661,Kostentypen!$A$3:$E$20,3,0))),"")</f>
        <v/>
      </c>
      <c r="O661" s="320" t="str" cm="1">
        <f t="array" ref="O661">_xlfn.IFNA(IF(INDEX(Tb_KostenOptiesDB[],MATCH($F661,Tb_KostenOptiesDB[KostenOptie],0),IFERROR(MATCH(Methode_Keuze,Tb_KostenOptiesDB[#Headers],0),2))=1,_xlfn.SWITCH($N661,"Uurtarief",IF(OR(AND(RIGHT($F661,3)="IKS",VLOOKUP($M661,DB_Loonkosten,2,0)="Ja"),AND(RIGHT($F661,3)&lt;&gt;"IKS",VLOOKUP($M661,DB_Loonkosten,2,0)="Nee")),IFERROR(VLOOKUP($M661,DB_Loonkosten,24,0),""),0),"Vast tarief",IF(LEFT(F661,8)="Bijdrage",VLOOKUP($F661,Tb_KostenTypen[],MATCH(Lijsten!$P$1,Tb_KostenTypen[#Headers],0),0),VLOOKUP($G661,Lijsten!L:P,MATCH(Lijsten!$P$1,Kop_Tarief_Vast,0),0))),""),"")</f>
        <v/>
      </c>
      <c r="P661" s="320" t="str" cm="1">
        <f t="array" ref="P661">_xlfn.IFNA(IF(INDEX(Tb_KostenOptiesDB[],MATCH($F661,Tb_KostenOptiesDB[KostenOptie],0),IFERROR(MATCH(Methode_Keuze,Tb_KostenOptiesDB[#Headers],0),2))=1,_xlfn.SWITCH($N661,"Uurtarief",IF(OR(AND(RIGHT($F661,3)="IKS",VLOOKUP($M661,DB_Loonkosten,2,0)="Ja"),AND(RIGHT($F661,3)&lt;&gt;"IKS",VLOOKUP($M661,DB_Loonkosten,2,0)="Nee")),IFERROR(VLOOKUP($M661,DB_Loonkosten,25,0),""),0),"Vast tarief",IF(LEFT(F661,8)="Bijdrage",VLOOKUP($F661,Tb_KostenTypen[],MATCH(Lijsten!$P$1,Tb_KostenTypen[#Headers],0),0),VLOOKUP($G661,Lijsten!L:P,MATCH(Lijsten!$P$1,Kop_Tarief_Vast,0),0))),""),"")</f>
        <v/>
      </c>
      <c r="Q661" s="359"/>
      <c r="R661" s="359"/>
      <c r="S661" s="321"/>
      <c r="T661" s="321"/>
      <c r="U661" s="373" t="str">
        <f t="shared" si="40"/>
        <v/>
      </c>
      <c r="V661" s="314" t="str">
        <f t="shared" si="41"/>
        <v/>
      </c>
      <c r="W661" s="314" t="str" cm="1">
        <f t="array" aca="1" ref="W661" ca="1">IFERROR(IF(AE661&lt;&gt;"ja",_xlfn.IFNA(_xlfn.IFS(AND(O661&lt;&gt;"",F661&lt;&gt;"",RIGHT($N661,6)="tarief",F661="Vergoeding"),SUM(O661)*FLOOR(SUM(Q661),0.0001),AND(O661&lt;&gt;"",F661&lt;&gt;"",RIGHT($N661,6)="tarief"),SUM(O661)*FLOOR(SUM(Q661),0.01),S661&gt;0,IF(F661&lt;&gt;"",FLOOR(SUM(S661),0.01),"")),""),""),"")</f>
        <v/>
      </c>
      <c r="X661" s="314" t="str" cm="1">
        <f t="array" aca="1" ref="X661" ca="1">IFERROR(IF(AE661&lt;&gt;"ja",_xlfn.IFNA(_xlfn.IFS(AND(P661&lt;&gt;"",R661&lt;&gt;"",RIGHT($N661,6)="tarief",F661="Vergoeding"),SUM(P661)*FLOOR(SUM(R661),0.0001),AND(P661&lt;&gt;"",R661&lt;&gt;"",RIGHT($N661,6)="tarief"),P661*FLOOR(R661,0.01),T661&gt;0,FLOOR(SUM(T661),0.01)),""),""),"")</f>
        <v/>
      </c>
      <c r="Y661" s="314" t="str">
        <f t="shared" ca="1" si="42"/>
        <v/>
      </c>
      <c r="Z661" s="314" t="str" cm="1">
        <f t="array" aca="1" ref="Z661" ca="1">IFERROR(_xlfn.IFS(OR(F661="",LEFT(Methode_Keuze,4)="Geen",Methode_Keuze=""),"",AND(W661&lt;&gt;"",F661&lt;&gt;"Arbeidskosten"),W661*VLOOKUP(F661,Tb_ProjectKosten[],MATCH(Tb_ProjectKosten[[#Headers],[Forfait_Percentage]],Tb_ProjectKosten[#Headers],0),0),AND(F661="Arbeidskosten",G661&lt;&gt;""),IFERROR(W661*VLOOKUP(G661,Tb_KostenTypen[],3,0)*VLOOKUP(F661,Tb_ProjectKosten[],MATCH(Tb_ProjectKosten[[#Headers],[Forfait_Percentage]],Tb_ProjectKosten[#Headers],0),0),""),W661 &lt;=0,0),"")</f>
        <v/>
      </c>
      <c r="AA661" s="314" t="str" cm="1">
        <f t="array" aca="1" ref="AA661" ca="1">IFERROR(_xlfn.IFS(OR(F661="",LEFT(Methode_Keuze,4)="Geen",Methode_Keuze=""),"",AND(X661&lt;&gt;"",F661&lt;&gt;"Arbeidskosten"),X661*VLOOKUP(F661,Tb_ProjectKosten[],MATCH(Tb_ProjectKosten[[#Headers],[Forfait_Percentage]],Tb_ProjectKosten[#Headers],0),0),AND(F661="Arbeidskosten",G661&lt;&gt;""),IFERROR(X661*VLOOKUP(G661,Tb_KostenTypen[],3,0)*VLOOKUP(F661,Tb_ProjectKosten[],MATCH(Tb_ProjectKosten[[#Headers],[Forfait_Percentage]],Tb_ProjectKosten[#Headers],0),0),""),X661 &lt;=0,0),"")</f>
        <v/>
      </c>
      <c r="AB661" s="314" t="str">
        <f t="shared" ca="1" si="43"/>
        <v/>
      </c>
      <c r="AC661" s="322"/>
      <c r="AD661" s="315"/>
      <c r="AE661" s="32" t="str" cm="1">
        <f t="array" ref="AE661">IFERROR(IF(INDEX(SubsidieTabel!$AD$1:$AG$12,MATCH($F661,SubsidieTabel!$AD$1:$AD$12,0),IFERROR(MATCH(Methode_Keuze,SubsidieTabel!$AD$1:$AG$1,0),2))&lt;&gt;1=TRUE,"ja",""),"")</f>
        <v/>
      </c>
    </row>
    <row r="662" spans="1:31" x14ac:dyDescent="0.25">
      <c r="A662" s="316"/>
      <c r="B662" s="317" t="str">
        <f>IF(A662&lt;&gt;"",_xlfn.MAXIFS($B$1:B661,$A$1:A661,A662)+1,"")</f>
        <v/>
      </c>
      <c r="C662" s="296"/>
      <c r="D662" s="296"/>
      <c r="E662" s="296"/>
      <c r="F662" s="296"/>
      <c r="G662" s="326"/>
      <c r="H662" s="324"/>
      <c r="I662" s="325"/>
      <c r="J662" s="325"/>
      <c r="K662" s="318"/>
      <c r="L662" s="318"/>
      <c r="M662" s="319" t="str">
        <f>IFERROR(VLOOKUP(H662,Lijsten!$H$1:$I$100,2,0),"")</f>
        <v/>
      </c>
      <c r="N662" s="319" t="str">
        <f ca="1">IFERROR(IF(VLOOKUP(F662,Kostentypen!$A$3:$E$21,3,0)=0,"",IF(OR(F662="Arbeidskosten",F662="Vergoeding"),VLOOKUP(G662,Tb_KostenTypen[],2,0),VLOOKUP(F662,Kostentypen!$A$3:$E$20,3,0))),"")</f>
        <v/>
      </c>
      <c r="O662" s="320" t="str" cm="1">
        <f t="array" ref="O662">_xlfn.IFNA(IF(INDEX(Tb_KostenOptiesDB[],MATCH($F662,Tb_KostenOptiesDB[KostenOptie],0),IFERROR(MATCH(Methode_Keuze,Tb_KostenOptiesDB[#Headers],0),2))=1,_xlfn.SWITCH($N662,"Uurtarief",IF(OR(AND(RIGHT($F662,3)="IKS",VLOOKUP($M662,DB_Loonkosten,2,0)="Ja"),AND(RIGHT($F662,3)&lt;&gt;"IKS",VLOOKUP($M662,DB_Loonkosten,2,0)="Nee")),IFERROR(VLOOKUP($M662,DB_Loonkosten,24,0),""),0),"Vast tarief",IF(LEFT(F662,8)="Bijdrage",VLOOKUP($F662,Tb_KostenTypen[],MATCH(Lijsten!$P$1,Tb_KostenTypen[#Headers],0),0),VLOOKUP($G662,Lijsten!L:P,MATCH(Lijsten!$P$1,Kop_Tarief_Vast,0),0))),""),"")</f>
        <v/>
      </c>
      <c r="P662" s="320" t="str" cm="1">
        <f t="array" ref="P662">_xlfn.IFNA(IF(INDEX(Tb_KostenOptiesDB[],MATCH($F662,Tb_KostenOptiesDB[KostenOptie],0),IFERROR(MATCH(Methode_Keuze,Tb_KostenOptiesDB[#Headers],0),2))=1,_xlfn.SWITCH($N662,"Uurtarief",IF(OR(AND(RIGHT($F662,3)="IKS",VLOOKUP($M662,DB_Loonkosten,2,0)="Ja"),AND(RIGHT($F662,3)&lt;&gt;"IKS",VLOOKUP($M662,DB_Loonkosten,2,0)="Nee")),IFERROR(VLOOKUP($M662,DB_Loonkosten,25,0),""),0),"Vast tarief",IF(LEFT(F662,8)="Bijdrage",VLOOKUP($F662,Tb_KostenTypen[],MATCH(Lijsten!$P$1,Tb_KostenTypen[#Headers],0),0),VLOOKUP($G662,Lijsten!L:P,MATCH(Lijsten!$P$1,Kop_Tarief_Vast,0),0))),""),"")</f>
        <v/>
      </c>
      <c r="Q662" s="359"/>
      <c r="R662" s="359"/>
      <c r="S662" s="321"/>
      <c r="T662" s="321"/>
      <c r="U662" s="373" t="str">
        <f t="shared" si="40"/>
        <v/>
      </c>
      <c r="V662" s="314" t="str">
        <f t="shared" si="41"/>
        <v/>
      </c>
      <c r="W662" s="314" t="str" cm="1">
        <f t="array" aca="1" ref="W662" ca="1">IFERROR(IF(AE662&lt;&gt;"ja",_xlfn.IFNA(_xlfn.IFS(AND(O662&lt;&gt;"",F662&lt;&gt;"",RIGHT($N662,6)="tarief",F662="Vergoeding"),SUM(O662)*FLOOR(SUM(Q662),0.0001),AND(O662&lt;&gt;"",F662&lt;&gt;"",RIGHT($N662,6)="tarief"),SUM(O662)*FLOOR(SUM(Q662),0.01),S662&gt;0,IF(F662&lt;&gt;"",FLOOR(SUM(S662),0.01),"")),""),""),"")</f>
        <v/>
      </c>
      <c r="X662" s="314" t="str" cm="1">
        <f t="array" aca="1" ref="X662" ca="1">IFERROR(IF(AE662&lt;&gt;"ja",_xlfn.IFNA(_xlfn.IFS(AND(P662&lt;&gt;"",R662&lt;&gt;"",RIGHT($N662,6)="tarief",F662="Vergoeding"),SUM(P662)*FLOOR(SUM(R662),0.0001),AND(P662&lt;&gt;"",R662&lt;&gt;"",RIGHT($N662,6)="tarief"),P662*FLOOR(R662,0.01),T662&gt;0,FLOOR(SUM(T662),0.01)),""),""),"")</f>
        <v/>
      </c>
      <c r="Y662" s="314" t="str">
        <f t="shared" ca="1" si="42"/>
        <v/>
      </c>
      <c r="Z662" s="314" t="str" cm="1">
        <f t="array" aca="1" ref="Z662" ca="1">IFERROR(_xlfn.IFS(OR(F662="",LEFT(Methode_Keuze,4)="Geen",Methode_Keuze=""),"",AND(W662&lt;&gt;"",F662&lt;&gt;"Arbeidskosten"),W662*VLOOKUP(F662,Tb_ProjectKosten[],MATCH(Tb_ProjectKosten[[#Headers],[Forfait_Percentage]],Tb_ProjectKosten[#Headers],0),0),AND(F662="Arbeidskosten",G662&lt;&gt;""),IFERROR(W662*VLOOKUP(G662,Tb_KostenTypen[],3,0)*VLOOKUP(F662,Tb_ProjectKosten[],MATCH(Tb_ProjectKosten[[#Headers],[Forfait_Percentage]],Tb_ProjectKosten[#Headers],0),0),""),W662 &lt;=0,0),"")</f>
        <v/>
      </c>
      <c r="AA662" s="314" t="str" cm="1">
        <f t="array" aca="1" ref="AA662" ca="1">IFERROR(_xlfn.IFS(OR(F662="",LEFT(Methode_Keuze,4)="Geen",Methode_Keuze=""),"",AND(X662&lt;&gt;"",F662&lt;&gt;"Arbeidskosten"),X662*VLOOKUP(F662,Tb_ProjectKosten[],MATCH(Tb_ProjectKosten[[#Headers],[Forfait_Percentage]],Tb_ProjectKosten[#Headers],0),0),AND(F662="Arbeidskosten",G662&lt;&gt;""),IFERROR(X662*VLOOKUP(G662,Tb_KostenTypen[],3,0)*VLOOKUP(F662,Tb_ProjectKosten[],MATCH(Tb_ProjectKosten[[#Headers],[Forfait_Percentage]],Tb_ProjectKosten[#Headers],0),0),""),X662 &lt;=0,0),"")</f>
        <v/>
      </c>
      <c r="AB662" s="314" t="str">
        <f t="shared" ca="1" si="43"/>
        <v/>
      </c>
      <c r="AC662" s="322"/>
      <c r="AD662" s="315"/>
      <c r="AE662" s="32" t="str" cm="1">
        <f t="array" ref="AE662">IFERROR(IF(INDEX(SubsidieTabel!$AD$1:$AG$12,MATCH($F662,SubsidieTabel!$AD$1:$AD$12,0),IFERROR(MATCH(Methode_Keuze,SubsidieTabel!$AD$1:$AG$1,0),2))&lt;&gt;1=TRUE,"ja",""),"")</f>
        <v/>
      </c>
    </row>
    <row r="663" spans="1:31" x14ac:dyDescent="0.25">
      <c r="A663" s="316"/>
      <c r="B663" s="317" t="str">
        <f>IF(A663&lt;&gt;"",_xlfn.MAXIFS($B$1:B662,$A$1:A662,A663)+1,"")</f>
        <v/>
      </c>
      <c r="C663" s="296"/>
      <c r="D663" s="296"/>
      <c r="E663" s="296"/>
      <c r="F663" s="296"/>
      <c r="G663" s="326"/>
      <c r="H663" s="324"/>
      <c r="I663" s="325"/>
      <c r="J663" s="325"/>
      <c r="K663" s="318"/>
      <c r="L663" s="318"/>
      <c r="M663" s="319" t="str">
        <f>IFERROR(VLOOKUP(H663,Lijsten!$H$1:$I$100,2,0),"")</f>
        <v/>
      </c>
      <c r="N663" s="319" t="str">
        <f ca="1">IFERROR(IF(VLOOKUP(F663,Kostentypen!$A$3:$E$21,3,0)=0,"",IF(OR(F663="Arbeidskosten",F663="Vergoeding"),VLOOKUP(G663,Tb_KostenTypen[],2,0),VLOOKUP(F663,Kostentypen!$A$3:$E$20,3,0))),"")</f>
        <v/>
      </c>
      <c r="O663" s="320" t="str" cm="1">
        <f t="array" ref="O663">_xlfn.IFNA(IF(INDEX(Tb_KostenOptiesDB[],MATCH($F663,Tb_KostenOptiesDB[KostenOptie],0),IFERROR(MATCH(Methode_Keuze,Tb_KostenOptiesDB[#Headers],0),2))=1,_xlfn.SWITCH($N663,"Uurtarief",IF(OR(AND(RIGHT($F663,3)="IKS",VLOOKUP($M663,DB_Loonkosten,2,0)="Ja"),AND(RIGHT($F663,3)&lt;&gt;"IKS",VLOOKUP($M663,DB_Loonkosten,2,0)="Nee")),IFERROR(VLOOKUP($M663,DB_Loonkosten,24,0),""),0),"Vast tarief",IF(LEFT(F663,8)="Bijdrage",VLOOKUP($F663,Tb_KostenTypen[],MATCH(Lijsten!$P$1,Tb_KostenTypen[#Headers],0),0),VLOOKUP($G663,Lijsten!L:P,MATCH(Lijsten!$P$1,Kop_Tarief_Vast,0),0))),""),"")</f>
        <v/>
      </c>
      <c r="P663" s="320" t="str" cm="1">
        <f t="array" ref="P663">_xlfn.IFNA(IF(INDEX(Tb_KostenOptiesDB[],MATCH($F663,Tb_KostenOptiesDB[KostenOptie],0),IFERROR(MATCH(Methode_Keuze,Tb_KostenOptiesDB[#Headers],0),2))=1,_xlfn.SWITCH($N663,"Uurtarief",IF(OR(AND(RIGHT($F663,3)="IKS",VLOOKUP($M663,DB_Loonkosten,2,0)="Ja"),AND(RIGHT($F663,3)&lt;&gt;"IKS",VLOOKUP($M663,DB_Loonkosten,2,0)="Nee")),IFERROR(VLOOKUP($M663,DB_Loonkosten,25,0),""),0),"Vast tarief",IF(LEFT(F663,8)="Bijdrage",VLOOKUP($F663,Tb_KostenTypen[],MATCH(Lijsten!$P$1,Tb_KostenTypen[#Headers],0),0),VLOOKUP($G663,Lijsten!L:P,MATCH(Lijsten!$P$1,Kop_Tarief_Vast,0),0))),""),"")</f>
        <v/>
      </c>
      <c r="Q663" s="359"/>
      <c r="R663" s="359"/>
      <c r="S663" s="321"/>
      <c r="T663" s="321"/>
      <c r="U663" s="373" t="str">
        <f t="shared" si="40"/>
        <v/>
      </c>
      <c r="V663" s="314" t="str">
        <f t="shared" si="41"/>
        <v/>
      </c>
      <c r="W663" s="314" t="str" cm="1">
        <f t="array" aca="1" ref="W663" ca="1">IFERROR(IF(AE663&lt;&gt;"ja",_xlfn.IFNA(_xlfn.IFS(AND(O663&lt;&gt;"",F663&lt;&gt;"",RIGHT($N663,6)="tarief",F663="Vergoeding"),SUM(O663)*FLOOR(SUM(Q663),0.0001),AND(O663&lt;&gt;"",F663&lt;&gt;"",RIGHT($N663,6)="tarief"),SUM(O663)*FLOOR(SUM(Q663),0.01),S663&gt;0,IF(F663&lt;&gt;"",FLOOR(SUM(S663),0.01),"")),""),""),"")</f>
        <v/>
      </c>
      <c r="X663" s="314" t="str" cm="1">
        <f t="array" aca="1" ref="X663" ca="1">IFERROR(IF(AE663&lt;&gt;"ja",_xlfn.IFNA(_xlfn.IFS(AND(P663&lt;&gt;"",R663&lt;&gt;"",RIGHT($N663,6)="tarief",F663="Vergoeding"),SUM(P663)*FLOOR(SUM(R663),0.0001),AND(P663&lt;&gt;"",R663&lt;&gt;"",RIGHT($N663,6)="tarief"),P663*FLOOR(R663,0.01),T663&gt;0,FLOOR(SUM(T663),0.01)),""),""),"")</f>
        <v/>
      </c>
      <c r="Y663" s="314" t="str">
        <f t="shared" ca="1" si="42"/>
        <v/>
      </c>
      <c r="Z663" s="314" t="str" cm="1">
        <f t="array" aca="1" ref="Z663" ca="1">IFERROR(_xlfn.IFS(OR(F663="",LEFT(Methode_Keuze,4)="Geen",Methode_Keuze=""),"",AND(W663&lt;&gt;"",F663&lt;&gt;"Arbeidskosten"),W663*VLOOKUP(F663,Tb_ProjectKosten[],MATCH(Tb_ProjectKosten[[#Headers],[Forfait_Percentage]],Tb_ProjectKosten[#Headers],0),0),AND(F663="Arbeidskosten",G663&lt;&gt;""),IFERROR(W663*VLOOKUP(G663,Tb_KostenTypen[],3,0)*VLOOKUP(F663,Tb_ProjectKosten[],MATCH(Tb_ProjectKosten[[#Headers],[Forfait_Percentage]],Tb_ProjectKosten[#Headers],0),0),""),W663 &lt;=0,0),"")</f>
        <v/>
      </c>
      <c r="AA663" s="314" t="str" cm="1">
        <f t="array" aca="1" ref="AA663" ca="1">IFERROR(_xlfn.IFS(OR(F663="",LEFT(Methode_Keuze,4)="Geen",Methode_Keuze=""),"",AND(X663&lt;&gt;"",F663&lt;&gt;"Arbeidskosten"),X663*VLOOKUP(F663,Tb_ProjectKosten[],MATCH(Tb_ProjectKosten[[#Headers],[Forfait_Percentage]],Tb_ProjectKosten[#Headers],0),0),AND(F663="Arbeidskosten",G663&lt;&gt;""),IFERROR(X663*VLOOKUP(G663,Tb_KostenTypen[],3,0)*VLOOKUP(F663,Tb_ProjectKosten[],MATCH(Tb_ProjectKosten[[#Headers],[Forfait_Percentage]],Tb_ProjectKosten[#Headers],0),0),""),X663 &lt;=0,0),"")</f>
        <v/>
      </c>
      <c r="AB663" s="314" t="str">
        <f t="shared" ca="1" si="43"/>
        <v/>
      </c>
      <c r="AC663" s="322"/>
      <c r="AD663" s="315"/>
      <c r="AE663" s="32" t="str" cm="1">
        <f t="array" ref="AE663">IFERROR(IF(INDEX(SubsidieTabel!$AD$1:$AG$12,MATCH($F663,SubsidieTabel!$AD$1:$AD$12,0),IFERROR(MATCH(Methode_Keuze,SubsidieTabel!$AD$1:$AG$1,0),2))&lt;&gt;1=TRUE,"ja",""),"")</f>
        <v/>
      </c>
    </row>
    <row r="664" spans="1:31" x14ac:dyDescent="0.25">
      <c r="A664" s="316"/>
      <c r="B664" s="317" t="str">
        <f>IF(A664&lt;&gt;"",_xlfn.MAXIFS($B$1:B663,$A$1:A663,A664)+1,"")</f>
        <v/>
      </c>
      <c r="C664" s="296"/>
      <c r="D664" s="296"/>
      <c r="E664" s="296"/>
      <c r="F664" s="296"/>
      <c r="G664" s="326"/>
      <c r="H664" s="324"/>
      <c r="I664" s="325"/>
      <c r="J664" s="325"/>
      <c r="K664" s="318"/>
      <c r="L664" s="318"/>
      <c r="M664" s="319" t="str">
        <f>IFERROR(VLOOKUP(H664,Lijsten!$H$1:$I$100,2,0),"")</f>
        <v/>
      </c>
      <c r="N664" s="319" t="str">
        <f ca="1">IFERROR(IF(VLOOKUP(F664,Kostentypen!$A$3:$E$21,3,0)=0,"",IF(OR(F664="Arbeidskosten",F664="Vergoeding"),VLOOKUP(G664,Tb_KostenTypen[],2,0),VLOOKUP(F664,Kostentypen!$A$3:$E$20,3,0))),"")</f>
        <v/>
      </c>
      <c r="O664" s="320" t="str" cm="1">
        <f t="array" ref="O664">_xlfn.IFNA(IF(INDEX(Tb_KostenOptiesDB[],MATCH($F664,Tb_KostenOptiesDB[KostenOptie],0),IFERROR(MATCH(Methode_Keuze,Tb_KostenOptiesDB[#Headers],0),2))=1,_xlfn.SWITCH($N664,"Uurtarief",IF(OR(AND(RIGHT($F664,3)="IKS",VLOOKUP($M664,DB_Loonkosten,2,0)="Ja"),AND(RIGHT($F664,3)&lt;&gt;"IKS",VLOOKUP($M664,DB_Loonkosten,2,0)="Nee")),IFERROR(VLOOKUP($M664,DB_Loonkosten,24,0),""),0),"Vast tarief",IF(LEFT(F664,8)="Bijdrage",VLOOKUP($F664,Tb_KostenTypen[],MATCH(Lijsten!$P$1,Tb_KostenTypen[#Headers],0),0),VLOOKUP($G664,Lijsten!L:P,MATCH(Lijsten!$P$1,Kop_Tarief_Vast,0),0))),""),"")</f>
        <v/>
      </c>
      <c r="P664" s="320" t="str" cm="1">
        <f t="array" ref="P664">_xlfn.IFNA(IF(INDEX(Tb_KostenOptiesDB[],MATCH($F664,Tb_KostenOptiesDB[KostenOptie],0),IFERROR(MATCH(Methode_Keuze,Tb_KostenOptiesDB[#Headers],0),2))=1,_xlfn.SWITCH($N664,"Uurtarief",IF(OR(AND(RIGHT($F664,3)="IKS",VLOOKUP($M664,DB_Loonkosten,2,0)="Ja"),AND(RIGHT($F664,3)&lt;&gt;"IKS",VLOOKUP($M664,DB_Loonkosten,2,0)="Nee")),IFERROR(VLOOKUP($M664,DB_Loonkosten,25,0),""),0),"Vast tarief",IF(LEFT(F664,8)="Bijdrage",VLOOKUP($F664,Tb_KostenTypen[],MATCH(Lijsten!$P$1,Tb_KostenTypen[#Headers],0),0),VLOOKUP($G664,Lijsten!L:P,MATCH(Lijsten!$P$1,Kop_Tarief_Vast,0),0))),""),"")</f>
        <v/>
      </c>
      <c r="Q664" s="359"/>
      <c r="R664" s="359"/>
      <c r="S664" s="321"/>
      <c r="T664" s="321"/>
      <c r="U664" s="373" t="str">
        <f t="shared" si="40"/>
        <v/>
      </c>
      <c r="V664" s="314" t="str">
        <f t="shared" si="41"/>
        <v/>
      </c>
      <c r="W664" s="314" t="str" cm="1">
        <f t="array" aca="1" ref="W664" ca="1">IFERROR(IF(AE664&lt;&gt;"ja",_xlfn.IFNA(_xlfn.IFS(AND(O664&lt;&gt;"",F664&lt;&gt;"",RIGHT($N664,6)="tarief",F664="Vergoeding"),SUM(O664)*FLOOR(SUM(Q664),0.0001),AND(O664&lt;&gt;"",F664&lt;&gt;"",RIGHT($N664,6)="tarief"),SUM(O664)*FLOOR(SUM(Q664),0.01),S664&gt;0,IF(F664&lt;&gt;"",FLOOR(SUM(S664),0.01),"")),""),""),"")</f>
        <v/>
      </c>
      <c r="X664" s="314" t="str" cm="1">
        <f t="array" aca="1" ref="X664" ca="1">IFERROR(IF(AE664&lt;&gt;"ja",_xlfn.IFNA(_xlfn.IFS(AND(P664&lt;&gt;"",R664&lt;&gt;"",RIGHT($N664,6)="tarief",F664="Vergoeding"),SUM(P664)*FLOOR(SUM(R664),0.0001),AND(P664&lt;&gt;"",R664&lt;&gt;"",RIGHT($N664,6)="tarief"),P664*FLOOR(R664,0.01),T664&gt;0,FLOOR(SUM(T664),0.01)),""),""),"")</f>
        <v/>
      </c>
      <c r="Y664" s="314" t="str">
        <f t="shared" ca="1" si="42"/>
        <v/>
      </c>
      <c r="Z664" s="314" t="str" cm="1">
        <f t="array" aca="1" ref="Z664" ca="1">IFERROR(_xlfn.IFS(OR(F664="",LEFT(Methode_Keuze,4)="Geen",Methode_Keuze=""),"",AND(W664&lt;&gt;"",F664&lt;&gt;"Arbeidskosten"),W664*VLOOKUP(F664,Tb_ProjectKosten[],MATCH(Tb_ProjectKosten[[#Headers],[Forfait_Percentage]],Tb_ProjectKosten[#Headers],0),0),AND(F664="Arbeidskosten",G664&lt;&gt;""),IFERROR(W664*VLOOKUP(G664,Tb_KostenTypen[],3,0)*VLOOKUP(F664,Tb_ProjectKosten[],MATCH(Tb_ProjectKosten[[#Headers],[Forfait_Percentage]],Tb_ProjectKosten[#Headers],0),0),""),W664 &lt;=0,0),"")</f>
        <v/>
      </c>
      <c r="AA664" s="314" t="str" cm="1">
        <f t="array" aca="1" ref="AA664" ca="1">IFERROR(_xlfn.IFS(OR(F664="",LEFT(Methode_Keuze,4)="Geen",Methode_Keuze=""),"",AND(X664&lt;&gt;"",F664&lt;&gt;"Arbeidskosten"),X664*VLOOKUP(F664,Tb_ProjectKosten[],MATCH(Tb_ProjectKosten[[#Headers],[Forfait_Percentage]],Tb_ProjectKosten[#Headers],0),0),AND(F664="Arbeidskosten",G664&lt;&gt;""),IFERROR(X664*VLOOKUP(G664,Tb_KostenTypen[],3,0)*VLOOKUP(F664,Tb_ProjectKosten[],MATCH(Tb_ProjectKosten[[#Headers],[Forfait_Percentage]],Tb_ProjectKosten[#Headers],0),0),""),X664 &lt;=0,0),"")</f>
        <v/>
      </c>
      <c r="AB664" s="314" t="str">
        <f t="shared" ca="1" si="43"/>
        <v/>
      </c>
      <c r="AC664" s="322"/>
      <c r="AD664" s="315"/>
      <c r="AE664" s="32" t="str" cm="1">
        <f t="array" ref="AE664">IFERROR(IF(INDEX(SubsidieTabel!$AD$1:$AG$12,MATCH($F664,SubsidieTabel!$AD$1:$AD$12,0),IFERROR(MATCH(Methode_Keuze,SubsidieTabel!$AD$1:$AG$1,0),2))&lt;&gt;1=TRUE,"ja",""),"")</f>
        <v/>
      </c>
    </row>
    <row r="665" spans="1:31" x14ac:dyDescent="0.25">
      <c r="A665" s="316"/>
      <c r="B665" s="317" t="str">
        <f>IF(A665&lt;&gt;"",_xlfn.MAXIFS($B$1:B664,$A$1:A664,A665)+1,"")</f>
        <v/>
      </c>
      <c r="C665" s="296"/>
      <c r="D665" s="296"/>
      <c r="E665" s="296"/>
      <c r="F665" s="296"/>
      <c r="G665" s="326"/>
      <c r="H665" s="324"/>
      <c r="I665" s="325"/>
      <c r="J665" s="325"/>
      <c r="K665" s="318"/>
      <c r="L665" s="318"/>
      <c r="M665" s="319" t="str">
        <f>IFERROR(VLOOKUP(H665,Lijsten!$H$1:$I$100,2,0),"")</f>
        <v/>
      </c>
      <c r="N665" s="319" t="str">
        <f ca="1">IFERROR(IF(VLOOKUP(F665,Kostentypen!$A$3:$E$21,3,0)=0,"",IF(OR(F665="Arbeidskosten",F665="Vergoeding"),VLOOKUP(G665,Tb_KostenTypen[],2,0),VLOOKUP(F665,Kostentypen!$A$3:$E$20,3,0))),"")</f>
        <v/>
      </c>
      <c r="O665" s="320" t="str" cm="1">
        <f t="array" ref="O665">_xlfn.IFNA(IF(INDEX(Tb_KostenOptiesDB[],MATCH($F665,Tb_KostenOptiesDB[KostenOptie],0),IFERROR(MATCH(Methode_Keuze,Tb_KostenOptiesDB[#Headers],0),2))=1,_xlfn.SWITCH($N665,"Uurtarief",IF(OR(AND(RIGHT($F665,3)="IKS",VLOOKUP($M665,DB_Loonkosten,2,0)="Ja"),AND(RIGHT($F665,3)&lt;&gt;"IKS",VLOOKUP($M665,DB_Loonkosten,2,0)="Nee")),IFERROR(VLOOKUP($M665,DB_Loonkosten,24,0),""),0),"Vast tarief",IF(LEFT(F665,8)="Bijdrage",VLOOKUP($F665,Tb_KostenTypen[],MATCH(Lijsten!$P$1,Tb_KostenTypen[#Headers],0),0),VLOOKUP($G665,Lijsten!L:P,MATCH(Lijsten!$P$1,Kop_Tarief_Vast,0),0))),""),"")</f>
        <v/>
      </c>
      <c r="P665" s="320" t="str" cm="1">
        <f t="array" ref="P665">_xlfn.IFNA(IF(INDEX(Tb_KostenOptiesDB[],MATCH($F665,Tb_KostenOptiesDB[KostenOptie],0),IFERROR(MATCH(Methode_Keuze,Tb_KostenOptiesDB[#Headers],0),2))=1,_xlfn.SWITCH($N665,"Uurtarief",IF(OR(AND(RIGHT($F665,3)="IKS",VLOOKUP($M665,DB_Loonkosten,2,0)="Ja"),AND(RIGHT($F665,3)&lt;&gt;"IKS",VLOOKUP($M665,DB_Loonkosten,2,0)="Nee")),IFERROR(VLOOKUP($M665,DB_Loonkosten,25,0),""),0),"Vast tarief",IF(LEFT(F665,8)="Bijdrage",VLOOKUP($F665,Tb_KostenTypen[],MATCH(Lijsten!$P$1,Tb_KostenTypen[#Headers],0),0),VLOOKUP($G665,Lijsten!L:P,MATCH(Lijsten!$P$1,Kop_Tarief_Vast,0),0))),""),"")</f>
        <v/>
      </c>
      <c r="Q665" s="359"/>
      <c r="R665" s="359"/>
      <c r="S665" s="321"/>
      <c r="T665" s="321"/>
      <c r="U665" s="373" t="str">
        <f t="shared" si="40"/>
        <v/>
      </c>
      <c r="V665" s="314" t="str">
        <f t="shared" si="41"/>
        <v/>
      </c>
      <c r="W665" s="314" t="str" cm="1">
        <f t="array" aca="1" ref="W665" ca="1">IFERROR(IF(AE665&lt;&gt;"ja",_xlfn.IFNA(_xlfn.IFS(AND(O665&lt;&gt;"",F665&lt;&gt;"",RIGHT($N665,6)="tarief",F665="Vergoeding"),SUM(O665)*FLOOR(SUM(Q665),0.0001),AND(O665&lt;&gt;"",F665&lt;&gt;"",RIGHT($N665,6)="tarief"),SUM(O665)*FLOOR(SUM(Q665),0.01),S665&gt;0,IF(F665&lt;&gt;"",FLOOR(SUM(S665),0.01),"")),""),""),"")</f>
        <v/>
      </c>
      <c r="X665" s="314" t="str" cm="1">
        <f t="array" aca="1" ref="X665" ca="1">IFERROR(IF(AE665&lt;&gt;"ja",_xlfn.IFNA(_xlfn.IFS(AND(P665&lt;&gt;"",R665&lt;&gt;"",RIGHT($N665,6)="tarief",F665="Vergoeding"),SUM(P665)*FLOOR(SUM(R665),0.0001),AND(P665&lt;&gt;"",R665&lt;&gt;"",RIGHT($N665,6)="tarief"),P665*FLOOR(R665,0.01),T665&gt;0,FLOOR(SUM(T665),0.01)),""),""),"")</f>
        <v/>
      </c>
      <c r="Y665" s="314" t="str">
        <f t="shared" ca="1" si="42"/>
        <v/>
      </c>
      <c r="Z665" s="314" t="str" cm="1">
        <f t="array" aca="1" ref="Z665" ca="1">IFERROR(_xlfn.IFS(OR(F665="",LEFT(Methode_Keuze,4)="Geen",Methode_Keuze=""),"",AND(W665&lt;&gt;"",F665&lt;&gt;"Arbeidskosten"),W665*VLOOKUP(F665,Tb_ProjectKosten[],MATCH(Tb_ProjectKosten[[#Headers],[Forfait_Percentage]],Tb_ProjectKosten[#Headers],0),0),AND(F665="Arbeidskosten",G665&lt;&gt;""),IFERROR(W665*VLOOKUP(G665,Tb_KostenTypen[],3,0)*VLOOKUP(F665,Tb_ProjectKosten[],MATCH(Tb_ProjectKosten[[#Headers],[Forfait_Percentage]],Tb_ProjectKosten[#Headers],0),0),""),W665 &lt;=0,0),"")</f>
        <v/>
      </c>
      <c r="AA665" s="314" t="str" cm="1">
        <f t="array" aca="1" ref="AA665" ca="1">IFERROR(_xlfn.IFS(OR(F665="",LEFT(Methode_Keuze,4)="Geen",Methode_Keuze=""),"",AND(X665&lt;&gt;"",F665&lt;&gt;"Arbeidskosten"),X665*VLOOKUP(F665,Tb_ProjectKosten[],MATCH(Tb_ProjectKosten[[#Headers],[Forfait_Percentage]],Tb_ProjectKosten[#Headers],0),0),AND(F665="Arbeidskosten",G665&lt;&gt;""),IFERROR(X665*VLOOKUP(G665,Tb_KostenTypen[],3,0)*VLOOKUP(F665,Tb_ProjectKosten[],MATCH(Tb_ProjectKosten[[#Headers],[Forfait_Percentage]],Tb_ProjectKosten[#Headers],0),0),""),X665 &lt;=0,0),"")</f>
        <v/>
      </c>
      <c r="AB665" s="314" t="str">
        <f t="shared" ca="1" si="43"/>
        <v/>
      </c>
      <c r="AC665" s="322"/>
      <c r="AD665" s="315"/>
      <c r="AE665" s="32" t="str" cm="1">
        <f t="array" ref="AE665">IFERROR(IF(INDEX(SubsidieTabel!$AD$1:$AG$12,MATCH($F665,SubsidieTabel!$AD$1:$AD$12,0),IFERROR(MATCH(Methode_Keuze,SubsidieTabel!$AD$1:$AG$1,0),2))&lt;&gt;1=TRUE,"ja",""),"")</f>
        <v/>
      </c>
    </row>
    <row r="666" spans="1:31" x14ac:dyDescent="0.25">
      <c r="A666" s="316"/>
      <c r="B666" s="317" t="str">
        <f>IF(A666&lt;&gt;"",_xlfn.MAXIFS($B$1:B665,$A$1:A665,A666)+1,"")</f>
        <v/>
      </c>
      <c r="C666" s="296"/>
      <c r="D666" s="296"/>
      <c r="E666" s="296"/>
      <c r="F666" s="296"/>
      <c r="G666" s="326"/>
      <c r="H666" s="324"/>
      <c r="I666" s="325"/>
      <c r="J666" s="325"/>
      <c r="K666" s="318"/>
      <c r="L666" s="318"/>
      <c r="M666" s="319" t="str">
        <f>IFERROR(VLOOKUP(H666,Lijsten!$H$1:$I$100,2,0),"")</f>
        <v/>
      </c>
      <c r="N666" s="319" t="str">
        <f ca="1">IFERROR(IF(VLOOKUP(F666,Kostentypen!$A$3:$E$21,3,0)=0,"",IF(OR(F666="Arbeidskosten",F666="Vergoeding"),VLOOKUP(G666,Tb_KostenTypen[],2,0),VLOOKUP(F666,Kostentypen!$A$3:$E$20,3,0))),"")</f>
        <v/>
      </c>
      <c r="O666" s="320" t="str" cm="1">
        <f t="array" ref="O666">_xlfn.IFNA(IF(INDEX(Tb_KostenOptiesDB[],MATCH($F666,Tb_KostenOptiesDB[KostenOptie],0),IFERROR(MATCH(Methode_Keuze,Tb_KostenOptiesDB[#Headers],0),2))=1,_xlfn.SWITCH($N666,"Uurtarief",IF(OR(AND(RIGHT($F666,3)="IKS",VLOOKUP($M666,DB_Loonkosten,2,0)="Ja"),AND(RIGHT($F666,3)&lt;&gt;"IKS",VLOOKUP($M666,DB_Loonkosten,2,0)="Nee")),IFERROR(VLOOKUP($M666,DB_Loonkosten,24,0),""),0),"Vast tarief",IF(LEFT(F666,8)="Bijdrage",VLOOKUP($F666,Tb_KostenTypen[],MATCH(Lijsten!$P$1,Tb_KostenTypen[#Headers],0),0),VLOOKUP($G666,Lijsten!L:P,MATCH(Lijsten!$P$1,Kop_Tarief_Vast,0),0))),""),"")</f>
        <v/>
      </c>
      <c r="P666" s="320" t="str" cm="1">
        <f t="array" ref="P666">_xlfn.IFNA(IF(INDEX(Tb_KostenOptiesDB[],MATCH($F666,Tb_KostenOptiesDB[KostenOptie],0),IFERROR(MATCH(Methode_Keuze,Tb_KostenOptiesDB[#Headers],0),2))=1,_xlfn.SWITCH($N666,"Uurtarief",IF(OR(AND(RIGHT($F666,3)="IKS",VLOOKUP($M666,DB_Loonkosten,2,0)="Ja"),AND(RIGHT($F666,3)&lt;&gt;"IKS",VLOOKUP($M666,DB_Loonkosten,2,0)="Nee")),IFERROR(VLOOKUP($M666,DB_Loonkosten,25,0),""),0),"Vast tarief",IF(LEFT(F666,8)="Bijdrage",VLOOKUP($F666,Tb_KostenTypen[],MATCH(Lijsten!$P$1,Tb_KostenTypen[#Headers],0),0),VLOOKUP($G666,Lijsten!L:P,MATCH(Lijsten!$P$1,Kop_Tarief_Vast,0),0))),""),"")</f>
        <v/>
      </c>
      <c r="Q666" s="359"/>
      <c r="R666" s="359"/>
      <c r="S666" s="321"/>
      <c r="T666" s="321"/>
      <c r="U666" s="373" t="str">
        <f t="shared" si="40"/>
        <v/>
      </c>
      <c r="V666" s="314" t="str">
        <f t="shared" si="41"/>
        <v/>
      </c>
      <c r="W666" s="314" t="str" cm="1">
        <f t="array" aca="1" ref="W666" ca="1">IFERROR(IF(AE666&lt;&gt;"ja",_xlfn.IFNA(_xlfn.IFS(AND(O666&lt;&gt;"",F666&lt;&gt;"",RIGHT($N666,6)="tarief",F666="Vergoeding"),SUM(O666)*FLOOR(SUM(Q666),0.0001),AND(O666&lt;&gt;"",F666&lt;&gt;"",RIGHT($N666,6)="tarief"),SUM(O666)*FLOOR(SUM(Q666),0.01),S666&gt;0,IF(F666&lt;&gt;"",FLOOR(SUM(S666),0.01),"")),""),""),"")</f>
        <v/>
      </c>
      <c r="X666" s="314" t="str" cm="1">
        <f t="array" aca="1" ref="X666" ca="1">IFERROR(IF(AE666&lt;&gt;"ja",_xlfn.IFNA(_xlfn.IFS(AND(P666&lt;&gt;"",R666&lt;&gt;"",RIGHT($N666,6)="tarief",F666="Vergoeding"),SUM(P666)*FLOOR(SUM(R666),0.0001),AND(P666&lt;&gt;"",R666&lt;&gt;"",RIGHT($N666,6)="tarief"),P666*FLOOR(R666,0.01),T666&gt;0,FLOOR(SUM(T666),0.01)),""),""),"")</f>
        <v/>
      </c>
      <c r="Y666" s="314" t="str">
        <f t="shared" ca="1" si="42"/>
        <v/>
      </c>
      <c r="Z666" s="314" t="str" cm="1">
        <f t="array" aca="1" ref="Z666" ca="1">IFERROR(_xlfn.IFS(OR(F666="",LEFT(Methode_Keuze,4)="Geen",Methode_Keuze=""),"",AND(W666&lt;&gt;"",F666&lt;&gt;"Arbeidskosten"),W666*VLOOKUP(F666,Tb_ProjectKosten[],MATCH(Tb_ProjectKosten[[#Headers],[Forfait_Percentage]],Tb_ProjectKosten[#Headers],0),0),AND(F666="Arbeidskosten",G666&lt;&gt;""),IFERROR(W666*VLOOKUP(G666,Tb_KostenTypen[],3,0)*VLOOKUP(F666,Tb_ProjectKosten[],MATCH(Tb_ProjectKosten[[#Headers],[Forfait_Percentage]],Tb_ProjectKosten[#Headers],0),0),""),W666 &lt;=0,0),"")</f>
        <v/>
      </c>
      <c r="AA666" s="314" t="str" cm="1">
        <f t="array" aca="1" ref="AA666" ca="1">IFERROR(_xlfn.IFS(OR(F666="",LEFT(Methode_Keuze,4)="Geen",Methode_Keuze=""),"",AND(X666&lt;&gt;"",F666&lt;&gt;"Arbeidskosten"),X666*VLOOKUP(F666,Tb_ProjectKosten[],MATCH(Tb_ProjectKosten[[#Headers],[Forfait_Percentage]],Tb_ProjectKosten[#Headers],0),0),AND(F666="Arbeidskosten",G666&lt;&gt;""),IFERROR(X666*VLOOKUP(G666,Tb_KostenTypen[],3,0)*VLOOKUP(F666,Tb_ProjectKosten[],MATCH(Tb_ProjectKosten[[#Headers],[Forfait_Percentage]],Tb_ProjectKosten[#Headers],0),0),""),X666 &lt;=0,0),"")</f>
        <v/>
      </c>
      <c r="AB666" s="314" t="str">
        <f t="shared" ca="1" si="43"/>
        <v/>
      </c>
      <c r="AC666" s="322"/>
      <c r="AD666" s="315"/>
      <c r="AE666" s="32" t="str" cm="1">
        <f t="array" ref="AE666">IFERROR(IF(INDEX(SubsidieTabel!$AD$1:$AG$12,MATCH($F666,SubsidieTabel!$AD$1:$AD$12,0),IFERROR(MATCH(Methode_Keuze,SubsidieTabel!$AD$1:$AG$1,0),2))&lt;&gt;1=TRUE,"ja",""),"")</f>
        <v/>
      </c>
    </row>
    <row r="667" spans="1:31" x14ac:dyDescent="0.25">
      <c r="A667" s="316"/>
      <c r="B667" s="317" t="str">
        <f>IF(A667&lt;&gt;"",_xlfn.MAXIFS($B$1:B666,$A$1:A666,A667)+1,"")</f>
        <v/>
      </c>
      <c r="C667" s="296"/>
      <c r="D667" s="296"/>
      <c r="E667" s="296"/>
      <c r="F667" s="296"/>
      <c r="G667" s="326"/>
      <c r="H667" s="324"/>
      <c r="I667" s="325"/>
      <c r="J667" s="325"/>
      <c r="K667" s="318"/>
      <c r="L667" s="318"/>
      <c r="M667" s="319" t="str">
        <f>IFERROR(VLOOKUP(H667,Lijsten!$H$1:$I$100,2,0),"")</f>
        <v/>
      </c>
      <c r="N667" s="319" t="str">
        <f ca="1">IFERROR(IF(VLOOKUP(F667,Kostentypen!$A$3:$E$21,3,0)=0,"",IF(OR(F667="Arbeidskosten",F667="Vergoeding"),VLOOKUP(G667,Tb_KostenTypen[],2,0),VLOOKUP(F667,Kostentypen!$A$3:$E$20,3,0))),"")</f>
        <v/>
      </c>
      <c r="O667" s="320" t="str" cm="1">
        <f t="array" ref="O667">_xlfn.IFNA(IF(INDEX(Tb_KostenOptiesDB[],MATCH($F667,Tb_KostenOptiesDB[KostenOptie],0),IFERROR(MATCH(Methode_Keuze,Tb_KostenOptiesDB[#Headers],0),2))=1,_xlfn.SWITCH($N667,"Uurtarief",IF(OR(AND(RIGHT($F667,3)="IKS",VLOOKUP($M667,DB_Loonkosten,2,0)="Ja"),AND(RIGHT($F667,3)&lt;&gt;"IKS",VLOOKUP($M667,DB_Loonkosten,2,0)="Nee")),IFERROR(VLOOKUP($M667,DB_Loonkosten,24,0),""),0),"Vast tarief",IF(LEFT(F667,8)="Bijdrage",VLOOKUP($F667,Tb_KostenTypen[],MATCH(Lijsten!$P$1,Tb_KostenTypen[#Headers],0),0),VLOOKUP($G667,Lijsten!L:P,MATCH(Lijsten!$P$1,Kop_Tarief_Vast,0),0))),""),"")</f>
        <v/>
      </c>
      <c r="P667" s="320" t="str" cm="1">
        <f t="array" ref="P667">_xlfn.IFNA(IF(INDEX(Tb_KostenOptiesDB[],MATCH($F667,Tb_KostenOptiesDB[KostenOptie],0),IFERROR(MATCH(Methode_Keuze,Tb_KostenOptiesDB[#Headers],0),2))=1,_xlfn.SWITCH($N667,"Uurtarief",IF(OR(AND(RIGHT($F667,3)="IKS",VLOOKUP($M667,DB_Loonkosten,2,0)="Ja"),AND(RIGHT($F667,3)&lt;&gt;"IKS",VLOOKUP($M667,DB_Loonkosten,2,0)="Nee")),IFERROR(VLOOKUP($M667,DB_Loonkosten,25,0),""),0),"Vast tarief",IF(LEFT(F667,8)="Bijdrage",VLOOKUP($F667,Tb_KostenTypen[],MATCH(Lijsten!$P$1,Tb_KostenTypen[#Headers],0),0),VLOOKUP($G667,Lijsten!L:P,MATCH(Lijsten!$P$1,Kop_Tarief_Vast,0),0))),""),"")</f>
        <v/>
      </c>
      <c r="Q667" s="359"/>
      <c r="R667" s="359"/>
      <c r="S667" s="321"/>
      <c r="T667" s="321"/>
      <c r="U667" s="373" t="str">
        <f t="shared" si="40"/>
        <v/>
      </c>
      <c r="V667" s="314" t="str">
        <f t="shared" si="41"/>
        <v/>
      </c>
      <c r="W667" s="314" t="str" cm="1">
        <f t="array" aca="1" ref="W667" ca="1">IFERROR(IF(AE667&lt;&gt;"ja",_xlfn.IFNA(_xlfn.IFS(AND(O667&lt;&gt;"",F667&lt;&gt;"",RIGHT($N667,6)="tarief",F667="Vergoeding"),SUM(O667)*FLOOR(SUM(Q667),0.0001),AND(O667&lt;&gt;"",F667&lt;&gt;"",RIGHT($N667,6)="tarief"),SUM(O667)*FLOOR(SUM(Q667),0.01),S667&gt;0,IF(F667&lt;&gt;"",FLOOR(SUM(S667),0.01),"")),""),""),"")</f>
        <v/>
      </c>
      <c r="X667" s="314" t="str" cm="1">
        <f t="array" aca="1" ref="X667" ca="1">IFERROR(IF(AE667&lt;&gt;"ja",_xlfn.IFNA(_xlfn.IFS(AND(P667&lt;&gt;"",R667&lt;&gt;"",RIGHT($N667,6)="tarief",F667="Vergoeding"),SUM(P667)*FLOOR(SUM(R667),0.0001),AND(P667&lt;&gt;"",R667&lt;&gt;"",RIGHT($N667,6)="tarief"),P667*FLOOR(R667,0.01),T667&gt;0,FLOOR(SUM(T667),0.01)),""),""),"")</f>
        <v/>
      </c>
      <c r="Y667" s="314" t="str">
        <f t="shared" ca="1" si="42"/>
        <v/>
      </c>
      <c r="Z667" s="314" t="str" cm="1">
        <f t="array" aca="1" ref="Z667" ca="1">IFERROR(_xlfn.IFS(OR(F667="",LEFT(Methode_Keuze,4)="Geen",Methode_Keuze=""),"",AND(W667&lt;&gt;"",F667&lt;&gt;"Arbeidskosten"),W667*VLOOKUP(F667,Tb_ProjectKosten[],MATCH(Tb_ProjectKosten[[#Headers],[Forfait_Percentage]],Tb_ProjectKosten[#Headers],0),0),AND(F667="Arbeidskosten",G667&lt;&gt;""),IFERROR(W667*VLOOKUP(G667,Tb_KostenTypen[],3,0)*VLOOKUP(F667,Tb_ProjectKosten[],MATCH(Tb_ProjectKosten[[#Headers],[Forfait_Percentage]],Tb_ProjectKosten[#Headers],0),0),""),W667 &lt;=0,0),"")</f>
        <v/>
      </c>
      <c r="AA667" s="314" t="str" cm="1">
        <f t="array" aca="1" ref="AA667" ca="1">IFERROR(_xlfn.IFS(OR(F667="",LEFT(Methode_Keuze,4)="Geen",Methode_Keuze=""),"",AND(X667&lt;&gt;"",F667&lt;&gt;"Arbeidskosten"),X667*VLOOKUP(F667,Tb_ProjectKosten[],MATCH(Tb_ProjectKosten[[#Headers],[Forfait_Percentage]],Tb_ProjectKosten[#Headers],0),0),AND(F667="Arbeidskosten",G667&lt;&gt;""),IFERROR(X667*VLOOKUP(G667,Tb_KostenTypen[],3,0)*VLOOKUP(F667,Tb_ProjectKosten[],MATCH(Tb_ProjectKosten[[#Headers],[Forfait_Percentage]],Tb_ProjectKosten[#Headers],0),0),""),X667 &lt;=0,0),"")</f>
        <v/>
      </c>
      <c r="AB667" s="314" t="str">
        <f t="shared" ca="1" si="43"/>
        <v/>
      </c>
      <c r="AC667" s="322"/>
      <c r="AD667" s="315"/>
      <c r="AE667" s="32" t="str" cm="1">
        <f t="array" ref="AE667">IFERROR(IF(INDEX(SubsidieTabel!$AD$1:$AG$12,MATCH($F667,SubsidieTabel!$AD$1:$AD$12,0),IFERROR(MATCH(Methode_Keuze,SubsidieTabel!$AD$1:$AG$1,0),2))&lt;&gt;1=TRUE,"ja",""),"")</f>
        <v/>
      </c>
    </row>
    <row r="668" spans="1:31" x14ac:dyDescent="0.25">
      <c r="A668" s="316"/>
      <c r="B668" s="317" t="str">
        <f>IF(A668&lt;&gt;"",_xlfn.MAXIFS($B$1:B667,$A$1:A667,A668)+1,"")</f>
        <v/>
      </c>
      <c r="C668" s="296"/>
      <c r="D668" s="296"/>
      <c r="E668" s="296"/>
      <c r="F668" s="296"/>
      <c r="G668" s="326"/>
      <c r="H668" s="324"/>
      <c r="I668" s="325"/>
      <c r="J668" s="325"/>
      <c r="K668" s="318"/>
      <c r="L668" s="318"/>
      <c r="M668" s="319" t="str">
        <f>IFERROR(VLOOKUP(H668,Lijsten!$H$1:$I$100,2,0),"")</f>
        <v/>
      </c>
      <c r="N668" s="319" t="str">
        <f ca="1">IFERROR(IF(VLOOKUP(F668,Kostentypen!$A$3:$E$21,3,0)=0,"",IF(OR(F668="Arbeidskosten",F668="Vergoeding"),VLOOKUP(G668,Tb_KostenTypen[],2,0),VLOOKUP(F668,Kostentypen!$A$3:$E$20,3,0))),"")</f>
        <v/>
      </c>
      <c r="O668" s="320" t="str" cm="1">
        <f t="array" ref="O668">_xlfn.IFNA(IF(INDEX(Tb_KostenOptiesDB[],MATCH($F668,Tb_KostenOptiesDB[KostenOptie],0),IFERROR(MATCH(Methode_Keuze,Tb_KostenOptiesDB[#Headers],0),2))=1,_xlfn.SWITCH($N668,"Uurtarief",IF(OR(AND(RIGHT($F668,3)="IKS",VLOOKUP($M668,DB_Loonkosten,2,0)="Ja"),AND(RIGHT($F668,3)&lt;&gt;"IKS",VLOOKUP($M668,DB_Loonkosten,2,0)="Nee")),IFERROR(VLOOKUP($M668,DB_Loonkosten,24,0),""),0),"Vast tarief",IF(LEFT(F668,8)="Bijdrage",VLOOKUP($F668,Tb_KostenTypen[],MATCH(Lijsten!$P$1,Tb_KostenTypen[#Headers],0),0),VLOOKUP($G668,Lijsten!L:P,MATCH(Lijsten!$P$1,Kop_Tarief_Vast,0),0))),""),"")</f>
        <v/>
      </c>
      <c r="P668" s="320" t="str" cm="1">
        <f t="array" ref="P668">_xlfn.IFNA(IF(INDEX(Tb_KostenOptiesDB[],MATCH($F668,Tb_KostenOptiesDB[KostenOptie],0),IFERROR(MATCH(Methode_Keuze,Tb_KostenOptiesDB[#Headers],0),2))=1,_xlfn.SWITCH($N668,"Uurtarief",IF(OR(AND(RIGHT($F668,3)="IKS",VLOOKUP($M668,DB_Loonkosten,2,0)="Ja"),AND(RIGHT($F668,3)&lt;&gt;"IKS",VLOOKUP($M668,DB_Loonkosten,2,0)="Nee")),IFERROR(VLOOKUP($M668,DB_Loonkosten,25,0),""),0),"Vast tarief",IF(LEFT(F668,8)="Bijdrage",VLOOKUP($F668,Tb_KostenTypen[],MATCH(Lijsten!$P$1,Tb_KostenTypen[#Headers],0),0),VLOOKUP($G668,Lijsten!L:P,MATCH(Lijsten!$P$1,Kop_Tarief_Vast,0),0))),""),"")</f>
        <v/>
      </c>
      <c r="Q668" s="359"/>
      <c r="R668" s="359"/>
      <c r="S668" s="321"/>
      <c r="T668" s="321"/>
      <c r="U668" s="373" t="str">
        <f t="shared" si="40"/>
        <v/>
      </c>
      <c r="V668" s="314" t="str">
        <f t="shared" si="41"/>
        <v/>
      </c>
      <c r="W668" s="314" t="str" cm="1">
        <f t="array" aca="1" ref="W668" ca="1">IFERROR(IF(AE668&lt;&gt;"ja",_xlfn.IFNA(_xlfn.IFS(AND(O668&lt;&gt;"",F668&lt;&gt;"",RIGHT($N668,6)="tarief",F668="Vergoeding"),SUM(O668)*FLOOR(SUM(Q668),0.0001),AND(O668&lt;&gt;"",F668&lt;&gt;"",RIGHT($N668,6)="tarief"),SUM(O668)*FLOOR(SUM(Q668),0.01),S668&gt;0,IF(F668&lt;&gt;"",FLOOR(SUM(S668),0.01),"")),""),""),"")</f>
        <v/>
      </c>
      <c r="X668" s="314" t="str" cm="1">
        <f t="array" aca="1" ref="X668" ca="1">IFERROR(IF(AE668&lt;&gt;"ja",_xlfn.IFNA(_xlfn.IFS(AND(P668&lt;&gt;"",R668&lt;&gt;"",RIGHT($N668,6)="tarief",F668="Vergoeding"),SUM(P668)*FLOOR(SUM(R668),0.0001),AND(P668&lt;&gt;"",R668&lt;&gt;"",RIGHT($N668,6)="tarief"),P668*FLOOR(R668,0.01),T668&gt;0,FLOOR(SUM(T668),0.01)),""),""),"")</f>
        <v/>
      </c>
      <c r="Y668" s="314" t="str">
        <f t="shared" ca="1" si="42"/>
        <v/>
      </c>
      <c r="Z668" s="314" t="str" cm="1">
        <f t="array" aca="1" ref="Z668" ca="1">IFERROR(_xlfn.IFS(OR(F668="",LEFT(Methode_Keuze,4)="Geen",Methode_Keuze=""),"",AND(W668&lt;&gt;"",F668&lt;&gt;"Arbeidskosten"),W668*VLOOKUP(F668,Tb_ProjectKosten[],MATCH(Tb_ProjectKosten[[#Headers],[Forfait_Percentage]],Tb_ProjectKosten[#Headers],0),0),AND(F668="Arbeidskosten",G668&lt;&gt;""),IFERROR(W668*VLOOKUP(G668,Tb_KostenTypen[],3,0)*VLOOKUP(F668,Tb_ProjectKosten[],MATCH(Tb_ProjectKosten[[#Headers],[Forfait_Percentage]],Tb_ProjectKosten[#Headers],0),0),""),W668 &lt;=0,0),"")</f>
        <v/>
      </c>
      <c r="AA668" s="314" t="str" cm="1">
        <f t="array" aca="1" ref="AA668" ca="1">IFERROR(_xlfn.IFS(OR(F668="",LEFT(Methode_Keuze,4)="Geen",Methode_Keuze=""),"",AND(X668&lt;&gt;"",F668&lt;&gt;"Arbeidskosten"),X668*VLOOKUP(F668,Tb_ProjectKosten[],MATCH(Tb_ProjectKosten[[#Headers],[Forfait_Percentage]],Tb_ProjectKosten[#Headers],0),0),AND(F668="Arbeidskosten",G668&lt;&gt;""),IFERROR(X668*VLOOKUP(G668,Tb_KostenTypen[],3,0)*VLOOKUP(F668,Tb_ProjectKosten[],MATCH(Tb_ProjectKosten[[#Headers],[Forfait_Percentage]],Tb_ProjectKosten[#Headers],0),0),""),X668 &lt;=0,0),"")</f>
        <v/>
      </c>
      <c r="AB668" s="314" t="str">
        <f t="shared" ca="1" si="43"/>
        <v/>
      </c>
      <c r="AC668" s="322"/>
      <c r="AD668" s="315"/>
      <c r="AE668" s="32" t="str" cm="1">
        <f t="array" ref="AE668">IFERROR(IF(INDEX(SubsidieTabel!$AD$1:$AG$12,MATCH($F668,SubsidieTabel!$AD$1:$AD$12,0),IFERROR(MATCH(Methode_Keuze,SubsidieTabel!$AD$1:$AG$1,0),2))&lt;&gt;1=TRUE,"ja",""),"")</f>
        <v/>
      </c>
    </row>
    <row r="669" spans="1:31" x14ac:dyDescent="0.25">
      <c r="A669" s="316"/>
      <c r="B669" s="317" t="str">
        <f>IF(A669&lt;&gt;"",_xlfn.MAXIFS($B$1:B668,$A$1:A668,A669)+1,"")</f>
        <v/>
      </c>
      <c r="C669" s="296"/>
      <c r="D669" s="296"/>
      <c r="E669" s="296"/>
      <c r="F669" s="296"/>
      <c r="G669" s="326"/>
      <c r="H669" s="324"/>
      <c r="I669" s="325"/>
      <c r="J669" s="325"/>
      <c r="K669" s="318"/>
      <c r="L669" s="318"/>
      <c r="M669" s="319" t="str">
        <f>IFERROR(VLOOKUP(H669,Lijsten!$H$1:$I$100,2,0),"")</f>
        <v/>
      </c>
      <c r="N669" s="319" t="str">
        <f ca="1">IFERROR(IF(VLOOKUP(F669,Kostentypen!$A$3:$E$21,3,0)=0,"",IF(OR(F669="Arbeidskosten",F669="Vergoeding"),VLOOKUP(G669,Tb_KostenTypen[],2,0),VLOOKUP(F669,Kostentypen!$A$3:$E$20,3,0))),"")</f>
        <v/>
      </c>
      <c r="O669" s="320" t="str" cm="1">
        <f t="array" ref="O669">_xlfn.IFNA(IF(INDEX(Tb_KostenOptiesDB[],MATCH($F669,Tb_KostenOptiesDB[KostenOptie],0),IFERROR(MATCH(Methode_Keuze,Tb_KostenOptiesDB[#Headers],0),2))=1,_xlfn.SWITCH($N669,"Uurtarief",IF(OR(AND(RIGHT($F669,3)="IKS",VLOOKUP($M669,DB_Loonkosten,2,0)="Ja"),AND(RIGHT($F669,3)&lt;&gt;"IKS",VLOOKUP($M669,DB_Loonkosten,2,0)="Nee")),IFERROR(VLOOKUP($M669,DB_Loonkosten,24,0),""),0),"Vast tarief",IF(LEFT(F669,8)="Bijdrage",VLOOKUP($F669,Tb_KostenTypen[],MATCH(Lijsten!$P$1,Tb_KostenTypen[#Headers],0),0),VLOOKUP($G669,Lijsten!L:P,MATCH(Lijsten!$P$1,Kop_Tarief_Vast,0),0))),""),"")</f>
        <v/>
      </c>
      <c r="P669" s="320" t="str" cm="1">
        <f t="array" ref="P669">_xlfn.IFNA(IF(INDEX(Tb_KostenOptiesDB[],MATCH($F669,Tb_KostenOptiesDB[KostenOptie],0),IFERROR(MATCH(Methode_Keuze,Tb_KostenOptiesDB[#Headers],0),2))=1,_xlfn.SWITCH($N669,"Uurtarief",IF(OR(AND(RIGHT($F669,3)="IKS",VLOOKUP($M669,DB_Loonkosten,2,0)="Ja"),AND(RIGHT($F669,3)&lt;&gt;"IKS",VLOOKUP($M669,DB_Loonkosten,2,0)="Nee")),IFERROR(VLOOKUP($M669,DB_Loonkosten,25,0),""),0),"Vast tarief",IF(LEFT(F669,8)="Bijdrage",VLOOKUP($F669,Tb_KostenTypen[],MATCH(Lijsten!$P$1,Tb_KostenTypen[#Headers],0),0),VLOOKUP($G669,Lijsten!L:P,MATCH(Lijsten!$P$1,Kop_Tarief_Vast,0),0))),""),"")</f>
        <v/>
      </c>
      <c r="Q669" s="359"/>
      <c r="R669" s="359"/>
      <c r="S669" s="321"/>
      <c r="T669" s="321"/>
      <c r="U669" s="373" t="str">
        <f t="shared" si="40"/>
        <v/>
      </c>
      <c r="V669" s="314" t="str">
        <f t="shared" si="41"/>
        <v/>
      </c>
      <c r="W669" s="314" t="str" cm="1">
        <f t="array" aca="1" ref="W669" ca="1">IFERROR(IF(AE669&lt;&gt;"ja",_xlfn.IFNA(_xlfn.IFS(AND(O669&lt;&gt;"",F669&lt;&gt;"",RIGHT($N669,6)="tarief",F669="Vergoeding"),SUM(O669)*FLOOR(SUM(Q669),0.0001),AND(O669&lt;&gt;"",F669&lt;&gt;"",RIGHT($N669,6)="tarief"),SUM(O669)*FLOOR(SUM(Q669),0.01),S669&gt;0,IF(F669&lt;&gt;"",FLOOR(SUM(S669),0.01),"")),""),""),"")</f>
        <v/>
      </c>
      <c r="X669" s="314" t="str" cm="1">
        <f t="array" aca="1" ref="X669" ca="1">IFERROR(IF(AE669&lt;&gt;"ja",_xlfn.IFNA(_xlfn.IFS(AND(P669&lt;&gt;"",R669&lt;&gt;"",RIGHT($N669,6)="tarief",F669="Vergoeding"),SUM(P669)*FLOOR(SUM(R669),0.0001),AND(P669&lt;&gt;"",R669&lt;&gt;"",RIGHT($N669,6)="tarief"),P669*FLOOR(R669,0.01),T669&gt;0,FLOOR(SUM(T669),0.01)),""),""),"")</f>
        <v/>
      </c>
      <c r="Y669" s="314" t="str">
        <f t="shared" ca="1" si="42"/>
        <v/>
      </c>
      <c r="Z669" s="314" t="str" cm="1">
        <f t="array" aca="1" ref="Z669" ca="1">IFERROR(_xlfn.IFS(OR(F669="",LEFT(Methode_Keuze,4)="Geen",Methode_Keuze=""),"",AND(W669&lt;&gt;"",F669&lt;&gt;"Arbeidskosten"),W669*VLOOKUP(F669,Tb_ProjectKosten[],MATCH(Tb_ProjectKosten[[#Headers],[Forfait_Percentage]],Tb_ProjectKosten[#Headers],0),0),AND(F669="Arbeidskosten",G669&lt;&gt;""),IFERROR(W669*VLOOKUP(G669,Tb_KostenTypen[],3,0)*VLOOKUP(F669,Tb_ProjectKosten[],MATCH(Tb_ProjectKosten[[#Headers],[Forfait_Percentage]],Tb_ProjectKosten[#Headers],0),0),""),W669 &lt;=0,0),"")</f>
        <v/>
      </c>
      <c r="AA669" s="314" t="str" cm="1">
        <f t="array" aca="1" ref="AA669" ca="1">IFERROR(_xlfn.IFS(OR(F669="",LEFT(Methode_Keuze,4)="Geen",Methode_Keuze=""),"",AND(X669&lt;&gt;"",F669&lt;&gt;"Arbeidskosten"),X669*VLOOKUP(F669,Tb_ProjectKosten[],MATCH(Tb_ProjectKosten[[#Headers],[Forfait_Percentage]],Tb_ProjectKosten[#Headers],0),0),AND(F669="Arbeidskosten",G669&lt;&gt;""),IFERROR(X669*VLOOKUP(G669,Tb_KostenTypen[],3,0)*VLOOKUP(F669,Tb_ProjectKosten[],MATCH(Tb_ProjectKosten[[#Headers],[Forfait_Percentage]],Tb_ProjectKosten[#Headers],0),0),""),X669 &lt;=0,0),"")</f>
        <v/>
      </c>
      <c r="AB669" s="314" t="str">
        <f t="shared" ca="1" si="43"/>
        <v/>
      </c>
      <c r="AC669" s="322"/>
      <c r="AD669" s="315"/>
      <c r="AE669" s="32" t="str" cm="1">
        <f t="array" ref="AE669">IFERROR(IF(INDEX(SubsidieTabel!$AD$1:$AG$12,MATCH($F669,SubsidieTabel!$AD$1:$AD$12,0),IFERROR(MATCH(Methode_Keuze,SubsidieTabel!$AD$1:$AG$1,0),2))&lt;&gt;1=TRUE,"ja",""),"")</f>
        <v/>
      </c>
    </row>
    <row r="670" spans="1:31" x14ac:dyDescent="0.25">
      <c r="A670" s="316"/>
      <c r="B670" s="317" t="str">
        <f>IF(A670&lt;&gt;"",_xlfn.MAXIFS($B$1:B669,$A$1:A669,A670)+1,"")</f>
        <v/>
      </c>
      <c r="C670" s="296"/>
      <c r="D670" s="296"/>
      <c r="E670" s="296"/>
      <c r="F670" s="296"/>
      <c r="G670" s="326"/>
      <c r="H670" s="324"/>
      <c r="I670" s="325"/>
      <c r="J670" s="325"/>
      <c r="K670" s="318"/>
      <c r="L670" s="318"/>
      <c r="M670" s="319" t="str">
        <f>IFERROR(VLOOKUP(H670,Lijsten!$H$1:$I$100,2,0),"")</f>
        <v/>
      </c>
      <c r="N670" s="319" t="str">
        <f ca="1">IFERROR(IF(VLOOKUP(F670,Kostentypen!$A$3:$E$21,3,0)=0,"",IF(OR(F670="Arbeidskosten",F670="Vergoeding"),VLOOKUP(G670,Tb_KostenTypen[],2,0),VLOOKUP(F670,Kostentypen!$A$3:$E$20,3,0))),"")</f>
        <v/>
      </c>
      <c r="O670" s="320" t="str" cm="1">
        <f t="array" ref="O670">_xlfn.IFNA(IF(INDEX(Tb_KostenOptiesDB[],MATCH($F670,Tb_KostenOptiesDB[KostenOptie],0),IFERROR(MATCH(Methode_Keuze,Tb_KostenOptiesDB[#Headers],0),2))=1,_xlfn.SWITCH($N670,"Uurtarief",IF(OR(AND(RIGHT($F670,3)="IKS",VLOOKUP($M670,DB_Loonkosten,2,0)="Ja"),AND(RIGHT($F670,3)&lt;&gt;"IKS",VLOOKUP($M670,DB_Loonkosten,2,0)="Nee")),IFERROR(VLOOKUP($M670,DB_Loonkosten,24,0),""),0),"Vast tarief",IF(LEFT(F670,8)="Bijdrage",VLOOKUP($F670,Tb_KostenTypen[],MATCH(Lijsten!$P$1,Tb_KostenTypen[#Headers],0),0),VLOOKUP($G670,Lijsten!L:P,MATCH(Lijsten!$P$1,Kop_Tarief_Vast,0),0))),""),"")</f>
        <v/>
      </c>
      <c r="P670" s="320" t="str" cm="1">
        <f t="array" ref="P670">_xlfn.IFNA(IF(INDEX(Tb_KostenOptiesDB[],MATCH($F670,Tb_KostenOptiesDB[KostenOptie],0),IFERROR(MATCH(Methode_Keuze,Tb_KostenOptiesDB[#Headers],0),2))=1,_xlfn.SWITCH($N670,"Uurtarief",IF(OR(AND(RIGHT($F670,3)="IKS",VLOOKUP($M670,DB_Loonkosten,2,0)="Ja"),AND(RIGHT($F670,3)&lt;&gt;"IKS",VLOOKUP($M670,DB_Loonkosten,2,0)="Nee")),IFERROR(VLOOKUP($M670,DB_Loonkosten,25,0),""),0),"Vast tarief",IF(LEFT(F670,8)="Bijdrage",VLOOKUP($F670,Tb_KostenTypen[],MATCH(Lijsten!$P$1,Tb_KostenTypen[#Headers],0),0),VLOOKUP($G670,Lijsten!L:P,MATCH(Lijsten!$P$1,Kop_Tarief_Vast,0),0))),""),"")</f>
        <v/>
      </c>
      <c r="Q670" s="359"/>
      <c r="R670" s="359"/>
      <c r="S670" s="321"/>
      <c r="T670" s="321"/>
      <c r="U670" s="373" t="str">
        <f t="shared" si="40"/>
        <v/>
      </c>
      <c r="V670" s="314" t="str">
        <f t="shared" si="41"/>
        <v/>
      </c>
      <c r="W670" s="314" t="str" cm="1">
        <f t="array" aca="1" ref="W670" ca="1">IFERROR(IF(AE670&lt;&gt;"ja",_xlfn.IFNA(_xlfn.IFS(AND(O670&lt;&gt;"",F670&lt;&gt;"",RIGHT($N670,6)="tarief",F670="Vergoeding"),SUM(O670)*FLOOR(SUM(Q670),0.0001),AND(O670&lt;&gt;"",F670&lt;&gt;"",RIGHT($N670,6)="tarief"),SUM(O670)*FLOOR(SUM(Q670),0.01),S670&gt;0,IF(F670&lt;&gt;"",FLOOR(SUM(S670),0.01),"")),""),""),"")</f>
        <v/>
      </c>
      <c r="X670" s="314" t="str" cm="1">
        <f t="array" aca="1" ref="X670" ca="1">IFERROR(IF(AE670&lt;&gt;"ja",_xlfn.IFNA(_xlfn.IFS(AND(P670&lt;&gt;"",R670&lt;&gt;"",RIGHT($N670,6)="tarief",F670="Vergoeding"),SUM(P670)*FLOOR(SUM(R670),0.0001),AND(P670&lt;&gt;"",R670&lt;&gt;"",RIGHT($N670,6)="tarief"),P670*FLOOR(R670,0.01),T670&gt;0,FLOOR(SUM(T670),0.01)),""),""),"")</f>
        <v/>
      </c>
      <c r="Y670" s="314" t="str">
        <f t="shared" ca="1" si="42"/>
        <v/>
      </c>
      <c r="Z670" s="314" t="str" cm="1">
        <f t="array" aca="1" ref="Z670" ca="1">IFERROR(_xlfn.IFS(OR(F670="",LEFT(Methode_Keuze,4)="Geen",Methode_Keuze=""),"",AND(W670&lt;&gt;"",F670&lt;&gt;"Arbeidskosten"),W670*VLOOKUP(F670,Tb_ProjectKosten[],MATCH(Tb_ProjectKosten[[#Headers],[Forfait_Percentage]],Tb_ProjectKosten[#Headers],0),0),AND(F670="Arbeidskosten",G670&lt;&gt;""),IFERROR(W670*VLOOKUP(G670,Tb_KostenTypen[],3,0)*VLOOKUP(F670,Tb_ProjectKosten[],MATCH(Tb_ProjectKosten[[#Headers],[Forfait_Percentage]],Tb_ProjectKosten[#Headers],0),0),""),W670 &lt;=0,0),"")</f>
        <v/>
      </c>
      <c r="AA670" s="314" t="str" cm="1">
        <f t="array" aca="1" ref="AA670" ca="1">IFERROR(_xlfn.IFS(OR(F670="",LEFT(Methode_Keuze,4)="Geen",Methode_Keuze=""),"",AND(X670&lt;&gt;"",F670&lt;&gt;"Arbeidskosten"),X670*VLOOKUP(F670,Tb_ProjectKosten[],MATCH(Tb_ProjectKosten[[#Headers],[Forfait_Percentage]],Tb_ProjectKosten[#Headers],0),0),AND(F670="Arbeidskosten",G670&lt;&gt;""),IFERROR(X670*VLOOKUP(G670,Tb_KostenTypen[],3,0)*VLOOKUP(F670,Tb_ProjectKosten[],MATCH(Tb_ProjectKosten[[#Headers],[Forfait_Percentage]],Tb_ProjectKosten[#Headers],0),0),""),X670 &lt;=0,0),"")</f>
        <v/>
      </c>
      <c r="AB670" s="314" t="str">
        <f t="shared" ca="1" si="43"/>
        <v/>
      </c>
      <c r="AC670" s="322"/>
      <c r="AD670" s="315"/>
      <c r="AE670" s="32" t="str" cm="1">
        <f t="array" ref="AE670">IFERROR(IF(INDEX(SubsidieTabel!$AD$1:$AG$12,MATCH($F670,SubsidieTabel!$AD$1:$AD$12,0),IFERROR(MATCH(Methode_Keuze,SubsidieTabel!$AD$1:$AG$1,0),2))&lt;&gt;1=TRUE,"ja",""),"")</f>
        <v/>
      </c>
    </row>
    <row r="671" spans="1:31" x14ac:dyDescent="0.25">
      <c r="A671" s="316"/>
      <c r="B671" s="317" t="str">
        <f>IF(A671&lt;&gt;"",_xlfn.MAXIFS($B$1:B670,$A$1:A670,A671)+1,"")</f>
        <v/>
      </c>
      <c r="C671" s="296"/>
      <c r="D671" s="296"/>
      <c r="E671" s="296"/>
      <c r="F671" s="296"/>
      <c r="G671" s="326"/>
      <c r="H671" s="324"/>
      <c r="I671" s="325"/>
      <c r="J671" s="325"/>
      <c r="K671" s="318"/>
      <c r="L671" s="318"/>
      <c r="M671" s="319" t="str">
        <f>IFERROR(VLOOKUP(H671,Lijsten!$H$1:$I$100,2,0),"")</f>
        <v/>
      </c>
      <c r="N671" s="319" t="str">
        <f ca="1">IFERROR(IF(VLOOKUP(F671,Kostentypen!$A$3:$E$21,3,0)=0,"",IF(OR(F671="Arbeidskosten",F671="Vergoeding"),VLOOKUP(G671,Tb_KostenTypen[],2,0),VLOOKUP(F671,Kostentypen!$A$3:$E$20,3,0))),"")</f>
        <v/>
      </c>
      <c r="O671" s="320" t="str" cm="1">
        <f t="array" ref="O671">_xlfn.IFNA(IF(INDEX(Tb_KostenOptiesDB[],MATCH($F671,Tb_KostenOptiesDB[KostenOptie],0),IFERROR(MATCH(Methode_Keuze,Tb_KostenOptiesDB[#Headers],0),2))=1,_xlfn.SWITCH($N671,"Uurtarief",IF(OR(AND(RIGHT($F671,3)="IKS",VLOOKUP($M671,DB_Loonkosten,2,0)="Ja"),AND(RIGHT($F671,3)&lt;&gt;"IKS",VLOOKUP($M671,DB_Loonkosten,2,0)="Nee")),IFERROR(VLOOKUP($M671,DB_Loonkosten,24,0),""),0),"Vast tarief",IF(LEFT(F671,8)="Bijdrage",VLOOKUP($F671,Tb_KostenTypen[],MATCH(Lijsten!$P$1,Tb_KostenTypen[#Headers],0),0),VLOOKUP($G671,Lijsten!L:P,MATCH(Lijsten!$P$1,Kop_Tarief_Vast,0),0))),""),"")</f>
        <v/>
      </c>
      <c r="P671" s="320" t="str" cm="1">
        <f t="array" ref="P671">_xlfn.IFNA(IF(INDEX(Tb_KostenOptiesDB[],MATCH($F671,Tb_KostenOptiesDB[KostenOptie],0),IFERROR(MATCH(Methode_Keuze,Tb_KostenOptiesDB[#Headers],0),2))=1,_xlfn.SWITCH($N671,"Uurtarief",IF(OR(AND(RIGHT($F671,3)="IKS",VLOOKUP($M671,DB_Loonkosten,2,0)="Ja"),AND(RIGHT($F671,3)&lt;&gt;"IKS",VLOOKUP($M671,DB_Loonkosten,2,0)="Nee")),IFERROR(VLOOKUP($M671,DB_Loonkosten,25,0),""),0),"Vast tarief",IF(LEFT(F671,8)="Bijdrage",VLOOKUP($F671,Tb_KostenTypen[],MATCH(Lijsten!$P$1,Tb_KostenTypen[#Headers],0),0),VLOOKUP($G671,Lijsten!L:P,MATCH(Lijsten!$P$1,Kop_Tarief_Vast,0),0))),""),"")</f>
        <v/>
      </c>
      <c r="Q671" s="359"/>
      <c r="R671" s="359"/>
      <c r="S671" s="321"/>
      <c r="T671" s="321"/>
      <c r="U671" s="373" t="str">
        <f t="shared" si="40"/>
        <v/>
      </c>
      <c r="V671" s="314" t="str">
        <f t="shared" si="41"/>
        <v/>
      </c>
      <c r="W671" s="314" t="str" cm="1">
        <f t="array" aca="1" ref="W671" ca="1">IFERROR(IF(AE671&lt;&gt;"ja",_xlfn.IFNA(_xlfn.IFS(AND(O671&lt;&gt;"",F671&lt;&gt;"",RIGHT($N671,6)="tarief",F671="Vergoeding"),SUM(O671)*FLOOR(SUM(Q671),0.0001),AND(O671&lt;&gt;"",F671&lt;&gt;"",RIGHT($N671,6)="tarief"),SUM(O671)*FLOOR(SUM(Q671),0.01),S671&gt;0,IF(F671&lt;&gt;"",FLOOR(SUM(S671),0.01),"")),""),""),"")</f>
        <v/>
      </c>
      <c r="X671" s="314" t="str" cm="1">
        <f t="array" aca="1" ref="X671" ca="1">IFERROR(IF(AE671&lt;&gt;"ja",_xlfn.IFNA(_xlfn.IFS(AND(P671&lt;&gt;"",R671&lt;&gt;"",RIGHT($N671,6)="tarief",F671="Vergoeding"),SUM(P671)*FLOOR(SUM(R671),0.0001),AND(P671&lt;&gt;"",R671&lt;&gt;"",RIGHT($N671,6)="tarief"),P671*FLOOR(R671,0.01),T671&gt;0,FLOOR(SUM(T671),0.01)),""),""),"")</f>
        <v/>
      </c>
      <c r="Y671" s="314" t="str">
        <f t="shared" ca="1" si="42"/>
        <v/>
      </c>
      <c r="Z671" s="314" t="str" cm="1">
        <f t="array" aca="1" ref="Z671" ca="1">IFERROR(_xlfn.IFS(OR(F671="",LEFT(Methode_Keuze,4)="Geen",Methode_Keuze=""),"",AND(W671&lt;&gt;"",F671&lt;&gt;"Arbeidskosten"),W671*VLOOKUP(F671,Tb_ProjectKosten[],MATCH(Tb_ProjectKosten[[#Headers],[Forfait_Percentage]],Tb_ProjectKosten[#Headers],0),0),AND(F671="Arbeidskosten",G671&lt;&gt;""),IFERROR(W671*VLOOKUP(G671,Tb_KostenTypen[],3,0)*VLOOKUP(F671,Tb_ProjectKosten[],MATCH(Tb_ProjectKosten[[#Headers],[Forfait_Percentage]],Tb_ProjectKosten[#Headers],0),0),""),W671 &lt;=0,0),"")</f>
        <v/>
      </c>
      <c r="AA671" s="314" t="str" cm="1">
        <f t="array" aca="1" ref="AA671" ca="1">IFERROR(_xlfn.IFS(OR(F671="",LEFT(Methode_Keuze,4)="Geen",Methode_Keuze=""),"",AND(X671&lt;&gt;"",F671&lt;&gt;"Arbeidskosten"),X671*VLOOKUP(F671,Tb_ProjectKosten[],MATCH(Tb_ProjectKosten[[#Headers],[Forfait_Percentage]],Tb_ProjectKosten[#Headers],0),0),AND(F671="Arbeidskosten",G671&lt;&gt;""),IFERROR(X671*VLOOKUP(G671,Tb_KostenTypen[],3,0)*VLOOKUP(F671,Tb_ProjectKosten[],MATCH(Tb_ProjectKosten[[#Headers],[Forfait_Percentage]],Tb_ProjectKosten[#Headers],0),0),""),X671 &lt;=0,0),"")</f>
        <v/>
      </c>
      <c r="AB671" s="314" t="str">
        <f t="shared" ca="1" si="43"/>
        <v/>
      </c>
      <c r="AC671" s="322"/>
      <c r="AD671" s="315"/>
      <c r="AE671" s="32" t="str" cm="1">
        <f t="array" ref="AE671">IFERROR(IF(INDEX(SubsidieTabel!$AD$1:$AG$12,MATCH($F671,SubsidieTabel!$AD$1:$AD$12,0),IFERROR(MATCH(Methode_Keuze,SubsidieTabel!$AD$1:$AG$1,0),2))&lt;&gt;1=TRUE,"ja",""),"")</f>
        <v/>
      </c>
    </row>
    <row r="672" spans="1:31" x14ac:dyDescent="0.25">
      <c r="A672" s="316"/>
      <c r="B672" s="317" t="str">
        <f>IF(A672&lt;&gt;"",_xlfn.MAXIFS($B$1:B671,$A$1:A671,A672)+1,"")</f>
        <v/>
      </c>
      <c r="C672" s="296"/>
      <c r="D672" s="296"/>
      <c r="E672" s="296"/>
      <c r="F672" s="296"/>
      <c r="G672" s="326"/>
      <c r="H672" s="324"/>
      <c r="I672" s="325"/>
      <c r="J672" s="325"/>
      <c r="K672" s="318"/>
      <c r="L672" s="318"/>
      <c r="M672" s="319" t="str">
        <f>IFERROR(VLOOKUP(H672,Lijsten!$H$1:$I$100,2,0),"")</f>
        <v/>
      </c>
      <c r="N672" s="319" t="str">
        <f ca="1">IFERROR(IF(VLOOKUP(F672,Kostentypen!$A$3:$E$21,3,0)=0,"",IF(OR(F672="Arbeidskosten",F672="Vergoeding"),VLOOKUP(G672,Tb_KostenTypen[],2,0),VLOOKUP(F672,Kostentypen!$A$3:$E$20,3,0))),"")</f>
        <v/>
      </c>
      <c r="O672" s="320" t="str" cm="1">
        <f t="array" ref="O672">_xlfn.IFNA(IF(INDEX(Tb_KostenOptiesDB[],MATCH($F672,Tb_KostenOptiesDB[KostenOptie],0),IFERROR(MATCH(Methode_Keuze,Tb_KostenOptiesDB[#Headers],0),2))=1,_xlfn.SWITCH($N672,"Uurtarief",IF(OR(AND(RIGHT($F672,3)="IKS",VLOOKUP($M672,DB_Loonkosten,2,0)="Ja"),AND(RIGHT($F672,3)&lt;&gt;"IKS",VLOOKUP($M672,DB_Loonkosten,2,0)="Nee")),IFERROR(VLOOKUP($M672,DB_Loonkosten,24,0),""),0),"Vast tarief",IF(LEFT(F672,8)="Bijdrage",VLOOKUP($F672,Tb_KostenTypen[],MATCH(Lijsten!$P$1,Tb_KostenTypen[#Headers],0),0),VLOOKUP($G672,Lijsten!L:P,MATCH(Lijsten!$P$1,Kop_Tarief_Vast,0),0))),""),"")</f>
        <v/>
      </c>
      <c r="P672" s="320" t="str" cm="1">
        <f t="array" ref="P672">_xlfn.IFNA(IF(INDEX(Tb_KostenOptiesDB[],MATCH($F672,Tb_KostenOptiesDB[KostenOptie],0),IFERROR(MATCH(Methode_Keuze,Tb_KostenOptiesDB[#Headers],0),2))=1,_xlfn.SWITCH($N672,"Uurtarief",IF(OR(AND(RIGHT($F672,3)="IKS",VLOOKUP($M672,DB_Loonkosten,2,0)="Ja"),AND(RIGHT($F672,3)&lt;&gt;"IKS",VLOOKUP($M672,DB_Loonkosten,2,0)="Nee")),IFERROR(VLOOKUP($M672,DB_Loonkosten,25,0),""),0),"Vast tarief",IF(LEFT(F672,8)="Bijdrage",VLOOKUP($F672,Tb_KostenTypen[],MATCH(Lijsten!$P$1,Tb_KostenTypen[#Headers],0),0),VLOOKUP($G672,Lijsten!L:P,MATCH(Lijsten!$P$1,Kop_Tarief_Vast,0),0))),""),"")</f>
        <v/>
      </c>
      <c r="Q672" s="359"/>
      <c r="R672" s="359"/>
      <c r="S672" s="321"/>
      <c r="T672" s="321"/>
      <c r="U672" s="373" t="str">
        <f t="shared" si="40"/>
        <v/>
      </c>
      <c r="V672" s="314" t="str">
        <f t="shared" si="41"/>
        <v/>
      </c>
      <c r="W672" s="314" t="str" cm="1">
        <f t="array" aca="1" ref="W672" ca="1">IFERROR(IF(AE672&lt;&gt;"ja",_xlfn.IFNA(_xlfn.IFS(AND(O672&lt;&gt;"",F672&lt;&gt;"",RIGHT($N672,6)="tarief",F672="Vergoeding"),SUM(O672)*FLOOR(SUM(Q672),0.0001),AND(O672&lt;&gt;"",F672&lt;&gt;"",RIGHT($N672,6)="tarief"),SUM(O672)*FLOOR(SUM(Q672),0.01),S672&gt;0,IF(F672&lt;&gt;"",FLOOR(SUM(S672),0.01),"")),""),""),"")</f>
        <v/>
      </c>
      <c r="X672" s="314" t="str" cm="1">
        <f t="array" aca="1" ref="X672" ca="1">IFERROR(IF(AE672&lt;&gt;"ja",_xlfn.IFNA(_xlfn.IFS(AND(P672&lt;&gt;"",R672&lt;&gt;"",RIGHT($N672,6)="tarief",F672="Vergoeding"),SUM(P672)*FLOOR(SUM(R672),0.0001),AND(P672&lt;&gt;"",R672&lt;&gt;"",RIGHT($N672,6)="tarief"),P672*FLOOR(R672,0.01),T672&gt;0,FLOOR(SUM(T672),0.01)),""),""),"")</f>
        <v/>
      </c>
      <c r="Y672" s="314" t="str">
        <f t="shared" ca="1" si="42"/>
        <v/>
      </c>
      <c r="Z672" s="314" t="str" cm="1">
        <f t="array" aca="1" ref="Z672" ca="1">IFERROR(_xlfn.IFS(OR(F672="",LEFT(Methode_Keuze,4)="Geen",Methode_Keuze=""),"",AND(W672&lt;&gt;"",F672&lt;&gt;"Arbeidskosten"),W672*VLOOKUP(F672,Tb_ProjectKosten[],MATCH(Tb_ProjectKosten[[#Headers],[Forfait_Percentage]],Tb_ProjectKosten[#Headers],0),0),AND(F672="Arbeidskosten",G672&lt;&gt;""),IFERROR(W672*VLOOKUP(G672,Tb_KostenTypen[],3,0)*VLOOKUP(F672,Tb_ProjectKosten[],MATCH(Tb_ProjectKosten[[#Headers],[Forfait_Percentage]],Tb_ProjectKosten[#Headers],0),0),""),W672 &lt;=0,0),"")</f>
        <v/>
      </c>
      <c r="AA672" s="314" t="str" cm="1">
        <f t="array" aca="1" ref="AA672" ca="1">IFERROR(_xlfn.IFS(OR(F672="",LEFT(Methode_Keuze,4)="Geen",Methode_Keuze=""),"",AND(X672&lt;&gt;"",F672&lt;&gt;"Arbeidskosten"),X672*VLOOKUP(F672,Tb_ProjectKosten[],MATCH(Tb_ProjectKosten[[#Headers],[Forfait_Percentage]],Tb_ProjectKosten[#Headers],0),0),AND(F672="Arbeidskosten",G672&lt;&gt;""),IFERROR(X672*VLOOKUP(G672,Tb_KostenTypen[],3,0)*VLOOKUP(F672,Tb_ProjectKosten[],MATCH(Tb_ProjectKosten[[#Headers],[Forfait_Percentage]],Tb_ProjectKosten[#Headers],0),0),""),X672 &lt;=0,0),"")</f>
        <v/>
      </c>
      <c r="AB672" s="314" t="str">
        <f t="shared" ca="1" si="43"/>
        <v/>
      </c>
      <c r="AC672" s="322"/>
      <c r="AD672" s="315"/>
      <c r="AE672" s="32" t="str" cm="1">
        <f t="array" ref="AE672">IFERROR(IF(INDEX(SubsidieTabel!$AD$1:$AG$12,MATCH($F672,SubsidieTabel!$AD$1:$AD$12,0),IFERROR(MATCH(Methode_Keuze,SubsidieTabel!$AD$1:$AG$1,0),2))&lt;&gt;1=TRUE,"ja",""),"")</f>
        <v/>
      </c>
    </row>
    <row r="673" spans="1:31" x14ac:dyDescent="0.25">
      <c r="A673" s="316"/>
      <c r="B673" s="317" t="str">
        <f>IF(A673&lt;&gt;"",_xlfn.MAXIFS($B$1:B672,$A$1:A672,A673)+1,"")</f>
        <v/>
      </c>
      <c r="C673" s="296"/>
      <c r="D673" s="296"/>
      <c r="E673" s="296"/>
      <c r="F673" s="296"/>
      <c r="G673" s="326"/>
      <c r="H673" s="324"/>
      <c r="I673" s="325"/>
      <c r="J673" s="325"/>
      <c r="K673" s="318"/>
      <c r="L673" s="318"/>
      <c r="M673" s="319" t="str">
        <f>IFERROR(VLOOKUP(H673,Lijsten!$H$1:$I$100,2,0),"")</f>
        <v/>
      </c>
      <c r="N673" s="319" t="str">
        <f ca="1">IFERROR(IF(VLOOKUP(F673,Kostentypen!$A$3:$E$21,3,0)=0,"",IF(OR(F673="Arbeidskosten",F673="Vergoeding"),VLOOKUP(G673,Tb_KostenTypen[],2,0),VLOOKUP(F673,Kostentypen!$A$3:$E$20,3,0))),"")</f>
        <v/>
      </c>
      <c r="O673" s="320" t="str" cm="1">
        <f t="array" ref="O673">_xlfn.IFNA(IF(INDEX(Tb_KostenOptiesDB[],MATCH($F673,Tb_KostenOptiesDB[KostenOptie],0),IFERROR(MATCH(Methode_Keuze,Tb_KostenOptiesDB[#Headers],0),2))=1,_xlfn.SWITCH($N673,"Uurtarief",IF(OR(AND(RIGHT($F673,3)="IKS",VLOOKUP($M673,DB_Loonkosten,2,0)="Ja"),AND(RIGHT($F673,3)&lt;&gt;"IKS",VLOOKUP($M673,DB_Loonkosten,2,0)="Nee")),IFERROR(VLOOKUP($M673,DB_Loonkosten,24,0),""),0),"Vast tarief",IF(LEFT(F673,8)="Bijdrage",VLOOKUP($F673,Tb_KostenTypen[],MATCH(Lijsten!$P$1,Tb_KostenTypen[#Headers],0),0),VLOOKUP($G673,Lijsten!L:P,MATCH(Lijsten!$P$1,Kop_Tarief_Vast,0),0))),""),"")</f>
        <v/>
      </c>
      <c r="P673" s="320" t="str" cm="1">
        <f t="array" ref="P673">_xlfn.IFNA(IF(INDEX(Tb_KostenOptiesDB[],MATCH($F673,Tb_KostenOptiesDB[KostenOptie],0),IFERROR(MATCH(Methode_Keuze,Tb_KostenOptiesDB[#Headers],0),2))=1,_xlfn.SWITCH($N673,"Uurtarief",IF(OR(AND(RIGHT($F673,3)="IKS",VLOOKUP($M673,DB_Loonkosten,2,0)="Ja"),AND(RIGHT($F673,3)&lt;&gt;"IKS",VLOOKUP($M673,DB_Loonkosten,2,0)="Nee")),IFERROR(VLOOKUP($M673,DB_Loonkosten,25,0),""),0),"Vast tarief",IF(LEFT(F673,8)="Bijdrage",VLOOKUP($F673,Tb_KostenTypen[],MATCH(Lijsten!$P$1,Tb_KostenTypen[#Headers],0),0),VLOOKUP($G673,Lijsten!L:P,MATCH(Lijsten!$P$1,Kop_Tarief_Vast,0),0))),""),"")</f>
        <v/>
      </c>
      <c r="Q673" s="359"/>
      <c r="R673" s="359"/>
      <c r="S673" s="321"/>
      <c r="T673" s="321"/>
      <c r="U673" s="373" t="str">
        <f t="shared" si="40"/>
        <v/>
      </c>
      <c r="V673" s="314" t="str">
        <f t="shared" si="41"/>
        <v/>
      </c>
      <c r="W673" s="314" t="str" cm="1">
        <f t="array" aca="1" ref="W673" ca="1">IFERROR(IF(AE673&lt;&gt;"ja",_xlfn.IFNA(_xlfn.IFS(AND(O673&lt;&gt;"",F673&lt;&gt;"",RIGHT($N673,6)="tarief",F673="Vergoeding"),SUM(O673)*FLOOR(SUM(Q673),0.0001),AND(O673&lt;&gt;"",F673&lt;&gt;"",RIGHT($N673,6)="tarief"),SUM(O673)*FLOOR(SUM(Q673),0.01),S673&gt;0,IF(F673&lt;&gt;"",FLOOR(SUM(S673),0.01),"")),""),""),"")</f>
        <v/>
      </c>
      <c r="X673" s="314" t="str" cm="1">
        <f t="array" aca="1" ref="X673" ca="1">IFERROR(IF(AE673&lt;&gt;"ja",_xlfn.IFNA(_xlfn.IFS(AND(P673&lt;&gt;"",R673&lt;&gt;"",RIGHT($N673,6)="tarief",F673="Vergoeding"),SUM(P673)*FLOOR(SUM(R673),0.0001),AND(P673&lt;&gt;"",R673&lt;&gt;"",RIGHT($N673,6)="tarief"),P673*FLOOR(R673,0.01),T673&gt;0,FLOOR(SUM(T673),0.01)),""),""),"")</f>
        <v/>
      </c>
      <c r="Y673" s="314" t="str">
        <f t="shared" ca="1" si="42"/>
        <v/>
      </c>
      <c r="Z673" s="314" t="str" cm="1">
        <f t="array" aca="1" ref="Z673" ca="1">IFERROR(_xlfn.IFS(OR(F673="",LEFT(Methode_Keuze,4)="Geen",Methode_Keuze=""),"",AND(W673&lt;&gt;"",F673&lt;&gt;"Arbeidskosten"),W673*VLOOKUP(F673,Tb_ProjectKosten[],MATCH(Tb_ProjectKosten[[#Headers],[Forfait_Percentage]],Tb_ProjectKosten[#Headers],0),0),AND(F673="Arbeidskosten",G673&lt;&gt;""),IFERROR(W673*VLOOKUP(G673,Tb_KostenTypen[],3,0)*VLOOKUP(F673,Tb_ProjectKosten[],MATCH(Tb_ProjectKosten[[#Headers],[Forfait_Percentage]],Tb_ProjectKosten[#Headers],0),0),""),W673 &lt;=0,0),"")</f>
        <v/>
      </c>
      <c r="AA673" s="314" t="str" cm="1">
        <f t="array" aca="1" ref="AA673" ca="1">IFERROR(_xlfn.IFS(OR(F673="",LEFT(Methode_Keuze,4)="Geen",Methode_Keuze=""),"",AND(X673&lt;&gt;"",F673&lt;&gt;"Arbeidskosten"),X673*VLOOKUP(F673,Tb_ProjectKosten[],MATCH(Tb_ProjectKosten[[#Headers],[Forfait_Percentage]],Tb_ProjectKosten[#Headers],0),0),AND(F673="Arbeidskosten",G673&lt;&gt;""),IFERROR(X673*VLOOKUP(G673,Tb_KostenTypen[],3,0)*VLOOKUP(F673,Tb_ProjectKosten[],MATCH(Tb_ProjectKosten[[#Headers],[Forfait_Percentage]],Tb_ProjectKosten[#Headers],0),0),""),X673 &lt;=0,0),"")</f>
        <v/>
      </c>
      <c r="AB673" s="314" t="str">
        <f t="shared" ca="1" si="43"/>
        <v/>
      </c>
      <c r="AC673" s="322"/>
      <c r="AD673" s="315"/>
      <c r="AE673" s="32" t="str" cm="1">
        <f t="array" ref="AE673">IFERROR(IF(INDEX(SubsidieTabel!$AD$1:$AG$12,MATCH($F673,SubsidieTabel!$AD$1:$AD$12,0),IFERROR(MATCH(Methode_Keuze,SubsidieTabel!$AD$1:$AG$1,0),2))&lt;&gt;1=TRUE,"ja",""),"")</f>
        <v/>
      </c>
    </row>
    <row r="674" spans="1:31" x14ac:dyDescent="0.25">
      <c r="A674" s="316"/>
      <c r="B674" s="317" t="str">
        <f>IF(A674&lt;&gt;"",_xlfn.MAXIFS($B$1:B673,$A$1:A673,A674)+1,"")</f>
        <v/>
      </c>
      <c r="C674" s="296"/>
      <c r="D674" s="296"/>
      <c r="E674" s="296"/>
      <c r="F674" s="296"/>
      <c r="G674" s="326"/>
      <c r="H674" s="324"/>
      <c r="I674" s="325"/>
      <c r="J674" s="325"/>
      <c r="K674" s="318"/>
      <c r="L674" s="318"/>
      <c r="M674" s="319" t="str">
        <f>IFERROR(VLOOKUP(H674,Lijsten!$H$1:$I$100,2,0),"")</f>
        <v/>
      </c>
      <c r="N674" s="319" t="str">
        <f ca="1">IFERROR(IF(VLOOKUP(F674,Kostentypen!$A$3:$E$21,3,0)=0,"",IF(OR(F674="Arbeidskosten",F674="Vergoeding"),VLOOKUP(G674,Tb_KostenTypen[],2,0),VLOOKUP(F674,Kostentypen!$A$3:$E$20,3,0))),"")</f>
        <v/>
      </c>
      <c r="O674" s="320" t="str" cm="1">
        <f t="array" ref="O674">_xlfn.IFNA(IF(INDEX(Tb_KostenOptiesDB[],MATCH($F674,Tb_KostenOptiesDB[KostenOptie],0),IFERROR(MATCH(Methode_Keuze,Tb_KostenOptiesDB[#Headers],0),2))=1,_xlfn.SWITCH($N674,"Uurtarief",IF(OR(AND(RIGHT($F674,3)="IKS",VLOOKUP($M674,DB_Loonkosten,2,0)="Ja"),AND(RIGHT($F674,3)&lt;&gt;"IKS",VLOOKUP($M674,DB_Loonkosten,2,0)="Nee")),IFERROR(VLOOKUP($M674,DB_Loonkosten,24,0),""),0),"Vast tarief",IF(LEFT(F674,8)="Bijdrage",VLOOKUP($F674,Tb_KostenTypen[],MATCH(Lijsten!$P$1,Tb_KostenTypen[#Headers],0),0),VLOOKUP($G674,Lijsten!L:P,MATCH(Lijsten!$P$1,Kop_Tarief_Vast,0),0))),""),"")</f>
        <v/>
      </c>
      <c r="P674" s="320" t="str" cm="1">
        <f t="array" ref="P674">_xlfn.IFNA(IF(INDEX(Tb_KostenOptiesDB[],MATCH($F674,Tb_KostenOptiesDB[KostenOptie],0),IFERROR(MATCH(Methode_Keuze,Tb_KostenOptiesDB[#Headers],0),2))=1,_xlfn.SWITCH($N674,"Uurtarief",IF(OR(AND(RIGHT($F674,3)="IKS",VLOOKUP($M674,DB_Loonkosten,2,0)="Ja"),AND(RIGHT($F674,3)&lt;&gt;"IKS",VLOOKUP($M674,DB_Loonkosten,2,0)="Nee")),IFERROR(VLOOKUP($M674,DB_Loonkosten,25,0),""),0),"Vast tarief",IF(LEFT(F674,8)="Bijdrage",VLOOKUP($F674,Tb_KostenTypen[],MATCH(Lijsten!$P$1,Tb_KostenTypen[#Headers],0),0),VLOOKUP($G674,Lijsten!L:P,MATCH(Lijsten!$P$1,Kop_Tarief_Vast,0),0))),""),"")</f>
        <v/>
      </c>
      <c r="Q674" s="359"/>
      <c r="R674" s="359"/>
      <c r="S674" s="321"/>
      <c r="T674" s="321"/>
      <c r="U674" s="373" t="str">
        <f t="shared" si="40"/>
        <v/>
      </c>
      <c r="V674" s="314" t="str">
        <f t="shared" si="41"/>
        <v/>
      </c>
      <c r="W674" s="314" t="str" cm="1">
        <f t="array" aca="1" ref="W674" ca="1">IFERROR(IF(AE674&lt;&gt;"ja",_xlfn.IFNA(_xlfn.IFS(AND(O674&lt;&gt;"",F674&lt;&gt;"",RIGHT($N674,6)="tarief",F674="Vergoeding"),SUM(O674)*FLOOR(SUM(Q674),0.0001),AND(O674&lt;&gt;"",F674&lt;&gt;"",RIGHT($N674,6)="tarief"),SUM(O674)*FLOOR(SUM(Q674),0.01),S674&gt;0,IF(F674&lt;&gt;"",FLOOR(SUM(S674),0.01),"")),""),""),"")</f>
        <v/>
      </c>
      <c r="X674" s="314" t="str" cm="1">
        <f t="array" aca="1" ref="X674" ca="1">IFERROR(IF(AE674&lt;&gt;"ja",_xlfn.IFNA(_xlfn.IFS(AND(P674&lt;&gt;"",R674&lt;&gt;"",RIGHT($N674,6)="tarief",F674="Vergoeding"),SUM(P674)*FLOOR(SUM(R674),0.0001),AND(P674&lt;&gt;"",R674&lt;&gt;"",RIGHT($N674,6)="tarief"),P674*FLOOR(R674,0.01),T674&gt;0,FLOOR(SUM(T674),0.01)),""),""),"")</f>
        <v/>
      </c>
      <c r="Y674" s="314" t="str">
        <f t="shared" ca="1" si="42"/>
        <v/>
      </c>
      <c r="Z674" s="314" t="str" cm="1">
        <f t="array" aca="1" ref="Z674" ca="1">IFERROR(_xlfn.IFS(OR(F674="",LEFT(Methode_Keuze,4)="Geen",Methode_Keuze=""),"",AND(W674&lt;&gt;"",F674&lt;&gt;"Arbeidskosten"),W674*VLOOKUP(F674,Tb_ProjectKosten[],MATCH(Tb_ProjectKosten[[#Headers],[Forfait_Percentage]],Tb_ProjectKosten[#Headers],0),0),AND(F674="Arbeidskosten",G674&lt;&gt;""),IFERROR(W674*VLOOKUP(G674,Tb_KostenTypen[],3,0)*VLOOKUP(F674,Tb_ProjectKosten[],MATCH(Tb_ProjectKosten[[#Headers],[Forfait_Percentage]],Tb_ProjectKosten[#Headers],0),0),""),W674 &lt;=0,0),"")</f>
        <v/>
      </c>
      <c r="AA674" s="314" t="str" cm="1">
        <f t="array" aca="1" ref="AA674" ca="1">IFERROR(_xlfn.IFS(OR(F674="",LEFT(Methode_Keuze,4)="Geen",Methode_Keuze=""),"",AND(X674&lt;&gt;"",F674&lt;&gt;"Arbeidskosten"),X674*VLOOKUP(F674,Tb_ProjectKosten[],MATCH(Tb_ProjectKosten[[#Headers],[Forfait_Percentage]],Tb_ProjectKosten[#Headers],0),0),AND(F674="Arbeidskosten",G674&lt;&gt;""),IFERROR(X674*VLOOKUP(G674,Tb_KostenTypen[],3,0)*VLOOKUP(F674,Tb_ProjectKosten[],MATCH(Tb_ProjectKosten[[#Headers],[Forfait_Percentage]],Tb_ProjectKosten[#Headers],0),0),""),X674 &lt;=0,0),"")</f>
        <v/>
      </c>
      <c r="AB674" s="314" t="str">
        <f t="shared" ca="1" si="43"/>
        <v/>
      </c>
      <c r="AC674" s="322"/>
      <c r="AD674" s="315"/>
      <c r="AE674" s="32" t="str" cm="1">
        <f t="array" ref="AE674">IFERROR(IF(INDEX(SubsidieTabel!$AD$1:$AG$12,MATCH($F674,SubsidieTabel!$AD$1:$AD$12,0),IFERROR(MATCH(Methode_Keuze,SubsidieTabel!$AD$1:$AG$1,0),2))&lt;&gt;1=TRUE,"ja",""),"")</f>
        <v/>
      </c>
    </row>
    <row r="675" spans="1:31" x14ac:dyDescent="0.25">
      <c r="A675" s="316"/>
      <c r="B675" s="317" t="str">
        <f>IF(A675&lt;&gt;"",_xlfn.MAXIFS($B$1:B674,$A$1:A674,A675)+1,"")</f>
        <v/>
      </c>
      <c r="C675" s="296"/>
      <c r="D675" s="296"/>
      <c r="E675" s="296"/>
      <c r="F675" s="296"/>
      <c r="G675" s="326"/>
      <c r="H675" s="324"/>
      <c r="I675" s="325"/>
      <c r="J675" s="325"/>
      <c r="K675" s="318"/>
      <c r="L675" s="318"/>
      <c r="M675" s="319" t="str">
        <f>IFERROR(VLOOKUP(H675,Lijsten!$H$1:$I$100,2,0),"")</f>
        <v/>
      </c>
      <c r="N675" s="319" t="str">
        <f ca="1">IFERROR(IF(VLOOKUP(F675,Kostentypen!$A$3:$E$21,3,0)=0,"",IF(OR(F675="Arbeidskosten",F675="Vergoeding"),VLOOKUP(G675,Tb_KostenTypen[],2,0),VLOOKUP(F675,Kostentypen!$A$3:$E$20,3,0))),"")</f>
        <v/>
      </c>
      <c r="O675" s="320" t="str" cm="1">
        <f t="array" ref="O675">_xlfn.IFNA(IF(INDEX(Tb_KostenOptiesDB[],MATCH($F675,Tb_KostenOptiesDB[KostenOptie],0),IFERROR(MATCH(Methode_Keuze,Tb_KostenOptiesDB[#Headers],0),2))=1,_xlfn.SWITCH($N675,"Uurtarief",IF(OR(AND(RIGHT($F675,3)="IKS",VLOOKUP($M675,DB_Loonkosten,2,0)="Ja"),AND(RIGHT($F675,3)&lt;&gt;"IKS",VLOOKUP($M675,DB_Loonkosten,2,0)="Nee")),IFERROR(VLOOKUP($M675,DB_Loonkosten,24,0),""),0),"Vast tarief",IF(LEFT(F675,8)="Bijdrage",VLOOKUP($F675,Tb_KostenTypen[],MATCH(Lijsten!$P$1,Tb_KostenTypen[#Headers],0),0),VLOOKUP($G675,Lijsten!L:P,MATCH(Lijsten!$P$1,Kop_Tarief_Vast,0),0))),""),"")</f>
        <v/>
      </c>
      <c r="P675" s="320" t="str" cm="1">
        <f t="array" ref="P675">_xlfn.IFNA(IF(INDEX(Tb_KostenOptiesDB[],MATCH($F675,Tb_KostenOptiesDB[KostenOptie],0),IFERROR(MATCH(Methode_Keuze,Tb_KostenOptiesDB[#Headers],0),2))=1,_xlfn.SWITCH($N675,"Uurtarief",IF(OR(AND(RIGHT($F675,3)="IKS",VLOOKUP($M675,DB_Loonkosten,2,0)="Ja"),AND(RIGHT($F675,3)&lt;&gt;"IKS",VLOOKUP($M675,DB_Loonkosten,2,0)="Nee")),IFERROR(VLOOKUP($M675,DB_Loonkosten,25,0),""),0),"Vast tarief",IF(LEFT(F675,8)="Bijdrage",VLOOKUP($F675,Tb_KostenTypen[],MATCH(Lijsten!$P$1,Tb_KostenTypen[#Headers],0),0),VLOOKUP($G675,Lijsten!L:P,MATCH(Lijsten!$P$1,Kop_Tarief_Vast,0),0))),""),"")</f>
        <v/>
      </c>
      <c r="Q675" s="359"/>
      <c r="R675" s="359"/>
      <c r="S675" s="321"/>
      <c r="T675" s="321"/>
      <c r="U675" s="373" t="str">
        <f t="shared" si="40"/>
        <v/>
      </c>
      <c r="V675" s="314" t="str">
        <f t="shared" si="41"/>
        <v/>
      </c>
      <c r="W675" s="314" t="str" cm="1">
        <f t="array" aca="1" ref="W675" ca="1">IFERROR(IF(AE675&lt;&gt;"ja",_xlfn.IFNA(_xlfn.IFS(AND(O675&lt;&gt;"",F675&lt;&gt;"",RIGHT($N675,6)="tarief",F675="Vergoeding"),SUM(O675)*FLOOR(SUM(Q675),0.0001),AND(O675&lt;&gt;"",F675&lt;&gt;"",RIGHT($N675,6)="tarief"),SUM(O675)*FLOOR(SUM(Q675),0.01),S675&gt;0,IF(F675&lt;&gt;"",FLOOR(SUM(S675),0.01),"")),""),""),"")</f>
        <v/>
      </c>
      <c r="X675" s="314" t="str" cm="1">
        <f t="array" aca="1" ref="X675" ca="1">IFERROR(IF(AE675&lt;&gt;"ja",_xlfn.IFNA(_xlfn.IFS(AND(P675&lt;&gt;"",R675&lt;&gt;"",RIGHT($N675,6)="tarief",F675="Vergoeding"),SUM(P675)*FLOOR(SUM(R675),0.0001),AND(P675&lt;&gt;"",R675&lt;&gt;"",RIGHT($N675,6)="tarief"),P675*FLOOR(R675,0.01),T675&gt;0,FLOOR(SUM(T675),0.01)),""),""),"")</f>
        <v/>
      </c>
      <c r="Y675" s="314" t="str">
        <f t="shared" ca="1" si="42"/>
        <v/>
      </c>
      <c r="Z675" s="314" t="str" cm="1">
        <f t="array" aca="1" ref="Z675" ca="1">IFERROR(_xlfn.IFS(OR(F675="",LEFT(Methode_Keuze,4)="Geen",Methode_Keuze=""),"",AND(W675&lt;&gt;"",F675&lt;&gt;"Arbeidskosten"),W675*VLOOKUP(F675,Tb_ProjectKosten[],MATCH(Tb_ProjectKosten[[#Headers],[Forfait_Percentage]],Tb_ProjectKosten[#Headers],0),0),AND(F675="Arbeidskosten",G675&lt;&gt;""),IFERROR(W675*VLOOKUP(G675,Tb_KostenTypen[],3,0)*VLOOKUP(F675,Tb_ProjectKosten[],MATCH(Tb_ProjectKosten[[#Headers],[Forfait_Percentage]],Tb_ProjectKosten[#Headers],0),0),""),W675 &lt;=0,0),"")</f>
        <v/>
      </c>
      <c r="AA675" s="314" t="str" cm="1">
        <f t="array" aca="1" ref="AA675" ca="1">IFERROR(_xlfn.IFS(OR(F675="",LEFT(Methode_Keuze,4)="Geen",Methode_Keuze=""),"",AND(X675&lt;&gt;"",F675&lt;&gt;"Arbeidskosten"),X675*VLOOKUP(F675,Tb_ProjectKosten[],MATCH(Tb_ProjectKosten[[#Headers],[Forfait_Percentage]],Tb_ProjectKosten[#Headers],0),0),AND(F675="Arbeidskosten",G675&lt;&gt;""),IFERROR(X675*VLOOKUP(G675,Tb_KostenTypen[],3,0)*VLOOKUP(F675,Tb_ProjectKosten[],MATCH(Tb_ProjectKosten[[#Headers],[Forfait_Percentage]],Tb_ProjectKosten[#Headers],0),0),""),X675 &lt;=0,0),"")</f>
        <v/>
      </c>
      <c r="AB675" s="314" t="str">
        <f t="shared" ca="1" si="43"/>
        <v/>
      </c>
      <c r="AC675" s="322"/>
      <c r="AD675" s="315"/>
      <c r="AE675" s="32" t="str" cm="1">
        <f t="array" ref="AE675">IFERROR(IF(INDEX(SubsidieTabel!$AD$1:$AG$12,MATCH($F675,SubsidieTabel!$AD$1:$AD$12,0),IFERROR(MATCH(Methode_Keuze,SubsidieTabel!$AD$1:$AG$1,0),2))&lt;&gt;1=TRUE,"ja",""),"")</f>
        <v/>
      </c>
    </row>
    <row r="676" spans="1:31" x14ac:dyDescent="0.25">
      <c r="A676" s="316"/>
      <c r="B676" s="317" t="str">
        <f>IF(A676&lt;&gt;"",_xlfn.MAXIFS($B$1:B675,$A$1:A675,A676)+1,"")</f>
        <v/>
      </c>
      <c r="C676" s="296"/>
      <c r="D676" s="296"/>
      <c r="E676" s="296"/>
      <c r="F676" s="296"/>
      <c r="G676" s="326"/>
      <c r="H676" s="324"/>
      <c r="I676" s="325"/>
      <c r="J676" s="325"/>
      <c r="K676" s="318"/>
      <c r="L676" s="318"/>
      <c r="M676" s="319" t="str">
        <f>IFERROR(VLOOKUP(H676,Lijsten!$H$1:$I$100,2,0),"")</f>
        <v/>
      </c>
      <c r="N676" s="319" t="str">
        <f ca="1">IFERROR(IF(VLOOKUP(F676,Kostentypen!$A$3:$E$21,3,0)=0,"",IF(OR(F676="Arbeidskosten",F676="Vergoeding"),VLOOKUP(G676,Tb_KostenTypen[],2,0),VLOOKUP(F676,Kostentypen!$A$3:$E$20,3,0))),"")</f>
        <v/>
      </c>
      <c r="O676" s="320" t="str" cm="1">
        <f t="array" ref="O676">_xlfn.IFNA(IF(INDEX(Tb_KostenOptiesDB[],MATCH($F676,Tb_KostenOptiesDB[KostenOptie],0),IFERROR(MATCH(Methode_Keuze,Tb_KostenOptiesDB[#Headers],0),2))=1,_xlfn.SWITCH($N676,"Uurtarief",IF(OR(AND(RIGHT($F676,3)="IKS",VLOOKUP($M676,DB_Loonkosten,2,0)="Ja"),AND(RIGHT($F676,3)&lt;&gt;"IKS",VLOOKUP($M676,DB_Loonkosten,2,0)="Nee")),IFERROR(VLOOKUP($M676,DB_Loonkosten,24,0),""),0),"Vast tarief",IF(LEFT(F676,8)="Bijdrage",VLOOKUP($F676,Tb_KostenTypen[],MATCH(Lijsten!$P$1,Tb_KostenTypen[#Headers],0),0),VLOOKUP($G676,Lijsten!L:P,MATCH(Lijsten!$P$1,Kop_Tarief_Vast,0),0))),""),"")</f>
        <v/>
      </c>
      <c r="P676" s="320" t="str" cm="1">
        <f t="array" ref="P676">_xlfn.IFNA(IF(INDEX(Tb_KostenOptiesDB[],MATCH($F676,Tb_KostenOptiesDB[KostenOptie],0),IFERROR(MATCH(Methode_Keuze,Tb_KostenOptiesDB[#Headers],0),2))=1,_xlfn.SWITCH($N676,"Uurtarief",IF(OR(AND(RIGHT($F676,3)="IKS",VLOOKUP($M676,DB_Loonkosten,2,0)="Ja"),AND(RIGHT($F676,3)&lt;&gt;"IKS",VLOOKUP($M676,DB_Loonkosten,2,0)="Nee")),IFERROR(VLOOKUP($M676,DB_Loonkosten,25,0),""),0),"Vast tarief",IF(LEFT(F676,8)="Bijdrage",VLOOKUP($F676,Tb_KostenTypen[],MATCH(Lijsten!$P$1,Tb_KostenTypen[#Headers],0),0),VLOOKUP($G676,Lijsten!L:P,MATCH(Lijsten!$P$1,Kop_Tarief_Vast,0),0))),""),"")</f>
        <v/>
      </c>
      <c r="Q676" s="359"/>
      <c r="R676" s="359"/>
      <c r="S676" s="321"/>
      <c r="T676" s="321"/>
      <c r="U676" s="373" t="str">
        <f t="shared" si="40"/>
        <v/>
      </c>
      <c r="V676" s="314" t="str">
        <f t="shared" si="41"/>
        <v/>
      </c>
      <c r="W676" s="314" t="str" cm="1">
        <f t="array" aca="1" ref="W676" ca="1">IFERROR(IF(AE676&lt;&gt;"ja",_xlfn.IFNA(_xlfn.IFS(AND(O676&lt;&gt;"",F676&lt;&gt;"",RIGHT($N676,6)="tarief",F676="Vergoeding"),SUM(O676)*FLOOR(SUM(Q676),0.0001),AND(O676&lt;&gt;"",F676&lt;&gt;"",RIGHT($N676,6)="tarief"),SUM(O676)*FLOOR(SUM(Q676),0.01),S676&gt;0,IF(F676&lt;&gt;"",FLOOR(SUM(S676),0.01),"")),""),""),"")</f>
        <v/>
      </c>
      <c r="X676" s="314" t="str" cm="1">
        <f t="array" aca="1" ref="X676" ca="1">IFERROR(IF(AE676&lt;&gt;"ja",_xlfn.IFNA(_xlfn.IFS(AND(P676&lt;&gt;"",R676&lt;&gt;"",RIGHT($N676,6)="tarief",F676="Vergoeding"),SUM(P676)*FLOOR(SUM(R676),0.0001),AND(P676&lt;&gt;"",R676&lt;&gt;"",RIGHT($N676,6)="tarief"),P676*FLOOR(R676,0.01),T676&gt;0,FLOOR(SUM(T676),0.01)),""),""),"")</f>
        <v/>
      </c>
      <c r="Y676" s="314" t="str">
        <f t="shared" ca="1" si="42"/>
        <v/>
      </c>
      <c r="Z676" s="314" t="str" cm="1">
        <f t="array" aca="1" ref="Z676" ca="1">IFERROR(_xlfn.IFS(OR(F676="",LEFT(Methode_Keuze,4)="Geen",Methode_Keuze=""),"",AND(W676&lt;&gt;"",F676&lt;&gt;"Arbeidskosten"),W676*VLOOKUP(F676,Tb_ProjectKosten[],MATCH(Tb_ProjectKosten[[#Headers],[Forfait_Percentage]],Tb_ProjectKosten[#Headers],0),0),AND(F676="Arbeidskosten",G676&lt;&gt;""),IFERROR(W676*VLOOKUP(G676,Tb_KostenTypen[],3,0)*VLOOKUP(F676,Tb_ProjectKosten[],MATCH(Tb_ProjectKosten[[#Headers],[Forfait_Percentage]],Tb_ProjectKosten[#Headers],0),0),""),W676 &lt;=0,0),"")</f>
        <v/>
      </c>
      <c r="AA676" s="314" t="str" cm="1">
        <f t="array" aca="1" ref="AA676" ca="1">IFERROR(_xlfn.IFS(OR(F676="",LEFT(Methode_Keuze,4)="Geen",Methode_Keuze=""),"",AND(X676&lt;&gt;"",F676&lt;&gt;"Arbeidskosten"),X676*VLOOKUP(F676,Tb_ProjectKosten[],MATCH(Tb_ProjectKosten[[#Headers],[Forfait_Percentage]],Tb_ProjectKosten[#Headers],0),0),AND(F676="Arbeidskosten",G676&lt;&gt;""),IFERROR(X676*VLOOKUP(G676,Tb_KostenTypen[],3,0)*VLOOKUP(F676,Tb_ProjectKosten[],MATCH(Tb_ProjectKosten[[#Headers],[Forfait_Percentage]],Tb_ProjectKosten[#Headers],0),0),""),X676 &lt;=0,0),"")</f>
        <v/>
      </c>
      <c r="AB676" s="314" t="str">
        <f t="shared" ca="1" si="43"/>
        <v/>
      </c>
      <c r="AC676" s="322"/>
      <c r="AD676" s="315"/>
      <c r="AE676" s="32" t="str" cm="1">
        <f t="array" ref="AE676">IFERROR(IF(INDEX(SubsidieTabel!$AD$1:$AG$12,MATCH($F676,SubsidieTabel!$AD$1:$AD$12,0),IFERROR(MATCH(Methode_Keuze,SubsidieTabel!$AD$1:$AG$1,0),2))&lt;&gt;1=TRUE,"ja",""),"")</f>
        <v/>
      </c>
    </row>
    <row r="677" spans="1:31" x14ac:dyDescent="0.25">
      <c r="A677" s="316"/>
      <c r="B677" s="317" t="str">
        <f>IF(A677&lt;&gt;"",_xlfn.MAXIFS($B$1:B676,$A$1:A676,A677)+1,"")</f>
        <v/>
      </c>
      <c r="C677" s="296"/>
      <c r="D677" s="296"/>
      <c r="E677" s="296"/>
      <c r="F677" s="296"/>
      <c r="G677" s="326"/>
      <c r="H677" s="324"/>
      <c r="I677" s="325"/>
      <c r="J677" s="325"/>
      <c r="K677" s="318"/>
      <c r="L677" s="318"/>
      <c r="M677" s="319" t="str">
        <f>IFERROR(VLOOKUP(H677,Lijsten!$H$1:$I$100,2,0),"")</f>
        <v/>
      </c>
      <c r="N677" s="319" t="str">
        <f ca="1">IFERROR(IF(VLOOKUP(F677,Kostentypen!$A$3:$E$21,3,0)=0,"",IF(OR(F677="Arbeidskosten",F677="Vergoeding"),VLOOKUP(G677,Tb_KostenTypen[],2,0),VLOOKUP(F677,Kostentypen!$A$3:$E$20,3,0))),"")</f>
        <v/>
      </c>
      <c r="O677" s="320" t="str" cm="1">
        <f t="array" ref="O677">_xlfn.IFNA(IF(INDEX(Tb_KostenOptiesDB[],MATCH($F677,Tb_KostenOptiesDB[KostenOptie],0),IFERROR(MATCH(Methode_Keuze,Tb_KostenOptiesDB[#Headers],0),2))=1,_xlfn.SWITCH($N677,"Uurtarief",IF(OR(AND(RIGHT($F677,3)="IKS",VLOOKUP($M677,DB_Loonkosten,2,0)="Ja"),AND(RIGHT($F677,3)&lt;&gt;"IKS",VLOOKUP($M677,DB_Loonkosten,2,0)="Nee")),IFERROR(VLOOKUP($M677,DB_Loonkosten,24,0),""),0),"Vast tarief",IF(LEFT(F677,8)="Bijdrage",VLOOKUP($F677,Tb_KostenTypen[],MATCH(Lijsten!$P$1,Tb_KostenTypen[#Headers],0),0),VLOOKUP($G677,Lijsten!L:P,MATCH(Lijsten!$P$1,Kop_Tarief_Vast,0),0))),""),"")</f>
        <v/>
      </c>
      <c r="P677" s="320" t="str" cm="1">
        <f t="array" ref="P677">_xlfn.IFNA(IF(INDEX(Tb_KostenOptiesDB[],MATCH($F677,Tb_KostenOptiesDB[KostenOptie],0),IFERROR(MATCH(Methode_Keuze,Tb_KostenOptiesDB[#Headers],0),2))=1,_xlfn.SWITCH($N677,"Uurtarief",IF(OR(AND(RIGHT($F677,3)="IKS",VLOOKUP($M677,DB_Loonkosten,2,0)="Ja"),AND(RIGHT($F677,3)&lt;&gt;"IKS",VLOOKUP($M677,DB_Loonkosten,2,0)="Nee")),IFERROR(VLOOKUP($M677,DB_Loonkosten,25,0),""),0),"Vast tarief",IF(LEFT(F677,8)="Bijdrage",VLOOKUP($F677,Tb_KostenTypen[],MATCH(Lijsten!$P$1,Tb_KostenTypen[#Headers],0),0),VLOOKUP($G677,Lijsten!L:P,MATCH(Lijsten!$P$1,Kop_Tarief_Vast,0),0))),""),"")</f>
        <v/>
      </c>
      <c r="Q677" s="359"/>
      <c r="R677" s="359"/>
      <c r="S677" s="321"/>
      <c r="T677" s="321"/>
      <c r="U677" s="373" t="str">
        <f t="shared" si="40"/>
        <v/>
      </c>
      <c r="V677" s="314" t="str">
        <f t="shared" si="41"/>
        <v/>
      </c>
      <c r="W677" s="314" t="str" cm="1">
        <f t="array" aca="1" ref="W677" ca="1">IFERROR(IF(AE677&lt;&gt;"ja",_xlfn.IFNA(_xlfn.IFS(AND(O677&lt;&gt;"",F677&lt;&gt;"",RIGHT($N677,6)="tarief",F677="Vergoeding"),SUM(O677)*FLOOR(SUM(Q677),0.0001),AND(O677&lt;&gt;"",F677&lt;&gt;"",RIGHT($N677,6)="tarief"),SUM(O677)*FLOOR(SUM(Q677),0.01),S677&gt;0,IF(F677&lt;&gt;"",FLOOR(SUM(S677),0.01),"")),""),""),"")</f>
        <v/>
      </c>
      <c r="X677" s="314" t="str" cm="1">
        <f t="array" aca="1" ref="X677" ca="1">IFERROR(IF(AE677&lt;&gt;"ja",_xlfn.IFNA(_xlfn.IFS(AND(P677&lt;&gt;"",R677&lt;&gt;"",RIGHT($N677,6)="tarief",F677="Vergoeding"),SUM(P677)*FLOOR(SUM(R677),0.0001),AND(P677&lt;&gt;"",R677&lt;&gt;"",RIGHT($N677,6)="tarief"),P677*FLOOR(R677,0.01),T677&gt;0,FLOOR(SUM(T677),0.01)),""),""),"")</f>
        <v/>
      </c>
      <c r="Y677" s="314" t="str">
        <f t="shared" ca="1" si="42"/>
        <v/>
      </c>
      <c r="Z677" s="314" t="str" cm="1">
        <f t="array" aca="1" ref="Z677" ca="1">IFERROR(_xlfn.IFS(OR(F677="",LEFT(Methode_Keuze,4)="Geen",Methode_Keuze=""),"",AND(W677&lt;&gt;"",F677&lt;&gt;"Arbeidskosten"),W677*VLOOKUP(F677,Tb_ProjectKosten[],MATCH(Tb_ProjectKosten[[#Headers],[Forfait_Percentage]],Tb_ProjectKosten[#Headers],0),0),AND(F677="Arbeidskosten",G677&lt;&gt;""),IFERROR(W677*VLOOKUP(G677,Tb_KostenTypen[],3,0)*VLOOKUP(F677,Tb_ProjectKosten[],MATCH(Tb_ProjectKosten[[#Headers],[Forfait_Percentage]],Tb_ProjectKosten[#Headers],0),0),""),W677 &lt;=0,0),"")</f>
        <v/>
      </c>
      <c r="AA677" s="314" t="str" cm="1">
        <f t="array" aca="1" ref="AA677" ca="1">IFERROR(_xlfn.IFS(OR(F677="",LEFT(Methode_Keuze,4)="Geen",Methode_Keuze=""),"",AND(X677&lt;&gt;"",F677&lt;&gt;"Arbeidskosten"),X677*VLOOKUP(F677,Tb_ProjectKosten[],MATCH(Tb_ProjectKosten[[#Headers],[Forfait_Percentage]],Tb_ProjectKosten[#Headers],0),0),AND(F677="Arbeidskosten",G677&lt;&gt;""),IFERROR(X677*VLOOKUP(G677,Tb_KostenTypen[],3,0)*VLOOKUP(F677,Tb_ProjectKosten[],MATCH(Tb_ProjectKosten[[#Headers],[Forfait_Percentage]],Tb_ProjectKosten[#Headers],0),0),""),X677 &lt;=0,0),"")</f>
        <v/>
      </c>
      <c r="AB677" s="314" t="str">
        <f t="shared" ca="1" si="43"/>
        <v/>
      </c>
      <c r="AC677" s="322"/>
      <c r="AD677" s="315"/>
      <c r="AE677" s="32" t="str" cm="1">
        <f t="array" ref="AE677">IFERROR(IF(INDEX(SubsidieTabel!$AD$1:$AG$12,MATCH($F677,SubsidieTabel!$AD$1:$AD$12,0),IFERROR(MATCH(Methode_Keuze,SubsidieTabel!$AD$1:$AG$1,0),2))&lt;&gt;1=TRUE,"ja",""),"")</f>
        <v/>
      </c>
    </row>
    <row r="678" spans="1:31" x14ac:dyDescent="0.25">
      <c r="A678" s="316"/>
      <c r="B678" s="317" t="str">
        <f>IF(A678&lt;&gt;"",_xlfn.MAXIFS($B$1:B677,$A$1:A677,A678)+1,"")</f>
        <v/>
      </c>
      <c r="C678" s="296"/>
      <c r="D678" s="296"/>
      <c r="E678" s="296"/>
      <c r="F678" s="296"/>
      <c r="G678" s="326"/>
      <c r="H678" s="324"/>
      <c r="I678" s="325"/>
      <c r="J678" s="325"/>
      <c r="K678" s="318"/>
      <c r="L678" s="318"/>
      <c r="M678" s="319" t="str">
        <f>IFERROR(VLOOKUP(H678,Lijsten!$H$1:$I$100,2,0),"")</f>
        <v/>
      </c>
      <c r="N678" s="319" t="str">
        <f ca="1">IFERROR(IF(VLOOKUP(F678,Kostentypen!$A$3:$E$21,3,0)=0,"",IF(OR(F678="Arbeidskosten",F678="Vergoeding"),VLOOKUP(G678,Tb_KostenTypen[],2,0),VLOOKUP(F678,Kostentypen!$A$3:$E$20,3,0))),"")</f>
        <v/>
      </c>
      <c r="O678" s="320" t="str" cm="1">
        <f t="array" ref="O678">_xlfn.IFNA(IF(INDEX(Tb_KostenOptiesDB[],MATCH($F678,Tb_KostenOptiesDB[KostenOptie],0),IFERROR(MATCH(Methode_Keuze,Tb_KostenOptiesDB[#Headers],0),2))=1,_xlfn.SWITCH($N678,"Uurtarief",IF(OR(AND(RIGHT($F678,3)="IKS",VLOOKUP($M678,DB_Loonkosten,2,0)="Ja"),AND(RIGHT($F678,3)&lt;&gt;"IKS",VLOOKUP($M678,DB_Loonkosten,2,0)="Nee")),IFERROR(VLOOKUP($M678,DB_Loonkosten,24,0),""),0),"Vast tarief",IF(LEFT(F678,8)="Bijdrage",VLOOKUP($F678,Tb_KostenTypen[],MATCH(Lijsten!$P$1,Tb_KostenTypen[#Headers],0),0),VLOOKUP($G678,Lijsten!L:P,MATCH(Lijsten!$P$1,Kop_Tarief_Vast,0),0))),""),"")</f>
        <v/>
      </c>
      <c r="P678" s="320" t="str" cm="1">
        <f t="array" ref="P678">_xlfn.IFNA(IF(INDEX(Tb_KostenOptiesDB[],MATCH($F678,Tb_KostenOptiesDB[KostenOptie],0),IFERROR(MATCH(Methode_Keuze,Tb_KostenOptiesDB[#Headers],0),2))=1,_xlfn.SWITCH($N678,"Uurtarief",IF(OR(AND(RIGHT($F678,3)="IKS",VLOOKUP($M678,DB_Loonkosten,2,0)="Ja"),AND(RIGHT($F678,3)&lt;&gt;"IKS",VLOOKUP($M678,DB_Loonkosten,2,0)="Nee")),IFERROR(VLOOKUP($M678,DB_Loonkosten,25,0),""),0),"Vast tarief",IF(LEFT(F678,8)="Bijdrage",VLOOKUP($F678,Tb_KostenTypen[],MATCH(Lijsten!$P$1,Tb_KostenTypen[#Headers],0),0),VLOOKUP($G678,Lijsten!L:P,MATCH(Lijsten!$P$1,Kop_Tarief_Vast,0),0))),""),"")</f>
        <v/>
      </c>
      <c r="Q678" s="359"/>
      <c r="R678" s="359"/>
      <c r="S678" s="321"/>
      <c r="T678" s="321"/>
      <c r="U678" s="373" t="str">
        <f t="shared" si="40"/>
        <v/>
      </c>
      <c r="V678" s="314" t="str">
        <f t="shared" si="41"/>
        <v/>
      </c>
      <c r="W678" s="314" t="str" cm="1">
        <f t="array" aca="1" ref="W678" ca="1">IFERROR(IF(AE678&lt;&gt;"ja",_xlfn.IFNA(_xlfn.IFS(AND(O678&lt;&gt;"",F678&lt;&gt;"",RIGHT($N678,6)="tarief",F678="Vergoeding"),SUM(O678)*FLOOR(SUM(Q678),0.0001),AND(O678&lt;&gt;"",F678&lt;&gt;"",RIGHT($N678,6)="tarief"),SUM(O678)*FLOOR(SUM(Q678),0.01),S678&gt;0,IF(F678&lt;&gt;"",FLOOR(SUM(S678),0.01),"")),""),""),"")</f>
        <v/>
      </c>
      <c r="X678" s="314" t="str" cm="1">
        <f t="array" aca="1" ref="X678" ca="1">IFERROR(IF(AE678&lt;&gt;"ja",_xlfn.IFNA(_xlfn.IFS(AND(P678&lt;&gt;"",R678&lt;&gt;"",RIGHT($N678,6)="tarief",F678="Vergoeding"),SUM(P678)*FLOOR(SUM(R678),0.0001),AND(P678&lt;&gt;"",R678&lt;&gt;"",RIGHT($N678,6)="tarief"),P678*FLOOR(R678,0.01),T678&gt;0,FLOOR(SUM(T678),0.01)),""),""),"")</f>
        <v/>
      </c>
      <c r="Y678" s="314" t="str">
        <f t="shared" ca="1" si="42"/>
        <v/>
      </c>
      <c r="Z678" s="314" t="str" cm="1">
        <f t="array" aca="1" ref="Z678" ca="1">IFERROR(_xlfn.IFS(OR(F678="",LEFT(Methode_Keuze,4)="Geen",Methode_Keuze=""),"",AND(W678&lt;&gt;"",F678&lt;&gt;"Arbeidskosten"),W678*VLOOKUP(F678,Tb_ProjectKosten[],MATCH(Tb_ProjectKosten[[#Headers],[Forfait_Percentage]],Tb_ProjectKosten[#Headers],0),0),AND(F678="Arbeidskosten",G678&lt;&gt;""),IFERROR(W678*VLOOKUP(G678,Tb_KostenTypen[],3,0)*VLOOKUP(F678,Tb_ProjectKosten[],MATCH(Tb_ProjectKosten[[#Headers],[Forfait_Percentage]],Tb_ProjectKosten[#Headers],0),0),""),W678 &lt;=0,0),"")</f>
        <v/>
      </c>
      <c r="AA678" s="314" t="str" cm="1">
        <f t="array" aca="1" ref="AA678" ca="1">IFERROR(_xlfn.IFS(OR(F678="",LEFT(Methode_Keuze,4)="Geen",Methode_Keuze=""),"",AND(X678&lt;&gt;"",F678&lt;&gt;"Arbeidskosten"),X678*VLOOKUP(F678,Tb_ProjectKosten[],MATCH(Tb_ProjectKosten[[#Headers],[Forfait_Percentage]],Tb_ProjectKosten[#Headers],0),0),AND(F678="Arbeidskosten",G678&lt;&gt;""),IFERROR(X678*VLOOKUP(G678,Tb_KostenTypen[],3,0)*VLOOKUP(F678,Tb_ProjectKosten[],MATCH(Tb_ProjectKosten[[#Headers],[Forfait_Percentage]],Tb_ProjectKosten[#Headers],0),0),""),X678 &lt;=0,0),"")</f>
        <v/>
      </c>
      <c r="AB678" s="314" t="str">
        <f t="shared" ca="1" si="43"/>
        <v/>
      </c>
      <c r="AC678" s="322"/>
      <c r="AD678" s="315"/>
      <c r="AE678" s="32" t="str" cm="1">
        <f t="array" ref="AE678">IFERROR(IF(INDEX(SubsidieTabel!$AD$1:$AG$12,MATCH($F678,SubsidieTabel!$AD$1:$AD$12,0),IFERROR(MATCH(Methode_Keuze,SubsidieTabel!$AD$1:$AG$1,0),2))&lt;&gt;1=TRUE,"ja",""),"")</f>
        <v/>
      </c>
    </row>
    <row r="679" spans="1:31" x14ac:dyDescent="0.25">
      <c r="A679" s="316"/>
      <c r="B679" s="317" t="str">
        <f>IF(A679&lt;&gt;"",_xlfn.MAXIFS($B$1:B678,$A$1:A678,A679)+1,"")</f>
        <v/>
      </c>
      <c r="C679" s="296"/>
      <c r="D679" s="296"/>
      <c r="E679" s="296"/>
      <c r="F679" s="296"/>
      <c r="G679" s="326"/>
      <c r="H679" s="324"/>
      <c r="I679" s="325"/>
      <c r="J679" s="325"/>
      <c r="K679" s="318"/>
      <c r="L679" s="318"/>
      <c r="M679" s="319" t="str">
        <f>IFERROR(VLOOKUP(H679,Lijsten!$H$1:$I$100,2,0),"")</f>
        <v/>
      </c>
      <c r="N679" s="319" t="str">
        <f ca="1">IFERROR(IF(VLOOKUP(F679,Kostentypen!$A$3:$E$21,3,0)=0,"",IF(OR(F679="Arbeidskosten",F679="Vergoeding"),VLOOKUP(G679,Tb_KostenTypen[],2,0),VLOOKUP(F679,Kostentypen!$A$3:$E$20,3,0))),"")</f>
        <v/>
      </c>
      <c r="O679" s="320" t="str" cm="1">
        <f t="array" ref="O679">_xlfn.IFNA(IF(INDEX(Tb_KostenOptiesDB[],MATCH($F679,Tb_KostenOptiesDB[KostenOptie],0),IFERROR(MATCH(Methode_Keuze,Tb_KostenOptiesDB[#Headers],0),2))=1,_xlfn.SWITCH($N679,"Uurtarief",IF(OR(AND(RIGHT($F679,3)="IKS",VLOOKUP($M679,DB_Loonkosten,2,0)="Ja"),AND(RIGHT($F679,3)&lt;&gt;"IKS",VLOOKUP($M679,DB_Loonkosten,2,0)="Nee")),IFERROR(VLOOKUP($M679,DB_Loonkosten,24,0),""),0),"Vast tarief",IF(LEFT(F679,8)="Bijdrage",VLOOKUP($F679,Tb_KostenTypen[],MATCH(Lijsten!$P$1,Tb_KostenTypen[#Headers],0),0),VLOOKUP($G679,Lijsten!L:P,MATCH(Lijsten!$P$1,Kop_Tarief_Vast,0),0))),""),"")</f>
        <v/>
      </c>
      <c r="P679" s="320" t="str" cm="1">
        <f t="array" ref="P679">_xlfn.IFNA(IF(INDEX(Tb_KostenOptiesDB[],MATCH($F679,Tb_KostenOptiesDB[KostenOptie],0),IFERROR(MATCH(Methode_Keuze,Tb_KostenOptiesDB[#Headers],0),2))=1,_xlfn.SWITCH($N679,"Uurtarief",IF(OR(AND(RIGHT($F679,3)="IKS",VLOOKUP($M679,DB_Loonkosten,2,0)="Ja"),AND(RIGHT($F679,3)&lt;&gt;"IKS",VLOOKUP($M679,DB_Loonkosten,2,0)="Nee")),IFERROR(VLOOKUP($M679,DB_Loonkosten,25,0),""),0),"Vast tarief",IF(LEFT(F679,8)="Bijdrage",VLOOKUP($F679,Tb_KostenTypen[],MATCH(Lijsten!$P$1,Tb_KostenTypen[#Headers],0),0),VLOOKUP($G679,Lijsten!L:P,MATCH(Lijsten!$P$1,Kop_Tarief_Vast,0),0))),""),"")</f>
        <v/>
      </c>
      <c r="Q679" s="359"/>
      <c r="R679" s="359"/>
      <c r="S679" s="321"/>
      <c r="T679" s="321"/>
      <c r="U679" s="373" t="str">
        <f t="shared" si="40"/>
        <v/>
      </c>
      <c r="V679" s="314" t="str">
        <f t="shared" si="41"/>
        <v/>
      </c>
      <c r="W679" s="314" t="str" cm="1">
        <f t="array" aca="1" ref="W679" ca="1">IFERROR(IF(AE679&lt;&gt;"ja",_xlfn.IFNA(_xlfn.IFS(AND(O679&lt;&gt;"",F679&lt;&gt;"",RIGHT($N679,6)="tarief",F679="Vergoeding"),SUM(O679)*FLOOR(SUM(Q679),0.0001),AND(O679&lt;&gt;"",F679&lt;&gt;"",RIGHT($N679,6)="tarief"),SUM(O679)*FLOOR(SUM(Q679),0.01),S679&gt;0,IF(F679&lt;&gt;"",FLOOR(SUM(S679),0.01),"")),""),""),"")</f>
        <v/>
      </c>
      <c r="X679" s="314" t="str" cm="1">
        <f t="array" aca="1" ref="X679" ca="1">IFERROR(IF(AE679&lt;&gt;"ja",_xlfn.IFNA(_xlfn.IFS(AND(P679&lt;&gt;"",R679&lt;&gt;"",RIGHT($N679,6)="tarief",F679="Vergoeding"),SUM(P679)*FLOOR(SUM(R679),0.0001),AND(P679&lt;&gt;"",R679&lt;&gt;"",RIGHT($N679,6)="tarief"),P679*FLOOR(R679,0.01),T679&gt;0,FLOOR(SUM(T679),0.01)),""),""),"")</f>
        <v/>
      </c>
      <c r="Y679" s="314" t="str">
        <f t="shared" ca="1" si="42"/>
        <v/>
      </c>
      <c r="Z679" s="314" t="str" cm="1">
        <f t="array" aca="1" ref="Z679" ca="1">IFERROR(_xlfn.IFS(OR(F679="",LEFT(Methode_Keuze,4)="Geen",Methode_Keuze=""),"",AND(W679&lt;&gt;"",F679&lt;&gt;"Arbeidskosten"),W679*VLOOKUP(F679,Tb_ProjectKosten[],MATCH(Tb_ProjectKosten[[#Headers],[Forfait_Percentage]],Tb_ProjectKosten[#Headers],0),0),AND(F679="Arbeidskosten",G679&lt;&gt;""),IFERROR(W679*VLOOKUP(G679,Tb_KostenTypen[],3,0)*VLOOKUP(F679,Tb_ProjectKosten[],MATCH(Tb_ProjectKosten[[#Headers],[Forfait_Percentage]],Tb_ProjectKosten[#Headers],0),0),""),W679 &lt;=0,0),"")</f>
        <v/>
      </c>
      <c r="AA679" s="314" t="str" cm="1">
        <f t="array" aca="1" ref="AA679" ca="1">IFERROR(_xlfn.IFS(OR(F679="",LEFT(Methode_Keuze,4)="Geen",Methode_Keuze=""),"",AND(X679&lt;&gt;"",F679&lt;&gt;"Arbeidskosten"),X679*VLOOKUP(F679,Tb_ProjectKosten[],MATCH(Tb_ProjectKosten[[#Headers],[Forfait_Percentage]],Tb_ProjectKosten[#Headers],0),0),AND(F679="Arbeidskosten",G679&lt;&gt;""),IFERROR(X679*VLOOKUP(G679,Tb_KostenTypen[],3,0)*VLOOKUP(F679,Tb_ProjectKosten[],MATCH(Tb_ProjectKosten[[#Headers],[Forfait_Percentage]],Tb_ProjectKosten[#Headers],0),0),""),X679 &lt;=0,0),"")</f>
        <v/>
      </c>
      <c r="AB679" s="314" t="str">
        <f t="shared" ca="1" si="43"/>
        <v/>
      </c>
      <c r="AC679" s="322"/>
      <c r="AD679" s="315"/>
      <c r="AE679" s="32" t="str" cm="1">
        <f t="array" ref="AE679">IFERROR(IF(INDEX(SubsidieTabel!$AD$1:$AG$12,MATCH($F679,SubsidieTabel!$AD$1:$AD$12,0),IFERROR(MATCH(Methode_Keuze,SubsidieTabel!$AD$1:$AG$1,0),2))&lt;&gt;1=TRUE,"ja",""),"")</f>
        <v/>
      </c>
    </row>
    <row r="680" spans="1:31" x14ac:dyDescent="0.25">
      <c r="A680" s="316"/>
      <c r="B680" s="317" t="str">
        <f>IF(A680&lt;&gt;"",_xlfn.MAXIFS($B$1:B679,$A$1:A679,A680)+1,"")</f>
        <v/>
      </c>
      <c r="C680" s="296"/>
      <c r="D680" s="296"/>
      <c r="E680" s="296"/>
      <c r="F680" s="296"/>
      <c r="G680" s="326"/>
      <c r="H680" s="324"/>
      <c r="I680" s="325"/>
      <c r="J680" s="325"/>
      <c r="K680" s="318"/>
      <c r="L680" s="318"/>
      <c r="M680" s="319" t="str">
        <f>IFERROR(VLOOKUP(H680,Lijsten!$H$1:$I$100,2,0),"")</f>
        <v/>
      </c>
      <c r="N680" s="319" t="str">
        <f ca="1">IFERROR(IF(VLOOKUP(F680,Kostentypen!$A$3:$E$21,3,0)=0,"",IF(OR(F680="Arbeidskosten",F680="Vergoeding"),VLOOKUP(G680,Tb_KostenTypen[],2,0),VLOOKUP(F680,Kostentypen!$A$3:$E$20,3,0))),"")</f>
        <v/>
      </c>
      <c r="O680" s="320" t="str" cm="1">
        <f t="array" ref="O680">_xlfn.IFNA(IF(INDEX(Tb_KostenOptiesDB[],MATCH($F680,Tb_KostenOptiesDB[KostenOptie],0),IFERROR(MATCH(Methode_Keuze,Tb_KostenOptiesDB[#Headers],0),2))=1,_xlfn.SWITCH($N680,"Uurtarief",IF(OR(AND(RIGHT($F680,3)="IKS",VLOOKUP($M680,DB_Loonkosten,2,0)="Ja"),AND(RIGHT($F680,3)&lt;&gt;"IKS",VLOOKUP($M680,DB_Loonkosten,2,0)="Nee")),IFERROR(VLOOKUP($M680,DB_Loonkosten,24,0),""),0),"Vast tarief",IF(LEFT(F680,8)="Bijdrage",VLOOKUP($F680,Tb_KostenTypen[],MATCH(Lijsten!$P$1,Tb_KostenTypen[#Headers],0),0),VLOOKUP($G680,Lijsten!L:P,MATCH(Lijsten!$P$1,Kop_Tarief_Vast,0),0))),""),"")</f>
        <v/>
      </c>
      <c r="P680" s="320" t="str" cm="1">
        <f t="array" ref="P680">_xlfn.IFNA(IF(INDEX(Tb_KostenOptiesDB[],MATCH($F680,Tb_KostenOptiesDB[KostenOptie],0),IFERROR(MATCH(Methode_Keuze,Tb_KostenOptiesDB[#Headers],0),2))=1,_xlfn.SWITCH($N680,"Uurtarief",IF(OR(AND(RIGHT($F680,3)="IKS",VLOOKUP($M680,DB_Loonkosten,2,0)="Ja"),AND(RIGHT($F680,3)&lt;&gt;"IKS",VLOOKUP($M680,DB_Loonkosten,2,0)="Nee")),IFERROR(VLOOKUP($M680,DB_Loonkosten,25,0),""),0),"Vast tarief",IF(LEFT(F680,8)="Bijdrage",VLOOKUP($F680,Tb_KostenTypen[],MATCH(Lijsten!$P$1,Tb_KostenTypen[#Headers],0),0),VLOOKUP($G680,Lijsten!L:P,MATCH(Lijsten!$P$1,Kop_Tarief_Vast,0),0))),""),"")</f>
        <v/>
      </c>
      <c r="Q680" s="359"/>
      <c r="R680" s="359"/>
      <c r="S680" s="321"/>
      <c r="T680" s="321"/>
      <c r="U680" s="373" t="str">
        <f t="shared" si="40"/>
        <v/>
      </c>
      <c r="V680" s="314" t="str">
        <f t="shared" si="41"/>
        <v/>
      </c>
      <c r="W680" s="314" t="str" cm="1">
        <f t="array" aca="1" ref="W680" ca="1">IFERROR(IF(AE680&lt;&gt;"ja",_xlfn.IFNA(_xlfn.IFS(AND(O680&lt;&gt;"",F680&lt;&gt;"",RIGHT($N680,6)="tarief",F680="Vergoeding"),SUM(O680)*FLOOR(SUM(Q680),0.0001),AND(O680&lt;&gt;"",F680&lt;&gt;"",RIGHT($N680,6)="tarief"),SUM(O680)*FLOOR(SUM(Q680),0.01),S680&gt;0,IF(F680&lt;&gt;"",FLOOR(SUM(S680),0.01),"")),""),""),"")</f>
        <v/>
      </c>
      <c r="X680" s="314" t="str" cm="1">
        <f t="array" aca="1" ref="X680" ca="1">IFERROR(IF(AE680&lt;&gt;"ja",_xlfn.IFNA(_xlfn.IFS(AND(P680&lt;&gt;"",R680&lt;&gt;"",RIGHT($N680,6)="tarief",F680="Vergoeding"),SUM(P680)*FLOOR(SUM(R680),0.0001),AND(P680&lt;&gt;"",R680&lt;&gt;"",RIGHT($N680,6)="tarief"),P680*FLOOR(R680,0.01),T680&gt;0,FLOOR(SUM(T680),0.01)),""),""),"")</f>
        <v/>
      </c>
      <c r="Y680" s="314" t="str">
        <f t="shared" ca="1" si="42"/>
        <v/>
      </c>
      <c r="Z680" s="314" t="str" cm="1">
        <f t="array" aca="1" ref="Z680" ca="1">IFERROR(_xlfn.IFS(OR(F680="",LEFT(Methode_Keuze,4)="Geen",Methode_Keuze=""),"",AND(W680&lt;&gt;"",F680&lt;&gt;"Arbeidskosten"),W680*VLOOKUP(F680,Tb_ProjectKosten[],MATCH(Tb_ProjectKosten[[#Headers],[Forfait_Percentage]],Tb_ProjectKosten[#Headers],0),0),AND(F680="Arbeidskosten",G680&lt;&gt;""),IFERROR(W680*VLOOKUP(G680,Tb_KostenTypen[],3,0)*VLOOKUP(F680,Tb_ProjectKosten[],MATCH(Tb_ProjectKosten[[#Headers],[Forfait_Percentage]],Tb_ProjectKosten[#Headers],0),0),""),W680 &lt;=0,0),"")</f>
        <v/>
      </c>
      <c r="AA680" s="314" t="str" cm="1">
        <f t="array" aca="1" ref="AA680" ca="1">IFERROR(_xlfn.IFS(OR(F680="",LEFT(Methode_Keuze,4)="Geen",Methode_Keuze=""),"",AND(X680&lt;&gt;"",F680&lt;&gt;"Arbeidskosten"),X680*VLOOKUP(F680,Tb_ProjectKosten[],MATCH(Tb_ProjectKosten[[#Headers],[Forfait_Percentage]],Tb_ProjectKosten[#Headers],0),0),AND(F680="Arbeidskosten",G680&lt;&gt;""),IFERROR(X680*VLOOKUP(G680,Tb_KostenTypen[],3,0)*VLOOKUP(F680,Tb_ProjectKosten[],MATCH(Tb_ProjectKosten[[#Headers],[Forfait_Percentage]],Tb_ProjectKosten[#Headers],0),0),""),X680 &lt;=0,0),"")</f>
        <v/>
      </c>
      <c r="AB680" s="314" t="str">
        <f t="shared" ca="1" si="43"/>
        <v/>
      </c>
      <c r="AC680" s="322"/>
      <c r="AD680" s="315"/>
      <c r="AE680" s="32" t="str" cm="1">
        <f t="array" ref="AE680">IFERROR(IF(INDEX(SubsidieTabel!$AD$1:$AG$12,MATCH($F680,SubsidieTabel!$AD$1:$AD$12,0),IFERROR(MATCH(Methode_Keuze,SubsidieTabel!$AD$1:$AG$1,0),2))&lt;&gt;1=TRUE,"ja",""),"")</f>
        <v/>
      </c>
    </row>
    <row r="681" spans="1:31" x14ac:dyDescent="0.25">
      <c r="A681" s="316"/>
      <c r="B681" s="317" t="str">
        <f>IF(A681&lt;&gt;"",_xlfn.MAXIFS($B$1:B680,$A$1:A680,A681)+1,"")</f>
        <v/>
      </c>
      <c r="C681" s="296"/>
      <c r="D681" s="296"/>
      <c r="E681" s="296"/>
      <c r="F681" s="296"/>
      <c r="G681" s="326"/>
      <c r="H681" s="324"/>
      <c r="I681" s="325"/>
      <c r="J681" s="325"/>
      <c r="K681" s="318"/>
      <c r="L681" s="318"/>
      <c r="M681" s="319" t="str">
        <f>IFERROR(VLOOKUP(H681,Lijsten!$H$1:$I$100,2,0),"")</f>
        <v/>
      </c>
      <c r="N681" s="319" t="str">
        <f ca="1">IFERROR(IF(VLOOKUP(F681,Kostentypen!$A$3:$E$21,3,0)=0,"",IF(OR(F681="Arbeidskosten",F681="Vergoeding"),VLOOKUP(G681,Tb_KostenTypen[],2,0),VLOOKUP(F681,Kostentypen!$A$3:$E$20,3,0))),"")</f>
        <v/>
      </c>
      <c r="O681" s="320" t="str" cm="1">
        <f t="array" ref="O681">_xlfn.IFNA(IF(INDEX(Tb_KostenOptiesDB[],MATCH($F681,Tb_KostenOptiesDB[KostenOptie],0),IFERROR(MATCH(Methode_Keuze,Tb_KostenOptiesDB[#Headers],0),2))=1,_xlfn.SWITCH($N681,"Uurtarief",IF(OR(AND(RIGHT($F681,3)="IKS",VLOOKUP($M681,DB_Loonkosten,2,0)="Ja"),AND(RIGHT($F681,3)&lt;&gt;"IKS",VLOOKUP($M681,DB_Loonkosten,2,0)="Nee")),IFERROR(VLOOKUP($M681,DB_Loonkosten,24,0),""),0),"Vast tarief",IF(LEFT(F681,8)="Bijdrage",VLOOKUP($F681,Tb_KostenTypen[],MATCH(Lijsten!$P$1,Tb_KostenTypen[#Headers],0),0),VLOOKUP($G681,Lijsten!L:P,MATCH(Lijsten!$P$1,Kop_Tarief_Vast,0),0))),""),"")</f>
        <v/>
      </c>
      <c r="P681" s="320" t="str" cm="1">
        <f t="array" ref="P681">_xlfn.IFNA(IF(INDEX(Tb_KostenOptiesDB[],MATCH($F681,Tb_KostenOptiesDB[KostenOptie],0),IFERROR(MATCH(Methode_Keuze,Tb_KostenOptiesDB[#Headers],0),2))=1,_xlfn.SWITCH($N681,"Uurtarief",IF(OR(AND(RIGHT($F681,3)="IKS",VLOOKUP($M681,DB_Loonkosten,2,0)="Ja"),AND(RIGHT($F681,3)&lt;&gt;"IKS",VLOOKUP($M681,DB_Loonkosten,2,0)="Nee")),IFERROR(VLOOKUP($M681,DB_Loonkosten,25,0),""),0),"Vast tarief",IF(LEFT(F681,8)="Bijdrage",VLOOKUP($F681,Tb_KostenTypen[],MATCH(Lijsten!$P$1,Tb_KostenTypen[#Headers],0),0),VLOOKUP($G681,Lijsten!L:P,MATCH(Lijsten!$P$1,Kop_Tarief_Vast,0),0))),""),"")</f>
        <v/>
      </c>
      <c r="Q681" s="359"/>
      <c r="R681" s="359"/>
      <c r="S681" s="321"/>
      <c r="T681" s="321"/>
      <c r="U681" s="373" t="str">
        <f t="shared" si="40"/>
        <v/>
      </c>
      <c r="V681" s="314" t="str">
        <f t="shared" si="41"/>
        <v/>
      </c>
      <c r="W681" s="314" t="str" cm="1">
        <f t="array" aca="1" ref="W681" ca="1">IFERROR(IF(AE681&lt;&gt;"ja",_xlfn.IFNA(_xlfn.IFS(AND(O681&lt;&gt;"",F681&lt;&gt;"",RIGHT($N681,6)="tarief",F681="Vergoeding"),SUM(O681)*FLOOR(SUM(Q681),0.0001),AND(O681&lt;&gt;"",F681&lt;&gt;"",RIGHT($N681,6)="tarief"),SUM(O681)*FLOOR(SUM(Q681),0.01),S681&gt;0,IF(F681&lt;&gt;"",FLOOR(SUM(S681),0.01),"")),""),""),"")</f>
        <v/>
      </c>
      <c r="X681" s="314" t="str" cm="1">
        <f t="array" aca="1" ref="X681" ca="1">IFERROR(IF(AE681&lt;&gt;"ja",_xlfn.IFNA(_xlfn.IFS(AND(P681&lt;&gt;"",R681&lt;&gt;"",RIGHT($N681,6)="tarief",F681="Vergoeding"),SUM(P681)*FLOOR(SUM(R681),0.0001),AND(P681&lt;&gt;"",R681&lt;&gt;"",RIGHT($N681,6)="tarief"),P681*FLOOR(R681,0.01),T681&gt;0,FLOOR(SUM(T681),0.01)),""),""),"")</f>
        <v/>
      </c>
      <c r="Y681" s="314" t="str">
        <f t="shared" ca="1" si="42"/>
        <v/>
      </c>
      <c r="Z681" s="314" t="str" cm="1">
        <f t="array" aca="1" ref="Z681" ca="1">IFERROR(_xlfn.IFS(OR(F681="",LEFT(Methode_Keuze,4)="Geen",Methode_Keuze=""),"",AND(W681&lt;&gt;"",F681&lt;&gt;"Arbeidskosten"),W681*VLOOKUP(F681,Tb_ProjectKosten[],MATCH(Tb_ProjectKosten[[#Headers],[Forfait_Percentage]],Tb_ProjectKosten[#Headers],0),0),AND(F681="Arbeidskosten",G681&lt;&gt;""),IFERROR(W681*VLOOKUP(G681,Tb_KostenTypen[],3,0)*VLOOKUP(F681,Tb_ProjectKosten[],MATCH(Tb_ProjectKosten[[#Headers],[Forfait_Percentage]],Tb_ProjectKosten[#Headers],0),0),""),W681 &lt;=0,0),"")</f>
        <v/>
      </c>
      <c r="AA681" s="314" t="str" cm="1">
        <f t="array" aca="1" ref="AA681" ca="1">IFERROR(_xlfn.IFS(OR(F681="",LEFT(Methode_Keuze,4)="Geen",Methode_Keuze=""),"",AND(X681&lt;&gt;"",F681&lt;&gt;"Arbeidskosten"),X681*VLOOKUP(F681,Tb_ProjectKosten[],MATCH(Tb_ProjectKosten[[#Headers],[Forfait_Percentage]],Tb_ProjectKosten[#Headers],0),0),AND(F681="Arbeidskosten",G681&lt;&gt;""),IFERROR(X681*VLOOKUP(G681,Tb_KostenTypen[],3,0)*VLOOKUP(F681,Tb_ProjectKosten[],MATCH(Tb_ProjectKosten[[#Headers],[Forfait_Percentage]],Tb_ProjectKosten[#Headers],0),0),""),X681 &lt;=0,0),"")</f>
        <v/>
      </c>
      <c r="AB681" s="314" t="str">
        <f t="shared" ca="1" si="43"/>
        <v/>
      </c>
      <c r="AC681" s="322"/>
      <c r="AD681" s="315"/>
      <c r="AE681" s="32" t="str" cm="1">
        <f t="array" ref="AE681">IFERROR(IF(INDEX(SubsidieTabel!$AD$1:$AG$12,MATCH($F681,SubsidieTabel!$AD$1:$AD$12,0),IFERROR(MATCH(Methode_Keuze,SubsidieTabel!$AD$1:$AG$1,0),2))&lt;&gt;1=TRUE,"ja",""),"")</f>
        <v/>
      </c>
    </row>
    <row r="682" spans="1:31" x14ac:dyDescent="0.25">
      <c r="A682" s="316"/>
      <c r="B682" s="317" t="str">
        <f>IF(A682&lt;&gt;"",_xlfn.MAXIFS($B$1:B681,$A$1:A681,A682)+1,"")</f>
        <v/>
      </c>
      <c r="C682" s="296"/>
      <c r="D682" s="296"/>
      <c r="E682" s="296"/>
      <c r="F682" s="296"/>
      <c r="G682" s="326"/>
      <c r="H682" s="324"/>
      <c r="I682" s="325"/>
      <c r="J682" s="325"/>
      <c r="K682" s="318"/>
      <c r="L682" s="318"/>
      <c r="M682" s="319" t="str">
        <f>IFERROR(VLOOKUP(H682,Lijsten!$H$1:$I$100,2,0),"")</f>
        <v/>
      </c>
      <c r="N682" s="319" t="str">
        <f ca="1">IFERROR(IF(VLOOKUP(F682,Kostentypen!$A$3:$E$21,3,0)=0,"",IF(OR(F682="Arbeidskosten",F682="Vergoeding"),VLOOKUP(G682,Tb_KostenTypen[],2,0),VLOOKUP(F682,Kostentypen!$A$3:$E$20,3,0))),"")</f>
        <v/>
      </c>
      <c r="O682" s="320" t="str" cm="1">
        <f t="array" ref="O682">_xlfn.IFNA(IF(INDEX(Tb_KostenOptiesDB[],MATCH($F682,Tb_KostenOptiesDB[KostenOptie],0),IFERROR(MATCH(Methode_Keuze,Tb_KostenOptiesDB[#Headers],0),2))=1,_xlfn.SWITCH($N682,"Uurtarief",IF(OR(AND(RIGHT($F682,3)="IKS",VLOOKUP($M682,DB_Loonkosten,2,0)="Ja"),AND(RIGHT($F682,3)&lt;&gt;"IKS",VLOOKUP($M682,DB_Loonkosten,2,0)="Nee")),IFERROR(VLOOKUP($M682,DB_Loonkosten,24,0),""),0),"Vast tarief",IF(LEFT(F682,8)="Bijdrage",VLOOKUP($F682,Tb_KostenTypen[],MATCH(Lijsten!$P$1,Tb_KostenTypen[#Headers],0),0),VLOOKUP($G682,Lijsten!L:P,MATCH(Lijsten!$P$1,Kop_Tarief_Vast,0),0))),""),"")</f>
        <v/>
      </c>
      <c r="P682" s="320" t="str" cm="1">
        <f t="array" ref="P682">_xlfn.IFNA(IF(INDEX(Tb_KostenOptiesDB[],MATCH($F682,Tb_KostenOptiesDB[KostenOptie],0),IFERROR(MATCH(Methode_Keuze,Tb_KostenOptiesDB[#Headers],0),2))=1,_xlfn.SWITCH($N682,"Uurtarief",IF(OR(AND(RIGHT($F682,3)="IKS",VLOOKUP($M682,DB_Loonkosten,2,0)="Ja"),AND(RIGHT($F682,3)&lt;&gt;"IKS",VLOOKUP($M682,DB_Loonkosten,2,0)="Nee")),IFERROR(VLOOKUP($M682,DB_Loonkosten,25,0),""),0),"Vast tarief",IF(LEFT(F682,8)="Bijdrage",VLOOKUP($F682,Tb_KostenTypen[],MATCH(Lijsten!$P$1,Tb_KostenTypen[#Headers],0),0),VLOOKUP($G682,Lijsten!L:P,MATCH(Lijsten!$P$1,Kop_Tarief_Vast,0),0))),""),"")</f>
        <v/>
      </c>
      <c r="Q682" s="359"/>
      <c r="R682" s="359"/>
      <c r="S682" s="321"/>
      <c r="T682" s="321"/>
      <c r="U682" s="373" t="str">
        <f t="shared" si="40"/>
        <v/>
      </c>
      <c r="V682" s="314" t="str">
        <f t="shared" si="41"/>
        <v/>
      </c>
      <c r="W682" s="314" t="str" cm="1">
        <f t="array" aca="1" ref="W682" ca="1">IFERROR(IF(AE682&lt;&gt;"ja",_xlfn.IFNA(_xlfn.IFS(AND(O682&lt;&gt;"",F682&lt;&gt;"",RIGHT($N682,6)="tarief",F682="Vergoeding"),SUM(O682)*FLOOR(SUM(Q682),0.0001),AND(O682&lt;&gt;"",F682&lt;&gt;"",RIGHT($N682,6)="tarief"),SUM(O682)*FLOOR(SUM(Q682),0.01),S682&gt;0,IF(F682&lt;&gt;"",FLOOR(SUM(S682),0.01),"")),""),""),"")</f>
        <v/>
      </c>
      <c r="X682" s="314" t="str" cm="1">
        <f t="array" aca="1" ref="X682" ca="1">IFERROR(IF(AE682&lt;&gt;"ja",_xlfn.IFNA(_xlfn.IFS(AND(P682&lt;&gt;"",R682&lt;&gt;"",RIGHT($N682,6)="tarief",F682="Vergoeding"),SUM(P682)*FLOOR(SUM(R682),0.0001),AND(P682&lt;&gt;"",R682&lt;&gt;"",RIGHT($N682,6)="tarief"),P682*FLOOR(R682,0.01),T682&gt;0,FLOOR(SUM(T682),0.01)),""),""),"")</f>
        <v/>
      </c>
      <c r="Y682" s="314" t="str">
        <f t="shared" ca="1" si="42"/>
        <v/>
      </c>
      <c r="Z682" s="314" t="str" cm="1">
        <f t="array" aca="1" ref="Z682" ca="1">IFERROR(_xlfn.IFS(OR(F682="",LEFT(Methode_Keuze,4)="Geen",Methode_Keuze=""),"",AND(W682&lt;&gt;"",F682&lt;&gt;"Arbeidskosten"),W682*VLOOKUP(F682,Tb_ProjectKosten[],MATCH(Tb_ProjectKosten[[#Headers],[Forfait_Percentage]],Tb_ProjectKosten[#Headers],0),0),AND(F682="Arbeidskosten",G682&lt;&gt;""),IFERROR(W682*VLOOKUP(G682,Tb_KostenTypen[],3,0)*VLOOKUP(F682,Tb_ProjectKosten[],MATCH(Tb_ProjectKosten[[#Headers],[Forfait_Percentage]],Tb_ProjectKosten[#Headers],0),0),""),W682 &lt;=0,0),"")</f>
        <v/>
      </c>
      <c r="AA682" s="314" t="str" cm="1">
        <f t="array" aca="1" ref="AA682" ca="1">IFERROR(_xlfn.IFS(OR(F682="",LEFT(Methode_Keuze,4)="Geen",Methode_Keuze=""),"",AND(X682&lt;&gt;"",F682&lt;&gt;"Arbeidskosten"),X682*VLOOKUP(F682,Tb_ProjectKosten[],MATCH(Tb_ProjectKosten[[#Headers],[Forfait_Percentage]],Tb_ProjectKosten[#Headers],0),0),AND(F682="Arbeidskosten",G682&lt;&gt;""),IFERROR(X682*VLOOKUP(G682,Tb_KostenTypen[],3,0)*VLOOKUP(F682,Tb_ProjectKosten[],MATCH(Tb_ProjectKosten[[#Headers],[Forfait_Percentage]],Tb_ProjectKosten[#Headers],0),0),""),X682 &lt;=0,0),"")</f>
        <v/>
      </c>
      <c r="AB682" s="314" t="str">
        <f t="shared" ca="1" si="43"/>
        <v/>
      </c>
      <c r="AC682" s="322"/>
      <c r="AD682" s="315"/>
      <c r="AE682" s="32" t="str" cm="1">
        <f t="array" ref="AE682">IFERROR(IF(INDEX(SubsidieTabel!$AD$1:$AG$12,MATCH($F682,SubsidieTabel!$AD$1:$AD$12,0),IFERROR(MATCH(Methode_Keuze,SubsidieTabel!$AD$1:$AG$1,0),2))&lt;&gt;1=TRUE,"ja",""),"")</f>
        <v/>
      </c>
    </row>
    <row r="683" spans="1:31" x14ac:dyDescent="0.25">
      <c r="A683" s="316"/>
      <c r="B683" s="317" t="str">
        <f>IF(A683&lt;&gt;"",_xlfn.MAXIFS($B$1:B682,$A$1:A682,A683)+1,"")</f>
        <v/>
      </c>
      <c r="C683" s="296"/>
      <c r="D683" s="296"/>
      <c r="E683" s="296"/>
      <c r="F683" s="296"/>
      <c r="G683" s="326"/>
      <c r="H683" s="324"/>
      <c r="I683" s="325"/>
      <c r="J683" s="325"/>
      <c r="K683" s="318"/>
      <c r="L683" s="318"/>
      <c r="M683" s="319" t="str">
        <f>IFERROR(VLOOKUP(H683,Lijsten!$H$1:$I$100,2,0),"")</f>
        <v/>
      </c>
      <c r="N683" s="319" t="str">
        <f ca="1">IFERROR(IF(VLOOKUP(F683,Kostentypen!$A$3:$E$21,3,0)=0,"",IF(OR(F683="Arbeidskosten",F683="Vergoeding"),VLOOKUP(G683,Tb_KostenTypen[],2,0),VLOOKUP(F683,Kostentypen!$A$3:$E$20,3,0))),"")</f>
        <v/>
      </c>
      <c r="O683" s="320" t="str" cm="1">
        <f t="array" ref="O683">_xlfn.IFNA(IF(INDEX(Tb_KostenOptiesDB[],MATCH($F683,Tb_KostenOptiesDB[KostenOptie],0),IFERROR(MATCH(Methode_Keuze,Tb_KostenOptiesDB[#Headers],0),2))=1,_xlfn.SWITCH($N683,"Uurtarief",IF(OR(AND(RIGHT($F683,3)="IKS",VLOOKUP($M683,DB_Loonkosten,2,0)="Ja"),AND(RIGHT($F683,3)&lt;&gt;"IKS",VLOOKUP($M683,DB_Loonkosten,2,0)="Nee")),IFERROR(VLOOKUP($M683,DB_Loonkosten,24,0),""),0),"Vast tarief",IF(LEFT(F683,8)="Bijdrage",VLOOKUP($F683,Tb_KostenTypen[],MATCH(Lijsten!$P$1,Tb_KostenTypen[#Headers],0),0),VLOOKUP($G683,Lijsten!L:P,MATCH(Lijsten!$P$1,Kop_Tarief_Vast,0),0))),""),"")</f>
        <v/>
      </c>
      <c r="P683" s="320" t="str" cm="1">
        <f t="array" ref="P683">_xlfn.IFNA(IF(INDEX(Tb_KostenOptiesDB[],MATCH($F683,Tb_KostenOptiesDB[KostenOptie],0),IFERROR(MATCH(Methode_Keuze,Tb_KostenOptiesDB[#Headers],0),2))=1,_xlfn.SWITCH($N683,"Uurtarief",IF(OR(AND(RIGHT($F683,3)="IKS",VLOOKUP($M683,DB_Loonkosten,2,0)="Ja"),AND(RIGHT($F683,3)&lt;&gt;"IKS",VLOOKUP($M683,DB_Loonkosten,2,0)="Nee")),IFERROR(VLOOKUP($M683,DB_Loonkosten,25,0),""),0),"Vast tarief",IF(LEFT(F683,8)="Bijdrage",VLOOKUP($F683,Tb_KostenTypen[],MATCH(Lijsten!$P$1,Tb_KostenTypen[#Headers],0),0),VLOOKUP($G683,Lijsten!L:P,MATCH(Lijsten!$P$1,Kop_Tarief_Vast,0),0))),""),"")</f>
        <v/>
      </c>
      <c r="Q683" s="359"/>
      <c r="R683" s="359"/>
      <c r="S683" s="321"/>
      <c r="T683" s="321"/>
      <c r="U683" s="373" t="str">
        <f t="shared" si="40"/>
        <v/>
      </c>
      <c r="V683" s="314" t="str">
        <f t="shared" si="41"/>
        <v/>
      </c>
      <c r="W683" s="314" t="str" cm="1">
        <f t="array" aca="1" ref="W683" ca="1">IFERROR(IF(AE683&lt;&gt;"ja",_xlfn.IFNA(_xlfn.IFS(AND(O683&lt;&gt;"",F683&lt;&gt;"",RIGHT($N683,6)="tarief",F683="Vergoeding"),SUM(O683)*FLOOR(SUM(Q683),0.0001),AND(O683&lt;&gt;"",F683&lt;&gt;"",RIGHT($N683,6)="tarief"),SUM(O683)*FLOOR(SUM(Q683),0.01),S683&gt;0,IF(F683&lt;&gt;"",FLOOR(SUM(S683),0.01),"")),""),""),"")</f>
        <v/>
      </c>
      <c r="X683" s="314" t="str" cm="1">
        <f t="array" aca="1" ref="X683" ca="1">IFERROR(IF(AE683&lt;&gt;"ja",_xlfn.IFNA(_xlfn.IFS(AND(P683&lt;&gt;"",R683&lt;&gt;"",RIGHT($N683,6)="tarief",F683="Vergoeding"),SUM(P683)*FLOOR(SUM(R683),0.0001),AND(P683&lt;&gt;"",R683&lt;&gt;"",RIGHT($N683,6)="tarief"),P683*FLOOR(R683,0.01),T683&gt;0,FLOOR(SUM(T683),0.01)),""),""),"")</f>
        <v/>
      </c>
      <c r="Y683" s="314" t="str">
        <f t="shared" ca="1" si="42"/>
        <v/>
      </c>
      <c r="Z683" s="314" t="str" cm="1">
        <f t="array" aca="1" ref="Z683" ca="1">IFERROR(_xlfn.IFS(OR(F683="",LEFT(Methode_Keuze,4)="Geen",Methode_Keuze=""),"",AND(W683&lt;&gt;"",F683&lt;&gt;"Arbeidskosten"),W683*VLOOKUP(F683,Tb_ProjectKosten[],MATCH(Tb_ProjectKosten[[#Headers],[Forfait_Percentage]],Tb_ProjectKosten[#Headers],0),0),AND(F683="Arbeidskosten",G683&lt;&gt;""),IFERROR(W683*VLOOKUP(G683,Tb_KostenTypen[],3,0)*VLOOKUP(F683,Tb_ProjectKosten[],MATCH(Tb_ProjectKosten[[#Headers],[Forfait_Percentage]],Tb_ProjectKosten[#Headers],0),0),""),W683 &lt;=0,0),"")</f>
        <v/>
      </c>
      <c r="AA683" s="314" t="str" cm="1">
        <f t="array" aca="1" ref="AA683" ca="1">IFERROR(_xlfn.IFS(OR(F683="",LEFT(Methode_Keuze,4)="Geen",Methode_Keuze=""),"",AND(X683&lt;&gt;"",F683&lt;&gt;"Arbeidskosten"),X683*VLOOKUP(F683,Tb_ProjectKosten[],MATCH(Tb_ProjectKosten[[#Headers],[Forfait_Percentage]],Tb_ProjectKosten[#Headers],0),0),AND(F683="Arbeidskosten",G683&lt;&gt;""),IFERROR(X683*VLOOKUP(G683,Tb_KostenTypen[],3,0)*VLOOKUP(F683,Tb_ProjectKosten[],MATCH(Tb_ProjectKosten[[#Headers],[Forfait_Percentage]],Tb_ProjectKosten[#Headers],0),0),""),X683 &lt;=0,0),"")</f>
        <v/>
      </c>
      <c r="AB683" s="314" t="str">
        <f t="shared" ca="1" si="43"/>
        <v/>
      </c>
      <c r="AC683" s="322"/>
      <c r="AD683" s="315"/>
      <c r="AE683" s="32" t="str" cm="1">
        <f t="array" ref="AE683">IFERROR(IF(INDEX(SubsidieTabel!$AD$1:$AG$12,MATCH($F683,SubsidieTabel!$AD$1:$AD$12,0),IFERROR(MATCH(Methode_Keuze,SubsidieTabel!$AD$1:$AG$1,0),2))&lt;&gt;1=TRUE,"ja",""),"")</f>
        <v/>
      </c>
    </row>
    <row r="684" spans="1:31" x14ac:dyDescent="0.25">
      <c r="A684" s="316"/>
      <c r="B684" s="317" t="str">
        <f>IF(A684&lt;&gt;"",_xlfn.MAXIFS($B$1:B683,$A$1:A683,A684)+1,"")</f>
        <v/>
      </c>
      <c r="C684" s="296"/>
      <c r="D684" s="296"/>
      <c r="E684" s="296"/>
      <c r="F684" s="296"/>
      <c r="G684" s="326"/>
      <c r="H684" s="324"/>
      <c r="I684" s="325"/>
      <c r="J684" s="325"/>
      <c r="K684" s="318"/>
      <c r="L684" s="318"/>
      <c r="M684" s="319" t="str">
        <f>IFERROR(VLOOKUP(H684,Lijsten!$H$1:$I$100,2,0),"")</f>
        <v/>
      </c>
      <c r="N684" s="319" t="str">
        <f ca="1">IFERROR(IF(VLOOKUP(F684,Kostentypen!$A$3:$E$21,3,0)=0,"",IF(OR(F684="Arbeidskosten",F684="Vergoeding"),VLOOKUP(G684,Tb_KostenTypen[],2,0),VLOOKUP(F684,Kostentypen!$A$3:$E$20,3,0))),"")</f>
        <v/>
      </c>
      <c r="O684" s="320" t="str" cm="1">
        <f t="array" ref="O684">_xlfn.IFNA(IF(INDEX(Tb_KostenOptiesDB[],MATCH($F684,Tb_KostenOptiesDB[KostenOptie],0),IFERROR(MATCH(Methode_Keuze,Tb_KostenOptiesDB[#Headers],0),2))=1,_xlfn.SWITCH($N684,"Uurtarief",IF(OR(AND(RIGHT($F684,3)="IKS",VLOOKUP($M684,DB_Loonkosten,2,0)="Ja"),AND(RIGHT($F684,3)&lt;&gt;"IKS",VLOOKUP($M684,DB_Loonkosten,2,0)="Nee")),IFERROR(VLOOKUP($M684,DB_Loonkosten,24,0),""),0),"Vast tarief",IF(LEFT(F684,8)="Bijdrage",VLOOKUP($F684,Tb_KostenTypen[],MATCH(Lijsten!$P$1,Tb_KostenTypen[#Headers],0),0),VLOOKUP($G684,Lijsten!L:P,MATCH(Lijsten!$P$1,Kop_Tarief_Vast,0),0))),""),"")</f>
        <v/>
      </c>
      <c r="P684" s="320" t="str" cm="1">
        <f t="array" ref="P684">_xlfn.IFNA(IF(INDEX(Tb_KostenOptiesDB[],MATCH($F684,Tb_KostenOptiesDB[KostenOptie],0),IFERROR(MATCH(Methode_Keuze,Tb_KostenOptiesDB[#Headers],0),2))=1,_xlfn.SWITCH($N684,"Uurtarief",IF(OR(AND(RIGHT($F684,3)="IKS",VLOOKUP($M684,DB_Loonkosten,2,0)="Ja"),AND(RIGHT($F684,3)&lt;&gt;"IKS",VLOOKUP($M684,DB_Loonkosten,2,0)="Nee")),IFERROR(VLOOKUP($M684,DB_Loonkosten,25,0),""),0),"Vast tarief",IF(LEFT(F684,8)="Bijdrage",VLOOKUP($F684,Tb_KostenTypen[],MATCH(Lijsten!$P$1,Tb_KostenTypen[#Headers],0),0),VLOOKUP($G684,Lijsten!L:P,MATCH(Lijsten!$P$1,Kop_Tarief_Vast,0),0))),""),"")</f>
        <v/>
      </c>
      <c r="Q684" s="359"/>
      <c r="R684" s="359"/>
      <c r="S684" s="321"/>
      <c r="T684" s="321"/>
      <c r="U684" s="373" t="str">
        <f t="shared" si="40"/>
        <v/>
      </c>
      <c r="V684" s="314" t="str">
        <f t="shared" si="41"/>
        <v/>
      </c>
      <c r="W684" s="314" t="str" cm="1">
        <f t="array" aca="1" ref="W684" ca="1">IFERROR(IF(AE684&lt;&gt;"ja",_xlfn.IFNA(_xlfn.IFS(AND(O684&lt;&gt;"",F684&lt;&gt;"",RIGHT($N684,6)="tarief",F684="Vergoeding"),SUM(O684)*FLOOR(SUM(Q684),0.0001),AND(O684&lt;&gt;"",F684&lt;&gt;"",RIGHT($N684,6)="tarief"),SUM(O684)*FLOOR(SUM(Q684),0.01),S684&gt;0,IF(F684&lt;&gt;"",FLOOR(SUM(S684),0.01),"")),""),""),"")</f>
        <v/>
      </c>
      <c r="X684" s="314" t="str" cm="1">
        <f t="array" aca="1" ref="X684" ca="1">IFERROR(IF(AE684&lt;&gt;"ja",_xlfn.IFNA(_xlfn.IFS(AND(P684&lt;&gt;"",R684&lt;&gt;"",RIGHT($N684,6)="tarief",F684="Vergoeding"),SUM(P684)*FLOOR(SUM(R684),0.0001),AND(P684&lt;&gt;"",R684&lt;&gt;"",RIGHT($N684,6)="tarief"),P684*FLOOR(R684,0.01),T684&gt;0,FLOOR(SUM(T684),0.01)),""),""),"")</f>
        <v/>
      </c>
      <c r="Y684" s="314" t="str">
        <f t="shared" ca="1" si="42"/>
        <v/>
      </c>
      <c r="Z684" s="314" t="str" cm="1">
        <f t="array" aca="1" ref="Z684" ca="1">IFERROR(_xlfn.IFS(OR(F684="",LEFT(Methode_Keuze,4)="Geen",Methode_Keuze=""),"",AND(W684&lt;&gt;"",F684&lt;&gt;"Arbeidskosten"),W684*VLOOKUP(F684,Tb_ProjectKosten[],MATCH(Tb_ProjectKosten[[#Headers],[Forfait_Percentage]],Tb_ProjectKosten[#Headers],0),0),AND(F684="Arbeidskosten",G684&lt;&gt;""),IFERROR(W684*VLOOKUP(G684,Tb_KostenTypen[],3,0)*VLOOKUP(F684,Tb_ProjectKosten[],MATCH(Tb_ProjectKosten[[#Headers],[Forfait_Percentage]],Tb_ProjectKosten[#Headers],0),0),""),W684 &lt;=0,0),"")</f>
        <v/>
      </c>
      <c r="AA684" s="314" t="str" cm="1">
        <f t="array" aca="1" ref="AA684" ca="1">IFERROR(_xlfn.IFS(OR(F684="",LEFT(Methode_Keuze,4)="Geen",Methode_Keuze=""),"",AND(X684&lt;&gt;"",F684&lt;&gt;"Arbeidskosten"),X684*VLOOKUP(F684,Tb_ProjectKosten[],MATCH(Tb_ProjectKosten[[#Headers],[Forfait_Percentage]],Tb_ProjectKosten[#Headers],0),0),AND(F684="Arbeidskosten",G684&lt;&gt;""),IFERROR(X684*VLOOKUP(G684,Tb_KostenTypen[],3,0)*VLOOKUP(F684,Tb_ProjectKosten[],MATCH(Tb_ProjectKosten[[#Headers],[Forfait_Percentage]],Tb_ProjectKosten[#Headers],0),0),""),X684 &lt;=0,0),"")</f>
        <v/>
      </c>
      <c r="AB684" s="314" t="str">
        <f t="shared" ca="1" si="43"/>
        <v/>
      </c>
      <c r="AC684" s="322"/>
      <c r="AD684" s="315"/>
      <c r="AE684" s="32" t="str" cm="1">
        <f t="array" ref="AE684">IFERROR(IF(INDEX(SubsidieTabel!$AD$1:$AG$12,MATCH($F684,SubsidieTabel!$AD$1:$AD$12,0),IFERROR(MATCH(Methode_Keuze,SubsidieTabel!$AD$1:$AG$1,0),2))&lt;&gt;1=TRUE,"ja",""),"")</f>
        <v/>
      </c>
    </row>
    <row r="685" spans="1:31" x14ac:dyDescent="0.25">
      <c r="A685" s="316"/>
      <c r="B685" s="317" t="str">
        <f>IF(A685&lt;&gt;"",_xlfn.MAXIFS($B$1:B684,$A$1:A684,A685)+1,"")</f>
        <v/>
      </c>
      <c r="C685" s="296"/>
      <c r="D685" s="296"/>
      <c r="E685" s="296"/>
      <c r="F685" s="296"/>
      <c r="G685" s="326"/>
      <c r="H685" s="324"/>
      <c r="I685" s="325"/>
      <c r="J685" s="325"/>
      <c r="K685" s="318"/>
      <c r="L685" s="318"/>
      <c r="M685" s="319" t="str">
        <f>IFERROR(VLOOKUP(H685,Lijsten!$H$1:$I$100,2,0),"")</f>
        <v/>
      </c>
      <c r="N685" s="319" t="str">
        <f ca="1">IFERROR(IF(VLOOKUP(F685,Kostentypen!$A$3:$E$21,3,0)=0,"",IF(OR(F685="Arbeidskosten",F685="Vergoeding"),VLOOKUP(G685,Tb_KostenTypen[],2,0),VLOOKUP(F685,Kostentypen!$A$3:$E$20,3,0))),"")</f>
        <v/>
      </c>
      <c r="O685" s="320" t="str" cm="1">
        <f t="array" ref="O685">_xlfn.IFNA(IF(INDEX(Tb_KostenOptiesDB[],MATCH($F685,Tb_KostenOptiesDB[KostenOptie],0),IFERROR(MATCH(Methode_Keuze,Tb_KostenOptiesDB[#Headers],0),2))=1,_xlfn.SWITCH($N685,"Uurtarief",IF(OR(AND(RIGHT($F685,3)="IKS",VLOOKUP($M685,DB_Loonkosten,2,0)="Ja"),AND(RIGHT($F685,3)&lt;&gt;"IKS",VLOOKUP($M685,DB_Loonkosten,2,0)="Nee")),IFERROR(VLOOKUP($M685,DB_Loonkosten,24,0),""),0),"Vast tarief",IF(LEFT(F685,8)="Bijdrage",VLOOKUP($F685,Tb_KostenTypen[],MATCH(Lijsten!$P$1,Tb_KostenTypen[#Headers],0),0),VLOOKUP($G685,Lijsten!L:P,MATCH(Lijsten!$P$1,Kop_Tarief_Vast,0),0))),""),"")</f>
        <v/>
      </c>
      <c r="P685" s="320" t="str" cm="1">
        <f t="array" ref="P685">_xlfn.IFNA(IF(INDEX(Tb_KostenOptiesDB[],MATCH($F685,Tb_KostenOptiesDB[KostenOptie],0),IFERROR(MATCH(Methode_Keuze,Tb_KostenOptiesDB[#Headers],0),2))=1,_xlfn.SWITCH($N685,"Uurtarief",IF(OR(AND(RIGHT($F685,3)="IKS",VLOOKUP($M685,DB_Loonkosten,2,0)="Ja"),AND(RIGHT($F685,3)&lt;&gt;"IKS",VLOOKUP($M685,DB_Loonkosten,2,0)="Nee")),IFERROR(VLOOKUP($M685,DB_Loonkosten,25,0),""),0),"Vast tarief",IF(LEFT(F685,8)="Bijdrage",VLOOKUP($F685,Tb_KostenTypen[],MATCH(Lijsten!$P$1,Tb_KostenTypen[#Headers],0),0),VLOOKUP($G685,Lijsten!L:P,MATCH(Lijsten!$P$1,Kop_Tarief_Vast,0),0))),""),"")</f>
        <v/>
      </c>
      <c r="Q685" s="359"/>
      <c r="R685" s="359"/>
      <c r="S685" s="321"/>
      <c r="T685" s="321"/>
      <c r="U685" s="373" t="str">
        <f t="shared" si="40"/>
        <v/>
      </c>
      <c r="V685" s="314" t="str">
        <f t="shared" si="41"/>
        <v/>
      </c>
      <c r="W685" s="314" t="str" cm="1">
        <f t="array" aca="1" ref="W685" ca="1">IFERROR(IF(AE685&lt;&gt;"ja",_xlfn.IFNA(_xlfn.IFS(AND(O685&lt;&gt;"",F685&lt;&gt;"",RIGHT($N685,6)="tarief",F685="Vergoeding"),SUM(O685)*FLOOR(SUM(Q685),0.0001),AND(O685&lt;&gt;"",F685&lt;&gt;"",RIGHT($N685,6)="tarief"),SUM(O685)*FLOOR(SUM(Q685),0.01),S685&gt;0,IF(F685&lt;&gt;"",FLOOR(SUM(S685),0.01),"")),""),""),"")</f>
        <v/>
      </c>
      <c r="X685" s="314" t="str" cm="1">
        <f t="array" aca="1" ref="X685" ca="1">IFERROR(IF(AE685&lt;&gt;"ja",_xlfn.IFNA(_xlfn.IFS(AND(P685&lt;&gt;"",R685&lt;&gt;"",RIGHT($N685,6)="tarief",F685="Vergoeding"),SUM(P685)*FLOOR(SUM(R685),0.0001),AND(P685&lt;&gt;"",R685&lt;&gt;"",RIGHT($N685,6)="tarief"),P685*FLOOR(R685,0.01),T685&gt;0,FLOOR(SUM(T685),0.01)),""),""),"")</f>
        <v/>
      </c>
      <c r="Y685" s="314" t="str">
        <f t="shared" ca="1" si="42"/>
        <v/>
      </c>
      <c r="Z685" s="314" t="str" cm="1">
        <f t="array" aca="1" ref="Z685" ca="1">IFERROR(_xlfn.IFS(OR(F685="",LEFT(Methode_Keuze,4)="Geen",Methode_Keuze=""),"",AND(W685&lt;&gt;"",F685&lt;&gt;"Arbeidskosten"),W685*VLOOKUP(F685,Tb_ProjectKosten[],MATCH(Tb_ProjectKosten[[#Headers],[Forfait_Percentage]],Tb_ProjectKosten[#Headers],0),0),AND(F685="Arbeidskosten",G685&lt;&gt;""),IFERROR(W685*VLOOKUP(G685,Tb_KostenTypen[],3,0)*VLOOKUP(F685,Tb_ProjectKosten[],MATCH(Tb_ProjectKosten[[#Headers],[Forfait_Percentage]],Tb_ProjectKosten[#Headers],0),0),""),W685 &lt;=0,0),"")</f>
        <v/>
      </c>
      <c r="AA685" s="314" t="str" cm="1">
        <f t="array" aca="1" ref="AA685" ca="1">IFERROR(_xlfn.IFS(OR(F685="",LEFT(Methode_Keuze,4)="Geen",Methode_Keuze=""),"",AND(X685&lt;&gt;"",F685&lt;&gt;"Arbeidskosten"),X685*VLOOKUP(F685,Tb_ProjectKosten[],MATCH(Tb_ProjectKosten[[#Headers],[Forfait_Percentage]],Tb_ProjectKosten[#Headers],0),0),AND(F685="Arbeidskosten",G685&lt;&gt;""),IFERROR(X685*VLOOKUP(G685,Tb_KostenTypen[],3,0)*VLOOKUP(F685,Tb_ProjectKosten[],MATCH(Tb_ProjectKosten[[#Headers],[Forfait_Percentage]],Tb_ProjectKosten[#Headers],0),0),""),X685 &lt;=0,0),"")</f>
        <v/>
      </c>
      <c r="AB685" s="314" t="str">
        <f t="shared" ca="1" si="43"/>
        <v/>
      </c>
      <c r="AC685" s="322"/>
      <c r="AD685" s="315"/>
      <c r="AE685" s="32" t="str" cm="1">
        <f t="array" ref="AE685">IFERROR(IF(INDEX(SubsidieTabel!$AD$1:$AG$12,MATCH($F685,SubsidieTabel!$AD$1:$AD$12,0),IFERROR(MATCH(Methode_Keuze,SubsidieTabel!$AD$1:$AG$1,0),2))&lt;&gt;1=TRUE,"ja",""),"")</f>
        <v/>
      </c>
    </row>
    <row r="686" spans="1:31" x14ac:dyDescent="0.25">
      <c r="A686" s="316"/>
      <c r="B686" s="317" t="str">
        <f>IF(A686&lt;&gt;"",_xlfn.MAXIFS($B$1:B685,$A$1:A685,A686)+1,"")</f>
        <v/>
      </c>
      <c r="C686" s="296"/>
      <c r="D686" s="296"/>
      <c r="E686" s="296"/>
      <c r="F686" s="296"/>
      <c r="G686" s="326"/>
      <c r="H686" s="324"/>
      <c r="I686" s="325"/>
      <c r="J686" s="325"/>
      <c r="K686" s="318"/>
      <c r="L686" s="318"/>
      <c r="M686" s="319" t="str">
        <f>IFERROR(VLOOKUP(H686,Lijsten!$H$1:$I$100,2,0),"")</f>
        <v/>
      </c>
      <c r="N686" s="319" t="str">
        <f ca="1">IFERROR(IF(VLOOKUP(F686,Kostentypen!$A$3:$E$21,3,0)=0,"",IF(OR(F686="Arbeidskosten",F686="Vergoeding"),VLOOKUP(G686,Tb_KostenTypen[],2,0),VLOOKUP(F686,Kostentypen!$A$3:$E$20,3,0))),"")</f>
        <v/>
      </c>
      <c r="O686" s="320" t="str" cm="1">
        <f t="array" ref="O686">_xlfn.IFNA(IF(INDEX(Tb_KostenOptiesDB[],MATCH($F686,Tb_KostenOptiesDB[KostenOptie],0),IFERROR(MATCH(Methode_Keuze,Tb_KostenOptiesDB[#Headers],0),2))=1,_xlfn.SWITCH($N686,"Uurtarief",IF(OR(AND(RIGHT($F686,3)="IKS",VLOOKUP($M686,DB_Loonkosten,2,0)="Ja"),AND(RIGHT($F686,3)&lt;&gt;"IKS",VLOOKUP($M686,DB_Loonkosten,2,0)="Nee")),IFERROR(VLOOKUP($M686,DB_Loonkosten,24,0),""),0),"Vast tarief",IF(LEFT(F686,8)="Bijdrage",VLOOKUP($F686,Tb_KostenTypen[],MATCH(Lijsten!$P$1,Tb_KostenTypen[#Headers],0),0),VLOOKUP($G686,Lijsten!L:P,MATCH(Lijsten!$P$1,Kop_Tarief_Vast,0),0))),""),"")</f>
        <v/>
      </c>
      <c r="P686" s="320" t="str" cm="1">
        <f t="array" ref="P686">_xlfn.IFNA(IF(INDEX(Tb_KostenOptiesDB[],MATCH($F686,Tb_KostenOptiesDB[KostenOptie],0),IFERROR(MATCH(Methode_Keuze,Tb_KostenOptiesDB[#Headers],0),2))=1,_xlfn.SWITCH($N686,"Uurtarief",IF(OR(AND(RIGHT($F686,3)="IKS",VLOOKUP($M686,DB_Loonkosten,2,0)="Ja"),AND(RIGHT($F686,3)&lt;&gt;"IKS",VLOOKUP($M686,DB_Loonkosten,2,0)="Nee")),IFERROR(VLOOKUP($M686,DB_Loonkosten,25,0),""),0),"Vast tarief",IF(LEFT(F686,8)="Bijdrage",VLOOKUP($F686,Tb_KostenTypen[],MATCH(Lijsten!$P$1,Tb_KostenTypen[#Headers],0),0),VLOOKUP($G686,Lijsten!L:P,MATCH(Lijsten!$P$1,Kop_Tarief_Vast,0),0))),""),"")</f>
        <v/>
      </c>
      <c r="Q686" s="359"/>
      <c r="R686" s="359"/>
      <c r="S686" s="321"/>
      <c r="T686" s="321"/>
      <c r="U686" s="373" t="str">
        <f t="shared" si="40"/>
        <v/>
      </c>
      <c r="V686" s="314" t="str">
        <f t="shared" si="41"/>
        <v/>
      </c>
      <c r="W686" s="314" t="str" cm="1">
        <f t="array" aca="1" ref="W686" ca="1">IFERROR(IF(AE686&lt;&gt;"ja",_xlfn.IFNA(_xlfn.IFS(AND(O686&lt;&gt;"",F686&lt;&gt;"",RIGHT($N686,6)="tarief",F686="Vergoeding"),SUM(O686)*FLOOR(SUM(Q686),0.0001),AND(O686&lt;&gt;"",F686&lt;&gt;"",RIGHT($N686,6)="tarief"),SUM(O686)*FLOOR(SUM(Q686),0.01),S686&gt;0,IF(F686&lt;&gt;"",FLOOR(SUM(S686),0.01),"")),""),""),"")</f>
        <v/>
      </c>
      <c r="X686" s="314" t="str" cm="1">
        <f t="array" aca="1" ref="X686" ca="1">IFERROR(IF(AE686&lt;&gt;"ja",_xlfn.IFNA(_xlfn.IFS(AND(P686&lt;&gt;"",R686&lt;&gt;"",RIGHT($N686,6)="tarief",F686="Vergoeding"),SUM(P686)*FLOOR(SUM(R686),0.0001),AND(P686&lt;&gt;"",R686&lt;&gt;"",RIGHT($N686,6)="tarief"),P686*FLOOR(R686,0.01),T686&gt;0,FLOOR(SUM(T686),0.01)),""),""),"")</f>
        <v/>
      </c>
      <c r="Y686" s="314" t="str">
        <f t="shared" ca="1" si="42"/>
        <v/>
      </c>
      <c r="Z686" s="314" t="str" cm="1">
        <f t="array" aca="1" ref="Z686" ca="1">IFERROR(_xlfn.IFS(OR(F686="",LEFT(Methode_Keuze,4)="Geen",Methode_Keuze=""),"",AND(W686&lt;&gt;"",F686&lt;&gt;"Arbeidskosten"),W686*VLOOKUP(F686,Tb_ProjectKosten[],MATCH(Tb_ProjectKosten[[#Headers],[Forfait_Percentage]],Tb_ProjectKosten[#Headers],0),0),AND(F686="Arbeidskosten",G686&lt;&gt;""),IFERROR(W686*VLOOKUP(G686,Tb_KostenTypen[],3,0)*VLOOKUP(F686,Tb_ProjectKosten[],MATCH(Tb_ProjectKosten[[#Headers],[Forfait_Percentage]],Tb_ProjectKosten[#Headers],0),0),""),W686 &lt;=0,0),"")</f>
        <v/>
      </c>
      <c r="AA686" s="314" t="str" cm="1">
        <f t="array" aca="1" ref="AA686" ca="1">IFERROR(_xlfn.IFS(OR(F686="",LEFT(Methode_Keuze,4)="Geen",Methode_Keuze=""),"",AND(X686&lt;&gt;"",F686&lt;&gt;"Arbeidskosten"),X686*VLOOKUP(F686,Tb_ProjectKosten[],MATCH(Tb_ProjectKosten[[#Headers],[Forfait_Percentage]],Tb_ProjectKosten[#Headers],0),0),AND(F686="Arbeidskosten",G686&lt;&gt;""),IFERROR(X686*VLOOKUP(G686,Tb_KostenTypen[],3,0)*VLOOKUP(F686,Tb_ProjectKosten[],MATCH(Tb_ProjectKosten[[#Headers],[Forfait_Percentage]],Tb_ProjectKosten[#Headers],0),0),""),X686 &lt;=0,0),"")</f>
        <v/>
      </c>
      <c r="AB686" s="314" t="str">
        <f t="shared" ca="1" si="43"/>
        <v/>
      </c>
      <c r="AC686" s="322"/>
      <c r="AD686" s="315"/>
      <c r="AE686" s="32" t="str" cm="1">
        <f t="array" ref="AE686">IFERROR(IF(INDEX(SubsidieTabel!$AD$1:$AG$12,MATCH($F686,SubsidieTabel!$AD$1:$AD$12,0),IFERROR(MATCH(Methode_Keuze,SubsidieTabel!$AD$1:$AG$1,0),2))&lt;&gt;1=TRUE,"ja",""),"")</f>
        <v/>
      </c>
    </row>
    <row r="687" spans="1:31" x14ac:dyDescent="0.25">
      <c r="A687" s="316"/>
      <c r="B687" s="317" t="str">
        <f>IF(A687&lt;&gt;"",_xlfn.MAXIFS($B$1:B686,$A$1:A686,A687)+1,"")</f>
        <v/>
      </c>
      <c r="C687" s="296"/>
      <c r="D687" s="296"/>
      <c r="E687" s="296"/>
      <c r="F687" s="296"/>
      <c r="G687" s="326"/>
      <c r="H687" s="324"/>
      <c r="I687" s="325"/>
      <c r="J687" s="325"/>
      <c r="K687" s="318"/>
      <c r="L687" s="318"/>
      <c r="M687" s="319" t="str">
        <f>IFERROR(VLOOKUP(H687,Lijsten!$H$1:$I$100,2,0),"")</f>
        <v/>
      </c>
      <c r="N687" s="319" t="str">
        <f ca="1">IFERROR(IF(VLOOKUP(F687,Kostentypen!$A$3:$E$21,3,0)=0,"",IF(OR(F687="Arbeidskosten",F687="Vergoeding"),VLOOKUP(G687,Tb_KostenTypen[],2,0),VLOOKUP(F687,Kostentypen!$A$3:$E$20,3,0))),"")</f>
        <v/>
      </c>
      <c r="O687" s="320" t="str" cm="1">
        <f t="array" ref="O687">_xlfn.IFNA(IF(INDEX(Tb_KostenOptiesDB[],MATCH($F687,Tb_KostenOptiesDB[KostenOptie],0),IFERROR(MATCH(Methode_Keuze,Tb_KostenOptiesDB[#Headers],0),2))=1,_xlfn.SWITCH($N687,"Uurtarief",IF(OR(AND(RIGHT($F687,3)="IKS",VLOOKUP($M687,DB_Loonkosten,2,0)="Ja"),AND(RIGHT($F687,3)&lt;&gt;"IKS",VLOOKUP($M687,DB_Loonkosten,2,0)="Nee")),IFERROR(VLOOKUP($M687,DB_Loonkosten,24,0),""),0),"Vast tarief",IF(LEFT(F687,8)="Bijdrage",VLOOKUP($F687,Tb_KostenTypen[],MATCH(Lijsten!$P$1,Tb_KostenTypen[#Headers],0),0),VLOOKUP($G687,Lijsten!L:P,MATCH(Lijsten!$P$1,Kop_Tarief_Vast,0),0))),""),"")</f>
        <v/>
      </c>
      <c r="P687" s="320" t="str" cm="1">
        <f t="array" ref="P687">_xlfn.IFNA(IF(INDEX(Tb_KostenOptiesDB[],MATCH($F687,Tb_KostenOptiesDB[KostenOptie],0),IFERROR(MATCH(Methode_Keuze,Tb_KostenOptiesDB[#Headers],0),2))=1,_xlfn.SWITCH($N687,"Uurtarief",IF(OR(AND(RIGHT($F687,3)="IKS",VLOOKUP($M687,DB_Loonkosten,2,0)="Ja"),AND(RIGHT($F687,3)&lt;&gt;"IKS",VLOOKUP($M687,DB_Loonkosten,2,0)="Nee")),IFERROR(VLOOKUP($M687,DB_Loonkosten,25,0),""),0),"Vast tarief",IF(LEFT(F687,8)="Bijdrage",VLOOKUP($F687,Tb_KostenTypen[],MATCH(Lijsten!$P$1,Tb_KostenTypen[#Headers],0),0),VLOOKUP($G687,Lijsten!L:P,MATCH(Lijsten!$P$1,Kop_Tarief_Vast,0),0))),""),"")</f>
        <v/>
      </c>
      <c r="Q687" s="359"/>
      <c r="R687" s="359"/>
      <c r="S687" s="321"/>
      <c r="T687" s="321"/>
      <c r="U687" s="373" t="str">
        <f t="shared" si="40"/>
        <v/>
      </c>
      <c r="V687" s="314" t="str">
        <f t="shared" si="41"/>
        <v/>
      </c>
      <c r="W687" s="314" t="str" cm="1">
        <f t="array" aca="1" ref="W687" ca="1">IFERROR(IF(AE687&lt;&gt;"ja",_xlfn.IFNA(_xlfn.IFS(AND(O687&lt;&gt;"",F687&lt;&gt;"",RIGHT($N687,6)="tarief",F687="Vergoeding"),SUM(O687)*FLOOR(SUM(Q687),0.0001),AND(O687&lt;&gt;"",F687&lt;&gt;"",RIGHT($N687,6)="tarief"),SUM(O687)*FLOOR(SUM(Q687),0.01),S687&gt;0,IF(F687&lt;&gt;"",FLOOR(SUM(S687),0.01),"")),""),""),"")</f>
        <v/>
      </c>
      <c r="X687" s="314" t="str" cm="1">
        <f t="array" aca="1" ref="X687" ca="1">IFERROR(IF(AE687&lt;&gt;"ja",_xlfn.IFNA(_xlfn.IFS(AND(P687&lt;&gt;"",R687&lt;&gt;"",RIGHT($N687,6)="tarief",F687="Vergoeding"),SUM(P687)*FLOOR(SUM(R687),0.0001),AND(P687&lt;&gt;"",R687&lt;&gt;"",RIGHT($N687,6)="tarief"),P687*FLOOR(R687,0.01),T687&gt;0,FLOOR(SUM(T687),0.01)),""),""),"")</f>
        <v/>
      </c>
      <c r="Y687" s="314" t="str">
        <f t="shared" ca="1" si="42"/>
        <v/>
      </c>
      <c r="Z687" s="314" t="str" cm="1">
        <f t="array" aca="1" ref="Z687" ca="1">IFERROR(_xlfn.IFS(OR(F687="",LEFT(Methode_Keuze,4)="Geen",Methode_Keuze=""),"",AND(W687&lt;&gt;"",F687&lt;&gt;"Arbeidskosten"),W687*VLOOKUP(F687,Tb_ProjectKosten[],MATCH(Tb_ProjectKosten[[#Headers],[Forfait_Percentage]],Tb_ProjectKosten[#Headers],0),0),AND(F687="Arbeidskosten",G687&lt;&gt;""),IFERROR(W687*VLOOKUP(G687,Tb_KostenTypen[],3,0)*VLOOKUP(F687,Tb_ProjectKosten[],MATCH(Tb_ProjectKosten[[#Headers],[Forfait_Percentage]],Tb_ProjectKosten[#Headers],0),0),""),W687 &lt;=0,0),"")</f>
        <v/>
      </c>
      <c r="AA687" s="314" t="str" cm="1">
        <f t="array" aca="1" ref="AA687" ca="1">IFERROR(_xlfn.IFS(OR(F687="",LEFT(Methode_Keuze,4)="Geen",Methode_Keuze=""),"",AND(X687&lt;&gt;"",F687&lt;&gt;"Arbeidskosten"),X687*VLOOKUP(F687,Tb_ProjectKosten[],MATCH(Tb_ProjectKosten[[#Headers],[Forfait_Percentage]],Tb_ProjectKosten[#Headers],0),0),AND(F687="Arbeidskosten",G687&lt;&gt;""),IFERROR(X687*VLOOKUP(G687,Tb_KostenTypen[],3,0)*VLOOKUP(F687,Tb_ProjectKosten[],MATCH(Tb_ProjectKosten[[#Headers],[Forfait_Percentage]],Tb_ProjectKosten[#Headers],0),0),""),X687 &lt;=0,0),"")</f>
        <v/>
      </c>
      <c r="AB687" s="314" t="str">
        <f t="shared" ca="1" si="43"/>
        <v/>
      </c>
      <c r="AC687" s="322"/>
      <c r="AD687" s="315"/>
      <c r="AE687" s="32" t="str" cm="1">
        <f t="array" ref="AE687">IFERROR(IF(INDEX(SubsidieTabel!$AD$1:$AG$12,MATCH($F687,SubsidieTabel!$AD$1:$AD$12,0),IFERROR(MATCH(Methode_Keuze,SubsidieTabel!$AD$1:$AG$1,0),2))&lt;&gt;1=TRUE,"ja",""),"")</f>
        <v/>
      </c>
    </row>
    <row r="688" spans="1:31" x14ac:dyDescent="0.25">
      <c r="A688" s="316"/>
      <c r="B688" s="317" t="str">
        <f>IF(A688&lt;&gt;"",_xlfn.MAXIFS($B$1:B687,$A$1:A687,A688)+1,"")</f>
        <v/>
      </c>
      <c r="C688" s="296"/>
      <c r="D688" s="296"/>
      <c r="E688" s="296"/>
      <c r="F688" s="296"/>
      <c r="G688" s="326"/>
      <c r="H688" s="324"/>
      <c r="I688" s="325"/>
      <c r="J688" s="325"/>
      <c r="K688" s="318"/>
      <c r="L688" s="318"/>
      <c r="M688" s="319" t="str">
        <f>IFERROR(VLOOKUP(H688,Lijsten!$H$1:$I$100,2,0),"")</f>
        <v/>
      </c>
      <c r="N688" s="319" t="str">
        <f ca="1">IFERROR(IF(VLOOKUP(F688,Kostentypen!$A$3:$E$21,3,0)=0,"",IF(OR(F688="Arbeidskosten",F688="Vergoeding"),VLOOKUP(G688,Tb_KostenTypen[],2,0),VLOOKUP(F688,Kostentypen!$A$3:$E$20,3,0))),"")</f>
        <v/>
      </c>
      <c r="O688" s="320" t="str" cm="1">
        <f t="array" ref="O688">_xlfn.IFNA(IF(INDEX(Tb_KostenOptiesDB[],MATCH($F688,Tb_KostenOptiesDB[KostenOptie],0),IFERROR(MATCH(Methode_Keuze,Tb_KostenOptiesDB[#Headers],0),2))=1,_xlfn.SWITCH($N688,"Uurtarief",IF(OR(AND(RIGHT($F688,3)="IKS",VLOOKUP($M688,DB_Loonkosten,2,0)="Ja"),AND(RIGHT($F688,3)&lt;&gt;"IKS",VLOOKUP($M688,DB_Loonkosten,2,0)="Nee")),IFERROR(VLOOKUP($M688,DB_Loonkosten,24,0),""),0),"Vast tarief",IF(LEFT(F688,8)="Bijdrage",VLOOKUP($F688,Tb_KostenTypen[],MATCH(Lijsten!$P$1,Tb_KostenTypen[#Headers],0),0),VLOOKUP($G688,Lijsten!L:P,MATCH(Lijsten!$P$1,Kop_Tarief_Vast,0),0))),""),"")</f>
        <v/>
      </c>
      <c r="P688" s="320" t="str" cm="1">
        <f t="array" ref="P688">_xlfn.IFNA(IF(INDEX(Tb_KostenOptiesDB[],MATCH($F688,Tb_KostenOptiesDB[KostenOptie],0),IFERROR(MATCH(Methode_Keuze,Tb_KostenOptiesDB[#Headers],0),2))=1,_xlfn.SWITCH($N688,"Uurtarief",IF(OR(AND(RIGHT($F688,3)="IKS",VLOOKUP($M688,DB_Loonkosten,2,0)="Ja"),AND(RIGHT($F688,3)&lt;&gt;"IKS",VLOOKUP($M688,DB_Loonkosten,2,0)="Nee")),IFERROR(VLOOKUP($M688,DB_Loonkosten,25,0),""),0),"Vast tarief",IF(LEFT(F688,8)="Bijdrage",VLOOKUP($F688,Tb_KostenTypen[],MATCH(Lijsten!$P$1,Tb_KostenTypen[#Headers],0),0),VLOOKUP($G688,Lijsten!L:P,MATCH(Lijsten!$P$1,Kop_Tarief_Vast,0),0))),""),"")</f>
        <v/>
      </c>
      <c r="Q688" s="359"/>
      <c r="R688" s="359"/>
      <c r="S688" s="321"/>
      <c r="T688" s="321"/>
      <c r="U688" s="373" t="str">
        <f t="shared" si="40"/>
        <v/>
      </c>
      <c r="V688" s="314" t="str">
        <f t="shared" si="41"/>
        <v/>
      </c>
      <c r="W688" s="314" t="str" cm="1">
        <f t="array" aca="1" ref="W688" ca="1">IFERROR(IF(AE688&lt;&gt;"ja",_xlfn.IFNA(_xlfn.IFS(AND(O688&lt;&gt;"",F688&lt;&gt;"",RIGHT($N688,6)="tarief",F688="Vergoeding"),SUM(O688)*FLOOR(SUM(Q688),0.0001),AND(O688&lt;&gt;"",F688&lt;&gt;"",RIGHT($N688,6)="tarief"),SUM(O688)*FLOOR(SUM(Q688),0.01),S688&gt;0,IF(F688&lt;&gt;"",FLOOR(SUM(S688),0.01),"")),""),""),"")</f>
        <v/>
      </c>
      <c r="X688" s="314" t="str" cm="1">
        <f t="array" aca="1" ref="X688" ca="1">IFERROR(IF(AE688&lt;&gt;"ja",_xlfn.IFNA(_xlfn.IFS(AND(P688&lt;&gt;"",R688&lt;&gt;"",RIGHT($N688,6)="tarief",F688="Vergoeding"),SUM(P688)*FLOOR(SUM(R688),0.0001),AND(P688&lt;&gt;"",R688&lt;&gt;"",RIGHT($N688,6)="tarief"),P688*FLOOR(R688,0.01),T688&gt;0,FLOOR(SUM(T688),0.01)),""),""),"")</f>
        <v/>
      </c>
      <c r="Y688" s="314" t="str">
        <f t="shared" ca="1" si="42"/>
        <v/>
      </c>
      <c r="Z688" s="314" t="str" cm="1">
        <f t="array" aca="1" ref="Z688" ca="1">IFERROR(_xlfn.IFS(OR(F688="",LEFT(Methode_Keuze,4)="Geen",Methode_Keuze=""),"",AND(W688&lt;&gt;"",F688&lt;&gt;"Arbeidskosten"),W688*VLOOKUP(F688,Tb_ProjectKosten[],MATCH(Tb_ProjectKosten[[#Headers],[Forfait_Percentage]],Tb_ProjectKosten[#Headers],0),0),AND(F688="Arbeidskosten",G688&lt;&gt;""),IFERROR(W688*VLOOKUP(G688,Tb_KostenTypen[],3,0)*VLOOKUP(F688,Tb_ProjectKosten[],MATCH(Tb_ProjectKosten[[#Headers],[Forfait_Percentage]],Tb_ProjectKosten[#Headers],0),0),""),W688 &lt;=0,0),"")</f>
        <v/>
      </c>
      <c r="AA688" s="314" t="str" cm="1">
        <f t="array" aca="1" ref="AA688" ca="1">IFERROR(_xlfn.IFS(OR(F688="",LEFT(Methode_Keuze,4)="Geen",Methode_Keuze=""),"",AND(X688&lt;&gt;"",F688&lt;&gt;"Arbeidskosten"),X688*VLOOKUP(F688,Tb_ProjectKosten[],MATCH(Tb_ProjectKosten[[#Headers],[Forfait_Percentage]],Tb_ProjectKosten[#Headers],0),0),AND(F688="Arbeidskosten",G688&lt;&gt;""),IFERROR(X688*VLOOKUP(G688,Tb_KostenTypen[],3,0)*VLOOKUP(F688,Tb_ProjectKosten[],MATCH(Tb_ProjectKosten[[#Headers],[Forfait_Percentage]],Tb_ProjectKosten[#Headers],0),0),""),X688 &lt;=0,0),"")</f>
        <v/>
      </c>
      <c r="AB688" s="314" t="str">
        <f t="shared" ca="1" si="43"/>
        <v/>
      </c>
      <c r="AC688" s="322"/>
      <c r="AD688" s="315"/>
      <c r="AE688" s="32" t="str" cm="1">
        <f t="array" ref="AE688">IFERROR(IF(INDEX(SubsidieTabel!$AD$1:$AG$12,MATCH($F688,SubsidieTabel!$AD$1:$AD$12,0),IFERROR(MATCH(Methode_Keuze,SubsidieTabel!$AD$1:$AG$1,0),2))&lt;&gt;1=TRUE,"ja",""),"")</f>
        <v/>
      </c>
    </row>
    <row r="689" spans="1:31" x14ac:dyDescent="0.25">
      <c r="A689" s="316"/>
      <c r="B689" s="317" t="str">
        <f>IF(A689&lt;&gt;"",_xlfn.MAXIFS($B$1:B688,$A$1:A688,A689)+1,"")</f>
        <v/>
      </c>
      <c r="C689" s="296"/>
      <c r="D689" s="296"/>
      <c r="E689" s="296"/>
      <c r="F689" s="296"/>
      <c r="G689" s="326"/>
      <c r="H689" s="324"/>
      <c r="I689" s="325"/>
      <c r="J689" s="325"/>
      <c r="K689" s="318"/>
      <c r="L689" s="318"/>
      <c r="M689" s="319" t="str">
        <f>IFERROR(VLOOKUP(H689,Lijsten!$H$1:$I$100,2,0),"")</f>
        <v/>
      </c>
      <c r="N689" s="319" t="str">
        <f ca="1">IFERROR(IF(VLOOKUP(F689,Kostentypen!$A$3:$E$21,3,0)=0,"",IF(OR(F689="Arbeidskosten",F689="Vergoeding"),VLOOKUP(G689,Tb_KostenTypen[],2,0),VLOOKUP(F689,Kostentypen!$A$3:$E$20,3,0))),"")</f>
        <v/>
      </c>
      <c r="O689" s="320" t="str" cm="1">
        <f t="array" ref="O689">_xlfn.IFNA(IF(INDEX(Tb_KostenOptiesDB[],MATCH($F689,Tb_KostenOptiesDB[KostenOptie],0),IFERROR(MATCH(Methode_Keuze,Tb_KostenOptiesDB[#Headers],0),2))=1,_xlfn.SWITCH($N689,"Uurtarief",IF(OR(AND(RIGHT($F689,3)="IKS",VLOOKUP($M689,DB_Loonkosten,2,0)="Ja"),AND(RIGHT($F689,3)&lt;&gt;"IKS",VLOOKUP($M689,DB_Loonkosten,2,0)="Nee")),IFERROR(VLOOKUP($M689,DB_Loonkosten,24,0),""),0),"Vast tarief",IF(LEFT(F689,8)="Bijdrage",VLOOKUP($F689,Tb_KostenTypen[],MATCH(Lijsten!$P$1,Tb_KostenTypen[#Headers],0),0),VLOOKUP($G689,Lijsten!L:P,MATCH(Lijsten!$P$1,Kop_Tarief_Vast,0),0))),""),"")</f>
        <v/>
      </c>
      <c r="P689" s="320" t="str" cm="1">
        <f t="array" ref="P689">_xlfn.IFNA(IF(INDEX(Tb_KostenOptiesDB[],MATCH($F689,Tb_KostenOptiesDB[KostenOptie],0),IFERROR(MATCH(Methode_Keuze,Tb_KostenOptiesDB[#Headers],0),2))=1,_xlfn.SWITCH($N689,"Uurtarief",IF(OR(AND(RIGHT($F689,3)="IKS",VLOOKUP($M689,DB_Loonkosten,2,0)="Ja"),AND(RIGHT($F689,3)&lt;&gt;"IKS",VLOOKUP($M689,DB_Loonkosten,2,0)="Nee")),IFERROR(VLOOKUP($M689,DB_Loonkosten,25,0),""),0),"Vast tarief",IF(LEFT(F689,8)="Bijdrage",VLOOKUP($F689,Tb_KostenTypen[],MATCH(Lijsten!$P$1,Tb_KostenTypen[#Headers],0),0),VLOOKUP($G689,Lijsten!L:P,MATCH(Lijsten!$P$1,Kop_Tarief_Vast,0),0))),""),"")</f>
        <v/>
      </c>
      <c r="Q689" s="359"/>
      <c r="R689" s="359"/>
      <c r="S689" s="321"/>
      <c r="T689" s="321"/>
      <c r="U689" s="373" t="str">
        <f t="shared" si="40"/>
        <v/>
      </c>
      <c r="V689" s="314" t="str">
        <f t="shared" si="41"/>
        <v/>
      </c>
      <c r="W689" s="314" t="str" cm="1">
        <f t="array" aca="1" ref="W689" ca="1">IFERROR(IF(AE689&lt;&gt;"ja",_xlfn.IFNA(_xlfn.IFS(AND(O689&lt;&gt;"",F689&lt;&gt;"",RIGHT($N689,6)="tarief",F689="Vergoeding"),SUM(O689)*FLOOR(SUM(Q689),0.0001),AND(O689&lt;&gt;"",F689&lt;&gt;"",RIGHT($N689,6)="tarief"),SUM(O689)*FLOOR(SUM(Q689),0.01),S689&gt;0,IF(F689&lt;&gt;"",FLOOR(SUM(S689),0.01),"")),""),""),"")</f>
        <v/>
      </c>
      <c r="X689" s="314" t="str" cm="1">
        <f t="array" aca="1" ref="X689" ca="1">IFERROR(IF(AE689&lt;&gt;"ja",_xlfn.IFNA(_xlfn.IFS(AND(P689&lt;&gt;"",R689&lt;&gt;"",RIGHT($N689,6)="tarief",F689="Vergoeding"),SUM(P689)*FLOOR(SUM(R689),0.0001),AND(P689&lt;&gt;"",R689&lt;&gt;"",RIGHT($N689,6)="tarief"),P689*FLOOR(R689,0.01),T689&gt;0,FLOOR(SUM(T689),0.01)),""),""),"")</f>
        <v/>
      </c>
      <c r="Y689" s="314" t="str">
        <f t="shared" ca="1" si="42"/>
        <v/>
      </c>
      <c r="Z689" s="314" t="str" cm="1">
        <f t="array" aca="1" ref="Z689" ca="1">IFERROR(_xlfn.IFS(OR(F689="",LEFT(Methode_Keuze,4)="Geen",Methode_Keuze=""),"",AND(W689&lt;&gt;"",F689&lt;&gt;"Arbeidskosten"),W689*VLOOKUP(F689,Tb_ProjectKosten[],MATCH(Tb_ProjectKosten[[#Headers],[Forfait_Percentage]],Tb_ProjectKosten[#Headers],0),0),AND(F689="Arbeidskosten",G689&lt;&gt;""),IFERROR(W689*VLOOKUP(G689,Tb_KostenTypen[],3,0)*VLOOKUP(F689,Tb_ProjectKosten[],MATCH(Tb_ProjectKosten[[#Headers],[Forfait_Percentage]],Tb_ProjectKosten[#Headers],0),0),""),W689 &lt;=0,0),"")</f>
        <v/>
      </c>
      <c r="AA689" s="314" t="str" cm="1">
        <f t="array" aca="1" ref="AA689" ca="1">IFERROR(_xlfn.IFS(OR(F689="",LEFT(Methode_Keuze,4)="Geen",Methode_Keuze=""),"",AND(X689&lt;&gt;"",F689&lt;&gt;"Arbeidskosten"),X689*VLOOKUP(F689,Tb_ProjectKosten[],MATCH(Tb_ProjectKosten[[#Headers],[Forfait_Percentage]],Tb_ProjectKosten[#Headers],0),0),AND(F689="Arbeidskosten",G689&lt;&gt;""),IFERROR(X689*VLOOKUP(G689,Tb_KostenTypen[],3,0)*VLOOKUP(F689,Tb_ProjectKosten[],MATCH(Tb_ProjectKosten[[#Headers],[Forfait_Percentage]],Tb_ProjectKosten[#Headers],0),0),""),X689 &lt;=0,0),"")</f>
        <v/>
      </c>
      <c r="AB689" s="314" t="str">
        <f t="shared" ca="1" si="43"/>
        <v/>
      </c>
      <c r="AC689" s="322"/>
      <c r="AD689" s="315"/>
      <c r="AE689" s="32" t="str" cm="1">
        <f t="array" ref="AE689">IFERROR(IF(INDEX(SubsidieTabel!$AD$1:$AG$12,MATCH($F689,SubsidieTabel!$AD$1:$AD$12,0),IFERROR(MATCH(Methode_Keuze,SubsidieTabel!$AD$1:$AG$1,0),2))&lt;&gt;1=TRUE,"ja",""),"")</f>
        <v/>
      </c>
    </row>
    <row r="690" spans="1:31" x14ac:dyDescent="0.25">
      <c r="A690" s="316"/>
      <c r="B690" s="317" t="str">
        <f>IF(A690&lt;&gt;"",_xlfn.MAXIFS($B$1:B689,$A$1:A689,A690)+1,"")</f>
        <v/>
      </c>
      <c r="C690" s="296"/>
      <c r="D690" s="296"/>
      <c r="E690" s="296"/>
      <c r="F690" s="296"/>
      <c r="G690" s="326"/>
      <c r="H690" s="324"/>
      <c r="I690" s="325"/>
      <c r="J690" s="325"/>
      <c r="K690" s="318"/>
      <c r="L690" s="318"/>
      <c r="M690" s="319" t="str">
        <f>IFERROR(VLOOKUP(H690,Lijsten!$H$1:$I$100,2,0),"")</f>
        <v/>
      </c>
      <c r="N690" s="319" t="str">
        <f ca="1">IFERROR(IF(VLOOKUP(F690,Kostentypen!$A$3:$E$21,3,0)=0,"",IF(OR(F690="Arbeidskosten",F690="Vergoeding"),VLOOKUP(G690,Tb_KostenTypen[],2,0),VLOOKUP(F690,Kostentypen!$A$3:$E$20,3,0))),"")</f>
        <v/>
      </c>
      <c r="O690" s="320" t="str" cm="1">
        <f t="array" ref="O690">_xlfn.IFNA(IF(INDEX(Tb_KostenOptiesDB[],MATCH($F690,Tb_KostenOptiesDB[KostenOptie],0),IFERROR(MATCH(Methode_Keuze,Tb_KostenOptiesDB[#Headers],0),2))=1,_xlfn.SWITCH($N690,"Uurtarief",IF(OR(AND(RIGHT($F690,3)="IKS",VLOOKUP($M690,DB_Loonkosten,2,0)="Ja"),AND(RIGHT($F690,3)&lt;&gt;"IKS",VLOOKUP($M690,DB_Loonkosten,2,0)="Nee")),IFERROR(VLOOKUP($M690,DB_Loonkosten,24,0),""),0),"Vast tarief",IF(LEFT(F690,8)="Bijdrage",VLOOKUP($F690,Tb_KostenTypen[],MATCH(Lijsten!$P$1,Tb_KostenTypen[#Headers],0),0),VLOOKUP($G690,Lijsten!L:P,MATCH(Lijsten!$P$1,Kop_Tarief_Vast,0),0))),""),"")</f>
        <v/>
      </c>
      <c r="P690" s="320" t="str" cm="1">
        <f t="array" ref="P690">_xlfn.IFNA(IF(INDEX(Tb_KostenOptiesDB[],MATCH($F690,Tb_KostenOptiesDB[KostenOptie],0),IFERROR(MATCH(Methode_Keuze,Tb_KostenOptiesDB[#Headers],0),2))=1,_xlfn.SWITCH($N690,"Uurtarief",IF(OR(AND(RIGHT($F690,3)="IKS",VLOOKUP($M690,DB_Loonkosten,2,0)="Ja"),AND(RIGHT($F690,3)&lt;&gt;"IKS",VLOOKUP($M690,DB_Loonkosten,2,0)="Nee")),IFERROR(VLOOKUP($M690,DB_Loonkosten,25,0),""),0),"Vast tarief",IF(LEFT(F690,8)="Bijdrage",VLOOKUP($F690,Tb_KostenTypen[],MATCH(Lijsten!$P$1,Tb_KostenTypen[#Headers],0),0),VLOOKUP($G690,Lijsten!L:P,MATCH(Lijsten!$P$1,Kop_Tarief_Vast,0),0))),""),"")</f>
        <v/>
      </c>
      <c r="Q690" s="359"/>
      <c r="R690" s="359"/>
      <c r="S690" s="321"/>
      <c r="T690" s="321"/>
      <c r="U690" s="373" t="str">
        <f t="shared" si="40"/>
        <v/>
      </c>
      <c r="V690" s="314" t="str">
        <f t="shared" si="41"/>
        <v/>
      </c>
      <c r="W690" s="314" t="str" cm="1">
        <f t="array" aca="1" ref="W690" ca="1">IFERROR(IF(AE690&lt;&gt;"ja",_xlfn.IFNA(_xlfn.IFS(AND(O690&lt;&gt;"",F690&lt;&gt;"",RIGHT($N690,6)="tarief",F690="Vergoeding"),SUM(O690)*FLOOR(SUM(Q690),0.0001),AND(O690&lt;&gt;"",F690&lt;&gt;"",RIGHT($N690,6)="tarief"),SUM(O690)*FLOOR(SUM(Q690),0.01),S690&gt;0,IF(F690&lt;&gt;"",FLOOR(SUM(S690),0.01),"")),""),""),"")</f>
        <v/>
      </c>
      <c r="X690" s="314" t="str" cm="1">
        <f t="array" aca="1" ref="X690" ca="1">IFERROR(IF(AE690&lt;&gt;"ja",_xlfn.IFNA(_xlfn.IFS(AND(P690&lt;&gt;"",R690&lt;&gt;"",RIGHT($N690,6)="tarief",F690="Vergoeding"),SUM(P690)*FLOOR(SUM(R690),0.0001),AND(P690&lt;&gt;"",R690&lt;&gt;"",RIGHT($N690,6)="tarief"),P690*FLOOR(R690,0.01),T690&gt;0,FLOOR(SUM(T690),0.01)),""),""),"")</f>
        <v/>
      </c>
      <c r="Y690" s="314" t="str">
        <f t="shared" ca="1" si="42"/>
        <v/>
      </c>
      <c r="Z690" s="314" t="str" cm="1">
        <f t="array" aca="1" ref="Z690" ca="1">IFERROR(_xlfn.IFS(OR(F690="",LEFT(Methode_Keuze,4)="Geen",Methode_Keuze=""),"",AND(W690&lt;&gt;"",F690&lt;&gt;"Arbeidskosten"),W690*VLOOKUP(F690,Tb_ProjectKosten[],MATCH(Tb_ProjectKosten[[#Headers],[Forfait_Percentage]],Tb_ProjectKosten[#Headers],0),0),AND(F690="Arbeidskosten",G690&lt;&gt;""),IFERROR(W690*VLOOKUP(G690,Tb_KostenTypen[],3,0)*VLOOKUP(F690,Tb_ProjectKosten[],MATCH(Tb_ProjectKosten[[#Headers],[Forfait_Percentage]],Tb_ProjectKosten[#Headers],0),0),""),W690 &lt;=0,0),"")</f>
        <v/>
      </c>
      <c r="AA690" s="314" t="str" cm="1">
        <f t="array" aca="1" ref="AA690" ca="1">IFERROR(_xlfn.IFS(OR(F690="",LEFT(Methode_Keuze,4)="Geen",Methode_Keuze=""),"",AND(X690&lt;&gt;"",F690&lt;&gt;"Arbeidskosten"),X690*VLOOKUP(F690,Tb_ProjectKosten[],MATCH(Tb_ProjectKosten[[#Headers],[Forfait_Percentage]],Tb_ProjectKosten[#Headers],0),0),AND(F690="Arbeidskosten",G690&lt;&gt;""),IFERROR(X690*VLOOKUP(G690,Tb_KostenTypen[],3,0)*VLOOKUP(F690,Tb_ProjectKosten[],MATCH(Tb_ProjectKosten[[#Headers],[Forfait_Percentage]],Tb_ProjectKosten[#Headers],0),0),""),X690 &lt;=0,0),"")</f>
        <v/>
      </c>
      <c r="AB690" s="314" t="str">
        <f t="shared" ca="1" si="43"/>
        <v/>
      </c>
      <c r="AC690" s="322"/>
      <c r="AD690" s="315"/>
      <c r="AE690" s="32" t="str" cm="1">
        <f t="array" ref="AE690">IFERROR(IF(INDEX(SubsidieTabel!$AD$1:$AG$12,MATCH($F690,SubsidieTabel!$AD$1:$AD$12,0),IFERROR(MATCH(Methode_Keuze,SubsidieTabel!$AD$1:$AG$1,0),2))&lt;&gt;1=TRUE,"ja",""),"")</f>
        <v/>
      </c>
    </row>
    <row r="691" spans="1:31" x14ac:dyDescent="0.25">
      <c r="A691" s="316"/>
      <c r="B691" s="317" t="str">
        <f>IF(A691&lt;&gt;"",_xlfn.MAXIFS($B$1:B690,$A$1:A690,A691)+1,"")</f>
        <v/>
      </c>
      <c r="C691" s="296"/>
      <c r="D691" s="296"/>
      <c r="E691" s="296"/>
      <c r="F691" s="296"/>
      <c r="G691" s="326"/>
      <c r="H691" s="324"/>
      <c r="I691" s="325"/>
      <c r="J691" s="325"/>
      <c r="K691" s="318"/>
      <c r="L691" s="318"/>
      <c r="M691" s="319" t="str">
        <f>IFERROR(VLOOKUP(H691,Lijsten!$H$1:$I$100,2,0),"")</f>
        <v/>
      </c>
      <c r="N691" s="319" t="str">
        <f ca="1">IFERROR(IF(VLOOKUP(F691,Kostentypen!$A$3:$E$21,3,0)=0,"",IF(OR(F691="Arbeidskosten",F691="Vergoeding"),VLOOKUP(G691,Tb_KostenTypen[],2,0),VLOOKUP(F691,Kostentypen!$A$3:$E$20,3,0))),"")</f>
        <v/>
      </c>
      <c r="O691" s="320" t="str" cm="1">
        <f t="array" ref="O691">_xlfn.IFNA(IF(INDEX(Tb_KostenOptiesDB[],MATCH($F691,Tb_KostenOptiesDB[KostenOptie],0),IFERROR(MATCH(Methode_Keuze,Tb_KostenOptiesDB[#Headers],0),2))=1,_xlfn.SWITCH($N691,"Uurtarief",IF(OR(AND(RIGHT($F691,3)="IKS",VLOOKUP($M691,DB_Loonkosten,2,0)="Ja"),AND(RIGHT($F691,3)&lt;&gt;"IKS",VLOOKUP($M691,DB_Loonkosten,2,0)="Nee")),IFERROR(VLOOKUP($M691,DB_Loonkosten,24,0),""),0),"Vast tarief",IF(LEFT(F691,8)="Bijdrage",VLOOKUP($F691,Tb_KostenTypen[],MATCH(Lijsten!$P$1,Tb_KostenTypen[#Headers],0),0),VLOOKUP($G691,Lijsten!L:P,MATCH(Lijsten!$P$1,Kop_Tarief_Vast,0),0))),""),"")</f>
        <v/>
      </c>
      <c r="P691" s="320" t="str" cm="1">
        <f t="array" ref="P691">_xlfn.IFNA(IF(INDEX(Tb_KostenOptiesDB[],MATCH($F691,Tb_KostenOptiesDB[KostenOptie],0),IFERROR(MATCH(Methode_Keuze,Tb_KostenOptiesDB[#Headers],0),2))=1,_xlfn.SWITCH($N691,"Uurtarief",IF(OR(AND(RIGHT($F691,3)="IKS",VLOOKUP($M691,DB_Loonkosten,2,0)="Ja"),AND(RIGHT($F691,3)&lt;&gt;"IKS",VLOOKUP($M691,DB_Loonkosten,2,0)="Nee")),IFERROR(VLOOKUP($M691,DB_Loonkosten,25,0),""),0),"Vast tarief",IF(LEFT(F691,8)="Bijdrage",VLOOKUP($F691,Tb_KostenTypen[],MATCH(Lijsten!$P$1,Tb_KostenTypen[#Headers],0),0),VLOOKUP($G691,Lijsten!L:P,MATCH(Lijsten!$P$1,Kop_Tarief_Vast,0),0))),""),"")</f>
        <v/>
      </c>
      <c r="Q691" s="359"/>
      <c r="R691" s="359"/>
      <c r="S691" s="321"/>
      <c r="T691" s="321"/>
      <c r="U691" s="373" t="str">
        <f t="shared" si="40"/>
        <v/>
      </c>
      <c r="V691" s="314" t="str">
        <f t="shared" si="41"/>
        <v/>
      </c>
      <c r="W691" s="314" t="str" cm="1">
        <f t="array" aca="1" ref="W691" ca="1">IFERROR(IF(AE691&lt;&gt;"ja",_xlfn.IFNA(_xlfn.IFS(AND(O691&lt;&gt;"",F691&lt;&gt;"",RIGHT($N691,6)="tarief",F691="Vergoeding"),SUM(O691)*FLOOR(SUM(Q691),0.0001),AND(O691&lt;&gt;"",F691&lt;&gt;"",RIGHT($N691,6)="tarief"),SUM(O691)*FLOOR(SUM(Q691),0.01),S691&gt;0,IF(F691&lt;&gt;"",FLOOR(SUM(S691),0.01),"")),""),""),"")</f>
        <v/>
      </c>
      <c r="X691" s="314" t="str" cm="1">
        <f t="array" aca="1" ref="X691" ca="1">IFERROR(IF(AE691&lt;&gt;"ja",_xlfn.IFNA(_xlfn.IFS(AND(P691&lt;&gt;"",R691&lt;&gt;"",RIGHT($N691,6)="tarief",F691="Vergoeding"),SUM(P691)*FLOOR(SUM(R691),0.0001),AND(P691&lt;&gt;"",R691&lt;&gt;"",RIGHT($N691,6)="tarief"),P691*FLOOR(R691,0.01),T691&gt;0,FLOOR(SUM(T691),0.01)),""),""),"")</f>
        <v/>
      </c>
      <c r="Y691" s="314" t="str">
        <f t="shared" ca="1" si="42"/>
        <v/>
      </c>
      <c r="Z691" s="314" t="str" cm="1">
        <f t="array" aca="1" ref="Z691" ca="1">IFERROR(_xlfn.IFS(OR(F691="",LEFT(Methode_Keuze,4)="Geen",Methode_Keuze=""),"",AND(W691&lt;&gt;"",F691&lt;&gt;"Arbeidskosten"),W691*VLOOKUP(F691,Tb_ProjectKosten[],MATCH(Tb_ProjectKosten[[#Headers],[Forfait_Percentage]],Tb_ProjectKosten[#Headers],0),0),AND(F691="Arbeidskosten",G691&lt;&gt;""),IFERROR(W691*VLOOKUP(G691,Tb_KostenTypen[],3,0)*VLOOKUP(F691,Tb_ProjectKosten[],MATCH(Tb_ProjectKosten[[#Headers],[Forfait_Percentage]],Tb_ProjectKosten[#Headers],0),0),""),W691 &lt;=0,0),"")</f>
        <v/>
      </c>
      <c r="AA691" s="314" t="str" cm="1">
        <f t="array" aca="1" ref="AA691" ca="1">IFERROR(_xlfn.IFS(OR(F691="",LEFT(Methode_Keuze,4)="Geen",Methode_Keuze=""),"",AND(X691&lt;&gt;"",F691&lt;&gt;"Arbeidskosten"),X691*VLOOKUP(F691,Tb_ProjectKosten[],MATCH(Tb_ProjectKosten[[#Headers],[Forfait_Percentage]],Tb_ProjectKosten[#Headers],0),0),AND(F691="Arbeidskosten",G691&lt;&gt;""),IFERROR(X691*VLOOKUP(G691,Tb_KostenTypen[],3,0)*VLOOKUP(F691,Tb_ProjectKosten[],MATCH(Tb_ProjectKosten[[#Headers],[Forfait_Percentage]],Tb_ProjectKosten[#Headers],0),0),""),X691 &lt;=0,0),"")</f>
        <v/>
      </c>
      <c r="AB691" s="314" t="str">
        <f t="shared" ca="1" si="43"/>
        <v/>
      </c>
      <c r="AC691" s="322"/>
      <c r="AD691" s="315"/>
      <c r="AE691" s="32" t="str" cm="1">
        <f t="array" ref="AE691">IFERROR(IF(INDEX(SubsidieTabel!$AD$1:$AG$12,MATCH($F691,SubsidieTabel!$AD$1:$AD$12,0),IFERROR(MATCH(Methode_Keuze,SubsidieTabel!$AD$1:$AG$1,0),2))&lt;&gt;1=TRUE,"ja",""),"")</f>
        <v/>
      </c>
    </row>
    <row r="692" spans="1:31" x14ac:dyDescent="0.25">
      <c r="A692" s="316"/>
      <c r="B692" s="317" t="str">
        <f>IF(A692&lt;&gt;"",_xlfn.MAXIFS($B$1:B691,$A$1:A691,A692)+1,"")</f>
        <v/>
      </c>
      <c r="C692" s="296"/>
      <c r="D692" s="296"/>
      <c r="E692" s="296"/>
      <c r="F692" s="296"/>
      <c r="G692" s="326"/>
      <c r="H692" s="324"/>
      <c r="I692" s="325"/>
      <c r="J692" s="325"/>
      <c r="K692" s="318"/>
      <c r="L692" s="318"/>
      <c r="M692" s="319" t="str">
        <f>IFERROR(VLOOKUP(H692,Lijsten!$H$1:$I$100,2,0),"")</f>
        <v/>
      </c>
      <c r="N692" s="319" t="str">
        <f ca="1">IFERROR(IF(VLOOKUP(F692,Kostentypen!$A$3:$E$21,3,0)=0,"",IF(OR(F692="Arbeidskosten",F692="Vergoeding"),VLOOKUP(G692,Tb_KostenTypen[],2,0),VLOOKUP(F692,Kostentypen!$A$3:$E$20,3,0))),"")</f>
        <v/>
      </c>
      <c r="O692" s="320" t="str" cm="1">
        <f t="array" ref="O692">_xlfn.IFNA(IF(INDEX(Tb_KostenOptiesDB[],MATCH($F692,Tb_KostenOptiesDB[KostenOptie],0),IFERROR(MATCH(Methode_Keuze,Tb_KostenOptiesDB[#Headers],0),2))=1,_xlfn.SWITCH($N692,"Uurtarief",IF(OR(AND(RIGHT($F692,3)="IKS",VLOOKUP($M692,DB_Loonkosten,2,0)="Ja"),AND(RIGHT($F692,3)&lt;&gt;"IKS",VLOOKUP($M692,DB_Loonkosten,2,0)="Nee")),IFERROR(VLOOKUP($M692,DB_Loonkosten,24,0),""),0),"Vast tarief",IF(LEFT(F692,8)="Bijdrage",VLOOKUP($F692,Tb_KostenTypen[],MATCH(Lijsten!$P$1,Tb_KostenTypen[#Headers],0),0),VLOOKUP($G692,Lijsten!L:P,MATCH(Lijsten!$P$1,Kop_Tarief_Vast,0),0))),""),"")</f>
        <v/>
      </c>
      <c r="P692" s="320" t="str" cm="1">
        <f t="array" ref="P692">_xlfn.IFNA(IF(INDEX(Tb_KostenOptiesDB[],MATCH($F692,Tb_KostenOptiesDB[KostenOptie],0),IFERROR(MATCH(Methode_Keuze,Tb_KostenOptiesDB[#Headers],0),2))=1,_xlfn.SWITCH($N692,"Uurtarief",IF(OR(AND(RIGHT($F692,3)="IKS",VLOOKUP($M692,DB_Loonkosten,2,0)="Ja"),AND(RIGHT($F692,3)&lt;&gt;"IKS",VLOOKUP($M692,DB_Loonkosten,2,0)="Nee")),IFERROR(VLOOKUP($M692,DB_Loonkosten,25,0),""),0),"Vast tarief",IF(LEFT(F692,8)="Bijdrage",VLOOKUP($F692,Tb_KostenTypen[],MATCH(Lijsten!$P$1,Tb_KostenTypen[#Headers],0),0),VLOOKUP($G692,Lijsten!L:P,MATCH(Lijsten!$P$1,Kop_Tarief_Vast,0),0))),""),"")</f>
        <v/>
      </c>
      <c r="Q692" s="359"/>
      <c r="R692" s="359"/>
      <c r="S692" s="321"/>
      <c r="T692" s="321"/>
      <c r="U692" s="373" t="str">
        <f t="shared" si="40"/>
        <v/>
      </c>
      <c r="V692" s="314" t="str">
        <f t="shared" si="41"/>
        <v/>
      </c>
      <c r="W692" s="314" t="str" cm="1">
        <f t="array" aca="1" ref="W692" ca="1">IFERROR(IF(AE692&lt;&gt;"ja",_xlfn.IFNA(_xlfn.IFS(AND(O692&lt;&gt;"",F692&lt;&gt;"",RIGHT($N692,6)="tarief",F692="Vergoeding"),SUM(O692)*FLOOR(SUM(Q692),0.0001),AND(O692&lt;&gt;"",F692&lt;&gt;"",RIGHT($N692,6)="tarief"),SUM(O692)*FLOOR(SUM(Q692),0.01),S692&gt;0,IF(F692&lt;&gt;"",FLOOR(SUM(S692),0.01),"")),""),""),"")</f>
        <v/>
      </c>
      <c r="X692" s="314" t="str" cm="1">
        <f t="array" aca="1" ref="X692" ca="1">IFERROR(IF(AE692&lt;&gt;"ja",_xlfn.IFNA(_xlfn.IFS(AND(P692&lt;&gt;"",R692&lt;&gt;"",RIGHT($N692,6)="tarief",F692="Vergoeding"),SUM(P692)*FLOOR(SUM(R692),0.0001),AND(P692&lt;&gt;"",R692&lt;&gt;"",RIGHT($N692,6)="tarief"),P692*FLOOR(R692,0.01),T692&gt;0,FLOOR(SUM(T692),0.01)),""),""),"")</f>
        <v/>
      </c>
      <c r="Y692" s="314" t="str">
        <f t="shared" ca="1" si="42"/>
        <v/>
      </c>
      <c r="Z692" s="314" t="str" cm="1">
        <f t="array" aca="1" ref="Z692" ca="1">IFERROR(_xlfn.IFS(OR(F692="",LEFT(Methode_Keuze,4)="Geen",Methode_Keuze=""),"",AND(W692&lt;&gt;"",F692&lt;&gt;"Arbeidskosten"),W692*VLOOKUP(F692,Tb_ProjectKosten[],MATCH(Tb_ProjectKosten[[#Headers],[Forfait_Percentage]],Tb_ProjectKosten[#Headers],0),0),AND(F692="Arbeidskosten",G692&lt;&gt;""),IFERROR(W692*VLOOKUP(G692,Tb_KostenTypen[],3,0)*VLOOKUP(F692,Tb_ProjectKosten[],MATCH(Tb_ProjectKosten[[#Headers],[Forfait_Percentage]],Tb_ProjectKosten[#Headers],0),0),""),W692 &lt;=0,0),"")</f>
        <v/>
      </c>
      <c r="AA692" s="314" t="str" cm="1">
        <f t="array" aca="1" ref="AA692" ca="1">IFERROR(_xlfn.IFS(OR(F692="",LEFT(Methode_Keuze,4)="Geen",Methode_Keuze=""),"",AND(X692&lt;&gt;"",F692&lt;&gt;"Arbeidskosten"),X692*VLOOKUP(F692,Tb_ProjectKosten[],MATCH(Tb_ProjectKosten[[#Headers],[Forfait_Percentage]],Tb_ProjectKosten[#Headers],0),0),AND(F692="Arbeidskosten",G692&lt;&gt;""),IFERROR(X692*VLOOKUP(G692,Tb_KostenTypen[],3,0)*VLOOKUP(F692,Tb_ProjectKosten[],MATCH(Tb_ProjectKosten[[#Headers],[Forfait_Percentage]],Tb_ProjectKosten[#Headers],0),0),""),X692 &lt;=0,0),"")</f>
        <v/>
      </c>
      <c r="AB692" s="314" t="str">
        <f t="shared" ca="1" si="43"/>
        <v/>
      </c>
      <c r="AC692" s="322"/>
      <c r="AD692" s="315"/>
      <c r="AE692" s="32" t="str" cm="1">
        <f t="array" ref="AE692">IFERROR(IF(INDEX(SubsidieTabel!$AD$1:$AG$12,MATCH($F692,SubsidieTabel!$AD$1:$AD$12,0),IFERROR(MATCH(Methode_Keuze,SubsidieTabel!$AD$1:$AG$1,0),2))&lt;&gt;1=TRUE,"ja",""),"")</f>
        <v/>
      </c>
    </row>
    <row r="693" spans="1:31" x14ac:dyDescent="0.25">
      <c r="A693" s="316"/>
      <c r="B693" s="317" t="str">
        <f>IF(A693&lt;&gt;"",_xlfn.MAXIFS($B$1:B692,$A$1:A692,A693)+1,"")</f>
        <v/>
      </c>
      <c r="C693" s="296"/>
      <c r="D693" s="296"/>
      <c r="E693" s="296"/>
      <c r="F693" s="296"/>
      <c r="G693" s="326"/>
      <c r="H693" s="324"/>
      <c r="I693" s="325"/>
      <c r="J693" s="325"/>
      <c r="K693" s="318"/>
      <c r="L693" s="318"/>
      <c r="M693" s="319" t="str">
        <f>IFERROR(VLOOKUP(H693,Lijsten!$H$1:$I$100,2,0),"")</f>
        <v/>
      </c>
      <c r="N693" s="319" t="str">
        <f ca="1">IFERROR(IF(VLOOKUP(F693,Kostentypen!$A$3:$E$21,3,0)=0,"",IF(OR(F693="Arbeidskosten",F693="Vergoeding"),VLOOKUP(G693,Tb_KostenTypen[],2,0),VLOOKUP(F693,Kostentypen!$A$3:$E$20,3,0))),"")</f>
        <v/>
      </c>
      <c r="O693" s="320" t="str" cm="1">
        <f t="array" ref="O693">_xlfn.IFNA(IF(INDEX(Tb_KostenOptiesDB[],MATCH($F693,Tb_KostenOptiesDB[KostenOptie],0),IFERROR(MATCH(Methode_Keuze,Tb_KostenOptiesDB[#Headers],0),2))=1,_xlfn.SWITCH($N693,"Uurtarief",IF(OR(AND(RIGHT($F693,3)="IKS",VLOOKUP($M693,DB_Loonkosten,2,0)="Ja"),AND(RIGHT($F693,3)&lt;&gt;"IKS",VLOOKUP($M693,DB_Loonkosten,2,0)="Nee")),IFERROR(VLOOKUP($M693,DB_Loonkosten,24,0),""),0),"Vast tarief",IF(LEFT(F693,8)="Bijdrage",VLOOKUP($F693,Tb_KostenTypen[],MATCH(Lijsten!$P$1,Tb_KostenTypen[#Headers],0),0),VLOOKUP($G693,Lijsten!L:P,MATCH(Lijsten!$P$1,Kop_Tarief_Vast,0),0))),""),"")</f>
        <v/>
      </c>
      <c r="P693" s="320" t="str" cm="1">
        <f t="array" ref="P693">_xlfn.IFNA(IF(INDEX(Tb_KostenOptiesDB[],MATCH($F693,Tb_KostenOptiesDB[KostenOptie],0),IFERROR(MATCH(Methode_Keuze,Tb_KostenOptiesDB[#Headers],0),2))=1,_xlfn.SWITCH($N693,"Uurtarief",IF(OR(AND(RIGHT($F693,3)="IKS",VLOOKUP($M693,DB_Loonkosten,2,0)="Ja"),AND(RIGHT($F693,3)&lt;&gt;"IKS",VLOOKUP($M693,DB_Loonkosten,2,0)="Nee")),IFERROR(VLOOKUP($M693,DB_Loonkosten,25,0),""),0),"Vast tarief",IF(LEFT(F693,8)="Bijdrage",VLOOKUP($F693,Tb_KostenTypen[],MATCH(Lijsten!$P$1,Tb_KostenTypen[#Headers],0),0),VLOOKUP($G693,Lijsten!L:P,MATCH(Lijsten!$P$1,Kop_Tarief_Vast,0),0))),""),"")</f>
        <v/>
      </c>
      <c r="Q693" s="359"/>
      <c r="R693" s="359"/>
      <c r="S693" s="321"/>
      <c r="T693" s="321"/>
      <c r="U693" s="373" t="str">
        <f t="shared" si="40"/>
        <v/>
      </c>
      <c r="V693" s="314" t="str">
        <f t="shared" si="41"/>
        <v/>
      </c>
      <c r="W693" s="314" t="str" cm="1">
        <f t="array" aca="1" ref="W693" ca="1">IFERROR(IF(AE693&lt;&gt;"ja",_xlfn.IFNA(_xlfn.IFS(AND(O693&lt;&gt;"",F693&lt;&gt;"",RIGHT($N693,6)="tarief",F693="Vergoeding"),SUM(O693)*FLOOR(SUM(Q693),0.0001),AND(O693&lt;&gt;"",F693&lt;&gt;"",RIGHT($N693,6)="tarief"),SUM(O693)*FLOOR(SUM(Q693),0.01),S693&gt;0,IF(F693&lt;&gt;"",FLOOR(SUM(S693),0.01),"")),""),""),"")</f>
        <v/>
      </c>
      <c r="X693" s="314" t="str" cm="1">
        <f t="array" aca="1" ref="X693" ca="1">IFERROR(IF(AE693&lt;&gt;"ja",_xlfn.IFNA(_xlfn.IFS(AND(P693&lt;&gt;"",R693&lt;&gt;"",RIGHT($N693,6)="tarief",F693="Vergoeding"),SUM(P693)*FLOOR(SUM(R693),0.0001),AND(P693&lt;&gt;"",R693&lt;&gt;"",RIGHT($N693,6)="tarief"),P693*FLOOR(R693,0.01),T693&gt;0,FLOOR(SUM(T693),0.01)),""),""),"")</f>
        <v/>
      </c>
      <c r="Y693" s="314" t="str">
        <f t="shared" ca="1" si="42"/>
        <v/>
      </c>
      <c r="Z693" s="314" t="str" cm="1">
        <f t="array" aca="1" ref="Z693" ca="1">IFERROR(_xlfn.IFS(OR(F693="",LEFT(Methode_Keuze,4)="Geen",Methode_Keuze=""),"",AND(W693&lt;&gt;"",F693&lt;&gt;"Arbeidskosten"),W693*VLOOKUP(F693,Tb_ProjectKosten[],MATCH(Tb_ProjectKosten[[#Headers],[Forfait_Percentage]],Tb_ProjectKosten[#Headers],0),0),AND(F693="Arbeidskosten",G693&lt;&gt;""),IFERROR(W693*VLOOKUP(G693,Tb_KostenTypen[],3,0)*VLOOKUP(F693,Tb_ProjectKosten[],MATCH(Tb_ProjectKosten[[#Headers],[Forfait_Percentage]],Tb_ProjectKosten[#Headers],0),0),""),W693 &lt;=0,0),"")</f>
        <v/>
      </c>
      <c r="AA693" s="314" t="str" cm="1">
        <f t="array" aca="1" ref="AA693" ca="1">IFERROR(_xlfn.IFS(OR(F693="",LEFT(Methode_Keuze,4)="Geen",Methode_Keuze=""),"",AND(X693&lt;&gt;"",F693&lt;&gt;"Arbeidskosten"),X693*VLOOKUP(F693,Tb_ProjectKosten[],MATCH(Tb_ProjectKosten[[#Headers],[Forfait_Percentage]],Tb_ProjectKosten[#Headers],0),0),AND(F693="Arbeidskosten",G693&lt;&gt;""),IFERROR(X693*VLOOKUP(G693,Tb_KostenTypen[],3,0)*VLOOKUP(F693,Tb_ProjectKosten[],MATCH(Tb_ProjectKosten[[#Headers],[Forfait_Percentage]],Tb_ProjectKosten[#Headers],0),0),""),X693 &lt;=0,0),"")</f>
        <v/>
      </c>
      <c r="AB693" s="314" t="str">
        <f t="shared" ca="1" si="43"/>
        <v/>
      </c>
      <c r="AC693" s="322"/>
      <c r="AD693" s="315"/>
      <c r="AE693" s="32" t="str" cm="1">
        <f t="array" ref="AE693">IFERROR(IF(INDEX(SubsidieTabel!$AD$1:$AG$12,MATCH($F693,SubsidieTabel!$AD$1:$AD$12,0),IFERROR(MATCH(Methode_Keuze,SubsidieTabel!$AD$1:$AG$1,0),2))&lt;&gt;1=TRUE,"ja",""),"")</f>
        <v/>
      </c>
    </row>
    <row r="694" spans="1:31" x14ac:dyDescent="0.25">
      <c r="A694" s="316"/>
      <c r="B694" s="317" t="str">
        <f>IF(A694&lt;&gt;"",_xlfn.MAXIFS($B$1:B693,$A$1:A693,A694)+1,"")</f>
        <v/>
      </c>
      <c r="C694" s="296"/>
      <c r="D694" s="296"/>
      <c r="E694" s="296"/>
      <c r="F694" s="296"/>
      <c r="G694" s="326"/>
      <c r="H694" s="324"/>
      <c r="I694" s="325"/>
      <c r="J694" s="325"/>
      <c r="K694" s="318"/>
      <c r="L694" s="318"/>
      <c r="M694" s="319" t="str">
        <f>IFERROR(VLOOKUP(H694,Lijsten!$H$1:$I$100,2,0),"")</f>
        <v/>
      </c>
      <c r="N694" s="319" t="str">
        <f ca="1">IFERROR(IF(VLOOKUP(F694,Kostentypen!$A$3:$E$21,3,0)=0,"",IF(OR(F694="Arbeidskosten",F694="Vergoeding"),VLOOKUP(G694,Tb_KostenTypen[],2,0),VLOOKUP(F694,Kostentypen!$A$3:$E$20,3,0))),"")</f>
        <v/>
      </c>
      <c r="O694" s="320" t="str" cm="1">
        <f t="array" ref="O694">_xlfn.IFNA(IF(INDEX(Tb_KostenOptiesDB[],MATCH($F694,Tb_KostenOptiesDB[KostenOptie],0),IFERROR(MATCH(Methode_Keuze,Tb_KostenOptiesDB[#Headers],0),2))=1,_xlfn.SWITCH($N694,"Uurtarief",IF(OR(AND(RIGHT($F694,3)="IKS",VLOOKUP($M694,DB_Loonkosten,2,0)="Ja"),AND(RIGHT($F694,3)&lt;&gt;"IKS",VLOOKUP($M694,DB_Loonkosten,2,0)="Nee")),IFERROR(VLOOKUP($M694,DB_Loonkosten,24,0),""),0),"Vast tarief",IF(LEFT(F694,8)="Bijdrage",VLOOKUP($F694,Tb_KostenTypen[],MATCH(Lijsten!$P$1,Tb_KostenTypen[#Headers],0),0),VLOOKUP($G694,Lijsten!L:P,MATCH(Lijsten!$P$1,Kop_Tarief_Vast,0),0))),""),"")</f>
        <v/>
      </c>
      <c r="P694" s="320" t="str" cm="1">
        <f t="array" ref="P694">_xlfn.IFNA(IF(INDEX(Tb_KostenOptiesDB[],MATCH($F694,Tb_KostenOptiesDB[KostenOptie],0),IFERROR(MATCH(Methode_Keuze,Tb_KostenOptiesDB[#Headers],0),2))=1,_xlfn.SWITCH($N694,"Uurtarief",IF(OR(AND(RIGHT($F694,3)="IKS",VLOOKUP($M694,DB_Loonkosten,2,0)="Ja"),AND(RIGHT($F694,3)&lt;&gt;"IKS",VLOOKUP($M694,DB_Loonkosten,2,0)="Nee")),IFERROR(VLOOKUP($M694,DB_Loonkosten,25,0),""),0),"Vast tarief",IF(LEFT(F694,8)="Bijdrage",VLOOKUP($F694,Tb_KostenTypen[],MATCH(Lijsten!$P$1,Tb_KostenTypen[#Headers],0),0),VLOOKUP($G694,Lijsten!L:P,MATCH(Lijsten!$P$1,Kop_Tarief_Vast,0),0))),""),"")</f>
        <v/>
      </c>
      <c r="Q694" s="359"/>
      <c r="R694" s="359"/>
      <c r="S694" s="321"/>
      <c r="T694" s="321"/>
      <c r="U694" s="373" t="str">
        <f t="shared" si="40"/>
        <v/>
      </c>
      <c r="V694" s="314" t="str">
        <f t="shared" si="41"/>
        <v/>
      </c>
      <c r="W694" s="314" t="str" cm="1">
        <f t="array" aca="1" ref="W694" ca="1">IFERROR(IF(AE694&lt;&gt;"ja",_xlfn.IFNA(_xlfn.IFS(AND(O694&lt;&gt;"",F694&lt;&gt;"",RIGHT($N694,6)="tarief",F694="Vergoeding"),SUM(O694)*FLOOR(SUM(Q694),0.0001),AND(O694&lt;&gt;"",F694&lt;&gt;"",RIGHT($N694,6)="tarief"),SUM(O694)*FLOOR(SUM(Q694),0.01),S694&gt;0,IF(F694&lt;&gt;"",FLOOR(SUM(S694),0.01),"")),""),""),"")</f>
        <v/>
      </c>
      <c r="X694" s="314" t="str" cm="1">
        <f t="array" aca="1" ref="X694" ca="1">IFERROR(IF(AE694&lt;&gt;"ja",_xlfn.IFNA(_xlfn.IFS(AND(P694&lt;&gt;"",R694&lt;&gt;"",RIGHT($N694,6)="tarief",F694="Vergoeding"),SUM(P694)*FLOOR(SUM(R694),0.0001),AND(P694&lt;&gt;"",R694&lt;&gt;"",RIGHT($N694,6)="tarief"),P694*FLOOR(R694,0.01),T694&gt;0,FLOOR(SUM(T694),0.01)),""),""),"")</f>
        <v/>
      </c>
      <c r="Y694" s="314" t="str">
        <f t="shared" ca="1" si="42"/>
        <v/>
      </c>
      <c r="Z694" s="314" t="str" cm="1">
        <f t="array" aca="1" ref="Z694" ca="1">IFERROR(_xlfn.IFS(OR(F694="",LEFT(Methode_Keuze,4)="Geen",Methode_Keuze=""),"",AND(W694&lt;&gt;"",F694&lt;&gt;"Arbeidskosten"),W694*VLOOKUP(F694,Tb_ProjectKosten[],MATCH(Tb_ProjectKosten[[#Headers],[Forfait_Percentage]],Tb_ProjectKosten[#Headers],0),0),AND(F694="Arbeidskosten",G694&lt;&gt;""),IFERROR(W694*VLOOKUP(G694,Tb_KostenTypen[],3,0)*VLOOKUP(F694,Tb_ProjectKosten[],MATCH(Tb_ProjectKosten[[#Headers],[Forfait_Percentage]],Tb_ProjectKosten[#Headers],0),0),""),W694 &lt;=0,0),"")</f>
        <v/>
      </c>
      <c r="AA694" s="314" t="str" cm="1">
        <f t="array" aca="1" ref="AA694" ca="1">IFERROR(_xlfn.IFS(OR(F694="",LEFT(Methode_Keuze,4)="Geen",Methode_Keuze=""),"",AND(X694&lt;&gt;"",F694&lt;&gt;"Arbeidskosten"),X694*VLOOKUP(F694,Tb_ProjectKosten[],MATCH(Tb_ProjectKosten[[#Headers],[Forfait_Percentage]],Tb_ProjectKosten[#Headers],0),0),AND(F694="Arbeidskosten",G694&lt;&gt;""),IFERROR(X694*VLOOKUP(G694,Tb_KostenTypen[],3,0)*VLOOKUP(F694,Tb_ProjectKosten[],MATCH(Tb_ProjectKosten[[#Headers],[Forfait_Percentage]],Tb_ProjectKosten[#Headers],0),0),""),X694 &lt;=0,0),"")</f>
        <v/>
      </c>
      <c r="AB694" s="314" t="str">
        <f t="shared" ca="1" si="43"/>
        <v/>
      </c>
      <c r="AC694" s="322"/>
      <c r="AD694" s="315"/>
      <c r="AE694" s="32" t="str" cm="1">
        <f t="array" ref="AE694">IFERROR(IF(INDEX(SubsidieTabel!$AD$1:$AG$12,MATCH($F694,SubsidieTabel!$AD$1:$AD$12,0),IFERROR(MATCH(Methode_Keuze,SubsidieTabel!$AD$1:$AG$1,0),2))&lt;&gt;1=TRUE,"ja",""),"")</f>
        <v/>
      </c>
    </row>
    <row r="695" spans="1:31" x14ac:dyDescent="0.25">
      <c r="A695" s="316"/>
      <c r="B695" s="317" t="str">
        <f>IF(A695&lt;&gt;"",_xlfn.MAXIFS($B$1:B694,$A$1:A694,A695)+1,"")</f>
        <v/>
      </c>
      <c r="C695" s="296"/>
      <c r="D695" s="296"/>
      <c r="E695" s="296"/>
      <c r="F695" s="296"/>
      <c r="G695" s="326"/>
      <c r="H695" s="324"/>
      <c r="I695" s="325"/>
      <c r="J695" s="325"/>
      <c r="K695" s="318"/>
      <c r="L695" s="318"/>
      <c r="M695" s="319" t="str">
        <f>IFERROR(VLOOKUP(H695,Lijsten!$H$1:$I$100,2,0),"")</f>
        <v/>
      </c>
      <c r="N695" s="319" t="str">
        <f ca="1">IFERROR(IF(VLOOKUP(F695,Kostentypen!$A$3:$E$21,3,0)=0,"",IF(OR(F695="Arbeidskosten",F695="Vergoeding"),VLOOKUP(G695,Tb_KostenTypen[],2,0),VLOOKUP(F695,Kostentypen!$A$3:$E$20,3,0))),"")</f>
        <v/>
      </c>
      <c r="O695" s="320" t="str" cm="1">
        <f t="array" ref="O695">_xlfn.IFNA(IF(INDEX(Tb_KostenOptiesDB[],MATCH($F695,Tb_KostenOptiesDB[KostenOptie],0),IFERROR(MATCH(Methode_Keuze,Tb_KostenOptiesDB[#Headers],0),2))=1,_xlfn.SWITCH($N695,"Uurtarief",IF(OR(AND(RIGHT($F695,3)="IKS",VLOOKUP($M695,DB_Loonkosten,2,0)="Ja"),AND(RIGHT($F695,3)&lt;&gt;"IKS",VLOOKUP($M695,DB_Loonkosten,2,0)="Nee")),IFERROR(VLOOKUP($M695,DB_Loonkosten,24,0),""),0),"Vast tarief",IF(LEFT(F695,8)="Bijdrage",VLOOKUP($F695,Tb_KostenTypen[],MATCH(Lijsten!$P$1,Tb_KostenTypen[#Headers],0),0),VLOOKUP($G695,Lijsten!L:P,MATCH(Lijsten!$P$1,Kop_Tarief_Vast,0),0))),""),"")</f>
        <v/>
      </c>
      <c r="P695" s="320" t="str" cm="1">
        <f t="array" ref="P695">_xlfn.IFNA(IF(INDEX(Tb_KostenOptiesDB[],MATCH($F695,Tb_KostenOptiesDB[KostenOptie],0),IFERROR(MATCH(Methode_Keuze,Tb_KostenOptiesDB[#Headers],0),2))=1,_xlfn.SWITCH($N695,"Uurtarief",IF(OR(AND(RIGHT($F695,3)="IKS",VLOOKUP($M695,DB_Loonkosten,2,0)="Ja"),AND(RIGHT($F695,3)&lt;&gt;"IKS",VLOOKUP($M695,DB_Loonkosten,2,0)="Nee")),IFERROR(VLOOKUP($M695,DB_Loonkosten,25,0),""),0),"Vast tarief",IF(LEFT(F695,8)="Bijdrage",VLOOKUP($F695,Tb_KostenTypen[],MATCH(Lijsten!$P$1,Tb_KostenTypen[#Headers],0),0),VLOOKUP($G695,Lijsten!L:P,MATCH(Lijsten!$P$1,Kop_Tarief_Vast,0),0))),""),"")</f>
        <v/>
      </c>
      <c r="Q695" s="359"/>
      <c r="R695" s="359"/>
      <c r="S695" s="321"/>
      <c r="T695" s="321"/>
      <c r="U695" s="373" t="str">
        <f t="shared" si="40"/>
        <v/>
      </c>
      <c r="V695" s="314" t="str">
        <f t="shared" si="41"/>
        <v/>
      </c>
      <c r="W695" s="314" t="str" cm="1">
        <f t="array" aca="1" ref="W695" ca="1">IFERROR(IF(AE695&lt;&gt;"ja",_xlfn.IFNA(_xlfn.IFS(AND(O695&lt;&gt;"",F695&lt;&gt;"",RIGHT($N695,6)="tarief",F695="Vergoeding"),SUM(O695)*FLOOR(SUM(Q695),0.0001),AND(O695&lt;&gt;"",F695&lt;&gt;"",RIGHT($N695,6)="tarief"),SUM(O695)*FLOOR(SUM(Q695),0.01),S695&gt;0,IF(F695&lt;&gt;"",FLOOR(SUM(S695),0.01),"")),""),""),"")</f>
        <v/>
      </c>
      <c r="X695" s="314" t="str" cm="1">
        <f t="array" aca="1" ref="X695" ca="1">IFERROR(IF(AE695&lt;&gt;"ja",_xlfn.IFNA(_xlfn.IFS(AND(P695&lt;&gt;"",R695&lt;&gt;"",RIGHT($N695,6)="tarief",F695="Vergoeding"),SUM(P695)*FLOOR(SUM(R695),0.0001),AND(P695&lt;&gt;"",R695&lt;&gt;"",RIGHT($N695,6)="tarief"),P695*FLOOR(R695,0.01),T695&gt;0,FLOOR(SUM(T695),0.01)),""),""),"")</f>
        <v/>
      </c>
      <c r="Y695" s="314" t="str">
        <f t="shared" ca="1" si="42"/>
        <v/>
      </c>
      <c r="Z695" s="314" t="str" cm="1">
        <f t="array" aca="1" ref="Z695" ca="1">IFERROR(_xlfn.IFS(OR(F695="",LEFT(Methode_Keuze,4)="Geen",Methode_Keuze=""),"",AND(W695&lt;&gt;"",F695&lt;&gt;"Arbeidskosten"),W695*VLOOKUP(F695,Tb_ProjectKosten[],MATCH(Tb_ProjectKosten[[#Headers],[Forfait_Percentage]],Tb_ProjectKosten[#Headers],0),0),AND(F695="Arbeidskosten",G695&lt;&gt;""),IFERROR(W695*VLOOKUP(G695,Tb_KostenTypen[],3,0)*VLOOKUP(F695,Tb_ProjectKosten[],MATCH(Tb_ProjectKosten[[#Headers],[Forfait_Percentage]],Tb_ProjectKosten[#Headers],0),0),""),W695 &lt;=0,0),"")</f>
        <v/>
      </c>
      <c r="AA695" s="314" t="str" cm="1">
        <f t="array" aca="1" ref="AA695" ca="1">IFERROR(_xlfn.IFS(OR(F695="",LEFT(Methode_Keuze,4)="Geen",Methode_Keuze=""),"",AND(X695&lt;&gt;"",F695&lt;&gt;"Arbeidskosten"),X695*VLOOKUP(F695,Tb_ProjectKosten[],MATCH(Tb_ProjectKosten[[#Headers],[Forfait_Percentage]],Tb_ProjectKosten[#Headers],0),0),AND(F695="Arbeidskosten",G695&lt;&gt;""),IFERROR(X695*VLOOKUP(G695,Tb_KostenTypen[],3,0)*VLOOKUP(F695,Tb_ProjectKosten[],MATCH(Tb_ProjectKosten[[#Headers],[Forfait_Percentage]],Tb_ProjectKosten[#Headers],0),0),""),X695 &lt;=0,0),"")</f>
        <v/>
      </c>
      <c r="AB695" s="314" t="str">
        <f t="shared" ca="1" si="43"/>
        <v/>
      </c>
      <c r="AC695" s="322"/>
      <c r="AD695" s="315"/>
      <c r="AE695" s="32" t="str" cm="1">
        <f t="array" ref="AE695">IFERROR(IF(INDEX(SubsidieTabel!$AD$1:$AG$12,MATCH($F695,SubsidieTabel!$AD$1:$AD$12,0),IFERROR(MATCH(Methode_Keuze,SubsidieTabel!$AD$1:$AG$1,0),2))&lt;&gt;1=TRUE,"ja",""),"")</f>
        <v/>
      </c>
    </row>
    <row r="696" spans="1:31" x14ac:dyDescent="0.25">
      <c r="A696" s="316"/>
      <c r="B696" s="317" t="str">
        <f>IF(A696&lt;&gt;"",_xlfn.MAXIFS($B$1:B695,$A$1:A695,A696)+1,"")</f>
        <v/>
      </c>
      <c r="C696" s="296"/>
      <c r="D696" s="296"/>
      <c r="E696" s="296"/>
      <c r="F696" s="296"/>
      <c r="G696" s="326"/>
      <c r="H696" s="324"/>
      <c r="I696" s="325"/>
      <c r="J696" s="325"/>
      <c r="K696" s="318"/>
      <c r="L696" s="318"/>
      <c r="M696" s="319" t="str">
        <f>IFERROR(VLOOKUP(H696,Lijsten!$H$1:$I$100,2,0),"")</f>
        <v/>
      </c>
      <c r="N696" s="319" t="str">
        <f ca="1">IFERROR(IF(VLOOKUP(F696,Kostentypen!$A$3:$E$21,3,0)=0,"",IF(OR(F696="Arbeidskosten",F696="Vergoeding"),VLOOKUP(G696,Tb_KostenTypen[],2,0),VLOOKUP(F696,Kostentypen!$A$3:$E$20,3,0))),"")</f>
        <v/>
      </c>
      <c r="O696" s="320" t="str" cm="1">
        <f t="array" ref="O696">_xlfn.IFNA(IF(INDEX(Tb_KostenOptiesDB[],MATCH($F696,Tb_KostenOptiesDB[KostenOptie],0),IFERROR(MATCH(Methode_Keuze,Tb_KostenOptiesDB[#Headers],0),2))=1,_xlfn.SWITCH($N696,"Uurtarief",IF(OR(AND(RIGHT($F696,3)="IKS",VLOOKUP($M696,DB_Loonkosten,2,0)="Ja"),AND(RIGHT($F696,3)&lt;&gt;"IKS",VLOOKUP($M696,DB_Loonkosten,2,0)="Nee")),IFERROR(VLOOKUP($M696,DB_Loonkosten,24,0),""),0),"Vast tarief",IF(LEFT(F696,8)="Bijdrage",VLOOKUP($F696,Tb_KostenTypen[],MATCH(Lijsten!$P$1,Tb_KostenTypen[#Headers],0),0),VLOOKUP($G696,Lijsten!L:P,MATCH(Lijsten!$P$1,Kop_Tarief_Vast,0),0))),""),"")</f>
        <v/>
      </c>
      <c r="P696" s="320" t="str" cm="1">
        <f t="array" ref="P696">_xlfn.IFNA(IF(INDEX(Tb_KostenOptiesDB[],MATCH($F696,Tb_KostenOptiesDB[KostenOptie],0),IFERROR(MATCH(Methode_Keuze,Tb_KostenOptiesDB[#Headers],0),2))=1,_xlfn.SWITCH($N696,"Uurtarief",IF(OR(AND(RIGHT($F696,3)="IKS",VLOOKUP($M696,DB_Loonkosten,2,0)="Ja"),AND(RIGHT($F696,3)&lt;&gt;"IKS",VLOOKUP($M696,DB_Loonkosten,2,0)="Nee")),IFERROR(VLOOKUP($M696,DB_Loonkosten,25,0),""),0),"Vast tarief",IF(LEFT(F696,8)="Bijdrage",VLOOKUP($F696,Tb_KostenTypen[],MATCH(Lijsten!$P$1,Tb_KostenTypen[#Headers],0),0),VLOOKUP($G696,Lijsten!L:P,MATCH(Lijsten!$P$1,Kop_Tarief_Vast,0),0))),""),"")</f>
        <v/>
      </c>
      <c r="Q696" s="359"/>
      <c r="R696" s="359"/>
      <c r="S696" s="321"/>
      <c r="T696" s="321"/>
      <c r="U696" s="373" t="str">
        <f t="shared" si="40"/>
        <v/>
      </c>
      <c r="V696" s="314" t="str">
        <f t="shared" si="41"/>
        <v/>
      </c>
      <c r="W696" s="314" t="str" cm="1">
        <f t="array" aca="1" ref="W696" ca="1">IFERROR(IF(AE696&lt;&gt;"ja",_xlfn.IFNA(_xlfn.IFS(AND(O696&lt;&gt;"",F696&lt;&gt;"",RIGHT($N696,6)="tarief",F696="Vergoeding"),SUM(O696)*FLOOR(SUM(Q696),0.0001),AND(O696&lt;&gt;"",F696&lt;&gt;"",RIGHT($N696,6)="tarief"),SUM(O696)*FLOOR(SUM(Q696),0.01),S696&gt;0,IF(F696&lt;&gt;"",FLOOR(SUM(S696),0.01),"")),""),""),"")</f>
        <v/>
      </c>
      <c r="X696" s="314" t="str" cm="1">
        <f t="array" aca="1" ref="X696" ca="1">IFERROR(IF(AE696&lt;&gt;"ja",_xlfn.IFNA(_xlfn.IFS(AND(P696&lt;&gt;"",R696&lt;&gt;"",RIGHT($N696,6)="tarief",F696="Vergoeding"),SUM(P696)*FLOOR(SUM(R696),0.0001),AND(P696&lt;&gt;"",R696&lt;&gt;"",RIGHT($N696,6)="tarief"),P696*FLOOR(R696,0.01),T696&gt;0,FLOOR(SUM(T696),0.01)),""),""),"")</f>
        <v/>
      </c>
      <c r="Y696" s="314" t="str">
        <f t="shared" ca="1" si="42"/>
        <v/>
      </c>
      <c r="Z696" s="314" t="str" cm="1">
        <f t="array" aca="1" ref="Z696" ca="1">IFERROR(_xlfn.IFS(OR(F696="",LEFT(Methode_Keuze,4)="Geen",Methode_Keuze=""),"",AND(W696&lt;&gt;"",F696&lt;&gt;"Arbeidskosten"),W696*VLOOKUP(F696,Tb_ProjectKosten[],MATCH(Tb_ProjectKosten[[#Headers],[Forfait_Percentage]],Tb_ProjectKosten[#Headers],0),0),AND(F696="Arbeidskosten",G696&lt;&gt;""),IFERROR(W696*VLOOKUP(G696,Tb_KostenTypen[],3,0)*VLOOKUP(F696,Tb_ProjectKosten[],MATCH(Tb_ProjectKosten[[#Headers],[Forfait_Percentage]],Tb_ProjectKosten[#Headers],0),0),""),W696 &lt;=0,0),"")</f>
        <v/>
      </c>
      <c r="AA696" s="314" t="str" cm="1">
        <f t="array" aca="1" ref="AA696" ca="1">IFERROR(_xlfn.IFS(OR(F696="",LEFT(Methode_Keuze,4)="Geen",Methode_Keuze=""),"",AND(X696&lt;&gt;"",F696&lt;&gt;"Arbeidskosten"),X696*VLOOKUP(F696,Tb_ProjectKosten[],MATCH(Tb_ProjectKosten[[#Headers],[Forfait_Percentage]],Tb_ProjectKosten[#Headers],0),0),AND(F696="Arbeidskosten",G696&lt;&gt;""),IFERROR(X696*VLOOKUP(G696,Tb_KostenTypen[],3,0)*VLOOKUP(F696,Tb_ProjectKosten[],MATCH(Tb_ProjectKosten[[#Headers],[Forfait_Percentage]],Tb_ProjectKosten[#Headers],0),0),""),X696 &lt;=0,0),"")</f>
        <v/>
      </c>
      <c r="AB696" s="314" t="str">
        <f t="shared" ca="1" si="43"/>
        <v/>
      </c>
      <c r="AC696" s="322"/>
      <c r="AD696" s="315"/>
      <c r="AE696" s="32" t="str" cm="1">
        <f t="array" ref="AE696">IFERROR(IF(INDEX(SubsidieTabel!$AD$1:$AG$12,MATCH($F696,SubsidieTabel!$AD$1:$AD$12,0),IFERROR(MATCH(Methode_Keuze,SubsidieTabel!$AD$1:$AG$1,0),2))&lt;&gt;1=TRUE,"ja",""),"")</f>
        <v/>
      </c>
    </row>
    <row r="697" spans="1:31" x14ac:dyDescent="0.25">
      <c r="A697" s="316"/>
      <c r="B697" s="317" t="str">
        <f>IF(A697&lt;&gt;"",_xlfn.MAXIFS($B$1:B696,$A$1:A696,A697)+1,"")</f>
        <v/>
      </c>
      <c r="C697" s="296"/>
      <c r="D697" s="296"/>
      <c r="E697" s="296"/>
      <c r="F697" s="296"/>
      <c r="G697" s="326"/>
      <c r="H697" s="324"/>
      <c r="I697" s="325"/>
      <c r="J697" s="325"/>
      <c r="K697" s="318"/>
      <c r="L697" s="318"/>
      <c r="M697" s="319" t="str">
        <f>IFERROR(VLOOKUP(H697,Lijsten!$H$1:$I$100,2,0),"")</f>
        <v/>
      </c>
      <c r="N697" s="319" t="str">
        <f ca="1">IFERROR(IF(VLOOKUP(F697,Kostentypen!$A$3:$E$21,3,0)=0,"",IF(OR(F697="Arbeidskosten",F697="Vergoeding"),VLOOKUP(G697,Tb_KostenTypen[],2,0),VLOOKUP(F697,Kostentypen!$A$3:$E$20,3,0))),"")</f>
        <v/>
      </c>
      <c r="O697" s="320" t="str" cm="1">
        <f t="array" ref="O697">_xlfn.IFNA(IF(INDEX(Tb_KostenOptiesDB[],MATCH($F697,Tb_KostenOptiesDB[KostenOptie],0),IFERROR(MATCH(Methode_Keuze,Tb_KostenOptiesDB[#Headers],0),2))=1,_xlfn.SWITCH($N697,"Uurtarief",IF(OR(AND(RIGHT($F697,3)="IKS",VLOOKUP($M697,DB_Loonkosten,2,0)="Ja"),AND(RIGHT($F697,3)&lt;&gt;"IKS",VLOOKUP($M697,DB_Loonkosten,2,0)="Nee")),IFERROR(VLOOKUP($M697,DB_Loonkosten,24,0),""),0),"Vast tarief",IF(LEFT(F697,8)="Bijdrage",VLOOKUP($F697,Tb_KostenTypen[],MATCH(Lijsten!$P$1,Tb_KostenTypen[#Headers],0),0),VLOOKUP($G697,Lijsten!L:P,MATCH(Lijsten!$P$1,Kop_Tarief_Vast,0),0))),""),"")</f>
        <v/>
      </c>
      <c r="P697" s="320" t="str" cm="1">
        <f t="array" ref="P697">_xlfn.IFNA(IF(INDEX(Tb_KostenOptiesDB[],MATCH($F697,Tb_KostenOptiesDB[KostenOptie],0),IFERROR(MATCH(Methode_Keuze,Tb_KostenOptiesDB[#Headers],0),2))=1,_xlfn.SWITCH($N697,"Uurtarief",IF(OR(AND(RIGHT($F697,3)="IKS",VLOOKUP($M697,DB_Loonkosten,2,0)="Ja"),AND(RIGHT($F697,3)&lt;&gt;"IKS",VLOOKUP($M697,DB_Loonkosten,2,0)="Nee")),IFERROR(VLOOKUP($M697,DB_Loonkosten,25,0),""),0),"Vast tarief",IF(LEFT(F697,8)="Bijdrage",VLOOKUP($F697,Tb_KostenTypen[],MATCH(Lijsten!$P$1,Tb_KostenTypen[#Headers],0),0),VLOOKUP($G697,Lijsten!L:P,MATCH(Lijsten!$P$1,Kop_Tarief_Vast,0),0))),""),"")</f>
        <v/>
      </c>
      <c r="Q697" s="359"/>
      <c r="R697" s="359"/>
      <c r="S697" s="321"/>
      <c r="T697" s="321"/>
      <c r="U697" s="373" t="str">
        <f t="shared" si="40"/>
        <v/>
      </c>
      <c r="V697" s="314" t="str">
        <f t="shared" si="41"/>
        <v/>
      </c>
      <c r="W697" s="314" t="str" cm="1">
        <f t="array" aca="1" ref="W697" ca="1">IFERROR(IF(AE697&lt;&gt;"ja",_xlfn.IFNA(_xlfn.IFS(AND(O697&lt;&gt;"",F697&lt;&gt;"",RIGHT($N697,6)="tarief",F697="Vergoeding"),SUM(O697)*FLOOR(SUM(Q697),0.0001),AND(O697&lt;&gt;"",F697&lt;&gt;"",RIGHT($N697,6)="tarief"),SUM(O697)*FLOOR(SUM(Q697),0.01),S697&gt;0,IF(F697&lt;&gt;"",FLOOR(SUM(S697),0.01),"")),""),""),"")</f>
        <v/>
      </c>
      <c r="X697" s="314" t="str" cm="1">
        <f t="array" aca="1" ref="X697" ca="1">IFERROR(IF(AE697&lt;&gt;"ja",_xlfn.IFNA(_xlfn.IFS(AND(P697&lt;&gt;"",R697&lt;&gt;"",RIGHT($N697,6)="tarief",F697="Vergoeding"),SUM(P697)*FLOOR(SUM(R697),0.0001),AND(P697&lt;&gt;"",R697&lt;&gt;"",RIGHT($N697,6)="tarief"),P697*FLOOR(R697,0.01),T697&gt;0,FLOOR(SUM(T697),0.01)),""),""),"")</f>
        <v/>
      </c>
      <c r="Y697" s="314" t="str">
        <f t="shared" ca="1" si="42"/>
        <v/>
      </c>
      <c r="Z697" s="314" t="str" cm="1">
        <f t="array" aca="1" ref="Z697" ca="1">IFERROR(_xlfn.IFS(OR(F697="",LEFT(Methode_Keuze,4)="Geen",Methode_Keuze=""),"",AND(W697&lt;&gt;"",F697&lt;&gt;"Arbeidskosten"),W697*VLOOKUP(F697,Tb_ProjectKosten[],MATCH(Tb_ProjectKosten[[#Headers],[Forfait_Percentage]],Tb_ProjectKosten[#Headers],0),0),AND(F697="Arbeidskosten",G697&lt;&gt;""),IFERROR(W697*VLOOKUP(G697,Tb_KostenTypen[],3,0)*VLOOKUP(F697,Tb_ProjectKosten[],MATCH(Tb_ProjectKosten[[#Headers],[Forfait_Percentage]],Tb_ProjectKosten[#Headers],0),0),""),W697 &lt;=0,0),"")</f>
        <v/>
      </c>
      <c r="AA697" s="314" t="str" cm="1">
        <f t="array" aca="1" ref="AA697" ca="1">IFERROR(_xlfn.IFS(OR(F697="",LEFT(Methode_Keuze,4)="Geen",Methode_Keuze=""),"",AND(X697&lt;&gt;"",F697&lt;&gt;"Arbeidskosten"),X697*VLOOKUP(F697,Tb_ProjectKosten[],MATCH(Tb_ProjectKosten[[#Headers],[Forfait_Percentage]],Tb_ProjectKosten[#Headers],0),0),AND(F697="Arbeidskosten",G697&lt;&gt;""),IFERROR(X697*VLOOKUP(G697,Tb_KostenTypen[],3,0)*VLOOKUP(F697,Tb_ProjectKosten[],MATCH(Tb_ProjectKosten[[#Headers],[Forfait_Percentage]],Tb_ProjectKosten[#Headers],0),0),""),X697 &lt;=0,0),"")</f>
        <v/>
      </c>
      <c r="AB697" s="314" t="str">
        <f t="shared" ca="1" si="43"/>
        <v/>
      </c>
      <c r="AC697" s="322"/>
      <c r="AD697" s="315"/>
      <c r="AE697" s="32" t="str" cm="1">
        <f t="array" ref="AE697">IFERROR(IF(INDEX(SubsidieTabel!$AD$1:$AG$12,MATCH($F697,SubsidieTabel!$AD$1:$AD$12,0),IFERROR(MATCH(Methode_Keuze,SubsidieTabel!$AD$1:$AG$1,0),2))&lt;&gt;1=TRUE,"ja",""),"")</f>
        <v/>
      </c>
    </row>
    <row r="698" spans="1:31" x14ac:dyDescent="0.25">
      <c r="A698" s="316"/>
      <c r="B698" s="317" t="str">
        <f>IF(A698&lt;&gt;"",_xlfn.MAXIFS($B$1:B697,$A$1:A697,A698)+1,"")</f>
        <v/>
      </c>
      <c r="C698" s="296"/>
      <c r="D698" s="296"/>
      <c r="E698" s="296"/>
      <c r="F698" s="296"/>
      <c r="G698" s="326"/>
      <c r="H698" s="324"/>
      <c r="I698" s="325"/>
      <c r="J698" s="325"/>
      <c r="K698" s="318"/>
      <c r="L698" s="318"/>
      <c r="M698" s="319" t="str">
        <f>IFERROR(VLOOKUP(H698,Lijsten!$H$1:$I$100,2,0),"")</f>
        <v/>
      </c>
      <c r="N698" s="319" t="str">
        <f ca="1">IFERROR(IF(VLOOKUP(F698,Kostentypen!$A$3:$E$21,3,0)=0,"",IF(OR(F698="Arbeidskosten",F698="Vergoeding"),VLOOKUP(G698,Tb_KostenTypen[],2,0),VLOOKUP(F698,Kostentypen!$A$3:$E$20,3,0))),"")</f>
        <v/>
      </c>
      <c r="O698" s="320" t="str" cm="1">
        <f t="array" ref="O698">_xlfn.IFNA(IF(INDEX(Tb_KostenOptiesDB[],MATCH($F698,Tb_KostenOptiesDB[KostenOptie],0),IFERROR(MATCH(Methode_Keuze,Tb_KostenOptiesDB[#Headers],0),2))=1,_xlfn.SWITCH($N698,"Uurtarief",IF(OR(AND(RIGHT($F698,3)="IKS",VLOOKUP($M698,DB_Loonkosten,2,0)="Ja"),AND(RIGHT($F698,3)&lt;&gt;"IKS",VLOOKUP($M698,DB_Loonkosten,2,0)="Nee")),IFERROR(VLOOKUP($M698,DB_Loonkosten,24,0),""),0),"Vast tarief",IF(LEFT(F698,8)="Bijdrage",VLOOKUP($F698,Tb_KostenTypen[],MATCH(Lijsten!$P$1,Tb_KostenTypen[#Headers],0),0),VLOOKUP($G698,Lijsten!L:P,MATCH(Lijsten!$P$1,Kop_Tarief_Vast,0),0))),""),"")</f>
        <v/>
      </c>
      <c r="P698" s="320" t="str" cm="1">
        <f t="array" ref="P698">_xlfn.IFNA(IF(INDEX(Tb_KostenOptiesDB[],MATCH($F698,Tb_KostenOptiesDB[KostenOptie],0),IFERROR(MATCH(Methode_Keuze,Tb_KostenOptiesDB[#Headers],0),2))=1,_xlfn.SWITCH($N698,"Uurtarief",IF(OR(AND(RIGHT($F698,3)="IKS",VLOOKUP($M698,DB_Loonkosten,2,0)="Ja"),AND(RIGHT($F698,3)&lt;&gt;"IKS",VLOOKUP($M698,DB_Loonkosten,2,0)="Nee")),IFERROR(VLOOKUP($M698,DB_Loonkosten,25,0),""),0),"Vast tarief",IF(LEFT(F698,8)="Bijdrage",VLOOKUP($F698,Tb_KostenTypen[],MATCH(Lijsten!$P$1,Tb_KostenTypen[#Headers],0),0),VLOOKUP($G698,Lijsten!L:P,MATCH(Lijsten!$P$1,Kop_Tarief_Vast,0),0))),""),"")</f>
        <v/>
      </c>
      <c r="Q698" s="359"/>
      <c r="R698" s="359"/>
      <c r="S698" s="321"/>
      <c r="T698" s="321"/>
      <c r="U698" s="373" t="str">
        <f t="shared" si="40"/>
        <v/>
      </c>
      <c r="V698" s="314" t="str">
        <f t="shared" si="41"/>
        <v/>
      </c>
      <c r="W698" s="314" t="str" cm="1">
        <f t="array" aca="1" ref="W698" ca="1">IFERROR(IF(AE698&lt;&gt;"ja",_xlfn.IFNA(_xlfn.IFS(AND(O698&lt;&gt;"",F698&lt;&gt;"",RIGHT($N698,6)="tarief",F698="Vergoeding"),SUM(O698)*FLOOR(SUM(Q698),0.0001),AND(O698&lt;&gt;"",F698&lt;&gt;"",RIGHT($N698,6)="tarief"),SUM(O698)*FLOOR(SUM(Q698),0.01),S698&gt;0,IF(F698&lt;&gt;"",FLOOR(SUM(S698),0.01),"")),""),""),"")</f>
        <v/>
      </c>
      <c r="X698" s="314" t="str" cm="1">
        <f t="array" aca="1" ref="X698" ca="1">IFERROR(IF(AE698&lt;&gt;"ja",_xlfn.IFNA(_xlfn.IFS(AND(P698&lt;&gt;"",R698&lt;&gt;"",RIGHT($N698,6)="tarief",F698="Vergoeding"),SUM(P698)*FLOOR(SUM(R698),0.0001),AND(P698&lt;&gt;"",R698&lt;&gt;"",RIGHT($N698,6)="tarief"),P698*FLOOR(R698,0.01),T698&gt;0,FLOOR(SUM(T698),0.01)),""),""),"")</f>
        <v/>
      </c>
      <c r="Y698" s="314" t="str">
        <f t="shared" ca="1" si="42"/>
        <v/>
      </c>
      <c r="Z698" s="314" t="str" cm="1">
        <f t="array" aca="1" ref="Z698" ca="1">IFERROR(_xlfn.IFS(OR(F698="",LEFT(Methode_Keuze,4)="Geen",Methode_Keuze=""),"",AND(W698&lt;&gt;"",F698&lt;&gt;"Arbeidskosten"),W698*VLOOKUP(F698,Tb_ProjectKosten[],MATCH(Tb_ProjectKosten[[#Headers],[Forfait_Percentage]],Tb_ProjectKosten[#Headers],0),0),AND(F698="Arbeidskosten",G698&lt;&gt;""),IFERROR(W698*VLOOKUP(G698,Tb_KostenTypen[],3,0)*VLOOKUP(F698,Tb_ProjectKosten[],MATCH(Tb_ProjectKosten[[#Headers],[Forfait_Percentage]],Tb_ProjectKosten[#Headers],0),0),""),W698 &lt;=0,0),"")</f>
        <v/>
      </c>
      <c r="AA698" s="314" t="str" cm="1">
        <f t="array" aca="1" ref="AA698" ca="1">IFERROR(_xlfn.IFS(OR(F698="",LEFT(Methode_Keuze,4)="Geen",Methode_Keuze=""),"",AND(X698&lt;&gt;"",F698&lt;&gt;"Arbeidskosten"),X698*VLOOKUP(F698,Tb_ProjectKosten[],MATCH(Tb_ProjectKosten[[#Headers],[Forfait_Percentage]],Tb_ProjectKosten[#Headers],0),0),AND(F698="Arbeidskosten",G698&lt;&gt;""),IFERROR(X698*VLOOKUP(G698,Tb_KostenTypen[],3,0)*VLOOKUP(F698,Tb_ProjectKosten[],MATCH(Tb_ProjectKosten[[#Headers],[Forfait_Percentage]],Tb_ProjectKosten[#Headers],0),0),""),X698 &lt;=0,0),"")</f>
        <v/>
      </c>
      <c r="AB698" s="314" t="str">
        <f t="shared" ca="1" si="43"/>
        <v/>
      </c>
      <c r="AC698" s="322"/>
      <c r="AD698" s="315"/>
      <c r="AE698" s="32" t="str" cm="1">
        <f t="array" ref="AE698">IFERROR(IF(INDEX(SubsidieTabel!$AD$1:$AG$12,MATCH($F698,SubsidieTabel!$AD$1:$AD$12,0),IFERROR(MATCH(Methode_Keuze,SubsidieTabel!$AD$1:$AG$1,0),2))&lt;&gt;1=TRUE,"ja",""),"")</f>
        <v/>
      </c>
    </row>
    <row r="699" spans="1:31" x14ac:dyDescent="0.25">
      <c r="A699" s="316"/>
      <c r="B699" s="317" t="str">
        <f>IF(A699&lt;&gt;"",_xlfn.MAXIFS($B$1:B698,$A$1:A698,A699)+1,"")</f>
        <v/>
      </c>
      <c r="C699" s="296"/>
      <c r="D699" s="296"/>
      <c r="E699" s="296"/>
      <c r="F699" s="296"/>
      <c r="G699" s="326"/>
      <c r="H699" s="324"/>
      <c r="I699" s="325"/>
      <c r="J699" s="325"/>
      <c r="K699" s="318"/>
      <c r="L699" s="318"/>
      <c r="M699" s="319" t="str">
        <f>IFERROR(VLOOKUP(H699,Lijsten!$H$1:$I$100,2,0),"")</f>
        <v/>
      </c>
      <c r="N699" s="319" t="str">
        <f ca="1">IFERROR(IF(VLOOKUP(F699,Kostentypen!$A$3:$E$21,3,0)=0,"",IF(OR(F699="Arbeidskosten",F699="Vergoeding"),VLOOKUP(G699,Tb_KostenTypen[],2,0),VLOOKUP(F699,Kostentypen!$A$3:$E$20,3,0))),"")</f>
        <v/>
      </c>
      <c r="O699" s="320" t="str" cm="1">
        <f t="array" ref="O699">_xlfn.IFNA(IF(INDEX(Tb_KostenOptiesDB[],MATCH($F699,Tb_KostenOptiesDB[KostenOptie],0),IFERROR(MATCH(Methode_Keuze,Tb_KostenOptiesDB[#Headers],0),2))=1,_xlfn.SWITCH($N699,"Uurtarief",IF(OR(AND(RIGHT($F699,3)="IKS",VLOOKUP($M699,DB_Loonkosten,2,0)="Ja"),AND(RIGHT($F699,3)&lt;&gt;"IKS",VLOOKUP($M699,DB_Loonkosten,2,0)="Nee")),IFERROR(VLOOKUP($M699,DB_Loonkosten,24,0),""),0),"Vast tarief",IF(LEFT(F699,8)="Bijdrage",VLOOKUP($F699,Tb_KostenTypen[],MATCH(Lijsten!$P$1,Tb_KostenTypen[#Headers],0),0),VLOOKUP($G699,Lijsten!L:P,MATCH(Lijsten!$P$1,Kop_Tarief_Vast,0),0))),""),"")</f>
        <v/>
      </c>
      <c r="P699" s="320" t="str" cm="1">
        <f t="array" ref="P699">_xlfn.IFNA(IF(INDEX(Tb_KostenOptiesDB[],MATCH($F699,Tb_KostenOptiesDB[KostenOptie],0),IFERROR(MATCH(Methode_Keuze,Tb_KostenOptiesDB[#Headers],0),2))=1,_xlfn.SWITCH($N699,"Uurtarief",IF(OR(AND(RIGHT($F699,3)="IKS",VLOOKUP($M699,DB_Loonkosten,2,0)="Ja"),AND(RIGHT($F699,3)&lt;&gt;"IKS",VLOOKUP($M699,DB_Loonkosten,2,0)="Nee")),IFERROR(VLOOKUP($M699,DB_Loonkosten,25,0),""),0),"Vast tarief",IF(LEFT(F699,8)="Bijdrage",VLOOKUP($F699,Tb_KostenTypen[],MATCH(Lijsten!$P$1,Tb_KostenTypen[#Headers],0),0),VLOOKUP($G699,Lijsten!L:P,MATCH(Lijsten!$P$1,Kop_Tarief_Vast,0),0))),""),"")</f>
        <v/>
      </c>
      <c r="Q699" s="359"/>
      <c r="R699" s="359"/>
      <c r="S699" s="321"/>
      <c r="T699" s="321"/>
      <c r="U699" s="373" t="str">
        <f t="shared" si="40"/>
        <v/>
      </c>
      <c r="V699" s="314" t="str">
        <f t="shared" si="41"/>
        <v/>
      </c>
      <c r="W699" s="314" t="str" cm="1">
        <f t="array" aca="1" ref="W699" ca="1">IFERROR(IF(AE699&lt;&gt;"ja",_xlfn.IFNA(_xlfn.IFS(AND(O699&lt;&gt;"",F699&lt;&gt;"",RIGHT($N699,6)="tarief",F699="Vergoeding"),SUM(O699)*FLOOR(SUM(Q699),0.0001),AND(O699&lt;&gt;"",F699&lt;&gt;"",RIGHT($N699,6)="tarief"),SUM(O699)*FLOOR(SUM(Q699),0.01),S699&gt;0,IF(F699&lt;&gt;"",FLOOR(SUM(S699),0.01),"")),""),""),"")</f>
        <v/>
      </c>
      <c r="X699" s="314" t="str" cm="1">
        <f t="array" aca="1" ref="X699" ca="1">IFERROR(IF(AE699&lt;&gt;"ja",_xlfn.IFNA(_xlfn.IFS(AND(P699&lt;&gt;"",R699&lt;&gt;"",RIGHT($N699,6)="tarief",F699="Vergoeding"),SUM(P699)*FLOOR(SUM(R699),0.0001),AND(P699&lt;&gt;"",R699&lt;&gt;"",RIGHT($N699,6)="tarief"),P699*FLOOR(R699,0.01),T699&gt;0,FLOOR(SUM(T699),0.01)),""),""),"")</f>
        <v/>
      </c>
      <c r="Y699" s="314" t="str">
        <f t="shared" ca="1" si="42"/>
        <v/>
      </c>
      <c r="Z699" s="314" t="str" cm="1">
        <f t="array" aca="1" ref="Z699" ca="1">IFERROR(_xlfn.IFS(OR(F699="",LEFT(Methode_Keuze,4)="Geen",Methode_Keuze=""),"",AND(W699&lt;&gt;"",F699&lt;&gt;"Arbeidskosten"),W699*VLOOKUP(F699,Tb_ProjectKosten[],MATCH(Tb_ProjectKosten[[#Headers],[Forfait_Percentage]],Tb_ProjectKosten[#Headers],0),0),AND(F699="Arbeidskosten",G699&lt;&gt;""),IFERROR(W699*VLOOKUP(G699,Tb_KostenTypen[],3,0)*VLOOKUP(F699,Tb_ProjectKosten[],MATCH(Tb_ProjectKosten[[#Headers],[Forfait_Percentage]],Tb_ProjectKosten[#Headers],0),0),""),W699 &lt;=0,0),"")</f>
        <v/>
      </c>
      <c r="AA699" s="314" t="str" cm="1">
        <f t="array" aca="1" ref="AA699" ca="1">IFERROR(_xlfn.IFS(OR(F699="",LEFT(Methode_Keuze,4)="Geen",Methode_Keuze=""),"",AND(X699&lt;&gt;"",F699&lt;&gt;"Arbeidskosten"),X699*VLOOKUP(F699,Tb_ProjectKosten[],MATCH(Tb_ProjectKosten[[#Headers],[Forfait_Percentage]],Tb_ProjectKosten[#Headers],0),0),AND(F699="Arbeidskosten",G699&lt;&gt;""),IFERROR(X699*VLOOKUP(G699,Tb_KostenTypen[],3,0)*VLOOKUP(F699,Tb_ProjectKosten[],MATCH(Tb_ProjectKosten[[#Headers],[Forfait_Percentage]],Tb_ProjectKosten[#Headers],0),0),""),X699 &lt;=0,0),"")</f>
        <v/>
      </c>
      <c r="AB699" s="314" t="str">
        <f t="shared" ca="1" si="43"/>
        <v/>
      </c>
      <c r="AC699" s="322"/>
      <c r="AD699" s="315"/>
      <c r="AE699" s="32" t="str" cm="1">
        <f t="array" ref="AE699">IFERROR(IF(INDEX(SubsidieTabel!$AD$1:$AG$12,MATCH($F699,SubsidieTabel!$AD$1:$AD$12,0),IFERROR(MATCH(Methode_Keuze,SubsidieTabel!$AD$1:$AG$1,0),2))&lt;&gt;1=TRUE,"ja",""),"")</f>
        <v/>
      </c>
    </row>
    <row r="700" spans="1:31" x14ac:dyDescent="0.25">
      <c r="A700" s="316"/>
      <c r="B700" s="317" t="str">
        <f>IF(A700&lt;&gt;"",_xlfn.MAXIFS($B$1:B699,$A$1:A699,A700)+1,"")</f>
        <v/>
      </c>
      <c r="C700" s="296"/>
      <c r="D700" s="296"/>
      <c r="E700" s="296"/>
      <c r="F700" s="296"/>
      <c r="G700" s="326"/>
      <c r="H700" s="324"/>
      <c r="I700" s="325"/>
      <c r="J700" s="325"/>
      <c r="K700" s="318"/>
      <c r="L700" s="318"/>
      <c r="M700" s="319" t="str">
        <f>IFERROR(VLOOKUP(H700,Lijsten!$H$1:$I$100,2,0),"")</f>
        <v/>
      </c>
      <c r="N700" s="319" t="str">
        <f ca="1">IFERROR(IF(VLOOKUP(F700,Kostentypen!$A$3:$E$21,3,0)=0,"",IF(OR(F700="Arbeidskosten",F700="Vergoeding"),VLOOKUP(G700,Tb_KostenTypen[],2,0),VLOOKUP(F700,Kostentypen!$A$3:$E$20,3,0))),"")</f>
        <v/>
      </c>
      <c r="O700" s="320" t="str" cm="1">
        <f t="array" ref="O700">_xlfn.IFNA(IF(INDEX(Tb_KostenOptiesDB[],MATCH($F700,Tb_KostenOptiesDB[KostenOptie],0),IFERROR(MATCH(Methode_Keuze,Tb_KostenOptiesDB[#Headers],0),2))=1,_xlfn.SWITCH($N700,"Uurtarief",IF(OR(AND(RIGHT($F700,3)="IKS",VLOOKUP($M700,DB_Loonkosten,2,0)="Ja"),AND(RIGHT($F700,3)&lt;&gt;"IKS",VLOOKUP($M700,DB_Loonkosten,2,0)="Nee")),IFERROR(VLOOKUP($M700,DB_Loonkosten,24,0),""),0),"Vast tarief",IF(LEFT(F700,8)="Bijdrage",VLOOKUP($F700,Tb_KostenTypen[],MATCH(Lijsten!$P$1,Tb_KostenTypen[#Headers],0),0),VLOOKUP($G700,Lijsten!L:P,MATCH(Lijsten!$P$1,Kop_Tarief_Vast,0),0))),""),"")</f>
        <v/>
      </c>
      <c r="P700" s="320" t="str" cm="1">
        <f t="array" ref="P700">_xlfn.IFNA(IF(INDEX(Tb_KostenOptiesDB[],MATCH($F700,Tb_KostenOptiesDB[KostenOptie],0),IFERROR(MATCH(Methode_Keuze,Tb_KostenOptiesDB[#Headers],0),2))=1,_xlfn.SWITCH($N700,"Uurtarief",IF(OR(AND(RIGHT($F700,3)="IKS",VLOOKUP($M700,DB_Loonkosten,2,0)="Ja"),AND(RIGHT($F700,3)&lt;&gt;"IKS",VLOOKUP($M700,DB_Loonkosten,2,0)="Nee")),IFERROR(VLOOKUP($M700,DB_Loonkosten,25,0),""),0),"Vast tarief",IF(LEFT(F700,8)="Bijdrage",VLOOKUP($F700,Tb_KostenTypen[],MATCH(Lijsten!$P$1,Tb_KostenTypen[#Headers],0),0),VLOOKUP($G700,Lijsten!L:P,MATCH(Lijsten!$P$1,Kop_Tarief_Vast,0),0))),""),"")</f>
        <v/>
      </c>
      <c r="Q700" s="359"/>
      <c r="R700" s="359"/>
      <c r="S700" s="321"/>
      <c r="T700" s="321"/>
      <c r="U700" s="373" t="str">
        <f t="shared" si="40"/>
        <v/>
      </c>
      <c r="V700" s="314" t="str">
        <f t="shared" si="41"/>
        <v/>
      </c>
      <c r="W700" s="314" t="str" cm="1">
        <f t="array" aca="1" ref="W700" ca="1">IFERROR(IF(AE700&lt;&gt;"ja",_xlfn.IFNA(_xlfn.IFS(AND(O700&lt;&gt;"",F700&lt;&gt;"",RIGHT($N700,6)="tarief",F700="Vergoeding"),SUM(O700)*FLOOR(SUM(Q700),0.0001),AND(O700&lt;&gt;"",F700&lt;&gt;"",RIGHT($N700,6)="tarief"),SUM(O700)*FLOOR(SUM(Q700),0.01),S700&gt;0,IF(F700&lt;&gt;"",FLOOR(SUM(S700),0.01),"")),""),""),"")</f>
        <v/>
      </c>
      <c r="X700" s="314" t="str" cm="1">
        <f t="array" aca="1" ref="X700" ca="1">IFERROR(IF(AE700&lt;&gt;"ja",_xlfn.IFNA(_xlfn.IFS(AND(P700&lt;&gt;"",R700&lt;&gt;"",RIGHT($N700,6)="tarief",F700="Vergoeding"),SUM(P700)*FLOOR(SUM(R700),0.0001),AND(P700&lt;&gt;"",R700&lt;&gt;"",RIGHT($N700,6)="tarief"),P700*FLOOR(R700,0.01),T700&gt;0,FLOOR(SUM(T700),0.01)),""),""),"")</f>
        <v/>
      </c>
      <c r="Y700" s="314" t="str">
        <f t="shared" ca="1" si="42"/>
        <v/>
      </c>
      <c r="Z700" s="314" t="str" cm="1">
        <f t="array" aca="1" ref="Z700" ca="1">IFERROR(_xlfn.IFS(OR(F700="",LEFT(Methode_Keuze,4)="Geen",Methode_Keuze=""),"",AND(W700&lt;&gt;"",F700&lt;&gt;"Arbeidskosten"),W700*VLOOKUP(F700,Tb_ProjectKosten[],MATCH(Tb_ProjectKosten[[#Headers],[Forfait_Percentage]],Tb_ProjectKosten[#Headers],0),0),AND(F700="Arbeidskosten",G700&lt;&gt;""),IFERROR(W700*VLOOKUP(G700,Tb_KostenTypen[],3,0)*VLOOKUP(F700,Tb_ProjectKosten[],MATCH(Tb_ProjectKosten[[#Headers],[Forfait_Percentage]],Tb_ProjectKosten[#Headers],0),0),""),W700 &lt;=0,0),"")</f>
        <v/>
      </c>
      <c r="AA700" s="314" t="str" cm="1">
        <f t="array" aca="1" ref="AA700" ca="1">IFERROR(_xlfn.IFS(OR(F700="",LEFT(Methode_Keuze,4)="Geen",Methode_Keuze=""),"",AND(X700&lt;&gt;"",F700&lt;&gt;"Arbeidskosten"),X700*VLOOKUP(F700,Tb_ProjectKosten[],MATCH(Tb_ProjectKosten[[#Headers],[Forfait_Percentage]],Tb_ProjectKosten[#Headers],0),0),AND(F700="Arbeidskosten",G700&lt;&gt;""),IFERROR(X700*VLOOKUP(G700,Tb_KostenTypen[],3,0)*VLOOKUP(F700,Tb_ProjectKosten[],MATCH(Tb_ProjectKosten[[#Headers],[Forfait_Percentage]],Tb_ProjectKosten[#Headers],0),0),""),X700 &lt;=0,0),"")</f>
        <v/>
      </c>
      <c r="AB700" s="314" t="str">
        <f t="shared" ca="1" si="43"/>
        <v/>
      </c>
      <c r="AC700" s="322"/>
      <c r="AD700" s="315"/>
      <c r="AE700" s="32" t="str" cm="1">
        <f t="array" ref="AE700">IFERROR(IF(INDEX(SubsidieTabel!$AD$1:$AG$12,MATCH($F700,SubsidieTabel!$AD$1:$AD$12,0),IFERROR(MATCH(Methode_Keuze,SubsidieTabel!$AD$1:$AG$1,0),2))&lt;&gt;1=TRUE,"ja",""),"")</f>
        <v/>
      </c>
    </row>
    <row r="701" spans="1:31" x14ac:dyDescent="0.25">
      <c r="A701" s="316"/>
      <c r="B701" s="317" t="str">
        <f>IF(A701&lt;&gt;"",_xlfn.MAXIFS($B$1:B700,$A$1:A700,A701)+1,"")</f>
        <v/>
      </c>
      <c r="C701" s="296"/>
      <c r="D701" s="296"/>
      <c r="E701" s="296"/>
      <c r="F701" s="296"/>
      <c r="G701" s="326"/>
      <c r="H701" s="324"/>
      <c r="I701" s="325"/>
      <c r="J701" s="325"/>
      <c r="K701" s="318"/>
      <c r="L701" s="318"/>
      <c r="M701" s="319" t="str">
        <f>IFERROR(VLOOKUP(H701,Lijsten!$H$1:$I$100,2,0),"")</f>
        <v/>
      </c>
      <c r="N701" s="319" t="str">
        <f ca="1">IFERROR(IF(VLOOKUP(F701,Kostentypen!$A$3:$E$21,3,0)=0,"",IF(OR(F701="Arbeidskosten",F701="Vergoeding"),VLOOKUP(G701,Tb_KostenTypen[],2,0),VLOOKUP(F701,Kostentypen!$A$3:$E$20,3,0))),"")</f>
        <v/>
      </c>
      <c r="O701" s="320" t="str" cm="1">
        <f t="array" ref="O701">_xlfn.IFNA(IF(INDEX(Tb_KostenOptiesDB[],MATCH($F701,Tb_KostenOptiesDB[KostenOptie],0),IFERROR(MATCH(Methode_Keuze,Tb_KostenOptiesDB[#Headers],0),2))=1,_xlfn.SWITCH($N701,"Uurtarief",IF(OR(AND(RIGHT($F701,3)="IKS",VLOOKUP($M701,DB_Loonkosten,2,0)="Ja"),AND(RIGHT($F701,3)&lt;&gt;"IKS",VLOOKUP($M701,DB_Loonkosten,2,0)="Nee")),IFERROR(VLOOKUP($M701,DB_Loonkosten,24,0),""),0),"Vast tarief",IF(LEFT(F701,8)="Bijdrage",VLOOKUP($F701,Tb_KostenTypen[],MATCH(Lijsten!$P$1,Tb_KostenTypen[#Headers],0),0),VLOOKUP($G701,Lijsten!L:P,MATCH(Lijsten!$P$1,Kop_Tarief_Vast,0),0))),""),"")</f>
        <v/>
      </c>
      <c r="P701" s="320" t="str" cm="1">
        <f t="array" ref="P701">_xlfn.IFNA(IF(INDEX(Tb_KostenOptiesDB[],MATCH($F701,Tb_KostenOptiesDB[KostenOptie],0),IFERROR(MATCH(Methode_Keuze,Tb_KostenOptiesDB[#Headers],0),2))=1,_xlfn.SWITCH($N701,"Uurtarief",IF(OR(AND(RIGHT($F701,3)="IKS",VLOOKUP($M701,DB_Loonkosten,2,0)="Ja"),AND(RIGHT($F701,3)&lt;&gt;"IKS",VLOOKUP($M701,DB_Loonkosten,2,0)="Nee")),IFERROR(VLOOKUP($M701,DB_Loonkosten,25,0),""),0),"Vast tarief",IF(LEFT(F701,8)="Bijdrage",VLOOKUP($F701,Tb_KostenTypen[],MATCH(Lijsten!$P$1,Tb_KostenTypen[#Headers],0),0),VLOOKUP($G701,Lijsten!L:P,MATCH(Lijsten!$P$1,Kop_Tarief_Vast,0),0))),""),"")</f>
        <v/>
      </c>
      <c r="Q701" s="359"/>
      <c r="R701" s="359"/>
      <c r="S701" s="321"/>
      <c r="T701" s="321"/>
      <c r="U701" s="373" t="str">
        <f t="shared" si="40"/>
        <v/>
      </c>
      <c r="V701" s="314" t="str">
        <f t="shared" si="41"/>
        <v/>
      </c>
      <c r="W701" s="314" t="str" cm="1">
        <f t="array" aca="1" ref="W701" ca="1">IFERROR(IF(AE701&lt;&gt;"ja",_xlfn.IFNA(_xlfn.IFS(AND(O701&lt;&gt;"",F701&lt;&gt;"",RIGHT($N701,6)="tarief",F701="Vergoeding"),SUM(O701)*FLOOR(SUM(Q701),0.0001),AND(O701&lt;&gt;"",F701&lt;&gt;"",RIGHT($N701,6)="tarief"),SUM(O701)*FLOOR(SUM(Q701),0.01),S701&gt;0,IF(F701&lt;&gt;"",FLOOR(SUM(S701),0.01),"")),""),""),"")</f>
        <v/>
      </c>
      <c r="X701" s="314" t="str" cm="1">
        <f t="array" aca="1" ref="X701" ca="1">IFERROR(IF(AE701&lt;&gt;"ja",_xlfn.IFNA(_xlfn.IFS(AND(P701&lt;&gt;"",R701&lt;&gt;"",RIGHT($N701,6)="tarief",F701="Vergoeding"),SUM(P701)*FLOOR(SUM(R701),0.0001),AND(P701&lt;&gt;"",R701&lt;&gt;"",RIGHT($N701,6)="tarief"),P701*FLOOR(R701,0.01),T701&gt;0,FLOOR(SUM(T701),0.01)),""),""),"")</f>
        <v/>
      </c>
      <c r="Y701" s="314" t="str">
        <f t="shared" ca="1" si="42"/>
        <v/>
      </c>
      <c r="Z701" s="314" t="str" cm="1">
        <f t="array" aca="1" ref="Z701" ca="1">IFERROR(_xlfn.IFS(OR(F701="",LEFT(Methode_Keuze,4)="Geen",Methode_Keuze=""),"",AND(W701&lt;&gt;"",F701&lt;&gt;"Arbeidskosten"),W701*VLOOKUP(F701,Tb_ProjectKosten[],MATCH(Tb_ProjectKosten[[#Headers],[Forfait_Percentage]],Tb_ProjectKosten[#Headers],0),0),AND(F701="Arbeidskosten",G701&lt;&gt;""),IFERROR(W701*VLOOKUP(G701,Tb_KostenTypen[],3,0)*VLOOKUP(F701,Tb_ProjectKosten[],MATCH(Tb_ProjectKosten[[#Headers],[Forfait_Percentage]],Tb_ProjectKosten[#Headers],0),0),""),W701 &lt;=0,0),"")</f>
        <v/>
      </c>
      <c r="AA701" s="314" t="str" cm="1">
        <f t="array" aca="1" ref="AA701" ca="1">IFERROR(_xlfn.IFS(OR(F701="",LEFT(Methode_Keuze,4)="Geen",Methode_Keuze=""),"",AND(X701&lt;&gt;"",F701&lt;&gt;"Arbeidskosten"),X701*VLOOKUP(F701,Tb_ProjectKosten[],MATCH(Tb_ProjectKosten[[#Headers],[Forfait_Percentage]],Tb_ProjectKosten[#Headers],0),0),AND(F701="Arbeidskosten",G701&lt;&gt;""),IFERROR(X701*VLOOKUP(G701,Tb_KostenTypen[],3,0)*VLOOKUP(F701,Tb_ProjectKosten[],MATCH(Tb_ProjectKosten[[#Headers],[Forfait_Percentage]],Tb_ProjectKosten[#Headers],0),0),""),X701 &lt;=0,0),"")</f>
        <v/>
      </c>
      <c r="AB701" s="314" t="str">
        <f t="shared" ca="1" si="43"/>
        <v/>
      </c>
      <c r="AC701" s="322"/>
      <c r="AD701" s="315"/>
      <c r="AE701" s="32" t="str" cm="1">
        <f t="array" ref="AE701">IFERROR(IF(INDEX(SubsidieTabel!$AD$1:$AG$12,MATCH($F701,SubsidieTabel!$AD$1:$AD$12,0),IFERROR(MATCH(Methode_Keuze,SubsidieTabel!$AD$1:$AG$1,0),2))&lt;&gt;1=TRUE,"ja",""),"")</f>
        <v/>
      </c>
    </row>
    <row r="702" spans="1:31" x14ac:dyDescent="0.25">
      <c r="A702" s="316"/>
      <c r="B702" s="317" t="str">
        <f>IF(A702&lt;&gt;"",_xlfn.MAXIFS($B$1:B701,$A$1:A701,A702)+1,"")</f>
        <v/>
      </c>
      <c r="C702" s="296"/>
      <c r="D702" s="296"/>
      <c r="E702" s="296"/>
      <c r="F702" s="296"/>
      <c r="G702" s="326"/>
      <c r="H702" s="324"/>
      <c r="I702" s="325"/>
      <c r="J702" s="325"/>
      <c r="K702" s="318"/>
      <c r="L702" s="318"/>
      <c r="M702" s="319" t="str">
        <f>IFERROR(VLOOKUP(H702,Lijsten!$H$1:$I$100,2,0),"")</f>
        <v/>
      </c>
      <c r="N702" s="319" t="str">
        <f ca="1">IFERROR(IF(VLOOKUP(F702,Kostentypen!$A$3:$E$21,3,0)=0,"",IF(OR(F702="Arbeidskosten",F702="Vergoeding"),VLOOKUP(G702,Tb_KostenTypen[],2,0),VLOOKUP(F702,Kostentypen!$A$3:$E$20,3,0))),"")</f>
        <v/>
      </c>
      <c r="O702" s="320" t="str" cm="1">
        <f t="array" ref="O702">_xlfn.IFNA(IF(INDEX(Tb_KostenOptiesDB[],MATCH($F702,Tb_KostenOptiesDB[KostenOptie],0),IFERROR(MATCH(Methode_Keuze,Tb_KostenOptiesDB[#Headers],0),2))=1,_xlfn.SWITCH($N702,"Uurtarief",IF(OR(AND(RIGHT($F702,3)="IKS",VLOOKUP($M702,DB_Loonkosten,2,0)="Ja"),AND(RIGHT($F702,3)&lt;&gt;"IKS",VLOOKUP($M702,DB_Loonkosten,2,0)="Nee")),IFERROR(VLOOKUP($M702,DB_Loonkosten,24,0),""),0),"Vast tarief",IF(LEFT(F702,8)="Bijdrage",VLOOKUP($F702,Tb_KostenTypen[],MATCH(Lijsten!$P$1,Tb_KostenTypen[#Headers],0),0),VLOOKUP($G702,Lijsten!L:P,MATCH(Lijsten!$P$1,Kop_Tarief_Vast,0),0))),""),"")</f>
        <v/>
      </c>
      <c r="P702" s="320" t="str" cm="1">
        <f t="array" ref="P702">_xlfn.IFNA(IF(INDEX(Tb_KostenOptiesDB[],MATCH($F702,Tb_KostenOptiesDB[KostenOptie],0),IFERROR(MATCH(Methode_Keuze,Tb_KostenOptiesDB[#Headers],0),2))=1,_xlfn.SWITCH($N702,"Uurtarief",IF(OR(AND(RIGHT($F702,3)="IKS",VLOOKUP($M702,DB_Loonkosten,2,0)="Ja"),AND(RIGHT($F702,3)&lt;&gt;"IKS",VLOOKUP($M702,DB_Loonkosten,2,0)="Nee")),IFERROR(VLOOKUP($M702,DB_Loonkosten,25,0),""),0),"Vast tarief",IF(LEFT(F702,8)="Bijdrage",VLOOKUP($F702,Tb_KostenTypen[],MATCH(Lijsten!$P$1,Tb_KostenTypen[#Headers],0),0),VLOOKUP($G702,Lijsten!L:P,MATCH(Lijsten!$P$1,Kop_Tarief_Vast,0),0))),""),"")</f>
        <v/>
      </c>
      <c r="Q702" s="359"/>
      <c r="R702" s="359"/>
      <c r="S702" s="321"/>
      <c r="T702" s="321"/>
      <c r="U702" s="373" t="str">
        <f t="shared" si="40"/>
        <v/>
      </c>
      <c r="V702" s="314" t="str">
        <f t="shared" si="41"/>
        <v/>
      </c>
      <c r="W702" s="314" t="str" cm="1">
        <f t="array" aca="1" ref="W702" ca="1">IFERROR(IF(AE702&lt;&gt;"ja",_xlfn.IFNA(_xlfn.IFS(AND(O702&lt;&gt;"",F702&lt;&gt;"",RIGHT($N702,6)="tarief",F702="Vergoeding"),SUM(O702)*FLOOR(SUM(Q702),0.0001),AND(O702&lt;&gt;"",F702&lt;&gt;"",RIGHT($N702,6)="tarief"),SUM(O702)*FLOOR(SUM(Q702),0.01),S702&gt;0,IF(F702&lt;&gt;"",FLOOR(SUM(S702),0.01),"")),""),""),"")</f>
        <v/>
      </c>
      <c r="X702" s="314" t="str" cm="1">
        <f t="array" aca="1" ref="X702" ca="1">IFERROR(IF(AE702&lt;&gt;"ja",_xlfn.IFNA(_xlfn.IFS(AND(P702&lt;&gt;"",R702&lt;&gt;"",RIGHT($N702,6)="tarief",F702="Vergoeding"),SUM(P702)*FLOOR(SUM(R702),0.0001),AND(P702&lt;&gt;"",R702&lt;&gt;"",RIGHT($N702,6)="tarief"),P702*FLOOR(R702,0.01),T702&gt;0,FLOOR(SUM(T702),0.01)),""),""),"")</f>
        <v/>
      </c>
      <c r="Y702" s="314" t="str">
        <f t="shared" ca="1" si="42"/>
        <v/>
      </c>
      <c r="Z702" s="314" t="str" cm="1">
        <f t="array" aca="1" ref="Z702" ca="1">IFERROR(_xlfn.IFS(OR(F702="",LEFT(Methode_Keuze,4)="Geen",Methode_Keuze=""),"",AND(W702&lt;&gt;"",F702&lt;&gt;"Arbeidskosten"),W702*VLOOKUP(F702,Tb_ProjectKosten[],MATCH(Tb_ProjectKosten[[#Headers],[Forfait_Percentage]],Tb_ProjectKosten[#Headers],0),0),AND(F702="Arbeidskosten",G702&lt;&gt;""),IFERROR(W702*VLOOKUP(G702,Tb_KostenTypen[],3,0)*VLOOKUP(F702,Tb_ProjectKosten[],MATCH(Tb_ProjectKosten[[#Headers],[Forfait_Percentage]],Tb_ProjectKosten[#Headers],0),0),""),W702 &lt;=0,0),"")</f>
        <v/>
      </c>
      <c r="AA702" s="314" t="str" cm="1">
        <f t="array" aca="1" ref="AA702" ca="1">IFERROR(_xlfn.IFS(OR(F702="",LEFT(Methode_Keuze,4)="Geen",Methode_Keuze=""),"",AND(X702&lt;&gt;"",F702&lt;&gt;"Arbeidskosten"),X702*VLOOKUP(F702,Tb_ProjectKosten[],MATCH(Tb_ProjectKosten[[#Headers],[Forfait_Percentage]],Tb_ProjectKosten[#Headers],0),0),AND(F702="Arbeidskosten",G702&lt;&gt;""),IFERROR(X702*VLOOKUP(G702,Tb_KostenTypen[],3,0)*VLOOKUP(F702,Tb_ProjectKosten[],MATCH(Tb_ProjectKosten[[#Headers],[Forfait_Percentage]],Tb_ProjectKosten[#Headers],0),0),""),X702 &lt;=0,0),"")</f>
        <v/>
      </c>
      <c r="AB702" s="314" t="str">
        <f t="shared" ca="1" si="43"/>
        <v/>
      </c>
      <c r="AC702" s="322"/>
      <c r="AD702" s="315"/>
      <c r="AE702" s="32" t="str" cm="1">
        <f t="array" ref="AE702">IFERROR(IF(INDEX(SubsidieTabel!$AD$1:$AG$12,MATCH($F702,SubsidieTabel!$AD$1:$AD$12,0),IFERROR(MATCH(Methode_Keuze,SubsidieTabel!$AD$1:$AG$1,0),2))&lt;&gt;1=TRUE,"ja",""),"")</f>
        <v/>
      </c>
    </row>
    <row r="703" spans="1:31" x14ac:dyDescent="0.25">
      <c r="A703" s="316"/>
      <c r="B703" s="317" t="str">
        <f>IF(A703&lt;&gt;"",_xlfn.MAXIFS($B$1:B702,$A$1:A702,A703)+1,"")</f>
        <v/>
      </c>
      <c r="C703" s="296"/>
      <c r="D703" s="296"/>
      <c r="E703" s="296"/>
      <c r="F703" s="296"/>
      <c r="G703" s="326"/>
      <c r="H703" s="324"/>
      <c r="I703" s="325"/>
      <c r="J703" s="325"/>
      <c r="K703" s="318"/>
      <c r="L703" s="318"/>
      <c r="M703" s="319" t="str">
        <f>IFERROR(VLOOKUP(H703,Lijsten!$H$1:$I$100,2,0),"")</f>
        <v/>
      </c>
      <c r="N703" s="319" t="str">
        <f ca="1">IFERROR(IF(VLOOKUP(F703,Kostentypen!$A$3:$E$21,3,0)=0,"",IF(OR(F703="Arbeidskosten",F703="Vergoeding"),VLOOKUP(G703,Tb_KostenTypen[],2,0),VLOOKUP(F703,Kostentypen!$A$3:$E$20,3,0))),"")</f>
        <v/>
      </c>
      <c r="O703" s="320" t="str" cm="1">
        <f t="array" ref="O703">_xlfn.IFNA(IF(INDEX(Tb_KostenOptiesDB[],MATCH($F703,Tb_KostenOptiesDB[KostenOptie],0),IFERROR(MATCH(Methode_Keuze,Tb_KostenOptiesDB[#Headers],0),2))=1,_xlfn.SWITCH($N703,"Uurtarief",IF(OR(AND(RIGHT($F703,3)="IKS",VLOOKUP($M703,DB_Loonkosten,2,0)="Ja"),AND(RIGHT($F703,3)&lt;&gt;"IKS",VLOOKUP($M703,DB_Loonkosten,2,0)="Nee")),IFERROR(VLOOKUP($M703,DB_Loonkosten,24,0),""),0),"Vast tarief",IF(LEFT(F703,8)="Bijdrage",VLOOKUP($F703,Tb_KostenTypen[],MATCH(Lijsten!$P$1,Tb_KostenTypen[#Headers],0),0),VLOOKUP($G703,Lijsten!L:P,MATCH(Lijsten!$P$1,Kop_Tarief_Vast,0),0))),""),"")</f>
        <v/>
      </c>
      <c r="P703" s="320" t="str" cm="1">
        <f t="array" ref="P703">_xlfn.IFNA(IF(INDEX(Tb_KostenOptiesDB[],MATCH($F703,Tb_KostenOptiesDB[KostenOptie],0),IFERROR(MATCH(Methode_Keuze,Tb_KostenOptiesDB[#Headers],0),2))=1,_xlfn.SWITCH($N703,"Uurtarief",IF(OR(AND(RIGHT($F703,3)="IKS",VLOOKUP($M703,DB_Loonkosten,2,0)="Ja"),AND(RIGHT($F703,3)&lt;&gt;"IKS",VLOOKUP($M703,DB_Loonkosten,2,0)="Nee")),IFERROR(VLOOKUP($M703,DB_Loonkosten,25,0),""),0),"Vast tarief",IF(LEFT(F703,8)="Bijdrage",VLOOKUP($F703,Tb_KostenTypen[],MATCH(Lijsten!$P$1,Tb_KostenTypen[#Headers],0),0),VLOOKUP($G703,Lijsten!L:P,MATCH(Lijsten!$P$1,Kop_Tarief_Vast,0),0))),""),"")</f>
        <v/>
      </c>
      <c r="Q703" s="359"/>
      <c r="R703" s="359"/>
      <c r="S703" s="321"/>
      <c r="T703" s="321"/>
      <c r="U703" s="373" t="str">
        <f t="shared" si="40"/>
        <v/>
      </c>
      <c r="V703" s="314" t="str">
        <f t="shared" si="41"/>
        <v/>
      </c>
      <c r="W703" s="314" t="str" cm="1">
        <f t="array" aca="1" ref="W703" ca="1">IFERROR(IF(AE703&lt;&gt;"ja",_xlfn.IFNA(_xlfn.IFS(AND(O703&lt;&gt;"",F703&lt;&gt;"",RIGHT($N703,6)="tarief",F703="Vergoeding"),SUM(O703)*FLOOR(SUM(Q703),0.0001),AND(O703&lt;&gt;"",F703&lt;&gt;"",RIGHT($N703,6)="tarief"),SUM(O703)*FLOOR(SUM(Q703),0.01),S703&gt;0,IF(F703&lt;&gt;"",FLOOR(SUM(S703),0.01),"")),""),""),"")</f>
        <v/>
      </c>
      <c r="X703" s="314" t="str" cm="1">
        <f t="array" aca="1" ref="X703" ca="1">IFERROR(IF(AE703&lt;&gt;"ja",_xlfn.IFNA(_xlfn.IFS(AND(P703&lt;&gt;"",R703&lt;&gt;"",RIGHT($N703,6)="tarief",F703="Vergoeding"),SUM(P703)*FLOOR(SUM(R703),0.0001),AND(P703&lt;&gt;"",R703&lt;&gt;"",RIGHT($N703,6)="tarief"),P703*FLOOR(R703,0.01),T703&gt;0,FLOOR(SUM(T703),0.01)),""),""),"")</f>
        <v/>
      </c>
      <c r="Y703" s="314" t="str">
        <f t="shared" ca="1" si="42"/>
        <v/>
      </c>
      <c r="Z703" s="314" t="str" cm="1">
        <f t="array" aca="1" ref="Z703" ca="1">IFERROR(_xlfn.IFS(OR(F703="",LEFT(Methode_Keuze,4)="Geen",Methode_Keuze=""),"",AND(W703&lt;&gt;"",F703&lt;&gt;"Arbeidskosten"),W703*VLOOKUP(F703,Tb_ProjectKosten[],MATCH(Tb_ProjectKosten[[#Headers],[Forfait_Percentage]],Tb_ProjectKosten[#Headers],0),0),AND(F703="Arbeidskosten",G703&lt;&gt;""),IFERROR(W703*VLOOKUP(G703,Tb_KostenTypen[],3,0)*VLOOKUP(F703,Tb_ProjectKosten[],MATCH(Tb_ProjectKosten[[#Headers],[Forfait_Percentage]],Tb_ProjectKosten[#Headers],0),0),""),W703 &lt;=0,0),"")</f>
        <v/>
      </c>
      <c r="AA703" s="314" t="str" cm="1">
        <f t="array" aca="1" ref="AA703" ca="1">IFERROR(_xlfn.IFS(OR(F703="",LEFT(Methode_Keuze,4)="Geen",Methode_Keuze=""),"",AND(X703&lt;&gt;"",F703&lt;&gt;"Arbeidskosten"),X703*VLOOKUP(F703,Tb_ProjectKosten[],MATCH(Tb_ProjectKosten[[#Headers],[Forfait_Percentage]],Tb_ProjectKosten[#Headers],0),0),AND(F703="Arbeidskosten",G703&lt;&gt;""),IFERROR(X703*VLOOKUP(G703,Tb_KostenTypen[],3,0)*VLOOKUP(F703,Tb_ProjectKosten[],MATCH(Tb_ProjectKosten[[#Headers],[Forfait_Percentage]],Tb_ProjectKosten[#Headers],0),0),""),X703 &lt;=0,0),"")</f>
        <v/>
      </c>
      <c r="AB703" s="314" t="str">
        <f t="shared" ca="1" si="43"/>
        <v/>
      </c>
      <c r="AC703" s="322"/>
      <c r="AD703" s="315"/>
      <c r="AE703" s="32" t="str" cm="1">
        <f t="array" ref="AE703">IFERROR(IF(INDEX(SubsidieTabel!$AD$1:$AG$12,MATCH($F703,SubsidieTabel!$AD$1:$AD$12,0),IFERROR(MATCH(Methode_Keuze,SubsidieTabel!$AD$1:$AG$1,0),2))&lt;&gt;1=TRUE,"ja",""),"")</f>
        <v/>
      </c>
    </row>
    <row r="704" spans="1:31" x14ac:dyDescent="0.25">
      <c r="A704" s="316"/>
      <c r="B704" s="317" t="str">
        <f>IF(A704&lt;&gt;"",_xlfn.MAXIFS($B$1:B703,$A$1:A703,A704)+1,"")</f>
        <v/>
      </c>
      <c r="C704" s="296"/>
      <c r="D704" s="296"/>
      <c r="E704" s="296"/>
      <c r="F704" s="296"/>
      <c r="G704" s="326"/>
      <c r="H704" s="324"/>
      <c r="I704" s="325"/>
      <c r="J704" s="325"/>
      <c r="K704" s="318"/>
      <c r="L704" s="318"/>
      <c r="M704" s="319" t="str">
        <f>IFERROR(VLOOKUP(H704,Lijsten!$H$1:$I$100,2,0),"")</f>
        <v/>
      </c>
      <c r="N704" s="319" t="str">
        <f ca="1">IFERROR(IF(VLOOKUP(F704,Kostentypen!$A$3:$E$21,3,0)=0,"",IF(OR(F704="Arbeidskosten",F704="Vergoeding"),VLOOKUP(G704,Tb_KostenTypen[],2,0),VLOOKUP(F704,Kostentypen!$A$3:$E$20,3,0))),"")</f>
        <v/>
      </c>
      <c r="O704" s="320" t="str" cm="1">
        <f t="array" ref="O704">_xlfn.IFNA(IF(INDEX(Tb_KostenOptiesDB[],MATCH($F704,Tb_KostenOptiesDB[KostenOptie],0),IFERROR(MATCH(Methode_Keuze,Tb_KostenOptiesDB[#Headers],0),2))=1,_xlfn.SWITCH($N704,"Uurtarief",IF(OR(AND(RIGHT($F704,3)="IKS",VLOOKUP($M704,DB_Loonkosten,2,0)="Ja"),AND(RIGHT($F704,3)&lt;&gt;"IKS",VLOOKUP($M704,DB_Loonkosten,2,0)="Nee")),IFERROR(VLOOKUP($M704,DB_Loonkosten,24,0),""),0),"Vast tarief",IF(LEFT(F704,8)="Bijdrage",VLOOKUP($F704,Tb_KostenTypen[],MATCH(Lijsten!$P$1,Tb_KostenTypen[#Headers],0),0),VLOOKUP($G704,Lijsten!L:P,MATCH(Lijsten!$P$1,Kop_Tarief_Vast,0),0))),""),"")</f>
        <v/>
      </c>
      <c r="P704" s="320" t="str" cm="1">
        <f t="array" ref="P704">_xlfn.IFNA(IF(INDEX(Tb_KostenOptiesDB[],MATCH($F704,Tb_KostenOptiesDB[KostenOptie],0),IFERROR(MATCH(Methode_Keuze,Tb_KostenOptiesDB[#Headers],0),2))=1,_xlfn.SWITCH($N704,"Uurtarief",IF(OR(AND(RIGHT($F704,3)="IKS",VLOOKUP($M704,DB_Loonkosten,2,0)="Ja"),AND(RIGHT($F704,3)&lt;&gt;"IKS",VLOOKUP($M704,DB_Loonkosten,2,0)="Nee")),IFERROR(VLOOKUP($M704,DB_Loonkosten,25,0),""),0),"Vast tarief",IF(LEFT(F704,8)="Bijdrage",VLOOKUP($F704,Tb_KostenTypen[],MATCH(Lijsten!$P$1,Tb_KostenTypen[#Headers],0),0),VLOOKUP($G704,Lijsten!L:P,MATCH(Lijsten!$P$1,Kop_Tarief_Vast,0),0))),""),"")</f>
        <v/>
      </c>
      <c r="Q704" s="359"/>
      <c r="R704" s="359"/>
      <c r="S704" s="321"/>
      <c r="T704" s="321"/>
      <c r="U704" s="373" t="str">
        <f t="shared" si="40"/>
        <v/>
      </c>
      <c r="V704" s="314" t="str">
        <f t="shared" si="41"/>
        <v/>
      </c>
      <c r="W704" s="314" t="str" cm="1">
        <f t="array" aca="1" ref="W704" ca="1">IFERROR(IF(AE704&lt;&gt;"ja",_xlfn.IFNA(_xlfn.IFS(AND(O704&lt;&gt;"",F704&lt;&gt;"",RIGHT($N704,6)="tarief",F704="Vergoeding"),SUM(O704)*FLOOR(SUM(Q704),0.0001),AND(O704&lt;&gt;"",F704&lt;&gt;"",RIGHT($N704,6)="tarief"),SUM(O704)*FLOOR(SUM(Q704),0.01),S704&gt;0,IF(F704&lt;&gt;"",FLOOR(SUM(S704),0.01),"")),""),""),"")</f>
        <v/>
      </c>
      <c r="X704" s="314" t="str" cm="1">
        <f t="array" aca="1" ref="X704" ca="1">IFERROR(IF(AE704&lt;&gt;"ja",_xlfn.IFNA(_xlfn.IFS(AND(P704&lt;&gt;"",R704&lt;&gt;"",RIGHT($N704,6)="tarief",F704="Vergoeding"),SUM(P704)*FLOOR(SUM(R704),0.0001),AND(P704&lt;&gt;"",R704&lt;&gt;"",RIGHT($N704,6)="tarief"),P704*FLOOR(R704,0.01),T704&gt;0,FLOOR(SUM(T704),0.01)),""),""),"")</f>
        <v/>
      </c>
      <c r="Y704" s="314" t="str">
        <f t="shared" ca="1" si="42"/>
        <v/>
      </c>
      <c r="Z704" s="314" t="str" cm="1">
        <f t="array" aca="1" ref="Z704" ca="1">IFERROR(_xlfn.IFS(OR(F704="",LEFT(Methode_Keuze,4)="Geen",Methode_Keuze=""),"",AND(W704&lt;&gt;"",F704&lt;&gt;"Arbeidskosten"),W704*VLOOKUP(F704,Tb_ProjectKosten[],MATCH(Tb_ProjectKosten[[#Headers],[Forfait_Percentage]],Tb_ProjectKosten[#Headers],0),0),AND(F704="Arbeidskosten",G704&lt;&gt;""),IFERROR(W704*VLOOKUP(G704,Tb_KostenTypen[],3,0)*VLOOKUP(F704,Tb_ProjectKosten[],MATCH(Tb_ProjectKosten[[#Headers],[Forfait_Percentage]],Tb_ProjectKosten[#Headers],0),0),""),W704 &lt;=0,0),"")</f>
        <v/>
      </c>
      <c r="AA704" s="314" t="str" cm="1">
        <f t="array" aca="1" ref="AA704" ca="1">IFERROR(_xlfn.IFS(OR(F704="",LEFT(Methode_Keuze,4)="Geen",Methode_Keuze=""),"",AND(X704&lt;&gt;"",F704&lt;&gt;"Arbeidskosten"),X704*VLOOKUP(F704,Tb_ProjectKosten[],MATCH(Tb_ProjectKosten[[#Headers],[Forfait_Percentage]],Tb_ProjectKosten[#Headers],0),0),AND(F704="Arbeidskosten",G704&lt;&gt;""),IFERROR(X704*VLOOKUP(G704,Tb_KostenTypen[],3,0)*VLOOKUP(F704,Tb_ProjectKosten[],MATCH(Tb_ProjectKosten[[#Headers],[Forfait_Percentage]],Tb_ProjectKosten[#Headers],0),0),""),X704 &lt;=0,0),"")</f>
        <v/>
      </c>
      <c r="AB704" s="314" t="str">
        <f t="shared" ca="1" si="43"/>
        <v/>
      </c>
      <c r="AC704" s="322"/>
      <c r="AD704" s="315"/>
      <c r="AE704" s="32" t="str" cm="1">
        <f t="array" ref="AE704">IFERROR(IF(INDEX(SubsidieTabel!$AD$1:$AG$12,MATCH($F704,SubsidieTabel!$AD$1:$AD$12,0),IFERROR(MATCH(Methode_Keuze,SubsidieTabel!$AD$1:$AG$1,0),2))&lt;&gt;1=TRUE,"ja",""),"")</f>
        <v/>
      </c>
    </row>
    <row r="705" spans="1:31" x14ac:dyDescent="0.25">
      <c r="A705" s="316"/>
      <c r="B705" s="317" t="str">
        <f>IF(A705&lt;&gt;"",_xlfn.MAXIFS($B$1:B704,$A$1:A704,A705)+1,"")</f>
        <v/>
      </c>
      <c r="C705" s="296"/>
      <c r="D705" s="296"/>
      <c r="E705" s="296"/>
      <c r="F705" s="296"/>
      <c r="G705" s="326"/>
      <c r="H705" s="324"/>
      <c r="I705" s="325"/>
      <c r="J705" s="325"/>
      <c r="K705" s="318"/>
      <c r="L705" s="318"/>
      <c r="M705" s="319" t="str">
        <f>IFERROR(VLOOKUP(H705,Lijsten!$H$1:$I$100,2,0),"")</f>
        <v/>
      </c>
      <c r="N705" s="319" t="str">
        <f ca="1">IFERROR(IF(VLOOKUP(F705,Kostentypen!$A$3:$E$21,3,0)=0,"",IF(OR(F705="Arbeidskosten",F705="Vergoeding"),VLOOKUP(G705,Tb_KostenTypen[],2,0),VLOOKUP(F705,Kostentypen!$A$3:$E$20,3,0))),"")</f>
        <v/>
      </c>
      <c r="O705" s="320" t="str" cm="1">
        <f t="array" ref="O705">_xlfn.IFNA(IF(INDEX(Tb_KostenOptiesDB[],MATCH($F705,Tb_KostenOptiesDB[KostenOptie],0),IFERROR(MATCH(Methode_Keuze,Tb_KostenOptiesDB[#Headers],0),2))=1,_xlfn.SWITCH($N705,"Uurtarief",IF(OR(AND(RIGHT($F705,3)="IKS",VLOOKUP($M705,DB_Loonkosten,2,0)="Ja"),AND(RIGHT($F705,3)&lt;&gt;"IKS",VLOOKUP($M705,DB_Loonkosten,2,0)="Nee")),IFERROR(VLOOKUP($M705,DB_Loonkosten,24,0),""),0),"Vast tarief",IF(LEFT(F705,8)="Bijdrage",VLOOKUP($F705,Tb_KostenTypen[],MATCH(Lijsten!$P$1,Tb_KostenTypen[#Headers],0),0),VLOOKUP($G705,Lijsten!L:P,MATCH(Lijsten!$P$1,Kop_Tarief_Vast,0),0))),""),"")</f>
        <v/>
      </c>
      <c r="P705" s="320" t="str" cm="1">
        <f t="array" ref="P705">_xlfn.IFNA(IF(INDEX(Tb_KostenOptiesDB[],MATCH($F705,Tb_KostenOptiesDB[KostenOptie],0),IFERROR(MATCH(Methode_Keuze,Tb_KostenOptiesDB[#Headers],0),2))=1,_xlfn.SWITCH($N705,"Uurtarief",IF(OR(AND(RIGHT($F705,3)="IKS",VLOOKUP($M705,DB_Loonkosten,2,0)="Ja"),AND(RIGHT($F705,3)&lt;&gt;"IKS",VLOOKUP($M705,DB_Loonkosten,2,0)="Nee")),IFERROR(VLOOKUP($M705,DB_Loonkosten,25,0),""),0),"Vast tarief",IF(LEFT(F705,8)="Bijdrage",VLOOKUP($F705,Tb_KostenTypen[],MATCH(Lijsten!$P$1,Tb_KostenTypen[#Headers],0),0),VLOOKUP($G705,Lijsten!L:P,MATCH(Lijsten!$P$1,Kop_Tarief_Vast,0),0))),""),"")</f>
        <v/>
      </c>
      <c r="Q705" s="359"/>
      <c r="R705" s="359"/>
      <c r="S705" s="321"/>
      <c r="T705" s="321"/>
      <c r="U705" s="373" t="str">
        <f t="shared" si="40"/>
        <v/>
      </c>
      <c r="V705" s="314" t="str">
        <f t="shared" si="41"/>
        <v/>
      </c>
      <c r="W705" s="314" t="str" cm="1">
        <f t="array" aca="1" ref="W705" ca="1">IFERROR(IF(AE705&lt;&gt;"ja",_xlfn.IFNA(_xlfn.IFS(AND(O705&lt;&gt;"",F705&lt;&gt;"",RIGHT($N705,6)="tarief",F705="Vergoeding"),SUM(O705)*FLOOR(SUM(Q705),0.0001),AND(O705&lt;&gt;"",F705&lt;&gt;"",RIGHT($N705,6)="tarief"),SUM(O705)*FLOOR(SUM(Q705),0.01),S705&gt;0,IF(F705&lt;&gt;"",FLOOR(SUM(S705),0.01),"")),""),""),"")</f>
        <v/>
      </c>
      <c r="X705" s="314" t="str" cm="1">
        <f t="array" aca="1" ref="X705" ca="1">IFERROR(IF(AE705&lt;&gt;"ja",_xlfn.IFNA(_xlfn.IFS(AND(P705&lt;&gt;"",R705&lt;&gt;"",RIGHT($N705,6)="tarief",F705="Vergoeding"),SUM(P705)*FLOOR(SUM(R705),0.0001),AND(P705&lt;&gt;"",R705&lt;&gt;"",RIGHT($N705,6)="tarief"),P705*FLOOR(R705,0.01),T705&gt;0,FLOOR(SUM(T705),0.01)),""),""),"")</f>
        <v/>
      </c>
      <c r="Y705" s="314" t="str">
        <f t="shared" ca="1" si="42"/>
        <v/>
      </c>
      <c r="Z705" s="314" t="str" cm="1">
        <f t="array" aca="1" ref="Z705" ca="1">IFERROR(_xlfn.IFS(OR(F705="",LEFT(Methode_Keuze,4)="Geen",Methode_Keuze=""),"",AND(W705&lt;&gt;"",F705&lt;&gt;"Arbeidskosten"),W705*VLOOKUP(F705,Tb_ProjectKosten[],MATCH(Tb_ProjectKosten[[#Headers],[Forfait_Percentage]],Tb_ProjectKosten[#Headers],0),0),AND(F705="Arbeidskosten",G705&lt;&gt;""),IFERROR(W705*VLOOKUP(G705,Tb_KostenTypen[],3,0)*VLOOKUP(F705,Tb_ProjectKosten[],MATCH(Tb_ProjectKosten[[#Headers],[Forfait_Percentage]],Tb_ProjectKosten[#Headers],0),0),""),W705 &lt;=0,0),"")</f>
        <v/>
      </c>
      <c r="AA705" s="314" t="str" cm="1">
        <f t="array" aca="1" ref="AA705" ca="1">IFERROR(_xlfn.IFS(OR(F705="",LEFT(Methode_Keuze,4)="Geen",Methode_Keuze=""),"",AND(X705&lt;&gt;"",F705&lt;&gt;"Arbeidskosten"),X705*VLOOKUP(F705,Tb_ProjectKosten[],MATCH(Tb_ProjectKosten[[#Headers],[Forfait_Percentage]],Tb_ProjectKosten[#Headers],0),0),AND(F705="Arbeidskosten",G705&lt;&gt;""),IFERROR(X705*VLOOKUP(G705,Tb_KostenTypen[],3,0)*VLOOKUP(F705,Tb_ProjectKosten[],MATCH(Tb_ProjectKosten[[#Headers],[Forfait_Percentage]],Tb_ProjectKosten[#Headers],0),0),""),X705 &lt;=0,0),"")</f>
        <v/>
      </c>
      <c r="AB705" s="314" t="str">
        <f t="shared" ca="1" si="43"/>
        <v/>
      </c>
      <c r="AC705" s="322"/>
      <c r="AD705" s="315"/>
      <c r="AE705" s="32" t="str" cm="1">
        <f t="array" ref="AE705">IFERROR(IF(INDEX(SubsidieTabel!$AD$1:$AG$12,MATCH($F705,SubsidieTabel!$AD$1:$AD$12,0),IFERROR(MATCH(Methode_Keuze,SubsidieTabel!$AD$1:$AG$1,0),2))&lt;&gt;1=TRUE,"ja",""),"")</f>
        <v/>
      </c>
    </row>
    <row r="706" spans="1:31" x14ac:dyDescent="0.25">
      <c r="A706" s="316"/>
      <c r="B706" s="317" t="str">
        <f>IF(A706&lt;&gt;"",_xlfn.MAXIFS($B$1:B705,$A$1:A705,A706)+1,"")</f>
        <v/>
      </c>
      <c r="C706" s="296"/>
      <c r="D706" s="296"/>
      <c r="E706" s="296"/>
      <c r="F706" s="296"/>
      <c r="G706" s="326"/>
      <c r="H706" s="324"/>
      <c r="I706" s="325"/>
      <c r="J706" s="325"/>
      <c r="K706" s="318"/>
      <c r="L706" s="318"/>
      <c r="M706" s="319" t="str">
        <f>IFERROR(VLOOKUP(H706,Lijsten!$H$1:$I$100,2,0),"")</f>
        <v/>
      </c>
      <c r="N706" s="319" t="str">
        <f ca="1">IFERROR(IF(VLOOKUP(F706,Kostentypen!$A$3:$E$21,3,0)=0,"",IF(OR(F706="Arbeidskosten",F706="Vergoeding"),VLOOKUP(G706,Tb_KostenTypen[],2,0),VLOOKUP(F706,Kostentypen!$A$3:$E$20,3,0))),"")</f>
        <v/>
      </c>
      <c r="O706" s="320" t="str" cm="1">
        <f t="array" ref="O706">_xlfn.IFNA(IF(INDEX(Tb_KostenOptiesDB[],MATCH($F706,Tb_KostenOptiesDB[KostenOptie],0),IFERROR(MATCH(Methode_Keuze,Tb_KostenOptiesDB[#Headers],0),2))=1,_xlfn.SWITCH($N706,"Uurtarief",IF(OR(AND(RIGHT($F706,3)="IKS",VLOOKUP($M706,DB_Loonkosten,2,0)="Ja"),AND(RIGHT($F706,3)&lt;&gt;"IKS",VLOOKUP($M706,DB_Loonkosten,2,0)="Nee")),IFERROR(VLOOKUP($M706,DB_Loonkosten,24,0),""),0),"Vast tarief",IF(LEFT(F706,8)="Bijdrage",VLOOKUP($F706,Tb_KostenTypen[],MATCH(Lijsten!$P$1,Tb_KostenTypen[#Headers],0),0),VLOOKUP($G706,Lijsten!L:P,MATCH(Lijsten!$P$1,Kop_Tarief_Vast,0),0))),""),"")</f>
        <v/>
      </c>
      <c r="P706" s="320" t="str" cm="1">
        <f t="array" ref="P706">_xlfn.IFNA(IF(INDEX(Tb_KostenOptiesDB[],MATCH($F706,Tb_KostenOptiesDB[KostenOptie],0),IFERROR(MATCH(Methode_Keuze,Tb_KostenOptiesDB[#Headers],0),2))=1,_xlfn.SWITCH($N706,"Uurtarief",IF(OR(AND(RIGHT($F706,3)="IKS",VLOOKUP($M706,DB_Loonkosten,2,0)="Ja"),AND(RIGHT($F706,3)&lt;&gt;"IKS",VLOOKUP($M706,DB_Loonkosten,2,0)="Nee")),IFERROR(VLOOKUP($M706,DB_Loonkosten,25,0),""),0),"Vast tarief",IF(LEFT(F706,8)="Bijdrage",VLOOKUP($F706,Tb_KostenTypen[],MATCH(Lijsten!$P$1,Tb_KostenTypen[#Headers],0),0),VLOOKUP($G706,Lijsten!L:P,MATCH(Lijsten!$P$1,Kop_Tarief_Vast,0),0))),""),"")</f>
        <v/>
      </c>
      <c r="Q706" s="359"/>
      <c r="R706" s="359"/>
      <c r="S706" s="321"/>
      <c r="T706" s="321"/>
      <c r="U706" s="373" t="str">
        <f t="shared" si="40"/>
        <v/>
      </c>
      <c r="V706" s="314" t="str">
        <f t="shared" si="41"/>
        <v/>
      </c>
      <c r="W706" s="314" t="str" cm="1">
        <f t="array" aca="1" ref="W706" ca="1">IFERROR(IF(AE706&lt;&gt;"ja",_xlfn.IFNA(_xlfn.IFS(AND(O706&lt;&gt;"",F706&lt;&gt;"",RIGHT($N706,6)="tarief",F706="Vergoeding"),SUM(O706)*FLOOR(SUM(Q706),0.0001),AND(O706&lt;&gt;"",F706&lt;&gt;"",RIGHT($N706,6)="tarief"),SUM(O706)*FLOOR(SUM(Q706),0.01),S706&gt;0,IF(F706&lt;&gt;"",FLOOR(SUM(S706),0.01),"")),""),""),"")</f>
        <v/>
      </c>
      <c r="X706" s="314" t="str" cm="1">
        <f t="array" aca="1" ref="X706" ca="1">IFERROR(IF(AE706&lt;&gt;"ja",_xlfn.IFNA(_xlfn.IFS(AND(P706&lt;&gt;"",R706&lt;&gt;"",RIGHT($N706,6)="tarief",F706="Vergoeding"),SUM(P706)*FLOOR(SUM(R706),0.0001),AND(P706&lt;&gt;"",R706&lt;&gt;"",RIGHT($N706,6)="tarief"),P706*FLOOR(R706,0.01),T706&gt;0,FLOOR(SUM(T706),0.01)),""),""),"")</f>
        <v/>
      </c>
      <c r="Y706" s="314" t="str">
        <f t="shared" ca="1" si="42"/>
        <v/>
      </c>
      <c r="Z706" s="314" t="str" cm="1">
        <f t="array" aca="1" ref="Z706" ca="1">IFERROR(_xlfn.IFS(OR(F706="",LEFT(Methode_Keuze,4)="Geen",Methode_Keuze=""),"",AND(W706&lt;&gt;"",F706&lt;&gt;"Arbeidskosten"),W706*VLOOKUP(F706,Tb_ProjectKosten[],MATCH(Tb_ProjectKosten[[#Headers],[Forfait_Percentage]],Tb_ProjectKosten[#Headers],0),0),AND(F706="Arbeidskosten",G706&lt;&gt;""),IFERROR(W706*VLOOKUP(G706,Tb_KostenTypen[],3,0)*VLOOKUP(F706,Tb_ProjectKosten[],MATCH(Tb_ProjectKosten[[#Headers],[Forfait_Percentage]],Tb_ProjectKosten[#Headers],0),0),""),W706 &lt;=0,0),"")</f>
        <v/>
      </c>
      <c r="AA706" s="314" t="str" cm="1">
        <f t="array" aca="1" ref="AA706" ca="1">IFERROR(_xlfn.IFS(OR(F706="",LEFT(Methode_Keuze,4)="Geen",Methode_Keuze=""),"",AND(X706&lt;&gt;"",F706&lt;&gt;"Arbeidskosten"),X706*VLOOKUP(F706,Tb_ProjectKosten[],MATCH(Tb_ProjectKosten[[#Headers],[Forfait_Percentage]],Tb_ProjectKosten[#Headers],0),0),AND(F706="Arbeidskosten",G706&lt;&gt;""),IFERROR(X706*VLOOKUP(G706,Tb_KostenTypen[],3,0)*VLOOKUP(F706,Tb_ProjectKosten[],MATCH(Tb_ProjectKosten[[#Headers],[Forfait_Percentage]],Tb_ProjectKosten[#Headers],0),0),""),X706 &lt;=0,0),"")</f>
        <v/>
      </c>
      <c r="AB706" s="314" t="str">
        <f t="shared" ca="1" si="43"/>
        <v/>
      </c>
      <c r="AC706" s="322"/>
      <c r="AD706" s="315"/>
      <c r="AE706" s="32" t="str" cm="1">
        <f t="array" ref="AE706">IFERROR(IF(INDEX(SubsidieTabel!$AD$1:$AG$12,MATCH($F706,SubsidieTabel!$AD$1:$AD$12,0),IFERROR(MATCH(Methode_Keuze,SubsidieTabel!$AD$1:$AG$1,0),2))&lt;&gt;1=TRUE,"ja",""),"")</f>
        <v/>
      </c>
    </row>
    <row r="707" spans="1:31" x14ac:dyDescent="0.25">
      <c r="A707" s="316"/>
      <c r="B707" s="317" t="str">
        <f>IF(A707&lt;&gt;"",_xlfn.MAXIFS($B$1:B706,$A$1:A706,A707)+1,"")</f>
        <v/>
      </c>
      <c r="C707" s="296"/>
      <c r="D707" s="296"/>
      <c r="E707" s="296"/>
      <c r="F707" s="296"/>
      <c r="G707" s="326"/>
      <c r="H707" s="324"/>
      <c r="I707" s="325"/>
      <c r="J707" s="325"/>
      <c r="K707" s="318"/>
      <c r="L707" s="318"/>
      <c r="M707" s="319" t="str">
        <f>IFERROR(VLOOKUP(H707,Lijsten!$H$1:$I$100,2,0),"")</f>
        <v/>
      </c>
      <c r="N707" s="319" t="str">
        <f ca="1">IFERROR(IF(VLOOKUP(F707,Kostentypen!$A$3:$E$21,3,0)=0,"",IF(OR(F707="Arbeidskosten",F707="Vergoeding"),VLOOKUP(G707,Tb_KostenTypen[],2,0),VLOOKUP(F707,Kostentypen!$A$3:$E$20,3,0))),"")</f>
        <v/>
      </c>
      <c r="O707" s="320" t="str" cm="1">
        <f t="array" ref="O707">_xlfn.IFNA(IF(INDEX(Tb_KostenOptiesDB[],MATCH($F707,Tb_KostenOptiesDB[KostenOptie],0),IFERROR(MATCH(Methode_Keuze,Tb_KostenOptiesDB[#Headers],0),2))=1,_xlfn.SWITCH($N707,"Uurtarief",IF(OR(AND(RIGHT($F707,3)="IKS",VLOOKUP($M707,DB_Loonkosten,2,0)="Ja"),AND(RIGHT($F707,3)&lt;&gt;"IKS",VLOOKUP($M707,DB_Loonkosten,2,0)="Nee")),IFERROR(VLOOKUP($M707,DB_Loonkosten,24,0),""),0),"Vast tarief",IF(LEFT(F707,8)="Bijdrage",VLOOKUP($F707,Tb_KostenTypen[],MATCH(Lijsten!$P$1,Tb_KostenTypen[#Headers],0),0),VLOOKUP($G707,Lijsten!L:P,MATCH(Lijsten!$P$1,Kop_Tarief_Vast,0),0))),""),"")</f>
        <v/>
      </c>
      <c r="P707" s="320" t="str" cm="1">
        <f t="array" ref="P707">_xlfn.IFNA(IF(INDEX(Tb_KostenOptiesDB[],MATCH($F707,Tb_KostenOptiesDB[KostenOptie],0),IFERROR(MATCH(Methode_Keuze,Tb_KostenOptiesDB[#Headers],0),2))=1,_xlfn.SWITCH($N707,"Uurtarief",IF(OR(AND(RIGHT($F707,3)="IKS",VLOOKUP($M707,DB_Loonkosten,2,0)="Ja"),AND(RIGHT($F707,3)&lt;&gt;"IKS",VLOOKUP($M707,DB_Loonkosten,2,0)="Nee")),IFERROR(VLOOKUP($M707,DB_Loonkosten,25,0),""),0),"Vast tarief",IF(LEFT(F707,8)="Bijdrage",VLOOKUP($F707,Tb_KostenTypen[],MATCH(Lijsten!$P$1,Tb_KostenTypen[#Headers],0),0),VLOOKUP($G707,Lijsten!L:P,MATCH(Lijsten!$P$1,Kop_Tarief_Vast,0),0))),""),"")</f>
        <v/>
      </c>
      <c r="Q707" s="359"/>
      <c r="R707" s="359"/>
      <c r="S707" s="321"/>
      <c r="T707" s="321"/>
      <c r="U707" s="373" t="str">
        <f t="shared" ref="U707:U770" si="44">IFERROR(IF(AND(R707&lt;&gt;"",R707&lt;&gt;Q707),-1*(R707-Q707),""),"")</f>
        <v/>
      </c>
      <c r="V707" s="314" t="str">
        <f t="shared" ref="V707:V770" si="45">IFERROR(IF(AND(T707&lt;&gt;"",T707&lt;&gt;S707),-1*(T707-S707),""),"")</f>
        <v/>
      </c>
      <c r="W707" s="314" t="str" cm="1">
        <f t="array" aca="1" ref="W707" ca="1">IFERROR(IF(AE707&lt;&gt;"ja",_xlfn.IFNA(_xlfn.IFS(AND(O707&lt;&gt;"",F707&lt;&gt;"",RIGHT($N707,6)="tarief",F707="Vergoeding"),SUM(O707)*FLOOR(SUM(Q707),0.0001),AND(O707&lt;&gt;"",F707&lt;&gt;"",RIGHT($N707,6)="tarief"),SUM(O707)*FLOOR(SUM(Q707),0.01),S707&gt;0,IF(F707&lt;&gt;"",FLOOR(SUM(S707),0.01),"")),""),""),"")</f>
        <v/>
      </c>
      <c r="X707" s="314" t="str" cm="1">
        <f t="array" aca="1" ref="X707" ca="1">IFERROR(IF(AE707&lt;&gt;"ja",_xlfn.IFNA(_xlfn.IFS(AND(P707&lt;&gt;"",R707&lt;&gt;"",RIGHT($N707,6)="tarief",F707="Vergoeding"),SUM(P707)*FLOOR(SUM(R707),0.0001),AND(P707&lt;&gt;"",R707&lt;&gt;"",RIGHT($N707,6)="tarief"),P707*FLOOR(R707,0.01),T707&gt;0,FLOOR(SUM(T707),0.01)),""),""),"")</f>
        <v/>
      </c>
      <c r="Y707" s="314" t="str">
        <f t="shared" ref="Y707:Y770" ca="1" si="46">IFERROR(IF(AND(X707&lt;&gt;"",X707&lt;&gt;W707),-1*(X707-W707),""),"")</f>
        <v/>
      </c>
      <c r="Z707" s="314" t="str" cm="1">
        <f t="array" aca="1" ref="Z707" ca="1">IFERROR(_xlfn.IFS(OR(F707="",LEFT(Methode_Keuze,4)="Geen",Methode_Keuze=""),"",AND(W707&lt;&gt;"",F707&lt;&gt;"Arbeidskosten"),W707*VLOOKUP(F707,Tb_ProjectKosten[],MATCH(Tb_ProjectKosten[[#Headers],[Forfait_Percentage]],Tb_ProjectKosten[#Headers],0),0),AND(F707="Arbeidskosten",G707&lt;&gt;""),IFERROR(W707*VLOOKUP(G707,Tb_KostenTypen[],3,0)*VLOOKUP(F707,Tb_ProjectKosten[],MATCH(Tb_ProjectKosten[[#Headers],[Forfait_Percentage]],Tb_ProjectKosten[#Headers],0),0),""),W707 &lt;=0,0),"")</f>
        <v/>
      </c>
      <c r="AA707" s="314" t="str" cm="1">
        <f t="array" aca="1" ref="AA707" ca="1">IFERROR(_xlfn.IFS(OR(F707="",LEFT(Methode_Keuze,4)="Geen",Methode_Keuze=""),"",AND(X707&lt;&gt;"",F707&lt;&gt;"Arbeidskosten"),X707*VLOOKUP(F707,Tb_ProjectKosten[],MATCH(Tb_ProjectKosten[[#Headers],[Forfait_Percentage]],Tb_ProjectKosten[#Headers],0),0),AND(F707="Arbeidskosten",G707&lt;&gt;""),IFERROR(X707*VLOOKUP(G707,Tb_KostenTypen[],3,0)*VLOOKUP(F707,Tb_ProjectKosten[],MATCH(Tb_ProjectKosten[[#Headers],[Forfait_Percentage]],Tb_ProjectKosten[#Headers],0),0),""),X707 &lt;=0,0),"")</f>
        <v/>
      </c>
      <c r="AB707" s="314" t="str">
        <f t="shared" ref="AB707:AB770" ca="1" si="47">IFERROR(IF(AND(AA707&lt;&gt;"",AA707&lt;&gt;Z707),-1*(AA707-Z707),""),"")</f>
        <v/>
      </c>
      <c r="AC707" s="322"/>
      <c r="AD707" s="315"/>
      <c r="AE707" s="32" t="str" cm="1">
        <f t="array" ref="AE707">IFERROR(IF(INDEX(SubsidieTabel!$AD$1:$AG$12,MATCH($F707,SubsidieTabel!$AD$1:$AD$12,0),IFERROR(MATCH(Methode_Keuze,SubsidieTabel!$AD$1:$AG$1,0),2))&lt;&gt;1=TRUE,"ja",""),"")</f>
        <v/>
      </c>
    </row>
    <row r="708" spans="1:31" x14ac:dyDescent="0.25">
      <c r="A708" s="316"/>
      <c r="B708" s="317" t="str">
        <f>IF(A708&lt;&gt;"",_xlfn.MAXIFS($B$1:B707,$A$1:A707,A708)+1,"")</f>
        <v/>
      </c>
      <c r="C708" s="296"/>
      <c r="D708" s="296"/>
      <c r="E708" s="296"/>
      <c r="F708" s="296"/>
      <c r="G708" s="326"/>
      <c r="H708" s="324"/>
      <c r="I708" s="325"/>
      <c r="J708" s="325"/>
      <c r="K708" s="318"/>
      <c r="L708" s="318"/>
      <c r="M708" s="319" t="str">
        <f>IFERROR(VLOOKUP(H708,Lijsten!$H$1:$I$100,2,0),"")</f>
        <v/>
      </c>
      <c r="N708" s="319" t="str">
        <f ca="1">IFERROR(IF(VLOOKUP(F708,Kostentypen!$A$3:$E$21,3,0)=0,"",IF(OR(F708="Arbeidskosten",F708="Vergoeding"),VLOOKUP(G708,Tb_KostenTypen[],2,0),VLOOKUP(F708,Kostentypen!$A$3:$E$20,3,0))),"")</f>
        <v/>
      </c>
      <c r="O708" s="320" t="str" cm="1">
        <f t="array" ref="O708">_xlfn.IFNA(IF(INDEX(Tb_KostenOptiesDB[],MATCH($F708,Tb_KostenOptiesDB[KostenOptie],0),IFERROR(MATCH(Methode_Keuze,Tb_KostenOptiesDB[#Headers],0),2))=1,_xlfn.SWITCH($N708,"Uurtarief",IF(OR(AND(RIGHT($F708,3)="IKS",VLOOKUP($M708,DB_Loonkosten,2,0)="Ja"),AND(RIGHT($F708,3)&lt;&gt;"IKS",VLOOKUP($M708,DB_Loonkosten,2,0)="Nee")),IFERROR(VLOOKUP($M708,DB_Loonkosten,24,0),""),0),"Vast tarief",IF(LEFT(F708,8)="Bijdrage",VLOOKUP($F708,Tb_KostenTypen[],MATCH(Lijsten!$P$1,Tb_KostenTypen[#Headers],0),0),VLOOKUP($G708,Lijsten!L:P,MATCH(Lijsten!$P$1,Kop_Tarief_Vast,0),0))),""),"")</f>
        <v/>
      </c>
      <c r="P708" s="320" t="str" cm="1">
        <f t="array" ref="P708">_xlfn.IFNA(IF(INDEX(Tb_KostenOptiesDB[],MATCH($F708,Tb_KostenOptiesDB[KostenOptie],0),IFERROR(MATCH(Methode_Keuze,Tb_KostenOptiesDB[#Headers],0),2))=1,_xlfn.SWITCH($N708,"Uurtarief",IF(OR(AND(RIGHT($F708,3)="IKS",VLOOKUP($M708,DB_Loonkosten,2,0)="Ja"),AND(RIGHT($F708,3)&lt;&gt;"IKS",VLOOKUP($M708,DB_Loonkosten,2,0)="Nee")),IFERROR(VLOOKUP($M708,DB_Loonkosten,25,0),""),0),"Vast tarief",IF(LEFT(F708,8)="Bijdrage",VLOOKUP($F708,Tb_KostenTypen[],MATCH(Lijsten!$P$1,Tb_KostenTypen[#Headers],0),0),VLOOKUP($G708,Lijsten!L:P,MATCH(Lijsten!$P$1,Kop_Tarief_Vast,0),0))),""),"")</f>
        <v/>
      </c>
      <c r="Q708" s="359"/>
      <c r="R708" s="359"/>
      <c r="S708" s="321"/>
      <c r="T708" s="321"/>
      <c r="U708" s="373" t="str">
        <f t="shared" si="44"/>
        <v/>
      </c>
      <c r="V708" s="314" t="str">
        <f t="shared" si="45"/>
        <v/>
      </c>
      <c r="W708" s="314" t="str" cm="1">
        <f t="array" aca="1" ref="W708" ca="1">IFERROR(IF(AE708&lt;&gt;"ja",_xlfn.IFNA(_xlfn.IFS(AND(O708&lt;&gt;"",F708&lt;&gt;"",RIGHT($N708,6)="tarief",F708="Vergoeding"),SUM(O708)*FLOOR(SUM(Q708),0.0001),AND(O708&lt;&gt;"",F708&lt;&gt;"",RIGHT($N708,6)="tarief"),SUM(O708)*FLOOR(SUM(Q708),0.01),S708&gt;0,IF(F708&lt;&gt;"",FLOOR(SUM(S708),0.01),"")),""),""),"")</f>
        <v/>
      </c>
      <c r="X708" s="314" t="str" cm="1">
        <f t="array" aca="1" ref="X708" ca="1">IFERROR(IF(AE708&lt;&gt;"ja",_xlfn.IFNA(_xlfn.IFS(AND(P708&lt;&gt;"",R708&lt;&gt;"",RIGHT($N708,6)="tarief",F708="Vergoeding"),SUM(P708)*FLOOR(SUM(R708),0.0001),AND(P708&lt;&gt;"",R708&lt;&gt;"",RIGHT($N708,6)="tarief"),P708*FLOOR(R708,0.01),T708&gt;0,FLOOR(SUM(T708),0.01)),""),""),"")</f>
        <v/>
      </c>
      <c r="Y708" s="314" t="str">
        <f t="shared" ca="1" si="46"/>
        <v/>
      </c>
      <c r="Z708" s="314" t="str" cm="1">
        <f t="array" aca="1" ref="Z708" ca="1">IFERROR(_xlfn.IFS(OR(F708="",LEFT(Methode_Keuze,4)="Geen",Methode_Keuze=""),"",AND(W708&lt;&gt;"",F708&lt;&gt;"Arbeidskosten"),W708*VLOOKUP(F708,Tb_ProjectKosten[],MATCH(Tb_ProjectKosten[[#Headers],[Forfait_Percentage]],Tb_ProjectKosten[#Headers],0),0),AND(F708="Arbeidskosten",G708&lt;&gt;""),IFERROR(W708*VLOOKUP(G708,Tb_KostenTypen[],3,0)*VLOOKUP(F708,Tb_ProjectKosten[],MATCH(Tb_ProjectKosten[[#Headers],[Forfait_Percentage]],Tb_ProjectKosten[#Headers],0),0),""),W708 &lt;=0,0),"")</f>
        <v/>
      </c>
      <c r="AA708" s="314" t="str" cm="1">
        <f t="array" aca="1" ref="AA708" ca="1">IFERROR(_xlfn.IFS(OR(F708="",LEFT(Methode_Keuze,4)="Geen",Methode_Keuze=""),"",AND(X708&lt;&gt;"",F708&lt;&gt;"Arbeidskosten"),X708*VLOOKUP(F708,Tb_ProjectKosten[],MATCH(Tb_ProjectKosten[[#Headers],[Forfait_Percentage]],Tb_ProjectKosten[#Headers],0),0),AND(F708="Arbeidskosten",G708&lt;&gt;""),IFERROR(X708*VLOOKUP(G708,Tb_KostenTypen[],3,0)*VLOOKUP(F708,Tb_ProjectKosten[],MATCH(Tb_ProjectKosten[[#Headers],[Forfait_Percentage]],Tb_ProjectKosten[#Headers],0),0),""),X708 &lt;=0,0),"")</f>
        <v/>
      </c>
      <c r="AB708" s="314" t="str">
        <f t="shared" ca="1" si="47"/>
        <v/>
      </c>
      <c r="AC708" s="322"/>
      <c r="AD708" s="315"/>
      <c r="AE708" s="32" t="str" cm="1">
        <f t="array" ref="AE708">IFERROR(IF(INDEX(SubsidieTabel!$AD$1:$AG$12,MATCH($F708,SubsidieTabel!$AD$1:$AD$12,0),IFERROR(MATCH(Methode_Keuze,SubsidieTabel!$AD$1:$AG$1,0),2))&lt;&gt;1=TRUE,"ja",""),"")</f>
        <v/>
      </c>
    </row>
    <row r="709" spans="1:31" x14ac:dyDescent="0.25">
      <c r="A709" s="316"/>
      <c r="B709" s="317" t="str">
        <f>IF(A709&lt;&gt;"",_xlfn.MAXIFS($B$1:B708,$A$1:A708,A709)+1,"")</f>
        <v/>
      </c>
      <c r="C709" s="296"/>
      <c r="D709" s="296"/>
      <c r="E709" s="296"/>
      <c r="F709" s="296"/>
      <c r="G709" s="326"/>
      <c r="H709" s="324"/>
      <c r="I709" s="325"/>
      <c r="J709" s="325"/>
      <c r="K709" s="318"/>
      <c r="L709" s="318"/>
      <c r="M709" s="319" t="str">
        <f>IFERROR(VLOOKUP(H709,Lijsten!$H$1:$I$100,2,0),"")</f>
        <v/>
      </c>
      <c r="N709" s="319" t="str">
        <f ca="1">IFERROR(IF(VLOOKUP(F709,Kostentypen!$A$3:$E$21,3,0)=0,"",IF(OR(F709="Arbeidskosten",F709="Vergoeding"),VLOOKUP(G709,Tb_KostenTypen[],2,0),VLOOKUP(F709,Kostentypen!$A$3:$E$20,3,0))),"")</f>
        <v/>
      </c>
      <c r="O709" s="320" t="str" cm="1">
        <f t="array" ref="O709">_xlfn.IFNA(IF(INDEX(Tb_KostenOptiesDB[],MATCH($F709,Tb_KostenOptiesDB[KostenOptie],0),IFERROR(MATCH(Methode_Keuze,Tb_KostenOptiesDB[#Headers],0),2))=1,_xlfn.SWITCH($N709,"Uurtarief",IF(OR(AND(RIGHT($F709,3)="IKS",VLOOKUP($M709,DB_Loonkosten,2,0)="Ja"),AND(RIGHT($F709,3)&lt;&gt;"IKS",VLOOKUP($M709,DB_Loonkosten,2,0)="Nee")),IFERROR(VLOOKUP($M709,DB_Loonkosten,24,0),""),0),"Vast tarief",IF(LEFT(F709,8)="Bijdrage",VLOOKUP($F709,Tb_KostenTypen[],MATCH(Lijsten!$P$1,Tb_KostenTypen[#Headers],0),0),VLOOKUP($G709,Lijsten!L:P,MATCH(Lijsten!$P$1,Kop_Tarief_Vast,0),0))),""),"")</f>
        <v/>
      </c>
      <c r="P709" s="320" t="str" cm="1">
        <f t="array" ref="P709">_xlfn.IFNA(IF(INDEX(Tb_KostenOptiesDB[],MATCH($F709,Tb_KostenOptiesDB[KostenOptie],0),IFERROR(MATCH(Methode_Keuze,Tb_KostenOptiesDB[#Headers],0),2))=1,_xlfn.SWITCH($N709,"Uurtarief",IF(OR(AND(RIGHT($F709,3)="IKS",VLOOKUP($M709,DB_Loonkosten,2,0)="Ja"),AND(RIGHT($F709,3)&lt;&gt;"IKS",VLOOKUP($M709,DB_Loonkosten,2,0)="Nee")),IFERROR(VLOOKUP($M709,DB_Loonkosten,25,0),""),0),"Vast tarief",IF(LEFT(F709,8)="Bijdrage",VLOOKUP($F709,Tb_KostenTypen[],MATCH(Lijsten!$P$1,Tb_KostenTypen[#Headers],0),0),VLOOKUP($G709,Lijsten!L:P,MATCH(Lijsten!$P$1,Kop_Tarief_Vast,0),0))),""),"")</f>
        <v/>
      </c>
      <c r="Q709" s="359"/>
      <c r="R709" s="359"/>
      <c r="S709" s="321"/>
      <c r="T709" s="321"/>
      <c r="U709" s="373" t="str">
        <f t="shared" si="44"/>
        <v/>
      </c>
      <c r="V709" s="314" t="str">
        <f t="shared" si="45"/>
        <v/>
      </c>
      <c r="W709" s="314" t="str" cm="1">
        <f t="array" aca="1" ref="W709" ca="1">IFERROR(IF(AE709&lt;&gt;"ja",_xlfn.IFNA(_xlfn.IFS(AND(O709&lt;&gt;"",F709&lt;&gt;"",RIGHT($N709,6)="tarief",F709="Vergoeding"),SUM(O709)*FLOOR(SUM(Q709),0.0001),AND(O709&lt;&gt;"",F709&lt;&gt;"",RIGHT($N709,6)="tarief"),SUM(O709)*FLOOR(SUM(Q709),0.01),S709&gt;0,IF(F709&lt;&gt;"",FLOOR(SUM(S709),0.01),"")),""),""),"")</f>
        <v/>
      </c>
      <c r="X709" s="314" t="str" cm="1">
        <f t="array" aca="1" ref="X709" ca="1">IFERROR(IF(AE709&lt;&gt;"ja",_xlfn.IFNA(_xlfn.IFS(AND(P709&lt;&gt;"",R709&lt;&gt;"",RIGHT($N709,6)="tarief",F709="Vergoeding"),SUM(P709)*FLOOR(SUM(R709),0.0001),AND(P709&lt;&gt;"",R709&lt;&gt;"",RIGHT($N709,6)="tarief"),P709*FLOOR(R709,0.01),T709&gt;0,FLOOR(SUM(T709),0.01)),""),""),"")</f>
        <v/>
      </c>
      <c r="Y709" s="314" t="str">
        <f t="shared" ca="1" si="46"/>
        <v/>
      </c>
      <c r="Z709" s="314" t="str" cm="1">
        <f t="array" aca="1" ref="Z709" ca="1">IFERROR(_xlfn.IFS(OR(F709="",LEFT(Methode_Keuze,4)="Geen",Methode_Keuze=""),"",AND(W709&lt;&gt;"",F709&lt;&gt;"Arbeidskosten"),W709*VLOOKUP(F709,Tb_ProjectKosten[],MATCH(Tb_ProjectKosten[[#Headers],[Forfait_Percentage]],Tb_ProjectKosten[#Headers],0),0),AND(F709="Arbeidskosten",G709&lt;&gt;""),IFERROR(W709*VLOOKUP(G709,Tb_KostenTypen[],3,0)*VLOOKUP(F709,Tb_ProjectKosten[],MATCH(Tb_ProjectKosten[[#Headers],[Forfait_Percentage]],Tb_ProjectKosten[#Headers],0),0),""),W709 &lt;=0,0),"")</f>
        <v/>
      </c>
      <c r="AA709" s="314" t="str" cm="1">
        <f t="array" aca="1" ref="AA709" ca="1">IFERROR(_xlfn.IFS(OR(F709="",LEFT(Methode_Keuze,4)="Geen",Methode_Keuze=""),"",AND(X709&lt;&gt;"",F709&lt;&gt;"Arbeidskosten"),X709*VLOOKUP(F709,Tb_ProjectKosten[],MATCH(Tb_ProjectKosten[[#Headers],[Forfait_Percentage]],Tb_ProjectKosten[#Headers],0),0),AND(F709="Arbeidskosten",G709&lt;&gt;""),IFERROR(X709*VLOOKUP(G709,Tb_KostenTypen[],3,0)*VLOOKUP(F709,Tb_ProjectKosten[],MATCH(Tb_ProjectKosten[[#Headers],[Forfait_Percentage]],Tb_ProjectKosten[#Headers],0),0),""),X709 &lt;=0,0),"")</f>
        <v/>
      </c>
      <c r="AB709" s="314" t="str">
        <f t="shared" ca="1" si="47"/>
        <v/>
      </c>
      <c r="AC709" s="322"/>
      <c r="AD709" s="315"/>
      <c r="AE709" s="32" t="str" cm="1">
        <f t="array" ref="AE709">IFERROR(IF(INDEX(SubsidieTabel!$AD$1:$AG$12,MATCH($F709,SubsidieTabel!$AD$1:$AD$12,0),IFERROR(MATCH(Methode_Keuze,SubsidieTabel!$AD$1:$AG$1,0),2))&lt;&gt;1=TRUE,"ja",""),"")</f>
        <v/>
      </c>
    </row>
    <row r="710" spans="1:31" x14ac:dyDescent="0.25">
      <c r="A710" s="316"/>
      <c r="B710" s="317" t="str">
        <f>IF(A710&lt;&gt;"",_xlfn.MAXIFS($B$1:B709,$A$1:A709,A710)+1,"")</f>
        <v/>
      </c>
      <c r="C710" s="296"/>
      <c r="D710" s="296"/>
      <c r="E710" s="296"/>
      <c r="F710" s="296"/>
      <c r="G710" s="326"/>
      <c r="H710" s="324"/>
      <c r="I710" s="325"/>
      <c r="J710" s="325"/>
      <c r="K710" s="318"/>
      <c r="L710" s="318"/>
      <c r="M710" s="319" t="str">
        <f>IFERROR(VLOOKUP(H710,Lijsten!$H$1:$I$100,2,0),"")</f>
        <v/>
      </c>
      <c r="N710" s="319" t="str">
        <f ca="1">IFERROR(IF(VLOOKUP(F710,Kostentypen!$A$3:$E$21,3,0)=0,"",IF(OR(F710="Arbeidskosten",F710="Vergoeding"),VLOOKUP(G710,Tb_KostenTypen[],2,0),VLOOKUP(F710,Kostentypen!$A$3:$E$20,3,0))),"")</f>
        <v/>
      </c>
      <c r="O710" s="320" t="str" cm="1">
        <f t="array" ref="O710">_xlfn.IFNA(IF(INDEX(Tb_KostenOptiesDB[],MATCH($F710,Tb_KostenOptiesDB[KostenOptie],0),IFERROR(MATCH(Methode_Keuze,Tb_KostenOptiesDB[#Headers],0),2))=1,_xlfn.SWITCH($N710,"Uurtarief",IF(OR(AND(RIGHT($F710,3)="IKS",VLOOKUP($M710,DB_Loonkosten,2,0)="Ja"),AND(RIGHT($F710,3)&lt;&gt;"IKS",VLOOKUP($M710,DB_Loonkosten,2,0)="Nee")),IFERROR(VLOOKUP($M710,DB_Loonkosten,24,0),""),0),"Vast tarief",IF(LEFT(F710,8)="Bijdrage",VLOOKUP($F710,Tb_KostenTypen[],MATCH(Lijsten!$P$1,Tb_KostenTypen[#Headers],0),0),VLOOKUP($G710,Lijsten!L:P,MATCH(Lijsten!$P$1,Kop_Tarief_Vast,0),0))),""),"")</f>
        <v/>
      </c>
      <c r="P710" s="320" t="str" cm="1">
        <f t="array" ref="P710">_xlfn.IFNA(IF(INDEX(Tb_KostenOptiesDB[],MATCH($F710,Tb_KostenOptiesDB[KostenOptie],0),IFERROR(MATCH(Methode_Keuze,Tb_KostenOptiesDB[#Headers],0),2))=1,_xlfn.SWITCH($N710,"Uurtarief",IF(OR(AND(RIGHT($F710,3)="IKS",VLOOKUP($M710,DB_Loonkosten,2,0)="Ja"),AND(RIGHT($F710,3)&lt;&gt;"IKS",VLOOKUP($M710,DB_Loonkosten,2,0)="Nee")),IFERROR(VLOOKUP($M710,DB_Loonkosten,25,0),""),0),"Vast tarief",IF(LEFT(F710,8)="Bijdrage",VLOOKUP($F710,Tb_KostenTypen[],MATCH(Lijsten!$P$1,Tb_KostenTypen[#Headers],0),0),VLOOKUP($G710,Lijsten!L:P,MATCH(Lijsten!$P$1,Kop_Tarief_Vast,0),0))),""),"")</f>
        <v/>
      </c>
      <c r="Q710" s="359"/>
      <c r="R710" s="359"/>
      <c r="S710" s="321"/>
      <c r="T710" s="321"/>
      <c r="U710" s="373" t="str">
        <f t="shared" si="44"/>
        <v/>
      </c>
      <c r="V710" s="314" t="str">
        <f t="shared" si="45"/>
        <v/>
      </c>
      <c r="W710" s="314" t="str" cm="1">
        <f t="array" aca="1" ref="W710" ca="1">IFERROR(IF(AE710&lt;&gt;"ja",_xlfn.IFNA(_xlfn.IFS(AND(O710&lt;&gt;"",F710&lt;&gt;"",RIGHT($N710,6)="tarief",F710="Vergoeding"),SUM(O710)*FLOOR(SUM(Q710),0.0001),AND(O710&lt;&gt;"",F710&lt;&gt;"",RIGHT($N710,6)="tarief"),SUM(O710)*FLOOR(SUM(Q710),0.01),S710&gt;0,IF(F710&lt;&gt;"",FLOOR(SUM(S710),0.01),"")),""),""),"")</f>
        <v/>
      </c>
      <c r="X710" s="314" t="str" cm="1">
        <f t="array" aca="1" ref="X710" ca="1">IFERROR(IF(AE710&lt;&gt;"ja",_xlfn.IFNA(_xlfn.IFS(AND(P710&lt;&gt;"",R710&lt;&gt;"",RIGHT($N710,6)="tarief",F710="Vergoeding"),SUM(P710)*FLOOR(SUM(R710),0.0001),AND(P710&lt;&gt;"",R710&lt;&gt;"",RIGHT($N710,6)="tarief"),P710*FLOOR(R710,0.01),T710&gt;0,FLOOR(SUM(T710),0.01)),""),""),"")</f>
        <v/>
      </c>
      <c r="Y710" s="314" t="str">
        <f t="shared" ca="1" si="46"/>
        <v/>
      </c>
      <c r="Z710" s="314" t="str" cm="1">
        <f t="array" aca="1" ref="Z710" ca="1">IFERROR(_xlfn.IFS(OR(F710="",LEFT(Methode_Keuze,4)="Geen",Methode_Keuze=""),"",AND(W710&lt;&gt;"",F710&lt;&gt;"Arbeidskosten"),W710*VLOOKUP(F710,Tb_ProjectKosten[],MATCH(Tb_ProjectKosten[[#Headers],[Forfait_Percentage]],Tb_ProjectKosten[#Headers],0),0),AND(F710="Arbeidskosten",G710&lt;&gt;""),IFERROR(W710*VLOOKUP(G710,Tb_KostenTypen[],3,0)*VLOOKUP(F710,Tb_ProjectKosten[],MATCH(Tb_ProjectKosten[[#Headers],[Forfait_Percentage]],Tb_ProjectKosten[#Headers],0),0),""),W710 &lt;=0,0),"")</f>
        <v/>
      </c>
      <c r="AA710" s="314" t="str" cm="1">
        <f t="array" aca="1" ref="AA710" ca="1">IFERROR(_xlfn.IFS(OR(F710="",LEFT(Methode_Keuze,4)="Geen",Methode_Keuze=""),"",AND(X710&lt;&gt;"",F710&lt;&gt;"Arbeidskosten"),X710*VLOOKUP(F710,Tb_ProjectKosten[],MATCH(Tb_ProjectKosten[[#Headers],[Forfait_Percentage]],Tb_ProjectKosten[#Headers],0),0),AND(F710="Arbeidskosten",G710&lt;&gt;""),IFERROR(X710*VLOOKUP(G710,Tb_KostenTypen[],3,0)*VLOOKUP(F710,Tb_ProjectKosten[],MATCH(Tb_ProjectKosten[[#Headers],[Forfait_Percentage]],Tb_ProjectKosten[#Headers],0),0),""),X710 &lt;=0,0),"")</f>
        <v/>
      </c>
      <c r="AB710" s="314" t="str">
        <f t="shared" ca="1" si="47"/>
        <v/>
      </c>
      <c r="AC710" s="322"/>
      <c r="AD710" s="315"/>
      <c r="AE710" s="32" t="str" cm="1">
        <f t="array" ref="AE710">IFERROR(IF(INDEX(SubsidieTabel!$AD$1:$AG$12,MATCH($F710,SubsidieTabel!$AD$1:$AD$12,0),IFERROR(MATCH(Methode_Keuze,SubsidieTabel!$AD$1:$AG$1,0),2))&lt;&gt;1=TRUE,"ja",""),"")</f>
        <v/>
      </c>
    </row>
    <row r="711" spans="1:31" x14ac:dyDescent="0.25">
      <c r="A711" s="316"/>
      <c r="B711" s="317" t="str">
        <f>IF(A711&lt;&gt;"",_xlfn.MAXIFS($B$1:B710,$A$1:A710,A711)+1,"")</f>
        <v/>
      </c>
      <c r="C711" s="296"/>
      <c r="D711" s="296"/>
      <c r="E711" s="296"/>
      <c r="F711" s="296"/>
      <c r="G711" s="326"/>
      <c r="H711" s="324"/>
      <c r="I711" s="325"/>
      <c r="J711" s="325"/>
      <c r="K711" s="318"/>
      <c r="L711" s="318"/>
      <c r="M711" s="319" t="str">
        <f>IFERROR(VLOOKUP(H711,Lijsten!$H$1:$I$100,2,0),"")</f>
        <v/>
      </c>
      <c r="N711" s="319" t="str">
        <f ca="1">IFERROR(IF(VLOOKUP(F711,Kostentypen!$A$3:$E$21,3,0)=0,"",IF(OR(F711="Arbeidskosten",F711="Vergoeding"),VLOOKUP(G711,Tb_KostenTypen[],2,0),VLOOKUP(F711,Kostentypen!$A$3:$E$20,3,0))),"")</f>
        <v/>
      </c>
      <c r="O711" s="320" t="str" cm="1">
        <f t="array" ref="O711">_xlfn.IFNA(IF(INDEX(Tb_KostenOptiesDB[],MATCH($F711,Tb_KostenOptiesDB[KostenOptie],0),IFERROR(MATCH(Methode_Keuze,Tb_KostenOptiesDB[#Headers],0),2))=1,_xlfn.SWITCH($N711,"Uurtarief",IF(OR(AND(RIGHT($F711,3)="IKS",VLOOKUP($M711,DB_Loonkosten,2,0)="Ja"),AND(RIGHT($F711,3)&lt;&gt;"IKS",VLOOKUP($M711,DB_Loonkosten,2,0)="Nee")),IFERROR(VLOOKUP($M711,DB_Loonkosten,24,0),""),0),"Vast tarief",IF(LEFT(F711,8)="Bijdrage",VLOOKUP($F711,Tb_KostenTypen[],MATCH(Lijsten!$P$1,Tb_KostenTypen[#Headers],0),0),VLOOKUP($G711,Lijsten!L:P,MATCH(Lijsten!$P$1,Kop_Tarief_Vast,0),0))),""),"")</f>
        <v/>
      </c>
      <c r="P711" s="320" t="str" cm="1">
        <f t="array" ref="P711">_xlfn.IFNA(IF(INDEX(Tb_KostenOptiesDB[],MATCH($F711,Tb_KostenOptiesDB[KostenOptie],0),IFERROR(MATCH(Methode_Keuze,Tb_KostenOptiesDB[#Headers],0),2))=1,_xlfn.SWITCH($N711,"Uurtarief",IF(OR(AND(RIGHT($F711,3)="IKS",VLOOKUP($M711,DB_Loonkosten,2,0)="Ja"),AND(RIGHT($F711,3)&lt;&gt;"IKS",VLOOKUP($M711,DB_Loonkosten,2,0)="Nee")),IFERROR(VLOOKUP($M711,DB_Loonkosten,25,0),""),0),"Vast tarief",IF(LEFT(F711,8)="Bijdrage",VLOOKUP($F711,Tb_KostenTypen[],MATCH(Lijsten!$P$1,Tb_KostenTypen[#Headers],0),0),VLOOKUP($G711,Lijsten!L:P,MATCH(Lijsten!$P$1,Kop_Tarief_Vast,0),0))),""),"")</f>
        <v/>
      </c>
      <c r="Q711" s="359"/>
      <c r="R711" s="359"/>
      <c r="S711" s="321"/>
      <c r="T711" s="321"/>
      <c r="U711" s="373" t="str">
        <f t="shared" si="44"/>
        <v/>
      </c>
      <c r="V711" s="314" t="str">
        <f t="shared" si="45"/>
        <v/>
      </c>
      <c r="W711" s="314" t="str" cm="1">
        <f t="array" aca="1" ref="W711" ca="1">IFERROR(IF(AE711&lt;&gt;"ja",_xlfn.IFNA(_xlfn.IFS(AND(O711&lt;&gt;"",F711&lt;&gt;"",RIGHT($N711,6)="tarief",F711="Vergoeding"),SUM(O711)*FLOOR(SUM(Q711),0.0001),AND(O711&lt;&gt;"",F711&lt;&gt;"",RIGHT($N711,6)="tarief"),SUM(O711)*FLOOR(SUM(Q711),0.01),S711&gt;0,IF(F711&lt;&gt;"",FLOOR(SUM(S711),0.01),"")),""),""),"")</f>
        <v/>
      </c>
      <c r="X711" s="314" t="str" cm="1">
        <f t="array" aca="1" ref="X711" ca="1">IFERROR(IF(AE711&lt;&gt;"ja",_xlfn.IFNA(_xlfn.IFS(AND(P711&lt;&gt;"",R711&lt;&gt;"",RIGHT($N711,6)="tarief",F711="Vergoeding"),SUM(P711)*FLOOR(SUM(R711),0.0001),AND(P711&lt;&gt;"",R711&lt;&gt;"",RIGHT($N711,6)="tarief"),P711*FLOOR(R711,0.01),T711&gt;0,FLOOR(SUM(T711),0.01)),""),""),"")</f>
        <v/>
      </c>
      <c r="Y711" s="314" t="str">
        <f t="shared" ca="1" si="46"/>
        <v/>
      </c>
      <c r="Z711" s="314" t="str" cm="1">
        <f t="array" aca="1" ref="Z711" ca="1">IFERROR(_xlfn.IFS(OR(F711="",LEFT(Methode_Keuze,4)="Geen",Methode_Keuze=""),"",AND(W711&lt;&gt;"",F711&lt;&gt;"Arbeidskosten"),W711*VLOOKUP(F711,Tb_ProjectKosten[],MATCH(Tb_ProjectKosten[[#Headers],[Forfait_Percentage]],Tb_ProjectKosten[#Headers],0),0),AND(F711="Arbeidskosten",G711&lt;&gt;""),IFERROR(W711*VLOOKUP(G711,Tb_KostenTypen[],3,0)*VLOOKUP(F711,Tb_ProjectKosten[],MATCH(Tb_ProjectKosten[[#Headers],[Forfait_Percentage]],Tb_ProjectKosten[#Headers],0),0),""),W711 &lt;=0,0),"")</f>
        <v/>
      </c>
      <c r="AA711" s="314" t="str" cm="1">
        <f t="array" aca="1" ref="AA711" ca="1">IFERROR(_xlfn.IFS(OR(F711="",LEFT(Methode_Keuze,4)="Geen",Methode_Keuze=""),"",AND(X711&lt;&gt;"",F711&lt;&gt;"Arbeidskosten"),X711*VLOOKUP(F711,Tb_ProjectKosten[],MATCH(Tb_ProjectKosten[[#Headers],[Forfait_Percentage]],Tb_ProjectKosten[#Headers],0),0),AND(F711="Arbeidskosten",G711&lt;&gt;""),IFERROR(X711*VLOOKUP(G711,Tb_KostenTypen[],3,0)*VLOOKUP(F711,Tb_ProjectKosten[],MATCH(Tb_ProjectKosten[[#Headers],[Forfait_Percentage]],Tb_ProjectKosten[#Headers],0),0),""),X711 &lt;=0,0),"")</f>
        <v/>
      </c>
      <c r="AB711" s="314" t="str">
        <f t="shared" ca="1" si="47"/>
        <v/>
      </c>
      <c r="AC711" s="322"/>
      <c r="AD711" s="315"/>
      <c r="AE711" s="32" t="str" cm="1">
        <f t="array" ref="AE711">IFERROR(IF(INDEX(SubsidieTabel!$AD$1:$AG$12,MATCH($F711,SubsidieTabel!$AD$1:$AD$12,0),IFERROR(MATCH(Methode_Keuze,SubsidieTabel!$AD$1:$AG$1,0),2))&lt;&gt;1=TRUE,"ja",""),"")</f>
        <v/>
      </c>
    </row>
    <row r="712" spans="1:31" x14ac:dyDescent="0.25">
      <c r="A712" s="316"/>
      <c r="B712" s="317" t="str">
        <f>IF(A712&lt;&gt;"",_xlfn.MAXIFS($B$1:B711,$A$1:A711,A712)+1,"")</f>
        <v/>
      </c>
      <c r="C712" s="296"/>
      <c r="D712" s="296"/>
      <c r="E712" s="296"/>
      <c r="F712" s="296"/>
      <c r="G712" s="326"/>
      <c r="H712" s="324"/>
      <c r="I712" s="325"/>
      <c r="J712" s="325"/>
      <c r="K712" s="318"/>
      <c r="L712" s="318"/>
      <c r="M712" s="319" t="str">
        <f>IFERROR(VLOOKUP(H712,Lijsten!$H$1:$I$100,2,0),"")</f>
        <v/>
      </c>
      <c r="N712" s="319" t="str">
        <f ca="1">IFERROR(IF(VLOOKUP(F712,Kostentypen!$A$3:$E$21,3,0)=0,"",IF(OR(F712="Arbeidskosten",F712="Vergoeding"),VLOOKUP(G712,Tb_KostenTypen[],2,0),VLOOKUP(F712,Kostentypen!$A$3:$E$20,3,0))),"")</f>
        <v/>
      </c>
      <c r="O712" s="320" t="str" cm="1">
        <f t="array" ref="O712">_xlfn.IFNA(IF(INDEX(Tb_KostenOptiesDB[],MATCH($F712,Tb_KostenOptiesDB[KostenOptie],0),IFERROR(MATCH(Methode_Keuze,Tb_KostenOptiesDB[#Headers],0),2))=1,_xlfn.SWITCH($N712,"Uurtarief",IF(OR(AND(RIGHT($F712,3)="IKS",VLOOKUP($M712,DB_Loonkosten,2,0)="Ja"),AND(RIGHT($F712,3)&lt;&gt;"IKS",VLOOKUP($M712,DB_Loonkosten,2,0)="Nee")),IFERROR(VLOOKUP($M712,DB_Loonkosten,24,0),""),0),"Vast tarief",IF(LEFT(F712,8)="Bijdrage",VLOOKUP($F712,Tb_KostenTypen[],MATCH(Lijsten!$P$1,Tb_KostenTypen[#Headers],0),0),VLOOKUP($G712,Lijsten!L:P,MATCH(Lijsten!$P$1,Kop_Tarief_Vast,0),0))),""),"")</f>
        <v/>
      </c>
      <c r="P712" s="320" t="str" cm="1">
        <f t="array" ref="P712">_xlfn.IFNA(IF(INDEX(Tb_KostenOptiesDB[],MATCH($F712,Tb_KostenOptiesDB[KostenOptie],0),IFERROR(MATCH(Methode_Keuze,Tb_KostenOptiesDB[#Headers],0),2))=1,_xlfn.SWITCH($N712,"Uurtarief",IF(OR(AND(RIGHT($F712,3)="IKS",VLOOKUP($M712,DB_Loonkosten,2,0)="Ja"),AND(RIGHT($F712,3)&lt;&gt;"IKS",VLOOKUP($M712,DB_Loonkosten,2,0)="Nee")),IFERROR(VLOOKUP($M712,DB_Loonkosten,25,0),""),0),"Vast tarief",IF(LEFT(F712,8)="Bijdrage",VLOOKUP($F712,Tb_KostenTypen[],MATCH(Lijsten!$P$1,Tb_KostenTypen[#Headers],0),0),VLOOKUP($G712,Lijsten!L:P,MATCH(Lijsten!$P$1,Kop_Tarief_Vast,0),0))),""),"")</f>
        <v/>
      </c>
      <c r="Q712" s="359"/>
      <c r="R712" s="359"/>
      <c r="S712" s="321"/>
      <c r="T712" s="321"/>
      <c r="U712" s="373" t="str">
        <f t="shared" si="44"/>
        <v/>
      </c>
      <c r="V712" s="314" t="str">
        <f t="shared" si="45"/>
        <v/>
      </c>
      <c r="W712" s="314" t="str" cm="1">
        <f t="array" aca="1" ref="W712" ca="1">IFERROR(IF(AE712&lt;&gt;"ja",_xlfn.IFNA(_xlfn.IFS(AND(O712&lt;&gt;"",F712&lt;&gt;"",RIGHT($N712,6)="tarief",F712="Vergoeding"),SUM(O712)*FLOOR(SUM(Q712),0.0001),AND(O712&lt;&gt;"",F712&lt;&gt;"",RIGHT($N712,6)="tarief"),SUM(O712)*FLOOR(SUM(Q712),0.01),S712&gt;0,IF(F712&lt;&gt;"",FLOOR(SUM(S712),0.01),"")),""),""),"")</f>
        <v/>
      </c>
      <c r="X712" s="314" t="str" cm="1">
        <f t="array" aca="1" ref="X712" ca="1">IFERROR(IF(AE712&lt;&gt;"ja",_xlfn.IFNA(_xlfn.IFS(AND(P712&lt;&gt;"",R712&lt;&gt;"",RIGHT($N712,6)="tarief",F712="Vergoeding"),SUM(P712)*FLOOR(SUM(R712),0.0001),AND(P712&lt;&gt;"",R712&lt;&gt;"",RIGHT($N712,6)="tarief"),P712*FLOOR(R712,0.01),T712&gt;0,FLOOR(SUM(T712),0.01)),""),""),"")</f>
        <v/>
      </c>
      <c r="Y712" s="314" t="str">
        <f t="shared" ca="1" si="46"/>
        <v/>
      </c>
      <c r="Z712" s="314" t="str" cm="1">
        <f t="array" aca="1" ref="Z712" ca="1">IFERROR(_xlfn.IFS(OR(F712="",LEFT(Methode_Keuze,4)="Geen",Methode_Keuze=""),"",AND(W712&lt;&gt;"",F712&lt;&gt;"Arbeidskosten"),W712*VLOOKUP(F712,Tb_ProjectKosten[],MATCH(Tb_ProjectKosten[[#Headers],[Forfait_Percentage]],Tb_ProjectKosten[#Headers],0),0),AND(F712="Arbeidskosten",G712&lt;&gt;""),IFERROR(W712*VLOOKUP(G712,Tb_KostenTypen[],3,0)*VLOOKUP(F712,Tb_ProjectKosten[],MATCH(Tb_ProjectKosten[[#Headers],[Forfait_Percentage]],Tb_ProjectKosten[#Headers],0),0),""),W712 &lt;=0,0),"")</f>
        <v/>
      </c>
      <c r="AA712" s="314" t="str" cm="1">
        <f t="array" aca="1" ref="AA712" ca="1">IFERROR(_xlfn.IFS(OR(F712="",LEFT(Methode_Keuze,4)="Geen",Methode_Keuze=""),"",AND(X712&lt;&gt;"",F712&lt;&gt;"Arbeidskosten"),X712*VLOOKUP(F712,Tb_ProjectKosten[],MATCH(Tb_ProjectKosten[[#Headers],[Forfait_Percentage]],Tb_ProjectKosten[#Headers],0),0),AND(F712="Arbeidskosten",G712&lt;&gt;""),IFERROR(X712*VLOOKUP(G712,Tb_KostenTypen[],3,0)*VLOOKUP(F712,Tb_ProjectKosten[],MATCH(Tb_ProjectKosten[[#Headers],[Forfait_Percentage]],Tb_ProjectKosten[#Headers],0),0),""),X712 &lt;=0,0),"")</f>
        <v/>
      </c>
      <c r="AB712" s="314" t="str">
        <f t="shared" ca="1" si="47"/>
        <v/>
      </c>
      <c r="AC712" s="322"/>
      <c r="AD712" s="315"/>
      <c r="AE712" s="32" t="str" cm="1">
        <f t="array" ref="AE712">IFERROR(IF(INDEX(SubsidieTabel!$AD$1:$AG$12,MATCH($F712,SubsidieTabel!$AD$1:$AD$12,0),IFERROR(MATCH(Methode_Keuze,SubsidieTabel!$AD$1:$AG$1,0),2))&lt;&gt;1=TRUE,"ja",""),"")</f>
        <v/>
      </c>
    </row>
    <row r="713" spans="1:31" x14ac:dyDescent="0.25">
      <c r="A713" s="316"/>
      <c r="B713" s="317" t="str">
        <f>IF(A713&lt;&gt;"",_xlfn.MAXIFS($B$1:B712,$A$1:A712,A713)+1,"")</f>
        <v/>
      </c>
      <c r="C713" s="296"/>
      <c r="D713" s="296"/>
      <c r="E713" s="296"/>
      <c r="F713" s="296"/>
      <c r="G713" s="326"/>
      <c r="H713" s="324"/>
      <c r="I713" s="325"/>
      <c r="J713" s="325"/>
      <c r="K713" s="318"/>
      <c r="L713" s="318"/>
      <c r="M713" s="319" t="str">
        <f>IFERROR(VLOOKUP(H713,Lijsten!$H$1:$I$100,2,0),"")</f>
        <v/>
      </c>
      <c r="N713" s="319" t="str">
        <f ca="1">IFERROR(IF(VLOOKUP(F713,Kostentypen!$A$3:$E$21,3,0)=0,"",IF(OR(F713="Arbeidskosten",F713="Vergoeding"),VLOOKUP(G713,Tb_KostenTypen[],2,0),VLOOKUP(F713,Kostentypen!$A$3:$E$20,3,0))),"")</f>
        <v/>
      </c>
      <c r="O713" s="320" t="str" cm="1">
        <f t="array" ref="O713">_xlfn.IFNA(IF(INDEX(Tb_KostenOptiesDB[],MATCH($F713,Tb_KostenOptiesDB[KostenOptie],0),IFERROR(MATCH(Methode_Keuze,Tb_KostenOptiesDB[#Headers],0),2))=1,_xlfn.SWITCH($N713,"Uurtarief",IF(OR(AND(RIGHT($F713,3)="IKS",VLOOKUP($M713,DB_Loonkosten,2,0)="Ja"),AND(RIGHT($F713,3)&lt;&gt;"IKS",VLOOKUP($M713,DB_Loonkosten,2,0)="Nee")),IFERROR(VLOOKUP($M713,DB_Loonkosten,24,0),""),0),"Vast tarief",IF(LEFT(F713,8)="Bijdrage",VLOOKUP($F713,Tb_KostenTypen[],MATCH(Lijsten!$P$1,Tb_KostenTypen[#Headers],0),0),VLOOKUP($G713,Lijsten!L:P,MATCH(Lijsten!$P$1,Kop_Tarief_Vast,0),0))),""),"")</f>
        <v/>
      </c>
      <c r="P713" s="320" t="str" cm="1">
        <f t="array" ref="P713">_xlfn.IFNA(IF(INDEX(Tb_KostenOptiesDB[],MATCH($F713,Tb_KostenOptiesDB[KostenOptie],0),IFERROR(MATCH(Methode_Keuze,Tb_KostenOptiesDB[#Headers],0),2))=1,_xlfn.SWITCH($N713,"Uurtarief",IF(OR(AND(RIGHT($F713,3)="IKS",VLOOKUP($M713,DB_Loonkosten,2,0)="Ja"),AND(RIGHT($F713,3)&lt;&gt;"IKS",VLOOKUP($M713,DB_Loonkosten,2,0)="Nee")),IFERROR(VLOOKUP($M713,DB_Loonkosten,25,0),""),0),"Vast tarief",IF(LEFT(F713,8)="Bijdrage",VLOOKUP($F713,Tb_KostenTypen[],MATCH(Lijsten!$P$1,Tb_KostenTypen[#Headers],0),0),VLOOKUP($G713,Lijsten!L:P,MATCH(Lijsten!$P$1,Kop_Tarief_Vast,0),0))),""),"")</f>
        <v/>
      </c>
      <c r="Q713" s="359"/>
      <c r="R713" s="359"/>
      <c r="S713" s="321"/>
      <c r="T713" s="321"/>
      <c r="U713" s="373" t="str">
        <f t="shared" si="44"/>
        <v/>
      </c>
      <c r="V713" s="314" t="str">
        <f t="shared" si="45"/>
        <v/>
      </c>
      <c r="W713" s="314" t="str" cm="1">
        <f t="array" aca="1" ref="W713" ca="1">IFERROR(IF(AE713&lt;&gt;"ja",_xlfn.IFNA(_xlfn.IFS(AND(O713&lt;&gt;"",F713&lt;&gt;"",RIGHT($N713,6)="tarief",F713="Vergoeding"),SUM(O713)*FLOOR(SUM(Q713),0.0001),AND(O713&lt;&gt;"",F713&lt;&gt;"",RIGHT($N713,6)="tarief"),SUM(O713)*FLOOR(SUM(Q713),0.01),S713&gt;0,IF(F713&lt;&gt;"",FLOOR(SUM(S713),0.01),"")),""),""),"")</f>
        <v/>
      </c>
      <c r="X713" s="314" t="str" cm="1">
        <f t="array" aca="1" ref="X713" ca="1">IFERROR(IF(AE713&lt;&gt;"ja",_xlfn.IFNA(_xlfn.IFS(AND(P713&lt;&gt;"",R713&lt;&gt;"",RIGHT($N713,6)="tarief",F713="Vergoeding"),SUM(P713)*FLOOR(SUM(R713),0.0001),AND(P713&lt;&gt;"",R713&lt;&gt;"",RIGHT($N713,6)="tarief"),P713*FLOOR(R713,0.01),T713&gt;0,FLOOR(SUM(T713),0.01)),""),""),"")</f>
        <v/>
      </c>
      <c r="Y713" s="314" t="str">
        <f t="shared" ca="1" si="46"/>
        <v/>
      </c>
      <c r="Z713" s="314" t="str" cm="1">
        <f t="array" aca="1" ref="Z713" ca="1">IFERROR(_xlfn.IFS(OR(F713="",LEFT(Methode_Keuze,4)="Geen",Methode_Keuze=""),"",AND(W713&lt;&gt;"",F713&lt;&gt;"Arbeidskosten"),W713*VLOOKUP(F713,Tb_ProjectKosten[],MATCH(Tb_ProjectKosten[[#Headers],[Forfait_Percentage]],Tb_ProjectKosten[#Headers],0),0),AND(F713="Arbeidskosten",G713&lt;&gt;""),IFERROR(W713*VLOOKUP(G713,Tb_KostenTypen[],3,0)*VLOOKUP(F713,Tb_ProjectKosten[],MATCH(Tb_ProjectKosten[[#Headers],[Forfait_Percentage]],Tb_ProjectKosten[#Headers],0),0),""),W713 &lt;=0,0),"")</f>
        <v/>
      </c>
      <c r="AA713" s="314" t="str" cm="1">
        <f t="array" aca="1" ref="AA713" ca="1">IFERROR(_xlfn.IFS(OR(F713="",LEFT(Methode_Keuze,4)="Geen",Methode_Keuze=""),"",AND(X713&lt;&gt;"",F713&lt;&gt;"Arbeidskosten"),X713*VLOOKUP(F713,Tb_ProjectKosten[],MATCH(Tb_ProjectKosten[[#Headers],[Forfait_Percentage]],Tb_ProjectKosten[#Headers],0),0),AND(F713="Arbeidskosten",G713&lt;&gt;""),IFERROR(X713*VLOOKUP(G713,Tb_KostenTypen[],3,0)*VLOOKUP(F713,Tb_ProjectKosten[],MATCH(Tb_ProjectKosten[[#Headers],[Forfait_Percentage]],Tb_ProjectKosten[#Headers],0),0),""),X713 &lt;=0,0),"")</f>
        <v/>
      </c>
      <c r="AB713" s="314" t="str">
        <f t="shared" ca="1" si="47"/>
        <v/>
      </c>
      <c r="AC713" s="322"/>
      <c r="AD713" s="315"/>
      <c r="AE713" s="32" t="str" cm="1">
        <f t="array" ref="AE713">IFERROR(IF(INDEX(SubsidieTabel!$AD$1:$AG$12,MATCH($F713,SubsidieTabel!$AD$1:$AD$12,0),IFERROR(MATCH(Methode_Keuze,SubsidieTabel!$AD$1:$AG$1,0),2))&lt;&gt;1=TRUE,"ja",""),"")</f>
        <v/>
      </c>
    </row>
    <row r="714" spans="1:31" x14ac:dyDescent="0.25">
      <c r="A714" s="316"/>
      <c r="B714" s="317" t="str">
        <f>IF(A714&lt;&gt;"",_xlfn.MAXIFS($B$1:B713,$A$1:A713,A714)+1,"")</f>
        <v/>
      </c>
      <c r="C714" s="296"/>
      <c r="D714" s="296"/>
      <c r="E714" s="296"/>
      <c r="F714" s="296"/>
      <c r="G714" s="326"/>
      <c r="H714" s="324"/>
      <c r="I714" s="325"/>
      <c r="J714" s="325"/>
      <c r="K714" s="318"/>
      <c r="L714" s="318"/>
      <c r="M714" s="319" t="str">
        <f>IFERROR(VLOOKUP(H714,Lijsten!$H$1:$I$100,2,0),"")</f>
        <v/>
      </c>
      <c r="N714" s="319" t="str">
        <f ca="1">IFERROR(IF(VLOOKUP(F714,Kostentypen!$A$3:$E$21,3,0)=0,"",IF(OR(F714="Arbeidskosten",F714="Vergoeding"),VLOOKUP(G714,Tb_KostenTypen[],2,0),VLOOKUP(F714,Kostentypen!$A$3:$E$20,3,0))),"")</f>
        <v/>
      </c>
      <c r="O714" s="320" t="str" cm="1">
        <f t="array" ref="O714">_xlfn.IFNA(IF(INDEX(Tb_KostenOptiesDB[],MATCH($F714,Tb_KostenOptiesDB[KostenOptie],0),IFERROR(MATCH(Methode_Keuze,Tb_KostenOptiesDB[#Headers],0),2))=1,_xlfn.SWITCH($N714,"Uurtarief",IF(OR(AND(RIGHT($F714,3)="IKS",VLOOKUP($M714,DB_Loonkosten,2,0)="Ja"),AND(RIGHT($F714,3)&lt;&gt;"IKS",VLOOKUP($M714,DB_Loonkosten,2,0)="Nee")),IFERROR(VLOOKUP($M714,DB_Loonkosten,24,0),""),0),"Vast tarief",IF(LEFT(F714,8)="Bijdrage",VLOOKUP($F714,Tb_KostenTypen[],MATCH(Lijsten!$P$1,Tb_KostenTypen[#Headers],0),0),VLOOKUP($G714,Lijsten!L:P,MATCH(Lijsten!$P$1,Kop_Tarief_Vast,0),0))),""),"")</f>
        <v/>
      </c>
      <c r="P714" s="320" t="str" cm="1">
        <f t="array" ref="P714">_xlfn.IFNA(IF(INDEX(Tb_KostenOptiesDB[],MATCH($F714,Tb_KostenOptiesDB[KostenOptie],0),IFERROR(MATCH(Methode_Keuze,Tb_KostenOptiesDB[#Headers],0),2))=1,_xlfn.SWITCH($N714,"Uurtarief",IF(OR(AND(RIGHT($F714,3)="IKS",VLOOKUP($M714,DB_Loonkosten,2,0)="Ja"),AND(RIGHT($F714,3)&lt;&gt;"IKS",VLOOKUP($M714,DB_Loonkosten,2,0)="Nee")),IFERROR(VLOOKUP($M714,DB_Loonkosten,25,0),""),0),"Vast tarief",IF(LEFT(F714,8)="Bijdrage",VLOOKUP($F714,Tb_KostenTypen[],MATCH(Lijsten!$P$1,Tb_KostenTypen[#Headers],0),0),VLOOKUP($G714,Lijsten!L:P,MATCH(Lijsten!$P$1,Kop_Tarief_Vast,0),0))),""),"")</f>
        <v/>
      </c>
      <c r="Q714" s="359"/>
      <c r="R714" s="359"/>
      <c r="S714" s="321"/>
      <c r="T714" s="321"/>
      <c r="U714" s="373" t="str">
        <f t="shared" si="44"/>
        <v/>
      </c>
      <c r="V714" s="314" t="str">
        <f t="shared" si="45"/>
        <v/>
      </c>
      <c r="W714" s="314" t="str" cm="1">
        <f t="array" aca="1" ref="W714" ca="1">IFERROR(IF(AE714&lt;&gt;"ja",_xlfn.IFNA(_xlfn.IFS(AND(O714&lt;&gt;"",F714&lt;&gt;"",RIGHT($N714,6)="tarief",F714="Vergoeding"),SUM(O714)*FLOOR(SUM(Q714),0.0001),AND(O714&lt;&gt;"",F714&lt;&gt;"",RIGHT($N714,6)="tarief"),SUM(O714)*FLOOR(SUM(Q714),0.01),S714&gt;0,IF(F714&lt;&gt;"",FLOOR(SUM(S714),0.01),"")),""),""),"")</f>
        <v/>
      </c>
      <c r="X714" s="314" t="str" cm="1">
        <f t="array" aca="1" ref="X714" ca="1">IFERROR(IF(AE714&lt;&gt;"ja",_xlfn.IFNA(_xlfn.IFS(AND(P714&lt;&gt;"",R714&lt;&gt;"",RIGHT($N714,6)="tarief",F714="Vergoeding"),SUM(P714)*FLOOR(SUM(R714),0.0001),AND(P714&lt;&gt;"",R714&lt;&gt;"",RIGHT($N714,6)="tarief"),P714*FLOOR(R714,0.01),T714&gt;0,FLOOR(SUM(T714),0.01)),""),""),"")</f>
        <v/>
      </c>
      <c r="Y714" s="314" t="str">
        <f t="shared" ca="1" si="46"/>
        <v/>
      </c>
      <c r="Z714" s="314" t="str" cm="1">
        <f t="array" aca="1" ref="Z714" ca="1">IFERROR(_xlfn.IFS(OR(F714="",LEFT(Methode_Keuze,4)="Geen",Methode_Keuze=""),"",AND(W714&lt;&gt;"",F714&lt;&gt;"Arbeidskosten"),W714*VLOOKUP(F714,Tb_ProjectKosten[],MATCH(Tb_ProjectKosten[[#Headers],[Forfait_Percentage]],Tb_ProjectKosten[#Headers],0),0),AND(F714="Arbeidskosten",G714&lt;&gt;""),IFERROR(W714*VLOOKUP(G714,Tb_KostenTypen[],3,0)*VLOOKUP(F714,Tb_ProjectKosten[],MATCH(Tb_ProjectKosten[[#Headers],[Forfait_Percentage]],Tb_ProjectKosten[#Headers],0),0),""),W714 &lt;=0,0),"")</f>
        <v/>
      </c>
      <c r="AA714" s="314" t="str" cm="1">
        <f t="array" aca="1" ref="AA714" ca="1">IFERROR(_xlfn.IFS(OR(F714="",LEFT(Methode_Keuze,4)="Geen",Methode_Keuze=""),"",AND(X714&lt;&gt;"",F714&lt;&gt;"Arbeidskosten"),X714*VLOOKUP(F714,Tb_ProjectKosten[],MATCH(Tb_ProjectKosten[[#Headers],[Forfait_Percentage]],Tb_ProjectKosten[#Headers],0),0),AND(F714="Arbeidskosten",G714&lt;&gt;""),IFERROR(X714*VLOOKUP(G714,Tb_KostenTypen[],3,0)*VLOOKUP(F714,Tb_ProjectKosten[],MATCH(Tb_ProjectKosten[[#Headers],[Forfait_Percentage]],Tb_ProjectKosten[#Headers],0),0),""),X714 &lt;=0,0),"")</f>
        <v/>
      </c>
      <c r="AB714" s="314" t="str">
        <f t="shared" ca="1" si="47"/>
        <v/>
      </c>
      <c r="AC714" s="322"/>
      <c r="AD714" s="315"/>
      <c r="AE714" s="32" t="str" cm="1">
        <f t="array" ref="AE714">IFERROR(IF(INDEX(SubsidieTabel!$AD$1:$AG$12,MATCH($F714,SubsidieTabel!$AD$1:$AD$12,0),IFERROR(MATCH(Methode_Keuze,SubsidieTabel!$AD$1:$AG$1,0),2))&lt;&gt;1=TRUE,"ja",""),"")</f>
        <v/>
      </c>
    </row>
    <row r="715" spans="1:31" x14ac:dyDescent="0.25">
      <c r="A715" s="316"/>
      <c r="B715" s="317" t="str">
        <f>IF(A715&lt;&gt;"",_xlfn.MAXIFS($B$1:B714,$A$1:A714,A715)+1,"")</f>
        <v/>
      </c>
      <c r="C715" s="296"/>
      <c r="D715" s="296"/>
      <c r="E715" s="296"/>
      <c r="F715" s="296"/>
      <c r="G715" s="326"/>
      <c r="H715" s="324"/>
      <c r="I715" s="325"/>
      <c r="J715" s="325"/>
      <c r="K715" s="318"/>
      <c r="L715" s="318"/>
      <c r="M715" s="319" t="str">
        <f>IFERROR(VLOOKUP(H715,Lijsten!$H$1:$I$100,2,0),"")</f>
        <v/>
      </c>
      <c r="N715" s="319" t="str">
        <f ca="1">IFERROR(IF(VLOOKUP(F715,Kostentypen!$A$3:$E$21,3,0)=0,"",IF(OR(F715="Arbeidskosten",F715="Vergoeding"),VLOOKUP(G715,Tb_KostenTypen[],2,0),VLOOKUP(F715,Kostentypen!$A$3:$E$20,3,0))),"")</f>
        <v/>
      </c>
      <c r="O715" s="320" t="str" cm="1">
        <f t="array" ref="O715">_xlfn.IFNA(IF(INDEX(Tb_KostenOptiesDB[],MATCH($F715,Tb_KostenOptiesDB[KostenOptie],0),IFERROR(MATCH(Methode_Keuze,Tb_KostenOptiesDB[#Headers],0),2))=1,_xlfn.SWITCH($N715,"Uurtarief",IF(OR(AND(RIGHT($F715,3)="IKS",VLOOKUP($M715,DB_Loonkosten,2,0)="Ja"),AND(RIGHT($F715,3)&lt;&gt;"IKS",VLOOKUP($M715,DB_Loonkosten,2,0)="Nee")),IFERROR(VLOOKUP($M715,DB_Loonkosten,24,0),""),0),"Vast tarief",IF(LEFT(F715,8)="Bijdrage",VLOOKUP($F715,Tb_KostenTypen[],MATCH(Lijsten!$P$1,Tb_KostenTypen[#Headers],0),0),VLOOKUP($G715,Lijsten!L:P,MATCH(Lijsten!$P$1,Kop_Tarief_Vast,0),0))),""),"")</f>
        <v/>
      </c>
      <c r="P715" s="320" t="str" cm="1">
        <f t="array" ref="P715">_xlfn.IFNA(IF(INDEX(Tb_KostenOptiesDB[],MATCH($F715,Tb_KostenOptiesDB[KostenOptie],0),IFERROR(MATCH(Methode_Keuze,Tb_KostenOptiesDB[#Headers],0),2))=1,_xlfn.SWITCH($N715,"Uurtarief",IF(OR(AND(RIGHT($F715,3)="IKS",VLOOKUP($M715,DB_Loonkosten,2,0)="Ja"),AND(RIGHT($F715,3)&lt;&gt;"IKS",VLOOKUP($M715,DB_Loonkosten,2,0)="Nee")),IFERROR(VLOOKUP($M715,DB_Loonkosten,25,0),""),0),"Vast tarief",IF(LEFT(F715,8)="Bijdrage",VLOOKUP($F715,Tb_KostenTypen[],MATCH(Lijsten!$P$1,Tb_KostenTypen[#Headers],0),0),VLOOKUP($G715,Lijsten!L:P,MATCH(Lijsten!$P$1,Kop_Tarief_Vast,0),0))),""),"")</f>
        <v/>
      </c>
      <c r="Q715" s="359"/>
      <c r="R715" s="359"/>
      <c r="S715" s="321"/>
      <c r="T715" s="321"/>
      <c r="U715" s="373" t="str">
        <f t="shared" si="44"/>
        <v/>
      </c>
      <c r="V715" s="314" t="str">
        <f t="shared" si="45"/>
        <v/>
      </c>
      <c r="W715" s="314" t="str" cm="1">
        <f t="array" aca="1" ref="W715" ca="1">IFERROR(IF(AE715&lt;&gt;"ja",_xlfn.IFNA(_xlfn.IFS(AND(O715&lt;&gt;"",F715&lt;&gt;"",RIGHT($N715,6)="tarief",F715="Vergoeding"),SUM(O715)*FLOOR(SUM(Q715),0.0001),AND(O715&lt;&gt;"",F715&lt;&gt;"",RIGHT($N715,6)="tarief"),SUM(O715)*FLOOR(SUM(Q715),0.01),S715&gt;0,IF(F715&lt;&gt;"",FLOOR(SUM(S715),0.01),"")),""),""),"")</f>
        <v/>
      </c>
      <c r="X715" s="314" t="str" cm="1">
        <f t="array" aca="1" ref="X715" ca="1">IFERROR(IF(AE715&lt;&gt;"ja",_xlfn.IFNA(_xlfn.IFS(AND(P715&lt;&gt;"",R715&lt;&gt;"",RIGHT($N715,6)="tarief",F715="Vergoeding"),SUM(P715)*FLOOR(SUM(R715),0.0001),AND(P715&lt;&gt;"",R715&lt;&gt;"",RIGHT($N715,6)="tarief"),P715*FLOOR(R715,0.01),T715&gt;0,FLOOR(SUM(T715),0.01)),""),""),"")</f>
        <v/>
      </c>
      <c r="Y715" s="314" t="str">
        <f t="shared" ca="1" si="46"/>
        <v/>
      </c>
      <c r="Z715" s="314" t="str" cm="1">
        <f t="array" aca="1" ref="Z715" ca="1">IFERROR(_xlfn.IFS(OR(F715="",LEFT(Methode_Keuze,4)="Geen",Methode_Keuze=""),"",AND(W715&lt;&gt;"",F715&lt;&gt;"Arbeidskosten"),W715*VLOOKUP(F715,Tb_ProjectKosten[],MATCH(Tb_ProjectKosten[[#Headers],[Forfait_Percentage]],Tb_ProjectKosten[#Headers],0),0),AND(F715="Arbeidskosten",G715&lt;&gt;""),IFERROR(W715*VLOOKUP(G715,Tb_KostenTypen[],3,0)*VLOOKUP(F715,Tb_ProjectKosten[],MATCH(Tb_ProjectKosten[[#Headers],[Forfait_Percentage]],Tb_ProjectKosten[#Headers],0),0),""),W715 &lt;=0,0),"")</f>
        <v/>
      </c>
      <c r="AA715" s="314" t="str" cm="1">
        <f t="array" aca="1" ref="AA715" ca="1">IFERROR(_xlfn.IFS(OR(F715="",LEFT(Methode_Keuze,4)="Geen",Methode_Keuze=""),"",AND(X715&lt;&gt;"",F715&lt;&gt;"Arbeidskosten"),X715*VLOOKUP(F715,Tb_ProjectKosten[],MATCH(Tb_ProjectKosten[[#Headers],[Forfait_Percentage]],Tb_ProjectKosten[#Headers],0),0),AND(F715="Arbeidskosten",G715&lt;&gt;""),IFERROR(X715*VLOOKUP(G715,Tb_KostenTypen[],3,0)*VLOOKUP(F715,Tb_ProjectKosten[],MATCH(Tb_ProjectKosten[[#Headers],[Forfait_Percentage]],Tb_ProjectKosten[#Headers],0),0),""),X715 &lt;=0,0),"")</f>
        <v/>
      </c>
      <c r="AB715" s="314" t="str">
        <f t="shared" ca="1" si="47"/>
        <v/>
      </c>
      <c r="AC715" s="322"/>
      <c r="AD715" s="315"/>
      <c r="AE715" s="32" t="str" cm="1">
        <f t="array" ref="AE715">IFERROR(IF(INDEX(SubsidieTabel!$AD$1:$AG$12,MATCH($F715,SubsidieTabel!$AD$1:$AD$12,0),IFERROR(MATCH(Methode_Keuze,SubsidieTabel!$AD$1:$AG$1,0),2))&lt;&gt;1=TRUE,"ja",""),"")</f>
        <v/>
      </c>
    </row>
    <row r="716" spans="1:31" x14ac:dyDescent="0.25">
      <c r="A716" s="316"/>
      <c r="B716" s="317" t="str">
        <f>IF(A716&lt;&gt;"",_xlfn.MAXIFS($B$1:B715,$A$1:A715,A716)+1,"")</f>
        <v/>
      </c>
      <c r="C716" s="296"/>
      <c r="D716" s="296"/>
      <c r="E716" s="296"/>
      <c r="F716" s="296"/>
      <c r="G716" s="326"/>
      <c r="H716" s="324"/>
      <c r="I716" s="325"/>
      <c r="J716" s="325"/>
      <c r="K716" s="318"/>
      <c r="L716" s="318"/>
      <c r="M716" s="319" t="str">
        <f>IFERROR(VLOOKUP(H716,Lijsten!$H$1:$I$100,2,0),"")</f>
        <v/>
      </c>
      <c r="N716" s="319" t="str">
        <f ca="1">IFERROR(IF(VLOOKUP(F716,Kostentypen!$A$3:$E$21,3,0)=0,"",IF(OR(F716="Arbeidskosten",F716="Vergoeding"),VLOOKUP(G716,Tb_KostenTypen[],2,0),VLOOKUP(F716,Kostentypen!$A$3:$E$20,3,0))),"")</f>
        <v/>
      </c>
      <c r="O716" s="320" t="str" cm="1">
        <f t="array" ref="O716">_xlfn.IFNA(IF(INDEX(Tb_KostenOptiesDB[],MATCH($F716,Tb_KostenOptiesDB[KostenOptie],0),IFERROR(MATCH(Methode_Keuze,Tb_KostenOptiesDB[#Headers],0),2))=1,_xlfn.SWITCH($N716,"Uurtarief",IF(OR(AND(RIGHT($F716,3)="IKS",VLOOKUP($M716,DB_Loonkosten,2,0)="Ja"),AND(RIGHT($F716,3)&lt;&gt;"IKS",VLOOKUP($M716,DB_Loonkosten,2,0)="Nee")),IFERROR(VLOOKUP($M716,DB_Loonkosten,24,0),""),0),"Vast tarief",IF(LEFT(F716,8)="Bijdrage",VLOOKUP($F716,Tb_KostenTypen[],MATCH(Lijsten!$P$1,Tb_KostenTypen[#Headers],0),0),VLOOKUP($G716,Lijsten!L:P,MATCH(Lijsten!$P$1,Kop_Tarief_Vast,0),0))),""),"")</f>
        <v/>
      </c>
      <c r="P716" s="320" t="str" cm="1">
        <f t="array" ref="P716">_xlfn.IFNA(IF(INDEX(Tb_KostenOptiesDB[],MATCH($F716,Tb_KostenOptiesDB[KostenOptie],0),IFERROR(MATCH(Methode_Keuze,Tb_KostenOptiesDB[#Headers],0),2))=1,_xlfn.SWITCH($N716,"Uurtarief",IF(OR(AND(RIGHT($F716,3)="IKS",VLOOKUP($M716,DB_Loonkosten,2,0)="Ja"),AND(RIGHT($F716,3)&lt;&gt;"IKS",VLOOKUP($M716,DB_Loonkosten,2,0)="Nee")),IFERROR(VLOOKUP($M716,DB_Loonkosten,25,0),""),0),"Vast tarief",IF(LEFT(F716,8)="Bijdrage",VLOOKUP($F716,Tb_KostenTypen[],MATCH(Lijsten!$P$1,Tb_KostenTypen[#Headers],0),0),VLOOKUP($G716,Lijsten!L:P,MATCH(Lijsten!$P$1,Kop_Tarief_Vast,0),0))),""),"")</f>
        <v/>
      </c>
      <c r="Q716" s="359"/>
      <c r="R716" s="359"/>
      <c r="S716" s="321"/>
      <c r="T716" s="321"/>
      <c r="U716" s="373" t="str">
        <f t="shared" si="44"/>
        <v/>
      </c>
      <c r="V716" s="314" t="str">
        <f t="shared" si="45"/>
        <v/>
      </c>
      <c r="W716" s="314" t="str" cm="1">
        <f t="array" aca="1" ref="W716" ca="1">IFERROR(IF(AE716&lt;&gt;"ja",_xlfn.IFNA(_xlfn.IFS(AND(O716&lt;&gt;"",F716&lt;&gt;"",RIGHT($N716,6)="tarief",F716="Vergoeding"),SUM(O716)*FLOOR(SUM(Q716),0.0001),AND(O716&lt;&gt;"",F716&lt;&gt;"",RIGHT($N716,6)="tarief"),SUM(O716)*FLOOR(SUM(Q716),0.01),S716&gt;0,IF(F716&lt;&gt;"",FLOOR(SUM(S716),0.01),"")),""),""),"")</f>
        <v/>
      </c>
      <c r="X716" s="314" t="str" cm="1">
        <f t="array" aca="1" ref="X716" ca="1">IFERROR(IF(AE716&lt;&gt;"ja",_xlfn.IFNA(_xlfn.IFS(AND(P716&lt;&gt;"",R716&lt;&gt;"",RIGHT($N716,6)="tarief",F716="Vergoeding"),SUM(P716)*FLOOR(SUM(R716),0.0001),AND(P716&lt;&gt;"",R716&lt;&gt;"",RIGHT($N716,6)="tarief"),P716*FLOOR(R716,0.01),T716&gt;0,FLOOR(SUM(T716),0.01)),""),""),"")</f>
        <v/>
      </c>
      <c r="Y716" s="314" t="str">
        <f t="shared" ca="1" si="46"/>
        <v/>
      </c>
      <c r="Z716" s="314" t="str" cm="1">
        <f t="array" aca="1" ref="Z716" ca="1">IFERROR(_xlfn.IFS(OR(F716="",LEFT(Methode_Keuze,4)="Geen",Methode_Keuze=""),"",AND(W716&lt;&gt;"",F716&lt;&gt;"Arbeidskosten"),W716*VLOOKUP(F716,Tb_ProjectKosten[],MATCH(Tb_ProjectKosten[[#Headers],[Forfait_Percentage]],Tb_ProjectKosten[#Headers],0),0),AND(F716="Arbeidskosten",G716&lt;&gt;""),IFERROR(W716*VLOOKUP(G716,Tb_KostenTypen[],3,0)*VLOOKUP(F716,Tb_ProjectKosten[],MATCH(Tb_ProjectKosten[[#Headers],[Forfait_Percentage]],Tb_ProjectKosten[#Headers],0),0),""),W716 &lt;=0,0),"")</f>
        <v/>
      </c>
      <c r="AA716" s="314" t="str" cm="1">
        <f t="array" aca="1" ref="AA716" ca="1">IFERROR(_xlfn.IFS(OR(F716="",LEFT(Methode_Keuze,4)="Geen",Methode_Keuze=""),"",AND(X716&lt;&gt;"",F716&lt;&gt;"Arbeidskosten"),X716*VLOOKUP(F716,Tb_ProjectKosten[],MATCH(Tb_ProjectKosten[[#Headers],[Forfait_Percentage]],Tb_ProjectKosten[#Headers],0),0),AND(F716="Arbeidskosten",G716&lt;&gt;""),IFERROR(X716*VLOOKUP(G716,Tb_KostenTypen[],3,0)*VLOOKUP(F716,Tb_ProjectKosten[],MATCH(Tb_ProjectKosten[[#Headers],[Forfait_Percentage]],Tb_ProjectKosten[#Headers],0),0),""),X716 &lt;=0,0),"")</f>
        <v/>
      </c>
      <c r="AB716" s="314" t="str">
        <f t="shared" ca="1" si="47"/>
        <v/>
      </c>
      <c r="AC716" s="322"/>
      <c r="AD716" s="315"/>
      <c r="AE716" s="32" t="str" cm="1">
        <f t="array" ref="AE716">IFERROR(IF(INDEX(SubsidieTabel!$AD$1:$AG$12,MATCH($F716,SubsidieTabel!$AD$1:$AD$12,0),IFERROR(MATCH(Methode_Keuze,SubsidieTabel!$AD$1:$AG$1,0),2))&lt;&gt;1=TRUE,"ja",""),"")</f>
        <v/>
      </c>
    </row>
    <row r="717" spans="1:31" x14ac:dyDescent="0.25">
      <c r="A717" s="316"/>
      <c r="B717" s="317" t="str">
        <f>IF(A717&lt;&gt;"",_xlfn.MAXIFS($B$1:B716,$A$1:A716,A717)+1,"")</f>
        <v/>
      </c>
      <c r="C717" s="296"/>
      <c r="D717" s="296"/>
      <c r="E717" s="296"/>
      <c r="F717" s="296"/>
      <c r="G717" s="326"/>
      <c r="H717" s="324"/>
      <c r="I717" s="325"/>
      <c r="J717" s="325"/>
      <c r="K717" s="318"/>
      <c r="L717" s="318"/>
      <c r="M717" s="319" t="str">
        <f>IFERROR(VLOOKUP(H717,Lijsten!$H$1:$I$100,2,0),"")</f>
        <v/>
      </c>
      <c r="N717" s="319" t="str">
        <f ca="1">IFERROR(IF(VLOOKUP(F717,Kostentypen!$A$3:$E$21,3,0)=0,"",IF(OR(F717="Arbeidskosten",F717="Vergoeding"),VLOOKUP(G717,Tb_KostenTypen[],2,0),VLOOKUP(F717,Kostentypen!$A$3:$E$20,3,0))),"")</f>
        <v/>
      </c>
      <c r="O717" s="320" t="str" cm="1">
        <f t="array" ref="O717">_xlfn.IFNA(IF(INDEX(Tb_KostenOptiesDB[],MATCH($F717,Tb_KostenOptiesDB[KostenOptie],0),IFERROR(MATCH(Methode_Keuze,Tb_KostenOptiesDB[#Headers],0),2))=1,_xlfn.SWITCH($N717,"Uurtarief",IF(OR(AND(RIGHT($F717,3)="IKS",VLOOKUP($M717,DB_Loonkosten,2,0)="Ja"),AND(RIGHT($F717,3)&lt;&gt;"IKS",VLOOKUP($M717,DB_Loonkosten,2,0)="Nee")),IFERROR(VLOOKUP($M717,DB_Loonkosten,24,0),""),0),"Vast tarief",IF(LEFT(F717,8)="Bijdrage",VLOOKUP($F717,Tb_KostenTypen[],MATCH(Lijsten!$P$1,Tb_KostenTypen[#Headers],0),0),VLOOKUP($G717,Lijsten!L:P,MATCH(Lijsten!$P$1,Kop_Tarief_Vast,0),0))),""),"")</f>
        <v/>
      </c>
      <c r="P717" s="320" t="str" cm="1">
        <f t="array" ref="P717">_xlfn.IFNA(IF(INDEX(Tb_KostenOptiesDB[],MATCH($F717,Tb_KostenOptiesDB[KostenOptie],0),IFERROR(MATCH(Methode_Keuze,Tb_KostenOptiesDB[#Headers],0),2))=1,_xlfn.SWITCH($N717,"Uurtarief",IF(OR(AND(RIGHT($F717,3)="IKS",VLOOKUP($M717,DB_Loonkosten,2,0)="Ja"),AND(RIGHT($F717,3)&lt;&gt;"IKS",VLOOKUP($M717,DB_Loonkosten,2,0)="Nee")),IFERROR(VLOOKUP($M717,DB_Loonkosten,25,0),""),0),"Vast tarief",IF(LEFT(F717,8)="Bijdrage",VLOOKUP($F717,Tb_KostenTypen[],MATCH(Lijsten!$P$1,Tb_KostenTypen[#Headers],0),0),VLOOKUP($G717,Lijsten!L:P,MATCH(Lijsten!$P$1,Kop_Tarief_Vast,0),0))),""),"")</f>
        <v/>
      </c>
      <c r="Q717" s="359"/>
      <c r="R717" s="359"/>
      <c r="S717" s="321"/>
      <c r="T717" s="321"/>
      <c r="U717" s="373" t="str">
        <f t="shared" si="44"/>
        <v/>
      </c>
      <c r="V717" s="314" t="str">
        <f t="shared" si="45"/>
        <v/>
      </c>
      <c r="W717" s="314" t="str" cm="1">
        <f t="array" aca="1" ref="W717" ca="1">IFERROR(IF(AE717&lt;&gt;"ja",_xlfn.IFNA(_xlfn.IFS(AND(O717&lt;&gt;"",F717&lt;&gt;"",RIGHT($N717,6)="tarief",F717="Vergoeding"),SUM(O717)*FLOOR(SUM(Q717),0.0001),AND(O717&lt;&gt;"",F717&lt;&gt;"",RIGHT($N717,6)="tarief"),SUM(O717)*FLOOR(SUM(Q717),0.01),S717&gt;0,IF(F717&lt;&gt;"",FLOOR(SUM(S717),0.01),"")),""),""),"")</f>
        <v/>
      </c>
      <c r="X717" s="314" t="str" cm="1">
        <f t="array" aca="1" ref="X717" ca="1">IFERROR(IF(AE717&lt;&gt;"ja",_xlfn.IFNA(_xlfn.IFS(AND(P717&lt;&gt;"",R717&lt;&gt;"",RIGHT($N717,6)="tarief",F717="Vergoeding"),SUM(P717)*FLOOR(SUM(R717),0.0001),AND(P717&lt;&gt;"",R717&lt;&gt;"",RIGHT($N717,6)="tarief"),P717*FLOOR(R717,0.01),T717&gt;0,FLOOR(SUM(T717),0.01)),""),""),"")</f>
        <v/>
      </c>
      <c r="Y717" s="314" t="str">
        <f t="shared" ca="1" si="46"/>
        <v/>
      </c>
      <c r="Z717" s="314" t="str" cm="1">
        <f t="array" aca="1" ref="Z717" ca="1">IFERROR(_xlfn.IFS(OR(F717="",LEFT(Methode_Keuze,4)="Geen",Methode_Keuze=""),"",AND(W717&lt;&gt;"",F717&lt;&gt;"Arbeidskosten"),W717*VLOOKUP(F717,Tb_ProjectKosten[],MATCH(Tb_ProjectKosten[[#Headers],[Forfait_Percentage]],Tb_ProjectKosten[#Headers],0),0),AND(F717="Arbeidskosten",G717&lt;&gt;""),IFERROR(W717*VLOOKUP(G717,Tb_KostenTypen[],3,0)*VLOOKUP(F717,Tb_ProjectKosten[],MATCH(Tb_ProjectKosten[[#Headers],[Forfait_Percentage]],Tb_ProjectKosten[#Headers],0),0),""),W717 &lt;=0,0),"")</f>
        <v/>
      </c>
      <c r="AA717" s="314" t="str" cm="1">
        <f t="array" aca="1" ref="AA717" ca="1">IFERROR(_xlfn.IFS(OR(F717="",LEFT(Methode_Keuze,4)="Geen",Methode_Keuze=""),"",AND(X717&lt;&gt;"",F717&lt;&gt;"Arbeidskosten"),X717*VLOOKUP(F717,Tb_ProjectKosten[],MATCH(Tb_ProjectKosten[[#Headers],[Forfait_Percentage]],Tb_ProjectKosten[#Headers],0),0),AND(F717="Arbeidskosten",G717&lt;&gt;""),IFERROR(X717*VLOOKUP(G717,Tb_KostenTypen[],3,0)*VLOOKUP(F717,Tb_ProjectKosten[],MATCH(Tb_ProjectKosten[[#Headers],[Forfait_Percentage]],Tb_ProjectKosten[#Headers],0),0),""),X717 &lt;=0,0),"")</f>
        <v/>
      </c>
      <c r="AB717" s="314" t="str">
        <f t="shared" ca="1" si="47"/>
        <v/>
      </c>
      <c r="AC717" s="322"/>
      <c r="AD717" s="315"/>
      <c r="AE717" s="32" t="str" cm="1">
        <f t="array" ref="AE717">IFERROR(IF(INDEX(SubsidieTabel!$AD$1:$AG$12,MATCH($F717,SubsidieTabel!$AD$1:$AD$12,0),IFERROR(MATCH(Methode_Keuze,SubsidieTabel!$AD$1:$AG$1,0),2))&lt;&gt;1=TRUE,"ja",""),"")</f>
        <v/>
      </c>
    </row>
    <row r="718" spans="1:31" x14ac:dyDescent="0.25">
      <c r="A718" s="316"/>
      <c r="B718" s="317" t="str">
        <f>IF(A718&lt;&gt;"",_xlfn.MAXIFS($B$1:B717,$A$1:A717,A718)+1,"")</f>
        <v/>
      </c>
      <c r="C718" s="296"/>
      <c r="D718" s="296"/>
      <c r="E718" s="296"/>
      <c r="F718" s="296"/>
      <c r="G718" s="326"/>
      <c r="H718" s="324"/>
      <c r="I718" s="325"/>
      <c r="J718" s="325"/>
      <c r="K718" s="318"/>
      <c r="L718" s="318"/>
      <c r="M718" s="319" t="str">
        <f>IFERROR(VLOOKUP(H718,Lijsten!$H$1:$I$100,2,0),"")</f>
        <v/>
      </c>
      <c r="N718" s="319" t="str">
        <f ca="1">IFERROR(IF(VLOOKUP(F718,Kostentypen!$A$3:$E$21,3,0)=0,"",IF(OR(F718="Arbeidskosten",F718="Vergoeding"),VLOOKUP(G718,Tb_KostenTypen[],2,0),VLOOKUP(F718,Kostentypen!$A$3:$E$20,3,0))),"")</f>
        <v/>
      </c>
      <c r="O718" s="320" t="str" cm="1">
        <f t="array" ref="O718">_xlfn.IFNA(IF(INDEX(Tb_KostenOptiesDB[],MATCH($F718,Tb_KostenOptiesDB[KostenOptie],0),IFERROR(MATCH(Methode_Keuze,Tb_KostenOptiesDB[#Headers],0),2))=1,_xlfn.SWITCH($N718,"Uurtarief",IF(OR(AND(RIGHT($F718,3)="IKS",VLOOKUP($M718,DB_Loonkosten,2,0)="Ja"),AND(RIGHT($F718,3)&lt;&gt;"IKS",VLOOKUP($M718,DB_Loonkosten,2,0)="Nee")),IFERROR(VLOOKUP($M718,DB_Loonkosten,24,0),""),0),"Vast tarief",IF(LEFT(F718,8)="Bijdrage",VLOOKUP($F718,Tb_KostenTypen[],MATCH(Lijsten!$P$1,Tb_KostenTypen[#Headers],0),0),VLOOKUP($G718,Lijsten!L:P,MATCH(Lijsten!$P$1,Kop_Tarief_Vast,0),0))),""),"")</f>
        <v/>
      </c>
      <c r="P718" s="320" t="str" cm="1">
        <f t="array" ref="P718">_xlfn.IFNA(IF(INDEX(Tb_KostenOptiesDB[],MATCH($F718,Tb_KostenOptiesDB[KostenOptie],0),IFERROR(MATCH(Methode_Keuze,Tb_KostenOptiesDB[#Headers],0),2))=1,_xlfn.SWITCH($N718,"Uurtarief",IF(OR(AND(RIGHT($F718,3)="IKS",VLOOKUP($M718,DB_Loonkosten,2,0)="Ja"),AND(RIGHT($F718,3)&lt;&gt;"IKS",VLOOKUP($M718,DB_Loonkosten,2,0)="Nee")),IFERROR(VLOOKUP($M718,DB_Loonkosten,25,0),""),0),"Vast tarief",IF(LEFT(F718,8)="Bijdrage",VLOOKUP($F718,Tb_KostenTypen[],MATCH(Lijsten!$P$1,Tb_KostenTypen[#Headers],0),0),VLOOKUP($G718,Lijsten!L:P,MATCH(Lijsten!$P$1,Kop_Tarief_Vast,0),0))),""),"")</f>
        <v/>
      </c>
      <c r="Q718" s="359"/>
      <c r="R718" s="359"/>
      <c r="S718" s="321"/>
      <c r="T718" s="321"/>
      <c r="U718" s="373" t="str">
        <f t="shared" si="44"/>
        <v/>
      </c>
      <c r="V718" s="314" t="str">
        <f t="shared" si="45"/>
        <v/>
      </c>
      <c r="W718" s="314" t="str" cm="1">
        <f t="array" aca="1" ref="W718" ca="1">IFERROR(IF(AE718&lt;&gt;"ja",_xlfn.IFNA(_xlfn.IFS(AND(O718&lt;&gt;"",F718&lt;&gt;"",RIGHT($N718,6)="tarief",F718="Vergoeding"),SUM(O718)*FLOOR(SUM(Q718),0.0001),AND(O718&lt;&gt;"",F718&lt;&gt;"",RIGHT($N718,6)="tarief"),SUM(O718)*FLOOR(SUM(Q718),0.01),S718&gt;0,IF(F718&lt;&gt;"",FLOOR(SUM(S718),0.01),"")),""),""),"")</f>
        <v/>
      </c>
      <c r="X718" s="314" t="str" cm="1">
        <f t="array" aca="1" ref="X718" ca="1">IFERROR(IF(AE718&lt;&gt;"ja",_xlfn.IFNA(_xlfn.IFS(AND(P718&lt;&gt;"",R718&lt;&gt;"",RIGHT($N718,6)="tarief",F718="Vergoeding"),SUM(P718)*FLOOR(SUM(R718),0.0001),AND(P718&lt;&gt;"",R718&lt;&gt;"",RIGHT($N718,6)="tarief"),P718*FLOOR(R718,0.01),T718&gt;0,FLOOR(SUM(T718),0.01)),""),""),"")</f>
        <v/>
      </c>
      <c r="Y718" s="314" t="str">
        <f t="shared" ca="1" si="46"/>
        <v/>
      </c>
      <c r="Z718" s="314" t="str" cm="1">
        <f t="array" aca="1" ref="Z718" ca="1">IFERROR(_xlfn.IFS(OR(F718="",LEFT(Methode_Keuze,4)="Geen",Methode_Keuze=""),"",AND(W718&lt;&gt;"",F718&lt;&gt;"Arbeidskosten"),W718*VLOOKUP(F718,Tb_ProjectKosten[],MATCH(Tb_ProjectKosten[[#Headers],[Forfait_Percentage]],Tb_ProjectKosten[#Headers],0),0),AND(F718="Arbeidskosten",G718&lt;&gt;""),IFERROR(W718*VLOOKUP(G718,Tb_KostenTypen[],3,0)*VLOOKUP(F718,Tb_ProjectKosten[],MATCH(Tb_ProjectKosten[[#Headers],[Forfait_Percentage]],Tb_ProjectKosten[#Headers],0),0),""),W718 &lt;=0,0),"")</f>
        <v/>
      </c>
      <c r="AA718" s="314" t="str" cm="1">
        <f t="array" aca="1" ref="AA718" ca="1">IFERROR(_xlfn.IFS(OR(F718="",LEFT(Methode_Keuze,4)="Geen",Methode_Keuze=""),"",AND(X718&lt;&gt;"",F718&lt;&gt;"Arbeidskosten"),X718*VLOOKUP(F718,Tb_ProjectKosten[],MATCH(Tb_ProjectKosten[[#Headers],[Forfait_Percentage]],Tb_ProjectKosten[#Headers],0),0),AND(F718="Arbeidskosten",G718&lt;&gt;""),IFERROR(X718*VLOOKUP(G718,Tb_KostenTypen[],3,0)*VLOOKUP(F718,Tb_ProjectKosten[],MATCH(Tb_ProjectKosten[[#Headers],[Forfait_Percentage]],Tb_ProjectKosten[#Headers],0),0),""),X718 &lt;=0,0),"")</f>
        <v/>
      </c>
      <c r="AB718" s="314" t="str">
        <f t="shared" ca="1" si="47"/>
        <v/>
      </c>
      <c r="AC718" s="322"/>
      <c r="AD718" s="315"/>
      <c r="AE718" s="32" t="str" cm="1">
        <f t="array" ref="AE718">IFERROR(IF(INDEX(SubsidieTabel!$AD$1:$AG$12,MATCH($F718,SubsidieTabel!$AD$1:$AD$12,0),IFERROR(MATCH(Methode_Keuze,SubsidieTabel!$AD$1:$AG$1,0),2))&lt;&gt;1=TRUE,"ja",""),"")</f>
        <v/>
      </c>
    </row>
    <row r="719" spans="1:31" x14ac:dyDescent="0.25">
      <c r="A719" s="316"/>
      <c r="B719" s="317" t="str">
        <f>IF(A719&lt;&gt;"",_xlfn.MAXIFS($B$1:B718,$A$1:A718,A719)+1,"")</f>
        <v/>
      </c>
      <c r="C719" s="296"/>
      <c r="D719" s="296"/>
      <c r="E719" s="296"/>
      <c r="F719" s="296"/>
      <c r="G719" s="326"/>
      <c r="H719" s="324"/>
      <c r="I719" s="325"/>
      <c r="J719" s="325"/>
      <c r="K719" s="318"/>
      <c r="L719" s="318"/>
      <c r="M719" s="319" t="str">
        <f>IFERROR(VLOOKUP(H719,Lijsten!$H$1:$I$100,2,0),"")</f>
        <v/>
      </c>
      <c r="N719" s="319" t="str">
        <f ca="1">IFERROR(IF(VLOOKUP(F719,Kostentypen!$A$3:$E$21,3,0)=0,"",IF(OR(F719="Arbeidskosten",F719="Vergoeding"),VLOOKUP(G719,Tb_KostenTypen[],2,0),VLOOKUP(F719,Kostentypen!$A$3:$E$20,3,0))),"")</f>
        <v/>
      </c>
      <c r="O719" s="320" t="str" cm="1">
        <f t="array" ref="O719">_xlfn.IFNA(IF(INDEX(Tb_KostenOptiesDB[],MATCH($F719,Tb_KostenOptiesDB[KostenOptie],0),IFERROR(MATCH(Methode_Keuze,Tb_KostenOptiesDB[#Headers],0),2))=1,_xlfn.SWITCH($N719,"Uurtarief",IF(OR(AND(RIGHT($F719,3)="IKS",VLOOKUP($M719,DB_Loonkosten,2,0)="Ja"),AND(RIGHT($F719,3)&lt;&gt;"IKS",VLOOKUP($M719,DB_Loonkosten,2,0)="Nee")),IFERROR(VLOOKUP($M719,DB_Loonkosten,24,0),""),0),"Vast tarief",IF(LEFT(F719,8)="Bijdrage",VLOOKUP($F719,Tb_KostenTypen[],MATCH(Lijsten!$P$1,Tb_KostenTypen[#Headers],0),0),VLOOKUP($G719,Lijsten!L:P,MATCH(Lijsten!$P$1,Kop_Tarief_Vast,0),0))),""),"")</f>
        <v/>
      </c>
      <c r="P719" s="320" t="str" cm="1">
        <f t="array" ref="P719">_xlfn.IFNA(IF(INDEX(Tb_KostenOptiesDB[],MATCH($F719,Tb_KostenOptiesDB[KostenOptie],0),IFERROR(MATCH(Methode_Keuze,Tb_KostenOptiesDB[#Headers],0),2))=1,_xlfn.SWITCH($N719,"Uurtarief",IF(OR(AND(RIGHT($F719,3)="IKS",VLOOKUP($M719,DB_Loonkosten,2,0)="Ja"),AND(RIGHT($F719,3)&lt;&gt;"IKS",VLOOKUP($M719,DB_Loonkosten,2,0)="Nee")),IFERROR(VLOOKUP($M719,DB_Loonkosten,25,0),""),0),"Vast tarief",IF(LEFT(F719,8)="Bijdrage",VLOOKUP($F719,Tb_KostenTypen[],MATCH(Lijsten!$P$1,Tb_KostenTypen[#Headers],0),0),VLOOKUP($G719,Lijsten!L:P,MATCH(Lijsten!$P$1,Kop_Tarief_Vast,0),0))),""),"")</f>
        <v/>
      </c>
      <c r="Q719" s="359"/>
      <c r="R719" s="359"/>
      <c r="S719" s="321"/>
      <c r="T719" s="321"/>
      <c r="U719" s="373" t="str">
        <f t="shared" si="44"/>
        <v/>
      </c>
      <c r="V719" s="314" t="str">
        <f t="shared" si="45"/>
        <v/>
      </c>
      <c r="W719" s="314" t="str" cm="1">
        <f t="array" aca="1" ref="W719" ca="1">IFERROR(IF(AE719&lt;&gt;"ja",_xlfn.IFNA(_xlfn.IFS(AND(O719&lt;&gt;"",F719&lt;&gt;"",RIGHT($N719,6)="tarief",F719="Vergoeding"),SUM(O719)*FLOOR(SUM(Q719),0.0001),AND(O719&lt;&gt;"",F719&lt;&gt;"",RIGHT($N719,6)="tarief"),SUM(O719)*FLOOR(SUM(Q719),0.01),S719&gt;0,IF(F719&lt;&gt;"",FLOOR(SUM(S719),0.01),"")),""),""),"")</f>
        <v/>
      </c>
      <c r="X719" s="314" t="str" cm="1">
        <f t="array" aca="1" ref="X719" ca="1">IFERROR(IF(AE719&lt;&gt;"ja",_xlfn.IFNA(_xlfn.IFS(AND(P719&lt;&gt;"",R719&lt;&gt;"",RIGHT($N719,6)="tarief",F719="Vergoeding"),SUM(P719)*FLOOR(SUM(R719),0.0001),AND(P719&lt;&gt;"",R719&lt;&gt;"",RIGHT($N719,6)="tarief"),P719*FLOOR(R719,0.01),T719&gt;0,FLOOR(SUM(T719),0.01)),""),""),"")</f>
        <v/>
      </c>
      <c r="Y719" s="314" t="str">
        <f t="shared" ca="1" si="46"/>
        <v/>
      </c>
      <c r="Z719" s="314" t="str" cm="1">
        <f t="array" aca="1" ref="Z719" ca="1">IFERROR(_xlfn.IFS(OR(F719="",LEFT(Methode_Keuze,4)="Geen",Methode_Keuze=""),"",AND(W719&lt;&gt;"",F719&lt;&gt;"Arbeidskosten"),W719*VLOOKUP(F719,Tb_ProjectKosten[],MATCH(Tb_ProjectKosten[[#Headers],[Forfait_Percentage]],Tb_ProjectKosten[#Headers],0),0),AND(F719="Arbeidskosten",G719&lt;&gt;""),IFERROR(W719*VLOOKUP(G719,Tb_KostenTypen[],3,0)*VLOOKUP(F719,Tb_ProjectKosten[],MATCH(Tb_ProjectKosten[[#Headers],[Forfait_Percentage]],Tb_ProjectKosten[#Headers],0),0),""),W719 &lt;=0,0),"")</f>
        <v/>
      </c>
      <c r="AA719" s="314" t="str" cm="1">
        <f t="array" aca="1" ref="AA719" ca="1">IFERROR(_xlfn.IFS(OR(F719="",LEFT(Methode_Keuze,4)="Geen",Methode_Keuze=""),"",AND(X719&lt;&gt;"",F719&lt;&gt;"Arbeidskosten"),X719*VLOOKUP(F719,Tb_ProjectKosten[],MATCH(Tb_ProjectKosten[[#Headers],[Forfait_Percentage]],Tb_ProjectKosten[#Headers],0),0),AND(F719="Arbeidskosten",G719&lt;&gt;""),IFERROR(X719*VLOOKUP(G719,Tb_KostenTypen[],3,0)*VLOOKUP(F719,Tb_ProjectKosten[],MATCH(Tb_ProjectKosten[[#Headers],[Forfait_Percentage]],Tb_ProjectKosten[#Headers],0),0),""),X719 &lt;=0,0),"")</f>
        <v/>
      </c>
      <c r="AB719" s="314" t="str">
        <f t="shared" ca="1" si="47"/>
        <v/>
      </c>
      <c r="AC719" s="322"/>
      <c r="AD719" s="315"/>
      <c r="AE719" s="32" t="str" cm="1">
        <f t="array" ref="AE719">IFERROR(IF(INDEX(SubsidieTabel!$AD$1:$AG$12,MATCH($F719,SubsidieTabel!$AD$1:$AD$12,0),IFERROR(MATCH(Methode_Keuze,SubsidieTabel!$AD$1:$AG$1,0),2))&lt;&gt;1=TRUE,"ja",""),"")</f>
        <v/>
      </c>
    </row>
    <row r="720" spans="1:31" x14ac:dyDescent="0.25">
      <c r="A720" s="316"/>
      <c r="B720" s="317" t="str">
        <f>IF(A720&lt;&gt;"",_xlfn.MAXIFS($B$1:B719,$A$1:A719,A720)+1,"")</f>
        <v/>
      </c>
      <c r="C720" s="296"/>
      <c r="D720" s="296"/>
      <c r="E720" s="296"/>
      <c r="F720" s="296"/>
      <c r="G720" s="326"/>
      <c r="H720" s="324"/>
      <c r="I720" s="325"/>
      <c r="J720" s="325"/>
      <c r="K720" s="318"/>
      <c r="L720" s="318"/>
      <c r="M720" s="319" t="str">
        <f>IFERROR(VLOOKUP(H720,Lijsten!$H$1:$I$100,2,0),"")</f>
        <v/>
      </c>
      <c r="N720" s="319" t="str">
        <f ca="1">IFERROR(IF(VLOOKUP(F720,Kostentypen!$A$3:$E$21,3,0)=0,"",IF(OR(F720="Arbeidskosten",F720="Vergoeding"),VLOOKUP(G720,Tb_KostenTypen[],2,0),VLOOKUP(F720,Kostentypen!$A$3:$E$20,3,0))),"")</f>
        <v/>
      </c>
      <c r="O720" s="320" t="str" cm="1">
        <f t="array" ref="O720">_xlfn.IFNA(IF(INDEX(Tb_KostenOptiesDB[],MATCH($F720,Tb_KostenOptiesDB[KostenOptie],0),IFERROR(MATCH(Methode_Keuze,Tb_KostenOptiesDB[#Headers],0),2))=1,_xlfn.SWITCH($N720,"Uurtarief",IF(OR(AND(RIGHT($F720,3)="IKS",VLOOKUP($M720,DB_Loonkosten,2,0)="Ja"),AND(RIGHT($F720,3)&lt;&gt;"IKS",VLOOKUP($M720,DB_Loonkosten,2,0)="Nee")),IFERROR(VLOOKUP($M720,DB_Loonkosten,24,0),""),0),"Vast tarief",IF(LEFT(F720,8)="Bijdrage",VLOOKUP($F720,Tb_KostenTypen[],MATCH(Lijsten!$P$1,Tb_KostenTypen[#Headers],0),0),VLOOKUP($G720,Lijsten!L:P,MATCH(Lijsten!$P$1,Kop_Tarief_Vast,0),0))),""),"")</f>
        <v/>
      </c>
      <c r="P720" s="320" t="str" cm="1">
        <f t="array" ref="P720">_xlfn.IFNA(IF(INDEX(Tb_KostenOptiesDB[],MATCH($F720,Tb_KostenOptiesDB[KostenOptie],0),IFERROR(MATCH(Methode_Keuze,Tb_KostenOptiesDB[#Headers],0),2))=1,_xlfn.SWITCH($N720,"Uurtarief",IF(OR(AND(RIGHT($F720,3)="IKS",VLOOKUP($M720,DB_Loonkosten,2,0)="Ja"),AND(RIGHT($F720,3)&lt;&gt;"IKS",VLOOKUP($M720,DB_Loonkosten,2,0)="Nee")),IFERROR(VLOOKUP($M720,DB_Loonkosten,25,0),""),0),"Vast tarief",IF(LEFT(F720,8)="Bijdrage",VLOOKUP($F720,Tb_KostenTypen[],MATCH(Lijsten!$P$1,Tb_KostenTypen[#Headers],0),0),VLOOKUP($G720,Lijsten!L:P,MATCH(Lijsten!$P$1,Kop_Tarief_Vast,0),0))),""),"")</f>
        <v/>
      </c>
      <c r="Q720" s="359"/>
      <c r="R720" s="359"/>
      <c r="S720" s="321"/>
      <c r="T720" s="321"/>
      <c r="U720" s="373" t="str">
        <f t="shared" si="44"/>
        <v/>
      </c>
      <c r="V720" s="314" t="str">
        <f t="shared" si="45"/>
        <v/>
      </c>
      <c r="W720" s="314" t="str" cm="1">
        <f t="array" aca="1" ref="W720" ca="1">IFERROR(IF(AE720&lt;&gt;"ja",_xlfn.IFNA(_xlfn.IFS(AND(O720&lt;&gt;"",F720&lt;&gt;"",RIGHT($N720,6)="tarief",F720="Vergoeding"),SUM(O720)*FLOOR(SUM(Q720),0.0001),AND(O720&lt;&gt;"",F720&lt;&gt;"",RIGHT($N720,6)="tarief"),SUM(O720)*FLOOR(SUM(Q720),0.01),S720&gt;0,IF(F720&lt;&gt;"",FLOOR(SUM(S720),0.01),"")),""),""),"")</f>
        <v/>
      </c>
      <c r="X720" s="314" t="str" cm="1">
        <f t="array" aca="1" ref="X720" ca="1">IFERROR(IF(AE720&lt;&gt;"ja",_xlfn.IFNA(_xlfn.IFS(AND(P720&lt;&gt;"",R720&lt;&gt;"",RIGHT($N720,6)="tarief",F720="Vergoeding"),SUM(P720)*FLOOR(SUM(R720),0.0001),AND(P720&lt;&gt;"",R720&lt;&gt;"",RIGHT($N720,6)="tarief"),P720*FLOOR(R720,0.01),T720&gt;0,FLOOR(SUM(T720),0.01)),""),""),"")</f>
        <v/>
      </c>
      <c r="Y720" s="314" t="str">
        <f t="shared" ca="1" si="46"/>
        <v/>
      </c>
      <c r="Z720" s="314" t="str" cm="1">
        <f t="array" aca="1" ref="Z720" ca="1">IFERROR(_xlfn.IFS(OR(F720="",LEFT(Methode_Keuze,4)="Geen",Methode_Keuze=""),"",AND(W720&lt;&gt;"",F720&lt;&gt;"Arbeidskosten"),W720*VLOOKUP(F720,Tb_ProjectKosten[],MATCH(Tb_ProjectKosten[[#Headers],[Forfait_Percentage]],Tb_ProjectKosten[#Headers],0),0),AND(F720="Arbeidskosten",G720&lt;&gt;""),IFERROR(W720*VLOOKUP(G720,Tb_KostenTypen[],3,0)*VLOOKUP(F720,Tb_ProjectKosten[],MATCH(Tb_ProjectKosten[[#Headers],[Forfait_Percentage]],Tb_ProjectKosten[#Headers],0),0),""),W720 &lt;=0,0),"")</f>
        <v/>
      </c>
      <c r="AA720" s="314" t="str" cm="1">
        <f t="array" aca="1" ref="AA720" ca="1">IFERROR(_xlfn.IFS(OR(F720="",LEFT(Methode_Keuze,4)="Geen",Methode_Keuze=""),"",AND(X720&lt;&gt;"",F720&lt;&gt;"Arbeidskosten"),X720*VLOOKUP(F720,Tb_ProjectKosten[],MATCH(Tb_ProjectKosten[[#Headers],[Forfait_Percentage]],Tb_ProjectKosten[#Headers],0),0),AND(F720="Arbeidskosten",G720&lt;&gt;""),IFERROR(X720*VLOOKUP(G720,Tb_KostenTypen[],3,0)*VLOOKUP(F720,Tb_ProjectKosten[],MATCH(Tb_ProjectKosten[[#Headers],[Forfait_Percentage]],Tb_ProjectKosten[#Headers],0),0),""),X720 &lt;=0,0),"")</f>
        <v/>
      </c>
      <c r="AB720" s="314" t="str">
        <f t="shared" ca="1" si="47"/>
        <v/>
      </c>
      <c r="AC720" s="322"/>
      <c r="AD720" s="315"/>
      <c r="AE720" s="32" t="str" cm="1">
        <f t="array" ref="AE720">IFERROR(IF(INDEX(SubsidieTabel!$AD$1:$AG$12,MATCH($F720,SubsidieTabel!$AD$1:$AD$12,0),IFERROR(MATCH(Methode_Keuze,SubsidieTabel!$AD$1:$AG$1,0),2))&lt;&gt;1=TRUE,"ja",""),"")</f>
        <v/>
      </c>
    </row>
    <row r="721" spans="1:31" x14ac:dyDescent="0.25">
      <c r="A721" s="316"/>
      <c r="B721" s="317" t="str">
        <f>IF(A721&lt;&gt;"",_xlfn.MAXIFS($B$1:B720,$A$1:A720,A721)+1,"")</f>
        <v/>
      </c>
      <c r="C721" s="296"/>
      <c r="D721" s="296"/>
      <c r="E721" s="296"/>
      <c r="F721" s="296"/>
      <c r="G721" s="326"/>
      <c r="H721" s="324"/>
      <c r="I721" s="325"/>
      <c r="J721" s="325"/>
      <c r="K721" s="318"/>
      <c r="L721" s="318"/>
      <c r="M721" s="319" t="str">
        <f>IFERROR(VLOOKUP(H721,Lijsten!$H$1:$I$100,2,0),"")</f>
        <v/>
      </c>
      <c r="N721" s="319" t="str">
        <f ca="1">IFERROR(IF(VLOOKUP(F721,Kostentypen!$A$3:$E$21,3,0)=0,"",IF(OR(F721="Arbeidskosten",F721="Vergoeding"),VLOOKUP(G721,Tb_KostenTypen[],2,0),VLOOKUP(F721,Kostentypen!$A$3:$E$20,3,0))),"")</f>
        <v/>
      </c>
      <c r="O721" s="320" t="str" cm="1">
        <f t="array" ref="O721">_xlfn.IFNA(IF(INDEX(Tb_KostenOptiesDB[],MATCH($F721,Tb_KostenOptiesDB[KostenOptie],0),IFERROR(MATCH(Methode_Keuze,Tb_KostenOptiesDB[#Headers],0),2))=1,_xlfn.SWITCH($N721,"Uurtarief",IF(OR(AND(RIGHT($F721,3)="IKS",VLOOKUP($M721,DB_Loonkosten,2,0)="Ja"),AND(RIGHT($F721,3)&lt;&gt;"IKS",VLOOKUP($M721,DB_Loonkosten,2,0)="Nee")),IFERROR(VLOOKUP($M721,DB_Loonkosten,24,0),""),0),"Vast tarief",IF(LEFT(F721,8)="Bijdrage",VLOOKUP($F721,Tb_KostenTypen[],MATCH(Lijsten!$P$1,Tb_KostenTypen[#Headers],0),0),VLOOKUP($G721,Lijsten!L:P,MATCH(Lijsten!$P$1,Kop_Tarief_Vast,0),0))),""),"")</f>
        <v/>
      </c>
      <c r="P721" s="320" t="str" cm="1">
        <f t="array" ref="P721">_xlfn.IFNA(IF(INDEX(Tb_KostenOptiesDB[],MATCH($F721,Tb_KostenOptiesDB[KostenOptie],0),IFERROR(MATCH(Methode_Keuze,Tb_KostenOptiesDB[#Headers],0),2))=1,_xlfn.SWITCH($N721,"Uurtarief",IF(OR(AND(RIGHT($F721,3)="IKS",VLOOKUP($M721,DB_Loonkosten,2,0)="Ja"),AND(RIGHT($F721,3)&lt;&gt;"IKS",VLOOKUP($M721,DB_Loonkosten,2,0)="Nee")),IFERROR(VLOOKUP($M721,DB_Loonkosten,25,0),""),0),"Vast tarief",IF(LEFT(F721,8)="Bijdrage",VLOOKUP($F721,Tb_KostenTypen[],MATCH(Lijsten!$P$1,Tb_KostenTypen[#Headers],0),0),VLOOKUP($G721,Lijsten!L:P,MATCH(Lijsten!$P$1,Kop_Tarief_Vast,0),0))),""),"")</f>
        <v/>
      </c>
      <c r="Q721" s="359"/>
      <c r="R721" s="359"/>
      <c r="S721" s="321"/>
      <c r="T721" s="321"/>
      <c r="U721" s="373" t="str">
        <f t="shared" si="44"/>
        <v/>
      </c>
      <c r="V721" s="314" t="str">
        <f t="shared" si="45"/>
        <v/>
      </c>
      <c r="W721" s="314" t="str" cm="1">
        <f t="array" aca="1" ref="W721" ca="1">IFERROR(IF(AE721&lt;&gt;"ja",_xlfn.IFNA(_xlfn.IFS(AND(O721&lt;&gt;"",F721&lt;&gt;"",RIGHT($N721,6)="tarief",F721="Vergoeding"),SUM(O721)*FLOOR(SUM(Q721),0.0001),AND(O721&lt;&gt;"",F721&lt;&gt;"",RIGHT($N721,6)="tarief"),SUM(O721)*FLOOR(SUM(Q721),0.01),S721&gt;0,IF(F721&lt;&gt;"",FLOOR(SUM(S721),0.01),"")),""),""),"")</f>
        <v/>
      </c>
      <c r="X721" s="314" t="str" cm="1">
        <f t="array" aca="1" ref="X721" ca="1">IFERROR(IF(AE721&lt;&gt;"ja",_xlfn.IFNA(_xlfn.IFS(AND(P721&lt;&gt;"",R721&lt;&gt;"",RIGHT($N721,6)="tarief",F721="Vergoeding"),SUM(P721)*FLOOR(SUM(R721),0.0001),AND(P721&lt;&gt;"",R721&lt;&gt;"",RIGHT($N721,6)="tarief"),P721*FLOOR(R721,0.01),T721&gt;0,FLOOR(SUM(T721),0.01)),""),""),"")</f>
        <v/>
      </c>
      <c r="Y721" s="314" t="str">
        <f t="shared" ca="1" si="46"/>
        <v/>
      </c>
      <c r="Z721" s="314" t="str" cm="1">
        <f t="array" aca="1" ref="Z721" ca="1">IFERROR(_xlfn.IFS(OR(F721="",LEFT(Methode_Keuze,4)="Geen",Methode_Keuze=""),"",AND(W721&lt;&gt;"",F721&lt;&gt;"Arbeidskosten"),W721*VLOOKUP(F721,Tb_ProjectKosten[],MATCH(Tb_ProjectKosten[[#Headers],[Forfait_Percentage]],Tb_ProjectKosten[#Headers],0),0),AND(F721="Arbeidskosten",G721&lt;&gt;""),IFERROR(W721*VLOOKUP(G721,Tb_KostenTypen[],3,0)*VLOOKUP(F721,Tb_ProjectKosten[],MATCH(Tb_ProjectKosten[[#Headers],[Forfait_Percentage]],Tb_ProjectKosten[#Headers],0),0),""),W721 &lt;=0,0),"")</f>
        <v/>
      </c>
      <c r="AA721" s="314" t="str" cm="1">
        <f t="array" aca="1" ref="AA721" ca="1">IFERROR(_xlfn.IFS(OR(F721="",LEFT(Methode_Keuze,4)="Geen",Methode_Keuze=""),"",AND(X721&lt;&gt;"",F721&lt;&gt;"Arbeidskosten"),X721*VLOOKUP(F721,Tb_ProjectKosten[],MATCH(Tb_ProjectKosten[[#Headers],[Forfait_Percentage]],Tb_ProjectKosten[#Headers],0),0),AND(F721="Arbeidskosten",G721&lt;&gt;""),IFERROR(X721*VLOOKUP(G721,Tb_KostenTypen[],3,0)*VLOOKUP(F721,Tb_ProjectKosten[],MATCH(Tb_ProjectKosten[[#Headers],[Forfait_Percentage]],Tb_ProjectKosten[#Headers],0),0),""),X721 &lt;=0,0),"")</f>
        <v/>
      </c>
      <c r="AB721" s="314" t="str">
        <f t="shared" ca="1" si="47"/>
        <v/>
      </c>
      <c r="AC721" s="322"/>
      <c r="AD721" s="315"/>
      <c r="AE721" s="32" t="str" cm="1">
        <f t="array" ref="AE721">IFERROR(IF(INDEX(SubsidieTabel!$AD$1:$AG$12,MATCH($F721,SubsidieTabel!$AD$1:$AD$12,0),IFERROR(MATCH(Methode_Keuze,SubsidieTabel!$AD$1:$AG$1,0),2))&lt;&gt;1=TRUE,"ja",""),"")</f>
        <v/>
      </c>
    </row>
    <row r="722" spans="1:31" x14ac:dyDescent="0.25">
      <c r="A722" s="316"/>
      <c r="B722" s="317" t="str">
        <f>IF(A722&lt;&gt;"",_xlfn.MAXIFS($B$1:B721,$A$1:A721,A722)+1,"")</f>
        <v/>
      </c>
      <c r="C722" s="296"/>
      <c r="D722" s="296"/>
      <c r="E722" s="296"/>
      <c r="F722" s="296"/>
      <c r="G722" s="326"/>
      <c r="H722" s="324"/>
      <c r="I722" s="325"/>
      <c r="J722" s="325"/>
      <c r="K722" s="318"/>
      <c r="L722" s="318"/>
      <c r="M722" s="319" t="str">
        <f>IFERROR(VLOOKUP(H722,Lijsten!$H$1:$I$100,2,0),"")</f>
        <v/>
      </c>
      <c r="N722" s="319" t="str">
        <f ca="1">IFERROR(IF(VLOOKUP(F722,Kostentypen!$A$3:$E$21,3,0)=0,"",IF(OR(F722="Arbeidskosten",F722="Vergoeding"),VLOOKUP(G722,Tb_KostenTypen[],2,0),VLOOKUP(F722,Kostentypen!$A$3:$E$20,3,0))),"")</f>
        <v/>
      </c>
      <c r="O722" s="320" t="str" cm="1">
        <f t="array" ref="O722">_xlfn.IFNA(IF(INDEX(Tb_KostenOptiesDB[],MATCH($F722,Tb_KostenOptiesDB[KostenOptie],0),IFERROR(MATCH(Methode_Keuze,Tb_KostenOptiesDB[#Headers],0),2))=1,_xlfn.SWITCH($N722,"Uurtarief",IF(OR(AND(RIGHT($F722,3)="IKS",VLOOKUP($M722,DB_Loonkosten,2,0)="Ja"),AND(RIGHT($F722,3)&lt;&gt;"IKS",VLOOKUP($M722,DB_Loonkosten,2,0)="Nee")),IFERROR(VLOOKUP($M722,DB_Loonkosten,24,0),""),0),"Vast tarief",IF(LEFT(F722,8)="Bijdrage",VLOOKUP($F722,Tb_KostenTypen[],MATCH(Lijsten!$P$1,Tb_KostenTypen[#Headers],0),0),VLOOKUP($G722,Lijsten!L:P,MATCH(Lijsten!$P$1,Kop_Tarief_Vast,0),0))),""),"")</f>
        <v/>
      </c>
      <c r="P722" s="320" t="str" cm="1">
        <f t="array" ref="P722">_xlfn.IFNA(IF(INDEX(Tb_KostenOptiesDB[],MATCH($F722,Tb_KostenOptiesDB[KostenOptie],0),IFERROR(MATCH(Methode_Keuze,Tb_KostenOptiesDB[#Headers],0),2))=1,_xlfn.SWITCH($N722,"Uurtarief",IF(OR(AND(RIGHT($F722,3)="IKS",VLOOKUP($M722,DB_Loonkosten,2,0)="Ja"),AND(RIGHT($F722,3)&lt;&gt;"IKS",VLOOKUP($M722,DB_Loonkosten,2,0)="Nee")),IFERROR(VLOOKUP($M722,DB_Loonkosten,25,0),""),0),"Vast tarief",IF(LEFT(F722,8)="Bijdrage",VLOOKUP($F722,Tb_KostenTypen[],MATCH(Lijsten!$P$1,Tb_KostenTypen[#Headers],0),0),VLOOKUP($G722,Lijsten!L:P,MATCH(Lijsten!$P$1,Kop_Tarief_Vast,0),0))),""),"")</f>
        <v/>
      </c>
      <c r="Q722" s="359"/>
      <c r="R722" s="359"/>
      <c r="S722" s="321"/>
      <c r="T722" s="321"/>
      <c r="U722" s="373" t="str">
        <f t="shared" si="44"/>
        <v/>
      </c>
      <c r="V722" s="314" t="str">
        <f t="shared" si="45"/>
        <v/>
      </c>
      <c r="W722" s="314" t="str" cm="1">
        <f t="array" aca="1" ref="W722" ca="1">IFERROR(IF(AE722&lt;&gt;"ja",_xlfn.IFNA(_xlfn.IFS(AND(O722&lt;&gt;"",F722&lt;&gt;"",RIGHT($N722,6)="tarief",F722="Vergoeding"),SUM(O722)*FLOOR(SUM(Q722),0.0001),AND(O722&lt;&gt;"",F722&lt;&gt;"",RIGHT($N722,6)="tarief"),SUM(O722)*FLOOR(SUM(Q722),0.01),S722&gt;0,IF(F722&lt;&gt;"",FLOOR(SUM(S722),0.01),"")),""),""),"")</f>
        <v/>
      </c>
      <c r="X722" s="314" t="str" cm="1">
        <f t="array" aca="1" ref="X722" ca="1">IFERROR(IF(AE722&lt;&gt;"ja",_xlfn.IFNA(_xlfn.IFS(AND(P722&lt;&gt;"",R722&lt;&gt;"",RIGHT($N722,6)="tarief",F722="Vergoeding"),SUM(P722)*FLOOR(SUM(R722),0.0001),AND(P722&lt;&gt;"",R722&lt;&gt;"",RIGHT($N722,6)="tarief"),P722*FLOOR(R722,0.01),T722&gt;0,FLOOR(SUM(T722),0.01)),""),""),"")</f>
        <v/>
      </c>
      <c r="Y722" s="314" t="str">
        <f t="shared" ca="1" si="46"/>
        <v/>
      </c>
      <c r="Z722" s="314" t="str" cm="1">
        <f t="array" aca="1" ref="Z722" ca="1">IFERROR(_xlfn.IFS(OR(F722="",LEFT(Methode_Keuze,4)="Geen",Methode_Keuze=""),"",AND(W722&lt;&gt;"",F722&lt;&gt;"Arbeidskosten"),W722*VLOOKUP(F722,Tb_ProjectKosten[],MATCH(Tb_ProjectKosten[[#Headers],[Forfait_Percentage]],Tb_ProjectKosten[#Headers],0),0),AND(F722="Arbeidskosten",G722&lt;&gt;""),IFERROR(W722*VLOOKUP(G722,Tb_KostenTypen[],3,0)*VLOOKUP(F722,Tb_ProjectKosten[],MATCH(Tb_ProjectKosten[[#Headers],[Forfait_Percentage]],Tb_ProjectKosten[#Headers],0),0),""),W722 &lt;=0,0),"")</f>
        <v/>
      </c>
      <c r="AA722" s="314" t="str" cm="1">
        <f t="array" aca="1" ref="AA722" ca="1">IFERROR(_xlfn.IFS(OR(F722="",LEFT(Methode_Keuze,4)="Geen",Methode_Keuze=""),"",AND(X722&lt;&gt;"",F722&lt;&gt;"Arbeidskosten"),X722*VLOOKUP(F722,Tb_ProjectKosten[],MATCH(Tb_ProjectKosten[[#Headers],[Forfait_Percentage]],Tb_ProjectKosten[#Headers],0),0),AND(F722="Arbeidskosten",G722&lt;&gt;""),IFERROR(X722*VLOOKUP(G722,Tb_KostenTypen[],3,0)*VLOOKUP(F722,Tb_ProjectKosten[],MATCH(Tb_ProjectKosten[[#Headers],[Forfait_Percentage]],Tb_ProjectKosten[#Headers],0),0),""),X722 &lt;=0,0),"")</f>
        <v/>
      </c>
      <c r="AB722" s="314" t="str">
        <f t="shared" ca="1" si="47"/>
        <v/>
      </c>
      <c r="AC722" s="322"/>
      <c r="AD722" s="315"/>
      <c r="AE722" s="32" t="str" cm="1">
        <f t="array" ref="AE722">IFERROR(IF(INDEX(SubsidieTabel!$AD$1:$AG$12,MATCH($F722,SubsidieTabel!$AD$1:$AD$12,0),IFERROR(MATCH(Methode_Keuze,SubsidieTabel!$AD$1:$AG$1,0),2))&lt;&gt;1=TRUE,"ja",""),"")</f>
        <v/>
      </c>
    </row>
    <row r="723" spans="1:31" x14ac:dyDescent="0.25">
      <c r="A723" s="316"/>
      <c r="B723" s="317" t="str">
        <f>IF(A723&lt;&gt;"",_xlfn.MAXIFS($B$1:B722,$A$1:A722,A723)+1,"")</f>
        <v/>
      </c>
      <c r="C723" s="296"/>
      <c r="D723" s="296"/>
      <c r="E723" s="296"/>
      <c r="F723" s="296"/>
      <c r="G723" s="326"/>
      <c r="H723" s="324"/>
      <c r="I723" s="325"/>
      <c r="J723" s="325"/>
      <c r="K723" s="318"/>
      <c r="L723" s="318"/>
      <c r="M723" s="319" t="str">
        <f>IFERROR(VLOOKUP(H723,Lijsten!$H$1:$I$100,2,0),"")</f>
        <v/>
      </c>
      <c r="N723" s="319" t="str">
        <f ca="1">IFERROR(IF(VLOOKUP(F723,Kostentypen!$A$3:$E$21,3,0)=0,"",IF(OR(F723="Arbeidskosten",F723="Vergoeding"),VLOOKUP(G723,Tb_KostenTypen[],2,0),VLOOKUP(F723,Kostentypen!$A$3:$E$20,3,0))),"")</f>
        <v/>
      </c>
      <c r="O723" s="320" t="str" cm="1">
        <f t="array" ref="O723">_xlfn.IFNA(IF(INDEX(Tb_KostenOptiesDB[],MATCH($F723,Tb_KostenOptiesDB[KostenOptie],0),IFERROR(MATCH(Methode_Keuze,Tb_KostenOptiesDB[#Headers],0),2))=1,_xlfn.SWITCH($N723,"Uurtarief",IF(OR(AND(RIGHT($F723,3)="IKS",VLOOKUP($M723,DB_Loonkosten,2,0)="Ja"),AND(RIGHT($F723,3)&lt;&gt;"IKS",VLOOKUP($M723,DB_Loonkosten,2,0)="Nee")),IFERROR(VLOOKUP($M723,DB_Loonkosten,24,0),""),0),"Vast tarief",IF(LEFT(F723,8)="Bijdrage",VLOOKUP($F723,Tb_KostenTypen[],MATCH(Lijsten!$P$1,Tb_KostenTypen[#Headers],0),0),VLOOKUP($G723,Lijsten!L:P,MATCH(Lijsten!$P$1,Kop_Tarief_Vast,0),0))),""),"")</f>
        <v/>
      </c>
      <c r="P723" s="320" t="str" cm="1">
        <f t="array" ref="P723">_xlfn.IFNA(IF(INDEX(Tb_KostenOptiesDB[],MATCH($F723,Tb_KostenOptiesDB[KostenOptie],0),IFERROR(MATCH(Methode_Keuze,Tb_KostenOptiesDB[#Headers],0),2))=1,_xlfn.SWITCH($N723,"Uurtarief",IF(OR(AND(RIGHT($F723,3)="IKS",VLOOKUP($M723,DB_Loonkosten,2,0)="Ja"),AND(RIGHT($F723,3)&lt;&gt;"IKS",VLOOKUP($M723,DB_Loonkosten,2,0)="Nee")),IFERROR(VLOOKUP($M723,DB_Loonkosten,25,0),""),0),"Vast tarief",IF(LEFT(F723,8)="Bijdrage",VLOOKUP($F723,Tb_KostenTypen[],MATCH(Lijsten!$P$1,Tb_KostenTypen[#Headers],0),0),VLOOKUP($G723,Lijsten!L:P,MATCH(Lijsten!$P$1,Kop_Tarief_Vast,0),0))),""),"")</f>
        <v/>
      </c>
      <c r="Q723" s="359"/>
      <c r="R723" s="359"/>
      <c r="S723" s="321"/>
      <c r="T723" s="321"/>
      <c r="U723" s="373" t="str">
        <f t="shared" si="44"/>
        <v/>
      </c>
      <c r="V723" s="314" t="str">
        <f t="shared" si="45"/>
        <v/>
      </c>
      <c r="W723" s="314" t="str" cm="1">
        <f t="array" aca="1" ref="W723" ca="1">IFERROR(IF(AE723&lt;&gt;"ja",_xlfn.IFNA(_xlfn.IFS(AND(O723&lt;&gt;"",F723&lt;&gt;"",RIGHT($N723,6)="tarief",F723="Vergoeding"),SUM(O723)*FLOOR(SUM(Q723),0.0001),AND(O723&lt;&gt;"",F723&lt;&gt;"",RIGHT($N723,6)="tarief"),SUM(O723)*FLOOR(SUM(Q723),0.01),S723&gt;0,IF(F723&lt;&gt;"",FLOOR(SUM(S723),0.01),"")),""),""),"")</f>
        <v/>
      </c>
      <c r="X723" s="314" t="str" cm="1">
        <f t="array" aca="1" ref="X723" ca="1">IFERROR(IF(AE723&lt;&gt;"ja",_xlfn.IFNA(_xlfn.IFS(AND(P723&lt;&gt;"",R723&lt;&gt;"",RIGHT($N723,6)="tarief",F723="Vergoeding"),SUM(P723)*FLOOR(SUM(R723),0.0001),AND(P723&lt;&gt;"",R723&lt;&gt;"",RIGHT($N723,6)="tarief"),P723*FLOOR(R723,0.01),T723&gt;0,FLOOR(SUM(T723),0.01)),""),""),"")</f>
        <v/>
      </c>
      <c r="Y723" s="314" t="str">
        <f t="shared" ca="1" si="46"/>
        <v/>
      </c>
      <c r="Z723" s="314" t="str" cm="1">
        <f t="array" aca="1" ref="Z723" ca="1">IFERROR(_xlfn.IFS(OR(F723="",LEFT(Methode_Keuze,4)="Geen",Methode_Keuze=""),"",AND(W723&lt;&gt;"",F723&lt;&gt;"Arbeidskosten"),W723*VLOOKUP(F723,Tb_ProjectKosten[],MATCH(Tb_ProjectKosten[[#Headers],[Forfait_Percentage]],Tb_ProjectKosten[#Headers],0),0),AND(F723="Arbeidskosten",G723&lt;&gt;""),IFERROR(W723*VLOOKUP(G723,Tb_KostenTypen[],3,0)*VLOOKUP(F723,Tb_ProjectKosten[],MATCH(Tb_ProjectKosten[[#Headers],[Forfait_Percentage]],Tb_ProjectKosten[#Headers],0),0),""),W723 &lt;=0,0),"")</f>
        <v/>
      </c>
      <c r="AA723" s="314" t="str" cm="1">
        <f t="array" aca="1" ref="AA723" ca="1">IFERROR(_xlfn.IFS(OR(F723="",LEFT(Methode_Keuze,4)="Geen",Methode_Keuze=""),"",AND(X723&lt;&gt;"",F723&lt;&gt;"Arbeidskosten"),X723*VLOOKUP(F723,Tb_ProjectKosten[],MATCH(Tb_ProjectKosten[[#Headers],[Forfait_Percentage]],Tb_ProjectKosten[#Headers],0),0),AND(F723="Arbeidskosten",G723&lt;&gt;""),IFERROR(X723*VLOOKUP(G723,Tb_KostenTypen[],3,0)*VLOOKUP(F723,Tb_ProjectKosten[],MATCH(Tb_ProjectKosten[[#Headers],[Forfait_Percentage]],Tb_ProjectKosten[#Headers],0),0),""),X723 &lt;=0,0),"")</f>
        <v/>
      </c>
      <c r="AB723" s="314" t="str">
        <f t="shared" ca="1" si="47"/>
        <v/>
      </c>
      <c r="AC723" s="322"/>
      <c r="AD723" s="315"/>
      <c r="AE723" s="32" t="str" cm="1">
        <f t="array" ref="AE723">IFERROR(IF(INDEX(SubsidieTabel!$AD$1:$AG$12,MATCH($F723,SubsidieTabel!$AD$1:$AD$12,0),IFERROR(MATCH(Methode_Keuze,SubsidieTabel!$AD$1:$AG$1,0),2))&lt;&gt;1=TRUE,"ja",""),"")</f>
        <v/>
      </c>
    </row>
    <row r="724" spans="1:31" x14ac:dyDescent="0.25">
      <c r="A724" s="316"/>
      <c r="B724" s="317" t="str">
        <f>IF(A724&lt;&gt;"",_xlfn.MAXIFS($B$1:B723,$A$1:A723,A724)+1,"")</f>
        <v/>
      </c>
      <c r="C724" s="296"/>
      <c r="D724" s="296"/>
      <c r="E724" s="296"/>
      <c r="F724" s="296"/>
      <c r="G724" s="326"/>
      <c r="H724" s="324"/>
      <c r="I724" s="325"/>
      <c r="J724" s="325"/>
      <c r="K724" s="318"/>
      <c r="L724" s="318"/>
      <c r="M724" s="319" t="str">
        <f>IFERROR(VLOOKUP(H724,Lijsten!$H$1:$I$100,2,0),"")</f>
        <v/>
      </c>
      <c r="N724" s="319" t="str">
        <f ca="1">IFERROR(IF(VLOOKUP(F724,Kostentypen!$A$3:$E$21,3,0)=0,"",IF(OR(F724="Arbeidskosten",F724="Vergoeding"),VLOOKUP(G724,Tb_KostenTypen[],2,0),VLOOKUP(F724,Kostentypen!$A$3:$E$20,3,0))),"")</f>
        <v/>
      </c>
      <c r="O724" s="320" t="str" cm="1">
        <f t="array" ref="O724">_xlfn.IFNA(IF(INDEX(Tb_KostenOptiesDB[],MATCH($F724,Tb_KostenOptiesDB[KostenOptie],0),IFERROR(MATCH(Methode_Keuze,Tb_KostenOptiesDB[#Headers],0),2))=1,_xlfn.SWITCH($N724,"Uurtarief",IF(OR(AND(RIGHT($F724,3)="IKS",VLOOKUP($M724,DB_Loonkosten,2,0)="Ja"),AND(RIGHT($F724,3)&lt;&gt;"IKS",VLOOKUP($M724,DB_Loonkosten,2,0)="Nee")),IFERROR(VLOOKUP($M724,DB_Loonkosten,24,0),""),0),"Vast tarief",IF(LEFT(F724,8)="Bijdrage",VLOOKUP($F724,Tb_KostenTypen[],MATCH(Lijsten!$P$1,Tb_KostenTypen[#Headers],0),0),VLOOKUP($G724,Lijsten!L:P,MATCH(Lijsten!$P$1,Kop_Tarief_Vast,0),0))),""),"")</f>
        <v/>
      </c>
      <c r="P724" s="320" t="str" cm="1">
        <f t="array" ref="P724">_xlfn.IFNA(IF(INDEX(Tb_KostenOptiesDB[],MATCH($F724,Tb_KostenOptiesDB[KostenOptie],0),IFERROR(MATCH(Methode_Keuze,Tb_KostenOptiesDB[#Headers],0),2))=1,_xlfn.SWITCH($N724,"Uurtarief",IF(OR(AND(RIGHT($F724,3)="IKS",VLOOKUP($M724,DB_Loonkosten,2,0)="Ja"),AND(RIGHT($F724,3)&lt;&gt;"IKS",VLOOKUP($M724,DB_Loonkosten,2,0)="Nee")),IFERROR(VLOOKUP($M724,DB_Loonkosten,25,0),""),0),"Vast tarief",IF(LEFT(F724,8)="Bijdrage",VLOOKUP($F724,Tb_KostenTypen[],MATCH(Lijsten!$P$1,Tb_KostenTypen[#Headers],0),0),VLOOKUP($G724,Lijsten!L:P,MATCH(Lijsten!$P$1,Kop_Tarief_Vast,0),0))),""),"")</f>
        <v/>
      </c>
      <c r="Q724" s="359"/>
      <c r="R724" s="359"/>
      <c r="S724" s="321"/>
      <c r="T724" s="321"/>
      <c r="U724" s="373" t="str">
        <f t="shared" si="44"/>
        <v/>
      </c>
      <c r="V724" s="314" t="str">
        <f t="shared" si="45"/>
        <v/>
      </c>
      <c r="W724" s="314" t="str" cm="1">
        <f t="array" aca="1" ref="W724" ca="1">IFERROR(IF(AE724&lt;&gt;"ja",_xlfn.IFNA(_xlfn.IFS(AND(O724&lt;&gt;"",F724&lt;&gt;"",RIGHT($N724,6)="tarief",F724="Vergoeding"),SUM(O724)*FLOOR(SUM(Q724),0.0001),AND(O724&lt;&gt;"",F724&lt;&gt;"",RIGHT($N724,6)="tarief"),SUM(O724)*FLOOR(SUM(Q724),0.01),S724&gt;0,IF(F724&lt;&gt;"",FLOOR(SUM(S724),0.01),"")),""),""),"")</f>
        <v/>
      </c>
      <c r="X724" s="314" t="str" cm="1">
        <f t="array" aca="1" ref="X724" ca="1">IFERROR(IF(AE724&lt;&gt;"ja",_xlfn.IFNA(_xlfn.IFS(AND(P724&lt;&gt;"",R724&lt;&gt;"",RIGHT($N724,6)="tarief",F724="Vergoeding"),SUM(P724)*FLOOR(SUM(R724),0.0001),AND(P724&lt;&gt;"",R724&lt;&gt;"",RIGHT($N724,6)="tarief"),P724*FLOOR(R724,0.01),T724&gt;0,FLOOR(SUM(T724),0.01)),""),""),"")</f>
        <v/>
      </c>
      <c r="Y724" s="314" t="str">
        <f t="shared" ca="1" si="46"/>
        <v/>
      </c>
      <c r="Z724" s="314" t="str" cm="1">
        <f t="array" aca="1" ref="Z724" ca="1">IFERROR(_xlfn.IFS(OR(F724="",LEFT(Methode_Keuze,4)="Geen",Methode_Keuze=""),"",AND(W724&lt;&gt;"",F724&lt;&gt;"Arbeidskosten"),W724*VLOOKUP(F724,Tb_ProjectKosten[],MATCH(Tb_ProjectKosten[[#Headers],[Forfait_Percentage]],Tb_ProjectKosten[#Headers],0),0),AND(F724="Arbeidskosten",G724&lt;&gt;""),IFERROR(W724*VLOOKUP(G724,Tb_KostenTypen[],3,0)*VLOOKUP(F724,Tb_ProjectKosten[],MATCH(Tb_ProjectKosten[[#Headers],[Forfait_Percentage]],Tb_ProjectKosten[#Headers],0),0),""),W724 &lt;=0,0),"")</f>
        <v/>
      </c>
      <c r="AA724" s="314" t="str" cm="1">
        <f t="array" aca="1" ref="AA724" ca="1">IFERROR(_xlfn.IFS(OR(F724="",LEFT(Methode_Keuze,4)="Geen",Methode_Keuze=""),"",AND(X724&lt;&gt;"",F724&lt;&gt;"Arbeidskosten"),X724*VLOOKUP(F724,Tb_ProjectKosten[],MATCH(Tb_ProjectKosten[[#Headers],[Forfait_Percentage]],Tb_ProjectKosten[#Headers],0),0),AND(F724="Arbeidskosten",G724&lt;&gt;""),IFERROR(X724*VLOOKUP(G724,Tb_KostenTypen[],3,0)*VLOOKUP(F724,Tb_ProjectKosten[],MATCH(Tb_ProjectKosten[[#Headers],[Forfait_Percentage]],Tb_ProjectKosten[#Headers],0),0),""),X724 &lt;=0,0),"")</f>
        <v/>
      </c>
      <c r="AB724" s="314" t="str">
        <f t="shared" ca="1" si="47"/>
        <v/>
      </c>
      <c r="AC724" s="322"/>
      <c r="AD724" s="315"/>
      <c r="AE724" s="32" t="str" cm="1">
        <f t="array" ref="AE724">IFERROR(IF(INDEX(SubsidieTabel!$AD$1:$AG$12,MATCH($F724,SubsidieTabel!$AD$1:$AD$12,0),IFERROR(MATCH(Methode_Keuze,SubsidieTabel!$AD$1:$AG$1,0),2))&lt;&gt;1=TRUE,"ja",""),"")</f>
        <v/>
      </c>
    </row>
    <row r="725" spans="1:31" x14ac:dyDescent="0.25">
      <c r="A725" s="316"/>
      <c r="B725" s="317" t="str">
        <f>IF(A725&lt;&gt;"",_xlfn.MAXIFS($B$1:B724,$A$1:A724,A725)+1,"")</f>
        <v/>
      </c>
      <c r="C725" s="296"/>
      <c r="D725" s="296"/>
      <c r="E725" s="296"/>
      <c r="F725" s="296"/>
      <c r="G725" s="326"/>
      <c r="H725" s="324"/>
      <c r="I725" s="325"/>
      <c r="J725" s="325"/>
      <c r="K725" s="318"/>
      <c r="L725" s="318"/>
      <c r="M725" s="319" t="str">
        <f>IFERROR(VLOOKUP(H725,Lijsten!$H$1:$I$100,2,0),"")</f>
        <v/>
      </c>
      <c r="N725" s="319" t="str">
        <f ca="1">IFERROR(IF(VLOOKUP(F725,Kostentypen!$A$3:$E$21,3,0)=0,"",IF(OR(F725="Arbeidskosten",F725="Vergoeding"),VLOOKUP(G725,Tb_KostenTypen[],2,0),VLOOKUP(F725,Kostentypen!$A$3:$E$20,3,0))),"")</f>
        <v/>
      </c>
      <c r="O725" s="320" t="str" cm="1">
        <f t="array" ref="O725">_xlfn.IFNA(IF(INDEX(Tb_KostenOptiesDB[],MATCH($F725,Tb_KostenOptiesDB[KostenOptie],0),IFERROR(MATCH(Methode_Keuze,Tb_KostenOptiesDB[#Headers],0),2))=1,_xlfn.SWITCH($N725,"Uurtarief",IF(OR(AND(RIGHT($F725,3)="IKS",VLOOKUP($M725,DB_Loonkosten,2,0)="Ja"),AND(RIGHT($F725,3)&lt;&gt;"IKS",VLOOKUP($M725,DB_Loonkosten,2,0)="Nee")),IFERROR(VLOOKUP($M725,DB_Loonkosten,24,0),""),0),"Vast tarief",IF(LEFT(F725,8)="Bijdrage",VLOOKUP($F725,Tb_KostenTypen[],MATCH(Lijsten!$P$1,Tb_KostenTypen[#Headers],0),0),VLOOKUP($G725,Lijsten!L:P,MATCH(Lijsten!$P$1,Kop_Tarief_Vast,0),0))),""),"")</f>
        <v/>
      </c>
      <c r="P725" s="320" t="str" cm="1">
        <f t="array" ref="P725">_xlfn.IFNA(IF(INDEX(Tb_KostenOptiesDB[],MATCH($F725,Tb_KostenOptiesDB[KostenOptie],0),IFERROR(MATCH(Methode_Keuze,Tb_KostenOptiesDB[#Headers],0),2))=1,_xlfn.SWITCH($N725,"Uurtarief",IF(OR(AND(RIGHT($F725,3)="IKS",VLOOKUP($M725,DB_Loonkosten,2,0)="Ja"),AND(RIGHT($F725,3)&lt;&gt;"IKS",VLOOKUP($M725,DB_Loonkosten,2,0)="Nee")),IFERROR(VLOOKUP($M725,DB_Loonkosten,25,0),""),0),"Vast tarief",IF(LEFT(F725,8)="Bijdrage",VLOOKUP($F725,Tb_KostenTypen[],MATCH(Lijsten!$P$1,Tb_KostenTypen[#Headers],0),0),VLOOKUP($G725,Lijsten!L:P,MATCH(Lijsten!$P$1,Kop_Tarief_Vast,0),0))),""),"")</f>
        <v/>
      </c>
      <c r="Q725" s="359"/>
      <c r="R725" s="359"/>
      <c r="S725" s="321"/>
      <c r="T725" s="321"/>
      <c r="U725" s="373" t="str">
        <f t="shared" si="44"/>
        <v/>
      </c>
      <c r="V725" s="314" t="str">
        <f t="shared" si="45"/>
        <v/>
      </c>
      <c r="W725" s="314" t="str" cm="1">
        <f t="array" aca="1" ref="W725" ca="1">IFERROR(IF(AE725&lt;&gt;"ja",_xlfn.IFNA(_xlfn.IFS(AND(O725&lt;&gt;"",F725&lt;&gt;"",RIGHT($N725,6)="tarief",F725="Vergoeding"),SUM(O725)*FLOOR(SUM(Q725),0.0001),AND(O725&lt;&gt;"",F725&lt;&gt;"",RIGHT($N725,6)="tarief"),SUM(O725)*FLOOR(SUM(Q725),0.01),S725&gt;0,IF(F725&lt;&gt;"",FLOOR(SUM(S725),0.01),"")),""),""),"")</f>
        <v/>
      </c>
      <c r="X725" s="314" t="str" cm="1">
        <f t="array" aca="1" ref="X725" ca="1">IFERROR(IF(AE725&lt;&gt;"ja",_xlfn.IFNA(_xlfn.IFS(AND(P725&lt;&gt;"",R725&lt;&gt;"",RIGHT($N725,6)="tarief",F725="Vergoeding"),SUM(P725)*FLOOR(SUM(R725),0.0001),AND(P725&lt;&gt;"",R725&lt;&gt;"",RIGHT($N725,6)="tarief"),P725*FLOOR(R725,0.01),T725&gt;0,FLOOR(SUM(T725),0.01)),""),""),"")</f>
        <v/>
      </c>
      <c r="Y725" s="314" t="str">
        <f t="shared" ca="1" si="46"/>
        <v/>
      </c>
      <c r="Z725" s="314" t="str" cm="1">
        <f t="array" aca="1" ref="Z725" ca="1">IFERROR(_xlfn.IFS(OR(F725="",LEFT(Methode_Keuze,4)="Geen",Methode_Keuze=""),"",AND(W725&lt;&gt;"",F725&lt;&gt;"Arbeidskosten"),W725*VLOOKUP(F725,Tb_ProjectKosten[],MATCH(Tb_ProjectKosten[[#Headers],[Forfait_Percentage]],Tb_ProjectKosten[#Headers],0),0),AND(F725="Arbeidskosten",G725&lt;&gt;""),IFERROR(W725*VLOOKUP(G725,Tb_KostenTypen[],3,0)*VLOOKUP(F725,Tb_ProjectKosten[],MATCH(Tb_ProjectKosten[[#Headers],[Forfait_Percentage]],Tb_ProjectKosten[#Headers],0),0),""),W725 &lt;=0,0),"")</f>
        <v/>
      </c>
      <c r="AA725" s="314" t="str" cm="1">
        <f t="array" aca="1" ref="AA725" ca="1">IFERROR(_xlfn.IFS(OR(F725="",LEFT(Methode_Keuze,4)="Geen",Methode_Keuze=""),"",AND(X725&lt;&gt;"",F725&lt;&gt;"Arbeidskosten"),X725*VLOOKUP(F725,Tb_ProjectKosten[],MATCH(Tb_ProjectKosten[[#Headers],[Forfait_Percentage]],Tb_ProjectKosten[#Headers],0),0),AND(F725="Arbeidskosten",G725&lt;&gt;""),IFERROR(X725*VLOOKUP(G725,Tb_KostenTypen[],3,0)*VLOOKUP(F725,Tb_ProjectKosten[],MATCH(Tb_ProjectKosten[[#Headers],[Forfait_Percentage]],Tb_ProjectKosten[#Headers],0),0),""),X725 &lt;=0,0),"")</f>
        <v/>
      </c>
      <c r="AB725" s="314" t="str">
        <f t="shared" ca="1" si="47"/>
        <v/>
      </c>
      <c r="AC725" s="322"/>
      <c r="AD725" s="315"/>
      <c r="AE725" s="32" t="str" cm="1">
        <f t="array" ref="AE725">IFERROR(IF(INDEX(SubsidieTabel!$AD$1:$AG$12,MATCH($F725,SubsidieTabel!$AD$1:$AD$12,0),IFERROR(MATCH(Methode_Keuze,SubsidieTabel!$AD$1:$AG$1,0),2))&lt;&gt;1=TRUE,"ja",""),"")</f>
        <v/>
      </c>
    </row>
    <row r="726" spans="1:31" x14ac:dyDescent="0.25">
      <c r="A726" s="316"/>
      <c r="B726" s="317" t="str">
        <f>IF(A726&lt;&gt;"",_xlfn.MAXIFS($B$1:B725,$A$1:A725,A726)+1,"")</f>
        <v/>
      </c>
      <c r="C726" s="296"/>
      <c r="D726" s="296"/>
      <c r="E726" s="296"/>
      <c r="F726" s="296"/>
      <c r="G726" s="326"/>
      <c r="H726" s="324"/>
      <c r="I726" s="325"/>
      <c r="J726" s="325"/>
      <c r="K726" s="318"/>
      <c r="L726" s="318"/>
      <c r="M726" s="319" t="str">
        <f>IFERROR(VLOOKUP(H726,Lijsten!$H$1:$I$100,2,0),"")</f>
        <v/>
      </c>
      <c r="N726" s="319" t="str">
        <f ca="1">IFERROR(IF(VLOOKUP(F726,Kostentypen!$A$3:$E$21,3,0)=0,"",IF(OR(F726="Arbeidskosten",F726="Vergoeding"),VLOOKUP(G726,Tb_KostenTypen[],2,0),VLOOKUP(F726,Kostentypen!$A$3:$E$20,3,0))),"")</f>
        <v/>
      </c>
      <c r="O726" s="320" t="str" cm="1">
        <f t="array" ref="O726">_xlfn.IFNA(IF(INDEX(Tb_KostenOptiesDB[],MATCH($F726,Tb_KostenOptiesDB[KostenOptie],0),IFERROR(MATCH(Methode_Keuze,Tb_KostenOptiesDB[#Headers],0),2))=1,_xlfn.SWITCH($N726,"Uurtarief",IF(OR(AND(RIGHT($F726,3)="IKS",VLOOKUP($M726,DB_Loonkosten,2,0)="Ja"),AND(RIGHT($F726,3)&lt;&gt;"IKS",VLOOKUP($M726,DB_Loonkosten,2,0)="Nee")),IFERROR(VLOOKUP($M726,DB_Loonkosten,24,0),""),0),"Vast tarief",IF(LEFT(F726,8)="Bijdrage",VLOOKUP($F726,Tb_KostenTypen[],MATCH(Lijsten!$P$1,Tb_KostenTypen[#Headers],0),0),VLOOKUP($G726,Lijsten!L:P,MATCH(Lijsten!$P$1,Kop_Tarief_Vast,0),0))),""),"")</f>
        <v/>
      </c>
      <c r="P726" s="320" t="str" cm="1">
        <f t="array" ref="P726">_xlfn.IFNA(IF(INDEX(Tb_KostenOptiesDB[],MATCH($F726,Tb_KostenOptiesDB[KostenOptie],0),IFERROR(MATCH(Methode_Keuze,Tb_KostenOptiesDB[#Headers],0),2))=1,_xlfn.SWITCH($N726,"Uurtarief",IF(OR(AND(RIGHT($F726,3)="IKS",VLOOKUP($M726,DB_Loonkosten,2,0)="Ja"),AND(RIGHT($F726,3)&lt;&gt;"IKS",VLOOKUP($M726,DB_Loonkosten,2,0)="Nee")),IFERROR(VLOOKUP($M726,DB_Loonkosten,25,0),""),0),"Vast tarief",IF(LEFT(F726,8)="Bijdrage",VLOOKUP($F726,Tb_KostenTypen[],MATCH(Lijsten!$P$1,Tb_KostenTypen[#Headers],0),0),VLOOKUP($G726,Lijsten!L:P,MATCH(Lijsten!$P$1,Kop_Tarief_Vast,0),0))),""),"")</f>
        <v/>
      </c>
      <c r="Q726" s="359"/>
      <c r="R726" s="359"/>
      <c r="S726" s="321"/>
      <c r="T726" s="321"/>
      <c r="U726" s="373" t="str">
        <f t="shared" si="44"/>
        <v/>
      </c>
      <c r="V726" s="314" t="str">
        <f t="shared" si="45"/>
        <v/>
      </c>
      <c r="W726" s="314" t="str" cm="1">
        <f t="array" aca="1" ref="W726" ca="1">IFERROR(IF(AE726&lt;&gt;"ja",_xlfn.IFNA(_xlfn.IFS(AND(O726&lt;&gt;"",F726&lt;&gt;"",RIGHT($N726,6)="tarief",F726="Vergoeding"),SUM(O726)*FLOOR(SUM(Q726),0.0001),AND(O726&lt;&gt;"",F726&lt;&gt;"",RIGHT($N726,6)="tarief"),SUM(O726)*FLOOR(SUM(Q726),0.01),S726&gt;0,IF(F726&lt;&gt;"",FLOOR(SUM(S726),0.01),"")),""),""),"")</f>
        <v/>
      </c>
      <c r="X726" s="314" t="str" cm="1">
        <f t="array" aca="1" ref="X726" ca="1">IFERROR(IF(AE726&lt;&gt;"ja",_xlfn.IFNA(_xlfn.IFS(AND(P726&lt;&gt;"",R726&lt;&gt;"",RIGHT($N726,6)="tarief",F726="Vergoeding"),SUM(P726)*FLOOR(SUM(R726),0.0001),AND(P726&lt;&gt;"",R726&lt;&gt;"",RIGHT($N726,6)="tarief"),P726*FLOOR(R726,0.01),T726&gt;0,FLOOR(SUM(T726),0.01)),""),""),"")</f>
        <v/>
      </c>
      <c r="Y726" s="314" t="str">
        <f t="shared" ca="1" si="46"/>
        <v/>
      </c>
      <c r="Z726" s="314" t="str" cm="1">
        <f t="array" aca="1" ref="Z726" ca="1">IFERROR(_xlfn.IFS(OR(F726="",LEFT(Methode_Keuze,4)="Geen",Methode_Keuze=""),"",AND(W726&lt;&gt;"",F726&lt;&gt;"Arbeidskosten"),W726*VLOOKUP(F726,Tb_ProjectKosten[],MATCH(Tb_ProjectKosten[[#Headers],[Forfait_Percentage]],Tb_ProjectKosten[#Headers],0),0),AND(F726="Arbeidskosten",G726&lt;&gt;""),IFERROR(W726*VLOOKUP(G726,Tb_KostenTypen[],3,0)*VLOOKUP(F726,Tb_ProjectKosten[],MATCH(Tb_ProjectKosten[[#Headers],[Forfait_Percentage]],Tb_ProjectKosten[#Headers],0),0),""),W726 &lt;=0,0),"")</f>
        <v/>
      </c>
      <c r="AA726" s="314" t="str" cm="1">
        <f t="array" aca="1" ref="AA726" ca="1">IFERROR(_xlfn.IFS(OR(F726="",LEFT(Methode_Keuze,4)="Geen",Methode_Keuze=""),"",AND(X726&lt;&gt;"",F726&lt;&gt;"Arbeidskosten"),X726*VLOOKUP(F726,Tb_ProjectKosten[],MATCH(Tb_ProjectKosten[[#Headers],[Forfait_Percentage]],Tb_ProjectKosten[#Headers],0),0),AND(F726="Arbeidskosten",G726&lt;&gt;""),IFERROR(X726*VLOOKUP(G726,Tb_KostenTypen[],3,0)*VLOOKUP(F726,Tb_ProjectKosten[],MATCH(Tb_ProjectKosten[[#Headers],[Forfait_Percentage]],Tb_ProjectKosten[#Headers],0),0),""),X726 &lt;=0,0),"")</f>
        <v/>
      </c>
      <c r="AB726" s="314" t="str">
        <f t="shared" ca="1" si="47"/>
        <v/>
      </c>
      <c r="AC726" s="322"/>
      <c r="AD726" s="315"/>
      <c r="AE726" s="32" t="str" cm="1">
        <f t="array" ref="AE726">IFERROR(IF(INDEX(SubsidieTabel!$AD$1:$AG$12,MATCH($F726,SubsidieTabel!$AD$1:$AD$12,0),IFERROR(MATCH(Methode_Keuze,SubsidieTabel!$AD$1:$AG$1,0),2))&lt;&gt;1=TRUE,"ja",""),"")</f>
        <v/>
      </c>
    </row>
    <row r="727" spans="1:31" x14ac:dyDescent="0.25">
      <c r="A727" s="316"/>
      <c r="B727" s="317" t="str">
        <f>IF(A727&lt;&gt;"",_xlfn.MAXIFS($B$1:B726,$A$1:A726,A727)+1,"")</f>
        <v/>
      </c>
      <c r="C727" s="296"/>
      <c r="D727" s="296"/>
      <c r="E727" s="296"/>
      <c r="F727" s="296"/>
      <c r="G727" s="326"/>
      <c r="H727" s="324"/>
      <c r="I727" s="325"/>
      <c r="J727" s="325"/>
      <c r="K727" s="318"/>
      <c r="L727" s="318"/>
      <c r="M727" s="319" t="str">
        <f>IFERROR(VLOOKUP(H727,Lijsten!$H$1:$I$100,2,0),"")</f>
        <v/>
      </c>
      <c r="N727" s="319" t="str">
        <f ca="1">IFERROR(IF(VLOOKUP(F727,Kostentypen!$A$3:$E$21,3,0)=0,"",IF(OR(F727="Arbeidskosten",F727="Vergoeding"),VLOOKUP(G727,Tb_KostenTypen[],2,0),VLOOKUP(F727,Kostentypen!$A$3:$E$20,3,0))),"")</f>
        <v/>
      </c>
      <c r="O727" s="320" t="str" cm="1">
        <f t="array" ref="O727">_xlfn.IFNA(IF(INDEX(Tb_KostenOptiesDB[],MATCH($F727,Tb_KostenOptiesDB[KostenOptie],0),IFERROR(MATCH(Methode_Keuze,Tb_KostenOptiesDB[#Headers],0),2))=1,_xlfn.SWITCH($N727,"Uurtarief",IF(OR(AND(RIGHT($F727,3)="IKS",VLOOKUP($M727,DB_Loonkosten,2,0)="Ja"),AND(RIGHT($F727,3)&lt;&gt;"IKS",VLOOKUP($M727,DB_Loonkosten,2,0)="Nee")),IFERROR(VLOOKUP($M727,DB_Loonkosten,24,0),""),0),"Vast tarief",IF(LEFT(F727,8)="Bijdrage",VLOOKUP($F727,Tb_KostenTypen[],MATCH(Lijsten!$P$1,Tb_KostenTypen[#Headers],0),0),VLOOKUP($G727,Lijsten!L:P,MATCH(Lijsten!$P$1,Kop_Tarief_Vast,0),0))),""),"")</f>
        <v/>
      </c>
      <c r="P727" s="320" t="str" cm="1">
        <f t="array" ref="P727">_xlfn.IFNA(IF(INDEX(Tb_KostenOptiesDB[],MATCH($F727,Tb_KostenOptiesDB[KostenOptie],0),IFERROR(MATCH(Methode_Keuze,Tb_KostenOptiesDB[#Headers],0),2))=1,_xlfn.SWITCH($N727,"Uurtarief",IF(OR(AND(RIGHT($F727,3)="IKS",VLOOKUP($M727,DB_Loonkosten,2,0)="Ja"),AND(RIGHT($F727,3)&lt;&gt;"IKS",VLOOKUP($M727,DB_Loonkosten,2,0)="Nee")),IFERROR(VLOOKUP($M727,DB_Loonkosten,25,0),""),0),"Vast tarief",IF(LEFT(F727,8)="Bijdrage",VLOOKUP($F727,Tb_KostenTypen[],MATCH(Lijsten!$P$1,Tb_KostenTypen[#Headers],0),0),VLOOKUP($G727,Lijsten!L:P,MATCH(Lijsten!$P$1,Kop_Tarief_Vast,0),0))),""),"")</f>
        <v/>
      </c>
      <c r="Q727" s="359"/>
      <c r="R727" s="359"/>
      <c r="S727" s="321"/>
      <c r="T727" s="321"/>
      <c r="U727" s="373" t="str">
        <f t="shared" si="44"/>
        <v/>
      </c>
      <c r="V727" s="314" t="str">
        <f t="shared" si="45"/>
        <v/>
      </c>
      <c r="W727" s="314" t="str" cm="1">
        <f t="array" aca="1" ref="W727" ca="1">IFERROR(IF(AE727&lt;&gt;"ja",_xlfn.IFNA(_xlfn.IFS(AND(O727&lt;&gt;"",F727&lt;&gt;"",RIGHT($N727,6)="tarief",F727="Vergoeding"),SUM(O727)*FLOOR(SUM(Q727),0.0001),AND(O727&lt;&gt;"",F727&lt;&gt;"",RIGHT($N727,6)="tarief"),SUM(O727)*FLOOR(SUM(Q727),0.01),S727&gt;0,IF(F727&lt;&gt;"",FLOOR(SUM(S727),0.01),"")),""),""),"")</f>
        <v/>
      </c>
      <c r="X727" s="314" t="str" cm="1">
        <f t="array" aca="1" ref="X727" ca="1">IFERROR(IF(AE727&lt;&gt;"ja",_xlfn.IFNA(_xlfn.IFS(AND(P727&lt;&gt;"",R727&lt;&gt;"",RIGHT($N727,6)="tarief",F727="Vergoeding"),SUM(P727)*FLOOR(SUM(R727),0.0001),AND(P727&lt;&gt;"",R727&lt;&gt;"",RIGHT($N727,6)="tarief"),P727*FLOOR(R727,0.01),T727&gt;0,FLOOR(SUM(T727),0.01)),""),""),"")</f>
        <v/>
      </c>
      <c r="Y727" s="314" t="str">
        <f t="shared" ca="1" si="46"/>
        <v/>
      </c>
      <c r="Z727" s="314" t="str" cm="1">
        <f t="array" aca="1" ref="Z727" ca="1">IFERROR(_xlfn.IFS(OR(F727="",LEFT(Methode_Keuze,4)="Geen",Methode_Keuze=""),"",AND(W727&lt;&gt;"",F727&lt;&gt;"Arbeidskosten"),W727*VLOOKUP(F727,Tb_ProjectKosten[],MATCH(Tb_ProjectKosten[[#Headers],[Forfait_Percentage]],Tb_ProjectKosten[#Headers],0),0),AND(F727="Arbeidskosten",G727&lt;&gt;""),IFERROR(W727*VLOOKUP(G727,Tb_KostenTypen[],3,0)*VLOOKUP(F727,Tb_ProjectKosten[],MATCH(Tb_ProjectKosten[[#Headers],[Forfait_Percentage]],Tb_ProjectKosten[#Headers],0),0),""),W727 &lt;=0,0),"")</f>
        <v/>
      </c>
      <c r="AA727" s="314" t="str" cm="1">
        <f t="array" aca="1" ref="AA727" ca="1">IFERROR(_xlfn.IFS(OR(F727="",LEFT(Methode_Keuze,4)="Geen",Methode_Keuze=""),"",AND(X727&lt;&gt;"",F727&lt;&gt;"Arbeidskosten"),X727*VLOOKUP(F727,Tb_ProjectKosten[],MATCH(Tb_ProjectKosten[[#Headers],[Forfait_Percentage]],Tb_ProjectKosten[#Headers],0),0),AND(F727="Arbeidskosten",G727&lt;&gt;""),IFERROR(X727*VLOOKUP(G727,Tb_KostenTypen[],3,0)*VLOOKUP(F727,Tb_ProjectKosten[],MATCH(Tb_ProjectKosten[[#Headers],[Forfait_Percentage]],Tb_ProjectKosten[#Headers],0),0),""),X727 &lt;=0,0),"")</f>
        <v/>
      </c>
      <c r="AB727" s="314" t="str">
        <f t="shared" ca="1" si="47"/>
        <v/>
      </c>
      <c r="AC727" s="322"/>
      <c r="AD727" s="315"/>
      <c r="AE727" s="32" t="str" cm="1">
        <f t="array" ref="AE727">IFERROR(IF(INDEX(SubsidieTabel!$AD$1:$AG$12,MATCH($F727,SubsidieTabel!$AD$1:$AD$12,0),IFERROR(MATCH(Methode_Keuze,SubsidieTabel!$AD$1:$AG$1,0),2))&lt;&gt;1=TRUE,"ja",""),"")</f>
        <v/>
      </c>
    </row>
    <row r="728" spans="1:31" x14ac:dyDescent="0.25">
      <c r="A728" s="316"/>
      <c r="B728" s="317" t="str">
        <f>IF(A728&lt;&gt;"",_xlfn.MAXIFS($B$1:B727,$A$1:A727,A728)+1,"")</f>
        <v/>
      </c>
      <c r="C728" s="296"/>
      <c r="D728" s="296"/>
      <c r="E728" s="296"/>
      <c r="F728" s="296"/>
      <c r="G728" s="326"/>
      <c r="H728" s="324"/>
      <c r="I728" s="325"/>
      <c r="J728" s="325"/>
      <c r="K728" s="318"/>
      <c r="L728" s="318"/>
      <c r="M728" s="319" t="str">
        <f>IFERROR(VLOOKUP(H728,Lijsten!$H$1:$I$100,2,0),"")</f>
        <v/>
      </c>
      <c r="N728" s="319" t="str">
        <f ca="1">IFERROR(IF(VLOOKUP(F728,Kostentypen!$A$3:$E$21,3,0)=0,"",IF(OR(F728="Arbeidskosten",F728="Vergoeding"),VLOOKUP(G728,Tb_KostenTypen[],2,0),VLOOKUP(F728,Kostentypen!$A$3:$E$20,3,0))),"")</f>
        <v/>
      </c>
      <c r="O728" s="320" t="str" cm="1">
        <f t="array" ref="O728">_xlfn.IFNA(IF(INDEX(Tb_KostenOptiesDB[],MATCH($F728,Tb_KostenOptiesDB[KostenOptie],0),IFERROR(MATCH(Methode_Keuze,Tb_KostenOptiesDB[#Headers],0),2))=1,_xlfn.SWITCH($N728,"Uurtarief",IF(OR(AND(RIGHT($F728,3)="IKS",VLOOKUP($M728,DB_Loonkosten,2,0)="Ja"),AND(RIGHT($F728,3)&lt;&gt;"IKS",VLOOKUP($M728,DB_Loonkosten,2,0)="Nee")),IFERROR(VLOOKUP($M728,DB_Loonkosten,24,0),""),0),"Vast tarief",IF(LEFT(F728,8)="Bijdrage",VLOOKUP($F728,Tb_KostenTypen[],MATCH(Lijsten!$P$1,Tb_KostenTypen[#Headers],0),0),VLOOKUP($G728,Lijsten!L:P,MATCH(Lijsten!$P$1,Kop_Tarief_Vast,0),0))),""),"")</f>
        <v/>
      </c>
      <c r="P728" s="320" t="str" cm="1">
        <f t="array" ref="P728">_xlfn.IFNA(IF(INDEX(Tb_KostenOptiesDB[],MATCH($F728,Tb_KostenOptiesDB[KostenOptie],0),IFERROR(MATCH(Methode_Keuze,Tb_KostenOptiesDB[#Headers],0),2))=1,_xlfn.SWITCH($N728,"Uurtarief",IF(OR(AND(RIGHT($F728,3)="IKS",VLOOKUP($M728,DB_Loonkosten,2,0)="Ja"),AND(RIGHT($F728,3)&lt;&gt;"IKS",VLOOKUP($M728,DB_Loonkosten,2,0)="Nee")),IFERROR(VLOOKUP($M728,DB_Loonkosten,25,0),""),0),"Vast tarief",IF(LEFT(F728,8)="Bijdrage",VLOOKUP($F728,Tb_KostenTypen[],MATCH(Lijsten!$P$1,Tb_KostenTypen[#Headers],0),0),VLOOKUP($G728,Lijsten!L:P,MATCH(Lijsten!$P$1,Kop_Tarief_Vast,0),0))),""),"")</f>
        <v/>
      </c>
      <c r="Q728" s="359"/>
      <c r="R728" s="359"/>
      <c r="S728" s="321"/>
      <c r="T728" s="321"/>
      <c r="U728" s="373" t="str">
        <f t="shared" si="44"/>
        <v/>
      </c>
      <c r="V728" s="314" t="str">
        <f t="shared" si="45"/>
        <v/>
      </c>
      <c r="W728" s="314" t="str" cm="1">
        <f t="array" aca="1" ref="W728" ca="1">IFERROR(IF(AE728&lt;&gt;"ja",_xlfn.IFNA(_xlfn.IFS(AND(O728&lt;&gt;"",F728&lt;&gt;"",RIGHT($N728,6)="tarief",F728="Vergoeding"),SUM(O728)*FLOOR(SUM(Q728),0.0001),AND(O728&lt;&gt;"",F728&lt;&gt;"",RIGHT($N728,6)="tarief"),SUM(O728)*FLOOR(SUM(Q728),0.01),S728&gt;0,IF(F728&lt;&gt;"",FLOOR(SUM(S728),0.01),"")),""),""),"")</f>
        <v/>
      </c>
      <c r="X728" s="314" t="str" cm="1">
        <f t="array" aca="1" ref="X728" ca="1">IFERROR(IF(AE728&lt;&gt;"ja",_xlfn.IFNA(_xlfn.IFS(AND(P728&lt;&gt;"",R728&lt;&gt;"",RIGHT($N728,6)="tarief",F728="Vergoeding"),SUM(P728)*FLOOR(SUM(R728),0.0001),AND(P728&lt;&gt;"",R728&lt;&gt;"",RIGHT($N728,6)="tarief"),P728*FLOOR(R728,0.01),T728&gt;0,FLOOR(SUM(T728),0.01)),""),""),"")</f>
        <v/>
      </c>
      <c r="Y728" s="314" t="str">
        <f t="shared" ca="1" si="46"/>
        <v/>
      </c>
      <c r="Z728" s="314" t="str" cm="1">
        <f t="array" aca="1" ref="Z728" ca="1">IFERROR(_xlfn.IFS(OR(F728="",LEFT(Methode_Keuze,4)="Geen",Methode_Keuze=""),"",AND(W728&lt;&gt;"",F728&lt;&gt;"Arbeidskosten"),W728*VLOOKUP(F728,Tb_ProjectKosten[],MATCH(Tb_ProjectKosten[[#Headers],[Forfait_Percentage]],Tb_ProjectKosten[#Headers],0),0),AND(F728="Arbeidskosten",G728&lt;&gt;""),IFERROR(W728*VLOOKUP(G728,Tb_KostenTypen[],3,0)*VLOOKUP(F728,Tb_ProjectKosten[],MATCH(Tb_ProjectKosten[[#Headers],[Forfait_Percentage]],Tb_ProjectKosten[#Headers],0),0),""),W728 &lt;=0,0),"")</f>
        <v/>
      </c>
      <c r="AA728" s="314" t="str" cm="1">
        <f t="array" aca="1" ref="AA728" ca="1">IFERROR(_xlfn.IFS(OR(F728="",LEFT(Methode_Keuze,4)="Geen",Methode_Keuze=""),"",AND(X728&lt;&gt;"",F728&lt;&gt;"Arbeidskosten"),X728*VLOOKUP(F728,Tb_ProjectKosten[],MATCH(Tb_ProjectKosten[[#Headers],[Forfait_Percentage]],Tb_ProjectKosten[#Headers],0),0),AND(F728="Arbeidskosten",G728&lt;&gt;""),IFERROR(X728*VLOOKUP(G728,Tb_KostenTypen[],3,0)*VLOOKUP(F728,Tb_ProjectKosten[],MATCH(Tb_ProjectKosten[[#Headers],[Forfait_Percentage]],Tb_ProjectKosten[#Headers],0),0),""),X728 &lt;=0,0),"")</f>
        <v/>
      </c>
      <c r="AB728" s="314" t="str">
        <f t="shared" ca="1" si="47"/>
        <v/>
      </c>
      <c r="AC728" s="322"/>
      <c r="AD728" s="315"/>
      <c r="AE728" s="32" t="str" cm="1">
        <f t="array" ref="AE728">IFERROR(IF(INDEX(SubsidieTabel!$AD$1:$AG$12,MATCH($F728,SubsidieTabel!$AD$1:$AD$12,0),IFERROR(MATCH(Methode_Keuze,SubsidieTabel!$AD$1:$AG$1,0),2))&lt;&gt;1=TRUE,"ja",""),"")</f>
        <v/>
      </c>
    </row>
    <row r="729" spans="1:31" x14ac:dyDescent="0.25">
      <c r="A729" s="316"/>
      <c r="B729" s="317" t="str">
        <f>IF(A729&lt;&gt;"",_xlfn.MAXIFS($B$1:B728,$A$1:A728,A729)+1,"")</f>
        <v/>
      </c>
      <c r="C729" s="296"/>
      <c r="D729" s="296"/>
      <c r="E729" s="296"/>
      <c r="F729" s="296"/>
      <c r="G729" s="326"/>
      <c r="H729" s="324"/>
      <c r="I729" s="325"/>
      <c r="J729" s="325"/>
      <c r="K729" s="318"/>
      <c r="L729" s="318"/>
      <c r="M729" s="319" t="str">
        <f>IFERROR(VLOOKUP(H729,Lijsten!$H$1:$I$100,2,0),"")</f>
        <v/>
      </c>
      <c r="N729" s="319" t="str">
        <f ca="1">IFERROR(IF(VLOOKUP(F729,Kostentypen!$A$3:$E$21,3,0)=0,"",IF(OR(F729="Arbeidskosten",F729="Vergoeding"),VLOOKUP(G729,Tb_KostenTypen[],2,0),VLOOKUP(F729,Kostentypen!$A$3:$E$20,3,0))),"")</f>
        <v/>
      </c>
      <c r="O729" s="320" t="str" cm="1">
        <f t="array" ref="O729">_xlfn.IFNA(IF(INDEX(Tb_KostenOptiesDB[],MATCH($F729,Tb_KostenOptiesDB[KostenOptie],0),IFERROR(MATCH(Methode_Keuze,Tb_KostenOptiesDB[#Headers],0),2))=1,_xlfn.SWITCH($N729,"Uurtarief",IF(OR(AND(RIGHT($F729,3)="IKS",VLOOKUP($M729,DB_Loonkosten,2,0)="Ja"),AND(RIGHT($F729,3)&lt;&gt;"IKS",VLOOKUP($M729,DB_Loonkosten,2,0)="Nee")),IFERROR(VLOOKUP($M729,DB_Loonkosten,24,0),""),0),"Vast tarief",IF(LEFT(F729,8)="Bijdrage",VLOOKUP($F729,Tb_KostenTypen[],MATCH(Lijsten!$P$1,Tb_KostenTypen[#Headers],0),0),VLOOKUP($G729,Lijsten!L:P,MATCH(Lijsten!$P$1,Kop_Tarief_Vast,0),0))),""),"")</f>
        <v/>
      </c>
      <c r="P729" s="320" t="str" cm="1">
        <f t="array" ref="P729">_xlfn.IFNA(IF(INDEX(Tb_KostenOptiesDB[],MATCH($F729,Tb_KostenOptiesDB[KostenOptie],0),IFERROR(MATCH(Methode_Keuze,Tb_KostenOptiesDB[#Headers],0),2))=1,_xlfn.SWITCH($N729,"Uurtarief",IF(OR(AND(RIGHT($F729,3)="IKS",VLOOKUP($M729,DB_Loonkosten,2,0)="Ja"),AND(RIGHT($F729,3)&lt;&gt;"IKS",VLOOKUP($M729,DB_Loonkosten,2,0)="Nee")),IFERROR(VLOOKUP($M729,DB_Loonkosten,25,0),""),0),"Vast tarief",IF(LEFT(F729,8)="Bijdrage",VLOOKUP($F729,Tb_KostenTypen[],MATCH(Lijsten!$P$1,Tb_KostenTypen[#Headers],0),0),VLOOKUP($G729,Lijsten!L:P,MATCH(Lijsten!$P$1,Kop_Tarief_Vast,0),0))),""),"")</f>
        <v/>
      </c>
      <c r="Q729" s="359"/>
      <c r="R729" s="359"/>
      <c r="S729" s="321"/>
      <c r="T729" s="321"/>
      <c r="U729" s="373" t="str">
        <f t="shared" si="44"/>
        <v/>
      </c>
      <c r="V729" s="314" t="str">
        <f t="shared" si="45"/>
        <v/>
      </c>
      <c r="W729" s="314" t="str" cm="1">
        <f t="array" aca="1" ref="W729" ca="1">IFERROR(IF(AE729&lt;&gt;"ja",_xlfn.IFNA(_xlfn.IFS(AND(O729&lt;&gt;"",F729&lt;&gt;"",RIGHT($N729,6)="tarief",F729="Vergoeding"),SUM(O729)*FLOOR(SUM(Q729),0.0001),AND(O729&lt;&gt;"",F729&lt;&gt;"",RIGHT($N729,6)="tarief"),SUM(O729)*FLOOR(SUM(Q729),0.01),S729&gt;0,IF(F729&lt;&gt;"",FLOOR(SUM(S729),0.01),"")),""),""),"")</f>
        <v/>
      </c>
      <c r="X729" s="314" t="str" cm="1">
        <f t="array" aca="1" ref="X729" ca="1">IFERROR(IF(AE729&lt;&gt;"ja",_xlfn.IFNA(_xlfn.IFS(AND(P729&lt;&gt;"",R729&lt;&gt;"",RIGHT($N729,6)="tarief",F729="Vergoeding"),SUM(P729)*FLOOR(SUM(R729),0.0001),AND(P729&lt;&gt;"",R729&lt;&gt;"",RIGHT($N729,6)="tarief"),P729*FLOOR(R729,0.01),T729&gt;0,FLOOR(SUM(T729),0.01)),""),""),"")</f>
        <v/>
      </c>
      <c r="Y729" s="314" t="str">
        <f t="shared" ca="1" si="46"/>
        <v/>
      </c>
      <c r="Z729" s="314" t="str" cm="1">
        <f t="array" aca="1" ref="Z729" ca="1">IFERROR(_xlfn.IFS(OR(F729="",LEFT(Methode_Keuze,4)="Geen",Methode_Keuze=""),"",AND(W729&lt;&gt;"",F729&lt;&gt;"Arbeidskosten"),W729*VLOOKUP(F729,Tb_ProjectKosten[],MATCH(Tb_ProjectKosten[[#Headers],[Forfait_Percentage]],Tb_ProjectKosten[#Headers],0),0),AND(F729="Arbeidskosten",G729&lt;&gt;""),IFERROR(W729*VLOOKUP(G729,Tb_KostenTypen[],3,0)*VLOOKUP(F729,Tb_ProjectKosten[],MATCH(Tb_ProjectKosten[[#Headers],[Forfait_Percentage]],Tb_ProjectKosten[#Headers],0),0),""),W729 &lt;=0,0),"")</f>
        <v/>
      </c>
      <c r="AA729" s="314" t="str" cm="1">
        <f t="array" aca="1" ref="AA729" ca="1">IFERROR(_xlfn.IFS(OR(F729="",LEFT(Methode_Keuze,4)="Geen",Methode_Keuze=""),"",AND(X729&lt;&gt;"",F729&lt;&gt;"Arbeidskosten"),X729*VLOOKUP(F729,Tb_ProjectKosten[],MATCH(Tb_ProjectKosten[[#Headers],[Forfait_Percentage]],Tb_ProjectKosten[#Headers],0),0),AND(F729="Arbeidskosten",G729&lt;&gt;""),IFERROR(X729*VLOOKUP(G729,Tb_KostenTypen[],3,0)*VLOOKUP(F729,Tb_ProjectKosten[],MATCH(Tb_ProjectKosten[[#Headers],[Forfait_Percentage]],Tb_ProjectKosten[#Headers],0),0),""),X729 &lt;=0,0),"")</f>
        <v/>
      </c>
      <c r="AB729" s="314" t="str">
        <f t="shared" ca="1" si="47"/>
        <v/>
      </c>
      <c r="AC729" s="322"/>
      <c r="AD729" s="315"/>
      <c r="AE729" s="32" t="str" cm="1">
        <f t="array" ref="AE729">IFERROR(IF(INDEX(SubsidieTabel!$AD$1:$AG$12,MATCH($F729,SubsidieTabel!$AD$1:$AD$12,0),IFERROR(MATCH(Methode_Keuze,SubsidieTabel!$AD$1:$AG$1,0),2))&lt;&gt;1=TRUE,"ja",""),"")</f>
        <v/>
      </c>
    </row>
    <row r="730" spans="1:31" x14ac:dyDescent="0.25">
      <c r="A730" s="316"/>
      <c r="B730" s="317" t="str">
        <f>IF(A730&lt;&gt;"",_xlfn.MAXIFS($B$1:B729,$A$1:A729,A730)+1,"")</f>
        <v/>
      </c>
      <c r="C730" s="296"/>
      <c r="D730" s="296"/>
      <c r="E730" s="296"/>
      <c r="F730" s="296"/>
      <c r="G730" s="326"/>
      <c r="H730" s="324"/>
      <c r="I730" s="325"/>
      <c r="J730" s="325"/>
      <c r="K730" s="318"/>
      <c r="L730" s="318"/>
      <c r="M730" s="319" t="str">
        <f>IFERROR(VLOOKUP(H730,Lijsten!$H$1:$I$100,2,0),"")</f>
        <v/>
      </c>
      <c r="N730" s="319" t="str">
        <f ca="1">IFERROR(IF(VLOOKUP(F730,Kostentypen!$A$3:$E$21,3,0)=0,"",IF(OR(F730="Arbeidskosten",F730="Vergoeding"),VLOOKUP(G730,Tb_KostenTypen[],2,0),VLOOKUP(F730,Kostentypen!$A$3:$E$20,3,0))),"")</f>
        <v/>
      </c>
      <c r="O730" s="320" t="str" cm="1">
        <f t="array" ref="O730">_xlfn.IFNA(IF(INDEX(Tb_KostenOptiesDB[],MATCH($F730,Tb_KostenOptiesDB[KostenOptie],0),IFERROR(MATCH(Methode_Keuze,Tb_KostenOptiesDB[#Headers],0),2))=1,_xlfn.SWITCH($N730,"Uurtarief",IF(OR(AND(RIGHT($F730,3)="IKS",VLOOKUP($M730,DB_Loonkosten,2,0)="Ja"),AND(RIGHT($F730,3)&lt;&gt;"IKS",VLOOKUP($M730,DB_Loonkosten,2,0)="Nee")),IFERROR(VLOOKUP($M730,DB_Loonkosten,24,0),""),0),"Vast tarief",IF(LEFT(F730,8)="Bijdrage",VLOOKUP($F730,Tb_KostenTypen[],MATCH(Lijsten!$P$1,Tb_KostenTypen[#Headers],0),0),VLOOKUP($G730,Lijsten!L:P,MATCH(Lijsten!$P$1,Kop_Tarief_Vast,0),0))),""),"")</f>
        <v/>
      </c>
      <c r="P730" s="320" t="str" cm="1">
        <f t="array" ref="P730">_xlfn.IFNA(IF(INDEX(Tb_KostenOptiesDB[],MATCH($F730,Tb_KostenOptiesDB[KostenOptie],0),IFERROR(MATCH(Methode_Keuze,Tb_KostenOptiesDB[#Headers],0),2))=1,_xlfn.SWITCH($N730,"Uurtarief",IF(OR(AND(RIGHT($F730,3)="IKS",VLOOKUP($M730,DB_Loonkosten,2,0)="Ja"),AND(RIGHT($F730,3)&lt;&gt;"IKS",VLOOKUP($M730,DB_Loonkosten,2,0)="Nee")),IFERROR(VLOOKUP($M730,DB_Loonkosten,25,0),""),0),"Vast tarief",IF(LEFT(F730,8)="Bijdrage",VLOOKUP($F730,Tb_KostenTypen[],MATCH(Lijsten!$P$1,Tb_KostenTypen[#Headers],0),0),VLOOKUP($G730,Lijsten!L:P,MATCH(Lijsten!$P$1,Kop_Tarief_Vast,0),0))),""),"")</f>
        <v/>
      </c>
      <c r="Q730" s="359"/>
      <c r="R730" s="359"/>
      <c r="S730" s="321"/>
      <c r="T730" s="321"/>
      <c r="U730" s="373" t="str">
        <f t="shared" si="44"/>
        <v/>
      </c>
      <c r="V730" s="314" t="str">
        <f t="shared" si="45"/>
        <v/>
      </c>
      <c r="W730" s="314" t="str" cm="1">
        <f t="array" aca="1" ref="W730" ca="1">IFERROR(IF(AE730&lt;&gt;"ja",_xlfn.IFNA(_xlfn.IFS(AND(O730&lt;&gt;"",F730&lt;&gt;"",RIGHT($N730,6)="tarief",F730="Vergoeding"),SUM(O730)*FLOOR(SUM(Q730),0.0001),AND(O730&lt;&gt;"",F730&lt;&gt;"",RIGHT($N730,6)="tarief"),SUM(O730)*FLOOR(SUM(Q730),0.01),S730&gt;0,IF(F730&lt;&gt;"",FLOOR(SUM(S730),0.01),"")),""),""),"")</f>
        <v/>
      </c>
      <c r="X730" s="314" t="str" cm="1">
        <f t="array" aca="1" ref="X730" ca="1">IFERROR(IF(AE730&lt;&gt;"ja",_xlfn.IFNA(_xlfn.IFS(AND(P730&lt;&gt;"",R730&lt;&gt;"",RIGHT($N730,6)="tarief",F730="Vergoeding"),SUM(P730)*FLOOR(SUM(R730),0.0001),AND(P730&lt;&gt;"",R730&lt;&gt;"",RIGHT($N730,6)="tarief"),P730*FLOOR(R730,0.01),T730&gt;0,FLOOR(SUM(T730),0.01)),""),""),"")</f>
        <v/>
      </c>
      <c r="Y730" s="314" t="str">
        <f t="shared" ca="1" si="46"/>
        <v/>
      </c>
      <c r="Z730" s="314" t="str" cm="1">
        <f t="array" aca="1" ref="Z730" ca="1">IFERROR(_xlfn.IFS(OR(F730="",LEFT(Methode_Keuze,4)="Geen",Methode_Keuze=""),"",AND(W730&lt;&gt;"",F730&lt;&gt;"Arbeidskosten"),W730*VLOOKUP(F730,Tb_ProjectKosten[],MATCH(Tb_ProjectKosten[[#Headers],[Forfait_Percentage]],Tb_ProjectKosten[#Headers],0),0),AND(F730="Arbeidskosten",G730&lt;&gt;""),IFERROR(W730*VLOOKUP(G730,Tb_KostenTypen[],3,0)*VLOOKUP(F730,Tb_ProjectKosten[],MATCH(Tb_ProjectKosten[[#Headers],[Forfait_Percentage]],Tb_ProjectKosten[#Headers],0),0),""),W730 &lt;=0,0),"")</f>
        <v/>
      </c>
      <c r="AA730" s="314" t="str" cm="1">
        <f t="array" aca="1" ref="AA730" ca="1">IFERROR(_xlfn.IFS(OR(F730="",LEFT(Methode_Keuze,4)="Geen",Methode_Keuze=""),"",AND(X730&lt;&gt;"",F730&lt;&gt;"Arbeidskosten"),X730*VLOOKUP(F730,Tb_ProjectKosten[],MATCH(Tb_ProjectKosten[[#Headers],[Forfait_Percentage]],Tb_ProjectKosten[#Headers],0),0),AND(F730="Arbeidskosten",G730&lt;&gt;""),IFERROR(X730*VLOOKUP(G730,Tb_KostenTypen[],3,0)*VLOOKUP(F730,Tb_ProjectKosten[],MATCH(Tb_ProjectKosten[[#Headers],[Forfait_Percentage]],Tb_ProjectKosten[#Headers],0),0),""),X730 &lt;=0,0),"")</f>
        <v/>
      </c>
      <c r="AB730" s="314" t="str">
        <f t="shared" ca="1" si="47"/>
        <v/>
      </c>
      <c r="AC730" s="322"/>
      <c r="AD730" s="315"/>
      <c r="AE730" s="32" t="str" cm="1">
        <f t="array" ref="AE730">IFERROR(IF(INDEX(SubsidieTabel!$AD$1:$AG$12,MATCH($F730,SubsidieTabel!$AD$1:$AD$12,0),IFERROR(MATCH(Methode_Keuze,SubsidieTabel!$AD$1:$AG$1,0),2))&lt;&gt;1=TRUE,"ja",""),"")</f>
        <v/>
      </c>
    </row>
    <row r="731" spans="1:31" x14ac:dyDescent="0.25">
      <c r="A731" s="316"/>
      <c r="B731" s="317" t="str">
        <f>IF(A731&lt;&gt;"",_xlfn.MAXIFS($B$1:B730,$A$1:A730,A731)+1,"")</f>
        <v/>
      </c>
      <c r="C731" s="296"/>
      <c r="D731" s="296"/>
      <c r="E731" s="296"/>
      <c r="F731" s="296"/>
      <c r="G731" s="326"/>
      <c r="H731" s="324"/>
      <c r="I731" s="325"/>
      <c r="J731" s="325"/>
      <c r="K731" s="318"/>
      <c r="L731" s="318"/>
      <c r="M731" s="319" t="str">
        <f>IFERROR(VLOOKUP(H731,Lijsten!$H$1:$I$100,2,0),"")</f>
        <v/>
      </c>
      <c r="N731" s="319" t="str">
        <f ca="1">IFERROR(IF(VLOOKUP(F731,Kostentypen!$A$3:$E$21,3,0)=0,"",IF(OR(F731="Arbeidskosten",F731="Vergoeding"),VLOOKUP(G731,Tb_KostenTypen[],2,0),VLOOKUP(F731,Kostentypen!$A$3:$E$20,3,0))),"")</f>
        <v/>
      </c>
      <c r="O731" s="320" t="str" cm="1">
        <f t="array" ref="O731">_xlfn.IFNA(IF(INDEX(Tb_KostenOptiesDB[],MATCH($F731,Tb_KostenOptiesDB[KostenOptie],0),IFERROR(MATCH(Methode_Keuze,Tb_KostenOptiesDB[#Headers],0),2))=1,_xlfn.SWITCH($N731,"Uurtarief",IF(OR(AND(RIGHT($F731,3)="IKS",VLOOKUP($M731,DB_Loonkosten,2,0)="Ja"),AND(RIGHT($F731,3)&lt;&gt;"IKS",VLOOKUP($M731,DB_Loonkosten,2,0)="Nee")),IFERROR(VLOOKUP($M731,DB_Loonkosten,24,0),""),0),"Vast tarief",IF(LEFT(F731,8)="Bijdrage",VLOOKUP($F731,Tb_KostenTypen[],MATCH(Lijsten!$P$1,Tb_KostenTypen[#Headers],0),0),VLOOKUP($G731,Lijsten!L:P,MATCH(Lijsten!$P$1,Kop_Tarief_Vast,0),0))),""),"")</f>
        <v/>
      </c>
      <c r="P731" s="320" t="str" cm="1">
        <f t="array" ref="P731">_xlfn.IFNA(IF(INDEX(Tb_KostenOptiesDB[],MATCH($F731,Tb_KostenOptiesDB[KostenOptie],0),IFERROR(MATCH(Methode_Keuze,Tb_KostenOptiesDB[#Headers],0),2))=1,_xlfn.SWITCH($N731,"Uurtarief",IF(OR(AND(RIGHT($F731,3)="IKS",VLOOKUP($M731,DB_Loonkosten,2,0)="Ja"),AND(RIGHT($F731,3)&lt;&gt;"IKS",VLOOKUP($M731,DB_Loonkosten,2,0)="Nee")),IFERROR(VLOOKUP($M731,DB_Loonkosten,25,0),""),0),"Vast tarief",IF(LEFT(F731,8)="Bijdrage",VLOOKUP($F731,Tb_KostenTypen[],MATCH(Lijsten!$P$1,Tb_KostenTypen[#Headers],0),0),VLOOKUP($G731,Lijsten!L:P,MATCH(Lijsten!$P$1,Kop_Tarief_Vast,0),0))),""),"")</f>
        <v/>
      </c>
      <c r="Q731" s="359"/>
      <c r="R731" s="359"/>
      <c r="S731" s="321"/>
      <c r="T731" s="321"/>
      <c r="U731" s="373" t="str">
        <f t="shared" si="44"/>
        <v/>
      </c>
      <c r="V731" s="314" t="str">
        <f t="shared" si="45"/>
        <v/>
      </c>
      <c r="W731" s="314" t="str" cm="1">
        <f t="array" aca="1" ref="W731" ca="1">IFERROR(IF(AE731&lt;&gt;"ja",_xlfn.IFNA(_xlfn.IFS(AND(O731&lt;&gt;"",F731&lt;&gt;"",RIGHT($N731,6)="tarief",F731="Vergoeding"),SUM(O731)*FLOOR(SUM(Q731),0.0001),AND(O731&lt;&gt;"",F731&lt;&gt;"",RIGHT($N731,6)="tarief"),SUM(O731)*FLOOR(SUM(Q731),0.01),S731&gt;0,IF(F731&lt;&gt;"",FLOOR(SUM(S731),0.01),"")),""),""),"")</f>
        <v/>
      </c>
      <c r="X731" s="314" t="str" cm="1">
        <f t="array" aca="1" ref="X731" ca="1">IFERROR(IF(AE731&lt;&gt;"ja",_xlfn.IFNA(_xlfn.IFS(AND(P731&lt;&gt;"",R731&lt;&gt;"",RIGHT($N731,6)="tarief",F731="Vergoeding"),SUM(P731)*FLOOR(SUM(R731),0.0001),AND(P731&lt;&gt;"",R731&lt;&gt;"",RIGHT($N731,6)="tarief"),P731*FLOOR(R731,0.01),T731&gt;0,FLOOR(SUM(T731),0.01)),""),""),"")</f>
        <v/>
      </c>
      <c r="Y731" s="314" t="str">
        <f t="shared" ca="1" si="46"/>
        <v/>
      </c>
      <c r="Z731" s="314" t="str" cm="1">
        <f t="array" aca="1" ref="Z731" ca="1">IFERROR(_xlfn.IFS(OR(F731="",LEFT(Methode_Keuze,4)="Geen",Methode_Keuze=""),"",AND(W731&lt;&gt;"",F731&lt;&gt;"Arbeidskosten"),W731*VLOOKUP(F731,Tb_ProjectKosten[],MATCH(Tb_ProjectKosten[[#Headers],[Forfait_Percentage]],Tb_ProjectKosten[#Headers],0),0),AND(F731="Arbeidskosten",G731&lt;&gt;""),IFERROR(W731*VLOOKUP(G731,Tb_KostenTypen[],3,0)*VLOOKUP(F731,Tb_ProjectKosten[],MATCH(Tb_ProjectKosten[[#Headers],[Forfait_Percentage]],Tb_ProjectKosten[#Headers],0),0),""),W731 &lt;=0,0),"")</f>
        <v/>
      </c>
      <c r="AA731" s="314" t="str" cm="1">
        <f t="array" aca="1" ref="AA731" ca="1">IFERROR(_xlfn.IFS(OR(F731="",LEFT(Methode_Keuze,4)="Geen",Methode_Keuze=""),"",AND(X731&lt;&gt;"",F731&lt;&gt;"Arbeidskosten"),X731*VLOOKUP(F731,Tb_ProjectKosten[],MATCH(Tb_ProjectKosten[[#Headers],[Forfait_Percentage]],Tb_ProjectKosten[#Headers],0),0),AND(F731="Arbeidskosten",G731&lt;&gt;""),IFERROR(X731*VLOOKUP(G731,Tb_KostenTypen[],3,0)*VLOOKUP(F731,Tb_ProjectKosten[],MATCH(Tb_ProjectKosten[[#Headers],[Forfait_Percentage]],Tb_ProjectKosten[#Headers],0),0),""),X731 &lt;=0,0),"")</f>
        <v/>
      </c>
      <c r="AB731" s="314" t="str">
        <f t="shared" ca="1" si="47"/>
        <v/>
      </c>
      <c r="AC731" s="322"/>
      <c r="AD731" s="315"/>
      <c r="AE731" s="32" t="str" cm="1">
        <f t="array" ref="AE731">IFERROR(IF(INDEX(SubsidieTabel!$AD$1:$AG$12,MATCH($F731,SubsidieTabel!$AD$1:$AD$12,0),IFERROR(MATCH(Methode_Keuze,SubsidieTabel!$AD$1:$AG$1,0),2))&lt;&gt;1=TRUE,"ja",""),"")</f>
        <v/>
      </c>
    </row>
    <row r="732" spans="1:31" x14ac:dyDescent="0.25">
      <c r="A732" s="316"/>
      <c r="B732" s="317" t="str">
        <f>IF(A732&lt;&gt;"",_xlfn.MAXIFS($B$1:B731,$A$1:A731,A732)+1,"")</f>
        <v/>
      </c>
      <c r="C732" s="296"/>
      <c r="D732" s="296"/>
      <c r="E732" s="296"/>
      <c r="F732" s="296"/>
      <c r="G732" s="326"/>
      <c r="H732" s="324"/>
      <c r="I732" s="325"/>
      <c r="J732" s="325"/>
      <c r="K732" s="318"/>
      <c r="L732" s="318"/>
      <c r="M732" s="319" t="str">
        <f>IFERROR(VLOOKUP(H732,Lijsten!$H$1:$I$100,2,0),"")</f>
        <v/>
      </c>
      <c r="N732" s="319" t="str">
        <f ca="1">IFERROR(IF(VLOOKUP(F732,Kostentypen!$A$3:$E$21,3,0)=0,"",IF(OR(F732="Arbeidskosten",F732="Vergoeding"),VLOOKUP(G732,Tb_KostenTypen[],2,0),VLOOKUP(F732,Kostentypen!$A$3:$E$20,3,0))),"")</f>
        <v/>
      </c>
      <c r="O732" s="320" t="str" cm="1">
        <f t="array" ref="O732">_xlfn.IFNA(IF(INDEX(Tb_KostenOptiesDB[],MATCH($F732,Tb_KostenOptiesDB[KostenOptie],0),IFERROR(MATCH(Methode_Keuze,Tb_KostenOptiesDB[#Headers],0),2))=1,_xlfn.SWITCH($N732,"Uurtarief",IF(OR(AND(RIGHT($F732,3)="IKS",VLOOKUP($M732,DB_Loonkosten,2,0)="Ja"),AND(RIGHT($F732,3)&lt;&gt;"IKS",VLOOKUP($M732,DB_Loonkosten,2,0)="Nee")),IFERROR(VLOOKUP($M732,DB_Loonkosten,24,0),""),0),"Vast tarief",IF(LEFT(F732,8)="Bijdrage",VLOOKUP($F732,Tb_KostenTypen[],MATCH(Lijsten!$P$1,Tb_KostenTypen[#Headers],0),0),VLOOKUP($G732,Lijsten!L:P,MATCH(Lijsten!$P$1,Kop_Tarief_Vast,0),0))),""),"")</f>
        <v/>
      </c>
      <c r="P732" s="320" t="str" cm="1">
        <f t="array" ref="P732">_xlfn.IFNA(IF(INDEX(Tb_KostenOptiesDB[],MATCH($F732,Tb_KostenOptiesDB[KostenOptie],0),IFERROR(MATCH(Methode_Keuze,Tb_KostenOptiesDB[#Headers],0),2))=1,_xlfn.SWITCH($N732,"Uurtarief",IF(OR(AND(RIGHT($F732,3)="IKS",VLOOKUP($M732,DB_Loonkosten,2,0)="Ja"),AND(RIGHT($F732,3)&lt;&gt;"IKS",VLOOKUP($M732,DB_Loonkosten,2,0)="Nee")),IFERROR(VLOOKUP($M732,DB_Loonkosten,25,0),""),0),"Vast tarief",IF(LEFT(F732,8)="Bijdrage",VLOOKUP($F732,Tb_KostenTypen[],MATCH(Lijsten!$P$1,Tb_KostenTypen[#Headers],0),0),VLOOKUP($G732,Lijsten!L:P,MATCH(Lijsten!$P$1,Kop_Tarief_Vast,0),0))),""),"")</f>
        <v/>
      </c>
      <c r="Q732" s="359"/>
      <c r="R732" s="359"/>
      <c r="S732" s="321"/>
      <c r="T732" s="321"/>
      <c r="U732" s="373" t="str">
        <f t="shared" si="44"/>
        <v/>
      </c>
      <c r="V732" s="314" t="str">
        <f t="shared" si="45"/>
        <v/>
      </c>
      <c r="W732" s="314" t="str" cm="1">
        <f t="array" aca="1" ref="W732" ca="1">IFERROR(IF(AE732&lt;&gt;"ja",_xlfn.IFNA(_xlfn.IFS(AND(O732&lt;&gt;"",F732&lt;&gt;"",RIGHT($N732,6)="tarief",F732="Vergoeding"),SUM(O732)*FLOOR(SUM(Q732),0.0001),AND(O732&lt;&gt;"",F732&lt;&gt;"",RIGHT($N732,6)="tarief"),SUM(O732)*FLOOR(SUM(Q732),0.01),S732&gt;0,IF(F732&lt;&gt;"",FLOOR(SUM(S732),0.01),"")),""),""),"")</f>
        <v/>
      </c>
      <c r="X732" s="314" t="str" cm="1">
        <f t="array" aca="1" ref="X732" ca="1">IFERROR(IF(AE732&lt;&gt;"ja",_xlfn.IFNA(_xlfn.IFS(AND(P732&lt;&gt;"",R732&lt;&gt;"",RIGHT($N732,6)="tarief",F732="Vergoeding"),SUM(P732)*FLOOR(SUM(R732),0.0001),AND(P732&lt;&gt;"",R732&lt;&gt;"",RIGHT($N732,6)="tarief"),P732*FLOOR(R732,0.01),T732&gt;0,FLOOR(SUM(T732),0.01)),""),""),"")</f>
        <v/>
      </c>
      <c r="Y732" s="314" t="str">
        <f t="shared" ca="1" si="46"/>
        <v/>
      </c>
      <c r="Z732" s="314" t="str" cm="1">
        <f t="array" aca="1" ref="Z732" ca="1">IFERROR(_xlfn.IFS(OR(F732="",LEFT(Methode_Keuze,4)="Geen",Methode_Keuze=""),"",AND(W732&lt;&gt;"",F732&lt;&gt;"Arbeidskosten"),W732*VLOOKUP(F732,Tb_ProjectKosten[],MATCH(Tb_ProjectKosten[[#Headers],[Forfait_Percentage]],Tb_ProjectKosten[#Headers],0),0),AND(F732="Arbeidskosten",G732&lt;&gt;""),IFERROR(W732*VLOOKUP(G732,Tb_KostenTypen[],3,0)*VLOOKUP(F732,Tb_ProjectKosten[],MATCH(Tb_ProjectKosten[[#Headers],[Forfait_Percentage]],Tb_ProjectKosten[#Headers],0),0),""),W732 &lt;=0,0),"")</f>
        <v/>
      </c>
      <c r="AA732" s="314" t="str" cm="1">
        <f t="array" aca="1" ref="AA732" ca="1">IFERROR(_xlfn.IFS(OR(F732="",LEFT(Methode_Keuze,4)="Geen",Methode_Keuze=""),"",AND(X732&lt;&gt;"",F732&lt;&gt;"Arbeidskosten"),X732*VLOOKUP(F732,Tb_ProjectKosten[],MATCH(Tb_ProjectKosten[[#Headers],[Forfait_Percentage]],Tb_ProjectKosten[#Headers],0),0),AND(F732="Arbeidskosten",G732&lt;&gt;""),IFERROR(X732*VLOOKUP(G732,Tb_KostenTypen[],3,0)*VLOOKUP(F732,Tb_ProjectKosten[],MATCH(Tb_ProjectKosten[[#Headers],[Forfait_Percentage]],Tb_ProjectKosten[#Headers],0),0),""),X732 &lt;=0,0),"")</f>
        <v/>
      </c>
      <c r="AB732" s="314" t="str">
        <f t="shared" ca="1" si="47"/>
        <v/>
      </c>
      <c r="AC732" s="322"/>
      <c r="AD732" s="315"/>
      <c r="AE732" s="32" t="str" cm="1">
        <f t="array" ref="AE732">IFERROR(IF(INDEX(SubsidieTabel!$AD$1:$AG$12,MATCH($F732,SubsidieTabel!$AD$1:$AD$12,0),IFERROR(MATCH(Methode_Keuze,SubsidieTabel!$AD$1:$AG$1,0),2))&lt;&gt;1=TRUE,"ja",""),"")</f>
        <v/>
      </c>
    </row>
    <row r="733" spans="1:31" x14ac:dyDescent="0.25">
      <c r="A733" s="316"/>
      <c r="B733" s="317" t="str">
        <f>IF(A733&lt;&gt;"",_xlfn.MAXIFS($B$1:B732,$A$1:A732,A733)+1,"")</f>
        <v/>
      </c>
      <c r="C733" s="296"/>
      <c r="D733" s="296"/>
      <c r="E733" s="296"/>
      <c r="F733" s="296"/>
      <c r="G733" s="326"/>
      <c r="H733" s="324"/>
      <c r="I733" s="325"/>
      <c r="J733" s="325"/>
      <c r="K733" s="318"/>
      <c r="L733" s="318"/>
      <c r="M733" s="319" t="str">
        <f>IFERROR(VLOOKUP(H733,Lijsten!$H$1:$I$100,2,0),"")</f>
        <v/>
      </c>
      <c r="N733" s="319" t="str">
        <f ca="1">IFERROR(IF(VLOOKUP(F733,Kostentypen!$A$3:$E$21,3,0)=0,"",IF(OR(F733="Arbeidskosten",F733="Vergoeding"),VLOOKUP(G733,Tb_KostenTypen[],2,0),VLOOKUP(F733,Kostentypen!$A$3:$E$20,3,0))),"")</f>
        <v/>
      </c>
      <c r="O733" s="320" t="str" cm="1">
        <f t="array" ref="O733">_xlfn.IFNA(IF(INDEX(Tb_KostenOptiesDB[],MATCH($F733,Tb_KostenOptiesDB[KostenOptie],0),IFERROR(MATCH(Methode_Keuze,Tb_KostenOptiesDB[#Headers],0),2))=1,_xlfn.SWITCH($N733,"Uurtarief",IF(OR(AND(RIGHT($F733,3)="IKS",VLOOKUP($M733,DB_Loonkosten,2,0)="Ja"),AND(RIGHT($F733,3)&lt;&gt;"IKS",VLOOKUP($M733,DB_Loonkosten,2,0)="Nee")),IFERROR(VLOOKUP($M733,DB_Loonkosten,24,0),""),0),"Vast tarief",IF(LEFT(F733,8)="Bijdrage",VLOOKUP($F733,Tb_KostenTypen[],MATCH(Lijsten!$P$1,Tb_KostenTypen[#Headers],0),0),VLOOKUP($G733,Lijsten!L:P,MATCH(Lijsten!$P$1,Kop_Tarief_Vast,0),0))),""),"")</f>
        <v/>
      </c>
      <c r="P733" s="320" t="str" cm="1">
        <f t="array" ref="P733">_xlfn.IFNA(IF(INDEX(Tb_KostenOptiesDB[],MATCH($F733,Tb_KostenOptiesDB[KostenOptie],0),IFERROR(MATCH(Methode_Keuze,Tb_KostenOptiesDB[#Headers],0),2))=1,_xlfn.SWITCH($N733,"Uurtarief",IF(OR(AND(RIGHT($F733,3)="IKS",VLOOKUP($M733,DB_Loonkosten,2,0)="Ja"),AND(RIGHT($F733,3)&lt;&gt;"IKS",VLOOKUP($M733,DB_Loonkosten,2,0)="Nee")),IFERROR(VLOOKUP($M733,DB_Loonkosten,25,0),""),0),"Vast tarief",IF(LEFT(F733,8)="Bijdrage",VLOOKUP($F733,Tb_KostenTypen[],MATCH(Lijsten!$P$1,Tb_KostenTypen[#Headers],0),0),VLOOKUP($G733,Lijsten!L:P,MATCH(Lijsten!$P$1,Kop_Tarief_Vast,0),0))),""),"")</f>
        <v/>
      </c>
      <c r="Q733" s="359"/>
      <c r="R733" s="359"/>
      <c r="S733" s="321"/>
      <c r="T733" s="321"/>
      <c r="U733" s="373" t="str">
        <f t="shared" si="44"/>
        <v/>
      </c>
      <c r="V733" s="314" t="str">
        <f t="shared" si="45"/>
        <v/>
      </c>
      <c r="W733" s="314" t="str" cm="1">
        <f t="array" aca="1" ref="W733" ca="1">IFERROR(IF(AE733&lt;&gt;"ja",_xlfn.IFNA(_xlfn.IFS(AND(O733&lt;&gt;"",F733&lt;&gt;"",RIGHT($N733,6)="tarief",F733="Vergoeding"),SUM(O733)*FLOOR(SUM(Q733),0.0001),AND(O733&lt;&gt;"",F733&lt;&gt;"",RIGHT($N733,6)="tarief"),SUM(O733)*FLOOR(SUM(Q733),0.01),S733&gt;0,IF(F733&lt;&gt;"",FLOOR(SUM(S733),0.01),"")),""),""),"")</f>
        <v/>
      </c>
      <c r="X733" s="314" t="str" cm="1">
        <f t="array" aca="1" ref="X733" ca="1">IFERROR(IF(AE733&lt;&gt;"ja",_xlfn.IFNA(_xlfn.IFS(AND(P733&lt;&gt;"",R733&lt;&gt;"",RIGHT($N733,6)="tarief",F733="Vergoeding"),SUM(P733)*FLOOR(SUM(R733),0.0001),AND(P733&lt;&gt;"",R733&lt;&gt;"",RIGHT($N733,6)="tarief"),P733*FLOOR(R733,0.01),T733&gt;0,FLOOR(SUM(T733),0.01)),""),""),"")</f>
        <v/>
      </c>
      <c r="Y733" s="314" t="str">
        <f t="shared" ca="1" si="46"/>
        <v/>
      </c>
      <c r="Z733" s="314" t="str" cm="1">
        <f t="array" aca="1" ref="Z733" ca="1">IFERROR(_xlfn.IFS(OR(F733="",LEFT(Methode_Keuze,4)="Geen",Methode_Keuze=""),"",AND(W733&lt;&gt;"",F733&lt;&gt;"Arbeidskosten"),W733*VLOOKUP(F733,Tb_ProjectKosten[],MATCH(Tb_ProjectKosten[[#Headers],[Forfait_Percentage]],Tb_ProjectKosten[#Headers],0),0),AND(F733="Arbeidskosten",G733&lt;&gt;""),IFERROR(W733*VLOOKUP(G733,Tb_KostenTypen[],3,0)*VLOOKUP(F733,Tb_ProjectKosten[],MATCH(Tb_ProjectKosten[[#Headers],[Forfait_Percentage]],Tb_ProjectKosten[#Headers],0),0),""),W733 &lt;=0,0),"")</f>
        <v/>
      </c>
      <c r="AA733" s="314" t="str" cm="1">
        <f t="array" aca="1" ref="AA733" ca="1">IFERROR(_xlfn.IFS(OR(F733="",LEFT(Methode_Keuze,4)="Geen",Methode_Keuze=""),"",AND(X733&lt;&gt;"",F733&lt;&gt;"Arbeidskosten"),X733*VLOOKUP(F733,Tb_ProjectKosten[],MATCH(Tb_ProjectKosten[[#Headers],[Forfait_Percentage]],Tb_ProjectKosten[#Headers],0),0),AND(F733="Arbeidskosten",G733&lt;&gt;""),IFERROR(X733*VLOOKUP(G733,Tb_KostenTypen[],3,0)*VLOOKUP(F733,Tb_ProjectKosten[],MATCH(Tb_ProjectKosten[[#Headers],[Forfait_Percentage]],Tb_ProjectKosten[#Headers],0),0),""),X733 &lt;=0,0),"")</f>
        <v/>
      </c>
      <c r="AB733" s="314" t="str">
        <f t="shared" ca="1" si="47"/>
        <v/>
      </c>
      <c r="AC733" s="322"/>
      <c r="AD733" s="315"/>
      <c r="AE733" s="32" t="str" cm="1">
        <f t="array" ref="AE733">IFERROR(IF(INDEX(SubsidieTabel!$AD$1:$AG$12,MATCH($F733,SubsidieTabel!$AD$1:$AD$12,0),IFERROR(MATCH(Methode_Keuze,SubsidieTabel!$AD$1:$AG$1,0),2))&lt;&gt;1=TRUE,"ja",""),"")</f>
        <v/>
      </c>
    </row>
    <row r="734" spans="1:31" x14ac:dyDescent="0.25">
      <c r="A734" s="316"/>
      <c r="B734" s="317" t="str">
        <f>IF(A734&lt;&gt;"",_xlfn.MAXIFS($B$1:B733,$A$1:A733,A734)+1,"")</f>
        <v/>
      </c>
      <c r="C734" s="296"/>
      <c r="D734" s="296"/>
      <c r="E734" s="296"/>
      <c r="F734" s="296"/>
      <c r="G734" s="326"/>
      <c r="H734" s="324"/>
      <c r="I734" s="325"/>
      <c r="J734" s="325"/>
      <c r="K734" s="318"/>
      <c r="L734" s="318"/>
      <c r="M734" s="319" t="str">
        <f>IFERROR(VLOOKUP(H734,Lijsten!$H$1:$I$100,2,0),"")</f>
        <v/>
      </c>
      <c r="N734" s="319" t="str">
        <f ca="1">IFERROR(IF(VLOOKUP(F734,Kostentypen!$A$3:$E$21,3,0)=0,"",IF(OR(F734="Arbeidskosten",F734="Vergoeding"),VLOOKUP(G734,Tb_KostenTypen[],2,0),VLOOKUP(F734,Kostentypen!$A$3:$E$20,3,0))),"")</f>
        <v/>
      </c>
      <c r="O734" s="320" t="str" cm="1">
        <f t="array" ref="O734">_xlfn.IFNA(IF(INDEX(Tb_KostenOptiesDB[],MATCH($F734,Tb_KostenOptiesDB[KostenOptie],0),IFERROR(MATCH(Methode_Keuze,Tb_KostenOptiesDB[#Headers],0),2))=1,_xlfn.SWITCH($N734,"Uurtarief",IF(OR(AND(RIGHT($F734,3)="IKS",VLOOKUP($M734,DB_Loonkosten,2,0)="Ja"),AND(RIGHT($F734,3)&lt;&gt;"IKS",VLOOKUP($M734,DB_Loonkosten,2,0)="Nee")),IFERROR(VLOOKUP($M734,DB_Loonkosten,24,0),""),0),"Vast tarief",IF(LEFT(F734,8)="Bijdrage",VLOOKUP($F734,Tb_KostenTypen[],MATCH(Lijsten!$P$1,Tb_KostenTypen[#Headers],0),0),VLOOKUP($G734,Lijsten!L:P,MATCH(Lijsten!$P$1,Kop_Tarief_Vast,0),0))),""),"")</f>
        <v/>
      </c>
      <c r="P734" s="320" t="str" cm="1">
        <f t="array" ref="P734">_xlfn.IFNA(IF(INDEX(Tb_KostenOptiesDB[],MATCH($F734,Tb_KostenOptiesDB[KostenOptie],0),IFERROR(MATCH(Methode_Keuze,Tb_KostenOptiesDB[#Headers],0),2))=1,_xlfn.SWITCH($N734,"Uurtarief",IF(OR(AND(RIGHT($F734,3)="IKS",VLOOKUP($M734,DB_Loonkosten,2,0)="Ja"),AND(RIGHT($F734,3)&lt;&gt;"IKS",VLOOKUP($M734,DB_Loonkosten,2,0)="Nee")),IFERROR(VLOOKUP($M734,DB_Loonkosten,25,0),""),0),"Vast tarief",IF(LEFT(F734,8)="Bijdrage",VLOOKUP($F734,Tb_KostenTypen[],MATCH(Lijsten!$P$1,Tb_KostenTypen[#Headers],0),0),VLOOKUP($G734,Lijsten!L:P,MATCH(Lijsten!$P$1,Kop_Tarief_Vast,0),0))),""),"")</f>
        <v/>
      </c>
      <c r="Q734" s="359"/>
      <c r="R734" s="359"/>
      <c r="S734" s="321"/>
      <c r="T734" s="321"/>
      <c r="U734" s="373" t="str">
        <f t="shared" si="44"/>
        <v/>
      </c>
      <c r="V734" s="314" t="str">
        <f t="shared" si="45"/>
        <v/>
      </c>
      <c r="W734" s="314" t="str" cm="1">
        <f t="array" aca="1" ref="W734" ca="1">IFERROR(IF(AE734&lt;&gt;"ja",_xlfn.IFNA(_xlfn.IFS(AND(O734&lt;&gt;"",F734&lt;&gt;"",RIGHT($N734,6)="tarief",F734="Vergoeding"),SUM(O734)*FLOOR(SUM(Q734),0.0001),AND(O734&lt;&gt;"",F734&lt;&gt;"",RIGHT($N734,6)="tarief"),SUM(O734)*FLOOR(SUM(Q734),0.01),S734&gt;0,IF(F734&lt;&gt;"",FLOOR(SUM(S734),0.01),"")),""),""),"")</f>
        <v/>
      </c>
      <c r="X734" s="314" t="str" cm="1">
        <f t="array" aca="1" ref="X734" ca="1">IFERROR(IF(AE734&lt;&gt;"ja",_xlfn.IFNA(_xlfn.IFS(AND(P734&lt;&gt;"",R734&lt;&gt;"",RIGHT($N734,6)="tarief",F734="Vergoeding"),SUM(P734)*FLOOR(SUM(R734),0.0001),AND(P734&lt;&gt;"",R734&lt;&gt;"",RIGHT($N734,6)="tarief"),P734*FLOOR(R734,0.01),T734&gt;0,FLOOR(SUM(T734),0.01)),""),""),"")</f>
        <v/>
      </c>
      <c r="Y734" s="314" t="str">
        <f t="shared" ca="1" si="46"/>
        <v/>
      </c>
      <c r="Z734" s="314" t="str" cm="1">
        <f t="array" aca="1" ref="Z734" ca="1">IFERROR(_xlfn.IFS(OR(F734="",LEFT(Methode_Keuze,4)="Geen",Methode_Keuze=""),"",AND(W734&lt;&gt;"",F734&lt;&gt;"Arbeidskosten"),W734*VLOOKUP(F734,Tb_ProjectKosten[],MATCH(Tb_ProjectKosten[[#Headers],[Forfait_Percentage]],Tb_ProjectKosten[#Headers],0),0),AND(F734="Arbeidskosten",G734&lt;&gt;""),IFERROR(W734*VLOOKUP(G734,Tb_KostenTypen[],3,0)*VLOOKUP(F734,Tb_ProjectKosten[],MATCH(Tb_ProjectKosten[[#Headers],[Forfait_Percentage]],Tb_ProjectKosten[#Headers],0),0),""),W734 &lt;=0,0),"")</f>
        <v/>
      </c>
      <c r="AA734" s="314" t="str" cm="1">
        <f t="array" aca="1" ref="AA734" ca="1">IFERROR(_xlfn.IFS(OR(F734="",LEFT(Methode_Keuze,4)="Geen",Methode_Keuze=""),"",AND(X734&lt;&gt;"",F734&lt;&gt;"Arbeidskosten"),X734*VLOOKUP(F734,Tb_ProjectKosten[],MATCH(Tb_ProjectKosten[[#Headers],[Forfait_Percentage]],Tb_ProjectKosten[#Headers],0),0),AND(F734="Arbeidskosten",G734&lt;&gt;""),IFERROR(X734*VLOOKUP(G734,Tb_KostenTypen[],3,0)*VLOOKUP(F734,Tb_ProjectKosten[],MATCH(Tb_ProjectKosten[[#Headers],[Forfait_Percentage]],Tb_ProjectKosten[#Headers],0),0),""),X734 &lt;=0,0),"")</f>
        <v/>
      </c>
      <c r="AB734" s="314" t="str">
        <f t="shared" ca="1" si="47"/>
        <v/>
      </c>
      <c r="AC734" s="322"/>
      <c r="AD734" s="315"/>
      <c r="AE734" s="32" t="str" cm="1">
        <f t="array" ref="AE734">IFERROR(IF(INDEX(SubsidieTabel!$AD$1:$AG$12,MATCH($F734,SubsidieTabel!$AD$1:$AD$12,0),IFERROR(MATCH(Methode_Keuze,SubsidieTabel!$AD$1:$AG$1,0),2))&lt;&gt;1=TRUE,"ja",""),"")</f>
        <v/>
      </c>
    </row>
    <row r="735" spans="1:31" x14ac:dyDescent="0.25">
      <c r="A735" s="316"/>
      <c r="B735" s="317" t="str">
        <f>IF(A735&lt;&gt;"",_xlfn.MAXIFS($B$1:B734,$A$1:A734,A735)+1,"")</f>
        <v/>
      </c>
      <c r="C735" s="296"/>
      <c r="D735" s="296"/>
      <c r="E735" s="296"/>
      <c r="F735" s="296"/>
      <c r="G735" s="326"/>
      <c r="H735" s="324"/>
      <c r="I735" s="325"/>
      <c r="J735" s="325"/>
      <c r="K735" s="318"/>
      <c r="L735" s="318"/>
      <c r="M735" s="319" t="str">
        <f>IFERROR(VLOOKUP(H735,Lijsten!$H$1:$I$100,2,0),"")</f>
        <v/>
      </c>
      <c r="N735" s="319" t="str">
        <f ca="1">IFERROR(IF(VLOOKUP(F735,Kostentypen!$A$3:$E$21,3,0)=0,"",IF(OR(F735="Arbeidskosten",F735="Vergoeding"),VLOOKUP(G735,Tb_KostenTypen[],2,0),VLOOKUP(F735,Kostentypen!$A$3:$E$20,3,0))),"")</f>
        <v/>
      </c>
      <c r="O735" s="320" t="str" cm="1">
        <f t="array" ref="O735">_xlfn.IFNA(IF(INDEX(Tb_KostenOptiesDB[],MATCH($F735,Tb_KostenOptiesDB[KostenOptie],0),IFERROR(MATCH(Methode_Keuze,Tb_KostenOptiesDB[#Headers],0),2))=1,_xlfn.SWITCH($N735,"Uurtarief",IF(OR(AND(RIGHT($F735,3)="IKS",VLOOKUP($M735,DB_Loonkosten,2,0)="Ja"),AND(RIGHT($F735,3)&lt;&gt;"IKS",VLOOKUP($M735,DB_Loonkosten,2,0)="Nee")),IFERROR(VLOOKUP($M735,DB_Loonkosten,24,0),""),0),"Vast tarief",IF(LEFT(F735,8)="Bijdrage",VLOOKUP($F735,Tb_KostenTypen[],MATCH(Lijsten!$P$1,Tb_KostenTypen[#Headers],0),0),VLOOKUP($G735,Lijsten!L:P,MATCH(Lijsten!$P$1,Kop_Tarief_Vast,0),0))),""),"")</f>
        <v/>
      </c>
      <c r="P735" s="320" t="str" cm="1">
        <f t="array" ref="P735">_xlfn.IFNA(IF(INDEX(Tb_KostenOptiesDB[],MATCH($F735,Tb_KostenOptiesDB[KostenOptie],0),IFERROR(MATCH(Methode_Keuze,Tb_KostenOptiesDB[#Headers],0),2))=1,_xlfn.SWITCH($N735,"Uurtarief",IF(OR(AND(RIGHT($F735,3)="IKS",VLOOKUP($M735,DB_Loonkosten,2,0)="Ja"),AND(RIGHT($F735,3)&lt;&gt;"IKS",VLOOKUP($M735,DB_Loonkosten,2,0)="Nee")),IFERROR(VLOOKUP($M735,DB_Loonkosten,25,0),""),0),"Vast tarief",IF(LEFT(F735,8)="Bijdrage",VLOOKUP($F735,Tb_KostenTypen[],MATCH(Lijsten!$P$1,Tb_KostenTypen[#Headers],0),0),VLOOKUP($G735,Lijsten!L:P,MATCH(Lijsten!$P$1,Kop_Tarief_Vast,0),0))),""),"")</f>
        <v/>
      </c>
      <c r="Q735" s="359"/>
      <c r="R735" s="359"/>
      <c r="S735" s="321"/>
      <c r="T735" s="321"/>
      <c r="U735" s="373" t="str">
        <f t="shared" si="44"/>
        <v/>
      </c>
      <c r="V735" s="314" t="str">
        <f t="shared" si="45"/>
        <v/>
      </c>
      <c r="W735" s="314" t="str" cm="1">
        <f t="array" aca="1" ref="W735" ca="1">IFERROR(IF(AE735&lt;&gt;"ja",_xlfn.IFNA(_xlfn.IFS(AND(O735&lt;&gt;"",F735&lt;&gt;"",RIGHT($N735,6)="tarief",F735="Vergoeding"),SUM(O735)*FLOOR(SUM(Q735),0.0001),AND(O735&lt;&gt;"",F735&lt;&gt;"",RIGHT($N735,6)="tarief"),SUM(O735)*FLOOR(SUM(Q735),0.01),S735&gt;0,IF(F735&lt;&gt;"",FLOOR(SUM(S735),0.01),"")),""),""),"")</f>
        <v/>
      </c>
      <c r="X735" s="314" t="str" cm="1">
        <f t="array" aca="1" ref="X735" ca="1">IFERROR(IF(AE735&lt;&gt;"ja",_xlfn.IFNA(_xlfn.IFS(AND(P735&lt;&gt;"",R735&lt;&gt;"",RIGHT($N735,6)="tarief",F735="Vergoeding"),SUM(P735)*FLOOR(SUM(R735),0.0001),AND(P735&lt;&gt;"",R735&lt;&gt;"",RIGHT($N735,6)="tarief"),P735*FLOOR(R735,0.01),T735&gt;0,FLOOR(SUM(T735),0.01)),""),""),"")</f>
        <v/>
      </c>
      <c r="Y735" s="314" t="str">
        <f t="shared" ca="1" si="46"/>
        <v/>
      </c>
      <c r="Z735" s="314" t="str" cm="1">
        <f t="array" aca="1" ref="Z735" ca="1">IFERROR(_xlfn.IFS(OR(F735="",LEFT(Methode_Keuze,4)="Geen",Methode_Keuze=""),"",AND(W735&lt;&gt;"",F735&lt;&gt;"Arbeidskosten"),W735*VLOOKUP(F735,Tb_ProjectKosten[],MATCH(Tb_ProjectKosten[[#Headers],[Forfait_Percentage]],Tb_ProjectKosten[#Headers],0),0),AND(F735="Arbeidskosten",G735&lt;&gt;""),IFERROR(W735*VLOOKUP(G735,Tb_KostenTypen[],3,0)*VLOOKUP(F735,Tb_ProjectKosten[],MATCH(Tb_ProjectKosten[[#Headers],[Forfait_Percentage]],Tb_ProjectKosten[#Headers],0),0),""),W735 &lt;=0,0),"")</f>
        <v/>
      </c>
      <c r="AA735" s="314" t="str" cm="1">
        <f t="array" aca="1" ref="AA735" ca="1">IFERROR(_xlfn.IFS(OR(F735="",LEFT(Methode_Keuze,4)="Geen",Methode_Keuze=""),"",AND(X735&lt;&gt;"",F735&lt;&gt;"Arbeidskosten"),X735*VLOOKUP(F735,Tb_ProjectKosten[],MATCH(Tb_ProjectKosten[[#Headers],[Forfait_Percentage]],Tb_ProjectKosten[#Headers],0),0),AND(F735="Arbeidskosten",G735&lt;&gt;""),IFERROR(X735*VLOOKUP(G735,Tb_KostenTypen[],3,0)*VLOOKUP(F735,Tb_ProjectKosten[],MATCH(Tb_ProjectKosten[[#Headers],[Forfait_Percentage]],Tb_ProjectKosten[#Headers],0),0),""),X735 &lt;=0,0),"")</f>
        <v/>
      </c>
      <c r="AB735" s="314" t="str">
        <f t="shared" ca="1" si="47"/>
        <v/>
      </c>
      <c r="AC735" s="322"/>
      <c r="AD735" s="315"/>
      <c r="AE735" s="32" t="str" cm="1">
        <f t="array" ref="AE735">IFERROR(IF(INDEX(SubsidieTabel!$AD$1:$AG$12,MATCH($F735,SubsidieTabel!$AD$1:$AD$12,0),IFERROR(MATCH(Methode_Keuze,SubsidieTabel!$AD$1:$AG$1,0),2))&lt;&gt;1=TRUE,"ja",""),"")</f>
        <v/>
      </c>
    </row>
    <row r="736" spans="1:31" x14ac:dyDescent="0.25">
      <c r="A736" s="316"/>
      <c r="B736" s="317" t="str">
        <f>IF(A736&lt;&gt;"",_xlfn.MAXIFS($B$1:B735,$A$1:A735,A736)+1,"")</f>
        <v/>
      </c>
      <c r="C736" s="296"/>
      <c r="D736" s="296"/>
      <c r="E736" s="296"/>
      <c r="F736" s="296"/>
      <c r="G736" s="326"/>
      <c r="H736" s="324"/>
      <c r="I736" s="325"/>
      <c r="J736" s="325"/>
      <c r="K736" s="318"/>
      <c r="L736" s="318"/>
      <c r="M736" s="319" t="str">
        <f>IFERROR(VLOOKUP(H736,Lijsten!$H$1:$I$100,2,0),"")</f>
        <v/>
      </c>
      <c r="N736" s="319" t="str">
        <f ca="1">IFERROR(IF(VLOOKUP(F736,Kostentypen!$A$3:$E$21,3,0)=0,"",IF(OR(F736="Arbeidskosten",F736="Vergoeding"),VLOOKUP(G736,Tb_KostenTypen[],2,0),VLOOKUP(F736,Kostentypen!$A$3:$E$20,3,0))),"")</f>
        <v/>
      </c>
      <c r="O736" s="320" t="str" cm="1">
        <f t="array" ref="O736">_xlfn.IFNA(IF(INDEX(Tb_KostenOptiesDB[],MATCH($F736,Tb_KostenOptiesDB[KostenOptie],0),IFERROR(MATCH(Methode_Keuze,Tb_KostenOptiesDB[#Headers],0),2))=1,_xlfn.SWITCH($N736,"Uurtarief",IF(OR(AND(RIGHT($F736,3)="IKS",VLOOKUP($M736,DB_Loonkosten,2,0)="Ja"),AND(RIGHT($F736,3)&lt;&gt;"IKS",VLOOKUP($M736,DB_Loonkosten,2,0)="Nee")),IFERROR(VLOOKUP($M736,DB_Loonkosten,24,0),""),0),"Vast tarief",IF(LEFT(F736,8)="Bijdrage",VLOOKUP($F736,Tb_KostenTypen[],MATCH(Lijsten!$P$1,Tb_KostenTypen[#Headers],0),0),VLOOKUP($G736,Lijsten!L:P,MATCH(Lijsten!$P$1,Kop_Tarief_Vast,0),0))),""),"")</f>
        <v/>
      </c>
      <c r="P736" s="320" t="str" cm="1">
        <f t="array" ref="P736">_xlfn.IFNA(IF(INDEX(Tb_KostenOptiesDB[],MATCH($F736,Tb_KostenOptiesDB[KostenOptie],0),IFERROR(MATCH(Methode_Keuze,Tb_KostenOptiesDB[#Headers],0),2))=1,_xlfn.SWITCH($N736,"Uurtarief",IF(OR(AND(RIGHT($F736,3)="IKS",VLOOKUP($M736,DB_Loonkosten,2,0)="Ja"),AND(RIGHT($F736,3)&lt;&gt;"IKS",VLOOKUP($M736,DB_Loonkosten,2,0)="Nee")),IFERROR(VLOOKUP($M736,DB_Loonkosten,25,0),""),0),"Vast tarief",IF(LEFT(F736,8)="Bijdrage",VLOOKUP($F736,Tb_KostenTypen[],MATCH(Lijsten!$P$1,Tb_KostenTypen[#Headers],0),0),VLOOKUP($G736,Lijsten!L:P,MATCH(Lijsten!$P$1,Kop_Tarief_Vast,0),0))),""),"")</f>
        <v/>
      </c>
      <c r="Q736" s="359"/>
      <c r="R736" s="359"/>
      <c r="S736" s="321"/>
      <c r="T736" s="321"/>
      <c r="U736" s="373" t="str">
        <f t="shared" si="44"/>
        <v/>
      </c>
      <c r="V736" s="314" t="str">
        <f t="shared" si="45"/>
        <v/>
      </c>
      <c r="W736" s="314" t="str" cm="1">
        <f t="array" aca="1" ref="W736" ca="1">IFERROR(IF(AE736&lt;&gt;"ja",_xlfn.IFNA(_xlfn.IFS(AND(O736&lt;&gt;"",F736&lt;&gt;"",RIGHT($N736,6)="tarief",F736="Vergoeding"),SUM(O736)*FLOOR(SUM(Q736),0.0001),AND(O736&lt;&gt;"",F736&lt;&gt;"",RIGHT($N736,6)="tarief"),SUM(O736)*FLOOR(SUM(Q736),0.01),S736&gt;0,IF(F736&lt;&gt;"",FLOOR(SUM(S736),0.01),"")),""),""),"")</f>
        <v/>
      </c>
      <c r="X736" s="314" t="str" cm="1">
        <f t="array" aca="1" ref="X736" ca="1">IFERROR(IF(AE736&lt;&gt;"ja",_xlfn.IFNA(_xlfn.IFS(AND(P736&lt;&gt;"",R736&lt;&gt;"",RIGHT($N736,6)="tarief",F736="Vergoeding"),SUM(P736)*FLOOR(SUM(R736),0.0001),AND(P736&lt;&gt;"",R736&lt;&gt;"",RIGHT($N736,6)="tarief"),P736*FLOOR(R736,0.01),T736&gt;0,FLOOR(SUM(T736),0.01)),""),""),"")</f>
        <v/>
      </c>
      <c r="Y736" s="314" t="str">
        <f t="shared" ca="1" si="46"/>
        <v/>
      </c>
      <c r="Z736" s="314" t="str" cm="1">
        <f t="array" aca="1" ref="Z736" ca="1">IFERROR(_xlfn.IFS(OR(F736="",LEFT(Methode_Keuze,4)="Geen",Methode_Keuze=""),"",AND(W736&lt;&gt;"",F736&lt;&gt;"Arbeidskosten"),W736*VLOOKUP(F736,Tb_ProjectKosten[],MATCH(Tb_ProjectKosten[[#Headers],[Forfait_Percentage]],Tb_ProjectKosten[#Headers],0),0),AND(F736="Arbeidskosten",G736&lt;&gt;""),IFERROR(W736*VLOOKUP(G736,Tb_KostenTypen[],3,0)*VLOOKUP(F736,Tb_ProjectKosten[],MATCH(Tb_ProjectKosten[[#Headers],[Forfait_Percentage]],Tb_ProjectKosten[#Headers],0),0),""),W736 &lt;=0,0),"")</f>
        <v/>
      </c>
      <c r="AA736" s="314" t="str" cm="1">
        <f t="array" aca="1" ref="AA736" ca="1">IFERROR(_xlfn.IFS(OR(F736="",LEFT(Methode_Keuze,4)="Geen",Methode_Keuze=""),"",AND(X736&lt;&gt;"",F736&lt;&gt;"Arbeidskosten"),X736*VLOOKUP(F736,Tb_ProjectKosten[],MATCH(Tb_ProjectKosten[[#Headers],[Forfait_Percentage]],Tb_ProjectKosten[#Headers],0),0),AND(F736="Arbeidskosten",G736&lt;&gt;""),IFERROR(X736*VLOOKUP(G736,Tb_KostenTypen[],3,0)*VLOOKUP(F736,Tb_ProjectKosten[],MATCH(Tb_ProjectKosten[[#Headers],[Forfait_Percentage]],Tb_ProjectKosten[#Headers],0),0),""),X736 &lt;=0,0),"")</f>
        <v/>
      </c>
      <c r="AB736" s="314" t="str">
        <f t="shared" ca="1" si="47"/>
        <v/>
      </c>
      <c r="AC736" s="322"/>
      <c r="AD736" s="315"/>
      <c r="AE736" s="32" t="str" cm="1">
        <f t="array" ref="AE736">IFERROR(IF(INDEX(SubsidieTabel!$AD$1:$AG$12,MATCH($F736,SubsidieTabel!$AD$1:$AD$12,0),IFERROR(MATCH(Methode_Keuze,SubsidieTabel!$AD$1:$AG$1,0),2))&lt;&gt;1=TRUE,"ja",""),"")</f>
        <v/>
      </c>
    </row>
    <row r="737" spans="1:31" x14ac:dyDescent="0.25">
      <c r="A737" s="316"/>
      <c r="B737" s="317" t="str">
        <f>IF(A737&lt;&gt;"",_xlfn.MAXIFS($B$1:B736,$A$1:A736,A737)+1,"")</f>
        <v/>
      </c>
      <c r="C737" s="296"/>
      <c r="D737" s="296"/>
      <c r="E737" s="296"/>
      <c r="F737" s="296"/>
      <c r="G737" s="326"/>
      <c r="H737" s="324"/>
      <c r="I737" s="325"/>
      <c r="J737" s="325"/>
      <c r="K737" s="318"/>
      <c r="L737" s="318"/>
      <c r="M737" s="319" t="str">
        <f>IFERROR(VLOOKUP(H737,Lijsten!$H$1:$I$100,2,0),"")</f>
        <v/>
      </c>
      <c r="N737" s="319" t="str">
        <f ca="1">IFERROR(IF(VLOOKUP(F737,Kostentypen!$A$3:$E$21,3,0)=0,"",IF(OR(F737="Arbeidskosten",F737="Vergoeding"),VLOOKUP(G737,Tb_KostenTypen[],2,0),VLOOKUP(F737,Kostentypen!$A$3:$E$20,3,0))),"")</f>
        <v/>
      </c>
      <c r="O737" s="320" t="str" cm="1">
        <f t="array" ref="O737">_xlfn.IFNA(IF(INDEX(Tb_KostenOptiesDB[],MATCH($F737,Tb_KostenOptiesDB[KostenOptie],0),IFERROR(MATCH(Methode_Keuze,Tb_KostenOptiesDB[#Headers],0),2))=1,_xlfn.SWITCH($N737,"Uurtarief",IF(OR(AND(RIGHT($F737,3)="IKS",VLOOKUP($M737,DB_Loonkosten,2,0)="Ja"),AND(RIGHT($F737,3)&lt;&gt;"IKS",VLOOKUP($M737,DB_Loonkosten,2,0)="Nee")),IFERROR(VLOOKUP($M737,DB_Loonkosten,24,0),""),0),"Vast tarief",IF(LEFT(F737,8)="Bijdrage",VLOOKUP($F737,Tb_KostenTypen[],MATCH(Lijsten!$P$1,Tb_KostenTypen[#Headers],0),0),VLOOKUP($G737,Lijsten!L:P,MATCH(Lijsten!$P$1,Kop_Tarief_Vast,0),0))),""),"")</f>
        <v/>
      </c>
      <c r="P737" s="320" t="str" cm="1">
        <f t="array" ref="P737">_xlfn.IFNA(IF(INDEX(Tb_KostenOptiesDB[],MATCH($F737,Tb_KostenOptiesDB[KostenOptie],0),IFERROR(MATCH(Methode_Keuze,Tb_KostenOptiesDB[#Headers],0),2))=1,_xlfn.SWITCH($N737,"Uurtarief",IF(OR(AND(RIGHT($F737,3)="IKS",VLOOKUP($M737,DB_Loonkosten,2,0)="Ja"),AND(RIGHT($F737,3)&lt;&gt;"IKS",VLOOKUP($M737,DB_Loonkosten,2,0)="Nee")),IFERROR(VLOOKUP($M737,DB_Loonkosten,25,0),""),0),"Vast tarief",IF(LEFT(F737,8)="Bijdrage",VLOOKUP($F737,Tb_KostenTypen[],MATCH(Lijsten!$P$1,Tb_KostenTypen[#Headers],0),0),VLOOKUP($G737,Lijsten!L:P,MATCH(Lijsten!$P$1,Kop_Tarief_Vast,0),0))),""),"")</f>
        <v/>
      </c>
      <c r="Q737" s="359"/>
      <c r="R737" s="359"/>
      <c r="S737" s="321"/>
      <c r="T737" s="321"/>
      <c r="U737" s="373" t="str">
        <f t="shared" si="44"/>
        <v/>
      </c>
      <c r="V737" s="314" t="str">
        <f t="shared" si="45"/>
        <v/>
      </c>
      <c r="W737" s="314" t="str" cm="1">
        <f t="array" aca="1" ref="W737" ca="1">IFERROR(IF(AE737&lt;&gt;"ja",_xlfn.IFNA(_xlfn.IFS(AND(O737&lt;&gt;"",F737&lt;&gt;"",RIGHT($N737,6)="tarief",F737="Vergoeding"),SUM(O737)*FLOOR(SUM(Q737),0.0001),AND(O737&lt;&gt;"",F737&lt;&gt;"",RIGHT($N737,6)="tarief"),SUM(O737)*FLOOR(SUM(Q737),0.01),S737&gt;0,IF(F737&lt;&gt;"",FLOOR(SUM(S737),0.01),"")),""),""),"")</f>
        <v/>
      </c>
      <c r="X737" s="314" t="str" cm="1">
        <f t="array" aca="1" ref="X737" ca="1">IFERROR(IF(AE737&lt;&gt;"ja",_xlfn.IFNA(_xlfn.IFS(AND(P737&lt;&gt;"",R737&lt;&gt;"",RIGHT($N737,6)="tarief",F737="Vergoeding"),SUM(P737)*FLOOR(SUM(R737),0.0001),AND(P737&lt;&gt;"",R737&lt;&gt;"",RIGHT($N737,6)="tarief"),P737*FLOOR(R737,0.01),T737&gt;0,FLOOR(SUM(T737),0.01)),""),""),"")</f>
        <v/>
      </c>
      <c r="Y737" s="314" t="str">
        <f t="shared" ca="1" si="46"/>
        <v/>
      </c>
      <c r="Z737" s="314" t="str" cm="1">
        <f t="array" aca="1" ref="Z737" ca="1">IFERROR(_xlfn.IFS(OR(F737="",LEFT(Methode_Keuze,4)="Geen",Methode_Keuze=""),"",AND(W737&lt;&gt;"",F737&lt;&gt;"Arbeidskosten"),W737*VLOOKUP(F737,Tb_ProjectKosten[],MATCH(Tb_ProjectKosten[[#Headers],[Forfait_Percentage]],Tb_ProjectKosten[#Headers],0),0),AND(F737="Arbeidskosten",G737&lt;&gt;""),IFERROR(W737*VLOOKUP(G737,Tb_KostenTypen[],3,0)*VLOOKUP(F737,Tb_ProjectKosten[],MATCH(Tb_ProjectKosten[[#Headers],[Forfait_Percentage]],Tb_ProjectKosten[#Headers],0),0),""),W737 &lt;=0,0),"")</f>
        <v/>
      </c>
      <c r="AA737" s="314" t="str" cm="1">
        <f t="array" aca="1" ref="AA737" ca="1">IFERROR(_xlfn.IFS(OR(F737="",LEFT(Methode_Keuze,4)="Geen",Methode_Keuze=""),"",AND(X737&lt;&gt;"",F737&lt;&gt;"Arbeidskosten"),X737*VLOOKUP(F737,Tb_ProjectKosten[],MATCH(Tb_ProjectKosten[[#Headers],[Forfait_Percentage]],Tb_ProjectKosten[#Headers],0),0),AND(F737="Arbeidskosten",G737&lt;&gt;""),IFERROR(X737*VLOOKUP(G737,Tb_KostenTypen[],3,0)*VLOOKUP(F737,Tb_ProjectKosten[],MATCH(Tb_ProjectKosten[[#Headers],[Forfait_Percentage]],Tb_ProjectKosten[#Headers],0),0),""),X737 &lt;=0,0),"")</f>
        <v/>
      </c>
      <c r="AB737" s="314" t="str">
        <f t="shared" ca="1" si="47"/>
        <v/>
      </c>
      <c r="AC737" s="322"/>
      <c r="AD737" s="315"/>
      <c r="AE737" s="32" t="str" cm="1">
        <f t="array" ref="AE737">IFERROR(IF(INDEX(SubsidieTabel!$AD$1:$AG$12,MATCH($F737,SubsidieTabel!$AD$1:$AD$12,0),IFERROR(MATCH(Methode_Keuze,SubsidieTabel!$AD$1:$AG$1,0),2))&lt;&gt;1=TRUE,"ja",""),"")</f>
        <v/>
      </c>
    </row>
    <row r="738" spans="1:31" x14ac:dyDescent="0.25">
      <c r="A738" s="316"/>
      <c r="B738" s="317" t="str">
        <f>IF(A738&lt;&gt;"",_xlfn.MAXIFS($B$1:B737,$A$1:A737,A738)+1,"")</f>
        <v/>
      </c>
      <c r="C738" s="296"/>
      <c r="D738" s="296"/>
      <c r="E738" s="296"/>
      <c r="F738" s="296"/>
      <c r="G738" s="326"/>
      <c r="H738" s="324"/>
      <c r="I738" s="325"/>
      <c r="J738" s="325"/>
      <c r="K738" s="318"/>
      <c r="L738" s="318"/>
      <c r="M738" s="319" t="str">
        <f>IFERROR(VLOOKUP(H738,Lijsten!$H$1:$I$100,2,0),"")</f>
        <v/>
      </c>
      <c r="N738" s="319" t="str">
        <f ca="1">IFERROR(IF(VLOOKUP(F738,Kostentypen!$A$3:$E$21,3,0)=0,"",IF(OR(F738="Arbeidskosten",F738="Vergoeding"),VLOOKUP(G738,Tb_KostenTypen[],2,0),VLOOKUP(F738,Kostentypen!$A$3:$E$20,3,0))),"")</f>
        <v/>
      </c>
      <c r="O738" s="320" t="str" cm="1">
        <f t="array" ref="O738">_xlfn.IFNA(IF(INDEX(Tb_KostenOptiesDB[],MATCH($F738,Tb_KostenOptiesDB[KostenOptie],0),IFERROR(MATCH(Methode_Keuze,Tb_KostenOptiesDB[#Headers],0),2))=1,_xlfn.SWITCH($N738,"Uurtarief",IF(OR(AND(RIGHT($F738,3)="IKS",VLOOKUP($M738,DB_Loonkosten,2,0)="Ja"),AND(RIGHT($F738,3)&lt;&gt;"IKS",VLOOKUP($M738,DB_Loonkosten,2,0)="Nee")),IFERROR(VLOOKUP($M738,DB_Loonkosten,24,0),""),0),"Vast tarief",IF(LEFT(F738,8)="Bijdrage",VLOOKUP($F738,Tb_KostenTypen[],MATCH(Lijsten!$P$1,Tb_KostenTypen[#Headers],0),0),VLOOKUP($G738,Lijsten!L:P,MATCH(Lijsten!$P$1,Kop_Tarief_Vast,0),0))),""),"")</f>
        <v/>
      </c>
      <c r="P738" s="320" t="str" cm="1">
        <f t="array" ref="P738">_xlfn.IFNA(IF(INDEX(Tb_KostenOptiesDB[],MATCH($F738,Tb_KostenOptiesDB[KostenOptie],0),IFERROR(MATCH(Methode_Keuze,Tb_KostenOptiesDB[#Headers],0),2))=1,_xlfn.SWITCH($N738,"Uurtarief",IF(OR(AND(RIGHT($F738,3)="IKS",VLOOKUP($M738,DB_Loonkosten,2,0)="Ja"),AND(RIGHT($F738,3)&lt;&gt;"IKS",VLOOKUP($M738,DB_Loonkosten,2,0)="Nee")),IFERROR(VLOOKUP($M738,DB_Loonkosten,25,0),""),0),"Vast tarief",IF(LEFT(F738,8)="Bijdrage",VLOOKUP($F738,Tb_KostenTypen[],MATCH(Lijsten!$P$1,Tb_KostenTypen[#Headers],0),0),VLOOKUP($G738,Lijsten!L:P,MATCH(Lijsten!$P$1,Kop_Tarief_Vast,0),0))),""),"")</f>
        <v/>
      </c>
      <c r="Q738" s="359"/>
      <c r="R738" s="359"/>
      <c r="S738" s="321"/>
      <c r="T738" s="321"/>
      <c r="U738" s="373" t="str">
        <f t="shared" si="44"/>
        <v/>
      </c>
      <c r="V738" s="314" t="str">
        <f t="shared" si="45"/>
        <v/>
      </c>
      <c r="W738" s="314" t="str" cm="1">
        <f t="array" aca="1" ref="W738" ca="1">IFERROR(IF(AE738&lt;&gt;"ja",_xlfn.IFNA(_xlfn.IFS(AND(O738&lt;&gt;"",F738&lt;&gt;"",RIGHT($N738,6)="tarief",F738="Vergoeding"),SUM(O738)*FLOOR(SUM(Q738),0.0001),AND(O738&lt;&gt;"",F738&lt;&gt;"",RIGHT($N738,6)="tarief"),SUM(O738)*FLOOR(SUM(Q738),0.01),S738&gt;0,IF(F738&lt;&gt;"",FLOOR(SUM(S738),0.01),"")),""),""),"")</f>
        <v/>
      </c>
      <c r="X738" s="314" t="str" cm="1">
        <f t="array" aca="1" ref="X738" ca="1">IFERROR(IF(AE738&lt;&gt;"ja",_xlfn.IFNA(_xlfn.IFS(AND(P738&lt;&gt;"",R738&lt;&gt;"",RIGHT($N738,6)="tarief",F738="Vergoeding"),SUM(P738)*FLOOR(SUM(R738),0.0001),AND(P738&lt;&gt;"",R738&lt;&gt;"",RIGHT($N738,6)="tarief"),P738*FLOOR(R738,0.01),T738&gt;0,FLOOR(SUM(T738),0.01)),""),""),"")</f>
        <v/>
      </c>
      <c r="Y738" s="314" t="str">
        <f t="shared" ca="1" si="46"/>
        <v/>
      </c>
      <c r="Z738" s="314" t="str" cm="1">
        <f t="array" aca="1" ref="Z738" ca="1">IFERROR(_xlfn.IFS(OR(F738="",LEFT(Methode_Keuze,4)="Geen",Methode_Keuze=""),"",AND(W738&lt;&gt;"",F738&lt;&gt;"Arbeidskosten"),W738*VLOOKUP(F738,Tb_ProjectKosten[],MATCH(Tb_ProjectKosten[[#Headers],[Forfait_Percentage]],Tb_ProjectKosten[#Headers],0),0),AND(F738="Arbeidskosten",G738&lt;&gt;""),IFERROR(W738*VLOOKUP(G738,Tb_KostenTypen[],3,0)*VLOOKUP(F738,Tb_ProjectKosten[],MATCH(Tb_ProjectKosten[[#Headers],[Forfait_Percentage]],Tb_ProjectKosten[#Headers],0),0),""),W738 &lt;=0,0),"")</f>
        <v/>
      </c>
      <c r="AA738" s="314" t="str" cm="1">
        <f t="array" aca="1" ref="AA738" ca="1">IFERROR(_xlfn.IFS(OR(F738="",LEFT(Methode_Keuze,4)="Geen",Methode_Keuze=""),"",AND(X738&lt;&gt;"",F738&lt;&gt;"Arbeidskosten"),X738*VLOOKUP(F738,Tb_ProjectKosten[],MATCH(Tb_ProjectKosten[[#Headers],[Forfait_Percentage]],Tb_ProjectKosten[#Headers],0),0),AND(F738="Arbeidskosten",G738&lt;&gt;""),IFERROR(X738*VLOOKUP(G738,Tb_KostenTypen[],3,0)*VLOOKUP(F738,Tb_ProjectKosten[],MATCH(Tb_ProjectKosten[[#Headers],[Forfait_Percentage]],Tb_ProjectKosten[#Headers],0),0),""),X738 &lt;=0,0),"")</f>
        <v/>
      </c>
      <c r="AB738" s="314" t="str">
        <f t="shared" ca="1" si="47"/>
        <v/>
      </c>
      <c r="AC738" s="322"/>
      <c r="AD738" s="315"/>
      <c r="AE738" s="32" t="str" cm="1">
        <f t="array" ref="AE738">IFERROR(IF(INDEX(SubsidieTabel!$AD$1:$AG$12,MATCH($F738,SubsidieTabel!$AD$1:$AD$12,0),IFERROR(MATCH(Methode_Keuze,SubsidieTabel!$AD$1:$AG$1,0),2))&lt;&gt;1=TRUE,"ja",""),"")</f>
        <v/>
      </c>
    </row>
    <row r="739" spans="1:31" x14ac:dyDescent="0.25">
      <c r="A739" s="316"/>
      <c r="B739" s="317" t="str">
        <f>IF(A739&lt;&gt;"",_xlfn.MAXIFS($B$1:B738,$A$1:A738,A739)+1,"")</f>
        <v/>
      </c>
      <c r="C739" s="296"/>
      <c r="D739" s="296"/>
      <c r="E739" s="296"/>
      <c r="F739" s="296"/>
      <c r="G739" s="326"/>
      <c r="H739" s="324"/>
      <c r="I739" s="325"/>
      <c r="J739" s="325"/>
      <c r="K739" s="318"/>
      <c r="L739" s="318"/>
      <c r="M739" s="319" t="str">
        <f>IFERROR(VLOOKUP(H739,Lijsten!$H$1:$I$100,2,0),"")</f>
        <v/>
      </c>
      <c r="N739" s="319" t="str">
        <f ca="1">IFERROR(IF(VLOOKUP(F739,Kostentypen!$A$3:$E$21,3,0)=0,"",IF(OR(F739="Arbeidskosten",F739="Vergoeding"),VLOOKUP(G739,Tb_KostenTypen[],2,0),VLOOKUP(F739,Kostentypen!$A$3:$E$20,3,0))),"")</f>
        <v/>
      </c>
      <c r="O739" s="320" t="str" cm="1">
        <f t="array" ref="O739">_xlfn.IFNA(IF(INDEX(Tb_KostenOptiesDB[],MATCH($F739,Tb_KostenOptiesDB[KostenOptie],0),IFERROR(MATCH(Methode_Keuze,Tb_KostenOptiesDB[#Headers],0),2))=1,_xlfn.SWITCH($N739,"Uurtarief",IF(OR(AND(RIGHT($F739,3)="IKS",VLOOKUP($M739,DB_Loonkosten,2,0)="Ja"),AND(RIGHT($F739,3)&lt;&gt;"IKS",VLOOKUP($M739,DB_Loonkosten,2,0)="Nee")),IFERROR(VLOOKUP($M739,DB_Loonkosten,24,0),""),0),"Vast tarief",IF(LEFT(F739,8)="Bijdrage",VLOOKUP($F739,Tb_KostenTypen[],MATCH(Lijsten!$P$1,Tb_KostenTypen[#Headers],0),0),VLOOKUP($G739,Lijsten!L:P,MATCH(Lijsten!$P$1,Kop_Tarief_Vast,0),0))),""),"")</f>
        <v/>
      </c>
      <c r="P739" s="320" t="str" cm="1">
        <f t="array" ref="P739">_xlfn.IFNA(IF(INDEX(Tb_KostenOptiesDB[],MATCH($F739,Tb_KostenOptiesDB[KostenOptie],0),IFERROR(MATCH(Methode_Keuze,Tb_KostenOptiesDB[#Headers],0),2))=1,_xlfn.SWITCH($N739,"Uurtarief",IF(OR(AND(RIGHT($F739,3)="IKS",VLOOKUP($M739,DB_Loonkosten,2,0)="Ja"),AND(RIGHT($F739,3)&lt;&gt;"IKS",VLOOKUP($M739,DB_Loonkosten,2,0)="Nee")),IFERROR(VLOOKUP($M739,DB_Loonkosten,25,0),""),0),"Vast tarief",IF(LEFT(F739,8)="Bijdrage",VLOOKUP($F739,Tb_KostenTypen[],MATCH(Lijsten!$P$1,Tb_KostenTypen[#Headers],0),0),VLOOKUP($G739,Lijsten!L:P,MATCH(Lijsten!$P$1,Kop_Tarief_Vast,0),0))),""),"")</f>
        <v/>
      </c>
      <c r="Q739" s="359"/>
      <c r="R739" s="359"/>
      <c r="S739" s="321"/>
      <c r="T739" s="321"/>
      <c r="U739" s="373" t="str">
        <f t="shared" si="44"/>
        <v/>
      </c>
      <c r="V739" s="314" t="str">
        <f t="shared" si="45"/>
        <v/>
      </c>
      <c r="W739" s="314" t="str" cm="1">
        <f t="array" aca="1" ref="W739" ca="1">IFERROR(IF(AE739&lt;&gt;"ja",_xlfn.IFNA(_xlfn.IFS(AND(O739&lt;&gt;"",F739&lt;&gt;"",RIGHT($N739,6)="tarief",F739="Vergoeding"),SUM(O739)*FLOOR(SUM(Q739),0.0001),AND(O739&lt;&gt;"",F739&lt;&gt;"",RIGHT($N739,6)="tarief"),SUM(O739)*FLOOR(SUM(Q739),0.01),S739&gt;0,IF(F739&lt;&gt;"",FLOOR(SUM(S739),0.01),"")),""),""),"")</f>
        <v/>
      </c>
      <c r="X739" s="314" t="str" cm="1">
        <f t="array" aca="1" ref="X739" ca="1">IFERROR(IF(AE739&lt;&gt;"ja",_xlfn.IFNA(_xlfn.IFS(AND(P739&lt;&gt;"",R739&lt;&gt;"",RIGHT($N739,6)="tarief",F739="Vergoeding"),SUM(P739)*FLOOR(SUM(R739),0.0001),AND(P739&lt;&gt;"",R739&lt;&gt;"",RIGHT($N739,6)="tarief"),P739*FLOOR(R739,0.01),T739&gt;0,FLOOR(SUM(T739),0.01)),""),""),"")</f>
        <v/>
      </c>
      <c r="Y739" s="314" t="str">
        <f t="shared" ca="1" si="46"/>
        <v/>
      </c>
      <c r="Z739" s="314" t="str" cm="1">
        <f t="array" aca="1" ref="Z739" ca="1">IFERROR(_xlfn.IFS(OR(F739="",LEFT(Methode_Keuze,4)="Geen",Methode_Keuze=""),"",AND(W739&lt;&gt;"",F739&lt;&gt;"Arbeidskosten"),W739*VLOOKUP(F739,Tb_ProjectKosten[],MATCH(Tb_ProjectKosten[[#Headers],[Forfait_Percentage]],Tb_ProjectKosten[#Headers],0),0),AND(F739="Arbeidskosten",G739&lt;&gt;""),IFERROR(W739*VLOOKUP(G739,Tb_KostenTypen[],3,0)*VLOOKUP(F739,Tb_ProjectKosten[],MATCH(Tb_ProjectKosten[[#Headers],[Forfait_Percentage]],Tb_ProjectKosten[#Headers],0),0),""),W739 &lt;=0,0),"")</f>
        <v/>
      </c>
      <c r="AA739" s="314" t="str" cm="1">
        <f t="array" aca="1" ref="AA739" ca="1">IFERROR(_xlfn.IFS(OR(F739="",LEFT(Methode_Keuze,4)="Geen",Methode_Keuze=""),"",AND(X739&lt;&gt;"",F739&lt;&gt;"Arbeidskosten"),X739*VLOOKUP(F739,Tb_ProjectKosten[],MATCH(Tb_ProjectKosten[[#Headers],[Forfait_Percentage]],Tb_ProjectKosten[#Headers],0),0),AND(F739="Arbeidskosten",G739&lt;&gt;""),IFERROR(X739*VLOOKUP(G739,Tb_KostenTypen[],3,0)*VLOOKUP(F739,Tb_ProjectKosten[],MATCH(Tb_ProjectKosten[[#Headers],[Forfait_Percentage]],Tb_ProjectKosten[#Headers],0),0),""),X739 &lt;=0,0),"")</f>
        <v/>
      </c>
      <c r="AB739" s="314" t="str">
        <f t="shared" ca="1" si="47"/>
        <v/>
      </c>
      <c r="AC739" s="322"/>
      <c r="AD739" s="315"/>
      <c r="AE739" s="32" t="str" cm="1">
        <f t="array" ref="AE739">IFERROR(IF(INDEX(SubsidieTabel!$AD$1:$AG$12,MATCH($F739,SubsidieTabel!$AD$1:$AD$12,0),IFERROR(MATCH(Methode_Keuze,SubsidieTabel!$AD$1:$AG$1,0),2))&lt;&gt;1=TRUE,"ja",""),"")</f>
        <v/>
      </c>
    </row>
    <row r="740" spans="1:31" x14ac:dyDescent="0.25">
      <c r="A740" s="316"/>
      <c r="B740" s="317" t="str">
        <f>IF(A740&lt;&gt;"",_xlfn.MAXIFS($B$1:B739,$A$1:A739,A740)+1,"")</f>
        <v/>
      </c>
      <c r="C740" s="296"/>
      <c r="D740" s="296"/>
      <c r="E740" s="296"/>
      <c r="F740" s="296"/>
      <c r="G740" s="326"/>
      <c r="H740" s="324"/>
      <c r="I740" s="325"/>
      <c r="J740" s="325"/>
      <c r="K740" s="318"/>
      <c r="L740" s="318"/>
      <c r="M740" s="319" t="str">
        <f>IFERROR(VLOOKUP(H740,Lijsten!$H$1:$I$100,2,0),"")</f>
        <v/>
      </c>
      <c r="N740" s="319" t="str">
        <f ca="1">IFERROR(IF(VLOOKUP(F740,Kostentypen!$A$3:$E$21,3,0)=0,"",IF(OR(F740="Arbeidskosten",F740="Vergoeding"),VLOOKUP(G740,Tb_KostenTypen[],2,0),VLOOKUP(F740,Kostentypen!$A$3:$E$20,3,0))),"")</f>
        <v/>
      </c>
      <c r="O740" s="320" t="str" cm="1">
        <f t="array" ref="O740">_xlfn.IFNA(IF(INDEX(Tb_KostenOptiesDB[],MATCH($F740,Tb_KostenOptiesDB[KostenOptie],0),IFERROR(MATCH(Methode_Keuze,Tb_KostenOptiesDB[#Headers],0),2))=1,_xlfn.SWITCH($N740,"Uurtarief",IF(OR(AND(RIGHT($F740,3)="IKS",VLOOKUP($M740,DB_Loonkosten,2,0)="Ja"),AND(RIGHT($F740,3)&lt;&gt;"IKS",VLOOKUP($M740,DB_Loonkosten,2,0)="Nee")),IFERROR(VLOOKUP($M740,DB_Loonkosten,24,0),""),0),"Vast tarief",IF(LEFT(F740,8)="Bijdrage",VLOOKUP($F740,Tb_KostenTypen[],MATCH(Lijsten!$P$1,Tb_KostenTypen[#Headers],0),0),VLOOKUP($G740,Lijsten!L:P,MATCH(Lijsten!$P$1,Kop_Tarief_Vast,0),0))),""),"")</f>
        <v/>
      </c>
      <c r="P740" s="320" t="str" cm="1">
        <f t="array" ref="P740">_xlfn.IFNA(IF(INDEX(Tb_KostenOptiesDB[],MATCH($F740,Tb_KostenOptiesDB[KostenOptie],0),IFERROR(MATCH(Methode_Keuze,Tb_KostenOptiesDB[#Headers],0),2))=1,_xlfn.SWITCH($N740,"Uurtarief",IF(OR(AND(RIGHT($F740,3)="IKS",VLOOKUP($M740,DB_Loonkosten,2,0)="Ja"),AND(RIGHT($F740,3)&lt;&gt;"IKS",VLOOKUP($M740,DB_Loonkosten,2,0)="Nee")),IFERROR(VLOOKUP($M740,DB_Loonkosten,25,0),""),0),"Vast tarief",IF(LEFT(F740,8)="Bijdrage",VLOOKUP($F740,Tb_KostenTypen[],MATCH(Lijsten!$P$1,Tb_KostenTypen[#Headers],0),0),VLOOKUP($G740,Lijsten!L:P,MATCH(Lijsten!$P$1,Kop_Tarief_Vast,0),0))),""),"")</f>
        <v/>
      </c>
      <c r="Q740" s="359"/>
      <c r="R740" s="359"/>
      <c r="S740" s="321"/>
      <c r="T740" s="321"/>
      <c r="U740" s="373" t="str">
        <f t="shared" si="44"/>
        <v/>
      </c>
      <c r="V740" s="314" t="str">
        <f t="shared" si="45"/>
        <v/>
      </c>
      <c r="W740" s="314" t="str" cm="1">
        <f t="array" aca="1" ref="W740" ca="1">IFERROR(IF(AE740&lt;&gt;"ja",_xlfn.IFNA(_xlfn.IFS(AND(O740&lt;&gt;"",F740&lt;&gt;"",RIGHT($N740,6)="tarief",F740="Vergoeding"),SUM(O740)*FLOOR(SUM(Q740),0.0001),AND(O740&lt;&gt;"",F740&lt;&gt;"",RIGHT($N740,6)="tarief"),SUM(O740)*FLOOR(SUM(Q740),0.01),S740&gt;0,IF(F740&lt;&gt;"",FLOOR(SUM(S740),0.01),"")),""),""),"")</f>
        <v/>
      </c>
      <c r="X740" s="314" t="str" cm="1">
        <f t="array" aca="1" ref="X740" ca="1">IFERROR(IF(AE740&lt;&gt;"ja",_xlfn.IFNA(_xlfn.IFS(AND(P740&lt;&gt;"",R740&lt;&gt;"",RIGHT($N740,6)="tarief",F740="Vergoeding"),SUM(P740)*FLOOR(SUM(R740),0.0001),AND(P740&lt;&gt;"",R740&lt;&gt;"",RIGHT($N740,6)="tarief"),P740*FLOOR(R740,0.01),T740&gt;0,FLOOR(SUM(T740),0.01)),""),""),"")</f>
        <v/>
      </c>
      <c r="Y740" s="314" t="str">
        <f t="shared" ca="1" si="46"/>
        <v/>
      </c>
      <c r="Z740" s="314" t="str" cm="1">
        <f t="array" aca="1" ref="Z740" ca="1">IFERROR(_xlfn.IFS(OR(F740="",LEFT(Methode_Keuze,4)="Geen",Methode_Keuze=""),"",AND(W740&lt;&gt;"",F740&lt;&gt;"Arbeidskosten"),W740*VLOOKUP(F740,Tb_ProjectKosten[],MATCH(Tb_ProjectKosten[[#Headers],[Forfait_Percentage]],Tb_ProjectKosten[#Headers],0),0),AND(F740="Arbeidskosten",G740&lt;&gt;""),IFERROR(W740*VLOOKUP(G740,Tb_KostenTypen[],3,0)*VLOOKUP(F740,Tb_ProjectKosten[],MATCH(Tb_ProjectKosten[[#Headers],[Forfait_Percentage]],Tb_ProjectKosten[#Headers],0),0),""),W740 &lt;=0,0),"")</f>
        <v/>
      </c>
      <c r="AA740" s="314" t="str" cm="1">
        <f t="array" aca="1" ref="AA740" ca="1">IFERROR(_xlfn.IFS(OR(F740="",LEFT(Methode_Keuze,4)="Geen",Methode_Keuze=""),"",AND(X740&lt;&gt;"",F740&lt;&gt;"Arbeidskosten"),X740*VLOOKUP(F740,Tb_ProjectKosten[],MATCH(Tb_ProjectKosten[[#Headers],[Forfait_Percentage]],Tb_ProjectKosten[#Headers],0),0),AND(F740="Arbeidskosten",G740&lt;&gt;""),IFERROR(X740*VLOOKUP(G740,Tb_KostenTypen[],3,0)*VLOOKUP(F740,Tb_ProjectKosten[],MATCH(Tb_ProjectKosten[[#Headers],[Forfait_Percentage]],Tb_ProjectKosten[#Headers],0),0),""),X740 &lt;=0,0),"")</f>
        <v/>
      </c>
      <c r="AB740" s="314" t="str">
        <f t="shared" ca="1" si="47"/>
        <v/>
      </c>
      <c r="AC740" s="322"/>
      <c r="AD740" s="315"/>
      <c r="AE740" s="32" t="str" cm="1">
        <f t="array" ref="AE740">IFERROR(IF(INDEX(SubsidieTabel!$AD$1:$AG$12,MATCH($F740,SubsidieTabel!$AD$1:$AD$12,0),IFERROR(MATCH(Methode_Keuze,SubsidieTabel!$AD$1:$AG$1,0),2))&lt;&gt;1=TRUE,"ja",""),"")</f>
        <v/>
      </c>
    </row>
    <row r="741" spans="1:31" x14ac:dyDescent="0.25">
      <c r="A741" s="316"/>
      <c r="B741" s="317" t="str">
        <f>IF(A741&lt;&gt;"",_xlfn.MAXIFS($B$1:B740,$A$1:A740,A741)+1,"")</f>
        <v/>
      </c>
      <c r="C741" s="296"/>
      <c r="D741" s="296"/>
      <c r="E741" s="296"/>
      <c r="F741" s="296"/>
      <c r="G741" s="326"/>
      <c r="H741" s="324"/>
      <c r="I741" s="325"/>
      <c r="J741" s="325"/>
      <c r="K741" s="318"/>
      <c r="L741" s="318"/>
      <c r="M741" s="319" t="str">
        <f>IFERROR(VLOOKUP(H741,Lijsten!$H$1:$I$100,2,0),"")</f>
        <v/>
      </c>
      <c r="N741" s="319" t="str">
        <f ca="1">IFERROR(IF(VLOOKUP(F741,Kostentypen!$A$3:$E$21,3,0)=0,"",IF(OR(F741="Arbeidskosten",F741="Vergoeding"),VLOOKUP(G741,Tb_KostenTypen[],2,0),VLOOKUP(F741,Kostentypen!$A$3:$E$20,3,0))),"")</f>
        <v/>
      </c>
      <c r="O741" s="320" t="str" cm="1">
        <f t="array" ref="O741">_xlfn.IFNA(IF(INDEX(Tb_KostenOptiesDB[],MATCH($F741,Tb_KostenOptiesDB[KostenOptie],0),IFERROR(MATCH(Methode_Keuze,Tb_KostenOptiesDB[#Headers],0),2))=1,_xlfn.SWITCH($N741,"Uurtarief",IF(OR(AND(RIGHT($F741,3)="IKS",VLOOKUP($M741,DB_Loonkosten,2,0)="Ja"),AND(RIGHT($F741,3)&lt;&gt;"IKS",VLOOKUP($M741,DB_Loonkosten,2,0)="Nee")),IFERROR(VLOOKUP($M741,DB_Loonkosten,24,0),""),0),"Vast tarief",IF(LEFT(F741,8)="Bijdrage",VLOOKUP($F741,Tb_KostenTypen[],MATCH(Lijsten!$P$1,Tb_KostenTypen[#Headers],0),0),VLOOKUP($G741,Lijsten!L:P,MATCH(Lijsten!$P$1,Kop_Tarief_Vast,0),0))),""),"")</f>
        <v/>
      </c>
      <c r="P741" s="320" t="str" cm="1">
        <f t="array" ref="P741">_xlfn.IFNA(IF(INDEX(Tb_KostenOptiesDB[],MATCH($F741,Tb_KostenOptiesDB[KostenOptie],0),IFERROR(MATCH(Methode_Keuze,Tb_KostenOptiesDB[#Headers],0),2))=1,_xlfn.SWITCH($N741,"Uurtarief",IF(OR(AND(RIGHT($F741,3)="IKS",VLOOKUP($M741,DB_Loonkosten,2,0)="Ja"),AND(RIGHT($F741,3)&lt;&gt;"IKS",VLOOKUP($M741,DB_Loonkosten,2,0)="Nee")),IFERROR(VLOOKUP($M741,DB_Loonkosten,25,0),""),0),"Vast tarief",IF(LEFT(F741,8)="Bijdrage",VLOOKUP($F741,Tb_KostenTypen[],MATCH(Lijsten!$P$1,Tb_KostenTypen[#Headers],0),0),VLOOKUP($G741,Lijsten!L:P,MATCH(Lijsten!$P$1,Kop_Tarief_Vast,0),0))),""),"")</f>
        <v/>
      </c>
      <c r="Q741" s="359"/>
      <c r="R741" s="359"/>
      <c r="S741" s="321"/>
      <c r="T741" s="321"/>
      <c r="U741" s="373" t="str">
        <f t="shared" si="44"/>
        <v/>
      </c>
      <c r="V741" s="314" t="str">
        <f t="shared" si="45"/>
        <v/>
      </c>
      <c r="W741" s="314" t="str" cm="1">
        <f t="array" aca="1" ref="W741" ca="1">IFERROR(IF(AE741&lt;&gt;"ja",_xlfn.IFNA(_xlfn.IFS(AND(O741&lt;&gt;"",F741&lt;&gt;"",RIGHT($N741,6)="tarief",F741="Vergoeding"),SUM(O741)*FLOOR(SUM(Q741),0.0001),AND(O741&lt;&gt;"",F741&lt;&gt;"",RIGHT($N741,6)="tarief"),SUM(O741)*FLOOR(SUM(Q741),0.01),S741&gt;0,IF(F741&lt;&gt;"",FLOOR(SUM(S741),0.01),"")),""),""),"")</f>
        <v/>
      </c>
      <c r="X741" s="314" t="str" cm="1">
        <f t="array" aca="1" ref="X741" ca="1">IFERROR(IF(AE741&lt;&gt;"ja",_xlfn.IFNA(_xlfn.IFS(AND(P741&lt;&gt;"",R741&lt;&gt;"",RIGHT($N741,6)="tarief",F741="Vergoeding"),SUM(P741)*FLOOR(SUM(R741),0.0001),AND(P741&lt;&gt;"",R741&lt;&gt;"",RIGHT($N741,6)="tarief"),P741*FLOOR(R741,0.01),T741&gt;0,FLOOR(SUM(T741),0.01)),""),""),"")</f>
        <v/>
      </c>
      <c r="Y741" s="314" t="str">
        <f t="shared" ca="1" si="46"/>
        <v/>
      </c>
      <c r="Z741" s="314" t="str" cm="1">
        <f t="array" aca="1" ref="Z741" ca="1">IFERROR(_xlfn.IFS(OR(F741="",LEFT(Methode_Keuze,4)="Geen",Methode_Keuze=""),"",AND(W741&lt;&gt;"",F741&lt;&gt;"Arbeidskosten"),W741*VLOOKUP(F741,Tb_ProjectKosten[],MATCH(Tb_ProjectKosten[[#Headers],[Forfait_Percentage]],Tb_ProjectKosten[#Headers],0),0),AND(F741="Arbeidskosten",G741&lt;&gt;""),IFERROR(W741*VLOOKUP(G741,Tb_KostenTypen[],3,0)*VLOOKUP(F741,Tb_ProjectKosten[],MATCH(Tb_ProjectKosten[[#Headers],[Forfait_Percentage]],Tb_ProjectKosten[#Headers],0),0),""),W741 &lt;=0,0),"")</f>
        <v/>
      </c>
      <c r="AA741" s="314" t="str" cm="1">
        <f t="array" aca="1" ref="AA741" ca="1">IFERROR(_xlfn.IFS(OR(F741="",LEFT(Methode_Keuze,4)="Geen",Methode_Keuze=""),"",AND(X741&lt;&gt;"",F741&lt;&gt;"Arbeidskosten"),X741*VLOOKUP(F741,Tb_ProjectKosten[],MATCH(Tb_ProjectKosten[[#Headers],[Forfait_Percentage]],Tb_ProjectKosten[#Headers],0),0),AND(F741="Arbeidskosten",G741&lt;&gt;""),IFERROR(X741*VLOOKUP(G741,Tb_KostenTypen[],3,0)*VLOOKUP(F741,Tb_ProjectKosten[],MATCH(Tb_ProjectKosten[[#Headers],[Forfait_Percentage]],Tb_ProjectKosten[#Headers],0),0),""),X741 &lt;=0,0),"")</f>
        <v/>
      </c>
      <c r="AB741" s="314" t="str">
        <f t="shared" ca="1" si="47"/>
        <v/>
      </c>
      <c r="AC741" s="322"/>
      <c r="AD741" s="315"/>
      <c r="AE741" s="32" t="str" cm="1">
        <f t="array" ref="AE741">IFERROR(IF(INDEX(SubsidieTabel!$AD$1:$AG$12,MATCH($F741,SubsidieTabel!$AD$1:$AD$12,0),IFERROR(MATCH(Methode_Keuze,SubsidieTabel!$AD$1:$AG$1,0),2))&lt;&gt;1=TRUE,"ja",""),"")</f>
        <v/>
      </c>
    </row>
    <row r="742" spans="1:31" x14ac:dyDescent="0.25">
      <c r="A742" s="316"/>
      <c r="B742" s="317" t="str">
        <f>IF(A742&lt;&gt;"",_xlfn.MAXIFS($B$1:B741,$A$1:A741,A742)+1,"")</f>
        <v/>
      </c>
      <c r="C742" s="296"/>
      <c r="D742" s="296"/>
      <c r="E742" s="296"/>
      <c r="F742" s="296"/>
      <c r="G742" s="326"/>
      <c r="H742" s="324"/>
      <c r="I742" s="325"/>
      <c r="J742" s="325"/>
      <c r="K742" s="318"/>
      <c r="L742" s="318"/>
      <c r="M742" s="319" t="str">
        <f>IFERROR(VLOOKUP(H742,Lijsten!$H$1:$I$100,2,0),"")</f>
        <v/>
      </c>
      <c r="N742" s="319" t="str">
        <f ca="1">IFERROR(IF(VLOOKUP(F742,Kostentypen!$A$3:$E$21,3,0)=0,"",IF(OR(F742="Arbeidskosten",F742="Vergoeding"),VLOOKUP(G742,Tb_KostenTypen[],2,0),VLOOKUP(F742,Kostentypen!$A$3:$E$20,3,0))),"")</f>
        <v/>
      </c>
      <c r="O742" s="320" t="str" cm="1">
        <f t="array" ref="O742">_xlfn.IFNA(IF(INDEX(Tb_KostenOptiesDB[],MATCH($F742,Tb_KostenOptiesDB[KostenOptie],0),IFERROR(MATCH(Methode_Keuze,Tb_KostenOptiesDB[#Headers],0),2))=1,_xlfn.SWITCH($N742,"Uurtarief",IF(OR(AND(RIGHT($F742,3)="IKS",VLOOKUP($M742,DB_Loonkosten,2,0)="Ja"),AND(RIGHT($F742,3)&lt;&gt;"IKS",VLOOKUP($M742,DB_Loonkosten,2,0)="Nee")),IFERROR(VLOOKUP($M742,DB_Loonkosten,24,0),""),0),"Vast tarief",IF(LEFT(F742,8)="Bijdrage",VLOOKUP($F742,Tb_KostenTypen[],MATCH(Lijsten!$P$1,Tb_KostenTypen[#Headers],0),0),VLOOKUP($G742,Lijsten!L:P,MATCH(Lijsten!$P$1,Kop_Tarief_Vast,0),0))),""),"")</f>
        <v/>
      </c>
      <c r="P742" s="320" t="str" cm="1">
        <f t="array" ref="P742">_xlfn.IFNA(IF(INDEX(Tb_KostenOptiesDB[],MATCH($F742,Tb_KostenOptiesDB[KostenOptie],0),IFERROR(MATCH(Methode_Keuze,Tb_KostenOptiesDB[#Headers],0),2))=1,_xlfn.SWITCH($N742,"Uurtarief",IF(OR(AND(RIGHT($F742,3)="IKS",VLOOKUP($M742,DB_Loonkosten,2,0)="Ja"),AND(RIGHT($F742,3)&lt;&gt;"IKS",VLOOKUP($M742,DB_Loonkosten,2,0)="Nee")),IFERROR(VLOOKUP($M742,DB_Loonkosten,25,0),""),0),"Vast tarief",IF(LEFT(F742,8)="Bijdrage",VLOOKUP($F742,Tb_KostenTypen[],MATCH(Lijsten!$P$1,Tb_KostenTypen[#Headers],0),0),VLOOKUP($G742,Lijsten!L:P,MATCH(Lijsten!$P$1,Kop_Tarief_Vast,0),0))),""),"")</f>
        <v/>
      </c>
      <c r="Q742" s="359"/>
      <c r="R742" s="359"/>
      <c r="S742" s="321"/>
      <c r="T742" s="321"/>
      <c r="U742" s="373" t="str">
        <f t="shared" si="44"/>
        <v/>
      </c>
      <c r="V742" s="314" t="str">
        <f t="shared" si="45"/>
        <v/>
      </c>
      <c r="W742" s="314" t="str" cm="1">
        <f t="array" aca="1" ref="W742" ca="1">IFERROR(IF(AE742&lt;&gt;"ja",_xlfn.IFNA(_xlfn.IFS(AND(O742&lt;&gt;"",F742&lt;&gt;"",RIGHT($N742,6)="tarief",F742="Vergoeding"),SUM(O742)*FLOOR(SUM(Q742),0.0001),AND(O742&lt;&gt;"",F742&lt;&gt;"",RIGHT($N742,6)="tarief"),SUM(O742)*FLOOR(SUM(Q742),0.01),S742&gt;0,IF(F742&lt;&gt;"",FLOOR(SUM(S742),0.01),"")),""),""),"")</f>
        <v/>
      </c>
      <c r="X742" s="314" t="str" cm="1">
        <f t="array" aca="1" ref="X742" ca="1">IFERROR(IF(AE742&lt;&gt;"ja",_xlfn.IFNA(_xlfn.IFS(AND(P742&lt;&gt;"",R742&lt;&gt;"",RIGHT($N742,6)="tarief",F742="Vergoeding"),SUM(P742)*FLOOR(SUM(R742),0.0001),AND(P742&lt;&gt;"",R742&lt;&gt;"",RIGHT($N742,6)="tarief"),P742*FLOOR(R742,0.01),T742&gt;0,FLOOR(SUM(T742),0.01)),""),""),"")</f>
        <v/>
      </c>
      <c r="Y742" s="314" t="str">
        <f t="shared" ca="1" si="46"/>
        <v/>
      </c>
      <c r="Z742" s="314" t="str" cm="1">
        <f t="array" aca="1" ref="Z742" ca="1">IFERROR(_xlfn.IFS(OR(F742="",LEFT(Methode_Keuze,4)="Geen",Methode_Keuze=""),"",AND(W742&lt;&gt;"",F742&lt;&gt;"Arbeidskosten"),W742*VLOOKUP(F742,Tb_ProjectKosten[],MATCH(Tb_ProjectKosten[[#Headers],[Forfait_Percentage]],Tb_ProjectKosten[#Headers],0),0),AND(F742="Arbeidskosten",G742&lt;&gt;""),IFERROR(W742*VLOOKUP(G742,Tb_KostenTypen[],3,0)*VLOOKUP(F742,Tb_ProjectKosten[],MATCH(Tb_ProjectKosten[[#Headers],[Forfait_Percentage]],Tb_ProjectKosten[#Headers],0),0),""),W742 &lt;=0,0),"")</f>
        <v/>
      </c>
      <c r="AA742" s="314" t="str" cm="1">
        <f t="array" aca="1" ref="AA742" ca="1">IFERROR(_xlfn.IFS(OR(F742="",LEFT(Methode_Keuze,4)="Geen",Methode_Keuze=""),"",AND(X742&lt;&gt;"",F742&lt;&gt;"Arbeidskosten"),X742*VLOOKUP(F742,Tb_ProjectKosten[],MATCH(Tb_ProjectKosten[[#Headers],[Forfait_Percentage]],Tb_ProjectKosten[#Headers],0),0),AND(F742="Arbeidskosten",G742&lt;&gt;""),IFERROR(X742*VLOOKUP(G742,Tb_KostenTypen[],3,0)*VLOOKUP(F742,Tb_ProjectKosten[],MATCH(Tb_ProjectKosten[[#Headers],[Forfait_Percentage]],Tb_ProjectKosten[#Headers],0),0),""),X742 &lt;=0,0),"")</f>
        <v/>
      </c>
      <c r="AB742" s="314" t="str">
        <f t="shared" ca="1" si="47"/>
        <v/>
      </c>
      <c r="AC742" s="322"/>
      <c r="AD742" s="315"/>
      <c r="AE742" s="32" t="str" cm="1">
        <f t="array" ref="AE742">IFERROR(IF(INDEX(SubsidieTabel!$AD$1:$AG$12,MATCH($F742,SubsidieTabel!$AD$1:$AD$12,0),IFERROR(MATCH(Methode_Keuze,SubsidieTabel!$AD$1:$AG$1,0),2))&lt;&gt;1=TRUE,"ja",""),"")</f>
        <v/>
      </c>
    </row>
    <row r="743" spans="1:31" x14ac:dyDescent="0.25">
      <c r="A743" s="316"/>
      <c r="B743" s="317" t="str">
        <f>IF(A743&lt;&gt;"",_xlfn.MAXIFS($B$1:B742,$A$1:A742,A743)+1,"")</f>
        <v/>
      </c>
      <c r="C743" s="296"/>
      <c r="D743" s="296"/>
      <c r="E743" s="296"/>
      <c r="F743" s="296"/>
      <c r="G743" s="326"/>
      <c r="H743" s="324"/>
      <c r="I743" s="325"/>
      <c r="J743" s="325"/>
      <c r="K743" s="318"/>
      <c r="L743" s="318"/>
      <c r="M743" s="319" t="str">
        <f>IFERROR(VLOOKUP(H743,Lijsten!$H$1:$I$100,2,0),"")</f>
        <v/>
      </c>
      <c r="N743" s="319" t="str">
        <f ca="1">IFERROR(IF(VLOOKUP(F743,Kostentypen!$A$3:$E$21,3,0)=0,"",IF(OR(F743="Arbeidskosten",F743="Vergoeding"),VLOOKUP(G743,Tb_KostenTypen[],2,0),VLOOKUP(F743,Kostentypen!$A$3:$E$20,3,0))),"")</f>
        <v/>
      </c>
      <c r="O743" s="320" t="str" cm="1">
        <f t="array" ref="O743">_xlfn.IFNA(IF(INDEX(Tb_KostenOptiesDB[],MATCH($F743,Tb_KostenOptiesDB[KostenOptie],0),IFERROR(MATCH(Methode_Keuze,Tb_KostenOptiesDB[#Headers],0),2))=1,_xlfn.SWITCH($N743,"Uurtarief",IF(OR(AND(RIGHT($F743,3)="IKS",VLOOKUP($M743,DB_Loonkosten,2,0)="Ja"),AND(RIGHT($F743,3)&lt;&gt;"IKS",VLOOKUP($M743,DB_Loonkosten,2,0)="Nee")),IFERROR(VLOOKUP($M743,DB_Loonkosten,24,0),""),0),"Vast tarief",IF(LEFT(F743,8)="Bijdrage",VLOOKUP($F743,Tb_KostenTypen[],MATCH(Lijsten!$P$1,Tb_KostenTypen[#Headers],0),0),VLOOKUP($G743,Lijsten!L:P,MATCH(Lijsten!$P$1,Kop_Tarief_Vast,0),0))),""),"")</f>
        <v/>
      </c>
      <c r="P743" s="320" t="str" cm="1">
        <f t="array" ref="P743">_xlfn.IFNA(IF(INDEX(Tb_KostenOptiesDB[],MATCH($F743,Tb_KostenOptiesDB[KostenOptie],0),IFERROR(MATCH(Methode_Keuze,Tb_KostenOptiesDB[#Headers],0),2))=1,_xlfn.SWITCH($N743,"Uurtarief",IF(OR(AND(RIGHT($F743,3)="IKS",VLOOKUP($M743,DB_Loonkosten,2,0)="Ja"),AND(RIGHT($F743,3)&lt;&gt;"IKS",VLOOKUP($M743,DB_Loonkosten,2,0)="Nee")),IFERROR(VLOOKUP($M743,DB_Loonkosten,25,0),""),0),"Vast tarief",IF(LEFT(F743,8)="Bijdrage",VLOOKUP($F743,Tb_KostenTypen[],MATCH(Lijsten!$P$1,Tb_KostenTypen[#Headers],0),0),VLOOKUP($G743,Lijsten!L:P,MATCH(Lijsten!$P$1,Kop_Tarief_Vast,0),0))),""),"")</f>
        <v/>
      </c>
      <c r="Q743" s="359"/>
      <c r="R743" s="359"/>
      <c r="S743" s="321"/>
      <c r="T743" s="321"/>
      <c r="U743" s="373" t="str">
        <f t="shared" si="44"/>
        <v/>
      </c>
      <c r="V743" s="314" t="str">
        <f t="shared" si="45"/>
        <v/>
      </c>
      <c r="W743" s="314" t="str" cm="1">
        <f t="array" aca="1" ref="W743" ca="1">IFERROR(IF(AE743&lt;&gt;"ja",_xlfn.IFNA(_xlfn.IFS(AND(O743&lt;&gt;"",F743&lt;&gt;"",RIGHT($N743,6)="tarief",F743="Vergoeding"),SUM(O743)*FLOOR(SUM(Q743),0.0001),AND(O743&lt;&gt;"",F743&lt;&gt;"",RIGHT($N743,6)="tarief"),SUM(O743)*FLOOR(SUM(Q743),0.01),S743&gt;0,IF(F743&lt;&gt;"",FLOOR(SUM(S743),0.01),"")),""),""),"")</f>
        <v/>
      </c>
      <c r="X743" s="314" t="str" cm="1">
        <f t="array" aca="1" ref="X743" ca="1">IFERROR(IF(AE743&lt;&gt;"ja",_xlfn.IFNA(_xlfn.IFS(AND(P743&lt;&gt;"",R743&lt;&gt;"",RIGHT($N743,6)="tarief",F743="Vergoeding"),SUM(P743)*FLOOR(SUM(R743),0.0001),AND(P743&lt;&gt;"",R743&lt;&gt;"",RIGHT($N743,6)="tarief"),P743*FLOOR(R743,0.01),T743&gt;0,FLOOR(SUM(T743),0.01)),""),""),"")</f>
        <v/>
      </c>
      <c r="Y743" s="314" t="str">
        <f t="shared" ca="1" si="46"/>
        <v/>
      </c>
      <c r="Z743" s="314" t="str" cm="1">
        <f t="array" aca="1" ref="Z743" ca="1">IFERROR(_xlfn.IFS(OR(F743="",LEFT(Methode_Keuze,4)="Geen",Methode_Keuze=""),"",AND(W743&lt;&gt;"",F743&lt;&gt;"Arbeidskosten"),W743*VLOOKUP(F743,Tb_ProjectKosten[],MATCH(Tb_ProjectKosten[[#Headers],[Forfait_Percentage]],Tb_ProjectKosten[#Headers],0),0),AND(F743="Arbeidskosten",G743&lt;&gt;""),IFERROR(W743*VLOOKUP(G743,Tb_KostenTypen[],3,0)*VLOOKUP(F743,Tb_ProjectKosten[],MATCH(Tb_ProjectKosten[[#Headers],[Forfait_Percentage]],Tb_ProjectKosten[#Headers],0),0),""),W743 &lt;=0,0),"")</f>
        <v/>
      </c>
      <c r="AA743" s="314" t="str" cm="1">
        <f t="array" aca="1" ref="AA743" ca="1">IFERROR(_xlfn.IFS(OR(F743="",LEFT(Methode_Keuze,4)="Geen",Methode_Keuze=""),"",AND(X743&lt;&gt;"",F743&lt;&gt;"Arbeidskosten"),X743*VLOOKUP(F743,Tb_ProjectKosten[],MATCH(Tb_ProjectKosten[[#Headers],[Forfait_Percentage]],Tb_ProjectKosten[#Headers],0),0),AND(F743="Arbeidskosten",G743&lt;&gt;""),IFERROR(X743*VLOOKUP(G743,Tb_KostenTypen[],3,0)*VLOOKUP(F743,Tb_ProjectKosten[],MATCH(Tb_ProjectKosten[[#Headers],[Forfait_Percentage]],Tb_ProjectKosten[#Headers],0),0),""),X743 &lt;=0,0),"")</f>
        <v/>
      </c>
      <c r="AB743" s="314" t="str">
        <f t="shared" ca="1" si="47"/>
        <v/>
      </c>
      <c r="AC743" s="322"/>
      <c r="AD743" s="315"/>
      <c r="AE743" s="32" t="str" cm="1">
        <f t="array" ref="AE743">IFERROR(IF(INDEX(SubsidieTabel!$AD$1:$AG$12,MATCH($F743,SubsidieTabel!$AD$1:$AD$12,0),IFERROR(MATCH(Methode_Keuze,SubsidieTabel!$AD$1:$AG$1,0),2))&lt;&gt;1=TRUE,"ja",""),"")</f>
        <v/>
      </c>
    </row>
    <row r="744" spans="1:31" x14ac:dyDescent="0.25">
      <c r="A744" s="316"/>
      <c r="B744" s="317" t="str">
        <f>IF(A744&lt;&gt;"",_xlfn.MAXIFS($B$1:B743,$A$1:A743,A744)+1,"")</f>
        <v/>
      </c>
      <c r="C744" s="296"/>
      <c r="D744" s="296"/>
      <c r="E744" s="296"/>
      <c r="F744" s="296"/>
      <c r="G744" s="326"/>
      <c r="H744" s="324"/>
      <c r="I744" s="325"/>
      <c r="J744" s="325"/>
      <c r="K744" s="318"/>
      <c r="L744" s="318"/>
      <c r="M744" s="319" t="str">
        <f>IFERROR(VLOOKUP(H744,Lijsten!$H$1:$I$100,2,0),"")</f>
        <v/>
      </c>
      <c r="N744" s="319" t="str">
        <f ca="1">IFERROR(IF(VLOOKUP(F744,Kostentypen!$A$3:$E$21,3,0)=0,"",IF(OR(F744="Arbeidskosten",F744="Vergoeding"),VLOOKUP(G744,Tb_KostenTypen[],2,0),VLOOKUP(F744,Kostentypen!$A$3:$E$20,3,0))),"")</f>
        <v/>
      </c>
      <c r="O744" s="320" t="str" cm="1">
        <f t="array" ref="O744">_xlfn.IFNA(IF(INDEX(Tb_KostenOptiesDB[],MATCH($F744,Tb_KostenOptiesDB[KostenOptie],0),IFERROR(MATCH(Methode_Keuze,Tb_KostenOptiesDB[#Headers],0),2))=1,_xlfn.SWITCH($N744,"Uurtarief",IF(OR(AND(RIGHT($F744,3)="IKS",VLOOKUP($M744,DB_Loonkosten,2,0)="Ja"),AND(RIGHT($F744,3)&lt;&gt;"IKS",VLOOKUP($M744,DB_Loonkosten,2,0)="Nee")),IFERROR(VLOOKUP($M744,DB_Loonkosten,24,0),""),0),"Vast tarief",IF(LEFT(F744,8)="Bijdrage",VLOOKUP($F744,Tb_KostenTypen[],MATCH(Lijsten!$P$1,Tb_KostenTypen[#Headers],0),0),VLOOKUP($G744,Lijsten!L:P,MATCH(Lijsten!$P$1,Kop_Tarief_Vast,0),0))),""),"")</f>
        <v/>
      </c>
      <c r="P744" s="320" t="str" cm="1">
        <f t="array" ref="P744">_xlfn.IFNA(IF(INDEX(Tb_KostenOptiesDB[],MATCH($F744,Tb_KostenOptiesDB[KostenOptie],0),IFERROR(MATCH(Methode_Keuze,Tb_KostenOptiesDB[#Headers],0),2))=1,_xlfn.SWITCH($N744,"Uurtarief",IF(OR(AND(RIGHT($F744,3)="IKS",VLOOKUP($M744,DB_Loonkosten,2,0)="Ja"),AND(RIGHT($F744,3)&lt;&gt;"IKS",VLOOKUP($M744,DB_Loonkosten,2,0)="Nee")),IFERROR(VLOOKUP($M744,DB_Loonkosten,25,0),""),0),"Vast tarief",IF(LEFT(F744,8)="Bijdrage",VLOOKUP($F744,Tb_KostenTypen[],MATCH(Lijsten!$P$1,Tb_KostenTypen[#Headers],0),0),VLOOKUP($G744,Lijsten!L:P,MATCH(Lijsten!$P$1,Kop_Tarief_Vast,0),0))),""),"")</f>
        <v/>
      </c>
      <c r="Q744" s="359"/>
      <c r="R744" s="359"/>
      <c r="S744" s="321"/>
      <c r="T744" s="321"/>
      <c r="U744" s="373" t="str">
        <f t="shared" si="44"/>
        <v/>
      </c>
      <c r="V744" s="314" t="str">
        <f t="shared" si="45"/>
        <v/>
      </c>
      <c r="W744" s="314" t="str" cm="1">
        <f t="array" aca="1" ref="W744" ca="1">IFERROR(IF(AE744&lt;&gt;"ja",_xlfn.IFNA(_xlfn.IFS(AND(O744&lt;&gt;"",F744&lt;&gt;"",RIGHT($N744,6)="tarief",F744="Vergoeding"),SUM(O744)*FLOOR(SUM(Q744),0.0001),AND(O744&lt;&gt;"",F744&lt;&gt;"",RIGHT($N744,6)="tarief"),SUM(O744)*FLOOR(SUM(Q744),0.01),S744&gt;0,IF(F744&lt;&gt;"",FLOOR(SUM(S744),0.01),"")),""),""),"")</f>
        <v/>
      </c>
      <c r="X744" s="314" t="str" cm="1">
        <f t="array" aca="1" ref="X744" ca="1">IFERROR(IF(AE744&lt;&gt;"ja",_xlfn.IFNA(_xlfn.IFS(AND(P744&lt;&gt;"",R744&lt;&gt;"",RIGHT($N744,6)="tarief",F744="Vergoeding"),SUM(P744)*FLOOR(SUM(R744),0.0001),AND(P744&lt;&gt;"",R744&lt;&gt;"",RIGHT($N744,6)="tarief"),P744*FLOOR(R744,0.01),T744&gt;0,FLOOR(SUM(T744),0.01)),""),""),"")</f>
        <v/>
      </c>
      <c r="Y744" s="314" t="str">
        <f t="shared" ca="1" si="46"/>
        <v/>
      </c>
      <c r="Z744" s="314" t="str" cm="1">
        <f t="array" aca="1" ref="Z744" ca="1">IFERROR(_xlfn.IFS(OR(F744="",LEFT(Methode_Keuze,4)="Geen",Methode_Keuze=""),"",AND(W744&lt;&gt;"",F744&lt;&gt;"Arbeidskosten"),W744*VLOOKUP(F744,Tb_ProjectKosten[],MATCH(Tb_ProjectKosten[[#Headers],[Forfait_Percentage]],Tb_ProjectKosten[#Headers],0),0),AND(F744="Arbeidskosten",G744&lt;&gt;""),IFERROR(W744*VLOOKUP(G744,Tb_KostenTypen[],3,0)*VLOOKUP(F744,Tb_ProjectKosten[],MATCH(Tb_ProjectKosten[[#Headers],[Forfait_Percentage]],Tb_ProjectKosten[#Headers],0),0),""),W744 &lt;=0,0),"")</f>
        <v/>
      </c>
      <c r="AA744" s="314" t="str" cm="1">
        <f t="array" aca="1" ref="AA744" ca="1">IFERROR(_xlfn.IFS(OR(F744="",LEFT(Methode_Keuze,4)="Geen",Methode_Keuze=""),"",AND(X744&lt;&gt;"",F744&lt;&gt;"Arbeidskosten"),X744*VLOOKUP(F744,Tb_ProjectKosten[],MATCH(Tb_ProjectKosten[[#Headers],[Forfait_Percentage]],Tb_ProjectKosten[#Headers],0),0),AND(F744="Arbeidskosten",G744&lt;&gt;""),IFERROR(X744*VLOOKUP(G744,Tb_KostenTypen[],3,0)*VLOOKUP(F744,Tb_ProjectKosten[],MATCH(Tb_ProjectKosten[[#Headers],[Forfait_Percentage]],Tb_ProjectKosten[#Headers],0),0),""),X744 &lt;=0,0),"")</f>
        <v/>
      </c>
      <c r="AB744" s="314" t="str">
        <f t="shared" ca="1" si="47"/>
        <v/>
      </c>
      <c r="AC744" s="322"/>
      <c r="AD744" s="315"/>
      <c r="AE744" s="32" t="str" cm="1">
        <f t="array" ref="AE744">IFERROR(IF(INDEX(SubsidieTabel!$AD$1:$AG$12,MATCH($F744,SubsidieTabel!$AD$1:$AD$12,0),IFERROR(MATCH(Methode_Keuze,SubsidieTabel!$AD$1:$AG$1,0),2))&lt;&gt;1=TRUE,"ja",""),"")</f>
        <v/>
      </c>
    </row>
    <row r="745" spans="1:31" x14ac:dyDescent="0.25">
      <c r="A745" s="316"/>
      <c r="B745" s="317" t="str">
        <f>IF(A745&lt;&gt;"",_xlfn.MAXIFS($B$1:B744,$A$1:A744,A745)+1,"")</f>
        <v/>
      </c>
      <c r="C745" s="296"/>
      <c r="D745" s="296"/>
      <c r="E745" s="296"/>
      <c r="F745" s="296"/>
      <c r="G745" s="326"/>
      <c r="H745" s="324"/>
      <c r="I745" s="325"/>
      <c r="J745" s="325"/>
      <c r="K745" s="318"/>
      <c r="L745" s="318"/>
      <c r="M745" s="319" t="str">
        <f>IFERROR(VLOOKUP(H745,Lijsten!$H$1:$I$100,2,0),"")</f>
        <v/>
      </c>
      <c r="N745" s="319" t="str">
        <f ca="1">IFERROR(IF(VLOOKUP(F745,Kostentypen!$A$3:$E$21,3,0)=0,"",IF(OR(F745="Arbeidskosten",F745="Vergoeding"),VLOOKUP(G745,Tb_KostenTypen[],2,0),VLOOKUP(F745,Kostentypen!$A$3:$E$20,3,0))),"")</f>
        <v/>
      </c>
      <c r="O745" s="320" t="str" cm="1">
        <f t="array" ref="O745">_xlfn.IFNA(IF(INDEX(Tb_KostenOptiesDB[],MATCH($F745,Tb_KostenOptiesDB[KostenOptie],0),IFERROR(MATCH(Methode_Keuze,Tb_KostenOptiesDB[#Headers],0),2))=1,_xlfn.SWITCH($N745,"Uurtarief",IF(OR(AND(RIGHT($F745,3)="IKS",VLOOKUP($M745,DB_Loonkosten,2,0)="Ja"),AND(RIGHT($F745,3)&lt;&gt;"IKS",VLOOKUP($M745,DB_Loonkosten,2,0)="Nee")),IFERROR(VLOOKUP($M745,DB_Loonkosten,24,0),""),0),"Vast tarief",IF(LEFT(F745,8)="Bijdrage",VLOOKUP($F745,Tb_KostenTypen[],MATCH(Lijsten!$P$1,Tb_KostenTypen[#Headers],0),0),VLOOKUP($G745,Lijsten!L:P,MATCH(Lijsten!$P$1,Kop_Tarief_Vast,0),0))),""),"")</f>
        <v/>
      </c>
      <c r="P745" s="320" t="str" cm="1">
        <f t="array" ref="P745">_xlfn.IFNA(IF(INDEX(Tb_KostenOptiesDB[],MATCH($F745,Tb_KostenOptiesDB[KostenOptie],0),IFERROR(MATCH(Methode_Keuze,Tb_KostenOptiesDB[#Headers],0),2))=1,_xlfn.SWITCH($N745,"Uurtarief",IF(OR(AND(RIGHT($F745,3)="IKS",VLOOKUP($M745,DB_Loonkosten,2,0)="Ja"),AND(RIGHT($F745,3)&lt;&gt;"IKS",VLOOKUP($M745,DB_Loonkosten,2,0)="Nee")),IFERROR(VLOOKUP($M745,DB_Loonkosten,25,0),""),0),"Vast tarief",IF(LEFT(F745,8)="Bijdrage",VLOOKUP($F745,Tb_KostenTypen[],MATCH(Lijsten!$P$1,Tb_KostenTypen[#Headers],0),0),VLOOKUP($G745,Lijsten!L:P,MATCH(Lijsten!$P$1,Kop_Tarief_Vast,0),0))),""),"")</f>
        <v/>
      </c>
      <c r="Q745" s="359"/>
      <c r="R745" s="359"/>
      <c r="S745" s="321"/>
      <c r="T745" s="321"/>
      <c r="U745" s="373" t="str">
        <f t="shared" si="44"/>
        <v/>
      </c>
      <c r="V745" s="314" t="str">
        <f t="shared" si="45"/>
        <v/>
      </c>
      <c r="W745" s="314" t="str" cm="1">
        <f t="array" aca="1" ref="W745" ca="1">IFERROR(IF(AE745&lt;&gt;"ja",_xlfn.IFNA(_xlfn.IFS(AND(O745&lt;&gt;"",F745&lt;&gt;"",RIGHT($N745,6)="tarief",F745="Vergoeding"),SUM(O745)*FLOOR(SUM(Q745),0.0001),AND(O745&lt;&gt;"",F745&lt;&gt;"",RIGHT($N745,6)="tarief"),SUM(O745)*FLOOR(SUM(Q745),0.01),S745&gt;0,IF(F745&lt;&gt;"",FLOOR(SUM(S745),0.01),"")),""),""),"")</f>
        <v/>
      </c>
      <c r="X745" s="314" t="str" cm="1">
        <f t="array" aca="1" ref="X745" ca="1">IFERROR(IF(AE745&lt;&gt;"ja",_xlfn.IFNA(_xlfn.IFS(AND(P745&lt;&gt;"",R745&lt;&gt;"",RIGHT($N745,6)="tarief",F745="Vergoeding"),SUM(P745)*FLOOR(SUM(R745),0.0001),AND(P745&lt;&gt;"",R745&lt;&gt;"",RIGHT($N745,6)="tarief"),P745*FLOOR(R745,0.01),T745&gt;0,FLOOR(SUM(T745),0.01)),""),""),"")</f>
        <v/>
      </c>
      <c r="Y745" s="314" t="str">
        <f t="shared" ca="1" si="46"/>
        <v/>
      </c>
      <c r="Z745" s="314" t="str" cm="1">
        <f t="array" aca="1" ref="Z745" ca="1">IFERROR(_xlfn.IFS(OR(F745="",LEFT(Methode_Keuze,4)="Geen",Methode_Keuze=""),"",AND(W745&lt;&gt;"",F745&lt;&gt;"Arbeidskosten"),W745*VLOOKUP(F745,Tb_ProjectKosten[],MATCH(Tb_ProjectKosten[[#Headers],[Forfait_Percentage]],Tb_ProjectKosten[#Headers],0),0),AND(F745="Arbeidskosten",G745&lt;&gt;""),IFERROR(W745*VLOOKUP(G745,Tb_KostenTypen[],3,0)*VLOOKUP(F745,Tb_ProjectKosten[],MATCH(Tb_ProjectKosten[[#Headers],[Forfait_Percentage]],Tb_ProjectKosten[#Headers],0),0),""),W745 &lt;=0,0),"")</f>
        <v/>
      </c>
      <c r="AA745" s="314" t="str" cm="1">
        <f t="array" aca="1" ref="AA745" ca="1">IFERROR(_xlfn.IFS(OR(F745="",LEFT(Methode_Keuze,4)="Geen",Methode_Keuze=""),"",AND(X745&lt;&gt;"",F745&lt;&gt;"Arbeidskosten"),X745*VLOOKUP(F745,Tb_ProjectKosten[],MATCH(Tb_ProjectKosten[[#Headers],[Forfait_Percentage]],Tb_ProjectKosten[#Headers],0),0),AND(F745="Arbeidskosten",G745&lt;&gt;""),IFERROR(X745*VLOOKUP(G745,Tb_KostenTypen[],3,0)*VLOOKUP(F745,Tb_ProjectKosten[],MATCH(Tb_ProjectKosten[[#Headers],[Forfait_Percentage]],Tb_ProjectKosten[#Headers],0),0),""),X745 &lt;=0,0),"")</f>
        <v/>
      </c>
      <c r="AB745" s="314" t="str">
        <f t="shared" ca="1" si="47"/>
        <v/>
      </c>
      <c r="AC745" s="322"/>
      <c r="AD745" s="315"/>
      <c r="AE745" s="32" t="str" cm="1">
        <f t="array" ref="AE745">IFERROR(IF(INDEX(SubsidieTabel!$AD$1:$AG$12,MATCH($F745,SubsidieTabel!$AD$1:$AD$12,0),IFERROR(MATCH(Methode_Keuze,SubsidieTabel!$AD$1:$AG$1,0),2))&lt;&gt;1=TRUE,"ja",""),"")</f>
        <v/>
      </c>
    </row>
    <row r="746" spans="1:31" x14ac:dyDescent="0.25">
      <c r="A746" s="316"/>
      <c r="B746" s="317" t="str">
        <f>IF(A746&lt;&gt;"",_xlfn.MAXIFS($B$1:B745,$A$1:A745,A746)+1,"")</f>
        <v/>
      </c>
      <c r="C746" s="296"/>
      <c r="D746" s="296"/>
      <c r="E746" s="296"/>
      <c r="F746" s="296"/>
      <c r="G746" s="326"/>
      <c r="H746" s="324"/>
      <c r="I746" s="325"/>
      <c r="J746" s="325"/>
      <c r="K746" s="318"/>
      <c r="L746" s="318"/>
      <c r="M746" s="319" t="str">
        <f>IFERROR(VLOOKUP(H746,Lijsten!$H$1:$I$100,2,0),"")</f>
        <v/>
      </c>
      <c r="N746" s="319" t="str">
        <f ca="1">IFERROR(IF(VLOOKUP(F746,Kostentypen!$A$3:$E$21,3,0)=0,"",IF(OR(F746="Arbeidskosten",F746="Vergoeding"),VLOOKUP(G746,Tb_KostenTypen[],2,0),VLOOKUP(F746,Kostentypen!$A$3:$E$20,3,0))),"")</f>
        <v/>
      </c>
      <c r="O746" s="320" t="str" cm="1">
        <f t="array" ref="O746">_xlfn.IFNA(IF(INDEX(Tb_KostenOptiesDB[],MATCH($F746,Tb_KostenOptiesDB[KostenOptie],0),IFERROR(MATCH(Methode_Keuze,Tb_KostenOptiesDB[#Headers],0),2))=1,_xlfn.SWITCH($N746,"Uurtarief",IF(OR(AND(RIGHT($F746,3)="IKS",VLOOKUP($M746,DB_Loonkosten,2,0)="Ja"),AND(RIGHT($F746,3)&lt;&gt;"IKS",VLOOKUP($M746,DB_Loonkosten,2,0)="Nee")),IFERROR(VLOOKUP($M746,DB_Loonkosten,24,0),""),0),"Vast tarief",IF(LEFT(F746,8)="Bijdrage",VLOOKUP($F746,Tb_KostenTypen[],MATCH(Lijsten!$P$1,Tb_KostenTypen[#Headers],0),0),VLOOKUP($G746,Lijsten!L:P,MATCH(Lijsten!$P$1,Kop_Tarief_Vast,0),0))),""),"")</f>
        <v/>
      </c>
      <c r="P746" s="320" t="str" cm="1">
        <f t="array" ref="P746">_xlfn.IFNA(IF(INDEX(Tb_KostenOptiesDB[],MATCH($F746,Tb_KostenOptiesDB[KostenOptie],0),IFERROR(MATCH(Methode_Keuze,Tb_KostenOptiesDB[#Headers],0),2))=1,_xlfn.SWITCH($N746,"Uurtarief",IF(OR(AND(RIGHT($F746,3)="IKS",VLOOKUP($M746,DB_Loonkosten,2,0)="Ja"),AND(RIGHT($F746,3)&lt;&gt;"IKS",VLOOKUP($M746,DB_Loonkosten,2,0)="Nee")),IFERROR(VLOOKUP($M746,DB_Loonkosten,25,0),""),0),"Vast tarief",IF(LEFT(F746,8)="Bijdrage",VLOOKUP($F746,Tb_KostenTypen[],MATCH(Lijsten!$P$1,Tb_KostenTypen[#Headers],0),0),VLOOKUP($G746,Lijsten!L:P,MATCH(Lijsten!$P$1,Kop_Tarief_Vast,0),0))),""),"")</f>
        <v/>
      </c>
      <c r="Q746" s="359"/>
      <c r="R746" s="359"/>
      <c r="S746" s="321"/>
      <c r="T746" s="321"/>
      <c r="U746" s="373" t="str">
        <f t="shared" si="44"/>
        <v/>
      </c>
      <c r="V746" s="314" t="str">
        <f t="shared" si="45"/>
        <v/>
      </c>
      <c r="W746" s="314" t="str" cm="1">
        <f t="array" aca="1" ref="W746" ca="1">IFERROR(IF(AE746&lt;&gt;"ja",_xlfn.IFNA(_xlfn.IFS(AND(O746&lt;&gt;"",F746&lt;&gt;"",RIGHT($N746,6)="tarief",F746="Vergoeding"),SUM(O746)*FLOOR(SUM(Q746),0.0001),AND(O746&lt;&gt;"",F746&lt;&gt;"",RIGHT($N746,6)="tarief"),SUM(O746)*FLOOR(SUM(Q746),0.01),S746&gt;0,IF(F746&lt;&gt;"",FLOOR(SUM(S746),0.01),"")),""),""),"")</f>
        <v/>
      </c>
      <c r="X746" s="314" t="str" cm="1">
        <f t="array" aca="1" ref="X746" ca="1">IFERROR(IF(AE746&lt;&gt;"ja",_xlfn.IFNA(_xlfn.IFS(AND(P746&lt;&gt;"",R746&lt;&gt;"",RIGHT($N746,6)="tarief",F746="Vergoeding"),SUM(P746)*FLOOR(SUM(R746),0.0001),AND(P746&lt;&gt;"",R746&lt;&gt;"",RIGHT($N746,6)="tarief"),P746*FLOOR(R746,0.01),T746&gt;0,FLOOR(SUM(T746),0.01)),""),""),"")</f>
        <v/>
      </c>
      <c r="Y746" s="314" t="str">
        <f t="shared" ca="1" si="46"/>
        <v/>
      </c>
      <c r="Z746" s="314" t="str" cm="1">
        <f t="array" aca="1" ref="Z746" ca="1">IFERROR(_xlfn.IFS(OR(F746="",LEFT(Methode_Keuze,4)="Geen",Methode_Keuze=""),"",AND(W746&lt;&gt;"",F746&lt;&gt;"Arbeidskosten"),W746*VLOOKUP(F746,Tb_ProjectKosten[],MATCH(Tb_ProjectKosten[[#Headers],[Forfait_Percentage]],Tb_ProjectKosten[#Headers],0),0),AND(F746="Arbeidskosten",G746&lt;&gt;""),IFERROR(W746*VLOOKUP(G746,Tb_KostenTypen[],3,0)*VLOOKUP(F746,Tb_ProjectKosten[],MATCH(Tb_ProjectKosten[[#Headers],[Forfait_Percentage]],Tb_ProjectKosten[#Headers],0),0),""),W746 &lt;=0,0),"")</f>
        <v/>
      </c>
      <c r="AA746" s="314" t="str" cm="1">
        <f t="array" aca="1" ref="AA746" ca="1">IFERROR(_xlfn.IFS(OR(F746="",LEFT(Methode_Keuze,4)="Geen",Methode_Keuze=""),"",AND(X746&lt;&gt;"",F746&lt;&gt;"Arbeidskosten"),X746*VLOOKUP(F746,Tb_ProjectKosten[],MATCH(Tb_ProjectKosten[[#Headers],[Forfait_Percentage]],Tb_ProjectKosten[#Headers],0),0),AND(F746="Arbeidskosten",G746&lt;&gt;""),IFERROR(X746*VLOOKUP(G746,Tb_KostenTypen[],3,0)*VLOOKUP(F746,Tb_ProjectKosten[],MATCH(Tb_ProjectKosten[[#Headers],[Forfait_Percentage]],Tb_ProjectKosten[#Headers],0),0),""),X746 &lt;=0,0),"")</f>
        <v/>
      </c>
      <c r="AB746" s="314" t="str">
        <f t="shared" ca="1" si="47"/>
        <v/>
      </c>
      <c r="AC746" s="322"/>
      <c r="AD746" s="315"/>
      <c r="AE746" s="32" t="str" cm="1">
        <f t="array" ref="AE746">IFERROR(IF(INDEX(SubsidieTabel!$AD$1:$AG$12,MATCH($F746,SubsidieTabel!$AD$1:$AD$12,0),IFERROR(MATCH(Methode_Keuze,SubsidieTabel!$AD$1:$AG$1,0),2))&lt;&gt;1=TRUE,"ja",""),"")</f>
        <v/>
      </c>
    </row>
    <row r="747" spans="1:31" x14ac:dyDescent="0.25">
      <c r="A747" s="316"/>
      <c r="B747" s="317" t="str">
        <f>IF(A747&lt;&gt;"",_xlfn.MAXIFS($B$1:B746,$A$1:A746,A747)+1,"")</f>
        <v/>
      </c>
      <c r="C747" s="296"/>
      <c r="D747" s="296"/>
      <c r="E747" s="296"/>
      <c r="F747" s="296"/>
      <c r="G747" s="326"/>
      <c r="H747" s="324"/>
      <c r="I747" s="325"/>
      <c r="J747" s="325"/>
      <c r="K747" s="318"/>
      <c r="L747" s="318"/>
      <c r="M747" s="319" t="str">
        <f>IFERROR(VLOOKUP(H747,Lijsten!$H$1:$I$100,2,0),"")</f>
        <v/>
      </c>
      <c r="N747" s="319" t="str">
        <f ca="1">IFERROR(IF(VLOOKUP(F747,Kostentypen!$A$3:$E$21,3,0)=0,"",IF(OR(F747="Arbeidskosten",F747="Vergoeding"),VLOOKUP(G747,Tb_KostenTypen[],2,0),VLOOKUP(F747,Kostentypen!$A$3:$E$20,3,0))),"")</f>
        <v/>
      </c>
      <c r="O747" s="320" t="str" cm="1">
        <f t="array" ref="O747">_xlfn.IFNA(IF(INDEX(Tb_KostenOptiesDB[],MATCH($F747,Tb_KostenOptiesDB[KostenOptie],0),IFERROR(MATCH(Methode_Keuze,Tb_KostenOptiesDB[#Headers],0),2))=1,_xlfn.SWITCH($N747,"Uurtarief",IF(OR(AND(RIGHT($F747,3)="IKS",VLOOKUP($M747,DB_Loonkosten,2,0)="Ja"),AND(RIGHT($F747,3)&lt;&gt;"IKS",VLOOKUP($M747,DB_Loonkosten,2,0)="Nee")),IFERROR(VLOOKUP($M747,DB_Loonkosten,24,0),""),0),"Vast tarief",IF(LEFT(F747,8)="Bijdrage",VLOOKUP($F747,Tb_KostenTypen[],MATCH(Lijsten!$P$1,Tb_KostenTypen[#Headers],0),0),VLOOKUP($G747,Lijsten!L:P,MATCH(Lijsten!$P$1,Kop_Tarief_Vast,0),0))),""),"")</f>
        <v/>
      </c>
      <c r="P747" s="320" t="str" cm="1">
        <f t="array" ref="P747">_xlfn.IFNA(IF(INDEX(Tb_KostenOptiesDB[],MATCH($F747,Tb_KostenOptiesDB[KostenOptie],0),IFERROR(MATCH(Methode_Keuze,Tb_KostenOptiesDB[#Headers],0),2))=1,_xlfn.SWITCH($N747,"Uurtarief",IF(OR(AND(RIGHT($F747,3)="IKS",VLOOKUP($M747,DB_Loonkosten,2,0)="Ja"),AND(RIGHT($F747,3)&lt;&gt;"IKS",VLOOKUP($M747,DB_Loonkosten,2,0)="Nee")),IFERROR(VLOOKUP($M747,DB_Loonkosten,25,0),""),0),"Vast tarief",IF(LEFT(F747,8)="Bijdrage",VLOOKUP($F747,Tb_KostenTypen[],MATCH(Lijsten!$P$1,Tb_KostenTypen[#Headers],0),0),VLOOKUP($G747,Lijsten!L:P,MATCH(Lijsten!$P$1,Kop_Tarief_Vast,0),0))),""),"")</f>
        <v/>
      </c>
      <c r="Q747" s="359"/>
      <c r="R747" s="359"/>
      <c r="S747" s="321"/>
      <c r="T747" s="321"/>
      <c r="U747" s="373" t="str">
        <f t="shared" si="44"/>
        <v/>
      </c>
      <c r="V747" s="314" t="str">
        <f t="shared" si="45"/>
        <v/>
      </c>
      <c r="W747" s="314" t="str" cm="1">
        <f t="array" aca="1" ref="W747" ca="1">IFERROR(IF(AE747&lt;&gt;"ja",_xlfn.IFNA(_xlfn.IFS(AND(O747&lt;&gt;"",F747&lt;&gt;"",RIGHT($N747,6)="tarief",F747="Vergoeding"),SUM(O747)*FLOOR(SUM(Q747),0.0001),AND(O747&lt;&gt;"",F747&lt;&gt;"",RIGHT($N747,6)="tarief"),SUM(O747)*FLOOR(SUM(Q747),0.01),S747&gt;0,IF(F747&lt;&gt;"",FLOOR(SUM(S747),0.01),"")),""),""),"")</f>
        <v/>
      </c>
      <c r="X747" s="314" t="str" cm="1">
        <f t="array" aca="1" ref="X747" ca="1">IFERROR(IF(AE747&lt;&gt;"ja",_xlfn.IFNA(_xlfn.IFS(AND(P747&lt;&gt;"",R747&lt;&gt;"",RIGHT($N747,6)="tarief",F747="Vergoeding"),SUM(P747)*FLOOR(SUM(R747),0.0001),AND(P747&lt;&gt;"",R747&lt;&gt;"",RIGHT($N747,6)="tarief"),P747*FLOOR(R747,0.01),T747&gt;0,FLOOR(SUM(T747),0.01)),""),""),"")</f>
        <v/>
      </c>
      <c r="Y747" s="314" t="str">
        <f t="shared" ca="1" si="46"/>
        <v/>
      </c>
      <c r="Z747" s="314" t="str" cm="1">
        <f t="array" aca="1" ref="Z747" ca="1">IFERROR(_xlfn.IFS(OR(F747="",LEFT(Methode_Keuze,4)="Geen",Methode_Keuze=""),"",AND(W747&lt;&gt;"",F747&lt;&gt;"Arbeidskosten"),W747*VLOOKUP(F747,Tb_ProjectKosten[],MATCH(Tb_ProjectKosten[[#Headers],[Forfait_Percentage]],Tb_ProjectKosten[#Headers],0),0),AND(F747="Arbeidskosten",G747&lt;&gt;""),IFERROR(W747*VLOOKUP(G747,Tb_KostenTypen[],3,0)*VLOOKUP(F747,Tb_ProjectKosten[],MATCH(Tb_ProjectKosten[[#Headers],[Forfait_Percentage]],Tb_ProjectKosten[#Headers],0),0),""),W747 &lt;=0,0),"")</f>
        <v/>
      </c>
      <c r="AA747" s="314" t="str" cm="1">
        <f t="array" aca="1" ref="AA747" ca="1">IFERROR(_xlfn.IFS(OR(F747="",LEFT(Methode_Keuze,4)="Geen",Methode_Keuze=""),"",AND(X747&lt;&gt;"",F747&lt;&gt;"Arbeidskosten"),X747*VLOOKUP(F747,Tb_ProjectKosten[],MATCH(Tb_ProjectKosten[[#Headers],[Forfait_Percentage]],Tb_ProjectKosten[#Headers],0),0),AND(F747="Arbeidskosten",G747&lt;&gt;""),IFERROR(X747*VLOOKUP(G747,Tb_KostenTypen[],3,0)*VLOOKUP(F747,Tb_ProjectKosten[],MATCH(Tb_ProjectKosten[[#Headers],[Forfait_Percentage]],Tb_ProjectKosten[#Headers],0),0),""),X747 &lt;=0,0),"")</f>
        <v/>
      </c>
      <c r="AB747" s="314" t="str">
        <f t="shared" ca="1" si="47"/>
        <v/>
      </c>
      <c r="AC747" s="322"/>
      <c r="AD747" s="315"/>
      <c r="AE747" s="32" t="str" cm="1">
        <f t="array" ref="AE747">IFERROR(IF(INDEX(SubsidieTabel!$AD$1:$AG$12,MATCH($F747,SubsidieTabel!$AD$1:$AD$12,0),IFERROR(MATCH(Methode_Keuze,SubsidieTabel!$AD$1:$AG$1,0),2))&lt;&gt;1=TRUE,"ja",""),"")</f>
        <v/>
      </c>
    </row>
    <row r="748" spans="1:31" x14ac:dyDescent="0.25">
      <c r="A748" s="316"/>
      <c r="B748" s="317" t="str">
        <f>IF(A748&lt;&gt;"",_xlfn.MAXIFS($B$1:B747,$A$1:A747,A748)+1,"")</f>
        <v/>
      </c>
      <c r="C748" s="296"/>
      <c r="D748" s="296"/>
      <c r="E748" s="296"/>
      <c r="F748" s="296"/>
      <c r="G748" s="326"/>
      <c r="H748" s="324"/>
      <c r="I748" s="325"/>
      <c r="J748" s="325"/>
      <c r="K748" s="318"/>
      <c r="L748" s="318"/>
      <c r="M748" s="319" t="str">
        <f>IFERROR(VLOOKUP(H748,Lijsten!$H$1:$I$100,2,0),"")</f>
        <v/>
      </c>
      <c r="N748" s="319" t="str">
        <f ca="1">IFERROR(IF(VLOOKUP(F748,Kostentypen!$A$3:$E$21,3,0)=0,"",IF(OR(F748="Arbeidskosten",F748="Vergoeding"),VLOOKUP(G748,Tb_KostenTypen[],2,0),VLOOKUP(F748,Kostentypen!$A$3:$E$20,3,0))),"")</f>
        <v/>
      </c>
      <c r="O748" s="320" t="str" cm="1">
        <f t="array" ref="O748">_xlfn.IFNA(IF(INDEX(Tb_KostenOptiesDB[],MATCH($F748,Tb_KostenOptiesDB[KostenOptie],0),IFERROR(MATCH(Methode_Keuze,Tb_KostenOptiesDB[#Headers],0),2))=1,_xlfn.SWITCH($N748,"Uurtarief",IF(OR(AND(RIGHT($F748,3)="IKS",VLOOKUP($M748,DB_Loonkosten,2,0)="Ja"),AND(RIGHT($F748,3)&lt;&gt;"IKS",VLOOKUP($M748,DB_Loonkosten,2,0)="Nee")),IFERROR(VLOOKUP($M748,DB_Loonkosten,24,0),""),0),"Vast tarief",IF(LEFT(F748,8)="Bijdrage",VLOOKUP($F748,Tb_KostenTypen[],MATCH(Lijsten!$P$1,Tb_KostenTypen[#Headers],0),0),VLOOKUP($G748,Lijsten!L:P,MATCH(Lijsten!$P$1,Kop_Tarief_Vast,0),0))),""),"")</f>
        <v/>
      </c>
      <c r="P748" s="320" t="str" cm="1">
        <f t="array" ref="P748">_xlfn.IFNA(IF(INDEX(Tb_KostenOptiesDB[],MATCH($F748,Tb_KostenOptiesDB[KostenOptie],0),IFERROR(MATCH(Methode_Keuze,Tb_KostenOptiesDB[#Headers],0),2))=1,_xlfn.SWITCH($N748,"Uurtarief",IF(OR(AND(RIGHT($F748,3)="IKS",VLOOKUP($M748,DB_Loonkosten,2,0)="Ja"),AND(RIGHT($F748,3)&lt;&gt;"IKS",VLOOKUP($M748,DB_Loonkosten,2,0)="Nee")),IFERROR(VLOOKUP($M748,DB_Loonkosten,25,0),""),0),"Vast tarief",IF(LEFT(F748,8)="Bijdrage",VLOOKUP($F748,Tb_KostenTypen[],MATCH(Lijsten!$P$1,Tb_KostenTypen[#Headers],0),0),VLOOKUP($G748,Lijsten!L:P,MATCH(Lijsten!$P$1,Kop_Tarief_Vast,0),0))),""),"")</f>
        <v/>
      </c>
      <c r="Q748" s="359"/>
      <c r="R748" s="359"/>
      <c r="S748" s="321"/>
      <c r="T748" s="321"/>
      <c r="U748" s="373" t="str">
        <f t="shared" si="44"/>
        <v/>
      </c>
      <c r="V748" s="314" t="str">
        <f t="shared" si="45"/>
        <v/>
      </c>
      <c r="W748" s="314" t="str" cm="1">
        <f t="array" aca="1" ref="W748" ca="1">IFERROR(IF(AE748&lt;&gt;"ja",_xlfn.IFNA(_xlfn.IFS(AND(O748&lt;&gt;"",F748&lt;&gt;"",RIGHT($N748,6)="tarief",F748="Vergoeding"),SUM(O748)*FLOOR(SUM(Q748),0.0001),AND(O748&lt;&gt;"",F748&lt;&gt;"",RIGHT($N748,6)="tarief"),SUM(O748)*FLOOR(SUM(Q748),0.01),S748&gt;0,IF(F748&lt;&gt;"",FLOOR(SUM(S748),0.01),"")),""),""),"")</f>
        <v/>
      </c>
      <c r="X748" s="314" t="str" cm="1">
        <f t="array" aca="1" ref="X748" ca="1">IFERROR(IF(AE748&lt;&gt;"ja",_xlfn.IFNA(_xlfn.IFS(AND(P748&lt;&gt;"",R748&lt;&gt;"",RIGHT($N748,6)="tarief",F748="Vergoeding"),SUM(P748)*FLOOR(SUM(R748),0.0001),AND(P748&lt;&gt;"",R748&lt;&gt;"",RIGHT($N748,6)="tarief"),P748*FLOOR(R748,0.01),T748&gt;0,FLOOR(SUM(T748),0.01)),""),""),"")</f>
        <v/>
      </c>
      <c r="Y748" s="314" t="str">
        <f t="shared" ca="1" si="46"/>
        <v/>
      </c>
      <c r="Z748" s="314" t="str" cm="1">
        <f t="array" aca="1" ref="Z748" ca="1">IFERROR(_xlfn.IFS(OR(F748="",LEFT(Methode_Keuze,4)="Geen",Methode_Keuze=""),"",AND(W748&lt;&gt;"",F748&lt;&gt;"Arbeidskosten"),W748*VLOOKUP(F748,Tb_ProjectKosten[],MATCH(Tb_ProjectKosten[[#Headers],[Forfait_Percentage]],Tb_ProjectKosten[#Headers],0),0),AND(F748="Arbeidskosten",G748&lt;&gt;""),IFERROR(W748*VLOOKUP(G748,Tb_KostenTypen[],3,0)*VLOOKUP(F748,Tb_ProjectKosten[],MATCH(Tb_ProjectKosten[[#Headers],[Forfait_Percentage]],Tb_ProjectKosten[#Headers],0),0),""),W748 &lt;=0,0),"")</f>
        <v/>
      </c>
      <c r="AA748" s="314" t="str" cm="1">
        <f t="array" aca="1" ref="AA748" ca="1">IFERROR(_xlfn.IFS(OR(F748="",LEFT(Methode_Keuze,4)="Geen",Methode_Keuze=""),"",AND(X748&lt;&gt;"",F748&lt;&gt;"Arbeidskosten"),X748*VLOOKUP(F748,Tb_ProjectKosten[],MATCH(Tb_ProjectKosten[[#Headers],[Forfait_Percentage]],Tb_ProjectKosten[#Headers],0),0),AND(F748="Arbeidskosten",G748&lt;&gt;""),IFERROR(X748*VLOOKUP(G748,Tb_KostenTypen[],3,0)*VLOOKUP(F748,Tb_ProjectKosten[],MATCH(Tb_ProjectKosten[[#Headers],[Forfait_Percentage]],Tb_ProjectKosten[#Headers],0),0),""),X748 &lt;=0,0),"")</f>
        <v/>
      </c>
      <c r="AB748" s="314" t="str">
        <f t="shared" ca="1" si="47"/>
        <v/>
      </c>
      <c r="AC748" s="322"/>
      <c r="AD748" s="315"/>
      <c r="AE748" s="32" t="str" cm="1">
        <f t="array" ref="AE748">IFERROR(IF(INDEX(SubsidieTabel!$AD$1:$AG$12,MATCH($F748,SubsidieTabel!$AD$1:$AD$12,0),IFERROR(MATCH(Methode_Keuze,SubsidieTabel!$AD$1:$AG$1,0),2))&lt;&gt;1=TRUE,"ja",""),"")</f>
        <v/>
      </c>
    </row>
    <row r="749" spans="1:31" x14ac:dyDescent="0.25">
      <c r="A749" s="316"/>
      <c r="B749" s="317" t="str">
        <f>IF(A749&lt;&gt;"",_xlfn.MAXIFS($B$1:B748,$A$1:A748,A749)+1,"")</f>
        <v/>
      </c>
      <c r="C749" s="296"/>
      <c r="D749" s="296"/>
      <c r="E749" s="296"/>
      <c r="F749" s="296"/>
      <c r="G749" s="326"/>
      <c r="H749" s="324"/>
      <c r="I749" s="325"/>
      <c r="J749" s="325"/>
      <c r="K749" s="318"/>
      <c r="L749" s="318"/>
      <c r="M749" s="319" t="str">
        <f>IFERROR(VLOOKUP(H749,Lijsten!$H$1:$I$100,2,0),"")</f>
        <v/>
      </c>
      <c r="N749" s="319" t="str">
        <f ca="1">IFERROR(IF(VLOOKUP(F749,Kostentypen!$A$3:$E$21,3,0)=0,"",IF(OR(F749="Arbeidskosten",F749="Vergoeding"),VLOOKUP(G749,Tb_KostenTypen[],2,0),VLOOKUP(F749,Kostentypen!$A$3:$E$20,3,0))),"")</f>
        <v/>
      </c>
      <c r="O749" s="320" t="str" cm="1">
        <f t="array" ref="O749">_xlfn.IFNA(IF(INDEX(Tb_KostenOptiesDB[],MATCH($F749,Tb_KostenOptiesDB[KostenOptie],0),IFERROR(MATCH(Methode_Keuze,Tb_KostenOptiesDB[#Headers],0),2))=1,_xlfn.SWITCH($N749,"Uurtarief",IF(OR(AND(RIGHT($F749,3)="IKS",VLOOKUP($M749,DB_Loonkosten,2,0)="Ja"),AND(RIGHT($F749,3)&lt;&gt;"IKS",VLOOKUP($M749,DB_Loonkosten,2,0)="Nee")),IFERROR(VLOOKUP($M749,DB_Loonkosten,24,0),""),0),"Vast tarief",IF(LEFT(F749,8)="Bijdrage",VLOOKUP($F749,Tb_KostenTypen[],MATCH(Lijsten!$P$1,Tb_KostenTypen[#Headers],0),0),VLOOKUP($G749,Lijsten!L:P,MATCH(Lijsten!$P$1,Kop_Tarief_Vast,0),0))),""),"")</f>
        <v/>
      </c>
      <c r="P749" s="320" t="str" cm="1">
        <f t="array" ref="P749">_xlfn.IFNA(IF(INDEX(Tb_KostenOptiesDB[],MATCH($F749,Tb_KostenOptiesDB[KostenOptie],0),IFERROR(MATCH(Methode_Keuze,Tb_KostenOptiesDB[#Headers],0),2))=1,_xlfn.SWITCH($N749,"Uurtarief",IF(OR(AND(RIGHT($F749,3)="IKS",VLOOKUP($M749,DB_Loonkosten,2,0)="Ja"),AND(RIGHT($F749,3)&lt;&gt;"IKS",VLOOKUP($M749,DB_Loonkosten,2,0)="Nee")),IFERROR(VLOOKUP($M749,DB_Loonkosten,25,0),""),0),"Vast tarief",IF(LEFT(F749,8)="Bijdrage",VLOOKUP($F749,Tb_KostenTypen[],MATCH(Lijsten!$P$1,Tb_KostenTypen[#Headers],0),0),VLOOKUP($G749,Lijsten!L:P,MATCH(Lijsten!$P$1,Kop_Tarief_Vast,0),0))),""),"")</f>
        <v/>
      </c>
      <c r="Q749" s="359"/>
      <c r="R749" s="359"/>
      <c r="S749" s="321"/>
      <c r="T749" s="321"/>
      <c r="U749" s="373" t="str">
        <f t="shared" si="44"/>
        <v/>
      </c>
      <c r="V749" s="314" t="str">
        <f t="shared" si="45"/>
        <v/>
      </c>
      <c r="W749" s="314" t="str" cm="1">
        <f t="array" aca="1" ref="W749" ca="1">IFERROR(IF(AE749&lt;&gt;"ja",_xlfn.IFNA(_xlfn.IFS(AND(O749&lt;&gt;"",F749&lt;&gt;"",RIGHT($N749,6)="tarief",F749="Vergoeding"),SUM(O749)*FLOOR(SUM(Q749),0.0001),AND(O749&lt;&gt;"",F749&lt;&gt;"",RIGHT($N749,6)="tarief"),SUM(O749)*FLOOR(SUM(Q749),0.01),S749&gt;0,IF(F749&lt;&gt;"",FLOOR(SUM(S749),0.01),"")),""),""),"")</f>
        <v/>
      </c>
      <c r="X749" s="314" t="str" cm="1">
        <f t="array" aca="1" ref="X749" ca="1">IFERROR(IF(AE749&lt;&gt;"ja",_xlfn.IFNA(_xlfn.IFS(AND(P749&lt;&gt;"",R749&lt;&gt;"",RIGHT($N749,6)="tarief",F749="Vergoeding"),SUM(P749)*FLOOR(SUM(R749),0.0001),AND(P749&lt;&gt;"",R749&lt;&gt;"",RIGHT($N749,6)="tarief"),P749*FLOOR(R749,0.01),T749&gt;0,FLOOR(SUM(T749),0.01)),""),""),"")</f>
        <v/>
      </c>
      <c r="Y749" s="314" t="str">
        <f t="shared" ca="1" si="46"/>
        <v/>
      </c>
      <c r="Z749" s="314" t="str" cm="1">
        <f t="array" aca="1" ref="Z749" ca="1">IFERROR(_xlfn.IFS(OR(F749="",LEFT(Methode_Keuze,4)="Geen",Methode_Keuze=""),"",AND(W749&lt;&gt;"",F749&lt;&gt;"Arbeidskosten"),W749*VLOOKUP(F749,Tb_ProjectKosten[],MATCH(Tb_ProjectKosten[[#Headers],[Forfait_Percentage]],Tb_ProjectKosten[#Headers],0),0),AND(F749="Arbeidskosten",G749&lt;&gt;""),IFERROR(W749*VLOOKUP(G749,Tb_KostenTypen[],3,0)*VLOOKUP(F749,Tb_ProjectKosten[],MATCH(Tb_ProjectKosten[[#Headers],[Forfait_Percentage]],Tb_ProjectKosten[#Headers],0),0),""),W749 &lt;=0,0),"")</f>
        <v/>
      </c>
      <c r="AA749" s="314" t="str" cm="1">
        <f t="array" aca="1" ref="AA749" ca="1">IFERROR(_xlfn.IFS(OR(F749="",LEFT(Methode_Keuze,4)="Geen",Methode_Keuze=""),"",AND(X749&lt;&gt;"",F749&lt;&gt;"Arbeidskosten"),X749*VLOOKUP(F749,Tb_ProjectKosten[],MATCH(Tb_ProjectKosten[[#Headers],[Forfait_Percentage]],Tb_ProjectKosten[#Headers],0),0),AND(F749="Arbeidskosten",G749&lt;&gt;""),IFERROR(X749*VLOOKUP(G749,Tb_KostenTypen[],3,0)*VLOOKUP(F749,Tb_ProjectKosten[],MATCH(Tb_ProjectKosten[[#Headers],[Forfait_Percentage]],Tb_ProjectKosten[#Headers],0),0),""),X749 &lt;=0,0),"")</f>
        <v/>
      </c>
      <c r="AB749" s="314" t="str">
        <f t="shared" ca="1" si="47"/>
        <v/>
      </c>
      <c r="AC749" s="322"/>
      <c r="AD749" s="315"/>
      <c r="AE749" s="32" t="str" cm="1">
        <f t="array" ref="AE749">IFERROR(IF(INDEX(SubsidieTabel!$AD$1:$AG$12,MATCH($F749,SubsidieTabel!$AD$1:$AD$12,0),IFERROR(MATCH(Methode_Keuze,SubsidieTabel!$AD$1:$AG$1,0),2))&lt;&gt;1=TRUE,"ja",""),"")</f>
        <v/>
      </c>
    </row>
    <row r="750" spans="1:31" x14ac:dyDescent="0.25">
      <c r="A750" s="316"/>
      <c r="B750" s="317" t="str">
        <f>IF(A750&lt;&gt;"",_xlfn.MAXIFS($B$1:B749,$A$1:A749,A750)+1,"")</f>
        <v/>
      </c>
      <c r="C750" s="296"/>
      <c r="D750" s="296"/>
      <c r="E750" s="296"/>
      <c r="F750" s="296"/>
      <c r="G750" s="326"/>
      <c r="H750" s="324"/>
      <c r="I750" s="325"/>
      <c r="J750" s="325"/>
      <c r="K750" s="318"/>
      <c r="L750" s="318"/>
      <c r="M750" s="319" t="str">
        <f>IFERROR(VLOOKUP(H750,Lijsten!$H$1:$I$100,2,0),"")</f>
        <v/>
      </c>
      <c r="N750" s="319" t="str">
        <f ca="1">IFERROR(IF(VLOOKUP(F750,Kostentypen!$A$3:$E$21,3,0)=0,"",IF(OR(F750="Arbeidskosten",F750="Vergoeding"),VLOOKUP(G750,Tb_KostenTypen[],2,0),VLOOKUP(F750,Kostentypen!$A$3:$E$20,3,0))),"")</f>
        <v/>
      </c>
      <c r="O750" s="320" t="str" cm="1">
        <f t="array" ref="O750">_xlfn.IFNA(IF(INDEX(Tb_KostenOptiesDB[],MATCH($F750,Tb_KostenOptiesDB[KostenOptie],0),IFERROR(MATCH(Methode_Keuze,Tb_KostenOptiesDB[#Headers],0),2))=1,_xlfn.SWITCH($N750,"Uurtarief",IF(OR(AND(RIGHT($F750,3)="IKS",VLOOKUP($M750,DB_Loonkosten,2,0)="Ja"),AND(RIGHT($F750,3)&lt;&gt;"IKS",VLOOKUP($M750,DB_Loonkosten,2,0)="Nee")),IFERROR(VLOOKUP($M750,DB_Loonkosten,24,0),""),0),"Vast tarief",IF(LEFT(F750,8)="Bijdrage",VLOOKUP($F750,Tb_KostenTypen[],MATCH(Lijsten!$P$1,Tb_KostenTypen[#Headers],0),0),VLOOKUP($G750,Lijsten!L:P,MATCH(Lijsten!$P$1,Kop_Tarief_Vast,0),0))),""),"")</f>
        <v/>
      </c>
      <c r="P750" s="320" t="str" cm="1">
        <f t="array" ref="P750">_xlfn.IFNA(IF(INDEX(Tb_KostenOptiesDB[],MATCH($F750,Tb_KostenOptiesDB[KostenOptie],0),IFERROR(MATCH(Methode_Keuze,Tb_KostenOptiesDB[#Headers],0),2))=1,_xlfn.SWITCH($N750,"Uurtarief",IF(OR(AND(RIGHT($F750,3)="IKS",VLOOKUP($M750,DB_Loonkosten,2,0)="Ja"),AND(RIGHT($F750,3)&lt;&gt;"IKS",VLOOKUP($M750,DB_Loonkosten,2,0)="Nee")),IFERROR(VLOOKUP($M750,DB_Loonkosten,25,0),""),0),"Vast tarief",IF(LEFT(F750,8)="Bijdrage",VLOOKUP($F750,Tb_KostenTypen[],MATCH(Lijsten!$P$1,Tb_KostenTypen[#Headers],0),0),VLOOKUP($G750,Lijsten!L:P,MATCH(Lijsten!$P$1,Kop_Tarief_Vast,0),0))),""),"")</f>
        <v/>
      </c>
      <c r="Q750" s="359"/>
      <c r="R750" s="359"/>
      <c r="S750" s="321"/>
      <c r="T750" s="321"/>
      <c r="U750" s="373" t="str">
        <f t="shared" si="44"/>
        <v/>
      </c>
      <c r="V750" s="314" t="str">
        <f t="shared" si="45"/>
        <v/>
      </c>
      <c r="W750" s="314" t="str" cm="1">
        <f t="array" aca="1" ref="W750" ca="1">IFERROR(IF(AE750&lt;&gt;"ja",_xlfn.IFNA(_xlfn.IFS(AND(O750&lt;&gt;"",F750&lt;&gt;"",RIGHT($N750,6)="tarief",F750="Vergoeding"),SUM(O750)*FLOOR(SUM(Q750),0.0001),AND(O750&lt;&gt;"",F750&lt;&gt;"",RIGHT($N750,6)="tarief"),SUM(O750)*FLOOR(SUM(Q750),0.01),S750&gt;0,IF(F750&lt;&gt;"",FLOOR(SUM(S750),0.01),"")),""),""),"")</f>
        <v/>
      </c>
      <c r="X750" s="314" t="str" cm="1">
        <f t="array" aca="1" ref="X750" ca="1">IFERROR(IF(AE750&lt;&gt;"ja",_xlfn.IFNA(_xlfn.IFS(AND(P750&lt;&gt;"",R750&lt;&gt;"",RIGHT($N750,6)="tarief",F750="Vergoeding"),SUM(P750)*FLOOR(SUM(R750),0.0001),AND(P750&lt;&gt;"",R750&lt;&gt;"",RIGHT($N750,6)="tarief"),P750*FLOOR(R750,0.01),T750&gt;0,FLOOR(SUM(T750),0.01)),""),""),"")</f>
        <v/>
      </c>
      <c r="Y750" s="314" t="str">
        <f t="shared" ca="1" si="46"/>
        <v/>
      </c>
      <c r="Z750" s="314" t="str" cm="1">
        <f t="array" aca="1" ref="Z750" ca="1">IFERROR(_xlfn.IFS(OR(F750="",LEFT(Methode_Keuze,4)="Geen",Methode_Keuze=""),"",AND(W750&lt;&gt;"",F750&lt;&gt;"Arbeidskosten"),W750*VLOOKUP(F750,Tb_ProjectKosten[],MATCH(Tb_ProjectKosten[[#Headers],[Forfait_Percentage]],Tb_ProjectKosten[#Headers],0),0),AND(F750="Arbeidskosten",G750&lt;&gt;""),IFERROR(W750*VLOOKUP(G750,Tb_KostenTypen[],3,0)*VLOOKUP(F750,Tb_ProjectKosten[],MATCH(Tb_ProjectKosten[[#Headers],[Forfait_Percentage]],Tb_ProjectKosten[#Headers],0),0),""),W750 &lt;=0,0),"")</f>
        <v/>
      </c>
      <c r="AA750" s="314" t="str" cm="1">
        <f t="array" aca="1" ref="AA750" ca="1">IFERROR(_xlfn.IFS(OR(F750="",LEFT(Methode_Keuze,4)="Geen",Methode_Keuze=""),"",AND(X750&lt;&gt;"",F750&lt;&gt;"Arbeidskosten"),X750*VLOOKUP(F750,Tb_ProjectKosten[],MATCH(Tb_ProjectKosten[[#Headers],[Forfait_Percentage]],Tb_ProjectKosten[#Headers],0),0),AND(F750="Arbeidskosten",G750&lt;&gt;""),IFERROR(X750*VLOOKUP(G750,Tb_KostenTypen[],3,0)*VLOOKUP(F750,Tb_ProjectKosten[],MATCH(Tb_ProjectKosten[[#Headers],[Forfait_Percentage]],Tb_ProjectKosten[#Headers],0),0),""),X750 &lt;=0,0),"")</f>
        <v/>
      </c>
      <c r="AB750" s="314" t="str">
        <f t="shared" ca="1" si="47"/>
        <v/>
      </c>
      <c r="AC750" s="322"/>
      <c r="AD750" s="315"/>
      <c r="AE750" s="32" t="str" cm="1">
        <f t="array" ref="AE750">IFERROR(IF(INDEX(SubsidieTabel!$AD$1:$AG$12,MATCH($F750,SubsidieTabel!$AD$1:$AD$12,0),IFERROR(MATCH(Methode_Keuze,SubsidieTabel!$AD$1:$AG$1,0),2))&lt;&gt;1=TRUE,"ja",""),"")</f>
        <v/>
      </c>
    </row>
    <row r="751" spans="1:31" x14ac:dyDescent="0.25">
      <c r="A751" s="316"/>
      <c r="B751" s="317" t="str">
        <f>IF(A751&lt;&gt;"",_xlfn.MAXIFS($B$1:B750,$A$1:A750,A751)+1,"")</f>
        <v/>
      </c>
      <c r="C751" s="296"/>
      <c r="D751" s="296"/>
      <c r="E751" s="296"/>
      <c r="F751" s="296"/>
      <c r="G751" s="326"/>
      <c r="H751" s="324"/>
      <c r="I751" s="325"/>
      <c r="J751" s="325"/>
      <c r="K751" s="318"/>
      <c r="L751" s="318"/>
      <c r="M751" s="319" t="str">
        <f>IFERROR(VLOOKUP(H751,Lijsten!$H$1:$I$100,2,0),"")</f>
        <v/>
      </c>
      <c r="N751" s="319" t="str">
        <f ca="1">IFERROR(IF(VLOOKUP(F751,Kostentypen!$A$3:$E$21,3,0)=0,"",IF(OR(F751="Arbeidskosten",F751="Vergoeding"),VLOOKUP(G751,Tb_KostenTypen[],2,0),VLOOKUP(F751,Kostentypen!$A$3:$E$20,3,0))),"")</f>
        <v/>
      </c>
      <c r="O751" s="320" t="str" cm="1">
        <f t="array" ref="O751">_xlfn.IFNA(IF(INDEX(Tb_KostenOptiesDB[],MATCH($F751,Tb_KostenOptiesDB[KostenOptie],0),IFERROR(MATCH(Methode_Keuze,Tb_KostenOptiesDB[#Headers],0),2))=1,_xlfn.SWITCH($N751,"Uurtarief",IF(OR(AND(RIGHT($F751,3)="IKS",VLOOKUP($M751,DB_Loonkosten,2,0)="Ja"),AND(RIGHT($F751,3)&lt;&gt;"IKS",VLOOKUP($M751,DB_Loonkosten,2,0)="Nee")),IFERROR(VLOOKUP($M751,DB_Loonkosten,24,0),""),0),"Vast tarief",IF(LEFT(F751,8)="Bijdrage",VLOOKUP($F751,Tb_KostenTypen[],MATCH(Lijsten!$P$1,Tb_KostenTypen[#Headers],0),0),VLOOKUP($G751,Lijsten!L:P,MATCH(Lijsten!$P$1,Kop_Tarief_Vast,0),0))),""),"")</f>
        <v/>
      </c>
      <c r="P751" s="320" t="str" cm="1">
        <f t="array" ref="P751">_xlfn.IFNA(IF(INDEX(Tb_KostenOptiesDB[],MATCH($F751,Tb_KostenOptiesDB[KostenOptie],0),IFERROR(MATCH(Methode_Keuze,Tb_KostenOptiesDB[#Headers],0),2))=1,_xlfn.SWITCH($N751,"Uurtarief",IF(OR(AND(RIGHT($F751,3)="IKS",VLOOKUP($M751,DB_Loonkosten,2,0)="Ja"),AND(RIGHT($F751,3)&lt;&gt;"IKS",VLOOKUP($M751,DB_Loonkosten,2,0)="Nee")),IFERROR(VLOOKUP($M751,DB_Loonkosten,25,0),""),0),"Vast tarief",IF(LEFT(F751,8)="Bijdrage",VLOOKUP($F751,Tb_KostenTypen[],MATCH(Lijsten!$P$1,Tb_KostenTypen[#Headers],0),0),VLOOKUP($G751,Lijsten!L:P,MATCH(Lijsten!$P$1,Kop_Tarief_Vast,0),0))),""),"")</f>
        <v/>
      </c>
      <c r="Q751" s="359"/>
      <c r="R751" s="359"/>
      <c r="S751" s="321"/>
      <c r="T751" s="321"/>
      <c r="U751" s="373" t="str">
        <f t="shared" si="44"/>
        <v/>
      </c>
      <c r="V751" s="314" t="str">
        <f t="shared" si="45"/>
        <v/>
      </c>
      <c r="W751" s="314" t="str" cm="1">
        <f t="array" aca="1" ref="W751" ca="1">IFERROR(IF(AE751&lt;&gt;"ja",_xlfn.IFNA(_xlfn.IFS(AND(O751&lt;&gt;"",F751&lt;&gt;"",RIGHT($N751,6)="tarief",F751="Vergoeding"),SUM(O751)*FLOOR(SUM(Q751),0.0001),AND(O751&lt;&gt;"",F751&lt;&gt;"",RIGHT($N751,6)="tarief"),SUM(O751)*FLOOR(SUM(Q751),0.01),S751&gt;0,IF(F751&lt;&gt;"",FLOOR(SUM(S751),0.01),"")),""),""),"")</f>
        <v/>
      </c>
      <c r="X751" s="314" t="str" cm="1">
        <f t="array" aca="1" ref="X751" ca="1">IFERROR(IF(AE751&lt;&gt;"ja",_xlfn.IFNA(_xlfn.IFS(AND(P751&lt;&gt;"",R751&lt;&gt;"",RIGHT($N751,6)="tarief",F751="Vergoeding"),SUM(P751)*FLOOR(SUM(R751),0.0001),AND(P751&lt;&gt;"",R751&lt;&gt;"",RIGHT($N751,6)="tarief"),P751*FLOOR(R751,0.01),T751&gt;0,FLOOR(SUM(T751),0.01)),""),""),"")</f>
        <v/>
      </c>
      <c r="Y751" s="314" t="str">
        <f t="shared" ca="1" si="46"/>
        <v/>
      </c>
      <c r="Z751" s="314" t="str" cm="1">
        <f t="array" aca="1" ref="Z751" ca="1">IFERROR(_xlfn.IFS(OR(F751="",LEFT(Methode_Keuze,4)="Geen",Methode_Keuze=""),"",AND(W751&lt;&gt;"",F751&lt;&gt;"Arbeidskosten"),W751*VLOOKUP(F751,Tb_ProjectKosten[],MATCH(Tb_ProjectKosten[[#Headers],[Forfait_Percentage]],Tb_ProjectKosten[#Headers],0),0),AND(F751="Arbeidskosten",G751&lt;&gt;""),IFERROR(W751*VLOOKUP(G751,Tb_KostenTypen[],3,0)*VLOOKUP(F751,Tb_ProjectKosten[],MATCH(Tb_ProjectKosten[[#Headers],[Forfait_Percentage]],Tb_ProjectKosten[#Headers],0),0),""),W751 &lt;=0,0),"")</f>
        <v/>
      </c>
      <c r="AA751" s="314" t="str" cm="1">
        <f t="array" aca="1" ref="AA751" ca="1">IFERROR(_xlfn.IFS(OR(F751="",LEFT(Methode_Keuze,4)="Geen",Methode_Keuze=""),"",AND(X751&lt;&gt;"",F751&lt;&gt;"Arbeidskosten"),X751*VLOOKUP(F751,Tb_ProjectKosten[],MATCH(Tb_ProjectKosten[[#Headers],[Forfait_Percentage]],Tb_ProjectKosten[#Headers],0),0),AND(F751="Arbeidskosten",G751&lt;&gt;""),IFERROR(X751*VLOOKUP(G751,Tb_KostenTypen[],3,0)*VLOOKUP(F751,Tb_ProjectKosten[],MATCH(Tb_ProjectKosten[[#Headers],[Forfait_Percentage]],Tb_ProjectKosten[#Headers],0),0),""),X751 &lt;=0,0),"")</f>
        <v/>
      </c>
      <c r="AB751" s="314" t="str">
        <f t="shared" ca="1" si="47"/>
        <v/>
      </c>
      <c r="AC751" s="322"/>
      <c r="AD751" s="315"/>
      <c r="AE751" s="32" t="str" cm="1">
        <f t="array" ref="AE751">IFERROR(IF(INDEX(SubsidieTabel!$AD$1:$AG$12,MATCH($F751,SubsidieTabel!$AD$1:$AD$12,0),IFERROR(MATCH(Methode_Keuze,SubsidieTabel!$AD$1:$AG$1,0),2))&lt;&gt;1=TRUE,"ja",""),"")</f>
        <v/>
      </c>
    </row>
    <row r="752" spans="1:31" x14ac:dyDescent="0.25">
      <c r="A752" s="316"/>
      <c r="B752" s="317" t="str">
        <f>IF(A752&lt;&gt;"",_xlfn.MAXIFS($B$1:B751,$A$1:A751,A752)+1,"")</f>
        <v/>
      </c>
      <c r="C752" s="296"/>
      <c r="D752" s="296"/>
      <c r="E752" s="296"/>
      <c r="F752" s="296"/>
      <c r="G752" s="326"/>
      <c r="H752" s="324"/>
      <c r="I752" s="325"/>
      <c r="J752" s="325"/>
      <c r="K752" s="318"/>
      <c r="L752" s="318"/>
      <c r="M752" s="319" t="str">
        <f>IFERROR(VLOOKUP(H752,Lijsten!$H$1:$I$100,2,0),"")</f>
        <v/>
      </c>
      <c r="N752" s="319" t="str">
        <f ca="1">IFERROR(IF(VLOOKUP(F752,Kostentypen!$A$3:$E$21,3,0)=0,"",IF(OR(F752="Arbeidskosten",F752="Vergoeding"),VLOOKUP(G752,Tb_KostenTypen[],2,0),VLOOKUP(F752,Kostentypen!$A$3:$E$20,3,0))),"")</f>
        <v/>
      </c>
      <c r="O752" s="320" t="str" cm="1">
        <f t="array" ref="O752">_xlfn.IFNA(IF(INDEX(Tb_KostenOptiesDB[],MATCH($F752,Tb_KostenOptiesDB[KostenOptie],0),IFERROR(MATCH(Methode_Keuze,Tb_KostenOptiesDB[#Headers],0),2))=1,_xlfn.SWITCH($N752,"Uurtarief",IF(OR(AND(RIGHT($F752,3)="IKS",VLOOKUP($M752,DB_Loonkosten,2,0)="Ja"),AND(RIGHT($F752,3)&lt;&gt;"IKS",VLOOKUP($M752,DB_Loonkosten,2,0)="Nee")),IFERROR(VLOOKUP($M752,DB_Loonkosten,24,0),""),0),"Vast tarief",IF(LEFT(F752,8)="Bijdrage",VLOOKUP($F752,Tb_KostenTypen[],MATCH(Lijsten!$P$1,Tb_KostenTypen[#Headers],0),0),VLOOKUP($G752,Lijsten!L:P,MATCH(Lijsten!$P$1,Kop_Tarief_Vast,0),0))),""),"")</f>
        <v/>
      </c>
      <c r="P752" s="320" t="str" cm="1">
        <f t="array" ref="P752">_xlfn.IFNA(IF(INDEX(Tb_KostenOptiesDB[],MATCH($F752,Tb_KostenOptiesDB[KostenOptie],0),IFERROR(MATCH(Methode_Keuze,Tb_KostenOptiesDB[#Headers],0),2))=1,_xlfn.SWITCH($N752,"Uurtarief",IF(OR(AND(RIGHT($F752,3)="IKS",VLOOKUP($M752,DB_Loonkosten,2,0)="Ja"),AND(RIGHT($F752,3)&lt;&gt;"IKS",VLOOKUP($M752,DB_Loonkosten,2,0)="Nee")),IFERROR(VLOOKUP($M752,DB_Loonkosten,25,0),""),0),"Vast tarief",IF(LEFT(F752,8)="Bijdrage",VLOOKUP($F752,Tb_KostenTypen[],MATCH(Lijsten!$P$1,Tb_KostenTypen[#Headers],0),0),VLOOKUP($G752,Lijsten!L:P,MATCH(Lijsten!$P$1,Kop_Tarief_Vast,0),0))),""),"")</f>
        <v/>
      </c>
      <c r="Q752" s="359"/>
      <c r="R752" s="359"/>
      <c r="S752" s="321"/>
      <c r="T752" s="321"/>
      <c r="U752" s="373" t="str">
        <f t="shared" si="44"/>
        <v/>
      </c>
      <c r="V752" s="314" t="str">
        <f t="shared" si="45"/>
        <v/>
      </c>
      <c r="W752" s="314" t="str" cm="1">
        <f t="array" aca="1" ref="W752" ca="1">IFERROR(IF(AE752&lt;&gt;"ja",_xlfn.IFNA(_xlfn.IFS(AND(O752&lt;&gt;"",F752&lt;&gt;"",RIGHT($N752,6)="tarief",F752="Vergoeding"),SUM(O752)*FLOOR(SUM(Q752),0.0001),AND(O752&lt;&gt;"",F752&lt;&gt;"",RIGHT($N752,6)="tarief"),SUM(O752)*FLOOR(SUM(Q752),0.01),S752&gt;0,IF(F752&lt;&gt;"",FLOOR(SUM(S752),0.01),"")),""),""),"")</f>
        <v/>
      </c>
      <c r="X752" s="314" t="str" cm="1">
        <f t="array" aca="1" ref="X752" ca="1">IFERROR(IF(AE752&lt;&gt;"ja",_xlfn.IFNA(_xlfn.IFS(AND(P752&lt;&gt;"",R752&lt;&gt;"",RIGHT($N752,6)="tarief",F752="Vergoeding"),SUM(P752)*FLOOR(SUM(R752),0.0001),AND(P752&lt;&gt;"",R752&lt;&gt;"",RIGHT($N752,6)="tarief"),P752*FLOOR(R752,0.01),T752&gt;0,FLOOR(SUM(T752),0.01)),""),""),"")</f>
        <v/>
      </c>
      <c r="Y752" s="314" t="str">
        <f t="shared" ca="1" si="46"/>
        <v/>
      </c>
      <c r="Z752" s="314" t="str" cm="1">
        <f t="array" aca="1" ref="Z752" ca="1">IFERROR(_xlfn.IFS(OR(F752="",LEFT(Methode_Keuze,4)="Geen",Methode_Keuze=""),"",AND(W752&lt;&gt;"",F752&lt;&gt;"Arbeidskosten"),W752*VLOOKUP(F752,Tb_ProjectKosten[],MATCH(Tb_ProjectKosten[[#Headers],[Forfait_Percentage]],Tb_ProjectKosten[#Headers],0),0),AND(F752="Arbeidskosten",G752&lt;&gt;""),IFERROR(W752*VLOOKUP(G752,Tb_KostenTypen[],3,0)*VLOOKUP(F752,Tb_ProjectKosten[],MATCH(Tb_ProjectKosten[[#Headers],[Forfait_Percentage]],Tb_ProjectKosten[#Headers],0),0),""),W752 &lt;=0,0),"")</f>
        <v/>
      </c>
      <c r="AA752" s="314" t="str" cm="1">
        <f t="array" aca="1" ref="AA752" ca="1">IFERROR(_xlfn.IFS(OR(F752="",LEFT(Methode_Keuze,4)="Geen",Methode_Keuze=""),"",AND(X752&lt;&gt;"",F752&lt;&gt;"Arbeidskosten"),X752*VLOOKUP(F752,Tb_ProjectKosten[],MATCH(Tb_ProjectKosten[[#Headers],[Forfait_Percentage]],Tb_ProjectKosten[#Headers],0),0),AND(F752="Arbeidskosten",G752&lt;&gt;""),IFERROR(X752*VLOOKUP(G752,Tb_KostenTypen[],3,0)*VLOOKUP(F752,Tb_ProjectKosten[],MATCH(Tb_ProjectKosten[[#Headers],[Forfait_Percentage]],Tb_ProjectKosten[#Headers],0),0),""),X752 &lt;=0,0),"")</f>
        <v/>
      </c>
      <c r="AB752" s="314" t="str">
        <f t="shared" ca="1" si="47"/>
        <v/>
      </c>
      <c r="AC752" s="322"/>
      <c r="AD752" s="315"/>
      <c r="AE752" s="32" t="str" cm="1">
        <f t="array" ref="AE752">IFERROR(IF(INDEX(SubsidieTabel!$AD$1:$AG$12,MATCH($F752,SubsidieTabel!$AD$1:$AD$12,0),IFERROR(MATCH(Methode_Keuze,SubsidieTabel!$AD$1:$AG$1,0),2))&lt;&gt;1=TRUE,"ja",""),"")</f>
        <v/>
      </c>
    </row>
    <row r="753" spans="1:31" x14ac:dyDescent="0.25">
      <c r="A753" s="316"/>
      <c r="B753" s="317" t="str">
        <f>IF(A753&lt;&gt;"",_xlfn.MAXIFS($B$1:B752,$A$1:A752,A753)+1,"")</f>
        <v/>
      </c>
      <c r="C753" s="296"/>
      <c r="D753" s="296"/>
      <c r="E753" s="296"/>
      <c r="F753" s="296"/>
      <c r="G753" s="326"/>
      <c r="H753" s="324"/>
      <c r="I753" s="325"/>
      <c r="J753" s="325"/>
      <c r="K753" s="318"/>
      <c r="L753" s="318"/>
      <c r="M753" s="319" t="str">
        <f>IFERROR(VLOOKUP(H753,Lijsten!$H$1:$I$100,2,0),"")</f>
        <v/>
      </c>
      <c r="N753" s="319" t="str">
        <f ca="1">IFERROR(IF(VLOOKUP(F753,Kostentypen!$A$3:$E$21,3,0)=0,"",IF(OR(F753="Arbeidskosten",F753="Vergoeding"),VLOOKUP(G753,Tb_KostenTypen[],2,0),VLOOKUP(F753,Kostentypen!$A$3:$E$20,3,0))),"")</f>
        <v/>
      </c>
      <c r="O753" s="320" t="str" cm="1">
        <f t="array" ref="O753">_xlfn.IFNA(IF(INDEX(Tb_KostenOptiesDB[],MATCH($F753,Tb_KostenOptiesDB[KostenOptie],0),IFERROR(MATCH(Methode_Keuze,Tb_KostenOptiesDB[#Headers],0),2))=1,_xlfn.SWITCH($N753,"Uurtarief",IF(OR(AND(RIGHT($F753,3)="IKS",VLOOKUP($M753,DB_Loonkosten,2,0)="Ja"),AND(RIGHT($F753,3)&lt;&gt;"IKS",VLOOKUP($M753,DB_Loonkosten,2,0)="Nee")),IFERROR(VLOOKUP($M753,DB_Loonkosten,24,0),""),0),"Vast tarief",IF(LEFT(F753,8)="Bijdrage",VLOOKUP($F753,Tb_KostenTypen[],MATCH(Lijsten!$P$1,Tb_KostenTypen[#Headers],0),0),VLOOKUP($G753,Lijsten!L:P,MATCH(Lijsten!$P$1,Kop_Tarief_Vast,0),0))),""),"")</f>
        <v/>
      </c>
      <c r="P753" s="320" t="str" cm="1">
        <f t="array" ref="P753">_xlfn.IFNA(IF(INDEX(Tb_KostenOptiesDB[],MATCH($F753,Tb_KostenOptiesDB[KostenOptie],0),IFERROR(MATCH(Methode_Keuze,Tb_KostenOptiesDB[#Headers],0),2))=1,_xlfn.SWITCH($N753,"Uurtarief",IF(OR(AND(RIGHT($F753,3)="IKS",VLOOKUP($M753,DB_Loonkosten,2,0)="Ja"),AND(RIGHT($F753,3)&lt;&gt;"IKS",VLOOKUP($M753,DB_Loonkosten,2,0)="Nee")),IFERROR(VLOOKUP($M753,DB_Loonkosten,25,0),""),0),"Vast tarief",IF(LEFT(F753,8)="Bijdrage",VLOOKUP($F753,Tb_KostenTypen[],MATCH(Lijsten!$P$1,Tb_KostenTypen[#Headers],0),0),VLOOKUP($G753,Lijsten!L:P,MATCH(Lijsten!$P$1,Kop_Tarief_Vast,0),0))),""),"")</f>
        <v/>
      </c>
      <c r="Q753" s="359"/>
      <c r="R753" s="359"/>
      <c r="S753" s="321"/>
      <c r="T753" s="321"/>
      <c r="U753" s="373" t="str">
        <f t="shared" si="44"/>
        <v/>
      </c>
      <c r="V753" s="314" t="str">
        <f t="shared" si="45"/>
        <v/>
      </c>
      <c r="W753" s="314" t="str" cm="1">
        <f t="array" aca="1" ref="W753" ca="1">IFERROR(IF(AE753&lt;&gt;"ja",_xlfn.IFNA(_xlfn.IFS(AND(O753&lt;&gt;"",F753&lt;&gt;"",RIGHT($N753,6)="tarief",F753="Vergoeding"),SUM(O753)*FLOOR(SUM(Q753),0.0001),AND(O753&lt;&gt;"",F753&lt;&gt;"",RIGHT($N753,6)="tarief"),SUM(O753)*FLOOR(SUM(Q753),0.01),S753&gt;0,IF(F753&lt;&gt;"",FLOOR(SUM(S753),0.01),"")),""),""),"")</f>
        <v/>
      </c>
      <c r="X753" s="314" t="str" cm="1">
        <f t="array" aca="1" ref="X753" ca="1">IFERROR(IF(AE753&lt;&gt;"ja",_xlfn.IFNA(_xlfn.IFS(AND(P753&lt;&gt;"",R753&lt;&gt;"",RIGHT($N753,6)="tarief",F753="Vergoeding"),SUM(P753)*FLOOR(SUM(R753),0.0001),AND(P753&lt;&gt;"",R753&lt;&gt;"",RIGHT($N753,6)="tarief"),P753*FLOOR(R753,0.01),T753&gt;0,FLOOR(SUM(T753),0.01)),""),""),"")</f>
        <v/>
      </c>
      <c r="Y753" s="314" t="str">
        <f t="shared" ca="1" si="46"/>
        <v/>
      </c>
      <c r="Z753" s="314" t="str" cm="1">
        <f t="array" aca="1" ref="Z753" ca="1">IFERROR(_xlfn.IFS(OR(F753="",LEFT(Methode_Keuze,4)="Geen",Methode_Keuze=""),"",AND(W753&lt;&gt;"",F753&lt;&gt;"Arbeidskosten"),W753*VLOOKUP(F753,Tb_ProjectKosten[],MATCH(Tb_ProjectKosten[[#Headers],[Forfait_Percentage]],Tb_ProjectKosten[#Headers],0),0),AND(F753="Arbeidskosten",G753&lt;&gt;""),IFERROR(W753*VLOOKUP(G753,Tb_KostenTypen[],3,0)*VLOOKUP(F753,Tb_ProjectKosten[],MATCH(Tb_ProjectKosten[[#Headers],[Forfait_Percentage]],Tb_ProjectKosten[#Headers],0),0),""),W753 &lt;=0,0),"")</f>
        <v/>
      </c>
      <c r="AA753" s="314" t="str" cm="1">
        <f t="array" aca="1" ref="AA753" ca="1">IFERROR(_xlfn.IFS(OR(F753="",LEFT(Methode_Keuze,4)="Geen",Methode_Keuze=""),"",AND(X753&lt;&gt;"",F753&lt;&gt;"Arbeidskosten"),X753*VLOOKUP(F753,Tb_ProjectKosten[],MATCH(Tb_ProjectKosten[[#Headers],[Forfait_Percentage]],Tb_ProjectKosten[#Headers],0),0),AND(F753="Arbeidskosten",G753&lt;&gt;""),IFERROR(X753*VLOOKUP(G753,Tb_KostenTypen[],3,0)*VLOOKUP(F753,Tb_ProjectKosten[],MATCH(Tb_ProjectKosten[[#Headers],[Forfait_Percentage]],Tb_ProjectKosten[#Headers],0),0),""),X753 &lt;=0,0),"")</f>
        <v/>
      </c>
      <c r="AB753" s="314" t="str">
        <f t="shared" ca="1" si="47"/>
        <v/>
      </c>
      <c r="AC753" s="322"/>
      <c r="AD753" s="315"/>
      <c r="AE753" s="32" t="str" cm="1">
        <f t="array" ref="AE753">IFERROR(IF(INDEX(SubsidieTabel!$AD$1:$AG$12,MATCH($F753,SubsidieTabel!$AD$1:$AD$12,0),IFERROR(MATCH(Methode_Keuze,SubsidieTabel!$AD$1:$AG$1,0),2))&lt;&gt;1=TRUE,"ja",""),"")</f>
        <v/>
      </c>
    </row>
    <row r="754" spans="1:31" x14ac:dyDescent="0.25">
      <c r="A754" s="316"/>
      <c r="B754" s="317" t="str">
        <f>IF(A754&lt;&gt;"",_xlfn.MAXIFS($B$1:B753,$A$1:A753,A754)+1,"")</f>
        <v/>
      </c>
      <c r="C754" s="296"/>
      <c r="D754" s="296"/>
      <c r="E754" s="296"/>
      <c r="F754" s="296"/>
      <c r="G754" s="326"/>
      <c r="H754" s="324"/>
      <c r="I754" s="325"/>
      <c r="J754" s="325"/>
      <c r="K754" s="318"/>
      <c r="L754" s="318"/>
      <c r="M754" s="319" t="str">
        <f>IFERROR(VLOOKUP(H754,Lijsten!$H$1:$I$100,2,0),"")</f>
        <v/>
      </c>
      <c r="N754" s="319" t="str">
        <f ca="1">IFERROR(IF(VLOOKUP(F754,Kostentypen!$A$3:$E$21,3,0)=0,"",IF(OR(F754="Arbeidskosten",F754="Vergoeding"),VLOOKUP(G754,Tb_KostenTypen[],2,0),VLOOKUP(F754,Kostentypen!$A$3:$E$20,3,0))),"")</f>
        <v/>
      </c>
      <c r="O754" s="320" t="str" cm="1">
        <f t="array" ref="O754">_xlfn.IFNA(IF(INDEX(Tb_KostenOptiesDB[],MATCH($F754,Tb_KostenOptiesDB[KostenOptie],0),IFERROR(MATCH(Methode_Keuze,Tb_KostenOptiesDB[#Headers],0),2))=1,_xlfn.SWITCH($N754,"Uurtarief",IF(OR(AND(RIGHT($F754,3)="IKS",VLOOKUP($M754,DB_Loonkosten,2,0)="Ja"),AND(RIGHT($F754,3)&lt;&gt;"IKS",VLOOKUP($M754,DB_Loonkosten,2,0)="Nee")),IFERROR(VLOOKUP($M754,DB_Loonkosten,24,0),""),0),"Vast tarief",IF(LEFT(F754,8)="Bijdrage",VLOOKUP($F754,Tb_KostenTypen[],MATCH(Lijsten!$P$1,Tb_KostenTypen[#Headers],0),0),VLOOKUP($G754,Lijsten!L:P,MATCH(Lijsten!$P$1,Kop_Tarief_Vast,0),0))),""),"")</f>
        <v/>
      </c>
      <c r="P754" s="320" t="str" cm="1">
        <f t="array" ref="P754">_xlfn.IFNA(IF(INDEX(Tb_KostenOptiesDB[],MATCH($F754,Tb_KostenOptiesDB[KostenOptie],0),IFERROR(MATCH(Methode_Keuze,Tb_KostenOptiesDB[#Headers],0),2))=1,_xlfn.SWITCH($N754,"Uurtarief",IF(OR(AND(RIGHT($F754,3)="IKS",VLOOKUP($M754,DB_Loonkosten,2,0)="Ja"),AND(RIGHT($F754,3)&lt;&gt;"IKS",VLOOKUP($M754,DB_Loonkosten,2,0)="Nee")),IFERROR(VLOOKUP($M754,DB_Loonkosten,25,0),""),0),"Vast tarief",IF(LEFT(F754,8)="Bijdrage",VLOOKUP($F754,Tb_KostenTypen[],MATCH(Lijsten!$P$1,Tb_KostenTypen[#Headers],0),0),VLOOKUP($G754,Lijsten!L:P,MATCH(Lijsten!$P$1,Kop_Tarief_Vast,0),0))),""),"")</f>
        <v/>
      </c>
      <c r="Q754" s="359"/>
      <c r="R754" s="359"/>
      <c r="S754" s="321"/>
      <c r="T754" s="321"/>
      <c r="U754" s="373" t="str">
        <f t="shared" si="44"/>
        <v/>
      </c>
      <c r="V754" s="314" t="str">
        <f t="shared" si="45"/>
        <v/>
      </c>
      <c r="W754" s="314" t="str" cm="1">
        <f t="array" aca="1" ref="W754" ca="1">IFERROR(IF(AE754&lt;&gt;"ja",_xlfn.IFNA(_xlfn.IFS(AND(O754&lt;&gt;"",F754&lt;&gt;"",RIGHT($N754,6)="tarief",F754="Vergoeding"),SUM(O754)*FLOOR(SUM(Q754),0.0001),AND(O754&lt;&gt;"",F754&lt;&gt;"",RIGHT($N754,6)="tarief"),SUM(O754)*FLOOR(SUM(Q754),0.01),S754&gt;0,IF(F754&lt;&gt;"",FLOOR(SUM(S754),0.01),"")),""),""),"")</f>
        <v/>
      </c>
      <c r="X754" s="314" t="str" cm="1">
        <f t="array" aca="1" ref="X754" ca="1">IFERROR(IF(AE754&lt;&gt;"ja",_xlfn.IFNA(_xlfn.IFS(AND(P754&lt;&gt;"",R754&lt;&gt;"",RIGHT($N754,6)="tarief",F754="Vergoeding"),SUM(P754)*FLOOR(SUM(R754),0.0001),AND(P754&lt;&gt;"",R754&lt;&gt;"",RIGHT($N754,6)="tarief"),P754*FLOOR(R754,0.01),T754&gt;0,FLOOR(SUM(T754),0.01)),""),""),"")</f>
        <v/>
      </c>
      <c r="Y754" s="314" t="str">
        <f t="shared" ca="1" si="46"/>
        <v/>
      </c>
      <c r="Z754" s="314" t="str" cm="1">
        <f t="array" aca="1" ref="Z754" ca="1">IFERROR(_xlfn.IFS(OR(F754="",LEFT(Methode_Keuze,4)="Geen",Methode_Keuze=""),"",AND(W754&lt;&gt;"",F754&lt;&gt;"Arbeidskosten"),W754*VLOOKUP(F754,Tb_ProjectKosten[],MATCH(Tb_ProjectKosten[[#Headers],[Forfait_Percentage]],Tb_ProjectKosten[#Headers],0),0),AND(F754="Arbeidskosten",G754&lt;&gt;""),IFERROR(W754*VLOOKUP(G754,Tb_KostenTypen[],3,0)*VLOOKUP(F754,Tb_ProjectKosten[],MATCH(Tb_ProjectKosten[[#Headers],[Forfait_Percentage]],Tb_ProjectKosten[#Headers],0),0),""),W754 &lt;=0,0),"")</f>
        <v/>
      </c>
      <c r="AA754" s="314" t="str" cm="1">
        <f t="array" aca="1" ref="AA754" ca="1">IFERROR(_xlfn.IFS(OR(F754="",LEFT(Methode_Keuze,4)="Geen",Methode_Keuze=""),"",AND(X754&lt;&gt;"",F754&lt;&gt;"Arbeidskosten"),X754*VLOOKUP(F754,Tb_ProjectKosten[],MATCH(Tb_ProjectKosten[[#Headers],[Forfait_Percentage]],Tb_ProjectKosten[#Headers],0),0),AND(F754="Arbeidskosten",G754&lt;&gt;""),IFERROR(X754*VLOOKUP(G754,Tb_KostenTypen[],3,0)*VLOOKUP(F754,Tb_ProjectKosten[],MATCH(Tb_ProjectKosten[[#Headers],[Forfait_Percentage]],Tb_ProjectKosten[#Headers],0),0),""),X754 &lt;=0,0),"")</f>
        <v/>
      </c>
      <c r="AB754" s="314" t="str">
        <f t="shared" ca="1" si="47"/>
        <v/>
      </c>
      <c r="AC754" s="322"/>
      <c r="AD754" s="315"/>
      <c r="AE754" s="32" t="str" cm="1">
        <f t="array" ref="AE754">IFERROR(IF(INDEX(SubsidieTabel!$AD$1:$AG$12,MATCH($F754,SubsidieTabel!$AD$1:$AD$12,0),IFERROR(MATCH(Methode_Keuze,SubsidieTabel!$AD$1:$AG$1,0),2))&lt;&gt;1=TRUE,"ja",""),"")</f>
        <v/>
      </c>
    </row>
    <row r="755" spans="1:31" x14ac:dyDescent="0.25">
      <c r="A755" s="316"/>
      <c r="B755" s="317" t="str">
        <f>IF(A755&lt;&gt;"",_xlfn.MAXIFS($B$1:B754,$A$1:A754,A755)+1,"")</f>
        <v/>
      </c>
      <c r="C755" s="296"/>
      <c r="D755" s="296"/>
      <c r="E755" s="296"/>
      <c r="F755" s="296"/>
      <c r="G755" s="326"/>
      <c r="H755" s="324"/>
      <c r="I755" s="325"/>
      <c r="J755" s="325"/>
      <c r="K755" s="318"/>
      <c r="L755" s="318"/>
      <c r="M755" s="319" t="str">
        <f>IFERROR(VLOOKUP(H755,Lijsten!$H$1:$I$100,2,0),"")</f>
        <v/>
      </c>
      <c r="N755" s="319" t="str">
        <f ca="1">IFERROR(IF(VLOOKUP(F755,Kostentypen!$A$3:$E$21,3,0)=0,"",IF(OR(F755="Arbeidskosten",F755="Vergoeding"),VLOOKUP(G755,Tb_KostenTypen[],2,0),VLOOKUP(F755,Kostentypen!$A$3:$E$20,3,0))),"")</f>
        <v/>
      </c>
      <c r="O755" s="320" t="str" cm="1">
        <f t="array" ref="O755">_xlfn.IFNA(IF(INDEX(Tb_KostenOptiesDB[],MATCH($F755,Tb_KostenOptiesDB[KostenOptie],0),IFERROR(MATCH(Methode_Keuze,Tb_KostenOptiesDB[#Headers],0),2))=1,_xlfn.SWITCH($N755,"Uurtarief",IF(OR(AND(RIGHT($F755,3)="IKS",VLOOKUP($M755,DB_Loonkosten,2,0)="Ja"),AND(RIGHT($F755,3)&lt;&gt;"IKS",VLOOKUP($M755,DB_Loonkosten,2,0)="Nee")),IFERROR(VLOOKUP($M755,DB_Loonkosten,24,0),""),0),"Vast tarief",IF(LEFT(F755,8)="Bijdrage",VLOOKUP($F755,Tb_KostenTypen[],MATCH(Lijsten!$P$1,Tb_KostenTypen[#Headers],0),0),VLOOKUP($G755,Lijsten!L:P,MATCH(Lijsten!$P$1,Kop_Tarief_Vast,0),0))),""),"")</f>
        <v/>
      </c>
      <c r="P755" s="320" t="str" cm="1">
        <f t="array" ref="P755">_xlfn.IFNA(IF(INDEX(Tb_KostenOptiesDB[],MATCH($F755,Tb_KostenOptiesDB[KostenOptie],0),IFERROR(MATCH(Methode_Keuze,Tb_KostenOptiesDB[#Headers],0),2))=1,_xlfn.SWITCH($N755,"Uurtarief",IF(OR(AND(RIGHT($F755,3)="IKS",VLOOKUP($M755,DB_Loonkosten,2,0)="Ja"),AND(RIGHT($F755,3)&lt;&gt;"IKS",VLOOKUP($M755,DB_Loonkosten,2,0)="Nee")),IFERROR(VLOOKUP($M755,DB_Loonkosten,25,0),""),0),"Vast tarief",IF(LEFT(F755,8)="Bijdrage",VLOOKUP($F755,Tb_KostenTypen[],MATCH(Lijsten!$P$1,Tb_KostenTypen[#Headers],0),0),VLOOKUP($G755,Lijsten!L:P,MATCH(Lijsten!$P$1,Kop_Tarief_Vast,0),0))),""),"")</f>
        <v/>
      </c>
      <c r="Q755" s="359"/>
      <c r="R755" s="359"/>
      <c r="S755" s="321"/>
      <c r="T755" s="321"/>
      <c r="U755" s="373" t="str">
        <f t="shared" si="44"/>
        <v/>
      </c>
      <c r="V755" s="314" t="str">
        <f t="shared" si="45"/>
        <v/>
      </c>
      <c r="W755" s="314" t="str" cm="1">
        <f t="array" aca="1" ref="W755" ca="1">IFERROR(IF(AE755&lt;&gt;"ja",_xlfn.IFNA(_xlfn.IFS(AND(O755&lt;&gt;"",F755&lt;&gt;"",RIGHT($N755,6)="tarief",F755="Vergoeding"),SUM(O755)*FLOOR(SUM(Q755),0.0001),AND(O755&lt;&gt;"",F755&lt;&gt;"",RIGHT($N755,6)="tarief"),SUM(O755)*FLOOR(SUM(Q755),0.01),S755&gt;0,IF(F755&lt;&gt;"",FLOOR(SUM(S755),0.01),"")),""),""),"")</f>
        <v/>
      </c>
      <c r="X755" s="314" t="str" cm="1">
        <f t="array" aca="1" ref="X755" ca="1">IFERROR(IF(AE755&lt;&gt;"ja",_xlfn.IFNA(_xlfn.IFS(AND(P755&lt;&gt;"",R755&lt;&gt;"",RIGHT($N755,6)="tarief",F755="Vergoeding"),SUM(P755)*FLOOR(SUM(R755),0.0001),AND(P755&lt;&gt;"",R755&lt;&gt;"",RIGHT($N755,6)="tarief"),P755*FLOOR(R755,0.01),T755&gt;0,FLOOR(SUM(T755),0.01)),""),""),"")</f>
        <v/>
      </c>
      <c r="Y755" s="314" t="str">
        <f t="shared" ca="1" si="46"/>
        <v/>
      </c>
      <c r="Z755" s="314" t="str" cm="1">
        <f t="array" aca="1" ref="Z755" ca="1">IFERROR(_xlfn.IFS(OR(F755="",LEFT(Methode_Keuze,4)="Geen",Methode_Keuze=""),"",AND(W755&lt;&gt;"",F755&lt;&gt;"Arbeidskosten"),W755*VLOOKUP(F755,Tb_ProjectKosten[],MATCH(Tb_ProjectKosten[[#Headers],[Forfait_Percentage]],Tb_ProjectKosten[#Headers],0),0),AND(F755="Arbeidskosten",G755&lt;&gt;""),IFERROR(W755*VLOOKUP(G755,Tb_KostenTypen[],3,0)*VLOOKUP(F755,Tb_ProjectKosten[],MATCH(Tb_ProjectKosten[[#Headers],[Forfait_Percentage]],Tb_ProjectKosten[#Headers],0),0),""),W755 &lt;=0,0),"")</f>
        <v/>
      </c>
      <c r="AA755" s="314" t="str" cm="1">
        <f t="array" aca="1" ref="AA755" ca="1">IFERROR(_xlfn.IFS(OR(F755="",LEFT(Methode_Keuze,4)="Geen",Methode_Keuze=""),"",AND(X755&lt;&gt;"",F755&lt;&gt;"Arbeidskosten"),X755*VLOOKUP(F755,Tb_ProjectKosten[],MATCH(Tb_ProjectKosten[[#Headers],[Forfait_Percentage]],Tb_ProjectKosten[#Headers],0),0),AND(F755="Arbeidskosten",G755&lt;&gt;""),IFERROR(X755*VLOOKUP(G755,Tb_KostenTypen[],3,0)*VLOOKUP(F755,Tb_ProjectKosten[],MATCH(Tb_ProjectKosten[[#Headers],[Forfait_Percentage]],Tb_ProjectKosten[#Headers],0),0),""),X755 &lt;=0,0),"")</f>
        <v/>
      </c>
      <c r="AB755" s="314" t="str">
        <f t="shared" ca="1" si="47"/>
        <v/>
      </c>
      <c r="AC755" s="322"/>
      <c r="AD755" s="315"/>
      <c r="AE755" s="32" t="str" cm="1">
        <f t="array" ref="AE755">IFERROR(IF(INDEX(SubsidieTabel!$AD$1:$AG$12,MATCH($F755,SubsidieTabel!$AD$1:$AD$12,0),IFERROR(MATCH(Methode_Keuze,SubsidieTabel!$AD$1:$AG$1,0),2))&lt;&gt;1=TRUE,"ja",""),"")</f>
        <v/>
      </c>
    </row>
    <row r="756" spans="1:31" x14ac:dyDescent="0.25">
      <c r="A756" s="316"/>
      <c r="B756" s="317" t="str">
        <f>IF(A756&lt;&gt;"",_xlfn.MAXIFS($B$1:B755,$A$1:A755,A756)+1,"")</f>
        <v/>
      </c>
      <c r="C756" s="296"/>
      <c r="D756" s="296"/>
      <c r="E756" s="296"/>
      <c r="F756" s="296"/>
      <c r="G756" s="326"/>
      <c r="H756" s="324"/>
      <c r="I756" s="325"/>
      <c r="J756" s="325"/>
      <c r="K756" s="318"/>
      <c r="L756" s="318"/>
      <c r="M756" s="319" t="str">
        <f>IFERROR(VLOOKUP(H756,Lijsten!$H$1:$I$100,2,0),"")</f>
        <v/>
      </c>
      <c r="N756" s="319" t="str">
        <f ca="1">IFERROR(IF(VLOOKUP(F756,Kostentypen!$A$3:$E$21,3,0)=0,"",IF(OR(F756="Arbeidskosten",F756="Vergoeding"),VLOOKUP(G756,Tb_KostenTypen[],2,0),VLOOKUP(F756,Kostentypen!$A$3:$E$20,3,0))),"")</f>
        <v/>
      </c>
      <c r="O756" s="320" t="str" cm="1">
        <f t="array" ref="O756">_xlfn.IFNA(IF(INDEX(Tb_KostenOptiesDB[],MATCH($F756,Tb_KostenOptiesDB[KostenOptie],0),IFERROR(MATCH(Methode_Keuze,Tb_KostenOptiesDB[#Headers],0),2))=1,_xlfn.SWITCH($N756,"Uurtarief",IF(OR(AND(RIGHT($F756,3)="IKS",VLOOKUP($M756,DB_Loonkosten,2,0)="Ja"),AND(RIGHT($F756,3)&lt;&gt;"IKS",VLOOKUP($M756,DB_Loonkosten,2,0)="Nee")),IFERROR(VLOOKUP($M756,DB_Loonkosten,24,0),""),0),"Vast tarief",IF(LEFT(F756,8)="Bijdrage",VLOOKUP($F756,Tb_KostenTypen[],MATCH(Lijsten!$P$1,Tb_KostenTypen[#Headers],0),0),VLOOKUP($G756,Lijsten!L:P,MATCH(Lijsten!$P$1,Kop_Tarief_Vast,0),0))),""),"")</f>
        <v/>
      </c>
      <c r="P756" s="320" t="str" cm="1">
        <f t="array" ref="P756">_xlfn.IFNA(IF(INDEX(Tb_KostenOptiesDB[],MATCH($F756,Tb_KostenOptiesDB[KostenOptie],0),IFERROR(MATCH(Methode_Keuze,Tb_KostenOptiesDB[#Headers],0),2))=1,_xlfn.SWITCH($N756,"Uurtarief",IF(OR(AND(RIGHT($F756,3)="IKS",VLOOKUP($M756,DB_Loonkosten,2,0)="Ja"),AND(RIGHT($F756,3)&lt;&gt;"IKS",VLOOKUP($M756,DB_Loonkosten,2,0)="Nee")),IFERROR(VLOOKUP($M756,DB_Loonkosten,25,0),""),0),"Vast tarief",IF(LEFT(F756,8)="Bijdrage",VLOOKUP($F756,Tb_KostenTypen[],MATCH(Lijsten!$P$1,Tb_KostenTypen[#Headers],0),0),VLOOKUP($G756,Lijsten!L:P,MATCH(Lijsten!$P$1,Kop_Tarief_Vast,0),0))),""),"")</f>
        <v/>
      </c>
      <c r="Q756" s="359"/>
      <c r="R756" s="359"/>
      <c r="S756" s="321"/>
      <c r="T756" s="321"/>
      <c r="U756" s="373" t="str">
        <f t="shared" si="44"/>
        <v/>
      </c>
      <c r="V756" s="314" t="str">
        <f t="shared" si="45"/>
        <v/>
      </c>
      <c r="W756" s="314" t="str" cm="1">
        <f t="array" aca="1" ref="W756" ca="1">IFERROR(IF(AE756&lt;&gt;"ja",_xlfn.IFNA(_xlfn.IFS(AND(O756&lt;&gt;"",F756&lt;&gt;"",RIGHT($N756,6)="tarief",F756="Vergoeding"),SUM(O756)*FLOOR(SUM(Q756),0.0001),AND(O756&lt;&gt;"",F756&lt;&gt;"",RIGHT($N756,6)="tarief"),SUM(O756)*FLOOR(SUM(Q756),0.01),S756&gt;0,IF(F756&lt;&gt;"",FLOOR(SUM(S756),0.01),"")),""),""),"")</f>
        <v/>
      </c>
      <c r="X756" s="314" t="str" cm="1">
        <f t="array" aca="1" ref="X756" ca="1">IFERROR(IF(AE756&lt;&gt;"ja",_xlfn.IFNA(_xlfn.IFS(AND(P756&lt;&gt;"",R756&lt;&gt;"",RIGHT($N756,6)="tarief",F756="Vergoeding"),SUM(P756)*FLOOR(SUM(R756),0.0001),AND(P756&lt;&gt;"",R756&lt;&gt;"",RIGHT($N756,6)="tarief"),P756*FLOOR(R756,0.01),T756&gt;0,FLOOR(SUM(T756),0.01)),""),""),"")</f>
        <v/>
      </c>
      <c r="Y756" s="314" t="str">
        <f t="shared" ca="1" si="46"/>
        <v/>
      </c>
      <c r="Z756" s="314" t="str" cm="1">
        <f t="array" aca="1" ref="Z756" ca="1">IFERROR(_xlfn.IFS(OR(F756="",LEFT(Methode_Keuze,4)="Geen",Methode_Keuze=""),"",AND(W756&lt;&gt;"",F756&lt;&gt;"Arbeidskosten"),W756*VLOOKUP(F756,Tb_ProjectKosten[],MATCH(Tb_ProjectKosten[[#Headers],[Forfait_Percentage]],Tb_ProjectKosten[#Headers],0),0),AND(F756="Arbeidskosten",G756&lt;&gt;""),IFERROR(W756*VLOOKUP(G756,Tb_KostenTypen[],3,0)*VLOOKUP(F756,Tb_ProjectKosten[],MATCH(Tb_ProjectKosten[[#Headers],[Forfait_Percentage]],Tb_ProjectKosten[#Headers],0),0),""),W756 &lt;=0,0),"")</f>
        <v/>
      </c>
      <c r="AA756" s="314" t="str" cm="1">
        <f t="array" aca="1" ref="AA756" ca="1">IFERROR(_xlfn.IFS(OR(F756="",LEFT(Methode_Keuze,4)="Geen",Methode_Keuze=""),"",AND(X756&lt;&gt;"",F756&lt;&gt;"Arbeidskosten"),X756*VLOOKUP(F756,Tb_ProjectKosten[],MATCH(Tb_ProjectKosten[[#Headers],[Forfait_Percentage]],Tb_ProjectKosten[#Headers],0),0),AND(F756="Arbeidskosten",G756&lt;&gt;""),IFERROR(X756*VLOOKUP(G756,Tb_KostenTypen[],3,0)*VLOOKUP(F756,Tb_ProjectKosten[],MATCH(Tb_ProjectKosten[[#Headers],[Forfait_Percentage]],Tb_ProjectKosten[#Headers],0),0),""),X756 &lt;=0,0),"")</f>
        <v/>
      </c>
      <c r="AB756" s="314" t="str">
        <f t="shared" ca="1" si="47"/>
        <v/>
      </c>
      <c r="AC756" s="322"/>
      <c r="AD756" s="315"/>
      <c r="AE756" s="32" t="str" cm="1">
        <f t="array" ref="AE756">IFERROR(IF(INDEX(SubsidieTabel!$AD$1:$AG$12,MATCH($F756,SubsidieTabel!$AD$1:$AD$12,0),IFERROR(MATCH(Methode_Keuze,SubsidieTabel!$AD$1:$AG$1,0),2))&lt;&gt;1=TRUE,"ja",""),"")</f>
        <v/>
      </c>
    </row>
    <row r="757" spans="1:31" x14ac:dyDescent="0.25">
      <c r="A757" s="316"/>
      <c r="B757" s="317" t="str">
        <f>IF(A757&lt;&gt;"",_xlfn.MAXIFS($B$1:B756,$A$1:A756,A757)+1,"")</f>
        <v/>
      </c>
      <c r="C757" s="296"/>
      <c r="D757" s="296"/>
      <c r="E757" s="296"/>
      <c r="F757" s="296"/>
      <c r="G757" s="326"/>
      <c r="H757" s="324"/>
      <c r="I757" s="325"/>
      <c r="J757" s="325"/>
      <c r="K757" s="318"/>
      <c r="L757" s="318"/>
      <c r="M757" s="319" t="str">
        <f>IFERROR(VLOOKUP(H757,Lijsten!$H$1:$I$100,2,0),"")</f>
        <v/>
      </c>
      <c r="N757" s="319" t="str">
        <f ca="1">IFERROR(IF(VLOOKUP(F757,Kostentypen!$A$3:$E$21,3,0)=0,"",IF(OR(F757="Arbeidskosten",F757="Vergoeding"),VLOOKUP(G757,Tb_KostenTypen[],2,0),VLOOKUP(F757,Kostentypen!$A$3:$E$20,3,0))),"")</f>
        <v/>
      </c>
      <c r="O757" s="320" t="str" cm="1">
        <f t="array" ref="O757">_xlfn.IFNA(IF(INDEX(Tb_KostenOptiesDB[],MATCH($F757,Tb_KostenOptiesDB[KostenOptie],0),IFERROR(MATCH(Methode_Keuze,Tb_KostenOptiesDB[#Headers],0),2))=1,_xlfn.SWITCH($N757,"Uurtarief",IF(OR(AND(RIGHT($F757,3)="IKS",VLOOKUP($M757,DB_Loonkosten,2,0)="Ja"),AND(RIGHT($F757,3)&lt;&gt;"IKS",VLOOKUP($M757,DB_Loonkosten,2,0)="Nee")),IFERROR(VLOOKUP($M757,DB_Loonkosten,24,0),""),0),"Vast tarief",IF(LEFT(F757,8)="Bijdrage",VLOOKUP($F757,Tb_KostenTypen[],MATCH(Lijsten!$P$1,Tb_KostenTypen[#Headers],0),0),VLOOKUP($G757,Lijsten!L:P,MATCH(Lijsten!$P$1,Kop_Tarief_Vast,0),0))),""),"")</f>
        <v/>
      </c>
      <c r="P757" s="320" t="str" cm="1">
        <f t="array" ref="P757">_xlfn.IFNA(IF(INDEX(Tb_KostenOptiesDB[],MATCH($F757,Tb_KostenOptiesDB[KostenOptie],0),IFERROR(MATCH(Methode_Keuze,Tb_KostenOptiesDB[#Headers],0),2))=1,_xlfn.SWITCH($N757,"Uurtarief",IF(OR(AND(RIGHT($F757,3)="IKS",VLOOKUP($M757,DB_Loonkosten,2,0)="Ja"),AND(RIGHT($F757,3)&lt;&gt;"IKS",VLOOKUP($M757,DB_Loonkosten,2,0)="Nee")),IFERROR(VLOOKUP($M757,DB_Loonkosten,25,0),""),0),"Vast tarief",IF(LEFT(F757,8)="Bijdrage",VLOOKUP($F757,Tb_KostenTypen[],MATCH(Lijsten!$P$1,Tb_KostenTypen[#Headers],0),0),VLOOKUP($G757,Lijsten!L:P,MATCH(Lijsten!$P$1,Kop_Tarief_Vast,0),0))),""),"")</f>
        <v/>
      </c>
      <c r="Q757" s="359"/>
      <c r="R757" s="359"/>
      <c r="S757" s="321"/>
      <c r="T757" s="321"/>
      <c r="U757" s="373" t="str">
        <f t="shared" si="44"/>
        <v/>
      </c>
      <c r="V757" s="314" t="str">
        <f t="shared" si="45"/>
        <v/>
      </c>
      <c r="W757" s="314" t="str" cm="1">
        <f t="array" aca="1" ref="W757" ca="1">IFERROR(IF(AE757&lt;&gt;"ja",_xlfn.IFNA(_xlfn.IFS(AND(O757&lt;&gt;"",F757&lt;&gt;"",RIGHT($N757,6)="tarief",F757="Vergoeding"),SUM(O757)*FLOOR(SUM(Q757),0.0001),AND(O757&lt;&gt;"",F757&lt;&gt;"",RIGHT($N757,6)="tarief"),SUM(O757)*FLOOR(SUM(Q757),0.01),S757&gt;0,IF(F757&lt;&gt;"",FLOOR(SUM(S757),0.01),"")),""),""),"")</f>
        <v/>
      </c>
      <c r="X757" s="314" t="str" cm="1">
        <f t="array" aca="1" ref="X757" ca="1">IFERROR(IF(AE757&lt;&gt;"ja",_xlfn.IFNA(_xlfn.IFS(AND(P757&lt;&gt;"",R757&lt;&gt;"",RIGHT($N757,6)="tarief",F757="Vergoeding"),SUM(P757)*FLOOR(SUM(R757),0.0001),AND(P757&lt;&gt;"",R757&lt;&gt;"",RIGHT($N757,6)="tarief"),P757*FLOOR(R757,0.01),T757&gt;0,FLOOR(SUM(T757),0.01)),""),""),"")</f>
        <v/>
      </c>
      <c r="Y757" s="314" t="str">
        <f t="shared" ca="1" si="46"/>
        <v/>
      </c>
      <c r="Z757" s="314" t="str" cm="1">
        <f t="array" aca="1" ref="Z757" ca="1">IFERROR(_xlfn.IFS(OR(F757="",LEFT(Methode_Keuze,4)="Geen",Methode_Keuze=""),"",AND(W757&lt;&gt;"",F757&lt;&gt;"Arbeidskosten"),W757*VLOOKUP(F757,Tb_ProjectKosten[],MATCH(Tb_ProjectKosten[[#Headers],[Forfait_Percentage]],Tb_ProjectKosten[#Headers],0),0),AND(F757="Arbeidskosten",G757&lt;&gt;""),IFERROR(W757*VLOOKUP(G757,Tb_KostenTypen[],3,0)*VLOOKUP(F757,Tb_ProjectKosten[],MATCH(Tb_ProjectKosten[[#Headers],[Forfait_Percentage]],Tb_ProjectKosten[#Headers],0),0),""),W757 &lt;=0,0),"")</f>
        <v/>
      </c>
      <c r="AA757" s="314" t="str" cm="1">
        <f t="array" aca="1" ref="AA757" ca="1">IFERROR(_xlfn.IFS(OR(F757="",LEFT(Methode_Keuze,4)="Geen",Methode_Keuze=""),"",AND(X757&lt;&gt;"",F757&lt;&gt;"Arbeidskosten"),X757*VLOOKUP(F757,Tb_ProjectKosten[],MATCH(Tb_ProjectKosten[[#Headers],[Forfait_Percentage]],Tb_ProjectKosten[#Headers],0),0),AND(F757="Arbeidskosten",G757&lt;&gt;""),IFERROR(X757*VLOOKUP(G757,Tb_KostenTypen[],3,0)*VLOOKUP(F757,Tb_ProjectKosten[],MATCH(Tb_ProjectKosten[[#Headers],[Forfait_Percentage]],Tb_ProjectKosten[#Headers],0),0),""),X757 &lt;=0,0),"")</f>
        <v/>
      </c>
      <c r="AB757" s="314" t="str">
        <f t="shared" ca="1" si="47"/>
        <v/>
      </c>
      <c r="AC757" s="322"/>
      <c r="AD757" s="315"/>
      <c r="AE757" s="32" t="str" cm="1">
        <f t="array" ref="AE757">IFERROR(IF(INDEX(SubsidieTabel!$AD$1:$AG$12,MATCH($F757,SubsidieTabel!$AD$1:$AD$12,0),IFERROR(MATCH(Methode_Keuze,SubsidieTabel!$AD$1:$AG$1,0),2))&lt;&gt;1=TRUE,"ja",""),"")</f>
        <v/>
      </c>
    </row>
    <row r="758" spans="1:31" x14ac:dyDescent="0.25">
      <c r="A758" s="316"/>
      <c r="B758" s="317" t="str">
        <f>IF(A758&lt;&gt;"",_xlfn.MAXIFS($B$1:B757,$A$1:A757,A758)+1,"")</f>
        <v/>
      </c>
      <c r="C758" s="296"/>
      <c r="D758" s="296"/>
      <c r="E758" s="296"/>
      <c r="F758" s="296"/>
      <c r="G758" s="326"/>
      <c r="H758" s="324"/>
      <c r="I758" s="325"/>
      <c r="J758" s="325"/>
      <c r="K758" s="318"/>
      <c r="L758" s="318"/>
      <c r="M758" s="319" t="str">
        <f>IFERROR(VLOOKUP(H758,Lijsten!$H$1:$I$100,2,0),"")</f>
        <v/>
      </c>
      <c r="N758" s="319" t="str">
        <f ca="1">IFERROR(IF(VLOOKUP(F758,Kostentypen!$A$3:$E$21,3,0)=0,"",IF(OR(F758="Arbeidskosten",F758="Vergoeding"),VLOOKUP(G758,Tb_KostenTypen[],2,0),VLOOKUP(F758,Kostentypen!$A$3:$E$20,3,0))),"")</f>
        <v/>
      </c>
      <c r="O758" s="320" t="str" cm="1">
        <f t="array" ref="O758">_xlfn.IFNA(IF(INDEX(Tb_KostenOptiesDB[],MATCH($F758,Tb_KostenOptiesDB[KostenOptie],0),IFERROR(MATCH(Methode_Keuze,Tb_KostenOptiesDB[#Headers],0),2))=1,_xlfn.SWITCH($N758,"Uurtarief",IF(OR(AND(RIGHT($F758,3)="IKS",VLOOKUP($M758,DB_Loonkosten,2,0)="Ja"),AND(RIGHT($F758,3)&lt;&gt;"IKS",VLOOKUP($M758,DB_Loonkosten,2,0)="Nee")),IFERROR(VLOOKUP($M758,DB_Loonkosten,24,0),""),0),"Vast tarief",IF(LEFT(F758,8)="Bijdrage",VLOOKUP($F758,Tb_KostenTypen[],MATCH(Lijsten!$P$1,Tb_KostenTypen[#Headers],0),0),VLOOKUP($G758,Lijsten!L:P,MATCH(Lijsten!$P$1,Kop_Tarief_Vast,0),0))),""),"")</f>
        <v/>
      </c>
      <c r="P758" s="320" t="str" cm="1">
        <f t="array" ref="P758">_xlfn.IFNA(IF(INDEX(Tb_KostenOptiesDB[],MATCH($F758,Tb_KostenOptiesDB[KostenOptie],0),IFERROR(MATCH(Methode_Keuze,Tb_KostenOptiesDB[#Headers],0),2))=1,_xlfn.SWITCH($N758,"Uurtarief",IF(OR(AND(RIGHT($F758,3)="IKS",VLOOKUP($M758,DB_Loonkosten,2,0)="Ja"),AND(RIGHT($F758,3)&lt;&gt;"IKS",VLOOKUP($M758,DB_Loonkosten,2,0)="Nee")),IFERROR(VLOOKUP($M758,DB_Loonkosten,25,0),""),0),"Vast tarief",IF(LEFT(F758,8)="Bijdrage",VLOOKUP($F758,Tb_KostenTypen[],MATCH(Lijsten!$P$1,Tb_KostenTypen[#Headers],0),0),VLOOKUP($G758,Lijsten!L:P,MATCH(Lijsten!$P$1,Kop_Tarief_Vast,0),0))),""),"")</f>
        <v/>
      </c>
      <c r="Q758" s="359"/>
      <c r="R758" s="359"/>
      <c r="S758" s="321"/>
      <c r="T758" s="321"/>
      <c r="U758" s="373" t="str">
        <f t="shared" si="44"/>
        <v/>
      </c>
      <c r="V758" s="314" t="str">
        <f t="shared" si="45"/>
        <v/>
      </c>
      <c r="W758" s="314" t="str" cm="1">
        <f t="array" aca="1" ref="W758" ca="1">IFERROR(IF(AE758&lt;&gt;"ja",_xlfn.IFNA(_xlfn.IFS(AND(O758&lt;&gt;"",F758&lt;&gt;"",RIGHT($N758,6)="tarief",F758="Vergoeding"),SUM(O758)*FLOOR(SUM(Q758),0.0001),AND(O758&lt;&gt;"",F758&lt;&gt;"",RIGHT($N758,6)="tarief"),SUM(O758)*FLOOR(SUM(Q758),0.01),S758&gt;0,IF(F758&lt;&gt;"",FLOOR(SUM(S758),0.01),"")),""),""),"")</f>
        <v/>
      </c>
      <c r="X758" s="314" t="str" cm="1">
        <f t="array" aca="1" ref="X758" ca="1">IFERROR(IF(AE758&lt;&gt;"ja",_xlfn.IFNA(_xlfn.IFS(AND(P758&lt;&gt;"",R758&lt;&gt;"",RIGHT($N758,6)="tarief",F758="Vergoeding"),SUM(P758)*FLOOR(SUM(R758),0.0001),AND(P758&lt;&gt;"",R758&lt;&gt;"",RIGHT($N758,6)="tarief"),P758*FLOOR(R758,0.01),T758&gt;0,FLOOR(SUM(T758),0.01)),""),""),"")</f>
        <v/>
      </c>
      <c r="Y758" s="314" t="str">
        <f t="shared" ca="1" si="46"/>
        <v/>
      </c>
      <c r="Z758" s="314" t="str" cm="1">
        <f t="array" aca="1" ref="Z758" ca="1">IFERROR(_xlfn.IFS(OR(F758="",LEFT(Methode_Keuze,4)="Geen",Methode_Keuze=""),"",AND(W758&lt;&gt;"",F758&lt;&gt;"Arbeidskosten"),W758*VLOOKUP(F758,Tb_ProjectKosten[],MATCH(Tb_ProjectKosten[[#Headers],[Forfait_Percentage]],Tb_ProjectKosten[#Headers],0),0),AND(F758="Arbeidskosten",G758&lt;&gt;""),IFERROR(W758*VLOOKUP(G758,Tb_KostenTypen[],3,0)*VLOOKUP(F758,Tb_ProjectKosten[],MATCH(Tb_ProjectKosten[[#Headers],[Forfait_Percentage]],Tb_ProjectKosten[#Headers],0),0),""),W758 &lt;=0,0),"")</f>
        <v/>
      </c>
      <c r="AA758" s="314" t="str" cm="1">
        <f t="array" aca="1" ref="AA758" ca="1">IFERROR(_xlfn.IFS(OR(F758="",LEFT(Methode_Keuze,4)="Geen",Methode_Keuze=""),"",AND(X758&lt;&gt;"",F758&lt;&gt;"Arbeidskosten"),X758*VLOOKUP(F758,Tb_ProjectKosten[],MATCH(Tb_ProjectKosten[[#Headers],[Forfait_Percentage]],Tb_ProjectKosten[#Headers],0),0),AND(F758="Arbeidskosten",G758&lt;&gt;""),IFERROR(X758*VLOOKUP(G758,Tb_KostenTypen[],3,0)*VLOOKUP(F758,Tb_ProjectKosten[],MATCH(Tb_ProjectKosten[[#Headers],[Forfait_Percentage]],Tb_ProjectKosten[#Headers],0),0),""),X758 &lt;=0,0),"")</f>
        <v/>
      </c>
      <c r="AB758" s="314" t="str">
        <f t="shared" ca="1" si="47"/>
        <v/>
      </c>
      <c r="AC758" s="322"/>
      <c r="AD758" s="315"/>
      <c r="AE758" s="32" t="str" cm="1">
        <f t="array" ref="AE758">IFERROR(IF(INDEX(SubsidieTabel!$AD$1:$AG$12,MATCH($F758,SubsidieTabel!$AD$1:$AD$12,0),IFERROR(MATCH(Methode_Keuze,SubsidieTabel!$AD$1:$AG$1,0),2))&lt;&gt;1=TRUE,"ja",""),"")</f>
        <v/>
      </c>
    </row>
    <row r="759" spans="1:31" x14ac:dyDescent="0.25">
      <c r="A759" s="316"/>
      <c r="B759" s="317" t="str">
        <f>IF(A759&lt;&gt;"",_xlfn.MAXIFS($B$1:B758,$A$1:A758,A759)+1,"")</f>
        <v/>
      </c>
      <c r="C759" s="296"/>
      <c r="D759" s="296"/>
      <c r="E759" s="296"/>
      <c r="F759" s="296"/>
      <c r="G759" s="326"/>
      <c r="H759" s="324"/>
      <c r="I759" s="325"/>
      <c r="J759" s="325"/>
      <c r="K759" s="318"/>
      <c r="L759" s="318"/>
      <c r="M759" s="319" t="str">
        <f>IFERROR(VLOOKUP(H759,Lijsten!$H$1:$I$100,2,0),"")</f>
        <v/>
      </c>
      <c r="N759" s="319" t="str">
        <f ca="1">IFERROR(IF(VLOOKUP(F759,Kostentypen!$A$3:$E$21,3,0)=0,"",IF(OR(F759="Arbeidskosten",F759="Vergoeding"),VLOOKUP(G759,Tb_KostenTypen[],2,0),VLOOKUP(F759,Kostentypen!$A$3:$E$20,3,0))),"")</f>
        <v/>
      </c>
      <c r="O759" s="320" t="str" cm="1">
        <f t="array" ref="O759">_xlfn.IFNA(IF(INDEX(Tb_KostenOptiesDB[],MATCH($F759,Tb_KostenOptiesDB[KostenOptie],0),IFERROR(MATCH(Methode_Keuze,Tb_KostenOptiesDB[#Headers],0),2))=1,_xlfn.SWITCH($N759,"Uurtarief",IF(OR(AND(RIGHT($F759,3)="IKS",VLOOKUP($M759,DB_Loonkosten,2,0)="Ja"),AND(RIGHT($F759,3)&lt;&gt;"IKS",VLOOKUP($M759,DB_Loonkosten,2,0)="Nee")),IFERROR(VLOOKUP($M759,DB_Loonkosten,24,0),""),0),"Vast tarief",IF(LEFT(F759,8)="Bijdrage",VLOOKUP($F759,Tb_KostenTypen[],MATCH(Lijsten!$P$1,Tb_KostenTypen[#Headers],0),0),VLOOKUP($G759,Lijsten!L:P,MATCH(Lijsten!$P$1,Kop_Tarief_Vast,0),0))),""),"")</f>
        <v/>
      </c>
      <c r="P759" s="320" t="str" cm="1">
        <f t="array" ref="P759">_xlfn.IFNA(IF(INDEX(Tb_KostenOptiesDB[],MATCH($F759,Tb_KostenOptiesDB[KostenOptie],0),IFERROR(MATCH(Methode_Keuze,Tb_KostenOptiesDB[#Headers],0),2))=1,_xlfn.SWITCH($N759,"Uurtarief",IF(OR(AND(RIGHT($F759,3)="IKS",VLOOKUP($M759,DB_Loonkosten,2,0)="Ja"),AND(RIGHT($F759,3)&lt;&gt;"IKS",VLOOKUP($M759,DB_Loonkosten,2,0)="Nee")),IFERROR(VLOOKUP($M759,DB_Loonkosten,25,0),""),0),"Vast tarief",IF(LEFT(F759,8)="Bijdrage",VLOOKUP($F759,Tb_KostenTypen[],MATCH(Lijsten!$P$1,Tb_KostenTypen[#Headers],0),0),VLOOKUP($G759,Lijsten!L:P,MATCH(Lijsten!$P$1,Kop_Tarief_Vast,0),0))),""),"")</f>
        <v/>
      </c>
      <c r="Q759" s="359"/>
      <c r="R759" s="359"/>
      <c r="S759" s="321"/>
      <c r="T759" s="321"/>
      <c r="U759" s="373" t="str">
        <f t="shared" si="44"/>
        <v/>
      </c>
      <c r="V759" s="314" t="str">
        <f t="shared" si="45"/>
        <v/>
      </c>
      <c r="W759" s="314" t="str" cm="1">
        <f t="array" aca="1" ref="W759" ca="1">IFERROR(IF(AE759&lt;&gt;"ja",_xlfn.IFNA(_xlfn.IFS(AND(O759&lt;&gt;"",F759&lt;&gt;"",RIGHT($N759,6)="tarief",F759="Vergoeding"),SUM(O759)*FLOOR(SUM(Q759),0.0001),AND(O759&lt;&gt;"",F759&lt;&gt;"",RIGHT($N759,6)="tarief"),SUM(O759)*FLOOR(SUM(Q759),0.01),S759&gt;0,IF(F759&lt;&gt;"",FLOOR(SUM(S759),0.01),"")),""),""),"")</f>
        <v/>
      </c>
      <c r="X759" s="314" t="str" cm="1">
        <f t="array" aca="1" ref="X759" ca="1">IFERROR(IF(AE759&lt;&gt;"ja",_xlfn.IFNA(_xlfn.IFS(AND(P759&lt;&gt;"",R759&lt;&gt;"",RIGHT($N759,6)="tarief",F759="Vergoeding"),SUM(P759)*FLOOR(SUM(R759),0.0001),AND(P759&lt;&gt;"",R759&lt;&gt;"",RIGHT($N759,6)="tarief"),P759*FLOOR(R759,0.01),T759&gt;0,FLOOR(SUM(T759),0.01)),""),""),"")</f>
        <v/>
      </c>
      <c r="Y759" s="314" t="str">
        <f t="shared" ca="1" si="46"/>
        <v/>
      </c>
      <c r="Z759" s="314" t="str" cm="1">
        <f t="array" aca="1" ref="Z759" ca="1">IFERROR(_xlfn.IFS(OR(F759="",LEFT(Methode_Keuze,4)="Geen",Methode_Keuze=""),"",AND(W759&lt;&gt;"",F759&lt;&gt;"Arbeidskosten"),W759*VLOOKUP(F759,Tb_ProjectKosten[],MATCH(Tb_ProjectKosten[[#Headers],[Forfait_Percentage]],Tb_ProjectKosten[#Headers],0),0),AND(F759="Arbeidskosten",G759&lt;&gt;""),IFERROR(W759*VLOOKUP(G759,Tb_KostenTypen[],3,0)*VLOOKUP(F759,Tb_ProjectKosten[],MATCH(Tb_ProjectKosten[[#Headers],[Forfait_Percentage]],Tb_ProjectKosten[#Headers],0),0),""),W759 &lt;=0,0),"")</f>
        <v/>
      </c>
      <c r="AA759" s="314" t="str" cm="1">
        <f t="array" aca="1" ref="AA759" ca="1">IFERROR(_xlfn.IFS(OR(F759="",LEFT(Methode_Keuze,4)="Geen",Methode_Keuze=""),"",AND(X759&lt;&gt;"",F759&lt;&gt;"Arbeidskosten"),X759*VLOOKUP(F759,Tb_ProjectKosten[],MATCH(Tb_ProjectKosten[[#Headers],[Forfait_Percentage]],Tb_ProjectKosten[#Headers],0),0),AND(F759="Arbeidskosten",G759&lt;&gt;""),IFERROR(X759*VLOOKUP(G759,Tb_KostenTypen[],3,0)*VLOOKUP(F759,Tb_ProjectKosten[],MATCH(Tb_ProjectKosten[[#Headers],[Forfait_Percentage]],Tb_ProjectKosten[#Headers],0),0),""),X759 &lt;=0,0),"")</f>
        <v/>
      </c>
      <c r="AB759" s="314" t="str">
        <f t="shared" ca="1" si="47"/>
        <v/>
      </c>
      <c r="AC759" s="322"/>
      <c r="AD759" s="315"/>
      <c r="AE759" s="32" t="str" cm="1">
        <f t="array" ref="AE759">IFERROR(IF(INDEX(SubsidieTabel!$AD$1:$AG$12,MATCH($F759,SubsidieTabel!$AD$1:$AD$12,0),IFERROR(MATCH(Methode_Keuze,SubsidieTabel!$AD$1:$AG$1,0),2))&lt;&gt;1=TRUE,"ja",""),"")</f>
        <v/>
      </c>
    </row>
    <row r="760" spans="1:31" x14ac:dyDescent="0.25">
      <c r="A760" s="316"/>
      <c r="B760" s="317" t="str">
        <f>IF(A760&lt;&gt;"",_xlfn.MAXIFS($B$1:B759,$A$1:A759,A760)+1,"")</f>
        <v/>
      </c>
      <c r="C760" s="296"/>
      <c r="D760" s="296"/>
      <c r="E760" s="296"/>
      <c r="F760" s="296"/>
      <c r="G760" s="326"/>
      <c r="H760" s="324"/>
      <c r="I760" s="325"/>
      <c r="J760" s="325"/>
      <c r="K760" s="318"/>
      <c r="L760" s="318"/>
      <c r="M760" s="319" t="str">
        <f>IFERROR(VLOOKUP(H760,Lijsten!$H$1:$I$100,2,0),"")</f>
        <v/>
      </c>
      <c r="N760" s="319" t="str">
        <f ca="1">IFERROR(IF(VLOOKUP(F760,Kostentypen!$A$3:$E$21,3,0)=0,"",IF(OR(F760="Arbeidskosten",F760="Vergoeding"),VLOOKUP(G760,Tb_KostenTypen[],2,0),VLOOKUP(F760,Kostentypen!$A$3:$E$20,3,0))),"")</f>
        <v/>
      </c>
      <c r="O760" s="320" t="str" cm="1">
        <f t="array" ref="O760">_xlfn.IFNA(IF(INDEX(Tb_KostenOptiesDB[],MATCH($F760,Tb_KostenOptiesDB[KostenOptie],0),IFERROR(MATCH(Methode_Keuze,Tb_KostenOptiesDB[#Headers],0),2))=1,_xlfn.SWITCH($N760,"Uurtarief",IF(OR(AND(RIGHT($F760,3)="IKS",VLOOKUP($M760,DB_Loonkosten,2,0)="Ja"),AND(RIGHT($F760,3)&lt;&gt;"IKS",VLOOKUP($M760,DB_Loonkosten,2,0)="Nee")),IFERROR(VLOOKUP($M760,DB_Loonkosten,24,0),""),0),"Vast tarief",IF(LEFT(F760,8)="Bijdrage",VLOOKUP($F760,Tb_KostenTypen[],MATCH(Lijsten!$P$1,Tb_KostenTypen[#Headers],0),0),VLOOKUP($G760,Lijsten!L:P,MATCH(Lijsten!$P$1,Kop_Tarief_Vast,0),0))),""),"")</f>
        <v/>
      </c>
      <c r="P760" s="320" t="str" cm="1">
        <f t="array" ref="P760">_xlfn.IFNA(IF(INDEX(Tb_KostenOptiesDB[],MATCH($F760,Tb_KostenOptiesDB[KostenOptie],0),IFERROR(MATCH(Methode_Keuze,Tb_KostenOptiesDB[#Headers],0),2))=1,_xlfn.SWITCH($N760,"Uurtarief",IF(OR(AND(RIGHT($F760,3)="IKS",VLOOKUP($M760,DB_Loonkosten,2,0)="Ja"),AND(RIGHT($F760,3)&lt;&gt;"IKS",VLOOKUP($M760,DB_Loonkosten,2,0)="Nee")),IFERROR(VLOOKUP($M760,DB_Loonkosten,25,0),""),0),"Vast tarief",IF(LEFT(F760,8)="Bijdrage",VLOOKUP($F760,Tb_KostenTypen[],MATCH(Lijsten!$P$1,Tb_KostenTypen[#Headers],0),0),VLOOKUP($G760,Lijsten!L:P,MATCH(Lijsten!$P$1,Kop_Tarief_Vast,0),0))),""),"")</f>
        <v/>
      </c>
      <c r="Q760" s="359"/>
      <c r="R760" s="359"/>
      <c r="S760" s="321"/>
      <c r="T760" s="321"/>
      <c r="U760" s="373" t="str">
        <f t="shared" si="44"/>
        <v/>
      </c>
      <c r="V760" s="314" t="str">
        <f t="shared" si="45"/>
        <v/>
      </c>
      <c r="W760" s="314" t="str" cm="1">
        <f t="array" aca="1" ref="W760" ca="1">IFERROR(IF(AE760&lt;&gt;"ja",_xlfn.IFNA(_xlfn.IFS(AND(O760&lt;&gt;"",F760&lt;&gt;"",RIGHT($N760,6)="tarief",F760="Vergoeding"),SUM(O760)*FLOOR(SUM(Q760),0.0001),AND(O760&lt;&gt;"",F760&lt;&gt;"",RIGHT($N760,6)="tarief"),SUM(O760)*FLOOR(SUM(Q760),0.01),S760&gt;0,IF(F760&lt;&gt;"",FLOOR(SUM(S760),0.01),"")),""),""),"")</f>
        <v/>
      </c>
      <c r="X760" s="314" t="str" cm="1">
        <f t="array" aca="1" ref="X760" ca="1">IFERROR(IF(AE760&lt;&gt;"ja",_xlfn.IFNA(_xlfn.IFS(AND(P760&lt;&gt;"",R760&lt;&gt;"",RIGHT($N760,6)="tarief",F760="Vergoeding"),SUM(P760)*FLOOR(SUM(R760),0.0001),AND(P760&lt;&gt;"",R760&lt;&gt;"",RIGHT($N760,6)="tarief"),P760*FLOOR(R760,0.01),T760&gt;0,FLOOR(SUM(T760),0.01)),""),""),"")</f>
        <v/>
      </c>
      <c r="Y760" s="314" t="str">
        <f t="shared" ca="1" si="46"/>
        <v/>
      </c>
      <c r="Z760" s="314" t="str" cm="1">
        <f t="array" aca="1" ref="Z760" ca="1">IFERROR(_xlfn.IFS(OR(F760="",LEFT(Methode_Keuze,4)="Geen",Methode_Keuze=""),"",AND(W760&lt;&gt;"",F760&lt;&gt;"Arbeidskosten"),W760*VLOOKUP(F760,Tb_ProjectKosten[],MATCH(Tb_ProjectKosten[[#Headers],[Forfait_Percentage]],Tb_ProjectKosten[#Headers],0),0),AND(F760="Arbeidskosten",G760&lt;&gt;""),IFERROR(W760*VLOOKUP(G760,Tb_KostenTypen[],3,0)*VLOOKUP(F760,Tb_ProjectKosten[],MATCH(Tb_ProjectKosten[[#Headers],[Forfait_Percentage]],Tb_ProjectKosten[#Headers],0),0),""),W760 &lt;=0,0),"")</f>
        <v/>
      </c>
      <c r="AA760" s="314" t="str" cm="1">
        <f t="array" aca="1" ref="AA760" ca="1">IFERROR(_xlfn.IFS(OR(F760="",LEFT(Methode_Keuze,4)="Geen",Methode_Keuze=""),"",AND(X760&lt;&gt;"",F760&lt;&gt;"Arbeidskosten"),X760*VLOOKUP(F760,Tb_ProjectKosten[],MATCH(Tb_ProjectKosten[[#Headers],[Forfait_Percentage]],Tb_ProjectKosten[#Headers],0),0),AND(F760="Arbeidskosten",G760&lt;&gt;""),IFERROR(X760*VLOOKUP(G760,Tb_KostenTypen[],3,0)*VLOOKUP(F760,Tb_ProjectKosten[],MATCH(Tb_ProjectKosten[[#Headers],[Forfait_Percentage]],Tb_ProjectKosten[#Headers],0),0),""),X760 &lt;=0,0),"")</f>
        <v/>
      </c>
      <c r="AB760" s="314" t="str">
        <f t="shared" ca="1" si="47"/>
        <v/>
      </c>
      <c r="AC760" s="322"/>
      <c r="AD760" s="315"/>
      <c r="AE760" s="32" t="str" cm="1">
        <f t="array" ref="AE760">IFERROR(IF(INDEX(SubsidieTabel!$AD$1:$AG$12,MATCH($F760,SubsidieTabel!$AD$1:$AD$12,0),IFERROR(MATCH(Methode_Keuze,SubsidieTabel!$AD$1:$AG$1,0),2))&lt;&gt;1=TRUE,"ja",""),"")</f>
        <v/>
      </c>
    </row>
    <row r="761" spans="1:31" x14ac:dyDescent="0.25">
      <c r="A761" s="316"/>
      <c r="B761" s="317" t="str">
        <f>IF(A761&lt;&gt;"",_xlfn.MAXIFS($B$1:B760,$A$1:A760,A761)+1,"")</f>
        <v/>
      </c>
      <c r="C761" s="296"/>
      <c r="D761" s="296"/>
      <c r="E761" s="296"/>
      <c r="F761" s="296"/>
      <c r="G761" s="326"/>
      <c r="H761" s="324"/>
      <c r="I761" s="325"/>
      <c r="J761" s="325"/>
      <c r="K761" s="318"/>
      <c r="L761" s="318"/>
      <c r="M761" s="319" t="str">
        <f>IFERROR(VLOOKUP(H761,Lijsten!$H$1:$I$100,2,0),"")</f>
        <v/>
      </c>
      <c r="N761" s="319" t="str">
        <f ca="1">IFERROR(IF(VLOOKUP(F761,Kostentypen!$A$3:$E$21,3,0)=0,"",IF(OR(F761="Arbeidskosten",F761="Vergoeding"),VLOOKUP(G761,Tb_KostenTypen[],2,0),VLOOKUP(F761,Kostentypen!$A$3:$E$20,3,0))),"")</f>
        <v/>
      </c>
      <c r="O761" s="320" t="str" cm="1">
        <f t="array" ref="O761">_xlfn.IFNA(IF(INDEX(Tb_KostenOptiesDB[],MATCH($F761,Tb_KostenOptiesDB[KostenOptie],0),IFERROR(MATCH(Methode_Keuze,Tb_KostenOptiesDB[#Headers],0),2))=1,_xlfn.SWITCH($N761,"Uurtarief",IF(OR(AND(RIGHT($F761,3)="IKS",VLOOKUP($M761,DB_Loonkosten,2,0)="Ja"),AND(RIGHT($F761,3)&lt;&gt;"IKS",VLOOKUP($M761,DB_Loonkosten,2,0)="Nee")),IFERROR(VLOOKUP($M761,DB_Loonkosten,24,0),""),0),"Vast tarief",IF(LEFT(F761,8)="Bijdrage",VLOOKUP($F761,Tb_KostenTypen[],MATCH(Lijsten!$P$1,Tb_KostenTypen[#Headers],0),0),VLOOKUP($G761,Lijsten!L:P,MATCH(Lijsten!$P$1,Kop_Tarief_Vast,0),0))),""),"")</f>
        <v/>
      </c>
      <c r="P761" s="320" t="str" cm="1">
        <f t="array" ref="P761">_xlfn.IFNA(IF(INDEX(Tb_KostenOptiesDB[],MATCH($F761,Tb_KostenOptiesDB[KostenOptie],0),IFERROR(MATCH(Methode_Keuze,Tb_KostenOptiesDB[#Headers],0),2))=1,_xlfn.SWITCH($N761,"Uurtarief",IF(OR(AND(RIGHT($F761,3)="IKS",VLOOKUP($M761,DB_Loonkosten,2,0)="Ja"),AND(RIGHT($F761,3)&lt;&gt;"IKS",VLOOKUP($M761,DB_Loonkosten,2,0)="Nee")),IFERROR(VLOOKUP($M761,DB_Loonkosten,25,0),""),0),"Vast tarief",IF(LEFT(F761,8)="Bijdrage",VLOOKUP($F761,Tb_KostenTypen[],MATCH(Lijsten!$P$1,Tb_KostenTypen[#Headers],0),0),VLOOKUP($G761,Lijsten!L:P,MATCH(Lijsten!$P$1,Kop_Tarief_Vast,0),0))),""),"")</f>
        <v/>
      </c>
      <c r="Q761" s="359"/>
      <c r="R761" s="359"/>
      <c r="S761" s="321"/>
      <c r="T761" s="321"/>
      <c r="U761" s="373" t="str">
        <f t="shared" si="44"/>
        <v/>
      </c>
      <c r="V761" s="314" t="str">
        <f t="shared" si="45"/>
        <v/>
      </c>
      <c r="W761" s="314" t="str" cm="1">
        <f t="array" aca="1" ref="W761" ca="1">IFERROR(IF(AE761&lt;&gt;"ja",_xlfn.IFNA(_xlfn.IFS(AND(O761&lt;&gt;"",F761&lt;&gt;"",RIGHT($N761,6)="tarief",F761="Vergoeding"),SUM(O761)*FLOOR(SUM(Q761),0.0001),AND(O761&lt;&gt;"",F761&lt;&gt;"",RIGHT($N761,6)="tarief"),SUM(O761)*FLOOR(SUM(Q761),0.01),S761&gt;0,IF(F761&lt;&gt;"",FLOOR(SUM(S761),0.01),"")),""),""),"")</f>
        <v/>
      </c>
      <c r="X761" s="314" t="str" cm="1">
        <f t="array" aca="1" ref="X761" ca="1">IFERROR(IF(AE761&lt;&gt;"ja",_xlfn.IFNA(_xlfn.IFS(AND(P761&lt;&gt;"",R761&lt;&gt;"",RIGHT($N761,6)="tarief",F761="Vergoeding"),SUM(P761)*FLOOR(SUM(R761),0.0001),AND(P761&lt;&gt;"",R761&lt;&gt;"",RIGHT($N761,6)="tarief"),P761*FLOOR(R761,0.01),T761&gt;0,FLOOR(SUM(T761),0.01)),""),""),"")</f>
        <v/>
      </c>
      <c r="Y761" s="314" t="str">
        <f t="shared" ca="1" si="46"/>
        <v/>
      </c>
      <c r="Z761" s="314" t="str" cm="1">
        <f t="array" aca="1" ref="Z761" ca="1">IFERROR(_xlfn.IFS(OR(F761="",LEFT(Methode_Keuze,4)="Geen",Methode_Keuze=""),"",AND(W761&lt;&gt;"",F761&lt;&gt;"Arbeidskosten"),W761*VLOOKUP(F761,Tb_ProjectKosten[],MATCH(Tb_ProjectKosten[[#Headers],[Forfait_Percentage]],Tb_ProjectKosten[#Headers],0),0),AND(F761="Arbeidskosten",G761&lt;&gt;""),IFERROR(W761*VLOOKUP(G761,Tb_KostenTypen[],3,0)*VLOOKUP(F761,Tb_ProjectKosten[],MATCH(Tb_ProjectKosten[[#Headers],[Forfait_Percentage]],Tb_ProjectKosten[#Headers],0),0),""),W761 &lt;=0,0),"")</f>
        <v/>
      </c>
      <c r="AA761" s="314" t="str" cm="1">
        <f t="array" aca="1" ref="AA761" ca="1">IFERROR(_xlfn.IFS(OR(F761="",LEFT(Methode_Keuze,4)="Geen",Methode_Keuze=""),"",AND(X761&lt;&gt;"",F761&lt;&gt;"Arbeidskosten"),X761*VLOOKUP(F761,Tb_ProjectKosten[],MATCH(Tb_ProjectKosten[[#Headers],[Forfait_Percentage]],Tb_ProjectKosten[#Headers],0),0),AND(F761="Arbeidskosten",G761&lt;&gt;""),IFERROR(X761*VLOOKUP(G761,Tb_KostenTypen[],3,0)*VLOOKUP(F761,Tb_ProjectKosten[],MATCH(Tb_ProjectKosten[[#Headers],[Forfait_Percentage]],Tb_ProjectKosten[#Headers],0),0),""),X761 &lt;=0,0),"")</f>
        <v/>
      </c>
      <c r="AB761" s="314" t="str">
        <f t="shared" ca="1" si="47"/>
        <v/>
      </c>
      <c r="AC761" s="322"/>
      <c r="AD761" s="315"/>
      <c r="AE761" s="32" t="str" cm="1">
        <f t="array" ref="AE761">IFERROR(IF(INDEX(SubsidieTabel!$AD$1:$AG$12,MATCH($F761,SubsidieTabel!$AD$1:$AD$12,0),IFERROR(MATCH(Methode_Keuze,SubsidieTabel!$AD$1:$AG$1,0),2))&lt;&gt;1=TRUE,"ja",""),"")</f>
        <v/>
      </c>
    </row>
    <row r="762" spans="1:31" x14ac:dyDescent="0.25">
      <c r="A762" s="316"/>
      <c r="B762" s="317" t="str">
        <f>IF(A762&lt;&gt;"",_xlfn.MAXIFS($B$1:B761,$A$1:A761,A762)+1,"")</f>
        <v/>
      </c>
      <c r="C762" s="296"/>
      <c r="D762" s="296"/>
      <c r="E762" s="296"/>
      <c r="F762" s="296"/>
      <c r="G762" s="326"/>
      <c r="H762" s="324"/>
      <c r="I762" s="325"/>
      <c r="J762" s="325"/>
      <c r="K762" s="318"/>
      <c r="L762" s="318"/>
      <c r="M762" s="319" t="str">
        <f>IFERROR(VLOOKUP(H762,Lijsten!$H$1:$I$100,2,0),"")</f>
        <v/>
      </c>
      <c r="N762" s="319" t="str">
        <f ca="1">IFERROR(IF(VLOOKUP(F762,Kostentypen!$A$3:$E$21,3,0)=0,"",IF(OR(F762="Arbeidskosten",F762="Vergoeding"),VLOOKUP(G762,Tb_KostenTypen[],2,0),VLOOKUP(F762,Kostentypen!$A$3:$E$20,3,0))),"")</f>
        <v/>
      </c>
      <c r="O762" s="320" t="str" cm="1">
        <f t="array" ref="O762">_xlfn.IFNA(IF(INDEX(Tb_KostenOptiesDB[],MATCH($F762,Tb_KostenOptiesDB[KostenOptie],0),IFERROR(MATCH(Methode_Keuze,Tb_KostenOptiesDB[#Headers],0),2))=1,_xlfn.SWITCH($N762,"Uurtarief",IF(OR(AND(RIGHT($F762,3)="IKS",VLOOKUP($M762,DB_Loonkosten,2,0)="Ja"),AND(RIGHT($F762,3)&lt;&gt;"IKS",VLOOKUP($M762,DB_Loonkosten,2,0)="Nee")),IFERROR(VLOOKUP($M762,DB_Loonkosten,24,0),""),0),"Vast tarief",IF(LEFT(F762,8)="Bijdrage",VLOOKUP($F762,Tb_KostenTypen[],MATCH(Lijsten!$P$1,Tb_KostenTypen[#Headers],0),0),VLOOKUP($G762,Lijsten!L:P,MATCH(Lijsten!$P$1,Kop_Tarief_Vast,0),0))),""),"")</f>
        <v/>
      </c>
      <c r="P762" s="320" t="str" cm="1">
        <f t="array" ref="P762">_xlfn.IFNA(IF(INDEX(Tb_KostenOptiesDB[],MATCH($F762,Tb_KostenOptiesDB[KostenOptie],0),IFERROR(MATCH(Methode_Keuze,Tb_KostenOptiesDB[#Headers],0),2))=1,_xlfn.SWITCH($N762,"Uurtarief",IF(OR(AND(RIGHT($F762,3)="IKS",VLOOKUP($M762,DB_Loonkosten,2,0)="Ja"),AND(RIGHT($F762,3)&lt;&gt;"IKS",VLOOKUP($M762,DB_Loonkosten,2,0)="Nee")),IFERROR(VLOOKUP($M762,DB_Loonkosten,25,0),""),0),"Vast tarief",IF(LEFT(F762,8)="Bijdrage",VLOOKUP($F762,Tb_KostenTypen[],MATCH(Lijsten!$P$1,Tb_KostenTypen[#Headers],0),0),VLOOKUP($G762,Lijsten!L:P,MATCH(Lijsten!$P$1,Kop_Tarief_Vast,0),0))),""),"")</f>
        <v/>
      </c>
      <c r="Q762" s="359"/>
      <c r="R762" s="359"/>
      <c r="S762" s="321"/>
      <c r="T762" s="321"/>
      <c r="U762" s="373" t="str">
        <f t="shared" si="44"/>
        <v/>
      </c>
      <c r="V762" s="314" t="str">
        <f t="shared" si="45"/>
        <v/>
      </c>
      <c r="W762" s="314" t="str" cm="1">
        <f t="array" aca="1" ref="W762" ca="1">IFERROR(IF(AE762&lt;&gt;"ja",_xlfn.IFNA(_xlfn.IFS(AND(O762&lt;&gt;"",F762&lt;&gt;"",RIGHT($N762,6)="tarief",F762="Vergoeding"),SUM(O762)*FLOOR(SUM(Q762),0.0001),AND(O762&lt;&gt;"",F762&lt;&gt;"",RIGHT($N762,6)="tarief"),SUM(O762)*FLOOR(SUM(Q762),0.01),S762&gt;0,IF(F762&lt;&gt;"",FLOOR(SUM(S762),0.01),"")),""),""),"")</f>
        <v/>
      </c>
      <c r="X762" s="314" t="str" cm="1">
        <f t="array" aca="1" ref="X762" ca="1">IFERROR(IF(AE762&lt;&gt;"ja",_xlfn.IFNA(_xlfn.IFS(AND(P762&lt;&gt;"",R762&lt;&gt;"",RIGHT($N762,6)="tarief",F762="Vergoeding"),SUM(P762)*FLOOR(SUM(R762),0.0001),AND(P762&lt;&gt;"",R762&lt;&gt;"",RIGHT($N762,6)="tarief"),P762*FLOOR(R762,0.01),T762&gt;0,FLOOR(SUM(T762),0.01)),""),""),"")</f>
        <v/>
      </c>
      <c r="Y762" s="314" t="str">
        <f t="shared" ca="1" si="46"/>
        <v/>
      </c>
      <c r="Z762" s="314" t="str" cm="1">
        <f t="array" aca="1" ref="Z762" ca="1">IFERROR(_xlfn.IFS(OR(F762="",LEFT(Methode_Keuze,4)="Geen",Methode_Keuze=""),"",AND(W762&lt;&gt;"",F762&lt;&gt;"Arbeidskosten"),W762*VLOOKUP(F762,Tb_ProjectKosten[],MATCH(Tb_ProjectKosten[[#Headers],[Forfait_Percentage]],Tb_ProjectKosten[#Headers],0),0),AND(F762="Arbeidskosten",G762&lt;&gt;""),IFERROR(W762*VLOOKUP(G762,Tb_KostenTypen[],3,0)*VLOOKUP(F762,Tb_ProjectKosten[],MATCH(Tb_ProjectKosten[[#Headers],[Forfait_Percentage]],Tb_ProjectKosten[#Headers],0),0),""),W762 &lt;=0,0),"")</f>
        <v/>
      </c>
      <c r="AA762" s="314" t="str" cm="1">
        <f t="array" aca="1" ref="AA762" ca="1">IFERROR(_xlfn.IFS(OR(F762="",LEFT(Methode_Keuze,4)="Geen",Methode_Keuze=""),"",AND(X762&lt;&gt;"",F762&lt;&gt;"Arbeidskosten"),X762*VLOOKUP(F762,Tb_ProjectKosten[],MATCH(Tb_ProjectKosten[[#Headers],[Forfait_Percentage]],Tb_ProjectKosten[#Headers],0),0),AND(F762="Arbeidskosten",G762&lt;&gt;""),IFERROR(X762*VLOOKUP(G762,Tb_KostenTypen[],3,0)*VLOOKUP(F762,Tb_ProjectKosten[],MATCH(Tb_ProjectKosten[[#Headers],[Forfait_Percentage]],Tb_ProjectKosten[#Headers],0),0),""),X762 &lt;=0,0),"")</f>
        <v/>
      </c>
      <c r="AB762" s="314" t="str">
        <f t="shared" ca="1" si="47"/>
        <v/>
      </c>
      <c r="AC762" s="322"/>
      <c r="AD762" s="315"/>
      <c r="AE762" s="32" t="str" cm="1">
        <f t="array" ref="AE762">IFERROR(IF(INDEX(SubsidieTabel!$AD$1:$AG$12,MATCH($F762,SubsidieTabel!$AD$1:$AD$12,0),IFERROR(MATCH(Methode_Keuze,SubsidieTabel!$AD$1:$AG$1,0),2))&lt;&gt;1=TRUE,"ja",""),"")</f>
        <v/>
      </c>
    </row>
    <row r="763" spans="1:31" x14ac:dyDescent="0.25">
      <c r="A763" s="316"/>
      <c r="B763" s="317" t="str">
        <f>IF(A763&lt;&gt;"",_xlfn.MAXIFS($B$1:B762,$A$1:A762,A763)+1,"")</f>
        <v/>
      </c>
      <c r="C763" s="296"/>
      <c r="D763" s="296"/>
      <c r="E763" s="296"/>
      <c r="F763" s="296"/>
      <c r="G763" s="326"/>
      <c r="H763" s="324"/>
      <c r="I763" s="325"/>
      <c r="J763" s="325"/>
      <c r="K763" s="318"/>
      <c r="L763" s="318"/>
      <c r="M763" s="319" t="str">
        <f>IFERROR(VLOOKUP(H763,Lijsten!$H$1:$I$100,2,0),"")</f>
        <v/>
      </c>
      <c r="N763" s="319" t="str">
        <f ca="1">IFERROR(IF(VLOOKUP(F763,Kostentypen!$A$3:$E$21,3,0)=0,"",IF(OR(F763="Arbeidskosten",F763="Vergoeding"),VLOOKUP(G763,Tb_KostenTypen[],2,0),VLOOKUP(F763,Kostentypen!$A$3:$E$20,3,0))),"")</f>
        <v/>
      </c>
      <c r="O763" s="320" t="str" cm="1">
        <f t="array" ref="O763">_xlfn.IFNA(IF(INDEX(Tb_KostenOptiesDB[],MATCH($F763,Tb_KostenOptiesDB[KostenOptie],0),IFERROR(MATCH(Methode_Keuze,Tb_KostenOptiesDB[#Headers],0),2))=1,_xlfn.SWITCH($N763,"Uurtarief",IF(OR(AND(RIGHT($F763,3)="IKS",VLOOKUP($M763,DB_Loonkosten,2,0)="Ja"),AND(RIGHT($F763,3)&lt;&gt;"IKS",VLOOKUP($M763,DB_Loonkosten,2,0)="Nee")),IFERROR(VLOOKUP($M763,DB_Loonkosten,24,0),""),0),"Vast tarief",IF(LEFT(F763,8)="Bijdrage",VLOOKUP($F763,Tb_KostenTypen[],MATCH(Lijsten!$P$1,Tb_KostenTypen[#Headers],0),0),VLOOKUP($G763,Lijsten!L:P,MATCH(Lijsten!$P$1,Kop_Tarief_Vast,0),0))),""),"")</f>
        <v/>
      </c>
      <c r="P763" s="320" t="str" cm="1">
        <f t="array" ref="P763">_xlfn.IFNA(IF(INDEX(Tb_KostenOptiesDB[],MATCH($F763,Tb_KostenOptiesDB[KostenOptie],0),IFERROR(MATCH(Methode_Keuze,Tb_KostenOptiesDB[#Headers],0),2))=1,_xlfn.SWITCH($N763,"Uurtarief",IF(OR(AND(RIGHT($F763,3)="IKS",VLOOKUP($M763,DB_Loonkosten,2,0)="Ja"),AND(RIGHT($F763,3)&lt;&gt;"IKS",VLOOKUP($M763,DB_Loonkosten,2,0)="Nee")),IFERROR(VLOOKUP($M763,DB_Loonkosten,25,0),""),0),"Vast tarief",IF(LEFT(F763,8)="Bijdrage",VLOOKUP($F763,Tb_KostenTypen[],MATCH(Lijsten!$P$1,Tb_KostenTypen[#Headers],0),0),VLOOKUP($G763,Lijsten!L:P,MATCH(Lijsten!$P$1,Kop_Tarief_Vast,0),0))),""),"")</f>
        <v/>
      </c>
      <c r="Q763" s="359"/>
      <c r="R763" s="359"/>
      <c r="S763" s="321"/>
      <c r="T763" s="321"/>
      <c r="U763" s="373" t="str">
        <f t="shared" si="44"/>
        <v/>
      </c>
      <c r="V763" s="314" t="str">
        <f t="shared" si="45"/>
        <v/>
      </c>
      <c r="W763" s="314" t="str" cm="1">
        <f t="array" aca="1" ref="W763" ca="1">IFERROR(IF(AE763&lt;&gt;"ja",_xlfn.IFNA(_xlfn.IFS(AND(O763&lt;&gt;"",F763&lt;&gt;"",RIGHT($N763,6)="tarief",F763="Vergoeding"),SUM(O763)*FLOOR(SUM(Q763),0.0001),AND(O763&lt;&gt;"",F763&lt;&gt;"",RIGHT($N763,6)="tarief"),SUM(O763)*FLOOR(SUM(Q763),0.01),S763&gt;0,IF(F763&lt;&gt;"",FLOOR(SUM(S763),0.01),"")),""),""),"")</f>
        <v/>
      </c>
      <c r="X763" s="314" t="str" cm="1">
        <f t="array" aca="1" ref="X763" ca="1">IFERROR(IF(AE763&lt;&gt;"ja",_xlfn.IFNA(_xlfn.IFS(AND(P763&lt;&gt;"",R763&lt;&gt;"",RIGHT($N763,6)="tarief",F763="Vergoeding"),SUM(P763)*FLOOR(SUM(R763),0.0001),AND(P763&lt;&gt;"",R763&lt;&gt;"",RIGHT($N763,6)="tarief"),P763*FLOOR(R763,0.01),T763&gt;0,FLOOR(SUM(T763),0.01)),""),""),"")</f>
        <v/>
      </c>
      <c r="Y763" s="314" t="str">
        <f t="shared" ca="1" si="46"/>
        <v/>
      </c>
      <c r="Z763" s="314" t="str" cm="1">
        <f t="array" aca="1" ref="Z763" ca="1">IFERROR(_xlfn.IFS(OR(F763="",LEFT(Methode_Keuze,4)="Geen",Methode_Keuze=""),"",AND(W763&lt;&gt;"",F763&lt;&gt;"Arbeidskosten"),W763*VLOOKUP(F763,Tb_ProjectKosten[],MATCH(Tb_ProjectKosten[[#Headers],[Forfait_Percentage]],Tb_ProjectKosten[#Headers],0),0),AND(F763="Arbeidskosten",G763&lt;&gt;""),IFERROR(W763*VLOOKUP(G763,Tb_KostenTypen[],3,0)*VLOOKUP(F763,Tb_ProjectKosten[],MATCH(Tb_ProjectKosten[[#Headers],[Forfait_Percentage]],Tb_ProjectKosten[#Headers],0),0),""),W763 &lt;=0,0),"")</f>
        <v/>
      </c>
      <c r="AA763" s="314" t="str" cm="1">
        <f t="array" aca="1" ref="AA763" ca="1">IFERROR(_xlfn.IFS(OR(F763="",LEFT(Methode_Keuze,4)="Geen",Methode_Keuze=""),"",AND(X763&lt;&gt;"",F763&lt;&gt;"Arbeidskosten"),X763*VLOOKUP(F763,Tb_ProjectKosten[],MATCH(Tb_ProjectKosten[[#Headers],[Forfait_Percentage]],Tb_ProjectKosten[#Headers],0),0),AND(F763="Arbeidskosten",G763&lt;&gt;""),IFERROR(X763*VLOOKUP(G763,Tb_KostenTypen[],3,0)*VLOOKUP(F763,Tb_ProjectKosten[],MATCH(Tb_ProjectKosten[[#Headers],[Forfait_Percentage]],Tb_ProjectKosten[#Headers],0),0),""),X763 &lt;=0,0),"")</f>
        <v/>
      </c>
      <c r="AB763" s="314" t="str">
        <f t="shared" ca="1" si="47"/>
        <v/>
      </c>
      <c r="AC763" s="322"/>
      <c r="AD763" s="315"/>
      <c r="AE763" s="32" t="str" cm="1">
        <f t="array" ref="AE763">IFERROR(IF(INDEX(SubsidieTabel!$AD$1:$AG$12,MATCH($F763,SubsidieTabel!$AD$1:$AD$12,0),IFERROR(MATCH(Methode_Keuze,SubsidieTabel!$AD$1:$AG$1,0),2))&lt;&gt;1=TRUE,"ja",""),"")</f>
        <v/>
      </c>
    </row>
    <row r="764" spans="1:31" x14ac:dyDescent="0.25">
      <c r="A764" s="316"/>
      <c r="B764" s="317" t="str">
        <f>IF(A764&lt;&gt;"",_xlfn.MAXIFS($B$1:B763,$A$1:A763,A764)+1,"")</f>
        <v/>
      </c>
      <c r="C764" s="296"/>
      <c r="D764" s="296"/>
      <c r="E764" s="296"/>
      <c r="F764" s="296"/>
      <c r="G764" s="326"/>
      <c r="H764" s="324"/>
      <c r="I764" s="325"/>
      <c r="J764" s="325"/>
      <c r="K764" s="318"/>
      <c r="L764" s="318"/>
      <c r="M764" s="319" t="str">
        <f>IFERROR(VLOOKUP(H764,Lijsten!$H$1:$I$100,2,0),"")</f>
        <v/>
      </c>
      <c r="N764" s="319" t="str">
        <f ca="1">IFERROR(IF(VLOOKUP(F764,Kostentypen!$A$3:$E$21,3,0)=0,"",IF(OR(F764="Arbeidskosten",F764="Vergoeding"),VLOOKUP(G764,Tb_KostenTypen[],2,0),VLOOKUP(F764,Kostentypen!$A$3:$E$20,3,0))),"")</f>
        <v/>
      </c>
      <c r="O764" s="320" t="str" cm="1">
        <f t="array" ref="O764">_xlfn.IFNA(IF(INDEX(Tb_KostenOptiesDB[],MATCH($F764,Tb_KostenOptiesDB[KostenOptie],0),IFERROR(MATCH(Methode_Keuze,Tb_KostenOptiesDB[#Headers],0),2))=1,_xlfn.SWITCH($N764,"Uurtarief",IF(OR(AND(RIGHT($F764,3)="IKS",VLOOKUP($M764,DB_Loonkosten,2,0)="Ja"),AND(RIGHT($F764,3)&lt;&gt;"IKS",VLOOKUP($M764,DB_Loonkosten,2,0)="Nee")),IFERROR(VLOOKUP($M764,DB_Loonkosten,24,0),""),0),"Vast tarief",IF(LEFT(F764,8)="Bijdrage",VLOOKUP($F764,Tb_KostenTypen[],MATCH(Lijsten!$P$1,Tb_KostenTypen[#Headers],0),0),VLOOKUP($G764,Lijsten!L:P,MATCH(Lijsten!$P$1,Kop_Tarief_Vast,0),0))),""),"")</f>
        <v/>
      </c>
      <c r="P764" s="320" t="str" cm="1">
        <f t="array" ref="P764">_xlfn.IFNA(IF(INDEX(Tb_KostenOptiesDB[],MATCH($F764,Tb_KostenOptiesDB[KostenOptie],0),IFERROR(MATCH(Methode_Keuze,Tb_KostenOptiesDB[#Headers],0),2))=1,_xlfn.SWITCH($N764,"Uurtarief",IF(OR(AND(RIGHT($F764,3)="IKS",VLOOKUP($M764,DB_Loonkosten,2,0)="Ja"),AND(RIGHT($F764,3)&lt;&gt;"IKS",VLOOKUP($M764,DB_Loonkosten,2,0)="Nee")),IFERROR(VLOOKUP($M764,DB_Loonkosten,25,0),""),0),"Vast tarief",IF(LEFT(F764,8)="Bijdrage",VLOOKUP($F764,Tb_KostenTypen[],MATCH(Lijsten!$P$1,Tb_KostenTypen[#Headers],0),0),VLOOKUP($G764,Lijsten!L:P,MATCH(Lijsten!$P$1,Kop_Tarief_Vast,0),0))),""),"")</f>
        <v/>
      </c>
      <c r="Q764" s="359"/>
      <c r="R764" s="359"/>
      <c r="S764" s="321"/>
      <c r="T764" s="321"/>
      <c r="U764" s="373" t="str">
        <f t="shared" si="44"/>
        <v/>
      </c>
      <c r="V764" s="314" t="str">
        <f t="shared" si="45"/>
        <v/>
      </c>
      <c r="W764" s="314" t="str" cm="1">
        <f t="array" aca="1" ref="W764" ca="1">IFERROR(IF(AE764&lt;&gt;"ja",_xlfn.IFNA(_xlfn.IFS(AND(O764&lt;&gt;"",F764&lt;&gt;"",RIGHT($N764,6)="tarief",F764="Vergoeding"),SUM(O764)*FLOOR(SUM(Q764),0.0001),AND(O764&lt;&gt;"",F764&lt;&gt;"",RIGHT($N764,6)="tarief"),SUM(O764)*FLOOR(SUM(Q764),0.01),S764&gt;0,IF(F764&lt;&gt;"",FLOOR(SUM(S764),0.01),"")),""),""),"")</f>
        <v/>
      </c>
      <c r="X764" s="314" t="str" cm="1">
        <f t="array" aca="1" ref="X764" ca="1">IFERROR(IF(AE764&lt;&gt;"ja",_xlfn.IFNA(_xlfn.IFS(AND(P764&lt;&gt;"",R764&lt;&gt;"",RIGHT($N764,6)="tarief",F764="Vergoeding"),SUM(P764)*FLOOR(SUM(R764),0.0001),AND(P764&lt;&gt;"",R764&lt;&gt;"",RIGHT($N764,6)="tarief"),P764*FLOOR(R764,0.01),T764&gt;0,FLOOR(SUM(T764),0.01)),""),""),"")</f>
        <v/>
      </c>
      <c r="Y764" s="314" t="str">
        <f t="shared" ca="1" si="46"/>
        <v/>
      </c>
      <c r="Z764" s="314" t="str" cm="1">
        <f t="array" aca="1" ref="Z764" ca="1">IFERROR(_xlfn.IFS(OR(F764="",LEFT(Methode_Keuze,4)="Geen",Methode_Keuze=""),"",AND(W764&lt;&gt;"",F764&lt;&gt;"Arbeidskosten"),W764*VLOOKUP(F764,Tb_ProjectKosten[],MATCH(Tb_ProjectKosten[[#Headers],[Forfait_Percentage]],Tb_ProjectKosten[#Headers],0),0),AND(F764="Arbeidskosten",G764&lt;&gt;""),IFERROR(W764*VLOOKUP(G764,Tb_KostenTypen[],3,0)*VLOOKUP(F764,Tb_ProjectKosten[],MATCH(Tb_ProjectKosten[[#Headers],[Forfait_Percentage]],Tb_ProjectKosten[#Headers],0),0),""),W764 &lt;=0,0),"")</f>
        <v/>
      </c>
      <c r="AA764" s="314" t="str" cm="1">
        <f t="array" aca="1" ref="AA764" ca="1">IFERROR(_xlfn.IFS(OR(F764="",LEFT(Methode_Keuze,4)="Geen",Methode_Keuze=""),"",AND(X764&lt;&gt;"",F764&lt;&gt;"Arbeidskosten"),X764*VLOOKUP(F764,Tb_ProjectKosten[],MATCH(Tb_ProjectKosten[[#Headers],[Forfait_Percentage]],Tb_ProjectKosten[#Headers],0),0),AND(F764="Arbeidskosten",G764&lt;&gt;""),IFERROR(X764*VLOOKUP(G764,Tb_KostenTypen[],3,0)*VLOOKUP(F764,Tb_ProjectKosten[],MATCH(Tb_ProjectKosten[[#Headers],[Forfait_Percentage]],Tb_ProjectKosten[#Headers],0),0),""),X764 &lt;=0,0),"")</f>
        <v/>
      </c>
      <c r="AB764" s="314" t="str">
        <f t="shared" ca="1" si="47"/>
        <v/>
      </c>
      <c r="AC764" s="322"/>
      <c r="AD764" s="315"/>
      <c r="AE764" s="32" t="str" cm="1">
        <f t="array" ref="AE764">IFERROR(IF(INDEX(SubsidieTabel!$AD$1:$AG$12,MATCH($F764,SubsidieTabel!$AD$1:$AD$12,0),IFERROR(MATCH(Methode_Keuze,SubsidieTabel!$AD$1:$AG$1,0),2))&lt;&gt;1=TRUE,"ja",""),"")</f>
        <v/>
      </c>
    </row>
    <row r="765" spans="1:31" x14ac:dyDescent="0.25">
      <c r="A765" s="316"/>
      <c r="B765" s="317" t="str">
        <f>IF(A765&lt;&gt;"",_xlfn.MAXIFS($B$1:B764,$A$1:A764,A765)+1,"")</f>
        <v/>
      </c>
      <c r="C765" s="296"/>
      <c r="D765" s="296"/>
      <c r="E765" s="296"/>
      <c r="F765" s="296"/>
      <c r="G765" s="326"/>
      <c r="H765" s="324"/>
      <c r="I765" s="325"/>
      <c r="J765" s="325"/>
      <c r="K765" s="318"/>
      <c r="L765" s="318"/>
      <c r="M765" s="319" t="str">
        <f>IFERROR(VLOOKUP(H765,Lijsten!$H$1:$I$100,2,0),"")</f>
        <v/>
      </c>
      <c r="N765" s="319" t="str">
        <f ca="1">IFERROR(IF(VLOOKUP(F765,Kostentypen!$A$3:$E$21,3,0)=0,"",IF(OR(F765="Arbeidskosten",F765="Vergoeding"),VLOOKUP(G765,Tb_KostenTypen[],2,0),VLOOKUP(F765,Kostentypen!$A$3:$E$20,3,0))),"")</f>
        <v/>
      </c>
      <c r="O765" s="320" t="str" cm="1">
        <f t="array" ref="O765">_xlfn.IFNA(IF(INDEX(Tb_KostenOptiesDB[],MATCH($F765,Tb_KostenOptiesDB[KostenOptie],0),IFERROR(MATCH(Methode_Keuze,Tb_KostenOptiesDB[#Headers],0),2))=1,_xlfn.SWITCH($N765,"Uurtarief",IF(OR(AND(RIGHT($F765,3)="IKS",VLOOKUP($M765,DB_Loonkosten,2,0)="Ja"),AND(RIGHT($F765,3)&lt;&gt;"IKS",VLOOKUP($M765,DB_Loonkosten,2,0)="Nee")),IFERROR(VLOOKUP($M765,DB_Loonkosten,24,0),""),0),"Vast tarief",IF(LEFT(F765,8)="Bijdrage",VLOOKUP($F765,Tb_KostenTypen[],MATCH(Lijsten!$P$1,Tb_KostenTypen[#Headers],0),0),VLOOKUP($G765,Lijsten!L:P,MATCH(Lijsten!$P$1,Kop_Tarief_Vast,0),0))),""),"")</f>
        <v/>
      </c>
      <c r="P765" s="320" t="str" cm="1">
        <f t="array" ref="P765">_xlfn.IFNA(IF(INDEX(Tb_KostenOptiesDB[],MATCH($F765,Tb_KostenOptiesDB[KostenOptie],0),IFERROR(MATCH(Methode_Keuze,Tb_KostenOptiesDB[#Headers],0),2))=1,_xlfn.SWITCH($N765,"Uurtarief",IF(OR(AND(RIGHT($F765,3)="IKS",VLOOKUP($M765,DB_Loonkosten,2,0)="Ja"),AND(RIGHT($F765,3)&lt;&gt;"IKS",VLOOKUP($M765,DB_Loonkosten,2,0)="Nee")),IFERROR(VLOOKUP($M765,DB_Loonkosten,25,0),""),0),"Vast tarief",IF(LEFT(F765,8)="Bijdrage",VLOOKUP($F765,Tb_KostenTypen[],MATCH(Lijsten!$P$1,Tb_KostenTypen[#Headers],0),0),VLOOKUP($G765,Lijsten!L:P,MATCH(Lijsten!$P$1,Kop_Tarief_Vast,0),0))),""),"")</f>
        <v/>
      </c>
      <c r="Q765" s="359"/>
      <c r="R765" s="359"/>
      <c r="S765" s="321"/>
      <c r="T765" s="321"/>
      <c r="U765" s="373" t="str">
        <f t="shared" si="44"/>
        <v/>
      </c>
      <c r="V765" s="314" t="str">
        <f t="shared" si="45"/>
        <v/>
      </c>
      <c r="W765" s="314" t="str" cm="1">
        <f t="array" aca="1" ref="W765" ca="1">IFERROR(IF(AE765&lt;&gt;"ja",_xlfn.IFNA(_xlfn.IFS(AND(O765&lt;&gt;"",F765&lt;&gt;"",RIGHT($N765,6)="tarief",F765="Vergoeding"),SUM(O765)*FLOOR(SUM(Q765),0.0001),AND(O765&lt;&gt;"",F765&lt;&gt;"",RIGHT($N765,6)="tarief"),SUM(O765)*FLOOR(SUM(Q765),0.01),S765&gt;0,IF(F765&lt;&gt;"",FLOOR(SUM(S765),0.01),"")),""),""),"")</f>
        <v/>
      </c>
      <c r="X765" s="314" t="str" cm="1">
        <f t="array" aca="1" ref="X765" ca="1">IFERROR(IF(AE765&lt;&gt;"ja",_xlfn.IFNA(_xlfn.IFS(AND(P765&lt;&gt;"",R765&lt;&gt;"",RIGHT($N765,6)="tarief",F765="Vergoeding"),SUM(P765)*FLOOR(SUM(R765),0.0001),AND(P765&lt;&gt;"",R765&lt;&gt;"",RIGHT($N765,6)="tarief"),P765*FLOOR(R765,0.01),T765&gt;0,FLOOR(SUM(T765),0.01)),""),""),"")</f>
        <v/>
      </c>
      <c r="Y765" s="314" t="str">
        <f t="shared" ca="1" si="46"/>
        <v/>
      </c>
      <c r="Z765" s="314" t="str" cm="1">
        <f t="array" aca="1" ref="Z765" ca="1">IFERROR(_xlfn.IFS(OR(F765="",LEFT(Methode_Keuze,4)="Geen",Methode_Keuze=""),"",AND(W765&lt;&gt;"",F765&lt;&gt;"Arbeidskosten"),W765*VLOOKUP(F765,Tb_ProjectKosten[],MATCH(Tb_ProjectKosten[[#Headers],[Forfait_Percentage]],Tb_ProjectKosten[#Headers],0),0),AND(F765="Arbeidskosten",G765&lt;&gt;""),IFERROR(W765*VLOOKUP(G765,Tb_KostenTypen[],3,0)*VLOOKUP(F765,Tb_ProjectKosten[],MATCH(Tb_ProjectKosten[[#Headers],[Forfait_Percentage]],Tb_ProjectKosten[#Headers],0),0),""),W765 &lt;=0,0),"")</f>
        <v/>
      </c>
      <c r="AA765" s="314" t="str" cm="1">
        <f t="array" aca="1" ref="AA765" ca="1">IFERROR(_xlfn.IFS(OR(F765="",LEFT(Methode_Keuze,4)="Geen",Methode_Keuze=""),"",AND(X765&lt;&gt;"",F765&lt;&gt;"Arbeidskosten"),X765*VLOOKUP(F765,Tb_ProjectKosten[],MATCH(Tb_ProjectKosten[[#Headers],[Forfait_Percentage]],Tb_ProjectKosten[#Headers],0),0),AND(F765="Arbeidskosten",G765&lt;&gt;""),IFERROR(X765*VLOOKUP(G765,Tb_KostenTypen[],3,0)*VLOOKUP(F765,Tb_ProjectKosten[],MATCH(Tb_ProjectKosten[[#Headers],[Forfait_Percentage]],Tb_ProjectKosten[#Headers],0),0),""),X765 &lt;=0,0),"")</f>
        <v/>
      </c>
      <c r="AB765" s="314" t="str">
        <f t="shared" ca="1" si="47"/>
        <v/>
      </c>
      <c r="AC765" s="322"/>
      <c r="AD765" s="315"/>
      <c r="AE765" s="32" t="str" cm="1">
        <f t="array" ref="AE765">IFERROR(IF(INDEX(SubsidieTabel!$AD$1:$AG$12,MATCH($F765,SubsidieTabel!$AD$1:$AD$12,0),IFERROR(MATCH(Methode_Keuze,SubsidieTabel!$AD$1:$AG$1,0),2))&lt;&gt;1=TRUE,"ja",""),"")</f>
        <v/>
      </c>
    </row>
    <row r="766" spans="1:31" x14ac:dyDescent="0.25">
      <c r="A766" s="316"/>
      <c r="B766" s="317" t="str">
        <f>IF(A766&lt;&gt;"",_xlfn.MAXIFS($B$1:B765,$A$1:A765,A766)+1,"")</f>
        <v/>
      </c>
      <c r="C766" s="296"/>
      <c r="D766" s="296"/>
      <c r="E766" s="296"/>
      <c r="F766" s="296"/>
      <c r="G766" s="326"/>
      <c r="H766" s="324"/>
      <c r="I766" s="325"/>
      <c r="J766" s="325"/>
      <c r="K766" s="318"/>
      <c r="L766" s="318"/>
      <c r="M766" s="319" t="str">
        <f>IFERROR(VLOOKUP(H766,Lijsten!$H$1:$I$100,2,0),"")</f>
        <v/>
      </c>
      <c r="N766" s="319" t="str">
        <f ca="1">IFERROR(IF(VLOOKUP(F766,Kostentypen!$A$3:$E$21,3,0)=0,"",IF(OR(F766="Arbeidskosten",F766="Vergoeding"),VLOOKUP(G766,Tb_KostenTypen[],2,0),VLOOKUP(F766,Kostentypen!$A$3:$E$20,3,0))),"")</f>
        <v/>
      </c>
      <c r="O766" s="320" t="str" cm="1">
        <f t="array" ref="O766">_xlfn.IFNA(IF(INDEX(Tb_KostenOptiesDB[],MATCH($F766,Tb_KostenOptiesDB[KostenOptie],0),IFERROR(MATCH(Methode_Keuze,Tb_KostenOptiesDB[#Headers],0),2))=1,_xlfn.SWITCH($N766,"Uurtarief",IF(OR(AND(RIGHT($F766,3)="IKS",VLOOKUP($M766,DB_Loonkosten,2,0)="Ja"),AND(RIGHT($F766,3)&lt;&gt;"IKS",VLOOKUP($M766,DB_Loonkosten,2,0)="Nee")),IFERROR(VLOOKUP($M766,DB_Loonkosten,24,0),""),0),"Vast tarief",IF(LEFT(F766,8)="Bijdrage",VLOOKUP($F766,Tb_KostenTypen[],MATCH(Lijsten!$P$1,Tb_KostenTypen[#Headers],0),0),VLOOKUP($G766,Lijsten!L:P,MATCH(Lijsten!$P$1,Kop_Tarief_Vast,0),0))),""),"")</f>
        <v/>
      </c>
      <c r="P766" s="320" t="str" cm="1">
        <f t="array" ref="P766">_xlfn.IFNA(IF(INDEX(Tb_KostenOptiesDB[],MATCH($F766,Tb_KostenOptiesDB[KostenOptie],0),IFERROR(MATCH(Methode_Keuze,Tb_KostenOptiesDB[#Headers],0),2))=1,_xlfn.SWITCH($N766,"Uurtarief",IF(OR(AND(RIGHT($F766,3)="IKS",VLOOKUP($M766,DB_Loonkosten,2,0)="Ja"),AND(RIGHT($F766,3)&lt;&gt;"IKS",VLOOKUP($M766,DB_Loonkosten,2,0)="Nee")),IFERROR(VLOOKUP($M766,DB_Loonkosten,25,0),""),0),"Vast tarief",IF(LEFT(F766,8)="Bijdrage",VLOOKUP($F766,Tb_KostenTypen[],MATCH(Lijsten!$P$1,Tb_KostenTypen[#Headers],0),0),VLOOKUP($G766,Lijsten!L:P,MATCH(Lijsten!$P$1,Kop_Tarief_Vast,0),0))),""),"")</f>
        <v/>
      </c>
      <c r="Q766" s="359"/>
      <c r="R766" s="359"/>
      <c r="S766" s="321"/>
      <c r="T766" s="321"/>
      <c r="U766" s="373" t="str">
        <f t="shared" si="44"/>
        <v/>
      </c>
      <c r="V766" s="314" t="str">
        <f t="shared" si="45"/>
        <v/>
      </c>
      <c r="W766" s="314" t="str" cm="1">
        <f t="array" aca="1" ref="W766" ca="1">IFERROR(IF(AE766&lt;&gt;"ja",_xlfn.IFNA(_xlfn.IFS(AND(O766&lt;&gt;"",F766&lt;&gt;"",RIGHT($N766,6)="tarief",F766="Vergoeding"),SUM(O766)*FLOOR(SUM(Q766),0.0001),AND(O766&lt;&gt;"",F766&lt;&gt;"",RIGHT($N766,6)="tarief"),SUM(O766)*FLOOR(SUM(Q766),0.01),S766&gt;0,IF(F766&lt;&gt;"",FLOOR(SUM(S766),0.01),"")),""),""),"")</f>
        <v/>
      </c>
      <c r="X766" s="314" t="str" cm="1">
        <f t="array" aca="1" ref="X766" ca="1">IFERROR(IF(AE766&lt;&gt;"ja",_xlfn.IFNA(_xlfn.IFS(AND(P766&lt;&gt;"",R766&lt;&gt;"",RIGHT($N766,6)="tarief",F766="Vergoeding"),SUM(P766)*FLOOR(SUM(R766),0.0001),AND(P766&lt;&gt;"",R766&lt;&gt;"",RIGHT($N766,6)="tarief"),P766*FLOOR(R766,0.01),T766&gt;0,FLOOR(SUM(T766),0.01)),""),""),"")</f>
        <v/>
      </c>
      <c r="Y766" s="314" t="str">
        <f t="shared" ca="1" si="46"/>
        <v/>
      </c>
      <c r="Z766" s="314" t="str" cm="1">
        <f t="array" aca="1" ref="Z766" ca="1">IFERROR(_xlfn.IFS(OR(F766="",LEFT(Methode_Keuze,4)="Geen",Methode_Keuze=""),"",AND(W766&lt;&gt;"",F766&lt;&gt;"Arbeidskosten"),W766*VLOOKUP(F766,Tb_ProjectKosten[],MATCH(Tb_ProjectKosten[[#Headers],[Forfait_Percentage]],Tb_ProjectKosten[#Headers],0),0),AND(F766="Arbeidskosten",G766&lt;&gt;""),IFERROR(W766*VLOOKUP(G766,Tb_KostenTypen[],3,0)*VLOOKUP(F766,Tb_ProjectKosten[],MATCH(Tb_ProjectKosten[[#Headers],[Forfait_Percentage]],Tb_ProjectKosten[#Headers],0),0),""),W766 &lt;=0,0),"")</f>
        <v/>
      </c>
      <c r="AA766" s="314" t="str" cm="1">
        <f t="array" aca="1" ref="AA766" ca="1">IFERROR(_xlfn.IFS(OR(F766="",LEFT(Methode_Keuze,4)="Geen",Methode_Keuze=""),"",AND(X766&lt;&gt;"",F766&lt;&gt;"Arbeidskosten"),X766*VLOOKUP(F766,Tb_ProjectKosten[],MATCH(Tb_ProjectKosten[[#Headers],[Forfait_Percentage]],Tb_ProjectKosten[#Headers],0),0),AND(F766="Arbeidskosten",G766&lt;&gt;""),IFERROR(X766*VLOOKUP(G766,Tb_KostenTypen[],3,0)*VLOOKUP(F766,Tb_ProjectKosten[],MATCH(Tb_ProjectKosten[[#Headers],[Forfait_Percentage]],Tb_ProjectKosten[#Headers],0),0),""),X766 &lt;=0,0),"")</f>
        <v/>
      </c>
      <c r="AB766" s="314" t="str">
        <f t="shared" ca="1" si="47"/>
        <v/>
      </c>
      <c r="AC766" s="322"/>
      <c r="AD766" s="315"/>
      <c r="AE766" s="32" t="str" cm="1">
        <f t="array" ref="AE766">IFERROR(IF(INDEX(SubsidieTabel!$AD$1:$AG$12,MATCH($F766,SubsidieTabel!$AD$1:$AD$12,0),IFERROR(MATCH(Methode_Keuze,SubsidieTabel!$AD$1:$AG$1,0),2))&lt;&gt;1=TRUE,"ja",""),"")</f>
        <v/>
      </c>
    </row>
    <row r="767" spans="1:31" x14ac:dyDescent="0.25">
      <c r="A767" s="316"/>
      <c r="B767" s="317" t="str">
        <f>IF(A767&lt;&gt;"",_xlfn.MAXIFS($B$1:B766,$A$1:A766,A767)+1,"")</f>
        <v/>
      </c>
      <c r="C767" s="296"/>
      <c r="D767" s="296"/>
      <c r="E767" s="296"/>
      <c r="F767" s="296"/>
      <c r="G767" s="326"/>
      <c r="H767" s="324"/>
      <c r="I767" s="325"/>
      <c r="J767" s="325"/>
      <c r="K767" s="318"/>
      <c r="L767" s="318"/>
      <c r="M767" s="319" t="str">
        <f>IFERROR(VLOOKUP(H767,Lijsten!$H$1:$I$100,2,0),"")</f>
        <v/>
      </c>
      <c r="N767" s="319" t="str">
        <f ca="1">IFERROR(IF(VLOOKUP(F767,Kostentypen!$A$3:$E$21,3,0)=0,"",IF(OR(F767="Arbeidskosten",F767="Vergoeding"),VLOOKUP(G767,Tb_KostenTypen[],2,0),VLOOKUP(F767,Kostentypen!$A$3:$E$20,3,0))),"")</f>
        <v/>
      </c>
      <c r="O767" s="320" t="str" cm="1">
        <f t="array" ref="O767">_xlfn.IFNA(IF(INDEX(Tb_KostenOptiesDB[],MATCH($F767,Tb_KostenOptiesDB[KostenOptie],0),IFERROR(MATCH(Methode_Keuze,Tb_KostenOptiesDB[#Headers],0),2))=1,_xlfn.SWITCH($N767,"Uurtarief",IF(OR(AND(RIGHT($F767,3)="IKS",VLOOKUP($M767,DB_Loonkosten,2,0)="Ja"),AND(RIGHT($F767,3)&lt;&gt;"IKS",VLOOKUP($M767,DB_Loonkosten,2,0)="Nee")),IFERROR(VLOOKUP($M767,DB_Loonkosten,24,0),""),0),"Vast tarief",IF(LEFT(F767,8)="Bijdrage",VLOOKUP($F767,Tb_KostenTypen[],MATCH(Lijsten!$P$1,Tb_KostenTypen[#Headers],0),0),VLOOKUP($G767,Lijsten!L:P,MATCH(Lijsten!$P$1,Kop_Tarief_Vast,0),0))),""),"")</f>
        <v/>
      </c>
      <c r="P767" s="320" t="str" cm="1">
        <f t="array" ref="P767">_xlfn.IFNA(IF(INDEX(Tb_KostenOptiesDB[],MATCH($F767,Tb_KostenOptiesDB[KostenOptie],0),IFERROR(MATCH(Methode_Keuze,Tb_KostenOptiesDB[#Headers],0),2))=1,_xlfn.SWITCH($N767,"Uurtarief",IF(OR(AND(RIGHT($F767,3)="IKS",VLOOKUP($M767,DB_Loonkosten,2,0)="Ja"),AND(RIGHT($F767,3)&lt;&gt;"IKS",VLOOKUP($M767,DB_Loonkosten,2,0)="Nee")),IFERROR(VLOOKUP($M767,DB_Loonkosten,25,0),""),0),"Vast tarief",IF(LEFT(F767,8)="Bijdrage",VLOOKUP($F767,Tb_KostenTypen[],MATCH(Lijsten!$P$1,Tb_KostenTypen[#Headers],0),0),VLOOKUP($G767,Lijsten!L:P,MATCH(Lijsten!$P$1,Kop_Tarief_Vast,0),0))),""),"")</f>
        <v/>
      </c>
      <c r="Q767" s="359"/>
      <c r="R767" s="359"/>
      <c r="S767" s="321"/>
      <c r="T767" s="321"/>
      <c r="U767" s="373" t="str">
        <f t="shared" si="44"/>
        <v/>
      </c>
      <c r="V767" s="314" t="str">
        <f t="shared" si="45"/>
        <v/>
      </c>
      <c r="W767" s="314" t="str" cm="1">
        <f t="array" aca="1" ref="W767" ca="1">IFERROR(IF(AE767&lt;&gt;"ja",_xlfn.IFNA(_xlfn.IFS(AND(O767&lt;&gt;"",F767&lt;&gt;"",RIGHT($N767,6)="tarief",F767="Vergoeding"),SUM(O767)*FLOOR(SUM(Q767),0.0001),AND(O767&lt;&gt;"",F767&lt;&gt;"",RIGHT($N767,6)="tarief"),SUM(O767)*FLOOR(SUM(Q767),0.01),S767&gt;0,IF(F767&lt;&gt;"",FLOOR(SUM(S767),0.01),"")),""),""),"")</f>
        <v/>
      </c>
      <c r="X767" s="314" t="str" cm="1">
        <f t="array" aca="1" ref="X767" ca="1">IFERROR(IF(AE767&lt;&gt;"ja",_xlfn.IFNA(_xlfn.IFS(AND(P767&lt;&gt;"",R767&lt;&gt;"",RIGHT($N767,6)="tarief",F767="Vergoeding"),SUM(P767)*FLOOR(SUM(R767),0.0001),AND(P767&lt;&gt;"",R767&lt;&gt;"",RIGHT($N767,6)="tarief"),P767*FLOOR(R767,0.01),T767&gt;0,FLOOR(SUM(T767),0.01)),""),""),"")</f>
        <v/>
      </c>
      <c r="Y767" s="314" t="str">
        <f t="shared" ca="1" si="46"/>
        <v/>
      </c>
      <c r="Z767" s="314" t="str" cm="1">
        <f t="array" aca="1" ref="Z767" ca="1">IFERROR(_xlfn.IFS(OR(F767="",LEFT(Methode_Keuze,4)="Geen",Methode_Keuze=""),"",AND(W767&lt;&gt;"",F767&lt;&gt;"Arbeidskosten"),W767*VLOOKUP(F767,Tb_ProjectKosten[],MATCH(Tb_ProjectKosten[[#Headers],[Forfait_Percentage]],Tb_ProjectKosten[#Headers],0),0),AND(F767="Arbeidskosten",G767&lt;&gt;""),IFERROR(W767*VLOOKUP(G767,Tb_KostenTypen[],3,0)*VLOOKUP(F767,Tb_ProjectKosten[],MATCH(Tb_ProjectKosten[[#Headers],[Forfait_Percentage]],Tb_ProjectKosten[#Headers],0),0),""),W767 &lt;=0,0),"")</f>
        <v/>
      </c>
      <c r="AA767" s="314" t="str" cm="1">
        <f t="array" aca="1" ref="AA767" ca="1">IFERROR(_xlfn.IFS(OR(F767="",LEFT(Methode_Keuze,4)="Geen",Methode_Keuze=""),"",AND(X767&lt;&gt;"",F767&lt;&gt;"Arbeidskosten"),X767*VLOOKUP(F767,Tb_ProjectKosten[],MATCH(Tb_ProjectKosten[[#Headers],[Forfait_Percentage]],Tb_ProjectKosten[#Headers],0),0),AND(F767="Arbeidskosten",G767&lt;&gt;""),IFERROR(X767*VLOOKUP(G767,Tb_KostenTypen[],3,0)*VLOOKUP(F767,Tb_ProjectKosten[],MATCH(Tb_ProjectKosten[[#Headers],[Forfait_Percentage]],Tb_ProjectKosten[#Headers],0),0),""),X767 &lt;=0,0),"")</f>
        <v/>
      </c>
      <c r="AB767" s="314" t="str">
        <f t="shared" ca="1" si="47"/>
        <v/>
      </c>
      <c r="AC767" s="322"/>
      <c r="AD767" s="315"/>
      <c r="AE767" s="32" t="str" cm="1">
        <f t="array" ref="AE767">IFERROR(IF(INDEX(SubsidieTabel!$AD$1:$AG$12,MATCH($F767,SubsidieTabel!$AD$1:$AD$12,0),IFERROR(MATCH(Methode_Keuze,SubsidieTabel!$AD$1:$AG$1,0),2))&lt;&gt;1=TRUE,"ja",""),"")</f>
        <v/>
      </c>
    </row>
    <row r="768" spans="1:31" x14ac:dyDescent="0.25">
      <c r="A768" s="316"/>
      <c r="B768" s="317" t="str">
        <f>IF(A768&lt;&gt;"",_xlfn.MAXIFS($B$1:B767,$A$1:A767,A768)+1,"")</f>
        <v/>
      </c>
      <c r="C768" s="296"/>
      <c r="D768" s="296"/>
      <c r="E768" s="296"/>
      <c r="F768" s="296"/>
      <c r="G768" s="326"/>
      <c r="H768" s="324"/>
      <c r="I768" s="325"/>
      <c r="J768" s="325"/>
      <c r="K768" s="318"/>
      <c r="L768" s="318"/>
      <c r="M768" s="319" t="str">
        <f>IFERROR(VLOOKUP(H768,Lijsten!$H$1:$I$100,2,0),"")</f>
        <v/>
      </c>
      <c r="N768" s="319" t="str">
        <f ca="1">IFERROR(IF(VLOOKUP(F768,Kostentypen!$A$3:$E$21,3,0)=0,"",IF(OR(F768="Arbeidskosten",F768="Vergoeding"),VLOOKUP(G768,Tb_KostenTypen[],2,0),VLOOKUP(F768,Kostentypen!$A$3:$E$20,3,0))),"")</f>
        <v/>
      </c>
      <c r="O768" s="320" t="str" cm="1">
        <f t="array" ref="O768">_xlfn.IFNA(IF(INDEX(Tb_KostenOptiesDB[],MATCH($F768,Tb_KostenOptiesDB[KostenOptie],0),IFERROR(MATCH(Methode_Keuze,Tb_KostenOptiesDB[#Headers],0),2))=1,_xlfn.SWITCH($N768,"Uurtarief",IF(OR(AND(RIGHT($F768,3)="IKS",VLOOKUP($M768,DB_Loonkosten,2,0)="Ja"),AND(RIGHT($F768,3)&lt;&gt;"IKS",VLOOKUP($M768,DB_Loonkosten,2,0)="Nee")),IFERROR(VLOOKUP($M768,DB_Loonkosten,24,0),""),0),"Vast tarief",IF(LEFT(F768,8)="Bijdrage",VLOOKUP($F768,Tb_KostenTypen[],MATCH(Lijsten!$P$1,Tb_KostenTypen[#Headers],0),0),VLOOKUP($G768,Lijsten!L:P,MATCH(Lijsten!$P$1,Kop_Tarief_Vast,0),0))),""),"")</f>
        <v/>
      </c>
      <c r="P768" s="320" t="str" cm="1">
        <f t="array" ref="P768">_xlfn.IFNA(IF(INDEX(Tb_KostenOptiesDB[],MATCH($F768,Tb_KostenOptiesDB[KostenOptie],0),IFERROR(MATCH(Methode_Keuze,Tb_KostenOptiesDB[#Headers],0),2))=1,_xlfn.SWITCH($N768,"Uurtarief",IF(OR(AND(RIGHT($F768,3)="IKS",VLOOKUP($M768,DB_Loonkosten,2,0)="Ja"),AND(RIGHT($F768,3)&lt;&gt;"IKS",VLOOKUP($M768,DB_Loonkosten,2,0)="Nee")),IFERROR(VLOOKUP($M768,DB_Loonkosten,25,0),""),0),"Vast tarief",IF(LEFT(F768,8)="Bijdrage",VLOOKUP($F768,Tb_KostenTypen[],MATCH(Lijsten!$P$1,Tb_KostenTypen[#Headers],0),0),VLOOKUP($G768,Lijsten!L:P,MATCH(Lijsten!$P$1,Kop_Tarief_Vast,0),0))),""),"")</f>
        <v/>
      </c>
      <c r="Q768" s="359"/>
      <c r="R768" s="359"/>
      <c r="S768" s="321"/>
      <c r="T768" s="321"/>
      <c r="U768" s="373" t="str">
        <f t="shared" si="44"/>
        <v/>
      </c>
      <c r="V768" s="314" t="str">
        <f t="shared" si="45"/>
        <v/>
      </c>
      <c r="W768" s="314" t="str" cm="1">
        <f t="array" aca="1" ref="W768" ca="1">IFERROR(IF(AE768&lt;&gt;"ja",_xlfn.IFNA(_xlfn.IFS(AND(O768&lt;&gt;"",F768&lt;&gt;"",RIGHT($N768,6)="tarief",F768="Vergoeding"),SUM(O768)*FLOOR(SUM(Q768),0.0001),AND(O768&lt;&gt;"",F768&lt;&gt;"",RIGHT($N768,6)="tarief"),SUM(O768)*FLOOR(SUM(Q768),0.01),S768&gt;0,IF(F768&lt;&gt;"",FLOOR(SUM(S768),0.01),"")),""),""),"")</f>
        <v/>
      </c>
      <c r="X768" s="314" t="str" cm="1">
        <f t="array" aca="1" ref="X768" ca="1">IFERROR(IF(AE768&lt;&gt;"ja",_xlfn.IFNA(_xlfn.IFS(AND(P768&lt;&gt;"",R768&lt;&gt;"",RIGHT($N768,6)="tarief",F768="Vergoeding"),SUM(P768)*FLOOR(SUM(R768),0.0001),AND(P768&lt;&gt;"",R768&lt;&gt;"",RIGHT($N768,6)="tarief"),P768*FLOOR(R768,0.01),T768&gt;0,FLOOR(SUM(T768),0.01)),""),""),"")</f>
        <v/>
      </c>
      <c r="Y768" s="314" t="str">
        <f t="shared" ca="1" si="46"/>
        <v/>
      </c>
      <c r="Z768" s="314" t="str" cm="1">
        <f t="array" aca="1" ref="Z768" ca="1">IFERROR(_xlfn.IFS(OR(F768="",LEFT(Methode_Keuze,4)="Geen",Methode_Keuze=""),"",AND(W768&lt;&gt;"",F768&lt;&gt;"Arbeidskosten"),W768*VLOOKUP(F768,Tb_ProjectKosten[],MATCH(Tb_ProjectKosten[[#Headers],[Forfait_Percentage]],Tb_ProjectKosten[#Headers],0),0),AND(F768="Arbeidskosten",G768&lt;&gt;""),IFERROR(W768*VLOOKUP(G768,Tb_KostenTypen[],3,0)*VLOOKUP(F768,Tb_ProjectKosten[],MATCH(Tb_ProjectKosten[[#Headers],[Forfait_Percentage]],Tb_ProjectKosten[#Headers],0),0),""),W768 &lt;=0,0),"")</f>
        <v/>
      </c>
      <c r="AA768" s="314" t="str" cm="1">
        <f t="array" aca="1" ref="AA768" ca="1">IFERROR(_xlfn.IFS(OR(F768="",LEFT(Methode_Keuze,4)="Geen",Methode_Keuze=""),"",AND(X768&lt;&gt;"",F768&lt;&gt;"Arbeidskosten"),X768*VLOOKUP(F768,Tb_ProjectKosten[],MATCH(Tb_ProjectKosten[[#Headers],[Forfait_Percentage]],Tb_ProjectKosten[#Headers],0),0),AND(F768="Arbeidskosten",G768&lt;&gt;""),IFERROR(X768*VLOOKUP(G768,Tb_KostenTypen[],3,0)*VLOOKUP(F768,Tb_ProjectKosten[],MATCH(Tb_ProjectKosten[[#Headers],[Forfait_Percentage]],Tb_ProjectKosten[#Headers],0),0),""),X768 &lt;=0,0),"")</f>
        <v/>
      </c>
      <c r="AB768" s="314" t="str">
        <f t="shared" ca="1" si="47"/>
        <v/>
      </c>
      <c r="AC768" s="322"/>
      <c r="AD768" s="315"/>
      <c r="AE768" s="32" t="str" cm="1">
        <f t="array" ref="AE768">IFERROR(IF(INDEX(SubsidieTabel!$AD$1:$AG$12,MATCH($F768,SubsidieTabel!$AD$1:$AD$12,0),IFERROR(MATCH(Methode_Keuze,SubsidieTabel!$AD$1:$AG$1,0),2))&lt;&gt;1=TRUE,"ja",""),"")</f>
        <v/>
      </c>
    </row>
    <row r="769" spans="1:31" x14ac:dyDescent="0.25">
      <c r="A769" s="316"/>
      <c r="B769" s="317" t="str">
        <f>IF(A769&lt;&gt;"",_xlfn.MAXIFS($B$1:B768,$A$1:A768,A769)+1,"")</f>
        <v/>
      </c>
      <c r="C769" s="296"/>
      <c r="D769" s="296"/>
      <c r="E769" s="296"/>
      <c r="F769" s="296"/>
      <c r="G769" s="326"/>
      <c r="H769" s="324"/>
      <c r="I769" s="325"/>
      <c r="J769" s="325"/>
      <c r="K769" s="318"/>
      <c r="L769" s="318"/>
      <c r="M769" s="319" t="str">
        <f>IFERROR(VLOOKUP(H769,Lijsten!$H$1:$I$100,2,0),"")</f>
        <v/>
      </c>
      <c r="N769" s="319" t="str">
        <f ca="1">IFERROR(IF(VLOOKUP(F769,Kostentypen!$A$3:$E$21,3,0)=0,"",IF(OR(F769="Arbeidskosten",F769="Vergoeding"),VLOOKUP(G769,Tb_KostenTypen[],2,0),VLOOKUP(F769,Kostentypen!$A$3:$E$20,3,0))),"")</f>
        <v/>
      </c>
      <c r="O769" s="320" t="str" cm="1">
        <f t="array" ref="O769">_xlfn.IFNA(IF(INDEX(Tb_KostenOptiesDB[],MATCH($F769,Tb_KostenOptiesDB[KostenOptie],0),IFERROR(MATCH(Methode_Keuze,Tb_KostenOptiesDB[#Headers],0),2))=1,_xlfn.SWITCH($N769,"Uurtarief",IF(OR(AND(RIGHT($F769,3)="IKS",VLOOKUP($M769,DB_Loonkosten,2,0)="Ja"),AND(RIGHT($F769,3)&lt;&gt;"IKS",VLOOKUP($M769,DB_Loonkosten,2,0)="Nee")),IFERROR(VLOOKUP($M769,DB_Loonkosten,24,0),""),0),"Vast tarief",IF(LEFT(F769,8)="Bijdrage",VLOOKUP($F769,Tb_KostenTypen[],MATCH(Lijsten!$P$1,Tb_KostenTypen[#Headers],0),0),VLOOKUP($G769,Lijsten!L:P,MATCH(Lijsten!$P$1,Kop_Tarief_Vast,0),0))),""),"")</f>
        <v/>
      </c>
      <c r="P769" s="320" t="str" cm="1">
        <f t="array" ref="P769">_xlfn.IFNA(IF(INDEX(Tb_KostenOptiesDB[],MATCH($F769,Tb_KostenOptiesDB[KostenOptie],0),IFERROR(MATCH(Methode_Keuze,Tb_KostenOptiesDB[#Headers],0),2))=1,_xlfn.SWITCH($N769,"Uurtarief",IF(OR(AND(RIGHT($F769,3)="IKS",VLOOKUP($M769,DB_Loonkosten,2,0)="Ja"),AND(RIGHT($F769,3)&lt;&gt;"IKS",VLOOKUP($M769,DB_Loonkosten,2,0)="Nee")),IFERROR(VLOOKUP($M769,DB_Loonkosten,25,0),""),0),"Vast tarief",IF(LEFT(F769,8)="Bijdrage",VLOOKUP($F769,Tb_KostenTypen[],MATCH(Lijsten!$P$1,Tb_KostenTypen[#Headers],0),0),VLOOKUP($G769,Lijsten!L:P,MATCH(Lijsten!$P$1,Kop_Tarief_Vast,0),0))),""),"")</f>
        <v/>
      </c>
      <c r="Q769" s="359"/>
      <c r="R769" s="359"/>
      <c r="S769" s="321"/>
      <c r="T769" s="321"/>
      <c r="U769" s="373" t="str">
        <f t="shared" si="44"/>
        <v/>
      </c>
      <c r="V769" s="314" t="str">
        <f t="shared" si="45"/>
        <v/>
      </c>
      <c r="W769" s="314" t="str" cm="1">
        <f t="array" aca="1" ref="W769" ca="1">IFERROR(IF(AE769&lt;&gt;"ja",_xlfn.IFNA(_xlfn.IFS(AND(O769&lt;&gt;"",F769&lt;&gt;"",RIGHT($N769,6)="tarief",F769="Vergoeding"),SUM(O769)*FLOOR(SUM(Q769),0.0001),AND(O769&lt;&gt;"",F769&lt;&gt;"",RIGHT($N769,6)="tarief"),SUM(O769)*FLOOR(SUM(Q769),0.01),S769&gt;0,IF(F769&lt;&gt;"",FLOOR(SUM(S769),0.01),"")),""),""),"")</f>
        <v/>
      </c>
      <c r="X769" s="314" t="str" cm="1">
        <f t="array" aca="1" ref="X769" ca="1">IFERROR(IF(AE769&lt;&gt;"ja",_xlfn.IFNA(_xlfn.IFS(AND(P769&lt;&gt;"",R769&lt;&gt;"",RIGHT($N769,6)="tarief",F769="Vergoeding"),SUM(P769)*FLOOR(SUM(R769),0.0001),AND(P769&lt;&gt;"",R769&lt;&gt;"",RIGHT($N769,6)="tarief"),P769*FLOOR(R769,0.01),T769&gt;0,FLOOR(SUM(T769),0.01)),""),""),"")</f>
        <v/>
      </c>
      <c r="Y769" s="314" t="str">
        <f t="shared" ca="1" si="46"/>
        <v/>
      </c>
      <c r="Z769" s="314" t="str" cm="1">
        <f t="array" aca="1" ref="Z769" ca="1">IFERROR(_xlfn.IFS(OR(F769="",LEFT(Methode_Keuze,4)="Geen",Methode_Keuze=""),"",AND(W769&lt;&gt;"",F769&lt;&gt;"Arbeidskosten"),W769*VLOOKUP(F769,Tb_ProjectKosten[],MATCH(Tb_ProjectKosten[[#Headers],[Forfait_Percentage]],Tb_ProjectKosten[#Headers],0),0),AND(F769="Arbeidskosten",G769&lt;&gt;""),IFERROR(W769*VLOOKUP(G769,Tb_KostenTypen[],3,0)*VLOOKUP(F769,Tb_ProjectKosten[],MATCH(Tb_ProjectKosten[[#Headers],[Forfait_Percentage]],Tb_ProjectKosten[#Headers],0),0),""),W769 &lt;=0,0),"")</f>
        <v/>
      </c>
      <c r="AA769" s="314" t="str" cm="1">
        <f t="array" aca="1" ref="AA769" ca="1">IFERROR(_xlfn.IFS(OR(F769="",LEFT(Methode_Keuze,4)="Geen",Methode_Keuze=""),"",AND(X769&lt;&gt;"",F769&lt;&gt;"Arbeidskosten"),X769*VLOOKUP(F769,Tb_ProjectKosten[],MATCH(Tb_ProjectKosten[[#Headers],[Forfait_Percentage]],Tb_ProjectKosten[#Headers],0),0),AND(F769="Arbeidskosten",G769&lt;&gt;""),IFERROR(X769*VLOOKUP(G769,Tb_KostenTypen[],3,0)*VLOOKUP(F769,Tb_ProjectKosten[],MATCH(Tb_ProjectKosten[[#Headers],[Forfait_Percentage]],Tb_ProjectKosten[#Headers],0),0),""),X769 &lt;=0,0),"")</f>
        <v/>
      </c>
      <c r="AB769" s="314" t="str">
        <f t="shared" ca="1" si="47"/>
        <v/>
      </c>
      <c r="AC769" s="322"/>
      <c r="AD769" s="315"/>
      <c r="AE769" s="32" t="str" cm="1">
        <f t="array" ref="AE769">IFERROR(IF(INDEX(SubsidieTabel!$AD$1:$AG$12,MATCH($F769,SubsidieTabel!$AD$1:$AD$12,0),IFERROR(MATCH(Methode_Keuze,SubsidieTabel!$AD$1:$AG$1,0),2))&lt;&gt;1=TRUE,"ja",""),"")</f>
        <v/>
      </c>
    </row>
    <row r="770" spans="1:31" x14ac:dyDescent="0.25">
      <c r="A770" s="316"/>
      <c r="B770" s="317" t="str">
        <f>IF(A770&lt;&gt;"",_xlfn.MAXIFS($B$1:B769,$A$1:A769,A770)+1,"")</f>
        <v/>
      </c>
      <c r="C770" s="296"/>
      <c r="D770" s="296"/>
      <c r="E770" s="296"/>
      <c r="F770" s="296"/>
      <c r="G770" s="326"/>
      <c r="H770" s="324"/>
      <c r="I770" s="325"/>
      <c r="J770" s="325"/>
      <c r="K770" s="318"/>
      <c r="L770" s="318"/>
      <c r="M770" s="319" t="str">
        <f>IFERROR(VLOOKUP(H770,Lijsten!$H$1:$I$100,2,0),"")</f>
        <v/>
      </c>
      <c r="N770" s="319" t="str">
        <f ca="1">IFERROR(IF(VLOOKUP(F770,Kostentypen!$A$3:$E$21,3,0)=0,"",IF(OR(F770="Arbeidskosten",F770="Vergoeding"),VLOOKUP(G770,Tb_KostenTypen[],2,0),VLOOKUP(F770,Kostentypen!$A$3:$E$20,3,0))),"")</f>
        <v/>
      </c>
      <c r="O770" s="320" t="str" cm="1">
        <f t="array" ref="O770">_xlfn.IFNA(IF(INDEX(Tb_KostenOptiesDB[],MATCH($F770,Tb_KostenOptiesDB[KostenOptie],0),IFERROR(MATCH(Methode_Keuze,Tb_KostenOptiesDB[#Headers],0),2))=1,_xlfn.SWITCH($N770,"Uurtarief",IF(OR(AND(RIGHT($F770,3)="IKS",VLOOKUP($M770,DB_Loonkosten,2,0)="Ja"),AND(RIGHT($F770,3)&lt;&gt;"IKS",VLOOKUP($M770,DB_Loonkosten,2,0)="Nee")),IFERROR(VLOOKUP($M770,DB_Loonkosten,24,0),""),0),"Vast tarief",IF(LEFT(F770,8)="Bijdrage",VLOOKUP($F770,Tb_KostenTypen[],MATCH(Lijsten!$P$1,Tb_KostenTypen[#Headers],0),0),VLOOKUP($G770,Lijsten!L:P,MATCH(Lijsten!$P$1,Kop_Tarief_Vast,0),0))),""),"")</f>
        <v/>
      </c>
      <c r="P770" s="320" t="str" cm="1">
        <f t="array" ref="P770">_xlfn.IFNA(IF(INDEX(Tb_KostenOptiesDB[],MATCH($F770,Tb_KostenOptiesDB[KostenOptie],0),IFERROR(MATCH(Methode_Keuze,Tb_KostenOptiesDB[#Headers],0),2))=1,_xlfn.SWITCH($N770,"Uurtarief",IF(OR(AND(RIGHT($F770,3)="IKS",VLOOKUP($M770,DB_Loonkosten,2,0)="Ja"),AND(RIGHT($F770,3)&lt;&gt;"IKS",VLOOKUP($M770,DB_Loonkosten,2,0)="Nee")),IFERROR(VLOOKUP($M770,DB_Loonkosten,25,0),""),0),"Vast tarief",IF(LEFT(F770,8)="Bijdrage",VLOOKUP($F770,Tb_KostenTypen[],MATCH(Lijsten!$P$1,Tb_KostenTypen[#Headers],0),0),VLOOKUP($G770,Lijsten!L:P,MATCH(Lijsten!$P$1,Kop_Tarief_Vast,0),0))),""),"")</f>
        <v/>
      </c>
      <c r="Q770" s="359"/>
      <c r="R770" s="359"/>
      <c r="S770" s="321"/>
      <c r="T770" s="321"/>
      <c r="U770" s="373" t="str">
        <f t="shared" si="44"/>
        <v/>
      </c>
      <c r="V770" s="314" t="str">
        <f t="shared" si="45"/>
        <v/>
      </c>
      <c r="W770" s="314" t="str" cm="1">
        <f t="array" aca="1" ref="W770" ca="1">IFERROR(IF(AE770&lt;&gt;"ja",_xlfn.IFNA(_xlfn.IFS(AND(O770&lt;&gt;"",F770&lt;&gt;"",RIGHT($N770,6)="tarief",F770="Vergoeding"),SUM(O770)*FLOOR(SUM(Q770),0.0001),AND(O770&lt;&gt;"",F770&lt;&gt;"",RIGHT($N770,6)="tarief"),SUM(O770)*FLOOR(SUM(Q770),0.01),S770&gt;0,IF(F770&lt;&gt;"",FLOOR(SUM(S770),0.01),"")),""),""),"")</f>
        <v/>
      </c>
      <c r="X770" s="314" t="str" cm="1">
        <f t="array" aca="1" ref="X770" ca="1">IFERROR(IF(AE770&lt;&gt;"ja",_xlfn.IFNA(_xlfn.IFS(AND(P770&lt;&gt;"",R770&lt;&gt;"",RIGHT($N770,6)="tarief",F770="Vergoeding"),SUM(P770)*FLOOR(SUM(R770),0.0001),AND(P770&lt;&gt;"",R770&lt;&gt;"",RIGHT($N770,6)="tarief"),P770*FLOOR(R770,0.01),T770&gt;0,FLOOR(SUM(T770),0.01)),""),""),"")</f>
        <v/>
      </c>
      <c r="Y770" s="314" t="str">
        <f t="shared" ca="1" si="46"/>
        <v/>
      </c>
      <c r="Z770" s="314" t="str" cm="1">
        <f t="array" aca="1" ref="Z770" ca="1">IFERROR(_xlfn.IFS(OR(F770="",LEFT(Methode_Keuze,4)="Geen",Methode_Keuze=""),"",AND(W770&lt;&gt;"",F770&lt;&gt;"Arbeidskosten"),W770*VLOOKUP(F770,Tb_ProjectKosten[],MATCH(Tb_ProjectKosten[[#Headers],[Forfait_Percentage]],Tb_ProjectKosten[#Headers],0),0),AND(F770="Arbeidskosten",G770&lt;&gt;""),IFERROR(W770*VLOOKUP(G770,Tb_KostenTypen[],3,0)*VLOOKUP(F770,Tb_ProjectKosten[],MATCH(Tb_ProjectKosten[[#Headers],[Forfait_Percentage]],Tb_ProjectKosten[#Headers],0),0),""),W770 &lt;=0,0),"")</f>
        <v/>
      </c>
      <c r="AA770" s="314" t="str" cm="1">
        <f t="array" aca="1" ref="AA770" ca="1">IFERROR(_xlfn.IFS(OR(F770="",LEFT(Methode_Keuze,4)="Geen",Methode_Keuze=""),"",AND(X770&lt;&gt;"",F770&lt;&gt;"Arbeidskosten"),X770*VLOOKUP(F770,Tb_ProjectKosten[],MATCH(Tb_ProjectKosten[[#Headers],[Forfait_Percentage]],Tb_ProjectKosten[#Headers],0),0),AND(F770="Arbeidskosten",G770&lt;&gt;""),IFERROR(X770*VLOOKUP(G770,Tb_KostenTypen[],3,0)*VLOOKUP(F770,Tb_ProjectKosten[],MATCH(Tb_ProjectKosten[[#Headers],[Forfait_Percentage]],Tb_ProjectKosten[#Headers],0),0),""),X770 &lt;=0,0),"")</f>
        <v/>
      </c>
      <c r="AB770" s="314" t="str">
        <f t="shared" ca="1" si="47"/>
        <v/>
      </c>
      <c r="AC770" s="322"/>
      <c r="AD770" s="315"/>
      <c r="AE770" s="32" t="str" cm="1">
        <f t="array" ref="AE770">IFERROR(IF(INDEX(SubsidieTabel!$AD$1:$AG$12,MATCH($F770,SubsidieTabel!$AD$1:$AD$12,0),IFERROR(MATCH(Methode_Keuze,SubsidieTabel!$AD$1:$AG$1,0),2))&lt;&gt;1=TRUE,"ja",""),"")</f>
        <v/>
      </c>
    </row>
    <row r="771" spans="1:31" x14ac:dyDescent="0.25">
      <c r="A771" s="316"/>
      <c r="B771" s="317" t="str">
        <f>IF(A771&lt;&gt;"",_xlfn.MAXIFS($B$1:B770,$A$1:A770,A771)+1,"")</f>
        <v/>
      </c>
      <c r="C771" s="296"/>
      <c r="D771" s="296"/>
      <c r="E771" s="296"/>
      <c r="F771" s="296"/>
      <c r="G771" s="326"/>
      <c r="H771" s="324"/>
      <c r="I771" s="325"/>
      <c r="J771" s="325"/>
      <c r="K771" s="318"/>
      <c r="L771" s="318"/>
      <c r="M771" s="319" t="str">
        <f>IFERROR(VLOOKUP(H771,Lijsten!$H$1:$I$100,2,0),"")</f>
        <v/>
      </c>
      <c r="N771" s="319" t="str">
        <f ca="1">IFERROR(IF(VLOOKUP(F771,Kostentypen!$A$3:$E$21,3,0)=0,"",IF(OR(F771="Arbeidskosten",F771="Vergoeding"),VLOOKUP(G771,Tb_KostenTypen[],2,0),VLOOKUP(F771,Kostentypen!$A$3:$E$20,3,0))),"")</f>
        <v/>
      </c>
      <c r="O771" s="320" t="str" cm="1">
        <f t="array" ref="O771">_xlfn.IFNA(IF(INDEX(Tb_KostenOptiesDB[],MATCH($F771,Tb_KostenOptiesDB[KostenOptie],0),IFERROR(MATCH(Methode_Keuze,Tb_KostenOptiesDB[#Headers],0),2))=1,_xlfn.SWITCH($N771,"Uurtarief",IF(OR(AND(RIGHT($F771,3)="IKS",VLOOKUP($M771,DB_Loonkosten,2,0)="Ja"),AND(RIGHT($F771,3)&lt;&gt;"IKS",VLOOKUP($M771,DB_Loonkosten,2,0)="Nee")),IFERROR(VLOOKUP($M771,DB_Loonkosten,24,0),""),0),"Vast tarief",IF(LEFT(F771,8)="Bijdrage",VLOOKUP($F771,Tb_KostenTypen[],MATCH(Lijsten!$P$1,Tb_KostenTypen[#Headers],0),0),VLOOKUP($G771,Lijsten!L:P,MATCH(Lijsten!$P$1,Kop_Tarief_Vast,0),0))),""),"")</f>
        <v/>
      </c>
      <c r="P771" s="320" t="str" cm="1">
        <f t="array" ref="P771">_xlfn.IFNA(IF(INDEX(Tb_KostenOptiesDB[],MATCH($F771,Tb_KostenOptiesDB[KostenOptie],0),IFERROR(MATCH(Methode_Keuze,Tb_KostenOptiesDB[#Headers],0),2))=1,_xlfn.SWITCH($N771,"Uurtarief",IF(OR(AND(RIGHT($F771,3)="IKS",VLOOKUP($M771,DB_Loonkosten,2,0)="Ja"),AND(RIGHT($F771,3)&lt;&gt;"IKS",VLOOKUP($M771,DB_Loonkosten,2,0)="Nee")),IFERROR(VLOOKUP($M771,DB_Loonkosten,25,0),""),0),"Vast tarief",IF(LEFT(F771,8)="Bijdrage",VLOOKUP($F771,Tb_KostenTypen[],MATCH(Lijsten!$P$1,Tb_KostenTypen[#Headers],0),0),VLOOKUP($G771,Lijsten!L:P,MATCH(Lijsten!$P$1,Kop_Tarief_Vast,0),0))),""),"")</f>
        <v/>
      </c>
      <c r="Q771" s="359"/>
      <c r="R771" s="359"/>
      <c r="S771" s="321"/>
      <c r="T771" s="321"/>
      <c r="U771" s="373" t="str">
        <f t="shared" ref="U771:U834" si="48">IFERROR(IF(AND(R771&lt;&gt;"",R771&lt;&gt;Q771),-1*(R771-Q771),""),"")</f>
        <v/>
      </c>
      <c r="V771" s="314" t="str">
        <f t="shared" ref="V771:V834" si="49">IFERROR(IF(AND(T771&lt;&gt;"",T771&lt;&gt;S771),-1*(T771-S771),""),"")</f>
        <v/>
      </c>
      <c r="W771" s="314" t="str" cm="1">
        <f t="array" aca="1" ref="W771" ca="1">IFERROR(IF(AE771&lt;&gt;"ja",_xlfn.IFNA(_xlfn.IFS(AND(O771&lt;&gt;"",F771&lt;&gt;"",RIGHT($N771,6)="tarief",F771="Vergoeding"),SUM(O771)*FLOOR(SUM(Q771),0.0001),AND(O771&lt;&gt;"",F771&lt;&gt;"",RIGHT($N771,6)="tarief"),SUM(O771)*FLOOR(SUM(Q771),0.01),S771&gt;0,IF(F771&lt;&gt;"",FLOOR(SUM(S771),0.01),"")),""),""),"")</f>
        <v/>
      </c>
      <c r="X771" s="314" t="str" cm="1">
        <f t="array" aca="1" ref="X771" ca="1">IFERROR(IF(AE771&lt;&gt;"ja",_xlfn.IFNA(_xlfn.IFS(AND(P771&lt;&gt;"",R771&lt;&gt;"",RIGHT($N771,6)="tarief",F771="Vergoeding"),SUM(P771)*FLOOR(SUM(R771),0.0001),AND(P771&lt;&gt;"",R771&lt;&gt;"",RIGHT($N771,6)="tarief"),P771*FLOOR(R771,0.01),T771&gt;0,FLOOR(SUM(T771),0.01)),""),""),"")</f>
        <v/>
      </c>
      <c r="Y771" s="314" t="str">
        <f t="shared" ref="Y771:Y834" ca="1" si="50">IFERROR(IF(AND(X771&lt;&gt;"",X771&lt;&gt;W771),-1*(X771-W771),""),"")</f>
        <v/>
      </c>
      <c r="Z771" s="314" t="str" cm="1">
        <f t="array" aca="1" ref="Z771" ca="1">IFERROR(_xlfn.IFS(OR(F771="",LEFT(Methode_Keuze,4)="Geen",Methode_Keuze=""),"",AND(W771&lt;&gt;"",F771&lt;&gt;"Arbeidskosten"),W771*VLOOKUP(F771,Tb_ProjectKosten[],MATCH(Tb_ProjectKosten[[#Headers],[Forfait_Percentage]],Tb_ProjectKosten[#Headers],0),0),AND(F771="Arbeidskosten",G771&lt;&gt;""),IFERROR(W771*VLOOKUP(G771,Tb_KostenTypen[],3,0)*VLOOKUP(F771,Tb_ProjectKosten[],MATCH(Tb_ProjectKosten[[#Headers],[Forfait_Percentage]],Tb_ProjectKosten[#Headers],0),0),""),W771 &lt;=0,0),"")</f>
        <v/>
      </c>
      <c r="AA771" s="314" t="str" cm="1">
        <f t="array" aca="1" ref="AA771" ca="1">IFERROR(_xlfn.IFS(OR(F771="",LEFT(Methode_Keuze,4)="Geen",Methode_Keuze=""),"",AND(X771&lt;&gt;"",F771&lt;&gt;"Arbeidskosten"),X771*VLOOKUP(F771,Tb_ProjectKosten[],MATCH(Tb_ProjectKosten[[#Headers],[Forfait_Percentage]],Tb_ProjectKosten[#Headers],0),0),AND(F771="Arbeidskosten",G771&lt;&gt;""),IFERROR(X771*VLOOKUP(G771,Tb_KostenTypen[],3,0)*VLOOKUP(F771,Tb_ProjectKosten[],MATCH(Tb_ProjectKosten[[#Headers],[Forfait_Percentage]],Tb_ProjectKosten[#Headers],0),0),""),X771 &lt;=0,0),"")</f>
        <v/>
      </c>
      <c r="AB771" s="314" t="str">
        <f t="shared" ref="AB771:AB834" ca="1" si="51">IFERROR(IF(AND(AA771&lt;&gt;"",AA771&lt;&gt;Z771),-1*(AA771-Z771),""),"")</f>
        <v/>
      </c>
      <c r="AC771" s="322"/>
      <c r="AD771" s="315"/>
      <c r="AE771" s="32" t="str" cm="1">
        <f t="array" ref="AE771">IFERROR(IF(INDEX(SubsidieTabel!$AD$1:$AG$12,MATCH($F771,SubsidieTabel!$AD$1:$AD$12,0),IFERROR(MATCH(Methode_Keuze,SubsidieTabel!$AD$1:$AG$1,0),2))&lt;&gt;1=TRUE,"ja",""),"")</f>
        <v/>
      </c>
    </row>
    <row r="772" spans="1:31" x14ac:dyDescent="0.25">
      <c r="A772" s="316"/>
      <c r="B772" s="317" t="str">
        <f>IF(A772&lt;&gt;"",_xlfn.MAXIFS($B$1:B771,$A$1:A771,A772)+1,"")</f>
        <v/>
      </c>
      <c r="C772" s="296"/>
      <c r="D772" s="296"/>
      <c r="E772" s="296"/>
      <c r="F772" s="296"/>
      <c r="G772" s="326"/>
      <c r="H772" s="324"/>
      <c r="I772" s="325"/>
      <c r="J772" s="325"/>
      <c r="K772" s="318"/>
      <c r="L772" s="318"/>
      <c r="M772" s="319" t="str">
        <f>IFERROR(VLOOKUP(H772,Lijsten!$H$1:$I$100,2,0),"")</f>
        <v/>
      </c>
      <c r="N772" s="319" t="str">
        <f ca="1">IFERROR(IF(VLOOKUP(F772,Kostentypen!$A$3:$E$21,3,0)=0,"",IF(OR(F772="Arbeidskosten",F772="Vergoeding"),VLOOKUP(G772,Tb_KostenTypen[],2,0),VLOOKUP(F772,Kostentypen!$A$3:$E$20,3,0))),"")</f>
        <v/>
      </c>
      <c r="O772" s="320" t="str" cm="1">
        <f t="array" ref="O772">_xlfn.IFNA(IF(INDEX(Tb_KostenOptiesDB[],MATCH($F772,Tb_KostenOptiesDB[KostenOptie],0),IFERROR(MATCH(Methode_Keuze,Tb_KostenOptiesDB[#Headers],0),2))=1,_xlfn.SWITCH($N772,"Uurtarief",IF(OR(AND(RIGHT($F772,3)="IKS",VLOOKUP($M772,DB_Loonkosten,2,0)="Ja"),AND(RIGHT($F772,3)&lt;&gt;"IKS",VLOOKUP($M772,DB_Loonkosten,2,0)="Nee")),IFERROR(VLOOKUP($M772,DB_Loonkosten,24,0),""),0),"Vast tarief",IF(LEFT(F772,8)="Bijdrage",VLOOKUP($F772,Tb_KostenTypen[],MATCH(Lijsten!$P$1,Tb_KostenTypen[#Headers],0),0),VLOOKUP($G772,Lijsten!L:P,MATCH(Lijsten!$P$1,Kop_Tarief_Vast,0),0))),""),"")</f>
        <v/>
      </c>
      <c r="P772" s="320" t="str" cm="1">
        <f t="array" ref="P772">_xlfn.IFNA(IF(INDEX(Tb_KostenOptiesDB[],MATCH($F772,Tb_KostenOptiesDB[KostenOptie],0),IFERROR(MATCH(Methode_Keuze,Tb_KostenOptiesDB[#Headers],0),2))=1,_xlfn.SWITCH($N772,"Uurtarief",IF(OR(AND(RIGHT($F772,3)="IKS",VLOOKUP($M772,DB_Loonkosten,2,0)="Ja"),AND(RIGHT($F772,3)&lt;&gt;"IKS",VLOOKUP($M772,DB_Loonkosten,2,0)="Nee")),IFERROR(VLOOKUP($M772,DB_Loonkosten,25,0),""),0),"Vast tarief",IF(LEFT(F772,8)="Bijdrage",VLOOKUP($F772,Tb_KostenTypen[],MATCH(Lijsten!$P$1,Tb_KostenTypen[#Headers],0),0),VLOOKUP($G772,Lijsten!L:P,MATCH(Lijsten!$P$1,Kop_Tarief_Vast,0),0))),""),"")</f>
        <v/>
      </c>
      <c r="Q772" s="359"/>
      <c r="R772" s="359"/>
      <c r="S772" s="321"/>
      <c r="T772" s="321"/>
      <c r="U772" s="373" t="str">
        <f t="shared" si="48"/>
        <v/>
      </c>
      <c r="V772" s="314" t="str">
        <f t="shared" si="49"/>
        <v/>
      </c>
      <c r="W772" s="314" t="str" cm="1">
        <f t="array" aca="1" ref="W772" ca="1">IFERROR(IF(AE772&lt;&gt;"ja",_xlfn.IFNA(_xlfn.IFS(AND(O772&lt;&gt;"",F772&lt;&gt;"",RIGHT($N772,6)="tarief",F772="Vergoeding"),SUM(O772)*FLOOR(SUM(Q772),0.0001),AND(O772&lt;&gt;"",F772&lt;&gt;"",RIGHT($N772,6)="tarief"),SUM(O772)*FLOOR(SUM(Q772),0.01),S772&gt;0,IF(F772&lt;&gt;"",FLOOR(SUM(S772),0.01),"")),""),""),"")</f>
        <v/>
      </c>
      <c r="X772" s="314" t="str" cm="1">
        <f t="array" aca="1" ref="X772" ca="1">IFERROR(IF(AE772&lt;&gt;"ja",_xlfn.IFNA(_xlfn.IFS(AND(P772&lt;&gt;"",R772&lt;&gt;"",RIGHT($N772,6)="tarief",F772="Vergoeding"),SUM(P772)*FLOOR(SUM(R772),0.0001),AND(P772&lt;&gt;"",R772&lt;&gt;"",RIGHT($N772,6)="tarief"),P772*FLOOR(R772,0.01),T772&gt;0,FLOOR(SUM(T772),0.01)),""),""),"")</f>
        <v/>
      </c>
      <c r="Y772" s="314" t="str">
        <f t="shared" ca="1" si="50"/>
        <v/>
      </c>
      <c r="Z772" s="314" t="str" cm="1">
        <f t="array" aca="1" ref="Z772" ca="1">IFERROR(_xlfn.IFS(OR(F772="",LEFT(Methode_Keuze,4)="Geen",Methode_Keuze=""),"",AND(W772&lt;&gt;"",F772&lt;&gt;"Arbeidskosten"),W772*VLOOKUP(F772,Tb_ProjectKosten[],MATCH(Tb_ProjectKosten[[#Headers],[Forfait_Percentage]],Tb_ProjectKosten[#Headers],0),0),AND(F772="Arbeidskosten",G772&lt;&gt;""),IFERROR(W772*VLOOKUP(G772,Tb_KostenTypen[],3,0)*VLOOKUP(F772,Tb_ProjectKosten[],MATCH(Tb_ProjectKosten[[#Headers],[Forfait_Percentage]],Tb_ProjectKosten[#Headers],0),0),""),W772 &lt;=0,0),"")</f>
        <v/>
      </c>
      <c r="AA772" s="314" t="str" cm="1">
        <f t="array" aca="1" ref="AA772" ca="1">IFERROR(_xlfn.IFS(OR(F772="",LEFT(Methode_Keuze,4)="Geen",Methode_Keuze=""),"",AND(X772&lt;&gt;"",F772&lt;&gt;"Arbeidskosten"),X772*VLOOKUP(F772,Tb_ProjectKosten[],MATCH(Tb_ProjectKosten[[#Headers],[Forfait_Percentage]],Tb_ProjectKosten[#Headers],0),0),AND(F772="Arbeidskosten",G772&lt;&gt;""),IFERROR(X772*VLOOKUP(G772,Tb_KostenTypen[],3,0)*VLOOKUP(F772,Tb_ProjectKosten[],MATCH(Tb_ProjectKosten[[#Headers],[Forfait_Percentage]],Tb_ProjectKosten[#Headers],0),0),""),X772 &lt;=0,0),"")</f>
        <v/>
      </c>
      <c r="AB772" s="314" t="str">
        <f t="shared" ca="1" si="51"/>
        <v/>
      </c>
      <c r="AC772" s="322"/>
      <c r="AD772" s="315"/>
      <c r="AE772" s="32" t="str" cm="1">
        <f t="array" ref="AE772">IFERROR(IF(INDEX(SubsidieTabel!$AD$1:$AG$12,MATCH($F772,SubsidieTabel!$AD$1:$AD$12,0),IFERROR(MATCH(Methode_Keuze,SubsidieTabel!$AD$1:$AG$1,0),2))&lt;&gt;1=TRUE,"ja",""),"")</f>
        <v/>
      </c>
    </row>
    <row r="773" spans="1:31" x14ac:dyDescent="0.25">
      <c r="A773" s="316"/>
      <c r="B773" s="317" t="str">
        <f>IF(A773&lt;&gt;"",_xlfn.MAXIFS($B$1:B772,$A$1:A772,A773)+1,"")</f>
        <v/>
      </c>
      <c r="C773" s="296"/>
      <c r="D773" s="296"/>
      <c r="E773" s="296"/>
      <c r="F773" s="296"/>
      <c r="G773" s="326"/>
      <c r="H773" s="324"/>
      <c r="I773" s="325"/>
      <c r="J773" s="325"/>
      <c r="K773" s="318"/>
      <c r="L773" s="318"/>
      <c r="M773" s="319" t="str">
        <f>IFERROR(VLOOKUP(H773,Lijsten!$H$1:$I$100,2,0),"")</f>
        <v/>
      </c>
      <c r="N773" s="319" t="str">
        <f ca="1">IFERROR(IF(VLOOKUP(F773,Kostentypen!$A$3:$E$21,3,0)=0,"",IF(OR(F773="Arbeidskosten",F773="Vergoeding"),VLOOKUP(G773,Tb_KostenTypen[],2,0),VLOOKUP(F773,Kostentypen!$A$3:$E$20,3,0))),"")</f>
        <v/>
      </c>
      <c r="O773" s="320" t="str" cm="1">
        <f t="array" ref="O773">_xlfn.IFNA(IF(INDEX(Tb_KostenOptiesDB[],MATCH($F773,Tb_KostenOptiesDB[KostenOptie],0),IFERROR(MATCH(Methode_Keuze,Tb_KostenOptiesDB[#Headers],0),2))=1,_xlfn.SWITCH($N773,"Uurtarief",IF(OR(AND(RIGHT($F773,3)="IKS",VLOOKUP($M773,DB_Loonkosten,2,0)="Ja"),AND(RIGHT($F773,3)&lt;&gt;"IKS",VLOOKUP($M773,DB_Loonkosten,2,0)="Nee")),IFERROR(VLOOKUP($M773,DB_Loonkosten,24,0),""),0),"Vast tarief",IF(LEFT(F773,8)="Bijdrage",VLOOKUP($F773,Tb_KostenTypen[],MATCH(Lijsten!$P$1,Tb_KostenTypen[#Headers],0),0),VLOOKUP($G773,Lijsten!L:P,MATCH(Lijsten!$P$1,Kop_Tarief_Vast,0),0))),""),"")</f>
        <v/>
      </c>
      <c r="P773" s="320" t="str" cm="1">
        <f t="array" ref="P773">_xlfn.IFNA(IF(INDEX(Tb_KostenOptiesDB[],MATCH($F773,Tb_KostenOptiesDB[KostenOptie],0),IFERROR(MATCH(Methode_Keuze,Tb_KostenOptiesDB[#Headers],0),2))=1,_xlfn.SWITCH($N773,"Uurtarief",IF(OR(AND(RIGHT($F773,3)="IKS",VLOOKUP($M773,DB_Loonkosten,2,0)="Ja"),AND(RIGHT($F773,3)&lt;&gt;"IKS",VLOOKUP($M773,DB_Loonkosten,2,0)="Nee")),IFERROR(VLOOKUP($M773,DB_Loonkosten,25,0),""),0),"Vast tarief",IF(LEFT(F773,8)="Bijdrage",VLOOKUP($F773,Tb_KostenTypen[],MATCH(Lijsten!$P$1,Tb_KostenTypen[#Headers],0),0),VLOOKUP($G773,Lijsten!L:P,MATCH(Lijsten!$P$1,Kop_Tarief_Vast,0),0))),""),"")</f>
        <v/>
      </c>
      <c r="Q773" s="359"/>
      <c r="R773" s="359"/>
      <c r="S773" s="321"/>
      <c r="T773" s="321"/>
      <c r="U773" s="373" t="str">
        <f t="shared" si="48"/>
        <v/>
      </c>
      <c r="V773" s="314" t="str">
        <f t="shared" si="49"/>
        <v/>
      </c>
      <c r="W773" s="314" t="str" cm="1">
        <f t="array" aca="1" ref="W773" ca="1">IFERROR(IF(AE773&lt;&gt;"ja",_xlfn.IFNA(_xlfn.IFS(AND(O773&lt;&gt;"",F773&lt;&gt;"",RIGHT($N773,6)="tarief",F773="Vergoeding"),SUM(O773)*FLOOR(SUM(Q773),0.0001),AND(O773&lt;&gt;"",F773&lt;&gt;"",RIGHT($N773,6)="tarief"),SUM(O773)*FLOOR(SUM(Q773),0.01),S773&gt;0,IF(F773&lt;&gt;"",FLOOR(SUM(S773),0.01),"")),""),""),"")</f>
        <v/>
      </c>
      <c r="X773" s="314" t="str" cm="1">
        <f t="array" aca="1" ref="X773" ca="1">IFERROR(IF(AE773&lt;&gt;"ja",_xlfn.IFNA(_xlfn.IFS(AND(P773&lt;&gt;"",R773&lt;&gt;"",RIGHT($N773,6)="tarief",F773="Vergoeding"),SUM(P773)*FLOOR(SUM(R773),0.0001),AND(P773&lt;&gt;"",R773&lt;&gt;"",RIGHT($N773,6)="tarief"),P773*FLOOR(R773,0.01),T773&gt;0,FLOOR(SUM(T773),0.01)),""),""),"")</f>
        <v/>
      </c>
      <c r="Y773" s="314" t="str">
        <f t="shared" ca="1" si="50"/>
        <v/>
      </c>
      <c r="Z773" s="314" t="str" cm="1">
        <f t="array" aca="1" ref="Z773" ca="1">IFERROR(_xlfn.IFS(OR(F773="",LEFT(Methode_Keuze,4)="Geen",Methode_Keuze=""),"",AND(W773&lt;&gt;"",F773&lt;&gt;"Arbeidskosten"),W773*VLOOKUP(F773,Tb_ProjectKosten[],MATCH(Tb_ProjectKosten[[#Headers],[Forfait_Percentage]],Tb_ProjectKosten[#Headers],0),0),AND(F773="Arbeidskosten",G773&lt;&gt;""),IFERROR(W773*VLOOKUP(G773,Tb_KostenTypen[],3,0)*VLOOKUP(F773,Tb_ProjectKosten[],MATCH(Tb_ProjectKosten[[#Headers],[Forfait_Percentage]],Tb_ProjectKosten[#Headers],0),0),""),W773 &lt;=0,0),"")</f>
        <v/>
      </c>
      <c r="AA773" s="314" t="str" cm="1">
        <f t="array" aca="1" ref="AA773" ca="1">IFERROR(_xlfn.IFS(OR(F773="",LEFT(Methode_Keuze,4)="Geen",Methode_Keuze=""),"",AND(X773&lt;&gt;"",F773&lt;&gt;"Arbeidskosten"),X773*VLOOKUP(F773,Tb_ProjectKosten[],MATCH(Tb_ProjectKosten[[#Headers],[Forfait_Percentage]],Tb_ProjectKosten[#Headers],0),0),AND(F773="Arbeidskosten",G773&lt;&gt;""),IFERROR(X773*VLOOKUP(G773,Tb_KostenTypen[],3,0)*VLOOKUP(F773,Tb_ProjectKosten[],MATCH(Tb_ProjectKosten[[#Headers],[Forfait_Percentage]],Tb_ProjectKosten[#Headers],0),0),""),X773 &lt;=0,0),"")</f>
        <v/>
      </c>
      <c r="AB773" s="314" t="str">
        <f t="shared" ca="1" si="51"/>
        <v/>
      </c>
      <c r="AC773" s="322"/>
      <c r="AD773" s="315"/>
      <c r="AE773" s="32" t="str" cm="1">
        <f t="array" ref="AE773">IFERROR(IF(INDEX(SubsidieTabel!$AD$1:$AG$12,MATCH($F773,SubsidieTabel!$AD$1:$AD$12,0),IFERROR(MATCH(Methode_Keuze,SubsidieTabel!$AD$1:$AG$1,0),2))&lt;&gt;1=TRUE,"ja",""),"")</f>
        <v/>
      </c>
    </row>
    <row r="774" spans="1:31" x14ac:dyDescent="0.25">
      <c r="A774" s="316"/>
      <c r="B774" s="317" t="str">
        <f>IF(A774&lt;&gt;"",_xlfn.MAXIFS($B$1:B773,$A$1:A773,A774)+1,"")</f>
        <v/>
      </c>
      <c r="C774" s="296"/>
      <c r="D774" s="296"/>
      <c r="E774" s="296"/>
      <c r="F774" s="296"/>
      <c r="G774" s="326"/>
      <c r="H774" s="324"/>
      <c r="I774" s="325"/>
      <c r="J774" s="325"/>
      <c r="K774" s="318"/>
      <c r="L774" s="318"/>
      <c r="M774" s="319" t="str">
        <f>IFERROR(VLOOKUP(H774,Lijsten!$H$1:$I$100,2,0),"")</f>
        <v/>
      </c>
      <c r="N774" s="319" t="str">
        <f ca="1">IFERROR(IF(VLOOKUP(F774,Kostentypen!$A$3:$E$21,3,0)=0,"",IF(OR(F774="Arbeidskosten",F774="Vergoeding"),VLOOKUP(G774,Tb_KostenTypen[],2,0),VLOOKUP(F774,Kostentypen!$A$3:$E$20,3,0))),"")</f>
        <v/>
      </c>
      <c r="O774" s="320" t="str" cm="1">
        <f t="array" ref="O774">_xlfn.IFNA(IF(INDEX(Tb_KostenOptiesDB[],MATCH($F774,Tb_KostenOptiesDB[KostenOptie],0),IFERROR(MATCH(Methode_Keuze,Tb_KostenOptiesDB[#Headers],0),2))=1,_xlfn.SWITCH($N774,"Uurtarief",IF(OR(AND(RIGHT($F774,3)="IKS",VLOOKUP($M774,DB_Loonkosten,2,0)="Ja"),AND(RIGHT($F774,3)&lt;&gt;"IKS",VLOOKUP($M774,DB_Loonkosten,2,0)="Nee")),IFERROR(VLOOKUP($M774,DB_Loonkosten,24,0),""),0),"Vast tarief",IF(LEFT(F774,8)="Bijdrage",VLOOKUP($F774,Tb_KostenTypen[],MATCH(Lijsten!$P$1,Tb_KostenTypen[#Headers],0),0),VLOOKUP($G774,Lijsten!L:P,MATCH(Lijsten!$P$1,Kop_Tarief_Vast,0),0))),""),"")</f>
        <v/>
      </c>
      <c r="P774" s="320" t="str" cm="1">
        <f t="array" ref="P774">_xlfn.IFNA(IF(INDEX(Tb_KostenOptiesDB[],MATCH($F774,Tb_KostenOptiesDB[KostenOptie],0),IFERROR(MATCH(Methode_Keuze,Tb_KostenOptiesDB[#Headers],0),2))=1,_xlfn.SWITCH($N774,"Uurtarief",IF(OR(AND(RIGHT($F774,3)="IKS",VLOOKUP($M774,DB_Loonkosten,2,0)="Ja"),AND(RIGHT($F774,3)&lt;&gt;"IKS",VLOOKUP($M774,DB_Loonkosten,2,0)="Nee")),IFERROR(VLOOKUP($M774,DB_Loonkosten,25,0),""),0),"Vast tarief",IF(LEFT(F774,8)="Bijdrage",VLOOKUP($F774,Tb_KostenTypen[],MATCH(Lijsten!$P$1,Tb_KostenTypen[#Headers],0),0),VLOOKUP($G774,Lijsten!L:P,MATCH(Lijsten!$P$1,Kop_Tarief_Vast,0),0))),""),"")</f>
        <v/>
      </c>
      <c r="Q774" s="359"/>
      <c r="R774" s="359"/>
      <c r="S774" s="321"/>
      <c r="T774" s="321"/>
      <c r="U774" s="373" t="str">
        <f t="shared" si="48"/>
        <v/>
      </c>
      <c r="V774" s="314" t="str">
        <f t="shared" si="49"/>
        <v/>
      </c>
      <c r="W774" s="314" t="str" cm="1">
        <f t="array" aca="1" ref="W774" ca="1">IFERROR(IF(AE774&lt;&gt;"ja",_xlfn.IFNA(_xlfn.IFS(AND(O774&lt;&gt;"",F774&lt;&gt;"",RIGHT($N774,6)="tarief",F774="Vergoeding"),SUM(O774)*FLOOR(SUM(Q774),0.0001),AND(O774&lt;&gt;"",F774&lt;&gt;"",RIGHT($N774,6)="tarief"),SUM(O774)*FLOOR(SUM(Q774),0.01),S774&gt;0,IF(F774&lt;&gt;"",FLOOR(SUM(S774),0.01),"")),""),""),"")</f>
        <v/>
      </c>
      <c r="X774" s="314" t="str" cm="1">
        <f t="array" aca="1" ref="X774" ca="1">IFERROR(IF(AE774&lt;&gt;"ja",_xlfn.IFNA(_xlfn.IFS(AND(P774&lt;&gt;"",R774&lt;&gt;"",RIGHT($N774,6)="tarief",F774="Vergoeding"),SUM(P774)*FLOOR(SUM(R774),0.0001),AND(P774&lt;&gt;"",R774&lt;&gt;"",RIGHT($N774,6)="tarief"),P774*FLOOR(R774,0.01),T774&gt;0,FLOOR(SUM(T774),0.01)),""),""),"")</f>
        <v/>
      </c>
      <c r="Y774" s="314" t="str">
        <f t="shared" ca="1" si="50"/>
        <v/>
      </c>
      <c r="Z774" s="314" t="str" cm="1">
        <f t="array" aca="1" ref="Z774" ca="1">IFERROR(_xlfn.IFS(OR(F774="",LEFT(Methode_Keuze,4)="Geen",Methode_Keuze=""),"",AND(W774&lt;&gt;"",F774&lt;&gt;"Arbeidskosten"),W774*VLOOKUP(F774,Tb_ProjectKosten[],MATCH(Tb_ProjectKosten[[#Headers],[Forfait_Percentage]],Tb_ProjectKosten[#Headers],0),0),AND(F774="Arbeidskosten",G774&lt;&gt;""),IFERROR(W774*VLOOKUP(G774,Tb_KostenTypen[],3,0)*VLOOKUP(F774,Tb_ProjectKosten[],MATCH(Tb_ProjectKosten[[#Headers],[Forfait_Percentage]],Tb_ProjectKosten[#Headers],0),0),""),W774 &lt;=0,0),"")</f>
        <v/>
      </c>
      <c r="AA774" s="314" t="str" cm="1">
        <f t="array" aca="1" ref="AA774" ca="1">IFERROR(_xlfn.IFS(OR(F774="",LEFT(Methode_Keuze,4)="Geen",Methode_Keuze=""),"",AND(X774&lt;&gt;"",F774&lt;&gt;"Arbeidskosten"),X774*VLOOKUP(F774,Tb_ProjectKosten[],MATCH(Tb_ProjectKosten[[#Headers],[Forfait_Percentage]],Tb_ProjectKosten[#Headers],0),0),AND(F774="Arbeidskosten",G774&lt;&gt;""),IFERROR(X774*VLOOKUP(G774,Tb_KostenTypen[],3,0)*VLOOKUP(F774,Tb_ProjectKosten[],MATCH(Tb_ProjectKosten[[#Headers],[Forfait_Percentage]],Tb_ProjectKosten[#Headers],0),0),""),X774 &lt;=0,0),"")</f>
        <v/>
      </c>
      <c r="AB774" s="314" t="str">
        <f t="shared" ca="1" si="51"/>
        <v/>
      </c>
      <c r="AC774" s="322"/>
      <c r="AD774" s="315"/>
      <c r="AE774" s="32" t="str" cm="1">
        <f t="array" ref="AE774">IFERROR(IF(INDEX(SubsidieTabel!$AD$1:$AG$12,MATCH($F774,SubsidieTabel!$AD$1:$AD$12,0),IFERROR(MATCH(Methode_Keuze,SubsidieTabel!$AD$1:$AG$1,0),2))&lt;&gt;1=TRUE,"ja",""),"")</f>
        <v/>
      </c>
    </row>
    <row r="775" spans="1:31" x14ac:dyDescent="0.25">
      <c r="A775" s="316"/>
      <c r="B775" s="317" t="str">
        <f>IF(A775&lt;&gt;"",_xlfn.MAXIFS($B$1:B774,$A$1:A774,A775)+1,"")</f>
        <v/>
      </c>
      <c r="C775" s="296"/>
      <c r="D775" s="296"/>
      <c r="E775" s="296"/>
      <c r="F775" s="296"/>
      <c r="G775" s="326"/>
      <c r="H775" s="324"/>
      <c r="I775" s="325"/>
      <c r="J775" s="325"/>
      <c r="K775" s="318"/>
      <c r="L775" s="318"/>
      <c r="M775" s="319" t="str">
        <f>IFERROR(VLOOKUP(H775,Lijsten!$H$1:$I$100,2,0),"")</f>
        <v/>
      </c>
      <c r="N775" s="319" t="str">
        <f ca="1">IFERROR(IF(VLOOKUP(F775,Kostentypen!$A$3:$E$21,3,0)=0,"",IF(OR(F775="Arbeidskosten",F775="Vergoeding"),VLOOKUP(G775,Tb_KostenTypen[],2,0),VLOOKUP(F775,Kostentypen!$A$3:$E$20,3,0))),"")</f>
        <v/>
      </c>
      <c r="O775" s="320" t="str" cm="1">
        <f t="array" ref="O775">_xlfn.IFNA(IF(INDEX(Tb_KostenOptiesDB[],MATCH($F775,Tb_KostenOptiesDB[KostenOptie],0),IFERROR(MATCH(Methode_Keuze,Tb_KostenOptiesDB[#Headers],0),2))=1,_xlfn.SWITCH($N775,"Uurtarief",IF(OR(AND(RIGHT($F775,3)="IKS",VLOOKUP($M775,DB_Loonkosten,2,0)="Ja"),AND(RIGHT($F775,3)&lt;&gt;"IKS",VLOOKUP($M775,DB_Loonkosten,2,0)="Nee")),IFERROR(VLOOKUP($M775,DB_Loonkosten,24,0),""),0),"Vast tarief",IF(LEFT(F775,8)="Bijdrage",VLOOKUP($F775,Tb_KostenTypen[],MATCH(Lijsten!$P$1,Tb_KostenTypen[#Headers],0),0),VLOOKUP($G775,Lijsten!L:P,MATCH(Lijsten!$P$1,Kop_Tarief_Vast,0),0))),""),"")</f>
        <v/>
      </c>
      <c r="P775" s="320" t="str" cm="1">
        <f t="array" ref="P775">_xlfn.IFNA(IF(INDEX(Tb_KostenOptiesDB[],MATCH($F775,Tb_KostenOptiesDB[KostenOptie],0),IFERROR(MATCH(Methode_Keuze,Tb_KostenOptiesDB[#Headers],0),2))=1,_xlfn.SWITCH($N775,"Uurtarief",IF(OR(AND(RIGHT($F775,3)="IKS",VLOOKUP($M775,DB_Loonkosten,2,0)="Ja"),AND(RIGHT($F775,3)&lt;&gt;"IKS",VLOOKUP($M775,DB_Loonkosten,2,0)="Nee")),IFERROR(VLOOKUP($M775,DB_Loonkosten,25,0),""),0),"Vast tarief",IF(LEFT(F775,8)="Bijdrage",VLOOKUP($F775,Tb_KostenTypen[],MATCH(Lijsten!$P$1,Tb_KostenTypen[#Headers],0),0),VLOOKUP($G775,Lijsten!L:P,MATCH(Lijsten!$P$1,Kop_Tarief_Vast,0),0))),""),"")</f>
        <v/>
      </c>
      <c r="Q775" s="359"/>
      <c r="R775" s="359"/>
      <c r="S775" s="321"/>
      <c r="T775" s="321"/>
      <c r="U775" s="373" t="str">
        <f t="shared" si="48"/>
        <v/>
      </c>
      <c r="V775" s="314" t="str">
        <f t="shared" si="49"/>
        <v/>
      </c>
      <c r="W775" s="314" t="str" cm="1">
        <f t="array" aca="1" ref="W775" ca="1">IFERROR(IF(AE775&lt;&gt;"ja",_xlfn.IFNA(_xlfn.IFS(AND(O775&lt;&gt;"",F775&lt;&gt;"",RIGHT($N775,6)="tarief",F775="Vergoeding"),SUM(O775)*FLOOR(SUM(Q775),0.0001),AND(O775&lt;&gt;"",F775&lt;&gt;"",RIGHT($N775,6)="tarief"),SUM(O775)*FLOOR(SUM(Q775),0.01),S775&gt;0,IF(F775&lt;&gt;"",FLOOR(SUM(S775),0.01),"")),""),""),"")</f>
        <v/>
      </c>
      <c r="X775" s="314" t="str" cm="1">
        <f t="array" aca="1" ref="X775" ca="1">IFERROR(IF(AE775&lt;&gt;"ja",_xlfn.IFNA(_xlfn.IFS(AND(P775&lt;&gt;"",R775&lt;&gt;"",RIGHT($N775,6)="tarief",F775="Vergoeding"),SUM(P775)*FLOOR(SUM(R775),0.0001),AND(P775&lt;&gt;"",R775&lt;&gt;"",RIGHT($N775,6)="tarief"),P775*FLOOR(R775,0.01),T775&gt;0,FLOOR(SUM(T775),0.01)),""),""),"")</f>
        <v/>
      </c>
      <c r="Y775" s="314" t="str">
        <f t="shared" ca="1" si="50"/>
        <v/>
      </c>
      <c r="Z775" s="314" t="str" cm="1">
        <f t="array" aca="1" ref="Z775" ca="1">IFERROR(_xlfn.IFS(OR(F775="",LEFT(Methode_Keuze,4)="Geen",Methode_Keuze=""),"",AND(W775&lt;&gt;"",F775&lt;&gt;"Arbeidskosten"),W775*VLOOKUP(F775,Tb_ProjectKosten[],MATCH(Tb_ProjectKosten[[#Headers],[Forfait_Percentage]],Tb_ProjectKosten[#Headers],0),0),AND(F775="Arbeidskosten",G775&lt;&gt;""),IFERROR(W775*VLOOKUP(G775,Tb_KostenTypen[],3,0)*VLOOKUP(F775,Tb_ProjectKosten[],MATCH(Tb_ProjectKosten[[#Headers],[Forfait_Percentage]],Tb_ProjectKosten[#Headers],0),0),""),W775 &lt;=0,0),"")</f>
        <v/>
      </c>
      <c r="AA775" s="314" t="str" cm="1">
        <f t="array" aca="1" ref="AA775" ca="1">IFERROR(_xlfn.IFS(OR(F775="",LEFT(Methode_Keuze,4)="Geen",Methode_Keuze=""),"",AND(X775&lt;&gt;"",F775&lt;&gt;"Arbeidskosten"),X775*VLOOKUP(F775,Tb_ProjectKosten[],MATCH(Tb_ProjectKosten[[#Headers],[Forfait_Percentage]],Tb_ProjectKosten[#Headers],0),0),AND(F775="Arbeidskosten",G775&lt;&gt;""),IFERROR(X775*VLOOKUP(G775,Tb_KostenTypen[],3,0)*VLOOKUP(F775,Tb_ProjectKosten[],MATCH(Tb_ProjectKosten[[#Headers],[Forfait_Percentage]],Tb_ProjectKosten[#Headers],0),0),""),X775 &lt;=0,0),"")</f>
        <v/>
      </c>
      <c r="AB775" s="314" t="str">
        <f t="shared" ca="1" si="51"/>
        <v/>
      </c>
      <c r="AC775" s="322"/>
      <c r="AD775" s="315"/>
      <c r="AE775" s="32" t="str" cm="1">
        <f t="array" ref="AE775">IFERROR(IF(INDEX(SubsidieTabel!$AD$1:$AG$12,MATCH($F775,SubsidieTabel!$AD$1:$AD$12,0),IFERROR(MATCH(Methode_Keuze,SubsidieTabel!$AD$1:$AG$1,0),2))&lt;&gt;1=TRUE,"ja",""),"")</f>
        <v/>
      </c>
    </row>
    <row r="776" spans="1:31" x14ac:dyDescent="0.25">
      <c r="A776" s="316"/>
      <c r="B776" s="317" t="str">
        <f>IF(A776&lt;&gt;"",_xlfn.MAXIFS($B$1:B775,$A$1:A775,A776)+1,"")</f>
        <v/>
      </c>
      <c r="C776" s="296"/>
      <c r="D776" s="296"/>
      <c r="E776" s="296"/>
      <c r="F776" s="296"/>
      <c r="G776" s="326"/>
      <c r="H776" s="324"/>
      <c r="I776" s="325"/>
      <c r="J776" s="325"/>
      <c r="K776" s="318"/>
      <c r="L776" s="318"/>
      <c r="M776" s="319" t="str">
        <f>IFERROR(VLOOKUP(H776,Lijsten!$H$1:$I$100,2,0),"")</f>
        <v/>
      </c>
      <c r="N776" s="319" t="str">
        <f ca="1">IFERROR(IF(VLOOKUP(F776,Kostentypen!$A$3:$E$21,3,0)=0,"",IF(OR(F776="Arbeidskosten",F776="Vergoeding"),VLOOKUP(G776,Tb_KostenTypen[],2,0),VLOOKUP(F776,Kostentypen!$A$3:$E$20,3,0))),"")</f>
        <v/>
      </c>
      <c r="O776" s="320" t="str" cm="1">
        <f t="array" ref="O776">_xlfn.IFNA(IF(INDEX(Tb_KostenOptiesDB[],MATCH($F776,Tb_KostenOptiesDB[KostenOptie],0),IFERROR(MATCH(Methode_Keuze,Tb_KostenOptiesDB[#Headers],0),2))=1,_xlfn.SWITCH($N776,"Uurtarief",IF(OR(AND(RIGHT($F776,3)="IKS",VLOOKUP($M776,DB_Loonkosten,2,0)="Ja"),AND(RIGHT($F776,3)&lt;&gt;"IKS",VLOOKUP($M776,DB_Loonkosten,2,0)="Nee")),IFERROR(VLOOKUP($M776,DB_Loonkosten,24,0),""),0),"Vast tarief",IF(LEFT(F776,8)="Bijdrage",VLOOKUP($F776,Tb_KostenTypen[],MATCH(Lijsten!$P$1,Tb_KostenTypen[#Headers],0),0),VLOOKUP($G776,Lijsten!L:P,MATCH(Lijsten!$P$1,Kop_Tarief_Vast,0),0))),""),"")</f>
        <v/>
      </c>
      <c r="P776" s="320" t="str" cm="1">
        <f t="array" ref="P776">_xlfn.IFNA(IF(INDEX(Tb_KostenOptiesDB[],MATCH($F776,Tb_KostenOptiesDB[KostenOptie],0),IFERROR(MATCH(Methode_Keuze,Tb_KostenOptiesDB[#Headers],0),2))=1,_xlfn.SWITCH($N776,"Uurtarief",IF(OR(AND(RIGHT($F776,3)="IKS",VLOOKUP($M776,DB_Loonkosten,2,0)="Ja"),AND(RIGHT($F776,3)&lt;&gt;"IKS",VLOOKUP($M776,DB_Loonkosten,2,0)="Nee")),IFERROR(VLOOKUP($M776,DB_Loonkosten,25,0),""),0),"Vast tarief",IF(LEFT(F776,8)="Bijdrage",VLOOKUP($F776,Tb_KostenTypen[],MATCH(Lijsten!$P$1,Tb_KostenTypen[#Headers],0),0),VLOOKUP($G776,Lijsten!L:P,MATCH(Lijsten!$P$1,Kop_Tarief_Vast,0),0))),""),"")</f>
        <v/>
      </c>
      <c r="Q776" s="359"/>
      <c r="R776" s="359"/>
      <c r="S776" s="321"/>
      <c r="T776" s="321"/>
      <c r="U776" s="373" t="str">
        <f t="shared" si="48"/>
        <v/>
      </c>
      <c r="V776" s="314" t="str">
        <f t="shared" si="49"/>
        <v/>
      </c>
      <c r="W776" s="314" t="str" cm="1">
        <f t="array" aca="1" ref="W776" ca="1">IFERROR(IF(AE776&lt;&gt;"ja",_xlfn.IFNA(_xlfn.IFS(AND(O776&lt;&gt;"",F776&lt;&gt;"",RIGHT($N776,6)="tarief",F776="Vergoeding"),SUM(O776)*FLOOR(SUM(Q776),0.0001),AND(O776&lt;&gt;"",F776&lt;&gt;"",RIGHT($N776,6)="tarief"),SUM(O776)*FLOOR(SUM(Q776),0.01),S776&gt;0,IF(F776&lt;&gt;"",FLOOR(SUM(S776),0.01),"")),""),""),"")</f>
        <v/>
      </c>
      <c r="X776" s="314" t="str" cm="1">
        <f t="array" aca="1" ref="X776" ca="1">IFERROR(IF(AE776&lt;&gt;"ja",_xlfn.IFNA(_xlfn.IFS(AND(P776&lt;&gt;"",R776&lt;&gt;"",RIGHT($N776,6)="tarief",F776="Vergoeding"),SUM(P776)*FLOOR(SUM(R776),0.0001),AND(P776&lt;&gt;"",R776&lt;&gt;"",RIGHT($N776,6)="tarief"),P776*FLOOR(R776,0.01),T776&gt;0,FLOOR(SUM(T776),0.01)),""),""),"")</f>
        <v/>
      </c>
      <c r="Y776" s="314" t="str">
        <f t="shared" ca="1" si="50"/>
        <v/>
      </c>
      <c r="Z776" s="314" t="str" cm="1">
        <f t="array" aca="1" ref="Z776" ca="1">IFERROR(_xlfn.IFS(OR(F776="",LEFT(Methode_Keuze,4)="Geen",Methode_Keuze=""),"",AND(W776&lt;&gt;"",F776&lt;&gt;"Arbeidskosten"),W776*VLOOKUP(F776,Tb_ProjectKosten[],MATCH(Tb_ProjectKosten[[#Headers],[Forfait_Percentage]],Tb_ProjectKosten[#Headers],0),0),AND(F776="Arbeidskosten",G776&lt;&gt;""),IFERROR(W776*VLOOKUP(G776,Tb_KostenTypen[],3,0)*VLOOKUP(F776,Tb_ProjectKosten[],MATCH(Tb_ProjectKosten[[#Headers],[Forfait_Percentage]],Tb_ProjectKosten[#Headers],0),0),""),W776 &lt;=0,0),"")</f>
        <v/>
      </c>
      <c r="AA776" s="314" t="str" cm="1">
        <f t="array" aca="1" ref="AA776" ca="1">IFERROR(_xlfn.IFS(OR(F776="",LEFT(Methode_Keuze,4)="Geen",Methode_Keuze=""),"",AND(X776&lt;&gt;"",F776&lt;&gt;"Arbeidskosten"),X776*VLOOKUP(F776,Tb_ProjectKosten[],MATCH(Tb_ProjectKosten[[#Headers],[Forfait_Percentage]],Tb_ProjectKosten[#Headers],0),0),AND(F776="Arbeidskosten",G776&lt;&gt;""),IFERROR(X776*VLOOKUP(G776,Tb_KostenTypen[],3,0)*VLOOKUP(F776,Tb_ProjectKosten[],MATCH(Tb_ProjectKosten[[#Headers],[Forfait_Percentage]],Tb_ProjectKosten[#Headers],0),0),""),X776 &lt;=0,0),"")</f>
        <v/>
      </c>
      <c r="AB776" s="314" t="str">
        <f t="shared" ca="1" si="51"/>
        <v/>
      </c>
      <c r="AC776" s="322"/>
      <c r="AD776" s="315"/>
      <c r="AE776" s="32" t="str" cm="1">
        <f t="array" ref="AE776">IFERROR(IF(INDEX(SubsidieTabel!$AD$1:$AG$12,MATCH($F776,SubsidieTabel!$AD$1:$AD$12,0),IFERROR(MATCH(Methode_Keuze,SubsidieTabel!$AD$1:$AG$1,0),2))&lt;&gt;1=TRUE,"ja",""),"")</f>
        <v/>
      </c>
    </row>
    <row r="777" spans="1:31" x14ac:dyDescent="0.25">
      <c r="A777" s="316"/>
      <c r="B777" s="317" t="str">
        <f>IF(A777&lt;&gt;"",_xlfn.MAXIFS($B$1:B776,$A$1:A776,A777)+1,"")</f>
        <v/>
      </c>
      <c r="C777" s="296"/>
      <c r="D777" s="296"/>
      <c r="E777" s="296"/>
      <c r="F777" s="296"/>
      <c r="G777" s="326"/>
      <c r="H777" s="324"/>
      <c r="I777" s="325"/>
      <c r="J777" s="325"/>
      <c r="K777" s="318"/>
      <c r="L777" s="318"/>
      <c r="M777" s="319" t="str">
        <f>IFERROR(VLOOKUP(H777,Lijsten!$H$1:$I$100,2,0),"")</f>
        <v/>
      </c>
      <c r="N777" s="319" t="str">
        <f ca="1">IFERROR(IF(VLOOKUP(F777,Kostentypen!$A$3:$E$21,3,0)=0,"",IF(OR(F777="Arbeidskosten",F777="Vergoeding"),VLOOKUP(G777,Tb_KostenTypen[],2,0),VLOOKUP(F777,Kostentypen!$A$3:$E$20,3,0))),"")</f>
        <v/>
      </c>
      <c r="O777" s="320" t="str" cm="1">
        <f t="array" ref="O777">_xlfn.IFNA(IF(INDEX(Tb_KostenOptiesDB[],MATCH($F777,Tb_KostenOptiesDB[KostenOptie],0),IFERROR(MATCH(Methode_Keuze,Tb_KostenOptiesDB[#Headers],0),2))=1,_xlfn.SWITCH($N777,"Uurtarief",IF(OR(AND(RIGHT($F777,3)="IKS",VLOOKUP($M777,DB_Loonkosten,2,0)="Ja"),AND(RIGHT($F777,3)&lt;&gt;"IKS",VLOOKUP($M777,DB_Loonkosten,2,0)="Nee")),IFERROR(VLOOKUP($M777,DB_Loonkosten,24,0),""),0),"Vast tarief",IF(LEFT(F777,8)="Bijdrage",VLOOKUP($F777,Tb_KostenTypen[],MATCH(Lijsten!$P$1,Tb_KostenTypen[#Headers],0),0),VLOOKUP($G777,Lijsten!L:P,MATCH(Lijsten!$P$1,Kop_Tarief_Vast,0),0))),""),"")</f>
        <v/>
      </c>
      <c r="P777" s="320" t="str" cm="1">
        <f t="array" ref="P777">_xlfn.IFNA(IF(INDEX(Tb_KostenOptiesDB[],MATCH($F777,Tb_KostenOptiesDB[KostenOptie],0),IFERROR(MATCH(Methode_Keuze,Tb_KostenOptiesDB[#Headers],0),2))=1,_xlfn.SWITCH($N777,"Uurtarief",IF(OR(AND(RIGHT($F777,3)="IKS",VLOOKUP($M777,DB_Loonkosten,2,0)="Ja"),AND(RIGHT($F777,3)&lt;&gt;"IKS",VLOOKUP($M777,DB_Loonkosten,2,0)="Nee")),IFERROR(VLOOKUP($M777,DB_Loonkosten,25,0),""),0),"Vast tarief",IF(LEFT(F777,8)="Bijdrage",VLOOKUP($F777,Tb_KostenTypen[],MATCH(Lijsten!$P$1,Tb_KostenTypen[#Headers],0),0),VLOOKUP($G777,Lijsten!L:P,MATCH(Lijsten!$P$1,Kop_Tarief_Vast,0),0))),""),"")</f>
        <v/>
      </c>
      <c r="Q777" s="359"/>
      <c r="R777" s="359"/>
      <c r="S777" s="321"/>
      <c r="T777" s="321"/>
      <c r="U777" s="373" t="str">
        <f t="shared" si="48"/>
        <v/>
      </c>
      <c r="V777" s="314" t="str">
        <f t="shared" si="49"/>
        <v/>
      </c>
      <c r="W777" s="314" t="str" cm="1">
        <f t="array" aca="1" ref="W777" ca="1">IFERROR(IF(AE777&lt;&gt;"ja",_xlfn.IFNA(_xlfn.IFS(AND(O777&lt;&gt;"",F777&lt;&gt;"",RIGHT($N777,6)="tarief",F777="Vergoeding"),SUM(O777)*FLOOR(SUM(Q777),0.0001),AND(O777&lt;&gt;"",F777&lt;&gt;"",RIGHT($N777,6)="tarief"),SUM(O777)*FLOOR(SUM(Q777),0.01),S777&gt;0,IF(F777&lt;&gt;"",FLOOR(SUM(S777),0.01),"")),""),""),"")</f>
        <v/>
      </c>
      <c r="X777" s="314" t="str" cm="1">
        <f t="array" aca="1" ref="X777" ca="1">IFERROR(IF(AE777&lt;&gt;"ja",_xlfn.IFNA(_xlfn.IFS(AND(P777&lt;&gt;"",R777&lt;&gt;"",RIGHT($N777,6)="tarief",F777="Vergoeding"),SUM(P777)*FLOOR(SUM(R777),0.0001),AND(P777&lt;&gt;"",R777&lt;&gt;"",RIGHT($N777,6)="tarief"),P777*FLOOR(R777,0.01),T777&gt;0,FLOOR(SUM(T777),0.01)),""),""),"")</f>
        <v/>
      </c>
      <c r="Y777" s="314" t="str">
        <f t="shared" ca="1" si="50"/>
        <v/>
      </c>
      <c r="Z777" s="314" t="str" cm="1">
        <f t="array" aca="1" ref="Z777" ca="1">IFERROR(_xlfn.IFS(OR(F777="",LEFT(Methode_Keuze,4)="Geen",Methode_Keuze=""),"",AND(W777&lt;&gt;"",F777&lt;&gt;"Arbeidskosten"),W777*VLOOKUP(F777,Tb_ProjectKosten[],MATCH(Tb_ProjectKosten[[#Headers],[Forfait_Percentage]],Tb_ProjectKosten[#Headers],0),0),AND(F777="Arbeidskosten",G777&lt;&gt;""),IFERROR(W777*VLOOKUP(G777,Tb_KostenTypen[],3,0)*VLOOKUP(F777,Tb_ProjectKosten[],MATCH(Tb_ProjectKosten[[#Headers],[Forfait_Percentage]],Tb_ProjectKosten[#Headers],0),0),""),W777 &lt;=0,0),"")</f>
        <v/>
      </c>
      <c r="AA777" s="314" t="str" cm="1">
        <f t="array" aca="1" ref="AA777" ca="1">IFERROR(_xlfn.IFS(OR(F777="",LEFT(Methode_Keuze,4)="Geen",Methode_Keuze=""),"",AND(X777&lt;&gt;"",F777&lt;&gt;"Arbeidskosten"),X777*VLOOKUP(F777,Tb_ProjectKosten[],MATCH(Tb_ProjectKosten[[#Headers],[Forfait_Percentage]],Tb_ProjectKosten[#Headers],0),0),AND(F777="Arbeidskosten",G777&lt;&gt;""),IFERROR(X777*VLOOKUP(G777,Tb_KostenTypen[],3,0)*VLOOKUP(F777,Tb_ProjectKosten[],MATCH(Tb_ProjectKosten[[#Headers],[Forfait_Percentage]],Tb_ProjectKosten[#Headers],0),0),""),X777 &lt;=0,0),"")</f>
        <v/>
      </c>
      <c r="AB777" s="314" t="str">
        <f t="shared" ca="1" si="51"/>
        <v/>
      </c>
      <c r="AC777" s="322"/>
      <c r="AD777" s="315"/>
      <c r="AE777" s="32" t="str" cm="1">
        <f t="array" ref="AE777">IFERROR(IF(INDEX(SubsidieTabel!$AD$1:$AG$12,MATCH($F777,SubsidieTabel!$AD$1:$AD$12,0),IFERROR(MATCH(Methode_Keuze,SubsidieTabel!$AD$1:$AG$1,0),2))&lt;&gt;1=TRUE,"ja",""),"")</f>
        <v/>
      </c>
    </row>
    <row r="778" spans="1:31" x14ac:dyDescent="0.25">
      <c r="A778" s="316"/>
      <c r="B778" s="317" t="str">
        <f>IF(A778&lt;&gt;"",_xlfn.MAXIFS($B$1:B777,$A$1:A777,A778)+1,"")</f>
        <v/>
      </c>
      <c r="C778" s="296"/>
      <c r="D778" s="296"/>
      <c r="E778" s="296"/>
      <c r="F778" s="296"/>
      <c r="G778" s="326"/>
      <c r="H778" s="324"/>
      <c r="I778" s="325"/>
      <c r="J778" s="325"/>
      <c r="K778" s="318"/>
      <c r="L778" s="318"/>
      <c r="M778" s="319" t="str">
        <f>IFERROR(VLOOKUP(H778,Lijsten!$H$1:$I$100,2,0),"")</f>
        <v/>
      </c>
      <c r="N778" s="319" t="str">
        <f ca="1">IFERROR(IF(VLOOKUP(F778,Kostentypen!$A$3:$E$21,3,0)=0,"",IF(OR(F778="Arbeidskosten",F778="Vergoeding"),VLOOKUP(G778,Tb_KostenTypen[],2,0),VLOOKUP(F778,Kostentypen!$A$3:$E$20,3,0))),"")</f>
        <v/>
      </c>
      <c r="O778" s="320" t="str" cm="1">
        <f t="array" ref="O778">_xlfn.IFNA(IF(INDEX(Tb_KostenOptiesDB[],MATCH($F778,Tb_KostenOptiesDB[KostenOptie],0),IFERROR(MATCH(Methode_Keuze,Tb_KostenOptiesDB[#Headers],0),2))=1,_xlfn.SWITCH($N778,"Uurtarief",IF(OR(AND(RIGHT($F778,3)="IKS",VLOOKUP($M778,DB_Loonkosten,2,0)="Ja"),AND(RIGHT($F778,3)&lt;&gt;"IKS",VLOOKUP($M778,DB_Loonkosten,2,0)="Nee")),IFERROR(VLOOKUP($M778,DB_Loonkosten,24,0),""),0),"Vast tarief",IF(LEFT(F778,8)="Bijdrage",VLOOKUP($F778,Tb_KostenTypen[],MATCH(Lijsten!$P$1,Tb_KostenTypen[#Headers],0),0),VLOOKUP($G778,Lijsten!L:P,MATCH(Lijsten!$P$1,Kop_Tarief_Vast,0),0))),""),"")</f>
        <v/>
      </c>
      <c r="P778" s="320" t="str" cm="1">
        <f t="array" ref="P778">_xlfn.IFNA(IF(INDEX(Tb_KostenOptiesDB[],MATCH($F778,Tb_KostenOptiesDB[KostenOptie],0),IFERROR(MATCH(Methode_Keuze,Tb_KostenOptiesDB[#Headers],0),2))=1,_xlfn.SWITCH($N778,"Uurtarief",IF(OR(AND(RIGHT($F778,3)="IKS",VLOOKUP($M778,DB_Loonkosten,2,0)="Ja"),AND(RIGHT($F778,3)&lt;&gt;"IKS",VLOOKUP($M778,DB_Loonkosten,2,0)="Nee")),IFERROR(VLOOKUP($M778,DB_Loonkosten,25,0),""),0),"Vast tarief",IF(LEFT(F778,8)="Bijdrage",VLOOKUP($F778,Tb_KostenTypen[],MATCH(Lijsten!$P$1,Tb_KostenTypen[#Headers],0),0),VLOOKUP($G778,Lijsten!L:P,MATCH(Lijsten!$P$1,Kop_Tarief_Vast,0),0))),""),"")</f>
        <v/>
      </c>
      <c r="Q778" s="359"/>
      <c r="R778" s="359"/>
      <c r="S778" s="321"/>
      <c r="T778" s="321"/>
      <c r="U778" s="373" t="str">
        <f t="shared" si="48"/>
        <v/>
      </c>
      <c r="V778" s="314" t="str">
        <f t="shared" si="49"/>
        <v/>
      </c>
      <c r="W778" s="314" t="str" cm="1">
        <f t="array" aca="1" ref="W778" ca="1">IFERROR(IF(AE778&lt;&gt;"ja",_xlfn.IFNA(_xlfn.IFS(AND(O778&lt;&gt;"",F778&lt;&gt;"",RIGHT($N778,6)="tarief",F778="Vergoeding"),SUM(O778)*FLOOR(SUM(Q778),0.0001),AND(O778&lt;&gt;"",F778&lt;&gt;"",RIGHT($N778,6)="tarief"),SUM(O778)*FLOOR(SUM(Q778),0.01),S778&gt;0,IF(F778&lt;&gt;"",FLOOR(SUM(S778),0.01),"")),""),""),"")</f>
        <v/>
      </c>
      <c r="X778" s="314" t="str" cm="1">
        <f t="array" aca="1" ref="X778" ca="1">IFERROR(IF(AE778&lt;&gt;"ja",_xlfn.IFNA(_xlfn.IFS(AND(P778&lt;&gt;"",R778&lt;&gt;"",RIGHT($N778,6)="tarief",F778="Vergoeding"),SUM(P778)*FLOOR(SUM(R778),0.0001),AND(P778&lt;&gt;"",R778&lt;&gt;"",RIGHT($N778,6)="tarief"),P778*FLOOR(R778,0.01),T778&gt;0,FLOOR(SUM(T778),0.01)),""),""),"")</f>
        <v/>
      </c>
      <c r="Y778" s="314" t="str">
        <f t="shared" ca="1" si="50"/>
        <v/>
      </c>
      <c r="Z778" s="314" t="str" cm="1">
        <f t="array" aca="1" ref="Z778" ca="1">IFERROR(_xlfn.IFS(OR(F778="",LEFT(Methode_Keuze,4)="Geen",Methode_Keuze=""),"",AND(W778&lt;&gt;"",F778&lt;&gt;"Arbeidskosten"),W778*VLOOKUP(F778,Tb_ProjectKosten[],MATCH(Tb_ProjectKosten[[#Headers],[Forfait_Percentage]],Tb_ProjectKosten[#Headers],0),0),AND(F778="Arbeidskosten",G778&lt;&gt;""),IFERROR(W778*VLOOKUP(G778,Tb_KostenTypen[],3,0)*VLOOKUP(F778,Tb_ProjectKosten[],MATCH(Tb_ProjectKosten[[#Headers],[Forfait_Percentage]],Tb_ProjectKosten[#Headers],0),0),""),W778 &lt;=0,0),"")</f>
        <v/>
      </c>
      <c r="AA778" s="314" t="str" cm="1">
        <f t="array" aca="1" ref="AA778" ca="1">IFERROR(_xlfn.IFS(OR(F778="",LEFT(Methode_Keuze,4)="Geen",Methode_Keuze=""),"",AND(X778&lt;&gt;"",F778&lt;&gt;"Arbeidskosten"),X778*VLOOKUP(F778,Tb_ProjectKosten[],MATCH(Tb_ProjectKosten[[#Headers],[Forfait_Percentage]],Tb_ProjectKosten[#Headers],0),0),AND(F778="Arbeidskosten",G778&lt;&gt;""),IFERROR(X778*VLOOKUP(G778,Tb_KostenTypen[],3,0)*VLOOKUP(F778,Tb_ProjectKosten[],MATCH(Tb_ProjectKosten[[#Headers],[Forfait_Percentage]],Tb_ProjectKosten[#Headers],0),0),""),X778 &lt;=0,0),"")</f>
        <v/>
      </c>
      <c r="AB778" s="314" t="str">
        <f t="shared" ca="1" si="51"/>
        <v/>
      </c>
      <c r="AC778" s="322"/>
      <c r="AD778" s="315"/>
      <c r="AE778" s="32" t="str" cm="1">
        <f t="array" ref="AE778">IFERROR(IF(INDEX(SubsidieTabel!$AD$1:$AG$12,MATCH($F778,SubsidieTabel!$AD$1:$AD$12,0),IFERROR(MATCH(Methode_Keuze,SubsidieTabel!$AD$1:$AG$1,0),2))&lt;&gt;1=TRUE,"ja",""),"")</f>
        <v/>
      </c>
    </row>
    <row r="779" spans="1:31" x14ac:dyDescent="0.25">
      <c r="A779" s="316"/>
      <c r="B779" s="317" t="str">
        <f>IF(A779&lt;&gt;"",_xlfn.MAXIFS($B$1:B778,$A$1:A778,A779)+1,"")</f>
        <v/>
      </c>
      <c r="C779" s="296"/>
      <c r="D779" s="296"/>
      <c r="E779" s="296"/>
      <c r="F779" s="296"/>
      <c r="G779" s="326"/>
      <c r="H779" s="324"/>
      <c r="I779" s="325"/>
      <c r="J779" s="325"/>
      <c r="K779" s="318"/>
      <c r="L779" s="318"/>
      <c r="M779" s="319" t="str">
        <f>IFERROR(VLOOKUP(H779,Lijsten!$H$1:$I$100,2,0),"")</f>
        <v/>
      </c>
      <c r="N779" s="319" t="str">
        <f ca="1">IFERROR(IF(VLOOKUP(F779,Kostentypen!$A$3:$E$21,3,0)=0,"",IF(OR(F779="Arbeidskosten",F779="Vergoeding"),VLOOKUP(G779,Tb_KostenTypen[],2,0),VLOOKUP(F779,Kostentypen!$A$3:$E$20,3,0))),"")</f>
        <v/>
      </c>
      <c r="O779" s="320" t="str" cm="1">
        <f t="array" ref="O779">_xlfn.IFNA(IF(INDEX(Tb_KostenOptiesDB[],MATCH($F779,Tb_KostenOptiesDB[KostenOptie],0),IFERROR(MATCH(Methode_Keuze,Tb_KostenOptiesDB[#Headers],0),2))=1,_xlfn.SWITCH($N779,"Uurtarief",IF(OR(AND(RIGHT($F779,3)="IKS",VLOOKUP($M779,DB_Loonkosten,2,0)="Ja"),AND(RIGHT($F779,3)&lt;&gt;"IKS",VLOOKUP($M779,DB_Loonkosten,2,0)="Nee")),IFERROR(VLOOKUP($M779,DB_Loonkosten,24,0),""),0),"Vast tarief",IF(LEFT(F779,8)="Bijdrage",VLOOKUP($F779,Tb_KostenTypen[],MATCH(Lijsten!$P$1,Tb_KostenTypen[#Headers],0),0),VLOOKUP($G779,Lijsten!L:P,MATCH(Lijsten!$P$1,Kop_Tarief_Vast,0),0))),""),"")</f>
        <v/>
      </c>
      <c r="P779" s="320" t="str" cm="1">
        <f t="array" ref="P779">_xlfn.IFNA(IF(INDEX(Tb_KostenOptiesDB[],MATCH($F779,Tb_KostenOptiesDB[KostenOptie],0),IFERROR(MATCH(Methode_Keuze,Tb_KostenOptiesDB[#Headers],0),2))=1,_xlfn.SWITCH($N779,"Uurtarief",IF(OR(AND(RIGHT($F779,3)="IKS",VLOOKUP($M779,DB_Loonkosten,2,0)="Ja"),AND(RIGHT($F779,3)&lt;&gt;"IKS",VLOOKUP($M779,DB_Loonkosten,2,0)="Nee")),IFERROR(VLOOKUP($M779,DB_Loonkosten,25,0),""),0),"Vast tarief",IF(LEFT(F779,8)="Bijdrage",VLOOKUP($F779,Tb_KostenTypen[],MATCH(Lijsten!$P$1,Tb_KostenTypen[#Headers],0),0),VLOOKUP($G779,Lijsten!L:P,MATCH(Lijsten!$P$1,Kop_Tarief_Vast,0),0))),""),"")</f>
        <v/>
      </c>
      <c r="Q779" s="359"/>
      <c r="R779" s="359"/>
      <c r="S779" s="321"/>
      <c r="T779" s="321"/>
      <c r="U779" s="373" t="str">
        <f t="shared" si="48"/>
        <v/>
      </c>
      <c r="V779" s="314" t="str">
        <f t="shared" si="49"/>
        <v/>
      </c>
      <c r="W779" s="314" t="str" cm="1">
        <f t="array" aca="1" ref="W779" ca="1">IFERROR(IF(AE779&lt;&gt;"ja",_xlfn.IFNA(_xlfn.IFS(AND(O779&lt;&gt;"",F779&lt;&gt;"",RIGHT($N779,6)="tarief",F779="Vergoeding"),SUM(O779)*FLOOR(SUM(Q779),0.0001),AND(O779&lt;&gt;"",F779&lt;&gt;"",RIGHT($N779,6)="tarief"),SUM(O779)*FLOOR(SUM(Q779),0.01),S779&gt;0,IF(F779&lt;&gt;"",FLOOR(SUM(S779),0.01),"")),""),""),"")</f>
        <v/>
      </c>
      <c r="X779" s="314" t="str" cm="1">
        <f t="array" aca="1" ref="X779" ca="1">IFERROR(IF(AE779&lt;&gt;"ja",_xlfn.IFNA(_xlfn.IFS(AND(P779&lt;&gt;"",R779&lt;&gt;"",RIGHT($N779,6)="tarief",F779="Vergoeding"),SUM(P779)*FLOOR(SUM(R779),0.0001),AND(P779&lt;&gt;"",R779&lt;&gt;"",RIGHT($N779,6)="tarief"),P779*FLOOR(R779,0.01),T779&gt;0,FLOOR(SUM(T779),0.01)),""),""),"")</f>
        <v/>
      </c>
      <c r="Y779" s="314" t="str">
        <f t="shared" ca="1" si="50"/>
        <v/>
      </c>
      <c r="Z779" s="314" t="str" cm="1">
        <f t="array" aca="1" ref="Z779" ca="1">IFERROR(_xlfn.IFS(OR(F779="",LEFT(Methode_Keuze,4)="Geen",Methode_Keuze=""),"",AND(W779&lt;&gt;"",F779&lt;&gt;"Arbeidskosten"),W779*VLOOKUP(F779,Tb_ProjectKosten[],MATCH(Tb_ProjectKosten[[#Headers],[Forfait_Percentage]],Tb_ProjectKosten[#Headers],0),0),AND(F779="Arbeidskosten",G779&lt;&gt;""),IFERROR(W779*VLOOKUP(G779,Tb_KostenTypen[],3,0)*VLOOKUP(F779,Tb_ProjectKosten[],MATCH(Tb_ProjectKosten[[#Headers],[Forfait_Percentage]],Tb_ProjectKosten[#Headers],0),0),""),W779 &lt;=0,0),"")</f>
        <v/>
      </c>
      <c r="AA779" s="314" t="str" cm="1">
        <f t="array" aca="1" ref="AA779" ca="1">IFERROR(_xlfn.IFS(OR(F779="",LEFT(Methode_Keuze,4)="Geen",Methode_Keuze=""),"",AND(X779&lt;&gt;"",F779&lt;&gt;"Arbeidskosten"),X779*VLOOKUP(F779,Tb_ProjectKosten[],MATCH(Tb_ProjectKosten[[#Headers],[Forfait_Percentage]],Tb_ProjectKosten[#Headers],0),0),AND(F779="Arbeidskosten",G779&lt;&gt;""),IFERROR(X779*VLOOKUP(G779,Tb_KostenTypen[],3,0)*VLOOKUP(F779,Tb_ProjectKosten[],MATCH(Tb_ProjectKosten[[#Headers],[Forfait_Percentage]],Tb_ProjectKosten[#Headers],0),0),""),X779 &lt;=0,0),"")</f>
        <v/>
      </c>
      <c r="AB779" s="314" t="str">
        <f t="shared" ca="1" si="51"/>
        <v/>
      </c>
      <c r="AC779" s="322"/>
      <c r="AD779" s="315"/>
      <c r="AE779" s="32" t="str" cm="1">
        <f t="array" ref="AE779">IFERROR(IF(INDEX(SubsidieTabel!$AD$1:$AG$12,MATCH($F779,SubsidieTabel!$AD$1:$AD$12,0),IFERROR(MATCH(Methode_Keuze,SubsidieTabel!$AD$1:$AG$1,0),2))&lt;&gt;1=TRUE,"ja",""),"")</f>
        <v/>
      </c>
    </row>
    <row r="780" spans="1:31" x14ac:dyDescent="0.25">
      <c r="A780" s="316"/>
      <c r="B780" s="317" t="str">
        <f>IF(A780&lt;&gt;"",_xlfn.MAXIFS($B$1:B779,$A$1:A779,A780)+1,"")</f>
        <v/>
      </c>
      <c r="C780" s="296"/>
      <c r="D780" s="296"/>
      <c r="E780" s="296"/>
      <c r="F780" s="296"/>
      <c r="G780" s="326"/>
      <c r="H780" s="324"/>
      <c r="I780" s="325"/>
      <c r="J780" s="325"/>
      <c r="K780" s="318"/>
      <c r="L780" s="318"/>
      <c r="M780" s="319" t="str">
        <f>IFERROR(VLOOKUP(H780,Lijsten!$H$1:$I$100,2,0),"")</f>
        <v/>
      </c>
      <c r="N780" s="319" t="str">
        <f ca="1">IFERROR(IF(VLOOKUP(F780,Kostentypen!$A$3:$E$21,3,0)=0,"",IF(OR(F780="Arbeidskosten",F780="Vergoeding"),VLOOKUP(G780,Tb_KostenTypen[],2,0),VLOOKUP(F780,Kostentypen!$A$3:$E$20,3,0))),"")</f>
        <v/>
      </c>
      <c r="O780" s="320" t="str" cm="1">
        <f t="array" ref="O780">_xlfn.IFNA(IF(INDEX(Tb_KostenOptiesDB[],MATCH($F780,Tb_KostenOptiesDB[KostenOptie],0),IFERROR(MATCH(Methode_Keuze,Tb_KostenOptiesDB[#Headers],0),2))=1,_xlfn.SWITCH($N780,"Uurtarief",IF(OR(AND(RIGHT($F780,3)="IKS",VLOOKUP($M780,DB_Loonkosten,2,0)="Ja"),AND(RIGHT($F780,3)&lt;&gt;"IKS",VLOOKUP($M780,DB_Loonkosten,2,0)="Nee")),IFERROR(VLOOKUP($M780,DB_Loonkosten,24,0),""),0),"Vast tarief",IF(LEFT(F780,8)="Bijdrage",VLOOKUP($F780,Tb_KostenTypen[],MATCH(Lijsten!$P$1,Tb_KostenTypen[#Headers],0),0),VLOOKUP($G780,Lijsten!L:P,MATCH(Lijsten!$P$1,Kop_Tarief_Vast,0),0))),""),"")</f>
        <v/>
      </c>
      <c r="P780" s="320" t="str" cm="1">
        <f t="array" ref="P780">_xlfn.IFNA(IF(INDEX(Tb_KostenOptiesDB[],MATCH($F780,Tb_KostenOptiesDB[KostenOptie],0),IFERROR(MATCH(Methode_Keuze,Tb_KostenOptiesDB[#Headers],0),2))=1,_xlfn.SWITCH($N780,"Uurtarief",IF(OR(AND(RIGHT($F780,3)="IKS",VLOOKUP($M780,DB_Loonkosten,2,0)="Ja"),AND(RIGHT($F780,3)&lt;&gt;"IKS",VLOOKUP($M780,DB_Loonkosten,2,0)="Nee")),IFERROR(VLOOKUP($M780,DB_Loonkosten,25,0),""),0),"Vast tarief",IF(LEFT(F780,8)="Bijdrage",VLOOKUP($F780,Tb_KostenTypen[],MATCH(Lijsten!$P$1,Tb_KostenTypen[#Headers],0),0),VLOOKUP($G780,Lijsten!L:P,MATCH(Lijsten!$P$1,Kop_Tarief_Vast,0),0))),""),"")</f>
        <v/>
      </c>
      <c r="Q780" s="359"/>
      <c r="R780" s="359"/>
      <c r="S780" s="321"/>
      <c r="T780" s="321"/>
      <c r="U780" s="373" t="str">
        <f t="shared" si="48"/>
        <v/>
      </c>
      <c r="V780" s="314" t="str">
        <f t="shared" si="49"/>
        <v/>
      </c>
      <c r="W780" s="314" t="str" cm="1">
        <f t="array" aca="1" ref="W780" ca="1">IFERROR(IF(AE780&lt;&gt;"ja",_xlfn.IFNA(_xlfn.IFS(AND(O780&lt;&gt;"",F780&lt;&gt;"",RIGHT($N780,6)="tarief",F780="Vergoeding"),SUM(O780)*FLOOR(SUM(Q780),0.0001),AND(O780&lt;&gt;"",F780&lt;&gt;"",RIGHT($N780,6)="tarief"),SUM(O780)*FLOOR(SUM(Q780),0.01),S780&gt;0,IF(F780&lt;&gt;"",FLOOR(SUM(S780),0.01),"")),""),""),"")</f>
        <v/>
      </c>
      <c r="X780" s="314" t="str" cm="1">
        <f t="array" aca="1" ref="X780" ca="1">IFERROR(IF(AE780&lt;&gt;"ja",_xlfn.IFNA(_xlfn.IFS(AND(P780&lt;&gt;"",R780&lt;&gt;"",RIGHT($N780,6)="tarief",F780="Vergoeding"),SUM(P780)*FLOOR(SUM(R780),0.0001),AND(P780&lt;&gt;"",R780&lt;&gt;"",RIGHT($N780,6)="tarief"),P780*FLOOR(R780,0.01),T780&gt;0,FLOOR(SUM(T780),0.01)),""),""),"")</f>
        <v/>
      </c>
      <c r="Y780" s="314" t="str">
        <f t="shared" ca="1" si="50"/>
        <v/>
      </c>
      <c r="Z780" s="314" t="str" cm="1">
        <f t="array" aca="1" ref="Z780" ca="1">IFERROR(_xlfn.IFS(OR(F780="",LEFT(Methode_Keuze,4)="Geen",Methode_Keuze=""),"",AND(W780&lt;&gt;"",F780&lt;&gt;"Arbeidskosten"),W780*VLOOKUP(F780,Tb_ProjectKosten[],MATCH(Tb_ProjectKosten[[#Headers],[Forfait_Percentage]],Tb_ProjectKosten[#Headers],0),0),AND(F780="Arbeidskosten",G780&lt;&gt;""),IFERROR(W780*VLOOKUP(G780,Tb_KostenTypen[],3,0)*VLOOKUP(F780,Tb_ProjectKosten[],MATCH(Tb_ProjectKosten[[#Headers],[Forfait_Percentage]],Tb_ProjectKosten[#Headers],0),0),""),W780 &lt;=0,0),"")</f>
        <v/>
      </c>
      <c r="AA780" s="314" t="str" cm="1">
        <f t="array" aca="1" ref="AA780" ca="1">IFERROR(_xlfn.IFS(OR(F780="",LEFT(Methode_Keuze,4)="Geen",Methode_Keuze=""),"",AND(X780&lt;&gt;"",F780&lt;&gt;"Arbeidskosten"),X780*VLOOKUP(F780,Tb_ProjectKosten[],MATCH(Tb_ProjectKosten[[#Headers],[Forfait_Percentage]],Tb_ProjectKosten[#Headers],0),0),AND(F780="Arbeidskosten",G780&lt;&gt;""),IFERROR(X780*VLOOKUP(G780,Tb_KostenTypen[],3,0)*VLOOKUP(F780,Tb_ProjectKosten[],MATCH(Tb_ProjectKosten[[#Headers],[Forfait_Percentage]],Tb_ProjectKosten[#Headers],0),0),""),X780 &lt;=0,0),"")</f>
        <v/>
      </c>
      <c r="AB780" s="314" t="str">
        <f t="shared" ca="1" si="51"/>
        <v/>
      </c>
      <c r="AC780" s="322"/>
      <c r="AD780" s="315"/>
      <c r="AE780" s="32" t="str" cm="1">
        <f t="array" ref="AE780">IFERROR(IF(INDEX(SubsidieTabel!$AD$1:$AG$12,MATCH($F780,SubsidieTabel!$AD$1:$AD$12,0),IFERROR(MATCH(Methode_Keuze,SubsidieTabel!$AD$1:$AG$1,0),2))&lt;&gt;1=TRUE,"ja",""),"")</f>
        <v/>
      </c>
    </row>
    <row r="781" spans="1:31" x14ac:dyDescent="0.25">
      <c r="A781" s="316"/>
      <c r="B781" s="317" t="str">
        <f>IF(A781&lt;&gt;"",_xlfn.MAXIFS($B$1:B780,$A$1:A780,A781)+1,"")</f>
        <v/>
      </c>
      <c r="C781" s="296"/>
      <c r="D781" s="296"/>
      <c r="E781" s="296"/>
      <c r="F781" s="296"/>
      <c r="G781" s="326"/>
      <c r="H781" s="324"/>
      <c r="I781" s="325"/>
      <c r="J781" s="325"/>
      <c r="K781" s="318"/>
      <c r="L781" s="318"/>
      <c r="M781" s="319" t="str">
        <f>IFERROR(VLOOKUP(H781,Lijsten!$H$1:$I$100,2,0),"")</f>
        <v/>
      </c>
      <c r="N781" s="319" t="str">
        <f ca="1">IFERROR(IF(VLOOKUP(F781,Kostentypen!$A$3:$E$21,3,0)=0,"",IF(OR(F781="Arbeidskosten",F781="Vergoeding"),VLOOKUP(G781,Tb_KostenTypen[],2,0),VLOOKUP(F781,Kostentypen!$A$3:$E$20,3,0))),"")</f>
        <v/>
      </c>
      <c r="O781" s="320" t="str" cm="1">
        <f t="array" ref="O781">_xlfn.IFNA(IF(INDEX(Tb_KostenOptiesDB[],MATCH($F781,Tb_KostenOptiesDB[KostenOptie],0),IFERROR(MATCH(Methode_Keuze,Tb_KostenOptiesDB[#Headers],0),2))=1,_xlfn.SWITCH($N781,"Uurtarief",IF(OR(AND(RIGHT($F781,3)="IKS",VLOOKUP($M781,DB_Loonkosten,2,0)="Ja"),AND(RIGHT($F781,3)&lt;&gt;"IKS",VLOOKUP($M781,DB_Loonkosten,2,0)="Nee")),IFERROR(VLOOKUP($M781,DB_Loonkosten,24,0),""),0),"Vast tarief",IF(LEFT(F781,8)="Bijdrage",VLOOKUP($F781,Tb_KostenTypen[],MATCH(Lijsten!$P$1,Tb_KostenTypen[#Headers],0),0),VLOOKUP($G781,Lijsten!L:P,MATCH(Lijsten!$P$1,Kop_Tarief_Vast,0),0))),""),"")</f>
        <v/>
      </c>
      <c r="P781" s="320" t="str" cm="1">
        <f t="array" ref="P781">_xlfn.IFNA(IF(INDEX(Tb_KostenOptiesDB[],MATCH($F781,Tb_KostenOptiesDB[KostenOptie],0),IFERROR(MATCH(Methode_Keuze,Tb_KostenOptiesDB[#Headers],0),2))=1,_xlfn.SWITCH($N781,"Uurtarief",IF(OR(AND(RIGHT($F781,3)="IKS",VLOOKUP($M781,DB_Loonkosten,2,0)="Ja"),AND(RIGHT($F781,3)&lt;&gt;"IKS",VLOOKUP($M781,DB_Loonkosten,2,0)="Nee")),IFERROR(VLOOKUP($M781,DB_Loonkosten,25,0),""),0),"Vast tarief",IF(LEFT(F781,8)="Bijdrage",VLOOKUP($F781,Tb_KostenTypen[],MATCH(Lijsten!$P$1,Tb_KostenTypen[#Headers],0),0),VLOOKUP($G781,Lijsten!L:P,MATCH(Lijsten!$P$1,Kop_Tarief_Vast,0),0))),""),"")</f>
        <v/>
      </c>
      <c r="Q781" s="359"/>
      <c r="R781" s="359"/>
      <c r="S781" s="321"/>
      <c r="T781" s="321"/>
      <c r="U781" s="373" t="str">
        <f t="shared" si="48"/>
        <v/>
      </c>
      <c r="V781" s="314" t="str">
        <f t="shared" si="49"/>
        <v/>
      </c>
      <c r="W781" s="314" t="str" cm="1">
        <f t="array" aca="1" ref="W781" ca="1">IFERROR(IF(AE781&lt;&gt;"ja",_xlfn.IFNA(_xlfn.IFS(AND(O781&lt;&gt;"",F781&lt;&gt;"",RIGHT($N781,6)="tarief",F781="Vergoeding"),SUM(O781)*FLOOR(SUM(Q781),0.0001),AND(O781&lt;&gt;"",F781&lt;&gt;"",RIGHT($N781,6)="tarief"),SUM(O781)*FLOOR(SUM(Q781),0.01),S781&gt;0,IF(F781&lt;&gt;"",FLOOR(SUM(S781),0.01),"")),""),""),"")</f>
        <v/>
      </c>
      <c r="X781" s="314" t="str" cm="1">
        <f t="array" aca="1" ref="X781" ca="1">IFERROR(IF(AE781&lt;&gt;"ja",_xlfn.IFNA(_xlfn.IFS(AND(P781&lt;&gt;"",R781&lt;&gt;"",RIGHT($N781,6)="tarief",F781="Vergoeding"),SUM(P781)*FLOOR(SUM(R781),0.0001),AND(P781&lt;&gt;"",R781&lt;&gt;"",RIGHT($N781,6)="tarief"),P781*FLOOR(R781,0.01),T781&gt;0,FLOOR(SUM(T781),0.01)),""),""),"")</f>
        <v/>
      </c>
      <c r="Y781" s="314" t="str">
        <f t="shared" ca="1" si="50"/>
        <v/>
      </c>
      <c r="Z781" s="314" t="str" cm="1">
        <f t="array" aca="1" ref="Z781" ca="1">IFERROR(_xlfn.IFS(OR(F781="",LEFT(Methode_Keuze,4)="Geen",Methode_Keuze=""),"",AND(W781&lt;&gt;"",F781&lt;&gt;"Arbeidskosten"),W781*VLOOKUP(F781,Tb_ProjectKosten[],MATCH(Tb_ProjectKosten[[#Headers],[Forfait_Percentage]],Tb_ProjectKosten[#Headers],0),0),AND(F781="Arbeidskosten",G781&lt;&gt;""),IFERROR(W781*VLOOKUP(G781,Tb_KostenTypen[],3,0)*VLOOKUP(F781,Tb_ProjectKosten[],MATCH(Tb_ProjectKosten[[#Headers],[Forfait_Percentage]],Tb_ProjectKosten[#Headers],0),0),""),W781 &lt;=0,0),"")</f>
        <v/>
      </c>
      <c r="AA781" s="314" t="str" cm="1">
        <f t="array" aca="1" ref="AA781" ca="1">IFERROR(_xlfn.IFS(OR(F781="",LEFT(Methode_Keuze,4)="Geen",Methode_Keuze=""),"",AND(X781&lt;&gt;"",F781&lt;&gt;"Arbeidskosten"),X781*VLOOKUP(F781,Tb_ProjectKosten[],MATCH(Tb_ProjectKosten[[#Headers],[Forfait_Percentage]],Tb_ProjectKosten[#Headers],0),0),AND(F781="Arbeidskosten",G781&lt;&gt;""),IFERROR(X781*VLOOKUP(G781,Tb_KostenTypen[],3,0)*VLOOKUP(F781,Tb_ProjectKosten[],MATCH(Tb_ProjectKosten[[#Headers],[Forfait_Percentage]],Tb_ProjectKosten[#Headers],0),0),""),X781 &lt;=0,0),"")</f>
        <v/>
      </c>
      <c r="AB781" s="314" t="str">
        <f t="shared" ca="1" si="51"/>
        <v/>
      </c>
      <c r="AC781" s="322"/>
      <c r="AD781" s="315"/>
      <c r="AE781" s="32" t="str" cm="1">
        <f t="array" ref="AE781">IFERROR(IF(INDEX(SubsidieTabel!$AD$1:$AG$12,MATCH($F781,SubsidieTabel!$AD$1:$AD$12,0),IFERROR(MATCH(Methode_Keuze,SubsidieTabel!$AD$1:$AG$1,0),2))&lt;&gt;1=TRUE,"ja",""),"")</f>
        <v/>
      </c>
    </row>
    <row r="782" spans="1:31" x14ac:dyDescent="0.25">
      <c r="A782" s="316"/>
      <c r="B782" s="317" t="str">
        <f>IF(A782&lt;&gt;"",_xlfn.MAXIFS($B$1:B781,$A$1:A781,A782)+1,"")</f>
        <v/>
      </c>
      <c r="C782" s="296"/>
      <c r="D782" s="296"/>
      <c r="E782" s="296"/>
      <c r="F782" s="296"/>
      <c r="G782" s="326"/>
      <c r="H782" s="324"/>
      <c r="I782" s="325"/>
      <c r="J782" s="325"/>
      <c r="K782" s="318"/>
      <c r="L782" s="318"/>
      <c r="M782" s="319" t="str">
        <f>IFERROR(VLOOKUP(H782,Lijsten!$H$1:$I$100,2,0),"")</f>
        <v/>
      </c>
      <c r="N782" s="319" t="str">
        <f ca="1">IFERROR(IF(VLOOKUP(F782,Kostentypen!$A$3:$E$21,3,0)=0,"",IF(OR(F782="Arbeidskosten",F782="Vergoeding"),VLOOKUP(G782,Tb_KostenTypen[],2,0),VLOOKUP(F782,Kostentypen!$A$3:$E$20,3,0))),"")</f>
        <v/>
      </c>
      <c r="O782" s="320" t="str" cm="1">
        <f t="array" ref="O782">_xlfn.IFNA(IF(INDEX(Tb_KostenOptiesDB[],MATCH($F782,Tb_KostenOptiesDB[KostenOptie],0),IFERROR(MATCH(Methode_Keuze,Tb_KostenOptiesDB[#Headers],0),2))=1,_xlfn.SWITCH($N782,"Uurtarief",IF(OR(AND(RIGHT($F782,3)="IKS",VLOOKUP($M782,DB_Loonkosten,2,0)="Ja"),AND(RIGHT($F782,3)&lt;&gt;"IKS",VLOOKUP($M782,DB_Loonkosten,2,0)="Nee")),IFERROR(VLOOKUP($M782,DB_Loonkosten,24,0),""),0),"Vast tarief",IF(LEFT(F782,8)="Bijdrage",VLOOKUP($F782,Tb_KostenTypen[],MATCH(Lijsten!$P$1,Tb_KostenTypen[#Headers],0),0),VLOOKUP($G782,Lijsten!L:P,MATCH(Lijsten!$P$1,Kop_Tarief_Vast,0),0))),""),"")</f>
        <v/>
      </c>
      <c r="P782" s="320" t="str" cm="1">
        <f t="array" ref="P782">_xlfn.IFNA(IF(INDEX(Tb_KostenOptiesDB[],MATCH($F782,Tb_KostenOptiesDB[KostenOptie],0),IFERROR(MATCH(Methode_Keuze,Tb_KostenOptiesDB[#Headers],0),2))=1,_xlfn.SWITCH($N782,"Uurtarief",IF(OR(AND(RIGHT($F782,3)="IKS",VLOOKUP($M782,DB_Loonkosten,2,0)="Ja"),AND(RIGHT($F782,3)&lt;&gt;"IKS",VLOOKUP($M782,DB_Loonkosten,2,0)="Nee")),IFERROR(VLOOKUP($M782,DB_Loonkosten,25,0),""),0),"Vast tarief",IF(LEFT(F782,8)="Bijdrage",VLOOKUP($F782,Tb_KostenTypen[],MATCH(Lijsten!$P$1,Tb_KostenTypen[#Headers],0),0),VLOOKUP($G782,Lijsten!L:P,MATCH(Lijsten!$P$1,Kop_Tarief_Vast,0),0))),""),"")</f>
        <v/>
      </c>
      <c r="Q782" s="359"/>
      <c r="R782" s="359"/>
      <c r="S782" s="321"/>
      <c r="T782" s="321"/>
      <c r="U782" s="373" t="str">
        <f t="shared" si="48"/>
        <v/>
      </c>
      <c r="V782" s="314" t="str">
        <f t="shared" si="49"/>
        <v/>
      </c>
      <c r="W782" s="314" t="str" cm="1">
        <f t="array" aca="1" ref="W782" ca="1">IFERROR(IF(AE782&lt;&gt;"ja",_xlfn.IFNA(_xlfn.IFS(AND(O782&lt;&gt;"",F782&lt;&gt;"",RIGHT($N782,6)="tarief",F782="Vergoeding"),SUM(O782)*FLOOR(SUM(Q782),0.0001),AND(O782&lt;&gt;"",F782&lt;&gt;"",RIGHT($N782,6)="tarief"),SUM(O782)*FLOOR(SUM(Q782),0.01),S782&gt;0,IF(F782&lt;&gt;"",FLOOR(SUM(S782),0.01),"")),""),""),"")</f>
        <v/>
      </c>
      <c r="X782" s="314" t="str" cm="1">
        <f t="array" aca="1" ref="X782" ca="1">IFERROR(IF(AE782&lt;&gt;"ja",_xlfn.IFNA(_xlfn.IFS(AND(P782&lt;&gt;"",R782&lt;&gt;"",RIGHT($N782,6)="tarief",F782="Vergoeding"),SUM(P782)*FLOOR(SUM(R782),0.0001),AND(P782&lt;&gt;"",R782&lt;&gt;"",RIGHT($N782,6)="tarief"),P782*FLOOR(R782,0.01),T782&gt;0,FLOOR(SUM(T782),0.01)),""),""),"")</f>
        <v/>
      </c>
      <c r="Y782" s="314" t="str">
        <f t="shared" ca="1" si="50"/>
        <v/>
      </c>
      <c r="Z782" s="314" t="str" cm="1">
        <f t="array" aca="1" ref="Z782" ca="1">IFERROR(_xlfn.IFS(OR(F782="",LEFT(Methode_Keuze,4)="Geen",Methode_Keuze=""),"",AND(W782&lt;&gt;"",F782&lt;&gt;"Arbeidskosten"),W782*VLOOKUP(F782,Tb_ProjectKosten[],MATCH(Tb_ProjectKosten[[#Headers],[Forfait_Percentage]],Tb_ProjectKosten[#Headers],0),0),AND(F782="Arbeidskosten",G782&lt;&gt;""),IFERROR(W782*VLOOKUP(G782,Tb_KostenTypen[],3,0)*VLOOKUP(F782,Tb_ProjectKosten[],MATCH(Tb_ProjectKosten[[#Headers],[Forfait_Percentage]],Tb_ProjectKosten[#Headers],0),0),""),W782 &lt;=0,0),"")</f>
        <v/>
      </c>
      <c r="AA782" s="314" t="str" cm="1">
        <f t="array" aca="1" ref="AA782" ca="1">IFERROR(_xlfn.IFS(OR(F782="",LEFT(Methode_Keuze,4)="Geen",Methode_Keuze=""),"",AND(X782&lt;&gt;"",F782&lt;&gt;"Arbeidskosten"),X782*VLOOKUP(F782,Tb_ProjectKosten[],MATCH(Tb_ProjectKosten[[#Headers],[Forfait_Percentage]],Tb_ProjectKosten[#Headers],0),0),AND(F782="Arbeidskosten",G782&lt;&gt;""),IFERROR(X782*VLOOKUP(G782,Tb_KostenTypen[],3,0)*VLOOKUP(F782,Tb_ProjectKosten[],MATCH(Tb_ProjectKosten[[#Headers],[Forfait_Percentage]],Tb_ProjectKosten[#Headers],0),0),""),X782 &lt;=0,0),"")</f>
        <v/>
      </c>
      <c r="AB782" s="314" t="str">
        <f t="shared" ca="1" si="51"/>
        <v/>
      </c>
      <c r="AC782" s="322"/>
      <c r="AD782" s="315"/>
      <c r="AE782" s="32" t="str" cm="1">
        <f t="array" ref="AE782">IFERROR(IF(INDEX(SubsidieTabel!$AD$1:$AG$12,MATCH($F782,SubsidieTabel!$AD$1:$AD$12,0),IFERROR(MATCH(Methode_Keuze,SubsidieTabel!$AD$1:$AG$1,0),2))&lt;&gt;1=TRUE,"ja",""),"")</f>
        <v/>
      </c>
    </row>
    <row r="783" spans="1:31" x14ac:dyDescent="0.25">
      <c r="A783" s="316"/>
      <c r="B783" s="317" t="str">
        <f>IF(A783&lt;&gt;"",_xlfn.MAXIFS($B$1:B782,$A$1:A782,A783)+1,"")</f>
        <v/>
      </c>
      <c r="C783" s="296"/>
      <c r="D783" s="296"/>
      <c r="E783" s="296"/>
      <c r="F783" s="296"/>
      <c r="G783" s="326"/>
      <c r="H783" s="324"/>
      <c r="I783" s="325"/>
      <c r="J783" s="325"/>
      <c r="K783" s="318"/>
      <c r="L783" s="318"/>
      <c r="M783" s="319" t="str">
        <f>IFERROR(VLOOKUP(H783,Lijsten!$H$1:$I$100,2,0),"")</f>
        <v/>
      </c>
      <c r="N783" s="319" t="str">
        <f ca="1">IFERROR(IF(VLOOKUP(F783,Kostentypen!$A$3:$E$21,3,0)=0,"",IF(OR(F783="Arbeidskosten",F783="Vergoeding"),VLOOKUP(G783,Tb_KostenTypen[],2,0),VLOOKUP(F783,Kostentypen!$A$3:$E$20,3,0))),"")</f>
        <v/>
      </c>
      <c r="O783" s="320" t="str" cm="1">
        <f t="array" ref="O783">_xlfn.IFNA(IF(INDEX(Tb_KostenOptiesDB[],MATCH($F783,Tb_KostenOptiesDB[KostenOptie],0),IFERROR(MATCH(Methode_Keuze,Tb_KostenOptiesDB[#Headers],0),2))=1,_xlfn.SWITCH($N783,"Uurtarief",IF(OR(AND(RIGHT($F783,3)="IKS",VLOOKUP($M783,DB_Loonkosten,2,0)="Ja"),AND(RIGHT($F783,3)&lt;&gt;"IKS",VLOOKUP($M783,DB_Loonkosten,2,0)="Nee")),IFERROR(VLOOKUP($M783,DB_Loonkosten,24,0),""),0),"Vast tarief",IF(LEFT(F783,8)="Bijdrage",VLOOKUP($F783,Tb_KostenTypen[],MATCH(Lijsten!$P$1,Tb_KostenTypen[#Headers],0),0),VLOOKUP($G783,Lijsten!L:P,MATCH(Lijsten!$P$1,Kop_Tarief_Vast,0),0))),""),"")</f>
        <v/>
      </c>
      <c r="P783" s="320" t="str" cm="1">
        <f t="array" ref="P783">_xlfn.IFNA(IF(INDEX(Tb_KostenOptiesDB[],MATCH($F783,Tb_KostenOptiesDB[KostenOptie],0),IFERROR(MATCH(Methode_Keuze,Tb_KostenOptiesDB[#Headers],0),2))=1,_xlfn.SWITCH($N783,"Uurtarief",IF(OR(AND(RIGHT($F783,3)="IKS",VLOOKUP($M783,DB_Loonkosten,2,0)="Ja"),AND(RIGHT($F783,3)&lt;&gt;"IKS",VLOOKUP($M783,DB_Loonkosten,2,0)="Nee")),IFERROR(VLOOKUP($M783,DB_Loonkosten,25,0),""),0),"Vast tarief",IF(LEFT(F783,8)="Bijdrage",VLOOKUP($F783,Tb_KostenTypen[],MATCH(Lijsten!$P$1,Tb_KostenTypen[#Headers],0),0),VLOOKUP($G783,Lijsten!L:P,MATCH(Lijsten!$P$1,Kop_Tarief_Vast,0),0))),""),"")</f>
        <v/>
      </c>
      <c r="Q783" s="359"/>
      <c r="R783" s="359"/>
      <c r="S783" s="321"/>
      <c r="T783" s="321"/>
      <c r="U783" s="373" t="str">
        <f t="shared" si="48"/>
        <v/>
      </c>
      <c r="V783" s="314" t="str">
        <f t="shared" si="49"/>
        <v/>
      </c>
      <c r="W783" s="314" t="str" cm="1">
        <f t="array" aca="1" ref="W783" ca="1">IFERROR(IF(AE783&lt;&gt;"ja",_xlfn.IFNA(_xlfn.IFS(AND(O783&lt;&gt;"",F783&lt;&gt;"",RIGHT($N783,6)="tarief",F783="Vergoeding"),SUM(O783)*FLOOR(SUM(Q783),0.0001),AND(O783&lt;&gt;"",F783&lt;&gt;"",RIGHT($N783,6)="tarief"),SUM(O783)*FLOOR(SUM(Q783),0.01),S783&gt;0,IF(F783&lt;&gt;"",FLOOR(SUM(S783),0.01),"")),""),""),"")</f>
        <v/>
      </c>
      <c r="X783" s="314" t="str" cm="1">
        <f t="array" aca="1" ref="X783" ca="1">IFERROR(IF(AE783&lt;&gt;"ja",_xlfn.IFNA(_xlfn.IFS(AND(P783&lt;&gt;"",R783&lt;&gt;"",RIGHT($N783,6)="tarief",F783="Vergoeding"),SUM(P783)*FLOOR(SUM(R783),0.0001),AND(P783&lt;&gt;"",R783&lt;&gt;"",RIGHT($N783,6)="tarief"),P783*FLOOR(R783,0.01),T783&gt;0,FLOOR(SUM(T783),0.01)),""),""),"")</f>
        <v/>
      </c>
      <c r="Y783" s="314" t="str">
        <f t="shared" ca="1" si="50"/>
        <v/>
      </c>
      <c r="Z783" s="314" t="str" cm="1">
        <f t="array" aca="1" ref="Z783" ca="1">IFERROR(_xlfn.IFS(OR(F783="",LEFT(Methode_Keuze,4)="Geen",Methode_Keuze=""),"",AND(W783&lt;&gt;"",F783&lt;&gt;"Arbeidskosten"),W783*VLOOKUP(F783,Tb_ProjectKosten[],MATCH(Tb_ProjectKosten[[#Headers],[Forfait_Percentage]],Tb_ProjectKosten[#Headers],0),0),AND(F783="Arbeidskosten",G783&lt;&gt;""),IFERROR(W783*VLOOKUP(G783,Tb_KostenTypen[],3,0)*VLOOKUP(F783,Tb_ProjectKosten[],MATCH(Tb_ProjectKosten[[#Headers],[Forfait_Percentage]],Tb_ProjectKosten[#Headers],0),0),""),W783 &lt;=0,0),"")</f>
        <v/>
      </c>
      <c r="AA783" s="314" t="str" cm="1">
        <f t="array" aca="1" ref="AA783" ca="1">IFERROR(_xlfn.IFS(OR(F783="",LEFT(Methode_Keuze,4)="Geen",Methode_Keuze=""),"",AND(X783&lt;&gt;"",F783&lt;&gt;"Arbeidskosten"),X783*VLOOKUP(F783,Tb_ProjectKosten[],MATCH(Tb_ProjectKosten[[#Headers],[Forfait_Percentage]],Tb_ProjectKosten[#Headers],0),0),AND(F783="Arbeidskosten",G783&lt;&gt;""),IFERROR(X783*VLOOKUP(G783,Tb_KostenTypen[],3,0)*VLOOKUP(F783,Tb_ProjectKosten[],MATCH(Tb_ProjectKosten[[#Headers],[Forfait_Percentage]],Tb_ProjectKosten[#Headers],0),0),""),X783 &lt;=0,0),"")</f>
        <v/>
      </c>
      <c r="AB783" s="314" t="str">
        <f t="shared" ca="1" si="51"/>
        <v/>
      </c>
      <c r="AC783" s="322"/>
      <c r="AD783" s="315"/>
      <c r="AE783" s="32" t="str" cm="1">
        <f t="array" ref="AE783">IFERROR(IF(INDEX(SubsidieTabel!$AD$1:$AG$12,MATCH($F783,SubsidieTabel!$AD$1:$AD$12,0),IFERROR(MATCH(Methode_Keuze,SubsidieTabel!$AD$1:$AG$1,0),2))&lt;&gt;1=TRUE,"ja",""),"")</f>
        <v/>
      </c>
    </row>
    <row r="784" spans="1:31" x14ac:dyDescent="0.25">
      <c r="A784" s="316"/>
      <c r="B784" s="317" t="str">
        <f>IF(A784&lt;&gt;"",_xlfn.MAXIFS($B$1:B783,$A$1:A783,A784)+1,"")</f>
        <v/>
      </c>
      <c r="C784" s="296"/>
      <c r="D784" s="296"/>
      <c r="E784" s="296"/>
      <c r="F784" s="296"/>
      <c r="G784" s="326"/>
      <c r="H784" s="324"/>
      <c r="I784" s="325"/>
      <c r="J784" s="325"/>
      <c r="K784" s="318"/>
      <c r="L784" s="318"/>
      <c r="M784" s="319" t="str">
        <f>IFERROR(VLOOKUP(H784,Lijsten!$H$1:$I$100,2,0),"")</f>
        <v/>
      </c>
      <c r="N784" s="319" t="str">
        <f ca="1">IFERROR(IF(VLOOKUP(F784,Kostentypen!$A$3:$E$21,3,0)=0,"",IF(OR(F784="Arbeidskosten",F784="Vergoeding"),VLOOKUP(G784,Tb_KostenTypen[],2,0),VLOOKUP(F784,Kostentypen!$A$3:$E$20,3,0))),"")</f>
        <v/>
      </c>
      <c r="O784" s="320" t="str" cm="1">
        <f t="array" ref="O784">_xlfn.IFNA(IF(INDEX(Tb_KostenOptiesDB[],MATCH($F784,Tb_KostenOptiesDB[KostenOptie],0),IFERROR(MATCH(Methode_Keuze,Tb_KostenOptiesDB[#Headers],0),2))=1,_xlfn.SWITCH($N784,"Uurtarief",IF(OR(AND(RIGHT($F784,3)="IKS",VLOOKUP($M784,DB_Loonkosten,2,0)="Ja"),AND(RIGHT($F784,3)&lt;&gt;"IKS",VLOOKUP($M784,DB_Loonkosten,2,0)="Nee")),IFERROR(VLOOKUP($M784,DB_Loonkosten,24,0),""),0),"Vast tarief",IF(LEFT(F784,8)="Bijdrage",VLOOKUP($F784,Tb_KostenTypen[],MATCH(Lijsten!$P$1,Tb_KostenTypen[#Headers],0),0),VLOOKUP($G784,Lijsten!L:P,MATCH(Lijsten!$P$1,Kop_Tarief_Vast,0),0))),""),"")</f>
        <v/>
      </c>
      <c r="P784" s="320" t="str" cm="1">
        <f t="array" ref="P784">_xlfn.IFNA(IF(INDEX(Tb_KostenOptiesDB[],MATCH($F784,Tb_KostenOptiesDB[KostenOptie],0),IFERROR(MATCH(Methode_Keuze,Tb_KostenOptiesDB[#Headers],0),2))=1,_xlfn.SWITCH($N784,"Uurtarief",IF(OR(AND(RIGHT($F784,3)="IKS",VLOOKUP($M784,DB_Loonkosten,2,0)="Ja"),AND(RIGHT($F784,3)&lt;&gt;"IKS",VLOOKUP($M784,DB_Loonkosten,2,0)="Nee")),IFERROR(VLOOKUP($M784,DB_Loonkosten,25,0),""),0),"Vast tarief",IF(LEFT(F784,8)="Bijdrage",VLOOKUP($F784,Tb_KostenTypen[],MATCH(Lijsten!$P$1,Tb_KostenTypen[#Headers],0),0),VLOOKUP($G784,Lijsten!L:P,MATCH(Lijsten!$P$1,Kop_Tarief_Vast,0),0))),""),"")</f>
        <v/>
      </c>
      <c r="Q784" s="359"/>
      <c r="R784" s="359"/>
      <c r="S784" s="321"/>
      <c r="T784" s="321"/>
      <c r="U784" s="373" t="str">
        <f t="shared" si="48"/>
        <v/>
      </c>
      <c r="V784" s="314" t="str">
        <f t="shared" si="49"/>
        <v/>
      </c>
      <c r="W784" s="314" t="str" cm="1">
        <f t="array" aca="1" ref="W784" ca="1">IFERROR(IF(AE784&lt;&gt;"ja",_xlfn.IFNA(_xlfn.IFS(AND(O784&lt;&gt;"",F784&lt;&gt;"",RIGHT($N784,6)="tarief",F784="Vergoeding"),SUM(O784)*FLOOR(SUM(Q784),0.0001),AND(O784&lt;&gt;"",F784&lt;&gt;"",RIGHT($N784,6)="tarief"),SUM(O784)*FLOOR(SUM(Q784),0.01),S784&gt;0,IF(F784&lt;&gt;"",FLOOR(SUM(S784),0.01),"")),""),""),"")</f>
        <v/>
      </c>
      <c r="X784" s="314" t="str" cm="1">
        <f t="array" aca="1" ref="X784" ca="1">IFERROR(IF(AE784&lt;&gt;"ja",_xlfn.IFNA(_xlfn.IFS(AND(P784&lt;&gt;"",R784&lt;&gt;"",RIGHT($N784,6)="tarief",F784="Vergoeding"),SUM(P784)*FLOOR(SUM(R784),0.0001),AND(P784&lt;&gt;"",R784&lt;&gt;"",RIGHT($N784,6)="tarief"),P784*FLOOR(R784,0.01),T784&gt;0,FLOOR(SUM(T784),0.01)),""),""),"")</f>
        <v/>
      </c>
      <c r="Y784" s="314" t="str">
        <f t="shared" ca="1" si="50"/>
        <v/>
      </c>
      <c r="Z784" s="314" t="str" cm="1">
        <f t="array" aca="1" ref="Z784" ca="1">IFERROR(_xlfn.IFS(OR(F784="",LEFT(Methode_Keuze,4)="Geen",Methode_Keuze=""),"",AND(W784&lt;&gt;"",F784&lt;&gt;"Arbeidskosten"),W784*VLOOKUP(F784,Tb_ProjectKosten[],MATCH(Tb_ProjectKosten[[#Headers],[Forfait_Percentage]],Tb_ProjectKosten[#Headers],0),0),AND(F784="Arbeidskosten",G784&lt;&gt;""),IFERROR(W784*VLOOKUP(G784,Tb_KostenTypen[],3,0)*VLOOKUP(F784,Tb_ProjectKosten[],MATCH(Tb_ProjectKosten[[#Headers],[Forfait_Percentage]],Tb_ProjectKosten[#Headers],0),0),""),W784 &lt;=0,0),"")</f>
        <v/>
      </c>
      <c r="AA784" s="314" t="str" cm="1">
        <f t="array" aca="1" ref="AA784" ca="1">IFERROR(_xlfn.IFS(OR(F784="",LEFT(Methode_Keuze,4)="Geen",Methode_Keuze=""),"",AND(X784&lt;&gt;"",F784&lt;&gt;"Arbeidskosten"),X784*VLOOKUP(F784,Tb_ProjectKosten[],MATCH(Tb_ProjectKosten[[#Headers],[Forfait_Percentage]],Tb_ProjectKosten[#Headers],0),0),AND(F784="Arbeidskosten",G784&lt;&gt;""),IFERROR(X784*VLOOKUP(G784,Tb_KostenTypen[],3,0)*VLOOKUP(F784,Tb_ProjectKosten[],MATCH(Tb_ProjectKosten[[#Headers],[Forfait_Percentage]],Tb_ProjectKosten[#Headers],0),0),""),X784 &lt;=0,0),"")</f>
        <v/>
      </c>
      <c r="AB784" s="314" t="str">
        <f t="shared" ca="1" si="51"/>
        <v/>
      </c>
      <c r="AC784" s="322"/>
      <c r="AD784" s="315"/>
      <c r="AE784" s="32" t="str" cm="1">
        <f t="array" ref="AE784">IFERROR(IF(INDEX(SubsidieTabel!$AD$1:$AG$12,MATCH($F784,SubsidieTabel!$AD$1:$AD$12,0),IFERROR(MATCH(Methode_Keuze,SubsidieTabel!$AD$1:$AG$1,0),2))&lt;&gt;1=TRUE,"ja",""),"")</f>
        <v/>
      </c>
    </row>
    <row r="785" spans="1:31" x14ac:dyDescent="0.25">
      <c r="A785" s="316"/>
      <c r="B785" s="317" t="str">
        <f>IF(A785&lt;&gt;"",_xlfn.MAXIFS($B$1:B784,$A$1:A784,A785)+1,"")</f>
        <v/>
      </c>
      <c r="C785" s="296"/>
      <c r="D785" s="296"/>
      <c r="E785" s="296"/>
      <c r="F785" s="296"/>
      <c r="G785" s="326"/>
      <c r="H785" s="324"/>
      <c r="I785" s="325"/>
      <c r="J785" s="325"/>
      <c r="K785" s="318"/>
      <c r="L785" s="318"/>
      <c r="M785" s="319" t="str">
        <f>IFERROR(VLOOKUP(H785,Lijsten!$H$1:$I$100,2,0),"")</f>
        <v/>
      </c>
      <c r="N785" s="319" t="str">
        <f ca="1">IFERROR(IF(VLOOKUP(F785,Kostentypen!$A$3:$E$21,3,0)=0,"",IF(OR(F785="Arbeidskosten",F785="Vergoeding"),VLOOKUP(G785,Tb_KostenTypen[],2,0),VLOOKUP(F785,Kostentypen!$A$3:$E$20,3,0))),"")</f>
        <v/>
      </c>
      <c r="O785" s="320" t="str" cm="1">
        <f t="array" ref="O785">_xlfn.IFNA(IF(INDEX(Tb_KostenOptiesDB[],MATCH($F785,Tb_KostenOptiesDB[KostenOptie],0),IFERROR(MATCH(Methode_Keuze,Tb_KostenOptiesDB[#Headers],0),2))=1,_xlfn.SWITCH($N785,"Uurtarief",IF(OR(AND(RIGHT($F785,3)="IKS",VLOOKUP($M785,DB_Loonkosten,2,0)="Ja"),AND(RIGHT($F785,3)&lt;&gt;"IKS",VLOOKUP($M785,DB_Loonkosten,2,0)="Nee")),IFERROR(VLOOKUP($M785,DB_Loonkosten,24,0),""),0),"Vast tarief",IF(LEFT(F785,8)="Bijdrage",VLOOKUP($F785,Tb_KostenTypen[],MATCH(Lijsten!$P$1,Tb_KostenTypen[#Headers],0),0),VLOOKUP($G785,Lijsten!L:P,MATCH(Lijsten!$P$1,Kop_Tarief_Vast,0),0))),""),"")</f>
        <v/>
      </c>
      <c r="P785" s="320" t="str" cm="1">
        <f t="array" ref="P785">_xlfn.IFNA(IF(INDEX(Tb_KostenOptiesDB[],MATCH($F785,Tb_KostenOptiesDB[KostenOptie],0),IFERROR(MATCH(Methode_Keuze,Tb_KostenOptiesDB[#Headers],0),2))=1,_xlfn.SWITCH($N785,"Uurtarief",IF(OR(AND(RIGHT($F785,3)="IKS",VLOOKUP($M785,DB_Loonkosten,2,0)="Ja"),AND(RIGHT($F785,3)&lt;&gt;"IKS",VLOOKUP($M785,DB_Loonkosten,2,0)="Nee")),IFERROR(VLOOKUP($M785,DB_Loonkosten,25,0),""),0),"Vast tarief",IF(LEFT(F785,8)="Bijdrage",VLOOKUP($F785,Tb_KostenTypen[],MATCH(Lijsten!$P$1,Tb_KostenTypen[#Headers],0),0),VLOOKUP($G785,Lijsten!L:P,MATCH(Lijsten!$P$1,Kop_Tarief_Vast,0),0))),""),"")</f>
        <v/>
      </c>
      <c r="Q785" s="359"/>
      <c r="R785" s="359"/>
      <c r="S785" s="321"/>
      <c r="T785" s="321"/>
      <c r="U785" s="373" t="str">
        <f t="shared" si="48"/>
        <v/>
      </c>
      <c r="V785" s="314" t="str">
        <f t="shared" si="49"/>
        <v/>
      </c>
      <c r="W785" s="314" t="str" cm="1">
        <f t="array" aca="1" ref="W785" ca="1">IFERROR(IF(AE785&lt;&gt;"ja",_xlfn.IFNA(_xlfn.IFS(AND(O785&lt;&gt;"",F785&lt;&gt;"",RIGHT($N785,6)="tarief",F785="Vergoeding"),SUM(O785)*FLOOR(SUM(Q785),0.0001),AND(O785&lt;&gt;"",F785&lt;&gt;"",RIGHT($N785,6)="tarief"),SUM(O785)*FLOOR(SUM(Q785),0.01),S785&gt;0,IF(F785&lt;&gt;"",FLOOR(SUM(S785),0.01),"")),""),""),"")</f>
        <v/>
      </c>
      <c r="X785" s="314" t="str" cm="1">
        <f t="array" aca="1" ref="X785" ca="1">IFERROR(IF(AE785&lt;&gt;"ja",_xlfn.IFNA(_xlfn.IFS(AND(P785&lt;&gt;"",R785&lt;&gt;"",RIGHT($N785,6)="tarief",F785="Vergoeding"),SUM(P785)*FLOOR(SUM(R785),0.0001),AND(P785&lt;&gt;"",R785&lt;&gt;"",RIGHT($N785,6)="tarief"),P785*FLOOR(R785,0.01),T785&gt;0,FLOOR(SUM(T785),0.01)),""),""),"")</f>
        <v/>
      </c>
      <c r="Y785" s="314" t="str">
        <f t="shared" ca="1" si="50"/>
        <v/>
      </c>
      <c r="Z785" s="314" t="str" cm="1">
        <f t="array" aca="1" ref="Z785" ca="1">IFERROR(_xlfn.IFS(OR(F785="",LEFT(Methode_Keuze,4)="Geen",Methode_Keuze=""),"",AND(W785&lt;&gt;"",F785&lt;&gt;"Arbeidskosten"),W785*VLOOKUP(F785,Tb_ProjectKosten[],MATCH(Tb_ProjectKosten[[#Headers],[Forfait_Percentage]],Tb_ProjectKosten[#Headers],0),0),AND(F785="Arbeidskosten",G785&lt;&gt;""),IFERROR(W785*VLOOKUP(G785,Tb_KostenTypen[],3,0)*VLOOKUP(F785,Tb_ProjectKosten[],MATCH(Tb_ProjectKosten[[#Headers],[Forfait_Percentage]],Tb_ProjectKosten[#Headers],0),0),""),W785 &lt;=0,0),"")</f>
        <v/>
      </c>
      <c r="AA785" s="314" t="str" cm="1">
        <f t="array" aca="1" ref="AA785" ca="1">IFERROR(_xlfn.IFS(OR(F785="",LEFT(Methode_Keuze,4)="Geen",Methode_Keuze=""),"",AND(X785&lt;&gt;"",F785&lt;&gt;"Arbeidskosten"),X785*VLOOKUP(F785,Tb_ProjectKosten[],MATCH(Tb_ProjectKosten[[#Headers],[Forfait_Percentage]],Tb_ProjectKosten[#Headers],0),0),AND(F785="Arbeidskosten",G785&lt;&gt;""),IFERROR(X785*VLOOKUP(G785,Tb_KostenTypen[],3,0)*VLOOKUP(F785,Tb_ProjectKosten[],MATCH(Tb_ProjectKosten[[#Headers],[Forfait_Percentage]],Tb_ProjectKosten[#Headers],0),0),""),X785 &lt;=0,0),"")</f>
        <v/>
      </c>
      <c r="AB785" s="314" t="str">
        <f t="shared" ca="1" si="51"/>
        <v/>
      </c>
      <c r="AC785" s="322"/>
      <c r="AD785" s="315"/>
      <c r="AE785" s="32" t="str" cm="1">
        <f t="array" ref="AE785">IFERROR(IF(INDEX(SubsidieTabel!$AD$1:$AG$12,MATCH($F785,SubsidieTabel!$AD$1:$AD$12,0),IFERROR(MATCH(Methode_Keuze,SubsidieTabel!$AD$1:$AG$1,0),2))&lt;&gt;1=TRUE,"ja",""),"")</f>
        <v/>
      </c>
    </row>
    <row r="786" spans="1:31" x14ac:dyDescent="0.25">
      <c r="A786" s="316"/>
      <c r="B786" s="317" t="str">
        <f>IF(A786&lt;&gt;"",_xlfn.MAXIFS($B$1:B785,$A$1:A785,A786)+1,"")</f>
        <v/>
      </c>
      <c r="C786" s="296"/>
      <c r="D786" s="296"/>
      <c r="E786" s="296"/>
      <c r="F786" s="296"/>
      <c r="G786" s="326"/>
      <c r="H786" s="324"/>
      <c r="I786" s="325"/>
      <c r="J786" s="325"/>
      <c r="K786" s="318"/>
      <c r="L786" s="318"/>
      <c r="M786" s="319" t="str">
        <f>IFERROR(VLOOKUP(H786,Lijsten!$H$1:$I$100,2,0),"")</f>
        <v/>
      </c>
      <c r="N786" s="319" t="str">
        <f ca="1">IFERROR(IF(VLOOKUP(F786,Kostentypen!$A$3:$E$21,3,0)=0,"",IF(OR(F786="Arbeidskosten",F786="Vergoeding"),VLOOKUP(G786,Tb_KostenTypen[],2,0),VLOOKUP(F786,Kostentypen!$A$3:$E$20,3,0))),"")</f>
        <v/>
      </c>
      <c r="O786" s="320" t="str" cm="1">
        <f t="array" ref="O786">_xlfn.IFNA(IF(INDEX(Tb_KostenOptiesDB[],MATCH($F786,Tb_KostenOptiesDB[KostenOptie],0),IFERROR(MATCH(Methode_Keuze,Tb_KostenOptiesDB[#Headers],0),2))=1,_xlfn.SWITCH($N786,"Uurtarief",IF(OR(AND(RIGHT($F786,3)="IKS",VLOOKUP($M786,DB_Loonkosten,2,0)="Ja"),AND(RIGHT($F786,3)&lt;&gt;"IKS",VLOOKUP($M786,DB_Loonkosten,2,0)="Nee")),IFERROR(VLOOKUP($M786,DB_Loonkosten,24,0),""),0),"Vast tarief",IF(LEFT(F786,8)="Bijdrage",VLOOKUP($F786,Tb_KostenTypen[],MATCH(Lijsten!$P$1,Tb_KostenTypen[#Headers],0),0),VLOOKUP($G786,Lijsten!L:P,MATCH(Lijsten!$P$1,Kop_Tarief_Vast,0),0))),""),"")</f>
        <v/>
      </c>
      <c r="P786" s="320" t="str" cm="1">
        <f t="array" ref="P786">_xlfn.IFNA(IF(INDEX(Tb_KostenOptiesDB[],MATCH($F786,Tb_KostenOptiesDB[KostenOptie],0),IFERROR(MATCH(Methode_Keuze,Tb_KostenOptiesDB[#Headers],0),2))=1,_xlfn.SWITCH($N786,"Uurtarief",IF(OR(AND(RIGHT($F786,3)="IKS",VLOOKUP($M786,DB_Loonkosten,2,0)="Ja"),AND(RIGHT($F786,3)&lt;&gt;"IKS",VLOOKUP($M786,DB_Loonkosten,2,0)="Nee")),IFERROR(VLOOKUP($M786,DB_Loonkosten,25,0),""),0),"Vast tarief",IF(LEFT(F786,8)="Bijdrage",VLOOKUP($F786,Tb_KostenTypen[],MATCH(Lijsten!$P$1,Tb_KostenTypen[#Headers],0),0),VLOOKUP($G786,Lijsten!L:P,MATCH(Lijsten!$P$1,Kop_Tarief_Vast,0),0))),""),"")</f>
        <v/>
      </c>
      <c r="Q786" s="359"/>
      <c r="R786" s="359"/>
      <c r="S786" s="321"/>
      <c r="T786" s="321"/>
      <c r="U786" s="373" t="str">
        <f t="shared" si="48"/>
        <v/>
      </c>
      <c r="V786" s="314" t="str">
        <f t="shared" si="49"/>
        <v/>
      </c>
      <c r="W786" s="314" t="str" cm="1">
        <f t="array" aca="1" ref="W786" ca="1">IFERROR(IF(AE786&lt;&gt;"ja",_xlfn.IFNA(_xlfn.IFS(AND(O786&lt;&gt;"",F786&lt;&gt;"",RIGHT($N786,6)="tarief",F786="Vergoeding"),SUM(O786)*FLOOR(SUM(Q786),0.0001),AND(O786&lt;&gt;"",F786&lt;&gt;"",RIGHT($N786,6)="tarief"),SUM(O786)*FLOOR(SUM(Q786),0.01),S786&gt;0,IF(F786&lt;&gt;"",FLOOR(SUM(S786),0.01),"")),""),""),"")</f>
        <v/>
      </c>
      <c r="X786" s="314" t="str" cm="1">
        <f t="array" aca="1" ref="X786" ca="1">IFERROR(IF(AE786&lt;&gt;"ja",_xlfn.IFNA(_xlfn.IFS(AND(P786&lt;&gt;"",R786&lt;&gt;"",RIGHT($N786,6)="tarief",F786="Vergoeding"),SUM(P786)*FLOOR(SUM(R786),0.0001),AND(P786&lt;&gt;"",R786&lt;&gt;"",RIGHT($N786,6)="tarief"),P786*FLOOR(R786,0.01),T786&gt;0,FLOOR(SUM(T786),0.01)),""),""),"")</f>
        <v/>
      </c>
      <c r="Y786" s="314" t="str">
        <f t="shared" ca="1" si="50"/>
        <v/>
      </c>
      <c r="Z786" s="314" t="str" cm="1">
        <f t="array" aca="1" ref="Z786" ca="1">IFERROR(_xlfn.IFS(OR(F786="",LEFT(Methode_Keuze,4)="Geen",Methode_Keuze=""),"",AND(W786&lt;&gt;"",F786&lt;&gt;"Arbeidskosten"),W786*VLOOKUP(F786,Tb_ProjectKosten[],MATCH(Tb_ProjectKosten[[#Headers],[Forfait_Percentage]],Tb_ProjectKosten[#Headers],0),0),AND(F786="Arbeidskosten",G786&lt;&gt;""),IFERROR(W786*VLOOKUP(G786,Tb_KostenTypen[],3,0)*VLOOKUP(F786,Tb_ProjectKosten[],MATCH(Tb_ProjectKosten[[#Headers],[Forfait_Percentage]],Tb_ProjectKosten[#Headers],0),0),""),W786 &lt;=0,0),"")</f>
        <v/>
      </c>
      <c r="AA786" s="314" t="str" cm="1">
        <f t="array" aca="1" ref="AA786" ca="1">IFERROR(_xlfn.IFS(OR(F786="",LEFT(Methode_Keuze,4)="Geen",Methode_Keuze=""),"",AND(X786&lt;&gt;"",F786&lt;&gt;"Arbeidskosten"),X786*VLOOKUP(F786,Tb_ProjectKosten[],MATCH(Tb_ProjectKosten[[#Headers],[Forfait_Percentage]],Tb_ProjectKosten[#Headers],0),0),AND(F786="Arbeidskosten",G786&lt;&gt;""),IFERROR(X786*VLOOKUP(G786,Tb_KostenTypen[],3,0)*VLOOKUP(F786,Tb_ProjectKosten[],MATCH(Tb_ProjectKosten[[#Headers],[Forfait_Percentage]],Tb_ProjectKosten[#Headers],0),0),""),X786 &lt;=0,0),"")</f>
        <v/>
      </c>
      <c r="AB786" s="314" t="str">
        <f t="shared" ca="1" si="51"/>
        <v/>
      </c>
      <c r="AC786" s="322"/>
      <c r="AD786" s="315"/>
      <c r="AE786" s="32" t="str" cm="1">
        <f t="array" ref="AE786">IFERROR(IF(INDEX(SubsidieTabel!$AD$1:$AG$12,MATCH($F786,SubsidieTabel!$AD$1:$AD$12,0),IFERROR(MATCH(Methode_Keuze,SubsidieTabel!$AD$1:$AG$1,0),2))&lt;&gt;1=TRUE,"ja",""),"")</f>
        <v/>
      </c>
    </row>
    <row r="787" spans="1:31" x14ac:dyDescent="0.25">
      <c r="A787" s="316"/>
      <c r="B787" s="317" t="str">
        <f>IF(A787&lt;&gt;"",_xlfn.MAXIFS($B$1:B786,$A$1:A786,A787)+1,"")</f>
        <v/>
      </c>
      <c r="C787" s="296"/>
      <c r="D787" s="296"/>
      <c r="E787" s="296"/>
      <c r="F787" s="296"/>
      <c r="G787" s="326"/>
      <c r="H787" s="324"/>
      <c r="I787" s="325"/>
      <c r="J787" s="325"/>
      <c r="K787" s="318"/>
      <c r="L787" s="318"/>
      <c r="M787" s="319" t="str">
        <f>IFERROR(VLOOKUP(H787,Lijsten!$H$1:$I$100,2,0),"")</f>
        <v/>
      </c>
      <c r="N787" s="319" t="str">
        <f ca="1">IFERROR(IF(VLOOKUP(F787,Kostentypen!$A$3:$E$21,3,0)=0,"",IF(OR(F787="Arbeidskosten",F787="Vergoeding"),VLOOKUP(G787,Tb_KostenTypen[],2,0),VLOOKUP(F787,Kostentypen!$A$3:$E$20,3,0))),"")</f>
        <v/>
      </c>
      <c r="O787" s="320" t="str" cm="1">
        <f t="array" ref="O787">_xlfn.IFNA(IF(INDEX(Tb_KostenOptiesDB[],MATCH($F787,Tb_KostenOptiesDB[KostenOptie],0),IFERROR(MATCH(Methode_Keuze,Tb_KostenOptiesDB[#Headers],0),2))=1,_xlfn.SWITCH($N787,"Uurtarief",IF(OR(AND(RIGHT($F787,3)="IKS",VLOOKUP($M787,DB_Loonkosten,2,0)="Ja"),AND(RIGHT($F787,3)&lt;&gt;"IKS",VLOOKUP($M787,DB_Loonkosten,2,0)="Nee")),IFERROR(VLOOKUP($M787,DB_Loonkosten,24,0),""),0),"Vast tarief",IF(LEFT(F787,8)="Bijdrage",VLOOKUP($F787,Tb_KostenTypen[],MATCH(Lijsten!$P$1,Tb_KostenTypen[#Headers],0),0),VLOOKUP($G787,Lijsten!L:P,MATCH(Lijsten!$P$1,Kop_Tarief_Vast,0),0))),""),"")</f>
        <v/>
      </c>
      <c r="P787" s="320" t="str" cm="1">
        <f t="array" ref="P787">_xlfn.IFNA(IF(INDEX(Tb_KostenOptiesDB[],MATCH($F787,Tb_KostenOptiesDB[KostenOptie],0),IFERROR(MATCH(Methode_Keuze,Tb_KostenOptiesDB[#Headers],0),2))=1,_xlfn.SWITCH($N787,"Uurtarief",IF(OR(AND(RIGHT($F787,3)="IKS",VLOOKUP($M787,DB_Loonkosten,2,0)="Ja"),AND(RIGHT($F787,3)&lt;&gt;"IKS",VLOOKUP($M787,DB_Loonkosten,2,0)="Nee")),IFERROR(VLOOKUP($M787,DB_Loonkosten,25,0),""),0),"Vast tarief",IF(LEFT(F787,8)="Bijdrage",VLOOKUP($F787,Tb_KostenTypen[],MATCH(Lijsten!$P$1,Tb_KostenTypen[#Headers],0),0),VLOOKUP($G787,Lijsten!L:P,MATCH(Lijsten!$P$1,Kop_Tarief_Vast,0),0))),""),"")</f>
        <v/>
      </c>
      <c r="Q787" s="359"/>
      <c r="R787" s="359"/>
      <c r="S787" s="321"/>
      <c r="T787" s="321"/>
      <c r="U787" s="373" t="str">
        <f t="shared" si="48"/>
        <v/>
      </c>
      <c r="V787" s="314" t="str">
        <f t="shared" si="49"/>
        <v/>
      </c>
      <c r="W787" s="314" t="str" cm="1">
        <f t="array" aca="1" ref="W787" ca="1">IFERROR(IF(AE787&lt;&gt;"ja",_xlfn.IFNA(_xlfn.IFS(AND(O787&lt;&gt;"",F787&lt;&gt;"",RIGHT($N787,6)="tarief",F787="Vergoeding"),SUM(O787)*FLOOR(SUM(Q787),0.0001),AND(O787&lt;&gt;"",F787&lt;&gt;"",RIGHT($N787,6)="tarief"),SUM(O787)*FLOOR(SUM(Q787),0.01),S787&gt;0,IF(F787&lt;&gt;"",FLOOR(SUM(S787),0.01),"")),""),""),"")</f>
        <v/>
      </c>
      <c r="X787" s="314" t="str" cm="1">
        <f t="array" aca="1" ref="X787" ca="1">IFERROR(IF(AE787&lt;&gt;"ja",_xlfn.IFNA(_xlfn.IFS(AND(P787&lt;&gt;"",R787&lt;&gt;"",RIGHT($N787,6)="tarief",F787="Vergoeding"),SUM(P787)*FLOOR(SUM(R787),0.0001),AND(P787&lt;&gt;"",R787&lt;&gt;"",RIGHT($N787,6)="tarief"),P787*FLOOR(R787,0.01),T787&gt;0,FLOOR(SUM(T787),0.01)),""),""),"")</f>
        <v/>
      </c>
      <c r="Y787" s="314" t="str">
        <f t="shared" ca="1" si="50"/>
        <v/>
      </c>
      <c r="Z787" s="314" t="str" cm="1">
        <f t="array" aca="1" ref="Z787" ca="1">IFERROR(_xlfn.IFS(OR(F787="",LEFT(Methode_Keuze,4)="Geen",Methode_Keuze=""),"",AND(W787&lt;&gt;"",F787&lt;&gt;"Arbeidskosten"),W787*VLOOKUP(F787,Tb_ProjectKosten[],MATCH(Tb_ProjectKosten[[#Headers],[Forfait_Percentage]],Tb_ProjectKosten[#Headers],0),0),AND(F787="Arbeidskosten",G787&lt;&gt;""),IFERROR(W787*VLOOKUP(G787,Tb_KostenTypen[],3,0)*VLOOKUP(F787,Tb_ProjectKosten[],MATCH(Tb_ProjectKosten[[#Headers],[Forfait_Percentage]],Tb_ProjectKosten[#Headers],0),0),""),W787 &lt;=0,0),"")</f>
        <v/>
      </c>
      <c r="AA787" s="314" t="str" cm="1">
        <f t="array" aca="1" ref="AA787" ca="1">IFERROR(_xlfn.IFS(OR(F787="",LEFT(Methode_Keuze,4)="Geen",Methode_Keuze=""),"",AND(X787&lt;&gt;"",F787&lt;&gt;"Arbeidskosten"),X787*VLOOKUP(F787,Tb_ProjectKosten[],MATCH(Tb_ProjectKosten[[#Headers],[Forfait_Percentage]],Tb_ProjectKosten[#Headers],0),0),AND(F787="Arbeidskosten",G787&lt;&gt;""),IFERROR(X787*VLOOKUP(G787,Tb_KostenTypen[],3,0)*VLOOKUP(F787,Tb_ProjectKosten[],MATCH(Tb_ProjectKosten[[#Headers],[Forfait_Percentage]],Tb_ProjectKosten[#Headers],0),0),""),X787 &lt;=0,0),"")</f>
        <v/>
      </c>
      <c r="AB787" s="314" t="str">
        <f t="shared" ca="1" si="51"/>
        <v/>
      </c>
      <c r="AC787" s="322"/>
      <c r="AD787" s="315"/>
      <c r="AE787" s="32" t="str" cm="1">
        <f t="array" ref="AE787">IFERROR(IF(INDEX(SubsidieTabel!$AD$1:$AG$12,MATCH($F787,SubsidieTabel!$AD$1:$AD$12,0),IFERROR(MATCH(Methode_Keuze,SubsidieTabel!$AD$1:$AG$1,0),2))&lt;&gt;1=TRUE,"ja",""),"")</f>
        <v/>
      </c>
    </row>
    <row r="788" spans="1:31" x14ac:dyDescent="0.25">
      <c r="A788" s="316"/>
      <c r="B788" s="317" t="str">
        <f>IF(A788&lt;&gt;"",_xlfn.MAXIFS($B$1:B787,$A$1:A787,A788)+1,"")</f>
        <v/>
      </c>
      <c r="C788" s="296"/>
      <c r="D788" s="296"/>
      <c r="E788" s="296"/>
      <c r="F788" s="296"/>
      <c r="G788" s="326"/>
      <c r="H788" s="324"/>
      <c r="I788" s="325"/>
      <c r="J788" s="325"/>
      <c r="K788" s="318"/>
      <c r="L788" s="318"/>
      <c r="M788" s="319" t="str">
        <f>IFERROR(VLOOKUP(H788,Lijsten!$H$1:$I$100,2,0),"")</f>
        <v/>
      </c>
      <c r="N788" s="319" t="str">
        <f ca="1">IFERROR(IF(VLOOKUP(F788,Kostentypen!$A$3:$E$21,3,0)=0,"",IF(OR(F788="Arbeidskosten",F788="Vergoeding"),VLOOKUP(G788,Tb_KostenTypen[],2,0),VLOOKUP(F788,Kostentypen!$A$3:$E$20,3,0))),"")</f>
        <v/>
      </c>
      <c r="O788" s="320" t="str" cm="1">
        <f t="array" ref="O788">_xlfn.IFNA(IF(INDEX(Tb_KostenOptiesDB[],MATCH($F788,Tb_KostenOptiesDB[KostenOptie],0),IFERROR(MATCH(Methode_Keuze,Tb_KostenOptiesDB[#Headers],0),2))=1,_xlfn.SWITCH($N788,"Uurtarief",IF(OR(AND(RIGHT($F788,3)="IKS",VLOOKUP($M788,DB_Loonkosten,2,0)="Ja"),AND(RIGHT($F788,3)&lt;&gt;"IKS",VLOOKUP($M788,DB_Loonkosten,2,0)="Nee")),IFERROR(VLOOKUP($M788,DB_Loonkosten,24,0),""),0),"Vast tarief",IF(LEFT(F788,8)="Bijdrage",VLOOKUP($F788,Tb_KostenTypen[],MATCH(Lijsten!$P$1,Tb_KostenTypen[#Headers],0),0),VLOOKUP($G788,Lijsten!L:P,MATCH(Lijsten!$P$1,Kop_Tarief_Vast,0),0))),""),"")</f>
        <v/>
      </c>
      <c r="P788" s="320" t="str" cm="1">
        <f t="array" ref="P788">_xlfn.IFNA(IF(INDEX(Tb_KostenOptiesDB[],MATCH($F788,Tb_KostenOptiesDB[KostenOptie],0),IFERROR(MATCH(Methode_Keuze,Tb_KostenOptiesDB[#Headers],0),2))=1,_xlfn.SWITCH($N788,"Uurtarief",IF(OR(AND(RIGHT($F788,3)="IKS",VLOOKUP($M788,DB_Loonkosten,2,0)="Ja"),AND(RIGHT($F788,3)&lt;&gt;"IKS",VLOOKUP($M788,DB_Loonkosten,2,0)="Nee")),IFERROR(VLOOKUP($M788,DB_Loonkosten,25,0),""),0),"Vast tarief",IF(LEFT(F788,8)="Bijdrage",VLOOKUP($F788,Tb_KostenTypen[],MATCH(Lijsten!$P$1,Tb_KostenTypen[#Headers],0),0),VLOOKUP($G788,Lijsten!L:P,MATCH(Lijsten!$P$1,Kop_Tarief_Vast,0),0))),""),"")</f>
        <v/>
      </c>
      <c r="Q788" s="359"/>
      <c r="R788" s="359"/>
      <c r="S788" s="321"/>
      <c r="T788" s="321"/>
      <c r="U788" s="373" t="str">
        <f t="shared" si="48"/>
        <v/>
      </c>
      <c r="V788" s="314" t="str">
        <f t="shared" si="49"/>
        <v/>
      </c>
      <c r="W788" s="314" t="str" cm="1">
        <f t="array" aca="1" ref="W788" ca="1">IFERROR(IF(AE788&lt;&gt;"ja",_xlfn.IFNA(_xlfn.IFS(AND(O788&lt;&gt;"",F788&lt;&gt;"",RIGHT($N788,6)="tarief",F788="Vergoeding"),SUM(O788)*FLOOR(SUM(Q788),0.0001),AND(O788&lt;&gt;"",F788&lt;&gt;"",RIGHT($N788,6)="tarief"),SUM(O788)*FLOOR(SUM(Q788),0.01),S788&gt;0,IF(F788&lt;&gt;"",FLOOR(SUM(S788),0.01),"")),""),""),"")</f>
        <v/>
      </c>
      <c r="X788" s="314" t="str" cm="1">
        <f t="array" aca="1" ref="X788" ca="1">IFERROR(IF(AE788&lt;&gt;"ja",_xlfn.IFNA(_xlfn.IFS(AND(P788&lt;&gt;"",R788&lt;&gt;"",RIGHT($N788,6)="tarief",F788="Vergoeding"),SUM(P788)*FLOOR(SUM(R788),0.0001),AND(P788&lt;&gt;"",R788&lt;&gt;"",RIGHT($N788,6)="tarief"),P788*FLOOR(R788,0.01),T788&gt;0,FLOOR(SUM(T788),0.01)),""),""),"")</f>
        <v/>
      </c>
      <c r="Y788" s="314" t="str">
        <f t="shared" ca="1" si="50"/>
        <v/>
      </c>
      <c r="Z788" s="314" t="str" cm="1">
        <f t="array" aca="1" ref="Z788" ca="1">IFERROR(_xlfn.IFS(OR(F788="",LEFT(Methode_Keuze,4)="Geen",Methode_Keuze=""),"",AND(W788&lt;&gt;"",F788&lt;&gt;"Arbeidskosten"),W788*VLOOKUP(F788,Tb_ProjectKosten[],MATCH(Tb_ProjectKosten[[#Headers],[Forfait_Percentage]],Tb_ProjectKosten[#Headers],0),0),AND(F788="Arbeidskosten",G788&lt;&gt;""),IFERROR(W788*VLOOKUP(G788,Tb_KostenTypen[],3,0)*VLOOKUP(F788,Tb_ProjectKosten[],MATCH(Tb_ProjectKosten[[#Headers],[Forfait_Percentage]],Tb_ProjectKosten[#Headers],0),0),""),W788 &lt;=0,0),"")</f>
        <v/>
      </c>
      <c r="AA788" s="314" t="str" cm="1">
        <f t="array" aca="1" ref="AA788" ca="1">IFERROR(_xlfn.IFS(OR(F788="",LEFT(Methode_Keuze,4)="Geen",Methode_Keuze=""),"",AND(X788&lt;&gt;"",F788&lt;&gt;"Arbeidskosten"),X788*VLOOKUP(F788,Tb_ProjectKosten[],MATCH(Tb_ProjectKosten[[#Headers],[Forfait_Percentage]],Tb_ProjectKosten[#Headers],0),0),AND(F788="Arbeidskosten",G788&lt;&gt;""),IFERROR(X788*VLOOKUP(G788,Tb_KostenTypen[],3,0)*VLOOKUP(F788,Tb_ProjectKosten[],MATCH(Tb_ProjectKosten[[#Headers],[Forfait_Percentage]],Tb_ProjectKosten[#Headers],0),0),""),X788 &lt;=0,0),"")</f>
        <v/>
      </c>
      <c r="AB788" s="314" t="str">
        <f t="shared" ca="1" si="51"/>
        <v/>
      </c>
      <c r="AC788" s="322"/>
      <c r="AD788" s="315"/>
      <c r="AE788" s="32" t="str" cm="1">
        <f t="array" ref="AE788">IFERROR(IF(INDEX(SubsidieTabel!$AD$1:$AG$12,MATCH($F788,SubsidieTabel!$AD$1:$AD$12,0),IFERROR(MATCH(Methode_Keuze,SubsidieTabel!$AD$1:$AG$1,0),2))&lt;&gt;1=TRUE,"ja",""),"")</f>
        <v/>
      </c>
    </row>
    <row r="789" spans="1:31" x14ac:dyDescent="0.25">
      <c r="A789" s="316"/>
      <c r="B789" s="317" t="str">
        <f>IF(A789&lt;&gt;"",_xlfn.MAXIFS($B$1:B788,$A$1:A788,A789)+1,"")</f>
        <v/>
      </c>
      <c r="C789" s="296"/>
      <c r="D789" s="296"/>
      <c r="E789" s="296"/>
      <c r="F789" s="296"/>
      <c r="G789" s="326"/>
      <c r="H789" s="324"/>
      <c r="I789" s="325"/>
      <c r="J789" s="325"/>
      <c r="K789" s="318"/>
      <c r="L789" s="318"/>
      <c r="M789" s="319" t="str">
        <f>IFERROR(VLOOKUP(H789,Lijsten!$H$1:$I$100,2,0),"")</f>
        <v/>
      </c>
      <c r="N789" s="319" t="str">
        <f ca="1">IFERROR(IF(VLOOKUP(F789,Kostentypen!$A$3:$E$21,3,0)=0,"",IF(OR(F789="Arbeidskosten",F789="Vergoeding"),VLOOKUP(G789,Tb_KostenTypen[],2,0),VLOOKUP(F789,Kostentypen!$A$3:$E$20,3,0))),"")</f>
        <v/>
      </c>
      <c r="O789" s="320" t="str" cm="1">
        <f t="array" ref="O789">_xlfn.IFNA(IF(INDEX(Tb_KostenOptiesDB[],MATCH($F789,Tb_KostenOptiesDB[KostenOptie],0),IFERROR(MATCH(Methode_Keuze,Tb_KostenOptiesDB[#Headers],0),2))=1,_xlfn.SWITCH($N789,"Uurtarief",IF(OR(AND(RIGHT($F789,3)="IKS",VLOOKUP($M789,DB_Loonkosten,2,0)="Ja"),AND(RIGHT($F789,3)&lt;&gt;"IKS",VLOOKUP($M789,DB_Loonkosten,2,0)="Nee")),IFERROR(VLOOKUP($M789,DB_Loonkosten,24,0),""),0),"Vast tarief",IF(LEFT(F789,8)="Bijdrage",VLOOKUP($F789,Tb_KostenTypen[],MATCH(Lijsten!$P$1,Tb_KostenTypen[#Headers],0),0),VLOOKUP($G789,Lijsten!L:P,MATCH(Lijsten!$P$1,Kop_Tarief_Vast,0),0))),""),"")</f>
        <v/>
      </c>
      <c r="P789" s="320" t="str" cm="1">
        <f t="array" ref="P789">_xlfn.IFNA(IF(INDEX(Tb_KostenOptiesDB[],MATCH($F789,Tb_KostenOptiesDB[KostenOptie],0),IFERROR(MATCH(Methode_Keuze,Tb_KostenOptiesDB[#Headers],0),2))=1,_xlfn.SWITCH($N789,"Uurtarief",IF(OR(AND(RIGHT($F789,3)="IKS",VLOOKUP($M789,DB_Loonkosten,2,0)="Ja"),AND(RIGHT($F789,3)&lt;&gt;"IKS",VLOOKUP($M789,DB_Loonkosten,2,0)="Nee")),IFERROR(VLOOKUP($M789,DB_Loonkosten,25,0),""),0),"Vast tarief",IF(LEFT(F789,8)="Bijdrage",VLOOKUP($F789,Tb_KostenTypen[],MATCH(Lijsten!$P$1,Tb_KostenTypen[#Headers],0),0),VLOOKUP($G789,Lijsten!L:P,MATCH(Lijsten!$P$1,Kop_Tarief_Vast,0),0))),""),"")</f>
        <v/>
      </c>
      <c r="Q789" s="359"/>
      <c r="R789" s="359"/>
      <c r="S789" s="321"/>
      <c r="T789" s="321"/>
      <c r="U789" s="373" t="str">
        <f t="shared" si="48"/>
        <v/>
      </c>
      <c r="V789" s="314" t="str">
        <f t="shared" si="49"/>
        <v/>
      </c>
      <c r="W789" s="314" t="str" cm="1">
        <f t="array" aca="1" ref="W789" ca="1">IFERROR(IF(AE789&lt;&gt;"ja",_xlfn.IFNA(_xlfn.IFS(AND(O789&lt;&gt;"",F789&lt;&gt;"",RIGHT($N789,6)="tarief",F789="Vergoeding"),SUM(O789)*FLOOR(SUM(Q789),0.0001),AND(O789&lt;&gt;"",F789&lt;&gt;"",RIGHT($N789,6)="tarief"),SUM(O789)*FLOOR(SUM(Q789),0.01),S789&gt;0,IF(F789&lt;&gt;"",FLOOR(SUM(S789),0.01),"")),""),""),"")</f>
        <v/>
      </c>
      <c r="X789" s="314" t="str" cm="1">
        <f t="array" aca="1" ref="X789" ca="1">IFERROR(IF(AE789&lt;&gt;"ja",_xlfn.IFNA(_xlfn.IFS(AND(P789&lt;&gt;"",R789&lt;&gt;"",RIGHT($N789,6)="tarief",F789="Vergoeding"),SUM(P789)*FLOOR(SUM(R789),0.0001),AND(P789&lt;&gt;"",R789&lt;&gt;"",RIGHT($N789,6)="tarief"),P789*FLOOR(R789,0.01),T789&gt;0,FLOOR(SUM(T789),0.01)),""),""),"")</f>
        <v/>
      </c>
      <c r="Y789" s="314" t="str">
        <f t="shared" ca="1" si="50"/>
        <v/>
      </c>
      <c r="Z789" s="314" t="str" cm="1">
        <f t="array" aca="1" ref="Z789" ca="1">IFERROR(_xlfn.IFS(OR(F789="",LEFT(Methode_Keuze,4)="Geen",Methode_Keuze=""),"",AND(W789&lt;&gt;"",F789&lt;&gt;"Arbeidskosten"),W789*VLOOKUP(F789,Tb_ProjectKosten[],MATCH(Tb_ProjectKosten[[#Headers],[Forfait_Percentage]],Tb_ProjectKosten[#Headers],0),0),AND(F789="Arbeidskosten",G789&lt;&gt;""),IFERROR(W789*VLOOKUP(G789,Tb_KostenTypen[],3,0)*VLOOKUP(F789,Tb_ProjectKosten[],MATCH(Tb_ProjectKosten[[#Headers],[Forfait_Percentage]],Tb_ProjectKosten[#Headers],0),0),""),W789 &lt;=0,0),"")</f>
        <v/>
      </c>
      <c r="AA789" s="314" t="str" cm="1">
        <f t="array" aca="1" ref="AA789" ca="1">IFERROR(_xlfn.IFS(OR(F789="",LEFT(Methode_Keuze,4)="Geen",Methode_Keuze=""),"",AND(X789&lt;&gt;"",F789&lt;&gt;"Arbeidskosten"),X789*VLOOKUP(F789,Tb_ProjectKosten[],MATCH(Tb_ProjectKosten[[#Headers],[Forfait_Percentage]],Tb_ProjectKosten[#Headers],0),0),AND(F789="Arbeidskosten",G789&lt;&gt;""),IFERROR(X789*VLOOKUP(G789,Tb_KostenTypen[],3,0)*VLOOKUP(F789,Tb_ProjectKosten[],MATCH(Tb_ProjectKosten[[#Headers],[Forfait_Percentage]],Tb_ProjectKosten[#Headers],0),0),""),X789 &lt;=0,0),"")</f>
        <v/>
      </c>
      <c r="AB789" s="314" t="str">
        <f t="shared" ca="1" si="51"/>
        <v/>
      </c>
      <c r="AC789" s="322"/>
      <c r="AD789" s="315"/>
      <c r="AE789" s="32" t="str" cm="1">
        <f t="array" ref="AE789">IFERROR(IF(INDEX(SubsidieTabel!$AD$1:$AG$12,MATCH($F789,SubsidieTabel!$AD$1:$AD$12,0),IFERROR(MATCH(Methode_Keuze,SubsidieTabel!$AD$1:$AG$1,0),2))&lt;&gt;1=TRUE,"ja",""),"")</f>
        <v/>
      </c>
    </row>
    <row r="790" spans="1:31" x14ac:dyDescent="0.25">
      <c r="A790" s="316"/>
      <c r="B790" s="317" t="str">
        <f>IF(A790&lt;&gt;"",_xlfn.MAXIFS($B$1:B789,$A$1:A789,A790)+1,"")</f>
        <v/>
      </c>
      <c r="C790" s="296"/>
      <c r="D790" s="296"/>
      <c r="E790" s="296"/>
      <c r="F790" s="296"/>
      <c r="G790" s="326"/>
      <c r="H790" s="324"/>
      <c r="I790" s="325"/>
      <c r="J790" s="325"/>
      <c r="K790" s="318"/>
      <c r="L790" s="318"/>
      <c r="M790" s="319" t="str">
        <f>IFERROR(VLOOKUP(H790,Lijsten!$H$1:$I$100,2,0),"")</f>
        <v/>
      </c>
      <c r="N790" s="319" t="str">
        <f ca="1">IFERROR(IF(VLOOKUP(F790,Kostentypen!$A$3:$E$21,3,0)=0,"",IF(OR(F790="Arbeidskosten",F790="Vergoeding"),VLOOKUP(G790,Tb_KostenTypen[],2,0),VLOOKUP(F790,Kostentypen!$A$3:$E$20,3,0))),"")</f>
        <v/>
      </c>
      <c r="O790" s="320" t="str" cm="1">
        <f t="array" ref="O790">_xlfn.IFNA(IF(INDEX(Tb_KostenOptiesDB[],MATCH($F790,Tb_KostenOptiesDB[KostenOptie],0),IFERROR(MATCH(Methode_Keuze,Tb_KostenOptiesDB[#Headers],0),2))=1,_xlfn.SWITCH($N790,"Uurtarief",IF(OR(AND(RIGHT($F790,3)="IKS",VLOOKUP($M790,DB_Loonkosten,2,0)="Ja"),AND(RIGHT($F790,3)&lt;&gt;"IKS",VLOOKUP($M790,DB_Loonkosten,2,0)="Nee")),IFERROR(VLOOKUP($M790,DB_Loonkosten,24,0),""),0),"Vast tarief",IF(LEFT(F790,8)="Bijdrage",VLOOKUP($F790,Tb_KostenTypen[],MATCH(Lijsten!$P$1,Tb_KostenTypen[#Headers],0),0),VLOOKUP($G790,Lijsten!L:P,MATCH(Lijsten!$P$1,Kop_Tarief_Vast,0),0))),""),"")</f>
        <v/>
      </c>
      <c r="P790" s="320" t="str" cm="1">
        <f t="array" ref="P790">_xlfn.IFNA(IF(INDEX(Tb_KostenOptiesDB[],MATCH($F790,Tb_KostenOptiesDB[KostenOptie],0),IFERROR(MATCH(Methode_Keuze,Tb_KostenOptiesDB[#Headers],0),2))=1,_xlfn.SWITCH($N790,"Uurtarief",IF(OR(AND(RIGHT($F790,3)="IKS",VLOOKUP($M790,DB_Loonkosten,2,0)="Ja"),AND(RIGHT($F790,3)&lt;&gt;"IKS",VLOOKUP($M790,DB_Loonkosten,2,0)="Nee")),IFERROR(VLOOKUP($M790,DB_Loonkosten,25,0),""),0),"Vast tarief",IF(LEFT(F790,8)="Bijdrage",VLOOKUP($F790,Tb_KostenTypen[],MATCH(Lijsten!$P$1,Tb_KostenTypen[#Headers],0),0),VLOOKUP($G790,Lijsten!L:P,MATCH(Lijsten!$P$1,Kop_Tarief_Vast,0),0))),""),"")</f>
        <v/>
      </c>
      <c r="Q790" s="359"/>
      <c r="R790" s="359"/>
      <c r="S790" s="321"/>
      <c r="T790" s="321"/>
      <c r="U790" s="373" t="str">
        <f t="shared" si="48"/>
        <v/>
      </c>
      <c r="V790" s="314" t="str">
        <f t="shared" si="49"/>
        <v/>
      </c>
      <c r="W790" s="314" t="str" cm="1">
        <f t="array" aca="1" ref="W790" ca="1">IFERROR(IF(AE790&lt;&gt;"ja",_xlfn.IFNA(_xlfn.IFS(AND(O790&lt;&gt;"",F790&lt;&gt;"",RIGHT($N790,6)="tarief",F790="Vergoeding"),SUM(O790)*FLOOR(SUM(Q790),0.0001),AND(O790&lt;&gt;"",F790&lt;&gt;"",RIGHT($N790,6)="tarief"),SUM(O790)*FLOOR(SUM(Q790),0.01),S790&gt;0,IF(F790&lt;&gt;"",FLOOR(SUM(S790),0.01),"")),""),""),"")</f>
        <v/>
      </c>
      <c r="X790" s="314" t="str" cm="1">
        <f t="array" aca="1" ref="X790" ca="1">IFERROR(IF(AE790&lt;&gt;"ja",_xlfn.IFNA(_xlfn.IFS(AND(P790&lt;&gt;"",R790&lt;&gt;"",RIGHT($N790,6)="tarief",F790="Vergoeding"),SUM(P790)*FLOOR(SUM(R790),0.0001),AND(P790&lt;&gt;"",R790&lt;&gt;"",RIGHT($N790,6)="tarief"),P790*FLOOR(R790,0.01),T790&gt;0,FLOOR(SUM(T790),0.01)),""),""),"")</f>
        <v/>
      </c>
      <c r="Y790" s="314" t="str">
        <f t="shared" ca="1" si="50"/>
        <v/>
      </c>
      <c r="Z790" s="314" t="str" cm="1">
        <f t="array" aca="1" ref="Z790" ca="1">IFERROR(_xlfn.IFS(OR(F790="",LEFT(Methode_Keuze,4)="Geen",Methode_Keuze=""),"",AND(W790&lt;&gt;"",F790&lt;&gt;"Arbeidskosten"),W790*VLOOKUP(F790,Tb_ProjectKosten[],MATCH(Tb_ProjectKosten[[#Headers],[Forfait_Percentage]],Tb_ProjectKosten[#Headers],0),0),AND(F790="Arbeidskosten",G790&lt;&gt;""),IFERROR(W790*VLOOKUP(G790,Tb_KostenTypen[],3,0)*VLOOKUP(F790,Tb_ProjectKosten[],MATCH(Tb_ProjectKosten[[#Headers],[Forfait_Percentage]],Tb_ProjectKosten[#Headers],0),0),""),W790 &lt;=0,0),"")</f>
        <v/>
      </c>
      <c r="AA790" s="314" t="str" cm="1">
        <f t="array" aca="1" ref="AA790" ca="1">IFERROR(_xlfn.IFS(OR(F790="",LEFT(Methode_Keuze,4)="Geen",Methode_Keuze=""),"",AND(X790&lt;&gt;"",F790&lt;&gt;"Arbeidskosten"),X790*VLOOKUP(F790,Tb_ProjectKosten[],MATCH(Tb_ProjectKosten[[#Headers],[Forfait_Percentage]],Tb_ProjectKosten[#Headers],0),0),AND(F790="Arbeidskosten",G790&lt;&gt;""),IFERROR(X790*VLOOKUP(G790,Tb_KostenTypen[],3,0)*VLOOKUP(F790,Tb_ProjectKosten[],MATCH(Tb_ProjectKosten[[#Headers],[Forfait_Percentage]],Tb_ProjectKosten[#Headers],0),0),""),X790 &lt;=0,0),"")</f>
        <v/>
      </c>
      <c r="AB790" s="314" t="str">
        <f t="shared" ca="1" si="51"/>
        <v/>
      </c>
      <c r="AC790" s="322"/>
      <c r="AD790" s="315"/>
      <c r="AE790" s="32" t="str" cm="1">
        <f t="array" ref="AE790">IFERROR(IF(INDEX(SubsidieTabel!$AD$1:$AG$12,MATCH($F790,SubsidieTabel!$AD$1:$AD$12,0),IFERROR(MATCH(Methode_Keuze,SubsidieTabel!$AD$1:$AG$1,0),2))&lt;&gt;1=TRUE,"ja",""),"")</f>
        <v/>
      </c>
    </row>
    <row r="791" spans="1:31" x14ac:dyDescent="0.25">
      <c r="A791" s="316"/>
      <c r="B791" s="317" t="str">
        <f>IF(A791&lt;&gt;"",_xlfn.MAXIFS($B$1:B790,$A$1:A790,A791)+1,"")</f>
        <v/>
      </c>
      <c r="C791" s="296"/>
      <c r="D791" s="296"/>
      <c r="E791" s="296"/>
      <c r="F791" s="296"/>
      <c r="G791" s="326"/>
      <c r="H791" s="324"/>
      <c r="I791" s="325"/>
      <c r="J791" s="325"/>
      <c r="K791" s="318"/>
      <c r="L791" s="318"/>
      <c r="M791" s="319" t="str">
        <f>IFERROR(VLOOKUP(H791,Lijsten!$H$1:$I$100,2,0),"")</f>
        <v/>
      </c>
      <c r="N791" s="319" t="str">
        <f ca="1">IFERROR(IF(VLOOKUP(F791,Kostentypen!$A$3:$E$21,3,0)=0,"",IF(OR(F791="Arbeidskosten",F791="Vergoeding"),VLOOKUP(G791,Tb_KostenTypen[],2,0),VLOOKUP(F791,Kostentypen!$A$3:$E$20,3,0))),"")</f>
        <v/>
      </c>
      <c r="O791" s="320" t="str" cm="1">
        <f t="array" ref="O791">_xlfn.IFNA(IF(INDEX(Tb_KostenOptiesDB[],MATCH($F791,Tb_KostenOptiesDB[KostenOptie],0),IFERROR(MATCH(Methode_Keuze,Tb_KostenOptiesDB[#Headers],0),2))=1,_xlfn.SWITCH($N791,"Uurtarief",IF(OR(AND(RIGHT($F791,3)="IKS",VLOOKUP($M791,DB_Loonkosten,2,0)="Ja"),AND(RIGHT($F791,3)&lt;&gt;"IKS",VLOOKUP($M791,DB_Loonkosten,2,0)="Nee")),IFERROR(VLOOKUP($M791,DB_Loonkosten,24,0),""),0),"Vast tarief",IF(LEFT(F791,8)="Bijdrage",VLOOKUP($F791,Tb_KostenTypen[],MATCH(Lijsten!$P$1,Tb_KostenTypen[#Headers],0),0),VLOOKUP($G791,Lijsten!L:P,MATCH(Lijsten!$P$1,Kop_Tarief_Vast,0),0))),""),"")</f>
        <v/>
      </c>
      <c r="P791" s="320" t="str" cm="1">
        <f t="array" ref="P791">_xlfn.IFNA(IF(INDEX(Tb_KostenOptiesDB[],MATCH($F791,Tb_KostenOptiesDB[KostenOptie],0),IFERROR(MATCH(Methode_Keuze,Tb_KostenOptiesDB[#Headers],0),2))=1,_xlfn.SWITCH($N791,"Uurtarief",IF(OR(AND(RIGHT($F791,3)="IKS",VLOOKUP($M791,DB_Loonkosten,2,0)="Ja"),AND(RIGHT($F791,3)&lt;&gt;"IKS",VLOOKUP($M791,DB_Loonkosten,2,0)="Nee")),IFERROR(VLOOKUP($M791,DB_Loonkosten,25,0),""),0),"Vast tarief",IF(LEFT(F791,8)="Bijdrage",VLOOKUP($F791,Tb_KostenTypen[],MATCH(Lijsten!$P$1,Tb_KostenTypen[#Headers],0),0),VLOOKUP($G791,Lijsten!L:P,MATCH(Lijsten!$P$1,Kop_Tarief_Vast,0),0))),""),"")</f>
        <v/>
      </c>
      <c r="Q791" s="359"/>
      <c r="R791" s="359"/>
      <c r="S791" s="321"/>
      <c r="T791" s="321"/>
      <c r="U791" s="373" t="str">
        <f t="shared" si="48"/>
        <v/>
      </c>
      <c r="V791" s="314" t="str">
        <f t="shared" si="49"/>
        <v/>
      </c>
      <c r="W791" s="314" t="str" cm="1">
        <f t="array" aca="1" ref="W791" ca="1">IFERROR(IF(AE791&lt;&gt;"ja",_xlfn.IFNA(_xlfn.IFS(AND(O791&lt;&gt;"",F791&lt;&gt;"",RIGHT($N791,6)="tarief",F791="Vergoeding"),SUM(O791)*FLOOR(SUM(Q791),0.0001),AND(O791&lt;&gt;"",F791&lt;&gt;"",RIGHT($N791,6)="tarief"),SUM(O791)*FLOOR(SUM(Q791),0.01),S791&gt;0,IF(F791&lt;&gt;"",FLOOR(SUM(S791),0.01),"")),""),""),"")</f>
        <v/>
      </c>
      <c r="X791" s="314" t="str" cm="1">
        <f t="array" aca="1" ref="X791" ca="1">IFERROR(IF(AE791&lt;&gt;"ja",_xlfn.IFNA(_xlfn.IFS(AND(P791&lt;&gt;"",R791&lt;&gt;"",RIGHT($N791,6)="tarief",F791="Vergoeding"),SUM(P791)*FLOOR(SUM(R791),0.0001),AND(P791&lt;&gt;"",R791&lt;&gt;"",RIGHT($N791,6)="tarief"),P791*FLOOR(R791,0.01),T791&gt;0,FLOOR(SUM(T791),0.01)),""),""),"")</f>
        <v/>
      </c>
      <c r="Y791" s="314" t="str">
        <f t="shared" ca="1" si="50"/>
        <v/>
      </c>
      <c r="Z791" s="314" t="str" cm="1">
        <f t="array" aca="1" ref="Z791" ca="1">IFERROR(_xlfn.IFS(OR(F791="",LEFT(Methode_Keuze,4)="Geen",Methode_Keuze=""),"",AND(W791&lt;&gt;"",F791&lt;&gt;"Arbeidskosten"),W791*VLOOKUP(F791,Tb_ProjectKosten[],MATCH(Tb_ProjectKosten[[#Headers],[Forfait_Percentage]],Tb_ProjectKosten[#Headers],0),0),AND(F791="Arbeidskosten",G791&lt;&gt;""),IFERROR(W791*VLOOKUP(G791,Tb_KostenTypen[],3,0)*VLOOKUP(F791,Tb_ProjectKosten[],MATCH(Tb_ProjectKosten[[#Headers],[Forfait_Percentage]],Tb_ProjectKosten[#Headers],0),0),""),W791 &lt;=0,0),"")</f>
        <v/>
      </c>
      <c r="AA791" s="314" t="str" cm="1">
        <f t="array" aca="1" ref="AA791" ca="1">IFERROR(_xlfn.IFS(OR(F791="",LEFT(Methode_Keuze,4)="Geen",Methode_Keuze=""),"",AND(X791&lt;&gt;"",F791&lt;&gt;"Arbeidskosten"),X791*VLOOKUP(F791,Tb_ProjectKosten[],MATCH(Tb_ProjectKosten[[#Headers],[Forfait_Percentage]],Tb_ProjectKosten[#Headers],0),0),AND(F791="Arbeidskosten",G791&lt;&gt;""),IFERROR(X791*VLOOKUP(G791,Tb_KostenTypen[],3,0)*VLOOKUP(F791,Tb_ProjectKosten[],MATCH(Tb_ProjectKosten[[#Headers],[Forfait_Percentage]],Tb_ProjectKosten[#Headers],0),0),""),X791 &lt;=0,0),"")</f>
        <v/>
      </c>
      <c r="AB791" s="314" t="str">
        <f t="shared" ca="1" si="51"/>
        <v/>
      </c>
      <c r="AC791" s="322"/>
      <c r="AD791" s="315"/>
      <c r="AE791" s="32" t="str" cm="1">
        <f t="array" ref="AE791">IFERROR(IF(INDEX(SubsidieTabel!$AD$1:$AG$12,MATCH($F791,SubsidieTabel!$AD$1:$AD$12,0),IFERROR(MATCH(Methode_Keuze,SubsidieTabel!$AD$1:$AG$1,0),2))&lt;&gt;1=TRUE,"ja",""),"")</f>
        <v/>
      </c>
    </row>
    <row r="792" spans="1:31" x14ac:dyDescent="0.25">
      <c r="A792" s="316"/>
      <c r="B792" s="317" t="str">
        <f>IF(A792&lt;&gt;"",_xlfn.MAXIFS($B$1:B791,$A$1:A791,A792)+1,"")</f>
        <v/>
      </c>
      <c r="C792" s="296"/>
      <c r="D792" s="296"/>
      <c r="E792" s="296"/>
      <c r="F792" s="296"/>
      <c r="G792" s="326"/>
      <c r="H792" s="324"/>
      <c r="I792" s="325"/>
      <c r="J792" s="325"/>
      <c r="K792" s="318"/>
      <c r="L792" s="318"/>
      <c r="M792" s="319" t="str">
        <f>IFERROR(VLOOKUP(H792,Lijsten!$H$1:$I$100,2,0),"")</f>
        <v/>
      </c>
      <c r="N792" s="319" t="str">
        <f ca="1">IFERROR(IF(VLOOKUP(F792,Kostentypen!$A$3:$E$21,3,0)=0,"",IF(OR(F792="Arbeidskosten",F792="Vergoeding"),VLOOKUP(G792,Tb_KostenTypen[],2,0),VLOOKUP(F792,Kostentypen!$A$3:$E$20,3,0))),"")</f>
        <v/>
      </c>
      <c r="O792" s="320" t="str" cm="1">
        <f t="array" ref="O792">_xlfn.IFNA(IF(INDEX(Tb_KostenOptiesDB[],MATCH($F792,Tb_KostenOptiesDB[KostenOptie],0),IFERROR(MATCH(Methode_Keuze,Tb_KostenOptiesDB[#Headers],0),2))=1,_xlfn.SWITCH($N792,"Uurtarief",IF(OR(AND(RIGHT($F792,3)="IKS",VLOOKUP($M792,DB_Loonkosten,2,0)="Ja"),AND(RIGHT($F792,3)&lt;&gt;"IKS",VLOOKUP($M792,DB_Loonkosten,2,0)="Nee")),IFERROR(VLOOKUP($M792,DB_Loonkosten,24,0),""),0),"Vast tarief",IF(LEFT(F792,8)="Bijdrage",VLOOKUP($F792,Tb_KostenTypen[],MATCH(Lijsten!$P$1,Tb_KostenTypen[#Headers],0),0),VLOOKUP($G792,Lijsten!L:P,MATCH(Lijsten!$P$1,Kop_Tarief_Vast,0),0))),""),"")</f>
        <v/>
      </c>
      <c r="P792" s="320" t="str" cm="1">
        <f t="array" ref="P792">_xlfn.IFNA(IF(INDEX(Tb_KostenOptiesDB[],MATCH($F792,Tb_KostenOptiesDB[KostenOptie],0),IFERROR(MATCH(Methode_Keuze,Tb_KostenOptiesDB[#Headers],0),2))=1,_xlfn.SWITCH($N792,"Uurtarief",IF(OR(AND(RIGHT($F792,3)="IKS",VLOOKUP($M792,DB_Loonkosten,2,0)="Ja"),AND(RIGHT($F792,3)&lt;&gt;"IKS",VLOOKUP($M792,DB_Loonkosten,2,0)="Nee")),IFERROR(VLOOKUP($M792,DB_Loonkosten,25,0),""),0),"Vast tarief",IF(LEFT(F792,8)="Bijdrage",VLOOKUP($F792,Tb_KostenTypen[],MATCH(Lijsten!$P$1,Tb_KostenTypen[#Headers],0),0),VLOOKUP($G792,Lijsten!L:P,MATCH(Lijsten!$P$1,Kop_Tarief_Vast,0),0))),""),"")</f>
        <v/>
      </c>
      <c r="Q792" s="359"/>
      <c r="R792" s="359"/>
      <c r="S792" s="321"/>
      <c r="T792" s="321"/>
      <c r="U792" s="373" t="str">
        <f t="shared" si="48"/>
        <v/>
      </c>
      <c r="V792" s="314" t="str">
        <f t="shared" si="49"/>
        <v/>
      </c>
      <c r="W792" s="314" t="str" cm="1">
        <f t="array" aca="1" ref="W792" ca="1">IFERROR(IF(AE792&lt;&gt;"ja",_xlfn.IFNA(_xlfn.IFS(AND(O792&lt;&gt;"",F792&lt;&gt;"",RIGHT($N792,6)="tarief",F792="Vergoeding"),SUM(O792)*FLOOR(SUM(Q792),0.0001),AND(O792&lt;&gt;"",F792&lt;&gt;"",RIGHT($N792,6)="tarief"),SUM(O792)*FLOOR(SUM(Q792),0.01),S792&gt;0,IF(F792&lt;&gt;"",FLOOR(SUM(S792),0.01),"")),""),""),"")</f>
        <v/>
      </c>
      <c r="X792" s="314" t="str" cm="1">
        <f t="array" aca="1" ref="X792" ca="1">IFERROR(IF(AE792&lt;&gt;"ja",_xlfn.IFNA(_xlfn.IFS(AND(P792&lt;&gt;"",R792&lt;&gt;"",RIGHT($N792,6)="tarief",F792="Vergoeding"),SUM(P792)*FLOOR(SUM(R792),0.0001),AND(P792&lt;&gt;"",R792&lt;&gt;"",RIGHT($N792,6)="tarief"),P792*FLOOR(R792,0.01),T792&gt;0,FLOOR(SUM(T792),0.01)),""),""),"")</f>
        <v/>
      </c>
      <c r="Y792" s="314" t="str">
        <f t="shared" ca="1" si="50"/>
        <v/>
      </c>
      <c r="Z792" s="314" t="str" cm="1">
        <f t="array" aca="1" ref="Z792" ca="1">IFERROR(_xlfn.IFS(OR(F792="",LEFT(Methode_Keuze,4)="Geen",Methode_Keuze=""),"",AND(W792&lt;&gt;"",F792&lt;&gt;"Arbeidskosten"),W792*VLOOKUP(F792,Tb_ProjectKosten[],MATCH(Tb_ProjectKosten[[#Headers],[Forfait_Percentage]],Tb_ProjectKosten[#Headers],0),0),AND(F792="Arbeidskosten",G792&lt;&gt;""),IFERROR(W792*VLOOKUP(G792,Tb_KostenTypen[],3,0)*VLOOKUP(F792,Tb_ProjectKosten[],MATCH(Tb_ProjectKosten[[#Headers],[Forfait_Percentage]],Tb_ProjectKosten[#Headers],0),0),""),W792 &lt;=0,0),"")</f>
        <v/>
      </c>
      <c r="AA792" s="314" t="str" cm="1">
        <f t="array" aca="1" ref="AA792" ca="1">IFERROR(_xlfn.IFS(OR(F792="",LEFT(Methode_Keuze,4)="Geen",Methode_Keuze=""),"",AND(X792&lt;&gt;"",F792&lt;&gt;"Arbeidskosten"),X792*VLOOKUP(F792,Tb_ProjectKosten[],MATCH(Tb_ProjectKosten[[#Headers],[Forfait_Percentage]],Tb_ProjectKosten[#Headers],0),0),AND(F792="Arbeidskosten",G792&lt;&gt;""),IFERROR(X792*VLOOKUP(G792,Tb_KostenTypen[],3,0)*VLOOKUP(F792,Tb_ProjectKosten[],MATCH(Tb_ProjectKosten[[#Headers],[Forfait_Percentage]],Tb_ProjectKosten[#Headers],0),0),""),X792 &lt;=0,0),"")</f>
        <v/>
      </c>
      <c r="AB792" s="314" t="str">
        <f t="shared" ca="1" si="51"/>
        <v/>
      </c>
      <c r="AC792" s="322"/>
      <c r="AD792" s="315"/>
      <c r="AE792" s="32" t="str" cm="1">
        <f t="array" ref="AE792">IFERROR(IF(INDEX(SubsidieTabel!$AD$1:$AG$12,MATCH($F792,SubsidieTabel!$AD$1:$AD$12,0),IFERROR(MATCH(Methode_Keuze,SubsidieTabel!$AD$1:$AG$1,0),2))&lt;&gt;1=TRUE,"ja",""),"")</f>
        <v/>
      </c>
    </row>
    <row r="793" spans="1:31" x14ac:dyDescent="0.25">
      <c r="A793" s="316"/>
      <c r="B793" s="317" t="str">
        <f>IF(A793&lt;&gt;"",_xlfn.MAXIFS($B$1:B792,$A$1:A792,A793)+1,"")</f>
        <v/>
      </c>
      <c r="C793" s="296"/>
      <c r="D793" s="296"/>
      <c r="E793" s="296"/>
      <c r="F793" s="296"/>
      <c r="G793" s="326"/>
      <c r="H793" s="324"/>
      <c r="I793" s="325"/>
      <c r="J793" s="325"/>
      <c r="K793" s="318"/>
      <c r="L793" s="318"/>
      <c r="M793" s="319" t="str">
        <f>IFERROR(VLOOKUP(H793,Lijsten!$H$1:$I$100,2,0),"")</f>
        <v/>
      </c>
      <c r="N793" s="319" t="str">
        <f ca="1">IFERROR(IF(VLOOKUP(F793,Kostentypen!$A$3:$E$21,3,0)=0,"",IF(OR(F793="Arbeidskosten",F793="Vergoeding"),VLOOKUP(G793,Tb_KostenTypen[],2,0),VLOOKUP(F793,Kostentypen!$A$3:$E$20,3,0))),"")</f>
        <v/>
      </c>
      <c r="O793" s="320" t="str" cm="1">
        <f t="array" ref="O793">_xlfn.IFNA(IF(INDEX(Tb_KostenOptiesDB[],MATCH($F793,Tb_KostenOptiesDB[KostenOptie],0),IFERROR(MATCH(Methode_Keuze,Tb_KostenOptiesDB[#Headers],0),2))=1,_xlfn.SWITCH($N793,"Uurtarief",IF(OR(AND(RIGHT($F793,3)="IKS",VLOOKUP($M793,DB_Loonkosten,2,0)="Ja"),AND(RIGHT($F793,3)&lt;&gt;"IKS",VLOOKUP($M793,DB_Loonkosten,2,0)="Nee")),IFERROR(VLOOKUP($M793,DB_Loonkosten,24,0),""),0),"Vast tarief",IF(LEFT(F793,8)="Bijdrage",VLOOKUP($F793,Tb_KostenTypen[],MATCH(Lijsten!$P$1,Tb_KostenTypen[#Headers],0),0),VLOOKUP($G793,Lijsten!L:P,MATCH(Lijsten!$P$1,Kop_Tarief_Vast,0),0))),""),"")</f>
        <v/>
      </c>
      <c r="P793" s="320" t="str" cm="1">
        <f t="array" ref="P793">_xlfn.IFNA(IF(INDEX(Tb_KostenOptiesDB[],MATCH($F793,Tb_KostenOptiesDB[KostenOptie],0),IFERROR(MATCH(Methode_Keuze,Tb_KostenOptiesDB[#Headers],0),2))=1,_xlfn.SWITCH($N793,"Uurtarief",IF(OR(AND(RIGHT($F793,3)="IKS",VLOOKUP($M793,DB_Loonkosten,2,0)="Ja"),AND(RIGHT($F793,3)&lt;&gt;"IKS",VLOOKUP($M793,DB_Loonkosten,2,0)="Nee")),IFERROR(VLOOKUP($M793,DB_Loonkosten,25,0),""),0),"Vast tarief",IF(LEFT(F793,8)="Bijdrage",VLOOKUP($F793,Tb_KostenTypen[],MATCH(Lijsten!$P$1,Tb_KostenTypen[#Headers],0),0),VLOOKUP($G793,Lijsten!L:P,MATCH(Lijsten!$P$1,Kop_Tarief_Vast,0),0))),""),"")</f>
        <v/>
      </c>
      <c r="Q793" s="359"/>
      <c r="R793" s="359"/>
      <c r="S793" s="321"/>
      <c r="T793" s="321"/>
      <c r="U793" s="373" t="str">
        <f t="shared" si="48"/>
        <v/>
      </c>
      <c r="V793" s="314" t="str">
        <f t="shared" si="49"/>
        <v/>
      </c>
      <c r="W793" s="314" t="str" cm="1">
        <f t="array" aca="1" ref="W793" ca="1">IFERROR(IF(AE793&lt;&gt;"ja",_xlfn.IFNA(_xlfn.IFS(AND(O793&lt;&gt;"",F793&lt;&gt;"",RIGHT($N793,6)="tarief",F793="Vergoeding"),SUM(O793)*FLOOR(SUM(Q793),0.0001),AND(O793&lt;&gt;"",F793&lt;&gt;"",RIGHT($N793,6)="tarief"),SUM(O793)*FLOOR(SUM(Q793),0.01),S793&gt;0,IF(F793&lt;&gt;"",FLOOR(SUM(S793),0.01),"")),""),""),"")</f>
        <v/>
      </c>
      <c r="X793" s="314" t="str" cm="1">
        <f t="array" aca="1" ref="X793" ca="1">IFERROR(IF(AE793&lt;&gt;"ja",_xlfn.IFNA(_xlfn.IFS(AND(P793&lt;&gt;"",R793&lt;&gt;"",RIGHT($N793,6)="tarief",F793="Vergoeding"),SUM(P793)*FLOOR(SUM(R793),0.0001),AND(P793&lt;&gt;"",R793&lt;&gt;"",RIGHT($N793,6)="tarief"),P793*FLOOR(R793,0.01),T793&gt;0,FLOOR(SUM(T793),0.01)),""),""),"")</f>
        <v/>
      </c>
      <c r="Y793" s="314" t="str">
        <f t="shared" ca="1" si="50"/>
        <v/>
      </c>
      <c r="Z793" s="314" t="str" cm="1">
        <f t="array" aca="1" ref="Z793" ca="1">IFERROR(_xlfn.IFS(OR(F793="",LEFT(Methode_Keuze,4)="Geen",Methode_Keuze=""),"",AND(W793&lt;&gt;"",F793&lt;&gt;"Arbeidskosten"),W793*VLOOKUP(F793,Tb_ProjectKosten[],MATCH(Tb_ProjectKosten[[#Headers],[Forfait_Percentage]],Tb_ProjectKosten[#Headers],0),0),AND(F793="Arbeidskosten",G793&lt;&gt;""),IFERROR(W793*VLOOKUP(G793,Tb_KostenTypen[],3,0)*VLOOKUP(F793,Tb_ProjectKosten[],MATCH(Tb_ProjectKosten[[#Headers],[Forfait_Percentage]],Tb_ProjectKosten[#Headers],0),0),""),W793 &lt;=0,0),"")</f>
        <v/>
      </c>
      <c r="AA793" s="314" t="str" cm="1">
        <f t="array" aca="1" ref="AA793" ca="1">IFERROR(_xlfn.IFS(OR(F793="",LEFT(Methode_Keuze,4)="Geen",Methode_Keuze=""),"",AND(X793&lt;&gt;"",F793&lt;&gt;"Arbeidskosten"),X793*VLOOKUP(F793,Tb_ProjectKosten[],MATCH(Tb_ProjectKosten[[#Headers],[Forfait_Percentage]],Tb_ProjectKosten[#Headers],0),0),AND(F793="Arbeidskosten",G793&lt;&gt;""),IFERROR(X793*VLOOKUP(G793,Tb_KostenTypen[],3,0)*VLOOKUP(F793,Tb_ProjectKosten[],MATCH(Tb_ProjectKosten[[#Headers],[Forfait_Percentage]],Tb_ProjectKosten[#Headers],0),0),""),X793 &lt;=0,0),"")</f>
        <v/>
      </c>
      <c r="AB793" s="314" t="str">
        <f t="shared" ca="1" si="51"/>
        <v/>
      </c>
      <c r="AC793" s="322"/>
      <c r="AD793" s="315"/>
      <c r="AE793" s="32" t="str" cm="1">
        <f t="array" ref="AE793">IFERROR(IF(INDEX(SubsidieTabel!$AD$1:$AG$12,MATCH($F793,SubsidieTabel!$AD$1:$AD$12,0),IFERROR(MATCH(Methode_Keuze,SubsidieTabel!$AD$1:$AG$1,0),2))&lt;&gt;1=TRUE,"ja",""),"")</f>
        <v/>
      </c>
    </row>
    <row r="794" spans="1:31" x14ac:dyDescent="0.25">
      <c r="A794" s="316"/>
      <c r="B794" s="317" t="str">
        <f>IF(A794&lt;&gt;"",_xlfn.MAXIFS($B$1:B793,$A$1:A793,A794)+1,"")</f>
        <v/>
      </c>
      <c r="C794" s="296"/>
      <c r="D794" s="296"/>
      <c r="E794" s="296"/>
      <c r="F794" s="296"/>
      <c r="G794" s="326"/>
      <c r="H794" s="324"/>
      <c r="I794" s="325"/>
      <c r="J794" s="325"/>
      <c r="K794" s="318"/>
      <c r="L794" s="318"/>
      <c r="M794" s="319" t="str">
        <f>IFERROR(VLOOKUP(H794,Lijsten!$H$1:$I$100,2,0),"")</f>
        <v/>
      </c>
      <c r="N794" s="319" t="str">
        <f ca="1">IFERROR(IF(VLOOKUP(F794,Kostentypen!$A$3:$E$21,3,0)=0,"",IF(OR(F794="Arbeidskosten",F794="Vergoeding"),VLOOKUP(G794,Tb_KostenTypen[],2,0),VLOOKUP(F794,Kostentypen!$A$3:$E$20,3,0))),"")</f>
        <v/>
      </c>
      <c r="O794" s="320" t="str" cm="1">
        <f t="array" ref="O794">_xlfn.IFNA(IF(INDEX(Tb_KostenOptiesDB[],MATCH($F794,Tb_KostenOptiesDB[KostenOptie],0),IFERROR(MATCH(Methode_Keuze,Tb_KostenOptiesDB[#Headers],0),2))=1,_xlfn.SWITCH($N794,"Uurtarief",IF(OR(AND(RIGHT($F794,3)="IKS",VLOOKUP($M794,DB_Loonkosten,2,0)="Ja"),AND(RIGHT($F794,3)&lt;&gt;"IKS",VLOOKUP($M794,DB_Loonkosten,2,0)="Nee")),IFERROR(VLOOKUP($M794,DB_Loonkosten,24,0),""),0),"Vast tarief",IF(LEFT(F794,8)="Bijdrage",VLOOKUP($F794,Tb_KostenTypen[],MATCH(Lijsten!$P$1,Tb_KostenTypen[#Headers],0),0),VLOOKUP($G794,Lijsten!L:P,MATCH(Lijsten!$P$1,Kop_Tarief_Vast,0),0))),""),"")</f>
        <v/>
      </c>
      <c r="P794" s="320" t="str" cm="1">
        <f t="array" ref="P794">_xlfn.IFNA(IF(INDEX(Tb_KostenOptiesDB[],MATCH($F794,Tb_KostenOptiesDB[KostenOptie],0),IFERROR(MATCH(Methode_Keuze,Tb_KostenOptiesDB[#Headers],0),2))=1,_xlfn.SWITCH($N794,"Uurtarief",IF(OR(AND(RIGHT($F794,3)="IKS",VLOOKUP($M794,DB_Loonkosten,2,0)="Ja"),AND(RIGHT($F794,3)&lt;&gt;"IKS",VLOOKUP($M794,DB_Loonkosten,2,0)="Nee")),IFERROR(VLOOKUP($M794,DB_Loonkosten,25,0),""),0),"Vast tarief",IF(LEFT(F794,8)="Bijdrage",VLOOKUP($F794,Tb_KostenTypen[],MATCH(Lijsten!$P$1,Tb_KostenTypen[#Headers],0),0),VLOOKUP($G794,Lijsten!L:P,MATCH(Lijsten!$P$1,Kop_Tarief_Vast,0),0))),""),"")</f>
        <v/>
      </c>
      <c r="Q794" s="359"/>
      <c r="R794" s="359"/>
      <c r="S794" s="321"/>
      <c r="T794" s="321"/>
      <c r="U794" s="373" t="str">
        <f t="shared" si="48"/>
        <v/>
      </c>
      <c r="V794" s="314" t="str">
        <f t="shared" si="49"/>
        <v/>
      </c>
      <c r="W794" s="314" t="str" cm="1">
        <f t="array" aca="1" ref="W794" ca="1">IFERROR(IF(AE794&lt;&gt;"ja",_xlfn.IFNA(_xlfn.IFS(AND(O794&lt;&gt;"",F794&lt;&gt;"",RIGHT($N794,6)="tarief",F794="Vergoeding"),SUM(O794)*FLOOR(SUM(Q794),0.0001),AND(O794&lt;&gt;"",F794&lt;&gt;"",RIGHT($N794,6)="tarief"),SUM(O794)*FLOOR(SUM(Q794),0.01),S794&gt;0,IF(F794&lt;&gt;"",FLOOR(SUM(S794),0.01),"")),""),""),"")</f>
        <v/>
      </c>
      <c r="X794" s="314" t="str" cm="1">
        <f t="array" aca="1" ref="X794" ca="1">IFERROR(IF(AE794&lt;&gt;"ja",_xlfn.IFNA(_xlfn.IFS(AND(P794&lt;&gt;"",R794&lt;&gt;"",RIGHT($N794,6)="tarief",F794="Vergoeding"),SUM(P794)*FLOOR(SUM(R794),0.0001),AND(P794&lt;&gt;"",R794&lt;&gt;"",RIGHT($N794,6)="tarief"),P794*FLOOR(R794,0.01),T794&gt;0,FLOOR(SUM(T794),0.01)),""),""),"")</f>
        <v/>
      </c>
      <c r="Y794" s="314" t="str">
        <f t="shared" ca="1" si="50"/>
        <v/>
      </c>
      <c r="Z794" s="314" t="str" cm="1">
        <f t="array" aca="1" ref="Z794" ca="1">IFERROR(_xlfn.IFS(OR(F794="",LEFT(Methode_Keuze,4)="Geen",Methode_Keuze=""),"",AND(W794&lt;&gt;"",F794&lt;&gt;"Arbeidskosten"),W794*VLOOKUP(F794,Tb_ProjectKosten[],MATCH(Tb_ProjectKosten[[#Headers],[Forfait_Percentage]],Tb_ProjectKosten[#Headers],0),0),AND(F794="Arbeidskosten",G794&lt;&gt;""),IFERROR(W794*VLOOKUP(G794,Tb_KostenTypen[],3,0)*VLOOKUP(F794,Tb_ProjectKosten[],MATCH(Tb_ProjectKosten[[#Headers],[Forfait_Percentage]],Tb_ProjectKosten[#Headers],0),0),""),W794 &lt;=0,0),"")</f>
        <v/>
      </c>
      <c r="AA794" s="314" t="str" cm="1">
        <f t="array" aca="1" ref="AA794" ca="1">IFERROR(_xlfn.IFS(OR(F794="",LEFT(Methode_Keuze,4)="Geen",Methode_Keuze=""),"",AND(X794&lt;&gt;"",F794&lt;&gt;"Arbeidskosten"),X794*VLOOKUP(F794,Tb_ProjectKosten[],MATCH(Tb_ProjectKosten[[#Headers],[Forfait_Percentage]],Tb_ProjectKosten[#Headers],0),0),AND(F794="Arbeidskosten",G794&lt;&gt;""),IFERROR(X794*VLOOKUP(G794,Tb_KostenTypen[],3,0)*VLOOKUP(F794,Tb_ProjectKosten[],MATCH(Tb_ProjectKosten[[#Headers],[Forfait_Percentage]],Tb_ProjectKosten[#Headers],0),0),""),X794 &lt;=0,0),"")</f>
        <v/>
      </c>
      <c r="AB794" s="314" t="str">
        <f t="shared" ca="1" si="51"/>
        <v/>
      </c>
      <c r="AC794" s="322"/>
      <c r="AD794" s="315"/>
      <c r="AE794" s="32" t="str" cm="1">
        <f t="array" ref="AE794">IFERROR(IF(INDEX(SubsidieTabel!$AD$1:$AG$12,MATCH($F794,SubsidieTabel!$AD$1:$AD$12,0),IFERROR(MATCH(Methode_Keuze,SubsidieTabel!$AD$1:$AG$1,0),2))&lt;&gt;1=TRUE,"ja",""),"")</f>
        <v/>
      </c>
    </row>
    <row r="795" spans="1:31" x14ac:dyDescent="0.25">
      <c r="A795" s="316"/>
      <c r="B795" s="317" t="str">
        <f>IF(A795&lt;&gt;"",_xlfn.MAXIFS($B$1:B794,$A$1:A794,A795)+1,"")</f>
        <v/>
      </c>
      <c r="C795" s="296"/>
      <c r="D795" s="296"/>
      <c r="E795" s="296"/>
      <c r="F795" s="296"/>
      <c r="G795" s="326"/>
      <c r="H795" s="324"/>
      <c r="I795" s="325"/>
      <c r="J795" s="325"/>
      <c r="K795" s="318"/>
      <c r="L795" s="318"/>
      <c r="M795" s="319" t="str">
        <f>IFERROR(VLOOKUP(H795,Lijsten!$H$1:$I$100,2,0),"")</f>
        <v/>
      </c>
      <c r="N795" s="319" t="str">
        <f ca="1">IFERROR(IF(VLOOKUP(F795,Kostentypen!$A$3:$E$21,3,0)=0,"",IF(OR(F795="Arbeidskosten",F795="Vergoeding"),VLOOKUP(G795,Tb_KostenTypen[],2,0),VLOOKUP(F795,Kostentypen!$A$3:$E$20,3,0))),"")</f>
        <v/>
      </c>
      <c r="O795" s="320" t="str" cm="1">
        <f t="array" ref="O795">_xlfn.IFNA(IF(INDEX(Tb_KostenOptiesDB[],MATCH($F795,Tb_KostenOptiesDB[KostenOptie],0),IFERROR(MATCH(Methode_Keuze,Tb_KostenOptiesDB[#Headers],0),2))=1,_xlfn.SWITCH($N795,"Uurtarief",IF(OR(AND(RIGHT($F795,3)="IKS",VLOOKUP($M795,DB_Loonkosten,2,0)="Ja"),AND(RIGHT($F795,3)&lt;&gt;"IKS",VLOOKUP($M795,DB_Loonkosten,2,0)="Nee")),IFERROR(VLOOKUP($M795,DB_Loonkosten,24,0),""),0),"Vast tarief",IF(LEFT(F795,8)="Bijdrage",VLOOKUP($F795,Tb_KostenTypen[],MATCH(Lijsten!$P$1,Tb_KostenTypen[#Headers],0),0),VLOOKUP($G795,Lijsten!L:P,MATCH(Lijsten!$P$1,Kop_Tarief_Vast,0),0))),""),"")</f>
        <v/>
      </c>
      <c r="P795" s="320" t="str" cm="1">
        <f t="array" ref="P795">_xlfn.IFNA(IF(INDEX(Tb_KostenOptiesDB[],MATCH($F795,Tb_KostenOptiesDB[KostenOptie],0),IFERROR(MATCH(Methode_Keuze,Tb_KostenOptiesDB[#Headers],0),2))=1,_xlfn.SWITCH($N795,"Uurtarief",IF(OR(AND(RIGHT($F795,3)="IKS",VLOOKUP($M795,DB_Loonkosten,2,0)="Ja"),AND(RIGHT($F795,3)&lt;&gt;"IKS",VLOOKUP($M795,DB_Loonkosten,2,0)="Nee")),IFERROR(VLOOKUP($M795,DB_Loonkosten,25,0),""),0),"Vast tarief",IF(LEFT(F795,8)="Bijdrage",VLOOKUP($F795,Tb_KostenTypen[],MATCH(Lijsten!$P$1,Tb_KostenTypen[#Headers],0),0),VLOOKUP($G795,Lijsten!L:P,MATCH(Lijsten!$P$1,Kop_Tarief_Vast,0),0))),""),"")</f>
        <v/>
      </c>
      <c r="Q795" s="359"/>
      <c r="R795" s="359"/>
      <c r="S795" s="321"/>
      <c r="T795" s="321"/>
      <c r="U795" s="373" t="str">
        <f t="shared" si="48"/>
        <v/>
      </c>
      <c r="V795" s="314" t="str">
        <f t="shared" si="49"/>
        <v/>
      </c>
      <c r="W795" s="314" t="str" cm="1">
        <f t="array" aca="1" ref="W795" ca="1">IFERROR(IF(AE795&lt;&gt;"ja",_xlfn.IFNA(_xlfn.IFS(AND(O795&lt;&gt;"",F795&lt;&gt;"",RIGHT($N795,6)="tarief",F795="Vergoeding"),SUM(O795)*FLOOR(SUM(Q795),0.0001),AND(O795&lt;&gt;"",F795&lt;&gt;"",RIGHT($N795,6)="tarief"),SUM(O795)*FLOOR(SUM(Q795),0.01),S795&gt;0,IF(F795&lt;&gt;"",FLOOR(SUM(S795),0.01),"")),""),""),"")</f>
        <v/>
      </c>
      <c r="X795" s="314" t="str" cm="1">
        <f t="array" aca="1" ref="X795" ca="1">IFERROR(IF(AE795&lt;&gt;"ja",_xlfn.IFNA(_xlfn.IFS(AND(P795&lt;&gt;"",R795&lt;&gt;"",RIGHT($N795,6)="tarief",F795="Vergoeding"),SUM(P795)*FLOOR(SUM(R795),0.0001),AND(P795&lt;&gt;"",R795&lt;&gt;"",RIGHT($N795,6)="tarief"),P795*FLOOR(R795,0.01),T795&gt;0,FLOOR(SUM(T795),0.01)),""),""),"")</f>
        <v/>
      </c>
      <c r="Y795" s="314" t="str">
        <f t="shared" ca="1" si="50"/>
        <v/>
      </c>
      <c r="Z795" s="314" t="str" cm="1">
        <f t="array" aca="1" ref="Z795" ca="1">IFERROR(_xlfn.IFS(OR(F795="",LEFT(Methode_Keuze,4)="Geen",Methode_Keuze=""),"",AND(W795&lt;&gt;"",F795&lt;&gt;"Arbeidskosten"),W795*VLOOKUP(F795,Tb_ProjectKosten[],MATCH(Tb_ProjectKosten[[#Headers],[Forfait_Percentage]],Tb_ProjectKosten[#Headers],0),0),AND(F795="Arbeidskosten",G795&lt;&gt;""),IFERROR(W795*VLOOKUP(G795,Tb_KostenTypen[],3,0)*VLOOKUP(F795,Tb_ProjectKosten[],MATCH(Tb_ProjectKosten[[#Headers],[Forfait_Percentage]],Tb_ProjectKosten[#Headers],0),0),""),W795 &lt;=0,0),"")</f>
        <v/>
      </c>
      <c r="AA795" s="314" t="str" cm="1">
        <f t="array" aca="1" ref="AA795" ca="1">IFERROR(_xlfn.IFS(OR(F795="",LEFT(Methode_Keuze,4)="Geen",Methode_Keuze=""),"",AND(X795&lt;&gt;"",F795&lt;&gt;"Arbeidskosten"),X795*VLOOKUP(F795,Tb_ProjectKosten[],MATCH(Tb_ProjectKosten[[#Headers],[Forfait_Percentage]],Tb_ProjectKosten[#Headers],0),0),AND(F795="Arbeidskosten",G795&lt;&gt;""),IFERROR(X795*VLOOKUP(G795,Tb_KostenTypen[],3,0)*VLOOKUP(F795,Tb_ProjectKosten[],MATCH(Tb_ProjectKosten[[#Headers],[Forfait_Percentage]],Tb_ProjectKosten[#Headers],0),0),""),X795 &lt;=0,0),"")</f>
        <v/>
      </c>
      <c r="AB795" s="314" t="str">
        <f t="shared" ca="1" si="51"/>
        <v/>
      </c>
      <c r="AC795" s="322"/>
      <c r="AD795" s="315"/>
      <c r="AE795" s="32" t="str" cm="1">
        <f t="array" ref="AE795">IFERROR(IF(INDEX(SubsidieTabel!$AD$1:$AG$12,MATCH($F795,SubsidieTabel!$AD$1:$AD$12,0),IFERROR(MATCH(Methode_Keuze,SubsidieTabel!$AD$1:$AG$1,0),2))&lt;&gt;1=TRUE,"ja",""),"")</f>
        <v/>
      </c>
    </row>
    <row r="796" spans="1:31" x14ac:dyDescent="0.25">
      <c r="A796" s="316"/>
      <c r="B796" s="317" t="str">
        <f>IF(A796&lt;&gt;"",_xlfn.MAXIFS($B$1:B795,$A$1:A795,A796)+1,"")</f>
        <v/>
      </c>
      <c r="C796" s="296"/>
      <c r="D796" s="296"/>
      <c r="E796" s="296"/>
      <c r="F796" s="296"/>
      <c r="G796" s="326"/>
      <c r="H796" s="324"/>
      <c r="I796" s="325"/>
      <c r="J796" s="325"/>
      <c r="K796" s="318"/>
      <c r="L796" s="318"/>
      <c r="M796" s="319" t="str">
        <f>IFERROR(VLOOKUP(H796,Lijsten!$H$1:$I$100,2,0),"")</f>
        <v/>
      </c>
      <c r="N796" s="319" t="str">
        <f ca="1">IFERROR(IF(VLOOKUP(F796,Kostentypen!$A$3:$E$21,3,0)=0,"",IF(OR(F796="Arbeidskosten",F796="Vergoeding"),VLOOKUP(G796,Tb_KostenTypen[],2,0),VLOOKUP(F796,Kostentypen!$A$3:$E$20,3,0))),"")</f>
        <v/>
      </c>
      <c r="O796" s="320" t="str" cm="1">
        <f t="array" ref="O796">_xlfn.IFNA(IF(INDEX(Tb_KostenOptiesDB[],MATCH($F796,Tb_KostenOptiesDB[KostenOptie],0),IFERROR(MATCH(Methode_Keuze,Tb_KostenOptiesDB[#Headers],0),2))=1,_xlfn.SWITCH($N796,"Uurtarief",IF(OR(AND(RIGHT($F796,3)="IKS",VLOOKUP($M796,DB_Loonkosten,2,0)="Ja"),AND(RIGHT($F796,3)&lt;&gt;"IKS",VLOOKUP($M796,DB_Loonkosten,2,0)="Nee")),IFERROR(VLOOKUP($M796,DB_Loonkosten,24,0),""),0),"Vast tarief",IF(LEFT(F796,8)="Bijdrage",VLOOKUP($F796,Tb_KostenTypen[],MATCH(Lijsten!$P$1,Tb_KostenTypen[#Headers],0),0),VLOOKUP($G796,Lijsten!L:P,MATCH(Lijsten!$P$1,Kop_Tarief_Vast,0),0))),""),"")</f>
        <v/>
      </c>
      <c r="P796" s="320" t="str" cm="1">
        <f t="array" ref="P796">_xlfn.IFNA(IF(INDEX(Tb_KostenOptiesDB[],MATCH($F796,Tb_KostenOptiesDB[KostenOptie],0),IFERROR(MATCH(Methode_Keuze,Tb_KostenOptiesDB[#Headers],0),2))=1,_xlfn.SWITCH($N796,"Uurtarief",IF(OR(AND(RIGHT($F796,3)="IKS",VLOOKUP($M796,DB_Loonkosten,2,0)="Ja"),AND(RIGHT($F796,3)&lt;&gt;"IKS",VLOOKUP($M796,DB_Loonkosten,2,0)="Nee")),IFERROR(VLOOKUP($M796,DB_Loonkosten,25,0),""),0),"Vast tarief",IF(LEFT(F796,8)="Bijdrage",VLOOKUP($F796,Tb_KostenTypen[],MATCH(Lijsten!$P$1,Tb_KostenTypen[#Headers],0),0),VLOOKUP($G796,Lijsten!L:P,MATCH(Lijsten!$P$1,Kop_Tarief_Vast,0),0))),""),"")</f>
        <v/>
      </c>
      <c r="Q796" s="359"/>
      <c r="R796" s="359"/>
      <c r="S796" s="321"/>
      <c r="T796" s="321"/>
      <c r="U796" s="373" t="str">
        <f t="shared" si="48"/>
        <v/>
      </c>
      <c r="V796" s="314" t="str">
        <f t="shared" si="49"/>
        <v/>
      </c>
      <c r="W796" s="314" t="str" cm="1">
        <f t="array" aca="1" ref="W796" ca="1">IFERROR(IF(AE796&lt;&gt;"ja",_xlfn.IFNA(_xlfn.IFS(AND(O796&lt;&gt;"",F796&lt;&gt;"",RIGHT($N796,6)="tarief",F796="Vergoeding"),SUM(O796)*FLOOR(SUM(Q796),0.0001),AND(O796&lt;&gt;"",F796&lt;&gt;"",RIGHT($N796,6)="tarief"),SUM(O796)*FLOOR(SUM(Q796),0.01),S796&gt;0,IF(F796&lt;&gt;"",FLOOR(SUM(S796),0.01),"")),""),""),"")</f>
        <v/>
      </c>
      <c r="X796" s="314" t="str" cm="1">
        <f t="array" aca="1" ref="X796" ca="1">IFERROR(IF(AE796&lt;&gt;"ja",_xlfn.IFNA(_xlfn.IFS(AND(P796&lt;&gt;"",R796&lt;&gt;"",RIGHT($N796,6)="tarief",F796="Vergoeding"),SUM(P796)*FLOOR(SUM(R796),0.0001),AND(P796&lt;&gt;"",R796&lt;&gt;"",RIGHT($N796,6)="tarief"),P796*FLOOR(R796,0.01),T796&gt;0,FLOOR(SUM(T796),0.01)),""),""),"")</f>
        <v/>
      </c>
      <c r="Y796" s="314" t="str">
        <f t="shared" ca="1" si="50"/>
        <v/>
      </c>
      <c r="Z796" s="314" t="str" cm="1">
        <f t="array" aca="1" ref="Z796" ca="1">IFERROR(_xlfn.IFS(OR(F796="",LEFT(Methode_Keuze,4)="Geen",Methode_Keuze=""),"",AND(W796&lt;&gt;"",F796&lt;&gt;"Arbeidskosten"),W796*VLOOKUP(F796,Tb_ProjectKosten[],MATCH(Tb_ProjectKosten[[#Headers],[Forfait_Percentage]],Tb_ProjectKosten[#Headers],0),0),AND(F796="Arbeidskosten",G796&lt;&gt;""),IFERROR(W796*VLOOKUP(G796,Tb_KostenTypen[],3,0)*VLOOKUP(F796,Tb_ProjectKosten[],MATCH(Tb_ProjectKosten[[#Headers],[Forfait_Percentage]],Tb_ProjectKosten[#Headers],0),0),""),W796 &lt;=0,0),"")</f>
        <v/>
      </c>
      <c r="AA796" s="314" t="str" cm="1">
        <f t="array" aca="1" ref="AA796" ca="1">IFERROR(_xlfn.IFS(OR(F796="",LEFT(Methode_Keuze,4)="Geen",Methode_Keuze=""),"",AND(X796&lt;&gt;"",F796&lt;&gt;"Arbeidskosten"),X796*VLOOKUP(F796,Tb_ProjectKosten[],MATCH(Tb_ProjectKosten[[#Headers],[Forfait_Percentage]],Tb_ProjectKosten[#Headers],0),0),AND(F796="Arbeidskosten",G796&lt;&gt;""),IFERROR(X796*VLOOKUP(G796,Tb_KostenTypen[],3,0)*VLOOKUP(F796,Tb_ProjectKosten[],MATCH(Tb_ProjectKosten[[#Headers],[Forfait_Percentage]],Tb_ProjectKosten[#Headers],0),0),""),X796 &lt;=0,0),"")</f>
        <v/>
      </c>
      <c r="AB796" s="314" t="str">
        <f t="shared" ca="1" si="51"/>
        <v/>
      </c>
      <c r="AC796" s="322"/>
      <c r="AD796" s="315"/>
      <c r="AE796" s="32" t="str" cm="1">
        <f t="array" ref="AE796">IFERROR(IF(INDEX(SubsidieTabel!$AD$1:$AG$12,MATCH($F796,SubsidieTabel!$AD$1:$AD$12,0),IFERROR(MATCH(Methode_Keuze,SubsidieTabel!$AD$1:$AG$1,0),2))&lt;&gt;1=TRUE,"ja",""),"")</f>
        <v/>
      </c>
    </row>
    <row r="797" spans="1:31" x14ac:dyDescent="0.25">
      <c r="A797" s="316"/>
      <c r="B797" s="317" t="str">
        <f>IF(A797&lt;&gt;"",_xlfn.MAXIFS($B$1:B796,$A$1:A796,A797)+1,"")</f>
        <v/>
      </c>
      <c r="C797" s="296"/>
      <c r="D797" s="296"/>
      <c r="E797" s="296"/>
      <c r="F797" s="296"/>
      <c r="G797" s="326"/>
      <c r="H797" s="324"/>
      <c r="I797" s="325"/>
      <c r="J797" s="325"/>
      <c r="K797" s="318"/>
      <c r="L797" s="318"/>
      <c r="M797" s="319" t="str">
        <f>IFERROR(VLOOKUP(H797,Lijsten!$H$1:$I$100,2,0),"")</f>
        <v/>
      </c>
      <c r="N797" s="319" t="str">
        <f ca="1">IFERROR(IF(VLOOKUP(F797,Kostentypen!$A$3:$E$21,3,0)=0,"",IF(OR(F797="Arbeidskosten",F797="Vergoeding"),VLOOKUP(G797,Tb_KostenTypen[],2,0),VLOOKUP(F797,Kostentypen!$A$3:$E$20,3,0))),"")</f>
        <v/>
      </c>
      <c r="O797" s="320" t="str" cm="1">
        <f t="array" ref="O797">_xlfn.IFNA(IF(INDEX(Tb_KostenOptiesDB[],MATCH($F797,Tb_KostenOptiesDB[KostenOptie],0),IFERROR(MATCH(Methode_Keuze,Tb_KostenOptiesDB[#Headers],0),2))=1,_xlfn.SWITCH($N797,"Uurtarief",IF(OR(AND(RIGHT($F797,3)="IKS",VLOOKUP($M797,DB_Loonkosten,2,0)="Ja"),AND(RIGHT($F797,3)&lt;&gt;"IKS",VLOOKUP($M797,DB_Loonkosten,2,0)="Nee")),IFERROR(VLOOKUP($M797,DB_Loonkosten,24,0),""),0),"Vast tarief",IF(LEFT(F797,8)="Bijdrage",VLOOKUP($F797,Tb_KostenTypen[],MATCH(Lijsten!$P$1,Tb_KostenTypen[#Headers],0),0),VLOOKUP($G797,Lijsten!L:P,MATCH(Lijsten!$P$1,Kop_Tarief_Vast,0),0))),""),"")</f>
        <v/>
      </c>
      <c r="P797" s="320" t="str" cm="1">
        <f t="array" ref="P797">_xlfn.IFNA(IF(INDEX(Tb_KostenOptiesDB[],MATCH($F797,Tb_KostenOptiesDB[KostenOptie],0),IFERROR(MATCH(Methode_Keuze,Tb_KostenOptiesDB[#Headers],0),2))=1,_xlfn.SWITCH($N797,"Uurtarief",IF(OR(AND(RIGHT($F797,3)="IKS",VLOOKUP($M797,DB_Loonkosten,2,0)="Ja"),AND(RIGHT($F797,3)&lt;&gt;"IKS",VLOOKUP($M797,DB_Loonkosten,2,0)="Nee")),IFERROR(VLOOKUP($M797,DB_Loonkosten,25,0),""),0),"Vast tarief",IF(LEFT(F797,8)="Bijdrage",VLOOKUP($F797,Tb_KostenTypen[],MATCH(Lijsten!$P$1,Tb_KostenTypen[#Headers],0),0),VLOOKUP($G797,Lijsten!L:P,MATCH(Lijsten!$P$1,Kop_Tarief_Vast,0),0))),""),"")</f>
        <v/>
      </c>
      <c r="Q797" s="359"/>
      <c r="R797" s="359"/>
      <c r="S797" s="321"/>
      <c r="T797" s="321"/>
      <c r="U797" s="373" t="str">
        <f t="shared" si="48"/>
        <v/>
      </c>
      <c r="V797" s="314" t="str">
        <f t="shared" si="49"/>
        <v/>
      </c>
      <c r="W797" s="314" t="str" cm="1">
        <f t="array" aca="1" ref="W797" ca="1">IFERROR(IF(AE797&lt;&gt;"ja",_xlfn.IFNA(_xlfn.IFS(AND(O797&lt;&gt;"",F797&lt;&gt;"",RIGHT($N797,6)="tarief",F797="Vergoeding"),SUM(O797)*FLOOR(SUM(Q797),0.0001),AND(O797&lt;&gt;"",F797&lt;&gt;"",RIGHT($N797,6)="tarief"),SUM(O797)*FLOOR(SUM(Q797),0.01),S797&gt;0,IF(F797&lt;&gt;"",FLOOR(SUM(S797),0.01),"")),""),""),"")</f>
        <v/>
      </c>
      <c r="X797" s="314" t="str" cm="1">
        <f t="array" aca="1" ref="X797" ca="1">IFERROR(IF(AE797&lt;&gt;"ja",_xlfn.IFNA(_xlfn.IFS(AND(P797&lt;&gt;"",R797&lt;&gt;"",RIGHT($N797,6)="tarief",F797="Vergoeding"),SUM(P797)*FLOOR(SUM(R797),0.0001),AND(P797&lt;&gt;"",R797&lt;&gt;"",RIGHT($N797,6)="tarief"),P797*FLOOR(R797,0.01),T797&gt;0,FLOOR(SUM(T797),0.01)),""),""),"")</f>
        <v/>
      </c>
      <c r="Y797" s="314" t="str">
        <f t="shared" ca="1" si="50"/>
        <v/>
      </c>
      <c r="Z797" s="314" t="str" cm="1">
        <f t="array" aca="1" ref="Z797" ca="1">IFERROR(_xlfn.IFS(OR(F797="",LEFT(Methode_Keuze,4)="Geen",Methode_Keuze=""),"",AND(W797&lt;&gt;"",F797&lt;&gt;"Arbeidskosten"),W797*VLOOKUP(F797,Tb_ProjectKosten[],MATCH(Tb_ProjectKosten[[#Headers],[Forfait_Percentage]],Tb_ProjectKosten[#Headers],0),0),AND(F797="Arbeidskosten",G797&lt;&gt;""),IFERROR(W797*VLOOKUP(G797,Tb_KostenTypen[],3,0)*VLOOKUP(F797,Tb_ProjectKosten[],MATCH(Tb_ProjectKosten[[#Headers],[Forfait_Percentage]],Tb_ProjectKosten[#Headers],0),0),""),W797 &lt;=0,0),"")</f>
        <v/>
      </c>
      <c r="AA797" s="314" t="str" cm="1">
        <f t="array" aca="1" ref="AA797" ca="1">IFERROR(_xlfn.IFS(OR(F797="",LEFT(Methode_Keuze,4)="Geen",Methode_Keuze=""),"",AND(X797&lt;&gt;"",F797&lt;&gt;"Arbeidskosten"),X797*VLOOKUP(F797,Tb_ProjectKosten[],MATCH(Tb_ProjectKosten[[#Headers],[Forfait_Percentage]],Tb_ProjectKosten[#Headers],0),0),AND(F797="Arbeidskosten",G797&lt;&gt;""),IFERROR(X797*VLOOKUP(G797,Tb_KostenTypen[],3,0)*VLOOKUP(F797,Tb_ProjectKosten[],MATCH(Tb_ProjectKosten[[#Headers],[Forfait_Percentage]],Tb_ProjectKosten[#Headers],0),0),""),X797 &lt;=0,0),"")</f>
        <v/>
      </c>
      <c r="AB797" s="314" t="str">
        <f t="shared" ca="1" si="51"/>
        <v/>
      </c>
      <c r="AC797" s="322"/>
      <c r="AD797" s="315"/>
      <c r="AE797" s="32" t="str" cm="1">
        <f t="array" ref="AE797">IFERROR(IF(INDEX(SubsidieTabel!$AD$1:$AG$12,MATCH($F797,SubsidieTabel!$AD$1:$AD$12,0),IFERROR(MATCH(Methode_Keuze,SubsidieTabel!$AD$1:$AG$1,0),2))&lt;&gt;1=TRUE,"ja",""),"")</f>
        <v/>
      </c>
    </row>
    <row r="798" spans="1:31" x14ac:dyDescent="0.25">
      <c r="A798" s="316"/>
      <c r="B798" s="317" t="str">
        <f>IF(A798&lt;&gt;"",_xlfn.MAXIFS($B$1:B797,$A$1:A797,A798)+1,"")</f>
        <v/>
      </c>
      <c r="C798" s="296"/>
      <c r="D798" s="296"/>
      <c r="E798" s="296"/>
      <c r="F798" s="296"/>
      <c r="G798" s="326"/>
      <c r="H798" s="324"/>
      <c r="I798" s="325"/>
      <c r="J798" s="325"/>
      <c r="K798" s="318"/>
      <c r="L798" s="318"/>
      <c r="M798" s="319" t="str">
        <f>IFERROR(VLOOKUP(H798,Lijsten!$H$1:$I$100,2,0),"")</f>
        <v/>
      </c>
      <c r="N798" s="319" t="str">
        <f ca="1">IFERROR(IF(VLOOKUP(F798,Kostentypen!$A$3:$E$21,3,0)=0,"",IF(OR(F798="Arbeidskosten",F798="Vergoeding"),VLOOKUP(G798,Tb_KostenTypen[],2,0),VLOOKUP(F798,Kostentypen!$A$3:$E$20,3,0))),"")</f>
        <v/>
      </c>
      <c r="O798" s="320" t="str" cm="1">
        <f t="array" ref="O798">_xlfn.IFNA(IF(INDEX(Tb_KostenOptiesDB[],MATCH($F798,Tb_KostenOptiesDB[KostenOptie],0),IFERROR(MATCH(Methode_Keuze,Tb_KostenOptiesDB[#Headers],0),2))=1,_xlfn.SWITCH($N798,"Uurtarief",IF(OR(AND(RIGHT($F798,3)="IKS",VLOOKUP($M798,DB_Loonkosten,2,0)="Ja"),AND(RIGHT($F798,3)&lt;&gt;"IKS",VLOOKUP($M798,DB_Loonkosten,2,0)="Nee")),IFERROR(VLOOKUP($M798,DB_Loonkosten,24,0),""),0),"Vast tarief",IF(LEFT(F798,8)="Bijdrage",VLOOKUP($F798,Tb_KostenTypen[],MATCH(Lijsten!$P$1,Tb_KostenTypen[#Headers],0),0),VLOOKUP($G798,Lijsten!L:P,MATCH(Lijsten!$P$1,Kop_Tarief_Vast,0),0))),""),"")</f>
        <v/>
      </c>
      <c r="P798" s="320" t="str" cm="1">
        <f t="array" ref="P798">_xlfn.IFNA(IF(INDEX(Tb_KostenOptiesDB[],MATCH($F798,Tb_KostenOptiesDB[KostenOptie],0),IFERROR(MATCH(Methode_Keuze,Tb_KostenOptiesDB[#Headers],0),2))=1,_xlfn.SWITCH($N798,"Uurtarief",IF(OR(AND(RIGHT($F798,3)="IKS",VLOOKUP($M798,DB_Loonkosten,2,0)="Ja"),AND(RIGHT($F798,3)&lt;&gt;"IKS",VLOOKUP($M798,DB_Loonkosten,2,0)="Nee")),IFERROR(VLOOKUP($M798,DB_Loonkosten,25,0),""),0),"Vast tarief",IF(LEFT(F798,8)="Bijdrage",VLOOKUP($F798,Tb_KostenTypen[],MATCH(Lijsten!$P$1,Tb_KostenTypen[#Headers],0),0),VLOOKUP($G798,Lijsten!L:P,MATCH(Lijsten!$P$1,Kop_Tarief_Vast,0),0))),""),"")</f>
        <v/>
      </c>
      <c r="Q798" s="359"/>
      <c r="R798" s="359"/>
      <c r="S798" s="321"/>
      <c r="T798" s="321"/>
      <c r="U798" s="373" t="str">
        <f t="shared" si="48"/>
        <v/>
      </c>
      <c r="V798" s="314" t="str">
        <f t="shared" si="49"/>
        <v/>
      </c>
      <c r="W798" s="314" t="str" cm="1">
        <f t="array" aca="1" ref="W798" ca="1">IFERROR(IF(AE798&lt;&gt;"ja",_xlfn.IFNA(_xlfn.IFS(AND(O798&lt;&gt;"",F798&lt;&gt;"",RIGHT($N798,6)="tarief",F798="Vergoeding"),SUM(O798)*FLOOR(SUM(Q798),0.0001),AND(O798&lt;&gt;"",F798&lt;&gt;"",RIGHT($N798,6)="tarief"),SUM(O798)*FLOOR(SUM(Q798),0.01),S798&gt;0,IF(F798&lt;&gt;"",FLOOR(SUM(S798),0.01),"")),""),""),"")</f>
        <v/>
      </c>
      <c r="X798" s="314" t="str" cm="1">
        <f t="array" aca="1" ref="X798" ca="1">IFERROR(IF(AE798&lt;&gt;"ja",_xlfn.IFNA(_xlfn.IFS(AND(P798&lt;&gt;"",R798&lt;&gt;"",RIGHT($N798,6)="tarief",F798="Vergoeding"),SUM(P798)*FLOOR(SUM(R798),0.0001),AND(P798&lt;&gt;"",R798&lt;&gt;"",RIGHT($N798,6)="tarief"),P798*FLOOR(R798,0.01),T798&gt;0,FLOOR(SUM(T798),0.01)),""),""),"")</f>
        <v/>
      </c>
      <c r="Y798" s="314" t="str">
        <f t="shared" ca="1" si="50"/>
        <v/>
      </c>
      <c r="Z798" s="314" t="str" cm="1">
        <f t="array" aca="1" ref="Z798" ca="1">IFERROR(_xlfn.IFS(OR(F798="",LEFT(Methode_Keuze,4)="Geen",Methode_Keuze=""),"",AND(W798&lt;&gt;"",F798&lt;&gt;"Arbeidskosten"),W798*VLOOKUP(F798,Tb_ProjectKosten[],MATCH(Tb_ProjectKosten[[#Headers],[Forfait_Percentage]],Tb_ProjectKosten[#Headers],0),0),AND(F798="Arbeidskosten",G798&lt;&gt;""),IFERROR(W798*VLOOKUP(G798,Tb_KostenTypen[],3,0)*VLOOKUP(F798,Tb_ProjectKosten[],MATCH(Tb_ProjectKosten[[#Headers],[Forfait_Percentage]],Tb_ProjectKosten[#Headers],0),0),""),W798 &lt;=0,0),"")</f>
        <v/>
      </c>
      <c r="AA798" s="314" t="str" cm="1">
        <f t="array" aca="1" ref="AA798" ca="1">IFERROR(_xlfn.IFS(OR(F798="",LEFT(Methode_Keuze,4)="Geen",Methode_Keuze=""),"",AND(X798&lt;&gt;"",F798&lt;&gt;"Arbeidskosten"),X798*VLOOKUP(F798,Tb_ProjectKosten[],MATCH(Tb_ProjectKosten[[#Headers],[Forfait_Percentage]],Tb_ProjectKosten[#Headers],0),0),AND(F798="Arbeidskosten",G798&lt;&gt;""),IFERROR(X798*VLOOKUP(G798,Tb_KostenTypen[],3,0)*VLOOKUP(F798,Tb_ProjectKosten[],MATCH(Tb_ProjectKosten[[#Headers],[Forfait_Percentage]],Tb_ProjectKosten[#Headers],0),0),""),X798 &lt;=0,0),"")</f>
        <v/>
      </c>
      <c r="AB798" s="314" t="str">
        <f t="shared" ca="1" si="51"/>
        <v/>
      </c>
      <c r="AC798" s="322"/>
      <c r="AD798" s="315"/>
      <c r="AE798" s="32" t="str" cm="1">
        <f t="array" ref="AE798">IFERROR(IF(INDEX(SubsidieTabel!$AD$1:$AG$12,MATCH($F798,SubsidieTabel!$AD$1:$AD$12,0),IFERROR(MATCH(Methode_Keuze,SubsidieTabel!$AD$1:$AG$1,0),2))&lt;&gt;1=TRUE,"ja",""),"")</f>
        <v/>
      </c>
    </row>
    <row r="799" spans="1:31" x14ac:dyDescent="0.25">
      <c r="A799" s="316"/>
      <c r="B799" s="317" t="str">
        <f>IF(A799&lt;&gt;"",_xlfn.MAXIFS($B$1:B798,$A$1:A798,A799)+1,"")</f>
        <v/>
      </c>
      <c r="C799" s="296"/>
      <c r="D799" s="296"/>
      <c r="E799" s="296"/>
      <c r="F799" s="296"/>
      <c r="G799" s="326"/>
      <c r="H799" s="324"/>
      <c r="I799" s="325"/>
      <c r="J799" s="325"/>
      <c r="K799" s="318"/>
      <c r="L799" s="318"/>
      <c r="M799" s="319" t="str">
        <f>IFERROR(VLOOKUP(H799,Lijsten!$H$1:$I$100,2,0),"")</f>
        <v/>
      </c>
      <c r="N799" s="319" t="str">
        <f ca="1">IFERROR(IF(VLOOKUP(F799,Kostentypen!$A$3:$E$21,3,0)=0,"",IF(OR(F799="Arbeidskosten",F799="Vergoeding"),VLOOKUP(G799,Tb_KostenTypen[],2,0),VLOOKUP(F799,Kostentypen!$A$3:$E$20,3,0))),"")</f>
        <v/>
      </c>
      <c r="O799" s="320" t="str" cm="1">
        <f t="array" ref="O799">_xlfn.IFNA(IF(INDEX(Tb_KostenOptiesDB[],MATCH($F799,Tb_KostenOptiesDB[KostenOptie],0),IFERROR(MATCH(Methode_Keuze,Tb_KostenOptiesDB[#Headers],0),2))=1,_xlfn.SWITCH($N799,"Uurtarief",IF(OR(AND(RIGHT($F799,3)="IKS",VLOOKUP($M799,DB_Loonkosten,2,0)="Ja"),AND(RIGHT($F799,3)&lt;&gt;"IKS",VLOOKUP($M799,DB_Loonkosten,2,0)="Nee")),IFERROR(VLOOKUP($M799,DB_Loonkosten,24,0),""),0),"Vast tarief",IF(LEFT(F799,8)="Bijdrage",VLOOKUP($F799,Tb_KostenTypen[],MATCH(Lijsten!$P$1,Tb_KostenTypen[#Headers],0),0),VLOOKUP($G799,Lijsten!L:P,MATCH(Lijsten!$P$1,Kop_Tarief_Vast,0),0))),""),"")</f>
        <v/>
      </c>
      <c r="P799" s="320" t="str" cm="1">
        <f t="array" ref="P799">_xlfn.IFNA(IF(INDEX(Tb_KostenOptiesDB[],MATCH($F799,Tb_KostenOptiesDB[KostenOptie],0),IFERROR(MATCH(Methode_Keuze,Tb_KostenOptiesDB[#Headers],0),2))=1,_xlfn.SWITCH($N799,"Uurtarief",IF(OR(AND(RIGHT($F799,3)="IKS",VLOOKUP($M799,DB_Loonkosten,2,0)="Ja"),AND(RIGHT($F799,3)&lt;&gt;"IKS",VLOOKUP($M799,DB_Loonkosten,2,0)="Nee")),IFERROR(VLOOKUP($M799,DB_Loonkosten,25,0),""),0),"Vast tarief",IF(LEFT(F799,8)="Bijdrage",VLOOKUP($F799,Tb_KostenTypen[],MATCH(Lijsten!$P$1,Tb_KostenTypen[#Headers],0),0),VLOOKUP($G799,Lijsten!L:P,MATCH(Lijsten!$P$1,Kop_Tarief_Vast,0),0))),""),"")</f>
        <v/>
      </c>
      <c r="Q799" s="359"/>
      <c r="R799" s="359"/>
      <c r="S799" s="321"/>
      <c r="T799" s="321"/>
      <c r="U799" s="373" t="str">
        <f t="shared" si="48"/>
        <v/>
      </c>
      <c r="V799" s="314" t="str">
        <f t="shared" si="49"/>
        <v/>
      </c>
      <c r="W799" s="314" t="str" cm="1">
        <f t="array" aca="1" ref="W799" ca="1">IFERROR(IF(AE799&lt;&gt;"ja",_xlfn.IFNA(_xlfn.IFS(AND(O799&lt;&gt;"",F799&lt;&gt;"",RIGHT($N799,6)="tarief",F799="Vergoeding"),SUM(O799)*FLOOR(SUM(Q799),0.0001),AND(O799&lt;&gt;"",F799&lt;&gt;"",RIGHT($N799,6)="tarief"),SUM(O799)*FLOOR(SUM(Q799),0.01),S799&gt;0,IF(F799&lt;&gt;"",FLOOR(SUM(S799),0.01),"")),""),""),"")</f>
        <v/>
      </c>
      <c r="X799" s="314" t="str" cm="1">
        <f t="array" aca="1" ref="X799" ca="1">IFERROR(IF(AE799&lt;&gt;"ja",_xlfn.IFNA(_xlfn.IFS(AND(P799&lt;&gt;"",R799&lt;&gt;"",RIGHT($N799,6)="tarief",F799="Vergoeding"),SUM(P799)*FLOOR(SUM(R799),0.0001),AND(P799&lt;&gt;"",R799&lt;&gt;"",RIGHT($N799,6)="tarief"),P799*FLOOR(R799,0.01),T799&gt;0,FLOOR(SUM(T799),0.01)),""),""),"")</f>
        <v/>
      </c>
      <c r="Y799" s="314" t="str">
        <f t="shared" ca="1" si="50"/>
        <v/>
      </c>
      <c r="Z799" s="314" t="str" cm="1">
        <f t="array" aca="1" ref="Z799" ca="1">IFERROR(_xlfn.IFS(OR(F799="",LEFT(Methode_Keuze,4)="Geen",Methode_Keuze=""),"",AND(W799&lt;&gt;"",F799&lt;&gt;"Arbeidskosten"),W799*VLOOKUP(F799,Tb_ProjectKosten[],MATCH(Tb_ProjectKosten[[#Headers],[Forfait_Percentage]],Tb_ProjectKosten[#Headers],0),0),AND(F799="Arbeidskosten",G799&lt;&gt;""),IFERROR(W799*VLOOKUP(G799,Tb_KostenTypen[],3,0)*VLOOKUP(F799,Tb_ProjectKosten[],MATCH(Tb_ProjectKosten[[#Headers],[Forfait_Percentage]],Tb_ProjectKosten[#Headers],0),0),""),W799 &lt;=0,0),"")</f>
        <v/>
      </c>
      <c r="AA799" s="314" t="str" cm="1">
        <f t="array" aca="1" ref="AA799" ca="1">IFERROR(_xlfn.IFS(OR(F799="",LEFT(Methode_Keuze,4)="Geen",Methode_Keuze=""),"",AND(X799&lt;&gt;"",F799&lt;&gt;"Arbeidskosten"),X799*VLOOKUP(F799,Tb_ProjectKosten[],MATCH(Tb_ProjectKosten[[#Headers],[Forfait_Percentage]],Tb_ProjectKosten[#Headers],0),0),AND(F799="Arbeidskosten",G799&lt;&gt;""),IFERROR(X799*VLOOKUP(G799,Tb_KostenTypen[],3,0)*VLOOKUP(F799,Tb_ProjectKosten[],MATCH(Tb_ProjectKosten[[#Headers],[Forfait_Percentage]],Tb_ProjectKosten[#Headers],0),0),""),X799 &lt;=0,0),"")</f>
        <v/>
      </c>
      <c r="AB799" s="314" t="str">
        <f t="shared" ca="1" si="51"/>
        <v/>
      </c>
      <c r="AC799" s="322"/>
      <c r="AD799" s="315"/>
      <c r="AE799" s="32" t="str" cm="1">
        <f t="array" ref="AE799">IFERROR(IF(INDEX(SubsidieTabel!$AD$1:$AG$12,MATCH($F799,SubsidieTabel!$AD$1:$AD$12,0),IFERROR(MATCH(Methode_Keuze,SubsidieTabel!$AD$1:$AG$1,0),2))&lt;&gt;1=TRUE,"ja",""),"")</f>
        <v/>
      </c>
    </row>
    <row r="800" spans="1:31" x14ac:dyDescent="0.25">
      <c r="A800" s="316"/>
      <c r="B800" s="317" t="str">
        <f>IF(A800&lt;&gt;"",_xlfn.MAXIFS($B$1:B799,$A$1:A799,A800)+1,"")</f>
        <v/>
      </c>
      <c r="C800" s="296"/>
      <c r="D800" s="296"/>
      <c r="E800" s="296"/>
      <c r="F800" s="296"/>
      <c r="G800" s="326"/>
      <c r="H800" s="324"/>
      <c r="I800" s="325"/>
      <c r="J800" s="325"/>
      <c r="K800" s="318"/>
      <c r="L800" s="318"/>
      <c r="M800" s="319" t="str">
        <f>IFERROR(VLOOKUP(H800,Lijsten!$H$1:$I$100,2,0),"")</f>
        <v/>
      </c>
      <c r="N800" s="319" t="str">
        <f ca="1">IFERROR(IF(VLOOKUP(F800,Kostentypen!$A$3:$E$21,3,0)=0,"",IF(OR(F800="Arbeidskosten",F800="Vergoeding"),VLOOKUP(G800,Tb_KostenTypen[],2,0),VLOOKUP(F800,Kostentypen!$A$3:$E$20,3,0))),"")</f>
        <v/>
      </c>
      <c r="O800" s="320" t="str" cm="1">
        <f t="array" ref="O800">_xlfn.IFNA(IF(INDEX(Tb_KostenOptiesDB[],MATCH($F800,Tb_KostenOptiesDB[KostenOptie],0),IFERROR(MATCH(Methode_Keuze,Tb_KostenOptiesDB[#Headers],0),2))=1,_xlfn.SWITCH($N800,"Uurtarief",IF(OR(AND(RIGHT($F800,3)="IKS",VLOOKUP($M800,DB_Loonkosten,2,0)="Ja"),AND(RIGHT($F800,3)&lt;&gt;"IKS",VLOOKUP($M800,DB_Loonkosten,2,0)="Nee")),IFERROR(VLOOKUP($M800,DB_Loonkosten,24,0),""),0),"Vast tarief",IF(LEFT(F800,8)="Bijdrage",VLOOKUP($F800,Tb_KostenTypen[],MATCH(Lijsten!$P$1,Tb_KostenTypen[#Headers],0),0),VLOOKUP($G800,Lijsten!L:P,MATCH(Lijsten!$P$1,Kop_Tarief_Vast,0),0))),""),"")</f>
        <v/>
      </c>
      <c r="P800" s="320" t="str" cm="1">
        <f t="array" ref="P800">_xlfn.IFNA(IF(INDEX(Tb_KostenOptiesDB[],MATCH($F800,Tb_KostenOptiesDB[KostenOptie],0),IFERROR(MATCH(Methode_Keuze,Tb_KostenOptiesDB[#Headers],0),2))=1,_xlfn.SWITCH($N800,"Uurtarief",IF(OR(AND(RIGHT($F800,3)="IKS",VLOOKUP($M800,DB_Loonkosten,2,0)="Ja"),AND(RIGHT($F800,3)&lt;&gt;"IKS",VLOOKUP($M800,DB_Loonkosten,2,0)="Nee")),IFERROR(VLOOKUP($M800,DB_Loonkosten,25,0),""),0),"Vast tarief",IF(LEFT(F800,8)="Bijdrage",VLOOKUP($F800,Tb_KostenTypen[],MATCH(Lijsten!$P$1,Tb_KostenTypen[#Headers],0),0),VLOOKUP($G800,Lijsten!L:P,MATCH(Lijsten!$P$1,Kop_Tarief_Vast,0),0))),""),"")</f>
        <v/>
      </c>
      <c r="Q800" s="359"/>
      <c r="R800" s="359"/>
      <c r="S800" s="321"/>
      <c r="T800" s="321"/>
      <c r="U800" s="373" t="str">
        <f t="shared" si="48"/>
        <v/>
      </c>
      <c r="V800" s="314" t="str">
        <f t="shared" si="49"/>
        <v/>
      </c>
      <c r="W800" s="314" t="str" cm="1">
        <f t="array" aca="1" ref="W800" ca="1">IFERROR(IF(AE800&lt;&gt;"ja",_xlfn.IFNA(_xlfn.IFS(AND(O800&lt;&gt;"",F800&lt;&gt;"",RIGHT($N800,6)="tarief",F800="Vergoeding"),SUM(O800)*FLOOR(SUM(Q800),0.0001),AND(O800&lt;&gt;"",F800&lt;&gt;"",RIGHT($N800,6)="tarief"),SUM(O800)*FLOOR(SUM(Q800),0.01),S800&gt;0,IF(F800&lt;&gt;"",FLOOR(SUM(S800),0.01),"")),""),""),"")</f>
        <v/>
      </c>
      <c r="X800" s="314" t="str" cm="1">
        <f t="array" aca="1" ref="X800" ca="1">IFERROR(IF(AE800&lt;&gt;"ja",_xlfn.IFNA(_xlfn.IFS(AND(P800&lt;&gt;"",R800&lt;&gt;"",RIGHT($N800,6)="tarief",F800="Vergoeding"),SUM(P800)*FLOOR(SUM(R800),0.0001),AND(P800&lt;&gt;"",R800&lt;&gt;"",RIGHT($N800,6)="tarief"),P800*FLOOR(R800,0.01),T800&gt;0,FLOOR(SUM(T800),0.01)),""),""),"")</f>
        <v/>
      </c>
      <c r="Y800" s="314" t="str">
        <f t="shared" ca="1" si="50"/>
        <v/>
      </c>
      <c r="Z800" s="314" t="str" cm="1">
        <f t="array" aca="1" ref="Z800" ca="1">IFERROR(_xlfn.IFS(OR(F800="",LEFT(Methode_Keuze,4)="Geen",Methode_Keuze=""),"",AND(W800&lt;&gt;"",F800&lt;&gt;"Arbeidskosten"),W800*VLOOKUP(F800,Tb_ProjectKosten[],MATCH(Tb_ProjectKosten[[#Headers],[Forfait_Percentage]],Tb_ProjectKosten[#Headers],0),0),AND(F800="Arbeidskosten",G800&lt;&gt;""),IFERROR(W800*VLOOKUP(G800,Tb_KostenTypen[],3,0)*VLOOKUP(F800,Tb_ProjectKosten[],MATCH(Tb_ProjectKosten[[#Headers],[Forfait_Percentage]],Tb_ProjectKosten[#Headers],0),0),""),W800 &lt;=0,0),"")</f>
        <v/>
      </c>
      <c r="AA800" s="314" t="str" cm="1">
        <f t="array" aca="1" ref="AA800" ca="1">IFERROR(_xlfn.IFS(OR(F800="",LEFT(Methode_Keuze,4)="Geen",Methode_Keuze=""),"",AND(X800&lt;&gt;"",F800&lt;&gt;"Arbeidskosten"),X800*VLOOKUP(F800,Tb_ProjectKosten[],MATCH(Tb_ProjectKosten[[#Headers],[Forfait_Percentage]],Tb_ProjectKosten[#Headers],0),0),AND(F800="Arbeidskosten",G800&lt;&gt;""),IFERROR(X800*VLOOKUP(G800,Tb_KostenTypen[],3,0)*VLOOKUP(F800,Tb_ProjectKosten[],MATCH(Tb_ProjectKosten[[#Headers],[Forfait_Percentage]],Tb_ProjectKosten[#Headers],0),0),""),X800 &lt;=0,0),"")</f>
        <v/>
      </c>
      <c r="AB800" s="314" t="str">
        <f t="shared" ca="1" si="51"/>
        <v/>
      </c>
      <c r="AC800" s="322"/>
      <c r="AD800" s="315"/>
      <c r="AE800" s="32" t="str" cm="1">
        <f t="array" ref="AE800">IFERROR(IF(INDEX(SubsidieTabel!$AD$1:$AG$12,MATCH($F800,SubsidieTabel!$AD$1:$AD$12,0),IFERROR(MATCH(Methode_Keuze,SubsidieTabel!$AD$1:$AG$1,0),2))&lt;&gt;1=TRUE,"ja",""),"")</f>
        <v/>
      </c>
    </row>
    <row r="801" spans="1:31" x14ac:dyDescent="0.25">
      <c r="A801" s="316"/>
      <c r="B801" s="317" t="str">
        <f>IF(A801&lt;&gt;"",_xlfn.MAXIFS($B$1:B800,$A$1:A800,A801)+1,"")</f>
        <v/>
      </c>
      <c r="C801" s="296"/>
      <c r="D801" s="296"/>
      <c r="E801" s="296"/>
      <c r="F801" s="296"/>
      <c r="G801" s="326"/>
      <c r="H801" s="324"/>
      <c r="I801" s="325"/>
      <c r="J801" s="325"/>
      <c r="K801" s="318"/>
      <c r="L801" s="318"/>
      <c r="M801" s="319" t="str">
        <f>IFERROR(VLOOKUP(H801,Lijsten!$H$1:$I$100,2,0),"")</f>
        <v/>
      </c>
      <c r="N801" s="319" t="str">
        <f ca="1">IFERROR(IF(VLOOKUP(F801,Kostentypen!$A$3:$E$21,3,0)=0,"",IF(OR(F801="Arbeidskosten",F801="Vergoeding"),VLOOKUP(G801,Tb_KostenTypen[],2,0),VLOOKUP(F801,Kostentypen!$A$3:$E$20,3,0))),"")</f>
        <v/>
      </c>
      <c r="O801" s="320" t="str" cm="1">
        <f t="array" ref="O801">_xlfn.IFNA(IF(INDEX(Tb_KostenOptiesDB[],MATCH($F801,Tb_KostenOptiesDB[KostenOptie],0),IFERROR(MATCH(Methode_Keuze,Tb_KostenOptiesDB[#Headers],0),2))=1,_xlfn.SWITCH($N801,"Uurtarief",IF(OR(AND(RIGHT($F801,3)="IKS",VLOOKUP($M801,DB_Loonkosten,2,0)="Ja"),AND(RIGHT($F801,3)&lt;&gt;"IKS",VLOOKUP($M801,DB_Loonkosten,2,0)="Nee")),IFERROR(VLOOKUP($M801,DB_Loonkosten,24,0),""),0),"Vast tarief",IF(LEFT(F801,8)="Bijdrage",VLOOKUP($F801,Tb_KostenTypen[],MATCH(Lijsten!$P$1,Tb_KostenTypen[#Headers],0),0),VLOOKUP($G801,Lijsten!L:P,MATCH(Lijsten!$P$1,Kop_Tarief_Vast,0),0))),""),"")</f>
        <v/>
      </c>
      <c r="P801" s="320" t="str" cm="1">
        <f t="array" ref="P801">_xlfn.IFNA(IF(INDEX(Tb_KostenOptiesDB[],MATCH($F801,Tb_KostenOptiesDB[KostenOptie],0),IFERROR(MATCH(Methode_Keuze,Tb_KostenOptiesDB[#Headers],0),2))=1,_xlfn.SWITCH($N801,"Uurtarief",IF(OR(AND(RIGHT($F801,3)="IKS",VLOOKUP($M801,DB_Loonkosten,2,0)="Ja"),AND(RIGHT($F801,3)&lt;&gt;"IKS",VLOOKUP($M801,DB_Loonkosten,2,0)="Nee")),IFERROR(VLOOKUP($M801,DB_Loonkosten,25,0),""),0),"Vast tarief",IF(LEFT(F801,8)="Bijdrage",VLOOKUP($F801,Tb_KostenTypen[],MATCH(Lijsten!$P$1,Tb_KostenTypen[#Headers],0),0),VLOOKUP($G801,Lijsten!L:P,MATCH(Lijsten!$P$1,Kop_Tarief_Vast,0),0))),""),"")</f>
        <v/>
      </c>
      <c r="Q801" s="359"/>
      <c r="R801" s="359"/>
      <c r="S801" s="321"/>
      <c r="T801" s="321"/>
      <c r="U801" s="373" t="str">
        <f t="shared" si="48"/>
        <v/>
      </c>
      <c r="V801" s="314" t="str">
        <f t="shared" si="49"/>
        <v/>
      </c>
      <c r="W801" s="314" t="str" cm="1">
        <f t="array" aca="1" ref="W801" ca="1">IFERROR(IF(AE801&lt;&gt;"ja",_xlfn.IFNA(_xlfn.IFS(AND(O801&lt;&gt;"",F801&lt;&gt;"",RIGHT($N801,6)="tarief",F801="Vergoeding"),SUM(O801)*FLOOR(SUM(Q801),0.0001),AND(O801&lt;&gt;"",F801&lt;&gt;"",RIGHT($N801,6)="tarief"),SUM(O801)*FLOOR(SUM(Q801),0.01),S801&gt;0,IF(F801&lt;&gt;"",FLOOR(SUM(S801),0.01),"")),""),""),"")</f>
        <v/>
      </c>
      <c r="X801" s="314" t="str" cm="1">
        <f t="array" aca="1" ref="X801" ca="1">IFERROR(IF(AE801&lt;&gt;"ja",_xlfn.IFNA(_xlfn.IFS(AND(P801&lt;&gt;"",R801&lt;&gt;"",RIGHT($N801,6)="tarief",F801="Vergoeding"),SUM(P801)*FLOOR(SUM(R801),0.0001),AND(P801&lt;&gt;"",R801&lt;&gt;"",RIGHT($N801,6)="tarief"),P801*FLOOR(R801,0.01),T801&gt;0,FLOOR(SUM(T801),0.01)),""),""),"")</f>
        <v/>
      </c>
      <c r="Y801" s="314" t="str">
        <f t="shared" ca="1" si="50"/>
        <v/>
      </c>
      <c r="Z801" s="314" t="str" cm="1">
        <f t="array" aca="1" ref="Z801" ca="1">IFERROR(_xlfn.IFS(OR(F801="",LEFT(Methode_Keuze,4)="Geen",Methode_Keuze=""),"",AND(W801&lt;&gt;"",F801&lt;&gt;"Arbeidskosten"),W801*VLOOKUP(F801,Tb_ProjectKosten[],MATCH(Tb_ProjectKosten[[#Headers],[Forfait_Percentage]],Tb_ProjectKosten[#Headers],0),0),AND(F801="Arbeidskosten",G801&lt;&gt;""),IFERROR(W801*VLOOKUP(G801,Tb_KostenTypen[],3,0)*VLOOKUP(F801,Tb_ProjectKosten[],MATCH(Tb_ProjectKosten[[#Headers],[Forfait_Percentage]],Tb_ProjectKosten[#Headers],0),0),""),W801 &lt;=0,0),"")</f>
        <v/>
      </c>
      <c r="AA801" s="314" t="str" cm="1">
        <f t="array" aca="1" ref="AA801" ca="1">IFERROR(_xlfn.IFS(OR(F801="",LEFT(Methode_Keuze,4)="Geen",Methode_Keuze=""),"",AND(X801&lt;&gt;"",F801&lt;&gt;"Arbeidskosten"),X801*VLOOKUP(F801,Tb_ProjectKosten[],MATCH(Tb_ProjectKosten[[#Headers],[Forfait_Percentage]],Tb_ProjectKosten[#Headers],0),0),AND(F801="Arbeidskosten",G801&lt;&gt;""),IFERROR(X801*VLOOKUP(G801,Tb_KostenTypen[],3,0)*VLOOKUP(F801,Tb_ProjectKosten[],MATCH(Tb_ProjectKosten[[#Headers],[Forfait_Percentage]],Tb_ProjectKosten[#Headers],0),0),""),X801 &lt;=0,0),"")</f>
        <v/>
      </c>
      <c r="AB801" s="314" t="str">
        <f t="shared" ca="1" si="51"/>
        <v/>
      </c>
      <c r="AC801" s="322"/>
      <c r="AD801" s="315"/>
      <c r="AE801" s="32" t="str" cm="1">
        <f t="array" ref="AE801">IFERROR(IF(INDEX(SubsidieTabel!$AD$1:$AG$12,MATCH($F801,SubsidieTabel!$AD$1:$AD$12,0),IFERROR(MATCH(Methode_Keuze,SubsidieTabel!$AD$1:$AG$1,0),2))&lt;&gt;1=TRUE,"ja",""),"")</f>
        <v/>
      </c>
    </row>
    <row r="802" spans="1:31" x14ac:dyDescent="0.25">
      <c r="A802" s="316"/>
      <c r="B802" s="317" t="str">
        <f>IF(A802&lt;&gt;"",_xlfn.MAXIFS($B$1:B801,$A$1:A801,A802)+1,"")</f>
        <v/>
      </c>
      <c r="C802" s="296"/>
      <c r="D802" s="296"/>
      <c r="E802" s="296"/>
      <c r="F802" s="296"/>
      <c r="G802" s="326"/>
      <c r="H802" s="324"/>
      <c r="I802" s="325"/>
      <c r="J802" s="325"/>
      <c r="K802" s="318"/>
      <c r="L802" s="318"/>
      <c r="M802" s="319" t="str">
        <f>IFERROR(VLOOKUP(H802,Lijsten!$H$1:$I$100,2,0),"")</f>
        <v/>
      </c>
      <c r="N802" s="319" t="str">
        <f ca="1">IFERROR(IF(VLOOKUP(F802,Kostentypen!$A$3:$E$21,3,0)=0,"",IF(OR(F802="Arbeidskosten",F802="Vergoeding"),VLOOKUP(G802,Tb_KostenTypen[],2,0),VLOOKUP(F802,Kostentypen!$A$3:$E$20,3,0))),"")</f>
        <v/>
      </c>
      <c r="O802" s="320" t="str" cm="1">
        <f t="array" ref="O802">_xlfn.IFNA(IF(INDEX(Tb_KostenOptiesDB[],MATCH($F802,Tb_KostenOptiesDB[KostenOptie],0),IFERROR(MATCH(Methode_Keuze,Tb_KostenOptiesDB[#Headers],0),2))=1,_xlfn.SWITCH($N802,"Uurtarief",IF(OR(AND(RIGHT($F802,3)="IKS",VLOOKUP($M802,DB_Loonkosten,2,0)="Ja"),AND(RIGHT($F802,3)&lt;&gt;"IKS",VLOOKUP($M802,DB_Loonkosten,2,0)="Nee")),IFERROR(VLOOKUP($M802,DB_Loonkosten,24,0),""),0),"Vast tarief",IF(LEFT(F802,8)="Bijdrage",VLOOKUP($F802,Tb_KostenTypen[],MATCH(Lijsten!$P$1,Tb_KostenTypen[#Headers],0),0),VLOOKUP($G802,Lijsten!L:P,MATCH(Lijsten!$P$1,Kop_Tarief_Vast,0),0))),""),"")</f>
        <v/>
      </c>
      <c r="P802" s="320" t="str" cm="1">
        <f t="array" ref="P802">_xlfn.IFNA(IF(INDEX(Tb_KostenOptiesDB[],MATCH($F802,Tb_KostenOptiesDB[KostenOptie],0),IFERROR(MATCH(Methode_Keuze,Tb_KostenOptiesDB[#Headers],0),2))=1,_xlfn.SWITCH($N802,"Uurtarief",IF(OR(AND(RIGHT($F802,3)="IKS",VLOOKUP($M802,DB_Loonkosten,2,0)="Ja"),AND(RIGHT($F802,3)&lt;&gt;"IKS",VLOOKUP($M802,DB_Loonkosten,2,0)="Nee")),IFERROR(VLOOKUP($M802,DB_Loonkosten,25,0),""),0),"Vast tarief",IF(LEFT(F802,8)="Bijdrage",VLOOKUP($F802,Tb_KostenTypen[],MATCH(Lijsten!$P$1,Tb_KostenTypen[#Headers],0),0),VLOOKUP($G802,Lijsten!L:P,MATCH(Lijsten!$P$1,Kop_Tarief_Vast,0),0))),""),"")</f>
        <v/>
      </c>
      <c r="Q802" s="359"/>
      <c r="R802" s="359"/>
      <c r="S802" s="321"/>
      <c r="T802" s="321"/>
      <c r="U802" s="373" t="str">
        <f t="shared" si="48"/>
        <v/>
      </c>
      <c r="V802" s="314" t="str">
        <f t="shared" si="49"/>
        <v/>
      </c>
      <c r="W802" s="314" t="str" cm="1">
        <f t="array" aca="1" ref="W802" ca="1">IFERROR(IF(AE802&lt;&gt;"ja",_xlfn.IFNA(_xlfn.IFS(AND(O802&lt;&gt;"",F802&lt;&gt;"",RIGHT($N802,6)="tarief",F802="Vergoeding"),SUM(O802)*FLOOR(SUM(Q802),0.0001),AND(O802&lt;&gt;"",F802&lt;&gt;"",RIGHT($N802,6)="tarief"),SUM(O802)*FLOOR(SUM(Q802),0.01),S802&gt;0,IF(F802&lt;&gt;"",FLOOR(SUM(S802),0.01),"")),""),""),"")</f>
        <v/>
      </c>
      <c r="X802" s="314" t="str" cm="1">
        <f t="array" aca="1" ref="X802" ca="1">IFERROR(IF(AE802&lt;&gt;"ja",_xlfn.IFNA(_xlfn.IFS(AND(P802&lt;&gt;"",R802&lt;&gt;"",RIGHT($N802,6)="tarief",F802="Vergoeding"),SUM(P802)*FLOOR(SUM(R802),0.0001),AND(P802&lt;&gt;"",R802&lt;&gt;"",RIGHT($N802,6)="tarief"),P802*FLOOR(R802,0.01),T802&gt;0,FLOOR(SUM(T802),0.01)),""),""),"")</f>
        <v/>
      </c>
      <c r="Y802" s="314" t="str">
        <f t="shared" ca="1" si="50"/>
        <v/>
      </c>
      <c r="Z802" s="314" t="str" cm="1">
        <f t="array" aca="1" ref="Z802" ca="1">IFERROR(_xlfn.IFS(OR(F802="",LEFT(Methode_Keuze,4)="Geen",Methode_Keuze=""),"",AND(W802&lt;&gt;"",F802&lt;&gt;"Arbeidskosten"),W802*VLOOKUP(F802,Tb_ProjectKosten[],MATCH(Tb_ProjectKosten[[#Headers],[Forfait_Percentage]],Tb_ProjectKosten[#Headers],0),0),AND(F802="Arbeidskosten",G802&lt;&gt;""),IFERROR(W802*VLOOKUP(G802,Tb_KostenTypen[],3,0)*VLOOKUP(F802,Tb_ProjectKosten[],MATCH(Tb_ProjectKosten[[#Headers],[Forfait_Percentage]],Tb_ProjectKosten[#Headers],0),0),""),W802 &lt;=0,0),"")</f>
        <v/>
      </c>
      <c r="AA802" s="314" t="str" cm="1">
        <f t="array" aca="1" ref="AA802" ca="1">IFERROR(_xlfn.IFS(OR(F802="",LEFT(Methode_Keuze,4)="Geen",Methode_Keuze=""),"",AND(X802&lt;&gt;"",F802&lt;&gt;"Arbeidskosten"),X802*VLOOKUP(F802,Tb_ProjectKosten[],MATCH(Tb_ProjectKosten[[#Headers],[Forfait_Percentage]],Tb_ProjectKosten[#Headers],0),0),AND(F802="Arbeidskosten",G802&lt;&gt;""),IFERROR(X802*VLOOKUP(G802,Tb_KostenTypen[],3,0)*VLOOKUP(F802,Tb_ProjectKosten[],MATCH(Tb_ProjectKosten[[#Headers],[Forfait_Percentage]],Tb_ProjectKosten[#Headers],0),0),""),X802 &lt;=0,0),"")</f>
        <v/>
      </c>
      <c r="AB802" s="314" t="str">
        <f t="shared" ca="1" si="51"/>
        <v/>
      </c>
      <c r="AC802" s="322"/>
      <c r="AD802" s="315"/>
      <c r="AE802" s="32" t="str" cm="1">
        <f t="array" ref="AE802">IFERROR(IF(INDEX(SubsidieTabel!$AD$1:$AG$12,MATCH($F802,SubsidieTabel!$AD$1:$AD$12,0),IFERROR(MATCH(Methode_Keuze,SubsidieTabel!$AD$1:$AG$1,0),2))&lt;&gt;1=TRUE,"ja",""),"")</f>
        <v/>
      </c>
    </row>
    <row r="803" spans="1:31" x14ac:dyDescent="0.25">
      <c r="A803" s="316"/>
      <c r="B803" s="317" t="str">
        <f>IF(A803&lt;&gt;"",_xlfn.MAXIFS($B$1:B802,$A$1:A802,A803)+1,"")</f>
        <v/>
      </c>
      <c r="C803" s="296"/>
      <c r="D803" s="296"/>
      <c r="E803" s="296"/>
      <c r="F803" s="296"/>
      <c r="G803" s="326"/>
      <c r="H803" s="324"/>
      <c r="I803" s="325"/>
      <c r="J803" s="325"/>
      <c r="K803" s="318"/>
      <c r="L803" s="318"/>
      <c r="M803" s="319" t="str">
        <f>IFERROR(VLOOKUP(H803,Lijsten!$H$1:$I$100,2,0),"")</f>
        <v/>
      </c>
      <c r="N803" s="319" t="str">
        <f ca="1">IFERROR(IF(VLOOKUP(F803,Kostentypen!$A$3:$E$21,3,0)=0,"",IF(OR(F803="Arbeidskosten",F803="Vergoeding"),VLOOKUP(G803,Tb_KostenTypen[],2,0),VLOOKUP(F803,Kostentypen!$A$3:$E$20,3,0))),"")</f>
        <v/>
      </c>
      <c r="O803" s="320" t="str" cm="1">
        <f t="array" ref="O803">_xlfn.IFNA(IF(INDEX(Tb_KostenOptiesDB[],MATCH($F803,Tb_KostenOptiesDB[KostenOptie],0),IFERROR(MATCH(Methode_Keuze,Tb_KostenOptiesDB[#Headers],0),2))=1,_xlfn.SWITCH($N803,"Uurtarief",IF(OR(AND(RIGHT($F803,3)="IKS",VLOOKUP($M803,DB_Loonkosten,2,0)="Ja"),AND(RIGHT($F803,3)&lt;&gt;"IKS",VLOOKUP($M803,DB_Loonkosten,2,0)="Nee")),IFERROR(VLOOKUP($M803,DB_Loonkosten,24,0),""),0),"Vast tarief",IF(LEFT(F803,8)="Bijdrage",VLOOKUP($F803,Tb_KostenTypen[],MATCH(Lijsten!$P$1,Tb_KostenTypen[#Headers],0),0),VLOOKUP($G803,Lijsten!L:P,MATCH(Lijsten!$P$1,Kop_Tarief_Vast,0),0))),""),"")</f>
        <v/>
      </c>
      <c r="P803" s="320" t="str" cm="1">
        <f t="array" ref="P803">_xlfn.IFNA(IF(INDEX(Tb_KostenOptiesDB[],MATCH($F803,Tb_KostenOptiesDB[KostenOptie],0),IFERROR(MATCH(Methode_Keuze,Tb_KostenOptiesDB[#Headers],0),2))=1,_xlfn.SWITCH($N803,"Uurtarief",IF(OR(AND(RIGHT($F803,3)="IKS",VLOOKUP($M803,DB_Loonkosten,2,0)="Ja"),AND(RIGHT($F803,3)&lt;&gt;"IKS",VLOOKUP($M803,DB_Loonkosten,2,0)="Nee")),IFERROR(VLOOKUP($M803,DB_Loonkosten,25,0),""),0),"Vast tarief",IF(LEFT(F803,8)="Bijdrage",VLOOKUP($F803,Tb_KostenTypen[],MATCH(Lijsten!$P$1,Tb_KostenTypen[#Headers],0),0),VLOOKUP($G803,Lijsten!L:P,MATCH(Lijsten!$P$1,Kop_Tarief_Vast,0),0))),""),"")</f>
        <v/>
      </c>
      <c r="Q803" s="359"/>
      <c r="R803" s="359"/>
      <c r="S803" s="321"/>
      <c r="T803" s="321"/>
      <c r="U803" s="373" t="str">
        <f t="shared" si="48"/>
        <v/>
      </c>
      <c r="V803" s="314" t="str">
        <f t="shared" si="49"/>
        <v/>
      </c>
      <c r="W803" s="314" t="str" cm="1">
        <f t="array" aca="1" ref="W803" ca="1">IFERROR(IF(AE803&lt;&gt;"ja",_xlfn.IFNA(_xlfn.IFS(AND(O803&lt;&gt;"",F803&lt;&gt;"",RIGHT($N803,6)="tarief",F803="Vergoeding"),SUM(O803)*FLOOR(SUM(Q803),0.0001),AND(O803&lt;&gt;"",F803&lt;&gt;"",RIGHT($N803,6)="tarief"),SUM(O803)*FLOOR(SUM(Q803),0.01),S803&gt;0,IF(F803&lt;&gt;"",FLOOR(SUM(S803),0.01),"")),""),""),"")</f>
        <v/>
      </c>
      <c r="X803" s="314" t="str" cm="1">
        <f t="array" aca="1" ref="X803" ca="1">IFERROR(IF(AE803&lt;&gt;"ja",_xlfn.IFNA(_xlfn.IFS(AND(P803&lt;&gt;"",R803&lt;&gt;"",RIGHT($N803,6)="tarief",F803="Vergoeding"),SUM(P803)*FLOOR(SUM(R803),0.0001),AND(P803&lt;&gt;"",R803&lt;&gt;"",RIGHT($N803,6)="tarief"),P803*FLOOR(R803,0.01),T803&gt;0,FLOOR(SUM(T803),0.01)),""),""),"")</f>
        <v/>
      </c>
      <c r="Y803" s="314" t="str">
        <f t="shared" ca="1" si="50"/>
        <v/>
      </c>
      <c r="Z803" s="314" t="str" cm="1">
        <f t="array" aca="1" ref="Z803" ca="1">IFERROR(_xlfn.IFS(OR(F803="",LEFT(Methode_Keuze,4)="Geen",Methode_Keuze=""),"",AND(W803&lt;&gt;"",F803&lt;&gt;"Arbeidskosten"),W803*VLOOKUP(F803,Tb_ProjectKosten[],MATCH(Tb_ProjectKosten[[#Headers],[Forfait_Percentage]],Tb_ProjectKosten[#Headers],0),0),AND(F803="Arbeidskosten",G803&lt;&gt;""),IFERROR(W803*VLOOKUP(G803,Tb_KostenTypen[],3,0)*VLOOKUP(F803,Tb_ProjectKosten[],MATCH(Tb_ProjectKosten[[#Headers],[Forfait_Percentage]],Tb_ProjectKosten[#Headers],0),0),""),W803 &lt;=0,0),"")</f>
        <v/>
      </c>
      <c r="AA803" s="314" t="str" cm="1">
        <f t="array" aca="1" ref="AA803" ca="1">IFERROR(_xlfn.IFS(OR(F803="",LEFT(Methode_Keuze,4)="Geen",Methode_Keuze=""),"",AND(X803&lt;&gt;"",F803&lt;&gt;"Arbeidskosten"),X803*VLOOKUP(F803,Tb_ProjectKosten[],MATCH(Tb_ProjectKosten[[#Headers],[Forfait_Percentage]],Tb_ProjectKosten[#Headers],0),0),AND(F803="Arbeidskosten",G803&lt;&gt;""),IFERROR(X803*VLOOKUP(G803,Tb_KostenTypen[],3,0)*VLOOKUP(F803,Tb_ProjectKosten[],MATCH(Tb_ProjectKosten[[#Headers],[Forfait_Percentage]],Tb_ProjectKosten[#Headers],0),0),""),X803 &lt;=0,0),"")</f>
        <v/>
      </c>
      <c r="AB803" s="314" t="str">
        <f t="shared" ca="1" si="51"/>
        <v/>
      </c>
      <c r="AC803" s="322"/>
      <c r="AD803" s="315"/>
      <c r="AE803" s="32" t="str" cm="1">
        <f t="array" ref="AE803">IFERROR(IF(INDEX(SubsidieTabel!$AD$1:$AG$12,MATCH($F803,SubsidieTabel!$AD$1:$AD$12,0),IFERROR(MATCH(Methode_Keuze,SubsidieTabel!$AD$1:$AG$1,0),2))&lt;&gt;1=TRUE,"ja",""),"")</f>
        <v/>
      </c>
    </row>
    <row r="804" spans="1:31" x14ac:dyDescent="0.25">
      <c r="A804" s="316"/>
      <c r="B804" s="317" t="str">
        <f>IF(A804&lt;&gt;"",_xlfn.MAXIFS($B$1:B803,$A$1:A803,A804)+1,"")</f>
        <v/>
      </c>
      <c r="C804" s="296"/>
      <c r="D804" s="296"/>
      <c r="E804" s="296"/>
      <c r="F804" s="296"/>
      <c r="G804" s="326"/>
      <c r="H804" s="324"/>
      <c r="I804" s="325"/>
      <c r="J804" s="325"/>
      <c r="K804" s="318"/>
      <c r="L804" s="318"/>
      <c r="M804" s="319" t="str">
        <f>IFERROR(VLOOKUP(H804,Lijsten!$H$1:$I$100,2,0),"")</f>
        <v/>
      </c>
      <c r="N804" s="319" t="str">
        <f ca="1">IFERROR(IF(VLOOKUP(F804,Kostentypen!$A$3:$E$21,3,0)=0,"",IF(OR(F804="Arbeidskosten",F804="Vergoeding"),VLOOKUP(G804,Tb_KostenTypen[],2,0),VLOOKUP(F804,Kostentypen!$A$3:$E$20,3,0))),"")</f>
        <v/>
      </c>
      <c r="O804" s="320" t="str" cm="1">
        <f t="array" ref="O804">_xlfn.IFNA(IF(INDEX(Tb_KostenOptiesDB[],MATCH($F804,Tb_KostenOptiesDB[KostenOptie],0),IFERROR(MATCH(Methode_Keuze,Tb_KostenOptiesDB[#Headers],0),2))=1,_xlfn.SWITCH($N804,"Uurtarief",IF(OR(AND(RIGHT($F804,3)="IKS",VLOOKUP($M804,DB_Loonkosten,2,0)="Ja"),AND(RIGHT($F804,3)&lt;&gt;"IKS",VLOOKUP($M804,DB_Loonkosten,2,0)="Nee")),IFERROR(VLOOKUP($M804,DB_Loonkosten,24,0),""),0),"Vast tarief",IF(LEFT(F804,8)="Bijdrage",VLOOKUP($F804,Tb_KostenTypen[],MATCH(Lijsten!$P$1,Tb_KostenTypen[#Headers],0),0),VLOOKUP($G804,Lijsten!L:P,MATCH(Lijsten!$P$1,Kop_Tarief_Vast,0),0))),""),"")</f>
        <v/>
      </c>
      <c r="P804" s="320" t="str" cm="1">
        <f t="array" ref="P804">_xlfn.IFNA(IF(INDEX(Tb_KostenOptiesDB[],MATCH($F804,Tb_KostenOptiesDB[KostenOptie],0),IFERROR(MATCH(Methode_Keuze,Tb_KostenOptiesDB[#Headers],0),2))=1,_xlfn.SWITCH($N804,"Uurtarief",IF(OR(AND(RIGHT($F804,3)="IKS",VLOOKUP($M804,DB_Loonkosten,2,0)="Ja"),AND(RIGHT($F804,3)&lt;&gt;"IKS",VLOOKUP($M804,DB_Loonkosten,2,0)="Nee")),IFERROR(VLOOKUP($M804,DB_Loonkosten,25,0),""),0),"Vast tarief",IF(LEFT(F804,8)="Bijdrage",VLOOKUP($F804,Tb_KostenTypen[],MATCH(Lijsten!$P$1,Tb_KostenTypen[#Headers],0),0),VLOOKUP($G804,Lijsten!L:P,MATCH(Lijsten!$P$1,Kop_Tarief_Vast,0),0))),""),"")</f>
        <v/>
      </c>
      <c r="Q804" s="359"/>
      <c r="R804" s="359"/>
      <c r="S804" s="321"/>
      <c r="T804" s="321"/>
      <c r="U804" s="373" t="str">
        <f t="shared" si="48"/>
        <v/>
      </c>
      <c r="V804" s="314" t="str">
        <f t="shared" si="49"/>
        <v/>
      </c>
      <c r="W804" s="314" t="str" cm="1">
        <f t="array" aca="1" ref="W804" ca="1">IFERROR(IF(AE804&lt;&gt;"ja",_xlfn.IFNA(_xlfn.IFS(AND(O804&lt;&gt;"",F804&lt;&gt;"",RIGHT($N804,6)="tarief",F804="Vergoeding"),SUM(O804)*FLOOR(SUM(Q804),0.0001),AND(O804&lt;&gt;"",F804&lt;&gt;"",RIGHT($N804,6)="tarief"),SUM(O804)*FLOOR(SUM(Q804),0.01),S804&gt;0,IF(F804&lt;&gt;"",FLOOR(SUM(S804),0.01),"")),""),""),"")</f>
        <v/>
      </c>
      <c r="X804" s="314" t="str" cm="1">
        <f t="array" aca="1" ref="X804" ca="1">IFERROR(IF(AE804&lt;&gt;"ja",_xlfn.IFNA(_xlfn.IFS(AND(P804&lt;&gt;"",R804&lt;&gt;"",RIGHT($N804,6)="tarief",F804="Vergoeding"),SUM(P804)*FLOOR(SUM(R804),0.0001),AND(P804&lt;&gt;"",R804&lt;&gt;"",RIGHT($N804,6)="tarief"),P804*FLOOR(R804,0.01),T804&gt;0,FLOOR(SUM(T804),0.01)),""),""),"")</f>
        <v/>
      </c>
      <c r="Y804" s="314" t="str">
        <f t="shared" ca="1" si="50"/>
        <v/>
      </c>
      <c r="Z804" s="314" t="str" cm="1">
        <f t="array" aca="1" ref="Z804" ca="1">IFERROR(_xlfn.IFS(OR(F804="",LEFT(Methode_Keuze,4)="Geen",Methode_Keuze=""),"",AND(W804&lt;&gt;"",F804&lt;&gt;"Arbeidskosten"),W804*VLOOKUP(F804,Tb_ProjectKosten[],MATCH(Tb_ProjectKosten[[#Headers],[Forfait_Percentage]],Tb_ProjectKosten[#Headers],0),0),AND(F804="Arbeidskosten",G804&lt;&gt;""),IFERROR(W804*VLOOKUP(G804,Tb_KostenTypen[],3,0)*VLOOKUP(F804,Tb_ProjectKosten[],MATCH(Tb_ProjectKosten[[#Headers],[Forfait_Percentage]],Tb_ProjectKosten[#Headers],0),0),""),W804 &lt;=0,0),"")</f>
        <v/>
      </c>
      <c r="AA804" s="314" t="str" cm="1">
        <f t="array" aca="1" ref="AA804" ca="1">IFERROR(_xlfn.IFS(OR(F804="",LEFT(Methode_Keuze,4)="Geen",Methode_Keuze=""),"",AND(X804&lt;&gt;"",F804&lt;&gt;"Arbeidskosten"),X804*VLOOKUP(F804,Tb_ProjectKosten[],MATCH(Tb_ProjectKosten[[#Headers],[Forfait_Percentage]],Tb_ProjectKosten[#Headers],0),0),AND(F804="Arbeidskosten",G804&lt;&gt;""),IFERROR(X804*VLOOKUP(G804,Tb_KostenTypen[],3,0)*VLOOKUP(F804,Tb_ProjectKosten[],MATCH(Tb_ProjectKosten[[#Headers],[Forfait_Percentage]],Tb_ProjectKosten[#Headers],0),0),""),X804 &lt;=0,0),"")</f>
        <v/>
      </c>
      <c r="AB804" s="314" t="str">
        <f t="shared" ca="1" si="51"/>
        <v/>
      </c>
      <c r="AC804" s="322"/>
      <c r="AD804" s="315"/>
      <c r="AE804" s="32" t="str" cm="1">
        <f t="array" ref="AE804">IFERROR(IF(INDEX(SubsidieTabel!$AD$1:$AG$12,MATCH($F804,SubsidieTabel!$AD$1:$AD$12,0),IFERROR(MATCH(Methode_Keuze,SubsidieTabel!$AD$1:$AG$1,0),2))&lt;&gt;1=TRUE,"ja",""),"")</f>
        <v/>
      </c>
    </row>
    <row r="805" spans="1:31" x14ac:dyDescent="0.25">
      <c r="A805" s="316"/>
      <c r="B805" s="317" t="str">
        <f>IF(A805&lt;&gt;"",_xlfn.MAXIFS($B$1:B804,$A$1:A804,A805)+1,"")</f>
        <v/>
      </c>
      <c r="C805" s="296"/>
      <c r="D805" s="296"/>
      <c r="E805" s="296"/>
      <c r="F805" s="296"/>
      <c r="G805" s="326"/>
      <c r="H805" s="324"/>
      <c r="I805" s="325"/>
      <c r="J805" s="325"/>
      <c r="K805" s="318"/>
      <c r="L805" s="318"/>
      <c r="M805" s="319" t="str">
        <f>IFERROR(VLOOKUP(H805,Lijsten!$H$1:$I$100,2,0),"")</f>
        <v/>
      </c>
      <c r="N805" s="319" t="str">
        <f ca="1">IFERROR(IF(VLOOKUP(F805,Kostentypen!$A$3:$E$21,3,0)=0,"",IF(OR(F805="Arbeidskosten",F805="Vergoeding"),VLOOKUP(G805,Tb_KostenTypen[],2,0),VLOOKUP(F805,Kostentypen!$A$3:$E$20,3,0))),"")</f>
        <v/>
      </c>
      <c r="O805" s="320" t="str" cm="1">
        <f t="array" ref="O805">_xlfn.IFNA(IF(INDEX(Tb_KostenOptiesDB[],MATCH($F805,Tb_KostenOptiesDB[KostenOptie],0),IFERROR(MATCH(Methode_Keuze,Tb_KostenOptiesDB[#Headers],0),2))=1,_xlfn.SWITCH($N805,"Uurtarief",IF(OR(AND(RIGHT($F805,3)="IKS",VLOOKUP($M805,DB_Loonkosten,2,0)="Ja"),AND(RIGHT($F805,3)&lt;&gt;"IKS",VLOOKUP($M805,DB_Loonkosten,2,0)="Nee")),IFERROR(VLOOKUP($M805,DB_Loonkosten,24,0),""),0),"Vast tarief",IF(LEFT(F805,8)="Bijdrage",VLOOKUP($F805,Tb_KostenTypen[],MATCH(Lijsten!$P$1,Tb_KostenTypen[#Headers],0),0),VLOOKUP($G805,Lijsten!L:P,MATCH(Lijsten!$P$1,Kop_Tarief_Vast,0),0))),""),"")</f>
        <v/>
      </c>
      <c r="P805" s="320" t="str" cm="1">
        <f t="array" ref="P805">_xlfn.IFNA(IF(INDEX(Tb_KostenOptiesDB[],MATCH($F805,Tb_KostenOptiesDB[KostenOptie],0),IFERROR(MATCH(Methode_Keuze,Tb_KostenOptiesDB[#Headers],0),2))=1,_xlfn.SWITCH($N805,"Uurtarief",IF(OR(AND(RIGHT($F805,3)="IKS",VLOOKUP($M805,DB_Loonkosten,2,0)="Ja"),AND(RIGHT($F805,3)&lt;&gt;"IKS",VLOOKUP($M805,DB_Loonkosten,2,0)="Nee")),IFERROR(VLOOKUP($M805,DB_Loonkosten,25,0),""),0),"Vast tarief",IF(LEFT(F805,8)="Bijdrage",VLOOKUP($F805,Tb_KostenTypen[],MATCH(Lijsten!$P$1,Tb_KostenTypen[#Headers],0),0),VLOOKUP($G805,Lijsten!L:P,MATCH(Lijsten!$P$1,Kop_Tarief_Vast,0),0))),""),"")</f>
        <v/>
      </c>
      <c r="Q805" s="359"/>
      <c r="R805" s="359"/>
      <c r="S805" s="321"/>
      <c r="T805" s="321"/>
      <c r="U805" s="373" t="str">
        <f t="shared" si="48"/>
        <v/>
      </c>
      <c r="V805" s="314" t="str">
        <f t="shared" si="49"/>
        <v/>
      </c>
      <c r="W805" s="314" t="str" cm="1">
        <f t="array" aca="1" ref="W805" ca="1">IFERROR(IF(AE805&lt;&gt;"ja",_xlfn.IFNA(_xlfn.IFS(AND(O805&lt;&gt;"",F805&lt;&gt;"",RIGHT($N805,6)="tarief",F805="Vergoeding"),SUM(O805)*FLOOR(SUM(Q805),0.0001),AND(O805&lt;&gt;"",F805&lt;&gt;"",RIGHT($N805,6)="tarief"),SUM(O805)*FLOOR(SUM(Q805),0.01),S805&gt;0,IF(F805&lt;&gt;"",FLOOR(SUM(S805),0.01),"")),""),""),"")</f>
        <v/>
      </c>
      <c r="X805" s="314" t="str" cm="1">
        <f t="array" aca="1" ref="X805" ca="1">IFERROR(IF(AE805&lt;&gt;"ja",_xlfn.IFNA(_xlfn.IFS(AND(P805&lt;&gt;"",R805&lt;&gt;"",RIGHT($N805,6)="tarief",F805="Vergoeding"),SUM(P805)*FLOOR(SUM(R805),0.0001),AND(P805&lt;&gt;"",R805&lt;&gt;"",RIGHT($N805,6)="tarief"),P805*FLOOR(R805,0.01),T805&gt;0,FLOOR(SUM(T805),0.01)),""),""),"")</f>
        <v/>
      </c>
      <c r="Y805" s="314" t="str">
        <f t="shared" ca="1" si="50"/>
        <v/>
      </c>
      <c r="Z805" s="314" t="str" cm="1">
        <f t="array" aca="1" ref="Z805" ca="1">IFERROR(_xlfn.IFS(OR(F805="",LEFT(Methode_Keuze,4)="Geen",Methode_Keuze=""),"",AND(W805&lt;&gt;"",F805&lt;&gt;"Arbeidskosten"),W805*VLOOKUP(F805,Tb_ProjectKosten[],MATCH(Tb_ProjectKosten[[#Headers],[Forfait_Percentage]],Tb_ProjectKosten[#Headers],0),0),AND(F805="Arbeidskosten",G805&lt;&gt;""),IFERROR(W805*VLOOKUP(G805,Tb_KostenTypen[],3,0)*VLOOKUP(F805,Tb_ProjectKosten[],MATCH(Tb_ProjectKosten[[#Headers],[Forfait_Percentage]],Tb_ProjectKosten[#Headers],0),0),""),W805 &lt;=0,0),"")</f>
        <v/>
      </c>
      <c r="AA805" s="314" t="str" cm="1">
        <f t="array" aca="1" ref="AA805" ca="1">IFERROR(_xlfn.IFS(OR(F805="",LEFT(Methode_Keuze,4)="Geen",Methode_Keuze=""),"",AND(X805&lt;&gt;"",F805&lt;&gt;"Arbeidskosten"),X805*VLOOKUP(F805,Tb_ProjectKosten[],MATCH(Tb_ProjectKosten[[#Headers],[Forfait_Percentage]],Tb_ProjectKosten[#Headers],0),0),AND(F805="Arbeidskosten",G805&lt;&gt;""),IFERROR(X805*VLOOKUP(G805,Tb_KostenTypen[],3,0)*VLOOKUP(F805,Tb_ProjectKosten[],MATCH(Tb_ProjectKosten[[#Headers],[Forfait_Percentage]],Tb_ProjectKosten[#Headers],0),0),""),X805 &lt;=0,0),"")</f>
        <v/>
      </c>
      <c r="AB805" s="314" t="str">
        <f t="shared" ca="1" si="51"/>
        <v/>
      </c>
      <c r="AC805" s="322"/>
      <c r="AD805" s="315"/>
      <c r="AE805" s="32" t="str" cm="1">
        <f t="array" ref="AE805">IFERROR(IF(INDEX(SubsidieTabel!$AD$1:$AG$12,MATCH($F805,SubsidieTabel!$AD$1:$AD$12,0),IFERROR(MATCH(Methode_Keuze,SubsidieTabel!$AD$1:$AG$1,0),2))&lt;&gt;1=TRUE,"ja",""),"")</f>
        <v/>
      </c>
    </row>
    <row r="806" spans="1:31" x14ac:dyDescent="0.25">
      <c r="A806" s="316"/>
      <c r="B806" s="317" t="str">
        <f>IF(A806&lt;&gt;"",_xlfn.MAXIFS($B$1:B805,$A$1:A805,A806)+1,"")</f>
        <v/>
      </c>
      <c r="C806" s="296"/>
      <c r="D806" s="296"/>
      <c r="E806" s="296"/>
      <c r="F806" s="296"/>
      <c r="G806" s="326"/>
      <c r="H806" s="324"/>
      <c r="I806" s="325"/>
      <c r="J806" s="325"/>
      <c r="K806" s="318"/>
      <c r="L806" s="318"/>
      <c r="M806" s="319" t="str">
        <f>IFERROR(VLOOKUP(H806,Lijsten!$H$1:$I$100,2,0),"")</f>
        <v/>
      </c>
      <c r="N806" s="319" t="str">
        <f ca="1">IFERROR(IF(VLOOKUP(F806,Kostentypen!$A$3:$E$21,3,0)=0,"",IF(OR(F806="Arbeidskosten",F806="Vergoeding"),VLOOKUP(G806,Tb_KostenTypen[],2,0),VLOOKUP(F806,Kostentypen!$A$3:$E$20,3,0))),"")</f>
        <v/>
      </c>
      <c r="O806" s="320" t="str" cm="1">
        <f t="array" ref="O806">_xlfn.IFNA(IF(INDEX(Tb_KostenOptiesDB[],MATCH($F806,Tb_KostenOptiesDB[KostenOptie],0),IFERROR(MATCH(Methode_Keuze,Tb_KostenOptiesDB[#Headers],0),2))=1,_xlfn.SWITCH($N806,"Uurtarief",IF(OR(AND(RIGHT($F806,3)="IKS",VLOOKUP($M806,DB_Loonkosten,2,0)="Ja"),AND(RIGHT($F806,3)&lt;&gt;"IKS",VLOOKUP($M806,DB_Loonkosten,2,0)="Nee")),IFERROR(VLOOKUP($M806,DB_Loonkosten,24,0),""),0),"Vast tarief",IF(LEFT(F806,8)="Bijdrage",VLOOKUP($F806,Tb_KostenTypen[],MATCH(Lijsten!$P$1,Tb_KostenTypen[#Headers],0),0),VLOOKUP($G806,Lijsten!L:P,MATCH(Lijsten!$P$1,Kop_Tarief_Vast,0),0))),""),"")</f>
        <v/>
      </c>
      <c r="P806" s="320" t="str" cm="1">
        <f t="array" ref="P806">_xlfn.IFNA(IF(INDEX(Tb_KostenOptiesDB[],MATCH($F806,Tb_KostenOptiesDB[KostenOptie],0),IFERROR(MATCH(Methode_Keuze,Tb_KostenOptiesDB[#Headers],0),2))=1,_xlfn.SWITCH($N806,"Uurtarief",IF(OR(AND(RIGHT($F806,3)="IKS",VLOOKUP($M806,DB_Loonkosten,2,0)="Ja"),AND(RIGHT($F806,3)&lt;&gt;"IKS",VLOOKUP($M806,DB_Loonkosten,2,0)="Nee")),IFERROR(VLOOKUP($M806,DB_Loonkosten,25,0),""),0),"Vast tarief",IF(LEFT(F806,8)="Bijdrage",VLOOKUP($F806,Tb_KostenTypen[],MATCH(Lijsten!$P$1,Tb_KostenTypen[#Headers],0),0),VLOOKUP($G806,Lijsten!L:P,MATCH(Lijsten!$P$1,Kop_Tarief_Vast,0),0))),""),"")</f>
        <v/>
      </c>
      <c r="Q806" s="359"/>
      <c r="R806" s="359"/>
      <c r="S806" s="321"/>
      <c r="T806" s="321"/>
      <c r="U806" s="373" t="str">
        <f t="shared" si="48"/>
        <v/>
      </c>
      <c r="V806" s="314" t="str">
        <f t="shared" si="49"/>
        <v/>
      </c>
      <c r="W806" s="314" t="str" cm="1">
        <f t="array" aca="1" ref="W806" ca="1">IFERROR(IF(AE806&lt;&gt;"ja",_xlfn.IFNA(_xlfn.IFS(AND(O806&lt;&gt;"",F806&lt;&gt;"",RIGHT($N806,6)="tarief",F806="Vergoeding"),SUM(O806)*FLOOR(SUM(Q806),0.0001),AND(O806&lt;&gt;"",F806&lt;&gt;"",RIGHT($N806,6)="tarief"),SUM(O806)*FLOOR(SUM(Q806),0.01),S806&gt;0,IF(F806&lt;&gt;"",FLOOR(SUM(S806),0.01),"")),""),""),"")</f>
        <v/>
      </c>
      <c r="X806" s="314" t="str" cm="1">
        <f t="array" aca="1" ref="X806" ca="1">IFERROR(IF(AE806&lt;&gt;"ja",_xlfn.IFNA(_xlfn.IFS(AND(P806&lt;&gt;"",R806&lt;&gt;"",RIGHT($N806,6)="tarief",F806="Vergoeding"),SUM(P806)*FLOOR(SUM(R806),0.0001),AND(P806&lt;&gt;"",R806&lt;&gt;"",RIGHT($N806,6)="tarief"),P806*FLOOR(R806,0.01),T806&gt;0,FLOOR(SUM(T806),0.01)),""),""),"")</f>
        <v/>
      </c>
      <c r="Y806" s="314" t="str">
        <f t="shared" ca="1" si="50"/>
        <v/>
      </c>
      <c r="Z806" s="314" t="str" cm="1">
        <f t="array" aca="1" ref="Z806" ca="1">IFERROR(_xlfn.IFS(OR(F806="",LEFT(Methode_Keuze,4)="Geen",Methode_Keuze=""),"",AND(W806&lt;&gt;"",F806&lt;&gt;"Arbeidskosten"),W806*VLOOKUP(F806,Tb_ProjectKosten[],MATCH(Tb_ProjectKosten[[#Headers],[Forfait_Percentage]],Tb_ProjectKosten[#Headers],0),0),AND(F806="Arbeidskosten",G806&lt;&gt;""),IFERROR(W806*VLOOKUP(G806,Tb_KostenTypen[],3,0)*VLOOKUP(F806,Tb_ProjectKosten[],MATCH(Tb_ProjectKosten[[#Headers],[Forfait_Percentage]],Tb_ProjectKosten[#Headers],0),0),""),W806 &lt;=0,0),"")</f>
        <v/>
      </c>
      <c r="AA806" s="314" t="str" cm="1">
        <f t="array" aca="1" ref="AA806" ca="1">IFERROR(_xlfn.IFS(OR(F806="",LEFT(Methode_Keuze,4)="Geen",Methode_Keuze=""),"",AND(X806&lt;&gt;"",F806&lt;&gt;"Arbeidskosten"),X806*VLOOKUP(F806,Tb_ProjectKosten[],MATCH(Tb_ProjectKosten[[#Headers],[Forfait_Percentage]],Tb_ProjectKosten[#Headers],0),0),AND(F806="Arbeidskosten",G806&lt;&gt;""),IFERROR(X806*VLOOKUP(G806,Tb_KostenTypen[],3,0)*VLOOKUP(F806,Tb_ProjectKosten[],MATCH(Tb_ProjectKosten[[#Headers],[Forfait_Percentage]],Tb_ProjectKosten[#Headers],0),0),""),X806 &lt;=0,0),"")</f>
        <v/>
      </c>
      <c r="AB806" s="314" t="str">
        <f t="shared" ca="1" si="51"/>
        <v/>
      </c>
      <c r="AC806" s="322"/>
      <c r="AD806" s="315"/>
      <c r="AE806" s="32" t="str" cm="1">
        <f t="array" ref="AE806">IFERROR(IF(INDEX(SubsidieTabel!$AD$1:$AG$12,MATCH($F806,SubsidieTabel!$AD$1:$AD$12,0),IFERROR(MATCH(Methode_Keuze,SubsidieTabel!$AD$1:$AG$1,0),2))&lt;&gt;1=TRUE,"ja",""),"")</f>
        <v/>
      </c>
    </row>
    <row r="807" spans="1:31" x14ac:dyDescent="0.25">
      <c r="A807" s="316"/>
      <c r="B807" s="317" t="str">
        <f>IF(A807&lt;&gt;"",_xlfn.MAXIFS($B$1:B806,$A$1:A806,A807)+1,"")</f>
        <v/>
      </c>
      <c r="C807" s="296"/>
      <c r="D807" s="296"/>
      <c r="E807" s="296"/>
      <c r="F807" s="296"/>
      <c r="G807" s="326"/>
      <c r="H807" s="324"/>
      <c r="I807" s="325"/>
      <c r="J807" s="325"/>
      <c r="K807" s="318"/>
      <c r="L807" s="318"/>
      <c r="M807" s="319" t="str">
        <f>IFERROR(VLOOKUP(H807,Lijsten!$H$1:$I$100,2,0),"")</f>
        <v/>
      </c>
      <c r="N807" s="319" t="str">
        <f ca="1">IFERROR(IF(VLOOKUP(F807,Kostentypen!$A$3:$E$21,3,0)=0,"",IF(OR(F807="Arbeidskosten",F807="Vergoeding"),VLOOKUP(G807,Tb_KostenTypen[],2,0),VLOOKUP(F807,Kostentypen!$A$3:$E$20,3,0))),"")</f>
        <v/>
      </c>
      <c r="O807" s="320" t="str" cm="1">
        <f t="array" ref="O807">_xlfn.IFNA(IF(INDEX(Tb_KostenOptiesDB[],MATCH($F807,Tb_KostenOptiesDB[KostenOptie],0),IFERROR(MATCH(Methode_Keuze,Tb_KostenOptiesDB[#Headers],0),2))=1,_xlfn.SWITCH($N807,"Uurtarief",IF(OR(AND(RIGHT($F807,3)="IKS",VLOOKUP($M807,DB_Loonkosten,2,0)="Ja"),AND(RIGHT($F807,3)&lt;&gt;"IKS",VLOOKUP($M807,DB_Loonkosten,2,0)="Nee")),IFERROR(VLOOKUP($M807,DB_Loonkosten,24,0),""),0),"Vast tarief",IF(LEFT(F807,8)="Bijdrage",VLOOKUP($F807,Tb_KostenTypen[],MATCH(Lijsten!$P$1,Tb_KostenTypen[#Headers],0),0),VLOOKUP($G807,Lijsten!L:P,MATCH(Lijsten!$P$1,Kop_Tarief_Vast,0),0))),""),"")</f>
        <v/>
      </c>
      <c r="P807" s="320" t="str" cm="1">
        <f t="array" ref="P807">_xlfn.IFNA(IF(INDEX(Tb_KostenOptiesDB[],MATCH($F807,Tb_KostenOptiesDB[KostenOptie],0),IFERROR(MATCH(Methode_Keuze,Tb_KostenOptiesDB[#Headers],0),2))=1,_xlfn.SWITCH($N807,"Uurtarief",IF(OR(AND(RIGHT($F807,3)="IKS",VLOOKUP($M807,DB_Loonkosten,2,0)="Ja"),AND(RIGHT($F807,3)&lt;&gt;"IKS",VLOOKUP($M807,DB_Loonkosten,2,0)="Nee")),IFERROR(VLOOKUP($M807,DB_Loonkosten,25,0),""),0),"Vast tarief",IF(LEFT(F807,8)="Bijdrage",VLOOKUP($F807,Tb_KostenTypen[],MATCH(Lijsten!$P$1,Tb_KostenTypen[#Headers],0),0),VLOOKUP($G807,Lijsten!L:P,MATCH(Lijsten!$P$1,Kop_Tarief_Vast,0),0))),""),"")</f>
        <v/>
      </c>
      <c r="Q807" s="359"/>
      <c r="R807" s="359"/>
      <c r="S807" s="321"/>
      <c r="T807" s="321"/>
      <c r="U807" s="373" t="str">
        <f t="shared" si="48"/>
        <v/>
      </c>
      <c r="V807" s="314" t="str">
        <f t="shared" si="49"/>
        <v/>
      </c>
      <c r="W807" s="314" t="str" cm="1">
        <f t="array" aca="1" ref="W807" ca="1">IFERROR(IF(AE807&lt;&gt;"ja",_xlfn.IFNA(_xlfn.IFS(AND(O807&lt;&gt;"",F807&lt;&gt;"",RIGHT($N807,6)="tarief",F807="Vergoeding"),SUM(O807)*FLOOR(SUM(Q807),0.0001),AND(O807&lt;&gt;"",F807&lt;&gt;"",RIGHT($N807,6)="tarief"),SUM(O807)*FLOOR(SUM(Q807),0.01),S807&gt;0,IF(F807&lt;&gt;"",FLOOR(SUM(S807),0.01),"")),""),""),"")</f>
        <v/>
      </c>
      <c r="X807" s="314" t="str" cm="1">
        <f t="array" aca="1" ref="X807" ca="1">IFERROR(IF(AE807&lt;&gt;"ja",_xlfn.IFNA(_xlfn.IFS(AND(P807&lt;&gt;"",R807&lt;&gt;"",RIGHT($N807,6)="tarief",F807="Vergoeding"),SUM(P807)*FLOOR(SUM(R807),0.0001),AND(P807&lt;&gt;"",R807&lt;&gt;"",RIGHT($N807,6)="tarief"),P807*FLOOR(R807,0.01),T807&gt;0,FLOOR(SUM(T807),0.01)),""),""),"")</f>
        <v/>
      </c>
      <c r="Y807" s="314" t="str">
        <f t="shared" ca="1" si="50"/>
        <v/>
      </c>
      <c r="Z807" s="314" t="str" cm="1">
        <f t="array" aca="1" ref="Z807" ca="1">IFERROR(_xlfn.IFS(OR(F807="",LEFT(Methode_Keuze,4)="Geen",Methode_Keuze=""),"",AND(W807&lt;&gt;"",F807&lt;&gt;"Arbeidskosten"),W807*VLOOKUP(F807,Tb_ProjectKosten[],MATCH(Tb_ProjectKosten[[#Headers],[Forfait_Percentage]],Tb_ProjectKosten[#Headers],0),0),AND(F807="Arbeidskosten",G807&lt;&gt;""),IFERROR(W807*VLOOKUP(G807,Tb_KostenTypen[],3,0)*VLOOKUP(F807,Tb_ProjectKosten[],MATCH(Tb_ProjectKosten[[#Headers],[Forfait_Percentage]],Tb_ProjectKosten[#Headers],0),0),""),W807 &lt;=0,0),"")</f>
        <v/>
      </c>
      <c r="AA807" s="314" t="str" cm="1">
        <f t="array" aca="1" ref="AA807" ca="1">IFERROR(_xlfn.IFS(OR(F807="",LEFT(Methode_Keuze,4)="Geen",Methode_Keuze=""),"",AND(X807&lt;&gt;"",F807&lt;&gt;"Arbeidskosten"),X807*VLOOKUP(F807,Tb_ProjectKosten[],MATCH(Tb_ProjectKosten[[#Headers],[Forfait_Percentage]],Tb_ProjectKosten[#Headers],0),0),AND(F807="Arbeidskosten",G807&lt;&gt;""),IFERROR(X807*VLOOKUP(G807,Tb_KostenTypen[],3,0)*VLOOKUP(F807,Tb_ProjectKosten[],MATCH(Tb_ProjectKosten[[#Headers],[Forfait_Percentage]],Tb_ProjectKosten[#Headers],0),0),""),X807 &lt;=0,0),"")</f>
        <v/>
      </c>
      <c r="AB807" s="314" t="str">
        <f t="shared" ca="1" si="51"/>
        <v/>
      </c>
      <c r="AC807" s="322"/>
      <c r="AD807" s="315"/>
      <c r="AE807" s="32" t="str" cm="1">
        <f t="array" ref="AE807">IFERROR(IF(INDEX(SubsidieTabel!$AD$1:$AG$12,MATCH($F807,SubsidieTabel!$AD$1:$AD$12,0),IFERROR(MATCH(Methode_Keuze,SubsidieTabel!$AD$1:$AG$1,0),2))&lt;&gt;1=TRUE,"ja",""),"")</f>
        <v/>
      </c>
    </row>
    <row r="808" spans="1:31" x14ac:dyDescent="0.25">
      <c r="A808" s="316"/>
      <c r="B808" s="317" t="str">
        <f>IF(A808&lt;&gt;"",_xlfn.MAXIFS($B$1:B807,$A$1:A807,A808)+1,"")</f>
        <v/>
      </c>
      <c r="C808" s="296"/>
      <c r="D808" s="296"/>
      <c r="E808" s="296"/>
      <c r="F808" s="296"/>
      <c r="G808" s="326"/>
      <c r="H808" s="324"/>
      <c r="I808" s="325"/>
      <c r="J808" s="325"/>
      <c r="K808" s="318"/>
      <c r="L808" s="318"/>
      <c r="M808" s="319" t="str">
        <f>IFERROR(VLOOKUP(H808,Lijsten!$H$1:$I$100,2,0),"")</f>
        <v/>
      </c>
      <c r="N808" s="319" t="str">
        <f ca="1">IFERROR(IF(VLOOKUP(F808,Kostentypen!$A$3:$E$21,3,0)=0,"",IF(OR(F808="Arbeidskosten",F808="Vergoeding"),VLOOKUP(G808,Tb_KostenTypen[],2,0),VLOOKUP(F808,Kostentypen!$A$3:$E$20,3,0))),"")</f>
        <v/>
      </c>
      <c r="O808" s="320" t="str" cm="1">
        <f t="array" ref="O808">_xlfn.IFNA(IF(INDEX(Tb_KostenOptiesDB[],MATCH($F808,Tb_KostenOptiesDB[KostenOptie],0),IFERROR(MATCH(Methode_Keuze,Tb_KostenOptiesDB[#Headers],0),2))=1,_xlfn.SWITCH($N808,"Uurtarief",IF(OR(AND(RIGHT($F808,3)="IKS",VLOOKUP($M808,DB_Loonkosten,2,0)="Ja"),AND(RIGHT($F808,3)&lt;&gt;"IKS",VLOOKUP($M808,DB_Loonkosten,2,0)="Nee")),IFERROR(VLOOKUP($M808,DB_Loonkosten,24,0),""),0),"Vast tarief",IF(LEFT(F808,8)="Bijdrage",VLOOKUP($F808,Tb_KostenTypen[],MATCH(Lijsten!$P$1,Tb_KostenTypen[#Headers],0),0),VLOOKUP($G808,Lijsten!L:P,MATCH(Lijsten!$P$1,Kop_Tarief_Vast,0),0))),""),"")</f>
        <v/>
      </c>
      <c r="P808" s="320" t="str" cm="1">
        <f t="array" ref="P808">_xlfn.IFNA(IF(INDEX(Tb_KostenOptiesDB[],MATCH($F808,Tb_KostenOptiesDB[KostenOptie],0),IFERROR(MATCH(Methode_Keuze,Tb_KostenOptiesDB[#Headers],0),2))=1,_xlfn.SWITCH($N808,"Uurtarief",IF(OR(AND(RIGHT($F808,3)="IKS",VLOOKUP($M808,DB_Loonkosten,2,0)="Ja"),AND(RIGHT($F808,3)&lt;&gt;"IKS",VLOOKUP($M808,DB_Loonkosten,2,0)="Nee")),IFERROR(VLOOKUP($M808,DB_Loonkosten,25,0),""),0),"Vast tarief",IF(LEFT(F808,8)="Bijdrage",VLOOKUP($F808,Tb_KostenTypen[],MATCH(Lijsten!$P$1,Tb_KostenTypen[#Headers],0),0),VLOOKUP($G808,Lijsten!L:P,MATCH(Lijsten!$P$1,Kop_Tarief_Vast,0),0))),""),"")</f>
        <v/>
      </c>
      <c r="Q808" s="359"/>
      <c r="R808" s="359"/>
      <c r="S808" s="321"/>
      <c r="T808" s="321"/>
      <c r="U808" s="373" t="str">
        <f t="shared" si="48"/>
        <v/>
      </c>
      <c r="V808" s="314" t="str">
        <f t="shared" si="49"/>
        <v/>
      </c>
      <c r="W808" s="314" t="str" cm="1">
        <f t="array" aca="1" ref="W808" ca="1">IFERROR(IF(AE808&lt;&gt;"ja",_xlfn.IFNA(_xlfn.IFS(AND(O808&lt;&gt;"",F808&lt;&gt;"",RIGHT($N808,6)="tarief",F808="Vergoeding"),SUM(O808)*FLOOR(SUM(Q808),0.0001),AND(O808&lt;&gt;"",F808&lt;&gt;"",RIGHT($N808,6)="tarief"),SUM(O808)*FLOOR(SUM(Q808),0.01),S808&gt;0,IF(F808&lt;&gt;"",FLOOR(SUM(S808),0.01),"")),""),""),"")</f>
        <v/>
      </c>
      <c r="X808" s="314" t="str" cm="1">
        <f t="array" aca="1" ref="X808" ca="1">IFERROR(IF(AE808&lt;&gt;"ja",_xlfn.IFNA(_xlfn.IFS(AND(P808&lt;&gt;"",R808&lt;&gt;"",RIGHT($N808,6)="tarief",F808="Vergoeding"),SUM(P808)*FLOOR(SUM(R808),0.0001),AND(P808&lt;&gt;"",R808&lt;&gt;"",RIGHT($N808,6)="tarief"),P808*FLOOR(R808,0.01),T808&gt;0,FLOOR(SUM(T808),0.01)),""),""),"")</f>
        <v/>
      </c>
      <c r="Y808" s="314" t="str">
        <f t="shared" ca="1" si="50"/>
        <v/>
      </c>
      <c r="Z808" s="314" t="str" cm="1">
        <f t="array" aca="1" ref="Z808" ca="1">IFERROR(_xlfn.IFS(OR(F808="",LEFT(Methode_Keuze,4)="Geen",Methode_Keuze=""),"",AND(W808&lt;&gt;"",F808&lt;&gt;"Arbeidskosten"),W808*VLOOKUP(F808,Tb_ProjectKosten[],MATCH(Tb_ProjectKosten[[#Headers],[Forfait_Percentage]],Tb_ProjectKosten[#Headers],0),0),AND(F808="Arbeidskosten",G808&lt;&gt;""),IFERROR(W808*VLOOKUP(G808,Tb_KostenTypen[],3,0)*VLOOKUP(F808,Tb_ProjectKosten[],MATCH(Tb_ProjectKosten[[#Headers],[Forfait_Percentage]],Tb_ProjectKosten[#Headers],0),0),""),W808 &lt;=0,0),"")</f>
        <v/>
      </c>
      <c r="AA808" s="314" t="str" cm="1">
        <f t="array" aca="1" ref="AA808" ca="1">IFERROR(_xlfn.IFS(OR(F808="",LEFT(Methode_Keuze,4)="Geen",Methode_Keuze=""),"",AND(X808&lt;&gt;"",F808&lt;&gt;"Arbeidskosten"),X808*VLOOKUP(F808,Tb_ProjectKosten[],MATCH(Tb_ProjectKosten[[#Headers],[Forfait_Percentage]],Tb_ProjectKosten[#Headers],0),0),AND(F808="Arbeidskosten",G808&lt;&gt;""),IFERROR(X808*VLOOKUP(G808,Tb_KostenTypen[],3,0)*VLOOKUP(F808,Tb_ProjectKosten[],MATCH(Tb_ProjectKosten[[#Headers],[Forfait_Percentage]],Tb_ProjectKosten[#Headers],0),0),""),X808 &lt;=0,0),"")</f>
        <v/>
      </c>
      <c r="AB808" s="314" t="str">
        <f t="shared" ca="1" si="51"/>
        <v/>
      </c>
      <c r="AC808" s="322"/>
      <c r="AD808" s="315"/>
      <c r="AE808" s="32" t="str" cm="1">
        <f t="array" ref="AE808">IFERROR(IF(INDEX(SubsidieTabel!$AD$1:$AG$12,MATCH($F808,SubsidieTabel!$AD$1:$AD$12,0),IFERROR(MATCH(Methode_Keuze,SubsidieTabel!$AD$1:$AG$1,0),2))&lt;&gt;1=TRUE,"ja",""),"")</f>
        <v/>
      </c>
    </row>
    <row r="809" spans="1:31" x14ac:dyDescent="0.25">
      <c r="A809" s="316"/>
      <c r="B809" s="317" t="str">
        <f>IF(A809&lt;&gt;"",_xlfn.MAXIFS($B$1:B808,$A$1:A808,A809)+1,"")</f>
        <v/>
      </c>
      <c r="C809" s="296"/>
      <c r="D809" s="296"/>
      <c r="E809" s="296"/>
      <c r="F809" s="296"/>
      <c r="G809" s="326"/>
      <c r="H809" s="324"/>
      <c r="I809" s="325"/>
      <c r="J809" s="325"/>
      <c r="K809" s="318"/>
      <c r="L809" s="318"/>
      <c r="M809" s="319" t="str">
        <f>IFERROR(VLOOKUP(H809,Lijsten!$H$1:$I$100,2,0),"")</f>
        <v/>
      </c>
      <c r="N809" s="319" t="str">
        <f ca="1">IFERROR(IF(VLOOKUP(F809,Kostentypen!$A$3:$E$21,3,0)=0,"",IF(OR(F809="Arbeidskosten",F809="Vergoeding"),VLOOKUP(G809,Tb_KostenTypen[],2,0),VLOOKUP(F809,Kostentypen!$A$3:$E$20,3,0))),"")</f>
        <v/>
      </c>
      <c r="O809" s="320" t="str" cm="1">
        <f t="array" ref="O809">_xlfn.IFNA(IF(INDEX(Tb_KostenOptiesDB[],MATCH($F809,Tb_KostenOptiesDB[KostenOptie],0),IFERROR(MATCH(Methode_Keuze,Tb_KostenOptiesDB[#Headers],0),2))=1,_xlfn.SWITCH($N809,"Uurtarief",IF(OR(AND(RIGHT($F809,3)="IKS",VLOOKUP($M809,DB_Loonkosten,2,0)="Ja"),AND(RIGHT($F809,3)&lt;&gt;"IKS",VLOOKUP($M809,DB_Loonkosten,2,0)="Nee")),IFERROR(VLOOKUP($M809,DB_Loonkosten,24,0),""),0),"Vast tarief",IF(LEFT(F809,8)="Bijdrage",VLOOKUP($F809,Tb_KostenTypen[],MATCH(Lijsten!$P$1,Tb_KostenTypen[#Headers],0),0),VLOOKUP($G809,Lijsten!L:P,MATCH(Lijsten!$P$1,Kop_Tarief_Vast,0),0))),""),"")</f>
        <v/>
      </c>
      <c r="P809" s="320" t="str" cm="1">
        <f t="array" ref="P809">_xlfn.IFNA(IF(INDEX(Tb_KostenOptiesDB[],MATCH($F809,Tb_KostenOptiesDB[KostenOptie],0),IFERROR(MATCH(Methode_Keuze,Tb_KostenOptiesDB[#Headers],0),2))=1,_xlfn.SWITCH($N809,"Uurtarief",IF(OR(AND(RIGHT($F809,3)="IKS",VLOOKUP($M809,DB_Loonkosten,2,0)="Ja"),AND(RIGHT($F809,3)&lt;&gt;"IKS",VLOOKUP($M809,DB_Loonkosten,2,0)="Nee")),IFERROR(VLOOKUP($M809,DB_Loonkosten,25,0),""),0),"Vast tarief",IF(LEFT(F809,8)="Bijdrage",VLOOKUP($F809,Tb_KostenTypen[],MATCH(Lijsten!$P$1,Tb_KostenTypen[#Headers],0),0),VLOOKUP($G809,Lijsten!L:P,MATCH(Lijsten!$P$1,Kop_Tarief_Vast,0),0))),""),"")</f>
        <v/>
      </c>
      <c r="Q809" s="359"/>
      <c r="R809" s="359"/>
      <c r="S809" s="321"/>
      <c r="T809" s="321"/>
      <c r="U809" s="373" t="str">
        <f t="shared" si="48"/>
        <v/>
      </c>
      <c r="V809" s="314" t="str">
        <f t="shared" si="49"/>
        <v/>
      </c>
      <c r="W809" s="314" t="str" cm="1">
        <f t="array" aca="1" ref="W809" ca="1">IFERROR(IF(AE809&lt;&gt;"ja",_xlfn.IFNA(_xlfn.IFS(AND(O809&lt;&gt;"",F809&lt;&gt;"",RIGHT($N809,6)="tarief",F809="Vergoeding"),SUM(O809)*FLOOR(SUM(Q809),0.0001),AND(O809&lt;&gt;"",F809&lt;&gt;"",RIGHT($N809,6)="tarief"),SUM(O809)*FLOOR(SUM(Q809),0.01),S809&gt;0,IF(F809&lt;&gt;"",FLOOR(SUM(S809),0.01),"")),""),""),"")</f>
        <v/>
      </c>
      <c r="X809" s="314" t="str" cm="1">
        <f t="array" aca="1" ref="X809" ca="1">IFERROR(IF(AE809&lt;&gt;"ja",_xlfn.IFNA(_xlfn.IFS(AND(P809&lt;&gt;"",R809&lt;&gt;"",RIGHT($N809,6)="tarief",F809="Vergoeding"),SUM(P809)*FLOOR(SUM(R809),0.0001),AND(P809&lt;&gt;"",R809&lt;&gt;"",RIGHT($N809,6)="tarief"),P809*FLOOR(R809,0.01),T809&gt;0,FLOOR(SUM(T809),0.01)),""),""),"")</f>
        <v/>
      </c>
      <c r="Y809" s="314" t="str">
        <f t="shared" ca="1" si="50"/>
        <v/>
      </c>
      <c r="Z809" s="314" t="str" cm="1">
        <f t="array" aca="1" ref="Z809" ca="1">IFERROR(_xlfn.IFS(OR(F809="",LEFT(Methode_Keuze,4)="Geen",Methode_Keuze=""),"",AND(W809&lt;&gt;"",F809&lt;&gt;"Arbeidskosten"),W809*VLOOKUP(F809,Tb_ProjectKosten[],MATCH(Tb_ProjectKosten[[#Headers],[Forfait_Percentage]],Tb_ProjectKosten[#Headers],0),0),AND(F809="Arbeidskosten",G809&lt;&gt;""),IFERROR(W809*VLOOKUP(G809,Tb_KostenTypen[],3,0)*VLOOKUP(F809,Tb_ProjectKosten[],MATCH(Tb_ProjectKosten[[#Headers],[Forfait_Percentage]],Tb_ProjectKosten[#Headers],0),0),""),W809 &lt;=0,0),"")</f>
        <v/>
      </c>
      <c r="AA809" s="314" t="str" cm="1">
        <f t="array" aca="1" ref="AA809" ca="1">IFERROR(_xlfn.IFS(OR(F809="",LEFT(Methode_Keuze,4)="Geen",Methode_Keuze=""),"",AND(X809&lt;&gt;"",F809&lt;&gt;"Arbeidskosten"),X809*VLOOKUP(F809,Tb_ProjectKosten[],MATCH(Tb_ProjectKosten[[#Headers],[Forfait_Percentage]],Tb_ProjectKosten[#Headers],0),0),AND(F809="Arbeidskosten",G809&lt;&gt;""),IFERROR(X809*VLOOKUP(G809,Tb_KostenTypen[],3,0)*VLOOKUP(F809,Tb_ProjectKosten[],MATCH(Tb_ProjectKosten[[#Headers],[Forfait_Percentage]],Tb_ProjectKosten[#Headers],0),0),""),X809 &lt;=0,0),"")</f>
        <v/>
      </c>
      <c r="AB809" s="314" t="str">
        <f t="shared" ca="1" si="51"/>
        <v/>
      </c>
      <c r="AC809" s="322"/>
      <c r="AD809" s="315"/>
      <c r="AE809" s="32" t="str" cm="1">
        <f t="array" ref="AE809">IFERROR(IF(INDEX(SubsidieTabel!$AD$1:$AG$12,MATCH($F809,SubsidieTabel!$AD$1:$AD$12,0),IFERROR(MATCH(Methode_Keuze,SubsidieTabel!$AD$1:$AG$1,0),2))&lt;&gt;1=TRUE,"ja",""),"")</f>
        <v/>
      </c>
    </row>
    <row r="810" spans="1:31" x14ac:dyDescent="0.25">
      <c r="A810" s="316"/>
      <c r="B810" s="317" t="str">
        <f>IF(A810&lt;&gt;"",_xlfn.MAXIFS($B$1:B809,$A$1:A809,A810)+1,"")</f>
        <v/>
      </c>
      <c r="C810" s="296"/>
      <c r="D810" s="296"/>
      <c r="E810" s="296"/>
      <c r="F810" s="296"/>
      <c r="G810" s="326"/>
      <c r="H810" s="324"/>
      <c r="I810" s="325"/>
      <c r="J810" s="325"/>
      <c r="K810" s="318"/>
      <c r="L810" s="318"/>
      <c r="M810" s="319" t="str">
        <f>IFERROR(VLOOKUP(H810,Lijsten!$H$1:$I$100,2,0),"")</f>
        <v/>
      </c>
      <c r="N810" s="319" t="str">
        <f ca="1">IFERROR(IF(VLOOKUP(F810,Kostentypen!$A$3:$E$21,3,0)=0,"",IF(OR(F810="Arbeidskosten",F810="Vergoeding"),VLOOKUP(G810,Tb_KostenTypen[],2,0),VLOOKUP(F810,Kostentypen!$A$3:$E$20,3,0))),"")</f>
        <v/>
      </c>
      <c r="O810" s="320" t="str" cm="1">
        <f t="array" ref="O810">_xlfn.IFNA(IF(INDEX(Tb_KostenOptiesDB[],MATCH($F810,Tb_KostenOptiesDB[KostenOptie],0),IFERROR(MATCH(Methode_Keuze,Tb_KostenOptiesDB[#Headers],0),2))=1,_xlfn.SWITCH($N810,"Uurtarief",IF(OR(AND(RIGHT($F810,3)="IKS",VLOOKUP($M810,DB_Loonkosten,2,0)="Ja"),AND(RIGHT($F810,3)&lt;&gt;"IKS",VLOOKUP($M810,DB_Loonkosten,2,0)="Nee")),IFERROR(VLOOKUP($M810,DB_Loonkosten,24,0),""),0),"Vast tarief",IF(LEFT(F810,8)="Bijdrage",VLOOKUP($F810,Tb_KostenTypen[],MATCH(Lijsten!$P$1,Tb_KostenTypen[#Headers],0),0),VLOOKUP($G810,Lijsten!L:P,MATCH(Lijsten!$P$1,Kop_Tarief_Vast,0),0))),""),"")</f>
        <v/>
      </c>
      <c r="P810" s="320" t="str" cm="1">
        <f t="array" ref="P810">_xlfn.IFNA(IF(INDEX(Tb_KostenOptiesDB[],MATCH($F810,Tb_KostenOptiesDB[KostenOptie],0),IFERROR(MATCH(Methode_Keuze,Tb_KostenOptiesDB[#Headers],0),2))=1,_xlfn.SWITCH($N810,"Uurtarief",IF(OR(AND(RIGHT($F810,3)="IKS",VLOOKUP($M810,DB_Loonkosten,2,0)="Ja"),AND(RIGHT($F810,3)&lt;&gt;"IKS",VLOOKUP($M810,DB_Loonkosten,2,0)="Nee")),IFERROR(VLOOKUP($M810,DB_Loonkosten,25,0),""),0),"Vast tarief",IF(LEFT(F810,8)="Bijdrage",VLOOKUP($F810,Tb_KostenTypen[],MATCH(Lijsten!$P$1,Tb_KostenTypen[#Headers],0),0),VLOOKUP($G810,Lijsten!L:P,MATCH(Lijsten!$P$1,Kop_Tarief_Vast,0),0))),""),"")</f>
        <v/>
      </c>
      <c r="Q810" s="359"/>
      <c r="R810" s="359"/>
      <c r="S810" s="321"/>
      <c r="T810" s="321"/>
      <c r="U810" s="373" t="str">
        <f t="shared" si="48"/>
        <v/>
      </c>
      <c r="V810" s="314" t="str">
        <f t="shared" si="49"/>
        <v/>
      </c>
      <c r="W810" s="314" t="str" cm="1">
        <f t="array" aca="1" ref="W810" ca="1">IFERROR(IF(AE810&lt;&gt;"ja",_xlfn.IFNA(_xlfn.IFS(AND(O810&lt;&gt;"",F810&lt;&gt;"",RIGHT($N810,6)="tarief",F810="Vergoeding"),SUM(O810)*FLOOR(SUM(Q810),0.0001),AND(O810&lt;&gt;"",F810&lt;&gt;"",RIGHT($N810,6)="tarief"),SUM(O810)*FLOOR(SUM(Q810),0.01),S810&gt;0,IF(F810&lt;&gt;"",FLOOR(SUM(S810),0.01),"")),""),""),"")</f>
        <v/>
      </c>
      <c r="X810" s="314" t="str" cm="1">
        <f t="array" aca="1" ref="X810" ca="1">IFERROR(IF(AE810&lt;&gt;"ja",_xlfn.IFNA(_xlfn.IFS(AND(P810&lt;&gt;"",R810&lt;&gt;"",RIGHT($N810,6)="tarief",F810="Vergoeding"),SUM(P810)*FLOOR(SUM(R810),0.0001),AND(P810&lt;&gt;"",R810&lt;&gt;"",RIGHT($N810,6)="tarief"),P810*FLOOR(R810,0.01),T810&gt;0,FLOOR(SUM(T810),0.01)),""),""),"")</f>
        <v/>
      </c>
      <c r="Y810" s="314" t="str">
        <f t="shared" ca="1" si="50"/>
        <v/>
      </c>
      <c r="Z810" s="314" t="str" cm="1">
        <f t="array" aca="1" ref="Z810" ca="1">IFERROR(_xlfn.IFS(OR(F810="",LEFT(Methode_Keuze,4)="Geen",Methode_Keuze=""),"",AND(W810&lt;&gt;"",F810&lt;&gt;"Arbeidskosten"),W810*VLOOKUP(F810,Tb_ProjectKosten[],MATCH(Tb_ProjectKosten[[#Headers],[Forfait_Percentage]],Tb_ProjectKosten[#Headers],0),0),AND(F810="Arbeidskosten",G810&lt;&gt;""),IFERROR(W810*VLOOKUP(G810,Tb_KostenTypen[],3,0)*VLOOKUP(F810,Tb_ProjectKosten[],MATCH(Tb_ProjectKosten[[#Headers],[Forfait_Percentage]],Tb_ProjectKosten[#Headers],0),0),""),W810 &lt;=0,0),"")</f>
        <v/>
      </c>
      <c r="AA810" s="314" t="str" cm="1">
        <f t="array" aca="1" ref="AA810" ca="1">IFERROR(_xlfn.IFS(OR(F810="",LEFT(Methode_Keuze,4)="Geen",Methode_Keuze=""),"",AND(X810&lt;&gt;"",F810&lt;&gt;"Arbeidskosten"),X810*VLOOKUP(F810,Tb_ProjectKosten[],MATCH(Tb_ProjectKosten[[#Headers],[Forfait_Percentage]],Tb_ProjectKosten[#Headers],0),0),AND(F810="Arbeidskosten",G810&lt;&gt;""),IFERROR(X810*VLOOKUP(G810,Tb_KostenTypen[],3,0)*VLOOKUP(F810,Tb_ProjectKosten[],MATCH(Tb_ProjectKosten[[#Headers],[Forfait_Percentage]],Tb_ProjectKosten[#Headers],0),0),""),X810 &lt;=0,0),"")</f>
        <v/>
      </c>
      <c r="AB810" s="314" t="str">
        <f t="shared" ca="1" si="51"/>
        <v/>
      </c>
      <c r="AC810" s="322"/>
      <c r="AD810" s="315"/>
      <c r="AE810" s="32" t="str" cm="1">
        <f t="array" ref="AE810">IFERROR(IF(INDEX(SubsidieTabel!$AD$1:$AG$12,MATCH($F810,SubsidieTabel!$AD$1:$AD$12,0),IFERROR(MATCH(Methode_Keuze,SubsidieTabel!$AD$1:$AG$1,0),2))&lt;&gt;1=TRUE,"ja",""),"")</f>
        <v/>
      </c>
    </row>
    <row r="811" spans="1:31" x14ac:dyDescent="0.25">
      <c r="A811" s="316"/>
      <c r="B811" s="317" t="str">
        <f>IF(A811&lt;&gt;"",_xlfn.MAXIFS($B$1:B810,$A$1:A810,A811)+1,"")</f>
        <v/>
      </c>
      <c r="C811" s="296"/>
      <c r="D811" s="296"/>
      <c r="E811" s="296"/>
      <c r="F811" s="296"/>
      <c r="G811" s="326"/>
      <c r="H811" s="324"/>
      <c r="I811" s="325"/>
      <c r="J811" s="325"/>
      <c r="K811" s="318"/>
      <c r="L811" s="318"/>
      <c r="M811" s="319" t="str">
        <f>IFERROR(VLOOKUP(H811,Lijsten!$H$1:$I$100,2,0),"")</f>
        <v/>
      </c>
      <c r="N811" s="319" t="str">
        <f ca="1">IFERROR(IF(VLOOKUP(F811,Kostentypen!$A$3:$E$21,3,0)=0,"",IF(OR(F811="Arbeidskosten",F811="Vergoeding"),VLOOKUP(G811,Tb_KostenTypen[],2,0),VLOOKUP(F811,Kostentypen!$A$3:$E$20,3,0))),"")</f>
        <v/>
      </c>
      <c r="O811" s="320" t="str" cm="1">
        <f t="array" ref="O811">_xlfn.IFNA(IF(INDEX(Tb_KostenOptiesDB[],MATCH($F811,Tb_KostenOptiesDB[KostenOptie],0),IFERROR(MATCH(Methode_Keuze,Tb_KostenOptiesDB[#Headers],0),2))=1,_xlfn.SWITCH($N811,"Uurtarief",IF(OR(AND(RIGHT($F811,3)="IKS",VLOOKUP($M811,DB_Loonkosten,2,0)="Ja"),AND(RIGHT($F811,3)&lt;&gt;"IKS",VLOOKUP($M811,DB_Loonkosten,2,0)="Nee")),IFERROR(VLOOKUP($M811,DB_Loonkosten,24,0),""),0),"Vast tarief",IF(LEFT(F811,8)="Bijdrage",VLOOKUP($F811,Tb_KostenTypen[],MATCH(Lijsten!$P$1,Tb_KostenTypen[#Headers],0),0),VLOOKUP($G811,Lijsten!L:P,MATCH(Lijsten!$P$1,Kop_Tarief_Vast,0),0))),""),"")</f>
        <v/>
      </c>
      <c r="P811" s="320" t="str" cm="1">
        <f t="array" ref="P811">_xlfn.IFNA(IF(INDEX(Tb_KostenOptiesDB[],MATCH($F811,Tb_KostenOptiesDB[KostenOptie],0),IFERROR(MATCH(Methode_Keuze,Tb_KostenOptiesDB[#Headers],0),2))=1,_xlfn.SWITCH($N811,"Uurtarief",IF(OR(AND(RIGHT($F811,3)="IKS",VLOOKUP($M811,DB_Loonkosten,2,0)="Ja"),AND(RIGHT($F811,3)&lt;&gt;"IKS",VLOOKUP($M811,DB_Loonkosten,2,0)="Nee")),IFERROR(VLOOKUP($M811,DB_Loonkosten,25,0),""),0),"Vast tarief",IF(LEFT(F811,8)="Bijdrage",VLOOKUP($F811,Tb_KostenTypen[],MATCH(Lijsten!$P$1,Tb_KostenTypen[#Headers],0),0),VLOOKUP($G811,Lijsten!L:P,MATCH(Lijsten!$P$1,Kop_Tarief_Vast,0),0))),""),"")</f>
        <v/>
      </c>
      <c r="Q811" s="359"/>
      <c r="R811" s="359"/>
      <c r="S811" s="321"/>
      <c r="T811" s="321"/>
      <c r="U811" s="373" t="str">
        <f t="shared" si="48"/>
        <v/>
      </c>
      <c r="V811" s="314" t="str">
        <f t="shared" si="49"/>
        <v/>
      </c>
      <c r="W811" s="314" t="str" cm="1">
        <f t="array" aca="1" ref="W811" ca="1">IFERROR(IF(AE811&lt;&gt;"ja",_xlfn.IFNA(_xlfn.IFS(AND(O811&lt;&gt;"",F811&lt;&gt;"",RIGHT($N811,6)="tarief",F811="Vergoeding"),SUM(O811)*FLOOR(SUM(Q811),0.0001),AND(O811&lt;&gt;"",F811&lt;&gt;"",RIGHT($N811,6)="tarief"),SUM(O811)*FLOOR(SUM(Q811),0.01),S811&gt;0,IF(F811&lt;&gt;"",FLOOR(SUM(S811),0.01),"")),""),""),"")</f>
        <v/>
      </c>
      <c r="X811" s="314" t="str" cm="1">
        <f t="array" aca="1" ref="X811" ca="1">IFERROR(IF(AE811&lt;&gt;"ja",_xlfn.IFNA(_xlfn.IFS(AND(P811&lt;&gt;"",R811&lt;&gt;"",RIGHT($N811,6)="tarief",F811="Vergoeding"),SUM(P811)*FLOOR(SUM(R811),0.0001),AND(P811&lt;&gt;"",R811&lt;&gt;"",RIGHT($N811,6)="tarief"),P811*FLOOR(R811,0.01),T811&gt;0,FLOOR(SUM(T811),0.01)),""),""),"")</f>
        <v/>
      </c>
      <c r="Y811" s="314" t="str">
        <f t="shared" ca="1" si="50"/>
        <v/>
      </c>
      <c r="Z811" s="314" t="str" cm="1">
        <f t="array" aca="1" ref="Z811" ca="1">IFERROR(_xlfn.IFS(OR(F811="",LEFT(Methode_Keuze,4)="Geen",Methode_Keuze=""),"",AND(W811&lt;&gt;"",F811&lt;&gt;"Arbeidskosten"),W811*VLOOKUP(F811,Tb_ProjectKosten[],MATCH(Tb_ProjectKosten[[#Headers],[Forfait_Percentage]],Tb_ProjectKosten[#Headers],0),0),AND(F811="Arbeidskosten",G811&lt;&gt;""),IFERROR(W811*VLOOKUP(G811,Tb_KostenTypen[],3,0)*VLOOKUP(F811,Tb_ProjectKosten[],MATCH(Tb_ProjectKosten[[#Headers],[Forfait_Percentage]],Tb_ProjectKosten[#Headers],0),0),""),W811 &lt;=0,0),"")</f>
        <v/>
      </c>
      <c r="AA811" s="314" t="str" cm="1">
        <f t="array" aca="1" ref="AA811" ca="1">IFERROR(_xlfn.IFS(OR(F811="",LEFT(Methode_Keuze,4)="Geen",Methode_Keuze=""),"",AND(X811&lt;&gt;"",F811&lt;&gt;"Arbeidskosten"),X811*VLOOKUP(F811,Tb_ProjectKosten[],MATCH(Tb_ProjectKosten[[#Headers],[Forfait_Percentage]],Tb_ProjectKosten[#Headers],0),0),AND(F811="Arbeidskosten",G811&lt;&gt;""),IFERROR(X811*VLOOKUP(G811,Tb_KostenTypen[],3,0)*VLOOKUP(F811,Tb_ProjectKosten[],MATCH(Tb_ProjectKosten[[#Headers],[Forfait_Percentage]],Tb_ProjectKosten[#Headers],0),0),""),X811 &lt;=0,0),"")</f>
        <v/>
      </c>
      <c r="AB811" s="314" t="str">
        <f t="shared" ca="1" si="51"/>
        <v/>
      </c>
      <c r="AC811" s="322"/>
      <c r="AD811" s="315"/>
      <c r="AE811" s="32" t="str" cm="1">
        <f t="array" ref="AE811">IFERROR(IF(INDEX(SubsidieTabel!$AD$1:$AG$12,MATCH($F811,SubsidieTabel!$AD$1:$AD$12,0),IFERROR(MATCH(Methode_Keuze,SubsidieTabel!$AD$1:$AG$1,0),2))&lt;&gt;1=TRUE,"ja",""),"")</f>
        <v/>
      </c>
    </row>
    <row r="812" spans="1:31" x14ac:dyDescent="0.25">
      <c r="A812" s="316"/>
      <c r="B812" s="317" t="str">
        <f>IF(A812&lt;&gt;"",_xlfn.MAXIFS($B$1:B811,$A$1:A811,A812)+1,"")</f>
        <v/>
      </c>
      <c r="C812" s="296"/>
      <c r="D812" s="296"/>
      <c r="E812" s="296"/>
      <c r="F812" s="296"/>
      <c r="G812" s="326"/>
      <c r="H812" s="324"/>
      <c r="I812" s="325"/>
      <c r="J812" s="325"/>
      <c r="K812" s="318"/>
      <c r="L812" s="318"/>
      <c r="M812" s="319" t="str">
        <f>IFERROR(VLOOKUP(H812,Lijsten!$H$1:$I$100,2,0),"")</f>
        <v/>
      </c>
      <c r="N812" s="319" t="str">
        <f ca="1">IFERROR(IF(VLOOKUP(F812,Kostentypen!$A$3:$E$21,3,0)=0,"",IF(OR(F812="Arbeidskosten",F812="Vergoeding"),VLOOKUP(G812,Tb_KostenTypen[],2,0),VLOOKUP(F812,Kostentypen!$A$3:$E$20,3,0))),"")</f>
        <v/>
      </c>
      <c r="O812" s="320" t="str" cm="1">
        <f t="array" ref="O812">_xlfn.IFNA(IF(INDEX(Tb_KostenOptiesDB[],MATCH($F812,Tb_KostenOptiesDB[KostenOptie],0),IFERROR(MATCH(Methode_Keuze,Tb_KostenOptiesDB[#Headers],0),2))=1,_xlfn.SWITCH($N812,"Uurtarief",IF(OR(AND(RIGHT($F812,3)="IKS",VLOOKUP($M812,DB_Loonkosten,2,0)="Ja"),AND(RIGHT($F812,3)&lt;&gt;"IKS",VLOOKUP($M812,DB_Loonkosten,2,0)="Nee")),IFERROR(VLOOKUP($M812,DB_Loonkosten,24,0),""),0),"Vast tarief",IF(LEFT(F812,8)="Bijdrage",VLOOKUP($F812,Tb_KostenTypen[],MATCH(Lijsten!$P$1,Tb_KostenTypen[#Headers],0),0),VLOOKUP($G812,Lijsten!L:P,MATCH(Lijsten!$P$1,Kop_Tarief_Vast,0),0))),""),"")</f>
        <v/>
      </c>
      <c r="P812" s="320" t="str" cm="1">
        <f t="array" ref="P812">_xlfn.IFNA(IF(INDEX(Tb_KostenOptiesDB[],MATCH($F812,Tb_KostenOptiesDB[KostenOptie],0),IFERROR(MATCH(Methode_Keuze,Tb_KostenOptiesDB[#Headers],0),2))=1,_xlfn.SWITCH($N812,"Uurtarief",IF(OR(AND(RIGHT($F812,3)="IKS",VLOOKUP($M812,DB_Loonkosten,2,0)="Ja"),AND(RIGHT($F812,3)&lt;&gt;"IKS",VLOOKUP($M812,DB_Loonkosten,2,0)="Nee")),IFERROR(VLOOKUP($M812,DB_Loonkosten,25,0),""),0),"Vast tarief",IF(LEFT(F812,8)="Bijdrage",VLOOKUP($F812,Tb_KostenTypen[],MATCH(Lijsten!$P$1,Tb_KostenTypen[#Headers],0),0),VLOOKUP($G812,Lijsten!L:P,MATCH(Lijsten!$P$1,Kop_Tarief_Vast,0),0))),""),"")</f>
        <v/>
      </c>
      <c r="Q812" s="359"/>
      <c r="R812" s="359"/>
      <c r="S812" s="321"/>
      <c r="T812" s="321"/>
      <c r="U812" s="373" t="str">
        <f t="shared" si="48"/>
        <v/>
      </c>
      <c r="V812" s="314" t="str">
        <f t="shared" si="49"/>
        <v/>
      </c>
      <c r="W812" s="314" t="str" cm="1">
        <f t="array" aca="1" ref="W812" ca="1">IFERROR(IF(AE812&lt;&gt;"ja",_xlfn.IFNA(_xlfn.IFS(AND(O812&lt;&gt;"",F812&lt;&gt;"",RIGHT($N812,6)="tarief",F812="Vergoeding"),SUM(O812)*FLOOR(SUM(Q812),0.0001),AND(O812&lt;&gt;"",F812&lt;&gt;"",RIGHT($N812,6)="tarief"),SUM(O812)*FLOOR(SUM(Q812),0.01),S812&gt;0,IF(F812&lt;&gt;"",FLOOR(SUM(S812),0.01),"")),""),""),"")</f>
        <v/>
      </c>
      <c r="X812" s="314" t="str" cm="1">
        <f t="array" aca="1" ref="X812" ca="1">IFERROR(IF(AE812&lt;&gt;"ja",_xlfn.IFNA(_xlfn.IFS(AND(P812&lt;&gt;"",R812&lt;&gt;"",RIGHT($N812,6)="tarief",F812="Vergoeding"),SUM(P812)*FLOOR(SUM(R812),0.0001),AND(P812&lt;&gt;"",R812&lt;&gt;"",RIGHT($N812,6)="tarief"),P812*FLOOR(R812,0.01),T812&gt;0,FLOOR(SUM(T812),0.01)),""),""),"")</f>
        <v/>
      </c>
      <c r="Y812" s="314" t="str">
        <f t="shared" ca="1" si="50"/>
        <v/>
      </c>
      <c r="Z812" s="314" t="str" cm="1">
        <f t="array" aca="1" ref="Z812" ca="1">IFERROR(_xlfn.IFS(OR(F812="",LEFT(Methode_Keuze,4)="Geen",Methode_Keuze=""),"",AND(W812&lt;&gt;"",F812&lt;&gt;"Arbeidskosten"),W812*VLOOKUP(F812,Tb_ProjectKosten[],MATCH(Tb_ProjectKosten[[#Headers],[Forfait_Percentage]],Tb_ProjectKosten[#Headers],0),0),AND(F812="Arbeidskosten",G812&lt;&gt;""),IFERROR(W812*VLOOKUP(G812,Tb_KostenTypen[],3,0)*VLOOKUP(F812,Tb_ProjectKosten[],MATCH(Tb_ProjectKosten[[#Headers],[Forfait_Percentage]],Tb_ProjectKosten[#Headers],0),0),""),W812 &lt;=0,0),"")</f>
        <v/>
      </c>
      <c r="AA812" s="314" t="str" cm="1">
        <f t="array" aca="1" ref="AA812" ca="1">IFERROR(_xlfn.IFS(OR(F812="",LEFT(Methode_Keuze,4)="Geen",Methode_Keuze=""),"",AND(X812&lt;&gt;"",F812&lt;&gt;"Arbeidskosten"),X812*VLOOKUP(F812,Tb_ProjectKosten[],MATCH(Tb_ProjectKosten[[#Headers],[Forfait_Percentage]],Tb_ProjectKosten[#Headers],0),0),AND(F812="Arbeidskosten",G812&lt;&gt;""),IFERROR(X812*VLOOKUP(G812,Tb_KostenTypen[],3,0)*VLOOKUP(F812,Tb_ProjectKosten[],MATCH(Tb_ProjectKosten[[#Headers],[Forfait_Percentage]],Tb_ProjectKosten[#Headers],0),0),""),X812 &lt;=0,0),"")</f>
        <v/>
      </c>
      <c r="AB812" s="314" t="str">
        <f t="shared" ca="1" si="51"/>
        <v/>
      </c>
      <c r="AC812" s="322"/>
      <c r="AD812" s="315"/>
      <c r="AE812" s="32" t="str" cm="1">
        <f t="array" ref="AE812">IFERROR(IF(INDEX(SubsidieTabel!$AD$1:$AG$12,MATCH($F812,SubsidieTabel!$AD$1:$AD$12,0),IFERROR(MATCH(Methode_Keuze,SubsidieTabel!$AD$1:$AG$1,0),2))&lt;&gt;1=TRUE,"ja",""),"")</f>
        <v/>
      </c>
    </row>
    <row r="813" spans="1:31" x14ac:dyDescent="0.25">
      <c r="A813" s="316"/>
      <c r="B813" s="317" t="str">
        <f>IF(A813&lt;&gt;"",_xlfn.MAXIFS($B$1:B812,$A$1:A812,A813)+1,"")</f>
        <v/>
      </c>
      <c r="C813" s="296"/>
      <c r="D813" s="296"/>
      <c r="E813" s="296"/>
      <c r="F813" s="296"/>
      <c r="G813" s="326"/>
      <c r="H813" s="324"/>
      <c r="I813" s="325"/>
      <c r="J813" s="325"/>
      <c r="K813" s="318"/>
      <c r="L813" s="318"/>
      <c r="M813" s="319" t="str">
        <f>IFERROR(VLOOKUP(H813,Lijsten!$H$1:$I$100,2,0),"")</f>
        <v/>
      </c>
      <c r="N813" s="319" t="str">
        <f ca="1">IFERROR(IF(VLOOKUP(F813,Kostentypen!$A$3:$E$21,3,0)=0,"",IF(OR(F813="Arbeidskosten",F813="Vergoeding"),VLOOKUP(G813,Tb_KostenTypen[],2,0),VLOOKUP(F813,Kostentypen!$A$3:$E$20,3,0))),"")</f>
        <v/>
      </c>
      <c r="O813" s="320" t="str" cm="1">
        <f t="array" ref="O813">_xlfn.IFNA(IF(INDEX(Tb_KostenOptiesDB[],MATCH($F813,Tb_KostenOptiesDB[KostenOptie],0),IFERROR(MATCH(Methode_Keuze,Tb_KostenOptiesDB[#Headers],0),2))=1,_xlfn.SWITCH($N813,"Uurtarief",IF(OR(AND(RIGHT($F813,3)="IKS",VLOOKUP($M813,DB_Loonkosten,2,0)="Ja"),AND(RIGHT($F813,3)&lt;&gt;"IKS",VLOOKUP($M813,DB_Loonkosten,2,0)="Nee")),IFERROR(VLOOKUP($M813,DB_Loonkosten,24,0),""),0),"Vast tarief",IF(LEFT(F813,8)="Bijdrage",VLOOKUP($F813,Tb_KostenTypen[],MATCH(Lijsten!$P$1,Tb_KostenTypen[#Headers],0),0),VLOOKUP($G813,Lijsten!L:P,MATCH(Lijsten!$P$1,Kop_Tarief_Vast,0),0))),""),"")</f>
        <v/>
      </c>
      <c r="P813" s="320" t="str" cm="1">
        <f t="array" ref="P813">_xlfn.IFNA(IF(INDEX(Tb_KostenOptiesDB[],MATCH($F813,Tb_KostenOptiesDB[KostenOptie],0),IFERROR(MATCH(Methode_Keuze,Tb_KostenOptiesDB[#Headers],0),2))=1,_xlfn.SWITCH($N813,"Uurtarief",IF(OR(AND(RIGHT($F813,3)="IKS",VLOOKUP($M813,DB_Loonkosten,2,0)="Ja"),AND(RIGHT($F813,3)&lt;&gt;"IKS",VLOOKUP($M813,DB_Loonkosten,2,0)="Nee")),IFERROR(VLOOKUP($M813,DB_Loonkosten,25,0),""),0),"Vast tarief",IF(LEFT(F813,8)="Bijdrage",VLOOKUP($F813,Tb_KostenTypen[],MATCH(Lijsten!$P$1,Tb_KostenTypen[#Headers],0),0),VLOOKUP($G813,Lijsten!L:P,MATCH(Lijsten!$P$1,Kop_Tarief_Vast,0),0))),""),"")</f>
        <v/>
      </c>
      <c r="Q813" s="359"/>
      <c r="R813" s="359"/>
      <c r="S813" s="321"/>
      <c r="T813" s="321"/>
      <c r="U813" s="373" t="str">
        <f t="shared" si="48"/>
        <v/>
      </c>
      <c r="V813" s="314" t="str">
        <f t="shared" si="49"/>
        <v/>
      </c>
      <c r="W813" s="314" t="str" cm="1">
        <f t="array" aca="1" ref="W813" ca="1">IFERROR(IF(AE813&lt;&gt;"ja",_xlfn.IFNA(_xlfn.IFS(AND(O813&lt;&gt;"",F813&lt;&gt;"",RIGHT($N813,6)="tarief",F813="Vergoeding"),SUM(O813)*FLOOR(SUM(Q813),0.0001),AND(O813&lt;&gt;"",F813&lt;&gt;"",RIGHT($N813,6)="tarief"),SUM(O813)*FLOOR(SUM(Q813),0.01),S813&gt;0,IF(F813&lt;&gt;"",FLOOR(SUM(S813),0.01),"")),""),""),"")</f>
        <v/>
      </c>
      <c r="X813" s="314" t="str" cm="1">
        <f t="array" aca="1" ref="X813" ca="1">IFERROR(IF(AE813&lt;&gt;"ja",_xlfn.IFNA(_xlfn.IFS(AND(P813&lt;&gt;"",R813&lt;&gt;"",RIGHT($N813,6)="tarief",F813="Vergoeding"),SUM(P813)*FLOOR(SUM(R813),0.0001),AND(P813&lt;&gt;"",R813&lt;&gt;"",RIGHT($N813,6)="tarief"),P813*FLOOR(R813,0.01),T813&gt;0,FLOOR(SUM(T813),0.01)),""),""),"")</f>
        <v/>
      </c>
      <c r="Y813" s="314" t="str">
        <f t="shared" ca="1" si="50"/>
        <v/>
      </c>
      <c r="Z813" s="314" t="str" cm="1">
        <f t="array" aca="1" ref="Z813" ca="1">IFERROR(_xlfn.IFS(OR(F813="",LEFT(Methode_Keuze,4)="Geen",Methode_Keuze=""),"",AND(W813&lt;&gt;"",F813&lt;&gt;"Arbeidskosten"),W813*VLOOKUP(F813,Tb_ProjectKosten[],MATCH(Tb_ProjectKosten[[#Headers],[Forfait_Percentage]],Tb_ProjectKosten[#Headers],0),0),AND(F813="Arbeidskosten",G813&lt;&gt;""),IFERROR(W813*VLOOKUP(G813,Tb_KostenTypen[],3,0)*VLOOKUP(F813,Tb_ProjectKosten[],MATCH(Tb_ProjectKosten[[#Headers],[Forfait_Percentage]],Tb_ProjectKosten[#Headers],0),0),""),W813 &lt;=0,0),"")</f>
        <v/>
      </c>
      <c r="AA813" s="314" t="str" cm="1">
        <f t="array" aca="1" ref="AA813" ca="1">IFERROR(_xlfn.IFS(OR(F813="",LEFT(Methode_Keuze,4)="Geen",Methode_Keuze=""),"",AND(X813&lt;&gt;"",F813&lt;&gt;"Arbeidskosten"),X813*VLOOKUP(F813,Tb_ProjectKosten[],MATCH(Tb_ProjectKosten[[#Headers],[Forfait_Percentage]],Tb_ProjectKosten[#Headers],0),0),AND(F813="Arbeidskosten",G813&lt;&gt;""),IFERROR(X813*VLOOKUP(G813,Tb_KostenTypen[],3,0)*VLOOKUP(F813,Tb_ProjectKosten[],MATCH(Tb_ProjectKosten[[#Headers],[Forfait_Percentage]],Tb_ProjectKosten[#Headers],0),0),""),X813 &lt;=0,0),"")</f>
        <v/>
      </c>
      <c r="AB813" s="314" t="str">
        <f t="shared" ca="1" si="51"/>
        <v/>
      </c>
      <c r="AC813" s="322"/>
      <c r="AD813" s="315"/>
      <c r="AE813" s="32" t="str" cm="1">
        <f t="array" ref="AE813">IFERROR(IF(INDEX(SubsidieTabel!$AD$1:$AG$12,MATCH($F813,SubsidieTabel!$AD$1:$AD$12,0),IFERROR(MATCH(Methode_Keuze,SubsidieTabel!$AD$1:$AG$1,0),2))&lt;&gt;1=TRUE,"ja",""),"")</f>
        <v/>
      </c>
    </row>
    <row r="814" spans="1:31" x14ac:dyDescent="0.25">
      <c r="A814" s="316"/>
      <c r="B814" s="317" t="str">
        <f>IF(A814&lt;&gt;"",_xlfn.MAXIFS($B$1:B813,$A$1:A813,A814)+1,"")</f>
        <v/>
      </c>
      <c r="C814" s="296"/>
      <c r="D814" s="296"/>
      <c r="E814" s="296"/>
      <c r="F814" s="296"/>
      <c r="G814" s="326"/>
      <c r="H814" s="324"/>
      <c r="I814" s="325"/>
      <c r="J814" s="325"/>
      <c r="K814" s="318"/>
      <c r="L814" s="318"/>
      <c r="M814" s="319" t="str">
        <f>IFERROR(VLOOKUP(H814,Lijsten!$H$1:$I$100,2,0),"")</f>
        <v/>
      </c>
      <c r="N814" s="319" t="str">
        <f ca="1">IFERROR(IF(VLOOKUP(F814,Kostentypen!$A$3:$E$21,3,0)=0,"",IF(OR(F814="Arbeidskosten",F814="Vergoeding"),VLOOKUP(G814,Tb_KostenTypen[],2,0),VLOOKUP(F814,Kostentypen!$A$3:$E$20,3,0))),"")</f>
        <v/>
      </c>
      <c r="O814" s="320" t="str" cm="1">
        <f t="array" ref="O814">_xlfn.IFNA(IF(INDEX(Tb_KostenOptiesDB[],MATCH($F814,Tb_KostenOptiesDB[KostenOptie],0),IFERROR(MATCH(Methode_Keuze,Tb_KostenOptiesDB[#Headers],0),2))=1,_xlfn.SWITCH($N814,"Uurtarief",IF(OR(AND(RIGHT($F814,3)="IKS",VLOOKUP($M814,DB_Loonkosten,2,0)="Ja"),AND(RIGHT($F814,3)&lt;&gt;"IKS",VLOOKUP($M814,DB_Loonkosten,2,0)="Nee")),IFERROR(VLOOKUP($M814,DB_Loonkosten,24,0),""),0),"Vast tarief",IF(LEFT(F814,8)="Bijdrage",VLOOKUP($F814,Tb_KostenTypen[],MATCH(Lijsten!$P$1,Tb_KostenTypen[#Headers],0),0),VLOOKUP($G814,Lijsten!L:P,MATCH(Lijsten!$P$1,Kop_Tarief_Vast,0),0))),""),"")</f>
        <v/>
      </c>
      <c r="P814" s="320" t="str" cm="1">
        <f t="array" ref="P814">_xlfn.IFNA(IF(INDEX(Tb_KostenOptiesDB[],MATCH($F814,Tb_KostenOptiesDB[KostenOptie],0),IFERROR(MATCH(Methode_Keuze,Tb_KostenOptiesDB[#Headers],0),2))=1,_xlfn.SWITCH($N814,"Uurtarief",IF(OR(AND(RIGHT($F814,3)="IKS",VLOOKUP($M814,DB_Loonkosten,2,0)="Ja"),AND(RIGHT($F814,3)&lt;&gt;"IKS",VLOOKUP($M814,DB_Loonkosten,2,0)="Nee")),IFERROR(VLOOKUP($M814,DB_Loonkosten,25,0),""),0),"Vast tarief",IF(LEFT(F814,8)="Bijdrage",VLOOKUP($F814,Tb_KostenTypen[],MATCH(Lijsten!$P$1,Tb_KostenTypen[#Headers],0),0),VLOOKUP($G814,Lijsten!L:P,MATCH(Lijsten!$P$1,Kop_Tarief_Vast,0),0))),""),"")</f>
        <v/>
      </c>
      <c r="Q814" s="359"/>
      <c r="R814" s="359"/>
      <c r="S814" s="321"/>
      <c r="T814" s="321"/>
      <c r="U814" s="373" t="str">
        <f t="shared" si="48"/>
        <v/>
      </c>
      <c r="V814" s="314" t="str">
        <f t="shared" si="49"/>
        <v/>
      </c>
      <c r="W814" s="314" t="str" cm="1">
        <f t="array" aca="1" ref="W814" ca="1">IFERROR(IF(AE814&lt;&gt;"ja",_xlfn.IFNA(_xlfn.IFS(AND(O814&lt;&gt;"",F814&lt;&gt;"",RIGHT($N814,6)="tarief",F814="Vergoeding"),SUM(O814)*FLOOR(SUM(Q814),0.0001),AND(O814&lt;&gt;"",F814&lt;&gt;"",RIGHT($N814,6)="tarief"),SUM(O814)*FLOOR(SUM(Q814),0.01),S814&gt;0,IF(F814&lt;&gt;"",FLOOR(SUM(S814),0.01),"")),""),""),"")</f>
        <v/>
      </c>
      <c r="X814" s="314" t="str" cm="1">
        <f t="array" aca="1" ref="X814" ca="1">IFERROR(IF(AE814&lt;&gt;"ja",_xlfn.IFNA(_xlfn.IFS(AND(P814&lt;&gt;"",R814&lt;&gt;"",RIGHT($N814,6)="tarief",F814="Vergoeding"),SUM(P814)*FLOOR(SUM(R814),0.0001),AND(P814&lt;&gt;"",R814&lt;&gt;"",RIGHT($N814,6)="tarief"),P814*FLOOR(R814,0.01),T814&gt;0,FLOOR(SUM(T814),0.01)),""),""),"")</f>
        <v/>
      </c>
      <c r="Y814" s="314" t="str">
        <f t="shared" ca="1" si="50"/>
        <v/>
      </c>
      <c r="Z814" s="314" t="str" cm="1">
        <f t="array" aca="1" ref="Z814" ca="1">IFERROR(_xlfn.IFS(OR(F814="",LEFT(Methode_Keuze,4)="Geen",Methode_Keuze=""),"",AND(W814&lt;&gt;"",F814&lt;&gt;"Arbeidskosten"),W814*VLOOKUP(F814,Tb_ProjectKosten[],MATCH(Tb_ProjectKosten[[#Headers],[Forfait_Percentage]],Tb_ProjectKosten[#Headers],0),0),AND(F814="Arbeidskosten",G814&lt;&gt;""),IFERROR(W814*VLOOKUP(G814,Tb_KostenTypen[],3,0)*VLOOKUP(F814,Tb_ProjectKosten[],MATCH(Tb_ProjectKosten[[#Headers],[Forfait_Percentage]],Tb_ProjectKosten[#Headers],0),0),""),W814 &lt;=0,0),"")</f>
        <v/>
      </c>
      <c r="AA814" s="314" t="str" cm="1">
        <f t="array" aca="1" ref="AA814" ca="1">IFERROR(_xlfn.IFS(OR(F814="",LEFT(Methode_Keuze,4)="Geen",Methode_Keuze=""),"",AND(X814&lt;&gt;"",F814&lt;&gt;"Arbeidskosten"),X814*VLOOKUP(F814,Tb_ProjectKosten[],MATCH(Tb_ProjectKosten[[#Headers],[Forfait_Percentage]],Tb_ProjectKosten[#Headers],0),0),AND(F814="Arbeidskosten",G814&lt;&gt;""),IFERROR(X814*VLOOKUP(G814,Tb_KostenTypen[],3,0)*VLOOKUP(F814,Tb_ProjectKosten[],MATCH(Tb_ProjectKosten[[#Headers],[Forfait_Percentage]],Tb_ProjectKosten[#Headers],0),0),""),X814 &lt;=0,0),"")</f>
        <v/>
      </c>
      <c r="AB814" s="314" t="str">
        <f t="shared" ca="1" si="51"/>
        <v/>
      </c>
      <c r="AC814" s="322"/>
      <c r="AD814" s="315"/>
      <c r="AE814" s="32" t="str" cm="1">
        <f t="array" ref="AE814">IFERROR(IF(INDEX(SubsidieTabel!$AD$1:$AG$12,MATCH($F814,SubsidieTabel!$AD$1:$AD$12,0),IFERROR(MATCH(Methode_Keuze,SubsidieTabel!$AD$1:$AG$1,0),2))&lt;&gt;1=TRUE,"ja",""),"")</f>
        <v/>
      </c>
    </row>
    <row r="815" spans="1:31" x14ac:dyDescent="0.25">
      <c r="A815" s="316"/>
      <c r="B815" s="317" t="str">
        <f>IF(A815&lt;&gt;"",_xlfn.MAXIFS($B$1:B814,$A$1:A814,A815)+1,"")</f>
        <v/>
      </c>
      <c r="C815" s="296"/>
      <c r="D815" s="296"/>
      <c r="E815" s="296"/>
      <c r="F815" s="296"/>
      <c r="G815" s="326"/>
      <c r="H815" s="324"/>
      <c r="I815" s="325"/>
      <c r="J815" s="325"/>
      <c r="K815" s="318"/>
      <c r="L815" s="318"/>
      <c r="M815" s="319" t="str">
        <f>IFERROR(VLOOKUP(H815,Lijsten!$H$1:$I$100,2,0),"")</f>
        <v/>
      </c>
      <c r="N815" s="319" t="str">
        <f ca="1">IFERROR(IF(VLOOKUP(F815,Kostentypen!$A$3:$E$21,3,0)=0,"",IF(OR(F815="Arbeidskosten",F815="Vergoeding"),VLOOKUP(G815,Tb_KostenTypen[],2,0),VLOOKUP(F815,Kostentypen!$A$3:$E$20,3,0))),"")</f>
        <v/>
      </c>
      <c r="O815" s="320" t="str" cm="1">
        <f t="array" ref="O815">_xlfn.IFNA(IF(INDEX(Tb_KostenOptiesDB[],MATCH($F815,Tb_KostenOptiesDB[KostenOptie],0),IFERROR(MATCH(Methode_Keuze,Tb_KostenOptiesDB[#Headers],0),2))=1,_xlfn.SWITCH($N815,"Uurtarief",IF(OR(AND(RIGHT($F815,3)="IKS",VLOOKUP($M815,DB_Loonkosten,2,0)="Ja"),AND(RIGHT($F815,3)&lt;&gt;"IKS",VLOOKUP($M815,DB_Loonkosten,2,0)="Nee")),IFERROR(VLOOKUP($M815,DB_Loonkosten,24,0),""),0),"Vast tarief",IF(LEFT(F815,8)="Bijdrage",VLOOKUP($F815,Tb_KostenTypen[],MATCH(Lijsten!$P$1,Tb_KostenTypen[#Headers],0),0),VLOOKUP($G815,Lijsten!L:P,MATCH(Lijsten!$P$1,Kop_Tarief_Vast,0),0))),""),"")</f>
        <v/>
      </c>
      <c r="P815" s="320" t="str" cm="1">
        <f t="array" ref="P815">_xlfn.IFNA(IF(INDEX(Tb_KostenOptiesDB[],MATCH($F815,Tb_KostenOptiesDB[KostenOptie],0),IFERROR(MATCH(Methode_Keuze,Tb_KostenOptiesDB[#Headers],0),2))=1,_xlfn.SWITCH($N815,"Uurtarief",IF(OR(AND(RIGHT($F815,3)="IKS",VLOOKUP($M815,DB_Loonkosten,2,0)="Ja"),AND(RIGHT($F815,3)&lt;&gt;"IKS",VLOOKUP($M815,DB_Loonkosten,2,0)="Nee")),IFERROR(VLOOKUP($M815,DB_Loonkosten,25,0),""),0),"Vast tarief",IF(LEFT(F815,8)="Bijdrage",VLOOKUP($F815,Tb_KostenTypen[],MATCH(Lijsten!$P$1,Tb_KostenTypen[#Headers],0),0),VLOOKUP($G815,Lijsten!L:P,MATCH(Lijsten!$P$1,Kop_Tarief_Vast,0),0))),""),"")</f>
        <v/>
      </c>
      <c r="Q815" s="359"/>
      <c r="R815" s="359"/>
      <c r="S815" s="321"/>
      <c r="T815" s="321"/>
      <c r="U815" s="373" t="str">
        <f t="shared" si="48"/>
        <v/>
      </c>
      <c r="V815" s="314" t="str">
        <f t="shared" si="49"/>
        <v/>
      </c>
      <c r="W815" s="314" t="str" cm="1">
        <f t="array" aca="1" ref="W815" ca="1">IFERROR(IF(AE815&lt;&gt;"ja",_xlfn.IFNA(_xlfn.IFS(AND(O815&lt;&gt;"",F815&lt;&gt;"",RIGHT($N815,6)="tarief",F815="Vergoeding"),SUM(O815)*FLOOR(SUM(Q815),0.0001),AND(O815&lt;&gt;"",F815&lt;&gt;"",RIGHT($N815,6)="tarief"),SUM(O815)*FLOOR(SUM(Q815),0.01),S815&gt;0,IF(F815&lt;&gt;"",FLOOR(SUM(S815),0.01),"")),""),""),"")</f>
        <v/>
      </c>
      <c r="X815" s="314" t="str" cm="1">
        <f t="array" aca="1" ref="X815" ca="1">IFERROR(IF(AE815&lt;&gt;"ja",_xlfn.IFNA(_xlfn.IFS(AND(P815&lt;&gt;"",R815&lt;&gt;"",RIGHT($N815,6)="tarief",F815="Vergoeding"),SUM(P815)*FLOOR(SUM(R815),0.0001),AND(P815&lt;&gt;"",R815&lt;&gt;"",RIGHT($N815,6)="tarief"),P815*FLOOR(R815,0.01),T815&gt;0,FLOOR(SUM(T815),0.01)),""),""),"")</f>
        <v/>
      </c>
      <c r="Y815" s="314" t="str">
        <f t="shared" ca="1" si="50"/>
        <v/>
      </c>
      <c r="Z815" s="314" t="str" cm="1">
        <f t="array" aca="1" ref="Z815" ca="1">IFERROR(_xlfn.IFS(OR(F815="",LEFT(Methode_Keuze,4)="Geen",Methode_Keuze=""),"",AND(W815&lt;&gt;"",F815&lt;&gt;"Arbeidskosten"),W815*VLOOKUP(F815,Tb_ProjectKosten[],MATCH(Tb_ProjectKosten[[#Headers],[Forfait_Percentage]],Tb_ProjectKosten[#Headers],0),0),AND(F815="Arbeidskosten",G815&lt;&gt;""),IFERROR(W815*VLOOKUP(G815,Tb_KostenTypen[],3,0)*VLOOKUP(F815,Tb_ProjectKosten[],MATCH(Tb_ProjectKosten[[#Headers],[Forfait_Percentage]],Tb_ProjectKosten[#Headers],0),0),""),W815 &lt;=0,0),"")</f>
        <v/>
      </c>
      <c r="AA815" s="314" t="str" cm="1">
        <f t="array" aca="1" ref="AA815" ca="1">IFERROR(_xlfn.IFS(OR(F815="",LEFT(Methode_Keuze,4)="Geen",Methode_Keuze=""),"",AND(X815&lt;&gt;"",F815&lt;&gt;"Arbeidskosten"),X815*VLOOKUP(F815,Tb_ProjectKosten[],MATCH(Tb_ProjectKosten[[#Headers],[Forfait_Percentage]],Tb_ProjectKosten[#Headers],0),0),AND(F815="Arbeidskosten",G815&lt;&gt;""),IFERROR(X815*VLOOKUP(G815,Tb_KostenTypen[],3,0)*VLOOKUP(F815,Tb_ProjectKosten[],MATCH(Tb_ProjectKosten[[#Headers],[Forfait_Percentage]],Tb_ProjectKosten[#Headers],0),0),""),X815 &lt;=0,0),"")</f>
        <v/>
      </c>
      <c r="AB815" s="314" t="str">
        <f t="shared" ca="1" si="51"/>
        <v/>
      </c>
      <c r="AC815" s="322"/>
      <c r="AD815" s="315"/>
      <c r="AE815" s="32" t="str" cm="1">
        <f t="array" ref="AE815">IFERROR(IF(INDEX(SubsidieTabel!$AD$1:$AG$12,MATCH($F815,SubsidieTabel!$AD$1:$AD$12,0),IFERROR(MATCH(Methode_Keuze,SubsidieTabel!$AD$1:$AG$1,0),2))&lt;&gt;1=TRUE,"ja",""),"")</f>
        <v/>
      </c>
    </row>
    <row r="816" spans="1:31" x14ac:dyDescent="0.25">
      <c r="A816" s="316"/>
      <c r="B816" s="317" t="str">
        <f>IF(A816&lt;&gt;"",_xlfn.MAXIFS($B$1:B815,$A$1:A815,A816)+1,"")</f>
        <v/>
      </c>
      <c r="C816" s="296"/>
      <c r="D816" s="296"/>
      <c r="E816" s="296"/>
      <c r="F816" s="296"/>
      <c r="G816" s="326"/>
      <c r="H816" s="324"/>
      <c r="I816" s="325"/>
      <c r="J816" s="325"/>
      <c r="K816" s="318"/>
      <c r="L816" s="318"/>
      <c r="M816" s="319" t="str">
        <f>IFERROR(VLOOKUP(H816,Lijsten!$H$1:$I$100,2,0),"")</f>
        <v/>
      </c>
      <c r="N816" s="319" t="str">
        <f ca="1">IFERROR(IF(VLOOKUP(F816,Kostentypen!$A$3:$E$21,3,0)=0,"",IF(OR(F816="Arbeidskosten",F816="Vergoeding"),VLOOKUP(G816,Tb_KostenTypen[],2,0),VLOOKUP(F816,Kostentypen!$A$3:$E$20,3,0))),"")</f>
        <v/>
      </c>
      <c r="O816" s="320" t="str" cm="1">
        <f t="array" ref="O816">_xlfn.IFNA(IF(INDEX(Tb_KostenOptiesDB[],MATCH($F816,Tb_KostenOptiesDB[KostenOptie],0),IFERROR(MATCH(Methode_Keuze,Tb_KostenOptiesDB[#Headers],0),2))=1,_xlfn.SWITCH($N816,"Uurtarief",IF(OR(AND(RIGHT($F816,3)="IKS",VLOOKUP($M816,DB_Loonkosten,2,0)="Ja"),AND(RIGHT($F816,3)&lt;&gt;"IKS",VLOOKUP($M816,DB_Loonkosten,2,0)="Nee")),IFERROR(VLOOKUP($M816,DB_Loonkosten,24,0),""),0),"Vast tarief",IF(LEFT(F816,8)="Bijdrage",VLOOKUP($F816,Tb_KostenTypen[],MATCH(Lijsten!$P$1,Tb_KostenTypen[#Headers],0),0),VLOOKUP($G816,Lijsten!L:P,MATCH(Lijsten!$P$1,Kop_Tarief_Vast,0),0))),""),"")</f>
        <v/>
      </c>
      <c r="P816" s="320" t="str" cm="1">
        <f t="array" ref="P816">_xlfn.IFNA(IF(INDEX(Tb_KostenOptiesDB[],MATCH($F816,Tb_KostenOptiesDB[KostenOptie],0),IFERROR(MATCH(Methode_Keuze,Tb_KostenOptiesDB[#Headers],0),2))=1,_xlfn.SWITCH($N816,"Uurtarief",IF(OR(AND(RIGHT($F816,3)="IKS",VLOOKUP($M816,DB_Loonkosten,2,0)="Ja"),AND(RIGHT($F816,3)&lt;&gt;"IKS",VLOOKUP($M816,DB_Loonkosten,2,0)="Nee")),IFERROR(VLOOKUP($M816,DB_Loonkosten,25,0),""),0),"Vast tarief",IF(LEFT(F816,8)="Bijdrage",VLOOKUP($F816,Tb_KostenTypen[],MATCH(Lijsten!$P$1,Tb_KostenTypen[#Headers],0),0),VLOOKUP($G816,Lijsten!L:P,MATCH(Lijsten!$P$1,Kop_Tarief_Vast,0),0))),""),"")</f>
        <v/>
      </c>
      <c r="Q816" s="359"/>
      <c r="R816" s="359"/>
      <c r="S816" s="321"/>
      <c r="T816" s="321"/>
      <c r="U816" s="373" t="str">
        <f t="shared" si="48"/>
        <v/>
      </c>
      <c r="V816" s="314" t="str">
        <f t="shared" si="49"/>
        <v/>
      </c>
      <c r="W816" s="314" t="str" cm="1">
        <f t="array" aca="1" ref="W816" ca="1">IFERROR(IF(AE816&lt;&gt;"ja",_xlfn.IFNA(_xlfn.IFS(AND(O816&lt;&gt;"",F816&lt;&gt;"",RIGHT($N816,6)="tarief",F816="Vergoeding"),SUM(O816)*FLOOR(SUM(Q816),0.0001),AND(O816&lt;&gt;"",F816&lt;&gt;"",RIGHT($N816,6)="tarief"),SUM(O816)*FLOOR(SUM(Q816),0.01),S816&gt;0,IF(F816&lt;&gt;"",FLOOR(SUM(S816),0.01),"")),""),""),"")</f>
        <v/>
      </c>
      <c r="X816" s="314" t="str" cm="1">
        <f t="array" aca="1" ref="X816" ca="1">IFERROR(IF(AE816&lt;&gt;"ja",_xlfn.IFNA(_xlfn.IFS(AND(P816&lt;&gt;"",R816&lt;&gt;"",RIGHT($N816,6)="tarief",F816="Vergoeding"),SUM(P816)*FLOOR(SUM(R816),0.0001),AND(P816&lt;&gt;"",R816&lt;&gt;"",RIGHT($N816,6)="tarief"),P816*FLOOR(R816,0.01),T816&gt;0,FLOOR(SUM(T816),0.01)),""),""),"")</f>
        <v/>
      </c>
      <c r="Y816" s="314" t="str">
        <f t="shared" ca="1" si="50"/>
        <v/>
      </c>
      <c r="Z816" s="314" t="str" cm="1">
        <f t="array" aca="1" ref="Z816" ca="1">IFERROR(_xlfn.IFS(OR(F816="",LEFT(Methode_Keuze,4)="Geen",Methode_Keuze=""),"",AND(W816&lt;&gt;"",F816&lt;&gt;"Arbeidskosten"),W816*VLOOKUP(F816,Tb_ProjectKosten[],MATCH(Tb_ProjectKosten[[#Headers],[Forfait_Percentage]],Tb_ProjectKosten[#Headers],0),0),AND(F816="Arbeidskosten",G816&lt;&gt;""),IFERROR(W816*VLOOKUP(G816,Tb_KostenTypen[],3,0)*VLOOKUP(F816,Tb_ProjectKosten[],MATCH(Tb_ProjectKosten[[#Headers],[Forfait_Percentage]],Tb_ProjectKosten[#Headers],0),0),""),W816 &lt;=0,0),"")</f>
        <v/>
      </c>
      <c r="AA816" s="314" t="str" cm="1">
        <f t="array" aca="1" ref="AA816" ca="1">IFERROR(_xlfn.IFS(OR(F816="",LEFT(Methode_Keuze,4)="Geen",Methode_Keuze=""),"",AND(X816&lt;&gt;"",F816&lt;&gt;"Arbeidskosten"),X816*VLOOKUP(F816,Tb_ProjectKosten[],MATCH(Tb_ProjectKosten[[#Headers],[Forfait_Percentage]],Tb_ProjectKosten[#Headers],0),0),AND(F816="Arbeidskosten",G816&lt;&gt;""),IFERROR(X816*VLOOKUP(G816,Tb_KostenTypen[],3,0)*VLOOKUP(F816,Tb_ProjectKosten[],MATCH(Tb_ProjectKosten[[#Headers],[Forfait_Percentage]],Tb_ProjectKosten[#Headers],0),0),""),X816 &lt;=0,0),"")</f>
        <v/>
      </c>
      <c r="AB816" s="314" t="str">
        <f t="shared" ca="1" si="51"/>
        <v/>
      </c>
      <c r="AC816" s="322"/>
      <c r="AD816" s="315"/>
      <c r="AE816" s="32" t="str" cm="1">
        <f t="array" ref="AE816">IFERROR(IF(INDEX(SubsidieTabel!$AD$1:$AG$12,MATCH($F816,SubsidieTabel!$AD$1:$AD$12,0),IFERROR(MATCH(Methode_Keuze,SubsidieTabel!$AD$1:$AG$1,0),2))&lt;&gt;1=TRUE,"ja",""),"")</f>
        <v/>
      </c>
    </row>
    <row r="817" spans="1:31" x14ac:dyDescent="0.25">
      <c r="A817" s="316"/>
      <c r="B817" s="317" t="str">
        <f>IF(A817&lt;&gt;"",_xlfn.MAXIFS($B$1:B816,$A$1:A816,A817)+1,"")</f>
        <v/>
      </c>
      <c r="C817" s="296"/>
      <c r="D817" s="296"/>
      <c r="E817" s="296"/>
      <c r="F817" s="296"/>
      <c r="G817" s="326"/>
      <c r="H817" s="324"/>
      <c r="I817" s="325"/>
      <c r="J817" s="325"/>
      <c r="K817" s="318"/>
      <c r="L817" s="318"/>
      <c r="M817" s="319" t="str">
        <f>IFERROR(VLOOKUP(H817,Lijsten!$H$1:$I$100,2,0),"")</f>
        <v/>
      </c>
      <c r="N817" s="319" t="str">
        <f ca="1">IFERROR(IF(VLOOKUP(F817,Kostentypen!$A$3:$E$21,3,0)=0,"",IF(OR(F817="Arbeidskosten",F817="Vergoeding"),VLOOKUP(G817,Tb_KostenTypen[],2,0),VLOOKUP(F817,Kostentypen!$A$3:$E$20,3,0))),"")</f>
        <v/>
      </c>
      <c r="O817" s="320" t="str" cm="1">
        <f t="array" ref="O817">_xlfn.IFNA(IF(INDEX(Tb_KostenOptiesDB[],MATCH($F817,Tb_KostenOptiesDB[KostenOptie],0),IFERROR(MATCH(Methode_Keuze,Tb_KostenOptiesDB[#Headers],0),2))=1,_xlfn.SWITCH($N817,"Uurtarief",IF(OR(AND(RIGHT($F817,3)="IKS",VLOOKUP($M817,DB_Loonkosten,2,0)="Ja"),AND(RIGHT($F817,3)&lt;&gt;"IKS",VLOOKUP($M817,DB_Loonkosten,2,0)="Nee")),IFERROR(VLOOKUP($M817,DB_Loonkosten,24,0),""),0),"Vast tarief",IF(LEFT(F817,8)="Bijdrage",VLOOKUP($F817,Tb_KostenTypen[],MATCH(Lijsten!$P$1,Tb_KostenTypen[#Headers],0),0),VLOOKUP($G817,Lijsten!L:P,MATCH(Lijsten!$P$1,Kop_Tarief_Vast,0),0))),""),"")</f>
        <v/>
      </c>
      <c r="P817" s="320" t="str" cm="1">
        <f t="array" ref="P817">_xlfn.IFNA(IF(INDEX(Tb_KostenOptiesDB[],MATCH($F817,Tb_KostenOptiesDB[KostenOptie],0),IFERROR(MATCH(Methode_Keuze,Tb_KostenOptiesDB[#Headers],0),2))=1,_xlfn.SWITCH($N817,"Uurtarief",IF(OR(AND(RIGHT($F817,3)="IKS",VLOOKUP($M817,DB_Loonkosten,2,0)="Ja"),AND(RIGHT($F817,3)&lt;&gt;"IKS",VLOOKUP($M817,DB_Loonkosten,2,0)="Nee")),IFERROR(VLOOKUP($M817,DB_Loonkosten,25,0),""),0),"Vast tarief",IF(LEFT(F817,8)="Bijdrage",VLOOKUP($F817,Tb_KostenTypen[],MATCH(Lijsten!$P$1,Tb_KostenTypen[#Headers],0),0),VLOOKUP($G817,Lijsten!L:P,MATCH(Lijsten!$P$1,Kop_Tarief_Vast,0),0))),""),"")</f>
        <v/>
      </c>
      <c r="Q817" s="359"/>
      <c r="R817" s="359"/>
      <c r="S817" s="321"/>
      <c r="T817" s="321"/>
      <c r="U817" s="373" t="str">
        <f t="shared" si="48"/>
        <v/>
      </c>
      <c r="V817" s="314" t="str">
        <f t="shared" si="49"/>
        <v/>
      </c>
      <c r="W817" s="314" t="str" cm="1">
        <f t="array" aca="1" ref="W817" ca="1">IFERROR(IF(AE817&lt;&gt;"ja",_xlfn.IFNA(_xlfn.IFS(AND(O817&lt;&gt;"",F817&lt;&gt;"",RIGHT($N817,6)="tarief",F817="Vergoeding"),SUM(O817)*FLOOR(SUM(Q817),0.0001),AND(O817&lt;&gt;"",F817&lt;&gt;"",RIGHT($N817,6)="tarief"),SUM(O817)*FLOOR(SUM(Q817),0.01),S817&gt;0,IF(F817&lt;&gt;"",FLOOR(SUM(S817),0.01),"")),""),""),"")</f>
        <v/>
      </c>
      <c r="X817" s="314" t="str" cm="1">
        <f t="array" aca="1" ref="X817" ca="1">IFERROR(IF(AE817&lt;&gt;"ja",_xlfn.IFNA(_xlfn.IFS(AND(P817&lt;&gt;"",R817&lt;&gt;"",RIGHT($N817,6)="tarief",F817="Vergoeding"),SUM(P817)*FLOOR(SUM(R817),0.0001),AND(P817&lt;&gt;"",R817&lt;&gt;"",RIGHT($N817,6)="tarief"),P817*FLOOR(R817,0.01),T817&gt;0,FLOOR(SUM(T817),0.01)),""),""),"")</f>
        <v/>
      </c>
      <c r="Y817" s="314" t="str">
        <f t="shared" ca="1" si="50"/>
        <v/>
      </c>
      <c r="Z817" s="314" t="str" cm="1">
        <f t="array" aca="1" ref="Z817" ca="1">IFERROR(_xlfn.IFS(OR(F817="",LEFT(Methode_Keuze,4)="Geen",Methode_Keuze=""),"",AND(W817&lt;&gt;"",F817&lt;&gt;"Arbeidskosten"),W817*VLOOKUP(F817,Tb_ProjectKosten[],MATCH(Tb_ProjectKosten[[#Headers],[Forfait_Percentage]],Tb_ProjectKosten[#Headers],0),0),AND(F817="Arbeidskosten",G817&lt;&gt;""),IFERROR(W817*VLOOKUP(G817,Tb_KostenTypen[],3,0)*VLOOKUP(F817,Tb_ProjectKosten[],MATCH(Tb_ProjectKosten[[#Headers],[Forfait_Percentage]],Tb_ProjectKosten[#Headers],0),0),""),W817 &lt;=0,0),"")</f>
        <v/>
      </c>
      <c r="AA817" s="314" t="str" cm="1">
        <f t="array" aca="1" ref="AA817" ca="1">IFERROR(_xlfn.IFS(OR(F817="",LEFT(Methode_Keuze,4)="Geen",Methode_Keuze=""),"",AND(X817&lt;&gt;"",F817&lt;&gt;"Arbeidskosten"),X817*VLOOKUP(F817,Tb_ProjectKosten[],MATCH(Tb_ProjectKosten[[#Headers],[Forfait_Percentage]],Tb_ProjectKosten[#Headers],0),0),AND(F817="Arbeidskosten",G817&lt;&gt;""),IFERROR(X817*VLOOKUP(G817,Tb_KostenTypen[],3,0)*VLOOKUP(F817,Tb_ProjectKosten[],MATCH(Tb_ProjectKosten[[#Headers],[Forfait_Percentage]],Tb_ProjectKosten[#Headers],0),0),""),X817 &lt;=0,0),"")</f>
        <v/>
      </c>
      <c r="AB817" s="314" t="str">
        <f t="shared" ca="1" si="51"/>
        <v/>
      </c>
      <c r="AC817" s="322"/>
      <c r="AD817" s="315"/>
      <c r="AE817" s="32" t="str" cm="1">
        <f t="array" ref="AE817">IFERROR(IF(INDEX(SubsidieTabel!$AD$1:$AG$12,MATCH($F817,SubsidieTabel!$AD$1:$AD$12,0),IFERROR(MATCH(Methode_Keuze,SubsidieTabel!$AD$1:$AG$1,0),2))&lt;&gt;1=TRUE,"ja",""),"")</f>
        <v/>
      </c>
    </row>
    <row r="818" spans="1:31" x14ac:dyDescent="0.25">
      <c r="A818" s="316"/>
      <c r="B818" s="317" t="str">
        <f>IF(A818&lt;&gt;"",_xlfn.MAXIFS($B$1:B817,$A$1:A817,A818)+1,"")</f>
        <v/>
      </c>
      <c r="C818" s="296"/>
      <c r="D818" s="296"/>
      <c r="E818" s="296"/>
      <c r="F818" s="296"/>
      <c r="G818" s="326"/>
      <c r="H818" s="324"/>
      <c r="I818" s="325"/>
      <c r="J818" s="325"/>
      <c r="K818" s="318"/>
      <c r="L818" s="318"/>
      <c r="M818" s="319" t="str">
        <f>IFERROR(VLOOKUP(H818,Lijsten!$H$1:$I$100,2,0),"")</f>
        <v/>
      </c>
      <c r="N818" s="319" t="str">
        <f ca="1">IFERROR(IF(VLOOKUP(F818,Kostentypen!$A$3:$E$21,3,0)=0,"",IF(OR(F818="Arbeidskosten",F818="Vergoeding"),VLOOKUP(G818,Tb_KostenTypen[],2,0),VLOOKUP(F818,Kostentypen!$A$3:$E$20,3,0))),"")</f>
        <v/>
      </c>
      <c r="O818" s="320" t="str" cm="1">
        <f t="array" ref="O818">_xlfn.IFNA(IF(INDEX(Tb_KostenOptiesDB[],MATCH($F818,Tb_KostenOptiesDB[KostenOptie],0),IFERROR(MATCH(Methode_Keuze,Tb_KostenOptiesDB[#Headers],0),2))=1,_xlfn.SWITCH($N818,"Uurtarief",IF(OR(AND(RIGHT($F818,3)="IKS",VLOOKUP($M818,DB_Loonkosten,2,0)="Ja"),AND(RIGHT($F818,3)&lt;&gt;"IKS",VLOOKUP($M818,DB_Loonkosten,2,0)="Nee")),IFERROR(VLOOKUP($M818,DB_Loonkosten,24,0),""),0),"Vast tarief",IF(LEFT(F818,8)="Bijdrage",VLOOKUP($F818,Tb_KostenTypen[],MATCH(Lijsten!$P$1,Tb_KostenTypen[#Headers],0),0),VLOOKUP($G818,Lijsten!L:P,MATCH(Lijsten!$P$1,Kop_Tarief_Vast,0),0))),""),"")</f>
        <v/>
      </c>
      <c r="P818" s="320" t="str" cm="1">
        <f t="array" ref="P818">_xlfn.IFNA(IF(INDEX(Tb_KostenOptiesDB[],MATCH($F818,Tb_KostenOptiesDB[KostenOptie],0),IFERROR(MATCH(Methode_Keuze,Tb_KostenOptiesDB[#Headers],0),2))=1,_xlfn.SWITCH($N818,"Uurtarief",IF(OR(AND(RIGHT($F818,3)="IKS",VLOOKUP($M818,DB_Loonkosten,2,0)="Ja"),AND(RIGHT($F818,3)&lt;&gt;"IKS",VLOOKUP($M818,DB_Loonkosten,2,0)="Nee")),IFERROR(VLOOKUP($M818,DB_Loonkosten,25,0),""),0),"Vast tarief",IF(LEFT(F818,8)="Bijdrage",VLOOKUP($F818,Tb_KostenTypen[],MATCH(Lijsten!$P$1,Tb_KostenTypen[#Headers],0),0),VLOOKUP($G818,Lijsten!L:P,MATCH(Lijsten!$P$1,Kop_Tarief_Vast,0),0))),""),"")</f>
        <v/>
      </c>
      <c r="Q818" s="359"/>
      <c r="R818" s="359"/>
      <c r="S818" s="321"/>
      <c r="T818" s="321"/>
      <c r="U818" s="373" t="str">
        <f t="shared" si="48"/>
        <v/>
      </c>
      <c r="V818" s="314" t="str">
        <f t="shared" si="49"/>
        <v/>
      </c>
      <c r="W818" s="314" t="str" cm="1">
        <f t="array" aca="1" ref="W818" ca="1">IFERROR(IF(AE818&lt;&gt;"ja",_xlfn.IFNA(_xlfn.IFS(AND(O818&lt;&gt;"",F818&lt;&gt;"",RIGHT($N818,6)="tarief",F818="Vergoeding"),SUM(O818)*FLOOR(SUM(Q818),0.0001),AND(O818&lt;&gt;"",F818&lt;&gt;"",RIGHT($N818,6)="tarief"),SUM(O818)*FLOOR(SUM(Q818),0.01),S818&gt;0,IF(F818&lt;&gt;"",FLOOR(SUM(S818),0.01),"")),""),""),"")</f>
        <v/>
      </c>
      <c r="X818" s="314" t="str" cm="1">
        <f t="array" aca="1" ref="X818" ca="1">IFERROR(IF(AE818&lt;&gt;"ja",_xlfn.IFNA(_xlfn.IFS(AND(P818&lt;&gt;"",R818&lt;&gt;"",RIGHT($N818,6)="tarief",F818="Vergoeding"),SUM(P818)*FLOOR(SUM(R818),0.0001),AND(P818&lt;&gt;"",R818&lt;&gt;"",RIGHT($N818,6)="tarief"),P818*FLOOR(R818,0.01),T818&gt;0,FLOOR(SUM(T818),0.01)),""),""),"")</f>
        <v/>
      </c>
      <c r="Y818" s="314" t="str">
        <f t="shared" ca="1" si="50"/>
        <v/>
      </c>
      <c r="Z818" s="314" t="str" cm="1">
        <f t="array" aca="1" ref="Z818" ca="1">IFERROR(_xlfn.IFS(OR(F818="",LEFT(Methode_Keuze,4)="Geen",Methode_Keuze=""),"",AND(W818&lt;&gt;"",F818&lt;&gt;"Arbeidskosten"),W818*VLOOKUP(F818,Tb_ProjectKosten[],MATCH(Tb_ProjectKosten[[#Headers],[Forfait_Percentage]],Tb_ProjectKosten[#Headers],0),0),AND(F818="Arbeidskosten",G818&lt;&gt;""),IFERROR(W818*VLOOKUP(G818,Tb_KostenTypen[],3,0)*VLOOKUP(F818,Tb_ProjectKosten[],MATCH(Tb_ProjectKosten[[#Headers],[Forfait_Percentage]],Tb_ProjectKosten[#Headers],0),0),""),W818 &lt;=0,0),"")</f>
        <v/>
      </c>
      <c r="AA818" s="314" t="str" cm="1">
        <f t="array" aca="1" ref="AA818" ca="1">IFERROR(_xlfn.IFS(OR(F818="",LEFT(Methode_Keuze,4)="Geen",Methode_Keuze=""),"",AND(X818&lt;&gt;"",F818&lt;&gt;"Arbeidskosten"),X818*VLOOKUP(F818,Tb_ProjectKosten[],MATCH(Tb_ProjectKosten[[#Headers],[Forfait_Percentage]],Tb_ProjectKosten[#Headers],0),0),AND(F818="Arbeidskosten",G818&lt;&gt;""),IFERROR(X818*VLOOKUP(G818,Tb_KostenTypen[],3,0)*VLOOKUP(F818,Tb_ProjectKosten[],MATCH(Tb_ProjectKosten[[#Headers],[Forfait_Percentage]],Tb_ProjectKosten[#Headers],0),0),""),X818 &lt;=0,0),"")</f>
        <v/>
      </c>
      <c r="AB818" s="314" t="str">
        <f t="shared" ca="1" si="51"/>
        <v/>
      </c>
      <c r="AC818" s="322"/>
      <c r="AD818" s="315"/>
      <c r="AE818" s="32" t="str" cm="1">
        <f t="array" ref="AE818">IFERROR(IF(INDEX(SubsidieTabel!$AD$1:$AG$12,MATCH($F818,SubsidieTabel!$AD$1:$AD$12,0),IFERROR(MATCH(Methode_Keuze,SubsidieTabel!$AD$1:$AG$1,0),2))&lt;&gt;1=TRUE,"ja",""),"")</f>
        <v/>
      </c>
    </row>
    <row r="819" spans="1:31" x14ac:dyDescent="0.25">
      <c r="A819" s="316"/>
      <c r="B819" s="317" t="str">
        <f>IF(A819&lt;&gt;"",_xlfn.MAXIFS($B$1:B818,$A$1:A818,A819)+1,"")</f>
        <v/>
      </c>
      <c r="C819" s="296"/>
      <c r="D819" s="296"/>
      <c r="E819" s="296"/>
      <c r="F819" s="296"/>
      <c r="G819" s="326"/>
      <c r="H819" s="324"/>
      <c r="I819" s="325"/>
      <c r="J819" s="325"/>
      <c r="K819" s="318"/>
      <c r="L819" s="318"/>
      <c r="M819" s="319" t="str">
        <f>IFERROR(VLOOKUP(H819,Lijsten!$H$1:$I$100,2,0),"")</f>
        <v/>
      </c>
      <c r="N819" s="319" t="str">
        <f ca="1">IFERROR(IF(VLOOKUP(F819,Kostentypen!$A$3:$E$21,3,0)=0,"",IF(OR(F819="Arbeidskosten",F819="Vergoeding"),VLOOKUP(G819,Tb_KostenTypen[],2,0),VLOOKUP(F819,Kostentypen!$A$3:$E$20,3,0))),"")</f>
        <v/>
      </c>
      <c r="O819" s="320" t="str" cm="1">
        <f t="array" ref="O819">_xlfn.IFNA(IF(INDEX(Tb_KostenOptiesDB[],MATCH($F819,Tb_KostenOptiesDB[KostenOptie],0),IFERROR(MATCH(Methode_Keuze,Tb_KostenOptiesDB[#Headers],0),2))=1,_xlfn.SWITCH($N819,"Uurtarief",IF(OR(AND(RIGHT($F819,3)="IKS",VLOOKUP($M819,DB_Loonkosten,2,0)="Ja"),AND(RIGHT($F819,3)&lt;&gt;"IKS",VLOOKUP($M819,DB_Loonkosten,2,0)="Nee")),IFERROR(VLOOKUP($M819,DB_Loonkosten,24,0),""),0),"Vast tarief",IF(LEFT(F819,8)="Bijdrage",VLOOKUP($F819,Tb_KostenTypen[],MATCH(Lijsten!$P$1,Tb_KostenTypen[#Headers],0),0),VLOOKUP($G819,Lijsten!L:P,MATCH(Lijsten!$P$1,Kop_Tarief_Vast,0),0))),""),"")</f>
        <v/>
      </c>
      <c r="P819" s="320" t="str" cm="1">
        <f t="array" ref="P819">_xlfn.IFNA(IF(INDEX(Tb_KostenOptiesDB[],MATCH($F819,Tb_KostenOptiesDB[KostenOptie],0),IFERROR(MATCH(Methode_Keuze,Tb_KostenOptiesDB[#Headers],0),2))=1,_xlfn.SWITCH($N819,"Uurtarief",IF(OR(AND(RIGHT($F819,3)="IKS",VLOOKUP($M819,DB_Loonkosten,2,0)="Ja"),AND(RIGHT($F819,3)&lt;&gt;"IKS",VLOOKUP($M819,DB_Loonkosten,2,0)="Nee")),IFERROR(VLOOKUP($M819,DB_Loonkosten,25,0),""),0),"Vast tarief",IF(LEFT(F819,8)="Bijdrage",VLOOKUP($F819,Tb_KostenTypen[],MATCH(Lijsten!$P$1,Tb_KostenTypen[#Headers],0),0),VLOOKUP($G819,Lijsten!L:P,MATCH(Lijsten!$P$1,Kop_Tarief_Vast,0),0))),""),"")</f>
        <v/>
      </c>
      <c r="Q819" s="359"/>
      <c r="R819" s="359"/>
      <c r="S819" s="321"/>
      <c r="T819" s="321"/>
      <c r="U819" s="373" t="str">
        <f t="shared" si="48"/>
        <v/>
      </c>
      <c r="V819" s="314" t="str">
        <f t="shared" si="49"/>
        <v/>
      </c>
      <c r="W819" s="314" t="str" cm="1">
        <f t="array" aca="1" ref="W819" ca="1">IFERROR(IF(AE819&lt;&gt;"ja",_xlfn.IFNA(_xlfn.IFS(AND(O819&lt;&gt;"",F819&lt;&gt;"",RIGHT($N819,6)="tarief",F819="Vergoeding"),SUM(O819)*FLOOR(SUM(Q819),0.0001),AND(O819&lt;&gt;"",F819&lt;&gt;"",RIGHT($N819,6)="tarief"),SUM(O819)*FLOOR(SUM(Q819),0.01),S819&gt;0,IF(F819&lt;&gt;"",FLOOR(SUM(S819),0.01),"")),""),""),"")</f>
        <v/>
      </c>
      <c r="X819" s="314" t="str" cm="1">
        <f t="array" aca="1" ref="X819" ca="1">IFERROR(IF(AE819&lt;&gt;"ja",_xlfn.IFNA(_xlfn.IFS(AND(P819&lt;&gt;"",R819&lt;&gt;"",RIGHT($N819,6)="tarief",F819="Vergoeding"),SUM(P819)*FLOOR(SUM(R819),0.0001),AND(P819&lt;&gt;"",R819&lt;&gt;"",RIGHT($N819,6)="tarief"),P819*FLOOR(R819,0.01),T819&gt;0,FLOOR(SUM(T819),0.01)),""),""),"")</f>
        <v/>
      </c>
      <c r="Y819" s="314" t="str">
        <f t="shared" ca="1" si="50"/>
        <v/>
      </c>
      <c r="Z819" s="314" t="str" cm="1">
        <f t="array" aca="1" ref="Z819" ca="1">IFERROR(_xlfn.IFS(OR(F819="",LEFT(Methode_Keuze,4)="Geen",Methode_Keuze=""),"",AND(W819&lt;&gt;"",F819&lt;&gt;"Arbeidskosten"),W819*VLOOKUP(F819,Tb_ProjectKosten[],MATCH(Tb_ProjectKosten[[#Headers],[Forfait_Percentage]],Tb_ProjectKosten[#Headers],0),0),AND(F819="Arbeidskosten",G819&lt;&gt;""),IFERROR(W819*VLOOKUP(G819,Tb_KostenTypen[],3,0)*VLOOKUP(F819,Tb_ProjectKosten[],MATCH(Tb_ProjectKosten[[#Headers],[Forfait_Percentage]],Tb_ProjectKosten[#Headers],0),0),""),W819 &lt;=0,0),"")</f>
        <v/>
      </c>
      <c r="AA819" s="314" t="str" cm="1">
        <f t="array" aca="1" ref="AA819" ca="1">IFERROR(_xlfn.IFS(OR(F819="",LEFT(Methode_Keuze,4)="Geen",Methode_Keuze=""),"",AND(X819&lt;&gt;"",F819&lt;&gt;"Arbeidskosten"),X819*VLOOKUP(F819,Tb_ProjectKosten[],MATCH(Tb_ProjectKosten[[#Headers],[Forfait_Percentage]],Tb_ProjectKosten[#Headers],0),0),AND(F819="Arbeidskosten",G819&lt;&gt;""),IFERROR(X819*VLOOKUP(G819,Tb_KostenTypen[],3,0)*VLOOKUP(F819,Tb_ProjectKosten[],MATCH(Tb_ProjectKosten[[#Headers],[Forfait_Percentage]],Tb_ProjectKosten[#Headers],0),0),""),X819 &lt;=0,0),"")</f>
        <v/>
      </c>
      <c r="AB819" s="314" t="str">
        <f t="shared" ca="1" si="51"/>
        <v/>
      </c>
      <c r="AC819" s="322"/>
      <c r="AD819" s="315"/>
      <c r="AE819" s="32" t="str" cm="1">
        <f t="array" ref="AE819">IFERROR(IF(INDEX(SubsidieTabel!$AD$1:$AG$12,MATCH($F819,SubsidieTabel!$AD$1:$AD$12,0),IFERROR(MATCH(Methode_Keuze,SubsidieTabel!$AD$1:$AG$1,0),2))&lt;&gt;1=TRUE,"ja",""),"")</f>
        <v/>
      </c>
    </row>
    <row r="820" spans="1:31" x14ac:dyDescent="0.25">
      <c r="A820" s="316"/>
      <c r="B820" s="317" t="str">
        <f>IF(A820&lt;&gt;"",_xlfn.MAXIFS($B$1:B819,$A$1:A819,A820)+1,"")</f>
        <v/>
      </c>
      <c r="C820" s="296"/>
      <c r="D820" s="296"/>
      <c r="E820" s="296"/>
      <c r="F820" s="296"/>
      <c r="G820" s="326"/>
      <c r="H820" s="324"/>
      <c r="I820" s="325"/>
      <c r="J820" s="325"/>
      <c r="K820" s="318"/>
      <c r="L820" s="318"/>
      <c r="M820" s="319" t="str">
        <f>IFERROR(VLOOKUP(H820,Lijsten!$H$1:$I$100,2,0),"")</f>
        <v/>
      </c>
      <c r="N820" s="319" t="str">
        <f ca="1">IFERROR(IF(VLOOKUP(F820,Kostentypen!$A$3:$E$21,3,0)=0,"",IF(OR(F820="Arbeidskosten",F820="Vergoeding"),VLOOKUP(G820,Tb_KostenTypen[],2,0),VLOOKUP(F820,Kostentypen!$A$3:$E$20,3,0))),"")</f>
        <v/>
      </c>
      <c r="O820" s="320" t="str" cm="1">
        <f t="array" ref="O820">_xlfn.IFNA(IF(INDEX(Tb_KostenOptiesDB[],MATCH($F820,Tb_KostenOptiesDB[KostenOptie],0),IFERROR(MATCH(Methode_Keuze,Tb_KostenOptiesDB[#Headers],0),2))=1,_xlfn.SWITCH($N820,"Uurtarief",IF(OR(AND(RIGHT($F820,3)="IKS",VLOOKUP($M820,DB_Loonkosten,2,0)="Ja"),AND(RIGHT($F820,3)&lt;&gt;"IKS",VLOOKUP($M820,DB_Loonkosten,2,0)="Nee")),IFERROR(VLOOKUP($M820,DB_Loonkosten,24,0),""),0),"Vast tarief",IF(LEFT(F820,8)="Bijdrage",VLOOKUP($F820,Tb_KostenTypen[],MATCH(Lijsten!$P$1,Tb_KostenTypen[#Headers],0),0),VLOOKUP($G820,Lijsten!L:P,MATCH(Lijsten!$P$1,Kop_Tarief_Vast,0),0))),""),"")</f>
        <v/>
      </c>
      <c r="P820" s="320" t="str" cm="1">
        <f t="array" ref="P820">_xlfn.IFNA(IF(INDEX(Tb_KostenOptiesDB[],MATCH($F820,Tb_KostenOptiesDB[KostenOptie],0),IFERROR(MATCH(Methode_Keuze,Tb_KostenOptiesDB[#Headers],0),2))=1,_xlfn.SWITCH($N820,"Uurtarief",IF(OR(AND(RIGHT($F820,3)="IKS",VLOOKUP($M820,DB_Loonkosten,2,0)="Ja"),AND(RIGHT($F820,3)&lt;&gt;"IKS",VLOOKUP($M820,DB_Loonkosten,2,0)="Nee")),IFERROR(VLOOKUP($M820,DB_Loonkosten,25,0),""),0),"Vast tarief",IF(LEFT(F820,8)="Bijdrage",VLOOKUP($F820,Tb_KostenTypen[],MATCH(Lijsten!$P$1,Tb_KostenTypen[#Headers],0),0),VLOOKUP($G820,Lijsten!L:P,MATCH(Lijsten!$P$1,Kop_Tarief_Vast,0),0))),""),"")</f>
        <v/>
      </c>
      <c r="Q820" s="359"/>
      <c r="R820" s="359"/>
      <c r="S820" s="321"/>
      <c r="T820" s="321"/>
      <c r="U820" s="373" t="str">
        <f t="shared" si="48"/>
        <v/>
      </c>
      <c r="V820" s="314" t="str">
        <f t="shared" si="49"/>
        <v/>
      </c>
      <c r="W820" s="314" t="str" cm="1">
        <f t="array" aca="1" ref="W820" ca="1">IFERROR(IF(AE820&lt;&gt;"ja",_xlfn.IFNA(_xlfn.IFS(AND(O820&lt;&gt;"",F820&lt;&gt;"",RIGHT($N820,6)="tarief",F820="Vergoeding"),SUM(O820)*FLOOR(SUM(Q820),0.0001),AND(O820&lt;&gt;"",F820&lt;&gt;"",RIGHT($N820,6)="tarief"),SUM(O820)*FLOOR(SUM(Q820),0.01),S820&gt;0,IF(F820&lt;&gt;"",FLOOR(SUM(S820),0.01),"")),""),""),"")</f>
        <v/>
      </c>
      <c r="X820" s="314" t="str" cm="1">
        <f t="array" aca="1" ref="X820" ca="1">IFERROR(IF(AE820&lt;&gt;"ja",_xlfn.IFNA(_xlfn.IFS(AND(P820&lt;&gt;"",R820&lt;&gt;"",RIGHT($N820,6)="tarief",F820="Vergoeding"),SUM(P820)*FLOOR(SUM(R820),0.0001),AND(P820&lt;&gt;"",R820&lt;&gt;"",RIGHT($N820,6)="tarief"),P820*FLOOR(R820,0.01),T820&gt;0,FLOOR(SUM(T820),0.01)),""),""),"")</f>
        <v/>
      </c>
      <c r="Y820" s="314" t="str">
        <f t="shared" ca="1" si="50"/>
        <v/>
      </c>
      <c r="Z820" s="314" t="str" cm="1">
        <f t="array" aca="1" ref="Z820" ca="1">IFERROR(_xlfn.IFS(OR(F820="",LEFT(Methode_Keuze,4)="Geen",Methode_Keuze=""),"",AND(W820&lt;&gt;"",F820&lt;&gt;"Arbeidskosten"),W820*VLOOKUP(F820,Tb_ProjectKosten[],MATCH(Tb_ProjectKosten[[#Headers],[Forfait_Percentage]],Tb_ProjectKosten[#Headers],0),0),AND(F820="Arbeidskosten",G820&lt;&gt;""),IFERROR(W820*VLOOKUP(G820,Tb_KostenTypen[],3,0)*VLOOKUP(F820,Tb_ProjectKosten[],MATCH(Tb_ProjectKosten[[#Headers],[Forfait_Percentage]],Tb_ProjectKosten[#Headers],0),0),""),W820 &lt;=0,0),"")</f>
        <v/>
      </c>
      <c r="AA820" s="314" t="str" cm="1">
        <f t="array" aca="1" ref="AA820" ca="1">IFERROR(_xlfn.IFS(OR(F820="",LEFT(Methode_Keuze,4)="Geen",Methode_Keuze=""),"",AND(X820&lt;&gt;"",F820&lt;&gt;"Arbeidskosten"),X820*VLOOKUP(F820,Tb_ProjectKosten[],MATCH(Tb_ProjectKosten[[#Headers],[Forfait_Percentage]],Tb_ProjectKosten[#Headers],0),0),AND(F820="Arbeidskosten",G820&lt;&gt;""),IFERROR(X820*VLOOKUP(G820,Tb_KostenTypen[],3,0)*VLOOKUP(F820,Tb_ProjectKosten[],MATCH(Tb_ProjectKosten[[#Headers],[Forfait_Percentage]],Tb_ProjectKosten[#Headers],0),0),""),X820 &lt;=0,0),"")</f>
        <v/>
      </c>
      <c r="AB820" s="314" t="str">
        <f t="shared" ca="1" si="51"/>
        <v/>
      </c>
      <c r="AC820" s="322"/>
      <c r="AD820" s="315"/>
      <c r="AE820" s="32" t="str" cm="1">
        <f t="array" ref="AE820">IFERROR(IF(INDEX(SubsidieTabel!$AD$1:$AG$12,MATCH($F820,SubsidieTabel!$AD$1:$AD$12,0),IFERROR(MATCH(Methode_Keuze,SubsidieTabel!$AD$1:$AG$1,0),2))&lt;&gt;1=TRUE,"ja",""),"")</f>
        <v/>
      </c>
    </row>
    <row r="821" spans="1:31" x14ac:dyDescent="0.25">
      <c r="A821" s="316"/>
      <c r="B821" s="317" t="str">
        <f>IF(A821&lt;&gt;"",_xlfn.MAXIFS($B$1:B820,$A$1:A820,A821)+1,"")</f>
        <v/>
      </c>
      <c r="C821" s="296"/>
      <c r="D821" s="296"/>
      <c r="E821" s="296"/>
      <c r="F821" s="296"/>
      <c r="G821" s="326"/>
      <c r="H821" s="324"/>
      <c r="I821" s="325"/>
      <c r="J821" s="325"/>
      <c r="K821" s="318"/>
      <c r="L821" s="318"/>
      <c r="M821" s="319" t="str">
        <f>IFERROR(VLOOKUP(H821,Lijsten!$H$1:$I$100,2,0),"")</f>
        <v/>
      </c>
      <c r="N821" s="319" t="str">
        <f ca="1">IFERROR(IF(VLOOKUP(F821,Kostentypen!$A$3:$E$21,3,0)=0,"",IF(OR(F821="Arbeidskosten",F821="Vergoeding"),VLOOKUP(G821,Tb_KostenTypen[],2,0),VLOOKUP(F821,Kostentypen!$A$3:$E$20,3,0))),"")</f>
        <v/>
      </c>
      <c r="O821" s="320" t="str" cm="1">
        <f t="array" ref="O821">_xlfn.IFNA(IF(INDEX(Tb_KostenOptiesDB[],MATCH($F821,Tb_KostenOptiesDB[KostenOptie],0),IFERROR(MATCH(Methode_Keuze,Tb_KostenOptiesDB[#Headers],0),2))=1,_xlfn.SWITCH($N821,"Uurtarief",IF(OR(AND(RIGHT($F821,3)="IKS",VLOOKUP($M821,DB_Loonkosten,2,0)="Ja"),AND(RIGHT($F821,3)&lt;&gt;"IKS",VLOOKUP($M821,DB_Loonkosten,2,0)="Nee")),IFERROR(VLOOKUP($M821,DB_Loonkosten,24,0),""),0),"Vast tarief",IF(LEFT(F821,8)="Bijdrage",VLOOKUP($F821,Tb_KostenTypen[],MATCH(Lijsten!$P$1,Tb_KostenTypen[#Headers],0),0),VLOOKUP($G821,Lijsten!L:P,MATCH(Lijsten!$P$1,Kop_Tarief_Vast,0),0))),""),"")</f>
        <v/>
      </c>
      <c r="P821" s="320" t="str" cm="1">
        <f t="array" ref="P821">_xlfn.IFNA(IF(INDEX(Tb_KostenOptiesDB[],MATCH($F821,Tb_KostenOptiesDB[KostenOptie],0),IFERROR(MATCH(Methode_Keuze,Tb_KostenOptiesDB[#Headers],0),2))=1,_xlfn.SWITCH($N821,"Uurtarief",IF(OR(AND(RIGHT($F821,3)="IKS",VLOOKUP($M821,DB_Loonkosten,2,0)="Ja"),AND(RIGHT($F821,3)&lt;&gt;"IKS",VLOOKUP($M821,DB_Loonkosten,2,0)="Nee")),IFERROR(VLOOKUP($M821,DB_Loonkosten,25,0),""),0),"Vast tarief",IF(LEFT(F821,8)="Bijdrage",VLOOKUP($F821,Tb_KostenTypen[],MATCH(Lijsten!$P$1,Tb_KostenTypen[#Headers],0),0),VLOOKUP($G821,Lijsten!L:P,MATCH(Lijsten!$P$1,Kop_Tarief_Vast,0),0))),""),"")</f>
        <v/>
      </c>
      <c r="Q821" s="359"/>
      <c r="R821" s="359"/>
      <c r="S821" s="321"/>
      <c r="T821" s="321"/>
      <c r="U821" s="373" t="str">
        <f t="shared" si="48"/>
        <v/>
      </c>
      <c r="V821" s="314" t="str">
        <f t="shared" si="49"/>
        <v/>
      </c>
      <c r="W821" s="314" t="str" cm="1">
        <f t="array" aca="1" ref="W821" ca="1">IFERROR(IF(AE821&lt;&gt;"ja",_xlfn.IFNA(_xlfn.IFS(AND(O821&lt;&gt;"",F821&lt;&gt;"",RIGHT($N821,6)="tarief",F821="Vergoeding"),SUM(O821)*FLOOR(SUM(Q821),0.0001),AND(O821&lt;&gt;"",F821&lt;&gt;"",RIGHT($N821,6)="tarief"),SUM(O821)*FLOOR(SUM(Q821),0.01),S821&gt;0,IF(F821&lt;&gt;"",FLOOR(SUM(S821),0.01),"")),""),""),"")</f>
        <v/>
      </c>
      <c r="X821" s="314" t="str" cm="1">
        <f t="array" aca="1" ref="X821" ca="1">IFERROR(IF(AE821&lt;&gt;"ja",_xlfn.IFNA(_xlfn.IFS(AND(P821&lt;&gt;"",R821&lt;&gt;"",RIGHT($N821,6)="tarief",F821="Vergoeding"),SUM(P821)*FLOOR(SUM(R821),0.0001),AND(P821&lt;&gt;"",R821&lt;&gt;"",RIGHT($N821,6)="tarief"),P821*FLOOR(R821,0.01),T821&gt;0,FLOOR(SUM(T821),0.01)),""),""),"")</f>
        <v/>
      </c>
      <c r="Y821" s="314" t="str">
        <f t="shared" ca="1" si="50"/>
        <v/>
      </c>
      <c r="Z821" s="314" t="str" cm="1">
        <f t="array" aca="1" ref="Z821" ca="1">IFERROR(_xlfn.IFS(OR(F821="",LEFT(Methode_Keuze,4)="Geen",Methode_Keuze=""),"",AND(W821&lt;&gt;"",F821&lt;&gt;"Arbeidskosten"),W821*VLOOKUP(F821,Tb_ProjectKosten[],MATCH(Tb_ProjectKosten[[#Headers],[Forfait_Percentage]],Tb_ProjectKosten[#Headers],0),0),AND(F821="Arbeidskosten",G821&lt;&gt;""),IFERROR(W821*VLOOKUP(G821,Tb_KostenTypen[],3,0)*VLOOKUP(F821,Tb_ProjectKosten[],MATCH(Tb_ProjectKosten[[#Headers],[Forfait_Percentage]],Tb_ProjectKosten[#Headers],0),0),""),W821 &lt;=0,0),"")</f>
        <v/>
      </c>
      <c r="AA821" s="314" t="str" cm="1">
        <f t="array" aca="1" ref="AA821" ca="1">IFERROR(_xlfn.IFS(OR(F821="",LEFT(Methode_Keuze,4)="Geen",Methode_Keuze=""),"",AND(X821&lt;&gt;"",F821&lt;&gt;"Arbeidskosten"),X821*VLOOKUP(F821,Tb_ProjectKosten[],MATCH(Tb_ProjectKosten[[#Headers],[Forfait_Percentage]],Tb_ProjectKosten[#Headers],0),0),AND(F821="Arbeidskosten",G821&lt;&gt;""),IFERROR(X821*VLOOKUP(G821,Tb_KostenTypen[],3,0)*VLOOKUP(F821,Tb_ProjectKosten[],MATCH(Tb_ProjectKosten[[#Headers],[Forfait_Percentage]],Tb_ProjectKosten[#Headers],0),0),""),X821 &lt;=0,0),"")</f>
        <v/>
      </c>
      <c r="AB821" s="314" t="str">
        <f t="shared" ca="1" si="51"/>
        <v/>
      </c>
      <c r="AC821" s="322"/>
      <c r="AD821" s="315"/>
      <c r="AE821" s="32" t="str" cm="1">
        <f t="array" ref="AE821">IFERROR(IF(INDEX(SubsidieTabel!$AD$1:$AG$12,MATCH($F821,SubsidieTabel!$AD$1:$AD$12,0),IFERROR(MATCH(Methode_Keuze,SubsidieTabel!$AD$1:$AG$1,0),2))&lt;&gt;1=TRUE,"ja",""),"")</f>
        <v/>
      </c>
    </row>
    <row r="822" spans="1:31" x14ac:dyDescent="0.25">
      <c r="A822" s="316"/>
      <c r="B822" s="317" t="str">
        <f>IF(A822&lt;&gt;"",_xlfn.MAXIFS($B$1:B821,$A$1:A821,A822)+1,"")</f>
        <v/>
      </c>
      <c r="C822" s="296"/>
      <c r="D822" s="296"/>
      <c r="E822" s="296"/>
      <c r="F822" s="296"/>
      <c r="G822" s="326"/>
      <c r="H822" s="324"/>
      <c r="I822" s="325"/>
      <c r="J822" s="325"/>
      <c r="K822" s="318"/>
      <c r="L822" s="318"/>
      <c r="M822" s="319" t="str">
        <f>IFERROR(VLOOKUP(H822,Lijsten!$H$1:$I$100,2,0),"")</f>
        <v/>
      </c>
      <c r="N822" s="319" t="str">
        <f ca="1">IFERROR(IF(VLOOKUP(F822,Kostentypen!$A$3:$E$21,3,0)=0,"",IF(OR(F822="Arbeidskosten",F822="Vergoeding"),VLOOKUP(G822,Tb_KostenTypen[],2,0),VLOOKUP(F822,Kostentypen!$A$3:$E$20,3,0))),"")</f>
        <v/>
      </c>
      <c r="O822" s="320" t="str" cm="1">
        <f t="array" ref="O822">_xlfn.IFNA(IF(INDEX(Tb_KostenOptiesDB[],MATCH($F822,Tb_KostenOptiesDB[KostenOptie],0),IFERROR(MATCH(Methode_Keuze,Tb_KostenOptiesDB[#Headers],0),2))=1,_xlfn.SWITCH($N822,"Uurtarief",IF(OR(AND(RIGHT($F822,3)="IKS",VLOOKUP($M822,DB_Loonkosten,2,0)="Ja"),AND(RIGHT($F822,3)&lt;&gt;"IKS",VLOOKUP($M822,DB_Loonkosten,2,0)="Nee")),IFERROR(VLOOKUP($M822,DB_Loonkosten,24,0),""),0),"Vast tarief",IF(LEFT(F822,8)="Bijdrage",VLOOKUP($F822,Tb_KostenTypen[],MATCH(Lijsten!$P$1,Tb_KostenTypen[#Headers],0),0),VLOOKUP($G822,Lijsten!L:P,MATCH(Lijsten!$P$1,Kop_Tarief_Vast,0),0))),""),"")</f>
        <v/>
      </c>
      <c r="P822" s="320" t="str" cm="1">
        <f t="array" ref="P822">_xlfn.IFNA(IF(INDEX(Tb_KostenOptiesDB[],MATCH($F822,Tb_KostenOptiesDB[KostenOptie],0),IFERROR(MATCH(Methode_Keuze,Tb_KostenOptiesDB[#Headers],0),2))=1,_xlfn.SWITCH($N822,"Uurtarief",IF(OR(AND(RIGHT($F822,3)="IKS",VLOOKUP($M822,DB_Loonkosten,2,0)="Ja"),AND(RIGHT($F822,3)&lt;&gt;"IKS",VLOOKUP($M822,DB_Loonkosten,2,0)="Nee")),IFERROR(VLOOKUP($M822,DB_Loonkosten,25,0),""),0),"Vast tarief",IF(LEFT(F822,8)="Bijdrage",VLOOKUP($F822,Tb_KostenTypen[],MATCH(Lijsten!$P$1,Tb_KostenTypen[#Headers],0),0),VLOOKUP($G822,Lijsten!L:P,MATCH(Lijsten!$P$1,Kop_Tarief_Vast,0),0))),""),"")</f>
        <v/>
      </c>
      <c r="Q822" s="359"/>
      <c r="R822" s="359"/>
      <c r="S822" s="321"/>
      <c r="T822" s="321"/>
      <c r="U822" s="373" t="str">
        <f t="shared" si="48"/>
        <v/>
      </c>
      <c r="V822" s="314" t="str">
        <f t="shared" si="49"/>
        <v/>
      </c>
      <c r="W822" s="314" t="str" cm="1">
        <f t="array" aca="1" ref="W822" ca="1">IFERROR(IF(AE822&lt;&gt;"ja",_xlfn.IFNA(_xlfn.IFS(AND(O822&lt;&gt;"",F822&lt;&gt;"",RIGHT($N822,6)="tarief",F822="Vergoeding"),SUM(O822)*FLOOR(SUM(Q822),0.0001),AND(O822&lt;&gt;"",F822&lt;&gt;"",RIGHT($N822,6)="tarief"),SUM(O822)*FLOOR(SUM(Q822),0.01),S822&gt;0,IF(F822&lt;&gt;"",FLOOR(SUM(S822),0.01),"")),""),""),"")</f>
        <v/>
      </c>
      <c r="X822" s="314" t="str" cm="1">
        <f t="array" aca="1" ref="X822" ca="1">IFERROR(IF(AE822&lt;&gt;"ja",_xlfn.IFNA(_xlfn.IFS(AND(P822&lt;&gt;"",R822&lt;&gt;"",RIGHT($N822,6)="tarief",F822="Vergoeding"),SUM(P822)*FLOOR(SUM(R822),0.0001),AND(P822&lt;&gt;"",R822&lt;&gt;"",RIGHT($N822,6)="tarief"),P822*FLOOR(R822,0.01),T822&gt;0,FLOOR(SUM(T822),0.01)),""),""),"")</f>
        <v/>
      </c>
      <c r="Y822" s="314" t="str">
        <f t="shared" ca="1" si="50"/>
        <v/>
      </c>
      <c r="Z822" s="314" t="str" cm="1">
        <f t="array" aca="1" ref="Z822" ca="1">IFERROR(_xlfn.IFS(OR(F822="",LEFT(Methode_Keuze,4)="Geen",Methode_Keuze=""),"",AND(W822&lt;&gt;"",F822&lt;&gt;"Arbeidskosten"),W822*VLOOKUP(F822,Tb_ProjectKosten[],MATCH(Tb_ProjectKosten[[#Headers],[Forfait_Percentage]],Tb_ProjectKosten[#Headers],0),0),AND(F822="Arbeidskosten",G822&lt;&gt;""),IFERROR(W822*VLOOKUP(G822,Tb_KostenTypen[],3,0)*VLOOKUP(F822,Tb_ProjectKosten[],MATCH(Tb_ProjectKosten[[#Headers],[Forfait_Percentage]],Tb_ProjectKosten[#Headers],0),0),""),W822 &lt;=0,0),"")</f>
        <v/>
      </c>
      <c r="AA822" s="314" t="str" cm="1">
        <f t="array" aca="1" ref="AA822" ca="1">IFERROR(_xlfn.IFS(OR(F822="",LEFT(Methode_Keuze,4)="Geen",Methode_Keuze=""),"",AND(X822&lt;&gt;"",F822&lt;&gt;"Arbeidskosten"),X822*VLOOKUP(F822,Tb_ProjectKosten[],MATCH(Tb_ProjectKosten[[#Headers],[Forfait_Percentage]],Tb_ProjectKosten[#Headers],0),0),AND(F822="Arbeidskosten",G822&lt;&gt;""),IFERROR(X822*VLOOKUP(G822,Tb_KostenTypen[],3,0)*VLOOKUP(F822,Tb_ProjectKosten[],MATCH(Tb_ProjectKosten[[#Headers],[Forfait_Percentage]],Tb_ProjectKosten[#Headers],0),0),""),X822 &lt;=0,0),"")</f>
        <v/>
      </c>
      <c r="AB822" s="314" t="str">
        <f t="shared" ca="1" si="51"/>
        <v/>
      </c>
      <c r="AC822" s="322"/>
      <c r="AD822" s="315"/>
      <c r="AE822" s="32" t="str" cm="1">
        <f t="array" ref="AE822">IFERROR(IF(INDEX(SubsidieTabel!$AD$1:$AG$12,MATCH($F822,SubsidieTabel!$AD$1:$AD$12,0),IFERROR(MATCH(Methode_Keuze,SubsidieTabel!$AD$1:$AG$1,0),2))&lt;&gt;1=TRUE,"ja",""),"")</f>
        <v/>
      </c>
    </row>
    <row r="823" spans="1:31" x14ac:dyDescent="0.25">
      <c r="A823" s="316"/>
      <c r="B823" s="317" t="str">
        <f>IF(A823&lt;&gt;"",_xlfn.MAXIFS($B$1:B822,$A$1:A822,A823)+1,"")</f>
        <v/>
      </c>
      <c r="C823" s="296"/>
      <c r="D823" s="296"/>
      <c r="E823" s="296"/>
      <c r="F823" s="296"/>
      <c r="G823" s="326"/>
      <c r="H823" s="324"/>
      <c r="I823" s="325"/>
      <c r="J823" s="325"/>
      <c r="K823" s="318"/>
      <c r="L823" s="318"/>
      <c r="M823" s="319" t="str">
        <f>IFERROR(VLOOKUP(H823,Lijsten!$H$1:$I$100,2,0),"")</f>
        <v/>
      </c>
      <c r="N823" s="319" t="str">
        <f ca="1">IFERROR(IF(VLOOKUP(F823,Kostentypen!$A$3:$E$21,3,0)=0,"",IF(OR(F823="Arbeidskosten",F823="Vergoeding"),VLOOKUP(G823,Tb_KostenTypen[],2,0),VLOOKUP(F823,Kostentypen!$A$3:$E$20,3,0))),"")</f>
        <v/>
      </c>
      <c r="O823" s="320" t="str" cm="1">
        <f t="array" ref="O823">_xlfn.IFNA(IF(INDEX(Tb_KostenOptiesDB[],MATCH($F823,Tb_KostenOptiesDB[KostenOptie],0),IFERROR(MATCH(Methode_Keuze,Tb_KostenOptiesDB[#Headers],0),2))=1,_xlfn.SWITCH($N823,"Uurtarief",IF(OR(AND(RIGHT($F823,3)="IKS",VLOOKUP($M823,DB_Loonkosten,2,0)="Ja"),AND(RIGHT($F823,3)&lt;&gt;"IKS",VLOOKUP($M823,DB_Loonkosten,2,0)="Nee")),IFERROR(VLOOKUP($M823,DB_Loonkosten,24,0),""),0),"Vast tarief",IF(LEFT(F823,8)="Bijdrage",VLOOKUP($F823,Tb_KostenTypen[],MATCH(Lijsten!$P$1,Tb_KostenTypen[#Headers],0),0),VLOOKUP($G823,Lijsten!L:P,MATCH(Lijsten!$P$1,Kop_Tarief_Vast,0),0))),""),"")</f>
        <v/>
      </c>
      <c r="P823" s="320" t="str" cm="1">
        <f t="array" ref="P823">_xlfn.IFNA(IF(INDEX(Tb_KostenOptiesDB[],MATCH($F823,Tb_KostenOptiesDB[KostenOptie],0),IFERROR(MATCH(Methode_Keuze,Tb_KostenOptiesDB[#Headers],0),2))=1,_xlfn.SWITCH($N823,"Uurtarief",IF(OR(AND(RIGHT($F823,3)="IKS",VLOOKUP($M823,DB_Loonkosten,2,0)="Ja"),AND(RIGHT($F823,3)&lt;&gt;"IKS",VLOOKUP($M823,DB_Loonkosten,2,0)="Nee")),IFERROR(VLOOKUP($M823,DB_Loonkosten,25,0),""),0),"Vast tarief",IF(LEFT(F823,8)="Bijdrage",VLOOKUP($F823,Tb_KostenTypen[],MATCH(Lijsten!$P$1,Tb_KostenTypen[#Headers],0),0),VLOOKUP($G823,Lijsten!L:P,MATCH(Lijsten!$P$1,Kop_Tarief_Vast,0),0))),""),"")</f>
        <v/>
      </c>
      <c r="Q823" s="359"/>
      <c r="R823" s="359"/>
      <c r="S823" s="321"/>
      <c r="T823" s="321"/>
      <c r="U823" s="373" t="str">
        <f t="shared" si="48"/>
        <v/>
      </c>
      <c r="V823" s="314" t="str">
        <f t="shared" si="49"/>
        <v/>
      </c>
      <c r="W823" s="314" t="str" cm="1">
        <f t="array" aca="1" ref="W823" ca="1">IFERROR(IF(AE823&lt;&gt;"ja",_xlfn.IFNA(_xlfn.IFS(AND(O823&lt;&gt;"",F823&lt;&gt;"",RIGHT($N823,6)="tarief",F823="Vergoeding"),SUM(O823)*FLOOR(SUM(Q823),0.0001),AND(O823&lt;&gt;"",F823&lt;&gt;"",RIGHT($N823,6)="tarief"),SUM(O823)*FLOOR(SUM(Q823),0.01),S823&gt;0,IF(F823&lt;&gt;"",FLOOR(SUM(S823),0.01),"")),""),""),"")</f>
        <v/>
      </c>
      <c r="X823" s="314" t="str" cm="1">
        <f t="array" aca="1" ref="X823" ca="1">IFERROR(IF(AE823&lt;&gt;"ja",_xlfn.IFNA(_xlfn.IFS(AND(P823&lt;&gt;"",R823&lt;&gt;"",RIGHT($N823,6)="tarief",F823="Vergoeding"),SUM(P823)*FLOOR(SUM(R823),0.0001),AND(P823&lt;&gt;"",R823&lt;&gt;"",RIGHT($N823,6)="tarief"),P823*FLOOR(R823,0.01),T823&gt;0,FLOOR(SUM(T823),0.01)),""),""),"")</f>
        <v/>
      </c>
      <c r="Y823" s="314" t="str">
        <f t="shared" ca="1" si="50"/>
        <v/>
      </c>
      <c r="Z823" s="314" t="str" cm="1">
        <f t="array" aca="1" ref="Z823" ca="1">IFERROR(_xlfn.IFS(OR(F823="",LEFT(Methode_Keuze,4)="Geen",Methode_Keuze=""),"",AND(W823&lt;&gt;"",F823&lt;&gt;"Arbeidskosten"),W823*VLOOKUP(F823,Tb_ProjectKosten[],MATCH(Tb_ProjectKosten[[#Headers],[Forfait_Percentage]],Tb_ProjectKosten[#Headers],0),0),AND(F823="Arbeidskosten",G823&lt;&gt;""),IFERROR(W823*VLOOKUP(G823,Tb_KostenTypen[],3,0)*VLOOKUP(F823,Tb_ProjectKosten[],MATCH(Tb_ProjectKosten[[#Headers],[Forfait_Percentage]],Tb_ProjectKosten[#Headers],0),0),""),W823 &lt;=0,0),"")</f>
        <v/>
      </c>
      <c r="AA823" s="314" t="str" cm="1">
        <f t="array" aca="1" ref="AA823" ca="1">IFERROR(_xlfn.IFS(OR(F823="",LEFT(Methode_Keuze,4)="Geen",Methode_Keuze=""),"",AND(X823&lt;&gt;"",F823&lt;&gt;"Arbeidskosten"),X823*VLOOKUP(F823,Tb_ProjectKosten[],MATCH(Tb_ProjectKosten[[#Headers],[Forfait_Percentage]],Tb_ProjectKosten[#Headers],0),0),AND(F823="Arbeidskosten",G823&lt;&gt;""),IFERROR(X823*VLOOKUP(G823,Tb_KostenTypen[],3,0)*VLOOKUP(F823,Tb_ProjectKosten[],MATCH(Tb_ProjectKosten[[#Headers],[Forfait_Percentage]],Tb_ProjectKosten[#Headers],0),0),""),X823 &lt;=0,0),"")</f>
        <v/>
      </c>
      <c r="AB823" s="314" t="str">
        <f t="shared" ca="1" si="51"/>
        <v/>
      </c>
      <c r="AC823" s="322"/>
      <c r="AD823" s="315"/>
      <c r="AE823" s="32" t="str" cm="1">
        <f t="array" ref="AE823">IFERROR(IF(INDEX(SubsidieTabel!$AD$1:$AG$12,MATCH($F823,SubsidieTabel!$AD$1:$AD$12,0),IFERROR(MATCH(Methode_Keuze,SubsidieTabel!$AD$1:$AG$1,0),2))&lt;&gt;1=TRUE,"ja",""),"")</f>
        <v/>
      </c>
    </row>
    <row r="824" spans="1:31" x14ac:dyDescent="0.25">
      <c r="A824" s="316"/>
      <c r="B824" s="317" t="str">
        <f>IF(A824&lt;&gt;"",_xlfn.MAXIFS($B$1:B823,$A$1:A823,A824)+1,"")</f>
        <v/>
      </c>
      <c r="C824" s="296"/>
      <c r="D824" s="296"/>
      <c r="E824" s="296"/>
      <c r="F824" s="296"/>
      <c r="G824" s="326"/>
      <c r="H824" s="324"/>
      <c r="I824" s="325"/>
      <c r="J824" s="325"/>
      <c r="K824" s="318"/>
      <c r="L824" s="318"/>
      <c r="M824" s="319" t="str">
        <f>IFERROR(VLOOKUP(H824,Lijsten!$H$1:$I$100,2,0),"")</f>
        <v/>
      </c>
      <c r="N824" s="319" t="str">
        <f ca="1">IFERROR(IF(VLOOKUP(F824,Kostentypen!$A$3:$E$21,3,0)=0,"",IF(OR(F824="Arbeidskosten",F824="Vergoeding"),VLOOKUP(G824,Tb_KostenTypen[],2,0),VLOOKUP(F824,Kostentypen!$A$3:$E$20,3,0))),"")</f>
        <v/>
      </c>
      <c r="O824" s="320" t="str" cm="1">
        <f t="array" ref="O824">_xlfn.IFNA(IF(INDEX(Tb_KostenOptiesDB[],MATCH($F824,Tb_KostenOptiesDB[KostenOptie],0),IFERROR(MATCH(Methode_Keuze,Tb_KostenOptiesDB[#Headers],0),2))=1,_xlfn.SWITCH($N824,"Uurtarief",IF(OR(AND(RIGHT($F824,3)="IKS",VLOOKUP($M824,DB_Loonkosten,2,0)="Ja"),AND(RIGHT($F824,3)&lt;&gt;"IKS",VLOOKUP($M824,DB_Loonkosten,2,0)="Nee")),IFERROR(VLOOKUP($M824,DB_Loonkosten,24,0),""),0),"Vast tarief",IF(LEFT(F824,8)="Bijdrage",VLOOKUP($F824,Tb_KostenTypen[],MATCH(Lijsten!$P$1,Tb_KostenTypen[#Headers],0),0),VLOOKUP($G824,Lijsten!L:P,MATCH(Lijsten!$P$1,Kop_Tarief_Vast,0),0))),""),"")</f>
        <v/>
      </c>
      <c r="P824" s="320" t="str" cm="1">
        <f t="array" ref="P824">_xlfn.IFNA(IF(INDEX(Tb_KostenOptiesDB[],MATCH($F824,Tb_KostenOptiesDB[KostenOptie],0),IFERROR(MATCH(Methode_Keuze,Tb_KostenOptiesDB[#Headers],0),2))=1,_xlfn.SWITCH($N824,"Uurtarief",IF(OR(AND(RIGHT($F824,3)="IKS",VLOOKUP($M824,DB_Loonkosten,2,0)="Ja"),AND(RIGHT($F824,3)&lt;&gt;"IKS",VLOOKUP($M824,DB_Loonkosten,2,0)="Nee")),IFERROR(VLOOKUP($M824,DB_Loonkosten,25,0),""),0),"Vast tarief",IF(LEFT(F824,8)="Bijdrage",VLOOKUP($F824,Tb_KostenTypen[],MATCH(Lijsten!$P$1,Tb_KostenTypen[#Headers],0),0),VLOOKUP($G824,Lijsten!L:P,MATCH(Lijsten!$P$1,Kop_Tarief_Vast,0),0))),""),"")</f>
        <v/>
      </c>
      <c r="Q824" s="359"/>
      <c r="R824" s="359"/>
      <c r="S824" s="321"/>
      <c r="T824" s="321"/>
      <c r="U824" s="373" t="str">
        <f t="shared" si="48"/>
        <v/>
      </c>
      <c r="V824" s="314" t="str">
        <f t="shared" si="49"/>
        <v/>
      </c>
      <c r="W824" s="314" t="str" cm="1">
        <f t="array" aca="1" ref="W824" ca="1">IFERROR(IF(AE824&lt;&gt;"ja",_xlfn.IFNA(_xlfn.IFS(AND(O824&lt;&gt;"",F824&lt;&gt;"",RIGHT($N824,6)="tarief",F824="Vergoeding"),SUM(O824)*FLOOR(SUM(Q824),0.0001),AND(O824&lt;&gt;"",F824&lt;&gt;"",RIGHT($N824,6)="tarief"),SUM(O824)*FLOOR(SUM(Q824),0.01),S824&gt;0,IF(F824&lt;&gt;"",FLOOR(SUM(S824),0.01),"")),""),""),"")</f>
        <v/>
      </c>
      <c r="X824" s="314" t="str" cm="1">
        <f t="array" aca="1" ref="X824" ca="1">IFERROR(IF(AE824&lt;&gt;"ja",_xlfn.IFNA(_xlfn.IFS(AND(P824&lt;&gt;"",R824&lt;&gt;"",RIGHT($N824,6)="tarief",F824="Vergoeding"),SUM(P824)*FLOOR(SUM(R824),0.0001),AND(P824&lt;&gt;"",R824&lt;&gt;"",RIGHT($N824,6)="tarief"),P824*FLOOR(R824,0.01),T824&gt;0,FLOOR(SUM(T824),0.01)),""),""),"")</f>
        <v/>
      </c>
      <c r="Y824" s="314" t="str">
        <f t="shared" ca="1" si="50"/>
        <v/>
      </c>
      <c r="Z824" s="314" t="str" cm="1">
        <f t="array" aca="1" ref="Z824" ca="1">IFERROR(_xlfn.IFS(OR(F824="",LEFT(Methode_Keuze,4)="Geen",Methode_Keuze=""),"",AND(W824&lt;&gt;"",F824&lt;&gt;"Arbeidskosten"),W824*VLOOKUP(F824,Tb_ProjectKosten[],MATCH(Tb_ProjectKosten[[#Headers],[Forfait_Percentage]],Tb_ProjectKosten[#Headers],0),0),AND(F824="Arbeidskosten",G824&lt;&gt;""),IFERROR(W824*VLOOKUP(G824,Tb_KostenTypen[],3,0)*VLOOKUP(F824,Tb_ProjectKosten[],MATCH(Tb_ProjectKosten[[#Headers],[Forfait_Percentage]],Tb_ProjectKosten[#Headers],0),0),""),W824 &lt;=0,0),"")</f>
        <v/>
      </c>
      <c r="AA824" s="314" t="str" cm="1">
        <f t="array" aca="1" ref="AA824" ca="1">IFERROR(_xlfn.IFS(OR(F824="",LEFT(Methode_Keuze,4)="Geen",Methode_Keuze=""),"",AND(X824&lt;&gt;"",F824&lt;&gt;"Arbeidskosten"),X824*VLOOKUP(F824,Tb_ProjectKosten[],MATCH(Tb_ProjectKosten[[#Headers],[Forfait_Percentage]],Tb_ProjectKosten[#Headers],0),0),AND(F824="Arbeidskosten",G824&lt;&gt;""),IFERROR(X824*VLOOKUP(G824,Tb_KostenTypen[],3,0)*VLOOKUP(F824,Tb_ProjectKosten[],MATCH(Tb_ProjectKosten[[#Headers],[Forfait_Percentage]],Tb_ProjectKosten[#Headers],0),0),""),X824 &lt;=0,0),"")</f>
        <v/>
      </c>
      <c r="AB824" s="314" t="str">
        <f t="shared" ca="1" si="51"/>
        <v/>
      </c>
      <c r="AC824" s="322"/>
      <c r="AD824" s="315"/>
      <c r="AE824" s="32" t="str" cm="1">
        <f t="array" ref="AE824">IFERROR(IF(INDEX(SubsidieTabel!$AD$1:$AG$12,MATCH($F824,SubsidieTabel!$AD$1:$AD$12,0),IFERROR(MATCH(Methode_Keuze,SubsidieTabel!$AD$1:$AG$1,0),2))&lt;&gt;1=TRUE,"ja",""),"")</f>
        <v/>
      </c>
    </row>
    <row r="825" spans="1:31" x14ac:dyDescent="0.25">
      <c r="A825" s="316"/>
      <c r="B825" s="317" t="str">
        <f>IF(A825&lt;&gt;"",_xlfn.MAXIFS($B$1:B824,$A$1:A824,A825)+1,"")</f>
        <v/>
      </c>
      <c r="C825" s="296"/>
      <c r="D825" s="296"/>
      <c r="E825" s="296"/>
      <c r="F825" s="296"/>
      <c r="G825" s="326"/>
      <c r="H825" s="324"/>
      <c r="I825" s="325"/>
      <c r="J825" s="325"/>
      <c r="K825" s="318"/>
      <c r="L825" s="318"/>
      <c r="M825" s="319" t="str">
        <f>IFERROR(VLOOKUP(H825,Lijsten!$H$1:$I$100,2,0),"")</f>
        <v/>
      </c>
      <c r="N825" s="319" t="str">
        <f ca="1">IFERROR(IF(VLOOKUP(F825,Kostentypen!$A$3:$E$21,3,0)=0,"",IF(OR(F825="Arbeidskosten",F825="Vergoeding"),VLOOKUP(G825,Tb_KostenTypen[],2,0),VLOOKUP(F825,Kostentypen!$A$3:$E$20,3,0))),"")</f>
        <v/>
      </c>
      <c r="O825" s="320" t="str" cm="1">
        <f t="array" ref="O825">_xlfn.IFNA(IF(INDEX(Tb_KostenOptiesDB[],MATCH($F825,Tb_KostenOptiesDB[KostenOptie],0),IFERROR(MATCH(Methode_Keuze,Tb_KostenOptiesDB[#Headers],0),2))=1,_xlfn.SWITCH($N825,"Uurtarief",IF(OR(AND(RIGHT($F825,3)="IKS",VLOOKUP($M825,DB_Loonkosten,2,0)="Ja"),AND(RIGHT($F825,3)&lt;&gt;"IKS",VLOOKUP($M825,DB_Loonkosten,2,0)="Nee")),IFERROR(VLOOKUP($M825,DB_Loonkosten,24,0),""),0),"Vast tarief",IF(LEFT(F825,8)="Bijdrage",VLOOKUP($F825,Tb_KostenTypen[],MATCH(Lijsten!$P$1,Tb_KostenTypen[#Headers],0),0),VLOOKUP($G825,Lijsten!L:P,MATCH(Lijsten!$P$1,Kop_Tarief_Vast,0),0))),""),"")</f>
        <v/>
      </c>
      <c r="P825" s="320" t="str" cm="1">
        <f t="array" ref="P825">_xlfn.IFNA(IF(INDEX(Tb_KostenOptiesDB[],MATCH($F825,Tb_KostenOptiesDB[KostenOptie],0),IFERROR(MATCH(Methode_Keuze,Tb_KostenOptiesDB[#Headers],0),2))=1,_xlfn.SWITCH($N825,"Uurtarief",IF(OR(AND(RIGHT($F825,3)="IKS",VLOOKUP($M825,DB_Loonkosten,2,0)="Ja"),AND(RIGHT($F825,3)&lt;&gt;"IKS",VLOOKUP($M825,DB_Loonkosten,2,0)="Nee")),IFERROR(VLOOKUP($M825,DB_Loonkosten,25,0),""),0),"Vast tarief",IF(LEFT(F825,8)="Bijdrage",VLOOKUP($F825,Tb_KostenTypen[],MATCH(Lijsten!$P$1,Tb_KostenTypen[#Headers],0),0),VLOOKUP($G825,Lijsten!L:P,MATCH(Lijsten!$P$1,Kop_Tarief_Vast,0),0))),""),"")</f>
        <v/>
      </c>
      <c r="Q825" s="359"/>
      <c r="R825" s="359"/>
      <c r="S825" s="321"/>
      <c r="T825" s="321"/>
      <c r="U825" s="373" t="str">
        <f t="shared" si="48"/>
        <v/>
      </c>
      <c r="V825" s="314" t="str">
        <f t="shared" si="49"/>
        <v/>
      </c>
      <c r="W825" s="314" t="str" cm="1">
        <f t="array" aca="1" ref="W825" ca="1">IFERROR(IF(AE825&lt;&gt;"ja",_xlfn.IFNA(_xlfn.IFS(AND(O825&lt;&gt;"",F825&lt;&gt;"",RIGHT($N825,6)="tarief",F825="Vergoeding"),SUM(O825)*FLOOR(SUM(Q825),0.0001),AND(O825&lt;&gt;"",F825&lt;&gt;"",RIGHT($N825,6)="tarief"),SUM(O825)*FLOOR(SUM(Q825),0.01),S825&gt;0,IF(F825&lt;&gt;"",FLOOR(SUM(S825),0.01),"")),""),""),"")</f>
        <v/>
      </c>
      <c r="X825" s="314" t="str" cm="1">
        <f t="array" aca="1" ref="X825" ca="1">IFERROR(IF(AE825&lt;&gt;"ja",_xlfn.IFNA(_xlfn.IFS(AND(P825&lt;&gt;"",R825&lt;&gt;"",RIGHT($N825,6)="tarief",F825="Vergoeding"),SUM(P825)*FLOOR(SUM(R825),0.0001),AND(P825&lt;&gt;"",R825&lt;&gt;"",RIGHT($N825,6)="tarief"),P825*FLOOR(R825,0.01),T825&gt;0,FLOOR(SUM(T825),0.01)),""),""),"")</f>
        <v/>
      </c>
      <c r="Y825" s="314" t="str">
        <f t="shared" ca="1" si="50"/>
        <v/>
      </c>
      <c r="Z825" s="314" t="str" cm="1">
        <f t="array" aca="1" ref="Z825" ca="1">IFERROR(_xlfn.IFS(OR(F825="",LEFT(Methode_Keuze,4)="Geen",Methode_Keuze=""),"",AND(W825&lt;&gt;"",F825&lt;&gt;"Arbeidskosten"),W825*VLOOKUP(F825,Tb_ProjectKosten[],MATCH(Tb_ProjectKosten[[#Headers],[Forfait_Percentage]],Tb_ProjectKosten[#Headers],0),0),AND(F825="Arbeidskosten",G825&lt;&gt;""),IFERROR(W825*VLOOKUP(G825,Tb_KostenTypen[],3,0)*VLOOKUP(F825,Tb_ProjectKosten[],MATCH(Tb_ProjectKosten[[#Headers],[Forfait_Percentage]],Tb_ProjectKosten[#Headers],0),0),""),W825 &lt;=0,0),"")</f>
        <v/>
      </c>
      <c r="AA825" s="314" t="str" cm="1">
        <f t="array" aca="1" ref="AA825" ca="1">IFERROR(_xlfn.IFS(OR(F825="",LEFT(Methode_Keuze,4)="Geen",Methode_Keuze=""),"",AND(X825&lt;&gt;"",F825&lt;&gt;"Arbeidskosten"),X825*VLOOKUP(F825,Tb_ProjectKosten[],MATCH(Tb_ProjectKosten[[#Headers],[Forfait_Percentage]],Tb_ProjectKosten[#Headers],0),0),AND(F825="Arbeidskosten",G825&lt;&gt;""),IFERROR(X825*VLOOKUP(G825,Tb_KostenTypen[],3,0)*VLOOKUP(F825,Tb_ProjectKosten[],MATCH(Tb_ProjectKosten[[#Headers],[Forfait_Percentage]],Tb_ProjectKosten[#Headers],0),0),""),X825 &lt;=0,0),"")</f>
        <v/>
      </c>
      <c r="AB825" s="314" t="str">
        <f t="shared" ca="1" si="51"/>
        <v/>
      </c>
      <c r="AC825" s="322"/>
      <c r="AD825" s="315"/>
      <c r="AE825" s="32" t="str" cm="1">
        <f t="array" ref="AE825">IFERROR(IF(INDEX(SubsidieTabel!$AD$1:$AG$12,MATCH($F825,SubsidieTabel!$AD$1:$AD$12,0),IFERROR(MATCH(Methode_Keuze,SubsidieTabel!$AD$1:$AG$1,0),2))&lt;&gt;1=TRUE,"ja",""),"")</f>
        <v/>
      </c>
    </row>
    <row r="826" spans="1:31" x14ac:dyDescent="0.25">
      <c r="A826" s="316"/>
      <c r="B826" s="317" t="str">
        <f>IF(A826&lt;&gt;"",_xlfn.MAXIFS($B$1:B825,$A$1:A825,A826)+1,"")</f>
        <v/>
      </c>
      <c r="C826" s="296"/>
      <c r="D826" s="296"/>
      <c r="E826" s="296"/>
      <c r="F826" s="296"/>
      <c r="G826" s="326"/>
      <c r="H826" s="324"/>
      <c r="I826" s="325"/>
      <c r="J826" s="325"/>
      <c r="K826" s="318"/>
      <c r="L826" s="318"/>
      <c r="M826" s="319" t="str">
        <f>IFERROR(VLOOKUP(H826,Lijsten!$H$1:$I$100,2,0),"")</f>
        <v/>
      </c>
      <c r="N826" s="319" t="str">
        <f ca="1">IFERROR(IF(VLOOKUP(F826,Kostentypen!$A$3:$E$21,3,0)=0,"",IF(OR(F826="Arbeidskosten",F826="Vergoeding"),VLOOKUP(G826,Tb_KostenTypen[],2,0),VLOOKUP(F826,Kostentypen!$A$3:$E$20,3,0))),"")</f>
        <v/>
      </c>
      <c r="O826" s="320" t="str" cm="1">
        <f t="array" ref="O826">_xlfn.IFNA(IF(INDEX(Tb_KostenOptiesDB[],MATCH($F826,Tb_KostenOptiesDB[KostenOptie],0),IFERROR(MATCH(Methode_Keuze,Tb_KostenOptiesDB[#Headers],0),2))=1,_xlfn.SWITCH($N826,"Uurtarief",IF(OR(AND(RIGHT($F826,3)="IKS",VLOOKUP($M826,DB_Loonkosten,2,0)="Ja"),AND(RIGHT($F826,3)&lt;&gt;"IKS",VLOOKUP($M826,DB_Loonkosten,2,0)="Nee")),IFERROR(VLOOKUP($M826,DB_Loonkosten,24,0),""),0),"Vast tarief",IF(LEFT(F826,8)="Bijdrage",VLOOKUP($F826,Tb_KostenTypen[],MATCH(Lijsten!$P$1,Tb_KostenTypen[#Headers],0),0),VLOOKUP($G826,Lijsten!L:P,MATCH(Lijsten!$P$1,Kop_Tarief_Vast,0),0))),""),"")</f>
        <v/>
      </c>
      <c r="P826" s="320" t="str" cm="1">
        <f t="array" ref="P826">_xlfn.IFNA(IF(INDEX(Tb_KostenOptiesDB[],MATCH($F826,Tb_KostenOptiesDB[KostenOptie],0),IFERROR(MATCH(Methode_Keuze,Tb_KostenOptiesDB[#Headers],0),2))=1,_xlfn.SWITCH($N826,"Uurtarief",IF(OR(AND(RIGHT($F826,3)="IKS",VLOOKUP($M826,DB_Loonkosten,2,0)="Ja"),AND(RIGHT($F826,3)&lt;&gt;"IKS",VLOOKUP($M826,DB_Loonkosten,2,0)="Nee")),IFERROR(VLOOKUP($M826,DB_Loonkosten,25,0),""),0),"Vast tarief",IF(LEFT(F826,8)="Bijdrage",VLOOKUP($F826,Tb_KostenTypen[],MATCH(Lijsten!$P$1,Tb_KostenTypen[#Headers],0),0),VLOOKUP($G826,Lijsten!L:P,MATCH(Lijsten!$P$1,Kop_Tarief_Vast,0),0))),""),"")</f>
        <v/>
      </c>
      <c r="Q826" s="359"/>
      <c r="R826" s="359"/>
      <c r="S826" s="321"/>
      <c r="T826" s="321"/>
      <c r="U826" s="373" t="str">
        <f t="shared" si="48"/>
        <v/>
      </c>
      <c r="V826" s="314" t="str">
        <f t="shared" si="49"/>
        <v/>
      </c>
      <c r="W826" s="314" t="str" cm="1">
        <f t="array" aca="1" ref="W826" ca="1">IFERROR(IF(AE826&lt;&gt;"ja",_xlfn.IFNA(_xlfn.IFS(AND(O826&lt;&gt;"",F826&lt;&gt;"",RIGHT($N826,6)="tarief",F826="Vergoeding"),SUM(O826)*FLOOR(SUM(Q826),0.0001),AND(O826&lt;&gt;"",F826&lt;&gt;"",RIGHT($N826,6)="tarief"),SUM(O826)*FLOOR(SUM(Q826),0.01),S826&gt;0,IF(F826&lt;&gt;"",FLOOR(SUM(S826),0.01),"")),""),""),"")</f>
        <v/>
      </c>
      <c r="X826" s="314" t="str" cm="1">
        <f t="array" aca="1" ref="X826" ca="1">IFERROR(IF(AE826&lt;&gt;"ja",_xlfn.IFNA(_xlfn.IFS(AND(P826&lt;&gt;"",R826&lt;&gt;"",RIGHT($N826,6)="tarief",F826="Vergoeding"),SUM(P826)*FLOOR(SUM(R826),0.0001),AND(P826&lt;&gt;"",R826&lt;&gt;"",RIGHT($N826,6)="tarief"),P826*FLOOR(R826,0.01),T826&gt;0,FLOOR(SUM(T826),0.01)),""),""),"")</f>
        <v/>
      </c>
      <c r="Y826" s="314" t="str">
        <f t="shared" ca="1" si="50"/>
        <v/>
      </c>
      <c r="Z826" s="314" t="str" cm="1">
        <f t="array" aca="1" ref="Z826" ca="1">IFERROR(_xlfn.IFS(OR(F826="",LEFT(Methode_Keuze,4)="Geen",Methode_Keuze=""),"",AND(W826&lt;&gt;"",F826&lt;&gt;"Arbeidskosten"),W826*VLOOKUP(F826,Tb_ProjectKosten[],MATCH(Tb_ProjectKosten[[#Headers],[Forfait_Percentage]],Tb_ProjectKosten[#Headers],0),0),AND(F826="Arbeidskosten",G826&lt;&gt;""),IFERROR(W826*VLOOKUP(G826,Tb_KostenTypen[],3,0)*VLOOKUP(F826,Tb_ProjectKosten[],MATCH(Tb_ProjectKosten[[#Headers],[Forfait_Percentage]],Tb_ProjectKosten[#Headers],0),0),""),W826 &lt;=0,0),"")</f>
        <v/>
      </c>
      <c r="AA826" s="314" t="str" cm="1">
        <f t="array" aca="1" ref="AA826" ca="1">IFERROR(_xlfn.IFS(OR(F826="",LEFT(Methode_Keuze,4)="Geen",Methode_Keuze=""),"",AND(X826&lt;&gt;"",F826&lt;&gt;"Arbeidskosten"),X826*VLOOKUP(F826,Tb_ProjectKosten[],MATCH(Tb_ProjectKosten[[#Headers],[Forfait_Percentage]],Tb_ProjectKosten[#Headers],0),0),AND(F826="Arbeidskosten",G826&lt;&gt;""),IFERROR(X826*VLOOKUP(G826,Tb_KostenTypen[],3,0)*VLOOKUP(F826,Tb_ProjectKosten[],MATCH(Tb_ProjectKosten[[#Headers],[Forfait_Percentage]],Tb_ProjectKosten[#Headers],0),0),""),X826 &lt;=0,0),"")</f>
        <v/>
      </c>
      <c r="AB826" s="314" t="str">
        <f t="shared" ca="1" si="51"/>
        <v/>
      </c>
      <c r="AC826" s="322"/>
      <c r="AD826" s="315"/>
      <c r="AE826" s="32" t="str" cm="1">
        <f t="array" ref="AE826">IFERROR(IF(INDEX(SubsidieTabel!$AD$1:$AG$12,MATCH($F826,SubsidieTabel!$AD$1:$AD$12,0),IFERROR(MATCH(Methode_Keuze,SubsidieTabel!$AD$1:$AG$1,0),2))&lt;&gt;1=TRUE,"ja",""),"")</f>
        <v/>
      </c>
    </row>
    <row r="827" spans="1:31" x14ac:dyDescent="0.25">
      <c r="A827" s="316"/>
      <c r="B827" s="317" t="str">
        <f>IF(A827&lt;&gt;"",_xlfn.MAXIFS($B$1:B826,$A$1:A826,A827)+1,"")</f>
        <v/>
      </c>
      <c r="C827" s="296"/>
      <c r="D827" s="296"/>
      <c r="E827" s="296"/>
      <c r="F827" s="296"/>
      <c r="G827" s="326"/>
      <c r="H827" s="324"/>
      <c r="I827" s="325"/>
      <c r="J827" s="325"/>
      <c r="K827" s="318"/>
      <c r="L827" s="318"/>
      <c r="M827" s="319" t="str">
        <f>IFERROR(VLOOKUP(H827,Lijsten!$H$1:$I$100,2,0),"")</f>
        <v/>
      </c>
      <c r="N827" s="319" t="str">
        <f ca="1">IFERROR(IF(VLOOKUP(F827,Kostentypen!$A$3:$E$21,3,0)=0,"",IF(OR(F827="Arbeidskosten",F827="Vergoeding"),VLOOKUP(G827,Tb_KostenTypen[],2,0),VLOOKUP(F827,Kostentypen!$A$3:$E$20,3,0))),"")</f>
        <v/>
      </c>
      <c r="O827" s="320" t="str" cm="1">
        <f t="array" ref="O827">_xlfn.IFNA(IF(INDEX(Tb_KostenOptiesDB[],MATCH($F827,Tb_KostenOptiesDB[KostenOptie],0),IFERROR(MATCH(Methode_Keuze,Tb_KostenOptiesDB[#Headers],0),2))=1,_xlfn.SWITCH($N827,"Uurtarief",IF(OR(AND(RIGHT($F827,3)="IKS",VLOOKUP($M827,DB_Loonkosten,2,0)="Ja"),AND(RIGHT($F827,3)&lt;&gt;"IKS",VLOOKUP($M827,DB_Loonkosten,2,0)="Nee")),IFERROR(VLOOKUP($M827,DB_Loonkosten,24,0),""),0),"Vast tarief",IF(LEFT(F827,8)="Bijdrage",VLOOKUP($F827,Tb_KostenTypen[],MATCH(Lijsten!$P$1,Tb_KostenTypen[#Headers],0),0),VLOOKUP($G827,Lijsten!L:P,MATCH(Lijsten!$P$1,Kop_Tarief_Vast,0),0))),""),"")</f>
        <v/>
      </c>
      <c r="P827" s="320" t="str" cm="1">
        <f t="array" ref="P827">_xlfn.IFNA(IF(INDEX(Tb_KostenOptiesDB[],MATCH($F827,Tb_KostenOptiesDB[KostenOptie],0),IFERROR(MATCH(Methode_Keuze,Tb_KostenOptiesDB[#Headers],0),2))=1,_xlfn.SWITCH($N827,"Uurtarief",IF(OR(AND(RIGHT($F827,3)="IKS",VLOOKUP($M827,DB_Loonkosten,2,0)="Ja"),AND(RIGHT($F827,3)&lt;&gt;"IKS",VLOOKUP($M827,DB_Loonkosten,2,0)="Nee")),IFERROR(VLOOKUP($M827,DB_Loonkosten,25,0),""),0),"Vast tarief",IF(LEFT(F827,8)="Bijdrage",VLOOKUP($F827,Tb_KostenTypen[],MATCH(Lijsten!$P$1,Tb_KostenTypen[#Headers],0),0),VLOOKUP($G827,Lijsten!L:P,MATCH(Lijsten!$P$1,Kop_Tarief_Vast,0),0))),""),"")</f>
        <v/>
      </c>
      <c r="Q827" s="359"/>
      <c r="R827" s="359"/>
      <c r="S827" s="321"/>
      <c r="T827" s="321"/>
      <c r="U827" s="373" t="str">
        <f t="shared" si="48"/>
        <v/>
      </c>
      <c r="V827" s="314" t="str">
        <f t="shared" si="49"/>
        <v/>
      </c>
      <c r="W827" s="314" t="str" cm="1">
        <f t="array" aca="1" ref="W827" ca="1">IFERROR(IF(AE827&lt;&gt;"ja",_xlfn.IFNA(_xlfn.IFS(AND(O827&lt;&gt;"",F827&lt;&gt;"",RIGHT($N827,6)="tarief",F827="Vergoeding"),SUM(O827)*FLOOR(SUM(Q827),0.0001),AND(O827&lt;&gt;"",F827&lt;&gt;"",RIGHT($N827,6)="tarief"),SUM(O827)*FLOOR(SUM(Q827),0.01),S827&gt;0,IF(F827&lt;&gt;"",FLOOR(SUM(S827),0.01),"")),""),""),"")</f>
        <v/>
      </c>
      <c r="X827" s="314" t="str" cm="1">
        <f t="array" aca="1" ref="X827" ca="1">IFERROR(IF(AE827&lt;&gt;"ja",_xlfn.IFNA(_xlfn.IFS(AND(P827&lt;&gt;"",R827&lt;&gt;"",RIGHT($N827,6)="tarief",F827="Vergoeding"),SUM(P827)*FLOOR(SUM(R827),0.0001),AND(P827&lt;&gt;"",R827&lt;&gt;"",RIGHT($N827,6)="tarief"),P827*FLOOR(R827,0.01),T827&gt;0,FLOOR(SUM(T827),0.01)),""),""),"")</f>
        <v/>
      </c>
      <c r="Y827" s="314" t="str">
        <f t="shared" ca="1" si="50"/>
        <v/>
      </c>
      <c r="Z827" s="314" t="str" cm="1">
        <f t="array" aca="1" ref="Z827" ca="1">IFERROR(_xlfn.IFS(OR(F827="",LEFT(Methode_Keuze,4)="Geen",Methode_Keuze=""),"",AND(W827&lt;&gt;"",F827&lt;&gt;"Arbeidskosten"),W827*VLOOKUP(F827,Tb_ProjectKosten[],MATCH(Tb_ProjectKosten[[#Headers],[Forfait_Percentage]],Tb_ProjectKosten[#Headers],0),0),AND(F827="Arbeidskosten",G827&lt;&gt;""),IFERROR(W827*VLOOKUP(G827,Tb_KostenTypen[],3,0)*VLOOKUP(F827,Tb_ProjectKosten[],MATCH(Tb_ProjectKosten[[#Headers],[Forfait_Percentage]],Tb_ProjectKosten[#Headers],0),0),""),W827 &lt;=0,0),"")</f>
        <v/>
      </c>
      <c r="AA827" s="314" t="str" cm="1">
        <f t="array" aca="1" ref="AA827" ca="1">IFERROR(_xlfn.IFS(OR(F827="",LEFT(Methode_Keuze,4)="Geen",Methode_Keuze=""),"",AND(X827&lt;&gt;"",F827&lt;&gt;"Arbeidskosten"),X827*VLOOKUP(F827,Tb_ProjectKosten[],MATCH(Tb_ProjectKosten[[#Headers],[Forfait_Percentage]],Tb_ProjectKosten[#Headers],0),0),AND(F827="Arbeidskosten",G827&lt;&gt;""),IFERROR(X827*VLOOKUP(G827,Tb_KostenTypen[],3,0)*VLOOKUP(F827,Tb_ProjectKosten[],MATCH(Tb_ProjectKosten[[#Headers],[Forfait_Percentage]],Tb_ProjectKosten[#Headers],0),0),""),X827 &lt;=0,0),"")</f>
        <v/>
      </c>
      <c r="AB827" s="314" t="str">
        <f t="shared" ca="1" si="51"/>
        <v/>
      </c>
      <c r="AC827" s="322"/>
      <c r="AD827" s="315"/>
      <c r="AE827" s="32" t="str" cm="1">
        <f t="array" ref="AE827">IFERROR(IF(INDEX(SubsidieTabel!$AD$1:$AG$12,MATCH($F827,SubsidieTabel!$AD$1:$AD$12,0),IFERROR(MATCH(Methode_Keuze,SubsidieTabel!$AD$1:$AG$1,0),2))&lt;&gt;1=TRUE,"ja",""),"")</f>
        <v/>
      </c>
    </row>
    <row r="828" spans="1:31" x14ac:dyDescent="0.25">
      <c r="A828" s="316"/>
      <c r="B828" s="317" t="str">
        <f>IF(A828&lt;&gt;"",_xlfn.MAXIFS($B$1:B827,$A$1:A827,A828)+1,"")</f>
        <v/>
      </c>
      <c r="C828" s="296"/>
      <c r="D828" s="296"/>
      <c r="E828" s="296"/>
      <c r="F828" s="296"/>
      <c r="G828" s="326"/>
      <c r="H828" s="324"/>
      <c r="I828" s="325"/>
      <c r="J828" s="325"/>
      <c r="K828" s="318"/>
      <c r="L828" s="318"/>
      <c r="M828" s="319" t="str">
        <f>IFERROR(VLOOKUP(H828,Lijsten!$H$1:$I$100,2,0),"")</f>
        <v/>
      </c>
      <c r="N828" s="319" t="str">
        <f ca="1">IFERROR(IF(VLOOKUP(F828,Kostentypen!$A$3:$E$21,3,0)=0,"",IF(OR(F828="Arbeidskosten",F828="Vergoeding"),VLOOKUP(G828,Tb_KostenTypen[],2,0),VLOOKUP(F828,Kostentypen!$A$3:$E$20,3,0))),"")</f>
        <v/>
      </c>
      <c r="O828" s="320" t="str" cm="1">
        <f t="array" ref="O828">_xlfn.IFNA(IF(INDEX(Tb_KostenOptiesDB[],MATCH($F828,Tb_KostenOptiesDB[KostenOptie],0),IFERROR(MATCH(Methode_Keuze,Tb_KostenOptiesDB[#Headers],0),2))=1,_xlfn.SWITCH($N828,"Uurtarief",IF(OR(AND(RIGHT($F828,3)="IKS",VLOOKUP($M828,DB_Loonkosten,2,0)="Ja"),AND(RIGHT($F828,3)&lt;&gt;"IKS",VLOOKUP($M828,DB_Loonkosten,2,0)="Nee")),IFERROR(VLOOKUP($M828,DB_Loonkosten,24,0),""),0),"Vast tarief",IF(LEFT(F828,8)="Bijdrage",VLOOKUP($F828,Tb_KostenTypen[],MATCH(Lijsten!$P$1,Tb_KostenTypen[#Headers],0),0),VLOOKUP($G828,Lijsten!L:P,MATCH(Lijsten!$P$1,Kop_Tarief_Vast,0),0))),""),"")</f>
        <v/>
      </c>
      <c r="P828" s="320" t="str" cm="1">
        <f t="array" ref="P828">_xlfn.IFNA(IF(INDEX(Tb_KostenOptiesDB[],MATCH($F828,Tb_KostenOptiesDB[KostenOptie],0),IFERROR(MATCH(Methode_Keuze,Tb_KostenOptiesDB[#Headers],0),2))=1,_xlfn.SWITCH($N828,"Uurtarief",IF(OR(AND(RIGHT($F828,3)="IKS",VLOOKUP($M828,DB_Loonkosten,2,0)="Ja"),AND(RIGHT($F828,3)&lt;&gt;"IKS",VLOOKUP($M828,DB_Loonkosten,2,0)="Nee")),IFERROR(VLOOKUP($M828,DB_Loonkosten,25,0),""),0),"Vast tarief",IF(LEFT(F828,8)="Bijdrage",VLOOKUP($F828,Tb_KostenTypen[],MATCH(Lijsten!$P$1,Tb_KostenTypen[#Headers],0),0),VLOOKUP($G828,Lijsten!L:P,MATCH(Lijsten!$P$1,Kop_Tarief_Vast,0),0))),""),"")</f>
        <v/>
      </c>
      <c r="Q828" s="359"/>
      <c r="R828" s="359"/>
      <c r="S828" s="321"/>
      <c r="T828" s="321"/>
      <c r="U828" s="373" t="str">
        <f t="shared" si="48"/>
        <v/>
      </c>
      <c r="V828" s="314" t="str">
        <f t="shared" si="49"/>
        <v/>
      </c>
      <c r="W828" s="314" t="str" cm="1">
        <f t="array" aca="1" ref="W828" ca="1">IFERROR(IF(AE828&lt;&gt;"ja",_xlfn.IFNA(_xlfn.IFS(AND(O828&lt;&gt;"",F828&lt;&gt;"",RIGHT($N828,6)="tarief",F828="Vergoeding"),SUM(O828)*FLOOR(SUM(Q828),0.0001),AND(O828&lt;&gt;"",F828&lt;&gt;"",RIGHT($N828,6)="tarief"),SUM(O828)*FLOOR(SUM(Q828),0.01),S828&gt;0,IF(F828&lt;&gt;"",FLOOR(SUM(S828),0.01),"")),""),""),"")</f>
        <v/>
      </c>
      <c r="X828" s="314" t="str" cm="1">
        <f t="array" aca="1" ref="X828" ca="1">IFERROR(IF(AE828&lt;&gt;"ja",_xlfn.IFNA(_xlfn.IFS(AND(P828&lt;&gt;"",R828&lt;&gt;"",RIGHT($N828,6)="tarief",F828="Vergoeding"),SUM(P828)*FLOOR(SUM(R828),0.0001),AND(P828&lt;&gt;"",R828&lt;&gt;"",RIGHT($N828,6)="tarief"),P828*FLOOR(R828,0.01),T828&gt;0,FLOOR(SUM(T828),0.01)),""),""),"")</f>
        <v/>
      </c>
      <c r="Y828" s="314" t="str">
        <f t="shared" ca="1" si="50"/>
        <v/>
      </c>
      <c r="Z828" s="314" t="str" cm="1">
        <f t="array" aca="1" ref="Z828" ca="1">IFERROR(_xlfn.IFS(OR(F828="",LEFT(Methode_Keuze,4)="Geen",Methode_Keuze=""),"",AND(W828&lt;&gt;"",F828&lt;&gt;"Arbeidskosten"),W828*VLOOKUP(F828,Tb_ProjectKosten[],MATCH(Tb_ProjectKosten[[#Headers],[Forfait_Percentage]],Tb_ProjectKosten[#Headers],0),0),AND(F828="Arbeidskosten",G828&lt;&gt;""),IFERROR(W828*VLOOKUP(G828,Tb_KostenTypen[],3,0)*VLOOKUP(F828,Tb_ProjectKosten[],MATCH(Tb_ProjectKosten[[#Headers],[Forfait_Percentage]],Tb_ProjectKosten[#Headers],0),0),""),W828 &lt;=0,0),"")</f>
        <v/>
      </c>
      <c r="AA828" s="314" t="str" cm="1">
        <f t="array" aca="1" ref="AA828" ca="1">IFERROR(_xlfn.IFS(OR(F828="",LEFT(Methode_Keuze,4)="Geen",Methode_Keuze=""),"",AND(X828&lt;&gt;"",F828&lt;&gt;"Arbeidskosten"),X828*VLOOKUP(F828,Tb_ProjectKosten[],MATCH(Tb_ProjectKosten[[#Headers],[Forfait_Percentage]],Tb_ProjectKosten[#Headers],0),0),AND(F828="Arbeidskosten",G828&lt;&gt;""),IFERROR(X828*VLOOKUP(G828,Tb_KostenTypen[],3,0)*VLOOKUP(F828,Tb_ProjectKosten[],MATCH(Tb_ProjectKosten[[#Headers],[Forfait_Percentage]],Tb_ProjectKosten[#Headers],0),0),""),X828 &lt;=0,0),"")</f>
        <v/>
      </c>
      <c r="AB828" s="314" t="str">
        <f t="shared" ca="1" si="51"/>
        <v/>
      </c>
      <c r="AC828" s="322"/>
      <c r="AD828" s="315"/>
      <c r="AE828" s="32" t="str" cm="1">
        <f t="array" ref="AE828">IFERROR(IF(INDEX(SubsidieTabel!$AD$1:$AG$12,MATCH($F828,SubsidieTabel!$AD$1:$AD$12,0),IFERROR(MATCH(Methode_Keuze,SubsidieTabel!$AD$1:$AG$1,0),2))&lt;&gt;1=TRUE,"ja",""),"")</f>
        <v/>
      </c>
    </row>
    <row r="829" spans="1:31" x14ac:dyDescent="0.25">
      <c r="A829" s="316"/>
      <c r="B829" s="317" t="str">
        <f>IF(A829&lt;&gt;"",_xlfn.MAXIFS($B$1:B828,$A$1:A828,A829)+1,"")</f>
        <v/>
      </c>
      <c r="C829" s="296"/>
      <c r="D829" s="296"/>
      <c r="E829" s="296"/>
      <c r="F829" s="296"/>
      <c r="G829" s="326"/>
      <c r="H829" s="324"/>
      <c r="I829" s="325"/>
      <c r="J829" s="325"/>
      <c r="K829" s="318"/>
      <c r="L829" s="318"/>
      <c r="M829" s="319" t="str">
        <f>IFERROR(VLOOKUP(H829,Lijsten!$H$1:$I$100,2,0),"")</f>
        <v/>
      </c>
      <c r="N829" s="319" t="str">
        <f ca="1">IFERROR(IF(VLOOKUP(F829,Kostentypen!$A$3:$E$21,3,0)=0,"",IF(OR(F829="Arbeidskosten",F829="Vergoeding"),VLOOKUP(G829,Tb_KostenTypen[],2,0),VLOOKUP(F829,Kostentypen!$A$3:$E$20,3,0))),"")</f>
        <v/>
      </c>
      <c r="O829" s="320" t="str" cm="1">
        <f t="array" ref="O829">_xlfn.IFNA(IF(INDEX(Tb_KostenOptiesDB[],MATCH($F829,Tb_KostenOptiesDB[KostenOptie],0),IFERROR(MATCH(Methode_Keuze,Tb_KostenOptiesDB[#Headers],0),2))=1,_xlfn.SWITCH($N829,"Uurtarief",IF(OR(AND(RIGHT($F829,3)="IKS",VLOOKUP($M829,DB_Loonkosten,2,0)="Ja"),AND(RIGHT($F829,3)&lt;&gt;"IKS",VLOOKUP($M829,DB_Loonkosten,2,0)="Nee")),IFERROR(VLOOKUP($M829,DB_Loonkosten,24,0),""),0),"Vast tarief",IF(LEFT(F829,8)="Bijdrage",VLOOKUP($F829,Tb_KostenTypen[],MATCH(Lijsten!$P$1,Tb_KostenTypen[#Headers],0),0),VLOOKUP($G829,Lijsten!L:P,MATCH(Lijsten!$P$1,Kop_Tarief_Vast,0),0))),""),"")</f>
        <v/>
      </c>
      <c r="P829" s="320" t="str" cm="1">
        <f t="array" ref="P829">_xlfn.IFNA(IF(INDEX(Tb_KostenOptiesDB[],MATCH($F829,Tb_KostenOptiesDB[KostenOptie],0),IFERROR(MATCH(Methode_Keuze,Tb_KostenOptiesDB[#Headers],0),2))=1,_xlfn.SWITCH($N829,"Uurtarief",IF(OR(AND(RIGHT($F829,3)="IKS",VLOOKUP($M829,DB_Loonkosten,2,0)="Ja"),AND(RIGHT($F829,3)&lt;&gt;"IKS",VLOOKUP($M829,DB_Loonkosten,2,0)="Nee")),IFERROR(VLOOKUP($M829,DB_Loonkosten,25,0),""),0),"Vast tarief",IF(LEFT(F829,8)="Bijdrage",VLOOKUP($F829,Tb_KostenTypen[],MATCH(Lijsten!$P$1,Tb_KostenTypen[#Headers],0),0),VLOOKUP($G829,Lijsten!L:P,MATCH(Lijsten!$P$1,Kop_Tarief_Vast,0),0))),""),"")</f>
        <v/>
      </c>
      <c r="Q829" s="359"/>
      <c r="R829" s="359"/>
      <c r="S829" s="321"/>
      <c r="T829" s="321"/>
      <c r="U829" s="373" t="str">
        <f t="shared" si="48"/>
        <v/>
      </c>
      <c r="V829" s="314" t="str">
        <f t="shared" si="49"/>
        <v/>
      </c>
      <c r="W829" s="314" t="str" cm="1">
        <f t="array" aca="1" ref="W829" ca="1">IFERROR(IF(AE829&lt;&gt;"ja",_xlfn.IFNA(_xlfn.IFS(AND(O829&lt;&gt;"",F829&lt;&gt;"",RIGHT($N829,6)="tarief",F829="Vergoeding"),SUM(O829)*FLOOR(SUM(Q829),0.0001),AND(O829&lt;&gt;"",F829&lt;&gt;"",RIGHT($N829,6)="tarief"),SUM(O829)*FLOOR(SUM(Q829),0.01),S829&gt;0,IF(F829&lt;&gt;"",FLOOR(SUM(S829),0.01),"")),""),""),"")</f>
        <v/>
      </c>
      <c r="X829" s="314" t="str" cm="1">
        <f t="array" aca="1" ref="X829" ca="1">IFERROR(IF(AE829&lt;&gt;"ja",_xlfn.IFNA(_xlfn.IFS(AND(P829&lt;&gt;"",R829&lt;&gt;"",RIGHT($N829,6)="tarief",F829="Vergoeding"),SUM(P829)*FLOOR(SUM(R829),0.0001),AND(P829&lt;&gt;"",R829&lt;&gt;"",RIGHT($N829,6)="tarief"),P829*FLOOR(R829,0.01),T829&gt;0,FLOOR(SUM(T829),0.01)),""),""),"")</f>
        <v/>
      </c>
      <c r="Y829" s="314" t="str">
        <f t="shared" ca="1" si="50"/>
        <v/>
      </c>
      <c r="Z829" s="314" t="str" cm="1">
        <f t="array" aca="1" ref="Z829" ca="1">IFERROR(_xlfn.IFS(OR(F829="",LEFT(Methode_Keuze,4)="Geen",Methode_Keuze=""),"",AND(W829&lt;&gt;"",F829&lt;&gt;"Arbeidskosten"),W829*VLOOKUP(F829,Tb_ProjectKosten[],MATCH(Tb_ProjectKosten[[#Headers],[Forfait_Percentage]],Tb_ProjectKosten[#Headers],0),0),AND(F829="Arbeidskosten",G829&lt;&gt;""),IFERROR(W829*VLOOKUP(G829,Tb_KostenTypen[],3,0)*VLOOKUP(F829,Tb_ProjectKosten[],MATCH(Tb_ProjectKosten[[#Headers],[Forfait_Percentage]],Tb_ProjectKosten[#Headers],0),0),""),W829 &lt;=0,0),"")</f>
        <v/>
      </c>
      <c r="AA829" s="314" t="str" cm="1">
        <f t="array" aca="1" ref="AA829" ca="1">IFERROR(_xlfn.IFS(OR(F829="",LEFT(Methode_Keuze,4)="Geen",Methode_Keuze=""),"",AND(X829&lt;&gt;"",F829&lt;&gt;"Arbeidskosten"),X829*VLOOKUP(F829,Tb_ProjectKosten[],MATCH(Tb_ProjectKosten[[#Headers],[Forfait_Percentage]],Tb_ProjectKosten[#Headers],0),0),AND(F829="Arbeidskosten",G829&lt;&gt;""),IFERROR(X829*VLOOKUP(G829,Tb_KostenTypen[],3,0)*VLOOKUP(F829,Tb_ProjectKosten[],MATCH(Tb_ProjectKosten[[#Headers],[Forfait_Percentage]],Tb_ProjectKosten[#Headers],0),0),""),X829 &lt;=0,0),"")</f>
        <v/>
      </c>
      <c r="AB829" s="314" t="str">
        <f t="shared" ca="1" si="51"/>
        <v/>
      </c>
      <c r="AC829" s="322"/>
      <c r="AD829" s="315"/>
      <c r="AE829" s="32" t="str" cm="1">
        <f t="array" ref="AE829">IFERROR(IF(INDEX(SubsidieTabel!$AD$1:$AG$12,MATCH($F829,SubsidieTabel!$AD$1:$AD$12,0),IFERROR(MATCH(Methode_Keuze,SubsidieTabel!$AD$1:$AG$1,0),2))&lt;&gt;1=TRUE,"ja",""),"")</f>
        <v/>
      </c>
    </row>
    <row r="830" spans="1:31" x14ac:dyDescent="0.25">
      <c r="A830" s="316"/>
      <c r="B830" s="317" t="str">
        <f>IF(A830&lt;&gt;"",_xlfn.MAXIFS($B$1:B829,$A$1:A829,A830)+1,"")</f>
        <v/>
      </c>
      <c r="C830" s="296"/>
      <c r="D830" s="296"/>
      <c r="E830" s="296"/>
      <c r="F830" s="296"/>
      <c r="G830" s="326"/>
      <c r="H830" s="324"/>
      <c r="I830" s="325"/>
      <c r="J830" s="325"/>
      <c r="K830" s="318"/>
      <c r="L830" s="318"/>
      <c r="M830" s="319" t="str">
        <f>IFERROR(VLOOKUP(H830,Lijsten!$H$1:$I$100,2,0),"")</f>
        <v/>
      </c>
      <c r="N830" s="319" t="str">
        <f ca="1">IFERROR(IF(VLOOKUP(F830,Kostentypen!$A$3:$E$21,3,0)=0,"",IF(OR(F830="Arbeidskosten",F830="Vergoeding"),VLOOKUP(G830,Tb_KostenTypen[],2,0),VLOOKUP(F830,Kostentypen!$A$3:$E$20,3,0))),"")</f>
        <v/>
      </c>
      <c r="O830" s="320" t="str" cm="1">
        <f t="array" ref="O830">_xlfn.IFNA(IF(INDEX(Tb_KostenOptiesDB[],MATCH($F830,Tb_KostenOptiesDB[KostenOptie],0),IFERROR(MATCH(Methode_Keuze,Tb_KostenOptiesDB[#Headers],0),2))=1,_xlfn.SWITCH($N830,"Uurtarief",IF(OR(AND(RIGHT($F830,3)="IKS",VLOOKUP($M830,DB_Loonkosten,2,0)="Ja"),AND(RIGHT($F830,3)&lt;&gt;"IKS",VLOOKUP($M830,DB_Loonkosten,2,0)="Nee")),IFERROR(VLOOKUP($M830,DB_Loonkosten,24,0),""),0),"Vast tarief",IF(LEFT(F830,8)="Bijdrage",VLOOKUP($F830,Tb_KostenTypen[],MATCH(Lijsten!$P$1,Tb_KostenTypen[#Headers],0),0),VLOOKUP($G830,Lijsten!L:P,MATCH(Lijsten!$P$1,Kop_Tarief_Vast,0),0))),""),"")</f>
        <v/>
      </c>
      <c r="P830" s="320" t="str" cm="1">
        <f t="array" ref="P830">_xlfn.IFNA(IF(INDEX(Tb_KostenOptiesDB[],MATCH($F830,Tb_KostenOptiesDB[KostenOptie],0),IFERROR(MATCH(Methode_Keuze,Tb_KostenOptiesDB[#Headers],0),2))=1,_xlfn.SWITCH($N830,"Uurtarief",IF(OR(AND(RIGHT($F830,3)="IKS",VLOOKUP($M830,DB_Loonkosten,2,0)="Ja"),AND(RIGHT($F830,3)&lt;&gt;"IKS",VLOOKUP($M830,DB_Loonkosten,2,0)="Nee")),IFERROR(VLOOKUP($M830,DB_Loonkosten,25,0),""),0),"Vast tarief",IF(LEFT(F830,8)="Bijdrage",VLOOKUP($F830,Tb_KostenTypen[],MATCH(Lijsten!$P$1,Tb_KostenTypen[#Headers],0),0),VLOOKUP($G830,Lijsten!L:P,MATCH(Lijsten!$P$1,Kop_Tarief_Vast,0),0))),""),"")</f>
        <v/>
      </c>
      <c r="Q830" s="359"/>
      <c r="R830" s="359"/>
      <c r="S830" s="321"/>
      <c r="T830" s="321"/>
      <c r="U830" s="373" t="str">
        <f t="shared" si="48"/>
        <v/>
      </c>
      <c r="V830" s="314" t="str">
        <f t="shared" si="49"/>
        <v/>
      </c>
      <c r="W830" s="314" t="str" cm="1">
        <f t="array" aca="1" ref="W830" ca="1">IFERROR(IF(AE830&lt;&gt;"ja",_xlfn.IFNA(_xlfn.IFS(AND(O830&lt;&gt;"",F830&lt;&gt;"",RIGHT($N830,6)="tarief",F830="Vergoeding"),SUM(O830)*FLOOR(SUM(Q830),0.0001),AND(O830&lt;&gt;"",F830&lt;&gt;"",RIGHT($N830,6)="tarief"),SUM(O830)*FLOOR(SUM(Q830),0.01),S830&gt;0,IF(F830&lt;&gt;"",FLOOR(SUM(S830),0.01),"")),""),""),"")</f>
        <v/>
      </c>
      <c r="X830" s="314" t="str" cm="1">
        <f t="array" aca="1" ref="X830" ca="1">IFERROR(IF(AE830&lt;&gt;"ja",_xlfn.IFNA(_xlfn.IFS(AND(P830&lt;&gt;"",R830&lt;&gt;"",RIGHT($N830,6)="tarief",F830="Vergoeding"),SUM(P830)*FLOOR(SUM(R830),0.0001),AND(P830&lt;&gt;"",R830&lt;&gt;"",RIGHT($N830,6)="tarief"),P830*FLOOR(R830,0.01),T830&gt;0,FLOOR(SUM(T830),0.01)),""),""),"")</f>
        <v/>
      </c>
      <c r="Y830" s="314" t="str">
        <f t="shared" ca="1" si="50"/>
        <v/>
      </c>
      <c r="Z830" s="314" t="str" cm="1">
        <f t="array" aca="1" ref="Z830" ca="1">IFERROR(_xlfn.IFS(OR(F830="",LEFT(Methode_Keuze,4)="Geen",Methode_Keuze=""),"",AND(W830&lt;&gt;"",F830&lt;&gt;"Arbeidskosten"),W830*VLOOKUP(F830,Tb_ProjectKosten[],MATCH(Tb_ProjectKosten[[#Headers],[Forfait_Percentage]],Tb_ProjectKosten[#Headers],0),0),AND(F830="Arbeidskosten",G830&lt;&gt;""),IFERROR(W830*VLOOKUP(G830,Tb_KostenTypen[],3,0)*VLOOKUP(F830,Tb_ProjectKosten[],MATCH(Tb_ProjectKosten[[#Headers],[Forfait_Percentage]],Tb_ProjectKosten[#Headers],0),0),""),W830 &lt;=0,0),"")</f>
        <v/>
      </c>
      <c r="AA830" s="314" t="str" cm="1">
        <f t="array" aca="1" ref="AA830" ca="1">IFERROR(_xlfn.IFS(OR(F830="",LEFT(Methode_Keuze,4)="Geen",Methode_Keuze=""),"",AND(X830&lt;&gt;"",F830&lt;&gt;"Arbeidskosten"),X830*VLOOKUP(F830,Tb_ProjectKosten[],MATCH(Tb_ProjectKosten[[#Headers],[Forfait_Percentage]],Tb_ProjectKosten[#Headers],0),0),AND(F830="Arbeidskosten",G830&lt;&gt;""),IFERROR(X830*VLOOKUP(G830,Tb_KostenTypen[],3,0)*VLOOKUP(F830,Tb_ProjectKosten[],MATCH(Tb_ProjectKosten[[#Headers],[Forfait_Percentage]],Tb_ProjectKosten[#Headers],0),0),""),X830 &lt;=0,0),"")</f>
        <v/>
      </c>
      <c r="AB830" s="314" t="str">
        <f t="shared" ca="1" si="51"/>
        <v/>
      </c>
      <c r="AC830" s="322"/>
      <c r="AD830" s="315"/>
      <c r="AE830" s="32" t="str" cm="1">
        <f t="array" ref="AE830">IFERROR(IF(INDEX(SubsidieTabel!$AD$1:$AG$12,MATCH($F830,SubsidieTabel!$AD$1:$AD$12,0),IFERROR(MATCH(Methode_Keuze,SubsidieTabel!$AD$1:$AG$1,0),2))&lt;&gt;1=TRUE,"ja",""),"")</f>
        <v/>
      </c>
    </row>
    <row r="831" spans="1:31" x14ac:dyDescent="0.25">
      <c r="A831" s="316"/>
      <c r="B831" s="317" t="str">
        <f>IF(A831&lt;&gt;"",_xlfn.MAXIFS($B$1:B830,$A$1:A830,A831)+1,"")</f>
        <v/>
      </c>
      <c r="C831" s="296"/>
      <c r="D831" s="296"/>
      <c r="E831" s="296"/>
      <c r="F831" s="296"/>
      <c r="G831" s="326"/>
      <c r="H831" s="324"/>
      <c r="I831" s="325"/>
      <c r="J831" s="325"/>
      <c r="K831" s="318"/>
      <c r="L831" s="318"/>
      <c r="M831" s="319" t="str">
        <f>IFERROR(VLOOKUP(H831,Lijsten!$H$1:$I$100,2,0),"")</f>
        <v/>
      </c>
      <c r="N831" s="319" t="str">
        <f ca="1">IFERROR(IF(VLOOKUP(F831,Kostentypen!$A$3:$E$21,3,0)=0,"",IF(OR(F831="Arbeidskosten",F831="Vergoeding"),VLOOKUP(G831,Tb_KostenTypen[],2,0),VLOOKUP(F831,Kostentypen!$A$3:$E$20,3,0))),"")</f>
        <v/>
      </c>
      <c r="O831" s="320" t="str" cm="1">
        <f t="array" ref="O831">_xlfn.IFNA(IF(INDEX(Tb_KostenOptiesDB[],MATCH($F831,Tb_KostenOptiesDB[KostenOptie],0),IFERROR(MATCH(Methode_Keuze,Tb_KostenOptiesDB[#Headers],0),2))=1,_xlfn.SWITCH($N831,"Uurtarief",IF(OR(AND(RIGHT($F831,3)="IKS",VLOOKUP($M831,DB_Loonkosten,2,0)="Ja"),AND(RIGHT($F831,3)&lt;&gt;"IKS",VLOOKUP($M831,DB_Loonkosten,2,0)="Nee")),IFERROR(VLOOKUP($M831,DB_Loonkosten,24,0),""),0),"Vast tarief",IF(LEFT(F831,8)="Bijdrage",VLOOKUP($F831,Tb_KostenTypen[],MATCH(Lijsten!$P$1,Tb_KostenTypen[#Headers],0),0),VLOOKUP($G831,Lijsten!L:P,MATCH(Lijsten!$P$1,Kop_Tarief_Vast,0),0))),""),"")</f>
        <v/>
      </c>
      <c r="P831" s="320" t="str" cm="1">
        <f t="array" ref="P831">_xlfn.IFNA(IF(INDEX(Tb_KostenOptiesDB[],MATCH($F831,Tb_KostenOptiesDB[KostenOptie],0),IFERROR(MATCH(Methode_Keuze,Tb_KostenOptiesDB[#Headers],0),2))=1,_xlfn.SWITCH($N831,"Uurtarief",IF(OR(AND(RIGHT($F831,3)="IKS",VLOOKUP($M831,DB_Loonkosten,2,0)="Ja"),AND(RIGHT($F831,3)&lt;&gt;"IKS",VLOOKUP($M831,DB_Loonkosten,2,0)="Nee")),IFERROR(VLOOKUP($M831,DB_Loonkosten,25,0),""),0),"Vast tarief",IF(LEFT(F831,8)="Bijdrage",VLOOKUP($F831,Tb_KostenTypen[],MATCH(Lijsten!$P$1,Tb_KostenTypen[#Headers],0),0),VLOOKUP($G831,Lijsten!L:P,MATCH(Lijsten!$P$1,Kop_Tarief_Vast,0),0))),""),"")</f>
        <v/>
      </c>
      <c r="Q831" s="359"/>
      <c r="R831" s="359"/>
      <c r="S831" s="321"/>
      <c r="T831" s="321"/>
      <c r="U831" s="373" t="str">
        <f t="shared" si="48"/>
        <v/>
      </c>
      <c r="V831" s="314" t="str">
        <f t="shared" si="49"/>
        <v/>
      </c>
      <c r="W831" s="314" t="str" cm="1">
        <f t="array" aca="1" ref="W831" ca="1">IFERROR(IF(AE831&lt;&gt;"ja",_xlfn.IFNA(_xlfn.IFS(AND(O831&lt;&gt;"",F831&lt;&gt;"",RIGHT($N831,6)="tarief",F831="Vergoeding"),SUM(O831)*FLOOR(SUM(Q831),0.0001),AND(O831&lt;&gt;"",F831&lt;&gt;"",RIGHT($N831,6)="tarief"),SUM(O831)*FLOOR(SUM(Q831),0.01),S831&gt;0,IF(F831&lt;&gt;"",FLOOR(SUM(S831),0.01),"")),""),""),"")</f>
        <v/>
      </c>
      <c r="X831" s="314" t="str" cm="1">
        <f t="array" aca="1" ref="X831" ca="1">IFERROR(IF(AE831&lt;&gt;"ja",_xlfn.IFNA(_xlfn.IFS(AND(P831&lt;&gt;"",R831&lt;&gt;"",RIGHT($N831,6)="tarief",F831="Vergoeding"),SUM(P831)*FLOOR(SUM(R831),0.0001),AND(P831&lt;&gt;"",R831&lt;&gt;"",RIGHT($N831,6)="tarief"),P831*FLOOR(R831,0.01),T831&gt;0,FLOOR(SUM(T831),0.01)),""),""),"")</f>
        <v/>
      </c>
      <c r="Y831" s="314" t="str">
        <f t="shared" ca="1" si="50"/>
        <v/>
      </c>
      <c r="Z831" s="314" t="str" cm="1">
        <f t="array" aca="1" ref="Z831" ca="1">IFERROR(_xlfn.IFS(OR(F831="",LEFT(Methode_Keuze,4)="Geen",Methode_Keuze=""),"",AND(W831&lt;&gt;"",F831&lt;&gt;"Arbeidskosten"),W831*VLOOKUP(F831,Tb_ProjectKosten[],MATCH(Tb_ProjectKosten[[#Headers],[Forfait_Percentage]],Tb_ProjectKosten[#Headers],0),0),AND(F831="Arbeidskosten",G831&lt;&gt;""),IFERROR(W831*VLOOKUP(G831,Tb_KostenTypen[],3,0)*VLOOKUP(F831,Tb_ProjectKosten[],MATCH(Tb_ProjectKosten[[#Headers],[Forfait_Percentage]],Tb_ProjectKosten[#Headers],0),0),""),W831 &lt;=0,0),"")</f>
        <v/>
      </c>
      <c r="AA831" s="314" t="str" cm="1">
        <f t="array" aca="1" ref="AA831" ca="1">IFERROR(_xlfn.IFS(OR(F831="",LEFT(Methode_Keuze,4)="Geen",Methode_Keuze=""),"",AND(X831&lt;&gt;"",F831&lt;&gt;"Arbeidskosten"),X831*VLOOKUP(F831,Tb_ProjectKosten[],MATCH(Tb_ProjectKosten[[#Headers],[Forfait_Percentage]],Tb_ProjectKosten[#Headers],0),0),AND(F831="Arbeidskosten",G831&lt;&gt;""),IFERROR(X831*VLOOKUP(G831,Tb_KostenTypen[],3,0)*VLOOKUP(F831,Tb_ProjectKosten[],MATCH(Tb_ProjectKosten[[#Headers],[Forfait_Percentage]],Tb_ProjectKosten[#Headers],0),0),""),X831 &lt;=0,0),"")</f>
        <v/>
      </c>
      <c r="AB831" s="314" t="str">
        <f t="shared" ca="1" si="51"/>
        <v/>
      </c>
      <c r="AC831" s="322"/>
      <c r="AD831" s="315"/>
      <c r="AE831" s="32" t="str" cm="1">
        <f t="array" ref="AE831">IFERROR(IF(INDEX(SubsidieTabel!$AD$1:$AG$12,MATCH($F831,SubsidieTabel!$AD$1:$AD$12,0),IFERROR(MATCH(Methode_Keuze,SubsidieTabel!$AD$1:$AG$1,0),2))&lt;&gt;1=TRUE,"ja",""),"")</f>
        <v/>
      </c>
    </row>
    <row r="832" spans="1:31" x14ac:dyDescent="0.25">
      <c r="A832" s="316"/>
      <c r="B832" s="317" t="str">
        <f>IF(A832&lt;&gt;"",_xlfn.MAXIFS($B$1:B831,$A$1:A831,A832)+1,"")</f>
        <v/>
      </c>
      <c r="C832" s="296"/>
      <c r="D832" s="296"/>
      <c r="E832" s="296"/>
      <c r="F832" s="296"/>
      <c r="G832" s="326"/>
      <c r="H832" s="324"/>
      <c r="I832" s="325"/>
      <c r="J832" s="325"/>
      <c r="K832" s="318"/>
      <c r="L832" s="318"/>
      <c r="M832" s="319" t="str">
        <f>IFERROR(VLOOKUP(H832,Lijsten!$H$1:$I$100,2,0),"")</f>
        <v/>
      </c>
      <c r="N832" s="319" t="str">
        <f ca="1">IFERROR(IF(VLOOKUP(F832,Kostentypen!$A$3:$E$21,3,0)=0,"",IF(OR(F832="Arbeidskosten",F832="Vergoeding"),VLOOKUP(G832,Tb_KostenTypen[],2,0),VLOOKUP(F832,Kostentypen!$A$3:$E$20,3,0))),"")</f>
        <v/>
      </c>
      <c r="O832" s="320" t="str" cm="1">
        <f t="array" ref="O832">_xlfn.IFNA(IF(INDEX(Tb_KostenOptiesDB[],MATCH($F832,Tb_KostenOptiesDB[KostenOptie],0),IFERROR(MATCH(Methode_Keuze,Tb_KostenOptiesDB[#Headers],0),2))=1,_xlfn.SWITCH($N832,"Uurtarief",IF(OR(AND(RIGHT($F832,3)="IKS",VLOOKUP($M832,DB_Loonkosten,2,0)="Ja"),AND(RIGHT($F832,3)&lt;&gt;"IKS",VLOOKUP($M832,DB_Loonkosten,2,0)="Nee")),IFERROR(VLOOKUP($M832,DB_Loonkosten,24,0),""),0),"Vast tarief",IF(LEFT(F832,8)="Bijdrage",VLOOKUP($F832,Tb_KostenTypen[],MATCH(Lijsten!$P$1,Tb_KostenTypen[#Headers],0),0),VLOOKUP($G832,Lijsten!L:P,MATCH(Lijsten!$P$1,Kop_Tarief_Vast,0),0))),""),"")</f>
        <v/>
      </c>
      <c r="P832" s="320" t="str" cm="1">
        <f t="array" ref="P832">_xlfn.IFNA(IF(INDEX(Tb_KostenOptiesDB[],MATCH($F832,Tb_KostenOptiesDB[KostenOptie],0),IFERROR(MATCH(Methode_Keuze,Tb_KostenOptiesDB[#Headers],0),2))=1,_xlfn.SWITCH($N832,"Uurtarief",IF(OR(AND(RIGHT($F832,3)="IKS",VLOOKUP($M832,DB_Loonkosten,2,0)="Ja"),AND(RIGHT($F832,3)&lt;&gt;"IKS",VLOOKUP($M832,DB_Loonkosten,2,0)="Nee")),IFERROR(VLOOKUP($M832,DB_Loonkosten,25,0),""),0),"Vast tarief",IF(LEFT(F832,8)="Bijdrage",VLOOKUP($F832,Tb_KostenTypen[],MATCH(Lijsten!$P$1,Tb_KostenTypen[#Headers],0),0),VLOOKUP($G832,Lijsten!L:P,MATCH(Lijsten!$P$1,Kop_Tarief_Vast,0),0))),""),"")</f>
        <v/>
      </c>
      <c r="Q832" s="359"/>
      <c r="R832" s="359"/>
      <c r="S832" s="321"/>
      <c r="T832" s="321"/>
      <c r="U832" s="373" t="str">
        <f t="shared" si="48"/>
        <v/>
      </c>
      <c r="V832" s="314" t="str">
        <f t="shared" si="49"/>
        <v/>
      </c>
      <c r="W832" s="314" t="str" cm="1">
        <f t="array" aca="1" ref="W832" ca="1">IFERROR(IF(AE832&lt;&gt;"ja",_xlfn.IFNA(_xlfn.IFS(AND(O832&lt;&gt;"",F832&lt;&gt;"",RIGHT($N832,6)="tarief",F832="Vergoeding"),SUM(O832)*FLOOR(SUM(Q832),0.0001),AND(O832&lt;&gt;"",F832&lt;&gt;"",RIGHT($N832,6)="tarief"),SUM(O832)*FLOOR(SUM(Q832),0.01),S832&gt;0,IF(F832&lt;&gt;"",FLOOR(SUM(S832),0.01),"")),""),""),"")</f>
        <v/>
      </c>
      <c r="X832" s="314" t="str" cm="1">
        <f t="array" aca="1" ref="X832" ca="1">IFERROR(IF(AE832&lt;&gt;"ja",_xlfn.IFNA(_xlfn.IFS(AND(P832&lt;&gt;"",R832&lt;&gt;"",RIGHT($N832,6)="tarief",F832="Vergoeding"),SUM(P832)*FLOOR(SUM(R832),0.0001),AND(P832&lt;&gt;"",R832&lt;&gt;"",RIGHT($N832,6)="tarief"),P832*FLOOR(R832,0.01),T832&gt;0,FLOOR(SUM(T832),0.01)),""),""),"")</f>
        <v/>
      </c>
      <c r="Y832" s="314" t="str">
        <f t="shared" ca="1" si="50"/>
        <v/>
      </c>
      <c r="Z832" s="314" t="str" cm="1">
        <f t="array" aca="1" ref="Z832" ca="1">IFERROR(_xlfn.IFS(OR(F832="",LEFT(Methode_Keuze,4)="Geen",Methode_Keuze=""),"",AND(W832&lt;&gt;"",F832&lt;&gt;"Arbeidskosten"),W832*VLOOKUP(F832,Tb_ProjectKosten[],MATCH(Tb_ProjectKosten[[#Headers],[Forfait_Percentage]],Tb_ProjectKosten[#Headers],0),0),AND(F832="Arbeidskosten",G832&lt;&gt;""),IFERROR(W832*VLOOKUP(G832,Tb_KostenTypen[],3,0)*VLOOKUP(F832,Tb_ProjectKosten[],MATCH(Tb_ProjectKosten[[#Headers],[Forfait_Percentage]],Tb_ProjectKosten[#Headers],0),0),""),W832 &lt;=0,0),"")</f>
        <v/>
      </c>
      <c r="AA832" s="314" t="str" cm="1">
        <f t="array" aca="1" ref="AA832" ca="1">IFERROR(_xlfn.IFS(OR(F832="",LEFT(Methode_Keuze,4)="Geen",Methode_Keuze=""),"",AND(X832&lt;&gt;"",F832&lt;&gt;"Arbeidskosten"),X832*VLOOKUP(F832,Tb_ProjectKosten[],MATCH(Tb_ProjectKosten[[#Headers],[Forfait_Percentage]],Tb_ProjectKosten[#Headers],0),0),AND(F832="Arbeidskosten",G832&lt;&gt;""),IFERROR(X832*VLOOKUP(G832,Tb_KostenTypen[],3,0)*VLOOKUP(F832,Tb_ProjectKosten[],MATCH(Tb_ProjectKosten[[#Headers],[Forfait_Percentage]],Tb_ProjectKosten[#Headers],0),0),""),X832 &lt;=0,0),"")</f>
        <v/>
      </c>
      <c r="AB832" s="314" t="str">
        <f t="shared" ca="1" si="51"/>
        <v/>
      </c>
      <c r="AC832" s="322"/>
      <c r="AD832" s="315"/>
      <c r="AE832" s="32" t="str" cm="1">
        <f t="array" ref="AE832">IFERROR(IF(INDEX(SubsidieTabel!$AD$1:$AG$12,MATCH($F832,SubsidieTabel!$AD$1:$AD$12,0),IFERROR(MATCH(Methode_Keuze,SubsidieTabel!$AD$1:$AG$1,0),2))&lt;&gt;1=TRUE,"ja",""),"")</f>
        <v/>
      </c>
    </row>
    <row r="833" spans="1:31" x14ac:dyDescent="0.25">
      <c r="A833" s="316"/>
      <c r="B833" s="317" t="str">
        <f>IF(A833&lt;&gt;"",_xlfn.MAXIFS($B$1:B832,$A$1:A832,A833)+1,"")</f>
        <v/>
      </c>
      <c r="C833" s="296"/>
      <c r="D833" s="296"/>
      <c r="E833" s="296"/>
      <c r="F833" s="296"/>
      <c r="G833" s="326"/>
      <c r="H833" s="324"/>
      <c r="I833" s="325"/>
      <c r="J833" s="325"/>
      <c r="K833" s="318"/>
      <c r="L833" s="318"/>
      <c r="M833" s="319" t="str">
        <f>IFERROR(VLOOKUP(H833,Lijsten!$H$1:$I$100,2,0),"")</f>
        <v/>
      </c>
      <c r="N833" s="319" t="str">
        <f ca="1">IFERROR(IF(VLOOKUP(F833,Kostentypen!$A$3:$E$21,3,0)=0,"",IF(OR(F833="Arbeidskosten",F833="Vergoeding"),VLOOKUP(G833,Tb_KostenTypen[],2,0),VLOOKUP(F833,Kostentypen!$A$3:$E$20,3,0))),"")</f>
        <v/>
      </c>
      <c r="O833" s="320" t="str" cm="1">
        <f t="array" ref="O833">_xlfn.IFNA(IF(INDEX(Tb_KostenOptiesDB[],MATCH($F833,Tb_KostenOptiesDB[KostenOptie],0),IFERROR(MATCH(Methode_Keuze,Tb_KostenOptiesDB[#Headers],0),2))=1,_xlfn.SWITCH($N833,"Uurtarief",IF(OR(AND(RIGHT($F833,3)="IKS",VLOOKUP($M833,DB_Loonkosten,2,0)="Ja"),AND(RIGHT($F833,3)&lt;&gt;"IKS",VLOOKUP($M833,DB_Loonkosten,2,0)="Nee")),IFERROR(VLOOKUP($M833,DB_Loonkosten,24,0),""),0),"Vast tarief",IF(LEFT(F833,8)="Bijdrage",VLOOKUP($F833,Tb_KostenTypen[],MATCH(Lijsten!$P$1,Tb_KostenTypen[#Headers],0),0),VLOOKUP($G833,Lijsten!L:P,MATCH(Lijsten!$P$1,Kop_Tarief_Vast,0),0))),""),"")</f>
        <v/>
      </c>
      <c r="P833" s="320" t="str" cm="1">
        <f t="array" ref="P833">_xlfn.IFNA(IF(INDEX(Tb_KostenOptiesDB[],MATCH($F833,Tb_KostenOptiesDB[KostenOptie],0),IFERROR(MATCH(Methode_Keuze,Tb_KostenOptiesDB[#Headers],0),2))=1,_xlfn.SWITCH($N833,"Uurtarief",IF(OR(AND(RIGHT($F833,3)="IKS",VLOOKUP($M833,DB_Loonkosten,2,0)="Ja"),AND(RIGHT($F833,3)&lt;&gt;"IKS",VLOOKUP($M833,DB_Loonkosten,2,0)="Nee")),IFERROR(VLOOKUP($M833,DB_Loonkosten,25,0),""),0),"Vast tarief",IF(LEFT(F833,8)="Bijdrage",VLOOKUP($F833,Tb_KostenTypen[],MATCH(Lijsten!$P$1,Tb_KostenTypen[#Headers],0),0),VLOOKUP($G833,Lijsten!L:P,MATCH(Lijsten!$P$1,Kop_Tarief_Vast,0),0))),""),"")</f>
        <v/>
      </c>
      <c r="Q833" s="359"/>
      <c r="R833" s="359"/>
      <c r="S833" s="321"/>
      <c r="T833" s="321"/>
      <c r="U833" s="373" t="str">
        <f t="shared" si="48"/>
        <v/>
      </c>
      <c r="V833" s="314" t="str">
        <f t="shared" si="49"/>
        <v/>
      </c>
      <c r="W833" s="314" t="str" cm="1">
        <f t="array" aca="1" ref="W833" ca="1">IFERROR(IF(AE833&lt;&gt;"ja",_xlfn.IFNA(_xlfn.IFS(AND(O833&lt;&gt;"",F833&lt;&gt;"",RIGHT($N833,6)="tarief",F833="Vergoeding"),SUM(O833)*FLOOR(SUM(Q833),0.0001),AND(O833&lt;&gt;"",F833&lt;&gt;"",RIGHT($N833,6)="tarief"),SUM(O833)*FLOOR(SUM(Q833),0.01),S833&gt;0,IF(F833&lt;&gt;"",FLOOR(SUM(S833),0.01),"")),""),""),"")</f>
        <v/>
      </c>
      <c r="X833" s="314" t="str" cm="1">
        <f t="array" aca="1" ref="X833" ca="1">IFERROR(IF(AE833&lt;&gt;"ja",_xlfn.IFNA(_xlfn.IFS(AND(P833&lt;&gt;"",R833&lt;&gt;"",RIGHT($N833,6)="tarief",F833="Vergoeding"),SUM(P833)*FLOOR(SUM(R833),0.0001),AND(P833&lt;&gt;"",R833&lt;&gt;"",RIGHT($N833,6)="tarief"),P833*FLOOR(R833,0.01),T833&gt;0,FLOOR(SUM(T833),0.01)),""),""),"")</f>
        <v/>
      </c>
      <c r="Y833" s="314" t="str">
        <f t="shared" ca="1" si="50"/>
        <v/>
      </c>
      <c r="Z833" s="314" t="str" cm="1">
        <f t="array" aca="1" ref="Z833" ca="1">IFERROR(_xlfn.IFS(OR(F833="",LEFT(Methode_Keuze,4)="Geen",Methode_Keuze=""),"",AND(W833&lt;&gt;"",F833&lt;&gt;"Arbeidskosten"),W833*VLOOKUP(F833,Tb_ProjectKosten[],MATCH(Tb_ProjectKosten[[#Headers],[Forfait_Percentage]],Tb_ProjectKosten[#Headers],0),0),AND(F833="Arbeidskosten",G833&lt;&gt;""),IFERROR(W833*VLOOKUP(G833,Tb_KostenTypen[],3,0)*VLOOKUP(F833,Tb_ProjectKosten[],MATCH(Tb_ProjectKosten[[#Headers],[Forfait_Percentage]],Tb_ProjectKosten[#Headers],0),0),""),W833 &lt;=0,0),"")</f>
        <v/>
      </c>
      <c r="AA833" s="314" t="str" cm="1">
        <f t="array" aca="1" ref="AA833" ca="1">IFERROR(_xlfn.IFS(OR(F833="",LEFT(Methode_Keuze,4)="Geen",Methode_Keuze=""),"",AND(X833&lt;&gt;"",F833&lt;&gt;"Arbeidskosten"),X833*VLOOKUP(F833,Tb_ProjectKosten[],MATCH(Tb_ProjectKosten[[#Headers],[Forfait_Percentage]],Tb_ProjectKosten[#Headers],0),0),AND(F833="Arbeidskosten",G833&lt;&gt;""),IFERROR(X833*VLOOKUP(G833,Tb_KostenTypen[],3,0)*VLOOKUP(F833,Tb_ProjectKosten[],MATCH(Tb_ProjectKosten[[#Headers],[Forfait_Percentage]],Tb_ProjectKosten[#Headers],0),0),""),X833 &lt;=0,0),"")</f>
        <v/>
      </c>
      <c r="AB833" s="314" t="str">
        <f t="shared" ca="1" si="51"/>
        <v/>
      </c>
      <c r="AC833" s="322"/>
      <c r="AD833" s="315"/>
      <c r="AE833" s="32" t="str" cm="1">
        <f t="array" ref="AE833">IFERROR(IF(INDEX(SubsidieTabel!$AD$1:$AG$12,MATCH($F833,SubsidieTabel!$AD$1:$AD$12,0),IFERROR(MATCH(Methode_Keuze,SubsidieTabel!$AD$1:$AG$1,0),2))&lt;&gt;1=TRUE,"ja",""),"")</f>
        <v/>
      </c>
    </row>
    <row r="834" spans="1:31" x14ac:dyDescent="0.25">
      <c r="A834" s="316"/>
      <c r="B834" s="317" t="str">
        <f>IF(A834&lt;&gt;"",_xlfn.MAXIFS($B$1:B833,$A$1:A833,A834)+1,"")</f>
        <v/>
      </c>
      <c r="C834" s="296"/>
      <c r="D834" s="296"/>
      <c r="E834" s="296"/>
      <c r="F834" s="296"/>
      <c r="G834" s="326"/>
      <c r="H834" s="324"/>
      <c r="I834" s="325"/>
      <c r="J834" s="325"/>
      <c r="K834" s="318"/>
      <c r="L834" s="318"/>
      <c r="M834" s="319" t="str">
        <f>IFERROR(VLOOKUP(H834,Lijsten!$H$1:$I$100,2,0),"")</f>
        <v/>
      </c>
      <c r="N834" s="319" t="str">
        <f ca="1">IFERROR(IF(VLOOKUP(F834,Kostentypen!$A$3:$E$21,3,0)=0,"",IF(OR(F834="Arbeidskosten",F834="Vergoeding"),VLOOKUP(G834,Tb_KostenTypen[],2,0),VLOOKUP(F834,Kostentypen!$A$3:$E$20,3,0))),"")</f>
        <v/>
      </c>
      <c r="O834" s="320" t="str" cm="1">
        <f t="array" ref="O834">_xlfn.IFNA(IF(INDEX(Tb_KostenOptiesDB[],MATCH($F834,Tb_KostenOptiesDB[KostenOptie],0),IFERROR(MATCH(Methode_Keuze,Tb_KostenOptiesDB[#Headers],0),2))=1,_xlfn.SWITCH($N834,"Uurtarief",IF(OR(AND(RIGHT($F834,3)="IKS",VLOOKUP($M834,DB_Loonkosten,2,0)="Ja"),AND(RIGHT($F834,3)&lt;&gt;"IKS",VLOOKUP($M834,DB_Loonkosten,2,0)="Nee")),IFERROR(VLOOKUP($M834,DB_Loonkosten,24,0),""),0),"Vast tarief",IF(LEFT(F834,8)="Bijdrage",VLOOKUP($F834,Tb_KostenTypen[],MATCH(Lijsten!$P$1,Tb_KostenTypen[#Headers],0),0),VLOOKUP($G834,Lijsten!L:P,MATCH(Lijsten!$P$1,Kop_Tarief_Vast,0),0))),""),"")</f>
        <v/>
      </c>
      <c r="P834" s="320" t="str" cm="1">
        <f t="array" ref="P834">_xlfn.IFNA(IF(INDEX(Tb_KostenOptiesDB[],MATCH($F834,Tb_KostenOptiesDB[KostenOptie],0),IFERROR(MATCH(Methode_Keuze,Tb_KostenOptiesDB[#Headers],0),2))=1,_xlfn.SWITCH($N834,"Uurtarief",IF(OR(AND(RIGHT($F834,3)="IKS",VLOOKUP($M834,DB_Loonkosten,2,0)="Ja"),AND(RIGHT($F834,3)&lt;&gt;"IKS",VLOOKUP($M834,DB_Loonkosten,2,0)="Nee")),IFERROR(VLOOKUP($M834,DB_Loonkosten,25,0),""),0),"Vast tarief",IF(LEFT(F834,8)="Bijdrage",VLOOKUP($F834,Tb_KostenTypen[],MATCH(Lijsten!$P$1,Tb_KostenTypen[#Headers],0),0),VLOOKUP($G834,Lijsten!L:P,MATCH(Lijsten!$P$1,Kop_Tarief_Vast,0),0))),""),"")</f>
        <v/>
      </c>
      <c r="Q834" s="359"/>
      <c r="R834" s="359"/>
      <c r="S834" s="321"/>
      <c r="T834" s="321"/>
      <c r="U834" s="373" t="str">
        <f t="shared" si="48"/>
        <v/>
      </c>
      <c r="V834" s="314" t="str">
        <f t="shared" si="49"/>
        <v/>
      </c>
      <c r="W834" s="314" t="str" cm="1">
        <f t="array" aca="1" ref="W834" ca="1">IFERROR(IF(AE834&lt;&gt;"ja",_xlfn.IFNA(_xlfn.IFS(AND(O834&lt;&gt;"",F834&lt;&gt;"",RIGHT($N834,6)="tarief",F834="Vergoeding"),SUM(O834)*FLOOR(SUM(Q834),0.0001),AND(O834&lt;&gt;"",F834&lt;&gt;"",RIGHT($N834,6)="tarief"),SUM(O834)*FLOOR(SUM(Q834),0.01),S834&gt;0,IF(F834&lt;&gt;"",FLOOR(SUM(S834),0.01),"")),""),""),"")</f>
        <v/>
      </c>
      <c r="X834" s="314" t="str" cm="1">
        <f t="array" aca="1" ref="X834" ca="1">IFERROR(IF(AE834&lt;&gt;"ja",_xlfn.IFNA(_xlfn.IFS(AND(P834&lt;&gt;"",R834&lt;&gt;"",RIGHT($N834,6)="tarief",F834="Vergoeding"),SUM(P834)*FLOOR(SUM(R834),0.0001),AND(P834&lt;&gt;"",R834&lt;&gt;"",RIGHT($N834,6)="tarief"),P834*FLOOR(R834,0.01),T834&gt;0,FLOOR(SUM(T834),0.01)),""),""),"")</f>
        <v/>
      </c>
      <c r="Y834" s="314" t="str">
        <f t="shared" ca="1" si="50"/>
        <v/>
      </c>
      <c r="Z834" s="314" t="str" cm="1">
        <f t="array" aca="1" ref="Z834" ca="1">IFERROR(_xlfn.IFS(OR(F834="",LEFT(Methode_Keuze,4)="Geen",Methode_Keuze=""),"",AND(W834&lt;&gt;"",F834&lt;&gt;"Arbeidskosten"),W834*VLOOKUP(F834,Tb_ProjectKosten[],MATCH(Tb_ProjectKosten[[#Headers],[Forfait_Percentage]],Tb_ProjectKosten[#Headers],0),0),AND(F834="Arbeidskosten",G834&lt;&gt;""),IFERROR(W834*VLOOKUP(G834,Tb_KostenTypen[],3,0)*VLOOKUP(F834,Tb_ProjectKosten[],MATCH(Tb_ProjectKosten[[#Headers],[Forfait_Percentage]],Tb_ProjectKosten[#Headers],0),0),""),W834 &lt;=0,0),"")</f>
        <v/>
      </c>
      <c r="AA834" s="314" t="str" cm="1">
        <f t="array" aca="1" ref="AA834" ca="1">IFERROR(_xlfn.IFS(OR(F834="",LEFT(Methode_Keuze,4)="Geen",Methode_Keuze=""),"",AND(X834&lt;&gt;"",F834&lt;&gt;"Arbeidskosten"),X834*VLOOKUP(F834,Tb_ProjectKosten[],MATCH(Tb_ProjectKosten[[#Headers],[Forfait_Percentage]],Tb_ProjectKosten[#Headers],0),0),AND(F834="Arbeidskosten",G834&lt;&gt;""),IFERROR(X834*VLOOKUP(G834,Tb_KostenTypen[],3,0)*VLOOKUP(F834,Tb_ProjectKosten[],MATCH(Tb_ProjectKosten[[#Headers],[Forfait_Percentage]],Tb_ProjectKosten[#Headers],0),0),""),X834 &lt;=0,0),"")</f>
        <v/>
      </c>
      <c r="AB834" s="314" t="str">
        <f t="shared" ca="1" si="51"/>
        <v/>
      </c>
      <c r="AC834" s="322"/>
      <c r="AD834" s="315"/>
      <c r="AE834" s="32" t="str" cm="1">
        <f t="array" ref="AE834">IFERROR(IF(INDEX(SubsidieTabel!$AD$1:$AG$12,MATCH($F834,SubsidieTabel!$AD$1:$AD$12,0),IFERROR(MATCH(Methode_Keuze,SubsidieTabel!$AD$1:$AG$1,0),2))&lt;&gt;1=TRUE,"ja",""),"")</f>
        <v/>
      </c>
    </row>
    <row r="835" spans="1:31" x14ac:dyDescent="0.25">
      <c r="A835" s="316"/>
      <c r="B835" s="317" t="str">
        <f>IF(A835&lt;&gt;"",_xlfn.MAXIFS($B$1:B834,$A$1:A834,A835)+1,"")</f>
        <v/>
      </c>
      <c r="C835" s="296"/>
      <c r="D835" s="296"/>
      <c r="E835" s="296"/>
      <c r="F835" s="296"/>
      <c r="G835" s="326"/>
      <c r="H835" s="324"/>
      <c r="I835" s="325"/>
      <c r="J835" s="325"/>
      <c r="K835" s="318"/>
      <c r="L835" s="318"/>
      <c r="M835" s="319" t="str">
        <f>IFERROR(VLOOKUP(H835,Lijsten!$H$1:$I$100,2,0),"")</f>
        <v/>
      </c>
      <c r="N835" s="319" t="str">
        <f ca="1">IFERROR(IF(VLOOKUP(F835,Kostentypen!$A$3:$E$21,3,0)=0,"",IF(OR(F835="Arbeidskosten",F835="Vergoeding"),VLOOKUP(G835,Tb_KostenTypen[],2,0),VLOOKUP(F835,Kostentypen!$A$3:$E$20,3,0))),"")</f>
        <v/>
      </c>
      <c r="O835" s="320" t="str" cm="1">
        <f t="array" ref="O835">_xlfn.IFNA(IF(INDEX(Tb_KostenOptiesDB[],MATCH($F835,Tb_KostenOptiesDB[KostenOptie],0),IFERROR(MATCH(Methode_Keuze,Tb_KostenOptiesDB[#Headers],0),2))=1,_xlfn.SWITCH($N835,"Uurtarief",IF(OR(AND(RIGHT($F835,3)="IKS",VLOOKUP($M835,DB_Loonkosten,2,0)="Ja"),AND(RIGHT($F835,3)&lt;&gt;"IKS",VLOOKUP($M835,DB_Loonkosten,2,0)="Nee")),IFERROR(VLOOKUP($M835,DB_Loonkosten,24,0),""),0),"Vast tarief",IF(LEFT(F835,8)="Bijdrage",VLOOKUP($F835,Tb_KostenTypen[],MATCH(Lijsten!$P$1,Tb_KostenTypen[#Headers],0),0),VLOOKUP($G835,Lijsten!L:P,MATCH(Lijsten!$P$1,Kop_Tarief_Vast,0),0))),""),"")</f>
        <v/>
      </c>
      <c r="P835" s="320" t="str" cm="1">
        <f t="array" ref="P835">_xlfn.IFNA(IF(INDEX(Tb_KostenOptiesDB[],MATCH($F835,Tb_KostenOptiesDB[KostenOptie],0),IFERROR(MATCH(Methode_Keuze,Tb_KostenOptiesDB[#Headers],0),2))=1,_xlfn.SWITCH($N835,"Uurtarief",IF(OR(AND(RIGHT($F835,3)="IKS",VLOOKUP($M835,DB_Loonkosten,2,0)="Ja"),AND(RIGHT($F835,3)&lt;&gt;"IKS",VLOOKUP($M835,DB_Loonkosten,2,0)="Nee")),IFERROR(VLOOKUP($M835,DB_Loonkosten,25,0),""),0),"Vast tarief",IF(LEFT(F835,8)="Bijdrage",VLOOKUP($F835,Tb_KostenTypen[],MATCH(Lijsten!$P$1,Tb_KostenTypen[#Headers],0),0),VLOOKUP($G835,Lijsten!L:P,MATCH(Lijsten!$P$1,Kop_Tarief_Vast,0),0))),""),"")</f>
        <v/>
      </c>
      <c r="Q835" s="359"/>
      <c r="R835" s="359"/>
      <c r="S835" s="321"/>
      <c r="T835" s="321"/>
      <c r="U835" s="373" t="str">
        <f t="shared" ref="U835:U898" si="52">IFERROR(IF(AND(R835&lt;&gt;"",R835&lt;&gt;Q835),-1*(R835-Q835),""),"")</f>
        <v/>
      </c>
      <c r="V835" s="314" t="str">
        <f t="shared" ref="V835:V898" si="53">IFERROR(IF(AND(T835&lt;&gt;"",T835&lt;&gt;S835),-1*(T835-S835),""),"")</f>
        <v/>
      </c>
      <c r="W835" s="314" t="str" cm="1">
        <f t="array" aca="1" ref="W835" ca="1">IFERROR(IF(AE835&lt;&gt;"ja",_xlfn.IFNA(_xlfn.IFS(AND(O835&lt;&gt;"",F835&lt;&gt;"",RIGHT($N835,6)="tarief",F835="Vergoeding"),SUM(O835)*FLOOR(SUM(Q835),0.0001),AND(O835&lt;&gt;"",F835&lt;&gt;"",RIGHT($N835,6)="tarief"),SUM(O835)*FLOOR(SUM(Q835),0.01),S835&gt;0,IF(F835&lt;&gt;"",FLOOR(SUM(S835),0.01),"")),""),""),"")</f>
        <v/>
      </c>
      <c r="X835" s="314" t="str" cm="1">
        <f t="array" aca="1" ref="X835" ca="1">IFERROR(IF(AE835&lt;&gt;"ja",_xlfn.IFNA(_xlfn.IFS(AND(P835&lt;&gt;"",R835&lt;&gt;"",RIGHT($N835,6)="tarief",F835="Vergoeding"),SUM(P835)*FLOOR(SUM(R835),0.0001),AND(P835&lt;&gt;"",R835&lt;&gt;"",RIGHT($N835,6)="tarief"),P835*FLOOR(R835,0.01),T835&gt;0,FLOOR(SUM(T835),0.01)),""),""),"")</f>
        <v/>
      </c>
      <c r="Y835" s="314" t="str">
        <f t="shared" ref="Y835:Y898" ca="1" si="54">IFERROR(IF(AND(X835&lt;&gt;"",X835&lt;&gt;W835),-1*(X835-W835),""),"")</f>
        <v/>
      </c>
      <c r="Z835" s="314" t="str" cm="1">
        <f t="array" aca="1" ref="Z835" ca="1">IFERROR(_xlfn.IFS(OR(F835="",LEFT(Methode_Keuze,4)="Geen",Methode_Keuze=""),"",AND(W835&lt;&gt;"",F835&lt;&gt;"Arbeidskosten"),W835*VLOOKUP(F835,Tb_ProjectKosten[],MATCH(Tb_ProjectKosten[[#Headers],[Forfait_Percentage]],Tb_ProjectKosten[#Headers],0),0),AND(F835="Arbeidskosten",G835&lt;&gt;""),IFERROR(W835*VLOOKUP(G835,Tb_KostenTypen[],3,0)*VLOOKUP(F835,Tb_ProjectKosten[],MATCH(Tb_ProjectKosten[[#Headers],[Forfait_Percentage]],Tb_ProjectKosten[#Headers],0),0),""),W835 &lt;=0,0),"")</f>
        <v/>
      </c>
      <c r="AA835" s="314" t="str" cm="1">
        <f t="array" aca="1" ref="AA835" ca="1">IFERROR(_xlfn.IFS(OR(F835="",LEFT(Methode_Keuze,4)="Geen",Methode_Keuze=""),"",AND(X835&lt;&gt;"",F835&lt;&gt;"Arbeidskosten"),X835*VLOOKUP(F835,Tb_ProjectKosten[],MATCH(Tb_ProjectKosten[[#Headers],[Forfait_Percentage]],Tb_ProjectKosten[#Headers],0),0),AND(F835="Arbeidskosten",G835&lt;&gt;""),IFERROR(X835*VLOOKUP(G835,Tb_KostenTypen[],3,0)*VLOOKUP(F835,Tb_ProjectKosten[],MATCH(Tb_ProjectKosten[[#Headers],[Forfait_Percentage]],Tb_ProjectKosten[#Headers],0),0),""),X835 &lt;=0,0),"")</f>
        <v/>
      </c>
      <c r="AB835" s="314" t="str">
        <f t="shared" ref="AB835:AB898" ca="1" si="55">IFERROR(IF(AND(AA835&lt;&gt;"",AA835&lt;&gt;Z835),-1*(AA835-Z835),""),"")</f>
        <v/>
      </c>
      <c r="AC835" s="322"/>
      <c r="AD835" s="315"/>
      <c r="AE835" s="32" t="str" cm="1">
        <f t="array" ref="AE835">IFERROR(IF(INDEX(SubsidieTabel!$AD$1:$AG$12,MATCH($F835,SubsidieTabel!$AD$1:$AD$12,0),IFERROR(MATCH(Methode_Keuze,SubsidieTabel!$AD$1:$AG$1,0),2))&lt;&gt;1=TRUE,"ja",""),"")</f>
        <v/>
      </c>
    </row>
    <row r="836" spans="1:31" x14ac:dyDescent="0.25">
      <c r="A836" s="316"/>
      <c r="B836" s="317" t="str">
        <f>IF(A836&lt;&gt;"",_xlfn.MAXIFS($B$1:B835,$A$1:A835,A836)+1,"")</f>
        <v/>
      </c>
      <c r="C836" s="296"/>
      <c r="D836" s="296"/>
      <c r="E836" s="296"/>
      <c r="F836" s="296"/>
      <c r="G836" s="326"/>
      <c r="H836" s="324"/>
      <c r="I836" s="325"/>
      <c r="J836" s="325"/>
      <c r="K836" s="318"/>
      <c r="L836" s="318"/>
      <c r="M836" s="319" t="str">
        <f>IFERROR(VLOOKUP(H836,Lijsten!$H$1:$I$100,2,0),"")</f>
        <v/>
      </c>
      <c r="N836" s="319" t="str">
        <f ca="1">IFERROR(IF(VLOOKUP(F836,Kostentypen!$A$3:$E$21,3,0)=0,"",IF(OR(F836="Arbeidskosten",F836="Vergoeding"),VLOOKUP(G836,Tb_KostenTypen[],2,0),VLOOKUP(F836,Kostentypen!$A$3:$E$20,3,0))),"")</f>
        <v/>
      </c>
      <c r="O836" s="320" t="str" cm="1">
        <f t="array" ref="O836">_xlfn.IFNA(IF(INDEX(Tb_KostenOptiesDB[],MATCH($F836,Tb_KostenOptiesDB[KostenOptie],0),IFERROR(MATCH(Methode_Keuze,Tb_KostenOptiesDB[#Headers],0),2))=1,_xlfn.SWITCH($N836,"Uurtarief",IF(OR(AND(RIGHT($F836,3)="IKS",VLOOKUP($M836,DB_Loonkosten,2,0)="Ja"),AND(RIGHT($F836,3)&lt;&gt;"IKS",VLOOKUP($M836,DB_Loonkosten,2,0)="Nee")),IFERROR(VLOOKUP($M836,DB_Loonkosten,24,0),""),0),"Vast tarief",IF(LEFT(F836,8)="Bijdrage",VLOOKUP($F836,Tb_KostenTypen[],MATCH(Lijsten!$P$1,Tb_KostenTypen[#Headers],0),0),VLOOKUP($G836,Lijsten!L:P,MATCH(Lijsten!$P$1,Kop_Tarief_Vast,0),0))),""),"")</f>
        <v/>
      </c>
      <c r="P836" s="320" t="str" cm="1">
        <f t="array" ref="P836">_xlfn.IFNA(IF(INDEX(Tb_KostenOptiesDB[],MATCH($F836,Tb_KostenOptiesDB[KostenOptie],0),IFERROR(MATCH(Methode_Keuze,Tb_KostenOptiesDB[#Headers],0),2))=1,_xlfn.SWITCH($N836,"Uurtarief",IF(OR(AND(RIGHT($F836,3)="IKS",VLOOKUP($M836,DB_Loonkosten,2,0)="Ja"),AND(RIGHT($F836,3)&lt;&gt;"IKS",VLOOKUP($M836,DB_Loonkosten,2,0)="Nee")),IFERROR(VLOOKUP($M836,DB_Loonkosten,25,0),""),0),"Vast tarief",IF(LEFT(F836,8)="Bijdrage",VLOOKUP($F836,Tb_KostenTypen[],MATCH(Lijsten!$P$1,Tb_KostenTypen[#Headers],0),0),VLOOKUP($G836,Lijsten!L:P,MATCH(Lijsten!$P$1,Kop_Tarief_Vast,0),0))),""),"")</f>
        <v/>
      </c>
      <c r="Q836" s="359"/>
      <c r="R836" s="359"/>
      <c r="S836" s="321"/>
      <c r="T836" s="321"/>
      <c r="U836" s="373" t="str">
        <f t="shared" si="52"/>
        <v/>
      </c>
      <c r="V836" s="314" t="str">
        <f t="shared" si="53"/>
        <v/>
      </c>
      <c r="W836" s="314" t="str" cm="1">
        <f t="array" aca="1" ref="W836" ca="1">IFERROR(IF(AE836&lt;&gt;"ja",_xlfn.IFNA(_xlfn.IFS(AND(O836&lt;&gt;"",F836&lt;&gt;"",RIGHT($N836,6)="tarief",F836="Vergoeding"),SUM(O836)*FLOOR(SUM(Q836),0.0001),AND(O836&lt;&gt;"",F836&lt;&gt;"",RIGHT($N836,6)="tarief"),SUM(O836)*FLOOR(SUM(Q836),0.01),S836&gt;0,IF(F836&lt;&gt;"",FLOOR(SUM(S836),0.01),"")),""),""),"")</f>
        <v/>
      </c>
      <c r="X836" s="314" t="str" cm="1">
        <f t="array" aca="1" ref="X836" ca="1">IFERROR(IF(AE836&lt;&gt;"ja",_xlfn.IFNA(_xlfn.IFS(AND(P836&lt;&gt;"",R836&lt;&gt;"",RIGHT($N836,6)="tarief",F836="Vergoeding"),SUM(P836)*FLOOR(SUM(R836),0.0001),AND(P836&lt;&gt;"",R836&lt;&gt;"",RIGHT($N836,6)="tarief"),P836*FLOOR(R836,0.01),T836&gt;0,FLOOR(SUM(T836),0.01)),""),""),"")</f>
        <v/>
      </c>
      <c r="Y836" s="314" t="str">
        <f t="shared" ca="1" si="54"/>
        <v/>
      </c>
      <c r="Z836" s="314" t="str" cm="1">
        <f t="array" aca="1" ref="Z836" ca="1">IFERROR(_xlfn.IFS(OR(F836="",LEFT(Methode_Keuze,4)="Geen",Methode_Keuze=""),"",AND(W836&lt;&gt;"",F836&lt;&gt;"Arbeidskosten"),W836*VLOOKUP(F836,Tb_ProjectKosten[],MATCH(Tb_ProjectKosten[[#Headers],[Forfait_Percentage]],Tb_ProjectKosten[#Headers],0),0),AND(F836="Arbeidskosten",G836&lt;&gt;""),IFERROR(W836*VLOOKUP(G836,Tb_KostenTypen[],3,0)*VLOOKUP(F836,Tb_ProjectKosten[],MATCH(Tb_ProjectKosten[[#Headers],[Forfait_Percentage]],Tb_ProjectKosten[#Headers],0),0),""),W836 &lt;=0,0),"")</f>
        <v/>
      </c>
      <c r="AA836" s="314" t="str" cm="1">
        <f t="array" aca="1" ref="AA836" ca="1">IFERROR(_xlfn.IFS(OR(F836="",LEFT(Methode_Keuze,4)="Geen",Methode_Keuze=""),"",AND(X836&lt;&gt;"",F836&lt;&gt;"Arbeidskosten"),X836*VLOOKUP(F836,Tb_ProjectKosten[],MATCH(Tb_ProjectKosten[[#Headers],[Forfait_Percentage]],Tb_ProjectKosten[#Headers],0),0),AND(F836="Arbeidskosten",G836&lt;&gt;""),IFERROR(X836*VLOOKUP(G836,Tb_KostenTypen[],3,0)*VLOOKUP(F836,Tb_ProjectKosten[],MATCH(Tb_ProjectKosten[[#Headers],[Forfait_Percentage]],Tb_ProjectKosten[#Headers],0),0),""),X836 &lt;=0,0),"")</f>
        <v/>
      </c>
      <c r="AB836" s="314" t="str">
        <f t="shared" ca="1" si="55"/>
        <v/>
      </c>
      <c r="AC836" s="322"/>
      <c r="AD836" s="315"/>
      <c r="AE836" s="32" t="str" cm="1">
        <f t="array" ref="AE836">IFERROR(IF(INDEX(SubsidieTabel!$AD$1:$AG$12,MATCH($F836,SubsidieTabel!$AD$1:$AD$12,0),IFERROR(MATCH(Methode_Keuze,SubsidieTabel!$AD$1:$AG$1,0),2))&lt;&gt;1=TRUE,"ja",""),"")</f>
        <v/>
      </c>
    </row>
    <row r="837" spans="1:31" x14ac:dyDescent="0.25">
      <c r="A837" s="316"/>
      <c r="B837" s="317" t="str">
        <f>IF(A837&lt;&gt;"",_xlfn.MAXIFS($B$1:B836,$A$1:A836,A837)+1,"")</f>
        <v/>
      </c>
      <c r="C837" s="296"/>
      <c r="D837" s="296"/>
      <c r="E837" s="296"/>
      <c r="F837" s="296"/>
      <c r="G837" s="326"/>
      <c r="H837" s="324"/>
      <c r="I837" s="325"/>
      <c r="J837" s="325"/>
      <c r="K837" s="318"/>
      <c r="L837" s="318"/>
      <c r="M837" s="319" t="str">
        <f>IFERROR(VLOOKUP(H837,Lijsten!$H$1:$I$100,2,0),"")</f>
        <v/>
      </c>
      <c r="N837" s="319" t="str">
        <f ca="1">IFERROR(IF(VLOOKUP(F837,Kostentypen!$A$3:$E$21,3,0)=0,"",IF(OR(F837="Arbeidskosten",F837="Vergoeding"),VLOOKUP(G837,Tb_KostenTypen[],2,0),VLOOKUP(F837,Kostentypen!$A$3:$E$20,3,0))),"")</f>
        <v/>
      </c>
      <c r="O837" s="320" t="str" cm="1">
        <f t="array" ref="O837">_xlfn.IFNA(IF(INDEX(Tb_KostenOptiesDB[],MATCH($F837,Tb_KostenOptiesDB[KostenOptie],0),IFERROR(MATCH(Methode_Keuze,Tb_KostenOptiesDB[#Headers],0),2))=1,_xlfn.SWITCH($N837,"Uurtarief",IF(OR(AND(RIGHT($F837,3)="IKS",VLOOKUP($M837,DB_Loonkosten,2,0)="Ja"),AND(RIGHT($F837,3)&lt;&gt;"IKS",VLOOKUP($M837,DB_Loonkosten,2,0)="Nee")),IFERROR(VLOOKUP($M837,DB_Loonkosten,24,0),""),0),"Vast tarief",IF(LEFT(F837,8)="Bijdrage",VLOOKUP($F837,Tb_KostenTypen[],MATCH(Lijsten!$P$1,Tb_KostenTypen[#Headers],0),0),VLOOKUP($G837,Lijsten!L:P,MATCH(Lijsten!$P$1,Kop_Tarief_Vast,0),0))),""),"")</f>
        <v/>
      </c>
      <c r="P837" s="320" t="str" cm="1">
        <f t="array" ref="P837">_xlfn.IFNA(IF(INDEX(Tb_KostenOptiesDB[],MATCH($F837,Tb_KostenOptiesDB[KostenOptie],0),IFERROR(MATCH(Methode_Keuze,Tb_KostenOptiesDB[#Headers],0),2))=1,_xlfn.SWITCH($N837,"Uurtarief",IF(OR(AND(RIGHT($F837,3)="IKS",VLOOKUP($M837,DB_Loonkosten,2,0)="Ja"),AND(RIGHT($F837,3)&lt;&gt;"IKS",VLOOKUP($M837,DB_Loonkosten,2,0)="Nee")),IFERROR(VLOOKUP($M837,DB_Loonkosten,25,0),""),0),"Vast tarief",IF(LEFT(F837,8)="Bijdrage",VLOOKUP($F837,Tb_KostenTypen[],MATCH(Lijsten!$P$1,Tb_KostenTypen[#Headers],0),0),VLOOKUP($G837,Lijsten!L:P,MATCH(Lijsten!$P$1,Kop_Tarief_Vast,0),0))),""),"")</f>
        <v/>
      </c>
      <c r="Q837" s="359"/>
      <c r="R837" s="359"/>
      <c r="S837" s="321"/>
      <c r="T837" s="321"/>
      <c r="U837" s="373" t="str">
        <f t="shared" si="52"/>
        <v/>
      </c>
      <c r="V837" s="314" t="str">
        <f t="shared" si="53"/>
        <v/>
      </c>
      <c r="W837" s="314" t="str" cm="1">
        <f t="array" aca="1" ref="W837" ca="1">IFERROR(IF(AE837&lt;&gt;"ja",_xlfn.IFNA(_xlfn.IFS(AND(O837&lt;&gt;"",F837&lt;&gt;"",RIGHT($N837,6)="tarief",F837="Vergoeding"),SUM(O837)*FLOOR(SUM(Q837),0.0001),AND(O837&lt;&gt;"",F837&lt;&gt;"",RIGHT($N837,6)="tarief"),SUM(O837)*FLOOR(SUM(Q837),0.01),S837&gt;0,IF(F837&lt;&gt;"",FLOOR(SUM(S837),0.01),"")),""),""),"")</f>
        <v/>
      </c>
      <c r="X837" s="314" t="str" cm="1">
        <f t="array" aca="1" ref="X837" ca="1">IFERROR(IF(AE837&lt;&gt;"ja",_xlfn.IFNA(_xlfn.IFS(AND(P837&lt;&gt;"",R837&lt;&gt;"",RIGHT($N837,6)="tarief",F837="Vergoeding"),SUM(P837)*FLOOR(SUM(R837),0.0001),AND(P837&lt;&gt;"",R837&lt;&gt;"",RIGHT($N837,6)="tarief"),P837*FLOOR(R837,0.01),T837&gt;0,FLOOR(SUM(T837),0.01)),""),""),"")</f>
        <v/>
      </c>
      <c r="Y837" s="314" t="str">
        <f t="shared" ca="1" si="54"/>
        <v/>
      </c>
      <c r="Z837" s="314" t="str" cm="1">
        <f t="array" aca="1" ref="Z837" ca="1">IFERROR(_xlfn.IFS(OR(F837="",LEFT(Methode_Keuze,4)="Geen",Methode_Keuze=""),"",AND(W837&lt;&gt;"",F837&lt;&gt;"Arbeidskosten"),W837*VLOOKUP(F837,Tb_ProjectKosten[],MATCH(Tb_ProjectKosten[[#Headers],[Forfait_Percentage]],Tb_ProjectKosten[#Headers],0),0),AND(F837="Arbeidskosten",G837&lt;&gt;""),IFERROR(W837*VLOOKUP(G837,Tb_KostenTypen[],3,0)*VLOOKUP(F837,Tb_ProjectKosten[],MATCH(Tb_ProjectKosten[[#Headers],[Forfait_Percentage]],Tb_ProjectKosten[#Headers],0),0),""),W837 &lt;=0,0),"")</f>
        <v/>
      </c>
      <c r="AA837" s="314" t="str" cm="1">
        <f t="array" aca="1" ref="AA837" ca="1">IFERROR(_xlfn.IFS(OR(F837="",LEFT(Methode_Keuze,4)="Geen",Methode_Keuze=""),"",AND(X837&lt;&gt;"",F837&lt;&gt;"Arbeidskosten"),X837*VLOOKUP(F837,Tb_ProjectKosten[],MATCH(Tb_ProjectKosten[[#Headers],[Forfait_Percentage]],Tb_ProjectKosten[#Headers],0),0),AND(F837="Arbeidskosten",G837&lt;&gt;""),IFERROR(X837*VLOOKUP(G837,Tb_KostenTypen[],3,0)*VLOOKUP(F837,Tb_ProjectKosten[],MATCH(Tb_ProjectKosten[[#Headers],[Forfait_Percentage]],Tb_ProjectKosten[#Headers],0),0),""),X837 &lt;=0,0),"")</f>
        <v/>
      </c>
      <c r="AB837" s="314" t="str">
        <f t="shared" ca="1" si="55"/>
        <v/>
      </c>
      <c r="AC837" s="322"/>
      <c r="AD837" s="315"/>
      <c r="AE837" s="32" t="str" cm="1">
        <f t="array" ref="AE837">IFERROR(IF(INDEX(SubsidieTabel!$AD$1:$AG$12,MATCH($F837,SubsidieTabel!$AD$1:$AD$12,0),IFERROR(MATCH(Methode_Keuze,SubsidieTabel!$AD$1:$AG$1,0),2))&lt;&gt;1=TRUE,"ja",""),"")</f>
        <v/>
      </c>
    </row>
    <row r="838" spans="1:31" x14ac:dyDescent="0.25">
      <c r="A838" s="316"/>
      <c r="B838" s="317" t="str">
        <f>IF(A838&lt;&gt;"",_xlfn.MAXIFS($B$1:B837,$A$1:A837,A838)+1,"")</f>
        <v/>
      </c>
      <c r="C838" s="296"/>
      <c r="D838" s="296"/>
      <c r="E838" s="296"/>
      <c r="F838" s="296"/>
      <c r="G838" s="326"/>
      <c r="H838" s="324"/>
      <c r="I838" s="325"/>
      <c r="J838" s="325"/>
      <c r="K838" s="318"/>
      <c r="L838" s="318"/>
      <c r="M838" s="319" t="str">
        <f>IFERROR(VLOOKUP(H838,Lijsten!$H$1:$I$100,2,0),"")</f>
        <v/>
      </c>
      <c r="N838" s="319" t="str">
        <f ca="1">IFERROR(IF(VLOOKUP(F838,Kostentypen!$A$3:$E$21,3,0)=0,"",IF(OR(F838="Arbeidskosten",F838="Vergoeding"),VLOOKUP(G838,Tb_KostenTypen[],2,0),VLOOKUP(F838,Kostentypen!$A$3:$E$20,3,0))),"")</f>
        <v/>
      </c>
      <c r="O838" s="320" t="str" cm="1">
        <f t="array" ref="O838">_xlfn.IFNA(IF(INDEX(Tb_KostenOptiesDB[],MATCH($F838,Tb_KostenOptiesDB[KostenOptie],0),IFERROR(MATCH(Methode_Keuze,Tb_KostenOptiesDB[#Headers],0),2))=1,_xlfn.SWITCH($N838,"Uurtarief",IF(OR(AND(RIGHT($F838,3)="IKS",VLOOKUP($M838,DB_Loonkosten,2,0)="Ja"),AND(RIGHT($F838,3)&lt;&gt;"IKS",VLOOKUP($M838,DB_Loonkosten,2,0)="Nee")),IFERROR(VLOOKUP($M838,DB_Loonkosten,24,0),""),0),"Vast tarief",IF(LEFT(F838,8)="Bijdrage",VLOOKUP($F838,Tb_KostenTypen[],MATCH(Lijsten!$P$1,Tb_KostenTypen[#Headers],0),0),VLOOKUP($G838,Lijsten!L:P,MATCH(Lijsten!$P$1,Kop_Tarief_Vast,0),0))),""),"")</f>
        <v/>
      </c>
      <c r="P838" s="320" t="str" cm="1">
        <f t="array" ref="P838">_xlfn.IFNA(IF(INDEX(Tb_KostenOptiesDB[],MATCH($F838,Tb_KostenOptiesDB[KostenOptie],0),IFERROR(MATCH(Methode_Keuze,Tb_KostenOptiesDB[#Headers],0),2))=1,_xlfn.SWITCH($N838,"Uurtarief",IF(OR(AND(RIGHT($F838,3)="IKS",VLOOKUP($M838,DB_Loonkosten,2,0)="Ja"),AND(RIGHT($F838,3)&lt;&gt;"IKS",VLOOKUP($M838,DB_Loonkosten,2,0)="Nee")),IFERROR(VLOOKUP($M838,DB_Loonkosten,25,0),""),0),"Vast tarief",IF(LEFT(F838,8)="Bijdrage",VLOOKUP($F838,Tb_KostenTypen[],MATCH(Lijsten!$P$1,Tb_KostenTypen[#Headers],0),0),VLOOKUP($G838,Lijsten!L:P,MATCH(Lijsten!$P$1,Kop_Tarief_Vast,0),0))),""),"")</f>
        <v/>
      </c>
      <c r="Q838" s="359"/>
      <c r="R838" s="359"/>
      <c r="S838" s="321"/>
      <c r="T838" s="321"/>
      <c r="U838" s="373" t="str">
        <f t="shared" si="52"/>
        <v/>
      </c>
      <c r="V838" s="314" t="str">
        <f t="shared" si="53"/>
        <v/>
      </c>
      <c r="W838" s="314" t="str" cm="1">
        <f t="array" aca="1" ref="W838" ca="1">IFERROR(IF(AE838&lt;&gt;"ja",_xlfn.IFNA(_xlfn.IFS(AND(O838&lt;&gt;"",F838&lt;&gt;"",RIGHT($N838,6)="tarief",F838="Vergoeding"),SUM(O838)*FLOOR(SUM(Q838),0.0001),AND(O838&lt;&gt;"",F838&lt;&gt;"",RIGHT($N838,6)="tarief"),SUM(O838)*FLOOR(SUM(Q838),0.01),S838&gt;0,IF(F838&lt;&gt;"",FLOOR(SUM(S838),0.01),"")),""),""),"")</f>
        <v/>
      </c>
      <c r="X838" s="314" t="str" cm="1">
        <f t="array" aca="1" ref="X838" ca="1">IFERROR(IF(AE838&lt;&gt;"ja",_xlfn.IFNA(_xlfn.IFS(AND(P838&lt;&gt;"",R838&lt;&gt;"",RIGHT($N838,6)="tarief",F838="Vergoeding"),SUM(P838)*FLOOR(SUM(R838),0.0001),AND(P838&lt;&gt;"",R838&lt;&gt;"",RIGHT($N838,6)="tarief"),P838*FLOOR(R838,0.01),T838&gt;0,FLOOR(SUM(T838),0.01)),""),""),"")</f>
        <v/>
      </c>
      <c r="Y838" s="314" t="str">
        <f t="shared" ca="1" si="54"/>
        <v/>
      </c>
      <c r="Z838" s="314" t="str" cm="1">
        <f t="array" aca="1" ref="Z838" ca="1">IFERROR(_xlfn.IFS(OR(F838="",LEFT(Methode_Keuze,4)="Geen",Methode_Keuze=""),"",AND(W838&lt;&gt;"",F838&lt;&gt;"Arbeidskosten"),W838*VLOOKUP(F838,Tb_ProjectKosten[],MATCH(Tb_ProjectKosten[[#Headers],[Forfait_Percentage]],Tb_ProjectKosten[#Headers],0),0),AND(F838="Arbeidskosten",G838&lt;&gt;""),IFERROR(W838*VLOOKUP(G838,Tb_KostenTypen[],3,0)*VLOOKUP(F838,Tb_ProjectKosten[],MATCH(Tb_ProjectKosten[[#Headers],[Forfait_Percentage]],Tb_ProjectKosten[#Headers],0),0),""),W838 &lt;=0,0),"")</f>
        <v/>
      </c>
      <c r="AA838" s="314" t="str" cm="1">
        <f t="array" aca="1" ref="AA838" ca="1">IFERROR(_xlfn.IFS(OR(F838="",LEFT(Methode_Keuze,4)="Geen",Methode_Keuze=""),"",AND(X838&lt;&gt;"",F838&lt;&gt;"Arbeidskosten"),X838*VLOOKUP(F838,Tb_ProjectKosten[],MATCH(Tb_ProjectKosten[[#Headers],[Forfait_Percentage]],Tb_ProjectKosten[#Headers],0),0),AND(F838="Arbeidskosten",G838&lt;&gt;""),IFERROR(X838*VLOOKUP(G838,Tb_KostenTypen[],3,0)*VLOOKUP(F838,Tb_ProjectKosten[],MATCH(Tb_ProjectKosten[[#Headers],[Forfait_Percentage]],Tb_ProjectKosten[#Headers],0),0),""),X838 &lt;=0,0),"")</f>
        <v/>
      </c>
      <c r="AB838" s="314" t="str">
        <f t="shared" ca="1" si="55"/>
        <v/>
      </c>
      <c r="AC838" s="322"/>
      <c r="AD838" s="315"/>
      <c r="AE838" s="32" t="str" cm="1">
        <f t="array" ref="AE838">IFERROR(IF(INDEX(SubsidieTabel!$AD$1:$AG$12,MATCH($F838,SubsidieTabel!$AD$1:$AD$12,0),IFERROR(MATCH(Methode_Keuze,SubsidieTabel!$AD$1:$AG$1,0),2))&lt;&gt;1=TRUE,"ja",""),"")</f>
        <v/>
      </c>
    </row>
    <row r="839" spans="1:31" x14ac:dyDescent="0.25">
      <c r="A839" s="316"/>
      <c r="B839" s="317" t="str">
        <f>IF(A839&lt;&gt;"",_xlfn.MAXIFS($B$1:B838,$A$1:A838,A839)+1,"")</f>
        <v/>
      </c>
      <c r="C839" s="296"/>
      <c r="D839" s="296"/>
      <c r="E839" s="296"/>
      <c r="F839" s="296"/>
      <c r="G839" s="326"/>
      <c r="H839" s="324"/>
      <c r="I839" s="325"/>
      <c r="J839" s="325"/>
      <c r="K839" s="318"/>
      <c r="L839" s="318"/>
      <c r="M839" s="319" t="str">
        <f>IFERROR(VLOOKUP(H839,Lijsten!$H$1:$I$100,2,0),"")</f>
        <v/>
      </c>
      <c r="N839" s="319" t="str">
        <f ca="1">IFERROR(IF(VLOOKUP(F839,Kostentypen!$A$3:$E$21,3,0)=0,"",IF(OR(F839="Arbeidskosten",F839="Vergoeding"),VLOOKUP(G839,Tb_KostenTypen[],2,0),VLOOKUP(F839,Kostentypen!$A$3:$E$20,3,0))),"")</f>
        <v/>
      </c>
      <c r="O839" s="320" t="str" cm="1">
        <f t="array" ref="O839">_xlfn.IFNA(IF(INDEX(Tb_KostenOptiesDB[],MATCH($F839,Tb_KostenOptiesDB[KostenOptie],0),IFERROR(MATCH(Methode_Keuze,Tb_KostenOptiesDB[#Headers],0),2))=1,_xlfn.SWITCH($N839,"Uurtarief",IF(OR(AND(RIGHT($F839,3)="IKS",VLOOKUP($M839,DB_Loonkosten,2,0)="Ja"),AND(RIGHT($F839,3)&lt;&gt;"IKS",VLOOKUP($M839,DB_Loonkosten,2,0)="Nee")),IFERROR(VLOOKUP($M839,DB_Loonkosten,24,0),""),0),"Vast tarief",IF(LEFT(F839,8)="Bijdrage",VLOOKUP($F839,Tb_KostenTypen[],MATCH(Lijsten!$P$1,Tb_KostenTypen[#Headers],0),0),VLOOKUP($G839,Lijsten!L:P,MATCH(Lijsten!$P$1,Kop_Tarief_Vast,0),0))),""),"")</f>
        <v/>
      </c>
      <c r="P839" s="320" t="str" cm="1">
        <f t="array" ref="P839">_xlfn.IFNA(IF(INDEX(Tb_KostenOptiesDB[],MATCH($F839,Tb_KostenOptiesDB[KostenOptie],0),IFERROR(MATCH(Methode_Keuze,Tb_KostenOptiesDB[#Headers],0),2))=1,_xlfn.SWITCH($N839,"Uurtarief",IF(OR(AND(RIGHT($F839,3)="IKS",VLOOKUP($M839,DB_Loonkosten,2,0)="Ja"),AND(RIGHT($F839,3)&lt;&gt;"IKS",VLOOKUP($M839,DB_Loonkosten,2,0)="Nee")),IFERROR(VLOOKUP($M839,DB_Loonkosten,25,0),""),0),"Vast tarief",IF(LEFT(F839,8)="Bijdrage",VLOOKUP($F839,Tb_KostenTypen[],MATCH(Lijsten!$P$1,Tb_KostenTypen[#Headers],0),0),VLOOKUP($G839,Lijsten!L:P,MATCH(Lijsten!$P$1,Kop_Tarief_Vast,0),0))),""),"")</f>
        <v/>
      </c>
      <c r="Q839" s="359"/>
      <c r="R839" s="359"/>
      <c r="S839" s="321"/>
      <c r="T839" s="321"/>
      <c r="U839" s="373" t="str">
        <f t="shared" si="52"/>
        <v/>
      </c>
      <c r="V839" s="314" t="str">
        <f t="shared" si="53"/>
        <v/>
      </c>
      <c r="W839" s="314" t="str" cm="1">
        <f t="array" aca="1" ref="W839" ca="1">IFERROR(IF(AE839&lt;&gt;"ja",_xlfn.IFNA(_xlfn.IFS(AND(O839&lt;&gt;"",F839&lt;&gt;"",RIGHT($N839,6)="tarief",F839="Vergoeding"),SUM(O839)*FLOOR(SUM(Q839),0.0001),AND(O839&lt;&gt;"",F839&lt;&gt;"",RIGHT($N839,6)="tarief"),SUM(O839)*FLOOR(SUM(Q839),0.01),S839&gt;0,IF(F839&lt;&gt;"",FLOOR(SUM(S839),0.01),"")),""),""),"")</f>
        <v/>
      </c>
      <c r="X839" s="314" t="str" cm="1">
        <f t="array" aca="1" ref="X839" ca="1">IFERROR(IF(AE839&lt;&gt;"ja",_xlfn.IFNA(_xlfn.IFS(AND(P839&lt;&gt;"",R839&lt;&gt;"",RIGHT($N839,6)="tarief",F839="Vergoeding"),SUM(P839)*FLOOR(SUM(R839),0.0001),AND(P839&lt;&gt;"",R839&lt;&gt;"",RIGHT($N839,6)="tarief"),P839*FLOOR(R839,0.01),T839&gt;0,FLOOR(SUM(T839),0.01)),""),""),"")</f>
        <v/>
      </c>
      <c r="Y839" s="314" t="str">
        <f t="shared" ca="1" si="54"/>
        <v/>
      </c>
      <c r="Z839" s="314" t="str" cm="1">
        <f t="array" aca="1" ref="Z839" ca="1">IFERROR(_xlfn.IFS(OR(F839="",LEFT(Methode_Keuze,4)="Geen",Methode_Keuze=""),"",AND(W839&lt;&gt;"",F839&lt;&gt;"Arbeidskosten"),W839*VLOOKUP(F839,Tb_ProjectKosten[],MATCH(Tb_ProjectKosten[[#Headers],[Forfait_Percentage]],Tb_ProjectKosten[#Headers],0),0),AND(F839="Arbeidskosten",G839&lt;&gt;""),IFERROR(W839*VLOOKUP(G839,Tb_KostenTypen[],3,0)*VLOOKUP(F839,Tb_ProjectKosten[],MATCH(Tb_ProjectKosten[[#Headers],[Forfait_Percentage]],Tb_ProjectKosten[#Headers],0),0),""),W839 &lt;=0,0),"")</f>
        <v/>
      </c>
      <c r="AA839" s="314" t="str" cm="1">
        <f t="array" aca="1" ref="AA839" ca="1">IFERROR(_xlfn.IFS(OR(F839="",LEFT(Methode_Keuze,4)="Geen",Methode_Keuze=""),"",AND(X839&lt;&gt;"",F839&lt;&gt;"Arbeidskosten"),X839*VLOOKUP(F839,Tb_ProjectKosten[],MATCH(Tb_ProjectKosten[[#Headers],[Forfait_Percentage]],Tb_ProjectKosten[#Headers],0),0),AND(F839="Arbeidskosten",G839&lt;&gt;""),IFERROR(X839*VLOOKUP(G839,Tb_KostenTypen[],3,0)*VLOOKUP(F839,Tb_ProjectKosten[],MATCH(Tb_ProjectKosten[[#Headers],[Forfait_Percentage]],Tb_ProjectKosten[#Headers],0),0),""),X839 &lt;=0,0),"")</f>
        <v/>
      </c>
      <c r="AB839" s="314" t="str">
        <f t="shared" ca="1" si="55"/>
        <v/>
      </c>
      <c r="AC839" s="322"/>
      <c r="AD839" s="315"/>
      <c r="AE839" s="32" t="str" cm="1">
        <f t="array" ref="AE839">IFERROR(IF(INDEX(SubsidieTabel!$AD$1:$AG$12,MATCH($F839,SubsidieTabel!$AD$1:$AD$12,0),IFERROR(MATCH(Methode_Keuze,SubsidieTabel!$AD$1:$AG$1,0),2))&lt;&gt;1=TRUE,"ja",""),"")</f>
        <v/>
      </c>
    </row>
    <row r="840" spans="1:31" x14ac:dyDescent="0.25">
      <c r="A840" s="316"/>
      <c r="B840" s="317" t="str">
        <f>IF(A840&lt;&gt;"",_xlfn.MAXIFS($B$1:B839,$A$1:A839,A840)+1,"")</f>
        <v/>
      </c>
      <c r="C840" s="296"/>
      <c r="D840" s="296"/>
      <c r="E840" s="296"/>
      <c r="F840" s="296"/>
      <c r="G840" s="326"/>
      <c r="H840" s="324"/>
      <c r="I840" s="325"/>
      <c r="J840" s="325"/>
      <c r="K840" s="318"/>
      <c r="L840" s="318"/>
      <c r="M840" s="319" t="str">
        <f>IFERROR(VLOOKUP(H840,Lijsten!$H$1:$I$100,2,0),"")</f>
        <v/>
      </c>
      <c r="N840" s="319" t="str">
        <f ca="1">IFERROR(IF(VLOOKUP(F840,Kostentypen!$A$3:$E$21,3,0)=0,"",IF(OR(F840="Arbeidskosten",F840="Vergoeding"),VLOOKUP(G840,Tb_KostenTypen[],2,0),VLOOKUP(F840,Kostentypen!$A$3:$E$20,3,0))),"")</f>
        <v/>
      </c>
      <c r="O840" s="320" t="str" cm="1">
        <f t="array" ref="O840">_xlfn.IFNA(IF(INDEX(Tb_KostenOptiesDB[],MATCH($F840,Tb_KostenOptiesDB[KostenOptie],0),IFERROR(MATCH(Methode_Keuze,Tb_KostenOptiesDB[#Headers],0),2))=1,_xlfn.SWITCH($N840,"Uurtarief",IF(OR(AND(RIGHT($F840,3)="IKS",VLOOKUP($M840,DB_Loonkosten,2,0)="Ja"),AND(RIGHT($F840,3)&lt;&gt;"IKS",VLOOKUP($M840,DB_Loonkosten,2,0)="Nee")),IFERROR(VLOOKUP($M840,DB_Loonkosten,24,0),""),0),"Vast tarief",IF(LEFT(F840,8)="Bijdrage",VLOOKUP($F840,Tb_KostenTypen[],MATCH(Lijsten!$P$1,Tb_KostenTypen[#Headers],0),0),VLOOKUP($G840,Lijsten!L:P,MATCH(Lijsten!$P$1,Kop_Tarief_Vast,0),0))),""),"")</f>
        <v/>
      </c>
      <c r="P840" s="320" t="str" cm="1">
        <f t="array" ref="P840">_xlfn.IFNA(IF(INDEX(Tb_KostenOptiesDB[],MATCH($F840,Tb_KostenOptiesDB[KostenOptie],0),IFERROR(MATCH(Methode_Keuze,Tb_KostenOptiesDB[#Headers],0),2))=1,_xlfn.SWITCH($N840,"Uurtarief",IF(OR(AND(RIGHT($F840,3)="IKS",VLOOKUP($M840,DB_Loonkosten,2,0)="Ja"),AND(RIGHT($F840,3)&lt;&gt;"IKS",VLOOKUP($M840,DB_Loonkosten,2,0)="Nee")),IFERROR(VLOOKUP($M840,DB_Loonkosten,25,0),""),0),"Vast tarief",IF(LEFT(F840,8)="Bijdrage",VLOOKUP($F840,Tb_KostenTypen[],MATCH(Lijsten!$P$1,Tb_KostenTypen[#Headers],0),0),VLOOKUP($G840,Lijsten!L:P,MATCH(Lijsten!$P$1,Kop_Tarief_Vast,0),0))),""),"")</f>
        <v/>
      </c>
      <c r="Q840" s="359"/>
      <c r="R840" s="359"/>
      <c r="S840" s="321"/>
      <c r="T840" s="321"/>
      <c r="U840" s="373" t="str">
        <f t="shared" si="52"/>
        <v/>
      </c>
      <c r="V840" s="314" t="str">
        <f t="shared" si="53"/>
        <v/>
      </c>
      <c r="W840" s="314" t="str" cm="1">
        <f t="array" aca="1" ref="W840" ca="1">IFERROR(IF(AE840&lt;&gt;"ja",_xlfn.IFNA(_xlfn.IFS(AND(O840&lt;&gt;"",F840&lt;&gt;"",RIGHT($N840,6)="tarief",F840="Vergoeding"),SUM(O840)*FLOOR(SUM(Q840),0.0001),AND(O840&lt;&gt;"",F840&lt;&gt;"",RIGHT($N840,6)="tarief"),SUM(O840)*FLOOR(SUM(Q840),0.01),S840&gt;0,IF(F840&lt;&gt;"",FLOOR(SUM(S840),0.01),"")),""),""),"")</f>
        <v/>
      </c>
      <c r="X840" s="314" t="str" cm="1">
        <f t="array" aca="1" ref="X840" ca="1">IFERROR(IF(AE840&lt;&gt;"ja",_xlfn.IFNA(_xlfn.IFS(AND(P840&lt;&gt;"",R840&lt;&gt;"",RIGHT($N840,6)="tarief",F840="Vergoeding"),SUM(P840)*FLOOR(SUM(R840),0.0001),AND(P840&lt;&gt;"",R840&lt;&gt;"",RIGHT($N840,6)="tarief"),P840*FLOOR(R840,0.01),T840&gt;0,FLOOR(SUM(T840),0.01)),""),""),"")</f>
        <v/>
      </c>
      <c r="Y840" s="314" t="str">
        <f t="shared" ca="1" si="54"/>
        <v/>
      </c>
      <c r="Z840" s="314" t="str" cm="1">
        <f t="array" aca="1" ref="Z840" ca="1">IFERROR(_xlfn.IFS(OR(F840="",LEFT(Methode_Keuze,4)="Geen",Methode_Keuze=""),"",AND(W840&lt;&gt;"",F840&lt;&gt;"Arbeidskosten"),W840*VLOOKUP(F840,Tb_ProjectKosten[],MATCH(Tb_ProjectKosten[[#Headers],[Forfait_Percentage]],Tb_ProjectKosten[#Headers],0),0),AND(F840="Arbeidskosten",G840&lt;&gt;""),IFERROR(W840*VLOOKUP(G840,Tb_KostenTypen[],3,0)*VLOOKUP(F840,Tb_ProjectKosten[],MATCH(Tb_ProjectKosten[[#Headers],[Forfait_Percentage]],Tb_ProjectKosten[#Headers],0),0),""),W840 &lt;=0,0),"")</f>
        <v/>
      </c>
      <c r="AA840" s="314" t="str" cm="1">
        <f t="array" aca="1" ref="AA840" ca="1">IFERROR(_xlfn.IFS(OR(F840="",LEFT(Methode_Keuze,4)="Geen",Methode_Keuze=""),"",AND(X840&lt;&gt;"",F840&lt;&gt;"Arbeidskosten"),X840*VLOOKUP(F840,Tb_ProjectKosten[],MATCH(Tb_ProjectKosten[[#Headers],[Forfait_Percentage]],Tb_ProjectKosten[#Headers],0),0),AND(F840="Arbeidskosten",G840&lt;&gt;""),IFERROR(X840*VLOOKUP(G840,Tb_KostenTypen[],3,0)*VLOOKUP(F840,Tb_ProjectKosten[],MATCH(Tb_ProjectKosten[[#Headers],[Forfait_Percentage]],Tb_ProjectKosten[#Headers],0),0),""),X840 &lt;=0,0),"")</f>
        <v/>
      </c>
      <c r="AB840" s="314" t="str">
        <f t="shared" ca="1" si="55"/>
        <v/>
      </c>
      <c r="AC840" s="322"/>
      <c r="AD840" s="315"/>
      <c r="AE840" s="32" t="str" cm="1">
        <f t="array" ref="AE840">IFERROR(IF(INDEX(SubsidieTabel!$AD$1:$AG$12,MATCH($F840,SubsidieTabel!$AD$1:$AD$12,0),IFERROR(MATCH(Methode_Keuze,SubsidieTabel!$AD$1:$AG$1,0),2))&lt;&gt;1=TRUE,"ja",""),"")</f>
        <v/>
      </c>
    </row>
    <row r="841" spans="1:31" x14ac:dyDescent="0.25">
      <c r="A841" s="316"/>
      <c r="B841" s="317" t="str">
        <f>IF(A841&lt;&gt;"",_xlfn.MAXIFS($B$1:B840,$A$1:A840,A841)+1,"")</f>
        <v/>
      </c>
      <c r="C841" s="296"/>
      <c r="D841" s="296"/>
      <c r="E841" s="296"/>
      <c r="F841" s="296"/>
      <c r="G841" s="326"/>
      <c r="H841" s="324"/>
      <c r="I841" s="325"/>
      <c r="J841" s="325"/>
      <c r="K841" s="318"/>
      <c r="L841" s="318"/>
      <c r="M841" s="319" t="str">
        <f>IFERROR(VLOOKUP(H841,Lijsten!$H$1:$I$100,2,0),"")</f>
        <v/>
      </c>
      <c r="N841" s="319" t="str">
        <f ca="1">IFERROR(IF(VLOOKUP(F841,Kostentypen!$A$3:$E$21,3,0)=0,"",IF(OR(F841="Arbeidskosten",F841="Vergoeding"),VLOOKUP(G841,Tb_KostenTypen[],2,0),VLOOKUP(F841,Kostentypen!$A$3:$E$20,3,0))),"")</f>
        <v/>
      </c>
      <c r="O841" s="320" t="str" cm="1">
        <f t="array" ref="O841">_xlfn.IFNA(IF(INDEX(Tb_KostenOptiesDB[],MATCH($F841,Tb_KostenOptiesDB[KostenOptie],0),IFERROR(MATCH(Methode_Keuze,Tb_KostenOptiesDB[#Headers],0),2))=1,_xlfn.SWITCH($N841,"Uurtarief",IF(OR(AND(RIGHT($F841,3)="IKS",VLOOKUP($M841,DB_Loonkosten,2,0)="Ja"),AND(RIGHT($F841,3)&lt;&gt;"IKS",VLOOKUP($M841,DB_Loonkosten,2,0)="Nee")),IFERROR(VLOOKUP($M841,DB_Loonkosten,24,0),""),0),"Vast tarief",IF(LEFT(F841,8)="Bijdrage",VLOOKUP($F841,Tb_KostenTypen[],MATCH(Lijsten!$P$1,Tb_KostenTypen[#Headers],0),0),VLOOKUP($G841,Lijsten!L:P,MATCH(Lijsten!$P$1,Kop_Tarief_Vast,0),0))),""),"")</f>
        <v/>
      </c>
      <c r="P841" s="320" t="str" cm="1">
        <f t="array" ref="P841">_xlfn.IFNA(IF(INDEX(Tb_KostenOptiesDB[],MATCH($F841,Tb_KostenOptiesDB[KostenOptie],0),IFERROR(MATCH(Methode_Keuze,Tb_KostenOptiesDB[#Headers],0),2))=1,_xlfn.SWITCH($N841,"Uurtarief",IF(OR(AND(RIGHT($F841,3)="IKS",VLOOKUP($M841,DB_Loonkosten,2,0)="Ja"),AND(RIGHT($F841,3)&lt;&gt;"IKS",VLOOKUP($M841,DB_Loonkosten,2,0)="Nee")),IFERROR(VLOOKUP($M841,DB_Loonkosten,25,0),""),0),"Vast tarief",IF(LEFT(F841,8)="Bijdrage",VLOOKUP($F841,Tb_KostenTypen[],MATCH(Lijsten!$P$1,Tb_KostenTypen[#Headers],0),0),VLOOKUP($G841,Lijsten!L:P,MATCH(Lijsten!$P$1,Kop_Tarief_Vast,0),0))),""),"")</f>
        <v/>
      </c>
      <c r="Q841" s="359"/>
      <c r="R841" s="359"/>
      <c r="S841" s="321"/>
      <c r="T841" s="321"/>
      <c r="U841" s="373" t="str">
        <f t="shared" si="52"/>
        <v/>
      </c>
      <c r="V841" s="314" t="str">
        <f t="shared" si="53"/>
        <v/>
      </c>
      <c r="W841" s="314" t="str" cm="1">
        <f t="array" aca="1" ref="W841" ca="1">IFERROR(IF(AE841&lt;&gt;"ja",_xlfn.IFNA(_xlfn.IFS(AND(O841&lt;&gt;"",F841&lt;&gt;"",RIGHT($N841,6)="tarief",F841="Vergoeding"),SUM(O841)*FLOOR(SUM(Q841),0.0001),AND(O841&lt;&gt;"",F841&lt;&gt;"",RIGHT($N841,6)="tarief"),SUM(O841)*FLOOR(SUM(Q841),0.01),S841&gt;0,IF(F841&lt;&gt;"",FLOOR(SUM(S841),0.01),"")),""),""),"")</f>
        <v/>
      </c>
      <c r="X841" s="314" t="str" cm="1">
        <f t="array" aca="1" ref="X841" ca="1">IFERROR(IF(AE841&lt;&gt;"ja",_xlfn.IFNA(_xlfn.IFS(AND(P841&lt;&gt;"",R841&lt;&gt;"",RIGHT($N841,6)="tarief",F841="Vergoeding"),SUM(P841)*FLOOR(SUM(R841),0.0001),AND(P841&lt;&gt;"",R841&lt;&gt;"",RIGHT($N841,6)="tarief"),P841*FLOOR(R841,0.01),T841&gt;0,FLOOR(SUM(T841),0.01)),""),""),"")</f>
        <v/>
      </c>
      <c r="Y841" s="314" t="str">
        <f t="shared" ca="1" si="54"/>
        <v/>
      </c>
      <c r="Z841" s="314" t="str" cm="1">
        <f t="array" aca="1" ref="Z841" ca="1">IFERROR(_xlfn.IFS(OR(F841="",LEFT(Methode_Keuze,4)="Geen",Methode_Keuze=""),"",AND(W841&lt;&gt;"",F841&lt;&gt;"Arbeidskosten"),W841*VLOOKUP(F841,Tb_ProjectKosten[],MATCH(Tb_ProjectKosten[[#Headers],[Forfait_Percentage]],Tb_ProjectKosten[#Headers],0),0),AND(F841="Arbeidskosten",G841&lt;&gt;""),IFERROR(W841*VLOOKUP(G841,Tb_KostenTypen[],3,0)*VLOOKUP(F841,Tb_ProjectKosten[],MATCH(Tb_ProjectKosten[[#Headers],[Forfait_Percentage]],Tb_ProjectKosten[#Headers],0),0),""),W841 &lt;=0,0),"")</f>
        <v/>
      </c>
      <c r="AA841" s="314" t="str" cm="1">
        <f t="array" aca="1" ref="AA841" ca="1">IFERROR(_xlfn.IFS(OR(F841="",LEFT(Methode_Keuze,4)="Geen",Methode_Keuze=""),"",AND(X841&lt;&gt;"",F841&lt;&gt;"Arbeidskosten"),X841*VLOOKUP(F841,Tb_ProjectKosten[],MATCH(Tb_ProjectKosten[[#Headers],[Forfait_Percentage]],Tb_ProjectKosten[#Headers],0),0),AND(F841="Arbeidskosten",G841&lt;&gt;""),IFERROR(X841*VLOOKUP(G841,Tb_KostenTypen[],3,0)*VLOOKUP(F841,Tb_ProjectKosten[],MATCH(Tb_ProjectKosten[[#Headers],[Forfait_Percentage]],Tb_ProjectKosten[#Headers],0),0),""),X841 &lt;=0,0),"")</f>
        <v/>
      </c>
      <c r="AB841" s="314" t="str">
        <f t="shared" ca="1" si="55"/>
        <v/>
      </c>
      <c r="AC841" s="322"/>
      <c r="AD841" s="315"/>
      <c r="AE841" s="32" t="str" cm="1">
        <f t="array" ref="AE841">IFERROR(IF(INDEX(SubsidieTabel!$AD$1:$AG$12,MATCH($F841,SubsidieTabel!$AD$1:$AD$12,0),IFERROR(MATCH(Methode_Keuze,SubsidieTabel!$AD$1:$AG$1,0),2))&lt;&gt;1=TRUE,"ja",""),"")</f>
        <v/>
      </c>
    </row>
    <row r="842" spans="1:31" x14ac:dyDescent="0.25">
      <c r="A842" s="316"/>
      <c r="B842" s="317" t="str">
        <f>IF(A842&lt;&gt;"",_xlfn.MAXIFS($B$1:B841,$A$1:A841,A842)+1,"")</f>
        <v/>
      </c>
      <c r="C842" s="296"/>
      <c r="D842" s="296"/>
      <c r="E842" s="296"/>
      <c r="F842" s="296"/>
      <c r="G842" s="326"/>
      <c r="H842" s="324"/>
      <c r="I842" s="325"/>
      <c r="J842" s="325"/>
      <c r="K842" s="318"/>
      <c r="L842" s="318"/>
      <c r="M842" s="319" t="str">
        <f>IFERROR(VLOOKUP(H842,Lijsten!$H$1:$I$100,2,0),"")</f>
        <v/>
      </c>
      <c r="N842" s="319" t="str">
        <f ca="1">IFERROR(IF(VLOOKUP(F842,Kostentypen!$A$3:$E$21,3,0)=0,"",IF(OR(F842="Arbeidskosten",F842="Vergoeding"),VLOOKUP(G842,Tb_KostenTypen[],2,0),VLOOKUP(F842,Kostentypen!$A$3:$E$20,3,0))),"")</f>
        <v/>
      </c>
      <c r="O842" s="320" t="str" cm="1">
        <f t="array" ref="O842">_xlfn.IFNA(IF(INDEX(Tb_KostenOptiesDB[],MATCH($F842,Tb_KostenOptiesDB[KostenOptie],0),IFERROR(MATCH(Methode_Keuze,Tb_KostenOptiesDB[#Headers],0),2))=1,_xlfn.SWITCH($N842,"Uurtarief",IF(OR(AND(RIGHT($F842,3)="IKS",VLOOKUP($M842,DB_Loonkosten,2,0)="Ja"),AND(RIGHT($F842,3)&lt;&gt;"IKS",VLOOKUP($M842,DB_Loonkosten,2,0)="Nee")),IFERROR(VLOOKUP($M842,DB_Loonkosten,24,0),""),0),"Vast tarief",IF(LEFT(F842,8)="Bijdrage",VLOOKUP($F842,Tb_KostenTypen[],MATCH(Lijsten!$P$1,Tb_KostenTypen[#Headers],0),0),VLOOKUP($G842,Lijsten!L:P,MATCH(Lijsten!$P$1,Kop_Tarief_Vast,0),0))),""),"")</f>
        <v/>
      </c>
      <c r="P842" s="320" t="str" cm="1">
        <f t="array" ref="P842">_xlfn.IFNA(IF(INDEX(Tb_KostenOptiesDB[],MATCH($F842,Tb_KostenOptiesDB[KostenOptie],0),IFERROR(MATCH(Methode_Keuze,Tb_KostenOptiesDB[#Headers],0),2))=1,_xlfn.SWITCH($N842,"Uurtarief",IF(OR(AND(RIGHT($F842,3)="IKS",VLOOKUP($M842,DB_Loonkosten,2,0)="Ja"),AND(RIGHT($F842,3)&lt;&gt;"IKS",VLOOKUP($M842,DB_Loonkosten,2,0)="Nee")),IFERROR(VLOOKUP($M842,DB_Loonkosten,25,0),""),0),"Vast tarief",IF(LEFT(F842,8)="Bijdrage",VLOOKUP($F842,Tb_KostenTypen[],MATCH(Lijsten!$P$1,Tb_KostenTypen[#Headers],0),0),VLOOKUP($G842,Lijsten!L:P,MATCH(Lijsten!$P$1,Kop_Tarief_Vast,0),0))),""),"")</f>
        <v/>
      </c>
      <c r="Q842" s="359"/>
      <c r="R842" s="359"/>
      <c r="S842" s="321"/>
      <c r="T842" s="321"/>
      <c r="U842" s="373" t="str">
        <f t="shared" si="52"/>
        <v/>
      </c>
      <c r="V842" s="314" t="str">
        <f t="shared" si="53"/>
        <v/>
      </c>
      <c r="W842" s="314" t="str" cm="1">
        <f t="array" aca="1" ref="W842" ca="1">IFERROR(IF(AE842&lt;&gt;"ja",_xlfn.IFNA(_xlfn.IFS(AND(O842&lt;&gt;"",F842&lt;&gt;"",RIGHT($N842,6)="tarief",F842="Vergoeding"),SUM(O842)*FLOOR(SUM(Q842),0.0001),AND(O842&lt;&gt;"",F842&lt;&gt;"",RIGHT($N842,6)="tarief"),SUM(O842)*FLOOR(SUM(Q842),0.01),S842&gt;0,IF(F842&lt;&gt;"",FLOOR(SUM(S842),0.01),"")),""),""),"")</f>
        <v/>
      </c>
      <c r="X842" s="314" t="str" cm="1">
        <f t="array" aca="1" ref="X842" ca="1">IFERROR(IF(AE842&lt;&gt;"ja",_xlfn.IFNA(_xlfn.IFS(AND(P842&lt;&gt;"",R842&lt;&gt;"",RIGHT($N842,6)="tarief",F842="Vergoeding"),SUM(P842)*FLOOR(SUM(R842),0.0001),AND(P842&lt;&gt;"",R842&lt;&gt;"",RIGHT($N842,6)="tarief"),P842*FLOOR(R842,0.01),T842&gt;0,FLOOR(SUM(T842),0.01)),""),""),"")</f>
        <v/>
      </c>
      <c r="Y842" s="314" t="str">
        <f t="shared" ca="1" si="54"/>
        <v/>
      </c>
      <c r="Z842" s="314" t="str" cm="1">
        <f t="array" aca="1" ref="Z842" ca="1">IFERROR(_xlfn.IFS(OR(F842="",LEFT(Methode_Keuze,4)="Geen",Methode_Keuze=""),"",AND(W842&lt;&gt;"",F842&lt;&gt;"Arbeidskosten"),W842*VLOOKUP(F842,Tb_ProjectKosten[],MATCH(Tb_ProjectKosten[[#Headers],[Forfait_Percentage]],Tb_ProjectKosten[#Headers],0),0),AND(F842="Arbeidskosten",G842&lt;&gt;""),IFERROR(W842*VLOOKUP(G842,Tb_KostenTypen[],3,0)*VLOOKUP(F842,Tb_ProjectKosten[],MATCH(Tb_ProjectKosten[[#Headers],[Forfait_Percentage]],Tb_ProjectKosten[#Headers],0),0),""),W842 &lt;=0,0),"")</f>
        <v/>
      </c>
      <c r="AA842" s="314" t="str" cm="1">
        <f t="array" aca="1" ref="AA842" ca="1">IFERROR(_xlfn.IFS(OR(F842="",LEFT(Methode_Keuze,4)="Geen",Methode_Keuze=""),"",AND(X842&lt;&gt;"",F842&lt;&gt;"Arbeidskosten"),X842*VLOOKUP(F842,Tb_ProjectKosten[],MATCH(Tb_ProjectKosten[[#Headers],[Forfait_Percentage]],Tb_ProjectKosten[#Headers],0),0),AND(F842="Arbeidskosten",G842&lt;&gt;""),IFERROR(X842*VLOOKUP(G842,Tb_KostenTypen[],3,0)*VLOOKUP(F842,Tb_ProjectKosten[],MATCH(Tb_ProjectKosten[[#Headers],[Forfait_Percentage]],Tb_ProjectKosten[#Headers],0),0),""),X842 &lt;=0,0),"")</f>
        <v/>
      </c>
      <c r="AB842" s="314" t="str">
        <f t="shared" ca="1" si="55"/>
        <v/>
      </c>
      <c r="AC842" s="322"/>
      <c r="AD842" s="315"/>
      <c r="AE842" s="32" t="str" cm="1">
        <f t="array" ref="AE842">IFERROR(IF(INDEX(SubsidieTabel!$AD$1:$AG$12,MATCH($F842,SubsidieTabel!$AD$1:$AD$12,0),IFERROR(MATCH(Methode_Keuze,SubsidieTabel!$AD$1:$AG$1,0),2))&lt;&gt;1=TRUE,"ja",""),"")</f>
        <v/>
      </c>
    </row>
    <row r="843" spans="1:31" x14ac:dyDescent="0.25">
      <c r="A843" s="316"/>
      <c r="B843" s="317" t="str">
        <f>IF(A843&lt;&gt;"",_xlfn.MAXIFS($B$1:B842,$A$1:A842,A843)+1,"")</f>
        <v/>
      </c>
      <c r="C843" s="296"/>
      <c r="D843" s="296"/>
      <c r="E843" s="296"/>
      <c r="F843" s="296"/>
      <c r="G843" s="326"/>
      <c r="H843" s="324"/>
      <c r="I843" s="325"/>
      <c r="J843" s="325"/>
      <c r="K843" s="318"/>
      <c r="L843" s="318"/>
      <c r="M843" s="319" t="str">
        <f>IFERROR(VLOOKUP(H843,Lijsten!$H$1:$I$100,2,0),"")</f>
        <v/>
      </c>
      <c r="N843" s="319" t="str">
        <f ca="1">IFERROR(IF(VLOOKUP(F843,Kostentypen!$A$3:$E$21,3,0)=0,"",IF(OR(F843="Arbeidskosten",F843="Vergoeding"),VLOOKUP(G843,Tb_KostenTypen[],2,0),VLOOKUP(F843,Kostentypen!$A$3:$E$20,3,0))),"")</f>
        <v/>
      </c>
      <c r="O843" s="320" t="str" cm="1">
        <f t="array" ref="O843">_xlfn.IFNA(IF(INDEX(Tb_KostenOptiesDB[],MATCH($F843,Tb_KostenOptiesDB[KostenOptie],0),IFERROR(MATCH(Methode_Keuze,Tb_KostenOptiesDB[#Headers],0),2))=1,_xlfn.SWITCH($N843,"Uurtarief",IF(OR(AND(RIGHT($F843,3)="IKS",VLOOKUP($M843,DB_Loonkosten,2,0)="Ja"),AND(RIGHT($F843,3)&lt;&gt;"IKS",VLOOKUP($M843,DB_Loonkosten,2,0)="Nee")),IFERROR(VLOOKUP($M843,DB_Loonkosten,24,0),""),0),"Vast tarief",IF(LEFT(F843,8)="Bijdrage",VLOOKUP($F843,Tb_KostenTypen[],MATCH(Lijsten!$P$1,Tb_KostenTypen[#Headers],0),0),VLOOKUP($G843,Lijsten!L:P,MATCH(Lijsten!$P$1,Kop_Tarief_Vast,0),0))),""),"")</f>
        <v/>
      </c>
      <c r="P843" s="320" t="str" cm="1">
        <f t="array" ref="P843">_xlfn.IFNA(IF(INDEX(Tb_KostenOptiesDB[],MATCH($F843,Tb_KostenOptiesDB[KostenOptie],0),IFERROR(MATCH(Methode_Keuze,Tb_KostenOptiesDB[#Headers],0),2))=1,_xlfn.SWITCH($N843,"Uurtarief",IF(OR(AND(RIGHT($F843,3)="IKS",VLOOKUP($M843,DB_Loonkosten,2,0)="Ja"),AND(RIGHT($F843,3)&lt;&gt;"IKS",VLOOKUP($M843,DB_Loonkosten,2,0)="Nee")),IFERROR(VLOOKUP($M843,DB_Loonkosten,25,0),""),0),"Vast tarief",IF(LEFT(F843,8)="Bijdrage",VLOOKUP($F843,Tb_KostenTypen[],MATCH(Lijsten!$P$1,Tb_KostenTypen[#Headers],0),0),VLOOKUP($G843,Lijsten!L:P,MATCH(Lijsten!$P$1,Kop_Tarief_Vast,0),0))),""),"")</f>
        <v/>
      </c>
      <c r="Q843" s="359"/>
      <c r="R843" s="359"/>
      <c r="S843" s="321"/>
      <c r="T843" s="321"/>
      <c r="U843" s="373" t="str">
        <f t="shared" si="52"/>
        <v/>
      </c>
      <c r="V843" s="314" t="str">
        <f t="shared" si="53"/>
        <v/>
      </c>
      <c r="W843" s="314" t="str" cm="1">
        <f t="array" aca="1" ref="W843" ca="1">IFERROR(IF(AE843&lt;&gt;"ja",_xlfn.IFNA(_xlfn.IFS(AND(O843&lt;&gt;"",F843&lt;&gt;"",RIGHT($N843,6)="tarief",F843="Vergoeding"),SUM(O843)*FLOOR(SUM(Q843),0.0001),AND(O843&lt;&gt;"",F843&lt;&gt;"",RIGHT($N843,6)="tarief"),SUM(O843)*FLOOR(SUM(Q843),0.01),S843&gt;0,IF(F843&lt;&gt;"",FLOOR(SUM(S843),0.01),"")),""),""),"")</f>
        <v/>
      </c>
      <c r="X843" s="314" t="str" cm="1">
        <f t="array" aca="1" ref="X843" ca="1">IFERROR(IF(AE843&lt;&gt;"ja",_xlfn.IFNA(_xlfn.IFS(AND(P843&lt;&gt;"",R843&lt;&gt;"",RIGHT($N843,6)="tarief",F843="Vergoeding"),SUM(P843)*FLOOR(SUM(R843),0.0001),AND(P843&lt;&gt;"",R843&lt;&gt;"",RIGHT($N843,6)="tarief"),P843*FLOOR(R843,0.01),T843&gt;0,FLOOR(SUM(T843),0.01)),""),""),"")</f>
        <v/>
      </c>
      <c r="Y843" s="314" t="str">
        <f t="shared" ca="1" si="54"/>
        <v/>
      </c>
      <c r="Z843" s="314" t="str" cm="1">
        <f t="array" aca="1" ref="Z843" ca="1">IFERROR(_xlfn.IFS(OR(F843="",LEFT(Methode_Keuze,4)="Geen",Methode_Keuze=""),"",AND(W843&lt;&gt;"",F843&lt;&gt;"Arbeidskosten"),W843*VLOOKUP(F843,Tb_ProjectKosten[],MATCH(Tb_ProjectKosten[[#Headers],[Forfait_Percentage]],Tb_ProjectKosten[#Headers],0),0),AND(F843="Arbeidskosten",G843&lt;&gt;""),IFERROR(W843*VLOOKUP(G843,Tb_KostenTypen[],3,0)*VLOOKUP(F843,Tb_ProjectKosten[],MATCH(Tb_ProjectKosten[[#Headers],[Forfait_Percentage]],Tb_ProjectKosten[#Headers],0),0),""),W843 &lt;=0,0),"")</f>
        <v/>
      </c>
      <c r="AA843" s="314" t="str" cm="1">
        <f t="array" aca="1" ref="AA843" ca="1">IFERROR(_xlfn.IFS(OR(F843="",LEFT(Methode_Keuze,4)="Geen",Methode_Keuze=""),"",AND(X843&lt;&gt;"",F843&lt;&gt;"Arbeidskosten"),X843*VLOOKUP(F843,Tb_ProjectKosten[],MATCH(Tb_ProjectKosten[[#Headers],[Forfait_Percentage]],Tb_ProjectKosten[#Headers],0),0),AND(F843="Arbeidskosten",G843&lt;&gt;""),IFERROR(X843*VLOOKUP(G843,Tb_KostenTypen[],3,0)*VLOOKUP(F843,Tb_ProjectKosten[],MATCH(Tb_ProjectKosten[[#Headers],[Forfait_Percentage]],Tb_ProjectKosten[#Headers],0),0),""),X843 &lt;=0,0),"")</f>
        <v/>
      </c>
      <c r="AB843" s="314" t="str">
        <f t="shared" ca="1" si="55"/>
        <v/>
      </c>
      <c r="AC843" s="322"/>
      <c r="AD843" s="315"/>
      <c r="AE843" s="32" t="str" cm="1">
        <f t="array" ref="AE843">IFERROR(IF(INDEX(SubsidieTabel!$AD$1:$AG$12,MATCH($F843,SubsidieTabel!$AD$1:$AD$12,0),IFERROR(MATCH(Methode_Keuze,SubsidieTabel!$AD$1:$AG$1,0),2))&lt;&gt;1=TRUE,"ja",""),"")</f>
        <v/>
      </c>
    </row>
    <row r="844" spans="1:31" x14ac:dyDescent="0.25">
      <c r="A844" s="316"/>
      <c r="B844" s="317" t="str">
        <f>IF(A844&lt;&gt;"",_xlfn.MAXIFS($B$1:B843,$A$1:A843,A844)+1,"")</f>
        <v/>
      </c>
      <c r="C844" s="296"/>
      <c r="D844" s="296"/>
      <c r="E844" s="296"/>
      <c r="F844" s="296"/>
      <c r="G844" s="326"/>
      <c r="H844" s="324"/>
      <c r="I844" s="325"/>
      <c r="J844" s="325"/>
      <c r="K844" s="318"/>
      <c r="L844" s="318"/>
      <c r="M844" s="319" t="str">
        <f>IFERROR(VLOOKUP(H844,Lijsten!$H$1:$I$100,2,0),"")</f>
        <v/>
      </c>
      <c r="N844" s="319" t="str">
        <f ca="1">IFERROR(IF(VLOOKUP(F844,Kostentypen!$A$3:$E$21,3,0)=0,"",IF(OR(F844="Arbeidskosten",F844="Vergoeding"),VLOOKUP(G844,Tb_KostenTypen[],2,0),VLOOKUP(F844,Kostentypen!$A$3:$E$20,3,0))),"")</f>
        <v/>
      </c>
      <c r="O844" s="320" t="str" cm="1">
        <f t="array" ref="O844">_xlfn.IFNA(IF(INDEX(Tb_KostenOptiesDB[],MATCH($F844,Tb_KostenOptiesDB[KostenOptie],0),IFERROR(MATCH(Methode_Keuze,Tb_KostenOptiesDB[#Headers],0),2))=1,_xlfn.SWITCH($N844,"Uurtarief",IF(OR(AND(RIGHT($F844,3)="IKS",VLOOKUP($M844,DB_Loonkosten,2,0)="Ja"),AND(RIGHT($F844,3)&lt;&gt;"IKS",VLOOKUP($M844,DB_Loonkosten,2,0)="Nee")),IFERROR(VLOOKUP($M844,DB_Loonkosten,24,0),""),0),"Vast tarief",IF(LEFT(F844,8)="Bijdrage",VLOOKUP($F844,Tb_KostenTypen[],MATCH(Lijsten!$P$1,Tb_KostenTypen[#Headers],0),0),VLOOKUP($G844,Lijsten!L:P,MATCH(Lijsten!$P$1,Kop_Tarief_Vast,0),0))),""),"")</f>
        <v/>
      </c>
      <c r="P844" s="320" t="str" cm="1">
        <f t="array" ref="P844">_xlfn.IFNA(IF(INDEX(Tb_KostenOptiesDB[],MATCH($F844,Tb_KostenOptiesDB[KostenOptie],0),IFERROR(MATCH(Methode_Keuze,Tb_KostenOptiesDB[#Headers],0),2))=1,_xlfn.SWITCH($N844,"Uurtarief",IF(OR(AND(RIGHT($F844,3)="IKS",VLOOKUP($M844,DB_Loonkosten,2,0)="Ja"),AND(RIGHT($F844,3)&lt;&gt;"IKS",VLOOKUP($M844,DB_Loonkosten,2,0)="Nee")),IFERROR(VLOOKUP($M844,DB_Loonkosten,25,0),""),0),"Vast tarief",IF(LEFT(F844,8)="Bijdrage",VLOOKUP($F844,Tb_KostenTypen[],MATCH(Lijsten!$P$1,Tb_KostenTypen[#Headers],0),0),VLOOKUP($G844,Lijsten!L:P,MATCH(Lijsten!$P$1,Kop_Tarief_Vast,0),0))),""),"")</f>
        <v/>
      </c>
      <c r="Q844" s="359"/>
      <c r="R844" s="359"/>
      <c r="S844" s="321"/>
      <c r="T844" s="321"/>
      <c r="U844" s="373" t="str">
        <f t="shared" si="52"/>
        <v/>
      </c>
      <c r="V844" s="314" t="str">
        <f t="shared" si="53"/>
        <v/>
      </c>
      <c r="W844" s="314" t="str" cm="1">
        <f t="array" aca="1" ref="W844" ca="1">IFERROR(IF(AE844&lt;&gt;"ja",_xlfn.IFNA(_xlfn.IFS(AND(O844&lt;&gt;"",F844&lt;&gt;"",RIGHT($N844,6)="tarief",F844="Vergoeding"),SUM(O844)*FLOOR(SUM(Q844),0.0001),AND(O844&lt;&gt;"",F844&lt;&gt;"",RIGHT($N844,6)="tarief"),SUM(O844)*FLOOR(SUM(Q844),0.01),S844&gt;0,IF(F844&lt;&gt;"",FLOOR(SUM(S844),0.01),"")),""),""),"")</f>
        <v/>
      </c>
      <c r="X844" s="314" t="str" cm="1">
        <f t="array" aca="1" ref="X844" ca="1">IFERROR(IF(AE844&lt;&gt;"ja",_xlfn.IFNA(_xlfn.IFS(AND(P844&lt;&gt;"",R844&lt;&gt;"",RIGHT($N844,6)="tarief",F844="Vergoeding"),SUM(P844)*FLOOR(SUM(R844),0.0001),AND(P844&lt;&gt;"",R844&lt;&gt;"",RIGHT($N844,6)="tarief"),P844*FLOOR(R844,0.01),T844&gt;0,FLOOR(SUM(T844),0.01)),""),""),"")</f>
        <v/>
      </c>
      <c r="Y844" s="314" t="str">
        <f t="shared" ca="1" si="54"/>
        <v/>
      </c>
      <c r="Z844" s="314" t="str" cm="1">
        <f t="array" aca="1" ref="Z844" ca="1">IFERROR(_xlfn.IFS(OR(F844="",LEFT(Methode_Keuze,4)="Geen",Methode_Keuze=""),"",AND(W844&lt;&gt;"",F844&lt;&gt;"Arbeidskosten"),W844*VLOOKUP(F844,Tb_ProjectKosten[],MATCH(Tb_ProjectKosten[[#Headers],[Forfait_Percentage]],Tb_ProjectKosten[#Headers],0),0),AND(F844="Arbeidskosten",G844&lt;&gt;""),IFERROR(W844*VLOOKUP(G844,Tb_KostenTypen[],3,0)*VLOOKUP(F844,Tb_ProjectKosten[],MATCH(Tb_ProjectKosten[[#Headers],[Forfait_Percentage]],Tb_ProjectKosten[#Headers],0),0),""),W844 &lt;=0,0),"")</f>
        <v/>
      </c>
      <c r="AA844" s="314" t="str" cm="1">
        <f t="array" aca="1" ref="AA844" ca="1">IFERROR(_xlfn.IFS(OR(F844="",LEFT(Methode_Keuze,4)="Geen",Methode_Keuze=""),"",AND(X844&lt;&gt;"",F844&lt;&gt;"Arbeidskosten"),X844*VLOOKUP(F844,Tb_ProjectKosten[],MATCH(Tb_ProjectKosten[[#Headers],[Forfait_Percentage]],Tb_ProjectKosten[#Headers],0),0),AND(F844="Arbeidskosten",G844&lt;&gt;""),IFERROR(X844*VLOOKUP(G844,Tb_KostenTypen[],3,0)*VLOOKUP(F844,Tb_ProjectKosten[],MATCH(Tb_ProjectKosten[[#Headers],[Forfait_Percentage]],Tb_ProjectKosten[#Headers],0),0),""),X844 &lt;=0,0),"")</f>
        <v/>
      </c>
      <c r="AB844" s="314" t="str">
        <f t="shared" ca="1" si="55"/>
        <v/>
      </c>
      <c r="AC844" s="322"/>
      <c r="AD844" s="315"/>
      <c r="AE844" s="32" t="str" cm="1">
        <f t="array" ref="AE844">IFERROR(IF(INDEX(SubsidieTabel!$AD$1:$AG$12,MATCH($F844,SubsidieTabel!$AD$1:$AD$12,0),IFERROR(MATCH(Methode_Keuze,SubsidieTabel!$AD$1:$AG$1,0),2))&lt;&gt;1=TRUE,"ja",""),"")</f>
        <v/>
      </c>
    </row>
    <row r="845" spans="1:31" x14ac:dyDescent="0.25">
      <c r="A845" s="316"/>
      <c r="B845" s="317" t="str">
        <f>IF(A845&lt;&gt;"",_xlfn.MAXIFS($B$1:B844,$A$1:A844,A845)+1,"")</f>
        <v/>
      </c>
      <c r="C845" s="296"/>
      <c r="D845" s="296"/>
      <c r="E845" s="296"/>
      <c r="F845" s="296"/>
      <c r="G845" s="326"/>
      <c r="H845" s="324"/>
      <c r="I845" s="325"/>
      <c r="J845" s="325"/>
      <c r="K845" s="318"/>
      <c r="L845" s="318"/>
      <c r="M845" s="319" t="str">
        <f>IFERROR(VLOOKUP(H845,Lijsten!$H$1:$I$100,2,0),"")</f>
        <v/>
      </c>
      <c r="N845" s="319" t="str">
        <f ca="1">IFERROR(IF(VLOOKUP(F845,Kostentypen!$A$3:$E$21,3,0)=0,"",IF(OR(F845="Arbeidskosten",F845="Vergoeding"),VLOOKUP(G845,Tb_KostenTypen[],2,0),VLOOKUP(F845,Kostentypen!$A$3:$E$20,3,0))),"")</f>
        <v/>
      </c>
      <c r="O845" s="320" t="str" cm="1">
        <f t="array" ref="O845">_xlfn.IFNA(IF(INDEX(Tb_KostenOptiesDB[],MATCH($F845,Tb_KostenOptiesDB[KostenOptie],0),IFERROR(MATCH(Methode_Keuze,Tb_KostenOptiesDB[#Headers],0),2))=1,_xlfn.SWITCH($N845,"Uurtarief",IF(OR(AND(RIGHT($F845,3)="IKS",VLOOKUP($M845,DB_Loonkosten,2,0)="Ja"),AND(RIGHT($F845,3)&lt;&gt;"IKS",VLOOKUP($M845,DB_Loonkosten,2,0)="Nee")),IFERROR(VLOOKUP($M845,DB_Loonkosten,24,0),""),0),"Vast tarief",IF(LEFT(F845,8)="Bijdrage",VLOOKUP($F845,Tb_KostenTypen[],MATCH(Lijsten!$P$1,Tb_KostenTypen[#Headers],0),0),VLOOKUP($G845,Lijsten!L:P,MATCH(Lijsten!$P$1,Kop_Tarief_Vast,0),0))),""),"")</f>
        <v/>
      </c>
      <c r="P845" s="320" t="str" cm="1">
        <f t="array" ref="P845">_xlfn.IFNA(IF(INDEX(Tb_KostenOptiesDB[],MATCH($F845,Tb_KostenOptiesDB[KostenOptie],0),IFERROR(MATCH(Methode_Keuze,Tb_KostenOptiesDB[#Headers],0),2))=1,_xlfn.SWITCH($N845,"Uurtarief",IF(OR(AND(RIGHT($F845,3)="IKS",VLOOKUP($M845,DB_Loonkosten,2,0)="Ja"),AND(RIGHT($F845,3)&lt;&gt;"IKS",VLOOKUP($M845,DB_Loonkosten,2,0)="Nee")),IFERROR(VLOOKUP($M845,DB_Loonkosten,25,0),""),0),"Vast tarief",IF(LEFT(F845,8)="Bijdrage",VLOOKUP($F845,Tb_KostenTypen[],MATCH(Lijsten!$P$1,Tb_KostenTypen[#Headers],0),0),VLOOKUP($G845,Lijsten!L:P,MATCH(Lijsten!$P$1,Kop_Tarief_Vast,0),0))),""),"")</f>
        <v/>
      </c>
      <c r="Q845" s="359"/>
      <c r="R845" s="359"/>
      <c r="S845" s="321"/>
      <c r="T845" s="321"/>
      <c r="U845" s="373" t="str">
        <f t="shared" si="52"/>
        <v/>
      </c>
      <c r="V845" s="314" t="str">
        <f t="shared" si="53"/>
        <v/>
      </c>
      <c r="W845" s="314" t="str" cm="1">
        <f t="array" aca="1" ref="W845" ca="1">IFERROR(IF(AE845&lt;&gt;"ja",_xlfn.IFNA(_xlfn.IFS(AND(O845&lt;&gt;"",F845&lt;&gt;"",RIGHT($N845,6)="tarief",F845="Vergoeding"),SUM(O845)*FLOOR(SUM(Q845),0.0001),AND(O845&lt;&gt;"",F845&lt;&gt;"",RIGHT($N845,6)="tarief"),SUM(O845)*FLOOR(SUM(Q845),0.01),S845&gt;0,IF(F845&lt;&gt;"",FLOOR(SUM(S845),0.01),"")),""),""),"")</f>
        <v/>
      </c>
      <c r="X845" s="314" t="str" cm="1">
        <f t="array" aca="1" ref="X845" ca="1">IFERROR(IF(AE845&lt;&gt;"ja",_xlfn.IFNA(_xlfn.IFS(AND(P845&lt;&gt;"",R845&lt;&gt;"",RIGHT($N845,6)="tarief",F845="Vergoeding"),SUM(P845)*FLOOR(SUM(R845),0.0001),AND(P845&lt;&gt;"",R845&lt;&gt;"",RIGHT($N845,6)="tarief"),P845*FLOOR(R845,0.01),T845&gt;0,FLOOR(SUM(T845),0.01)),""),""),"")</f>
        <v/>
      </c>
      <c r="Y845" s="314" t="str">
        <f t="shared" ca="1" si="54"/>
        <v/>
      </c>
      <c r="Z845" s="314" t="str" cm="1">
        <f t="array" aca="1" ref="Z845" ca="1">IFERROR(_xlfn.IFS(OR(F845="",LEFT(Methode_Keuze,4)="Geen",Methode_Keuze=""),"",AND(W845&lt;&gt;"",F845&lt;&gt;"Arbeidskosten"),W845*VLOOKUP(F845,Tb_ProjectKosten[],MATCH(Tb_ProjectKosten[[#Headers],[Forfait_Percentage]],Tb_ProjectKosten[#Headers],0),0),AND(F845="Arbeidskosten",G845&lt;&gt;""),IFERROR(W845*VLOOKUP(G845,Tb_KostenTypen[],3,0)*VLOOKUP(F845,Tb_ProjectKosten[],MATCH(Tb_ProjectKosten[[#Headers],[Forfait_Percentage]],Tb_ProjectKosten[#Headers],0),0),""),W845 &lt;=0,0),"")</f>
        <v/>
      </c>
      <c r="AA845" s="314" t="str" cm="1">
        <f t="array" aca="1" ref="AA845" ca="1">IFERROR(_xlfn.IFS(OR(F845="",LEFT(Methode_Keuze,4)="Geen",Methode_Keuze=""),"",AND(X845&lt;&gt;"",F845&lt;&gt;"Arbeidskosten"),X845*VLOOKUP(F845,Tb_ProjectKosten[],MATCH(Tb_ProjectKosten[[#Headers],[Forfait_Percentage]],Tb_ProjectKosten[#Headers],0),0),AND(F845="Arbeidskosten",G845&lt;&gt;""),IFERROR(X845*VLOOKUP(G845,Tb_KostenTypen[],3,0)*VLOOKUP(F845,Tb_ProjectKosten[],MATCH(Tb_ProjectKosten[[#Headers],[Forfait_Percentage]],Tb_ProjectKosten[#Headers],0),0),""),X845 &lt;=0,0),"")</f>
        <v/>
      </c>
      <c r="AB845" s="314" t="str">
        <f t="shared" ca="1" si="55"/>
        <v/>
      </c>
      <c r="AC845" s="322"/>
      <c r="AD845" s="315"/>
      <c r="AE845" s="32" t="str" cm="1">
        <f t="array" ref="AE845">IFERROR(IF(INDEX(SubsidieTabel!$AD$1:$AG$12,MATCH($F845,SubsidieTabel!$AD$1:$AD$12,0),IFERROR(MATCH(Methode_Keuze,SubsidieTabel!$AD$1:$AG$1,0),2))&lt;&gt;1=TRUE,"ja",""),"")</f>
        <v/>
      </c>
    </row>
    <row r="846" spans="1:31" x14ac:dyDescent="0.25">
      <c r="A846" s="316"/>
      <c r="B846" s="317" t="str">
        <f>IF(A846&lt;&gt;"",_xlfn.MAXIFS($B$1:B845,$A$1:A845,A846)+1,"")</f>
        <v/>
      </c>
      <c r="C846" s="296"/>
      <c r="D846" s="296"/>
      <c r="E846" s="296"/>
      <c r="F846" s="296"/>
      <c r="G846" s="326"/>
      <c r="H846" s="324"/>
      <c r="I846" s="325"/>
      <c r="J846" s="325"/>
      <c r="K846" s="318"/>
      <c r="L846" s="318"/>
      <c r="M846" s="319" t="str">
        <f>IFERROR(VLOOKUP(H846,Lijsten!$H$1:$I$100,2,0),"")</f>
        <v/>
      </c>
      <c r="N846" s="319" t="str">
        <f ca="1">IFERROR(IF(VLOOKUP(F846,Kostentypen!$A$3:$E$21,3,0)=0,"",IF(OR(F846="Arbeidskosten",F846="Vergoeding"),VLOOKUP(G846,Tb_KostenTypen[],2,0),VLOOKUP(F846,Kostentypen!$A$3:$E$20,3,0))),"")</f>
        <v/>
      </c>
      <c r="O846" s="320" t="str" cm="1">
        <f t="array" ref="O846">_xlfn.IFNA(IF(INDEX(Tb_KostenOptiesDB[],MATCH($F846,Tb_KostenOptiesDB[KostenOptie],0),IFERROR(MATCH(Methode_Keuze,Tb_KostenOptiesDB[#Headers],0),2))=1,_xlfn.SWITCH($N846,"Uurtarief",IF(OR(AND(RIGHT($F846,3)="IKS",VLOOKUP($M846,DB_Loonkosten,2,0)="Ja"),AND(RIGHT($F846,3)&lt;&gt;"IKS",VLOOKUP($M846,DB_Loonkosten,2,0)="Nee")),IFERROR(VLOOKUP($M846,DB_Loonkosten,24,0),""),0),"Vast tarief",IF(LEFT(F846,8)="Bijdrage",VLOOKUP($F846,Tb_KostenTypen[],MATCH(Lijsten!$P$1,Tb_KostenTypen[#Headers],0),0),VLOOKUP($G846,Lijsten!L:P,MATCH(Lijsten!$P$1,Kop_Tarief_Vast,0),0))),""),"")</f>
        <v/>
      </c>
      <c r="P846" s="320" t="str" cm="1">
        <f t="array" ref="P846">_xlfn.IFNA(IF(INDEX(Tb_KostenOptiesDB[],MATCH($F846,Tb_KostenOptiesDB[KostenOptie],0),IFERROR(MATCH(Methode_Keuze,Tb_KostenOptiesDB[#Headers],0),2))=1,_xlfn.SWITCH($N846,"Uurtarief",IF(OR(AND(RIGHT($F846,3)="IKS",VLOOKUP($M846,DB_Loonkosten,2,0)="Ja"),AND(RIGHT($F846,3)&lt;&gt;"IKS",VLOOKUP($M846,DB_Loonkosten,2,0)="Nee")),IFERROR(VLOOKUP($M846,DB_Loonkosten,25,0),""),0),"Vast tarief",IF(LEFT(F846,8)="Bijdrage",VLOOKUP($F846,Tb_KostenTypen[],MATCH(Lijsten!$P$1,Tb_KostenTypen[#Headers],0),0),VLOOKUP($G846,Lijsten!L:P,MATCH(Lijsten!$P$1,Kop_Tarief_Vast,0),0))),""),"")</f>
        <v/>
      </c>
      <c r="Q846" s="359"/>
      <c r="R846" s="359"/>
      <c r="S846" s="321"/>
      <c r="T846" s="321"/>
      <c r="U846" s="373" t="str">
        <f t="shared" si="52"/>
        <v/>
      </c>
      <c r="V846" s="314" t="str">
        <f t="shared" si="53"/>
        <v/>
      </c>
      <c r="W846" s="314" t="str" cm="1">
        <f t="array" aca="1" ref="W846" ca="1">IFERROR(IF(AE846&lt;&gt;"ja",_xlfn.IFNA(_xlfn.IFS(AND(O846&lt;&gt;"",F846&lt;&gt;"",RIGHT($N846,6)="tarief",F846="Vergoeding"),SUM(O846)*FLOOR(SUM(Q846),0.0001),AND(O846&lt;&gt;"",F846&lt;&gt;"",RIGHT($N846,6)="tarief"),SUM(O846)*FLOOR(SUM(Q846),0.01),S846&gt;0,IF(F846&lt;&gt;"",FLOOR(SUM(S846),0.01),"")),""),""),"")</f>
        <v/>
      </c>
      <c r="X846" s="314" t="str" cm="1">
        <f t="array" aca="1" ref="X846" ca="1">IFERROR(IF(AE846&lt;&gt;"ja",_xlfn.IFNA(_xlfn.IFS(AND(P846&lt;&gt;"",R846&lt;&gt;"",RIGHT($N846,6)="tarief",F846="Vergoeding"),SUM(P846)*FLOOR(SUM(R846),0.0001),AND(P846&lt;&gt;"",R846&lt;&gt;"",RIGHT($N846,6)="tarief"),P846*FLOOR(R846,0.01),T846&gt;0,FLOOR(SUM(T846),0.01)),""),""),"")</f>
        <v/>
      </c>
      <c r="Y846" s="314" t="str">
        <f t="shared" ca="1" si="54"/>
        <v/>
      </c>
      <c r="Z846" s="314" t="str" cm="1">
        <f t="array" aca="1" ref="Z846" ca="1">IFERROR(_xlfn.IFS(OR(F846="",LEFT(Methode_Keuze,4)="Geen",Methode_Keuze=""),"",AND(W846&lt;&gt;"",F846&lt;&gt;"Arbeidskosten"),W846*VLOOKUP(F846,Tb_ProjectKosten[],MATCH(Tb_ProjectKosten[[#Headers],[Forfait_Percentage]],Tb_ProjectKosten[#Headers],0),0),AND(F846="Arbeidskosten",G846&lt;&gt;""),IFERROR(W846*VLOOKUP(G846,Tb_KostenTypen[],3,0)*VLOOKUP(F846,Tb_ProjectKosten[],MATCH(Tb_ProjectKosten[[#Headers],[Forfait_Percentage]],Tb_ProjectKosten[#Headers],0),0),""),W846 &lt;=0,0),"")</f>
        <v/>
      </c>
      <c r="AA846" s="314" t="str" cm="1">
        <f t="array" aca="1" ref="AA846" ca="1">IFERROR(_xlfn.IFS(OR(F846="",LEFT(Methode_Keuze,4)="Geen",Methode_Keuze=""),"",AND(X846&lt;&gt;"",F846&lt;&gt;"Arbeidskosten"),X846*VLOOKUP(F846,Tb_ProjectKosten[],MATCH(Tb_ProjectKosten[[#Headers],[Forfait_Percentage]],Tb_ProjectKosten[#Headers],0),0),AND(F846="Arbeidskosten",G846&lt;&gt;""),IFERROR(X846*VLOOKUP(G846,Tb_KostenTypen[],3,0)*VLOOKUP(F846,Tb_ProjectKosten[],MATCH(Tb_ProjectKosten[[#Headers],[Forfait_Percentage]],Tb_ProjectKosten[#Headers],0),0),""),X846 &lt;=0,0),"")</f>
        <v/>
      </c>
      <c r="AB846" s="314" t="str">
        <f t="shared" ca="1" si="55"/>
        <v/>
      </c>
      <c r="AC846" s="322"/>
      <c r="AD846" s="315"/>
      <c r="AE846" s="32" t="str" cm="1">
        <f t="array" ref="AE846">IFERROR(IF(INDEX(SubsidieTabel!$AD$1:$AG$12,MATCH($F846,SubsidieTabel!$AD$1:$AD$12,0),IFERROR(MATCH(Methode_Keuze,SubsidieTabel!$AD$1:$AG$1,0),2))&lt;&gt;1=TRUE,"ja",""),"")</f>
        <v/>
      </c>
    </row>
    <row r="847" spans="1:31" x14ac:dyDescent="0.25">
      <c r="A847" s="316"/>
      <c r="B847" s="317" t="str">
        <f>IF(A847&lt;&gt;"",_xlfn.MAXIFS($B$1:B846,$A$1:A846,A847)+1,"")</f>
        <v/>
      </c>
      <c r="C847" s="296"/>
      <c r="D847" s="296"/>
      <c r="E847" s="296"/>
      <c r="F847" s="296"/>
      <c r="G847" s="326"/>
      <c r="H847" s="324"/>
      <c r="I847" s="325"/>
      <c r="J847" s="325"/>
      <c r="K847" s="318"/>
      <c r="L847" s="318"/>
      <c r="M847" s="319" t="str">
        <f>IFERROR(VLOOKUP(H847,Lijsten!$H$1:$I$100,2,0),"")</f>
        <v/>
      </c>
      <c r="N847" s="319" t="str">
        <f ca="1">IFERROR(IF(VLOOKUP(F847,Kostentypen!$A$3:$E$21,3,0)=0,"",IF(OR(F847="Arbeidskosten",F847="Vergoeding"),VLOOKUP(G847,Tb_KostenTypen[],2,0),VLOOKUP(F847,Kostentypen!$A$3:$E$20,3,0))),"")</f>
        <v/>
      </c>
      <c r="O847" s="320" t="str" cm="1">
        <f t="array" ref="O847">_xlfn.IFNA(IF(INDEX(Tb_KostenOptiesDB[],MATCH($F847,Tb_KostenOptiesDB[KostenOptie],0),IFERROR(MATCH(Methode_Keuze,Tb_KostenOptiesDB[#Headers],0),2))=1,_xlfn.SWITCH($N847,"Uurtarief",IF(OR(AND(RIGHT($F847,3)="IKS",VLOOKUP($M847,DB_Loonkosten,2,0)="Ja"),AND(RIGHT($F847,3)&lt;&gt;"IKS",VLOOKUP($M847,DB_Loonkosten,2,0)="Nee")),IFERROR(VLOOKUP($M847,DB_Loonkosten,24,0),""),0),"Vast tarief",IF(LEFT(F847,8)="Bijdrage",VLOOKUP($F847,Tb_KostenTypen[],MATCH(Lijsten!$P$1,Tb_KostenTypen[#Headers],0),0),VLOOKUP($G847,Lijsten!L:P,MATCH(Lijsten!$P$1,Kop_Tarief_Vast,0),0))),""),"")</f>
        <v/>
      </c>
      <c r="P847" s="320" t="str" cm="1">
        <f t="array" ref="P847">_xlfn.IFNA(IF(INDEX(Tb_KostenOptiesDB[],MATCH($F847,Tb_KostenOptiesDB[KostenOptie],0),IFERROR(MATCH(Methode_Keuze,Tb_KostenOptiesDB[#Headers],0),2))=1,_xlfn.SWITCH($N847,"Uurtarief",IF(OR(AND(RIGHT($F847,3)="IKS",VLOOKUP($M847,DB_Loonkosten,2,0)="Ja"),AND(RIGHT($F847,3)&lt;&gt;"IKS",VLOOKUP($M847,DB_Loonkosten,2,0)="Nee")),IFERROR(VLOOKUP($M847,DB_Loonkosten,25,0),""),0),"Vast tarief",IF(LEFT(F847,8)="Bijdrage",VLOOKUP($F847,Tb_KostenTypen[],MATCH(Lijsten!$P$1,Tb_KostenTypen[#Headers],0),0),VLOOKUP($G847,Lijsten!L:P,MATCH(Lijsten!$P$1,Kop_Tarief_Vast,0),0))),""),"")</f>
        <v/>
      </c>
      <c r="Q847" s="359"/>
      <c r="R847" s="359"/>
      <c r="S847" s="321"/>
      <c r="T847" s="321"/>
      <c r="U847" s="373" t="str">
        <f t="shared" si="52"/>
        <v/>
      </c>
      <c r="V847" s="314" t="str">
        <f t="shared" si="53"/>
        <v/>
      </c>
      <c r="W847" s="314" t="str" cm="1">
        <f t="array" aca="1" ref="W847" ca="1">IFERROR(IF(AE847&lt;&gt;"ja",_xlfn.IFNA(_xlfn.IFS(AND(O847&lt;&gt;"",F847&lt;&gt;"",RIGHT($N847,6)="tarief",F847="Vergoeding"),SUM(O847)*FLOOR(SUM(Q847),0.0001),AND(O847&lt;&gt;"",F847&lt;&gt;"",RIGHT($N847,6)="tarief"),SUM(O847)*FLOOR(SUM(Q847),0.01),S847&gt;0,IF(F847&lt;&gt;"",FLOOR(SUM(S847),0.01),"")),""),""),"")</f>
        <v/>
      </c>
      <c r="X847" s="314" t="str" cm="1">
        <f t="array" aca="1" ref="X847" ca="1">IFERROR(IF(AE847&lt;&gt;"ja",_xlfn.IFNA(_xlfn.IFS(AND(P847&lt;&gt;"",R847&lt;&gt;"",RIGHT($N847,6)="tarief",F847="Vergoeding"),SUM(P847)*FLOOR(SUM(R847),0.0001),AND(P847&lt;&gt;"",R847&lt;&gt;"",RIGHT($N847,6)="tarief"),P847*FLOOR(R847,0.01),T847&gt;0,FLOOR(SUM(T847),0.01)),""),""),"")</f>
        <v/>
      </c>
      <c r="Y847" s="314" t="str">
        <f t="shared" ca="1" si="54"/>
        <v/>
      </c>
      <c r="Z847" s="314" t="str" cm="1">
        <f t="array" aca="1" ref="Z847" ca="1">IFERROR(_xlfn.IFS(OR(F847="",LEFT(Methode_Keuze,4)="Geen",Methode_Keuze=""),"",AND(W847&lt;&gt;"",F847&lt;&gt;"Arbeidskosten"),W847*VLOOKUP(F847,Tb_ProjectKosten[],MATCH(Tb_ProjectKosten[[#Headers],[Forfait_Percentage]],Tb_ProjectKosten[#Headers],0),0),AND(F847="Arbeidskosten",G847&lt;&gt;""),IFERROR(W847*VLOOKUP(G847,Tb_KostenTypen[],3,0)*VLOOKUP(F847,Tb_ProjectKosten[],MATCH(Tb_ProjectKosten[[#Headers],[Forfait_Percentage]],Tb_ProjectKosten[#Headers],0),0),""),W847 &lt;=0,0),"")</f>
        <v/>
      </c>
      <c r="AA847" s="314" t="str" cm="1">
        <f t="array" aca="1" ref="AA847" ca="1">IFERROR(_xlfn.IFS(OR(F847="",LEFT(Methode_Keuze,4)="Geen",Methode_Keuze=""),"",AND(X847&lt;&gt;"",F847&lt;&gt;"Arbeidskosten"),X847*VLOOKUP(F847,Tb_ProjectKosten[],MATCH(Tb_ProjectKosten[[#Headers],[Forfait_Percentage]],Tb_ProjectKosten[#Headers],0),0),AND(F847="Arbeidskosten",G847&lt;&gt;""),IFERROR(X847*VLOOKUP(G847,Tb_KostenTypen[],3,0)*VLOOKUP(F847,Tb_ProjectKosten[],MATCH(Tb_ProjectKosten[[#Headers],[Forfait_Percentage]],Tb_ProjectKosten[#Headers],0),0),""),X847 &lt;=0,0),"")</f>
        <v/>
      </c>
      <c r="AB847" s="314" t="str">
        <f t="shared" ca="1" si="55"/>
        <v/>
      </c>
      <c r="AC847" s="322"/>
      <c r="AD847" s="315"/>
      <c r="AE847" s="32" t="str" cm="1">
        <f t="array" ref="AE847">IFERROR(IF(INDEX(SubsidieTabel!$AD$1:$AG$12,MATCH($F847,SubsidieTabel!$AD$1:$AD$12,0),IFERROR(MATCH(Methode_Keuze,SubsidieTabel!$AD$1:$AG$1,0),2))&lt;&gt;1=TRUE,"ja",""),"")</f>
        <v/>
      </c>
    </row>
    <row r="848" spans="1:31" x14ac:dyDescent="0.25">
      <c r="A848" s="316"/>
      <c r="B848" s="317" t="str">
        <f>IF(A848&lt;&gt;"",_xlfn.MAXIFS($B$1:B847,$A$1:A847,A848)+1,"")</f>
        <v/>
      </c>
      <c r="C848" s="296"/>
      <c r="D848" s="296"/>
      <c r="E848" s="296"/>
      <c r="F848" s="296"/>
      <c r="G848" s="326"/>
      <c r="H848" s="324"/>
      <c r="I848" s="325"/>
      <c r="J848" s="325"/>
      <c r="K848" s="318"/>
      <c r="L848" s="318"/>
      <c r="M848" s="319" t="str">
        <f>IFERROR(VLOOKUP(H848,Lijsten!$H$1:$I$100,2,0),"")</f>
        <v/>
      </c>
      <c r="N848" s="319" t="str">
        <f ca="1">IFERROR(IF(VLOOKUP(F848,Kostentypen!$A$3:$E$21,3,0)=0,"",IF(OR(F848="Arbeidskosten",F848="Vergoeding"),VLOOKUP(G848,Tb_KostenTypen[],2,0),VLOOKUP(F848,Kostentypen!$A$3:$E$20,3,0))),"")</f>
        <v/>
      </c>
      <c r="O848" s="320" t="str" cm="1">
        <f t="array" ref="O848">_xlfn.IFNA(IF(INDEX(Tb_KostenOptiesDB[],MATCH($F848,Tb_KostenOptiesDB[KostenOptie],0),IFERROR(MATCH(Methode_Keuze,Tb_KostenOptiesDB[#Headers],0),2))=1,_xlfn.SWITCH($N848,"Uurtarief",IF(OR(AND(RIGHT($F848,3)="IKS",VLOOKUP($M848,DB_Loonkosten,2,0)="Ja"),AND(RIGHT($F848,3)&lt;&gt;"IKS",VLOOKUP($M848,DB_Loonkosten,2,0)="Nee")),IFERROR(VLOOKUP($M848,DB_Loonkosten,24,0),""),0),"Vast tarief",IF(LEFT(F848,8)="Bijdrage",VLOOKUP($F848,Tb_KostenTypen[],MATCH(Lijsten!$P$1,Tb_KostenTypen[#Headers],0),0),VLOOKUP($G848,Lijsten!L:P,MATCH(Lijsten!$P$1,Kop_Tarief_Vast,0),0))),""),"")</f>
        <v/>
      </c>
      <c r="P848" s="320" t="str" cm="1">
        <f t="array" ref="P848">_xlfn.IFNA(IF(INDEX(Tb_KostenOptiesDB[],MATCH($F848,Tb_KostenOptiesDB[KostenOptie],0),IFERROR(MATCH(Methode_Keuze,Tb_KostenOptiesDB[#Headers],0),2))=1,_xlfn.SWITCH($N848,"Uurtarief",IF(OR(AND(RIGHT($F848,3)="IKS",VLOOKUP($M848,DB_Loonkosten,2,0)="Ja"),AND(RIGHT($F848,3)&lt;&gt;"IKS",VLOOKUP($M848,DB_Loonkosten,2,0)="Nee")),IFERROR(VLOOKUP($M848,DB_Loonkosten,25,0),""),0),"Vast tarief",IF(LEFT(F848,8)="Bijdrage",VLOOKUP($F848,Tb_KostenTypen[],MATCH(Lijsten!$P$1,Tb_KostenTypen[#Headers],0),0),VLOOKUP($G848,Lijsten!L:P,MATCH(Lijsten!$P$1,Kop_Tarief_Vast,0),0))),""),"")</f>
        <v/>
      </c>
      <c r="Q848" s="359"/>
      <c r="R848" s="359"/>
      <c r="S848" s="321"/>
      <c r="T848" s="321"/>
      <c r="U848" s="373" t="str">
        <f t="shared" si="52"/>
        <v/>
      </c>
      <c r="V848" s="314" t="str">
        <f t="shared" si="53"/>
        <v/>
      </c>
      <c r="W848" s="314" t="str" cm="1">
        <f t="array" aca="1" ref="W848" ca="1">IFERROR(IF(AE848&lt;&gt;"ja",_xlfn.IFNA(_xlfn.IFS(AND(O848&lt;&gt;"",F848&lt;&gt;"",RIGHT($N848,6)="tarief",F848="Vergoeding"),SUM(O848)*FLOOR(SUM(Q848),0.0001),AND(O848&lt;&gt;"",F848&lt;&gt;"",RIGHT($N848,6)="tarief"),SUM(O848)*FLOOR(SUM(Q848),0.01),S848&gt;0,IF(F848&lt;&gt;"",FLOOR(SUM(S848),0.01),"")),""),""),"")</f>
        <v/>
      </c>
      <c r="X848" s="314" t="str" cm="1">
        <f t="array" aca="1" ref="X848" ca="1">IFERROR(IF(AE848&lt;&gt;"ja",_xlfn.IFNA(_xlfn.IFS(AND(P848&lt;&gt;"",R848&lt;&gt;"",RIGHT($N848,6)="tarief",F848="Vergoeding"),SUM(P848)*FLOOR(SUM(R848),0.0001),AND(P848&lt;&gt;"",R848&lt;&gt;"",RIGHT($N848,6)="tarief"),P848*FLOOR(R848,0.01),T848&gt;0,FLOOR(SUM(T848),0.01)),""),""),"")</f>
        <v/>
      </c>
      <c r="Y848" s="314" t="str">
        <f t="shared" ca="1" si="54"/>
        <v/>
      </c>
      <c r="Z848" s="314" t="str" cm="1">
        <f t="array" aca="1" ref="Z848" ca="1">IFERROR(_xlfn.IFS(OR(F848="",LEFT(Methode_Keuze,4)="Geen",Methode_Keuze=""),"",AND(W848&lt;&gt;"",F848&lt;&gt;"Arbeidskosten"),W848*VLOOKUP(F848,Tb_ProjectKosten[],MATCH(Tb_ProjectKosten[[#Headers],[Forfait_Percentage]],Tb_ProjectKosten[#Headers],0),0),AND(F848="Arbeidskosten",G848&lt;&gt;""),IFERROR(W848*VLOOKUP(G848,Tb_KostenTypen[],3,0)*VLOOKUP(F848,Tb_ProjectKosten[],MATCH(Tb_ProjectKosten[[#Headers],[Forfait_Percentage]],Tb_ProjectKosten[#Headers],0),0),""),W848 &lt;=0,0),"")</f>
        <v/>
      </c>
      <c r="AA848" s="314" t="str" cm="1">
        <f t="array" aca="1" ref="AA848" ca="1">IFERROR(_xlfn.IFS(OR(F848="",LEFT(Methode_Keuze,4)="Geen",Methode_Keuze=""),"",AND(X848&lt;&gt;"",F848&lt;&gt;"Arbeidskosten"),X848*VLOOKUP(F848,Tb_ProjectKosten[],MATCH(Tb_ProjectKosten[[#Headers],[Forfait_Percentage]],Tb_ProjectKosten[#Headers],0),0),AND(F848="Arbeidskosten",G848&lt;&gt;""),IFERROR(X848*VLOOKUP(G848,Tb_KostenTypen[],3,0)*VLOOKUP(F848,Tb_ProjectKosten[],MATCH(Tb_ProjectKosten[[#Headers],[Forfait_Percentage]],Tb_ProjectKosten[#Headers],0),0),""),X848 &lt;=0,0),"")</f>
        <v/>
      </c>
      <c r="AB848" s="314" t="str">
        <f t="shared" ca="1" si="55"/>
        <v/>
      </c>
      <c r="AC848" s="322"/>
      <c r="AD848" s="315"/>
      <c r="AE848" s="32" t="str" cm="1">
        <f t="array" ref="AE848">IFERROR(IF(INDEX(SubsidieTabel!$AD$1:$AG$12,MATCH($F848,SubsidieTabel!$AD$1:$AD$12,0),IFERROR(MATCH(Methode_Keuze,SubsidieTabel!$AD$1:$AG$1,0),2))&lt;&gt;1=TRUE,"ja",""),"")</f>
        <v/>
      </c>
    </row>
    <row r="849" spans="1:31" x14ac:dyDescent="0.25">
      <c r="A849" s="316"/>
      <c r="B849" s="317" t="str">
        <f>IF(A849&lt;&gt;"",_xlfn.MAXIFS($B$1:B848,$A$1:A848,A849)+1,"")</f>
        <v/>
      </c>
      <c r="C849" s="296"/>
      <c r="D849" s="296"/>
      <c r="E849" s="296"/>
      <c r="F849" s="296"/>
      <c r="G849" s="326"/>
      <c r="H849" s="324"/>
      <c r="I849" s="325"/>
      <c r="J849" s="325"/>
      <c r="K849" s="318"/>
      <c r="L849" s="318"/>
      <c r="M849" s="319" t="str">
        <f>IFERROR(VLOOKUP(H849,Lijsten!$H$1:$I$100,2,0),"")</f>
        <v/>
      </c>
      <c r="N849" s="319" t="str">
        <f ca="1">IFERROR(IF(VLOOKUP(F849,Kostentypen!$A$3:$E$21,3,0)=0,"",IF(OR(F849="Arbeidskosten",F849="Vergoeding"),VLOOKUP(G849,Tb_KostenTypen[],2,0),VLOOKUP(F849,Kostentypen!$A$3:$E$20,3,0))),"")</f>
        <v/>
      </c>
      <c r="O849" s="320" t="str" cm="1">
        <f t="array" ref="O849">_xlfn.IFNA(IF(INDEX(Tb_KostenOptiesDB[],MATCH($F849,Tb_KostenOptiesDB[KostenOptie],0),IFERROR(MATCH(Methode_Keuze,Tb_KostenOptiesDB[#Headers],0),2))=1,_xlfn.SWITCH($N849,"Uurtarief",IF(OR(AND(RIGHT($F849,3)="IKS",VLOOKUP($M849,DB_Loonkosten,2,0)="Ja"),AND(RIGHT($F849,3)&lt;&gt;"IKS",VLOOKUP($M849,DB_Loonkosten,2,0)="Nee")),IFERROR(VLOOKUP($M849,DB_Loonkosten,24,0),""),0),"Vast tarief",IF(LEFT(F849,8)="Bijdrage",VLOOKUP($F849,Tb_KostenTypen[],MATCH(Lijsten!$P$1,Tb_KostenTypen[#Headers],0),0),VLOOKUP($G849,Lijsten!L:P,MATCH(Lijsten!$P$1,Kop_Tarief_Vast,0),0))),""),"")</f>
        <v/>
      </c>
      <c r="P849" s="320" t="str" cm="1">
        <f t="array" ref="P849">_xlfn.IFNA(IF(INDEX(Tb_KostenOptiesDB[],MATCH($F849,Tb_KostenOptiesDB[KostenOptie],0),IFERROR(MATCH(Methode_Keuze,Tb_KostenOptiesDB[#Headers],0),2))=1,_xlfn.SWITCH($N849,"Uurtarief",IF(OR(AND(RIGHT($F849,3)="IKS",VLOOKUP($M849,DB_Loonkosten,2,0)="Ja"),AND(RIGHT($F849,3)&lt;&gt;"IKS",VLOOKUP($M849,DB_Loonkosten,2,0)="Nee")),IFERROR(VLOOKUP($M849,DB_Loonkosten,25,0),""),0),"Vast tarief",IF(LEFT(F849,8)="Bijdrage",VLOOKUP($F849,Tb_KostenTypen[],MATCH(Lijsten!$P$1,Tb_KostenTypen[#Headers],0),0),VLOOKUP($G849,Lijsten!L:P,MATCH(Lijsten!$P$1,Kop_Tarief_Vast,0),0))),""),"")</f>
        <v/>
      </c>
      <c r="Q849" s="359"/>
      <c r="R849" s="359"/>
      <c r="S849" s="321"/>
      <c r="T849" s="321"/>
      <c r="U849" s="373" t="str">
        <f t="shared" si="52"/>
        <v/>
      </c>
      <c r="V849" s="314" t="str">
        <f t="shared" si="53"/>
        <v/>
      </c>
      <c r="W849" s="314" t="str" cm="1">
        <f t="array" aca="1" ref="W849" ca="1">IFERROR(IF(AE849&lt;&gt;"ja",_xlfn.IFNA(_xlfn.IFS(AND(O849&lt;&gt;"",F849&lt;&gt;"",RIGHT($N849,6)="tarief",F849="Vergoeding"),SUM(O849)*FLOOR(SUM(Q849),0.0001),AND(O849&lt;&gt;"",F849&lt;&gt;"",RIGHT($N849,6)="tarief"),SUM(O849)*FLOOR(SUM(Q849),0.01),S849&gt;0,IF(F849&lt;&gt;"",FLOOR(SUM(S849),0.01),"")),""),""),"")</f>
        <v/>
      </c>
      <c r="X849" s="314" t="str" cm="1">
        <f t="array" aca="1" ref="X849" ca="1">IFERROR(IF(AE849&lt;&gt;"ja",_xlfn.IFNA(_xlfn.IFS(AND(P849&lt;&gt;"",R849&lt;&gt;"",RIGHT($N849,6)="tarief",F849="Vergoeding"),SUM(P849)*FLOOR(SUM(R849),0.0001),AND(P849&lt;&gt;"",R849&lt;&gt;"",RIGHT($N849,6)="tarief"),P849*FLOOR(R849,0.01),T849&gt;0,FLOOR(SUM(T849),0.01)),""),""),"")</f>
        <v/>
      </c>
      <c r="Y849" s="314" t="str">
        <f t="shared" ca="1" si="54"/>
        <v/>
      </c>
      <c r="Z849" s="314" t="str" cm="1">
        <f t="array" aca="1" ref="Z849" ca="1">IFERROR(_xlfn.IFS(OR(F849="",LEFT(Methode_Keuze,4)="Geen",Methode_Keuze=""),"",AND(W849&lt;&gt;"",F849&lt;&gt;"Arbeidskosten"),W849*VLOOKUP(F849,Tb_ProjectKosten[],MATCH(Tb_ProjectKosten[[#Headers],[Forfait_Percentage]],Tb_ProjectKosten[#Headers],0),0),AND(F849="Arbeidskosten",G849&lt;&gt;""),IFERROR(W849*VLOOKUP(G849,Tb_KostenTypen[],3,0)*VLOOKUP(F849,Tb_ProjectKosten[],MATCH(Tb_ProjectKosten[[#Headers],[Forfait_Percentage]],Tb_ProjectKosten[#Headers],0),0),""),W849 &lt;=0,0),"")</f>
        <v/>
      </c>
      <c r="AA849" s="314" t="str" cm="1">
        <f t="array" aca="1" ref="AA849" ca="1">IFERROR(_xlfn.IFS(OR(F849="",LEFT(Methode_Keuze,4)="Geen",Methode_Keuze=""),"",AND(X849&lt;&gt;"",F849&lt;&gt;"Arbeidskosten"),X849*VLOOKUP(F849,Tb_ProjectKosten[],MATCH(Tb_ProjectKosten[[#Headers],[Forfait_Percentage]],Tb_ProjectKosten[#Headers],0),0),AND(F849="Arbeidskosten",G849&lt;&gt;""),IFERROR(X849*VLOOKUP(G849,Tb_KostenTypen[],3,0)*VLOOKUP(F849,Tb_ProjectKosten[],MATCH(Tb_ProjectKosten[[#Headers],[Forfait_Percentage]],Tb_ProjectKosten[#Headers],0),0),""),X849 &lt;=0,0),"")</f>
        <v/>
      </c>
      <c r="AB849" s="314" t="str">
        <f t="shared" ca="1" si="55"/>
        <v/>
      </c>
      <c r="AC849" s="322"/>
      <c r="AD849" s="315"/>
      <c r="AE849" s="32" t="str" cm="1">
        <f t="array" ref="AE849">IFERROR(IF(INDEX(SubsidieTabel!$AD$1:$AG$12,MATCH($F849,SubsidieTabel!$AD$1:$AD$12,0),IFERROR(MATCH(Methode_Keuze,SubsidieTabel!$AD$1:$AG$1,0),2))&lt;&gt;1=TRUE,"ja",""),"")</f>
        <v/>
      </c>
    </row>
    <row r="850" spans="1:31" x14ac:dyDescent="0.25">
      <c r="A850" s="316"/>
      <c r="B850" s="317" t="str">
        <f>IF(A850&lt;&gt;"",_xlfn.MAXIFS($B$1:B849,$A$1:A849,A850)+1,"")</f>
        <v/>
      </c>
      <c r="C850" s="296"/>
      <c r="D850" s="296"/>
      <c r="E850" s="296"/>
      <c r="F850" s="296"/>
      <c r="G850" s="326"/>
      <c r="H850" s="324"/>
      <c r="I850" s="325"/>
      <c r="J850" s="325"/>
      <c r="K850" s="318"/>
      <c r="L850" s="318"/>
      <c r="M850" s="319" t="str">
        <f>IFERROR(VLOOKUP(H850,Lijsten!$H$1:$I$100,2,0),"")</f>
        <v/>
      </c>
      <c r="N850" s="319" t="str">
        <f ca="1">IFERROR(IF(VLOOKUP(F850,Kostentypen!$A$3:$E$21,3,0)=0,"",IF(OR(F850="Arbeidskosten",F850="Vergoeding"),VLOOKUP(G850,Tb_KostenTypen[],2,0),VLOOKUP(F850,Kostentypen!$A$3:$E$20,3,0))),"")</f>
        <v/>
      </c>
      <c r="O850" s="320" t="str" cm="1">
        <f t="array" ref="O850">_xlfn.IFNA(IF(INDEX(Tb_KostenOptiesDB[],MATCH($F850,Tb_KostenOptiesDB[KostenOptie],0),IFERROR(MATCH(Methode_Keuze,Tb_KostenOptiesDB[#Headers],0),2))=1,_xlfn.SWITCH($N850,"Uurtarief",IF(OR(AND(RIGHT($F850,3)="IKS",VLOOKUP($M850,DB_Loonkosten,2,0)="Ja"),AND(RIGHT($F850,3)&lt;&gt;"IKS",VLOOKUP($M850,DB_Loonkosten,2,0)="Nee")),IFERROR(VLOOKUP($M850,DB_Loonkosten,24,0),""),0),"Vast tarief",IF(LEFT(F850,8)="Bijdrage",VLOOKUP($F850,Tb_KostenTypen[],MATCH(Lijsten!$P$1,Tb_KostenTypen[#Headers],0),0),VLOOKUP($G850,Lijsten!L:P,MATCH(Lijsten!$P$1,Kop_Tarief_Vast,0),0))),""),"")</f>
        <v/>
      </c>
      <c r="P850" s="320" t="str" cm="1">
        <f t="array" ref="P850">_xlfn.IFNA(IF(INDEX(Tb_KostenOptiesDB[],MATCH($F850,Tb_KostenOptiesDB[KostenOptie],0),IFERROR(MATCH(Methode_Keuze,Tb_KostenOptiesDB[#Headers],0),2))=1,_xlfn.SWITCH($N850,"Uurtarief",IF(OR(AND(RIGHT($F850,3)="IKS",VLOOKUP($M850,DB_Loonkosten,2,0)="Ja"),AND(RIGHT($F850,3)&lt;&gt;"IKS",VLOOKUP($M850,DB_Loonkosten,2,0)="Nee")),IFERROR(VLOOKUP($M850,DB_Loonkosten,25,0),""),0),"Vast tarief",IF(LEFT(F850,8)="Bijdrage",VLOOKUP($F850,Tb_KostenTypen[],MATCH(Lijsten!$P$1,Tb_KostenTypen[#Headers],0),0),VLOOKUP($G850,Lijsten!L:P,MATCH(Lijsten!$P$1,Kop_Tarief_Vast,0),0))),""),"")</f>
        <v/>
      </c>
      <c r="Q850" s="359"/>
      <c r="R850" s="359"/>
      <c r="S850" s="321"/>
      <c r="T850" s="321"/>
      <c r="U850" s="373" t="str">
        <f t="shared" si="52"/>
        <v/>
      </c>
      <c r="V850" s="314" t="str">
        <f t="shared" si="53"/>
        <v/>
      </c>
      <c r="W850" s="314" t="str" cm="1">
        <f t="array" aca="1" ref="W850" ca="1">IFERROR(IF(AE850&lt;&gt;"ja",_xlfn.IFNA(_xlfn.IFS(AND(O850&lt;&gt;"",F850&lt;&gt;"",RIGHT($N850,6)="tarief",F850="Vergoeding"),SUM(O850)*FLOOR(SUM(Q850),0.0001),AND(O850&lt;&gt;"",F850&lt;&gt;"",RIGHT($N850,6)="tarief"),SUM(O850)*FLOOR(SUM(Q850),0.01),S850&gt;0,IF(F850&lt;&gt;"",FLOOR(SUM(S850),0.01),"")),""),""),"")</f>
        <v/>
      </c>
      <c r="X850" s="314" t="str" cm="1">
        <f t="array" aca="1" ref="X850" ca="1">IFERROR(IF(AE850&lt;&gt;"ja",_xlfn.IFNA(_xlfn.IFS(AND(P850&lt;&gt;"",R850&lt;&gt;"",RIGHT($N850,6)="tarief",F850="Vergoeding"),SUM(P850)*FLOOR(SUM(R850),0.0001),AND(P850&lt;&gt;"",R850&lt;&gt;"",RIGHT($N850,6)="tarief"),P850*FLOOR(R850,0.01),T850&gt;0,FLOOR(SUM(T850),0.01)),""),""),"")</f>
        <v/>
      </c>
      <c r="Y850" s="314" t="str">
        <f t="shared" ca="1" si="54"/>
        <v/>
      </c>
      <c r="Z850" s="314" t="str" cm="1">
        <f t="array" aca="1" ref="Z850" ca="1">IFERROR(_xlfn.IFS(OR(F850="",LEFT(Methode_Keuze,4)="Geen",Methode_Keuze=""),"",AND(W850&lt;&gt;"",F850&lt;&gt;"Arbeidskosten"),W850*VLOOKUP(F850,Tb_ProjectKosten[],MATCH(Tb_ProjectKosten[[#Headers],[Forfait_Percentage]],Tb_ProjectKosten[#Headers],0),0),AND(F850="Arbeidskosten",G850&lt;&gt;""),IFERROR(W850*VLOOKUP(G850,Tb_KostenTypen[],3,0)*VLOOKUP(F850,Tb_ProjectKosten[],MATCH(Tb_ProjectKosten[[#Headers],[Forfait_Percentage]],Tb_ProjectKosten[#Headers],0),0),""),W850 &lt;=0,0),"")</f>
        <v/>
      </c>
      <c r="AA850" s="314" t="str" cm="1">
        <f t="array" aca="1" ref="AA850" ca="1">IFERROR(_xlfn.IFS(OR(F850="",LEFT(Methode_Keuze,4)="Geen",Methode_Keuze=""),"",AND(X850&lt;&gt;"",F850&lt;&gt;"Arbeidskosten"),X850*VLOOKUP(F850,Tb_ProjectKosten[],MATCH(Tb_ProjectKosten[[#Headers],[Forfait_Percentage]],Tb_ProjectKosten[#Headers],0),0),AND(F850="Arbeidskosten",G850&lt;&gt;""),IFERROR(X850*VLOOKUP(G850,Tb_KostenTypen[],3,0)*VLOOKUP(F850,Tb_ProjectKosten[],MATCH(Tb_ProjectKosten[[#Headers],[Forfait_Percentage]],Tb_ProjectKosten[#Headers],0),0),""),X850 &lt;=0,0),"")</f>
        <v/>
      </c>
      <c r="AB850" s="314" t="str">
        <f t="shared" ca="1" si="55"/>
        <v/>
      </c>
      <c r="AC850" s="322"/>
      <c r="AD850" s="315"/>
      <c r="AE850" s="32" t="str" cm="1">
        <f t="array" ref="AE850">IFERROR(IF(INDEX(SubsidieTabel!$AD$1:$AG$12,MATCH($F850,SubsidieTabel!$AD$1:$AD$12,0),IFERROR(MATCH(Methode_Keuze,SubsidieTabel!$AD$1:$AG$1,0),2))&lt;&gt;1=TRUE,"ja",""),"")</f>
        <v/>
      </c>
    </row>
    <row r="851" spans="1:31" x14ac:dyDescent="0.25">
      <c r="A851" s="316"/>
      <c r="B851" s="317" t="str">
        <f>IF(A851&lt;&gt;"",_xlfn.MAXIFS($B$1:B850,$A$1:A850,A851)+1,"")</f>
        <v/>
      </c>
      <c r="C851" s="296"/>
      <c r="D851" s="296"/>
      <c r="E851" s="296"/>
      <c r="F851" s="296"/>
      <c r="G851" s="326"/>
      <c r="H851" s="324"/>
      <c r="I851" s="325"/>
      <c r="J851" s="325"/>
      <c r="K851" s="318"/>
      <c r="L851" s="318"/>
      <c r="M851" s="319" t="str">
        <f>IFERROR(VLOOKUP(H851,Lijsten!$H$1:$I$100,2,0),"")</f>
        <v/>
      </c>
      <c r="N851" s="319" t="str">
        <f ca="1">IFERROR(IF(VLOOKUP(F851,Kostentypen!$A$3:$E$21,3,0)=0,"",IF(OR(F851="Arbeidskosten",F851="Vergoeding"),VLOOKUP(G851,Tb_KostenTypen[],2,0),VLOOKUP(F851,Kostentypen!$A$3:$E$20,3,0))),"")</f>
        <v/>
      </c>
      <c r="O851" s="320" t="str" cm="1">
        <f t="array" ref="O851">_xlfn.IFNA(IF(INDEX(Tb_KostenOptiesDB[],MATCH($F851,Tb_KostenOptiesDB[KostenOptie],0),IFERROR(MATCH(Methode_Keuze,Tb_KostenOptiesDB[#Headers],0),2))=1,_xlfn.SWITCH($N851,"Uurtarief",IF(OR(AND(RIGHT($F851,3)="IKS",VLOOKUP($M851,DB_Loonkosten,2,0)="Ja"),AND(RIGHT($F851,3)&lt;&gt;"IKS",VLOOKUP($M851,DB_Loonkosten,2,0)="Nee")),IFERROR(VLOOKUP($M851,DB_Loonkosten,24,0),""),0),"Vast tarief",IF(LEFT(F851,8)="Bijdrage",VLOOKUP($F851,Tb_KostenTypen[],MATCH(Lijsten!$P$1,Tb_KostenTypen[#Headers],0),0),VLOOKUP($G851,Lijsten!L:P,MATCH(Lijsten!$P$1,Kop_Tarief_Vast,0),0))),""),"")</f>
        <v/>
      </c>
      <c r="P851" s="320" t="str" cm="1">
        <f t="array" ref="P851">_xlfn.IFNA(IF(INDEX(Tb_KostenOptiesDB[],MATCH($F851,Tb_KostenOptiesDB[KostenOptie],0),IFERROR(MATCH(Methode_Keuze,Tb_KostenOptiesDB[#Headers],0),2))=1,_xlfn.SWITCH($N851,"Uurtarief",IF(OR(AND(RIGHT($F851,3)="IKS",VLOOKUP($M851,DB_Loonkosten,2,0)="Ja"),AND(RIGHT($F851,3)&lt;&gt;"IKS",VLOOKUP($M851,DB_Loonkosten,2,0)="Nee")),IFERROR(VLOOKUP($M851,DB_Loonkosten,25,0),""),0),"Vast tarief",IF(LEFT(F851,8)="Bijdrage",VLOOKUP($F851,Tb_KostenTypen[],MATCH(Lijsten!$P$1,Tb_KostenTypen[#Headers],0),0),VLOOKUP($G851,Lijsten!L:P,MATCH(Lijsten!$P$1,Kop_Tarief_Vast,0),0))),""),"")</f>
        <v/>
      </c>
      <c r="Q851" s="359"/>
      <c r="R851" s="359"/>
      <c r="S851" s="321"/>
      <c r="T851" s="321"/>
      <c r="U851" s="373" t="str">
        <f t="shared" si="52"/>
        <v/>
      </c>
      <c r="V851" s="314" t="str">
        <f t="shared" si="53"/>
        <v/>
      </c>
      <c r="W851" s="314" t="str" cm="1">
        <f t="array" aca="1" ref="W851" ca="1">IFERROR(IF(AE851&lt;&gt;"ja",_xlfn.IFNA(_xlfn.IFS(AND(O851&lt;&gt;"",F851&lt;&gt;"",RIGHT($N851,6)="tarief",F851="Vergoeding"),SUM(O851)*FLOOR(SUM(Q851),0.0001),AND(O851&lt;&gt;"",F851&lt;&gt;"",RIGHT($N851,6)="tarief"),SUM(O851)*FLOOR(SUM(Q851),0.01),S851&gt;0,IF(F851&lt;&gt;"",FLOOR(SUM(S851),0.01),"")),""),""),"")</f>
        <v/>
      </c>
      <c r="X851" s="314" t="str" cm="1">
        <f t="array" aca="1" ref="X851" ca="1">IFERROR(IF(AE851&lt;&gt;"ja",_xlfn.IFNA(_xlfn.IFS(AND(P851&lt;&gt;"",R851&lt;&gt;"",RIGHT($N851,6)="tarief",F851="Vergoeding"),SUM(P851)*FLOOR(SUM(R851),0.0001),AND(P851&lt;&gt;"",R851&lt;&gt;"",RIGHT($N851,6)="tarief"),P851*FLOOR(R851,0.01),T851&gt;0,FLOOR(SUM(T851),0.01)),""),""),"")</f>
        <v/>
      </c>
      <c r="Y851" s="314" t="str">
        <f t="shared" ca="1" si="54"/>
        <v/>
      </c>
      <c r="Z851" s="314" t="str" cm="1">
        <f t="array" aca="1" ref="Z851" ca="1">IFERROR(_xlfn.IFS(OR(F851="",LEFT(Methode_Keuze,4)="Geen",Methode_Keuze=""),"",AND(W851&lt;&gt;"",F851&lt;&gt;"Arbeidskosten"),W851*VLOOKUP(F851,Tb_ProjectKosten[],MATCH(Tb_ProjectKosten[[#Headers],[Forfait_Percentage]],Tb_ProjectKosten[#Headers],0),0),AND(F851="Arbeidskosten",G851&lt;&gt;""),IFERROR(W851*VLOOKUP(G851,Tb_KostenTypen[],3,0)*VLOOKUP(F851,Tb_ProjectKosten[],MATCH(Tb_ProjectKosten[[#Headers],[Forfait_Percentage]],Tb_ProjectKosten[#Headers],0),0),""),W851 &lt;=0,0),"")</f>
        <v/>
      </c>
      <c r="AA851" s="314" t="str" cm="1">
        <f t="array" aca="1" ref="AA851" ca="1">IFERROR(_xlfn.IFS(OR(F851="",LEFT(Methode_Keuze,4)="Geen",Methode_Keuze=""),"",AND(X851&lt;&gt;"",F851&lt;&gt;"Arbeidskosten"),X851*VLOOKUP(F851,Tb_ProjectKosten[],MATCH(Tb_ProjectKosten[[#Headers],[Forfait_Percentage]],Tb_ProjectKosten[#Headers],0),0),AND(F851="Arbeidskosten",G851&lt;&gt;""),IFERROR(X851*VLOOKUP(G851,Tb_KostenTypen[],3,0)*VLOOKUP(F851,Tb_ProjectKosten[],MATCH(Tb_ProjectKosten[[#Headers],[Forfait_Percentage]],Tb_ProjectKosten[#Headers],0),0),""),X851 &lt;=0,0),"")</f>
        <v/>
      </c>
      <c r="AB851" s="314" t="str">
        <f t="shared" ca="1" si="55"/>
        <v/>
      </c>
      <c r="AC851" s="322"/>
      <c r="AD851" s="315"/>
      <c r="AE851" s="32" t="str" cm="1">
        <f t="array" ref="AE851">IFERROR(IF(INDEX(SubsidieTabel!$AD$1:$AG$12,MATCH($F851,SubsidieTabel!$AD$1:$AD$12,0),IFERROR(MATCH(Methode_Keuze,SubsidieTabel!$AD$1:$AG$1,0),2))&lt;&gt;1=TRUE,"ja",""),"")</f>
        <v/>
      </c>
    </row>
    <row r="852" spans="1:31" x14ac:dyDescent="0.25">
      <c r="A852" s="316"/>
      <c r="B852" s="317" t="str">
        <f>IF(A852&lt;&gt;"",_xlfn.MAXIFS($B$1:B851,$A$1:A851,A852)+1,"")</f>
        <v/>
      </c>
      <c r="C852" s="296"/>
      <c r="D852" s="296"/>
      <c r="E852" s="296"/>
      <c r="F852" s="296"/>
      <c r="G852" s="326"/>
      <c r="H852" s="324"/>
      <c r="I852" s="325"/>
      <c r="J852" s="325"/>
      <c r="K852" s="318"/>
      <c r="L852" s="318"/>
      <c r="M852" s="319" t="str">
        <f>IFERROR(VLOOKUP(H852,Lijsten!$H$1:$I$100,2,0),"")</f>
        <v/>
      </c>
      <c r="N852" s="319" t="str">
        <f ca="1">IFERROR(IF(VLOOKUP(F852,Kostentypen!$A$3:$E$21,3,0)=0,"",IF(OR(F852="Arbeidskosten",F852="Vergoeding"),VLOOKUP(G852,Tb_KostenTypen[],2,0),VLOOKUP(F852,Kostentypen!$A$3:$E$20,3,0))),"")</f>
        <v/>
      </c>
      <c r="O852" s="320" t="str" cm="1">
        <f t="array" ref="O852">_xlfn.IFNA(IF(INDEX(Tb_KostenOptiesDB[],MATCH($F852,Tb_KostenOptiesDB[KostenOptie],0),IFERROR(MATCH(Methode_Keuze,Tb_KostenOptiesDB[#Headers],0),2))=1,_xlfn.SWITCH($N852,"Uurtarief",IF(OR(AND(RIGHT($F852,3)="IKS",VLOOKUP($M852,DB_Loonkosten,2,0)="Ja"),AND(RIGHT($F852,3)&lt;&gt;"IKS",VLOOKUP($M852,DB_Loonkosten,2,0)="Nee")),IFERROR(VLOOKUP($M852,DB_Loonkosten,24,0),""),0),"Vast tarief",IF(LEFT(F852,8)="Bijdrage",VLOOKUP($F852,Tb_KostenTypen[],MATCH(Lijsten!$P$1,Tb_KostenTypen[#Headers],0),0),VLOOKUP($G852,Lijsten!L:P,MATCH(Lijsten!$P$1,Kop_Tarief_Vast,0),0))),""),"")</f>
        <v/>
      </c>
      <c r="P852" s="320" t="str" cm="1">
        <f t="array" ref="P852">_xlfn.IFNA(IF(INDEX(Tb_KostenOptiesDB[],MATCH($F852,Tb_KostenOptiesDB[KostenOptie],0),IFERROR(MATCH(Methode_Keuze,Tb_KostenOptiesDB[#Headers],0),2))=1,_xlfn.SWITCH($N852,"Uurtarief",IF(OR(AND(RIGHT($F852,3)="IKS",VLOOKUP($M852,DB_Loonkosten,2,0)="Ja"),AND(RIGHT($F852,3)&lt;&gt;"IKS",VLOOKUP($M852,DB_Loonkosten,2,0)="Nee")),IFERROR(VLOOKUP($M852,DB_Loonkosten,25,0),""),0),"Vast tarief",IF(LEFT(F852,8)="Bijdrage",VLOOKUP($F852,Tb_KostenTypen[],MATCH(Lijsten!$P$1,Tb_KostenTypen[#Headers],0),0),VLOOKUP($G852,Lijsten!L:P,MATCH(Lijsten!$P$1,Kop_Tarief_Vast,0),0))),""),"")</f>
        <v/>
      </c>
      <c r="Q852" s="359"/>
      <c r="R852" s="359"/>
      <c r="S852" s="321"/>
      <c r="T852" s="321"/>
      <c r="U852" s="373" t="str">
        <f t="shared" si="52"/>
        <v/>
      </c>
      <c r="V852" s="314" t="str">
        <f t="shared" si="53"/>
        <v/>
      </c>
      <c r="W852" s="314" t="str" cm="1">
        <f t="array" aca="1" ref="W852" ca="1">IFERROR(IF(AE852&lt;&gt;"ja",_xlfn.IFNA(_xlfn.IFS(AND(O852&lt;&gt;"",F852&lt;&gt;"",RIGHT($N852,6)="tarief",F852="Vergoeding"),SUM(O852)*FLOOR(SUM(Q852),0.0001),AND(O852&lt;&gt;"",F852&lt;&gt;"",RIGHT($N852,6)="tarief"),SUM(O852)*FLOOR(SUM(Q852),0.01),S852&gt;0,IF(F852&lt;&gt;"",FLOOR(SUM(S852),0.01),"")),""),""),"")</f>
        <v/>
      </c>
      <c r="X852" s="314" t="str" cm="1">
        <f t="array" aca="1" ref="X852" ca="1">IFERROR(IF(AE852&lt;&gt;"ja",_xlfn.IFNA(_xlfn.IFS(AND(P852&lt;&gt;"",R852&lt;&gt;"",RIGHT($N852,6)="tarief",F852="Vergoeding"),SUM(P852)*FLOOR(SUM(R852),0.0001),AND(P852&lt;&gt;"",R852&lt;&gt;"",RIGHT($N852,6)="tarief"),P852*FLOOR(R852,0.01),T852&gt;0,FLOOR(SUM(T852),0.01)),""),""),"")</f>
        <v/>
      </c>
      <c r="Y852" s="314" t="str">
        <f t="shared" ca="1" si="54"/>
        <v/>
      </c>
      <c r="Z852" s="314" t="str" cm="1">
        <f t="array" aca="1" ref="Z852" ca="1">IFERROR(_xlfn.IFS(OR(F852="",LEFT(Methode_Keuze,4)="Geen",Methode_Keuze=""),"",AND(W852&lt;&gt;"",F852&lt;&gt;"Arbeidskosten"),W852*VLOOKUP(F852,Tb_ProjectKosten[],MATCH(Tb_ProjectKosten[[#Headers],[Forfait_Percentage]],Tb_ProjectKosten[#Headers],0),0),AND(F852="Arbeidskosten",G852&lt;&gt;""),IFERROR(W852*VLOOKUP(G852,Tb_KostenTypen[],3,0)*VLOOKUP(F852,Tb_ProjectKosten[],MATCH(Tb_ProjectKosten[[#Headers],[Forfait_Percentage]],Tb_ProjectKosten[#Headers],0),0),""),W852 &lt;=0,0),"")</f>
        <v/>
      </c>
      <c r="AA852" s="314" t="str" cm="1">
        <f t="array" aca="1" ref="AA852" ca="1">IFERROR(_xlfn.IFS(OR(F852="",LEFT(Methode_Keuze,4)="Geen",Methode_Keuze=""),"",AND(X852&lt;&gt;"",F852&lt;&gt;"Arbeidskosten"),X852*VLOOKUP(F852,Tb_ProjectKosten[],MATCH(Tb_ProjectKosten[[#Headers],[Forfait_Percentage]],Tb_ProjectKosten[#Headers],0),0),AND(F852="Arbeidskosten",G852&lt;&gt;""),IFERROR(X852*VLOOKUP(G852,Tb_KostenTypen[],3,0)*VLOOKUP(F852,Tb_ProjectKosten[],MATCH(Tb_ProjectKosten[[#Headers],[Forfait_Percentage]],Tb_ProjectKosten[#Headers],0),0),""),X852 &lt;=0,0),"")</f>
        <v/>
      </c>
      <c r="AB852" s="314" t="str">
        <f t="shared" ca="1" si="55"/>
        <v/>
      </c>
      <c r="AC852" s="322"/>
      <c r="AD852" s="315"/>
      <c r="AE852" s="32" t="str" cm="1">
        <f t="array" ref="AE852">IFERROR(IF(INDEX(SubsidieTabel!$AD$1:$AG$12,MATCH($F852,SubsidieTabel!$AD$1:$AD$12,0),IFERROR(MATCH(Methode_Keuze,SubsidieTabel!$AD$1:$AG$1,0),2))&lt;&gt;1=TRUE,"ja",""),"")</f>
        <v/>
      </c>
    </row>
    <row r="853" spans="1:31" x14ac:dyDescent="0.25">
      <c r="A853" s="316"/>
      <c r="B853" s="317" t="str">
        <f>IF(A853&lt;&gt;"",_xlfn.MAXIFS($B$1:B852,$A$1:A852,A853)+1,"")</f>
        <v/>
      </c>
      <c r="C853" s="296"/>
      <c r="D853" s="296"/>
      <c r="E853" s="296"/>
      <c r="F853" s="296"/>
      <c r="G853" s="326"/>
      <c r="H853" s="324"/>
      <c r="I853" s="325"/>
      <c r="J853" s="325"/>
      <c r="K853" s="318"/>
      <c r="L853" s="318"/>
      <c r="M853" s="319" t="str">
        <f>IFERROR(VLOOKUP(H853,Lijsten!$H$1:$I$100,2,0),"")</f>
        <v/>
      </c>
      <c r="N853" s="319" t="str">
        <f ca="1">IFERROR(IF(VLOOKUP(F853,Kostentypen!$A$3:$E$21,3,0)=0,"",IF(OR(F853="Arbeidskosten",F853="Vergoeding"),VLOOKUP(G853,Tb_KostenTypen[],2,0),VLOOKUP(F853,Kostentypen!$A$3:$E$20,3,0))),"")</f>
        <v/>
      </c>
      <c r="O853" s="320" t="str" cm="1">
        <f t="array" ref="O853">_xlfn.IFNA(IF(INDEX(Tb_KostenOptiesDB[],MATCH($F853,Tb_KostenOptiesDB[KostenOptie],0),IFERROR(MATCH(Methode_Keuze,Tb_KostenOptiesDB[#Headers],0),2))=1,_xlfn.SWITCH($N853,"Uurtarief",IF(OR(AND(RIGHT($F853,3)="IKS",VLOOKUP($M853,DB_Loonkosten,2,0)="Ja"),AND(RIGHT($F853,3)&lt;&gt;"IKS",VLOOKUP($M853,DB_Loonkosten,2,0)="Nee")),IFERROR(VLOOKUP($M853,DB_Loonkosten,24,0),""),0),"Vast tarief",IF(LEFT(F853,8)="Bijdrage",VLOOKUP($F853,Tb_KostenTypen[],MATCH(Lijsten!$P$1,Tb_KostenTypen[#Headers],0),0),VLOOKUP($G853,Lijsten!L:P,MATCH(Lijsten!$P$1,Kop_Tarief_Vast,0),0))),""),"")</f>
        <v/>
      </c>
      <c r="P853" s="320" t="str" cm="1">
        <f t="array" ref="P853">_xlfn.IFNA(IF(INDEX(Tb_KostenOptiesDB[],MATCH($F853,Tb_KostenOptiesDB[KostenOptie],0),IFERROR(MATCH(Methode_Keuze,Tb_KostenOptiesDB[#Headers],0),2))=1,_xlfn.SWITCH($N853,"Uurtarief",IF(OR(AND(RIGHT($F853,3)="IKS",VLOOKUP($M853,DB_Loonkosten,2,0)="Ja"),AND(RIGHT($F853,3)&lt;&gt;"IKS",VLOOKUP($M853,DB_Loonkosten,2,0)="Nee")),IFERROR(VLOOKUP($M853,DB_Loonkosten,25,0),""),0),"Vast tarief",IF(LEFT(F853,8)="Bijdrage",VLOOKUP($F853,Tb_KostenTypen[],MATCH(Lijsten!$P$1,Tb_KostenTypen[#Headers],0),0),VLOOKUP($G853,Lijsten!L:P,MATCH(Lijsten!$P$1,Kop_Tarief_Vast,0),0))),""),"")</f>
        <v/>
      </c>
      <c r="Q853" s="359"/>
      <c r="R853" s="359"/>
      <c r="S853" s="321"/>
      <c r="T853" s="321"/>
      <c r="U853" s="373" t="str">
        <f t="shared" si="52"/>
        <v/>
      </c>
      <c r="V853" s="314" t="str">
        <f t="shared" si="53"/>
        <v/>
      </c>
      <c r="W853" s="314" t="str" cm="1">
        <f t="array" aca="1" ref="W853" ca="1">IFERROR(IF(AE853&lt;&gt;"ja",_xlfn.IFNA(_xlfn.IFS(AND(O853&lt;&gt;"",F853&lt;&gt;"",RIGHT($N853,6)="tarief",F853="Vergoeding"),SUM(O853)*FLOOR(SUM(Q853),0.0001),AND(O853&lt;&gt;"",F853&lt;&gt;"",RIGHT($N853,6)="tarief"),SUM(O853)*FLOOR(SUM(Q853),0.01),S853&gt;0,IF(F853&lt;&gt;"",FLOOR(SUM(S853),0.01),"")),""),""),"")</f>
        <v/>
      </c>
      <c r="X853" s="314" t="str" cm="1">
        <f t="array" aca="1" ref="X853" ca="1">IFERROR(IF(AE853&lt;&gt;"ja",_xlfn.IFNA(_xlfn.IFS(AND(P853&lt;&gt;"",R853&lt;&gt;"",RIGHT($N853,6)="tarief",F853="Vergoeding"),SUM(P853)*FLOOR(SUM(R853),0.0001),AND(P853&lt;&gt;"",R853&lt;&gt;"",RIGHT($N853,6)="tarief"),P853*FLOOR(R853,0.01),T853&gt;0,FLOOR(SUM(T853),0.01)),""),""),"")</f>
        <v/>
      </c>
      <c r="Y853" s="314" t="str">
        <f t="shared" ca="1" si="54"/>
        <v/>
      </c>
      <c r="Z853" s="314" t="str" cm="1">
        <f t="array" aca="1" ref="Z853" ca="1">IFERROR(_xlfn.IFS(OR(F853="",LEFT(Methode_Keuze,4)="Geen",Methode_Keuze=""),"",AND(W853&lt;&gt;"",F853&lt;&gt;"Arbeidskosten"),W853*VLOOKUP(F853,Tb_ProjectKosten[],MATCH(Tb_ProjectKosten[[#Headers],[Forfait_Percentage]],Tb_ProjectKosten[#Headers],0),0),AND(F853="Arbeidskosten",G853&lt;&gt;""),IFERROR(W853*VLOOKUP(G853,Tb_KostenTypen[],3,0)*VLOOKUP(F853,Tb_ProjectKosten[],MATCH(Tb_ProjectKosten[[#Headers],[Forfait_Percentage]],Tb_ProjectKosten[#Headers],0),0),""),W853 &lt;=0,0),"")</f>
        <v/>
      </c>
      <c r="AA853" s="314" t="str" cm="1">
        <f t="array" aca="1" ref="AA853" ca="1">IFERROR(_xlfn.IFS(OR(F853="",LEFT(Methode_Keuze,4)="Geen",Methode_Keuze=""),"",AND(X853&lt;&gt;"",F853&lt;&gt;"Arbeidskosten"),X853*VLOOKUP(F853,Tb_ProjectKosten[],MATCH(Tb_ProjectKosten[[#Headers],[Forfait_Percentage]],Tb_ProjectKosten[#Headers],0),0),AND(F853="Arbeidskosten",G853&lt;&gt;""),IFERROR(X853*VLOOKUP(G853,Tb_KostenTypen[],3,0)*VLOOKUP(F853,Tb_ProjectKosten[],MATCH(Tb_ProjectKosten[[#Headers],[Forfait_Percentage]],Tb_ProjectKosten[#Headers],0),0),""),X853 &lt;=0,0),"")</f>
        <v/>
      </c>
      <c r="AB853" s="314" t="str">
        <f t="shared" ca="1" si="55"/>
        <v/>
      </c>
      <c r="AC853" s="322"/>
      <c r="AD853" s="315"/>
      <c r="AE853" s="32" t="str" cm="1">
        <f t="array" ref="AE853">IFERROR(IF(INDEX(SubsidieTabel!$AD$1:$AG$12,MATCH($F853,SubsidieTabel!$AD$1:$AD$12,0),IFERROR(MATCH(Methode_Keuze,SubsidieTabel!$AD$1:$AG$1,0),2))&lt;&gt;1=TRUE,"ja",""),"")</f>
        <v/>
      </c>
    </row>
    <row r="854" spans="1:31" x14ac:dyDescent="0.25">
      <c r="A854" s="316"/>
      <c r="B854" s="317" t="str">
        <f>IF(A854&lt;&gt;"",_xlfn.MAXIFS($B$1:B853,$A$1:A853,A854)+1,"")</f>
        <v/>
      </c>
      <c r="C854" s="296"/>
      <c r="D854" s="296"/>
      <c r="E854" s="296"/>
      <c r="F854" s="296"/>
      <c r="G854" s="326"/>
      <c r="H854" s="324"/>
      <c r="I854" s="325"/>
      <c r="J854" s="325"/>
      <c r="K854" s="318"/>
      <c r="L854" s="318"/>
      <c r="M854" s="319" t="str">
        <f>IFERROR(VLOOKUP(H854,Lijsten!$H$1:$I$100,2,0),"")</f>
        <v/>
      </c>
      <c r="N854" s="319" t="str">
        <f ca="1">IFERROR(IF(VLOOKUP(F854,Kostentypen!$A$3:$E$21,3,0)=0,"",IF(OR(F854="Arbeidskosten",F854="Vergoeding"),VLOOKUP(G854,Tb_KostenTypen[],2,0),VLOOKUP(F854,Kostentypen!$A$3:$E$20,3,0))),"")</f>
        <v/>
      </c>
      <c r="O854" s="320" t="str" cm="1">
        <f t="array" ref="O854">_xlfn.IFNA(IF(INDEX(Tb_KostenOptiesDB[],MATCH($F854,Tb_KostenOptiesDB[KostenOptie],0),IFERROR(MATCH(Methode_Keuze,Tb_KostenOptiesDB[#Headers],0),2))=1,_xlfn.SWITCH($N854,"Uurtarief",IF(OR(AND(RIGHT($F854,3)="IKS",VLOOKUP($M854,DB_Loonkosten,2,0)="Ja"),AND(RIGHT($F854,3)&lt;&gt;"IKS",VLOOKUP($M854,DB_Loonkosten,2,0)="Nee")),IFERROR(VLOOKUP($M854,DB_Loonkosten,24,0),""),0),"Vast tarief",IF(LEFT(F854,8)="Bijdrage",VLOOKUP($F854,Tb_KostenTypen[],MATCH(Lijsten!$P$1,Tb_KostenTypen[#Headers],0),0),VLOOKUP($G854,Lijsten!L:P,MATCH(Lijsten!$P$1,Kop_Tarief_Vast,0),0))),""),"")</f>
        <v/>
      </c>
      <c r="P854" s="320" t="str" cm="1">
        <f t="array" ref="P854">_xlfn.IFNA(IF(INDEX(Tb_KostenOptiesDB[],MATCH($F854,Tb_KostenOptiesDB[KostenOptie],0),IFERROR(MATCH(Methode_Keuze,Tb_KostenOptiesDB[#Headers],0),2))=1,_xlfn.SWITCH($N854,"Uurtarief",IF(OR(AND(RIGHT($F854,3)="IKS",VLOOKUP($M854,DB_Loonkosten,2,0)="Ja"),AND(RIGHT($F854,3)&lt;&gt;"IKS",VLOOKUP($M854,DB_Loonkosten,2,0)="Nee")),IFERROR(VLOOKUP($M854,DB_Loonkosten,25,0),""),0),"Vast tarief",IF(LEFT(F854,8)="Bijdrage",VLOOKUP($F854,Tb_KostenTypen[],MATCH(Lijsten!$P$1,Tb_KostenTypen[#Headers],0),0),VLOOKUP($G854,Lijsten!L:P,MATCH(Lijsten!$P$1,Kop_Tarief_Vast,0),0))),""),"")</f>
        <v/>
      </c>
      <c r="Q854" s="359"/>
      <c r="R854" s="359"/>
      <c r="S854" s="321"/>
      <c r="T854" s="321"/>
      <c r="U854" s="373" t="str">
        <f t="shared" si="52"/>
        <v/>
      </c>
      <c r="V854" s="314" t="str">
        <f t="shared" si="53"/>
        <v/>
      </c>
      <c r="W854" s="314" t="str" cm="1">
        <f t="array" aca="1" ref="W854" ca="1">IFERROR(IF(AE854&lt;&gt;"ja",_xlfn.IFNA(_xlfn.IFS(AND(O854&lt;&gt;"",F854&lt;&gt;"",RIGHT($N854,6)="tarief",F854="Vergoeding"),SUM(O854)*FLOOR(SUM(Q854),0.0001),AND(O854&lt;&gt;"",F854&lt;&gt;"",RIGHT($N854,6)="tarief"),SUM(O854)*FLOOR(SUM(Q854),0.01),S854&gt;0,IF(F854&lt;&gt;"",FLOOR(SUM(S854),0.01),"")),""),""),"")</f>
        <v/>
      </c>
      <c r="X854" s="314" t="str" cm="1">
        <f t="array" aca="1" ref="X854" ca="1">IFERROR(IF(AE854&lt;&gt;"ja",_xlfn.IFNA(_xlfn.IFS(AND(P854&lt;&gt;"",R854&lt;&gt;"",RIGHT($N854,6)="tarief",F854="Vergoeding"),SUM(P854)*FLOOR(SUM(R854),0.0001),AND(P854&lt;&gt;"",R854&lt;&gt;"",RIGHT($N854,6)="tarief"),P854*FLOOR(R854,0.01),T854&gt;0,FLOOR(SUM(T854),0.01)),""),""),"")</f>
        <v/>
      </c>
      <c r="Y854" s="314" t="str">
        <f t="shared" ca="1" si="54"/>
        <v/>
      </c>
      <c r="Z854" s="314" t="str" cm="1">
        <f t="array" aca="1" ref="Z854" ca="1">IFERROR(_xlfn.IFS(OR(F854="",LEFT(Methode_Keuze,4)="Geen",Methode_Keuze=""),"",AND(W854&lt;&gt;"",F854&lt;&gt;"Arbeidskosten"),W854*VLOOKUP(F854,Tb_ProjectKosten[],MATCH(Tb_ProjectKosten[[#Headers],[Forfait_Percentage]],Tb_ProjectKosten[#Headers],0),0),AND(F854="Arbeidskosten",G854&lt;&gt;""),IFERROR(W854*VLOOKUP(G854,Tb_KostenTypen[],3,0)*VLOOKUP(F854,Tb_ProjectKosten[],MATCH(Tb_ProjectKosten[[#Headers],[Forfait_Percentage]],Tb_ProjectKosten[#Headers],0),0),""),W854 &lt;=0,0),"")</f>
        <v/>
      </c>
      <c r="AA854" s="314" t="str" cm="1">
        <f t="array" aca="1" ref="AA854" ca="1">IFERROR(_xlfn.IFS(OR(F854="",LEFT(Methode_Keuze,4)="Geen",Methode_Keuze=""),"",AND(X854&lt;&gt;"",F854&lt;&gt;"Arbeidskosten"),X854*VLOOKUP(F854,Tb_ProjectKosten[],MATCH(Tb_ProjectKosten[[#Headers],[Forfait_Percentage]],Tb_ProjectKosten[#Headers],0),0),AND(F854="Arbeidskosten",G854&lt;&gt;""),IFERROR(X854*VLOOKUP(G854,Tb_KostenTypen[],3,0)*VLOOKUP(F854,Tb_ProjectKosten[],MATCH(Tb_ProjectKosten[[#Headers],[Forfait_Percentage]],Tb_ProjectKosten[#Headers],0),0),""),X854 &lt;=0,0),"")</f>
        <v/>
      </c>
      <c r="AB854" s="314" t="str">
        <f t="shared" ca="1" si="55"/>
        <v/>
      </c>
      <c r="AC854" s="322"/>
      <c r="AD854" s="315"/>
      <c r="AE854" s="32" t="str" cm="1">
        <f t="array" ref="AE854">IFERROR(IF(INDEX(SubsidieTabel!$AD$1:$AG$12,MATCH($F854,SubsidieTabel!$AD$1:$AD$12,0),IFERROR(MATCH(Methode_Keuze,SubsidieTabel!$AD$1:$AG$1,0),2))&lt;&gt;1=TRUE,"ja",""),"")</f>
        <v/>
      </c>
    </row>
    <row r="855" spans="1:31" x14ac:dyDescent="0.25">
      <c r="A855" s="316"/>
      <c r="B855" s="317" t="str">
        <f>IF(A855&lt;&gt;"",_xlfn.MAXIFS($B$1:B854,$A$1:A854,A855)+1,"")</f>
        <v/>
      </c>
      <c r="C855" s="296"/>
      <c r="D855" s="296"/>
      <c r="E855" s="296"/>
      <c r="F855" s="296"/>
      <c r="G855" s="326"/>
      <c r="H855" s="324"/>
      <c r="I855" s="325"/>
      <c r="J855" s="325"/>
      <c r="K855" s="318"/>
      <c r="L855" s="318"/>
      <c r="M855" s="319" t="str">
        <f>IFERROR(VLOOKUP(H855,Lijsten!$H$1:$I$100,2,0),"")</f>
        <v/>
      </c>
      <c r="N855" s="319" t="str">
        <f ca="1">IFERROR(IF(VLOOKUP(F855,Kostentypen!$A$3:$E$21,3,0)=0,"",IF(OR(F855="Arbeidskosten",F855="Vergoeding"),VLOOKUP(G855,Tb_KostenTypen[],2,0),VLOOKUP(F855,Kostentypen!$A$3:$E$20,3,0))),"")</f>
        <v/>
      </c>
      <c r="O855" s="320" t="str" cm="1">
        <f t="array" ref="O855">_xlfn.IFNA(IF(INDEX(Tb_KostenOptiesDB[],MATCH($F855,Tb_KostenOptiesDB[KostenOptie],0),IFERROR(MATCH(Methode_Keuze,Tb_KostenOptiesDB[#Headers],0),2))=1,_xlfn.SWITCH($N855,"Uurtarief",IF(OR(AND(RIGHT($F855,3)="IKS",VLOOKUP($M855,DB_Loonkosten,2,0)="Ja"),AND(RIGHT($F855,3)&lt;&gt;"IKS",VLOOKUP($M855,DB_Loonkosten,2,0)="Nee")),IFERROR(VLOOKUP($M855,DB_Loonkosten,24,0),""),0),"Vast tarief",IF(LEFT(F855,8)="Bijdrage",VLOOKUP($F855,Tb_KostenTypen[],MATCH(Lijsten!$P$1,Tb_KostenTypen[#Headers],0),0),VLOOKUP($G855,Lijsten!L:P,MATCH(Lijsten!$P$1,Kop_Tarief_Vast,0),0))),""),"")</f>
        <v/>
      </c>
      <c r="P855" s="320" t="str" cm="1">
        <f t="array" ref="P855">_xlfn.IFNA(IF(INDEX(Tb_KostenOptiesDB[],MATCH($F855,Tb_KostenOptiesDB[KostenOptie],0),IFERROR(MATCH(Methode_Keuze,Tb_KostenOptiesDB[#Headers],0),2))=1,_xlfn.SWITCH($N855,"Uurtarief",IF(OR(AND(RIGHT($F855,3)="IKS",VLOOKUP($M855,DB_Loonkosten,2,0)="Ja"),AND(RIGHT($F855,3)&lt;&gt;"IKS",VLOOKUP($M855,DB_Loonkosten,2,0)="Nee")),IFERROR(VLOOKUP($M855,DB_Loonkosten,25,0),""),0),"Vast tarief",IF(LEFT(F855,8)="Bijdrage",VLOOKUP($F855,Tb_KostenTypen[],MATCH(Lijsten!$P$1,Tb_KostenTypen[#Headers],0),0),VLOOKUP($G855,Lijsten!L:P,MATCH(Lijsten!$P$1,Kop_Tarief_Vast,0),0))),""),"")</f>
        <v/>
      </c>
      <c r="Q855" s="359"/>
      <c r="R855" s="359"/>
      <c r="S855" s="321"/>
      <c r="T855" s="321"/>
      <c r="U855" s="373" t="str">
        <f t="shared" si="52"/>
        <v/>
      </c>
      <c r="V855" s="314" t="str">
        <f t="shared" si="53"/>
        <v/>
      </c>
      <c r="W855" s="314" t="str" cm="1">
        <f t="array" aca="1" ref="W855" ca="1">IFERROR(IF(AE855&lt;&gt;"ja",_xlfn.IFNA(_xlfn.IFS(AND(O855&lt;&gt;"",F855&lt;&gt;"",RIGHT($N855,6)="tarief",F855="Vergoeding"),SUM(O855)*FLOOR(SUM(Q855),0.0001),AND(O855&lt;&gt;"",F855&lt;&gt;"",RIGHT($N855,6)="tarief"),SUM(O855)*FLOOR(SUM(Q855),0.01),S855&gt;0,IF(F855&lt;&gt;"",FLOOR(SUM(S855),0.01),"")),""),""),"")</f>
        <v/>
      </c>
      <c r="X855" s="314" t="str" cm="1">
        <f t="array" aca="1" ref="X855" ca="1">IFERROR(IF(AE855&lt;&gt;"ja",_xlfn.IFNA(_xlfn.IFS(AND(P855&lt;&gt;"",R855&lt;&gt;"",RIGHT($N855,6)="tarief",F855="Vergoeding"),SUM(P855)*FLOOR(SUM(R855),0.0001),AND(P855&lt;&gt;"",R855&lt;&gt;"",RIGHT($N855,6)="tarief"),P855*FLOOR(R855,0.01),T855&gt;0,FLOOR(SUM(T855),0.01)),""),""),"")</f>
        <v/>
      </c>
      <c r="Y855" s="314" t="str">
        <f t="shared" ca="1" si="54"/>
        <v/>
      </c>
      <c r="Z855" s="314" t="str" cm="1">
        <f t="array" aca="1" ref="Z855" ca="1">IFERROR(_xlfn.IFS(OR(F855="",LEFT(Methode_Keuze,4)="Geen",Methode_Keuze=""),"",AND(W855&lt;&gt;"",F855&lt;&gt;"Arbeidskosten"),W855*VLOOKUP(F855,Tb_ProjectKosten[],MATCH(Tb_ProjectKosten[[#Headers],[Forfait_Percentage]],Tb_ProjectKosten[#Headers],0),0),AND(F855="Arbeidskosten",G855&lt;&gt;""),IFERROR(W855*VLOOKUP(G855,Tb_KostenTypen[],3,0)*VLOOKUP(F855,Tb_ProjectKosten[],MATCH(Tb_ProjectKosten[[#Headers],[Forfait_Percentage]],Tb_ProjectKosten[#Headers],0),0),""),W855 &lt;=0,0),"")</f>
        <v/>
      </c>
      <c r="AA855" s="314" t="str" cm="1">
        <f t="array" aca="1" ref="AA855" ca="1">IFERROR(_xlfn.IFS(OR(F855="",LEFT(Methode_Keuze,4)="Geen",Methode_Keuze=""),"",AND(X855&lt;&gt;"",F855&lt;&gt;"Arbeidskosten"),X855*VLOOKUP(F855,Tb_ProjectKosten[],MATCH(Tb_ProjectKosten[[#Headers],[Forfait_Percentage]],Tb_ProjectKosten[#Headers],0),0),AND(F855="Arbeidskosten",G855&lt;&gt;""),IFERROR(X855*VLOOKUP(G855,Tb_KostenTypen[],3,0)*VLOOKUP(F855,Tb_ProjectKosten[],MATCH(Tb_ProjectKosten[[#Headers],[Forfait_Percentage]],Tb_ProjectKosten[#Headers],0),0),""),X855 &lt;=0,0),"")</f>
        <v/>
      </c>
      <c r="AB855" s="314" t="str">
        <f t="shared" ca="1" si="55"/>
        <v/>
      </c>
      <c r="AC855" s="322"/>
      <c r="AD855" s="315"/>
      <c r="AE855" s="32" t="str" cm="1">
        <f t="array" ref="AE855">IFERROR(IF(INDEX(SubsidieTabel!$AD$1:$AG$12,MATCH($F855,SubsidieTabel!$AD$1:$AD$12,0),IFERROR(MATCH(Methode_Keuze,SubsidieTabel!$AD$1:$AG$1,0),2))&lt;&gt;1=TRUE,"ja",""),"")</f>
        <v/>
      </c>
    </row>
    <row r="856" spans="1:31" x14ac:dyDescent="0.25">
      <c r="A856" s="316"/>
      <c r="B856" s="317" t="str">
        <f>IF(A856&lt;&gt;"",_xlfn.MAXIFS($B$1:B855,$A$1:A855,A856)+1,"")</f>
        <v/>
      </c>
      <c r="C856" s="296"/>
      <c r="D856" s="296"/>
      <c r="E856" s="296"/>
      <c r="F856" s="296"/>
      <c r="G856" s="326"/>
      <c r="H856" s="324"/>
      <c r="I856" s="325"/>
      <c r="J856" s="325"/>
      <c r="K856" s="318"/>
      <c r="L856" s="318"/>
      <c r="M856" s="319" t="str">
        <f>IFERROR(VLOOKUP(H856,Lijsten!$H$1:$I$100,2,0),"")</f>
        <v/>
      </c>
      <c r="N856" s="319" t="str">
        <f ca="1">IFERROR(IF(VLOOKUP(F856,Kostentypen!$A$3:$E$21,3,0)=0,"",IF(OR(F856="Arbeidskosten",F856="Vergoeding"),VLOOKUP(G856,Tb_KostenTypen[],2,0),VLOOKUP(F856,Kostentypen!$A$3:$E$20,3,0))),"")</f>
        <v/>
      </c>
      <c r="O856" s="320" t="str" cm="1">
        <f t="array" ref="O856">_xlfn.IFNA(IF(INDEX(Tb_KostenOptiesDB[],MATCH($F856,Tb_KostenOptiesDB[KostenOptie],0),IFERROR(MATCH(Methode_Keuze,Tb_KostenOptiesDB[#Headers],0),2))=1,_xlfn.SWITCH($N856,"Uurtarief",IF(OR(AND(RIGHT($F856,3)="IKS",VLOOKUP($M856,DB_Loonkosten,2,0)="Ja"),AND(RIGHT($F856,3)&lt;&gt;"IKS",VLOOKUP($M856,DB_Loonkosten,2,0)="Nee")),IFERROR(VLOOKUP($M856,DB_Loonkosten,24,0),""),0),"Vast tarief",IF(LEFT(F856,8)="Bijdrage",VLOOKUP($F856,Tb_KostenTypen[],MATCH(Lijsten!$P$1,Tb_KostenTypen[#Headers],0),0),VLOOKUP($G856,Lijsten!L:P,MATCH(Lijsten!$P$1,Kop_Tarief_Vast,0),0))),""),"")</f>
        <v/>
      </c>
      <c r="P856" s="320" t="str" cm="1">
        <f t="array" ref="P856">_xlfn.IFNA(IF(INDEX(Tb_KostenOptiesDB[],MATCH($F856,Tb_KostenOptiesDB[KostenOptie],0),IFERROR(MATCH(Methode_Keuze,Tb_KostenOptiesDB[#Headers],0),2))=1,_xlfn.SWITCH($N856,"Uurtarief",IF(OR(AND(RIGHT($F856,3)="IKS",VLOOKUP($M856,DB_Loonkosten,2,0)="Ja"),AND(RIGHT($F856,3)&lt;&gt;"IKS",VLOOKUP($M856,DB_Loonkosten,2,0)="Nee")),IFERROR(VLOOKUP($M856,DB_Loonkosten,25,0),""),0),"Vast tarief",IF(LEFT(F856,8)="Bijdrage",VLOOKUP($F856,Tb_KostenTypen[],MATCH(Lijsten!$P$1,Tb_KostenTypen[#Headers],0),0),VLOOKUP($G856,Lijsten!L:P,MATCH(Lijsten!$P$1,Kop_Tarief_Vast,0),0))),""),"")</f>
        <v/>
      </c>
      <c r="Q856" s="359"/>
      <c r="R856" s="359"/>
      <c r="S856" s="321"/>
      <c r="T856" s="321"/>
      <c r="U856" s="373" t="str">
        <f t="shared" si="52"/>
        <v/>
      </c>
      <c r="V856" s="314" t="str">
        <f t="shared" si="53"/>
        <v/>
      </c>
      <c r="W856" s="314" t="str" cm="1">
        <f t="array" aca="1" ref="W856" ca="1">IFERROR(IF(AE856&lt;&gt;"ja",_xlfn.IFNA(_xlfn.IFS(AND(O856&lt;&gt;"",F856&lt;&gt;"",RIGHT($N856,6)="tarief",F856="Vergoeding"),SUM(O856)*FLOOR(SUM(Q856),0.0001),AND(O856&lt;&gt;"",F856&lt;&gt;"",RIGHT($N856,6)="tarief"),SUM(O856)*FLOOR(SUM(Q856),0.01),S856&gt;0,IF(F856&lt;&gt;"",FLOOR(SUM(S856),0.01),"")),""),""),"")</f>
        <v/>
      </c>
      <c r="X856" s="314" t="str" cm="1">
        <f t="array" aca="1" ref="X856" ca="1">IFERROR(IF(AE856&lt;&gt;"ja",_xlfn.IFNA(_xlfn.IFS(AND(P856&lt;&gt;"",R856&lt;&gt;"",RIGHT($N856,6)="tarief",F856="Vergoeding"),SUM(P856)*FLOOR(SUM(R856),0.0001),AND(P856&lt;&gt;"",R856&lt;&gt;"",RIGHT($N856,6)="tarief"),P856*FLOOR(R856,0.01),T856&gt;0,FLOOR(SUM(T856),0.01)),""),""),"")</f>
        <v/>
      </c>
      <c r="Y856" s="314" t="str">
        <f t="shared" ca="1" si="54"/>
        <v/>
      </c>
      <c r="Z856" s="314" t="str" cm="1">
        <f t="array" aca="1" ref="Z856" ca="1">IFERROR(_xlfn.IFS(OR(F856="",LEFT(Methode_Keuze,4)="Geen",Methode_Keuze=""),"",AND(W856&lt;&gt;"",F856&lt;&gt;"Arbeidskosten"),W856*VLOOKUP(F856,Tb_ProjectKosten[],MATCH(Tb_ProjectKosten[[#Headers],[Forfait_Percentage]],Tb_ProjectKosten[#Headers],0),0),AND(F856="Arbeidskosten",G856&lt;&gt;""),IFERROR(W856*VLOOKUP(G856,Tb_KostenTypen[],3,0)*VLOOKUP(F856,Tb_ProjectKosten[],MATCH(Tb_ProjectKosten[[#Headers],[Forfait_Percentage]],Tb_ProjectKosten[#Headers],0),0),""),W856 &lt;=0,0),"")</f>
        <v/>
      </c>
      <c r="AA856" s="314" t="str" cm="1">
        <f t="array" aca="1" ref="AA856" ca="1">IFERROR(_xlfn.IFS(OR(F856="",LEFT(Methode_Keuze,4)="Geen",Methode_Keuze=""),"",AND(X856&lt;&gt;"",F856&lt;&gt;"Arbeidskosten"),X856*VLOOKUP(F856,Tb_ProjectKosten[],MATCH(Tb_ProjectKosten[[#Headers],[Forfait_Percentage]],Tb_ProjectKosten[#Headers],0),0),AND(F856="Arbeidskosten",G856&lt;&gt;""),IFERROR(X856*VLOOKUP(G856,Tb_KostenTypen[],3,0)*VLOOKUP(F856,Tb_ProjectKosten[],MATCH(Tb_ProjectKosten[[#Headers],[Forfait_Percentage]],Tb_ProjectKosten[#Headers],0),0),""),X856 &lt;=0,0),"")</f>
        <v/>
      </c>
      <c r="AB856" s="314" t="str">
        <f t="shared" ca="1" si="55"/>
        <v/>
      </c>
      <c r="AC856" s="322"/>
      <c r="AD856" s="315"/>
      <c r="AE856" s="32" t="str" cm="1">
        <f t="array" ref="AE856">IFERROR(IF(INDEX(SubsidieTabel!$AD$1:$AG$12,MATCH($F856,SubsidieTabel!$AD$1:$AD$12,0),IFERROR(MATCH(Methode_Keuze,SubsidieTabel!$AD$1:$AG$1,0),2))&lt;&gt;1=TRUE,"ja",""),"")</f>
        <v/>
      </c>
    </row>
    <row r="857" spans="1:31" x14ac:dyDescent="0.25">
      <c r="A857" s="316"/>
      <c r="B857" s="317" t="str">
        <f>IF(A857&lt;&gt;"",_xlfn.MAXIFS($B$1:B856,$A$1:A856,A857)+1,"")</f>
        <v/>
      </c>
      <c r="C857" s="296"/>
      <c r="D857" s="296"/>
      <c r="E857" s="296"/>
      <c r="F857" s="296"/>
      <c r="G857" s="326"/>
      <c r="H857" s="324"/>
      <c r="I857" s="325"/>
      <c r="J857" s="325"/>
      <c r="K857" s="318"/>
      <c r="L857" s="318"/>
      <c r="M857" s="319" t="str">
        <f>IFERROR(VLOOKUP(H857,Lijsten!$H$1:$I$100,2,0),"")</f>
        <v/>
      </c>
      <c r="N857" s="319" t="str">
        <f ca="1">IFERROR(IF(VLOOKUP(F857,Kostentypen!$A$3:$E$21,3,0)=0,"",IF(OR(F857="Arbeidskosten",F857="Vergoeding"),VLOOKUP(G857,Tb_KostenTypen[],2,0),VLOOKUP(F857,Kostentypen!$A$3:$E$20,3,0))),"")</f>
        <v/>
      </c>
      <c r="O857" s="320" t="str" cm="1">
        <f t="array" ref="O857">_xlfn.IFNA(IF(INDEX(Tb_KostenOptiesDB[],MATCH($F857,Tb_KostenOptiesDB[KostenOptie],0),IFERROR(MATCH(Methode_Keuze,Tb_KostenOptiesDB[#Headers],0),2))=1,_xlfn.SWITCH($N857,"Uurtarief",IF(OR(AND(RIGHT($F857,3)="IKS",VLOOKUP($M857,DB_Loonkosten,2,0)="Ja"),AND(RIGHT($F857,3)&lt;&gt;"IKS",VLOOKUP($M857,DB_Loonkosten,2,0)="Nee")),IFERROR(VLOOKUP($M857,DB_Loonkosten,24,0),""),0),"Vast tarief",IF(LEFT(F857,8)="Bijdrage",VLOOKUP($F857,Tb_KostenTypen[],MATCH(Lijsten!$P$1,Tb_KostenTypen[#Headers],0),0),VLOOKUP($G857,Lijsten!L:P,MATCH(Lijsten!$P$1,Kop_Tarief_Vast,0),0))),""),"")</f>
        <v/>
      </c>
      <c r="P857" s="320" t="str" cm="1">
        <f t="array" ref="P857">_xlfn.IFNA(IF(INDEX(Tb_KostenOptiesDB[],MATCH($F857,Tb_KostenOptiesDB[KostenOptie],0),IFERROR(MATCH(Methode_Keuze,Tb_KostenOptiesDB[#Headers],0),2))=1,_xlfn.SWITCH($N857,"Uurtarief",IF(OR(AND(RIGHT($F857,3)="IKS",VLOOKUP($M857,DB_Loonkosten,2,0)="Ja"),AND(RIGHT($F857,3)&lt;&gt;"IKS",VLOOKUP($M857,DB_Loonkosten,2,0)="Nee")),IFERROR(VLOOKUP($M857,DB_Loonkosten,25,0),""),0),"Vast tarief",IF(LEFT(F857,8)="Bijdrage",VLOOKUP($F857,Tb_KostenTypen[],MATCH(Lijsten!$P$1,Tb_KostenTypen[#Headers],0),0),VLOOKUP($G857,Lijsten!L:P,MATCH(Lijsten!$P$1,Kop_Tarief_Vast,0),0))),""),"")</f>
        <v/>
      </c>
      <c r="Q857" s="359"/>
      <c r="R857" s="359"/>
      <c r="S857" s="321"/>
      <c r="T857" s="321"/>
      <c r="U857" s="373" t="str">
        <f t="shared" si="52"/>
        <v/>
      </c>
      <c r="V857" s="314" t="str">
        <f t="shared" si="53"/>
        <v/>
      </c>
      <c r="W857" s="314" t="str" cm="1">
        <f t="array" aca="1" ref="W857" ca="1">IFERROR(IF(AE857&lt;&gt;"ja",_xlfn.IFNA(_xlfn.IFS(AND(O857&lt;&gt;"",F857&lt;&gt;"",RIGHT($N857,6)="tarief",F857="Vergoeding"),SUM(O857)*FLOOR(SUM(Q857),0.0001),AND(O857&lt;&gt;"",F857&lt;&gt;"",RIGHT($N857,6)="tarief"),SUM(O857)*FLOOR(SUM(Q857),0.01),S857&gt;0,IF(F857&lt;&gt;"",FLOOR(SUM(S857),0.01),"")),""),""),"")</f>
        <v/>
      </c>
      <c r="X857" s="314" t="str" cm="1">
        <f t="array" aca="1" ref="X857" ca="1">IFERROR(IF(AE857&lt;&gt;"ja",_xlfn.IFNA(_xlfn.IFS(AND(P857&lt;&gt;"",R857&lt;&gt;"",RIGHT($N857,6)="tarief",F857="Vergoeding"),SUM(P857)*FLOOR(SUM(R857),0.0001),AND(P857&lt;&gt;"",R857&lt;&gt;"",RIGHT($N857,6)="tarief"),P857*FLOOR(R857,0.01),T857&gt;0,FLOOR(SUM(T857),0.01)),""),""),"")</f>
        <v/>
      </c>
      <c r="Y857" s="314" t="str">
        <f t="shared" ca="1" si="54"/>
        <v/>
      </c>
      <c r="Z857" s="314" t="str" cm="1">
        <f t="array" aca="1" ref="Z857" ca="1">IFERROR(_xlfn.IFS(OR(F857="",LEFT(Methode_Keuze,4)="Geen",Methode_Keuze=""),"",AND(W857&lt;&gt;"",F857&lt;&gt;"Arbeidskosten"),W857*VLOOKUP(F857,Tb_ProjectKosten[],MATCH(Tb_ProjectKosten[[#Headers],[Forfait_Percentage]],Tb_ProjectKosten[#Headers],0),0),AND(F857="Arbeidskosten",G857&lt;&gt;""),IFERROR(W857*VLOOKUP(G857,Tb_KostenTypen[],3,0)*VLOOKUP(F857,Tb_ProjectKosten[],MATCH(Tb_ProjectKosten[[#Headers],[Forfait_Percentage]],Tb_ProjectKosten[#Headers],0),0),""),W857 &lt;=0,0),"")</f>
        <v/>
      </c>
      <c r="AA857" s="314" t="str" cm="1">
        <f t="array" aca="1" ref="AA857" ca="1">IFERROR(_xlfn.IFS(OR(F857="",LEFT(Methode_Keuze,4)="Geen",Methode_Keuze=""),"",AND(X857&lt;&gt;"",F857&lt;&gt;"Arbeidskosten"),X857*VLOOKUP(F857,Tb_ProjectKosten[],MATCH(Tb_ProjectKosten[[#Headers],[Forfait_Percentage]],Tb_ProjectKosten[#Headers],0),0),AND(F857="Arbeidskosten",G857&lt;&gt;""),IFERROR(X857*VLOOKUP(G857,Tb_KostenTypen[],3,0)*VLOOKUP(F857,Tb_ProjectKosten[],MATCH(Tb_ProjectKosten[[#Headers],[Forfait_Percentage]],Tb_ProjectKosten[#Headers],0),0),""),X857 &lt;=0,0),"")</f>
        <v/>
      </c>
      <c r="AB857" s="314" t="str">
        <f t="shared" ca="1" si="55"/>
        <v/>
      </c>
      <c r="AC857" s="322"/>
      <c r="AD857" s="315"/>
      <c r="AE857" s="32" t="str" cm="1">
        <f t="array" ref="AE857">IFERROR(IF(INDEX(SubsidieTabel!$AD$1:$AG$12,MATCH($F857,SubsidieTabel!$AD$1:$AD$12,0),IFERROR(MATCH(Methode_Keuze,SubsidieTabel!$AD$1:$AG$1,0),2))&lt;&gt;1=TRUE,"ja",""),"")</f>
        <v/>
      </c>
    </row>
    <row r="858" spans="1:31" x14ac:dyDescent="0.25">
      <c r="A858" s="316"/>
      <c r="B858" s="317" t="str">
        <f>IF(A858&lt;&gt;"",_xlfn.MAXIFS($B$1:B857,$A$1:A857,A858)+1,"")</f>
        <v/>
      </c>
      <c r="C858" s="296"/>
      <c r="D858" s="296"/>
      <c r="E858" s="296"/>
      <c r="F858" s="296"/>
      <c r="G858" s="326"/>
      <c r="H858" s="324"/>
      <c r="I858" s="325"/>
      <c r="J858" s="325"/>
      <c r="K858" s="318"/>
      <c r="L858" s="318"/>
      <c r="M858" s="319" t="str">
        <f>IFERROR(VLOOKUP(H858,Lijsten!$H$1:$I$100,2,0),"")</f>
        <v/>
      </c>
      <c r="N858" s="319" t="str">
        <f ca="1">IFERROR(IF(VLOOKUP(F858,Kostentypen!$A$3:$E$21,3,0)=0,"",IF(OR(F858="Arbeidskosten",F858="Vergoeding"),VLOOKUP(G858,Tb_KostenTypen[],2,0),VLOOKUP(F858,Kostentypen!$A$3:$E$20,3,0))),"")</f>
        <v/>
      </c>
      <c r="O858" s="320" t="str" cm="1">
        <f t="array" ref="O858">_xlfn.IFNA(IF(INDEX(Tb_KostenOptiesDB[],MATCH($F858,Tb_KostenOptiesDB[KostenOptie],0),IFERROR(MATCH(Methode_Keuze,Tb_KostenOptiesDB[#Headers],0),2))=1,_xlfn.SWITCH($N858,"Uurtarief",IF(OR(AND(RIGHT($F858,3)="IKS",VLOOKUP($M858,DB_Loonkosten,2,0)="Ja"),AND(RIGHT($F858,3)&lt;&gt;"IKS",VLOOKUP($M858,DB_Loonkosten,2,0)="Nee")),IFERROR(VLOOKUP($M858,DB_Loonkosten,24,0),""),0),"Vast tarief",IF(LEFT(F858,8)="Bijdrage",VLOOKUP($F858,Tb_KostenTypen[],MATCH(Lijsten!$P$1,Tb_KostenTypen[#Headers],0),0),VLOOKUP($G858,Lijsten!L:P,MATCH(Lijsten!$P$1,Kop_Tarief_Vast,0),0))),""),"")</f>
        <v/>
      </c>
      <c r="P858" s="320" t="str" cm="1">
        <f t="array" ref="P858">_xlfn.IFNA(IF(INDEX(Tb_KostenOptiesDB[],MATCH($F858,Tb_KostenOptiesDB[KostenOptie],0),IFERROR(MATCH(Methode_Keuze,Tb_KostenOptiesDB[#Headers],0),2))=1,_xlfn.SWITCH($N858,"Uurtarief",IF(OR(AND(RIGHT($F858,3)="IKS",VLOOKUP($M858,DB_Loonkosten,2,0)="Ja"),AND(RIGHT($F858,3)&lt;&gt;"IKS",VLOOKUP($M858,DB_Loonkosten,2,0)="Nee")),IFERROR(VLOOKUP($M858,DB_Loonkosten,25,0),""),0),"Vast tarief",IF(LEFT(F858,8)="Bijdrage",VLOOKUP($F858,Tb_KostenTypen[],MATCH(Lijsten!$P$1,Tb_KostenTypen[#Headers],0),0),VLOOKUP($G858,Lijsten!L:P,MATCH(Lijsten!$P$1,Kop_Tarief_Vast,0),0))),""),"")</f>
        <v/>
      </c>
      <c r="Q858" s="359"/>
      <c r="R858" s="359"/>
      <c r="S858" s="321"/>
      <c r="T858" s="321"/>
      <c r="U858" s="373" t="str">
        <f t="shared" si="52"/>
        <v/>
      </c>
      <c r="V858" s="314" t="str">
        <f t="shared" si="53"/>
        <v/>
      </c>
      <c r="W858" s="314" t="str" cm="1">
        <f t="array" aca="1" ref="W858" ca="1">IFERROR(IF(AE858&lt;&gt;"ja",_xlfn.IFNA(_xlfn.IFS(AND(O858&lt;&gt;"",F858&lt;&gt;"",RIGHT($N858,6)="tarief",F858="Vergoeding"),SUM(O858)*FLOOR(SUM(Q858),0.0001),AND(O858&lt;&gt;"",F858&lt;&gt;"",RIGHT($N858,6)="tarief"),SUM(O858)*FLOOR(SUM(Q858),0.01),S858&gt;0,IF(F858&lt;&gt;"",FLOOR(SUM(S858),0.01),"")),""),""),"")</f>
        <v/>
      </c>
      <c r="X858" s="314" t="str" cm="1">
        <f t="array" aca="1" ref="X858" ca="1">IFERROR(IF(AE858&lt;&gt;"ja",_xlfn.IFNA(_xlfn.IFS(AND(P858&lt;&gt;"",R858&lt;&gt;"",RIGHT($N858,6)="tarief",F858="Vergoeding"),SUM(P858)*FLOOR(SUM(R858),0.0001),AND(P858&lt;&gt;"",R858&lt;&gt;"",RIGHT($N858,6)="tarief"),P858*FLOOR(R858,0.01),T858&gt;0,FLOOR(SUM(T858),0.01)),""),""),"")</f>
        <v/>
      </c>
      <c r="Y858" s="314" t="str">
        <f t="shared" ca="1" si="54"/>
        <v/>
      </c>
      <c r="Z858" s="314" t="str" cm="1">
        <f t="array" aca="1" ref="Z858" ca="1">IFERROR(_xlfn.IFS(OR(F858="",LEFT(Methode_Keuze,4)="Geen",Methode_Keuze=""),"",AND(W858&lt;&gt;"",F858&lt;&gt;"Arbeidskosten"),W858*VLOOKUP(F858,Tb_ProjectKosten[],MATCH(Tb_ProjectKosten[[#Headers],[Forfait_Percentage]],Tb_ProjectKosten[#Headers],0),0),AND(F858="Arbeidskosten",G858&lt;&gt;""),IFERROR(W858*VLOOKUP(G858,Tb_KostenTypen[],3,0)*VLOOKUP(F858,Tb_ProjectKosten[],MATCH(Tb_ProjectKosten[[#Headers],[Forfait_Percentage]],Tb_ProjectKosten[#Headers],0),0),""),W858 &lt;=0,0),"")</f>
        <v/>
      </c>
      <c r="AA858" s="314" t="str" cm="1">
        <f t="array" aca="1" ref="AA858" ca="1">IFERROR(_xlfn.IFS(OR(F858="",LEFT(Methode_Keuze,4)="Geen",Methode_Keuze=""),"",AND(X858&lt;&gt;"",F858&lt;&gt;"Arbeidskosten"),X858*VLOOKUP(F858,Tb_ProjectKosten[],MATCH(Tb_ProjectKosten[[#Headers],[Forfait_Percentage]],Tb_ProjectKosten[#Headers],0),0),AND(F858="Arbeidskosten",G858&lt;&gt;""),IFERROR(X858*VLOOKUP(G858,Tb_KostenTypen[],3,0)*VLOOKUP(F858,Tb_ProjectKosten[],MATCH(Tb_ProjectKosten[[#Headers],[Forfait_Percentage]],Tb_ProjectKosten[#Headers],0),0),""),X858 &lt;=0,0),"")</f>
        <v/>
      </c>
      <c r="AB858" s="314" t="str">
        <f t="shared" ca="1" si="55"/>
        <v/>
      </c>
      <c r="AC858" s="322"/>
      <c r="AD858" s="315"/>
      <c r="AE858" s="32" t="str" cm="1">
        <f t="array" ref="AE858">IFERROR(IF(INDEX(SubsidieTabel!$AD$1:$AG$12,MATCH($F858,SubsidieTabel!$AD$1:$AD$12,0),IFERROR(MATCH(Methode_Keuze,SubsidieTabel!$AD$1:$AG$1,0),2))&lt;&gt;1=TRUE,"ja",""),"")</f>
        <v/>
      </c>
    </row>
    <row r="859" spans="1:31" x14ac:dyDescent="0.25">
      <c r="A859" s="316"/>
      <c r="B859" s="317" t="str">
        <f>IF(A859&lt;&gt;"",_xlfn.MAXIFS($B$1:B858,$A$1:A858,A859)+1,"")</f>
        <v/>
      </c>
      <c r="C859" s="296"/>
      <c r="D859" s="296"/>
      <c r="E859" s="296"/>
      <c r="F859" s="296"/>
      <c r="G859" s="326"/>
      <c r="H859" s="324"/>
      <c r="I859" s="325"/>
      <c r="J859" s="325"/>
      <c r="K859" s="318"/>
      <c r="L859" s="318"/>
      <c r="M859" s="319" t="str">
        <f>IFERROR(VLOOKUP(H859,Lijsten!$H$1:$I$100,2,0),"")</f>
        <v/>
      </c>
      <c r="N859" s="319" t="str">
        <f ca="1">IFERROR(IF(VLOOKUP(F859,Kostentypen!$A$3:$E$21,3,0)=0,"",IF(OR(F859="Arbeidskosten",F859="Vergoeding"),VLOOKUP(G859,Tb_KostenTypen[],2,0),VLOOKUP(F859,Kostentypen!$A$3:$E$20,3,0))),"")</f>
        <v/>
      </c>
      <c r="O859" s="320" t="str" cm="1">
        <f t="array" ref="O859">_xlfn.IFNA(IF(INDEX(Tb_KostenOptiesDB[],MATCH($F859,Tb_KostenOptiesDB[KostenOptie],0),IFERROR(MATCH(Methode_Keuze,Tb_KostenOptiesDB[#Headers],0),2))=1,_xlfn.SWITCH($N859,"Uurtarief",IF(OR(AND(RIGHT($F859,3)="IKS",VLOOKUP($M859,DB_Loonkosten,2,0)="Ja"),AND(RIGHT($F859,3)&lt;&gt;"IKS",VLOOKUP($M859,DB_Loonkosten,2,0)="Nee")),IFERROR(VLOOKUP($M859,DB_Loonkosten,24,0),""),0),"Vast tarief",IF(LEFT(F859,8)="Bijdrage",VLOOKUP($F859,Tb_KostenTypen[],MATCH(Lijsten!$P$1,Tb_KostenTypen[#Headers],0),0),VLOOKUP($G859,Lijsten!L:P,MATCH(Lijsten!$P$1,Kop_Tarief_Vast,0),0))),""),"")</f>
        <v/>
      </c>
      <c r="P859" s="320" t="str" cm="1">
        <f t="array" ref="P859">_xlfn.IFNA(IF(INDEX(Tb_KostenOptiesDB[],MATCH($F859,Tb_KostenOptiesDB[KostenOptie],0),IFERROR(MATCH(Methode_Keuze,Tb_KostenOptiesDB[#Headers],0),2))=1,_xlfn.SWITCH($N859,"Uurtarief",IF(OR(AND(RIGHT($F859,3)="IKS",VLOOKUP($M859,DB_Loonkosten,2,0)="Ja"),AND(RIGHT($F859,3)&lt;&gt;"IKS",VLOOKUP($M859,DB_Loonkosten,2,0)="Nee")),IFERROR(VLOOKUP($M859,DB_Loonkosten,25,0),""),0),"Vast tarief",IF(LEFT(F859,8)="Bijdrage",VLOOKUP($F859,Tb_KostenTypen[],MATCH(Lijsten!$P$1,Tb_KostenTypen[#Headers],0),0),VLOOKUP($G859,Lijsten!L:P,MATCH(Lijsten!$P$1,Kop_Tarief_Vast,0),0))),""),"")</f>
        <v/>
      </c>
      <c r="Q859" s="359"/>
      <c r="R859" s="359"/>
      <c r="S859" s="321"/>
      <c r="T859" s="321"/>
      <c r="U859" s="373" t="str">
        <f t="shared" si="52"/>
        <v/>
      </c>
      <c r="V859" s="314" t="str">
        <f t="shared" si="53"/>
        <v/>
      </c>
      <c r="W859" s="314" t="str" cm="1">
        <f t="array" aca="1" ref="W859" ca="1">IFERROR(IF(AE859&lt;&gt;"ja",_xlfn.IFNA(_xlfn.IFS(AND(O859&lt;&gt;"",F859&lt;&gt;"",RIGHT($N859,6)="tarief",F859="Vergoeding"),SUM(O859)*FLOOR(SUM(Q859),0.0001),AND(O859&lt;&gt;"",F859&lt;&gt;"",RIGHT($N859,6)="tarief"),SUM(O859)*FLOOR(SUM(Q859),0.01),S859&gt;0,IF(F859&lt;&gt;"",FLOOR(SUM(S859),0.01),"")),""),""),"")</f>
        <v/>
      </c>
      <c r="X859" s="314" t="str" cm="1">
        <f t="array" aca="1" ref="X859" ca="1">IFERROR(IF(AE859&lt;&gt;"ja",_xlfn.IFNA(_xlfn.IFS(AND(P859&lt;&gt;"",R859&lt;&gt;"",RIGHT($N859,6)="tarief",F859="Vergoeding"),SUM(P859)*FLOOR(SUM(R859),0.0001),AND(P859&lt;&gt;"",R859&lt;&gt;"",RIGHT($N859,6)="tarief"),P859*FLOOR(R859,0.01),T859&gt;0,FLOOR(SUM(T859),0.01)),""),""),"")</f>
        <v/>
      </c>
      <c r="Y859" s="314" t="str">
        <f t="shared" ca="1" si="54"/>
        <v/>
      </c>
      <c r="Z859" s="314" t="str" cm="1">
        <f t="array" aca="1" ref="Z859" ca="1">IFERROR(_xlfn.IFS(OR(F859="",LEFT(Methode_Keuze,4)="Geen",Methode_Keuze=""),"",AND(W859&lt;&gt;"",F859&lt;&gt;"Arbeidskosten"),W859*VLOOKUP(F859,Tb_ProjectKosten[],MATCH(Tb_ProjectKosten[[#Headers],[Forfait_Percentage]],Tb_ProjectKosten[#Headers],0),0),AND(F859="Arbeidskosten",G859&lt;&gt;""),IFERROR(W859*VLOOKUP(G859,Tb_KostenTypen[],3,0)*VLOOKUP(F859,Tb_ProjectKosten[],MATCH(Tb_ProjectKosten[[#Headers],[Forfait_Percentage]],Tb_ProjectKosten[#Headers],0),0),""),W859 &lt;=0,0),"")</f>
        <v/>
      </c>
      <c r="AA859" s="314" t="str" cm="1">
        <f t="array" aca="1" ref="AA859" ca="1">IFERROR(_xlfn.IFS(OR(F859="",LEFT(Methode_Keuze,4)="Geen",Methode_Keuze=""),"",AND(X859&lt;&gt;"",F859&lt;&gt;"Arbeidskosten"),X859*VLOOKUP(F859,Tb_ProjectKosten[],MATCH(Tb_ProjectKosten[[#Headers],[Forfait_Percentage]],Tb_ProjectKosten[#Headers],0),0),AND(F859="Arbeidskosten",G859&lt;&gt;""),IFERROR(X859*VLOOKUP(G859,Tb_KostenTypen[],3,0)*VLOOKUP(F859,Tb_ProjectKosten[],MATCH(Tb_ProjectKosten[[#Headers],[Forfait_Percentage]],Tb_ProjectKosten[#Headers],0),0),""),X859 &lt;=0,0),"")</f>
        <v/>
      </c>
      <c r="AB859" s="314" t="str">
        <f t="shared" ca="1" si="55"/>
        <v/>
      </c>
      <c r="AC859" s="322"/>
      <c r="AD859" s="315"/>
      <c r="AE859" s="32" t="str" cm="1">
        <f t="array" ref="AE859">IFERROR(IF(INDEX(SubsidieTabel!$AD$1:$AG$12,MATCH($F859,SubsidieTabel!$AD$1:$AD$12,0),IFERROR(MATCH(Methode_Keuze,SubsidieTabel!$AD$1:$AG$1,0),2))&lt;&gt;1=TRUE,"ja",""),"")</f>
        <v/>
      </c>
    </row>
    <row r="860" spans="1:31" x14ac:dyDescent="0.25">
      <c r="A860" s="316"/>
      <c r="B860" s="317" t="str">
        <f>IF(A860&lt;&gt;"",_xlfn.MAXIFS($B$1:B859,$A$1:A859,A860)+1,"")</f>
        <v/>
      </c>
      <c r="C860" s="296"/>
      <c r="D860" s="296"/>
      <c r="E860" s="296"/>
      <c r="F860" s="296"/>
      <c r="G860" s="326"/>
      <c r="H860" s="324"/>
      <c r="I860" s="325"/>
      <c r="J860" s="325"/>
      <c r="K860" s="318"/>
      <c r="L860" s="318"/>
      <c r="M860" s="319" t="str">
        <f>IFERROR(VLOOKUP(H860,Lijsten!$H$1:$I$100,2,0),"")</f>
        <v/>
      </c>
      <c r="N860" s="319" t="str">
        <f ca="1">IFERROR(IF(VLOOKUP(F860,Kostentypen!$A$3:$E$21,3,0)=0,"",IF(OR(F860="Arbeidskosten",F860="Vergoeding"),VLOOKUP(G860,Tb_KostenTypen[],2,0),VLOOKUP(F860,Kostentypen!$A$3:$E$20,3,0))),"")</f>
        <v/>
      </c>
      <c r="O860" s="320" t="str" cm="1">
        <f t="array" ref="O860">_xlfn.IFNA(IF(INDEX(Tb_KostenOptiesDB[],MATCH($F860,Tb_KostenOptiesDB[KostenOptie],0),IFERROR(MATCH(Methode_Keuze,Tb_KostenOptiesDB[#Headers],0),2))=1,_xlfn.SWITCH($N860,"Uurtarief",IF(OR(AND(RIGHT($F860,3)="IKS",VLOOKUP($M860,DB_Loonkosten,2,0)="Ja"),AND(RIGHT($F860,3)&lt;&gt;"IKS",VLOOKUP($M860,DB_Loonkosten,2,0)="Nee")),IFERROR(VLOOKUP($M860,DB_Loonkosten,24,0),""),0),"Vast tarief",IF(LEFT(F860,8)="Bijdrage",VLOOKUP($F860,Tb_KostenTypen[],MATCH(Lijsten!$P$1,Tb_KostenTypen[#Headers],0),0),VLOOKUP($G860,Lijsten!L:P,MATCH(Lijsten!$P$1,Kop_Tarief_Vast,0),0))),""),"")</f>
        <v/>
      </c>
      <c r="P860" s="320" t="str" cm="1">
        <f t="array" ref="P860">_xlfn.IFNA(IF(INDEX(Tb_KostenOptiesDB[],MATCH($F860,Tb_KostenOptiesDB[KostenOptie],0),IFERROR(MATCH(Methode_Keuze,Tb_KostenOptiesDB[#Headers],0),2))=1,_xlfn.SWITCH($N860,"Uurtarief",IF(OR(AND(RIGHT($F860,3)="IKS",VLOOKUP($M860,DB_Loonkosten,2,0)="Ja"),AND(RIGHT($F860,3)&lt;&gt;"IKS",VLOOKUP($M860,DB_Loonkosten,2,0)="Nee")),IFERROR(VLOOKUP($M860,DB_Loonkosten,25,0),""),0),"Vast tarief",IF(LEFT(F860,8)="Bijdrage",VLOOKUP($F860,Tb_KostenTypen[],MATCH(Lijsten!$P$1,Tb_KostenTypen[#Headers],0),0),VLOOKUP($G860,Lijsten!L:P,MATCH(Lijsten!$P$1,Kop_Tarief_Vast,0),0))),""),"")</f>
        <v/>
      </c>
      <c r="Q860" s="359"/>
      <c r="R860" s="359"/>
      <c r="S860" s="321"/>
      <c r="T860" s="321"/>
      <c r="U860" s="373" t="str">
        <f t="shared" si="52"/>
        <v/>
      </c>
      <c r="V860" s="314" t="str">
        <f t="shared" si="53"/>
        <v/>
      </c>
      <c r="W860" s="314" t="str" cm="1">
        <f t="array" aca="1" ref="W860" ca="1">IFERROR(IF(AE860&lt;&gt;"ja",_xlfn.IFNA(_xlfn.IFS(AND(O860&lt;&gt;"",F860&lt;&gt;"",RIGHT($N860,6)="tarief",F860="Vergoeding"),SUM(O860)*FLOOR(SUM(Q860),0.0001),AND(O860&lt;&gt;"",F860&lt;&gt;"",RIGHT($N860,6)="tarief"),SUM(O860)*FLOOR(SUM(Q860),0.01),S860&gt;0,IF(F860&lt;&gt;"",FLOOR(SUM(S860),0.01),"")),""),""),"")</f>
        <v/>
      </c>
      <c r="X860" s="314" t="str" cm="1">
        <f t="array" aca="1" ref="X860" ca="1">IFERROR(IF(AE860&lt;&gt;"ja",_xlfn.IFNA(_xlfn.IFS(AND(P860&lt;&gt;"",R860&lt;&gt;"",RIGHT($N860,6)="tarief",F860="Vergoeding"),SUM(P860)*FLOOR(SUM(R860),0.0001),AND(P860&lt;&gt;"",R860&lt;&gt;"",RIGHT($N860,6)="tarief"),P860*FLOOR(R860,0.01),T860&gt;0,FLOOR(SUM(T860),0.01)),""),""),"")</f>
        <v/>
      </c>
      <c r="Y860" s="314" t="str">
        <f t="shared" ca="1" si="54"/>
        <v/>
      </c>
      <c r="Z860" s="314" t="str" cm="1">
        <f t="array" aca="1" ref="Z860" ca="1">IFERROR(_xlfn.IFS(OR(F860="",LEFT(Methode_Keuze,4)="Geen",Methode_Keuze=""),"",AND(W860&lt;&gt;"",F860&lt;&gt;"Arbeidskosten"),W860*VLOOKUP(F860,Tb_ProjectKosten[],MATCH(Tb_ProjectKosten[[#Headers],[Forfait_Percentage]],Tb_ProjectKosten[#Headers],0),0),AND(F860="Arbeidskosten",G860&lt;&gt;""),IFERROR(W860*VLOOKUP(G860,Tb_KostenTypen[],3,0)*VLOOKUP(F860,Tb_ProjectKosten[],MATCH(Tb_ProjectKosten[[#Headers],[Forfait_Percentage]],Tb_ProjectKosten[#Headers],0),0),""),W860 &lt;=0,0),"")</f>
        <v/>
      </c>
      <c r="AA860" s="314" t="str" cm="1">
        <f t="array" aca="1" ref="AA860" ca="1">IFERROR(_xlfn.IFS(OR(F860="",LEFT(Methode_Keuze,4)="Geen",Methode_Keuze=""),"",AND(X860&lt;&gt;"",F860&lt;&gt;"Arbeidskosten"),X860*VLOOKUP(F860,Tb_ProjectKosten[],MATCH(Tb_ProjectKosten[[#Headers],[Forfait_Percentage]],Tb_ProjectKosten[#Headers],0),0),AND(F860="Arbeidskosten",G860&lt;&gt;""),IFERROR(X860*VLOOKUP(G860,Tb_KostenTypen[],3,0)*VLOOKUP(F860,Tb_ProjectKosten[],MATCH(Tb_ProjectKosten[[#Headers],[Forfait_Percentage]],Tb_ProjectKosten[#Headers],0),0),""),X860 &lt;=0,0),"")</f>
        <v/>
      </c>
      <c r="AB860" s="314" t="str">
        <f t="shared" ca="1" si="55"/>
        <v/>
      </c>
      <c r="AC860" s="322"/>
      <c r="AD860" s="315"/>
      <c r="AE860" s="32" t="str" cm="1">
        <f t="array" ref="AE860">IFERROR(IF(INDEX(SubsidieTabel!$AD$1:$AG$12,MATCH($F860,SubsidieTabel!$AD$1:$AD$12,0),IFERROR(MATCH(Methode_Keuze,SubsidieTabel!$AD$1:$AG$1,0),2))&lt;&gt;1=TRUE,"ja",""),"")</f>
        <v/>
      </c>
    </row>
    <row r="861" spans="1:31" x14ac:dyDescent="0.25">
      <c r="A861" s="316"/>
      <c r="B861" s="317" t="str">
        <f>IF(A861&lt;&gt;"",_xlfn.MAXIFS($B$1:B860,$A$1:A860,A861)+1,"")</f>
        <v/>
      </c>
      <c r="C861" s="296"/>
      <c r="D861" s="296"/>
      <c r="E861" s="296"/>
      <c r="F861" s="296"/>
      <c r="G861" s="326"/>
      <c r="H861" s="324"/>
      <c r="I861" s="325"/>
      <c r="J861" s="325"/>
      <c r="K861" s="318"/>
      <c r="L861" s="318"/>
      <c r="M861" s="319" t="str">
        <f>IFERROR(VLOOKUP(H861,Lijsten!$H$1:$I$100,2,0),"")</f>
        <v/>
      </c>
      <c r="N861" s="319" t="str">
        <f ca="1">IFERROR(IF(VLOOKUP(F861,Kostentypen!$A$3:$E$21,3,0)=0,"",IF(OR(F861="Arbeidskosten",F861="Vergoeding"),VLOOKUP(G861,Tb_KostenTypen[],2,0),VLOOKUP(F861,Kostentypen!$A$3:$E$20,3,0))),"")</f>
        <v/>
      </c>
      <c r="O861" s="320" t="str" cm="1">
        <f t="array" ref="O861">_xlfn.IFNA(IF(INDEX(Tb_KostenOptiesDB[],MATCH($F861,Tb_KostenOptiesDB[KostenOptie],0),IFERROR(MATCH(Methode_Keuze,Tb_KostenOptiesDB[#Headers],0),2))=1,_xlfn.SWITCH($N861,"Uurtarief",IF(OR(AND(RIGHT($F861,3)="IKS",VLOOKUP($M861,DB_Loonkosten,2,0)="Ja"),AND(RIGHT($F861,3)&lt;&gt;"IKS",VLOOKUP($M861,DB_Loonkosten,2,0)="Nee")),IFERROR(VLOOKUP($M861,DB_Loonkosten,24,0),""),0),"Vast tarief",IF(LEFT(F861,8)="Bijdrage",VLOOKUP($F861,Tb_KostenTypen[],MATCH(Lijsten!$P$1,Tb_KostenTypen[#Headers],0),0),VLOOKUP($G861,Lijsten!L:P,MATCH(Lijsten!$P$1,Kop_Tarief_Vast,0),0))),""),"")</f>
        <v/>
      </c>
      <c r="P861" s="320" t="str" cm="1">
        <f t="array" ref="P861">_xlfn.IFNA(IF(INDEX(Tb_KostenOptiesDB[],MATCH($F861,Tb_KostenOptiesDB[KostenOptie],0),IFERROR(MATCH(Methode_Keuze,Tb_KostenOptiesDB[#Headers],0),2))=1,_xlfn.SWITCH($N861,"Uurtarief",IF(OR(AND(RIGHT($F861,3)="IKS",VLOOKUP($M861,DB_Loonkosten,2,0)="Ja"),AND(RIGHT($F861,3)&lt;&gt;"IKS",VLOOKUP($M861,DB_Loonkosten,2,0)="Nee")),IFERROR(VLOOKUP($M861,DB_Loonkosten,25,0),""),0),"Vast tarief",IF(LEFT(F861,8)="Bijdrage",VLOOKUP($F861,Tb_KostenTypen[],MATCH(Lijsten!$P$1,Tb_KostenTypen[#Headers],0),0),VLOOKUP($G861,Lijsten!L:P,MATCH(Lijsten!$P$1,Kop_Tarief_Vast,0),0))),""),"")</f>
        <v/>
      </c>
      <c r="Q861" s="359"/>
      <c r="R861" s="359"/>
      <c r="S861" s="321"/>
      <c r="T861" s="321"/>
      <c r="U861" s="373" t="str">
        <f t="shared" si="52"/>
        <v/>
      </c>
      <c r="V861" s="314" t="str">
        <f t="shared" si="53"/>
        <v/>
      </c>
      <c r="W861" s="314" t="str" cm="1">
        <f t="array" aca="1" ref="W861" ca="1">IFERROR(IF(AE861&lt;&gt;"ja",_xlfn.IFNA(_xlfn.IFS(AND(O861&lt;&gt;"",F861&lt;&gt;"",RIGHT($N861,6)="tarief",F861="Vergoeding"),SUM(O861)*FLOOR(SUM(Q861),0.0001),AND(O861&lt;&gt;"",F861&lt;&gt;"",RIGHT($N861,6)="tarief"),SUM(O861)*FLOOR(SUM(Q861),0.01),S861&gt;0,IF(F861&lt;&gt;"",FLOOR(SUM(S861),0.01),"")),""),""),"")</f>
        <v/>
      </c>
      <c r="X861" s="314" t="str" cm="1">
        <f t="array" aca="1" ref="X861" ca="1">IFERROR(IF(AE861&lt;&gt;"ja",_xlfn.IFNA(_xlfn.IFS(AND(P861&lt;&gt;"",R861&lt;&gt;"",RIGHT($N861,6)="tarief",F861="Vergoeding"),SUM(P861)*FLOOR(SUM(R861),0.0001),AND(P861&lt;&gt;"",R861&lt;&gt;"",RIGHT($N861,6)="tarief"),P861*FLOOR(R861,0.01),T861&gt;0,FLOOR(SUM(T861),0.01)),""),""),"")</f>
        <v/>
      </c>
      <c r="Y861" s="314" t="str">
        <f t="shared" ca="1" si="54"/>
        <v/>
      </c>
      <c r="Z861" s="314" t="str" cm="1">
        <f t="array" aca="1" ref="Z861" ca="1">IFERROR(_xlfn.IFS(OR(F861="",LEFT(Methode_Keuze,4)="Geen",Methode_Keuze=""),"",AND(W861&lt;&gt;"",F861&lt;&gt;"Arbeidskosten"),W861*VLOOKUP(F861,Tb_ProjectKosten[],MATCH(Tb_ProjectKosten[[#Headers],[Forfait_Percentage]],Tb_ProjectKosten[#Headers],0),0),AND(F861="Arbeidskosten",G861&lt;&gt;""),IFERROR(W861*VLOOKUP(G861,Tb_KostenTypen[],3,0)*VLOOKUP(F861,Tb_ProjectKosten[],MATCH(Tb_ProjectKosten[[#Headers],[Forfait_Percentage]],Tb_ProjectKosten[#Headers],0),0),""),W861 &lt;=0,0),"")</f>
        <v/>
      </c>
      <c r="AA861" s="314" t="str" cm="1">
        <f t="array" aca="1" ref="AA861" ca="1">IFERROR(_xlfn.IFS(OR(F861="",LEFT(Methode_Keuze,4)="Geen",Methode_Keuze=""),"",AND(X861&lt;&gt;"",F861&lt;&gt;"Arbeidskosten"),X861*VLOOKUP(F861,Tb_ProjectKosten[],MATCH(Tb_ProjectKosten[[#Headers],[Forfait_Percentage]],Tb_ProjectKosten[#Headers],0),0),AND(F861="Arbeidskosten",G861&lt;&gt;""),IFERROR(X861*VLOOKUP(G861,Tb_KostenTypen[],3,0)*VLOOKUP(F861,Tb_ProjectKosten[],MATCH(Tb_ProjectKosten[[#Headers],[Forfait_Percentage]],Tb_ProjectKosten[#Headers],0),0),""),X861 &lt;=0,0),"")</f>
        <v/>
      </c>
      <c r="AB861" s="314" t="str">
        <f t="shared" ca="1" si="55"/>
        <v/>
      </c>
      <c r="AC861" s="322"/>
      <c r="AD861" s="315"/>
      <c r="AE861" s="32" t="str" cm="1">
        <f t="array" ref="AE861">IFERROR(IF(INDEX(SubsidieTabel!$AD$1:$AG$12,MATCH($F861,SubsidieTabel!$AD$1:$AD$12,0),IFERROR(MATCH(Methode_Keuze,SubsidieTabel!$AD$1:$AG$1,0),2))&lt;&gt;1=TRUE,"ja",""),"")</f>
        <v/>
      </c>
    </row>
    <row r="862" spans="1:31" x14ac:dyDescent="0.25">
      <c r="A862" s="316"/>
      <c r="B862" s="317" t="str">
        <f>IF(A862&lt;&gt;"",_xlfn.MAXIFS($B$1:B861,$A$1:A861,A862)+1,"")</f>
        <v/>
      </c>
      <c r="C862" s="296"/>
      <c r="D862" s="296"/>
      <c r="E862" s="296"/>
      <c r="F862" s="296"/>
      <c r="G862" s="326"/>
      <c r="H862" s="324"/>
      <c r="I862" s="325"/>
      <c r="J862" s="325"/>
      <c r="K862" s="318"/>
      <c r="L862" s="318"/>
      <c r="M862" s="319" t="str">
        <f>IFERROR(VLOOKUP(H862,Lijsten!$H$1:$I$100,2,0),"")</f>
        <v/>
      </c>
      <c r="N862" s="319" t="str">
        <f ca="1">IFERROR(IF(VLOOKUP(F862,Kostentypen!$A$3:$E$21,3,0)=0,"",IF(OR(F862="Arbeidskosten",F862="Vergoeding"),VLOOKUP(G862,Tb_KostenTypen[],2,0),VLOOKUP(F862,Kostentypen!$A$3:$E$20,3,0))),"")</f>
        <v/>
      </c>
      <c r="O862" s="320" t="str" cm="1">
        <f t="array" ref="O862">_xlfn.IFNA(IF(INDEX(Tb_KostenOptiesDB[],MATCH($F862,Tb_KostenOptiesDB[KostenOptie],0),IFERROR(MATCH(Methode_Keuze,Tb_KostenOptiesDB[#Headers],0),2))=1,_xlfn.SWITCH($N862,"Uurtarief",IF(OR(AND(RIGHT($F862,3)="IKS",VLOOKUP($M862,DB_Loonkosten,2,0)="Ja"),AND(RIGHT($F862,3)&lt;&gt;"IKS",VLOOKUP($M862,DB_Loonkosten,2,0)="Nee")),IFERROR(VLOOKUP($M862,DB_Loonkosten,24,0),""),0),"Vast tarief",IF(LEFT(F862,8)="Bijdrage",VLOOKUP($F862,Tb_KostenTypen[],MATCH(Lijsten!$P$1,Tb_KostenTypen[#Headers],0),0),VLOOKUP($G862,Lijsten!L:P,MATCH(Lijsten!$P$1,Kop_Tarief_Vast,0),0))),""),"")</f>
        <v/>
      </c>
      <c r="P862" s="320" t="str" cm="1">
        <f t="array" ref="P862">_xlfn.IFNA(IF(INDEX(Tb_KostenOptiesDB[],MATCH($F862,Tb_KostenOptiesDB[KostenOptie],0),IFERROR(MATCH(Methode_Keuze,Tb_KostenOptiesDB[#Headers],0),2))=1,_xlfn.SWITCH($N862,"Uurtarief",IF(OR(AND(RIGHT($F862,3)="IKS",VLOOKUP($M862,DB_Loonkosten,2,0)="Ja"),AND(RIGHT($F862,3)&lt;&gt;"IKS",VLOOKUP($M862,DB_Loonkosten,2,0)="Nee")),IFERROR(VLOOKUP($M862,DB_Loonkosten,25,0),""),0),"Vast tarief",IF(LEFT(F862,8)="Bijdrage",VLOOKUP($F862,Tb_KostenTypen[],MATCH(Lijsten!$P$1,Tb_KostenTypen[#Headers],0),0),VLOOKUP($G862,Lijsten!L:P,MATCH(Lijsten!$P$1,Kop_Tarief_Vast,0),0))),""),"")</f>
        <v/>
      </c>
      <c r="Q862" s="359"/>
      <c r="R862" s="359"/>
      <c r="S862" s="321"/>
      <c r="T862" s="321"/>
      <c r="U862" s="373" t="str">
        <f t="shared" si="52"/>
        <v/>
      </c>
      <c r="V862" s="314" t="str">
        <f t="shared" si="53"/>
        <v/>
      </c>
      <c r="W862" s="314" t="str" cm="1">
        <f t="array" aca="1" ref="W862" ca="1">IFERROR(IF(AE862&lt;&gt;"ja",_xlfn.IFNA(_xlfn.IFS(AND(O862&lt;&gt;"",F862&lt;&gt;"",RIGHT($N862,6)="tarief",F862="Vergoeding"),SUM(O862)*FLOOR(SUM(Q862),0.0001),AND(O862&lt;&gt;"",F862&lt;&gt;"",RIGHT($N862,6)="tarief"),SUM(O862)*FLOOR(SUM(Q862),0.01),S862&gt;0,IF(F862&lt;&gt;"",FLOOR(SUM(S862),0.01),"")),""),""),"")</f>
        <v/>
      </c>
      <c r="X862" s="314" t="str" cm="1">
        <f t="array" aca="1" ref="X862" ca="1">IFERROR(IF(AE862&lt;&gt;"ja",_xlfn.IFNA(_xlfn.IFS(AND(P862&lt;&gt;"",R862&lt;&gt;"",RIGHT($N862,6)="tarief",F862="Vergoeding"),SUM(P862)*FLOOR(SUM(R862),0.0001),AND(P862&lt;&gt;"",R862&lt;&gt;"",RIGHT($N862,6)="tarief"),P862*FLOOR(R862,0.01),T862&gt;0,FLOOR(SUM(T862),0.01)),""),""),"")</f>
        <v/>
      </c>
      <c r="Y862" s="314" t="str">
        <f t="shared" ca="1" si="54"/>
        <v/>
      </c>
      <c r="Z862" s="314" t="str" cm="1">
        <f t="array" aca="1" ref="Z862" ca="1">IFERROR(_xlfn.IFS(OR(F862="",LEFT(Methode_Keuze,4)="Geen",Methode_Keuze=""),"",AND(W862&lt;&gt;"",F862&lt;&gt;"Arbeidskosten"),W862*VLOOKUP(F862,Tb_ProjectKosten[],MATCH(Tb_ProjectKosten[[#Headers],[Forfait_Percentage]],Tb_ProjectKosten[#Headers],0),0),AND(F862="Arbeidskosten",G862&lt;&gt;""),IFERROR(W862*VLOOKUP(G862,Tb_KostenTypen[],3,0)*VLOOKUP(F862,Tb_ProjectKosten[],MATCH(Tb_ProjectKosten[[#Headers],[Forfait_Percentage]],Tb_ProjectKosten[#Headers],0),0),""),W862 &lt;=0,0),"")</f>
        <v/>
      </c>
      <c r="AA862" s="314" t="str" cm="1">
        <f t="array" aca="1" ref="AA862" ca="1">IFERROR(_xlfn.IFS(OR(F862="",LEFT(Methode_Keuze,4)="Geen",Methode_Keuze=""),"",AND(X862&lt;&gt;"",F862&lt;&gt;"Arbeidskosten"),X862*VLOOKUP(F862,Tb_ProjectKosten[],MATCH(Tb_ProjectKosten[[#Headers],[Forfait_Percentage]],Tb_ProjectKosten[#Headers],0),0),AND(F862="Arbeidskosten",G862&lt;&gt;""),IFERROR(X862*VLOOKUP(G862,Tb_KostenTypen[],3,0)*VLOOKUP(F862,Tb_ProjectKosten[],MATCH(Tb_ProjectKosten[[#Headers],[Forfait_Percentage]],Tb_ProjectKosten[#Headers],0),0),""),X862 &lt;=0,0),"")</f>
        <v/>
      </c>
      <c r="AB862" s="314" t="str">
        <f t="shared" ca="1" si="55"/>
        <v/>
      </c>
      <c r="AC862" s="322"/>
      <c r="AD862" s="315"/>
      <c r="AE862" s="32" t="str" cm="1">
        <f t="array" ref="AE862">IFERROR(IF(INDEX(SubsidieTabel!$AD$1:$AG$12,MATCH($F862,SubsidieTabel!$AD$1:$AD$12,0),IFERROR(MATCH(Methode_Keuze,SubsidieTabel!$AD$1:$AG$1,0),2))&lt;&gt;1=TRUE,"ja",""),"")</f>
        <v/>
      </c>
    </row>
    <row r="863" spans="1:31" x14ac:dyDescent="0.25">
      <c r="A863" s="316"/>
      <c r="B863" s="317" t="str">
        <f>IF(A863&lt;&gt;"",_xlfn.MAXIFS($B$1:B862,$A$1:A862,A863)+1,"")</f>
        <v/>
      </c>
      <c r="C863" s="296"/>
      <c r="D863" s="296"/>
      <c r="E863" s="296"/>
      <c r="F863" s="296"/>
      <c r="G863" s="326"/>
      <c r="H863" s="324"/>
      <c r="I863" s="325"/>
      <c r="J863" s="325"/>
      <c r="K863" s="318"/>
      <c r="L863" s="318"/>
      <c r="M863" s="319" t="str">
        <f>IFERROR(VLOOKUP(H863,Lijsten!$H$1:$I$100,2,0),"")</f>
        <v/>
      </c>
      <c r="N863" s="319" t="str">
        <f ca="1">IFERROR(IF(VLOOKUP(F863,Kostentypen!$A$3:$E$21,3,0)=0,"",IF(OR(F863="Arbeidskosten",F863="Vergoeding"),VLOOKUP(G863,Tb_KostenTypen[],2,0),VLOOKUP(F863,Kostentypen!$A$3:$E$20,3,0))),"")</f>
        <v/>
      </c>
      <c r="O863" s="320" t="str" cm="1">
        <f t="array" ref="O863">_xlfn.IFNA(IF(INDEX(Tb_KostenOptiesDB[],MATCH($F863,Tb_KostenOptiesDB[KostenOptie],0),IFERROR(MATCH(Methode_Keuze,Tb_KostenOptiesDB[#Headers],0),2))=1,_xlfn.SWITCH($N863,"Uurtarief",IF(OR(AND(RIGHT($F863,3)="IKS",VLOOKUP($M863,DB_Loonkosten,2,0)="Ja"),AND(RIGHT($F863,3)&lt;&gt;"IKS",VLOOKUP($M863,DB_Loonkosten,2,0)="Nee")),IFERROR(VLOOKUP($M863,DB_Loonkosten,24,0),""),0),"Vast tarief",IF(LEFT(F863,8)="Bijdrage",VLOOKUP($F863,Tb_KostenTypen[],MATCH(Lijsten!$P$1,Tb_KostenTypen[#Headers],0),0),VLOOKUP($G863,Lijsten!L:P,MATCH(Lijsten!$P$1,Kop_Tarief_Vast,0),0))),""),"")</f>
        <v/>
      </c>
      <c r="P863" s="320" t="str" cm="1">
        <f t="array" ref="P863">_xlfn.IFNA(IF(INDEX(Tb_KostenOptiesDB[],MATCH($F863,Tb_KostenOptiesDB[KostenOptie],0),IFERROR(MATCH(Methode_Keuze,Tb_KostenOptiesDB[#Headers],0),2))=1,_xlfn.SWITCH($N863,"Uurtarief",IF(OR(AND(RIGHT($F863,3)="IKS",VLOOKUP($M863,DB_Loonkosten,2,0)="Ja"),AND(RIGHT($F863,3)&lt;&gt;"IKS",VLOOKUP($M863,DB_Loonkosten,2,0)="Nee")),IFERROR(VLOOKUP($M863,DB_Loonkosten,25,0),""),0),"Vast tarief",IF(LEFT(F863,8)="Bijdrage",VLOOKUP($F863,Tb_KostenTypen[],MATCH(Lijsten!$P$1,Tb_KostenTypen[#Headers],0),0),VLOOKUP($G863,Lijsten!L:P,MATCH(Lijsten!$P$1,Kop_Tarief_Vast,0),0))),""),"")</f>
        <v/>
      </c>
      <c r="Q863" s="359"/>
      <c r="R863" s="359"/>
      <c r="S863" s="321"/>
      <c r="T863" s="321"/>
      <c r="U863" s="373" t="str">
        <f t="shared" si="52"/>
        <v/>
      </c>
      <c r="V863" s="314" t="str">
        <f t="shared" si="53"/>
        <v/>
      </c>
      <c r="W863" s="314" t="str" cm="1">
        <f t="array" aca="1" ref="W863" ca="1">IFERROR(IF(AE863&lt;&gt;"ja",_xlfn.IFNA(_xlfn.IFS(AND(O863&lt;&gt;"",F863&lt;&gt;"",RIGHT($N863,6)="tarief",F863="Vergoeding"),SUM(O863)*FLOOR(SUM(Q863),0.0001),AND(O863&lt;&gt;"",F863&lt;&gt;"",RIGHT($N863,6)="tarief"),SUM(O863)*FLOOR(SUM(Q863),0.01),S863&gt;0,IF(F863&lt;&gt;"",FLOOR(SUM(S863),0.01),"")),""),""),"")</f>
        <v/>
      </c>
      <c r="X863" s="314" t="str" cm="1">
        <f t="array" aca="1" ref="X863" ca="1">IFERROR(IF(AE863&lt;&gt;"ja",_xlfn.IFNA(_xlfn.IFS(AND(P863&lt;&gt;"",R863&lt;&gt;"",RIGHT($N863,6)="tarief",F863="Vergoeding"),SUM(P863)*FLOOR(SUM(R863),0.0001),AND(P863&lt;&gt;"",R863&lt;&gt;"",RIGHT($N863,6)="tarief"),P863*FLOOR(R863,0.01),T863&gt;0,FLOOR(SUM(T863),0.01)),""),""),"")</f>
        <v/>
      </c>
      <c r="Y863" s="314" t="str">
        <f t="shared" ca="1" si="54"/>
        <v/>
      </c>
      <c r="Z863" s="314" t="str" cm="1">
        <f t="array" aca="1" ref="Z863" ca="1">IFERROR(_xlfn.IFS(OR(F863="",LEFT(Methode_Keuze,4)="Geen",Methode_Keuze=""),"",AND(W863&lt;&gt;"",F863&lt;&gt;"Arbeidskosten"),W863*VLOOKUP(F863,Tb_ProjectKosten[],MATCH(Tb_ProjectKosten[[#Headers],[Forfait_Percentage]],Tb_ProjectKosten[#Headers],0),0),AND(F863="Arbeidskosten",G863&lt;&gt;""),IFERROR(W863*VLOOKUP(G863,Tb_KostenTypen[],3,0)*VLOOKUP(F863,Tb_ProjectKosten[],MATCH(Tb_ProjectKosten[[#Headers],[Forfait_Percentage]],Tb_ProjectKosten[#Headers],0),0),""),W863 &lt;=0,0),"")</f>
        <v/>
      </c>
      <c r="AA863" s="314" t="str" cm="1">
        <f t="array" aca="1" ref="AA863" ca="1">IFERROR(_xlfn.IFS(OR(F863="",LEFT(Methode_Keuze,4)="Geen",Methode_Keuze=""),"",AND(X863&lt;&gt;"",F863&lt;&gt;"Arbeidskosten"),X863*VLOOKUP(F863,Tb_ProjectKosten[],MATCH(Tb_ProjectKosten[[#Headers],[Forfait_Percentage]],Tb_ProjectKosten[#Headers],0),0),AND(F863="Arbeidskosten",G863&lt;&gt;""),IFERROR(X863*VLOOKUP(G863,Tb_KostenTypen[],3,0)*VLOOKUP(F863,Tb_ProjectKosten[],MATCH(Tb_ProjectKosten[[#Headers],[Forfait_Percentage]],Tb_ProjectKosten[#Headers],0),0),""),X863 &lt;=0,0),"")</f>
        <v/>
      </c>
      <c r="AB863" s="314" t="str">
        <f t="shared" ca="1" si="55"/>
        <v/>
      </c>
      <c r="AC863" s="322"/>
      <c r="AD863" s="315"/>
      <c r="AE863" s="32" t="str" cm="1">
        <f t="array" ref="AE863">IFERROR(IF(INDEX(SubsidieTabel!$AD$1:$AG$12,MATCH($F863,SubsidieTabel!$AD$1:$AD$12,0),IFERROR(MATCH(Methode_Keuze,SubsidieTabel!$AD$1:$AG$1,0),2))&lt;&gt;1=TRUE,"ja",""),"")</f>
        <v/>
      </c>
    </row>
    <row r="864" spans="1:31" x14ac:dyDescent="0.25">
      <c r="A864" s="316"/>
      <c r="B864" s="317" t="str">
        <f>IF(A864&lt;&gt;"",_xlfn.MAXIFS($B$1:B863,$A$1:A863,A864)+1,"")</f>
        <v/>
      </c>
      <c r="C864" s="296"/>
      <c r="D864" s="296"/>
      <c r="E864" s="296"/>
      <c r="F864" s="296"/>
      <c r="G864" s="326"/>
      <c r="H864" s="324"/>
      <c r="I864" s="325"/>
      <c r="J864" s="325"/>
      <c r="K864" s="318"/>
      <c r="L864" s="318"/>
      <c r="M864" s="319" t="str">
        <f>IFERROR(VLOOKUP(H864,Lijsten!$H$1:$I$100,2,0),"")</f>
        <v/>
      </c>
      <c r="N864" s="319" t="str">
        <f ca="1">IFERROR(IF(VLOOKUP(F864,Kostentypen!$A$3:$E$21,3,0)=0,"",IF(OR(F864="Arbeidskosten",F864="Vergoeding"),VLOOKUP(G864,Tb_KostenTypen[],2,0),VLOOKUP(F864,Kostentypen!$A$3:$E$20,3,0))),"")</f>
        <v/>
      </c>
      <c r="O864" s="320" t="str" cm="1">
        <f t="array" ref="O864">_xlfn.IFNA(IF(INDEX(Tb_KostenOptiesDB[],MATCH($F864,Tb_KostenOptiesDB[KostenOptie],0),IFERROR(MATCH(Methode_Keuze,Tb_KostenOptiesDB[#Headers],0),2))=1,_xlfn.SWITCH($N864,"Uurtarief",IF(OR(AND(RIGHT($F864,3)="IKS",VLOOKUP($M864,DB_Loonkosten,2,0)="Ja"),AND(RIGHT($F864,3)&lt;&gt;"IKS",VLOOKUP($M864,DB_Loonkosten,2,0)="Nee")),IFERROR(VLOOKUP($M864,DB_Loonkosten,24,0),""),0),"Vast tarief",IF(LEFT(F864,8)="Bijdrage",VLOOKUP($F864,Tb_KostenTypen[],MATCH(Lijsten!$P$1,Tb_KostenTypen[#Headers],0),0),VLOOKUP($G864,Lijsten!L:P,MATCH(Lijsten!$P$1,Kop_Tarief_Vast,0),0))),""),"")</f>
        <v/>
      </c>
      <c r="P864" s="320" t="str" cm="1">
        <f t="array" ref="P864">_xlfn.IFNA(IF(INDEX(Tb_KostenOptiesDB[],MATCH($F864,Tb_KostenOptiesDB[KostenOptie],0),IFERROR(MATCH(Methode_Keuze,Tb_KostenOptiesDB[#Headers],0),2))=1,_xlfn.SWITCH($N864,"Uurtarief",IF(OR(AND(RIGHT($F864,3)="IKS",VLOOKUP($M864,DB_Loonkosten,2,0)="Ja"),AND(RIGHT($F864,3)&lt;&gt;"IKS",VLOOKUP($M864,DB_Loonkosten,2,0)="Nee")),IFERROR(VLOOKUP($M864,DB_Loonkosten,25,0),""),0),"Vast tarief",IF(LEFT(F864,8)="Bijdrage",VLOOKUP($F864,Tb_KostenTypen[],MATCH(Lijsten!$P$1,Tb_KostenTypen[#Headers],0),0),VLOOKUP($G864,Lijsten!L:P,MATCH(Lijsten!$P$1,Kop_Tarief_Vast,0),0))),""),"")</f>
        <v/>
      </c>
      <c r="Q864" s="359"/>
      <c r="R864" s="359"/>
      <c r="S864" s="321"/>
      <c r="T864" s="321"/>
      <c r="U864" s="373" t="str">
        <f t="shared" si="52"/>
        <v/>
      </c>
      <c r="V864" s="314" t="str">
        <f t="shared" si="53"/>
        <v/>
      </c>
      <c r="W864" s="314" t="str" cm="1">
        <f t="array" aca="1" ref="W864" ca="1">IFERROR(IF(AE864&lt;&gt;"ja",_xlfn.IFNA(_xlfn.IFS(AND(O864&lt;&gt;"",F864&lt;&gt;"",RIGHT($N864,6)="tarief",F864="Vergoeding"),SUM(O864)*FLOOR(SUM(Q864),0.0001),AND(O864&lt;&gt;"",F864&lt;&gt;"",RIGHT($N864,6)="tarief"),SUM(O864)*FLOOR(SUM(Q864),0.01),S864&gt;0,IF(F864&lt;&gt;"",FLOOR(SUM(S864),0.01),"")),""),""),"")</f>
        <v/>
      </c>
      <c r="X864" s="314" t="str" cm="1">
        <f t="array" aca="1" ref="X864" ca="1">IFERROR(IF(AE864&lt;&gt;"ja",_xlfn.IFNA(_xlfn.IFS(AND(P864&lt;&gt;"",R864&lt;&gt;"",RIGHT($N864,6)="tarief",F864="Vergoeding"),SUM(P864)*FLOOR(SUM(R864),0.0001),AND(P864&lt;&gt;"",R864&lt;&gt;"",RIGHT($N864,6)="tarief"),P864*FLOOR(R864,0.01),T864&gt;0,FLOOR(SUM(T864),0.01)),""),""),"")</f>
        <v/>
      </c>
      <c r="Y864" s="314" t="str">
        <f t="shared" ca="1" si="54"/>
        <v/>
      </c>
      <c r="Z864" s="314" t="str" cm="1">
        <f t="array" aca="1" ref="Z864" ca="1">IFERROR(_xlfn.IFS(OR(F864="",LEFT(Methode_Keuze,4)="Geen",Methode_Keuze=""),"",AND(W864&lt;&gt;"",F864&lt;&gt;"Arbeidskosten"),W864*VLOOKUP(F864,Tb_ProjectKosten[],MATCH(Tb_ProjectKosten[[#Headers],[Forfait_Percentage]],Tb_ProjectKosten[#Headers],0),0),AND(F864="Arbeidskosten",G864&lt;&gt;""),IFERROR(W864*VLOOKUP(G864,Tb_KostenTypen[],3,0)*VLOOKUP(F864,Tb_ProjectKosten[],MATCH(Tb_ProjectKosten[[#Headers],[Forfait_Percentage]],Tb_ProjectKosten[#Headers],0),0),""),W864 &lt;=0,0),"")</f>
        <v/>
      </c>
      <c r="AA864" s="314" t="str" cm="1">
        <f t="array" aca="1" ref="AA864" ca="1">IFERROR(_xlfn.IFS(OR(F864="",LEFT(Methode_Keuze,4)="Geen",Methode_Keuze=""),"",AND(X864&lt;&gt;"",F864&lt;&gt;"Arbeidskosten"),X864*VLOOKUP(F864,Tb_ProjectKosten[],MATCH(Tb_ProjectKosten[[#Headers],[Forfait_Percentage]],Tb_ProjectKosten[#Headers],0),0),AND(F864="Arbeidskosten",G864&lt;&gt;""),IFERROR(X864*VLOOKUP(G864,Tb_KostenTypen[],3,0)*VLOOKUP(F864,Tb_ProjectKosten[],MATCH(Tb_ProjectKosten[[#Headers],[Forfait_Percentage]],Tb_ProjectKosten[#Headers],0),0),""),X864 &lt;=0,0),"")</f>
        <v/>
      </c>
      <c r="AB864" s="314" t="str">
        <f t="shared" ca="1" si="55"/>
        <v/>
      </c>
      <c r="AC864" s="322"/>
      <c r="AD864" s="315"/>
      <c r="AE864" s="32" t="str" cm="1">
        <f t="array" ref="AE864">IFERROR(IF(INDEX(SubsidieTabel!$AD$1:$AG$12,MATCH($F864,SubsidieTabel!$AD$1:$AD$12,0),IFERROR(MATCH(Methode_Keuze,SubsidieTabel!$AD$1:$AG$1,0),2))&lt;&gt;1=TRUE,"ja",""),"")</f>
        <v/>
      </c>
    </row>
    <row r="865" spans="1:31" x14ac:dyDescent="0.25">
      <c r="A865" s="316"/>
      <c r="B865" s="317" t="str">
        <f>IF(A865&lt;&gt;"",_xlfn.MAXIFS($B$1:B864,$A$1:A864,A865)+1,"")</f>
        <v/>
      </c>
      <c r="C865" s="296"/>
      <c r="D865" s="296"/>
      <c r="E865" s="296"/>
      <c r="F865" s="296"/>
      <c r="G865" s="326"/>
      <c r="H865" s="324"/>
      <c r="I865" s="325"/>
      <c r="J865" s="325"/>
      <c r="K865" s="318"/>
      <c r="L865" s="318"/>
      <c r="M865" s="319" t="str">
        <f>IFERROR(VLOOKUP(H865,Lijsten!$H$1:$I$100,2,0),"")</f>
        <v/>
      </c>
      <c r="N865" s="319" t="str">
        <f ca="1">IFERROR(IF(VLOOKUP(F865,Kostentypen!$A$3:$E$21,3,0)=0,"",IF(OR(F865="Arbeidskosten",F865="Vergoeding"),VLOOKUP(G865,Tb_KostenTypen[],2,0),VLOOKUP(F865,Kostentypen!$A$3:$E$20,3,0))),"")</f>
        <v/>
      </c>
      <c r="O865" s="320" t="str" cm="1">
        <f t="array" ref="O865">_xlfn.IFNA(IF(INDEX(Tb_KostenOptiesDB[],MATCH($F865,Tb_KostenOptiesDB[KostenOptie],0),IFERROR(MATCH(Methode_Keuze,Tb_KostenOptiesDB[#Headers],0),2))=1,_xlfn.SWITCH($N865,"Uurtarief",IF(OR(AND(RIGHT($F865,3)="IKS",VLOOKUP($M865,DB_Loonkosten,2,0)="Ja"),AND(RIGHT($F865,3)&lt;&gt;"IKS",VLOOKUP($M865,DB_Loonkosten,2,0)="Nee")),IFERROR(VLOOKUP($M865,DB_Loonkosten,24,0),""),0),"Vast tarief",IF(LEFT(F865,8)="Bijdrage",VLOOKUP($F865,Tb_KostenTypen[],MATCH(Lijsten!$P$1,Tb_KostenTypen[#Headers],0),0),VLOOKUP($G865,Lijsten!L:P,MATCH(Lijsten!$P$1,Kop_Tarief_Vast,0),0))),""),"")</f>
        <v/>
      </c>
      <c r="P865" s="320" t="str" cm="1">
        <f t="array" ref="P865">_xlfn.IFNA(IF(INDEX(Tb_KostenOptiesDB[],MATCH($F865,Tb_KostenOptiesDB[KostenOptie],0),IFERROR(MATCH(Methode_Keuze,Tb_KostenOptiesDB[#Headers],0),2))=1,_xlfn.SWITCH($N865,"Uurtarief",IF(OR(AND(RIGHT($F865,3)="IKS",VLOOKUP($M865,DB_Loonkosten,2,0)="Ja"),AND(RIGHT($F865,3)&lt;&gt;"IKS",VLOOKUP($M865,DB_Loonkosten,2,0)="Nee")),IFERROR(VLOOKUP($M865,DB_Loonkosten,25,0),""),0),"Vast tarief",IF(LEFT(F865,8)="Bijdrage",VLOOKUP($F865,Tb_KostenTypen[],MATCH(Lijsten!$P$1,Tb_KostenTypen[#Headers],0),0),VLOOKUP($G865,Lijsten!L:P,MATCH(Lijsten!$P$1,Kop_Tarief_Vast,0),0))),""),"")</f>
        <v/>
      </c>
      <c r="Q865" s="359"/>
      <c r="R865" s="359"/>
      <c r="S865" s="321"/>
      <c r="T865" s="321"/>
      <c r="U865" s="373" t="str">
        <f t="shared" si="52"/>
        <v/>
      </c>
      <c r="V865" s="314" t="str">
        <f t="shared" si="53"/>
        <v/>
      </c>
      <c r="W865" s="314" t="str" cm="1">
        <f t="array" aca="1" ref="W865" ca="1">IFERROR(IF(AE865&lt;&gt;"ja",_xlfn.IFNA(_xlfn.IFS(AND(O865&lt;&gt;"",F865&lt;&gt;"",RIGHT($N865,6)="tarief",F865="Vergoeding"),SUM(O865)*FLOOR(SUM(Q865),0.0001),AND(O865&lt;&gt;"",F865&lt;&gt;"",RIGHT($N865,6)="tarief"),SUM(O865)*FLOOR(SUM(Q865),0.01),S865&gt;0,IF(F865&lt;&gt;"",FLOOR(SUM(S865),0.01),"")),""),""),"")</f>
        <v/>
      </c>
      <c r="X865" s="314" t="str" cm="1">
        <f t="array" aca="1" ref="X865" ca="1">IFERROR(IF(AE865&lt;&gt;"ja",_xlfn.IFNA(_xlfn.IFS(AND(P865&lt;&gt;"",R865&lt;&gt;"",RIGHT($N865,6)="tarief",F865="Vergoeding"),SUM(P865)*FLOOR(SUM(R865),0.0001),AND(P865&lt;&gt;"",R865&lt;&gt;"",RIGHT($N865,6)="tarief"),P865*FLOOR(R865,0.01),T865&gt;0,FLOOR(SUM(T865),0.01)),""),""),"")</f>
        <v/>
      </c>
      <c r="Y865" s="314" t="str">
        <f t="shared" ca="1" si="54"/>
        <v/>
      </c>
      <c r="Z865" s="314" t="str" cm="1">
        <f t="array" aca="1" ref="Z865" ca="1">IFERROR(_xlfn.IFS(OR(F865="",LEFT(Methode_Keuze,4)="Geen",Methode_Keuze=""),"",AND(W865&lt;&gt;"",F865&lt;&gt;"Arbeidskosten"),W865*VLOOKUP(F865,Tb_ProjectKosten[],MATCH(Tb_ProjectKosten[[#Headers],[Forfait_Percentage]],Tb_ProjectKosten[#Headers],0),0),AND(F865="Arbeidskosten",G865&lt;&gt;""),IFERROR(W865*VLOOKUP(G865,Tb_KostenTypen[],3,0)*VLOOKUP(F865,Tb_ProjectKosten[],MATCH(Tb_ProjectKosten[[#Headers],[Forfait_Percentage]],Tb_ProjectKosten[#Headers],0),0),""),W865 &lt;=0,0),"")</f>
        <v/>
      </c>
      <c r="AA865" s="314" t="str" cm="1">
        <f t="array" aca="1" ref="AA865" ca="1">IFERROR(_xlfn.IFS(OR(F865="",LEFT(Methode_Keuze,4)="Geen",Methode_Keuze=""),"",AND(X865&lt;&gt;"",F865&lt;&gt;"Arbeidskosten"),X865*VLOOKUP(F865,Tb_ProjectKosten[],MATCH(Tb_ProjectKosten[[#Headers],[Forfait_Percentage]],Tb_ProjectKosten[#Headers],0),0),AND(F865="Arbeidskosten",G865&lt;&gt;""),IFERROR(X865*VLOOKUP(G865,Tb_KostenTypen[],3,0)*VLOOKUP(F865,Tb_ProjectKosten[],MATCH(Tb_ProjectKosten[[#Headers],[Forfait_Percentage]],Tb_ProjectKosten[#Headers],0),0),""),X865 &lt;=0,0),"")</f>
        <v/>
      </c>
      <c r="AB865" s="314" t="str">
        <f t="shared" ca="1" si="55"/>
        <v/>
      </c>
      <c r="AC865" s="322"/>
      <c r="AD865" s="315"/>
      <c r="AE865" s="32" t="str" cm="1">
        <f t="array" ref="AE865">IFERROR(IF(INDEX(SubsidieTabel!$AD$1:$AG$12,MATCH($F865,SubsidieTabel!$AD$1:$AD$12,0),IFERROR(MATCH(Methode_Keuze,SubsidieTabel!$AD$1:$AG$1,0),2))&lt;&gt;1=TRUE,"ja",""),"")</f>
        <v/>
      </c>
    </row>
    <row r="866" spans="1:31" x14ac:dyDescent="0.25">
      <c r="A866" s="316"/>
      <c r="B866" s="317" t="str">
        <f>IF(A866&lt;&gt;"",_xlfn.MAXIFS($B$1:B865,$A$1:A865,A866)+1,"")</f>
        <v/>
      </c>
      <c r="C866" s="296"/>
      <c r="D866" s="296"/>
      <c r="E866" s="296"/>
      <c r="F866" s="296"/>
      <c r="G866" s="326"/>
      <c r="H866" s="324"/>
      <c r="I866" s="325"/>
      <c r="J866" s="325"/>
      <c r="K866" s="318"/>
      <c r="L866" s="318"/>
      <c r="M866" s="319" t="str">
        <f>IFERROR(VLOOKUP(H866,Lijsten!$H$1:$I$100,2,0),"")</f>
        <v/>
      </c>
      <c r="N866" s="319" t="str">
        <f ca="1">IFERROR(IF(VLOOKUP(F866,Kostentypen!$A$3:$E$21,3,0)=0,"",IF(OR(F866="Arbeidskosten",F866="Vergoeding"),VLOOKUP(G866,Tb_KostenTypen[],2,0),VLOOKUP(F866,Kostentypen!$A$3:$E$20,3,0))),"")</f>
        <v/>
      </c>
      <c r="O866" s="320" t="str" cm="1">
        <f t="array" ref="O866">_xlfn.IFNA(IF(INDEX(Tb_KostenOptiesDB[],MATCH($F866,Tb_KostenOptiesDB[KostenOptie],0),IFERROR(MATCH(Methode_Keuze,Tb_KostenOptiesDB[#Headers],0),2))=1,_xlfn.SWITCH($N866,"Uurtarief",IF(OR(AND(RIGHT($F866,3)="IKS",VLOOKUP($M866,DB_Loonkosten,2,0)="Ja"),AND(RIGHT($F866,3)&lt;&gt;"IKS",VLOOKUP($M866,DB_Loonkosten,2,0)="Nee")),IFERROR(VLOOKUP($M866,DB_Loonkosten,24,0),""),0),"Vast tarief",IF(LEFT(F866,8)="Bijdrage",VLOOKUP($F866,Tb_KostenTypen[],MATCH(Lijsten!$P$1,Tb_KostenTypen[#Headers],0),0),VLOOKUP($G866,Lijsten!L:P,MATCH(Lijsten!$P$1,Kop_Tarief_Vast,0),0))),""),"")</f>
        <v/>
      </c>
      <c r="P866" s="320" t="str" cm="1">
        <f t="array" ref="P866">_xlfn.IFNA(IF(INDEX(Tb_KostenOptiesDB[],MATCH($F866,Tb_KostenOptiesDB[KostenOptie],0),IFERROR(MATCH(Methode_Keuze,Tb_KostenOptiesDB[#Headers],0),2))=1,_xlfn.SWITCH($N866,"Uurtarief",IF(OR(AND(RIGHT($F866,3)="IKS",VLOOKUP($M866,DB_Loonkosten,2,0)="Ja"),AND(RIGHT($F866,3)&lt;&gt;"IKS",VLOOKUP($M866,DB_Loonkosten,2,0)="Nee")),IFERROR(VLOOKUP($M866,DB_Loonkosten,25,0),""),0),"Vast tarief",IF(LEFT(F866,8)="Bijdrage",VLOOKUP($F866,Tb_KostenTypen[],MATCH(Lijsten!$P$1,Tb_KostenTypen[#Headers],0),0),VLOOKUP($G866,Lijsten!L:P,MATCH(Lijsten!$P$1,Kop_Tarief_Vast,0),0))),""),"")</f>
        <v/>
      </c>
      <c r="Q866" s="359"/>
      <c r="R866" s="359"/>
      <c r="S866" s="321"/>
      <c r="T866" s="321"/>
      <c r="U866" s="373" t="str">
        <f t="shared" si="52"/>
        <v/>
      </c>
      <c r="V866" s="314" t="str">
        <f t="shared" si="53"/>
        <v/>
      </c>
      <c r="W866" s="314" t="str" cm="1">
        <f t="array" aca="1" ref="W866" ca="1">IFERROR(IF(AE866&lt;&gt;"ja",_xlfn.IFNA(_xlfn.IFS(AND(O866&lt;&gt;"",F866&lt;&gt;"",RIGHT($N866,6)="tarief",F866="Vergoeding"),SUM(O866)*FLOOR(SUM(Q866),0.0001),AND(O866&lt;&gt;"",F866&lt;&gt;"",RIGHT($N866,6)="tarief"),SUM(O866)*FLOOR(SUM(Q866),0.01),S866&gt;0,IF(F866&lt;&gt;"",FLOOR(SUM(S866),0.01),"")),""),""),"")</f>
        <v/>
      </c>
      <c r="X866" s="314" t="str" cm="1">
        <f t="array" aca="1" ref="X866" ca="1">IFERROR(IF(AE866&lt;&gt;"ja",_xlfn.IFNA(_xlfn.IFS(AND(P866&lt;&gt;"",R866&lt;&gt;"",RIGHT($N866,6)="tarief",F866="Vergoeding"),SUM(P866)*FLOOR(SUM(R866),0.0001),AND(P866&lt;&gt;"",R866&lt;&gt;"",RIGHT($N866,6)="tarief"),P866*FLOOR(R866,0.01),T866&gt;0,FLOOR(SUM(T866),0.01)),""),""),"")</f>
        <v/>
      </c>
      <c r="Y866" s="314" t="str">
        <f t="shared" ca="1" si="54"/>
        <v/>
      </c>
      <c r="Z866" s="314" t="str" cm="1">
        <f t="array" aca="1" ref="Z866" ca="1">IFERROR(_xlfn.IFS(OR(F866="",LEFT(Methode_Keuze,4)="Geen",Methode_Keuze=""),"",AND(W866&lt;&gt;"",F866&lt;&gt;"Arbeidskosten"),W866*VLOOKUP(F866,Tb_ProjectKosten[],MATCH(Tb_ProjectKosten[[#Headers],[Forfait_Percentage]],Tb_ProjectKosten[#Headers],0),0),AND(F866="Arbeidskosten",G866&lt;&gt;""),IFERROR(W866*VLOOKUP(G866,Tb_KostenTypen[],3,0)*VLOOKUP(F866,Tb_ProjectKosten[],MATCH(Tb_ProjectKosten[[#Headers],[Forfait_Percentage]],Tb_ProjectKosten[#Headers],0),0),""),W866 &lt;=0,0),"")</f>
        <v/>
      </c>
      <c r="AA866" s="314" t="str" cm="1">
        <f t="array" aca="1" ref="AA866" ca="1">IFERROR(_xlfn.IFS(OR(F866="",LEFT(Methode_Keuze,4)="Geen",Methode_Keuze=""),"",AND(X866&lt;&gt;"",F866&lt;&gt;"Arbeidskosten"),X866*VLOOKUP(F866,Tb_ProjectKosten[],MATCH(Tb_ProjectKosten[[#Headers],[Forfait_Percentage]],Tb_ProjectKosten[#Headers],0),0),AND(F866="Arbeidskosten",G866&lt;&gt;""),IFERROR(X866*VLOOKUP(G866,Tb_KostenTypen[],3,0)*VLOOKUP(F866,Tb_ProjectKosten[],MATCH(Tb_ProjectKosten[[#Headers],[Forfait_Percentage]],Tb_ProjectKosten[#Headers],0),0),""),X866 &lt;=0,0),"")</f>
        <v/>
      </c>
      <c r="AB866" s="314" t="str">
        <f t="shared" ca="1" si="55"/>
        <v/>
      </c>
      <c r="AC866" s="322"/>
      <c r="AD866" s="315"/>
      <c r="AE866" s="32" t="str" cm="1">
        <f t="array" ref="AE866">IFERROR(IF(INDEX(SubsidieTabel!$AD$1:$AG$12,MATCH($F866,SubsidieTabel!$AD$1:$AD$12,0),IFERROR(MATCH(Methode_Keuze,SubsidieTabel!$AD$1:$AG$1,0),2))&lt;&gt;1=TRUE,"ja",""),"")</f>
        <v/>
      </c>
    </row>
    <row r="867" spans="1:31" x14ac:dyDescent="0.25">
      <c r="A867" s="316"/>
      <c r="B867" s="317" t="str">
        <f>IF(A867&lt;&gt;"",_xlfn.MAXIFS($B$1:B866,$A$1:A866,A867)+1,"")</f>
        <v/>
      </c>
      <c r="C867" s="296"/>
      <c r="D867" s="296"/>
      <c r="E867" s="296"/>
      <c r="F867" s="296"/>
      <c r="G867" s="326"/>
      <c r="H867" s="324"/>
      <c r="I867" s="325"/>
      <c r="J867" s="325"/>
      <c r="K867" s="318"/>
      <c r="L867" s="318"/>
      <c r="M867" s="319" t="str">
        <f>IFERROR(VLOOKUP(H867,Lijsten!$H$1:$I$100,2,0),"")</f>
        <v/>
      </c>
      <c r="N867" s="319" t="str">
        <f ca="1">IFERROR(IF(VLOOKUP(F867,Kostentypen!$A$3:$E$21,3,0)=0,"",IF(OR(F867="Arbeidskosten",F867="Vergoeding"),VLOOKUP(G867,Tb_KostenTypen[],2,0),VLOOKUP(F867,Kostentypen!$A$3:$E$20,3,0))),"")</f>
        <v/>
      </c>
      <c r="O867" s="320" t="str" cm="1">
        <f t="array" ref="O867">_xlfn.IFNA(IF(INDEX(Tb_KostenOptiesDB[],MATCH($F867,Tb_KostenOptiesDB[KostenOptie],0),IFERROR(MATCH(Methode_Keuze,Tb_KostenOptiesDB[#Headers],0),2))=1,_xlfn.SWITCH($N867,"Uurtarief",IF(OR(AND(RIGHT($F867,3)="IKS",VLOOKUP($M867,DB_Loonkosten,2,0)="Ja"),AND(RIGHT($F867,3)&lt;&gt;"IKS",VLOOKUP($M867,DB_Loonkosten,2,0)="Nee")),IFERROR(VLOOKUP($M867,DB_Loonkosten,24,0),""),0),"Vast tarief",IF(LEFT(F867,8)="Bijdrage",VLOOKUP($F867,Tb_KostenTypen[],MATCH(Lijsten!$P$1,Tb_KostenTypen[#Headers],0),0),VLOOKUP($G867,Lijsten!L:P,MATCH(Lijsten!$P$1,Kop_Tarief_Vast,0),0))),""),"")</f>
        <v/>
      </c>
      <c r="P867" s="320" t="str" cm="1">
        <f t="array" ref="P867">_xlfn.IFNA(IF(INDEX(Tb_KostenOptiesDB[],MATCH($F867,Tb_KostenOptiesDB[KostenOptie],0),IFERROR(MATCH(Methode_Keuze,Tb_KostenOptiesDB[#Headers],0),2))=1,_xlfn.SWITCH($N867,"Uurtarief",IF(OR(AND(RIGHT($F867,3)="IKS",VLOOKUP($M867,DB_Loonkosten,2,0)="Ja"),AND(RIGHT($F867,3)&lt;&gt;"IKS",VLOOKUP($M867,DB_Loonkosten,2,0)="Nee")),IFERROR(VLOOKUP($M867,DB_Loonkosten,25,0),""),0),"Vast tarief",IF(LEFT(F867,8)="Bijdrage",VLOOKUP($F867,Tb_KostenTypen[],MATCH(Lijsten!$P$1,Tb_KostenTypen[#Headers],0),0),VLOOKUP($G867,Lijsten!L:P,MATCH(Lijsten!$P$1,Kop_Tarief_Vast,0),0))),""),"")</f>
        <v/>
      </c>
      <c r="Q867" s="359"/>
      <c r="R867" s="359"/>
      <c r="S867" s="321"/>
      <c r="T867" s="321"/>
      <c r="U867" s="373" t="str">
        <f t="shared" si="52"/>
        <v/>
      </c>
      <c r="V867" s="314" t="str">
        <f t="shared" si="53"/>
        <v/>
      </c>
      <c r="W867" s="314" t="str" cm="1">
        <f t="array" aca="1" ref="W867" ca="1">IFERROR(IF(AE867&lt;&gt;"ja",_xlfn.IFNA(_xlfn.IFS(AND(O867&lt;&gt;"",F867&lt;&gt;"",RIGHT($N867,6)="tarief",F867="Vergoeding"),SUM(O867)*FLOOR(SUM(Q867),0.0001),AND(O867&lt;&gt;"",F867&lt;&gt;"",RIGHT($N867,6)="tarief"),SUM(O867)*FLOOR(SUM(Q867),0.01),S867&gt;0,IF(F867&lt;&gt;"",FLOOR(SUM(S867),0.01),"")),""),""),"")</f>
        <v/>
      </c>
      <c r="X867" s="314" t="str" cm="1">
        <f t="array" aca="1" ref="X867" ca="1">IFERROR(IF(AE867&lt;&gt;"ja",_xlfn.IFNA(_xlfn.IFS(AND(P867&lt;&gt;"",R867&lt;&gt;"",RIGHT($N867,6)="tarief",F867="Vergoeding"),SUM(P867)*FLOOR(SUM(R867),0.0001),AND(P867&lt;&gt;"",R867&lt;&gt;"",RIGHT($N867,6)="tarief"),P867*FLOOR(R867,0.01),T867&gt;0,FLOOR(SUM(T867),0.01)),""),""),"")</f>
        <v/>
      </c>
      <c r="Y867" s="314" t="str">
        <f t="shared" ca="1" si="54"/>
        <v/>
      </c>
      <c r="Z867" s="314" t="str" cm="1">
        <f t="array" aca="1" ref="Z867" ca="1">IFERROR(_xlfn.IFS(OR(F867="",LEFT(Methode_Keuze,4)="Geen",Methode_Keuze=""),"",AND(W867&lt;&gt;"",F867&lt;&gt;"Arbeidskosten"),W867*VLOOKUP(F867,Tb_ProjectKosten[],MATCH(Tb_ProjectKosten[[#Headers],[Forfait_Percentage]],Tb_ProjectKosten[#Headers],0),0),AND(F867="Arbeidskosten",G867&lt;&gt;""),IFERROR(W867*VLOOKUP(G867,Tb_KostenTypen[],3,0)*VLOOKUP(F867,Tb_ProjectKosten[],MATCH(Tb_ProjectKosten[[#Headers],[Forfait_Percentage]],Tb_ProjectKosten[#Headers],0),0),""),W867 &lt;=0,0),"")</f>
        <v/>
      </c>
      <c r="AA867" s="314" t="str" cm="1">
        <f t="array" aca="1" ref="AA867" ca="1">IFERROR(_xlfn.IFS(OR(F867="",LEFT(Methode_Keuze,4)="Geen",Methode_Keuze=""),"",AND(X867&lt;&gt;"",F867&lt;&gt;"Arbeidskosten"),X867*VLOOKUP(F867,Tb_ProjectKosten[],MATCH(Tb_ProjectKosten[[#Headers],[Forfait_Percentage]],Tb_ProjectKosten[#Headers],0),0),AND(F867="Arbeidskosten",G867&lt;&gt;""),IFERROR(X867*VLOOKUP(G867,Tb_KostenTypen[],3,0)*VLOOKUP(F867,Tb_ProjectKosten[],MATCH(Tb_ProjectKosten[[#Headers],[Forfait_Percentage]],Tb_ProjectKosten[#Headers],0),0),""),X867 &lt;=0,0),"")</f>
        <v/>
      </c>
      <c r="AB867" s="314" t="str">
        <f t="shared" ca="1" si="55"/>
        <v/>
      </c>
      <c r="AC867" s="322"/>
      <c r="AD867" s="315"/>
      <c r="AE867" s="32" t="str" cm="1">
        <f t="array" ref="AE867">IFERROR(IF(INDEX(SubsidieTabel!$AD$1:$AG$12,MATCH($F867,SubsidieTabel!$AD$1:$AD$12,0),IFERROR(MATCH(Methode_Keuze,SubsidieTabel!$AD$1:$AG$1,0),2))&lt;&gt;1=TRUE,"ja",""),"")</f>
        <v/>
      </c>
    </row>
    <row r="868" spans="1:31" x14ac:dyDescent="0.25">
      <c r="A868" s="316"/>
      <c r="B868" s="317" t="str">
        <f>IF(A868&lt;&gt;"",_xlfn.MAXIFS($B$1:B867,$A$1:A867,A868)+1,"")</f>
        <v/>
      </c>
      <c r="C868" s="296"/>
      <c r="D868" s="296"/>
      <c r="E868" s="296"/>
      <c r="F868" s="296"/>
      <c r="G868" s="326"/>
      <c r="H868" s="324"/>
      <c r="I868" s="325"/>
      <c r="J868" s="325"/>
      <c r="K868" s="318"/>
      <c r="L868" s="318"/>
      <c r="M868" s="319" t="str">
        <f>IFERROR(VLOOKUP(H868,Lijsten!$H$1:$I$100,2,0),"")</f>
        <v/>
      </c>
      <c r="N868" s="319" t="str">
        <f ca="1">IFERROR(IF(VLOOKUP(F868,Kostentypen!$A$3:$E$21,3,0)=0,"",IF(OR(F868="Arbeidskosten",F868="Vergoeding"),VLOOKUP(G868,Tb_KostenTypen[],2,0),VLOOKUP(F868,Kostentypen!$A$3:$E$20,3,0))),"")</f>
        <v/>
      </c>
      <c r="O868" s="320" t="str" cm="1">
        <f t="array" ref="O868">_xlfn.IFNA(IF(INDEX(Tb_KostenOptiesDB[],MATCH($F868,Tb_KostenOptiesDB[KostenOptie],0),IFERROR(MATCH(Methode_Keuze,Tb_KostenOptiesDB[#Headers],0),2))=1,_xlfn.SWITCH($N868,"Uurtarief",IF(OR(AND(RIGHT($F868,3)="IKS",VLOOKUP($M868,DB_Loonkosten,2,0)="Ja"),AND(RIGHT($F868,3)&lt;&gt;"IKS",VLOOKUP($M868,DB_Loonkosten,2,0)="Nee")),IFERROR(VLOOKUP($M868,DB_Loonkosten,24,0),""),0),"Vast tarief",IF(LEFT(F868,8)="Bijdrage",VLOOKUP($F868,Tb_KostenTypen[],MATCH(Lijsten!$P$1,Tb_KostenTypen[#Headers],0),0),VLOOKUP($G868,Lijsten!L:P,MATCH(Lijsten!$P$1,Kop_Tarief_Vast,0),0))),""),"")</f>
        <v/>
      </c>
      <c r="P868" s="320" t="str" cm="1">
        <f t="array" ref="P868">_xlfn.IFNA(IF(INDEX(Tb_KostenOptiesDB[],MATCH($F868,Tb_KostenOptiesDB[KostenOptie],0),IFERROR(MATCH(Methode_Keuze,Tb_KostenOptiesDB[#Headers],0),2))=1,_xlfn.SWITCH($N868,"Uurtarief",IF(OR(AND(RIGHT($F868,3)="IKS",VLOOKUP($M868,DB_Loonkosten,2,0)="Ja"),AND(RIGHT($F868,3)&lt;&gt;"IKS",VLOOKUP($M868,DB_Loonkosten,2,0)="Nee")),IFERROR(VLOOKUP($M868,DB_Loonkosten,25,0),""),0),"Vast tarief",IF(LEFT(F868,8)="Bijdrage",VLOOKUP($F868,Tb_KostenTypen[],MATCH(Lijsten!$P$1,Tb_KostenTypen[#Headers],0),0),VLOOKUP($G868,Lijsten!L:P,MATCH(Lijsten!$P$1,Kop_Tarief_Vast,0),0))),""),"")</f>
        <v/>
      </c>
      <c r="Q868" s="359"/>
      <c r="R868" s="359"/>
      <c r="S868" s="321"/>
      <c r="T868" s="321"/>
      <c r="U868" s="373" t="str">
        <f t="shared" si="52"/>
        <v/>
      </c>
      <c r="V868" s="314" t="str">
        <f t="shared" si="53"/>
        <v/>
      </c>
      <c r="W868" s="314" t="str" cm="1">
        <f t="array" aca="1" ref="W868" ca="1">IFERROR(IF(AE868&lt;&gt;"ja",_xlfn.IFNA(_xlfn.IFS(AND(O868&lt;&gt;"",F868&lt;&gt;"",RIGHT($N868,6)="tarief",F868="Vergoeding"),SUM(O868)*FLOOR(SUM(Q868),0.0001),AND(O868&lt;&gt;"",F868&lt;&gt;"",RIGHT($N868,6)="tarief"),SUM(O868)*FLOOR(SUM(Q868),0.01),S868&gt;0,IF(F868&lt;&gt;"",FLOOR(SUM(S868),0.01),"")),""),""),"")</f>
        <v/>
      </c>
      <c r="X868" s="314" t="str" cm="1">
        <f t="array" aca="1" ref="X868" ca="1">IFERROR(IF(AE868&lt;&gt;"ja",_xlfn.IFNA(_xlfn.IFS(AND(P868&lt;&gt;"",R868&lt;&gt;"",RIGHT($N868,6)="tarief",F868="Vergoeding"),SUM(P868)*FLOOR(SUM(R868),0.0001),AND(P868&lt;&gt;"",R868&lt;&gt;"",RIGHT($N868,6)="tarief"),P868*FLOOR(R868,0.01),T868&gt;0,FLOOR(SUM(T868),0.01)),""),""),"")</f>
        <v/>
      </c>
      <c r="Y868" s="314" t="str">
        <f t="shared" ca="1" si="54"/>
        <v/>
      </c>
      <c r="Z868" s="314" t="str" cm="1">
        <f t="array" aca="1" ref="Z868" ca="1">IFERROR(_xlfn.IFS(OR(F868="",LEFT(Methode_Keuze,4)="Geen",Methode_Keuze=""),"",AND(W868&lt;&gt;"",F868&lt;&gt;"Arbeidskosten"),W868*VLOOKUP(F868,Tb_ProjectKosten[],MATCH(Tb_ProjectKosten[[#Headers],[Forfait_Percentage]],Tb_ProjectKosten[#Headers],0),0),AND(F868="Arbeidskosten",G868&lt;&gt;""),IFERROR(W868*VLOOKUP(G868,Tb_KostenTypen[],3,0)*VLOOKUP(F868,Tb_ProjectKosten[],MATCH(Tb_ProjectKosten[[#Headers],[Forfait_Percentage]],Tb_ProjectKosten[#Headers],0),0),""),W868 &lt;=0,0),"")</f>
        <v/>
      </c>
      <c r="AA868" s="314" t="str" cm="1">
        <f t="array" aca="1" ref="AA868" ca="1">IFERROR(_xlfn.IFS(OR(F868="",LEFT(Methode_Keuze,4)="Geen",Methode_Keuze=""),"",AND(X868&lt;&gt;"",F868&lt;&gt;"Arbeidskosten"),X868*VLOOKUP(F868,Tb_ProjectKosten[],MATCH(Tb_ProjectKosten[[#Headers],[Forfait_Percentage]],Tb_ProjectKosten[#Headers],0),0),AND(F868="Arbeidskosten",G868&lt;&gt;""),IFERROR(X868*VLOOKUP(G868,Tb_KostenTypen[],3,0)*VLOOKUP(F868,Tb_ProjectKosten[],MATCH(Tb_ProjectKosten[[#Headers],[Forfait_Percentage]],Tb_ProjectKosten[#Headers],0),0),""),X868 &lt;=0,0),"")</f>
        <v/>
      </c>
      <c r="AB868" s="314" t="str">
        <f t="shared" ca="1" si="55"/>
        <v/>
      </c>
      <c r="AC868" s="322"/>
      <c r="AD868" s="315"/>
      <c r="AE868" s="32" t="str" cm="1">
        <f t="array" ref="AE868">IFERROR(IF(INDEX(SubsidieTabel!$AD$1:$AG$12,MATCH($F868,SubsidieTabel!$AD$1:$AD$12,0),IFERROR(MATCH(Methode_Keuze,SubsidieTabel!$AD$1:$AG$1,0),2))&lt;&gt;1=TRUE,"ja",""),"")</f>
        <v/>
      </c>
    </row>
    <row r="869" spans="1:31" x14ac:dyDescent="0.25">
      <c r="A869" s="316"/>
      <c r="B869" s="317" t="str">
        <f>IF(A869&lt;&gt;"",_xlfn.MAXIFS($B$1:B868,$A$1:A868,A869)+1,"")</f>
        <v/>
      </c>
      <c r="C869" s="296"/>
      <c r="D869" s="296"/>
      <c r="E869" s="296"/>
      <c r="F869" s="296"/>
      <c r="G869" s="326"/>
      <c r="H869" s="324"/>
      <c r="I869" s="325"/>
      <c r="J869" s="325"/>
      <c r="K869" s="318"/>
      <c r="L869" s="318"/>
      <c r="M869" s="319" t="str">
        <f>IFERROR(VLOOKUP(H869,Lijsten!$H$1:$I$100,2,0),"")</f>
        <v/>
      </c>
      <c r="N869" s="319" t="str">
        <f ca="1">IFERROR(IF(VLOOKUP(F869,Kostentypen!$A$3:$E$21,3,0)=0,"",IF(OR(F869="Arbeidskosten",F869="Vergoeding"),VLOOKUP(G869,Tb_KostenTypen[],2,0),VLOOKUP(F869,Kostentypen!$A$3:$E$20,3,0))),"")</f>
        <v/>
      </c>
      <c r="O869" s="320" t="str" cm="1">
        <f t="array" ref="O869">_xlfn.IFNA(IF(INDEX(Tb_KostenOptiesDB[],MATCH($F869,Tb_KostenOptiesDB[KostenOptie],0),IFERROR(MATCH(Methode_Keuze,Tb_KostenOptiesDB[#Headers],0),2))=1,_xlfn.SWITCH($N869,"Uurtarief",IF(OR(AND(RIGHT($F869,3)="IKS",VLOOKUP($M869,DB_Loonkosten,2,0)="Ja"),AND(RIGHT($F869,3)&lt;&gt;"IKS",VLOOKUP($M869,DB_Loonkosten,2,0)="Nee")),IFERROR(VLOOKUP($M869,DB_Loonkosten,24,0),""),0),"Vast tarief",IF(LEFT(F869,8)="Bijdrage",VLOOKUP($F869,Tb_KostenTypen[],MATCH(Lijsten!$P$1,Tb_KostenTypen[#Headers],0),0),VLOOKUP($G869,Lijsten!L:P,MATCH(Lijsten!$P$1,Kop_Tarief_Vast,0),0))),""),"")</f>
        <v/>
      </c>
      <c r="P869" s="320" t="str" cm="1">
        <f t="array" ref="P869">_xlfn.IFNA(IF(INDEX(Tb_KostenOptiesDB[],MATCH($F869,Tb_KostenOptiesDB[KostenOptie],0),IFERROR(MATCH(Methode_Keuze,Tb_KostenOptiesDB[#Headers],0),2))=1,_xlfn.SWITCH($N869,"Uurtarief",IF(OR(AND(RIGHT($F869,3)="IKS",VLOOKUP($M869,DB_Loonkosten,2,0)="Ja"),AND(RIGHT($F869,3)&lt;&gt;"IKS",VLOOKUP($M869,DB_Loonkosten,2,0)="Nee")),IFERROR(VLOOKUP($M869,DB_Loonkosten,25,0),""),0),"Vast tarief",IF(LEFT(F869,8)="Bijdrage",VLOOKUP($F869,Tb_KostenTypen[],MATCH(Lijsten!$P$1,Tb_KostenTypen[#Headers],0),0),VLOOKUP($G869,Lijsten!L:P,MATCH(Lijsten!$P$1,Kop_Tarief_Vast,0),0))),""),"")</f>
        <v/>
      </c>
      <c r="Q869" s="359"/>
      <c r="R869" s="359"/>
      <c r="S869" s="321"/>
      <c r="T869" s="321"/>
      <c r="U869" s="373" t="str">
        <f t="shared" si="52"/>
        <v/>
      </c>
      <c r="V869" s="314" t="str">
        <f t="shared" si="53"/>
        <v/>
      </c>
      <c r="W869" s="314" t="str" cm="1">
        <f t="array" aca="1" ref="W869" ca="1">IFERROR(IF(AE869&lt;&gt;"ja",_xlfn.IFNA(_xlfn.IFS(AND(O869&lt;&gt;"",F869&lt;&gt;"",RIGHT($N869,6)="tarief",F869="Vergoeding"),SUM(O869)*FLOOR(SUM(Q869),0.0001),AND(O869&lt;&gt;"",F869&lt;&gt;"",RIGHT($N869,6)="tarief"),SUM(O869)*FLOOR(SUM(Q869),0.01),S869&gt;0,IF(F869&lt;&gt;"",FLOOR(SUM(S869),0.01),"")),""),""),"")</f>
        <v/>
      </c>
      <c r="X869" s="314" t="str" cm="1">
        <f t="array" aca="1" ref="X869" ca="1">IFERROR(IF(AE869&lt;&gt;"ja",_xlfn.IFNA(_xlfn.IFS(AND(P869&lt;&gt;"",R869&lt;&gt;"",RIGHT($N869,6)="tarief",F869="Vergoeding"),SUM(P869)*FLOOR(SUM(R869),0.0001),AND(P869&lt;&gt;"",R869&lt;&gt;"",RIGHT($N869,6)="tarief"),P869*FLOOR(R869,0.01),T869&gt;0,FLOOR(SUM(T869),0.01)),""),""),"")</f>
        <v/>
      </c>
      <c r="Y869" s="314" t="str">
        <f t="shared" ca="1" si="54"/>
        <v/>
      </c>
      <c r="Z869" s="314" t="str" cm="1">
        <f t="array" aca="1" ref="Z869" ca="1">IFERROR(_xlfn.IFS(OR(F869="",LEFT(Methode_Keuze,4)="Geen",Methode_Keuze=""),"",AND(W869&lt;&gt;"",F869&lt;&gt;"Arbeidskosten"),W869*VLOOKUP(F869,Tb_ProjectKosten[],MATCH(Tb_ProjectKosten[[#Headers],[Forfait_Percentage]],Tb_ProjectKosten[#Headers],0),0),AND(F869="Arbeidskosten",G869&lt;&gt;""),IFERROR(W869*VLOOKUP(G869,Tb_KostenTypen[],3,0)*VLOOKUP(F869,Tb_ProjectKosten[],MATCH(Tb_ProjectKosten[[#Headers],[Forfait_Percentage]],Tb_ProjectKosten[#Headers],0),0),""),W869 &lt;=0,0),"")</f>
        <v/>
      </c>
      <c r="AA869" s="314" t="str" cm="1">
        <f t="array" aca="1" ref="AA869" ca="1">IFERROR(_xlfn.IFS(OR(F869="",LEFT(Methode_Keuze,4)="Geen",Methode_Keuze=""),"",AND(X869&lt;&gt;"",F869&lt;&gt;"Arbeidskosten"),X869*VLOOKUP(F869,Tb_ProjectKosten[],MATCH(Tb_ProjectKosten[[#Headers],[Forfait_Percentage]],Tb_ProjectKosten[#Headers],0),0),AND(F869="Arbeidskosten",G869&lt;&gt;""),IFERROR(X869*VLOOKUP(G869,Tb_KostenTypen[],3,0)*VLOOKUP(F869,Tb_ProjectKosten[],MATCH(Tb_ProjectKosten[[#Headers],[Forfait_Percentage]],Tb_ProjectKosten[#Headers],0),0),""),X869 &lt;=0,0),"")</f>
        <v/>
      </c>
      <c r="AB869" s="314" t="str">
        <f t="shared" ca="1" si="55"/>
        <v/>
      </c>
      <c r="AC869" s="322"/>
      <c r="AD869" s="315"/>
      <c r="AE869" s="32" t="str" cm="1">
        <f t="array" ref="AE869">IFERROR(IF(INDEX(SubsidieTabel!$AD$1:$AG$12,MATCH($F869,SubsidieTabel!$AD$1:$AD$12,0),IFERROR(MATCH(Methode_Keuze,SubsidieTabel!$AD$1:$AG$1,0),2))&lt;&gt;1=TRUE,"ja",""),"")</f>
        <v/>
      </c>
    </row>
    <row r="870" spans="1:31" x14ac:dyDescent="0.25">
      <c r="A870" s="316"/>
      <c r="B870" s="317" t="str">
        <f>IF(A870&lt;&gt;"",_xlfn.MAXIFS($B$1:B869,$A$1:A869,A870)+1,"")</f>
        <v/>
      </c>
      <c r="C870" s="296"/>
      <c r="D870" s="296"/>
      <c r="E870" s="296"/>
      <c r="F870" s="296"/>
      <c r="G870" s="326"/>
      <c r="H870" s="324"/>
      <c r="I870" s="325"/>
      <c r="J870" s="325"/>
      <c r="K870" s="318"/>
      <c r="L870" s="318"/>
      <c r="M870" s="319" t="str">
        <f>IFERROR(VLOOKUP(H870,Lijsten!$H$1:$I$100,2,0),"")</f>
        <v/>
      </c>
      <c r="N870" s="319" t="str">
        <f ca="1">IFERROR(IF(VLOOKUP(F870,Kostentypen!$A$3:$E$21,3,0)=0,"",IF(OR(F870="Arbeidskosten",F870="Vergoeding"),VLOOKUP(G870,Tb_KostenTypen[],2,0),VLOOKUP(F870,Kostentypen!$A$3:$E$20,3,0))),"")</f>
        <v/>
      </c>
      <c r="O870" s="320" t="str" cm="1">
        <f t="array" ref="O870">_xlfn.IFNA(IF(INDEX(Tb_KostenOptiesDB[],MATCH($F870,Tb_KostenOptiesDB[KostenOptie],0),IFERROR(MATCH(Methode_Keuze,Tb_KostenOptiesDB[#Headers],0),2))=1,_xlfn.SWITCH($N870,"Uurtarief",IF(OR(AND(RIGHT($F870,3)="IKS",VLOOKUP($M870,DB_Loonkosten,2,0)="Ja"),AND(RIGHT($F870,3)&lt;&gt;"IKS",VLOOKUP($M870,DB_Loonkosten,2,0)="Nee")),IFERROR(VLOOKUP($M870,DB_Loonkosten,24,0),""),0),"Vast tarief",IF(LEFT(F870,8)="Bijdrage",VLOOKUP($F870,Tb_KostenTypen[],MATCH(Lijsten!$P$1,Tb_KostenTypen[#Headers],0),0),VLOOKUP($G870,Lijsten!L:P,MATCH(Lijsten!$P$1,Kop_Tarief_Vast,0),0))),""),"")</f>
        <v/>
      </c>
      <c r="P870" s="320" t="str" cm="1">
        <f t="array" ref="P870">_xlfn.IFNA(IF(INDEX(Tb_KostenOptiesDB[],MATCH($F870,Tb_KostenOptiesDB[KostenOptie],0),IFERROR(MATCH(Methode_Keuze,Tb_KostenOptiesDB[#Headers],0),2))=1,_xlfn.SWITCH($N870,"Uurtarief",IF(OR(AND(RIGHT($F870,3)="IKS",VLOOKUP($M870,DB_Loonkosten,2,0)="Ja"),AND(RIGHT($F870,3)&lt;&gt;"IKS",VLOOKUP($M870,DB_Loonkosten,2,0)="Nee")),IFERROR(VLOOKUP($M870,DB_Loonkosten,25,0),""),0),"Vast tarief",IF(LEFT(F870,8)="Bijdrage",VLOOKUP($F870,Tb_KostenTypen[],MATCH(Lijsten!$P$1,Tb_KostenTypen[#Headers],0),0),VLOOKUP($G870,Lijsten!L:P,MATCH(Lijsten!$P$1,Kop_Tarief_Vast,0),0))),""),"")</f>
        <v/>
      </c>
      <c r="Q870" s="359"/>
      <c r="R870" s="359"/>
      <c r="S870" s="321"/>
      <c r="T870" s="321"/>
      <c r="U870" s="373" t="str">
        <f t="shared" si="52"/>
        <v/>
      </c>
      <c r="V870" s="314" t="str">
        <f t="shared" si="53"/>
        <v/>
      </c>
      <c r="W870" s="314" t="str" cm="1">
        <f t="array" aca="1" ref="W870" ca="1">IFERROR(IF(AE870&lt;&gt;"ja",_xlfn.IFNA(_xlfn.IFS(AND(O870&lt;&gt;"",F870&lt;&gt;"",RIGHT($N870,6)="tarief",F870="Vergoeding"),SUM(O870)*FLOOR(SUM(Q870),0.0001),AND(O870&lt;&gt;"",F870&lt;&gt;"",RIGHT($N870,6)="tarief"),SUM(O870)*FLOOR(SUM(Q870),0.01),S870&gt;0,IF(F870&lt;&gt;"",FLOOR(SUM(S870),0.01),"")),""),""),"")</f>
        <v/>
      </c>
      <c r="X870" s="314" t="str" cm="1">
        <f t="array" aca="1" ref="X870" ca="1">IFERROR(IF(AE870&lt;&gt;"ja",_xlfn.IFNA(_xlfn.IFS(AND(P870&lt;&gt;"",R870&lt;&gt;"",RIGHT($N870,6)="tarief",F870="Vergoeding"),SUM(P870)*FLOOR(SUM(R870),0.0001),AND(P870&lt;&gt;"",R870&lt;&gt;"",RIGHT($N870,6)="tarief"),P870*FLOOR(R870,0.01),T870&gt;0,FLOOR(SUM(T870),0.01)),""),""),"")</f>
        <v/>
      </c>
      <c r="Y870" s="314" t="str">
        <f t="shared" ca="1" si="54"/>
        <v/>
      </c>
      <c r="Z870" s="314" t="str" cm="1">
        <f t="array" aca="1" ref="Z870" ca="1">IFERROR(_xlfn.IFS(OR(F870="",LEFT(Methode_Keuze,4)="Geen",Methode_Keuze=""),"",AND(W870&lt;&gt;"",F870&lt;&gt;"Arbeidskosten"),W870*VLOOKUP(F870,Tb_ProjectKosten[],MATCH(Tb_ProjectKosten[[#Headers],[Forfait_Percentage]],Tb_ProjectKosten[#Headers],0),0),AND(F870="Arbeidskosten",G870&lt;&gt;""),IFERROR(W870*VLOOKUP(G870,Tb_KostenTypen[],3,0)*VLOOKUP(F870,Tb_ProjectKosten[],MATCH(Tb_ProjectKosten[[#Headers],[Forfait_Percentage]],Tb_ProjectKosten[#Headers],0),0),""),W870 &lt;=0,0),"")</f>
        <v/>
      </c>
      <c r="AA870" s="314" t="str" cm="1">
        <f t="array" aca="1" ref="AA870" ca="1">IFERROR(_xlfn.IFS(OR(F870="",LEFT(Methode_Keuze,4)="Geen",Methode_Keuze=""),"",AND(X870&lt;&gt;"",F870&lt;&gt;"Arbeidskosten"),X870*VLOOKUP(F870,Tb_ProjectKosten[],MATCH(Tb_ProjectKosten[[#Headers],[Forfait_Percentage]],Tb_ProjectKosten[#Headers],0),0),AND(F870="Arbeidskosten",G870&lt;&gt;""),IFERROR(X870*VLOOKUP(G870,Tb_KostenTypen[],3,0)*VLOOKUP(F870,Tb_ProjectKosten[],MATCH(Tb_ProjectKosten[[#Headers],[Forfait_Percentage]],Tb_ProjectKosten[#Headers],0),0),""),X870 &lt;=0,0),"")</f>
        <v/>
      </c>
      <c r="AB870" s="314" t="str">
        <f t="shared" ca="1" si="55"/>
        <v/>
      </c>
      <c r="AC870" s="322"/>
      <c r="AD870" s="315"/>
      <c r="AE870" s="32" t="str" cm="1">
        <f t="array" ref="AE870">IFERROR(IF(INDEX(SubsidieTabel!$AD$1:$AG$12,MATCH($F870,SubsidieTabel!$AD$1:$AD$12,0),IFERROR(MATCH(Methode_Keuze,SubsidieTabel!$AD$1:$AG$1,0),2))&lt;&gt;1=TRUE,"ja",""),"")</f>
        <v/>
      </c>
    </row>
    <row r="871" spans="1:31" x14ac:dyDescent="0.25">
      <c r="A871" s="316"/>
      <c r="B871" s="317" t="str">
        <f>IF(A871&lt;&gt;"",_xlfn.MAXIFS($B$1:B870,$A$1:A870,A871)+1,"")</f>
        <v/>
      </c>
      <c r="C871" s="296"/>
      <c r="D871" s="296"/>
      <c r="E871" s="296"/>
      <c r="F871" s="296"/>
      <c r="G871" s="326"/>
      <c r="H871" s="324"/>
      <c r="I871" s="325"/>
      <c r="J871" s="325"/>
      <c r="K871" s="318"/>
      <c r="L871" s="318"/>
      <c r="M871" s="319" t="str">
        <f>IFERROR(VLOOKUP(H871,Lijsten!$H$1:$I$100,2,0),"")</f>
        <v/>
      </c>
      <c r="N871" s="319" t="str">
        <f ca="1">IFERROR(IF(VLOOKUP(F871,Kostentypen!$A$3:$E$21,3,0)=0,"",IF(OR(F871="Arbeidskosten",F871="Vergoeding"),VLOOKUP(G871,Tb_KostenTypen[],2,0),VLOOKUP(F871,Kostentypen!$A$3:$E$20,3,0))),"")</f>
        <v/>
      </c>
      <c r="O871" s="320" t="str" cm="1">
        <f t="array" ref="O871">_xlfn.IFNA(IF(INDEX(Tb_KostenOptiesDB[],MATCH($F871,Tb_KostenOptiesDB[KostenOptie],0),IFERROR(MATCH(Methode_Keuze,Tb_KostenOptiesDB[#Headers],0),2))=1,_xlfn.SWITCH($N871,"Uurtarief",IF(OR(AND(RIGHT($F871,3)="IKS",VLOOKUP($M871,DB_Loonkosten,2,0)="Ja"),AND(RIGHT($F871,3)&lt;&gt;"IKS",VLOOKUP($M871,DB_Loonkosten,2,0)="Nee")),IFERROR(VLOOKUP($M871,DB_Loonkosten,24,0),""),0),"Vast tarief",IF(LEFT(F871,8)="Bijdrage",VLOOKUP($F871,Tb_KostenTypen[],MATCH(Lijsten!$P$1,Tb_KostenTypen[#Headers],0),0),VLOOKUP($G871,Lijsten!L:P,MATCH(Lijsten!$P$1,Kop_Tarief_Vast,0),0))),""),"")</f>
        <v/>
      </c>
      <c r="P871" s="320" t="str" cm="1">
        <f t="array" ref="P871">_xlfn.IFNA(IF(INDEX(Tb_KostenOptiesDB[],MATCH($F871,Tb_KostenOptiesDB[KostenOptie],0),IFERROR(MATCH(Methode_Keuze,Tb_KostenOptiesDB[#Headers],0),2))=1,_xlfn.SWITCH($N871,"Uurtarief",IF(OR(AND(RIGHT($F871,3)="IKS",VLOOKUP($M871,DB_Loonkosten,2,0)="Ja"),AND(RIGHT($F871,3)&lt;&gt;"IKS",VLOOKUP($M871,DB_Loonkosten,2,0)="Nee")),IFERROR(VLOOKUP($M871,DB_Loonkosten,25,0),""),0),"Vast tarief",IF(LEFT(F871,8)="Bijdrage",VLOOKUP($F871,Tb_KostenTypen[],MATCH(Lijsten!$P$1,Tb_KostenTypen[#Headers],0),0),VLOOKUP($G871,Lijsten!L:P,MATCH(Lijsten!$P$1,Kop_Tarief_Vast,0),0))),""),"")</f>
        <v/>
      </c>
      <c r="Q871" s="359"/>
      <c r="R871" s="359"/>
      <c r="S871" s="321"/>
      <c r="T871" s="321"/>
      <c r="U871" s="373" t="str">
        <f t="shared" si="52"/>
        <v/>
      </c>
      <c r="V871" s="314" t="str">
        <f t="shared" si="53"/>
        <v/>
      </c>
      <c r="W871" s="314" t="str" cm="1">
        <f t="array" aca="1" ref="W871" ca="1">IFERROR(IF(AE871&lt;&gt;"ja",_xlfn.IFNA(_xlfn.IFS(AND(O871&lt;&gt;"",F871&lt;&gt;"",RIGHT($N871,6)="tarief",F871="Vergoeding"),SUM(O871)*FLOOR(SUM(Q871),0.0001),AND(O871&lt;&gt;"",F871&lt;&gt;"",RIGHT($N871,6)="tarief"),SUM(O871)*FLOOR(SUM(Q871),0.01),S871&gt;0,IF(F871&lt;&gt;"",FLOOR(SUM(S871),0.01),"")),""),""),"")</f>
        <v/>
      </c>
      <c r="X871" s="314" t="str" cm="1">
        <f t="array" aca="1" ref="X871" ca="1">IFERROR(IF(AE871&lt;&gt;"ja",_xlfn.IFNA(_xlfn.IFS(AND(P871&lt;&gt;"",R871&lt;&gt;"",RIGHT($N871,6)="tarief",F871="Vergoeding"),SUM(P871)*FLOOR(SUM(R871),0.0001),AND(P871&lt;&gt;"",R871&lt;&gt;"",RIGHT($N871,6)="tarief"),P871*FLOOR(R871,0.01),T871&gt;0,FLOOR(SUM(T871),0.01)),""),""),"")</f>
        <v/>
      </c>
      <c r="Y871" s="314" t="str">
        <f t="shared" ca="1" si="54"/>
        <v/>
      </c>
      <c r="Z871" s="314" t="str" cm="1">
        <f t="array" aca="1" ref="Z871" ca="1">IFERROR(_xlfn.IFS(OR(F871="",LEFT(Methode_Keuze,4)="Geen",Methode_Keuze=""),"",AND(W871&lt;&gt;"",F871&lt;&gt;"Arbeidskosten"),W871*VLOOKUP(F871,Tb_ProjectKosten[],MATCH(Tb_ProjectKosten[[#Headers],[Forfait_Percentage]],Tb_ProjectKosten[#Headers],0),0),AND(F871="Arbeidskosten",G871&lt;&gt;""),IFERROR(W871*VLOOKUP(G871,Tb_KostenTypen[],3,0)*VLOOKUP(F871,Tb_ProjectKosten[],MATCH(Tb_ProjectKosten[[#Headers],[Forfait_Percentage]],Tb_ProjectKosten[#Headers],0),0),""),W871 &lt;=0,0),"")</f>
        <v/>
      </c>
      <c r="AA871" s="314" t="str" cm="1">
        <f t="array" aca="1" ref="AA871" ca="1">IFERROR(_xlfn.IFS(OR(F871="",LEFT(Methode_Keuze,4)="Geen",Methode_Keuze=""),"",AND(X871&lt;&gt;"",F871&lt;&gt;"Arbeidskosten"),X871*VLOOKUP(F871,Tb_ProjectKosten[],MATCH(Tb_ProjectKosten[[#Headers],[Forfait_Percentage]],Tb_ProjectKosten[#Headers],0),0),AND(F871="Arbeidskosten",G871&lt;&gt;""),IFERROR(X871*VLOOKUP(G871,Tb_KostenTypen[],3,0)*VLOOKUP(F871,Tb_ProjectKosten[],MATCH(Tb_ProjectKosten[[#Headers],[Forfait_Percentage]],Tb_ProjectKosten[#Headers],0),0),""),X871 &lt;=0,0),"")</f>
        <v/>
      </c>
      <c r="AB871" s="314" t="str">
        <f t="shared" ca="1" si="55"/>
        <v/>
      </c>
      <c r="AC871" s="322"/>
      <c r="AD871" s="315"/>
      <c r="AE871" s="32" t="str" cm="1">
        <f t="array" ref="AE871">IFERROR(IF(INDEX(SubsidieTabel!$AD$1:$AG$12,MATCH($F871,SubsidieTabel!$AD$1:$AD$12,0),IFERROR(MATCH(Methode_Keuze,SubsidieTabel!$AD$1:$AG$1,0),2))&lt;&gt;1=TRUE,"ja",""),"")</f>
        <v/>
      </c>
    </row>
    <row r="872" spans="1:31" x14ac:dyDescent="0.25">
      <c r="A872" s="316"/>
      <c r="B872" s="317" t="str">
        <f>IF(A872&lt;&gt;"",_xlfn.MAXIFS($B$1:B871,$A$1:A871,A872)+1,"")</f>
        <v/>
      </c>
      <c r="C872" s="296"/>
      <c r="D872" s="296"/>
      <c r="E872" s="296"/>
      <c r="F872" s="296"/>
      <c r="G872" s="326"/>
      <c r="H872" s="324"/>
      <c r="I872" s="325"/>
      <c r="J872" s="325"/>
      <c r="K872" s="318"/>
      <c r="L872" s="318"/>
      <c r="M872" s="319" t="str">
        <f>IFERROR(VLOOKUP(H872,Lijsten!$H$1:$I$100,2,0),"")</f>
        <v/>
      </c>
      <c r="N872" s="319" t="str">
        <f ca="1">IFERROR(IF(VLOOKUP(F872,Kostentypen!$A$3:$E$21,3,0)=0,"",IF(OR(F872="Arbeidskosten",F872="Vergoeding"),VLOOKUP(G872,Tb_KostenTypen[],2,0),VLOOKUP(F872,Kostentypen!$A$3:$E$20,3,0))),"")</f>
        <v/>
      </c>
      <c r="O872" s="320" t="str" cm="1">
        <f t="array" ref="O872">_xlfn.IFNA(IF(INDEX(Tb_KostenOptiesDB[],MATCH($F872,Tb_KostenOptiesDB[KostenOptie],0),IFERROR(MATCH(Methode_Keuze,Tb_KostenOptiesDB[#Headers],0),2))=1,_xlfn.SWITCH($N872,"Uurtarief",IF(OR(AND(RIGHT($F872,3)="IKS",VLOOKUP($M872,DB_Loonkosten,2,0)="Ja"),AND(RIGHT($F872,3)&lt;&gt;"IKS",VLOOKUP($M872,DB_Loonkosten,2,0)="Nee")),IFERROR(VLOOKUP($M872,DB_Loonkosten,24,0),""),0),"Vast tarief",IF(LEFT(F872,8)="Bijdrage",VLOOKUP($F872,Tb_KostenTypen[],MATCH(Lijsten!$P$1,Tb_KostenTypen[#Headers],0),0),VLOOKUP($G872,Lijsten!L:P,MATCH(Lijsten!$P$1,Kop_Tarief_Vast,0),0))),""),"")</f>
        <v/>
      </c>
      <c r="P872" s="320" t="str" cm="1">
        <f t="array" ref="P872">_xlfn.IFNA(IF(INDEX(Tb_KostenOptiesDB[],MATCH($F872,Tb_KostenOptiesDB[KostenOptie],0),IFERROR(MATCH(Methode_Keuze,Tb_KostenOptiesDB[#Headers],0),2))=1,_xlfn.SWITCH($N872,"Uurtarief",IF(OR(AND(RIGHT($F872,3)="IKS",VLOOKUP($M872,DB_Loonkosten,2,0)="Ja"),AND(RIGHT($F872,3)&lt;&gt;"IKS",VLOOKUP($M872,DB_Loonkosten,2,0)="Nee")),IFERROR(VLOOKUP($M872,DB_Loonkosten,25,0),""),0),"Vast tarief",IF(LEFT(F872,8)="Bijdrage",VLOOKUP($F872,Tb_KostenTypen[],MATCH(Lijsten!$P$1,Tb_KostenTypen[#Headers],0),0),VLOOKUP($G872,Lijsten!L:P,MATCH(Lijsten!$P$1,Kop_Tarief_Vast,0),0))),""),"")</f>
        <v/>
      </c>
      <c r="Q872" s="359"/>
      <c r="R872" s="359"/>
      <c r="S872" s="321"/>
      <c r="T872" s="321"/>
      <c r="U872" s="373" t="str">
        <f t="shared" si="52"/>
        <v/>
      </c>
      <c r="V872" s="314" t="str">
        <f t="shared" si="53"/>
        <v/>
      </c>
      <c r="W872" s="314" t="str" cm="1">
        <f t="array" aca="1" ref="W872" ca="1">IFERROR(IF(AE872&lt;&gt;"ja",_xlfn.IFNA(_xlfn.IFS(AND(O872&lt;&gt;"",F872&lt;&gt;"",RIGHT($N872,6)="tarief",F872="Vergoeding"),SUM(O872)*FLOOR(SUM(Q872),0.0001),AND(O872&lt;&gt;"",F872&lt;&gt;"",RIGHT($N872,6)="tarief"),SUM(O872)*FLOOR(SUM(Q872),0.01),S872&gt;0,IF(F872&lt;&gt;"",FLOOR(SUM(S872),0.01),"")),""),""),"")</f>
        <v/>
      </c>
      <c r="X872" s="314" t="str" cm="1">
        <f t="array" aca="1" ref="X872" ca="1">IFERROR(IF(AE872&lt;&gt;"ja",_xlfn.IFNA(_xlfn.IFS(AND(P872&lt;&gt;"",R872&lt;&gt;"",RIGHT($N872,6)="tarief",F872="Vergoeding"),SUM(P872)*FLOOR(SUM(R872),0.0001),AND(P872&lt;&gt;"",R872&lt;&gt;"",RIGHT($N872,6)="tarief"),P872*FLOOR(R872,0.01),T872&gt;0,FLOOR(SUM(T872),0.01)),""),""),"")</f>
        <v/>
      </c>
      <c r="Y872" s="314" t="str">
        <f t="shared" ca="1" si="54"/>
        <v/>
      </c>
      <c r="Z872" s="314" t="str" cm="1">
        <f t="array" aca="1" ref="Z872" ca="1">IFERROR(_xlfn.IFS(OR(F872="",LEFT(Methode_Keuze,4)="Geen",Methode_Keuze=""),"",AND(W872&lt;&gt;"",F872&lt;&gt;"Arbeidskosten"),W872*VLOOKUP(F872,Tb_ProjectKosten[],MATCH(Tb_ProjectKosten[[#Headers],[Forfait_Percentage]],Tb_ProjectKosten[#Headers],0),0),AND(F872="Arbeidskosten",G872&lt;&gt;""),IFERROR(W872*VLOOKUP(G872,Tb_KostenTypen[],3,0)*VLOOKUP(F872,Tb_ProjectKosten[],MATCH(Tb_ProjectKosten[[#Headers],[Forfait_Percentage]],Tb_ProjectKosten[#Headers],0),0),""),W872 &lt;=0,0),"")</f>
        <v/>
      </c>
      <c r="AA872" s="314" t="str" cm="1">
        <f t="array" aca="1" ref="AA872" ca="1">IFERROR(_xlfn.IFS(OR(F872="",LEFT(Methode_Keuze,4)="Geen",Methode_Keuze=""),"",AND(X872&lt;&gt;"",F872&lt;&gt;"Arbeidskosten"),X872*VLOOKUP(F872,Tb_ProjectKosten[],MATCH(Tb_ProjectKosten[[#Headers],[Forfait_Percentage]],Tb_ProjectKosten[#Headers],0),0),AND(F872="Arbeidskosten",G872&lt;&gt;""),IFERROR(X872*VLOOKUP(G872,Tb_KostenTypen[],3,0)*VLOOKUP(F872,Tb_ProjectKosten[],MATCH(Tb_ProjectKosten[[#Headers],[Forfait_Percentage]],Tb_ProjectKosten[#Headers],0),0),""),X872 &lt;=0,0),"")</f>
        <v/>
      </c>
      <c r="AB872" s="314" t="str">
        <f t="shared" ca="1" si="55"/>
        <v/>
      </c>
      <c r="AC872" s="322"/>
      <c r="AD872" s="315"/>
      <c r="AE872" s="32" t="str" cm="1">
        <f t="array" ref="AE872">IFERROR(IF(INDEX(SubsidieTabel!$AD$1:$AG$12,MATCH($F872,SubsidieTabel!$AD$1:$AD$12,0),IFERROR(MATCH(Methode_Keuze,SubsidieTabel!$AD$1:$AG$1,0),2))&lt;&gt;1=TRUE,"ja",""),"")</f>
        <v/>
      </c>
    </row>
    <row r="873" spans="1:31" x14ac:dyDescent="0.25">
      <c r="A873" s="316"/>
      <c r="B873" s="317" t="str">
        <f>IF(A873&lt;&gt;"",_xlfn.MAXIFS($B$1:B872,$A$1:A872,A873)+1,"")</f>
        <v/>
      </c>
      <c r="C873" s="296"/>
      <c r="D873" s="296"/>
      <c r="E873" s="296"/>
      <c r="F873" s="296"/>
      <c r="G873" s="326"/>
      <c r="H873" s="324"/>
      <c r="I873" s="325"/>
      <c r="J873" s="325"/>
      <c r="K873" s="318"/>
      <c r="L873" s="318"/>
      <c r="M873" s="319" t="str">
        <f>IFERROR(VLOOKUP(H873,Lijsten!$H$1:$I$100,2,0),"")</f>
        <v/>
      </c>
      <c r="N873" s="319" t="str">
        <f ca="1">IFERROR(IF(VLOOKUP(F873,Kostentypen!$A$3:$E$21,3,0)=0,"",IF(OR(F873="Arbeidskosten",F873="Vergoeding"),VLOOKUP(G873,Tb_KostenTypen[],2,0),VLOOKUP(F873,Kostentypen!$A$3:$E$20,3,0))),"")</f>
        <v/>
      </c>
      <c r="O873" s="320" t="str" cm="1">
        <f t="array" ref="O873">_xlfn.IFNA(IF(INDEX(Tb_KostenOptiesDB[],MATCH($F873,Tb_KostenOptiesDB[KostenOptie],0),IFERROR(MATCH(Methode_Keuze,Tb_KostenOptiesDB[#Headers],0),2))=1,_xlfn.SWITCH($N873,"Uurtarief",IF(OR(AND(RIGHT($F873,3)="IKS",VLOOKUP($M873,DB_Loonkosten,2,0)="Ja"),AND(RIGHT($F873,3)&lt;&gt;"IKS",VLOOKUP($M873,DB_Loonkosten,2,0)="Nee")),IFERROR(VLOOKUP($M873,DB_Loonkosten,24,0),""),0),"Vast tarief",IF(LEFT(F873,8)="Bijdrage",VLOOKUP($F873,Tb_KostenTypen[],MATCH(Lijsten!$P$1,Tb_KostenTypen[#Headers],0),0),VLOOKUP($G873,Lijsten!L:P,MATCH(Lijsten!$P$1,Kop_Tarief_Vast,0),0))),""),"")</f>
        <v/>
      </c>
      <c r="P873" s="320" t="str" cm="1">
        <f t="array" ref="P873">_xlfn.IFNA(IF(INDEX(Tb_KostenOptiesDB[],MATCH($F873,Tb_KostenOptiesDB[KostenOptie],0),IFERROR(MATCH(Methode_Keuze,Tb_KostenOptiesDB[#Headers],0),2))=1,_xlfn.SWITCH($N873,"Uurtarief",IF(OR(AND(RIGHT($F873,3)="IKS",VLOOKUP($M873,DB_Loonkosten,2,0)="Ja"),AND(RIGHT($F873,3)&lt;&gt;"IKS",VLOOKUP($M873,DB_Loonkosten,2,0)="Nee")),IFERROR(VLOOKUP($M873,DB_Loonkosten,25,0),""),0),"Vast tarief",IF(LEFT(F873,8)="Bijdrage",VLOOKUP($F873,Tb_KostenTypen[],MATCH(Lijsten!$P$1,Tb_KostenTypen[#Headers],0),0),VLOOKUP($G873,Lijsten!L:P,MATCH(Lijsten!$P$1,Kop_Tarief_Vast,0),0))),""),"")</f>
        <v/>
      </c>
      <c r="Q873" s="359"/>
      <c r="R873" s="359"/>
      <c r="S873" s="321"/>
      <c r="T873" s="321"/>
      <c r="U873" s="373" t="str">
        <f t="shared" si="52"/>
        <v/>
      </c>
      <c r="V873" s="314" t="str">
        <f t="shared" si="53"/>
        <v/>
      </c>
      <c r="W873" s="314" t="str" cm="1">
        <f t="array" aca="1" ref="W873" ca="1">IFERROR(IF(AE873&lt;&gt;"ja",_xlfn.IFNA(_xlfn.IFS(AND(O873&lt;&gt;"",F873&lt;&gt;"",RIGHT($N873,6)="tarief",F873="Vergoeding"),SUM(O873)*FLOOR(SUM(Q873),0.0001),AND(O873&lt;&gt;"",F873&lt;&gt;"",RIGHT($N873,6)="tarief"),SUM(O873)*FLOOR(SUM(Q873),0.01),S873&gt;0,IF(F873&lt;&gt;"",FLOOR(SUM(S873),0.01),"")),""),""),"")</f>
        <v/>
      </c>
      <c r="X873" s="314" t="str" cm="1">
        <f t="array" aca="1" ref="X873" ca="1">IFERROR(IF(AE873&lt;&gt;"ja",_xlfn.IFNA(_xlfn.IFS(AND(P873&lt;&gt;"",R873&lt;&gt;"",RIGHT($N873,6)="tarief",F873="Vergoeding"),SUM(P873)*FLOOR(SUM(R873),0.0001),AND(P873&lt;&gt;"",R873&lt;&gt;"",RIGHT($N873,6)="tarief"),P873*FLOOR(R873,0.01),T873&gt;0,FLOOR(SUM(T873),0.01)),""),""),"")</f>
        <v/>
      </c>
      <c r="Y873" s="314" t="str">
        <f t="shared" ca="1" si="54"/>
        <v/>
      </c>
      <c r="Z873" s="314" t="str" cm="1">
        <f t="array" aca="1" ref="Z873" ca="1">IFERROR(_xlfn.IFS(OR(F873="",LEFT(Methode_Keuze,4)="Geen",Methode_Keuze=""),"",AND(W873&lt;&gt;"",F873&lt;&gt;"Arbeidskosten"),W873*VLOOKUP(F873,Tb_ProjectKosten[],MATCH(Tb_ProjectKosten[[#Headers],[Forfait_Percentage]],Tb_ProjectKosten[#Headers],0),0),AND(F873="Arbeidskosten",G873&lt;&gt;""),IFERROR(W873*VLOOKUP(G873,Tb_KostenTypen[],3,0)*VLOOKUP(F873,Tb_ProjectKosten[],MATCH(Tb_ProjectKosten[[#Headers],[Forfait_Percentage]],Tb_ProjectKosten[#Headers],0),0),""),W873 &lt;=0,0),"")</f>
        <v/>
      </c>
      <c r="AA873" s="314" t="str" cm="1">
        <f t="array" aca="1" ref="AA873" ca="1">IFERROR(_xlfn.IFS(OR(F873="",LEFT(Methode_Keuze,4)="Geen",Methode_Keuze=""),"",AND(X873&lt;&gt;"",F873&lt;&gt;"Arbeidskosten"),X873*VLOOKUP(F873,Tb_ProjectKosten[],MATCH(Tb_ProjectKosten[[#Headers],[Forfait_Percentage]],Tb_ProjectKosten[#Headers],0),0),AND(F873="Arbeidskosten",G873&lt;&gt;""),IFERROR(X873*VLOOKUP(G873,Tb_KostenTypen[],3,0)*VLOOKUP(F873,Tb_ProjectKosten[],MATCH(Tb_ProjectKosten[[#Headers],[Forfait_Percentage]],Tb_ProjectKosten[#Headers],0),0),""),X873 &lt;=0,0),"")</f>
        <v/>
      </c>
      <c r="AB873" s="314" t="str">
        <f t="shared" ca="1" si="55"/>
        <v/>
      </c>
      <c r="AC873" s="322"/>
      <c r="AD873" s="315"/>
      <c r="AE873" s="32" t="str" cm="1">
        <f t="array" ref="AE873">IFERROR(IF(INDEX(SubsidieTabel!$AD$1:$AG$12,MATCH($F873,SubsidieTabel!$AD$1:$AD$12,0),IFERROR(MATCH(Methode_Keuze,SubsidieTabel!$AD$1:$AG$1,0),2))&lt;&gt;1=TRUE,"ja",""),"")</f>
        <v/>
      </c>
    </row>
    <row r="874" spans="1:31" x14ac:dyDescent="0.25">
      <c r="A874" s="316"/>
      <c r="B874" s="317" t="str">
        <f>IF(A874&lt;&gt;"",_xlfn.MAXIFS($B$1:B873,$A$1:A873,A874)+1,"")</f>
        <v/>
      </c>
      <c r="C874" s="296"/>
      <c r="D874" s="296"/>
      <c r="E874" s="296"/>
      <c r="F874" s="296"/>
      <c r="G874" s="326"/>
      <c r="H874" s="324"/>
      <c r="I874" s="325"/>
      <c r="J874" s="325"/>
      <c r="K874" s="318"/>
      <c r="L874" s="318"/>
      <c r="M874" s="319" t="str">
        <f>IFERROR(VLOOKUP(H874,Lijsten!$H$1:$I$100,2,0),"")</f>
        <v/>
      </c>
      <c r="N874" s="319" t="str">
        <f ca="1">IFERROR(IF(VLOOKUP(F874,Kostentypen!$A$3:$E$21,3,0)=0,"",IF(OR(F874="Arbeidskosten",F874="Vergoeding"),VLOOKUP(G874,Tb_KostenTypen[],2,0),VLOOKUP(F874,Kostentypen!$A$3:$E$20,3,0))),"")</f>
        <v/>
      </c>
      <c r="O874" s="320" t="str" cm="1">
        <f t="array" ref="O874">_xlfn.IFNA(IF(INDEX(Tb_KostenOptiesDB[],MATCH($F874,Tb_KostenOptiesDB[KostenOptie],0),IFERROR(MATCH(Methode_Keuze,Tb_KostenOptiesDB[#Headers],0),2))=1,_xlfn.SWITCH($N874,"Uurtarief",IF(OR(AND(RIGHT($F874,3)="IKS",VLOOKUP($M874,DB_Loonkosten,2,0)="Ja"),AND(RIGHT($F874,3)&lt;&gt;"IKS",VLOOKUP($M874,DB_Loonkosten,2,0)="Nee")),IFERROR(VLOOKUP($M874,DB_Loonkosten,24,0),""),0),"Vast tarief",IF(LEFT(F874,8)="Bijdrage",VLOOKUP($F874,Tb_KostenTypen[],MATCH(Lijsten!$P$1,Tb_KostenTypen[#Headers],0),0),VLOOKUP($G874,Lijsten!L:P,MATCH(Lijsten!$P$1,Kop_Tarief_Vast,0),0))),""),"")</f>
        <v/>
      </c>
      <c r="P874" s="320" t="str" cm="1">
        <f t="array" ref="P874">_xlfn.IFNA(IF(INDEX(Tb_KostenOptiesDB[],MATCH($F874,Tb_KostenOptiesDB[KostenOptie],0),IFERROR(MATCH(Methode_Keuze,Tb_KostenOptiesDB[#Headers],0),2))=1,_xlfn.SWITCH($N874,"Uurtarief",IF(OR(AND(RIGHT($F874,3)="IKS",VLOOKUP($M874,DB_Loonkosten,2,0)="Ja"),AND(RIGHT($F874,3)&lt;&gt;"IKS",VLOOKUP($M874,DB_Loonkosten,2,0)="Nee")),IFERROR(VLOOKUP($M874,DB_Loonkosten,25,0),""),0),"Vast tarief",IF(LEFT(F874,8)="Bijdrage",VLOOKUP($F874,Tb_KostenTypen[],MATCH(Lijsten!$P$1,Tb_KostenTypen[#Headers],0),0),VLOOKUP($G874,Lijsten!L:P,MATCH(Lijsten!$P$1,Kop_Tarief_Vast,0),0))),""),"")</f>
        <v/>
      </c>
      <c r="Q874" s="359"/>
      <c r="R874" s="359"/>
      <c r="S874" s="321"/>
      <c r="T874" s="321"/>
      <c r="U874" s="373" t="str">
        <f t="shared" si="52"/>
        <v/>
      </c>
      <c r="V874" s="314" t="str">
        <f t="shared" si="53"/>
        <v/>
      </c>
      <c r="W874" s="314" t="str" cm="1">
        <f t="array" aca="1" ref="W874" ca="1">IFERROR(IF(AE874&lt;&gt;"ja",_xlfn.IFNA(_xlfn.IFS(AND(O874&lt;&gt;"",F874&lt;&gt;"",RIGHT($N874,6)="tarief",F874="Vergoeding"),SUM(O874)*FLOOR(SUM(Q874),0.0001),AND(O874&lt;&gt;"",F874&lt;&gt;"",RIGHT($N874,6)="tarief"),SUM(O874)*FLOOR(SUM(Q874),0.01),S874&gt;0,IF(F874&lt;&gt;"",FLOOR(SUM(S874),0.01),"")),""),""),"")</f>
        <v/>
      </c>
      <c r="X874" s="314" t="str" cm="1">
        <f t="array" aca="1" ref="X874" ca="1">IFERROR(IF(AE874&lt;&gt;"ja",_xlfn.IFNA(_xlfn.IFS(AND(P874&lt;&gt;"",R874&lt;&gt;"",RIGHT($N874,6)="tarief",F874="Vergoeding"),SUM(P874)*FLOOR(SUM(R874),0.0001),AND(P874&lt;&gt;"",R874&lt;&gt;"",RIGHT($N874,6)="tarief"),P874*FLOOR(R874,0.01),T874&gt;0,FLOOR(SUM(T874),0.01)),""),""),"")</f>
        <v/>
      </c>
      <c r="Y874" s="314" t="str">
        <f t="shared" ca="1" si="54"/>
        <v/>
      </c>
      <c r="Z874" s="314" t="str" cm="1">
        <f t="array" aca="1" ref="Z874" ca="1">IFERROR(_xlfn.IFS(OR(F874="",LEFT(Methode_Keuze,4)="Geen",Methode_Keuze=""),"",AND(W874&lt;&gt;"",F874&lt;&gt;"Arbeidskosten"),W874*VLOOKUP(F874,Tb_ProjectKosten[],MATCH(Tb_ProjectKosten[[#Headers],[Forfait_Percentage]],Tb_ProjectKosten[#Headers],0),0),AND(F874="Arbeidskosten",G874&lt;&gt;""),IFERROR(W874*VLOOKUP(G874,Tb_KostenTypen[],3,0)*VLOOKUP(F874,Tb_ProjectKosten[],MATCH(Tb_ProjectKosten[[#Headers],[Forfait_Percentage]],Tb_ProjectKosten[#Headers],0),0),""),W874 &lt;=0,0),"")</f>
        <v/>
      </c>
      <c r="AA874" s="314" t="str" cm="1">
        <f t="array" aca="1" ref="AA874" ca="1">IFERROR(_xlfn.IFS(OR(F874="",LEFT(Methode_Keuze,4)="Geen",Methode_Keuze=""),"",AND(X874&lt;&gt;"",F874&lt;&gt;"Arbeidskosten"),X874*VLOOKUP(F874,Tb_ProjectKosten[],MATCH(Tb_ProjectKosten[[#Headers],[Forfait_Percentage]],Tb_ProjectKosten[#Headers],0),0),AND(F874="Arbeidskosten",G874&lt;&gt;""),IFERROR(X874*VLOOKUP(G874,Tb_KostenTypen[],3,0)*VLOOKUP(F874,Tb_ProjectKosten[],MATCH(Tb_ProjectKosten[[#Headers],[Forfait_Percentage]],Tb_ProjectKosten[#Headers],0),0),""),X874 &lt;=0,0),"")</f>
        <v/>
      </c>
      <c r="AB874" s="314" t="str">
        <f t="shared" ca="1" si="55"/>
        <v/>
      </c>
      <c r="AC874" s="322"/>
      <c r="AD874" s="315"/>
      <c r="AE874" s="32" t="str" cm="1">
        <f t="array" ref="AE874">IFERROR(IF(INDEX(SubsidieTabel!$AD$1:$AG$12,MATCH($F874,SubsidieTabel!$AD$1:$AD$12,0),IFERROR(MATCH(Methode_Keuze,SubsidieTabel!$AD$1:$AG$1,0),2))&lt;&gt;1=TRUE,"ja",""),"")</f>
        <v/>
      </c>
    </row>
    <row r="875" spans="1:31" x14ac:dyDescent="0.25">
      <c r="A875" s="316"/>
      <c r="B875" s="317" t="str">
        <f>IF(A875&lt;&gt;"",_xlfn.MAXIFS($B$1:B874,$A$1:A874,A875)+1,"")</f>
        <v/>
      </c>
      <c r="C875" s="296"/>
      <c r="D875" s="296"/>
      <c r="E875" s="296"/>
      <c r="F875" s="296"/>
      <c r="G875" s="326"/>
      <c r="H875" s="324"/>
      <c r="I875" s="325"/>
      <c r="J875" s="325"/>
      <c r="K875" s="318"/>
      <c r="L875" s="318"/>
      <c r="M875" s="319" t="str">
        <f>IFERROR(VLOOKUP(H875,Lijsten!$H$1:$I$100,2,0),"")</f>
        <v/>
      </c>
      <c r="N875" s="319" t="str">
        <f ca="1">IFERROR(IF(VLOOKUP(F875,Kostentypen!$A$3:$E$21,3,0)=0,"",IF(OR(F875="Arbeidskosten",F875="Vergoeding"),VLOOKUP(G875,Tb_KostenTypen[],2,0),VLOOKUP(F875,Kostentypen!$A$3:$E$20,3,0))),"")</f>
        <v/>
      </c>
      <c r="O875" s="320" t="str" cm="1">
        <f t="array" ref="O875">_xlfn.IFNA(IF(INDEX(Tb_KostenOptiesDB[],MATCH($F875,Tb_KostenOptiesDB[KostenOptie],0),IFERROR(MATCH(Methode_Keuze,Tb_KostenOptiesDB[#Headers],0),2))=1,_xlfn.SWITCH($N875,"Uurtarief",IF(OR(AND(RIGHT($F875,3)="IKS",VLOOKUP($M875,DB_Loonkosten,2,0)="Ja"),AND(RIGHT($F875,3)&lt;&gt;"IKS",VLOOKUP($M875,DB_Loonkosten,2,0)="Nee")),IFERROR(VLOOKUP($M875,DB_Loonkosten,24,0),""),0),"Vast tarief",IF(LEFT(F875,8)="Bijdrage",VLOOKUP($F875,Tb_KostenTypen[],MATCH(Lijsten!$P$1,Tb_KostenTypen[#Headers],0),0),VLOOKUP($G875,Lijsten!L:P,MATCH(Lijsten!$P$1,Kop_Tarief_Vast,0),0))),""),"")</f>
        <v/>
      </c>
      <c r="P875" s="320" t="str" cm="1">
        <f t="array" ref="P875">_xlfn.IFNA(IF(INDEX(Tb_KostenOptiesDB[],MATCH($F875,Tb_KostenOptiesDB[KostenOptie],0),IFERROR(MATCH(Methode_Keuze,Tb_KostenOptiesDB[#Headers],0),2))=1,_xlfn.SWITCH($N875,"Uurtarief",IF(OR(AND(RIGHT($F875,3)="IKS",VLOOKUP($M875,DB_Loonkosten,2,0)="Ja"),AND(RIGHT($F875,3)&lt;&gt;"IKS",VLOOKUP($M875,DB_Loonkosten,2,0)="Nee")),IFERROR(VLOOKUP($M875,DB_Loonkosten,25,0),""),0),"Vast tarief",IF(LEFT(F875,8)="Bijdrage",VLOOKUP($F875,Tb_KostenTypen[],MATCH(Lijsten!$P$1,Tb_KostenTypen[#Headers],0),0),VLOOKUP($G875,Lijsten!L:P,MATCH(Lijsten!$P$1,Kop_Tarief_Vast,0),0))),""),"")</f>
        <v/>
      </c>
      <c r="Q875" s="359"/>
      <c r="R875" s="359"/>
      <c r="S875" s="321"/>
      <c r="T875" s="321"/>
      <c r="U875" s="373" t="str">
        <f t="shared" si="52"/>
        <v/>
      </c>
      <c r="V875" s="314" t="str">
        <f t="shared" si="53"/>
        <v/>
      </c>
      <c r="W875" s="314" t="str" cm="1">
        <f t="array" aca="1" ref="W875" ca="1">IFERROR(IF(AE875&lt;&gt;"ja",_xlfn.IFNA(_xlfn.IFS(AND(O875&lt;&gt;"",F875&lt;&gt;"",RIGHT($N875,6)="tarief",F875="Vergoeding"),SUM(O875)*FLOOR(SUM(Q875),0.0001),AND(O875&lt;&gt;"",F875&lt;&gt;"",RIGHT($N875,6)="tarief"),SUM(O875)*FLOOR(SUM(Q875),0.01),S875&gt;0,IF(F875&lt;&gt;"",FLOOR(SUM(S875),0.01),"")),""),""),"")</f>
        <v/>
      </c>
      <c r="X875" s="314" t="str" cm="1">
        <f t="array" aca="1" ref="X875" ca="1">IFERROR(IF(AE875&lt;&gt;"ja",_xlfn.IFNA(_xlfn.IFS(AND(P875&lt;&gt;"",R875&lt;&gt;"",RIGHT($N875,6)="tarief",F875="Vergoeding"),SUM(P875)*FLOOR(SUM(R875),0.0001),AND(P875&lt;&gt;"",R875&lt;&gt;"",RIGHT($N875,6)="tarief"),P875*FLOOR(R875,0.01),T875&gt;0,FLOOR(SUM(T875),0.01)),""),""),"")</f>
        <v/>
      </c>
      <c r="Y875" s="314" t="str">
        <f t="shared" ca="1" si="54"/>
        <v/>
      </c>
      <c r="Z875" s="314" t="str" cm="1">
        <f t="array" aca="1" ref="Z875" ca="1">IFERROR(_xlfn.IFS(OR(F875="",LEFT(Methode_Keuze,4)="Geen",Methode_Keuze=""),"",AND(W875&lt;&gt;"",F875&lt;&gt;"Arbeidskosten"),W875*VLOOKUP(F875,Tb_ProjectKosten[],MATCH(Tb_ProjectKosten[[#Headers],[Forfait_Percentage]],Tb_ProjectKosten[#Headers],0),0),AND(F875="Arbeidskosten",G875&lt;&gt;""),IFERROR(W875*VLOOKUP(G875,Tb_KostenTypen[],3,0)*VLOOKUP(F875,Tb_ProjectKosten[],MATCH(Tb_ProjectKosten[[#Headers],[Forfait_Percentage]],Tb_ProjectKosten[#Headers],0),0),""),W875 &lt;=0,0),"")</f>
        <v/>
      </c>
      <c r="AA875" s="314" t="str" cm="1">
        <f t="array" aca="1" ref="AA875" ca="1">IFERROR(_xlfn.IFS(OR(F875="",LEFT(Methode_Keuze,4)="Geen",Methode_Keuze=""),"",AND(X875&lt;&gt;"",F875&lt;&gt;"Arbeidskosten"),X875*VLOOKUP(F875,Tb_ProjectKosten[],MATCH(Tb_ProjectKosten[[#Headers],[Forfait_Percentage]],Tb_ProjectKosten[#Headers],0),0),AND(F875="Arbeidskosten",G875&lt;&gt;""),IFERROR(X875*VLOOKUP(G875,Tb_KostenTypen[],3,0)*VLOOKUP(F875,Tb_ProjectKosten[],MATCH(Tb_ProjectKosten[[#Headers],[Forfait_Percentage]],Tb_ProjectKosten[#Headers],0),0),""),X875 &lt;=0,0),"")</f>
        <v/>
      </c>
      <c r="AB875" s="314" t="str">
        <f t="shared" ca="1" si="55"/>
        <v/>
      </c>
      <c r="AC875" s="322"/>
      <c r="AD875" s="315"/>
      <c r="AE875" s="32" t="str" cm="1">
        <f t="array" ref="AE875">IFERROR(IF(INDEX(SubsidieTabel!$AD$1:$AG$12,MATCH($F875,SubsidieTabel!$AD$1:$AD$12,0),IFERROR(MATCH(Methode_Keuze,SubsidieTabel!$AD$1:$AG$1,0),2))&lt;&gt;1=TRUE,"ja",""),"")</f>
        <v/>
      </c>
    </row>
    <row r="876" spans="1:31" x14ac:dyDescent="0.25">
      <c r="A876" s="316"/>
      <c r="B876" s="317" t="str">
        <f>IF(A876&lt;&gt;"",_xlfn.MAXIFS($B$1:B875,$A$1:A875,A876)+1,"")</f>
        <v/>
      </c>
      <c r="C876" s="296"/>
      <c r="D876" s="296"/>
      <c r="E876" s="296"/>
      <c r="F876" s="296"/>
      <c r="G876" s="326"/>
      <c r="H876" s="324"/>
      <c r="I876" s="325"/>
      <c r="J876" s="325"/>
      <c r="K876" s="318"/>
      <c r="L876" s="318"/>
      <c r="M876" s="319" t="str">
        <f>IFERROR(VLOOKUP(H876,Lijsten!$H$1:$I$100,2,0),"")</f>
        <v/>
      </c>
      <c r="N876" s="319" t="str">
        <f ca="1">IFERROR(IF(VLOOKUP(F876,Kostentypen!$A$3:$E$21,3,0)=0,"",IF(OR(F876="Arbeidskosten",F876="Vergoeding"),VLOOKUP(G876,Tb_KostenTypen[],2,0),VLOOKUP(F876,Kostentypen!$A$3:$E$20,3,0))),"")</f>
        <v/>
      </c>
      <c r="O876" s="320" t="str" cm="1">
        <f t="array" ref="O876">_xlfn.IFNA(IF(INDEX(Tb_KostenOptiesDB[],MATCH($F876,Tb_KostenOptiesDB[KostenOptie],0),IFERROR(MATCH(Methode_Keuze,Tb_KostenOptiesDB[#Headers],0),2))=1,_xlfn.SWITCH($N876,"Uurtarief",IF(OR(AND(RIGHT($F876,3)="IKS",VLOOKUP($M876,DB_Loonkosten,2,0)="Ja"),AND(RIGHT($F876,3)&lt;&gt;"IKS",VLOOKUP($M876,DB_Loonkosten,2,0)="Nee")),IFERROR(VLOOKUP($M876,DB_Loonkosten,24,0),""),0),"Vast tarief",IF(LEFT(F876,8)="Bijdrage",VLOOKUP($F876,Tb_KostenTypen[],MATCH(Lijsten!$P$1,Tb_KostenTypen[#Headers],0),0),VLOOKUP($G876,Lijsten!L:P,MATCH(Lijsten!$P$1,Kop_Tarief_Vast,0),0))),""),"")</f>
        <v/>
      </c>
      <c r="P876" s="320" t="str" cm="1">
        <f t="array" ref="P876">_xlfn.IFNA(IF(INDEX(Tb_KostenOptiesDB[],MATCH($F876,Tb_KostenOptiesDB[KostenOptie],0),IFERROR(MATCH(Methode_Keuze,Tb_KostenOptiesDB[#Headers],0),2))=1,_xlfn.SWITCH($N876,"Uurtarief",IF(OR(AND(RIGHT($F876,3)="IKS",VLOOKUP($M876,DB_Loonkosten,2,0)="Ja"),AND(RIGHT($F876,3)&lt;&gt;"IKS",VLOOKUP($M876,DB_Loonkosten,2,0)="Nee")),IFERROR(VLOOKUP($M876,DB_Loonkosten,25,0),""),0),"Vast tarief",IF(LEFT(F876,8)="Bijdrage",VLOOKUP($F876,Tb_KostenTypen[],MATCH(Lijsten!$P$1,Tb_KostenTypen[#Headers],0),0),VLOOKUP($G876,Lijsten!L:P,MATCH(Lijsten!$P$1,Kop_Tarief_Vast,0),0))),""),"")</f>
        <v/>
      </c>
      <c r="Q876" s="359"/>
      <c r="R876" s="359"/>
      <c r="S876" s="321"/>
      <c r="T876" s="321"/>
      <c r="U876" s="373" t="str">
        <f t="shared" si="52"/>
        <v/>
      </c>
      <c r="V876" s="314" t="str">
        <f t="shared" si="53"/>
        <v/>
      </c>
      <c r="W876" s="314" t="str" cm="1">
        <f t="array" aca="1" ref="W876" ca="1">IFERROR(IF(AE876&lt;&gt;"ja",_xlfn.IFNA(_xlfn.IFS(AND(O876&lt;&gt;"",F876&lt;&gt;"",RIGHT($N876,6)="tarief",F876="Vergoeding"),SUM(O876)*FLOOR(SUM(Q876),0.0001),AND(O876&lt;&gt;"",F876&lt;&gt;"",RIGHT($N876,6)="tarief"),SUM(O876)*FLOOR(SUM(Q876),0.01),S876&gt;0,IF(F876&lt;&gt;"",FLOOR(SUM(S876),0.01),"")),""),""),"")</f>
        <v/>
      </c>
      <c r="X876" s="314" t="str" cm="1">
        <f t="array" aca="1" ref="X876" ca="1">IFERROR(IF(AE876&lt;&gt;"ja",_xlfn.IFNA(_xlfn.IFS(AND(P876&lt;&gt;"",R876&lt;&gt;"",RIGHT($N876,6)="tarief",F876="Vergoeding"),SUM(P876)*FLOOR(SUM(R876),0.0001),AND(P876&lt;&gt;"",R876&lt;&gt;"",RIGHT($N876,6)="tarief"),P876*FLOOR(R876,0.01),T876&gt;0,FLOOR(SUM(T876),0.01)),""),""),"")</f>
        <v/>
      </c>
      <c r="Y876" s="314" t="str">
        <f t="shared" ca="1" si="54"/>
        <v/>
      </c>
      <c r="Z876" s="314" t="str" cm="1">
        <f t="array" aca="1" ref="Z876" ca="1">IFERROR(_xlfn.IFS(OR(F876="",LEFT(Methode_Keuze,4)="Geen",Methode_Keuze=""),"",AND(W876&lt;&gt;"",F876&lt;&gt;"Arbeidskosten"),W876*VLOOKUP(F876,Tb_ProjectKosten[],MATCH(Tb_ProjectKosten[[#Headers],[Forfait_Percentage]],Tb_ProjectKosten[#Headers],0),0),AND(F876="Arbeidskosten",G876&lt;&gt;""),IFERROR(W876*VLOOKUP(G876,Tb_KostenTypen[],3,0)*VLOOKUP(F876,Tb_ProjectKosten[],MATCH(Tb_ProjectKosten[[#Headers],[Forfait_Percentage]],Tb_ProjectKosten[#Headers],0),0),""),W876 &lt;=0,0),"")</f>
        <v/>
      </c>
      <c r="AA876" s="314" t="str" cm="1">
        <f t="array" aca="1" ref="AA876" ca="1">IFERROR(_xlfn.IFS(OR(F876="",LEFT(Methode_Keuze,4)="Geen",Methode_Keuze=""),"",AND(X876&lt;&gt;"",F876&lt;&gt;"Arbeidskosten"),X876*VLOOKUP(F876,Tb_ProjectKosten[],MATCH(Tb_ProjectKosten[[#Headers],[Forfait_Percentage]],Tb_ProjectKosten[#Headers],0),0),AND(F876="Arbeidskosten",G876&lt;&gt;""),IFERROR(X876*VLOOKUP(G876,Tb_KostenTypen[],3,0)*VLOOKUP(F876,Tb_ProjectKosten[],MATCH(Tb_ProjectKosten[[#Headers],[Forfait_Percentage]],Tb_ProjectKosten[#Headers],0),0),""),X876 &lt;=0,0),"")</f>
        <v/>
      </c>
      <c r="AB876" s="314" t="str">
        <f t="shared" ca="1" si="55"/>
        <v/>
      </c>
      <c r="AC876" s="322"/>
      <c r="AD876" s="315"/>
      <c r="AE876" s="32" t="str" cm="1">
        <f t="array" ref="AE876">IFERROR(IF(INDEX(SubsidieTabel!$AD$1:$AG$12,MATCH($F876,SubsidieTabel!$AD$1:$AD$12,0),IFERROR(MATCH(Methode_Keuze,SubsidieTabel!$AD$1:$AG$1,0),2))&lt;&gt;1=TRUE,"ja",""),"")</f>
        <v/>
      </c>
    </row>
    <row r="877" spans="1:31" x14ac:dyDescent="0.25">
      <c r="A877" s="316"/>
      <c r="B877" s="317" t="str">
        <f>IF(A877&lt;&gt;"",_xlfn.MAXIFS($B$1:B876,$A$1:A876,A877)+1,"")</f>
        <v/>
      </c>
      <c r="C877" s="296"/>
      <c r="D877" s="296"/>
      <c r="E877" s="296"/>
      <c r="F877" s="296"/>
      <c r="G877" s="326"/>
      <c r="H877" s="324"/>
      <c r="I877" s="325"/>
      <c r="J877" s="325"/>
      <c r="K877" s="318"/>
      <c r="L877" s="318"/>
      <c r="M877" s="319" t="str">
        <f>IFERROR(VLOOKUP(H877,Lijsten!$H$1:$I$100,2,0),"")</f>
        <v/>
      </c>
      <c r="N877" s="319" t="str">
        <f ca="1">IFERROR(IF(VLOOKUP(F877,Kostentypen!$A$3:$E$21,3,0)=0,"",IF(OR(F877="Arbeidskosten",F877="Vergoeding"),VLOOKUP(G877,Tb_KostenTypen[],2,0),VLOOKUP(F877,Kostentypen!$A$3:$E$20,3,0))),"")</f>
        <v/>
      </c>
      <c r="O877" s="320" t="str" cm="1">
        <f t="array" ref="O877">_xlfn.IFNA(IF(INDEX(Tb_KostenOptiesDB[],MATCH($F877,Tb_KostenOptiesDB[KostenOptie],0),IFERROR(MATCH(Methode_Keuze,Tb_KostenOptiesDB[#Headers],0),2))=1,_xlfn.SWITCH($N877,"Uurtarief",IF(OR(AND(RIGHT($F877,3)="IKS",VLOOKUP($M877,DB_Loonkosten,2,0)="Ja"),AND(RIGHT($F877,3)&lt;&gt;"IKS",VLOOKUP($M877,DB_Loonkosten,2,0)="Nee")),IFERROR(VLOOKUP($M877,DB_Loonkosten,24,0),""),0),"Vast tarief",IF(LEFT(F877,8)="Bijdrage",VLOOKUP($F877,Tb_KostenTypen[],MATCH(Lijsten!$P$1,Tb_KostenTypen[#Headers],0),0),VLOOKUP($G877,Lijsten!L:P,MATCH(Lijsten!$P$1,Kop_Tarief_Vast,0),0))),""),"")</f>
        <v/>
      </c>
      <c r="P877" s="320" t="str" cm="1">
        <f t="array" ref="P877">_xlfn.IFNA(IF(INDEX(Tb_KostenOptiesDB[],MATCH($F877,Tb_KostenOptiesDB[KostenOptie],0),IFERROR(MATCH(Methode_Keuze,Tb_KostenOptiesDB[#Headers],0),2))=1,_xlfn.SWITCH($N877,"Uurtarief",IF(OR(AND(RIGHT($F877,3)="IKS",VLOOKUP($M877,DB_Loonkosten,2,0)="Ja"),AND(RIGHT($F877,3)&lt;&gt;"IKS",VLOOKUP($M877,DB_Loonkosten,2,0)="Nee")),IFERROR(VLOOKUP($M877,DB_Loonkosten,25,0),""),0),"Vast tarief",IF(LEFT(F877,8)="Bijdrage",VLOOKUP($F877,Tb_KostenTypen[],MATCH(Lijsten!$P$1,Tb_KostenTypen[#Headers],0),0),VLOOKUP($G877,Lijsten!L:P,MATCH(Lijsten!$P$1,Kop_Tarief_Vast,0),0))),""),"")</f>
        <v/>
      </c>
      <c r="Q877" s="359"/>
      <c r="R877" s="359"/>
      <c r="S877" s="321"/>
      <c r="T877" s="321"/>
      <c r="U877" s="373" t="str">
        <f t="shared" si="52"/>
        <v/>
      </c>
      <c r="V877" s="314" t="str">
        <f t="shared" si="53"/>
        <v/>
      </c>
      <c r="W877" s="314" t="str" cm="1">
        <f t="array" aca="1" ref="W877" ca="1">IFERROR(IF(AE877&lt;&gt;"ja",_xlfn.IFNA(_xlfn.IFS(AND(O877&lt;&gt;"",F877&lt;&gt;"",RIGHT($N877,6)="tarief",F877="Vergoeding"),SUM(O877)*FLOOR(SUM(Q877),0.0001),AND(O877&lt;&gt;"",F877&lt;&gt;"",RIGHT($N877,6)="tarief"),SUM(O877)*FLOOR(SUM(Q877),0.01),S877&gt;0,IF(F877&lt;&gt;"",FLOOR(SUM(S877),0.01),"")),""),""),"")</f>
        <v/>
      </c>
      <c r="X877" s="314" t="str" cm="1">
        <f t="array" aca="1" ref="X877" ca="1">IFERROR(IF(AE877&lt;&gt;"ja",_xlfn.IFNA(_xlfn.IFS(AND(P877&lt;&gt;"",R877&lt;&gt;"",RIGHT($N877,6)="tarief",F877="Vergoeding"),SUM(P877)*FLOOR(SUM(R877),0.0001),AND(P877&lt;&gt;"",R877&lt;&gt;"",RIGHT($N877,6)="tarief"),P877*FLOOR(R877,0.01),T877&gt;0,FLOOR(SUM(T877),0.01)),""),""),"")</f>
        <v/>
      </c>
      <c r="Y877" s="314" t="str">
        <f t="shared" ca="1" si="54"/>
        <v/>
      </c>
      <c r="Z877" s="314" t="str" cm="1">
        <f t="array" aca="1" ref="Z877" ca="1">IFERROR(_xlfn.IFS(OR(F877="",LEFT(Methode_Keuze,4)="Geen",Methode_Keuze=""),"",AND(W877&lt;&gt;"",F877&lt;&gt;"Arbeidskosten"),W877*VLOOKUP(F877,Tb_ProjectKosten[],MATCH(Tb_ProjectKosten[[#Headers],[Forfait_Percentage]],Tb_ProjectKosten[#Headers],0),0),AND(F877="Arbeidskosten",G877&lt;&gt;""),IFERROR(W877*VLOOKUP(G877,Tb_KostenTypen[],3,0)*VLOOKUP(F877,Tb_ProjectKosten[],MATCH(Tb_ProjectKosten[[#Headers],[Forfait_Percentage]],Tb_ProjectKosten[#Headers],0),0),""),W877 &lt;=0,0),"")</f>
        <v/>
      </c>
      <c r="AA877" s="314" t="str" cm="1">
        <f t="array" aca="1" ref="AA877" ca="1">IFERROR(_xlfn.IFS(OR(F877="",LEFT(Methode_Keuze,4)="Geen",Methode_Keuze=""),"",AND(X877&lt;&gt;"",F877&lt;&gt;"Arbeidskosten"),X877*VLOOKUP(F877,Tb_ProjectKosten[],MATCH(Tb_ProjectKosten[[#Headers],[Forfait_Percentage]],Tb_ProjectKosten[#Headers],0),0),AND(F877="Arbeidskosten",G877&lt;&gt;""),IFERROR(X877*VLOOKUP(G877,Tb_KostenTypen[],3,0)*VLOOKUP(F877,Tb_ProjectKosten[],MATCH(Tb_ProjectKosten[[#Headers],[Forfait_Percentage]],Tb_ProjectKosten[#Headers],0),0),""),X877 &lt;=0,0),"")</f>
        <v/>
      </c>
      <c r="AB877" s="314" t="str">
        <f t="shared" ca="1" si="55"/>
        <v/>
      </c>
      <c r="AC877" s="322"/>
      <c r="AD877" s="315"/>
      <c r="AE877" s="32" t="str" cm="1">
        <f t="array" ref="AE877">IFERROR(IF(INDEX(SubsidieTabel!$AD$1:$AG$12,MATCH($F877,SubsidieTabel!$AD$1:$AD$12,0),IFERROR(MATCH(Methode_Keuze,SubsidieTabel!$AD$1:$AG$1,0),2))&lt;&gt;1=TRUE,"ja",""),"")</f>
        <v/>
      </c>
    </row>
    <row r="878" spans="1:31" x14ac:dyDescent="0.25">
      <c r="A878" s="316"/>
      <c r="B878" s="317" t="str">
        <f>IF(A878&lt;&gt;"",_xlfn.MAXIFS($B$1:B877,$A$1:A877,A878)+1,"")</f>
        <v/>
      </c>
      <c r="C878" s="296"/>
      <c r="D878" s="296"/>
      <c r="E878" s="296"/>
      <c r="F878" s="296"/>
      <c r="G878" s="326"/>
      <c r="H878" s="324"/>
      <c r="I878" s="325"/>
      <c r="J878" s="325"/>
      <c r="K878" s="318"/>
      <c r="L878" s="318"/>
      <c r="M878" s="319" t="str">
        <f>IFERROR(VLOOKUP(H878,Lijsten!$H$1:$I$100,2,0),"")</f>
        <v/>
      </c>
      <c r="N878" s="319" t="str">
        <f ca="1">IFERROR(IF(VLOOKUP(F878,Kostentypen!$A$3:$E$21,3,0)=0,"",IF(OR(F878="Arbeidskosten",F878="Vergoeding"),VLOOKUP(G878,Tb_KostenTypen[],2,0),VLOOKUP(F878,Kostentypen!$A$3:$E$20,3,0))),"")</f>
        <v/>
      </c>
      <c r="O878" s="320" t="str" cm="1">
        <f t="array" ref="O878">_xlfn.IFNA(IF(INDEX(Tb_KostenOptiesDB[],MATCH($F878,Tb_KostenOptiesDB[KostenOptie],0),IFERROR(MATCH(Methode_Keuze,Tb_KostenOptiesDB[#Headers],0),2))=1,_xlfn.SWITCH($N878,"Uurtarief",IF(OR(AND(RIGHT($F878,3)="IKS",VLOOKUP($M878,DB_Loonkosten,2,0)="Ja"),AND(RIGHT($F878,3)&lt;&gt;"IKS",VLOOKUP($M878,DB_Loonkosten,2,0)="Nee")),IFERROR(VLOOKUP($M878,DB_Loonkosten,24,0),""),0),"Vast tarief",IF(LEFT(F878,8)="Bijdrage",VLOOKUP($F878,Tb_KostenTypen[],MATCH(Lijsten!$P$1,Tb_KostenTypen[#Headers],0),0),VLOOKUP($G878,Lijsten!L:P,MATCH(Lijsten!$P$1,Kop_Tarief_Vast,0),0))),""),"")</f>
        <v/>
      </c>
      <c r="P878" s="320" t="str" cm="1">
        <f t="array" ref="P878">_xlfn.IFNA(IF(INDEX(Tb_KostenOptiesDB[],MATCH($F878,Tb_KostenOptiesDB[KostenOptie],0),IFERROR(MATCH(Methode_Keuze,Tb_KostenOptiesDB[#Headers],0),2))=1,_xlfn.SWITCH($N878,"Uurtarief",IF(OR(AND(RIGHT($F878,3)="IKS",VLOOKUP($M878,DB_Loonkosten,2,0)="Ja"),AND(RIGHT($F878,3)&lt;&gt;"IKS",VLOOKUP($M878,DB_Loonkosten,2,0)="Nee")),IFERROR(VLOOKUP($M878,DB_Loonkosten,25,0),""),0),"Vast tarief",IF(LEFT(F878,8)="Bijdrage",VLOOKUP($F878,Tb_KostenTypen[],MATCH(Lijsten!$P$1,Tb_KostenTypen[#Headers],0),0),VLOOKUP($G878,Lijsten!L:P,MATCH(Lijsten!$P$1,Kop_Tarief_Vast,0),0))),""),"")</f>
        <v/>
      </c>
      <c r="Q878" s="359"/>
      <c r="R878" s="359"/>
      <c r="S878" s="321"/>
      <c r="T878" s="321"/>
      <c r="U878" s="373" t="str">
        <f t="shared" si="52"/>
        <v/>
      </c>
      <c r="V878" s="314" t="str">
        <f t="shared" si="53"/>
        <v/>
      </c>
      <c r="W878" s="314" t="str" cm="1">
        <f t="array" aca="1" ref="W878" ca="1">IFERROR(IF(AE878&lt;&gt;"ja",_xlfn.IFNA(_xlfn.IFS(AND(O878&lt;&gt;"",F878&lt;&gt;"",RIGHT($N878,6)="tarief",F878="Vergoeding"),SUM(O878)*FLOOR(SUM(Q878),0.0001),AND(O878&lt;&gt;"",F878&lt;&gt;"",RIGHT($N878,6)="tarief"),SUM(O878)*FLOOR(SUM(Q878),0.01),S878&gt;0,IF(F878&lt;&gt;"",FLOOR(SUM(S878),0.01),"")),""),""),"")</f>
        <v/>
      </c>
      <c r="X878" s="314" t="str" cm="1">
        <f t="array" aca="1" ref="X878" ca="1">IFERROR(IF(AE878&lt;&gt;"ja",_xlfn.IFNA(_xlfn.IFS(AND(P878&lt;&gt;"",R878&lt;&gt;"",RIGHT($N878,6)="tarief",F878="Vergoeding"),SUM(P878)*FLOOR(SUM(R878),0.0001),AND(P878&lt;&gt;"",R878&lt;&gt;"",RIGHT($N878,6)="tarief"),P878*FLOOR(R878,0.01),T878&gt;0,FLOOR(SUM(T878),0.01)),""),""),"")</f>
        <v/>
      </c>
      <c r="Y878" s="314" t="str">
        <f t="shared" ca="1" si="54"/>
        <v/>
      </c>
      <c r="Z878" s="314" t="str" cm="1">
        <f t="array" aca="1" ref="Z878" ca="1">IFERROR(_xlfn.IFS(OR(F878="",LEFT(Methode_Keuze,4)="Geen",Methode_Keuze=""),"",AND(W878&lt;&gt;"",F878&lt;&gt;"Arbeidskosten"),W878*VLOOKUP(F878,Tb_ProjectKosten[],MATCH(Tb_ProjectKosten[[#Headers],[Forfait_Percentage]],Tb_ProjectKosten[#Headers],0),0),AND(F878="Arbeidskosten",G878&lt;&gt;""),IFERROR(W878*VLOOKUP(G878,Tb_KostenTypen[],3,0)*VLOOKUP(F878,Tb_ProjectKosten[],MATCH(Tb_ProjectKosten[[#Headers],[Forfait_Percentage]],Tb_ProjectKosten[#Headers],0),0),""),W878 &lt;=0,0),"")</f>
        <v/>
      </c>
      <c r="AA878" s="314" t="str" cm="1">
        <f t="array" aca="1" ref="AA878" ca="1">IFERROR(_xlfn.IFS(OR(F878="",LEFT(Methode_Keuze,4)="Geen",Methode_Keuze=""),"",AND(X878&lt;&gt;"",F878&lt;&gt;"Arbeidskosten"),X878*VLOOKUP(F878,Tb_ProjectKosten[],MATCH(Tb_ProjectKosten[[#Headers],[Forfait_Percentage]],Tb_ProjectKosten[#Headers],0),0),AND(F878="Arbeidskosten",G878&lt;&gt;""),IFERROR(X878*VLOOKUP(G878,Tb_KostenTypen[],3,0)*VLOOKUP(F878,Tb_ProjectKosten[],MATCH(Tb_ProjectKosten[[#Headers],[Forfait_Percentage]],Tb_ProjectKosten[#Headers],0),0),""),X878 &lt;=0,0),"")</f>
        <v/>
      </c>
      <c r="AB878" s="314" t="str">
        <f t="shared" ca="1" si="55"/>
        <v/>
      </c>
      <c r="AC878" s="322"/>
      <c r="AD878" s="315"/>
      <c r="AE878" s="32" t="str" cm="1">
        <f t="array" ref="AE878">IFERROR(IF(INDEX(SubsidieTabel!$AD$1:$AG$12,MATCH($F878,SubsidieTabel!$AD$1:$AD$12,0),IFERROR(MATCH(Methode_Keuze,SubsidieTabel!$AD$1:$AG$1,0),2))&lt;&gt;1=TRUE,"ja",""),"")</f>
        <v/>
      </c>
    </row>
    <row r="879" spans="1:31" x14ac:dyDescent="0.25">
      <c r="A879" s="316"/>
      <c r="B879" s="317" t="str">
        <f>IF(A879&lt;&gt;"",_xlfn.MAXIFS($B$1:B878,$A$1:A878,A879)+1,"")</f>
        <v/>
      </c>
      <c r="C879" s="296"/>
      <c r="D879" s="296"/>
      <c r="E879" s="296"/>
      <c r="F879" s="296"/>
      <c r="G879" s="326"/>
      <c r="H879" s="324"/>
      <c r="I879" s="325"/>
      <c r="J879" s="325"/>
      <c r="K879" s="318"/>
      <c r="L879" s="318"/>
      <c r="M879" s="319" t="str">
        <f>IFERROR(VLOOKUP(H879,Lijsten!$H$1:$I$100,2,0),"")</f>
        <v/>
      </c>
      <c r="N879" s="319" t="str">
        <f ca="1">IFERROR(IF(VLOOKUP(F879,Kostentypen!$A$3:$E$21,3,0)=0,"",IF(OR(F879="Arbeidskosten",F879="Vergoeding"),VLOOKUP(G879,Tb_KostenTypen[],2,0),VLOOKUP(F879,Kostentypen!$A$3:$E$20,3,0))),"")</f>
        <v/>
      </c>
      <c r="O879" s="320" t="str" cm="1">
        <f t="array" ref="O879">_xlfn.IFNA(IF(INDEX(Tb_KostenOptiesDB[],MATCH($F879,Tb_KostenOptiesDB[KostenOptie],0),IFERROR(MATCH(Methode_Keuze,Tb_KostenOptiesDB[#Headers],0),2))=1,_xlfn.SWITCH($N879,"Uurtarief",IF(OR(AND(RIGHT($F879,3)="IKS",VLOOKUP($M879,DB_Loonkosten,2,0)="Ja"),AND(RIGHT($F879,3)&lt;&gt;"IKS",VLOOKUP($M879,DB_Loonkosten,2,0)="Nee")),IFERROR(VLOOKUP($M879,DB_Loonkosten,24,0),""),0),"Vast tarief",IF(LEFT(F879,8)="Bijdrage",VLOOKUP($F879,Tb_KostenTypen[],MATCH(Lijsten!$P$1,Tb_KostenTypen[#Headers],0),0),VLOOKUP($G879,Lijsten!L:P,MATCH(Lijsten!$P$1,Kop_Tarief_Vast,0),0))),""),"")</f>
        <v/>
      </c>
      <c r="P879" s="320" t="str" cm="1">
        <f t="array" ref="P879">_xlfn.IFNA(IF(INDEX(Tb_KostenOptiesDB[],MATCH($F879,Tb_KostenOptiesDB[KostenOptie],0),IFERROR(MATCH(Methode_Keuze,Tb_KostenOptiesDB[#Headers],0),2))=1,_xlfn.SWITCH($N879,"Uurtarief",IF(OR(AND(RIGHT($F879,3)="IKS",VLOOKUP($M879,DB_Loonkosten,2,0)="Ja"),AND(RIGHT($F879,3)&lt;&gt;"IKS",VLOOKUP($M879,DB_Loonkosten,2,0)="Nee")),IFERROR(VLOOKUP($M879,DB_Loonkosten,25,0),""),0),"Vast tarief",IF(LEFT(F879,8)="Bijdrage",VLOOKUP($F879,Tb_KostenTypen[],MATCH(Lijsten!$P$1,Tb_KostenTypen[#Headers],0),0),VLOOKUP($G879,Lijsten!L:P,MATCH(Lijsten!$P$1,Kop_Tarief_Vast,0),0))),""),"")</f>
        <v/>
      </c>
      <c r="Q879" s="359"/>
      <c r="R879" s="359"/>
      <c r="S879" s="321"/>
      <c r="T879" s="321"/>
      <c r="U879" s="373" t="str">
        <f t="shared" si="52"/>
        <v/>
      </c>
      <c r="V879" s="314" t="str">
        <f t="shared" si="53"/>
        <v/>
      </c>
      <c r="W879" s="314" t="str" cm="1">
        <f t="array" aca="1" ref="W879" ca="1">IFERROR(IF(AE879&lt;&gt;"ja",_xlfn.IFNA(_xlfn.IFS(AND(O879&lt;&gt;"",F879&lt;&gt;"",RIGHT($N879,6)="tarief",F879="Vergoeding"),SUM(O879)*FLOOR(SUM(Q879),0.0001),AND(O879&lt;&gt;"",F879&lt;&gt;"",RIGHT($N879,6)="tarief"),SUM(O879)*FLOOR(SUM(Q879),0.01),S879&gt;0,IF(F879&lt;&gt;"",FLOOR(SUM(S879),0.01),"")),""),""),"")</f>
        <v/>
      </c>
      <c r="X879" s="314" t="str" cm="1">
        <f t="array" aca="1" ref="X879" ca="1">IFERROR(IF(AE879&lt;&gt;"ja",_xlfn.IFNA(_xlfn.IFS(AND(P879&lt;&gt;"",R879&lt;&gt;"",RIGHT($N879,6)="tarief",F879="Vergoeding"),SUM(P879)*FLOOR(SUM(R879),0.0001),AND(P879&lt;&gt;"",R879&lt;&gt;"",RIGHT($N879,6)="tarief"),P879*FLOOR(R879,0.01),T879&gt;0,FLOOR(SUM(T879),0.01)),""),""),"")</f>
        <v/>
      </c>
      <c r="Y879" s="314" t="str">
        <f t="shared" ca="1" si="54"/>
        <v/>
      </c>
      <c r="Z879" s="314" t="str" cm="1">
        <f t="array" aca="1" ref="Z879" ca="1">IFERROR(_xlfn.IFS(OR(F879="",LEFT(Methode_Keuze,4)="Geen",Methode_Keuze=""),"",AND(W879&lt;&gt;"",F879&lt;&gt;"Arbeidskosten"),W879*VLOOKUP(F879,Tb_ProjectKosten[],MATCH(Tb_ProjectKosten[[#Headers],[Forfait_Percentage]],Tb_ProjectKosten[#Headers],0),0),AND(F879="Arbeidskosten",G879&lt;&gt;""),IFERROR(W879*VLOOKUP(G879,Tb_KostenTypen[],3,0)*VLOOKUP(F879,Tb_ProjectKosten[],MATCH(Tb_ProjectKosten[[#Headers],[Forfait_Percentage]],Tb_ProjectKosten[#Headers],0),0),""),W879 &lt;=0,0),"")</f>
        <v/>
      </c>
      <c r="AA879" s="314" t="str" cm="1">
        <f t="array" aca="1" ref="AA879" ca="1">IFERROR(_xlfn.IFS(OR(F879="",LEFT(Methode_Keuze,4)="Geen",Methode_Keuze=""),"",AND(X879&lt;&gt;"",F879&lt;&gt;"Arbeidskosten"),X879*VLOOKUP(F879,Tb_ProjectKosten[],MATCH(Tb_ProjectKosten[[#Headers],[Forfait_Percentage]],Tb_ProjectKosten[#Headers],0),0),AND(F879="Arbeidskosten",G879&lt;&gt;""),IFERROR(X879*VLOOKUP(G879,Tb_KostenTypen[],3,0)*VLOOKUP(F879,Tb_ProjectKosten[],MATCH(Tb_ProjectKosten[[#Headers],[Forfait_Percentage]],Tb_ProjectKosten[#Headers],0),0),""),X879 &lt;=0,0),"")</f>
        <v/>
      </c>
      <c r="AB879" s="314" t="str">
        <f t="shared" ca="1" si="55"/>
        <v/>
      </c>
      <c r="AC879" s="322"/>
      <c r="AD879" s="315"/>
      <c r="AE879" s="32" t="str" cm="1">
        <f t="array" ref="AE879">IFERROR(IF(INDEX(SubsidieTabel!$AD$1:$AG$12,MATCH($F879,SubsidieTabel!$AD$1:$AD$12,0),IFERROR(MATCH(Methode_Keuze,SubsidieTabel!$AD$1:$AG$1,0),2))&lt;&gt;1=TRUE,"ja",""),"")</f>
        <v/>
      </c>
    </row>
    <row r="880" spans="1:31" x14ac:dyDescent="0.25">
      <c r="A880" s="316"/>
      <c r="B880" s="317" t="str">
        <f>IF(A880&lt;&gt;"",_xlfn.MAXIFS($B$1:B879,$A$1:A879,A880)+1,"")</f>
        <v/>
      </c>
      <c r="C880" s="296"/>
      <c r="D880" s="296"/>
      <c r="E880" s="296"/>
      <c r="F880" s="296"/>
      <c r="G880" s="326"/>
      <c r="H880" s="324"/>
      <c r="I880" s="325"/>
      <c r="J880" s="325"/>
      <c r="K880" s="318"/>
      <c r="L880" s="318"/>
      <c r="M880" s="319" t="str">
        <f>IFERROR(VLOOKUP(H880,Lijsten!$H$1:$I$100,2,0),"")</f>
        <v/>
      </c>
      <c r="N880" s="319" t="str">
        <f ca="1">IFERROR(IF(VLOOKUP(F880,Kostentypen!$A$3:$E$21,3,0)=0,"",IF(OR(F880="Arbeidskosten",F880="Vergoeding"),VLOOKUP(G880,Tb_KostenTypen[],2,0),VLOOKUP(F880,Kostentypen!$A$3:$E$20,3,0))),"")</f>
        <v/>
      </c>
      <c r="O880" s="320" t="str" cm="1">
        <f t="array" ref="O880">_xlfn.IFNA(IF(INDEX(Tb_KostenOptiesDB[],MATCH($F880,Tb_KostenOptiesDB[KostenOptie],0),IFERROR(MATCH(Methode_Keuze,Tb_KostenOptiesDB[#Headers],0),2))=1,_xlfn.SWITCH($N880,"Uurtarief",IF(OR(AND(RIGHT($F880,3)="IKS",VLOOKUP($M880,DB_Loonkosten,2,0)="Ja"),AND(RIGHT($F880,3)&lt;&gt;"IKS",VLOOKUP($M880,DB_Loonkosten,2,0)="Nee")),IFERROR(VLOOKUP($M880,DB_Loonkosten,24,0),""),0),"Vast tarief",IF(LEFT(F880,8)="Bijdrage",VLOOKUP($F880,Tb_KostenTypen[],MATCH(Lijsten!$P$1,Tb_KostenTypen[#Headers],0),0),VLOOKUP($G880,Lijsten!L:P,MATCH(Lijsten!$P$1,Kop_Tarief_Vast,0),0))),""),"")</f>
        <v/>
      </c>
      <c r="P880" s="320" t="str" cm="1">
        <f t="array" ref="P880">_xlfn.IFNA(IF(INDEX(Tb_KostenOptiesDB[],MATCH($F880,Tb_KostenOptiesDB[KostenOptie],0),IFERROR(MATCH(Methode_Keuze,Tb_KostenOptiesDB[#Headers],0),2))=1,_xlfn.SWITCH($N880,"Uurtarief",IF(OR(AND(RIGHT($F880,3)="IKS",VLOOKUP($M880,DB_Loonkosten,2,0)="Ja"),AND(RIGHT($F880,3)&lt;&gt;"IKS",VLOOKUP($M880,DB_Loonkosten,2,0)="Nee")),IFERROR(VLOOKUP($M880,DB_Loonkosten,25,0),""),0),"Vast tarief",IF(LEFT(F880,8)="Bijdrage",VLOOKUP($F880,Tb_KostenTypen[],MATCH(Lijsten!$P$1,Tb_KostenTypen[#Headers],0),0),VLOOKUP($G880,Lijsten!L:P,MATCH(Lijsten!$P$1,Kop_Tarief_Vast,0),0))),""),"")</f>
        <v/>
      </c>
      <c r="Q880" s="359"/>
      <c r="R880" s="359"/>
      <c r="S880" s="321"/>
      <c r="T880" s="321"/>
      <c r="U880" s="373" t="str">
        <f t="shared" si="52"/>
        <v/>
      </c>
      <c r="V880" s="314" t="str">
        <f t="shared" si="53"/>
        <v/>
      </c>
      <c r="W880" s="314" t="str" cm="1">
        <f t="array" aca="1" ref="W880" ca="1">IFERROR(IF(AE880&lt;&gt;"ja",_xlfn.IFNA(_xlfn.IFS(AND(O880&lt;&gt;"",F880&lt;&gt;"",RIGHT($N880,6)="tarief",F880="Vergoeding"),SUM(O880)*FLOOR(SUM(Q880),0.0001),AND(O880&lt;&gt;"",F880&lt;&gt;"",RIGHT($N880,6)="tarief"),SUM(O880)*FLOOR(SUM(Q880),0.01),S880&gt;0,IF(F880&lt;&gt;"",FLOOR(SUM(S880),0.01),"")),""),""),"")</f>
        <v/>
      </c>
      <c r="X880" s="314" t="str" cm="1">
        <f t="array" aca="1" ref="X880" ca="1">IFERROR(IF(AE880&lt;&gt;"ja",_xlfn.IFNA(_xlfn.IFS(AND(P880&lt;&gt;"",R880&lt;&gt;"",RIGHT($N880,6)="tarief",F880="Vergoeding"),SUM(P880)*FLOOR(SUM(R880),0.0001),AND(P880&lt;&gt;"",R880&lt;&gt;"",RIGHT($N880,6)="tarief"),P880*FLOOR(R880,0.01),T880&gt;0,FLOOR(SUM(T880),0.01)),""),""),"")</f>
        <v/>
      </c>
      <c r="Y880" s="314" t="str">
        <f t="shared" ca="1" si="54"/>
        <v/>
      </c>
      <c r="Z880" s="314" t="str" cm="1">
        <f t="array" aca="1" ref="Z880" ca="1">IFERROR(_xlfn.IFS(OR(F880="",LEFT(Methode_Keuze,4)="Geen",Methode_Keuze=""),"",AND(W880&lt;&gt;"",F880&lt;&gt;"Arbeidskosten"),W880*VLOOKUP(F880,Tb_ProjectKosten[],MATCH(Tb_ProjectKosten[[#Headers],[Forfait_Percentage]],Tb_ProjectKosten[#Headers],0),0),AND(F880="Arbeidskosten",G880&lt;&gt;""),IFERROR(W880*VLOOKUP(G880,Tb_KostenTypen[],3,0)*VLOOKUP(F880,Tb_ProjectKosten[],MATCH(Tb_ProjectKosten[[#Headers],[Forfait_Percentage]],Tb_ProjectKosten[#Headers],0),0),""),W880 &lt;=0,0),"")</f>
        <v/>
      </c>
      <c r="AA880" s="314" t="str" cm="1">
        <f t="array" aca="1" ref="AA880" ca="1">IFERROR(_xlfn.IFS(OR(F880="",LEFT(Methode_Keuze,4)="Geen",Methode_Keuze=""),"",AND(X880&lt;&gt;"",F880&lt;&gt;"Arbeidskosten"),X880*VLOOKUP(F880,Tb_ProjectKosten[],MATCH(Tb_ProjectKosten[[#Headers],[Forfait_Percentage]],Tb_ProjectKosten[#Headers],0),0),AND(F880="Arbeidskosten",G880&lt;&gt;""),IFERROR(X880*VLOOKUP(G880,Tb_KostenTypen[],3,0)*VLOOKUP(F880,Tb_ProjectKosten[],MATCH(Tb_ProjectKosten[[#Headers],[Forfait_Percentage]],Tb_ProjectKosten[#Headers],0),0),""),X880 &lt;=0,0),"")</f>
        <v/>
      </c>
      <c r="AB880" s="314" t="str">
        <f t="shared" ca="1" si="55"/>
        <v/>
      </c>
      <c r="AC880" s="322"/>
      <c r="AD880" s="315"/>
      <c r="AE880" s="32" t="str" cm="1">
        <f t="array" ref="AE880">IFERROR(IF(INDEX(SubsidieTabel!$AD$1:$AG$12,MATCH($F880,SubsidieTabel!$AD$1:$AD$12,0),IFERROR(MATCH(Methode_Keuze,SubsidieTabel!$AD$1:$AG$1,0),2))&lt;&gt;1=TRUE,"ja",""),"")</f>
        <v/>
      </c>
    </row>
    <row r="881" spans="1:31" x14ac:dyDescent="0.25">
      <c r="A881" s="316"/>
      <c r="B881" s="317" t="str">
        <f>IF(A881&lt;&gt;"",_xlfn.MAXIFS($B$1:B880,$A$1:A880,A881)+1,"")</f>
        <v/>
      </c>
      <c r="C881" s="296"/>
      <c r="D881" s="296"/>
      <c r="E881" s="296"/>
      <c r="F881" s="296"/>
      <c r="G881" s="326"/>
      <c r="H881" s="324"/>
      <c r="I881" s="325"/>
      <c r="J881" s="325"/>
      <c r="K881" s="318"/>
      <c r="L881" s="318"/>
      <c r="M881" s="319" t="str">
        <f>IFERROR(VLOOKUP(H881,Lijsten!$H$1:$I$100,2,0),"")</f>
        <v/>
      </c>
      <c r="N881" s="319" t="str">
        <f ca="1">IFERROR(IF(VLOOKUP(F881,Kostentypen!$A$3:$E$21,3,0)=0,"",IF(OR(F881="Arbeidskosten",F881="Vergoeding"),VLOOKUP(G881,Tb_KostenTypen[],2,0),VLOOKUP(F881,Kostentypen!$A$3:$E$20,3,0))),"")</f>
        <v/>
      </c>
      <c r="O881" s="320" t="str" cm="1">
        <f t="array" ref="O881">_xlfn.IFNA(IF(INDEX(Tb_KostenOptiesDB[],MATCH($F881,Tb_KostenOptiesDB[KostenOptie],0),IFERROR(MATCH(Methode_Keuze,Tb_KostenOptiesDB[#Headers],0),2))=1,_xlfn.SWITCH($N881,"Uurtarief",IF(OR(AND(RIGHT($F881,3)="IKS",VLOOKUP($M881,DB_Loonkosten,2,0)="Ja"),AND(RIGHT($F881,3)&lt;&gt;"IKS",VLOOKUP($M881,DB_Loonkosten,2,0)="Nee")),IFERROR(VLOOKUP($M881,DB_Loonkosten,24,0),""),0),"Vast tarief",IF(LEFT(F881,8)="Bijdrage",VLOOKUP($F881,Tb_KostenTypen[],MATCH(Lijsten!$P$1,Tb_KostenTypen[#Headers],0),0),VLOOKUP($G881,Lijsten!L:P,MATCH(Lijsten!$P$1,Kop_Tarief_Vast,0),0))),""),"")</f>
        <v/>
      </c>
      <c r="P881" s="320" t="str" cm="1">
        <f t="array" ref="P881">_xlfn.IFNA(IF(INDEX(Tb_KostenOptiesDB[],MATCH($F881,Tb_KostenOptiesDB[KostenOptie],0),IFERROR(MATCH(Methode_Keuze,Tb_KostenOptiesDB[#Headers],0),2))=1,_xlfn.SWITCH($N881,"Uurtarief",IF(OR(AND(RIGHT($F881,3)="IKS",VLOOKUP($M881,DB_Loonkosten,2,0)="Ja"),AND(RIGHT($F881,3)&lt;&gt;"IKS",VLOOKUP($M881,DB_Loonkosten,2,0)="Nee")),IFERROR(VLOOKUP($M881,DB_Loonkosten,25,0),""),0),"Vast tarief",IF(LEFT(F881,8)="Bijdrage",VLOOKUP($F881,Tb_KostenTypen[],MATCH(Lijsten!$P$1,Tb_KostenTypen[#Headers],0),0),VLOOKUP($G881,Lijsten!L:P,MATCH(Lijsten!$P$1,Kop_Tarief_Vast,0),0))),""),"")</f>
        <v/>
      </c>
      <c r="Q881" s="359"/>
      <c r="R881" s="359"/>
      <c r="S881" s="321"/>
      <c r="T881" s="321"/>
      <c r="U881" s="373" t="str">
        <f t="shared" si="52"/>
        <v/>
      </c>
      <c r="V881" s="314" t="str">
        <f t="shared" si="53"/>
        <v/>
      </c>
      <c r="W881" s="314" t="str" cm="1">
        <f t="array" aca="1" ref="W881" ca="1">IFERROR(IF(AE881&lt;&gt;"ja",_xlfn.IFNA(_xlfn.IFS(AND(O881&lt;&gt;"",F881&lt;&gt;"",RIGHT($N881,6)="tarief",F881="Vergoeding"),SUM(O881)*FLOOR(SUM(Q881),0.0001),AND(O881&lt;&gt;"",F881&lt;&gt;"",RIGHT($N881,6)="tarief"),SUM(O881)*FLOOR(SUM(Q881),0.01),S881&gt;0,IF(F881&lt;&gt;"",FLOOR(SUM(S881),0.01),"")),""),""),"")</f>
        <v/>
      </c>
      <c r="X881" s="314" t="str" cm="1">
        <f t="array" aca="1" ref="X881" ca="1">IFERROR(IF(AE881&lt;&gt;"ja",_xlfn.IFNA(_xlfn.IFS(AND(P881&lt;&gt;"",R881&lt;&gt;"",RIGHT($N881,6)="tarief",F881="Vergoeding"),SUM(P881)*FLOOR(SUM(R881),0.0001),AND(P881&lt;&gt;"",R881&lt;&gt;"",RIGHT($N881,6)="tarief"),P881*FLOOR(R881,0.01),T881&gt;0,FLOOR(SUM(T881),0.01)),""),""),"")</f>
        <v/>
      </c>
      <c r="Y881" s="314" t="str">
        <f t="shared" ca="1" si="54"/>
        <v/>
      </c>
      <c r="Z881" s="314" t="str" cm="1">
        <f t="array" aca="1" ref="Z881" ca="1">IFERROR(_xlfn.IFS(OR(F881="",LEFT(Methode_Keuze,4)="Geen",Methode_Keuze=""),"",AND(W881&lt;&gt;"",F881&lt;&gt;"Arbeidskosten"),W881*VLOOKUP(F881,Tb_ProjectKosten[],MATCH(Tb_ProjectKosten[[#Headers],[Forfait_Percentage]],Tb_ProjectKosten[#Headers],0),0),AND(F881="Arbeidskosten",G881&lt;&gt;""),IFERROR(W881*VLOOKUP(G881,Tb_KostenTypen[],3,0)*VLOOKUP(F881,Tb_ProjectKosten[],MATCH(Tb_ProjectKosten[[#Headers],[Forfait_Percentage]],Tb_ProjectKosten[#Headers],0),0),""),W881 &lt;=0,0),"")</f>
        <v/>
      </c>
      <c r="AA881" s="314" t="str" cm="1">
        <f t="array" aca="1" ref="AA881" ca="1">IFERROR(_xlfn.IFS(OR(F881="",LEFT(Methode_Keuze,4)="Geen",Methode_Keuze=""),"",AND(X881&lt;&gt;"",F881&lt;&gt;"Arbeidskosten"),X881*VLOOKUP(F881,Tb_ProjectKosten[],MATCH(Tb_ProjectKosten[[#Headers],[Forfait_Percentage]],Tb_ProjectKosten[#Headers],0),0),AND(F881="Arbeidskosten",G881&lt;&gt;""),IFERROR(X881*VLOOKUP(G881,Tb_KostenTypen[],3,0)*VLOOKUP(F881,Tb_ProjectKosten[],MATCH(Tb_ProjectKosten[[#Headers],[Forfait_Percentage]],Tb_ProjectKosten[#Headers],0),0),""),X881 &lt;=0,0),"")</f>
        <v/>
      </c>
      <c r="AB881" s="314" t="str">
        <f t="shared" ca="1" si="55"/>
        <v/>
      </c>
      <c r="AC881" s="322"/>
      <c r="AD881" s="315"/>
      <c r="AE881" s="32" t="str" cm="1">
        <f t="array" ref="AE881">IFERROR(IF(INDEX(SubsidieTabel!$AD$1:$AG$12,MATCH($F881,SubsidieTabel!$AD$1:$AD$12,0),IFERROR(MATCH(Methode_Keuze,SubsidieTabel!$AD$1:$AG$1,0),2))&lt;&gt;1=TRUE,"ja",""),"")</f>
        <v/>
      </c>
    </row>
    <row r="882" spans="1:31" x14ac:dyDescent="0.25">
      <c r="A882" s="316"/>
      <c r="B882" s="317" t="str">
        <f>IF(A882&lt;&gt;"",_xlfn.MAXIFS($B$1:B881,$A$1:A881,A882)+1,"")</f>
        <v/>
      </c>
      <c r="C882" s="296"/>
      <c r="D882" s="296"/>
      <c r="E882" s="296"/>
      <c r="F882" s="296"/>
      <c r="G882" s="326"/>
      <c r="H882" s="324"/>
      <c r="I882" s="325"/>
      <c r="J882" s="325"/>
      <c r="K882" s="318"/>
      <c r="L882" s="318"/>
      <c r="M882" s="319" t="str">
        <f>IFERROR(VLOOKUP(H882,Lijsten!$H$1:$I$100,2,0),"")</f>
        <v/>
      </c>
      <c r="N882" s="319" t="str">
        <f ca="1">IFERROR(IF(VLOOKUP(F882,Kostentypen!$A$3:$E$21,3,0)=0,"",IF(OR(F882="Arbeidskosten",F882="Vergoeding"),VLOOKUP(G882,Tb_KostenTypen[],2,0),VLOOKUP(F882,Kostentypen!$A$3:$E$20,3,0))),"")</f>
        <v/>
      </c>
      <c r="O882" s="320" t="str" cm="1">
        <f t="array" ref="O882">_xlfn.IFNA(IF(INDEX(Tb_KostenOptiesDB[],MATCH($F882,Tb_KostenOptiesDB[KostenOptie],0),IFERROR(MATCH(Methode_Keuze,Tb_KostenOptiesDB[#Headers],0),2))=1,_xlfn.SWITCH($N882,"Uurtarief",IF(OR(AND(RIGHT($F882,3)="IKS",VLOOKUP($M882,DB_Loonkosten,2,0)="Ja"),AND(RIGHT($F882,3)&lt;&gt;"IKS",VLOOKUP($M882,DB_Loonkosten,2,0)="Nee")),IFERROR(VLOOKUP($M882,DB_Loonkosten,24,0),""),0),"Vast tarief",IF(LEFT(F882,8)="Bijdrage",VLOOKUP($F882,Tb_KostenTypen[],MATCH(Lijsten!$P$1,Tb_KostenTypen[#Headers],0),0),VLOOKUP($G882,Lijsten!L:P,MATCH(Lijsten!$P$1,Kop_Tarief_Vast,0),0))),""),"")</f>
        <v/>
      </c>
      <c r="P882" s="320" t="str" cm="1">
        <f t="array" ref="P882">_xlfn.IFNA(IF(INDEX(Tb_KostenOptiesDB[],MATCH($F882,Tb_KostenOptiesDB[KostenOptie],0),IFERROR(MATCH(Methode_Keuze,Tb_KostenOptiesDB[#Headers],0),2))=1,_xlfn.SWITCH($N882,"Uurtarief",IF(OR(AND(RIGHT($F882,3)="IKS",VLOOKUP($M882,DB_Loonkosten,2,0)="Ja"),AND(RIGHT($F882,3)&lt;&gt;"IKS",VLOOKUP($M882,DB_Loonkosten,2,0)="Nee")),IFERROR(VLOOKUP($M882,DB_Loonkosten,25,0),""),0),"Vast tarief",IF(LEFT(F882,8)="Bijdrage",VLOOKUP($F882,Tb_KostenTypen[],MATCH(Lijsten!$P$1,Tb_KostenTypen[#Headers],0),0),VLOOKUP($G882,Lijsten!L:P,MATCH(Lijsten!$P$1,Kop_Tarief_Vast,0),0))),""),"")</f>
        <v/>
      </c>
      <c r="Q882" s="359"/>
      <c r="R882" s="359"/>
      <c r="S882" s="321"/>
      <c r="T882" s="321"/>
      <c r="U882" s="373" t="str">
        <f t="shared" si="52"/>
        <v/>
      </c>
      <c r="V882" s="314" t="str">
        <f t="shared" si="53"/>
        <v/>
      </c>
      <c r="W882" s="314" t="str" cm="1">
        <f t="array" aca="1" ref="W882" ca="1">IFERROR(IF(AE882&lt;&gt;"ja",_xlfn.IFNA(_xlfn.IFS(AND(O882&lt;&gt;"",F882&lt;&gt;"",RIGHT($N882,6)="tarief",F882="Vergoeding"),SUM(O882)*FLOOR(SUM(Q882),0.0001),AND(O882&lt;&gt;"",F882&lt;&gt;"",RIGHT($N882,6)="tarief"),SUM(O882)*FLOOR(SUM(Q882),0.01),S882&gt;0,IF(F882&lt;&gt;"",FLOOR(SUM(S882),0.01),"")),""),""),"")</f>
        <v/>
      </c>
      <c r="X882" s="314" t="str" cm="1">
        <f t="array" aca="1" ref="X882" ca="1">IFERROR(IF(AE882&lt;&gt;"ja",_xlfn.IFNA(_xlfn.IFS(AND(P882&lt;&gt;"",R882&lt;&gt;"",RIGHT($N882,6)="tarief",F882="Vergoeding"),SUM(P882)*FLOOR(SUM(R882),0.0001),AND(P882&lt;&gt;"",R882&lt;&gt;"",RIGHT($N882,6)="tarief"),P882*FLOOR(R882,0.01),T882&gt;0,FLOOR(SUM(T882),0.01)),""),""),"")</f>
        <v/>
      </c>
      <c r="Y882" s="314" t="str">
        <f t="shared" ca="1" si="54"/>
        <v/>
      </c>
      <c r="Z882" s="314" t="str" cm="1">
        <f t="array" aca="1" ref="Z882" ca="1">IFERROR(_xlfn.IFS(OR(F882="",LEFT(Methode_Keuze,4)="Geen",Methode_Keuze=""),"",AND(W882&lt;&gt;"",F882&lt;&gt;"Arbeidskosten"),W882*VLOOKUP(F882,Tb_ProjectKosten[],MATCH(Tb_ProjectKosten[[#Headers],[Forfait_Percentage]],Tb_ProjectKosten[#Headers],0),0),AND(F882="Arbeidskosten",G882&lt;&gt;""),IFERROR(W882*VLOOKUP(G882,Tb_KostenTypen[],3,0)*VLOOKUP(F882,Tb_ProjectKosten[],MATCH(Tb_ProjectKosten[[#Headers],[Forfait_Percentage]],Tb_ProjectKosten[#Headers],0),0),""),W882 &lt;=0,0),"")</f>
        <v/>
      </c>
      <c r="AA882" s="314" t="str" cm="1">
        <f t="array" aca="1" ref="AA882" ca="1">IFERROR(_xlfn.IFS(OR(F882="",LEFT(Methode_Keuze,4)="Geen",Methode_Keuze=""),"",AND(X882&lt;&gt;"",F882&lt;&gt;"Arbeidskosten"),X882*VLOOKUP(F882,Tb_ProjectKosten[],MATCH(Tb_ProjectKosten[[#Headers],[Forfait_Percentage]],Tb_ProjectKosten[#Headers],0),0),AND(F882="Arbeidskosten",G882&lt;&gt;""),IFERROR(X882*VLOOKUP(G882,Tb_KostenTypen[],3,0)*VLOOKUP(F882,Tb_ProjectKosten[],MATCH(Tb_ProjectKosten[[#Headers],[Forfait_Percentage]],Tb_ProjectKosten[#Headers],0),0),""),X882 &lt;=0,0),"")</f>
        <v/>
      </c>
      <c r="AB882" s="314" t="str">
        <f t="shared" ca="1" si="55"/>
        <v/>
      </c>
      <c r="AC882" s="322"/>
      <c r="AD882" s="315"/>
      <c r="AE882" s="32" t="str" cm="1">
        <f t="array" ref="AE882">IFERROR(IF(INDEX(SubsidieTabel!$AD$1:$AG$12,MATCH($F882,SubsidieTabel!$AD$1:$AD$12,0),IFERROR(MATCH(Methode_Keuze,SubsidieTabel!$AD$1:$AG$1,0),2))&lt;&gt;1=TRUE,"ja",""),"")</f>
        <v/>
      </c>
    </row>
    <row r="883" spans="1:31" x14ac:dyDescent="0.25">
      <c r="A883" s="316"/>
      <c r="B883" s="317" t="str">
        <f>IF(A883&lt;&gt;"",_xlfn.MAXIFS($B$1:B882,$A$1:A882,A883)+1,"")</f>
        <v/>
      </c>
      <c r="C883" s="296"/>
      <c r="D883" s="296"/>
      <c r="E883" s="296"/>
      <c r="F883" s="296"/>
      <c r="G883" s="326"/>
      <c r="H883" s="324"/>
      <c r="I883" s="325"/>
      <c r="J883" s="325"/>
      <c r="K883" s="318"/>
      <c r="L883" s="318"/>
      <c r="M883" s="319" t="str">
        <f>IFERROR(VLOOKUP(H883,Lijsten!$H$1:$I$100,2,0),"")</f>
        <v/>
      </c>
      <c r="N883" s="319" t="str">
        <f ca="1">IFERROR(IF(VLOOKUP(F883,Kostentypen!$A$3:$E$21,3,0)=0,"",IF(OR(F883="Arbeidskosten",F883="Vergoeding"),VLOOKUP(G883,Tb_KostenTypen[],2,0),VLOOKUP(F883,Kostentypen!$A$3:$E$20,3,0))),"")</f>
        <v/>
      </c>
      <c r="O883" s="320" t="str" cm="1">
        <f t="array" ref="O883">_xlfn.IFNA(IF(INDEX(Tb_KostenOptiesDB[],MATCH($F883,Tb_KostenOptiesDB[KostenOptie],0),IFERROR(MATCH(Methode_Keuze,Tb_KostenOptiesDB[#Headers],0),2))=1,_xlfn.SWITCH($N883,"Uurtarief",IF(OR(AND(RIGHT($F883,3)="IKS",VLOOKUP($M883,DB_Loonkosten,2,0)="Ja"),AND(RIGHT($F883,3)&lt;&gt;"IKS",VLOOKUP($M883,DB_Loonkosten,2,0)="Nee")),IFERROR(VLOOKUP($M883,DB_Loonkosten,24,0),""),0),"Vast tarief",IF(LEFT(F883,8)="Bijdrage",VLOOKUP($F883,Tb_KostenTypen[],MATCH(Lijsten!$P$1,Tb_KostenTypen[#Headers],0),0),VLOOKUP($G883,Lijsten!L:P,MATCH(Lijsten!$P$1,Kop_Tarief_Vast,0),0))),""),"")</f>
        <v/>
      </c>
      <c r="P883" s="320" t="str" cm="1">
        <f t="array" ref="P883">_xlfn.IFNA(IF(INDEX(Tb_KostenOptiesDB[],MATCH($F883,Tb_KostenOptiesDB[KostenOptie],0),IFERROR(MATCH(Methode_Keuze,Tb_KostenOptiesDB[#Headers],0),2))=1,_xlfn.SWITCH($N883,"Uurtarief",IF(OR(AND(RIGHT($F883,3)="IKS",VLOOKUP($M883,DB_Loonkosten,2,0)="Ja"),AND(RIGHT($F883,3)&lt;&gt;"IKS",VLOOKUP($M883,DB_Loonkosten,2,0)="Nee")),IFERROR(VLOOKUP($M883,DB_Loonkosten,25,0),""),0),"Vast tarief",IF(LEFT(F883,8)="Bijdrage",VLOOKUP($F883,Tb_KostenTypen[],MATCH(Lijsten!$P$1,Tb_KostenTypen[#Headers],0),0),VLOOKUP($G883,Lijsten!L:P,MATCH(Lijsten!$P$1,Kop_Tarief_Vast,0),0))),""),"")</f>
        <v/>
      </c>
      <c r="Q883" s="359"/>
      <c r="R883" s="359"/>
      <c r="S883" s="321"/>
      <c r="T883" s="321"/>
      <c r="U883" s="373" t="str">
        <f t="shared" si="52"/>
        <v/>
      </c>
      <c r="V883" s="314" t="str">
        <f t="shared" si="53"/>
        <v/>
      </c>
      <c r="W883" s="314" t="str" cm="1">
        <f t="array" aca="1" ref="W883" ca="1">IFERROR(IF(AE883&lt;&gt;"ja",_xlfn.IFNA(_xlfn.IFS(AND(O883&lt;&gt;"",F883&lt;&gt;"",RIGHT($N883,6)="tarief",F883="Vergoeding"),SUM(O883)*FLOOR(SUM(Q883),0.0001),AND(O883&lt;&gt;"",F883&lt;&gt;"",RIGHT($N883,6)="tarief"),SUM(O883)*FLOOR(SUM(Q883),0.01),S883&gt;0,IF(F883&lt;&gt;"",FLOOR(SUM(S883),0.01),"")),""),""),"")</f>
        <v/>
      </c>
      <c r="X883" s="314" t="str" cm="1">
        <f t="array" aca="1" ref="X883" ca="1">IFERROR(IF(AE883&lt;&gt;"ja",_xlfn.IFNA(_xlfn.IFS(AND(P883&lt;&gt;"",R883&lt;&gt;"",RIGHT($N883,6)="tarief",F883="Vergoeding"),SUM(P883)*FLOOR(SUM(R883),0.0001),AND(P883&lt;&gt;"",R883&lt;&gt;"",RIGHT($N883,6)="tarief"),P883*FLOOR(R883,0.01),T883&gt;0,FLOOR(SUM(T883),0.01)),""),""),"")</f>
        <v/>
      </c>
      <c r="Y883" s="314" t="str">
        <f t="shared" ca="1" si="54"/>
        <v/>
      </c>
      <c r="Z883" s="314" t="str" cm="1">
        <f t="array" aca="1" ref="Z883" ca="1">IFERROR(_xlfn.IFS(OR(F883="",LEFT(Methode_Keuze,4)="Geen",Methode_Keuze=""),"",AND(W883&lt;&gt;"",F883&lt;&gt;"Arbeidskosten"),W883*VLOOKUP(F883,Tb_ProjectKosten[],MATCH(Tb_ProjectKosten[[#Headers],[Forfait_Percentage]],Tb_ProjectKosten[#Headers],0),0),AND(F883="Arbeidskosten",G883&lt;&gt;""),IFERROR(W883*VLOOKUP(G883,Tb_KostenTypen[],3,0)*VLOOKUP(F883,Tb_ProjectKosten[],MATCH(Tb_ProjectKosten[[#Headers],[Forfait_Percentage]],Tb_ProjectKosten[#Headers],0),0),""),W883 &lt;=0,0),"")</f>
        <v/>
      </c>
      <c r="AA883" s="314" t="str" cm="1">
        <f t="array" aca="1" ref="AA883" ca="1">IFERROR(_xlfn.IFS(OR(F883="",LEFT(Methode_Keuze,4)="Geen",Methode_Keuze=""),"",AND(X883&lt;&gt;"",F883&lt;&gt;"Arbeidskosten"),X883*VLOOKUP(F883,Tb_ProjectKosten[],MATCH(Tb_ProjectKosten[[#Headers],[Forfait_Percentage]],Tb_ProjectKosten[#Headers],0),0),AND(F883="Arbeidskosten",G883&lt;&gt;""),IFERROR(X883*VLOOKUP(G883,Tb_KostenTypen[],3,0)*VLOOKUP(F883,Tb_ProjectKosten[],MATCH(Tb_ProjectKosten[[#Headers],[Forfait_Percentage]],Tb_ProjectKosten[#Headers],0),0),""),X883 &lt;=0,0),"")</f>
        <v/>
      </c>
      <c r="AB883" s="314" t="str">
        <f t="shared" ca="1" si="55"/>
        <v/>
      </c>
      <c r="AC883" s="322"/>
      <c r="AD883" s="315"/>
      <c r="AE883" s="32" t="str" cm="1">
        <f t="array" ref="AE883">IFERROR(IF(INDEX(SubsidieTabel!$AD$1:$AG$12,MATCH($F883,SubsidieTabel!$AD$1:$AD$12,0),IFERROR(MATCH(Methode_Keuze,SubsidieTabel!$AD$1:$AG$1,0),2))&lt;&gt;1=TRUE,"ja",""),"")</f>
        <v/>
      </c>
    </row>
    <row r="884" spans="1:31" x14ac:dyDescent="0.25">
      <c r="A884" s="316"/>
      <c r="B884" s="317" t="str">
        <f>IF(A884&lt;&gt;"",_xlfn.MAXIFS($B$1:B883,$A$1:A883,A884)+1,"")</f>
        <v/>
      </c>
      <c r="C884" s="296"/>
      <c r="D884" s="296"/>
      <c r="E884" s="296"/>
      <c r="F884" s="296"/>
      <c r="G884" s="326"/>
      <c r="H884" s="324"/>
      <c r="I884" s="325"/>
      <c r="J884" s="325"/>
      <c r="K884" s="318"/>
      <c r="L884" s="318"/>
      <c r="M884" s="319" t="str">
        <f>IFERROR(VLOOKUP(H884,Lijsten!$H$1:$I$100,2,0),"")</f>
        <v/>
      </c>
      <c r="N884" s="319" t="str">
        <f ca="1">IFERROR(IF(VLOOKUP(F884,Kostentypen!$A$3:$E$21,3,0)=0,"",IF(OR(F884="Arbeidskosten",F884="Vergoeding"),VLOOKUP(G884,Tb_KostenTypen[],2,0),VLOOKUP(F884,Kostentypen!$A$3:$E$20,3,0))),"")</f>
        <v/>
      </c>
      <c r="O884" s="320" t="str" cm="1">
        <f t="array" ref="O884">_xlfn.IFNA(IF(INDEX(Tb_KostenOptiesDB[],MATCH($F884,Tb_KostenOptiesDB[KostenOptie],0),IFERROR(MATCH(Methode_Keuze,Tb_KostenOptiesDB[#Headers],0),2))=1,_xlfn.SWITCH($N884,"Uurtarief",IF(OR(AND(RIGHT($F884,3)="IKS",VLOOKUP($M884,DB_Loonkosten,2,0)="Ja"),AND(RIGHT($F884,3)&lt;&gt;"IKS",VLOOKUP($M884,DB_Loonkosten,2,0)="Nee")),IFERROR(VLOOKUP($M884,DB_Loonkosten,24,0),""),0),"Vast tarief",IF(LEFT(F884,8)="Bijdrage",VLOOKUP($F884,Tb_KostenTypen[],MATCH(Lijsten!$P$1,Tb_KostenTypen[#Headers],0),0),VLOOKUP($G884,Lijsten!L:P,MATCH(Lijsten!$P$1,Kop_Tarief_Vast,0),0))),""),"")</f>
        <v/>
      </c>
      <c r="P884" s="320" t="str" cm="1">
        <f t="array" ref="P884">_xlfn.IFNA(IF(INDEX(Tb_KostenOptiesDB[],MATCH($F884,Tb_KostenOptiesDB[KostenOptie],0),IFERROR(MATCH(Methode_Keuze,Tb_KostenOptiesDB[#Headers],0),2))=1,_xlfn.SWITCH($N884,"Uurtarief",IF(OR(AND(RIGHT($F884,3)="IKS",VLOOKUP($M884,DB_Loonkosten,2,0)="Ja"),AND(RIGHT($F884,3)&lt;&gt;"IKS",VLOOKUP($M884,DB_Loonkosten,2,0)="Nee")),IFERROR(VLOOKUP($M884,DB_Loonkosten,25,0),""),0),"Vast tarief",IF(LEFT(F884,8)="Bijdrage",VLOOKUP($F884,Tb_KostenTypen[],MATCH(Lijsten!$P$1,Tb_KostenTypen[#Headers],0),0),VLOOKUP($G884,Lijsten!L:P,MATCH(Lijsten!$P$1,Kop_Tarief_Vast,0),0))),""),"")</f>
        <v/>
      </c>
      <c r="Q884" s="359"/>
      <c r="R884" s="359"/>
      <c r="S884" s="321"/>
      <c r="T884" s="321"/>
      <c r="U884" s="373" t="str">
        <f t="shared" si="52"/>
        <v/>
      </c>
      <c r="V884" s="314" t="str">
        <f t="shared" si="53"/>
        <v/>
      </c>
      <c r="W884" s="314" t="str" cm="1">
        <f t="array" aca="1" ref="W884" ca="1">IFERROR(IF(AE884&lt;&gt;"ja",_xlfn.IFNA(_xlfn.IFS(AND(O884&lt;&gt;"",F884&lt;&gt;"",RIGHT($N884,6)="tarief",F884="Vergoeding"),SUM(O884)*FLOOR(SUM(Q884),0.0001),AND(O884&lt;&gt;"",F884&lt;&gt;"",RIGHT($N884,6)="tarief"),SUM(O884)*FLOOR(SUM(Q884),0.01),S884&gt;0,IF(F884&lt;&gt;"",FLOOR(SUM(S884),0.01),"")),""),""),"")</f>
        <v/>
      </c>
      <c r="X884" s="314" t="str" cm="1">
        <f t="array" aca="1" ref="X884" ca="1">IFERROR(IF(AE884&lt;&gt;"ja",_xlfn.IFNA(_xlfn.IFS(AND(P884&lt;&gt;"",R884&lt;&gt;"",RIGHT($N884,6)="tarief",F884="Vergoeding"),SUM(P884)*FLOOR(SUM(R884),0.0001),AND(P884&lt;&gt;"",R884&lt;&gt;"",RIGHT($N884,6)="tarief"),P884*FLOOR(R884,0.01),T884&gt;0,FLOOR(SUM(T884),0.01)),""),""),"")</f>
        <v/>
      </c>
      <c r="Y884" s="314" t="str">
        <f t="shared" ca="1" si="54"/>
        <v/>
      </c>
      <c r="Z884" s="314" t="str" cm="1">
        <f t="array" aca="1" ref="Z884" ca="1">IFERROR(_xlfn.IFS(OR(F884="",LEFT(Methode_Keuze,4)="Geen",Methode_Keuze=""),"",AND(W884&lt;&gt;"",F884&lt;&gt;"Arbeidskosten"),W884*VLOOKUP(F884,Tb_ProjectKosten[],MATCH(Tb_ProjectKosten[[#Headers],[Forfait_Percentage]],Tb_ProjectKosten[#Headers],0),0),AND(F884="Arbeidskosten",G884&lt;&gt;""),IFERROR(W884*VLOOKUP(G884,Tb_KostenTypen[],3,0)*VLOOKUP(F884,Tb_ProjectKosten[],MATCH(Tb_ProjectKosten[[#Headers],[Forfait_Percentage]],Tb_ProjectKosten[#Headers],0),0),""),W884 &lt;=0,0),"")</f>
        <v/>
      </c>
      <c r="AA884" s="314" t="str" cm="1">
        <f t="array" aca="1" ref="AA884" ca="1">IFERROR(_xlfn.IFS(OR(F884="",LEFT(Methode_Keuze,4)="Geen",Methode_Keuze=""),"",AND(X884&lt;&gt;"",F884&lt;&gt;"Arbeidskosten"),X884*VLOOKUP(F884,Tb_ProjectKosten[],MATCH(Tb_ProjectKosten[[#Headers],[Forfait_Percentage]],Tb_ProjectKosten[#Headers],0),0),AND(F884="Arbeidskosten",G884&lt;&gt;""),IFERROR(X884*VLOOKUP(G884,Tb_KostenTypen[],3,0)*VLOOKUP(F884,Tb_ProjectKosten[],MATCH(Tb_ProjectKosten[[#Headers],[Forfait_Percentage]],Tb_ProjectKosten[#Headers],0),0),""),X884 &lt;=0,0),"")</f>
        <v/>
      </c>
      <c r="AB884" s="314" t="str">
        <f t="shared" ca="1" si="55"/>
        <v/>
      </c>
      <c r="AC884" s="322"/>
      <c r="AD884" s="315"/>
      <c r="AE884" s="32" t="str" cm="1">
        <f t="array" ref="AE884">IFERROR(IF(INDEX(SubsidieTabel!$AD$1:$AG$12,MATCH($F884,SubsidieTabel!$AD$1:$AD$12,0),IFERROR(MATCH(Methode_Keuze,SubsidieTabel!$AD$1:$AG$1,0),2))&lt;&gt;1=TRUE,"ja",""),"")</f>
        <v/>
      </c>
    </row>
    <row r="885" spans="1:31" x14ac:dyDescent="0.25">
      <c r="A885" s="316"/>
      <c r="B885" s="317" t="str">
        <f>IF(A885&lt;&gt;"",_xlfn.MAXIFS($B$1:B884,$A$1:A884,A885)+1,"")</f>
        <v/>
      </c>
      <c r="C885" s="296"/>
      <c r="D885" s="296"/>
      <c r="E885" s="296"/>
      <c r="F885" s="296"/>
      <c r="G885" s="326"/>
      <c r="H885" s="324"/>
      <c r="I885" s="325"/>
      <c r="J885" s="325"/>
      <c r="K885" s="318"/>
      <c r="L885" s="318"/>
      <c r="M885" s="319" t="str">
        <f>IFERROR(VLOOKUP(H885,Lijsten!$H$1:$I$100,2,0),"")</f>
        <v/>
      </c>
      <c r="N885" s="319" t="str">
        <f ca="1">IFERROR(IF(VLOOKUP(F885,Kostentypen!$A$3:$E$21,3,0)=0,"",IF(OR(F885="Arbeidskosten",F885="Vergoeding"),VLOOKUP(G885,Tb_KostenTypen[],2,0),VLOOKUP(F885,Kostentypen!$A$3:$E$20,3,0))),"")</f>
        <v/>
      </c>
      <c r="O885" s="320" t="str" cm="1">
        <f t="array" ref="O885">_xlfn.IFNA(IF(INDEX(Tb_KostenOptiesDB[],MATCH($F885,Tb_KostenOptiesDB[KostenOptie],0),IFERROR(MATCH(Methode_Keuze,Tb_KostenOptiesDB[#Headers],0),2))=1,_xlfn.SWITCH($N885,"Uurtarief",IF(OR(AND(RIGHT($F885,3)="IKS",VLOOKUP($M885,DB_Loonkosten,2,0)="Ja"),AND(RIGHT($F885,3)&lt;&gt;"IKS",VLOOKUP($M885,DB_Loonkosten,2,0)="Nee")),IFERROR(VLOOKUP($M885,DB_Loonkosten,24,0),""),0),"Vast tarief",IF(LEFT(F885,8)="Bijdrage",VLOOKUP($F885,Tb_KostenTypen[],MATCH(Lijsten!$P$1,Tb_KostenTypen[#Headers],0),0),VLOOKUP($G885,Lijsten!L:P,MATCH(Lijsten!$P$1,Kop_Tarief_Vast,0),0))),""),"")</f>
        <v/>
      </c>
      <c r="P885" s="320" t="str" cm="1">
        <f t="array" ref="P885">_xlfn.IFNA(IF(INDEX(Tb_KostenOptiesDB[],MATCH($F885,Tb_KostenOptiesDB[KostenOptie],0),IFERROR(MATCH(Methode_Keuze,Tb_KostenOptiesDB[#Headers],0),2))=1,_xlfn.SWITCH($N885,"Uurtarief",IF(OR(AND(RIGHT($F885,3)="IKS",VLOOKUP($M885,DB_Loonkosten,2,0)="Ja"),AND(RIGHT($F885,3)&lt;&gt;"IKS",VLOOKUP($M885,DB_Loonkosten,2,0)="Nee")),IFERROR(VLOOKUP($M885,DB_Loonkosten,25,0),""),0),"Vast tarief",IF(LEFT(F885,8)="Bijdrage",VLOOKUP($F885,Tb_KostenTypen[],MATCH(Lijsten!$P$1,Tb_KostenTypen[#Headers],0),0),VLOOKUP($G885,Lijsten!L:P,MATCH(Lijsten!$P$1,Kop_Tarief_Vast,0),0))),""),"")</f>
        <v/>
      </c>
      <c r="Q885" s="359"/>
      <c r="R885" s="359"/>
      <c r="S885" s="321"/>
      <c r="T885" s="321"/>
      <c r="U885" s="373" t="str">
        <f t="shared" si="52"/>
        <v/>
      </c>
      <c r="V885" s="314" t="str">
        <f t="shared" si="53"/>
        <v/>
      </c>
      <c r="W885" s="314" t="str" cm="1">
        <f t="array" aca="1" ref="W885" ca="1">IFERROR(IF(AE885&lt;&gt;"ja",_xlfn.IFNA(_xlfn.IFS(AND(O885&lt;&gt;"",F885&lt;&gt;"",RIGHT($N885,6)="tarief",F885="Vergoeding"),SUM(O885)*FLOOR(SUM(Q885),0.0001),AND(O885&lt;&gt;"",F885&lt;&gt;"",RIGHT($N885,6)="tarief"),SUM(O885)*FLOOR(SUM(Q885),0.01),S885&gt;0,IF(F885&lt;&gt;"",FLOOR(SUM(S885),0.01),"")),""),""),"")</f>
        <v/>
      </c>
      <c r="X885" s="314" t="str" cm="1">
        <f t="array" aca="1" ref="X885" ca="1">IFERROR(IF(AE885&lt;&gt;"ja",_xlfn.IFNA(_xlfn.IFS(AND(P885&lt;&gt;"",R885&lt;&gt;"",RIGHT($N885,6)="tarief",F885="Vergoeding"),SUM(P885)*FLOOR(SUM(R885),0.0001),AND(P885&lt;&gt;"",R885&lt;&gt;"",RIGHT($N885,6)="tarief"),P885*FLOOR(R885,0.01),T885&gt;0,FLOOR(SUM(T885),0.01)),""),""),"")</f>
        <v/>
      </c>
      <c r="Y885" s="314" t="str">
        <f t="shared" ca="1" si="54"/>
        <v/>
      </c>
      <c r="Z885" s="314" t="str" cm="1">
        <f t="array" aca="1" ref="Z885" ca="1">IFERROR(_xlfn.IFS(OR(F885="",LEFT(Methode_Keuze,4)="Geen",Methode_Keuze=""),"",AND(W885&lt;&gt;"",F885&lt;&gt;"Arbeidskosten"),W885*VLOOKUP(F885,Tb_ProjectKosten[],MATCH(Tb_ProjectKosten[[#Headers],[Forfait_Percentage]],Tb_ProjectKosten[#Headers],0),0),AND(F885="Arbeidskosten",G885&lt;&gt;""),IFERROR(W885*VLOOKUP(G885,Tb_KostenTypen[],3,0)*VLOOKUP(F885,Tb_ProjectKosten[],MATCH(Tb_ProjectKosten[[#Headers],[Forfait_Percentage]],Tb_ProjectKosten[#Headers],0),0),""),W885 &lt;=0,0),"")</f>
        <v/>
      </c>
      <c r="AA885" s="314" t="str" cm="1">
        <f t="array" aca="1" ref="AA885" ca="1">IFERROR(_xlfn.IFS(OR(F885="",LEFT(Methode_Keuze,4)="Geen",Methode_Keuze=""),"",AND(X885&lt;&gt;"",F885&lt;&gt;"Arbeidskosten"),X885*VLOOKUP(F885,Tb_ProjectKosten[],MATCH(Tb_ProjectKosten[[#Headers],[Forfait_Percentage]],Tb_ProjectKosten[#Headers],0),0),AND(F885="Arbeidskosten",G885&lt;&gt;""),IFERROR(X885*VLOOKUP(G885,Tb_KostenTypen[],3,0)*VLOOKUP(F885,Tb_ProjectKosten[],MATCH(Tb_ProjectKosten[[#Headers],[Forfait_Percentage]],Tb_ProjectKosten[#Headers],0),0),""),X885 &lt;=0,0),"")</f>
        <v/>
      </c>
      <c r="AB885" s="314" t="str">
        <f t="shared" ca="1" si="55"/>
        <v/>
      </c>
      <c r="AC885" s="322"/>
      <c r="AD885" s="315"/>
      <c r="AE885" s="32" t="str" cm="1">
        <f t="array" ref="AE885">IFERROR(IF(INDEX(SubsidieTabel!$AD$1:$AG$12,MATCH($F885,SubsidieTabel!$AD$1:$AD$12,0),IFERROR(MATCH(Methode_Keuze,SubsidieTabel!$AD$1:$AG$1,0),2))&lt;&gt;1=TRUE,"ja",""),"")</f>
        <v/>
      </c>
    </row>
    <row r="886" spans="1:31" x14ac:dyDescent="0.25">
      <c r="A886" s="316"/>
      <c r="B886" s="317" t="str">
        <f>IF(A886&lt;&gt;"",_xlfn.MAXIFS($B$1:B885,$A$1:A885,A886)+1,"")</f>
        <v/>
      </c>
      <c r="C886" s="296"/>
      <c r="D886" s="296"/>
      <c r="E886" s="296"/>
      <c r="F886" s="296"/>
      <c r="G886" s="326"/>
      <c r="H886" s="324"/>
      <c r="I886" s="325"/>
      <c r="J886" s="325"/>
      <c r="K886" s="318"/>
      <c r="L886" s="318"/>
      <c r="M886" s="319" t="str">
        <f>IFERROR(VLOOKUP(H886,Lijsten!$H$1:$I$100,2,0),"")</f>
        <v/>
      </c>
      <c r="N886" s="319" t="str">
        <f ca="1">IFERROR(IF(VLOOKUP(F886,Kostentypen!$A$3:$E$21,3,0)=0,"",IF(OR(F886="Arbeidskosten",F886="Vergoeding"),VLOOKUP(G886,Tb_KostenTypen[],2,0),VLOOKUP(F886,Kostentypen!$A$3:$E$20,3,0))),"")</f>
        <v/>
      </c>
      <c r="O886" s="320" t="str" cm="1">
        <f t="array" ref="O886">_xlfn.IFNA(IF(INDEX(Tb_KostenOptiesDB[],MATCH($F886,Tb_KostenOptiesDB[KostenOptie],0),IFERROR(MATCH(Methode_Keuze,Tb_KostenOptiesDB[#Headers],0),2))=1,_xlfn.SWITCH($N886,"Uurtarief",IF(OR(AND(RIGHT($F886,3)="IKS",VLOOKUP($M886,DB_Loonkosten,2,0)="Ja"),AND(RIGHT($F886,3)&lt;&gt;"IKS",VLOOKUP($M886,DB_Loonkosten,2,0)="Nee")),IFERROR(VLOOKUP($M886,DB_Loonkosten,24,0),""),0),"Vast tarief",IF(LEFT(F886,8)="Bijdrage",VLOOKUP($F886,Tb_KostenTypen[],MATCH(Lijsten!$P$1,Tb_KostenTypen[#Headers],0),0),VLOOKUP($G886,Lijsten!L:P,MATCH(Lijsten!$P$1,Kop_Tarief_Vast,0),0))),""),"")</f>
        <v/>
      </c>
      <c r="P886" s="320" t="str" cm="1">
        <f t="array" ref="P886">_xlfn.IFNA(IF(INDEX(Tb_KostenOptiesDB[],MATCH($F886,Tb_KostenOptiesDB[KostenOptie],0),IFERROR(MATCH(Methode_Keuze,Tb_KostenOptiesDB[#Headers],0),2))=1,_xlfn.SWITCH($N886,"Uurtarief",IF(OR(AND(RIGHT($F886,3)="IKS",VLOOKUP($M886,DB_Loonkosten,2,0)="Ja"),AND(RIGHT($F886,3)&lt;&gt;"IKS",VLOOKUP($M886,DB_Loonkosten,2,0)="Nee")),IFERROR(VLOOKUP($M886,DB_Loonkosten,25,0),""),0),"Vast tarief",IF(LEFT(F886,8)="Bijdrage",VLOOKUP($F886,Tb_KostenTypen[],MATCH(Lijsten!$P$1,Tb_KostenTypen[#Headers],0),0),VLOOKUP($G886,Lijsten!L:P,MATCH(Lijsten!$P$1,Kop_Tarief_Vast,0),0))),""),"")</f>
        <v/>
      </c>
      <c r="Q886" s="359"/>
      <c r="R886" s="359"/>
      <c r="S886" s="321"/>
      <c r="T886" s="321"/>
      <c r="U886" s="373" t="str">
        <f t="shared" si="52"/>
        <v/>
      </c>
      <c r="V886" s="314" t="str">
        <f t="shared" si="53"/>
        <v/>
      </c>
      <c r="W886" s="314" t="str" cm="1">
        <f t="array" aca="1" ref="W886" ca="1">IFERROR(IF(AE886&lt;&gt;"ja",_xlfn.IFNA(_xlfn.IFS(AND(O886&lt;&gt;"",F886&lt;&gt;"",RIGHT($N886,6)="tarief",F886="Vergoeding"),SUM(O886)*FLOOR(SUM(Q886),0.0001),AND(O886&lt;&gt;"",F886&lt;&gt;"",RIGHT($N886,6)="tarief"),SUM(O886)*FLOOR(SUM(Q886),0.01),S886&gt;0,IF(F886&lt;&gt;"",FLOOR(SUM(S886),0.01),"")),""),""),"")</f>
        <v/>
      </c>
      <c r="X886" s="314" t="str" cm="1">
        <f t="array" aca="1" ref="X886" ca="1">IFERROR(IF(AE886&lt;&gt;"ja",_xlfn.IFNA(_xlfn.IFS(AND(P886&lt;&gt;"",R886&lt;&gt;"",RIGHT($N886,6)="tarief",F886="Vergoeding"),SUM(P886)*FLOOR(SUM(R886),0.0001),AND(P886&lt;&gt;"",R886&lt;&gt;"",RIGHT($N886,6)="tarief"),P886*FLOOR(R886,0.01),T886&gt;0,FLOOR(SUM(T886),0.01)),""),""),"")</f>
        <v/>
      </c>
      <c r="Y886" s="314" t="str">
        <f t="shared" ca="1" si="54"/>
        <v/>
      </c>
      <c r="Z886" s="314" t="str" cm="1">
        <f t="array" aca="1" ref="Z886" ca="1">IFERROR(_xlfn.IFS(OR(F886="",LEFT(Methode_Keuze,4)="Geen",Methode_Keuze=""),"",AND(W886&lt;&gt;"",F886&lt;&gt;"Arbeidskosten"),W886*VLOOKUP(F886,Tb_ProjectKosten[],MATCH(Tb_ProjectKosten[[#Headers],[Forfait_Percentage]],Tb_ProjectKosten[#Headers],0),0),AND(F886="Arbeidskosten",G886&lt;&gt;""),IFERROR(W886*VLOOKUP(G886,Tb_KostenTypen[],3,0)*VLOOKUP(F886,Tb_ProjectKosten[],MATCH(Tb_ProjectKosten[[#Headers],[Forfait_Percentage]],Tb_ProjectKosten[#Headers],0),0),""),W886 &lt;=0,0),"")</f>
        <v/>
      </c>
      <c r="AA886" s="314" t="str" cm="1">
        <f t="array" aca="1" ref="AA886" ca="1">IFERROR(_xlfn.IFS(OR(F886="",LEFT(Methode_Keuze,4)="Geen",Methode_Keuze=""),"",AND(X886&lt;&gt;"",F886&lt;&gt;"Arbeidskosten"),X886*VLOOKUP(F886,Tb_ProjectKosten[],MATCH(Tb_ProjectKosten[[#Headers],[Forfait_Percentage]],Tb_ProjectKosten[#Headers],0),0),AND(F886="Arbeidskosten",G886&lt;&gt;""),IFERROR(X886*VLOOKUP(G886,Tb_KostenTypen[],3,0)*VLOOKUP(F886,Tb_ProjectKosten[],MATCH(Tb_ProjectKosten[[#Headers],[Forfait_Percentage]],Tb_ProjectKosten[#Headers],0),0),""),X886 &lt;=0,0),"")</f>
        <v/>
      </c>
      <c r="AB886" s="314" t="str">
        <f t="shared" ca="1" si="55"/>
        <v/>
      </c>
      <c r="AC886" s="322"/>
      <c r="AD886" s="315"/>
      <c r="AE886" s="32" t="str" cm="1">
        <f t="array" ref="AE886">IFERROR(IF(INDEX(SubsidieTabel!$AD$1:$AG$12,MATCH($F886,SubsidieTabel!$AD$1:$AD$12,0),IFERROR(MATCH(Methode_Keuze,SubsidieTabel!$AD$1:$AG$1,0),2))&lt;&gt;1=TRUE,"ja",""),"")</f>
        <v/>
      </c>
    </row>
    <row r="887" spans="1:31" x14ac:dyDescent="0.25">
      <c r="A887" s="316"/>
      <c r="B887" s="317" t="str">
        <f>IF(A887&lt;&gt;"",_xlfn.MAXIFS($B$1:B886,$A$1:A886,A887)+1,"")</f>
        <v/>
      </c>
      <c r="C887" s="296"/>
      <c r="D887" s="296"/>
      <c r="E887" s="296"/>
      <c r="F887" s="296"/>
      <c r="G887" s="326"/>
      <c r="H887" s="324"/>
      <c r="I887" s="325"/>
      <c r="J887" s="325"/>
      <c r="K887" s="318"/>
      <c r="L887" s="318"/>
      <c r="M887" s="319" t="str">
        <f>IFERROR(VLOOKUP(H887,Lijsten!$H$1:$I$100,2,0),"")</f>
        <v/>
      </c>
      <c r="N887" s="319" t="str">
        <f ca="1">IFERROR(IF(VLOOKUP(F887,Kostentypen!$A$3:$E$21,3,0)=0,"",IF(OR(F887="Arbeidskosten",F887="Vergoeding"),VLOOKUP(G887,Tb_KostenTypen[],2,0),VLOOKUP(F887,Kostentypen!$A$3:$E$20,3,0))),"")</f>
        <v/>
      </c>
      <c r="O887" s="320" t="str" cm="1">
        <f t="array" ref="O887">_xlfn.IFNA(IF(INDEX(Tb_KostenOptiesDB[],MATCH($F887,Tb_KostenOptiesDB[KostenOptie],0),IFERROR(MATCH(Methode_Keuze,Tb_KostenOptiesDB[#Headers],0),2))=1,_xlfn.SWITCH($N887,"Uurtarief",IF(OR(AND(RIGHT($F887,3)="IKS",VLOOKUP($M887,DB_Loonkosten,2,0)="Ja"),AND(RIGHT($F887,3)&lt;&gt;"IKS",VLOOKUP($M887,DB_Loonkosten,2,0)="Nee")),IFERROR(VLOOKUP($M887,DB_Loonkosten,24,0),""),0),"Vast tarief",IF(LEFT(F887,8)="Bijdrage",VLOOKUP($F887,Tb_KostenTypen[],MATCH(Lijsten!$P$1,Tb_KostenTypen[#Headers],0),0),VLOOKUP($G887,Lijsten!L:P,MATCH(Lijsten!$P$1,Kop_Tarief_Vast,0),0))),""),"")</f>
        <v/>
      </c>
      <c r="P887" s="320" t="str" cm="1">
        <f t="array" ref="P887">_xlfn.IFNA(IF(INDEX(Tb_KostenOptiesDB[],MATCH($F887,Tb_KostenOptiesDB[KostenOptie],0),IFERROR(MATCH(Methode_Keuze,Tb_KostenOptiesDB[#Headers],0),2))=1,_xlfn.SWITCH($N887,"Uurtarief",IF(OR(AND(RIGHT($F887,3)="IKS",VLOOKUP($M887,DB_Loonkosten,2,0)="Ja"),AND(RIGHT($F887,3)&lt;&gt;"IKS",VLOOKUP($M887,DB_Loonkosten,2,0)="Nee")),IFERROR(VLOOKUP($M887,DB_Loonkosten,25,0),""),0),"Vast tarief",IF(LEFT(F887,8)="Bijdrage",VLOOKUP($F887,Tb_KostenTypen[],MATCH(Lijsten!$P$1,Tb_KostenTypen[#Headers],0),0),VLOOKUP($G887,Lijsten!L:P,MATCH(Lijsten!$P$1,Kop_Tarief_Vast,0),0))),""),"")</f>
        <v/>
      </c>
      <c r="Q887" s="359"/>
      <c r="R887" s="359"/>
      <c r="S887" s="321"/>
      <c r="T887" s="321"/>
      <c r="U887" s="373" t="str">
        <f t="shared" si="52"/>
        <v/>
      </c>
      <c r="V887" s="314" t="str">
        <f t="shared" si="53"/>
        <v/>
      </c>
      <c r="W887" s="314" t="str" cm="1">
        <f t="array" aca="1" ref="W887" ca="1">IFERROR(IF(AE887&lt;&gt;"ja",_xlfn.IFNA(_xlfn.IFS(AND(O887&lt;&gt;"",F887&lt;&gt;"",RIGHT($N887,6)="tarief",F887="Vergoeding"),SUM(O887)*FLOOR(SUM(Q887),0.0001),AND(O887&lt;&gt;"",F887&lt;&gt;"",RIGHT($N887,6)="tarief"),SUM(O887)*FLOOR(SUM(Q887),0.01),S887&gt;0,IF(F887&lt;&gt;"",FLOOR(SUM(S887),0.01),"")),""),""),"")</f>
        <v/>
      </c>
      <c r="X887" s="314" t="str" cm="1">
        <f t="array" aca="1" ref="X887" ca="1">IFERROR(IF(AE887&lt;&gt;"ja",_xlfn.IFNA(_xlfn.IFS(AND(P887&lt;&gt;"",R887&lt;&gt;"",RIGHT($N887,6)="tarief",F887="Vergoeding"),SUM(P887)*FLOOR(SUM(R887),0.0001),AND(P887&lt;&gt;"",R887&lt;&gt;"",RIGHT($N887,6)="tarief"),P887*FLOOR(R887,0.01),T887&gt;0,FLOOR(SUM(T887),0.01)),""),""),"")</f>
        <v/>
      </c>
      <c r="Y887" s="314" t="str">
        <f t="shared" ca="1" si="54"/>
        <v/>
      </c>
      <c r="Z887" s="314" t="str" cm="1">
        <f t="array" aca="1" ref="Z887" ca="1">IFERROR(_xlfn.IFS(OR(F887="",LEFT(Methode_Keuze,4)="Geen",Methode_Keuze=""),"",AND(W887&lt;&gt;"",F887&lt;&gt;"Arbeidskosten"),W887*VLOOKUP(F887,Tb_ProjectKosten[],MATCH(Tb_ProjectKosten[[#Headers],[Forfait_Percentage]],Tb_ProjectKosten[#Headers],0),0),AND(F887="Arbeidskosten",G887&lt;&gt;""),IFERROR(W887*VLOOKUP(G887,Tb_KostenTypen[],3,0)*VLOOKUP(F887,Tb_ProjectKosten[],MATCH(Tb_ProjectKosten[[#Headers],[Forfait_Percentage]],Tb_ProjectKosten[#Headers],0),0),""),W887 &lt;=0,0),"")</f>
        <v/>
      </c>
      <c r="AA887" s="314" t="str" cm="1">
        <f t="array" aca="1" ref="AA887" ca="1">IFERROR(_xlfn.IFS(OR(F887="",LEFT(Methode_Keuze,4)="Geen",Methode_Keuze=""),"",AND(X887&lt;&gt;"",F887&lt;&gt;"Arbeidskosten"),X887*VLOOKUP(F887,Tb_ProjectKosten[],MATCH(Tb_ProjectKosten[[#Headers],[Forfait_Percentage]],Tb_ProjectKosten[#Headers],0),0),AND(F887="Arbeidskosten",G887&lt;&gt;""),IFERROR(X887*VLOOKUP(G887,Tb_KostenTypen[],3,0)*VLOOKUP(F887,Tb_ProjectKosten[],MATCH(Tb_ProjectKosten[[#Headers],[Forfait_Percentage]],Tb_ProjectKosten[#Headers],0),0),""),X887 &lt;=0,0),"")</f>
        <v/>
      </c>
      <c r="AB887" s="314" t="str">
        <f t="shared" ca="1" si="55"/>
        <v/>
      </c>
      <c r="AC887" s="322"/>
      <c r="AD887" s="315"/>
      <c r="AE887" s="32" t="str" cm="1">
        <f t="array" ref="AE887">IFERROR(IF(INDEX(SubsidieTabel!$AD$1:$AG$12,MATCH($F887,SubsidieTabel!$AD$1:$AD$12,0),IFERROR(MATCH(Methode_Keuze,SubsidieTabel!$AD$1:$AG$1,0),2))&lt;&gt;1=TRUE,"ja",""),"")</f>
        <v/>
      </c>
    </row>
    <row r="888" spans="1:31" x14ac:dyDescent="0.25">
      <c r="A888" s="316"/>
      <c r="B888" s="317" t="str">
        <f>IF(A888&lt;&gt;"",_xlfn.MAXIFS($B$1:B887,$A$1:A887,A888)+1,"")</f>
        <v/>
      </c>
      <c r="C888" s="296"/>
      <c r="D888" s="296"/>
      <c r="E888" s="296"/>
      <c r="F888" s="296"/>
      <c r="G888" s="326"/>
      <c r="H888" s="324"/>
      <c r="I888" s="325"/>
      <c r="J888" s="325"/>
      <c r="K888" s="318"/>
      <c r="L888" s="318"/>
      <c r="M888" s="319" t="str">
        <f>IFERROR(VLOOKUP(H888,Lijsten!$H$1:$I$100,2,0),"")</f>
        <v/>
      </c>
      <c r="N888" s="319" t="str">
        <f ca="1">IFERROR(IF(VLOOKUP(F888,Kostentypen!$A$3:$E$21,3,0)=0,"",IF(OR(F888="Arbeidskosten",F888="Vergoeding"),VLOOKUP(G888,Tb_KostenTypen[],2,0),VLOOKUP(F888,Kostentypen!$A$3:$E$20,3,0))),"")</f>
        <v/>
      </c>
      <c r="O888" s="320" t="str" cm="1">
        <f t="array" ref="O888">_xlfn.IFNA(IF(INDEX(Tb_KostenOptiesDB[],MATCH($F888,Tb_KostenOptiesDB[KostenOptie],0),IFERROR(MATCH(Methode_Keuze,Tb_KostenOptiesDB[#Headers],0),2))=1,_xlfn.SWITCH($N888,"Uurtarief",IF(OR(AND(RIGHT($F888,3)="IKS",VLOOKUP($M888,DB_Loonkosten,2,0)="Ja"),AND(RIGHT($F888,3)&lt;&gt;"IKS",VLOOKUP($M888,DB_Loonkosten,2,0)="Nee")),IFERROR(VLOOKUP($M888,DB_Loonkosten,24,0),""),0),"Vast tarief",IF(LEFT(F888,8)="Bijdrage",VLOOKUP($F888,Tb_KostenTypen[],MATCH(Lijsten!$P$1,Tb_KostenTypen[#Headers],0),0),VLOOKUP($G888,Lijsten!L:P,MATCH(Lijsten!$P$1,Kop_Tarief_Vast,0),0))),""),"")</f>
        <v/>
      </c>
      <c r="P888" s="320" t="str" cm="1">
        <f t="array" ref="P888">_xlfn.IFNA(IF(INDEX(Tb_KostenOptiesDB[],MATCH($F888,Tb_KostenOptiesDB[KostenOptie],0),IFERROR(MATCH(Methode_Keuze,Tb_KostenOptiesDB[#Headers],0),2))=1,_xlfn.SWITCH($N888,"Uurtarief",IF(OR(AND(RIGHT($F888,3)="IKS",VLOOKUP($M888,DB_Loonkosten,2,0)="Ja"),AND(RIGHT($F888,3)&lt;&gt;"IKS",VLOOKUP($M888,DB_Loonkosten,2,0)="Nee")),IFERROR(VLOOKUP($M888,DB_Loonkosten,25,0),""),0),"Vast tarief",IF(LEFT(F888,8)="Bijdrage",VLOOKUP($F888,Tb_KostenTypen[],MATCH(Lijsten!$P$1,Tb_KostenTypen[#Headers],0),0),VLOOKUP($G888,Lijsten!L:P,MATCH(Lijsten!$P$1,Kop_Tarief_Vast,0),0))),""),"")</f>
        <v/>
      </c>
      <c r="Q888" s="359"/>
      <c r="R888" s="359"/>
      <c r="S888" s="321"/>
      <c r="T888" s="321"/>
      <c r="U888" s="373" t="str">
        <f t="shared" si="52"/>
        <v/>
      </c>
      <c r="V888" s="314" t="str">
        <f t="shared" si="53"/>
        <v/>
      </c>
      <c r="W888" s="314" t="str" cm="1">
        <f t="array" aca="1" ref="W888" ca="1">IFERROR(IF(AE888&lt;&gt;"ja",_xlfn.IFNA(_xlfn.IFS(AND(O888&lt;&gt;"",F888&lt;&gt;"",RIGHT($N888,6)="tarief",F888="Vergoeding"),SUM(O888)*FLOOR(SUM(Q888),0.0001),AND(O888&lt;&gt;"",F888&lt;&gt;"",RIGHT($N888,6)="tarief"),SUM(O888)*FLOOR(SUM(Q888),0.01),S888&gt;0,IF(F888&lt;&gt;"",FLOOR(SUM(S888),0.01),"")),""),""),"")</f>
        <v/>
      </c>
      <c r="X888" s="314" t="str" cm="1">
        <f t="array" aca="1" ref="X888" ca="1">IFERROR(IF(AE888&lt;&gt;"ja",_xlfn.IFNA(_xlfn.IFS(AND(P888&lt;&gt;"",R888&lt;&gt;"",RIGHT($N888,6)="tarief",F888="Vergoeding"),SUM(P888)*FLOOR(SUM(R888),0.0001),AND(P888&lt;&gt;"",R888&lt;&gt;"",RIGHT($N888,6)="tarief"),P888*FLOOR(R888,0.01),T888&gt;0,FLOOR(SUM(T888),0.01)),""),""),"")</f>
        <v/>
      </c>
      <c r="Y888" s="314" t="str">
        <f t="shared" ca="1" si="54"/>
        <v/>
      </c>
      <c r="Z888" s="314" t="str" cm="1">
        <f t="array" aca="1" ref="Z888" ca="1">IFERROR(_xlfn.IFS(OR(F888="",LEFT(Methode_Keuze,4)="Geen",Methode_Keuze=""),"",AND(W888&lt;&gt;"",F888&lt;&gt;"Arbeidskosten"),W888*VLOOKUP(F888,Tb_ProjectKosten[],MATCH(Tb_ProjectKosten[[#Headers],[Forfait_Percentage]],Tb_ProjectKosten[#Headers],0),0),AND(F888="Arbeidskosten",G888&lt;&gt;""),IFERROR(W888*VLOOKUP(G888,Tb_KostenTypen[],3,0)*VLOOKUP(F888,Tb_ProjectKosten[],MATCH(Tb_ProjectKosten[[#Headers],[Forfait_Percentage]],Tb_ProjectKosten[#Headers],0),0),""),W888 &lt;=0,0),"")</f>
        <v/>
      </c>
      <c r="AA888" s="314" t="str" cm="1">
        <f t="array" aca="1" ref="AA888" ca="1">IFERROR(_xlfn.IFS(OR(F888="",LEFT(Methode_Keuze,4)="Geen",Methode_Keuze=""),"",AND(X888&lt;&gt;"",F888&lt;&gt;"Arbeidskosten"),X888*VLOOKUP(F888,Tb_ProjectKosten[],MATCH(Tb_ProjectKosten[[#Headers],[Forfait_Percentage]],Tb_ProjectKosten[#Headers],0),0),AND(F888="Arbeidskosten",G888&lt;&gt;""),IFERROR(X888*VLOOKUP(G888,Tb_KostenTypen[],3,0)*VLOOKUP(F888,Tb_ProjectKosten[],MATCH(Tb_ProjectKosten[[#Headers],[Forfait_Percentage]],Tb_ProjectKosten[#Headers],0),0),""),X888 &lt;=0,0),"")</f>
        <v/>
      </c>
      <c r="AB888" s="314" t="str">
        <f t="shared" ca="1" si="55"/>
        <v/>
      </c>
      <c r="AC888" s="322"/>
      <c r="AD888" s="315"/>
      <c r="AE888" s="32" t="str" cm="1">
        <f t="array" ref="AE888">IFERROR(IF(INDEX(SubsidieTabel!$AD$1:$AG$12,MATCH($F888,SubsidieTabel!$AD$1:$AD$12,0),IFERROR(MATCH(Methode_Keuze,SubsidieTabel!$AD$1:$AG$1,0),2))&lt;&gt;1=TRUE,"ja",""),"")</f>
        <v/>
      </c>
    </row>
    <row r="889" spans="1:31" x14ac:dyDescent="0.25">
      <c r="A889" s="316"/>
      <c r="B889" s="317" t="str">
        <f>IF(A889&lt;&gt;"",_xlfn.MAXIFS($B$1:B888,$A$1:A888,A889)+1,"")</f>
        <v/>
      </c>
      <c r="C889" s="296"/>
      <c r="D889" s="296"/>
      <c r="E889" s="296"/>
      <c r="F889" s="296"/>
      <c r="G889" s="326"/>
      <c r="H889" s="324"/>
      <c r="I889" s="325"/>
      <c r="J889" s="325"/>
      <c r="K889" s="318"/>
      <c r="L889" s="318"/>
      <c r="M889" s="319" t="str">
        <f>IFERROR(VLOOKUP(H889,Lijsten!$H$1:$I$100,2,0),"")</f>
        <v/>
      </c>
      <c r="N889" s="319" t="str">
        <f ca="1">IFERROR(IF(VLOOKUP(F889,Kostentypen!$A$3:$E$21,3,0)=0,"",IF(OR(F889="Arbeidskosten",F889="Vergoeding"),VLOOKUP(G889,Tb_KostenTypen[],2,0),VLOOKUP(F889,Kostentypen!$A$3:$E$20,3,0))),"")</f>
        <v/>
      </c>
      <c r="O889" s="320" t="str" cm="1">
        <f t="array" ref="O889">_xlfn.IFNA(IF(INDEX(Tb_KostenOptiesDB[],MATCH($F889,Tb_KostenOptiesDB[KostenOptie],0),IFERROR(MATCH(Methode_Keuze,Tb_KostenOptiesDB[#Headers],0),2))=1,_xlfn.SWITCH($N889,"Uurtarief",IF(OR(AND(RIGHT($F889,3)="IKS",VLOOKUP($M889,DB_Loonkosten,2,0)="Ja"),AND(RIGHT($F889,3)&lt;&gt;"IKS",VLOOKUP($M889,DB_Loonkosten,2,0)="Nee")),IFERROR(VLOOKUP($M889,DB_Loonkosten,24,0),""),0),"Vast tarief",IF(LEFT(F889,8)="Bijdrage",VLOOKUP($F889,Tb_KostenTypen[],MATCH(Lijsten!$P$1,Tb_KostenTypen[#Headers],0),0),VLOOKUP($G889,Lijsten!L:P,MATCH(Lijsten!$P$1,Kop_Tarief_Vast,0),0))),""),"")</f>
        <v/>
      </c>
      <c r="P889" s="320" t="str" cm="1">
        <f t="array" ref="P889">_xlfn.IFNA(IF(INDEX(Tb_KostenOptiesDB[],MATCH($F889,Tb_KostenOptiesDB[KostenOptie],0),IFERROR(MATCH(Methode_Keuze,Tb_KostenOptiesDB[#Headers],0),2))=1,_xlfn.SWITCH($N889,"Uurtarief",IF(OR(AND(RIGHT($F889,3)="IKS",VLOOKUP($M889,DB_Loonkosten,2,0)="Ja"),AND(RIGHT($F889,3)&lt;&gt;"IKS",VLOOKUP($M889,DB_Loonkosten,2,0)="Nee")),IFERROR(VLOOKUP($M889,DB_Loonkosten,25,0),""),0),"Vast tarief",IF(LEFT(F889,8)="Bijdrage",VLOOKUP($F889,Tb_KostenTypen[],MATCH(Lijsten!$P$1,Tb_KostenTypen[#Headers],0),0),VLOOKUP($G889,Lijsten!L:P,MATCH(Lijsten!$P$1,Kop_Tarief_Vast,0),0))),""),"")</f>
        <v/>
      </c>
      <c r="Q889" s="359"/>
      <c r="R889" s="359"/>
      <c r="S889" s="321"/>
      <c r="T889" s="321"/>
      <c r="U889" s="373" t="str">
        <f t="shared" si="52"/>
        <v/>
      </c>
      <c r="V889" s="314" t="str">
        <f t="shared" si="53"/>
        <v/>
      </c>
      <c r="W889" s="314" t="str" cm="1">
        <f t="array" aca="1" ref="W889" ca="1">IFERROR(IF(AE889&lt;&gt;"ja",_xlfn.IFNA(_xlfn.IFS(AND(O889&lt;&gt;"",F889&lt;&gt;"",RIGHT($N889,6)="tarief",F889="Vergoeding"),SUM(O889)*FLOOR(SUM(Q889),0.0001),AND(O889&lt;&gt;"",F889&lt;&gt;"",RIGHT($N889,6)="tarief"),SUM(O889)*FLOOR(SUM(Q889),0.01),S889&gt;0,IF(F889&lt;&gt;"",FLOOR(SUM(S889),0.01),"")),""),""),"")</f>
        <v/>
      </c>
      <c r="X889" s="314" t="str" cm="1">
        <f t="array" aca="1" ref="X889" ca="1">IFERROR(IF(AE889&lt;&gt;"ja",_xlfn.IFNA(_xlfn.IFS(AND(P889&lt;&gt;"",R889&lt;&gt;"",RIGHT($N889,6)="tarief",F889="Vergoeding"),SUM(P889)*FLOOR(SUM(R889),0.0001),AND(P889&lt;&gt;"",R889&lt;&gt;"",RIGHT($N889,6)="tarief"),P889*FLOOR(R889,0.01),T889&gt;0,FLOOR(SUM(T889),0.01)),""),""),"")</f>
        <v/>
      </c>
      <c r="Y889" s="314" t="str">
        <f t="shared" ca="1" si="54"/>
        <v/>
      </c>
      <c r="Z889" s="314" t="str" cm="1">
        <f t="array" aca="1" ref="Z889" ca="1">IFERROR(_xlfn.IFS(OR(F889="",LEFT(Methode_Keuze,4)="Geen",Methode_Keuze=""),"",AND(W889&lt;&gt;"",F889&lt;&gt;"Arbeidskosten"),W889*VLOOKUP(F889,Tb_ProjectKosten[],MATCH(Tb_ProjectKosten[[#Headers],[Forfait_Percentage]],Tb_ProjectKosten[#Headers],0),0),AND(F889="Arbeidskosten",G889&lt;&gt;""),IFERROR(W889*VLOOKUP(G889,Tb_KostenTypen[],3,0)*VLOOKUP(F889,Tb_ProjectKosten[],MATCH(Tb_ProjectKosten[[#Headers],[Forfait_Percentage]],Tb_ProjectKosten[#Headers],0),0),""),W889 &lt;=0,0),"")</f>
        <v/>
      </c>
      <c r="AA889" s="314" t="str" cm="1">
        <f t="array" aca="1" ref="AA889" ca="1">IFERROR(_xlfn.IFS(OR(F889="",LEFT(Methode_Keuze,4)="Geen",Methode_Keuze=""),"",AND(X889&lt;&gt;"",F889&lt;&gt;"Arbeidskosten"),X889*VLOOKUP(F889,Tb_ProjectKosten[],MATCH(Tb_ProjectKosten[[#Headers],[Forfait_Percentage]],Tb_ProjectKosten[#Headers],0),0),AND(F889="Arbeidskosten",G889&lt;&gt;""),IFERROR(X889*VLOOKUP(G889,Tb_KostenTypen[],3,0)*VLOOKUP(F889,Tb_ProjectKosten[],MATCH(Tb_ProjectKosten[[#Headers],[Forfait_Percentage]],Tb_ProjectKosten[#Headers],0),0),""),X889 &lt;=0,0),"")</f>
        <v/>
      </c>
      <c r="AB889" s="314" t="str">
        <f t="shared" ca="1" si="55"/>
        <v/>
      </c>
      <c r="AC889" s="322"/>
      <c r="AD889" s="315"/>
      <c r="AE889" s="32" t="str" cm="1">
        <f t="array" ref="AE889">IFERROR(IF(INDEX(SubsidieTabel!$AD$1:$AG$12,MATCH($F889,SubsidieTabel!$AD$1:$AD$12,0),IFERROR(MATCH(Methode_Keuze,SubsidieTabel!$AD$1:$AG$1,0),2))&lt;&gt;1=TRUE,"ja",""),"")</f>
        <v/>
      </c>
    </row>
    <row r="890" spans="1:31" x14ac:dyDescent="0.25">
      <c r="A890" s="316"/>
      <c r="B890" s="317" t="str">
        <f>IF(A890&lt;&gt;"",_xlfn.MAXIFS($B$1:B889,$A$1:A889,A890)+1,"")</f>
        <v/>
      </c>
      <c r="C890" s="296"/>
      <c r="D890" s="296"/>
      <c r="E890" s="296"/>
      <c r="F890" s="296"/>
      <c r="G890" s="326"/>
      <c r="H890" s="324"/>
      <c r="I890" s="325"/>
      <c r="J890" s="325"/>
      <c r="K890" s="318"/>
      <c r="L890" s="318"/>
      <c r="M890" s="319" t="str">
        <f>IFERROR(VLOOKUP(H890,Lijsten!$H$1:$I$100,2,0),"")</f>
        <v/>
      </c>
      <c r="N890" s="319" t="str">
        <f ca="1">IFERROR(IF(VLOOKUP(F890,Kostentypen!$A$3:$E$21,3,0)=0,"",IF(OR(F890="Arbeidskosten",F890="Vergoeding"),VLOOKUP(G890,Tb_KostenTypen[],2,0),VLOOKUP(F890,Kostentypen!$A$3:$E$20,3,0))),"")</f>
        <v/>
      </c>
      <c r="O890" s="320" t="str" cm="1">
        <f t="array" ref="O890">_xlfn.IFNA(IF(INDEX(Tb_KostenOptiesDB[],MATCH($F890,Tb_KostenOptiesDB[KostenOptie],0),IFERROR(MATCH(Methode_Keuze,Tb_KostenOptiesDB[#Headers],0),2))=1,_xlfn.SWITCH($N890,"Uurtarief",IF(OR(AND(RIGHT($F890,3)="IKS",VLOOKUP($M890,DB_Loonkosten,2,0)="Ja"),AND(RIGHT($F890,3)&lt;&gt;"IKS",VLOOKUP($M890,DB_Loonkosten,2,0)="Nee")),IFERROR(VLOOKUP($M890,DB_Loonkosten,24,0),""),0),"Vast tarief",IF(LEFT(F890,8)="Bijdrage",VLOOKUP($F890,Tb_KostenTypen[],MATCH(Lijsten!$P$1,Tb_KostenTypen[#Headers],0),0),VLOOKUP($G890,Lijsten!L:P,MATCH(Lijsten!$P$1,Kop_Tarief_Vast,0),0))),""),"")</f>
        <v/>
      </c>
      <c r="P890" s="320" t="str" cm="1">
        <f t="array" ref="P890">_xlfn.IFNA(IF(INDEX(Tb_KostenOptiesDB[],MATCH($F890,Tb_KostenOptiesDB[KostenOptie],0),IFERROR(MATCH(Methode_Keuze,Tb_KostenOptiesDB[#Headers],0),2))=1,_xlfn.SWITCH($N890,"Uurtarief",IF(OR(AND(RIGHT($F890,3)="IKS",VLOOKUP($M890,DB_Loonkosten,2,0)="Ja"),AND(RIGHT($F890,3)&lt;&gt;"IKS",VLOOKUP($M890,DB_Loonkosten,2,0)="Nee")),IFERROR(VLOOKUP($M890,DB_Loonkosten,25,0),""),0),"Vast tarief",IF(LEFT(F890,8)="Bijdrage",VLOOKUP($F890,Tb_KostenTypen[],MATCH(Lijsten!$P$1,Tb_KostenTypen[#Headers],0),0),VLOOKUP($G890,Lijsten!L:P,MATCH(Lijsten!$P$1,Kop_Tarief_Vast,0),0))),""),"")</f>
        <v/>
      </c>
      <c r="Q890" s="359"/>
      <c r="R890" s="359"/>
      <c r="S890" s="321"/>
      <c r="T890" s="321"/>
      <c r="U890" s="373" t="str">
        <f t="shared" si="52"/>
        <v/>
      </c>
      <c r="V890" s="314" t="str">
        <f t="shared" si="53"/>
        <v/>
      </c>
      <c r="W890" s="314" t="str" cm="1">
        <f t="array" aca="1" ref="W890" ca="1">IFERROR(IF(AE890&lt;&gt;"ja",_xlfn.IFNA(_xlfn.IFS(AND(O890&lt;&gt;"",F890&lt;&gt;"",RIGHT($N890,6)="tarief",F890="Vergoeding"),SUM(O890)*FLOOR(SUM(Q890),0.0001),AND(O890&lt;&gt;"",F890&lt;&gt;"",RIGHT($N890,6)="tarief"),SUM(O890)*FLOOR(SUM(Q890),0.01),S890&gt;0,IF(F890&lt;&gt;"",FLOOR(SUM(S890),0.01),"")),""),""),"")</f>
        <v/>
      </c>
      <c r="X890" s="314" t="str" cm="1">
        <f t="array" aca="1" ref="X890" ca="1">IFERROR(IF(AE890&lt;&gt;"ja",_xlfn.IFNA(_xlfn.IFS(AND(P890&lt;&gt;"",R890&lt;&gt;"",RIGHT($N890,6)="tarief",F890="Vergoeding"),SUM(P890)*FLOOR(SUM(R890),0.0001),AND(P890&lt;&gt;"",R890&lt;&gt;"",RIGHT($N890,6)="tarief"),P890*FLOOR(R890,0.01),T890&gt;0,FLOOR(SUM(T890),0.01)),""),""),"")</f>
        <v/>
      </c>
      <c r="Y890" s="314" t="str">
        <f t="shared" ca="1" si="54"/>
        <v/>
      </c>
      <c r="Z890" s="314" t="str" cm="1">
        <f t="array" aca="1" ref="Z890" ca="1">IFERROR(_xlfn.IFS(OR(F890="",LEFT(Methode_Keuze,4)="Geen",Methode_Keuze=""),"",AND(W890&lt;&gt;"",F890&lt;&gt;"Arbeidskosten"),W890*VLOOKUP(F890,Tb_ProjectKosten[],MATCH(Tb_ProjectKosten[[#Headers],[Forfait_Percentage]],Tb_ProjectKosten[#Headers],0),0),AND(F890="Arbeidskosten",G890&lt;&gt;""),IFERROR(W890*VLOOKUP(G890,Tb_KostenTypen[],3,0)*VLOOKUP(F890,Tb_ProjectKosten[],MATCH(Tb_ProjectKosten[[#Headers],[Forfait_Percentage]],Tb_ProjectKosten[#Headers],0),0),""),W890 &lt;=0,0),"")</f>
        <v/>
      </c>
      <c r="AA890" s="314" t="str" cm="1">
        <f t="array" aca="1" ref="AA890" ca="1">IFERROR(_xlfn.IFS(OR(F890="",LEFT(Methode_Keuze,4)="Geen",Methode_Keuze=""),"",AND(X890&lt;&gt;"",F890&lt;&gt;"Arbeidskosten"),X890*VLOOKUP(F890,Tb_ProjectKosten[],MATCH(Tb_ProjectKosten[[#Headers],[Forfait_Percentage]],Tb_ProjectKosten[#Headers],0),0),AND(F890="Arbeidskosten",G890&lt;&gt;""),IFERROR(X890*VLOOKUP(G890,Tb_KostenTypen[],3,0)*VLOOKUP(F890,Tb_ProjectKosten[],MATCH(Tb_ProjectKosten[[#Headers],[Forfait_Percentage]],Tb_ProjectKosten[#Headers],0),0),""),X890 &lt;=0,0),"")</f>
        <v/>
      </c>
      <c r="AB890" s="314" t="str">
        <f t="shared" ca="1" si="55"/>
        <v/>
      </c>
      <c r="AC890" s="322"/>
      <c r="AD890" s="315"/>
      <c r="AE890" s="32" t="str" cm="1">
        <f t="array" ref="AE890">IFERROR(IF(INDEX(SubsidieTabel!$AD$1:$AG$12,MATCH($F890,SubsidieTabel!$AD$1:$AD$12,0),IFERROR(MATCH(Methode_Keuze,SubsidieTabel!$AD$1:$AG$1,0),2))&lt;&gt;1=TRUE,"ja",""),"")</f>
        <v/>
      </c>
    </row>
    <row r="891" spans="1:31" x14ac:dyDescent="0.25">
      <c r="A891" s="316"/>
      <c r="B891" s="317" t="str">
        <f>IF(A891&lt;&gt;"",_xlfn.MAXIFS($B$1:B890,$A$1:A890,A891)+1,"")</f>
        <v/>
      </c>
      <c r="C891" s="296"/>
      <c r="D891" s="296"/>
      <c r="E891" s="296"/>
      <c r="F891" s="296"/>
      <c r="G891" s="326"/>
      <c r="H891" s="324"/>
      <c r="I891" s="325"/>
      <c r="J891" s="325"/>
      <c r="K891" s="318"/>
      <c r="L891" s="318"/>
      <c r="M891" s="319" t="str">
        <f>IFERROR(VLOOKUP(H891,Lijsten!$H$1:$I$100,2,0),"")</f>
        <v/>
      </c>
      <c r="N891" s="319" t="str">
        <f ca="1">IFERROR(IF(VLOOKUP(F891,Kostentypen!$A$3:$E$21,3,0)=0,"",IF(OR(F891="Arbeidskosten",F891="Vergoeding"),VLOOKUP(G891,Tb_KostenTypen[],2,0),VLOOKUP(F891,Kostentypen!$A$3:$E$20,3,0))),"")</f>
        <v/>
      </c>
      <c r="O891" s="320" t="str" cm="1">
        <f t="array" ref="O891">_xlfn.IFNA(IF(INDEX(Tb_KostenOptiesDB[],MATCH($F891,Tb_KostenOptiesDB[KostenOptie],0),IFERROR(MATCH(Methode_Keuze,Tb_KostenOptiesDB[#Headers],0),2))=1,_xlfn.SWITCH($N891,"Uurtarief",IF(OR(AND(RIGHT($F891,3)="IKS",VLOOKUP($M891,DB_Loonkosten,2,0)="Ja"),AND(RIGHT($F891,3)&lt;&gt;"IKS",VLOOKUP($M891,DB_Loonkosten,2,0)="Nee")),IFERROR(VLOOKUP($M891,DB_Loonkosten,24,0),""),0),"Vast tarief",IF(LEFT(F891,8)="Bijdrage",VLOOKUP($F891,Tb_KostenTypen[],MATCH(Lijsten!$P$1,Tb_KostenTypen[#Headers],0),0),VLOOKUP($G891,Lijsten!L:P,MATCH(Lijsten!$P$1,Kop_Tarief_Vast,0),0))),""),"")</f>
        <v/>
      </c>
      <c r="P891" s="320" t="str" cm="1">
        <f t="array" ref="P891">_xlfn.IFNA(IF(INDEX(Tb_KostenOptiesDB[],MATCH($F891,Tb_KostenOptiesDB[KostenOptie],0),IFERROR(MATCH(Methode_Keuze,Tb_KostenOptiesDB[#Headers],0),2))=1,_xlfn.SWITCH($N891,"Uurtarief",IF(OR(AND(RIGHT($F891,3)="IKS",VLOOKUP($M891,DB_Loonkosten,2,0)="Ja"),AND(RIGHT($F891,3)&lt;&gt;"IKS",VLOOKUP($M891,DB_Loonkosten,2,0)="Nee")),IFERROR(VLOOKUP($M891,DB_Loonkosten,25,0),""),0),"Vast tarief",IF(LEFT(F891,8)="Bijdrage",VLOOKUP($F891,Tb_KostenTypen[],MATCH(Lijsten!$P$1,Tb_KostenTypen[#Headers],0),0),VLOOKUP($G891,Lijsten!L:P,MATCH(Lijsten!$P$1,Kop_Tarief_Vast,0),0))),""),"")</f>
        <v/>
      </c>
      <c r="Q891" s="359"/>
      <c r="R891" s="359"/>
      <c r="S891" s="321"/>
      <c r="T891" s="321"/>
      <c r="U891" s="373" t="str">
        <f t="shared" si="52"/>
        <v/>
      </c>
      <c r="V891" s="314" t="str">
        <f t="shared" si="53"/>
        <v/>
      </c>
      <c r="W891" s="314" t="str" cm="1">
        <f t="array" aca="1" ref="W891" ca="1">IFERROR(IF(AE891&lt;&gt;"ja",_xlfn.IFNA(_xlfn.IFS(AND(O891&lt;&gt;"",F891&lt;&gt;"",RIGHT($N891,6)="tarief",F891="Vergoeding"),SUM(O891)*FLOOR(SUM(Q891),0.0001),AND(O891&lt;&gt;"",F891&lt;&gt;"",RIGHT($N891,6)="tarief"),SUM(O891)*FLOOR(SUM(Q891),0.01),S891&gt;0,IF(F891&lt;&gt;"",FLOOR(SUM(S891),0.01),"")),""),""),"")</f>
        <v/>
      </c>
      <c r="X891" s="314" t="str" cm="1">
        <f t="array" aca="1" ref="X891" ca="1">IFERROR(IF(AE891&lt;&gt;"ja",_xlfn.IFNA(_xlfn.IFS(AND(P891&lt;&gt;"",R891&lt;&gt;"",RIGHT($N891,6)="tarief",F891="Vergoeding"),SUM(P891)*FLOOR(SUM(R891),0.0001),AND(P891&lt;&gt;"",R891&lt;&gt;"",RIGHT($N891,6)="tarief"),P891*FLOOR(R891,0.01),T891&gt;0,FLOOR(SUM(T891),0.01)),""),""),"")</f>
        <v/>
      </c>
      <c r="Y891" s="314" t="str">
        <f t="shared" ca="1" si="54"/>
        <v/>
      </c>
      <c r="Z891" s="314" t="str" cm="1">
        <f t="array" aca="1" ref="Z891" ca="1">IFERROR(_xlfn.IFS(OR(F891="",LEFT(Methode_Keuze,4)="Geen",Methode_Keuze=""),"",AND(W891&lt;&gt;"",F891&lt;&gt;"Arbeidskosten"),W891*VLOOKUP(F891,Tb_ProjectKosten[],MATCH(Tb_ProjectKosten[[#Headers],[Forfait_Percentage]],Tb_ProjectKosten[#Headers],0),0),AND(F891="Arbeidskosten",G891&lt;&gt;""),IFERROR(W891*VLOOKUP(G891,Tb_KostenTypen[],3,0)*VLOOKUP(F891,Tb_ProjectKosten[],MATCH(Tb_ProjectKosten[[#Headers],[Forfait_Percentage]],Tb_ProjectKosten[#Headers],0),0),""),W891 &lt;=0,0),"")</f>
        <v/>
      </c>
      <c r="AA891" s="314" t="str" cm="1">
        <f t="array" aca="1" ref="AA891" ca="1">IFERROR(_xlfn.IFS(OR(F891="",LEFT(Methode_Keuze,4)="Geen",Methode_Keuze=""),"",AND(X891&lt;&gt;"",F891&lt;&gt;"Arbeidskosten"),X891*VLOOKUP(F891,Tb_ProjectKosten[],MATCH(Tb_ProjectKosten[[#Headers],[Forfait_Percentage]],Tb_ProjectKosten[#Headers],0),0),AND(F891="Arbeidskosten",G891&lt;&gt;""),IFERROR(X891*VLOOKUP(G891,Tb_KostenTypen[],3,0)*VLOOKUP(F891,Tb_ProjectKosten[],MATCH(Tb_ProjectKosten[[#Headers],[Forfait_Percentage]],Tb_ProjectKosten[#Headers],0),0),""),X891 &lt;=0,0),"")</f>
        <v/>
      </c>
      <c r="AB891" s="314" t="str">
        <f t="shared" ca="1" si="55"/>
        <v/>
      </c>
      <c r="AC891" s="322"/>
      <c r="AD891" s="315"/>
      <c r="AE891" s="32" t="str" cm="1">
        <f t="array" ref="AE891">IFERROR(IF(INDEX(SubsidieTabel!$AD$1:$AG$12,MATCH($F891,SubsidieTabel!$AD$1:$AD$12,0),IFERROR(MATCH(Methode_Keuze,SubsidieTabel!$AD$1:$AG$1,0),2))&lt;&gt;1=TRUE,"ja",""),"")</f>
        <v/>
      </c>
    </row>
    <row r="892" spans="1:31" x14ac:dyDescent="0.25">
      <c r="A892" s="316"/>
      <c r="B892" s="317" t="str">
        <f>IF(A892&lt;&gt;"",_xlfn.MAXIFS($B$1:B891,$A$1:A891,A892)+1,"")</f>
        <v/>
      </c>
      <c r="C892" s="296"/>
      <c r="D892" s="296"/>
      <c r="E892" s="296"/>
      <c r="F892" s="296"/>
      <c r="G892" s="326"/>
      <c r="H892" s="324"/>
      <c r="I892" s="325"/>
      <c r="J892" s="325"/>
      <c r="K892" s="318"/>
      <c r="L892" s="318"/>
      <c r="M892" s="319" t="str">
        <f>IFERROR(VLOOKUP(H892,Lijsten!$H$1:$I$100,2,0),"")</f>
        <v/>
      </c>
      <c r="N892" s="319" t="str">
        <f ca="1">IFERROR(IF(VLOOKUP(F892,Kostentypen!$A$3:$E$21,3,0)=0,"",IF(OR(F892="Arbeidskosten",F892="Vergoeding"),VLOOKUP(G892,Tb_KostenTypen[],2,0),VLOOKUP(F892,Kostentypen!$A$3:$E$20,3,0))),"")</f>
        <v/>
      </c>
      <c r="O892" s="320" t="str" cm="1">
        <f t="array" ref="O892">_xlfn.IFNA(IF(INDEX(Tb_KostenOptiesDB[],MATCH($F892,Tb_KostenOptiesDB[KostenOptie],0),IFERROR(MATCH(Methode_Keuze,Tb_KostenOptiesDB[#Headers],0),2))=1,_xlfn.SWITCH($N892,"Uurtarief",IF(OR(AND(RIGHT($F892,3)="IKS",VLOOKUP($M892,DB_Loonkosten,2,0)="Ja"),AND(RIGHT($F892,3)&lt;&gt;"IKS",VLOOKUP($M892,DB_Loonkosten,2,0)="Nee")),IFERROR(VLOOKUP($M892,DB_Loonkosten,24,0),""),0),"Vast tarief",IF(LEFT(F892,8)="Bijdrage",VLOOKUP($F892,Tb_KostenTypen[],MATCH(Lijsten!$P$1,Tb_KostenTypen[#Headers],0),0),VLOOKUP($G892,Lijsten!L:P,MATCH(Lijsten!$P$1,Kop_Tarief_Vast,0),0))),""),"")</f>
        <v/>
      </c>
      <c r="P892" s="320" t="str" cm="1">
        <f t="array" ref="P892">_xlfn.IFNA(IF(INDEX(Tb_KostenOptiesDB[],MATCH($F892,Tb_KostenOptiesDB[KostenOptie],0),IFERROR(MATCH(Methode_Keuze,Tb_KostenOptiesDB[#Headers],0),2))=1,_xlfn.SWITCH($N892,"Uurtarief",IF(OR(AND(RIGHT($F892,3)="IKS",VLOOKUP($M892,DB_Loonkosten,2,0)="Ja"),AND(RIGHT($F892,3)&lt;&gt;"IKS",VLOOKUP($M892,DB_Loonkosten,2,0)="Nee")),IFERROR(VLOOKUP($M892,DB_Loonkosten,25,0),""),0),"Vast tarief",IF(LEFT(F892,8)="Bijdrage",VLOOKUP($F892,Tb_KostenTypen[],MATCH(Lijsten!$P$1,Tb_KostenTypen[#Headers],0),0),VLOOKUP($G892,Lijsten!L:P,MATCH(Lijsten!$P$1,Kop_Tarief_Vast,0),0))),""),"")</f>
        <v/>
      </c>
      <c r="Q892" s="359"/>
      <c r="R892" s="359"/>
      <c r="S892" s="321"/>
      <c r="T892" s="321"/>
      <c r="U892" s="373" t="str">
        <f t="shared" si="52"/>
        <v/>
      </c>
      <c r="V892" s="314" t="str">
        <f t="shared" si="53"/>
        <v/>
      </c>
      <c r="W892" s="314" t="str" cm="1">
        <f t="array" aca="1" ref="W892" ca="1">IFERROR(IF(AE892&lt;&gt;"ja",_xlfn.IFNA(_xlfn.IFS(AND(O892&lt;&gt;"",F892&lt;&gt;"",RIGHT($N892,6)="tarief",F892="Vergoeding"),SUM(O892)*FLOOR(SUM(Q892),0.0001),AND(O892&lt;&gt;"",F892&lt;&gt;"",RIGHT($N892,6)="tarief"),SUM(O892)*FLOOR(SUM(Q892),0.01),S892&gt;0,IF(F892&lt;&gt;"",FLOOR(SUM(S892),0.01),"")),""),""),"")</f>
        <v/>
      </c>
      <c r="X892" s="314" t="str" cm="1">
        <f t="array" aca="1" ref="X892" ca="1">IFERROR(IF(AE892&lt;&gt;"ja",_xlfn.IFNA(_xlfn.IFS(AND(P892&lt;&gt;"",R892&lt;&gt;"",RIGHT($N892,6)="tarief",F892="Vergoeding"),SUM(P892)*FLOOR(SUM(R892),0.0001),AND(P892&lt;&gt;"",R892&lt;&gt;"",RIGHT($N892,6)="tarief"),P892*FLOOR(R892,0.01),T892&gt;0,FLOOR(SUM(T892),0.01)),""),""),"")</f>
        <v/>
      </c>
      <c r="Y892" s="314" t="str">
        <f t="shared" ca="1" si="54"/>
        <v/>
      </c>
      <c r="Z892" s="314" t="str" cm="1">
        <f t="array" aca="1" ref="Z892" ca="1">IFERROR(_xlfn.IFS(OR(F892="",LEFT(Methode_Keuze,4)="Geen",Methode_Keuze=""),"",AND(W892&lt;&gt;"",F892&lt;&gt;"Arbeidskosten"),W892*VLOOKUP(F892,Tb_ProjectKosten[],MATCH(Tb_ProjectKosten[[#Headers],[Forfait_Percentage]],Tb_ProjectKosten[#Headers],0),0),AND(F892="Arbeidskosten",G892&lt;&gt;""),IFERROR(W892*VLOOKUP(G892,Tb_KostenTypen[],3,0)*VLOOKUP(F892,Tb_ProjectKosten[],MATCH(Tb_ProjectKosten[[#Headers],[Forfait_Percentage]],Tb_ProjectKosten[#Headers],0),0),""),W892 &lt;=0,0),"")</f>
        <v/>
      </c>
      <c r="AA892" s="314" t="str" cm="1">
        <f t="array" aca="1" ref="AA892" ca="1">IFERROR(_xlfn.IFS(OR(F892="",LEFT(Methode_Keuze,4)="Geen",Methode_Keuze=""),"",AND(X892&lt;&gt;"",F892&lt;&gt;"Arbeidskosten"),X892*VLOOKUP(F892,Tb_ProjectKosten[],MATCH(Tb_ProjectKosten[[#Headers],[Forfait_Percentage]],Tb_ProjectKosten[#Headers],0),0),AND(F892="Arbeidskosten",G892&lt;&gt;""),IFERROR(X892*VLOOKUP(G892,Tb_KostenTypen[],3,0)*VLOOKUP(F892,Tb_ProjectKosten[],MATCH(Tb_ProjectKosten[[#Headers],[Forfait_Percentage]],Tb_ProjectKosten[#Headers],0),0),""),X892 &lt;=0,0),"")</f>
        <v/>
      </c>
      <c r="AB892" s="314" t="str">
        <f t="shared" ca="1" si="55"/>
        <v/>
      </c>
      <c r="AC892" s="322"/>
      <c r="AD892" s="315"/>
      <c r="AE892" s="32" t="str" cm="1">
        <f t="array" ref="AE892">IFERROR(IF(INDEX(SubsidieTabel!$AD$1:$AG$12,MATCH($F892,SubsidieTabel!$AD$1:$AD$12,0),IFERROR(MATCH(Methode_Keuze,SubsidieTabel!$AD$1:$AG$1,0),2))&lt;&gt;1=TRUE,"ja",""),"")</f>
        <v/>
      </c>
    </row>
    <row r="893" spans="1:31" x14ac:dyDescent="0.25">
      <c r="A893" s="316"/>
      <c r="B893" s="317" t="str">
        <f>IF(A893&lt;&gt;"",_xlfn.MAXIFS($B$1:B892,$A$1:A892,A893)+1,"")</f>
        <v/>
      </c>
      <c r="C893" s="296"/>
      <c r="D893" s="296"/>
      <c r="E893" s="296"/>
      <c r="F893" s="296"/>
      <c r="G893" s="326"/>
      <c r="H893" s="324"/>
      <c r="I893" s="325"/>
      <c r="J893" s="325"/>
      <c r="K893" s="318"/>
      <c r="L893" s="318"/>
      <c r="M893" s="319" t="str">
        <f>IFERROR(VLOOKUP(H893,Lijsten!$H$1:$I$100,2,0),"")</f>
        <v/>
      </c>
      <c r="N893" s="319" t="str">
        <f ca="1">IFERROR(IF(VLOOKUP(F893,Kostentypen!$A$3:$E$21,3,0)=0,"",IF(OR(F893="Arbeidskosten",F893="Vergoeding"),VLOOKUP(G893,Tb_KostenTypen[],2,0),VLOOKUP(F893,Kostentypen!$A$3:$E$20,3,0))),"")</f>
        <v/>
      </c>
      <c r="O893" s="320" t="str" cm="1">
        <f t="array" ref="O893">_xlfn.IFNA(IF(INDEX(Tb_KostenOptiesDB[],MATCH($F893,Tb_KostenOptiesDB[KostenOptie],0),IFERROR(MATCH(Methode_Keuze,Tb_KostenOptiesDB[#Headers],0),2))=1,_xlfn.SWITCH($N893,"Uurtarief",IF(OR(AND(RIGHT($F893,3)="IKS",VLOOKUP($M893,DB_Loonkosten,2,0)="Ja"),AND(RIGHT($F893,3)&lt;&gt;"IKS",VLOOKUP($M893,DB_Loonkosten,2,0)="Nee")),IFERROR(VLOOKUP($M893,DB_Loonkosten,24,0),""),0),"Vast tarief",IF(LEFT(F893,8)="Bijdrage",VLOOKUP($F893,Tb_KostenTypen[],MATCH(Lijsten!$P$1,Tb_KostenTypen[#Headers],0),0),VLOOKUP($G893,Lijsten!L:P,MATCH(Lijsten!$P$1,Kop_Tarief_Vast,0),0))),""),"")</f>
        <v/>
      </c>
      <c r="P893" s="320" t="str" cm="1">
        <f t="array" ref="P893">_xlfn.IFNA(IF(INDEX(Tb_KostenOptiesDB[],MATCH($F893,Tb_KostenOptiesDB[KostenOptie],0),IFERROR(MATCH(Methode_Keuze,Tb_KostenOptiesDB[#Headers],0),2))=1,_xlfn.SWITCH($N893,"Uurtarief",IF(OR(AND(RIGHT($F893,3)="IKS",VLOOKUP($M893,DB_Loonkosten,2,0)="Ja"),AND(RIGHT($F893,3)&lt;&gt;"IKS",VLOOKUP($M893,DB_Loonkosten,2,0)="Nee")),IFERROR(VLOOKUP($M893,DB_Loonkosten,25,0),""),0),"Vast tarief",IF(LEFT(F893,8)="Bijdrage",VLOOKUP($F893,Tb_KostenTypen[],MATCH(Lijsten!$P$1,Tb_KostenTypen[#Headers],0),0),VLOOKUP($G893,Lijsten!L:P,MATCH(Lijsten!$P$1,Kop_Tarief_Vast,0),0))),""),"")</f>
        <v/>
      </c>
      <c r="Q893" s="359"/>
      <c r="R893" s="359"/>
      <c r="S893" s="321"/>
      <c r="T893" s="321"/>
      <c r="U893" s="373" t="str">
        <f t="shared" si="52"/>
        <v/>
      </c>
      <c r="V893" s="314" t="str">
        <f t="shared" si="53"/>
        <v/>
      </c>
      <c r="W893" s="314" t="str" cm="1">
        <f t="array" aca="1" ref="W893" ca="1">IFERROR(IF(AE893&lt;&gt;"ja",_xlfn.IFNA(_xlfn.IFS(AND(O893&lt;&gt;"",F893&lt;&gt;"",RIGHT($N893,6)="tarief",F893="Vergoeding"),SUM(O893)*FLOOR(SUM(Q893),0.0001),AND(O893&lt;&gt;"",F893&lt;&gt;"",RIGHT($N893,6)="tarief"),SUM(O893)*FLOOR(SUM(Q893),0.01),S893&gt;0,IF(F893&lt;&gt;"",FLOOR(SUM(S893),0.01),"")),""),""),"")</f>
        <v/>
      </c>
      <c r="X893" s="314" t="str" cm="1">
        <f t="array" aca="1" ref="X893" ca="1">IFERROR(IF(AE893&lt;&gt;"ja",_xlfn.IFNA(_xlfn.IFS(AND(P893&lt;&gt;"",R893&lt;&gt;"",RIGHT($N893,6)="tarief",F893="Vergoeding"),SUM(P893)*FLOOR(SUM(R893),0.0001),AND(P893&lt;&gt;"",R893&lt;&gt;"",RIGHT($N893,6)="tarief"),P893*FLOOR(R893,0.01),T893&gt;0,FLOOR(SUM(T893),0.01)),""),""),"")</f>
        <v/>
      </c>
      <c r="Y893" s="314" t="str">
        <f t="shared" ca="1" si="54"/>
        <v/>
      </c>
      <c r="Z893" s="314" t="str" cm="1">
        <f t="array" aca="1" ref="Z893" ca="1">IFERROR(_xlfn.IFS(OR(F893="",LEFT(Methode_Keuze,4)="Geen",Methode_Keuze=""),"",AND(W893&lt;&gt;"",F893&lt;&gt;"Arbeidskosten"),W893*VLOOKUP(F893,Tb_ProjectKosten[],MATCH(Tb_ProjectKosten[[#Headers],[Forfait_Percentage]],Tb_ProjectKosten[#Headers],0),0),AND(F893="Arbeidskosten",G893&lt;&gt;""),IFERROR(W893*VLOOKUP(G893,Tb_KostenTypen[],3,0)*VLOOKUP(F893,Tb_ProjectKosten[],MATCH(Tb_ProjectKosten[[#Headers],[Forfait_Percentage]],Tb_ProjectKosten[#Headers],0),0),""),W893 &lt;=0,0),"")</f>
        <v/>
      </c>
      <c r="AA893" s="314" t="str" cm="1">
        <f t="array" aca="1" ref="AA893" ca="1">IFERROR(_xlfn.IFS(OR(F893="",LEFT(Methode_Keuze,4)="Geen",Methode_Keuze=""),"",AND(X893&lt;&gt;"",F893&lt;&gt;"Arbeidskosten"),X893*VLOOKUP(F893,Tb_ProjectKosten[],MATCH(Tb_ProjectKosten[[#Headers],[Forfait_Percentage]],Tb_ProjectKosten[#Headers],0),0),AND(F893="Arbeidskosten",G893&lt;&gt;""),IFERROR(X893*VLOOKUP(G893,Tb_KostenTypen[],3,0)*VLOOKUP(F893,Tb_ProjectKosten[],MATCH(Tb_ProjectKosten[[#Headers],[Forfait_Percentage]],Tb_ProjectKosten[#Headers],0),0),""),X893 &lt;=0,0),"")</f>
        <v/>
      </c>
      <c r="AB893" s="314" t="str">
        <f t="shared" ca="1" si="55"/>
        <v/>
      </c>
      <c r="AC893" s="322"/>
      <c r="AD893" s="315"/>
      <c r="AE893" s="32" t="str" cm="1">
        <f t="array" ref="AE893">IFERROR(IF(INDEX(SubsidieTabel!$AD$1:$AG$12,MATCH($F893,SubsidieTabel!$AD$1:$AD$12,0),IFERROR(MATCH(Methode_Keuze,SubsidieTabel!$AD$1:$AG$1,0),2))&lt;&gt;1=TRUE,"ja",""),"")</f>
        <v/>
      </c>
    </row>
    <row r="894" spans="1:31" x14ac:dyDescent="0.25">
      <c r="A894" s="316"/>
      <c r="B894" s="317" t="str">
        <f>IF(A894&lt;&gt;"",_xlfn.MAXIFS($B$1:B893,$A$1:A893,A894)+1,"")</f>
        <v/>
      </c>
      <c r="C894" s="296"/>
      <c r="D894" s="296"/>
      <c r="E894" s="296"/>
      <c r="F894" s="296"/>
      <c r="G894" s="326"/>
      <c r="H894" s="324"/>
      <c r="I894" s="325"/>
      <c r="J894" s="325"/>
      <c r="K894" s="318"/>
      <c r="L894" s="318"/>
      <c r="M894" s="319" t="str">
        <f>IFERROR(VLOOKUP(H894,Lijsten!$H$1:$I$100,2,0),"")</f>
        <v/>
      </c>
      <c r="N894" s="319" t="str">
        <f ca="1">IFERROR(IF(VLOOKUP(F894,Kostentypen!$A$3:$E$21,3,0)=0,"",IF(OR(F894="Arbeidskosten",F894="Vergoeding"),VLOOKUP(G894,Tb_KostenTypen[],2,0),VLOOKUP(F894,Kostentypen!$A$3:$E$20,3,0))),"")</f>
        <v/>
      </c>
      <c r="O894" s="320" t="str" cm="1">
        <f t="array" ref="O894">_xlfn.IFNA(IF(INDEX(Tb_KostenOptiesDB[],MATCH($F894,Tb_KostenOptiesDB[KostenOptie],0),IFERROR(MATCH(Methode_Keuze,Tb_KostenOptiesDB[#Headers],0),2))=1,_xlfn.SWITCH($N894,"Uurtarief",IF(OR(AND(RIGHT($F894,3)="IKS",VLOOKUP($M894,DB_Loonkosten,2,0)="Ja"),AND(RIGHT($F894,3)&lt;&gt;"IKS",VLOOKUP($M894,DB_Loonkosten,2,0)="Nee")),IFERROR(VLOOKUP($M894,DB_Loonkosten,24,0),""),0),"Vast tarief",IF(LEFT(F894,8)="Bijdrage",VLOOKUP($F894,Tb_KostenTypen[],MATCH(Lijsten!$P$1,Tb_KostenTypen[#Headers],0),0),VLOOKUP($G894,Lijsten!L:P,MATCH(Lijsten!$P$1,Kop_Tarief_Vast,0),0))),""),"")</f>
        <v/>
      </c>
      <c r="P894" s="320" t="str" cm="1">
        <f t="array" ref="P894">_xlfn.IFNA(IF(INDEX(Tb_KostenOptiesDB[],MATCH($F894,Tb_KostenOptiesDB[KostenOptie],0),IFERROR(MATCH(Methode_Keuze,Tb_KostenOptiesDB[#Headers],0),2))=1,_xlfn.SWITCH($N894,"Uurtarief",IF(OR(AND(RIGHT($F894,3)="IKS",VLOOKUP($M894,DB_Loonkosten,2,0)="Ja"),AND(RIGHT($F894,3)&lt;&gt;"IKS",VLOOKUP($M894,DB_Loonkosten,2,0)="Nee")),IFERROR(VLOOKUP($M894,DB_Loonkosten,25,0),""),0),"Vast tarief",IF(LEFT(F894,8)="Bijdrage",VLOOKUP($F894,Tb_KostenTypen[],MATCH(Lijsten!$P$1,Tb_KostenTypen[#Headers],0),0),VLOOKUP($G894,Lijsten!L:P,MATCH(Lijsten!$P$1,Kop_Tarief_Vast,0),0))),""),"")</f>
        <v/>
      </c>
      <c r="Q894" s="359"/>
      <c r="R894" s="359"/>
      <c r="S894" s="321"/>
      <c r="T894" s="321"/>
      <c r="U894" s="373" t="str">
        <f t="shared" si="52"/>
        <v/>
      </c>
      <c r="V894" s="314" t="str">
        <f t="shared" si="53"/>
        <v/>
      </c>
      <c r="W894" s="314" t="str" cm="1">
        <f t="array" aca="1" ref="W894" ca="1">IFERROR(IF(AE894&lt;&gt;"ja",_xlfn.IFNA(_xlfn.IFS(AND(O894&lt;&gt;"",F894&lt;&gt;"",RIGHT($N894,6)="tarief",F894="Vergoeding"),SUM(O894)*FLOOR(SUM(Q894),0.0001),AND(O894&lt;&gt;"",F894&lt;&gt;"",RIGHT($N894,6)="tarief"),SUM(O894)*FLOOR(SUM(Q894),0.01),S894&gt;0,IF(F894&lt;&gt;"",FLOOR(SUM(S894),0.01),"")),""),""),"")</f>
        <v/>
      </c>
      <c r="X894" s="314" t="str" cm="1">
        <f t="array" aca="1" ref="X894" ca="1">IFERROR(IF(AE894&lt;&gt;"ja",_xlfn.IFNA(_xlfn.IFS(AND(P894&lt;&gt;"",R894&lt;&gt;"",RIGHT($N894,6)="tarief",F894="Vergoeding"),SUM(P894)*FLOOR(SUM(R894),0.0001),AND(P894&lt;&gt;"",R894&lt;&gt;"",RIGHT($N894,6)="tarief"),P894*FLOOR(R894,0.01),T894&gt;0,FLOOR(SUM(T894),0.01)),""),""),"")</f>
        <v/>
      </c>
      <c r="Y894" s="314" t="str">
        <f t="shared" ca="1" si="54"/>
        <v/>
      </c>
      <c r="Z894" s="314" t="str" cm="1">
        <f t="array" aca="1" ref="Z894" ca="1">IFERROR(_xlfn.IFS(OR(F894="",LEFT(Methode_Keuze,4)="Geen",Methode_Keuze=""),"",AND(W894&lt;&gt;"",F894&lt;&gt;"Arbeidskosten"),W894*VLOOKUP(F894,Tb_ProjectKosten[],MATCH(Tb_ProjectKosten[[#Headers],[Forfait_Percentage]],Tb_ProjectKosten[#Headers],0),0),AND(F894="Arbeidskosten",G894&lt;&gt;""),IFERROR(W894*VLOOKUP(G894,Tb_KostenTypen[],3,0)*VLOOKUP(F894,Tb_ProjectKosten[],MATCH(Tb_ProjectKosten[[#Headers],[Forfait_Percentage]],Tb_ProjectKosten[#Headers],0),0),""),W894 &lt;=0,0),"")</f>
        <v/>
      </c>
      <c r="AA894" s="314" t="str" cm="1">
        <f t="array" aca="1" ref="AA894" ca="1">IFERROR(_xlfn.IFS(OR(F894="",LEFT(Methode_Keuze,4)="Geen",Methode_Keuze=""),"",AND(X894&lt;&gt;"",F894&lt;&gt;"Arbeidskosten"),X894*VLOOKUP(F894,Tb_ProjectKosten[],MATCH(Tb_ProjectKosten[[#Headers],[Forfait_Percentage]],Tb_ProjectKosten[#Headers],0),0),AND(F894="Arbeidskosten",G894&lt;&gt;""),IFERROR(X894*VLOOKUP(G894,Tb_KostenTypen[],3,0)*VLOOKUP(F894,Tb_ProjectKosten[],MATCH(Tb_ProjectKosten[[#Headers],[Forfait_Percentage]],Tb_ProjectKosten[#Headers],0),0),""),X894 &lt;=0,0),"")</f>
        <v/>
      </c>
      <c r="AB894" s="314" t="str">
        <f t="shared" ca="1" si="55"/>
        <v/>
      </c>
      <c r="AC894" s="322"/>
      <c r="AD894" s="315"/>
      <c r="AE894" s="32" t="str" cm="1">
        <f t="array" ref="AE894">IFERROR(IF(INDEX(SubsidieTabel!$AD$1:$AG$12,MATCH($F894,SubsidieTabel!$AD$1:$AD$12,0),IFERROR(MATCH(Methode_Keuze,SubsidieTabel!$AD$1:$AG$1,0),2))&lt;&gt;1=TRUE,"ja",""),"")</f>
        <v/>
      </c>
    </row>
    <row r="895" spans="1:31" x14ac:dyDescent="0.25">
      <c r="A895" s="316"/>
      <c r="B895" s="317" t="str">
        <f>IF(A895&lt;&gt;"",_xlfn.MAXIFS($B$1:B894,$A$1:A894,A895)+1,"")</f>
        <v/>
      </c>
      <c r="C895" s="296"/>
      <c r="D895" s="296"/>
      <c r="E895" s="296"/>
      <c r="F895" s="296"/>
      <c r="G895" s="326"/>
      <c r="H895" s="324"/>
      <c r="I895" s="325"/>
      <c r="J895" s="325"/>
      <c r="K895" s="318"/>
      <c r="L895" s="318"/>
      <c r="M895" s="319" t="str">
        <f>IFERROR(VLOOKUP(H895,Lijsten!$H$1:$I$100,2,0),"")</f>
        <v/>
      </c>
      <c r="N895" s="319" t="str">
        <f ca="1">IFERROR(IF(VLOOKUP(F895,Kostentypen!$A$3:$E$21,3,0)=0,"",IF(OR(F895="Arbeidskosten",F895="Vergoeding"),VLOOKUP(G895,Tb_KostenTypen[],2,0),VLOOKUP(F895,Kostentypen!$A$3:$E$20,3,0))),"")</f>
        <v/>
      </c>
      <c r="O895" s="320" t="str" cm="1">
        <f t="array" ref="O895">_xlfn.IFNA(IF(INDEX(Tb_KostenOptiesDB[],MATCH($F895,Tb_KostenOptiesDB[KostenOptie],0),IFERROR(MATCH(Methode_Keuze,Tb_KostenOptiesDB[#Headers],0),2))=1,_xlfn.SWITCH($N895,"Uurtarief",IF(OR(AND(RIGHT($F895,3)="IKS",VLOOKUP($M895,DB_Loonkosten,2,0)="Ja"),AND(RIGHT($F895,3)&lt;&gt;"IKS",VLOOKUP($M895,DB_Loonkosten,2,0)="Nee")),IFERROR(VLOOKUP($M895,DB_Loonkosten,24,0),""),0),"Vast tarief",IF(LEFT(F895,8)="Bijdrage",VLOOKUP($F895,Tb_KostenTypen[],MATCH(Lijsten!$P$1,Tb_KostenTypen[#Headers],0),0),VLOOKUP($G895,Lijsten!L:P,MATCH(Lijsten!$P$1,Kop_Tarief_Vast,0),0))),""),"")</f>
        <v/>
      </c>
      <c r="P895" s="320" t="str" cm="1">
        <f t="array" ref="P895">_xlfn.IFNA(IF(INDEX(Tb_KostenOptiesDB[],MATCH($F895,Tb_KostenOptiesDB[KostenOptie],0),IFERROR(MATCH(Methode_Keuze,Tb_KostenOptiesDB[#Headers],0),2))=1,_xlfn.SWITCH($N895,"Uurtarief",IF(OR(AND(RIGHT($F895,3)="IKS",VLOOKUP($M895,DB_Loonkosten,2,0)="Ja"),AND(RIGHT($F895,3)&lt;&gt;"IKS",VLOOKUP($M895,DB_Loonkosten,2,0)="Nee")),IFERROR(VLOOKUP($M895,DB_Loonkosten,25,0),""),0),"Vast tarief",IF(LEFT(F895,8)="Bijdrage",VLOOKUP($F895,Tb_KostenTypen[],MATCH(Lijsten!$P$1,Tb_KostenTypen[#Headers],0),0),VLOOKUP($G895,Lijsten!L:P,MATCH(Lijsten!$P$1,Kop_Tarief_Vast,0),0))),""),"")</f>
        <v/>
      </c>
      <c r="Q895" s="359"/>
      <c r="R895" s="359"/>
      <c r="S895" s="321"/>
      <c r="T895" s="321"/>
      <c r="U895" s="373" t="str">
        <f t="shared" si="52"/>
        <v/>
      </c>
      <c r="V895" s="314" t="str">
        <f t="shared" si="53"/>
        <v/>
      </c>
      <c r="W895" s="314" t="str" cm="1">
        <f t="array" aca="1" ref="W895" ca="1">IFERROR(IF(AE895&lt;&gt;"ja",_xlfn.IFNA(_xlfn.IFS(AND(O895&lt;&gt;"",F895&lt;&gt;"",RIGHT($N895,6)="tarief",F895="Vergoeding"),SUM(O895)*FLOOR(SUM(Q895),0.0001),AND(O895&lt;&gt;"",F895&lt;&gt;"",RIGHT($N895,6)="tarief"),SUM(O895)*FLOOR(SUM(Q895),0.01),S895&gt;0,IF(F895&lt;&gt;"",FLOOR(SUM(S895),0.01),"")),""),""),"")</f>
        <v/>
      </c>
      <c r="X895" s="314" t="str" cm="1">
        <f t="array" aca="1" ref="X895" ca="1">IFERROR(IF(AE895&lt;&gt;"ja",_xlfn.IFNA(_xlfn.IFS(AND(P895&lt;&gt;"",R895&lt;&gt;"",RIGHT($N895,6)="tarief",F895="Vergoeding"),SUM(P895)*FLOOR(SUM(R895),0.0001),AND(P895&lt;&gt;"",R895&lt;&gt;"",RIGHT($N895,6)="tarief"),P895*FLOOR(R895,0.01),T895&gt;0,FLOOR(SUM(T895),0.01)),""),""),"")</f>
        <v/>
      </c>
      <c r="Y895" s="314" t="str">
        <f t="shared" ca="1" si="54"/>
        <v/>
      </c>
      <c r="Z895" s="314" t="str" cm="1">
        <f t="array" aca="1" ref="Z895" ca="1">IFERROR(_xlfn.IFS(OR(F895="",LEFT(Methode_Keuze,4)="Geen",Methode_Keuze=""),"",AND(W895&lt;&gt;"",F895&lt;&gt;"Arbeidskosten"),W895*VLOOKUP(F895,Tb_ProjectKosten[],MATCH(Tb_ProjectKosten[[#Headers],[Forfait_Percentage]],Tb_ProjectKosten[#Headers],0),0),AND(F895="Arbeidskosten",G895&lt;&gt;""),IFERROR(W895*VLOOKUP(G895,Tb_KostenTypen[],3,0)*VLOOKUP(F895,Tb_ProjectKosten[],MATCH(Tb_ProjectKosten[[#Headers],[Forfait_Percentage]],Tb_ProjectKosten[#Headers],0),0),""),W895 &lt;=0,0),"")</f>
        <v/>
      </c>
      <c r="AA895" s="314" t="str" cm="1">
        <f t="array" aca="1" ref="AA895" ca="1">IFERROR(_xlfn.IFS(OR(F895="",LEFT(Methode_Keuze,4)="Geen",Methode_Keuze=""),"",AND(X895&lt;&gt;"",F895&lt;&gt;"Arbeidskosten"),X895*VLOOKUP(F895,Tb_ProjectKosten[],MATCH(Tb_ProjectKosten[[#Headers],[Forfait_Percentage]],Tb_ProjectKosten[#Headers],0),0),AND(F895="Arbeidskosten",G895&lt;&gt;""),IFERROR(X895*VLOOKUP(G895,Tb_KostenTypen[],3,0)*VLOOKUP(F895,Tb_ProjectKosten[],MATCH(Tb_ProjectKosten[[#Headers],[Forfait_Percentage]],Tb_ProjectKosten[#Headers],0),0),""),X895 &lt;=0,0),"")</f>
        <v/>
      </c>
      <c r="AB895" s="314" t="str">
        <f t="shared" ca="1" si="55"/>
        <v/>
      </c>
      <c r="AC895" s="322"/>
      <c r="AD895" s="315"/>
      <c r="AE895" s="32" t="str" cm="1">
        <f t="array" ref="AE895">IFERROR(IF(INDEX(SubsidieTabel!$AD$1:$AG$12,MATCH($F895,SubsidieTabel!$AD$1:$AD$12,0),IFERROR(MATCH(Methode_Keuze,SubsidieTabel!$AD$1:$AG$1,0),2))&lt;&gt;1=TRUE,"ja",""),"")</f>
        <v/>
      </c>
    </row>
    <row r="896" spans="1:31" x14ac:dyDescent="0.25">
      <c r="A896" s="316"/>
      <c r="B896" s="317" t="str">
        <f>IF(A896&lt;&gt;"",_xlfn.MAXIFS($B$1:B895,$A$1:A895,A896)+1,"")</f>
        <v/>
      </c>
      <c r="C896" s="296"/>
      <c r="D896" s="296"/>
      <c r="E896" s="296"/>
      <c r="F896" s="296"/>
      <c r="G896" s="326"/>
      <c r="H896" s="324"/>
      <c r="I896" s="325"/>
      <c r="J896" s="325"/>
      <c r="K896" s="318"/>
      <c r="L896" s="318"/>
      <c r="M896" s="319" t="str">
        <f>IFERROR(VLOOKUP(H896,Lijsten!$H$1:$I$100,2,0),"")</f>
        <v/>
      </c>
      <c r="N896" s="319" t="str">
        <f ca="1">IFERROR(IF(VLOOKUP(F896,Kostentypen!$A$3:$E$21,3,0)=0,"",IF(OR(F896="Arbeidskosten",F896="Vergoeding"),VLOOKUP(G896,Tb_KostenTypen[],2,0),VLOOKUP(F896,Kostentypen!$A$3:$E$20,3,0))),"")</f>
        <v/>
      </c>
      <c r="O896" s="320" t="str" cm="1">
        <f t="array" ref="O896">_xlfn.IFNA(IF(INDEX(Tb_KostenOptiesDB[],MATCH($F896,Tb_KostenOptiesDB[KostenOptie],0),IFERROR(MATCH(Methode_Keuze,Tb_KostenOptiesDB[#Headers],0),2))=1,_xlfn.SWITCH($N896,"Uurtarief",IF(OR(AND(RIGHT($F896,3)="IKS",VLOOKUP($M896,DB_Loonkosten,2,0)="Ja"),AND(RIGHT($F896,3)&lt;&gt;"IKS",VLOOKUP($M896,DB_Loonkosten,2,0)="Nee")),IFERROR(VLOOKUP($M896,DB_Loonkosten,24,0),""),0),"Vast tarief",IF(LEFT(F896,8)="Bijdrage",VLOOKUP($F896,Tb_KostenTypen[],MATCH(Lijsten!$P$1,Tb_KostenTypen[#Headers],0),0),VLOOKUP($G896,Lijsten!L:P,MATCH(Lijsten!$P$1,Kop_Tarief_Vast,0),0))),""),"")</f>
        <v/>
      </c>
      <c r="P896" s="320" t="str" cm="1">
        <f t="array" ref="P896">_xlfn.IFNA(IF(INDEX(Tb_KostenOptiesDB[],MATCH($F896,Tb_KostenOptiesDB[KostenOptie],0),IFERROR(MATCH(Methode_Keuze,Tb_KostenOptiesDB[#Headers],0),2))=1,_xlfn.SWITCH($N896,"Uurtarief",IF(OR(AND(RIGHT($F896,3)="IKS",VLOOKUP($M896,DB_Loonkosten,2,0)="Ja"),AND(RIGHT($F896,3)&lt;&gt;"IKS",VLOOKUP($M896,DB_Loonkosten,2,0)="Nee")),IFERROR(VLOOKUP($M896,DB_Loonkosten,25,0),""),0),"Vast tarief",IF(LEFT(F896,8)="Bijdrage",VLOOKUP($F896,Tb_KostenTypen[],MATCH(Lijsten!$P$1,Tb_KostenTypen[#Headers],0),0),VLOOKUP($G896,Lijsten!L:P,MATCH(Lijsten!$P$1,Kop_Tarief_Vast,0),0))),""),"")</f>
        <v/>
      </c>
      <c r="Q896" s="359"/>
      <c r="R896" s="359"/>
      <c r="S896" s="321"/>
      <c r="T896" s="321"/>
      <c r="U896" s="373" t="str">
        <f t="shared" si="52"/>
        <v/>
      </c>
      <c r="V896" s="314" t="str">
        <f t="shared" si="53"/>
        <v/>
      </c>
      <c r="W896" s="314" t="str" cm="1">
        <f t="array" aca="1" ref="W896" ca="1">IFERROR(IF(AE896&lt;&gt;"ja",_xlfn.IFNA(_xlfn.IFS(AND(O896&lt;&gt;"",F896&lt;&gt;"",RIGHT($N896,6)="tarief",F896="Vergoeding"),SUM(O896)*FLOOR(SUM(Q896),0.0001),AND(O896&lt;&gt;"",F896&lt;&gt;"",RIGHT($N896,6)="tarief"),SUM(O896)*FLOOR(SUM(Q896),0.01),S896&gt;0,IF(F896&lt;&gt;"",FLOOR(SUM(S896),0.01),"")),""),""),"")</f>
        <v/>
      </c>
      <c r="X896" s="314" t="str" cm="1">
        <f t="array" aca="1" ref="X896" ca="1">IFERROR(IF(AE896&lt;&gt;"ja",_xlfn.IFNA(_xlfn.IFS(AND(P896&lt;&gt;"",R896&lt;&gt;"",RIGHT($N896,6)="tarief",F896="Vergoeding"),SUM(P896)*FLOOR(SUM(R896),0.0001),AND(P896&lt;&gt;"",R896&lt;&gt;"",RIGHT($N896,6)="tarief"),P896*FLOOR(R896,0.01),T896&gt;0,FLOOR(SUM(T896),0.01)),""),""),"")</f>
        <v/>
      </c>
      <c r="Y896" s="314" t="str">
        <f t="shared" ca="1" si="54"/>
        <v/>
      </c>
      <c r="Z896" s="314" t="str" cm="1">
        <f t="array" aca="1" ref="Z896" ca="1">IFERROR(_xlfn.IFS(OR(F896="",LEFT(Methode_Keuze,4)="Geen",Methode_Keuze=""),"",AND(W896&lt;&gt;"",F896&lt;&gt;"Arbeidskosten"),W896*VLOOKUP(F896,Tb_ProjectKosten[],MATCH(Tb_ProjectKosten[[#Headers],[Forfait_Percentage]],Tb_ProjectKosten[#Headers],0),0),AND(F896="Arbeidskosten",G896&lt;&gt;""),IFERROR(W896*VLOOKUP(G896,Tb_KostenTypen[],3,0)*VLOOKUP(F896,Tb_ProjectKosten[],MATCH(Tb_ProjectKosten[[#Headers],[Forfait_Percentage]],Tb_ProjectKosten[#Headers],0),0),""),W896 &lt;=0,0),"")</f>
        <v/>
      </c>
      <c r="AA896" s="314" t="str" cm="1">
        <f t="array" aca="1" ref="AA896" ca="1">IFERROR(_xlfn.IFS(OR(F896="",LEFT(Methode_Keuze,4)="Geen",Methode_Keuze=""),"",AND(X896&lt;&gt;"",F896&lt;&gt;"Arbeidskosten"),X896*VLOOKUP(F896,Tb_ProjectKosten[],MATCH(Tb_ProjectKosten[[#Headers],[Forfait_Percentage]],Tb_ProjectKosten[#Headers],0),0),AND(F896="Arbeidskosten",G896&lt;&gt;""),IFERROR(X896*VLOOKUP(G896,Tb_KostenTypen[],3,0)*VLOOKUP(F896,Tb_ProjectKosten[],MATCH(Tb_ProjectKosten[[#Headers],[Forfait_Percentage]],Tb_ProjectKosten[#Headers],0),0),""),X896 &lt;=0,0),"")</f>
        <v/>
      </c>
      <c r="AB896" s="314" t="str">
        <f t="shared" ca="1" si="55"/>
        <v/>
      </c>
      <c r="AC896" s="322"/>
      <c r="AD896" s="315"/>
      <c r="AE896" s="32" t="str" cm="1">
        <f t="array" ref="AE896">IFERROR(IF(INDEX(SubsidieTabel!$AD$1:$AG$12,MATCH($F896,SubsidieTabel!$AD$1:$AD$12,0),IFERROR(MATCH(Methode_Keuze,SubsidieTabel!$AD$1:$AG$1,0),2))&lt;&gt;1=TRUE,"ja",""),"")</f>
        <v/>
      </c>
    </row>
    <row r="897" spans="1:31" x14ac:dyDescent="0.25">
      <c r="A897" s="316"/>
      <c r="B897" s="317" t="str">
        <f>IF(A897&lt;&gt;"",_xlfn.MAXIFS($B$1:B896,$A$1:A896,A897)+1,"")</f>
        <v/>
      </c>
      <c r="C897" s="296"/>
      <c r="D897" s="296"/>
      <c r="E897" s="296"/>
      <c r="F897" s="296"/>
      <c r="G897" s="326"/>
      <c r="H897" s="324"/>
      <c r="I897" s="325"/>
      <c r="J897" s="325"/>
      <c r="K897" s="318"/>
      <c r="L897" s="318"/>
      <c r="M897" s="319" t="str">
        <f>IFERROR(VLOOKUP(H897,Lijsten!$H$1:$I$100,2,0),"")</f>
        <v/>
      </c>
      <c r="N897" s="319" t="str">
        <f ca="1">IFERROR(IF(VLOOKUP(F897,Kostentypen!$A$3:$E$21,3,0)=0,"",IF(OR(F897="Arbeidskosten",F897="Vergoeding"),VLOOKUP(G897,Tb_KostenTypen[],2,0),VLOOKUP(F897,Kostentypen!$A$3:$E$20,3,0))),"")</f>
        <v/>
      </c>
      <c r="O897" s="320" t="str" cm="1">
        <f t="array" ref="O897">_xlfn.IFNA(IF(INDEX(Tb_KostenOptiesDB[],MATCH($F897,Tb_KostenOptiesDB[KostenOptie],0),IFERROR(MATCH(Methode_Keuze,Tb_KostenOptiesDB[#Headers],0),2))=1,_xlfn.SWITCH($N897,"Uurtarief",IF(OR(AND(RIGHT($F897,3)="IKS",VLOOKUP($M897,DB_Loonkosten,2,0)="Ja"),AND(RIGHT($F897,3)&lt;&gt;"IKS",VLOOKUP($M897,DB_Loonkosten,2,0)="Nee")),IFERROR(VLOOKUP($M897,DB_Loonkosten,24,0),""),0),"Vast tarief",IF(LEFT(F897,8)="Bijdrage",VLOOKUP($F897,Tb_KostenTypen[],MATCH(Lijsten!$P$1,Tb_KostenTypen[#Headers],0),0),VLOOKUP($G897,Lijsten!L:P,MATCH(Lijsten!$P$1,Kop_Tarief_Vast,0),0))),""),"")</f>
        <v/>
      </c>
      <c r="P897" s="320" t="str" cm="1">
        <f t="array" ref="P897">_xlfn.IFNA(IF(INDEX(Tb_KostenOptiesDB[],MATCH($F897,Tb_KostenOptiesDB[KostenOptie],0),IFERROR(MATCH(Methode_Keuze,Tb_KostenOptiesDB[#Headers],0),2))=1,_xlfn.SWITCH($N897,"Uurtarief",IF(OR(AND(RIGHT($F897,3)="IKS",VLOOKUP($M897,DB_Loonkosten,2,0)="Ja"),AND(RIGHT($F897,3)&lt;&gt;"IKS",VLOOKUP($M897,DB_Loonkosten,2,0)="Nee")),IFERROR(VLOOKUP($M897,DB_Loonkosten,25,0),""),0),"Vast tarief",IF(LEFT(F897,8)="Bijdrage",VLOOKUP($F897,Tb_KostenTypen[],MATCH(Lijsten!$P$1,Tb_KostenTypen[#Headers],0),0),VLOOKUP($G897,Lijsten!L:P,MATCH(Lijsten!$P$1,Kop_Tarief_Vast,0),0))),""),"")</f>
        <v/>
      </c>
      <c r="Q897" s="359"/>
      <c r="R897" s="359"/>
      <c r="S897" s="321"/>
      <c r="T897" s="321"/>
      <c r="U897" s="373" t="str">
        <f t="shared" si="52"/>
        <v/>
      </c>
      <c r="V897" s="314" t="str">
        <f t="shared" si="53"/>
        <v/>
      </c>
      <c r="W897" s="314" t="str" cm="1">
        <f t="array" aca="1" ref="W897" ca="1">IFERROR(IF(AE897&lt;&gt;"ja",_xlfn.IFNA(_xlfn.IFS(AND(O897&lt;&gt;"",F897&lt;&gt;"",RIGHT($N897,6)="tarief",F897="Vergoeding"),SUM(O897)*FLOOR(SUM(Q897),0.0001),AND(O897&lt;&gt;"",F897&lt;&gt;"",RIGHT($N897,6)="tarief"),SUM(O897)*FLOOR(SUM(Q897),0.01),S897&gt;0,IF(F897&lt;&gt;"",FLOOR(SUM(S897),0.01),"")),""),""),"")</f>
        <v/>
      </c>
      <c r="X897" s="314" t="str" cm="1">
        <f t="array" aca="1" ref="X897" ca="1">IFERROR(IF(AE897&lt;&gt;"ja",_xlfn.IFNA(_xlfn.IFS(AND(P897&lt;&gt;"",R897&lt;&gt;"",RIGHT($N897,6)="tarief",F897="Vergoeding"),SUM(P897)*FLOOR(SUM(R897),0.0001),AND(P897&lt;&gt;"",R897&lt;&gt;"",RIGHT($N897,6)="tarief"),P897*FLOOR(R897,0.01),T897&gt;0,FLOOR(SUM(T897),0.01)),""),""),"")</f>
        <v/>
      </c>
      <c r="Y897" s="314" t="str">
        <f t="shared" ca="1" si="54"/>
        <v/>
      </c>
      <c r="Z897" s="314" t="str" cm="1">
        <f t="array" aca="1" ref="Z897" ca="1">IFERROR(_xlfn.IFS(OR(F897="",LEFT(Methode_Keuze,4)="Geen",Methode_Keuze=""),"",AND(W897&lt;&gt;"",F897&lt;&gt;"Arbeidskosten"),W897*VLOOKUP(F897,Tb_ProjectKosten[],MATCH(Tb_ProjectKosten[[#Headers],[Forfait_Percentage]],Tb_ProjectKosten[#Headers],0),0),AND(F897="Arbeidskosten",G897&lt;&gt;""),IFERROR(W897*VLOOKUP(G897,Tb_KostenTypen[],3,0)*VLOOKUP(F897,Tb_ProjectKosten[],MATCH(Tb_ProjectKosten[[#Headers],[Forfait_Percentage]],Tb_ProjectKosten[#Headers],0),0),""),W897 &lt;=0,0),"")</f>
        <v/>
      </c>
      <c r="AA897" s="314" t="str" cm="1">
        <f t="array" aca="1" ref="AA897" ca="1">IFERROR(_xlfn.IFS(OR(F897="",LEFT(Methode_Keuze,4)="Geen",Methode_Keuze=""),"",AND(X897&lt;&gt;"",F897&lt;&gt;"Arbeidskosten"),X897*VLOOKUP(F897,Tb_ProjectKosten[],MATCH(Tb_ProjectKosten[[#Headers],[Forfait_Percentage]],Tb_ProjectKosten[#Headers],0),0),AND(F897="Arbeidskosten",G897&lt;&gt;""),IFERROR(X897*VLOOKUP(G897,Tb_KostenTypen[],3,0)*VLOOKUP(F897,Tb_ProjectKosten[],MATCH(Tb_ProjectKosten[[#Headers],[Forfait_Percentage]],Tb_ProjectKosten[#Headers],0),0),""),X897 &lt;=0,0),"")</f>
        <v/>
      </c>
      <c r="AB897" s="314" t="str">
        <f t="shared" ca="1" si="55"/>
        <v/>
      </c>
      <c r="AC897" s="322"/>
      <c r="AD897" s="315"/>
      <c r="AE897" s="32" t="str" cm="1">
        <f t="array" ref="AE897">IFERROR(IF(INDEX(SubsidieTabel!$AD$1:$AG$12,MATCH($F897,SubsidieTabel!$AD$1:$AD$12,0),IFERROR(MATCH(Methode_Keuze,SubsidieTabel!$AD$1:$AG$1,0),2))&lt;&gt;1=TRUE,"ja",""),"")</f>
        <v/>
      </c>
    </row>
    <row r="898" spans="1:31" x14ac:dyDescent="0.25">
      <c r="A898" s="316"/>
      <c r="B898" s="317" t="str">
        <f>IF(A898&lt;&gt;"",_xlfn.MAXIFS($B$1:B897,$A$1:A897,A898)+1,"")</f>
        <v/>
      </c>
      <c r="C898" s="296"/>
      <c r="D898" s="296"/>
      <c r="E898" s="296"/>
      <c r="F898" s="296"/>
      <c r="G898" s="326"/>
      <c r="H898" s="324"/>
      <c r="I898" s="325"/>
      <c r="J898" s="325"/>
      <c r="K898" s="318"/>
      <c r="L898" s="318"/>
      <c r="M898" s="319" t="str">
        <f>IFERROR(VLOOKUP(H898,Lijsten!$H$1:$I$100,2,0),"")</f>
        <v/>
      </c>
      <c r="N898" s="319" t="str">
        <f ca="1">IFERROR(IF(VLOOKUP(F898,Kostentypen!$A$3:$E$21,3,0)=0,"",IF(OR(F898="Arbeidskosten",F898="Vergoeding"),VLOOKUP(G898,Tb_KostenTypen[],2,0),VLOOKUP(F898,Kostentypen!$A$3:$E$20,3,0))),"")</f>
        <v/>
      </c>
      <c r="O898" s="320" t="str" cm="1">
        <f t="array" ref="O898">_xlfn.IFNA(IF(INDEX(Tb_KostenOptiesDB[],MATCH($F898,Tb_KostenOptiesDB[KostenOptie],0),IFERROR(MATCH(Methode_Keuze,Tb_KostenOptiesDB[#Headers],0),2))=1,_xlfn.SWITCH($N898,"Uurtarief",IF(OR(AND(RIGHT($F898,3)="IKS",VLOOKUP($M898,DB_Loonkosten,2,0)="Ja"),AND(RIGHT($F898,3)&lt;&gt;"IKS",VLOOKUP($M898,DB_Loonkosten,2,0)="Nee")),IFERROR(VLOOKUP($M898,DB_Loonkosten,24,0),""),0),"Vast tarief",IF(LEFT(F898,8)="Bijdrage",VLOOKUP($F898,Tb_KostenTypen[],MATCH(Lijsten!$P$1,Tb_KostenTypen[#Headers],0),0),VLOOKUP($G898,Lijsten!L:P,MATCH(Lijsten!$P$1,Kop_Tarief_Vast,0),0))),""),"")</f>
        <v/>
      </c>
      <c r="P898" s="320" t="str" cm="1">
        <f t="array" ref="P898">_xlfn.IFNA(IF(INDEX(Tb_KostenOptiesDB[],MATCH($F898,Tb_KostenOptiesDB[KostenOptie],0),IFERROR(MATCH(Methode_Keuze,Tb_KostenOptiesDB[#Headers],0),2))=1,_xlfn.SWITCH($N898,"Uurtarief",IF(OR(AND(RIGHT($F898,3)="IKS",VLOOKUP($M898,DB_Loonkosten,2,0)="Ja"),AND(RIGHT($F898,3)&lt;&gt;"IKS",VLOOKUP($M898,DB_Loonkosten,2,0)="Nee")),IFERROR(VLOOKUP($M898,DB_Loonkosten,25,0),""),0),"Vast tarief",IF(LEFT(F898,8)="Bijdrage",VLOOKUP($F898,Tb_KostenTypen[],MATCH(Lijsten!$P$1,Tb_KostenTypen[#Headers],0),0),VLOOKUP($G898,Lijsten!L:P,MATCH(Lijsten!$P$1,Kop_Tarief_Vast,0),0))),""),"")</f>
        <v/>
      </c>
      <c r="Q898" s="359"/>
      <c r="R898" s="359"/>
      <c r="S898" s="321"/>
      <c r="T898" s="321"/>
      <c r="U898" s="373" t="str">
        <f t="shared" si="52"/>
        <v/>
      </c>
      <c r="V898" s="314" t="str">
        <f t="shared" si="53"/>
        <v/>
      </c>
      <c r="W898" s="314" t="str" cm="1">
        <f t="array" aca="1" ref="W898" ca="1">IFERROR(IF(AE898&lt;&gt;"ja",_xlfn.IFNA(_xlfn.IFS(AND(O898&lt;&gt;"",F898&lt;&gt;"",RIGHT($N898,6)="tarief",F898="Vergoeding"),SUM(O898)*FLOOR(SUM(Q898),0.0001),AND(O898&lt;&gt;"",F898&lt;&gt;"",RIGHT($N898,6)="tarief"),SUM(O898)*FLOOR(SUM(Q898),0.01),S898&gt;0,IF(F898&lt;&gt;"",FLOOR(SUM(S898),0.01),"")),""),""),"")</f>
        <v/>
      </c>
      <c r="X898" s="314" t="str" cm="1">
        <f t="array" aca="1" ref="X898" ca="1">IFERROR(IF(AE898&lt;&gt;"ja",_xlfn.IFNA(_xlfn.IFS(AND(P898&lt;&gt;"",R898&lt;&gt;"",RIGHT($N898,6)="tarief",F898="Vergoeding"),SUM(P898)*FLOOR(SUM(R898),0.0001),AND(P898&lt;&gt;"",R898&lt;&gt;"",RIGHT($N898,6)="tarief"),P898*FLOOR(R898,0.01),T898&gt;0,FLOOR(SUM(T898),0.01)),""),""),"")</f>
        <v/>
      </c>
      <c r="Y898" s="314" t="str">
        <f t="shared" ca="1" si="54"/>
        <v/>
      </c>
      <c r="Z898" s="314" t="str" cm="1">
        <f t="array" aca="1" ref="Z898" ca="1">IFERROR(_xlfn.IFS(OR(F898="",LEFT(Methode_Keuze,4)="Geen",Methode_Keuze=""),"",AND(W898&lt;&gt;"",F898&lt;&gt;"Arbeidskosten"),W898*VLOOKUP(F898,Tb_ProjectKosten[],MATCH(Tb_ProjectKosten[[#Headers],[Forfait_Percentage]],Tb_ProjectKosten[#Headers],0),0),AND(F898="Arbeidskosten",G898&lt;&gt;""),IFERROR(W898*VLOOKUP(G898,Tb_KostenTypen[],3,0)*VLOOKUP(F898,Tb_ProjectKosten[],MATCH(Tb_ProjectKosten[[#Headers],[Forfait_Percentage]],Tb_ProjectKosten[#Headers],0),0),""),W898 &lt;=0,0),"")</f>
        <v/>
      </c>
      <c r="AA898" s="314" t="str" cm="1">
        <f t="array" aca="1" ref="AA898" ca="1">IFERROR(_xlfn.IFS(OR(F898="",LEFT(Methode_Keuze,4)="Geen",Methode_Keuze=""),"",AND(X898&lt;&gt;"",F898&lt;&gt;"Arbeidskosten"),X898*VLOOKUP(F898,Tb_ProjectKosten[],MATCH(Tb_ProjectKosten[[#Headers],[Forfait_Percentage]],Tb_ProjectKosten[#Headers],0),0),AND(F898="Arbeidskosten",G898&lt;&gt;""),IFERROR(X898*VLOOKUP(G898,Tb_KostenTypen[],3,0)*VLOOKUP(F898,Tb_ProjectKosten[],MATCH(Tb_ProjectKosten[[#Headers],[Forfait_Percentage]],Tb_ProjectKosten[#Headers],0),0),""),X898 &lt;=0,0),"")</f>
        <v/>
      </c>
      <c r="AB898" s="314" t="str">
        <f t="shared" ca="1" si="55"/>
        <v/>
      </c>
      <c r="AC898" s="322"/>
      <c r="AD898" s="315"/>
      <c r="AE898" s="32" t="str" cm="1">
        <f t="array" ref="AE898">IFERROR(IF(INDEX(SubsidieTabel!$AD$1:$AG$12,MATCH($F898,SubsidieTabel!$AD$1:$AD$12,0),IFERROR(MATCH(Methode_Keuze,SubsidieTabel!$AD$1:$AG$1,0),2))&lt;&gt;1=TRUE,"ja",""),"")</f>
        <v/>
      </c>
    </row>
    <row r="899" spans="1:31" x14ac:dyDescent="0.25">
      <c r="A899" s="316"/>
      <c r="B899" s="317" t="str">
        <f>IF(A899&lt;&gt;"",_xlfn.MAXIFS($B$1:B898,$A$1:A898,A899)+1,"")</f>
        <v/>
      </c>
      <c r="C899" s="296"/>
      <c r="D899" s="296"/>
      <c r="E899" s="296"/>
      <c r="F899" s="296"/>
      <c r="G899" s="326"/>
      <c r="H899" s="324"/>
      <c r="I899" s="325"/>
      <c r="J899" s="325"/>
      <c r="K899" s="318"/>
      <c r="L899" s="318"/>
      <c r="M899" s="319" t="str">
        <f>IFERROR(VLOOKUP(H899,Lijsten!$H$1:$I$100,2,0),"")</f>
        <v/>
      </c>
      <c r="N899" s="319" t="str">
        <f ca="1">IFERROR(IF(VLOOKUP(F899,Kostentypen!$A$3:$E$21,3,0)=0,"",IF(OR(F899="Arbeidskosten",F899="Vergoeding"),VLOOKUP(G899,Tb_KostenTypen[],2,0),VLOOKUP(F899,Kostentypen!$A$3:$E$20,3,0))),"")</f>
        <v/>
      </c>
      <c r="O899" s="320" t="str" cm="1">
        <f t="array" ref="O899">_xlfn.IFNA(IF(INDEX(Tb_KostenOptiesDB[],MATCH($F899,Tb_KostenOptiesDB[KostenOptie],0),IFERROR(MATCH(Methode_Keuze,Tb_KostenOptiesDB[#Headers],0),2))=1,_xlfn.SWITCH($N899,"Uurtarief",IF(OR(AND(RIGHT($F899,3)="IKS",VLOOKUP($M899,DB_Loonkosten,2,0)="Ja"),AND(RIGHT($F899,3)&lt;&gt;"IKS",VLOOKUP($M899,DB_Loonkosten,2,0)="Nee")),IFERROR(VLOOKUP($M899,DB_Loonkosten,24,0),""),0),"Vast tarief",IF(LEFT(F899,8)="Bijdrage",VLOOKUP($F899,Tb_KostenTypen[],MATCH(Lijsten!$P$1,Tb_KostenTypen[#Headers],0),0),VLOOKUP($G899,Lijsten!L:P,MATCH(Lijsten!$P$1,Kop_Tarief_Vast,0),0))),""),"")</f>
        <v/>
      </c>
      <c r="P899" s="320" t="str" cm="1">
        <f t="array" ref="P899">_xlfn.IFNA(IF(INDEX(Tb_KostenOptiesDB[],MATCH($F899,Tb_KostenOptiesDB[KostenOptie],0),IFERROR(MATCH(Methode_Keuze,Tb_KostenOptiesDB[#Headers],0),2))=1,_xlfn.SWITCH($N899,"Uurtarief",IF(OR(AND(RIGHT($F899,3)="IKS",VLOOKUP($M899,DB_Loonkosten,2,0)="Ja"),AND(RIGHT($F899,3)&lt;&gt;"IKS",VLOOKUP($M899,DB_Loonkosten,2,0)="Nee")),IFERROR(VLOOKUP($M899,DB_Loonkosten,25,0),""),0),"Vast tarief",IF(LEFT(F899,8)="Bijdrage",VLOOKUP($F899,Tb_KostenTypen[],MATCH(Lijsten!$P$1,Tb_KostenTypen[#Headers],0),0),VLOOKUP($G899,Lijsten!L:P,MATCH(Lijsten!$P$1,Kop_Tarief_Vast,0),0))),""),"")</f>
        <v/>
      </c>
      <c r="Q899" s="359"/>
      <c r="R899" s="359"/>
      <c r="S899" s="321"/>
      <c r="T899" s="321"/>
      <c r="U899" s="373" t="str">
        <f t="shared" ref="U899:U962" si="56">IFERROR(IF(AND(R899&lt;&gt;"",R899&lt;&gt;Q899),-1*(R899-Q899),""),"")</f>
        <v/>
      </c>
      <c r="V899" s="314" t="str">
        <f t="shared" ref="V899:V962" si="57">IFERROR(IF(AND(T899&lt;&gt;"",T899&lt;&gt;S899),-1*(T899-S899),""),"")</f>
        <v/>
      </c>
      <c r="W899" s="314" t="str" cm="1">
        <f t="array" aca="1" ref="W899" ca="1">IFERROR(IF(AE899&lt;&gt;"ja",_xlfn.IFNA(_xlfn.IFS(AND(O899&lt;&gt;"",F899&lt;&gt;"",RIGHT($N899,6)="tarief",F899="Vergoeding"),SUM(O899)*FLOOR(SUM(Q899),0.0001),AND(O899&lt;&gt;"",F899&lt;&gt;"",RIGHT($N899,6)="tarief"),SUM(O899)*FLOOR(SUM(Q899),0.01),S899&gt;0,IF(F899&lt;&gt;"",FLOOR(SUM(S899),0.01),"")),""),""),"")</f>
        <v/>
      </c>
      <c r="X899" s="314" t="str" cm="1">
        <f t="array" aca="1" ref="X899" ca="1">IFERROR(IF(AE899&lt;&gt;"ja",_xlfn.IFNA(_xlfn.IFS(AND(P899&lt;&gt;"",R899&lt;&gt;"",RIGHT($N899,6)="tarief",F899="Vergoeding"),SUM(P899)*FLOOR(SUM(R899),0.0001),AND(P899&lt;&gt;"",R899&lt;&gt;"",RIGHT($N899,6)="tarief"),P899*FLOOR(R899,0.01),T899&gt;0,FLOOR(SUM(T899),0.01)),""),""),"")</f>
        <v/>
      </c>
      <c r="Y899" s="314" t="str">
        <f t="shared" ref="Y899:Y962" ca="1" si="58">IFERROR(IF(AND(X899&lt;&gt;"",X899&lt;&gt;W899),-1*(X899-W899),""),"")</f>
        <v/>
      </c>
      <c r="Z899" s="314" t="str" cm="1">
        <f t="array" aca="1" ref="Z899" ca="1">IFERROR(_xlfn.IFS(OR(F899="",LEFT(Methode_Keuze,4)="Geen",Methode_Keuze=""),"",AND(W899&lt;&gt;"",F899&lt;&gt;"Arbeidskosten"),W899*VLOOKUP(F899,Tb_ProjectKosten[],MATCH(Tb_ProjectKosten[[#Headers],[Forfait_Percentage]],Tb_ProjectKosten[#Headers],0),0),AND(F899="Arbeidskosten",G899&lt;&gt;""),IFERROR(W899*VLOOKUP(G899,Tb_KostenTypen[],3,0)*VLOOKUP(F899,Tb_ProjectKosten[],MATCH(Tb_ProjectKosten[[#Headers],[Forfait_Percentage]],Tb_ProjectKosten[#Headers],0),0),""),W899 &lt;=0,0),"")</f>
        <v/>
      </c>
      <c r="AA899" s="314" t="str" cm="1">
        <f t="array" aca="1" ref="AA899" ca="1">IFERROR(_xlfn.IFS(OR(F899="",LEFT(Methode_Keuze,4)="Geen",Methode_Keuze=""),"",AND(X899&lt;&gt;"",F899&lt;&gt;"Arbeidskosten"),X899*VLOOKUP(F899,Tb_ProjectKosten[],MATCH(Tb_ProjectKosten[[#Headers],[Forfait_Percentage]],Tb_ProjectKosten[#Headers],0),0),AND(F899="Arbeidskosten",G899&lt;&gt;""),IFERROR(X899*VLOOKUP(G899,Tb_KostenTypen[],3,0)*VLOOKUP(F899,Tb_ProjectKosten[],MATCH(Tb_ProjectKosten[[#Headers],[Forfait_Percentage]],Tb_ProjectKosten[#Headers],0),0),""),X899 &lt;=0,0),"")</f>
        <v/>
      </c>
      <c r="AB899" s="314" t="str">
        <f t="shared" ref="AB899:AB962" ca="1" si="59">IFERROR(IF(AND(AA899&lt;&gt;"",AA899&lt;&gt;Z899),-1*(AA899-Z899),""),"")</f>
        <v/>
      </c>
      <c r="AC899" s="322"/>
      <c r="AD899" s="315"/>
      <c r="AE899" s="32" t="str" cm="1">
        <f t="array" ref="AE899">IFERROR(IF(INDEX(SubsidieTabel!$AD$1:$AG$12,MATCH($F899,SubsidieTabel!$AD$1:$AD$12,0),IFERROR(MATCH(Methode_Keuze,SubsidieTabel!$AD$1:$AG$1,0),2))&lt;&gt;1=TRUE,"ja",""),"")</f>
        <v/>
      </c>
    </row>
    <row r="900" spans="1:31" x14ac:dyDescent="0.25">
      <c r="A900" s="316"/>
      <c r="B900" s="317" t="str">
        <f>IF(A900&lt;&gt;"",_xlfn.MAXIFS($B$1:B899,$A$1:A899,A900)+1,"")</f>
        <v/>
      </c>
      <c r="C900" s="296"/>
      <c r="D900" s="296"/>
      <c r="E900" s="296"/>
      <c r="F900" s="296"/>
      <c r="G900" s="326"/>
      <c r="H900" s="324"/>
      <c r="I900" s="325"/>
      <c r="J900" s="325"/>
      <c r="K900" s="318"/>
      <c r="L900" s="318"/>
      <c r="M900" s="319" t="str">
        <f>IFERROR(VLOOKUP(H900,Lijsten!$H$1:$I$100,2,0),"")</f>
        <v/>
      </c>
      <c r="N900" s="319" t="str">
        <f ca="1">IFERROR(IF(VLOOKUP(F900,Kostentypen!$A$3:$E$21,3,0)=0,"",IF(OR(F900="Arbeidskosten",F900="Vergoeding"),VLOOKUP(G900,Tb_KostenTypen[],2,0),VLOOKUP(F900,Kostentypen!$A$3:$E$20,3,0))),"")</f>
        <v/>
      </c>
      <c r="O900" s="320" t="str" cm="1">
        <f t="array" ref="O900">_xlfn.IFNA(IF(INDEX(Tb_KostenOptiesDB[],MATCH($F900,Tb_KostenOptiesDB[KostenOptie],0),IFERROR(MATCH(Methode_Keuze,Tb_KostenOptiesDB[#Headers],0),2))=1,_xlfn.SWITCH($N900,"Uurtarief",IF(OR(AND(RIGHT($F900,3)="IKS",VLOOKUP($M900,DB_Loonkosten,2,0)="Ja"),AND(RIGHT($F900,3)&lt;&gt;"IKS",VLOOKUP($M900,DB_Loonkosten,2,0)="Nee")),IFERROR(VLOOKUP($M900,DB_Loonkosten,24,0),""),0),"Vast tarief",IF(LEFT(F900,8)="Bijdrage",VLOOKUP($F900,Tb_KostenTypen[],MATCH(Lijsten!$P$1,Tb_KostenTypen[#Headers],0),0),VLOOKUP($G900,Lijsten!L:P,MATCH(Lijsten!$P$1,Kop_Tarief_Vast,0),0))),""),"")</f>
        <v/>
      </c>
      <c r="P900" s="320" t="str" cm="1">
        <f t="array" ref="P900">_xlfn.IFNA(IF(INDEX(Tb_KostenOptiesDB[],MATCH($F900,Tb_KostenOptiesDB[KostenOptie],0),IFERROR(MATCH(Methode_Keuze,Tb_KostenOptiesDB[#Headers],0),2))=1,_xlfn.SWITCH($N900,"Uurtarief",IF(OR(AND(RIGHT($F900,3)="IKS",VLOOKUP($M900,DB_Loonkosten,2,0)="Ja"),AND(RIGHT($F900,3)&lt;&gt;"IKS",VLOOKUP($M900,DB_Loonkosten,2,0)="Nee")),IFERROR(VLOOKUP($M900,DB_Loonkosten,25,0),""),0),"Vast tarief",IF(LEFT(F900,8)="Bijdrage",VLOOKUP($F900,Tb_KostenTypen[],MATCH(Lijsten!$P$1,Tb_KostenTypen[#Headers],0),0),VLOOKUP($G900,Lijsten!L:P,MATCH(Lijsten!$P$1,Kop_Tarief_Vast,0),0))),""),"")</f>
        <v/>
      </c>
      <c r="Q900" s="359"/>
      <c r="R900" s="359"/>
      <c r="S900" s="321"/>
      <c r="T900" s="321"/>
      <c r="U900" s="373" t="str">
        <f t="shared" si="56"/>
        <v/>
      </c>
      <c r="V900" s="314" t="str">
        <f t="shared" si="57"/>
        <v/>
      </c>
      <c r="W900" s="314" t="str" cm="1">
        <f t="array" aca="1" ref="W900" ca="1">IFERROR(IF(AE900&lt;&gt;"ja",_xlfn.IFNA(_xlfn.IFS(AND(O900&lt;&gt;"",F900&lt;&gt;"",RIGHT($N900,6)="tarief",F900="Vergoeding"),SUM(O900)*FLOOR(SUM(Q900),0.0001),AND(O900&lt;&gt;"",F900&lt;&gt;"",RIGHT($N900,6)="tarief"),SUM(O900)*FLOOR(SUM(Q900),0.01),S900&gt;0,IF(F900&lt;&gt;"",FLOOR(SUM(S900),0.01),"")),""),""),"")</f>
        <v/>
      </c>
      <c r="X900" s="314" t="str" cm="1">
        <f t="array" aca="1" ref="X900" ca="1">IFERROR(IF(AE900&lt;&gt;"ja",_xlfn.IFNA(_xlfn.IFS(AND(P900&lt;&gt;"",R900&lt;&gt;"",RIGHT($N900,6)="tarief",F900="Vergoeding"),SUM(P900)*FLOOR(SUM(R900),0.0001),AND(P900&lt;&gt;"",R900&lt;&gt;"",RIGHT($N900,6)="tarief"),P900*FLOOR(R900,0.01),T900&gt;0,FLOOR(SUM(T900),0.01)),""),""),"")</f>
        <v/>
      </c>
      <c r="Y900" s="314" t="str">
        <f t="shared" ca="1" si="58"/>
        <v/>
      </c>
      <c r="Z900" s="314" t="str" cm="1">
        <f t="array" aca="1" ref="Z900" ca="1">IFERROR(_xlfn.IFS(OR(F900="",LEFT(Methode_Keuze,4)="Geen",Methode_Keuze=""),"",AND(W900&lt;&gt;"",F900&lt;&gt;"Arbeidskosten"),W900*VLOOKUP(F900,Tb_ProjectKosten[],MATCH(Tb_ProjectKosten[[#Headers],[Forfait_Percentage]],Tb_ProjectKosten[#Headers],0),0),AND(F900="Arbeidskosten",G900&lt;&gt;""),IFERROR(W900*VLOOKUP(G900,Tb_KostenTypen[],3,0)*VLOOKUP(F900,Tb_ProjectKosten[],MATCH(Tb_ProjectKosten[[#Headers],[Forfait_Percentage]],Tb_ProjectKosten[#Headers],0),0),""),W900 &lt;=0,0),"")</f>
        <v/>
      </c>
      <c r="AA900" s="314" t="str" cm="1">
        <f t="array" aca="1" ref="AA900" ca="1">IFERROR(_xlfn.IFS(OR(F900="",LEFT(Methode_Keuze,4)="Geen",Methode_Keuze=""),"",AND(X900&lt;&gt;"",F900&lt;&gt;"Arbeidskosten"),X900*VLOOKUP(F900,Tb_ProjectKosten[],MATCH(Tb_ProjectKosten[[#Headers],[Forfait_Percentage]],Tb_ProjectKosten[#Headers],0),0),AND(F900="Arbeidskosten",G900&lt;&gt;""),IFERROR(X900*VLOOKUP(G900,Tb_KostenTypen[],3,0)*VLOOKUP(F900,Tb_ProjectKosten[],MATCH(Tb_ProjectKosten[[#Headers],[Forfait_Percentage]],Tb_ProjectKosten[#Headers],0),0),""),X900 &lt;=0,0),"")</f>
        <v/>
      </c>
      <c r="AB900" s="314" t="str">
        <f t="shared" ca="1" si="59"/>
        <v/>
      </c>
      <c r="AC900" s="322"/>
      <c r="AD900" s="315"/>
      <c r="AE900" s="32" t="str" cm="1">
        <f t="array" ref="AE900">IFERROR(IF(INDEX(SubsidieTabel!$AD$1:$AG$12,MATCH($F900,SubsidieTabel!$AD$1:$AD$12,0),IFERROR(MATCH(Methode_Keuze,SubsidieTabel!$AD$1:$AG$1,0),2))&lt;&gt;1=TRUE,"ja",""),"")</f>
        <v/>
      </c>
    </row>
    <row r="901" spans="1:31" x14ac:dyDescent="0.25">
      <c r="A901" s="316"/>
      <c r="B901" s="317" t="str">
        <f>IF(A901&lt;&gt;"",_xlfn.MAXIFS($B$1:B900,$A$1:A900,A901)+1,"")</f>
        <v/>
      </c>
      <c r="C901" s="296"/>
      <c r="D901" s="296"/>
      <c r="E901" s="296"/>
      <c r="F901" s="296"/>
      <c r="G901" s="326"/>
      <c r="H901" s="324"/>
      <c r="I901" s="325"/>
      <c r="J901" s="325"/>
      <c r="K901" s="318"/>
      <c r="L901" s="318"/>
      <c r="M901" s="319" t="str">
        <f>IFERROR(VLOOKUP(H901,Lijsten!$H$1:$I$100,2,0),"")</f>
        <v/>
      </c>
      <c r="N901" s="319" t="str">
        <f ca="1">IFERROR(IF(VLOOKUP(F901,Kostentypen!$A$3:$E$21,3,0)=0,"",IF(OR(F901="Arbeidskosten",F901="Vergoeding"),VLOOKUP(G901,Tb_KostenTypen[],2,0),VLOOKUP(F901,Kostentypen!$A$3:$E$20,3,0))),"")</f>
        <v/>
      </c>
      <c r="O901" s="320" t="str" cm="1">
        <f t="array" ref="O901">_xlfn.IFNA(IF(INDEX(Tb_KostenOptiesDB[],MATCH($F901,Tb_KostenOptiesDB[KostenOptie],0),IFERROR(MATCH(Methode_Keuze,Tb_KostenOptiesDB[#Headers],0),2))=1,_xlfn.SWITCH($N901,"Uurtarief",IF(OR(AND(RIGHT($F901,3)="IKS",VLOOKUP($M901,DB_Loonkosten,2,0)="Ja"),AND(RIGHT($F901,3)&lt;&gt;"IKS",VLOOKUP($M901,DB_Loonkosten,2,0)="Nee")),IFERROR(VLOOKUP($M901,DB_Loonkosten,24,0),""),0),"Vast tarief",IF(LEFT(F901,8)="Bijdrage",VLOOKUP($F901,Tb_KostenTypen[],MATCH(Lijsten!$P$1,Tb_KostenTypen[#Headers],0),0),VLOOKUP($G901,Lijsten!L:P,MATCH(Lijsten!$P$1,Kop_Tarief_Vast,0),0))),""),"")</f>
        <v/>
      </c>
      <c r="P901" s="320" t="str" cm="1">
        <f t="array" ref="P901">_xlfn.IFNA(IF(INDEX(Tb_KostenOptiesDB[],MATCH($F901,Tb_KostenOptiesDB[KostenOptie],0),IFERROR(MATCH(Methode_Keuze,Tb_KostenOptiesDB[#Headers],0),2))=1,_xlfn.SWITCH($N901,"Uurtarief",IF(OR(AND(RIGHT($F901,3)="IKS",VLOOKUP($M901,DB_Loonkosten,2,0)="Ja"),AND(RIGHT($F901,3)&lt;&gt;"IKS",VLOOKUP($M901,DB_Loonkosten,2,0)="Nee")),IFERROR(VLOOKUP($M901,DB_Loonkosten,25,0),""),0),"Vast tarief",IF(LEFT(F901,8)="Bijdrage",VLOOKUP($F901,Tb_KostenTypen[],MATCH(Lijsten!$P$1,Tb_KostenTypen[#Headers],0),0),VLOOKUP($G901,Lijsten!L:P,MATCH(Lijsten!$P$1,Kop_Tarief_Vast,0),0))),""),"")</f>
        <v/>
      </c>
      <c r="Q901" s="359"/>
      <c r="R901" s="359"/>
      <c r="S901" s="321"/>
      <c r="T901" s="321"/>
      <c r="U901" s="373" t="str">
        <f t="shared" si="56"/>
        <v/>
      </c>
      <c r="V901" s="314" t="str">
        <f t="shared" si="57"/>
        <v/>
      </c>
      <c r="W901" s="314" t="str" cm="1">
        <f t="array" aca="1" ref="W901" ca="1">IFERROR(IF(AE901&lt;&gt;"ja",_xlfn.IFNA(_xlfn.IFS(AND(O901&lt;&gt;"",F901&lt;&gt;"",RIGHT($N901,6)="tarief",F901="Vergoeding"),SUM(O901)*FLOOR(SUM(Q901),0.0001),AND(O901&lt;&gt;"",F901&lt;&gt;"",RIGHT($N901,6)="tarief"),SUM(O901)*FLOOR(SUM(Q901),0.01),S901&gt;0,IF(F901&lt;&gt;"",FLOOR(SUM(S901),0.01),"")),""),""),"")</f>
        <v/>
      </c>
      <c r="X901" s="314" t="str" cm="1">
        <f t="array" aca="1" ref="X901" ca="1">IFERROR(IF(AE901&lt;&gt;"ja",_xlfn.IFNA(_xlfn.IFS(AND(P901&lt;&gt;"",R901&lt;&gt;"",RIGHT($N901,6)="tarief",F901="Vergoeding"),SUM(P901)*FLOOR(SUM(R901),0.0001),AND(P901&lt;&gt;"",R901&lt;&gt;"",RIGHT($N901,6)="tarief"),P901*FLOOR(R901,0.01),T901&gt;0,FLOOR(SUM(T901),0.01)),""),""),"")</f>
        <v/>
      </c>
      <c r="Y901" s="314" t="str">
        <f t="shared" ca="1" si="58"/>
        <v/>
      </c>
      <c r="Z901" s="314" t="str" cm="1">
        <f t="array" aca="1" ref="Z901" ca="1">IFERROR(_xlfn.IFS(OR(F901="",LEFT(Methode_Keuze,4)="Geen",Methode_Keuze=""),"",AND(W901&lt;&gt;"",F901&lt;&gt;"Arbeidskosten"),W901*VLOOKUP(F901,Tb_ProjectKosten[],MATCH(Tb_ProjectKosten[[#Headers],[Forfait_Percentage]],Tb_ProjectKosten[#Headers],0),0),AND(F901="Arbeidskosten",G901&lt;&gt;""),IFERROR(W901*VLOOKUP(G901,Tb_KostenTypen[],3,0)*VLOOKUP(F901,Tb_ProjectKosten[],MATCH(Tb_ProjectKosten[[#Headers],[Forfait_Percentage]],Tb_ProjectKosten[#Headers],0),0),""),W901 &lt;=0,0),"")</f>
        <v/>
      </c>
      <c r="AA901" s="314" t="str" cm="1">
        <f t="array" aca="1" ref="AA901" ca="1">IFERROR(_xlfn.IFS(OR(F901="",LEFT(Methode_Keuze,4)="Geen",Methode_Keuze=""),"",AND(X901&lt;&gt;"",F901&lt;&gt;"Arbeidskosten"),X901*VLOOKUP(F901,Tb_ProjectKosten[],MATCH(Tb_ProjectKosten[[#Headers],[Forfait_Percentage]],Tb_ProjectKosten[#Headers],0),0),AND(F901="Arbeidskosten",G901&lt;&gt;""),IFERROR(X901*VLOOKUP(G901,Tb_KostenTypen[],3,0)*VLOOKUP(F901,Tb_ProjectKosten[],MATCH(Tb_ProjectKosten[[#Headers],[Forfait_Percentage]],Tb_ProjectKosten[#Headers],0),0),""),X901 &lt;=0,0),"")</f>
        <v/>
      </c>
      <c r="AB901" s="314" t="str">
        <f t="shared" ca="1" si="59"/>
        <v/>
      </c>
      <c r="AC901" s="322"/>
      <c r="AD901" s="315"/>
      <c r="AE901" s="32" t="str" cm="1">
        <f t="array" ref="AE901">IFERROR(IF(INDEX(SubsidieTabel!$AD$1:$AG$12,MATCH($F901,SubsidieTabel!$AD$1:$AD$12,0),IFERROR(MATCH(Methode_Keuze,SubsidieTabel!$AD$1:$AG$1,0),2))&lt;&gt;1=TRUE,"ja",""),"")</f>
        <v/>
      </c>
    </row>
    <row r="902" spans="1:31" x14ac:dyDescent="0.25">
      <c r="A902" s="316"/>
      <c r="B902" s="317" t="str">
        <f>IF(A902&lt;&gt;"",_xlfn.MAXIFS($B$1:B901,$A$1:A901,A902)+1,"")</f>
        <v/>
      </c>
      <c r="C902" s="296"/>
      <c r="D902" s="296"/>
      <c r="E902" s="296"/>
      <c r="F902" s="296"/>
      <c r="G902" s="326"/>
      <c r="H902" s="324"/>
      <c r="I902" s="325"/>
      <c r="J902" s="325"/>
      <c r="K902" s="318"/>
      <c r="L902" s="318"/>
      <c r="M902" s="319" t="str">
        <f>IFERROR(VLOOKUP(H902,Lijsten!$H$1:$I$100,2,0),"")</f>
        <v/>
      </c>
      <c r="N902" s="319" t="str">
        <f ca="1">IFERROR(IF(VLOOKUP(F902,Kostentypen!$A$3:$E$21,3,0)=0,"",IF(OR(F902="Arbeidskosten",F902="Vergoeding"),VLOOKUP(G902,Tb_KostenTypen[],2,0),VLOOKUP(F902,Kostentypen!$A$3:$E$20,3,0))),"")</f>
        <v/>
      </c>
      <c r="O902" s="320" t="str" cm="1">
        <f t="array" ref="O902">_xlfn.IFNA(IF(INDEX(Tb_KostenOptiesDB[],MATCH($F902,Tb_KostenOptiesDB[KostenOptie],0),IFERROR(MATCH(Methode_Keuze,Tb_KostenOptiesDB[#Headers],0),2))=1,_xlfn.SWITCH($N902,"Uurtarief",IF(OR(AND(RIGHT($F902,3)="IKS",VLOOKUP($M902,DB_Loonkosten,2,0)="Ja"),AND(RIGHT($F902,3)&lt;&gt;"IKS",VLOOKUP($M902,DB_Loonkosten,2,0)="Nee")),IFERROR(VLOOKUP($M902,DB_Loonkosten,24,0),""),0),"Vast tarief",IF(LEFT(F902,8)="Bijdrage",VLOOKUP($F902,Tb_KostenTypen[],MATCH(Lijsten!$P$1,Tb_KostenTypen[#Headers],0),0),VLOOKUP($G902,Lijsten!L:P,MATCH(Lijsten!$P$1,Kop_Tarief_Vast,0),0))),""),"")</f>
        <v/>
      </c>
      <c r="P902" s="320" t="str" cm="1">
        <f t="array" ref="P902">_xlfn.IFNA(IF(INDEX(Tb_KostenOptiesDB[],MATCH($F902,Tb_KostenOptiesDB[KostenOptie],0),IFERROR(MATCH(Methode_Keuze,Tb_KostenOptiesDB[#Headers],0),2))=1,_xlfn.SWITCH($N902,"Uurtarief",IF(OR(AND(RIGHT($F902,3)="IKS",VLOOKUP($M902,DB_Loonkosten,2,0)="Ja"),AND(RIGHT($F902,3)&lt;&gt;"IKS",VLOOKUP($M902,DB_Loonkosten,2,0)="Nee")),IFERROR(VLOOKUP($M902,DB_Loonkosten,25,0),""),0),"Vast tarief",IF(LEFT(F902,8)="Bijdrage",VLOOKUP($F902,Tb_KostenTypen[],MATCH(Lijsten!$P$1,Tb_KostenTypen[#Headers],0),0),VLOOKUP($G902,Lijsten!L:P,MATCH(Lijsten!$P$1,Kop_Tarief_Vast,0),0))),""),"")</f>
        <v/>
      </c>
      <c r="Q902" s="359"/>
      <c r="R902" s="359"/>
      <c r="S902" s="321"/>
      <c r="T902" s="321"/>
      <c r="U902" s="373" t="str">
        <f t="shared" si="56"/>
        <v/>
      </c>
      <c r="V902" s="314" t="str">
        <f t="shared" si="57"/>
        <v/>
      </c>
      <c r="W902" s="314" t="str" cm="1">
        <f t="array" aca="1" ref="W902" ca="1">IFERROR(IF(AE902&lt;&gt;"ja",_xlfn.IFNA(_xlfn.IFS(AND(O902&lt;&gt;"",F902&lt;&gt;"",RIGHT($N902,6)="tarief",F902="Vergoeding"),SUM(O902)*FLOOR(SUM(Q902),0.0001),AND(O902&lt;&gt;"",F902&lt;&gt;"",RIGHT($N902,6)="tarief"),SUM(O902)*FLOOR(SUM(Q902),0.01),S902&gt;0,IF(F902&lt;&gt;"",FLOOR(SUM(S902),0.01),"")),""),""),"")</f>
        <v/>
      </c>
      <c r="X902" s="314" t="str" cm="1">
        <f t="array" aca="1" ref="X902" ca="1">IFERROR(IF(AE902&lt;&gt;"ja",_xlfn.IFNA(_xlfn.IFS(AND(P902&lt;&gt;"",R902&lt;&gt;"",RIGHT($N902,6)="tarief",F902="Vergoeding"),SUM(P902)*FLOOR(SUM(R902),0.0001),AND(P902&lt;&gt;"",R902&lt;&gt;"",RIGHT($N902,6)="tarief"),P902*FLOOR(R902,0.01),T902&gt;0,FLOOR(SUM(T902),0.01)),""),""),"")</f>
        <v/>
      </c>
      <c r="Y902" s="314" t="str">
        <f t="shared" ca="1" si="58"/>
        <v/>
      </c>
      <c r="Z902" s="314" t="str" cm="1">
        <f t="array" aca="1" ref="Z902" ca="1">IFERROR(_xlfn.IFS(OR(F902="",LEFT(Methode_Keuze,4)="Geen",Methode_Keuze=""),"",AND(W902&lt;&gt;"",F902&lt;&gt;"Arbeidskosten"),W902*VLOOKUP(F902,Tb_ProjectKosten[],MATCH(Tb_ProjectKosten[[#Headers],[Forfait_Percentage]],Tb_ProjectKosten[#Headers],0),0),AND(F902="Arbeidskosten",G902&lt;&gt;""),IFERROR(W902*VLOOKUP(G902,Tb_KostenTypen[],3,0)*VLOOKUP(F902,Tb_ProjectKosten[],MATCH(Tb_ProjectKosten[[#Headers],[Forfait_Percentage]],Tb_ProjectKosten[#Headers],0),0),""),W902 &lt;=0,0),"")</f>
        <v/>
      </c>
      <c r="AA902" s="314" t="str" cm="1">
        <f t="array" aca="1" ref="AA902" ca="1">IFERROR(_xlfn.IFS(OR(F902="",LEFT(Methode_Keuze,4)="Geen",Methode_Keuze=""),"",AND(X902&lt;&gt;"",F902&lt;&gt;"Arbeidskosten"),X902*VLOOKUP(F902,Tb_ProjectKosten[],MATCH(Tb_ProjectKosten[[#Headers],[Forfait_Percentage]],Tb_ProjectKosten[#Headers],0),0),AND(F902="Arbeidskosten",G902&lt;&gt;""),IFERROR(X902*VLOOKUP(G902,Tb_KostenTypen[],3,0)*VLOOKUP(F902,Tb_ProjectKosten[],MATCH(Tb_ProjectKosten[[#Headers],[Forfait_Percentage]],Tb_ProjectKosten[#Headers],0),0),""),X902 &lt;=0,0),"")</f>
        <v/>
      </c>
      <c r="AB902" s="314" t="str">
        <f t="shared" ca="1" si="59"/>
        <v/>
      </c>
      <c r="AC902" s="322"/>
      <c r="AD902" s="315"/>
      <c r="AE902" s="32" t="str" cm="1">
        <f t="array" ref="AE902">IFERROR(IF(INDEX(SubsidieTabel!$AD$1:$AG$12,MATCH($F902,SubsidieTabel!$AD$1:$AD$12,0),IFERROR(MATCH(Methode_Keuze,SubsidieTabel!$AD$1:$AG$1,0),2))&lt;&gt;1=TRUE,"ja",""),"")</f>
        <v/>
      </c>
    </row>
    <row r="903" spans="1:31" x14ac:dyDescent="0.25">
      <c r="A903" s="316"/>
      <c r="B903" s="317" t="str">
        <f>IF(A903&lt;&gt;"",_xlfn.MAXIFS($B$1:B902,$A$1:A902,A903)+1,"")</f>
        <v/>
      </c>
      <c r="C903" s="296"/>
      <c r="D903" s="296"/>
      <c r="E903" s="296"/>
      <c r="F903" s="296"/>
      <c r="G903" s="326"/>
      <c r="H903" s="324"/>
      <c r="I903" s="325"/>
      <c r="J903" s="325"/>
      <c r="K903" s="318"/>
      <c r="L903" s="318"/>
      <c r="M903" s="319" t="str">
        <f>IFERROR(VLOOKUP(H903,Lijsten!$H$1:$I$100,2,0),"")</f>
        <v/>
      </c>
      <c r="N903" s="319" t="str">
        <f ca="1">IFERROR(IF(VLOOKUP(F903,Kostentypen!$A$3:$E$21,3,0)=0,"",IF(OR(F903="Arbeidskosten",F903="Vergoeding"),VLOOKUP(G903,Tb_KostenTypen[],2,0),VLOOKUP(F903,Kostentypen!$A$3:$E$20,3,0))),"")</f>
        <v/>
      </c>
      <c r="O903" s="320" t="str" cm="1">
        <f t="array" ref="O903">_xlfn.IFNA(IF(INDEX(Tb_KostenOptiesDB[],MATCH($F903,Tb_KostenOptiesDB[KostenOptie],0),IFERROR(MATCH(Methode_Keuze,Tb_KostenOptiesDB[#Headers],0),2))=1,_xlfn.SWITCH($N903,"Uurtarief",IF(OR(AND(RIGHT($F903,3)="IKS",VLOOKUP($M903,DB_Loonkosten,2,0)="Ja"),AND(RIGHT($F903,3)&lt;&gt;"IKS",VLOOKUP($M903,DB_Loonkosten,2,0)="Nee")),IFERROR(VLOOKUP($M903,DB_Loonkosten,24,0),""),0),"Vast tarief",IF(LEFT(F903,8)="Bijdrage",VLOOKUP($F903,Tb_KostenTypen[],MATCH(Lijsten!$P$1,Tb_KostenTypen[#Headers],0),0),VLOOKUP($G903,Lijsten!L:P,MATCH(Lijsten!$P$1,Kop_Tarief_Vast,0),0))),""),"")</f>
        <v/>
      </c>
      <c r="P903" s="320" t="str" cm="1">
        <f t="array" ref="P903">_xlfn.IFNA(IF(INDEX(Tb_KostenOptiesDB[],MATCH($F903,Tb_KostenOptiesDB[KostenOptie],0),IFERROR(MATCH(Methode_Keuze,Tb_KostenOptiesDB[#Headers],0),2))=1,_xlfn.SWITCH($N903,"Uurtarief",IF(OR(AND(RIGHT($F903,3)="IKS",VLOOKUP($M903,DB_Loonkosten,2,0)="Ja"),AND(RIGHT($F903,3)&lt;&gt;"IKS",VLOOKUP($M903,DB_Loonkosten,2,0)="Nee")),IFERROR(VLOOKUP($M903,DB_Loonkosten,25,0),""),0),"Vast tarief",IF(LEFT(F903,8)="Bijdrage",VLOOKUP($F903,Tb_KostenTypen[],MATCH(Lijsten!$P$1,Tb_KostenTypen[#Headers],0),0),VLOOKUP($G903,Lijsten!L:P,MATCH(Lijsten!$P$1,Kop_Tarief_Vast,0),0))),""),"")</f>
        <v/>
      </c>
      <c r="Q903" s="359"/>
      <c r="R903" s="359"/>
      <c r="S903" s="321"/>
      <c r="T903" s="321"/>
      <c r="U903" s="373" t="str">
        <f t="shared" si="56"/>
        <v/>
      </c>
      <c r="V903" s="314" t="str">
        <f t="shared" si="57"/>
        <v/>
      </c>
      <c r="W903" s="314" t="str" cm="1">
        <f t="array" aca="1" ref="W903" ca="1">IFERROR(IF(AE903&lt;&gt;"ja",_xlfn.IFNA(_xlfn.IFS(AND(O903&lt;&gt;"",F903&lt;&gt;"",RIGHT($N903,6)="tarief",F903="Vergoeding"),SUM(O903)*FLOOR(SUM(Q903),0.0001),AND(O903&lt;&gt;"",F903&lt;&gt;"",RIGHT($N903,6)="tarief"),SUM(O903)*FLOOR(SUM(Q903),0.01),S903&gt;0,IF(F903&lt;&gt;"",FLOOR(SUM(S903),0.01),"")),""),""),"")</f>
        <v/>
      </c>
      <c r="X903" s="314" t="str" cm="1">
        <f t="array" aca="1" ref="X903" ca="1">IFERROR(IF(AE903&lt;&gt;"ja",_xlfn.IFNA(_xlfn.IFS(AND(P903&lt;&gt;"",R903&lt;&gt;"",RIGHT($N903,6)="tarief",F903="Vergoeding"),SUM(P903)*FLOOR(SUM(R903),0.0001),AND(P903&lt;&gt;"",R903&lt;&gt;"",RIGHT($N903,6)="tarief"),P903*FLOOR(R903,0.01),T903&gt;0,FLOOR(SUM(T903),0.01)),""),""),"")</f>
        <v/>
      </c>
      <c r="Y903" s="314" t="str">
        <f t="shared" ca="1" si="58"/>
        <v/>
      </c>
      <c r="Z903" s="314" t="str" cm="1">
        <f t="array" aca="1" ref="Z903" ca="1">IFERROR(_xlfn.IFS(OR(F903="",LEFT(Methode_Keuze,4)="Geen",Methode_Keuze=""),"",AND(W903&lt;&gt;"",F903&lt;&gt;"Arbeidskosten"),W903*VLOOKUP(F903,Tb_ProjectKosten[],MATCH(Tb_ProjectKosten[[#Headers],[Forfait_Percentage]],Tb_ProjectKosten[#Headers],0),0),AND(F903="Arbeidskosten",G903&lt;&gt;""),IFERROR(W903*VLOOKUP(G903,Tb_KostenTypen[],3,0)*VLOOKUP(F903,Tb_ProjectKosten[],MATCH(Tb_ProjectKosten[[#Headers],[Forfait_Percentage]],Tb_ProjectKosten[#Headers],0),0),""),W903 &lt;=0,0),"")</f>
        <v/>
      </c>
      <c r="AA903" s="314" t="str" cm="1">
        <f t="array" aca="1" ref="AA903" ca="1">IFERROR(_xlfn.IFS(OR(F903="",LEFT(Methode_Keuze,4)="Geen",Methode_Keuze=""),"",AND(X903&lt;&gt;"",F903&lt;&gt;"Arbeidskosten"),X903*VLOOKUP(F903,Tb_ProjectKosten[],MATCH(Tb_ProjectKosten[[#Headers],[Forfait_Percentage]],Tb_ProjectKosten[#Headers],0),0),AND(F903="Arbeidskosten",G903&lt;&gt;""),IFERROR(X903*VLOOKUP(G903,Tb_KostenTypen[],3,0)*VLOOKUP(F903,Tb_ProjectKosten[],MATCH(Tb_ProjectKosten[[#Headers],[Forfait_Percentage]],Tb_ProjectKosten[#Headers],0),0),""),X903 &lt;=0,0),"")</f>
        <v/>
      </c>
      <c r="AB903" s="314" t="str">
        <f t="shared" ca="1" si="59"/>
        <v/>
      </c>
      <c r="AC903" s="322"/>
      <c r="AD903" s="315"/>
      <c r="AE903" s="32" t="str" cm="1">
        <f t="array" ref="AE903">IFERROR(IF(INDEX(SubsidieTabel!$AD$1:$AG$12,MATCH($F903,SubsidieTabel!$AD$1:$AD$12,0),IFERROR(MATCH(Methode_Keuze,SubsidieTabel!$AD$1:$AG$1,0),2))&lt;&gt;1=TRUE,"ja",""),"")</f>
        <v/>
      </c>
    </row>
    <row r="904" spans="1:31" x14ac:dyDescent="0.25">
      <c r="A904" s="316"/>
      <c r="B904" s="317" t="str">
        <f>IF(A904&lt;&gt;"",_xlfn.MAXIFS($B$1:B903,$A$1:A903,A904)+1,"")</f>
        <v/>
      </c>
      <c r="C904" s="296"/>
      <c r="D904" s="296"/>
      <c r="E904" s="296"/>
      <c r="F904" s="296"/>
      <c r="G904" s="326"/>
      <c r="H904" s="324"/>
      <c r="I904" s="325"/>
      <c r="J904" s="325"/>
      <c r="K904" s="318"/>
      <c r="L904" s="318"/>
      <c r="M904" s="319" t="str">
        <f>IFERROR(VLOOKUP(H904,Lijsten!$H$1:$I$100,2,0),"")</f>
        <v/>
      </c>
      <c r="N904" s="319" t="str">
        <f ca="1">IFERROR(IF(VLOOKUP(F904,Kostentypen!$A$3:$E$21,3,0)=0,"",IF(OR(F904="Arbeidskosten",F904="Vergoeding"),VLOOKUP(G904,Tb_KostenTypen[],2,0),VLOOKUP(F904,Kostentypen!$A$3:$E$20,3,0))),"")</f>
        <v/>
      </c>
      <c r="O904" s="320" t="str" cm="1">
        <f t="array" ref="O904">_xlfn.IFNA(IF(INDEX(Tb_KostenOptiesDB[],MATCH($F904,Tb_KostenOptiesDB[KostenOptie],0),IFERROR(MATCH(Methode_Keuze,Tb_KostenOptiesDB[#Headers],0),2))=1,_xlfn.SWITCH($N904,"Uurtarief",IF(OR(AND(RIGHT($F904,3)="IKS",VLOOKUP($M904,DB_Loonkosten,2,0)="Ja"),AND(RIGHT($F904,3)&lt;&gt;"IKS",VLOOKUP($M904,DB_Loonkosten,2,0)="Nee")),IFERROR(VLOOKUP($M904,DB_Loonkosten,24,0),""),0),"Vast tarief",IF(LEFT(F904,8)="Bijdrage",VLOOKUP($F904,Tb_KostenTypen[],MATCH(Lijsten!$P$1,Tb_KostenTypen[#Headers],0),0),VLOOKUP($G904,Lijsten!L:P,MATCH(Lijsten!$P$1,Kop_Tarief_Vast,0),0))),""),"")</f>
        <v/>
      </c>
      <c r="P904" s="320" t="str" cm="1">
        <f t="array" ref="P904">_xlfn.IFNA(IF(INDEX(Tb_KostenOptiesDB[],MATCH($F904,Tb_KostenOptiesDB[KostenOptie],0),IFERROR(MATCH(Methode_Keuze,Tb_KostenOptiesDB[#Headers],0),2))=1,_xlfn.SWITCH($N904,"Uurtarief",IF(OR(AND(RIGHT($F904,3)="IKS",VLOOKUP($M904,DB_Loonkosten,2,0)="Ja"),AND(RIGHT($F904,3)&lt;&gt;"IKS",VLOOKUP($M904,DB_Loonkosten,2,0)="Nee")),IFERROR(VLOOKUP($M904,DB_Loonkosten,25,0),""),0),"Vast tarief",IF(LEFT(F904,8)="Bijdrage",VLOOKUP($F904,Tb_KostenTypen[],MATCH(Lijsten!$P$1,Tb_KostenTypen[#Headers],0),0),VLOOKUP($G904,Lijsten!L:P,MATCH(Lijsten!$P$1,Kop_Tarief_Vast,0),0))),""),"")</f>
        <v/>
      </c>
      <c r="Q904" s="359"/>
      <c r="R904" s="359"/>
      <c r="S904" s="321"/>
      <c r="T904" s="321"/>
      <c r="U904" s="373" t="str">
        <f t="shared" si="56"/>
        <v/>
      </c>
      <c r="V904" s="314" t="str">
        <f t="shared" si="57"/>
        <v/>
      </c>
      <c r="W904" s="314" t="str" cm="1">
        <f t="array" aca="1" ref="W904" ca="1">IFERROR(IF(AE904&lt;&gt;"ja",_xlfn.IFNA(_xlfn.IFS(AND(O904&lt;&gt;"",F904&lt;&gt;"",RIGHT($N904,6)="tarief",F904="Vergoeding"),SUM(O904)*FLOOR(SUM(Q904),0.0001),AND(O904&lt;&gt;"",F904&lt;&gt;"",RIGHT($N904,6)="tarief"),SUM(O904)*FLOOR(SUM(Q904),0.01),S904&gt;0,IF(F904&lt;&gt;"",FLOOR(SUM(S904),0.01),"")),""),""),"")</f>
        <v/>
      </c>
      <c r="X904" s="314" t="str" cm="1">
        <f t="array" aca="1" ref="X904" ca="1">IFERROR(IF(AE904&lt;&gt;"ja",_xlfn.IFNA(_xlfn.IFS(AND(P904&lt;&gt;"",R904&lt;&gt;"",RIGHT($N904,6)="tarief",F904="Vergoeding"),SUM(P904)*FLOOR(SUM(R904),0.0001),AND(P904&lt;&gt;"",R904&lt;&gt;"",RIGHT($N904,6)="tarief"),P904*FLOOR(R904,0.01),T904&gt;0,FLOOR(SUM(T904),0.01)),""),""),"")</f>
        <v/>
      </c>
      <c r="Y904" s="314" t="str">
        <f t="shared" ca="1" si="58"/>
        <v/>
      </c>
      <c r="Z904" s="314" t="str" cm="1">
        <f t="array" aca="1" ref="Z904" ca="1">IFERROR(_xlfn.IFS(OR(F904="",LEFT(Methode_Keuze,4)="Geen",Methode_Keuze=""),"",AND(W904&lt;&gt;"",F904&lt;&gt;"Arbeidskosten"),W904*VLOOKUP(F904,Tb_ProjectKosten[],MATCH(Tb_ProjectKosten[[#Headers],[Forfait_Percentage]],Tb_ProjectKosten[#Headers],0),0),AND(F904="Arbeidskosten",G904&lt;&gt;""),IFERROR(W904*VLOOKUP(G904,Tb_KostenTypen[],3,0)*VLOOKUP(F904,Tb_ProjectKosten[],MATCH(Tb_ProjectKosten[[#Headers],[Forfait_Percentage]],Tb_ProjectKosten[#Headers],0),0),""),W904 &lt;=0,0),"")</f>
        <v/>
      </c>
      <c r="AA904" s="314" t="str" cm="1">
        <f t="array" aca="1" ref="AA904" ca="1">IFERROR(_xlfn.IFS(OR(F904="",LEFT(Methode_Keuze,4)="Geen",Methode_Keuze=""),"",AND(X904&lt;&gt;"",F904&lt;&gt;"Arbeidskosten"),X904*VLOOKUP(F904,Tb_ProjectKosten[],MATCH(Tb_ProjectKosten[[#Headers],[Forfait_Percentage]],Tb_ProjectKosten[#Headers],0),0),AND(F904="Arbeidskosten",G904&lt;&gt;""),IFERROR(X904*VLOOKUP(G904,Tb_KostenTypen[],3,0)*VLOOKUP(F904,Tb_ProjectKosten[],MATCH(Tb_ProjectKosten[[#Headers],[Forfait_Percentage]],Tb_ProjectKosten[#Headers],0),0),""),X904 &lt;=0,0),"")</f>
        <v/>
      </c>
      <c r="AB904" s="314" t="str">
        <f t="shared" ca="1" si="59"/>
        <v/>
      </c>
      <c r="AC904" s="322"/>
      <c r="AD904" s="315"/>
      <c r="AE904" s="32" t="str" cm="1">
        <f t="array" ref="AE904">IFERROR(IF(INDEX(SubsidieTabel!$AD$1:$AG$12,MATCH($F904,SubsidieTabel!$AD$1:$AD$12,0),IFERROR(MATCH(Methode_Keuze,SubsidieTabel!$AD$1:$AG$1,0),2))&lt;&gt;1=TRUE,"ja",""),"")</f>
        <v/>
      </c>
    </row>
    <row r="905" spans="1:31" x14ac:dyDescent="0.25">
      <c r="A905" s="316"/>
      <c r="B905" s="317" t="str">
        <f>IF(A905&lt;&gt;"",_xlfn.MAXIFS($B$1:B904,$A$1:A904,A905)+1,"")</f>
        <v/>
      </c>
      <c r="C905" s="296"/>
      <c r="D905" s="296"/>
      <c r="E905" s="296"/>
      <c r="F905" s="296"/>
      <c r="G905" s="326"/>
      <c r="H905" s="324"/>
      <c r="I905" s="325"/>
      <c r="J905" s="325"/>
      <c r="K905" s="318"/>
      <c r="L905" s="318"/>
      <c r="M905" s="319" t="str">
        <f>IFERROR(VLOOKUP(H905,Lijsten!$H$1:$I$100,2,0),"")</f>
        <v/>
      </c>
      <c r="N905" s="319" t="str">
        <f ca="1">IFERROR(IF(VLOOKUP(F905,Kostentypen!$A$3:$E$21,3,0)=0,"",IF(OR(F905="Arbeidskosten",F905="Vergoeding"),VLOOKUP(G905,Tb_KostenTypen[],2,0),VLOOKUP(F905,Kostentypen!$A$3:$E$20,3,0))),"")</f>
        <v/>
      </c>
      <c r="O905" s="320" t="str" cm="1">
        <f t="array" ref="O905">_xlfn.IFNA(IF(INDEX(Tb_KostenOptiesDB[],MATCH($F905,Tb_KostenOptiesDB[KostenOptie],0),IFERROR(MATCH(Methode_Keuze,Tb_KostenOptiesDB[#Headers],0),2))=1,_xlfn.SWITCH($N905,"Uurtarief",IF(OR(AND(RIGHT($F905,3)="IKS",VLOOKUP($M905,DB_Loonkosten,2,0)="Ja"),AND(RIGHT($F905,3)&lt;&gt;"IKS",VLOOKUP($M905,DB_Loonkosten,2,0)="Nee")),IFERROR(VLOOKUP($M905,DB_Loonkosten,24,0),""),0),"Vast tarief",IF(LEFT(F905,8)="Bijdrage",VLOOKUP($F905,Tb_KostenTypen[],MATCH(Lijsten!$P$1,Tb_KostenTypen[#Headers],0),0),VLOOKUP($G905,Lijsten!L:P,MATCH(Lijsten!$P$1,Kop_Tarief_Vast,0),0))),""),"")</f>
        <v/>
      </c>
      <c r="P905" s="320" t="str" cm="1">
        <f t="array" ref="P905">_xlfn.IFNA(IF(INDEX(Tb_KostenOptiesDB[],MATCH($F905,Tb_KostenOptiesDB[KostenOptie],0),IFERROR(MATCH(Methode_Keuze,Tb_KostenOptiesDB[#Headers],0),2))=1,_xlfn.SWITCH($N905,"Uurtarief",IF(OR(AND(RIGHT($F905,3)="IKS",VLOOKUP($M905,DB_Loonkosten,2,0)="Ja"),AND(RIGHT($F905,3)&lt;&gt;"IKS",VLOOKUP($M905,DB_Loonkosten,2,0)="Nee")),IFERROR(VLOOKUP($M905,DB_Loonkosten,25,0),""),0),"Vast tarief",IF(LEFT(F905,8)="Bijdrage",VLOOKUP($F905,Tb_KostenTypen[],MATCH(Lijsten!$P$1,Tb_KostenTypen[#Headers],0),0),VLOOKUP($G905,Lijsten!L:P,MATCH(Lijsten!$P$1,Kop_Tarief_Vast,0),0))),""),"")</f>
        <v/>
      </c>
      <c r="Q905" s="359"/>
      <c r="R905" s="359"/>
      <c r="S905" s="321"/>
      <c r="T905" s="321"/>
      <c r="U905" s="373" t="str">
        <f t="shared" si="56"/>
        <v/>
      </c>
      <c r="V905" s="314" t="str">
        <f t="shared" si="57"/>
        <v/>
      </c>
      <c r="W905" s="314" t="str" cm="1">
        <f t="array" aca="1" ref="W905" ca="1">IFERROR(IF(AE905&lt;&gt;"ja",_xlfn.IFNA(_xlfn.IFS(AND(O905&lt;&gt;"",F905&lt;&gt;"",RIGHT($N905,6)="tarief",F905="Vergoeding"),SUM(O905)*FLOOR(SUM(Q905),0.0001),AND(O905&lt;&gt;"",F905&lt;&gt;"",RIGHT($N905,6)="tarief"),SUM(O905)*FLOOR(SUM(Q905),0.01),S905&gt;0,IF(F905&lt;&gt;"",FLOOR(SUM(S905),0.01),"")),""),""),"")</f>
        <v/>
      </c>
      <c r="X905" s="314" t="str" cm="1">
        <f t="array" aca="1" ref="X905" ca="1">IFERROR(IF(AE905&lt;&gt;"ja",_xlfn.IFNA(_xlfn.IFS(AND(P905&lt;&gt;"",R905&lt;&gt;"",RIGHT($N905,6)="tarief",F905="Vergoeding"),SUM(P905)*FLOOR(SUM(R905),0.0001),AND(P905&lt;&gt;"",R905&lt;&gt;"",RIGHT($N905,6)="tarief"),P905*FLOOR(R905,0.01),T905&gt;0,FLOOR(SUM(T905),0.01)),""),""),"")</f>
        <v/>
      </c>
      <c r="Y905" s="314" t="str">
        <f t="shared" ca="1" si="58"/>
        <v/>
      </c>
      <c r="Z905" s="314" t="str" cm="1">
        <f t="array" aca="1" ref="Z905" ca="1">IFERROR(_xlfn.IFS(OR(F905="",LEFT(Methode_Keuze,4)="Geen",Methode_Keuze=""),"",AND(W905&lt;&gt;"",F905&lt;&gt;"Arbeidskosten"),W905*VLOOKUP(F905,Tb_ProjectKosten[],MATCH(Tb_ProjectKosten[[#Headers],[Forfait_Percentage]],Tb_ProjectKosten[#Headers],0),0),AND(F905="Arbeidskosten",G905&lt;&gt;""),IFERROR(W905*VLOOKUP(G905,Tb_KostenTypen[],3,0)*VLOOKUP(F905,Tb_ProjectKosten[],MATCH(Tb_ProjectKosten[[#Headers],[Forfait_Percentage]],Tb_ProjectKosten[#Headers],0),0),""),W905 &lt;=0,0),"")</f>
        <v/>
      </c>
      <c r="AA905" s="314" t="str" cm="1">
        <f t="array" aca="1" ref="AA905" ca="1">IFERROR(_xlfn.IFS(OR(F905="",LEFT(Methode_Keuze,4)="Geen",Methode_Keuze=""),"",AND(X905&lt;&gt;"",F905&lt;&gt;"Arbeidskosten"),X905*VLOOKUP(F905,Tb_ProjectKosten[],MATCH(Tb_ProjectKosten[[#Headers],[Forfait_Percentage]],Tb_ProjectKosten[#Headers],0),0),AND(F905="Arbeidskosten",G905&lt;&gt;""),IFERROR(X905*VLOOKUP(G905,Tb_KostenTypen[],3,0)*VLOOKUP(F905,Tb_ProjectKosten[],MATCH(Tb_ProjectKosten[[#Headers],[Forfait_Percentage]],Tb_ProjectKosten[#Headers],0),0),""),X905 &lt;=0,0),"")</f>
        <v/>
      </c>
      <c r="AB905" s="314" t="str">
        <f t="shared" ca="1" si="59"/>
        <v/>
      </c>
      <c r="AC905" s="322"/>
      <c r="AD905" s="315"/>
      <c r="AE905" s="32" t="str" cm="1">
        <f t="array" ref="AE905">IFERROR(IF(INDEX(SubsidieTabel!$AD$1:$AG$12,MATCH($F905,SubsidieTabel!$AD$1:$AD$12,0),IFERROR(MATCH(Methode_Keuze,SubsidieTabel!$AD$1:$AG$1,0),2))&lt;&gt;1=TRUE,"ja",""),"")</f>
        <v/>
      </c>
    </row>
    <row r="906" spans="1:31" x14ac:dyDescent="0.25">
      <c r="A906" s="316"/>
      <c r="B906" s="317" t="str">
        <f>IF(A906&lt;&gt;"",_xlfn.MAXIFS($B$1:B905,$A$1:A905,A906)+1,"")</f>
        <v/>
      </c>
      <c r="C906" s="296"/>
      <c r="D906" s="296"/>
      <c r="E906" s="296"/>
      <c r="F906" s="296"/>
      <c r="G906" s="326"/>
      <c r="H906" s="324"/>
      <c r="I906" s="325"/>
      <c r="J906" s="325"/>
      <c r="K906" s="318"/>
      <c r="L906" s="318"/>
      <c r="M906" s="319" t="str">
        <f>IFERROR(VLOOKUP(H906,Lijsten!$H$1:$I$100,2,0),"")</f>
        <v/>
      </c>
      <c r="N906" s="319" t="str">
        <f ca="1">IFERROR(IF(VLOOKUP(F906,Kostentypen!$A$3:$E$21,3,0)=0,"",IF(OR(F906="Arbeidskosten",F906="Vergoeding"),VLOOKUP(G906,Tb_KostenTypen[],2,0),VLOOKUP(F906,Kostentypen!$A$3:$E$20,3,0))),"")</f>
        <v/>
      </c>
      <c r="O906" s="320" t="str" cm="1">
        <f t="array" ref="O906">_xlfn.IFNA(IF(INDEX(Tb_KostenOptiesDB[],MATCH($F906,Tb_KostenOptiesDB[KostenOptie],0),IFERROR(MATCH(Methode_Keuze,Tb_KostenOptiesDB[#Headers],0),2))=1,_xlfn.SWITCH($N906,"Uurtarief",IF(OR(AND(RIGHT($F906,3)="IKS",VLOOKUP($M906,DB_Loonkosten,2,0)="Ja"),AND(RIGHT($F906,3)&lt;&gt;"IKS",VLOOKUP($M906,DB_Loonkosten,2,0)="Nee")),IFERROR(VLOOKUP($M906,DB_Loonkosten,24,0),""),0),"Vast tarief",IF(LEFT(F906,8)="Bijdrage",VLOOKUP($F906,Tb_KostenTypen[],MATCH(Lijsten!$P$1,Tb_KostenTypen[#Headers],0),0),VLOOKUP($G906,Lijsten!L:P,MATCH(Lijsten!$P$1,Kop_Tarief_Vast,0),0))),""),"")</f>
        <v/>
      </c>
      <c r="P906" s="320" t="str" cm="1">
        <f t="array" ref="P906">_xlfn.IFNA(IF(INDEX(Tb_KostenOptiesDB[],MATCH($F906,Tb_KostenOptiesDB[KostenOptie],0),IFERROR(MATCH(Methode_Keuze,Tb_KostenOptiesDB[#Headers],0),2))=1,_xlfn.SWITCH($N906,"Uurtarief",IF(OR(AND(RIGHT($F906,3)="IKS",VLOOKUP($M906,DB_Loonkosten,2,0)="Ja"),AND(RIGHT($F906,3)&lt;&gt;"IKS",VLOOKUP($M906,DB_Loonkosten,2,0)="Nee")),IFERROR(VLOOKUP($M906,DB_Loonkosten,25,0),""),0),"Vast tarief",IF(LEFT(F906,8)="Bijdrage",VLOOKUP($F906,Tb_KostenTypen[],MATCH(Lijsten!$P$1,Tb_KostenTypen[#Headers],0),0),VLOOKUP($G906,Lijsten!L:P,MATCH(Lijsten!$P$1,Kop_Tarief_Vast,0),0))),""),"")</f>
        <v/>
      </c>
      <c r="Q906" s="359"/>
      <c r="R906" s="359"/>
      <c r="S906" s="321"/>
      <c r="T906" s="321"/>
      <c r="U906" s="373" t="str">
        <f t="shared" si="56"/>
        <v/>
      </c>
      <c r="V906" s="314" t="str">
        <f t="shared" si="57"/>
        <v/>
      </c>
      <c r="W906" s="314" t="str" cm="1">
        <f t="array" aca="1" ref="W906" ca="1">IFERROR(IF(AE906&lt;&gt;"ja",_xlfn.IFNA(_xlfn.IFS(AND(O906&lt;&gt;"",F906&lt;&gt;"",RIGHT($N906,6)="tarief",F906="Vergoeding"),SUM(O906)*FLOOR(SUM(Q906),0.0001),AND(O906&lt;&gt;"",F906&lt;&gt;"",RIGHT($N906,6)="tarief"),SUM(O906)*FLOOR(SUM(Q906),0.01),S906&gt;0,IF(F906&lt;&gt;"",FLOOR(SUM(S906),0.01),"")),""),""),"")</f>
        <v/>
      </c>
      <c r="X906" s="314" t="str" cm="1">
        <f t="array" aca="1" ref="X906" ca="1">IFERROR(IF(AE906&lt;&gt;"ja",_xlfn.IFNA(_xlfn.IFS(AND(P906&lt;&gt;"",R906&lt;&gt;"",RIGHT($N906,6)="tarief",F906="Vergoeding"),SUM(P906)*FLOOR(SUM(R906),0.0001),AND(P906&lt;&gt;"",R906&lt;&gt;"",RIGHT($N906,6)="tarief"),P906*FLOOR(R906,0.01),T906&gt;0,FLOOR(SUM(T906),0.01)),""),""),"")</f>
        <v/>
      </c>
      <c r="Y906" s="314" t="str">
        <f t="shared" ca="1" si="58"/>
        <v/>
      </c>
      <c r="Z906" s="314" t="str" cm="1">
        <f t="array" aca="1" ref="Z906" ca="1">IFERROR(_xlfn.IFS(OR(F906="",LEFT(Methode_Keuze,4)="Geen",Methode_Keuze=""),"",AND(W906&lt;&gt;"",F906&lt;&gt;"Arbeidskosten"),W906*VLOOKUP(F906,Tb_ProjectKosten[],MATCH(Tb_ProjectKosten[[#Headers],[Forfait_Percentage]],Tb_ProjectKosten[#Headers],0),0),AND(F906="Arbeidskosten",G906&lt;&gt;""),IFERROR(W906*VLOOKUP(G906,Tb_KostenTypen[],3,0)*VLOOKUP(F906,Tb_ProjectKosten[],MATCH(Tb_ProjectKosten[[#Headers],[Forfait_Percentage]],Tb_ProjectKosten[#Headers],0),0),""),W906 &lt;=0,0),"")</f>
        <v/>
      </c>
      <c r="AA906" s="314" t="str" cm="1">
        <f t="array" aca="1" ref="AA906" ca="1">IFERROR(_xlfn.IFS(OR(F906="",LEFT(Methode_Keuze,4)="Geen",Methode_Keuze=""),"",AND(X906&lt;&gt;"",F906&lt;&gt;"Arbeidskosten"),X906*VLOOKUP(F906,Tb_ProjectKosten[],MATCH(Tb_ProjectKosten[[#Headers],[Forfait_Percentage]],Tb_ProjectKosten[#Headers],0),0),AND(F906="Arbeidskosten",G906&lt;&gt;""),IFERROR(X906*VLOOKUP(G906,Tb_KostenTypen[],3,0)*VLOOKUP(F906,Tb_ProjectKosten[],MATCH(Tb_ProjectKosten[[#Headers],[Forfait_Percentage]],Tb_ProjectKosten[#Headers],0),0),""),X906 &lt;=0,0),"")</f>
        <v/>
      </c>
      <c r="AB906" s="314" t="str">
        <f t="shared" ca="1" si="59"/>
        <v/>
      </c>
      <c r="AC906" s="322"/>
      <c r="AD906" s="315"/>
      <c r="AE906" s="32" t="str" cm="1">
        <f t="array" ref="AE906">IFERROR(IF(INDEX(SubsidieTabel!$AD$1:$AG$12,MATCH($F906,SubsidieTabel!$AD$1:$AD$12,0),IFERROR(MATCH(Methode_Keuze,SubsidieTabel!$AD$1:$AG$1,0),2))&lt;&gt;1=TRUE,"ja",""),"")</f>
        <v/>
      </c>
    </row>
    <row r="907" spans="1:31" x14ac:dyDescent="0.25">
      <c r="A907" s="316"/>
      <c r="B907" s="317" t="str">
        <f>IF(A907&lt;&gt;"",_xlfn.MAXIFS($B$1:B906,$A$1:A906,A907)+1,"")</f>
        <v/>
      </c>
      <c r="C907" s="296"/>
      <c r="D907" s="296"/>
      <c r="E907" s="296"/>
      <c r="F907" s="296"/>
      <c r="G907" s="326"/>
      <c r="H907" s="324"/>
      <c r="I907" s="325"/>
      <c r="J907" s="325"/>
      <c r="K907" s="318"/>
      <c r="L907" s="318"/>
      <c r="M907" s="319" t="str">
        <f>IFERROR(VLOOKUP(H907,Lijsten!$H$1:$I$100,2,0),"")</f>
        <v/>
      </c>
      <c r="N907" s="319" t="str">
        <f ca="1">IFERROR(IF(VLOOKUP(F907,Kostentypen!$A$3:$E$21,3,0)=0,"",IF(OR(F907="Arbeidskosten",F907="Vergoeding"),VLOOKUP(G907,Tb_KostenTypen[],2,0),VLOOKUP(F907,Kostentypen!$A$3:$E$20,3,0))),"")</f>
        <v/>
      </c>
      <c r="O907" s="320" t="str" cm="1">
        <f t="array" ref="O907">_xlfn.IFNA(IF(INDEX(Tb_KostenOptiesDB[],MATCH($F907,Tb_KostenOptiesDB[KostenOptie],0),IFERROR(MATCH(Methode_Keuze,Tb_KostenOptiesDB[#Headers],0),2))=1,_xlfn.SWITCH($N907,"Uurtarief",IF(OR(AND(RIGHT($F907,3)="IKS",VLOOKUP($M907,DB_Loonkosten,2,0)="Ja"),AND(RIGHT($F907,3)&lt;&gt;"IKS",VLOOKUP($M907,DB_Loonkosten,2,0)="Nee")),IFERROR(VLOOKUP($M907,DB_Loonkosten,24,0),""),0),"Vast tarief",IF(LEFT(F907,8)="Bijdrage",VLOOKUP($F907,Tb_KostenTypen[],MATCH(Lijsten!$P$1,Tb_KostenTypen[#Headers],0),0),VLOOKUP($G907,Lijsten!L:P,MATCH(Lijsten!$P$1,Kop_Tarief_Vast,0),0))),""),"")</f>
        <v/>
      </c>
      <c r="P907" s="320" t="str" cm="1">
        <f t="array" ref="P907">_xlfn.IFNA(IF(INDEX(Tb_KostenOptiesDB[],MATCH($F907,Tb_KostenOptiesDB[KostenOptie],0),IFERROR(MATCH(Methode_Keuze,Tb_KostenOptiesDB[#Headers],0),2))=1,_xlfn.SWITCH($N907,"Uurtarief",IF(OR(AND(RIGHT($F907,3)="IKS",VLOOKUP($M907,DB_Loonkosten,2,0)="Ja"),AND(RIGHT($F907,3)&lt;&gt;"IKS",VLOOKUP($M907,DB_Loonkosten,2,0)="Nee")),IFERROR(VLOOKUP($M907,DB_Loonkosten,25,0),""),0),"Vast tarief",IF(LEFT(F907,8)="Bijdrage",VLOOKUP($F907,Tb_KostenTypen[],MATCH(Lijsten!$P$1,Tb_KostenTypen[#Headers],0),0),VLOOKUP($G907,Lijsten!L:P,MATCH(Lijsten!$P$1,Kop_Tarief_Vast,0),0))),""),"")</f>
        <v/>
      </c>
      <c r="Q907" s="359"/>
      <c r="R907" s="359"/>
      <c r="S907" s="321"/>
      <c r="T907" s="321"/>
      <c r="U907" s="373" t="str">
        <f t="shared" si="56"/>
        <v/>
      </c>
      <c r="V907" s="314" t="str">
        <f t="shared" si="57"/>
        <v/>
      </c>
      <c r="W907" s="314" t="str" cm="1">
        <f t="array" aca="1" ref="W907" ca="1">IFERROR(IF(AE907&lt;&gt;"ja",_xlfn.IFNA(_xlfn.IFS(AND(O907&lt;&gt;"",F907&lt;&gt;"",RIGHT($N907,6)="tarief",F907="Vergoeding"),SUM(O907)*FLOOR(SUM(Q907),0.0001),AND(O907&lt;&gt;"",F907&lt;&gt;"",RIGHT($N907,6)="tarief"),SUM(O907)*FLOOR(SUM(Q907),0.01),S907&gt;0,IF(F907&lt;&gt;"",FLOOR(SUM(S907),0.01),"")),""),""),"")</f>
        <v/>
      </c>
      <c r="X907" s="314" t="str" cm="1">
        <f t="array" aca="1" ref="X907" ca="1">IFERROR(IF(AE907&lt;&gt;"ja",_xlfn.IFNA(_xlfn.IFS(AND(P907&lt;&gt;"",R907&lt;&gt;"",RIGHT($N907,6)="tarief",F907="Vergoeding"),SUM(P907)*FLOOR(SUM(R907),0.0001),AND(P907&lt;&gt;"",R907&lt;&gt;"",RIGHT($N907,6)="tarief"),P907*FLOOR(R907,0.01),T907&gt;0,FLOOR(SUM(T907),0.01)),""),""),"")</f>
        <v/>
      </c>
      <c r="Y907" s="314" t="str">
        <f t="shared" ca="1" si="58"/>
        <v/>
      </c>
      <c r="Z907" s="314" t="str" cm="1">
        <f t="array" aca="1" ref="Z907" ca="1">IFERROR(_xlfn.IFS(OR(F907="",LEFT(Methode_Keuze,4)="Geen",Methode_Keuze=""),"",AND(W907&lt;&gt;"",F907&lt;&gt;"Arbeidskosten"),W907*VLOOKUP(F907,Tb_ProjectKosten[],MATCH(Tb_ProjectKosten[[#Headers],[Forfait_Percentage]],Tb_ProjectKosten[#Headers],0),0),AND(F907="Arbeidskosten",G907&lt;&gt;""),IFERROR(W907*VLOOKUP(G907,Tb_KostenTypen[],3,0)*VLOOKUP(F907,Tb_ProjectKosten[],MATCH(Tb_ProjectKosten[[#Headers],[Forfait_Percentage]],Tb_ProjectKosten[#Headers],0),0),""),W907 &lt;=0,0),"")</f>
        <v/>
      </c>
      <c r="AA907" s="314" t="str" cm="1">
        <f t="array" aca="1" ref="AA907" ca="1">IFERROR(_xlfn.IFS(OR(F907="",LEFT(Methode_Keuze,4)="Geen",Methode_Keuze=""),"",AND(X907&lt;&gt;"",F907&lt;&gt;"Arbeidskosten"),X907*VLOOKUP(F907,Tb_ProjectKosten[],MATCH(Tb_ProjectKosten[[#Headers],[Forfait_Percentage]],Tb_ProjectKosten[#Headers],0),0),AND(F907="Arbeidskosten",G907&lt;&gt;""),IFERROR(X907*VLOOKUP(G907,Tb_KostenTypen[],3,0)*VLOOKUP(F907,Tb_ProjectKosten[],MATCH(Tb_ProjectKosten[[#Headers],[Forfait_Percentage]],Tb_ProjectKosten[#Headers],0),0),""),X907 &lt;=0,0),"")</f>
        <v/>
      </c>
      <c r="AB907" s="314" t="str">
        <f t="shared" ca="1" si="59"/>
        <v/>
      </c>
      <c r="AC907" s="322"/>
      <c r="AD907" s="315"/>
      <c r="AE907" s="32" t="str" cm="1">
        <f t="array" ref="AE907">IFERROR(IF(INDEX(SubsidieTabel!$AD$1:$AG$12,MATCH($F907,SubsidieTabel!$AD$1:$AD$12,0),IFERROR(MATCH(Methode_Keuze,SubsidieTabel!$AD$1:$AG$1,0),2))&lt;&gt;1=TRUE,"ja",""),"")</f>
        <v/>
      </c>
    </row>
    <row r="908" spans="1:31" x14ac:dyDescent="0.25">
      <c r="A908" s="316"/>
      <c r="B908" s="317" t="str">
        <f>IF(A908&lt;&gt;"",_xlfn.MAXIFS($B$1:B907,$A$1:A907,A908)+1,"")</f>
        <v/>
      </c>
      <c r="C908" s="296"/>
      <c r="D908" s="296"/>
      <c r="E908" s="296"/>
      <c r="F908" s="296"/>
      <c r="G908" s="326"/>
      <c r="H908" s="324"/>
      <c r="I908" s="325"/>
      <c r="J908" s="325"/>
      <c r="K908" s="318"/>
      <c r="L908" s="318"/>
      <c r="M908" s="319" t="str">
        <f>IFERROR(VLOOKUP(H908,Lijsten!$H$1:$I$100,2,0),"")</f>
        <v/>
      </c>
      <c r="N908" s="319" t="str">
        <f ca="1">IFERROR(IF(VLOOKUP(F908,Kostentypen!$A$3:$E$21,3,0)=0,"",IF(OR(F908="Arbeidskosten",F908="Vergoeding"),VLOOKUP(G908,Tb_KostenTypen[],2,0),VLOOKUP(F908,Kostentypen!$A$3:$E$20,3,0))),"")</f>
        <v/>
      </c>
      <c r="O908" s="320" t="str" cm="1">
        <f t="array" ref="O908">_xlfn.IFNA(IF(INDEX(Tb_KostenOptiesDB[],MATCH($F908,Tb_KostenOptiesDB[KostenOptie],0),IFERROR(MATCH(Methode_Keuze,Tb_KostenOptiesDB[#Headers],0),2))=1,_xlfn.SWITCH($N908,"Uurtarief",IF(OR(AND(RIGHT($F908,3)="IKS",VLOOKUP($M908,DB_Loonkosten,2,0)="Ja"),AND(RIGHT($F908,3)&lt;&gt;"IKS",VLOOKUP($M908,DB_Loonkosten,2,0)="Nee")),IFERROR(VLOOKUP($M908,DB_Loonkosten,24,0),""),0),"Vast tarief",IF(LEFT(F908,8)="Bijdrage",VLOOKUP($F908,Tb_KostenTypen[],MATCH(Lijsten!$P$1,Tb_KostenTypen[#Headers],0),0),VLOOKUP($G908,Lijsten!L:P,MATCH(Lijsten!$P$1,Kop_Tarief_Vast,0),0))),""),"")</f>
        <v/>
      </c>
      <c r="P908" s="320" t="str" cm="1">
        <f t="array" ref="P908">_xlfn.IFNA(IF(INDEX(Tb_KostenOptiesDB[],MATCH($F908,Tb_KostenOptiesDB[KostenOptie],0),IFERROR(MATCH(Methode_Keuze,Tb_KostenOptiesDB[#Headers],0),2))=1,_xlfn.SWITCH($N908,"Uurtarief",IF(OR(AND(RIGHT($F908,3)="IKS",VLOOKUP($M908,DB_Loonkosten,2,0)="Ja"),AND(RIGHT($F908,3)&lt;&gt;"IKS",VLOOKUP($M908,DB_Loonkosten,2,0)="Nee")),IFERROR(VLOOKUP($M908,DB_Loonkosten,25,0),""),0),"Vast tarief",IF(LEFT(F908,8)="Bijdrage",VLOOKUP($F908,Tb_KostenTypen[],MATCH(Lijsten!$P$1,Tb_KostenTypen[#Headers],0),0),VLOOKUP($G908,Lijsten!L:P,MATCH(Lijsten!$P$1,Kop_Tarief_Vast,0),0))),""),"")</f>
        <v/>
      </c>
      <c r="Q908" s="359"/>
      <c r="R908" s="359"/>
      <c r="S908" s="321"/>
      <c r="T908" s="321"/>
      <c r="U908" s="373" t="str">
        <f t="shared" si="56"/>
        <v/>
      </c>
      <c r="V908" s="314" t="str">
        <f t="shared" si="57"/>
        <v/>
      </c>
      <c r="W908" s="314" t="str" cm="1">
        <f t="array" aca="1" ref="W908" ca="1">IFERROR(IF(AE908&lt;&gt;"ja",_xlfn.IFNA(_xlfn.IFS(AND(O908&lt;&gt;"",F908&lt;&gt;"",RIGHT($N908,6)="tarief",F908="Vergoeding"),SUM(O908)*FLOOR(SUM(Q908),0.0001),AND(O908&lt;&gt;"",F908&lt;&gt;"",RIGHT($N908,6)="tarief"),SUM(O908)*FLOOR(SUM(Q908),0.01),S908&gt;0,IF(F908&lt;&gt;"",FLOOR(SUM(S908),0.01),"")),""),""),"")</f>
        <v/>
      </c>
      <c r="X908" s="314" t="str" cm="1">
        <f t="array" aca="1" ref="X908" ca="1">IFERROR(IF(AE908&lt;&gt;"ja",_xlfn.IFNA(_xlfn.IFS(AND(P908&lt;&gt;"",R908&lt;&gt;"",RIGHT($N908,6)="tarief",F908="Vergoeding"),SUM(P908)*FLOOR(SUM(R908),0.0001),AND(P908&lt;&gt;"",R908&lt;&gt;"",RIGHT($N908,6)="tarief"),P908*FLOOR(R908,0.01),T908&gt;0,FLOOR(SUM(T908),0.01)),""),""),"")</f>
        <v/>
      </c>
      <c r="Y908" s="314" t="str">
        <f t="shared" ca="1" si="58"/>
        <v/>
      </c>
      <c r="Z908" s="314" t="str" cm="1">
        <f t="array" aca="1" ref="Z908" ca="1">IFERROR(_xlfn.IFS(OR(F908="",LEFT(Methode_Keuze,4)="Geen",Methode_Keuze=""),"",AND(W908&lt;&gt;"",F908&lt;&gt;"Arbeidskosten"),W908*VLOOKUP(F908,Tb_ProjectKosten[],MATCH(Tb_ProjectKosten[[#Headers],[Forfait_Percentage]],Tb_ProjectKosten[#Headers],0),0),AND(F908="Arbeidskosten",G908&lt;&gt;""),IFERROR(W908*VLOOKUP(G908,Tb_KostenTypen[],3,0)*VLOOKUP(F908,Tb_ProjectKosten[],MATCH(Tb_ProjectKosten[[#Headers],[Forfait_Percentage]],Tb_ProjectKosten[#Headers],0),0),""),W908 &lt;=0,0),"")</f>
        <v/>
      </c>
      <c r="AA908" s="314" t="str" cm="1">
        <f t="array" aca="1" ref="AA908" ca="1">IFERROR(_xlfn.IFS(OR(F908="",LEFT(Methode_Keuze,4)="Geen",Methode_Keuze=""),"",AND(X908&lt;&gt;"",F908&lt;&gt;"Arbeidskosten"),X908*VLOOKUP(F908,Tb_ProjectKosten[],MATCH(Tb_ProjectKosten[[#Headers],[Forfait_Percentage]],Tb_ProjectKosten[#Headers],0),0),AND(F908="Arbeidskosten",G908&lt;&gt;""),IFERROR(X908*VLOOKUP(G908,Tb_KostenTypen[],3,0)*VLOOKUP(F908,Tb_ProjectKosten[],MATCH(Tb_ProjectKosten[[#Headers],[Forfait_Percentage]],Tb_ProjectKosten[#Headers],0),0),""),X908 &lt;=0,0),"")</f>
        <v/>
      </c>
      <c r="AB908" s="314" t="str">
        <f t="shared" ca="1" si="59"/>
        <v/>
      </c>
      <c r="AC908" s="322"/>
      <c r="AD908" s="315"/>
      <c r="AE908" s="32" t="str" cm="1">
        <f t="array" ref="AE908">IFERROR(IF(INDEX(SubsidieTabel!$AD$1:$AG$12,MATCH($F908,SubsidieTabel!$AD$1:$AD$12,0),IFERROR(MATCH(Methode_Keuze,SubsidieTabel!$AD$1:$AG$1,0),2))&lt;&gt;1=TRUE,"ja",""),"")</f>
        <v/>
      </c>
    </row>
    <row r="909" spans="1:31" x14ac:dyDescent="0.25">
      <c r="A909" s="316"/>
      <c r="B909" s="317" t="str">
        <f>IF(A909&lt;&gt;"",_xlfn.MAXIFS($B$1:B908,$A$1:A908,A909)+1,"")</f>
        <v/>
      </c>
      <c r="C909" s="296"/>
      <c r="D909" s="296"/>
      <c r="E909" s="296"/>
      <c r="F909" s="296"/>
      <c r="G909" s="326"/>
      <c r="H909" s="324"/>
      <c r="I909" s="325"/>
      <c r="J909" s="325"/>
      <c r="K909" s="318"/>
      <c r="L909" s="318"/>
      <c r="M909" s="319" t="str">
        <f>IFERROR(VLOOKUP(H909,Lijsten!$H$1:$I$100,2,0),"")</f>
        <v/>
      </c>
      <c r="N909" s="319" t="str">
        <f ca="1">IFERROR(IF(VLOOKUP(F909,Kostentypen!$A$3:$E$21,3,0)=0,"",IF(OR(F909="Arbeidskosten",F909="Vergoeding"),VLOOKUP(G909,Tb_KostenTypen[],2,0),VLOOKUP(F909,Kostentypen!$A$3:$E$20,3,0))),"")</f>
        <v/>
      </c>
      <c r="O909" s="320" t="str" cm="1">
        <f t="array" ref="O909">_xlfn.IFNA(IF(INDEX(Tb_KostenOptiesDB[],MATCH($F909,Tb_KostenOptiesDB[KostenOptie],0),IFERROR(MATCH(Methode_Keuze,Tb_KostenOptiesDB[#Headers],0),2))=1,_xlfn.SWITCH($N909,"Uurtarief",IF(OR(AND(RIGHT($F909,3)="IKS",VLOOKUP($M909,DB_Loonkosten,2,0)="Ja"),AND(RIGHT($F909,3)&lt;&gt;"IKS",VLOOKUP($M909,DB_Loonkosten,2,0)="Nee")),IFERROR(VLOOKUP($M909,DB_Loonkosten,24,0),""),0),"Vast tarief",IF(LEFT(F909,8)="Bijdrage",VLOOKUP($F909,Tb_KostenTypen[],MATCH(Lijsten!$P$1,Tb_KostenTypen[#Headers],0),0),VLOOKUP($G909,Lijsten!L:P,MATCH(Lijsten!$P$1,Kop_Tarief_Vast,0),0))),""),"")</f>
        <v/>
      </c>
      <c r="P909" s="320" t="str" cm="1">
        <f t="array" ref="P909">_xlfn.IFNA(IF(INDEX(Tb_KostenOptiesDB[],MATCH($F909,Tb_KostenOptiesDB[KostenOptie],0),IFERROR(MATCH(Methode_Keuze,Tb_KostenOptiesDB[#Headers],0),2))=1,_xlfn.SWITCH($N909,"Uurtarief",IF(OR(AND(RIGHT($F909,3)="IKS",VLOOKUP($M909,DB_Loonkosten,2,0)="Ja"),AND(RIGHT($F909,3)&lt;&gt;"IKS",VLOOKUP($M909,DB_Loonkosten,2,0)="Nee")),IFERROR(VLOOKUP($M909,DB_Loonkosten,25,0),""),0),"Vast tarief",IF(LEFT(F909,8)="Bijdrage",VLOOKUP($F909,Tb_KostenTypen[],MATCH(Lijsten!$P$1,Tb_KostenTypen[#Headers],0),0),VLOOKUP($G909,Lijsten!L:P,MATCH(Lijsten!$P$1,Kop_Tarief_Vast,0),0))),""),"")</f>
        <v/>
      </c>
      <c r="Q909" s="359"/>
      <c r="R909" s="359"/>
      <c r="S909" s="321"/>
      <c r="T909" s="321"/>
      <c r="U909" s="373" t="str">
        <f t="shared" si="56"/>
        <v/>
      </c>
      <c r="V909" s="314" t="str">
        <f t="shared" si="57"/>
        <v/>
      </c>
      <c r="W909" s="314" t="str" cm="1">
        <f t="array" aca="1" ref="W909" ca="1">IFERROR(IF(AE909&lt;&gt;"ja",_xlfn.IFNA(_xlfn.IFS(AND(O909&lt;&gt;"",F909&lt;&gt;"",RIGHT($N909,6)="tarief",F909="Vergoeding"),SUM(O909)*FLOOR(SUM(Q909),0.0001),AND(O909&lt;&gt;"",F909&lt;&gt;"",RIGHT($N909,6)="tarief"),SUM(O909)*FLOOR(SUM(Q909),0.01),S909&gt;0,IF(F909&lt;&gt;"",FLOOR(SUM(S909),0.01),"")),""),""),"")</f>
        <v/>
      </c>
      <c r="X909" s="314" t="str" cm="1">
        <f t="array" aca="1" ref="X909" ca="1">IFERROR(IF(AE909&lt;&gt;"ja",_xlfn.IFNA(_xlfn.IFS(AND(P909&lt;&gt;"",R909&lt;&gt;"",RIGHT($N909,6)="tarief",F909="Vergoeding"),SUM(P909)*FLOOR(SUM(R909),0.0001),AND(P909&lt;&gt;"",R909&lt;&gt;"",RIGHT($N909,6)="tarief"),P909*FLOOR(R909,0.01),T909&gt;0,FLOOR(SUM(T909),0.01)),""),""),"")</f>
        <v/>
      </c>
      <c r="Y909" s="314" t="str">
        <f t="shared" ca="1" si="58"/>
        <v/>
      </c>
      <c r="Z909" s="314" t="str" cm="1">
        <f t="array" aca="1" ref="Z909" ca="1">IFERROR(_xlfn.IFS(OR(F909="",LEFT(Methode_Keuze,4)="Geen",Methode_Keuze=""),"",AND(W909&lt;&gt;"",F909&lt;&gt;"Arbeidskosten"),W909*VLOOKUP(F909,Tb_ProjectKosten[],MATCH(Tb_ProjectKosten[[#Headers],[Forfait_Percentage]],Tb_ProjectKosten[#Headers],0),0),AND(F909="Arbeidskosten",G909&lt;&gt;""),IFERROR(W909*VLOOKUP(G909,Tb_KostenTypen[],3,0)*VLOOKUP(F909,Tb_ProjectKosten[],MATCH(Tb_ProjectKosten[[#Headers],[Forfait_Percentage]],Tb_ProjectKosten[#Headers],0),0),""),W909 &lt;=0,0),"")</f>
        <v/>
      </c>
      <c r="AA909" s="314" t="str" cm="1">
        <f t="array" aca="1" ref="AA909" ca="1">IFERROR(_xlfn.IFS(OR(F909="",LEFT(Methode_Keuze,4)="Geen",Methode_Keuze=""),"",AND(X909&lt;&gt;"",F909&lt;&gt;"Arbeidskosten"),X909*VLOOKUP(F909,Tb_ProjectKosten[],MATCH(Tb_ProjectKosten[[#Headers],[Forfait_Percentage]],Tb_ProjectKosten[#Headers],0),0),AND(F909="Arbeidskosten",G909&lt;&gt;""),IFERROR(X909*VLOOKUP(G909,Tb_KostenTypen[],3,0)*VLOOKUP(F909,Tb_ProjectKosten[],MATCH(Tb_ProjectKosten[[#Headers],[Forfait_Percentage]],Tb_ProjectKosten[#Headers],0),0),""),X909 &lt;=0,0),"")</f>
        <v/>
      </c>
      <c r="AB909" s="314" t="str">
        <f t="shared" ca="1" si="59"/>
        <v/>
      </c>
      <c r="AC909" s="322"/>
      <c r="AD909" s="315"/>
      <c r="AE909" s="32" t="str" cm="1">
        <f t="array" ref="AE909">IFERROR(IF(INDEX(SubsidieTabel!$AD$1:$AG$12,MATCH($F909,SubsidieTabel!$AD$1:$AD$12,0),IFERROR(MATCH(Methode_Keuze,SubsidieTabel!$AD$1:$AG$1,0),2))&lt;&gt;1=TRUE,"ja",""),"")</f>
        <v/>
      </c>
    </row>
    <row r="910" spans="1:31" x14ac:dyDescent="0.25">
      <c r="A910" s="316"/>
      <c r="B910" s="317" t="str">
        <f>IF(A910&lt;&gt;"",_xlfn.MAXIFS($B$1:B909,$A$1:A909,A910)+1,"")</f>
        <v/>
      </c>
      <c r="C910" s="296"/>
      <c r="D910" s="296"/>
      <c r="E910" s="296"/>
      <c r="F910" s="296"/>
      <c r="G910" s="326"/>
      <c r="H910" s="324"/>
      <c r="I910" s="325"/>
      <c r="J910" s="325"/>
      <c r="K910" s="318"/>
      <c r="L910" s="318"/>
      <c r="M910" s="319" t="str">
        <f>IFERROR(VLOOKUP(H910,Lijsten!$H$1:$I$100,2,0),"")</f>
        <v/>
      </c>
      <c r="N910" s="319" t="str">
        <f ca="1">IFERROR(IF(VLOOKUP(F910,Kostentypen!$A$3:$E$21,3,0)=0,"",IF(OR(F910="Arbeidskosten",F910="Vergoeding"),VLOOKUP(G910,Tb_KostenTypen[],2,0),VLOOKUP(F910,Kostentypen!$A$3:$E$20,3,0))),"")</f>
        <v/>
      </c>
      <c r="O910" s="320" t="str" cm="1">
        <f t="array" ref="O910">_xlfn.IFNA(IF(INDEX(Tb_KostenOptiesDB[],MATCH($F910,Tb_KostenOptiesDB[KostenOptie],0),IFERROR(MATCH(Methode_Keuze,Tb_KostenOptiesDB[#Headers],0),2))=1,_xlfn.SWITCH($N910,"Uurtarief",IF(OR(AND(RIGHT($F910,3)="IKS",VLOOKUP($M910,DB_Loonkosten,2,0)="Ja"),AND(RIGHT($F910,3)&lt;&gt;"IKS",VLOOKUP($M910,DB_Loonkosten,2,0)="Nee")),IFERROR(VLOOKUP($M910,DB_Loonkosten,24,0),""),0),"Vast tarief",IF(LEFT(F910,8)="Bijdrage",VLOOKUP($F910,Tb_KostenTypen[],MATCH(Lijsten!$P$1,Tb_KostenTypen[#Headers],0),0),VLOOKUP($G910,Lijsten!L:P,MATCH(Lijsten!$P$1,Kop_Tarief_Vast,0),0))),""),"")</f>
        <v/>
      </c>
      <c r="P910" s="320" t="str" cm="1">
        <f t="array" ref="P910">_xlfn.IFNA(IF(INDEX(Tb_KostenOptiesDB[],MATCH($F910,Tb_KostenOptiesDB[KostenOptie],0),IFERROR(MATCH(Methode_Keuze,Tb_KostenOptiesDB[#Headers],0),2))=1,_xlfn.SWITCH($N910,"Uurtarief",IF(OR(AND(RIGHT($F910,3)="IKS",VLOOKUP($M910,DB_Loonkosten,2,0)="Ja"),AND(RIGHT($F910,3)&lt;&gt;"IKS",VLOOKUP($M910,DB_Loonkosten,2,0)="Nee")),IFERROR(VLOOKUP($M910,DB_Loonkosten,25,0),""),0),"Vast tarief",IF(LEFT(F910,8)="Bijdrage",VLOOKUP($F910,Tb_KostenTypen[],MATCH(Lijsten!$P$1,Tb_KostenTypen[#Headers],0),0),VLOOKUP($G910,Lijsten!L:P,MATCH(Lijsten!$P$1,Kop_Tarief_Vast,0),0))),""),"")</f>
        <v/>
      </c>
      <c r="Q910" s="359"/>
      <c r="R910" s="359"/>
      <c r="S910" s="321"/>
      <c r="T910" s="321"/>
      <c r="U910" s="373" t="str">
        <f t="shared" si="56"/>
        <v/>
      </c>
      <c r="V910" s="314" t="str">
        <f t="shared" si="57"/>
        <v/>
      </c>
      <c r="W910" s="314" t="str" cm="1">
        <f t="array" aca="1" ref="W910" ca="1">IFERROR(IF(AE910&lt;&gt;"ja",_xlfn.IFNA(_xlfn.IFS(AND(O910&lt;&gt;"",F910&lt;&gt;"",RIGHT($N910,6)="tarief",F910="Vergoeding"),SUM(O910)*FLOOR(SUM(Q910),0.0001),AND(O910&lt;&gt;"",F910&lt;&gt;"",RIGHT($N910,6)="tarief"),SUM(O910)*FLOOR(SUM(Q910),0.01),S910&gt;0,IF(F910&lt;&gt;"",FLOOR(SUM(S910),0.01),"")),""),""),"")</f>
        <v/>
      </c>
      <c r="X910" s="314" t="str" cm="1">
        <f t="array" aca="1" ref="X910" ca="1">IFERROR(IF(AE910&lt;&gt;"ja",_xlfn.IFNA(_xlfn.IFS(AND(P910&lt;&gt;"",R910&lt;&gt;"",RIGHT($N910,6)="tarief",F910="Vergoeding"),SUM(P910)*FLOOR(SUM(R910),0.0001),AND(P910&lt;&gt;"",R910&lt;&gt;"",RIGHT($N910,6)="tarief"),P910*FLOOR(R910,0.01),T910&gt;0,FLOOR(SUM(T910),0.01)),""),""),"")</f>
        <v/>
      </c>
      <c r="Y910" s="314" t="str">
        <f t="shared" ca="1" si="58"/>
        <v/>
      </c>
      <c r="Z910" s="314" t="str" cm="1">
        <f t="array" aca="1" ref="Z910" ca="1">IFERROR(_xlfn.IFS(OR(F910="",LEFT(Methode_Keuze,4)="Geen",Methode_Keuze=""),"",AND(W910&lt;&gt;"",F910&lt;&gt;"Arbeidskosten"),W910*VLOOKUP(F910,Tb_ProjectKosten[],MATCH(Tb_ProjectKosten[[#Headers],[Forfait_Percentage]],Tb_ProjectKosten[#Headers],0),0),AND(F910="Arbeidskosten",G910&lt;&gt;""),IFERROR(W910*VLOOKUP(G910,Tb_KostenTypen[],3,0)*VLOOKUP(F910,Tb_ProjectKosten[],MATCH(Tb_ProjectKosten[[#Headers],[Forfait_Percentage]],Tb_ProjectKosten[#Headers],0),0),""),W910 &lt;=0,0),"")</f>
        <v/>
      </c>
      <c r="AA910" s="314" t="str" cm="1">
        <f t="array" aca="1" ref="AA910" ca="1">IFERROR(_xlfn.IFS(OR(F910="",LEFT(Methode_Keuze,4)="Geen",Methode_Keuze=""),"",AND(X910&lt;&gt;"",F910&lt;&gt;"Arbeidskosten"),X910*VLOOKUP(F910,Tb_ProjectKosten[],MATCH(Tb_ProjectKosten[[#Headers],[Forfait_Percentage]],Tb_ProjectKosten[#Headers],0),0),AND(F910="Arbeidskosten",G910&lt;&gt;""),IFERROR(X910*VLOOKUP(G910,Tb_KostenTypen[],3,0)*VLOOKUP(F910,Tb_ProjectKosten[],MATCH(Tb_ProjectKosten[[#Headers],[Forfait_Percentage]],Tb_ProjectKosten[#Headers],0),0),""),X910 &lt;=0,0),"")</f>
        <v/>
      </c>
      <c r="AB910" s="314" t="str">
        <f t="shared" ca="1" si="59"/>
        <v/>
      </c>
      <c r="AC910" s="322"/>
      <c r="AD910" s="315"/>
      <c r="AE910" s="32" t="str" cm="1">
        <f t="array" ref="AE910">IFERROR(IF(INDEX(SubsidieTabel!$AD$1:$AG$12,MATCH($F910,SubsidieTabel!$AD$1:$AD$12,0),IFERROR(MATCH(Methode_Keuze,SubsidieTabel!$AD$1:$AG$1,0),2))&lt;&gt;1=TRUE,"ja",""),"")</f>
        <v/>
      </c>
    </row>
    <row r="911" spans="1:31" x14ac:dyDescent="0.25">
      <c r="A911" s="316"/>
      <c r="B911" s="317" t="str">
        <f>IF(A911&lt;&gt;"",_xlfn.MAXIFS($B$1:B910,$A$1:A910,A911)+1,"")</f>
        <v/>
      </c>
      <c r="C911" s="296"/>
      <c r="D911" s="296"/>
      <c r="E911" s="296"/>
      <c r="F911" s="296"/>
      <c r="G911" s="326"/>
      <c r="H911" s="324"/>
      <c r="I911" s="325"/>
      <c r="J911" s="325"/>
      <c r="K911" s="318"/>
      <c r="L911" s="318"/>
      <c r="M911" s="319" t="str">
        <f>IFERROR(VLOOKUP(H911,Lijsten!$H$1:$I$100,2,0),"")</f>
        <v/>
      </c>
      <c r="N911" s="319" t="str">
        <f ca="1">IFERROR(IF(VLOOKUP(F911,Kostentypen!$A$3:$E$21,3,0)=0,"",IF(OR(F911="Arbeidskosten",F911="Vergoeding"),VLOOKUP(G911,Tb_KostenTypen[],2,0),VLOOKUP(F911,Kostentypen!$A$3:$E$20,3,0))),"")</f>
        <v/>
      </c>
      <c r="O911" s="320" t="str" cm="1">
        <f t="array" ref="O911">_xlfn.IFNA(IF(INDEX(Tb_KostenOptiesDB[],MATCH($F911,Tb_KostenOptiesDB[KostenOptie],0),IFERROR(MATCH(Methode_Keuze,Tb_KostenOptiesDB[#Headers],0),2))=1,_xlfn.SWITCH($N911,"Uurtarief",IF(OR(AND(RIGHT($F911,3)="IKS",VLOOKUP($M911,DB_Loonkosten,2,0)="Ja"),AND(RIGHT($F911,3)&lt;&gt;"IKS",VLOOKUP($M911,DB_Loonkosten,2,0)="Nee")),IFERROR(VLOOKUP($M911,DB_Loonkosten,24,0),""),0),"Vast tarief",IF(LEFT(F911,8)="Bijdrage",VLOOKUP($F911,Tb_KostenTypen[],MATCH(Lijsten!$P$1,Tb_KostenTypen[#Headers],0),0),VLOOKUP($G911,Lijsten!L:P,MATCH(Lijsten!$P$1,Kop_Tarief_Vast,0),0))),""),"")</f>
        <v/>
      </c>
      <c r="P911" s="320" t="str" cm="1">
        <f t="array" ref="P911">_xlfn.IFNA(IF(INDEX(Tb_KostenOptiesDB[],MATCH($F911,Tb_KostenOptiesDB[KostenOptie],0),IFERROR(MATCH(Methode_Keuze,Tb_KostenOptiesDB[#Headers],0),2))=1,_xlfn.SWITCH($N911,"Uurtarief",IF(OR(AND(RIGHT($F911,3)="IKS",VLOOKUP($M911,DB_Loonkosten,2,0)="Ja"),AND(RIGHT($F911,3)&lt;&gt;"IKS",VLOOKUP($M911,DB_Loonkosten,2,0)="Nee")),IFERROR(VLOOKUP($M911,DB_Loonkosten,25,0),""),0),"Vast tarief",IF(LEFT(F911,8)="Bijdrage",VLOOKUP($F911,Tb_KostenTypen[],MATCH(Lijsten!$P$1,Tb_KostenTypen[#Headers],0),0),VLOOKUP($G911,Lijsten!L:P,MATCH(Lijsten!$P$1,Kop_Tarief_Vast,0),0))),""),"")</f>
        <v/>
      </c>
      <c r="Q911" s="359"/>
      <c r="R911" s="359"/>
      <c r="S911" s="321"/>
      <c r="T911" s="321"/>
      <c r="U911" s="373" t="str">
        <f t="shared" si="56"/>
        <v/>
      </c>
      <c r="V911" s="314" t="str">
        <f t="shared" si="57"/>
        <v/>
      </c>
      <c r="W911" s="314" t="str" cm="1">
        <f t="array" aca="1" ref="W911" ca="1">IFERROR(IF(AE911&lt;&gt;"ja",_xlfn.IFNA(_xlfn.IFS(AND(O911&lt;&gt;"",F911&lt;&gt;"",RIGHT($N911,6)="tarief",F911="Vergoeding"),SUM(O911)*FLOOR(SUM(Q911),0.0001),AND(O911&lt;&gt;"",F911&lt;&gt;"",RIGHT($N911,6)="tarief"),SUM(O911)*FLOOR(SUM(Q911),0.01),S911&gt;0,IF(F911&lt;&gt;"",FLOOR(SUM(S911),0.01),"")),""),""),"")</f>
        <v/>
      </c>
      <c r="X911" s="314" t="str" cm="1">
        <f t="array" aca="1" ref="X911" ca="1">IFERROR(IF(AE911&lt;&gt;"ja",_xlfn.IFNA(_xlfn.IFS(AND(P911&lt;&gt;"",R911&lt;&gt;"",RIGHT($N911,6)="tarief",F911="Vergoeding"),SUM(P911)*FLOOR(SUM(R911),0.0001),AND(P911&lt;&gt;"",R911&lt;&gt;"",RIGHT($N911,6)="tarief"),P911*FLOOR(R911,0.01),T911&gt;0,FLOOR(SUM(T911),0.01)),""),""),"")</f>
        <v/>
      </c>
      <c r="Y911" s="314" t="str">
        <f t="shared" ca="1" si="58"/>
        <v/>
      </c>
      <c r="Z911" s="314" t="str" cm="1">
        <f t="array" aca="1" ref="Z911" ca="1">IFERROR(_xlfn.IFS(OR(F911="",LEFT(Methode_Keuze,4)="Geen",Methode_Keuze=""),"",AND(W911&lt;&gt;"",F911&lt;&gt;"Arbeidskosten"),W911*VLOOKUP(F911,Tb_ProjectKosten[],MATCH(Tb_ProjectKosten[[#Headers],[Forfait_Percentage]],Tb_ProjectKosten[#Headers],0),0),AND(F911="Arbeidskosten",G911&lt;&gt;""),IFERROR(W911*VLOOKUP(G911,Tb_KostenTypen[],3,0)*VLOOKUP(F911,Tb_ProjectKosten[],MATCH(Tb_ProjectKosten[[#Headers],[Forfait_Percentage]],Tb_ProjectKosten[#Headers],0),0),""),W911 &lt;=0,0),"")</f>
        <v/>
      </c>
      <c r="AA911" s="314" t="str" cm="1">
        <f t="array" aca="1" ref="AA911" ca="1">IFERROR(_xlfn.IFS(OR(F911="",LEFT(Methode_Keuze,4)="Geen",Methode_Keuze=""),"",AND(X911&lt;&gt;"",F911&lt;&gt;"Arbeidskosten"),X911*VLOOKUP(F911,Tb_ProjectKosten[],MATCH(Tb_ProjectKosten[[#Headers],[Forfait_Percentage]],Tb_ProjectKosten[#Headers],0),0),AND(F911="Arbeidskosten",G911&lt;&gt;""),IFERROR(X911*VLOOKUP(G911,Tb_KostenTypen[],3,0)*VLOOKUP(F911,Tb_ProjectKosten[],MATCH(Tb_ProjectKosten[[#Headers],[Forfait_Percentage]],Tb_ProjectKosten[#Headers],0),0),""),X911 &lt;=0,0),"")</f>
        <v/>
      </c>
      <c r="AB911" s="314" t="str">
        <f t="shared" ca="1" si="59"/>
        <v/>
      </c>
      <c r="AC911" s="322"/>
      <c r="AD911" s="315"/>
      <c r="AE911" s="32" t="str" cm="1">
        <f t="array" ref="AE911">IFERROR(IF(INDEX(SubsidieTabel!$AD$1:$AG$12,MATCH($F911,SubsidieTabel!$AD$1:$AD$12,0),IFERROR(MATCH(Methode_Keuze,SubsidieTabel!$AD$1:$AG$1,0),2))&lt;&gt;1=TRUE,"ja",""),"")</f>
        <v/>
      </c>
    </row>
    <row r="912" spans="1:31" x14ac:dyDescent="0.25">
      <c r="A912" s="316"/>
      <c r="B912" s="317" t="str">
        <f>IF(A912&lt;&gt;"",_xlfn.MAXIFS($B$1:B911,$A$1:A911,A912)+1,"")</f>
        <v/>
      </c>
      <c r="C912" s="296"/>
      <c r="D912" s="296"/>
      <c r="E912" s="296"/>
      <c r="F912" s="296"/>
      <c r="G912" s="326"/>
      <c r="H912" s="324"/>
      <c r="I912" s="325"/>
      <c r="J912" s="325"/>
      <c r="K912" s="318"/>
      <c r="L912" s="318"/>
      <c r="M912" s="319" t="str">
        <f>IFERROR(VLOOKUP(H912,Lijsten!$H$1:$I$100,2,0),"")</f>
        <v/>
      </c>
      <c r="N912" s="319" t="str">
        <f ca="1">IFERROR(IF(VLOOKUP(F912,Kostentypen!$A$3:$E$21,3,0)=0,"",IF(OR(F912="Arbeidskosten",F912="Vergoeding"),VLOOKUP(G912,Tb_KostenTypen[],2,0),VLOOKUP(F912,Kostentypen!$A$3:$E$20,3,0))),"")</f>
        <v/>
      </c>
      <c r="O912" s="320" t="str" cm="1">
        <f t="array" ref="O912">_xlfn.IFNA(IF(INDEX(Tb_KostenOptiesDB[],MATCH($F912,Tb_KostenOptiesDB[KostenOptie],0),IFERROR(MATCH(Methode_Keuze,Tb_KostenOptiesDB[#Headers],0),2))=1,_xlfn.SWITCH($N912,"Uurtarief",IF(OR(AND(RIGHT($F912,3)="IKS",VLOOKUP($M912,DB_Loonkosten,2,0)="Ja"),AND(RIGHT($F912,3)&lt;&gt;"IKS",VLOOKUP($M912,DB_Loonkosten,2,0)="Nee")),IFERROR(VLOOKUP($M912,DB_Loonkosten,24,0),""),0),"Vast tarief",IF(LEFT(F912,8)="Bijdrage",VLOOKUP($F912,Tb_KostenTypen[],MATCH(Lijsten!$P$1,Tb_KostenTypen[#Headers],0),0),VLOOKUP($G912,Lijsten!L:P,MATCH(Lijsten!$P$1,Kop_Tarief_Vast,0),0))),""),"")</f>
        <v/>
      </c>
      <c r="P912" s="320" t="str" cm="1">
        <f t="array" ref="P912">_xlfn.IFNA(IF(INDEX(Tb_KostenOptiesDB[],MATCH($F912,Tb_KostenOptiesDB[KostenOptie],0),IFERROR(MATCH(Methode_Keuze,Tb_KostenOptiesDB[#Headers],0),2))=1,_xlfn.SWITCH($N912,"Uurtarief",IF(OR(AND(RIGHT($F912,3)="IKS",VLOOKUP($M912,DB_Loonkosten,2,0)="Ja"),AND(RIGHT($F912,3)&lt;&gt;"IKS",VLOOKUP($M912,DB_Loonkosten,2,0)="Nee")),IFERROR(VLOOKUP($M912,DB_Loonkosten,25,0),""),0),"Vast tarief",IF(LEFT(F912,8)="Bijdrage",VLOOKUP($F912,Tb_KostenTypen[],MATCH(Lijsten!$P$1,Tb_KostenTypen[#Headers],0),0),VLOOKUP($G912,Lijsten!L:P,MATCH(Lijsten!$P$1,Kop_Tarief_Vast,0),0))),""),"")</f>
        <v/>
      </c>
      <c r="Q912" s="359"/>
      <c r="R912" s="359"/>
      <c r="S912" s="321"/>
      <c r="T912" s="321"/>
      <c r="U912" s="373" t="str">
        <f t="shared" si="56"/>
        <v/>
      </c>
      <c r="V912" s="314" t="str">
        <f t="shared" si="57"/>
        <v/>
      </c>
      <c r="W912" s="314" t="str" cm="1">
        <f t="array" aca="1" ref="W912" ca="1">IFERROR(IF(AE912&lt;&gt;"ja",_xlfn.IFNA(_xlfn.IFS(AND(O912&lt;&gt;"",F912&lt;&gt;"",RIGHT($N912,6)="tarief",F912="Vergoeding"),SUM(O912)*FLOOR(SUM(Q912),0.0001),AND(O912&lt;&gt;"",F912&lt;&gt;"",RIGHT($N912,6)="tarief"),SUM(O912)*FLOOR(SUM(Q912),0.01),S912&gt;0,IF(F912&lt;&gt;"",FLOOR(SUM(S912),0.01),"")),""),""),"")</f>
        <v/>
      </c>
      <c r="X912" s="314" t="str" cm="1">
        <f t="array" aca="1" ref="X912" ca="1">IFERROR(IF(AE912&lt;&gt;"ja",_xlfn.IFNA(_xlfn.IFS(AND(P912&lt;&gt;"",R912&lt;&gt;"",RIGHT($N912,6)="tarief",F912="Vergoeding"),SUM(P912)*FLOOR(SUM(R912),0.0001),AND(P912&lt;&gt;"",R912&lt;&gt;"",RIGHT($N912,6)="tarief"),P912*FLOOR(R912,0.01),T912&gt;0,FLOOR(SUM(T912),0.01)),""),""),"")</f>
        <v/>
      </c>
      <c r="Y912" s="314" t="str">
        <f t="shared" ca="1" si="58"/>
        <v/>
      </c>
      <c r="Z912" s="314" t="str" cm="1">
        <f t="array" aca="1" ref="Z912" ca="1">IFERROR(_xlfn.IFS(OR(F912="",LEFT(Methode_Keuze,4)="Geen",Methode_Keuze=""),"",AND(W912&lt;&gt;"",F912&lt;&gt;"Arbeidskosten"),W912*VLOOKUP(F912,Tb_ProjectKosten[],MATCH(Tb_ProjectKosten[[#Headers],[Forfait_Percentage]],Tb_ProjectKosten[#Headers],0),0),AND(F912="Arbeidskosten",G912&lt;&gt;""),IFERROR(W912*VLOOKUP(G912,Tb_KostenTypen[],3,0)*VLOOKUP(F912,Tb_ProjectKosten[],MATCH(Tb_ProjectKosten[[#Headers],[Forfait_Percentage]],Tb_ProjectKosten[#Headers],0),0),""),W912 &lt;=0,0),"")</f>
        <v/>
      </c>
      <c r="AA912" s="314" t="str" cm="1">
        <f t="array" aca="1" ref="AA912" ca="1">IFERROR(_xlfn.IFS(OR(F912="",LEFT(Methode_Keuze,4)="Geen",Methode_Keuze=""),"",AND(X912&lt;&gt;"",F912&lt;&gt;"Arbeidskosten"),X912*VLOOKUP(F912,Tb_ProjectKosten[],MATCH(Tb_ProjectKosten[[#Headers],[Forfait_Percentage]],Tb_ProjectKosten[#Headers],0),0),AND(F912="Arbeidskosten",G912&lt;&gt;""),IFERROR(X912*VLOOKUP(G912,Tb_KostenTypen[],3,0)*VLOOKUP(F912,Tb_ProjectKosten[],MATCH(Tb_ProjectKosten[[#Headers],[Forfait_Percentage]],Tb_ProjectKosten[#Headers],0),0),""),X912 &lt;=0,0),"")</f>
        <v/>
      </c>
      <c r="AB912" s="314" t="str">
        <f t="shared" ca="1" si="59"/>
        <v/>
      </c>
      <c r="AC912" s="322"/>
      <c r="AD912" s="315"/>
      <c r="AE912" s="32" t="str" cm="1">
        <f t="array" ref="AE912">IFERROR(IF(INDEX(SubsidieTabel!$AD$1:$AG$12,MATCH($F912,SubsidieTabel!$AD$1:$AD$12,0),IFERROR(MATCH(Methode_Keuze,SubsidieTabel!$AD$1:$AG$1,0),2))&lt;&gt;1=TRUE,"ja",""),"")</f>
        <v/>
      </c>
    </row>
    <row r="913" spans="1:31" x14ac:dyDescent="0.25">
      <c r="A913" s="316"/>
      <c r="B913" s="317" t="str">
        <f>IF(A913&lt;&gt;"",_xlfn.MAXIFS($B$1:B912,$A$1:A912,A913)+1,"")</f>
        <v/>
      </c>
      <c r="C913" s="296"/>
      <c r="D913" s="296"/>
      <c r="E913" s="296"/>
      <c r="F913" s="296"/>
      <c r="G913" s="326"/>
      <c r="H913" s="324"/>
      <c r="I913" s="325"/>
      <c r="J913" s="325"/>
      <c r="K913" s="318"/>
      <c r="L913" s="318"/>
      <c r="M913" s="319" t="str">
        <f>IFERROR(VLOOKUP(H913,Lijsten!$H$1:$I$100,2,0),"")</f>
        <v/>
      </c>
      <c r="N913" s="319" t="str">
        <f ca="1">IFERROR(IF(VLOOKUP(F913,Kostentypen!$A$3:$E$21,3,0)=0,"",IF(OR(F913="Arbeidskosten",F913="Vergoeding"),VLOOKUP(G913,Tb_KostenTypen[],2,0),VLOOKUP(F913,Kostentypen!$A$3:$E$20,3,0))),"")</f>
        <v/>
      </c>
      <c r="O913" s="320" t="str" cm="1">
        <f t="array" ref="O913">_xlfn.IFNA(IF(INDEX(Tb_KostenOptiesDB[],MATCH($F913,Tb_KostenOptiesDB[KostenOptie],0),IFERROR(MATCH(Methode_Keuze,Tb_KostenOptiesDB[#Headers],0),2))=1,_xlfn.SWITCH($N913,"Uurtarief",IF(OR(AND(RIGHT($F913,3)="IKS",VLOOKUP($M913,DB_Loonkosten,2,0)="Ja"),AND(RIGHT($F913,3)&lt;&gt;"IKS",VLOOKUP($M913,DB_Loonkosten,2,0)="Nee")),IFERROR(VLOOKUP($M913,DB_Loonkosten,24,0),""),0),"Vast tarief",IF(LEFT(F913,8)="Bijdrage",VLOOKUP($F913,Tb_KostenTypen[],MATCH(Lijsten!$P$1,Tb_KostenTypen[#Headers],0),0),VLOOKUP($G913,Lijsten!L:P,MATCH(Lijsten!$P$1,Kop_Tarief_Vast,0),0))),""),"")</f>
        <v/>
      </c>
      <c r="P913" s="320" t="str" cm="1">
        <f t="array" ref="P913">_xlfn.IFNA(IF(INDEX(Tb_KostenOptiesDB[],MATCH($F913,Tb_KostenOptiesDB[KostenOptie],0),IFERROR(MATCH(Methode_Keuze,Tb_KostenOptiesDB[#Headers],0),2))=1,_xlfn.SWITCH($N913,"Uurtarief",IF(OR(AND(RIGHT($F913,3)="IKS",VLOOKUP($M913,DB_Loonkosten,2,0)="Ja"),AND(RIGHT($F913,3)&lt;&gt;"IKS",VLOOKUP($M913,DB_Loonkosten,2,0)="Nee")),IFERROR(VLOOKUP($M913,DB_Loonkosten,25,0),""),0),"Vast tarief",IF(LEFT(F913,8)="Bijdrage",VLOOKUP($F913,Tb_KostenTypen[],MATCH(Lijsten!$P$1,Tb_KostenTypen[#Headers],0),0),VLOOKUP($G913,Lijsten!L:P,MATCH(Lijsten!$P$1,Kop_Tarief_Vast,0),0))),""),"")</f>
        <v/>
      </c>
      <c r="Q913" s="359"/>
      <c r="R913" s="359"/>
      <c r="S913" s="321"/>
      <c r="T913" s="321"/>
      <c r="U913" s="373" t="str">
        <f t="shared" si="56"/>
        <v/>
      </c>
      <c r="V913" s="314" t="str">
        <f t="shared" si="57"/>
        <v/>
      </c>
      <c r="W913" s="314" t="str" cm="1">
        <f t="array" aca="1" ref="W913" ca="1">IFERROR(IF(AE913&lt;&gt;"ja",_xlfn.IFNA(_xlfn.IFS(AND(O913&lt;&gt;"",F913&lt;&gt;"",RIGHT($N913,6)="tarief",F913="Vergoeding"),SUM(O913)*FLOOR(SUM(Q913),0.0001),AND(O913&lt;&gt;"",F913&lt;&gt;"",RIGHT($N913,6)="tarief"),SUM(O913)*FLOOR(SUM(Q913),0.01),S913&gt;0,IF(F913&lt;&gt;"",FLOOR(SUM(S913),0.01),"")),""),""),"")</f>
        <v/>
      </c>
      <c r="X913" s="314" t="str" cm="1">
        <f t="array" aca="1" ref="X913" ca="1">IFERROR(IF(AE913&lt;&gt;"ja",_xlfn.IFNA(_xlfn.IFS(AND(P913&lt;&gt;"",R913&lt;&gt;"",RIGHT($N913,6)="tarief",F913="Vergoeding"),SUM(P913)*FLOOR(SUM(R913),0.0001),AND(P913&lt;&gt;"",R913&lt;&gt;"",RIGHT($N913,6)="tarief"),P913*FLOOR(R913,0.01),T913&gt;0,FLOOR(SUM(T913),0.01)),""),""),"")</f>
        <v/>
      </c>
      <c r="Y913" s="314" t="str">
        <f t="shared" ca="1" si="58"/>
        <v/>
      </c>
      <c r="Z913" s="314" t="str" cm="1">
        <f t="array" aca="1" ref="Z913" ca="1">IFERROR(_xlfn.IFS(OR(F913="",LEFT(Methode_Keuze,4)="Geen",Methode_Keuze=""),"",AND(W913&lt;&gt;"",F913&lt;&gt;"Arbeidskosten"),W913*VLOOKUP(F913,Tb_ProjectKosten[],MATCH(Tb_ProjectKosten[[#Headers],[Forfait_Percentage]],Tb_ProjectKosten[#Headers],0),0),AND(F913="Arbeidskosten",G913&lt;&gt;""),IFERROR(W913*VLOOKUP(G913,Tb_KostenTypen[],3,0)*VLOOKUP(F913,Tb_ProjectKosten[],MATCH(Tb_ProjectKosten[[#Headers],[Forfait_Percentage]],Tb_ProjectKosten[#Headers],0),0),""),W913 &lt;=0,0),"")</f>
        <v/>
      </c>
      <c r="AA913" s="314" t="str" cm="1">
        <f t="array" aca="1" ref="AA913" ca="1">IFERROR(_xlfn.IFS(OR(F913="",LEFT(Methode_Keuze,4)="Geen",Methode_Keuze=""),"",AND(X913&lt;&gt;"",F913&lt;&gt;"Arbeidskosten"),X913*VLOOKUP(F913,Tb_ProjectKosten[],MATCH(Tb_ProjectKosten[[#Headers],[Forfait_Percentage]],Tb_ProjectKosten[#Headers],0),0),AND(F913="Arbeidskosten",G913&lt;&gt;""),IFERROR(X913*VLOOKUP(G913,Tb_KostenTypen[],3,0)*VLOOKUP(F913,Tb_ProjectKosten[],MATCH(Tb_ProjectKosten[[#Headers],[Forfait_Percentage]],Tb_ProjectKosten[#Headers],0),0),""),X913 &lt;=0,0),"")</f>
        <v/>
      </c>
      <c r="AB913" s="314" t="str">
        <f t="shared" ca="1" si="59"/>
        <v/>
      </c>
      <c r="AC913" s="322"/>
      <c r="AD913" s="315"/>
      <c r="AE913" s="32" t="str" cm="1">
        <f t="array" ref="AE913">IFERROR(IF(INDEX(SubsidieTabel!$AD$1:$AG$12,MATCH($F913,SubsidieTabel!$AD$1:$AD$12,0),IFERROR(MATCH(Methode_Keuze,SubsidieTabel!$AD$1:$AG$1,0),2))&lt;&gt;1=TRUE,"ja",""),"")</f>
        <v/>
      </c>
    </row>
    <row r="914" spans="1:31" x14ac:dyDescent="0.25">
      <c r="A914" s="316"/>
      <c r="B914" s="317" t="str">
        <f>IF(A914&lt;&gt;"",_xlfn.MAXIFS($B$1:B913,$A$1:A913,A914)+1,"")</f>
        <v/>
      </c>
      <c r="C914" s="296"/>
      <c r="D914" s="296"/>
      <c r="E914" s="296"/>
      <c r="F914" s="296"/>
      <c r="G914" s="326"/>
      <c r="H914" s="324"/>
      <c r="I914" s="325"/>
      <c r="J914" s="325"/>
      <c r="K914" s="318"/>
      <c r="L914" s="318"/>
      <c r="M914" s="319" t="str">
        <f>IFERROR(VLOOKUP(H914,Lijsten!$H$1:$I$100,2,0),"")</f>
        <v/>
      </c>
      <c r="N914" s="319" t="str">
        <f ca="1">IFERROR(IF(VLOOKUP(F914,Kostentypen!$A$3:$E$21,3,0)=0,"",IF(OR(F914="Arbeidskosten",F914="Vergoeding"),VLOOKUP(G914,Tb_KostenTypen[],2,0),VLOOKUP(F914,Kostentypen!$A$3:$E$20,3,0))),"")</f>
        <v/>
      </c>
      <c r="O914" s="320" t="str" cm="1">
        <f t="array" ref="O914">_xlfn.IFNA(IF(INDEX(Tb_KostenOptiesDB[],MATCH($F914,Tb_KostenOptiesDB[KostenOptie],0),IFERROR(MATCH(Methode_Keuze,Tb_KostenOptiesDB[#Headers],0),2))=1,_xlfn.SWITCH($N914,"Uurtarief",IF(OR(AND(RIGHT($F914,3)="IKS",VLOOKUP($M914,DB_Loonkosten,2,0)="Ja"),AND(RIGHT($F914,3)&lt;&gt;"IKS",VLOOKUP($M914,DB_Loonkosten,2,0)="Nee")),IFERROR(VLOOKUP($M914,DB_Loonkosten,24,0),""),0),"Vast tarief",IF(LEFT(F914,8)="Bijdrage",VLOOKUP($F914,Tb_KostenTypen[],MATCH(Lijsten!$P$1,Tb_KostenTypen[#Headers],0),0),VLOOKUP($G914,Lijsten!L:P,MATCH(Lijsten!$P$1,Kop_Tarief_Vast,0),0))),""),"")</f>
        <v/>
      </c>
      <c r="P914" s="320" t="str" cm="1">
        <f t="array" ref="P914">_xlfn.IFNA(IF(INDEX(Tb_KostenOptiesDB[],MATCH($F914,Tb_KostenOptiesDB[KostenOptie],0),IFERROR(MATCH(Methode_Keuze,Tb_KostenOptiesDB[#Headers],0),2))=1,_xlfn.SWITCH($N914,"Uurtarief",IF(OR(AND(RIGHT($F914,3)="IKS",VLOOKUP($M914,DB_Loonkosten,2,0)="Ja"),AND(RIGHT($F914,3)&lt;&gt;"IKS",VLOOKUP($M914,DB_Loonkosten,2,0)="Nee")),IFERROR(VLOOKUP($M914,DB_Loonkosten,25,0),""),0),"Vast tarief",IF(LEFT(F914,8)="Bijdrage",VLOOKUP($F914,Tb_KostenTypen[],MATCH(Lijsten!$P$1,Tb_KostenTypen[#Headers],0),0),VLOOKUP($G914,Lijsten!L:P,MATCH(Lijsten!$P$1,Kop_Tarief_Vast,0),0))),""),"")</f>
        <v/>
      </c>
      <c r="Q914" s="359"/>
      <c r="R914" s="359"/>
      <c r="S914" s="321"/>
      <c r="T914" s="321"/>
      <c r="U914" s="373" t="str">
        <f t="shared" si="56"/>
        <v/>
      </c>
      <c r="V914" s="314" t="str">
        <f t="shared" si="57"/>
        <v/>
      </c>
      <c r="W914" s="314" t="str" cm="1">
        <f t="array" aca="1" ref="W914" ca="1">IFERROR(IF(AE914&lt;&gt;"ja",_xlfn.IFNA(_xlfn.IFS(AND(O914&lt;&gt;"",F914&lt;&gt;"",RIGHT($N914,6)="tarief",F914="Vergoeding"),SUM(O914)*FLOOR(SUM(Q914),0.0001),AND(O914&lt;&gt;"",F914&lt;&gt;"",RIGHT($N914,6)="tarief"),SUM(O914)*FLOOR(SUM(Q914),0.01),S914&gt;0,IF(F914&lt;&gt;"",FLOOR(SUM(S914),0.01),"")),""),""),"")</f>
        <v/>
      </c>
      <c r="X914" s="314" t="str" cm="1">
        <f t="array" aca="1" ref="X914" ca="1">IFERROR(IF(AE914&lt;&gt;"ja",_xlfn.IFNA(_xlfn.IFS(AND(P914&lt;&gt;"",R914&lt;&gt;"",RIGHT($N914,6)="tarief",F914="Vergoeding"),SUM(P914)*FLOOR(SUM(R914),0.0001),AND(P914&lt;&gt;"",R914&lt;&gt;"",RIGHT($N914,6)="tarief"),P914*FLOOR(R914,0.01),T914&gt;0,FLOOR(SUM(T914),0.01)),""),""),"")</f>
        <v/>
      </c>
      <c r="Y914" s="314" t="str">
        <f t="shared" ca="1" si="58"/>
        <v/>
      </c>
      <c r="Z914" s="314" t="str" cm="1">
        <f t="array" aca="1" ref="Z914" ca="1">IFERROR(_xlfn.IFS(OR(F914="",LEFT(Methode_Keuze,4)="Geen",Methode_Keuze=""),"",AND(W914&lt;&gt;"",F914&lt;&gt;"Arbeidskosten"),W914*VLOOKUP(F914,Tb_ProjectKosten[],MATCH(Tb_ProjectKosten[[#Headers],[Forfait_Percentage]],Tb_ProjectKosten[#Headers],0),0),AND(F914="Arbeidskosten",G914&lt;&gt;""),IFERROR(W914*VLOOKUP(G914,Tb_KostenTypen[],3,0)*VLOOKUP(F914,Tb_ProjectKosten[],MATCH(Tb_ProjectKosten[[#Headers],[Forfait_Percentage]],Tb_ProjectKosten[#Headers],0),0),""),W914 &lt;=0,0),"")</f>
        <v/>
      </c>
      <c r="AA914" s="314" t="str" cm="1">
        <f t="array" aca="1" ref="AA914" ca="1">IFERROR(_xlfn.IFS(OR(F914="",LEFT(Methode_Keuze,4)="Geen",Methode_Keuze=""),"",AND(X914&lt;&gt;"",F914&lt;&gt;"Arbeidskosten"),X914*VLOOKUP(F914,Tb_ProjectKosten[],MATCH(Tb_ProjectKosten[[#Headers],[Forfait_Percentage]],Tb_ProjectKosten[#Headers],0),0),AND(F914="Arbeidskosten",G914&lt;&gt;""),IFERROR(X914*VLOOKUP(G914,Tb_KostenTypen[],3,0)*VLOOKUP(F914,Tb_ProjectKosten[],MATCH(Tb_ProjectKosten[[#Headers],[Forfait_Percentage]],Tb_ProjectKosten[#Headers],0),0),""),X914 &lt;=0,0),"")</f>
        <v/>
      </c>
      <c r="AB914" s="314" t="str">
        <f t="shared" ca="1" si="59"/>
        <v/>
      </c>
      <c r="AC914" s="322"/>
      <c r="AD914" s="315"/>
      <c r="AE914" s="32" t="str" cm="1">
        <f t="array" ref="AE914">IFERROR(IF(INDEX(SubsidieTabel!$AD$1:$AG$12,MATCH($F914,SubsidieTabel!$AD$1:$AD$12,0),IFERROR(MATCH(Methode_Keuze,SubsidieTabel!$AD$1:$AG$1,0),2))&lt;&gt;1=TRUE,"ja",""),"")</f>
        <v/>
      </c>
    </row>
    <row r="915" spans="1:31" x14ac:dyDescent="0.25">
      <c r="A915" s="316"/>
      <c r="B915" s="317" t="str">
        <f>IF(A915&lt;&gt;"",_xlfn.MAXIFS($B$1:B914,$A$1:A914,A915)+1,"")</f>
        <v/>
      </c>
      <c r="C915" s="296"/>
      <c r="D915" s="296"/>
      <c r="E915" s="296"/>
      <c r="F915" s="296"/>
      <c r="G915" s="326"/>
      <c r="H915" s="324"/>
      <c r="I915" s="325"/>
      <c r="J915" s="325"/>
      <c r="K915" s="318"/>
      <c r="L915" s="318"/>
      <c r="M915" s="319" t="str">
        <f>IFERROR(VLOOKUP(H915,Lijsten!$H$1:$I$100,2,0),"")</f>
        <v/>
      </c>
      <c r="N915" s="319" t="str">
        <f ca="1">IFERROR(IF(VLOOKUP(F915,Kostentypen!$A$3:$E$21,3,0)=0,"",IF(OR(F915="Arbeidskosten",F915="Vergoeding"),VLOOKUP(G915,Tb_KostenTypen[],2,0),VLOOKUP(F915,Kostentypen!$A$3:$E$20,3,0))),"")</f>
        <v/>
      </c>
      <c r="O915" s="320" t="str" cm="1">
        <f t="array" ref="O915">_xlfn.IFNA(IF(INDEX(Tb_KostenOptiesDB[],MATCH($F915,Tb_KostenOptiesDB[KostenOptie],0),IFERROR(MATCH(Methode_Keuze,Tb_KostenOptiesDB[#Headers],0),2))=1,_xlfn.SWITCH($N915,"Uurtarief",IF(OR(AND(RIGHT($F915,3)="IKS",VLOOKUP($M915,DB_Loonkosten,2,0)="Ja"),AND(RIGHT($F915,3)&lt;&gt;"IKS",VLOOKUP($M915,DB_Loonkosten,2,0)="Nee")),IFERROR(VLOOKUP($M915,DB_Loonkosten,24,0),""),0),"Vast tarief",IF(LEFT(F915,8)="Bijdrage",VLOOKUP($F915,Tb_KostenTypen[],MATCH(Lijsten!$P$1,Tb_KostenTypen[#Headers],0),0),VLOOKUP($G915,Lijsten!L:P,MATCH(Lijsten!$P$1,Kop_Tarief_Vast,0),0))),""),"")</f>
        <v/>
      </c>
      <c r="P915" s="320" t="str" cm="1">
        <f t="array" ref="P915">_xlfn.IFNA(IF(INDEX(Tb_KostenOptiesDB[],MATCH($F915,Tb_KostenOptiesDB[KostenOptie],0),IFERROR(MATCH(Methode_Keuze,Tb_KostenOptiesDB[#Headers],0),2))=1,_xlfn.SWITCH($N915,"Uurtarief",IF(OR(AND(RIGHT($F915,3)="IKS",VLOOKUP($M915,DB_Loonkosten,2,0)="Ja"),AND(RIGHT($F915,3)&lt;&gt;"IKS",VLOOKUP($M915,DB_Loonkosten,2,0)="Nee")),IFERROR(VLOOKUP($M915,DB_Loonkosten,25,0),""),0),"Vast tarief",IF(LEFT(F915,8)="Bijdrage",VLOOKUP($F915,Tb_KostenTypen[],MATCH(Lijsten!$P$1,Tb_KostenTypen[#Headers],0),0),VLOOKUP($G915,Lijsten!L:P,MATCH(Lijsten!$P$1,Kop_Tarief_Vast,0),0))),""),"")</f>
        <v/>
      </c>
      <c r="Q915" s="359"/>
      <c r="R915" s="359"/>
      <c r="S915" s="321"/>
      <c r="T915" s="321"/>
      <c r="U915" s="373" t="str">
        <f t="shared" si="56"/>
        <v/>
      </c>
      <c r="V915" s="314" t="str">
        <f t="shared" si="57"/>
        <v/>
      </c>
      <c r="W915" s="314" t="str" cm="1">
        <f t="array" aca="1" ref="W915" ca="1">IFERROR(IF(AE915&lt;&gt;"ja",_xlfn.IFNA(_xlfn.IFS(AND(O915&lt;&gt;"",F915&lt;&gt;"",RIGHT($N915,6)="tarief",F915="Vergoeding"),SUM(O915)*FLOOR(SUM(Q915),0.0001),AND(O915&lt;&gt;"",F915&lt;&gt;"",RIGHT($N915,6)="tarief"),SUM(O915)*FLOOR(SUM(Q915),0.01),S915&gt;0,IF(F915&lt;&gt;"",FLOOR(SUM(S915),0.01),"")),""),""),"")</f>
        <v/>
      </c>
      <c r="X915" s="314" t="str" cm="1">
        <f t="array" aca="1" ref="X915" ca="1">IFERROR(IF(AE915&lt;&gt;"ja",_xlfn.IFNA(_xlfn.IFS(AND(P915&lt;&gt;"",R915&lt;&gt;"",RIGHT($N915,6)="tarief",F915="Vergoeding"),SUM(P915)*FLOOR(SUM(R915),0.0001),AND(P915&lt;&gt;"",R915&lt;&gt;"",RIGHT($N915,6)="tarief"),P915*FLOOR(R915,0.01),T915&gt;0,FLOOR(SUM(T915),0.01)),""),""),"")</f>
        <v/>
      </c>
      <c r="Y915" s="314" t="str">
        <f t="shared" ca="1" si="58"/>
        <v/>
      </c>
      <c r="Z915" s="314" t="str" cm="1">
        <f t="array" aca="1" ref="Z915" ca="1">IFERROR(_xlfn.IFS(OR(F915="",LEFT(Methode_Keuze,4)="Geen",Methode_Keuze=""),"",AND(W915&lt;&gt;"",F915&lt;&gt;"Arbeidskosten"),W915*VLOOKUP(F915,Tb_ProjectKosten[],MATCH(Tb_ProjectKosten[[#Headers],[Forfait_Percentage]],Tb_ProjectKosten[#Headers],0),0),AND(F915="Arbeidskosten",G915&lt;&gt;""),IFERROR(W915*VLOOKUP(G915,Tb_KostenTypen[],3,0)*VLOOKUP(F915,Tb_ProjectKosten[],MATCH(Tb_ProjectKosten[[#Headers],[Forfait_Percentage]],Tb_ProjectKosten[#Headers],0),0),""),W915 &lt;=0,0),"")</f>
        <v/>
      </c>
      <c r="AA915" s="314" t="str" cm="1">
        <f t="array" aca="1" ref="AA915" ca="1">IFERROR(_xlfn.IFS(OR(F915="",LEFT(Methode_Keuze,4)="Geen",Methode_Keuze=""),"",AND(X915&lt;&gt;"",F915&lt;&gt;"Arbeidskosten"),X915*VLOOKUP(F915,Tb_ProjectKosten[],MATCH(Tb_ProjectKosten[[#Headers],[Forfait_Percentage]],Tb_ProjectKosten[#Headers],0),0),AND(F915="Arbeidskosten",G915&lt;&gt;""),IFERROR(X915*VLOOKUP(G915,Tb_KostenTypen[],3,0)*VLOOKUP(F915,Tb_ProjectKosten[],MATCH(Tb_ProjectKosten[[#Headers],[Forfait_Percentage]],Tb_ProjectKosten[#Headers],0),0),""),X915 &lt;=0,0),"")</f>
        <v/>
      </c>
      <c r="AB915" s="314" t="str">
        <f t="shared" ca="1" si="59"/>
        <v/>
      </c>
      <c r="AC915" s="322"/>
      <c r="AD915" s="315"/>
      <c r="AE915" s="32" t="str" cm="1">
        <f t="array" ref="AE915">IFERROR(IF(INDEX(SubsidieTabel!$AD$1:$AG$12,MATCH($F915,SubsidieTabel!$AD$1:$AD$12,0),IFERROR(MATCH(Methode_Keuze,SubsidieTabel!$AD$1:$AG$1,0),2))&lt;&gt;1=TRUE,"ja",""),"")</f>
        <v/>
      </c>
    </row>
    <row r="916" spans="1:31" x14ac:dyDescent="0.25">
      <c r="A916" s="316"/>
      <c r="B916" s="317" t="str">
        <f>IF(A916&lt;&gt;"",_xlfn.MAXIFS($B$1:B915,$A$1:A915,A916)+1,"")</f>
        <v/>
      </c>
      <c r="C916" s="296"/>
      <c r="D916" s="296"/>
      <c r="E916" s="296"/>
      <c r="F916" s="296"/>
      <c r="G916" s="326"/>
      <c r="H916" s="324"/>
      <c r="I916" s="325"/>
      <c r="J916" s="325"/>
      <c r="K916" s="318"/>
      <c r="L916" s="318"/>
      <c r="M916" s="319" t="str">
        <f>IFERROR(VLOOKUP(H916,Lijsten!$H$1:$I$100,2,0),"")</f>
        <v/>
      </c>
      <c r="N916" s="319" t="str">
        <f ca="1">IFERROR(IF(VLOOKUP(F916,Kostentypen!$A$3:$E$21,3,0)=0,"",IF(OR(F916="Arbeidskosten",F916="Vergoeding"),VLOOKUP(G916,Tb_KostenTypen[],2,0),VLOOKUP(F916,Kostentypen!$A$3:$E$20,3,0))),"")</f>
        <v/>
      </c>
      <c r="O916" s="320" t="str" cm="1">
        <f t="array" ref="O916">_xlfn.IFNA(IF(INDEX(Tb_KostenOptiesDB[],MATCH($F916,Tb_KostenOptiesDB[KostenOptie],0),IFERROR(MATCH(Methode_Keuze,Tb_KostenOptiesDB[#Headers],0),2))=1,_xlfn.SWITCH($N916,"Uurtarief",IF(OR(AND(RIGHT($F916,3)="IKS",VLOOKUP($M916,DB_Loonkosten,2,0)="Ja"),AND(RIGHT($F916,3)&lt;&gt;"IKS",VLOOKUP($M916,DB_Loonkosten,2,0)="Nee")),IFERROR(VLOOKUP($M916,DB_Loonkosten,24,0),""),0),"Vast tarief",IF(LEFT(F916,8)="Bijdrage",VLOOKUP($F916,Tb_KostenTypen[],MATCH(Lijsten!$P$1,Tb_KostenTypen[#Headers],0),0),VLOOKUP($G916,Lijsten!L:P,MATCH(Lijsten!$P$1,Kop_Tarief_Vast,0),0))),""),"")</f>
        <v/>
      </c>
      <c r="P916" s="320" t="str" cm="1">
        <f t="array" ref="P916">_xlfn.IFNA(IF(INDEX(Tb_KostenOptiesDB[],MATCH($F916,Tb_KostenOptiesDB[KostenOptie],0),IFERROR(MATCH(Methode_Keuze,Tb_KostenOptiesDB[#Headers],0),2))=1,_xlfn.SWITCH($N916,"Uurtarief",IF(OR(AND(RIGHT($F916,3)="IKS",VLOOKUP($M916,DB_Loonkosten,2,0)="Ja"),AND(RIGHT($F916,3)&lt;&gt;"IKS",VLOOKUP($M916,DB_Loonkosten,2,0)="Nee")),IFERROR(VLOOKUP($M916,DB_Loonkosten,25,0),""),0),"Vast tarief",IF(LEFT(F916,8)="Bijdrage",VLOOKUP($F916,Tb_KostenTypen[],MATCH(Lijsten!$P$1,Tb_KostenTypen[#Headers],0),0),VLOOKUP($G916,Lijsten!L:P,MATCH(Lijsten!$P$1,Kop_Tarief_Vast,0),0))),""),"")</f>
        <v/>
      </c>
      <c r="Q916" s="359"/>
      <c r="R916" s="359"/>
      <c r="S916" s="321"/>
      <c r="T916" s="321"/>
      <c r="U916" s="373" t="str">
        <f t="shared" si="56"/>
        <v/>
      </c>
      <c r="V916" s="314" t="str">
        <f t="shared" si="57"/>
        <v/>
      </c>
      <c r="W916" s="314" t="str" cm="1">
        <f t="array" aca="1" ref="W916" ca="1">IFERROR(IF(AE916&lt;&gt;"ja",_xlfn.IFNA(_xlfn.IFS(AND(O916&lt;&gt;"",F916&lt;&gt;"",RIGHT($N916,6)="tarief",F916="Vergoeding"),SUM(O916)*FLOOR(SUM(Q916),0.0001),AND(O916&lt;&gt;"",F916&lt;&gt;"",RIGHT($N916,6)="tarief"),SUM(O916)*FLOOR(SUM(Q916),0.01),S916&gt;0,IF(F916&lt;&gt;"",FLOOR(SUM(S916),0.01),"")),""),""),"")</f>
        <v/>
      </c>
      <c r="X916" s="314" t="str" cm="1">
        <f t="array" aca="1" ref="X916" ca="1">IFERROR(IF(AE916&lt;&gt;"ja",_xlfn.IFNA(_xlfn.IFS(AND(P916&lt;&gt;"",R916&lt;&gt;"",RIGHT($N916,6)="tarief",F916="Vergoeding"),SUM(P916)*FLOOR(SUM(R916),0.0001),AND(P916&lt;&gt;"",R916&lt;&gt;"",RIGHT($N916,6)="tarief"),P916*FLOOR(R916,0.01),T916&gt;0,FLOOR(SUM(T916),0.01)),""),""),"")</f>
        <v/>
      </c>
      <c r="Y916" s="314" t="str">
        <f t="shared" ca="1" si="58"/>
        <v/>
      </c>
      <c r="Z916" s="314" t="str" cm="1">
        <f t="array" aca="1" ref="Z916" ca="1">IFERROR(_xlfn.IFS(OR(F916="",LEFT(Methode_Keuze,4)="Geen",Methode_Keuze=""),"",AND(W916&lt;&gt;"",F916&lt;&gt;"Arbeidskosten"),W916*VLOOKUP(F916,Tb_ProjectKosten[],MATCH(Tb_ProjectKosten[[#Headers],[Forfait_Percentage]],Tb_ProjectKosten[#Headers],0),0),AND(F916="Arbeidskosten",G916&lt;&gt;""),IFERROR(W916*VLOOKUP(G916,Tb_KostenTypen[],3,0)*VLOOKUP(F916,Tb_ProjectKosten[],MATCH(Tb_ProjectKosten[[#Headers],[Forfait_Percentage]],Tb_ProjectKosten[#Headers],0),0),""),W916 &lt;=0,0),"")</f>
        <v/>
      </c>
      <c r="AA916" s="314" t="str" cm="1">
        <f t="array" aca="1" ref="AA916" ca="1">IFERROR(_xlfn.IFS(OR(F916="",LEFT(Methode_Keuze,4)="Geen",Methode_Keuze=""),"",AND(X916&lt;&gt;"",F916&lt;&gt;"Arbeidskosten"),X916*VLOOKUP(F916,Tb_ProjectKosten[],MATCH(Tb_ProjectKosten[[#Headers],[Forfait_Percentage]],Tb_ProjectKosten[#Headers],0),0),AND(F916="Arbeidskosten",G916&lt;&gt;""),IFERROR(X916*VLOOKUP(G916,Tb_KostenTypen[],3,0)*VLOOKUP(F916,Tb_ProjectKosten[],MATCH(Tb_ProjectKosten[[#Headers],[Forfait_Percentage]],Tb_ProjectKosten[#Headers],0),0),""),X916 &lt;=0,0),"")</f>
        <v/>
      </c>
      <c r="AB916" s="314" t="str">
        <f t="shared" ca="1" si="59"/>
        <v/>
      </c>
      <c r="AC916" s="322"/>
      <c r="AD916" s="315"/>
      <c r="AE916" s="32" t="str" cm="1">
        <f t="array" ref="AE916">IFERROR(IF(INDEX(SubsidieTabel!$AD$1:$AG$12,MATCH($F916,SubsidieTabel!$AD$1:$AD$12,0),IFERROR(MATCH(Methode_Keuze,SubsidieTabel!$AD$1:$AG$1,0),2))&lt;&gt;1=TRUE,"ja",""),"")</f>
        <v/>
      </c>
    </row>
    <row r="917" spans="1:31" x14ac:dyDescent="0.25">
      <c r="A917" s="316"/>
      <c r="B917" s="317" t="str">
        <f>IF(A917&lt;&gt;"",_xlfn.MAXIFS($B$1:B916,$A$1:A916,A917)+1,"")</f>
        <v/>
      </c>
      <c r="C917" s="296"/>
      <c r="D917" s="296"/>
      <c r="E917" s="296"/>
      <c r="F917" s="296"/>
      <c r="G917" s="326"/>
      <c r="H917" s="324"/>
      <c r="I917" s="325"/>
      <c r="J917" s="325"/>
      <c r="K917" s="318"/>
      <c r="L917" s="318"/>
      <c r="M917" s="319" t="str">
        <f>IFERROR(VLOOKUP(H917,Lijsten!$H$1:$I$100,2,0),"")</f>
        <v/>
      </c>
      <c r="N917" s="319" t="str">
        <f ca="1">IFERROR(IF(VLOOKUP(F917,Kostentypen!$A$3:$E$21,3,0)=0,"",IF(OR(F917="Arbeidskosten",F917="Vergoeding"),VLOOKUP(G917,Tb_KostenTypen[],2,0),VLOOKUP(F917,Kostentypen!$A$3:$E$20,3,0))),"")</f>
        <v/>
      </c>
      <c r="O917" s="320" t="str" cm="1">
        <f t="array" ref="O917">_xlfn.IFNA(IF(INDEX(Tb_KostenOptiesDB[],MATCH($F917,Tb_KostenOptiesDB[KostenOptie],0),IFERROR(MATCH(Methode_Keuze,Tb_KostenOptiesDB[#Headers],0),2))=1,_xlfn.SWITCH($N917,"Uurtarief",IF(OR(AND(RIGHT($F917,3)="IKS",VLOOKUP($M917,DB_Loonkosten,2,0)="Ja"),AND(RIGHT($F917,3)&lt;&gt;"IKS",VLOOKUP($M917,DB_Loonkosten,2,0)="Nee")),IFERROR(VLOOKUP($M917,DB_Loonkosten,24,0),""),0),"Vast tarief",IF(LEFT(F917,8)="Bijdrage",VLOOKUP($F917,Tb_KostenTypen[],MATCH(Lijsten!$P$1,Tb_KostenTypen[#Headers],0),0),VLOOKUP($G917,Lijsten!L:P,MATCH(Lijsten!$P$1,Kop_Tarief_Vast,0),0))),""),"")</f>
        <v/>
      </c>
      <c r="P917" s="320" t="str" cm="1">
        <f t="array" ref="P917">_xlfn.IFNA(IF(INDEX(Tb_KostenOptiesDB[],MATCH($F917,Tb_KostenOptiesDB[KostenOptie],0),IFERROR(MATCH(Methode_Keuze,Tb_KostenOptiesDB[#Headers],0),2))=1,_xlfn.SWITCH($N917,"Uurtarief",IF(OR(AND(RIGHT($F917,3)="IKS",VLOOKUP($M917,DB_Loonkosten,2,0)="Ja"),AND(RIGHT($F917,3)&lt;&gt;"IKS",VLOOKUP($M917,DB_Loonkosten,2,0)="Nee")),IFERROR(VLOOKUP($M917,DB_Loonkosten,25,0),""),0),"Vast tarief",IF(LEFT(F917,8)="Bijdrage",VLOOKUP($F917,Tb_KostenTypen[],MATCH(Lijsten!$P$1,Tb_KostenTypen[#Headers],0),0),VLOOKUP($G917,Lijsten!L:P,MATCH(Lijsten!$P$1,Kop_Tarief_Vast,0),0))),""),"")</f>
        <v/>
      </c>
      <c r="Q917" s="359"/>
      <c r="R917" s="359"/>
      <c r="S917" s="321"/>
      <c r="T917" s="321"/>
      <c r="U917" s="373" t="str">
        <f t="shared" si="56"/>
        <v/>
      </c>
      <c r="V917" s="314" t="str">
        <f t="shared" si="57"/>
        <v/>
      </c>
      <c r="W917" s="314" t="str" cm="1">
        <f t="array" aca="1" ref="W917" ca="1">IFERROR(IF(AE917&lt;&gt;"ja",_xlfn.IFNA(_xlfn.IFS(AND(O917&lt;&gt;"",F917&lt;&gt;"",RIGHT($N917,6)="tarief",F917="Vergoeding"),SUM(O917)*FLOOR(SUM(Q917),0.0001),AND(O917&lt;&gt;"",F917&lt;&gt;"",RIGHT($N917,6)="tarief"),SUM(O917)*FLOOR(SUM(Q917),0.01),S917&gt;0,IF(F917&lt;&gt;"",FLOOR(SUM(S917),0.01),"")),""),""),"")</f>
        <v/>
      </c>
      <c r="X917" s="314" t="str" cm="1">
        <f t="array" aca="1" ref="X917" ca="1">IFERROR(IF(AE917&lt;&gt;"ja",_xlfn.IFNA(_xlfn.IFS(AND(P917&lt;&gt;"",R917&lt;&gt;"",RIGHT($N917,6)="tarief",F917="Vergoeding"),SUM(P917)*FLOOR(SUM(R917),0.0001),AND(P917&lt;&gt;"",R917&lt;&gt;"",RIGHT($N917,6)="tarief"),P917*FLOOR(R917,0.01),T917&gt;0,FLOOR(SUM(T917),0.01)),""),""),"")</f>
        <v/>
      </c>
      <c r="Y917" s="314" t="str">
        <f t="shared" ca="1" si="58"/>
        <v/>
      </c>
      <c r="Z917" s="314" t="str" cm="1">
        <f t="array" aca="1" ref="Z917" ca="1">IFERROR(_xlfn.IFS(OR(F917="",LEFT(Methode_Keuze,4)="Geen",Methode_Keuze=""),"",AND(W917&lt;&gt;"",F917&lt;&gt;"Arbeidskosten"),W917*VLOOKUP(F917,Tb_ProjectKosten[],MATCH(Tb_ProjectKosten[[#Headers],[Forfait_Percentage]],Tb_ProjectKosten[#Headers],0),0),AND(F917="Arbeidskosten",G917&lt;&gt;""),IFERROR(W917*VLOOKUP(G917,Tb_KostenTypen[],3,0)*VLOOKUP(F917,Tb_ProjectKosten[],MATCH(Tb_ProjectKosten[[#Headers],[Forfait_Percentage]],Tb_ProjectKosten[#Headers],0),0),""),W917 &lt;=0,0),"")</f>
        <v/>
      </c>
      <c r="AA917" s="314" t="str" cm="1">
        <f t="array" aca="1" ref="AA917" ca="1">IFERROR(_xlfn.IFS(OR(F917="",LEFT(Methode_Keuze,4)="Geen",Methode_Keuze=""),"",AND(X917&lt;&gt;"",F917&lt;&gt;"Arbeidskosten"),X917*VLOOKUP(F917,Tb_ProjectKosten[],MATCH(Tb_ProjectKosten[[#Headers],[Forfait_Percentage]],Tb_ProjectKosten[#Headers],0),0),AND(F917="Arbeidskosten",G917&lt;&gt;""),IFERROR(X917*VLOOKUP(G917,Tb_KostenTypen[],3,0)*VLOOKUP(F917,Tb_ProjectKosten[],MATCH(Tb_ProjectKosten[[#Headers],[Forfait_Percentage]],Tb_ProjectKosten[#Headers],0),0),""),X917 &lt;=0,0),"")</f>
        <v/>
      </c>
      <c r="AB917" s="314" t="str">
        <f t="shared" ca="1" si="59"/>
        <v/>
      </c>
      <c r="AC917" s="322"/>
      <c r="AD917" s="315"/>
      <c r="AE917" s="32" t="str" cm="1">
        <f t="array" ref="AE917">IFERROR(IF(INDEX(SubsidieTabel!$AD$1:$AG$12,MATCH($F917,SubsidieTabel!$AD$1:$AD$12,0),IFERROR(MATCH(Methode_Keuze,SubsidieTabel!$AD$1:$AG$1,0),2))&lt;&gt;1=TRUE,"ja",""),"")</f>
        <v/>
      </c>
    </row>
    <row r="918" spans="1:31" x14ac:dyDescent="0.25">
      <c r="A918" s="316"/>
      <c r="B918" s="317" t="str">
        <f>IF(A918&lt;&gt;"",_xlfn.MAXIFS($B$1:B917,$A$1:A917,A918)+1,"")</f>
        <v/>
      </c>
      <c r="C918" s="296"/>
      <c r="D918" s="296"/>
      <c r="E918" s="296"/>
      <c r="F918" s="296"/>
      <c r="G918" s="326"/>
      <c r="H918" s="324"/>
      <c r="I918" s="325"/>
      <c r="J918" s="325"/>
      <c r="K918" s="318"/>
      <c r="L918" s="318"/>
      <c r="M918" s="319" t="str">
        <f>IFERROR(VLOOKUP(H918,Lijsten!$H$1:$I$100,2,0),"")</f>
        <v/>
      </c>
      <c r="N918" s="319" t="str">
        <f ca="1">IFERROR(IF(VLOOKUP(F918,Kostentypen!$A$3:$E$21,3,0)=0,"",IF(OR(F918="Arbeidskosten",F918="Vergoeding"),VLOOKUP(G918,Tb_KostenTypen[],2,0),VLOOKUP(F918,Kostentypen!$A$3:$E$20,3,0))),"")</f>
        <v/>
      </c>
      <c r="O918" s="320" t="str" cm="1">
        <f t="array" ref="O918">_xlfn.IFNA(IF(INDEX(Tb_KostenOptiesDB[],MATCH($F918,Tb_KostenOptiesDB[KostenOptie],0),IFERROR(MATCH(Methode_Keuze,Tb_KostenOptiesDB[#Headers],0),2))=1,_xlfn.SWITCH($N918,"Uurtarief",IF(OR(AND(RIGHT($F918,3)="IKS",VLOOKUP($M918,DB_Loonkosten,2,0)="Ja"),AND(RIGHT($F918,3)&lt;&gt;"IKS",VLOOKUP($M918,DB_Loonkosten,2,0)="Nee")),IFERROR(VLOOKUP($M918,DB_Loonkosten,24,0),""),0),"Vast tarief",IF(LEFT(F918,8)="Bijdrage",VLOOKUP($F918,Tb_KostenTypen[],MATCH(Lijsten!$P$1,Tb_KostenTypen[#Headers],0),0),VLOOKUP($G918,Lijsten!L:P,MATCH(Lijsten!$P$1,Kop_Tarief_Vast,0),0))),""),"")</f>
        <v/>
      </c>
      <c r="P918" s="320" t="str" cm="1">
        <f t="array" ref="P918">_xlfn.IFNA(IF(INDEX(Tb_KostenOptiesDB[],MATCH($F918,Tb_KostenOptiesDB[KostenOptie],0),IFERROR(MATCH(Methode_Keuze,Tb_KostenOptiesDB[#Headers],0),2))=1,_xlfn.SWITCH($N918,"Uurtarief",IF(OR(AND(RIGHT($F918,3)="IKS",VLOOKUP($M918,DB_Loonkosten,2,0)="Ja"),AND(RIGHT($F918,3)&lt;&gt;"IKS",VLOOKUP($M918,DB_Loonkosten,2,0)="Nee")),IFERROR(VLOOKUP($M918,DB_Loonkosten,25,0),""),0),"Vast tarief",IF(LEFT(F918,8)="Bijdrage",VLOOKUP($F918,Tb_KostenTypen[],MATCH(Lijsten!$P$1,Tb_KostenTypen[#Headers],0),0),VLOOKUP($G918,Lijsten!L:P,MATCH(Lijsten!$P$1,Kop_Tarief_Vast,0),0))),""),"")</f>
        <v/>
      </c>
      <c r="Q918" s="359"/>
      <c r="R918" s="359"/>
      <c r="S918" s="321"/>
      <c r="T918" s="321"/>
      <c r="U918" s="373" t="str">
        <f t="shared" si="56"/>
        <v/>
      </c>
      <c r="V918" s="314" t="str">
        <f t="shared" si="57"/>
        <v/>
      </c>
      <c r="W918" s="314" t="str" cm="1">
        <f t="array" aca="1" ref="W918" ca="1">IFERROR(IF(AE918&lt;&gt;"ja",_xlfn.IFNA(_xlfn.IFS(AND(O918&lt;&gt;"",F918&lt;&gt;"",RIGHT($N918,6)="tarief",F918="Vergoeding"),SUM(O918)*FLOOR(SUM(Q918),0.0001),AND(O918&lt;&gt;"",F918&lt;&gt;"",RIGHT($N918,6)="tarief"),SUM(O918)*FLOOR(SUM(Q918),0.01),S918&gt;0,IF(F918&lt;&gt;"",FLOOR(SUM(S918),0.01),"")),""),""),"")</f>
        <v/>
      </c>
      <c r="X918" s="314" t="str" cm="1">
        <f t="array" aca="1" ref="X918" ca="1">IFERROR(IF(AE918&lt;&gt;"ja",_xlfn.IFNA(_xlfn.IFS(AND(P918&lt;&gt;"",R918&lt;&gt;"",RIGHT($N918,6)="tarief",F918="Vergoeding"),SUM(P918)*FLOOR(SUM(R918),0.0001),AND(P918&lt;&gt;"",R918&lt;&gt;"",RIGHT($N918,6)="tarief"),P918*FLOOR(R918,0.01),T918&gt;0,FLOOR(SUM(T918),0.01)),""),""),"")</f>
        <v/>
      </c>
      <c r="Y918" s="314" t="str">
        <f t="shared" ca="1" si="58"/>
        <v/>
      </c>
      <c r="Z918" s="314" t="str" cm="1">
        <f t="array" aca="1" ref="Z918" ca="1">IFERROR(_xlfn.IFS(OR(F918="",LEFT(Methode_Keuze,4)="Geen",Methode_Keuze=""),"",AND(W918&lt;&gt;"",F918&lt;&gt;"Arbeidskosten"),W918*VLOOKUP(F918,Tb_ProjectKosten[],MATCH(Tb_ProjectKosten[[#Headers],[Forfait_Percentage]],Tb_ProjectKosten[#Headers],0),0),AND(F918="Arbeidskosten",G918&lt;&gt;""),IFERROR(W918*VLOOKUP(G918,Tb_KostenTypen[],3,0)*VLOOKUP(F918,Tb_ProjectKosten[],MATCH(Tb_ProjectKosten[[#Headers],[Forfait_Percentage]],Tb_ProjectKosten[#Headers],0),0),""),W918 &lt;=0,0),"")</f>
        <v/>
      </c>
      <c r="AA918" s="314" t="str" cm="1">
        <f t="array" aca="1" ref="AA918" ca="1">IFERROR(_xlfn.IFS(OR(F918="",LEFT(Methode_Keuze,4)="Geen",Methode_Keuze=""),"",AND(X918&lt;&gt;"",F918&lt;&gt;"Arbeidskosten"),X918*VLOOKUP(F918,Tb_ProjectKosten[],MATCH(Tb_ProjectKosten[[#Headers],[Forfait_Percentage]],Tb_ProjectKosten[#Headers],0),0),AND(F918="Arbeidskosten",G918&lt;&gt;""),IFERROR(X918*VLOOKUP(G918,Tb_KostenTypen[],3,0)*VLOOKUP(F918,Tb_ProjectKosten[],MATCH(Tb_ProjectKosten[[#Headers],[Forfait_Percentage]],Tb_ProjectKosten[#Headers],0),0),""),X918 &lt;=0,0),"")</f>
        <v/>
      </c>
      <c r="AB918" s="314" t="str">
        <f t="shared" ca="1" si="59"/>
        <v/>
      </c>
      <c r="AC918" s="322"/>
      <c r="AD918" s="315"/>
      <c r="AE918" s="32" t="str" cm="1">
        <f t="array" ref="AE918">IFERROR(IF(INDEX(SubsidieTabel!$AD$1:$AG$12,MATCH($F918,SubsidieTabel!$AD$1:$AD$12,0),IFERROR(MATCH(Methode_Keuze,SubsidieTabel!$AD$1:$AG$1,0),2))&lt;&gt;1=TRUE,"ja",""),"")</f>
        <v/>
      </c>
    </row>
    <row r="919" spans="1:31" x14ac:dyDescent="0.25">
      <c r="A919" s="316"/>
      <c r="B919" s="317" t="str">
        <f>IF(A919&lt;&gt;"",_xlfn.MAXIFS($B$1:B918,$A$1:A918,A919)+1,"")</f>
        <v/>
      </c>
      <c r="C919" s="296"/>
      <c r="D919" s="296"/>
      <c r="E919" s="296"/>
      <c r="F919" s="296"/>
      <c r="G919" s="326"/>
      <c r="H919" s="324"/>
      <c r="I919" s="325"/>
      <c r="J919" s="325"/>
      <c r="K919" s="318"/>
      <c r="L919" s="318"/>
      <c r="M919" s="319" t="str">
        <f>IFERROR(VLOOKUP(H919,Lijsten!$H$1:$I$100,2,0),"")</f>
        <v/>
      </c>
      <c r="N919" s="319" t="str">
        <f ca="1">IFERROR(IF(VLOOKUP(F919,Kostentypen!$A$3:$E$21,3,0)=0,"",IF(OR(F919="Arbeidskosten",F919="Vergoeding"),VLOOKUP(G919,Tb_KostenTypen[],2,0),VLOOKUP(F919,Kostentypen!$A$3:$E$20,3,0))),"")</f>
        <v/>
      </c>
      <c r="O919" s="320" t="str" cm="1">
        <f t="array" ref="O919">_xlfn.IFNA(IF(INDEX(Tb_KostenOptiesDB[],MATCH($F919,Tb_KostenOptiesDB[KostenOptie],0),IFERROR(MATCH(Methode_Keuze,Tb_KostenOptiesDB[#Headers],0),2))=1,_xlfn.SWITCH($N919,"Uurtarief",IF(OR(AND(RIGHT($F919,3)="IKS",VLOOKUP($M919,DB_Loonkosten,2,0)="Ja"),AND(RIGHT($F919,3)&lt;&gt;"IKS",VLOOKUP($M919,DB_Loonkosten,2,0)="Nee")),IFERROR(VLOOKUP($M919,DB_Loonkosten,24,0),""),0),"Vast tarief",IF(LEFT(F919,8)="Bijdrage",VLOOKUP($F919,Tb_KostenTypen[],MATCH(Lijsten!$P$1,Tb_KostenTypen[#Headers],0),0),VLOOKUP($G919,Lijsten!L:P,MATCH(Lijsten!$P$1,Kop_Tarief_Vast,0),0))),""),"")</f>
        <v/>
      </c>
      <c r="P919" s="320" t="str" cm="1">
        <f t="array" ref="P919">_xlfn.IFNA(IF(INDEX(Tb_KostenOptiesDB[],MATCH($F919,Tb_KostenOptiesDB[KostenOptie],0),IFERROR(MATCH(Methode_Keuze,Tb_KostenOptiesDB[#Headers],0),2))=1,_xlfn.SWITCH($N919,"Uurtarief",IF(OR(AND(RIGHT($F919,3)="IKS",VLOOKUP($M919,DB_Loonkosten,2,0)="Ja"),AND(RIGHT($F919,3)&lt;&gt;"IKS",VLOOKUP($M919,DB_Loonkosten,2,0)="Nee")),IFERROR(VLOOKUP($M919,DB_Loonkosten,25,0),""),0),"Vast tarief",IF(LEFT(F919,8)="Bijdrage",VLOOKUP($F919,Tb_KostenTypen[],MATCH(Lijsten!$P$1,Tb_KostenTypen[#Headers],0),0),VLOOKUP($G919,Lijsten!L:P,MATCH(Lijsten!$P$1,Kop_Tarief_Vast,0),0))),""),"")</f>
        <v/>
      </c>
      <c r="Q919" s="359"/>
      <c r="R919" s="359"/>
      <c r="S919" s="321"/>
      <c r="T919" s="321"/>
      <c r="U919" s="373" t="str">
        <f t="shared" si="56"/>
        <v/>
      </c>
      <c r="V919" s="314" t="str">
        <f t="shared" si="57"/>
        <v/>
      </c>
      <c r="W919" s="314" t="str" cm="1">
        <f t="array" aca="1" ref="W919" ca="1">IFERROR(IF(AE919&lt;&gt;"ja",_xlfn.IFNA(_xlfn.IFS(AND(O919&lt;&gt;"",F919&lt;&gt;"",RIGHT($N919,6)="tarief",F919="Vergoeding"),SUM(O919)*FLOOR(SUM(Q919),0.0001),AND(O919&lt;&gt;"",F919&lt;&gt;"",RIGHT($N919,6)="tarief"),SUM(O919)*FLOOR(SUM(Q919),0.01),S919&gt;0,IF(F919&lt;&gt;"",FLOOR(SUM(S919),0.01),"")),""),""),"")</f>
        <v/>
      </c>
      <c r="X919" s="314" t="str" cm="1">
        <f t="array" aca="1" ref="X919" ca="1">IFERROR(IF(AE919&lt;&gt;"ja",_xlfn.IFNA(_xlfn.IFS(AND(P919&lt;&gt;"",R919&lt;&gt;"",RIGHT($N919,6)="tarief",F919="Vergoeding"),SUM(P919)*FLOOR(SUM(R919),0.0001),AND(P919&lt;&gt;"",R919&lt;&gt;"",RIGHT($N919,6)="tarief"),P919*FLOOR(R919,0.01),T919&gt;0,FLOOR(SUM(T919),0.01)),""),""),"")</f>
        <v/>
      </c>
      <c r="Y919" s="314" t="str">
        <f t="shared" ca="1" si="58"/>
        <v/>
      </c>
      <c r="Z919" s="314" t="str" cm="1">
        <f t="array" aca="1" ref="Z919" ca="1">IFERROR(_xlfn.IFS(OR(F919="",LEFT(Methode_Keuze,4)="Geen",Methode_Keuze=""),"",AND(W919&lt;&gt;"",F919&lt;&gt;"Arbeidskosten"),W919*VLOOKUP(F919,Tb_ProjectKosten[],MATCH(Tb_ProjectKosten[[#Headers],[Forfait_Percentage]],Tb_ProjectKosten[#Headers],0),0),AND(F919="Arbeidskosten",G919&lt;&gt;""),IFERROR(W919*VLOOKUP(G919,Tb_KostenTypen[],3,0)*VLOOKUP(F919,Tb_ProjectKosten[],MATCH(Tb_ProjectKosten[[#Headers],[Forfait_Percentage]],Tb_ProjectKosten[#Headers],0),0),""),W919 &lt;=0,0),"")</f>
        <v/>
      </c>
      <c r="AA919" s="314" t="str" cm="1">
        <f t="array" aca="1" ref="AA919" ca="1">IFERROR(_xlfn.IFS(OR(F919="",LEFT(Methode_Keuze,4)="Geen",Methode_Keuze=""),"",AND(X919&lt;&gt;"",F919&lt;&gt;"Arbeidskosten"),X919*VLOOKUP(F919,Tb_ProjectKosten[],MATCH(Tb_ProjectKosten[[#Headers],[Forfait_Percentage]],Tb_ProjectKosten[#Headers],0),0),AND(F919="Arbeidskosten",G919&lt;&gt;""),IFERROR(X919*VLOOKUP(G919,Tb_KostenTypen[],3,0)*VLOOKUP(F919,Tb_ProjectKosten[],MATCH(Tb_ProjectKosten[[#Headers],[Forfait_Percentage]],Tb_ProjectKosten[#Headers],0),0),""),X919 &lt;=0,0),"")</f>
        <v/>
      </c>
      <c r="AB919" s="314" t="str">
        <f t="shared" ca="1" si="59"/>
        <v/>
      </c>
      <c r="AC919" s="322"/>
      <c r="AD919" s="315"/>
      <c r="AE919" s="32" t="str" cm="1">
        <f t="array" ref="AE919">IFERROR(IF(INDEX(SubsidieTabel!$AD$1:$AG$12,MATCH($F919,SubsidieTabel!$AD$1:$AD$12,0),IFERROR(MATCH(Methode_Keuze,SubsidieTabel!$AD$1:$AG$1,0),2))&lt;&gt;1=TRUE,"ja",""),"")</f>
        <v/>
      </c>
    </row>
    <row r="920" spans="1:31" x14ac:dyDescent="0.25">
      <c r="A920" s="316"/>
      <c r="B920" s="317" t="str">
        <f>IF(A920&lt;&gt;"",_xlfn.MAXIFS($B$1:B919,$A$1:A919,A920)+1,"")</f>
        <v/>
      </c>
      <c r="C920" s="296"/>
      <c r="D920" s="296"/>
      <c r="E920" s="296"/>
      <c r="F920" s="296"/>
      <c r="G920" s="326"/>
      <c r="H920" s="324"/>
      <c r="I920" s="325"/>
      <c r="J920" s="325"/>
      <c r="K920" s="318"/>
      <c r="L920" s="318"/>
      <c r="M920" s="319" t="str">
        <f>IFERROR(VLOOKUP(H920,Lijsten!$H$1:$I$100,2,0),"")</f>
        <v/>
      </c>
      <c r="N920" s="319" t="str">
        <f ca="1">IFERROR(IF(VLOOKUP(F920,Kostentypen!$A$3:$E$21,3,0)=0,"",IF(OR(F920="Arbeidskosten",F920="Vergoeding"),VLOOKUP(G920,Tb_KostenTypen[],2,0),VLOOKUP(F920,Kostentypen!$A$3:$E$20,3,0))),"")</f>
        <v/>
      </c>
      <c r="O920" s="320" t="str" cm="1">
        <f t="array" ref="O920">_xlfn.IFNA(IF(INDEX(Tb_KostenOptiesDB[],MATCH($F920,Tb_KostenOptiesDB[KostenOptie],0),IFERROR(MATCH(Methode_Keuze,Tb_KostenOptiesDB[#Headers],0),2))=1,_xlfn.SWITCH($N920,"Uurtarief",IF(OR(AND(RIGHT($F920,3)="IKS",VLOOKUP($M920,DB_Loonkosten,2,0)="Ja"),AND(RIGHT($F920,3)&lt;&gt;"IKS",VLOOKUP($M920,DB_Loonkosten,2,0)="Nee")),IFERROR(VLOOKUP($M920,DB_Loonkosten,24,0),""),0),"Vast tarief",IF(LEFT(F920,8)="Bijdrage",VLOOKUP($F920,Tb_KostenTypen[],MATCH(Lijsten!$P$1,Tb_KostenTypen[#Headers],0),0),VLOOKUP($G920,Lijsten!L:P,MATCH(Lijsten!$P$1,Kop_Tarief_Vast,0),0))),""),"")</f>
        <v/>
      </c>
      <c r="P920" s="320" t="str" cm="1">
        <f t="array" ref="P920">_xlfn.IFNA(IF(INDEX(Tb_KostenOptiesDB[],MATCH($F920,Tb_KostenOptiesDB[KostenOptie],0),IFERROR(MATCH(Methode_Keuze,Tb_KostenOptiesDB[#Headers],0),2))=1,_xlfn.SWITCH($N920,"Uurtarief",IF(OR(AND(RIGHT($F920,3)="IKS",VLOOKUP($M920,DB_Loonkosten,2,0)="Ja"),AND(RIGHT($F920,3)&lt;&gt;"IKS",VLOOKUP($M920,DB_Loonkosten,2,0)="Nee")),IFERROR(VLOOKUP($M920,DB_Loonkosten,25,0),""),0),"Vast tarief",IF(LEFT(F920,8)="Bijdrage",VLOOKUP($F920,Tb_KostenTypen[],MATCH(Lijsten!$P$1,Tb_KostenTypen[#Headers],0),0),VLOOKUP($G920,Lijsten!L:P,MATCH(Lijsten!$P$1,Kop_Tarief_Vast,0),0))),""),"")</f>
        <v/>
      </c>
      <c r="Q920" s="359"/>
      <c r="R920" s="359"/>
      <c r="S920" s="321"/>
      <c r="T920" s="321"/>
      <c r="U920" s="373" t="str">
        <f t="shared" si="56"/>
        <v/>
      </c>
      <c r="V920" s="314" t="str">
        <f t="shared" si="57"/>
        <v/>
      </c>
      <c r="W920" s="314" t="str" cm="1">
        <f t="array" aca="1" ref="W920" ca="1">IFERROR(IF(AE920&lt;&gt;"ja",_xlfn.IFNA(_xlfn.IFS(AND(O920&lt;&gt;"",F920&lt;&gt;"",RIGHT($N920,6)="tarief",F920="Vergoeding"),SUM(O920)*FLOOR(SUM(Q920),0.0001),AND(O920&lt;&gt;"",F920&lt;&gt;"",RIGHT($N920,6)="tarief"),SUM(O920)*FLOOR(SUM(Q920),0.01),S920&gt;0,IF(F920&lt;&gt;"",FLOOR(SUM(S920),0.01),"")),""),""),"")</f>
        <v/>
      </c>
      <c r="X920" s="314" t="str" cm="1">
        <f t="array" aca="1" ref="X920" ca="1">IFERROR(IF(AE920&lt;&gt;"ja",_xlfn.IFNA(_xlfn.IFS(AND(P920&lt;&gt;"",R920&lt;&gt;"",RIGHT($N920,6)="tarief",F920="Vergoeding"),SUM(P920)*FLOOR(SUM(R920),0.0001),AND(P920&lt;&gt;"",R920&lt;&gt;"",RIGHT($N920,6)="tarief"),P920*FLOOR(R920,0.01),T920&gt;0,FLOOR(SUM(T920),0.01)),""),""),"")</f>
        <v/>
      </c>
      <c r="Y920" s="314" t="str">
        <f t="shared" ca="1" si="58"/>
        <v/>
      </c>
      <c r="Z920" s="314" t="str" cm="1">
        <f t="array" aca="1" ref="Z920" ca="1">IFERROR(_xlfn.IFS(OR(F920="",LEFT(Methode_Keuze,4)="Geen",Methode_Keuze=""),"",AND(W920&lt;&gt;"",F920&lt;&gt;"Arbeidskosten"),W920*VLOOKUP(F920,Tb_ProjectKosten[],MATCH(Tb_ProjectKosten[[#Headers],[Forfait_Percentage]],Tb_ProjectKosten[#Headers],0),0),AND(F920="Arbeidskosten",G920&lt;&gt;""),IFERROR(W920*VLOOKUP(G920,Tb_KostenTypen[],3,0)*VLOOKUP(F920,Tb_ProjectKosten[],MATCH(Tb_ProjectKosten[[#Headers],[Forfait_Percentage]],Tb_ProjectKosten[#Headers],0),0),""),W920 &lt;=0,0),"")</f>
        <v/>
      </c>
      <c r="AA920" s="314" t="str" cm="1">
        <f t="array" aca="1" ref="AA920" ca="1">IFERROR(_xlfn.IFS(OR(F920="",LEFT(Methode_Keuze,4)="Geen",Methode_Keuze=""),"",AND(X920&lt;&gt;"",F920&lt;&gt;"Arbeidskosten"),X920*VLOOKUP(F920,Tb_ProjectKosten[],MATCH(Tb_ProjectKosten[[#Headers],[Forfait_Percentage]],Tb_ProjectKosten[#Headers],0),0),AND(F920="Arbeidskosten",G920&lt;&gt;""),IFERROR(X920*VLOOKUP(G920,Tb_KostenTypen[],3,0)*VLOOKUP(F920,Tb_ProjectKosten[],MATCH(Tb_ProjectKosten[[#Headers],[Forfait_Percentage]],Tb_ProjectKosten[#Headers],0),0),""),X920 &lt;=0,0),"")</f>
        <v/>
      </c>
      <c r="AB920" s="314" t="str">
        <f t="shared" ca="1" si="59"/>
        <v/>
      </c>
      <c r="AC920" s="322"/>
      <c r="AD920" s="315"/>
      <c r="AE920" s="32" t="str" cm="1">
        <f t="array" ref="AE920">IFERROR(IF(INDEX(SubsidieTabel!$AD$1:$AG$12,MATCH($F920,SubsidieTabel!$AD$1:$AD$12,0),IFERROR(MATCH(Methode_Keuze,SubsidieTabel!$AD$1:$AG$1,0),2))&lt;&gt;1=TRUE,"ja",""),"")</f>
        <v/>
      </c>
    </row>
    <row r="921" spans="1:31" x14ac:dyDescent="0.25">
      <c r="A921" s="316"/>
      <c r="B921" s="317" t="str">
        <f>IF(A921&lt;&gt;"",_xlfn.MAXIFS($B$1:B920,$A$1:A920,A921)+1,"")</f>
        <v/>
      </c>
      <c r="C921" s="296"/>
      <c r="D921" s="296"/>
      <c r="E921" s="296"/>
      <c r="F921" s="296"/>
      <c r="G921" s="326"/>
      <c r="H921" s="324"/>
      <c r="I921" s="325"/>
      <c r="J921" s="325"/>
      <c r="K921" s="318"/>
      <c r="L921" s="318"/>
      <c r="M921" s="319" t="str">
        <f>IFERROR(VLOOKUP(H921,Lijsten!$H$1:$I$100,2,0),"")</f>
        <v/>
      </c>
      <c r="N921" s="319" t="str">
        <f ca="1">IFERROR(IF(VLOOKUP(F921,Kostentypen!$A$3:$E$21,3,0)=0,"",IF(OR(F921="Arbeidskosten",F921="Vergoeding"),VLOOKUP(G921,Tb_KostenTypen[],2,0),VLOOKUP(F921,Kostentypen!$A$3:$E$20,3,0))),"")</f>
        <v/>
      </c>
      <c r="O921" s="320" t="str" cm="1">
        <f t="array" ref="O921">_xlfn.IFNA(IF(INDEX(Tb_KostenOptiesDB[],MATCH($F921,Tb_KostenOptiesDB[KostenOptie],0),IFERROR(MATCH(Methode_Keuze,Tb_KostenOptiesDB[#Headers],0),2))=1,_xlfn.SWITCH($N921,"Uurtarief",IF(OR(AND(RIGHT($F921,3)="IKS",VLOOKUP($M921,DB_Loonkosten,2,0)="Ja"),AND(RIGHT($F921,3)&lt;&gt;"IKS",VLOOKUP($M921,DB_Loonkosten,2,0)="Nee")),IFERROR(VLOOKUP($M921,DB_Loonkosten,24,0),""),0),"Vast tarief",IF(LEFT(F921,8)="Bijdrage",VLOOKUP($F921,Tb_KostenTypen[],MATCH(Lijsten!$P$1,Tb_KostenTypen[#Headers],0),0),VLOOKUP($G921,Lijsten!L:P,MATCH(Lijsten!$P$1,Kop_Tarief_Vast,0),0))),""),"")</f>
        <v/>
      </c>
      <c r="P921" s="320" t="str" cm="1">
        <f t="array" ref="P921">_xlfn.IFNA(IF(INDEX(Tb_KostenOptiesDB[],MATCH($F921,Tb_KostenOptiesDB[KostenOptie],0),IFERROR(MATCH(Methode_Keuze,Tb_KostenOptiesDB[#Headers],0),2))=1,_xlfn.SWITCH($N921,"Uurtarief",IF(OR(AND(RIGHT($F921,3)="IKS",VLOOKUP($M921,DB_Loonkosten,2,0)="Ja"),AND(RIGHT($F921,3)&lt;&gt;"IKS",VLOOKUP($M921,DB_Loonkosten,2,0)="Nee")),IFERROR(VLOOKUP($M921,DB_Loonkosten,25,0),""),0),"Vast tarief",IF(LEFT(F921,8)="Bijdrage",VLOOKUP($F921,Tb_KostenTypen[],MATCH(Lijsten!$P$1,Tb_KostenTypen[#Headers],0),0),VLOOKUP($G921,Lijsten!L:P,MATCH(Lijsten!$P$1,Kop_Tarief_Vast,0),0))),""),"")</f>
        <v/>
      </c>
      <c r="Q921" s="359"/>
      <c r="R921" s="359"/>
      <c r="S921" s="321"/>
      <c r="T921" s="321"/>
      <c r="U921" s="373" t="str">
        <f t="shared" si="56"/>
        <v/>
      </c>
      <c r="V921" s="314" t="str">
        <f t="shared" si="57"/>
        <v/>
      </c>
      <c r="W921" s="314" t="str" cm="1">
        <f t="array" aca="1" ref="W921" ca="1">IFERROR(IF(AE921&lt;&gt;"ja",_xlfn.IFNA(_xlfn.IFS(AND(O921&lt;&gt;"",F921&lt;&gt;"",RIGHT($N921,6)="tarief",F921="Vergoeding"),SUM(O921)*FLOOR(SUM(Q921),0.0001),AND(O921&lt;&gt;"",F921&lt;&gt;"",RIGHT($N921,6)="tarief"),SUM(O921)*FLOOR(SUM(Q921),0.01),S921&gt;0,IF(F921&lt;&gt;"",FLOOR(SUM(S921),0.01),"")),""),""),"")</f>
        <v/>
      </c>
      <c r="X921" s="314" t="str" cm="1">
        <f t="array" aca="1" ref="X921" ca="1">IFERROR(IF(AE921&lt;&gt;"ja",_xlfn.IFNA(_xlfn.IFS(AND(P921&lt;&gt;"",R921&lt;&gt;"",RIGHT($N921,6)="tarief",F921="Vergoeding"),SUM(P921)*FLOOR(SUM(R921),0.0001),AND(P921&lt;&gt;"",R921&lt;&gt;"",RIGHT($N921,6)="tarief"),P921*FLOOR(R921,0.01),T921&gt;0,FLOOR(SUM(T921),0.01)),""),""),"")</f>
        <v/>
      </c>
      <c r="Y921" s="314" t="str">
        <f t="shared" ca="1" si="58"/>
        <v/>
      </c>
      <c r="Z921" s="314" t="str" cm="1">
        <f t="array" aca="1" ref="Z921" ca="1">IFERROR(_xlfn.IFS(OR(F921="",LEFT(Methode_Keuze,4)="Geen",Methode_Keuze=""),"",AND(W921&lt;&gt;"",F921&lt;&gt;"Arbeidskosten"),W921*VLOOKUP(F921,Tb_ProjectKosten[],MATCH(Tb_ProjectKosten[[#Headers],[Forfait_Percentage]],Tb_ProjectKosten[#Headers],0),0),AND(F921="Arbeidskosten",G921&lt;&gt;""),IFERROR(W921*VLOOKUP(G921,Tb_KostenTypen[],3,0)*VLOOKUP(F921,Tb_ProjectKosten[],MATCH(Tb_ProjectKosten[[#Headers],[Forfait_Percentage]],Tb_ProjectKosten[#Headers],0),0),""),W921 &lt;=0,0),"")</f>
        <v/>
      </c>
      <c r="AA921" s="314" t="str" cm="1">
        <f t="array" aca="1" ref="AA921" ca="1">IFERROR(_xlfn.IFS(OR(F921="",LEFT(Methode_Keuze,4)="Geen",Methode_Keuze=""),"",AND(X921&lt;&gt;"",F921&lt;&gt;"Arbeidskosten"),X921*VLOOKUP(F921,Tb_ProjectKosten[],MATCH(Tb_ProjectKosten[[#Headers],[Forfait_Percentage]],Tb_ProjectKosten[#Headers],0),0),AND(F921="Arbeidskosten",G921&lt;&gt;""),IFERROR(X921*VLOOKUP(G921,Tb_KostenTypen[],3,0)*VLOOKUP(F921,Tb_ProjectKosten[],MATCH(Tb_ProjectKosten[[#Headers],[Forfait_Percentage]],Tb_ProjectKosten[#Headers],0),0),""),X921 &lt;=0,0),"")</f>
        <v/>
      </c>
      <c r="AB921" s="314" t="str">
        <f t="shared" ca="1" si="59"/>
        <v/>
      </c>
      <c r="AC921" s="322"/>
      <c r="AD921" s="315"/>
      <c r="AE921" s="32" t="str" cm="1">
        <f t="array" ref="AE921">IFERROR(IF(INDEX(SubsidieTabel!$AD$1:$AG$12,MATCH($F921,SubsidieTabel!$AD$1:$AD$12,0),IFERROR(MATCH(Methode_Keuze,SubsidieTabel!$AD$1:$AG$1,0),2))&lt;&gt;1=TRUE,"ja",""),"")</f>
        <v/>
      </c>
    </row>
    <row r="922" spans="1:31" x14ac:dyDescent="0.25">
      <c r="A922" s="316"/>
      <c r="B922" s="317" t="str">
        <f>IF(A922&lt;&gt;"",_xlfn.MAXIFS($B$1:B921,$A$1:A921,A922)+1,"")</f>
        <v/>
      </c>
      <c r="C922" s="296"/>
      <c r="D922" s="296"/>
      <c r="E922" s="296"/>
      <c r="F922" s="296"/>
      <c r="G922" s="326"/>
      <c r="H922" s="324"/>
      <c r="I922" s="325"/>
      <c r="J922" s="325"/>
      <c r="K922" s="318"/>
      <c r="L922" s="318"/>
      <c r="M922" s="319" t="str">
        <f>IFERROR(VLOOKUP(H922,Lijsten!$H$1:$I$100,2,0),"")</f>
        <v/>
      </c>
      <c r="N922" s="319" t="str">
        <f ca="1">IFERROR(IF(VLOOKUP(F922,Kostentypen!$A$3:$E$21,3,0)=0,"",IF(OR(F922="Arbeidskosten",F922="Vergoeding"),VLOOKUP(G922,Tb_KostenTypen[],2,0),VLOOKUP(F922,Kostentypen!$A$3:$E$20,3,0))),"")</f>
        <v/>
      </c>
      <c r="O922" s="320" t="str" cm="1">
        <f t="array" ref="O922">_xlfn.IFNA(IF(INDEX(Tb_KostenOptiesDB[],MATCH($F922,Tb_KostenOptiesDB[KostenOptie],0),IFERROR(MATCH(Methode_Keuze,Tb_KostenOptiesDB[#Headers],0),2))=1,_xlfn.SWITCH($N922,"Uurtarief",IF(OR(AND(RIGHT($F922,3)="IKS",VLOOKUP($M922,DB_Loonkosten,2,0)="Ja"),AND(RIGHT($F922,3)&lt;&gt;"IKS",VLOOKUP($M922,DB_Loonkosten,2,0)="Nee")),IFERROR(VLOOKUP($M922,DB_Loonkosten,24,0),""),0),"Vast tarief",IF(LEFT(F922,8)="Bijdrage",VLOOKUP($F922,Tb_KostenTypen[],MATCH(Lijsten!$P$1,Tb_KostenTypen[#Headers],0),0),VLOOKUP($G922,Lijsten!L:P,MATCH(Lijsten!$P$1,Kop_Tarief_Vast,0),0))),""),"")</f>
        <v/>
      </c>
      <c r="P922" s="320" t="str" cm="1">
        <f t="array" ref="P922">_xlfn.IFNA(IF(INDEX(Tb_KostenOptiesDB[],MATCH($F922,Tb_KostenOptiesDB[KostenOptie],0),IFERROR(MATCH(Methode_Keuze,Tb_KostenOptiesDB[#Headers],0),2))=1,_xlfn.SWITCH($N922,"Uurtarief",IF(OR(AND(RIGHT($F922,3)="IKS",VLOOKUP($M922,DB_Loonkosten,2,0)="Ja"),AND(RIGHT($F922,3)&lt;&gt;"IKS",VLOOKUP($M922,DB_Loonkosten,2,0)="Nee")),IFERROR(VLOOKUP($M922,DB_Loonkosten,25,0),""),0),"Vast tarief",IF(LEFT(F922,8)="Bijdrage",VLOOKUP($F922,Tb_KostenTypen[],MATCH(Lijsten!$P$1,Tb_KostenTypen[#Headers],0),0),VLOOKUP($G922,Lijsten!L:P,MATCH(Lijsten!$P$1,Kop_Tarief_Vast,0),0))),""),"")</f>
        <v/>
      </c>
      <c r="Q922" s="359"/>
      <c r="R922" s="359"/>
      <c r="S922" s="321"/>
      <c r="T922" s="321"/>
      <c r="U922" s="373" t="str">
        <f t="shared" si="56"/>
        <v/>
      </c>
      <c r="V922" s="314" t="str">
        <f t="shared" si="57"/>
        <v/>
      </c>
      <c r="W922" s="314" t="str" cm="1">
        <f t="array" aca="1" ref="W922" ca="1">IFERROR(IF(AE922&lt;&gt;"ja",_xlfn.IFNA(_xlfn.IFS(AND(O922&lt;&gt;"",F922&lt;&gt;"",RIGHT($N922,6)="tarief",F922="Vergoeding"),SUM(O922)*FLOOR(SUM(Q922),0.0001),AND(O922&lt;&gt;"",F922&lt;&gt;"",RIGHT($N922,6)="tarief"),SUM(O922)*FLOOR(SUM(Q922),0.01),S922&gt;0,IF(F922&lt;&gt;"",FLOOR(SUM(S922),0.01),"")),""),""),"")</f>
        <v/>
      </c>
      <c r="X922" s="314" t="str" cm="1">
        <f t="array" aca="1" ref="X922" ca="1">IFERROR(IF(AE922&lt;&gt;"ja",_xlfn.IFNA(_xlfn.IFS(AND(P922&lt;&gt;"",R922&lt;&gt;"",RIGHT($N922,6)="tarief",F922="Vergoeding"),SUM(P922)*FLOOR(SUM(R922),0.0001),AND(P922&lt;&gt;"",R922&lt;&gt;"",RIGHT($N922,6)="tarief"),P922*FLOOR(R922,0.01),T922&gt;0,FLOOR(SUM(T922),0.01)),""),""),"")</f>
        <v/>
      </c>
      <c r="Y922" s="314" t="str">
        <f t="shared" ca="1" si="58"/>
        <v/>
      </c>
      <c r="Z922" s="314" t="str" cm="1">
        <f t="array" aca="1" ref="Z922" ca="1">IFERROR(_xlfn.IFS(OR(F922="",LEFT(Methode_Keuze,4)="Geen",Methode_Keuze=""),"",AND(W922&lt;&gt;"",F922&lt;&gt;"Arbeidskosten"),W922*VLOOKUP(F922,Tb_ProjectKosten[],MATCH(Tb_ProjectKosten[[#Headers],[Forfait_Percentage]],Tb_ProjectKosten[#Headers],0),0),AND(F922="Arbeidskosten",G922&lt;&gt;""),IFERROR(W922*VLOOKUP(G922,Tb_KostenTypen[],3,0)*VLOOKUP(F922,Tb_ProjectKosten[],MATCH(Tb_ProjectKosten[[#Headers],[Forfait_Percentage]],Tb_ProjectKosten[#Headers],0),0),""),W922 &lt;=0,0),"")</f>
        <v/>
      </c>
      <c r="AA922" s="314" t="str" cm="1">
        <f t="array" aca="1" ref="AA922" ca="1">IFERROR(_xlfn.IFS(OR(F922="",LEFT(Methode_Keuze,4)="Geen",Methode_Keuze=""),"",AND(X922&lt;&gt;"",F922&lt;&gt;"Arbeidskosten"),X922*VLOOKUP(F922,Tb_ProjectKosten[],MATCH(Tb_ProjectKosten[[#Headers],[Forfait_Percentage]],Tb_ProjectKosten[#Headers],0),0),AND(F922="Arbeidskosten",G922&lt;&gt;""),IFERROR(X922*VLOOKUP(G922,Tb_KostenTypen[],3,0)*VLOOKUP(F922,Tb_ProjectKosten[],MATCH(Tb_ProjectKosten[[#Headers],[Forfait_Percentage]],Tb_ProjectKosten[#Headers],0),0),""),X922 &lt;=0,0),"")</f>
        <v/>
      </c>
      <c r="AB922" s="314" t="str">
        <f t="shared" ca="1" si="59"/>
        <v/>
      </c>
      <c r="AC922" s="322"/>
      <c r="AD922" s="315"/>
      <c r="AE922" s="32" t="str" cm="1">
        <f t="array" ref="AE922">IFERROR(IF(INDEX(SubsidieTabel!$AD$1:$AG$12,MATCH($F922,SubsidieTabel!$AD$1:$AD$12,0),IFERROR(MATCH(Methode_Keuze,SubsidieTabel!$AD$1:$AG$1,0),2))&lt;&gt;1=TRUE,"ja",""),"")</f>
        <v/>
      </c>
    </row>
    <row r="923" spans="1:31" x14ac:dyDescent="0.25">
      <c r="A923" s="316"/>
      <c r="B923" s="317" t="str">
        <f>IF(A923&lt;&gt;"",_xlfn.MAXIFS($B$1:B922,$A$1:A922,A923)+1,"")</f>
        <v/>
      </c>
      <c r="C923" s="296"/>
      <c r="D923" s="296"/>
      <c r="E923" s="296"/>
      <c r="F923" s="296"/>
      <c r="G923" s="326"/>
      <c r="H923" s="324"/>
      <c r="I923" s="325"/>
      <c r="J923" s="325"/>
      <c r="K923" s="318"/>
      <c r="L923" s="318"/>
      <c r="M923" s="319" t="str">
        <f>IFERROR(VLOOKUP(H923,Lijsten!$H$1:$I$100,2,0),"")</f>
        <v/>
      </c>
      <c r="N923" s="319" t="str">
        <f ca="1">IFERROR(IF(VLOOKUP(F923,Kostentypen!$A$3:$E$21,3,0)=0,"",IF(OR(F923="Arbeidskosten",F923="Vergoeding"),VLOOKUP(G923,Tb_KostenTypen[],2,0),VLOOKUP(F923,Kostentypen!$A$3:$E$20,3,0))),"")</f>
        <v/>
      </c>
      <c r="O923" s="320" t="str" cm="1">
        <f t="array" ref="O923">_xlfn.IFNA(IF(INDEX(Tb_KostenOptiesDB[],MATCH($F923,Tb_KostenOptiesDB[KostenOptie],0),IFERROR(MATCH(Methode_Keuze,Tb_KostenOptiesDB[#Headers],0),2))=1,_xlfn.SWITCH($N923,"Uurtarief",IF(OR(AND(RIGHT($F923,3)="IKS",VLOOKUP($M923,DB_Loonkosten,2,0)="Ja"),AND(RIGHT($F923,3)&lt;&gt;"IKS",VLOOKUP($M923,DB_Loonkosten,2,0)="Nee")),IFERROR(VLOOKUP($M923,DB_Loonkosten,24,0),""),0),"Vast tarief",IF(LEFT(F923,8)="Bijdrage",VLOOKUP($F923,Tb_KostenTypen[],MATCH(Lijsten!$P$1,Tb_KostenTypen[#Headers],0),0),VLOOKUP($G923,Lijsten!L:P,MATCH(Lijsten!$P$1,Kop_Tarief_Vast,0),0))),""),"")</f>
        <v/>
      </c>
      <c r="P923" s="320" t="str" cm="1">
        <f t="array" ref="P923">_xlfn.IFNA(IF(INDEX(Tb_KostenOptiesDB[],MATCH($F923,Tb_KostenOptiesDB[KostenOptie],0),IFERROR(MATCH(Methode_Keuze,Tb_KostenOptiesDB[#Headers],0),2))=1,_xlfn.SWITCH($N923,"Uurtarief",IF(OR(AND(RIGHT($F923,3)="IKS",VLOOKUP($M923,DB_Loonkosten,2,0)="Ja"),AND(RIGHT($F923,3)&lt;&gt;"IKS",VLOOKUP($M923,DB_Loonkosten,2,0)="Nee")),IFERROR(VLOOKUP($M923,DB_Loonkosten,25,0),""),0),"Vast tarief",IF(LEFT(F923,8)="Bijdrage",VLOOKUP($F923,Tb_KostenTypen[],MATCH(Lijsten!$P$1,Tb_KostenTypen[#Headers],0),0),VLOOKUP($G923,Lijsten!L:P,MATCH(Lijsten!$P$1,Kop_Tarief_Vast,0),0))),""),"")</f>
        <v/>
      </c>
      <c r="Q923" s="359"/>
      <c r="R923" s="359"/>
      <c r="S923" s="321"/>
      <c r="T923" s="321"/>
      <c r="U923" s="373" t="str">
        <f t="shared" si="56"/>
        <v/>
      </c>
      <c r="V923" s="314" t="str">
        <f t="shared" si="57"/>
        <v/>
      </c>
      <c r="W923" s="314" t="str" cm="1">
        <f t="array" aca="1" ref="W923" ca="1">IFERROR(IF(AE923&lt;&gt;"ja",_xlfn.IFNA(_xlfn.IFS(AND(O923&lt;&gt;"",F923&lt;&gt;"",RIGHT($N923,6)="tarief",F923="Vergoeding"),SUM(O923)*FLOOR(SUM(Q923),0.0001),AND(O923&lt;&gt;"",F923&lt;&gt;"",RIGHT($N923,6)="tarief"),SUM(O923)*FLOOR(SUM(Q923),0.01),S923&gt;0,IF(F923&lt;&gt;"",FLOOR(SUM(S923),0.01),"")),""),""),"")</f>
        <v/>
      </c>
      <c r="X923" s="314" t="str" cm="1">
        <f t="array" aca="1" ref="X923" ca="1">IFERROR(IF(AE923&lt;&gt;"ja",_xlfn.IFNA(_xlfn.IFS(AND(P923&lt;&gt;"",R923&lt;&gt;"",RIGHT($N923,6)="tarief",F923="Vergoeding"),SUM(P923)*FLOOR(SUM(R923),0.0001),AND(P923&lt;&gt;"",R923&lt;&gt;"",RIGHT($N923,6)="tarief"),P923*FLOOR(R923,0.01),T923&gt;0,FLOOR(SUM(T923),0.01)),""),""),"")</f>
        <v/>
      </c>
      <c r="Y923" s="314" t="str">
        <f t="shared" ca="1" si="58"/>
        <v/>
      </c>
      <c r="Z923" s="314" t="str" cm="1">
        <f t="array" aca="1" ref="Z923" ca="1">IFERROR(_xlfn.IFS(OR(F923="",LEFT(Methode_Keuze,4)="Geen",Methode_Keuze=""),"",AND(W923&lt;&gt;"",F923&lt;&gt;"Arbeidskosten"),W923*VLOOKUP(F923,Tb_ProjectKosten[],MATCH(Tb_ProjectKosten[[#Headers],[Forfait_Percentage]],Tb_ProjectKosten[#Headers],0),0),AND(F923="Arbeidskosten",G923&lt;&gt;""),IFERROR(W923*VLOOKUP(G923,Tb_KostenTypen[],3,0)*VLOOKUP(F923,Tb_ProjectKosten[],MATCH(Tb_ProjectKosten[[#Headers],[Forfait_Percentage]],Tb_ProjectKosten[#Headers],0),0),""),W923 &lt;=0,0),"")</f>
        <v/>
      </c>
      <c r="AA923" s="314" t="str" cm="1">
        <f t="array" aca="1" ref="AA923" ca="1">IFERROR(_xlfn.IFS(OR(F923="",LEFT(Methode_Keuze,4)="Geen",Methode_Keuze=""),"",AND(X923&lt;&gt;"",F923&lt;&gt;"Arbeidskosten"),X923*VLOOKUP(F923,Tb_ProjectKosten[],MATCH(Tb_ProjectKosten[[#Headers],[Forfait_Percentage]],Tb_ProjectKosten[#Headers],0),0),AND(F923="Arbeidskosten",G923&lt;&gt;""),IFERROR(X923*VLOOKUP(G923,Tb_KostenTypen[],3,0)*VLOOKUP(F923,Tb_ProjectKosten[],MATCH(Tb_ProjectKosten[[#Headers],[Forfait_Percentage]],Tb_ProjectKosten[#Headers],0),0),""),X923 &lt;=0,0),"")</f>
        <v/>
      </c>
      <c r="AB923" s="314" t="str">
        <f t="shared" ca="1" si="59"/>
        <v/>
      </c>
      <c r="AC923" s="322"/>
      <c r="AD923" s="315"/>
      <c r="AE923" s="32" t="str" cm="1">
        <f t="array" ref="AE923">IFERROR(IF(INDEX(SubsidieTabel!$AD$1:$AG$12,MATCH($F923,SubsidieTabel!$AD$1:$AD$12,0),IFERROR(MATCH(Methode_Keuze,SubsidieTabel!$AD$1:$AG$1,0),2))&lt;&gt;1=TRUE,"ja",""),"")</f>
        <v/>
      </c>
    </row>
    <row r="924" spans="1:31" x14ac:dyDescent="0.25">
      <c r="A924" s="316"/>
      <c r="B924" s="317" t="str">
        <f>IF(A924&lt;&gt;"",_xlfn.MAXIFS($B$1:B923,$A$1:A923,A924)+1,"")</f>
        <v/>
      </c>
      <c r="C924" s="296"/>
      <c r="D924" s="296"/>
      <c r="E924" s="296"/>
      <c r="F924" s="296"/>
      <c r="G924" s="326"/>
      <c r="H924" s="324"/>
      <c r="I924" s="325"/>
      <c r="J924" s="325"/>
      <c r="K924" s="318"/>
      <c r="L924" s="318"/>
      <c r="M924" s="319" t="str">
        <f>IFERROR(VLOOKUP(H924,Lijsten!$H$1:$I$100,2,0),"")</f>
        <v/>
      </c>
      <c r="N924" s="319" t="str">
        <f ca="1">IFERROR(IF(VLOOKUP(F924,Kostentypen!$A$3:$E$21,3,0)=0,"",IF(OR(F924="Arbeidskosten",F924="Vergoeding"),VLOOKUP(G924,Tb_KostenTypen[],2,0),VLOOKUP(F924,Kostentypen!$A$3:$E$20,3,0))),"")</f>
        <v/>
      </c>
      <c r="O924" s="320" t="str" cm="1">
        <f t="array" ref="O924">_xlfn.IFNA(IF(INDEX(Tb_KostenOptiesDB[],MATCH($F924,Tb_KostenOptiesDB[KostenOptie],0),IFERROR(MATCH(Methode_Keuze,Tb_KostenOptiesDB[#Headers],0),2))=1,_xlfn.SWITCH($N924,"Uurtarief",IF(OR(AND(RIGHT($F924,3)="IKS",VLOOKUP($M924,DB_Loonkosten,2,0)="Ja"),AND(RIGHT($F924,3)&lt;&gt;"IKS",VLOOKUP($M924,DB_Loonkosten,2,0)="Nee")),IFERROR(VLOOKUP($M924,DB_Loonkosten,24,0),""),0),"Vast tarief",IF(LEFT(F924,8)="Bijdrage",VLOOKUP($F924,Tb_KostenTypen[],MATCH(Lijsten!$P$1,Tb_KostenTypen[#Headers],0),0),VLOOKUP($G924,Lijsten!L:P,MATCH(Lijsten!$P$1,Kop_Tarief_Vast,0),0))),""),"")</f>
        <v/>
      </c>
      <c r="P924" s="320" t="str" cm="1">
        <f t="array" ref="P924">_xlfn.IFNA(IF(INDEX(Tb_KostenOptiesDB[],MATCH($F924,Tb_KostenOptiesDB[KostenOptie],0),IFERROR(MATCH(Methode_Keuze,Tb_KostenOptiesDB[#Headers],0),2))=1,_xlfn.SWITCH($N924,"Uurtarief",IF(OR(AND(RIGHT($F924,3)="IKS",VLOOKUP($M924,DB_Loonkosten,2,0)="Ja"),AND(RIGHT($F924,3)&lt;&gt;"IKS",VLOOKUP($M924,DB_Loonkosten,2,0)="Nee")),IFERROR(VLOOKUP($M924,DB_Loonkosten,25,0),""),0),"Vast tarief",IF(LEFT(F924,8)="Bijdrage",VLOOKUP($F924,Tb_KostenTypen[],MATCH(Lijsten!$P$1,Tb_KostenTypen[#Headers],0),0),VLOOKUP($G924,Lijsten!L:P,MATCH(Lijsten!$P$1,Kop_Tarief_Vast,0),0))),""),"")</f>
        <v/>
      </c>
      <c r="Q924" s="359"/>
      <c r="R924" s="359"/>
      <c r="S924" s="321"/>
      <c r="T924" s="321"/>
      <c r="U924" s="373" t="str">
        <f t="shared" si="56"/>
        <v/>
      </c>
      <c r="V924" s="314" t="str">
        <f t="shared" si="57"/>
        <v/>
      </c>
      <c r="W924" s="314" t="str" cm="1">
        <f t="array" aca="1" ref="W924" ca="1">IFERROR(IF(AE924&lt;&gt;"ja",_xlfn.IFNA(_xlfn.IFS(AND(O924&lt;&gt;"",F924&lt;&gt;"",RIGHT($N924,6)="tarief",F924="Vergoeding"),SUM(O924)*FLOOR(SUM(Q924),0.0001),AND(O924&lt;&gt;"",F924&lt;&gt;"",RIGHT($N924,6)="tarief"),SUM(O924)*FLOOR(SUM(Q924),0.01),S924&gt;0,IF(F924&lt;&gt;"",FLOOR(SUM(S924),0.01),"")),""),""),"")</f>
        <v/>
      </c>
      <c r="X924" s="314" t="str" cm="1">
        <f t="array" aca="1" ref="X924" ca="1">IFERROR(IF(AE924&lt;&gt;"ja",_xlfn.IFNA(_xlfn.IFS(AND(P924&lt;&gt;"",R924&lt;&gt;"",RIGHT($N924,6)="tarief",F924="Vergoeding"),SUM(P924)*FLOOR(SUM(R924),0.0001),AND(P924&lt;&gt;"",R924&lt;&gt;"",RIGHT($N924,6)="tarief"),P924*FLOOR(R924,0.01),T924&gt;0,FLOOR(SUM(T924),0.01)),""),""),"")</f>
        <v/>
      </c>
      <c r="Y924" s="314" t="str">
        <f t="shared" ca="1" si="58"/>
        <v/>
      </c>
      <c r="Z924" s="314" t="str" cm="1">
        <f t="array" aca="1" ref="Z924" ca="1">IFERROR(_xlfn.IFS(OR(F924="",LEFT(Methode_Keuze,4)="Geen",Methode_Keuze=""),"",AND(W924&lt;&gt;"",F924&lt;&gt;"Arbeidskosten"),W924*VLOOKUP(F924,Tb_ProjectKosten[],MATCH(Tb_ProjectKosten[[#Headers],[Forfait_Percentage]],Tb_ProjectKosten[#Headers],0),0),AND(F924="Arbeidskosten",G924&lt;&gt;""),IFERROR(W924*VLOOKUP(G924,Tb_KostenTypen[],3,0)*VLOOKUP(F924,Tb_ProjectKosten[],MATCH(Tb_ProjectKosten[[#Headers],[Forfait_Percentage]],Tb_ProjectKosten[#Headers],0),0),""),W924 &lt;=0,0),"")</f>
        <v/>
      </c>
      <c r="AA924" s="314" t="str" cm="1">
        <f t="array" aca="1" ref="AA924" ca="1">IFERROR(_xlfn.IFS(OR(F924="",LEFT(Methode_Keuze,4)="Geen",Methode_Keuze=""),"",AND(X924&lt;&gt;"",F924&lt;&gt;"Arbeidskosten"),X924*VLOOKUP(F924,Tb_ProjectKosten[],MATCH(Tb_ProjectKosten[[#Headers],[Forfait_Percentage]],Tb_ProjectKosten[#Headers],0),0),AND(F924="Arbeidskosten",G924&lt;&gt;""),IFERROR(X924*VLOOKUP(G924,Tb_KostenTypen[],3,0)*VLOOKUP(F924,Tb_ProjectKosten[],MATCH(Tb_ProjectKosten[[#Headers],[Forfait_Percentage]],Tb_ProjectKosten[#Headers],0),0),""),X924 &lt;=0,0),"")</f>
        <v/>
      </c>
      <c r="AB924" s="314" t="str">
        <f t="shared" ca="1" si="59"/>
        <v/>
      </c>
      <c r="AC924" s="322"/>
      <c r="AD924" s="315"/>
      <c r="AE924" s="32" t="str" cm="1">
        <f t="array" ref="AE924">IFERROR(IF(INDEX(SubsidieTabel!$AD$1:$AG$12,MATCH($F924,SubsidieTabel!$AD$1:$AD$12,0),IFERROR(MATCH(Methode_Keuze,SubsidieTabel!$AD$1:$AG$1,0),2))&lt;&gt;1=TRUE,"ja",""),"")</f>
        <v/>
      </c>
    </row>
    <row r="925" spans="1:31" x14ac:dyDescent="0.25">
      <c r="A925" s="316"/>
      <c r="B925" s="317" t="str">
        <f>IF(A925&lt;&gt;"",_xlfn.MAXIFS($B$1:B924,$A$1:A924,A925)+1,"")</f>
        <v/>
      </c>
      <c r="C925" s="296"/>
      <c r="D925" s="296"/>
      <c r="E925" s="296"/>
      <c r="F925" s="296"/>
      <c r="G925" s="326"/>
      <c r="H925" s="324"/>
      <c r="I925" s="325"/>
      <c r="J925" s="325"/>
      <c r="K925" s="318"/>
      <c r="L925" s="318"/>
      <c r="M925" s="319" t="str">
        <f>IFERROR(VLOOKUP(H925,Lijsten!$H$1:$I$100,2,0),"")</f>
        <v/>
      </c>
      <c r="N925" s="319" t="str">
        <f ca="1">IFERROR(IF(VLOOKUP(F925,Kostentypen!$A$3:$E$21,3,0)=0,"",IF(OR(F925="Arbeidskosten",F925="Vergoeding"),VLOOKUP(G925,Tb_KostenTypen[],2,0),VLOOKUP(F925,Kostentypen!$A$3:$E$20,3,0))),"")</f>
        <v/>
      </c>
      <c r="O925" s="320" t="str" cm="1">
        <f t="array" ref="O925">_xlfn.IFNA(IF(INDEX(Tb_KostenOptiesDB[],MATCH($F925,Tb_KostenOptiesDB[KostenOptie],0),IFERROR(MATCH(Methode_Keuze,Tb_KostenOptiesDB[#Headers],0),2))=1,_xlfn.SWITCH($N925,"Uurtarief",IF(OR(AND(RIGHT($F925,3)="IKS",VLOOKUP($M925,DB_Loonkosten,2,0)="Ja"),AND(RIGHT($F925,3)&lt;&gt;"IKS",VLOOKUP($M925,DB_Loonkosten,2,0)="Nee")),IFERROR(VLOOKUP($M925,DB_Loonkosten,24,0),""),0),"Vast tarief",IF(LEFT(F925,8)="Bijdrage",VLOOKUP($F925,Tb_KostenTypen[],MATCH(Lijsten!$P$1,Tb_KostenTypen[#Headers],0),0),VLOOKUP($G925,Lijsten!L:P,MATCH(Lijsten!$P$1,Kop_Tarief_Vast,0),0))),""),"")</f>
        <v/>
      </c>
      <c r="P925" s="320" t="str" cm="1">
        <f t="array" ref="P925">_xlfn.IFNA(IF(INDEX(Tb_KostenOptiesDB[],MATCH($F925,Tb_KostenOptiesDB[KostenOptie],0),IFERROR(MATCH(Methode_Keuze,Tb_KostenOptiesDB[#Headers],0),2))=1,_xlfn.SWITCH($N925,"Uurtarief",IF(OR(AND(RIGHT($F925,3)="IKS",VLOOKUP($M925,DB_Loonkosten,2,0)="Ja"),AND(RIGHT($F925,3)&lt;&gt;"IKS",VLOOKUP($M925,DB_Loonkosten,2,0)="Nee")),IFERROR(VLOOKUP($M925,DB_Loonkosten,25,0),""),0),"Vast tarief",IF(LEFT(F925,8)="Bijdrage",VLOOKUP($F925,Tb_KostenTypen[],MATCH(Lijsten!$P$1,Tb_KostenTypen[#Headers],0),0),VLOOKUP($G925,Lijsten!L:P,MATCH(Lijsten!$P$1,Kop_Tarief_Vast,0),0))),""),"")</f>
        <v/>
      </c>
      <c r="Q925" s="359"/>
      <c r="R925" s="359"/>
      <c r="S925" s="321"/>
      <c r="T925" s="321"/>
      <c r="U925" s="373" t="str">
        <f t="shared" si="56"/>
        <v/>
      </c>
      <c r="V925" s="314" t="str">
        <f t="shared" si="57"/>
        <v/>
      </c>
      <c r="W925" s="314" t="str" cm="1">
        <f t="array" aca="1" ref="W925" ca="1">IFERROR(IF(AE925&lt;&gt;"ja",_xlfn.IFNA(_xlfn.IFS(AND(O925&lt;&gt;"",F925&lt;&gt;"",RIGHT($N925,6)="tarief",F925="Vergoeding"),SUM(O925)*FLOOR(SUM(Q925),0.0001),AND(O925&lt;&gt;"",F925&lt;&gt;"",RIGHT($N925,6)="tarief"),SUM(O925)*FLOOR(SUM(Q925),0.01),S925&gt;0,IF(F925&lt;&gt;"",FLOOR(SUM(S925),0.01),"")),""),""),"")</f>
        <v/>
      </c>
      <c r="X925" s="314" t="str" cm="1">
        <f t="array" aca="1" ref="X925" ca="1">IFERROR(IF(AE925&lt;&gt;"ja",_xlfn.IFNA(_xlfn.IFS(AND(P925&lt;&gt;"",R925&lt;&gt;"",RIGHT($N925,6)="tarief",F925="Vergoeding"),SUM(P925)*FLOOR(SUM(R925),0.0001),AND(P925&lt;&gt;"",R925&lt;&gt;"",RIGHT($N925,6)="tarief"),P925*FLOOR(R925,0.01),T925&gt;0,FLOOR(SUM(T925),0.01)),""),""),"")</f>
        <v/>
      </c>
      <c r="Y925" s="314" t="str">
        <f t="shared" ca="1" si="58"/>
        <v/>
      </c>
      <c r="Z925" s="314" t="str" cm="1">
        <f t="array" aca="1" ref="Z925" ca="1">IFERROR(_xlfn.IFS(OR(F925="",LEFT(Methode_Keuze,4)="Geen",Methode_Keuze=""),"",AND(W925&lt;&gt;"",F925&lt;&gt;"Arbeidskosten"),W925*VLOOKUP(F925,Tb_ProjectKosten[],MATCH(Tb_ProjectKosten[[#Headers],[Forfait_Percentage]],Tb_ProjectKosten[#Headers],0),0),AND(F925="Arbeidskosten",G925&lt;&gt;""),IFERROR(W925*VLOOKUP(G925,Tb_KostenTypen[],3,0)*VLOOKUP(F925,Tb_ProjectKosten[],MATCH(Tb_ProjectKosten[[#Headers],[Forfait_Percentage]],Tb_ProjectKosten[#Headers],0),0),""),W925 &lt;=0,0),"")</f>
        <v/>
      </c>
      <c r="AA925" s="314" t="str" cm="1">
        <f t="array" aca="1" ref="AA925" ca="1">IFERROR(_xlfn.IFS(OR(F925="",LEFT(Methode_Keuze,4)="Geen",Methode_Keuze=""),"",AND(X925&lt;&gt;"",F925&lt;&gt;"Arbeidskosten"),X925*VLOOKUP(F925,Tb_ProjectKosten[],MATCH(Tb_ProjectKosten[[#Headers],[Forfait_Percentage]],Tb_ProjectKosten[#Headers],0),0),AND(F925="Arbeidskosten",G925&lt;&gt;""),IFERROR(X925*VLOOKUP(G925,Tb_KostenTypen[],3,0)*VLOOKUP(F925,Tb_ProjectKosten[],MATCH(Tb_ProjectKosten[[#Headers],[Forfait_Percentage]],Tb_ProjectKosten[#Headers],0),0),""),X925 &lt;=0,0),"")</f>
        <v/>
      </c>
      <c r="AB925" s="314" t="str">
        <f t="shared" ca="1" si="59"/>
        <v/>
      </c>
      <c r="AC925" s="322"/>
      <c r="AD925" s="315"/>
      <c r="AE925" s="32" t="str" cm="1">
        <f t="array" ref="AE925">IFERROR(IF(INDEX(SubsidieTabel!$AD$1:$AG$12,MATCH($F925,SubsidieTabel!$AD$1:$AD$12,0),IFERROR(MATCH(Methode_Keuze,SubsidieTabel!$AD$1:$AG$1,0),2))&lt;&gt;1=TRUE,"ja",""),"")</f>
        <v/>
      </c>
    </row>
    <row r="926" spans="1:31" x14ac:dyDescent="0.25">
      <c r="A926" s="316"/>
      <c r="B926" s="317" t="str">
        <f>IF(A926&lt;&gt;"",_xlfn.MAXIFS($B$1:B925,$A$1:A925,A926)+1,"")</f>
        <v/>
      </c>
      <c r="C926" s="296"/>
      <c r="D926" s="296"/>
      <c r="E926" s="296"/>
      <c r="F926" s="296"/>
      <c r="G926" s="326"/>
      <c r="H926" s="324"/>
      <c r="I926" s="325"/>
      <c r="J926" s="325"/>
      <c r="K926" s="318"/>
      <c r="L926" s="318"/>
      <c r="M926" s="319" t="str">
        <f>IFERROR(VLOOKUP(H926,Lijsten!$H$1:$I$100,2,0),"")</f>
        <v/>
      </c>
      <c r="N926" s="319" t="str">
        <f ca="1">IFERROR(IF(VLOOKUP(F926,Kostentypen!$A$3:$E$21,3,0)=0,"",IF(OR(F926="Arbeidskosten",F926="Vergoeding"),VLOOKUP(G926,Tb_KostenTypen[],2,0),VLOOKUP(F926,Kostentypen!$A$3:$E$20,3,0))),"")</f>
        <v/>
      </c>
      <c r="O926" s="320" t="str" cm="1">
        <f t="array" ref="O926">_xlfn.IFNA(IF(INDEX(Tb_KostenOptiesDB[],MATCH($F926,Tb_KostenOptiesDB[KostenOptie],0),IFERROR(MATCH(Methode_Keuze,Tb_KostenOptiesDB[#Headers],0),2))=1,_xlfn.SWITCH($N926,"Uurtarief",IF(OR(AND(RIGHT($F926,3)="IKS",VLOOKUP($M926,DB_Loonkosten,2,0)="Ja"),AND(RIGHT($F926,3)&lt;&gt;"IKS",VLOOKUP($M926,DB_Loonkosten,2,0)="Nee")),IFERROR(VLOOKUP($M926,DB_Loonkosten,24,0),""),0),"Vast tarief",IF(LEFT(F926,8)="Bijdrage",VLOOKUP($F926,Tb_KostenTypen[],MATCH(Lijsten!$P$1,Tb_KostenTypen[#Headers],0),0),VLOOKUP($G926,Lijsten!L:P,MATCH(Lijsten!$P$1,Kop_Tarief_Vast,0),0))),""),"")</f>
        <v/>
      </c>
      <c r="P926" s="320" t="str" cm="1">
        <f t="array" ref="P926">_xlfn.IFNA(IF(INDEX(Tb_KostenOptiesDB[],MATCH($F926,Tb_KostenOptiesDB[KostenOptie],0),IFERROR(MATCH(Methode_Keuze,Tb_KostenOptiesDB[#Headers],0),2))=1,_xlfn.SWITCH($N926,"Uurtarief",IF(OR(AND(RIGHT($F926,3)="IKS",VLOOKUP($M926,DB_Loonkosten,2,0)="Ja"),AND(RIGHT($F926,3)&lt;&gt;"IKS",VLOOKUP($M926,DB_Loonkosten,2,0)="Nee")),IFERROR(VLOOKUP($M926,DB_Loonkosten,25,0),""),0),"Vast tarief",IF(LEFT(F926,8)="Bijdrage",VLOOKUP($F926,Tb_KostenTypen[],MATCH(Lijsten!$P$1,Tb_KostenTypen[#Headers],0),0),VLOOKUP($G926,Lijsten!L:P,MATCH(Lijsten!$P$1,Kop_Tarief_Vast,0),0))),""),"")</f>
        <v/>
      </c>
      <c r="Q926" s="359"/>
      <c r="R926" s="359"/>
      <c r="S926" s="321"/>
      <c r="T926" s="321"/>
      <c r="U926" s="373" t="str">
        <f t="shared" si="56"/>
        <v/>
      </c>
      <c r="V926" s="314" t="str">
        <f t="shared" si="57"/>
        <v/>
      </c>
      <c r="W926" s="314" t="str" cm="1">
        <f t="array" aca="1" ref="W926" ca="1">IFERROR(IF(AE926&lt;&gt;"ja",_xlfn.IFNA(_xlfn.IFS(AND(O926&lt;&gt;"",F926&lt;&gt;"",RIGHT($N926,6)="tarief",F926="Vergoeding"),SUM(O926)*FLOOR(SUM(Q926),0.0001),AND(O926&lt;&gt;"",F926&lt;&gt;"",RIGHT($N926,6)="tarief"),SUM(O926)*FLOOR(SUM(Q926),0.01),S926&gt;0,IF(F926&lt;&gt;"",FLOOR(SUM(S926),0.01),"")),""),""),"")</f>
        <v/>
      </c>
      <c r="X926" s="314" t="str" cm="1">
        <f t="array" aca="1" ref="X926" ca="1">IFERROR(IF(AE926&lt;&gt;"ja",_xlfn.IFNA(_xlfn.IFS(AND(P926&lt;&gt;"",R926&lt;&gt;"",RIGHT($N926,6)="tarief",F926="Vergoeding"),SUM(P926)*FLOOR(SUM(R926),0.0001),AND(P926&lt;&gt;"",R926&lt;&gt;"",RIGHT($N926,6)="tarief"),P926*FLOOR(R926,0.01),T926&gt;0,FLOOR(SUM(T926),0.01)),""),""),"")</f>
        <v/>
      </c>
      <c r="Y926" s="314" t="str">
        <f t="shared" ca="1" si="58"/>
        <v/>
      </c>
      <c r="Z926" s="314" t="str" cm="1">
        <f t="array" aca="1" ref="Z926" ca="1">IFERROR(_xlfn.IFS(OR(F926="",LEFT(Methode_Keuze,4)="Geen",Methode_Keuze=""),"",AND(W926&lt;&gt;"",F926&lt;&gt;"Arbeidskosten"),W926*VLOOKUP(F926,Tb_ProjectKosten[],MATCH(Tb_ProjectKosten[[#Headers],[Forfait_Percentage]],Tb_ProjectKosten[#Headers],0),0),AND(F926="Arbeidskosten",G926&lt;&gt;""),IFERROR(W926*VLOOKUP(G926,Tb_KostenTypen[],3,0)*VLOOKUP(F926,Tb_ProjectKosten[],MATCH(Tb_ProjectKosten[[#Headers],[Forfait_Percentage]],Tb_ProjectKosten[#Headers],0),0),""),W926 &lt;=0,0),"")</f>
        <v/>
      </c>
      <c r="AA926" s="314" t="str" cm="1">
        <f t="array" aca="1" ref="AA926" ca="1">IFERROR(_xlfn.IFS(OR(F926="",LEFT(Methode_Keuze,4)="Geen",Methode_Keuze=""),"",AND(X926&lt;&gt;"",F926&lt;&gt;"Arbeidskosten"),X926*VLOOKUP(F926,Tb_ProjectKosten[],MATCH(Tb_ProjectKosten[[#Headers],[Forfait_Percentage]],Tb_ProjectKosten[#Headers],0),0),AND(F926="Arbeidskosten",G926&lt;&gt;""),IFERROR(X926*VLOOKUP(G926,Tb_KostenTypen[],3,0)*VLOOKUP(F926,Tb_ProjectKosten[],MATCH(Tb_ProjectKosten[[#Headers],[Forfait_Percentage]],Tb_ProjectKosten[#Headers],0),0),""),X926 &lt;=0,0),"")</f>
        <v/>
      </c>
      <c r="AB926" s="314" t="str">
        <f t="shared" ca="1" si="59"/>
        <v/>
      </c>
      <c r="AC926" s="322"/>
      <c r="AD926" s="315"/>
      <c r="AE926" s="32" t="str" cm="1">
        <f t="array" ref="AE926">IFERROR(IF(INDEX(SubsidieTabel!$AD$1:$AG$12,MATCH($F926,SubsidieTabel!$AD$1:$AD$12,0),IFERROR(MATCH(Methode_Keuze,SubsidieTabel!$AD$1:$AG$1,0),2))&lt;&gt;1=TRUE,"ja",""),"")</f>
        <v/>
      </c>
    </row>
    <row r="927" spans="1:31" x14ac:dyDescent="0.25">
      <c r="A927" s="316"/>
      <c r="B927" s="317" t="str">
        <f>IF(A927&lt;&gt;"",_xlfn.MAXIFS($B$1:B926,$A$1:A926,A927)+1,"")</f>
        <v/>
      </c>
      <c r="C927" s="296"/>
      <c r="D927" s="296"/>
      <c r="E927" s="296"/>
      <c r="F927" s="296"/>
      <c r="G927" s="326"/>
      <c r="H927" s="324"/>
      <c r="I927" s="325"/>
      <c r="J927" s="325"/>
      <c r="K927" s="318"/>
      <c r="L927" s="318"/>
      <c r="M927" s="319" t="str">
        <f>IFERROR(VLOOKUP(H927,Lijsten!$H$1:$I$100,2,0),"")</f>
        <v/>
      </c>
      <c r="N927" s="319" t="str">
        <f ca="1">IFERROR(IF(VLOOKUP(F927,Kostentypen!$A$3:$E$21,3,0)=0,"",IF(OR(F927="Arbeidskosten",F927="Vergoeding"),VLOOKUP(G927,Tb_KostenTypen[],2,0),VLOOKUP(F927,Kostentypen!$A$3:$E$20,3,0))),"")</f>
        <v/>
      </c>
      <c r="O927" s="320" t="str" cm="1">
        <f t="array" ref="O927">_xlfn.IFNA(IF(INDEX(Tb_KostenOptiesDB[],MATCH($F927,Tb_KostenOptiesDB[KostenOptie],0),IFERROR(MATCH(Methode_Keuze,Tb_KostenOptiesDB[#Headers],0),2))=1,_xlfn.SWITCH($N927,"Uurtarief",IF(OR(AND(RIGHT($F927,3)="IKS",VLOOKUP($M927,DB_Loonkosten,2,0)="Ja"),AND(RIGHT($F927,3)&lt;&gt;"IKS",VLOOKUP($M927,DB_Loonkosten,2,0)="Nee")),IFERROR(VLOOKUP($M927,DB_Loonkosten,24,0),""),0),"Vast tarief",IF(LEFT(F927,8)="Bijdrage",VLOOKUP($F927,Tb_KostenTypen[],MATCH(Lijsten!$P$1,Tb_KostenTypen[#Headers],0),0),VLOOKUP($G927,Lijsten!L:P,MATCH(Lijsten!$P$1,Kop_Tarief_Vast,0),0))),""),"")</f>
        <v/>
      </c>
      <c r="P927" s="320" t="str" cm="1">
        <f t="array" ref="P927">_xlfn.IFNA(IF(INDEX(Tb_KostenOptiesDB[],MATCH($F927,Tb_KostenOptiesDB[KostenOptie],0),IFERROR(MATCH(Methode_Keuze,Tb_KostenOptiesDB[#Headers],0),2))=1,_xlfn.SWITCH($N927,"Uurtarief",IF(OR(AND(RIGHT($F927,3)="IKS",VLOOKUP($M927,DB_Loonkosten,2,0)="Ja"),AND(RIGHT($F927,3)&lt;&gt;"IKS",VLOOKUP($M927,DB_Loonkosten,2,0)="Nee")),IFERROR(VLOOKUP($M927,DB_Loonkosten,25,0),""),0),"Vast tarief",IF(LEFT(F927,8)="Bijdrage",VLOOKUP($F927,Tb_KostenTypen[],MATCH(Lijsten!$P$1,Tb_KostenTypen[#Headers],0),0),VLOOKUP($G927,Lijsten!L:P,MATCH(Lijsten!$P$1,Kop_Tarief_Vast,0),0))),""),"")</f>
        <v/>
      </c>
      <c r="Q927" s="359"/>
      <c r="R927" s="359"/>
      <c r="S927" s="321"/>
      <c r="T927" s="321"/>
      <c r="U927" s="373" t="str">
        <f t="shared" si="56"/>
        <v/>
      </c>
      <c r="V927" s="314" t="str">
        <f t="shared" si="57"/>
        <v/>
      </c>
      <c r="W927" s="314" t="str" cm="1">
        <f t="array" aca="1" ref="W927" ca="1">IFERROR(IF(AE927&lt;&gt;"ja",_xlfn.IFNA(_xlfn.IFS(AND(O927&lt;&gt;"",F927&lt;&gt;"",RIGHT($N927,6)="tarief",F927="Vergoeding"),SUM(O927)*FLOOR(SUM(Q927),0.0001),AND(O927&lt;&gt;"",F927&lt;&gt;"",RIGHT($N927,6)="tarief"),SUM(O927)*FLOOR(SUM(Q927),0.01),S927&gt;0,IF(F927&lt;&gt;"",FLOOR(SUM(S927),0.01),"")),""),""),"")</f>
        <v/>
      </c>
      <c r="X927" s="314" t="str" cm="1">
        <f t="array" aca="1" ref="X927" ca="1">IFERROR(IF(AE927&lt;&gt;"ja",_xlfn.IFNA(_xlfn.IFS(AND(P927&lt;&gt;"",R927&lt;&gt;"",RIGHT($N927,6)="tarief",F927="Vergoeding"),SUM(P927)*FLOOR(SUM(R927),0.0001),AND(P927&lt;&gt;"",R927&lt;&gt;"",RIGHT($N927,6)="tarief"),P927*FLOOR(R927,0.01),T927&gt;0,FLOOR(SUM(T927),0.01)),""),""),"")</f>
        <v/>
      </c>
      <c r="Y927" s="314" t="str">
        <f t="shared" ca="1" si="58"/>
        <v/>
      </c>
      <c r="Z927" s="314" t="str" cm="1">
        <f t="array" aca="1" ref="Z927" ca="1">IFERROR(_xlfn.IFS(OR(F927="",LEFT(Methode_Keuze,4)="Geen",Methode_Keuze=""),"",AND(W927&lt;&gt;"",F927&lt;&gt;"Arbeidskosten"),W927*VLOOKUP(F927,Tb_ProjectKosten[],MATCH(Tb_ProjectKosten[[#Headers],[Forfait_Percentage]],Tb_ProjectKosten[#Headers],0),0),AND(F927="Arbeidskosten",G927&lt;&gt;""),IFERROR(W927*VLOOKUP(G927,Tb_KostenTypen[],3,0)*VLOOKUP(F927,Tb_ProjectKosten[],MATCH(Tb_ProjectKosten[[#Headers],[Forfait_Percentage]],Tb_ProjectKosten[#Headers],0),0),""),W927 &lt;=0,0),"")</f>
        <v/>
      </c>
      <c r="AA927" s="314" t="str" cm="1">
        <f t="array" aca="1" ref="AA927" ca="1">IFERROR(_xlfn.IFS(OR(F927="",LEFT(Methode_Keuze,4)="Geen",Methode_Keuze=""),"",AND(X927&lt;&gt;"",F927&lt;&gt;"Arbeidskosten"),X927*VLOOKUP(F927,Tb_ProjectKosten[],MATCH(Tb_ProjectKosten[[#Headers],[Forfait_Percentage]],Tb_ProjectKosten[#Headers],0),0),AND(F927="Arbeidskosten",G927&lt;&gt;""),IFERROR(X927*VLOOKUP(G927,Tb_KostenTypen[],3,0)*VLOOKUP(F927,Tb_ProjectKosten[],MATCH(Tb_ProjectKosten[[#Headers],[Forfait_Percentage]],Tb_ProjectKosten[#Headers],0),0),""),X927 &lt;=0,0),"")</f>
        <v/>
      </c>
      <c r="AB927" s="314" t="str">
        <f t="shared" ca="1" si="59"/>
        <v/>
      </c>
      <c r="AC927" s="322"/>
      <c r="AD927" s="315"/>
      <c r="AE927" s="32" t="str" cm="1">
        <f t="array" ref="AE927">IFERROR(IF(INDEX(SubsidieTabel!$AD$1:$AG$12,MATCH($F927,SubsidieTabel!$AD$1:$AD$12,0),IFERROR(MATCH(Methode_Keuze,SubsidieTabel!$AD$1:$AG$1,0),2))&lt;&gt;1=TRUE,"ja",""),"")</f>
        <v/>
      </c>
    </row>
    <row r="928" spans="1:31" x14ac:dyDescent="0.25">
      <c r="A928" s="316"/>
      <c r="B928" s="317" t="str">
        <f>IF(A928&lt;&gt;"",_xlfn.MAXIFS($B$1:B927,$A$1:A927,A928)+1,"")</f>
        <v/>
      </c>
      <c r="C928" s="296"/>
      <c r="D928" s="296"/>
      <c r="E928" s="296"/>
      <c r="F928" s="296"/>
      <c r="G928" s="326"/>
      <c r="H928" s="324"/>
      <c r="I928" s="325"/>
      <c r="J928" s="325"/>
      <c r="K928" s="318"/>
      <c r="L928" s="318"/>
      <c r="M928" s="319" t="str">
        <f>IFERROR(VLOOKUP(H928,Lijsten!$H$1:$I$100,2,0),"")</f>
        <v/>
      </c>
      <c r="N928" s="319" t="str">
        <f ca="1">IFERROR(IF(VLOOKUP(F928,Kostentypen!$A$3:$E$21,3,0)=0,"",IF(OR(F928="Arbeidskosten",F928="Vergoeding"),VLOOKUP(G928,Tb_KostenTypen[],2,0),VLOOKUP(F928,Kostentypen!$A$3:$E$20,3,0))),"")</f>
        <v/>
      </c>
      <c r="O928" s="320" t="str" cm="1">
        <f t="array" ref="O928">_xlfn.IFNA(IF(INDEX(Tb_KostenOptiesDB[],MATCH($F928,Tb_KostenOptiesDB[KostenOptie],0),IFERROR(MATCH(Methode_Keuze,Tb_KostenOptiesDB[#Headers],0),2))=1,_xlfn.SWITCH($N928,"Uurtarief",IF(OR(AND(RIGHT($F928,3)="IKS",VLOOKUP($M928,DB_Loonkosten,2,0)="Ja"),AND(RIGHT($F928,3)&lt;&gt;"IKS",VLOOKUP($M928,DB_Loonkosten,2,0)="Nee")),IFERROR(VLOOKUP($M928,DB_Loonkosten,24,0),""),0),"Vast tarief",IF(LEFT(F928,8)="Bijdrage",VLOOKUP($F928,Tb_KostenTypen[],MATCH(Lijsten!$P$1,Tb_KostenTypen[#Headers],0),0),VLOOKUP($G928,Lijsten!L:P,MATCH(Lijsten!$P$1,Kop_Tarief_Vast,0),0))),""),"")</f>
        <v/>
      </c>
      <c r="P928" s="320" t="str" cm="1">
        <f t="array" ref="P928">_xlfn.IFNA(IF(INDEX(Tb_KostenOptiesDB[],MATCH($F928,Tb_KostenOptiesDB[KostenOptie],0),IFERROR(MATCH(Methode_Keuze,Tb_KostenOptiesDB[#Headers],0),2))=1,_xlfn.SWITCH($N928,"Uurtarief",IF(OR(AND(RIGHT($F928,3)="IKS",VLOOKUP($M928,DB_Loonkosten,2,0)="Ja"),AND(RIGHT($F928,3)&lt;&gt;"IKS",VLOOKUP($M928,DB_Loonkosten,2,0)="Nee")),IFERROR(VLOOKUP($M928,DB_Loonkosten,25,0),""),0),"Vast tarief",IF(LEFT(F928,8)="Bijdrage",VLOOKUP($F928,Tb_KostenTypen[],MATCH(Lijsten!$P$1,Tb_KostenTypen[#Headers],0),0),VLOOKUP($G928,Lijsten!L:P,MATCH(Lijsten!$P$1,Kop_Tarief_Vast,0),0))),""),"")</f>
        <v/>
      </c>
      <c r="Q928" s="359"/>
      <c r="R928" s="359"/>
      <c r="S928" s="321"/>
      <c r="T928" s="321"/>
      <c r="U928" s="373" t="str">
        <f t="shared" si="56"/>
        <v/>
      </c>
      <c r="V928" s="314" t="str">
        <f t="shared" si="57"/>
        <v/>
      </c>
      <c r="W928" s="314" t="str" cm="1">
        <f t="array" aca="1" ref="W928" ca="1">IFERROR(IF(AE928&lt;&gt;"ja",_xlfn.IFNA(_xlfn.IFS(AND(O928&lt;&gt;"",F928&lt;&gt;"",RIGHT($N928,6)="tarief",F928="Vergoeding"),SUM(O928)*FLOOR(SUM(Q928),0.0001),AND(O928&lt;&gt;"",F928&lt;&gt;"",RIGHT($N928,6)="tarief"),SUM(O928)*FLOOR(SUM(Q928),0.01),S928&gt;0,IF(F928&lt;&gt;"",FLOOR(SUM(S928),0.01),"")),""),""),"")</f>
        <v/>
      </c>
      <c r="X928" s="314" t="str" cm="1">
        <f t="array" aca="1" ref="X928" ca="1">IFERROR(IF(AE928&lt;&gt;"ja",_xlfn.IFNA(_xlfn.IFS(AND(P928&lt;&gt;"",R928&lt;&gt;"",RIGHT($N928,6)="tarief",F928="Vergoeding"),SUM(P928)*FLOOR(SUM(R928),0.0001),AND(P928&lt;&gt;"",R928&lt;&gt;"",RIGHT($N928,6)="tarief"),P928*FLOOR(R928,0.01),T928&gt;0,FLOOR(SUM(T928),0.01)),""),""),"")</f>
        <v/>
      </c>
      <c r="Y928" s="314" t="str">
        <f t="shared" ca="1" si="58"/>
        <v/>
      </c>
      <c r="Z928" s="314" t="str" cm="1">
        <f t="array" aca="1" ref="Z928" ca="1">IFERROR(_xlfn.IFS(OR(F928="",LEFT(Methode_Keuze,4)="Geen",Methode_Keuze=""),"",AND(W928&lt;&gt;"",F928&lt;&gt;"Arbeidskosten"),W928*VLOOKUP(F928,Tb_ProjectKosten[],MATCH(Tb_ProjectKosten[[#Headers],[Forfait_Percentage]],Tb_ProjectKosten[#Headers],0),0),AND(F928="Arbeidskosten",G928&lt;&gt;""),IFERROR(W928*VLOOKUP(G928,Tb_KostenTypen[],3,0)*VLOOKUP(F928,Tb_ProjectKosten[],MATCH(Tb_ProjectKosten[[#Headers],[Forfait_Percentage]],Tb_ProjectKosten[#Headers],0),0),""),W928 &lt;=0,0),"")</f>
        <v/>
      </c>
      <c r="AA928" s="314" t="str" cm="1">
        <f t="array" aca="1" ref="AA928" ca="1">IFERROR(_xlfn.IFS(OR(F928="",LEFT(Methode_Keuze,4)="Geen",Methode_Keuze=""),"",AND(X928&lt;&gt;"",F928&lt;&gt;"Arbeidskosten"),X928*VLOOKUP(F928,Tb_ProjectKosten[],MATCH(Tb_ProjectKosten[[#Headers],[Forfait_Percentage]],Tb_ProjectKosten[#Headers],0),0),AND(F928="Arbeidskosten",G928&lt;&gt;""),IFERROR(X928*VLOOKUP(G928,Tb_KostenTypen[],3,0)*VLOOKUP(F928,Tb_ProjectKosten[],MATCH(Tb_ProjectKosten[[#Headers],[Forfait_Percentage]],Tb_ProjectKosten[#Headers],0),0),""),X928 &lt;=0,0),"")</f>
        <v/>
      </c>
      <c r="AB928" s="314" t="str">
        <f t="shared" ca="1" si="59"/>
        <v/>
      </c>
      <c r="AC928" s="322"/>
      <c r="AD928" s="315"/>
      <c r="AE928" s="32" t="str" cm="1">
        <f t="array" ref="AE928">IFERROR(IF(INDEX(SubsidieTabel!$AD$1:$AG$12,MATCH($F928,SubsidieTabel!$AD$1:$AD$12,0),IFERROR(MATCH(Methode_Keuze,SubsidieTabel!$AD$1:$AG$1,0),2))&lt;&gt;1=TRUE,"ja",""),"")</f>
        <v/>
      </c>
    </row>
    <row r="929" spans="1:31" x14ac:dyDescent="0.25">
      <c r="A929" s="316"/>
      <c r="B929" s="317" t="str">
        <f>IF(A929&lt;&gt;"",_xlfn.MAXIFS($B$1:B928,$A$1:A928,A929)+1,"")</f>
        <v/>
      </c>
      <c r="C929" s="296"/>
      <c r="D929" s="296"/>
      <c r="E929" s="296"/>
      <c r="F929" s="296"/>
      <c r="G929" s="326"/>
      <c r="H929" s="324"/>
      <c r="I929" s="325"/>
      <c r="J929" s="325"/>
      <c r="K929" s="318"/>
      <c r="L929" s="318"/>
      <c r="M929" s="319" t="str">
        <f>IFERROR(VLOOKUP(H929,Lijsten!$H$1:$I$100,2,0),"")</f>
        <v/>
      </c>
      <c r="N929" s="319" t="str">
        <f ca="1">IFERROR(IF(VLOOKUP(F929,Kostentypen!$A$3:$E$21,3,0)=0,"",IF(OR(F929="Arbeidskosten",F929="Vergoeding"),VLOOKUP(G929,Tb_KostenTypen[],2,0),VLOOKUP(F929,Kostentypen!$A$3:$E$20,3,0))),"")</f>
        <v/>
      </c>
      <c r="O929" s="320" t="str" cm="1">
        <f t="array" ref="O929">_xlfn.IFNA(IF(INDEX(Tb_KostenOptiesDB[],MATCH($F929,Tb_KostenOptiesDB[KostenOptie],0),IFERROR(MATCH(Methode_Keuze,Tb_KostenOptiesDB[#Headers],0),2))=1,_xlfn.SWITCH($N929,"Uurtarief",IF(OR(AND(RIGHT($F929,3)="IKS",VLOOKUP($M929,DB_Loonkosten,2,0)="Ja"),AND(RIGHT($F929,3)&lt;&gt;"IKS",VLOOKUP($M929,DB_Loonkosten,2,0)="Nee")),IFERROR(VLOOKUP($M929,DB_Loonkosten,24,0),""),0),"Vast tarief",IF(LEFT(F929,8)="Bijdrage",VLOOKUP($F929,Tb_KostenTypen[],MATCH(Lijsten!$P$1,Tb_KostenTypen[#Headers],0),0),VLOOKUP($G929,Lijsten!L:P,MATCH(Lijsten!$P$1,Kop_Tarief_Vast,0),0))),""),"")</f>
        <v/>
      </c>
      <c r="P929" s="320" t="str" cm="1">
        <f t="array" ref="P929">_xlfn.IFNA(IF(INDEX(Tb_KostenOptiesDB[],MATCH($F929,Tb_KostenOptiesDB[KostenOptie],0),IFERROR(MATCH(Methode_Keuze,Tb_KostenOptiesDB[#Headers],0),2))=1,_xlfn.SWITCH($N929,"Uurtarief",IF(OR(AND(RIGHT($F929,3)="IKS",VLOOKUP($M929,DB_Loonkosten,2,0)="Ja"),AND(RIGHT($F929,3)&lt;&gt;"IKS",VLOOKUP($M929,DB_Loonkosten,2,0)="Nee")),IFERROR(VLOOKUP($M929,DB_Loonkosten,25,0),""),0),"Vast tarief",IF(LEFT(F929,8)="Bijdrage",VLOOKUP($F929,Tb_KostenTypen[],MATCH(Lijsten!$P$1,Tb_KostenTypen[#Headers],0),0),VLOOKUP($G929,Lijsten!L:P,MATCH(Lijsten!$P$1,Kop_Tarief_Vast,0),0))),""),"")</f>
        <v/>
      </c>
      <c r="Q929" s="359"/>
      <c r="R929" s="359"/>
      <c r="S929" s="321"/>
      <c r="T929" s="321"/>
      <c r="U929" s="373" t="str">
        <f t="shared" si="56"/>
        <v/>
      </c>
      <c r="V929" s="314" t="str">
        <f t="shared" si="57"/>
        <v/>
      </c>
      <c r="W929" s="314" t="str" cm="1">
        <f t="array" aca="1" ref="W929" ca="1">IFERROR(IF(AE929&lt;&gt;"ja",_xlfn.IFNA(_xlfn.IFS(AND(O929&lt;&gt;"",F929&lt;&gt;"",RIGHT($N929,6)="tarief",F929="Vergoeding"),SUM(O929)*FLOOR(SUM(Q929),0.0001),AND(O929&lt;&gt;"",F929&lt;&gt;"",RIGHT($N929,6)="tarief"),SUM(O929)*FLOOR(SUM(Q929),0.01),S929&gt;0,IF(F929&lt;&gt;"",FLOOR(SUM(S929),0.01),"")),""),""),"")</f>
        <v/>
      </c>
      <c r="X929" s="314" t="str" cm="1">
        <f t="array" aca="1" ref="X929" ca="1">IFERROR(IF(AE929&lt;&gt;"ja",_xlfn.IFNA(_xlfn.IFS(AND(P929&lt;&gt;"",R929&lt;&gt;"",RIGHT($N929,6)="tarief",F929="Vergoeding"),SUM(P929)*FLOOR(SUM(R929),0.0001),AND(P929&lt;&gt;"",R929&lt;&gt;"",RIGHT($N929,6)="tarief"),P929*FLOOR(R929,0.01),T929&gt;0,FLOOR(SUM(T929),0.01)),""),""),"")</f>
        <v/>
      </c>
      <c r="Y929" s="314" t="str">
        <f t="shared" ca="1" si="58"/>
        <v/>
      </c>
      <c r="Z929" s="314" t="str" cm="1">
        <f t="array" aca="1" ref="Z929" ca="1">IFERROR(_xlfn.IFS(OR(F929="",LEFT(Methode_Keuze,4)="Geen",Methode_Keuze=""),"",AND(W929&lt;&gt;"",F929&lt;&gt;"Arbeidskosten"),W929*VLOOKUP(F929,Tb_ProjectKosten[],MATCH(Tb_ProjectKosten[[#Headers],[Forfait_Percentage]],Tb_ProjectKosten[#Headers],0),0),AND(F929="Arbeidskosten",G929&lt;&gt;""),IFERROR(W929*VLOOKUP(G929,Tb_KostenTypen[],3,0)*VLOOKUP(F929,Tb_ProjectKosten[],MATCH(Tb_ProjectKosten[[#Headers],[Forfait_Percentage]],Tb_ProjectKosten[#Headers],0),0),""),W929 &lt;=0,0),"")</f>
        <v/>
      </c>
      <c r="AA929" s="314" t="str" cm="1">
        <f t="array" aca="1" ref="AA929" ca="1">IFERROR(_xlfn.IFS(OR(F929="",LEFT(Methode_Keuze,4)="Geen",Methode_Keuze=""),"",AND(X929&lt;&gt;"",F929&lt;&gt;"Arbeidskosten"),X929*VLOOKUP(F929,Tb_ProjectKosten[],MATCH(Tb_ProjectKosten[[#Headers],[Forfait_Percentage]],Tb_ProjectKosten[#Headers],0),0),AND(F929="Arbeidskosten",G929&lt;&gt;""),IFERROR(X929*VLOOKUP(G929,Tb_KostenTypen[],3,0)*VLOOKUP(F929,Tb_ProjectKosten[],MATCH(Tb_ProjectKosten[[#Headers],[Forfait_Percentage]],Tb_ProjectKosten[#Headers],0),0),""),X929 &lt;=0,0),"")</f>
        <v/>
      </c>
      <c r="AB929" s="314" t="str">
        <f t="shared" ca="1" si="59"/>
        <v/>
      </c>
      <c r="AC929" s="322"/>
      <c r="AD929" s="315"/>
      <c r="AE929" s="32" t="str" cm="1">
        <f t="array" ref="AE929">IFERROR(IF(INDEX(SubsidieTabel!$AD$1:$AG$12,MATCH($F929,SubsidieTabel!$AD$1:$AD$12,0),IFERROR(MATCH(Methode_Keuze,SubsidieTabel!$AD$1:$AG$1,0),2))&lt;&gt;1=TRUE,"ja",""),"")</f>
        <v/>
      </c>
    </row>
    <row r="930" spans="1:31" x14ac:dyDescent="0.25">
      <c r="A930" s="316"/>
      <c r="B930" s="317" t="str">
        <f>IF(A930&lt;&gt;"",_xlfn.MAXIFS($B$1:B929,$A$1:A929,A930)+1,"")</f>
        <v/>
      </c>
      <c r="C930" s="296"/>
      <c r="D930" s="296"/>
      <c r="E930" s="296"/>
      <c r="F930" s="296"/>
      <c r="G930" s="326"/>
      <c r="H930" s="324"/>
      <c r="I930" s="325"/>
      <c r="J930" s="325"/>
      <c r="K930" s="318"/>
      <c r="L930" s="318"/>
      <c r="M930" s="319" t="str">
        <f>IFERROR(VLOOKUP(H930,Lijsten!$H$1:$I$100,2,0),"")</f>
        <v/>
      </c>
      <c r="N930" s="319" t="str">
        <f ca="1">IFERROR(IF(VLOOKUP(F930,Kostentypen!$A$3:$E$21,3,0)=0,"",IF(OR(F930="Arbeidskosten",F930="Vergoeding"),VLOOKUP(G930,Tb_KostenTypen[],2,0),VLOOKUP(F930,Kostentypen!$A$3:$E$20,3,0))),"")</f>
        <v/>
      </c>
      <c r="O930" s="320" t="str" cm="1">
        <f t="array" ref="O930">_xlfn.IFNA(IF(INDEX(Tb_KostenOptiesDB[],MATCH($F930,Tb_KostenOptiesDB[KostenOptie],0),IFERROR(MATCH(Methode_Keuze,Tb_KostenOptiesDB[#Headers],0),2))=1,_xlfn.SWITCH($N930,"Uurtarief",IF(OR(AND(RIGHT($F930,3)="IKS",VLOOKUP($M930,DB_Loonkosten,2,0)="Ja"),AND(RIGHT($F930,3)&lt;&gt;"IKS",VLOOKUP($M930,DB_Loonkosten,2,0)="Nee")),IFERROR(VLOOKUP($M930,DB_Loonkosten,24,0),""),0),"Vast tarief",IF(LEFT(F930,8)="Bijdrage",VLOOKUP($F930,Tb_KostenTypen[],MATCH(Lijsten!$P$1,Tb_KostenTypen[#Headers],0),0),VLOOKUP($G930,Lijsten!L:P,MATCH(Lijsten!$P$1,Kop_Tarief_Vast,0),0))),""),"")</f>
        <v/>
      </c>
      <c r="P930" s="320" t="str" cm="1">
        <f t="array" ref="P930">_xlfn.IFNA(IF(INDEX(Tb_KostenOptiesDB[],MATCH($F930,Tb_KostenOptiesDB[KostenOptie],0),IFERROR(MATCH(Methode_Keuze,Tb_KostenOptiesDB[#Headers],0),2))=1,_xlfn.SWITCH($N930,"Uurtarief",IF(OR(AND(RIGHT($F930,3)="IKS",VLOOKUP($M930,DB_Loonkosten,2,0)="Ja"),AND(RIGHT($F930,3)&lt;&gt;"IKS",VLOOKUP($M930,DB_Loonkosten,2,0)="Nee")),IFERROR(VLOOKUP($M930,DB_Loonkosten,25,0),""),0),"Vast tarief",IF(LEFT(F930,8)="Bijdrage",VLOOKUP($F930,Tb_KostenTypen[],MATCH(Lijsten!$P$1,Tb_KostenTypen[#Headers],0),0),VLOOKUP($G930,Lijsten!L:P,MATCH(Lijsten!$P$1,Kop_Tarief_Vast,0),0))),""),"")</f>
        <v/>
      </c>
      <c r="Q930" s="359"/>
      <c r="R930" s="359"/>
      <c r="S930" s="321"/>
      <c r="T930" s="321"/>
      <c r="U930" s="373" t="str">
        <f t="shared" si="56"/>
        <v/>
      </c>
      <c r="V930" s="314" t="str">
        <f t="shared" si="57"/>
        <v/>
      </c>
      <c r="W930" s="314" t="str" cm="1">
        <f t="array" aca="1" ref="W930" ca="1">IFERROR(IF(AE930&lt;&gt;"ja",_xlfn.IFNA(_xlfn.IFS(AND(O930&lt;&gt;"",F930&lt;&gt;"",RIGHT($N930,6)="tarief",F930="Vergoeding"),SUM(O930)*FLOOR(SUM(Q930),0.0001),AND(O930&lt;&gt;"",F930&lt;&gt;"",RIGHT($N930,6)="tarief"),SUM(O930)*FLOOR(SUM(Q930),0.01),S930&gt;0,IF(F930&lt;&gt;"",FLOOR(SUM(S930),0.01),"")),""),""),"")</f>
        <v/>
      </c>
      <c r="X930" s="314" t="str" cm="1">
        <f t="array" aca="1" ref="X930" ca="1">IFERROR(IF(AE930&lt;&gt;"ja",_xlfn.IFNA(_xlfn.IFS(AND(P930&lt;&gt;"",R930&lt;&gt;"",RIGHT($N930,6)="tarief",F930="Vergoeding"),SUM(P930)*FLOOR(SUM(R930),0.0001),AND(P930&lt;&gt;"",R930&lt;&gt;"",RIGHT($N930,6)="tarief"),P930*FLOOR(R930,0.01),T930&gt;0,FLOOR(SUM(T930),0.01)),""),""),"")</f>
        <v/>
      </c>
      <c r="Y930" s="314" t="str">
        <f t="shared" ca="1" si="58"/>
        <v/>
      </c>
      <c r="Z930" s="314" t="str" cm="1">
        <f t="array" aca="1" ref="Z930" ca="1">IFERROR(_xlfn.IFS(OR(F930="",LEFT(Methode_Keuze,4)="Geen",Methode_Keuze=""),"",AND(W930&lt;&gt;"",F930&lt;&gt;"Arbeidskosten"),W930*VLOOKUP(F930,Tb_ProjectKosten[],MATCH(Tb_ProjectKosten[[#Headers],[Forfait_Percentage]],Tb_ProjectKosten[#Headers],0),0),AND(F930="Arbeidskosten",G930&lt;&gt;""),IFERROR(W930*VLOOKUP(G930,Tb_KostenTypen[],3,0)*VLOOKUP(F930,Tb_ProjectKosten[],MATCH(Tb_ProjectKosten[[#Headers],[Forfait_Percentage]],Tb_ProjectKosten[#Headers],0),0),""),W930 &lt;=0,0),"")</f>
        <v/>
      </c>
      <c r="AA930" s="314" t="str" cm="1">
        <f t="array" aca="1" ref="AA930" ca="1">IFERROR(_xlfn.IFS(OR(F930="",LEFT(Methode_Keuze,4)="Geen",Methode_Keuze=""),"",AND(X930&lt;&gt;"",F930&lt;&gt;"Arbeidskosten"),X930*VLOOKUP(F930,Tb_ProjectKosten[],MATCH(Tb_ProjectKosten[[#Headers],[Forfait_Percentage]],Tb_ProjectKosten[#Headers],0),0),AND(F930="Arbeidskosten",G930&lt;&gt;""),IFERROR(X930*VLOOKUP(G930,Tb_KostenTypen[],3,0)*VLOOKUP(F930,Tb_ProjectKosten[],MATCH(Tb_ProjectKosten[[#Headers],[Forfait_Percentage]],Tb_ProjectKosten[#Headers],0),0),""),X930 &lt;=0,0),"")</f>
        <v/>
      </c>
      <c r="AB930" s="314" t="str">
        <f t="shared" ca="1" si="59"/>
        <v/>
      </c>
      <c r="AC930" s="322"/>
      <c r="AD930" s="315"/>
      <c r="AE930" s="32" t="str" cm="1">
        <f t="array" ref="AE930">IFERROR(IF(INDEX(SubsidieTabel!$AD$1:$AG$12,MATCH($F930,SubsidieTabel!$AD$1:$AD$12,0),IFERROR(MATCH(Methode_Keuze,SubsidieTabel!$AD$1:$AG$1,0),2))&lt;&gt;1=TRUE,"ja",""),"")</f>
        <v/>
      </c>
    </row>
    <row r="931" spans="1:31" x14ac:dyDescent="0.25">
      <c r="A931" s="316"/>
      <c r="B931" s="317" t="str">
        <f>IF(A931&lt;&gt;"",_xlfn.MAXIFS($B$1:B930,$A$1:A930,A931)+1,"")</f>
        <v/>
      </c>
      <c r="C931" s="296"/>
      <c r="D931" s="296"/>
      <c r="E931" s="296"/>
      <c r="F931" s="296"/>
      <c r="G931" s="326"/>
      <c r="H931" s="324"/>
      <c r="I931" s="325"/>
      <c r="J931" s="325"/>
      <c r="K931" s="318"/>
      <c r="L931" s="318"/>
      <c r="M931" s="319" t="str">
        <f>IFERROR(VLOOKUP(H931,Lijsten!$H$1:$I$100,2,0),"")</f>
        <v/>
      </c>
      <c r="N931" s="319" t="str">
        <f ca="1">IFERROR(IF(VLOOKUP(F931,Kostentypen!$A$3:$E$21,3,0)=0,"",IF(OR(F931="Arbeidskosten",F931="Vergoeding"),VLOOKUP(G931,Tb_KostenTypen[],2,0),VLOOKUP(F931,Kostentypen!$A$3:$E$20,3,0))),"")</f>
        <v/>
      </c>
      <c r="O931" s="320" t="str" cm="1">
        <f t="array" ref="O931">_xlfn.IFNA(IF(INDEX(Tb_KostenOptiesDB[],MATCH($F931,Tb_KostenOptiesDB[KostenOptie],0),IFERROR(MATCH(Methode_Keuze,Tb_KostenOptiesDB[#Headers],0),2))=1,_xlfn.SWITCH($N931,"Uurtarief",IF(OR(AND(RIGHT($F931,3)="IKS",VLOOKUP($M931,DB_Loonkosten,2,0)="Ja"),AND(RIGHT($F931,3)&lt;&gt;"IKS",VLOOKUP($M931,DB_Loonkosten,2,0)="Nee")),IFERROR(VLOOKUP($M931,DB_Loonkosten,24,0),""),0),"Vast tarief",IF(LEFT(F931,8)="Bijdrage",VLOOKUP($F931,Tb_KostenTypen[],MATCH(Lijsten!$P$1,Tb_KostenTypen[#Headers],0),0),VLOOKUP($G931,Lijsten!L:P,MATCH(Lijsten!$P$1,Kop_Tarief_Vast,0),0))),""),"")</f>
        <v/>
      </c>
      <c r="P931" s="320" t="str" cm="1">
        <f t="array" ref="P931">_xlfn.IFNA(IF(INDEX(Tb_KostenOptiesDB[],MATCH($F931,Tb_KostenOptiesDB[KostenOptie],0),IFERROR(MATCH(Methode_Keuze,Tb_KostenOptiesDB[#Headers],0),2))=1,_xlfn.SWITCH($N931,"Uurtarief",IF(OR(AND(RIGHT($F931,3)="IKS",VLOOKUP($M931,DB_Loonkosten,2,0)="Ja"),AND(RIGHT($F931,3)&lt;&gt;"IKS",VLOOKUP($M931,DB_Loonkosten,2,0)="Nee")),IFERROR(VLOOKUP($M931,DB_Loonkosten,25,0),""),0),"Vast tarief",IF(LEFT(F931,8)="Bijdrage",VLOOKUP($F931,Tb_KostenTypen[],MATCH(Lijsten!$P$1,Tb_KostenTypen[#Headers],0),0),VLOOKUP($G931,Lijsten!L:P,MATCH(Lijsten!$P$1,Kop_Tarief_Vast,0),0))),""),"")</f>
        <v/>
      </c>
      <c r="Q931" s="359"/>
      <c r="R931" s="359"/>
      <c r="S931" s="321"/>
      <c r="T931" s="321"/>
      <c r="U931" s="373" t="str">
        <f t="shared" si="56"/>
        <v/>
      </c>
      <c r="V931" s="314" t="str">
        <f t="shared" si="57"/>
        <v/>
      </c>
      <c r="W931" s="314" t="str" cm="1">
        <f t="array" aca="1" ref="W931" ca="1">IFERROR(IF(AE931&lt;&gt;"ja",_xlfn.IFNA(_xlfn.IFS(AND(O931&lt;&gt;"",F931&lt;&gt;"",RIGHT($N931,6)="tarief",F931="Vergoeding"),SUM(O931)*FLOOR(SUM(Q931),0.0001),AND(O931&lt;&gt;"",F931&lt;&gt;"",RIGHT($N931,6)="tarief"),SUM(O931)*FLOOR(SUM(Q931),0.01),S931&gt;0,IF(F931&lt;&gt;"",FLOOR(SUM(S931),0.01),"")),""),""),"")</f>
        <v/>
      </c>
      <c r="X931" s="314" t="str" cm="1">
        <f t="array" aca="1" ref="X931" ca="1">IFERROR(IF(AE931&lt;&gt;"ja",_xlfn.IFNA(_xlfn.IFS(AND(P931&lt;&gt;"",R931&lt;&gt;"",RIGHT($N931,6)="tarief",F931="Vergoeding"),SUM(P931)*FLOOR(SUM(R931),0.0001),AND(P931&lt;&gt;"",R931&lt;&gt;"",RIGHT($N931,6)="tarief"),P931*FLOOR(R931,0.01),T931&gt;0,FLOOR(SUM(T931),0.01)),""),""),"")</f>
        <v/>
      </c>
      <c r="Y931" s="314" t="str">
        <f t="shared" ca="1" si="58"/>
        <v/>
      </c>
      <c r="Z931" s="314" t="str" cm="1">
        <f t="array" aca="1" ref="Z931" ca="1">IFERROR(_xlfn.IFS(OR(F931="",LEFT(Methode_Keuze,4)="Geen",Methode_Keuze=""),"",AND(W931&lt;&gt;"",F931&lt;&gt;"Arbeidskosten"),W931*VLOOKUP(F931,Tb_ProjectKosten[],MATCH(Tb_ProjectKosten[[#Headers],[Forfait_Percentage]],Tb_ProjectKosten[#Headers],0),0),AND(F931="Arbeidskosten",G931&lt;&gt;""),IFERROR(W931*VLOOKUP(G931,Tb_KostenTypen[],3,0)*VLOOKUP(F931,Tb_ProjectKosten[],MATCH(Tb_ProjectKosten[[#Headers],[Forfait_Percentage]],Tb_ProjectKosten[#Headers],0),0),""),W931 &lt;=0,0),"")</f>
        <v/>
      </c>
      <c r="AA931" s="314" t="str" cm="1">
        <f t="array" aca="1" ref="AA931" ca="1">IFERROR(_xlfn.IFS(OR(F931="",LEFT(Methode_Keuze,4)="Geen",Methode_Keuze=""),"",AND(X931&lt;&gt;"",F931&lt;&gt;"Arbeidskosten"),X931*VLOOKUP(F931,Tb_ProjectKosten[],MATCH(Tb_ProjectKosten[[#Headers],[Forfait_Percentage]],Tb_ProjectKosten[#Headers],0),0),AND(F931="Arbeidskosten",G931&lt;&gt;""),IFERROR(X931*VLOOKUP(G931,Tb_KostenTypen[],3,0)*VLOOKUP(F931,Tb_ProjectKosten[],MATCH(Tb_ProjectKosten[[#Headers],[Forfait_Percentage]],Tb_ProjectKosten[#Headers],0),0),""),X931 &lt;=0,0),"")</f>
        <v/>
      </c>
      <c r="AB931" s="314" t="str">
        <f t="shared" ca="1" si="59"/>
        <v/>
      </c>
      <c r="AC931" s="322"/>
      <c r="AD931" s="315"/>
      <c r="AE931" s="32" t="str" cm="1">
        <f t="array" ref="AE931">IFERROR(IF(INDEX(SubsidieTabel!$AD$1:$AG$12,MATCH($F931,SubsidieTabel!$AD$1:$AD$12,0),IFERROR(MATCH(Methode_Keuze,SubsidieTabel!$AD$1:$AG$1,0),2))&lt;&gt;1=TRUE,"ja",""),"")</f>
        <v/>
      </c>
    </row>
    <row r="932" spans="1:31" x14ac:dyDescent="0.25">
      <c r="A932" s="316"/>
      <c r="B932" s="317" t="str">
        <f>IF(A932&lt;&gt;"",_xlfn.MAXIFS($B$1:B931,$A$1:A931,A932)+1,"")</f>
        <v/>
      </c>
      <c r="C932" s="296"/>
      <c r="D932" s="296"/>
      <c r="E932" s="296"/>
      <c r="F932" s="296"/>
      <c r="G932" s="326"/>
      <c r="H932" s="324"/>
      <c r="I932" s="325"/>
      <c r="J932" s="325"/>
      <c r="K932" s="318"/>
      <c r="L932" s="318"/>
      <c r="M932" s="319" t="str">
        <f>IFERROR(VLOOKUP(H932,Lijsten!$H$1:$I$100,2,0),"")</f>
        <v/>
      </c>
      <c r="N932" s="319" t="str">
        <f ca="1">IFERROR(IF(VLOOKUP(F932,Kostentypen!$A$3:$E$21,3,0)=0,"",IF(OR(F932="Arbeidskosten",F932="Vergoeding"),VLOOKUP(G932,Tb_KostenTypen[],2,0),VLOOKUP(F932,Kostentypen!$A$3:$E$20,3,0))),"")</f>
        <v/>
      </c>
      <c r="O932" s="320" t="str" cm="1">
        <f t="array" ref="O932">_xlfn.IFNA(IF(INDEX(Tb_KostenOptiesDB[],MATCH($F932,Tb_KostenOptiesDB[KostenOptie],0),IFERROR(MATCH(Methode_Keuze,Tb_KostenOptiesDB[#Headers],0),2))=1,_xlfn.SWITCH($N932,"Uurtarief",IF(OR(AND(RIGHT($F932,3)="IKS",VLOOKUP($M932,DB_Loonkosten,2,0)="Ja"),AND(RIGHT($F932,3)&lt;&gt;"IKS",VLOOKUP($M932,DB_Loonkosten,2,0)="Nee")),IFERROR(VLOOKUP($M932,DB_Loonkosten,24,0),""),0),"Vast tarief",IF(LEFT(F932,8)="Bijdrage",VLOOKUP($F932,Tb_KostenTypen[],MATCH(Lijsten!$P$1,Tb_KostenTypen[#Headers],0),0),VLOOKUP($G932,Lijsten!L:P,MATCH(Lijsten!$P$1,Kop_Tarief_Vast,0),0))),""),"")</f>
        <v/>
      </c>
      <c r="P932" s="320" t="str" cm="1">
        <f t="array" ref="P932">_xlfn.IFNA(IF(INDEX(Tb_KostenOptiesDB[],MATCH($F932,Tb_KostenOptiesDB[KostenOptie],0),IFERROR(MATCH(Methode_Keuze,Tb_KostenOptiesDB[#Headers],0),2))=1,_xlfn.SWITCH($N932,"Uurtarief",IF(OR(AND(RIGHT($F932,3)="IKS",VLOOKUP($M932,DB_Loonkosten,2,0)="Ja"),AND(RIGHT($F932,3)&lt;&gt;"IKS",VLOOKUP($M932,DB_Loonkosten,2,0)="Nee")),IFERROR(VLOOKUP($M932,DB_Loonkosten,25,0),""),0),"Vast tarief",IF(LEFT(F932,8)="Bijdrage",VLOOKUP($F932,Tb_KostenTypen[],MATCH(Lijsten!$P$1,Tb_KostenTypen[#Headers],0),0),VLOOKUP($G932,Lijsten!L:P,MATCH(Lijsten!$P$1,Kop_Tarief_Vast,0),0))),""),"")</f>
        <v/>
      </c>
      <c r="Q932" s="359"/>
      <c r="R932" s="359"/>
      <c r="S932" s="321"/>
      <c r="T932" s="321"/>
      <c r="U932" s="373" t="str">
        <f t="shared" si="56"/>
        <v/>
      </c>
      <c r="V932" s="314" t="str">
        <f t="shared" si="57"/>
        <v/>
      </c>
      <c r="W932" s="314" t="str" cm="1">
        <f t="array" aca="1" ref="W932" ca="1">IFERROR(IF(AE932&lt;&gt;"ja",_xlfn.IFNA(_xlfn.IFS(AND(O932&lt;&gt;"",F932&lt;&gt;"",RIGHT($N932,6)="tarief",F932="Vergoeding"),SUM(O932)*FLOOR(SUM(Q932),0.0001),AND(O932&lt;&gt;"",F932&lt;&gt;"",RIGHT($N932,6)="tarief"),SUM(O932)*FLOOR(SUM(Q932),0.01),S932&gt;0,IF(F932&lt;&gt;"",FLOOR(SUM(S932),0.01),"")),""),""),"")</f>
        <v/>
      </c>
      <c r="X932" s="314" t="str" cm="1">
        <f t="array" aca="1" ref="X932" ca="1">IFERROR(IF(AE932&lt;&gt;"ja",_xlfn.IFNA(_xlfn.IFS(AND(P932&lt;&gt;"",R932&lt;&gt;"",RIGHT($N932,6)="tarief",F932="Vergoeding"),SUM(P932)*FLOOR(SUM(R932),0.0001),AND(P932&lt;&gt;"",R932&lt;&gt;"",RIGHT($N932,6)="tarief"),P932*FLOOR(R932,0.01),T932&gt;0,FLOOR(SUM(T932),0.01)),""),""),"")</f>
        <v/>
      </c>
      <c r="Y932" s="314" t="str">
        <f t="shared" ca="1" si="58"/>
        <v/>
      </c>
      <c r="Z932" s="314" t="str" cm="1">
        <f t="array" aca="1" ref="Z932" ca="1">IFERROR(_xlfn.IFS(OR(F932="",LEFT(Methode_Keuze,4)="Geen",Methode_Keuze=""),"",AND(W932&lt;&gt;"",F932&lt;&gt;"Arbeidskosten"),W932*VLOOKUP(F932,Tb_ProjectKosten[],MATCH(Tb_ProjectKosten[[#Headers],[Forfait_Percentage]],Tb_ProjectKosten[#Headers],0),0),AND(F932="Arbeidskosten",G932&lt;&gt;""),IFERROR(W932*VLOOKUP(G932,Tb_KostenTypen[],3,0)*VLOOKUP(F932,Tb_ProjectKosten[],MATCH(Tb_ProjectKosten[[#Headers],[Forfait_Percentage]],Tb_ProjectKosten[#Headers],0),0),""),W932 &lt;=0,0),"")</f>
        <v/>
      </c>
      <c r="AA932" s="314" t="str" cm="1">
        <f t="array" aca="1" ref="AA932" ca="1">IFERROR(_xlfn.IFS(OR(F932="",LEFT(Methode_Keuze,4)="Geen",Methode_Keuze=""),"",AND(X932&lt;&gt;"",F932&lt;&gt;"Arbeidskosten"),X932*VLOOKUP(F932,Tb_ProjectKosten[],MATCH(Tb_ProjectKosten[[#Headers],[Forfait_Percentage]],Tb_ProjectKosten[#Headers],0),0),AND(F932="Arbeidskosten",G932&lt;&gt;""),IFERROR(X932*VLOOKUP(G932,Tb_KostenTypen[],3,0)*VLOOKUP(F932,Tb_ProjectKosten[],MATCH(Tb_ProjectKosten[[#Headers],[Forfait_Percentage]],Tb_ProjectKosten[#Headers],0),0),""),X932 &lt;=0,0),"")</f>
        <v/>
      </c>
      <c r="AB932" s="314" t="str">
        <f t="shared" ca="1" si="59"/>
        <v/>
      </c>
      <c r="AC932" s="322"/>
      <c r="AD932" s="315"/>
      <c r="AE932" s="32" t="str" cm="1">
        <f t="array" ref="AE932">IFERROR(IF(INDEX(SubsidieTabel!$AD$1:$AG$12,MATCH($F932,SubsidieTabel!$AD$1:$AD$12,0),IFERROR(MATCH(Methode_Keuze,SubsidieTabel!$AD$1:$AG$1,0),2))&lt;&gt;1=TRUE,"ja",""),"")</f>
        <v/>
      </c>
    </row>
    <row r="933" spans="1:31" x14ac:dyDescent="0.25">
      <c r="A933" s="316"/>
      <c r="B933" s="317" t="str">
        <f>IF(A933&lt;&gt;"",_xlfn.MAXIFS($B$1:B932,$A$1:A932,A933)+1,"")</f>
        <v/>
      </c>
      <c r="C933" s="296"/>
      <c r="D933" s="296"/>
      <c r="E933" s="296"/>
      <c r="F933" s="296"/>
      <c r="G933" s="326"/>
      <c r="H933" s="324"/>
      <c r="I933" s="325"/>
      <c r="J933" s="325"/>
      <c r="K933" s="318"/>
      <c r="L933" s="318"/>
      <c r="M933" s="319" t="str">
        <f>IFERROR(VLOOKUP(H933,Lijsten!$H$1:$I$100,2,0),"")</f>
        <v/>
      </c>
      <c r="N933" s="319" t="str">
        <f ca="1">IFERROR(IF(VLOOKUP(F933,Kostentypen!$A$3:$E$21,3,0)=0,"",IF(OR(F933="Arbeidskosten",F933="Vergoeding"),VLOOKUP(G933,Tb_KostenTypen[],2,0),VLOOKUP(F933,Kostentypen!$A$3:$E$20,3,0))),"")</f>
        <v/>
      </c>
      <c r="O933" s="320" t="str" cm="1">
        <f t="array" ref="O933">_xlfn.IFNA(IF(INDEX(Tb_KostenOptiesDB[],MATCH($F933,Tb_KostenOptiesDB[KostenOptie],0),IFERROR(MATCH(Methode_Keuze,Tb_KostenOptiesDB[#Headers],0),2))=1,_xlfn.SWITCH($N933,"Uurtarief",IF(OR(AND(RIGHT($F933,3)="IKS",VLOOKUP($M933,DB_Loonkosten,2,0)="Ja"),AND(RIGHT($F933,3)&lt;&gt;"IKS",VLOOKUP($M933,DB_Loonkosten,2,0)="Nee")),IFERROR(VLOOKUP($M933,DB_Loonkosten,24,0),""),0),"Vast tarief",IF(LEFT(F933,8)="Bijdrage",VLOOKUP($F933,Tb_KostenTypen[],MATCH(Lijsten!$P$1,Tb_KostenTypen[#Headers],0),0),VLOOKUP($G933,Lijsten!L:P,MATCH(Lijsten!$P$1,Kop_Tarief_Vast,0),0))),""),"")</f>
        <v/>
      </c>
      <c r="P933" s="320" t="str" cm="1">
        <f t="array" ref="P933">_xlfn.IFNA(IF(INDEX(Tb_KostenOptiesDB[],MATCH($F933,Tb_KostenOptiesDB[KostenOptie],0),IFERROR(MATCH(Methode_Keuze,Tb_KostenOptiesDB[#Headers],0),2))=1,_xlfn.SWITCH($N933,"Uurtarief",IF(OR(AND(RIGHT($F933,3)="IKS",VLOOKUP($M933,DB_Loonkosten,2,0)="Ja"),AND(RIGHT($F933,3)&lt;&gt;"IKS",VLOOKUP($M933,DB_Loonkosten,2,0)="Nee")),IFERROR(VLOOKUP($M933,DB_Loonkosten,25,0),""),0),"Vast tarief",IF(LEFT(F933,8)="Bijdrage",VLOOKUP($F933,Tb_KostenTypen[],MATCH(Lijsten!$P$1,Tb_KostenTypen[#Headers],0),0),VLOOKUP($G933,Lijsten!L:P,MATCH(Lijsten!$P$1,Kop_Tarief_Vast,0),0))),""),"")</f>
        <v/>
      </c>
      <c r="Q933" s="359"/>
      <c r="R933" s="359"/>
      <c r="S933" s="321"/>
      <c r="T933" s="321"/>
      <c r="U933" s="373" t="str">
        <f t="shared" si="56"/>
        <v/>
      </c>
      <c r="V933" s="314" t="str">
        <f t="shared" si="57"/>
        <v/>
      </c>
      <c r="W933" s="314" t="str" cm="1">
        <f t="array" aca="1" ref="W933" ca="1">IFERROR(IF(AE933&lt;&gt;"ja",_xlfn.IFNA(_xlfn.IFS(AND(O933&lt;&gt;"",F933&lt;&gt;"",RIGHT($N933,6)="tarief",F933="Vergoeding"),SUM(O933)*FLOOR(SUM(Q933),0.0001),AND(O933&lt;&gt;"",F933&lt;&gt;"",RIGHT($N933,6)="tarief"),SUM(O933)*FLOOR(SUM(Q933),0.01),S933&gt;0,IF(F933&lt;&gt;"",FLOOR(SUM(S933),0.01),"")),""),""),"")</f>
        <v/>
      </c>
      <c r="X933" s="314" t="str" cm="1">
        <f t="array" aca="1" ref="X933" ca="1">IFERROR(IF(AE933&lt;&gt;"ja",_xlfn.IFNA(_xlfn.IFS(AND(P933&lt;&gt;"",R933&lt;&gt;"",RIGHT($N933,6)="tarief",F933="Vergoeding"),SUM(P933)*FLOOR(SUM(R933),0.0001),AND(P933&lt;&gt;"",R933&lt;&gt;"",RIGHT($N933,6)="tarief"),P933*FLOOR(R933,0.01),T933&gt;0,FLOOR(SUM(T933),0.01)),""),""),"")</f>
        <v/>
      </c>
      <c r="Y933" s="314" t="str">
        <f t="shared" ca="1" si="58"/>
        <v/>
      </c>
      <c r="Z933" s="314" t="str" cm="1">
        <f t="array" aca="1" ref="Z933" ca="1">IFERROR(_xlfn.IFS(OR(F933="",LEFT(Methode_Keuze,4)="Geen",Methode_Keuze=""),"",AND(W933&lt;&gt;"",F933&lt;&gt;"Arbeidskosten"),W933*VLOOKUP(F933,Tb_ProjectKosten[],MATCH(Tb_ProjectKosten[[#Headers],[Forfait_Percentage]],Tb_ProjectKosten[#Headers],0),0),AND(F933="Arbeidskosten",G933&lt;&gt;""),IFERROR(W933*VLOOKUP(G933,Tb_KostenTypen[],3,0)*VLOOKUP(F933,Tb_ProjectKosten[],MATCH(Tb_ProjectKosten[[#Headers],[Forfait_Percentage]],Tb_ProjectKosten[#Headers],0),0),""),W933 &lt;=0,0),"")</f>
        <v/>
      </c>
      <c r="AA933" s="314" t="str" cm="1">
        <f t="array" aca="1" ref="AA933" ca="1">IFERROR(_xlfn.IFS(OR(F933="",LEFT(Methode_Keuze,4)="Geen",Methode_Keuze=""),"",AND(X933&lt;&gt;"",F933&lt;&gt;"Arbeidskosten"),X933*VLOOKUP(F933,Tb_ProjectKosten[],MATCH(Tb_ProjectKosten[[#Headers],[Forfait_Percentage]],Tb_ProjectKosten[#Headers],0),0),AND(F933="Arbeidskosten",G933&lt;&gt;""),IFERROR(X933*VLOOKUP(G933,Tb_KostenTypen[],3,0)*VLOOKUP(F933,Tb_ProjectKosten[],MATCH(Tb_ProjectKosten[[#Headers],[Forfait_Percentage]],Tb_ProjectKosten[#Headers],0),0),""),X933 &lt;=0,0),"")</f>
        <v/>
      </c>
      <c r="AB933" s="314" t="str">
        <f t="shared" ca="1" si="59"/>
        <v/>
      </c>
      <c r="AC933" s="322"/>
      <c r="AD933" s="315"/>
      <c r="AE933" s="32" t="str" cm="1">
        <f t="array" ref="AE933">IFERROR(IF(INDEX(SubsidieTabel!$AD$1:$AG$12,MATCH($F933,SubsidieTabel!$AD$1:$AD$12,0),IFERROR(MATCH(Methode_Keuze,SubsidieTabel!$AD$1:$AG$1,0),2))&lt;&gt;1=TRUE,"ja",""),"")</f>
        <v/>
      </c>
    </row>
    <row r="934" spans="1:31" x14ac:dyDescent="0.25">
      <c r="A934" s="316"/>
      <c r="B934" s="317" t="str">
        <f>IF(A934&lt;&gt;"",_xlfn.MAXIFS($B$1:B933,$A$1:A933,A934)+1,"")</f>
        <v/>
      </c>
      <c r="C934" s="296"/>
      <c r="D934" s="296"/>
      <c r="E934" s="296"/>
      <c r="F934" s="296"/>
      <c r="G934" s="326"/>
      <c r="H934" s="324"/>
      <c r="I934" s="325"/>
      <c r="J934" s="325"/>
      <c r="K934" s="318"/>
      <c r="L934" s="318"/>
      <c r="M934" s="319" t="str">
        <f>IFERROR(VLOOKUP(H934,Lijsten!$H$1:$I$100,2,0),"")</f>
        <v/>
      </c>
      <c r="N934" s="319" t="str">
        <f ca="1">IFERROR(IF(VLOOKUP(F934,Kostentypen!$A$3:$E$21,3,0)=0,"",IF(OR(F934="Arbeidskosten",F934="Vergoeding"),VLOOKUP(G934,Tb_KostenTypen[],2,0),VLOOKUP(F934,Kostentypen!$A$3:$E$20,3,0))),"")</f>
        <v/>
      </c>
      <c r="O934" s="320" t="str" cm="1">
        <f t="array" ref="O934">_xlfn.IFNA(IF(INDEX(Tb_KostenOptiesDB[],MATCH($F934,Tb_KostenOptiesDB[KostenOptie],0),IFERROR(MATCH(Methode_Keuze,Tb_KostenOptiesDB[#Headers],0),2))=1,_xlfn.SWITCH($N934,"Uurtarief",IF(OR(AND(RIGHT($F934,3)="IKS",VLOOKUP($M934,DB_Loonkosten,2,0)="Ja"),AND(RIGHT($F934,3)&lt;&gt;"IKS",VLOOKUP($M934,DB_Loonkosten,2,0)="Nee")),IFERROR(VLOOKUP($M934,DB_Loonkosten,24,0),""),0),"Vast tarief",IF(LEFT(F934,8)="Bijdrage",VLOOKUP($F934,Tb_KostenTypen[],MATCH(Lijsten!$P$1,Tb_KostenTypen[#Headers],0),0),VLOOKUP($G934,Lijsten!L:P,MATCH(Lijsten!$P$1,Kop_Tarief_Vast,0),0))),""),"")</f>
        <v/>
      </c>
      <c r="P934" s="320" t="str" cm="1">
        <f t="array" ref="P934">_xlfn.IFNA(IF(INDEX(Tb_KostenOptiesDB[],MATCH($F934,Tb_KostenOptiesDB[KostenOptie],0),IFERROR(MATCH(Methode_Keuze,Tb_KostenOptiesDB[#Headers],0),2))=1,_xlfn.SWITCH($N934,"Uurtarief",IF(OR(AND(RIGHT($F934,3)="IKS",VLOOKUP($M934,DB_Loonkosten,2,0)="Ja"),AND(RIGHT($F934,3)&lt;&gt;"IKS",VLOOKUP($M934,DB_Loonkosten,2,0)="Nee")),IFERROR(VLOOKUP($M934,DB_Loonkosten,25,0),""),0),"Vast tarief",IF(LEFT(F934,8)="Bijdrage",VLOOKUP($F934,Tb_KostenTypen[],MATCH(Lijsten!$P$1,Tb_KostenTypen[#Headers],0),0),VLOOKUP($G934,Lijsten!L:P,MATCH(Lijsten!$P$1,Kop_Tarief_Vast,0),0))),""),"")</f>
        <v/>
      </c>
      <c r="Q934" s="359"/>
      <c r="R934" s="359"/>
      <c r="S934" s="321"/>
      <c r="T934" s="321"/>
      <c r="U934" s="373" t="str">
        <f t="shared" si="56"/>
        <v/>
      </c>
      <c r="V934" s="314" t="str">
        <f t="shared" si="57"/>
        <v/>
      </c>
      <c r="W934" s="314" t="str" cm="1">
        <f t="array" aca="1" ref="W934" ca="1">IFERROR(IF(AE934&lt;&gt;"ja",_xlfn.IFNA(_xlfn.IFS(AND(O934&lt;&gt;"",F934&lt;&gt;"",RIGHT($N934,6)="tarief",F934="Vergoeding"),SUM(O934)*FLOOR(SUM(Q934),0.0001),AND(O934&lt;&gt;"",F934&lt;&gt;"",RIGHT($N934,6)="tarief"),SUM(O934)*FLOOR(SUM(Q934),0.01),S934&gt;0,IF(F934&lt;&gt;"",FLOOR(SUM(S934),0.01),"")),""),""),"")</f>
        <v/>
      </c>
      <c r="X934" s="314" t="str" cm="1">
        <f t="array" aca="1" ref="X934" ca="1">IFERROR(IF(AE934&lt;&gt;"ja",_xlfn.IFNA(_xlfn.IFS(AND(P934&lt;&gt;"",R934&lt;&gt;"",RIGHT($N934,6)="tarief",F934="Vergoeding"),SUM(P934)*FLOOR(SUM(R934),0.0001),AND(P934&lt;&gt;"",R934&lt;&gt;"",RIGHT($N934,6)="tarief"),P934*FLOOR(R934,0.01),T934&gt;0,FLOOR(SUM(T934),0.01)),""),""),"")</f>
        <v/>
      </c>
      <c r="Y934" s="314" t="str">
        <f t="shared" ca="1" si="58"/>
        <v/>
      </c>
      <c r="Z934" s="314" t="str" cm="1">
        <f t="array" aca="1" ref="Z934" ca="1">IFERROR(_xlfn.IFS(OR(F934="",LEFT(Methode_Keuze,4)="Geen",Methode_Keuze=""),"",AND(W934&lt;&gt;"",F934&lt;&gt;"Arbeidskosten"),W934*VLOOKUP(F934,Tb_ProjectKosten[],MATCH(Tb_ProjectKosten[[#Headers],[Forfait_Percentage]],Tb_ProjectKosten[#Headers],0),0),AND(F934="Arbeidskosten",G934&lt;&gt;""),IFERROR(W934*VLOOKUP(G934,Tb_KostenTypen[],3,0)*VLOOKUP(F934,Tb_ProjectKosten[],MATCH(Tb_ProjectKosten[[#Headers],[Forfait_Percentage]],Tb_ProjectKosten[#Headers],0),0),""),W934 &lt;=0,0),"")</f>
        <v/>
      </c>
      <c r="AA934" s="314" t="str" cm="1">
        <f t="array" aca="1" ref="AA934" ca="1">IFERROR(_xlfn.IFS(OR(F934="",LEFT(Methode_Keuze,4)="Geen",Methode_Keuze=""),"",AND(X934&lt;&gt;"",F934&lt;&gt;"Arbeidskosten"),X934*VLOOKUP(F934,Tb_ProjectKosten[],MATCH(Tb_ProjectKosten[[#Headers],[Forfait_Percentage]],Tb_ProjectKosten[#Headers],0),0),AND(F934="Arbeidskosten",G934&lt;&gt;""),IFERROR(X934*VLOOKUP(G934,Tb_KostenTypen[],3,0)*VLOOKUP(F934,Tb_ProjectKosten[],MATCH(Tb_ProjectKosten[[#Headers],[Forfait_Percentage]],Tb_ProjectKosten[#Headers],0),0),""),X934 &lt;=0,0),"")</f>
        <v/>
      </c>
      <c r="AB934" s="314" t="str">
        <f t="shared" ca="1" si="59"/>
        <v/>
      </c>
      <c r="AC934" s="322"/>
      <c r="AD934" s="315"/>
      <c r="AE934" s="32" t="str" cm="1">
        <f t="array" ref="AE934">IFERROR(IF(INDEX(SubsidieTabel!$AD$1:$AG$12,MATCH($F934,SubsidieTabel!$AD$1:$AD$12,0),IFERROR(MATCH(Methode_Keuze,SubsidieTabel!$AD$1:$AG$1,0),2))&lt;&gt;1=TRUE,"ja",""),"")</f>
        <v/>
      </c>
    </row>
    <row r="935" spans="1:31" x14ac:dyDescent="0.25">
      <c r="A935" s="316"/>
      <c r="B935" s="317" t="str">
        <f>IF(A935&lt;&gt;"",_xlfn.MAXIFS($B$1:B934,$A$1:A934,A935)+1,"")</f>
        <v/>
      </c>
      <c r="C935" s="296"/>
      <c r="D935" s="296"/>
      <c r="E935" s="296"/>
      <c r="F935" s="296"/>
      <c r="G935" s="326"/>
      <c r="H935" s="324"/>
      <c r="I935" s="325"/>
      <c r="J935" s="325"/>
      <c r="K935" s="318"/>
      <c r="L935" s="318"/>
      <c r="M935" s="319" t="str">
        <f>IFERROR(VLOOKUP(H935,Lijsten!$H$1:$I$100,2,0),"")</f>
        <v/>
      </c>
      <c r="N935" s="319" t="str">
        <f ca="1">IFERROR(IF(VLOOKUP(F935,Kostentypen!$A$3:$E$21,3,0)=0,"",IF(OR(F935="Arbeidskosten",F935="Vergoeding"),VLOOKUP(G935,Tb_KostenTypen[],2,0),VLOOKUP(F935,Kostentypen!$A$3:$E$20,3,0))),"")</f>
        <v/>
      </c>
      <c r="O935" s="320" t="str" cm="1">
        <f t="array" ref="O935">_xlfn.IFNA(IF(INDEX(Tb_KostenOptiesDB[],MATCH($F935,Tb_KostenOptiesDB[KostenOptie],0),IFERROR(MATCH(Methode_Keuze,Tb_KostenOptiesDB[#Headers],0),2))=1,_xlfn.SWITCH($N935,"Uurtarief",IF(OR(AND(RIGHT($F935,3)="IKS",VLOOKUP($M935,DB_Loonkosten,2,0)="Ja"),AND(RIGHT($F935,3)&lt;&gt;"IKS",VLOOKUP($M935,DB_Loonkosten,2,0)="Nee")),IFERROR(VLOOKUP($M935,DB_Loonkosten,24,0),""),0),"Vast tarief",IF(LEFT(F935,8)="Bijdrage",VLOOKUP($F935,Tb_KostenTypen[],MATCH(Lijsten!$P$1,Tb_KostenTypen[#Headers],0),0),VLOOKUP($G935,Lijsten!L:P,MATCH(Lijsten!$P$1,Kop_Tarief_Vast,0),0))),""),"")</f>
        <v/>
      </c>
      <c r="P935" s="320" t="str" cm="1">
        <f t="array" ref="P935">_xlfn.IFNA(IF(INDEX(Tb_KostenOptiesDB[],MATCH($F935,Tb_KostenOptiesDB[KostenOptie],0),IFERROR(MATCH(Methode_Keuze,Tb_KostenOptiesDB[#Headers],0),2))=1,_xlfn.SWITCH($N935,"Uurtarief",IF(OR(AND(RIGHT($F935,3)="IKS",VLOOKUP($M935,DB_Loonkosten,2,0)="Ja"),AND(RIGHT($F935,3)&lt;&gt;"IKS",VLOOKUP($M935,DB_Loonkosten,2,0)="Nee")),IFERROR(VLOOKUP($M935,DB_Loonkosten,25,0),""),0),"Vast tarief",IF(LEFT(F935,8)="Bijdrage",VLOOKUP($F935,Tb_KostenTypen[],MATCH(Lijsten!$P$1,Tb_KostenTypen[#Headers],0),0),VLOOKUP($G935,Lijsten!L:P,MATCH(Lijsten!$P$1,Kop_Tarief_Vast,0),0))),""),"")</f>
        <v/>
      </c>
      <c r="Q935" s="359"/>
      <c r="R935" s="359"/>
      <c r="S935" s="321"/>
      <c r="T935" s="321"/>
      <c r="U935" s="373" t="str">
        <f t="shared" si="56"/>
        <v/>
      </c>
      <c r="V935" s="314" t="str">
        <f t="shared" si="57"/>
        <v/>
      </c>
      <c r="W935" s="314" t="str" cm="1">
        <f t="array" aca="1" ref="W935" ca="1">IFERROR(IF(AE935&lt;&gt;"ja",_xlfn.IFNA(_xlfn.IFS(AND(O935&lt;&gt;"",F935&lt;&gt;"",RIGHT($N935,6)="tarief",F935="Vergoeding"),SUM(O935)*FLOOR(SUM(Q935),0.0001),AND(O935&lt;&gt;"",F935&lt;&gt;"",RIGHT($N935,6)="tarief"),SUM(O935)*FLOOR(SUM(Q935),0.01),S935&gt;0,IF(F935&lt;&gt;"",FLOOR(SUM(S935),0.01),"")),""),""),"")</f>
        <v/>
      </c>
      <c r="X935" s="314" t="str" cm="1">
        <f t="array" aca="1" ref="X935" ca="1">IFERROR(IF(AE935&lt;&gt;"ja",_xlfn.IFNA(_xlfn.IFS(AND(P935&lt;&gt;"",R935&lt;&gt;"",RIGHT($N935,6)="tarief",F935="Vergoeding"),SUM(P935)*FLOOR(SUM(R935),0.0001),AND(P935&lt;&gt;"",R935&lt;&gt;"",RIGHT($N935,6)="tarief"),P935*FLOOR(R935,0.01),T935&gt;0,FLOOR(SUM(T935),0.01)),""),""),"")</f>
        <v/>
      </c>
      <c r="Y935" s="314" t="str">
        <f t="shared" ca="1" si="58"/>
        <v/>
      </c>
      <c r="Z935" s="314" t="str" cm="1">
        <f t="array" aca="1" ref="Z935" ca="1">IFERROR(_xlfn.IFS(OR(F935="",LEFT(Methode_Keuze,4)="Geen",Methode_Keuze=""),"",AND(W935&lt;&gt;"",F935&lt;&gt;"Arbeidskosten"),W935*VLOOKUP(F935,Tb_ProjectKosten[],MATCH(Tb_ProjectKosten[[#Headers],[Forfait_Percentage]],Tb_ProjectKosten[#Headers],0),0),AND(F935="Arbeidskosten",G935&lt;&gt;""),IFERROR(W935*VLOOKUP(G935,Tb_KostenTypen[],3,0)*VLOOKUP(F935,Tb_ProjectKosten[],MATCH(Tb_ProjectKosten[[#Headers],[Forfait_Percentage]],Tb_ProjectKosten[#Headers],0),0),""),W935 &lt;=0,0),"")</f>
        <v/>
      </c>
      <c r="AA935" s="314" t="str" cm="1">
        <f t="array" aca="1" ref="AA935" ca="1">IFERROR(_xlfn.IFS(OR(F935="",LEFT(Methode_Keuze,4)="Geen",Methode_Keuze=""),"",AND(X935&lt;&gt;"",F935&lt;&gt;"Arbeidskosten"),X935*VLOOKUP(F935,Tb_ProjectKosten[],MATCH(Tb_ProjectKosten[[#Headers],[Forfait_Percentage]],Tb_ProjectKosten[#Headers],0),0),AND(F935="Arbeidskosten",G935&lt;&gt;""),IFERROR(X935*VLOOKUP(G935,Tb_KostenTypen[],3,0)*VLOOKUP(F935,Tb_ProjectKosten[],MATCH(Tb_ProjectKosten[[#Headers],[Forfait_Percentage]],Tb_ProjectKosten[#Headers],0),0),""),X935 &lt;=0,0),"")</f>
        <v/>
      </c>
      <c r="AB935" s="314" t="str">
        <f t="shared" ca="1" si="59"/>
        <v/>
      </c>
      <c r="AC935" s="322"/>
      <c r="AD935" s="315"/>
      <c r="AE935" s="32" t="str" cm="1">
        <f t="array" ref="AE935">IFERROR(IF(INDEX(SubsidieTabel!$AD$1:$AG$12,MATCH($F935,SubsidieTabel!$AD$1:$AD$12,0),IFERROR(MATCH(Methode_Keuze,SubsidieTabel!$AD$1:$AG$1,0),2))&lt;&gt;1=TRUE,"ja",""),"")</f>
        <v/>
      </c>
    </row>
    <row r="936" spans="1:31" x14ac:dyDescent="0.25">
      <c r="A936" s="316"/>
      <c r="B936" s="317" t="str">
        <f>IF(A936&lt;&gt;"",_xlfn.MAXIFS($B$1:B935,$A$1:A935,A936)+1,"")</f>
        <v/>
      </c>
      <c r="C936" s="296"/>
      <c r="D936" s="296"/>
      <c r="E936" s="296"/>
      <c r="F936" s="296"/>
      <c r="G936" s="326"/>
      <c r="H936" s="324"/>
      <c r="I936" s="325"/>
      <c r="J936" s="325"/>
      <c r="K936" s="318"/>
      <c r="L936" s="318"/>
      <c r="M936" s="319" t="str">
        <f>IFERROR(VLOOKUP(H936,Lijsten!$H$1:$I$100,2,0),"")</f>
        <v/>
      </c>
      <c r="N936" s="319" t="str">
        <f ca="1">IFERROR(IF(VLOOKUP(F936,Kostentypen!$A$3:$E$21,3,0)=0,"",IF(OR(F936="Arbeidskosten",F936="Vergoeding"),VLOOKUP(G936,Tb_KostenTypen[],2,0),VLOOKUP(F936,Kostentypen!$A$3:$E$20,3,0))),"")</f>
        <v/>
      </c>
      <c r="O936" s="320" t="str" cm="1">
        <f t="array" ref="O936">_xlfn.IFNA(IF(INDEX(Tb_KostenOptiesDB[],MATCH($F936,Tb_KostenOptiesDB[KostenOptie],0),IFERROR(MATCH(Methode_Keuze,Tb_KostenOptiesDB[#Headers],0),2))=1,_xlfn.SWITCH($N936,"Uurtarief",IF(OR(AND(RIGHT($F936,3)="IKS",VLOOKUP($M936,DB_Loonkosten,2,0)="Ja"),AND(RIGHT($F936,3)&lt;&gt;"IKS",VLOOKUP($M936,DB_Loonkosten,2,0)="Nee")),IFERROR(VLOOKUP($M936,DB_Loonkosten,24,0),""),0),"Vast tarief",IF(LEFT(F936,8)="Bijdrage",VLOOKUP($F936,Tb_KostenTypen[],MATCH(Lijsten!$P$1,Tb_KostenTypen[#Headers],0),0),VLOOKUP($G936,Lijsten!L:P,MATCH(Lijsten!$P$1,Kop_Tarief_Vast,0),0))),""),"")</f>
        <v/>
      </c>
      <c r="P936" s="320" t="str" cm="1">
        <f t="array" ref="P936">_xlfn.IFNA(IF(INDEX(Tb_KostenOptiesDB[],MATCH($F936,Tb_KostenOptiesDB[KostenOptie],0),IFERROR(MATCH(Methode_Keuze,Tb_KostenOptiesDB[#Headers],0),2))=1,_xlfn.SWITCH($N936,"Uurtarief",IF(OR(AND(RIGHT($F936,3)="IKS",VLOOKUP($M936,DB_Loonkosten,2,0)="Ja"),AND(RIGHT($F936,3)&lt;&gt;"IKS",VLOOKUP($M936,DB_Loonkosten,2,0)="Nee")),IFERROR(VLOOKUP($M936,DB_Loonkosten,25,0),""),0),"Vast tarief",IF(LEFT(F936,8)="Bijdrage",VLOOKUP($F936,Tb_KostenTypen[],MATCH(Lijsten!$P$1,Tb_KostenTypen[#Headers],0),0),VLOOKUP($G936,Lijsten!L:P,MATCH(Lijsten!$P$1,Kop_Tarief_Vast,0),0))),""),"")</f>
        <v/>
      </c>
      <c r="Q936" s="359"/>
      <c r="R936" s="359"/>
      <c r="S936" s="321"/>
      <c r="T936" s="321"/>
      <c r="U936" s="373" t="str">
        <f t="shared" si="56"/>
        <v/>
      </c>
      <c r="V936" s="314" t="str">
        <f t="shared" si="57"/>
        <v/>
      </c>
      <c r="W936" s="314" t="str" cm="1">
        <f t="array" aca="1" ref="W936" ca="1">IFERROR(IF(AE936&lt;&gt;"ja",_xlfn.IFNA(_xlfn.IFS(AND(O936&lt;&gt;"",F936&lt;&gt;"",RIGHT($N936,6)="tarief",F936="Vergoeding"),SUM(O936)*FLOOR(SUM(Q936),0.0001),AND(O936&lt;&gt;"",F936&lt;&gt;"",RIGHT($N936,6)="tarief"),SUM(O936)*FLOOR(SUM(Q936),0.01),S936&gt;0,IF(F936&lt;&gt;"",FLOOR(SUM(S936),0.01),"")),""),""),"")</f>
        <v/>
      </c>
      <c r="X936" s="314" t="str" cm="1">
        <f t="array" aca="1" ref="X936" ca="1">IFERROR(IF(AE936&lt;&gt;"ja",_xlfn.IFNA(_xlfn.IFS(AND(P936&lt;&gt;"",R936&lt;&gt;"",RIGHT($N936,6)="tarief",F936="Vergoeding"),SUM(P936)*FLOOR(SUM(R936),0.0001),AND(P936&lt;&gt;"",R936&lt;&gt;"",RIGHT($N936,6)="tarief"),P936*FLOOR(R936,0.01),T936&gt;0,FLOOR(SUM(T936),0.01)),""),""),"")</f>
        <v/>
      </c>
      <c r="Y936" s="314" t="str">
        <f t="shared" ca="1" si="58"/>
        <v/>
      </c>
      <c r="Z936" s="314" t="str" cm="1">
        <f t="array" aca="1" ref="Z936" ca="1">IFERROR(_xlfn.IFS(OR(F936="",LEFT(Methode_Keuze,4)="Geen",Methode_Keuze=""),"",AND(W936&lt;&gt;"",F936&lt;&gt;"Arbeidskosten"),W936*VLOOKUP(F936,Tb_ProjectKosten[],MATCH(Tb_ProjectKosten[[#Headers],[Forfait_Percentage]],Tb_ProjectKosten[#Headers],0),0),AND(F936="Arbeidskosten",G936&lt;&gt;""),IFERROR(W936*VLOOKUP(G936,Tb_KostenTypen[],3,0)*VLOOKUP(F936,Tb_ProjectKosten[],MATCH(Tb_ProjectKosten[[#Headers],[Forfait_Percentage]],Tb_ProjectKosten[#Headers],0),0),""),W936 &lt;=0,0),"")</f>
        <v/>
      </c>
      <c r="AA936" s="314" t="str" cm="1">
        <f t="array" aca="1" ref="AA936" ca="1">IFERROR(_xlfn.IFS(OR(F936="",LEFT(Methode_Keuze,4)="Geen",Methode_Keuze=""),"",AND(X936&lt;&gt;"",F936&lt;&gt;"Arbeidskosten"),X936*VLOOKUP(F936,Tb_ProjectKosten[],MATCH(Tb_ProjectKosten[[#Headers],[Forfait_Percentage]],Tb_ProjectKosten[#Headers],0),0),AND(F936="Arbeidskosten",G936&lt;&gt;""),IFERROR(X936*VLOOKUP(G936,Tb_KostenTypen[],3,0)*VLOOKUP(F936,Tb_ProjectKosten[],MATCH(Tb_ProjectKosten[[#Headers],[Forfait_Percentage]],Tb_ProjectKosten[#Headers],0),0),""),X936 &lt;=0,0),"")</f>
        <v/>
      </c>
      <c r="AB936" s="314" t="str">
        <f t="shared" ca="1" si="59"/>
        <v/>
      </c>
      <c r="AC936" s="322"/>
      <c r="AD936" s="315"/>
      <c r="AE936" s="32" t="str" cm="1">
        <f t="array" ref="AE936">IFERROR(IF(INDEX(SubsidieTabel!$AD$1:$AG$12,MATCH($F936,SubsidieTabel!$AD$1:$AD$12,0),IFERROR(MATCH(Methode_Keuze,SubsidieTabel!$AD$1:$AG$1,0),2))&lt;&gt;1=TRUE,"ja",""),"")</f>
        <v/>
      </c>
    </row>
    <row r="937" spans="1:31" x14ac:dyDescent="0.25">
      <c r="A937" s="316"/>
      <c r="B937" s="317" t="str">
        <f>IF(A937&lt;&gt;"",_xlfn.MAXIFS($B$1:B936,$A$1:A936,A937)+1,"")</f>
        <v/>
      </c>
      <c r="C937" s="296"/>
      <c r="D937" s="296"/>
      <c r="E937" s="296"/>
      <c r="F937" s="296"/>
      <c r="G937" s="326"/>
      <c r="H937" s="324"/>
      <c r="I937" s="325"/>
      <c r="J937" s="325"/>
      <c r="K937" s="318"/>
      <c r="L937" s="318"/>
      <c r="M937" s="319" t="str">
        <f>IFERROR(VLOOKUP(H937,Lijsten!$H$1:$I$100,2,0),"")</f>
        <v/>
      </c>
      <c r="N937" s="319" t="str">
        <f ca="1">IFERROR(IF(VLOOKUP(F937,Kostentypen!$A$3:$E$21,3,0)=0,"",IF(OR(F937="Arbeidskosten",F937="Vergoeding"),VLOOKUP(G937,Tb_KostenTypen[],2,0),VLOOKUP(F937,Kostentypen!$A$3:$E$20,3,0))),"")</f>
        <v/>
      </c>
      <c r="O937" s="320" t="str" cm="1">
        <f t="array" ref="O937">_xlfn.IFNA(IF(INDEX(Tb_KostenOptiesDB[],MATCH($F937,Tb_KostenOptiesDB[KostenOptie],0),IFERROR(MATCH(Methode_Keuze,Tb_KostenOptiesDB[#Headers],0),2))=1,_xlfn.SWITCH($N937,"Uurtarief",IF(OR(AND(RIGHT($F937,3)="IKS",VLOOKUP($M937,DB_Loonkosten,2,0)="Ja"),AND(RIGHT($F937,3)&lt;&gt;"IKS",VLOOKUP($M937,DB_Loonkosten,2,0)="Nee")),IFERROR(VLOOKUP($M937,DB_Loonkosten,24,0),""),0),"Vast tarief",IF(LEFT(F937,8)="Bijdrage",VLOOKUP($F937,Tb_KostenTypen[],MATCH(Lijsten!$P$1,Tb_KostenTypen[#Headers],0),0),VLOOKUP($G937,Lijsten!L:P,MATCH(Lijsten!$P$1,Kop_Tarief_Vast,0),0))),""),"")</f>
        <v/>
      </c>
      <c r="P937" s="320" t="str" cm="1">
        <f t="array" ref="P937">_xlfn.IFNA(IF(INDEX(Tb_KostenOptiesDB[],MATCH($F937,Tb_KostenOptiesDB[KostenOptie],0),IFERROR(MATCH(Methode_Keuze,Tb_KostenOptiesDB[#Headers],0),2))=1,_xlfn.SWITCH($N937,"Uurtarief",IF(OR(AND(RIGHT($F937,3)="IKS",VLOOKUP($M937,DB_Loonkosten,2,0)="Ja"),AND(RIGHT($F937,3)&lt;&gt;"IKS",VLOOKUP($M937,DB_Loonkosten,2,0)="Nee")),IFERROR(VLOOKUP($M937,DB_Loonkosten,25,0),""),0),"Vast tarief",IF(LEFT(F937,8)="Bijdrage",VLOOKUP($F937,Tb_KostenTypen[],MATCH(Lijsten!$P$1,Tb_KostenTypen[#Headers],0),0),VLOOKUP($G937,Lijsten!L:P,MATCH(Lijsten!$P$1,Kop_Tarief_Vast,0),0))),""),"")</f>
        <v/>
      </c>
      <c r="Q937" s="359"/>
      <c r="R937" s="359"/>
      <c r="S937" s="321"/>
      <c r="T937" s="321"/>
      <c r="U937" s="373" t="str">
        <f t="shared" si="56"/>
        <v/>
      </c>
      <c r="V937" s="314" t="str">
        <f t="shared" si="57"/>
        <v/>
      </c>
      <c r="W937" s="314" t="str" cm="1">
        <f t="array" aca="1" ref="W937" ca="1">IFERROR(IF(AE937&lt;&gt;"ja",_xlfn.IFNA(_xlfn.IFS(AND(O937&lt;&gt;"",F937&lt;&gt;"",RIGHT($N937,6)="tarief",F937="Vergoeding"),SUM(O937)*FLOOR(SUM(Q937),0.0001),AND(O937&lt;&gt;"",F937&lt;&gt;"",RIGHT($N937,6)="tarief"),SUM(O937)*FLOOR(SUM(Q937),0.01),S937&gt;0,IF(F937&lt;&gt;"",FLOOR(SUM(S937),0.01),"")),""),""),"")</f>
        <v/>
      </c>
      <c r="X937" s="314" t="str" cm="1">
        <f t="array" aca="1" ref="X937" ca="1">IFERROR(IF(AE937&lt;&gt;"ja",_xlfn.IFNA(_xlfn.IFS(AND(P937&lt;&gt;"",R937&lt;&gt;"",RIGHT($N937,6)="tarief",F937="Vergoeding"),SUM(P937)*FLOOR(SUM(R937),0.0001),AND(P937&lt;&gt;"",R937&lt;&gt;"",RIGHT($N937,6)="tarief"),P937*FLOOR(R937,0.01),T937&gt;0,FLOOR(SUM(T937),0.01)),""),""),"")</f>
        <v/>
      </c>
      <c r="Y937" s="314" t="str">
        <f t="shared" ca="1" si="58"/>
        <v/>
      </c>
      <c r="Z937" s="314" t="str" cm="1">
        <f t="array" aca="1" ref="Z937" ca="1">IFERROR(_xlfn.IFS(OR(F937="",LEFT(Methode_Keuze,4)="Geen",Methode_Keuze=""),"",AND(W937&lt;&gt;"",F937&lt;&gt;"Arbeidskosten"),W937*VLOOKUP(F937,Tb_ProjectKosten[],MATCH(Tb_ProjectKosten[[#Headers],[Forfait_Percentage]],Tb_ProjectKosten[#Headers],0),0),AND(F937="Arbeidskosten",G937&lt;&gt;""),IFERROR(W937*VLOOKUP(G937,Tb_KostenTypen[],3,0)*VLOOKUP(F937,Tb_ProjectKosten[],MATCH(Tb_ProjectKosten[[#Headers],[Forfait_Percentage]],Tb_ProjectKosten[#Headers],0),0),""),W937 &lt;=0,0),"")</f>
        <v/>
      </c>
      <c r="AA937" s="314" t="str" cm="1">
        <f t="array" aca="1" ref="AA937" ca="1">IFERROR(_xlfn.IFS(OR(F937="",LEFT(Methode_Keuze,4)="Geen",Methode_Keuze=""),"",AND(X937&lt;&gt;"",F937&lt;&gt;"Arbeidskosten"),X937*VLOOKUP(F937,Tb_ProjectKosten[],MATCH(Tb_ProjectKosten[[#Headers],[Forfait_Percentage]],Tb_ProjectKosten[#Headers],0),0),AND(F937="Arbeidskosten",G937&lt;&gt;""),IFERROR(X937*VLOOKUP(G937,Tb_KostenTypen[],3,0)*VLOOKUP(F937,Tb_ProjectKosten[],MATCH(Tb_ProjectKosten[[#Headers],[Forfait_Percentage]],Tb_ProjectKosten[#Headers],0),0),""),X937 &lt;=0,0),"")</f>
        <v/>
      </c>
      <c r="AB937" s="314" t="str">
        <f t="shared" ca="1" si="59"/>
        <v/>
      </c>
      <c r="AC937" s="322"/>
      <c r="AD937" s="315"/>
      <c r="AE937" s="32" t="str" cm="1">
        <f t="array" ref="AE937">IFERROR(IF(INDEX(SubsidieTabel!$AD$1:$AG$12,MATCH($F937,SubsidieTabel!$AD$1:$AD$12,0),IFERROR(MATCH(Methode_Keuze,SubsidieTabel!$AD$1:$AG$1,0),2))&lt;&gt;1=TRUE,"ja",""),"")</f>
        <v/>
      </c>
    </row>
    <row r="938" spans="1:31" x14ac:dyDescent="0.25">
      <c r="A938" s="316"/>
      <c r="B938" s="317" t="str">
        <f>IF(A938&lt;&gt;"",_xlfn.MAXIFS($B$1:B937,$A$1:A937,A938)+1,"")</f>
        <v/>
      </c>
      <c r="C938" s="296"/>
      <c r="D938" s="296"/>
      <c r="E938" s="296"/>
      <c r="F938" s="296"/>
      <c r="G938" s="326"/>
      <c r="H938" s="324"/>
      <c r="I938" s="325"/>
      <c r="J938" s="325"/>
      <c r="K938" s="318"/>
      <c r="L938" s="318"/>
      <c r="M938" s="319" t="str">
        <f>IFERROR(VLOOKUP(H938,Lijsten!$H$1:$I$100,2,0),"")</f>
        <v/>
      </c>
      <c r="N938" s="319" t="str">
        <f ca="1">IFERROR(IF(VLOOKUP(F938,Kostentypen!$A$3:$E$21,3,0)=0,"",IF(OR(F938="Arbeidskosten",F938="Vergoeding"),VLOOKUP(G938,Tb_KostenTypen[],2,0),VLOOKUP(F938,Kostentypen!$A$3:$E$20,3,0))),"")</f>
        <v/>
      </c>
      <c r="O938" s="320" t="str" cm="1">
        <f t="array" ref="O938">_xlfn.IFNA(IF(INDEX(Tb_KostenOptiesDB[],MATCH($F938,Tb_KostenOptiesDB[KostenOptie],0),IFERROR(MATCH(Methode_Keuze,Tb_KostenOptiesDB[#Headers],0),2))=1,_xlfn.SWITCH($N938,"Uurtarief",IF(OR(AND(RIGHT($F938,3)="IKS",VLOOKUP($M938,DB_Loonkosten,2,0)="Ja"),AND(RIGHT($F938,3)&lt;&gt;"IKS",VLOOKUP($M938,DB_Loonkosten,2,0)="Nee")),IFERROR(VLOOKUP($M938,DB_Loonkosten,24,0),""),0),"Vast tarief",IF(LEFT(F938,8)="Bijdrage",VLOOKUP($F938,Tb_KostenTypen[],MATCH(Lijsten!$P$1,Tb_KostenTypen[#Headers],0),0),VLOOKUP($G938,Lijsten!L:P,MATCH(Lijsten!$P$1,Kop_Tarief_Vast,0),0))),""),"")</f>
        <v/>
      </c>
      <c r="P938" s="320" t="str" cm="1">
        <f t="array" ref="P938">_xlfn.IFNA(IF(INDEX(Tb_KostenOptiesDB[],MATCH($F938,Tb_KostenOptiesDB[KostenOptie],0),IFERROR(MATCH(Methode_Keuze,Tb_KostenOptiesDB[#Headers],0),2))=1,_xlfn.SWITCH($N938,"Uurtarief",IF(OR(AND(RIGHT($F938,3)="IKS",VLOOKUP($M938,DB_Loonkosten,2,0)="Ja"),AND(RIGHT($F938,3)&lt;&gt;"IKS",VLOOKUP($M938,DB_Loonkosten,2,0)="Nee")),IFERROR(VLOOKUP($M938,DB_Loonkosten,25,0),""),0),"Vast tarief",IF(LEFT(F938,8)="Bijdrage",VLOOKUP($F938,Tb_KostenTypen[],MATCH(Lijsten!$P$1,Tb_KostenTypen[#Headers],0),0),VLOOKUP($G938,Lijsten!L:P,MATCH(Lijsten!$P$1,Kop_Tarief_Vast,0),0))),""),"")</f>
        <v/>
      </c>
      <c r="Q938" s="359"/>
      <c r="R938" s="359"/>
      <c r="S938" s="321"/>
      <c r="T938" s="321"/>
      <c r="U938" s="373" t="str">
        <f t="shared" si="56"/>
        <v/>
      </c>
      <c r="V938" s="314" t="str">
        <f t="shared" si="57"/>
        <v/>
      </c>
      <c r="W938" s="314" t="str" cm="1">
        <f t="array" aca="1" ref="W938" ca="1">IFERROR(IF(AE938&lt;&gt;"ja",_xlfn.IFNA(_xlfn.IFS(AND(O938&lt;&gt;"",F938&lt;&gt;"",RIGHT($N938,6)="tarief",F938="Vergoeding"),SUM(O938)*FLOOR(SUM(Q938),0.0001),AND(O938&lt;&gt;"",F938&lt;&gt;"",RIGHT($N938,6)="tarief"),SUM(O938)*FLOOR(SUM(Q938),0.01),S938&gt;0,IF(F938&lt;&gt;"",FLOOR(SUM(S938),0.01),"")),""),""),"")</f>
        <v/>
      </c>
      <c r="X938" s="314" t="str" cm="1">
        <f t="array" aca="1" ref="X938" ca="1">IFERROR(IF(AE938&lt;&gt;"ja",_xlfn.IFNA(_xlfn.IFS(AND(P938&lt;&gt;"",R938&lt;&gt;"",RIGHT($N938,6)="tarief",F938="Vergoeding"),SUM(P938)*FLOOR(SUM(R938),0.0001),AND(P938&lt;&gt;"",R938&lt;&gt;"",RIGHT($N938,6)="tarief"),P938*FLOOR(R938,0.01),T938&gt;0,FLOOR(SUM(T938),0.01)),""),""),"")</f>
        <v/>
      </c>
      <c r="Y938" s="314" t="str">
        <f t="shared" ca="1" si="58"/>
        <v/>
      </c>
      <c r="Z938" s="314" t="str" cm="1">
        <f t="array" aca="1" ref="Z938" ca="1">IFERROR(_xlfn.IFS(OR(F938="",LEFT(Methode_Keuze,4)="Geen",Methode_Keuze=""),"",AND(W938&lt;&gt;"",F938&lt;&gt;"Arbeidskosten"),W938*VLOOKUP(F938,Tb_ProjectKosten[],MATCH(Tb_ProjectKosten[[#Headers],[Forfait_Percentage]],Tb_ProjectKosten[#Headers],0),0),AND(F938="Arbeidskosten",G938&lt;&gt;""),IFERROR(W938*VLOOKUP(G938,Tb_KostenTypen[],3,0)*VLOOKUP(F938,Tb_ProjectKosten[],MATCH(Tb_ProjectKosten[[#Headers],[Forfait_Percentage]],Tb_ProjectKosten[#Headers],0),0),""),W938 &lt;=0,0),"")</f>
        <v/>
      </c>
      <c r="AA938" s="314" t="str" cm="1">
        <f t="array" aca="1" ref="AA938" ca="1">IFERROR(_xlfn.IFS(OR(F938="",LEFT(Methode_Keuze,4)="Geen",Methode_Keuze=""),"",AND(X938&lt;&gt;"",F938&lt;&gt;"Arbeidskosten"),X938*VLOOKUP(F938,Tb_ProjectKosten[],MATCH(Tb_ProjectKosten[[#Headers],[Forfait_Percentage]],Tb_ProjectKosten[#Headers],0),0),AND(F938="Arbeidskosten",G938&lt;&gt;""),IFERROR(X938*VLOOKUP(G938,Tb_KostenTypen[],3,0)*VLOOKUP(F938,Tb_ProjectKosten[],MATCH(Tb_ProjectKosten[[#Headers],[Forfait_Percentage]],Tb_ProjectKosten[#Headers],0),0),""),X938 &lt;=0,0),"")</f>
        <v/>
      </c>
      <c r="AB938" s="314" t="str">
        <f t="shared" ca="1" si="59"/>
        <v/>
      </c>
      <c r="AC938" s="322"/>
      <c r="AD938" s="315"/>
      <c r="AE938" s="32" t="str" cm="1">
        <f t="array" ref="AE938">IFERROR(IF(INDEX(SubsidieTabel!$AD$1:$AG$12,MATCH($F938,SubsidieTabel!$AD$1:$AD$12,0),IFERROR(MATCH(Methode_Keuze,SubsidieTabel!$AD$1:$AG$1,0),2))&lt;&gt;1=TRUE,"ja",""),"")</f>
        <v/>
      </c>
    </row>
    <row r="939" spans="1:31" x14ac:dyDescent="0.25">
      <c r="A939" s="316"/>
      <c r="B939" s="317" t="str">
        <f>IF(A939&lt;&gt;"",_xlfn.MAXIFS($B$1:B938,$A$1:A938,A939)+1,"")</f>
        <v/>
      </c>
      <c r="C939" s="296"/>
      <c r="D939" s="296"/>
      <c r="E939" s="296"/>
      <c r="F939" s="296"/>
      <c r="G939" s="326"/>
      <c r="H939" s="324"/>
      <c r="I939" s="325"/>
      <c r="J939" s="325"/>
      <c r="K939" s="318"/>
      <c r="L939" s="318"/>
      <c r="M939" s="319" t="str">
        <f>IFERROR(VLOOKUP(H939,Lijsten!$H$1:$I$100,2,0),"")</f>
        <v/>
      </c>
      <c r="N939" s="319" t="str">
        <f ca="1">IFERROR(IF(VLOOKUP(F939,Kostentypen!$A$3:$E$21,3,0)=0,"",IF(OR(F939="Arbeidskosten",F939="Vergoeding"),VLOOKUP(G939,Tb_KostenTypen[],2,0),VLOOKUP(F939,Kostentypen!$A$3:$E$20,3,0))),"")</f>
        <v/>
      </c>
      <c r="O939" s="320" t="str" cm="1">
        <f t="array" ref="O939">_xlfn.IFNA(IF(INDEX(Tb_KostenOptiesDB[],MATCH($F939,Tb_KostenOptiesDB[KostenOptie],0),IFERROR(MATCH(Methode_Keuze,Tb_KostenOptiesDB[#Headers],0),2))=1,_xlfn.SWITCH($N939,"Uurtarief",IF(OR(AND(RIGHT($F939,3)="IKS",VLOOKUP($M939,DB_Loonkosten,2,0)="Ja"),AND(RIGHT($F939,3)&lt;&gt;"IKS",VLOOKUP($M939,DB_Loonkosten,2,0)="Nee")),IFERROR(VLOOKUP($M939,DB_Loonkosten,24,0),""),0),"Vast tarief",IF(LEFT(F939,8)="Bijdrage",VLOOKUP($F939,Tb_KostenTypen[],MATCH(Lijsten!$P$1,Tb_KostenTypen[#Headers],0),0),VLOOKUP($G939,Lijsten!L:P,MATCH(Lijsten!$P$1,Kop_Tarief_Vast,0),0))),""),"")</f>
        <v/>
      </c>
      <c r="P939" s="320" t="str" cm="1">
        <f t="array" ref="P939">_xlfn.IFNA(IF(INDEX(Tb_KostenOptiesDB[],MATCH($F939,Tb_KostenOptiesDB[KostenOptie],0),IFERROR(MATCH(Methode_Keuze,Tb_KostenOptiesDB[#Headers],0),2))=1,_xlfn.SWITCH($N939,"Uurtarief",IF(OR(AND(RIGHT($F939,3)="IKS",VLOOKUP($M939,DB_Loonkosten,2,0)="Ja"),AND(RIGHT($F939,3)&lt;&gt;"IKS",VLOOKUP($M939,DB_Loonkosten,2,0)="Nee")),IFERROR(VLOOKUP($M939,DB_Loonkosten,25,0),""),0),"Vast tarief",IF(LEFT(F939,8)="Bijdrage",VLOOKUP($F939,Tb_KostenTypen[],MATCH(Lijsten!$P$1,Tb_KostenTypen[#Headers],0),0),VLOOKUP($G939,Lijsten!L:P,MATCH(Lijsten!$P$1,Kop_Tarief_Vast,0),0))),""),"")</f>
        <v/>
      </c>
      <c r="Q939" s="359"/>
      <c r="R939" s="359"/>
      <c r="S939" s="321"/>
      <c r="T939" s="321"/>
      <c r="U939" s="373" t="str">
        <f t="shared" si="56"/>
        <v/>
      </c>
      <c r="V939" s="314" t="str">
        <f t="shared" si="57"/>
        <v/>
      </c>
      <c r="W939" s="314" t="str" cm="1">
        <f t="array" aca="1" ref="W939" ca="1">IFERROR(IF(AE939&lt;&gt;"ja",_xlfn.IFNA(_xlfn.IFS(AND(O939&lt;&gt;"",F939&lt;&gt;"",RIGHT($N939,6)="tarief",F939="Vergoeding"),SUM(O939)*FLOOR(SUM(Q939),0.0001),AND(O939&lt;&gt;"",F939&lt;&gt;"",RIGHT($N939,6)="tarief"),SUM(O939)*FLOOR(SUM(Q939),0.01),S939&gt;0,IF(F939&lt;&gt;"",FLOOR(SUM(S939),0.01),"")),""),""),"")</f>
        <v/>
      </c>
      <c r="X939" s="314" t="str" cm="1">
        <f t="array" aca="1" ref="X939" ca="1">IFERROR(IF(AE939&lt;&gt;"ja",_xlfn.IFNA(_xlfn.IFS(AND(P939&lt;&gt;"",R939&lt;&gt;"",RIGHT($N939,6)="tarief",F939="Vergoeding"),SUM(P939)*FLOOR(SUM(R939),0.0001),AND(P939&lt;&gt;"",R939&lt;&gt;"",RIGHT($N939,6)="tarief"),P939*FLOOR(R939,0.01),T939&gt;0,FLOOR(SUM(T939),0.01)),""),""),"")</f>
        <v/>
      </c>
      <c r="Y939" s="314" t="str">
        <f t="shared" ca="1" si="58"/>
        <v/>
      </c>
      <c r="Z939" s="314" t="str" cm="1">
        <f t="array" aca="1" ref="Z939" ca="1">IFERROR(_xlfn.IFS(OR(F939="",LEFT(Methode_Keuze,4)="Geen",Methode_Keuze=""),"",AND(W939&lt;&gt;"",F939&lt;&gt;"Arbeidskosten"),W939*VLOOKUP(F939,Tb_ProjectKosten[],MATCH(Tb_ProjectKosten[[#Headers],[Forfait_Percentage]],Tb_ProjectKosten[#Headers],0),0),AND(F939="Arbeidskosten",G939&lt;&gt;""),IFERROR(W939*VLOOKUP(G939,Tb_KostenTypen[],3,0)*VLOOKUP(F939,Tb_ProjectKosten[],MATCH(Tb_ProjectKosten[[#Headers],[Forfait_Percentage]],Tb_ProjectKosten[#Headers],0),0),""),W939 &lt;=0,0),"")</f>
        <v/>
      </c>
      <c r="AA939" s="314" t="str" cm="1">
        <f t="array" aca="1" ref="AA939" ca="1">IFERROR(_xlfn.IFS(OR(F939="",LEFT(Methode_Keuze,4)="Geen",Methode_Keuze=""),"",AND(X939&lt;&gt;"",F939&lt;&gt;"Arbeidskosten"),X939*VLOOKUP(F939,Tb_ProjectKosten[],MATCH(Tb_ProjectKosten[[#Headers],[Forfait_Percentage]],Tb_ProjectKosten[#Headers],0),0),AND(F939="Arbeidskosten",G939&lt;&gt;""),IFERROR(X939*VLOOKUP(G939,Tb_KostenTypen[],3,0)*VLOOKUP(F939,Tb_ProjectKosten[],MATCH(Tb_ProjectKosten[[#Headers],[Forfait_Percentage]],Tb_ProjectKosten[#Headers],0),0),""),X939 &lt;=0,0),"")</f>
        <v/>
      </c>
      <c r="AB939" s="314" t="str">
        <f t="shared" ca="1" si="59"/>
        <v/>
      </c>
      <c r="AC939" s="322"/>
      <c r="AD939" s="315"/>
      <c r="AE939" s="32" t="str" cm="1">
        <f t="array" ref="AE939">IFERROR(IF(INDEX(SubsidieTabel!$AD$1:$AG$12,MATCH($F939,SubsidieTabel!$AD$1:$AD$12,0),IFERROR(MATCH(Methode_Keuze,SubsidieTabel!$AD$1:$AG$1,0),2))&lt;&gt;1=TRUE,"ja",""),"")</f>
        <v/>
      </c>
    </row>
    <row r="940" spans="1:31" x14ac:dyDescent="0.25">
      <c r="A940" s="316"/>
      <c r="B940" s="317" t="str">
        <f>IF(A940&lt;&gt;"",_xlfn.MAXIFS($B$1:B939,$A$1:A939,A940)+1,"")</f>
        <v/>
      </c>
      <c r="C940" s="296"/>
      <c r="D940" s="296"/>
      <c r="E940" s="296"/>
      <c r="F940" s="296"/>
      <c r="G940" s="326"/>
      <c r="H940" s="324"/>
      <c r="I940" s="325"/>
      <c r="J940" s="325"/>
      <c r="K940" s="318"/>
      <c r="L940" s="318"/>
      <c r="M940" s="319" t="str">
        <f>IFERROR(VLOOKUP(H940,Lijsten!$H$1:$I$100,2,0),"")</f>
        <v/>
      </c>
      <c r="N940" s="319" t="str">
        <f ca="1">IFERROR(IF(VLOOKUP(F940,Kostentypen!$A$3:$E$21,3,0)=0,"",IF(OR(F940="Arbeidskosten",F940="Vergoeding"),VLOOKUP(G940,Tb_KostenTypen[],2,0),VLOOKUP(F940,Kostentypen!$A$3:$E$20,3,0))),"")</f>
        <v/>
      </c>
      <c r="O940" s="320" t="str" cm="1">
        <f t="array" ref="O940">_xlfn.IFNA(IF(INDEX(Tb_KostenOptiesDB[],MATCH($F940,Tb_KostenOptiesDB[KostenOptie],0),IFERROR(MATCH(Methode_Keuze,Tb_KostenOptiesDB[#Headers],0),2))=1,_xlfn.SWITCH($N940,"Uurtarief",IF(OR(AND(RIGHT($F940,3)="IKS",VLOOKUP($M940,DB_Loonkosten,2,0)="Ja"),AND(RIGHT($F940,3)&lt;&gt;"IKS",VLOOKUP($M940,DB_Loonkosten,2,0)="Nee")),IFERROR(VLOOKUP($M940,DB_Loonkosten,24,0),""),0),"Vast tarief",IF(LEFT(F940,8)="Bijdrage",VLOOKUP($F940,Tb_KostenTypen[],MATCH(Lijsten!$P$1,Tb_KostenTypen[#Headers],0),0),VLOOKUP($G940,Lijsten!L:P,MATCH(Lijsten!$P$1,Kop_Tarief_Vast,0),0))),""),"")</f>
        <v/>
      </c>
      <c r="P940" s="320" t="str" cm="1">
        <f t="array" ref="P940">_xlfn.IFNA(IF(INDEX(Tb_KostenOptiesDB[],MATCH($F940,Tb_KostenOptiesDB[KostenOptie],0),IFERROR(MATCH(Methode_Keuze,Tb_KostenOptiesDB[#Headers],0),2))=1,_xlfn.SWITCH($N940,"Uurtarief",IF(OR(AND(RIGHT($F940,3)="IKS",VLOOKUP($M940,DB_Loonkosten,2,0)="Ja"),AND(RIGHT($F940,3)&lt;&gt;"IKS",VLOOKUP($M940,DB_Loonkosten,2,0)="Nee")),IFERROR(VLOOKUP($M940,DB_Loonkosten,25,0),""),0),"Vast tarief",IF(LEFT(F940,8)="Bijdrage",VLOOKUP($F940,Tb_KostenTypen[],MATCH(Lijsten!$P$1,Tb_KostenTypen[#Headers],0),0),VLOOKUP($G940,Lijsten!L:P,MATCH(Lijsten!$P$1,Kop_Tarief_Vast,0),0))),""),"")</f>
        <v/>
      </c>
      <c r="Q940" s="359"/>
      <c r="R940" s="359"/>
      <c r="S940" s="321"/>
      <c r="T940" s="321"/>
      <c r="U940" s="373" t="str">
        <f t="shared" si="56"/>
        <v/>
      </c>
      <c r="V940" s="314" t="str">
        <f t="shared" si="57"/>
        <v/>
      </c>
      <c r="W940" s="314" t="str" cm="1">
        <f t="array" aca="1" ref="W940" ca="1">IFERROR(IF(AE940&lt;&gt;"ja",_xlfn.IFNA(_xlfn.IFS(AND(O940&lt;&gt;"",F940&lt;&gt;"",RIGHT($N940,6)="tarief",F940="Vergoeding"),SUM(O940)*FLOOR(SUM(Q940),0.0001),AND(O940&lt;&gt;"",F940&lt;&gt;"",RIGHT($N940,6)="tarief"),SUM(O940)*FLOOR(SUM(Q940),0.01),S940&gt;0,IF(F940&lt;&gt;"",FLOOR(SUM(S940),0.01),"")),""),""),"")</f>
        <v/>
      </c>
      <c r="X940" s="314" t="str" cm="1">
        <f t="array" aca="1" ref="X940" ca="1">IFERROR(IF(AE940&lt;&gt;"ja",_xlfn.IFNA(_xlfn.IFS(AND(P940&lt;&gt;"",R940&lt;&gt;"",RIGHT($N940,6)="tarief",F940="Vergoeding"),SUM(P940)*FLOOR(SUM(R940),0.0001),AND(P940&lt;&gt;"",R940&lt;&gt;"",RIGHT($N940,6)="tarief"),P940*FLOOR(R940,0.01),T940&gt;0,FLOOR(SUM(T940),0.01)),""),""),"")</f>
        <v/>
      </c>
      <c r="Y940" s="314" t="str">
        <f t="shared" ca="1" si="58"/>
        <v/>
      </c>
      <c r="Z940" s="314" t="str" cm="1">
        <f t="array" aca="1" ref="Z940" ca="1">IFERROR(_xlfn.IFS(OR(F940="",LEFT(Methode_Keuze,4)="Geen",Methode_Keuze=""),"",AND(W940&lt;&gt;"",F940&lt;&gt;"Arbeidskosten"),W940*VLOOKUP(F940,Tb_ProjectKosten[],MATCH(Tb_ProjectKosten[[#Headers],[Forfait_Percentage]],Tb_ProjectKosten[#Headers],0),0),AND(F940="Arbeidskosten",G940&lt;&gt;""),IFERROR(W940*VLOOKUP(G940,Tb_KostenTypen[],3,0)*VLOOKUP(F940,Tb_ProjectKosten[],MATCH(Tb_ProjectKosten[[#Headers],[Forfait_Percentage]],Tb_ProjectKosten[#Headers],0),0),""),W940 &lt;=0,0),"")</f>
        <v/>
      </c>
      <c r="AA940" s="314" t="str" cm="1">
        <f t="array" aca="1" ref="AA940" ca="1">IFERROR(_xlfn.IFS(OR(F940="",LEFT(Methode_Keuze,4)="Geen",Methode_Keuze=""),"",AND(X940&lt;&gt;"",F940&lt;&gt;"Arbeidskosten"),X940*VLOOKUP(F940,Tb_ProjectKosten[],MATCH(Tb_ProjectKosten[[#Headers],[Forfait_Percentage]],Tb_ProjectKosten[#Headers],0),0),AND(F940="Arbeidskosten",G940&lt;&gt;""),IFERROR(X940*VLOOKUP(G940,Tb_KostenTypen[],3,0)*VLOOKUP(F940,Tb_ProjectKosten[],MATCH(Tb_ProjectKosten[[#Headers],[Forfait_Percentage]],Tb_ProjectKosten[#Headers],0),0),""),X940 &lt;=0,0),"")</f>
        <v/>
      </c>
      <c r="AB940" s="314" t="str">
        <f t="shared" ca="1" si="59"/>
        <v/>
      </c>
      <c r="AC940" s="322"/>
      <c r="AD940" s="315"/>
      <c r="AE940" s="32" t="str" cm="1">
        <f t="array" ref="AE940">IFERROR(IF(INDEX(SubsidieTabel!$AD$1:$AG$12,MATCH($F940,SubsidieTabel!$AD$1:$AD$12,0),IFERROR(MATCH(Methode_Keuze,SubsidieTabel!$AD$1:$AG$1,0),2))&lt;&gt;1=TRUE,"ja",""),"")</f>
        <v/>
      </c>
    </row>
    <row r="941" spans="1:31" x14ac:dyDescent="0.25">
      <c r="A941" s="316"/>
      <c r="B941" s="317" t="str">
        <f>IF(A941&lt;&gt;"",_xlfn.MAXIFS($B$1:B940,$A$1:A940,A941)+1,"")</f>
        <v/>
      </c>
      <c r="C941" s="296"/>
      <c r="D941" s="296"/>
      <c r="E941" s="296"/>
      <c r="F941" s="296"/>
      <c r="G941" s="326"/>
      <c r="H941" s="324"/>
      <c r="I941" s="325"/>
      <c r="J941" s="325"/>
      <c r="K941" s="318"/>
      <c r="L941" s="318"/>
      <c r="M941" s="319" t="str">
        <f>IFERROR(VLOOKUP(H941,Lijsten!$H$1:$I$100,2,0),"")</f>
        <v/>
      </c>
      <c r="N941" s="319" t="str">
        <f ca="1">IFERROR(IF(VLOOKUP(F941,Kostentypen!$A$3:$E$21,3,0)=0,"",IF(OR(F941="Arbeidskosten",F941="Vergoeding"),VLOOKUP(G941,Tb_KostenTypen[],2,0),VLOOKUP(F941,Kostentypen!$A$3:$E$20,3,0))),"")</f>
        <v/>
      </c>
      <c r="O941" s="320" t="str" cm="1">
        <f t="array" ref="O941">_xlfn.IFNA(IF(INDEX(Tb_KostenOptiesDB[],MATCH($F941,Tb_KostenOptiesDB[KostenOptie],0),IFERROR(MATCH(Methode_Keuze,Tb_KostenOptiesDB[#Headers],0),2))=1,_xlfn.SWITCH($N941,"Uurtarief",IF(OR(AND(RIGHT($F941,3)="IKS",VLOOKUP($M941,DB_Loonkosten,2,0)="Ja"),AND(RIGHT($F941,3)&lt;&gt;"IKS",VLOOKUP($M941,DB_Loonkosten,2,0)="Nee")),IFERROR(VLOOKUP($M941,DB_Loonkosten,24,0),""),0),"Vast tarief",IF(LEFT(F941,8)="Bijdrage",VLOOKUP($F941,Tb_KostenTypen[],MATCH(Lijsten!$P$1,Tb_KostenTypen[#Headers],0),0),VLOOKUP($G941,Lijsten!L:P,MATCH(Lijsten!$P$1,Kop_Tarief_Vast,0),0))),""),"")</f>
        <v/>
      </c>
      <c r="P941" s="320" t="str" cm="1">
        <f t="array" ref="P941">_xlfn.IFNA(IF(INDEX(Tb_KostenOptiesDB[],MATCH($F941,Tb_KostenOptiesDB[KostenOptie],0),IFERROR(MATCH(Methode_Keuze,Tb_KostenOptiesDB[#Headers],0),2))=1,_xlfn.SWITCH($N941,"Uurtarief",IF(OR(AND(RIGHT($F941,3)="IKS",VLOOKUP($M941,DB_Loonkosten,2,0)="Ja"),AND(RIGHT($F941,3)&lt;&gt;"IKS",VLOOKUP($M941,DB_Loonkosten,2,0)="Nee")),IFERROR(VLOOKUP($M941,DB_Loonkosten,25,0),""),0),"Vast tarief",IF(LEFT(F941,8)="Bijdrage",VLOOKUP($F941,Tb_KostenTypen[],MATCH(Lijsten!$P$1,Tb_KostenTypen[#Headers],0),0),VLOOKUP($G941,Lijsten!L:P,MATCH(Lijsten!$P$1,Kop_Tarief_Vast,0),0))),""),"")</f>
        <v/>
      </c>
      <c r="Q941" s="359"/>
      <c r="R941" s="359"/>
      <c r="S941" s="321"/>
      <c r="T941" s="321"/>
      <c r="U941" s="373" t="str">
        <f t="shared" si="56"/>
        <v/>
      </c>
      <c r="V941" s="314" t="str">
        <f t="shared" si="57"/>
        <v/>
      </c>
      <c r="W941" s="314" t="str" cm="1">
        <f t="array" aca="1" ref="W941" ca="1">IFERROR(IF(AE941&lt;&gt;"ja",_xlfn.IFNA(_xlfn.IFS(AND(O941&lt;&gt;"",F941&lt;&gt;"",RIGHT($N941,6)="tarief",F941="Vergoeding"),SUM(O941)*FLOOR(SUM(Q941),0.0001),AND(O941&lt;&gt;"",F941&lt;&gt;"",RIGHT($N941,6)="tarief"),SUM(O941)*FLOOR(SUM(Q941),0.01),S941&gt;0,IF(F941&lt;&gt;"",FLOOR(SUM(S941),0.01),"")),""),""),"")</f>
        <v/>
      </c>
      <c r="X941" s="314" t="str" cm="1">
        <f t="array" aca="1" ref="X941" ca="1">IFERROR(IF(AE941&lt;&gt;"ja",_xlfn.IFNA(_xlfn.IFS(AND(P941&lt;&gt;"",R941&lt;&gt;"",RIGHT($N941,6)="tarief",F941="Vergoeding"),SUM(P941)*FLOOR(SUM(R941),0.0001),AND(P941&lt;&gt;"",R941&lt;&gt;"",RIGHT($N941,6)="tarief"),P941*FLOOR(R941,0.01),T941&gt;0,FLOOR(SUM(T941),0.01)),""),""),"")</f>
        <v/>
      </c>
      <c r="Y941" s="314" t="str">
        <f t="shared" ca="1" si="58"/>
        <v/>
      </c>
      <c r="Z941" s="314" t="str" cm="1">
        <f t="array" aca="1" ref="Z941" ca="1">IFERROR(_xlfn.IFS(OR(F941="",LEFT(Methode_Keuze,4)="Geen",Methode_Keuze=""),"",AND(W941&lt;&gt;"",F941&lt;&gt;"Arbeidskosten"),W941*VLOOKUP(F941,Tb_ProjectKosten[],MATCH(Tb_ProjectKosten[[#Headers],[Forfait_Percentage]],Tb_ProjectKosten[#Headers],0),0),AND(F941="Arbeidskosten",G941&lt;&gt;""),IFERROR(W941*VLOOKUP(G941,Tb_KostenTypen[],3,0)*VLOOKUP(F941,Tb_ProjectKosten[],MATCH(Tb_ProjectKosten[[#Headers],[Forfait_Percentage]],Tb_ProjectKosten[#Headers],0),0),""),W941 &lt;=0,0),"")</f>
        <v/>
      </c>
      <c r="AA941" s="314" t="str" cm="1">
        <f t="array" aca="1" ref="AA941" ca="1">IFERROR(_xlfn.IFS(OR(F941="",LEFT(Methode_Keuze,4)="Geen",Methode_Keuze=""),"",AND(X941&lt;&gt;"",F941&lt;&gt;"Arbeidskosten"),X941*VLOOKUP(F941,Tb_ProjectKosten[],MATCH(Tb_ProjectKosten[[#Headers],[Forfait_Percentage]],Tb_ProjectKosten[#Headers],0),0),AND(F941="Arbeidskosten",G941&lt;&gt;""),IFERROR(X941*VLOOKUP(G941,Tb_KostenTypen[],3,0)*VLOOKUP(F941,Tb_ProjectKosten[],MATCH(Tb_ProjectKosten[[#Headers],[Forfait_Percentage]],Tb_ProjectKosten[#Headers],0),0),""),X941 &lt;=0,0),"")</f>
        <v/>
      </c>
      <c r="AB941" s="314" t="str">
        <f t="shared" ca="1" si="59"/>
        <v/>
      </c>
      <c r="AC941" s="322"/>
      <c r="AD941" s="315"/>
      <c r="AE941" s="32" t="str" cm="1">
        <f t="array" ref="AE941">IFERROR(IF(INDEX(SubsidieTabel!$AD$1:$AG$12,MATCH($F941,SubsidieTabel!$AD$1:$AD$12,0),IFERROR(MATCH(Methode_Keuze,SubsidieTabel!$AD$1:$AG$1,0),2))&lt;&gt;1=TRUE,"ja",""),"")</f>
        <v/>
      </c>
    </row>
    <row r="942" spans="1:31" x14ac:dyDescent="0.25">
      <c r="A942" s="316"/>
      <c r="B942" s="317" t="str">
        <f>IF(A942&lt;&gt;"",_xlfn.MAXIFS($B$1:B941,$A$1:A941,A942)+1,"")</f>
        <v/>
      </c>
      <c r="C942" s="296"/>
      <c r="D942" s="296"/>
      <c r="E942" s="296"/>
      <c r="F942" s="296"/>
      <c r="G942" s="326"/>
      <c r="H942" s="324"/>
      <c r="I942" s="325"/>
      <c r="J942" s="325"/>
      <c r="K942" s="318"/>
      <c r="L942" s="318"/>
      <c r="M942" s="319" t="str">
        <f>IFERROR(VLOOKUP(H942,Lijsten!$H$1:$I$100,2,0),"")</f>
        <v/>
      </c>
      <c r="N942" s="319" t="str">
        <f ca="1">IFERROR(IF(VLOOKUP(F942,Kostentypen!$A$3:$E$21,3,0)=0,"",IF(OR(F942="Arbeidskosten",F942="Vergoeding"),VLOOKUP(G942,Tb_KostenTypen[],2,0),VLOOKUP(F942,Kostentypen!$A$3:$E$20,3,0))),"")</f>
        <v/>
      </c>
      <c r="O942" s="320" t="str" cm="1">
        <f t="array" ref="O942">_xlfn.IFNA(IF(INDEX(Tb_KostenOptiesDB[],MATCH($F942,Tb_KostenOptiesDB[KostenOptie],0),IFERROR(MATCH(Methode_Keuze,Tb_KostenOptiesDB[#Headers],0),2))=1,_xlfn.SWITCH($N942,"Uurtarief",IF(OR(AND(RIGHT($F942,3)="IKS",VLOOKUP($M942,DB_Loonkosten,2,0)="Ja"),AND(RIGHT($F942,3)&lt;&gt;"IKS",VLOOKUP($M942,DB_Loonkosten,2,0)="Nee")),IFERROR(VLOOKUP($M942,DB_Loonkosten,24,0),""),0),"Vast tarief",IF(LEFT(F942,8)="Bijdrage",VLOOKUP($F942,Tb_KostenTypen[],MATCH(Lijsten!$P$1,Tb_KostenTypen[#Headers],0),0),VLOOKUP($G942,Lijsten!L:P,MATCH(Lijsten!$P$1,Kop_Tarief_Vast,0),0))),""),"")</f>
        <v/>
      </c>
      <c r="P942" s="320" t="str" cm="1">
        <f t="array" ref="P942">_xlfn.IFNA(IF(INDEX(Tb_KostenOptiesDB[],MATCH($F942,Tb_KostenOptiesDB[KostenOptie],0),IFERROR(MATCH(Methode_Keuze,Tb_KostenOptiesDB[#Headers],0),2))=1,_xlfn.SWITCH($N942,"Uurtarief",IF(OR(AND(RIGHT($F942,3)="IKS",VLOOKUP($M942,DB_Loonkosten,2,0)="Ja"),AND(RIGHT($F942,3)&lt;&gt;"IKS",VLOOKUP($M942,DB_Loonkosten,2,0)="Nee")),IFERROR(VLOOKUP($M942,DB_Loonkosten,25,0),""),0),"Vast tarief",IF(LEFT(F942,8)="Bijdrage",VLOOKUP($F942,Tb_KostenTypen[],MATCH(Lijsten!$P$1,Tb_KostenTypen[#Headers],0),0),VLOOKUP($G942,Lijsten!L:P,MATCH(Lijsten!$P$1,Kop_Tarief_Vast,0),0))),""),"")</f>
        <v/>
      </c>
      <c r="Q942" s="359"/>
      <c r="R942" s="359"/>
      <c r="S942" s="321"/>
      <c r="T942" s="321"/>
      <c r="U942" s="373" t="str">
        <f t="shared" si="56"/>
        <v/>
      </c>
      <c r="V942" s="314" t="str">
        <f t="shared" si="57"/>
        <v/>
      </c>
      <c r="W942" s="314" t="str" cm="1">
        <f t="array" aca="1" ref="W942" ca="1">IFERROR(IF(AE942&lt;&gt;"ja",_xlfn.IFNA(_xlfn.IFS(AND(O942&lt;&gt;"",F942&lt;&gt;"",RIGHT($N942,6)="tarief",F942="Vergoeding"),SUM(O942)*FLOOR(SUM(Q942),0.0001),AND(O942&lt;&gt;"",F942&lt;&gt;"",RIGHT($N942,6)="tarief"),SUM(O942)*FLOOR(SUM(Q942),0.01),S942&gt;0,IF(F942&lt;&gt;"",FLOOR(SUM(S942),0.01),"")),""),""),"")</f>
        <v/>
      </c>
      <c r="X942" s="314" t="str" cm="1">
        <f t="array" aca="1" ref="X942" ca="1">IFERROR(IF(AE942&lt;&gt;"ja",_xlfn.IFNA(_xlfn.IFS(AND(P942&lt;&gt;"",R942&lt;&gt;"",RIGHT($N942,6)="tarief",F942="Vergoeding"),SUM(P942)*FLOOR(SUM(R942),0.0001),AND(P942&lt;&gt;"",R942&lt;&gt;"",RIGHT($N942,6)="tarief"),P942*FLOOR(R942,0.01),T942&gt;0,FLOOR(SUM(T942),0.01)),""),""),"")</f>
        <v/>
      </c>
      <c r="Y942" s="314" t="str">
        <f t="shared" ca="1" si="58"/>
        <v/>
      </c>
      <c r="Z942" s="314" t="str" cm="1">
        <f t="array" aca="1" ref="Z942" ca="1">IFERROR(_xlfn.IFS(OR(F942="",LEFT(Methode_Keuze,4)="Geen",Methode_Keuze=""),"",AND(W942&lt;&gt;"",F942&lt;&gt;"Arbeidskosten"),W942*VLOOKUP(F942,Tb_ProjectKosten[],MATCH(Tb_ProjectKosten[[#Headers],[Forfait_Percentage]],Tb_ProjectKosten[#Headers],0),0),AND(F942="Arbeidskosten",G942&lt;&gt;""),IFERROR(W942*VLOOKUP(G942,Tb_KostenTypen[],3,0)*VLOOKUP(F942,Tb_ProjectKosten[],MATCH(Tb_ProjectKosten[[#Headers],[Forfait_Percentage]],Tb_ProjectKosten[#Headers],0),0),""),W942 &lt;=0,0),"")</f>
        <v/>
      </c>
      <c r="AA942" s="314" t="str" cm="1">
        <f t="array" aca="1" ref="AA942" ca="1">IFERROR(_xlfn.IFS(OR(F942="",LEFT(Methode_Keuze,4)="Geen",Methode_Keuze=""),"",AND(X942&lt;&gt;"",F942&lt;&gt;"Arbeidskosten"),X942*VLOOKUP(F942,Tb_ProjectKosten[],MATCH(Tb_ProjectKosten[[#Headers],[Forfait_Percentage]],Tb_ProjectKosten[#Headers],0),0),AND(F942="Arbeidskosten",G942&lt;&gt;""),IFERROR(X942*VLOOKUP(G942,Tb_KostenTypen[],3,0)*VLOOKUP(F942,Tb_ProjectKosten[],MATCH(Tb_ProjectKosten[[#Headers],[Forfait_Percentage]],Tb_ProjectKosten[#Headers],0),0),""),X942 &lt;=0,0),"")</f>
        <v/>
      </c>
      <c r="AB942" s="314" t="str">
        <f t="shared" ca="1" si="59"/>
        <v/>
      </c>
      <c r="AC942" s="322"/>
      <c r="AD942" s="315"/>
      <c r="AE942" s="32" t="str" cm="1">
        <f t="array" ref="AE942">IFERROR(IF(INDEX(SubsidieTabel!$AD$1:$AG$12,MATCH($F942,SubsidieTabel!$AD$1:$AD$12,0),IFERROR(MATCH(Methode_Keuze,SubsidieTabel!$AD$1:$AG$1,0),2))&lt;&gt;1=TRUE,"ja",""),"")</f>
        <v/>
      </c>
    </row>
    <row r="943" spans="1:31" x14ac:dyDescent="0.25">
      <c r="A943" s="316"/>
      <c r="B943" s="317" t="str">
        <f>IF(A943&lt;&gt;"",_xlfn.MAXIFS($B$1:B942,$A$1:A942,A943)+1,"")</f>
        <v/>
      </c>
      <c r="C943" s="296"/>
      <c r="D943" s="296"/>
      <c r="E943" s="296"/>
      <c r="F943" s="296"/>
      <c r="G943" s="326"/>
      <c r="H943" s="324"/>
      <c r="I943" s="325"/>
      <c r="J943" s="325"/>
      <c r="K943" s="318"/>
      <c r="L943" s="318"/>
      <c r="M943" s="319" t="str">
        <f>IFERROR(VLOOKUP(H943,Lijsten!$H$1:$I$100,2,0),"")</f>
        <v/>
      </c>
      <c r="N943" s="319" t="str">
        <f ca="1">IFERROR(IF(VLOOKUP(F943,Kostentypen!$A$3:$E$21,3,0)=0,"",IF(OR(F943="Arbeidskosten",F943="Vergoeding"),VLOOKUP(G943,Tb_KostenTypen[],2,0),VLOOKUP(F943,Kostentypen!$A$3:$E$20,3,0))),"")</f>
        <v/>
      </c>
      <c r="O943" s="320" t="str" cm="1">
        <f t="array" ref="O943">_xlfn.IFNA(IF(INDEX(Tb_KostenOptiesDB[],MATCH($F943,Tb_KostenOptiesDB[KostenOptie],0),IFERROR(MATCH(Methode_Keuze,Tb_KostenOptiesDB[#Headers],0),2))=1,_xlfn.SWITCH($N943,"Uurtarief",IF(OR(AND(RIGHT($F943,3)="IKS",VLOOKUP($M943,DB_Loonkosten,2,0)="Ja"),AND(RIGHT($F943,3)&lt;&gt;"IKS",VLOOKUP($M943,DB_Loonkosten,2,0)="Nee")),IFERROR(VLOOKUP($M943,DB_Loonkosten,24,0),""),0),"Vast tarief",IF(LEFT(F943,8)="Bijdrage",VLOOKUP($F943,Tb_KostenTypen[],MATCH(Lijsten!$P$1,Tb_KostenTypen[#Headers],0),0),VLOOKUP($G943,Lijsten!L:P,MATCH(Lijsten!$P$1,Kop_Tarief_Vast,0),0))),""),"")</f>
        <v/>
      </c>
      <c r="P943" s="320" t="str" cm="1">
        <f t="array" ref="P943">_xlfn.IFNA(IF(INDEX(Tb_KostenOptiesDB[],MATCH($F943,Tb_KostenOptiesDB[KostenOptie],0),IFERROR(MATCH(Methode_Keuze,Tb_KostenOptiesDB[#Headers],0),2))=1,_xlfn.SWITCH($N943,"Uurtarief",IF(OR(AND(RIGHT($F943,3)="IKS",VLOOKUP($M943,DB_Loonkosten,2,0)="Ja"),AND(RIGHT($F943,3)&lt;&gt;"IKS",VLOOKUP($M943,DB_Loonkosten,2,0)="Nee")),IFERROR(VLOOKUP($M943,DB_Loonkosten,25,0),""),0),"Vast tarief",IF(LEFT(F943,8)="Bijdrage",VLOOKUP($F943,Tb_KostenTypen[],MATCH(Lijsten!$P$1,Tb_KostenTypen[#Headers],0),0),VLOOKUP($G943,Lijsten!L:P,MATCH(Lijsten!$P$1,Kop_Tarief_Vast,0),0))),""),"")</f>
        <v/>
      </c>
      <c r="Q943" s="359"/>
      <c r="R943" s="359"/>
      <c r="S943" s="321"/>
      <c r="T943" s="321"/>
      <c r="U943" s="373" t="str">
        <f t="shared" si="56"/>
        <v/>
      </c>
      <c r="V943" s="314" t="str">
        <f t="shared" si="57"/>
        <v/>
      </c>
      <c r="W943" s="314" t="str" cm="1">
        <f t="array" aca="1" ref="W943" ca="1">IFERROR(IF(AE943&lt;&gt;"ja",_xlfn.IFNA(_xlfn.IFS(AND(O943&lt;&gt;"",F943&lt;&gt;"",RIGHT($N943,6)="tarief",F943="Vergoeding"),SUM(O943)*FLOOR(SUM(Q943),0.0001),AND(O943&lt;&gt;"",F943&lt;&gt;"",RIGHT($N943,6)="tarief"),SUM(O943)*FLOOR(SUM(Q943),0.01),S943&gt;0,IF(F943&lt;&gt;"",FLOOR(SUM(S943),0.01),"")),""),""),"")</f>
        <v/>
      </c>
      <c r="X943" s="314" t="str" cm="1">
        <f t="array" aca="1" ref="X943" ca="1">IFERROR(IF(AE943&lt;&gt;"ja",_xlfn.IFNA(_xlfn.IFS(AND(P943&lt;&gt;"",R943&lt;&gt;"",RIGHT($N943,6)="tarief",F943="Vergoeding"),SUM(P943)*FLOOR(SUM(R943),0.0001),AND(P943&lt;&gt;"",R943&lt;&gt;"",RIGHT($N943,6)="tarief"),P943*FLOOR(R943,0.01),T943&gt;0,FLOOR(SUM(T943),0.01)),""),""),"")</f>
        <v/>
      </c>
      <c r="Y943" s="314" t="str">
        <f t="shared" ca="1" si="58"/>
        <v/>
      </c>
      <c r="Z943" s="314" t="str" cm="1">
        <f t="array" aca="1" ref="Z943" ca="1">IFERROR(_xlfn.IFS(OR(F943="",LEFT(Methode_Keuze,4)="Geen",Methode_Keuze=""),"",AND(W943&lt;&gt;"",F943&lt;&gt;"Arbeidskosten"),W943*VLOOKUP(F943,Tb_ProjectKosten[],MATCH(Tb_ProjectKosten[[#Headers],[Forfait_Percentage]],Tb_ProjectKosten[#Headers],0),0),AND(F943="Arbeidskosten",G943&lt;&gt;""),IFERROR(W943*VLOOKUP(G943,Tb_KostenTypen[],3,0)*VLOOKUP(F943,Tb_ProjectKosten[],MATCH(Tb_ProjectKosten[[#Headers],[Forfait_Percentage]],Tb_ProjectKosten[#Headers],0),0),""),W943 &lt;=0,0),"")</f>
        <v/>
      </c>
      <c r="AA943" s="314" t="str" cm="1">
        <f t="array" aca="1" ref="AA943" ca="1">IFERROR(_xlfn.IFS(OR(F943="",LEFT(Methode_Keuze,4)="Geen",Methode_Keuze=""),"",AND(X943&lt;&gt;"",F943&lt;&gt;"Arbeidskosten"),X943*VLOOKUP(F943,Tb_ProjectKosten[],MATCH(Tb_ProjectKosten[[#Headers],[Forfait_Percentage]],Tb_ProjectKosten[#Headers],0),0),AND(F943="Arbeidskosten",G943&lt;&gt;""),IFERROR(X943*VLOOKUP(G943,Tb_KostenTypen[],3,0)*VLOOKUP(F943,Tb_ProjectKosten[],MATCH(Tb_ProjectKosten[[#Headers],[Forfait_Percentage]],Tb_ProjectKosten[#Headers],0),0),""),X943 &lt;=0,0),"")</f>
        <v/>
      </c>
      <c r="AB943" s="314" t="str">
        <f t="shared" ca="1" si="59"/>
        <v/>
      </c>
      <c r="AC943" s="322"/>
      <c r="AD943" s="315"/>
      <c r="AE943" s="32" t="str" cm="1">
        <f t="array" ref="AE943">IFERROR(IF(INDEX(SubsidieTabel!$AD$1:$AG$12,MATCH($F943,SubsidieTabel!$AD$1:$AD$12,0),IFERROR(MATCH(Methode_Keuze,SubsidieTabel!$AD$1:$AG$1,0),2))&lt;&gt;1=TRUE,"ja",""),"")</f>
        <v/>
      </c>
    </row>
    <row r="944" spans="1:31" x14ac:dyDescent="0.25">
      <c r="A944" s="316"/>
      <c r="B944" s="317" t="str">
        <f>IF(A944&lt;&gt;"",_xlfn.MAXIFS($B$1:B943,$A$1:A943,A944)+1,"")</f>
        <v/>
      </c>
      <c r="C944" s="296"/>
      <c r="D944" s="296"/>
      <c r="E944" s="296"/>
      <c r="F944" s="296"/>
      <c r="G944" s="326"/>
      <c r="H944" s="324"/>
      <c r="I944" s="325"/>
      <c r="J944" s="325"/>
      <c r="K944" s="318"/>
      <c r="L944" s="318"/>
      <c r="M944" s="319" t="str">
        <f>IFERROR(VLOOKUP(H944,Lijsten!$H$1:$I$100,2,0),"")</f>
        <v/>
      </c>
      <c r="N944" s="319" t="str">
        <f ca="1">IFERROR(IF(VLOOKUP(F944,Kostentypen!$A$3:$E$21,3,0)=0,"",IF(OR(F944="Arbeidskosten",F944="Vergoeding"),VLOOKUP(G944,Tb_KostenTypen[],2,0),VLOOKUP(F944,Kostentypen!$A$3:$E$20,3,0))),"")</f>
        <v/>
      </c>
      <c r="O944" s="320" t="str" cm="1">
        <f t="array" ref="O944">_xlfn.IFNA(IF(INDEX(Tb_KostenOptiesDB[],MATCH($F944,Tb_KostenOptiesDB[KostenOptie],0),IFERROR(MATCH(Methode_Keuze,Tb_KostenOptiesDB[#Headers],0),2))=1,_xlfn.SWITCH($N944,"Uurtarief",IF(OR(AND(RIGHT($F944,3)="IKS",VLOOKUP($M944,DB_Loonkosten,2,0)="Ja"),AND(RIGHT($F944,3)&lt;&gt;"IKS",VLOOKUP($M944,DB_Loonkosten,2,0)="Nee")),IFERROR(VLOOKUP($M944,DB_Loonkosten,24,0),""),0),"Vast tarief",IF(LEFT(F944,8)="Bijdrage",VLOOKUP($F944,Tb_KostenTypen[],MATCH(Lijsten!$P$1,Tb_KostenTypen[#Headers],0),0),VLOOKUP($G944,Lijsten!L:P,MATCH(Lijsten!$P$1,Kop_Tarief_Vast,0),0))),""),"")</f>
        <v/>
      </c>
      <c r="P944" s="320" t="str" cm="1">
        <f t="array" ref="P944">_xlfn.IFNA(IF(INDEX(Tb_KostenOptiesDB[],MATCH($F944,Tb_KostenOptiesDB[KostenOptie],0),IFERROR(MATCH(Methode_Keuze,Tb_KostenOptiesDB[#Headers],0),2))=1,_xlfn.SWITCH($N944,"Uurtarief",IF(OR(AND(RIGHT($F944,3)="IKS",VLOOKUP($M944,DB_Loonkosten,2,0)="Ja"),AND(RIGHT($F944,3)&lt;&gt;"IKS",VLOOKUP($M944,DB_Loonkosten,2,0)="Nee")),IFERROR(VLOOKUP($M944,DB_Loonkosten,25,0),""),0),"Vast tarief",IF(LEFT(F944,8)="Bijdrage",VLOOKUP($F944,Tb_KostenTypen[],MATCH(Lijsten!$P$1,Tb_KostenTypen[#Headers],0),0),VLOOKUP($G944,Lijsten!L:P,MATCH(Lijsten!$P$1,Kop_Tarief_Vast,0),0))),""),"")</f>
        <v/>
      </c>
      <c r="Q944" s="359"/>
      <c r="R944" s="359"/>
      <c r="S944" s="321"/>
      <c r="T944" s="321"/>
      <c r="U944" s="373" t="str">
        <f t="shared" si="56"/>
        <v/>
      </c>
      <c r="V944" s="314" t="str">
        <f t="shared" si="57"/>
        <v/>
      </c>
      <c r="W944" s="314" t="str" cm="1">
        <f t="array" aca="1" ref="W944" ca="1">IFERROR(IF(AE944&lt;&gt;"ja",_xlfn.IFNA(_xlfn.IFS(AND(O944&lt;&gt;"",F944&lt;&gt;"",RIGHT($N944,6)="tarief",F944="Vergoeding"),SUM(O944)*FLOOR(SUM(Q944),0.0001),AND(O944&lt;&gt;"",F944&lt;&gt;"",RIGHT($N944,6)="tarief"),SUM(O944)*FLOOR(SUM(Q944),0.01),S944&gt;0,IF(F944&lt;&gt;"",FLOOR(SUM(S944),0.01),"")),""),""),"")</f>
        <v/>
      </c>
      <c r="X944" s="314" t="str" cm="1">
        <f t="array" aca="1" ref="X944" ca="1">IFERROR(IF(AE944&lt;&gt;"ja",_xlfn.IFNA(_xlfn.IFS(AND(P944&lt;&gt;"",R944&lt;&gt;"",RIGHT($N944,6)="tarief",F944="Vergoeding"),SUM(P944)*FLOOR(SUM(R944),0.0001),AND(P944&lt;&gt;"",R944&lt;&gt;"",RIGHT($N944,6)="tarief"),P944*FLOOR(R944,0.01),T944&gt;0,FLOOR(SUM(T944),0.01)),""),""),"")</f>
        <v/>
      </c>
      <c r="Y944" s="314" t="str">
        <f t="shared" ca="1" si="58"/>
        <v/>
      </c>
      <c r="Z944" s="314" t="str" cm="1">
        <f t="array" aca="1" ref="Z944" ca="1">IFERROR(_xlfn.IFS(OR(F944="",LEFT(Methode_Keuze,4)="Geen",Methode_Keuze=""),"",AND(W944&lt;&gt;"",F944&lt;&gt;"Arbeidskosten"),W944*VLOOKUP(F944,Tb_ProjectKosten[],MATCH(Tb_ProjectKosten[[#Headers],[Forfait_Percentage]],Tb_ProjectKosten[#Headers],0),0),AND(F944="Arbeidskosten",G944&lt;&gt;""),IFERROR(W944*VLOOKUP(G944,Tb_KostenTypen[],3,0)*VLOOKUP(F944,Tb_ProjectKosten[],MATCH(Tb_ProjectKosten[[#Headers],[Forfait_Percentage]],Tb_ProjectKosten[#Headers],0),0),""),W944 &lt;=0,0),"")</f>
        <v/>
      </c>
      <c r="AA944" s="314" t="str" cm="1">
        <f t="array" aca="1" ref="AA944" ca="1">IFERROR(_xlfn.IFS(OR(F944="",LEFT(Methode_Keuze,4)="Geen",Methode_Keuze=""),"",AND(X944&lt;&gt;"",F944&lt;&gt;"Arbeidskosten"),X944*VLOOKUP(F944,Tb_ProjectKosten[],MATCH(Tb_ProjectKosten[[#Headers],[Forfait_Percentage]],Tb_ProjectKosten[#Headers],0),0),AND(F944="Arbeidskosten",G944&lt;&gt;""),IFERROR(X944*VLOOKUP(G944,Tb_KostenTypen[],3,0)*VLOOKUP(F944,Tb_ProjectKosten[],MATCH(Tb_ProjectKosten[[#Headers],[Forfait_Percentage]],Tb_ProjectKosten[#Headers],0),0),""),X944 &lt;=0,0),"")</f>
        <v/>
      </c>
      <c r="AB944" s="314" t="str">
        <f t="shared" ca="1" si="59"/>
        <v/>
      </c>
      <c r="AC944" s="322"/>
      <c r="AD944" s="315"/>
      <c r="AE944" s="32" t="str" cm="1">
        <f t="array" ref="AE944">IFERROR(IF(INDEX(SubsidieTabel!$AD$1:$AG$12,MATCH($F944,SubsidieTabel!$AD$1:$AD$12,0),IFERROR(MATCH(Methode_Keuze,SubsidieTabel!$AD$1:$AG$1,0),2))&lt;&gt;1=TRUE,"ja",""),"")</f>
        <v/>
      </c>
    </row>
    <row r="945" spans="1:31" x14ac:dyDescent="0.25">
      <c r="A945" s="316"/>
      <c r="B945" s="317" t="str">
        <f>IF(A945&lt;&gt;"",_xlfn.MAXIFS($B$1:B944,$A$1:A944,A945)+1,"")</f>
        <v/>
      </c>
      <c r="C945" s="296"/>
      <c r="D945" s="296"/>
      <c r="E945" s="296"/>
      <c r="F945" s="296"/>
      <c r="G945" s="326"/>
      <c r="H945" s="324"/>
      <c r="I945" s="325"/>
      <c r="J945" s="325"/>
      <c r="K945" s="318"/>
      <c r="L945" s="318"/>
      <c r="M945" s="319" t="str">
        <f>IFERROR(VLOOKUP(H945,Lijsten!$H$1:$I$100,2,0),"")</f>
        <v/>
      </c>
      <c r="N945" s="319" t="str">
        <f ca="1">IFERROR(IF(VLOOKUP(F945,Kostentypen!$A$3:$E$21,3,0)=0,"",IF(OR(F945="Arbeidskosten",F945="Vergoeding"),VLOOKUP(G945,Tb_KostenTypen[],2,0),VLOOKUP(F945,Kostentypen!$A$3:$E$20,3,0))),"")</f>
        <v/>
      </c>
      <c r="O945" s="320" t="str" cm="1">
        <f t="array" ref="O945">_xlfn.IFNA(IF(INDEX(Tb_KostenOptiesDB[],MATCH($F945,Tb_KostenOptiesDB[KostenOptie],0),IFERROR(MATCH(Methode_Keuze,Tb_KostenOptiesDB[#Headers],0),2))=1,_xlfn.SWITCH($N945,"Uurtarief",IF(OR(AND(RIGHT($F945,3)="IKS",VLOOKUP($M945,DB_Loonkosten,2,0)="Ja"),AND(RIGHT($F945,3)&lt;&gt;"IKS",VLOOKUP($M945,DB_Loonkosten,2,0)="Nee")),IFERROR(VLOOKUP($M945,DB_Loonkosten,24,0),""),0),"Vast tarief",IF(LEFT(F945,8)="Bijdrage",VLOOKUP($F945,Tb_KostenTypen[],MATCH(Lijsten!$P$1,Tb_KostenTypen[#Headers],0),0),VLOOKUP($G945,Lijsten!L:P,MATCH(Lijsten!$P$1,Kop_Tarief_Vast,0),0))),""),"")</f>
        <v/>
      </c>
      <c r="P945" s="320" t="str" cm="1">
        <f t="array" ref="P945">_xlfn.IFNA(IF(INDEX(Tb_KostenOptiesDB[],MATCH($F945,Tb_KostenOptiesDB[KostenOptie],0),IFERROR(MATCH(Methode_Keuze,Tb_KostenOptiesDB[#Headers],0),2))=1,_xlfn.SWITCH($N945,"Uurtarief",IF(OR(AND(RIGHT($F945,3)="IKS",VLOOKUP($M945,DB_Loonkosten,2,0)="Ja"),AND(RIGHT($F945,3)&lt;&gt;"IKS",VLOOKUP($M945,DB_Loonkosten,2,0)="Nee")),IFERROR(VLOOKUP($M945,DB_Loonkosten,25,0),""),0),"Vast tarief",IF(LEFT(F945,8)="Bijdrage",VLOOKUP($F945,Tb_KostenTypen[],MATCH(Lijsten!$P$1,Tb_KostenTypen[#Headers],0),0),VLOOKUP($G945,Lijsten!L:P,MATCH(Lijsten!$P$1,Kop_Tarief_Vast,0),0))),""),"")</f>
        <v/>
      </c>
      <c r="Q945" s="359"/>
      <c r="R945" s="359"/>
      <c r="S945" s="321"/>
      <c r="T945" s="321"/>
      <c r="U945" s="373" t="str">
        <f t="shared" si="56"/>
        <v/>
      </c>
      <c r="V945" s="314" t="str">
        <f t="shared" si="57"/>
        <v/>
      </c>
      <c r="W945" s="314" t="str" cm="1">
        <f t="array" aca="1" ref="W945" ca="1">IFERROR(IF(AE945&lt;&gt;"ja",_xlfn.IFNA(_xlfn.IFS(AND(O945&lt;&gt;"",F945&lt;&gt;"",RIGHT($N945,6)="tarief",F945="Vergoeding"),SUM(O945)*FLOOR(SUM(Q945),0.0001),AND(O945&lt;&gt;"",F945&lt;&gt;"",RIGHT($N945,6)="tarief"),SUM(O945)*FLOOR(SUM(Q945),0.01),S945&gt;0,IF(F945&lt;&gt;"",FLOOR(SUM(S945),0.01),"")),""),""),"")</f>
        <v/>
      </c>
      <c r="X945" s="314" t="str" cm="1">
        <f t="array" aca="1" ref="X945" ca="1">IFERROR(IF(AE945&lt;&gt;"ja",_xlfn.IFNA(_xlfn.IFS(AND(P945&lt;&gt;"",R945&lt;&gt;"",RIGHT($N945,6)="tarief",F945="Vergoeding"),SUM(P945)*FLOOR(SUM(R945),0.0001),AND(P945&lt;&gt;"",R945&lt;&gt;"",RIGHT($N945,6)="tarief"),P945*FLOOR(R945,0.01),T945&gt;0,FLOOR(SUM(T945),0.01)),""),""),"")</f>
        <v/>
      </c>
      <c r="Y945" s="314" t="str">
        <f t="shared" ca="1" si="58"/>
        <v/>
      </c>
      <c r="Z945" s="314" t="str" cm="1">
        <f t="array" aca="1" ref="Z945" ca="1">IFERROR(_xlfn.IFS(OR(F945="",LEFT(Methode_Keuze,4)="Geen",Methode_Keuze=""),"",AND(W945&lt;&gt;"",F945&lt;&gt;"Arbeidskosten"),W945*VLOOKUP(F945,Tb_ProjectKosten[],MATCH(Tb_ProjectKosten[[#Headers],[Forfait_Percentage]],Tb_ProjectKosten[#Headers],0),0),AND(F945="Arbeidskosten",G945&lt;&gt;""),IFERROR(W945*VLOOKUP(G945,Tb_KostenTypen[],3,0)*VLOOKUP(F945,Tb_ProjectKosten[],MATCH(Tb_ProjectKosten[[#Headers],[Forfait_Percentage]],Tb_ProjectKosten[#Headers],0),0),""),W945 &lt;=0,0),"")</f>
        <v/>
      </c>
      <c r="AA945" s="314" t="str" cm="1">
        <f t="array" aca="1" ref="AA945" ca="1">IFERROR(_xlfn.IFS(OR(F945="",LEFT(Methode_Keuze,4)="Geen",Methode_Keuze=""),"",AND(X945&lt;&gt;"",F945&lt;&gt;"Arbeidskosten"),X945*VLOOKUP(F945,Tb_ProjectKosten[],MATCH(Tb_ProjectKosten[[#Headers],[Forfait_Percentage]],Tb_ProjectKosten[#Headers],0),0),AND(F945="Arbeidskosten",G945&lt;&gt;""),IFERROR(X945*VLOOKUP(G945,Tb_KostenTypen[],3,0)*VLOOKUP(F945,Tb_ProjectKosten[],MATCH(Tb_ProjectKosten[[#Headers],[Forfait_Percentage]],Tb_ProjectKosten[#Headers],0),0),""),X945 &lt;=0,0),"")</f>
        <v/>
      </c>
      <c r="AB945" s="314" t="str">
        <f t="shared" ca="1" si="59"/>
        <v/>
      </c>
      <c r="AC945" s="322"/>
      <c r="AD945" s="315"/>
      <c r="AE945" s="32" t="str" cm="1">
        <f t="array" ref="AE945">IFERROR(IF(INDEX(SubsidieTabel!$AD$1:$AG$12,MATCH($F945,SubsidieTabel!$AD$1:$AD$12,0),IFERROR(MATCH(Methode_Keuze,SubsidieTabel!$AD$1:$AG$1,0),2))&lt;&gt;1=TRUE,"ja",""),"")</f>
        <v/>
      </c>
    </row>
    <row r="946" spans="1:31" x14ac:dyDescent="0.25">
      <c r="A946" s="316"/>
      <c r="B946" s="317" t="str">
        <f>IF(A946&lt;&gt;"",_xlfn.MAXIFS($B$1:B945,$A$1:A945,A946)+1,"")</f>
        <v/>
      </c>
      <c r="C946" s="296"/>
      <c r="D946" s="296"/>
      <c r="E946" s="296"/>
      <c r="F946" s="296"/>
      <c r="G946" s="326"/>
      <c r="H946" s="324"/>
      <c r="I946" s="325"/>
      <c r="J946" s="325"/>
      <c r="K946" s="318"/>
      <c r="L946" s="318"/>
      <c r="M946" s="319" t="str">
        <f>IFERROR(VLOOKUP(H946,Lijsten!$H$1:$I$100,2,0),"")</f>
        <v/>
      </c>
      <c r="N946" s="319" t="str">
        <f ca="1">IFERROR(IF(VLOOKUP(F946,Kostentypen!$A$3:$E$21,3,0)=0,"",IF(OR(F946="Arbeidskosten",F946="Vergoeding"),VLOOKUP(G946,Tb_KostenTypen[],2,0),VLOOKUP(F946,Kostentypen!$A$3:$E$20,3,0))),"")</f>
        <v/>
      </c>
      <c r="O946" s="320" t="str" cm="1">
        <f t="array" ref="O946">_xlfn.IFNA(IF(INDEX(Tb_KostenOptiesDB[],MATCH($F946,Tb_KostenOptiesDB[KostenOptie],0),IFERROR(MATCH(Methode_Keuze,Tb_KostenOptiesDB[#Headers],0),2))=1,_xlfn.SWITCH($N946,"Uurtarief",IF(OR(AND(RIGHT($F946,3)="IKS",VLOOKUP($M946,DB_Loonkosten,2,0)="Ja"),AND(RIGHT($F946,3)&lt;&gt;"IKS",VLOOKUP($M946,DB_Loonkosten,2,0)="Nee")),IFERROR(VLOOKUP($M946,DB_Loonkosten,24,0),""),0),"Vast tarief",IF(LEFT(F946,8)="Bijdrage",VLOOKUP($F946,Tb_KostenTypen[],MATCH(Lijsten!$P$1,Tb_KostenTypen[#Headers],0),0),VLOOKUP($G946,Lijsten!L:P,MATCH(Lijsten!$P$1,Kop_Tarief_Vast,0),0))),""),"")</f>
        <v/>
      </c>
      <c r="P946" s="320" t="str" cm="1">
        <f t="array" ref="P946">_xlfn.IFNA(IF(INDEX(Tb_KostenOptiesDB[],MATCH($F946,Tb_KostenOptiesDB[KostenOptie],0),IFERROR(MATCH(Methode_Keuze,Tb_KostenOptiesDB[#Headers],0),2))=1,_xlfn.SWITCH($N946,"Uurtarief",IF(OR(AND(RIGHT($F946,3)="IKS",VLOOKUP($M946,DB_Loonkosten,2,0)="Ja"),AND(RIGHT($F946,3)&lt;&gt;"IKS",VLOOKUP($M946,DB_Loonkosten,2,0)="Nee")),IFERROR(VLOOKUP($M946,DB_Loonkosten,25,0),""),0),"Vast tarief",IF(LEFT(F946,8)="Bijdrage",VLOOKUP($F946,Tb_KostenTypen[],MATCH(Lijsten!$P$1,Tb_KostenTypen[#Headers],0),0),VLOOKUP($G946,Lijsten!L:P,MATCH(Lijsten!$P$1,Kop_Tarief_Vast,0),0))),""),"")</f>
        <v/>
      </c>
      <c r="Q946" s="359"/>
      <c r="R946" s="359"/>
      <c r="S946" s="321"/>
      <c r="T946" s="321"/>
      <c r="U946" s="373" t="str">
        <f t="shared" si="56"/>
        <v/>
      </c>
      <c r="V946" s="314" t="str">
        <f t="shared" si="57"/>
        <v/>
      </c>
      <c r="W946" s="314" t="str" cm="1">
        <f t="array" aca="1" ref="W946" ca="1">IFERROR(IF(AE946&lt;&gt;"ja",_xlfn.IFNA(_xlfn.IFS(AND(O946&lt;&gt;"",F946&lt;&gt;"",RIGHT($N946,6)="tarief",F946="Vergoeding"),SUM(O946)*FLOOR(SUM(Q946),0.0001),AND(O946&lt;&gt;"",F946&lt;&gt;"",RIGHT($N946,6)="tarief"),SUM(O946)*FLOOR(SUM(Q946),0.01),S946&gt;0,IF(F946&lt;&gt;"",FLOOR(SUM(S946),0.01),"")),""),""),"")</f>
        <v/>
      </c>
      <c r="X946" s="314" t="str" cm="1">
        <f t="array" aca="1" ref="X946" ca="1">IFERROR(IF(AE946&lt;&gt;"ja",_xlfn.IFNA(_xlfn.IFS(AND(P946&lt;&gt;"",R946&lt;&gt;"",RIGHT($N946,6)="tarief",F946="Vergoeding"),SUM(P946)*FLOOR(SUM(R946),0.0001),AND(P946&lt;&gt;"",R946&lt;&gt;"",RIGHT($N946,6)="tarief"),P946*FLOOR(R946,0.01),T946&gt;0,FLOOR(SUM(T946),0.01)),""),""),"")</f>
        <v/>
      </c>
      <c r="Y946" s="314" t="str">
        <f t="shared" ca="1" si="58"/>
        <v/>
      </c>
      <c r="Z946" s="314" t="str" cm="1">
        <f t="array" aca="1" ref="Z946" ca="1">IFERROR(_xlfn.IFS(OR(F946="",LEFT(Methode_Keuze,4)="Geen",Methode_Keuze=""),"",AND(W946&lt;&gt;"",F946&lt;&gt;"Arbeidskosten"),W946*VLOOKUP(F946,Tb_ProjectKosten[],MATCH(Tb_ProjectKosten[[#Headers],[Forfait_Percentage]],Tb_ProjectKosten[#Headers],0),0),AND(F946="Arbeidskosten",G946&lt;&gt;""),IFERROR(W946*VLOOKUP(G946,Tb_KostenTypen[],3,0)*VLOOKUP(F946,Tb_ProjectKosten[],MATCH(Tb_ProjectKosten[[#Headers],[Forfait_Percentage]],Tb_ProjectKosten[#Headers],0),0),""),W946 &lt;=0,0),"")</f>
        <v/>
      </c>
      <c r="AA946" s="314" t="str" cm="1">
        <f t="array" aca="1" ref="AA946" ca="1">IFERROR(_xlfn.IFS(OR(F946="",LEFT(Methode_Keuze,4)="Geen",Methode_Keuze=""),"",AND(X946&lt;&gt;"",F946&lt;&gt;"Arbeidskosten"),X946*VLOOKUP(F946,Tb_ProjectKosten[],MATCH(Tb_ProjectKosten[[#Headers],[Forfait_Percentage]],Tb_ProjectKosten[#Headers],0),0),AND(F946="Arbeidskosten",G946&lt;&gt;""),IFERROR(X946*VLOOKUP(G946,Tb_KostenTypen[],3,0)*VLOOKUP(F946,Tb_ProjectKosten[],MATCH(Tb_ProjectKosten[[#Headers],[Forfait_Percentage]],Tb_ProjectKosten[#Headers],0),0),""),X946 &lt;=0,0),"")</f>
        <v/>
      </c>
      <c r="AB946" s="314" t="str">
        <f t="shared" ca="1" si="59"/>
        <v/>
      </c>
      <c r="AC946" s="322"/>
      <c r="AD946" s="315"/>
      <c r="AE946" s="32" t="str" cm="1">
        <f t="array" ref="AE946">IFERROR(IF(INDEX(SubsidieTabel!$AD$1:$AG$12,MATCH($F946,SubsidieTabel!$AD$1:$AD$12,0),IFERROR(MATCH(Methode_Keuze,SubsidieTabel!$AD$1:$AG$1,0),2))&lt;&gt;1=TRUE,"ja",""),"")</f>
        <v/>
      </c>
    </row>
    <row r="947" spans="1:31" x14ac:dyDescent="0.25">
      <c r="A947" s="316"/>
      <c r="B947" s="317" t="str">
        <f>IF(A947&lt;&gt;"",_xlfn.MAXIFS($B$1:B946,$A$1:A946,A947)+1,"")</f>
        <v/>
      </c>
      <c r="C947" s="296"/>
      <c r="D947" s="296"/>
      <c r="E947" s="296"/>
      <c r="F947" s="296"/>
      <c r="G947" s="326"/>
      <c r="H947" s="324"/>
      <c r="I947" s="325"/>
      <c r="J947" s="325"/>
      <c r="K947" s="318"/>
      <c r="L947" s="318"/>
      <c r="M947" s="319" t="str">
        <f>IFERROR(VLOOKUP(H947,Lijsten!$H$1:$I$100,2,0),"")</f>
        <v/>
      </c>
      <c r="N947" s="319" t="str">
        <f ca="1">IFERROR(IF(VLOOKUP(F947,Kostentypen!$A$3:$E$21,3,0)=0,"",IF(OR(F947="Arbeidskosten",F947="Vergoeding"),VLOOKUP(G947,Tb_KostenTypen[],2,0),VLOOKUP(F947,Kostentypen!$A$3:$E$20,3,0))),"")</f>
        <v/>
      </c>
      <c r="O947" s="320" t="str" cm="1">
        <f t="array" ref="O947">_xlfn.IFNA(IF(INDEX(Tb_KostenOptiesDB[],MATCH($F947,Tb_KostenOptiesDB[KostenOptie],0),IFERROR(MATCH(Methode_Keuze,Tb_KostenOptiesDB[#Headers],0),2))=1,_xlfn.SWITCH($N947,"Uurtarief",IF(OR(AND(RIGHT($F947,3)="IKS",VLOOKUP($M947,DB_Loonkosten,2,0)="Ja"),AND(RIGHT($F947,3)&lt;&gt;"IKS",VLOOKUP($M947,DB_Loonkosten,2,0)="Nee")),IFERROR(VLOOKUP($M947,DB_Loonkosten,24,0),""),0),"Vast tarief",IF(LEFT(F947,8)="Bijdrage",VLOOKUP($F947,Tb_KostenTypen[],MATCH(Lijsten!$P$1,Tb_KostenTypen[#Headers],0),0),VLOOKUP($G947,Lijsten!L:P,MATCH(Lijsten!$P$1,Kop_Tarief_Vast,0),0))),""),"")</f>
        <v/>
      </c>
      <c r="P947" s="320" t="str" cm="1">
        <f t="array" ref="P947">_xlfn.IFNA(IF(INDEX(Tb_KostenOptiesDB[],MATCH($F947,Tb_KostenOptiesDB[KostenOptie],0),IFERROR(MATCH(Methode_Keuze,Tb_KostenOptiesDB[#Headers],0),2))=1,_xlfn.SWITCH($N947,"Uurtarief",IF(OR(AND(RIGHT($F947,3)="IKS",VLOOKUP($M947,DB_Loonkosten,2,0)="Ja"),AND(RIGHT($F947,3)&lt;&gt;"IKS",VLOOKUP($M947,DB_Loonkosten,2,0)="Nee")),IFERROR(VLOOKUP($M947,DB_Loonkosten,25,0),""),0),"Vast tarief",IF(LEFT(F947,8)="Bijdrage",VLOOKUP($F947,Tb_KostenTypen[],MATCH(Lijsten!$P$1,Tb_KostenTypen[#Headers],0),0),VLOOKUP($G947,Lijsten!L:P,MATCH(Lijsten!$P$1,Kop_Tarief_Vast,0),0))),""),"")</f>
        <v/>
      </c>
      <c r="Q947" s="359"/>
      <c r="R947" s="359"/>
      <c r="S947" s="321"/>
      <c r="T947" s="321"/>
      <c r="U947" s="373" t="str">
        <f t="shared" si="56"/>
        <v/>
      </c>
      <c r="V947" s="314" t="str">
        <f t="shared" si="57"/>
        <v/>
      </c>
      <c r="W947" s="314" t="str" cm="1">
        <f t="array" aca="1" ref="W947" ca="1">IFERROR(IF(AE947&lt;&gt;"ja",_xlfn.IFNA(_xlfn.IFS(AND(O947&lt;&gt;"",F947&lt;&gt;"",RIGHT($N947,6)="tarief",F947="Vergoeding"),SUM(O947)*FLOOR(SUM(Q947),0.0001),AND(O947&lt;&gt;"",F947&lt;&gt;"",RIGHT($N947,6)="tarief"),SUM(O947)*FLOOR(SUM(Q947),0.01),S947&gt;0,IF(F947&lt;&gt;"",FLOOR(SUM(S947),0.01),"")),""),""),"")</f>
        <v/>
      </c>
      <c r="X947" s="314" t="str" cm="1">
        <f t="array" aca="1" ref="X947" ca="1">IFERROR(IF(AE947&lt;&gt;"ja",_xlfn.IFNA(_xlfn.IFS(AND(P947&lt;&gt;"",R947&lt;&gt;"",RIGHT($N947,6)="tarief",F947="Vergoeding"),SUM(P947)*FLOOR(SUM(R947),0.0001),AND(P947&lt;&gt;"",R947&lt;&gt;"",RIGHT($N947,6)="tarief"),P947*FLOOR(R947,0.01),T947&gt;0,FLOOR(SUM(T947),0.01)),""),""),"")</f>
        <v/>
      </c>
      <c r="Y947" s="314" t="str">
        <f t="shared" ca="1" si="58"/>
        <v/>
      </c>
      <c r="Z947" s="314" t="str" cm="1">
        <f t="array" aca="1" ref="Z947" ca="1">IFERROR(_xlfn.IFS(OR(F947="",LEFT(Methode_Keuze,4)="Geen",Methode_Keuze=""),"",AND(W947&lt;&gt;"",F947&lt;&gt;"Arbeidskosten"),W947*VLOOKUP(F947,Tb_ProjectKosten[],MATCH(Tb_ProjectKosten[[#Headers],[Forfait_Percentage]],Tb_ProjectKosten[#Headers],0),0),AND(F947="Arbeidskosten",G947&lt;&gt;""),IFERROR(W947*VLOOKUP(G947,Tb_KostenTypen[],3,0)*VLOOKUP(F947,Tb_ProjectKosten[],MATCH(Tb_ProjectKosten[[#Headers],[Forfait_Percentage]],Tb_ProjectKosten[#Headers],0),0),""),W947 &lt;=0,0),"")</f>
        <v/>
      </c>
      <c r="AA947" s="314" t="str" cm="1">
        <f t="array" aca="1" ref="AA947" ca="1">IFERROR(_xlfn.IFS(OR(F947="",LEFT(Methode_Keuze,4)="Geen",Methode_Keuze=""),"",AND(X947&lt;&gt;"",F947&lt;&gt;"Arbeidskosten"),X947*VLOOKUP(F947,Tb_ProjectKosten[],MATCH(Tb_ProjectKosten[[#Headers],[Forfait_Percentage]],Tb_ProjectKosten[#Headers],0),0),AND(F947="Arbeidskosten",G947&lt;&gt;""),IFERROR(X947*VLOOKUP(G947,Tb_KostenTypen[],3,0)*VLOOKUP(F947,Tb_ProjectKosten[],MATCH(Tb_ProjectKosten[[#Headers],[Forfait_Percentage]],Tb_ProjectKosten[#Headers],0),0),""),X947 &lt;=0,0),"")</f>
        <v/>
      </c>
      <c r="AB947" s="314" t="str">
        <f t="shared" ca="1" si="59"/>
        <v/>
      </c>
      <c r="AC947" s="322"/>
      <c r="AD947" s="315"/>
      <c r="AE947" s="32" t="str" cm="1">
        <f t="array" ref="AE947">IFERROR(IF(INDEX(SubsidieTabel!$AD$1:$AG$12,MATCH($F947,SubsidieTabel!$AD$1:$AD$12,0),IFERROR(MATCH(Methode_Keuze,SubsidieTabel!$AD$1:$AG$1,0),2))&lt;&gt;1=TRUE,"ja",""),"")</f>
        <v/>
      </c>
    </row>
    <row r="948" spans="1:31" x14ac:dyDescent="0.25">
      <c r="A948" s="316"/>
      <c r="B948" s="317" t="str">
        <f>IF(A948&lt;&gt;"",_xlfn.MAXIFS($B$1:B947,$A$1:A947,A948)+1,"")</f>
        <v/>
      </c>
      <c r="C948" s="296"/>
      <c r="D948" s="296"/>
      <c r="E948" s="296"/>
      <c r="F948" s="296"/>
      <c r="G948" s="326"/>
      <c r="H948" s="324"/>
      <c r="I948" s="325"/>
      <c r="J948" s="325"/>
      <c r="K948" s="318"/>
      <c r="L948" s="318"/>
      <c r="M948" s="319" t="str">
        <f>IFERROR(VLOOKUP(H948,Lijsten!$H$1:$I$100,2,0),"")</f>
        <v/>
      </c>
      <c r="N948" s="319" t="str">
        <f ca="1">IFERROR(IF(VLOOKUP(F948,Kostentypen!$A$3:$E$21,3,0)=0,"",IF(OR(F948="Arbeidskosten",F948="Vergoeding"),VLOOKUP(G948,Tb_KostenTypen[],2,0),VLOOKUP(F948,Kostentypen!$A$3:$E$20,3,0))),"")</f>
        <v/>
      </c>
      <c r="O948" s="320" t="str" cm="1">
        <f t="array" ref="O948">_xlfn.IFNA(IF(INDEX(Tb_KostenOptiesDB[],MATCH($F948,Tb_KostenOptiesDB[KostenOptie],0),IFERROR(MATCH(Methode_Keuze,Tb_KostenOptiesDB[#Headers],0),2))=1,_xlfn.SWITCH($N948,"Uurtarief",IF(OR(AND(RIGHT($F948,3)="IKS",VLOOKUP($M948,DB_Loonkosten,2,0)="Ja"),AND(RIGHT($F948,3)&lt;&gt;"IKS",VLOOKUP($M948,DB_Loonkosten,2,0)="Nee")),IFERROR(VLOOKUP($M948,DB_Loonkosten,24,0),""),0),"Vast tarief",IF(LEFT(F948,8)="Bijdrage",VLOOKUP($F948,Tb_KostenTypen[],MATCH(Lijsten!$P$1,Tb_KostenTypen[#Headers],0),0),VLOOKUP($G948,Lijsten!L:P,MATCH(Lijsten!$P$1,Kop_Tarief_Vast,0),0))),""),"")</f>
        <v/>
      </c>
      <c r="P948" s="320" t="str" cm="1">
        <f t="array" ref="P948">_xlfn.IFNA(IF(INDEX(Tb_KostenOptiesDB[],MATCH($F948,Tb_KostenOptiesDB[KostenOptie],0),IFERROR(MATCH(Methode_Keuze,Tb_KostenOptiesDB[#Headers],0),2))=1,_xlfn.SWITCH($N948,"Uurtarief",IF(OR(AND(RIGHT($F948,3)="IKS",VLOOKUP($M948,DB_Loonkosten,2,0)="Ja"),AND(RIGHT($F948,3)&lt;&gt;"IKS",VLOOKUP($M948,DB_Loonkosten,2,0)="Nee")),IFERROR(VLOOKUP($M948,DB_Loonkosten,25,0),""),0),"Vast tarief",IF(LEFT(F948,8)="Bijdrage",VLOOKUP($F948,Tb_KostenTypen[],MATCH(Lijsten!$P$1,Tb_KostenTypen[#Headers],0),0),VLOOKUP($G948,Lijsten!L:P,MATCH(Lijsten!$P$1,Kop_Tarief_Vast,0),0))),""),"")</f>
        <v/>
      </c>
      <c r="Q948" s="359"/>
      <c r="R948" s="359"/>
      <c r="S948" s="321"/>
      <c r="T948" s="321"/>
      <c r="U948" s="373" t="str">
        <f t="shared" si="56"/>
        <v/>
      </c>
      <c r="V948" s="314" t="str">
        <f t="shared" si="57"/>
        <v/>
      </c>
      <c r="W948" s="314" t="str" cm="1">
        <f t="array" aca="1" ref="W948" ca="1">IFERROR(IF(AE948&lt;&gt;"ja",_xlfn.IFNA(_xlfn.IFS(AND(O948&lt;&gt;"",F948&lt;&gt;"",RIGHT($N948,6)="tarief",F948="Vergoeding"),SUM(O948)*FLOOR(SUM(Q948),0.0001),AND(O948&lt;&gt;"",F948&lt;&gt;"",RIGHT($N948,6)="tarief"),SUM(O948)*FLOOR(SUM(Q948),0.01),S948&gt;0,IF(F948&lt;&gt;"",FLOOR(SUM(S948),0.01),"")),""),""),"")</f>
        <v/>
      </c>
      <c r="X948" s="314" t="str" cm="1">
        <f t="array" aca="1" ref="X948" ca="1">IFERROR(IF(AE948&lt;&gt;"ja",_xlfn.IFNA(_xlfn.IFS(AND(P948&lt;&gt;"",R948&lt;&gt;"",RIGHT($N948,6)="tarief",F948="Vergoeding"),SUM(P948)*FLOOR(SUM(R948),0.0001),AND(P948&lt;&gt;"",R948&lt;&gt;"",RIGHT($N948,6)="tarief"),P948*FLOOR(R948,0.01),T948&gt;0,FLOOR(SUM(T948),0.01)),""),""),"")</f>
        <v/>
      </c>
      <c r="Y948" s="314" t="str">
        <f t="shared" ca="1" si="58"/>
        <v/>
      </c>
      <c r="Z948" s="314" t="str" cm="1">
        <f t="array" aca="1" ref="Z948" ca="1">IFERROR(_xlfn.IFS(OR(F948="",LEFT(Methode_Keuze,4)="Geen",Methode_Keuze=""),"",AND(W948&lt;&gt;"",F948&lt;&gt;"Arbeidskosten"),W948*VLOOKUP(F948,Tb_ProjectKosten[],MATCH(Tb_ProjectKosten[[#Headers],[Forfait_Percentage]],Tb_ProjectKosten[#Headers],0),0),AND(F948="Arbeidskosten",G948&lt;&gt;""),IFERROR(W948*VLOOKUP(G948,Tb_KostenTypen[],3,0)*VLOOKUP(F948,Tb_ProjectKosten[],MATCH(Tb_ProjectKosten[[#Headers],[Forfait_Percentage]],Tb_ProjectKosten[#Headers],0),0),""),W948 &lt;=0,0),"")</f>
        <v/>
      </c>
      <c r="AA948" s="314" t="str" cm="1">
        <f t="array" aca="1" ref="AA948" ca="1">IFERROR(_xlfn.IFS(OR(F948="",LEFT(Methode_Keuze,4)="Geen",Methode_Keuze=""),"",AND(X948&lt;&gt;"",F948&lt;&gt;"Arbeidskosten"),X948*VLOOKUP(F948,Tb_ProjectKosten[],MATCH(Tb_ProjectKosten[[#Headers],[Forfait_Percentage]],Tb_ProjectKosten[#Headers],0),0),AND(F948="Arbeidskosten",G948&lt;&gt;""),IFERROR(X948*VLOOKUP(G948,Tb_KostenTypen[],3,0)*VLOOKUP(F948,Tb_ProjectKosten[],MATCH(Tb_ProjectKosten[[#Headers],[Forfait_Percentage]],Tb_ProjectKosten[#Headers],0),0),""),X948 &lt;=0,0),"")</f>
        <v/>
      </c>
      <c r="AB948" s="314" t="str">
        <f t="shared" ca="1" si="59"/>
        <v/>
      </c>
      <c r="AC948" s="322"/>
      <c r="AD948" s="315"/>
      <c r="AE948" s="32" t="str" cm="1">
        <f t="array" ref="AE948">IFERROR(IF(INDEX(SubsidieTabel!$AD$1:$AG$12,MATCH($F948,SubsidieTabel!$AD$1:$AD$12,0),IFERROR(MATCH(Methode_Keuze,SubsidieTabel!$AD$1:$AG$1,0),2))&lt;&gt;1=TRUE,"ja",""),"")</f>
        <v/>
      </c>
    </row>
    <row r="949" spans="1:31" x14ac:dyDescent="0.25">
      <c r="A949" s="316"/>
      <c r="B949" s="317" t="str">
        <f>IF(A949&lt;&gt;"",_xlfn.MAXIFS($B$1:B948,$A$1:A948,A949)+1,"")</f>
        <v/>
      </c>
      <c r="C949" s="296"/>
      <c r="D949" s="296"/>
      <c r="E949" s="296"/>
      <c r="F949" s="296"/>
      <c r="G949" s="326"/>
      <c r="H949" s="324"/>
      <c r="I949" s="325"/>
      <c r="J949" s="325"/>
      <c r="K949" s="318"/>
      <c r="L949" s="318"/>
      <c r="M949" s="319" t="str">
        <f>IFERROR(VLOOKUP(H949,Lijsten!$H$1:$I$100,2,0),"")</f>
        <v/>
      </c>
      <c r="N949" s="319" t="str">
        <f ca="1">IFERROR(IF(VLOOKUP(F949,Kostentypen!$A$3:$E$21,3,0)=0,"",IF(OR(F949="Arbeidskosten",F949="Vergoeding"),VLOOKUP(G949,Tb_KostenTypen[],2,0),VLOOKUP(F949,Kostentypen!$A$3:$E$20,3,0))),"")</f>
        <v/>
      </c>
      <c r="O949" s="320" t="str" cm="1">
        <f t="array" ref="O949">_xlfn.IFNA(IF(INDEX(Tb_KostenOptiesDB[],MATCH($F949,Tb_KostenOptiesDB[KostenOptie],0),IFERROR(MATCH(Methode_Keuze,Tb_KostenOptiesDB[#Headers],0),2))=1,_xlfn.SWITCH($N949,"Uurtarief",IF(OR(AND(RIGHT($F949,3)="IKS",VLOOKUP($M949,DB_Loonkosten,2,0)="Ja"),AND(RIGHT($F949,3)&lt;&gt;"IKS",VLOOKUP($M949,DB_Loonkosten,2,0)="Nee")),IFERROR(VLOOKUP($M949,DB_Loonkosten,24,0),""),0),"Vast tarief",IF(LEFT(F949,8)="Bijdrage",VLOOKUP($F949,Tb_KostenTypen[],MATCH(Lijsten!$P$1,Tb_KostenTypen[#Headers],0),0),VLOOKUP($G949,Lijsten!L:P,MATCH(Lijsten!$P$1,Kop_Tarief_Vast,0),0))),""),"")</f>
        <v/>
      </c>
      <c r="P949" s="320" t="str" cm="1">
        <f t="array" ref="P949">_xlfn.IFNA(IF(INDEX(Tb_KostenOptiesDB[],MATCH($F949,Tb_KostenOptiesDB[KostenOptie],0),IFERROR(MATCH(Methode_Keuze,Tb_KostenOptiesDB[#Headers],0),2))=1,_xlfn.SWITCH($N949,"Uurtarief",IF(OR(AND(RIGHT($F949,3)="IKS",VLOOKUP($M949,DB_Loonkosten,2,0)="Ja"),AND(RIGHT($F949,3)&lt;&gt;"IKS",VLOOKUP($M949,DB_Loonkosten,2,0)="Nee")),IFERROR(VLOOKUP($M949,DB_Loonkosten,25,0),""),0),"Vast tarief",IF(LEFT(F949,8)="Bijdrage",VLOOKUP($F949,Tb_KostenTypen[],MATCH(Lijsten!$P$1,Tb_KostenTypen[#Headers],0),0),VLOOKUP($G949,Lijsten!L:P,MATCH(Lijsten!$P$1,Kop_Tarief_Vast,0),0))),""),"")</f>
        <v/>
      </c>
      <c r="Q949" s="359"/>
      <c r="R949" s="359"/>
      <c r="S949" s="321"/>
      <c r="T949" s="321"/>
      <c r="U949" s="373" t="str">
        <f t="shared" si="56"/>
        <v/>
      </c>
      <c r="V949" s="314" t="str">
        <f t="shared" si="57"/>
        <v/>
      </c>
      <c r="W949" s="314" t="str" cm="1">
        <f t="array" aca="1" ref="W949" ca="1">IFERROR(IF(AE949&lt;&gt;"ja",_xlfn.IFNA(_xlfn.IFS(AND(O949&lt;&gt;"",F949&lt;&gt;"",RIGHT($N949,6)="tarief",F949="Vergoeding"),SUM(O949)*FLOOR(SUM(Q949),0.0001),AND(O949&lt;&gt;"",F949&lt;&gt;"",RIGHT($N949,6)="tarief"),SUM(O949)*FLOOR(SUM(Q949),0.01),S949&gt;0,IF(F949&lt;&gt;"",FLOOR(SUM(S949),0.01),"")),""),""),"")</f>
        <v/>
      </c>
      <c r="X949" s="314" t="str" cm="1">
        <f t="array" aca="1" ref="X949" ca="1">IFERROR(IF(AE949&lt;&gt;"ja",_xlfn.IFNA(_xlfn.IFS(AND(P949&lt;&gt;"",R949&lt;&gt;"",RIGHT($N949,6)="tarief",F949="Vergoeding"),SUM(P949)*FLOOR(SUM(R949),0.0001),AND(P949&lt;&gt;"",R949&lt;&gt;"",RIGHT($N949,6)="tarief"),P949*FLOOR(R949,0.01),T949&gt;0,FLOOR(SUM(T949),0.01)),""),""),"")</f>
        <v/>
      </c>
      <c r="Y949" s="314" t="str">
        <f t="shared" ca="1" si="58"/>
        <v/>
      </c>
      <c r="Z949" s="314" t="str" cm="1">
        <f t="array" aca="1" ref="Z949" ca="1">IFERROR(_xlfn.IFS(OR(F949="",LEFT(Methode_Keuze,4)="Geen",Methode_Keuze=""),"",AND(W949&lt;&gt;"",F949&lt;&gt;"Arbeidskosten"),W949*VLOOKUP(F949,Tb_ProjectKosten[],MATCH(Tb_ProjectKosten[[#Headers],[Forfait_Percentage]],Tb_ProjectKosten[#Headers],0),0),AND(F949="Arbeidskosten",G949&lt;&gt;""),IFERROR(W949*VLOOKUP(G949,Tb_KostenTypen[],3,0)*VLOOKUP(F949,Tb_ProjectKosten[],MATCH(Tb_ProjectKosten[[#Headers],[Forfait_Percentage]],Tb_ProjectKosten[#Headers],0),0),""),W949 &lt;=0,0),"")</f>
        <v/>
      </c>
      <c r="AA949" s="314" t="str" cm="1">
        <f t="array" aca="1" ref="AA949" ca="1">IFERROR(_xlfn.IFS(OR(F949="",LEFT(Methode_Keuze,4)="Geen",Methode_Keuze=""),"",AND(X949&lt;&gt;"",F949&lt;&gt;"Arbeidskosten"),X949*VLOOKUP(F949,Tb_ProjectKosten[],MATCH(Tb_ProjectKosten[[#Headers],[Forfait_Percentage]],Tb_ProjectKosten[#Headers],0),0),AND(F949="Arbeidskosten",G949&lt;&gt;""),IFERROR(X949*VLOOKUP(G949,Tb_KostenTypen[],3,0)*VLOOKUP(F949,Tb_ProjectKosten[],MATCH(Tb_ProjectKosten[[#Headers],[Forfait_Percentage]],Tb_ProjectKosten[#Headers],0),0),""),X949 &lt;=0,0),"")</f>
        <v/>
      </c>
      <c r="AB949" s="314" t="str">
        <f t="shared" ca="1" si="59"/>
        <v/>
      </c>
      <c r="AC949" s="322"/>
      <c r="AD949" s="315"/>
      <c r="AE949" s="32" t="str" cm="1">
        <f t="array" ref="AE949">IFERROR(IF(INDEX(SubsidieTabel!$AD$1:$AG$12,MATCH($F949,SubsidieTabel!$AD$1:$AD$12,0),IFERROR(MATCH(Methode_Keuze,SubsidieTabel!$AD$1:$AG$1,0),2))&lt;&gt;1=TRUE,"ja",""),"")</f>
        <v/>
      </c>
    </row>
    <row r="950" spans="1:31" x14ac:dyDescent="0.25">
      <c r="A950" s="316"/>
      <c r="B950" s="317" t="str">
        <f>IF(A950&lt;&gt;"",_xlfn.MAXIFS($B$1:B949,$A$1:A949,A950)+1,"")</f>
        <v/>
      </c>
      <c r="C950" s="296"/>
      <c r="D950" s="296"/>
      <c r="E950" s="296"/>
      <c r="F950" s="296"/>
      <c r="G950" s="326"/>
      <c r="H950" s="324"/>
      <c r="I950" s="325"/>
      <c r="J950" s="325"/>
      <c r="K950" s="318"/>
      <c r="L950" s="318"/>
      <c r="M950" s="319" t="str">
        <f>IFERROR(VLOOKUP(H950,Lijsten!$H$1:$I$100,2,0),"")</f>
        <v/>
      </c>
      <c r="N950" s="319" t="str">
        <f ca="1">IFERROR(IF(VLOOKUP(F950,Kostentypen!$A$3:$E$21,3,0)=0,"",IF(OR(F950="Arbeidskosten",F950="Vergoeding"),VLOOKUP(G950,Tb_KostenTypen[],2,0),VLOOKUP(F950,Kostentypen!$A$3:$E$20,3,0))),"")</f>
        <v/>
      </c>
      <c r="O950" s="320" t="str" cm="1">
        <f t="array" ref="O950">_xlfn.IFNA(IF(INDEX(Tb_KostenOptiesDB[],MATCH($F950,Tb_KostenOptiesDB[KostenOptie],0),IFERROR(MATCH(Methode_Keuze,Tb_KostenOptiesDB[#Headers],0),2))=1,_xlfn.SWITCH($N950,"Uurtarief",IF(OR(AND(RIGHT($F950,3)="IKS",VLOOKUP($M950,DB_Loonkosten,2,0)="Ja"),AND(RIGHT($F950,3)&lt;&gt;"IKS",VLOOKUP($M950,DB_Loonkosten,2,0)="Nee")),IFERROR(VLOOKUP($M950,DB_Loonkosten,24,0),""),0),"Vast tarief",IF(LEFT(F950,8)="Bijdrage",VLOOKUP($F950,Tb_KostenTypen[],MATCH(Lijsten!$P$1,Tb_KostenTypen[#Headers],0),0),VLOOKUP($G950,Lijsten!L:P,MATCH(Lijsten!$P$1,Kop_Tarief_Vast,0),0))),""),"")</f>
        <v/>
      </c>
      <c r="P950" s="320" t="str" cm="1">
        <f t="array" ref="P950">_xlfn.IFNA(IF(INDEX(Tb_KostenOptiesDB[],MATCH($F950,Tb_KostenOptiesDB[KostenOptie],0),IFERROR(MATCH(Methode_Keuze,Tb_KostenOptiesDB[#Headers],0),2))=1,_xlfn.SWITCH($N950,"Uurtarief",IF(OR(AND(RIGHT($F950,3)="IKS",VLOOKUP($M950,DB_Loonkosten,2,0)="Ja"),AND(RIGHT($F950,3)&lt;&gt;"IKS",VLOOKUP($M950,DB_Loonkosten,2,0)="Nee")),IFERROR(VLOOKUP($M950,DB_Loonkosten,25,0),""),0),"Vast tarief",IF(LEFT(F950,8)="Bijdrage",VLOOKUP($F950,Tb_KostenTypen[],MATCH(Lijsten!$P$1,Tb_KostenTypen[#Headers],0),0),VLOOKUP($G950,Lijsten!L:P,MATCH(Lijsten!$P$1,Kop_Tarief_Vast,0),0))),""),"")</f>
        <v/>
      </c>
      <c r="Q950" s="359"/>
      <c r="R950" s="359"/>
      <c r="S950" s="321"/>
      <c r="T950" s="321"/>
      <c r="U950" s="373" t="str">
        <f t="shared" si="56"/>
        <v/>
      </c>
      <c r="V950" s="314" t="str">
        <f t="shared" si="57"/>
        <v/>
      </c>
      <c r="W950" s="314" t="str" cm="1">
        <f t="array" aca="1" ref="W950" ca="1">IFERROR(IF(AE950&lt;&gt;"ja",_xlfn.IFNA(_xlfn.IFS(AND(O950&lt;&gt;"",F950&lt;&gt;"",RIGHT($N950,6)="tarief",F950="Vergoeding"),SUM(O950)*FLOOR(SUM(Q950),0.0001),AND(O950&lt;&gt;"",F950&lt;&gt;"",RIGHT($N950,6)="tarief"),SUM(O950)*FLOOR(SUM(Q950),0.01),S950&gt;0,IF(F950&lt;&gt;"",FLOOR(SUM(S950),0.01),"")),""),""),"")</f>
        <v/>
      </c>
      <c r="X950" s="314" t="str" cm="1">
        <f t="array" aca="1" ref="X950" ca="1">IFERROR(IF(AE950&lt;&gt;"ja",_xlfn.IFNA(_xlfn.IFS(AND(P950&lt;&gt;"",R950&lt;&gt;"",RIGHT($N950,6)="tarief",F950="Vergoeding"),SUM(P950)*FLOOR(SUM(R950),0.0001),AND(P950&lt;&gt;"",R950&lt;&gt;"",RIGHT($N950,6)="tarief"),P950*FLOOR(R950,0.01),T950&gt;0,FLOOR(SUM(T950),0.01)),""),""),"")</f>
        <v/>
      </c>
      <c r="Y950" s="314" t="str">
        <f t="shared" ca="1" si="58"/>
        <v/>
      </c>
      <c r="Z950" s="314" t="str" cm="1">
        <f t="array" aca="1" ref="Z950" ca="1">IFERROR(_xlfn.IFS(OR(F950="",LEFT(Methode_Keuze,4)="Geen",Methode_Keuze=""),"",AND(W950&lt;&gt;"",F950&lt;&gt;"Arbeidskosten"),W950*VLOOKUP(F950,Tb_ProjectKosten[],MATCH(Tb_ProjectKosten[[#Headers],[Forfait_Percentage]],Tb_ProjectKosten[#Headers],0),0),AND(F950="Arbeidskosten",G950&lt;&gt;""),IFERROR(W950*VLOOKUP(G950,Tb_KostenTypen[],3,0)*VLOOKUP(F950,Tb_ProjectKosten[],MATCH(Tb_ProjectKosten[[#Headers],[Forfait_Percentage]],Tb_ProjectKosten[#Headers],0),0),""),W950 &lt;=0,0),"")</f>
        <v/>
      </c>
      <c r="AA950" s="314" t="str" cm="1">
        <f t="array" aca="1" ref="AA950" ca="1">IFERROR(_xlfn.IFS(OR(F950="",LEFT(Methode_Keuze,4)="Geen",Methode_Keuze=""),"",AND(X950&lt;&gt;"",F950&lt;&gt;"Arbeidskosten"),X950*VLOOKUP(F950,Tb_ProjectKosten[],MATCH(Tb_ProjectKosten[[#Headers],[Forfait_Percentage]],Tb_ProjectKosten[#Headers],0),0),AND(F950="Arbeidskosten",G950&lt;&gt;""),IFERROR(X950*VLOOKUP(G950,Tb_KostenTypen[],3,0)*VLOOKUP(F950,Tb_ProjectKosten[],MATCH(Tb_ProjectKosten[[#Headers],[Forfait_Percentage]],Tb_ProjectKosten[#Headers],0),0),""),X950 &lt;=0,0),"")</f>
        <v/>
      </c>
      <c r="AB950" s="314" t="str">
        <f t="shared" ca="1" si="59"/>
        <v/>
      </c>
      <c r="AC950" s="322"/>
      <c r="AD950" s="315"/>
      <c r="AE950" s="32" t="str" cm="1">
        <f t="array" ref="AE950">IFERROR(IF(INDEX(SubsidieTabel!$AD$1:$AG$12,MATCH($F950,SubsidieTabel!$AD$1:$AD$12,0),IFERROR(MATCH(Methode_Keuze,SubsidieTabel!$AD$1:$AG$1,0),2))&lt;&gt;1=TRUE,"ja",""),"")</f>
        <v/>
      </c>
    </row>
    <row r="951" spans="1:31" x14ac:dyDescent="0.25">
      <c r="A951" s="316"/>
      <c r="B951" s="317" t="str">
        <f>IF(A951&lt;&gt;"",_xlfn.MAXIFS($B$1:B950,$A$1:A950,A951)+1,"")</f>
        <v/>
      </c>
      <c r="C951" s="296"/>
      <c r="D951" s="296"/>
      <c r="E951" s="296"/>
      <c r="F951" s="296"/>
      <c r="G951" s="326"/>
      <c r="H951" s="324"/>
      <c r="I951" s="325"/>
      <c r="J951" s="325"/>
      <c r="K951" s="318"/>
      <c r="L951" s="318"/>
      <c r="M951" s="319" t="str">
        <f>IFERROR(VLOOKUP(H951,Lijsten!$H$1:$I$100,2,0),"")</f>
        <v/>
      </c>
      <c r="N951" s="319" t="str">
        <f ca="1">IFERROR(IF(VLOOKUP(F951,Kostentypen!$A$3:$E$21,3,0)=0,"",IF(OR(F951="Arbeidskosten",F951="Vergoeding"),VLOOKUP(G951,Tb_KostenTypen[],2,0),VLOOKUP(F951,Kostentypen!$A$3:$E$20,3,0))),"")</f>
        <v/>
      </c>
      <c r="O951" s="320" t="str" cm="1">
        <f t="array" ref="O951">_xlfn.IFNA(IF(INDEX(Tb_KostenOptiesDB[],MATCH($F951,Tb_KostenOptiesDB[KostenOptie],0),IFERROR(MATCH(Methode_Keuze,Tb_KostenOptiesDB[#Headers],0),2))=1,_xlfn.SWITCH($N951,"Uurtarief",IF(OR(AND(RIGHT($F951,3)="IKS",VLOOKUP($M951,DB_Loonkosten,2,0)="Ja"),AND(RIGHT($F951,3)&lt;&gt;"IKS",VLOOKUP($M951,DB_Loonkosten,2,0)="Nee")),IFERROR(VLOOKUP($M951,DB_Loonkosten,24,0),""),0),"Vast tarief",IF(LEFT(F951,8)="Bijdrage",VLOOKUP($F951,Tb_KostenTypen[],MATCH(Lijsten!$P$1,Tb_KostenTypen[#Headers],0),0),VLOOKUP($G951,Lijsten!L:P,MATCH(Lijsten!$P$1,Kop_Tarief_Vast,0),0))),""),"")</f>
        <v/>
      </c>
      <c r="P951" s="320" t="str" cm="1">
        <f t="array" ref="P951">_xlfn.IFNA(IF(INDEX(Tb_KostenOptiesDB[],MATCH($F951,Tb_KostenOptiesDB[KostenOptie],0),IFERROR(MATCH(Methode_Keuze,Tb_KostenOptiesDB[#Headers],0),2))=1,_xlfn.SWITCH($N951,"Uurtarief",IF(OR(AND(RIGHT($F951,3)="IKS",VLOOKUP($M951,DB_Loonkosten,2,0)="Ja"),AND(RIGHT($F951,3)&lt;&gt;"IKS",VLOOKUP($M951,DB_Loonkosten,2,0)="Nee")),IFERROR(VLOOKUP($M951,DB_Loonkosten,25,0),""),0),"Vast tarief",IF(LEFT(F951,8)="Bijdrage",VLOOKUP($F951,Tb_KostenTypen[],MATCH(Lijsten!$P$1,Tb_KostenTypen[#Headers],0),0),VLOOKUP($G951,Lijsten!L:P,MATCH(Lijsten!$P$1,Kop_Tarief_Vast,0),0))),""),"")</f>
        <v/>
      </c>
      <c r="Q951" s="359"/>
      <c r="R951" s="359"/>
      <c r="S951" s="321"/>
      <c r="T951" s="321"/>
      <c r="U951" s="373" t="str">
        <f t="shared" si="56"/>
        <v/>
      </c>
      <c r="V951" s="314" t="str">
        <f t="shared" si="57"/>
        <v/>
      </c>
      <c r="W951" s="314" t="str" cm="1">
        <f t="array" aca="1" ref="W951" ca="1">IFERROR(IF(AE951&lt;&gt;"ja",_xlfn.IFNA(_xlfn.IFS(AND(O951&lt;&gt;"",F951&lt;&gt;"",RIGHT($N951,6)="tarief",F951="Vergoeding"),SUM(O951)*FLOOR(SUM(Q951),0.0001),AND(O951&lt;&gt;"",F951&lt;&gt;"",RIGHT($N951,6)="tarief"),SUM(O951)*FLOOR(SUM(Q951),0.01),S951&gt;0,IF(F951&lt;&gt;"",FLOOR(SUM(S951),0.01),"")),""),""),"")</f>
        <v/>
      </c>
      <c r="X951" s="314" t="str" cm="1">
        <f t="array" aca="1" ref="X951" ca="1">IFERROR(IF(AE951&lt;&gt;"ja",_xlfn.IFNA(_xlfn.IFS(AND(P951&lt;&gt;"",R951&lt;&gt;"",RIGHT($N951,6)="tarief",F951="Vergoeding"),SUM(P951)*FLOOR(SUM(R951),0.0001),AND(P951&lt;&gt;"",R951&lt;&gt;"",RIGHT($N951,6)="tarief"),P951*FLOOR(R951,0.01),T951&gt;0,FLOOR(SUM(T951),0.01)),""),""),"")</f>
        <v/>
      </c>
      <c r="Y951" s="314" t="str">
        <f t="shared" ca="1" si="58"/>
        <v/>
      </c>
      <c r="Z951" s="314" t="str" cm="1">
        <f t="array" aca="1" ref="Z951" ca="1">IFERROR(_xlfn.IFS(OR(F951="",LEFT(Methode_Keuze,4)="Geen",Methode_Keuze=""),"",AND(W951&lt;&gt;"",F951&lt;&gt;"Arbeidskosten"),W951*VLOOKUP(F951,Tb_ProjectKosten[],MATCH(Tb_ProjectKosten[[#Headers],[Forfait_Percentage]],Tb_ProjectKosten[#Headers],0),0),AND(F951="Arbeidskosten",G951&lt;&gt;""),IFERROR(W951*VLOOKUP(G951,Tb_KostenTypen[],3,0)*VLOOKUP(F951,Tb_ProjectKosten[],MATCH(Tb_ProjectKosten[[#Headers],[Forfait_Percentage]],Tb_ProjectKosten[#Headers],0),0),""),W951 &lt;=0,0),"")</f>
        <v/>
      </c>
      <c r="AA951" s="314" t="str" cm="1">
        <f t="array" aca="1" ref="AA951" ca="1">IFERROR(_xlfn.IFS(OR(F951="",LEFT(Methode_Keuze,4)="Geen",Methode_Keuze=""),"",AND(X951&lt;&gt;"",F951&lt;&gt;"Arbeidskosten"),X951*VLOOKUP(F951,Tb_ProjectKosten[],MATCH(Tb_ProjectKosten[[#Headers],[Forfait_Percentage]],Tb_ProjectKosten[#Headers],0),0),AND(F951="Arbeidskosten",G951&lt;&gt;""),IFERROR(X951*VLOOKUP(G951,Tb_KostenTypen[],3,0)*VLOOKUP(F951,Tb_ProjectKosten[],MATCH(Tb_ProjectKosten[[#Headers],[Forfait_Percentage]],Tb_ProjectKosten[#Headers],0),0),""),X951 &lt;=0,0),"")</f>
        <v/>
      </c>
      <c r="AB951" s="314" t="str">
        <f t="shared" ca="1" si="59"/>
        <v/>
      </c>
      <c r="AC951" s="322"/>
      <c r="AD951" s="315"/>
      <c r="AE951" s="32" t="str" cm="1">
        <f t="array" ref="AE951">IFERROR(IF(INDEX(SubsidieTabel!$AD$1:$AG$12,MATCH($F951,SubsidieTabel!$AD$1:$AD$12,0),IFERROR(MATCH(Methode_Keuze,SubsidieTabel!$AD$1:$AG$1,0),2))&lt;&gt;1=TRUE,"ja",""),"")</f>
        <v/>
      </c>
    </row>
    <row r="952" spans="1:31" x14ac:dyDescent="0.25">
      <c r="A952" s="316"/>
      <c r="B952" s="317" t="str">
        <f>IF(A952&lt;&gt;"",_xlfn.MAXIFS($B$1:B951,$A$1:A951,A952)+1,"")</f>
        <v/>
      </c>
      <c r="C952" s="296"/>
      <c r="D952" s="296"/>
      <c r="E952" s="296"/>
      <c r="F952" s="296"/>
      <c r="G952" s="326"/>
      <c r="H952" s="324"/>
      <c r="I952" s="325"/>
      <c r="J952" s="325"/>
      <c r="K952" s="318"/>
      <c r="L952" s="318"/>
      <c r="M952" s="319" t="str">
        <f>IFERROR(VLOOKUP(H952,Lijsten!$H$1:$I$100,2,0),"")</f>
        <v/>
      </c>
      <c r="N952" s="319" t="str">
        <f ca="1">IFERROR(IF(VLOOKUP(F952,Kostentypen!$A$3:$E$21,3,0)=0,"",IF(OR(F952="Arbeidskosten",F952="Vergoeding"),VLOOKUP(G952,Tb_KostenTypen[],2,0),VLOOKUP(F952,Kostentypen!$A$3:$E$20,3,0))),"")</f>
        <v/>
      </c>
      <c r="O952" s="320" t="str" cm="1">
        <f t="array" ref="O952">_xlfn.IFNA(IF(INDEX(Tb_KostenOptiesDB[],MATCH($F952,Tb_KostenOptiesDB[KostenOptie],0),IFERROR(MATCH(Methode_Keuze,Tb_KostenOptiesDB[#Headers],0),2))=1,_xlfn.SWITCH($N952,"Uurtarief",IF(OR(AND(RIGHT($F952,3)="IKS",VLOOKUP($M952,DB_Loonkosten,2,0)="Ja"),AND(RIGHT($F952,3)&lt;&gt;"IKS",VLOOKUP($M952,DB_Loonkosten,2,0)="Nee")),IFERROR(VLOOKUP($M952,DB_Loonkosten,24,0),""),0),"Vast tarief",IF(LEFT(F952,8)="Bijdrage",VLOOKUP($F952,Tb_KostenTypen[],MATCH(Lijsten!$P$1,Tb_KostenTypen[#Headers],0),0),VLOOKUP($G952,Lijsten!L:P,MATCH(Lijsten!$P$1,Kop_Tarief_Vast,0),0))),""),"")</f>
        <v/>
      </c>
      <c r="P952" s="320" t="str" cm="1">
        <f t="array" ref="P952">_xlfn.IFNA(IF(INDEX(Tb_KostenOptiesDB[],MATCH($F952,Tb_KostenOptiesDB[KostenOptie],0),IFERROR(MATCH(Methode_Keuze,Tb_KostenOptiesDB[#Headers],0),2))=1,_xlfn.SWITCH($N952,"Uurtarief",IF(OR(AND(RIGHT($F952,3)="IKS",VLOOKUP($M952,DB_Loonkosten,2,0)="Ja"),AND(RIGHT($F952,3)&lt;&gt;"IKS",VLOOKUP($M952,DB_Loonkosten,2,0)="Nee")),IFERROR(VLOOKUP($M952,DB_Loonkosten,25,0),""),0),"Vast tarief",IF(LEFT(F952,8)="Bijdrage",VLOOKUP($F952,Tb_KostenTypen[],MATCH(Lijsten!$P$1,Tb_KostenTypen[#Headers],0),0),VLOOKUP($G952,Lijsten!L:P,MATCH(Lijsten!$P$1,Kop_Tarief_Vast,0),0))),""),"")</f>
        <v/>
      </c>
      <c r="Q952" s="359"/>
      <c r="R952" s="359"/>
      <c r="S952" s="321"/>
      <c r="T952" s="321"/>
      <c r="U952" s="373" t="str">
        <f t="shared" si="56"/>
        <v/>
      </c>
      <c r="V952" s="314" t="str">
        <f t="shared" si="57"/>
        <v/>
      </c>
      <c r="W952" s="314" t="str" cm="1">
        <f t="array" aca="1" ref="W952" ca="1">IFERROR(IF(AE952&lt;&gt;"ja",_xlfn.IFNA(_xlfn.IFS(AND(O952&lt;&gt;"",F952&lt;&gt;"",RIGHT($N952,6)="tarief",F952="Vergoeding"),SUM(O952)*FLOOR(SUM(Q952),0.0001),AND(O952&lt;&gt;"",F952&lt;&gt;"",RIGHT($N952,6)="tarief"),SUM(O952)*FLOOR(SUM(Q952),0.01),S952&gt;0,IF(F952&lt;&gt;"",FLOOR(SUM(S952),0.01),"")),""),""),"")</f>
        <v/>
      </c>
      <c r="X952" s="314" t="str" cm="1">
        <f t="array" aca="1" ref="X952" ca="1">IFERROR(IF(AE952&lt;&gt;"ja",_xlfn.IFNA(_xlfn.IFS(AND(P952&lt;&gt;"",R952&lt;&gt;"",RIGHT($N952,6)="tarief",F952="Vergoeding"),SUM(P952)*FLOOR(SUM(R952),0.0001),AND(P952&lt;&gt;"",R952&lt;&gt;"",RIGHT($N952,6)="tarief"),P952*FLOOR(R952,0.01),T952&gt;0,FLOOR(SUM(T952),0.01)),""),""),"")</f>
        <v/>
      </c>
      <c r="Y952" s="314" t="str">
        <f t="shared" ca="1" si="58"/>
        <v/>
      </c>
      <c r="Z952" s="314" t="str" cm="1">
        <f t="array" aca="1" ref="Z952" ca="1">IFERROR(_xlfn.IFS(OR(F952="",LEFT(Methode_Keuze,4)="Geen",Methode_Keuze=""),"",AND(W952&lt;&gt;"",F952&lt;&gt;"Arbeidskosten"),W952*VLOOKUP(F952,Tb_ProjectKosten[],MATCH(Tb_ProjectKosten[[#Headers],[Forfait_Percentage]],Tb_ProjectKosten[#Headers],0),0),AND(F952="Arbeidskosten",G952&lt;&gt;""),IFERROR(W952*VLOOKUP(G952,Tb_KostenTypen[],3,0)*VLOOKUP(F952,Tb_ProjectKosten[],MATCH(Tb_ProjectKosten[[#Headers],[Forfait_Percentage]],Tb_ProjectKosten[#Headers],0),0),""),W952 &lt;=0,0),"")</f>
        <v/>
      </c>
      <c r="AA952" s="314" t="str" cm="1">
        <f t="array" aca="1" ref="AA952" ca="1">IFERROR(_xlfn.IFS(OR(F952="",LEFT(Methode_Keuze,4)="Geen",Methode_Keuze=""),"",AND(X952&lt;&gt;"",F952&lt;&gt;"Arbeidskosten"),X952*VLOOKUP(F952,Tb_ProjectKosten[],MATCH(Tb_ProjectKosten[[#Headers],[Forfait_Percentage]],Tb_ProjectKosten[#Headers],0),0),AND(F952="Arbeidskosten",G952&lt;&gt;""),IFERROR(X952*VLOOKUP(G952,Tb_KostenTypen[],3,0)*VLOOKUP(F952,Tb_ProjectKosten[],MATCH(Tb_ProjectKosten[[#Headers],[Forfait_Percentage]],Tb_ProjectKosten[#Headers],0),0),""),X952 &lt;=0,0),"")</f>
        <v/>
      </c>
      <c r="AB952" s="314" t="str">
        <f t="shared" ca="1" si="59"/>
        <v/>
      </c>
      <c r="AC952" s="322"/>
      <c r="AD952" s="315"/>
      <c r="AE952" s="32" t="str" cm="1">
        <f t="array" ref="AE952">IFERROR(IF(INDEX(SubsidieTabel!$AD$1:$AG$12,MATCH($F952,SubsidieTabel!$AD$1:$AD$12,0),IFERROR(MATCH(Methode_Keuze,SubsidieTabel!$AD$1:$AG$1,0),2))&lt;&gt;1=TRUE,"ja",""),"")</f>
        <v/>
      </c>
    </row>
    <row r="953" spans="1:31" x14ac:dyDescent="0.25">
      <c r="A953" s="316"/>
      <c r="B953" s="317" t="str">
        <f>IF(A953&lt;&gt;"",_xlfn.MAXIFS($B$1:B952,$A$1:A952,A953)+1,"")</f>
        <v/>
      </c>
      <c r="C953" s="296"/>
      <c r="D953" s="296"/>
      <c r="E953" s="296"/>
      <c r="F953" s="296"/>
      <c r="G953" s="326"/>
      <c r="H953" s="324"/>
      <c r="I953" s="325"/>
      <c r="J953" s="325"/>
      <c r="K953" s="318"/>
      <c r="L953" s="318"/>
      <c r="M953" s="319" t="str">
        <f>IFERROR(VLOOKUP(H953,Lijsten!$H$1:$I$100,2,0),"")</f>
        <v/>
      </c>
      <c r="N953" s="319" t="str">
        <f ca="1">IFERROR(IF(VLOOKUP(F953,Kostentypen!$A$3:$E$21,3,0)=0,"",IF(OR(F953="Arbeidskosten",F953="Vergoeding"),VLOOKUP(G953,Tb_KostenTypen[],2,0),VLOOKUP(F953,Kostentypen!$A$3:$E$20,3,0))),"")</f>
        <v/>
      </c>
      <c r="O953" s="320" t="str" cm="1">
        <f t="array" ref="O953">_xlfn.IFNA(IF(INDEX(Tb_KostenOptiesDB[],MATCH($F953,Tb_KostenOptiesDB[KostenOptie],0),IFERROR(MATCH(Methode_Keuze,Tb_KostenOptiesDB[#Headers],0),2))=1,_xlfn.SWITCH($N953,"Uurtarief",IF(OR(AND(RIGHT($F953,3)="IKS",VLOOKUP($M953,DB_Loonkosten,2,0)="Ja"),AND(RIGHT($F953,3)&lt;&gt;"IKS",VLOOKUP($M953,DB_Loonkosten,2,0)="Nee")),IFERROR(VLOOKUP($M953,DB_Loonkosten,24,0),""),0),"Vast tarief",IF(LEFT(F953,8)="Bijdrage",VLOOKUP($F953,Tb_KostenTypen[],MATCH(Lijsten!$P$1,Tb_KostenTypen[#Headers],0),0),VLOOKUP($G953,Lijsten!L:P,MATCH(Lijsten!$P$1,Kop_Tarief_Vast,0),0))),""),"")</f>
        <v/>
      </c>
      <c r="P953" s="320" t="str" cm="1">
        <f t="array" ref="P953">_xlfn.IFNA(IF(INDEX(Tb_KostenOptiesDB[],MATCH($F953,Tb_KostenOptiesDB[KostenOptie],0),IFERROR(MATCH(Methode_Keuze,Tb_KostenOptiesDB[#Headers],0),2))=1,_xlfn.SWITCH($N953,"Uurtarief",IF(OR(AND(RIGHT($F953,3)="IKS",VLOOKUP($M953,DB_Loonkosten,2,0)="Ja"),AND(RIGHT($F953,3)&lt;&gt;"IKS",VLOOKUP($M953,DB_Loonkosten,2,0)="Nee")),IFERROR(VLOOKUP($M953,DB_Loonkosten,25,0),""),0),"Vast tarief",IF(LEFT(F953,8)="Bijdrage",VLOOKUP($F953,Tb_KostenTypen[],MATCH(Lijsten!$P$1,Tb_KostenTypen[#Headers],0),0),VLOOKUP($G953,Lijsten!L:P,MATCH(Lijsten!$P$1,Kop_Tarief_Vast,0),0))),""),"")</f>
        <v/>
      </c>
      <c r="Q953" s="359"/>
      <c r="R953" s="359"/>
      <c r="S953" s="321"/>
      <c r="T953" s="321"/>
      <c r="U953" s="373" t="str">
        <f t="shared" si="56"/>
        <v/>
      </c>
      <c r="V953" s="314" t="str">
        <f t="shared" si="57"/>
        <v/>
      </c>
      <c r="W953" s="314" t="str" cm="1">
        <f t="array" aca="1" ref="W953" ca="1">IFERROR(IF(AE953&lt;&gt;"ja",_xlfn.IFNA(_xlfn.IFS(AND(O953&lt;&gt;"",F953&lt;&gt;"",RIGHT($N953,6)="tarief",F953="Vergoeding"),SUM(O953)*FLOOR(SUM(Q953),0.0001),AND(O953&lt;&gt;"",F953&lt;&gt;"",RIGHT($N953,6)="tarief"),SUM(O953)*FLOOR(SUM(Q953),0.01),S953&gt;0,IF(F953&lt;&gt;"",FLOOR(SUM(S953),0.01),"")),""),""),"")</f>
        <v/>
      </c>
      <c r="X953" s="314" t="str" cm="1">
        <f t="array" aca="1" ref="X953" ca="1">IFERROR(IF(AE953&lt;&gt;"ja",_xlfn.IFNA(_xlfn.IFS(AND(P953&lt;&gt;"",R953&lt;&gt;"",RIGHT($N953,6)="tarief",F953="Vergoeding"),SUM(P953)*FLOOR(SUM(R953),0.0001),AND(P953&lt;&gt;"",R953&lt;&gt;"",RIGHT($N953,6)="tarief"),P953*FLOOR(R953,0.01),T953&gt;0,FLOOR(SUM(T953),0.01)),""),""),"")</f>
        <v/>
      </c>
      <c r="Y953" s="314" t="str">
        <f t="shared" ca="1" si="58"/>
        <v/>
      </c>
      <c r="Z953" s="314" t="str" cm="1">
        <f t="array" aca="1" ref="Z953" ca="1">IFERROR(_xlfn.IFS(OR(F953="",LEFT(Methode_Keuze,4)="Geen",Methode_Keuze=""),"",AND(W953&lt;&gt;"",F953&lt;&gt;"Arbeidskosten"),W953*VLOOKUP(F953,Tb_ProjectKosten[],MATCH(Tb_ProjectKosten[[#Headers],[Forfait_Percentage]],Tb_ProjectKosten[#Headers],0),0),AND(F953="Arbeidskosten",G953&lt;&gt;""),IFERROR(W953*VLOOKUP(G953,Tb_KostenTypen[],3,0)*VLOOKUP(F953,Tb_ProjectKosten[],MATCH(Tb_ProjectKosten[[#Headers],[Forfait_Percentage]],Tb_ProjectKosten[#Headers],0),0),""),W953 &lt;=0,0),"")</f>
        <v/>
      </c>
      <c r="AA953" s="314" t="str" cm="1">
        <f t="array" aca="1" ref="AA953" ca="1">IFERROR(_xlfn.IFS(OR(F953="",LEFT(Methode_Keuze,4)="Geen",Methode_Keuze=""),"",AND(X953&lt;&gt;"",F953&lt;&gt;"Arbeidskosten"),X953*VLOOKUP(F953,Tb_ProjectKosten[],MATCH(Tb_ProjectKosten[[#Headers],[Forfait_Percentage]],Tb_ProjectKosten[#Headers],0),0),AND(F953="Arbeidskosten",G953&lt;&gt;""),IFERROR(X953*VLOOKUP(G953,Tb_KostenTypen[],3,0)*VLOOKUP(F953,Tb_ProjectKosten[],MATCH(Tb_ProjectKosten[[#Headers],[Forfait_Percentage]],Tb_ProjectKosten[#Headers],0),0),""),X953 &lt;=0,0),"")</f>
        <v/>
      </c>
      <c r="AB953" s="314" t="str">
        <f t="shared" ca="1" si="59"/>
        <v/>
      </c>
      <c r="AC953" s="322"/>
      <c r="AD953" s="315"/>
      <c r="AE953" s="32" t="str" cm="1">
        <f t="array" ref="AE953">IFERROR(IF(INDEX(SubsidieTabel!$AD$1:$AG$12,MATCH($F953,SubsidieTabel!$AD$1:$AD$12,0),IFERROR(MATCH(Methode_Keuze,SubsidieTabel!$AD$1:$AG$1,0),2))&lt;&gt;1=TRUE,"ja",""),"")</f>
        <v/>
      </c>
    </row>
    <row r="954" spans="1:31" x14ac:dyDescent="0.25">
      <c r="A954" s="316"/>
      <c r="B954" s="317" t="str">
        <f>IF(A954&lt;&gt;"",_xlfn.MAXIFS($B$1:B953,$A$1:A953,A954)+1,"")</f>
        <v/>
      </c>
      <c r="C954" s="296"/>
      <c r="D954" s="296"/>
      <c r="E954" s="296"/>
      <c r="F954" s="296"/>
      <c r="G954" s="326"/>
      <c r="H954" s="324"/>
      <c r="I954" s="325"/>
      <c r="J954" s="325"/>
      <c r="K954" s="318"/>
      <c r="L954" s="318"/>
      <c r="M954" s="319" t="str">
        <f>IFERROR(VLOOKUP(H954,Lijsten!$H$1:$I$100,2,0),"")</f>
        <v/>
      </c>
      <c r="N954" s="319" t="str">
        <f ca="1">IFERROR(IF(VLOOKUP(F954,Kostentypen!$A$3:$E$21,3,0)=0,"",IF(OR(F954="Arbeidskosten",F954="Vergoeding"),VLOOKUP(G954,Tb_KostenTypen[],2,0),VLOOKUP(F954,Kostentypen!$A$3:$E$20,3,0))),"")</f>
        <v/>
      </c>
      <c r="O954" s="320" t="str" cm="1">
        <f t="array" ref="O954">_xlfn.IFNA(IF(INDEX(Tb_KostenOptiesDB[],MATCH($F954,Tb_KostenOptiesDB[KostenOptie],0),IFERROR(MATCH(Methode_Keuze,Tb_KostenOptiesDB[#Headers],0),2))=1,_xlfn.SWITCH($N954,"Uurtarief",IF(OR(AND(RIGHT($F954,3)="IKS",VLOOKUP($M954,DB_Loonkosten,2,0)="Ja"),AND(RIGHT($F954,3)&lt;&gt;"IKS",VLOOKUP($M954,DB_Loonkosten,2,0)="Nee")),IFERROR(VLOOKUP($M954,DB_Loonkosten,24,0),""),0),"Vast tarief",IF(LEFT(F954,8)="Bijdrage",VLOOKUP($F954,Tb_KostenTypen[],MATCH(Lijsten!$P$1,Tb_KostenTypen[#Headers],0),0),VLOOKUP($G954,Lijsten!L:P,MATCH(Lijsten!$P$1,Kop_Tarief_Vast,0),0))),""),"")</f>
        <v/>
      </c>
      <c r="P954" s="320" t="str" cm="1">
        <f t="array" ref="P954">_xlfn.IFNA(IF(INDEX(Tb_KostenOptiesDB[],MATCH($F954,Tb_KostenOptiesDB[KostenOptie],0),IFERROR(MATCH(Methode_Keuze,Tb_KostenOptiesDB[#Headers],0),2))=1,_xlfn.SWITCH($N954,"Uurtarief",IF(OR(AND(RIGHT($F954,3)="IKS",VLOOKUP($M954,DB_Loonkosten,2,0)="Ja"),AND(RIGHT($F954,3)&lt;&gt;"IKS",VLOOKUP($M954,DB_Loonkosten,2,0)="Nee")),IFERROR(VLOOKUP($M954,DB_Loonkosten,25,0),""),0),"Vast tarief",IF(LEFT(F954,8)="Bijdrage",VLOOKUP($F954,Tb_KostenTypen[],MATCH(Lijsten!$P$1,Tb_KostenTypen[#Headers],0),0),VLOOKUP($G954,Lijsten!L:P,MATCH(Lijsten!$P$1,Kop_Tarief_Vast,0),0))),""),"")</f>
        <v/>
      </c>
      <c r="Q954" s="359"/>
      <c r="R954" s="359"/>
      <c r="S954" s="321"/>
      <c r="T954" s="321"/>
      <c r="U954" s="373" t="str">
        <f t="shared" si="56"/>
        <v/>
      </c>
      <c r="V954" s="314" t="str">
        <f t="shared" si="57"/>
        <v/>
      </c>
      <c r="W954" s="314" t="str" cm="1">
        <f t="array" aca="1" ref="W954" ca="1">IFERROR(IF(AE954&lt;&gt;"ja",_xlfn.IFNA(_xlfn.IFS(AND(O954&lt;&gt;"",F954&lt;&gt;"",RIGHT($N954,6)="tarief",F954="Vergoeding"),SUM(O954)*FLOOR(SUM(Q954),0.0001),AND(O954&lt;&gt;"",F954&lt;&gt;"",RIGHT($N954,6)="tarief"),SUM(O954)*FLOOR(SUM(Q954),0.01),S954&gt;0,IF(F954&lt;&gt;"",FLOOR(SUM(S954),0.01),"")),""),""),"")</f>
        <v/>
      </c>
      <c r="X954" s="314" t="str" cm="1">
        <f t="array" aca="1" ref="X954" ca="1">IFERROR(IF(AE954&lt;&gt;"ja",_xlfn.IFNA(_xlfn.IFS(AND(P954&lt;&gt;"",R954&lt;&gt;"",RIGHT($N954,6)="tarief",F954="Vergoeding"),SUM(P954)*FLOOR(SUM(R954),0.0001),AND(P954&lt;&gt;"",R954&lt;&gt;"",RIGHT($N954,6)="tarief"),P954*FLOOR(R954,0.01),T954&gt;0,FLOOR(SUM(T954),0.01)),""),""),"")</f>
        <v/>
      </c>
      <c r="Y954" s="314" t="str">
        <f t="shared" ca="1" si="58"/>
        <v/>
      </c>
      <c r="Z954" s="314" t="str" cm="1">
        <f t="array" aca="1" ref="Z954" ca="1">IFERROR(_xlfn.IFS(OR(F954="",LEFT(Methode_Keuze,4)="Geen",Methode_Keuze=""),"",AND(W954&lt;&gt;"",F954&lt;&gt;"Arbeidskosten"),W954*VLOOKUP(F954,Tb_ProjectKosten[],MATCH(Tb_ProjectKosten[[#Headers],[Forfait_Percentage]],Tb_ProjectKosten[#Headers],0),0),AND(F954="Arbeidskosten",G954&lt;&gt;""),IFERROR(W954*VLOOKUP(G954,Tb_KostenTypen[],3,0)*VLOOKUP(F954,Tb_ProjectKosten[],MATCH(Tb_ProjectKosten[[#Headers],[Forfait_Percentage]],Tb_ProjectKosten[#Headers],0),0),""),W954 &lt;=0,0),"")</f>
        <v/>
      </c>
      <c r="AA954" s="314" t="str" cm="1">
        <f t="array" aca="1" ref="AA954" ca="1">IFERROR(_xlfn.IFS(OR(F954="",LEFT(Methode_Keuze,4)="Geen",Methode_Keuze=""),"",AND(X954&lt;&gt;"",F954&lt;&gt;"Arbeidskosten"),X954*VLOOKUP(F954,Tb_ProjectKosten[],MATCH(Tb_ProjectKosten[[#Headers],[Forfait_Percentage]],Tb_ProjectKosten[#Headers],0),0),AND(F954="Arbeidskosten",G954&lt;&gt;""),IFERROR(X954*VLOOKUP(G954,Tb_KostenTypen[],3,0)*VLOOKUP(F954,Tb_ProjectKosten[],MATCH(Tb_ProjectKosten[[#Headers],[Forfait_Percentage]],Tb_ProjectKosten[#Headers],0),0),""),X954 &lt;=0,0),"")</f>
        <v/>
      </c>
      <c r="AB954" s="314" t="str">
        <f t="shared" ca="1" si="59"/>
        <v/>
      </c>
      <c r="AC954" s="322"/>
      <c r="AD954" s="315"/>
      <c r="AE954" s="32" t="str" cm="1">
        <f t="array" ref="AE954">IFERROR(IF(INDEX(SubsidieTabel!$AD$1:$AG$12,MATCH($F954,SubsidieTabel!$AD$1:$AD$12,0),IFERROR(MATCH(Methode_Keuze,SubsidieTabel!$AD$1:$AG$1,0),2))&lt;&gt;1=TRUE,"ja",""),"")</f>
        <v/>
      </c>
    </row>
    <row r="955" spans="1:31" x14ac:dyDescent="0.25">
      <c r="A955" s="316"/>
      <c r="B955" s="317" t="str">
        <f>IF(A955&lt;&gt;"",_xlfn.MAXIFS($B$1:B954,$A$1:A954,A955)+1,"")</f>
        <v/>
      </c>
      <c r="C955" s="296"/>
      <c r="D955" s="296"/>
      <c r="E955" s="296"/>
      <c r="F955" s="296"/>
      <c r="G955" s="326"/>
      <c r="H955" s="324"/>
      <c r="I955" s="325"/>
      <c r="J955" s="325"/>
      <c r="K955" s="318"/>
      <c r="L955" s="318"/>
      <c r="M955" s="319" t="str">
        <f>IFERROR(VLOOKUP(H955,Lijsten!$H$1:$I$100,2,0),"")</f>
        <v/>
      </c>
      <c r="N955" s="319" t="str">
        <f ca="1">IFERROR(IF(VLOOKUP(F955,Kostentypen!$A$3:$E$21,3,0)=0,"",IF(OR(F955="Arbeidskosten",F955="Vergoeding"),VLOOKUP(G955,Tb_KostenTypen[],2,0),VLOOKUP(F955,Kostentypen!$A$3:$E$20,3,0))),"")</f>
        <v/>
      </c>
      <c r="O955" s="320" t="str" cm="1">
        <f t="array" ref="O955">_xlfn.IFNA(IF(INDEX(Tb_KostenOptiesDB[],MATCH($F955,Tb_KostenOptiesDB[KostenOptie],0),IFERROR(MATCH(Methode_Keuze,Tb_KostenOptiesDB[#Headers],0),2))=1,_xlfn.SWITCH($N955,"Uurtarief",IF(OR(AND(RIGHT($F955,3)="IKS",VLOOKUP($M955,DB_Loonkosten,2,0)="Ja"),AND(RIGHT($F955,3)&lt;&gt;"IKS",VLOOKUP($M955,DB_Loonkosten,2,0)="Nee")),IFERROR(VLOOKUP($M955,DB_Loonkosten,24,0),""),0),"Vast tarief",IF(LEFT(F955,8)="Bijdrage",VLOOKUP($F955,Tb_KostenTypen[],MATCH(Lijsten!$P$1,Tb_KostenTypen[#Headers],0),0),VLOOKUP($G955,Lijsten!L:P,MATCH(Lijsten!$P$1,Kop_Tarief_Vast,0),0))),""),"")</f>
        <v/>
      </c>
      <c r="P955" s="320" t="str" cm="1">
        <f t="array" ref="P955">_xlfn.IFNA(IF(INDEX(Tb_KostenOptiesDB[],MATCH($F955,Tb_KostenOptiesDB[KostenOptie],0),IFERROR(MATCH(Methode_Keuze,Tb_KostenOptiesDB[#Headers],0),2))=1,_xlfn.SWITCH($N955,"Uurtarief",IF(OR(AND(RIGHT($F955,3)="IKS",VLOOKUP($M955,DB_Loonkosten,2,0)="Ja"),AND(RIGHT($F955,3)&lt;&gt;"IKS",VLOOKUP($M955,DB_Loonkosten,2,0)="Nee")),IFERROR(VLOOKUP($M955,DB_Loonkosten,25,0),""),0),"Vast tarief",IF(LEFT(F955,8)="Bijdrage",VLOOKUP($F955,Tb_KostenTypen[],MATCH(Lijsten!$P$1,Tb_KostenTypen[#Headers],0),0),VLOOKUP($G955,Lijsten!L:P,MATCH(Lijsten!$P$1,Kop_Tarief_Vast,0),0))),""),"")</f>
        <v/>
      </c>
      <c r="Q955" s="359"/>
      <c r="R955" s="359"/>
      <c r="S955" s="321"/>
      <c r="T955" s="321"/>
      <c r="U955" s="373" t="str">
        <f t="shared" si="56"/>
        <v/>
      </c>
      <c r="V955" s="314" t="str">
        <f t="shared" si="57"/>
        <v/>
      </c>
      <c r="W955" s="314" t="str" cm="1">
        <f t="array" aca="1" ref="W955" ca="1">IFERROR(IF(AE955&lt;&gt;"ja",_xlfn.IFNA(_xlfn.IFS(AND(O955&lt;&gt;"",F955&lt;&gt;"",RIGHT($N955,6)="tarief",F955="Vergoeding"),SUM(O955)*FLOOR(SUM(Q955),0.0001),AND(O955&lt;&gt;"",F955&lt;&gt;"",RIGHT($N955,6)="tarief"),SUM(O955)*FLOOR(SUM(Q955),0.01),S955&gt;0,IF(F955&lt;&gt;"",FLOOR(SUM(S955),0.01),"")),""),""),"")</f>
        <v/>
      </c>
      <c r="X955" s="314" t="str" cm="1">
        <f t="array" aca="1" ref="X955" ca="1">IFERROR(IF(AE955&lt;&gt;"ja",_xlfn.IFNA(_xlfn.IFS(AND(P955&lt;&gt;"",R955&lt;&gt;"",RIGHT($N955,6)="tarief",F955="Vergoeding"),SUM(P955)*FLOOR(SUM(R955),0.0001),AND(P955&lt;&gt;"",R955&lt;&gt;"",RIGHT($N955,6)="tarief"),P955*FLOOR(R955,0.01),T955&gt;0,FLOOR(SUM(T955),0.01)),""),""),"")</f>
        <v/>
      </c>
      <c r="Y955" s="314" t="str">
        <f t="shared" ca="1" si="58"/>
        <v/>
      </c>
      <c r="Z955" s="314" t="str" cm="1">
        <f t="array" aca="1" ref="Z955" ca="1">IFERROR(_xlfn.IFS(OR(F955="",LEFT(Methode_Keuze,4)="Geen",Methode_Keuze=""),"",AND(W955&lt;&gt;"",F955&lt;&gt;"Arbeidskosten"),W955*VLOOKUP(F955,Tb_ProjectKosten[],MATCH(Tb_ProjectKosten[[#Headers],[Forfait_Percentage]],Tb_ProjectKosten[#Headers],0),0),AND(F955="Arbeidskosten",G955&lt;&gt;""),IFERROR(W955*VLOOKUP(G955,Tb_KostenTypen[],3,0)*VLOOKUP(F955,Tb_ProjectKosten[],MATCH(Tb_ProjectKosten[[#Headers],[Forfait_Percentage]],Tb_ProjectKosten[#Headers],0),0),""),W955 &lt;=0,0),"")</f>
        <v/>
      </c>
      <c r="AA955" s="314" t="str" cm="1">
        <f t="array" aca="1" ref="AA955" ca="1">IFERROR(_xlfn.IFS(OR(F955="",LEFT(Methode_Keuze,4)="Geen",Methode_Keuze=""),"",AND(X955&lt;&gt;"",F955&lt;&gt;"Arbeidskosten"),X955*VLOOKUP(F955,Tb_ProjectKosten[],MATCH(Tb_ProjectKosten[[#Headers],[Forfait_Percentage]],Tb_ProjectKosten[#Headers],0),0),AND(F955="Arbeidskosten",G955&lt;&gt;""),IFERROR(X955*VLOOKUP(G955,Tb_KostenTypen[],3,0)*VLOOKUP(F955,Tb_ProjectKosten[],MATCH(Tb_ProjectKosten[[#Headers],[Forfait_Percentage]],Tb_ProjectKosten[#Headers],0),0),""),X955 &lt;=0,0),"")</f>
        <v/>
      </c>
      <c r="AB955" s="314" t="str">
        <f t="shared" ca="1" si="59"/>
        <v/>
      </c>
      <c r="AC955" s="322"/>
      <c r="AD955" s="315"/>
      <c r="AE955" s="32" t="str" cm="1">
        <f t="array" ref="AE955">IFERROR(IF(INDEX(SubsidieTabel!$AD$1:$AG$12,MATCH($F955,SubsidieTabel!$AD$1:$AD$12,0),IFERROR(MATCH(Methode_Keuze,SubsidieTabel!$AD$1:$AG$1,0),2))&lt;&gt;1=TRUE,"ja",""),"")</f>
        <v/>
      </c>
    </row>
    <row r="956" spans="1:31" x14ac:dyDescent="0.25">
      <c r="A956" s="316"/>
      <c r="B956" s="317" t="str">
        <f>IF(A956&lt;&gt;"",_xlfn.MAXIFS($B$1:B955,$A$1:A955,A956)+1,"")</f>
        <v/>
      </c>
      <c r="C956" s="296"/>
      <c r="D956" s="296"/>
      <c r="E956" s="296"/>
      <c r="F956" s="296"/>
      <c r="G956" s="326"/>
      <c r="H956" s="324"/>
      <c r="I956" s="325"/>
      <c r="J956" s="325"/>
      <c r="K956" s="318"/>
      <c r="L956" s="318"/>
      <c r="M956" s="319" t="str">
        <f>IFERROR(VLOOKUP(H956,Lijsten!$H$1:$I$100,2,0),"")</f>
        <v/>
      </c>
      <c r="N956" s="319" t="str">
        <f ca="1">IFERROR(IF(VLOOKUP(F956,Kostentypen!$A$3:$E$21,3,0)=0,"",IF(OR(F956="Arbeidskosten",F956="Vergoeding"),VLOOKUP(G956,Tb_KostenTypen[],2,0),VLOOKUP(F956,Kostentypen!$A$3:$E$20,3,0))),"")</f>
        <v/>
      </c>
      <c r="O956" s="320" t="str" cm="1">
        <f t="array" ref="O956">_xlfn.IFNA(IF(INDEX(Tb_KostenOptiesDB[],MATCH($F956,Tb_KostenOptiesDB[KostenOptie],0),IFERROR(MATCH(Methode_Keuze,Tb_KostenOptiesDB[#Headers],0),2))=1,_xlfn.SWITCH($N956,"Uurtarief",IF(OR(AND(RIGHT($F956,3)="IKS",VLOOKUP($M956,DB_Loonkosten,2,0)="Ja"),AND(RIGHT($F956,3)&lt;&gt;"IKS",VLOOKUP($M956,DB_Loonkosten,2,0)="Nee")),IFERROR(VLOOKUP($M956,DB_Loonkosten,24,0),""),0),"Vast tarief",IF(LEFT(F956,8)="Bijdrage",VLOOKUP($F956,Tb_KostenTypen[],MATCH(Lijsten!$P$1,Tb_KostenTypen[#Headers],0),0),VLOOKUP($G956,Lijsten!L:P,MATCH(Lijsten!$P$1,Kop_Tarief_Vast,0),0))),""),"")</f>
        <v/>
      </c>
      <c r="P956" s="320" t="str" cm="1">
        <f t="array" ref="P956">_xlfn.IFNA(IF(INDEX(Tb_KostenOptiesDB[],MATCH($F956,Tb_KostenOptiesDB[KostenOptie],0),IFERROR(MATCH(Methode_Keuze,Tb_KostenOptiesDB[#Headers],0),2))=1,_xlfn.SWITCH($N956,"Uurtarief",IF(OR(AND(RIGHT($F956,3)="IKS",VLOOKUP($M956,DB_Loonkosten,2,0)="Ja"),AND(RIGHT($F956,3)&lt;&gt;"IKS",VLOOKUP($M956,DB_Loonkosten,2,0)="Nee")),IFERROR(VLOOKUP($M956,DB_Loonkosten,25,0),""),0),"Vast tarief",IF(LEFT(F956,8)="Bijdrage",VLOOKUP($F956,Tb_KostenTypen[],MATCH(Lijsten!$P$1,Tb_KostenTypen[#Headers],0),0),VLOOKUP($G956,Lijsten!L:P,MATCH(Lijsten!$P$1,Kop_Tarief_Vast,0),0))),""),"")</f>
        <v/>
      </c>
      <c r="Q956" s="359"/>
      <c r="R956" s="359"/>
      <c r="S956" s="321"/>
      <c r="T956" s="321"/>
      <c r="U956" s="373" t="str">
        <f t="shared" si="56"/>
        <v/>
      </c>
      <c r="V956" s="314" t="str">
        <f t="shared" si="57"/>
        <v/>
      </c>
      <c r="W956" s="314" t="str" cm="1">
        <f t="array" aca="1" ref="W956" ca="1">IFERROR(IF(AE956&lt;&gt;"ja",_xlfn.IFNA(_xlfn.IFS(AND(O956&lt;&gt;"",F956&lt;&gt;"",RIGHT($N956,6)="tarief",F956="Vergoeding"),SUM(O956)*FLOOR(SUM(Q956),0.0001),AND(O956&lt;&gt;"",F956&lt;&gt;"",RIGHT($N956,6)="tarief"),SUM(O956)*FLOOR(SUM(Q956),0.01),S956&gt;0,IF(F956&lt;&gt;"",FLOOR(SUM(S956),0.01),"")),""),""),"")</f>
        <v/>
      </c>
      <c r="X956" s="314" t="str" cm="1">
        <f t="array" aca="1" ref="X956" ca="1">IFERROR(IF(AE956&lt;&gt;"ja",_xlfn.IFNA(_xlfn.IFS(AND(P956&lt;&gt;"",R956&lt;&gt;"",RIGHT($N956,6)="tarief",F956="Vergoeding"),SUM(P956)*FLOOR(SUM(R956),0.0001),AND(P956&lt;&gt;"",R956&lt;&gt;"",RIGHT($N956,6)="tarief"),P956*FLOOR(R956,0.01),T956&gt;0,FLOOR(SUM(T956),0.01)),""),""),"")</f>
        <v/>
      </c>
      <c r="Y956" s="314" t="str">
        <f t="shared" ca="1" si="58"/>
        <v/>
      </c>
      <c r="Z956" s="314" t="str" cm="1">
        <f t="array" aca="1" ref="Z956" ca="1">IFERROR(_xlfn.IFS(OR(F956="",LEFT(Methode_Keuze,4)="Geen",Methode_Keuze=""),"",AND(W956&lt;&gt;"",F956&lt;&gt;"Arbeidskosten"),W956*VLOOKUP(F956,Tb_ProjectKosten[],MATCH(Tb_ProjectKosten[[#Headers],[Forfait_Percentage]],Tb_ProjectKosten[#Headers],0),0),AND(F956="Arbeidskosten",G956&lt;&gt;""),IFERROR(W956*VLOOKUP(G956,Tb_KostenTypen[],3,0)*VLOOKUP(F956,Tb_ProjectKosten[],MATCH(Tb_ProjectKosten[[#Headers],[Forfait_Percentage]],Tb_ProjectKosten[#Headers],0),0),""),W956 &lt;=0,0),"")</f>
        <v/>
      </c>
      <c r="AA956" s="314" t="str" cm="1">
        <f t="array" aca="1" ref="AA956" ca="1">IFERROR(_xlfn.IFS(OR(F956="",LEFT(Methode_Keuze,4)="Geen",Methode_Keuze=""),"",AND(X956&lt;&gt;"",F956&lt;&gt;"Arbeidskosten"),X956*VLOOKUP(F956,Tb_ProjectKosten[],MATCH(Tb_ProjectKosten[[#Headers],[Forfait_Percentage]],Tb_ProjectKosten[#Headers],0),0),AND(F956="Arbeidskosten",G956&lt;&gt;""),IFERROR(X956*VLOOKUP(G956,Tb_KostenTypen[],3,0)*VLOOKUP(F956,Tb_ProjectKosten[],MATCH(Tb_ProjectKosten[[#Headers],[Forfait_Percentage]],Tb_ProjectKosten[#Headers],0),0),""),X956 &lt;=0,0),"")</f>
        <v/>
      </c>
      <c r="AB956" s="314" t="str">
        <f t="shared" ca="1" si="59"/>
        <v/>
      </c>
      <c r="AC956" s="322"/>
      <c r="AD956" s="315"/>
      <c r="AE956" s="32" t="str" cm="1">
        <f t="array" ref="AE956">IFERROR(IF(INDEX(SubsidieTabel!$AD$1:$AG$12,MATCH($F956,SubsidieTabel!$AD$1:$AD$12,0),IFERROR(MATCH(Methode_Keuze,SubsidieTabel!$AD$1:$AG$1,0),2))&lt;&gt;1=TRUE,"ja",""),"")</f>
        <v/>
      </c>
    </row>
    <row r="957" spans="1:31" x14ac:dyDescent="0.25">
      <c r="A957" s="316"/>
      <c r="B957" s="317" t="str">
        <f>IF(A957&lt;&gt;"",_xlfn.MAXIFS($B$1:B956,$A$1:A956,A957)+1,"")</f>
        <v/>
      </c>
      <c r="C957" s="296"/>
      <c r="D957" s="296"/>
      <c r="E957" s="296"/>
      <c r="F957" s="296"/>
      <c r="G957" s="326"/>
      <c r="H957" s="324"/>
      <c r="I957" s="325"/>
      <c r="J957" s="325"/>
      <c r="K957" s="318"/>
      <c r="L957" s="318"/>
      <c r="M957" s="319" t="str">
        <f>IFERROR(VLOOKUP(H957,Lijsten!$H$1:$I$100,2,0),"")</f>
        <v/>
      </c>
      <c r="N957" s="319" t="str">
        <f ca="1">IFERROR(IF(VLOOKUP(F957,Kostentypen!$A$3:$E$21,3,0)=0,"",IF(OR(F957="Arbeidskosten",F957="Vergoeding"),VLOOKUP(G957,Tb_KostenTypen[],2,0),VLOOKUP(F957,Kostentypen!$A$3:$E$20,3,0))),"")</f>
        <v/>
      </c>
      <c r="O957" s="320" t="str" cm="1">
        <f t="array" ref="O957">_xlfn.IFNA(IF(INDEX(Tb_KostenOptiesDB[],MATCH($F957,Tb_KostenOptiesDB[KostenOptie],0),IFERROR(MATCH(Methode_Keuze,Tb_KostenOptiesDB[#Headers],0),2))=1,_xlfn.SWITCH($N957,"Uurtarief",IF(OR(AND(RIGHT($F957,3)="IKS",VLOOKUP($M957,DB_Loonkosten,2,0)="Ja"),AND(RIGHT($F957,3)&lt;&gt;"IKS",VLOOKUP($M957,DB_Loonkosten,2,0)="Nee")),IFERROR(VLOOKUP($M957,DB_Loonkosten,24,0),""),0),"Vast tarief",IF(LEFT(F957,8)="Bijdrage",VLOOKUP($F957,Tb_KostenTypen[],MATCH(Lijsten!$P$1,Tb_KostenTypen[#Headers],0),0),VLOOKUP($G957,Lijsten!L:P,MATCH(Lijsten!$P$1,Kop_Tarief_Vast,0),0))),""),"")</f>
        <v/>
      </c>
      <c r="P957" s="320" t="str" cm="1">
        <f t="array" ref="P957">_xlfn.IFNA(IF(INDEX(Tb_KostenOptiesDB[],MATCH($F957,Tb_KostenOptiesDB[KostenOptie],0),IFERROR(MATCH(Methode_Keuze,Tb_KostenOptiesDB[#Headers],0),2))=1,_xlfn.SWITCH($N957,"Uurtarief",IF(OR(AND(RIGHT($F957,3)="IKS",VLOOKUP($M957,DB_Loonkosten,2,0)="Ja"),AND(RIGHT($F957,3)&lt;&gt;"IKS",VLOOKUP($M957,DB_Loonkosten,2,0)="Nee")),IFERROR(VLOOKUP($M957,DB_Loonkosten,25,0),""),0),"Vast tarief",IF(LEFT(F957,8)="Bijdrage",VLOOKUP($F957,Tb_KostenTypen[],MATCH(Lijsten!$P$1,Tb_KostenTypen[#Headers],0),0),VLOOKUP($G957,Lijsten!L:P,MATCH(Lijsten!$P$1,Kop_Tarief_Vast,0),0))),""),"")</f>
        <v/>
      </c>
      <c r="Q957" s="359"/>
      <c r="R957" s="359"/>
      <c r="S957" s="321"/>
      <c r="T957" s="321"/>
      <c r="U957" s="373" t="str">
        <f t="shared" si="56"/>
        <v/>
      </c>
      <c r="V957" s="314" t="str">
        <f t="shared" si="57"/>
        <v/>
      </c>
      <c r="W957" s="314" t="str" cm="1">
        <f t="array" aca="1" ref="W957" ca="1">IFERROR(IF(AE957&lt;&gt;"ja",_xlfn.IFNA(_xlfn.IFS(AND(O957&lt;&gt;"",F957&lt;&gt;"",RIGHT($N957,6)="tarief",F957="Vergoeding"),SUM(O957)*FLOOR(SUM(Q957),0.0001),AND(O957&lt;&gt;"",F957&lt;&gt;"",RIGHT($N957,6)="tarief"),SUM(O957)*FLOOR(SUM(Q957),0.01),S957&gt;0,IF(F957&lt;&gt;"",FLOOR(SUM(S957),0.01),"")),""),""),"")</f>
        <v/>
      </c>
      <c r="X957" s="314" t="str" cm="1">
        <f t="array" aca="1" ref="X957" ca="1">IFERROR(IF(AE957&lt;&gt;"ja",_xlfn.IFNA(_xlfn.IFS(AND(P957&lt;&gt;"",R957&lt;&gt;"",RIGHT($N957,6)="tarief",F957="Vergoeding"),SUM(P957)*FLOOR(SUM(R957),0.0001),AND(P957&lt;&gt;"",R957&lt;&gt;"",RIGHT($N957,6)="tarief"),P957*FLOOR(R957,0.01),T957&gt;0,FLOOR(SUM(T957),0.01)),""),""),"")</f>
        <v/>
      </c>
      <c r="Y957" s="314" t="str">
        <f t="shared" ca="1" si="58"/>
        <v/>
      </c>
      <c r="Z957" s="314" t="str" cm="1">
        <f t="array" aca="1" ref="Z957" ca="1">IFERROR(_xlfn.IFS(OR(F957="",LEFT(Methode_Keuze,4)="Geen",Methode_Keuze=""),"",AND(W957&lt;&gt;"",F957&lt;&gt;"Arbeidskosten"),W957*VLOOKUP(F957,Tb_ProjectKosten[],MATCH(Tb_ProjectKosten[[#Headers],[Forfait_Percentage]],Tb_ProjectKosten[#Headers],0),0),AND(F957="Arbeidskosten",G957&lt;&gt;""),IFERROR(W957*VLOOKUP(G957,Tb_KostenTypen[],3,0)*VLOOKUP(F957,Tb_ProjectKosten[],MATCH(Tb_ProjectKosten[[#Headers],[Forfait_Percentage]],Tb_ProjectKosten[#Headers],0),0),""),W957 &lt;=0,0),"")</f>
        <v/>
      </c>
      <c r="AA957" s="314" t="str" cm="1">
        <f t="array" aca="1" ref="AA957" ca="1">IFERROR(_xlfn.IFS(OR(F957="",LEFT(Methode_Keuze,4)="Geen",Methode_Keuze=""),"",AND(X957&lt;&gt;"",F957&lt;&gt;"Arbeidskosten"),X957*VLOOKUP(F957,Tb_ProjectKosten[],MATCH(Tb_ProjectKosten[[#Headers],[Forfait_Percentage]],Tb_ProjectKosten[#Headers],0),0),AND(F957="Arbeidskosten",G957&lt;&gt;""),IFERROR(X957*VLOOKUP(G957,Tb_KostenTypen[],3,0)*VLOOKUP(F957,Tb_ProjectKosten[],MATCH(Tb_ProjectKosten[[#Headers],[Forfait_Percentage]],Tb_ProjectKosten[#Headers],0),0),""),X957 &lt;=0,0),"")</f>
        <v/>
      </c>
      <c r="AB957" s="314" t="str">
        <f t="shared" ca="1" si="59"/>
        <v/>
      </c>
      <c r="AC957" s="322"/>
      <c r="AD957" s="315"/>
      <c r="AE957" s="32" t="str" cm="1">
        <f t="array" ref="AE957">IFERROR(IF(INDEX(SubsidieTabel!$AD$1:$AG$12,MATCH($F957,SubsidieTabel!$AD$1:$AD$12,0),IFERROR(MATCH(Methode_Keuze,SubsidieTabel!$AD$1:$AG$1,0),2))&lt;&gt;1=TRUE,"ja",""),"")</f>
        <v/>
      </c>
    </row>
    <row r="958" spans="1:31" x14ac:dyDescent="0.25">
      <c r="A958" s="316"/>
      <c r="B958" s="317" t="str">
        <f>IF(A958&lt;&gt;"",_xlfn.MAXIFS($B$1:B957,$A$1:A957,A958)+1,"")</f>
        <v/>
      </c>
      <c r="C958" s="296"/>
      <c r="D958" s="296"/>
      <c r="E958" s="296"/>
      <c r="F958" s="296"/>
      <c r="G958" s="326"/>
      <c r="H958" s="324"/>
      <c r="I958" s="325"/>
      <c r="J958" s="325"/>
      <c r="K958" s="318"/>
      <c r="L958" s="318"/>
      <c r="M958" s="319" t="str">
        <f>IFERROR(VLOOKUP(H958,Lijsten!$H$1:$I$100,2,0),"")</f>
        <v/>
      </c>
      <c r="N958" s="319" t="str">
        <f ca="1">IFERROR(IF(VLOOKUP(F958,Kostentypen!$A$3:$E$21,3,0)=0,"",IF(OR(F958="Arbeidskosten",F958="Vergoeding"),VLOOKUP(G958,Tb_KostenTypen[],2,0),VLOOKUP(F958,Kostentypen!$A$3:$E$20,3,0))),"")</f>
        <v/>
      </c>
      <c r="O958" s="320" t="str" cm="1">
        <f t="array" ref="O958">_xlfn.IFNA(IF(INDEX(Tb_KostenOptiesDB[],MATCH($F958,Tb_KostenOptiesDB[KostenOptie],0),IFERROR(MATCH(Methode_Keuze,Tb_KostenOptiesDB[#Headers],0),2))=1,_xlfn.SWITCH($N958,"Uurtarief",IF(OR(AND(RIGHT($F958,3)="IKS",VLOOKUP($M958,DB_Loonkosten,2,0)="Ja"),AND(RIGHT($F958,3)&lt;&gt;"IKS",VLOOKUP($M958,DB_Loonkosten,2,0)="Nee")),IFERROR(VLOOKUP($M958,DB_Loonkosten,24,0),""),0),"Vast tarief",IF(LEFT(F958,8)="Bijdrage",VLOOKUP($F958,Tb_KostenTypen[],MATCH(Lijsten!$P$1,Tb_KostenTypen[#Headers],0),0),VLOOKUP($G958,Lijsten!L:P,MATCH(Lijsten!$P$1,Kop_Tarief_Vast,0),0))),""),"")</f>
        <v/>
      </c>
      <c r="P958" s="320" t="str" cm="1">
        <f t="array" ref="P958">_xlfn.IFNA(IF(INDEX(Tb_KostenOptiesDB[],MATCH($F958,Tb_KostenOptiesDB[KostenOptie],0),IFERROR(MATCH(Methode_Keuze,Tb_KostenOptiesDB[#Headers],0),2))=1,_xlfn.SWITCH($N958,"Uurtarief",IF(OR(AND(RIGHT($F958,3)="IKS",VLOOKUP($M958,DB_Loonkosten,2,0)="Ja"),AND(RIGHT($F958,3)&lt;&gt;"IKS",VLOOKUP($M958,DB_Loonkosten,2,0)="Nee")),IFERROR(VLOOKUP($M958,DB_Loonkosten,25,0),""),0),"Vast tarief",IF(LEFT(F958,8)="Bijdrage",VLOOKUP($F958,Tb_KostenTypen[],MATCH(Lijsten!$P$1,Tb_KostenTypen[#Headers],0),0),VLOOKUP($G958,Lijsten!L:P,MATCH(Lijsten!$P$1,Kop_Tarief_Vast,0),0))),""),"")</f>
        <v/>
      </c>
      <c r="Q958" s="359"/>
      <c r="R958" s="359"/>
      <c r="S958" s="321"/>
      <c r="T958" s="321"/>
      <c r="U958" s="373" t="str">
        <f t="shared" si="56"/>
        <v/>
      </c>
      <c r="V958" s="314" t="str">
        <f t="shared" si="57"/>
        <v/>
      </c>
      <c r="W958" s="314" t="str" cm="1">
        <f t="array" aca="1" ref="W958" ca="1">IFERROR(IF(AE958&lt;&gt;"ja",_xlfn.IFNA(_xlfn.IFS(AND(O958&lt;&gt;"",F958&lt;&gt;"",RIGHT($N958,6)="tarief",F958="Vergoeding"),SUM(O958)*FLOOR(SUM(Q958),0.0001),AND(O958&lt;&gt;"",F958&lt;&gt;"",RIGHT($N958,6)="tarief"),SUM(O958)*FLOOR(SUM(Q958),0.01),S958&gt;0,IF(F958&lt;&gt;"",FLOOR(SUM(S958),0.01),"")),""),""),"")</f>
        <v/>
      </c>
      <c r="X958" s="314" t="str" cm="1">
        <f t="array" aca="1" ref="X958" ca="1">IFERROR(IF(AE958&lt;&gt;"ja",_xlfn.IFNA(_xlfn.IFS(AND(P958&lt;&gt;"",R958&lt;&gt;"",RIGHT($N958,6)="tarief",F958="Vergoeding"),SUM(P958)*FLOOR(SUM(R958),0.0001),AND(P958&lt;&gt;"",R958&lt;&gt;"",RIGHT($N958,6)="tarief"),P958*FLOOR(R958,0.01),T958&gt;0,FLOOR(SUM(T958),0.01)),""),""),"")</f>
        <v/>
      </c>
      <c r="Y958" s="314" t="str">
        <f t="shared" ca="1" si="58"/>
        <v/>
      </c>
      <c r="Z958" s="314" t="str" cm="1">
        <f t="array" aca="1" ref="Z958" ca="1">IFERROR(_xlfn.IFS(OR(F958="",LEFT(Methode_Keuze,4)="Geen",Methode_Keuze=""),"",AND(W958&lt;&gt;"",F958&lt;&gt;"Arbeidskosten"),W958*VLOOKUP(F958,Tb_ProjectKosten[],MATCH(Tb_ProjectKosten[[#Headers],[Forfait_Percentage]],Tb_ProjectKosten[#Headers],0),0),AND(F958="Arbeidskosten",G958&lt;&gt;""),IFERROR(W958*VLOOKUP(G958,Tb_KostenTypen[],3,0)*VLOOKUP(F958,Tb_ProjectKosten[],MATCH(Tb_ProjectKosten[[#Headers],[Forfait_Percentage]],Tb_ProjectKosten[#Headers],0),0),""),W958 &lt;=0,0),"")</f>
        <v/>
      </c>
      <c r="AA958" s="314" t="str" cm="1">
        <f t="array" aca="1" ref="AA958" ca="1">IFERROR(_xlfn.IFS(OR(F958="",LEFT(Methode_Keuze,4)="Geen",Methode_Keuze=""),"",AND(X958&lt;&gt;"",F958&lt;&gt;"Arbeidskosten"),X958*VLOOKUP(F958,Tb_ProjectKosten[],MATCH(Tb_ProjectKosten[[#Headers],[Forfait_Percentage]],Tb_ProjectKosten[#Headers],0),0),AND(F958="Arbeidskosten",G958&lt;&gt;""),IFERROR(X958*VLOOKUP(G958,Tb_KostenTypen[],3,0)*VLOOKUP(F958,Tb_ProjectKosten[],MATCH(Tb_ProjectKosten[[#Headers],[Forfait_Percentage]],Tb_ProjectKosten[#Headers],0),0),""),X958 &lt;=0,0),"")</f>
        <v/>
      </c>
      <c r="AB958" s="314" t="str">
        <f t="shared" ca="1" si="59"/>
        <v/>
      </c>
      <c r="AC958" s="322"/>
      <c r="AD958" s="315"/>
      <c r="AE958" s="32" t="str" cm="1">
        <f t="array" ref="AE958">IFERROR(IF(INDEX(SubsidieTabel!$AD$1:$AG$12,MATCH($F958,SubsidieTabel!$AD$1:$AD$12,0),IFERROR(MATCH(Methode_Keuze,SubsidieTabel!$AD$1:$AG$1,0),2))&lt;&gt;1=TRUE,"ja",""),"")</f>
        <v/>
      </c>
    </row>
    <row r="959" spans="1:31" x14ac:dyDescent="0.25">
      <c r="A959" s="316"/>
      <c r="B959" s="317" t="str">
        <f>IF(A959&lt;&gt;"",_xlfn.MAXIFS($B$1:B958,$A$1:A958,A959)+1,"")</f>
        <v/>
      </c>
      <c r="C959" s="296"/>
      <c r="D959" s="296"/>
      <c r="E959" s="296"/>
      <c r="F959" s="296"/>
      <c r="G959" s="326"/>
      <c r="H959" s="324"/>
      <c r="I959" s="325"/>
      <c r="J959" s="325"/>
      <c r="K959" s="318"/>
      <c r="L959" s="318"/>
      <c r="M959" s="319" t="str">
        <f>IFERROR(VLOOKUP(H959,Lijsten!$H$1:$I$100,2,0),"")</f>
        <v/>
      </c>
      <c r="N959" s="319" t="str">
        <f ca="1">IFERROR(IF(VLOOKUP(F959,Kostentypen!$A$3:$E$21,3,0)=0,"",IF(OR(F959="Arbeidskosten",F959="Vergoeding"),VLOOKUP(G959,Tb_KostenTypen[],2,0),VLOOKUP(F959,Kostentypen!$A$3:$E$20,3,0))),"")</f>
        <v/>
      </c>
      <c r="O959" s="320" t="str" cm="1">
        <f t="array" ref="O959">_xlfn.IFNA(IF(INDEX(Tb_KostenOptiesDB[],MATCH($F959,Tb_KostenOptiesDB[KostenOptie],0),IFERROR(MATCH(Methode_Keuze,Tb_KostenOptiesDB[#Headers],0),2))=1,_xlfn.SWITCH($N959,"Uurtarief",IF(OR(AND(RIGHT($F959,3)="IKS",VLOOKUP($M959,DB_Loonkosten,2,0)="Ja"),AND(RIGHT($F959,3)&lt;&gt;"IKS",VLOOKUP($M959,DB_Loonkosten,2,0)="Nee")),IFERROR(VLOOKUP($M959,DB_Loonkosten,24,0),""),0),"Vast tarief",IF(LEFT(F959,8)="Bijdrage",VLOOKUP($F959,Tb_KostenTypen[],MATCH(Lijsten!$P$1,Tb_KostenTypen[#Headers],0),0),VLOOKUP($G959,Lijsten!L:P,MATCH(Lijsten!$P$1,Kop_Tarief_Vast,0),0))),""),"")</f>
        <v/>
      </c>
      <c r="P959" s="320" t="str" cm="1">
        <f t="array" ref="P959">_xlfn.IFNA(IF(INDEX(Tb_KostenOptiesDB[],MATCH($F959,Tb_KostenOptiesDB[KostenOptie],0),IFERROR(MATCH(Methode_Keuze,Tb_KostenOptiesDB[#Headers],0),2))=1,_xlfn.SWITCH($N959,"Uurtarief",IF(OR(AND(RIGHT($F959,3)="IKS",VLOOKUP($M959,DB_Loonkosten,2,0)="Ja"),AND(RIGHT($F959,3)&lt;&gt;"IKS",VLOOKUP($M959,DB_Loonkosten,2,0)="Nee")),IFERROR(VLOOKUP($M959,DB_Loonkosten,25,0),""),0),"Vast tarief",IF(LEFT(F959,8)="Bijdrage",VLOOKUP($F959,Tb_KostenTypen[],MATCH(Lijsten!$P$1,Tb_KostenTypen[#Headers],0),0),VLOOKUP($G959,Lijsten!L:P,MATCH(Lijsten!$P$1,Kop_Tarief_Vast,0),0))),""),"")</f>
        <v/>
      </c>
      <c r="Q959" s="359"/>
      <c r="R959" s="359"/>
      <c r="S959" s="321"/>
      <c r="T959" s="321"/>
      <c r="U959" s="373" t="str">
        <f t="shared" si="56"/>
        <v/>
      </c>
      <c r="V959" s="314" t="str">
        <f t="shared" si="57"/>
        <v/>
      </c>
      <c r="W959" s="314" t="str" cm="1">
        <f t="array" aca="1" ref="W959" ca="1">IFERROR(IF(AE959&lt;&gt;"ja",_xlfn.IFNA(_xlfn.IFS(AND(O959&lt;&gt;"",F959&lt;&gt;"",RIGHT($N959,6)="tarief",F959="Vergoeding"),SUM(O959)*FLOOR(SUM(Q959),0.0001),AND(O959&lt;&gt;"",F959&lt;&gt;"",RIGHT($N959,6)="tarief"),SUM(O959)*FLOOR(SUM(Q959),0.01),S959&gt;0,IF(F959&lt;&gt;"",FLOOR(SUM(S959),0.01),"")),""),""),"")</f>
        <v/>
      </c>
      <c r="X959" s="314" t="str" cm="1">
        <f t="array" aca="1" ref="X959" ca="1">IFERROR(IF(AE959&lt;&gt;"ja",_xlfn.IFNA(_xlfn.IFS(AND(P959&lt;&gt;"",R959&lt;&gt;"",RIGHT($N959,6)="tarief",F959="Vergoeding"),SUM(P959)*FLOOR(SUM(R959),0.0001),AND(P959&lt;&gt;"",R959&lt;&gt;"",RIGHT($N959,6)="tarief"),P959*FLOOR(R959,0.01),T959&gt;0,FLOOR(SUM(T959),0.01)),""),""),"")</f>
        <v/>
      </c>
      <c r="Y959" s="314" t="str">
        <f t="shared" ca="1" si="58"/>
        <v/>
      </c>
      <c r="Z959" s="314" t="str" cm="1">
        <f t="array" aca="1" ref="Z959" ca="1">IFERROR(_xlfn.IFS(OR(F959="",LEFT(Methode_Keuze,4)="Geen",Methode_Keuze=""),"",AND(W959&lt;&gt;"",F959&lt;&gt;"Arbeidskosten"),W959*VLOOKUP(F959,Tb_ProjectKosten[],MATCH(Tb_ProjectKosten[[#Headers],[Forfait_Percentage]],Tb_ProjectKosten[#Headers],0),0),AND(F959="Arbeidskosten",G959&lt;&gt;""),IFERROR(W959*VLOOKUP(G959,Tb_KostenTypen[],3,0)*VLOOKUP(F959,Tb_ProjectKosten[],MATCH(Tb_ProjectKosten[[#Headers],[Forfait_Percentage]],Tb_ProjectKosten[#Headers],0),0),""),W959 &lt;=0,0),"")</f>
        <v/>
      </c>
      <c r="AA959" s="314" t="str" cm="1">
        <f t="array" aca="1" ref="AA959" ca="1">IFERROR(_xlfn.IFS(OR(F959="",LEFT(Methode_Keuze,4)="Geen",Methode_Keuze=""),"",AND(X959&lt;&gt;"",F959&lt;&gt;"Arbeidskosten"),X959*VLOOKUP(F959,Tb_ProjectKosten[],MATCH(Tb_ProjectKosten[[#Headers],[Forfait_Percentage]],Tb_ProjectKosten[#Headers],0),0),AND(F959="Arbeidskosten",G959&lt;&gt;""),IFERROR(X959*VLOOKUP(G959,Tb_KostenTypen[],3,0)*VLOOKUP(F959,Tb_ProjectKosten[],MATCH(Tb_ProjectKosten[[#Headers],[Forfait_Percentage]],Tb_ProjectKosten[#Headers],0),0),""),X959 &lt;=0,0),"")</f>
        <v/>
      </c>
      <c r="AB959" s="314" t="str">
        <f t="shared" ca="1" si="59"/>
        <v/>
      </c>
      <c r="AC959" s="322"/>
      <c r="AD959" s="315"/>
      <c r="AE959" s="32" t="str" cm="1">
        <f t="array" ref="AE959">IFERROR(IF(INDEX(SubsidieTabel!$AD$1:$AG$12,MATCH($F959,SubsidieTabel!$AD$1:$AD$12,0),IFERROR(MATCH(Methode_Keuze,SubsidieTabel!$AD$1:$AG$1,0),2))&lt;&gt;1=TRUE,"ja",""),"")</f>
        <v/>
      </c>
    </row>
    <row r="960" spans="1:31" x14ac:dyDescent="0.25">
      <c r="A960" s="316"/>
      <c r="B960" s="317" t="str">
        <f>IF(A960&lt;&gt;"",_xlfn.MAXIFS($B$1:B959,$A$1:A959,A960)+1,"")</f>
        <v/>
      </c>
      <c r="C960" s="296"/>
      <c r="D960" s="296"/>
      <c r="E960" s="296"/>
      <c r="F960" s="296"/>
      <c r="G960" s="326"/>
      <c r="H960" s="324"/>
      <c r="I960" s="325"/>
      <c r="J960" s="325"/>
      <c r="K960" s="318"/>
      <c r="L960" s="318"/>
      <c r="M960" s="319" t="str">
        <f>IFERROR(VLOOKUP(H960,Lijsten!$H$1:$I$100,2,0),"")</f>
        <v/>
      </c>
      <c r="N960" s="319" t="str">
        <f ca="1">IFERROR(IF(VLOOKUP(F960,Kostentypen!$A$3:$E$21,3,0)=0,"",IF(OR(F960="Arbeidskosten",F960="Vergoeding"),VLOOKUP(G960,Tb_KostenTypen[],2,0),VLOOKUP(F960,Kostentypen!$A$3:$E$20,3,0))),"")</f>
        <v/>
      </c>
      <c r="O960" s="320" t="str" cm="1">
        <f t="array" ref="O960">_xlfn.IFNA(IF(INDEX(Tb_KostenOptiesDB[],MATCH($F960,Tb_KostenOptiesDB[KostenOptie],0),IFERROR(MATCH(Methode_Keuze,Tb_KostenOptiesDB[#Headers],0),2))=1,_xlfn.SWITCH($N960,"Uurtarief",IF(OR(AND(RIGHT($F960,3)="IKS",VLOOKUP($M960,DB_Loonkosten,2,0)="Ja"),AND(RIGHT($F960,3)&lt;&gt;"IKS",VLOOKUP($M960,DB_Loonkosten,2,0)="Nee")),IFERROR(VLOOKUP($M960,DB_Loonkosten,24,0),""),0),"Vast tarief",IF(LEFT(F960,8)="Bijdrage",VLOOKUP($F960,Tb_KostenTypen[],MATCH(Lijsten!$P$1,Tb_KostenTypen[#Headers],0),0),VLOOKUP($G960,Lijsten!L:P,MATCH(Lijsten!$P$1,Kop_Tarief_Vast,0),0))),""),"")</f>
        <v/>
      </c>
      <c r="P960" s="320" t="str" cm="1">
        <f t="array" ref="P960">_xlfn.IFNA(IF(INDEX(Tb_KostenOptiesDB[],MATCH($F960,Tb_KostenOptiesDB[KostenOptie],0),IFERROR(MATCH(Methode_Keuze,Tb_KostenOptiesDB[#Headers],0),2))=1,_xlfn.SWITCH($N960,"Uurtarief",IF(OR(AND(RIGHT($F960,3)="IKS",VLOOKUP($M960,DB_Loonkosten,2,0)="Ja"),AND(RIGHT($F960,3)&lt;&gt;"IKS",VLOOKUP($M960,DB_Loonkosten,2,0)="Nee")),IFERROR(VLOOKUP($M960,DB_Loonkosten,25,0),""),0),"Vast tarief",IF(LEFT(F960,8)="Bijdrage",VLOOKUP($F960,Tb_KostenTypen[],MATCH(Lijsten!$P$1,Tb_KostenTypen[#Headers],0),0),VLOOKUP($G960,Lijsten!L:P,MATCH(Lijsten!$P$1,Kop_Tarief_Vast,0),0))),""),"")</f>
        <v/>
      </c>
      <c r="Q960" s="359"/>
      <c r="R960" s="359"/>
      <c r="S960" s="321"/>
      <c r="T960" s="321"/>
      <c r="U960" s="373" t="str">
        <f t="shared" si="56"/>
        <v/>
      </c>
      <c r="V960" s="314" t="str">
        <f t="shared" si="57"/>
        <v/>
      </c>
      <c r="W960" s="314" t="str" cm="1">
        <f t="array" aca="1" ref="W960" ca="1">IFERROR(IF(AE960&lt;&gt;"ja",_xlfn.IFNA(_xlfn.IFS(AND(O960&lt;&gt;"",F960&lt;&gt;"",RIGHT($N960,6)="tarief",F960="Vergoeding"),SUM(O960)*FLOOR(SUM(Q960),0.0001),AND(O960&lt;&gt;"",F960&lt;&gt;"",RIGHT($N960,6)="tarief"),SUM(O960)*FLOOR(SUM(Q960),0.01),S960&gt;0,IF(F960&lt;&gt;"",FLOOR(SUM(S960),0.01),"")),""),""),"")</f>
        <v/>
      </c>
      <c r="X960" s="314" t="str" cm="1">
        <f t="array" aca="1" ref="X960" ca="1">IFERROR(IF(AE960&lt;&gt;"ja",_xlfn.IFNA(_xlfn.IFS(AND(P960&lt;&gt;"",R960&lt;&gt;"",RIGHT($N960,6)="tarief",F960="Vergoeding"),SUM(P960)*FLOOR(SUM(R960),0.0001),AND(P960&lt;&gt;"",R960&lt;&gt;"",RIGHT($N960,6)="tarief"),P960*FLOOR(R960,0.01),T960&gt;0,FLOOR(SUM(T960),0.01)),""),""),"")</f>
        <v/>
      </c>
      <c r="Y960" s="314" t="str">
        <f t="shared" ca="1" si="58"/>
        <v/>
      </c>
      <c r="Z960" s="314" t="str" cm="1">
        <f t="array" aca="1" ref="Z960" ca="1">IFERROR(_xlfn.IFS(OR(F960="",LEFT(Methode_Keuze,4)="Geen",Methode_Keuze=""),"",AND(W960&lt;&gt;"",F960&lt;&gt;"Arbeidskosten"),W960*VLOOKUP(F960,Tb_ProjectKosten[],MATCH(Tb_ProjectKosten[[#Headers],[Forfait_Percentage]],Tb_ProjectKosten[#Headers],0),0),AND(F960="Arbeidskosten",G960&lt;&gt;""),IFERROR(W960*VLOOKUP(G960,Tb_KostenTypen[],3,0)*VLOOKUP(F960,Tb_ProjectKosten[],MATCH(Tb_ProjectKosten[[#Headers],[Forfait_Percentage]],Tb_ProjectKosten[#Headers],0),0),""),W960 &lt;=0,0),"")</f>
        <v/>
      </c>
      <c r="AA960" s="314" t="str" cm="1">
        <f t="array" aca="1" ref="AA960" ca="1">IFERROR(_xlfn.IFS(OR(F960="",LEFT(Methode_Keuze,4)="Geen",Methode_Keuze=""),"",AND(X960&lt;&gt;"",F960&lt;&gt;"Arbeidskosten"),X960*VLOOKUP(F960,Tb_ProjectKosten[],MATCH(Tb_ProjectKosten[[#Headers],[Forfait_Percentage]],Tb_ProjectKosten[#Headers],0),0),AND(F960="Arbeidskosten",G960&lt;&gt;""),IFERROR(X960*VLOOKUP(G960,Tb_KostenTypen[],3,0)*VLOOKUP(F960,Tb_ProjectKosten[],MATCH(Tb_ProjectKosten[[#Headers],[Forfait_Percentage]],Tb_ProjectKosten[#Headers],0),0),""),X960 &lt;=0,0),"")</f>
        <v/>
      </c>
      <c r="AB960" s="314" t="str">
        <f t="shared" ca="1" si="59"/>
        <v/>
      </c>
      <c r="AC960" s="322"/>
      <c r="AD960" s="315"/>
      <c r="AE960" s="32" t="str" cm="1">
        <f t="array" ref="AE960">IFERROR(IF(INDEX(SubsidieTabel!$AD$1:$AG$12,MATCH($F960,SubsidieTabel!$AD$1:$AD$12,0),IFERROR(MATCH(Methode_Keuze,SubsidieTabel!$AD$1:$AG$1,0),2))&lt;&gt;1=TRUE,"ja",""),"")</f>
        <v/>
      </c>
    </row>
    <row r="961" spans="1:31" x14ac:dyDescent="0.25">
      <c r="A961" s="316"/>
      <c r="B961" s="317" t="str">
        <f>IF(A961&lt;&gt;"",_xlfn.MAXIFS($B$1:B960,$A$1:A960,A961)+1,"")</f>
        <v/>
      </c>
      <c r="C961" s="296"/>
      <c r="D961" s="296"/>
      <c r="E961" s="296"/>
      <c r="F961" s="296"/>
      <c r="G961" s="326"/>
      <c r="H961" s="324"/>
      <c r="I961" s="325"/>
      <c r="J961" s="325"/>
      <c r="K961" s="318"/>
      <c r="L961" s="318"/>
      <c r="M961" s="319" t="str">
        <f>IFERROR(VLOOKUP(H961,Lijsten!$H$1:$I$100,2,0),"")</f>
        <v/>
      </c>
      <c r="N961" s="319" t="str">
        <f ca="1">IFERROR(IF(VLOOKUP(F961,Kostentypen!$A$3:$E$21,3,0)=0,"",IF(OR(F961="Arbeidskosten",F961="Vergoeding"),VLOOKUP(G961,Tb_KostenTypen[],2,0),VLOOKUP(F961,Kostentypen!$A$3:$E$20,3,0))),"")</f>
        <v/>
      </c>
      <c r="O961" s="320" t="str" cm="1">
        <f t="array" ref="O961">_xlfn.IFNA(IF(INDEX(Tb_KostenOptiesDB[],MATCH($F961,Tb_KostenOptiesDB[KostenOptie],0),IFERROR(MATCH(Methode_Keuze,Tb_KostenOptiesDB[#Headers],0),2))=1,_xlfn.SWITCH($N961,"Uurtarief",IF(OR(AND(RIGHT($F961,3)="IKS",VLOOKUP($M961,DB_Loonkosten,2,0)="Ja"),AND(RIGHT($F961,3)&lt;&gt;"IKS",VLOOKUP($M961,DB_Loonkosten,2,0)="Nee")),IFERROR(VLOOKUP($M961,DB_Loonkosten,24,0),""),0),"Vast tarief",IF(LEFT(F961,8)="Bijdrage",VLOOKUP($F961,Tb_KostenTypen[],MATCH(Lijsten!$P$1,Tb_KostenTypen[#Headers],0),0),VLOOKUP($G961,Lijsten!L:P,MATCH(Lijsten!$P$1,Kop_Tarief_Vast,0),0))),""),"")</f>
        <v/>
      </c>
      <c r="P961" s="320" t="str" cm="1">
        <f t="array" ref="P961">_xlfn.IFNA(IF(INDEX(Tb_KostenOptiesDB[],MATCH($F961,Tb_KostenOptiesDB[KostenOptie],0),IFERROR(MATCH(Methode_Keuze,Tb_KostenOptiesDB[#Headers],0),2))=1,_xlfn.SWITCH($N961,"Uurtarief",IF(OR(AND(RIGHT($F961,3)="IKS",VLOOKUP($M961,DB_Loonkosten,2,0)="Ja"),AND(RIGHT($F961,3)&lt;&gt;"IKS",VLOOKUP($M961,DB_Loonkosten,2,0)="Nee")),IFERROR(VLOOKUP($M961,DB_Loonkosten,25,0),""),0),"Vast tarief",IF(LEFT(F961,8)="Bijdrage",VLOOKUP($F961,Tb_KostenTypen[],MATCH(Lijsten!$P$1,Tb_KostenTypen[#Headers],0),0),VLOOKUP($G961,Lijsten!L:P,MATCH(Lijsten!$P$1,Kop_Tarief_Vast,0),0))),""),"")</f>
        <v/>
      </c>
      <c r="Q961" s="359"/>
      <c r="R961" s="359"/>
      <c r="S961" s="321"/>
      <c r="T961" s="321"/>
      <c r="U961" s="373" t="str">
        <f t="shared" si="56"/>
        <v/>
      </c>
      <c r="V961" s="314" t="str">
        <f t="shared" si="57"/>
        <v/>
      </c>
      <c r="W961" s="314" t="str" cm="1">
        <f t="array" aca="1" ref="W961" ca="1">IFERROR(IF(AE961&lt;&gt;"ja",_xlfn.IFNA(_xlfn.IFS(AND(O961&lt;&gt;"",F961&lt;&gt;"",RIGHT($N961,6)="tarief",F961="Vergoeding"),SUM(O961)*FLOOR(SUM(Q961),0.0001),AND(O961&lt;&gt;"",F961&lt;&gt;"",RIGHT($N961,6)="tarief"),SUM(O961)*FLOOR(SUM(Q961),0.01),S961&gt;0,IF(F961&lt;&gt;"",FLOOR(SUM(S961),0.01),"")),""),""),"")</f>
        <v/>
      </c>
      <c r="X961" s="314" t="str" cm="1">
        <f t="array" aca="1" ref="X961" ca="1">IFERROR(IF(AE961&lt;&gt;"ja",_xlfn.IFNA(_xlfn.IFS(AND(P961&lt;&gt;"",R961&lt;&gt;"",RIGHT($N961,6)="tarief",F961="Vergoeding"),SUM(P961)*FLOOR(SUM(R961),0.0001),AND(P961&lt;&gt;"",R961&lt;&gt;"",RIGHT($N961,6)="tarief"),P961*FLOOR(R961,0.01),T961&gt;0,FLOOR(SUM(T961),0.01)),""),""),"")</f>
        <v/>
      </c>
      <c r="Y961" s="314" t="str">
        <f t="shared" ca="1" si="58"/>
        <v/>
      </c>
      <c r="Z961" s="314" t="str" cm="1">
        <f t="array" aca="1" ref="Z961" ca="1">IFERROR(_xlfn.IFS(OR(F961="",LEFT(Methode_Keuze,4)="Geen",Methode_Keuze=""),"",AND(W961&lt;&gt;"",F961&lt;&gt;"Arbeidskosten"),W961*VLOOKUP(F961,Tb_ProjectKosten[],MATCH(Tb_ProjectKosten[[#Headers],[Forfait_Percentage]],Tb_ProjectKosten[#Headers],0),0),AND(F961="Arbeidskosten",G961&lt;&gt;""),IFERROR(W961*VLOOKUP(G961,Tb_KostenTypen[],3,0)*VLOOKUP(F961,Tb_ProjectKosten[],MATCH(Tb_ProjectKosten[[#Headers],[Forfait_Percentage]],Tb_ProjectKosten[#Headers],0),0),""),W961 &lt;=0,0),"")</f>
        <v/>
      </c>
      <c r="AA961" s="314" t="str" cm="1">
        <f t="array" aca="1" ref="AA961" ca="1">IFERROR(_xlfn.IFS(OR(F961="",LEFT(Methode_Keuze,4)="Geen",Methode_Keuze=""),"",AND(X961&lt;&gt;"",F961&lt;&gt;"Arbeidskosten"),X961*VLOOKUP(F961,Tb_ProjectKosten[],MATCH(Tb_ProjectKosten[[#Headers],[Forfait_Percentage]],Tb_ProjectKosten[#Headers],0),0),AND(F961="Arbeidskosten",G961&lt;&gt;""),IFERROR(X961*VLOOKUP(G961,Tb_KostenTypen[],3,0)*VLOOKUP(F961,Tb_ProjectKosten[],MATCH(Tb_ProjectKosten[[#Headers],[Forfait_Percentage]],Tb_ProjectKosten[#Headers],0),0),""),X961 &lt;=0,0),"")</f>
        <v/>
      </c>
      <c r="AB961" s="314" t="str">
        <f t="shared" ca="1" si="59"/>
        <v/>
      </c>
      <c r="AC961" s="322"/>
      <c r="AD961" s="315"/>
      <c r="AE961" s="32" t="str" cm="1">
        <f t="array" ref="AE961">IFERROR(IF(INDEX(SubsidieTabel!$AD$1:$AG$12,MATCH($F961,SubsidieTabel!$AD$1:$AD$12,0),IFERROR(MATCH(Methode_Keuze,SubsidieTabel!$AD$1:$AG$1,0),2))&lt;&gt;1=TRUE,"ja",""),"")</f>
        <v/>
      </c>
    </row>
    <row r="962" spans="1:31" x14ac:dyDescent="0.25">
      <c r="A962" s="316"/>
      <c r="B962" s="317" t="str">
        <f>IF(A962&lt;&gt;"",_xlfn.MAXIFS($B$1:B961,$A$1:A961,A962)+1,"")</f>
        <v/>
      </c>
      <c r="C962" s="296"/>
      <c r="D962" s="296"/>
      <c r="E962" s="296"/>
      <c r="F962" s="296"/>
      <c r="G962" s="326"/>
      <c r="H962" s="324"/>
      <c r="I962" s="325"/>
      <c r="J962" s="325"/>
      <c r="K962" s="318"/>
      <c r="L962" s="318"/>
      <c r="M962" s="319" t="str">
        <f>IFERROR(VLOOKUP(H962,Lijsten!$H$1:$I$100,2,0),"")</f>
        <v/>
      </c>
      <c r="N962" s="319" t="str">
        <f ca="1">IFERROR(IF(VLOOKUP(F962,Kostentypen!$A$3:$E$21,3,0)=0,"",IF(OR(F962="Arbeidskosten",F962="Vergoeding"),VLOOKUP(G962,Tb_KostenTypen[],2,0),VLOOKUP(F962,Kostentypen!$A$3:$E$20,3,0))),"")</f>
        <v/>
      </c>
      <c r="O962" s="320" t="str" cm="1">
        <f t="array" ref="O962">_xlfn.IFNA(IF(INDEX(Tb_KostenOptiesDB[],MATCH($F962,Tb_KostenOptiesDB[KostenOptie],0),IFERROR(MATCH(Methode_Keuze,Tb_KostenOptiesDB[#Headers],0),2))=1,_xlfn.SWITCH($N962,"Uurtarief",IF(OR(AND(RIGHT($F962,3)="IKS",VLOOKUP($M962,DB_Loonkosten,2,0)="Ja"),AND(RIGHT($F962,3)&lt;&gt;"IKS",VLOOKUP($M962,DB_Loonkosten,2,0)="Nee")),IFERROR(VLOOKUP($M962,DB_Loonkosten,24,0),""),0),"Vast tarief",IF(LEFT(F962,8)="Bijdrage",VLOOKUP($F962,Tb_KostenTypen[],MATCH(Lijsten!$P$1,Tb_KostenTypen[#Headers],0),0),VLOOKUP($G962,Lijsten!L:P,MATCH(Lijsten!$P$1,Kop_Tarief_Vast,0),0))),""),"")</f>
        <v/>
      </c>
      <c r="P962" s="320" t="str" cm="1">
        <f t="array" ref="P962">_xlfn.IFNA(IF(INDEX(Tb_KostenOptiesDB[],MATCH($F962,Tb_KostenOptiesDB[KostenOptie],0),IFERROR(MATCH(Methode_Keuze,Tb_KostenOptiesDB[#Headers],0),2))=1,_xlfn.SWITCH($N962,"Uurtarief",IF(OR(AND(RIGHT($F962,3)="IKS",VLOOKUP($M962,DB_Loonkosten,2,0)="Ja"),AND(RIGHT($F962,3)&lt;&gt;"IKS",VLOOKUP($M962,DB_Loonkosten,2,0)="Nee")),IFERROR(VLOOKUP($M962,DB_Loonkosten,25,0),""),0),"Vast tarief",IF(LEFT(F962,8)="Bijdrage",VLOOKUP($F962,Tb_KostenTypen[],MATCH(Lijsten!$P$1,Tb_KostenTypen[#Headers],0),0),VLOOKUP($G962,Lijsten!L:P,MATCH(Lijsten!$P$1,Kop_Tarief_Vast,0),0))),""),"")</f>
        <v/>
      </c>
      <c r="Q962" s="359"/>
      <c r="R962" s="359"/>
      <c r="S962" s="321"/>
      <c r="T962" s="321"/>
      <c r="U962" s="373" t="str">
        <f t="shared" si="56"/>
        <v/>
      </c>
      <c r="V962" s="314" t="str">
        <f t="shared" si="57"/>
        <v/>
      </c>
      <c r="W962" s="314" t="str" cm="1">
        <f t="array" aca="1" ref="W962" ca="1">IFERROR(IF(AE962&lt;&gt;"ja",_xlfn.IFNA(_xlfn.IFS(AND(O962&lt;&gt;"",F962&lt;&gt;"",RIGHT($N962,6)="tarief",F962="Vergoeding"),SUM(O962)*FLOOR(SUM(Q962),0.0001),AND(O962&lt;&gt;"",F962&lt;&gt;"",RIGHT($N962,6)="tarief"),SUM(O962)*FLOOR(SUM(Q962),0.01),S962&gt;0,IF(F962&lt;&gt;"",FLOOR(SUM(S962),0.01),"")),""),""),"")</f>
        <v/>
      </c>
      <c r="X962" s="314" t="str" cm="1">
        <f t="array" aca="1" ref="X962" ca="1">IFERROR(IF(AE962&lt;&gt;"ja",_xlfn.IFNA(_xlfn.IFS(AND(P962&lt;&gt;"",R962&lt;&gt;"",RIGHT($N962,6)="tarief",F962="Vergoeding"),SUM(P962)*FLOOR(SUM(R962),0.0001),AND(P962&lt;&gt;"",R962&lt;&gt;"",RIGHT($N962,6)="tarief"),P962*FLOOR(R962,0.01),T962&gt;0,FLOOR(SUM(T962),0.01)),""),""),"")</f>
        <v/>
      </c>
      <c r="Y962" s="314" t="str">
        <f t="shared" ca="1" si="58"/>
        <v/>
      </c>
      <c r="Z962" s="314" t="str" cm="1">
        <f t="array" aca="1" ref="Z962" ca="1">IFERROR(_xlfn.IFS(OR(F962="",LEFT(Methode_Keuze,4)="Geen",Methode_Keuze=""),"",AND(W962&lt;&gt;"",F962&lt;&gt;"Arbeidskosten"),W962*VLOOKUP(F962,Tb_ProjectKosten[],MATCH(Tb_ProjectKosten[[#Headers],[Forfait_Percentage]],Tb_ProjectKosten[#Headers],0),0),AND(F962="Arbeidskosten",G962&lt;&gt;""),IFERROR(W962*VLOOKUP(G962,Tb_KostenTypen[],3,0)*VLOOKUP(F962,Tb_ProjectKosten[],MATCH(Tb_ProjectKosten[[#Headers],[Forfait_Percentage]],Tb_ProjectKosten[#Headers],0),0),""),W962 &lt;=0,0),"")</f>
        <v/>
      </c>
      <c r="AA962" s="314" t="str" cm="1">
        <f t="array" aca="1" ref="AA962" ca="1">IFERROR(_xlfn.IFS(OR(F962="",LEFT(Methode_Keuze,4)="Geen",Methode_Keuze=""),"",AND(X962&lt;&gt;"",F962&lt;&gt;"Arbeidskosten"),X962*VLOOKUP(F962,Tb_ProjectKosten[],MATCH(Tb_ProjectKosten[[#Headers],[Forfait_Percentage]],Tb_ProjectKosten[#Headers],0),0),AND(F962="Arbeidskosten",G962&lt;&gt;""),IFERROR(X962*VLOOKUP(G962,Tb_KostenTypen[],3,0)*VLOOKUP(F962,Tb_ProjectKosten[],MATCH(Tb_ProjectKosten[[#Headers],[Forfait_Percentage]],Tb_ProjectKosten[#Headers],0),0),""),X962 &lt;=0,0),"")</f>
        <v/>
      </c>
      <c r="AB962" s="314" t="str">
        <f t="shared" ca="1" si="59"/>
        <v/>
      </c>
      <c r="AC962" s="322"/>
      <c r="AD962" s="315"/>
      <c r="AE962" s="32" t="str" cm="1">
        <f t="array" ref="AE962">IFERROR(IF(INDEX(SubsidieTabel!$AD$1:$AG$12,MATCH($F962,SubsidieTabel!$AD$1:$AD$12,0),IFERROR(MATCH(Methode_Keuze,SubsidieTabel!$AD$1:$AG$1,0),2))&lt;&gt;1=TRUE,"ja",""),"")</f>
        <v/>
      </c>
    </row>
    <row r="963" spans="1:31" x14ac:dyDescent="0.25">
      <c r="A963" s="316"/>
      <c r="B963" s="317" t="str">
        <f>IF(A963&lt;&gt;"",_xlfn.MAXIFS($B$1:B962,$A$1:A962,A963)+1,"")</f>
        <v/>
      </c>
      <c r="C963" s="296"/>
      <c r="D963" s="296"/>
      <c r="E963" s="296"/>
      <c r="F963" s="296"/>
      <c r="G963" s="326"/>
      <c r="H963" s="324"/>
      <c r="I963" s="325"/>
      <c r="J963" s="325"/>
      <c r="K963" s="318"/>
      <c r="L963" s="318"/>
      <c r="M963" s="319" t="str">
        <f>IFERROR(VLOOKUP(H963,Lijsten!$H$1:$I$100,2,0),"")</f>
        <v/>
      </c>
      <c r="N963" s="319" t="str">
        <f ca="1">IFERROR(IF(VLOOKUP(F963,Kostentypen!$A$3:$E$21,3,0)=0,"",IF(OR(F963="Arbeidskosten",F963="Vergoeding"),VLOOKUP(G963,Tb_KostenTypen[],2,0),VLOOKUP(F963,Kostentypen!$A$3:$E$20,3,0))),"")</f>
        <v/>
      </c>
      <c r="O963" s="320" t="str" cm="1">
        <f t="array" ref="O963">_xlfn.IFNA(IF(INDEX(Tb_KostenOptiesDB[],MATCH($F963,Tb_KostenOptiesDB[KostenOptie],0),IFERROR(MATCH(Methode_Keuze,Tb_KostenOptiesDB[#Headers],0),2))=1,_xlfn.SWITCH($N963,"Uurtarief",IF(OR(AND(RIGHT($F963,3)="IKS",VLOOKUP($M963,DB_Loonkosten,2,0)="Ja"),AND(RIGHT($F963,3)&lt;&gt;"IKS",VLOOKUP($M963,DB_Loonkosten,2,0)="Nee")),IFERROR(VLOOKUP($M963,DB_Loonkosten,24,0),""),0),"Vast tarief",IF(LEFT(F963,8)="Bijdrage",VLOOKUP($F963,Tb_KostenTypen[],MATCH(Lijsten!$P$1,Tb_KostenTypen[#Headers],0),0),VLOOKUP($G963,Lijsten!L:P,MATCH(Lijsten!$P$1,Kop_Tarief_Vast,0),0))),""),"")</f>
        <v/>
      </c>
      <c r="P963" s="320" t="str" cm="1">
        <f t="array" ref="P963">_xlfn.IFNA(IF(INDEX(Tb_KostenOptiesDB[],MATCH($F963,Tb_KostenOptiesDB[KostenOptie],0),IFERROR(MATCH(Methode_Keuze,Tb_KostenOptiesDB[#Headers],0),2))=1,_xlfn.SWITCH($N963,"Uurtarief",IF(OR(AND(RIGHT($F963,3)="IKS",VLOOKUP($M963,DB_Loonkosten,2,0)="Ja"),AND(RIGHT($F963,3)&lt;&gt;"IKS",VLOOKUP($M963,DB_Loonkosten,2,0)="Nee")),IFERROR(VLOOKUP($M963,DB_Loonkosten,25,0),""),0),"Vast tarief",IF(LEFT(F963,8)="Bijdrage",VLOOKUP($F963,Tb_KostenTypen[],MATCH(Lijsten!$P$1,Tb_KostenTypen[#Headers],0),0),VLOOKUP($G963,Lijsten!L:P,MATCH(Lijsten!$P$1,Kop_Tarief_Vast,0),0))),""),"")</f>
        <v/>
      </c>
      <c r="Q963" s="359"/>
      <c r="R963" s="359"/>
      <c r="S963" s="321"/>
      <c r="T963" s="321"/>
      <c r="U963" s="373" t="str">
        <f t="shared" ref="U963:U1026" si="60">IFERROR(IF(AND(R963&lt;&gt;"",R963&lt;&gt;Q963),-1*(R963-Q963),""),"")</f>
        <v/>
      </c>
      <c r="V963" s="314" t="str">
        <f t="shared" ref="V963:V1026" si="61">IFERROR(IF(AND(T963&lt;&gt;"",T963&lt;&gt;S963),-1*(T963-S963),""),"")</f>
        <v/>
      </c>
      <c r="W963" s="314" t="str" cm="1">
        <f t="array" aca="1" ref="W963" ca="1">IFERROR(IF(AE963&lt;&gt;"ja",_xlfn.IFNA(_xlfn.IFS(AND(O963&lt;&gt;"",F963&lt;&gt;"",RIGHT($N963,6)="tarief",F963="Vergoeding"),SUM(O963)*FLOOR(SUM(Q963),0.0001),AND(O963&lt;&gt;"",F963&lt;&gt;"",RIGHT($N963,6)="tarief"),SUM(O963)*FLOOR(SUM(Q963),0.01),S963&gt;0,IF(F963&lt;&gt;"",FLOOR(SUM(S963),0.01),"")),""),""),"")</f>
        <v/>
      </c>
      <c r="X963" s="314" t="str" cm="1">
        <f t="array" aca="1" ref="X963" ca="1">IFERROR(IF(AE963&lt;&gt;"ja",_xlfn.IFNA(_xlfn.IFS(AND(P963&lt;&gt;"",R963&lt;&gt;"",RIGHT($N963,6)="tarief",F963="Vergoeding"),SUM(P963)*FLOOR(SUM(R963),0.0001),AND(P963&lt;&gt;"",R963&lt;&gt;"",RIGHT($N963,6)="tarief"),P963*FLOOR(R963,0.01),T963&gt;0,FLOOR(SUM(T963),0.01)),""),""),"")</f>
        <v/>
      </c>
      <c r="Y963" s="314" t="str">
        <f t="shared" ref="Y963:Y1026" ca="1" si="62">IFERROR(IF(AND(X963&lt;&gt;"",X963&lt;&gt;W963),-1*(X963-W963),""),"")</f>
        <v/>
      </c>
      <c r="Z963" s="314" t="str" cm="1">
        <f t="array" aca="1" ref="Z963" ca="1">IFERROR(_xlfn.IFS(OR(F963="",LEFT(Methode_Keuze,4)="Geen",Methode_Keuze=""),"",AND(W963&lt;&gt;"",F963&lt;&gt;"Arbeidskosten"),W963*VLOOKUP(F963,Tb_ProjectKosten[],MATCH(Tb_ProjectKosten[[#Headers],[Forfait_Percentage]],Tb_ProjectKosten[#Headers],0),0),AND(F963="Arbeidskosten",G963&lt;&gt;""),IFERROR(W963*VLOOKUP(G963,Tb_KostenTypen[],3,0)*VLOOKUP(F963,Tb_ProjectKosten[],MATCH(Tb_ProjectKosten[[#Headers],[Forfait_Percentage]],Tb_ProjectKosten[#Headers],0),0),""),W963 &lt;=0,0),"")</f>
        <v/>
      </c>
      <c r="AA963" s="314" t="str" cm="1">
        <f t="array" aca="1" ref="AA963" ca="1">IFERROR(_xlfn.IFS(OR(F963="",LEFT(Methode_Keuze,4)="Geen",Methode_Keuze=""),"",AND(X963&lt;&gt;"",F963&lt;&gt;"Arbeidskosten"),X963*VLOOKUP(F963,Tb_ProjectKosten[],MATCH(Tb_ProjectKosten[[#Headers],[Forfait_Percentage]],Tb_ProjectKosten[#Headers],0),0),AND(F963="Arbeidskosten",G963&lt;&gt;""),IFERROR(X963*VLOOKUP(G963,Tb_KostenTypen[],3,0)*VLOOKUP(F963,Tb_ProjectKosten[],MATCH(Tb_ProjectKosten[[#Headers],[Forfait_Percentage]],Tb_ProjectKosten[#Headers],0),0),""),X963 &lt;=0,0),"")</f>
        <v/>
      </c>
      <c r="AB963" s="314" t="str">
        <f t="shared" ref="AB963:AB1026" ca="1" si="63">IFERROR(IF(AND(AA963&lt;&gt;"",AA963&lt;&gt;Z963),-1*(AA963-Z963),""),"")</f>
        <v/>
      </c>
      <c r="AC963" s="322"/>
      <c r="AD963" s="315"/>
      <c r="AE963" s="32" t="str" cm="1">
        <f t="array" ref="AE963">IFERROR(IF(INDEX(SubsidieTabel!$AD$1:$AG$12,MATCH($F963,SubsidieTabel!$AD$1:$AD$12,0),IFERROR(MATCH(Methode_Keuze,SubsidieTabel!$AD$1:$AG$1,0),2))&lt;&gt;1=TRUE,"ja",""),"")</f>
        <v/>
      </c>
    </row>
    <row r="964" spans="1:31" x14ac:dyDescent="0.25">
      <c r="A964" s="316"/>
      <c r="B964" s="317" t="str">
        <f>IF(A964&lt;&gt;"",_xlfn.MAXIFS($B$1:B963,$A$1:A963,A964)+1,"")</f>
        <v/>
      </c>
      <c r="C964" s="296"/>
      <c r="D964" s="296"/>
      <c r="E964" s="296"/>
      <c r="F964" s="296"/>
      <c r="G964" s="326"/>
      <c r="H964" s="324"/>
      <c r="I964" s="325"/>
      <c r="J964" s="325"/>
      <c r="K964" s="318"/>
      <c r="L964" s="318"/>
      <c r="M964" s="319" t="str">
        <f>IFERROR(VLOOKUP(H964,Lijsten!$H$1:$I$100,2,0),"")</f>
        <v/>
      </c>
      <c r="N964" s="319" t="str">
        <f ca="1">IFERROR(IF(VLOOKUP(F964,Kostentypen!$A$3:$E$21,3,0)=0,"",IF(OR(F964="Arbeidskosten",F964="Vergoeding"),VLOOKUP(G964,Tb_KostenTypen[],2,0),VLOOKUP(F964,Kostentypen!$A$3:$E$20,3,0))),"")</f>
        <v/>
      </c>
      <c r="O964" s="320" t="str" cm="1">
        <f t="array" ref="O964">_xlfn.IFNA(IF(INDEX(Tb_KostenOptiesDB[],MATCH($F964,Tb_KostenOptiesDB[KostenOptie],0),IFERROR(MATCH(Methode_Keuze,Tb_KostenOptiesDB[#Headers],0),2))=1,_xlfn.SWITCH($N964,"Uurtarief",IF(OR(AND(RIGHT($F964,3)="IKS",VLOOKUP($M964,DB_Loonkosten,2,0)="Ja"),AND(RIGHT($F964,3)&lt;&gt;"IKS",VLOOKUP($M964,DB_Loonkosten,2,0)="Nee")),IFERROR(VLOOKUP($M964,DB_Loonkosten,24,0),""),0),"Vast tarief",IF(LEFT(F964,8)="Bijdrage",VLOOKUP($F964,Tb_KostenTypen[],MATCH(Lijsten!$P$1,Tb_KostenTypen[#Headers],0),0),VLOOKUP($G964,Lijsten!L:P,MATCH(Lijsten!$P$1,Kop_Tarief_Vast,0),0))),""),"")</f>
        <v/>
      </c>
      <c r="P964" s="320" t="str" cm="1">
        <f t="array" ref="P964">_xlfn.IFNA(IF(INDEX(Tb_KostenOptiesDB[],MATCH($F964,Tb_KostenOptiesDB[KostenOptie],0),IFERROR(MATCH(Methode_Keuze,Tb_KostenOptiesDB[#Headers],0),2))=1,_xlfn.SWITCH($N964,"Uurtarief",IF(OR(AND(RIGHT($F964,3)="IKS",VLOOKUP($M964,DB_Loonkosten,2,0)="Ja"),AND(RIGHT($F964,3)&lt;&gt;"IKS",VLOOKUP($M964,DB_Loonkosten,2,0)="Nee")),IFERROR(VLOOKUP($M964,DB_Loonkosten,25,0),""),0),"Vast tarief",IF(LEFT(F964,8)="Bijdrage",VLOOKUP($F964,Tb_KostenTypen[],MATCH(Lijsten!$P$1,Tb_KostenTypen[#Headers],0),0),VLOOKUP($G964,Lijsten!L:P,MATCH(Lijsten!$P$1,Kop_Tarief_Vast,0),0))),""),"")</f>
        <v/>
      </c>
      <c r="Q964" s="359"/>
      <c r="R964" s="359"/>
      <c r="S964" s="321"/>
      <c r="T964" s="321"/>
      <c r="U964" s="373" t="str">
        <f t="shared" si="60"/>
        <v/>
      </c>
      <c r="V964" s="314" t="str">
        <f t="shared" si="61"/>
        <v/>
      </c>
      <c r="W964" s="314" t="str" cm="1">
        <f t="array" aca="1" ref="W964" ca="1">IFERROR(IF(AE964&lt;&gt;"ja",_xlfn.IFNA(_xlfn.IFS(AND(O964&lt;&gt;"",F964&lt;&gt;"",RIGHT($N964,6)="tarief",F964="Vergoeding"),SUM(O964)*FLOOR(SUM(Q964),0.0001),AND(O964&lt;&gt;"",F964&lt;&gt;"",RIGHT($N964,6)="tarief"),SUM(O964)*FLOOR(SUM(Q964),0.01),S964&gt;0,IF(F964&lt;&gt;"",FLOOR(SUM(S964),0.01),"")),""),""),"")</f>
        <v/>
      </c>
      <c r="X964" s="314" t="str" cm="1">
        <f t="array" aca="1" ref="X964" ca="1">IFERROR(IF(AE964&lt;&gt;"ja",_xlfn.IFNA(_xlfn.IFS(AND(P964&lt;&gt;"",R964&lt;&gt;"",RIGHT($N964,6)="tarief",F964="Vergoeding"),SUM(P964)*FLOOR(SUM(R964),0.0001),AND(P964&lt;&gt;"",R964&lt;&gt;"",RIGHT($N964,6)="tarief"),P964*FLOOR(R964,0.01),T964&gt;0,FLOOR(SUM(T964),0.01)),""),""),"")</f>
        <v/>
      </c>
      <c r="Y964" s="314" t="str">
        <f t="shared" ca="1" si="62"/>
        <v/>
      </c>
      <c r="Z964" s="314" t="str" cm="1">
        <f t="array" aca="1" ref="Z964" ca="1">IFERROR(_xlfn.IFS(OR(F964="",LEFT(Methode_Keuze,4)="Geen",Methode_Keuze=""),"",AND(W964&lt;&gt;"",F964&lt;&gt;"Arbeidskosten"),W964*VLOOKUP(F964,Tb_ProjectKosten[],MATCH(Tb_ProjectKosten[[#Headers],[Forfait_Percentage]],Tb_ProjectKosten[#Headers],0),0),AND(F964="Arbeidskosten",G964&lt;&gt;""),IFERROR(W964*VLOOKUP(G964,Tb_KostenTypen[],3,0)*VLOOKUP(F964,Tb_ProjectKosten[],MATCH(Tb_ProjectKosten[[#Headers],[Forfait_Percentage]],Tb_ProjectKosten[#Headers],0),0),""),W964 &lt;=0,0),"")</f>
        <v/>
      </c>
      <c r="AA964" s="314" t="str" cm="1">
        <f t="array" aca="1" ref="AA964" ca="1">IFERROR(_xlfn.IFS(OR(F964="",LEFT(Methode_Keuze,4)="Geen",Methode_Keuze=""),"",AND(X964&lt;&gt;"",F964&lt;&gt;"Arbeidskosten"),X964*VLOOKUP(F964,Tb_ProjectKosten[],MATCH(Tb_ProjectKosten[[#Headers],[Forfait_Percentage]],Tb_ProjectKosten[#Headers],0),0),AND(F964="Arbeidskosten",G964&lt;&gt;""),IFERROR(X964*VLOOKUP(G964,Tb_KostenTypen[],3,0)*VLOOKUP(F964,Tb_ProjectKosten[],MATCH(Tb_ProjectKosten[[#Headers],[Forfait_Percentage]],Tb_ProjectKosten[#Headers],0),0),""),X964 &lt;=0,0),"")</f>
        <v/>
      </c>
      <c r="AB964" s="314" t="str">
        <f t="shared" ca="1" si="63"/>
        <v/>
      </c>
      <c r="AC964" s="322"/>
      <c r="AD964" s="315"/>
      <c r="AE964" s="32" t="str" cm="1">
        <f t="array" ref="AE964">IFERROR(IF(INDEX(SubsidieTabel!$AD$1:$AG$12,MATCH($F964,SubsidieTabel!$AD$1:$AD$12,0),IFERROR(MATCH(Methode_Keuze,SubsidieTabel!$AD$1:$AG$1,0),2))&lt;&gt;1=TRUE,"ja",""),"")</f>
        <v/>
      </c>
    </row>
    <row r="965" spans="1:31" x14ac:dyDescent="0.25">
      <c r="A965" s="316"/>
      <c r="B965" s="317" t="str">
        <f>IF(A965&lt;&gt;"",_xlfn.MAXIFS($B$1:B964,$A$1:A964,A965)+1,"")</f>
        <v/>
      </c>
      <c r="C965" s="296"/>
      <c r="D965" s="296"/>
      <c r="E965" s="296"/>
      <c r="F965" s="296"/>
      <c r="G965" s="326"/>
      <c r="H965" s="324"/>
      <c r="I965" s="325"/>
      <c r="J965" s="325"/>
      <c r="K965" s="318"/>
      <c r="L965" s="318"/>
      <c r="M965" s="319" t="str">
        <f>IFERROR(VLOOKUP(H965,Lijsten!$H$1:$I$100,2,0),"")</f>
        <v/>
      </c>
      <c r="N965" s="319" t="str">
        <f ca="1">IFERROR(IF(VLOOKUP(F965,Kostentypen!$A$3:$E$21,3,0)=0,"",IF(OR(F965="Arbeidskosten",F965="Vergoeding"),VLOOKUP(G965,Tb_KostenTypen[],2,0),VLOOKUP(F965,Kostentypen!$A$3:$E$20,3,0))),"")</f>
        <v/>
      </c>
      <c r="O965" s="320" t="str" cm="1">
        <f t="array" ref="O965">_xlfn.IFNA(IF(INDEX(Tb_KostenOptiesDB[],MATCH($F965,Tb_KostenOptiesDB[KostenOptie],0),IFERROR(MATCH(Methode_Keuze,Tb_KostenOptiesDB[#Headers],0),2))=1,_xlfn.SWITCH($N965,"Uurtarief",IF(OR(AND(RIGHT($F965,3)="IKS",VLOOKUP($M965,DB_Loonkosten,2,0)="Ja"),AND(RIGHT($F965,3)&lt;&gt;"IKS",VLOOKUP($M965,DB_Loonkosten,2,0)="Nee")),IFERROR(VLOOKUP($M965,DB_Loonkosten,24,0),""),0),"Vast tarief",IF(LEFT(F965,8)="Bijdrage",VLOOKUP($F965,Tb_KostenTypen[],MATCH(Lijsten!$P$1,Tb_KostenTypen[#Headers],0),0),VLOOKUP($G965,Lijsten!L:P,MATCH(Lijsten!$P$1,Kop_Tarief_Vast,0),0))),""),"")</f>
        <v/>
      </c>
      <c r="P965" s="320" t="str" cm="1">
        <f t="array" ref="P965">_xlfn.IFNA(IF(INDEX(Tb_KostenOptiesDB[],MATCH($F965,Tb_KostenOptiesDB[KostenOptie],0),IFERROR(MATCH(Methode_Keuze,Tb_KostenOptiesDB[#Headers],0),2))=1,_xlfn.SWITCH($N965,"Uurtarief",IF(OR(AND(RIGHT($F965,3)="IKS",VLOOKUP($M965,DB_Loonkosten,2,0)="Ja"),AND(RIGHT($F965,3)&lt;&gt;"IKS",VLOOKUP($M965,DB_Loonkosten,2,0)="Nee")),IFERROR(VLOOKUP($M965,DB_Loonkosten,25,0),""),0),"Vast tarief",IF(LEFT(F965,8)="Bijdrage",VLOOKUP($F965,Tb_KostenTypen[],MATCH(Lijsten!$P$1,Tb_KostenTypen[#Headers],0),0),VLOOKUP($G965,Lijsten!L:P,MATCH(Lijsten!$P$1,Kop_Tarief_Vast,0),0))),""),"")</f>
        <v/>
      </c>
      <c r="Q965" s="359"/>
      <c r="R965" s="359"/>
      <c r="S965" s="321"/>
      <c r="T965" s="321"/>
      <c r="U965" s="373" t="str">
        <f t="shared" si="60"/>
        <v/>
      </c>
      <c r="V965" s="314" t="str">
        <f t="shared" si="61"/>
        <v/>
      </c>
      <c r="W965" s="314" t="str" cm="1">
        <f t="array" aca="1" ref="W965" ca="1">IFERROR(IF(AE965&lt;&gt;"ja",_xlfn.IFNA(_xlfn.IFS(AND(O965&lt;&gt;"",F965&lt;&gt;"",RIGHT($N965,6)="tarief",F965="Vergoeding"),SUM(O965)*FLOOR(SUM(Q965),0.0001),AND(O965&lt;&gt;"",F965&lt;&gt;"",RIGHT($N965,6)="tarief"),SUM(O965)*FLOOR(SUM(Q965),0.01),S965&gt;0,IF(F965&lt;&gt;"",FLOOR(SUM(S965),0.01),"")),""),""),"")</f>
        <v/>
      </c>
      <c r="X965" s="314" t="str" cm="1">
        <f t="array" aca="1" ref="X965" ca="1">IFERROR(IF(AE965&lt;&gt;"ja",_xlfn.IFNA(_xlfn.IFS(AND(P965&lt;&gt;"",R965&lt;&gt;"",RIGHT($N965,6)="tarief",F965="Vergoeding"),SUM(P965)*FLOOR(SUM(R965),0.0001),AND(P965&lt;&gt;"",R965&lt;&gt;"",RIGHT($N965,6)="tarief"),P965*FLOOR(R965,0.01),T965&gt;0,FLOOR(SUM(T965),0.01)),""),""),"")</f>
        <v/>
      </c>
      <c r="Y965" s="314" t="str">
        <f t="shared" ca="1" si="62"/>
        <v/>
      </c>
      <c r="Z965" s="314" t="str" cm="1">
        <f t="array" aca="1" ref="Z965" ca="1">IFERROR(_xlfn.IFS(OR(F965="",LEFT(Methode_Keuze,4)="Geen",Methode_Keuze=""),"",AND(W965&lt;&gt;"",F965&lt;&gt;"Arbeidskosten"),W965*VLOOKUP(F965,Tb_ProjectKosten[],MATCH(Tb_ProjectKosten[[#Headers],[Forfait_Percentage]],Tb_ProjectKosten[#Headers],0),0),AND(F965="Arbeidskosten",G965&lt;&gt;""),IFERROR(W965*VLOOKUP(G965,Tb_KostenTypen[],3,0)*VLOOKUP(F965,Tb_ProjectKosten[],MATCH(Tb_ProjectKosten[[#Headers],[Forfait_Percentage]],Tb_ProjectKosten[#Headers],0),0),""),W965 &lt;=0,0),"")</f>
        <v/>
      </c>
      <c r="AA965" s="314" t="str" cm="1">
        <f t="array" aca="1" ref="AA965" ca="1">IFERROR(_xlfn.IFS(OR(F965="",LEFT(Methode_Keuze,4)="Geen",Methode_Keuze=""),"",AND(X965&lt;&gt;"",F965&lt;&gt;"Arbeidskosten"),X965*VLOOKUP(F965,Tb_ProjectKosten[],MATCH(Tb_ProjectKosten[[#Headers],[Forfait_Percentage]],Tb_ProjectKosten[#Headers],0),0),AND(F965="Arbeidskosten",G965&lt;&gt;""),IFERROR(X965*VLOOKUP(G965,Tb_KostenTypen[],3,0)*VLOOKUP(F965,Tb_ProjectKosten[],MATCH(Tb_ProjectKosten[[#Headers],[Forfait_Percentage]],Tb_ProjectKosten[#Headers],0),0),""),X965 &lt;=0,0),"")</f>
        <v/>
      </c>
      <c r="AB965" s="314" t="str">
        <f t="shared" ca="1" si="63"/>
        <v/>
      </c>
      <c r="AC965" s="322"/>
      <c r="AD965" s="315"/>
      <c r="AE965" s="32" t="str" cm="1">
        <f t="array" ref="AE965">IFERROR(IF(INDEX(SubsidieTabel!$AD$1:$AG$12,MATCH($F965,SubsidieTabel!$AD$1:$AD$12,0),IFERROR(MATCH(Methode_Keuze,SubsidieTabel!$AD$1:$AG$1,0),2))&lt;&gt;1=TRUE,"ja",""),"")</f>
        <v/>
      </c>
    </row>
    <row r="966" spans="1:31" x14ac:dyDescent="0.25">
      <c r="A966" s="316"/>
      <c r="B966" s="317" t="str">
        <f>IF(A966&lt;&gt;"",_xlfn.MAXIFS($B$1:B965,$A$1:A965,A966)+1,"")</f>
        <v/>
      </c>
      <c r="C966" s="296"/>
      <c r="D966" s="296"/>
      <c r="E966" s="296"/>
      <c r="F966" s="296"/>
      <c r="G966" s="326"/>
      <c r="H966" s="324"/>
      <c r="I966" s="325"/>
      <c r="J966" s="325"/>
      <c r="K966" s="318"/>
      <c r="L966" s="318"/>
      <c r="M966" s="319" t="str">
        <f>IFERROR(VLOOKUP(H966,Lijsten!$H$1:$I$100,2,0),"")</f>
        <v/>
      </c>
      <c r="N966" s="319" t="str">
        <f ca="1">IFERROR(IF(VLOOKUP(F966,Kostentypen!$A$3:$E$21,3,0)=0,"",IF(OR(F966="Arbeidskosten",F966="Vergoeding"),VLOOKUP(G966,Tb_KostenTypen[],2,0),VLOOKUP(F966,Kostentypen!$A$3:$E$20,3,0))),"")</f>
        <v/>
      </c>
      <c r="O966" s="320" t="str" cm="1">
        <f t="array" ref="O966">_xlfn.IFNA(IF(INDEX(Tb_KostenOptiesDB[],MATCH($F966,Tb_KostenOptiesDB[KostenOptie],0),IFERROR(MATCH(Methode_Keuze,Tb_KostenOptiesDB[#Headers],0),2))=1,_xlfn.SWITCH($N966,"Uurtarief",IF(OR(AND(RIGHT($F966,3)="IKS",VLOOKUP($M966,DB_Loonkosten,2,0)="Ja"),AND(RIGHT($F966,3)&lt;&gt;"IKS",VLOOKUP($M966,DB_Loonkosten,2,0)="Nee")),IFERROR(VLOOKUP($M966,DB_Loonkosten,24,0),""),0),"Vast tarief",IF(LEFT(F966,8)="Bijdrage",VLOOKUP($F966,Tb_KostenTypen[],MATCH(Lijsten!$P$1,Tb_KostenTypen[#Headers],0),0),VLOOKUP($G966,Lijsten!L:P,MATCH(Lijsten!$P$1,Kop_Tarief_Vast,0),0))),""),"")</f>
        <v/>
      </c>
      <c r="P966" s="320" t="str" cm="1">
        <f t="array" ref="P966">_xlfn.IFNA(IF(INDEX(Tb_KostenOptiesDB[],MATCH($F966,Tb_KostenOptiesDB[KostenOptie],0),IFERROR(MATCH(Methode_Keuze,Tb_KostenOptiesDB[#Headers],0),2))=1,_xlfn.SWITCH($N966,"Uurtarief",IF(OR(AND(RIGHT($F966,3)="IKS",VLOOKUP($M966,DB_Loonkosten,2,0)="Ja"),AND(RIGHT($F966,3)&lt;&gt;"IKS",VLOOKUP($M966,DB_Loonkosten,2,0)="Nee")),IFERROR(VLOOKUP($M966,DB_Loonkosten,25,0),""),0),"Vast tarief",IF(LEFT(F966,8)="Bijdrage",VLOOKUP($F966,Tb_KostenTypen[],MATCH(Lijsten!$P$1,Tb_KostenTypen[#Headers],0),0),VLOOKUP($G966,Lijsten!L:P,MATCH(Lijsten!$P$1,Kop_Tarief_Vast,0),0))),""),"")</f>
        <v/>
      </c>
      <c r="Q966" s="359"/>
      <c r="R966" s="359"/>
      <c r="S966" s="321"/>
      <c r="T966" s="321"/>
      <c r="U966" s="373" t="str">
        <f t="shared" si="60"/>
        <v/>
      </c>
      <c r="V966" s="314" t="str">
        <f t="shared" si="61"/>
        <v/>
      </c>
      <c r="W966" s="314" t="str" cm="1">
        <f t="array" aca="1" ref="W966" ca="1">IFERROR(IF(AE966&lt;&gt;"ja",_xlfn.IFNA(_xlfn.IFS(AND(O966&lt;&gt;"",F966&lt;&gt;"",RIGHT($N966,6)="tarief",F966="Vergoeding"),SUM(O966)*FLOOR(SUM(Q966),0.0001),AND(O966&lt;&gt;"",F966&lt;&gt;"",RIGHT($N966,6)="tarief"),SUM(O966)*FLOOR(SUM(Q966),0.01),S966&gt;0,IF(F966&lt;&gt;"",FLOOR(SUM(S966),0.01),"")),""),""),"")</f>
        <v/>
      </c>
      <c r="X966" s="314" t="str" cm="1">
        <f t="array" aca="1" ref="X966" ca="1">IFERROR(IF(AE966&lt;&gt;"ja",_xlfn.IFNA(_xlfn.IFS(AND(P966&lt;&gt;"",R966&lt;&gt;"",RIGHT($N966,6)="tarief",F966="Vergoeding"),SUM(P966)*FLOOR(SUM(R966),0.0001),AND(P966&lt;&gt;"",R966&lt;&gt;"",RIGHT($N966,6)="tarief"),P966*FLOOR(R966,0.01),T966&gt;0,FLOOR(SUM(T966),0.01)),""),""),"")</f>
        <v/>
      </c>
      <c r="Y966" s="314" t="str">
        <f t="shared" ca="1" si="62"/>
        <v/>
      </c>
      <c r="Z966" s="314" t="str" cm="1">
        <f t="array" aca="1" ref="Z966" ca="1">IFERROR(_xlfn.IFS(OR(F966="",LEFT(Methode_Keuze,4)="Geen",Methode_Keuze=""),"",AND(W966&lt;&gt;"",F966&lt;&gt;"Arbeidskosten"),W966*VLOOKUP(F966,Tb_ProjectKosten[],MATCH(Tb_ProjectKosten[[#Headers],[Forfait_Percentage]],Tb_ProjectKosten[#Headers],0),0),AND(F966="Arbeidskosten",G966&lt;&gt;""),IFERROR(W966*VLOOKUP(G966,Tb_KostenTypen[],3,0)*VLOOKUP(F966,Tb_ProjectKosten[],MATCH(Tb_ProjectKosten[[#Headers],[Forfait_Percentage]],Tb_ProjectKosten[#Headers],0),0),""),W966 &lt;=0,0),"")</f>
        <v/>
      </c>
      <c r="AA966" s="314" t="str" cm="1">
        <f t="array" aca="1" ref="AA966" ca="1">IFERROR(_xlfn.IFS(OR(F966="",LEFT(Methode_Keuze,4)="Geen",Methode_Keuze=""),"",AND(X966&lt;&gt;"",F966&lt;&gt;"Arbeidskosten"),X966*VLOOKUP(F966,Tb_ProjectKosten[],MATCH(Tb_ProjectKosten[[#Headers],[Forfait_Percentage]],Tb_ProjectKosten[#Headers],0),0),AND(F966="Arbeidskosten",G966&lt;&gt;""),IFERROR(X966*VLOOKUP(G966,Tb_KostenTypen[],3,0)*VLOOKUP(F966,Tb_ProjectKosten[],MATCH(Tb_ProjectKosten[[#Headers],[Forfait_Percentage]],Tb_ProjectKosten[#Headers],0),0),""),X966 &lt;=0,0),"")</f>
        <v/>
      </c>
      <c r="AB966" s="314" t="str">
        <f t="shared" ca="1" si="63"/>
        <v/>
      </c>
      <c r="AC966" s="322"/>
      <c r="AD966" s="315"/>
      <c r="AE966" s="32" t="str" cm="1">
        <f t="array" ref="AE966">IFERROR(IF(INDEX(SubsidieTabel!$AD$1:$AG$12,MATCH($F966,SubsidieTabel!$AD$1:$AD$12,0),IFERROR(MATCH(Methode_Keuze,SubsidieTabel!$AD$1:$AG$1,0),2))&lt;&gt;1=TRUE,"ja",""),"")</f>
        <v/>
      </c>
    </row>
    <row r="967" spans="1:31" x14ac:dyDescent="0.25">
      <c r="A967" s="316"/>
      <c r="B967" s="317" t="str">
        <f>IF(A967&lt;&gt;"",_xlfn.MAXIFS($B$1:B966,$A$1:A966,A967)+1,"")</f>
        <v/>
      </c>
      <c r="C967" s="296"/>
      <c r="D967" s="296"/>
      <c r="E967" s="296"/>
      <c r="F967" s="296"/>
      <c r="G967" s="326"/>
      <c r="H967" s="324"/>
      <c r="I967" s="325"/>
      <c r="J967" s="325"/>
      <c r="K967" s="318"/>
      <c r="L967" s="318"/>
      <c r="M967" s="319" t="str">
        <f>IFERROR(VLOOKUP(H967,Lijsten!$H$1:$I$100,2,0),"")</f>
        <v/>
      </c>
      <c r="N967" s="319" t="str">
        <f ca="1">IFERROR(IF(VLOOKUP(F967,Kostentypen!$A$3:$E$21,3,0)=0,"",IF(OR(F967="Arbeidskosten",F967="Vergoeding"),VLOOKUP(G967,Tb_KostenTypen[],2,0),VLOOKUP(F967,Kostentypen!$A$3:$E$20,3,0))),"")</f>
        <v/>
      </c>
      <c r="O967" s="320" t="str" cm="1">
        <f t="array" ref="O967">_xlfn.IFNA(IF(INDEX(Tb_KostenOptiesDB[],MATCH($F967,Tb_KostenOptiesDB[KostenOptie],0),IFERROR(MATCH(Methode_Keuze,Tb_KostenOptiesDB[#Headers],0),2))=1,_xlfn.SWITCH($N967,"Uurtarief",IF(OR(AND(RIGHT($F967,3)="IKS",VLOOKUP($M967,DB_Loonkosten,2,0)="Ja"),AND(RIGHT($F967,3)&lt;&gt;"IKS",VLOOKUP($M967,DB_Loonkosten,2,0)="Nee")),IFERROR(VLOOKUP($M967,DB_Loonkosten,24,0),""),0),"Vast tarief",IF(LEFT(F967,8)="Bijdrage",VLOOKUP($F967,Tb_KostenTypen[],MATCH(Lijsten!$P$1,Tb_KostenTypen[#Headers],0),0),VLOOKUP($G967,Lijsten!L:P,MATCH(Lijsten!$P$1,Kop_Tarief_Vast,0),0))),""),"")</f>
        <v/>
      </c>
      <c r="P967" s="320" t="str" cm="1">
        <f t="array" ref="P967">_xlfn.IFNA(IF(INDEX(Tb_KostenOptiesDB[],MATCH($F967,Tb_KostenOptiesDB[KostenOptie],0),IFERROR(MATCH(Methode_Keuze,Tb_KostenOptiesDB[#Headers],0),2))=1,_xlfn.SWITCH($N967,"Uurtarief",IF(OR(AND(RIGHT($F967,3)="IKS",VLOOKUP($M967,DB_Loonkosten,2,0)="Ja"),AND(RIGHT($F967,3)&lt;&gt;"IKS",VLOOKUP($M967,DB_Loonkosten,2,0)="Nee")),IFERROR(VLOOKUP($M967,DB_Loonkosten,25,0),""),0),"Vast tarief",IF(LEFT(F967,8)="Bijdrage",VLOOKUP($F967,Tb_KostenTypen[],MATCH(Lijsten!$P$1,Tb_KostenTypen[#Headers],0),0),VLOOKUP($G967,Lijsten!L:P,MATCH(Lijsten!$P$1,Kop_Tarief_Vast,0),0))),""),"")</f>
        <v/>
      </c>
      <c r="Q967" s="359"/>
      <c r="R967" s="359"/>
      <c r="S967" s="321"/>
      <c r="T967" s="321"/>
      <c r="U967" s="373" t="str">
        <f t="shared" si="60"/>
        <v/>
      </c>
      <c r="V967" s="314" t="str">
        <f t="shared" si="61"/>
        <v/>
      </c>
      <c r="W967" s="314" t="str" cm="1">
        <f t="array" aca="1" ref="W967" ca="1">IFERROR(IF(AE967&lt;&gt;"ja",_xlfn.IFNA(_xlfn.IFS(AND(O967&lt;&gt;"",F967&lt;&gt;"",RIGHT($N967,6)="tarief",F967="Vergoeding"),SUM(O967)*FLOOR(SUM(Q967),0.0001),AND(O967&lt;&gt;"",F967&lt;&gt;"",RIGHT($N967,6)="tarief"),SUM(O967)*FLOOR(SUM(Q967),0.01),S967&gt;0,IF(F967&lt;&gt;"",FLOOR(SUM(S967),0.01),"")),""),""),"")</f>
        <v/>
      </c>
      <c r="X967" s="314" t="str" cm="1">
        <f t="array" aca="1" ref="X967" ca="1">IFERROR(IF(AE967&lt;&gt;"ja",_xlfn.IFNA(_xlfn.IFS(AND(P967&lt;&gt;"",R967&lt;&gt;"",RIGHT($N967,6)="tarief",F967="Vergoeding"),SUM(P967)*FLOOR(SUM(R967),0.0001),AND(P967&lt;&gt;"",R967&lt;&gt;"",RIGHT($N967,6)="tarief"),P967*FLOOR(R967,0.01),T967&gt;0,FLOOR(SUM(T967),0.01)),""),""),"")</f>
        <v/>
      </c>
      <c r="Y967" s="314" t="str">
        <f t="shared" ca="1" si="62"/>
        <v/>
      </c>
      <c r="Z967" s="314" t="str" cm="1">
        <f t="array" aca="1" ref="Z967" ca="1">IFERROR(_xlfn.IFS(OR(F967="",LEFT(Methode_Keuze,4)="Geen",Methode_Keuze=""),"",AND(W967&lt;&gt;"",F967&lt;&gt;"Arbeidskosten"),W967*VLOOKUP(F967,Tb_ProjectKosten[],MATCH(Tb_ProjectKosten[[#Headers],[Forfait_Percentage]],Tb_ProjectKosten[#Headers],0),0),AND(F967="Arbeidskosten",G967&lt;&gt;""),IFERROR(W967*VLOOKUP(G967,Tb_KostenTypen[],3,0)*VLOOKUP(F967,Tb_ProjectKosten[],MATCH(Tb_ProjectKosten[[#Headers],[Forfait_Percentage]],Tb_ProjectKosten[#Headers],0),0),""),W967 &lt;=0,0),"")</f>
        <v/>
      </c>
      <c r="AA967" s="314" t="str" cm="1">
        <f t="array" aca="1" ref="AA967" ca="1">IFERROR(_xlfn.IFS(OR(F967="",LEFT(Methode_Keuze,4)="Geen",Methode_Keuze=""),"",AND(X967&lt;&gt;"",F967&lt;&gt;"Arbeidskosten"),X967*VLOOKUP(F967,Tb_ProjectKosten[],MATCH(Tb_ProjectKosten[[#Headers],[Forfait_Percentage]],Tb_ProjectKosten[#Headers],0),0),AND(F967="Arbeidskosten",G967&lt;&gt;""),IFERROR(X967*VLOOKUP(G967,Tb_KostenTypen[],3,0)*VLOOKUP(F967,Tb_ProjectKosten[],MATCH(Tb_ProjectKosten[[#Headers],[Forfait_Percentage]],Tb_ProjectKosten[#Headers],0),0),""),X967 &lt;=0,0),"")</f>
        <v/>
      </c>
      <c r="AB967" s="314" t="str">
        <f t="shared" ca="1" si="63"/>
        <v/>
      </c>
      <c r="AC967" s="322"/>
      <c r="AD967" s="315"/>
      <c r="AE967" s="32" t="str" cm="1">
        <f t="array" ref="AE967">IFERROR(IF(INDEX(SubsidieTabel!$AD$1:$AG$12,MATCH($F967,SubsidieTabel!$AD$1:$AD$12,0),IFERROR(MATCH(Methode_Keuze,SubsidieTabel!$AD$1:$AG$1,0),2))&lt;&gt;1=TRUE,"ja",""),"")</f>
        <v/>
      </c>
    </row>
    <row r="968" spans="1:31" x14ac:dyDescent="0.25">
      <c r="A968" s="316"/>
      <c r="B968" s="317" t="str">
        <f>IF(A968&lt;&gt;"",_xlfn.MAXIFS($B$1:B967,$A$1:A967,A968)+1,"")</f>
        <v/>
      </c>
      <c r="C968" s="296"/>
      <c r="D968" s="296"/>
      <c r="E968" s="296"/>
      <c r="F968" s="296"/>
      <c r="G968" s="326"/>
      <c r="H968" s="324"/>
      <c r="I968" s="325"/>
      <c r="J968" s="325"/>
      <c r="K968" s="318"/>
      <c r="L968" s="318"/>
      <c r="M968" s="319" t="str">
        <f>IFERROR(VLOOKUP(H968,Lijsten!$H$1:$I$100,2,0),"")</f>
        <v/>
      </c>
      <c r="N968" s="319" t="str">
        <f ca="1">IFERROR(IF(VLOOKUP(F968,Kostentypen!$A$3:$E$21,3,0)=0,"",IF(OR(F968="Arbeidskosten",F968="Vergoeding"),VLOOKUP(G968,Tb_KostenTypen[],2,0),VLOOKUP(F968,Kostentypen!$A$3:$E$20,3,0))),"")</f>
        <v/>
      </c>
      <c r="O968" s="320" t="str" cm="1">
        <f t="array" ref="O968">_xlfn.IFNA(IF(INDEX(Tb_KostenOptiesDB[],MATCH($F968,Tb_KostenOptiesDB[KostenOptie],0),IFERROR(MATCH(Methode_Keuze,Tb_KostenOptiesDB[#Headers],0),2))=1,_xlfn.SWITCH($N968,"Uurtarief",IF(OR(AND(RIGHT($F968,3)="IKS",VLOOKUP($M968,DB_Loonkosten,2,0)="Ja"),AND(RIGHT($F968,3)&lt;&gt;"IKS",VLOOKUP($M968,DB_Loonkosten,2,0)="Nee")),IFERROR(VLOOKUP($M968,DB_Loonkosten,24,0),""),0),"Vast tarief",IF(LEFT(F968,8)="Bijdrage",VLOOKUP($F968,Tb_KostenTypen[],MATCH(Lijsten!$P$1,Tb_KostenTypen[#Headers],0),0),VLOOKUP($G968,Lijsten!L:P,MATCH(Lijsten!$P$1,Kop_Tarief_Vast,0),0))),""),"")</f>
        <v/>
      </c>
      <c r="P968" s="320" t="str" cm="1">
        <f t="array" ref="P968">_xlfn.IFNA(IF(INDEX(Tb_KostenOptiesDB[],MATCH($F968,Tb_KostenOptiesDB[KostenOptie],0),IFERROR(MATCH(Methode_Keuze,Tb_KostenOptiesDB[#Headers],0),2))=1,_xlfn.SWITCH($N968,"Uurtarief",IF(OR(AND(RIGHT($F968,3)="IKS",VLOOKUP($M968,DB_Loonkosten,2,0)="Ja"),AND(RIGHT($F968,3)&lt;&gt;"IKS",VLOOKUP($M968,DB_Loonkosten,2,0)="Nee")),IFERROR(VLOOKUP($M968,DB_Loonkosten,25,0),""),0),"Vast tarief",IF(LEFT(F968,8)="Bijdrage",VLOOKUP($F968,Tb_KostenTypen[],MATCH(Lijsten!$P$1,Tb_KostenTypen[#Headers],0),0),VLOOKUP($G968,Lijsten!L:P,MATCH(Lijsten!$P$1,Kop_Tarief_Vast,0),0))),""),"")</f>
        <v/>
      </c>
      <c r="Q968" s="359"/>
      <c r="R968" s="359"/>
      <c r="S968" s="321"/>
      <c r="T968" s="321"/>
      <c r="U968" s="373" t="str">
        <f t="shared" si="60"/>
        <v/>
      </c>
      <c r="V968" s="314" t="str">
        <f t="shared" si="61"/>
        <v/>
      </c>
      <c r="W968" s="314" t="str" cm="1">
        <f t="array" aca="1" ref="W968" ca="1">IFERROR(IF(AE968&lt;&gt;"ja",_xlfn.IFNA(_xlfn.IFS(AND(O968&lt;&gt;"",F968&lt;&gt;"",RIGHT($N968,6)="tarief",F968="Vergoeding"),SUM(O968)*FLOOR(SUM(Q968),0.0001),AND(O968&lt;&gt;"",F968&lt;&gt;"",RIGHT($N968,6)="tarief"),SUM(O968)*FLOOR(SUM(Q968),0.01),S968&gt;0,IF(F968&lt;&gt;"",FLOOR(SUM(S968),0.01),"")),""),""),"")</f>
        <v/>
      </c>
      <c r="X968" s="314" t="str" cm="1">
        <f t="array" aca="1" ref="X968" ca="1">IFERROR(IF(AE968&lt;&gt;"ja",_xlfn.IFNA(_xlfn.IFS(AND(P968&lt;&gt;"",R968&lt;&gt;"",RIGHT($N968,6)="tarief",F968="Vergoeding"),SUM(P968)*FLOOR(SUM(R968),0.0001),AND(P968&lt;&gt;"",R968&lt;&gt;"",RIGHT($N968,6)="tarief"),P968*FLOOR(R968,0.01),T968&gt;0,FLOOR(SUM(T968),0.01)),""),""),"")</f>
        <v/>
      </c>
      <c r="Y968" s="314" t="str">
        <f t="shared" ca="1" si="62"/>
        <v/>
      </c>
      <c r="Z968" s="314" t="str" cm="1">
        <f t="array" aca="1" ref="Z968" ca="1">IFERROR(_xlfn.IFS(OR(F968="",LEFT(Methode_Keuze,4)="Geen",Methode_Keuze=""),"",AND(W968&lt;&gt;"",F968&lt;&gt;"Arbeidskosten"),W968*VLOOKUP(F968,Tb_ProjectKosten[],MATCH(Tb_ProjectKosten[[#Headers],[Forfait_Percentage]],Tb_ProjectKosten[#Headers],0),0),AND(F968="Arbeidskosten",G968&lt;&gt;""),IFERROR(W968*VLOOKUP(G968,Tb_KostenTypen[],3,0)*VLOOKUP(F968,Tb_ProjectKosten[],MATCH(Tb_ProjectKosten[[#Headers],[Forfait_Percentage]],Tb_ProjectKosten[#Headers],0),0),""),W968 &lt;=0,0),"")</f>
        <v/>
      </c>
      <c r="AA968" s="314" t="str" cm="1">
        <f t="array" aca="1" ref="AA968" ca="1">IFERROR(_xlfn.IFS(OR(F968="",LEFT(Methode_Keuze,4)="Geen",Methode_Keuze=""),"",AND(X968&lt;&gt;"",F968&lt;&gt;"Arbeidskosten"),X968*VLOOKUP(F968,Tb_ProjectKosten[],MATCH(Tb_ProjectKosten[[#Headers],[Forfait_Percentage]],Tb_ProjectKosten[#Headers],0),0),AND(F968="Arbeidskosten",G968&lt;&gt;""),IFERROR(X968*VLOOKUP(G968,Tb_KostenTypen[],3,0)*VLOOKUP(F968,Tb_ProjectKosten[],MATCH(Tb_ProjectKosten[[#Headers],[Forfait_Percentage]],Tb_ProjectKosten[#Headers],0),0),""),X968 &lt;=0,0),"")</f>
        <v/>
      </c>
      <c r="AB968" s="314" t="str">
        <f t="shared" ca="1" si="63"/>
        <v/>
      </c>
      <c r="AC968" s="322"/>
      <c r="AD968" s="315"/>
      <c r="AE968" s="32" t="str" cm="1">
        <f t="array" ref="AE968">IFERROR(IF(INDEX(SubsidieTabel!$AD$1:$AG$12,MATCH($F968,SubsidieTabel!$AD$1:$AD$12,0),IFERROR(MATCH(Methode_Keuze,SubsidieTabel!$AD$1:$AG$1,0),2))&lt;&gt;1=TRUE,"ja",""),"")</f>
        <v/>
      </c>
    </row>
    <row r="969" spans="1:31" x14ac:dyDescent="0.25">
      <c r="A969" s="316"/>
      <c r="B969" s="317" t="str">
        <f>IF(A969&lt;&gt;"",_xlfn.MAXIFS($B$1:B968,$A$1:A968,A969)+1,"")</f>
        <v/>
      </c>
      <c r="C969" s="296"/>
      <c r="D969" s="296"/>
      <c r="E969" s="296"/>
      <c r="F969" s="296"/>
      <c r="G969" s="326"/>
      <c r="H969" s="324"/>
      <c r="I969" s="325"/>
      <c r="J969" s="325"/>
      <c r="K969" s="318"/>
      <c r="L969" s="318"/>
      <c r="M969" s="319" t="str">
        <f>IFERROR(VLOOKUP(H969,Lijsten!$H$1:$I$100,2,0),"")</f>
        <v/>
      </c>
      <c r="N969" s="319" t="str">
        <f ca="1">IFERROR(IF(VLOOKUP(F969,Kostentypen!$A$3:$E$21,3,0)=0,"",IF(OR(F969="Arbeidskosten",F969="Vergoeding"),VLOOKUP(G969,Tb_KostenTypen[],2,0),VLOOKUP(F969,Kostentypen!$A$3:$E$20,3,0))),"")</f>
        <v/>
      </c>
      <c r="O969" s="320" t="str" cm="1">
        <f t="array" ref="O969">_xlfn.IFNA(IF(INDEX(Tb_KostenOptiesDB[],MATCH($F969,Tb_KostenOptiesDB[KostenOptie],0),IFERROR(MATCH(Methode_Keuze,Tb_KostenOptiesDB[#Headers],0),2))=1,_xlfn.SWITCH($N969,"Uurtarief",IF(OR(AND(RIGHT($F969,3)="IKS",VLOOKUP($M969,DB_Loonkosten,2,0)="Ja"),AND(RIGHT($F969,3)&lt;&gt;"IKS",VLOOKUP($M969,DB_Loonkosten,2,0)="Nee")),IFERROR(VLOOKUP($M969,DB_Loonkosten,24,0),""),0),"Vast tarief",IF(LEFT(F969,8)="Bijdrage",VLOOKUP($F969,Tb_KostenTypen[],MATCH(Lijsten!$P$1,Tb_KostenTypen[#Headers],0),0),VLOOKUP($G969,Lijsten!L:P,MATCH(Lijsten!$P$1,Kop_Tarief_Vast,0),0))),""),"")</f>
        <v/>
      </c>
      <c r="P969" s="320" t="str" cm="1">
        <f t="array" ref="P969">_xlfn.IFNA(IF(INDEX(Tb_KostenOptiesDB[],MATCH($F969,Tb_KostenOptiesDB[KostenOptie],0),IFERROR(MATCH(Methode_Keuze,Tb_KostenOptiesDB[#Headers],0),2))=1,_xlfn.SWITCH($N969,"Uurtarief",IF(OR(AND(RIGHT($F969,3)="IKS",VLOOKUP($M969,DB_Loonkosten,2,0)="Ja"),AND(RIGHT($F969,3)&lt;&gt;"IKS",VLOOKUP($M969,DB_Loonkosten,2,0)="Nee")),IFERROR(VLOOKUP($M969,DB_Loonkosten,25,0),""),0),"Vast tarief",IF(LEFT(F969,8)="Bijdrage",VLOOKUP($F969,Tb_KostenTypen[],MATCH(Lijsten!$P$1,Tb_KostenTypen[#Headers],0),0),VLOOKUP($G969,Lijsten!L:P,MATCH(Lijsten!$P$1,Kop_Tarief_Vast,0),0))),""),"")</f>
        <v/>
      </c>
      <c r="Q969" s="359"/>
      <c r="R969" s="359"/>
      <c r="S969" s="321"/>
      <c r="T969" s="321"/>
      <c r="U969" s="373" t="str">
        <f t="shared" si="60"/>
        <v/>
      </c>
      <c r="V969" s="314" t="str">
        <f t="shared" si="61"/>
        <v/>
      </c>
      <c r="W969" s="314" t="str" cm="1">
        <f t="array" aca="1" ref="W969" ca="1">IFERROR(IF(AE969&lt;&gt;"ja",_xlfn.IFNA(_xlfn.IFS(AND(O969&lt;&gt;"",F969&lt;&gt;"",RIGHT($N969,6)="tarief",F969="Vergoeding"),SUM(O969)*FLOOR(SUM(Q969),0.0001),AND(O969&lt;&gt;"",F969&lt;&gt;"",RIGHT($N969,6)="tarief"),SUM(O969)*FLOOR(SUM(Q969),0.01),S969&gt;0,IF(F969&lt;&gt;"",FLOOR(SUM(S969),0.01),"")),""),""),"")</f>
        <v/>
      </c>
      <c r="X969" s="314" t="str" cm="1">
        <f t="array" aca="1" ref="X969" ca="1">IFERROR(IF(AE969&lt;&gt;"ja",_xlfn.IFNA(_xlfn.IFS(AND(P969&lt;&gt;"",R969&lt;&gt;"",RIGHT($N969,6)="tarief",F969="Vergoeding"),SUM(P969)*FLOOR(SUM(R969),0.0001),AND(P969&lt;&gt;"",R969&lt;&gt;"",RIGHT($N969,6)="tarief"),P969*FLOOR(R969,0.01),T969&gt;0,FLOOR(SUM(T969),0.01)),""),""),"")</f>
        <v/>
      </c>
      <c r="Y969" s="314" t="str">
        <f t="shared" ca="1" si="62"/>
        <v/>
      </c>
      <c r="Z969" s="314" t="str" cm="1">
        <f t="array" aca="1" ref="Z969" ca="1">IFERROR(_xlfn.IFS(OR(F969="",LEFT(Methode_Keuze,4)="Geen",Methode_Keuze=""),"",AND(W969&lt;&gt;"",F969&lt;&gt;"Arbeidskosten"),W969*VLOOKUP(F969,Tb_ProjectKosten[],MATCH(Tb_ProjectKosten[[#Headers],[Forfait_Percentage]],Tb_ProjectKosten[#Headers],0),0),AND(F969="Arbeidskosten",G969&lt;&gt;""),IFERROR(W969*VLOOKUP(G969,Tb_KostenTypen[],3,0)*VLOOKUP(F969,Tb_ProjectKosten[],MATCH(Tb_ProjectKosten[[#Headers],[Forfait_Percentage]],Tb_ProjectKosten[#Headers],0),0),""),W969 &lt;=0,0),"")</f>
        <v/>
      </c>
      <c r="AA969" s="314" t="str" cm="1">
        <f t="array" aca="1" ref="AA969" ca="1">IFERROR(_xlfn.IFS(OR(F969="",LEFT(Methode_Keuze,4)="Geen",Methode_Keuze=""),"",AND(X969&lt;&gt;"",F969&lt;&gt;"Arbeidskosten"),X969*VLOOKUP(F969,Tb_ProjectKosten[],MATCH(Tb_ProjectKosten[[#Headers],[Forfait_Percentage]],Tb_ProjectKosten[#Headers],0),0),AND(F969="Arbeidskosten",G969&lt;&gt;""),IFERROR(X969*VLOOKUP(G969,Tb_KostenTypen[],3,0)*VLOOKUP(F969,Tb_ProjectKosten[],MATCH(Tb_ProjectKosten[[#Headers],[Forfait_Percentage]],Tb_ProjectKosten[#Headers],0),0),""),X969 &lt;=0,0),"")</f>
        <v/>
      </c>
      <c r="AB969" s="314" t="str">
        <f t="shared" ca="1" si="63"/>
        <v/>
      </c>
      <c r="AC969" s="322"/>
      <c r="AD969" s="315"/>
      <c r="AE969" s="32" t="str" cm="1">
        <f t="array" ref="AE969">IFERROR(IF(INDEX(SubsidieTabel!$AD$1:$AG$12,MATCH($F969,SubsidieTabel!$AD$1:$AD$12,0),IFERROR(MATCH(Methode_Keuze,SubsidieTabel!$AD$1:$AG$1,0),2))&lt;&gt;1=TRUE,"ja",""),"")</f>
        <v/>
      </c>
    </row>
    <row r="970" spans="1:31" x14ac:dyDescent="0.25">
      <c r="A970" s="316"/>
      <c r="B970" s="317" t="str">
        <f>IF(A970&lt;&gt;"",_xlfn.MAXIFS($B$1:B969,$A$1:A969,A970)+1,"")</f>
        <v/>
      </c>
      <c r="C970" s="296"/>
      <c r="D970" s="296"/>
      <c r="E970" s="296"/>
      <c r="F970" s="296"/>
      <c r="G970" s="326"/>
      <c r="H970" s="324"/>
      <c r="I970" s="325"/>
      <c r="J970" s="325"/>
      <c r="K970" s="318"/>
      <c r="L970" s="318"/>
      <c r="M970" s="319" t="str">
        <f>IFERROR(VLOOKUP(H970,Lijsten!$H$1:$I$100,2,0),"")</f>
        <v/>
      </c>
      <c r="N970" s="319" t="str">
        <f ca="1">IFERROR(IF(VLOOKUP(F970,Kostentypen!$A$3:$E$21,3,0)=0,"",IF(OR(F970="Arbeidskosten",F970="Vergoeding"),VLOOKUP(G970,Tb_KostenTypen[],2,0),VLOOKUP(F970,Kostentypen!$A$3:$E$20,3,0))),"")</f>
        <v/>
      </c>
      <c r="O970" s="320" t="str" cm="1">
        <f t="array" ref="O970">_xlfn.IFNA(IF(INDEX(Tb_KostenOptiesDB[],MATCH($F970,Tb_KostenOptiesDB[KostenOptie],0),IFERROR(MATCH(Methode_Keuze,Tb_KostenOptiesDB[#Headers],0),2))=1,_xlfn.SWITCH($N970,"Uurtarief",IF(OR(AND(RIGHT($F970,3)="IKS",VLOOKUP($M970,DB_Loonkosten,2,0)="Ja"),AND(RIGHT($F970,3)&lt;&gt;"IKS",VLOOKUP($M970,DB_Loonkosten,2,0)="Nee")),IFERROR(VLOOKUP($M970,DB_Loonkosten,24,0),""),0),"Vast tarief",IF(LEFT(F970,8)="Bijdrage",VLOOKUP($F970,Tb_KostenTypen[],MATCH(Lijsten!$P$1,Tb_KostenTypen[#Headers],0),0),VLOOKUP($G970,Lijsten!L:P,MATCH(Lijsten!$P$1,Kop_Tarief_Vast,0),0))),""),"")</f>
        <v/>
      </c>
      <c r="P970" s="320" t="str" cm="1">
        <f t="array" ref="P970">_xlfn.IFNA(IF(INDEX(Tb_KostenOptiesDB[],MATCH($F970,Tb_KostenOptiesDB[KostenOptie],0),IFERROR(MATCH(Methode_Keuze,Tb_KostenOptiesDB[#Headers],0),2))=1,_xlfn.SWITCH($N970,"Uurtarief",IF(OR(AND(RIGHT($F970,3)="IKS",VLOOKUP($M970,DB_Loonkosten,2,0)="Ja"),AND(RIGHT($F970,3)&lt;&gt;"IKS",VLOOKUP($M970,DB_Loonkosten,2,0)="Nee")),IFERROR(VLOOKUP($M970,DB_Loonkosten,25,0),""),0),"Vast tarief",IF(LEFT(F970,8)="Bijdrage",VLOOKUP($F970,Tb_KostenTypen[],MATCH(Lijsten!$P$1,Tb_KostenTypen[#Headers],0),0),VLOOKUP($G970,Lijsten!L:P,MATCH(Lijsten!$P$1,Kop_Tarief_Vast,0),0))),""),"")</f>
        <v/>
      </c>
      <c r="Q970" s="359"/>
      <c r="R970" s="359"/>
      <c r="S970" s="321"/>
      <c r="T970" s="321"/>
      <c r="U970" s="373" t="str">
        <f t="shared" si="60"/>
        <v/>
      </c>
      <c r="V970" s="314" t="str">
        <f t="shared" si="61"/>
        <v/>
      </c>
      <c r="W970" s="314" t="str" cm="1">
        <f t="array" aca="1" ref="W970" ca="1">IFERROR(IF(AE970&lt;&gt;"ja",_xlfn.IFNA(_xlfn.IFS(AND(O970&lt;&gt;"",F970&lt;&gt;"",RIGHT($N970,6)="tarief",F970="Vergoeding"),SUM(O970)*FLOOR(SUM(Q970),0.0001),AND(O970&lt;&gt;"",F970&lt;&gt;"",RIGHT($N970,6)="tarief"),SUM(O970)*FLOOR(SUM(Q970),0.01),S970&gt;0,IF(F970&lt;&gt;"",FLOOR(SUM(S970),0.01),"")),""),""),"")</f>
        <v/>
      </c>
      <c r="X970" s="314" t="str" cm="1">
        <f t="array" aca="1" ref="X970" ca="1">IFERROR(IF(AE970&lt;&gt;"ja",_xlfn.IFNA(_xlfn.IFS(AND(P970&lt;&gt;"",R970&lt;&gt;"",RIGHT($N970,6)="tarief",F970="Vergoeding"),SUM(P970)*FLOOR(SUM(R970),0.0001),AND(P970&lt;&gt;"",R970&lt;&gt;"",RIGHT($N970,6)="tarief"),P970*FLOOR(R970,0.01),T970&gt;0,FLOOR(SUM(T970),0.01)),""),""),"")</f>
        <v/>
      </c>
      <c r="Y970" s="314" t="str">
        <f t="shared" ca="1" si="62"/>
        <v/>
      </c>
      <c r="Z970" s="314" t="str" cm="1">
        <f t="array" aca="1" ref="Z970" ca="1">IFERROR(_xlfn.IFS(OR(F970="",LEFT(Methode_Keuze,4)="Geen",Methode_Keuze=""),"",AND(W970&lt;&gt;"",F970&lt;&gt;"Arbeidskosten"),W970*VLOOKUP(F970,Tb_ProjectKosten[],MATCH(Tb_ProjectKosten[[#Headers],[Forfait_Percentage]],Tb_ProjectKosten[#Headers],0),0),AND(F970="Arbeidskosten",G970&lt;&gt;""),IFERROR(W970*VLOOKUP(G970,Tb_KostenTypen[],3,0)*VLOOKUP(F970,Tb_ProjectKosten[],MATCH(Tb_ProjectKosten[[#Headers],[Forfait_Percentage]],Tb_ProjectKosten[#Headers],0),0),""),W970 &lt;=0,0),"")</f>
        <v/>
      </c>
      <c r="AA970" s="314" t="str" cm="1">
        <f t="array" aca="1" ref="AA970" ca="1">IFERROR(_xlfn.IFS(OR(F970="",LEFT(Methode_Keuze,4)="Geen",Methode_Keuze=""),"",AND(X970&lt;&gt;"",F970&lt;&gt;"Arbeidskosten"),X970*VLOOKUP(F970,Tb_ProjectKosten[],MATCH(Tb_ProjectKosten[[#Headers],[Forfait_Percentage]],Tb_ProjectKosten[#Headers],0),0),AND(F970="Arbeidskosten",G970&lt;&gt;""),IFERROR(X970*VLOOKUP(G970,Tb_KostenTypen[],3,0)*VLOOKUP(F970,Tb_ProjectKosten[],MATCH(Tb_ProjectKosten[[#Headers],[Forfait_Percentage]],Tb_ProjectKosten[#Headers],0),0),""),X970 &lt;=0,0),"")</f>
        <v/>
      </c>
      <c r="AB970" s="314" t="str">
        <f t="shared" ca="1" si="63"/>
        <v/>
      </c>
      <c r="AC970" s="322"/>
      <c r="AD970" s="315"/>
      <c r="AE970" s="32" t="str" cm="1">
        <f t="array" ref="AE970">IFERROR(IF(INDEX(SubsidieTabel!$AD$1:$AG$12,MATCH($F970,SubsidieTabel!$AD$1:$AD$12,0),IFERROR(MATCH(Methode_Keuze,SubsidieTabel!$AD$1:$AG$1,0),2))&lt;&gt;1=TRUE,"ja",""),"")</f>
        <v/>
      </c>
    </row>
    <row r="971" spans="1:31" x14ac:dyDescent="0.25">
      <c r="A971" s="316"/>
      <c r="B971" s="317" t="str">
        <f>IF(A971&lt;&gt;"",_xlfn.MAXIFS($B$1:B970,$A$1:A970,A971)+1,"")</f>
        <v/>
      </c>
      <c r="C971" s="296"/>
      <c r="D971" s="296"/>
      <c r="E971" s="296"/>
      <c r="F971" s="296"/>
      <c r="G971" s="326"/>
      <c r="H971" s="324"/>
      <c r="I971" s="325"/>
      <c r="J971" s="325"/>
      <c r="K971" s="318"/>
      <c r="L971" s="318"/>
      <c r="M971" s="319" t="str">
        <f>IFERROR(VLOOKUP(H971,Lijsten!$H$1:$I$100,2,0),"")</f>
        <v/>
      </c>
      <c r="N971" s="319" t="str">
        <f ca="1">IFERROR(IF(VLOOKUP(F971,Kostentypen!$A$3:$E$21,3,0)=0,"",IF(OR(F971="Arbeidskosten",F971="Vergoeding"),VLOOKUP(G971,Tb_KostenTypen[],2,0),VLOOKUP(F971,Kostentypen!$A$3:$E$20,3,0))),"")</f>
        <v/>
      </c>
      <c r="O971" s="320" t="str" cm="1">
        <f t="array" ref="O971">_xlfn.IFNA(IF(INDEX(Tb_KostenOptiesDB[],MATCH($F971,Tb_KostenOptiesDB[KostenOptie],0),IFERROR(MATCH(Methode_Keuze,Tb_KostenOptiesDB[#Headers],0),2))=1,_xlfn.SWITCH($N971,"Uurtarief",IF(OR(AND(RIGHT($F971,3)="IKS",VLOOKUP($M971,DB_Loonkosten,2,0)="Ja"),AND(RIGHT($F971,3)&lt;&gt;"IKS",VLOOKUP($M971,DB_Loonkosten,2,0)="Nee")),IFERROR(VLOOKUP($M971,DB_Loonkosten,24,0),""),0),"Vast tarief",IF(LEFT(F971,8)="Bijdrage",VLOOKUP($F971,Tb_KostenTypen[],MATCH(Lijsten!$P$1,Tb_KostenTypen[#Headers],0),0),VLOOKUP($G971,Lijsten!L:P,MATCH(Lijsten!$P$1,Kop_Tarief_Vast,0),0))),""),"")</f>
        <v/>
      </c>
      <c r="P971" s="320" t="str" cm="1">
        <f t="array" ref="P971">_xlfn.IFNA(IF(INDEX(Tb_KostenOptiesDB[],MATCH($F971,Tb_KostenOptiesDB[KostenOptie],0),IFERROR(MATCH(Methode_Keuze,Tb_KostenOptiesDB[#Headers],0),2))=1,_xlfn.SWITCH($N971,"Uurtarief",IF(OR(AND(RIGHT($F971,3)="IKS",VLOOKUP($M971,DB_Loonkosten,2,0)="Ja"),AND(RIGHT($F971,3)&lt;&gt;"IKS",VLOOKUP($M971,DB_Loonkosten,2,0)="Nee")),IFERROR(VLOOKUP($M971,DB_Loonkosten,25,0),""),0),"Vast tarief",IF(LEFT(F971,8)="Bijdrage",VLOOKUP($F971,Tb_KostenTypen[],MATCH(Lijsten!$P$1,Tb_KostenTypen[#Headers],0),0),VLOOKUP($G971,Lijsten!L:P,MATCH(Lijsten!$P$1,Kop_Tarief_Vast,0),0))),""),"")</f>
        <v/>
      </c>
      <c r="Q971" s="359"/>
      <c r="R971" s="359"/>
      <c r="S971" s="321"/>
      <c r="T971" s="321"/>
      <c r="U971" s="373" t="str">
        <f t="shared" si="60"/>
        <v/>
      </c>
      <c r="V971" s="314" t="str">
        <f t="shared" si="61"/>
        <v/>
      </c>
      <c r="W971" s="314" t="str" cm="1">
        <f t="array" aca="1" ref="W971" ca="1">IFERROR(IF(AE971&lt;&gt;"ja",_xlfn.IFNA(_xlfn.IFS(AND(O971&lt;&gt;"",F971&lt;&gt;"",RIGHT($N971,6)="tarief",F971="Vergoeding"),SUM(O971)*FLOOR(SUM(Q971),0.0001),AND(O971&lt;&gt;"",F971&lt;&gt;"",RIGHT($N971,6)="tarief"),SUM(O971)*FLOOR(SUM(Q971),0.01),S971&gt;0,IF(F971&lt;&gt;"",FLOOR(SUM(S971),0.01),"")),""),""),"")</f>
        <v/>
      </c>
      <c r="X971" s="314" t="str" cm="1">
        <f t="array" aca="1" ref="X971" ca="1">IFERROR(IF(AE971&lt;&gt;"ja",_xlfn.IFNA(_xlfn.IFS(AND(P971&lt;&gt;"",R971&lt;&gt;"",RIGHT($N971,6)="tarief",F971="Vergoeding"),SUM(P971)*FLOOR(SUM(R971),0.0001),AND(P971&lt;&gt;"",R971&lt;&gt;"",RIGHT($N971,6)="tarief"),P971*FLOOR(R971,0.01),T971&gt;0,FLOOR(SUM(T971),0.01)),""),""),"")</f>
        <v/>
      </c>
      <c r="Y971" s="314" t="str">
        <f t="shared" ca="1" si="62"/>
        <v/>
      </c>
      <c r="Z971" s="314" t="str" cm="1">
        <f t="array" aca="1" ref="Z971" ca="1">IFERROR(_xlfn.IFS(OR(F971="",LEFT(Methode_Keuze,4)="Geen",Methode_Keuze=""),"",AND(W971&lt;&gt;"",F971&lt;&gt;"Arbeidskosten"),W971*VLOOKUP(F971,Tb_ProjectKosten[],MATCH(Tb_ProjectKosten[[#Headers],[Forfait_Percentage]],Tb_ProjectKosten[#Headers],0),0),AND(F971="Arbeidskosten",G971&lt;&gt;""),IFERROR(W971*VLOOKUP(G971,Tb_KostenTypen[],3,0)*VLOOKUP(F971,Tb_ProjectKosten[],MATCH(Tb_ProjectKosten[[#Headers],[Forfait_Percentage]],Tb_ProjectKosten[#Headers],0),0),""),W971 &lt;=0,0),"")</f>
        <v/>
      </c>
      <c r="AA971" s="314" t="str" cm="1">
        <f t="array" aca="1" ref="AA971" ca="1">IFERROR(_xlfn.IFS(OR(F971="",LEFT(Methode_Keuze,4)="Geen",Methode_Keuze=""),"",AND(X971&lt;&gt;"",F971&lt;&gt;"Arbeidskosten"),X971*VLOOKUP(F971,Tb_ProjectKosten[],MATCH(Tb_ProjectKosten[[#Headers],[Forfait_Percentage]],Tb_ProjectKosten[#Headers],0),0),AND(F971="Arbeidskosten",G971&lt;&gt;""),IFERROR(X971*VLOOKUP(G971,Tb_KostenTypen[],3,0)*VLOOKUP(F971,Tb_ProjectKosten[],MATCH(Tb_ProjectKosten[[#Headers],[Forfait_Percentage]],Tb_ProjectKosten[#Headers],0),0),""),X971 &lt;=0,0),"")</f>
        <v/>
      </c>
      <c r="AB971" s="314" t="str">
        <f t="shared" ca="1" si="63"/>
        <v/>
      </c>
      <c r="AC971" s="322"/>
      <c r="AD971" s="315"/>
      <c r="AE971" s="32" t="str" cm="1">
        <f t="array" ref="AE971">IFERROR(IF(INDEX(SubsidieTabel!$AD$1:$AG$12,MATCH($F971,SubsidieTabel!$AD$1:$AD$12,0),IFERROR(MATCH(Methode_Keuze,SubsidieTabel!$AD$1:$AG$1,0),2))&lt;&gt;1=TRUE,"ja",""),"")</f>
        <v/>
      </c>
    </row>
    <row r="972" spans="1:31" x14ac:dyDescent="0.25">
      <c r="A972" s="316"/>
      <c r="B972" s="317" t="str">
        <f>IF(A972&lt;&gt;"",_xlfn.MAXIFS($B$1:B971,$A$1:A971,A972)+1,"")</f>
        <v/>
      </c>
      <c r="C972" s="296"/>
      <c r="D972" s="296"/>
      <c r="E972" s="296"/>
      <c r="F972" s="296"/>
      <c r="G972" s="326"/>
      <c r="H972" s="324"/>
      <c r="I972" s="325"/>
      <c r="J972" s="325"/>
      <c r="K972" s="318"/>
      <c r="L972" s="318"/>
      <c r="M972" s="319" t="str">
        <f>IFERROR(VLOOKUP(H972,Lijsten!$H$1:$I$100,2,0),"")</f>
        <v/>
      </c>
      <c r="N972" s="319" t="str">
        <f ca="1">IFERROR(IF(VLOOKUP(F972,Kostentypen!$A$3:$E$21,3,0)=0,"",IF(OR(F972="Arbeidskosten",F972="Vergoeding"),VLOOKUP(G972,Tb_KostenTypen[],2,0),VLOOKUP(F972,Kostentypen!$A$3:$E$20,3,0))),"")</f>
        <v/>
      </c>
      <c r="O972" s="320" t="str" cm="1">
        <f t="array" ref="O972">_xlfn.IFNA(IF(INDEX(Tb_KostenOptiesDB[],MATCH($F972,Tb_KostenOptiesDB[KostenOptie],0),IFERROR(MATCH(Methode_Keuze,Tb_KostenOptiesDB[#Headers],0),2))=1,_xlfn.SWITCH($N972,"Uurtarief",IF(OR(AND(RIGHT($F972,3)="IKS",VLOOKUP($M972,DB_Loonkosten,2,0)="Ja"),AND(RIGHT($F972,3)&lt;&gt;"IKS",VLOOKUP($M972,DB_Loonkosten,2,0)="Nee")),IFERROR(VLOOKUP($M972,DB_Loonkosten,24,0),""),0),"Vast tarief",IF(LEFT(F972,8)="Bijdrage",VLOOKUP($F972,Tb_KostenTypen[],MATCH(Lijsten!$P$1,Tb_KostenTypen[#Headers],0),0),VLOOKUP($G972,Lijsten!L:P,MATCH(Lijsten!$P$1,Kop_Tarief_Vast,0),0))),""),"")</f>
        <v/>
      </c>
      <c r="P972" s="320" t="str" cm="1">
        <f t="array" ref="P972">_xlfn.IFNA(IF(INDEX(Tb_KostenOptiesDB[],MATCH($F972,Tb_KostenOptiesDB[KostenOptie],0),IFERROR(MATCH(Methode_Keuze,Tb_KostenOptiesDB[#Headers],0),2))=1,_xlfn.SWITCH($N972,"Uurtarief",IF(OR(AND(RIGHT($F972,3)="IKS",VLOOKUP($M972,DB_Loonkosten,2,0)="Ja"),AND(RIGHT($F972,3)&lt;&gt;"IKS",VLOOKUP($M972,DB_Loonkosten,2,0)="Nee")),IFERROR(VLOOKUP($M972,DB_Loonkosten,25,0),""),0),"Vast tarief",IF(LEFT(F972,8)="Bijdrage",VLOOKUP($F972,Tb_KostenTypen[],MATCH(Lijsten!$P$1,Tb_KostenTypen[#Headers],0),0),VLOOKUP($G972,Lijsten!L:P,MATCH(Lijsten!$P$1,Kop_Tarief_Vast,0),0))),""),"")</f>
        <v/>
      </c>
      <c r="Q972" s="359"/>
      <c r="R972" s="359"/>
      <c r="S972" s="321"/>
      <c r="T972" s="321"/>
      <c r="U972" s="373" t="str">
        <f t="shared" si="60"/>
        <v/>
      </c>
      <c r="V972" s="314" t="str">
        <f t="shared" si="61"/>
        <v/>
      </c>
      <c r="W972" s="314" t="str" cm="1">
        <f t="array" aca="1" ref="W972" ca="1">IFERROR(IF(AE972&lt;&gt;"ja",_xlfn.IFNA(_xlfn.IFS(AND(O972&lt;&gt;"",F972&lt;&gt;"",RIGHT($N972,6)="tarief",F972="Vergoeding"),SUM(O972)*FLOOR(SUM(Q972),0.0001),AND(O972&lt;&gt;"",F972&lt;&gt;"",RIGHT($N972,6)="tarief"),SUM(O972)*FLOOR(SUM(Q972),0.01),S972&gt;0,IF(F972&lt;&gt;"",FLOOR(SUM(S972),0.01),"")),""),""),"")</f>
        <v/>
      </c>
      <c r="X972" s="314" t="str" cm="1">
        <f t="array" aca="1" ref="X972" ca="1">IFERROR(IF(AE972&lt;&gt;"ja",_xlfn.IFNA(_xlfn.IFS(AND(P972&lt;&gt;"",R972&lt;&gt;"",RIGHT($N972,6)="tarief",F972="Vergoeding"),SUM(P972)*FLOOR(SUM(R972),0.0001),AND(P972&lt;&gt;"",R972&lt;&gt;"",RIGHT($N972,6)="tarief"),P972*FLOOR(R972,0.01),T972&gt;0,FLOOR(SUM(T972),0.01)),""),""),"")</f>
        <v/>
      </c>
      <c r="Y972" s="314" t="str">
        <f t="shared" ca="1" si="62"/>
        <v/>
      </c>
      <c r="Z972" s="314" t="str" cm="1">
        <f t="array" aca="1" ref="Z972" ca="1">IFERROR(_xlfn.IFS(OR(F972="",LEFT(Methode_Keuze,4)="Geen",Methode_Keuze=""),"",AND(W972&lt;&gt;"",F972&lt;&gt;"Arbeidskosten"),W972*VLOOKUP(F972,Tb_ProjectKosten[],MATCH(Tb_ProjectKosten[[#Headers],[Forfait_Percentage]],Tb_ProjectKosten[#Headers],0),0),AND(F972="Arbeidskosten",G972&lt;&gt;""),IFERROR(W972*VLOOKUP(G972,Tb_KostenTypen[],3,0)*VLOOKUP(F972,Tb_ProjectKosten[],MATCH(Tb_ProjectKosten[[#Headers],[Forfait_Percentage]],Tb_ProjectKosten[#Headers],0),0),""),W972 &lt;=0,0),"")</f>
        <v/>
      </c>
      <c r="AA972" s="314" t="str" cm="1">
        <f t="array" aca="1" ref="AA972" ca="1">IFERROR(_xlfn.IFS(OR(F972="",LEFT(Methode_Keuze,4)="Geen",Methode_Keuze=""),"",AND(X972&lt;&gt;"",F972&lt;&gt;"Arbeidskosten"),X972*VLOOKUP(F972,Tb_ProjectKosten[],MATCH(Tb_ProjectKosten[[#Headers],[Forfait_Percentage]],Tb_ProjectKosten[#Headers],0),0),AND(F972="Arbeidskosten",G972&lt;&gt;""),IFERROR(X972*VLOOKUP(G972,Tb_KostenTypen[],3,0)*VLOOKUP(F972,Tb_ProjectKosten[],MATCH(Tb_ProjectKosten[[#Headers],[Forfait_Percentage]],Tb_ProjectKosten[#Headers],0),0),""),X972 &lt;=0,0),"")</f>
        <v/>
      </c>
      <c r="AB972" s="314" t="str">
        <f t="shared" ca="1" si="63"/>
        <v/>
      </c>
      <c r="AC972" s="322"/>
      <c r="AD972" s="315"/>
      <c r="AE972" s="32" t="str" cm="1">
        <f t="array" ref="AE972">IFERROR(IF(INDEX(SubsidieTabel!$AD$1:$AG$12,MATCH($F972,SubsidieTabel!$AD$1:$AD$12,0),IFERROR(MATCH(Methode_Keuze,SubsidieTabel!$AD$1:$AG$1,0),2))&lt;&gt;1=TRUE,"ja",""),"")</f>
        <v/>
      </c>
    </row>
    <row r="973" spans="1:31" x14ac:dyDescent="0.25">
      <c r="A973" s="316"/>
      <c r="B973" s="317" t="str">
        <f>IF(A973&lt;&gt;"",_xlfn.MAXIFS($B$1:B972,$A$1:A972,A973)+1,"")</f>
        <v/>
      </c>
      <c r="C973" s="296"/>
      <c r="D973" s="296"/>
      <c r="E973" s="296"/>
      <c r="F973" s="296"/>
      <c r="G973" s="326"/>
      <c r="H973" s="324"/>
      <c r="I973" s="325"/>
      <c r="J973" s="325"/>
      <c r="K973" s="318"/>
      <c r="L973" s="318"/>
      <c r="M973" s="319" t="str">
        <f>IFERROR(VLOOKUP(H973,Lijsten!$H$1:$I$100,2,0),"")</f>
        <v/>
      </c>
      <c r="N973" s="319" t="str">
        <f ca="1">IFERROR(IF(VLOOKUP(F973,Kostentypen!$A$3:$E$21,3,0)=0,"",IF(OR(F973="Arbeidskosten",F973="Vergoeding"),VLOOKUP(G973,Tb_KostenTypen[],2,0),VLOOKUP(F973,Kostentypen!$A$3:$E$20,3,0))),"")</f>
        <v/>
      </c>
      <c r="O973" s="320" t="str" cm="1">
        <f t="array" ref="O973">_xlfn.IFNA(IF(INDEX(Tb_KostenOptiesDB[],MATCH($F973,Tb_KostenOptiesDB[KostenOptie],0),IFERROR(MATCH(Methode_Keuze,Tb_KostenOptiesDB[#Headers],0),2))=1,_xlfn.SWITCH($N973,"Uurtarief",IF(OR(AND(RIGHT($F973,3)="IKS",VLOOKUP($M973,DB_Loonkosten,2,0)="Ja"),AND(RIGHT($F973,3)&lt;&gt;"IKS",VLOOKUP($M973,DB_Loonkosten,2,0)="Nee")),IFERROR(VLOOKUP($M973,DB_Loonkosten,24,0),""),0),"Vast tarief",IF(LEFT(F973,8)="Bijdrage",VLOOKUP($F973,Tb_KostenTypen[],MATCH(Lijsten!$P$1,Tb_KostenTypen[#Headers],0),0),VLOOKUP($G973,Lijsten!L:P,MATCH(Lijsten!$P$1,Kop_Tarief_Vast,0),0))),""),"")</f>
        <v/>
      </c>
      <c r="P973" s="320" t="str" cm="1">
        <f t="array" ref="P973">_xlfn.IFNA(IF(INDEX(Tb_KostenOptiesDB[],MATCH($F973,Tb_KostenOptiesDB[KostenOptie],0),IFERROR(MATCH(Methode_Keuze,Tb_KostenOptiesDB[#Headers],0),2))=1,_xlfn.SWITCH($N973,"Uurtarief",IF(OR(AND(RIGHT($F973,3)="IKS",VLOOKUP($M973,DB_Loonkosten,2,0)="Ja"),AND(RIGHT($F973,3)&lt;&gt;"IKS",VLOOKUP($M973,DB_Loonkosten,2,0)="Nee")),IFERROR(VLOOKUP($M973,DB_Loonkosten,25,0),""),0),"Vast tarief",IF(LEFT(F973,8)="Bijdrage",VLOOKUP($F973,Tb_KostenTypen[],MATCH(Lijsten!$P$1,Tb_KostenTypen[#Headers],0),0),VLOOKUP($G973,Lijsten!L:P,MATCH(Lijsten!$P$1,Kop_Tarief_Vast,0),0))),""),"")</f>
        <v/>
      </c>
      <c r="Q973" s="359"/>
      <c r="R973" s="359"/>
      <c r="S973" s="321"/>
      <c r="T973" s="321"/>
      <c r="U973" s="373" t="str">
        <f t="shared" si="60"/>
        <v/>
      </c>
      <c r="V973" s="314" t="str">
        <f t="shared" si="61"/>
        <v/>
      </c>
      <c r="W973" s="314" t="str" cm="1">
        <f t="array" aca="1" ref="W973" ca="1">IFERROR(IF(AE973&lt;&gt;"ja",_xlfn.IFNA(_xlfn.IFS(AND(O973&lt;&gt;"",F973&lt;&gt;"",RIGHT($N973,6)="tarief",F973="Vergoeding"),SUM(O973)*FLOOR(SUM(Q973),0.0001),AND(O973&lt;&gt;"",F973&lt;&gt;"",RIGHT($N973,6)="tarief"),SUM(O973)*FLOOR(SUM(Q973),0.01),S973&gt;0,IF(F973&lt;&gt;"",FLOOR(SUM(S973),0.01),"")),""),""),"")</f>
        <v/>
      </c>
      <c r="X973" s="314" t="str" cm="1">
        <f t="array" aca="1" ref="X973" ca="1">IFERROR(IF(AE973&lt;&gt;"ja",_xlfn.IFNA(_xlfn.IFS(AND(P973&lt;&gt;"",R973&lt;&gt;"",RIGHT($N973,6)="tarief",F973="Vergoeding"),SUM(P973)*FLOOR(SUM(R973),0.0001),AND(P973&lt;&gt;"",R973&lt;&gt;"",RIGHT($N973,6)="tarief"),P973*FLOOR(R973,0.01),T973&gt;0,FLOOR(SUM(T973),0.01)),""),""),"")</f>
        <v/>
      </c>
      <c r="Y973" s="314" t="str">
        <f t="shared" ca="1" si="62"/>
        <v/>
      </c>
      <c r="Z973" s="314" t="str" cm="1">
        <f t="array" aca="1" ref="Z973" ca="1">IFERROR(_xlfn.IFS(OR(F973="",LEFT(Methode_Keuze,4)="Geen",Methode_Keuze=""),"",AND(W973&lt;&gt;"",F973&lt;&gt;"Arbeidskosten"),W973*VLOOKUP(F973,Tb_ProjectKosten[],MATCH(Tb_ProjectKosten[[#Headers],[Forfait_Percentage]],Tb_ProjectKosten[#Headers],0),0),AND(F973="Arbeidskosten",G973&lt;&gt;""),IFERROR(W973*VLOOKUP(G973,Tb_KostenTypen[],3,0)*VLOOKUP(F973,Tb_ProjectKosten[],MATCH(Tb_ProjectKosten[[#Headers],[Forfait_Percentage]],Tb_ProjectKosten[#Headers],0),0),""),W973 &lt;=0,0),"")</f>
        <v/>
      </c>
      <c r="AA973" s="314" t="str" cm="1">
        <f t="array" aca="1" ref="AA973" ca="1">IFERROR(_xlfn.IFS(OR(F973="",LEFT(Methode_Keuze,4)="Geen",Methode_Keuze=""),"",AND(X973&lt;&gt;"",F973&lt;&gt;"Arbeidskosten"),X973*VLOOKUP(F973,Tb_ProjectKosten[],MATCH(Tb_ProjectKosten[[#Headers],[Forfait_Percentage]],Tb_ProjectKosten[#Headers],0),0),AND(F973="Arbeidskosten",G973&lt;&gt;""),IFERROR(X973*VLOOKUP(G973,Tb_KostenTypen[],3,0)*VLOOKUP(F973,Tb_ProjectKosten[],MATCH(Tb_ProjectKosten[[#Headers],[Forfait_Percentage]],Tb_ProjectKosten[#Headers],0),0),""),X973 &lt;=0,0),"")</f>
        <v/>
      </c>
      <c r="AB973" s="314" t="str">
        <f t="shared" ca="1" si="63"/>
        <v/>
      </c>
      <c r="AC973" s="322"/>
      <c r="AD973" s="315"/>
      <c r="AE973" s="32" t="str" cm="1">
        <f t="array" ref="AE973">IFERROR(IF(INDEX(SubsidieTabel!$AD$1:$AG$12,MATCH($F973,SubsidieTabel!$AD$1:$AD$12,0),IFERROR(MATCH(Methode_Keuze,SubsidieTabel!$AD$1:$AG$1,0),2))&lt;&gt;1=TRUE,"ja",""),"")</f>
        <v/>
      </c>
    </row>
    <row r="974" spans="1:31" x14ac:dyDescent="0.25">
      <c r="A974" s="316"/>
      <c r="B974" s="317" t="str">
        <f>IF(A974&lt;&gt;"",_xlfn.MAXIFS($B$1:B973,$A$1:A973,A974)+1,"")</f>
        <v/>
      </c>
      <c r="C974" s="296"/>
      <c r="D974" s="296"/>
      <c r="E974" s="296"/>
      <c r="F974" s="296"/>
      <c r="G974" s="326"/>
      <c r="H974" s="324"/>
      <c r="I974" s="325"/>
      <c r="J974" s="325"/>
      <c r="K974" s="318"/>
      <c r="L974" s="318"/>
      <c r="M974" s="319" t="str">
        <f>IFERROR(VLOOKUP(H974,Lijsten!$H$1:$I$100,2,0),"")</f>
        <v/>
      </c>
      <c r="N974" s="319" t="str">
        <f ca="1">IFERROR(IF(VLOOKUP(F974,Kostentypen!$A$3:$E$21,3,0)=0,"",IF(OR(F974="Arbeidskosten",F974="Vergoeding"),VLOOKUP(G974,Tb_KostenTypen[],2,0),VLOOKUP(F974,Kostentypen!$A$3:$E$20,3,0))),"")</f>
        <v/>
      </c>
      <c r="O974" s="320" t="str" cm="1">
        <f t="array" ref="O974">_xlfn.IFNA(IF(INDEX(Tb_KostenOptiesDB[],MATCH($F974,Tb_KostenOptiesDB[KostenOptie],0),IFERROR(MATCH(Methode_Keuze,Tb_KostenOptiesDB[#Headers],0),2))=1,_xlfn.SWITCH($N974,"Uurtarief",IF(OR(AND(RIGHT($F974,3)="IKS",VLOOKUP($M974,DB_Loonkosten,2,0)="Ja"),AND(RIGHT($F974,3)&lt;&gt;"IKS",VLOOKUP($M974,DB_Loonkosten,2,0)="Nee")),IFERROR(VLOOKUP($M974,DB_Loonkosten,24,0),""),0),"Vast tarief",IF(LEFT(F974,8)="Bijdrage",VLOOKUP($F974,Tb_KostenTypen[],MATCH(Lijsten!$P$1,Tb_KostenTypen[#Headers],0),0),VLOOKUP($G974,Lijsten!L:P,MATCH(Lijsten!$P$1,Kop_Tarief_Vast,0),0))),""),"")</f>
        <v/>
      </c>
      <c r="P974" s="320" t="str" cm="1">
        <f t="array" ref="P974">_xlfn.IFNA(IF(INDEX(Tb_KostenOptiesDB[],MATCH($F974,Tb_KostenOptiesDB[KostenOptie],0),IFERROR(MATCH(Methode_Keuze,Tb_KostenOptiesDB[#Headers],0),2))=1,_xlfn.SWITCH($N974,"Uurtarief",IF(OR(AND(RIGHT($F974,3)="IKS",VLOOKUP($M974,DB_Loonkosten,2,0)="Ja"),AND(RIGHT($F974,3)&lt;&gt;"IKS",VLOOKUP($M974,DB_Loonkosten,2,0)="Nee")),IFERROR(VLOOKUP($M974,DB_Loonkosten,25,0),""),0),"Vast tarief",IF(LEFT(F974,8)="Bijdrage",VLOOKUP($F974,Tb_KostenTypen[],MATCH(Lijsten!$P$1,Tb_KostenTypen[#Headers],0),0),VLOOKUP($G974,Lijsten!L:P,MATCH(Lijsten!$P$1,Kop_Tarief_Vast,0),0))),""),"")</f>
        <v/>
      </c>
      <c r="Q974" s="359"/>
      <c r="R974" s="359"/>
      <c r="S974" s="321"/>
      <c r="T974" s="321"/>
      <c r="U974" s="373" t="str">
        <f t="shared" si="60"/>
        <v/>
      </c>
      <c r="V974" s="314" t="str">
        <f t="shared" si="61"/>
        <v/>
      </c>
      <c r="W974" s="314" t="str" cm="1">
        <f t="array" aca="1" ref="W974" ca="1">IFERROR(IF(AE974&lt;&gt;"ja",_xlfn.IFNA(_xlfn.IFS(AND(O974&lt;&gt;"",F974&lt;&gt;"",RIGHT($N974,6)="tarief",F974="Vergoeding"),SUM(O974)*FLOOR(SUM(Q974),0.0001),AND(O974&lt;&gt;"",F974&lt;&gt;"",RIGHT($N974,6)="tarief"),SUM(O974)*FLOOR(SUM(Q974),0.01),S974&gt;0,IF(F974&lt;&gt;"",FLOOR(SUM(S974),0.01),"")),""),""),"")</f>
        <v/>
      </c>
      <c r="X974" s="314" t="str" cm="1">
        <f t="array" aca="1" ref="X974" ca="1">IFERROR(IF(AE974&lt;&gt;"ja",_xlfn.IFNA(_xlfn.IFS(AND(P974&lt;&gt;"",R974&lt;&gt;"",RIGHT($N974,6)="tarief",F974="Vergoeding"),SUM(P974)*FLOOR(SUM(R974),0.0001),AND(P974&lt;&gt;"",R974&lt;&gt;"",RIGHT($N974,6)="tarief"),P974*FLOOR(R974,0.01),T974&gt;0,FLOOR(SUM(T974),0.01)),""),""),"")</f>
        <v/>
      </c>
      <c r="Y974" s="314" t="str">
        <f t="shared" ca="1" si="62"/>
        <v/>
      </c>
      <c r="Z974" s="314" t="str" cm="1">
        <f t="array" aca="1" ref="Z974" ca="1">IFERROR(_xlfn.IFS(OR(F974="",LEFT(Methode_Keuze,4)="Geen",Methode_Keuze=""),"",AND(W974&lt;&gt;"",F974&lt;&gt;"Arbeidskosten"),W974*VLOOKUP(F974,Tb_ProjectKosten[],MATCH(Tb_ProjectKosten[[#Headers],[Forfait_Percentage]],Tb_ProjectKosten[#Headers],0),0),AND(F974="Arbeidskosten",G974&lt;&gt;""),IFERROR(W974*VLOOKUP(G974,Tb_KostenTypen[],3,0)*VLOOKUP(F974,Tb_ProjectKosten[],MATCH(Tb_ProjectKosten[[#Headers],[Forfait_Percentage]],Tb_ProjectKosten[#Headers],0),0),""),W974 &lt;=0,0),"")</f>
        <v/>
      </c>
      <c r="AA974" s="314" t="str" cm="1">
        <f t="array" aca="1" ref="AA974" ca="1">IFERROR(_xlfn.IFS(OR(F974="",LEFT(Methode_Keuze,4)="Geen",Methode_Keuze=""),"",AND(X974&lt;&gt;"",F974&lt;&gt;"Arbeidskosten"),X974*VLOOKUP(F974,Tb_ProjectKosten[],MATCH(Tb_ProjectKosten[[#Headers],[Forfait_Percentage]],Tb_ProjectKosten[#Headers],0),0),AND(F974="Arbeidskosten",G974&lt;&gt;""),IFERROR(X974*VLOOKUP(G974,Tb_KostenTypen[],3,0)*VLOOKUP(F974,Tb_ProjectKosten[],MATCH(Tb_ProjectKosten[[#Headers],[Forfait_Percentage]],Tb_ProjectKosten[#Headers],0),0),""),X974 &lt;=0,0),"")</f>
        <v/>
      </c>
      <c r="AB974" s="314" t="str">
        <f t="shared" ca="1" si="63"/>
        <v/>
      </c>
      <c r="AC974" s="322"/>
      <c r="AD974" s="315"/>
      <c r="AE974" s="32" t="str" cm="1">
        <f t="array" ref="AE974">IFERROR(IF(INDEX(SubsidieTabel!$AD$1:$AG$12,MATCH($F974,SubsidieTabel!$AD$1:$AD$12,0),IFERROR(MATCH(Methode_Keuze,SubsidieTabel!$AD$1:$AG$1,0),2))&lt;&gt;1=TRUE,"ja",""),"")</f>
        <v/>
      </c>
    </row>
    <row r="975" spans="1:31" x14ac:dyDescent="0.25">
      <c r="A975" s="316"/>
      <c r="B975" s="317" t="str">
        <f>IF(A975&lt;&gt;"",_xlfn.MAXIFS($B$1:B974,$A$1:A974,A975)+1,"")</f>
        <v/>
      </c>
      <c r="C975" s="296"/>
      <c r="D975" s="296"/>
      <c r="E975" s="296"/>
      <c r="F975" s="296"/>
      <c r="G975" s="326"/>
      <c r="H975" s="324"/>
      <c r="I975" s="325"/>
      <c r="J975" s="325"/>
      <c r="K975" s="318"/>
      <c r="L975" s="318"/>
      <c r="M975" s="319" t="str">
        <f>IFERROR(VLOOKUP(H975,Lijsten!$H$1:$I$100,2,0),"")</f>
        <v/>
      </c>
      <c r="N975" s="319" t="str">
        <f ca="1">IFERROR(IF(VLOOKUP(F975,Kostentypen!$A$3:$E$21,3,0)=0,"",IF(OR(F975="Arbeidskosten",F975="Vergoeding"),VLOOKUP(G975,Tb_KostenTypen[],2,0),VLOOKUP(F975,Kostentypen!$A$3:$E$20,3,0))),"")</f>
        <v/>
      </c>
      <c r="O975" s="320" t="str" cm="1">
        <f t="array" ref="O975">_xlfn.IFNA(IF(INDEX(Tb_KostenOptiesDB[],MATCH($F975,Tb_KostenOptiesDB[KostenOptie],0),IFERROR(MATCH(Methode_Keuze,Tb_KostenOptiesDB[#Headers],0),2))=1,_xlfn.SWITCH($N975,"Uurtarief",IF(OR(AND(RIGHT($F975,3)="IKS",VLOOKUP($M975,DB_Loonkosten,2,0)="Ja"),AND(RIGHT($F975,3)&lt;&gt;"IKS",VLOOKUP($M975,DB_Loonkosten,2,0)="Nee")),IFERROR(VLOOKUP($M975,DB_Loonkosten,24,0),""),0),"Vast tarief",IF(LEFT(F975,8)="Bijdrage",VLOOKUP($F975,Tb_KostenTypen[],MATCH(Lijsten!$P$1,Tb_KostenTypen[#Headers],0),0),VLOOKUP($G975,Lijsten!L:P,MATCH(Lijsten!$P$1,Kop_Tarief_Vast,0),0))),""),"")</f>
        <v/>
      </c>
      <c r="P975" s="320" t="str" cm="1">
        <f t="array" ref="P975">_xlfn.IFNA(IF(INDEX(Tb_KostenOptiesDB[],MATCH($F975,Tb_KostenOptiesDB[KostenOptie],0),IFERROR(MATCH(Methode_Keuze,Tb_KostenOptiesDB[#Headers],0),2))=1,_xlfn.SWITCH($N975,"Uurtarief",IF(OR(AND(RIGHT($F975,3)="IKS",VLOOKUP($M975,DB_Loonkosten,2,0)="Ja"),AND(RIGHT($F975,3)&lt;&gt;"IKS",VLOOKUP($M975,DB_Loonkosten,2,0)="Nee")),IFERROR(VLOOKUP($M975,DB_Loonkosten,25,0),""),0),"Vast tarief",IF(LEFT(F975,8)="Bijdrage",VLOOKUP($F975,Tb_KostenTypen[],MATCH(Lijsten!$P$1,Tb_KostenTypen[#Headers],0),0),VLOOKUP($G975,Lijsten!L:P,MATCH(Lijsten!$P$1,Kop_Tarief_Vast,0),0))),""),"")</f>
        <v/>
      </c>
      <c r="Q975" s="359"/>
      <c r="R975" s="359"/>
      <c r="S975" s="321"/>
      <c r="T975" s="321"/>
      <c r="U975" s="373" t="str">
        <f t="shared" si="60"/>
        <v/>
      </c>
      <c r="V975" s="314" t="str">
        <f t="shared" si="61"/>
        <v/>
      </c>
      <c r="W975" s="314" t="str" cm="1">
        <f t="array" aca="1" ref="W975" ca="1">IFERROR(IF(AE975&lt;&gt;"ja",_xlfn.IFNA(_xlfn.IFS(AND(O975&lt;&gt;"",F975&lt;&gt;"",RIGHT($N975,6)="tarief",F975="Vergoeding"),SUM(O975)*FLOOR(SUM(Q975),0.0001),AND(O975&lt;&gt;"",F975&lt;&gt;"",RIGHT($N975,6)="tarief"),SUM(O975)*FLOOR(SUM(Q975),0.01),S975&gt;0,IF(F975&lt;&gt;"",FLOOR(SUM(S975),0.01),"")),""),""),"")</f>
        <v/>
      </c>
      <c r="X975" s="314" t="str" cm="1">
        <f t="array" aca="1" ref="X975" ca="1">IFERROR(IF(AE975&lt;&gt;"ja",_xlfn.IFNA(_xlfn.IFS(AND(P975&lt;&gt;"",R975&lt;&gt;"",RIGHT($N975,6)="tarief",F975="Vergoeding"),SUM(P975)*FLOOR(SUM(R975),0.0001),AND(P975&lt;&gt;"",R975&lt;&gt;"",RIGHT($N975,6)="tarief"),P975*FLOOR(R975,0.01),T975&gt;0,FLOOR(SUM(T975),0.01)),""),""),"")</f>
        <v/>
      </c>
      <c r="Y975" s="314" t="str">
        <f t="shared" ca="1" si="62"/>
        <v/>
      </c>
      <c r="Z975" s="314" t="str" cm="1">
        <f t="array" aca="1" ref="Z975" ca="1">IFERROR(_xlfn.IFS(OR(F975="",LEFT(Methode_Keuze,4)="Geen",Methode_Keuze=""),"",AND(W975&lt;&gt;"",F975&lt;&gt;"Arbeidskosten"),W975*VLOOKUP(F975,Tb_ProjectKosten[],MATCH(Tb_ProjectKosten[[#Headers],[Forfait_Percentage]],Tb_ProjectKosten[#Headers],0),0),AND(F975="Arbeidskosten",G975&lt;&gt;""),IFERROR(W975*VLOOKUP(G975,Tb_KostenTypen[],3,0)*VLOOKUP(F975,Tb_ProjectKosten[],MATCH(Tb_ProjectKosten[[#Headers],[Forfait_Percentage]],Tb_ProjectKosten[#Headers],0),0),""),W975 &lt;=0,0),"")</f>
        <v/>
      </c>
      <c r="AA975" s="314" t="str" cm="1">
        <f t="array" aca="1" ref="AA975" ca="1">IFERROR(_xlfn.IFS(OR(F975="",LEFT(Methode_Keuze,4)="Geen",Methode_Keuze=""),"",AND(X975&lt;&gt;"",F975&lt;&gt;"Arbeidskosten"),X975*VLOOKUP(F975,Tb_ProjectKosten[],MATCH(Tb_ProjectKosten[[#Headers],[Forfait_Percentage]],Tb_ProjectKosten[#Headers],0),0),AND(F975="Arbeidskosten",G975&lt;&gt;""),IFERROR(X975*VLOOKUP(G975,Tb_KostenTypen[],3,0)*VLOOKUP(F975,Tb_ProjectKosten[],MATCH(Tb_ProjectKosten[[#Headers],[Forfait_Percentage]],Tb_ProjectKosten[#Headers],0),0),""),X975 &lt;=0,0),"")</f>
        <v/>
      </c>
      <c r="AB975" s="314" t="str">
        <f t="shared" ca="1" si="63"/>
        <v/>
      </c>
      <c r="AC975" s="322"/>
      <c r="AD975" s="315"/>
      <c r="AE975" s="32" t="str" cm="1">
        <f t="array" ref="AE975">IFERROR(IF(INDEX(SubsidieTabel!$AD$1:$AG$12,MATCH($F975,SubsidieTabel!$AD$1:$AD$12,0),IFERROR(MATCH(Methode_Keuze,SubsidieTabel!$AD$1:$AG$1,0),2))&lt;&gt;1=TRUE,"ja",""),"")</f>
        <v/>
      </c>
    </row>
    <row r="976" spans="1:31" x14ac:dyDescent="0.25">
      <c r="A976" s="316"/>
      <c r="B976" s="317" t="str">
        <f>IF(A976&lt;&gt;"",_xlfn.MAXIFS($B$1:B975,$A$1:A975,A976)+1,"")</f>
        <v/>
      </c>
      <c r="C976" s="296"/>
      <c r="D976" s="296"/>
      <c r="E976" s="296"/>
      <c r="F976" s="296"/>
      <c r="G976" s="326"/>
      <c r="H976" s="324"/>
      <c r="I976" s="325"/>
      <c r="J976" s="325"/>
      <c r="K976" s="318"/>
      <c r="L976" s="318"/>
      <c r="M976" s="319" t="str">
        <f>IFERROR(VLOOKUP(H976,Lijsten!$H$1:$I$100,2,0),"")</f>
        <v/>
      </c>
      <c r="N976" s="319" t="str">
        <f ca="1">IFERROR(IF(VLOOKUP(F976,Kostentypen!$A$3:$E$21,3,0)=0,"",IF(OR(F976="Arbeidskosten",F976="Vergoeding"),VLOOKUP(G976,Tb_KostenTypen[],2,0),VLOOKUP(F976,Kostentypen!$A$3:$E$20,3,0))),"")</f>
        <v/>
      </c>
      <c r="O976" s="320" t="str" cm="1">
        <f t="array" ref="O976">_xlfn.IFNA(IF(INDEX(Tb_KostenOptiesDB[],MATCH($F976,Tb_KostenOptiesDB[KostenOptie],0),IFERROR(MATCH(Methode_Keuze,Tb_KostenOptiesDB[#Headers],0),2))=1,_xlfn.SWITCH($N976,"Uurtarief",IF(OR(AND(RIGHT($F976,3)="IKS",VLOOKUP($M976,DB_Loonkosten,2,0)="Ja"),AND(RIGHT($F976,3)&lt;&gt;"IKS",VLOOKUP($M976,DB_Loonkosten,2,0)="Nee")),IFERROR(VLOOKUP($M976,DB_Loonkosten,24,0),""),0),"Vast tarief",IF(LEFT(F976,8)="Bijdrage",VLOOKUP($F976,Tb_KostenTypen[],MATCH(Lijsten!$P$1,Tb_KostenTypen[#Headers],0),0),VLOOKUP($G976,Lijsten!L:P,MATCH(Lijsten!$P$1,Kop_Tarief_Vast,0),0))),""),"")</f>
        <v/>
      </c>
      <c r="P976" s="320" t="str" cm="1">
        <f t="array" ref="P976">_xlfn.IFNA(IF(INDEX(Tb_KostenOptiesDB[],MATCH($F976,Tb_KostenOptiesDB[KostenOptie],0),IFERROR(MATCH(Methode_Keuze,Tb_KostenOptiesDB[#Headers],0),2))=1,_xlfn.SWITCH($N976,"Uurtarief",IF(OR(AND(RIGHT($F976,3)="IKS",VLOOKUP($M976,DB_Loonkosten,2,0)="Ja"),AND(RIGHT($F976,3)&lt;&gt;"IKS",VLOOKUP($M976,DB_Loonkosten,2,0)="Nee")),IFERROR(VLOOKUP($M976,DB_Loonkosten,25,0),""),0),"Vast tarief",IF(LEFT(F976,8)="Bijdrage",VLOOKUP($F976,Tb_KostenTypen[],MATCH(Lijsten!$P$1,Tb_KostenTypen[#Headers],0),0),VLOOKUP($G976,Lijsten!L:P,MATCH(Lijsten!$P$1,Kop_Tarief_Vast,0),0))),""),"")</f>
        <v/>
      </c>
      <c r="Q976" s="359"/>
      <c r="R976" s="359"/>
      <c r="S976" s="321"/>
      <c r="T976" s="321"/>
      <c r="U976" s="373" t="str">
        <f t="shared" si="60"/>
        <v/>
      </c>
      <c r="V976" s="314" t="str">
        <f t="shared" si="61"/>
        <v/>
      </c>
      <c r="W976" s="314" t="str" cm="1">
        <f t="array" aca="1" ref="W976" ca="1">IFERROR(IF(AE976&lt;&gt;"ja",_xlfn.IFNA(_xlfn.IFS(AND(O976&lt;&gt;"",F976&lt;&gt;"",RIGHT($N976,6)="tarief",F976="Vergoeding"),SUM(O976)*FLOOR(SUM(Q976),0.0001),AND(O976&lt;&gt;"",F976&lt;&gt;"",RIGHT($N976,6)="tarief"),SUM(O976)*FLOOR(SUM(Q976),0.01),S976&gt;0,IF(F976&lt;&gt;"",FLOOR(SUM(S976),0.01),"")),""),""),"")</f>
        <v/>
      </c>
      <c r="X976" s="314" t="str" cm="1">
        <f t="array" aca="1" ref="X976" ca="1">IFERROR(IF(AE976&lt;&gt;"ja",_xlfn.IFNA(_xlfn.IFS(AND(P976&lt;&gt;"",R976&lt;&gt;"",RIGHT($N976,6)="tarief",F976="Vergoeding"),SUM(P976)*FLOOR(SUM(R976),0.0001),AND(P976&lt;&gt;"",R976&lt;&gt;"",RIGHT($N976,6)="tarief"),P976*FLOOR(R976,0.01),T976&gt;0,FLOOR(SUM(T976),0.01)),""),""),"")</f>
        <v/>
      </c>
      <c r="Y976" s="314" t="str">
        <f t="shared" ca="1" si="62"/>
        <v/>
      </c>
      <c r="Z976" s="314" t="str" cm="1">
        <f t="array" aca="1" ref="Z976" ca="1">IFERROR(_xlfn.IFS(OR(F976="",LEFT(Methode_Keuze,4)="Geen",Methode_Keuze=""),"",AND(W976&lt;&gt;"",F976&lt;&gt;"Arbeidskosten"),W976*VLOOKUP(F976,Tb_ProjectKosten[],MATCH(Tb_ProjectKosten[[#Headers],[Forfait_Percentage]],Tb_ProjectKosten[#Headers],0),0),AND(F976="Arbeidskosten",G976&lt;&gt;""),IFERROR(W976*VLOOKUP(G976,Tb_KostenTypen[],3,0)*VLOOKUP(F976,Tb_ProjectKosten[],MATCH(Tb_ProjectKosten[[#Headers],[Forfait_Percentage]],Tb_ProjectKosten[#Headers],0),0),""),W976 &lt;=0,0),"")</f>
        <v/>
      </c>
      <c r="AA976" s="314" t="str" cm="1">
        <f t="array" aca="1" ref="AA976" ca="1">IFERROR(_xlfn.IFS(OR(F976="",LEFT(Methode_Keuze,4)="Geen",Methode_Keuze=""),"",AND(X976&lt;&gt;"",F976&lt;&gt;"Arbeidskosten"),X976*VLOOKUP(F976,Tb_ProjectKosten[],MATCH(Tb_ProjectKosten[[#Headers],[Forfait_Percentage]],Tb_ProjectKosten[#Headers],0),0),AND(F976="Arbeidskosten",G976&lt;&gt;""),IFERROR(X976*VLOOKUP(G976,Tb_KostenTypen[],3,0)*VLOOKUP(F976,Tb_ProjectKosten[],MATCH(Tb_ProjectKosten[[#Headers],[Forfait_Percentage]],Tb_ProjectKosten[#Headers],0),0),""),X976 &lt;=0,0),"")</f>
        <v/>
      </c>
      <c r="AB976" s="314" t="str">
        <f t="shared" ca="1" si="63"/>
        <v/>
      </c>
      <c r="AC976" s="322"/>
      <c r="AD976" s="315"/>
      <c r="AE976" s="32" t="str" cm="1">
        <f t="array" ref="AE976">IFERROR(IF(INDEX(SubsidieTabel!$AD$1:$AG$12,MATCH($F976,SubsidieTabel!$AD$1:$AD$12,0),IFERROR(MATCH(Methode_Keuze,SubsidieTabel!$AD$1:$AG$1,0),2))&lt;&gt;1=TRUE,"ja",""),"")</f>
        <v/>
      </c>
    </row>
    <row r="977" spans="1:31" x14ac:dyDescent="0.25">
      <c r="A977" s="316"/>
      <c r="B977" s="317" t="str">
        <f>IF(A977&lt;&gt;"",_xlfn.MAXIFS($B$1:B976,$A$1:A976,A977)+1,"")</f>
        <v/>
      </c>
      <c r="C977" s="296"/>
      <c r="D977" s="296"/>
      <c r="E977" s="296"/>
      <c r="F977" s="296"/>
      <c r="G977" s="326"/>
      <c r="H977" s="324"/>
      <c r="I977" s="325"/>
      <c r="J977" s="325"/>
      <c r="K977" s="318"/>
      <c r="L977" s="318"/>
      <c r="M977" s="319" t="str">
        <f>IFERROR(VLOOKUP(H977,Lijsten!$H$1:$I$100,2,0),"")</f>
        <v/>
      </c>
      <c r="N977" s="319" t="str">
        <f ca="1">IFERROR(IF(VLOOKUP(F977,Kostentypen!$A$3:$E$21,3,0)=0,"",IF(OR(F977="Arbeidskosten",F977="Vergoeding"),VLOOKUP(G977,Tb_KostenTypen[],2,0),VLOOKUP(F977,Kostentypen!$A$3:$E$20,3,0))),"")</f>
        <v/>
      </c>
      <c r="O977" s="320" t="str" cm="1">
        <f t="array" ref="O977">_xlfn.IFNA(IF(INDEX(Tb_KostenOptiesDB[],MATCH($F977,Tb_KostenOptiesDB[KostenOptie],0),IFERROR(MATCH(Methode_Keuze,Tb_KostenOptiesDB[#Headers],0),2))=1,_xlfn.SWITCH($N977,"Uurtarief",IF(OR(AND(RIGHT($F977,3)="IKS",VLOOKUP($M977,DB_Loonkosten,2,0)="Ja"),AND(RIGHT($F977,3)&lt;&gt;"IKS",VLOOKUP($M977,DB_Loonkosten,2,0)="Nee")),IFERROR(VLOOKUP($M977,DB_Loonkosten,24,0),""),0),"Vast tarief",IF(LEFT(F977,8)="Bijdrage",VLOOKUP($F977,Tb_KostenTypen[],MATCH(Lijsten!$P$1,Tb_KostenTypen[#Headers],0),0),VLOOKUP($G977,Lijsten!L:P,MATCH(Lijsten!$P$1,Kop_Tarief_Vast,0),0))),""),"")</f>
        <v/>
      </c>
      <c r="P977" s="320" t="str" cm="1">
        <f t="array" ref="P977">_xlfn.IFNA(IF(INDEX(Tb_KostenOptiesDB[],MATCH($F977,Tb_KostenOptiesDB[KostenOptie],0),IFERROR(MATCH(Methode_Keuze,Tb_KostenOptiesDB[#Headers],0),2))=1,_xlfn.SWITCH($N977,"Uurtarief",IF(OR(AND(RIGHT($F977,3)="IKS",VLOOKUP($M977,DB_Loonkosten,2,0)="Ja"),AND(RIGHT($F977,3)&lt;&gt;"IKS",VLOOKUP($M977,DB_Loonkosten,2,0)="Nee")),IFERROR(VLOOKUP($M977,DB_Loonkosten,25,0),""),0),"Vast tarief",IF(LEFT(F977,8)="Bijdrage",VLOOKUP($F977,Tb_KostenTypen[],MATCH(Lijsten!$P$1,Tb_KostenTypen[#Headers],0),0),VLOOKUP($G977,Lijsten!L:P,MATCH(Lijsten!$P$1,Kop_Tarief_Vast,0),0))),""),"")</f>
        <v/>
      </c>
      <c r="Q977" s="359"/>
      <c r="R977" s="359"/>
      <c r="S977" s="321"/>
      <c r="T977" s="321"/>
      <c r="U977" s="373" t="str">
        <f t="shared" si="60"/>
        <v/>
      </c>
      <c r="V977" s="314" t="str">
        <f t="shared" si="61"/>
        <v/>
      </c>
      <c r="W977" s="314" t="str" cm="1">
        <f t="array" aca="1" ref="W977" ca="1">IFERROR(IF(AE977&lt;&gt;"ja",_xlfn.IFNA(_xlfn.IFS(AND(O977&lt;&gt;"",F977&lt;&gt;"",RIGHT($N977,6)="tarief",F977="Vergoeding"),SUM(O977)*FLOOR(SUM(Q977),0.0001),AND(O977&lt;&gt;"",F977&lt;&gt;"",RIGHT($N977,6)="tarief"),SUM(O977)*FLOOR(SUM(Q977),0.01),S977&gt;0,IF(F977&lt;&gt;"",FLOOR(SUM(S977),0.01),"")),""),""),"")</f>
        <v/>
      </c>
      <c r="X977" s="314" t="str" cm="1">
        <f t="array" aca="1" ref="X977" ca="1">IFERROR(IF(AE977&lt;&gt;"ja",_xlfn.IFNA(_xlfn.IFS(AND(P977&lt;&gt;"",R977&lt;&gt;"",RIGHT($N977,6)="tarief",F977="Vergoeding"),SUM(P977)*FLOOR(SUM(R977),0.0001),AND(P977&lt;&gt;"",R977&lt;&gt;"",RIGHT($N977,6)="tarief"),P977*FLOOR(R977,0.01),T977&gt;0,FLOOR(SUM(T977),0.01)),""),""),"")</f>
        <v/>
      </c>
      <c r="Y977" s="314" t="str">
        <f t="shared" ca="1" si="62"/>
        <v/>
      </c>
      <c r="Z977" s="314" t="str" cm="1">
        <f t="array" aca="1" ref="Z977" ca="1">IFERROR(_xlfn.IFS(OR(F977="",LEFT(Methode_Keuze,4)="Geen",Methode_Keuze=""),"",AND(W977&lt;&gt;"",F977&lt;&gt;"Arbeidskosten"),W977*VLOOKUP(F977,Tb_ProjectKosten[],MATCH(Tb_ProjectKosten[[#Headers],[Forfait_Percentage]],Tb_ProjectKosten[#Headers],0),0),AND(F977="Arbeidskosten",G977&lt;&gt;""),IFERROR(W977*VLOOKUP(G977,Tb_KostenTypen[],3,0)*VLOOKUP(F977,Tb_ProjectKosten[],MATCH(Tb_ProjectKosten[[#Headers],[Forfait_Percentage]],Tb_ProjectKosten[#Headers],0),0),""),W977 &lt;=0,0),"")</f>
        <v/>
      </c>
      <c r="AA977" s="314" t="str" cm="1">
        <f t="array" aca="1" ref="AA977" ca="1">IFERROR(_xlfn.IFS(OR(F977="",LEFT(Methode_Keuze,4)="Geen",Methode_Keuze=""),"",AND(X977&lt;&gt;"",F977&lt;&gt;"Arbeidskosten"),X977*VLOOKUP(F977,Tb_ProjectKosten[],MATCH(Tb_ProjectKosten[[#Headers],[Forfait_Percentage]],Tb_ProjectKosten[#Headers],0),0),AND(F977="Arbeidskosten",G977&lt;&gt;""),IFERROR(X977*VLOOKUP(G977,Tb_KostenTypen[],3,0)*VLOOKUP(F977,Tb_ProjectKosten[],MATCH(Tb_ProjectKosten[[#Headers],[Forfait_Percentage]],Tb_ProjectKosten[#Headers],0),0),""),X977 &lt;=0,0),"")</f>
        <v/>
      </c>
      <c r="AB977" s="314" t="str">
        <f t="shared" ca="1" si="63"/>
        <v/>
      </c>
      <c r="AC977" s="322"/>
      <c r="AD977" s="315"/>
      <c r="AE977" s="32" t="str" cm="1">
        <f t="array" ref="AE977">IFERROR(IF(INDEX(SubsidieTabel!$AD$1:$AG$12,MATCH($F977,SubsidieTabel!$AD$1:$AD$12,0),IFERROR(MATCH(Methode_Keuze,SubsidieTabel!$AD$1:$AG$1,0),2))&lt;&gt;1=TRUE,"ja",""),"")</f>
        <v/>
      </c>
    </row>
    <row r="978" spans="1:31" x14ac:dyDescent="0.25">
      <c r="A978" s="316"/>
      <c r="B978" s="317" t="str">
        <f>IF(A978&lt;&gt;"",_xlfn.MAXIFS($B$1:B977,$A$1:A977,A978)+1,"")</f>
        <v/>
      </c>
      <c r="C978" s="296"/>
      <c r="D978" s="296"/>
      <c r="E978" s="296"/>
      <c r="F978" s="296"/>
      <c r="G978" s="326"/>
      <c r="H978" s="324"/>
      <c r="I978" s="325"/>
      <c r="J978" s="325"/>
      <c r="K978" s="318"/>
      <c r="L978" s="318"/>
      <c r="M978" s="319" t="str">
        <f>IFERROR(VLOOKUP(H978,Lijsten!$H$1:$I$100,2,0),"")</f>
        <v/>
      </c>
      <c r="N978" s="319" t="str">
        <f ca="1">IFERROR(IF(VLOOKUP(F978,Kostentypen!$A$3:$E$21,3,0)=0,"",IF(OR(F978="Arbeidskosten",F978="Vergoeding"),VLOOKUP(G978,Tb_KostenTypen[],2,0),VLOOKUP(F978,Kostentypen!$A$3:$E$20,3,0))),"")</f>
        <v/>
      </c>
      <c r="O978" s="320" t="str" cm="1">
        <f t="array" ref="O978">_xlfn.IFNA(IF(INDEX(Tb_KostenOptiesDB[],MATCH($F978,Tb_KostenOptiesDB[KostenOptie],0),IFERROR(MATCH(Methode_Keuze,Tb_KostenOptiesDB[#Headers],0),2))=1,_xlfn.SWITCH($N978,"Uurtarief",IF(OR(AND(RIGHT($F978,3)="IKS",VLOOKUP($M978,DB_Loonkosten,2,0)="Ja"),AND(RIGHT($F978,3)&lt;&gt;"IKS",VLOOKUP($M978,DB_Loonkosten,2,0)="Nee")),IFERROR(VLOOKUP($M978,DB_Loonkosten,24,0),""),0),"Vast tarief",IF(LEFT(F978,8)="Bijdrage",VLOOKUP($F978,Tb_KostenTypen[],MATCH(Lijsten!$P$1,Tb_KostenTypen[#Headers],0),0),VLOOKUP($G978,Lijsten!L:P,MATCH(Lijsten!$P$1,Kop_Tarief_Vast,0),0))),""),"")</f>
        <v/>
      </c>
      <c r="P978" s="320" t="str" cm="1">
        <f t="array" ref="P978">_xlfn.IFNA(IF(INDEX(Tb_KostenOptiesDB[],MATCH($F978,Tb_KostenOptiesDB[KostenOptie],0),IFERROR(MATCH(Methode_Keuze,Tb_KostenOptiesDB[#Headers],0),2))=1,_xlfn.SWITCH($N978,"Uurtarief",IF(OR(AND(RIGHT($F978,3)="IKS",VLOOKUP($M978,DB_Loonkosten,2,0)="Ja"),AND(RIGHT($F978,3)&lt;&gt;"IKS",VLOOKUP($M978,DB_Loonkosten,2,0)="Nee")),IFERROR(VLOOKUP($M978,DB_Loonkosten,25,0),""),0),"Vast tarief",IF(LEFT(F978,8)="Bijdrage",VLOOKUP($F978,Tb_KostenTypen[],MATCH(Lijsten!$P$1,Tb_KostenTypen[#Headers],0),0),VLOOKUP($G978,Lijsten!L:P,MATCH(Lijsten!$P$1,Kop_Tarief_Vast,0),0))),""),"")</f>
        <v/>
      </c>
      <c r="Q978" s="359"/>
      <c r="R978" s="359"/>
      <c r="S978" s="321"/>
      <c r="T978" s="321"/>
      <c r="U978" s="373" t="str">
        <f t="shared" si="60"/>
        <v/>
      </c>
      <c r="V978" s="314" t="str">
        <f t="shared" si="61"/>
        <v/>
      </c>
      <c r="W978" s="314" t="str" cm="1">
        <f t="array" aca="1" ref="W978" ca="1">IFERROR(IF(AE978&lt;&gt;"ja",_xlfn.IFNA(_xlfn.IFS(AND(O978&lt;&gt;"",F978&lt;&gt;"",RIGHT($N978,6)="tarief",F978="Vergoeding"),SUM(O978)*FLOOR(SUM(Q978),0.0001),AND(O978&lt;&gt;"",F978&lt;&gt;"",RIGHT($N978,6)="tarief"),SUM(O978)*FLOOR(SUM(Q978),0.01),S978&gt;0,IF(F978&lt;&gt;"",FLOOR(SUM(S978),0.01),"")),""),""),"")</f>
        <v/>
      </c>
      <c r="X978" s="314" t="str" cm="1">
        <f t="array" aca="1" ref="X978" ca="1">IFERROR(IF(AE978&lt;&gt;"ja",_xlfn.IFNA(_xlfn.IFS(AND(P978&lt;&gt;"",R978&lt;&gt;"",RIGHT($N978,6)="tarief",F978="Vergoeding"),SUM(P978)*FLOOR(SUM(R978),0.0001),AND(P978&lt;&gt;"",R978&lt;&gt;"",RIGHT($N978,6)="tarief"),P978*FLOOR(R978,0.01),T978&gt;0,FLOOR(SUM(T978),0.01)),""),""),"")</f>
        <v/>
      </c>
      <c r="Y978" s="314" t="str">
        <f t="shared" ca="1" si="62"/>
        <v/>
      </c>
      <c r="Z978" s="314" t="str" cm="1">
        <f t="array" aca="1" ref="Z978" ca="1">IFERROR(_xlfn.IFS(OR(F978="",LEFT(Methode_Keuze,4)="Geen",Methode_Keuze=""),"",AND(W978&lt;&gt;"",F978&lt;&gt;"Arbeidskosten"),W978*VLOOKUP(F978,Tb_ProjectKosten[],MATCH(Tb_ProjectKosten[[#Headers],[Forfait_Percentage]],Tb_ProjectKosten[#Headers],0),0),AND(F978="Arbeidskosten",G978&lt;&gt;""),IFERROR(W978*VLOOKUP(G978,Tb_KostenTypen[],3,0)*VLOOKUP(F978,Tb_ProjectKosten[],MATCH(Tb_ProjectKosten[[#Headers],[Forfait_Percentage]],Tb_ProjectKosten[#Headers],0),0),""),W978 &lt;=0,0),"")</f>
        <v/>
      </c>
      <c r="AA978" s="314" t="str" cm="1">
        <f t="array" aca="1" ref="AA978" ca="1">IFERROR(_xlfn.IFS(OR(F978="",LEFT(Methode_Keuze,4)="Geen",Methode_Keuze=""),"",AND(X978&lt;&gt;"",F978&lt;&gt;"Arbeidskosten"),X978*VLOOKUP(F978,Tb_ProjectKosten[],MATCH(Tb_ProjectKosten[[#Headers],[Forfait_Percentage]],Tb_ProjectKosten[#Headers],0),0),AND(F978="Arbeidskosten",G978&lt;&gt;""),IFERROR(X978*VLOOKUP(G978,Tb_KostenTypen[],3,0)*VLOOKUP(F978,Tb_ProjectKosten[],MATCH(Tb_ProjectKosten[[#Headers],[Forfait_Percentage]],Tb_ProjectKosten[#Headers],0),0),""),X978 &lt;=0,0),"")</f>
        <v/>
      </c>
      <c r="AB978" s="314" t="str">
        <f t="shared" ca="1" si="63"/>
        <v/>
      </c>
      <c r="AC978" s="322"/>
      <c r="AD978" s="315"/>
      <c r="AE978" s="32" t="str" cm="1">
        <f t="array" ref="AE978">IFERROR(IF(INDEX(SubsidieTabel!$AD$1:$AG$12,MATCH($F978,SubsidieTabel!$AD$1:$AD$12,0),IFERROR(MATCH(Methode_Keuze,SubsidieTabel!$AD$1:$AG$1,0),2))&lt;&gt;1=TRUE,"ja",""),"")</f>
        <v/>
      </c>
    </row>
    <row r="979" spans="1:31" x14ac:dyDescent="0.25">
      <c r="A979" s="316"/>
      <c r="B979" s="317" t="str">
        <f>IF(A979&lt;&gt;"",_xlfn.MAXIFS($B$1:B978,$A$1:A978,A979)+1,"")</f>
        <v/>
      </c>
      <c r="C979" s="296"/>
      <c r="D979" s="296"/>
      <c r="E979" s="296"/>
      <c r="F979" s="296"/>
      <c r="G979" s="326"/>
      <c r="H979" s="324"/>
      <c r="I979" s="325"/>
      <c r="J979" s="325"/>
      <c r="K979" s="318"/>
      <c r="L979" s="318"/>
      <c r="M979" s="319" t="str">
        <f>IFERROR(VLOOKUP(H979,Lijsten!$H$1:$I$100,2,0),"")</f>
        <v/>
      </c>
      <c r="N979" s="319" t="str">
        <f ca="1">IFERROR(IF(VLOOKUP(F979,Kostentypen!$A$3:$E$21,3,0)=0,"",IF(OR(F979="Arbeidskosten",F979="Vergoeding"),VLOOKUP(G979,Tb_KostenTypen[],2,0),VLOOKUP(F979,Kostentypen!$A$3:$E$20,3,0))),"")</f>
        <v/>
      </c>
      <c r="O979" s="320" t="str" cm="1">
        <f t="array" ref="O979">_xlfn.IFNA(IF(INDEX(Tb_KostenOptiesDB[],MATCH($F979,Tb_KostenOptiesDB[KostenOptie],0),IFERROR(MATCH(Methode_Keuze,Tb_KostenOptiesDB[#Headers],0),2))=1,_xlfn.SWITCH($N979,"Uurtarief",IF(OR(AND(RIGHT($F979,3)="IKS",VLOOKUP($M979,DB_Loonkosten,2,0)="Ja"),AND(RIGHT($F979,3)&lt;&gt;"IKS",VLOOKUP($M979,DB_Loonkosten,2,0)="Nee")),IFERROR(VLOOKUP($M979,DB_Loonkosten,24,0),""),0),"Vast tarief",IF(LEFT(F979,8)="Bijdrage",VLOOKUP($F979,Tb_KostenTypen[],MATCH(Lijsten!$P$1,Tb_KostenTypen[#Headers],0),0),VLOOKUP($G979,Lijsten!L:P,MATCH(Lijsten!$P$1,Kop_Tarief_Vast,0),0))),""),"")</f>
        <v/>
      </c>
      <c r="P979" s="320" t="str" cm="1">
        <f t="array" ref="P979">_xlfn.IFNA(IF(INDEX(Tb_KostenOptiesDB[],MATCH($F979,Tb_KostenOptiesDB[KostenOptie],0),IFERROR(MATCH(Methode_Keuze,Tb_KostenOptiesDB[#Headers],0),2))=1,_xlfn.SWITCH($N979,"Uurtarief",IF(OR(AND(RIGHT($F979,3)="IKS",VLOOKUP($M979,DB_Loonkosten,2,0)="Ja"),AND(RIGHT($F979,3)&lt;&gt;"IKS",VLOOKUP($M979,DB_Loonkosten,2,0)="Nee")),IFERROR(VLOOKUP($M979,DB_Loonkosten,25,0),""),0),"Vast tarief",IF(LEFT(F979,8)="Bijdrage",VLOOKUP($F979,Tb_KostenTypen[],MATCH(Lijsten!$P$1,Tb_KostenTypen[#Headers],0),0),VLOOKUP($G979,Lijsten!L:P,MATCH(Lijsten!$P$1,Kop_Tarief_Vast,0),0))),""),"")</f>
        <v/>
      </c>
      <c r="Q979" s="359"/>
      <c r="R979" s="359"/>
      <c r="S979" s="321"/>
      <c r="T979" s="321"/>
      <c r="U979" s="373" t="str">
        <f t="shared" si="60"/>
        <v/>
      </c>
      <c r="V979" s="314" t="str">
        <f t="shared" si="61"/>
        <v/>
      </c>
      <c r="W979" s="314" t="str" cm="1">
        <f t="array" aca="1" ref="W979" ca="1">IFERROR(IF(AE979&lt;&gt;"ja",_xlfn.IFNA(_xlfn.IFS(AND(O979&lt;&gt;"",F979&lt;&gt;"",RIGHT($N979,6)="tarief",F979="Vergoeding"),SUM(O979)*FLOOR(SUM(Q979),0.0001),AND(O979&lt;&gt;"",F979&lt;&gt;"",RIGHT($N979,6)="tarief"),SUM(O979)*FLOOR(SUM(Q979),0.01),S979&gt;0,IF(F979&lt;&gt;"",FLOOR(SUM(S979),0.01),"")),""),""),"")</f>
        <v/>
      </c>
      <c r="X979" s="314" t="str" cm="1">
        <f t="array" aca="1" ref="X979" ca="1">IFERROR(IF(AE979&lt;&gt;"ja",_xlfn.IFNA(_xlfn.IFS(AND(P979&lt;&gt;"",R979&lt;&gt;"",RIGHT($N979,6)="tarief",F979="Vergoeding"),SUM(P979)*FLOOR(SUM(R979),0.0001),AND(P979&lt;&gt;"",R979&lt;&gt;"",RIGHT($N979,6)="tarief"),P979*FLOOR(R979,0.01),T979&gt;0,FLOOR(SUM(T979),0.01)),""),""),"")</f>
        <v/>
      </c>
      <c r="Y979" s="314" t="str">
        <f t="shared" ca="1" si="62"/>
        <v/>
      </c>
      <c r="Z979" s="314" t="str" cm="1">
        <f t="array" aca="1" ref="Z979" ca="1">IFERROR(_xlfn.IFS(OR(F979="",LEFT(Methode_Keuze,4)="Geen",Methode_Keuze=""),"",AND(W979&lt;&gt;"",F979&lt;&gt;"Arbeidskosten"),W979*VLOOKUP(F979,Tb_ProjectKosten[],MATCH(Tb_ProjectKosten[[#Headers],[Forfait_Percentage]],Tb_ProjectKosten[#Headers],0),0),AND(F979="Arbeidskosten",G979&lt;&gt;""),IFERROR(W979*VLOOKUP(G979,Tb_KostenTypen[],3,0)*VLOOKUP(F979,Tb_ProjectKosten[],MATCH(Tb_ProjectKosten[[#Headers],[Forfait_Percentage]],Tb_ProjectKosten[#Headers],0),0),""),W979 &lt;=0,0),"")</f>
        <v/>
      </c>
      <c r="AA979" s="314" t="str" cm="1">
        <f t="array" aca="1" ref="AA979" ca="1">IFERROR(_xlfn.IFS(OR(F979="",LEFT(Methode_Keuze,4)="Geen",Methode_Keuze=""),"",AND(X979&lt;&gt;"",F979&lt;&gt;"Arbeidskosten"),X979*VLOOKUP(F979,Tb_ProjectKosten[],MATCH(Tb_ProjectKosten[[#Headers],[Forfait_Percentage]],Tb_ProjectKosten[#Headers],0),0),AND(F979="Arbeidskosten",G979&lt;&gt;""),IFERROR(X979*VLOOKUP(G979,Tb_KostenTypen[],3,0)*VLOOKUP(F979,Tb_ProjectKosten[],MATCH(Tb_ProjectKosten[[#Headers],[Forfait_Percentage]],Tb_ProjectKosten[#Headers],0),0),""),X979 &lt;=0,0),"")</f>
        <v/>
      </c>
      <c r="AB979" s="314" t="str">
        <f t="shared" ca="1" si="63"/>
        <v/>
      </c>
      <c r="AC979" s="322"/>
      <c r="AD979" s="315"/>
      <c r="AE979" s="32" t="str" cm="1">
        <f t="array" ref="AE979">IFERROR(IF(INDEX(SubsidieTabel!$AD$1:$AG$12,MATCH($F979,SubsidieTabel!$AD$1:$AD$12,0),IFERROR(MATCH(Methode_Keuze,SubsidieTabel!$AD$1:$AG$1,0),2))&lt;&gt;1=TRUE,"ja",""),"")</f>
        <v/>
      </c>
    </row>
    <row r="980" spans="1:31" x14ac:dyDescent="0.25">
      <c r="A980" s="316"/>
      <c r="B980" s="317" t="str">
        <f>IF(A980&lt;&gt;"",_xlfn.MAXIFS($B$1:B979,$A$1:A979,A980)+1,"")</f>
        <v/>
      </c>
      <c r="C980" s="296"/>
      <c r="D980" s="296"/>
      <c r="E980" s="296"/>
      <c r="F980" s="296"/>
      <c r="G980" s="326"/>
      <c r="H980" s="324"/>
      <c r="I980" s="325"/>
      <c r="J980" s="325"/>
      <c r="K980" s="318"/>
      <c r="L980" s="318"/>
      <c r="M980" s="319" t="str">
        <f>IFERROR(VLOOKUP(H980,Lijsten!$H$1:$I$100,2,0),"")</f>
        <v/>
      </c>
      <c r="N980" s="319" t="str">
        <f ca="1">IFERROR(IF(VLOOKUP(F980,Kostentypen!$A$3:$E$21,3,0)=0,"",IF(OR(F980="Arbeidskosten",F980="Vergoeding"),VLOOKUP(G980,Tb_KostenTypen[],2,0),VLOOKUP(F980,Kostentypen!$A$3:$E$20,3,0))),"")</f>
        <v/>
      </c>
      <c r="O980" s="320" t="str" cm="1">
        <f t="array" ref="O980">_xlfn.IFNA(IF(INDEX(Tb_KostenOptiesDB[],MATCH($F980,Tb_KostenOptiesDB[KostenOptie],0),IFERROR(MATCH(Methode_Keuze,Tb_KostenOptiesDB[#Headers],0),2))=1,_xlfn.SWITCH($N980,"Uurtarief",IF(OR(AND(RIGHT($F980,3)="IKS",VLOOKUP($M980,DB_Loonkosten,2,0)="Ja"),AND(RIGHT($F980,3)&lt;&gt;"IKS",VLOOKUP($M980,DB_Loonkosten,2,0)="Nee")),IFERROR(VLOOKUP($M980,DB_Loonkosten,24,0),""),0),"Vast tarief",IF(LEFT(F980,8)="Bijdrage",VLOOKUP($F980,Tb_KostenTypen[],MATCH(Lijsten!$P$1,Tb_KostenTypen[#Headers],0),0),VLOOKUP($G980,Lijsten!L:P,MATCH(Lijsten!$P$1,Kop_Tarief_Vast,0),0))),""),"")</f>
        <v/>
      </c>
      <c r="P980" s="320" t="str" cm="1">
        <f t="array" ref="P980">_xlfn.IFNA(IF(INDEX(Tb_KostenOptiesDB[],MATCH($F980,Tb_KostenOptiesDB[KostenOptie],0),IFERROR(MATCH(Methode_Keuze,Tb_KostenOptiesDB[#Headers],0),2))=1,_xlfn.SWITCH($N980,"Uurtarief",IF(OR(AND(RIGHT($F980,3)="IKS",VLOOKUP($M980,DB_Loonkosten,2,0)="Ja"),AND(RIGHT($F980,3)&lt;&gt;"IKS",VLOOKUP($M980,DB_Loonkosten,2,0)="Nee")),IFERROR(VLOOKUP($M980,DB_Loonkosten,25,0),""),0),"Vast tarief",IF(LEFT(F980,8)="Bijdrage",VLOOKUP($F980,Tb_KostenTypen[],MATCH(Lijsten!$P$1,Tb_KostenTypen[#Headers],0),0),VLOOKUP($G980,Lijsten!L:P,MATCH(Lijsten!$P$1,Kop_Tarief_Vast,0),0))),""),"")</f>
        <v/>
      </c>
      <c r="Q980" s="359"/>
      <c r="R980" s="359"/>
      <c r="S980" s="321"/>
      <c r="T980" s="321"/>
      <c r="U980" s="373" t="str">
        <f t="shared" si="60"/>
        <v/>
      </c>
      <c r="V980" s="314" t="str">
        <f t="shared" si="61"/>
        <v/>
      </c>
      <c r="W980" s="314" t="str" cm="1">
        <f t="array" aca="1" ref="W980" ca="1">IFERROR(IF(AE980&lt;&gt;"ja",_xlfn.IFNA(_xlfn.IFS(AND(O980&lt;&gt;"",F980&lt;&gt;"",RIGHT($N980,6)="tarief",F980="Vergoeding"),SUM(O980)*FLOOR(SUM(Q980),0.0001),AND(O980&lt;&gt;"",F980&lt;&gt;"",RIGHT($N980,6)="tarief"),SUM(O980)*FLOOR(SUM(Q980),0.01),S980&gt;0,IF(F980&lt;&gt;"",FLOOR(SUM(S980),0.01),"")),""),""),"")</f>
        <v/>
      </c>
      <c r="X980" s="314" t="str" cm="1">
        <f t="array" aca="1" ref="X980" ca="1">IFERROR(IF(AE980&lt;&gt;"ja",_xlfn.IFNA(_xlfn.IFS(AND(P980&lt;&gt;"",R980&lt;&gt;"",RIGHT($N980,6)="tarief",F980="Vergoeding"),SUM(P980)*FLOOR(SUM(R980),0.0001),AND(P980&lt;&gt;"",R980&lt;&gt;"",RIGHT($N980,6)="tarief"),P980*FLOOR(R980,0.01),T980&gt;0,FLOOR(SUM(T980),0.01)),""),""),"")</f>
        <v/>
      </c>
      <c r="Y980" s="314" t="str">
        <f t="shared" ca="1" si="62"/>
        <v/>
      </c>
      <c r="Z980" s="314" t="str" cm="1">
        <f t="array" aca="1" ref="Z980" ca="1">IFERROR(_xlfn.IFS(OR(F980="",LEFT(Methode_Keuze,4)="Geen",Methode_Keuze=""),"",AND(W980&lt;&gt;"",F980&lt;&gt;"Arbeidskosten"),W980*VLOOKUP(F980,Tb_ProjectKosten[],MATCH(Tb_ProjectKosten[[#Headers],[Forfait_Percentage]],Tb_ProjectKosten[#Headers],0),0),AND(F980="Arbeidskosten",G980&lt;&gt;""),IFERROR(W980*VLOOKUP(G980,Tb_KostenTypen[],3,0)*VLOOKUP(F980,Tb_ProjectKosten[],MATCH(Tb_ProjectKosten[[#Headers],[Forfait_Percentage]],Tb_ProjectKosten[#Headers],0),0),""),W980 &lt;=0,0),"")</f>
        <v/>
      </c>
      <c r="AA980" s="314" t="str" cm="1">
        <f t="array" aca="1" ref="AA980" ca="1">IFERROR(_xlfn.IFS(OR(F980="",LEFT(Methode_Keuze,4)="Geen",Methode_Keuze=""),"",AND(X980&lt;&gt;"",F980&lt;&gt;"Arbeidskosten"),X980*VLOOKUP(F980,Tb_ProjectKosten[],MATCH(Tb_ProjectKosten[[#Headers],[Forfait_Percentage]],Tb_ProjectKosten[#Headers],0),0),AND(F980="Arbeidskosten",G980&lt;&gt;""),IFERROR(X980*VLOOKUP(G980,Tb_KostenTypen[],3,0)*VLOOKUP(F980,Tb_ProjectKosten[],MATCH(Tb_ProjectKosten[[#Headers],[Forfait_Percentage]],Tb_ProjectKosten[#Headers],0),0),""),X980 &lt;=0,0),"")</f>
        <v/>
      </c>
      <c r="AB980" s="314" t="str">
        <f t="shared" ca="1" si="63"/>
        <v/>
      </c>
      <c r="AC980" s="322"/>
      <c r="AD980" s="315"/>
      <c r="AE980" s="32" t="str" cm="1">
        <f t="array" ref="AE980">IFERROR(IF(INDEX(SubsidieTabel!$AD$1:$AG$12,MATCH($F980,SubsidieTabel!$AD$1:$AD$12,0),IFERROR(MATCH(Methode_Keuze,SubsidieTabel!$AD$1:$AG$1,0),2))&lt;&gt;1=TRUE,"ja",""),"")</f>
        <v/>
      </c>
    </row>
    <row r="981" spans="1:31" x14ac:dyDescent="0.25">
      <c r="A981" s="316"/>
      <c r="B981" s="317" t="str">
        <f>IF(A981&lt;&gt;"",_xlfn.MAXIFS($B$1:B980,$A$1:A980,A981)+1,"")</f>
        <v/>
      </c>
      <c r="C981" s="296"/>
      <c r="D981" s="296"/>
      <c r="E981" s="296"/>
      <c r="F981" s="296"/>
      <c r="G981" s="326"/>
      <c r="H981" s="324"/>
      <c r="I981" s="325"/>
      <c r="J981" s="325"/>
      <c r="K981" s="318"/>
      <c r="L981" s="318"/>
      <c r="M981" s="319" t="str">
        <f>IFERROR(VLOOKUP(H981,Lijsten!$H$1:$I$100,2,0),"")</f>
        <v/>
      </c>
      <c r="N981" s="319" t="str">
        <f ca="1">IFERROR(IF(VLOOKUP(F981,Kostentypen!$A$3:$E$21,3,0)=0,"",IF(OR(F981="Arbeidskosten",F981="Vergoeding"),VLOOKUP(G981,Tb_KostenTypen[],2,0),VLOOKUP(F981,Kostentypen!$A$3:$E$20,3,0))),"")</f>
        <v/>
      </c>
      <c r="O981" s="320" t="str" cm="1">
        <f t="array" ref="O981">_xlfn.IFNA(IF(INDEX(Tb_KostenOptiesDB[],MATCH($F981,Tb_KostenOptiesDB[KostenOptie],0),IFERROR(MATCH(Methode_Keuze,Tb_KostenOptiesDB[#Headers],0),2))=1,_xlfn.SWITCH($N981,"Uurtarief",IF(OR(AND(RIGHT($F981,3)="IKS",VLOOKUP($M981,DB_Loonkosten,2,0)="Ja"),AND(RIGHT($F981,3)&lt;&gt;"IKS",VLOOKUP($M981,DB_Loonkosten,2,0)="Nee")),IFERROR(VLOOKUP($M981,DB_Loonkosten,24,0),""),0),"Vast tarief",IF(LEFT(F981,8)="Bijdrage",VLOOKUP($F981,Tb_KostenTypen[],MATCH(Lijsten!$P$1,Tb_KostenTypen[#Headers],0),0),VLOOKUP($G981,Lijsten!L:P,MATCH(Lijsten!$P$1,Kop_Tarief_Vast,0),0))),""),"")</f>
        <v/>
      </c>
      <c r="P981" s="320" t="str" cm="1">
        <f t="array" ref="P981">_xlfn.IFNA(IF(INDEX(Tb_KostenOptiesDB[],MATCH($F981,Tb_KostenOptiesDB[KostenOptie],0),IFERROR(MATCH(Methode_Keuze,Tb_KostenOptiesDB[#Headers],0),2))=1,_xlfn.SWITCH($N981,"Uurtarief",IF(OR(AND(RIGHT($F981,3)="IKS",VLOOKUP($M981,DB_Loonkosten,2,0)="Ja"),AND(RIGHT($F981,3)&lt;&gt;"IKS",VLOOKUP($M981,DB_Loonkosten,2,0)="Nee")),IFERROR(VLOOKUP($M981,DB_Loonkosten,25,0),""),0),"Vast tarief",IF(LEFT(F981,8)="Bijdrage",VLOOKUP($F981,Tb_KostenTypen[],MATCH(Lijsten!$P$1,Tb_KostenTypen[#Headers],0),0),VLOOKUP($G981,Lijsten!L:P,MATCH(Lijsten!$P$1,Kop_Tarief_Vast,0),0))),""),"")</f>
        <v/>
      </c>
      <c r="Q981" s="359"/>
      <c r="R981" s="359"/>
      <c r="S981" s="321"/>
      <c r="T981" s="321"/>
      <c r="U981" s="373" t="str">
        <f t="shared" si="60"/>
        <v/>
      </c>
      <c r="V981" s="314" t="str">
        <f t="shared" si="61"/>
        <v/>
      </c>
      <c r="W981" s="314" t="str" cm="1">
        <f t="array" aca="1" ref="W981" ca="1">IFERROR(IF(AE981&lt;&gt;"ja",_xlfn.IFNA(_xlfn.IFS(AND(O981&lt;&gt;"",F981&lt;&gt;"",RIGHT($N981,6)="tarief",F981="Vergoeding"),SUM(O981)*FLOOR(SUM(Q981),0.0001),AND(O981&lt;&gt;"",F981&lt;&gt;"",RIGHT($N981,6)="tarief"),SUM(O981)*FLOOR(SUM(Q981),0.01),S981&gt;0,IF(F981&lt;&gt;"",FLOOR(SUM(S981),0.01),"")),""),""),"")</f>
        <v/>
      </c>
      <c r="X981" s="314" t="str" cm="1">
        <f t="array" aca="1" ref="X981" ca="1">IFERROR(IF(AE981&lt;&gt;"ja",_xlfn.IFNA(_xlfn.IFS(AND(P981&lt;&gt;"",R981&lt;&gt;"",RIGHT($N981,6)="tarief",F981="Vergoeding"),SUM(P981)*FLOOR(SUM(R981),0.0001),AND(P981&lt;&gt;"",R981&lt;&gt;"",RIGHT($N981,6)="tarief"),P981*FLOOR(R981,0.01),T981&gt;0,FLOOR(SUM(T981),0.01)),""),""),"")</f>
        <v/>
      </c>
      <c r="Y981" s="314" t="str">
        <f t="shared" ca="1" si="62"/>
        <v/>
      </c>
      <c r="Z981" s="314" t="str" cm="1">
        <f t="array" aca="1" ref="Z981" ca="1">IFERROR(_xlfn.IFS(OR(F981="",LEFT(Methode_Keuze,4)="Geen",Methode_Keuze=""),"",AND(W981&lt;&gt;"",F981&lt;&gt;"Arbeidskosten"),W981*VLOOKUP(F981,Tb_ProjectKosten[],MATCH(Tb_ProjectKosten[[#Headers],[Forfait_Percentage]],Tb_ProjectKosten[#Headers],0),0),AND(F981="Arbeidskosten",G981&lt;&gt;""),IFERROR(W981*VLOOKUP(G981,Tb_KostenTypen[],3,0)*VLOOKUP(F981,Tb_ProjectKosten[],MATCH(Tb_ProjectKosten[[#Headers],[Forfait_Percentage]],Tb_ProjectKosten[#Headers],0),0),""),W981 &lt;=0,0),"")</f>
        <v/>
      </c>
      <c r="AA981" s="314" t="str" cm="1">
        <f t="array" aca="1" ref="AA981" ca="1">IFERROR(_xlfn.IFS(OR(F981="",LEFT(Methode_Keuze,4)="Geen",Methode_Keuze=""),"",AND(X981&lt;&gt;"",F981&lt;&gt;"Arbeidskosten"),X981*VLOOKUP(F981,Tb_ProjectKosten[],MATCH(Tb_ProjectKosten[[#Headers],[Forfait_Percentage]],Tb_ProjectKosten[#Headers],0),0),AND(F981="Arbeidskosten",G981&lt;&gt;""),IFERROR(X981*VLOOKUP(G981,Tb_KostenTypen[],3,0)*VLOOKUP(F981,Tb_ProjectKosten[],MATCH(Tb_ProjectKosten[[#Headers],[Forfait_Percentage]],Tb_ProjectKosten[#Headers],0),0),""),X981 &lt;=0,0),"")</f>
        <v/>
      </c>
      <c r="AB981" s="314" t="str">
        <f t="shared" ca="1" si="63"/>
        <v/>
      </c>
      <c r="AC981" s="322"/>
      <c r="AD981" s="315"/>
      <c r="AE981" s="32" t="str" cm="1">
        <f t="array" ref="AE981">IFERROR(IF(INDEX(SubsidieTabel!$AD$1:$AG$12,MATCH($F981,SubsidieTabel!$AD$1:$AD$12,0),IFERROR(MATCH(Methode_Keuze,SubsidieTabel!$AD$1:$AG$1,0),2))&lt;&gt;1=TRUE,"ja",""),"")</f>
        <v/>
      </c>
    </row>
    <row r="982" spans="1:31" x14ac:dyDescent="0.25">
      <c r="A982" s="316"/>
      <c r="B982" s="317" t="str">
        <f>IF(A982&lt;&gt;"",_xlfn.MAXIFS($B$1:B981,$A$1:A981,A982)+1,"")</f>
        <v/>
      </c>
      <c r="C982" s="296"/>
      <c r="D982" s="296"/>
      <c r="E982" s="296"/>
      <c r="F982" s="296"/>
      <c r="G982" s="326"/>
      <c r="H982" s="324"/>
      <c r="I982" s="325"/>
      <c r="J982" s="325"/>
      <c r="K982" s="318"/>
      <c r="L982" s="318"/>
      <c r="M982" s="319" t="str">
        <f>IFERROR(VLOOKUP(H982,Lijsten!$H$1:$I$100,2,0),"")</f>
        <v/>
      </c>
      <c r="N982" s="319" t="str">
        <f ca="1">IFERROR(IF(VLOOKUP(F982,Kostentypen!$A$3:$E$21,3,0)=0,"",IF(OR(F982="Arbeidskosten",F982="Vergoeding"),VLOOKUP(G982,Tb_KostenTypen[],2,0),VLOOKUP(F982,Kostentypen!$A$3:$E$20,3,0))),"")</f>
        <v/>
      </c>
      <c r="O982" s="320" t="str" cm="1">
        <f t="array" ref="O982">_xlfn.IFNA(IF(INDEX(Tb_KostenOptiesDB[],MATCH($F982,Tb_KostenOptiesDB[KostenOptie],0),IFERROR(MATCH(Methode_Keuze,Tb_KostenOptiesDB[#Headers],0),2))=1,_xlfn.SWITCH($N982,"Uurtarief",IF(OR(AND(RIGHT($F982,3)="IKS",VLOOKUP($M982,DB_Loonkosten,2,0)="Ja"),AND(RIGHT($F982,3)&lt;&gt;"IKS",VLOOKUP($M982,DB_Loonkosten,2,0)="Nee")),IFERROR(VLOOKUP($M982,DB_Loonkosten,24,0),""),0),"Vast tarief",IF(LEFT(F982,8)="Bijdrage",VLOOKUP($F982,Tb_KostenTypen[],MATCH(Lijsten!$P$1,Tb_KostenTypen[#Headers],0),0),VLOOKUP($G982,Lijsten!L:P,MATCH(Lijsten!$P$1,Kop_Tarief_Vast,0),0))),""),"")</f>
        <v/>
      </c>
      <c r="P982" s="320" t="str" cm="1">
        <f t="array" ref="P982">_xlfn.IFNA(IF(INDEX(Tb_KostenOptiesDB[],MATCH($F982,Tb_KostenOptiesDB[KostenOptie],0),IFERROR(MATCH(Methode_Keuze,Tb_KostenOptiesDB[#Headers],0),2))=1,_xlfn.SWITCH($N982,"Uurtarief",IF(OR(AND(RIGHT($F982,3)="IKS",VLOOKUP($M982,DB_Loonkosten,2,0)="Ja"),AND(RIGHT($F982,3)&lt;&gt;"IKS",VLOOKUP($M982,DB_Loonkosten,2,0)="Nee")),IFERROR(VLOOKUP($M982,DB_Loonkosten,25,0),""),0),"Vast tarief",IF(LEFT(F982,8)="Bijdrage",VLOOKUP($F982,Tb_KostenTypen[],MATCH(Lijsten!$P$1,Tb_KostenTypen[#Headers],0),0),VLOOKUP($G982,Lijsten!L:P,MATCH(Lijsten!$P$1,Kop_Tarief_Vast,0),0))),""),"")</f>
        <v/>
      </c>
      <c r="Q982" s="359"/>
      <c r="R982" s="359"/>
      <c r="S982" s="321"/>
      <c r="T982" s="321"/>
      <c r="U982" s="373" t="str">
        <f t="shared" si="60"/>
        <v/>
      </c>
      <c r="V982" s="314" t="str">
        <f t="shared" si="61"/>
        <v/>
      </c>
      <c r="W982" s="314" t="str" cm="1">
        <f t="array" aca="1" ref="W982" ca="1">IFERROR(IF(AE982&lt;&gt;"ja",_xlfn.IFNA(_xlfn.IFS(AND(O982&lt;&gt;"",F982&lt;&gt;"",RIGHT($N982,6)="tarief",F982="Vergoeding"),SUM(O982)*FLOOR(SUM(Q982),0.0001),AND(O982&lt;&gt;"",F982&lt;&gt;"",RIGHT($N982,6)="tarief"),SUM(O982)*FLOOR(SUM(Q982),0.01),S982&gt;0,IF(F982&lt;&gt;"",FLOOR(SUM(S982),0.01),"")),""),""),"")</f>
        <v/>
      </c>
      <c r="X982" s="314" t="str" cm="1">
        <f t="array" aca="1" ref="X982" ca="1">IFERROR(IF(AE982&lt;&gt;"ja",_xlfn.IFNA(_xlfn.IFS(AND(P982&lt;&gt;"",R982&lt;&gt;"",RIGHT($N982,6)="tarief",F982="Vergoeding"),SUM(P982)*FLOOR(SUM(R982),0.0001),AND(P982&lt;&gt;"",R982&lt;&gt;"",RIGHT($N982,6)="tarief"),P982*FLOOR(R982,0.01),T982&gt;0,FLOOR(SUM(T982),0.01)),""),""),"")</f>
        <v/>
      </c>
      <c r="Y982" s="314" t="str">
        <f t="shared" ca="1" si="62"/>
        <v/>
      </c>
      <c r="Z982" s="314" t="str" cm="1">
        <f t="array" aca="1" ref="Z982" ca="1">IFERROR(_xlfn.IFS(OR(F982="",LEFT(Methode_Keuze,4)="Geen",Methode_Keuze=""),"",AND(W982&lt;&gt;"",F982&lt;&gt;"Arbeidskosten"),W982*VLOOKUP(F982,Tb_ProjectKosten[],MATCH(Tb_ProjectKosten[[#Headers],[Forfait_Percentage]],Tb_ProjectKosten[#Headers],0),0),AND(F982="Arbeidskosten",G982&lt;&gt;""),IFERROR(W982*VLOOKUP(G982,Tb_KostenTypen[],3,0)*VLOOKUP(F982,Tb_ProjectKosten[],MATCH(Tb_ProjectKosten[[#Headers],[Forfait_Percentage]],Tb_ProjectKosten[#Headers],0),0),""),W982 &lt;=0,0),"")</f>
        <v/>
      </c>
      <c r="AA982" s="314" t="str" cm="1">
        <f t="array" aca="1" ref="AA982" ca="1">IFERROR(_xlfn.IFS(OR(F982="",LEFT(Methode_Keuze,4)="Geen",Methode_Keuze=""),"",AND(X982&lt;&gt;"",F982&lt;&gt;"Arbeidskosten"),X982*VLOOKUP(F982,Tb_ProjectKosten[],MATCH(Tb_ProjectKosten[[#Headers],[Forfait_Percentage]],Tb_ProjectKosten[#Headers],0),0),AND(F982="Arbeidskosten",G982&lt;&gt;""),IFERROR(X982*VLOOKUP(G982,Tb_KostenTypen[],3,0)*VLOOKUP(F982,Tb_ProjectKosten[],MATCH(Tb_ProjectKosten[[#Headers],[Forfait_Percentage]],Tb_ProjectKosten[#Headers],0),0),""),X982 &lt;=0,0),"")</f>
        <v/>
      </c>
      <c r="AB982" s="314" t="str">
        <f t="shared" ca="1" si="63"/>
        <v/>
      </c>
      <c r="AC982" s="322"/>
      <c r="AD982" s="315"/>
      <c r="AE982" s="32" t="str" cm="1">
        <f t="array" ref="AE982">IFERROR(IF(INDEX(SubsidieTabel!$AD$1:$AG$12,MATCH($F982,SubsidieTabel!$AD$1:$AD$12,0),IFERROR(MATCH(Methode_Keuze,SubsidieTabel!$AD$1:$AG$1,0),2))&lt;&gt;1=TRUE,"ja",""),"")</f>
        <v/>
      </c>
    </row>
    <row r="983" spans="1:31" x14ac:dyDescent="0.25">
      <c r="A983" s="316"/>
      <c r="B983" s="317" t="str">
        <f>IF(A983&lt;&gt;"",_xlfn.MAXIFS($B$1:B982,$A$1:A982,A983)+1,"")</f>
        <v/>
      </c>
      <c r="C983" s="296"/>
      <c r="D983" s="296"/>
      <c r="E983" s="296"/>
      <c r="F983" s="296"/>
      <c r="G983" s="326"/>
      <c r="H983" s="324"/>
      <c r="I983" s="325"/>
      <c r="J983" s="325"/>
      <c r="K983" s="318"/>
      <c r="L983" s="318"/>
      <c r="M983" s="319" t="str">
        <f>IFERROR(VLOOKUP(H983,Lijsten!$H$1:$I$100,2,0),"")</f>
        <v/>
      </c>
      <c r="N983" s="319" t="str">
        <f ca="1">IFERROR(IF(VLOOKUP(F983,Kostentypen!$A$3:$E$21,3,0)=0,"",IF(OR(F983="Arbeidskosten",F983="Vergoeding"),VLOOKUP(G983,Tb_KostenTypen[],2,0),VLOOKUP(F983,Kostentypen!$A$3:$E$20,3,0))),"")</f>
        <v/>
      </c>
      <c r="O983" s="320" t="str" cm="1">
        <f t="array" ref="O983">_xlfn.IFNA(IF(INDEX(Tb_KostenOptiesDB[],MATCH($F983,Tb_KostenOptiesDB[KostenOptie],0),IFERROR(MATCH(Methode_Keuze,Tb_KostenOptiesDB[#Headers],0),2))=1,_xlfn.SWITCH($N983,"Uurtarief",IF(OR(AND(RIGHT($F983,3)="IKS",VLOOKUP($M983,DB_Loonkosten,2,0)="Ja"),AND(RIGHT($F983,3)&lt;&gt;"IKS",VLOOKUP($M983,DB_Loonkosten,2,0)="Nee")),IFERROR(VLOOKUP($M983,DB_Loonkosten,24,0),""),0),"Vast tarief",IF(LEFT(F983,8)="Bijdrage",VLOOKUP($F983,Tb_KostenTypen[],MATCH(Lijsten!$P$1,Tb_KostenTypen[#Headers],0),0),VLOOKUP($G983,Lijsten!L:P,MATCH(Lijsten!$P$1,Kop_Tarief_Vast,0),0))),""),"")</f>
        <v/>
      </c>
      <c r="P983" s="320" t="str" cm="1">
        <f t="array" ref="P983">_xlfn.IFNA(IF(INDEX(Tb_KostenOptiesDB[],MATCH($F983,Tb_KostenOptiesDB[KostenOptie],0),IFERROR(MATCH(Methode_Keuze,Tb_KostenOptiesDB[#Headers],0),2))=1,_xlfn.SWITCH($N983,"Uurtarief",IF(OR(AND(RIGHT($F983,3)="IKS",VLOOKUP($M983,DB_Loonkosten,2,0)="Ja"),AND(RIGHT($F983,3)&lt;&gt;"IKS",VLOOKUP($M983,DB_Loonkosten,2,0)="Nee")),IFERROR(VLOOKUP($M983,DB_Loonkosten,25,0),""),0),"Vast tarief",IF(LEFT(F983,8)="Bijdrage",VLOOKUP($F983,Tb_KostenTypen[],MATCH(Lijsten!$P$1,Tb_KostenTypen[#Headers],0),0),VLOOKUP($G983,Lijsten!L:P,MATCH(Lijsten!$P$1,Kop_Tarief_Vast,0),0))),""),"")</f>
        <v/>
      </c>
      <c r="Q983" s="359"/>
      <c r="R983" s="359"/>
      <c r="S983" s="321"/>
      <c r="T983" s="321"/>
      <c r="U983" s="373" t="str">
        <f t="shared" si="60"/>
        <v/>
      </c>
      <c r="V983" s="314" t="str">
        <f t="shared" si="61"/>
        <v/>
      </c>
      <c r="W983" s="314" t="str" cm="1">
        <f t="array" aca="1" ref="W983" ca="1">IFERROR(IF(AE983&lt;&gt;"ja",_xlfn.IFNA(_xlfn.IFS(AND(O983&lt;&gt;"",F983&lt;&gt;"",RIGHT($N983,6)="tarief",F983="Vergoeding"),SUM(O983)*FLOOR(SUM(Q983),0.0001),AND(O983&lt;&gt;"",F983&lt;&gt;"",RIGHT($N983,6)="tarief"),SUM(O983)*FLOOR(SUM(Q983),0.01),S983&gt;0,IF(F983&lt;&gt;"",FLOOR(SUM(S983),0.01),"")),""),""),"")</f>
        <v/>
      </c>
      <c r="X983" s="314" t="str" cm="1">
        <f t="array" aca="1" ref="X983" ca="1">IFERROR(IF(AE983&lt;&gt;"ja",_xlfn.IFNA(_xlfn.IFS(AND(P983&lt;&gt;"",R983&lt;&gt;"",RIGHT($N983,6)="tarief",F983="Vergoeding"),SUM(P983)*FLOOR(SUM(R983),0.0001),AND(P983&lt;&gt;"",R983&lt;&gt;"",RIGHT($N983,6)="tarief"),P983*FLOOR(R983,0.01),T983&gt;0,FLOOR(SUM(T983),0.01)),""),""),"")</f>
        <v/>
      </c>
      <c r="Y983" s="314" t="str">
        <f t="shared" ca="1" si="62"/>
        <v/>
      </c>
      <c r="Z983" s="314" t="str" cm="1">
        <f t="array" aca="1" ref="Z983" ca="1">IFERROR(_xlfn.IFS(OR(F983="",LEFT(Methode_Keuze,4)="Geen",Methode_Keuze=""),"",AND(W983&lt;&gt;"",F983&lt;&gt;"Arbeidskosten"),W983*VLOOKUP(F983,Tb_ProjectKosten[],MATCH(Tb_ProjectKosten[[#Headers],[Forfait_Percentage]],Tb_ProjectKosten[#Headers],0),0),AND(F983="Arbeidskosten",G983&lt;&gt;""),IFERROR(W983*VLOOKUP(G983,Tb_KostenTypen[],3,0)*VLOOKUP(F983,Tb_ProjectKosten[],MATCH(Tb_ProjectKosten[[#Headers],[Forfait_Percentage]],Tb_ProjectKosten[#Headers],0),0),""),W983 &lt;=0,0),"")</f>
        <v/>
      </c>
      <c r="AA983" s="314" t="str" cm="1">
        <f t="array" aca="1" ref="AA983" ca="1">IFERROR(_xlfn.IFS(OR(F983="",LEFT(Methode_Keuze,4)="Geen",Methode_Keuze=""),"",AND(X983&lt;&gt;"",F983&lt;&gt;"Arbeidskosten"),X983*VLOOKUP(F983,Tb_ProjectKosten[],MATCH(Tb_ProjectKosten[[#Headers],[Forfait_Percentage]],Tb_ProjectKosten[#Headers],0),0),AND(F983="Arbeidskosten",G983&lt;&gt;""),IFERROR(X983*VLOOKUP(G983,Tb_KostenTypen[],3,0)*VLOOKUP(F983,Tb_ProjectKosten[],MATCH(Tb_ProjectKosten[[#Headers],[Forfait_Percentage]],Tb_ProjectKosten[#Headers],0),0),""),X983 &lt;=0,0),"")</f>
        <v/>
      </c>
      <c r="AB983" s="314" t="str">
        <f t="shared" ca="1" si="63"/>
        <v/>
      </c>
      <c r="AC983" s="322"/>
      <c r="AD983" s="315"/>
      <c r="AE983" s="32" t="str" cm="1">
        <f t="array" ref="AE983">IFERROR(IF(INDEX(SubsidieTabel!$AD$1:$AG$12,MATCH($F983,SubsidieTabel!$AD$1:$AD$12,0),IFERROR(MATCH(Methode_Keuze,SubsidieTabel!$AD$1:$AG$1,0),2))&lt;&gt;1=TRUE,"ja",""),"")</f>
        <v/>
      </c>
    </row>
    <row r="984" spans="1:31" x14ac:dyDescent="0.25">
      <c r="A984" s="316"/>
      <c r="B984" s="317" t="str">
        <f>IF(A984&lt;&gt;"",_xlfn.MAXIFS($B$1:B983,$A$1:A983,A984)+1,"")</f>
        <v/>
      </c>
      <c r="C984" s="296"/>
      <c r="D984" s="296"/>
      <c r="E984" s="296"/>
      <c r="F984" s="296"/>
      <c r="G984" s="326"/>
      <c r="H984" s="324"/>
      <c r="I984" s="325"/>
      <c r="J984" s="325"/>
      <c r="K984" s="318"/>
      <c r="L984" s="318"/>
      <c r="M984" s="319" t="str">
        <f>IFERROR(VLOOKUP(H984,Lijsten!$H$1:$I$100,2,0),"")</f>
        <v/>
      </c>
      <c r="N984" s="319" t="str">
        <f ca="1">IFERROR(IF(VLOOKUP(F984,Kostentypen!$A$3:$E$21,3,0)=0,"",IF(OR(F984="Arbeidskosten",F984="Vergoeding"),VLOOKUP(G984,Tb_KostenTypen[],2,0),VLOOKUP(F984,Kostentypen!$A$3:$E$20,3,0))),"")</f>
        <v/>
      </c>
      <c r="O984" s="320" t="str" cm="1">
        <f t="array" ref="O984">_xlfn.IFNA(IF(INDEX(Tb_KostenOptiesDB[],MATCH($F984,Tb_KostenOptiesDB[KostenOptie],0),IFERROR(MATCH(Methode_Keuze,Tb_KostenOptiesDB[#Headers],0),2))=1,_xlfn.SWITCH($N984,"Uurtarief",IF(OR(AND(RIGHT($F984,3)="IKS",VLOOKUP($M984,DB_Loonkosten,2,0)="Ja"),AND(RIGHT($F984,3)&lt;&gt;"IKS",VLOOKUP($M984,DB_Loonkosten,2,0)="Nee")),IFERROR(VLOOKUP($M984,DB_Loonkosten,24,0),""),0),"Vast tarief",IF(LEFT(F984,8)="Bijdrage",VLOOKUP($F984,Tb_KostenTypen[],MATCH(Lijsten!$P$1,Tb_KostenTypen[#Headers],0),0),VLOOKUP($G984,Lijsten!L:P,MATCH(Lijsten!$P$1,Kop_Tarief_Vast,0),0))),""),"")</f>
        <v/>
      </c>
      <c r="P984" s="320" t="str" cm="1">
        <f t="array" ref="P984">_xlfn.IFNA(IF(INDEX(Tb_KostenOptiesDB[],MATCH($F984,Tb_KostenOptiesDB[KostenOptie],0),IFERROR(MATCH(Methode_Keuze,Tb_KostenOptiesDB[#Headers],0),2))=1,_xlfn.SWITCH($N984,"Uurtarief",IF(OR(AND(RIGHT($F984,3)="IKS",VLOOKUP($M984,DB_Loonkosten,2,0)="Ja"),AND(RIGHT($F984,3)&lt;&gt;"IKS",VLOOKUP($M984,DB_Loonkosten,2,0)="Nee")),IFERROR(VLOOKUP($M984,DB_Loonkosten,25,0),""),0),"Vast tarief",IF(LEFT(F984,8)="Bijdrage",VLOOKUP($F984,Tb_KostenTypen[],MATCH(Lijsten!$P$1,Tb_KostenTypen[#Headers],0),0),VLOOKUP($G984,Lijsten!L:P,MATCH(Lijsten!$P$1,Kop_Tarief_Vast,0),0))),""),"")</f>
        <v/>
      </c>
      <c r="Q984" s="359"/>
      <c r="R984" s="359"/>
      <c r="S984" s="321"/>
      <c r="T984" s="321"/>
      <c r="U984" s="373" t="str">
        <f t="shared" si="60"/>
        <v/>
      </c>
      <c r="V984" s="314" t="str">
        <f t="shared" si="61"/>
        <v/>
      </c>
      <c r="W984" s="314" t="str" cm="1">
        <f t="array" aca="1" ref="W984" ca="1">IFERROR(IF(AE984&lt;&gt;"ja",_xlfn.IFNA(_xlfn.IFS(AND(O984&lt;&gt;"",F984&lt;&gt;"",RIGHT($N984,6)="tarief",F984="Vergoeding"),SUM(O984)*FLOOR(SUM(Q984),0.0001),AND(O984&lt;&gt;"",F984&lt;&gt;"",RIGHT($N984,6)="tarief"),SUM(O984)*FLOOR(SUM(Q984),0.01),S984&gt;0,IF(F984&lt;&gt;"",FLOOR(SUM(S984),0.01),"")),""),""),"")</f>
        <v/>
      </c>
      <c r="X984" s="314" t="str" cm="1">
        <f t="array" aca="1" ref="X984" ca="1">IFERROR(IF(AE984&lt;&gt;"ja",_xlfn.IFNA(_xlfn.IFS(AND(P984&lt;&gt;"",R984&lt;&gt;"",RIGHT($N984,6)="tarief",F984="Vergoeding"),SUM(P984)*FLOOR(SUM(R984),0.0001),AND(P984&lt;&gt;"",R984&lt;&gt;"",RIGHT($N984,6)="tarief"),P984*FLOOR(R984,0.01),T984&gt;0,FLOOR(SUM(T984),0.01)),""),""),"")</f>
        <v/>
      </c>
      <c r="Y984" s="314" t="str">
        <f t="shared" ca="1" si="62"/>
        <v/>
      </c>
      <c r="Z984" s="314" t="str" cm="1">
        <f t="array" aca="1" ref="Z984" ca="1">IFERROR(_xlfn.IFS(OR(F984="",LEFT(Methode_Keuze,4)="Geen",Methode_Keuze=""),"",AND(W984&lt;&gt;"",F984&lt;&gt;"Arbeidskosten"),W984*VLOOKUP(F984,Tb_ProjectKosten[],MATCH(Tb_ProjectKosten[[#Headers],[Forfait_Percentage]],Tb_ProjectKosten[#Headers],0),0),AND(F984="Arbeidskosten",G984&lt;&gt;""),IFERROR(W984*VLOOKUP(G984,Tb_KostenTypen[],3,0)*VLOOKUP(F984,Tb_ProjectKosten[],MATCH(Tb_ProjectKosten[[#Headers],[Forfait_Percentage]],Tb_ProjectKosten[#Headers],0),0),""),W984 &lt;=0,0),"")</f>
        <v/>
      </c>
      <c r="AA984" s="314" t="str" cm="1">
        <f t="array" aca="1" ref="AA984" ca="1">IFERROR(_xlfn.IFS(OR(F984="",LEFT(Methode_Keuze,4)="Geen",Methode_Keuze=""),"",AND(X984&lt;&gt;"",F984&lt;&gt;"Arbeidskosten"),X984*VLOOKUP(F984,Tb_ProjectKosten[],MATCH(Tb_ProjectKosten[[#Headers],[Forfait_Percentage]],Tb_ProjectKosten[#Headers],0),0),AND(F984="Arbeidskosten",G984&lt;&gt;""),IFERROR(X984*VLOOKUP(G984,Tb_KostenTypen[],3,0)*VLOOKUP(F984,Tb_ProjectKosten[],MATCH(Tb_ProjectKosten[[#Headers],[Forfait_Percentage]],Tb_ProjectKosten[#Headers],0),0),""),X984 &lt;=0,0),"")</f>
        <v/>
      </c>
      <c r="AB984" s="314" t="str">
        <f t="shared" ca="1" si="63"/>
        <v/>
      </c>
      <c r="AC984" s="322"/>
      <c r="AD984" s="315"/>
      <c r="AE984" s="32" t="str" cm="1">
        <f t="array" ref="AE984">IFERROR(IF(INDEX(SubsidieTabel!$AD$1:$AG$12,MATCH($F984,SubsidieTabel!$AD$1:$AD$12,0),IFERROR(MATCH(Methode_Keuze,SubsidieTabel!$AD$1:$AG$1,0),2))&lt;&gt;1=TRUE,"ja",""),"")</f>
        <v/>
      </c>
    </row>
    <row r="985" spans="1:31" x14ac:dyDescent="0.25">
      <c r="A985" s="316"/>
      <c r="B985" s="317" t="str">
        <f>IF(A985&lt;&gt;"",_xlfn.MAXIFS($B$1:B984,$A$1:A984,A985)+1,"")</f>
        <v/>
      </c>
      <c r="C985" s="296"/>
      <c r="D985" s="296"/>
      <c r="E985" s="296"/>
      <c r="F985" s="296"/>
      <c r="G985" s="326"/>
      <c r="H985" s="324"/>
      <c r="I985" s="325"/>
      <c r="J985" s="325"/>
      <c r="K985" s="318"/>
      <c r="L985" s="318"/>
      <c r="M985" s="319" t="str">
        <f>IFERROR(VLOOKUP(H985,Lijsten!$H$1:$I$100,2,0),"")</f>
        <v/>
      </c>
      <c r="N985" s="319" t="str">
        <f ca="1">IFERROR(IF(VLOOKUP(F985,Kostentypen!$A$3:$E$21,3,0)=0,"",IF(OR(F985="Arbeidskosten",F985="Vergoeding"),VLOOKUP(G985,Tb_KostenTypen[],2,0),VLOOKUP(F985,Kostentypen!$A$3:$E$20,3,0))),"")</f>
        <v/>
      </c>
      <c r="O985" s="320" t="str" cm="1">
        <f t="array" ref="O985">_xlfn.IFNA(IF(INDEX(Tb_KostenOptiesDB[],MATCH($F985,Tb_KostenOptiesDB[KostenOptie],0),IFERROR(MATCH(Methode_Keuze,Tb_KostenOptiesDB[#Headers],0),2))=1,_xlfn.SWITCH($N985,"Uurtarief",IF(OR(AND(RIGHT($F985,3)="IKS",VLOOKUP($M985,DB_Loonkosten,2,0)="Ja"),AND(RIGHT($F985,3)&lt;&gt;"IKS",VLOOKUP($M985,DB_Loonkosten,2,0)="Nee")),IFERROR(VLOOKUP($M985,DB_Loonkosten,24,0),""),0),"Vast tarief",IF(LEFT(F985,8)="Bijdrage",VLOOKUP($F985,Tb_KostenTypen[],MATCH(Lijsten!$P$1,Tb_KostenTypen[#Headers],0),0),VLOOKUP($G985,Lijsten!L:P,MATCH(Lijsten!$P$1,Kop_Tarief_Vast,0),0))),""),"")</f>
        <v/>
      </c>
      <c r="P985" s="320" t="str" cm="1">
        <f t="array" ref="P985">_xlfn.IFNA(IF(INDEX(Tb_KostenOptiesDB[],MATCH($F985,Tb_KostenOptiesDB[KostenOptie],0),IFERROR(MATCH(Methode_Keuze,Tb_KostenOptiesDB[#Headers],0),2))=1,_xlfn.SWITCH($N985,"Uurtarief",IF(OR(AND(RIGHT($F985,3)="IKS",VLOOKUP($M985,DB_Loonkosten,2,0)="Ja"),AND(RIGHT($F985,3)&lt;&gt;"IKS",VLOOKUP($M985,DB_Loonkosten,2,0)="Nee")),IFERROR(VLOOKUP($M985,DB_Loonkosten,25,0),""),0),"Vast tarief",IF(LEFT(F985,8)="Bijdrage",VLOOKUP($F985,Tb_KostenTypen[],MATCH(Lijsten!$P$1,Tb_KostenTypen[#Headers],0),0),VLOOKUP($G985,Lijsten!L:P,MATCH(Lijsten!$P$1,Kop_Tarief_Vast,0),0))),""),"")</f>
        <v/>
      </c>
      <c r="Q985" s="359"/>
      <c r="R985" s="359"/>
      <c r="S985" s="321"/>
      <c r="T985" s="321"/>
      <c r="U985" s="373" t="str">
        <f t="shared" si="60"/>
        <v/>
      </c>
      <c r="V985" s="314" t="str">
        <f t="shared" si="61"/>
        <v/>
      </c>
      <c r="W985" s="314" t="str" cm="1">
        <f t="array" aca="1" ref="W985" ca="1">IFERROR(IF(AE985&lt;&gt;"ja",_xlfn.IFNA(_xlfn.IFS(AND(O985&lt;&gt;"",F985&lt;&gt;"",RIGHT($N985,6)="tarief",F985="Vergoeding"),SUM(O985)*FLOOR(SUM(Q985),0.0001),AND(O985&lt;&gt;"",F985&lt;&gt;"",RIGHT($N985,6)="tarief"),SUM(O985)*FLOOR(SUM(Q985),0.01),S985&gt;0,IF(F985&lt;&gt;"",FLOOR(SUM(S985),0.01),"")),""),""),"")</f>
        <v/>
      </c>
      <c r="X985" s="314" t="str" cm="1">
        <f t="array" aca="1" ref="X985" ca="1">IFERROR(IF(AE985&lt;&gt;"ja",_xlfn.IFNA(_xlfn.IFS(AND(P985&lt;&gt;"",R985&lt;&gt;"",RIGHT($N985,6)="tarief",F985="Vergoeding"),SUM(P985)*FLOOR(SUM(R985),0.0001),AND(P985&lt;&gt;"",R985&lt;&gt;"",RIGHT($N985,6)="tarief"),P985*FLOOR(R985,0.01),T985&gt;0,FLOOR(SUM(T985),0.01)),""),""),"")</f>
        <v/>
      </c>
      <c r="Y985" s="314" t="str">
        <f t="shared" ca="1" si="62"/>
        <v/>
      </c>
      <c r="Z985" s="314" t="str" cm="1">
        <f t="array" aca="1" ref="Z985" ca="1">IFERROR(_xlfn.IFS(OR(F985="",LEFT(Methode_Keuze,4)="Geen",Methode_Keuze=""),"",AND(W985&lt;&gt;"",F985&lt;&gt;"Arbeidskosten"),W985*VLOOKUP(F985,Tb_ProjectKosten[],MATCH(Tb_ProjectKosten[[#Headers],[Forfait_Percentage]],Tb_ProjectKosten[#Headers],0),0),AND(F985="Arbeidskosten",G985&lt;&gt;""),IFERROR(W985*VLOOKUP(G985,Tb_KostenTypen[],3,0)*VLOOKUP(F985,Tb_ProjectKosten[],MATCH(Tb_ProjectKosten[[#Headers],[Forfait_Percentage]],Tb_ProjectKosten[#Headers],0),0),""),W985 &lt;=0,0),"")</f>
        <v/>
      </c>
      <c r="AA985" s="314" t="str" cm="1">
        <f t="array" aca="1" ref="AA985" ca="1">IFERROR(_xlfn.IFS(OR(F985="",LEFT(Methode_Keuze,4)="Geen",Methode_Keuze=""),"",AND(X985&lt;&gt;"",F985&lt;&gt;"Arbeidskosten"),X985*VLOOKUP(F985,Tb_ProjectKosten[],MATCH(Tb_ProjectKosten[[#Headers],[Forfait_Percentage]],Tb_ProjectKosten[#Headers],0),0),AND(F985="Arbeidskosten",G985&lt;&gt;""),IFERROR(X985*VLOOKUP(G985,Tb_KostenTypen[],3,0)*VLOOKUP(F985,Tb_ProjectKosten[],MATCH(Tb_ProjectKosten[[#Headers],[Forfait_Percentage]],Tb_ProjectKosten[#Headers],0),0),""),X985 &lt;=0,0),"")</f>
        <v/>
      </c>
      <c r="AB985" s="314" t="str">
        <f t="shared" ca="1" si="63"/>
        <v/>
      </c>
      <c r="AC985" s="322"/>
      <c r="AD985" s="315"/>
      <c r="AE985" s="32" t="str" cm="1">
        <f t="array" ref="AE985">IFERROR(IF(INDEX(SubsidieTabel!$AD$1:$AG$12,MATCH($F985,SubsidieTabel!$AD$1:$AD$12,0),IFERROR(MATCH(Methode_Keuze,SubsidieTabel!$AD$1:$AG$1,0),2))&lt;&gt;1=TRUE,"ja",""),"")</f>
        <v/>
      </c>
    </row>
    <row r="986" spans="1:31" x14ac:dyDescent="0.25">
      <c r="A986" s="316"/>
      <c r="B986" s="317" t="str">
        <f>IF(A986&lt;&gt;"",_xlfn.MAXIFS($B$1:B985,$A$1:A985,A986)+1,"")</f>
        <v/>
      </c>
      <c r="C986" s="296"/>
      <c r="D986" s="296"/>
      <c r="E986" s="296"/>
      <c r="F986" s="296"/>
      <c r="G986" s="326"/>
      <c r="H986" s="324"/>
      <c r="I986" s="325"/>
      <c r="J986" s="325"/>
      <c r="K986" s="318"/>
      <c r="L986" s="318"/>
      <c r="M986" s="319" t="str">
        <f>IFERROR(VLOOKUP(H986,Lijsten!$H$1:$I$100,2,0),"")</f>
        <v/>
      </c>
      <c r="N986" s="319" t="str">
        <f ca="1">IFERROR(IF(VLOOKUP(F986,Kostentypen!$A$3:$E$21,3,0)=0,"",IF(OR(F986="Arbeidskosten",F986="Vergoeding"),VLOOKUP(G986,Tb_KostenTypen[],2,0),VLOOKUP(F986,Kostentypen!$A$3:$E$20,3,0))),"")</f>
        <v/>
      </c>
      <c r="O986" s="320" t="str" cm="1">
        <f t="array" ref="O986">_xlfn.IFNA(IF(INDEX(Tb_KostenOptiesDB[],MATCH($F986,Tb_KostenOptiesDB[KostenOptie],0),IFERROR(MATCH(Methode_Keuze,Tb_KostenOptiesDB[#Headers],0),2))=1,_xlfn.SWITCH($N986,"Uurtarief",IF(OR(AND(RIGHT($F986,3)="IKS",VLOOKUP($M986,DB_Loonkosten,2,0)="Ja"),AND(RIGHT($F986,3)&lt;&gt;"IKS",VLOOKUP($M986,DB_Loonkosten,2,0)="Nee")),IFERROR(VLOOKUP($M986,DB_Loonkosten,24,0),""),0),"Vast tarief",IF(LEFT(F986,8)="Bijdrage",VLOOKUP($F986,Tb_KostenTypen[],MATCH(Lijsten!$P$1,Tb_KostenTypen[#Headers],0),0),VLOOKUP($G986,Lijsten!L:P,MATCH(Lijsten!$P$1,Kop_Tarief_Vast,0),0))),""),"")</f>
        <v/>
      </c>
      <c r="P986" s="320" t="str" cm="1">
        <f t="array" ref="P986">_xlfn.IFNA(IF(INDEX(Tb_KostenOptiesDB[],MATCH($F986,Tb_KostenOptiesDB[KostenOptie],0),IFERROR(MATCH(Methode_Keuze,Tb_KostenOptiesDB[#Headers],0),2))=1,_xlfn.SWITCH($N986,"Uurtarief",IF(OR(AND(RIGHT($F986,3)="IKS",VLOOKUP($M986,DB_Loonkosten,2,0)="Ja"),AND(RIGHT($F986,3)&lt;&gt;"IKS",VLOOKUP($M986,DB_Loonkosten,2,0)="Nee")),IFERROR(VLOOKUP($M986,DB_Loonkosten,25,0),""),0),"Vast tarief",IF(LEFT(F986,8)="Bijdrage",VLOOKUP($F986,Tb_KostenTypen[],MATCH(Lijsten!$P$1,Tb_KostenTypen[#Headers],0),0),VLOOKUP($G986,Lijsten!L:P,MATCH(Lijsten!$P$1,Kop_Tarief_Vast,0),0))),""),"")</f>
        <v/>
      </c>
      <c r="Q986" s="359"/>
      <c r="R986" s="359"/>
      <c r="S986" s="321"/>
      <c r="T986" s="321"/>
      <c r="U986" s="373" t="str">
        <f t="shared" si="60"/>
        <v/>
      </c>
      <c r="V986" s="314" t="str">
        <f t="shared" si="61"/>
        <v/>
      </c>
      <c r="W986" s="314" t="str" cm="1">
        <f t="array" aca="1" ref="W986" ca="1">IFERROR(IF(AE986&lt;&gt;"ja",_xlfn.IFNA(_xlfn.IFS(AND(O986&lt;&gt;"",F986&lt;&gt;"",RIGHT($N986,6)="tarief",F986="Vergoeding"),SUM(O986)*FLOOR(SUM(Q986),0.0001),AND(O986&lt;&gt;"",F986&lt;&gt;"",RIGHT($N986,6)="tarief"),SUM(O986)*FLOOR(SUM(Q986),0.01),S986&gt;0,IF(F986&lt;&gt;"",FLOOR(SUM(S986),0.01),"")),""),""),"")</f>
        <v/>
      </c>
      <c r="X986" s="314" t="str" cm="1">
        <f t="array" aca="1" ref="X986" ca="1">IFERROR(IF(AE986&lt;&gt;"ja",_xlfn.IFNA(_xlfn.IFS(AND(P986&lt;&gt;"",R986&lt;&gt;"",RIGHT($N986,6)="tarief",F986="Vergoeding"),SUM(P986)*FLOOR(SUM(R986),0.0001),AND(P986&lt;&gt;"",R986&lt;&gt;"",RIGHT($N986,6)="tarief"),P986*FLOOR(R986,0.01),T986&gt;0,FLOOR(SUM(T986),0.01)),""),""),"")</f>
        <v/>
      </c>
      <c r="Y986" s="314" t="str">
        <f t="shared" ca="1" si="62"/>
        <v/>
      </c>
      <c r="Z986" s="314" t="str" cm="1">
        <f t="array" aca="1" ref="Z986" ca="1">IFERROR(_xlfn.IFS(OR(F986="",LEFT(Methode_Keuze,4)="Geen",Methode_Keuze=""),"",AND(W986&lt;&gt;"",F986&lt;&gt;"Arbeidskosten"),W986*VLOOKUP(F986,Tb_ProjectKosten[],MATCH(Tb_ProjectKosten[[#Headers],[Forfait_Percentage]],Tb_ProjectKosten[#Headers],0),0),AND(F986="Arbeidskosten",G986&lt;&gt;""),IFERROR(W986*VLOOKUP(G986,Tb_KostenTypen[],3,0)*VLOOKUP(F986,Tb_ProjectKosten[],MATCH(Tb_ProjectKosten[[#Headers],[Forfait_Percentage]],Tb_ProjectKosten[#Headers],0),0),""),W986 &lt;=0,0),"")</f>
        <v/>
      </c>
      <c r="AA986" s="314" t="str" cm="1">
        <f t="array" aca="1" ref="AA986" ca="1">IFERROR(_xlfn.IFS(OR(F986="",LEFT(Methode_Keuze,4)="Geen",Methode_Keuze=""),"",AND(X986&lt;&gt;"",F986&lt;&gt;"Arbeidskosten"),X986*VLOOKUP(F986,Tb_ProjectKosten[],MATCH(Tb_ProjectKosten[[#Headers],[Forfait_Percentage]],Tb_ProjectKosten[#Headers],0),0),AND(F986="Arbeidskosten",G986&lt;&gt;""),IFERROR(X986*VLOOKUP(G986,Tb_KostenTypen[],3,0)*VLOOKUP(F986,Tb_ProjectKosten[],MATCH(Tb_ProjectKosten[[#Headers],[Forfait_Percentage]],Tb_ProjectKosten[#Headers],0),0),""),X986 &lt;=0,0),"")</f>
        <v/>
      </c>
      <c r="AB986" s="314" t="str">
        <f t="shared" ca="1" si="63"/>
        <v/>
      </c>
      <c r="AC986" s="322"/>
      <c r="AD986" s="315"/>
      <c r="AE986" s="32" t="str" cm="1">
        <f t="array" ref="AE986">IFERROR(IF(INDEX(SubsidieTabel!$AD$1:$AG$12,MATCH($F986,SubsidieTabel!$AD$1:$AD$12,0),IFERROR(MATCH(Methode_Keuze,SubsidieTabel!$AD$1:$AG$1,0),2))&lt;&gt;1=TRUE,"ja",""),"")</f>
        <v/>
      </c>
    </row>
    <row r="987" spans="1:31" x14ac:dyDescent="0.25">
      <c r="A987" s="316"/>
      <c r="B987" s="317" t="str">
        <f>IF(A987&lt;&gt;"",_xlfn.MAXIFS($B$1:B986,$A$1:A986,A987)+1,"")</f>
        <v/>
      </c>
      <c r="C987" s="296"/>
      <c r="D987" s="296"/>
      <c r="E987" s="296"/>
      <c r="F987" s="296"/>
      <c r="G987" s="326"/>
      <c r="H987" s="324"/>
      <c r="I987" s="325"/>
      <c r="J987" s="325"/>
      <c r="K987" s="318"/>
      <c r="L987" s="318"/>
      <c r="M987" s="319" t="str">
        <f>IFERROR(VLOOKUP(H987,Lijsten!$H$1:$I$100,2,0),"")</f>
        <v/>
      </c>
      <c r="N987" s="319" t="str">
        <f ca="1">IFERROR(IF(VLOOKUP(F987,Kostentypen!$A$3:$E$21,3,0)=0,"",IF(OR(F987="Arbeidskosten",F987="Vergoeding"),VLOOKUP(G987,Tb_KostenTypen[],2,0),VLOOKUP(F987,Kostentypen!$A$3:$E$20,3,0))),"")</f>
        <v/>
      </c>
      <c r="O987" s="320" t="str" cm="1">
        <f t="array" ref="O987">_xlfn.IFNA(IF(INDEX(Tb_KostenOptiesDB[],MATCH($F987,Tb_KostenOptiesDB[KostenOptie],0),IFERROR(MATCH(Methode_Keuze,Tb_KostenOptiesDB[#Headers],0),2))=1,_xlfn.SWITCH($N987,"Uurtarief",IF(OR(AND(RIGHT($F987,3)="IKS",VLOOKUP($M987,DB_Loonkosten,2,0)="Ja"),AND(RIGHT($F987,3)&lt;&gt;"IKS",VLOOKUP($M987,DB_Loonkosten,2,0)="Nee")),IFERROR(VLOOKUP($M987,DB_Loonkosten,24,0),""),0),"Vast tarief",IF(LEFT(F987,8)="Bijdrage",VLOOKUP($F987,Tb_KostenTypen[],MATCH(Lijsten!$P$1,Tb_KostenTypen[#Headers],0),0),VLOOKUP($G987,Lijsten!L:P,MATCH(Lijsten!$P$1,Kop_Tarief_Vast,0),0))),""),"")</f>
        <v/>
      </c>
      <c r="P987" s="320" t="str" cm="1">
        <f t="array" ref="P987">_xlfn.IFNA(IF(INDEX(Tb_KostenOptiesDB[],MATCH($F987,Tb_KostenOptiesDB[KostenOptie],0),IFERROR(MATCH(Methode_Keuze,Tb_KostenOptiesDB[#Headers],0),2))=1,_xlfn.SWITCH($N987,"Uurtarief",IF(OR(AND(RIGHT($F987,3)="IKS",VLOOKUP($M987,DB_Loonkosten,2,0)="Ja"),AND(RIGHT($F987,3)&lt;&gt;"IKS",VLOOKUP($M987,DB_Loonkosten,2,0)="Nee")),IFERROR(VLOOKUP($M987,DB_Loonkosten,25,0),""),0),"Vast tarief",IF(LEFT(F987,8)="Bijdrage",VLOOKUP($F987,Tb_KostenTypen[],MATCH(Lijsten!$P$1,Tb_KostenTypen[#Headers],0),0),VLOOKUP($G987,Lijsten!L:P,MATCH(Lijsten!$P$1,Kop_Tarief_Vast,0),0))),""),"")</f>
        <v/>
      </c>
      <c r="Q987" s="359"/>
      <c r="R987" s="359"/>
      <c r="S987" s="321"/>
      <c r="T987" s="321"/>
      <c r="U987" s="373" t="str">
        <f t="shared" si="60"/>
        <v/>
      </c>
      <c r="V987" s="314" t="str">
        <f t="shared" si="61"/>
        <v/>
      </c>
      <c r="W987" s="314" t="str" cm="1">
        <f t="array" aca="1" ref="W987" ca="1">IFERROR(IF(AE987&lt;&gt;"ja",_xlfn.IFNA(_xlfn.IFS(AND(O987&lt;&gt;"",F987&lt;&gt;"",RIGHT($N987,6)="tarief",F987="Vergoeding"),SUM(O987)*FLOOR(SUM(Q987),0.0001),AND(O987&lt;&gt;"",F987&lt;&gt;"",RIGHT($N987,6)="tarief"),SUM(O987)*FLOOR(SUM(Q987),0.01),S987&gt;0,IF(F987&lt;&gt;"",FLOOR(SUM(S987),0.01),"")),""),""),"")</f>
        <v/>
      </c>
      <c r="X987" s="314" t="str" cm="1">
        <f t="array" aca="1" ref="X987" ca="1">IFERROR(IF(AE987&lt;&gt;"ja",_xlfn.IFNA(_xlfn.IFS(AND(P987&lt;&gt;"",R987&lt;&gt;"",RIGHT($N987,6)="tarief",F987="Vergoeding"),SUM(P987)*FLOOR(SUM(R987),0.0001),AND(P987&lt;&gt;"",R987&lt;&gt;"",RIGHT($N987,6)="tarief"),P987*FLOOR(R987,0.01),T987&gt;0,FLOOR(SUM(T987),0.01)),""),""),"")</f>
        <v/>
      </c>
      <c r="Y987" s="314" t="str">
        <f t="shared" ca="1" si="62"/>
        <v/>
      </c>
      <c r="Z987" s="314" t="str" cm="1">
        <f t="array" aca="1" ref="Z987" ca="1">IFERROR(_xlfn.IFS(OR(F987="",LEFT(Methode_Keuze,4)="Geen",Methode_Keuze=""),"",AND(W987&lt;&gt;"",F987&lt;&gt;"Arbeidskosten"),W987*VLOOKUP(F987,Tb_ProjectKosten[],MATCH(Tb_ProjectKosten[[#Headers],[Forfait_Percentage]],Tb_ProjectKosten[#Headers],0),0),AND(F987="Arbeidskosten",G987&lt;&gt;""),IFERROR(W987*VLOOKUP(G987,Tb_KostenTypen[],3,0)*VLOOKUP(F987,Tb_ProjectKosten[],MATCH(Tb_ProjectKosten[[#Headers],[Forfait_Percentage]],Tb_ProjectKosten[#Headers],0),0),""),W987 &lt;=0,0),"")</f>
        <v/>
      </c>
      <c r="AA987" s="314" t="str" cm="1">
        <f t="array" aca="1" ref="AA987" ca="1">IFERROR(_xlfn.IFS(OR(F987="",LEFT(Methode_Keuze,4)="Geen",Methode_Keuze=""),"",AND(X987&lt;&gt;"",F987&lt;&gt;"Arbeidskosten"),X987*VLOOKUP(F987,Tb_ProjectKosten[],MATCH(Tb_ProjectKosten[[#Headers],[Forfait_Percentage]],Tb_ProjectKosten[#Headers],0),0),AND(F987="Arbeidskosten",G987&lt;&gt;""),IFERROR(X987*VLOOKUP(G987,Tb_KostenTypen[],3,0)*VLOOKUP(F987,Tb_ProjectKosten[],MATCH(Tb_ProjectKosten[[#Headers],[Forfait_Percentage]],Tb_ProjectKosten[#Headers],0),0),""),X987 &lt;=0,0),"")</f>
        <v/>
      </c>
      <c r="AB987" s="314" t="str">
        <f t="shared" ca="1" si="63"/>
        <v/>
      </c>
      <c r="AC987" s="322"/>
      <c r="AD987" s="315"/>
      <c r="AE987" s="32" t="str" cm="1">
        <f t="array" ref="AE987">IFERROR(IF(INDEX(SubsidieTabel!$AD$1:$AG$12,MATCH($F987,SubsidieTabel!$AD$1:$AD$12,0),IFERROR(MATCH(Methode_Keuze,SubsidieTabel!$AD$1:$AG$1,0),2))&lt;&gt;1=TRUE,"ja",""),"")</f>
        <v/>
      </c>
    </row>
    <row r="988" spans="1:31" x14ac:dyDescent="0.25">
      <c r="A988" s="316"/>
      <c r="B988" s="317" t="str">
        <f>IF(A988&lt;&gt;"",_xlfn.MAXIFS($B$1:B987,$A$1:A987,A988)+1,"")</f>
        <v/>
      </c>
      <c r="C988" s="296"/>
      <c r="D988" s="296"/>
      <c r="E988" s="296"/>
      <c r="F988" s="296"/>
      <c r="G988" s="326"/>
      <c r="H988" s="324"/>
      <c r="I988" s="325"/>
      <c r="J988" s="325"/>
      <c r="K988" s="318"/>
      <c r="L988" s="318"/>
      <c r="M988" s="319" t="str">
        <f>IFERROR(VLOOKUP(H988,Lijsten!$H$1:$I$100,2,0),"")</f>
        <v/>
      </c>
      <c r="N988" s="319" t="str">
        <f ca="1">IFERROR(IF(VLOOKUP(F988,Kostentypen!$A$3:$E$21,3,0)=0,"",IF(OR(F988="Arbeidskosten",F988="Vergoeding"),VLOOKUP(G988,Tb_KostenTypen[],2,0),VLOOKUP(F988,Kostentypen!$A$3:$E$20,3,0))),"")</f>
        <v/>
      </c>
      <c r="O988" s="320" t="str" cm="1">
        <f t="array" ref="O988">_xlfn.IFNA(IF(INDEX(Tb_KostenOptiesDB[],MATCH($F988,Tb_KostenOptiesDB[KostenOptie],0),IFERROR(MATCH(Methode_Keuze,Tb_KostenOptiesDB[#Headers],0),2))=1,_xlfn.SWITCH($N988,"Uurtarief",IF(OR(AND(RIGHT($F988,3)="IKS",VLOOKUP($M988,DB_Loonkosten,2,0)="Ja"),AND(RIGHT($F988,3)&lt;&gt;"IKS",VLOOKUP($M988,DB_Loonkosten,2,0)="Nee")),IFERROR(VLOOKUP($M988,DB_Loonkosten,24,0),""),0),"Vast tarief",IF(LEFT(F988,8)="Bijdrage",VLOOKUP($F988,Tb_KostenTypen[],MATCH(Lijsten!$P$1,Tb_KostenTypen[#Headers],0),0),VLOOKUP($G988,Lijsten!L:P,MATCH(Lijsten!$P$1,Kop_Tarief_Vast,0),0))),""),"")</f>
        <v/>
      </c>
      <c r="P988" s="320" t="str" cm="1">
        <f t="array" ref="P988">_xlfn.IFNA(IF(INDEX(Tb_KostenOptiesDB[],MATCH($F988,Tb_KostenOptiesDB[KostenOptie],0),IFERROR(MATCH(Methode_Keuze,Tb_KostenOptiesDB[#Headers],0),2))=1,_xlfn.SWITCH($N988,"Uurtarief",IF(OR(AND(RIGHT($F988,3)="IKS",VLOOKUP($M988,DB_Loonkosten,2,0)="Ja"),AND(RIGHT($F988,3)&lt;&gt;"IKS",VLOOKUP($M988,DB_Loonkosten,2,0)="Nee")),IFERROR(VLOOKUP($M988,DB_Loonkosten,25,0),""),0),"Vast tarief",IF(LEFT(F988,8)="Bijdrage",VLOOKUP($F988,Tb_KostenTypen[],MATCH(Lijsten!$P$1,Tb_KostenTypen[#Headers],0),0),VLOOKUP($G988,Lijsten!L:P,MATCH(Lijsten!$P$1,Kop_Tarief_Vast,0),0))),""),"")</f>
        <v/>
      </c>
      <c r="Q988" s="359"/>
      <c r="R988" s="359"/>
      <c r="S988" s="321"/>
      <c r="T988" s="321"/>
      <c r="U988" s="373" t="str">
        <f t="shared" si="60"/>
        <v/>
      </c>
      <c r="V988" s="314" t="str">
        <f t="shared" si="61"/>
        <v/>
      </c>
      <c r="W988" s="314" t="str" cm="1">
        <f t="array" aca="1" ref="W988" ca="1">IFERROR(IF(AE988&lt;&gt;"ja",_xlfn.IFNA(_xlfn.IFS(AND(O988&lt;&gt;"",F988&lt;&gt;"",RIGHT($N988,6)="tarief",F988="Vergoeding"),SUM(O988)*FLOOR(SUM(Q988),0.0001),AND(O988&lt;&gt;"",F988&lt;&gt;"",RIGHT($N988,6)="tarief"),SUM(O988)*FLOOR(SUM(Q988),0.01),S988&gt;0,IF(F988&lt;&gt;"",FLOOR(SUM(S988),0.01),"")),""),""),"")</f>
        <v/>
      </c>
      <c r="X988" s="314" t="str" cm="1">
        <f t="array" aca="1" ref="X988" ca="1">IFERROR(IF(AE988&lt;&gt;"ja",_xlfn.IFNA(_xlfn.IFS(AND(P988&lt;&gt;"",R988&lt;&gt;"",RIGHT($N988,6)="tarief",F988="Vergoeding"),SUM(P988)*FLOOR(SUM(R988),0.0001),AND(P988&lt;&gt;"",R988&lt;&gt;"",RIGHT($N988,6)="tarief"),P988*FLOOR(R988,0.01),T988&gt;0,FLOOR(SUM(T988),0.01)),""),""),"")</f>
        <v/>
      </c>
      <c r="Y988" s="314" t="str">
        <f t="shared" ca="1" si="62"/>
        <v/>
      </c>
      <c r="Z988" s="314" t="str" cm="1">
        <f t="array" aca="1" ref="Z988" ca="1">IFERROR(_xlfn.IFS(OR(F988="",LEFT(Methode_Keuze,4)="Geen",Methode_Keuze=""),"",AND(W988&lt;&gt;"",F988&lt;&gt;"Arbeidskosten"),W988*VLOOKUP(F988,Tb_ProjectKosten[],MATCH(Tb_ProjectKosten[[#Headers],[Forfait_Percentage]],Tb_ProjectKosten[#Headers],0),0),AND(F988="Arbeidskosten",G988&lt;&gt;""),IFERROR(W988*VLOOKUP(G988,Tb_KostenTypen[],3,0)*VLOOKUP(F988,Tb_ProjectKosten[],MATCH(Tb_ProjectKosten[[#Headers],[Forfait_Percentage]],Tb_ProjectKosten[#Headers],0),0),""),W988 &lt;=0,0),"")</f>
        <v/>
      </c>
      <c r="AA988" s="314" t="str" cm="1">
        <f t="array" aca="1" ref="AA988" ca="1">IFERROR(_xlfn.IFS(OR(F988="",LEFT(Methode_Keuze,4)="Geen",Methode_Keuze=""),"",AND(X988&lt;&gt;"",F988&lt;&gt;"Arbeidskosten"),X988*VLOOKUP(F988,Tb_ProjectKosten[],MATCH(Tb_ProjectKosten[[#Headers],[Forfait_Percentage]],Tb_ProjectKosten[#Headers],0),0),AND(F988="Arbeidskosten",G988&lt;&gt;""),IFERROR(X988*VLOOKUP(G988,Tb_KostenTypen[],3,0)*VLOOKUP(F988,Tb_ProjectKosten[],MATCH(Tb_ProjectKosten[[#Headers],[Forfait_Percentage]],Tb_ProjectKosten[#Headers],0),0),""),X988 &lt;=0,0),"")</f>
        <v/>
      </c>
      <c r="AB988" s="314" t="str">
        <f t="shared" ca="1" si="63"/>
        <v/>
      </c>
      <c r="AC988" s="322"/>
      <c r="AD988" s="315"/>
      <c r="AE988" s="32" t="str" cm="1">
        <f t="array" ref="AE988">IFERROR(IF(INDEX(SubsidieTabel!$AD$1:$AG$12,MATCH($F988,SubsidieTabel!$AD$1:$AD$12,0),IFERROR(MATCH(Methode_Keuze,SubsidieTabel!$AD$1:$AG$1,0),2))&lt;&gt;1=TRUE,"ja",""),"")</f>
        <v/>
      </c>
    </row>
    <row r="989" spans="1:31" x14ac:dyDescent="0.25">
      <c r="A989" s="316"/>
      <c r="B989" s="317" t="str">
        <f>IF(A989&lt;&gt;"",_xlfn.MAXIFS($B$1:B988,$A$1:A988,A989)+1,"")</f>
        <v/>
      </c>
      <c r="C989" s="296"/>
      <c r="D989" s="296"/>
      <c r="E989" s="296"/>
      <c r="F989" s="296"/>
      <c r="G989" s="326"/>
      <c r="H989" s="324"/>
      <c r="I989" s="325"/>
      <c r="J989" s="325"/>
      <c r="K989" s="318"/>
      <c r="L989" s="318"/>
      <c r="M989" s="319" t="str">
        <f>IFERROR(VLOOKUP(H989,Lijsten!$H$1:$I$100,2,0),"")</f>
        <v/>
      </c>
      <c r="N989" s="319" t="str">
        <f ca="1">IFERROR(IF(VLOOKUP(F989,Kostentypen!$A$3:$E$21,3,0)=0,"",IF(OR(F989="Arbeidskosten",F989="Vergoeding"),VLOOKUP(G989,Tb_KostenTypen[],2,0),VLOOKUP(F989,Kostentypen!$A$3:$E$20,3,0))),"")</f>
        <v/>
      </c>
      <c r="O989" s="320" t="str" cm="1">
        <f t="array" ref="O989">_xlfn.IFNA(IF(INDEX(Tb_KostenOptiesDB[],MATCH($F989,Tb_KostenOptiesDB[KostenOptie],0),IFERROR(MATCH(Methode_Keuze,Tb_KostenOptiesDB[#Headers],0),2))=1,_xlfn.SWITCH($N989,"Uurtarief",IF(OR(AND(RIGHT($F989,3)="IKS",VLOOKUP($M989,DB_Loonkosten,2,0)="Ja"),AND(RIGHT($F989,3)&lt;&gt;"IKS",VLOOKUP($M989,DB_Loonkosten,2,0)="Nee")),IFERROR(VLOOKUP($M989,DB_Loonkosten,24,0),""),0),"Vast tarief",IF(LEFT(F989,8)="Bijdrage",VLOOKUP($F989,Tb_KostenTypen[],MATCH(Lijsten!$P$1,Tb_KostenTypen[#Headers],0),0),VLOOKUP($G989,Lijsten!L:P,MATCH(Lijsten!$P$1,Kop_Tarief_Vast,0),0))),""),"")</f>
        <v/>
      </c>
      <c r="P989" s="320" t="str" cm="1">
        <f t="array" ref="P989">_xlfn.IFNA(IF(INDEX(Tb_KostenOptiesDB[],MATCH($F989,Tb_KostenOptiesDB[KostenOptie],0),IFERROR(MATCH(Methode_Keuze,Tb_KostenOptiesDB[#Headers],0),2))=1,_xlfn.SWITCH($N989,"Uurtarief",IF(OR(AND(RIGHT($F989,3)="IKS",VLOOKUP($M989,DB_Loonkosten,2,0)="Ja"),AND(RIGHT($F989,3)&lt;&gt;"IKS",VLOOKUP($M989,DB_Loonkosten,2,0)="Nee")),IFERROR(VLOOKUP($M989,DB_Loonkosten,25,0),""),0),"Vast tarief",IF(LEFT(F989,8)="Bijdrage",VLOOKUP($F989,Tb_KostenTypen[],MATCH(Lijsten!$P$1,Tb_KostenTypen[#Headers],0),0),VLOOKUP($G989,Lijsten!L:P,MATCH(Lijsten!$P$1,Kop_Tarief_Vast,0),0))),""),"")</f>
        <v/>
      </c>
      <c r="Q989" s="359"/>
      <c r="R989" s="359"/>
      <c r="S989" s="321"/>
      <c r="T989" s="321"/>
      <c r="U989" s="373" t="str">
        <f t="shared" si="60"/>
        <v/>
      </c>
      <c r="V989" s="314" t="str">
        <f t="shared" si="61"/>
        <v/>
      </c>
      <c r="W989" s="314" t="str" cm="1">
        <f t="array" aca="1" ref="W989" ca="1">IFERROR(IF(AE989&lt;&gt;"ja",_xlfn.IFNA(_xlfn.IFS(AND(O989&lt;&gt;"",F989&lt;&gt;"",RIGHT($N989,6)="tarief",F989="Vergoeding"),SUM(O989)*FLOOR(SUM(Q989),0.0001),AND(O989&lt;&gt;"",F989&lt;&gt;"",RIGHT($N989,6)="tarief"),SUM(O989)*FLOOR(SUM(Q989),0.01),S989&gt;0,IF(F989&lt;&gt;"",FLOOR(SUM(S989),0.01),"")),""),""),"")</f>
        <v/>
      </c>
      <c r="X989" s="314" t="str" cm="1">
        <f t="array" aca="1" ref="X989" ca="1">IFERROR(IF(AE989&lt;&gt;"ja",_xlfn.IFNA(_xlfn.IFS(AND(P989&lt;&gt;"",R989&lt;&gt;"",RIGHT($N989,6)="tarief",F989="Vergoeding"),SUM(P989)*FLOOR(SUM(R989),0.0001),AND(P989&lt;&gt;"",R989&lt;&gt;"",RIGHT($N989,6)="tarief"),P989*FLOOR(R989,0.01),T989&gt;0,FLOOR(SUM(T989),0.01)),""),""),"")</f>
        <v/>
      </c>
      <c r="Y989" s="314" t="str">
        <f t="shared" ca="1" si="62"/>
        <v/>
      </c>
      <c r="Z989" s="314" t="str" cm="1">
        <f t="array" aca="1" ref="Z989" ca="1">IFERROR(_xlfn.IFS(OR(F989="",LEFT(Methode_Keuze,4)="Geen",Methode_Keuze=""),"",AND(W989&lt;&gt;"",F989&lt;&gt;"Arbeidskosten"),W989*VLOOKUP(F989,Tb_ProjectKosten[],MATCH(Tb_ProjectKosten[[#Headers],[Forfait_Percentage]],Tb_ProjectKosten[#Headers],0),0),AND(F989="Arbeidskosten",G989&lt;&gt;""),IFERROR(W989*VLOOKUP(G989,Tb_KostenTypen[],3,0)*VLOOKUP(F989,Tb_ProjectKosten[],MATCH(Tb_ProjectKosten[[#Headers],[Forfait_Percentage]],Tb_ProjectKosten[#Headers],0),0),""),W989 &lt;=0,0),"")</f>
        <v/>
      </c>
      <c r="AA989" s="314" t="str" cm="1">
        <f t="array" aca="1" ref="AA989" ca="1">IFERROR(_xlfn.IFS(OR(F989="",LEFT(Methode_Keuze,4)="Geen",Methode_Keuze=""),"",AND(X989&lt;&gt;"",F989&lt;&gt;"Arbeidskosten"),X989*VLOOKUP(F989,Tb_ProjectKosten[],MATCH(Tb_ProjectKosten[[#Headers],[Forfait_Percentage]],Tb_ProjectKosten[#Headers],0),0),AND(F989="Arbeidskosten",G989&lt;&gt;""),IFERROR(X989*VLOOKUP(G989,Tb_KostenTypen[],3,0)*VLOOKUP(F989,Tb_ProjectKosten[],MATCH(Tb_ProjectKosten[[#Headers],[Forfait_Percentage]],Tb_ProjectKosten[#Headers],0),0),""),X989 &lt;=0,0),"")</f>
        <v/>
      </c>
      <c r="AB989" s="314" t="str">
        <f t="shared" ca="1" si="63"/>
        <v/>
      </c>
      <c r="AC989" s="322"/>
      <c r="AD989" s="315"/>
      <c r="AE989" s="32" t="str" cm="1">
        <f t="array" ref="AE989">IFERROR(IF(INDEX(SubsidieTabel!$AD$1:$AG$12,MATCH($F989,SubsidieTabel!$AD$1:$AD$12,0),IFERROR(MATCH(Methode_Keuze,SubsidieTabel!$AD$1:$AG$1,0),2))&lt;&gt;1=TRUE,"ja",""),"")</f>
        <v/>
      </c>
    </row>
    <row r="990" spans="1:31" x14ac:dyDescent="0.25">
      <c r="A990" s="316"/>
      <c r="B990" s="317" t="str">
        <f>IF(A990&lt;&gt;"",_xlfn.MAXIFS($B$1:B989,$A$1:A989,A990)+1,"")</f>
        <v/>
      </c>
      <c r="C990" s="296"/>
      <c r="D990" s="296"/>
      <c r="E990" s="296"/>
      <c r="F990" s="296"/>
      <c r="G990" s="326"/>
      <c r="H990" s="324"/>
      <c r="I990" s="325"/>
      <c r="J990" s="325"/>
      <c r="K990" s="318"/>
      <c r="L990" s="318"/>
      <c r="M990" s="319" t="str">
        <f>IFERROR(VLOOKUP(H990,Lijsten!$H$1:$I$100,2,0),"")</f>
        <v/>
      </c>
      <c r="N990" s="319" t="str">
        <f ca="1">IFERROR(IF(VLOOKUP(F990,Kostentypen!$A$3:$E$21,3,0)=0,"",IF(OR(F990="Arbeidskosten",F990="Vergoeding"),VLOOKUP(G990,Tb_KostenTypen[],2,0),VLOOKUP(F990,Kostentypen!$A$3:$E$20,3,0))),"")</f>
        <v/>
      </c>
      <c r="O990" s="320" t="str" cm="1">
        <f t="array" ref="O990">_xlfn.IFNA(IF(INDEX(Tb_KostenOptiesDB[],MATCH($F990,Tb_KostenOptiesDB[KostenOptie],0),IFERROR(MATCH(Methode_Keuze,Tb_KostenOptiesDB[#Headers],0),2))=1,_xlfn.SWITCH($N990,"Uurtarief",IF(OR(AND(RIGHT($F990,3)="IKS",VLOOKUP($M990,DB_Loonkosten,2,0)="Ja"),AND(RIGHT($F990,3)&lt;&gt;"IKS",VLOOKUP($M990,DB_Loonkosten,2,0)="Nee")),IFERROR(VLOOKUP($M990,DB_Loonkosten,24,0),""),0),"Vast tarief",IF(LEFT(F990,8)="Bijdrage",VLOOKUP($F990,Tb_KostenTypen[],MATCH(Lijsten!$P$1,Tb_KostenTypen[#Headers],0),0),VLOOKUP($G990,Lijsten!L:P,MATCH(Lijsten!$P$1,Kop_Tarief_Vast,0),0))),""),"")</f>
        <v/>
      </c>
      <c r="P990" s="320" t="str" cm="1">
        <f t="array" ref="P990">_xlfn.IFNA(IF(INDEX(Tb_KostenOptiesDB[],MATCH($F990,Tb_KostenOptiesDB[KostenOptie],0),IFERROR(MATCH(Methode_Keuze,Tb_KostenOptiesDB[#Headers],0),2))=1,_xlfn.SWITCH($N990,"Uurtarief",IF(OR(AND(RIGHT($F990,3)="IKS",VLOOKUP($M990,DB_Loonkosten,2,0)="Ja"),AND(RIGHT($F990,3)&lt;&gt;"IKS",VLOOKUP($M990,DB_Loonkosten,2,0)="Nee")),IFERROR(VLOOKUP($M990,DB_Loonkosten,25,0),""),0),"Vast tarief",IF(LEFT(F990,8)="Bijdrage",VLOOKUP($F990,Tb_KostenTypen[],MATCH(Lijsten!$P$1,Tb_KostenTypen[#Headers],0),0),VLOOKUP($G990,Lijsten!L:P,MATCH(Lijsten!$P$1,Kop_Tarief_Vast,0),0))),""),"")</f>
        <v/>
      </c>
      <c r="Q990" s="359"/>
      <c r="R990" s="359"/>
      <c r="S990" s="321"/>
      <c r="T990" s="321"/>
      <c r="U990" s="373" t="str">
        <f t="shared" si="60"/>
        <v/>
      </c>
      <c r="V990" s="314" t="str">
        <f t="shared" si="61"/>
        <v/>
      </c>
      <c r="W990" s="314" t="str" cm="1">
        <f t="array" aca="1" ref="W990" ca="1">IFERROR(IF(AE990&lt;&gt;"ja",_xlfn.IFNA(_xlfn.IFS(AND(O990&lt;&gt;"",F990&lt;&gt;"",RIGHT($N990,6)="tarief",F990="Vergoeding"),SUM(O990)*FLOOR(SUM(Q990),0.0001),AND(O990&lt;&gt;"",F990&lt;&gt;"",RIGHT($N990,6)="tarief"),SUM(O990)*FLOOR(SUM(Q990),0.01),S990&gt;0,IF(F990&lt;&gt;"",FLOOR(SUM(S990),0.01),"")),""),""),"")</f>
        <v/>
      </c>
      <c r="X990" s="314" t="str" cm="1">
        <f t="array" aca="1" ref="X990" ca="1">IFERROR(IF(AE990&lt;&gt;"ja",_xlfn.IFNA(_xlfn.IFS(AND(P990&lt;&gt;"",R990&lt;&gt;"",RIGHT($N990,6)="tarief",F990="Vergoeding"),SUM(P990)*FLOOR(SUM(R990),0.0001),AND(P990&lt;&gt;"",R990&lt;&gt;"",RIGHT($N990,6)="tarief"),P990*FLOOR(R990,0.01),T990&gt;0,FLOOR(SUM(T990),0.01)),""),""),"")</f>
        <v/>
      </c>
      <c r="Y990" s="314" t="str">
        <f t="shared" ca="1" si="62"/>
        <v/>
      </c>
      <c r="Z990" s="314" t="str" cm="1">
        <f t="array" aca="1" ref="Z990" ca="1">IFERROR(_xlfn.IFS(OR(F990="",LEFT(Methode_Keuze,4)="Geen",Methode_Keuze=""),"",AND(W990&lt;&gt;"",F990&lt;&gt;"Arbeidskosten"),W990*VLOOKUP(F990,Tb_ProjectKosten[],MATCH(Tb_ProjectKosten[[#Headers],[Forfait_Percentage]],Tb_ProjectKosten[#Headers],0),0),AND(F990="Arbeidskosten",G990&lt;&gt;""),IFERROR(W990*VLOOKUP(G990,Tb_KostenTypen[],3,0)*VLOOKUP(F990,Tb_ProjectKosten[],MATCH(Tb_ProjectKosten[[#Headers],[Forfait_Percentage]],Tb_ProjectKosten[#Headers],0),0),""),W990 &lt;=0,0),"")</f>
        <v/>
      </c>
      <c r="AA990" s="314" t="str" cm="1">
        <f t="array" aca="1" ref="AA990" ca="1">IFERROR(_xlfn.IFS(OR(F990="",LEFT(Methode_Keuze,4)="Geen",Methode_Keuze=""),"",AND(X990&lt;&gt;"",F990&lt;&gt;"Arbeidskosten"),X990*VLOOKUP(F990,Tb_ProjectKosten[],MATCH(Tb_ProjectKosten[[#Headers],[Forfait_Percentage]],Tb_ProjectKosten[#Headers],0),0),AND(F990="Arbeidskosten",G990&lt;&gt;""),IFERROR(X990*VLOOKUP(G990,Tb_KostenTypen[],3,0)*VLOOKUP(F990,Tb_ProjectKosten[],MATCH(Tb_ProjectKosten[[#Headers],[Forfait_Percentage]],Tb_ProjectKosten[#Headers],0),0),""),X990 &lt;=0,0),"")</f>
        <v/>
      </c>
      <c r="AB990" s="314" t="str">
        <f t="shared" ca="1" si="63"/>
        <v/>
      </c>
      <c r="AC990" s="322"/>
      <c r="AD990" s="315"/>
      <c r="AE990" s="32" t="str" cm="1">
        <f t="array" ref="AE990">IFERROR(IF(INDEX(SubsidieTabel!$AD$1:$AG$12,MATCH($F990,SubsidieTabel!$AD$1:$AD$12,0),IFERROR(MATCH(Methode_Keuze,SubsidieTabel!$AD$1:$AG$1,0),2))&lt;&gt;1=TRUE,"ja",""),"")</f>
        <v/>
      </c>
    </row>
    <row r="991" spans="1:31" x14ac:dyDescent="0.25">
      <c r="A991" s="316"/>
      <c r="B991" s="317" t="str">
        <f>IF(A991&lt;&gt;"",_xlfn.MAXIFS($B$1:B990,$A$1:A990,A991)+1,"")</f>
        <v/>
      </c>
      <c r="C991" s="296"/>
      <c r="D991" s="296"/>
      <c r="E991" s="296"/>
      <c r="F991" s="296"/>
      <c r="G991" s="326"/>
      <c r="H991" s="324"/>
      <c r="I991" s="325"/>
      <c r="J991" s="325"/>
      <c r="K991" s="318"/>
      <c r="L991" s="318"/>
      <c r="M991" s="319" t="str">
        <f>IFERROR(VLOOKUP(H991,Lijsten!$H$1:$I$100,2,0),"")</f>
        <v/>
      </c>
      <c r="N991" s="319" t="str">
        <f ca="1">IFERROR(IF(VLOOKUP(F991,Kostentypen!$A$3:$E$21,3,0)=0,"",IF(OR(F991="Arbeidskosten",F991="Vergoeding"),VLOOKUP(G991,Tb_KostenTypen[],2,0),VLOOKUP(F991,Kostentypen!$A$3:$E$20,3,0))),"")</f>
        <v/>
      </c>
      <c r="O991" s="320" t="str" cm="1">
        <f t="array" ref="O991">_xlfn.IFNA(IF(INDEX(Tb_KostenOptiesDB[],MATCH($F991,Tb_KostenOptiesDB[KostenOptie],0),IFERROR(MATCH(Methode_Keuze,Tb_KostenOptiesDB[#Headers],0),2))=1,_xlfn.SWITCH($N991,"Uurtarief",IF(OR(AND(RIGHT($F991,3)="IKS",VLOOKUP($M991,DB_Loonkosten,2,0)="Ja"),AND(RIGHT($F991,3)&lt;&gt;"IKS",VLOOKUP($M991,DB_Loonkosten,2,0)="Nee")),IFERROR(VLOOKUP($M991,DB_Loonkosten,24,0),""),0),"Vast tarief",IF(LEFT(F991,8)="Bijdrage",VLOOKUP($F991,Tb_KostenTypen[],MATCH(Lijsten!$P$1,Tb_KostenTypen[#Headers],0),0),VLOOKUP($G991,Lijsten!L:P,MATCH(Lijsten!$P$1,Kop_Tarief_Vast,0),0))),""),"")</f>
        <v/>
      </c>
      <c r="P991" s="320" t="str" cm="1">
        <f t="array" ref="P991">_xlfn.IFNA(IF(INDEX(Tb_KostenOptiesDB[],MATCH($F991,Tb_KostenOptiesDB[KostenOptie],0),IFERROR(MATCH(Methode_Keuze,Tb_KostenOptiesDB[#Headers],0),2))=1,_xlfn.SWITCH($N991,"Uurtarief",IF(OR(AND(RIGHT($F991,3)="IKS",VLOOKUP($M991,DB_Loonkosten,2,0)="Ja"),AND(RIGHT($F991,3)&lt;&gt;"IKS",VLOOKUP($M991,DB_Loonkosten,2,0)="Nee")),IFERROR(VLOOKUP($M991,DB_Loonkosten,25,0),""),0),"Vast tarief",IF(LEFT(F991,8)="Bijdrage",VLOOKUP($F991,Tb_KostenTypen[],MATCH(Lijsten!$P$1,Tb_KostenTypen[#Headers],0),0),VLOOKUP($G991,Lijsten!L:P,MATCH(Lijsten!$P$1,Kop_Tarief_Vast,0),0))),""),"")</f>
        <v/>
      </c>
      <c r="Q991" s="359"/>
      <c r="R991" s="359"/>
      <c r="S991" s="321"/>
      <c r="T991" s="321"/>
      <c r="U991" s="373" t="str">
        <f t="shared" si="60"/>
        <v/>
      </c>
      <c r="V991" s="314" t="str">
        <f t="shared" si="61"/>
        <v/>
      </c>
      <c r="W991" s="314" t="str" cm="1">
        <f t="array" aca="1" ref="W991" ca="1">IFERROR(IF(AE991&lt;&gt;"ja",_xlfn.IFNA(_xlfn.IFS(AND(O991&lt;&gt;"",F991&lt;&gt;"",RIGHT($N991,6)="tarief",F991="Vergoeding"),SUM(O991)*FLOOR(SUM(Q991),0.0001),AND(O991&lt;&gt;"",F991&lt;&gt;"",RIGHT($N991,6)="tarief"),SUM(O991)*FLOOR(SUM(Q991),0.01),S991&gt;0,IF(F991&lt;&gt;"",FLOOR(SUM(S991),0.01),"")),""),""),"")</f>
        <v/>
      </c>
      <c r="X991" s="314" t="str" cm="1">
        <f t="array" aca="1" ref="X991" ca="1">IFERROR(IF(AE991&lt;&gt;"ja",_xlfn.IFNA(_xlfn.IFS(AND(P991&lt;&gt;"",R991&lt;&gt;"",RIGHT($N991,6)="tarief",F991="Vergoeding"),SUM(P991)*FLOOR(SUM(R991),0.0001),AND(P991&lt;&gt;"",R991&lt;&gt;"",RIGHT($N991,6)="tarief"),P991*FLOOR(R991,0.01),T991&gt;0,FLOOR(SUM(T991),0.01)),""),""),"")</f>
        <v/>
      </c>
      <c r="Y991" s="314" t="str">
        <f t="shared" ca="1" si="62"/>
        <v/>
      </c>
      <c r="Z991" s="314" t="str" cm="1">
        <f t="array" aca="1" ref="Z991" ca="1">IFERROR(_xlfn.IFS(OR(F991="",LEFT(Methode_Keuze,4)="Geen",Methode_Keuze=""),"",AND(W991&lt;&gt;"",F991&lt;&gt;"Arbeidskosten"),W991*VLOOKUP(F991,Tb_ProjectKosten[],MATCH(Tb_ProjectKosten[[#Headers],[Forfait_Percentage]],Tb_ProjectKosten[#Headers],0),0),AND(F991="Arbeidskosten",G991&lt;&gt;""),IFERROR(W991*VLOOKUP(G991,Tb_KostenTypen[],3,0)*VLOOKUP(F991,Tb_ProjectKosten[],MATCH(Tb_ProjectKosten[[#Headers],[Forfait_Percentage]],Tb_ProjectKosten[#Headers],0),0),""),W991 &lt;=0,0),"")</f>
        <v/>
      </c>
      <c r="AA991" s="314" t="str" cm="1">
        <f t="array" aca="1" ref="AA991" ca="1">IFERROR(_xlfn.IFS(OR(F991="",LEFT(Methode_Keuze,4)="Geen",Methode_Keuze=""),"",AND(X991&lt;&gt;"",F991&lt;&gt;"Arbeidskosten"),X991*VLOOKUP(F991,Tb_ProjectKosten[],MATCH(Tb_ProjectKosten[[#Headers],[Forfait_Percentage]],Tb_ProjectKosten[#Headers],0),0),AND(F991="Arbeidskosten",G991&lt;&gt;""),IFERROR(X991*VLOOKUP(G991,Tb_KostenTypen[],3,0)*VLOOKUP(F991,Tb_ProjectKosten[],MATCH(Tb_ProjectKosten[[#Headers],[Forfait_Percentage]],Tb_ProjectKosten[#Headers],0),0),""),X991 &lt;=0,0),"")</f>
        <v/>
      </c>
      <c r="AB991" s="314" t="str">
        <f t="shared" ca="1" si="63"/>
        <v/>
      </c>
      <c r="AC991" s="322"/>
      <c r="AD991" s="315"/>
      <c r="AE991" s="32" t="str" cm="1">
        <f t="array" ref="AE991">IFERROR(IF(INDEX(SubsidieTabel!$AD$1:$AG$12,MATCH($F991,SubsidieTabel!$AD$1:$AD$12,0),IFERROR(MATCH(Methode_Keuze,SubsidieTabel!$AD$1:$AG$1,0),2))&lt;&gt;1=TRUE,"ja",""),"")</f>
        <v/>
      </c>
    </row>
    <row r="992" spans="1:31" x14ac:dyDescent="0.25">
      <c r="A992" s="316"/>
      <c r="B992" s="317" t="str">
        <f>IF(A992&lt;&gt;"",_xlfn.MAXIFS($B$1:B991,$A$1:A991,A992)+1,"")</f>
        <v/>
      </c>
      <c r="C992" s="296"/>
      <c r="D992" s="296"/>
      <c r="E992" s="296"/>
      <c r="F992" s="296"/>
      <c r="G992" s="326"/>
      <c r="H992" s="324"/>
      <c r="I992" s="325"/>
      <c r="J992" s="325"/>
      <c r="K992" s="318"/>
      <c r="L992" s="318"/>
      <c r="M992" s="319" t="str">
        <f>IFERROR(VLOOKUP(H992,Lijsten!$H$1:$I$100,2,0),"")</f>
        <v/>
      </c>
      <c r="N992" s="319" t="str">
        <f ca="1">IFERROR(IF(VLOOKUP(F992,Kostentypen!$A$3:$E$21,3,0)=0,"",IF(OR(F992="Arbeidskosten",F992="Vergoeding"),VLOOKUP(G992,Tb_KostenTypen[],2,0),VLOOKUP(F992,Kostentypen!$A$3:$E$20,3,0))),"")</f>
        <v/>
      </c>
      <c r="O992" s="320" t="str" cm="1">
        <f t="array" ref="O992">_xlfn.IFNA(IF(INDEX(Tb_KostenOptiesDB[],MATCH($F992,Tb_KostenOptiesDB[KostenOptie],0),IFERROR(MATCH(Methode_Keuze,Tb_KostenOptiesDB[#Headers],0),2))=1,_xlfn.SWITCH($N992,"Uurtarief",IF(OR(AND(RIGHT($F992,3)="IKS",VLOOKUP($M992,DB_Loonkosten,2,0)="Ja"),AND(RIGHT($F992,3)&lt;&gt;"IKS",VLOOKUP($M992,DB_Loonkosten,2,0)="Nee")),IFERROR(VLOOKUP($M992,DB_Loonkosten,24,0),""),0),"Vast tarief",IF(LEFT(F992,8)="Bijdrage",VLOOKUP($F992,Tb_KostenTypen[],MATCH(Lijsten!$P$1,Tb_KostenTypen[#Headers],0),0),VLOOKUP($G992,Lijsten!L:P,MATCH(Lijsten!$P$1,Kop_Tarief_Vast,0),0))),""),"")</f>
        <v/>
      </c>
      <c r="P992" s="320" t="str" cm="1">
        <f t="array" ref="P992">_xlfn.IFNA(IF(INDEX(Tb_KostenOptiesDB[],MATCH($F992,Tb_KostenOptiesDB[KostenOptie],0),IFERROR(MATCH(Methode_Keuze,Tb_KostenOptiesDB[#Headers],0),2))=1,_xlfn.SWITCH($N992,"Uurtarief",IF(OR(AND(RIGHT($F992,3)="IKS",VLOOKUP($M992,DB_Loonkosten,2,0)="Ja"),AND(RIGHT($F992,3)&lt;&gt;"IKS",VLOOKUP($M992,DB_Loonkosten,2,0)="Nee")),IFERROR(VLOOKUP($M992,DB_Loonkosten,25,0),""),0),"Vast tarief",IF(LEFT(F992,8)="Bijdrage",VLOOKUP($F992,Tb_KostenTypen[],MATCH(Lijsten!$P$1,Tb_KostenTypen[#Headers],0),0),VLOOKUP($G992,Lijsten!L:P,MATCH(Lijsten!$P$1,Kop_Tarief_Vast,0),0))),""),"")</f>
        <v/>
      </c>
      <c r="Q992" s="359"/>
      <c r="R992" s="359"/>
      <c r="S992" s="321"/>
      <c r="T992" s="321"/>
      <c r="U992" s="373" t="str">
        <f t="shared" si="60"/>
        <v/>
      </c>
      <c r="V992" s="314" t="str">
        <f t="shared" si="61"/>
        <v/>
      </c>
      <c r="W992" s="314" t="str" cm="1">
        <f t="array" aca="1" ref="W992" ca="1">IFERROR(IF(AE992&lt;&gt;"ja",_xlfn.IFNA(_xlfn.IFS(AND(O992&lt;&gt;"",F992&lt;&gt;"",RIGHT($N992,6)="tarief",F992="Vergoeding"),SUM(O992)*FLOOR(SUM(Q992),0.0001),AND(O992&lt;&gt;"",F992&lt;&gt;"",RIGHT($N992,6)="tarief"),SUM(O992)*FLOOR(SUM(Q992),0.01),S992&gt;0,IF(F992&lt;&gt;"",FLOOR(SUM(S992),0.01),"")),""),""),"")</f>
        <v/>
      </c>
      <c r="X992" s="314" t="str" cm="1">
        <f t="array" aca="1" ref="X992" ca="1">IFERROR(IF(AE992&lt;&gt;"ja",_xlfn.IFNA(_xlfn.IFS(AND(P992&lt;&gt;"",R992&lt;&gt;"",RIGHT($N992,6)="tarief",F992="Vergoeding"),SUM(P992)*FLOOR(SUM(R992),0.0001),AND(P992&lt;&gt;"",R992&lt;&gt;"",RIGHT($N992,6)="tarief"),P992*FLOOR(R992,0.01),T992&gt;0,FLOOR(SUM(T992),0.01)),""),""),"")</f>
        <v/>
      </c>
      <c r="Y992" s="314" t="str">
        <f t="shared" ca="1" si="62"/>
        <v/>
      </c>
      <c r="Z992" s="314" t="str" cm="1">
        <f t="array" aca="1" ref="Z992" ca="1">IFERROR(_xlfn.IFS(OR(F992="",LEFT(Methode_Keuze,4)="Geen",Methode_Keuze=""),"",AND(W992&lt;&gt;"",F992&lt;&gt;"Arbeidskosten"),W992*VLOOKUP(F992,Tb_ProjectKosten[],MATCH(Tb_ProjectKosten[[#Headers],[Forfait_Percentage]],Tb_ProjectKosten[#Headers],0),0),AND(F992="Arbeidskosten",G992&lt;&gt;""),IFERROR(W992*VLOOKUP(G992,Tb_KostenTypen[],3,0)*VLOOKUP(F992,Tb_ProjectKosten[],MATCH(Tb_ProjectKosten[[#Headers],[Forfait_Percentage]],Tb_ProjectKosten[#Headers],0),0),""),W992 &lt;=0,0),"")</f>
        <v/>
      </c>
      <c r="AA992" s="314" t="str" cm="1">
        <f t="array" aca="1" ref="AA992" ca="1">IFERROR(_xlfn.IFS(OR(F992="",LEFT(Methode_Keuze,4)="Geen",Methode_Keuze=""),"",AND(X992&lt;&gt;"",F992&lt;&gt;"Arbeidskosten"),X992*VLOOKUP(F992,Tb_ProjectKosten[],MATCH(Tb_ProjectKosten[[#Headers],[Forfait_Percentage]],Tb_ProjectKosten[#Headers],0),0),AND(F992="Arbeidskosten",G992&lt;&gt;""),IFERROR(X992*VLOOKUP(G992,Tb_KostenTypen[],3,0)*VLOOKUP(F992,Tb_ProjectKosten[],MATCH(Tb_ProjectKosten[[#Headers],[Forfait_Percentage]],Tb_ProjectKosten[#Headers],0),0),""),X992 &lt;=0,0),"")</f>
        <v/>
      </c>
      <c r="AB992" s="314" t="str">
        <f t="shared" ca="1" si="63"/>
        <v/>
      </c>
      <c r="AC992" s="322"/>
      <c r="AD992" s="315"/>
      <c r="AE992" s="32" t="str" cm="1">
        <f t="array" ref="AE992">IFERROR(IF(INDEX(SubsidieTabel!$AD$1:$AG$12,MATCH($F992,SubsidieTabel!$AD$1:$AD$12,0),IFERROR(MATCH(Methode_Keuze,SubsidieTabel!$AD$1:$AG$1,0),2))&lt;&gt;1=TRUE,"ja",""),"")</f>
        <v/>
      </c>
    </row>
    <row r="993" spans="1:31" x14ac:dyDescent="0.25">
      <c r="A993" s="316"/>
      <c r="B993" s="317" t="str">
        <f>IF(A993&lt;&gt;"",_xlfn.MAXIFS($B$1:B992,$A$1:A992,A993)+1,"")</f>
        <v/>
      </c>
      <c r="C993" s="296"/>
      <c r="D993" s="296"/>
      <c r="E993" s="296"/>
      <c r="F993" s="296"/>
      <c r="G993" s="326"/>
      <c r="H993" s="324"/>
      <c r="I993" s="325"/>
      <c r="J993" s="325"/>
      <c r="K993" s="318"/>
      <c r="L993" s="318"/>
      <c r="M993" s="319" t="str">
        <f>IFERROR(VLOOKUP(H993,Lijsten!$H$1:$I$100,2,0),"")</f>
        <v/>
      </c>
      <c r="N993" s="319" t="str">
        <f ca="1">IFERROR(IF(VLOOKUP(F993,Kostentypen!$A$3:$E$21,3,0)=0,"",IF(OR(F993="Arbeidskosten",F993="Vergoeding"),VLOOKUP(G993,Tb_KostenTypen[],2,0),VLOOKUP(F993,Kostentypen!$A$3:$E$20,3,0))),"")</f>
        <v/>
      </c>
      <c r="O993" s="320" t="str" cm="1">
        <f t="array" ref="O993">_xlfn.IFNA(IF(INDEX(Tb_KostenOptiesDB[],MATCH($F993,Tb_KostenOptiesDB[KostenOptie],0),IFERROR(MATCH(Methode_Keuze,Tb_KostenOptiesDB[#Headers],0),2))=1,_xlfn.SWITCH($N993,"Uurtarief",IF(OR(AND(RIGHT($F993,3)="IKS",VLOOKUP($M993,DB_Loonkosten,2,0)="Ja"),AND(RIGHT($F993,3)&lt;&gt;"IKS",VLOOKUP($M993,DB_Loonkosten,2,0)="Nee")),IFERROR(VLOOKUP($M993,DB_Loonkosten,24,0),""),0),"Vast tarief",IF(LEFT(F993,8)="Bijdrage",VLOOKUP($F993,Tb_KostenTypen[],MATCH(Lijsten!$P$1,Tb_KostenTypen[#Headers],0),0),VLOOKUP($G993,Lijsten!L:P,MATCH(Lijsten!$P$1,Kop_Tarief_Vast,0),0))),""),"")</f>
        <v/>
      </c>
      <c r="P993" s="320" t="str" cm="1">
        <f t="array" ref="P993">_xlfn.IFNA(IF(INDEX(Tb_KostenOptiesDB[],MATCH($F993,Tb_KostenOptiesDB[KostenOptie],0),IFERROR(MATCH(Methode_Keuze,Tb_KostenOptiesDB[#Headers],0),2))=1,_xlfn.SWITCH($N993,"Uurtarief",IF(OR(AND(RIGHT($F993,3)="IKS",VLOOKUP($M993,DB_Loonkosten,2,0)="Ja"),AND(RIGHT($F993,3)&lt;&gt;"IKS",VLOOKUP($M993,DB_Loonkosten,2,0)="Nee")),IFERROR(VLOOKUP($M993,DB_Loonkosten,25,0),""),0),"Vast tarief",IF(LEFT(F993,8)="Bijdrage",VLOOKUP($F993,Tb_KostenTypen[],MATCH(Lijsten!$P$1,Tb_KostenTypen[#Headers],0),0),VLOOKUP($G993,Lijsten!L:P,MATCH(Lijsten!$P$1,Kop_Tarief_Vast,0),0))),""),"")</f>
        <v/>
      </c>
      <c r="Q993" s="359"/>
      <c r="R993" s="359"/>
      <c r="S993" s="321"/>
      <c r="T993" s="321"/>
      <c r="U993" s="373" t="str">
        <f t="shared" si="60"/>
        <v/>
      </c>
      <c r="V993" s="314" t="str">
        <f t="shared" si="61"/>
        <v/>
      </c>
      <c r="W993" s="314" t="str" cm="1">
        <f t="array" aca="1" ref="W993" ca="1">IFERROR(IF(AE993&lt;&gt;"ja",_xlfn.IFNA(_xlfn.IFS(AND(O993&lt;&gt;"",F993&lt;&gt;"",RIGHT($N993,6)="tarief",F993="Vergoeding"),SUM(O993)*FLOOR(SUM(Q993),0.0001),AND(O993&lt;&gt;"",F993&lt;&gt;"",RIGHT($N993,6)="tarief"),SUM(O993)*FLOOR(SUM(Q993),0.01),S993&gt;0,IF(F993&lt;&gt;"",FLOOR(SUM(S993),0.01),"")),""),""),"")</f>
        <v/>
      </c>
      <c r="X993" s="314" t="str" cm="1">
        <f t="array" aca="1" ref="X993" ca="1">IFERROR(IF(AE993&lt;&gt;"ja",_xlfn.IFNA(_xlfn.IFS(AND(P993&lt;&gt;"",R993&lt;&gt;"",RIGHT($N993,6)="tarief",F993="Vergoeding"),SUM(P993)*FLOOR(SUM(R993),0.0001),AND(P993&lt;&gt;"",R993&lt;&gt;"",RIGHT($N993,6)="tarief"),P993*FLOOR(R993,0.01),T993&gt;0,FLOOR(SUM(T993),0.01)),""),""),"")</f>
        <v/>
      </c>
      <c r="Y993" s="314" t="str">
        <f t="shared" ca="1" si="62"/>
        <v/>
      </c>
      <c r="Z993" s="314" t="str" cm="1">
        <f t="array" aca="1" ref="Z993" ca="1">IFERROR(_xlfn.IFS(OR(F993="",LEFT(Methode_Keuze,4)="Geen",Methode_Keuze=""),"",AND(W993&lt;&gt;"",F993&lt;&gt;"Arbeidskosten"),W993*VLOOKUP(F993,Tb_ProjectKosten[],MATCH(Tb_ProjectKosten[[#Headers],[Forfait_Percentage]],Tb_ProjectKosten[#Headers],0),0),AND(F993="Arbeidskosten",G993&lt;&gt;""),IFERROR(W993*VLOOKUP(G993,Tb_KostenTypen[],3,0)*VLOOKUP(F993,Tb_ProjectKosten[],MATCH(Tb_ProjectKosten[[#Headers],[Forfait_Percentage]],Tb_ProjectKosten[#Headers],0),0),""),W993 &lt;=0,0),"")</f>
        <v/>
      </c>
      <c r="AA993" s="314" t="str" cm="1">
        <f t="array" aca="1" ref="AA993" ca="1">IFERROR(_xlfn.IFS(OR(F993="",LEFT(Methode_Keuze,4)="Geen",Methode_Keuze=""),"",AND(X993&lt;&gt;"",F993&lt;&gt;"Arbeidskosten"),X993*VLOOKUP(F993,Tb_ProjectKosten[],MATCH(Tb_ProjectKosten[[#Headers],[Forfait_Percentage]],Tb_ProjectKosten[#Headers],0),0),AND(F993="Arbeidskosten",G993&lt;&gt;""),IFERROR(X993*VLOOKUP(G993,Tb_KostenTypen[],3,0)*VLOOKUP(F993,Tb_ProjectKosten[],MATCH(Tb_ProjectKosten[[#Headers],[Forfait_Percentage]],Tb_ProjectKosten[#Headers],0),0),""),X993 &lt;=0,0),"")</f>
        <v/>
      </c>
      <c r="AB993" s="314" t="str">
        <f t="shared" ca="1" si="63"/>
        <v/>
      </c>
      <c r="AC993" s="322"/>
      <c r="AD993" s="315"/>
      <c r="AE993" s="32" t="str" cm="1">
        <f t="array" ref="AE993">IFERROR(IF(INDEX(SubsidieTabel!$AD$1:$AG$12,MATCH($F993,SubsidieTabel!$AD$1:$AD$12,0),IFERROR(MATCH(Methode_Keuze,SubsidieTabel!$AD$1:$AG$1,0),2))&lt;&gt;1=TRUE,"ja",""),"")</f>
        <v/>
      </c>
    </row>
    <row r="994" spans="1:31" x14ac:dyDescent="0.25">
      <c r="A994" s="316"/>
      <c r="B994" s="317" t="str">
        <f>IF(A994&lt;&gt;"",_xlfn.MAXIFS($B$1:B993,$A$1:A993,A994)+1,"")</f>
        <v/>
      </c>
      <c r="C994" s="296"/>
      <c r="D994" s="296"/>
      <c r="E994" s="296"/>
      <c r="F994" s="296"/>
      <c r="G994" s="326"/>
      <c r="H994" s="324"/>
      <c r="I994" s="325"/>
      <c r="J994" s="325"/>
      <c r="K994" s="318"/>
      <c r="L994" s="318"/>
      <c r="M994" s="319" t="str">
        <f>IFERROR(VLOOKUP(H994,Lijsten!$H$1:$I$100,2,0),"")</f>
        <v/>
      </c>
      <c r="N994" s="319" t="str">
        <f ca="1">IFERROR(IF(VLOOKUP(F994,Kostentypen!$A$3:$E$21,3,0)=0,"",IF(OR(F994="Arbeidskosten",F994="Vergoeding"),VLOOKUP(G994,Tb_KostenTypen[],2,0),VLOOKUP(F994,Kostentypen!$A$3:$E$20,3,0))),"")</f>
        <v/>
      </c>
      <c r="O994" s="320" t="str" cm="1">
        <f t="array" ref="O994">_xlfn.IFNA(IF(INDEX(Tb_KostenOptiesDB[],MATCH($F994,Tb_KostenOptiesDB[KostenOptie],0),IFERROR(MATCH(Methode_Keuze,Tb_KostenOptiesDB[#Headers],0),2))=1,_xlfn.SWITCH($N994,"Uurtarief",IF(OR(AND(RIGHT($F994,3)="IKS",VLOOKUP($M994,DB_Loonkosten,2,0)="Ja"),AND(RIGHT($F994,3)&lt;&gt;"IKS",VLOOKUP($M994,DB_Loonkosten,2,0)="Nee")),IFERROR(VLOOKUP($M994,DB_Loonkosten,24,0),""),0),"Vast tarief",IF(LEFT(F994,8)="Bijdrage",VLOOKUP($F994,Tb_KostenTypen[],MATCH(Lijsten!$P$1,Tb_KostenTypen[#Headers],0),0),VLOOKUP($G994,Lijsten!L:P,MATCH(Lijsten!$P$1,Kop_Tarief_Vast,0),0))),""),"")</f>
        <v/>
      </c>
      <c r="P994" s="320" t="str" cm="1">
        <f t="array" ref="P994">_xlfn.IFNA(IF(INDEX(Tb_KostenOptiesDB[],MATCH($F994,Tb_KostenOptiesDB[KostenOptie],0),IFERROR(MATCH(Methode_Keuze,Tb_KostenOptiesDB[#Headers],0),2))=1,_xlfn.SWITCH($N994,"Uurtarief",IF(OR(AND(RIGHT($F994,3)="IKS",VLOOKUP($M994,DB_Loonkosten,2,0)="Ja"),AND(RIGHT($F994,3)&lt;&gt;"IKS",VLOOKUP($M994,DB_Loonkosten,2,0)="Nee")),IFERROR(VLOOKUP($M994,DB_Loonkosten,25,0),""),0),"Vast tarief",IF(LEFT(F994,8)="Bijdrage",VLOOKUP($F994,Tb_KostenTypen[],MATCH(Lijsten!$P$1,Tb_KostenTypen[#Headers],0),0),VLOOKUP($G994,Lijsten!L:P,MATCH(Lijsten!$P$1,Kop_Tarief_Vast,0),0))),""),"")</f>
        <v/>
      </c>
      <c r="Q994" s="359"/>
      <c r="R994" s="359"/>
      <c r="S994" s="321"/>
      <c r="T994" s="321"/>
      <c r="U994" s="373" t="str">
        <f t="shared" si="60"/>
        <v/>
      </c>
      <c r="V994" s="314" t="str">
        <f t="shared" si="61"/>
        <v/>
      </c>
      <c r="W994" s="314" t="str" cm="1">
        <f t="array" aca="1" ref="W994" ca="1">IFERROR(IF(AE994&lt;&gt;"ja",_xlfn.IFNA(_xlfn.IFS(AND(O994&lt;&gt;"",F994&lt;&gt;"",RIGHT($N994,6)="tarief",F994="Vergoeding"),SUM(O994)*FLOOR(SUM(Q994),0.0001),AND(O994&lt;&gt;"",F994&lt;&gt;"",RIGHT($N994,6)="tarief"),SUM(O994)*FLOOR(SUM(Q994),0.01),S994&gt;0,IF(F994&lt;&gt;"",FLOOR(SUM(S994),0.01),"")),""),""),"")</f>
        <v/>
      </c>
      <c r="X994" s="314" t="str" cm="1">
        <f t="array" aca="1" ref="X994" ca="1">IFERROR(IF(AE994&lt;&gt;"ja",_xlfn.IFNA(_xlfn.IFS(AND(P994&lt;&gt;"",R994&lt;&gt;"",RIGHT($N994,6)="tarief",F994="Vergoeding"),SUM(P994)*FLOOR(SUM(R994),0.0001),AND(P994&lt;&gt;"",R994&lt;&gt;"",RIGHT($N994,6)="tarief"),P994*FLOOR(R994,0.01),T994&gt;0,FLOOR(SUM(T994),0.01)),""),""),"")</f>
        <v/>
      </c>
      <c r="Y994" s="314" t="str">
        <f t="shared" ca="1" si="62"/>
        <v/>
      </c>
      <c r="Z994" s="314" t="str" cm="1">
        <f t="array" aca="1" ref="Z994" ca="1">IFERROR(_xlfn.IFS(OR(F994="",LEFT(Methode_Keuze,4)="Geen",Methode_Keuze=""),"",AND(W994&lt;&gt;"",F994&lt;&gt;"Arbeidskosten"),W994*VLOOKUP(F994,Tb_ProjectKosten[],MATCH(Tb_ProjectKosten[[#Headers],[Forfait_Percentage]],Tb_ProjectKosten[#Headers],0),0),AND(F994="Arbeidskosten",G994&lt;&gt;""),IFERROR(W994*VLOOKUP(G994,Tb_KostenTypen[],3,0)*VLOOKUP(F994,Tb_ProjectKosten[],MATCH(Tb_ProjectKosten[[#Headers],[Forfait_Percentage]],Tb_ProjectKosten[#Headers],0),0),""),W994 &lt;=0,0),"")</f>
        <v/>
      </c>
      <c r="AA994" s="314" t="str" cm="1">
        <f t="array" aca="1" ref="AA994" ca="1">IFERROR(_xlfn.IFS(OR(F994="",LEFT(Methode_Keuze,4)="Geen",Methode_Keuze=""),"",AND(X994&lt;&gt;"",F994&lt;&gt;"Arbeidskosten"),X994*VLOOKUP(F994,Tb_ProjectKosten[],MATCH(Tb_ProjectKosten[[#Headers],[Forfait_Percentage]],Tb_ProjectKosten[#Headers],0),0),AND(F994="Arbeidskosten",G994&lt;&gt;""),IFERROR(X994*VLOOKUP(G994,Tb_KostenTypen[],3,0)*VLOOKUP(F994,Tb_ProjectKosten[],MATCH(Tb_ProjectKosten[[#Headers],[Forfait_Percentage]],Tb_ProjectKosten[#Headers],0),0),""),X994 &lt;=0,0),"")</f>
        <v/>
      </c>
      <c r="AB994" s="314" t="str">
        <f t="shared" ca="1" si="63"/>
        <v/>
      </c>
      <c r="AC994" s="322"/>
      <c r="AD994" s="315"/>
      <c r="AE994" s="32" t="str" cm="1">
        <f t="array" ref="AE994">IFERROR(IF(INDEX(SubsidieTabel!$AD$1:$AG$12,MATCH($F994,SubsidieTabel!$AD$1:$AD$12,0),IFERROR(MATCH(Methode_Keuze,SubsidieTabel!$AD$1:$AG$1,0),2))&lt;&gt;1=TRUE,"ja",""),"")</f>
        <v/>
      </c>
    </row>
    <row r="995" spans="1:31" x14ac:dyDescent="0.25">
      <c r="A995" s="316"/>
      <c r="B995" s="317" t="str">
        <f>IF(A995&lt;&gt;"",_xlfn.MAXIFS($B$1:B994,$A$1:A994,A995)+1,"")</f>
        <v/>
      </c>
      <c r="C995" s="296"/>
      <c r="D995" s="296"/>
      <c r="E995" s="296"/>
      <c r="F995" s="296"/>
      <c r="G995" s="326"/>
      <c r="H995" s="324"/>
      <c r="I995" s="325"/>
      <c r="J995" s="325"/>
      <c r="K995" s="318"/>
      <c r="L995" s="318"/>
      <c r="M995" s="319" t="str">
        <f>IFERROR(VLOOKUP(H995,Lijsten!$H$1:$I$100,2,0),"")</f>
        <v/>
      </c>
      <c r="N995" s="319" t="str">
        <f ca="1">IFERROR(IF(VLOOKUP(F995,Kostentypen!$A$3:$E$21,3,0)=0,"",IF(OR(F995="Arbeidskosten",F995="Vergoeding"),VLOOKUP(G995,Tb_KostenTypen[],2,0),VLOOKUP(F995,Kostentypen!$A$3:$E$20,3,0))),"")</f>
        <v/>
      </c>
      <c r="O995" s="320" t="str" cm="1">
        <f t="array" ref="O995">_xlfn.IFNA(IF(INDEX(Tb_KostenOptiesDB[],MATCH($F995,Tb_KostenOptiesDB[KostenOptie],0),IFERROR(MATCH(Methode_Keuze,Tb_KostenOptiesDB[#Headers],0),2))=1,_xlfn.SWITCH($N995,"Uurtarief",IF(OR(AND(RIGHT($F995,3)="IKS",VLOOKUP($M995,DB_Loonkosten,2,0)="Ja"),AND(RIGHT($F995,3)&lt;&gt;"IKS",VLOOKUP($M995,DB_Loonkosten,2,0)="Nee")),IFERROR(VLOOKUP($M995,DB_Loonkosten,24,0),""),0),"Vast tarief",IF(LEFT(F995,8)="Bijdrage",VLOOKUP($F995,Tb_KostenTypen[],MATCH(Lijsten!$P$1,Tb_KostenTypen[#Headers],0),0),VLOOKUP($G995,Lijsten!L:P,MATCH(Lijsten!$P$1,Kop_Tarief_Vast,0),0))),""),"")</f>
        <v/>
      </c>
      <c r="P995" s="320" t="str" cm="1">
        <f t="array" ref="P995">_xlfn.IFNA(IF(INDEX(Tb_KostenOptiesDB[],MATCH($F995,Tb_KostenOptiesDB[KostenOptie],0),IFERROR(MATCH(Methode_Keuze,Tb_KostenOptiesDB[#Headers],0),2))=1,_xlfn.SWITCH($N995,"Uurtarief",IF(OR(AND(RIGHT($F995,3)="IKS",VLOOKUP($M995,DB_Loonkosten,2,0)="Ja"),AND(RIGHT($F995,3)&lt;&gt;"IKS",VLOOKUP($M995,DB_Loonkosten,2,0)="Nee")),IFERROR(VLOOKUP($M995,DB_Loonkosten,25,0),""),0),"Vast tarief",IF(LEFT(F995,8)="Bijdrage",VLOOKUP($F995,Tb_KostenTypen[],MATCH(Lijsten!$P$1,Tb_KostenTypen[#Headers],0),0),VLOOKUP($G995,Lijsten!L:P,MATCH(Lijsten!$P$1,Kop_Tarief_Vast,0),0))),""),"")</f>
        <v/>
      </c>
      <c r="Q995" s="359"/>
      <c r="R995" s="359"/>
      <c r="S995" s="321"/>
      <c r="T995" s="321"/>
      <c r="U995" s="373" t="str">
        <f t="shared" si="60"/>
        <v/>
      </c>
      <c r="V995" s="314" t="str">
        <f t="shared" si="61"/>
        <v/>
      </c>
      <c r="W995" s="314" t="str" cm="1">
        <f t="array" aca="1" ref="W995" ca="1">IFERROR(IF(AE995&lt;&gt;"ja",_xlfn.IFNA(_xlfn.IFS(AND(O995&lt;&gt;"",F995&lt;&gt;"",RIGHT($N995,6)="tarief",F995="Vergoeding"),SUM(O995)*FLOOR(SUM(Q995),0.0001),AND(O995&lt;&gt;"",F995&lt;&gt;"",RIGHT($N995,6)="tarief"),SUM(O995)*FLOOR(SUM(Q995),0.01),S995&gt;0,IF(F995&lt;&gt;"",FLOOR(SUM(S995),0.01),"")),""),""),"")</f>
        <v/>
      </c>
      <c r="X995" s="314" t="str" cm="1">
        <f t="array" aca="1" ref="X995" ca="1">IFERROR(IF(AE995&lt;&gt;"ja",_xlfn.IFNA(_xlfn.IFS(AND(P995&lt;&gt;"",R995&lt;&gt;"",RIGHT($N995,6)="tarief",F995="Vergoeding"),SUM(P995)*FLOOR(SUM(R995),0.0001),AND(P995&lt;&gt;"",R995&lt;&gt;"",RIGHT($N995,6)="tarief"),P995*FLOOR(R995,0.01),T995&gt;0,FLOOR(SUM(T995),0.01)),""),""),"")</f>
        <v/>
      </c>
      <c r="Y995" s="314" t="str">
        <f t="shared" ca="1" si="62"/>
        <v/>
      </c>
      <c r="Z995" s="314" t="str" cm="1">
        <f t="array" aca="1" ref="Z995" ca="1">IFERROR(_xlfn.IFS(OR(F995="",LEFT(Methode_Keuze,4)="Geen",Methode_Keuze=""),"",AND(W995&lt;&gt;"",F995&lt;&gt;"Arbeidskosten"),W995*VLOOKUP(F995,Tb_ProjectKosten[],MATCH(Tb_ProjectKosten[[#Headers],[Forfait_Percentage]],Tb_ProjectKosten[#Headers],0),0),AND(F995="Arbeidskosten",G995&lt;&gt;""),IFERROR(W995*VLOOKUP(G995,Tb_KostenTypen[],3,0)*VLOOKUP(F995,Tb_ProjectKosten[],MATCH(Tb_ProjectKosten[[#Headers],[Forfait_Percentage]],Tb_ProjectKosten[#Headers],0),0),""),W995 &lt;=0,0),"")</f>
        <v/>
      </c>
      <c r="AA995" s="314" t="str" cm="1">
        <f t="array" aca="1" ref="AA995" ca="1">IFERROR(_xlfn.IFS(OR(F995="",LEFT(Methode_Keuze,4)="Geen",Methode_Keuze=""),"",AND(X995&lt;&gt;"",F995&lt;&gt;"Arbeidskosten"),X995*VLOOKUP(F995,Tb_ProjectKosten[],MATCH(Tb_ProjectKosten[[#Headers],[Forfait_Percentage]],Tb_ProjectKosten[#Headers],0),0),AND(F995="Arbeidskosten",G995&lt;&gt;""),IFERROR(X995*VLOOKUP(G995,Tb_KostenTypen[],3,0)*VLOOKUP(F995,Tb_ProjectKosten[],MATCH(Tb_ProjectKosten[[#Headers],[Forfait_Percentage]],Tb_ProjectKosten[#Headers],0),0),""),X995 &lt;=0,0),"")</f>
        <v/>
      </c>
      <c r="AB995" s="314" t="str">
        <f t="shared" ca="1" si="63"/>
        <v/>
      </c>
      <c r="AC995" s="322"/>
      <c r="AD995" s="315"/>
      <c r="AE995" s="32" t="str" cm="1">
        <f t="array" ref="AE995">IFERROR(IF(INDEX(SubsidieTabel!$AD$1:$AG$12,MATCH($F995,SubsidieTabel!$AD$1:$AD$12,0),IFERROR(MATCH(Methode_Keuze,SubsidieTabel!$AD$1:$AG$1,0),2))&lt;&gt;1=TRUE,"ja",""),"")</f>
        <v/>
      </c>
    </row>
    <row r="996" spans="1:31" x14ac:dyDescent="0.25">
      <c r="A996" s="316"/>
      <c r="B996" s="317" t="str">
        <f>IF(A996&lt;&gt;"",_xlfn.MAXIFS($B$1:B995,$A$1:A995,A996)+1,"")</f>
        <v/>
      </c>
      <c r="C996" s="296"/>
      <c r="D996" s="296"/>
      <c r="E996" s="296"/>
      <c r="F996" s="296"/>
      <c r="G996" s="326"/>
      <c r="H996" s="324"/>
      <c r="I996" s="325"/>
      <c r="J996" s="325"/>
      <c r="K996" s="318"/>
      <c r="L996" s="318"/>
      <c r="M996" s="319" t="str">
        <f>IFERROR(VLOOKUP(H996,Lijsten!$H$1:$I$100,2,0),"")</f>
        <v/>
      </c>
      <c r="N996" s="319" t="str">
        <f ca="1">IFERROR(IF(VLOOKUP(F996,Kostentypen!$A$3:$E$21,3,0)=0,"",IF(OR(F996="Arbeidskosten",F996="Vergoeding"),VLOOKUP(G996,Tb_KostenTypen[],2,0),VLOOKUP(F996,Kostentypen!$A$3:$E$20,3,0))),"")</f>
        <v/>
      </c>
      <c r="O996" s="320" t="str" cm="1">
        <f t="array" ref="O996">_xlfn.IFNA(IF(INDEX(Tb_KostenOptiesDB[],MATCH($F996,Tb_KostenOptiesDB[KostenOptie],0),IFERROR(MATCH(Methode_Keuze,Tb_KostenOptiesDB[#Headers],0),2))=1,_xlfn.SWITCH($N996,"Uurtarief",IF(OR(AND(RIGHT($F996,3)="IKS",VLOOKUP($M996,DB_Loonkosten,2,0)="Ja"),AND(RIGHT($F996,3)&lt;&gt;"IKS",VLOOKUP($M996,DB_Loonkosten,2,0)="Nee")),IFERROR(VLOOKUP($M996,DB_Loonkosten,24,0),""),0),"Vast tarief",IF(LEFT(F996,8)="Bijdrage",VLOOKUP($F996,Tb_KostenTypen[],MATCH(Lijsten!$P$1,Tb_KostenTypen[#Headers],0),0),VLOOKUP($G996,Lijsten!L:P,MATCH(Lijsten!$P$1,Kop_Tarief_Vast,0),0))),""),"")</f>
        <v/>
      </c>
      <c r="P996" s="320" t="str" cm="1">
        <f t="array" ref="P996">_xlfn.IFNA(IF(INDEX(Tb_KostenOptiesDB[],MATCH($F996,Tb_KostenOptiesDB[KostenOptie],0),IFERROR(MATCH(Methode_Keuze,Tb_KostenOptiesDB[#Headers],0),2))=1,_xlfn.SWITCH($N996,"Uurtarief",IF(OR(AND(RIGHT($F996,3)="IKS",VLOOKUP($M996,DB_Loonkosten,2,0)="Ja"),AND(RIGHT($F996,3)&lt;&gt;"IKS",VLOOKUP($M996,DB_Loonkosten,2,0)="Nee")),IFERROR(VLOOKUP($M996,DB_Loonkosten,25,0),""),0),"Vast tarief",IF(LEFT(F996,8)="Bijdrage",VLOOKUP($F996,Tb_KostenTypen[],MATCH(Lijsten!$P$1,Tb_KostenTypen[#Headers],0),0),VLOOKUP($G996,Lijsten!L:P,MATCH(Lijsten!$P$1,Kop_Tarief_Vast,0),0))),""),"")</f>
        <v/>
      </c>
      <c r="Q996" s="359"/>
      <c r="R996" s="359"/>
      <c r="S996" s="321"/>
      <c r="T996" s="321"/>
      <c r="U996" s="373" t="str">
        <f t="shared" si="60"/>
        <v/>
      </c>
      <c r="V996" s="314" t="str">
        <f t="shared" si="61"/>
        <v/>
      </c>
      <c r="W996" s="314" t="str" cm="1">
        <f t="array" aca="1" ref="W996" ca="1">IFERROR(IF(AE996&lt;&gt;"ja",_xlfn.IFNA(_xlfn.IFS(AND(O996&lt;&gt;"",F996&lt;&gt;"",RIGHT($N996,6)="tarief",F996="Vergoeding"),SUM(O996)*FLOOR(SUM(Q996),0.0001),AND(O996&lt;&gt;"",F996&lt;&gt;"",RIGHT($N996,6)="tarief"),SUM(O996)*FLOOR(SUM(Q996),0.01),S996&gt;0,IF(F996&lt;&gt;"",FLOOR(SUM(S996),0.01),"")),""),""),"")</f>
        <v/>
      </c>
      <c r="X996" s="314" t="str" cm="1">
        <f t="array" aca="1" ref="X996" ca="1">IFERROR(IF(AE996&lt;&gt;"ja",_xlfn.IFNA(_xlfn.IFS(AND(P996&lt;&gt;"",R996&lt;&gt;"",RIGHT($N996,6)="tarief",F996="Vergoeding"),SUM(P996)*FLOOR(SUM(R996),0.0001),AND(P996&lt;&gt;"",R996&lt;&gt;"",RIGHT($N996,6)="tarief"),P996*FLOOR(R996,0.01),T996&gt;0,FLOOR(SUM(T996),0.01)),""),""),"")</f>
        <v/>
      </c>
      <c r="Y996" s="314" t="str">
        <f t="shared" ca="1" si="62"/>
        <v/>
      </c>
      <c r="Z996" s="314" t="str" cm="1">
        <f t="array" aca="1" ref="Z996" ca="1">IFERROR(_xlfn.IFS(OR(F996="",LEFT(Methode_Keuze,4)="Geen",Methode_Keuze=""),"",AND(W996&lt;&gt;"",F996&lt;&gt;"Arbeidskosten"),W996*VLOOKUP(F996,Tb_ProjectKosten[],MATCH(Tb_ProjectKosten[[#Headers],[Forfait_Percentage]],Tb_ProjectKosten[#Headers],0),0),AND(F996="Arbeidskosten",G996&lt;&gt;""),IFERROR(W996*VLOOKUP(G996,Tb_KostenTypen[],3,0)*VLOOKUP(F996,Tb_ProjectKosten[],MATCH(Tb_ProjectKosten[[#Headers],[Forfait_Percentage]],Tb_ProjectKosten[#Headers],0),0),""),W996 &lt;=0,0),"")</f>
        <v/>
      </c>
      <c r="AA996" s="314" t="str" cm="1">
        <f t="array" aca="1" ref="AA996" ca="1">IFERROR(_xlfn.IFS(OR(F996="",LEFT(Methode_Keuze,4)="Geen",Methode_Keuze=""),"",AND(X996&lt;&gt;"",F996&lt;&gt;"Arbeidskosten"),X996*VLOOKUP(F996,Tb_ProjectKosten[],MATCH(Tb_ProjectKosten[[#Headers],[Forfait_Percentage]],Tb_ProjectKosten[#Headers],0),0),AND(F996="Arbeidskosten",G996&lt;&gt;""),IFERROR(X996*VLOOKUP(G996,Tb_KostenTypen[],3,0)*VLOOKUP(F996,Tb_ProjectKosten[],MATCH(Tb_ProjectKosten[[#Headers],[Forfait_Percentage]],Tb_ProjectKosten[#Headers],0),0),""),X996 &lt;=0,0),"")</f>
        <v/>
      </c>
      <c r="AB996" s="314" t="str">
        <f t="shared" ca="1" si="63"/>
        <v/>
      </c>
      <c r="AC996" s="322"/>
      <c r="AD996" s="315"/>
      <c r="AE996" s="32" t="str" cm="1">
        <f t="array" ref="AE996">IFERROR(IF(INDEX(SubsidieTabel!$AD$1:$AG$12,MATCH($F996,SubsidieTabel!$AD$1:$AD$12,0),IFERROR(MATCH(Methode_Keuze,SubsidieTabel!$AD$1:$AG$1,0),2))&lt;&gt;1=TRUE,"ja",""),"")</f>
        <v/>
      </c>
    </row>
    <row r="997" spans="1:31" x14ac:dyDescent="0.25">
      <c r="A997" s="316"/>
      <c r="B997" s="317" t="str">
        <f>IF(A997&lt;&gt;"",_xlfn.MAXIFS($B$1:B996,$A$1:A996,A997)+1,"")</f>
        <v/>
      </c>
      <c r="C997" s="296"/>
      <c r="D997" s="296"/>
      <c r="E997" s="296"/>
      <c r="F997" s="296"/>
      <c r="G997" s="326"/>
      <c r="H997" s="324"/>
      <c r="I997" s="325"/>
      <c r="J997" s="325"/>
      <c r="K997" s="318"/>
      <c r="L997" s="318"/>
      <c r="M997" s="319" t="str">
        <f>IFERROR(VLOOKUP(H997,Lijsten!$H$1:$I$100,2,0),"")</f>
        <v/>
      </c>
      <c r="N997" s="319" t="str">
        <f ca="1">IFERROR(IF(VLOOKUP(F997,Kostentypen!$A$3:$E$21,3,0)=0,"",IF(OR(F997="Arbeidskosten",F997="Vergoeding"),VLOOKUP(G997,Tb_KostenTypen[],2,0),VLOOKUP(F997,Kostentypen!$A$3:$E$20,3,0))),"")</f>
        <v/>
      </c>
      <c r="O997" s="320" t="str" cm="1">
        <f t="array" ref="O997">_xlfn.IFNA(IF(INDEX(Tb_KostenOptiesDB[],MATCH($F997,Tb_KostenOptiesDB[KostenOptie],0),IFERROR(MATCH(Methode_Keuze,Tb_KostenOptiesDB[#Headers],0),2))=1,_xlfn.SWITCH($N997,"Uurtarief",IF(OR(AND(RIGHT($F997,3)="IKS",VLOOKUP($M997,DB_Loonkosten,2,0)="Ja"),AND(RIGHT($F997,3)&lt;&gt;"IKS",VLOOKUP($M997,DB_Loonkosten,2,0)="Nee")),IFERROR(VLOOKUP($M997,DB_Loonkosten,24,0),""),0),"Vast tarief",IF(LEFT(F997,8)="Bijdrage",VLOOKUP($F997,Tb_KostenTypen[],MATCH(Lijsten!$P$1,Tb_KostenTypen[#Headers],0),0),VLOOKUP($G997,Lijsten!L:P,MATCH(Lijsten!$P$1,Kop_Tarief_Vast,0),0))),""),"")</f>
        <v/>
      </c>
      <c r="P997" s="320" t="str" cm="1">
        <f t="array" ref="P997">_xlfn.IFNA(IF(INDEX(Tb_KostenOptiesDB[],MATCH($F997,Tb_KostenOptiesDB[KostenOptie],0),IFERROR(MATCH(Methode_Keuze,Tb_KostenOptiesDB[#Headers],0),2))=1,_xlfn.SWITCH($N997,"Uurtarief",IF(OR(AND(RIGHT($F997,3)="IKS",VLOOKUP($M997,DB_Loonkosten,2,0)="Ja"),AND(RIGHT($F997,3)&lt;&gt;"IKS",VLOOKUP($M997,DB_Loonkosten,2,0)="Nee")),IFERROR(VLOOKUP($M997,DB_Loonkosten,25,0),""),0),"Vast tarief",IF(LEFT(F997,8)="Bijdrage",VLOOKUP($F997,Tb_KostenTypen[],MATCH(Lijsten!$P$1,Tb_KostenTypen[#Headers],0),0),VLOOKUP($G997,Lijsten!L:P,MATCH(Lijsten!$P$1,Kop_Tarief_Vast,0),0))),""),"")</f>
        <v/>
      </c>
      <c r="Q997" s="359"/>
      <c r="R997" s="359"/>
      <c r="S997" s="321"/>
      <c r="T997" s="321"/>
      <c r="U997" s="373" t="str">
        <f t="shared" si="60"/>
        <v/>
      </c>
      <c r="V997" s="314" t="str">
        <f t="shared" si="61"/>
        <v/>
      </c>
      <c r="W997" s="314" t="str" cm="1">
        <f t="array" aca="1" ref="W997" ca="1">IFERROR(IF(AE997&lt;&gt;"ja",_xlfn.IFNA(_xlfn.IFS(AND(O997&lt;&gt;"",F997&lt;&gt;"",RIGHT($N997,6)="tarief",F997="Vergoeding"),SUM(O997)*FLOOR(SUM(Q997),0.0001),AND(O997&lt;&gt;"",F997&lt;&gt;"",RIGHT($N997,6)="tarief"),SUM(O997)*FLOOR(SUM(Q997),0.01),S997&gt;0,IF(F997&lt;&gt;"",FLOOR(SUM(S997),0.01),"")),""),""),"")</f>
        <v/>
      </c>
      <c r="X997" s="314" t="str" cm="1">
        <f t="array" aca="1" ref="X997" ca="1">IFERROR(IF(AE997&lt;&gt;"ja",_xlfn.IFNA(_xlfn.IFS(AND(P997&lt;&gt;"",R997&lt;&gt;"",RIGHT($N997,6)="tarief",F997="Vergoeding"),SUM(P997)*FLOOR(SUM(R997),0.0001),AND(P997&lt;&gt;"",R997&lt;&gt;"",RIGHT($N997,6)="tarief"),P997*FLOOR(R997,0.01),T997&gt;0,FLOOR(SUM(T997),0.01)),""),""),"")</f>
        <v/>
      </c>
      <c r="Y997" s="314" t="str">
        <f t="shared" ca="1" si="62"/>
        <v/>
      </c>
      <c r="Z997" s="314" t="str" cm="1">
        <f t="array" aca="1" ref="Z997" ca="1">IFERROR(_xlfn.IFS(OR(F997="",LEFT(Methode_Keuze,4)="Geen",Methode_Keuze=""),"",AND(W997&lt;&gt;"",F997&lt;&gt;"Arbeidskosten"),W997*VLOOKUP(F997,Tb_ProjectKosten[],MATCH(Tb_ProjectKosten[[#Headers],[Forfait_Percentage]],Tb_ProjectKosten[#Headers],0),0),AND(F997="Arbeidskosten",G997&lt;&gt;""),IFERROR(W997*VLOOKUP(G997,Tb_KostenTypen[],3,0)*VLOOKUP(F997,Tb_ProjectKosten[],MATCH(Tb_ProjectKosten[[#Headers],[Forfait_Percentage]],Tb_ProjectKosten[#Headers],0),0),""),W997 &lt;=0,0),"")</f>
        <v/>
      </c>
      <c r="AA997" s="314" t="str" cm="1">
        <f t="array" aca="1" ref="AA997" ca="1">IFERROR(_xlfn.IFS(OR(F997="",LEFT(Methode_Keuze,4)="Geen",Methode_Keuze=""),"",AND(X997&lt;&gt;"",F997&lt;&gt;"Arbeidskosten"),X997*VLOOKUP(F997,Tb_ProjectKosten[],MATCH(Tb_ProjectKosten[[#Headers],[Forfait_Percentage]],Tb_ProjectKosten[#Headers],0),0),AND(F997="Arbeidskosten",G997&lt;&gt;""),IFERROR(X997*VLOOKUP(G997,Tb_KostenTypen[],3,0)*VLOOKUP(F997,Tb_ProjectKosten[],MATCH(Tb_ProjectKosten[[#Headers],[Forfait_Percentage]],Tb_ProjectKosten[#Headers],0),0),""),X997 &lt;=0,0),"")</f>
        <v/>
      </c>
      <c r="AB997" s="314" t="str">
        <f t="shared" ca="1" si="63"/>
        <v/>
      </c>
      <c r="AC997" s="322"/>
      <c r="AD997" s="315"/>
      <c r="AE997" s="32" t="str" cm="1">
        <f t="array" ref="AE997">IFERROR(IF(INDEX(SubsidieTabel!$AD$1:$AG$12,MATCH($F997,SubsidieTabel!$AD$1:$AD$12,0),IFERROR(MATCH(Methode_Keuze,SubsidieTabel!$AD$1:$AG$1,0),2))&lt;&gt;1=TRUE,"ja",""),"")</f>
        <v/>
      </c>
    </row>
    <row r="998" spans="1:31" x14ac:dyDescent="0.25">
      <c r="A998" s="316"/>
      <c r="B998" s="317" t="str">
        <f>IF(A998&lt;&gt;"",_xlfn.MAXIFS($B$1:B997,$A$1:A997,A998)+1,"")</f>
        <v/>
      </c>
      <c r="C998" s="296"/>
      <c r="D998" s="296"/>
      <c r="E998" s="296"/>
      <c r="F998" s="296"/>
      <c r="G998" s="326"/>
      <c r="H998" s="324"/>
      <c r="I998" s="325"/>
      <c r="J998" s="325"/>
      <c r="K998" s="318"/>
      <c r="L998" s="318"/>
      <c r="M998" s="319" t="str">
        <f>IFERROR(VLOOKUP(H998,Lijsten!$H$1:$I$100,2,0),"")</f>
        <v/>
      </c>
      <c r="N998" s="319" t="str">
        <f ca="1">IFERROR(IF(VLOOKUP(F998,Kostentypen!$A$3:$E$21,3,0)=0,"",IF(OR(F998="Arbeidskosten",F998="Vergoeding"),VLOOKUP(G998,Tb_KostenTypen[],2,0),VLOOKUP(F998,Kostentypen!$A$3:$E$20,3,0))),"")</f>
        <v/>
      </c>
      <c r="O998" s="320" t="str" cm="1">
        <f t="array" ref="O998">_xlfn.IFNA(IF(INDEX(Tb_KostenOptiesDB[],MATCH($F998,Tb_KostenOptiesDB[KostenOptie],0),IFERROR(MATCH(Methode_Keuze,Tb_KostenOptiesDB[#Headers],0),2))=1,_xlfn.SWITCH($N998,"Uurtarief",IF(OR(AND(RIGHT($F998,3)="IKS",VLOOKUP($M998,DB_Loonkosten,2,0)="Ja"),AND(RIGHT($F998,3)&lt;&gt;"IKS",VLOOKUP($M998,DB_Loonkosten,2,0)="Nee")),IFERROR(VLOOKUP($M998,DB_Loonkosten,24,0),""),0),"Vast tarief",IF(LEFT(F998,8)="Bijdrage",VLOOKUP($F998,Tb_KostenTypen[],MATCH(Lijsten!$P$1,Tb_KostenTypen[#Headers],0),0),VLOOKUP($G998,Lijsten!L:P,MATCH(Lijsten!$P$1,Kop_Tarief_Vast,0),0))),""),"")</f>
        <v/>
      </c>
      <c r="P998" s="320" t="str" cm="1">
        <f t="array" ref="P998">_xlfn.IFNA(IF(INDEX(Tb_KostenOptiesDB[],MATCH($F998,Tb_KostenOptiesDB[KostenOptie],0),IFERROR(MATCH(Methode_Keuze,Tb_KostenOptiesDB[#Headers],0),2))=1,_xlfn.SWITCH($N998,"Uurtarief",IF(OR(AND(RIGHT($F998,3)="IKS",VLOOKUP($M998,DB_Loonkosten,2,0)="Ja"),AND(RIGHT($F998,3)&lt;&gt;"IKS",VLOOKUP($M998,DB_Loonkosten,2,0)="Nee")),IFERROR(VLOOKUP($M998,DB_Loonkosten,25,0),""),0),"Vast tarief",IF(LEFT(F998,8)="Bijdrage",VLOOKUP($F998,Tb_KostenTypen[],MATCH(Lijsten!$P$1,Tb_KostenTypen[#Headers],0),0),VLOOKUP($G998,Lijsten!L:P,MATCH(Lijsten!$P$1,Kop_Tarief_Vast,0),0))),""),"")</f>
        <v/>
      </c>
      <c r="Q998" s="359"/>
      <c r="R998" s="359"/>
      <c r="S998" s="321"/>
      <c r="T998" s="321"/>
      <c r="U998" s="373" t="str">
        <f t="shared" si="60"/>
        <v/>
      </c>
      <c r="V998" s="314" t="str">
        <f t="shared" si="61"/>
        <v/>
      </c>
      <c r="W998" s="314" t="str" cm="1">
        <f t="array" aca="1" ref="W998" ca="1">IFERROR(IF(AE998&lt;&gt;"ja",_xlfn.IFNA(_xlfn.IFS(AND(O998&lt;&gt;"",F998&lt;&gt;"",RIGHT($N998,6)="tarief",F998="Vergoeding"),SUM(O998)*FLOOR(SUM(Q998),0.0001),AND(O998&lt;&gt;"",F998&lt;&gt;"",RIGHT($N998,6)="tarief"),SUM(O998)*FLOOR(SUM(Q998),0.01),S998&gt;0,IF(F998&lt;&gt;"",FLOOR(SUM(S998),0.01),"")),""),""),"")</f>
        <v/>
      </c>
      <c r="X998" s="314" t="str" cm="1">
        <f t="array" aca="1" ref="X998" ca="1">IFERROR(IF(AE998&lt;&gt;"ja",_xlfn.IFNA(_xlfn.IFS(AND(P998&lt;&gt;"",R998&lt;&gt;"",RIGHT($N998,6)="tarief",F998="Vergoeding"),SUM(P998)*FLOOR(SUM(R998),0.0001),AND(P998&lt;&gt;"",R998&lt;&gt;"",RIGHT($N998,6)="tarief"),P998*FLOOR(R998,0.01),T998&gt;0,FLOOR(SUM(T998),0.01)),""),""),"")</f>
        <v/>
      </c>
      <c r="Y998" s="314" t="str">
        <f t="shared" ca="1" si="62"/>
        <v/>
      </c>
      <c r="Z998" s="314" t="str" cm="1">
        <f t="array" aca="1" ref="Z998" ca="1">IFERROR(_xlfn.IFS(OR(F998="",LEFT(Methode_Keuze,4)="Geen",Methode_Keuze=""),"",AND(W998&lt;&gt;"",F998&lt;&gt;"Arbeidskosten"),W998*VLOOKUP(F998,Tb_ProjectKosten[],MATCH(Tb_ProjectKosten[[#Headers],[Forfait_Percentage]],Tb_ProjectKosten[#Headers],0),0),AND(F998="Arbeidskosten",G998&lt;&gt;""),IFERROR(W998*VLOOKUP(G998,Tb_KostenTypen[],3,0)*VLOOKUP(F998,Tb_ProjectKosten[],MATCH(Tb_ProjectKosten[[#Headers],[Forfait_Percentage]],Tb_ProjectKosten[#Headers],0),0),""),W998 &lt;=0,0),"")</f>
        <v/>
      </c>
      <c r="AA998" s="314" t="str" cm="1">
        <f t="array" aca="1" ref="AA998" ca="1">IFERROR(_xlfn.IFS(OR(F998="",LEFT(Methode_Keuze,4)="Geen",Methode_Keuze=""),"",AND(X998&lt;&gt;"",F998&lt;&gt;"Arbeidskosten"),X998*VLOOKUP(F998,Tb_ProjectKosten[],MATCH(Tb_ProjectKosten[[#Headers],[Forfait_Percentage]],Tb_ProjectKosten[#Headers],0),0),AND(F998="Arbeidskosten",G998&lt;&gt;""),IFERROR(X998*VLOOKUP(G998,Tb_KostenTypen[],3,0)*VLOOKUP(F998,Tb_ProjectKosten[],MATCH(Tb_ProjectKosten[[#Headers],[Forfait_Percentage]],Tb_ProjectKosten[#Headers],0),0),""),X998 &lt;=0,0),"")</f>
        <v/>
      </c>
      <c r="AB998" s="314" t="str">
        <f t="shared" ca="1" si="63"/>
        <v/>
      </c>
      <c r="AC998" s="322"/>
      <c r="AD998" s="315"/>
      <c r="AE998" s="32" t="str" cm="1">
        <f t="array" ref="AE998">IFERROR(IF(INDEX(SubsidieTabel!$AD$1:$AG$12,MATCH($F998,SubsidieTabel!$AD$1:$AD$12,0),IFERROR(MATCH(Methode_Keuze,SubsidieTabel!$AD$1:$AG$1,0),2))&lt;&gt;1=TRUE,"ja",""),"")</f>
        <v/>
      </c>
    </row>
    <row r="999" spans="1:31" x14ac:dyDescent="0.25">
      <c r="A999" s="316"/>
      <c r="B999" s="317" t="str">
        <f>IF(A999&lt;&gt;"",_xlfn.MAXIFS($B$1:B998,$A$1:A998,A999)+1,"")</f>
        <v/>
      </c>
      <c r="C999" s="296"/>
      <c r="D999" s="296"/>
      <c r="E999" s="296"/>
      <c r="F999" s="296"/>
      <c r="G999" s="326"/>
      <c r="H999" s="324"/>
      <c r="I999" s="325"/>
      <c r="J999" s="325"/>
      <c r="K999" s="318"/>
      <c r="L999" s="318"/>
      <c r="M999" s="319" t="str">
        <f>IFERROR(VLOOKUP(H999,Lijsten!$H$1:$I$100,2,0),"")</f>
        <v/>
      </c>
      <c r="N999" s="319" t="str">
        <f ca="1">IFERROR(IF(VLOOKUP(F999,Kostentypen!$A$3:$E$21,3,0)=0,"",IF(OR(F999="Arbeidskosten",F999="Vergoeding"),VLOOKUP(G999,Tb_KostenTypen[],2,0),VLOOKUP(F999,Kostentypen!$A$3:$E$20,3,0))),"")</f>
        <v/>
      </c>
      <c r="O999" s="320" t="str" cm="1">
        <f t="array" ref="O999">_xlfn.IFNA(IF(INDEX(Tb_KostenOptiesDB[],MATCH($F999,Tb_KostenOptiesDB[KostenOptie],0),IFERROR(MATCH(Methode_Keuze,Tb_KostenOptiesDB[#Headers],0),2))=1,_xlfn.SWITCH($N999,"Uurtarief",IF(OR(AND(RIGHT($F999,3)="IKS",VLOOKUP($M999,DB_Loonkosten,2,0)="Ja"),AND(RIGHT($F999,3)&lt;&gt;"IKS",VLOOKUP($M999,DB_Loonkosten,2,0)="Nee")),IFERROR(VLOOKUP($M999,DB_Loonkosten,24,0),""),0),"Vast tarief",IF(LEFT(F999,8)="Bijdrage",VLOOKUP($F999,Tb_KostenTypen[],MATCH(Lijsten!$P$1,Tb_KostenTypen[#Headers],0),0),VLOOKUP($G999,Lijsten!L:P,MATCH(Lijsten!$P$1,Kop_Tarief_Vast,0),0))),""),"")</f>
        <v/>
      </c>
      <c r="P999" s="320" t="str" cm="1">
        <f t="array" ref="P999">_xlfn.IFNA(IF(INDEX(Tb_KostenOptiesDB[],MATCH($F999,Tb_KostenOptiesDB[KostenOptie],0),IFERROR(MATCH(Methode_Keuze,Tb_KostenOptiesDB[#Headers],0),2))=1,_xlfn.SWITCH($N999,"Uurtarief",IF(OR(AND(RIGHT($F999,3)="IKS",VLOOKUP($M999,DB_Loonkosten,2,0)="Ja"),AND(RIGHT($F999,3)&lt;&gt;"IKS",VLOOKUP($M999,DB_Loonkosten,2,0)="Nee")),IFERROR(VLOOKUP($M999,DB_Loonkosten,25,0),""),0),"Vast tarief",IF(LEFT(F999,8)="Bijdrage",VLOOKUP($F999,Tb_KostenTypen[],MATCH(Lijsten!$P$1,Tb_KostenTypen[#Headers],0),0),VLOOKUP($G999,Lijsten!L:P,MATCH(Lijsten!$P$1,Kop_Tarief_Vast,0),0))),""),"")</f>
        <v/>
      </c>
      <c r="Q999" s="359"/>
      <c r="R999" s="359"/>
      <c r="S999" s="321"/>
      <c r="T999" s="321"/>
      <c r="U999" s="373" t="str">
        <f t="shared" si="60"/>
        <v/>
      </c>
      <c r="V999" s="314" t="str">
        <f t="shared" si="61"/>
        <v/>
      </c>
      <c r="W999" s="314" t="str" cm="1">
        <f t="array" aca="1" ref="W999" ca="1">IFERROR(IF(AE999&lt;&gt;"ja",_xlfn.IFNA(_xlfn.IFS(AND(O999&lt;&gt;"",F999&lt;&gt;"",RIGHT($N999,6)="tarief",F999="Vergoeding"),SUM(O999)*FLOOR(SUM(Q999),0.0001),AND(O999&lt;&gt;"",F999&lt;&gt;"",RIGHT($N999,6)="tarief"),SUM(O999)*FLOOR(SUM(Q999),0.01),S999&gt;0,IF(F999&lt;&gt;"",FLOOR(SUM(S999),0.01),"")),""),""),"")</f>
        <v/>
      </c>
      <c r="X999" s="314" t="str" cm="1">
        <f t="array" aca="1" ref="X999" ca="1">IFERROR(IF(AE999&lt;&gt;"ja",_xlfn.IFNA(_xlfn.IFS(AND(P999&lt;&gt;"",R999&lt;&gt;"",RIGHT($N999,6)="tarief",F999="Vergoeding"),SUM(P999)*FLOOR(SUM(R999),0.0001),AND(P999&lt;&gt;"",R999&lt;&gt;"",RIGHT($N999,6)="tarief"),P999*FLOOR(R999,0.01),T999&gt;0,FLOOR(SUM(T999),0.01)),""),""),"")</f>
        <v/>
      </c>
      <c r="Y999" s="314" t="str">
        <f t="shared" ca="1" si="62"/>
        <v/>
      </c>
      <c r="Z999" s="314" t="str" cm="1">
        <f t="array" aca="1" ref="Z999" ca="1">IFERROR(_xlfn.IFS(OR(F999="",LEFT(Methode_Keuze,4)="Geen",Methode_Keuze=""),"",AND(W999&lt;&gt;"",F999&lt;&gt;"Arbeidskosten"),W999*VLOOKUP(F999,Tb_ProjectKosten[],MATCH(Tb_ProjectKosten[[#Headers],[Forfait_Percentage]],Tb_ProjectKosten[#Headers],0),0),AND(F999="Arbeidskosten",G999&lt;&gt;""),IFERROR(W999*VLOOKUP(G999,Tb_KostenTypen[],3,0)*VLOOKUP(F999,Tb_ProjectKosten[],MATCH(Tb_ProjectKosten[[#Headers],[Forfait_Percentage]],Tb_ProjectKosten[#Headers],0),0),""),W999 &lt;=0,0),"")</f>
        <v/>
      </c>
      <c r="AA999" s="314" t="str" cm="1">
        <f t="array" aca="1" ref="AA999" ca="1">IFERROR(_xlfn.IFS(OR(F999="",LEFT(Methode_Keuze,4)="Geen",Methode_Keuze=""),"",AND(X999&lt;&gt;"",F999&lt;&gt;"Arbeidskosten"),X999*VLOOKUP(F999,Tb_ProjectKosten[],MATCH(Tb_ProjectKosten[[#Headers],[Forfait_Percentage]],Tb_ProjectKosten[#Headers],0),0),AND(F999="Arbeidskosten",G999&lt;&gt;""),IFERROR(X999*VLOOKUP(G999,Tb_KostenTypen[],3,0)*VLOOKUP(F999,Tb_ProjectKosten[],MATCH(Tb_ProjectKosten[[#Headers],[Forfait_Percentage]],Tb_ProjectKosten[#Headers],0),0),""),X999 &lt;=0,0),"")</f>
        <v/>
      </c>
      <c r="AB999" s="314" t="str">
        <f t="shared" ca="1" si="63"/>
        <v/>
      </c>
      <c r="AC999" s="322"/>
      <c r="AD999" s="315"/>
      <c r="AE999" s="32" t="str" cm="1">
        <f t="array" ref="AE999">IFERROR(IF(INDEX(SubsidieTabel!$AD$1:$AG$12,MATCH($F999,SubsidieTabel!$AD$1:$AD$12,0),IFERROR(MATCH(Methode_Keuze,SubsidieTabel!$AD$1:$AG$1,0),2))&lt;&gt;1=TRUE,"ja",""),"")</f>
        <v/>
      </c>
    </row>
    <row r="1000" spans="1:31" x14ac:dyDescent="0.25">
      <c r="A1000" s="316"/>
      <c r="B1000" s="317" t="str">
        <f>IF(A1000&lt;&gt;"",_xlfn.MAXIFS($B$1:B999,$A$1:A999,A1000)+1,"")</f>
        <v/>
      </c>
      <c r="C1000" s="296"/>
      <c r="D1000" s="296"/>
      <c r="E1000" s="296"/>
      <c r="F1000" s="296"/>
      <c r="G1000" s="326"/>
      <c r="H1000" s="324"/>
      <c r="I1000" s="325"/>
      <c r="J1000" s="325"/>
      <c r="K1000" s="318"/>
      <c r="L1000" s="318"/>
      <c r="M1000" s="319" t="str">
        <f>IFERROR(VLOOKUP(H1000,Lijsten!$H$1:$I$100,2,0),"")</f>
        <v/>
      </c>
      <c r="N1000" s="319" t="str">
        <f ca="1">IFERROR(IF(VLOOKUP(F1000,Kostentypen!$A$3:$E$21,3,0)=0,"",IF(OR(F1000="Arbeidskosten",F1000="Vergoeding"),VLOOKUP(G1000,Tb_KostenTypen[],2,0),VLOOKUP(F1000,Kostentypen!$A$3:$E$20,3,0))),"")</f>
        <v/>
      </c>
      <c r="O1000" s="320" t="str" cm="1">
        <f t="array" ref="O1000">_xlfn.IFNA(IF(INDEX(Tb_KostenOptiesDB[],MATCH($F1000,Tb_KostenOptiesDB[KostenOptie],0),IFERROR(MATCH(Methode_Keuze,Tb_KostenOptiesDB[#Headers],0),2))=1,_xlfn.SWITCH($N1000,"Uurtarief",IF(OR(AND(RIGHT($F1000,3)="IKS",VLOOKUP($M1000,DB_Loonkosten,2,0)="Ja"),AND(RIGHT($F1000,3)&lt;&gt;"IKS",VLOOKUP($M1000,DB_Loonkosten,2,0)="Nee")),IFERROR(VLOOKUP($M1000,DB_Loonkosten,24,0),""),0),"Vast tarief",IF(LEFT(F1000,8)="Bijdrage",VLOOKUP($F1000,Tb_KostenTypen[],MATCH(Lijsten!$P$1,Tb_KostenTypen[#Headers],0),0),VLOOKUP($G1000,Lijsten!L:P,MATCH(Lijsten!$P$1,Kop_Tarief_Vast,0),0))),""),"")</f>
        <v/>
      </c>
      <c r="P1000" s="320" t="str" cm="1">
        <f t="array" ref="P1000">_xlfn.IFNA(IF(INDEX(Tb_KostenOptiesDB[],MATCH($F1000,Tb_KostenOptiesDB[KostenOptie],0),IFERROR(MATCH(Methode_Keuze,Tb_KostenOptiesDB[#Headers],0),2))=1,_xlfn.SWITCH($N1000,"Uurtarief",IF(OR(AND(RIGHT($F1000,3)="IKS",VLOOKUP($M1000,DB_Loonkosten,2,0)="Ja"),AND(RIGHT($F1000,3)&lt;&gt;"IKS",VLOOKUP($M1000,DB_Loonkosten,2,0)="Nee")),IFERROR(VLOOKUP($M1000,DB_Loonkosten,25,0),""),0),"Vast tarief",IF(LEFT(F1000,8)="Bijdrage",VLOOKUP($F1000,Tb_KostenTypen[],MATCH(Lijsten!$P$1,Tb_KostenTypen[#Headers],0),0),VLOOKUP($G1000,Lijsten!L:P,MATCH(Lijsten!$P$1,Kop_Tarief_Vast,0),0))),""),"")</f>
        <v/>
      </c>
      <c r="Q1000" s="359"/>
      <c r="R1000" s="359"/>
      <c r="S1000" s="321"/>
      <c r="T1000" s="321"/>
      <c r="U1000" s="373" t="str">
        <f t="shared" si="60"/>
        <v/>
      </c>
      <c r="V1000" s="314" t="str">
        <f t="shared" si="61"/>
        <v/>
      </c>
      <c r="W1000" s="314" t="str" cm="1">
        <f t="array" aca="1" ref="W1000" ca="1">IFERROR(IF(AE1000&lt;&gt;"ja",_xlfn.IFNA(_xlfn.IFS(AND(O1000&lt;&gt;"",F1000&lt;&gt;"",RIGHT($N1000,6)="tarief",F1000="Vergoeding"),SUM(O1000)*FLOOR(SUM(Q1000),0.0001),AND(O1000&lt;&gt;"",F1000&lt;&gt;"",RIGHT($N1000,6)="tarief"),SUM(O1000)*FLOOR(SUM(Q1000),0.01),S1000&gt;0,IF(F1000&lt;&gt;"",FLOOR(SUM(S1000),0.01),"")),""),""),"")</f>
        <v/>
      </c>
      <c r="X1000" s="314" t="str" cm="1">
        <f t="array" aca="1" ref="X1000" ca="1">IFERROR(IF(AE1000&lt;&gt;"ja",_xlfn.IFNA(_xlfn.IFS(AND(P1000&lt;&gt;"",R1000&lt;&gt;"",RIGHT($N1000,6)="tarief",F1000="Vergoeding"),SUM(P1000)*FLOOR(SUM(R1000),0.0001),AND(P1000&lt;&gt;"",R1000&lt;&gt;"",RIGHT($N1000,6)="tarief"),P1000*FLOOR(R1000,0.01),T1000&gt;0,FLOOR(SUM(T1000),0.01)),""),""),"")</f>
        <v/>
      </c>
      <c r="Y1000" s="314" t="str">
        <f t="shared" ca="1" si="62"/>
        <v/>
      </c>
      <c r="Z1000" s="314" t="str" cm="1">
        <f t="array" aca="1" ref="Z1000" ca="1">IFERROR(_xlfn.IFS(OR(F1000="",LEFT(Methode_Keuze,4)="Geen",Methode_Keuze=""),"",AND(W1000&lt;&gt;"",F1000&lt;&gt;"Arbeidskosten"),W1000*VLOOKUP(F1000,Tb_ProjectKosten[],MATCH(Tb_ProjectKosten[[#Headers],[Forfait_Percentage]],Tb_ProjectKosten[#Headers],0),0),AND(F1000="Arbeidskosten",G1000&lt;&gt;""),IFERROR(W1000*VLOOKUP(G1000,Tb_KostenTypen[],3,0)*VLOOKUP(F1000,Tb_ProjectKosten[],MATCH(Tb_ProjectKosten[[#Headers],[Forfait_Percentage]],Tb_ProjectKosten[#Headers],0),0),""),W1000 &lt;=0,0),"")</f>
        <v/>
      </c>
      <c r="AA1000" s="314" t="str" cm="1">
        <f t="array" aca="1" ref="AA1000" ca="1">IFERROR(_xlfn.IFS(OR(F1000="",LEFT(Methode_Keuze,4)="Geen",Methode_Keuze=""),"",AND(X1000&lt;&gt;"",F1000&lt;&gt;"Arbeidskosten"),X1000*VLOOKUP(F1000,Tb_ProjectKosten[],MATCH(Tb_ProjectKosten[[#Headers],[Forfait_Percentage]],Tb_ProjectKosten[#Headers],0),0),AND(F1000="Arbeidskosten",G1000&lt;&gt;""),IFERROR(X1000*VLOOKUP(G1000,Tb_KostenTypen[],3,0)*VLOOKUP(F1000,Tb_ProjectKosten[],MATCH(Tb_ProjectKosten[[#Headers],[Forfait_Percentage]],Tb_ProjectKosten[#Headers],0),0),""),X1000 &lt;=0,0),"")</f>
        <v/>
      </c>
      <c r="AB1000" s="314" t="str">
        <f t="shared" ca="1" si="63"/>
        <v/>
      </c>
      <c r="AC1000" s="322"/>
      <c r="AD1000" s="315"/>
      <c r="AE1000" s="32" t="str" cm="1">
        <f t="array" ref="AE1000">IFERROR(IF(INDEX(SubsidieTabel!$AD$1:$AG$12,MATCH($F1000,SubsidieTabel!$AD$1:$AD$12,0),IFERROR(MATCH(Methode_Keuze,SubsidieTabel!$AD$1:$AG$1,0),2))&lt;&gt;1=TRUE,"ja",""),"")</f>
        <v/>
      </c>
    </row>
    <row r="1001" spans="1:31" x14ac:dyDescent="0.25">
      <c r="A1001" s="316"/>
      <c r="B1001" s="317" t="str">
        <f>IF(A1001&lt;&gt;"",_xlfn.MAXIFS($B$1:B1000,$A$1:A1000,A1001)+1,"")</f>
        <v/>
      </c>
      <c r="C1001" s="296"/>
      <c r="D1001" s="296"/>
      <c r="E1001" s="296"/>
      <c r="F1001" s="296"/>
      <c r="G1001" s="326"/>
      <c r="H1001" s="324"/>
      <c r="I1001" s="325"/>
      <c r="J1001" s="325"/>
      <c r="K1001" s="318"/>
      <c r="L1001" s="318"/>
      <c r="M1001" s="319" t="str">
        <f>IFERROR(VLOOKUP(H1001,Lijsten!$H$1:$I$100,2,0),"")</f>
        <v/>
      </c>
      <c r="N1001" s="319" t="str">
        <f ca="1">IFERROR(IF(VLOOKUP(F1001,Kostentypen!$A$3:$E$21,3,0)=0,"",IF(OR(F1001="Arbeidskosten",F1001="Vergoeding"),VLOOKUP(G1001,Tb_KostenTypen[],2,0),VLOOKUP(F1001,Kostentypen!$A$3:$E$20,3,0))),"")</f>
        <v/>
      </c>
      <c r="O1001" s="320" t="str" cm="1">
        <f t="array" ref="O1001">_xlfn.IFNA(IF(INDEX(Tb_KostenOptiesDB[],MATCH($F1001,Tb_KostenOptiesDB[KostenOptie],0),IFERROR(MATCH(Methode_Keuze,Tb_KostenOptiesDB[#Headers],0),2))=1,_xlfn.SWITCH($N1001,"Uurtarief",IF(OR(AND(RIGHT($F1001,3)="IKS",VLOOKUP($M1001,DB_Loonkosten,2,0)="Ja"),AND(RIGHT($F1001,3)&lt;&gt;"IKS",VLOOKUP($M1001,DB_Loonkosten,2,0)="Nee")),IFERROR(VLOOKUP($M1001,DB_Loonkosten,24,0),""),0),"Vast tarief",IF(LEFT(F1001,8)="Bijdrage",VLOOKUP($F1001,Tb_KostenTypen[],MATCH(Lijsten!$P$1,Tb_KostenTypen[#Headers],0),0),VLOOKUP($G1001,Lijsten!L:P,MATCH(Lijsten!$P$1,Kop_Tarief_Vast,0),0))),""),"")</f>
        <v/>
      </c>
      <c r="P1001" s="320" t="str" cm="1">
        <f t="array" ref="P1001">_xlfn.IFNA(IF(INDEX(Tb_KostenOptiesDB[],MATCH($F1001,Tb_KostenOptiesDB[KostenOptie],0),IFERROR(MATCH(Methode_Keuze,Tb_KostenOptiesDB[#Headers],0),2))=1,_xlfn.SWITCH($N1001,"Uurtarief",IF(OR(AND(RIGHT($F1001,3)="IKS",VLOOKUP($M1001,DB_Loonkosten,2,0)="Ja"),AND(RIGHT($F1001,3)&lt;&gt;"IKS",VLOOKUP($M1001,DB_Loonkosten,2,0)="Nee")),IFERROR(VLOOKUP($M1001,DB_Loonkosten,25,0),""),0),"Vast tarief",IF(LEFT(F1001,8)="Bijdrage",VLOOKUP($F1001,Tb_KostenTypen[],MATCH(Lijsten!$P$1,Tb_KostenTypen[#Headers],0),0),VLOOKUP($G1001,Lijsten!L:P,MATCH(Lijsten!$P$1,Kop_Tarief_Vast,0),0))),""),"")</f>
        <v/>
      </c>
      <c r="Q1001" s="359"/>
      <c r="R1001" s="359"/>
      <c r="S1001" s="321"/>
      <c r="T1001" s="321"/>
      <c r="U1001" s="373" t="str">
        <f t="shared" si="60"/>
        <v/>
      </c>
      <c r="V1001" s="314" t="str">
        <f t="shared" si="61"/>
        <v/>
      </c>
      <c r="W1001" s="314" t="str" cm="1">
        <f t="array" aca="1" ref="W1001" ca="1">IFERROR(IF(AE1001&lt;&gt;"ja",_xlfn.IFNA(_xlfn.IFS(AND(O1001&lt;&gt;"",F1001&lt;&gt;"",RIGHT($N1001,6)="tarief",F1001="Vergoeding"),SUM(O1001)*FLOOR(SUM(Q1001),0.0001),AND(O1001&lt;&gt;"",F1001&lt;&gt;"",RIGHT($N1001,6)="tarief"),SUM(O1001)*FLOOR(SUM(Q1001),0.01),S1001&gt;0,IF(F1001&lt;&gt;"",FLOOR(SUM(S1001),0.01),"")),""),""),"")</f>
        <v/>
      </c>
      <c r="X1001" s="314" t="str" cm="1">
        <f t="array" aca="1" ref="X1001" ca="1">IFERROR(IF(AE1001&lt;&gt;"ja",_xlfn.IFNA(_xlfn.IFS(AND(P1001&lt;&gt;"",R1001&lt;&gt;"",RIGHT($N1001,6)="tarief",F1001="Vergoeding"),SUM(P1001)*FLOOR(SUM(R1001),0.0001),AND(P1001&lt;&gt;"",R1001&lt;&gt;"",RIGHT($N1001,6)="tarief"),P1001*FLOOR(R1001,0.01),T1001&gt;0,FLOOR(SUM(T1001),0.01)),""),""),"")</f>
        <v/>
      </c>
      <c r="Y1001" s="314" t="str">
        <f t="shared" ca="1" si="62"/>
        <v/>
      </c>
      <c r="Z1001" s="314" t="str" cm="1">
        <f t="array" aca="1" ref="Z1001" ca="1">IFERROR(_xlfn.IFS(OR(F1001="",LEFT(Methode_Keuze,4)="Geen",Methode_Keuze=""),"",AND(W1001&lt;&gt;"",F1001&lt;&gt;"Arbeidskosten"),W1001*VLOOKUP(F1001,Tb_ProjectKosten[],MATCH(Tb_ProjectKosten[[#Headers],[Forfait_Percentage]],Tb_ProjectKosten[#Headers],0),0),AND(F1001="Arbeidskosten",G1001&lt;&gt;""),IFERROR(W1001*VLOOKUP(G1001,Tb_KostenTypen[],3,0)*VLOOKUP(F1001,Tb_ProjectKosten[],MATCH(Tb_ProjectKosten[[#Headers],[Forfait_Percentage]],Tb_ProjectKosten[#Headers],0),0),""),W1001 &lt;=0,0),"")</f>
        <v/>
      </c>
      <c r="AA1001" s="314" t="str" cm="1">
        <f t="array" aca="1" ref="AA1001" ca="1">IFERROR(_xlfn.IFS(OR(F1001="",LEFT(Methode_Keuze,4)="Geen",Methode_Keuze=""),"",AND(X1001&lt;&gt;"",F1001&lt;&gt;"Arbeidskosten"),X1001*VLOOKUP(F1001,Tb_ProjectKosten[],MATCH(Tb_ProjectKosten[[#Headers],[Forfait_Percentage]],Tb_ProjectKosten[#Headers],0),0),AND(F1001="Arbeidskosten",G1001&lt;&gt;""),IFERROR(X1001*VLOOKUP(G1001,Tb_KostenTypen[],3,0)*VLOOKUP(F1001,Tb_ProjectKosten[],MATCH(Tb_ProjectKosten[[#Headers],[Forfait_Percentage]],Tb_ProjectKosten[#Headers],0),0),""),X1001 &lt;=0,0),"")</f>
        <v/>
      </c>
      <c r="AB1001" s="314" t="str">
        <f t="shared" ca="1" si="63"/>
        <v/>
      </c>
      <c r="AC1001" s="322"/>
      <c r="AD1001" s="315"/>
      <c r="AE1001" s="32" t="str" cm="1">
        <f t="array" ref="AE1001">IFERROR(IF(INDEX(SubsidieTabel!$AD$1:$AG$12,MATCH($F1001,SubsidieTabel!$AD$1:$AD$12,0),IFERROR(MATCH(Methode_Keuze,SubsidieTabel!$AD$1:$AG$1,0),2))&lt;&gt;1=TRUE,"ja",""),"")</f>
        <v/>
      </c>
    </row>
    <row r="1002" spans="1:31" x14ac:dyDescent="0.25">
      <c r="A1002" s="316"/>
      <c r="B1002" s="317" t="str">
        <f>IF(A1002&lt;&gt;"",_xlfn.MAXIFS($B$1:B1001,$A$1:A1001,A1002)+1,"")</f>
        <v/>
      </c>
      <c r="C1002" s="296"/>
      <c r="D1002" s="296"/>
      <c r="E1002" s="296"/>
      <c r="F1002" s="296"/>
      <c r="G1002" s="326"/>
      <c r="H1002" s="324"/>
      <c r="I1002" s="325"/>
      <c r="J1002" s="325"/>
      <c r="K1002" s="318"/>
      <c r="L1002" s="318"/>
      <c r="M1002" s="319" t="str">
        <f>IFERROR(VLOOKUP(H1002,Lijsten!$H$1:$I$100,2,0),"")</f>
        <v/>
      </c>
      <c r="N1002" s="319" t="str">
        <f ca="1">IFERROR(IF(VLOOKUP(F1002,Kostentypen!$A$3:$E$21,3,0)=0,"",IF(OR(F1002="Arbeidskosten",F1002="Vergoeding"),VLOOKUP(G1002,Tb_KostenTypen[],2,0),VLOOKUP(F1002,Kostentypen!$A$3:$E$20,3,0))),"")</f>
        <v/>
      </c>
      <c r="O1002" s="320" t="str" cm="1">
        <f t="array" ref="O1002">_xlfn.IFNA(IF(INDEX(Tb_KostenOptiesDB[],MATCH($F1002,Tb_KostenOptiesDB[KostenOptie],0),IFERROR(MATCH(Methode_Keuze,Tb_KostenOptiesDB[#Headers],0),2))=1,_xlfn.SWITCH($N1002,"Uurtarief",IF(OR(AND(RIGHT($F1002,3)="IKS",VLOOKUP($M1002,DB_Loonkosten,2,0)="Ja"),AND(RIGHT($F1002,3)&lt;&gt;"IKS",VLOOKUP($M1002,DB_Loonkosten,2,0)="Nee")),IFERROR(VLOOKUP($M1002,DB_Loonkosten,24,0),""),0),"Vast tarief",IF(LEFT(F1002,8)="Bijdrage",VLOOKUP($F1002,Tb_KostenTypen[],MATCH(Lijsten!$P$1,Tb_KostenTypen[#Headers],0),0),VLOOKUP($G1002,Lijsten!L:P,MATCH(Lijsten!$P$1,Kop_Tarief_Vast,0),0))),""),"")</f>
        <v/>
      </c>
      <c r="P1002" s="320" t="str" cm="1">
        <f t="array" ref="P1002">_xlfn.IFNA(IF(INDEX(Tb_KostenOptiesDB[],MATCH($F1002,Tb_KostenOptiesDB[KostenOptie],0),IFERROR(MATCH(Methode_Keuze,Tb_KostenOptiesDB[#Headers],0),2))=1,_xlfn.SWITCH($N1002,"Uurtarief",IF(OR(AND(RIGHT($F1002,3)="IKS",VLOOKUP($M1002,DB_Loonkosten,2,0)="Ja"),AND(RIGHT($F1002,3)&lt;&gt;"IKS",VLOOKUP($M1002,DB_Loonkosten,2,0)="Nee")),IFERROR(VLOOKUP($M1002,DB_Loonkosten,25,0),""),0),"Vast tarief",IF(LEFT(F1002,8)="Bijdrage",VLOOKUP($F1002,Tb_KostenTypen[],MATCH(Lijsten!$P$1,Tb_KostenTypen[#Headers],0),0),VLOOKUP($G1002,Lijsten!L:P,MATCH(Lijsten!$P$1,Kop_Tarief_Vast,0),0))),""),"")</f>
        <v/>
      </c>
      <c r="Q1002" s="359"/>
      <c r="R1002" s="359"/>
      <c r="S1002" s="321"/>
      <c r="T1002" s="321"/>
      <c r="U1002" s="373" t="str">
        <f t="shared" si="60"/>
        <v/>
      </c>
      <c r="V1002" s="314" t="str">
        <f t="shared" si="61"/>
        <v/>
      </c>
      <c r="W1002" s="314" t="str" cm="1">
        <f t="array" aca="1" ref="W1002" ca="1">IFERROR(IF(AE1002&lt;&gt;"ja",_xlfn.IFNA(_xlfn.IFS(AND(O1002&lt;&gt;"",F1002&lt;&gt;"",RIGHT($N1002,6)="tarief",F1002="Vergoeding"),SUM(O1002)*FLOOR(SUM(Q1002),0.0001),AND(O1002&lt;&gt;"",F1002&lt;&gt;"",RIGHT($N1002,6)="tarief"),SUM(O1002)*FLOOR(SUM(Q1002),0.01),S1002&gt;0,IF(F1002&lt;&gt;"",FLOOR(SUM(S1002),0.01),"")),""),""),"")</f>
        <v/>
      </c>
      <c r="X1002" s="314" t="str" cm="1">
        <f t="array" aca="1" ref="X1002" ca="1">IFERROR(IF(AE1002&lt;&gt;"ja",_xlfn.IFNA(_xlfn.IFS(AND(P1002&lt;&gt;"",R1002&lt;&gt;"",RIGHT($N1002,6)="tarief",F1002="Vergoeding"),SUM(P1002)*FLOOR(SUM(R1002),0.0001),AND(P1002&lt;&gt;"",R1002&lt;&gt;"",RIGHT($N1002,6)="tarief"),P1002*FLOOR(R1002,0.01),T1002&gt;0,FLOOR(SUM(T1002),0.01)),""),""),"")</f>
        <v/>
      </c>
      <c r="Y1002" s="314" t="str">
        <f t="shared" ca="1" si="62"/>
        <v/>
      </c>
      <c r="Z1002" s="314" t="str" cm="1">
        <f t="array" aca="1" ref="Z1002" ca="1">IFERROR(_xlfn.IFS(OR(F1002="",LEFT(Methode_Keuze,4)="Geen",Methode_Keuze=""),"",AND(W1002&lt;&gt;"",F1002&lt;&gt;"Arbeidskosten"),W1002*VLOOKUP(F1002,Tb_ProjectKosten[],MATCH(Tb_ProjectKosten[[#Headers],[Forfait_Percentage]],Tb_ProjectKosten[#Headers],0),0),AND(F1002="Arbeidskosten",G1002&lt;&gt;""),IFERROR(W1002*VLOOKUP(G1002,Tb_KostenTypen[],3,0)*VLOOKUP(F1002,Tb_ProjectKosten[],MATCH(Tb_ProjectKosten[[#Headers],[Forfait_Percentage]],Tb_ProjectKosten[#Headers],0),0),""),W1002 &lt;=0,0),"")</f>
        <v/>
      </c>
      <c r="AA1002" s="314" t="str" cm="1">
        <f t="array" aca="1" ref="AA1002" ca="1">IFERROR(_xlfn.IFS(OR(F1002="",LEFT(Methode_Keuze,4)="Geen",Methode_Keuze=""),"",AND(X1002&lt;&gt;"",F1002&lt;&gt;"Arbeidskosten"),X1002*VLOOKUP(F1002,Tb_ProjectKosten[],MATCH(Tb_ProjectKosten[[#Headers],[Forfait_Percentage]],Tb_ProjectKosten[#Headers],0),0),AND(F1002="Arbeidskosten",G1002&lt;&gt;""),IFERROR(X1002*VLOOKUP(G1002,Tb_KostenTypen[],3,0)*VLOOKUP(F1002,Tb_ProjectKosten[],MATCH(Tb_ProjectKosten[[#Headers],[Forfait_Percentage]],Tb_ProjectKosten[#Headers],0),0),""),X1002 &lt;=0,0),"")</f>
        <v/>
      </c>
      <c r="AB1002" s="314" t="str">
        <f t="shared" ca="1" si="63"/>
        <v/>
      </c>
      <c r="AC1002" s="322"/>
      <c r="AD1002" s="315"/>
      <c r="AE1002" s="32" t="str" cm="1">
        <f t="array" ref="AE1002">IFERROR(IF(INDEX(SubsidieTabel!$AD$1:$AG$12,MATCH($F1002,SubsidieTabel!$AD$1:$AD$12,0),IFERROR(MATCH(Methode_Keuze,SubsidieTabel!$AD$1:$AG$1,0),2))&lt;&gt;1=TRUE,"ja",""),"")</f>
        <v/>
      </c>
    </row>
    <row r="1003" spans="1:31" x14ac:dyDescent="0.25">
      <c r="A1003" s="316"/>
      <c r="B1003" s="317" t="str">
        <f>IF(A1003&lt;&gt;"",_xlfn.MAXIFS($B$1:B1002,$A$1:A1002,A1003)+1,"")</f>
        <v/>
      </c>
      <c r="C1003" s="296"/>
      <c r="D1003" s="296"/>
      <c r="E1003" s="296"/>
      <c r="F1003" s="296"/>
      <c r="G1003" s="326"/>
      <c r="H1003" s="324"/>
      <c r="I1003" s="325"/>
      <c r="J1003" s="325"/>
      <c r="K1003" s="318"/>
      <c r="L1003" s="318"/>
      <c r="M1003" s="319" t="str">
        <f>IFERROR(VLOOKUP(H1003,Lijsten!$H$1:$I$100,2,0),"")</f>
        <v/>
      </c>
      <c r="N1003" s="319" t="str">
        <f ca="1">IFERROR(IF(VLOOKUP(F1003,Kostentypen!$A$3:$E$21,3,0)=0,"",IF(OR(F1003="Arbeidskosten",F1003="Vergoeding"),VLOOKUP(G1003,Tb_KostenTypen[],2,0),VLOOKUP(F1003,Kostentypen!$A$3:$E$20,3,0))),"")</f>
        <v/>
      </c>
      <c r="O1003" s="320" t="str" cm="1">
        <f t="array" ref="O1003">_xlfn.IFNA(IF(INDEX(Tb_KostenOptiesDB[],MATCH($F1003,Tb_KostenOptiesDB[KostenOptie],0),IFERROR(MATCH(Methode_Keuze,Tb_KostenOptiesDB[#Headers],0),2))=1,_xlfn.SWITCH($N1003,"Uurtarief",IF(OR(AND(RIGHT($F1003,3)="IKS",VLOOKUP($M1003,DB_Loonkosten,2,0)="Ja"),AND(RIGHT($F1003,3)&lt;&gt;"IKS",VLOOKUP($M1003,DB_Loonkosten,2,0)="Nee")),IFERROR(VLOOKUP($M1003,DB_Loonkosten,24,0),""),0),"Vast tarief",IF(LEFT(F1003,8)="Bijdrage",VLOOKUP($F1003,Tb_KostenTypen[],MATCH(Lijsten!$P$1,Tb_KostenTypen[#Headers],0),0),VLOOKUP($G1003,Lijsten!L:P,MATCH(Lijsten!$P$1,Kop_Tarief_Vast,0),0))),""),"")</f>
        <v/>
      </c>
      <c r="P1003" s="320" t="str" cm="1">
        <f t="array" ref="P1003">_xlfn.IFNA(IF(INDEX(Tb_KostenOptiesDB[],MATCH($F1003,Tb_KostenOptiesDB[KostenOptie],0),IFERROR(MATCH(Methode_Keuze,Tb_KostenOptiesDB[#Headers],0),2))=1,_xlfn.SWITCH($N1003,"Uurtarief",IF(OR(AND(RIGHT($F1003,3)="IKS",VLOOKUP($M1003,DB_Loonkosten,2,0)="Ja"),AND(RIGHT($F1003,3)&lt;&gt;"IKS",VLOOKUP($M1003,DB_Loonkosten,2,0)="Nee")),IFERROR(VLOOKUP($M1003,DB_Loonkosten,25,0),""),0),"Vast tarief",IF(LEFT(F1003,8)="Bijdrage",VLOOKUP($F1003,Tb_KostenTypen[],MATCH(Lijsten!$P$1,Tb_KostenTypen[#Headers],0),0),VLOOKUP($G1003,Lijsten!L:P,MATCH(Lijsten!$P$1,Kop_Tarief_Vast,0),0))),""),"")</f>
        <v/>
      </c>
      <c r="Q1003" s="359"/>
      <c r="R1003" s="359"/>
      <c r="S1003" s="321"/>
      <c r="T1003" s="321"/>
      <c r="U1003" s="373" t="str">
        <f t="shared" si="60"/>
        <v/>
      </c>
      <c r="V1003" s="314" t="str">
        <f t="shared" si="61"/>
        <v/>
      </c>
      <c r="W1003" s="314" t="str" cm="1">
        <f t="array" aca="1" ref="W1003" ca="1">IFERROR(IF(AE1003&lt;&gt;"ja",_xlfn.IFNA(_xlfn.IFS(AND(O1003&lt;&gt;"",F1003&lt;&gt;"",RIGHT($N1003,6)="tarief",F1003="Vergoeding"),SUM(O1003)*FLOOR(SUM(Q1003),0.0001),AND(O1003&lt;&gt;"",F1003&lt;&gt;"",RIGHT($N1003,6)="tarief"),SUM(O1003)*FLOOR(SUM(Q1003),0.01),S1003&gt;0,IF(F1003&lt;&gt;"",FLOOR(SUM(S1003),0.01),"")),""),""),"")</f>
        <v/>
      </c>
      <c r="X1003" s="314" t="str" cm="1">
        <f t="array" aca="1" ref="X1003" ca="1">IFERROR(IF(AE1003&lt;&gt;"ja",_xlfn.IFNA(_xlfn.IFS(AND(P1003&lt;&gt;"",R1003&lt;&gt;"",RIGHT($N1003,6)="tarief",F1003="Vergoeding"),SUM(P1003)*FLOOR(SUM(R1003),0.0001),AND(P1003&lt;&gt;"",R1003&lt;&gt;"",RIGHT($N1003,6)="tarief"),P1003*FLOOR(R1003,0.01),T1003&gt;0,FLOOR(SUM(T1003),0.01)),""),""),"")</f>
        <v/>
      </c>
      <c r="Y1003" s="314" t="str">
        <f t="shared" ca="1" si="62"/>
        <v/>
      </c>
      <c r="Z1003" s="314" t="str" cm="1">
        <f t="array" aca="1" ref="Z1003" ca="1">IFERROR(_xlfn.IFS(OR(F1003="",LEFT(Methode_Keuze,4)="Geen",Methode_Keuze=""),"",AND(W1003&lt;&gt;"",F1003&lt;&gt;"Arbeidskosten"),W1003*VLOOKUP(F1003,Tb_ProjectKosten[],MATCH(Tb_ProjectKosten[[#Headers],[Forfait_Percentage]],Tb_ProjectKosten[#Headers],0),0),AND(F1003="Arbeidskosten",G1003&lt;&gt;""),IFERROR(W1003*VLOOKUP(G1003,Tb_KostenTypen[],3,0)*VLOOKUP(F1003,Tb_ProjectKosten[],MATCH(Tb_ProjectKosten[[#Headers],[Forfait_Percentage]],Tb_ProjectKosten[#Headers],0),0),""),W1003 &lt;=0,0),"")</f>
        <v/>
      </c>
      <c r="AA1003" s="314" t="str" cm="1">
        <f t="array" aca="1" ref="AA1003" ca="1">IFERROR(_xlfn.IFS(OR(F1003="",LEFT(Methode_Keuze,4)="Geen",Methode_Keuze=""),"",AND(X1003&lt;&gt;"",F1003&lt;&gt;"Arbeidskosten"),X1003*VLOOKUP(F1003,Tb_ProjectKosten[],MATCH(Tb_ProjectKosten[[#Headers],[Forfait_Percentage]],Tb_ProjectKosten[#Headers],0),0),AND(F1003="Arbeidskosten",G1003&lt;&gt;""),IFERROR(X1003*VLOOKUP(G1003,Tb_KostenTypen[],3,0)*VLOOKUP(F1003,Tb_ProjectKosten[],MATCH(Tb_ProjectKosten[[#Headers],[Forfait_Percentage]],Tb_ProjectKosten[#Headers],0),0),""),X1003 &lt;=0,0),"")</f>
        <v/>
      </c>
      <c r="AB1003" s="314" t="str">
        <f t="shared" ca="1" si="63"/>
        <v/>
      </c>
      <c r="AC1003" s="322"/>
      <c r="AD1003" s="315"/>
      <c r="AE1003" s="32" t="str" cm="1">
        <f t="array" ref="AE1003">IFERROR(IF(INDEX(SubsidieTabel!$AD$1:$AG$12,MATCH($F1003,SubsidieTabel!$AD$1:$AD$12,0),IFERROR(MATCH(Methode_Keuze,SubsidieTabel!$AD$1:$AG$1,0),2))&lt;&gt;1=TRUE,"ja",""),"")</f>
        <v/>
      </c>
    </row>
    <row r="1004" spans="1:31" x14ac:dyDescent="0.25">
      <c r="A1004" s="316"/>
      <c r="B1004" s="317" t="str">
        <f>IF(A1004&lt;&gt;"",_xlfn.MAXIFS($B$1:B1003,$A$1:A1003,A1004)+1,"")</f>
        <v/>
      </c>
      <c r="C1004" s="296"/>
      <c r="D1004" s="296"/>
      <c r="E1004" s="296"/>
      <c r="F1004" s="296"/>
      <c r="G1004" s="326"/>
      <c r="H1004" s="324"/>
      <c r="I1004" s="325"/>
      <c r="J1004" s="325"/>
      <c r="K1004" s="318"/>
      <c r="L1004" s="318"/>
      <c r="M1004" s="319" t="str">
        <f>IFERROR(VLOOKUP(H1004,Lijsten!$H$1:$I$100,2,0),"")</f>
        <v/>
      </c>
      <c r="N1004" s="319" t="str">
        <f ca="1">IFERROR(IF(VLOOKUP(F1004,Kostentypen!$A$3:$E$21,3,0)=0,"",IF(OR(F1004="Arbeidskosten",F1004="Vergoeding"),VLOOKUP(G1004,Tb_KostenTypen[],2,0),VLOOKUP(F1004,Kostentypen!$A$3:$E$20,3,0))),"")</f>
        <v/>
      </c>
      <c r="O1004" s="320" t="str" cm="1">
        <f t="array" ref="O1004">_xlfn.IFNA(IF(INDEX(Tb_KostenOptiesDB[],MATCH($F1004,Tb_KostenOptiesDB[KostenOptie],0),IFERROR(MATCH(Methode_Keuze,Tb_KostenOptiesDB[#Headers],0),2))=1,_xlfn.SWITCH($N1004,"Uurtarief",IF(OR(AND(RIGHT($F1004,3)="IKS",VLOOKUP($M1004,DB_Loonkosten,2,0)="Ja"),AND(RIGHT($F1004,3)&lt;&gt;"IKS",VLOOKUP($M1004,DB_Loonkosten,2,0)="Nee")),IFERROR(VLOOKUP($M1004,DB_Loonkosten,24,0),""),0),"Vast tarief",IF(LEFT(F1004,8)="Bijdrage",VLOOKUP($F1004,Tb_KostenTypen[],MATCH(Lijsten!$P$1,Tb_KostenTypen[#Headers],0),0),VLOOKUP($G1004,Lijsten!L:P,MATCH(Lijsten!$P$1,Kop_Tarief_Vast,0),0))),""),"")</f>
        <v/>
      </c>
      <c r="P1004" s="320" t="str" cm="1">
        <f t="array" ref="P1004">_xlfn.IFNA(IF(INDEX(Tb_KostenOptiesDB[],MATCH($F1004,Tb_KostenOptiesDB[KostenOptie],0),IFERROR(MATCH(Methode_Keuze,Tb_KostenOptiesDB[#Headers],0),2))=1,_xlfn.SWITCH($N1004,"Uurtarief",IF(OR(AND(RIGHT($F1004,3)="IKS",VLOOKUP($M1004,DB_Loonkosten,2,0)="Ja"),AND(RIGHT($F1004,3)&lt;&gt;"IKS",VLOOKUP($M1004,DB_Loonkosten,2,0)="Nee")),IFERROR(VLOOKUP($M1004,DB_Loonkosten,25,0),""),0),"Vast tarief",IF(LEFT(F1004,8)="Bijdrage",VLOOKUP($F1004,Tb_KostenTypen[],MATCH(Lijsten!$P$1,Tb_KostenTypen[#Headers],0),0),VLOOKUP($G1004,Lijsten!L:P,MATCH(Lijsten!$P$1,Kop_Tarief_Vast,0),0))),""),"")</f>
        <v/>
      </c>
      <c r="Q1004" s="359"/>
      <c r="R1004" s="359"/>
      <c r="S1004" s="321"/>
      <c r="T1004" s="321"/>
      <c r="U1004" s="373" t="str">
        <f t="shared" si="60"/>
        <v/>
      </c>
      <c r="V1004" s="314" t="str">
        <f t="shared" si="61"/>
        <v/>
      </c>
      <c r="W1004" s="314" t="str" cm="1">
        <f t="array" aca="1" ref="W1004" ca="1">IFERROR(IF(AE1004&lt;&gt;"ja",_xlfn.IFNA(_xlfn.IFS(AND(O1004&lt;&gt;"",F1004&lt;&gt;"",RIGHT($N1004,6)="tarief",F1004="Vergoeding"),SUM(O1004)*FLOOR(SUM(Q1004),0.0001),AND(O1004&lt;&gt;"",F1004&lt;&gt;"",RIGHT($N1004,6)="tarief"),SUM(O1004)*FLOOR(SUM(Q1004),0.01),S1004&gt;0,IF(F1004&lt;&gt;"",FLOOR(SUM(S1004),0.01),"")),""),""),"")</f>
        <v/>
      </c>
      <c r="X1004" s="314" t="str" cm="1">
        <f t="array" aca="1" ref="X1004" ca="1">IFERROR(IF(AE1004&lt;&gt;"ja",_xlfn.IFNA(_xlfn.IFS(AND(P1004&lt;&gt;"",R1004&lt;&gt;"",RIGHT($N1004,6)="tarief",F1004="Vergoeding"),SUM(P1004)*FLOOR(SUM(R1004),0.0001),AND(P1004&lt;&gt;"",R1004&lt;&gt;"",RIGHT($N1004,6)="tarief"),P1004*FLOOR(R1004,0.01),T1004&gt;0,FLOOR(SUM(T1004),0.01)),""),""),"")</f>
        <v/>
      </c>
      <c r="Y1004" s="314" t="str">
        <f t="shared" ca="1" si="62"/>
        <v/>
      </c>
      <c r="Z1004" s="314" t="str" cm="1">
        <f t="array" aca="1" ref="Z1004" ca="1">IFERROR(_xlfn.IFS(OR(F1004="",LEFT(Methode_Keuze,4)="Geen",Methode_Keuze=""),"",AND(W1004&lt;&gt;"",F1004&lt;&gt;"Arbeidskosten"),W1004*VLOOKUP(F1004,Tb_ProjectKosten[],MATCH(Tb_ProjectKosten[[#Headers],[Forfait_Percentage]],Tb_ProjectKosten[#Headers],0),0),AND(F1004="Arbeidskosten",G1004&lt;&gt;""),IFERROR(W1004*VLOOKUP(G1004,Tb_KostenTypen[],3,0)*VLOOKUP(F1004,Tb_ProjectKosten[],MATCH(Tb_ProjectKosten[[#Headers],[Forfait_Percentage]],Tb_ProjectKosten[#Headers],0),0),""),W1004 &lt;=0,0),"")</f>
        <v/>
      </c>
      <c r="AA1004" s="314" t="str" cm="1">
        <f t="array" aca="1" ref="AA1004" ca="1">IFERROR(_xlfn.IFS(OR(F1004="",LEFT(Methode_Keuze,4)="Geen",Methode_Keuze=""),"",AND(X1004&lt;&gt;"",F1004&lt;&gt;"Arbeidskosten"),X1004*VLOOKUP(F1004,Tb_ProjectKosten[],MATCH(Tb_ProjectKosten[[#Headers],[Forfait_Percentage]],Tb_ProjectKosten[#Headers],0),0),AND(F1004="Arbeidskosten",G1004&lt;&gt;""),IFERROR(X1004*VLOOKUP(G1004,Tb_KostenTypen[],3,0)*VLOOKUP(F1004,Tb_ProjectKosten[],MATCH(Tb_ProjectKosten[[#Headers],[Forfait_Percentage]],Tb_ProjectKosten[#Headers],0),0),""),X1004 &lt;=0,0),"")</f>
        <v/>
      </c>
      <c r="AB1004" s="314" t="str">
        <f t="shared" ca="1" si="63"/>
        <v/>
      </c>
      <c r="AC1004" s="322"/>
      <c r="AD1004" s="315"/>
      <c r="AE1004" s="32" t="str" cm="1">
        <f t="array" ref="AE1004">IFERROR(IF(INDEX(SubsidieTabel!$AD$1:$AG$12,MATCH($F1004,SubsidieTabel!$AD$1:$AD$12,0),IFERROR(MATCH(Methode_Keuze,SubsidieTabel!$AD$1:$AG$1,0),2))&lt;&gt;1=TRUE,"ja",""),"")</f>
        <v/>
      </c>
    </row>
    <row r="1005" spans="1:31" x14ac:dyDescent="0.25">
      <c r="A1005" s="316"/>
      <c r="B1005" s="317" t="str">
        <f>IF(A1005&lt;&gt;"",_xlfn.MAXIFS($B$1:B1004,$A$1:A1004,A1005)+1,"")</f>
        <v/>
      </c>
      <c r="C1005" s="296"/>
      <c r="D1005" s="296"/>
      <c r="E1005" s="296"/>
      <c r="F1005" s="296"/>
      <c r="G1005" s="326"/>
      <c r="H1005" s="324"/>
      <c r="I1005" s="325"/>
      <c r="J1005" s="325"/>
      <c r="K1005" s="318"/>
      <c r="L1005" s="318"/>
      <c r="M1005" s="319" t="str">
        <f>IFERROR(VLOOKUP(H1005,Lijsten!$H$1:$I$100,2,0),"")</f>
        <v/>
      </c>
      <c r="N1005" s="319" t="str">
        <f ca="1">IFERROR(IF(VLOOKUP(F1005,Kostentypen!$A$3:$E$21,3,0)=0,"",IF(OR(F1005="Arbeidskosten",F1005="Vergoeding"),VLOOKUP(G1005,Tb_KostenTypen[],2,0),VLOOKUP(F1005,Kostentypen!$A$3:$E$20,3,0))),"")</f>
        <v/>
      </c>
      <c r="O1005" s="320" t="str" cm="1">
        <f t="array" ref="O1005">_xlfn.IFNA(IF(INDEX(Tb_KostenOptiesDB[],MATCH($F1005,Tb_KostenOptiesDB[KostenOptie],0),IFERROR(MATCH(Methode_Keuze,Tb_KostenOptiesDB[#Headers],0),2))=1,_xlfn.SWITCH($N1005,"Uurtarief",IF(OR(AND(RIGHT($F1005,3)="IKS",VLOOKUP($M1005,DB_Loonkosten,2,0)="Ja"),AND(RIGHT($F1005,3)&lt;&gt;"IKS",VLOOKUP($M1005,DB_Loonkosten,2,0)="Nee")),IFERROR(VLOOKUP($M1005,DB_Loonkosten,24,0),""),0),"Vast tarief",IF(LEFT(F1005,8)="Bijdrage",VLOOKUP($F1005,Tb_KostenTypen[],MATCH(Lijsten!$P$1,Tb_KostenTypen[#Headers],0),0),VLOOKUP($G1005,Lijsten!L:P,MATCH(Lijsten!$P$1,Kop_Tarief_Vast,0),0))),""),"")</f>
        <v/>
      </c>
      <c r="P1005" s="320" t="str" cm="1">
        <f t="array" ref="P1005">_xlfn.IFNA(IF(INDEX(Tb_KostenOptiesDB[],MATCH($F1005,Tb_KostenOptiesDB[KostenOptie],0),IFERROR(MATCH(Methode_Keuze,Tb_KostenOptiesDB[#Headers],0),2))=1,_xlfn.SWITCH($N1005,"Uurtarief",IF(OR(AND(RIGHT($F1005,3)="IKS",VLOOKUP($M1005,DB_Loonkosten,2,0)="Ja"),AND(RIGHT($F1005,3)&lt;&gt;"IKS",VLOOKUP($M1005,DB_Loonkosten,2,0)="Nee")),IFERROR(VLOOKUP($M1005,DB_Loonkosten,25,0),""),0),"Vast tarief",IF(LEFT(F1005,8)="Bijdrage",VLOOKUP($F1005,Tb_KostenTypen[],MATCH(Lijsten!$P$1,Tb_KostenTypen[#Headers],0),0),VLOOKUP($G1005,Lijsten!L:P,MATCH(Lijsten!$P$1,Kop_Tarief_Vast,0),0))),""),"")</f>
        <v/>
      </c>
      <c r="Q1005" s="359"/>
      <c r="R1005" s="359"/>
      <c r="S1005" s="321"/>
      <c r="T1005" s="321"/>
      <c r="U1005" s="373" t="str">
        <f t="shared" si="60"/>
        <v/>
      </c>
      <c r="V1005" s="314" t="str">
        <f t="shared" si="61"/>
        <v/>
      </c>
      <c r="W1005" s="314" t="str" cm="1">
        <f t="array" aca="1" ref="W1005" ca="1">IFERROR(IF(AE1005&lt;&gt;"ja",_xlfn.IFNA(_xlfn.IFS(AND(O1005&lt;&gt;"",F1005&lt;&gt;"",RIGHT($N1005,6)="tarief",F1005="Vergoeding"),SUM(O1005)*FLOOR(SUM(Q1005),0.0001),AND(O1005&lt;&gt;"",F1005&lt;&gt;"",RIGHT($N1005,6)="tarief"),SUM(O1005)*FLOOR(SUM(Q1005),0.01),S1005&gt;0,IF(F1005&lt;&gt;"",FLOOR(SUM(S1005),0.01),"")),""),""),"")</f>
        <v/>
      </c>
      <c r="X1005" s="314" t="str" cm="1">
        <f t="array" aca="1" ref="X1005" ca="1">IFERROR(IF(AE1005&lt;&gt;"ja",_xlfn.IFNA(_xlfn.IFS(AND(P1005&lt;&gt;"",R1005&lt;&gt;"",RIGHT($N1005,6)="tarief",F1005="Vergoeding"),SUM(P1005)*FLOOR(SUM(R1005),0.0001),AND(P1005&lt;&gt;"",R1005&lt;&gt;"",RIGHT($N1005,6)="tarief"),P1005*FLOOR(R1005,0.01),T1005&gt;0,FLOOR(SUM(T1005),0.01)),""),""),"")</f>
        <v/>
      </c>
      <c r="Y1005" s="314" t="str">
        <f t="shared" ca="1" si="62"/>
        <v/>
      </c>
      <c r="Z1005" s="314" t="str" cm="1">
        <f t="array" aca="1" ref="Z1005" ca="1">IFERROR(_xlfn.IFS(OR(F1005="",LEFT(Methode_Keuze,4)="Geen",Methode_Keuze=""),"",AND(W1005&lt;&gt;"",F1005&lt;&gt;"Arbeidskosten"),W1005*VLOOKUP(F1005,Tb_ProjectKosten[],MATCH(Tb_ProjectKosten[[#Headers],[Forfait_Percentage]],Tb_ProjectKosten[#Headers],0),0),AND(F1005="Arbeidskosten",G1005&lt;&gt;""),IFERROR(W1005*VLOOKUP(G1005,Tb_KostenTypen[],3,0)*VLOOKUP(F1005,Tb_ProjectKosten[],MATCH(Tb_ProjectKosten[[#Headers],[Forfait_Percentage]],Tb_ProjectKosten[#Headers],0),0),""),W1005 &lt;=0,0),"")</f>
        <v/>
      </c>
      <c r="AA1005" s="314" t="str" cm="1">
        <f t="array" aca="1" ref="AA1005" ca="1">IFERROR(_xlfn.IFS(OR(F1005="",LEFT(Methode_Keuze,4)="Geen",Methode_Keuze=""),"",AND(X1005&lt;&gt;"",F1005&lt;&gt;"Arbeidskosten"),X1005*VLOOKUP(F1005,Tb_ProjectKosten[],MATCH(Tb_ProjectKosten[[#Headers],[Forfait_Percentage]],Tb_ProjectKosten[#Headers],0),0),AND(F1005="Arbeidskosten",G1005&lt;&gt;""),IFERROR(X1005*VLOOKUP(G1005,Tb_KostenTypen[],3,0)*VLOOKUP(F1005,Tb_ProjectKosten[],MATCH(Tb_ProjectKosten[[#Headers],[Forfait_Percentage]],Tb_ProjectKosten[#Headers],0),0),""),X1005 &lt;=0,0),"")</f>
        <v/>
      </c>
      <c r="AB1005" s="314" t="str">
        <f t="shared" ca="1" si="63"/>
        <v/>
      </c>
      <c r="AC1005" s="322"/>
      <c r="AD1005" s="315"/>
      <c r="AE1005" s="32" t="str" cm="1">
        <f t="array" ref="AE1005">IFERROR(IF(INDEX(SubsidieTabel!$AD$1:$AG$12,MATCH($F1005,SubsidieTabel!$AD$1:$AD$12,0),IFERROR(MATCH(Methode_Keuze,SubsidieTabel!$AD$1:$AG$1,0),2))&lt;&gt;1=TRUE,"ja",""),"")</f>
        <v/>
      </c>
    </row>
    <row r="1006" spans="1:31" x14ac:dyDescent="0.25">
      <c r="A1006" s="316"/>
      <c r="B1006" s="317" t="str">
        <f>IF(A1006&lt;&gt;"",_xlfn.MAXIFS($B$1:B1005,$A$1:A1005,A1006)+1,"")</f>
        <v/>
      </c>
      <c r="C1006" s="296"/>
      <c r="D1006" s="296"/>
      <c r="E1006" s="296"/>
      <c r="F1006" s="296"/>
      <c r="G1006" s="326"/>
      <c r="H1006" s="324"/>
      <c r="I1006" s="325"/>
      <c r="J1006" s="325"/>
      <c r="K1006" s="318"/>
      <c r="L1006" s="318"/>
      <c r="M1006" s="319" t="str">
        <f>IFERROR(VLOOKUP(H1006,Lijsten!$H$1:$I$100,2,0),"")</f>
        <v/>
      </c>
      <c r="N1006" s="319" t="str">
        <f ca="1">IFERROR(IF(VLOOKUP(F1006,Kostentypen!$A$3:$E$21,3,0)=0,"",IF(OR(F1006="Arbeidskosten",F1006="Vergoeding"),VLOOKUP(G1006,Tb_KostenTypen[],2,0),VLOOKUP(F1006,Kostentypen!$A$3:$E$20,3,0))),"")</f>
        <v/>
      </c>
      <c r="O1006" s="320" t="str" cm="1">
        <f t="array" ref="O1006">_xlfn.IFNA(IF(INDEX(Tb_KostenOptiesDB[],MATCH($F1006,Tb_KostenOptiesDB[KostenOptie],0),IFERROR(MATCH(Methode_Keuze,Tb_KostenOptiesDB[#Headers],0),2))=1,_xlfn.SWITCH($N1006,"Uurtarief",IF(OR(AND(RIGHT($F1006,3)="IKS",VLOOKUP($M1006,DB_Loonkosten,2,0)="Ja"),AND(RIGHT($F1006,3)&lt;&gt;"IKS",VLOOKUP($M1006,DB_Loonkosten,2,0)="Nee")),IFERROR(VLOOKUP($M1006,DB_Loonkosten,24,0),""),0),"Vast tarief",IF(LEFT(F1006,8)="Bijdrage",VLOOKUP($F1006,Tb_KostenTypen[],MATCH(Lijsten!$P$1,Tb_KostenTypen[#Headers],0),0),VLOOKUP($G1006,Lijsten!L:P,MATCH(Lijsten!$P$1,Kop_Tarief_Vast,0),0))),""),"")</f>
        <v/>
      </c>
      <c r="P1006" s="320" t="str" cm="1">
        <f t="array" ref="P1006">_xlfn.IFNA(IF(INDEX(Tb_KostenOptiesDB[],MATCH($F1006,Tb_KostenOptiesDB[KostenOptie],0),IFERROR(MATCH(Methode_Keuze,Tb_KostenOptiesDB[#Headers],0),2))=1,_xlfn.SWITCH($N1006,"Uurtarief",IF(OR(AND(RIGHT($F1006,3)="IKS",VLOOKUP($M1006,DB_Loonkosten,2,0)="Ja"),AND(RIGHT($F1006,3)&lt;&gt;"IKS",VLOOKUP($M1006,DB_Loonkosten,2,0)="Nee")),IFERROR(VLOOKUP($M1006,DB_Loonkosten,25,0),""),0),"Vast tarief",IF(LEFT(F1006,8)="Bijdrage",VLOOKUP($F1006,Tb_KostenTypen[],MATCH(Lijsten!$P$1,Tb_KostenTypen[#Headers],0),0),VLOOKUP($G1006,Lijsten!L:P,MATCH(Lijsten!$P$1,Kop_Tarief_Vast,0),0))),""),"")</f>
        <v/>
      </c>
      <c r="Q1006" s="359"/>
      <c r="R1006" s="359"/>
      <c r="S1006" s="321"/>
      <c r="T1006" s="321"/>
      <c r="U1006" s="373" t="str">
        <f t="shared" si="60"/>
        <v/>
      </c>
      <c r="V1006" s="314" t="str">
        <f t="shared" si="61"/>
        <v/>
      </c>
      <c r="W1006" s="314" t="str" cm="1">
        <f t="array" aca="1" ref="W1006" ca="1">IFERROR(IF(AE1006&lt;&gt;"ja",_xlfn.IFNA(_xlfn.IFS(AND(O1006&lt;&gt;"",F1006&lt;&gt;"",RIGHT($N1006,6)="tarief",F1006="Vergoeding"),SUM(O1006)*FLOOR(SUM(Q1006),0.0001),AND(O1006&lt;&gt;"",F1006&lt;&gt;"",RIGHT($N1006,6)="tarief"),SUM(O1006)*FLOOR(SUM(Q1006),0.01),S1006&gt;0,IF(F1006&lt;&gt;"",FLOOR(SUM(S1006),0.01),"")),""),""),"")</f>
        <v/>
      </c>
      <c r="X1006" s="314" t="str" cm="1">
        <f t="array" aca="1" ref="X1006" ca="1">IFERROR(IF(AE1006&lt;&gt;"ja",_xlfn.IFNA(_xlfn.IFS(AND(P1006&lt;&gt;"",R1006&lt;&gt;"",RIGHT($N1006,6)="tarief",F1006="Vergoeding"),SUM(P1006)*FLOOR(SUM(R1006),0.0001),AND(P1006&lt;&gt;"",R1006&lt;&gt;"",RIGHT($N1006,6)="tarief"),P1006*FLOOR(R1006,0.01),T1006&gt;0,FLOOR(SUM(T1006),0.01)),""),""),"")</f>
        <v/>
      </c>
      <c r="Y1006" s="314" t="str">
        <f t="shared" ca="1" si="62"/>
        <v/>
      </c>
      <c r="Z1006" s="314" t="str" cm="1">
        <f t="array" aca="1" ref="Z1006" ca="1">IFERROR(_xlfn.IFS(OR(F1006="",LEFT(Methode_Keuze,4)="Geen",Methode_Keuze=""),"",AND(W1006&lt;&gt;"",F1006&lt;&gt;"Arbeidskosten"),W1006*VLOOKUP(F1006,Tb_ProjectKosten[],MATCH(Tb_ProjectKosten[[#Headers],[Forfait_Percentage]],Tb_ProjectKosten[#Headers],0),0),AND(F1006="Arbeidskosten",G1006&lt;&gt;""),IFERROR(W1006*VLOOKUP(G1006,Tb_KostenTypen[],3,0)*VLOOKUP(F1006,Tb_ProjectKosten[],MATCH(Tb_ProjectKosten[[#Headers],[Forfait_Percentage]],Tb_ProjectKosten[#Headers],0),0),""),W1006 &lt;=0,0),"")</f>
        <v/>
      </c>
      <c r="AA1006" s="314" t="str" cm="1">
        <f t="array" aca="1" ref="AA1006" ca="1">IFERROR(_xlfn.IFS(OR(F1006="",LEFT(Methode_Keuze,4)="Geen",Methode_Keuze=""),"",AND(X1006&lt;&gt;"",F1006&lt;&gt;"Arbeidskosten"),X1006*VLOOKUP(F1006,Tb_ProjectKosten[],MATCH(Tb_ProjectKosten[[#Headers],[Forfait_Percentage]],Tb_ProjectKosten[#Headers],0),0),AND(F1006="Arbeidskosten",G1006&lt;&gt;""),IFERROR(X1006*VLOOKUP(G1006,Tb_KostenTypen[],3,0)*VLOOKUP(F1006,Tb_ProjectKosten[],MATCH(Tb_ProjectKosten[[#Headers],[Forfait_Percentage]],Tb_ProjectKosten[#Headers],0),0),""),X1006 &lt;=0,0),"")</f>
        <v/>
      </c>
      <c r="AB1006" s="314" t="str">
        <f t="shared" ca="1" si="63"/>
        <v/>
      </c>
      <c r="AC1006" s="322"/>
      <c r="AD1006" s="315"/>
      <c r="AE1006" s="32" t="str" cm="1">
        <f t="array" ref="AE1006">IFERROR(IF(INDEX(SubsidieTabel!$AD$1:$AG$12,MATCH($F1006,SubsidieTabel!$AD$1:$AD$12,0),IFERROR(MATCH(Methode_Keuze,SubsidieTabel!$AD$1:$AG$1,0),2))&lt;&gt;1=TRUE,"ja",""),"")</f>
        <v/>
      </c>
    </row>
    <row r="1007" spans="1:31" x14ac:dyDescent="0.25">
      <c r="A1007" s="316"/>
      <c r="B1007" s="317" t="str">
        <f>IF(A1007&lt;&gt;"",_xlfn.MAXIFS($B$1:B1006,$A$1:A1006,A1007)+1,"")</f>
        <v/>
      </c>
      <c r="C1007" s="296"/>
      <c r="D1007" s="296"/>
      <c r="E1007" s="296"/>
      <c r="F1007" s="296"/>
      <c r="G1007" s="326"/>
      <c r="H1007" s="324"/>
      <c r="I1007" s="325"/>
      <c r="J1007" s="325"/>
      <c r="K1007" s="318"/>
      <c r="L1007" s="318"/>
      <c r="M1007" s="319" t="str">
        <f>IFERROR(VLOOKUP(H1007,Lijsten!$H$1:$I$100,2,0),"")</f>
        <v/>
      </c>
      <c r="N1007" s="319" t="str">
        <f ca="1">IFERROR(IF(VLOOKUP(F1007,Kostentypen!$A$3:$E$21,3,0)=0,"",IF(OR(F1007="Arbeidskosten",F1007="Vergoeding"),VLOOKUP(G1007,Tb_KostenTypen[],2,0),VLOOKUP(F1007,Kostentypen!$A$3:$E$20,3,0))),"")</f>
        <v/>
      </c>
      <c r="O1007" s="320" t="str" cm="1">
        <f t="array" ref="O1007">_xlfn.IFNA(IF(INDEX(Tb_KostenOptiesDB[],MATCH($F1007,Tb_KostenOptiesDB[KostenOptie],0),IFERROR(MATCH(Methode_Keuze,Tb_KostenOptiesDB[#Headers],0),2))=1,_xlfn.SWITCH($N1007,"Uurtarief",IF(OR(AND(RIGHT($F1007,3)="IKS",VLOOKUP($M1007,DB_Loonkosten,2,0)="Ja"),AND(RIGHT($F1007,3)&lt;&gt;"IKS",VLOOKUP($M1007,DB_Loonkosten,2,0)="Nee")),IFERROR(VLOOKUP($M1007,DB_Loonkosten,24,0),""),0),"Vast tarief",IF(LEFT(F1007,8)="Bijdrage",VLOOKUP($F1007,Tb_KostenTypen[],MATCH(Lijsten!$P$1,Tb_KostenTypen[#Headers],0),0),VLOOKUP($G1007,Lijsten!L:P,MATCH(Lijsten!$P$1,Kop_Tarief_Vast,0),0))),""),"")</f>
        <v/>
      </c>
      <c r="P1007" s="320" t="str" cm="1">
        <f t="array" ref="P1007">_xlfn.IFNA(IF(INDEX(Tb_KostenOptiesDB[],MATCH($F1007,Tb_KostenOptiesDB[KostenOptie],0),IFERROR(MATCH(Methode_Keuze,Tb_KostenOptiesDB[#Headers],0),2))=1,_xlfn.SWITCH($N1007,"Uurtarief",IF(OR(AND(RIGHT($F1007,3)="IKS",VLOOKUP($M1007,DB_Loonkosten,2,0)="Ja"),AND(RIGHT($F1007,3)&lt;&gt;"IKS",VLOOKUP($M1007,DB_Loonkosten,2,0)="Nee")),IFERROR(VLOOKUP($M1007,DB_Loonkosten,25,0),""),0),"Vast tarief",IF(LEFT(F1007,8)="Bijdrage",VLOOKUP($F1007,Tb_KostenTypen[],MATCH(Lijsten!$P$1,Tb_KostenTypen[#Headers],0),0),VLOOKUP($G1007,Lijsten!L:P,MATCH(Lijsten!$P$1,Kop_Tarief_Vast,0),0))),""),"")</f>
        <v/>
      </c>
      <c r="Q1007" s="359"/>
      <c r="R1007" s="359"/>
      <c r="S1007" s="321"/>
      <c r="T1007" s="321"/>
      <c r="U1007" s="373" t="str">
        <f t="shared" si="60"/>
        <v/>
      </c>
      <c r="V1007" s="314" t="str">
        <f t="shared" si="61"/>
        <v/>
      </c>
      <c r="W1007" s="314" t="str" cm="1">
        <f t="array" aca="1" ref="W1007" ca="1">IFERROR(IF(AE1007&lt;&gt;"ja",_xlfn.IFNA(_xlfn.IFS(AND(O1007&lt;&gt;"",F1007&lt;&gt;"",RIGHT($N1007,6)="tarief",F1007="Vergoeding"),SUM(O1007)*FLOOR(SUM(Q1007),0.0001),AND(O1007&lt;&gt;"",F1007&lt;&gt;"",RIGHT($N1007,6)="tarief"),SUM(O1007)*FLOOR(SUM(Q1007),0.01),S1007&gt;0,IF(F1007&lt;&gt;"",FLOOR(SUM(S1007),0.01),"")),""),""),"")</f>
        <v/>
      </c>
      <c r="X1007" s="314" t="str" cm="1">
        <f t="array" aca="1" ref="X1007" ca="1">IFERROR(IF(AE1007&lt;&gt;"ja",_xlfn.IFNA(_xlfn.IFS(AND(P1007&lt;&gt;"",R1007&lt;&gt;"",RIGHT($N1007,6)="tarief",F1007="Vergoeding"),SUM(P1007)*FLOOR(SUM(R1007),0.0001),AND(P1007&lt;&gt;"",R1007&lt;&gt;"",RIGHT($N1007,6)="tarief"),P1007*FLOOR(R1007,0.01),T1007&gt;0,FLOOR(SUM(T1007),0.01)),""),""),"")</f>
        <v/>
      </c>
      <c r="Y1007" s="314" t="str">
        <f t="shared" ca="1" si="62"/>
        <v/>
      </c>
      <c r="Z1007" s="314" t="str" cm="1">
        <f t="array" aca="1" ref="Z1007" ca="1">IFERROR(_xlfn.IFS(OR(F1007="",LEFT(Methode_Keuze,4)="Geen",Methode_Keuze=""),"",AND(W1007&lt;&gt;"",F1007&lt;&gt;"Arbeidskosten"),W1007*VLOOKUP(F1007,Tb_ProjectKosten[],MATCH(Tb_ProjectKosten[[#Headers],[Forfait_Percentage]],Tb_ProjectKosten[#Headers],0),0),AND(F1007="Arbeidskosten",G1007&lt;&gt;""),IFERROR(W1007*VLOOKUP(G1007,Tb_KostenTypen[],3,0)*VLOOKUP(F1007,Tb_ProjectKosten[],MATCH(Tb_ProjectKosten[[#Headers],[Forfait_Percentage]],Tb_ProjectKosten[#Headers],0),0),""),W1007 &lt;=0,0),"")</f>
        <v/>
      </c>
      <c r="AA1007" s="314" t="str" cm="1">
        <f t="array" aca="1" ref="AA1007" ca="1">IFERROR(_xlfn.IFS(OR(F1007="",LEFT(Methode_Keuze,4)="Geen",Methode_Keuze=""),"",AND(X1007&lt;&gt;"",F1007&lt;&gt;"Arbeidskosten"),X1007*VLOOKUP(F1007,Tb_ProjectKosten[],MATCH(Tb_ProjectKosten[[#Headers],[Forfait_Percentage]],Tb_ProjectKosten[#Headers],0),0),AND(F1007="Arbeidskosten",G1007&lt;&gt;""),IFERROR(X1007*VLOOKUP(G1007,Tb_KostenTypen[],3,0)*VLOOKUP(F1007,Tb_ProjectKosten[],MATCH(Tb_ProjectKosten[[#Headers],[Forfait_Percentage]],Tb_ProjectKosten[#Headers],0),0),""),X1007 &lt;=0,0),"")</f>
        <v/>
      </c>
      <c r="AB1007" s="314" t="str">
        <f t="shared" ca="1" si="63"/>
        <v/>
      </c>
      <c r="AC1007" s="322"/>
      <c r="AD1007" s="315"/>
      <c r="AE1007" s="32" t="str" cm="1">
        <f t="array" ref="AE1007">IFERROR(IF(INDEX(SubsidieTabel!$AD$1:$AG$12,MATCH($F1007,SubsidieTabel!$AD$1:$AD$12,0),IFERROR(MATCH(Methode_Keuze,SubsidieTabel!$AD$1:$AG$1,0),2))&lt;&gt;1=TRUE,"ja",""),"")</f>
        <v/>
      </c>
    </row>
    <row r="1008" spans="1:31" x14ac:dyDescent="0.25">
      <c r="A1008" s="316"/>
      <c r="B1008" s="317" t="str">
        <f>IF(A1008&lt;&gt;"",_xlfn.MAXIFS($B$1:B1007,$A$1:A1007,A1008)+1,"")</f>
        <v/>
      </c>
      <c r="C1008" s="296"/>
      <c r="D1008" s="296"/>
      <c r="E1008" s="296"/>
      <c r="F1008" s="296"/>
      <c r="G1008" s="326"/>
      <c r="H1008" s="324"/>
      <c r="I1008" s="325"/>
      <c r="J1008" s="325"/>
      <c r="K1008" s="318"/>
      <c r="L1008" s="318"/>
      <c r="M1008" s="319" t="str">
        <f>IFERROR(VLOOKUP(H1008,Lijsten!$H$1:$I$100,2,0),"")</f>
        <v/>
      </c>
      <c r="N1008" s="319" t="str">
        <f ca="1">IFERROR(IF(VLOOKUP(F1008,Kostentypen!$A$3:$E$21,3,0)=0,"",IF(OR(F1008="Arbeidskosten",F1008="Vergoeding"),VLOOKUP(G1008,Tb_KostenTypen[],2,0),VLOOKUP(F1008,Kostentypen!$A$3:$E$20,3,0))),"")</f>
        <v/>
      </c>
      <c r="O1008" s="320" t="str" cm="1">
        <f t="array" ref="O1008">_xlfn.IFNA(IF(INDEX(Tb_KostenOptiesDB[],MATCH($F1008,Tb_KostenOptiesDB[KostenOptie],0),IFERROR(MATCH(Methode_Keuze,Tb_KostenOptiesDB[#Headers],0),2))=1,_xlfn.SWITCH($N1008,"Uurtarief",IF(OR(AND(RIGHT($F1008,3)="IKS",VLOOKUP($M1008,DB_Loonkosten,2,0)="Ja"),AND(RIGHT($F1008,3)&lt;&gt;"IKS",VLOOKUP($M1008,DB_Loonkosten,2,0)="Nee")),IFERROR(VLOOKUP($M1008,DB_Loonkosten,24,0),""),0),"Vast tarief",IF(LEFT(F1008,8)="Bijdrage",VLOOKUP($F1008,Tb_KostenTypen[],MATCH(Lijsten!$P$1,Tb_KostenTypen[#Headers],0),0),VLOOKUP($G1008,Lijsten!L:P,MATCH(Lijsten!$P$1,Kop_Tarief_Vast,0),0))),""),"")</f>
        <v/>
      </c>
      <c r="P1008" s="320" t="str" cm="1">
        <f t="array" ref="P1008">_xlfn.IFNA(IF(INDEX(Tb_KostenOptiesDB[],MATCH($F1008,Tb_KostenOptiesDB[KostenOptie],0),IFERROR(MATCH(Methode_Keuze,Tb_KostenOptiesDB[#Headers],0),2))=1,_xlfn.SWITCH($N1008,"Uurtarief",IF(OR(AND(RIGHT($F1008,3)="IKS",VLOOKUP($M1008,DB_Loonkosten,2,0)="Ja"),AND(RIGHT($F1008,3)&lt;&gt;"IKS",VLOOKUP($M1008,DB_Loonkosten,2,0)="Nee")),IFERROR(VLOOKUP($M1008,DB_Loonkosten,25,0),""),0),"Vast tarief",IF(LEFT(F1008,8)="Bijdrage",VLOOKUP($F1008,Tb_KostenTypen[],MATCH(Lijsten!$P$1,Tb_KostenTypen[#Headers],0),0),VLOOKUP($G1008,Lijsten!L:P,MATCH(Lijsten!$P$1,Kop_Tarief_Vast,0),0))),""),"")</f>
        <v/>
      </c>
      <c r="Q1008" s="359"/>
      <c r="R1008" s="359"/>
      <c r="S1008" s="321"/>
      <c r="T1008" s="321"/>
      <c r="U1008" s="373" t="str">
        <f t="shared" si="60"/>
        <v/>
      </c>
      <c r="V1008" s="314" t="str">
        <f t="shared" si="61"/>
        <v/>
      </c>
      <c r="W1008" s="314" t="str" cm="1">
        <f t="array" aca="1" ref="W1008" ca="1">IFERROR(IF(AE1008&lt;&gt;"ja",_xlfn.IFNA(_xlfn.IFS(AND(O1008&lt;&gt;"",F1008&lt;&gt;"",RIGHT($N1008,6)="tarief",F1008="Vergoeding"),SUM(O1008)*FLOOR(SUM(Q1008),0.0001),AND(O1008&lt;&gt;"",F1008&lt;&gt;"",RIGHT($N1008,6)="tarief"),SUM(O1008)*FLOOR(SUM(Q1008),0.01),S1008&gt;0,IF(F1008&lt;&gt;"",FLOOR(SUM(S1008),0.01),"")),""),""),"")</f>
        <v/>
      </c>
      <c r="X1008" s="314" t="str" cm="1">
        <f t="array" aca="1" ref="X1008" ca="1">IFERROR(IF(AE1008&lt;&gt;"ja",_xlfn.IFNA(_xlfn.IFS(AND(P1008&lt;&gt;"",R1008&lt;&gt;"",RIGHT($N1008,6)="tarief",F1008="Vergoeding"),SUM(P1008)*FLOOR(SUM(R1008),0.0001),AND(P1008&lt;&gt;"",R1008&lt;&gt;"",RIGHT($N1008,6)="tarief"),P1008*FLOOR(R1008,0.01),T1008&gt;0,FLOOR(SUM(T1008),0.01)),""),""),"")</f>
        <v/>
      </c>
      <c r="Y1008" s="314" t="str">
        <f t="shared" ca="1" si="62"/>
        <v/>
      </c>
      <c r="Z1008" s="314" t="str" cm="1">
        <f t="array" aca="1" ref="Z1008" ca="1">IFERROR(_xlfn.IFS(OR(F1008="",LEFT(Methode_Keuze,4)="Geen",Methode_Keuze=""),"",AND(W1008&lt;&gt;"",F1008&lt;&gt;"Arbeidskosten"),W1008*VLOOKUP(F1008,Tb_ProjectKosten[],MATCH(Tb_ProjectKosten[[#Headers],[Forfait_Percentage]],Tb_ProjectKosten[#Headers],0),0),AND(F1008="Arbeidskosten",G1008&lt;&gt;""),IFERROR(W1008*VLOOKUP(G1008,Tb_KostenTypen[],3,0)*VLOOKUP(F1008,Tb_ProjectKosten[],MATCH(Tb_ProjectKosten[[#Headers],[Forfait_Percentage]],Tb_ProjectKosten[#Headers],0),0),""),W1008 &lt;=0,0),"")</f>
        <v/>
      </c>
      <c r="AA1008" s="314" t="str" cm="1">
        <f t="array" aca="1" ref="AA1008" ca="1">IFERROR(_xlfn.IFS(OR(F1008="",LEFT(Methode_Keuze,4)="Geen",Methode_Keuze=""),"",AND(X1008&lt;&gt;"",F1008&lt;&gt;"Arbeidskosten"),X1008*VLOOKUP(F1008,Tb_ProjectKosten[],MATCH(Tb_ProjectKosten[[#Headers],[Forfait_Percentage]],Tb_ProjectKosten[#Headers],0),0),AND(F1008="Arbeidskosten",G1008&lt;&gt;""),IFERROR(X1008*VLOOKUP(G1008,Tb_KostenTypen[],3,0)*VLOOKUP(F1008,Tb_ProjectKosten[],MATCH(Tb_ProjectKosten[[#Headers],[Forfait_Percentage]],Tb_ProjectKosten[#Headers],0),0),""),X1008 &lt;=0,0),"")</f>
        <v/>
      </c>
      <c r="AB1008" s="314" t="str">
        <f t="shared" ca="1" si="63"/>
        <v/>
      </c>
      <c r="AC1008" s="322"/>
      <c r="AD1008" s="315"/>
      <c r="AE1008" s="32" t="str" cm="1">
        <f t="array" ref="AE1008">IFERROR(IF(INDEX(SubsidieTabel!$AD$1:$AG$12,MATCH($F1008,SubsidieTabel!$AD$1:$AD$12,0),IFERROR(MATCH(Methode_Keuze,SubsidieTabel!$AD$1:$AG$1,0),2))&lt;&gt;1=TRUE,"ja",""),"")</f>
        <v/>
      </c>
    </row>
    <row r="1009" spans="1:31" x14ac:dyDescent="0.25">
      <c r="A1009" s="316"/>
      <c r="B1009" s="317" t="str">
        <f>IF(A1009&lt;&gt;"",_xlfn.MAXIFS($B$1:B1008,$A$1:A1008,A1009)+1,"")</f>
        <v/>
      </c>
      <c r="C1009" s="296"/>
      <c r="D1009" s="296"/>
      <c r="E1009" s="296"/>
      <c r="F1009" s="296"/>
      <c r="G1009" s="326"/>
      <c r="H1009" s="324"/>
      <c r="I1009" s="325"/>
      <c r="J1009" s="325"/>
      <c r="K1009" s="318"/>
      <c r="L1009" s="318"/>
      <c r="M1009" s="319" t="str">
        <f>IFERROR(VLOOKUP(H1009,Lijsten!$H$1:$I$100,2,0),"")</f>
        <v/>
      </c>
      <c r="N1009" s="319" t="str">
        <f ca="1">IFERROR(IF(VLOOKUP(F1009,Kostentypen!$A$3:$E$21,3,0)=0,"",IF(OR(F1009="Arbeidskosten",F1009="Vergoeding"),VLOOKUP(G1009,Tb_KostenTypen[],2,0),VLOOKUP(F1009,Kostentypen!$A$3:$E$20,3,0))),"")</f>
        <v/>
      </c>
      <c r="O1009" s="320" t="str" cm="1">
        <f t="array" ref="O1009">_xlfn.IFNA(IF(INDEX(Tb_KostenOptiesDB[],MATCH($F1009,Tb_KostenOptiesDB[KostenOptie],0),IFERROR(MATCH(Methode_Keuze,Tb_KostenOptiesDB[#Headers],0),2))=1,_xlfn.SWITCH($N1009,"Uurtarief",IF(OR(AND(RIGHT($F1009,3)="IKS",VLOOKUP($M1009,DB_Loonkosten,2,0)="Ja"),AND(RIGHT($F1009,3)&lt;&gt;"IKS",VLOOKUP($M1009,DB_Loonkosten,2,0)="Nee")),IFERROR(VLOOKUP($M1009,DB_Loonkosten,24,0),""),0),"Vast tarief",IF(LEFT(F1009,8)="Bijdrage",VLOOKUP($F1009,Tb_KostenTypen[],MATCH(Lijsten!$P$1,Tb_KostenTypen[#Headers],0),0),VLOOKUP($G1009,Lijsten!L:P,MATCH(Lijsten!$P$1,Kop_Tarief_Vast,0),0))),""),"")</f>
        <v/>
      </c>
      <c r="P1009" s="320" t="str" cm="1">
        <f t="array" ref="P1009">_xlfn.IFNA(IF(INDEX(Tb_KostenOptiesDB[],MATCH($F1009,Tb_KostenOptiesDB[KostenOptie],0),IFERROR(MATCH(Methode_Keuze,Tb_KostenOptiesDB[#Headers],0),2))=1,_xlfn.SWITCH($N1009,"Uurtarief",IF(OR(AND(RIGHT($F1009,3)="IKS",VLOOKUP($M1009,DB_Loonkosten,2,0)="Ja"),AND(RIGHT($F1009,3)&lt;&gt;"IKS",VLOOKUP($M1009,DB_Loonkosten,2,0)="Nee")),IFERROR(VLOOKUP($M1009,DB_Loonkosten,25,0),""),0),"Vast tarief",IF(LEFT(F1009,8)="Bijdrage",VLOOKUP($F1009,Tb_KostenTypen[],MATCH(Lijsten!$P$1,Tb_KostenTypen[#Headers],0),0),VLOOKUP($G1009,Lijsten!L:P,MATCH(Lijsten!$P$1,Kop_Tarief_Vast,0),0))),""),"")</f>
        <v/>
      </c>
      <c r="Q1009" s="359"/>
      <c r="R1009" s="359"/>
      <c r="S1009" s="321"/>
      <c r="T1009" s="321"/>
      <c r="U1009" s="373" t="str">
        <f t="shared" si="60"/>
        <v/>
      </c>
      <c r="V1009" s="314" t="str">
        <f t="shared" si="61"/>
        <v/>
      </c>
      <c r="W1009" s="314" t="str" cm="1">
        <f t="array" aca="1" ref="W1009" ca="1">IFERROR(IF(AE1009&lt;&gt;"ja",_xlfn.IFNA(_xlfn.IFS(AND(O1009&lt;&gt;"",F1009&lt;&gt;"",RIGHT($N1009,6)="tarief",F1009="Vergoeding"),SUM(O1009)*FLOOR(SUM(Q1009),0.0001),AND(O1009&lt;&gt;"",F1009&lt;&gt;"",RIGHT($N1009,6)="tarief"),SUM(O1009)*FLOOR(SUM(Q1009),0.01),S1009&gt;0,IF(F1009&lt;&gt;"",FLOOR(SUM(S1009),0.01),"")),""),""),"")</f>
        <v/>
      </c>
      <c r="X1009" s="314" t="str" cm="1">
        <f t="array" aca="1" ref="X1009" ca="1">IFERROR(IF(AE1009&lt;&gt;"ja",_xlfn.IFNA(_xlfn.IFS(AND(P1009&lt;&gt;"",R1009&lt;&gt;"",RIGHT($N1009,6)="tarief",F1009="Vergoeding"),SUM(P1009)*FLOOR(SUM(R1009),0.0001),AND(P1009&lt;&gt;"",R1009&lt;&gt;"",RIGHT($N1009,6)="tarief"),P1009*FLOOR(R1009,0.01),T1009&gt;0,FLOOR(SUM(T1009),0.01)),""),""),"")</f>
        <v/>
      </c>
      <c r="Y1009" s="314" t="str">
        <f t="shared" ca="1" si="62"/>
        <v/>
      </c>
      <c r="Z1009" s="314" t="str" cm="1">
        <f t="array" aca="1" ref="Z1009" ca="1">IFERROR(_xlfn.IFS(OR(F1009="",LEFT(Methode_Keuze,4)="Geen",Methode_Keuze=""),"",AND(W1009&lt;&gt;"",F1009&lt;&gt;"Arbeidskosten"),W1009*VLOOKUP(F1009,Tb_ProjectKosten[],MATCH(Tb_ProjectKosten[[#Headers],[Forfait_Percentage]],Tb_ProjectKosten[#Headers],0),0),AND(F1009="Arbeidskosten",G1009&lt;&gt;""),IFERROR(W1009*VLOOKUP(G1009,Tb_KostenTypen[],3,0)*VLOOKUP(F1009,Tb_ProjectKosten[],MATCH(Tb_ProjectKosten[[#Headers],[Forfait_Percentage]],Tb_ProjectKosten[#Headers],0),0),""),W1009 &lt;=0,0),"")</f>
        <v/>
      </c>
      <c r="AA1009" s="314" t="str" cm="1">
        <f t="array" aca="1" ref="AA1009" ca="1">IFERROR(_xlfn.IFS(OR(F1009="",LEFT(Methode_Keuze,4)="Geen",Methode_Keuze=""),"",AND(X1009&lt;&gt;"",F1009&lt;&gt;"Arbeidskosten"),X1009*VLOOKUP(F1009,Tb_ProjectKosten[],MATCH(Tb_ProjectKosten[[#Headers],[Forfait_Percentage]],Tb_ProjectKosten[#Headers],0),0),AND(F1009="Arbeidskosten",G1009&lt;&gt;""),IFERROR(X1009*VLOOKUP(G1009,Tb_KostenTypen[],3,0)*VLOOKUP(F1009,Tb_ProjectKosten[],MATCH(Tb_ProjectKosten[[#Headers],[Forfait_Percentage]],Tb_ProjectKosten[#Headers],0),0),""),X1009 &lt;=0,0),"")</f>
        <v/>
      </c>
      <c r="AB1009" s="314" t="str">
        <f t="shared" ca="1" si="63"/>
        <v/>
      </c>
      <c r="AC1009" s="322"/>
      <c r="AD1009" s="315"/>
      <c r="AE1009" s="32" t="str" cm="1">
        <f t="array" ref="AE1009">IFERROR(IF(INDEX(SubsidieTabel!$AD$1:$AG$12,MATCH($F1009,SubsidieTabel!$AD$1:$AD$12,0),IFERROR(MATCH(Methode_Keuze,SubsidieTabel!$AD$1:$AG$1,0),2))&lt;&gt;1=TRUE,"ja",""),"")</f>
        <v/>
      </c>
    </row>
    <row r="1010" spans="1:31" x14ac:dyDescent="0.25">
      <c r="A1010" s="316"/>
      <c r="B1010" s="317" t="str">
        <f>IF(A1010&lt;&gt;"",_xlfn.MAXIFS($B$1:B1009,$A$1:A1009,A1010)+1,"")</f>
        <v/>
      </c>
      <c r="C1010" s="296"/>
      <c r="D1010" s="296"/>
      <c r="E1010" s="296"/>
      <c r="F1010" s="296"/>
      <c r="G1010" s="326"/>
      <c r="H1010" s="324"/>
      <c r="I1010" s="325"/>
      <c r="J1010" s="325"/>
      <c r="K1010" s="318"/>
      <c r="L1010" s="318"/>
      <c r="M1010" s="319" t="str">
        <f>IFERROR(VLOOKUP(H1010,Lijsten!$H$1:$I$100,2,0),"")</f>
        <v/>
      </c>
      <c r="N1010" s="319" t="str">
        <f ca="1">IFERROR(IF(VLOOKUP(F1010,Kostentypen!$A$3:$E$21,3,0)=0,"",IF(OR(F1010="Arbeidskosten",F1010="Vergoeding"),VLOOKUP(G1010,Tb_KostenTypen[],2,0),VLOOKUP(F1010,Kostentypen!$A$3:$E$20,3,0))),"")</f>
        <v/>
      </c>
      <c r="O1010" s="320" t="str" cm="1">
        <f t="array" ref="O1010">_xlfn.IFNA(IF(INDEX(Tb_KostenOptiesDB[],MATCH($F1010,Tb_KostenOptiesDB[KostenOptie],0),IFERROR(MATCH(Methode_Keuze,Tb_KostenOptiesDB[#Headers],0),2))=1,_xlfn.SWITCH($N1010,"Uurtarief",IF(OR(AND(RIGHT($F1010,3)="IKS",VLOOKUP($M1010,DB_Loonkosten,2,0)="Ja"),AND(RIGHT($F1010,3)&lt;&gt;"IKS",VLOOKUP($M1010,DB_Loonkosten,2,0)="Nee")),IFERROR(VLOOKUP($M1010,DB_Loonkosten,24,0),""),0),"Vast tarief",IF(LEFT(F1010,8)="Bijdrage",VLOOKUP($F1010,Tb_KostenTypen[],MATCH(Lijsten!$P$1,Tb_KostenTypen[#Headers],0),0),VLOOKUP($G1010,Lijsten!L:P,MATCH(Lijsten!$P$1,Kop_Tarief_Vast,0),0))),""),"")</f>
        <v/>
      </c>
      <c r="P1010" s="320" t="str" cm="1">
        <f t="array" ref="P1010">_xlfn.IFNA(IF(INDEX(Tb_KostenOptiesDB[],MATCH($F1010,Tb_KostenOptiesDB[KostenOptie],0),IFERROR(MATCH(Methode_Keuze,Tb_KostenOptiesDB[#Headers],0),2))=1,_xlfn.SWITCH($N1010,"Uurtarief",IF(OR(AND(RIGHT($F1010,3)="IKS",VLOOKUP($M1010,DB_Loonkosten,2,0)="Ja"),AND(RIGHT($F1010,3)&lt;&gt;"IKS",VLOOKUP($M1010,DB_Loonkosten,2,0)="Nee")),IFERROR(VLOOKUP($M1010,DB_Loonkosten,25,0),""),0),"Vast tarief",IF(LEFT(F1010,8)="Bijdrage",VLOOKUP($F1010,Tb_KostenTypen[],MATCH(Lijsten!$P$1,Tb_KostenTypen[#Headers],0),0),VLOOKUP($G1010,Lijsten!L:P,MATCH(Lijsten!$P$1,Kop_Tarief_Vast,0),0))),""),"")</f>
        <v/>
      </c>
      <c r="Q1010" s="359"/>
      <c r="R1010" s="359"/>
      <c r="S1010" s="321"/>
      <c r="T1010" s="321"/>
      <c r="U1010" s="373" t="str">
        <f t="shared" si="60"/>
        <v/>
      </c>
      <c r="V1010" s="314" t="str">
        <f t="shared" si="61"/>
        <v/>
      </c>
      <c r="W1010" s="314" t="str" cm="1">
        <f t="array" aca="1" ref="W1010" ca="1">IFERROR(IF(AE1010&lt;&gt;"ja",_xlfn.IFNA(_xlfn.IFS(AND(O1010&lt;&gt;"",F1010&lt;&gt;"",RIGHT($N1010,6)="tarief",F1010="Vergoeding"),SUM(O1010)*FLOOR(SUM(Q1010),0.0001),AND(O1010&lt;&gt;"",F1010&lt;&gt;"",RIGHT($N1010,6)="tarief"),SUM(O1010)*FLOOR(SUM(Q1010),0.01),S1010&gt;0,IF(F1010&lt;&gt;"",FLOOR(SUM(S1010),0.01),"")),""),""),"")</f>
        <v/>
      </c>
      <c r="X1010" s="314" t="str" cm="1">
        <f t="array" aca="1" ref="X1010" ca="1">IFERROR(IF(AE1010&lt;&gt;"ja",_xlfn.IFNA(_xlfn.IFS(AND(P1010&lt;&gt;"",R1010&lt;&gt;"",RIGHT($N1010,6)="tarief",F1010="Vergoeding"),SUM(P1010)*FLOOR(SUM(R1010),0.0001),AND(P1010&lt;&gt;"",R1010&lt;&gt;"",RIGHT($N1010,6)="tarief"),P1010*FLOOR(R1010,0.01),T1010&gt;0,FLOOR(SUM(T1010),0.01)),""),""),"")</f>
        <v/>
      </c>
      <c r="Y1010" s="314" t="str">
        <f t="shared" ca="1" si="62"/>
        <v/>
      </c>
      <c r="Z1010" s="314" t="str" cm="1">
        <f t="array" aca="1" ref="Z1010" ca="1">IFERROR(_xlfn.IFS(OR(F1010="",LEFT(Methode_Keuze,4)="Geen",Methode_Keuze=""),"",AND(W1010&lt;&gt;"",F1010&lt;&gt;"Arbeidskosten"),W1010*VLOOKUP(F1010,Tb_ProjectKosten[],MATCH(Tb_ProjectKosten[[#Headers],[Forfait_Percentage]],Tb_ProjectKosten[#Headers],0),0),AND(F1010="Arbeidskosten",G1010&lt;&gt;""),IFERROR(W1010*VLOOKUP(G1010,Tb_KostenTypen[],3,0)*VLOOKUP(F1010,Tb_ProjectKosten[],MATCH(Tb_ProjectKosten[[#Headers],[Forfait_Percentage]],Tb_ProjectKosten[#Headers],0),0),""),W1010 &lt;=0,0),"")</f>
        <v/>
      </c>
      <c r="AA1010" s="314" t="str" cm="1">
        <f t="array" aca="1" ref="AA1010" ca="1">IFERROR(_xlfn.IFS(OR(F1010="",LEFT(Methode_Keuze,4)="Geen",Methode_Keuze=""),"",AND(X1010&lt;&gt;"",F1010&lt;&gt;"Arbeidskosten"),X1010*VLOOKUP(F1010,Tb_ProjectKosten[],MATCH(Tb_ProjectKosten[[#Headers],[Forfait_Percentage]],Tb_ProjectKosten[#Headers],0),0),AND(F1010="Arbeidskosten",G1010&lt;&gt;""),IFERROR(X1010*VLOOKUP(G1010,Tb_KostenTypen[],3,0)*VLOOKUP(F1010,Tb_ProjectKosten[],MATCH(Tb_ProjectKosten[[#Headers],[Forfait_Percentage]],Tb_ProjectKosten[#Headers],0),0),""),X1010 &lt;=0,0),"")</f>
        <v/>
      </c>
      <c r="AB1010" s="314" t="str">
        <f t="shared" ca="1" si="63"/>
        <v/>
      </c>
      <c r="AC1010" s="322"/>
      <c r="AD1010" s="315"/>
      <c r="AE1010" s="32" t="str" cm="1">
        <f t="array" ref="AE1010">IFERROR(IF(INDEX(SubsidieTabel!$AD$1:$AG$12,MATCH($F1010,SubsidieTabel!$AD$1:$AD$12,0),IFERROR(MATCH(Methode_Keuze,SubsidieTabel!$AD$1:$AG$1,0),2))&lt;&gt;1=TRUE,"ja",""),"")</f>
        <v/>
      </c>
    </row>
    <row r="1011" spans="1:31" x14ac:dyDescent="0.25">
      <c r="A1011" s="316"/>
      <c r="B1011" s="317" t="str">
        <f>IF(A1011&lt;&gt;"",_xlfn.MAXIFS($B$1:B1010,$A$1:A1010,A1011)+1,"")</f>
        <v/>
      </c>
      <c r="C1011" s="296"/>
      <c r="D1011" s="296"/>
      <c r="E1011" s="296"/>
      <c r="F1011" s="296"/>
      <c r="G1011" s="326"/>
      <c r="H1011" s="324"/>
      <c r="I1011" s="325"/>
      <c r="J1011" s="325"/>
      <c r="K1011" s="318"/>
      <c r="L1011" s="318"/>
      <c r="M1011" s="319" t="str">
        <f>IFERROR(VLOOKUP(H1011,Lijsten!$H$1:$I$100,2,0),"")</f>
        <v/>
      </c>
      <c r="N1011" s="319" t="str">
        <f ca="1">IFERROR(IF(VLOOKUP(F1011,Kostentypen!$A$3:$E$21,3,0)=0,"",IF(OR(F1011="Arbeidskosten",F1011="Vergoeding"),VLOOKUP(G1011,Tb_KostenTypen[],2,0),VLOOKUP(F1011,Kostentypen!$A$3:$E$20,3,0))),"")</f>
        <v/>
      </c>
      <c r="O1011" s="320" t="str" cm="1">
        <f t="array" ref="O1011">_xlfn.IFNA(IF(INDEX(Tb_KostenOptiesDB[],MATCH($F1011,Tb_KostenOptiesDB[KostenOptie],0),IFERROR(MATCH(Methode_Keuze,Tb_KostenOptiesDB[#Headers],0),2))=1,_xlfn.SWITCH($N1011,"Uurtarief",IF(OR(AND(RIGHT($F1011,3)="IKS",VLOOKUP($M1011,DB_Loonkosten,2,0)="Ja"),AND(RIGHT($F1011,3)&lt;&gt;"IKS",VLOOKUP($M1011,DB_Loonkosten,2,0)="Nee")),IFERROR(VLOOKUP($M1011,DB_Loonkosten,24,0),""),0),"Vast tarief",IF(LEFT(F1011,8)="Bijdrage",VLOOKUP($F1011,Tb_KostenTypen[],MATCH(Lijsten!$P$1,Tb_KostenTypen[#Headers],0),0),VLOOKUP($G1011,Lijsten!L:P,MATCH(Lijsten!$P$1,Kop_Tarief_Vast,0),0))),""),"")</f>
        <v/>
      </c>
      <c r="P1011" s="320" t="str" cm="1">
        <f t="array" ref="P1011">_xlfn.IFNA(IF(INDEX(Tb_KostenOptiesDB[],MATCH($F1011,Tb_KostenOptiesDB[KostenOptie],0),IFERROR(MATCH(Methode_Keuze,Tb_KostenOptiesDB[#Headers],0),2))=1,_xlfn.SWITCH($N1011,"Uurtarief",IF(OR(AND(RIGHT($F1011,3)="IKS",VLOOKUP($M1011,DB_Loonkosten,2,0)="Ja"),AND(RIGHT($F1011,3)&lt;&gt;"IKS",VLOOKUP($M1011,DB_Loonkosten,2,0)="Nee")),IFERROR(VLOOKUP($M1011,DB_Loonkosten,25,0),""),0),"Vast tarief",IF(LEFT(F1011,8)="Bijdrage",VLOOKUP($F1011,Tb_KostenTypen[],MATCH(Lijsten!$P$1,Tb_KostenTypen[#Headers],0),0),VLOOKUP($G1011,Lijsten!L:P,MATCH(Lijsten!$P$1,Kop_Tarief_Vast,0),0))),""),"")</f>
        <v/>
      </c>
      <c r="Q1011" s="359"/>
      <c r="R1011" s="359"/>
      <c r="S1011" s="321"/>
      <c r="T1011" s="321"/>
      <c r="U1011" s="373" t="str">
        <f t="shared" si="60"/>
        <v/>
      </c>
      <c r="V1011" s="314" t="str">
        <f t="shared" si="61"/>
        <v/>
      </c>
      <c r="W1011" s="314" t="str" cm="1">
        <f t="array" aca="1" ref="W1011" ca="1">IFERROR(IF(AE1011&lt;&gt;"ja",_xlfn.IFNA(_xlfn.IFS(AND(O1011&lt;&gt;"",F1011&lt;&gt;"",RIGHT($N1011,6)="tarief",F1011="Vergoeding"),SUM(O1011)*FLOOR(SUM(Q1011),0.0001),AND(O1011&lt;&gt;"",F1011&lt;&gt;"",RIGHT($N1011,6)="tarief"),SUM(O1011)*FLOOR(SUM(Q1011),0.01),S1011&gt;0,IF(F1011&lt;&gt;"",FLOOR(SUM(S1011),0.01),"")),""),""),"")</f>
        <v/>
      </c>
      <c r="X1011" s="314" t="str" cm="1">
        <f t="array" aca="1" ref="X1011" ca="1">IFERROR(IF(AE1011&lt;&gt;"ja",_xlfn.IFNA(_xlfn.IFS(AND(P1011&lt;&gt;"",R1011&lt;&gt;"",RIGHT($N1011,6)="tarief",F1011="Vergoeding"),SUM(P1011)*FLOOR(SUM(R1011),0.0001),AND(P1011&lt;&gt;"",R1011&lt;&gt;"",RIGHT($N1011,6)="tarief"),P1011*FLOOR(R1011,0.01),T1011&gt;0,FLOOR(SUM(T1011),0.01)),""),""),"")</f>
        <v/>
      </c>
      <c r="Y1011" s="314" t="str">
        <f t="shared" ca="1" si="62"/>
        <v/>
      </c>
      <c r="Z1011" s="314" t="str" cm="1">
        <f t="array" aca="1" ref="Z1011" ca="1">IFERROR(_xlfn.IFS(OR(F1011="",LEFT(Methode_Keuze,4)="Geen",Methode_Keuze=""),"",AND(W1011&lt;&gt;"",F1011&lt;&gt;"Arbeidskosten"),W1011*VLOOKUP(F1011,Tb_ProjectKosten[],MATCH(Tb_ProjectKosten[[#Headers],[Forfait_Percentage]],Tb_ProjectKosten[#Headers],0),0),AND(F1011="Arbeidskosten",G1011&lt;&gt;""),IFERROR(W1011*VLOOKUP(G1011,Tb_KostenTypen[],3,0)*VLOOKUP(F1011,Tb_ProjectKosten[],MATCH(Tb_ProjectKosten[[#Headers],[Forfait_Percentage]],Tb_ProjectKosten[#Headers],0),0),""),W1011 &lt;=0,0),"")</f>
        <v/>
      </c>
      <c r="AA1011" s="314" t="str" cm="1">
        <f t="array" aca="1" ref="AA1011" ca="1">IFERROR(_xlfn.IFS(OR(F1011="",LEFT(Methode_Keuze,4)="Geen",Methode_Keuze=""),"",AND(X1011&lt;&gt;"",F1011&lt;&gt;"Arbeidskosten"),X1011*VLOOKUP(F1011,Tb_ProjectKosten[],MATCH(Tb_ProjectKosten[[#Headers],[Forfait_Percentage]],Tb_ProjectKosten[#Headers],0),0),AND(F1011="Arbeidskosten",G1011&lt;&gt;""),IFERROR(X1011*VLOOKUP(G1011,Tb_KostenTypen[],3,0)*VLOOKUP(F1011,Tb_ProjectKosten[],MATCH(Tb_ProjectKosten[[#Headers],[Forfait_Percentage]],Tb_ProjectKosten[#Headers],0),0),""),X1011 &lt;=0,0),"")</f>
        <v/>
      </c>
      <c r="AB1011" s="314" t="str">
        <f t="shared" ca="1" si="63"/>
        <v/>
      </c>
      <c r="AC1011" s="322"/>
      <c r="AD1011" s="315"/>
      <c r="AE1011" s="32" t="str" cm="1">
        <f t="array" ref="AE1011">IFERROR(IF(INDEX(SubsidieTabel!$AD$1:$AG$12,MATCH($F1011,SubsidieTabel!$AD$1:$AD$12,0),IFERROR(MATCH(Methode_Keuze,SubsidieTabel!$AD$1:$AG$1,0),2))&lt;&gt;1=TRUE,"ja",""),"")</f>
        <v/>
      </c>
    </row>
    <row r="1012" spans="1:31" x14ac:dyDescent="0.25">
      <c r="A1012" s="316"/>
      <c r="B1012" s="317" t="str">
        <f>IF(A1012&lt;&gt;"",_xlfn.MAXIFS($B$1:B1011,$A$1:A1011,A1012)+1,"")</f>
        <v/>
      </c>
      <c r="C1012" s="296"/>
      <c r="D1012" s="296"/>
      <c r="E1012" s="296"/>
      <c r="F1012" s="296"/>
      <c r="G1012" s="326"/>
      <c r="H1012" s="324"/>
      <c r="I1012" s="325"/>
      <c r="J1012" s="325"/>
      <c r="K1012" s="318"/>
      <c r="L1012" s="318"/>
      <c r="M1012" s="319" t="str">
        <f>IFERROR(VLOOKUP(H1012,Lijsten!$H$1:$I$100,2,0),"")</f>
        <v/>
      </c>
      <c r="N1012" s="319" t="str">
        <f ca="1">IFERROR(IF(VLOOKUP(F1012,Kostentypen!$A$3:$E$21,3,0)=0,"",IF(OR(F1012="Arbeidskosten",F1012="Vergoeding"),VLOOKUP(G1012,Tb_KostenTypen[],2,0),VLOOKUP(F1012,Kostentypen!$A$3:$E$20,3,0))),"")</f>
        <v/>
      </c>
      <c r="O1012" s="320" t="str" cm="1">
        <f t="array" ref="O1012">_xlfn.IFNA(IF(INDEX(Tb_KostenOptiesDB[],MATCH($F1012,Tb_KostenOptiesDB[KostenOptie],0),IFERROR(MATCH(Methode_Keuze,Tb_KostenOptiesDB[#Headers],0),2))=1,_xlfn.SWITCH($N1012,"Uurtarief",IF(OR(AND(RIGHT($F1012,3)="IKS",VLOOKUP($M1012,DB_Loonkosten,2,0)="Ja"),AND(RIGHT($F1012,3)&lt;&gt;"IKS",VLOOKUP($M1012,DB_Loonkosten,2,0)="Nee")),IFERROR(VLOOKUP($M1012,DB_Loonkosten,24,0),""),0),"Vast tarief",IF(LEFT(F1012,8)="Bijdrage",VLOOKUP($F1012,Tb_KostenTypen[],MATCH(Lijsten!$P$1,Tb_KostenTypen[#Headers],0),0),VLOOKUP($G1012,Lijsten!L:P,MATCH(Lijsten!$P$1,Kop_Tarief_Vast,0),0))),""),"")</f>
        <v/>
      </c>
      <c r="P1012" s="320" t="str" cm="1">
        <f t="array" ref="P1012">_xlfn.IFNA(IF(INDEX(Tb_KostenOptiesDB[],MATCH($F1012,Tb_KostenOptiesDB[KostenOptie],0),IFERROR(MATCH(Methode_Keuze,Tb_KostenOptiesDB[#Headers],0),2))=1,_xlfn.SWITCH($N1012,"Uurtarief",IF(OR(AND(RIGHT($F1012,3)="IKS",VLOOKUP($M1012,DB_Loonkosten,2,0)="Ja"),AND(RIGHT($F1012,3)&lt;&gt;"IKS",VLOOKUP($M1012,DB_Loonkosten,2,0)="Nee")),IFERROR(VLOOKUP($M1012,DB_Loonkosten,25,0),""),0),"Vast tarief",IF(LEFT(F1012,8)="Bijdrage",VLOOKUP($F1012,Tb_KostenTypen[],MATCH(Lijsten!$P$1,Tb_KostenTypen[#Headers],0),0),VLOOKUP($G1012,Lijsten!L:P,MATCH(Lijsten!$P$1,Kop_Tarief_Vast,0),0))),""),"")</f>
        <v/>
      </c>
      <c r="Q1012" s="359"/>
      <c r="R1012" s="359"/>
      <c r="S1012" s="321"/>
      <c r="T1012" s="321"/>
      <c r="U1012" s="373" t="str">
        <f t="shared" si="60"/>
        <v/>
      </c>
      <c r="V1012" s="314" t="str">
        <f t="shared" si="61"/>
        <v/>
      </c>
      <c r="W1012" s="314" t="str" cm="1">
        <f t="array" aca="1" ref="W1012" ca="1">IFERROR(IF(AE1012&lt;&gt;"ja",_xlfn.IFNA(_xlfn.IFS(AND(O1012&lt;&gt;"",F1012&lt;&gt;"",RIGHT($N1012,6)="tarief",F1012="Vergoeding"),SUM(O1012)*FLOOR(SUM(Q1012),0.0001),AND(O1012&lt;&gt;"",F1012&lt;&gt;"",RIGHT($N1012,6)="tarief"),SUM(O1012)*FLOOR(SUM(Q1012),0.01),S1012&gt;0,IF(F1012&lt;&gt;"",FLOOR(SUM(S1012),0.01),"")),""),""),"")</f>
        <v/>
      </c>
      <c r="X1012" s="314" t="str" cm="1">
        <f t="array" aca="1" ref="X1012" ca="1">IFERROR(IF(AE1012&lt;&gt;"ja",_xlfn.IFNA(_xlfn.IFS(AND(P1012&lt;&gt;"",R1012&lt;&gt;"",RIGHT($N1012,6)="tarief",F1012="Vergoeding"),SUM(P1012)*FLOOR(SUM(R1012),0.0001),AND(P1012&lt;&gt;"",R1012&lt;&gt;"",RIGHT($N1012,6)="tarief"),P1012*FLOOR(R1012,0.01),T1012&gt;0,FLOOR(SUM(T1012),0.01)),""),""),"")</f>
        <v/>
      </c>
      <c r="Y1012" s="314" t="str">
        <f t="shared" ca="1" si="62"/>
        <v/>
      </c>
      <c r="Z1012" s="314" t="str" cm="1">
        <f t="array" aca="1" ref="Z1012" ca="1">IFERROR(_xlfn.IFS(OR(F1012="",LEFT(Methode_Keuze,4)="Geen",Methode_Keuze=""),"",AND(W1012&lt;&gt;"",F1012&lt;&gt;"Arbeidskosten"),W1012*VLOOKUP(F1012,Tb_ProjectKosten[],MATCH(Tb_ProjectKosten[[#Headers],[Forfait_Percentage]],Tb_ProjectKosten[#Headers],0),0),AND(F1012="Arbeidskosten",G1012&lt;&gt;""),IFERROR(W1012*VLOOKUP(G1012,Tb_KostenTypen[],3,0)*VLOOKUP(F1012,Tb_ProjectKosten[],MATCH(Tb_ProjectKosten[[#Headers],[Forfait_Percentage]],Tb_ProjectKosten[#Headers],0),0),""),W1012 &lt;=0,0),"")</f>
        <v/>
      </c>
      <c r="AA1012" s="314" t="str" cm="1">
        <f t="array" aca="1" ref="AA1012" ca="1">IFERROR(_xlfn.IFS(OR(F1012="",LEFT(Methode_Keuze,4)="Geen",Methode_Keuze=""),"",AND(X1012&lt;&gt;"",F1012&lt;&gt;"Arbeidskosten"),X1012*VLOOKUP(F1012,Tb_ProjectKosten[],MATCH(Tb_ProjectKosten[[#Headers],[Forfait_Percentage]],Tb_ProjectKosten[#Headers],0),0),AND(F1012="Arbeidskosten",G1012&lt;&gt;""),IFERROR(X1012*VLOOKUP(G1012,Tb_KostenTypen[],3,0)*VLOOKUP(F1012,Tb_ProjectKosten[],MATCH(Tb_ProjectKosten[[#Headers],[Forfait_Percentage]],Tb_ProjectKosten[#Headers],0),0),""),X1012 &lt;=0,0),"")</f>
        <v/>
      </c>
      <c r="AB1012" s="314" t="str">
        <f t="shared" ca="1" si="63"/>
        <v/>
      </c>
      <c r="AC1012" s="322"/>
      <c r="AD1012" s="315"/>
      <c r="AE1012" s="32" t="str" cm="1">
        <f t="array" ref="AE1012">IFERROR(IF(INDEX(SubsidieTabel!$AD$1:$AG$12,MATCH($F1012,SubsidieTabel!$AD$1:$AD$12,0),IFERROR(MATCH(Methode_Keuze,SubsidieTabel!$AD$1:$AG$1,0),2))&lt;&gt;1=TRUE,"ja",""),"")</f>
        <v/>
      </c>
    </row>
    <row r="1013" spans="1:31" x14ac:dyDescent="0.25">
      <c r="A1013" s="316"/>
      <c r="B1013" s="317" t="str">
        <f>IF(A1013&lt;&gt;"",_xlfn.MAXIFS($B$1:B1012,$A$1:A1012,A1013)+1,"")</f>
        <v/>
      </c>
      <c r="C1013" s="296"/>
      <c r="D1013" s="296"/>
      <c r="E1013" s="296"/>
      <c r="F1013" s="296"/>
      <c r="G1013" s="326"/>
      <c r="H1013" s="324"/>
      <c r="I1013" s="325"/>
      <c r="J1013" s="325"/>
      <c r="K1013" s="318"/>
      <c r="L1013" s="318"/>
      <c r="M1013" s="319" t="str">
        <f>IFERROR(VLOOKUP(H1013,Lijsten!$H$1:$I$100,2,0),"")</f>
        <v/>
      </c>
      <c r="N1013" s="319" t="str">
        <f ca="1">IFERROR(IF(VLOOKUP(F1013,Kostentypen!$A$3:$E$21,3,0)=0,"",IF(OR(F1013="Arbeidskosten",F1013="Vergoeding"),VLOOKUP(G1013,Tb_KostenTypen[],2,0),VLOOKUP(F1013,Kostentypen!$A$3:$E$20,3,0))),"")</f>
        <v/>
      </c>
      <c r="O1013" s="320" t="str" cm="1">
        <f t="array" ref="O1013">_xlfn.IFNA(IF(INDEX(Tb_KostenOptiesDB[],MATCH($F1013,Tb_KostenOptiesDB[KostenOptie],0),IFERROR(MATCH(Methode_Keuze,Tb_KostenOptiesDB[#Headers],0),2))=1,_xlfn.SWITCH($N1013,"Uurtarief",IF(OR(AND(RIGHT($F1013,3)="IKS",VLOOKUP($M1013,DB_Loonkosten,2,0)="Ja"),AND(RIGHT($F1013,3)&lt;&gt;"IKS",VLOOKUP($M1013,DB_Loonkosten,2,0)="Nee")),IFERROR(VLOOKUP($M1013,DB_Loonkosten,24,0),""),0),"Vast tarief",IF(LEFT(F1013,8)="Bijdrage",VLOOKUP($F1013,Tb_KostenTypen[],MATCH(Lijsten!$P$1,Tb_KostenTypen[#Headers],0),0),VLOOKUP($G1013,Lijsten!L:P,MATCH(Lijsten!$P$1,Kop_Tarief_Vast,0),0))),""),"")</f>
        <v/>
      </c>
      <c r="P1013" s="320" t="str" cm="1">
        <f t="array" ref="P1013">_xlfn.IFNA(IF(INDEX(Tb_KostenOptiesDB[],MATCH($F1013,Tb_KostenOptiesDB[KostenOptie],0),IFERROR(MATCH(Methode_Keuze,Tb_KostenOptiesDB[#Headers],0),2))=1,_xlfn.SWITCH($N1013,"Uurtarief",IF(OR(AND(RIGHT($F1013,3)="IKS",VLOOKUP($M1013,DB_Loonkosten,2,0)="Ja"),AND(RIGHT($F1013,3)&lt;&gt;"IKS",VLOOKUP($M1013,DB_Loonkosten,2,0)="Nee")),IFERROR(VLOOKUP($M1013,DB_Loonkosten,25,0),""),0),"Vast tarief",IF(LEFT(F1013,8)="Bijdrage",VLOOKUP($F1013,Tb_KostenTypen[],MATCH(Lijsten!$P$1,Tb_KostenTypen[#Headers],0),0),VLOOKUP($G1013,Lijsten!L:P,MATCH(Lijsten!$P$1,Kop_Tarief_Vast,0),0))),""),"")</f>
        <v/>
      </c>
      <c r="Q1013" s="359"/>
      <c r="R1013" s="359"/>
      <c r="S1013" s="321"/>
      <c r="T1013" s="321"/>
      <c r="U1013" s="373" t="str">
        <f t="shared" si="60"/>
        <v/>
      </c>
      <c r="V1013" s="314" t="str">
        <f t="shared" si="61"/>
        <v/>
      </c>
      <c r="W1013" s="314" t="str" cm="1">
        <f t="array" aca="1" ref="W1013" ca="1">IFERROR(IF(AE1013&lt;&gt;"ja",_xlfn.IFNA(_xlfn.IFS(AND(O1013&lt;&gt;"",F1013&lt;&gt;"",RIGHT($N1013,6)="tarief",F1013="Vergoeding"),SUM(O1013)*FLOOR(SUM(Q1013),0.0001),AND(O1013&lt;&gt;"",F1013&lt;&gt;"",RIGHT($N1013,6)="tarief"),SUM(O1013)*FLOOR(SUM(Q1013),0.01),S1013&gt;0,IF(F1013&lt;&gt;"",FLOOR(SUM(S1013),0.01),"")),""),""),"")</f>
        <v/>
      </c>
      <c r="X1013" s="314" t="str" cm="1">
        <f t="array" aca="1" ref="X1013" ca="1">IFERROR(IF(AE1013&lt;&gt;"ja",_xlfn.IFNA(_xlfn.IFS(AND(P1013&lt;&gt;"",R1013&lt;&gt;"",RIGHT($N1013,6)="tarief",F1013="Vergoeding"),SUM(P1013)*FLOOR(SUM(R1013),0.0001),AND(P1013&lt;&gt;"",R1013&lt;&gt;"",RIGHT($N1013,6)="tarief"),P1013*FLOOR(R1013,0.01),T1013&gt;0,FLOOR(SUM(T1013),0.01)),""),""),"")</f>
        <v/>
      </c>
      <c r="Y1013" s="314" t="str">
        <f t="shared" ca="1" si="62"/>
        <v/>
      </c>
      <c r="Z1013" s="314" t="str" cm="1">
        <f t="array" aca="1" ref="Z1013" ca="1">IFERROR(_xlfn.IFS(OR(F1013="",LEFT(Methode_Keuze,4)="Geen",Methode_Keuze=""),"",AND(W1013&lt;&gt;"",F1013&lt;&gt;"Arbeidskosten"),W1013*VLOOKUP(F1013,Tb_ProjectKosten[],MATCH(Tb_ProjectKosten[[#Headers],[Forfait_Percentage]],Tb_ProjectKosten[#Headers],0),0),AND(F1013="Arbeidskosten",G1013&lt;&gt;""),IFERROR(W1013*VLOOKUP(G1013,Tb_KostenTypen[],3,0)*VLOOKUP(F1013,Tb_ProjectKosten[],MATCH(Tb_ProjectKosten[[#Headers],[Forfait_Percentage]],Tb_ProjectKosten[#Headers],0),0),""),W1013 &lt;=0,0),"")</f>
        <v/>
      </c>
      <c r="AA1013" s="314" t="str" cm="1">
        <f t="array" aca="1" ref="AA1013" ca="1">IFERROR(_xlfn.IFS(OR(F1013="",LEFT(Methode_Keuze,4)="Geen",Methode_Keuze=""),"",AND(X1013&lt;&gt;"",F1013&lt;&gt;"Arbeidskosten"),X1013*VLOOKUP(F1013,Tb_ProjectKosten[],MATCH(Tb_ProjectKosten[[#Headers],[Forfait_Percentage]],Tb_ProjectKosten[#Headers],0),0),AND(F1013="Arbeidskosten",G1013&lt;&gt;""),IFERROR(X1013*VLOOKUP(G1013,Tb_KostenTypen[],3,0)*VLOOKUP(F1013,Tb_ProjectKosten[],MATCH(Tb_ProjectKosten[[#Headers],[Forfait_Percentage]],Tb_ProjectKosten[#Headers],0),0),""),X1013 &lt;=0,0),"")</f>
        <v/>
      </c>
      <c r="AB1013" s="314" t="str">
        <f t="shared" ca="1" si="63"/>
        <v/>
      </c>
      <c r="AC1013" s="322"/>
      <c r="AD1013" s="315"/>
      <c r="AE1013" s="32" t="str" cm="1">
        <f t="array" ref="AE1013">IFERROR(IF(INDEX(SubsidieTabel!$AD$1:$AG$12,MATCH($F1013,SubsidieTabel!$AD$1:$AD$12,0),IFERROR(MATCH(Methode_Keuze,SubsidieTabel!$AD$1:$AG$1,0),2))&lt;&gt;1=TRUE,"ja",""),"")</f>
        <v/>
      </c>
    </row>
    <row r="1014" spans="1:31" x14ac:dyDescent="0.25">
      <c r="A1014" s="316"/>
      <c r="B1014" s="317" t="str">
        <f>IF(A1014&lt;&gt;"",_xlfn.MAXIFS($B$1:B1013,$A$1:A1013,A1014)+1,"")</f>
        <v/>
      </c>
      <c r="C1014" s="296"/>
      <c r="D1014" s="296"/>
      <c r="E1014" s="296"/>
      <c r="F1014" s="296"/>
      <c r="G1014" s="326"/>
      <c r="H1014" s="324"/>
      <c r="I1014" s="325"/>
      <c r="J1014" s="325"/>
      <c r="K1014" s="318"/>
      <c r="L1014" s="318"/>
      <c r="M1014" s="319" t="str">
        <f>IFERROR(VLOOKUP(H1014,Lijsten!$H$1:$I$100,2,0),"")</f>
        <v/>
      </c>
      <c r="N1014" s="319" t="str">
        <f ca="1">IFERROR(IF(VLOOKUP(F1014,Kostentypen!$A$3:$E$21,3,0)=0,"",IF(OR(F1014="Arbeidskosten",F1014="Vergoeding"),VLOOKUP(G1014,Tb_KostenTypen[],2,0),VLOOKUP(F1014,Kostentypen!$A$3:$E$20,3,0))),"")</f>
        <v/>
      </c>
      <c r="O1014" s="320" t="str" cm="1">
        <f t="array" ref="O1014">_xlfn.IFNA(IF(INDEX(Tb_KostenOptiesDB[],MATCH($F1014,Tb_KostenOptiesDB[KostenOptie],0),IFERROR(MATCH(Methode_Keuze,Tb_KostenOptiesDB[#Headers],0),2))=1,_xlfn.SWITCH($N1014,"Uurtarief",IF(OR(AND(RIGHT($F1014,3)="IKS",VLOOKUP($M1014,DB_Loonkosten,2,0)="Ja"),AND(RIGHT($F1014,3)&lt;&gt;"IKS",VLOOKUP($M1014,DB_Loonkosten,2,0)="Nee")),IFERROR(VLOOKUP($M1014,DB_Loonkosten,24,0),""),0),"Vast tarief",IF(LEFT(F1014,8)="Bijdrage",VLOOKUP($F1014,Tb_KostenTypen[],MATCH(Lijsten!$P$1,Tb_KostenTypen[#Headers],0),0),VLOOKUP($G1014,Lijsten!L:P,MATCH(Lijsten!$P$1,Kop_Tarief_Vast,0),0))),""),"")</f>
        <v/>
      </c>
      <c r="P1014" s="320" t="str" cm="1">
        <f t="array" ref="P1014">_xlfn.IFNA(IF(INDEX(Tb_KostenOptiesDB[],MATCH($F1014,Tb_KostenOptiesDB[KostenOptie],0),IFERROR(MATCH(Methode_Keuze,Tb_KostenOptiesDB[#Headers],0),2))=1,_xlfn.SWITCH($N1014,"Uurtarief",IF(OR(AND(RIGHT($F1014,3)="IKS",VLOOKUP($M1014,DB_Loonkosten,2,0)="Ja"),AND(RIGHT($F1014,3)&lt;&gt;"IKS",VLOOKUP($M1014,DB_Loonkosten,2,0)="Nee")),IFERROR(VLOOKUP($M1014,DB_Loonkosten,25,0),""),0),"Vast tarief",IF(LEFT(F1014,8)="Bijdrage",VLOOKUP($F1014,Tb_KostenTypen[],MATCH(Lijsten!$P$1,Tb_KostenTypen[#Headers],0),0),VLOOKUP($G1014,Lijsten!L:P,MATCH(Lijsten!$P$1,Kop_Tarief_Vast,0),0))),""),"")</f>
        <v/>
      </c>
      <c r="Q1014" s="359"/>
      <c r="R1014" s="359"/>
      <c r="S1014" s="321"/>
      <c r="T1014" s="321"/>
      <c r="U1014" s="373" t="str">
        <f t="shared" si="60"/>
        <v/>
      </c>
      <c r="V1014" s="314" t="str">
        <f t="shared" si="61"/>
        <v/>
      </c>
      <c r="W1014" s="314" t="str" cm="1">
        <f t="array" aca="1" ref="W1014" ca="1">IFERROR(IF(AE1014&lt;&gt;"ja",_xlfn.IFNA(_xlfn.IFS(AND(O1014&lt;&gt;"",F1014&lt;&gt;"",RIGHT($N1014,6)="tarief",F1014="Vergoeding"),SUM(O1014)*FLOOR(SUM(Q1014),0.0001),AND(O1014&lt;&gt;"",F1014&lt;&gt;"",RIGHT($N1014,6)="tarief"),SUM(O1014)*FLOOR(SUM(Q1014),0.01),S1014&gt;0,IF(F1014&lt;&gt;"",FLOOR(SUM(S1014),0.01),"")),""),""),"")</f>
        <v/>
      </c>
      <c r="X1014" s="314" t="str" cm="1">
        <f t="array" aca="1" ref="X1014" ca="1">IFERROR(IF(AE1014&lt;&gt;"ja",_xlfn.IFNA(_xlfn.IFS(AND(P1014&lt;&gt;"",R1014&lt;&gt;"",RIGHT($N1014,6)="tarief",F1014="Vergoeding"),SUM(P1014)*FLOOR(SUM(R1014),0.0001),AND(P1014&lt;&gt;"",R1014&lt;&gt;"",RIGHT($N1014,6)="tarief"),P1014*FLOOR(R1014,0.01),T1014&gt;0,FLOOR(SUM(T1014),0.01)),""),""),"")</f>
        <v/>
      </c>
      <c r="Y1014" s="314" t="str">
        <f t="shared" ca="1" si="62"/>
        <v/>
      </c>
      <c r="Z1014" s="314" t="str" cm="1">
        <f t="array" aca="1" ref="Z1014" ca="1">IFERROR(_xlfn.IFS(OR(F1014="",LEFT(Methode_Keuze,4)="Geen",Methode_Keuze=""),"",AND(W1014&lt;&gt;"",F1014&lt;&gt;"Arbeidskosten"),W1014*VLOOKUP(F1014,Tb_ProjectKosten[],MATCH(Tb_ProjectKosten[[#Headers],[Forfait_Percentage]],Tb_ProjectKosten[#Headers],0),0),AND(F1014="Arbeidskosten",G1014&lt;&gt;""),IFERROR(W1014*VLOOKUP(G1014,Tb_KostenTypen[],3,0)*VLOOKUP(F1014,Tb_ProjectKosten[],MATCH(Tb_ProjectKosten[[#Headers],[Forfait_Percentage]],Tb_ProjectKosten[#Headers],0),0),""),W1014 &lt;=0,0),"")</f>
        <v/>
      </c>
      <c r="AA1014" s="314" t="str" cm="1">
        <f t="array" aca="1" ref="AA1014" ca="1">IFERROR(_xlfn.IFS(OR(F1014="",LEFT(Methode_Keuze,4)="Geen",Methode_Keuze=""),"",AND(X1014&lt;&gt;"",F1014&lt;&gt;"Arbeidskosten"),X1014*VLOOKUP(F1014,Tb_ProjectKosten[],MATCH(Tb_ProjectKosten[[#Headers],[Forfait_Percentage]],Tb_ProjectKosten[#Headers],0),0),AND(F1014="Arbeidskosten",G1014&lt;&gt;""),IFERROR(X1014*VLOOKUP(G1014,Tb_KostenTypen[],3,0)*VLOOKUP(F1014,Tb_ProjectKosten[],MATCH(Tb_ProjectKosten[[#Headers],[Forfait_Percentage]],Tb_ProjectKosten[#Headers],0),0),""),X1014 &lt;=0,0),"")</f>
        <v/>
      </c>
      <c r="AB1014" s="314" t="str">
        <f t="shared" ca="1" si="63"/>
        <v/>
      </c>
      <c r="AC1014" s="322"/>
      <c r="AD1014" s="315"/>
      <c r="AE1014" s="32" t="str" cm="1">
        <f t="array" ref="AE1014">IFERROR(IF(INDEX(SubsidieTabel!$AD$1:$AG$12,MATCH($F1014,SubsidieTabel!$AD$1:$AD$12,0),IFERROR(MATCH(Methode_Keuze,SubsidieTabel!$AD$1:$AG$1,0),2))&lt;&gt;1=TRUE,"ja",""),"")</f>
        <v/>
      </c>
    </row>
    <row r="1015" spans="1:31" x14ac:dyDescent="0.25">
      <c r="A1015" s="316"/>
      <c r="B1015" s="317" t="str">
        <f>IF(A1015&lt;&gt;"",_xlfn.MAXIFS($B$1:B1014,$A$1:A1014,A1015)+1,"")</f>
        <v/>
      </c>
      <c r="C1015" s="296"/>
      <c r="D1015" s="296"/>
      <c r="E1015" s="296"/>
      <c r="F1015" s="296"/>
      <c r="G1015" s="326"/>
      <c r="H1015" s="324"/>
      <c r="I1015" s="325"/>
      <c r="J1015" s="325"/>
      <c r="K1015" s="318"/>
      <c r="L1015" s="318"/>
      <c r="M1015" s="319" t="str">
        <f>IFERROR(VLOOKUP(H1015,Lijsten!$H$1:$I$100,2,0),"")</f>
        <v/>
      </c>
      <c r="N1015" s="319" t="str">
        <f ca="1">IFERROR(IF(VLOOKUP(F1015,Kostentypen!$A$3:$E$21,3,0)=0,"",IF(OR(F1015="Arbeidskosten",F1015="Vergoeding"),VLOOKUP(G1015,Tb_KostenTypen[],2,0),VLOOKUP(F1015,Kostentypen!$A$3:$E$20,3,0))),"")</f>
        <v/>
      </c>
      <c r="O1015" s="320" t="str" cm="1">
        <f t="array" ref="O1015">_xlfn.IFNA(IF(INDEX(Tb_KostenOptiesDB[],MATCH($F1015,Tb_KostenOptiesDB[KostenOptie],0),IFERROR(MATCH(Methode_Keuze,Tb_KostenOptiesDB[#Headers],0),2))=1,_xlfn.SWITCH($N1015,"Uurtarief",IF(OR(AND(RIGHT($F1015,3)="IKS",VLOOKUP($M1015,DB_Loonkosten,2,0)="Ja"),AND(RIGHT($F1015,3)&lt;&gt;"IKS",VLOOKUP($M1015,DB_Loonkosten,2,0)="Nee")),IFERROR(VLOOKUP($M1015,DB_Loonkosten,24,0),""),0),"Vast tarief",IF(LEFT(F1015,8)="Bijdrage",VLOOKUP($F1015,Tb_KostenTypen[],MATCH(Lijsten!$P$1,Tb_KostenTypen[#Headers],0),0),VLOOKUP($G1015,Lijsten!L:P,MATCH(Lijsten!$P$1,Kop_Tarief_Vast,0),0))),""),"")</f>
        <v/>
      </c>
      <c r="P1015" s="320" t="str" cm="1">
        <f t="array" ref="P1015">_xlfn.IFNA(IF(INDEX(Tb_KostenOptiesDB[],MATCH($F1015,Tb_KostenOptiesDB[KostenOptie],0),IFERROR(MATCH(Methode_Keuze,Tb_KostenOptiesDB[#Headers],0),2))=1,_xlfn.SWITCH($N1015,"Uurtarief",IF(OR(AND(RIGHT($F1015,3)="IKS",VLOOKUP($M1015,DB_Loonkosten,2,0)="Ja"),AND(RIGHT($F1015,3)&lt;&gt;"IKS",VLOOKUP($M1015,DB_Loonkosten,2,0)="Nee")),IFERROR(VLOOKUP($M1015,DB_Loonkosten,25,0),""),0),"Vast tarief",IF(LEFT(F1015,8)="Bijdrage",VLOOKUP($F1015,Tb_KostenTypen[],MATCH(Lijsten!$P$1,Tb_KostenTypen[#Headers],0),0),VLOOKUP($G1015,Lijsten!L:P,MATCH(Lijsten!$P$1,Kop_Tarief_Vast,0),0))),""),"")</f>
        <v/>
      </c>
      <c r="Q1015" s="359"/>
      <c r="R1015" s="359"/>
      <c r="S1015" s="321"/>
      <c r="T1015" s="321"/>
      <c r="U1015" s="373" t="str">
        <f t="shared" si="60"/>
        <v/>
      </c>
      <c r="V1015" s="314" t="str">
        <f t="shared" si="61"/>
        <v/>
      </c>
      <c r="W1015" s="314" t="str" cm="1">
        <f t="array" aca="1" ref="W1015" ca="1">IFERROR(IF(AE1015&lt;&gt;"ja",_xlfn.IFNA(_xlfn.IFS(AND(O1015&lt;&gt;"",F1015&lt;&gt;"",RIGHT($N1015,6)="tarief",F1015="Vergoeding"),SUM(O1015)*FLOOR(SUM(Q1015),0.0001),AND(O1015&lt;&gt;"",F1015&lt;&gt;"",RIGHT($N1015,6)="tarief"),SUM(O1015)*FLOOR(SUM(Q1015),0.01),S1015&gt;0,IF(F1015&lt;&gt;"",FLOOR(SUM(S1015),0.01),"")),""),""),"")</f>
        <v/>
      </c>
      <c r="X1015" s="314" t="str" cm="1">
        <f t="array" aca="1" ref="X1015" ca="1">IFERROR(IF(AE1015&lt;&gt;"ja",_xlfn.IFNA(_xlfn.IFS(AND(P1015&lt;&gt;"",R1015&lt;&gt;"",RIGHT($N1015,6)="tarief",F1015="Vergoeding"),SUM(P1015)*FLOOR(SUM(R1015),0.0001),AND(P1015&lt;&gt;"",R1015&lt;&gt;"",RIGHT($N1015,6)="tarief"),P1015*FLOOR(R1015,0.01),T1015&gt;0,FLOOR(SUM(T1015),0.01)),""),""),"")</f>
        <v/>
      </c>
      <c r="Y1015" s="314" t="str">
        <f t="shared" ca="1" si="62"/>
        <v/>
      </c>
      <c r="Z1015" s="314" t="str" cm="1">
        <f t="array" aca="1" ref="Z1015" ca="1">IFERROR(_xlfn.IFS(OR(F1015="",LEFT(Methode_Keuze,4)="Geen",Methode_Keuze=""),"",AND(W1015&lt;&gt;"",F1015&lt;&gt;"Arbeidskosten"),W1015*VLOOKUP(F1015,Tb_ProjectKosten[],MATCH(Tb_ProjectKosten[[#Headers],[Forfait_Percentage]],Tb_ProjectKosten[#Headers],0),0),AND(F1015="Arbeidskosten",G1015&lt;&gt;""),IFERROR(W1015*VLOOKUP(G1015,Tb_KostenTypen[],3,0)*VLOOKUP(F1015,Tb_ProjectKosten[],MATCH(Tb_ProjectKosten[[#Headers],[Forfait_Percentage]],Tb_ProjectKosten[#Headers],0),0),""),W1015 &lt;=0,0),"")</f>
        <v/>
      </c>
      <c r="AA1015" s="314" t="str" cm="1">
        <f t="array" aca="1" ref="AA1015" ca="1">IFERROR(_xlfn.IFS(OR(F1015="",LEFT(Methode_Keuze,4)="Geen",Methode_Keuze=""),"",AND(X1015&lt;&gt;"",F1015&lt;&gt;"Arbeidskosten"),X1015*VLOOKUP(F1015,Tb_ProjectKosten[],MATCH(Tb_ProjectKosten[[#Headers],[Forfait_Percentage]],Tb_ProjectKosten[#Headers],0),0),AND(F1015="Arbeidskosten",G1015&lt;&gt;""),IFERROR(X1015*VLOOKUP(G1015,Tb_KostenTypen[],3,0)*VLOOKUP(F1015,Tb_ProjectKosten[],MATCH(Tb_ProjectKosten[[#Headers],[Forfait_Percentage]],Tb_ProjectKosten[#Headers],0),0),""),X1015 &lt;=0,0),"")</f>
        <v/>
      </c>
      <c r="AB1015" s="314" t="str">
        <f t="shared" ca="1" si="63"/>
        <v/>
      </c>
      <c r="AC1015" s="322"/>
      <c r="AD1015" s="315"/>
      <c r="AE1015" s="32" t="str" cm="1">
        <f t="array" ref="AE1015">IFERROR(IF(INDEX(SubsidieTabel!$AD$1:$AG$12,MATCH($F1015,SubsidieTabel!$AD$1:$AD$12,0),IFERROR(MATCH(Methode_Keuze,SubsidieTabel!$AD$1:$AG$1,0),2))&lt;&gt;1=TRUE,"ja",""),"")</f>
        <v/>
      </c>
    </row>
    <row r="1016" spans="1:31" x14ac:dyDescent="0.25">
      <c r="A1016" s="316"/>
      <c r="B1016" s="317" t="str">
        <f>IF(A1016&lt;&gt;"",_xlfn.MAXIFS($B$1:B1015,$A$1:A1015,A1016)+1,"")</f>
        <v/>
      </c>
      <c r="C1016" s="296"/>
      <c r="D1016" s="296"/>
      <c r="E1016" s="296"/>
      <c r="F1016" s="296"/>
      <c r="G1016" s="326"/>
      <c r="H1016" s="324"/>
      <c r="I1016" s="325"/>
      <c r="J1016" s="325"/>
      <c r="K1016" s="318"/>
      <c r="L1016" s="318"/>
      <c r="M1016" s="319" t="str">
        <f>IFERROR(VLOOKUP(H1016,Lijsten!$H$1:$I$100,2,0),"")</f>
        <v/>
      </c>
      <c r="N1016" s="319" t="str">
        <f ca="1">IFERROR(IF(VLOOKUP(F1016,Kostentypen!$A$3:$E$21,3,0)=0,"",IF(OR(F1016="Arbeidskosten",F1016="Vergoeding"),VLOOKUP(G1016,Tb_KostenTypen[],2,0),VLOOKUP(F1016,Kostentypen!$A$3:$E$20,3,0))),"")</f>
        <v/>
      </c>
      <c r="O1016" s="320" t="str" cm="1">
        <f t="array" ref="O1016">_xlfn.IFNA(IF(INDEX(Tb_KostenOptiesDB[],MATCH($F1016,Tb_KostenOptiesDB[KostenOptie],0),IFERROR(MATCH(Methode_Keuze,Tb_KostenOptiesDB[#Headers],0),2))=1,_xlfn.SWITCH($N1016,"Uurtarief",IF(OR(AND(RIGHT($F1016,3)="IKS",VLOOKUP($M1016,DB_Loonkosten,2,0)="Ja"),AND(RIGHT($F1016,3)&lt;&gt;"IKS",VLOOKUP($M1016,DB_Loonkosten,2,0)="Nee")),IFERROR(VLOOKUP($M1016,DB_Loonkosten,24,0),""),0),"Vast tarief",IF(LEFT(F1016,8)="Bijdrage",VLOOKUP($F1016,Tb_KostenTypen[],MATCH(Lijsten!$P$1,Tb_KostenTypen[#Headers],0),0),VLOOKUP($G1016,Lijsten!L:P,MATCH(Lijsten!$P$1,Kop_Tarief_Vast,0),0))),""),"")</f>
        <v/>
      </c>
      <c r="P1016" s="320" t="str" cm="1">
        <f t="array" ref="P1016">_xlfn.IFNA(IF(INDEX(Tb_KostenOptiesDB[],MATCH($F1016,Tb_KostenOptiesDB[KostenOptie],0),IFERROR(MATCH(Methode_Keuze,Tb_KostenOptiesDB[#Headers],0),2))=1,_xlfn.SWITCH($N1016,"Uurtarief",IF(OR(AND(RIGHT($F1016,3)="IKS",VLOOKUP($M1016,DB_Loonkosten,2,0)="Ja"),AND(RIGHT($F1016,3)&lt;&gt;"IKS",VLOOKUP($M1016,DB_Loonkosten,2,0)="Nee")),IFERROR(VLOOKUP($M1016,DB_Loonkosten,25,0),""),0),"Vast tarief",IF(LEFT(F1016,8)="Bijdrage",VLOOKUP($F1016,Tb_KostenTypen[],MATCH(Lijsten!$P$1,Tb_KostenTypen[#Headers],0),0),VLOOKUP($G1016,Lijsten!L:P,MATCH(Lijsten!$P$1,Kop_Tarief_Vast,0),0))),""),"")</f>
        <v/>
      </c>
      <c r="Q1016" s="359"/>
      <c r="R1016" s="359"/>
      <c r="S1016" s="321"/>
      <c r="T1016" s="321"/>
      <c r="U1016" s="373" t="str">
        <f t="shared" si="60"/>
        <v/>
      </c>
      <c r="V1016" s="314" t="str">
        <f t="shared" si="61"/>
        <v/>
      </c>
      <c r="W1016" s="314" t="str" cm="1">
        <f t="array" aca="1" ref="W1016" ca="1">IFERROR(IF(AE1016&lt;&gt;"ja",_xlfn.IFNA(_xlfn.IFS(AND(O1016&lt;&gt;"",F1016&lt;&gt;"",RIGHT($N1016,6)="tarief",F1016="Vergoeding"),SUM(O1016)*FLOOR(SUM(Q1016),0.0001),AND(O1016&lt;&gt;"",F1016&lt;&gt;"",RIGHT($N1016,6)="tarief"),SUM(O1016)*FLOOR(SUM(Q1016),0.01),S1016&gt;0,IF(F1016&lt;&gt;"",FLOOR(SUM(S1016),0.01),"")),""),""),"")</f>
        <v/>
      </c>
      <c r="X1016" s="314" t="str" cm="1">
        <f t="array" aca="1" ref="X1016" ca="1">IFERROR(IF(AE1016&lt;&gt;"ja",_xlfn.IFNA(_xlfn.IFS(AND(P1016&lt;&gt;"",R1016&lt;&gt;"",RIGHT($N1016,6)="tarief",F1016="Vergoeding"),SUM(P1016)*FLOOR(SUM(R1016),0.0001),AND(P1016&lt;&gt;"",R1016&lt;&gt;"",RIGHT($N1016,6)="tarief"),P1016*FLOOR(R1016,0.01),T1016&gt;0,FLOOR(SUM(T1016),0.01)),""),""),"")</f>
        <v/>
      </c>
      <c r="Y1016" s="314" t="str">
        <f t="shared" ca="1" si="62"/>
        <v/>
      </c>
      <c r="Z1016" s="314" t="str" cm="1">
        <f t="array" aca="1" ref="Z1016" ca="1">IFERROR(_xlfn.IFS(OR(F1016="",LEFT(Methode_Keuze,4)="Geen",Methode_Keuze=""),"",AND(W1016&lt;&gt;"",F1016&lt;&gt;"Arbeidskosten"),W1016*VLOOKUP(F1016,Tb_ProjectKosten[],MATCH(Tb_ProjectKosten[[#Headers],[Forfait_Percentage]],Tb_ProjectKosten[#Headers],0),0),AND(F1016="Arbeidskosten",G1016&lt;&gt;""),IFERROR(W1016*VLOOKUP(G1016,Tb_KostenTypen[],3,0)*VLOOKUP(F1016,Tb_ProjectKosten[],MATCH(Tb_ProjectKosten[[#Headers],[Forfait_Percentage]],Tb_ProjectKosten[#Headers],0),0),""),W1016 &lt;=0,0),"")</f>
        <v/>
      </c>
      <c r="AA1016" s="314" t="str" cm="1">
        <f t="array" aca="1" ref="AA1016" ca="1">IFERROR(_xlfn.IFS(OR(F1016="",LEFT(Methode_Keuze,4)="Geen",Methode_Keuze=""),"",AND(X1016&lt;&gt;"",F1016&lt;&gt;"Arbeidskosten"),X1016*VLOOKUP(F1016,Tb_ProjectKosten[],MATCH(Tb_ProjectKosten[[#Headers],[Forfait_Percentage]],Tb_ProjectKosten[#Headers],0),0),AND(F1016="Arbeidskosten",G1016&lt;&gt;""),IFERROR(X1016*VLOOKUP(G1016,Tb_KostenTypen[],3,0)*VLOOKUP(F1016,Tb_ProjectKosten[],MATCH(Tb_ProjectKosten[[#Headers],[Forfait_Percentage]],Tb_ProjectKosten[#Headers],0),0),""),X1016 &lt;=0,0),"")</f>
        <v/>
      </c>
      <c r="AB1016" s="314" t="str">
        <f t="shared" ca="1" si="63"/>
        <v/>
      </c>
      <c r="AC1016" s="322"/>
      <c r="AD1016" s="315"/>
      <c r="AE1016" s="32" t="str" cm="1">
        <f t="array" ref="AE1016">IFERROR(IF(INDEX(SubsidieTabel!$AD$1:$AG$12,MATCH($F1016,SubsidieTabel!$AD$1:$AD$12,0),IFERROR(MATCH(Methode_Keuze,SubsidieTabel!$AD$1:$AG$1,0),2))&lt;&gt;1=TRUE,"ja",""),"")</f>
        <v/>
      </c>
    </row>
    <row r="1017" spans="1:31" x14ac:dyDescent="0.25">
      <c r="A1017" s="316"/>
      <c r="B1017" s="317" t="str">
        <f>IF(A1017&lt;&gt;"",_xlfn.MAXIFS($B$1:B1016,$A$1:A1016,A1017)+1,"")</f>
        <v/>
      </c>
      <c r="C1017" s="296"/>
      <c r="D1017" s="296"/>
      <c r="E1017" s="296"/>
      <c r="F1017" s="296"/>
      <c r="G1017" s="326"/>
      <c r="H1017" s="324"/>
      <c r="I1017" s="325"/>
      <c r="J1017" s="325"/>
      <c r="K1017" s="318"/>
      <c r="L1017" s="318"/>
      <c r="M1017" s="319" t="str">
        <f>IFERROR(VLOOKUP(H1017,Lijsten!$H$1:$I$100,2,0),"")</f>
        <v/>
      </c>
      <c r="N1017" s="319" t="str">
        <f ca="1">IFERROR(IF(VLOOKUP(F1017,Kostentypen!$A$3:$E$21,3,0)=0,"",IF(OR(F1017="Arbeidskosten",F1017="Vergoeding"),VLOOKUP(G1017,Tb_KostenTypen[],2,0),VLOOKUP(F1017,Kostentypen!$A$3:$E$20,3,0))),"")</f>
        <v/>
      </c>
      <c r="O1017" s="320" t="str" cm="1">
        <f t="array" ref="O1017">_xlfn.IFNA(IF(INDEX(Tb_KostenOptiesDB[],MATCH($F1017,Tb_KostenOptiesDB[KostenOptie],0),IFERROR(MATCH(Methode_Keuze,Tb_KostenOptiesDB[#Headers],0),2))=1,_xlfn.SWITCH($N1017,"Uurtarief",IF(OR(AND(RIGHT($F1017,3)="IKS",VLOOKUP($M1017,DB_Loonkosten,2,0)="Ja"),AND(RIGHT($F1017,3)&lt;&gt;"IKS",VLOOKUP($M1017,DB_Loonkosten,2,0)="Nee")),IFERROR(VLOOKUP($M1017,DB_Loonkosten,24,0),""),0),"Vast tarief",IF(LEFT(F1017,8)="Bijdrage",VLOOKUP($F1017,Tb_KostenTypen[],MATCH(Lijsten!$P$1,Tb_KostenTypen[#Headers],0),0),VLOOKUP($G1017,Lijsten!L:P,MATCH(Lijsten!$P$1,Kop_Tarief_Vast,0),0))),""),"")</f>
        <v/>
      </c>
      <c r="P1017" s="320" t="str" cm="1">
        <f t="array" ref="P1017">_xlfn.IFNA(IF(INDEX(Tb_KostenOptiesDB[],MATCH($F1017,Tb_KostenOptiesDB[KostenOptie],0),IFERROR(MATCH(Methode_Keuze,Tb_KostenOptiesDB[#Headers],0),2))=1,_xlfn.SWITCH($N1017,"Uurtarief",IF(OR(AND(RIGHT($F1017,3)="IKS",VLOOKUP($M1017,DB_Loonkosten,2,0)="Ja"),AND(RIGHT($F1017,3)&lt;&gt;"IKS",VLOOKUP($M1017,DB_Loonkosten,2,0)="Nee")),IFERROR(VLOOKUP($M1017,DB_Loonkosten,25,0),""),0),"Vast tarief",IF(LEFT(F1017,8)="Bijdrage",VLOOKUP($F1017,Tb_KostenTypen[],MATCH(Lijsten!$P$1,Tb_KostenTypen[#Headers],0),0),VLOOKUP($G1017,Lijsten!L:P,MATCH(Lijsten!$P$1,Kop_Tarief_Vast,0),0))),""),"")</f>
        <v/>
      </c>
      <c r="Q1017" s="359"/>
      <c r="R1017" s="359"/>
      <c r="S1017" s="321"/>
      <c r="T1017" s="321"/>
      <c r="U1017" s="373" t="str">
        <f t="shared" si="60"/>
        <v/>
      </c>
      <c r="V1017" s="314" t="str">
        <f t="shared" si="61"/>
        <v/>
      </c>
      <c r="W1017" s="314" t="str" cm="1">
        <f t="array" aca="1" ref="W1017" ca="1">IFERROR(IF(AE1017&lt;&gt;"ja",_xlfn.IFNA(_xlfn.IFS(AND(O1017&lt;&gt;"",F1017&lt;&gt;"",RIGHT($N1017,6)="tarief",F1017="Vergoeding"),SUM(O1017)*FLOOR(SUM(Q1017),0.0001),AND(O1017&lt;&gt;"",F1017&lt;&gt;"",RIGHT($N1017,6)="tarief"),SUM(O1017)*FLOOR(SUM(Q1017),0.01),S1017&gt;0,IF(F1017&lt;&gt;"",FLOOR(SUM(S1017),0.01),"")),""),""),"")</f>
        <v/>
      </c>
      <c r="X1017" s="314" t="str" cm="1">
        <f t="array" aca="1" ref="X1017" ca="1">IFERROR(IF(AE1017&lt;&gt;"ja",_xlfn.IFNA(_xlfn.IFS(AND(P1017&lt;&gt;"",R1017&lt;&gt;"",RIGHT($N1017,6)="tarief",F1017="Vergoeding"),SUM(P1017)*FLOOR(SUM(R1017),0.0001),AND(P1017&lt;&gt;"",R1017&lt;&gt;"",RIGHT($N1017,6)="tarief"),P1017*FLOOR(R1017,0.01),T1017&gt;0,FLOOR(SUM(T1017),0.01)),""),""),"")</f>
        <v/>
      </c>
      <c r="Y1017" s="314" t="str">
        <f t="shared" ca="1" si="62"/>
        <v/>
      </c>
      <c r="Z1017" s="314" t="str" cm="1">
        <f t="array" aca="1" ref="Z1017" ca="1">IFERROR(_xlfn.IFS(OR(F1017="",LEFT(Methode_Keuze,4)="Geen",Methode_Keuze=""),"",AND(W1017&lt;&gt;"",F1017&lt;&gt;"Arbeidskosten"),W1017*VLOOKUP(F1017,Tb_ProjectKosten[],MATCH(Tb_ProjectKosten[[#Headers],[Forfait_Percentage]],Tb_ProjectKosten[#Headers],0),0),AND(F1017="Arbeidskosten",G1017&lt;&gt;""),IFERROR(W1017*VLOOKUP(G1017,Tb_KostenTypen[],3,0)*VLOOKUP(F1017,Tb_ProjectKosten[],MATCH(Tb_ProjectKosten[[#Headers],[Forfait_Percentage]],Tb_ProjectKosten[#Headers],0),0),""),W1017 &lt;=0,0),"")</f>
        <v/>
      </c>
      <c r="AA1017" s="314" t="str" cm="1">
        <f t="array" aca="1" ref="AA1017" ca="1">IFERROR(_xlfn.IFS(OR(F1017="",LEFT(Methode_Keuze,4)="Geen",Methode_Keuze=""),"",AND(X1017&lt;&gt;"",F1017&lt;&gt;"Arbeidskosten"),X1017*VLOOKUP(F1017,Tb_ProjectKosten[],MATCH(Tb_ProjectKosten[[#Headers],[Forfait_Percentage]],Tb_ProjectKosten[#Headers],0),0),AND(F1017="Arbeidskosten",G1017&lt;&gt;""),IFERROR(X1017*VLOOKUP(G1017,Tb_KostenTypen[],3,0)*VLOOKUP(F1017,Tb_ProjectKosten[],MATCH(Tb_ProjectKosten[[#Headers],[Forfait_Percentage]],Tb_ProjectKosten[#Headers],0),0),""),X1017 &lt;=0,0),"")</f>
        <v/>
      </c>
      <c r="AB1017" s="314" t="str">
        <f t="shared" ca="1" si="63"/>
        <v/>
      </c>
      <c r="AC1017" s="322"/>
      <c r="AD1017" s="315"/>
      <c r="AE1017" s="32" t="str" cm="1">
        <f t="array" ref="AE1017">IFERROR(IF(INDEX(SubsidieTabel!$AD$1:$AG$12,MATCH($F1017,SubsidieTabel!$AD$1:$AD$12,0),IFERROR(MATCH(Methode_Keuze,SubsidieTabel!$AD$1:$AG$1,0),2))&lt;&gt;1=TRUE,"ja",""),"")</f>
        <v/>
      </c>
    </row>
    <row r="1018" spans="1:31" x14ac:dyDescent="0.25">
      <c r="A1018" s="316"/>
      <c r="B1018" s="317" t="str">
        <f>IF(A1018&lt;&gt;"",_xlfn.MAXIFS($B$1:B1017,$A$1:A1017,A1018)+1,"")</f>
        <v/>
      </c>
      <c r="C1018" s="296"/>
      <c r="D1018" s="296"/>
      <c r="E1018" s="296"/>
      <c r="F1018" s="296"/>
      <c r="G1018" s="326"/>
      <c r="H1018" s="324"/>
      <c r="I1018" s="325"/>
      <c r="J1018" s="325"/>
      <c r="K1018" s="318"/>
      <c r="L1018" s="318"/>
      <c r="M1018" s="319" t="str">
        <f>IFERROR(VLOOKUP(H1018,Lijsten!$H$1:$I$100,2,0),"")</f>
        <v/>
      </c>
      <c r="N1018" s="319" t="str">
        <f ca="1">IFERROR(IF(VLOOKUP(F1018,Kostentypen!$A$3:$E$21,3,0)=0,"",IF(OR(F1018="Arbeidskosten",F1018="Vergoeding"),VLOOKUP(G1018,Tb_KostenTypen[],2,0),VLOOKUP(F1018,Kostentypen!$A$3:$E$20,3,0))),"")</f>
        <v/>
      </c>
      <c r="O1018" s="320" t="str" cm="1">
        <f t="array" ref="O1018">_xlfn.IFNA(IF(INDEX(Tb_KostenOptiesDB[],MATCH($F1018,Tb_KostenOptiesDB[KostenOptie],0),IFERROR(MATCH(Methode_Keuze,Tb_KostenOptiesDB[#Headers],0),2))=1,_xlfn.SWITCH($N1018,"Uurtarief",IF(OR(AND(RIGHT($F1018,3)="IKS",VLOOKUP($M1018,DB_Loonkosten,2,0)="Ja"),AND(RIGHT($F1018,3)&lt;&gt;"IKS",VLOOKUP($M1018,DB_Loonkosten,2,0)="Nee")),IFERROR(VLOOKUP($M1018,DB_Loonkosten,24,0),""),0),"Vast tarief",IF(LEFT(F1018,8)="Bijdrage",VLOOKUP($F1018,Tb_KostenTypen[],MATCH(Lijsten!$P$1,Tb_KostenTypen[#Headers],0),0),VLOOKUP($G1018,Lijsten!L:P,MATCH(Lijsten!$P$1,Kop_Tarief_Vast,0),0))),""),"")</f>
        <v/>
      </c>
      <c r="P1018" s="320" t="str" cm="1">
        <f t="array" ref="P1018">_xlfn.IFNA(IF(INDEX(Tb_KostenOptiesDB[],MATCH($F1018,Tb_KostenOptiesDB[KostenOptie],0),IFERROR(MATCH(Methode_Keuze,Tb_KostenOptiesDB[#Headers],0),2))=1,_xlfn.SWITCH($N1018,"Uurtarief",IF(OR(AND(RIGHT($F1018,3)="IKS",VLOOKUP($M1018,DB_Loonkosten,2,0)="Ja"),AND(RIGHT($F1018,3)&lt;&gt;"IKS",VLOOKUP($M1018,DB_Loonkosten,2,0)="Nee")),IFERROR(VLOOKUP($M1018,DB_Loonkosten,25,0),""),0),"Vast tarief",IF(LEFT(F1018,8)="Bijdrage",VLOOKUP($F1018,Tb_KostenTypen[],MATCH(Lijsten!$P$1,Tb_KostenTypen[#Headers],0),0),VLOOKUP($G1018,Lijsten!L:P,MATCH(Lijsten!$P$1,Kop_Tarief_Vast,0),0))),""),"")</f>
        <v/>
      </c>
      <c r="Q1018" s="359"/>
      <c r="R1018" s="359"/>
      <c r="S1018" s="321"/>
      <c r="T1018" s="321"/>
      <c r="U1018" s="373" t="str">
        <f t="shared" si="60"/>
        <v/>
      </c>
      <c r="V1018" s="314" t="str">
        <f t="shared" si="61"/>
        <v/>
      </c>
      <c r="W1018" s="314" t="str" cm="1">
        <f t="array" aca="1" ref="W1018" ca="1">IFERROR(IF(AE1018&lt;&gt;"ja",_xlfn.IFNA(_xlfn.IFS(AND(O1018&lt;&gt;"",F1018&lt;&gt;"",RIGHT($N1018,6)="tarief",F1018="Vergoeding"),SUM(O1018)*FLOOR(SUM(Q1018),0.0001),AND(O1018&lt;&gt;"",F1018&lt;&gt;"",RIGHT($N1018,6)="tarief"),SUM(O1018)*FLOOR(SUM(Q1018),0.01),S1018&gt;0,IF(F1018&lt;&gt;"",FLOOR(SUM(S1018),0.01),"")),""),""),"")</f>
        <v/>
      </c>
      <c r="X1018" s="314" t="str" cm="1">
        <f t="array" aca="1" ref="X1018" ca="1">IFERROR(IF(AE1018&lt;&gt;"ja",_xlfn.IFNA(_xlfn.IFS(AND(P1018&lt;&gt;"",R1018&lt;&gt;"",RIGHT($N1018,6)="tarief",F1018="Vergoeding"),SUM(P1018)*FLOOR(SUM(R1018),0.0001),AND(P1018&lt;&gt;"",R1018&lt;&gt;"",RIGHT($N1018,6)="tarief"),P1018*FLOOR(R1018,0.01),T1018&gt;0,FLOOR(SUM(T1018),0.01)),""),""),"")</f>
        <v/>
      </c>
      <c r="Y1018" s="314" t="str">
        <f t="shared" ca="1" si="62"/>
        <v/>
      </c>
      <c r="Z1018" s="314" t="str" cm="1">
        <f t="array" aca="1" ref="Z1018" ca="1">IFERROR(_xlfn.IFS(OR(F1018="",LEFT(Methode_Keuze,4)="Geen",Methode_Keuze=""),"",AND(W1018&lt;&gt;"",F1018&lt;&gt;"Arbeidskosten"),W1018*VLOOKUP(F1018,Tb_ProjectKosten[],MATCH(Tb_ProjectKosten[[#Headers],[Forfait_Percentage]],Tb_ProjectKosten[#Headers],0),0),AND(F1018="Arbeidskosten",G1018&lt;&gt;""),IFERROR(W1018*VLOOKUP(G1018,Tb_KostenTypen[],3,0)*VLOOKUP(F1018,Tb_ProjectKosten[],MATCH(Tb_ProjectKosten[[#Headers],[Forfait_Percentage]],Tb_ProjectKosten[#Headers],0),0),""),W1018 &lt;=0,0),"")</f>
        <v/>
      </c>
      <c r="AA1018" s="314" t="str" cm="1">
        <f t="array" aca="1" ref="AA1018" ca="1">IFERROR(_xlfn.IFS(OR(F1018="",LEFT(Methode_Keuze,4)="Geen",Methode_Keuze=""),"",AND(X1018&lt;&gt;"",F1018&lt;&gt;"Arbeidskosten"),X1018*VLOOKUP(F1018,Tb_ProjectKosten[],MATCH(Tb_ProjectKosten[[#Headers],[Forfait_Percentage]],Tb_ProjectKosten[#Headers],0),0),AND(F1018="Arbeidskosten",G1018&lt;&gt;""),IFERROR(X1018*VLOOKUP(G1018,Tb_KostenTypen[],3,0)*VLOOKUP(F1018,Tb_ProjectKosten[],MATCH(Tb_ProjectKosten[[#Headers],[Forfait_Percentage]],Tb_ProjectKosten[#Headers],0),0),""),X1018 &lt;=0,0),"")</f>
        <v/>
      </c>
      <c r="AB1018" s="314" t="str">
        <f t="shared" ca="1" si="63"/>
        <v/>
      </c>
      <c r="AC1018" s="322"/>
      <c r="AD1018" s="315"/>
      <c r="AE1018" s="32" t="str" cm="1">
        <f t="array" ref="AE1018">IFERROR(IF(INDEX(SubsidieTabel!$AD$1:$AG$12,MATCH($F1018,SubsidieTabel!$AD$1:$AD$12,0),IFERROR(MATCH(Methode_Keuze,SubsidieTabel!$AD$1:$AG$1,0),2))&lt;&gt;1=TRUE,"ja",""),"")</f>
        <v/>
      </c>
    </row>
    <row r="1019" spans="1:31" x14ac:dyDescent="0.25">
      <c r="A1019" s="316"/>
      <c r="B1019" s="317" t="str">
        <f>IF(A1019&lt;&gt;"",_xlfn.MAXIFS($B$1:B1018,$A$1:A1018,A1019)+1,"")</f>
        <v/>
      </c>
      <c r="C1019" s="296"/>
      <c r="D1019" s="296"/>
      <c r="E1019" s="296"/>
      <c r="F1019" s="296"/>
      <c r="G1019" s="326"/>
      <c r="H1019" s="324"/>
      <c r="I1019" s="325"/>
      <c r="J1019" s="325"/>
      <c r="K1019" s="318"/>
      <c r="L1019" s="318"/>
      <c r="M1019" s="319" t="str">
        <f>IFERROR(VLOOKUP(H1019,Lijsten!$H$1:$I$100,2,0),"")</f>
        <v/>
      </c>
      <c r="N1019" s="319" t="str">
        <f ca="1">IFERROR(IF(VLOOKUP(F1019,Kostentypen!$A$3:$E$21,3,0)=0,"",IF(OR(F1019="Arbeidskosten",F1019="Vergoeding"),VLOOKUP(G1019,Tb_KostenTypen[],2,0),VLOOKUP(F1019,Kostentypen!$A$3:$E$20,3,0))),"")</f>
        <v/>
      </c>
      <c r="O1019" s="320" t="str" cm="1">
        <f t="array" ref="O1019">_xlfn.IFNA(IF(INDEX(Tb_KostenOptiesDB[],MATCH($F1019,Tb_KostenOptiesDB[KostenOptie],0),IFERROR(MATCH(Methode_Keuze,Tb_KostenOptiesDB[#Headers],0),2))=1,_xlfn.SWITCH($N1019,"Uurtarief",IF(OR(AND(RIGHT($F1019,3)="IKS",VLOOKUP($M1019,DB_Loonkosten,2,0)="Ja"),AND(RIGHT($F1019,3)&lt;&gt;"IKS",VLOOKUP($M1019,DB_Loonkosten,2,0)="Nee")),IFERROR(VLOOKUP($M1019,DB_Loonkosten,24,0),""),0),"Vast tarief",IF(LEFT(F1019,8)="Bijdrage",VLOOKUP($F1019,Tb_KostenTypen[],MATCH(Lijsten!$P$1,Tb_KostenTypen[#Headers],0),0),VLOOKUP($G1019,Lijsten!L:P,MATCH(Lijsten!$P$1,Kop_Tarief_Vast,0),0))),""),"")</f>
        <v/>
      </c>
      <c r="P1019" s="320" t="str" cm="1">
        <f t="array" ref="P1019">_xlfn.IFNA(IF(INDEX(Tb_KostenOptiesDB[],MATCH($F1019,Tb_KostenOptiesDB[KostenOptie],0),IFERROR(MATCH(Methode_Keuze,Tb_KostenOptiesDB[#Headers],0),2))=1,_xlfn.SWITCH($N1019,"Uurtarief",IF(OR(AND(RIGHT($F1019,3)="IKS",VLOOKUP($M1019,DB_Loonkosten,2,0)="Ja"),AND(RIGHT($F1019,3)&lt;&gt;"IKS",VLOOKUP($M1019,DB_Loonkosten,2,0)="Nee")),IFERROR(VLOOKUP($M1019,DB_Loonkosten,25,0),""),0),"Vast tarief",IF(LEFT(F1019,8)="Bijdrage",VLOOKUP($F1019,Tb_KostenTypen[],MATCH(Lijsten!$P$1,Tb_KostenTypen[#Headers],0),0),VLOOKUP($G1019,Lijsten!L:P,MATCH(Lijsten!$P$1,Kop_Tarief_Vast,0),0))),""),"")</f>
        <v/>
      </c>
      <c r="Q1019" s="359"/>
      <c r="R1019" s="359"/>
      <c r="S1019" s="321"/>
      <c r="T1019" s="321"/>
      <c r="U1019" s="373" t="str">
        <f t="shared" si="60"/>
        <v/>
      </c>
      <c r="V1019" s="314" t="str">
        <f t="shared" si="61"/>
        <v/>
      </c>
      <c r="W1019" s="314" t="str" cm="1">
        <f t="array" aca="1" ref="W1019" ca="1">IFERROR(IF(AE1019&lt;&gt;"ja",_xlfn.IFNA(_xlfn.IFS(AND(O1019&lt;&gt;"",F1019&lt;&gt;"",RIGHT($N1019,6)="tarief",F1019="Vergoeding"),SUM(O1019)*FLOOR(SUM(Q1019),0.0001),AND(O1019&lt;&gt;"",F1019&lt;&gt;"",RIGHT($N1019,6)="tarief"),SUM(O1019)*FLOOR(SUM(Q1019),0.01),S1019&gt;0,IF(F1019&lt;&gt;"",FLOOR(SUM(S1019),0.01),"")),""),""),"")</f>
        <v/>
      </c>
      <c r="X1019" s="314" t="str" cm="1">
        <f t="array" aca="1" ref="X1019" ca="1">IFERROR(IF(AE1019&lt;&gt;"ja",_xlfn.IFNA(_xlfn.IFS(AND(P1019&lt;&gt;"",R1019&lt;&gt;"",RIGHT($N1019,6)="tarief",F1019="Vergoeding"),SUM(P1019)*FLOOR(SUM(R1019),0.0001),AND(P1019&lt;&gt;"",R1019&lt;&gt;"",RIGHT($N1019,6)="tarief"),P1019*FLOOR(R1019,0.01),T1019&gt;0,FLOOR(SUM(T1019),0.01)),""),""),"")</f>
        <v/>
      </c>
      <c r="Y1019" s="314" t="str">
        <f t="shared" ca="1" si="62"/>
        <v/>
      </c>
      <c r="Z1019" s="314" t="str" cm="1">
        <f t="array" aca="1" ref="Z1019" ca="1">IFERROR(_xlfn.IFS(OR(F1019="",LEFT(Methode_Keuze,4)="Geen",Methode_Keuze=""),"",AND(W1019&lt;&gt;"",F1019&lt;&gt;"Arbeidskosten"),W1019*VLOOKUP(F1019,Tb_ProjectKosten[],MATCH(Tb_ProjectKosten[[#Headers],[Forfait_Percentage]],Tb_ProjectKosten[#Headers],0),0),AND(F1019="Arbeidskosten",G1019&lt;&gt;""),IFERROR(W1019*VLOOKUP(G1019,Tb_KostenTypen[],3,0)*VLOOKUP(F1019,Tb_ProjectKosten[],MATCH(Tb_ProjectKosten[[#Headers],[Forfait_Percentage]],Tb_ProjectKosten[#Headers],0),0),""),W1019 &lt;=0,0),"")</f>
        <v/>
      </c>
      <c r="AA1019" s="314" t="str" cm="1">
        <f t="array" aca="1" ref="AA1019" ca="1">IFERROR(_xlfn.IFS(OR(F1019="",LEFT(Methode_Keuze,4)="Geen",Methode_Keuze=""),"",AND(X1019&lt;&gt;"",F1019&lt;&gt;"Arbeidskosten"),X1019*VLOOKUP(F1019,Tb_ProjectKosten[],MATCH(Tb_ProjectKosten[[#Headers],[Forfait_Percentage]],Tb_ProjectKosten[#Headers],0),0),AND(F1019="Arbeidskosten",G1019&lt;&gt;""),IFERROR(X1019*VLOOKUP(G1019,Tb_KostenTypen[],3,0)*VLOOKUP(F1019,Tb_ProjectKosten[],MATCH(Tb_ProjectKosten[[#Headers],[Forfait_Percentage]],Tb_ProjectKosten[#Headers],0),0),""),X1019 &lt;=0,0),"")</f>
        <v/>
      </c>
      <c r="AB1019" s="314" t="str">
        <f t="shared" ca="1" si="63"/>
        <v/>
      </c>
      <c r="AC1019" s="322"/>
      <c r="AD1019" s="315"/>
      <c r="AE1019" s="32" t="str" cm="1">
        <f t="array" ref="AE1019">IFERROR(IF(INDEX(SubsidieTabel!$AD$1:$AG$12,MATCH($F1019,SubsidieTabel!$AD$1:$AD$12,0),IFERROR(MATCH(Methode_Keuze,SubsidieTabel!$AD$1:$AG$1,0),2))&lt;&gt;1=TRUE,"ja",""),"")</f>
        <v/>
      </c>
    </row>
    <row r="1020" spans="1:31" x14ac:dyDescent="0.25">
      <c r="A1020" s="316"/>
      <c r="B1020" s="317" t="str">
        <f>IF(A1020&lt;&gt;"",_xlfn.MAXIFS($B$1:B1019,$A$1:A1019,A1020)+1,"")</f>
        <v/>
      </c>
      <c r="C1020" s="296"/>
      <c r="D1020" s="296"/>
      <c r="E1020" s="296"/>
      <c r="F1020" s="296"/>
      <c r="G1020" s="326"/>
      <c r="H1020" s="324"/>
      <c r="I1020" s="325"/>
      <c r="J1020" s="325"/>
      <c r="K1020" s="318"/>
      <c r="L1020" s="318"/>
      <c r="M1020" s="319" t="str">
        <f>IFERROR(VLOOKUP(H1020,Lijsten!$H$1:$I$100,2,0),"")</f>
        <v/>
      </c>
      <c r="N1020" s="319" t="str">
        <f ca="1">IFERROR(IF(VLOOKUP(F1020,Kostentypen!$A$3:$E$21,3,0)=0,"",IF(OR(F1020="Arbeidskosten",F1020="Vergoeding"),VLOOKUP(G1020,Tb_KostenTypen[],2,0),VLOOKUP(F1020,Kostentypen!$A$3:$E$20,3,0))),"")</f>
        <v/>
      </c>
      <c r="O1020" s="320" t="str" cm="1">
        <f t="array" ref="O1020">_xlfn.IFNA(IF(INDEX(Tb_KostenOptiesDB[],MATCH($F1020,Tb_KostenOptiesDB[KostenOptie],0),IFERROR(MATCH(Methode_Keuze,Tb_KostenOptiesDB[#Headers],0),2))=1,_xlfn.SWITCH($N1020,"Uurtarief",IF(OR(AND(RIGHT($F1020,3)="IKS",VLOOKUP($M1020,DB_Loonkosten,2,0)="Ja"),AND(RIGHT($F1020,3)&lt;&gt;"IKS",VLOOKUP($M1020,DB_Loonkosten,2,0)="Nee")),IFERROR(VLOOKUP($M1020,DB_Loonkosten,24,0),""),0),"Vast tarief",IF(LEFT(F1020,8)="Bijdrage",VLOOKUP($F1020,Tb_KostenTypen[],MATCH(Lijsten!$P$1,Tb_KostenTypen[#Headers],0),0),VLOOKUP($G1020,Lijsten!L:P,MATCH(Lijsten!$P$1,Kop_Tarief_Vast,0),0))),""),"")</f>
        <v/>
      </c>
      <c r="P1020" s="320" t="str" cm="1">
        <f t="array" ref="P1020">_xlfn.IFNA(IF(INDEX(Tb_KostenOptiesDB[],MATCH($F1020,Tb_KostenOptiesDB[KostenOptie],0),IFERROR(MATCH(Methode_Keuze,Tb_KostenOptiesDB[#Headers],0),2))=1,_xlfn.SWITCH($N1020,"Uurtarief",IF(OR(AND(RIGHT($F1020,3)="IKS",VLOOKUP($M1020,DB_Loonkosten,2,0)="Ja"),AND(RIGHT($F1020,3)&lt;&gt;"IKS",VLOOKUP($M1020,DB_Loonkosten,2,0)="Nee")),IFERROR(VLOOKUP($M1020,DB_Loonkosten,25,0),""),0),"Vast tarief",IF(LEFT(F1020,8)="Bijdrage",VLOOKUP($F1020,Tb_KostenTypen[],MATCH(Lijsten!$P$1,Tb_KostenTypen[#Headers],0),0),VLOOKUP($G1020,Lijsten!L:P,MATCH(Lijsten!$P$1,Kop_Tarief_Vast,0),0))),""),"")</f>
        <v/>
      </c>
      <c r="Q1020" s="359"/>
      <c r="R1020" s="359"/>
      <c r="S1020" s="321"/>
      <c r="T1020" s="321"/>
      <c r="U1020" s="373" t="str">
        <f t="shared" si="60"/>
        <v/>
      </c>
      <c r="V1020" s="314" t="str">
        <f t="shared" si="61"/>
        <v/>
      </c>
      <c r="W1020" s="314" t="str" cm="1">
        <f t="array" aca="1" ref="W1020" ca="1">IFERROR(IF(AE1020&lt;&gt;"ja",_xlfn.IFNA(_xlfn.IFS(AND(O1020&lt;&gt;"",F1020&lt;&gt;"",RIGHT($N1020,6)="tarief",F1020="Vergoeding"),SUM(O1020)*FLOOR(SUM(Q1020),0.0001),AND(O1020&lt;&gt;"",F1020&lt;&gt;"",RIGHT($N1020,6)="tarief"),SUM(O1020)*FLOOR(SUM(Q1020),0.01),S1020&gt;0,IF(F1020&lt;&gt;"",FLOOR(SUM(S1020),0.01),"")),""),""),"")</f>
        <v/>
      </c>
      <c r="X1020" s="314" t="str" cm="1">
        <f t="array" aca="1" ref="X1020" ca="1">IFERROR(IF(AE1020&lt;&gt;"ja",_xlfn.IFNA(_xlfn.IFS(AND(P1020&lt;&gt;"",R1020&lt;&gt;"",RIGHT($N1020,6)="tarief",F1020="Vergoeding"),SUM(P1020)*FLOOR(SUM(R1020),0.0001),AND(P1020&lt;&gt;"",R1020&lt;&gt;"",RIGHT($N1020,6)="tarief"),P1020*FLOOR(R1020,0.01),T1020&gt;0,FLOOR(SUM(T1020),0.01)),""),""),"")</f>
        <v/>
      </c>
      <c r="Y1020" s="314" t="str">
        <f t="shared" ca="1" si="62"/>
        <v/>
      </c>
      <c r="Z1020" s="314" t="str" cm="1">
        <f t="array" aca="1" ref="Z1020" ca="1">IFERROR(_xlfn.IFS(OR(F1020="",LEFT(Methode_Keuze,4)="Geen",Methode_Keuze=""),"",AND(W1020&lt;&gt;"",F1020&lt;&gt;"Arbeidskosten"),W1020*VLOOKUP(F1020,Tb_ProjectKosten[],MATCH(Tb_ProjectKosten[[#Headers],[Forfait_Percentage]],Tb_ProjectKosten[#Headers],0),0),AND(F1020="Arbeidskosten",G1020&lt;&gt;""),IFERROR(W1020*VLOOKUP(G1020,Tb_KostenTypen[],3,0)*VLOOKUP(F1020,Tb_ProjectKosten[],MATCH(Tb_ProjectKosten[[#Headers],[Forfait_Percentage]],Tb_ProjectKosten[#Headers],0),0),""),W1020 &lt;=0,0),"")</f>
        <v/>
      </c>
      <c r="AA1020" s="314" t="str" cm="1">
        <f t="array" aca="1" ref="AA1020" ca="1">IFERROR(_xlfn.IFS(OR(F1020="",LEFT(Methode_Keuze,4)="Geen",Methode_Keuze=""),"",AND(X1020&lt;&gt;"",F1020&lt;&gt;"Arbeidskosten"),X1020*VLOOKUP(F1020,Tb_ProjectKosten[],MATCH(Tb_ProjectKosten[[#Headers],[Forfait_Percentage]],Tb_ProjectKosten[#Headers],0),0),AND(F1020="Arbeidskosten",G1020&lt;&gt;""),IFERROR(X1020*VLOOKUP(G1020,Tb_KostenTypen[],3,0)*VLOOKUP(F1020,Tb_ProjectKosten[],MATCH(Tb_ProjectKosten[[#Headers],[Forfait_Percentage]],Tb_ProjectKosten[#Headers],0),0),""),X1020 &lt;=0,0),"")</f>
        <v/>
      </c>
      <c r="AB1020" s="314" t="str">
        <f t="shared" ca="1" si="63"/>
        <v/>
      </c>
      <c r="AC1020" s="322"/>
      <c r="AD1020" s="315"/>
      <c r="AE1020" s="32" t="str" cm="1">
        <f t="array" ref="AE1020">IFERROR(IF(INDEX(SubsidieTabel!$AD$1:$AG$12,MATCH($F1020,SubsidieTabel!$AD$1:$AD$12,0),IFERROR(MATCH(Methode_Keuze,SubsidieTabel!$AD$1:$AG$1,0),2))&lt;&gt;1=TRUE,"ja",""),"")</f>
        <v/>
      </c>
    </row>
    <row r="1021" spans="1:31" x14ac:dyDescent="0.25">
      <c r="A1021" s="316"/>
      <c r="B1021" s="317" t="str">
        <f>IF(A1021&lt;&gt;"",_xlfn.MAXIFS($B$1:B1020,$A$1:A1020,A1021)+1,"")</f>
        <v/>
      </c>
      <c r="C1021" s="296"/>
      <c r="D1021" s="296"/>
      <c r="E1021" s="296"/>
      <c r="F1021" s="296"/>
      <c r="G1021" s="326"/>
      <c r="H1021" s="324"/>
      <c r="I1021" s="325"/>
      <c r="J1021" s="325"/>
      <c r="K1021" s="318"/>
      <c r="L1021" s="318"/>
      <c r="M1021" s="319" t="str">
        <f>IFERROR(VLOOKUP(H1021,Lijsten!$H$1:$I$100,2,0),"")</f>
        <v/>
      </c>
      <c r="N1021" s="319" t="str">
        <f ca="1">IFERROR(IF(VLOOKUP(F1021,Kostentypen!$A$3:$E$21,3,0)=0,"",IF(OR(F1021="Arbeidskosten",F1021="Vergoeding"),VLOOKUP(G1021,Tb_KostenTypen[],2,0),VLOOKUP(F1021,Kostentypen!$A$3:$E$20,3,0))),"")</f>
        <v/>
      </c>
      <c r="O1021" s="320" t="str" cm="1">
        <f t="array" ref="O1021">_xlfn.IFNA(IF(INDEX(Tb_KostenOptiesDB[],MATCH($F1021,Tb_KostenOptiesDB[KostenOptie],0),IFERROR(MATCH(Methode_Keuze,Tb_KostenOptiesDB[#Headers],0),2))=1,_xlfn.SWITCH($N1021,"Uurtarief",IF(OR(AND(RIGHT($F1021,3)="IKS",VLOOKUP($M1021,DB_Loonkosten,2,0)="Ja"),AND(RIGHT($F1021,3)&lt;&gt;"IKS",VLOOKUP($M1021,DB_Loonkosten,2,0)="Nee")),IFERROR(VLOOKUP($M1021,DB_Loonkosten,24,0),""),0),"Vast tarief",IF(LEFT(F1021,8)="Bijdrage",VLOOKUP($F1021,Tb_KostenTypen[],MATCH(Lijsten!$P$1,Tb_KostenTypen[#Headers],0),0),VLOOKUP($G1021,Lijsten!L:P,MATCH(Lijsten!$P$1,Kop_Tarief_Vast,0),0))),""),"")</f>
        <v/>
      </c>
      <c r="P1021" s="320" t="str" cm="1">
        <f t="array" ref="P1021">_xlfn.IFNA(IF(INDEX(Tb_KostenOptiesDB[],MATCH($F1021,Tb_KostenOptiesDB[KostenOptie],0),IFERROR(MATCH(Methode_Keuze,Tb_KostenOptiesDB[#Headers],0),2))=1,_xlfn.SWITCH($N1021,"Uurtarief",IF(OR(AND(RIGHT($F1021,3)="IKS",VLOOKUP($M1021,DB_Loonkosten,2,0)="Ja"),AND(RIGHT($F1021,3)&lt;&gt;"IKS",VLOOKUP($M1021,DB_Loonkosten,2,0)="Nee")),IFERROR(VLOOKUP($M1021,DB_Loonkosten,25,0),""),0),"Vast tarief",IF(LEFT(F1021,8)="Bijdrage",VLOOKUP($F1021,Tb_KostenTypen[],MATCH(Lijsten!$P$1,Tb_KostenTypen[#Headers],0),0),VLOOKUP($G1021,Lijsten!L:P,MATCH(Lijsten!$P$1,Kop_Tarief_Vast,0),0))),""),"")</f>
        <v/>
      </c>
      <c r="Q1021" s="359"/>
      <c r="R1021" s="359"/>
      <c r="S1021" s="321"/>
      <c r="T1021" s="321"/>
      <c r="U1021" s="373" t="str">
        <f t="shared" si="60"/>
        <v/>
      </c>
      <c r="V1021" s="314" t="str">
        <f t="shared" si="61"/>
        <v/>
      </c>
      <c r="W1021" s="314" t="str" cm="1">
        <f t="array" aca="1" ref="W1021" ca="1">IFERROR(IF(AE1021&lt;&gt;"ja",_xlfn.IFNA(_xlfn.IFS(AND(O1021&lt;&gt;"",F1021&lt;&gt;"",RIGHT($N1021,6)="tarief",F1021="Vergoeding"),SUM(O1021)*FLOOR(SUM(Q1021),0.0001),AND(O1021&lt;&gt;"",F1021&lt;&gt;"",RIGHT($N1021,6)="tarief"),SUM(O1021)*FLOOR(SUM(Q1021),0.01),S1021&gt;0,IF(F1021&lt;&gt;"",FLOOR(SUM(S1021),0.01),"")),""),""),"")</f>
        <v/>
      </c>
      <c r="X1021" s="314" t="str" cm="1">
        <f t="array" aca="1" ref="X1021" ca="1">IFERROR(IF(AE1021&lt;&gt;"ja",_xlfn.IFNA(_xlfn.IFS(AND(P1021&lt;&gt;"",R1021&lt;&gt;"",RIGHT($N1021,6)="tarief",F1021="Vergoeding"),SUM(P1021)*FLOOR(SUM(R1021),0.0001),AND(P1021&lt;&gt;"",R1021&lt;&gt;"",RIGHT($N1021,6)="tarief"),P1021*FLOOR(R1021,0.01),T1021&gt;0,FLOOR(SUM(T1021),0.01)),""),""),"")</f>
        <v/>
      </c>
      <c r="Y1021" s="314" t="str">
        <f t="shared" ca="1" si="62"/>
        <v/>
      </c>
      <c r="Z1021" s="314" t="str" cm="1">
        <f t="array" aca="1" ref="Z1021" ca="1">IFERROR(_xlfn.IFS(OR(F1021="",LEFT(Methode_Keuze,4)="Geen",Methode_Keuze=""),"",AND(W1021&lt;&gt;"",F1021&lt;&gt;"Arbeidskosten"),W1021*VLOOKUP(F1021,Tb_ProjectKosten[],MATCH(Tb_ProjectKosten[[#Headers],[Forfait_Percentage]],Tb_ProjectKosten[#Headers],0),0),AND(F1021="Arbeidskosten",G1021&lt;&gt;""),IFERROR(W1021*VLOOKUP(G1021,Tb_KostenTypen[],3,0)*VLOOKUP(F1021,Tb_ProjectKosten[],MATCH(Tb_ProjectKosten[[#Headers],[Forfait_Percentage]],Tb_ProjectKosten[#Headers],0),0),""),W1021 &lt;=0,0),"")</f>
        <v/>
      </c>
      <c r="AA1021" s="314" t="str" cm="1">
        <f t="array" aca="1" ref="AA1021" ca="1">IFERROR(_xlfn.IFS(OR(F1021="",LEFT(Methode_Keuze,4)="Geen",Methode_Keuze=""),"",AND(X1021&lt;&gt;"",F1021&lt;&gt;"Arbeidskosten"),X1021*VLOOKUP(F1021,Tb_ProjectKosten[],MATCH(Tb_ProjectKosten[[#Headers],[Forfait_Percentage]],Tb_ProjectKosten[#Headers],0),0),AND(F1021="Arbeidskosten",G1021&lt;&gt;""),IFERROR(X1021*VLOOKUP(G1021,Tb_KostenTypen[],3,0)*VLOOKUP(F1021,Tb_ProjectKosten[],MATCH(Tb_ProjectKosten[[#Headers],[Forfait_Percentage]],Tb_ProjectKosten[#Headers],0),0),""),X1021 &lt;=0,0),"")</f>
        <v/>
      </c>
      <c r="AB1021" s="314" t="str">
        <f t="shared" ca="1" si="63"/>
        <v/>
      </c>
      <c r="AC1021" s="322"/>
      <c r="AD1021" s="315"/>
      <c r="AE1021" s="32" t="str" cm="1">
        <f t="array" ref="AE1021">IFERROR(IF(INDEX(SubsidieTabel!$AD$1:$AG$12,MATCH($F1021,SubsidieTabel!$AD$1:$AD$12,0),IFERROR(MATCH(Methode_Keuze,SubsidieTabel!$AD$1:$AG$1,0),2))&lt;&gt;1=TRUE,"ja",""),"")</f>
        <v/>
      </c>
    </row>
    <row r="1022" spans="1:31" x14ac:dyDescent="0.25">
      <c r="A1022" s="316"/>
      <c r="B1022" s="317" t="str">
        <f>IF(A1022&lt;&gt;"",_xlfn.MAXIFS($B$1:B1021,$A$1:A1021,A1022)+1,"")</f>
        <v/>
      </c>
      <c r="C1022" s="296"/>
      <c r="D1022" s="296"/>
      <c r="E1022" s="296"/>
      <c r="F1022" s="296"/>
      <c r="G1022" s="326"/>
      <c r="H1022" s="324"/>
      <c r="I1022" s="325"/>
      <c r="J1022" s="325"/>
      <c r="K1022" s="318"/>
      <c r="L1022" s="318"/>
      <c r="M1022" s="319" t="str">
        <f>IFERROR(VLOOKUP(H1022,Lijsten!$H$1:$I$100,2,0),"")</f>
        <v/>
      </c>
      <c r="N1022" s="319" t="str">
        <f ca="1">IFERROR(IF(VLOOKUP(F1022,Kostentypen!$A$3:$E$21,3,0)=0,"",IF(OR(F1022="Arbeidskosten",F1022="Vergoeding"),VLOOKUP(G1022,Tb_KostenTypen[],2,0),VLOOKUP(F1022,Kostentypen!$A$3:$E$20,3,0))),"")</f>
        <v/>
      </c>
      <c r="O1022" s="320" t="str" cm="1">
        <f t="array" ref="O1022">_xlfn.IFNA(IF(INDEX(Tb_KostenOptiesDB[],MATCH($F1022,Tb_KostenOptiesDB[KostenOptie],0),IFERROR(MATCH(Methode_Keuze,Tb_KostenOptiesDB[#Headers],0),2))=1,_xlfn.SWITCH($N1022,"Uurtarief",IF(OR(AND(RIGHT($F1022,3)="IKS",VLOOKUP($M1022,DB_Loonkosten,2,0)="Ja"),AND(RIGHT($F1022,3)&lt;&gt;"IKS",VLOOKUP($M1022,DB_Loonkosten,2,0)="Nee")),IFERROR(VLOOKUP($M1022,DB_Loonkosten,24,0),""),0),"Vast tarief",IF(LEFT(F1022,8)="Bijdrage",VLOOKUP($F1022,Tb_KostenTypen[],MATCH(Lijsten!$P$1,Tb_KostenTypen[#Headers],0),0),VLOOKUP($G1022,Lijsten!L:P,MATCH(Lijsten!$P$1,Kop_Tarief_Vast,0),0))),""),"")</f>
        <v/>
      </c>
      <c r="P1022" s="320" t="str" cm="1">
        <f t="array" ref="P1022">_xlfn.IFNA(IF(INDEX(Tb_KostenOptiesDB[],MATCH($F1022,Tb_KostenOptiesDB[KostenOptie],0),IFERROR(MATCH(Methode_Keuze,Tb_KostenOptiesDB[#Headers],0),2))=1,_xlfn.SWITCH($N1022,"Uurtarief",IF(OR(AND(RIGHT($F1022,3)="IKS",VLOOKUP($M1022,DB_Loonkosten,2,0)="Ja"),AND(RIGHT($F1022,3)&lt;&gt;"IKS",VLOOKUP($M1022,DB_Loonkosten,2,0)="Nee")),IFERROR(VLOOKUP($M1022,DB_Loonkosten,25,0),""),0),"Vast tarief",IF(LEFT(F1022,8)="Bijdrage",VLOOKUP($F1022,Tb_KostenTypen[],MATCH(Lijsten!$P$1,Tb_KostenTypen[#Headers],0),0),VLOOKUP($G1022,Lijsten!L:P,MATCH(Lijsten!$P$1,Kop_Tarief_Vast,0),0))),""),"")</f>
        <v/>
      </c>
      <c r="Q1022" s="359"/>
      <c r="R1022" s="359"/>
      <c r="S1022" s="321"/>
      <c r="T1022" s="321"/>
      <c r="U1022" s="373" t="str">
        <f t="shared" si="60"/>
        <v/>
      </c>
      <c r="V1022" s="314" t="str">
        <f t="shared" si="61"/>
        <v/>
      </c>
      <c r="W1022" s="314" t="str" cm="1">
        <f t="array" aca="1" ref="W1022" ca="1">IFERROR(IF(AE1022&lt;&gt;"ja",_xlfn.IFNA(_xlfn.IFS(AND(O1022&lt;&gt;"",F1022&lt;&gt;"",RIGHT($N1022,6)="tarief",F1022="Vergoeding"),SUM(O1022)*FLOOR(SUM(Q1022),0.0001),AND(O1022&lt;&gt;"",F1022&lt;&gt;"",RIGHT($N1022,6)="tarief"),SUM(O1022)*FLOOR(SUM(Q1022),0.01),S1022&gt;0,IF(F1022&lt;&gt;"",FLOOR(SUM(S1022),0.01),"")),""),""),"")</f>
        <v/>
      </c>
      <c r="X1022" s="314" t="str" cm="1">
        <f t="array" aca="1" ref="X1022" ca="1">IFERROR(IF(AE1022&lt;&gt;"ja",_xlfn.IFNA(_xlfn.IFS(AND(P1022&lt;&gt;"",R1022&lt;&gt;"",RIGHT($N1022,6)="tarief",F1022="Vergoeding"),SUM(P1022)*FLOOR(SUM(R1022),0.0001),AND(P1022&lt;&gt;"",R1022&lt;&gt;"",RIGHT($N1022,6)="tarief"),P1022*FLOOR(R1022,0.01),T1022&gt;0,FLOOR(SUM(T1022),0.01)),""),""),"")</f>
        <v/>
      </c>
      <c r="Y1022" s="314" t="str">
        <f t="shared" ca="1" si="62"/>
        <v/>
      </c>
      <c r="Z1022" s="314" t="str" cm="1">
        <f t="array" aca="1" ref="Z1022" ca="1">IFERROR(_xlfn.IFS(OR(F1022="",LEFT(Methode_Keuze,4)="Geen",Methode_Keuze=""),"",AND(W1022&lt;&gt;"",F1022&lt;&gt;"Arbeidskosten"),W1022*VLOOKUP(F1022,Tb_ProjectKosten[],MATCH(Tb_ProjectKosten[[#Headers],[Forfait_Percentage]],Tb_ProjectKosten[#Headers],0),0),AND(F1022="Arbeidskosten",G1022&lt;&gt;""),IFERROR(W1022*VLOOKUP(G1022,Tb_KostenTypen[],3,0)*VLOOKUP(F1022,Tb_ProjectKosten[],MATCH(Tb_ProjectKosten[[#Headers],[Forfait_Percentage]],Tb_ProjectKosten[#Headers],0),0),""),W1022 &lt;=0,0),"")</f>
        <v/>
      </c>
      <c r="AA1022" s="314" t="str" cm="1">
        <f t="array" aca="1" ref="AA1022" ca="1">IFERROR(_xlfn.IFS(OR(F1022="",LEFT(Methode_Keuze,4)="Geen",Methode_Keuze=""),"",AND(X1022&lt;&gt;"",F1022&lt;&gt;"Arbeidskosten"),X1022*VLOOKUP(F1022,Tb_ProjectKosten[],MATCH(Tb_ProjectKosten[[#Headers],[Forfait_Percentage]],Tb_ProjectKosten[#Headers],0),0),AND(F1022="Arbeidskosten",G1022&lt;&gt;""),IFERROR(X1022*VLOOKUP(G1022,Tb_KostenTypen[],3,0)*VLOOKUP(F1022,Tb_ProjectKosten[],MATCH(Tb_ProjectKosten[[#Headers],[Forfait_Percentage]],Tb_ProjectKosten[#Headers],0),0),""),X1022 &lt;=0,0),"")</f>
        <v/>
      </c>
      <c r="AB1022" s="314" t="str">
        <f t="shared" ca="1" si="63"/>
        <v/>
      </c>
      <c r="AC1022" s="322"/>
      <c r="AD1022" s="315"/>
      <c r="AE1022" s="32" t="str" cm="1">
        <f t="array" ref="AE1022">IFERROR(IF(INDEX(SubsidieTabel!$AD$1:$AG$12,MATCH($F1022,SubsidieTabel!$AD$1:$AD$12,0),IFERROR(MATCH(Methode_Keuze,SubsidieTabel!$AD$1:$AG$1,0),2))&lt;&gt;1=TRUE,"ja",""),"")</f>
        <v/>
      </c>
    </row>
    <row r="1023" spans="1:31" x14ac:dyDescent="0.25">
      <c r="A1023" s="316"/>
      <c r="B1023" s="317" t="str">
        <f>IF(A1023&lt;&gt;"",_xlfn.MAXIFS($B$1:B1022,$A$1:A1022,A1023)+1,"")</f>
        <v/>
      </c>
      <c r="C1023" s="296"/>
      <c r="D1023" s="296"/>
      <c r="E1023" s="296"/>
      <c r="F1023" s="296"/>
      <c r="G1023" s="326"/>
      <c r="H1023" s="324"/>
      <c r="I1023" s="325"/>
      <c r="J1023" s="325"/>
      <c r="K1023" s="318"/>
      <c r="L1023" s="318"/>
      <c r="M1023" s="319" t="str">
        <f>IFERROR(VLOOKUP(H1023,Lijsten!$H$1:$I$100,2,0),"")</f>
        <v/>
      </c>
      <c r="N1023" s="319" t="str">
        <f ca="1">IFERROR(IF(VLOOKUP(F1023,Kostentypen!$A$3:$E$21,3,0)=0,"",IF(OR(F1023="Arbeidskosten",F1023="Vergoeding"),VLOOKUP(G1023,Tb_KostenTypen[],2,0),VLOOKUP(F1023,Kostentypen!$A$3:$E$20,3,0))),"")</f>
        <v/>
      </c>
      <c r="O1023" s="320" t="str" cm="1">
        <f t="array" ref="O1023">_xlfn.IFNA(IF(INDEX(Tb_KostenOptiesDB[],MATCH($F1023,Tb_KostenOptiesDB[KostenOptie],0),IFERROR(MATCH(Methode_Keuze,Tb_KostenOptiesDB[#Headers],0),2))=1,_xlfn.SWITCH($N1023,"Uurtarief",IF(OR(AND(RIGHT($F1023,3)="IKS",VLOOKUP($M1023,DB_Loonkosten,2,0)="Ja"),AND(RIGHT($F1023,3)&lt;&gt;"IKS",VLOOKUP($M1023,DB_Loonkosten,2,0)="Nee")),IFERROR(VLOOKUP($M1023,DB_Loonkosten,24,0),""),0),"Vast tarief",IF(LEFT(F1023,8)="Bijdrage",VLOOKUP($F1023,Tb_KostenTypen[],MATCH(Lijsten!$P$1,Tb_KostenTypen[#Headers],0),0),VLOOKUP($G1023,Lijsten!L:P,MATCH(Lijsten!$P$1,Kop_Tarief_Vast,0),0))),""),"")</f>
        <v/>
      </c>
      <c r="P1023" s="320" t="str" cm="1">
        <f t="array" ref="P1023">_xlfn.IFNA(IF(INDEX(Tb_KostenOptiesDB[],MATCH($F1023,Tb_KostenOptiesDB[KostenOptie],0),IFERROR(MATCH(Methode_Keuze,Tb_KostenOptiesDB[#Headers],0),2))=1,_xlfn.SWITCH($N1023,"Uurtarief",IF(OR(AND(RIGHT($F1023,3)="IKS",VLOOKUP($M1023,DB_Loonkosten,2,0)="Ja"),AND(RIGHT($F1023,3)&lt;&gt;"IKS",VLOOKUP($M1023,DB_Loonkosten,2,0)="Nee")),IFERROR(VLOOKUP($M1023,DB_Loonkosten,25,0),""),0),"Vast tarief",IF(LEFT(F1023,8)="Bijdrage",VLOOKUP($F1023,Tb_KostenTypen[],MATCH(Lijsten!$P$1,Tb_KostenTypen[#Headers],0),0),VLOOKUP($G1023,Lijsten!L:P,MATCH(Lijsten!$P$1,Kop_Tarief_Vast,0),0))),""),"")</f>
        <v/>
      </c>
      <c r="Q1023" s="359"/>
      <c r="R1023" s="359"/>
      <c r="S1023" s="321"/>
      <c r="T1023" s="321"/>
      <c r="U1023" s="373" t="str">
        <f t="shared" si="60"/>
        <v/>
      </c>
      <c r="V1023" s="314" t="str">
        <f t="shared" si="61"/>
        <v/>
      </c>
      <c r="W1023" s="314" t="str" cm="1">
        <f t="array" aca="1" ref="W1023" ca="1">IFERROR(IF(AE1023&lt;&gt;"ja",_xlfn.IFNA(_xlfn.IFS(AND(O1023&lt;&gt;"",F1023&lt;&gt;"",RIGHT($N1023,6)="tarief",F1023="Vergoeding"),SUM(O1023)*FLOOR(SUM(Q1023),0.0001),AND(O1023&lt;&gt;"",F1023&lt;&gt;"",RIGHT($N1023,6)="tarief"),SUM(O1023)*FLOOR(SUM(Q1023),0.01),S1023&gt;0,IF(F1023&lt;&gt;"",FLOOR(SUM(S1023),0.01),"")),""),""),"")</f>
        <v/>
      </c>
      <c r="X1023" s="314" t="str" cm="1">
        <f t="array" aca="1" ref="X1023" ca="1">IFERROR(IF(AE1023&lt;&gt;"ja",_xlfn.IFNA(_xlfn.IFS(AND(P1023&lt;&gt;"",R1023&lt;&gt;"",RIGHT($N1023,6)="tarief",F1023="Vergoeding"),SUM(P1023)*FLOOR(SUM(R1023),0.0001),AND(P1023&lt;&gt;"",R1023&lt;&gt;"",RIGHT($N1023,6)="tarief"),P1023*FLOOR(R1023,0.01),T1023&gt;0,FLOOR(SUM(T1023),0.01)),""),""),"")</f>
        <v/>
      </c>
      <c r="Y1023" s="314" t="str">
        <f t="shared" ca="1" si="62"/>
        <v/>
      </c>
      <c r="Z1023" s="314" t="str" cm="1">
        <f t="array" aca="1" ref="Z1023" ca="1">IFERROR(_xlfn.IFS(OR(F1023="",LEFT(Methode_Keuze,4)="Geen",Methode_Keuze=""),"",AND(W1023&lt;&gt;"",F1023&lt;&gt;"Arbeidskosten"),W1023*VLOOKUP(F1023,Tb_ProjectKosten[],MATCH(Tb_ProjectKosten[[#Headers],[Forfait_Percentage]],Tb_ProjectKosten[#Headers],0),0),AND(F1023="Arbeidskosten",G1023&lt;&gt;""),IFERROR(W1023*VLOOKUP(G1023,Tb_KostenTypen[],3,0)*VLOOKUP(F1023,Tb_ProjectKosten[],MATCH(Tb_ProjectKosten[[#Headers],[Forfait_Percentage]],Tb_ProjectKosten[#Headers],0),0),""),W1023 &lt;=0,0),"")</f>
        <v/>
      </c>
      <c r="AA1023" s="314" t="str" cm="1">
        <f t="array" aca="1" ref="AA1023" ca="1">IFERROR(_xlfn.IFS(OR(F1023="",LEFT(Methode_Keuze,4)="Geen",Methode_Keuze=""),"",AND(X1023&lt;&gt;"",F1023&lt;&gt;"Arbeidskosten"),X1023*VLOOKUP(F1023,Tb_ProjectKosten[],MATCH(Tb_ProjectKosten[[#Headers],[Forfait_Percentage]],Tb_ProjectKosten[#Headers],0),0),AND(F1023="Arbeidskosten",G1023&lt;&gt;""),IFERROR(X1023*VLOOKUP(G1023,Tb_KostenTypen[],3,0)*VLOOKUP(F1023,Tb_ProjectKosten[],MATCH(Tb_ProjectKosten[[#Headers],[Forfait_Percentage]],Tb_ProjectKosten[#Headers],0),0),""),X1023 &lt;=0,0),"")</f>
        <v/>
      </c>
      <c r="AB1023" s="314" t="str">
        <f t="shared" ca="1" si="63"/>
        <v/>
      </c>
      <c r="AC1023" s="322"/>
      <c r="AD1023" s="315"/>
      <c r="AE1023" s="32" t="str" cm="1">
        <f t="array" ref="AE1023">IFERROR(IF(INDEX(SubsidieTabel!$AD$1:$AG$12,MATCH($F1023,SubsidieTabel!$AD$1:$AD$12,0),IFERROR(MATCH(Methode_Keuze,SubsidieTabel!$AD$1:$AG$1,0),2))&lt;&gt;1=TRUE,"ja",""),"")</f>
        <v/>
      </c>
    </row>
    <row r="1024" spans="1:31" x14ac:dyDescent="0.25">
      <c r="A1024" s="316"/>
      <c r="B1024" s="317" t="str">
        <f>IF(A1024&lt;&gt;"",_xlfn.MAXIFS($B$1:B1023,$A$1:A1023,A1024)+1,"")</f>
        <v/>
      </c>
      <c r="C1024" s="296"/>
      <c r="D1024" s="296"/>
      <c r="E1024" s="296"/>
      <c r="F1024" s="296"/>
      <c r="G1024" s="326"/>
      <c r="H1024" s="324"/>
      <c r="I1024" s="325"/>
      <c r="J1024" s="325"/>
      <c r="K1024" s="318"/>
      <c r="L1024" s="318"/>
      <c r="M1024" s="319" t="str">
        <f>IFERROR(VLOOKUP(H1024,Lijsten!$H$1:$I$100,2,0),"")</f>
        <v/>
      </c>
      <c r="N1024" s="319" t="str">
        <f ca="1">IFERROR(IF(VLOOKUP(F1024,Kostentypen!$A$3:$E$21,3,0)=0,"",IF(OR(F1024="Arbeidskosten",F1024="Vergoeding"),VLOOKUP(G1024,Tb_KostenTypen[],2,0),VLOOKUP(F1024,Kostentypen!$A$3:$E$20,3,0))),"")</f>
        <v/>
      </c>
      <c r="O1024" s="320" t="str" cm="1">
        <f t="array" ref="O1024">_xlfn.IFNA(IF(INDEX(Tb_KostenOptiesDB[],MATCH($F1024,Tb_KostenOptiesDB[KostenOptie],0),IFERROR(MATCH(Methode_Keuze,Tb_KostenOptiesDB[#Headers],0),2))=1,_xlfn.SWITCH($N1024,"Uurtarief",IF(OR(AND(RIGHT($F1024,3)="IKS",VLOOKUP($M1024,DB_Loonkosten,2,0)="Ja"),AND(RIGHT($F1024,3)&lt;&gt;"IKS",VLOOKUP($M1024,DB_Loonkosten,2,0)="Nee")),IFERROR(VLOOKUP($M1024,DB_Loonkosten,24,0),""),0),"Vast tarief",IF(LEFT(F1024,8)="Bijdrage",VLOOKUP($F1024,Tb_KostenTypen[],MATCH(Lijsten!$P$1,Tb_KostenTypen[#Headers],0),0),VLOOKUP($G1024,Lijsten!L:P,MATCH(Lijsten!$P$1,Kop_Tarief_Vast,0),0))),""),"")</f>
        <v/>
      </c>
      <c r="P1024" s="320" t="str" cm="1">
        <f t="array" ref="P1024">_xlfn.IFNA(IF(INDEX(Tb_KostenOptiesDB[],MATCH($F1024,Tb_KostenOptiesDB[KostenOptie],0),IFERROR(MATCH(Methode_Keuze,Tb_KostenOptiesDB[#Headers],0),2))=1,_xlfn.SWITCH($N1024,"Uurtarief",IF(OR(AND(RIGHT($F1024,3)="IKS",VLOOKUP($M1024,DB_Loonkosten,2,0)="Ja"),AND(RIGHT($F1024,3)&lt;&gt;"IKS",VLOOKUP($M1024,DB_Loonkosten,2,0)="Nee")),IFERROR(VLOOKUP($M1024,DB_Loonkosten,25,0),""),0),"Vast tarief",IF(LEFT(F1024,8)="Bijdrage",VLOOKUP($F1024,Tb_KostenTypen[],MATCH(Lijsten!$P$1,Tb_KostenTypen[#Headers],0),0),VLOOKUP($G1024,Lijsten!L:P,MATCH(Lijsten!$P$1,Kop_Tarief_Vast,0),0))),""),"")</f>
        <v/>
      </c>
      <c r="Q1024" s="359"/>
      <c r="R1024" s="359"/>
      <c r="S1024" s="321"/>
      <c r="T1024" s="321"/>
      <c r="U1024" s="373" t="str">
        <f t="shared" si="60"/>
        <v/>
      </c>
      <c r="V1024" s="314" t="str">
        <f t="shared" si="61"/>
        <v/>
      </c>
      <c r="W1024" s="314" t="str" cm="1">
        <f t="array" aca="1" ref="W1024" ca="1">IFERROR(IF(AE1024&lt;&gt;"ja",_xlfn.IFNA(_xlfn.IFS(AND(O1024&lt;&gt;"",F1024&lt;&gt;"",RIGHT($N1024,6)="tarief",F1024="Vergoeding"),SUM(O1024)*FLOOR(SUM(Q1024),0.0001),AND(O1024&lt;&gt;"",F1024&lt;&gt;"",RIGHT($N1024,6)="tarief"),SUM(O1024)*FLOOR(SUM(Q1024),0.01),S1024&gt;0,IF(F1024&lt;&gt;"",FLOOR(SUM(S1024),0.01),"")),""),""),"")</f>
        <v/>
      </c>
      <c r="X1024" s="314" t="str" cm="1">
        <f t="array" aca="1" ref="X1024" ca="1">IFERROR(IF(AE1024&lt;&gt;"ja",_xlfn.IFNA(_xlfn.IFS(AND(P1024&lt;&gt;"",R1024&lt;&gt;"",RIGHT($N1024,6)="tarief",F1024="Vergoeding"),SUM(P1024)*FLOOR(SUM(R1024),0.0001),AND(P1024&lt;&gt;"",R1024&lt;&gt;"",RIGHT($N1024,6)="tarief"),P1024*FLOOR(R1024,0.01),T1024&gt;0,FLOOR(SUM(T1024),0.01)),""),""),"")</f>
        <v/>
      </c>
      <c r="Y1024" s="314" t="str">
        <f t="shared" ca="1" si="62"/>
        <v/>
      </c>
      <c r="Z1024" s="314" t="str" cm="1">
        <f t="array" aca="1" ref="Z1024" ca="1">IFERROR(_xlfn.IFS(OR(F1024="",LEFT(Methode_Keuze,4)="Geen",Methode_Keuze=""),"",AND(W1024&lt;&gt;"",F1024&lt;&gt;"Arbeidskosten"),W1024*VLOOKUP(F1024,Tb_ProjectKosten[],MATCH(Tb_ProjectKosten[[#Headers],[Forfait_Percentage]],Tb_ProjectKosten[#Headers],0),0),AND(F1024="Arbeidskosten",G1024&lt;&gt;""),IFERROR(W1024*VLOOKUP(G1024,Tb_KostenTypen[],3,0)*VLOOKUP(F1024,Tb_ProjectKosten[],MATCH(Tb_ProjectKosten[[#Headers],[Forfait_Percentage]],Tb_ProjectKosten[#Headers],0),0),""),W1024 &lt;=0,0),"")</f>
        <v/>
      </c>
      <c r="AA1024" s="314" t="str" cm="1">
        <f t="array" aca="1" ref="AA1024" ca="1">IFERROR(_xlfn.IFS(OR(F1024="",LEFT(Methode_Keuze,4)="Geen",Methode_Keuze=""),"",AND(X1024&lt;&gt;"",F1024&lt;&gt;"Arbeidskosten"),X1024*VLOOKUP(F1024,Tb_ProjectKosten[],MATCH(Tb_ProjectKosten[[#Headers],[Forfait_Percentage]],Tb_ProjectKosten[#Headers],0),0),AND(F1024="Arbeidskosten",G1024&lt;&gt;""),IFERROR(X1024*VLOOKUP(G1024,Tb_KostenTypen[],3,0)*VLOOKUP(F1024,Tb_ProjectKosten[],MATCH(Tb_ProjectKosten[[#Headers],[Forfait_Percentage]],Tb_ProjectKosten[#Headers],0),0),""),X1024 &lt;=0,0),"")</f>
        <v/>
      </c>
      <c r="AB1024" s="314" t="str">
        <f t="shared" ca="1" si="63"/>
        <v/>
      </c>
      <c r="AC1024" s="322"/>
      <c r="AD1024" s="315"/>
      <c r="AE1024" s="32" t="str" cm="1">
        <f t="array" ref="AE1024">IFERROR(IF(INDEX(SubsidieTabel!$AD$1:$AG$12,MATCH($F1024,SubsidieTabel!$AD$1:$AD$12,0),IFERROR(MATCH(Methode_Keuze,SubsidieTabel!$AD$1:$AG$1,0),2))&lt;&gt;1=TRUE,"ja",""),"")</f>
        <v/>
      </c>
    </row>
    <row r="1025" spans="1:31" x14ac:dyDescent="0.25">
      <c r="A1025" s="316"/>
      <c r="B1025" s="317" t="str">
        <f>IF(A1025&lt;&gt;"",_xlfn.MAXIFS($B$1:B1024,$A$1:A1024,A1025)+1,"")</f>
        <v/>
      </c>
      <c r="C1025" s="296"/>
      <c r="D1025" s="296"/>
      <c r="E1025" s="296"/>
      <c r="F1025" s="296"/>
      <c r="G1025" s="326"/>
      <c r="H1025" s="324"/>
      <c r="I1025" s="325"/>
      <c r="J1025" s="325"/>
      <c r="K1025" s="318"/>
      <c r="L1025" s="318"/>
      <c r="M1025" s="319" t="str">
        <f>IFERROR(VLOOKUP(H1025,Lijsten!$H$1:$I$100,2,0),"")</f>
        <v/>
      </c>
      <c r="N1025" s="319" t="str">
        <f ca="1">IFERROR(IF(VLOOKUP(F1025,Kostentypen!$A$3:$E$21,3,0)=0,"",IF(OR(F1025="Arbeidskosten",F1025="Vergoeding"),VLOOKUP(G1025,Tb_KostenTypen[],2,0),VLOOKUP(F1025,Kostentypen!$A$3:$E$20,3,0))),"")</f>
        <v/>
      </c>
      <c r="O1025" s="320" t="str" cm="1">
        <f t="array" ref="O1025">_xlfn.IFNA(IF(INDEX(Tb_KostenOptiesDB[],MATCH($F1025,Tb_KostenOptiesDB[KostenOptie],0),IFERROR(MATCH(Methode_Keuze,Tb_KostenOptiesDB[#Headers],0),2))=1,_xlfn.SWITCH($N1025,"Uurtarief",IF(OR(AND(RIGHT($F1025,3)="IKS",VLOOKUP($M1025,DB_Loonkosten,2,0)="Ja"),AND(RIGHT($F1025,3)&lt;&gt;"IKS",VLOOKUP($M1025,DB_Loonkosten,2,0)="Nee")),IFERROR(VLOOKUP($M1025,DB_Loonkosten,24,0),""),0),"Vast tarief",IF(LEFT(F1025,8)="Bijdrage",VLOOKUP($F1025,Tb_KostenTypen[],MATCH(Lijsten!$P$1,Tb_KostenTypen[#Headers],0),0),VLOOKUP($G1025,Lijsten!L:P,MATCH(Lijsten!$P$1,Kop_Tarief_Vast,0),0))),""),"")</f>
        <v/>
      </c>
      <c r="P1025" s="320" t="str" cm="1">
        <f t="array" ref="P1025">_xlfn.IFNA(IF(INDEX(Tb_KostenOptiesDB[],MATCH($F1025,Tb_KostenOptiesDB[KostenOptie],0),IFERROR(MATCH(Methode_Keuze,Tb_KostenOptiesDB[#Headers],0),2))=1,_xlfn.SWITCH($N1025,"Uurtarief",IF(OR(AND(RIGHT($F1025,3)="IKS",VLOOKUP($M1025,DB_Loonkosten,2,0)="Ja"),AND(RIGHT($F1025,3)&lt;&gt;"IKS",VLOOKUP($M1025,DB_Loonkosten,2,0)="Nee")),IFERROR(VLOOKUP($M1025,DB_Loonkosten,25,0),""),0),"Vast tarief",IF(LEFT(F1025,8)="Bijdrage",VLOOKUP($F1025,Tb_KostenTypen[],MATCH(Lijsten!$P$1,Tb_KostenTypen[#Headers],0),0),VLOOKUP($G1025,Lijsten!L:P,MATCH(Lijsten!$P$1,Kop_Tarief_Vast,0),0))),""),"")</f>
        <v/>
      </c>
      <c r="Q1025" s="359"/>
      <c r="R1025" s="359"/>
      <c r="S1025" s="321"/>
      <c r="T1025" s="321"/>
      <c r="U1025" s="373" t="str">
        <f t="shared" si="60"/>
        <v/>
      </c>
      <c r="V1025" s="314" t="str">
        <f t="shared" si="61"/>
        <v/>
      </c>
      <c r="W1025" s="314" t="str" cm="1">
        <f t="array" aca="1" ref="W1025" ca="1">IFERROR(IF(AE1025&lt;&gt;"ja",_xlfn.IFNA(_xlfn.IFS(AND(O1025&lt;&gt;"",F1025&lt;&gt;"",RIGHT($N1025,6)="tarief",F1025="Vergoeding"),SUM(O1025)*FLOOR(SUM(Q1025),0.0001),AND(O1025&lt;&gt;"",F1025&lt;&gt;"",RIGHT($N1025,6)="tarief"),SUM(O1025)*FLOOR(SUM(Q1025),0.01),S1025&gt;0,IF(F1025&lt;&gt;"",FLOOR(SUM(S1025),0.01),"")),""),""),"")</f>
        <v/>
      </c>
      <c r="X1025" s="314" t="str" cm="1">
        <f t="array" aca="1" ref="X1025" ca="1">IFERROR(IF(AE1025&lt;&gt;"ja",_xlfn.IFNA(_xlfn.IFS(AND(P1025&lt;&gt;"",R1025&lt;&gt;"",RIGHT($N1025,6)="tarief",F1025="Vergoeding"),SUM(P1025)*FLOOR(SUM(R1025),0.0001),AND(P1025&lt;&gt;"",R1025&lt;&gt;"",RIGHT($N1025,6)="tarief"),P1025*FLOOR(R1025,0.01),T1025&gt;0,FLOOR(SUM(T1025),0.01)),""),""),"")</f>
        <v/>
      </c>
      <c r="Y1025" s="314" t="str">
        <f t="shared" ca="1" si="62"/>
        <v/>
      </c>
      <c r="Z1025" s="314" t="str" cm="1">
        <f t="array" aca="1" ref="Z1025" ca="1">IFERROR(_xlfn.IFS(OR(F1025="",LEFT(Methode_Keuze,4)="Geen",Methode_Keuze=""),"",AND(W1025&lt;&gt;"",F1025&lt;&gt;"Arbeidskosten"),W1025*VLOOKUP(F1025,Tb_ProjectKosten[],MATCH(Tb_ProjectKosten[[#Headers],[Forfait_Percentage]],Tb_ProjectKosten[#Headers],0),0),AND(F1025="Arbeidskosten",G1025&lt;&gt;""),IFERROR(W1025*VLOOKUP(G1025,Tb_KostenTypen[],3,0)*VLOOKUP(F1025,Tb_ProjectKosten[],MATCH(Tb_ProjectKosten[[#Headers],[Forfait_Percentage]],Tb_ProjectKosten[#Headers],0),0),""),W1025 &lt;=0,0),"")</f>
        <v/>
      </c>
      <c r="AA1025" s="314" t="str" cm="1">
        <f t="array" aca="1" ref="AA1025" ca="1">IFERROR(_xlfn.IFS(OR(F1025="",LEFT(Methode_Keuze,4)="Geen",Methode_Keuze=""),"",AND(X1025&lt;&gt;"",F1025&lt;&gt;"Arbeidskosten"),X1025*VLOOKUP(F1025,Tb_ProjectKosten[],MATCH(Tb_ProjectKosten[[#Headers],[Forfait_Percentage]],Tb_ProjectKosten[#Headers],0),0),AND(F1025="Arbeidskosten",G1025&lt;&gt;""),IFERROR(X1025*VLOOKUP(G1025,Tb_KostenTypen[],3,0)*VLOOKUP(F1025,Tb_ProjectKosten[],MATCH(Tb_ProjectKosten[[#Headers],[Forfait_Percentage]],Tb_ProjectKosten[#Headers],0),0),""),X1025 &lt;=0,0),"")</f>
        <v/>
      </c>
      <c r="AB1025" s="314" t="str">
        <f t="shared" ca="1" si="63"/>
        <v/>
      </c>
      <c r="AC1025" s="322"/>
      <c r="AD1025" s="315"/>
      <c r="AE1025" s="32" t="str" cm="1">
        <f t="array" ref="AE1025">IFERROR(IF(INDEX(SubsidieTabel!$AD$1:$AG$12,MATCH($F1025,SubsidieTabel!$AD$1:$AD$12,0),IFERROR(MATCH(Methode_Keuze,SubsidieTabel!$AD$1:$AG$1,0),2))&lt;&gt;1=TRUE,"ja",""),"")</f>
        <v/>
      </c>
    </row>
    <row r="1026" spans="1:31" x14ac:dyDescent="0.25">
      <c r="A1026" s="316"/>
      <c r="B1026" s="317" t="str">
        <f>IF(A1026&lt;&gt;"",_xlfn.MAXIFS($B$1:B1025,$A$1:A1025,A1026)+1,"")</f>
        <v/>
      </c>
      <c r="C1026" s="296"/>
      <c r="D1026" s="296"/>
      <c r="E1026" s="296"/>
      <c r="F1026" s="296"/>
      <c r="G1026" s="326"/>
      <c r="H1026" s="324"/>
      <c r="I1026" s="325"/>
      <c r="J1026" s="325"/>
      <c r="K1026" s="318"/>
      <c r="L1026" s="318"/>
      <c r="M1026" s="319" t="str">
        <f>IFERROR(VLOOKUP(H1026,Lijsten!$H$1:$I$100,2,0),"")</f>
        <v/>
      </c>
      <c r="N1026" s="319" t="str">
        <f ca="1">IFERROR(IF(VLOOKUP(F1026,Kostentypen!$A$3:$E$21,3,0)=0,"",IF(OR(F1026="Arbeidskosten",F1026="Vergoeding"),VLOOKUP(G1026,Tb_KostenTypen[],2,0),VLOOKUP(F1026,Kostentypen!$A$3:$E$20,3,0))),"")</f>
        <v/>
      </c>
      <c r="O1026" s="320" t="str" cm="1">
        <f t="array" ref="O1026">_xlfn.IFNA(IF(INDEX(Tb_KostenOptiesDB[],MATCH($F1026,Tb_KostenOptiesDB[KostenOptie],0),IFERROR(MATCH(Methode_Keuze,Tb_KostenOptiesDB[#Headers],0),2))=1,_xlfn.SWITCH($N1026,"Uurtarief",IF(OR(AND(RIGHT($F1026,3)="IKS",VLOOKUP($M1026,DB_Loonkosten,2,0)="Ja"),AND(RIGHT($F1026,3)&lt;&gt;"IKS",VLOOKUP($M1026,DB_Loonkosten,2,0)="Nee")),IFERROR(VLOOKUP($M1026,DB_Loonkosten,24,0),""),0),"Vast tarief",IF(LEFT(F1026,8)="Bijdrage",VLOOKUP($F1026,Tb_KostenTypen[],MATCH(Lijsten!$P$1,Tb_KostenTypen[#Headers],0),0),VLOOKUP($G1026,Lijsten!L:P,MATCH(Lijsten!$P$1,Kop_Tarief_Vast,0),0))),""),"")</f>
        <v/>
      </c>
      <c r="P1026" s="320" t="str" cm="1">
        <f t="array" ref="P1026">_xlfn.IFNA(IF(INDEX(Tb_KostenOptiesDB[],MATCH($F1026,Tb_KostenOptiesDB[KostenOptie],0),IFERROR(MATCH(Methode_Keuze,Tb_KostenOptiesDB[#Headers],0),2))=1,_xlfn.SWITCH($N1026,"Uurtarief",IF(OR(AND(RIGHT($F1026,3)="IKS",VLOOKUP($M1026,DB_Loonkosten,2,0)="Ja"),AND(RIGHT($F1026,3)&lt;&gt;"IKS",VLOOKUP($M1026,DB_Loonkosten,2,0)="Nee")),IFERROR(VLOOKUP($M1026,DB_Loonkosten,25,0),""),0),"Vast tarief",IF(LEFT(F1026,8)="Bijdrage",VLOOKUP($F1026,Tb_KostenTypen[],MATCH(Lijsten!$P$1,Tb_KostenTypen[#Headers],0),0),VLOOKUP($G1026,Lijsten!L:P,MATCH(Lijsten!$P$1,Kop_Tarief_Vast,0),0))),""),"")</f>
        <v/>
      </c>
      <c r="Q1026" s="359"/>
      <c r="R1026" s="359"/>
      <c r="S1026" s="321"/>
      <c r="T1026" s="321"/>
      <c r="U1026" s="373" t="str">
        <f t="shared" si="60"/>
        <v/>
      </c>
      <c r="V1026" s="314" t="str">
        <f t="shared" si="61"/>
        <v/>
      </c>
      <c r="W1026" s="314" t="str" cm="1">
        <f t="array" aca="1" ref="W1026" ca="1">IFERROR(IF(AE1026&lt;&gt;"ja",_xlfn.IFNA(_xlfn.IFS(AND(O1026&lt;&gt;"",F1026&lt;&gt;"",RIGHT($N1026,6)="tarief",F1026="Vergoeding"),SUM(O1026)*FLOOR(SUM(Q1026),0.0001),AND(O1026&lt;&gt;"",F1026&lt;&gt;"",RIGHT($N1026,6)="tarief"),SUM(O1026)*FLOOR(SUM(Q1026),0.01),S1026&gt;0,IF(F1026&lt;&gt;"",FLOOR(SUM(S1026),0.01),"")),""),""),"")</f>
        <v/>
      </c>
      <c r="X1026" s="314" t="str" cm="1">
        <f t="array" aca="1" ref="X1026" ca="1">IFERROR(IF(AE1026&lt;&gt;"ja",_xlfn.IFNA(_xlfn.IFS(AND(P1026&lt;&gt;"",R1026&lt;&gt;"",RIGHT($N1026,6)="tarief",F1026="Vergoeding"),SUM(P1026)*FLOOR(SUM(R1026),0.0001),AND(P1026&lt;&gt;"",R1026&lt;&gt;"",RIGHT($N1026,6)="tarief"),P1026*FLOOR(R1026,0.01),T1026&gt;0,FLOOR(SUM(T1026),0.01)),""),""),"")</f>
        <v/>
      </c>
      <c r="Y1026" s="314" t="str">
        <f t="shared" ca="1" si="62"/>
        <v/>
      </c>
      <c r="Z1026" s="314" t="str" cm="1">
        <f t="array" aca="1" ref="Z1026" ca="1">IFERROR(_xlfn.IFS(OR(F1026="",LEFT(Methode_Keuze,4)="Geen",Methode_Keuze=""),"",AND(W1026&lt;&gt;"",F1026&lt;&gt;"Arbeidskosten"),W1026*VLOOKUP(F1026,Tb_ProjectKosten[],MATCH(Tb_ProjectKosten[[#Headers],[Forfait_Percentage]],Tb_ProjectKosten[#Headers],0),0),AND(F1026="Arbeidskosten",G1026&lt;&gt;""),IFERROR(W1026*VLOOKUP(G1026,Tb_KostenTypen[],3,0)*VLOOKUP(F1026,Tb_ProjectKosten[],MATCH(Tb_ProjectKosten[[#Headers],[Forfait_Percentage]],Tb_ProjectKosten[#Headers],0),0),""),W1026 &lt;=0,0),"")</f>
        <v/>
      </c>
      <c r="AA1026" s="314" t="str" cm="1">
        <f t="array" aca="1" ref="AA1026" ca="1">IFERROR(_xlfn.IFS(OR(F1026="",LEFT(Methode_Keuze,4)="Geen",Methode_Keuze=""),"",AND(X1026&lt;&gt;"",F1026&lt;&gt;"Arbeidskosten"),X1026*VLOOKUP(F1026,Tb_ProjectKosten[],MATCH(Tb_ProjectKosten[[#Headers],[Forfait_Percentage]],Tb_ProjectKosten[#Headers],0),0),AND(F1026="Arbeidskosten",G1026&lt;&gt;""),IFERROR(X1026*VLOOKUP(G1026,Tb_KostenTypen[],3,0)*VLOOKUP(F1026,Tb_ProjectKosten[],MATCH(Tb_ProjectKosten[[#Headers],[Forfait_Percentage]],Tb_ProjectKosten[#Headers],0),0),""),X1026 &lt;=0,0),"")</f>
        <v/>
      </c>
      <c r="AB1026" s="314" t="str">
        <f t="shared" ca="1" si="63"/>
        <v/>
      </c>
      <c r="AC1026" s="322"/>
      <c r="AD1026" s="315"/>
      <c r="AE1026" s="32" t="str" cm="1">
        <f t="array" ref="AE1026">IFERROR(IF(INDEX(SubsidieTabel!$AD$1:$AG$12,MATCH($F1026,SubsidieTabel!$AD$1:$AD$12,0),IFERROR(MATCH(Methode_Keuze,SubsidieTabel!$AD$1:$AG$1,0),2))&lt;&gt;1=TRUE,"ja",""),"")</f>
        <v/>
      </c>
    </row>
    <row r="1027" spans="1:31" x14ac:dyDescent="0.25">
      <c r="A1027" s="316"/>
      <c r="B1027" s="317" t="str">
        <f>IF(A1027&lt;&gt;"",_xlfn.MAXIFS($B$1:B1026,$A$1:A1026,A1027)+1,"")</f>
        <v/>
      </c>
      <c r="C1027" s="296"/>
      <c r="D1027" s="296"/>
      <c r="E1027" s="296"/>
      <c r="F1027" s="296"/>
      <c r="G1027" s="326"/>
      <c r="H1027" s="324"/>
      <c r="I1027" s="325"/>
      <c r="J1027" s="325"/>
      <c r="K1027" s="318"/>
      <c r="L1027" s="318"/>
      <c r="M1027" s="319" t="str">
        <f>IFERROR(VLOOKUP(H1027,Lijsten!$H$1:$I$100,2,0),"")</f>
        <v/>
      </c>
      <c r="N1027" s="319" t="str">
        <f ca="1">IFERROR(IF(VLOOKUP(F1027,Kostentypen!$A$3:$E$21,3,0)=0,"",IF(OR(F1027="Arbeidskosten",F1027="Vergoeding"),VLOOKUP(G1027,Tb_KostenTypen[],2,0),VLOOKUP(F1027,Kostentypen!$A$3:$E$20,3,0))),"")</f>
        <v/>
      </c>
      <c r="O1027" s="320" t="str" cm="1">
        <f t="array" ref="O1027">_xlfn.IFNA(IF(INDEX(Tb_KostenOptiesDB[],MATCH($F1027,Tb_KostenOptiesDB[KostenOptie],0),IFERROR(MATCH(Methode_Keuze,Tb_KostenOptiesDB[#Headers],0),2))=1,_xlfn.SWITCH($N1027,"Uurtarief",IF(OR(AND(RIGHT($F1027,3)="IKS",VLOOKUP($M1027,DB_Loonkosten,2,0)="Ja"),AND(RIGHT($F1027,3)&lt;&gt;"IKS",VLOOKUP($M1027,DB_Loonkosten,2,0)="Nee")),IFERROR(VLOOKUP($M1027,DB_Loonkosten,24,0),""),0),"Vast tarief",IF(LEFT(F1027,8)="Bijdrage",VLOOKUP($F1027,Tb_KostenTypen[],MATCH(Lijsten!$P$1,Tb_KostenTypen[#Headers],0),0),VLOOKUP($G1027,Lijsten!L:P,MATCH(Lijsten!$P$1,Kop_Tarief_Vast,0),0))),""),"")</f>
        <v/>
      </c>
      <c r="P1027" s="320" t="str" cm="1">
        <f t="array" ref="P1027">_xlfn.IFNA(IF(INDEX(Tb_KostenOptiesDB[],MATCH($F1027,Tb_KostenOptiesDB[KostenOptie],0),IFERROR(MATCH(Methode_Keuze,Tb_KostenOptiesDB[#Headers],0),2))=1,_xlfn.SWITCH($N1027,"Uurtarief",IF(OR(AND(RIGHT($F1027,3)="IKS",VLOOKUP($M1027,DB_Loonkosten,2,0)="Ja"),AND(RIGHT($F1027,3)&lt;&gt;"IKS",VLOOKUP($M1027,DB_Loonkosten,2,0)="Nee")),IFERROR(VLOOKUP($M1027,DB_Loonkosten,25,0),""),0),"Vast tarief",IF(LEFT(F1027,8)="Bijdrage",VLOOKUP($F1027,Tb_KostenTypen[],MATCH(Lijsten!$P$1,Tb_KostenTypen[#Headers],0),0),VLOOKUP($G1027,Lijsten!L:P,MATCH(Lijsten!$P$1,Kop_Tarief_Vast,0),0))),""),"")</f>
        <v/>
      </c>
      <c r="Q1027" s="359"/>
      <c r="R1027" s="359"/>
      <c r="S1027" s="321"/>
      <c r="T1027" s="321"/>
      <c r="U1027" s="373" t="str">
        <f t="shared" ref="U1027:U1090" si="64">IFERROR(IF(AND(R1027&lt;&gt;"",R1027&lt;&gt;Q1027),-1*(R1027-Q1027),""),"")</f>
        <v/>
      </c>
      <c r="V1027" s="314" t="str">
        <f t="shared" ref="V1027:V1090" si="65">IFERROR(IF(AND(T1027&lt;&gt;"",T1027&lt;&gt;S1027),-1*(T1027-S1027),""),"")</f>
        <v/>
      </c>
      <c r="W1027" s="314" t="str" cm="1">
        <f t="array" aca="1" ref="W1027" ca="1">IFERROR(IF(AE1027&lt;&gt;"ja",_xlfn.IFNA(_xlfn.IFS(AND(O1027&lt;&gt;"",F1027&lt;&gt;"",RIGHT($N1027,6)="tarief",F1027="Vergoeding"),SUM(O1027)*FLOOR(SUM(Q1027),0.0001),AND(O1027&lt;&gt;"",F1027&lt;&gt;"",RIGHT($N1027,6)="tarief"),SUM(O1027)*FLOOR(SUM(Q1027),0.01),S1027&gt;0,IF(F1027&lt;&gt;"",FLOOR(SUM(S1027),0.01),"")),""),""),"")</f>
        <v/>
      </c>
      <c r="X1027" s="314" t="str" cm="1">
        <f t="array" aca="1" ref="X1027" ca="1">IFERROR(IF(AE1027&lt;&gt;"ja",_xlfn.IFNA(_xlfn.IFS(AND(P1027&lt;&gt;"",R1027&lt;&gt;"",RIGHT($N1027,6)="tarief",F1027="Vergoeding"),SUM(P1027)*FLOOR(SUM(R1027),0.0001),AND(P1027&lt;&gt;"",R1027&lt;&gt;"",RIGHT($N1027,6)="tarief"),P1027*FLOOR(R1027,0.01),T1027&gt;0,FLOOR(SUM(T1027),0.01)),""),""),"")</f>
        <v/>
      </c>
      <c r="Y1027" s="314" t="str">
        <f t="shared" ref="Y1027:Y1090" ca="1" si="66">IFERROR(IF(AND(X1027&lt;&gt;"",X1027&lt;&gt;W1027),-1*(X1027-W1027),""),"")</f>
        <v/>
      </c>
      <c r="Z1027" s="314" t="str" cm="1">
        <f t="array" aca="1" ref="Z1027" ca="1">IFERROR(_xlfn.IFS(OR(F1027="",LEFT(Methode_Keuze,4)="Geen",Methode_Keuze=""),"",AND(W1027&lt;&gt;"",F1027&lt;&gt;"Arbeidskosten"),W1027*VLOOKUP(F1027,Tb_ProjectKosten[],MATCH(Tb_ProjectKosten[[#Headers],[Forfait_Percentage]],Tb_ProjectKosten[#Headers],0),0),AND(F1027="Arbeidskosten",G1027&lt;&gt;""),IFERROR(W1027*VLOOKUP(G1027,Tb_KostenTypen[],3,0)*VLOOKUP(F1027,Tb_ProjectKosten[],MATCH(Tb_ProjectKosten[[#Headers],[Forfait_Percentage]],Tb_ProjectKosten[#Headers],0),0),""),W1027 &lt;=0,0),"")</f>
        <v/>
      </c>
      <c r="AA1027" s="314" t="str" cm="1">
        <f t="array" aca="1" ref="AA1027" ca="1">IFERROR(_xlfn.IFS(OR(F1027="",LEFT(Methode_Keuze,4)="Geen",Methode_Keuze=""),"",AND(X1027&lt;&gt;"",F1027&lt;&gt;"Arbeidskosten"),X1027*VLOOKUP(F1027,Tb_ProjectKosten[],MATCH(Tb_ProjectKosten[[#Headers],[Forfait_Percentage]],Tb_ProjectKosten[#Headers],0),0),AND(F1027="Arbeidskosten",G1027&lt;&gt;""),IFERROR(X1027*VLOOKUP(G1027,Tb_KostenTypen[],3,0)*VLOOKUP(F1027,Tb_ProjectKosten[],MATCH(Tb_ProjectKosten[[#Headers],[Forfait_Percentage]],Tb_ProjectKosten[#Headers],0),0),""),X1027 &lt;=0,0),"")</f>
        <v/>
      </c>
      <c r="AB1027" s="314" t="str">
        <f t="shared" ref="AB1027:AB1090" ca="1" si="67">IFERROR(IF(AND(AA1027&lt;&gt;"",AA1027&lt;&gt;Z1027),-1*(AA1027-Z1027),""),"")</f>
        <v/>
      </c>
      <c r="AC1027" s="322"/>
      <c r="AD1027" s="315"/>
      <c r="AE1027" s="32" t="str" cm="1">
        <f t="array" ref="AE1027">IFERROR(IF(INDEX(SubsidieTabel!$AD$1:$AG$12,MATCH($F1027,SubsidieTabel!$AD$1:$AD$12,0),IFERROR(MATCH(Methode_Keuze,SubsidieTabel!$AD$1:$AG$1,0),2))&lt;&gt;1=TRUE,"ja",""),"")</f>
        <v/>
      </c>
    </row>
    <row r="1028" spans="1:31" x14ac:dyDescent="0.25">
      <c r="A1028" s="316"/>
      <c r="B1028" s="317" t="str">
        <f>IF(A1028&lt;&gt;"",_xlfn.MAXIFS($B$1:B1027,$A$1:A1027,A1028)+1,"")</f>
        <v/>
      </c>
      <c r="C1028" s="296"/>
      <c r="D1028" s="296"/>
      <c r="E1028" s="296"/>
      <c r="F1028" s="296"/>
      <c r="G1028" s="326"/>
      <c r="H1028" s="324"/>
      <c r="I1028" s="325"/>
      <c r="J1028" s="325"/>
      <c r="K1028" s="318"/>
      <c r="L1028" s="318"/>
      <c r="M1028" s="319" t="str">
        <f>IFERROR(VLOOKUP(H1028,Lijsten!$H$1:$I$100,2,0),"")</f>
        <v/>
      </c>
      <c r="N1028" s="319" t="str">
        <f ca="1">IFERROR(IF(VLOOKUP(F1028,Kostentypen!$A$3:$E$21,3,0)=0,"",IF(OR(F1028="Arbeidskosten",F1028="Vergoeding"),VLOOKUP(G1028,Tb_KostenTypen[],2,0),VLOOKUP(F1028,Kostentypen!$A$3:$E$20,3,0))),"")</f>
        <v/>
      </c>
      <c r="O1028" s="320" t="str" cm="1">
        <f t="array" ref="O1028">_xlfn.IFNA(IF(INDEX(Tb_KostenOptiesDB[],MATCH($F1028,Tb_KostenOptiesDB[KostenOptie],0),IFERROR(MATCH(Methode_Keuze,Tb_KostenOptiesDB[#Headers],0),2))=1,_xlfn.SWITCH($N1028,"Uurtarief",IF(OR(AND(RIGHT($F1028,3)="IKS",VLOOKUP($M1028,DB_Loonkosten,2,0)="Ja"),AND(RIGHT($F1028,3)&lt;&gt;"IKS",VLOOKUP($M1028,DB_Loonkosten,2,0)="Nee")),IFERROR(VLOOKUP($M1028,DB_Loonkosten,24,0),""),0),"Vast tarief",IF(LEFT(F1028,8)="Bijdrage",VLOOKUP($F1028,Tb_KostenTypen[],MATCH(Lijsten!$P$1,Tb_KostenTypen[#Headers],0),0),VLOOKUP($G1028,Lijsten!L:P,MATCH(Lijsten!$P$1,Kop_Tarief_Vast,0),0))),""),"")</f>
        <v/>
      </c>
      <c r="P1028" s="320" t="str" cm="1">
        <f t="array" ref="P1028">_xlfn.IFNA(IF(INDEX(Tb_KostenOptiesDB[],MATCH($F1028,Tb_KostenOptiesDB[KostenOptie],0),IFERROR(MATCH(Methode_Keuze,Tb_KostenOptiesDB[#Headers],0),2))=1,_xlfn.SWITCH($N1028,"Uurtarief",IF(OR(AND(RIGHT($F1028,3)="IKS",VLOOKUP($M1028,DB_Loonkosten,2,0)="Ja"),AND(RIGHT($F1028,3)&lt;&gt;"IKS",VLOOKUP($M1028,DB_Loonkosten,2,0)="Nee")),IFERROR(VLOOKUP($M1028,DB_Loonkosten,25,0),""),0),"Vast tarief",IF(LEFT(F1028,8)="Bijdrage",VLOOKUP($F1028,Tb_KostenTypen[],MATCH(Lijsten!$P$1,Tb_KostenTypen[#Headers],0),0),VLOOKUP($G1028,Lijsten!L:P,MATCH(Lijsten!$P$1,Kop_Tarief_Vast,0),0))),""),"")</f>
        <v/>
      </c>
      <c r="Q1028" s="359"/>
      <c r="R1028" s="359"/>
      <c r="S1028" s="321"/>
      <c r="T1028" s="321"/>
      <c r="U1028" s="373" t="str">
        <f t="shared" si="64"/>
        <v/>
      </c>
      <c r="V1028" s="314" t="str">
        <f t="shared" si="65"/>
        <v/>
      </c>
      <c r="W1028" s="314" t="str" cm="1">
        <f t="array" aca="1" ref="W1028" ca="1">IFERROR(IF(AE1028&lt;&gt;"ja",_xlfn.IFNA(_xlfn.IFS(AND(O1028&lt;&gt;"",F1028&lt;&gt;"",RIGHT($N1028,6)="tarief",F1028="Vergoeding"),SUM(O1028)*FLOOR(SUM(Q1028),0.0001),AND(O1028&lt;&gt;"",F1028&lt;&gt;"",RIGHT($N1028,6)="tarief"),SUM(O1028)*FLOOR(SUM(Q1028),0.01),S1028&gt;0,IF(F1028&lt;&gt;"",FLOOR(SUM(S1028),0.01),"")),""),""),"")</f>
        <v/>
      </c>
      <c r="X1028" s="314" t="str" cm="1">
        <f t="array" aca="1" ref="X1028" ca="1">IFERROR(IF(AE1028&lt;&gt;"ja",_xlfn.IFNA(_xlfn.IFS(AND(P1028&lt;&gt;"",R1028&lt;&gt;"",RIGHT($N1028,6)="tarief",F1028="Vergoeding"),SUM(P1028)*FLOOR(SUM(R1028),0.0001),AND(P1028&lt;&gt;"",R1028&lt;&gt;"",RIGHT($N1028,6)="tarief"),P1028*FLOOR(R1028,0.01),T1028&gt;0,FLOOR(SUM(T1028),0.01)),""),""),"")</f>
        <v/>
      </c>
      <c r="Y1028" s="314" t="str">
        <f t="shared" ca="1" si="66"/>
        <v/>
      </c>
      <c r="Z1028" s="314" t="str" cm="1">
        <f t="array" aca="1" ref="Z1028" ca="1">IFERROR(_xlfn.IFS(OR(F1028="",LEFT(Methode_Keuze,4)="Geen",Methode_Keuze=""),"",AND(W1028&lt;&gt;"",F1028&lt;&gt;"Arbeidskosten"),W1028*VLOOKUP(F1028,Tb_ProjectKosten[],MATCH(Tb_ProjectKosten[[#Headers],[Forfait_Percentage]],Tb_ProjectKosten[#Headers],0),0),AND(F1028="Arbeidskosten",G1028&lt;&gt;""),IFERROR(W1028*VLOOKUP(G1028,Tb_KostenTypen[],3,0)*VLOOKUP(F1028,Tb_ProjectKosten[],MATCH(Tb_ProjectKosten[[#Headers],[Forfait_Percentage]],Tb_ProjectKosten[#Headers],0),0),""),W1028 &lt;=0,0),"")</f>
        <v/>
      </c>
      <c r="AA1028" s="314" t="str" cm="1">
        <f t="array" aca="1" ref="AA1028" ca="1">IFERROR(_xlfn.IFS(OR(F1028="",LEFT(Methode_Keuze,4)="Geen",Methode_Keuze=""),"",AND(X1028&lt;&gt;"",F1028&lt;&gt;"Arbeidskosten"),X1028*VLOOKUP(F1028,Tb_ProjectKosten[],MATCH(Tb_ProjectKosten[[#Headers],[Forfait_Percentage]],Tb_ProjectKosten[#Headers],0),0),AND(F1028="Arbeidskosten",G1028&lt;&gt;""),IFERROR(X1028*VLOOKUP(G1028,Tb_KostenTypen[],3,0)*VLOOKUP(F1028,Tb_ProjectKosten[],MATCH(Tb_ProjectKosten[[#Headers],[Forfait_Percentage]],Tb_ProjectKosten[#Headers],0),0),""),X1028 &lt;=0,0),"")</f>
        <v/>
      </c>
      <c r="AB1028" s="314" t="str">
        <f t="shared" ca="1" si="67"/>
        <v/>
      </c>
      <c r="AC1028" s="322"/>
      <c r="AD1028" s="315"/>
      <c r="AE1028" s="32" t="str" cm="1">
        <f t="array" ref="AE1028">IFERROR(IF(INDEX(SubsidieTabel!$AD$1:$AG$12,MATCH($F1028,SubsidieTabel!$AD$1:$AD$12,0),IFERROR(MATCH(Methode_Keuze,SubsidieTabel!$AD$1:$AG$1,0),2))&lt;&gt;1=TRUE,"ja",""),"")</f>
        <v/>
      </c>
    </row>
    <row r="1029" spans="1:31" x14ac:dyDescent="0.25">
      <c r="A1029" s="316"/>
      <c r="B1029" s="317" t="str">
        <f>IF(A1029&lt;&gt;"",_xlfn.MAXIFS($B$1:B1028,$A$1:A1028,A1029)+1,"")</f>
        <v/>
      </c>
      <c r="C1029" s="296"/>
      <c r="D1029" s="296"/>
      <c r="E1029" s="296"/>
      <c r="F1029" s="296"/>
      <c r="G1029" s="326"/>
      <c r="H1029" s="324"/>
      <c r="I1029" s="325"/>
      <c r="J1029" s="325"/>
      <c r="K1029" s="318"/>
      <c r="L1029" s="318"/>
      <c r="M1029" s="319" t="str">
        <f>IFERROR(VLOOKUP(H1029,Lijsten!$H$1:$I$100,2,0),"")</f>
        <v/>
      </c>
      <c r="N1029" s="319" t="str">
        <f ca="1">IFERROR(IF(VLOOKUP(F1029,Kostentypen!$A$3:$E$21,3,0)=0,"",IF(OR(F1029="Arbeidskosten",F1029="Vergoeding"),VLOOKUP(G1029,Tb_KostenTypen[],2,0),VLOOKUP(F1029,Kostentypen!$A$3:$E$20,3,0))),"")</f>
        <v/>
      </c>
      <c r="O1029" s="320" t="str" cm="1">
        <f t="array" ref="O1029">_xlfn.IFNA(IF(INDEX(Tb_KostenOptiesDB[],MATCH($F1029,Tb_KostenOptiesDB[KostenOptie],0),IFERROR(MATCH(Methode_Keuze,Tb_KostenOptiesDB[#Headers],0),2))=1,_xlfn.SWITCH($N1029,"Uurtarief",IF(OR(AND(RIGHT($F1029,3)="IKS",VLOOKUP($M1029,DB_Loonkosten,2,0)="Ja"),AND(RIGHT($F1029,3)&lt;&gt;"IKS",VLOOKUP($M1029,DB_Loonkosten,2,0)="Nee")),IFERROR(VLOOKUP($M1029,DB_Loonkosten,24,0),""),0),"Vast tarief",IF(LEFT(F1029,8)="Bijdrage",VLOOKUP($F1029,Tb_KostenTypen[],MATCH(Lijsten!$P$1,Tb_KostenTypen[#Headers],0),0),VLOOKUP($G1029,Lijsten!L:P,MATCH(Lijsten!$P$1,Kop_Tarief_Vast,0),0))),""),"")</f>
        <v/>
      </c>
      <c r="P1029" s="320" t="str" cm="1">
        <f t="array" ref="P1029">_xlfn.IFNA(IF(INDEX(Tb_KostenOptiesDB[],MATCH($F1029,Tb_KostenOptiesDB[KostenOptie],0),IFERROR(MATCH(Methode_Keuze,Tb_KostenOptiesDB[#Headers],0),2))=1,_xlfn.SWITCH($N1029,"Uurtarief",IF(OR(AND(RIGHT($F1029,3)="IKS",VLOOKUP($M1029,DB_Loonkosten,2,0)="Ja"),AND(RIGHT($F1029,3)&lt;&gt;"IKS",VLOOKUP($M1029,DB_Loonkosten,2,0)="Nee")),IFERROR(VLOOKUP($M1029,DB_Loonkosten,25,0),""),0),"Vast tarief",IF(LEFT(F1029,8)="Bijdrage",VLOOKUP($F1029,Tb_KostenTypen[],MATCH(Lijsten!$P$1,Tb_KostenTypen[#Headers],0),0),VLOOKUP($G1029,Lijsten!L:P,MATCH(Lijsten!$P$1,Kop_Tarief_Vast,0),0))),""),"")</f>
        <v/>
      </c>
      <c r="Q1029" s="359"/>
      <c r="R1029" s="359"/>
      <c r="S1029" s="321"/>
      <c r="T1029" s="321"/>
      <c r="U1029" s="373" t="str">
        <f t="shared" si="64"/>
        <v/>
      </c>
      <c r="V1029" s="314" t="str">
        <f t="shared" si="65"/>
        <v/>
      </c>
      <c r="W1029" s="314" t="str" cm="1">
        <f t="array" aca="1" ref="W1029" ca="1">IFERROR(IF(AE1029&lt;&gt;"ja",_xlfn.IFNA(_xlfn.IFS(AND(O1029&lt;&gt;"",F1029&lt;&gt;"",RIGHT($N1029,6)="tarief",F1029="Vergoeding"),SUM(O1029)*FLOOR(SUM(Q1029),0.0001),AND(O1029&lt;&gt;"",F1029&lt;&gt;"",RIGHT($N1029,6)="tarief"),SUM(O1029)*FLOOR(SUM(Q1029),0.01),S1029&gt;0,IF(F1029&lt;&gt;"",FLOOR(SUM(S1029),0.01),"")),""),""),"")</f>
        <v/>
      </c>
      <c r="X1029" s="314" t="str" cm="1">
        <f t="array" aca="1" ref="X1029" ca="1">IFERROR(IF(AE1029&lt;&gt;"ja",_xlfn.IFNA(_xlfn.IFS(AND(P1029&lt;&gt;"",R1029&lt;&gt;"",RIGHT($N1029,6)="tarief",F1029="Vergoeding"),SUM(P1029)*FLOOR(SUM(R1029),0.0001),AND(P1029&lt;&gt;"",R1029&lt;&gt;"",RIGHT($N1029,6)="tarief"),P1029*FLOOR(R1029,0.01),T1029&gt;0,FLOOR(SUM(T1029),0.01)),""),""),"")</f>
        <v/>
      </c>
      <c r="Y1029" s="314" t="str">
        <f t="shared" ca="1" si="66"/>
        <v/>
      </c>
      <c r="Z1029" s="314" t="str" cm="1">
        <f t="array" aca="1" ref="Z1029" ca="1">IFERROR(_xlfn.IFS(OR(F1029="",LEFT(Methode_Keuze,4)="Geen",Methode_Keuze=""),"",AND(W1029&lt;&gt;"",F1029&lt;&gt;"Arbeidskosten"),W1029*VLOOKUP(F1029,Tb_ProjectKosten[],MATCH(Tb_ProjectKosten[[#Headers],[Forfait_Percentage]],Tb_ProjectKosten[#Headers],0),0),AND(F1029="Arbeidskosten",G1029&lt;&gt;""),IFERROR(W1029*VLOOKUP(G1029,Tb_KostenTypen[],3,0)*VLOOKUP(F1029,Tb_ProjectKosten[],MATCH(Tb_ProjectKosten[[#Headers],[Forfait_Percentage]],Tb_ProjectKosten[#Headers],0),0),""),W1029 &lt;=0,0),"")</f>
        <v/>
      </c>
      <c r="AA1029" s="314" t="str" cm="1">
        <f t="array" aca="1" ref="AA1029" ca="1">IFERROR(_xlfn.IFS(OR(F1029="",LEFT(Methode_Keuze,4)="Geen",Methode_Keuze=""),"",AND(X1029&lt;&gt;"",F1029&lt;&gt;"Arbeidskosten"),X1029*VLOOKUP(F1029,Tb_ProjectKosten[],MATCH(Tb_ProjectKosten[[#Headers],[Forfait_Percentage]],Tb_ProjectKosten[#Headers],0),0),AND(F1029="Arbeidskosten",G1029&lt;&gt;""),IFERROR(X1029*VLOOKUP(G1029,Tb_KostenTypen[],3,0)*VLOOKUP(F1029,Tb_ProjectKosten[],MATCH(Tb_ProjectKosten[[#Headers],[Forfait_Percentage]],Tb_ProjectKosten[#Headers],0),0),""),X1029 &lt;=0,0),"")</f>
        <v/>
      </c>
      <c r="AB1029" s="314" t="str">
        <f t="shared" ca="1" si="67"/>
        <v/>
      </c>
      <c r="AC1029" s="322"/>
      <c r="AD1029" s="315"/>
      <c r="AE1029" s="32" t="str" cm="1">
        <f t="array" ref="AE1029">IFERROR(IF(INDEX(SubsidieTabel!$AD$1:$AG$12,MATCH($F1029,SubsidieTabel!$AD$1:$AD$12,0),IFERROR(MATCH(Methode_Keuze,SubsidieTabel!$AD$1:$AG$1,0),2))&lt;&gt;1=TRUE,"ja",""),"")</f>
        <v/>
      </c>
    </row>
    <row r="1030" spans="1:31" x14ac:dyDescent="0.25">
      <c r="A1030" s="316"/>
      <c r="B1030" s="317" t="str">
        <f>IF(A1030&lt;&gt;"",_xlfn.MAXIFS($B$1:B1029,$A$1:A1029,A1030)+1,"")</f>
        <v/>
      </c>
      <c r="C1030" s="296"/>
      <c r="D1030" s="296"/>
      <c r="E1030" s="296"/>
      <c r="F1030" s="296"/>
      <c r="G1030" s="326"/>
      <c r="H1030" s="324"/>
      <c r="I1030" s="325"/>
      <c r="J1030" s="325"/>
      <c r="K1030" s="318"/>
      <c r="L1030" s="318"/>
      <c r="M1030" s="319" t="str">
        <f>IFERROR(VLOOKUP(H1030,Lijsten!$H$1:$I$100,2,0),"")</f>
        <v/>
      </c>
      <c r="N1030" s="319" t="str">
        <f ca="1">IFERROR(IF(VLOOKUP(F1030,Kostentypen!$A$3:$E$21,3,0)=0,"",IF(OR(F1030="Arbeidskosten",F1030="Vergoeding"),VLOOKUP(G1030,Tb_KostenTypen[],2,0),VLOOKUP(F1030,Kostentypen!$A$3:$E$20,3,0))),"")</f>
        <v/>
      </c>
      <c r="O1030" s="320" t="str" cm="1">
        <f t="array" ref="O1030">_xlfn.IFNA(IF(INDEX(Tb_KostenOptiesDB[],MATCH($F1030,Tb_KostenOptiesDB[KostenOptie],0),IFERROR(MATCH(Methode_Keuze,Tb_KostenOptiesDB[#Headers],0),2))=1,_xlfn.SWITCH($N1030,"Uurtarief",IF(OR(AND(RIGHT($F1030,3)="IKS",VLOOKUP($M1030,DB_Loonkosten,2,0)="Ja"),AND(RIGHT($F1030,3)&lt;&gt;"IKS",VLOOKUP($M1030,DB_Loonkosten,2,0)="Nee")),IFERROR(VLOOKUP($M1030,DB_Loonkosten,24,0),""),0),"Vast tarief",IF(LEFT(F1030,8)="Bijdrage",VLOOKUP($F1030,Tb_KostenTypen[],MATCH(Lijsten!$P$1,Tb_KostenTypen[#Headers],0),0),VLOOKUP($G1030,Lijsten!L:P,MATCH(Lijsten!$P$1,Kop_Tarief_Vast,0),0))),""),"")</f>
        <v/>
      </c>
      <c r="P1030" s="320" t="str" cm="1">
        <f t="array" ref="P1030">_xlfn.IFNA(IF(INDEX(Tb_KostenOptiesDB[],MATCH($F1030,Tb_KostenOptiesDB[KostenOptie],0),IFERROR(MATCH(Methode_Keuze,Tb_KostenOptiesDB[#Headers],0),2))=1,_xlfn.SWITCH($N1030,"Uurtarief",IF(OR(AND(RIGHT($F1030,3)="IKS",VLOOKUP($M1030,DB_Loonkosten,2,0)="Ja"),AND(RIGHT($F1030,3)&lt;&gt;"IKS",VLOOKUP($M1030,DB_Loonkosten,2,0)="Nee")),IFERROR(VLOOKUP($M1030,DB_Loonkosten,25,0),""),0),"Vast tarief",IF(LEFT(F1030,8)="Bijdrage",VLOOKUP($F1030,Tb_KostenTypen[],MATCH(Lijsten!$P$1,Tb_KostenTypen[#Headers],0),0),VLOOKUP($G1030,Lijsten!L:P,MATCH(Lijsten!$P$1,Kop_Tarief_Vast,0),0))),""),"")</f>
        <v/>
      </c>
      <c r="Q1030" s="359"/>
      <c r="R1030" s="359"/>
      <c r="S1030" s="321"/>
      <c r="T1030" s="321"/>
      <c r="U1030" s="373" t="str">
        <f t="shared" si="64"/>
        <v/>
      </c>
      <c r="V1030" s="314" t="str">
        <f t="shared" si="65"/>
        <v/>
      </c>
      <c r="W1030" s="314" t="str" cm="1">
        <f t="array" aca="1" ref="W1030" ca="1">IFERROR(IF(AE1030&lt;&gt;"ja",_xlfn.IFNA(_xlfn.IFS(AND(O1030&lt;&gt;"",F1030&lt;&gt;"",RIGHT($N1030,6)="tarief",F1030="Vergoeding"),SUM(O1030)*FLOOR(SUM(Q1030),0.0001),AND(O1030&lt;&gt;"",F1030&lt;&gt;"",RIGHT($N1030,6)="tarief"),SUM(O1030)*FLOOR(SUM(Q1030),0.01),S1030&gt;0,IF(F1030&lt;&gt;"",FLOOR(SUM(S1030),0.01),"")),""),""),"")</f>
        <v/>
      </c>
      <c r="X1030" s="314" t="str" cm="1">
        <f t="array" aca="1" ref="X1030" ca="1">IFERROR(IF(AE1030&lt;&gt;"ja",_xlfn.IFNA(_xlfn.IFS(AND(P1030&lt;&gt;"",R1030&lt;&gt;"",RIGHT($N1030,6)="tarief",F1030="Vergoeding"),SUM(P1030)*FLOOR(SUM(R1030),0.0001),AND(P1030&lt;&gt;"",R1030&lt;&gt;"",RIGHT($N1030,6)="tarief"),P1030*FLOOR(R1030,0.01),T1030&gt;0,FLOOR(SUM(T1030),0.01)),""),""),"")</f>
        <v/>
      </c>
      <c r="Y1030" s="314" t="str">
        <f t="shared" ca="1" si="66"/>
        <v/>
      </c>
      <c r="Z1030" s="314" t="str" cm="1">
        <f t="array" aca="1" ref="Z1030" ca="1">IFERROR(_xlfn.IFS(OR(F1030="",LEFT(Methode_Keuze,4)="Geen",Methode_Keuze=""),"",AND(W1030&lt;&gt;"",F1030&lt;&gt;"Arbeidskosten"),W1030*VLOOKUP(F1030,Tb_ProjectKosten[],MATCH(Tb_ProjectKosten[[#Headers],[Forfait_Percentage]],Tb_ProjectKosten[#Headers],0),0),AND(F1030="Arbeidskosten",G1030&lt;&gt;""),IFERROR(W1030*VLOOKUP(G1030,Tb_KostenTypen[],3,0)*VLOOKUP(F1030,Tb_ProjectKosten[],MATCH(Tb_ProjectKosten[[#Headers],[Forfait_Percentage]],Tb_ProjectKosten[#Headers],0),0),""),W1030 &lt;=0,0),"")</f>
        <v/>
      </c>
      <c r="AA1030" s="314" t="str" cm="1">
        <f t="array" aca="1" ref="AA1030" ca="1">IFERROR(_xlfn.IFS(OR(F1030="",LEFT(Methode_Keuze,4)="Geen",Methode_Keuze=""),"",AND(X1030&lt;&gt;"",F1030&lt;&gt;"Arbeidskosten"),X1030*VLOOKUP(F1030,Tb_ProjectKosten[],MATCH(Tb_ProjectKosten[[#Headers],[Forfait_Percentage]],Tb_ProjectKosten[#Headers],0),0),AND(F1030="Arbeidskosten",G1030&lt;&gt;""),IFERROR(X1030*VLOOKUP(G1030,Tb_KostenTypen[],3,0)*VLOOKUP(F1030,Tb_ProjectKosten[],MATCH(Tb_ProjectKosten[[#Headers],[Forfait_Percentage]],Tb_ProjectKosten[#Headers],0),0),""),X1030 &lt;=0,0),"")</f>
        <v/>
      </c>
      <c r="AB1030" s="314" t="str">
        <f t="shared" ca="1" si="67"/>
        <v/>
      </c>
      <c r="AC1030" s="322"/>
      <c r="AD1030" s="315"/>
      <c r="AE1030" s="32" t="str" cm="1">
        <f t="array" ref="AE1030">IFERROR(IF(INDEX(SubsidieTabel!$AD$1:$AG$12,MATCH($F1030,SubsidieTabel!$AD$1:$AD$12,0),IFERROR(MATCH(Methode_Keuze,SubsidieTabel!$AD$1:$AG$1,0),2))&lt;&gt;1=TRUE,"ja",""),"")</f>
        <v/>
      </c>
    </row>
    <row r="1031" spans="1:31" x14ac:dyDescent="0.25">
      <c r="A1031" s="316"/>
      <c r="B1031" s="317" t="str">
        <f>IF(A1031&lt;&gt;"",_xlfn.MAXIFS($B$1:B1030,$A$1:A1030,A1031)+1,"")</f>
        <v/>
      </c>
      <c r="C1031" s="296"/>
      <c r="D1031" s="296"/>
      <c r="E1031" s="296"/>
      <c r="F1031" s="296"/>
      <c r="G1031" s="326"/>
      <c r="H1031" s="324"/>
      <c r="I1031" s="325"/>
      <c r="J1031" s="325"/>
      <c r="K1031" s="318"/>
      <c r="L1031" s="318"/>
      <c r="M1031" s="319" t="str">
        <f>IFERROR(VLOOKUP(H1031,Lijsten!$H$1:$I$100,2,0),"")</f>
        <v/>
      </c>
      <c r="N1031" s="319" t="str">
        <f ca="1">IFERROR(IF(VLOOKUP(F1031,Kostentypen!$A$3:$E$21,3,0)=0,"",IF(OR(F1031="Arbeidskosten",F1031="Vergoeding"),VLOOKUP(G1031,Tb_KostenTypen[],2,0),VLOOKUP(F1031,Kostentypen!$A$3:$E$20,3,0))),"")</f>
        <v/>
      </c>
      <c r="O1031" s="320" t="str" cm="1">
        <f t="array" ref="O1031">_xlfn.IFNA(IF(INDEX(Tb_KostenOptiesDB[],MATCH($F1031,Tb_KostenOptiesDB[KostenOptie],0),IFERROR(MATCH(Methode_Keuze,Tb_KostenOptiesDB[#Headers],0),2))=1,_xlfn.SWITCH($N1031,"Uurtarief",IF(OR(AND(RIGHT($F1031,3)="IKS",VLOOKUP($M1031,DB_Loonkosten,2,0)="Ja"),AND(RIGHT($F1031,3)&lt;&gt;"IKS",VLOOKUP($M1031,DB_Loonkosten,2,0)="Nee")),IFERROR(VLOOKUP($M1031,DB_Loonkosten,24,0),""),0),"Vast tarief",IF(LEFT(F1031,8)="Bijdrage",VLOOKUP($F1031,Tb_KostenTypen[],MATCH(Lijsten!$P$1,Tb_KostenTypen[#Headers],0),0),VLOOKUP($G1031,Lijsten!L:P,MATCH(Lijsten!$P$1,Kop_Tarief_Vast,0),0))),""),"")</f>
        <v/>
      </c>
      <c r="P1031" s="320" t="str" cm="1">
        <f t="array" ref="P1031">_xlfn.IFNA(IF(INDEX(Tb_KostenOptiesDB[],MATCH($F1031,Tb_KostenOptiesDB[KostenOptie],0),IFERROR(MATCH(Methode_Keuze,Tb_KostenOptiesDB[#Headers],0),2))=1,_xlfn.SWITCH($N1031,"Uurtarief",IF(OR(AND(RIGHT($F1031,3)="IKS",VLOOKUP($M1031,DB_Loonkosten,2,0)="Ja"),AND(RIGHT($F1031,3)&lt;&gt;"IKS",VLOOKUP($M1031,DB_Loonkosten,2,0)="Nee")),IFERROR(VLOOKUP($M1031,DB_Loonkosten,25,0),""),0),"Vast tarief",IF(LEFT(F1031,8)="Bijdrage",VLOOKUP($F1031,Tb_KostenTypen[],MATCH(Lijsten!$P$1,Tb_KostenTypen[#Headers],0),0),VLOOKUP($G1031,Lijsten!L:P,MATCH(Lijsten!$P$1,Kop_Tarief_Vast,0),0))),""),"")</f>
        <v/>
      </c>
      <c r="Q1031" s="359"/>
      <c r="R1031" s="359"/>
      <c r="S1031" s="321"/>
      <c r="T1031" s="321"/>
      <c r="U1031" s="373" t="str">
        <f t="shared" si="64"/>
        <v/>
      </c>
      <c r="V1031" s="314" t="str">
        <f t="shared" si="65"/>
        <v/>
      </c>
      <c r="W1031" s="314" t="str" cm="1">
        <f t="array" aca="1" ref="W1031" ca="1">IFERROR(IF(AE1031&lt;&gt;"ja",_xlfn.IFNA(_xlfn.IFS(AND(O1031&lt;&gt;"",F1031&lt;&gt;"",RIGHT($N1031,6)="tarief",F1031="Vergoeding"),SUM(O1031)*FLOOR(SUM(Q1031),0.0001),AND(O1031&lt;&gt;"",F1031&lt;&gt;"",RIGHT($N1031,6)="tarief"),SUM(O1031)*FLOOR(SUM(Q1031),0.01),S1031&gt;0,IF(F1031&lt;&gt;"",FLOOR(SUM(S1031),0.01),"")),""),""),"")</f>
        <v/>
      </c>
      <c r="X1031" s="314" t="str" cm="1">
        <f t="array" aca="1" ref="X1031" ca="1">IFERROR(IF(AE1031&lt;&gt;"ja",_xlfn.IFNA(_xlfn.IFS(AND(P1031&lt;&gt;"",R1031&lt;&gt;"",RIGHT($N1031,6)="tarief",F1031="Vergoeding"),SUM(P1031)*FLOOR(SUM(R1031),0.0001),AND(P1031&lt;&gt;"",R1031&lt;&gt;"",RIGHT($N1031,6)="tarief"),P1031*FLOOR(R1031,0.01),T1031&gt;0,FLOOR(SUM(T1031),0.01)),""),""),"")</f>
        <v/>
      </c>
      <c r="Y1031" s="314" t="str">
        <f t="shared" ca="1" si="66"/>
        <v/>
      </c>
      <c r="Z1031" s="314" t="str" cm="1">
        <f t="array" aca="1" ref="Z1031" ca="1">IFERROR(_xlfn.IFS(OR(F1031="",LEFT(Methode_Keuze,4)="Geen",Methode_Keuze=""),"",AND(W1031&lt;&gt;"",F1031&lt;&gt;"Arbeidskosten"),W1031*VLOOKUP(F1031,Tb_ProjectKosten[],MATCH(Tb_ProjectKosten[[#Headers],[Forfait_Percentage]],Tb_ProjectKosten[#Headers],0),0),AND(F1031="Arbeidskosten",G1031&lt;&gt;""),IFERROR(W1031*VLOOKUP(G1031,Tb_KostenTypen[],3,0)*VLOOKUP(F1031,Tb_ProjectKosten[],MATCH(Tb_ProjectKosten[[#Headers],[Forfait_Percentage]],Tb_ProjectKosten[#Headers],0),0),""),W1031 &lt;=0,0),"")</f>
        <v/>
      </c>
      <c r="AA1031" s="314" t="str" cm="1">
        <f t="array" aca="1" ref="AA1031" ca="1">IFERROR(_xlfn.IFS(OR(F1031="",LEFT(Methode_Keuze,4)="Geen",Methode_Keuze=""),"",AND(X1031&lt;&gt;"",F1031&lt;&gt;"Arbeidskosten"),X1031*VLOOKUP(F1031,Tb_ProjectKosten[],MATCH(Tb_ProjectKosten[[#Headers],[Forfait_Percentage]],Tb_ProjectKosten[#Headers],0),0),AND(F1031="Arbeidskosten",G1031&lt;&gt;""),IFERROR(X1031*VLOOKUP(G1031,Tb_KostenTypen[],3,0)*VLOOKUP(F1031,Tb_ProjectKosten[],MATCH(Tb_ProjectKosten[[#Headers],[Forfait_Percentage]],Tb_ProjectKosten[#Headers],0),0),""),X1031 &lt;=0,0),"")</f>
        <v/>
      </c>
      <c r="AB1031" s="314" t="str">
        <f t="shared" ca="1" si="67"/>
        <v/>
      </c>
      <c r="AC1031" s="322"/>
      <c r="AD1031" s="315"/>
      <c r="AE1031" s="32" t="str" cm="1">
        <f t="array" ref="AE1031">IFERROR(IF(INDEX(SubsidieTabel!$AD$1:$AG$12,MATCH($F1031,SubsidieTabel!$AD$1:$AD$12,0),IFERROR(MATCH(Methode_Keuze,SubsidieTabel!$AD$1:$AG$1,0),2))&lt;&gt;1=TRUE,"ja",""),"")</f>
        <v/>
      </c>
    </row>
    <row r="1032" spans="1:31" x14ac:dyDescent="0.25">
      <c r="A1032" s="316"/>
      <c r="B1032" s="317" t="str">
        <f>IF(A1032&lt;&gt;"",_xlfn.MAXIFS($B$1:B1031,$A$1:A1031,A1032)+1,"")</f>
        <v/>
      </c>
      <c r="C1032" s="296"/>
      <c r="D1032" s="296"/>
      <c r="E1032" s="296"/>
      <c r="F1032" s="296"/>
      <c r="G1032" s="326"/>
      <c r="H1032" s="324"/>
      <c r="I1032" s="325"/>
      <c r="J1032" s="325"/>
      <c r="K1032" s="318"/>
      <c r="L1032" s="318"/>
      <c r="M1032" s="319" t="str">
        <f>IFERROR(VLOOKUP(H1032,Lijsten!$H$1:$I$100,2,0),"")</f>
        <v/>
      </c>
      <c r="N1032" s="319" t="str">
        <f ca="1">IFERROR(IF(VLOOKUP(F1032,Kostentypen!$A$3:$E$21,3,0)=0,"",IF(OR(F1032="Arbeidskosten",F1032="Vergoeding"),VLOOKUP(G1032,Tb_KostenTypen[],2,0),VLOOKUP(F1032,Kostentypen!$A$3:$E$20,3,0))),"")</f>
        <v/>
      </c>
      <c r="O1032" s="320" t="str" cm="1">
        <f t="array" ref="O1032">_xlfn.IFNA(IF(INDEX(Tb_KostenOptiesDB[],MATCH($F1032,Tb_KostenOptiesDB[KostenOptie],0),IFERROR(MATCH(Methode_Keuze,Tb_KostenOptiesDB[#Headers],0),2))=1,_xlfn.SWITCH($N1032,"Uurtarief",IF(OR(AND(RIGHT($F1032,3)="IKS",VLOOKUP($M1032,DB_Loonkosten,2,0)="Ja"),AND(RIGHT($F1032,3)&lt;&gt;"IKS",VLOOKUP($M1032,DB_Loonkosten,2,0)="Nee")),IFERROR(VLOOKUP($M1032,DB_Loonkosten,24,0),""),0),"Vast tarief",IF(LEFT(F1032,8)="Bijdrage",VLOOKUP($F1032,Tb_KostenTypen[],MATCH(Lijsten!$P$1,Tb_KostenTypen[#Headers],0),0),VLOOKUP($G1032,Lijsten!L:P,MATCH(Lijsten!$P$1,Kop_Tarief_Vast,0),0))),""),"")</f>
        <v/>
      </c>
      <c r="P1032" s="320" t="str" cm="1">
        <f t="array" ref="P1032">_xlfn.IFNA(IF(INDEX(Tb_KostenOptiesDB[],MATCH($F1032,Tb_KostenOptiesDB[KostenOptie],0),IFERROR(MATCH(Methode_Keuze,Tb_KostenOptiesDB[#Headers],0),2))=1,_xlfn.SWITCH($N1032,"Uurtarief",IF(OR(AND(RIGHT($F1032,3)="IKS",VLOOKUP($M1032,DB_Loonkosten,2,0)="Ja"),AND(RIGHT($F1032,3)&lt;&gt;"IKS",VLOOKUP($M1032,DB_Loonkosten,2,0)="Nee")),IFERROR(VLOOKUP($M1032,DB_Loonkosten,25,0),""),0),"Vast tarief",IF(LEFT(F1032,8)="Bijdrage",VLOOKUP($F1032,Tb_KostenTypen[],MATCH(Lijsten!$P$1,Tb_KostenTypen[#Headers],0),0),VLOOKUP($G1032,Lijsten!L:P,MATCH(Lijsten!$P$1,Kop_Tarief_Vast,0),0))),""),"")</f>
        <v/>
      </c>
      <c r="Q1032" s="359"/>
      <c r="R1032" s="359"/>
      <c r="S1032" s="321"/>
      <c r="T1032" s="321"/>
      <c r="U1032" s="373" t="str">
        <f t="shared" si="64"/>
        <v/>
      </c>
      <c r="V1032" s="314" t="str">
        <f t="shared" si="65"/>
        <v/>
      </c>
      <c r="W1032" s="314" t="str" cm="1">
        <f t="array" aca="1" ref="W1032" ca="1">IFERROR(IF(AE1032&lt;&gt;"ja",_xlfn.IFNA(_xlfn.IFS(AND(O1032&lt;&gt;"",F1032&lt;&gt;"",RIGHT($N1032,6)="tarief",F1032="Vergoeding"),SUM(O1032)*FLOOR(SUM(Q1032),0.0001),AND(O1032&lt;&gt;"",F1032&lt;&gt;"",RIGHT($N1032,6)="tarief"),SUM(O1032)*FLOOR(SUM(Q1032),0.01),S1032&gt;0,IF(F1032&lt;&gt;"",FLOOR(SUM(S1032),0.01),"")),""),""),"")</f>
        <v/>
      </c>
      <c r="X1032" s="314" t="str" cm="1">
        <f t="array" aca="1" ref="X1032" ca="1">IFERROR(IF(AE1032&lt;&gt;"ja",_xlfn.IFNA(_xlfn.IFS(AND(P1032&lt;&gt;"",R1032&lt;&gt;"",RIGHT($N1032,6)="tarief",F1032="Vergoeding"),SUM(P1032)*FLOOR(SUM(R1032),0.0001),AND(P1032&lt;&gt;"",R1032&lt;&gt;"",RIGHT($N1032,6)="tarief"),P1032*FLOOR(R1032,0.01),T1032&gt;0,FLOOR(SUM(T1032),0.01)),""),""),"")</f>
        <v/>
      </c>
      <c r="Y1032" s="314" t="str">
        <f t="shared" ca="1" si="66"/>
        <v/>
      </c>
      <c r="Z1032" s="314" t="str" cm="1">
        <f t="array" aca="1" ref="Z1032" ca="1">IFERROR(_xlfn.IFS(OR(F1032="",LEFT(Methode_Keuze,4)="Geen",Methode_Keuze=""),"",AND(W1032&lt;&gt;"",F1032&lt;&gt;"Arbeidskosten"),W1032*VLOOKUP(F1032,Tb_ProjectKosten[],MATCH(Tb_ProjectKosten[[#Headers],[Forfait_Percentage]],Tb_ProjectKosten[#Headers],0),0),AND(F1032="Arbeidskosten",G1032&lt;&gt;""),IFERROR(W1032*VLOOKUP(G1032,Tb_KostenTypen[],3,0)*VLOOKUP(F1032,Tb_ProjectKosten[],MATCH(Tb_ProjectKosten[[#Headers],[Forfait_Percentage]],Tb_ProjectKosten[#Headers],0),0),""),W1032 &lt;=0,0),"")</f>
        <v/>
      </c>
      <c r="AA1032" s="314" t="str" cm="1">
        <f t="array" aca="1" ref="AA1032" ca="1">IFERROR(_xlfn.IFS(OR(F1032="",LEFT(Methode_Keuze,4)="Geen",Methode_Keuze=""),"",AND(X1032&lt;&gt;"",F1032&lt;&gt;"Arbeidskosten"),X1032*VLOOKUP(F1032,Tb_ProjectKosten[],MATCH(Tb_ProjectKosten[[#Headers],[Forfait_Percentage]],Tb_ProjectKosten[#Headers],0),0),AND(F1032="Arbeidskosten",G1032&lt;&gt;""),IFERROR(X1032*VLOOKUP(G1032,Tb_KostenTypen[],3,0)*VLOOKUP(F1032,Tb_ProjectKosten[],MATCH(Tb_ProjectKosten[[#Headers],[Forfait_Percentage]],Tb_ProjectKosten[#Headers],0),0),""),X1032 &lt;=0,0),"")</f>
        <v/>
      </c>
      <c r="AB1032" s="314" t="str">
        <f t="shared" ca="1" si="67"/>
        <v/>
      </c>
      <c r="AC1032" s="322"/>
      <c r="AD1032" s="315"/>
      <c r="AE1032" s="32" t="str" cm="1">
        <f t="array" ref="AE1032">IFERROR(IF(INDEX(SubsidieTabel!$AD$1:$AG$12,MATCH($F1032,SubsidieTabel!$AD$1:$AD$12,0),IFERROR(MATCH(Methode_Keuze,SubsidieTabel!$AD$1:$AG$1,0),2))&lt;&gt;1=TRUE,"ja",""),"")</f>
        <v/>
      </c>
    </row>
    <row r="1033" spans="1:31" x14ac:dyDescent="0.25">
      <c r="A1033" s="316"/>
      <c r="B1033" s="317" t="str">
        <f>IF(A1033&lt;&gt;"",_xlfn.MAXIFS($B$1:B1032,$A$1:A1032,A1033)+1,"")</f>
        <v/>
      </c>
      <c r="C1033" s="296"/>
      <c r="D1033" s="296"/>
      <c r="E1033" s="296"/>
      <c r="F1033" s="296"/>
      <c r="G1033" s="326"/>
      <c r="H1033" s="324"/>
      <c r="I1033" s="325"/>
      <c r="J1033" s="325"/>
      <c r="K1033" s="318"/>
      <c r="L1033" s="318"/>
      <c r="M1033" s="319" t="str">
        <f>IFERROR(VLOOKUP(H1033,Lijsten!$H$1:$I$100,2,0),"")</f>
        <v/>
      </c>
      <c r="N1033" s="319" t="str">
        <f ca="1">IFERROR(IF(VLOOKUP(F1033,Kostentypen!$A$3:$E$21,3,0)=0,"",IF(OR(F1033="Arbeidskosten",F1033="Vergoeding"),VLOOKUP(G1033,Tb_KostenTypen[],2,0),VLOOKUP(F1033,Kostentypen!$A$3:$E$20,3,0))),"")</f>
        <v/>
      </c>
      <c r="O1033" s="320" t="str" cm="1">
        <f t="array" ref="O1033">_xlfn.IFNA(IF(INDEX(Tb_KostenOptiesDB[],MATCH($F1033,Tb_KostenOptiesDB[KostenOptie],0),IFERROR(MATCH(Methode_Keuze,Tb_KostenOptiesDB[#Headers],0),2))=1,_xlfn.SWITCH($N1033,"Uurtarief",IF(OR(AND(RIGHT($F1033,3)="IKS",VLOOKUP($M1033,DB_Loonkosten,2,0)="Ja"),AND(RIGHT($F1033,3)&lt;&gt;"IKS",VLOOKUP($M1033,DB_Loonkosten,2,0)="Nee")),IFERROR(VLOOKUP($M1033,DB_Loonkosten,24,0),""),0),"Vast tarief",IF(LEFT(F1033,8)="Bijdrage",VLOOKUP($F1033,Tb_KostenTypen[],MATCH(Lijsten!$P$1,Tb_KostenTypen[#Headers],0),0),VLOOKUP($G1033,Lijsten!L:P,MATCH(Lijsten!$P$1,Kop_Tarief_Vast,0),0))),""),"")</f>
        <v/>
      </c>
      <c r="P1033" s="320" t="str" cm="1">
        <f t="array" ref="P1033">_xlfn.IFNA(IF(INDEX(Tb_KostenOptiesDB[],MATCH($F1033,Tb_KostenOptiesDB[KostenOptie],0),IFERROR(MATCH(Methode_Keuze,Tb_KostenOptiesDB[#Headers],0),2))=1,_xlfn.SWITCH($N1033,"Uurtarief",IF(OR(AND(RIGHT($F1033,3)="IKS",VLOOKUP($M1033,DB_Loonkosten,2,0)="Ja"),AND(RIGHT($F1033,3)&lt;&gt;"IKS",VLOOKUP($M1033,DB_Loonkosten,2,0)="Nee")),IFERROR(VLOOKUP($M1033,DB_Loonkosten,25,0),""),0),"Vast tarief",IF(LEFT(F1033,8)="Bijdrage",VLOOKUP($F1033,Tb_KostenTypen[],MATCH(Lijsten!$P$1,Tb_KostenTypen[#Headers],0),0),VLOOKUP($G1033,Lijsten!L:P,MATCH(Lijsten!$P$1,Kop_Tarief_Vast,0),0))),""),"")</f>
        <v/>
      </c>
      <c r="Q1033" s="359"/>
      <c r="R1033" s="359"/>
      <c r="S1033" s="321"/>
      <c r="T1033" s="321"/>
      <c r="U1033" s="373" t="str">
        <f t="shared" si="64"/>
        <v/>
      </c>
      <c r="V1033" s="314" t="str">
        <f t="shared" si="65"/>
        <v/>
      </c>
      <c r="W1033" s="314" t="str" cm="1">
        <f t="array" aca="1" ref="W1033" ca="1">IFERROR(IF(AE1033&lt;&gt;"ja",_xlfn.IFNA(_xlfn.IFS(AND(O1033&lt;&gt;"",F1033&lt;&gt;"",RIGHT($N1033,6)="tarief",F1033="Vergoeding"),SUM(O1033)*FLOOR(SUM(Q1033),0.0001),AND(O1033&lt;&gt;"",F1033&lt;&gt;"",RIGHT($N1033,6)="tarief"),SUM(O1033)*FLOOR(SUM(Q1033),0.01),S1033&gt;0,IF(F1033&lt;&gt;"",FLOOR(SUM(S1033),0.01),"")),""),""),"")</f>
        <v/>
      </c>
      <c r="X1033" s="314" t="str" cm="1">
        <f t="array" aca="1" ref="X1033" ca="1">IFERROR(IF(AE1033&lt;&gt;"ja",_xlfn.IFNA(_xlfn.IFS(AND(P1033&lt;&gt;"",R1033&lt;&gt;"",RIGHT($N1033,6)="tarief",F1033="Vergoeding"),SUM(P1033)*FLOOR(SUM(R1033),0.0001),AND(P1033&lt;&gt;"",R1033&lt;&gt;"",RIGHT($N1033,6)="tarief"),P1033*FLOOR(R1033,0.01),T1033&gt;0,FLOOR(SUM(T1033),0.01)),""),""),"")</f>
        <v/>
      </c>
      <c r="Y1033" s="314" t="str">
        <f t="shared" ca="1" si="66"/>
        <v/>
      </c>
      <c r="Z1033" s="314" t="str" cm="1">
        <f t="array" aca="1" ref="Z1033" ca="1">IFERROR(_xlfn.IFS(OR(F1033="",LEFT(Methode_Keuze,4)="Geen",Methode_Keuze=""),"",AND(W1033&lt;&gt;"",F1033&lt;&gt;"Arbeidskosten"),W1033*VLOOKUP(F1033,Tb_ProjectKosten[],MATCH(Tb_ProjectKosten[[#Headers],[Forfait_Percentage]],Tb_ProjectKosten[#Headers],0),0),AND(F1033="Arbeidskosten",G1033&lt;&gt;""),IFERROR(W1033*VLOOKUP(G1033,Tb_KostenTypen[],3,0)*VLOOKUP(F1033,Tb_ProjectKosten[],MATCH(Tb_ProjectKosten[[#Headers],[Forfait_Percentage]],Tb_ProjectKosten[#Headers],0),0),""),W1033 &lt;=0,0),"")</f>
        <v/>
      </c>
      <c r="AA1033" s="314" t="str" cm="1">
        <f t="array" aca="1" ref="AA1033" ca="1">IFERROR(_xlfn.IFS(OR(F1033="",LEFT(Methode_Keuze,4)="Geen",Methode_Keuze=""),"",AND(X1033&lt;&gt;"",F1033&lt;&gt;"Arbeidskosten"),X1033*VLOOKUP(F1033,Tb_ProjectKosten[],MATCH(Tb_ProjectKosten[[#Headers],[Forfait_Percentage]],Tb_ProjectKosten[#Headers],0),0),AND(F1033="Arbeidskosten",G1033&lt;&gt;""),IFERROR(X1033*VLOOKUP(G1033,Tb_KostenTypen[],3,0)*VLOOKUP(F1033,Tb_ProjectKosten[],MATCH(Tb_ProjectKosten[[#Headers],[Forfait_Percentage]],Tb_ProjectKosten[#Headers],0),0),""),X1033 &lt;=0,0),"")</f>
        <v/>
      </c>
      <c r="AB1033" s="314" t="str">
        <f t="shared" ca="1" si="67"/>
        <v/>
      </c>
      <c r="AC1033" s="322"/>
      <c r="AD1033" s="315"/>
      <c r="AE1033" s="32" t="str" cm="1">
        <f t="array" ref="AE1033">IFERROR(IF(INDEX(SubsidieTabel!$AD$1:$AG$12,MATCH($F1033,SubsidieTabel!$AD$1:$AD$12,0),IFERROR(MATCH(Methode_Keuze,SubsidieTabel!$AD$1:$AG$1,0),2))&lt;&gt;1=TRUE,"ja",""),"")</f>
        <v/>
      </c>
    </row>
    <row r="1034" spans="1:31" x14ac:dyDescent="0.25">
      <c r="A1034" s="316"/>
      <c r="B1034" s="317" t="str">
        <f>IF(A1034&lt;&gt;"",_xlfn.MAXIFS($B$1:B1033,$A$1:A1033,A1034)+1,"")</f>
        <v/>
      </c>
      <c r="C1034" s="296"/>
      <c r="D1034" s="296"/>
      <c r="E1034" s="296"/>
      <c r="F1034" s="296"/>
      <c r="G1034" s="326"/>
      <c r="H1034" s="324"/>
      <c r="I1034" s="325"/>
      <c r="J1034" s="325"/>
      <c r="K1034" s="318"/>
      <c r="L1034" s="318"/>
      <c r="M1034" s="319" t="str">
        <f>IFERROR(VLOOKUP(H1034,Lijsten!$H$1:$I$100,2,0),"")</f>
        <v/>
      </c>
      <c r="N1034" s="319" t="str">
        <f ca="1">IFERROR(IF(VLOOKUP(F1034,Kostentypen!$A$3:$E$21,3,0)=0,"",IF(OR(F1034="Arbeidskosten",F1034="Vergoeding"),VLOOKUP(G1034,Tb_KostenTypen[],2,0),VLOOKUP(F1034,Kostentypen!$A$3:$E$20,3,0))),"")</f>
        <v/>
      </c>
      <c r="O1034" s="320" t="str" cm="1">
        <f t="array" ref="O1034">_xlfn.IFNA(IF(INDEX(Tb_KostenOptiesDB[],MATCH($F1034,Tb_KostenOptiesDB[KostenOptie],0),IFERROR(MATCH(Methode_Keuze,Tb_KostenOptiesDB[#Headers],0),2))=1,_xlfn.SWITCH($N1034,"Uurtarief",IF(OR(AND(RIGHT($F1034,3)="IKS",VLOOKUP($M1034,DB_Loonkosten,2,0)="Ja"),AND(RIGHT($F1034,3)&lt;&gt;"IKS",VLOOKUP($M1034,DB_Loonkosten,2,0)="Nee")),IFERROR(VLOOKUP($M1034,DB_Loonkosten,24,0),""),0),"Vast tarief",IF(LEFT(F1034,8)="Bijdrage",VLOOKUP($F1034,Tb_KostenTypen[],MATCH(Lijsten!$P$1,Tb_KostenTypen[#Headers],0),0),VLOOKUP($G1034,Lijsten!L:P,MATCH(Lijsten!$P$1,Kop_Tarief_Vast,0),0))),""),"")</f>
        <v/>
      </c>
      <c r="P1034" s="320" t="str" cm="1">
        <f t="array" ref="P1034">_xlfn.IFNA(IF(INDEX(Tb_KostenOptiesDB[],MATCH($F1034,Tb_KostenOptiesDB[KostenOptie],0),IFERROR(MATCH(Methode_Keuze,Tb_KostenOptiesDB[#Headers],0),2))=1,_xlfn.SWITCH($N1034,"Uurtarief",IF(OR(AND(RIGHT($F1034,3)="IKS",VLOOKUP($M1034,DB_Loonkosten,2,0)="Ja"),AND(RIGHT($F1034,3)&lt;&gt;"IKS",VLOOKUP($M1034,DB_Loonkosten,2,0)="Nee")),IFERROR(VLOOKUP($M1034,DB_Loonkosten,25,0),""),0),"Vast tarief",IF(LEFT(F1034,8)="Bijdrage",VLOOKUP($F1034,Tb_KostenTypen[],MATCH(Lijsten!$P$1,Tb_KostenTypen[#Headers],0),0),VLOOKUP($G1034,Lijsten!L:P,MATCH(Lijsten!$P$1,Kop_Tarief_Vast,0),0))),""),"")</f>
        <v/>
      </c>
      <c r="Q1034" s="359"/>
      <c r="R1034" s="359"/>
      <c r="S1034" s="321"/>
      <c r="T1034" s="321"/>
      <c r="U1034" s="373" t="str">
        <f t="shared" si="64"/>
        <v/>
      </c>
      <c r="V1034" s="314" t="str">
        <f t="shared" si="65"/>
        <v/>
      </c>
      <c r="W1034" s="314" t="str" cm="1">
        <f t="array" aca="1" ref="W1034" ca="1">IFERROR(IF(AE1034&lt;&gt;"ja",_xlfn.IFNA(_xlfn.IFS(AND(O1034&lt;&gt;"",F1034&lt;&gt;"",RIGHT($N1034,6)="tarief",F1034="Vergoeding"),SUM(O1034)*FLOOR(SUM(Q1034),0.0001),AND(O1034&lt;&gt;"",F1034&lt;&gt;"",RIGHT($N1034,6)="tarief"),SUM(O1034)*FLOOR(SUM(Q1034),0.01),S1034&gt;0,IF(F1034&lt;&gt;"",FLOOR(SUM(S1034),0.01),"")),""),""),"")</f>
        <v/>
      </c>
      <c r="X1034" s="314" t="str" cm="1">
        <f t="array" aca="1" ref="X1034" ca="1">IFERROR(IF(AE1034&lt;&gt;"ja",_xlfn.IFNA(_xlfn.IFS(AND(P1034&lt;&gt;"",R1034&lt;&gt;"",RIGHT($N1034,6)="tarief",F1034="Vergoeding"),SUM(P1034)*FLOOR(SUM(R1034),0.0001),AND(P1034&lt;&gt;"",R1034&lt;&gt;"",RIGHT($N1034,6)="tarief"),P1034*FLOOR(R1034,0.01),T1034&gt;0,FLOOR(SUM(T1034),0.01)),""),""),"")</f>
        <v/>
      </c>
      <c r="Y1034" s="314" t="str">
        <f t="shared" ca="1" si="66"/>
        <v/>
      </c>
      <c r="Z1034" s="314" t="str" cm="1">
        <f t="array" aca="1" ref="Z1034" ca="1">IFERROR(_xlfn.IFS(OR(F1034="",LEFT(Methode_Keuze,4)="Geen",Methode_Keuze=""),"",AND(W1034&lt;&gt;"",F1034&lt;&gt;"Arbeidskosten"),W1034*VLOOKUP(F1034,Tb_ProjectKosten[],MATCH(Tb_ProjectKosten[[#Headers],[Forfait_Percentage]],Tb_ProjectKosten[#Headers],0),0),AND(F1034="Arbeidskosten",G1034&lt;&gt;""),IFERROR(W1034*VLOOKUP(G1034,Tb_KostenTypen[],3,0)*VLOOKUP(F1034,Tb_ProjectKosten[],MATCH(Tb_ProjectKosten[[#Headers],[Forfait_Percentage]],Tb_ProjectKosten[#Headers],0),0),""),W1034 &lt;=0,0),"")</f>
        <v/>
      </c>
      <c r="AA1034" s="314" t="str" cm="1">
        <f t="array" aca="1" ref="AA1034" ca="1">IFERROR(_xlfn.IFS(OR(F1034="",LEFT(Methode_Keuze,4)="Geen",Methode_Keuze=""),"",AND(X1034&lt;&gt;"",F1034&lt;&gt;"Arbeidskosten"),X1034*VLOOKUP(F1034,Tb_ProjectKosten[],MATCH(Tb_ProjectKosten[[#Headers],[Forfait_Percentage]],Tb_ProjectKosten[#Headers],0),0),AND(F1034="Arbeidskosten",G1034&lt;&gt;""),IFERROR(X1034*VLOOKUP(G1034,Tb_KostenTypen[],3,0)*VLOOKUP(F1034,Tb_ProjectKosten[],MATCH(Tb_ProjectKosten[[#Headers],[Forfait_Percentage]],Tb_ProjectKosten[#Headers],0),0),""),X1034 &lt;=0,0),"")</f>
        <v/>
      </c>
      <c r="AB1034" s="314" t="str">
        <f t="shared" ca="1" si="67"/>
        <v/>
      </c>
      <c r="AC1034" s="322"/>
      <c r="AD1034" s="315"/>
      <c r="AE1034" s="32" t="str" cm="1">
        <f t="array" ref="AE1034">IFERROR(IF(INDEX(SubsidieTabel!$AD$1:$AG$12,MATCH($F1034,SubsidieTabel!$AD$1:$AD$12,0),IFERROR(MATCH(Methode_Keuze,SubsidieTabel!$AD$1:$AG$1,0),2))&lt;&gt;1=TRUE,"ja",""),"")</f>
        <v/>
      </c>
    </row>
    <row r="1035" spans="1:31" x14ac:dyDescent="0.25">
      <c r="A1035" s="316"/>
      <c r="B1035" s="317" t="str">
        <f>IF(A1035&lt;&gt;"",_xlfn.MAXIFS($B$1:B1034,$A$1:A1034,A1035)+1,"")</f>
        <v/>
      </c>
      <c r="C1035" s="296"/>
      <c r="D1035" s="296"/>
      <c r="E1035" s="296"/>
      <c r="F1035" s="296"/>
      <c r="G1035" s="326"/>
      <c r="H1035" s="324"/>
      <c r="I1035" s="325"/>
      <c r="J1035" s="325"/>
      <c r="K1035" s="318"/>
      <c r="L1035" s="318"/>
      <c r="M1035" s="319" t="str">
        <f>IFERROR(VLOOKUP(H1035,Lijsten!$H$1:$I$100,2,0),"")</f>
        <v/>
      </c>
      <c r="N1035" s="319" t="str">
        <f ca="1">IFERROR(IF(VLOOKUP(F1035,Kostentypen!$A$3:$E$21,3,0)=0,"",IF(OR(F1035="Arbeidskosten",F1035="Vergoeding"),VLOOKUP(G1035,Tb_KostenTypen[],2,0),VLOOKUP(F1035,Kostentypen!$A$3:$E$20,3,0))),"")</f>
        <v/>
      </c>
      <c r="O1035" s="320" t="str" cm="1">
        <f t="array" ref="O1035">_xlfn.IFNA(IF(INDEX(Tb_KostenOptiesDB[],MATCH($F1035,Tb_KostenOptiesDB[KostenOptie],0),IFERROR(MATCH(Methode_Keuze,Tb_KostenOptiesDB[#Headers],0),2))=1,_xlfn.SWITCH($N1035,"Uurtarief",IF(OR(AND(RIGHT($F1035,3)="IKS",VLOOKUP($M1035,DB_Loonkosten,2,0)="Ja"),AND(RIGHT($F1035,3)&lt;&gt;"IKS",VLOOKUP($M1035,DB_Loonkosten,2,0)="Nee")),IFERROR(VLOOKUP($M1035,DB_Loonkosten,24,0),""),0),"Vast tarief",IF(LEFT(F1035,8)="Bijdrage",VLOOKUP($F1035,Tb_KostenTypen[],MATCH(Lijsten!$P$1,Tb_KostenTypen[#Headers],0),0),VLOOKUP($G1035,Lijsten!L:P,MATCH(Lijsten!$P$1,Kop_Tarief_Vast,0),0))),""),"")</f>
        <v/>
      </c>
      <c r="P1035" s="320" t="str" cm="1">
        <f t="array" ref="P1035">_xlfn.IFNA(IF(INDEX(Tb_KostenOptiesDB[],MATCH($F1035,Tb_KostenOptiesDB[KostenOptie],0),IFERROR(MATCH(Methode_Keuze,Tb_KostenOptiesDB[#Headers],0),2))=1,_xlfn.SWITCH($N1035,"Uurtarief",IF(OR(AND(RIGHT($F1035,3)="IKS",VLOOKUP($M1035,DB_Loonkosten,2,0)="Ja"),AND(RIGHT($F1035,3)&lt;&gt;"IKS",VLOOKUP($M1035,DB_Loonkosten,2,0)="Nee")),IFERROR(VLOOKUP($M1035,DB_Loonkosten,25,0),""),0),"Vast tarief",IF(LEFT(F1035,8)="Bijdrage",VLOOKUP($F1035,Tb_KostenTypen[],MATCH(Lijsten!$P$1,Tb_KostenTypen[#Headers],0),0),VLOOKUP($G1035,Lijsten!L:P,MATCH(Lijsten!$P$1,Kop_Tarief_Vast,0),0))),""),"")</f>
        <v/>
      </c>
      <c r="Q1035" s="359"/>
      <c r="R1035" s="359"/>
      <c r="S1035" s="321"/>
      <c r="T1035" s="321"/>
      <c r="U1035" s="373" t="str">
        <f t="shared" si="64"/>
        <v/>
      </c>
      <c r="V1035" s="314" t="str">
        <f t="shared" si="65"/>
        <v/>
      </c>
      <c r="W1035" s="314" t="str" cm="1">
        <f t="array" aca="1" ref="W1035" ca="1">IFERROR(IF(AE1035&lt;&gt;"ja",_xlfn.IFNA(_xlfn.IFS(AND(O1035&lt;&gt;"",F1035&lt;&gt;"",RIGHT($N1035,6)="tarief",F1035="Vergoeding"),SUM(O1035)*FLOOR(SUM(Q1035),0.0001),AND(O1035&lt;&gt;"",F1035&lt;&gt;"",RIGHT($N1035,6)="tarief"),SUM(O1035)*FLOOR(SUM(Q1035),0.01),S1035&gt;0,IF(F1035&lt;&gt;"",FLOOR(SUM(S1035),0.01),"")),""),""),"")</f>
        <v/>
      </c>
      <c r="X1035" s="314" t="str" cm="1">
        <f t="array" aca="1" ref="X1035" ca="1">IFERROR(IF(AE1035&lt;&gt;"ja",_xlfn.IFNA(_xlfn.IFS(AND(P1035&lt;&gt;"",R1035&lt;&gt;"",RIGHT($N1035,6)="tarief",F1035="Vergoeding"),SUM(P1035)*FLOOR(SUM(R1035),0.0001),AND(P1035&lt;&gt;"",R1035&lt;&gt;"",RIGHT($N1035,6)="tarief"),P1035*FLOOR(R1035,0.01),T1035&gt;0,FLOOR(SUM(T1035),0.01)),""),""),"")</f>
        <v/>
      </c>
      <c r="Y1035" s="314" t="str">
        <f t="shared" ca="1" si="66"/>
        <v/>
      </c>
      <c r="Z1035" s="314" t="str" cm="1">
        <f t="array" aca="1" ref="Z1035" ca="1">IFERROR(_xlfn.IFS(OR(F1035="",LEFT(Methode_Keuze,4)="Geen",Methode_Keuze=""),"",AND(W1035&lt;&gt;"",F1035&lt;&gt;"Arbeidskosten"),W1035*VLOOKUP(F1035,Tb_ProjectKosten[],MATCH(Tb_ProjectKosten[[#Headers],[Forfait_Percentage]],Tb_ProjectKosten[#Headers],0),0),AND(F1035="Arbeidskosten",G1035&lt;&gt;""),IFERROR(W1035*VLOOKUP(G1035,Tb_KostenTypen[],3,0)*VLOOKUP(F1035,Tb_ProjectKosten[],MATCH(Tb_ProjectKosten[[#Headers],[Forfait_Percentage]],Tb_ProjectKosten[#Headers],0),0),""),W1035 &lt;=0,0),"")</f>
        <v/>
      </c>
      <c r="AA1035" s="314" t="str" cm="1">
        <f t="array" aca="1" ref="AA1035" ca="1">IFERROR(_xlfn.IFS(OR(F1035="",LEFT(Methode_Keuze,4)="Geen",Methode_Keuze=""),"",AND(X1035&lt;&gt;"",F1035&lt;&gt;"Arbeidskosten"),X1035*VLOOKUP(F1035,Tb_ProjectKosten[],MATCH(Tb_ProjectKosten[[#Headers],[Forfait_Percentage]],Tb_ProjectKosten[#Headers],0),0),AND(F1035="Arbeidskosten",G1035&lt;&gt;""),IFERROR(X1035*VLOOKUP(G1035,Tb_KostenTypen[],3,0)*VLOOKUP(F1035,Tb_ProjectKosten[],MATCH(Tb_ProjectKosten[[#Headers],[Forfait_Percentage]],Tb_ProjectKosten[#Headers],0),0),""),X1035 &lt;=0,0),"")</f>
        <v/>
      </c>
      <c r="AB1035" s="314" t="str">
        <f t="shared" ca="1" si="67"/>
        <v/>
      </c>
      <c r="AC1035" s="322"/>
      <c r="AD1035" s="315"/>
      <c r="AE1035" s="32" t="str" cm="1">
        <f t="array" ref="AE1035">IFERROR(IF(INDEX(SubsidieTabel!$AD$1:$AG$12,MATCH($F1035,SubsidieTabel!$AD$1:$AD$12,0),IFERROR(MATCH(Methode_Keuze,SubsidieTabel!$AD$1:$AG$1,0),2))&lt;&gt;1=TRUE,"ja",""),"")</f>
        <v/>
      </c>
    </row>
    <row r="1036" spans="1:31" x14ac:dyDescent="0.25">
      <c r="A1036" s="316"/>
      <c r="B1036" s="317" t="str">
        <f>IF(A1036&lt;&gt;"",_xlfn.MAXIFS($B$1:B1035,$A$1:A1035,A1036)+1,"")</f>
        <v/>
      </c>
      <c r="C1036" s="296"/>
      <c r="D1036" s="296"/>
      <c r="E1036" s="296"/>
      <c r="F1036" s="296"/>
      <c r="G1036" s="326"/>
      <c r="H1036" s="324"/>
      <c r="I1036" s="325"/>
      <c r="J1036" s="325"/>
      <c r="K1036" s="318"/>
      <c r="L1036" s="318"/>
      <c r="M1036" s="319" t="str">
        <f>IFERROR(VLOOKUP(H1036,Lijsten!$H$1:$I$100,2,0),"")</f>
        <v/>
      </c>
      <c r="N1036" s="319" t="str">
        <f ca="1">IFERROR(IF(VLOOKUP(F1036,Kostentypen!$A$3:$E$21,3,0)=0,"",IF(OR(F1036="Arbeidskosten",F1036="Vergoeding"),VLOOKUP(G1036,Tb_KostenTypen[],2,0),VLOOKUP(F1036,Kostentypen!$A$3:$E$20,3,0))),"")</f>
        <v/>
      </c>
      <c r="O1036" s="320" t="str" cm="1">
        <f t="array" ref="O1036">_xlfn.IFNA(IF(INDEX(Tb_KostenOptiesDB[],MATCH($F1036,Tb_KostenOptiesDB[KostenOptie],0),IFERROR(MATCH(Methode_Keuze,Tb_KostenOptiesDB[#Headers],0),2))=1,_xlfn.SWITCH($N1036,"Uurtarief",IF(OR(AND(RIGHT($F1036,3)="IKS",VLOOKUP($M1036,DB_Loonkosten,2,0)="Ja"),AND(RIGHT($F1036,3)&lt;&gt;"IKS",VLOOKUP($M1036,DB_Loonkosten,2,0)="Nee")),IFERROR(VLOOKUP($M1036,DB_Loonkosten,24,0),""),0),"Vast tarief",IF(LEFT(F1036,8)="Bijdrage",VLOOKUP($F1036,Tb_KostenTypen[],MATCH(Lijsten!$P$1,Tb_KostenTypen[#Headers],0),0),VLOOKUP($G1036,Lijsten!L:P,MATCH(Lijsten!$P$1,Kop_Tarief_Vast,0),0))),""),"")</f>
        <v/>
      </c>
      <c r="P1036" s="320" t="str" cm="1">
        <f t="array" ref="P1036">_xlfn.IFNA(IF(INDEX(Tb_KostenOptiesDB[],MATCH($F1036,Tb_KostenOptiesDB[KostenOptie],0),IFERROR(MATCH(Methode_Keuze,Tb_KostenOptiesDB[#Headers],0),2))=1,_xlfn.SWITCH($N1036,"Uurtarief",IF(OR(AND(RIGHT($F1036,3)="IKS",VLOOKUP($M1036,DB_Loonkosten,2,0)="Ja"),AND(RIGHT($F1036,3)&lt;&gt;"IKS",VLOOKUP($M1036,DB_Loonkosten,2,0)="Nee")),IFERROR(VLOOKUP($M1036,DB_Loonkosten,25,0),""),0),"Vast tarief",IF(LEFT(F1036,8)="Bijdrage",VLOOKUP($F1036,Tb_KostenTypen[],MATCH(Lijsten!$P$1,Tb_KostenTypen[#Headers],0),0),VLOOKUP($G1036,Lijsten!L:P,MATCH(Lijsten!$P$1,Kop_Tarief_Vast,0),0))),""),"")</f>
        <v/>
      </c>
      <c r="Q1036" s="359"/>
      <c r="R1036" s="359"/>
      <c r="S1036" s="321"/>
      <c r="T1036" s="321"/>
      <c r="U1036" s="373" t="str">
        <f t="shared" si="64"/>
        <v/>
      </c>
      <c r="V1036" s="314" t="str">
        <f t="shared" si="65"/>
        <v/>
      </c>
      <c r="W1036" s="314" t="str" cm="1">
        <f t="array" aca="1" ref="W1036" ca="1">IFERROR(IF(AE1036&lt;&gt;"ja",_xlfn.IFNA(_xlfn.IFS(AND(O1036&lt;&gt;"",F1036&lt;&gt;"",RIGHT($N1036,6)="tarief",F1036="Vergoeding"),SUM(O1036)*FLOOR(SUM(Q1036),0.0001),AND(O1036&lt;&gt;"",F1036&lt;&gt;"",RIGHT($N1036,6)="tarief"),SUM(O1036)*FLOOR(SUM(Q1036),0.01),S1036&gt;0,IF(F1036&lt;&gt;"",FLOOR(SUM(S1036),0.01),"")),""),""),"")</f>
        <v/>
      </c>
      <c r="X1036" s="314" t="str" cm="1">
        <f t="array" aca="1" ref="X1036" ca="1">IFERROR(IF(AE1036&lt;&gt;"ja",_xlfn.IFNA(_xlfn.IFS(AND(P1036&lt;&gt;"",R1036&lt;&gt;"",RIGHT($N1036,6)="tarief",F1036="Vergoeding"),SUM(P1036)*FLOOR(SUM(R1036),0.0001),AND(P1036&lt;&gt;"",R1036&lt;&gt;"",RIGHT($N1036,6)="tarief"),P1036*FLOOR(R1036,0.01),T1036&gt;0,FLOOR(SUM(T1036),0.01)),""),""),"")</f>
        <v/>
      </c>
      <c r="Y1036" s="314" t="str">
        <f t="shared" ca="1" si="66"/>
        <v/>
      </c>
      <c r="Z1036" s="314" t="str" cm="1">
        <f t="array" aca="1" ref="Z1036" ca="1">IFERROR(_xlfn.IFS(OR(F1036="",LEFT(Methode_Keuze,4)="Geen",Methode_Keuze=""),"",AND(W1036&lt;&gt;"",F1036&lt;&gt;"Arbeidskosten"),W1036*VLOOKUP(F1036,Tb_ProjectKosten[],MATCH(Tb_ProjectKosten[[#Headers],[Forfait_Percentage]],Tb_ProjectKosten[#Headers],0),0),AND(F1036="Arbeidskosten",G1036&lt;&gt;""),IFERROR(W1036*VLOOKUP(G1036,Tb_KostenTypen[],3,0)*VLOOKUP(F1036,Tb_ProjectKosten[],MATCH(Tb_ProjectKosten[[#Headers],[Forfait_Percentage]],Tb_ProjectKosten[#Headers],0),0),""),W1036 &lt;=0,0),"")</f>
        <v/>
      </c>
      <c r="AA1036" s="314" t="str" cm="1">
        <f t="array" aca="1" ref="AA1036" ca="1">IFERROR(_xlfn.IFS(OR(F1036="",LEFT(Methode_Keuze,4)="Geen",Methode_Keuze=""),"",AND(X1036&lt;&gt;"",F1036&lt;&gt;"Arbeidskosten"),X1036*VLOOKUP(F1036,Tb_ProjectKosten[],MATCH(Tb_ProjectKosten[[#Headers],[Forfait_Percentage]],Tb_ProjectKosten[#Headers],0),0),AND(F1036="Arbeidskosten",G1036&lt;&gt;""),IFERROR(X1036*VLOOKUP(G1036,Tb_KostenTypen[],3,0)*VLOOKUP(F1036,Tb_ProjectKosten[],MATCH(Tb_ProjectKosten[[#Headers],[Forfait_Percentage]],Tb_ProjectKosten[#Headers],0),0),""),X1036 &lt;=0,0),"")</f>
        <v/>
      </c>
      <c r="AB1036" s="314" t="str">
        <f t="shared" ca="1" si="67"/>
        <v/>
      </c>
      <c r="AC1036" s="322"/>
      <c r="AD1036" s="315"/>
      <c r="AE1036" s="32" t="str" cm="1">
        <f t="array" ref="AE1036">IFERROR(IF(INDEX(SubsidieTabel!$AD$1:$AG$12,MATCH($F1036,SubsidieTabel!$AD$1:$AD$12,0),IFERROR(MATCH(Methode_Keuze,SubsidieTabel!$AD$1:$AG$1,0),2))&lt;&gt;1=TRUE,"ja",""),"")</f>
        <v/>
      </c>
    </row>
    <row r="1037" spans="1:31" x14ac:dyDescent="0.25">
      <c r="A1037" s="316"/>
      <c r="B1037" s="317" t="str">
        <f>IF(A1037&lt;&gt;"",_xlfn.MAXIFS($B$1:B1036,$A$1:A1036,A1037)+1,"")</f>
        <v/>
      </c>
      <c r="C1037" s="296"/>
      <c r="D1037" s="296"/>
      <c r="E1037" s="296"/>
      <c r="F1037" s="296"/>
      <c r="G1037" s="326"/>
      <c r="H1037" s="324"/>
      <c r="I1037" s="325"/>
      <c r="J1037" s="325"/>
      <c r="K1037" s="318"/>
      <c r="L1037" s="318"/>
      <c r="M1037" s="319" t="str">
        <f>IFERROR(VLOOKUP(H1037,Lijsten!$H$1:$I$100,2,0),"")</f>
        <v/>
      </c>
      <c r="N1037" s="319" t="str">
        <f ca="1">IFERROR(IF(VLOOKUP(F1037,Kostentypen!$A$3:$E$21,3,0)=0,"",IF(OR(F1037="Arbeidskosten",F1037="Vergoeding"),VLOOKUP(G1037,Tb_KostenTypen[],2,0),VLOOKUP(F1037,Kostentypen!$A$3:$E$20,3,0))),"")</f>
        <v/>
      </c>
      <c r="O1037" s="320" t="str" cm="1">
        <f t="array" ref="O1037">_xlfn.IFNA(IF(INDEX(Tb_KostenOptiesDB[],MATCH($F1037,Tb_KostenOptiesDB[KostenOptie],0),IFERROR(MATCH(Methode_Keuze,Tb_KostenOptiesDB[#Headers],0),2))=1,_xlfn.SWITCH($N1037,"Uurtarief",IF(OR(AND(RIGHT($F1037,3)="IKS",VLOOKUP($M1037,DB_Loonkosten,2,0)="Ja"),AND(RIGHT($F1037,3)&lt;&gt;"IKS",VLOOKUP($M1037,DB_Loonkosten,2,0)="Nee")),IFERROR(VLOOKUP($M1037,DB_Loonkosten,24,0),""),0),"Vast tarief",IF(LEFT(F1037,8)="Bijdrage",VLOOKUP($F1037,Tb_KostenTypen[],MATCH(Lijsten!$P$1,Tb_KostenTypen[#Headers],0),0),VLOOKUP($G1037,Lijsten!L:P,MATCH(Lijsten!$P$1,Kop_Tarief_Vast,0),0))),""),"")</f>
        <v/>
      </c>
      <c r="P1037" s="320" t="str" cm="1">
        <f t="array" ref="P1037">_xlfn.IFNA(IF(INDEX(Tb_KostenOptiesDB[],MATCH($F1037,Tb_KostenOptiesDB[KostenOptie],0),IFERROR(MATCH(Methode_Keuze,Tb_KostenOptiesDB[#Headers],0),2))=1,_xlfn.SWITCH($N1037,"Uurtarief",IF(OR(AND(RIGHT($F1037,3)="IKS",VLOOKUP($M1037,DB_Loonkosten,2,0)="Ja"),AND(RIGHT($F1037,3)&lt;&gt;"IKS",VLOOKUP($M1037,DB_Loonkosten,2,0)="Nee")),IFERROR(VLOOKUP($M1037,DB_Loonkosten,25,0),""),0),"Vast tarief",IF(LEFT(F1037,8)="Bijdrage",VLOOKUP($F1037,Tb_KostenTypen[],MATCH(Lijsten!$P$1,Tb_KostenTypen[#Headers],0),0),VLOOKUP($G1037,Lijsten!L:P,MATCH(Lijsten!$P$1,Kop_Tarief_Vast,0),0))),""),"")</f>
        <v/>
      </c>
      <c r="Q1037" s="359"/>
      <c r="R1037" s="359"/>
      <c r="S1037" s="321"/>
      <c r="T1037" s="321"/>
      <c r="U1037" s="373" t="str">
        <f t="shared" si="64"/>
        <v/>
      </c>
      <c r="V1037" s="314" t="str">
        <f t="shared" si="65"/>
        <v/>
      </c>
      <c r="W1037" s="314" t="str" cm="1">
        <f t="array" aca="1" ref="W1037" ca="1">IFERROR(IF(AE1037&lt;&gt;"ja",_xlfn.IFNA(_xlfn.IFS(AND(O1037&lt;&gt;"",F1037&lt;&gt;"",RIGHT($N1037,6)="tarief",F1037="Vergoeding"),SUM(O1037)*FLOOR(SUM(Q1037),0.0001),AND(O1037&lt;&gt;"",F1037&lt;&gt;"",RIGHT($N1037,6)="tarief"),SUM(O1037)*FLOOR(SUM(Q1037),0.01),S1037&gt;0,IF(F1037&lt;&gt;"",FLOOR(SUM(S1037),0.01),"")),""),""),"")</f>
        <v/>
      </c>
      <c r="X1037" s="314" t="str" cm="1">
        <f t="array" aca="1" ref="X1037" ca="1">IFERROR(IF(AE1037&lt;&gt;"ja",_xlfn.IFNA(_xlfn.IFS(AND(P1037&lt;&gt;"",R1037&lt;&gt;"",RIGHT($N1037,6)="tarief",F1037="Vergoeding"),SUM(P1037)*FLOOR(SUM(R1037),0.0001),AND(P1037&lt;&gt;"",R1037&lt;&gt;"",RIGHT($N1037,6)="tarief"),P1037*FLOOR(R1037,0.01),T1037&gt;0,FLOOR(SUM(T1037),0.01)),""),""),"")</f>
        <v/>
      </c>
      <c r="Y1037" s="314" t="str">
        <f t="shared" ca="1" si="66"/>
        <v/>
      </c>
      <c r="Z1037" s="314" t="str" cm="1">
        <f t="array" aca="1" ref="Z1037" ca="1">IFERROR(_xlfn.IFS(OR(F1037="",LEFT(Methode_Keuze,4)="Geen",Methode_Keuze=""),"",AND(W1037&lt;&gt;"",F1037&lt;&gt;"Arbeidskosten"),W1037*VLOOKUP(F1037,Tb_ProjectKosten[],MATCH(Tb_ProjectKosten[[#Headers],[Forfait_Percentage]],Tb_ProjectKosten[#Headers],0),0),AND(F1037="Arbeidskosten",G1037&lt;&gt;""),IFERROR(W1037*VLOOKUP(G1037,Tb_KostenTypen[],3,0)*VLOOKUP(F1037,Tb_ProjectKosten[],MATCH(Tb_ProjectKosten[[#Headers],[Forfait_Percentage]],Tb_ProjectKosten[#Headers],0),0),""),W1037 &lt;=0,0),"")</f>
        <v/>
      </c>
      <c r="AA1037" s="314" t="str" cm="1">
        <f t="array" aca="1" ref="AA1037" ca="1">IFERROR(_xlfn.IFS(OR(F1037="",LEFT(Methode_Keuze,4)="Geen",Methode_Keuze=""),"",AND(X1037&lt;&gt;"",F1037&lt;&gt;"Arbeidskosten"),X1037*VLOOKUP(F1037,Tb_ProjectKosten[],MATCH(Tb_ProjectKosten[[#Headers],[Forfait_Percentage]],Tb_ProjectKosten[#Headers],0),0),AND(F1037="Arbeidskosten",G1037&lt;&gt;""),IFERROR(X1037*VLOOKUP(G1037,Tb_KostenTypen[],3,0)*VLOOKUP(F1037,Tb_ProjectKosten[],MATCH(Tb_ProjectKosten[[#Headers],[Forfait_Percentage]],Tb_ProjectKosten[#Headers],0),0),""),X1037 &lt;=0,0),"")</f>
        <v/>
      </c>
      <c r="AB1037" s="314" t="str">
        <f t="shared" ca="1" si="67"/>
        <v/>
      </c>
      <c r="AC1037" s="322"/>
      <c r="AD1037" s="315"/>
      <c r="AE1037" s="32" t="str" cm="1">
        <f t="array" ref="AE1037">IFERROR(IF(INDEX(SubsidieTabel!$AD$1:$AG$12,MATCH($F1037,SubsidieTabel!$AD$1:$AD$12,0),IFERROR(MATCH(Methode_Keuze,SubsidieTabel!$AD$1:$AG$1,0),2))&lt;&gt;1=TRUE,"ja",""),"")</f>
        <v/>
      </c>
    </row>
    <row r="1038" spans="1:31" x14ac:dyDescent="0.25">
      <c r="A1038" s="316"/>
      <c r="B1038" s="317" t="str">
        <f>IF(A1038&lt;&gt;"",_xlfn.MAXIFS($B$1:B1037,$A$1:A1037,A1038)+1,"")</f>
        <v/>
      </c>
      <c r="C1038" s="296"/>
      <c r="D1038" s="296"/>
      <c r="E1038" s="296"/>
      <c r="F1038" s="296"/>
      <c r="G1038" s="326"/>
      <c r="H1038" s="324"/>
      <c r="I1038" s="325"/>
      <c r="J1038" s="325"/>
      <c r="K1038" s="318"/>
      <c r="L1038" s="318"/>
      <c r="M1038" s="319" t="str">
        <f>IFERROR(VLOOKUP(H1038,Lijsten!$H$1:$I$100,2,0),"")</f>
        <v/>
      </c>
      <c r="N1038" s="319" t="str">
        <f ca="1">IFERROR(IF(VLOOKUP(F1038,Kostentypen!$A$3:$E$21,3,0)=0,"",IF(OR(F1038="Arbeidskosten",F1038="Vergoeding"),VLOOKUP(G1038,Tb_KostenTypen[],2,0),VLOOKUP(F1038,Kostentypen!$A$3:$E$20,3,0))),"")</f>
        <v/>
      </c>
      <c r="O1038" s="320" t="str" cm="1">
        <f t="array" ref="O1038">_xlfn.IFNA(IF(INDEX(Tb_KostenOptiesDB[],MATCH($F1038,Tb_KostenOptiesDB[KostenOptie],0),IFERROR(MATCH(Methode_Keuze,Tb_KostenOptiesDB[#Headers],0),2))=1,_xlfn.SWITCH($N1038,"Uurtarief",IF(OR(AND(RIGHT($F1038,3)="IKS",VLOOKUP($M1038,DB_Loonkosten,2,0)="Ja"),AND(RIGHT($F1038,3)&lt;&gt;"IKS",VLOOKUP($M1038,DB_Loonkosten,2,0)="Nee")),IFERROR(VLOOKUP($M1038,DB_Loonkosten,24,0),""),0),"Vast tarief",IF(LEFT(F1038,8)="Bijdrage",VLOOKUP($F1038,Tb_KostenTypen[],MATCH(Lijsten!$P$1,Tb_KostenTypen[#Headers],0),0),VLOOKUP($G1038,Lijsten!L:P,MATCH(Lijsten!$P$1,Kop_Tarief_Vast,0),0))),""),"")</f>
        <v/>
      </c>
      <c r="P1038" s="320" t="str" cm="1">
        <f t="array" ref="P1038">_xlfn.IFNA(IF(INDEX(Tb_KostenOptiesDB[],MATCH($F1038,Tb_KostenOptiesDB[KostenOptie],0),IFERROR(MATCH(Methode_Keuze,Tb_KostenOptiesDB[#Headers],0),2))=1,_xlfn.SWITCH($N1038,"Uurtarief",IF(OR(AND(RIGHT($F1038,3)="IKS",VLOOKUP($M1038,DB_Loonkosten,2,0)="Ja"),AND(RIGHT($F1038,3)&lt;&gt;"IKS",VLOOKUP($M1038,DB_Loonkosten,2,0)="Nee")),IFERROR(VLOOKUP($M1038,DB_Loonkosten,25,0),""),0),"Vast tarief",IF(LEFT(F1038,8)="Bijdrage",VLOOKUP($F1038,Tb_KostenTypen[],MATCH(Lijsten!$P$1,Tb_KostenTypen[#Headers],0),0),VLOOKUP($G1038,Lijsten!L:P,MATCH(Lijsten!$P$1,Kop_Tarief_Vast,0),0))),""),"")</f>
        <v/>
      </c>
      <c r="Q1038" s="359"/>
      <c r="R1038" s="359"/>
      <c r="S1038" s="321"/>
      <c r="T1038" s="321"/>
      <c r="U1038" s="373" t="str">
        <f t="shared" si="64"/>
        <v/>
      </c>
      <c r="V1038" s="314" t="str">
        <f t="shared" si="65"/>
        <v/>
      </c>
      <c r="W1038" s="314" t="str" cm="1">
        <f t="array" aca="1" ref="W1038" ca="1">IFERROR(IF(AE1038&lt;&gt;"ja",_xlfn.IFNA(_xlfn.IFS(AND(O1038&lt;&gt;"",F1038&lt;&gt;"",RIGHT($N1038,6)="tarief",F1038="Vergoeding"),SUM(O1038)*FLOOR(SUM(Q1038),0.0001),AND(O1038&lt;&gt;"",F1038&lt;&gt;"",RIGHT($N1038,6)="tarief"),SUM(O1038)*FLOOR(SUM(Q1038),0.01),S1038&gt;0,IF(F1038&lt;&gt;"",FLOOR(SUM(S1038),0.01),"")),""),""),"")</f>
        <v/>
      </c>
      <c r="X1038" s="314" t="str" cm="1">
        <f t="array" aca="1" ref="X1038" ca="1">IFERROR(IF(AE1038&lt;&gt;"ja",_xlfn.IFNA(_xlfn.IFS(AND(P1038&lt;&gt;"",R1038&lt;&gt;"",RIGHT($N1038,6)="tarief",F1038="Vergoeding"),SUM(P1038)*FLOOR(SUM(R1038),0.0001),AND(P1038&lt;&gt;"",R1038&lt;&gt;"",RIGHT($N1038,6)="tarief"),P1038*FLOOR(R1038,0.01),T1038&gt;0,FLOOR(SUM(T1038),0.01)),""),""),"")</f>
        <v/>
      </c>
      <c r="Y1038" s="314" t="str">
        <f t="shared" ca="1" si="66"/>
        <v/>
      </c>
      <c r="Z1038" s="314" t="str" cm="1">
        <f t="array" aca="1" ref="Z1038" ca="1">IFERROR(_xlfn.IFS(OR(F1038="",LEFT(Methode_Keuze,4)="Geen",Methode_Keuze=""),"",AND(W1038&lt;&gt;"",F1038&lt;&gt;"Arbeidskosten"),W1038*VLOOKUP(F1038,Tb_ProjectKosten[],MATCH(Tb_ProjectKosten[[#Headers],[Forfait_Percentage]],Tb_ProjectKosten[#Headers],0),0),AND(F1038="Arbeidskosten",G1038&lt;&gt;""),IFERROR(W1038*VLOOKUP(G1038,Tb_KostenTypen[],3,0)*VLOOKUP(F1038,Tb_ProjectKosten[],MATCH(Tb_ProjectKosten[[#Headers],[Forfait_Percentage]],Tb_ProjectKosten[#Headers],0),0),""),W1038 &lt;=0,0),"")</f>
        <v/>
      </c>
      <c r="AA1038" s="314" t="str" cm="1">
        <f t="array" aca="1" ref="AA1038" ca="1">IFERROR(_xlfn.IFS(OR(F1038="",LEFT(Methode_Keuze,4)="Geen",Methode_Keuze=""),"",AND(X1038&lt;&gt;"",F1038&lt;&gt;"Arbeidskosten"),X1038*VLOOKUP(F1038,Tb_ProjectKosten[],MATCH(Tb_ProjectKosten[[#Headers],[Forfait_Percentage]],Tb_ProjectKosten[#Headers],0),0),AND(F1038="Arbeidskosten",G1038&lt;&gt;""),IFERROR(X1038*VLOOKUP(G1038,Tb_KostenTypen[],3,0)*VLOOKUP(F1038,Tb_ProjectKosten[],MATCH(Tb_ProjectKosten[[#Headers],[Forfait_Percentage]],Tb_ProjectKosten[#Headers],0),0),""),X1038 &lt;=0,0),"")</f>
        <v/>
      </c>
      <c r="AB1038" s="314" t="str">
        <f t="shared" ca="1" si="67"/>
        <v/>
      </c>
      <c r="AC1038" s="322"/>
      <c r="AD1038" s="315"/>
      <c r="AE1038" s="32" t="str" cm="1">
        <f t="array" ref="AE1038">IFERROR(IF(INDEX(SubsidieTabel!$AD$1:$AG$12,MATCH($F1038,SubsidieTabel!$AD$1:$AD$12,0),IFERROR(MATCH(Methode_Keuze,SubsidieTabel!$AD$1:$AG$1,0),2))&lt;&gt;1=TRUE,"ja",""),"")</f>
        <v/>
      </c>
    </row>
    <row r="1039" spans="1:31" x14ac:dyDescent="0.25">
      <c r="A1039" s="316"/>
      <c r="B1039" s="317" t="str">
        <f>IF(A1039&lt;&gt;"",_xlfn.MAXIFS($B$1:B1038,$A$1:A1038,A1039)+1,"")</f>
        <v/>
      </c>
      <c r="C1039" s="296"/>
      <c r="D1039" s="296"/>
      <c r="E1039" s="296"/>
      <c r="F1039" s="296"/>
      <c r="G1039" s="326"/>
      <c r="H1039" s="324"/>
      <c r="I1039" s="325"/>
      <c r="J1039" s="325"/>
      <c r="K1039" s="318"/>
      <c r="L1039" s="318"/>
      <c r="M1039" s="319" t="str">
        <f>IFERROR(VLOOKUP(H1039,Lijsten!$H$1:$I$100,2,0),"")</f>
        <v/>
      </c>
      <c r="N1039" s="319" t="str">
        <f ca="1">IFERROR(IF(VLOOKUP(F1039,Kostentypen!$A$3:$E$21,3,0)=0,"",IF(OR(F1039="Arbeidskosten",F1039="Vergoeding"),VLOOKUP(G1039,Tb_KostenTypen[],2,0),VLOOKUP(F1039,Kostentypen!$A$3:$E$20,3,0))),"")</f>
        <v/>
      </c>
      <c r="O1039" s="320" t="str" cm="1">
        <f t="array" ref="O1039">_xlfn.IFNA(IF(INDEX(Tb_KostenOptiesDB[],MATCH($F1039,Tb_KostenOptiesDB[KostenOptie],0),IFERROR(MATCH(Methode_Keuze,Tb_KostenOptiesDB[#Headers],0),2))=1,_xlfn.SWITCH($N1039,"Uurtarief",IF(OR(AND(RIGHT($F1039,3)="IKS",VLOOKUP($M1039,DB_Loonkosten,2,0)="Ja"),AND(RIGHT($F1039,3)&lt;&gt;"IKS",VLOOKUP($M1039,DB_Loonkosten,2,0)="Nee")),IFERROR(VLOOKUP($M1039,DB_Loonkosten,24,0),""),0),"Vast tarief",IF(LEFT(F1039,8)="Bijdrage",VLOOKUP($F1039,Tb_KostenTypen[],MATCH(Lijsten!$P$1,Tb_KostenTypen[#Headers],0),0),VLOOKUP($G1039,Lijsten!L:P,MATCH(Lijsten!$P$1,Kop_Tarief_Vast,0),0))),""),"")</f>
        <v/>
      </c>
      <c r="P1039" s="320" t="str" cm="1">
        <f t="array" ref="P1039">_xlfn.IFNA(IF(INDEX(Tb_KostenOptiesDB[],MATCH($F1039,Tb_KostenOptiesDB[KostenOptie],0),IFERROR(MATCH(Methode_Keuze,Tb_KostenOptiesDB[#Headers],0),2))=1,_xlfn.SWITCH($N1039,"Uurtarief",IF(OR(AND(RIGHT($F1039,3)="IKS",VLOOKUP($M1039,DB_Loonkosten,2,0)="Ja"),AND(RIGHT($F1039,3)&lt;&gt;"IKS",VLOOKUP($M1039,DB_Loonkosten,2,0)="Nee")),IFERROR(VLOOKUP($M1039,DB_Loonkosten,25,0),""),0),"Vast tarief",IF(LEFT(F1039,8)="Bijdrage",VLOOKUP($F1039,Tb_KostenTypen[],MATCH(Lijsten!$P$1,Tb_KostenTypen[#Headers],0),0),VLOOKUP($G1039,Lijsten!L:P,MATCH(Lijsten!$P$1,Kop_Tarief_Vast,0),0))),""),"")</f>
        <v/>
      </c>
      <c r="Q1039" s="359"/>
      <c r="R1039" s="359"/>
      <c r="S1039" s="321"/>
      <c r="T1039" s="321"/>
      <c r="U1039" s="373" t="str">
        <f t="shared" si="64"/>
        <v/>
      </c>
      <c r="V1039" s="314" t="str">
        <f t="shared" si="65"/>
        <v/>
      </c>
      <c r="W1039" s="314" t="str" cm="1">
        <f t="array" aca="1" ref="W1039" ca="1">IFERROR(IF(AE1039&lt;&gt;"ja",_xlfn.IFNA(_xlfn.IFS(AND(O1039&lt;&gt;"",F1039&lt;&gt;"",RIGHT($N1039,6)="tarief",F1039="Vergoeding"),SUM(O1039)*FLOOR(SUM(Q1039),0.0001),AND(O1039&lt;&gt;"",F1039&lt;&gt;"",RIGHT($N1039,6)="tarief"),SUM(O1039)*FLOOR(SUM(Q1039),0.01),S1039&gt;0,IF(F1039&lt;&gt;"",FLOOR(SUM(S1039),0.01),"")),""),""),"")</f>
        <v/>
      </c>
      <c r="X1039" s="314" t="str" cm="1">
        <f t="array" aca="1" ref="X1039" ca="1">IFERROR(IF(AE1039&lt;&gt;"ja",_xlfn.IFNA(_xlfn.IFS(AND(P1039&lt;&gt;"",R1039&lt;&gt;"",RIGHT($N1039,6)="tarief",F1039="Vergoeding"),SUM(P1039)*FLOOR(SUM(R1039),0.0001),AND(P1039&lt;&gt;"",R1039&lt;&gt;"",RIGHT($N1039,6)="tarief"),P1039*FLOOR(R1039,0.01),T1039&gt;0,FLOOR(SUM(T1039),0.01)),""),""),"")</f>
        <v/>
      </c>
      <c r="Y1039" s="314" t="str">
        <f t="shared" ca="1" si="66"/>
        <v/>
      </c>
      <c r="Z1039" s="314" t="str" cm="1">
        <f t="array" aca="1" ref="Z1039" ca="1">IFERROR(_xlfn.IFS(OR(F1039="",LEFT(Methode_Keuze,4)="Geen",Methode_Keuze=""),"",AND(W1039&lt;&gt;"",F1039&lt;&gt;"Arbeidskosten"),W1039*VLOOKUP(F1039,Tb_ProjectKosten[],MATCH(Tb_ProjectKosten[[#Headers],[Forfait_Percentage]],Tb_ProjectKosten[#Headers],0),0),AND(F1039="Arbeidskosten",G1039&lt;&gt;""),IFERROR(W1039*VLOOKUP(G1039,Tb_KostenTypen[],3,0)*VLOOKUP(F1039,Tb_ProjectKosten[],MATCH(Tb_ProjectKosten[[#Headers],[Forfait_Percentage]],Tb_ProjectKosten[#Headers],0),0),""),W1039 &lt;=0,0),"")</f>
        <v/>
      </c>
      <c r="AA1039" s="314" t="str" cm="1">
        <f t="array" aca="1" ref="AA1039" ca="1">IFERROR(_xlfn.IFS(OR(F1039="",LEFT(Methode_Keuze,4)="Geen",Methode_Keuze=""),"",AND(X1039&lt;&gt;"",F1039&lt;&gt;"Arbeidskosten"),X1039*VLOOKUP(F1039,Tb_ProjectKosten[],MATCH(Tb_ProjectKosten[[#Headers],[Forfait_Percentage]],Tb_ProjectKosten[#Headers],0),0),AND(F1039="Arbeidskosten",G1039&lt;&gt;""),IFERROR(X1039*VLOOKUP(G1039,Tb_KostenTypen[],3,0)*VLOOKUP(F1039,Tb_ProjectKosten[],MATCH(Tb_ProjectKosten[[#Headers],[Forfait_Percentage]],Tb_ProjectKosten[#Headers],0),0),""),X1039 &lt;=0,0),"")</f>
        <v/>
      </c>
      <c r="AB1039" s="314" t="str">
        <f t="shared" ca="1" si="67"/>
        <v/>
      </c>
      <c r="AC1039" s="322"/>
      <c r="AD1039" s="315"/>
      <c r="AE1039" s="32" t="str" cm="1">
        <f t="array" ref="AE1039">IFERROR(IF(INDEX(SubsidieTabel!$AD$1:$AG$12,MATCH($F1039,SubsidieTabel!$AD$1:$AD$12,0),IFERROR(MATCH(Methode_Keuze,SubsidieTabel!$AD$1:$AG$1,0),2))&lt;&gt;1=TRUE,"ja",""),"")</f>
        <v/>
      </c>
    </row>
    <row r="1040" spans="1:31" x14ac:dyDescent="0.25">
      <c r="A1040" s="316"/>
      <c r="B1040" s="317" t="str">
        <f>IF(A1040&lt;&gt;"",_xlfn.MAXIFS($B$1:B1039,$A$1:A1039,A1040)+1,"")</f>
        <v/>
      </c>
      <c r="C1040" s="296"/>
      <c r="D1040" s="296"/>
      <c r="E1040" s="296"/>
      <c r="F1040" s="296"/>
      <c r="G1040" s="326"/>
      <c r="H1040" s="324"/>
      <c r="I1040" s="325"/>
      <c r="J1040" s="325"/>
      <c r="K1040" s="318"/>
      <c r="L1040" s="318"/>
      <c r="M1040" s="319" t="str">
        <f>IFERROR(VLOOKUP(H1040,Lijsten!$H$1:$I$100,2,0),"")</f>
        <v/>
      </c>
      <c r="N1040" s="319" t="str">
        <f ca="1">IFERROR(IF(VLOOKUP(F1040,Kostentypen!$A$3:$E$21,3,0)=0,"",IF(OR(F1040="Arbeidskosten",F1040="Vergoeding"),VLOOKUP(G1040,Tb_KostenTypen[],2,0),VLOOKUP(F1040,Kostentypen!$A$3:$E$20,3,0))),"")</f>
        <v/>
      </c>
      <c r="O1040" s="320" t="str" cm="1">
        <f t="array" ref="O1040">_xlfn.IFNA(IF(INDEX(Tb_KostenOptiesDB[],MATCH($F1040,Tb_KostenOptiesDB[KostenOptie],0),IFERROR(MATCH(Methode_Keuze,Tb_KostenOptiesDB[#Headers],0),2))=1,_xlfn.SWITCH($N1040,"Uurtarief",IF(OR(AND(RIGHT($F1040,3)="IKS",VLOOKUP($M1040,DB_Loonkosten,2,0)="Ja"),AND(RIGHT($F1040,3)&lt;&gt;"IKS",VLOOKUP($M1040,DB_Loonkosten,2,0)="Nee")),IFERROR(VLOOKUP($M1040,DB_Loonkosten,24,0),""),0),"Vast tarief",IF(LEFT(F1040,8)="Bijdrage",VLOOKUP($F1040,Tb_KostenTypen[],MATCH(Lijsten!$P$1,Tb_KostenTypen[#Headers],0),0),VLOOKUP($G1040,Lijsten!L:P,MATCH(Lijsten!$P$1,Kop_Tarief_Vast,0),0))),""),"")</f>
        <v/>
      </c>
      <c r="P1040" s="320" t="str" cm="1">
        <f t="array" ref="P1040">_xlfn.IFNA(IF(INDEX(Tb_KostenOptiesDB[],MATCH($F1040,Tb_KostenOptiesDB[KostenOptie],0),IFERROR(MATCH(Methode_Keuze,Tb_KostenOptiesDB[#Headers],0),2))=1,_xlfn.SWITCH($N1040,"Uurtarief",IF(OR(AND(RIGHT($F1040,3)="IKS",VLOOKUP($M1040,DB_Loonkosten,2,0)="Ja"),AND(RIGHT($F1040,3)&lt;&gt;"IKS",VLOOKUP($M1040,DB_Loonkosten,2,0)="Nee")),IFERROR(VLOOKUP($M1040,DB_Loonkosten,25,0),""),0),"Vast tarief",IF(LEFT(F1040,8)="Bijdrage",VLOOKUP($F1040,Tb_KostenTypen[],MATCH(Lijsten!$P$1,Tb_KostenTypen[#Headers],0),0),VLOOKUP($G1040,Lijsten!L:P,MATCH(Lijsten!$P$1,Kop_Tarief_Vast,0),0))),""),"")</f>
        <v/>
      </c>
      <c r="Q1040" s="359"/>
      <c r="R1040" s="359"/>
      <c r="S1040" s="321"/>
      <c r="T1040" s="321"/>
      <c r="U1040" s="373" t="str">
        <f t="shared" si="64"/>
        <v/>
      </c>
      <c r="V1040" s="314" t="str">
        <f t="shared" si="65"/>
        <v/>
      </c>
      <c r="W1040" s="314" t="str" cm="1">
        <f t="array" aca="1" ref="W1040" ca="1">IFERROR(IF(AE1040&lt;&gt;"ja",_xlfn.IFNA(_xlfn.IFS(AND(O1040&lt;&gt;"",F1040&lt;&gt;"",RIGHT($N1040,6)="tarief",F1040="Vergoeding"),SUM(O1040)*FLOOR(SUM(Q1040),0.0001),AND(O1040&lt;&gt;"",F1040&lt;&gt;"",RIGHT($N1040,6)="tarief"),SUM(O1040)*FLOOR(SUM(Q1040),0.01),S1040&gt;0,IF(F1040&lt;&gt;"",FLOOR(SUM(S1040),0.01),"")),""),""),"")</f>
        <v/>
      </c>
      <c r="X1040" s="314" t="str" cm="1">
        <f t="array" aca="1" ref="X1040" ca="1">IFERROR(IF(AE1040&lt;&gt;"ja",_xlfn.IFNA(_xlfn.IFS(AND(P1040&lt;&gt;"",R1040&lt;&gt;"",RIGHT($N1040,6)="tarief",F1040="Vergoeding"),SUM(P1040)*FLOOR(SUM(R1040),0.0001),AND(P1040&lt;&gt;"",R1040&lt;&gt;"",RIGHT($N1040,6)="tarief"),P1040*FLOOR(R1040,0.01),T1040&gt;0,FLOOR(SUM(T1040),0.01)),""),""),"")</f>
        <v/>
      </c>
      <c r="Y1040" s="314" t="str">
        <f t="shared" ca="1" si="66"/>
        <v/>
      </c>
      <c r="Z1040" s="314" t="str" cm="1">
        <f t="array" aca="1" ref="Z1040" ca="1">IFERROR(_xlfn.IFS(OR(F1040="",LEFT(Methode_Keuze,4)="Geen",Methode_Keuze=""),"",AND(W1040&lt;&gt;"",F1040&lt;&gt;"Arbeidskosten"),W1040*VLOOKUP(F1040,Tb_ProjectKosten[],MATCH(Tb_ProjectKosten[[#Headers],[Forfait_Percentage]],Tb_ProjectKosten[#Headers],0),0),AND(F1040="Arbeidskosten",G1040&lt;&gt;""),IFERROR(W1040*VLOOKUP(G1040,Tb_KostenTypen[],3,0)*VLOOKUP(F1040,Tb_ProjectKosten[],MATCH(Tb_ProjectKosten[[#Headers],[Forfait_Percentage]],Tb_ProjectKosten[#Headers],0),0),""),W1040 &lt;=0,0),"")</f>
        <v/>
      </c>
      <c r="AA1040" s="314" t="str" cm="1">
        <f t="array" aca="1" ref="AA1040" ca="1">IFERROR(_xlfn.IFS(OR(F1040="",LEFT(Methode_Keuze,4)="Geen",Methode_Keuze=""),"",AND(X1040&lt;&gt;"",F1040&lt;&gt;"Arbeidskosten"),X1040*VLOOKUP(F1040,Tb_ProjectKosten[],MATCH(Tb_ProjectKosten[[#Headers],[Forfait_Percentage]],Tb_ProjectKosten[#Headers],0),0),AND(F1040="Arbeidskosten",G1040&lt;&gt;""),IFERROR(X1040*VLOOKUP(G1040,Tb_KostenTypen[],3,0)*VLOOKUP(F1040,Tb_ProjectKosten[],MATCH(Tb_ProjectKosten[[#Headers],[Forfait_Percentage]],Tb_ProjectKosten[#Headers],0),0),""),X1040 &lt;=0,0),"")</f>
        <v/>
      </c>
      <c r="AB1040" s="314" t="str">
        <f t="shared" ca="1" si="67"/>
        <v/>
      </c>
      <c r="AC1040" s="322"/>
      <c r="AD1040" s="315"/>
      <c r="AE1040" s="32" t="str" cm="1">
        <f t="array" ref="AE1040">IFERROR(IF(INDEX(SubsidieTabel!$AD$1:$AG$12,MATCH($F1040,SubsidieTabel!$AD$1:$AD$12,0),IFERROR(MATCH(Methode_Keuze,SubsidieTabel!$AD$1:$AG$1,0),2))&lt;&gt;1=TRUE,"ja",""),"")</f>
        <v/>
      </c>
    </row>
    <row r="1041" spans="1:31" x14ac:dyDescent="0.25">
      <c r="A1041" s="316"/>
      <c r="B1041" s="317" t="str">
        <f>IF(A1041&lt;&gt;"",_xlfn.MAXIFS($B$1:B1040,$A$1:A1040,A1041)+1,"")</f>
        <v/>
      </c>
      <c r="C1041" s="296"/>
      <c r="D1041" s="296"/>
      <c r="E1041" s="296"/>
      <c r="F1041" s="296"/>
      <c r="G1041" s="326"/>
      <c r="H1041" s="324"/>
      <c r="I1041" s="325"/>
      <c r="J1041" s="325"/>
      <c r="K1041" s="318"/>
      <c r="L1041" s="318"/>
      <c r="M1041" s="319" t="str">
        <f>IFERROR(VLOOKUP(H1041,Lijsten!$H$1:$I$100,2,0),"")</f>
        <v/>
      </c>
      <c r="N1041" s="319" t="str">
        <f ca="1">IFERROR(IF(VLOOKUP(F1041,Kostentypen!$A$3:$E$21,3,0)=0,"",IF(OR(F1041="Arbeidskosten",F1041="Vergoeding"),VLOOKUP(G1041,Tb_KostenTypen[],2,0),VLOOKUP(F1041,Kostentypen!$A$3:$E$20,3,0))),"")</f>
        <v/>
      </c>
      <c r="O1041" s="320" t="str" cm="1">
        <f t="array" ref="O1041">_xlfn.IFNA(IF(INDEX(Tb_KostenOptiesDB[],MATCH($F1041,Tb_KostenOptiesDB[KostenOptie],0),IFERROR(MATCH(Methode_Keuze,Tb_KostenOptiesDB[#Headers],0),2))=1,_xlfn.SWITCH($N1041,"Uurtarief",IF(OR(AND(RIGHT($F1041,3)="IKS",VLOOKUP($M1041,DB_Loonkosten,2,0)="Ja"),AND(RIGHT($F1041,3)&lt;&gt;"IKS",VLOOKUP($M1041,DB_Loonkosten,2,0)="Nee")),IFERROR(VLOOKUP($M1041,DB_Loonkosten,24,0),""),0),"Vast tarief",IF(LEFT(F1041,8)="Bijdrage",VLOOKUP($F1041,Tb_KostenTypen[],MATCH(Lijsten!$P$1,Tb_KostenTypen[#Headers],0),0),VLOOKUP($G1041,Lijsten!L:P,MATCH(Lijsten!$P$1,Kop_Tarief_Vast,0),0))),""),"")</f>
        <v/>
      </c>
      <c r="P1041" s="320" t="str" cm="1">
        <f t="array" ref="P1041">_xlfn.IFNA(IF(INDEX(Tb_KostenOptiesDB[],MATCH($F1041,Tb_KostenOptiesDB[KostenOptie],0),IFERROR(MATCH(Methode_Keuze,Tb_KostenOptiesDB[#Headers],0),2))=1,_xlfn.SWITCH($N1041,"Uurtarief",IF(OR(AND(RIGHT($F1041,3)="IKS",VLOOKUP($M1041,DB_Loonkosten,2,0)="Ja"),AND(RIGHT($F1041,3)&lt;&gt;"IKS",VLOOKUP($M1041,DB_Loonkosten,2,0)="Nee")),IFERROR(VLOOKUP($M1041,DB_Loonkosten,25,0),""),0),"Vast tarief",IF(LEFT(F1041,8)="Bijdrage",VLOOKUP($F1041,Tb_KostenTypen[],MATCH(Lijsten!$P$1,Tb_KostenTypen[#Headers],0),0),VLOOKUP($G1041,Lijsten!L:P,MATCH(Lijsten!$P$1,Kop_Tarief_Vast,0),0))),""),"")</f>
        <v/>
      </c>
      <c r="Q1041" s="359"/>
      <c r="R1041" s="359"/>
      <c r="S1041" s="321"/>
      <c r="T1041" s="321"/>
      <c r="U1041" s="373" t="str">
        <f t="shared" si="64"/>
        <v/>
      </c>
      <c r="V1041" s="314" t="str">
        <f t="shared" si="65"/>
        <v/>
      </c>
      <c r="W1041" s="314" t="str" cm="1">
        <f t="array" aca="1" ref="W1041" ca="1">IFERROR(IF(AE1041&lt;&gt;"ja",_xlfn.IFNA(_xlfn.IFS(AND(O1041&lt;&gt;"",F1041&lt;&gt;"",RIGHT($N1041,6)="tarief",F1041="Vergoeding"),SUM(O1041)*FLOOR(SUM(Q1041),0.0001),AND(O1041&lt;&gt;"",F1041&lt;&gt;"",RIGHT($N1041,6)="tarief"),SUM(O1041)*FLOOR(SUM(Q1041),0.01),S1041&gt;0,IF(F1041&lt;&gt;"",FLOOR(SUM(S1041),0.01),"")),""),""),"")</f>
        <v/>
      </c>
      <c r="X1041" s="314" t="str" cm="1">
        <f t="array" aca="1" ref="X1041" ca="1">IFERROR(IF(AE1041&lt;&gt;"ja",_xlfn.IFNA(_xlfn.IFS(AND(P1041&lt;&gt;"",R1041&lt;&gt;"",RIGHT($N1041,6)="tarief",F1041="Vergoeding"),SUM(P1041)*FLOOR(SUM(R1041),0.0001),AND(P1041&lt;&gt;"",R1041&lt;&gt;"",RIGHT($N1041,6)="tarief"),P1041*FLOOR(R1041,0.01),T1041&gt;0,FLOOR(SUM(T1041),0.01)),""),""),"")</f>
        <v/>
      </c>
      <c r="Y1041" s="314" t="str">
        <f t="shared" ca="1" si="66"/>
        <v/>
      </c>
      <c r="Z1041" s="314" t="str" cm="1">
        <f t="array" aca="1" ref="Z1041" ca="1">IFERROR(_xlfn.IFS(OR(F1041="",LEFT(Methode_Keuze,4)="Geen",Methode_Keuze=""),"",AND(W1041&lt;&gt;"",F1041&lt;&gt;"Arbeidskosten"),W1041*VLOOKUP(F1041,Tb_ProjectKosten[],MATCH(Tb_ProjectKosten[[#Headers],[Forfait_Percentage]],Tb_ProjectKosten[#Headers],0),0),AND(F1041="Arbeidskosten",G1041&lt;&gt;""),IFERROR(W1041*VLOOKUP(G1041,Tb_KostenTypen[],3,0)*VLOOKUP(F1041,Tb_ProjectKosten[],MATCH(Tb_ProjectKosten[[#Headers],[Forfait_Percentage]],Tb_ProjectKosten[#Headers],0),0),""),W1041 &lt;=0,0),"")</f>
        <v/>
      </c>
      <c r="AA1041" s="314" t="str" cm="1">
        <f t="array" aca="1" ref="AA1041" ca="1">IFERROR(_xlfn.IFS(OR(F1041="",LEFT(Methode_Keuze,4)="Geen",Methode_Keuze=""),"",AND(X1041&lt;&gt;"",F1041&lt;&gt;"Arbeidskosten"),X1041*VLOOKUP(F1041,Tb_ProjectKosten[],MATCH(Tb_ProjectKosten[[#Headers],[Forfait_Percentage]],Tb_ProjectKosten[#Headers],0),0),AND(F1041="Arbeidskosten",G1041&lt;&gt;""),IFERROR(X1041*VLOOKUP(G1041,Tb_KostenTypen[],3,0)*VLOOKUP(F1041,Tb_ProjectKosten[],MATCH(Tb_ProjectKosten[[#Headers],[Forfait_Percentage]],Tb_ProjectKosten[#Headers],0),0),""),X1041 &lt;=0,0),"")</f>
        <v/>
      </c>
      <c r="AB1041" s="314" t="str">
        <f t="shared" ca="1" si="67"/>
        <v/>
      </c>
      <c r="AC1041" s="322"/>
      <c r="AD1041" s="315"/>
      <c r="AE1041" s="32" t="str" cm="1">
        <f t="array" ref="AE1041">IFERROR(IF(INDEX(SubsidieTabel!$AD$1:$AG$12,MATCH($F1041,SubsidieTabel!$AD$1:$AD$12,0),IFERROR(MATCH(Methode_Keuze,SubsidieTabel!$AD$1:$AG$1,0),2))&lt;&gt;1=TRUE,"ja",""),"")</f>
        <v/>
      </c>
    </row>
    <row r="1042" spans="1:31" x14ac:dyDescent="0.25">
      <c r="A1042" s="316"/>
      <c r="B1042" s="317" t="str">
        <f>IF(A1042&lt;&gt;"",_xlfn.MAXIFS($B$1:B1041,$A$1:A1041,A1042)+1,"")</f>
        <v/>
      </c>
      <c r="C1042" s="296"/>
      <c r="D1042" s="296"/>
      <c r="E1042" s="296"/>
      <c r="F1042" s="296"/>
      <c r="G1042" s="326"/>
      <c r="H1042" s="324"/>
      <c r="I1042" s="325"/>
      <c r="J1042" s="325"/>
      <c r="K1042" s="318"/>
      <c r="L1042" s="318"/>
      <c r="M1042" s="319" t="str">
        <f>IFERROR(VLOOKUP(H1042,Lijsten!$H$1:$I$100,2,0),"")</f>
        <v/>
      </c>
      <c r="N1042" s="319" t="str">
        <f ca="1">IFERROR(IF(VLOOKUP(F1042,Kostentypen!$A$3:$E$21,3,0)=0,"",IF(OR(F1042="Arbeidskosten",F1042="Vergoeding"),VLOOKUP(G1042,Tb_KostenTypen[],2,0),VLOOKUP(F1042,Kostentypen!$A$3:$E$20,3,0))),"")</f>
        <v/>
      </c>
      <c r="O1042" s="320" t="str" cm="1">
        <f t="array" ref="O1042">_xlfn.IFNA(IF(INDEX(Tb_KostenOptiesDB[],MATCH($F1042,Tb_KostenOptiesDB[KostenOptie],0),IFERROR(MATCH(Methode_Keuze,Tb_KostenOptiesDB[#Headers],0),2))=1,_xlfn.SWITCH($N1042,"Uurtarief",IF(OR(AND(RIGHT($F1042,3)="IKS",VLOOKUP($M1042,DB_Loonkosten,2,0)="Ja"),AND(RIGHT($F1042,3)&lt;&gt;"IKS",VLOOKUP($M1042,DB_Loonkosten,2,0)="Nee")),IFERROR(VLOOKUP($M1042,DB_Loonkosten,24,0),""),0),"Vast tarief",IF(LEFT(F1042,8)="Bijdrage",VLOOKUP($F1042,Tb_KostenTypen[],MATCH(Lijsten!$P$1,Tb_KostenTypen[#Headers],0),0),VLOOKUP($G1042,Lijsten!L:P,MATCH(Lijsten!$P$1,Kop_Tarief_Vast,0),0))),""),"")</f>
        <v/>
      </c>
      <c r="P1042" s="320" t="str" cm="1">
        <f t="array" ref="P1042">_xlfn.IFNA(IF(INDEX(Tb_KostenOptiesDB[],MATCH($F1042,Tb_KostenOptiesDB[KostenOptie],0),IFERROR(MATCH(Methode_Keuze,Tb_KostenOptiesDB[#Headers],0),2))=1,_xlfn.SWITCH($N1042,"Uurtarief",IF(OR(AND(RIGHT($F1042,3)="IKS",VLOOKUP($M1042,DB_Loonkosten,2,0)="Ja"),AND(RIGHT($F1042,3)&lt;&gt;"IKS",VLOOKUP($M1042,DB_Loonkosten,2,0)="Nee")),IFERROR(VLOOKUP($M1042,DB_Loonkosten,25,0),""),0),"Vast tarief",IF(LEFT(F1042,8)="Bijdrage",VLOOKUP($F1042,Tb_KostenTypen[],MATCH(Lijsten!$P$1,Tb_KostenTypen[#Headers],0),0),VLOOKUP($G1042,Lijsten!L:P,MATCH(Lijsten!$P$1,Kop_Tarief_Vast,0),0))),""),"")</f>
        <v/>
      </c>
      <c r="Q1042" s="359"/>
      <c r="R1042" s="359"/>
      <c r="S1042" s="321"/>
      <c r="T1042" s="321"/>
      <c r="U1042" s="373" t="str">
        <f t="shared" si="64"/>
        <v/>
      </c>
      <c r="V1042" s="314" t="str">
        <f t="shared" si="65"/>
        <v/>
      </c>
      <c r="W1042" s="314" t="str" cm="1">
        <f t="array" aca="1" ref="W1042" ca="1">IFERROR(IF(AE1042&lt;&gt;"ja",_xlfn.IFNA(_xlfn.IFS(AND(O1042&lt;&gt;"",F1042&lt;&gt;"",RIGHT($N1042,6)="tarief",F1042="Vergoeding"),SUM(O1042)*FLOOR(SUM(Q1042),0.0001),AND(O1042&lt;&gt;"",F1042&lt;&gt;"",RIGHT($N1042,6)="tarief"),SUM(O1042)*FLOOR(SUM(Q1042),0.01),S1042&gt;0,IF(F1042&lt;&gt;"",FLOOR(SUM(S1042),0.01),"")),""),""),"")</f>
        <v/>
      </c>
      <c r="X1042" s="314" t="str" cm="1">
        <f t="array" aca="1" ref="X1042" ca="1">IFERROR(IF(AE1042&lt;&gt;"ja",_xlfn.IFNA(_xlfn.IFS(AND(P1042&lt;&gt;"",R1042&lt;&gt;"",RIGHT($N1042,6)="tarief",F1042="Vergoeding"),SUM(P1042)*FLOOR(SUM(R1042),0.0001),AND(P1042&lt;&gt;"",R1042&lt;&gt;"",RIGHT($N1042,6)="tarief"),P1042*FLOOR(R1042,0.01),T1042&gt;0,FLOOR(SUM(T1042),0.01)),""),""),"")</f>
        <v/>
      </c>
      <c r="Y1042" s="314" t="str">
        <f t="shared" ca="1" si="66"/>
        <v/>
      </c>
      <c r="Z1042" s="314" t="str" cm="1">
        <f t="array" aca="1" ref="Z1042" ca="1">IFERROR(_xlfn.IFS(OR(F1042="",LEFT(Methode_Keuze,4)="Geen",Methode_Keuze=""),"",AND(W1042&lt;&gt;"",F1042&lt;&gt;"Arbeidskosten"),W1042*VLOOKUP(F1042,Tb_ProjectKosten[],MATCH(Tb_ProjectKosten[[#Headers],[Forfait_Percentage]],Tb_ProjectKosten[#Headers],0),0),AND(F1042="Arbeidskosten",G1042&lt;&gt;""),IFERROR(W1042*VLOOKUP(G1042,Tb_KostenTypen[],3,0)*VLOOKUP(F1042,Tb_ProjectKosten[],MATCH(Tb_ProjectKosten[[#Headers],[Forfait_Percentage]],Tb_ProjectKosten[#Headers],0),0),""),W1042 &lt;=0,0),"")</f>
        <v/>
      </c>
      <c r="AA1042" s="314" t="str" cm="1">
        <f t="array" aca="1" ref="AA1042" ca="1">IFERROR(_xlfn.IFS(OR(F1042="",LEFT(Methode_Keuze,4)="Geen",Methode_Keuze=""),"",AND(X1042&lt;&gt;"",F1042&lt;&gt;"Arbeidskosten"),X1042*VLOOKUP(F1042,Tb_ProjectKosten[],MATCH(Tb_ProjectKosten[[#Headers],[Forfait_Percentage]],Tb_ProjectKosten[#Headers],0),0),AND(F1042="Arbeidskosten",G1042&lt;&gt;""),IFERROR(X1042*VLOOKUP(G1042,Tb_KostenTypen[],3,0)*VLOOKUP(F1042,Tb_ProjectKosten[],MATCH(Tb_ProjectKosten[[#Headers],[Forfait_Percentage]],Tb_ProjectKosten[#Headers],0),0),""),X1042 &lt;=0,0),"")</f>
        <v/>
      </c>
      <c r="AB1042" s="314" t="str">
        <f t="shared" ca="1" si="67"/>
        <v/>
      </c>
      <c r="AC1042" s="322"/>
      <c r="AD1042" s="315"/>
      <c r="AE1042" s="32" t="str" cm="1">
        <f t="array" ref="AE1042">IFERROR(IF(INDEX(SubsidieTabel!$AD$1:$AG$12,MATCH($F1042,SubsidieTabel!$AD$1:$AD$12,0),IFERROR(MATCH(Methode_Keuze,SubsidieTabel!$AD$1:$AG$1,0),2))&lt;&gt;1=TRUE,"ja",""),"")</f>
        <v/>
      </c>
    </row>
    <row r="1043" spans="1:31" x14ac:dyDescent="0.25">
      <c r="A1043" s="316"/>
      <c r="B1043" s="317" t="str">
        <f>IF(A1043&lt;&gt;"",_xlfn.MAXIFS($B$1:B1042,$A$1:A1042,A1043)+1,"")</f>
        <v/>
      </c>
      <c r="C1043" s="296"/>
      <c r="D1043" s="296"/>
      <c r="E1043" s="296"/>
      <c r="F1043" s="296"/>
      <c r="G1043" s="326"/>
      <c r="H1043" s="324"/>
      <c r="I1043" s="325"/>
      <c r="J1043" s="325"/>
      <c r="K1043" s="318"/>
      <c r="L1043" s="318"/>
      <c r="M1043" s="319" t="str">
        <f>IFERROR(VLOOKUP(H1043,Lijsten!$H$1:$I$100,2,0),"")</f>
        <v/>
      </c>
      <c r="N1043" s="319" t="str">
        <f ca="1">IFERROR(IF(VLOOKUP(F1043,Kostentypen!$A$3:$E$21,3,0)=0,"",IF(OR(F1043="Arbeidskosten",F1043="Vergoeding"),VLOOKUP(G1043,Tb_KostenTypen[],2,0),VLOOKUP(F1043,Kostentypen!$A$3:$E$20,3,0))),"")</f>
        <v/>
      </c>
      <c r="O1043" s="320" t="str" cm="1">
        <f t="array" ref="O1043">_xlfn.IFNA(IF(INDEX(Tb_KostenOptiesDB[],MATCH($F1043,Tb_KostenOptiesDB[KostenOptie],0),IFERROR(MATCH(Methode_Keuze,Tb_KostenOptiesDB[#Headers],0),2))=1,_xlfn.SWITCH($N1043,"Uurtarief",IF(OR(AND(RIGHT($F1043,3)="IKS",VLOOKUP($M1043,DB_Loonkosten,2,0)="Ja"),AND(RIGHT($F1043,3)&lt;&gt;"IKS",VLOOKUP($M1043,DB_Loonkosten,2,0)="Nee")),IFERROR(VLOOKUP($M1043,DB_Loonkosten,24,0),""),0),"Vast tarief",IF(LEFT(F1043,8)="Bijdrage",VLOOKUP($F1043,Tb_KostenTypen[],MATCH(Lijsten!$P$1,Tb_KostenTypen[#Headers],0),0),VLOOKUP($G1043,Lijsten!L:P,MATCH(Lijsten!$P$1,Kop_Tarief_Vast,0),0))),""),"")</f>
        <v/>
      </c>
      <c r="P1043" s="320" t="str" cm="1">
        <f t="array" ref="P1043">_xlfn.IFNA(IF(INDEX(Tb_KostenOptiesDB[],MATCH($F1043,Tb_KostenOptiesDB[KostenOptie],0),IFERROR(MATCH(Methode_Keuze,Tb_KostenOptiesDB[#Headers],0),2))=1,_xlfn.SWITCH($N1043,"Uurtarief",IF(OR(AND(RIGHT($F1043,3)="IKS",VLOOKUP($M1043,DB_Loonkosten,2,0)="Ja"),AND(RIGHT($F1043,3)&lt;&gt;"IKS",VLOOKUP($M1043,DB_Loonkosten,2,0)="Nee")),IFERROR(VLOOKUP($M1043,DB_Loonkosten,25,0),""),0),"Vast tarief",IF(LEFT(F1043,8)="Bijdrage",VLOOKUP($F1043,Tb_KostenTypen[],MATCH(Lijsten!$P$1,Tb_KostenTypen[#Headers],0),0),VLOOKUP($G1043,Lijsten!L:P,MATCH(Lijsten!$P$1,Kop_Tarief_Vast,0),0))),""),"")</f>
        <v/>
      </c>
      <c r="Q1043" s="359"/>
      <c r="R1043" s="359"/>
      <c r="S1043" s="321"/>
      <c r="T1043" s="321"/>
      <c r="U1043" s="373" t="str">
        <f t="shared" si="64"/>
        <v/>
      </c>
      <c r="V1043" s="314" t="str">
        <f t="shared" si="65"/>
        <v/>
      </c>
      <c r="W1043" s="314" t="str" cm="1">
        <f t="array" aca="1" ref="W1043" ca="1">IFERROR(IF(AE1043&lt;&gt;"ja",_xlfn.IFNA(_xlfn.IFS(AND(O1043&lt;&gt;"",F1043&lt;&gt;"",RIGHT($N1043,6)="tarief",F1043="Vergoeding"),SUM(O1043)*FLOOR(SUM(Q1043),0.0001),AND(O1043&lt;&gt;"",F1043&lt;&gt;"",RIGHT($N1043,6)="tarief"),SUM(O1043)*FLOOR(SUM(Q1043),0.01),S1043&gt;0,IF(F1043&lt;&gt;"",FLOOR(SUM(S1043),0.01),"")),""),""),"")</f>
        <v/>
      </c>
      <c r="X1043" s="314" t="str" cm="1">
        <f t="array" aca="1" ref="X1043" ca="1">IFERROR(IF(AE1043&lt;&gt;"ja",_xlfn.IFNA(_xlfn.IFS(AND(P1043&lt;&gt;"",R1043&lt;&gt;"",RIGHT($N1043,6)="tarief",F1043="Vergoeding"),SUM(P1043)*FLOOR(SUM(R1043),0.0001),AND(P1043&lt;&gt;"",R1043&lt;&gt;"",RIGHT($N1043,6)="tarief"),P1043*FLOOR(R1043,0.01),T1043&gt;0,FLOOR(SUM(T1043),0.01)),""),""),"")</f>
        <v/>
      </c>
      <c r="Y1043" s="314" t="str">
        <f t="shared" ca="1" si="66"/>
        <v/>
      </c>
      <c r="Z1043" s="314" t="str" cm="1">
        <f t="array" aca="1" ref="Z1043" ca="1">IFERROR(_xlfn.IFS(OR(F1043="",LEFT(Methode_Keuze,4)="Geen",Methode_Keuze=""),"",AND(W1043&lt;&gt;"",F1043&lt;&gt;"Arbeidskosten"),W1043*VLOOKUP(F1043,Tb_ProjectKosten[],MATCH(Tb_ProjectKosten[[#Headers],[Forfait_Percentage]],Tb_ProjectKosten[#Headers],0),0),AND(F1043="Arbeidskosten",G1043&lt;&gt;""),IFERROR(W1043*VLOOKUP(G1043,Tb_KostenTypen[],3,0)*VLOOKUP(F1043,Tb_ProjectKosten[],MATCH(Tb_ProjectKosten[[#Headers],[Forfait_Percentage]],Tb_ProjectKosten[#Headers],0),0),""),W1043 &lt;=0,0),"")</f>
        <v/>
      </c>
      <c r="AA1043" s="314" t="str" cm="1">
        <f t="array" aca="1" ref="AA1043" ca="1">IFERROR(_xlfn.IFS(OR(F1043="",LEFT(Methode_Keuze,4)="Geen",Methode_Keuze=""),"",AND(X1043&lt;&gt;"",F1043&lt;&gt;"Arbeidskosten"),X1043*VLOOKUP(F1043,Tb_ProjectKosten[],MATCH(Tb_ProjectKosten[[#Headers],[Forfait_Percentage]],Tb_ProjectKosten[#Headers],0),0),AND(F1043="Arbeidskosten",G1043&lt;&gt;""),IFERROR(X1043*VLOOKUP(G1043,Tb_KostenTypen[],3,0)*VLOOKUP(F1043,Tb_ProjectKosten[],MATCH(Tb_ProjectKosten[[#Headers],[Forfait_Percentage]],Tb_ProjectKosten[#Headers],0),0),""),X1043 &lt;=0,0),"")</f>
        <v/>
      </c>
      <c r="AB1043" s="314" t="str">
        <f t="shared" ca="1" si="67"/>
        <v/>
      </c>
      <c r="AC1043" s="322"/>
      <c r="AD1043" s="315"/>
      <c r="AE1043" s="32" t="str" cm="1">
        <f t="array" ref="AE1043">IFERROR(IF(INDEX(SubsidieTabel!$AD$1:$AG$12,MATCH($F1043,SubsidieTabel!$AD$1:$AD$12,0),IFERROR(MATCH(Methode_Keuze,SubsidieTabel!$AD$1:$AG$1,0),2))&lt;&gt;1=TRUE,"ja",""),"")</f>
        <v/>
      </c>
    </row>
    <row r="1044" spans="1:31" x14ac:dyDescent="0.25">
      <c r="A1044" s="316"/>
      <c r="B1044" s="317" t="str">
        <f>IF(A1044&lt;&gt;"",_xlfn.MAXIFS($B$1:B1043,$A$1:A1043,A1044)+1,"")</f>
        <v/>
      </c>
      <c r="C1044" s="296"/>
      <c r="D1044" s="296"/>
      <c r="E1044" s="296"/>
      <c r="F1044" s="296"/>
      <c r="G1044" s="326"/>
      <c r="H1044" s="324"/>
      <c r="I1044" s="325"/>
      <c r="J1044" s="325"/>
      <c r="K1044" s="318"/>
      <c r="L1044" s="318"/>
      <c r="M1044" s="319" t="str">
        <f>IFERROR(VLOOKUP(H1044,Lijsten!$H$1:$I$100,2,0),"")</f>
        <v/>
      </c>
      <c r="N1044" s="319" t="str">
        <f ca="1">IFERROR(IF(VLOOKUP(F1044,Kostentypen!$A$3:$E$21,3,0)=0,"",IF(OR(F1044="Arbeidskosten",F1044="Vergoeding"),VLOOKUP(G1044,Tb_KostenTypen[],2,0),VLOOKUP(F1044,Kostentypen!$A$3:$E$20,3,0))),"")</f>
        <v/>
      </c>
      <c r="O1044" s="320" t="str" cm="1">
        <f t="array" ref="O1044">_xlfn.IFNA(IF(INDEX(Tb_KostenOptiesDB[],MATCH($F1044,Tb_KostenOptiesDB[KostenOptie],0),IFERROR(MATCH(Methode_Keuze,Tb_KostenOptiesDB[#Headers],0),2))=1,_xlfn.SWITCH($N1044,"Uurtarief",IF(OR(AND(RIGHT($F1044,3)="IKS",VLOOKUP($M1044,DB_Loonkosten,2,0)="Ja"),AND(RIGHT($F1044,3)&lt;&gt;"IKS",VLOOKUP($M1044,DB_Loonkosten,2,0)="Nee")),IFERROR(VLOOKUP($M1044,DB_Loonkosten,24,0),""),0),"Vast tarief",IF(LEFT(F1044,8)="Bijdrage",VLOOKUP($F1044,Tb_KostenTypen[],MATCH(Lijsten!$P$1,Tb_KostenTypen[#Headers],0),0),VLOOKUP($G1044,Lijsten!L:P,MATCH(Lijsten!$P$1,Kop_Tarief_Vast,0),0))),""),"")</f>
        <v/>
      </c>
      <c r="P1044" s="320" t="str" cm="1">
        <f t="array" ref="P1044">_xlfn.IFNA(IF(INDEX(Tb_KostenOptiesDB[],MATCH($F1044,Tb_KostenOptiesDB[KostenOptie],0),IFERROR(MATCH(Methode_Keuze,Tb_KostenOptiesDB[#Headers],0),2))=1,_xlfn.SWITCH($N1044,"Uurtarief",IF(OR(AND(RIGHT($F1044,3)="IKS",VLOOKUP($M1044,DB_Loonkosten,2,0)="Ja"),AND(RIGHT($F1044,3)&lt;&gt;"IKS",VLOOKUP($M1044,DB_Loonkosten,2,0)="Nee")),IFERROR(VLOOKUP($M1044,DB_Loonkosten,25,0),""),0),"Vast tarief",IF(LEFT(F1044,8)="Bijdrage",VLOOKUP($F1044,Tb_KostenTypen[],MATCH(Lijsten!$P$1,Tb_KostenTypen[#Headers],0),0),VLOOKUP($G1044,Lijsten!L:P,MATCH(Lijsten!$P$1,Kop_Tarief_Vast,0),0))),""),"")</f>
        <v/>
      </c>
      <c r="Q1044" s="359"/>
      <c r="R1044" s="359"/>
      <c r="S1044" s="321"/>
      <c r="T1044" s="321"/>
      <c r="U1044" s="373" t="str">
        <f t="shared" si="64"/>
        <v/>
      </c>
      <c r="V1044" s="314" t="str">
        <f t="shared" si="65"/>
        <v/>
      </c>
      <c r="W1044" s="314" t="str" cm="1">
        <f t="array" aca="1" ref="W1044" ca="1">IFERROR(IF(AE1044&lt;&gt;"ja",_xlfn.IFNA(_xlfn.IFS(AND(O1044&lt;&gt;"",F1044&lt;&gt;"",RIGHT($N1044,6)="tarief",F1044="Vergoeding"),SUM(O1044)*FLOOR(SUM(Q1044),0.0001),AND(O1044&lt;&gt;"",F1044&lt;&gt;"",RIGHT($N1044,6)="tarief"),SUM(O1044)*FLOOR(SUM(Q1044),0.01),S1044&gt;0,IF(F1044&lt;&gt;"",FLOOR(SUM(S1044),0.01),"")),""),""),"")</f>
        <v/>
      </c>
      <c r="X1044" s="314" t="str" cm="1">
        <f t="array" aca="1" ref="X1044" ca="1">IFERROR(IF(AE1044&lt;&gt;"ja",_xlfn.IFNA(_xlfn.IFS(AND(P1044&lt;&gt;"",R1044&lt;&gt;"",RIGHT($N1044,6)="tarief",F1044="Vergoeding"),SUM(P1044)*FLOOR(SUM(R1044),0.0001),AND(P1044&lt;&gt;"",R1044&lt;&gt;"",RIGHT($N1044,6)="tarief"),P1044*FLOOR(R1044,0.01),T1044&gt;0,FLOOR(SUM(T1044),0.01)),""),""),"")</f>
        <v/>
      </c>
      <c r="Y1044" s="314" t="str">
        <f t="shared" ca="1" si="66"/>
        <v/>
      </c>
      <c r="Z1044" s="314" t="str" cm="1">
        <f t="array" aca="1" ref="Z1044" ca="1">IFERROR(_xlfn.IFS(OR(F1044="",LEFT(Methode_Keuze,4)="Geen",Methode_Keuze=""),"",AND(W1044&lt;&gt;"",F1044&lt;&gt;"Arbeidskosten"),W1044*VLOOKUP(F1044,Tb_ProjectKosten[],MATCH(Tb_ProjectKosten[[#Headers],[Forfait_Percentage]],Tb_ProjectKosten[#Headers],0),0),AND(F1044="Arbeidskosten",G1044&lt;&gt;""),IFERROR(W1044*VLOOKUP(G1044,Tb_KostenTypen[],3,0)*VLOOKUP(F1044,Tb_ProjectKosten[],MATCH(Tb_ProjectKosten[[#Headers],[Forfait_Percentage]],Tb_ProjectKosten[#Headers],0),0),""),W1044 &lt;=0,0),"")</f>
        <v/>
      </c>
      <c r="AA1044" s="314" t="str" cm="1">
        <f t="array" aca="1" ref="AA1044" ca="1">IFERROR(_xlfn.IFS(OR(F1044="",LEFT(Methode_Keuze,4)="Geen",Methode_Keuze=""),"",AND(X1044&lt;&gt;"",F1044&lt;&gt;"Arbeidskosten"),X1044*VLOOKUP(F1044,Tb_ProjectKosten[],MATCH(Tb_ProjectKosten[[#Headers],[Forfait_Percentage]],Tb_ProjectKosten[#Headers],0),0),AND(F1044="Arbeidskosten",G1044&lt;&gt;""),IFERROR(X1044*VLOOKUP(G1044,Tb_KostenTypen[],3,0)*VLOOKUP(F1044,Tb_ProjectKosten[],MATCH(Tb_ProjectKosten[[#Headers],[Forfait_Percentage]],Tb_ProjectKosten[#Headers],0),0),""),X1044 &lt;=0,0),"")</f>
        <v/>
      </c>
      <c r="AB1044" s="314" t="str">
        <f t="shared" ca="1" si="67"/>
        <v/>
      </c>
      <c r="AC1044" s="322"/>
      <c r="AD1044" s="315"/>
      <c r="AE1044" s="32" t="str" cm="1">
        <f t="array" ref="AE1044">IFERROR(IF(INDEX(SubsidieTabel!$AD$1:$AG$12,MATCH($F1044,SubsidieTabel!$AD$1:$AD$12,0),IFERROR(MATCH(Methode_Keuze,SubsidieTabel!$AD$1:$AG$1,0),2))&lt;&gt;1=TRUE,"ja",""),"")</f>
        <v/>
      </c>
    </row>
    <row r="1045" spans="1:31" x14ac:dyDescent="0.25">
      <c r="A1045" s="316"/>
      <c r="B1045" s="317" t="str">
        <f>IF(A1045&lt;&gt;"",_xlfn.MAXIFS($B$1:B1044,$A$1:A1044,A1045)+1,"")</f>
        <v/>
      </c>
      <c r="C1045" s="296"/>
      <c r="D1045" s="296"/>
      <c r="E1045" s="296"/>
      <c r="F1045" s="296"/>
      <c r="G1045" s="326"/>
      <c r="H1045" s="324"/>
      <c r="I1045" s="325"/>
      <c r="J1045" s="325"/>
      <c r="K1045" s="318"/>
      <c r="L1045" s="318"/>
      <c r="M1045" s="319" t="str">
        <f>IFERROR(VLOOKUP(H1045,Lijsten!$H$1:$I$100,2,0),"")</f>
        <v/>
      </c>
      <c r="N1045" s="319" t="str">
        <f ca="1">IFERROR(IF(VLOOKUP(F1045,Kostentypen!$A$3:$E$21,3,0)=0,"",IF(OR(F1045="Arbeidskosten",F1045="Vergoeding"),VLOOKUP(G1045,Tb_KostenTypen[],2,0),VLOOKUP(F1045,Kostentypen!$A$3:$E$20,3,0))),"")</f>
        <v/>
      </c>
      <c r="O1045" s="320" t="str" cm="1">
        <f t="array" ref="O1045">_xlfn.IFNA(IF(INDEX(Tb_KostenOptiesDB[],MATCH($F1045,Tb_KostenOptiesDB[KostenOptie],0),IFERROR(MATCH(Methode_Keuze,Tb_KostenOptiesDB[#Headers],0),2))=1,_xlfn.SWITCH($N1045,"Uurtarief",IF(OR(AND(RIGHT($F1045,3)="IKS",VLOOKUP($M1045,DB_Loonkosten,2,0)="Ja"),AND(RIGHT($F1045,3)&lt;&gt;"IKS",VLOOKUP($M1045,DB_Loonkosten,2,0)="Nee")),IFERROR(VLOOKUP($M1045,DB_Loonkosten,24,0),""),0),"Vast tarief",IF(LEFT(F1045,8)="Bijdrage",VLOOKUP($F1045,Tb_KostenTypen[],MATCH(Lijsten!$P$1,Tb_KostenTypen[#Headers],0),0),VLOOKUP($G1045,Lijsten!L:P,MATCH(Lijsten!$P$1,Kop_Tarief_Vast,0),0))),""),"")</f>
        <v/>
      </c>
      <c r="P1045" s="320" t="str" cm="1">
        <f t="array" ref="P1045">_xlfn.IFNA(IF(INDEX(Tb_KostenOptiesDB[],MATCH($F1045,Tb_KostenOptiesDB[KostenOptie],0),IFERROR(MATCH(Methode_Keuze,Tb_KostenOptiesDB[#Headers],0),2))=1,_xlfn.SWITCH($N1045,"Uurtarief",IF(OR(AND(RIGHT($F1045,3)="IKS",VLOOKUP($M1045,DB_Loonkosten,2,0)="Ja"),AND(RIGHT($F1045,3)&lt;&gt;"IKS",VLOOKUP($M1045,DB_Loonkosten,2,0)="Nee")),IFERROR(VLOOKUP($M1045,DB_Loonkosten,25,0),""),0),"Vast tarief",IF(LEFT(F1045,8)="Bijdrage",VLOOKUP($F1045,Tb_KostenTypen[],MATCH(Lijsten!$P$1,Tb_KostenTypen[#Headers],0),0),VLOOKUP($G1045,Lijsten!L:P,MATCH(Lijsten!$P$1,Kop_Tarief_Vast,0),0))),""),"")</f>
        <v/>
      </c>
      <c r="Q1045" s="359"/>
      <c r="R1045" s="359"/>
      <c r="S1045" s="321"/>
      <c r="T1045" s="321"/>
      <c r="U1045" s="373" t="str">
        <f t="shared" si="64"/>
        <v/>
      </c>
      <c r="V1045" s="314" t="str">
        <f t="shared" si="65"/>
        <v/>
      </c>
      <c r="W1045" s="314" t="str" cm="1">
        <f t="array" aca="1" ref="W1045" ca="1">IFERROR(IF(AE1045&lt;&gt;"ja",_xlfn.IFNA(_xlfn.IFS(AND(O1045&lt;&gt;"",F1045&lt;&gt;"",RIGHT($N1045,6)="tarief",F1045="Vergoeding"),SUM(O1045)*FLOOR(SUM(Q1045),0.0001),AND(O1045&lt;&gt;"",F1045&lt;&gt;"",RIGHT($N1045,6)="tarief"),SUM(O1045)*FLOOR(SUM(Q1045),0.01),S1045&gt;0,IF(F1045&lt;&gt;"",FLOOR(SUM(S1045),0.01),"")),""),""),"")</f>
        <v/>
      </c>
      <c r="X1045" s="314" t="str" cm="1">
        <f t="array" aca="1" ref="X1045" ca="1">IFERROR(IF(AE1045&lt;&gt;"ja",_xlfn.IFNA(_xlfn.IFS(AND(P1045&lt;&gt;"",R1045&lt;&gt;"",RIGHT($N1045,6)="tarief",F1045="Vergoeding"),SUM(P1045)*FLOOR(SUM(R1045),0.0001),AND(P1045&lt;&gt;"",R1045&lt;&gt;"",RIGHT($N1045,6)="tarief"),P1045*FLOOR(R1045,0.01),T1045&gt;0,FLOOR(SUM(T1045),0.01)),""),""),"")</f>
        <v/>
      </c>
      <c r="Y1045" s="314" t="str">
        <f t="shared" ca="1" si="66"/>
        <v/>
      </c>
      <c r="Z1045" s="314" t="str" cm="1">
        <f t="array" aca="1" ref="Z1045" ca="1">IFERROR(_xlfn.IFS(OR(F1045="",LEFT(Methode_Keuze,4)="Geen",Methode_Keuze=""),"",AND(W1045&lt;&gt;"",F1045&lt;&gt;"Arbeidskosten"),W1045*VLOOKUP(F1045,Tb_ProjectKosten[],MATCH(Tb_ProjectKosten[[#Headers],[Forfait_Percentage]],Tb_ProjectKosten[#Headers],0),0),AND(F1045="Arbeidskosten",G1045&lt;&gt;""),IFERROR(W1045*VLOOKUP(G1045,Tb_KostenTypen[],3,0)*VLOOKUP(F1045,Tb_ProjectKosten[],MATCH(Tb_ProjectKosten[[#Headers],[Forfait_Percentage]],Tb_ProjectKosten[#Headers],0),0),""),W1045 &lt;=0,0),"")</f>
        <v/>
      </c>
      <c r="AA1045" s="314" t="str" cm="1">
        <f t="array" aca="1" ref="AA1045" ca="1">IFERROR(_xlfn.IFS(OR(F1045="",LEFT(Methode_Keuze,4)="Geen",Methode_Keuze=""),"",AND(X1045&lt;&gt;"",F1045&lt;&gt;"Arbeidskosten"),X1045*VLOOKUP(F1045,Tb_ProjectKosten[],MATCH(Tb_ProjectKosten[[#Headers],[Forfait_Percentage]],Tb_ProjectKosten[#Headers],0),0),AND(F1045="Arbeidskosten",G1045&lt;&gt;""),IFERROR(X1045*VLOOKUP(G1045,Tb_KostenTypen[],3,0)*VLOOKUP(F1045,Tb_ProjectKosten[],MATCH(Tb_ProjectKosten[[#Headers],[Forfait_Percentage]],Tb_ProjectKosten[#Headers],0),0),""),X1045 &lt;=0,0),"")</f>
        <v/>
      </c>
      <c r="AB1045" s="314" t="str">
        <f t="shared" ca="1" si="67"/>
        <v/>
      </c>
      <c r="AC1045" s="322"/>
      <c r="AD1045" s="315"/>
      <c r="AE1045" s="32" t="str" cm="1">
        <f t="array" ref="AE1045">IFERROR(IF(INDEX(SubsidieTabel!$AD$1:$AG$12,MATCH($F1045,SubsidieTabel!$AD$1:$AD$12,0),IFERROR(MATCH(Methode_Keuze,SubsidieTabel!$AD$1:$AG$1,0),2))&lt;&gt;1=TRUE,"ja",""),"")</f>
        <v/>
      </c>
    </row>
    <row r="1046" spans="1:31" x14ac:dyDescent="0.25">
      <c r="A1046" s="316"/>
      <c r="B1046" s="317" t="str">
        <f>IF(A1046&lt;&gt;"",_xlfn.MAXIFS($B$1:B1045,$A$1:A1045,A1046)+1,"")</f>
        <v/>
      </c>
      <c r="C1046" s="296"/>
      <c r="D1046" s="296"/>
      <c r="E1046" s="296"/>
      <c r="F1046" s="296"/>
      <c r="G1046" s="326"/>
      <c r="H1046" s="324"/>
      <c r="I1046" s="325"/>
      <c r="J1046" s="325"/>
      <c r="K1046" s="318"/>
      <c r="L1046" s="318"/>
      <c r="M1046" s="319" t="str">
        <f>IFERROR(VLOOKUP(H1046,Lijsten!$H$1:$I$100,2,0),"")</f>
        <v/>
      </c>
      <c r="N1046" s="319" t="str">
        <f ca="1">IFERROR(IF(VLOOKUP(F1046,Kostentypen!$A$3:$E$21,3,0)=0,"",IF(OR(F1046="Arbeidskosten",F1046="Vergoeding"),VLOOKUP(G1046,Tb_KostenTypen[],2,0),VLOOKUP(F1046,Kostentypen!$A$3:$E$20,3,0))),"")</f>
        <v/>
      </c>
      <c r="O1046" s="320" t="str" cm="1">
        <f t="array" ref="O1046">_xlfn.IFNA(IF(INDEX(Tb_KostenOptiesDB[],MATCH($F1046,Tb_KostenOptiesDB[KostenOptie],0),IFERROR(MATCH(Methode_Keuze,Tb_KostenOptiesDB[#Headers],0),2))=1,_xlfn.SWITCH($N1046,"Uurtarief",IF(OR(AND(RIGHT($F1046,3)="IKS",VLOOKUP($M1046,DB_Loonkosten,2,0)="Ja"),AND(RIGHT($F1046,3)&lt;&gt;"IKS",VLOOKUP($M1046,DB_Loonkosten,2,0)="Nee")),IFERROR(VLOOKUP($M1046,DB_Loonkosten,24,0),""),0),"Vast tarief",IF(LEFT(F1046,8)="Bijdrage",VLOOKUP($F1046,Tb_KostenTypen[],MATCH(Lijsten!$P$1,Tb_KostenTypen[#Headers],0),0),VLOOKUP($G1046,Lijsten!L:P,MATCH(Lijsten!$P$1,Kop_Tarief_Vast,0),0))),""),"")</f>
        <v/>
      </c>
      <c r="P1046" s="320" t="str" cm="1">
        <f t="array" ref="P1046">_xlfn.IFNA(IF(INDEX(Tb_KostenOptiesDB[],MATCH($F1046,Tb_KostenOptiesDB[KostenOptie],0),IFERROR(MATCH(Methode_Keuze,Tb_KostenOptiesDB[#Headers],0),2))=1,_xlfn.SWITCH($N1046,"Uurtarief",IF(OR(AND(RIGHT($F1046,3)="IKS",VLOOKUP($M1046,DB_Loonkosten,2,0)="Ja"),AND(RIGHT($F1046,3)&lt;&gt;"IKS",VLOOKUP($M1046,DB_Loonkosten,2,0)="Nee")),IFERROR(VLOOKUP($M1046,DB_Loonkosten,25,0),""),0),"Vast tarief",IF(LEFT(F1046,8)="Bijdrage",VLOOKUP($F1046,Tb_KostenTypen[],MATCH(Lijsten!$P$1,Tb_KostenTypen[#Headers],0),0),VLOOKUP($G1046,Lijsten!L:P,MATCH(Lijsten!$P$1,Kop_Tarief_Vast,0),0))),""),"")</f>
        <v/>
      </c>
      <c r="Q1046" s="359"/>
      <c r="R1046" s="359"/>
      <c r="S1046" s="321"/>
      <c r="T1046" s="321"/>
      <c r="U1046" s="373" t="str">
        <f t="shared" si="64"/>
        <v/>
      </c>
      <c r="V1046" s="314" t="str">
        <f t="shared" si="65"/>
        <v/>
      </c>
      <c r="W1046" s="314" t="str" cm="1">
        <f t="array" aca="1" ref="W1046" ca="1">IFERROR(IF(AE1046&lt;&gt;"ja",_xlfn.IFNA(_xlfn.IFS(AND(O1046&lt;&gt;"",F1046&lt;&gt;"",RIGHT($N1046,6)="tarief",F1046="Vergoeding"),SUM(O1046)*FLOOR(SUM(Q1046),0.0001),AND(O1046&lt;&gt;"",F1046&lt;&gt;"",RIGHT($N1046,6)="tarief"),SUM(O1046)*FLOOR(SUM(Q1046),0.01),S1046&gt;0,IF(F1046&lt;&gt;"",FLOOR(SUM(S1046),0.01),"")),""),""),"")</f>
        <v/>
      </c>
      <c r="X1046" s="314" t="str" cm="1">
        <f t="array" aca="1" ref="X1046" ca="1">IFERROR(IF(AE1046&lt;&gt;"ja",_xlfn.IFNA(_xlfn.IFS(AND(P1046&lt;&gt;"",R1046&lt;&gt;"",RIGHT($N1046,6)="tarief",F1046="Vergoeding"),SUM(P1046)*FLOOR(SUM(R1046),0.0001),AND(P1046&lt;&gt;"",R1046&lt;&gt;"",RIGHT($N1046,6)="tarief"),P1046*FLOOR(R1046,0.01),T1046&gt;0,FLOOR(SUM(T1046),0.01)),""),""),"")</f>
        <v/>
      </c>
      <c r="Y1046" s="314" t="str">
        <f t="shared" ca="1" si="66"/>
        <v/>
      </c>
      <c r="Z1046" s="314" t="str" cm="1">
        <f t="array" aca="1" ref="Z1046" ca="1">IFERROR(_xlfn.IFS(OR(F1046="",LEFT(Methode_Keuze,4)="Geen",Methode_Keuze=""),"",AND(W1046&lt;&gt;"",F1046&lt;&gt;"Arbeidskosten"),W1046*VLOOKUP(F1046,Tb_ProjectKosten[],MATCH(Tb_ProjectKosten[[#Headers],[Forfait_Percentage]],Tb_ProjectKosten[#Headers],0),0),AND(F1046="Arbeidskosten",G1046&lt;&gt;""),IFERROR(W1046*VLOOKUP(G1046,Tb_KostenTypen[],3,0)*VLOOKUP(F1046,Tb_ProjectKosten[],MATCH(Tb_ProjectKosten[[#Headers],[Forfait_Percentage]],Tb_ProjectKosten[#Headers],0),0),""),W1046 &lt;=0,0),"")</f>
        <v/>
      </c>
      <c r="AA1046" s="314" t="str" cm="1">
        <f t="array" aca="1" ref="AA1046" ca="1">IFERROR(_xlfn.IFS(OR(F1046="",LEFT(Methode_Keuze,4)="Geen",Methode_Keuze=""),"",AND(X1046&lt;&gt;"",F1046&lt;&gt;"Arbeidskosten"),X1046*VLOOKUP(F1046,Tb_ProjectKosten[],MATCH(Tb_ProjectKosten[[#Headers],[Forfait_Percentage]],Tb_ProjectKosten[#Headers],0),0),AND(F1046="Arbeidskosten",G1046&lt;&gt;""),IFERROR(X1046*VLOOKUP(G1046,Tb_KostenTypen[],3,0)*VLOOKUP(F1046,Tb_ProjectKosten[],MATCH(Tb_ProjectKosten[[#Headers],[Forfait_Percentage]],Tb_ProjectKosten[#Headers],0),0),""),X1046 &lt;=0,0),"")</f>
        <v/>
      </c>
      <c r="AB1046" s="314" t="str">
        <f t="shared" ca="1" si="67"/>
        <v/>
      </c>
      <c r="AC1046" s="322"/>
      <c r="AD1046" s="315"/>
      <c r="AE1046" s="32" t="str" cm="1">
        <f t="array" ref="AE1046">IFERROR(IF(INDEX(SubsidieTabel!$AD$1:$AG$12,MATCH($F1046,SubsidieTabel!$AD$1:$AD$12,0),IFERROR(MATCH(Methode_Keuze,SubsidieTabel!$AD$1:$AG$1,0),2))&lt;&gt;1=TRUE,"ja",""),"")</f>
        <v/>
      </c>
    </row>
    <row r="1047" spans="1:31" x14ac:dyDescent="0.25">
      <c r="A1047" s="316"/>
      <c r="B1047" s="317" t="str">
        <f>IF(A1047&lt;&gt;"",_xlfn.MAXIFS($B$1:B1046,$A$1:A1046,A1047)+1,"")</f>
        <v/>
      </c>
      <c r="C1047" s="296"/>
      <c r="D1047" s="296"/>
      <c r="E1047" s="296"/>
      <c r="F1047" s="296"/>
      <c r="G1047" s="326"/>
      <c r="H1047" s="324"/>
      <c r="I1047" s="325"/>
      <c r="J1047" s="325"/>
      <c r="K1047" s="318"/>
      <c r="L1047" s="318"/>
      <c r="M1047" s="319" t="str">
        <f>IFERROR(VLOOKUP(H1047,Lijsten!$H$1:$I$100,2,0),"")</f>
        <v/>
      </c>
      <c r="N1047" s="319" t="str">
        <f ca="1">IFERROR(IF(VLOOKUP(F1047,Kostentypen!$A$3:$E$21,3,0)=0,"",IF(OR(F1047="Arbeidskosten",F1047="Vergoeding"),VLOOKUP(G1047,Tb_KostenTypen[],2,0),VLOOKUP(F1047,Kostentypen!$A$3:$E$20,3,0))),"")</f>
        <v/>
      </c>
      <c r="O1047" s="320" t="str" cm="1">
        <f t="array" ref="O1047">_xlfn.IFNA(IF(INDEX(Tb_KostenOptiesDB[],MATCH($F1047,Tb_KostenOptiesDB[KostenOptie],0),IFERROR(MATCH(Methode_Keuze,Tb_KostenOptiesDB[#Headers],0),2))=1,_xlfn.SWITCH($N1047,"Uurtarief",IF(OR(AND(RIGHT($F1047,3)="IKS",VLOOKUP($M1047,DB_Loonkosten,2,0)="Ja"),AND(RIGHT($F1047,3)&lt;&gt;"IKS",VLOOKUP($M1047,DB_Loonkosten,2,0)="Nee")),IFERROR(VLOOKUP($M1047,DB_Loonkosten,24,0),""),0),"Vast tarief",IF(LEFT(F1047,8)="Bijdrage",VLOOKUP($F1047,Tb_KostenTypen[],MATCH(Lijsten!$P$1,Tb_KostenTypen[#Headers],0),0),VLOOKUP($G1047,Lijsten!L:P,MATCH(Lijsten!$P$1,Kop_Tarief_Vast,0),0))),""),"")</f>
        <v/>
      </c>
      <c r="P1047" s="320" t="str" cm="1">
        <f t="array" ref="P1047">_xlfn.IFNA(IF(INDEX(Tb_KostenOptiesDB[],MATCH($F1047,Tb_KostenOptiesDB[KostenOptie],0),IFERROR(MATCH(Methode_Keuze,Tb_KostenOptiesDB[#Headers],0),2))=1,_xlfn.SWITCH($N1047,"Uurtarief",IF(OR(AND(RIGHT($F1047,3)="IKS",VLOOKUP($M1047,DB_Loonkosten,2,0)="Ja"),AND(RIGHT($F1047,3)&lt;&gt;"IKS",VLOOKUP($M1047,DB_Loonkosten,2,0)="Nee")),IFERROR(VLOOKUP($M1047,DB_Loonkosten,25,0),""),0),"Vast tarief",IF(LEFT(F1047,8)="Bijdrage",VLOOKUP($F1047,Tb_KostenTypen[],MATCH(Lijsten!$P$1,Tb_KostenTypen[#Headers],0),0),VLOOKUP($G1047,Lijsten!L:P,MATCH(Lijsten!$P$1,Kop_Tarief_Vast,0),0))),""),"")</f>
        <v/>
      </c>
      <c r="Q1047" s="359"/>
      <c r="R1047" s="359"/>
      <c r="S1047" s="321"/>
      <c r="T1047" s="321"/>
      <c r="U1047" s="373" t="str">
        <f t="shared" si="64"/>
        <v/>
      </c>
      <c r="V1047" s="314" t="str">
        <f t="shared" si="65"/>
        <v/>
      </c>
      <c r="W1047" s="314" t="str" cm="1">
        <f t="array" aca="1" ref="W1047" ca="1">IFERROR(IF(AE1047&lt;&gt;"ja",_xlfn.IFNA(_xlfn.IFS(AND(O1047&lt;&gt;"",F1047&lt;&gt;"",RIGHT($N1047,6)="tarief",F1047="Vergoeding"),SUM(O1047)*FLOOR(SUM(Q1047),0.0001),AND(O1047&lt;&gt;"",F1047&lt;&gt;"",RIGHT($N1047,6)="tarief"),SUM(O1047)*FLOOR(SUM(Q1047),0.01),S1047&gt;0,IF(F1047&lt;&gt;"",FLOOR(SUM(S1047),0.01),"")),""),""),"")</f>
        <v/>
      </c>
      <c r="X1047" s="314" t="str" cm="1">
        <f t="array" aca="1" ref="X1047" ca="1">IFERROR(IF(AE1047&lt;&gt;"ja",_xlfn.IFNA(_xlfn.IFS(AND(P1047&lt;&gt;"",R1047&lt;&gt;"",RIGHT($N1047,6)="tarief",F1047="Vergoeding"),SUM(P1047)*FLOOR(SUM(R1047),0.0001),AND(P1047&lt;&gt;"",R1047&lt;&gt;"",RIGHT($N1047,6)="tarief"),P1047*FLOOR(R1047,0.01),T1047&gt;0,FLOOR(SUM(T1047),0.01)),""),""),"")</f>
        <v/>
      </c>
      <c r="Y1047" s="314" t="str">
        <f t="shared" ca="1" si="66"/>
        <v/>
      </c>
      <c r="Z1047" s="314" t="str" cm="1">
        <f t="array" aca="1" ref="Z1047" ca="1">IFERROR(_xlfn.IFS(OR(F1047="",LEFT(Methode_Keuze,4)="Geen",Methode_Keuze=""),"",AND(W1047&lt;&gt;"",F1047&lt;&gt;"Arbeidskosten"),W1047*VLOOKUP(F1047,Tb_ProjectKosten[],MATCH(Tb_ProjectKosten[[#Headers],[Forfait_Percentage]],Tb_ProjectKosten[#Headers],0),0),AND(F1047="Arbeidskosten",G1047&lt;&gt;""),IFERROR(W1047*VLOOKUP(G1047,Tb_KostenTypen[],3,0)*VLOOKUP(F1047,Tb_ProjectKosten[],MATCH(Tb_ProjectKosten[[#Headers],[Forfait_Percentage]],Tb_ProjectKosten[#Headers],0),0),""),W1047 &lt;=0,0),"")</f>
        <v/>
      </c>
      <c r="AA1047" s="314" t="str" cm="1">
        <f t="array" aca="1" ref="AA1047" ca="1">IFERROR(_xlfn.IFS(OR(F1047="",LEFT(Methode_Keuze,4)="Geen",Methode_Keuze=""),"",AND(X1047&lt;&gt;"",F1047&lt;&gt;"Arbeidskosten"),X1047*VLOOKUP(F1047,Tb_ProjectKosten[],MATCH(Tb_ProjectKosten[[#Headers],[Forfait_Percentage]],Tb_ProjectKosten[#Headers],0),0),AND(F1047="Arbeidskosten",G1047&lt;&gt;""),IFERROR(X1047*VLOOKUP(G1047,Tb_KostenTypen[],3,0)*VLOOKUP(F1047,Tb_ProjectKosten[],MATCH(Tb_ProjectKosten[[#Headers],[Forfait_Percentage]],Tb_ProjectKosten[#Headers],0),0),""),X1047 &lt;=0,0),"")</f>
        <v/>
      </c>
      <c r="AB1047" s="314" t="str">
        <f t="shared" ca="1" si="67"/>
        <v/>
      </c>
      <c r="AC1047" s="322"/>
      <c r="AD1047" s="315"/>
      <c r="AE1047" s="32" t="str" cm="1">
        <f t="array" ref="AE1047">IFERROR(IF(INDEX(SubsidieTabel!$AD$1:$AG$12,MATCH($F1047,SubsidieTabel!$AD$1:$AD$12,0),IFERROR(MATCH(Methode_Keuze,SubsidieTabel!$AD$1:$AG$1,0),2))&lt;&gt;1=TRUE,"ja",""),"")</f>
        <v/>
      </c>
    </row>
    <row r="1048" spans="1:31" x14ac:dyDescent="0.25">
      <c r="A1048" s="316"/>
      <c r="B1048" s="317" t="str">
        <f>IF(A1048&lt;&gt;"",_xlfn.MAXIFS($B$1:B1047,$A$1:A1047,A1048)+1,"")</f>
        <v/>
      </c>
      <c r="C1048" s="296"/>
      <c r="D1048" s="296"/>
      <c r="E1048" s="296"/>
      <c r="F1048" s="296"/>
      <c r="G1048" s="326"/>
      <c r="H1048" s="324"/>
      <c r="I1048" s="325"/>
      <c r="J1048" s="325"/>
      <c r="K1048" s="318"/>
      <c r="L1048" s="318"/>
      <c r="M1048" s="319" t="str">
        <f>IFERROR(VLOOKUP(H1048,Lijsten!$H$1:$I$100,2,0),"")</f>
        <v/>
      </c>
      <c r="N1048" s="319" t="str">
        <f ca="1">IFERROR(IF(VLOOKUP(F1048,Kostentypen!$A$3:$E$21,3,0)=0,"",IF(OR(F1048="Arbeidskosten",F1048="Vergoeding"),VLOOKUP(G1048,Tb_KostenTypen[],2,0),VLOOKUP(F1048,Kostentypen!$A$3:$E$20,3,0))),"")</f>
        <v/>
      </c>
      <c r="O1048" s="320" t="str" cm="1">
        <f t="array" ref="O1048">_xlfn.IFNA(IF(INDEX(Tb_KostenOptiesDB[],MATCH($F1048,Tb_KostenOptiesDB[KostenOptie],0),IFERROR(MATCH(Methode_Keuze,Tb_KostenOptiesDB[#Headers],0),2))=1,_xlfn.SWITCH($N1048,"Uurtarief",IF(OR(AND(RIGHT($F1048,3)="IKS",VLOOKUP($M1048,DB_Loonkosten,2,0)="Ja"),AND(RIGHT($F1048,3)&lt;&gt;"IKS",VLOOKUP($M1048,DB_Loonkosten,2,0)="Nee")),IFERROR(VLOOKUP($M1048,DB_Loonkosten,24,0),""),0),"Vast tarief",IF(LEFT(F1048,8)="Bijdrage",VLOOKUP($F1048,Tb_KostenTypen[],MATCH(Lijsten!$P$1,Tb_KostenTypen[#Headers],0),0),VLOOKUP($G1048,Lijsten!L:P,MATCH(Lijsten!$P$1,Kop_Tarief_Vast,0),0))),""),"")</f>
        <v/>
      </c>
      <c r="P1048" s="320" t="str" cm="1">
        <f t="array" ref="P1048">_xlfn.IFNA(IF(INDEX(Tb_KostenOptiesDB[],MATCH($F1048,Tb_KostenOptiesDB[KostenOptie],0),IFERROR(MATCH(Methode_Keuze,Tb_KostenOptiesDB[#Headers],0),2))=1,_xlfn.SWITCH($N1048,"Uurtarief",IF(OR(AND(RIGHT($F1048,3)="IKS",VLOOKUP($M1048,DB_Loonkosten,2,0)="Ja"),AND(RIGHT($F1048,3)&lt;&gt;"IKS",VLOOKUP($M1048,DB_Loonkosten,2,0)="Nee")),IFERROR(VLOOKUP($M1048,DB_Loonkosten,25,0),""),0),"Vast tarief",IF(LEFT(F1048,8)="Bijdrage",VLOOKUP($F1048,Tb_KostenTypen[],MATCH(Lijsten!$P$1,Tb_KostenTypen[#Headers],0),0),VLOOKUP($G1048,Lijsten!L:P,MATCH(Lijsten!$P$1,Kop_Tarief_Vast,0),0))),""),"")</f>
        <v/>
      </c>
      <c r="Q1048" s="359"/>
      <c r="R1048" s="359"/>
      <c r="S1048" s="321"/>
      <c r="T1048" s="321"/>
      <c r="U1048" s="373" t="str">
        <f t="shared" si="64"/>
        <v/>
      </c>
      <c r="V1048" s="314" t="str">
        <f t="shared" si="65"/>
        <v/>
      </c>
      <c r="W1048" s="314" t="str" cm="1">
        <f t="array" aca="1" ref="W1048" ca="1">IFERROR(IF(AE1048&lt;&gt;"ja",_xlfn.IFNA(_xlfn.IFS(AND(O1048&lt;&gt;"",F1048&lt;&gt;"",RIGHT($N1048,6)="tarief",F1048="Vergoeding"),SUM(O1048)*FLOOR(SUM(Q1048),0.0001),AND(O1048&lt;&gt;"",F1048&lt;&gt;"",RIGHT($N1048,6)="tarief"),SUM(O1048)*FLOOR(SUM(Q1048),0.01),S1048&gt;0,IF(F1048&lt;&gt;"",FLOOR(SUM(S1048),0.01),"")),""),""),"")</f>
        <v/>
      </c>
      <c r="X1048" s="314" t="str" cm="1">
        <f t="array" aca="1" ref="X1048" ca="1">IFERROR(IF(AE1048&lt;&gt;"ja",_xlfn.IFNA(_xlfn.IFS(AND(P1048&lt;&gt;"",R1048&lt;&gt;"",RIGHT($N1048,6)="tarief",F1048="Vergoeding"),SUM(P1048)*FLOOR(SUM(R1048),0.0001),AND(P1048&lt;&gt;"",R1048&lt;&gt;"",RIGHT($N1048,6)="tarief"),P1048*FLOOR(R1048,0.01),T1048&gt;0,FLOOR(SUM(T1048),0.01)),""),""),"")</f>
        <v/>
      </c>
      <c r="Y1048" s="314" t="str">
        <f t="shared" ca="1" si="66"/>
        <v/>
      </c>
      <c r="Z1048" s="314" t="str" cm="1">
        <f t="array" aca="1" ref="Z1048" ca="1">IFERROR(_xlfn.IFS(OR(F1048="",LEFT(Methode_Keuze,4)="Geen",Methode_Keuze=""),"",AND(W1048&lt;&gt;"",F1048&lt;&gt;"Arbeidskosten"),W1048*VLOOKUP(F1048,Tb_ProjectKosten[],MATCH(Tb_ProjectKosten[[#Headers],[Forfait_Percentage]],Tb_ProjectKosten[#Headers],0),0),AND(F1048="Arbeidskosten",G1048&lt;&gt;""),IFERROR(W1048*VLOOKUP(G1048,Tb_KostenTypen[],3,0)*VLOOKUP(F1048,Tb_ProjectKosten[],MATCH(Tb_ProjectKosten[[#Headers],[Forfait_Percentage]],Tb_ProjectKosten[#Headers],0),0),""),W1048 &lt;=0,0),"")</f>
        <v/>
      </c>
      <c r="AA1048" s="314" t="str" cm="1">
        <f t="array" aca="1" ref="AA1048" ca="1">IFERROR(_xlfn.IFS(OR(F1048="",LEFT(Methode_Keuze,4)="Geen",Methode_Keuze=""),"",AND(X1048&lt;&gt;"",F1048&lt;&gt;"Arbeidskosten"),X1048*VLOOKUP(F1048,Tb_ProjectKosten[],MATCH(Tb_ProjectKosten[[#Headers],[Forfait_Percentage]],Tb_ProjectKosten[#Headers],0),0),AND(F1048="Arbeidskosten",G1048&lt;&gt;""),IFERROR(X1048*VLOOKUP(G1048,Tb_KostenTypen[],3,0)*VLOOKUP(F1048,Tb_ProjectKosten[],MATCH(Tb_ProjectKosten[[#Headers],[Forfait_Percentage]],Tb_ProjectKosten[#Headers],0),0),""),X1048 &lt;=0,0),"")</f>
        <v/>
      </c>
      <c r="AB1048" s="314" t="str">
        <f t="shared" ca="1" si="67"/>
        <v/>
      </c>
      <c r="AC1048" s="322"/>
      <c r="AD1048" s="315"/>
      <c r="AE1048" s="32" t="str" cm="1">
        <f t="array" ref="AE1048">IFERROR(IF(INDEX(SubsidieTabel!$AD$1:$AG$12,MATCH($F1048,SubsidieTabel!$AD$1:$AD$12,0),IFERROR(MATCH(Methode_Keuze,SubsidieTabel!$AD$1:$AG$1,0),2))&lt;&gt;1=TRUE,"ja",""),"")</f>
        <v/>
      </c>
    </row>
    <row r="1049" spans="1:31" x14ac:dyDescent="0.25">
      <c r="A1049" s="316"/>
      <c r="B1049" s="317" t="str">
        <f>IF(A1049&lt;&gt;"",_xlfn.MAXIFS($B$1:B1048,$A$1:A1048,A1049)+1,"")</f>
        <v/>
      </c>
      <c r="C1049" s="296"/>
      <c r="D1049" s="296"/>
      <c r="E1049" s="296"/>
      <c r="F1049" s="296"/>
      <c r="G1049" s="326"/>
      <c r="H1049" s="324"/>
      <c r="I1049" s="325"/>
      <c r="J1049" s="325"/>
      <c r="K1049" s="318"/>
      <c r="L1049" s="318"/>
      <c r="M1049" s="319" t="str">
        <f>IFERROR(VLOOKUP(H1049,Lijsten!$H$1:$I$100,2,0),"")</f>
        <v/>
      </c>
      <c r="N1049" s="319" t="str">
        <f ca="1">IFERROR(IF(VLOOKUP(F1049,Kostentypen!$A$3:$E$21,3,0)=0,"",IF(OR(F1049="Arbeidskosten",F1049="Vergoeding"),VLOOKUP(G1049,Tb_KostenTypen[],2,0),VLOOKUP(F1049,Kostentypen!$A$3:$E$20,3,0))),"")</f>
        <v/>
      </c>
      <c r="O1049" s="320" t="str" cm="1">
        <f t="array" ref="O1049">_xlfn.IFNA(IF(INDEX(Tb_KostenOptiesDB[],MATCH($F1049,Tb_KostenOptiesDB[KostenOptie],0),IFERROR(MATCH(Methode_Keuze,Tb_KostenOptiesDB[#Headers],0),2))=1,_xlfn.SWITCH($N1049,"Uurtarief",IF(OR(AND(RIGHT($F1049,3)="IKS",VLOOKUP($M1049,DB_Loonkosten,2,0)="Ja"),AND(RIGHT($F1049,3)&lt;&gt;"IKS",VLOOKUP($M1049,DB_Loonkosten,2,0)="Nee")),IFERROR(VLOOKUP($M1049,DB_Loonkosten,24,0),""),0),"Vast tarief",IF(LEFT(F1049,8)="Bijdrage",VLOOKUP($F1049,Tb_KostenTypen[],MATCH(Lijsten!$P$1,Tb_KostenTypen[#Headers],0),0),VLOOKUP($G1049,Lijsten!L:P,MATCH(Lijsten!$P$1,Kop_Tarief_Vast,0),0))),""),"")</f>
        <v/>
      </c>
      <c r="P1049" s="320" t="str" cm="1">
        <f t="array" ref="P1049">_xlfn.IFNA(IF(INDEX(Tb_KostenOptiesDB[],MATCH($F1049,Tb_KostenOptiesDB[KostenOptie],0),IFERROR(MATCH(Methode_Keuze,Tb_KostenOptiesDB[#Headers],0),2))=1,_xlfn.SWITCH($N1049,"Uurtarief",IF(OR(AND(RIGHT($F1049,3)="IKS",VLOOKUP($M1049,DB_Loonkosten,2,0)="Ja"),AND(RIGHT($F1049,3)&lt;&gt;"IKS",VLOOKUP($M1049,DB_Loonkosten,2,0)="Nee")),IFERROR(VLOOKUP($M1049,DB_Loonkosten,25,0),""),0),"Vast tarief",IF(LEFT(F1049,8)="Bijdrage",VLOOKUP($F1049,Tb_KostenTypen[],MATCH(Lijsten!$P$1,Tb_KostenTypen[#Headers],0),0),VLOOKUP($G1049,Lijsten!L:P,MATCH(Lijsten!$P$1,Kop_Tarief_Vast,0),0))),""),"")</f>
        <v/>
      </c>
      <c r="Q1049" s="359"/>
      <c r="R1049" s="359"/>
      <c r="S1049" s="321"/>
      <c r="T1049" s="321"/>
      <c r="U1049" s="373" t="str">
        <f t="shared" si="64"/>
        <v/>
      </c>
      <c r="V1049" s="314" t="str">
        <f t="shared" si="65"/>
        <v/>
      </c>
      <c r="W1049" s="314" t="str" cm="1">
        <f t="array" aca="1" ref="W1049" ca="1">IFERROR(IF(AE1049&lt;&gt;"ja",_xlfn.IFNA(_xlfn.IFS(AND(O1049&lt;&gt;"",F1049&lt;&gt;"",RIGHT($N1049,6)="tarief",F1049="Vergoeding"),SUM(O1049)*FLOOR(SUM(Q1049),0.0001),AND(O1049&lt;&gt;"",F1049&lt;&gt;"",RIGHT($N1049,6)="tarief"),SUM(O1049)*FLOOR(SUM(Q1049),0.01),S1049&gt;0,IF(F1049&lt;&gt;"",FLOOR(SUM(S1049),0.01),"")),""),""),"")</f>
        <v/>
      </c>
      <c r="X1049" s="314" t="str" cm="1">
        <f t="array" aca="1" ref="X1049" ca="1">IFERROR(IF(AE1049&lt;&gt;"ja",_xlfn.IFNA(_xlfn.IFS(AND(P1049&lt;&gt;"",R1049&lt;&gt;"",RIGHT($N1049,6)="tarief",F1049="Vergoeding"),SUM(P1049)*FLOOR(SUM(R1049),0.0001),AND(P1049&lt;&gt;"",R1049&lt;&gt;"",RIGHT($N1049,6)="tarief"),P1049*FLOOR(R1049,0.01),T1049&gt;0,FLOOR(SUM(T1049),0.01)),""),""),"")</f>
        <v/>
      </c>
      <c r="Y1049" s="314" t="str">
        <f t="shared" ca="1" si="66"/>
        <v/>
      </c>
      <c r="Z1049" s="314" t="str" cm="1">
        <f t="array" aca="1" ref="Z1049" ca="1">IFERROR(_xlfn.IFS(OR(F1049="",LEFT(Methode_Keuze,4)="Geen",Methode_Keuze=""),"",AND(W1049&lt;&gt;"",F1049&lt;&gt;"Arbeidskosten"),W1049*VLOOKUP(F1049,Tb_ProjectKosten[],MATCH(Tb_ProjectKosten[[#Headers],[Forfait_Percentage]],Tb_ProjectKosten[#Headers],0),0),AND(F1049="Arbeidskosten",G1049&lt;&gt;""),IFERROR(W1049*VLOOKUP(G1049,Tb_KostenTypen[],3,0)*VLOOKUP(F1049,Tb_ProjectKosten[],MATCH(Tb_ProjectKosten[[#Headers],[Forfait_Percentage]],Tb_ProjectKosten[#Headers],0),0),""),W1049 &lt;=0,0),"")</f>
        <v/>
      </c>
      <c r="AA1049" s="314" t="str" cm="1">
        <f t="array" aca="1" ref="AA1049" ca="1">IFERROR(_xlfn.IFS(OR(F1049="",LEFT(Methode_Keuze,4)="Geen",Methode_Keuze=""),"",AND(X1049&lt;&gt;"",F1049&lt;&gt;"Arbeidskosten"),X1049*VLOOKUP(F1049,Tb_ProjectKosten[],MATCH(Tb_ProjectKosten[[#Headers],[Forfait_Percentage]],Tb_ProjectKosten[#Headers],0),0),AND(F1049="Arbeidskosten",G1049&lt;&gt;""),IFERROR(X1049*VLOOKUP(G1049,Tb_KostenTypen[],3,0)*VLOOKUP(F1049,Tb_ProjectKosten[],MATCH(Tb_ProjectKosten[[#Headers],[Forfait_Percentage]],Tb_ProjectKosten[#Headers],0),0),""),X1049 &lt;=0,0),"")</f>
        <v/>
      </c>
      <c r="AB1049" s="314" t="str">
        <f t="shared" ca="1" si="67"/>
        <v/>
      </c>
      <c r="AC1049" s="322"/>
      <c r="AD1049" s="315"/>
      <c r="AE1049" s="32" t="str" cm="1">
        <f t="array" ref="AE1049">IFERROR(IF(INDEX(SubsidieTabel!$AD$1:$AG$12,MATCH($F1049,SubsidieTabel!$AD$1:$AD$12,0),IFERROR(MATCH(Methode_Keuze,SubsidieTabel!$AD$1:$AG$1,0),2))&lt;&gt;1=TRUE,"ja",""),"")</f>
        <v/>
      </c>
    </row>
    <row r="1050" spans="1:31" x14ac:dyDescent="0.25">
      <c r="A1050" s="316"/>
      <c r="B1050" s="317" t="str">
        <f>IF(A1050&lt;&gt;"",_xlfn.MAXIFS($B$1:B1049,$A$1:A1049,A1050)+1,"")</f>
        <v/>
      </c>
      <c r="C1050" s="296"/>
      <c r="D1050" s="296"/>
      <c r="E1050" s="296"/>
      <c r="F1050" s="296"/>
      <c r="G1050" s="326"/>
      <c r="H1050" s="324"/>
      <c r="I1050" s="325"/>
      <c r="J1050" s="325"/>
      <c r="K1050" s="318"/>
      <c r="L1050" s="318"/>
      <c r="M1050" s="319" t="str">
        <f>IFERROR(VLOOKUP(H1050,Lijsten!$H$1:$I$100,2,0),"")</f>
        <v/>
      </c>
      <c r="N1050" s="319" t="str">
        <f ca="1">IFERROR(IF(VLOOKUP(F1050,Kostentypen!$A$3:$E$21,3,0)=0,"",IF(OR(F1050="Arbeidskosten",F1050="Vergoeding"),VLOOKUP(G1050,Tb_KostenTypen[],2,0),VLOOKUP(F1050,Kostentypen!$A$3:$E$20,3,0))),"")</f>
        <v/>
      </c>
      <c r="O1050" s="320" t="str" cm="1">
        <f t="array" ref="O1050">_xlfn.IFNA(IF(INDEX(Tb_KostenOptiesDB[],MATCH($F1050,Tb_KostenOptiesDB[KostenOptie],0),IFERROR(MATCH(Methode_Keuze,Tb_KostenOptiesDB[#Headers],0),2))=1,_xlfn.SWITCH($N1050,"Uurtarief",IF(OR(AND(RIGHT($F1050,3)="IKS",VLOOKUP($M1050,DB_Loonkosten,2,0)="Ja"),AND(RIGHT($F1050,3)&lt;&gt;"IKS",VLOOKUP($M1050,DB_Loonkosten,2,0)="Nee")),IFERROR(VLOOKUP($M1050,DB_Loonkosten,24,0),""),0),"Vast tarief",IF(LEFT(F1050,8)="Bijdrage",VLOOKUP($F1050,Tb_KostenTypen[],MATCH(Lijsten!$P$1,Tb_KostenTypen[#Headers],0),0),VLOOKUP($G1050,Lijsten!L:P,MATCH(Lijsten!$P$1,Kop_Tarief_Vast,0),0))),""),"")</f>
        <v/>
      </c>
      <c r="P1050" s="320" t="str" cm="1">
        <f t="array" ref="P1050">_xlfn.IFNA(IF(INDEX(Tb_KostenOptiesDB[],MATCH($F1050,Tb_KostenOptiesDB[KostenOptie],0),IFERROR(MATCH(Methode_Keuze,Tb_KostenOptiesDB[#Headers],0),2))=1,_xlfn.SWITCH($N1050,"Uurtarief",IF(OR(AND(RIGHT($F1050,3)="IKS",VLOOKUP($M1050,DB_Loonkosten,2,0)="Ja"),AND(RIGHT($F1050,3)&lt;&gt;"IKS",VLOOKUP($M1050,DB_Loonkosten,2,0)="Nee")),IFERROR(VLOOKUP($M1050,DB_Loonkosten,25,0),""),0),"Vast tarief",IF(LEFT(F1050,8)="Bijdrage",VLOOKUP($F1050,Tb_KostenTypen[],MATCH(Lijsten!$P$1,Tb_KostenTypen[#Headers],0),0),VLOOKUP($G1050,Lijsten!L:P,MATCH(Lijsten!$P$1,Kop_Tarief_Vast,0),0))),""),"")</f>
        <v/>
      </c>
      <c r="Q1050" s="359"/>
      <c r="R1050" s="359"/>
      <c r="S1050" s="321"/>
      <c r="T1050" s="321"/>
      <c r="U1050" s="373" t="str">
        <f t="shared" si="64"/>
        <v/>
      </c>
      <c r="V1050" s="314" t="str">
        <f t="shared" si="65"/>
        <v/>
      </c>
      <c r="W1050" s="314" t="str" cm="1">
        <f t="array" aca="1" ref="W1050" ca="1">IFERROR(IF(AE1050&lt;&gt;"ja",_xlfn.IFNA(_xlfn.IFS(AND(O1050&lt;&gt;"",F1050&lt;&gt;"",RIGHT($N1050,6)="tarief",F1050="Vergoeding"),SUM(O1050)*FLOOR(SUM(Q1050),0.0001),AND(O1050&lt;&gt;"",F1050&lt;&gt;"",RIGHT($N1050,6)="tarief"),SUM(O1050)*FLOOR(SUM(Q1050),0.01),S1050&gt;0,IF(F1050&lt;&gt;"",FLOOR(SUM(S1050),0.01),"")),""),""),"")</f>
        <v/>
      </c>
      <c r="X1050" s="314" t="str" cm="1">
        <f t="array" aca="1" ref="X1050" ca="1">IFERROR(IF(AE1050&lt;&gt;"ja",_xlfn.IFNA(_xlfn.IFS(AND(P1050&lt;&gt;"",R1050&lt;&gt;"",RIGHT($N1050,6)="tarief",F1050="Vergoeding"),SUM(P1050)*FLOOR(SUM(R1050),0.0001),AND(P1050&lt;&gt;"",R1050&lt;&gt;"",RIGHT($N1050,6)="tarief"),P1050*FLOOR(R1050,0.01),T1050&gt;0,FLOOR(SUM(T1050),0.01)),""),""),"")</f>
        <v/>
      </c>
      <c r="Y1050" s="314" t="str">
        <f t="shared" ca="1" si="66"/>
        <v/>
      </c>
      <c r="Z1050" s="314" t="str" cm="1">
        <f t="array" aca="1" ref="Z1050" ca="1">IFERROR(_xlfn.IFS(OR(F1050="",LEFT(Methode_Keuze,4)="Geen",Methode_Keuze=""),"",AND(W1050&lt;&gt;"",F1050&lt;&gt;"Arbeidskosten"),W1050*VLOOKUP(F1050,Tb_ProjectKosten[],MATCH(Tb_ProjectKosten[[#Headers],[Forfait_Percentage]],Tb_ProjectKosten[#Headers],0),0),AND(F1050="Arbeidskosten",G1050&lt;&gt;""),IFERROR(W1050*VLOOKUP(G1050,Tb_KostenTypen[],3,0)*VLOOKUP(F1050,Tb_ProjectKosten[],MATCH(Tb_ProjectKosten[[#Headers],[Forfait_Percentage]],Tb_ProjectKosten[#Headers],0),0),""),W1050 &lt;=0,0),"")</f>
        <v/>
      </c>
      <c r="AA1050" s="314" t="str" cm="1">
        <f t="array" aca="1" ref="AA1050" ca="1">IFERROR(_xlfn.IFS(OR(F1050="",LEFT(Methode_Keuze,4)="Geen",Methode_Keuze=""),"",AND(X1050&lt;&gt;"",F1050&lt;&gt;"Arbeidskosten"),X1050*VLOOKUP(F1050,Tb_ProjectKosten[],MATCH(Tb_ProjectKosten[[#Headers],[Forfait_Percentage]],Tb_ProjectKosten[#Headers],0),0),AND(F1050="Arbeidskosten",G1050&lt;&gt;""),IFERROR(X1050*VLOOKUP(G1050,Tb_KostenTypen[],3,0)*VLOOKUP(F1050,Tb_ProjectKosten[],MATCH(Tb_ProjectKosten[[#Headers],[Forfait_Percentage]],Tb_ProjectKosten[#Headers],0),0),""),X1050 &lt;=0,0),"")</f>
        <v/>
      </c>
      <c r="AB1050" s="314" t="str">
        <f t="shared" ca="1" si="67"/>
        <v/>
      </c>
      <c r="AC1050" s="322"/>
      <c r="AD1050" s="315"/>
      <c r="AE1050" s="32" t="str" cm="1">
        <f t="array" ref="AE1050">IFERROR(IF(INDEX(SubsidieTabel!$AD$1:$AG$12,MATCH($F1050,SubsidieTabel!$AD$1:$AD$12,0),IFERROR(MATCH(Methode_Keuze,SubsidieTabel!$AD$1:$AG$1,0),2))&lt;&gt;1=TRUE,"ja",""),"")</f>
        <v/>
      </c>
    </row>
    <row r="1051" spans="1:31" x14ac:dyDescent="0.25">
      <c r="A1051" s="316"/>
      <c r="B1051" s="317" t="str">
        <f>IF(A1051&lt;&gt;"",_xlfn.MAXIFS($B$1:B1050,$A$1:A1050,A1051)+1,"")</f>
        <v/>
      </c>
      <c r="C1051" s="296"/>
      <c r="D1051" s="296"/>
      <c r="E1051" s="296"/>
      <c r="F1051" s="296"/>
      <c r="G1051" s="326"/>
      <c r="H1051" s="324"/>
      <c r="I1051" s="325"/>
      <c r="J1051" s="325"/>
      <c r="K1051" s="318"/>
      <c r="L1051" s="318"/>
      <c r="M1051" s="319" t="str">
        <f>IFERROR(VLOOKUP(H1051,Lijsten!$H$1:$I$100,2,0),"")</f>
        <v/>
      </c>
      <c r="N1051" s="319" t="str">
        <f ca="1">IFERROR(IF(VLOOKUP(F1051,Kostentypen!$A$3:$E$21,3,0)=0,"",IF(OR(F1051="Arbeidskosten",F1051="Vergoeding"),VLOOKUP(G1051,Tb_KostenTypen[],2,0),VLOOKUP(F1051,Kostentypen!$A$3:$E$20,3,0))),"")</f>
        <v/>
      </c>
      <c r="O1051" s="320" t="str" cm="1">
        <f t="array" ref="O1051">_xlfn.IFNA(IF(INDEX(Tb_KostenOptiesDB[],MATCH($F1051,Tb_KostenOptiesDB[KostenOptie],0),IFERROR(MATCH(Methode_Keuze,Tb_KostenOptiesDB[#Headers],0),2))=1,_xlfn.SWITCH($N1051,"Uurtarief",IF(OR(AND(RIGHT($F1051,3)="IKS",VLOOKUP($M1051,DB_Loonkosten,2,0)="Ja"),AND(RIGHT($F1051,3)&lt;&gt;"IKS",VLOOKUP($M1051,DB_Loonkosten,2,0)="Nee")),IFERROR(VLOOKUP($M1051,DB_Loonkosten,24,0),""),0),"Vast tarief",IF(LEFT(F1051,8)="Bijdrage",VLOOKUP($F1051,Tb_KostenTypen[],MATCH(Lijsten!$P$1,Tb_KostenTypen[#Headers],0),0),VLOOKUP($G1051,Lijsten!L:P,MATCH(Lijsten!$P$1,Kop_Tarief_Vast,0),0))),""),"")</f>
        <v/>
      </c>
      <c r="P1051" s="320" t="str" cm="1">
        <f t="array" ref="P1051">_xlfn.IFNA(IF(INDEX(Tb_KostenOptiesDB[],MATCH($F1051,Tb_KostenOptiesDB[KostenOptie],0),IFERROR(MATCH(Methode_Keuze,Tb_KostenOptiesDB[#Headers],0),2))=1,_xlfn.SWITCH($N1051,"Uurtarief",IF(OR(AND(RIGHT($F1051,3)="IKS",VLOOKUP($M1051,DB_Loonkosten,2,0)="Ja"),AND(RIGHT($F1051,3)&lt;&gt;"IKS",VLOOKUP($M1051,DB_Loonkosten,2,0)="Nee")),IFERROR(VLOOKUP($M1051,DB_Loonkosten,25,0),""),0),"Vast tarief",IF(LEFT(F1051,8)="Bijdrage",VLOOKUP($F1051,Tb_KostenTypen[],MATCH(Lijsten!$P$1,Tb_KostenTypen[#Headers],0),0),VLOOKUP($G1051,Lijsten!L:P,MATCH(Lijsten!$P$1,Kop_Tarief_Vast,0),0))),""),"")</f>
        <v/>
      </c>
      <c r="Q1051" s="359"/>
      <c r="R1051" s="359"/>
      <c r="S1051" s="321"/>
      <c r="T1051" s="321"/>
      <c r="U1051" s="373" t="str">
        <f t="shared" si="64"/>
        <v/>
      </c>
      <c r="V1051" s="314" t="str">
        <f t="shared" si="65"/>
        <v/>
      </c>
      <c r="W1051" s="314" t="str" cm="1">
        <f t="array" aca="1" ref="W1051" ca="1">IFERROR(IF(AE1051&lt;&gt;"ja",_xlfn.IFNA(_xlfn.IFS(AND(O1051&lt;&gt;"",F1051&lt;&gt;"",RIGHT($N1051,6)="tarief",F1051="Vergoeding"),SUM(O1051)*FLOOR(SUM(Q1051),0.0001),AND(O1051&lt;&gt;"",F1051&lt;&gt;"",RIGHT($N1051,6)="tarief"),SUM(O1051)*FLOOR(SUM(Q1051),0.01),S1051&gt;0,IF(F1051&lt;&gt;"",FLOOR(SUM(S1051),0.01),"")),""),""),"")</f>
        <v/>
      </c>
      <c r="X1051" s="314" t="str" cm="1">
        <f t="array" aca="1" ref="X1051" ca="1">IFERROR(IF(AE1051&lt;&gt;"ja",_xlfn.IFNA(_xlfn.IFS(AND(P1051&lt;&gt;"",R1051&lt;&gt;"",RIGHT($N1051,6)="tarief",F1051="Vergoeding"),SUM(P1051)*FLOOR(SUM(R1051),0.0001),AND(P1051&lt;&gt;"",R1051&lt;&gt;"",RIGHT($N1051,6)="tarief"),P1051*FLOOR(R1051,0.01),T1051&gt;0,FLOOR(SUM(T1051),0.01)),""),""),"")</f>
        <v/>
      </c>
      <c r="Y1051" s="314" t="str">
        <f t="shared" ca="1" si="66"/>
        <v/>
      </c>
      <c r="Z1051" s="314" t="str" cm="1">
        <f t="array" aca="1" ref="Z1051" ca="1">IFERROR(_xlfn.IFS(OR(F1051="",LEFT(Methode_Keuze,4)="Geen",Methode_Keuze=""),"",AND(W1051&lt;&gt;"",F1051&lt;&gt;"Arbeidskosten"),W1051*VLOOKUP(F1051,Tb_ProjectKosten[],MATCH(Tb_ProjectKosten[[#Headers],[Forfait_Percentage]],Tb_ProjectKosten[#Headers],0),0),AND(F1051="Arbeidskosten",G1051&lt;&gt;""),IFERROR(W1051*VLOOKUP(G1051,Tb_KostenTypen[],3,0)*VLOOKUP(F1051,Tb_ProjectKosten[],MATCH(Tb_ProjectKosten[[#Headers],[Forfait_Percentage]],Tb_ProjectKosten[#Headers],0),0),""),W1051 &lt;=0,0),"")</f>
        <v/>
      </c>
      <c r="AA1051" s="314" t="str" cm="1">
        <f t="array" aca="1" ref="AA1051" ca="1">IFERROR(_xlfn.IFS(OR(F1051="",LEFT(Methode_Keuze,4)="Geen",Methode_Keuze=""),"",AND(X1051&lt;&gt;"",F1051&lt;&gt;"Arbeidskosten"),X1051*VLOOKUP(F1051,Tb_ProjectKosten[],MATCH(Tb_ProjectKosten[[#Headers],[Forfait_Percentage]],Tb_ProjectKosten[#Headers],0),0),AND(F1051="Arbeidskosten",G1051&lt;&gt;""),IFERROR(X1051*VLOOKUP(G1051,Tb_KostenTypen[],3,0)*VLOOKUP(F1051,Tb_ProjectKosten[],MATCH(Tb_ProjectKosten[[#Headers],[Forfait_Percentage]],Tb_ProjectKosten[#Headers],0),0),""),X1051 &lt;=0,0),"")</f>
        <v/>
      </c>
      <c r="AB1051" s="314" t="str">
        <f t="shared" ca="1" si="67"/>
        <v/>
      </c>
      <c r="AC1051" s="322"/>
      <c r="AD1051" s="315"/>
      <c r="AE1051" s="32" t="str" cm="1">
        <f t="array" ref="AE1051">IFERROR(IF(INDEX(SubsidieTabel!$AD$1:$AG$12,MATCH($F1051,SubsidieTabel!$AD$1:$AD$12,0),IFERROR(MATCH(Methode_Keuze,SubsidieTabel!$AD$1:$AG$1,0),2))&lt;&gt;1=TRUE,"ja",""),"")</f>
        <v/>
      </c>
    </row>
    <row r="1052" spans="1:31" x14ac:dyDescent="0.25">
      <c r="A1052" s="316"/>
      <c r="B1052" s="317" t="str">
        <f>IF(A1052&lt;&gt;"",_xlfn.MAXIFS($B$1:B1051,$A$1:A1051,A1052)+1,"")</f>
        <v/>
      </c>
      <c r="C1052" s="296"/>
      <c r="D1052" s="296"/>
      <c r="E1052" s="296"/>
      <c r="F1052" s="296"/>
      <c r="G1052" s="326"/>
      <c r="H1052" s="324"/>
      <c r="I1052" s="325"/>
      <c r="J1052" s="325"/>
      <c r="K1052" s="318"/>
      <c r="L1052" s="318"/>
      <c r="M1052" s="319" t="str">
        <f>IFERROR(VLOOKUP(H1052,Lijsten!$H$1:$I$100,2,0),"")</f>
        <v/>
      </c>
      <c r="N1052" s="319" t="str">
        <f ca="1">IFERROR(IF(VLOOKUP(F1052,Kostentypen!$A$3:$E$21,3,0)=0,"",IF(OR(F1052="Arbeidskosten",F1052="Vergoeding"),VLOOKUP(G1052,Tb_KostenTypen[],2,0),VLOOKUP(F1052,Kostentypen!$A$3:$E$20,3,0))),"")</f>
        <v/>
      </c>
      <c r="O1052" s="320" t="str" cm="1">
        <f t="array" ref="O1052">_xlfn.IFNA(IF(INDEX(Tb_KostenOptiesDB[],MATCH($F1052,Tb_KostenOptiesDB[KostenOptie],0),IFERROR(MATCH(Methode_Keuze,Tb_KostenOptiesDB[#Headers],0),2))=1,_xlfn.SWITCH($N1052,"Uurtarief",IF(OR(AND(RIGHT($F1052,3)="IKS",VLOOKUP($M1052,DB_Loonkosten,2,0)="Ja"),AND(RIGHT($F1052,3)&lt;&gt;"IKS",VLOOKUP($M1052,DB_Loonkosten,2,0)="Nee")),IFERROR(VLOOKUP($M1052,DB_Loonkosten,24,0),""),0),"Vast tarief",IF(LEFT(F1052,8)="Bijdrage",VLOOKUP($F1052,Tb_KostenTypen[],MATCH(Lijsten!$P$1,Tb_KostenTypen[#Headers],0),0),VLOOKUP($G1052,Lijsten!L:P,MATCH(Lijsten!$P$1,Kop_Tarief_Vast,0),0))),""),"")</f>
        <v/>
      </c>
      <c r="P1052" s="320" t="str" cm="1">
        <f t="array" ref="P1052">_xlfn.IFNA(IF(INDEX(Tb_KostenOptiesDB[],MATCH($F1052,Tb_KostenOptiesDB[KostenOptie],0),IFERROR(MATCH(Methode_Keuze,Tb_KostenOptiesDB[#Headers],0),2))=1,_xlfn.SWITCH($N1052,"Uurtarief",IF(OR(AND(RIGHT($F1052,3)="IKS",VLOOKUP($M1052,DB_Loonkosten,2,0)="Ja"),AND(RIGHT($F1052,3)&lt;&gt;"IKS",VLOOKUP($M1052,DB_Loonkosten,2,0)="Nee")),IFERROR(VLOOKUP($M1052,DB_Loonkosten,25,0),""),0),"Vast tarief",IF(LEFT(F1052,8)="Bijdrage",VLOOKUP($F1052,Tb_KostenTypen[],MATCH(Lijsten!$P$1,Tb_KostenTypen[#Headers],0),0),VLOOKUP($G1052,Lijsten!L:P,MATCH(Lijsten!$P$1,Kop_Tarief_Vast,0),0))),""),"")</f>
        <v/>
      </c>
      <c r="Q1052" s="359"/>
      <c r="R1052" s="359"/>
      <c r="S1052" s="321"/>
      <c r="T1052" s="321"/>
      <c r="U1052" s="373" t="str">
        <f t="shared" si="64"/>
        <v/>
      </c>
      <c r="V1052" s="314" t="str">
        <f t="shared" si="65"/>
        <v/>
      </c>
      <c r="W1052" s="314" t="str" cm="1">
        <f t="array" aca="1" ref="W1052" ca="1">IFERROR(IF(AE1052&lt;&gt;"ja",_xlfn.IFNA(_xlfn.IFS(AND(O1052&lt;&gt;"",F1052&lt;&gt;"",RIGHT($N1052,6)="tarief",F1052="Vergoeding"),SUM(O1052)*FLOOR(SUM(Q1052),0.0001),AND(O1052&lt;&gt;"",F1052&lt;&gt;"",RIGHT($N1052,6)="tarief"),SUM(O1052)*FLOOR(SUM(Q1052),0.01),S1052&gt;0,IF(F1052&lt;&gt;"",FLOOR(SUM(S1052),0.01),"")),""),""),"")</f>
        <v/>
      </c>
      <c r="X1052" s="314" t="str" cm="1">
        <f t="array" aca="1" ref="X1052" ca="1">IFERROR(IF(AE1052&lt;&gt;"ja",_xlfn.IFNA(_xlfn.IFS(AND(P1052&lt;&gt;"",R1052&lt;&gt;"",RIGHT($N1052,6)="tarief",F1052="Vergoeding"),SUM(P1052)*FLOOR(SUM(R1052),0.0001),AND(P1052&lt;&gt;"",R1052&lt;&gt;"",RIGHT($N1052,6)="tarief"),P1052*FLOOR(R1052,0.01),T1052&gt;0,FLOOR(SUM(T1052),0.01)),""),""),"")</f>
        <v/>
      </c>
      <c r="Y1052" s="314" t="str">
        <f t="shared" ca="1" si="66"/>
        <v/>
      </c>
      <c r="Z1052" s="314" t="str" cm="1">
        <f t="array" aca="1" ref="Z1052" ca="1">IFERROR(_xlfn.IFS(OR(F1052="",LEFT(Methode_Keuze,4)="Geen",Methode_Keuze=""),"",AND(W1052&lt;&gt;"",F1052&lt;&gt;"Arbeidskosten"),W1052*VLOOKUP(F1052,Tb_ProjectKosten[],MATCH(Tb_ProjectKosten[[#Headers],[Forfait_Percentage]],Tb_ProjectKosten[#Headers],0),0),AND(F1052="Arbeidskosten",G1052&lt;&gt;""),IFERROR(W1052*VLOOKUP(G1052,Tb_KostenTypen[],3,0)*VLOOKUP(F1052,Tb_ProjectKosten[],MATCH(Tb_ProjectKosten[[#Headers],[Forfait_Percentage]],Tb_ProjectKosten[#Headers],0),0),""),W1052 &lt;=0,0),"")</f>
        <v/>
      </c>
      <c r="AA1052" s="314" t="str" cm="1">
        <f t="array" aca="1" ref="AA1052" ca="1">IFERROR(_xlfn.IFS(OR(F1052="",LEFT(Methode_Keuze,4)="Geen",Methode_Keuze=""),"",AND(X1052&lt;&gt;"",F1052&lt;&gt;"Arbeidskosten"),X1052*VLOOKUP(F1052,Tb_ProjectKosten[],MATCH(Tb_ProjectKosten[[#Headers],[Forfait_Percentage]],Tb_ProjectKosten[#Headers],0),0),AND(F1052="Arbeidskosten",G1052&lt;&gt;""),IFERROR(X1052*VLOOKUP(G1052,Tb_KostenTypen[],3,0)*VLOOKUP(F1052,Tb_ProjectKosten[],MATCH(Tb_ProjectKosten[[#Headers],[Forfait_Percentage]],Tb_ProjectKosten[#Headers],0),0),""),X1052 &lt;=0,0),"")</f>
        <v/>
      </c>
      <c r="AB1052" s="314" t="str">
        <f t="shared" ca="1" si="67"/>
        <v/>
      </c>
      <c r="AC1052" s="322"/>
      <c r="AD1052" s="315"/>
      <c r="AE1052" s="32" t="str" cm="1">
        <f t="array" ref="AE1052">IFERROR(IF(INDEX(SubsidieTabel!$AD$1:$AG$12,MATCH($F1052,SubsidieTabel!$AD$1:$AD$12,0),IFERROR(MATCH(Methode_Keuze,SubsidieTabel!$AD$1:$AG$1,0),2))&lt;&gt;1=TRUE,"ja",""),"")</f>
        <v/>
      </c>
    </row>
    <row r="1053" spans="1:31" x14ac:dyDescent="0.25">
      <c r="A1053" s="316"/>
      <c r="B1053" s="317" t="str">
        <f>IF(A1053&lt;&gt;"",_xlfn.MAXIFS($B$1:B1052,$A$1:A1052,A1053)+1,"")</f>
        <v/>
      </c>
      <c r="C1053" s="296"/>
      <c r="D1053" s="296"/>
      <c r="E1053" s="296"/>
      <c r="F1053" s="296"/>
      <c r="G1053" s="326"/>
      <c r="H1053" s="324"/>
      <c r="I1053" s="325"/>
      <c r="J1053" s="325"/>
      <c r="K1053" s="318"/>
      <c r="L1053" s="318"/>
      <c r="M1053" s="319" t="str">
        <f>IFERROR(VLOOKUP(H1053,Lijsten!$H$1:$I$100,2,0),"")</f>
        <v/>
      </c>
      <c r="N1053" s="319" t="str">
        <f ca="1">IFERROR(IF(VLOOKUP(F1053,Kostentypen!$A$3:$E$21,3,0)=0,"",IF(OR(F1053="Arbeidskosten",F1053="Vergoeding"),VLOOKUP(G1053,Tb_KostenTypen[],2,0),VLOOKUP(F1053,Kostentypen!$A$3:$E$20,3,0))),"")</f>
        <v/>
      </c>
      <c r="O1053" s="320" t="str" cm="1">
        <f t="array" ref="O1053">_xlfn.IFNA(IF(INDEX(Tb_KostenOptiesDB[],MATCH($F1053,Tb_KostenOptiesDB[KostenOptie],0),IFERROR(MATCH(Methode_Keuze,Tb_KostenOptiesDB[#Headers],0),2))=1,_xlfn.SWITCH($N1053,"Uurtarief",IF(OR(AND(RIGHT($F1053,3)="IKS",VLOOKUP($M1053,DB_Loonkosten,2,0)="Ja"),AND(RIGHT($F1053,3)&lt;&gt;"IKS",VLOOKUP($M1053,DB_Loonkosten,2,0)="Nee")),IFERROR(VLOOKUP($M1053,DB_Loonkosten,24,0),""),0),"Vast tarief",IF(LEFT(F1053,8)="Bijdrage",VLOOKUP($F1053,Tb_KostenTypen[],MATCH(Lijsten!$P$1,Tb_KostenTypen[#Headers],0),0),VLOOKUP($G1053,Lijsten!L:P,MATCH(Lijsten!$P$1,Kop_Tarief_Vast,0),0))),""),"")</f>
        <v/>
      </c>
      <c r="P1053" s="320" t="str" cm="1">
        <f t="array" ref="P1053">_xlfn.IFNA(IF(INDEX(Tb_KostenOptiesDB[],MATCH($F1053,Tb_KostenOptiesDB[KostenOptie],0),IFERROR(MATCH(Methode_Keuze,Tb_KostenOptiesDB[#Headers],0),2))=1,_xlfn.SWITCH($N1053,"Uurtarief",IF(OR(AND(RIGHT($F1053,3)="IKS",VLOOKUP($M1053,DB_Loonkosten,2,0)="Ja"),AND(RIGHT($F1053,3)&lt;&gt;"IKS",VLOOKUP($M1053,DB_Loonkosten,2,0)="Nee")),IFERROR(VLOOKUP($M1053,DB_Loonkosten,25,0),""),0),"Vast tarief",IF(LEFT(F1053,8)="Bijdrage",VLOOKUP($F1053,Tb_KostenTypen[],MATCH(Lijsten!$P$1,Tb_KostenTypen[#Headers],0),0),VLOOKUP($G1053,Lijsten!L:P,MATCH(Lijsten!$P$1,Kop_Tarief_Vast,0),0))),""),"")</f>
        <v/>
      </c>
      <c r="Q1053" s="359"/>
      <c r="R1053" s="359"/>
      <c r="S1053" s="321"/>
      <c r="T1053" s="321"/>
      <c r="U1053" s="373" t="str">
        <f t="shared" si="64"/>
        <v/>
      </c>
      <c r="V1053" s="314" t="str">
        <f t="shared" si="65"/>
        <v/>
      </c>
      <c r="W1053" s="314" t="str" cm="1">
        <f t="array" aca="1" ref="W1053" ca="1">IFERROR(IF(AE1053&lt;&gt;"ja",_xlfn.IFNA(_xlfn.IFS(AND(O1053&lt;&gt;"",F1053&lt;&gt;"",RIGHT($N1053,6)="tarief",F1053="Vergoeding"),SUM(O1053)*FLOOR(SUM(Q1053),0.0001),AND(O1053&lt;&gt;"",F1053&lt;&gt;"",RIGHT($N1053,6)="tarief"),SUM(O1053)*FLOOR(SUM(Q1053),0.01),S1053&gt;0,IF(F1053&lt;&gt;"",FLOOR(SUM(S1053),0.01),"")),""),""),"")</f>
        <v/>
      </c>
      <c r="X1053" s="314" t="str" cm="1">
        <f t="array" aca="1" ref="X1053" ca="1">IFERROR(IF(AE1053&lt;&gt;"ja",_xlfn.IFNA(_xlfn.IFS(AND(P1053&lt;&gt;"",R1053&lt;&gt;"",RIGHT($N1053,6)="tarief",F1053="Vergoeding"),SUM(P1053)*FLOOR(SUM(R1053),0.0001),AND(P1053&lt;&gt;"",R1053&lt;&gt;"",RIGHT($N1053,6)="tarief"),P1053*FLOOR(R1053,0.01),T1053&gt;0,FLOOR(SUM(T1053),0.01)),""),""),"")</f>
        <v/>
      </c>
      <c r="Y1053" s="314" t="str">
        <f t="shared" ca="1" si="66"/>
        <v/>
      </c>
      <c r="Z1053" s="314" t="str" cm="1">
        <f t="array" aca="1" ref="Z1053" ca="1">IFERROR(_xlfn.IFS(OR(F1053="",LEFT(Methode_Keuze,4)="Geen",Methode_Keuze=""),"",AND(W1053&lt;&gt;"",F1053&lt;&gt;"Arbeidskosten"),W1053*VLOOKUP(F1053,Tb_ProjectKosten[],MATCH(Tb_ProjectKosten[[#Headers],[Forfait_Percentage]],Tb_ProjectKosten[#Headers],0),0),AND(F1053="Arbeidskosten",G1053&lt;&gt;""),IFERROR(W1053*VLOOKUP(G1053,Tb_KostenTypen[],3,0)*VLOOKUP(F1053,Tb_ProjectKosten[],MATCH(Tb_ProjectKosten[[#Headers],[Forfait_Percentage]],Tb_ProjectKosten[#Headers],0),0),""),W1053 &lt;=0,0),"")</f>
        <v/>
      </c>
      <c r="AA1053" s="314" t="str" cm="1">
        <f t="array" aca="1" ref="AA1053" ca="1">IFERROR(_xlfn.IFS(OR(F1053="",LEFT(Methode_Keuze,4)="Geen",Methode_Keuze=""),"",AND(X1053&lt;&gt;"",F1053&lt;&gt;"Arbeidskosten"),X1053*VLOOKUP(F1053,Tb_ProjectKosten[],MATCH(Tb_ProjectKosten[[#Headers],[Forfait_Percentage]],Tb_ProjectKosten[#Headers],0),0),AND(F1053="Arbeidskosten",G1053&lt;&gt;""),IFERROR(X1053*VLOOKUP(G1053,Tb_KostenTypen[],3,0)*VLOOKUP(F1053,Tb_ProjectKosten[],MATCH(Tb_ProjectKosten[[#Headers],[Forfait_Percentage]],Tb_ProjectKosten[#Headers],0),0),""),X1053 &lt;=0,0),"")</f>
        <v/>
      </c>
      <c r="AB1053" s="314" t="str">
        <f t="shared" ca="1" si="67"/>
        <v/>
      </c>
      <c r="AC1053" s="322"/>
      <c r="AD1053" s="315"/>
      <c r="AE1053" s="32" t="str" cm="1">
        <f t="array" ref="AE1053">IFERROR(IF(INDEX(SubsidieTabel!$AD$1:$AG$12,MATCH($F1053,SubsidieTabel!$AD$1:$AD$12,0),IFERROR(MATCH(Methode_Keuze,SubsidieTabel!$AD$1:$AG$1,0),2))&lt;&gt;1=TRUE,"ja",""),"")</f>
        <v/>
      </c>
    </row>
    <row r="1054" spans="1:31" x14ac:dyDescent="0.25">
      <c r="A1054" s="316"/>
      <c r="B1054" s="317" t="str">
        <f>IF(A1054&lt;&gt;"",_xlfn.MAXIFS($B$1:B1053,$A$1:A1053,A1054)+1,"")</f>
        <v/>
      </c>
      <c r="C1054" s="296"/>
      <c r="D1054" s="296"/>
      <c r="E1054" s="296"/>
      <c r="F1054" s="296"/>
      <c r="G1054" s="326"/>
      <c r="H1054" s="324"/>
      <c r="I1054" s="325"/>
      <c r="J1054" s="325"/>
      <c r="K1054" s="318"/>
      <c r="L1054" s="318"/>
      <c r="M1054" s="319" t="str">
        <f>IFERROR(VLOOKUP(H1054,Lijsten!$H$1:$I$100,2,0),"")</f>
        <v/>
      </c>
      <c r="N1054" s="319" t="str">
        <f ca="1">IFERROR(IF(VLOOKUP(F1054,Kostentypen!$A$3:$E$21,3,0)=0,"",IF(OR(F1054="Arbeidskosten",F1054="Vergoeding"),VLOOKUP(G1054,Tb_KostenTypen[],2,0),VLOOKUP(F1054,Kostentypen!$A$3:$E$20,3,0))),"")</f>
        <v/>
      </c>
      <c r="O1054" s="320" t="str" cm="1">
        <f t="array" ref="O1054">_xlfn.IFNA(IF(INDEX(Tb_KostenOptiesDB[],MATCH($F1054,Tb_KostenOptiesDB[KostenOptie],0),IFERROR(MATCH(Methode_Keuze,Tb_KostenOptiesDB[#Headers],0),2))=1,_xlfn.SWITCH($N1054,"Uurtarief",IF(OR(AND(RIGHT($F1054,3)="IKS",VLOOKUP($M1054,DB_Loonkosten,2,0)="Ja"),AND(RIGHT($F1054,3)&lt;&gt;"IKS",VLOOKUP($M1054,DB_Loonkosten,2,0)="Nee")),IFERROR(VLOOKUP($M1054,DB_Loonkosten,24,0),""),0),"Vast tarief",IF(LEFT(F1054,8)="Bijdrage",VLOOKUP($F1054,Tb_KostenTypen[],MATCH(Lijsten!$P$1,Tb_KostenTypen[#Headers],0),0),VLOOKUP($G1054,Lijsten!L:P,MATCH(Lijsten!$P$1,Kop_Tarief_Vast,0),0))),""),"")</f>
        <v/>
      </c>
      <c r="P1054" s="320" t="str" cm="1">
        <f t="array" ref="P1054">_xlfn.IFNA(IF(INDEX(Tb_KostenOptiesDB[],MATCH($F1054,Tb_KostenOptiesDB[KostenOptie],0),IFERROR(MATCH(Methode_Keuze,Tb_KostenOptiesDB[#Headers],0),2))=1,_xlfn.SWITCH($N1054,"Uurtarief",IF(OR(AND(RIGHT($F1054,3)="IKS",VLOOKUP($M1054,DB_Loonkosten,2,0)="Ja"),AND(RIGHT($F1054,3)&lt;&gt;"IKS",VLOOKUP($M1054,DB_Loonkosten,2,0)="Nee")),IFERROR(VLOOKUP($M1054,DB_Loonkosten,25,0),""),0),"Vast tarief",IF(LEFT(F1054,8)="Bijdrage",VLOOKUP($F1054,Tb_KostenTypen[],MATCH(Lijsten!$P$1,Tb_KostenTypen[#Headers],0),0),VLOOKUP($G1054,Lijsten!L:P,MATCH(Lijsten!$P$1,Kop_Tarief_Vast,0),0))),""),"")</f>
        <v/>
      </c>
      <c r="Q1054" s="359"/>
      <c r="R1054" s="359"/>
      <c r="S1054" s="321"/>
      <c r="T1054" s="321"/>
      <c r="U1054" s="373" t="str">
        <f t="shared" si="64"/>
        <v/>
      </c>
      <c r="V1054" s="314" t="str">
        <f t="shared" si="65"/>
        <v/>
      </c>
      <c r="W1054" s="314" t="str" cm="1">
        <f t="array" aca="1" ref="W1054" ca="1">IFERROR(IF(AE1054&lt;&gt;"ja",_xlfn.IFNA(_xlfn.IFS(AND(O1054&lt;&gt;"",F1054&lt;&gt;"",RIGHT($N1054,6)="tarief",F1054="Vergoeding"),SUM(O1054)*FLOOR(SUM(Q1054),0.0001),AND(O1054&lt;&gt;"",F1054&lt;&gt;"",RIGHT($N1054,6)="tarief"),SUM(O1054)*FLOOR(SUM(Q1054),0.01),S1054&gt;0,IF(F1054&lt;&gt;"",FLOOR(SUM(S1054),0.01),"")),""),""),"")</f>
        <v/>
      </c>
      <c r="X1054" s="314" t="str" cm="1">
        <f t="array" aca="1" ref="X1054" ca="1">IFERROR(IF(AE1054&lt;&gt;"ja",_xlfn.IFNA(_xlfn.IFS(AND(P1054&lt;&gt;"",R1054&lt;&gt;"",RIGHT($N1054,6)="tarief",F1054="Vergoeding"),SUM(P1054)*FLOOR(SUM(R1054),0.0001),AND(P1054&lt;&gt;"",R1054&lt;&gt;"",RIGHT($N1054,6)="tarief"),P1054*FLOOR(R1054,0.01),T1054&gt;0,FLOOR(SUM(T1054),0.01)),""),""),"")</f>
        <v/>
      </c>
      <c r="Y1054" s="314" t="str">
        <f t="shared" ca="1" si="66"/>
        <v/>
      </c>
      <c r="Z1054" s="314" t="str" cm="1">
        <f t="array" aca="1" ref="Z1054" ca="1">IFERROR(_xlfn.IFS(OR(F1054="",LEFT(Methode_Keuze,4)="Geen",Methode_Keuze=""),"",AND(W1054&lt;&gt;"",F1054&lt;&gt;"Arbeidskosten"),W1054*VLOOKUP(F1054,Tb_ProjectKosten[],MATCH(Tb_ProjectKosten[[#Headers],[Forfait_Percentage]],Tb_ProjectKosten[#Headers],0),0),AND(F1054="Arbeidskosten",G1054&lt;&gt;""),IFERROR(W1054*VLOOKUP(G1054,Tb_KostenTypen[],3,0)*VLOOKUP(F1054,Tb_ProjectKosten[],MATCH(Tb_ProjectKosten[[#Headers],[Forfait_Percentage]],Tb_ProjectKosten[#Headers],0),0),""),W1054 &lt;=0,0),"")</f>
        <v/>
      </c>
      <c r="AA1054" s="314" t="str" cm="1">
        <f t="array" aca="1" ref="AA1054" ca="1">IFERROR(_xlfn.IFS(OR(F1054="",LEFT(Methode_Keuze,4)="Geen",Methode_Keuze=""),"",AND(X1054&lt;&gt;"",F1054&lt;&gt;"Arbeidskosten"),X1054*VLOOKUP(F1054,Tb_ProjectKosten[],MATCH(Tb_ProjectKosten[[#Headers],[Forfait_Percentage]],Tb_ProjectKosten[#Headers],0),0),AND(F1054="Arbeidskosten",G1054&lt;&gt;""),IFERROR(X1054*VLOOKUP(G1054,Tb_KostenTypen[],3,0)*VLOOKUP(F1054,Tb_ProjectKosten[],MATCH(Tb_ProjectKosten[[#Headers],[Forfait_Percentage]],Tb_ProjectKosten[#Headers],0),0),""),X1054 &lt;=0,0),"")</f>
        <v/>
      </c>
      <c r="AB1054" s="314" t="str">
        <f t="shared" ca="1" si="67"/>
        <v/>
      </c>
      <c r="AC1054" s="322"/>
      <c r="AD1054" s="315"/>
      <c r="AE1054" s="32" t="str" cm="1">
        <f t="array" ref="AE1054">IFERROR(IF(INDEX(SubsidieTabel!$AD$1:$AG$12,MATCH($F1054,SubsidieTabel!$AD$1:$AD$12,0),IFERROR(MATCH(Methode_Keuze,SubsidieTabel!$AD$1:$AG$1,0),2))&lt;&gt;1=TRUE,"ja",""),"")</f>
        <v/>
      </c>
    </row>
    <row r="1055" spans="1:31" x14ac:dyDescent="0.25">
      <c r="A1055" s="316"/>
      <c r="B1055" s="317" t="str">
        <f>IF(A1055&lt;&gt;"",_xlfn.MAXIFS($B$1:B1054,$A$1:A1054,A1055)+1,"")</f>
        <v/>
      </c>
      <c r="C1055" s="296"/>
      <c r="D1055" s="296"/>
      <c r="E1055" s="296"/>
      <c r="F1055" s="296"/>
      <c r="G1055" s="326"/>
      <c r="H1055" s="324"/>
      <c r="I1055" s="325"/>
      <c r="J1055" s="325"/>
      <c r="K1055" s="318"/>
      <c r="L1055" s="318"/>
      <c r="M1055" s="319" t="str">
        <f>IFERROR(VLOOKUP(H1055,Lijsten!$H$1:$I$100,2,0),"")</f>
        <v/>
      </c>
      <c r="N1055" s="319" t="str">
        <f ca="1">IFERROR(IF(VLOOKUP(F1055,Kostentypen!$A$3:$E$21,3,0)=0,"",IF(OR(F1055="Arbeidskosten",F1055="Vergoeding"),VLOOKUP(G1055,Tb_KostenTypen[],2,0),VLOOKUP(F1055,Kostentypen!$A$3:$E$20,3,0))),"")</f>
        <v/>
      </c>
      <c r="O1055" s="320" t="str" cm="1">
        <f t="array" ref="O1055">_xlfn.IFNA(IF(INDEX(Tb_KostenOptiesDB[],MATCH($F1055,Tb_KostenOptiesDB[KostenOptie],0),IFERROR(MATCH(Methode_Keuze,Tb_KostenOptiesDB[#Headers],0),2))=1,_xlfn.SWITCH($N1055,"Uurtarief",IF(OR(AND(RIGHT($F1055,3)="IKS",VLOOKUP($M1055,DB_Loonkosten,2,0)="Ja"),AND(RIGHT($F1055,3)&lt;&gt;"IKS",VLOOKUP($M1055,DB_Loonkosten,2,0)="Nee")),IFERROR(VLOOKUP($M1055,DB_Loonkosten,24,0),""),0),"Vast tarief",IF(LEFT(F1055,8)="Bijdrage",VLOOKUP($F1055,Tb_KostenTypen[],MATCH(Lijsten!$P$1,Tb_KostenTypen[#Headers],0),0),VLOOKUP($G1055,Lijsten!L:P,MATCH(Lijsten!$P$1,Kop_Tarief_Vast,0),0))),""),"")</f>
        <v/>
      </c>
      <c r="P1055" s="320" t="str" cm="1">
        <f t="array" ref="P1055">_xlfn.IFNA(IF(INDEX(Tb_KostenOptiesDB[],MATCH($F1055,Tb_KostenOptiesDB[KostenOptie],0),IFERROR(MATCH(Methode_Keuze,Tb_KostenOptiesDB[#Headers],0),2))=1,_xlfn.SWITCH($N1055,"Uurtarief",IF(OR(AND(RIGHT($F1055,3)="IKS",VLOOKUP($M1055,DB_Loonkosten,2,0)="Ja"),AND(RIGHT($F1055,3)&lt;&gt;"IKS",VLOOKUP($M1055,DB_Loonkosten,2,0)="Nee")),IFERROR(VLOOKUP($M1055,DB_Loonkosten,25,0),""),0),"Vast tarief",IF(LEFT(F1055,8)="Bijdrage",VLOOKUP($F1055,Tb_KostenTypen[],MATCH(Lijsten!$P$1,Tb_KostenTypen[#Headers],0),0),VLOOKUP($G1055,Lijsten!L:P,MATCH(Lijsten!$P$1,Kop_Tarief_Vast,0),0))),""),"")</f>
        <v/>
      </c>
      <c r="Q1055" s="359"/>
      <c r="R1055" s="359"/>
      <c r="S1055" s="321"/>
      <c r="T1055" s="321"/>
      <c r="U1055" s="373" t="str">
        <f t="shared" si="64"/>
        <v/>
      </c>
      <c r="V1055" s="314" t="str">
        <f t="shared" si="65"/>
        <v/>
      </c>
      <c r="W1055" s="314" t="str" cm="1">
        <f t="array" aca="1" ref="W1055" ca="1">IFERROR(IF(AE1055&lt;&gt;"ja",_xlfn.IFNA(_xlfn.IFS(AND(O1055&lt;&gt;"",F1055&lt;&gt;"",RIGHT($N1055,6)="tarief",F1055="Vergoeding"),SUM(O1055)*FLOOR(SUM(Q1055),0.0001),AND(O1055&lt;&gt;"",F1055&lt;&gt;"",RIGHT($N1055,6)="tarief"),SUM(O1055)*FLOOR(SUM(Q1055),0.01),S1055&gt;0,IF(F1055&lt;&gt;"",FLOOR(SUM(S1055),0.01),"")),""),""),"")</f>
        <v/>
      </c>
      <c r="X1055" s="314" t="str" cm="1">
        <f t="array" aca="1" ref="X1055" ca="1">IFERROR(IF(AE1055&lt;&gt;"ja",_xlfn.IFNA(_xlfn.IFS(AND(P1055&lt;&gt;"",R1055&lt;&gt;"",RIGHT($N1055,6)="tarief",F1055="Vergoeding"),SUM(P1055)*FLOOR(SUM(R1055),0.0001),AND(P1055&lt;&gt;"",R1055&lt;&gt;"",RIGHT($N1055,6)="tarief"),P1055*FLOOR(R1055,0.01),T1055&gt;0,FLOOR(SUM(T1055),0.01)),""),""),"")</f>
        <v/>
      </c>
      <c r="Y1055" s="314" t="str">
        <f t="shared" ca="1" si="66"/>
        <v/>
      </c>
      <c r="Z1055" s="314" t="str" cm="1">
        <f t="array" aca="1" ref="Z1055" ca="1">IFERROR(_xlfn.IFS(OR(F1055="",LEFT(Methode_Keuze,4)="Geen",Methode_Keuze=""),"",AND(W1055&lt;&gt;"",F1055&lt;&gt;"Arbeidskosten"),W1055*VLOOKUP(F1055,Tb_ProjectKosten[],MATCH(Tb_ProjectKosten[[#Headers],[Forfait_Percentage]],Tb_ProjectKosten[#Headers],0),0),AND(F1055="Arbeidskosten",G1055&lt;&gt;""),IFERROR(W1055*VLOOKUP(G1055,Tb_KostenTypen[],3,0)*VLOOKUP(F1055,Tb_ProjectKosten[],MATCH(Tb_ProjectKosten[[#Headers],[Forfait_Percentage]],Tb_ProjectKosten[#Headers],0),0),""),W1055 &lt;=0,0),"")</f>
        <v/>
      </c>
      <c r="AA1055" s="314" t="str" cm="1">
        <f t="array" aca="1" ref="AA1055" ca="1">IFERROR(_xlfn.IFS(OR(F1055="",LEFT(Methode_Keuze,4)="Geen",Methode_Keuze=""),"",AND(X1055&lt;&gt;"",F1055&lt;&gt;"Arbeidskosten"),X1055*VLOOKUP(F1055,Tb_ProjectKosten[],MATCH(Tb_ProjectKosten[[#Headers],[Forfait_Percentage]],Tb_ProjectKosten[#Headers],0),0),AND(F1055="Arbeidskosten",G1055&lt;&gt;""),IFERROR(X1055*VLOOKUP(G1055,Tb_KostenTypen[],3,0)*VLOOKUP(F1055,Tb_ProjectKosten[],MATCH(Tb_ProjectKosten[[#Headers],[Forfait_Percentage]],Tb_ProjectKosten[#Headers],0),0),""),X1055 &lt;=0,0),"")</f>
        <v/>
      </c>
      <c r="AB1055" s="314" t="str">
        <f t="shared" ca="1" si="67"/>
        <v/>
      </c>
      <c r="AC1055" s="322"/>
      <c r="AD1055" s="315"/>
      <c r="AE1055" s="32" t="str" cm="1">
        <f t="array" ref="AE1055">IFERROR(IF(INDEX(SubsidieTabel!$AD$1:$AG$12,MATCH($F1055,SubsidieTabel!$AD$1:$AD$12,0),IFERROR(MATCH(Methode_Keuze,SubsidieTabel!$AD$1:$AG$1,0),2))&lt;&gt;1=TRUE,"ja",""),"")</f>
        <v/>
      </c>
    </row>
    <row r="1056" spans="1:31" x14ac:dyDescent="0.25">
      <c r="A1056" s="316"/>
      <c r="B1056" s="317" t="str">
        <f>IF(A1056&lt;&gt;"",_xlfn.MAXIFS($B$1:B1055,$A$1:A1055,A1056)+1,"")</f>
        <v/>
      </c>
      <c r="C1056" s="296"/>
      <c r="D1056" s="296"/>
      <c r="E1056" s="296"/>
      <c r="F1056" s="296"/>
      <c r="G1056" s="326"/>
      <c r="H1056" s="324"/>
      <c r="I1056" s="325"/>
      <c r="J1056" s="325"/>
      <c r="K1056" s="318"/>
      <c r="L1056" s="318"/>
      <c r="M1056" s="319" t="str">
        <f>IFERROR(VLOOKUP(H1056,Lijsten!$H$1:$I$100,2,0),"")</f>
        <v/>
      </c>
      <c r="N1056" s="319" t="str">
        <f ca="1">IFERROR(IF(VLOOKUP(F1056,Kostentypen!$A$3:$E$21,3,0)=0,"",IF(OR(F1056="Arbeidskosten",F1056="Vergoeding"),VLOOKUP(G1056,Tb_KostenTypen[],2,0),VLOOKUP(F1056,Kostentypen!$A$3:$E$20,3,0))),"")</f>
        <v/>
      </c>
      <c r="O1056" s="320" t="str" cm="1">
        <f t="array" ref="O1056">_xlfn.IFNA(IF(INDEX(Tb_KostenOptiesDB[],MATCH($F1056,Tb_KostenOptiesDB[KostenOptie],0),IFERROR(MATCH(Methode_Keuze,Tb_KostenOptiesDB[#Headers],0),2))=1,_xlfn.SWITCH($N1056,"Uurtarief",IF(OR(AND(RIGHT($F1056,3)="IKS",VLOOKUP($M1056,DB_Loonkosten,2,0)="Ja"),AND(RIGHT($F1056,3)&lt;&gt;"IKS",VLOOKUP($M1056,DB_Loonkosten,2,0)="Nee")),IFERROR(VLOOKUP($M1056,DB_Loonkosten,24,0),""),0),"Vast tarief",IF(LEFT(F1056,8)="Bijdrage",VLOOKUP($F1056,Tb_KostenTypen[],MATCH(Lijsten!$P$1,Tb_KostenTypen[#Headers],0),0),VLOOKUP($G1056,Lijsten!L:P,MATCH(Lijsten!$P$1,Kop_Tarief_Vast,0),0))),""),"")</f>
        <v/>
      </c>
      <c r="P1056" s="320" t="str" cm="1">
        <f t="array" ref="P1056">_xlfn.IFNA(IF(INDEX(Tb_KostenOptiesDB[],MATCH($F1056,Tb_KostenOptiesDB[KostenOptie],0),IFERROR(MATCH(Methode_Keuze,Tb_KostenOptiesDB[#Headers],0),2))=1,_xlfn.SWITCH($N1056,"Uurtarief",IF(OR(AND(RIGHT($F1056,3)="IKS",VLOOKUP($M1056,DB_Loonkosten,2,0)="Ja"),AND(RIGHT($F1056,3)&lt;&gt;"IKS",VLOOKUP($M1056,DB_Loonkosten,2,0)="Nee")),IFERROR(VLOOKUP($M1056,DB_Loonkosten,25,0),""),0),"Vast tarief",IF(LEFT(F1056,8)="Bijdrage",VLOOKUP($F1056,Tb_KostenTypen[],MATCH(Lijsten!$P$1,Tb_KostenTypen[#Headers],0),0),VLOOKUP($G1056,Lijsten!L:P,MATCH(Lijsten!$P$1,Kop_Tarief_Vast,0),0))),""),"")</f>
        <v/>
      </c>
      <c r="Q1056" s="359"/>
      <c r="R1056" s="359"/>
      <c r="S1056" s="321"/>
      <c r="T1056" s="321"/>
      <c r="U1056" s="373" t="str">
        <f t="shared" si="64"/>
        <v/>
      </c>
      <c r="V1056" s="314" t="str">
        <f t="shared" si="65"/>
        <v/>
      </c>
      <c r="W1056" s="314" t="str" cm="1">
        <f t="array" aca="1" ref="W1056" ca="1">IFERROR(IF(AE1056&lt;&gt;"ja",_xlfn.IFNA(_xlfn.IFS(AND(O1056&lt;&gt;"",F1056&lt;&gt;"",RIGHT($N1056,6)="tarief",F1056="Vergoeding"),SUM(O1056)*FLOOR(SUM(Q1056),0.0001),AND(O1056&lt;&gt;"",F1056&lt;&gt;"",RIGHT($N1056,6)="tarief"),SUM(O1056)*FLOOR(SUM(Q1056),0.01),S1056&gt;0,IF(F1056&lt;&gt;"",FLOOR(SUM(S1056),0.01),"")),""),""),"")</f>
        <v/>
      </c>
      <c r="X1056" s="314" t="str" cm="1">
        <f t="array" aca="1" ref="X1056" ca="1">IFERROR(IF(AE1056&lt;&gt;"ja",_xlfn.IFNA(_xlfn.IFS(AND(P1056&lt;&gt;"",R1056&lt;&gt;"",RIGHT($N1056,6)="tarief",F1056="Vergoeding"),SUM(P1056)*FLOOR(SUM(R1056),0.0001),AND(P1056&lt;&gt;"",R1056&lt;&gt;"",RIGHT($N1056,6)="tarief"),P1056*FLOOR(R1056,0.01),T1056&gt;0,FLOOR(SUM(T1056),0.01)),""),""),"")</f>
        <v/>
      </c>
      <c r="Y1056" s="314" t="str">
        <f t="shared" ca="1" si="66"/>
        <v/>
      </c>
      <c r="Z1056" s="314" t="str" cm="1">
        <f t="array" aca="1" ref="Z1056" ca="1">IFERROR(_xlfn.IFS(OR(F1056="",LEFT(Methode_Keuze,4)="Geen",Methode_Keuze=""),"",AND(W1056&lt;&gt;"",F1056&lt;&gt;"Arbeidskosten"),W1056*VLOOKUP(F1056,Tb_ProjectKosten[],MATCH(Tb_ProjectKosten[[#Headers],[Forfait_Percentage]],Tb_ProjectKosten[#Headers],0),0),AND(F1056="Arbeidskosten",G1056&lt;&gt;""),IFERROR(W1056*VLOOKUP(G1056,Tb_KostenTypen[],3,0)*VLOOKUP(F1056,Tb_ProjectKosten[],MATCH(Tb_ProjectKosten[[#Headers],[Forfait_Percentage]],Tb_ProjectKosten[#Headers],0),0),""),W1056 &lt;=0,0),"")</f>
        <v/>
      </c>
      <c r="AA1056" s="314" t="str" cm="1">
        <f t="array" aca="1" ref="AA1056" ca="1">IFERROR(_xlfn.IFS(OR(F1056="",LEFT(Methode_Keuze,4)="Geen",Methode_Keuze=""),"",AND(X1056&lt;&gt;"",F1056&lt;&gt;"Arbeidskosten"),X1056*VLOOKUP(F1056,Tb_ProjectKosten[],MATCH(Tb_ProjectKosten[[#Headers],[Forfait_Percentage]],Tb_ProjectKosten[#Headers],0),0),AND(F1056="Arbeidskosten",G1056&lt;&gt;""),IFERROR(X1056*VLOOKUP(G1056,Tb_KostenTypen[],3,0)*VLOOKUP(F1056,Tb_ProjectKosten[],MATCH(Tb_ProjectKosten[[#Headers],[Forfait_Percentage]],Tb_ProjectKosten[#Headers],0),0),""),X1056 &lt;=0,0),"")</f>
        <v/>
      </c>
      <c r="AB1056" s="314" t="str">
        <f t="shared" ca="1" si="67"/>
        <v/>
      </c>
      <c r="AC1056" s="322"/>
      <c r="AD1056" s="315"/>
      <c r="AE1056" s="32" t="str" cm="1">
        <f t="array" ref="AE1056">IFERROR(IF(INDEX(SubsidieTabel!$AD$1:$AG$12,MATCH($F1056,SubsidieTabel!$AD$1:$AD$12,0),IFERROR(MATCH(Methode_Keuze,SubsidieTabel!$AD$1:$AG$1,0),2))&lt;&gt;1=TRUE,"ja",""),"")</f>
        <v/>
      </c>
    </row>
    <row r="1057" spans="1:31" x14ac:dyDescent="0.25">
      <c r="A1057" s="316"/>
      <c r="B1057" s="317" t="str">
        <f>IF(A1057&lt;&gt;"",_xlfn.MAXIFS($B$1:B1056,$A$1:A1056,A1057)+1,"")</f>
        <v/>
      </c>
      <c r="C1057" s="296"/>
      <c r="D1057" s="296"/>
      <c r="E1057" s="296"/>
      <c r="F1057" s="296"/>
      <c r="G1057" s="326"/>
      <c r="H1057" s="324"/>
      <c r="I1057" s="325"/>
      <c r="J1057" s="325"/>
      <c r="K1057" s="318"/>
      <c r="L1057" s="318"/>
      <c r="M1057" s="319" t="str">
        <f>IFERROR(VLOOKUP(H1057,Lijsten!$H$1:$I$100,2,0),"")</f>
        <v/>
      </c>
      <c r="N1057" s="319" t="str">
        <f ca="1">IFERROR(IF(VLOOKUP(F1057,Kostentypen!$A$3:$E$21,3,0)=0,"",IF(OR(F1057="Arbeidskosten",F1057="Vergoeding"),VLOOKUP(G1057,Tb_KostenTypen[],2,0),VLOOKUP(F1057,Kostentypen!$A$3:$E$20,3,0))),"")</f>
        <v/>
      </c>
      <c r="O1057" s="320" t="str" cm="1">
        <f t="array" ref="O1057">_xlfn.IFNA(IF(INDEX(Tb_KostenOptiesDB[],MATCH($F1057,Tb_KostenOptiesDB[KostenOptie],0),IFERROR(MATCH(Methode_Keuze,Tb_KostenOptiesDB[#Headers],0),2))=1,_xlfn.SWITCH($N1057,"Uurtarief",IF(OR(AND(RIGHT($F1057,3)="IKS",VLOOKUP($M1057,DB_Loonkosten,2,0)="Ja"),AND(RIGHT($F1057,3)&lt;&gt;"IKS",VLOOKUP($M1057,DB_Loonkosten,2,0)="Nee")),IFERROR(VLOOKUP($M1057,DB_Loonkosten,24,0),""),0),"Vast tarief",IF(LEFT(F1057,8)="Bijdrage",VLOOKUP($F1057,Tb_KostenTypen[],MATCH(Lijsten!$P$1,Tb_KostenTypen[#Headers],0),0),VLOOKUP($G1057,Lijsten!L:P,MATCH(Lijsten!$P$1,Kop_Tarief_Vast,0),0))),""),"")</f>
        <v/>
      </c>
      <c r="P1057" s="320" t="str" cm="1">
        <f t="array" ref="P1057">_xlfn.IFNA(IF(INDEX(Tb_KostenOptiesDB[],MATCH($F1057,Tb_KostenOptiesDB[KostenOptie],0),IFERROR(MATCH(Methode_Keuze,Tb_KostenOptiesDB[#Headers],0),2))=1,_xlfn.SWITCH($N1057,"Uurtarief",IF(OR(AND(RIGHT($F1057,3)="IKS",VLOOKUP($M1057,DB_Loonkosten,2,0)="Ja"),AND(RIGHT($F1057,3)&lt;&gt;"IKS",VLOOKUP($M1057,DB_Loonkosten,2,0)="Nee")),IFERROR(VLOOKUP($M1057,DB_Loonkosten,25,0),""),0),"Vast tarief",IF(LEFT(F1057,8)="Bijdrage",VLOOKUP($F1057,Tb_KostenTypen[],MATCH(Lijsten!$P$1,Tb_KostenTypen[#Headers],0),0),VLOOKUP($G1057,Lijsten!L:P,MATCH(Lijsten!$P$1,Kop_Tarief_Vast,0),0))),""),"")</f>
        <v/>
      </c>
      <c r="Q1057" s="359"/>
      <c r="R1057" s="359"/>
      <c r="S1057" s="321"/>
      <c r="T1057" s="321"/>
      <c r="U1057" s="373" t="str">
        <f t="shared" si="64"/>
        <v/>
      </c>
      <c r="V1057" s="314" t="str">
        <f t="shared" si="65"/>
        <v/>
      </c>
      <c r="W1057" s="314" t="str" cm="1">
        <f t="array" aca="1" ref="W1057" ca="1">IFERROR(IF(AE1057&lt;&gt;"ja",_xlfn.IFNA(_xlfn.IFS(AND(O1057&lt;&gt;"",F1057&lt;&gt;"",RIGHT($N1057,6)="tarief",F1057="Vergoeding"),SUM(O1057)*FLOOR(SUM(Q1057),0.0001),AND(O1057&lt;&gt;"",F1057&lt;&gt;"",RIGHT($N1057,6)="tarief"),SUM(O1057)*FLOOR(SUM(Q1057),0.01),S1057&gt;0,IF(F1057&lt;&gt;"",FLOOR(SUM(S1057),0.01),"")),""),""),"")</f>
        <v/>
      </c>
      <c r="X1057" s="314" t="str" cm="1">
        <f t="array" aca="1" ref="X1057" ca="1">IFERROR(IF(AE1057&lt;&gt;"ja",_xlfn.IFNA(_xlfn.IFS(AND(P1057&lt;&gt;"",R1057&lt;&gt;"",RIGHT($N1057,6)="tarief",F1057="Vergoeding"),SUM(P1057)*FLOOR(SUM(R1057),0.0001),AND(P1057&lt;&gt;"",R1057&lt;&gt;"",RIGHT($N1057,6)="tarief"),P1057*FLOOR(R1057,0.01),T1057&gt;0,FLOOR(SUM(T1057),0.01)),""),""),"")</f>
        <v/>
      </c>
      <c r="Y1057" s="314" t="str">
        <f t="shared" ca="1" si="66"/>
        <v/>
      </c>
      <c r="Z1057" s="314" t="str" cm="1">
        <f t="array" aca="1" ref="Z1057" ca="1">IFERROR(_xlfn.IFS(OR(F1057="",LEFT(Methode_Keuze,4)="Geen",Methode_Keuze=""),"",AND(W1057&lt;&gt;"",F1057&lt;&gt;"Arbeidskosten"),W1057*VLOOKUP(F1057,Tb_ProjectKosten[],MATCH(Tb_ProjectKosten[[#Headers],[Forfait_Percentage]],Tb_ProjectKosten[#Headers],0),0),AND(F1057="Arbeidskosten",G1057&lt;&gt;""),IFERROR(W1057*VLOOKUP(G1057,Tb_KostenTypen[],3,0)*VLOOKUP(F1057,Tb_ProjectKosten[],MATCH(Tb_ProjectKosten[[#Headers],[Forfait_Percentage]],Tb_ProjectKosten[#Headers],0),0),""),W1057 &lt;=0,0),"")</f>
        <v/>
      </c>
      <c r="AA1057" s="314" t="str" cm="1">
        <f t="array" aca="1" ref="AA1057" ca="1">IFERROR(_xlfn.IFS(OR(F1057="",LEFT(Methode_Keuze,4)="Geen",Methode_Keuze=""),"",AND(X1057&lt;&gt;"",F1057&lt;&gt;"Arbeidskosten"),X1057*VLOOKUP(F1057,Tb_ProjectKosten[],MATCH(Tb_ProjectKosten[[#Headers],[Forfait_Percentage]],Tb_ProjectKosten[#Headers],0),0),AND(F1057="Arbeidskosten",G1057&lt;&gt;""),IFERROR(X1057*VLOOKUP(G1057,Tb_KostenTypen[],3,0)*VLOOKUP(F1057,Tb_ProjectKosten[],MATCH(Tb_ProjectKosten[[#Headers],[Forfait_Percentage]],Tb_ProjectKosten[#Headers],0),0),""),X1057 &lt;=0,0),"")</f>
        <v/>
      </c>
      <c r="AB1057" s="314" t="str">
        <f t="shared" ca="1" si="67"/>
        <v/>
      </c>
      <c r="AC1057" s="322"/>
      <c r="AD1057" s="315"/>
      <c r="AE1057" s="32" t="str" cm="1">
        <f t="array" ref="AE1057">IFERROR(IF(INDEX(SubsidieTabel!$AD$1:$AG$12,MATCH($F1057,SubsidieTabel!$AD$1:$AD$12,0),IFERROR(MATCH(Methode_Keuze,SubsidieTabel!$AD$1:$AG$1,0),2))&lt;&gt;1=TRUE,"ja",""),"")</f>
        <v/>
      </c>
    </row>
    <row r="1058" spans="1:31" x14ac:dyDescent="0.25">
      <c r="A1058" s="316"/>
      <c r="B1058" s="317" t="str">
        <f>IF(A1058&lt;&gt;"",_xlfn.MAXIFS($B$1:B1057,$A$1:A1057,A1058)+1,"")</f>
        <v/>
      </c>
      <c r="C1058" s="296"/>
      <c r="D1058" s="296"/>
      <c r="E1058" s="296"/>
      <c r="F1058" s="296"/>
      <c r="G1058" s="326"/>
      <c r="H1058" s="324"/>
      <c r="I1058" s="325"/>
      <c r="J1058" s="325"/>
      <c r="K1058" s="318"/>
      <c r="L1058" s="318"/>
      <c r="M1058" s="319" t="str">
        <f>IFERROR(VLOOKUP(H1058,Lijsten!$H$1:$I$100,2,0),"")</f>
        <v/>
      </c>
      <c r="N1058" s="319" t="str">
        <f ca="1">IFERROR(IF(VLOOKUP(F1058,Kostentypen!$A$3:$E$21,3,0)=0,"",IF(OR(F1058="Arbeidskosten",F1058="Vergoeding"),VLOOKUP(G1058,Tb_KostenTypen[],2,0),VLOOKUP(F1058,Kostentypen!$A$3:$E$20,3,0))),"")</f>
        <v/>
      </c>
      <c r="O1058" s="320" t="str" cm="1">
        <f t="array" ref="O1058">_xlfn.IFNA(IF(INDEX(Tb_KostenOptiesDB[],MATCH($F1058,Tb_KostenOptiesDB[KostenOptie],0),IFERROR(MATCH(Methode_Keuze,Tb_KostenOptiesDB[#Headers],0),2))=1,_xlfn.SWITCH($N1058,"Uurtarief",IF(OR(AND(RIGHT($F1058,3)="IKS",VLOOKUP($M1058,DB_Loonkosten,2,0)="Ja"),AND(RIGHT($F1058,3)&lt;&gt;"IKS",VLOOKUP($M1058,DB_Loonkosten,2,0)="Nee")),IFERROR(VLOOKUP($M1058,DB_Loonkosten,24,0),""),0),"Vast tarief",IF(LEFT(F1058,8)="Bijdrage",VLOOKUP($F1058,Tb_KostenTypen[],MATCH(Lijsten!$P$1,Tb_KostenTypen[#Headers],0),0),VLOOKUP($G1058,Lijsten!L:P,MATCH(Lijsten!$P$1,Kop_Tarief_Vast,0),0))),""),"")</f>
        <v/>
      </c>
      <c r="P1058" s="320" t="str" cm="1">
        <f t="array" ref="P1058">_xlfn.IFNA(IF(INDEX(Tb_KostenOptiesDB[],MATCH($F1058,Tb_KostenOptiesDB[KostenOptie],0),IFERROR(MATCH(Methode_Keuze,Tb_KostenOptiesDB[#Headers],0),2))=1,_xlfn.SWITCH($N1058,"Uurtarief",IF(OR(AND(RIGHT($F1058,3)="IKS",VLOOKUP($M1058,DB_Loonkosten,2,0)="Ja"),AND(RIGHT($F1058,3)&lt;&gt;"IKS",VLOOKUP($M1058,DB_Loonkosten,2,0)="Nee")),IFERROR(VLOOKUP($M1058,DB_Loonkosten,25,0),""),0),"Vast tarief",IF(LEFT(F1058,8)="Bijdrage",VLOOKUP($F1058,Tb_KostenTypen[],MATCH(Lijsten!$P$1,Tb_KostenTypen[#Headers],0),0),VLOOKUP($G1058,Lijsten!L:P,MATCH(Lijsten!$P$1,Kop_Tarief_Vast,0),0))),""),"")</f>
        <v/>
      </c>
      <c r="Q1058" s="359"/>
      <c r="R1058" s="359"/>
      <c r="S1058" s="321"/>
      <c r="T1058" s="321"/>
      <c r="U1058" s="373" t="str">
        <f t="shared" si="64"/>
        <v/>
      </c>
      <c r="V1058" s="314" t="str">
        <f t="shared" si="65"/>
        <v/>
      </c>
      <c r="W1058" s="314" t="str" cm="1">
        <f t="array" aca="1" ref="W1058" ca="1">IFERROR(IF(AE1058&lt;&gt;"ja",_xlfn.IFNA(_xlfn.IFS(AND(O1058&lt;&gt;"",F1058&lt;&gt;"",RIGHT($N1058,6)="tarief",F1058="Vergoeding"),SUM(O1058)*FLOOR(SUM(Q1058),0.0001),AND(O1058&lt;&gt;"",F1058&lt;&gt;"",RIGHT($N1058,6)="tarief"),SUM(O1058)*FLOOR(SUM(Q1058),0.01),S1058&gt;0,IF(F1058&lt;&gt;"",FLOOR(SUM(S1058),0.01),"")),""),""),"")</f>
        <v/>
      </c>
      <c r="X1058" s="314" t="str" cm="1">
        <f t="array" aca="1" ref="X1058" ca="1">IFERROR(IF(AE1058&lt;&gt;"ja",_xlfn.IFNA(_xlfn.IFS(AND(P1058&lt;&gt;"",R1058&lt;&gt;"",RIGHT($N1058,6)="tarief",F1058="Vergoeding"),SUM(P1058)*FLOOR(SUM(R1058),0.0001),AND(P1058&lt;&gt;"",R1058&lt;&gt;"",RIGHT($N1058,6)="tarief"),P1058*FLOOR(R1058,0.01),T1058&gt;0,FLOOR(SUM(T1058),0.01)),""),""),"")</f>
        <v/>
      </c>
      <c r="Y1058" s="314" t="str">
        <f t="shared" ca="1" si="66"/>
        <v/>
      </c>
      <c r="Z1058" s="314" t="str" cm="1">
        <f t="array" aca="1" ref="Z1058" ca="1">IFERROR(_xlfn.IFS(OR(F1058="",LEFT(Methode_Keuze,4)="Geen",Methode_Keuze=""),"",AND(W1058&lt;&gt;"",F1058&lt;&gt;"Arbeidskosten"),W1058*VLOOKUP(F1058,Tb_ProjectKosten[],MATCH(Tb_ProjectKosten[[#Headers],[Forfait_Percentage]],Tb_ProjectKosten[#Headers],0),0),AND(F1058="Arbeidskosten",G1058&lt;&gt;""),IFERROR(W1058*VLOOKUP(G1058,Tb_KostenTypen[],3,0)*VLOOKUP(F1058,Tb_ProjectKosten[],MATCH(Tb_ProjectKosten[[#Headers],[Forfait_Percentage]],Tb_ProjectKosten[#Headers],0),0),""),W1058 &lt;=0,0),"")</f>
        <v/>
      </c>
      <c r="AA1058" s="314" t="str" cm="1">
        <f t="array" aca="1" ref="AA1058" ca="1">IFERROR(_xlfn.IFS(OR(F1058="",LEFT(Methode_Keuze,4)="Geen",Methode_Keuze=""),"",AND(X1058&lt;&gt;"",F1058&lt;&gt;"Arbeidskosten"),X1058*VLOOKUP(F1058,Tb_ProjectKosten[],MATCH(Tb_ProjectKosten[[#Headers],[Forfait_Percentage]],Tb_ProjectKosten[#Headers],0),0),AND(F1058="Arbeidskosten",G1058&lt;&gt;""),IFERROR(X1058*VLOOKUP(G1058,Tb_KostenTypen[],3,0)*VLOOKUP(F1058,Tb_ProjectKosten[],MATCH(Tb_ProjectKosten[[#Headers],[Forfait_Percentage]],Tb_ProjectKosten[#Headers],0),0),""),X1058 &lt;=0,0),"")</f>
        <v/>
      </c>
      <c r="AB1058" s="314" t="str">
        <f t="shared" ca="1" si="67"/>
        <v/>
      </c>
      <c r="AC1058" s="322"/>
      <c r="AD1058" s="315"/>
      <c r="AE1058" s="32" t="str" cm="1">
        <f t="array" ref="AE1058">IFERROR(IF(INDEX(SubsidieTabel!$AD$1:$AG$12,MATCH($F1058,SubsidieTabel!$AD$1:$AD$12,0),IFERROR(MATCH(Methode_Keuze,SubsidieTabel!$AD$1:$AG$1,0),2))&lt;&gt;1=TRUE,"ja",""),"")</f>
        <v/>
      </c>
    </row>
    <row r="1059" spans="1:31" x14ac:dyDescent="0.25">
      <c r="A1059" s="316"/>
      <c r="B1059" s="317" t="str">
        <f>IF(A1059&lt;&gt;"",_xlfn.MAXIFS($B$1:B1058,$A$1:A1058,A1059)+1,"")</f>
        <v/>
      </c>
      <c r="C1059" s="296"/>
      <c r="D1059" s="296"/>
      <c r="E1059" s="296"/>
      <c r="F1059" s="296"/>
      <c r="G1059" s="326"/>
      <c r="H1059" s="324"/>
      <c r="I1059" s="325"/>
      <c r="J1059" s="325"/>
      <c r="K1059" s="318"/>
      <c r="L1059" s="318"/>
      <c r="M1059" s="319" t="str">
        <f>IFERROR(VLOOKUP(H1059,Lijsten!$H$1:$I$100,2,0),"")</f>
        <v/>
      </c>
      <c r="N1059" s="319" t="str">
        <f ca="1">IFERROR(IF(VLOOKUP(F1059,Kostentypen!$A$3:$E$21,3,0)=0,"",IF(OR(F1059="Arbeidskosten",F1059="Vergoeding"),VLOOKUP(G1059,Tb_KostenTypen[],2,0),VLOOKUP(F1059,Kostentypen!$A$3:$E$20,3,0))),"")</f>
        <v/>
      </c>
      <c r="O1059" s="320" t="str" cm="1">
        <f t="array" ref="O1059">_xlfn.IFNA(IF(INDEX(Tb_KostenOptiesDB[],MATCH($F1059,Tb_KostenOptiesDB[KostenOptie],0),IFERROR(MATCH(Methode_Keuze,Tb_KostenOptiesDB[#Headers],0),2))=1,_xlfn.SWITCH($N1059,"Uurtarief",IF(OR(AND(RIGHT($F1059,3)="IKS",VLOOKUP($M1059,DB_Loonkosten,2,0)="Ja"),AND(RIGHT($F1059,3)&lt;&gt;"IKS",VLOOKUP($M1059,DB_Loonkosten,2,0)="Nee")),IFERROR(VLOOKUP($M1059,DB_Loonkosten,24,0),""),0),"Vast tarief",IF(LEFT(F1059,8)="Bijdrage",VLOOKUP($F1059,Tb_KostenTypen[],MATCH(Lijsten!$P$1,Tb_KostenTypen[#Headers],0),0),VLOOKUP($G1059,Lijsten!L:P,MATCH(Lijsten!$P$1,Kop_Tarief_Vast,0),0))),""),"")</f>
        <v/>
      </c>
      <c r="P1059" s="320" t="str" cm="1">
        <f t="array" ref="P1059">_xlfn.IFNA(IF(INDEX(Tb_KostenOptiesDB[],MATCH($F1059,Tb_KostenOptiesDB[KostenOptie],0),IFERROR(MATCH(Methode_Keuze,Tb_KostenOptiesDB[#Headers],0),2))=1,_xlfn.SWITCH($N1059,"Uurtarief",IF(OR(AND(RIGHT($F1059,3)="IKS",VLOOKUP($M1059,DB_Loonkosten,2,0)="Ja"),AND(RIGHT($F1059,3)&lt;&gt;"IKS",VLOOKUP($M1059,DB_Loonkosten,2,0)="Nee")),IFERROR(VLOOKUP($M1059,DB_Loonkosten,25,0),""),0),"Vast tarief",IF(LEFT(F1059,8)="Bijdrage",VLOOKUP($F1059,Tb_KostenTypen[],MATCH(Lijsten!$P$1,Tb_KostenTypen[#Headers],0),0),VLOOKUP($G1059,Lijsten!L:P,MATCH(Lijsten!$P$1,Kop_Tarief_Vast,0),0))),""),"")</f>
        <v/>
      </c>
      <c r="Q1059" s="359"/>
      <c r="R1059" s="359"/>
      <c r="S1059" s="321"/>
      <c r="T1059" s="321"/>
      <c r="U1059" s="373" t="str">
        <f t="shared" si="64"/>
        <v/>
      </c>
      <c r="V1059" s="314" t="str">
        <f t="shared" si="65"/>
        <v/>
      </c>
      <c r="W1059" s="314" t="str" cm="1">
        <f t="array" aca="1" ref="W1059" ca="1">IFERROR(IF(AE1059&lt;&gt;"ja",_xlfn.IFNA(_xlfn.IFS(AND(O1059&lt;&gt;"",F1059&lt;&gt;"",RIGHT($N1059,6)="tarief",F1059="Vergoeding"),SUM(O1059)*FLOOR(SUM(Q1059),0.0001),AND(O1059&lt;&gt;"",F1059&lt;&gt;"",RIGHT($N1059,6)="tarief"),SUM(O1059)*FLOOR(SUM(Q1059),0.01),S1059&gt;0,IF(F1059&lt;&gt;"",FLOOR(SUM(S1059),0.01),"")),""),""),"")</f>
        <v/>
      </c>
      <c r="X1059" s="314" t="str" cm="1">
        <f t="array" aca="1" ref="X1059" ca="1">IFERROR(IF(AE1059&lt;&gt;"ja",_xlfn.IFNA(_xlfn.IFS(AND(P1059&lt;&gt;"",R1059&lt;&gt;"",RIGHT($N1059,6)="tarief",F1059="Vergoeding"),SUM(P1059)*FLOOR(SUM(R1059),0.0001),AND(P1059&lt;&gt;"",R1059&lt;&gt;"",RIGHT($N1059,6)="tarief"),P1059*FLOOR(R1059,0.01),T1059&gt;0,FLOOR(SUM(T1059),0.01)),""),""),"")</f>
        <v/>
      </c>
      <c r="Y1059" s="314" t="str">
        <f t="shared" ca="1" si="66"/>
        <v/>
      </c>
      <c r="Z1059" s="314" t="str" cm="1">
        <f t="array" aca="1" ref="Z1059" ca="1">IFERROR(_xlfn.IFS(OR(F1059="",LEFT(Methode_Keuze,4)="Geen",Methode_Keuze=""),"",AND(W1059&lt;&gt;"",F1059&lt;&gt;"Arbeidskosten"),W1059*VLOOKUP(F1059,Tb_ProjectKosten[],MATCH(Tb_ProjectKosten[[#Headers],[Forfait_Percentage]],Tb_ProjectKosten[#Headers],0),0),AND(F1059="Arbeidskosten",G1059&lt;&gt;""),IFERROR(W1059*VLOOKUP(G1059,Tb_KostenTypen[],3,0)*VLOOKUP(F1059,Tb_ProjectKosten[],MATCH(Tb_ProjectKosten[[#Headers],[Forfait_Percentage]],Tb_ProjectKosten[#Headers],0),0),""),W1059 &lt;=0,0),"")</f>
        <v/>
      </c>
      <c r="AA1059" s="314" t="str" cm="1">
        <f t="array" aca="1" ref="AA1059" ca="1">IFERROR(_xlfn.IFS(OR(F1059="",LEFT(Methode_Keuze,4)="Geen",Methode_Keuze=""),"",AND(X1059&lt;&gt;"",F1059&lt;&gt;"Arbeidskosten"),X1059*VLOOKUP(F1059,Tb_ProjectKosten[],MATCH(Tb_ProjectKosten[[#Headers],[Forfait_Percentage]],Tb_ProjectKosten[#Headers],0),0),AND(F1059="Arbeidskosten",G1059&lt;&gt;""),IFERROR(X1059*VLOOKUP(G1059,Tb_KostenTypen[],3,0)*VLOOKUP(F1059,Tb_ProjectKosten[],MATCH(Tb_ProjectKosten[[#Headers],[Forfait_Percentage]],Tb_ProjectKosten[#Headers],0),0),""),X1059 &lt;=0,0),"")</f>
        <v/>
      </c>
      <c r="AB1059" s="314" t="str">
        <f t="shared" ca="1" si="67"/>
        <v/>
      </c>
      <c r="AC1059" s="322"/>
      <c r="AD1059" s="315"/>
      <c r="AE1059" s="32" t="str" cm="1">
        <f t="array" ref="AE1059">IFERROR(IF(INDEX(SubsidieTabel!$AD$1:$AG$12,MATCH($F1059,SubsidieTabel!$AD$1:$AD$12,0),IFERROR(MATCH(Methode_Keuze,SubsidieTabel!$AD$1:$AG$1,0),2))&lt;&gt;1=TRUE,"ja",""),"")</f>
        <v/>
      </c>
    </row>
    <row r="1060" spans="1:31" x14ac:dyDescent="0.25">
      <c r="A1060" s="316"/>
      <c r="B1060" s="317" t="str">
        <f>IF(A1060&lt;&gt;"",_xlfn.MAXIFS($B$1:B1059,$A$1:A1059,A1060)+1,"")</f>
        <v/>
      </c>
      <c r="C1060" s="296"/>
      <c r="D1060" s="296"/>
      <c r="E1060" s="296"/>
      <c r="F1060" s="296"/>
      <c r="G1060" s="326"/>
      <c r="H1060" s="324"/>
      <c r="I1060" s="325"/>
      <c r="J1060" s="325"/>
      <c r="K1060" s="318"/>
      <c r="L1060" s="318"/>
      <c r="M1060" s="319" t="str">
        <f>IFERROR(VLOOKUP(H1060,Lijsten!$H$1:$I$100,2,0),"")</f>
        <v/>
      </c>
      <c r="N1060" s="319" t="str">
        <f ca="1">IFERROR(IF(VLOOKUP(F1060,Kostentypen!$A$3:$E$21,3,0)=0,"",IF(OR(F1060="Arbeidskosten",F1060="Vergoeding"),VLOOKUP(G1060,Tb_KostenTypen[],2,0),VLOOKUP(F1060,Kostentypen!$A$3:$E$20,3,0))),"")</f>
        <v/>
      </c>
      <c r="O1060" s="320" t="str" cm="1">
        <f t="array" ref="O1060">_xlfn.IFNA(IF(INDEX(Tb_KostenOptiesDB[],MATCH($F1060,Tb_KostenOptiesDB[KostenOptie],0),IFERROR(MATCH(Methode_Keuze,Tb_KostenOptiesDB[#Headers],0),2))=1,_xlfn.SWITCH($N1060,"Uurtarief",IF(OR(AND(RIGHT($F1060,3)="IKS",VLOOKUP($M1060,DB_Loonkosten,2,0)="Ja"),AND(RIGHT($F1060,3)&lt;&gt;"IKS",VLOOKUP($M1060,DB_Loonkosten,2,0)="Nee")),IFERROR(VLOOKUP($M1060,DB_Loonkosten,24,0),""),0),"Vast tarief",IF(LEFT(F1060,8)="Bijdrage",VLOOKUP($F1060,Tb_KostenTypen[],MATCH(Lijsten!$P$1,Tb_KostenTypen[#Headers],0),0),VLOOKUP($G1060,Lijsten!L:P,MATCH(Lijsten!$P$1,Kop_Tarief_Vast,0),0))),""),"")</f>
        <v/>
      </c>
      <c r="P1060" s="320" t="str" cm="1">
        <f t="array" ref="P1060">_xlfn.IFNA(IF(INDEX(Tb_KostenOptiesDB[],MATCH($F1060,Tb_KostenOptiesDB[KostenOptie],0),IFERROR(MATCH(Methode_Keuze,Tb_KostenOptiesDB[#Headers],0),2))=1,_xlfn.SWITCH($N1060,"Uurtarief",IF(OR(AND(RIGHT($F1060,3)="IKS",VLOOKUP($M1060,DB_Loonkosten,2,0)="Ja"),AND(RIGHT($F1060,3)&lt;&gt;"IKS",VLOOKUP($M1060,DB_Loonkosten,2,0)="Nee")),IFERROR(VLOOKUP($M1060,DB_Loonkosten,25,0),""),0),"Vast tarief",IF(LEFT(F1060,8)="Bijdrage",VLOOKUP($F1060,Tb_KostenTypen[],MATCH(Lijsten!$P$1,Tb_KostenTypen[#Headers],0),0),VLOOKUP($G1060,Lijsten!L:P,MATCH(Lijsten!$P$1,Kop_Tarief_Vast,0),0))),""),"")</f>
        <v/>
      </c>
      <c r="Q1060" s="359"/>
      <c r="R1060" s="359"/>
      <c r="S1060" s="321"/>
      <c r="T1060" s="321"/>
      <c r="U1060" s="373" t="str">
        <f t="shared" si="64"/>
        <v/>
      </c>
      <c r="V1060" s="314" t="str">
        <f t="shared" si="65"/>
        <v/>
      </c>
      <c r="W1060" s="314" t="str" cm="1">
        <f t="array" aca="1" ref="W1060" ca="1">IFERROR(IF(AE1060&lt;&gt;"ja",_xlfn.IFNA(_xlfn.IFS(AND(O1060&lt;&gt;"",F1060&lt;&gt;"",RIGHT($N1060,6)="tarief",F1060="Vergoeding"),SUM(O1060)*FLOOR(SUM(Q1060),0.0001),AND(O1060&lt;&gt;"",F1060&lt;&gt;"",RIGHT($N1060,6)="tarief"),SUM(O1060)*FLOOR(SUM(Q1060),0.01),S1060&gt;0,IF(F1060&lt;&gt;"",FLOOR(SUM(S1060),0.01),"")),""),""),"")</f>
        <v/>
      </c>
      <c r="X1060" s="314" t="str" cm="1">
        <f t="array" aca="1" ref="X1060" ca="1">IFERROR(IF(AE1060&lt;&gt;"ja",_xlfn.IFNA(_xlfn.IFS(AND(P1060&lt;&gt;"",R1060&lt;&gt;"",RIGHT($N1060,6)="tarief",F1060="Vergoeding"),SUM(P1060)*FLOOR(SUM(R1060),0.0001),AND(P1060&lt;&gt;"",R1060&lt;&gt;"",RIGHT($N1060,6)="tarief"),P1060*FLOOR(R1060,0.01),T1060&gt;0,FLOOR(SUM(T1060),0.01)),""),""),"")</f>
        <v/>
      </c>
      <c r="Y1060" s="314" t="str">
        <f t="shared" ca="1" si="66"/>
        <v/>
      </c>
      <c r="Z1060" s="314" t="str" cm="1">
        <f t="array" aca="1" ref="Z1060" ca="1">IFERROR(_xlfn.IFS(OR(F1060="",LEFT(Methode_Keuze,4)="Geen",Methode_Keuze=""),"",AND(W1060&lt;&gt;"",F1060&lt;&gt;"Arbeidskosten"),W1060*VLOOKUP(F1060,Tb_ProjectKosten[],MATCH(Tb_ProjectKosten[[#Headers],[Forfait_Percentage]],Tb_ProjectKosten[#Headers],0),0),AND(F1060="Arbeidskosten",G1060&lt;&gt;""),IFERROR(W1060*VLOOKUP(G1060,Tb_KostenTypen[],3,0)*VLOOKUP(F1060,Tb_ProjectKosten[],MATCH(Tb_ProjectKosten[[#Headers],[Forfait_Percentage]],Tb_ProjectKosten[#Headers],0),0),""),W1060 &lt;=0,0),"")</f>
        <v/>
      </c>
      <c r="AA1060" s="314" t="str" cm="1">
        <f t="array" aca="1" ref="AA1060" ca="1">IFERROR(_xlfn.IFS(OR(F1060="",LEFT(Methode_Keuze,4)="Geen",Methode_Keuze=""),"",AND(X1060&lt;&gt;"",F1060&lt;&gt;"Arbeidskosten"),X1060*VLOOKUP(F1060,Tb_ProjectKosten[],MATCH(Tb_ProjectKosten[[#Headers],[Forfait_Percentage]],Tb_ProjectKosten[#Headers],0),0),AND(F1060="Arbeidskosten",G1060&lt;&gt;""),IFERROR(X1060*VLOOKUP(G1060,Tb_KostenTypen[],3,0)*VLOOKUP(F1060,Tb_ProjectKosten[],MATCH(Tb_ProjectKosten[[#Headers],[Forfait_Percentage]],Tb_ProjectKosten[#Headers],0),0),""),X1060 &lt;=0,0),"")</f>
        <v/>
      </c>
      <c r="AB1060" s="314" t="str">
        <f t="shared" ca="1" si="67"/>
        <v/>
      </c>
      <c r="AC1060" s="322"/>
      <c r="AD1060" s="315"/>
      <c r="AE1060" s="32" t="str" cm="1">
        <f t="array" ref="AE1060">IFERROR(IF(INDEX(SubsidieTabel!$AD$1:$AG$12,MATCH($F1060,SubsidieTabel!$AD$1:$AD$12,0),IFERROR(MATCH(Methode_Keuze,SubsidieTabel!$AD$1:$AG$1,0),2))&lt;&gt;1=TRUE,"ja",""),"")</f>
        <v/>
      </c>
    </row>
    <row r="1061" spans="1:31" x14ac:dyDescent="0.25">
      <c r="A1061" s="316"/>
      <c r="B1061" s="317" t="str">
        <f>IF(A1061&lt;&gt;"",_xlfn.MAXIFS($B$1:B1060,$A$1:A1060,A1061)+1,"")</f>
        <v/>
      </c>
      <c r="C1061" s="296"/>
      <c r="D1061" s="296"/>
      <c r="E1061" s="296"/>
      <c r="F1061" s="296"/>
      <c r="G1061" s="326"/>
      <c r="H1061" s="324"/>
      <c r="I1061" s="325"/>
      <c r="J1061" s="325"/>
      <c r="K1061" s="318"/>
      <c r="L1061" s="318"/>
      <c r="M1061" s="319" t="str">
        <f>IFERROR(VLOOKUP(H1061,Lijsten!$H$1:$I$100,2,0),"")</f>
        <v/>
      </c>
      <c r="N1061" s="319" t="str">
        <f ca="1">IFERROR(IF(VLOOKUP(F1061,Kostentypen!$A$3:$E$21,3,0)=0,"",IF(OR(F1061="Arbeidskosten",F1061="Vergoeding"),VLOOKUP(G1061,Tb_KostenTypen[],2,0),VLOOKUP(F1061,Kostentypen!$A$3:$E$20,3,0))),"")</f>
        <v/>
      </c>
      <c r="O1061" s="320" t="str" cm="1">
        <f t="array" ref="O1061">_xlfn.IFNA(IF(INDEX(Tb_KostenOptiesDB[],MATCH($F1061,Tb_KostenOptiesDB[KostenOptie],0),IFERROR(MATCH(Methode_Keuze,Tb_KostenOptiesDB[#Headers],0),2))=1,_xlfn.SWITCH($N1061,"Uurtarief",IF(OR(AND(RIGHT($F1061,3)="IKS",VLOOKUP($M1061,DB_Loonkosten,2,0)="Ja"),AND(RIGHT($F1061,3)&lt;&gt;"IKS",VLOOKUP($M1061,DB_Loonkosten,2,0)="Nee")),IFERROR(VLOOKUP($M1061,DB_Loonkosten,24,0),""),0),"Vast tarief",IF(LEFT(F1061,8)="Bijdrage",VLOOKUP($F1061,Tb_KostenTypen[],MATCH(Lijsten!$P$1,Tb_KostenTypen[#Headers],0),0),VLOOKUP($G1061,Lijsten!L:P,MATCH(Lijsten!$P$1,Kop_Tarief_Vast,0),0))),""),"")</f>
        <v/>
      </c>
      <c r="P1061" s="320" t="str" cm="1">
        <f t="array" ref="P1061">_xlfn.IFNA(IF(INDEX(Tb_KostenOptiesDB[],MATCH($F1061,Tb_KostenOptiesDB[KostenOptie],0),IFERROR(MATCH(Methode_Keuze,Tb_KostenOptiesDB[#Headers],0),2))=1,_xlfn.SWITCH($N1061,"Uurtarief",IF(OR(AND(RIGHT($F1061,3)="IKS",VLOOKUP($M1061,DB_Loonkosten,2,0)="Ja"),AND(RIGHT($F1061,3)&lt;&gt;"IKS",VLOOKUP($M1061,DB_Loonkosten,2,0)="Nee")),IFERROR(VLOOKUP($M1061,DB_Loonkosten,25,0),""),0),"Vast tarief",IF(LEFT(F1061,8)="Bijdrage",VLOOKUP($F1061,Tb_KostenTypen[],MATCH(Lijsten!$P$1,Tb_KostenTypen[#Headers],0),0),VLOOKUP($G1061,Lijsten!L:P,MATCH(Lijsten!$P$1,Kop_Tarief_Vast,0),0))),""),"")</f>
        <v/>
      </c>
      <c r="Q1061" s="359"/>
      <c r="R1061" s="359"/>
      <c r="S1061" s="321"/>
      <c r="T1061" s="321"/>
      <c r="U1061" s="373" t="str">
        <f t="shared" si="64"/>
        <v/>
      </c>
      <c r="V1061" s="314" t="str">
        <f t="shared" si="65"/>
        <v/>
      </c>
      <c r="W1061" s="314" t="str" cm="1">
        <f t="array" aca="1" ref="W1061" ca="1">IFERROR(IF(AE1061&lt;&gt;"ja",_xlfn.IFNA(_xlfn.IFS(AND(O1061&lt;&gt;"",F1061&lt;&gt;"",RIGHT($N1061,6)="tarief",F1061="Vergoeding"),SUM(O1061)*FLOOR(SUM(Q1061),0.0001),AND(O1061&lt;&gt;"",F1061&lt;&gt;"",RIGHT($N1061,6)="tarief"),SUM(O1061)*FLOOR(SUM(Q1061),0.01),S1061&gt;0,IF(F1061&lt;&gt;"",FLOOR(SUM(S1061),0.01),"")),""),""),"")</f>
        <v/>
      </c>
      <c r="X1061" s="314" t="str" cm="1">
        <f t="array" aca="1" ref="X1061" ca="1">IFERROR(IF(AE1061&lt;&gt;"ja",_xlfn.IFNA(_xlfn.IFS(AND(P1061&lt;&gt;"",R1061&lt;&gt;"",RIGHT($N1061,6)="tarief",F1061="Vergoeding"),SUM(P1061)*FLOOR(SUM(R1061),0.0001),AND(P1061&lt;&gt;"",R1061&lt;&gt;"",RIGHT($N1061,6)="tarief"),P1061*FLOOR(R1061,0.01),T1061&gt;0,FLOOR(SUM(T1061),0.01)),""),""),"")</f>
        <v/>
      </c>
      <c r="Y1061" s="314" t="str">
        <f t="shared" ca="1" si="66"/>
        <v/>
      </c>
      <c r="Z1061" s="314" t="str" cm="1">
        <f t="array" aca="1" ref="Z1061" ca="1">IFERROR(_xlfn.IFS(OR(F1061="",LEFT(Methode_Keuze,4)="Geen",Methode_Keuze=""),"",AND(W1061&lt;&gt;"",F1061&lt;&gt;"Arbeidskosten"),W1061*VLOOKUP(F1061,Tb_ProjectKosten[],MATCH(Tb_ProjectKosten[[#Headers],[Forfait_Percentage]],Tb_ProjectKosten[#Headers],0),0),AND(F1061="Arbeidskosten",G1061&lt;&gt;""),IFERROR(W1061*VLOOKUP(G1061,Tb_KostenTypen[],3,0)*VLOOKUP(F1061,Tb_ProjectKosten[],MATCH(Tb_ProjectKosten[[#Headers],[Forfait_Percentage]],Tb_ProjectKosten[#Headers],0),0),""),W1061 &lt;=0,0),"")</f>
        <v/>
      </c>
      <c r="AA1061" s="314" t="str" cm="1">
        <f t="array" aca="1" ref="AA1061" ca="1">IFERROR(_xlfn.IFS(OR(F1061="",LEFT(Methode_Keuze,4)="Geen",Methode_Keuze=""),"",AND(X1061&lt;&gt;"",F1061&lt;&gt;"Arbeidskosten"),X1061*VLOOKUP(F1061,Tb_ProjectKosten[],MATCH(Tb_ProjectKosten[[#Headers],[Forfait_Percentage]],Tb_ProjectKosten[#Headers],0),0),AND(F1061="Arbeidskosten",G1061&lt;&gt;""),IFERROR(X1061*VLOOKUP(G1061,Tb_KostenTypen[],3,0)*VLOOKUP(F1061,Tb_ProjectKosten[],MATCH(Tb_ProjectKosten[[#Headers],[Forfait_Percentage]],Tb_ProjectKosten[#Headers],0),0),""),X1061 &lt;=0,0),"")</f>
        <v/>
      </c>
      <c r="AB1061" s="314" t="str">
        <f t="shared" ca="1" si="67"/>
        <v/>
      </c>
      <c r="AC1061" s="322"/>
      <c r="AD1061" s="315"/>
      <c r="AE1061" s="32" t="str" cm="1">
        <f t="array" ref="AE1061">IFERROR(IF(INDEX(SubsidieTabel!$AD$1:$AG$12,MATCH($F1061,SubsidieTabel!$AD$1:$AD$12,0),IFERROR(MATCH(Methode_Keuze,SubsidieTabel!$AD$1:$AG$1,0),2))&lt;&gt;1=TRUE,"ja",""),"")</f>
        <v/>
      </c>
    </row>
    <row r="1062" spans="1:31" x14ac:dyDescent="0.25">
      <c r="A1062" s="316"/>
      <c r="B1062" s="317" t="str">
        <f>IF(A1062&lt;&gt;"",_xlfn.MAXIFS($B$1:B1061,$A$1:A1061,A1062)+1,"")</f>
        <v/>
      </c>
      <c r="C1062" s="296"/>
      <c r="D1062" s="296"/>
      <c r="E1062" s="296"/>
      <c r="F1062" s="296"/>
      <c r="G1062" s="326"/>
      <c r="H1062" s="324"/>
      <c r="I1062" s="325"/>
      <c r="J1062" s="325"/>
      <c r="K1062" s="318"/>
      <c r="L1062" s="318"/>
      <c r="M1062" s="319" t="str">
        <f>IFERROR(VLOOKUP(H1062,Lijsten!$H$1:$I$100,2,0),"")</f>
        <v/>
      </c>
      <c r="N1062" s="319" t="str">
        <f ca="1">IFERROR(IF(VLOOKUP(F1062,Kostentypen!$A$3:$E$21,3,0)=0,"",IF(OR(F1062="Arbeidskosten",F1062="Vergoeding"),VLOOKUP(G1062,Tb_KostenTypen[],2,0),VLOOKUP(F1062,Kostentypen!$A$3:$E$20,3,0))),"")</f>
        <v/>
      </c>
      <c r="O1062" s="320" t="str" cm="1">
        <f t="array" ref="O1062">_xlfn.IFNA(IF(INDEX(Tb_KostenOptiesDB[],MATCH($F1062,Tb_KostenOptiesDB[KostenOptie],0),IFERROR(MATCH(Methode_Keuze,Tb_KostenOptiesDB[#Headers],0),2))=1,_xlfn.SWITCH($N1062,"Uurtarief",IF(OR(AND(RIGHT($F1062,3)="IKS",VLOOKUP($M1062,DB_Loonkosten,2,0)="Ja"),AND(RIGHT($F1062,3)&lt;&gt;"IKS",VLOOKUP($M1062,DB_Loonkosten,2,0)="Nee")),IFERROR(VLOOKUP($M1062,DB_Loonkosten,24,0),""),0),"Vast tarief",IF(LEFT(F1062,8)="Bijdrage",VLOOKUP($F1062,Tb_KostenTypen[],MATCH(Lijsten!$P$1,Tb_KostenTypen[#Headers],0),0),VLOOKUP($G1062,Lijsten!L:P,MATCH(Lijsten!$P$1,Kop_Tarief_Vast,0),0))),""),"")</f>
        <v/>
      </c>
      <c r="P1062" s="320" t="str" cm="1">
        <f t="array" ref="P1062">_xlfn.IFNA(IF(INDEX(Tb_KostenOptiesDB[],MATCH($F1062,Tb_KostenOptiesDB[KostenOptie],0),IFERROR(MATCH(Methode_Keuze,Tb_KostenOptiesDB[#Headers],0),2))=1,_xlfn.SWITCH($N1062,"Uurtarief",IF(OR(AND(RIGHT($F1062,3)="IKS",VLOOKUP($M1062,DB_Loonkosten,2,0)="Ja"),AND(RIGHT($F1062,3)&lt;&gt;"IKS",VLOOKUP($M1062,DB_Loonkosten,2,0)="Nee")),IFERROR(VLOOKUP($M1062,DB_Loonkosten,25,0),""),0),"Vast tarief",IF(LEFT(F1062,8)="Bijdrage",VLOOKUP($F1062,Tb_KostenTypen[],MATCH(Lijsten!$P$1,Tb_KostenTypen[#Headers],0),0),VLOOKUP($G1062,Lijsten!L:P,MATCH(Lijsten!$P$1,Kop_Tarief_Vast,0),0))),""),"")</f>
        <v/>
      </c>
      <c r="Q1062" s="359"/>
      <c r="R1062" s="359"/>
      <c r="S1062" s="321"/>
      <c r="T1062" s="321"/>
      <c r="U1062" s="373" t="str">
        <f t="shared" si="64"/>
        <v/>
      </c>
      <c r="V1062" s="314" t="str">
        <f t="shared" si="65"/>
        <v/>
      </c>
      <c r="W1062" s="314" t="str" cm="1">
        <f t="array" aca="1" ref="W1062" ca="1">IFERROR(IF(AE1062&lt;&gt;"ja",_xlfn.IFNA(_xlfn.IFS(AND(O1062&lt;&gt;"",F1062&lt;&gt;"",RIGHT($N1062,6)="tarief",F1062="Vergoeding"),SUM(O1062)*FLOOR(SUM(Q1062),0.0001),AND(O1062&lt;&gt;"",F1062&lt;&gt;"",RIGHT($N1062,6)="tarief"),SUM(O1062)*FLOOR(SUM(Q1062),0.01),S1062&gt;0,IF(F1062&lt;&gt;"",FLOOR(SUM(S1062),0.01),"")),""),""),"")</f>
        <v/>
      </c>
      <c r="X1062" s="314" t="str" cm="1">
        <f t="array" aca="1" ref="X1062" ca="1">IFERROR(IF(AE1062&lt;&gt;"ja",_xlfn.IFNA(_xlfn.IFS(AND(P1062&lt;&gt;"",R1062&lt;&gt;"",RIGHT($N1062,6)="tarief",F1062="Vergoeding"),SUM(P1062)*FLOOR(SUM(R1062),0.0001),AND(P1062&lt;&gt;"",R1062&lt;&gt;"",RIGHT($N1062,6)="tarief"),P1062*FLOOR(R1062,0.01),T1062&gt;0,FLOOR(SUM(T1062),0.01)),""),""),"")</f>
        <v/>
      </c>
      <c r="Y1062" s="314" t="str">
        <f t="shared" ca="1" si="66"/>
        <v/>
      </c>
      <c r="Z1062" s="314" t="str" cm="1">
        <f t="array" aca="1" ref="Z1062" ca="1">IFERROR(_xlfn.IFS(OR(F1062="",LEFT(Methode_Keuze,4)="Geen",Methode_Keuze=""),"",AND(W1062&lt;&gt;"",F1062&lt;&gt;"Arbeidskosten"),W1062*VLOOKUP(F1062,Tb_ProjectKosten[],MATCH(Tb_ProjectKosten[[#Headers],[Forfait_Percentage]],Tb_ProjectKosten[#Headers],0),0),AND(F1062="Arbeidskosten",G1062&lt;&gt;""),IFERROR(W1062*VLOOKUP(G1062,Tb_KostenTypen[],3,0)*VLOOKUP(F1062,Tb_ProjectKosten[],MATCH(Tb_ProjectKosten[[#Headers],[Forfait_Percentage]],Tb_ProjectKosten[#Headers],0),0),""),W1062 &lt;=0,0),"")</f>
        <v/>
      </c>
      <c r="AA1062" s="314" t="str" cm="1">
        <f t="array" aca="1" ref="AA1062" ca="1">IFERROR(_xlfn.IFS(OR(F1062="",LEFT(Methode_Keuze,4)="Geen",Methode_Keuze=""),"",AND(X1062&lt;&gt;"",F1062&lt;&gt;"Arbeidskosten"),X1062*VLOOKUP(F1062,Tb_ProjectKosten[],MATCH(Tb_ProjectKosten[[#Headers],[Forfait_Percentage]],Tb_ProjectKosten[#Headers],0),0),AND(F1062="Arbeidskosten",G1062&lt;&gt;""),IFERROR(X1062*VLOOKUP(G1062,Tb_KostenTypen[],3,0)*VLOOKUP(F1062,Tb_ProjectKosten[],MATCH(Tb_ProjectKosten[[#Headers],[Forfait_Percentage]],Tb_ProjectKosten[#Headers],0),0),""),X1062 &lt;=0,0),"")</f>
        <v/>
      </c>
      <c r="AB1062" s="314" t="str">
        <f t="shared" ca="1" si="67"/>
        <v/>
      </c>
      <c r="AC1062" s="322"/>
      <c r="AD1062" s="315"/>
      <c r="AE1062" s="32" t="str" cm="1">
        <f t="array" ref="AE1062">IFERROR(IF(INDEX(SubsidieTabel!$AD$1:$AG$12,MATCH($F1062,SubsidieTabel!$AD$1:$AD$12,0),IFERROR(MATCH(Methode_Keuze,SubsidieTabel!$AD$1:$AG$1,0),2))&lt;&gt;1=TRUE,"ja",""),"")</f>
        <v/>
      </c>
    </row>
    <row r="1063" spans="1:31" x14ac:dyDescent="0.25">
      <c r="A1063" s="316"/>
      <c r="B1063" s="317" t="str">
        <f>IF(A1063&lt;&gt;"",_xlfn.MAXIFS($B$1:B1062,$A$1:A1062,A1063)+1,"")</f>
        <v/>
      </c>
      <c r="C1063" s="296"/>
      <c r="D1063" s="296"/>
      <c r="E1063" s="296"/>
      <c r="F1063" s="296"/>
      <c r="G1063" s="326"/>
      <c r="H1063" s="324"/>
      <c r="I1063" s="325"/>
      <c r="J1063" s="325"/>
      <c r="K1063" s="318"/>
      <c r="L1063" s="318"/>
      <c r="M1063" s="319" t="str">
        <f>IFERROR(VLOOKUP(H1063,Lijsten!$H$1:$I$100,2,0),"")</f>
        <v/>
      </c>
      <c r="N1063" s="319" t="str">
        <f ca="1">IFERROR(IF(VLOOKUP(F1063,Kostentypen!$A$3:$E$21,3,0)=0,"",IF(OR(F1063="Arbeidskosten",F1063="Vergoeding"),VLOOKUP(G1063,Tb_KostenTypen[],2,0),VLOOKUP(F1063,Kostentypen!$A$3:$E$20,3,0))),"")</f>
        <v/>
      </c>
      <c r="O1063" s="320" t="str" cm="1">
        <f t="array" ref="O1063">_xlfn.IFNA(IF(INDEX(Tb_KostenOptiesDB[],MATCH($F1063,Tb_KostenOptiesDB[KostenOptie],0),IFERROR(MATCH(Methode_Keuze,Tb_KostenOptiesDB[#Headers],0),2))=1,_xlfn.SWITCH($N1063,"Uurtarief",IF(OR(AND(RIGHT($F1063,3)="IKS",VLOOKUP($M1063,DB_Loonkosten,2,0)="Ja"),AND(RIGHT($F1063,3)&lt;&gt;"IKS",VLOOKUP($M1063,DB_Loonkosten,2,0)="Nee")),IFERROR(VLOOKUP($M1063,DB_Loonkosten,24,0),""),0),"Vast tarief",IF(LEFT(F1063,8)="Bijdrage",VLOOKUP($F1063,Tb_KostenTypen[],MATCH(Lijsten!$P$1,Tb_KostenTypen[#Headers],0),0),VLOOKUP($G1063,Lijsten!L:P,MATCH(Lijsten!$P$1,Kop_Tarief_Vast,0),0))),""),"")</f>
        <v/>
      </c>
      <c r="P1063" s="320" t="str" cm="1">
        <f t="array" ref="P1063">_xlfn.IFNA(IF(INDEX(Tb_KostenOptiesDB[],MATCH($F1063,Tb_KostenOptiesDB[KostenOptie],0),IFERROR(MATCH(Methode_Keuze,Tb_KostenOptiesDB[#Headers],0),2))=1,_xlfn.SWITCH($N1063,"Uurtarief",IF(OR(AND(RIGHT($F1063,3)="IKS",VLOOKUP($M1063,DB_Loonkosten,2,0)="Ja"),AND(RIGHT($F1063,3)&lt;&gt;"IKS",VLOOKUP($M1063,DB_Loonkosten,2,0)="Nee")),IFERROR(VLOOKUP($M1063,DB_Loonkosten,25,0),""),0),"Vast tarief",IF(LEFT(F1063,8)="Bijdrage",VLOOKUP($F1063,Tb_KostenTypen[],MATCH(Lijsten!$P$1,Tb_KostenTypen[#Headers],0),0),VLOOKUP($G1063,Lijsten!L:P,MATCH(Lijsten!$P$1,Kop_Tarief_Vast,0),0))),""),"")</f>
        <v/>
      </c>
      <c r="Q1063" s="359"/>
      <c r="R1063" s="359"/>
      <c r="S1063" s="321"/>
      <c r="T1063" s="321"/>
      <c r="U1063" s="373" t="str">
        <f t="shared" si="64"/>
        <v/>
      </c>
      <c r="V1063" s="314" t="str">
        <f t="shared" si="65"/>
        <v/>
      </c>
      <c r="W1063" s="314" t="str" cm="1">
        <f t="array" aca="1" ref="W1063" ca="1">IFERROR(IF(AE1063&lt;&gt;"ja",_xlfn.IFNA(_xlfn.IFS(AND(O1063&lt;&gt;"",F1063&lt;&gt;"",RIGHT($N1063,6)="tarief",F1063="Vergoeding"),SUM(O1063)*FLOOR(SUM(Q1063),0.0001),AND(O1063&lt;&gt;"",F1063&lt;&gt;"",RIGHT($N1063,6)="tarief"),SUM(O1063)*FLOOR(SUM(Q1063),0.01),S1063&gt;0,IF(F1063&lt;&gt;"",FLOOR(SUM(S1063),0.01),"")),""),""),"")</f>
        <v/>
      </c>
      <c r="X1063" s="314" t="str" cm="1">
        <f t="array" aca="1" ref="X1063" ca="1">IFERROR(IF(AE1063&lt;&gt;"ja",_xlfn.IFNA(_xlfn.IFS(AND(P1063&lt;&gt;"",R1063&lt;&gt;"",RIGHT($N1063,6)="tarief",F1063="Vergoeding"),SUM(P1063)*FLOOR(SUM(R1063),0.0001),AND(P1063&lt;&gt;"",R1063&lt;&gt;"",RIGHT($N1063,6)="tarief"),P1063*FLOOR(R1063,0.01),T1063&gt;0,FLOOR(SUM(T1063),0.01)),""),""),"")</f>
        <v/>
      </c>
      <c r="Y1063" s="314" t="str">
        <f t="shared" ca="1" si="66"/>
        <v/>
      </c>
      <c r="Z1063" s="314" t="str" cm="1">
        <f t="array" aca="1" ref="Z1063" ca="1">IFERROR(_xlfn.IFS(OR(F1063="",LEFT(Methode_Keuze,4)="Geen",Methode_Keuze=""),"",AND(W1063&lt;&gt;"",F1063&lt;&gt;"Arbeidskosten"),W1063*VLOOKUP(F1063,Tb_ProjectKosten[],MATCH(Tb_ProjectKosten[[#Headers],[Forfait_Percentage]],Tb_ProjectKosten[#Headers],0),0),AND(F1063="Arbeidskosten",G1063&lt;&gt;""),IFERROR(W1063*VLOOKUP(G1063,Tb_KostenTypen[],3,0)*VLOOKUP(F1063,Tb_ProjectKosten[],MATCH(Tb_ProjectKosten[[#Headers],[Forfait_Percentage]],Tb_ProjectKosten[#Headers],0),0),""),W1063 &lt;=0,0),"")</f>
        <v/>
      </c>
      <c r="AA1063" s="314" t="str" cm="1">
        <f t="array" aca="1" ref="AA1063" ca="1">IFERROR(_xlfn.IFS(OR(F1063="",LEFT(Methode_Keuze,4)="Geen",Methode_Keuze=""),"",AND(X1063&lt;&gt;"",F1063&lt;&gt;"Arbeidskosten"),X1063*VLOOKUP(F1063,Tb_ProjectKosten[],MATCH(Tb_ProjectKosten[[#Headers],[Forfait_Percentage]],Tb_ProjectKosten[#Headers],0),0),AND(F1063="Arbeidskosten",G1063&lt;&gt;""),IFERROR(X1063*VLOOKUP(G1063,Tb_KostenTypen[],3,0)*VLOOKUP(F1063,Tb_ProjectKosten[],MATCH(Tb_ProjectKosten[[#Headers],[Forfait_Percentage]],Tb_ProjectKosten[#Headers],0),0),""),X1063 &lt;=0,0),"")</f>
        <v/>
      </c>
      <c r="AB1063" s="314" t="str">
        <f t="shared" ca="1" si="67"/>
        <v/>
      </c>
      <c r="AC1063" s="322"/>
      <c r="AD1063" s="315"/>
      <c r="AE1063" s="32" t="str" cm="1">
        <f t="array" ref="AE1063">IFERROR(IF(INDEX(SubsidieTabel!$AD$1:$AG$12,MATCH($F1063,SubsidieTabel!$AD$1:$AD$12,0),IFERROR(MATCH(Methode_Keuze,SubsidieTabel!$AD$1:$AG$1,0),2))&lt;&gt;1=TRUE,"ja",""),"")</f>
        <v/>
      </c>
    </row>
    <row r="1064" spans="1:31" x14ac:dyDescent="0.25">
      <c r="A1064" s="316"/>
      <c r="B1064" s="317" t="str">
        <f>IF(A1064&lt;&gt;"",_xlfn.MAXIFS($B$1:B1063,$A$1:A1063,A1064)+1,"")</f>
        <v/>
      </c>
      <c r="C1064" s="296"/>
      <c r="D1064" s="296"/>
      <c r="E1064" s="296"/>
      <c r="F1064" s="296"/>
      <c r="G1064" s="326"/>
      <c r="H1064" s="324"/>
      <c r="I1064" s="325"/>
      <c r="J1064" s="325"/>
      <c r="K1064" s="318"/>
      <c r="L1064" s="318"/>
      <c r="M1064" s="319" t="str">
        <f>IFERROR(VLOOKUP(H1064,Lijsten!$H$1:$I$100,2,0),"")</f>
        <v/>
      </c>
      <c r="N1064" s="319" t="str">
        <f ca="1">IFERROR(IF(VLOOKUP(F1064,Kostentypen!$A$3:$E$21,3,0)=0,"",IF(OR(F1064="Arbeidskosten",F1064="Vergoeding"),VLOOKUP(G1064,Tb_KostenTypen[],2,0),VLOOKUP(F1064,Kostentypen!$A$3:$E$20,3,0))),"")</f>
        <v/>
      </c>
      <c r="O1064" s="320" t="str" cm="1">
        <f t="array" ref="O1064">_xlfn.IFNA(IF(INDEX(Tb_KostenOptiesDB[],MATCH($F1064,Tb_KostenOptiesDB[KostenOptie],0),IFERROR(MATCH(Methode_Keuze,Tb_KostenOptiesDB[#Headers],0),2))=1,_xlfn.SWITCH($N1064,"Uurtarief",IF(OR(AND(RIGHT($F1064,3)="IKS",VLOOKUP($M1064,DB_Loonkosten,2,0)="Ja"),AND(RIGHT($F1064,3)&lt;&gt;"IKS",VLOOKUP($M1064,DB_Loonkosten,2,0)="Nee")),IFERROR(VLOOKUP($M1064,DB_Loonkosten,24,0),""),0),"Vast tarief",IF(LEFT(F1064,8)="Bijdrage",VLOOKUP($F1064,Tb_KostenTypen[],MATCH(Lijsten!$P$1,Tb_KostenTypen[#Headers],0),0),VLOOKUP($G1064,Lijsten!L:P,MATCH(Lijsten!$P$1,Kop_Tarief_Vast,0),0))),""),"")</f>
        <v/>
      </c>
      <c r="P1064" s="320" t="str" cm="1">
        <f t="array" ref="P1064">_xlfn.IFNA(IF(INDEX(Tb_KostenOptiesDB[],MATCH($F1064,Tb_KostenOptiesDB[KostenOptie],0),IFERROR(MATCH(Methode_Keuze,Tb_KostenOptiesDB[#Headers],0),2))=1,_xlfn.SWITCH($N1064,"Uurtarief",IF(OR(AND(RIGHT($F1064,3)="IKS",VLOOKUP($M1064,DB_Loonkosten,2,0)="Ja"),AND(RIGHT($F1064,3)&lt;&gt;"IKS",VLOOKUP($M1064,DB_Loonkosten,2,0)="Nee")),IFERROR(VLOOKUP($M1064,DB_Loonkosten,25,0),""),0),"Vast tarief",IF(LEFT(F1064,8)="Bijdrage",VLOOKUP($F1064,Tb_KostenTypen[],MATCH(Lijsten!$P$1,Tb_KostenTypen[#Headers],0),0),VLOOKUP($G1064,Lijsten!L:P,MATCH(Lijsten!$P$1,Kop_Tarief_Vast,0),0))),""),"")</f>
        <v/>
      </c>
      <c r="Q1064" s="359"/>
      <c r="R1064" s="359"/>
      <c r="S1064" s="321"/>
      <c r="T1064" s="321"/>
      <c r="U1064" s="373" t="str">
        <f t="shared" si="64"/>
        <v/>
      </c>
      <c r="V1064" s="314" t="str">
        <f t="shared" si="65"/>
        <v/>
      </c>
      <c r="W1064" s="314" t="str" cm="1">
        <f t="array" aca="1" ref="W1064" ca="1">IFERROR(IF(AE1064&lt;&gt;"ja",_xlfn.IFNA(_xlfn.IFS(AND(O1064&lt;&gt;"",F1064&lt;&gt;"",RIGHT($N1064,6)="tarief",F1064="Vergoeding"),SUM(O1064)*FLOOR(SUM(Q1064),0.0001),AND(O1064&lt;&gt;"",F1064&lt;&gt;"",RIGHT($N1064,6)="tarief"),SUM(O1064)*FLOOR(SUM(Q1064),0.01),S1064&gt;0,IF(F1064&lt;&gt;"",FLOOR(SUM(S1064),0.01),"")),""),""),"")</f>
        <v/>
      </c>
      <c r="X1064" s="314" t="str" cm="1">
        <f t="array" aca="1" ref="X1064" ca="1">IFERROR(IF(AE1064&lt;&gt;"ja",_xlfn.IFNA(_xlfn.IFS(AND(P1064&lt;&gt;"",R1064&lt;&gt;"",RIGHT($N1064,6)="tarief",F1064="Vergoeding"),SUM(P1064)*FLOOR(SUM(R1064),0.0001),AND(P1064&lt;&gt;"",R1064&lt;&gt;"",RIGHT($N1064,6)="tarief"),P1064*FLOOR(R1064,0.01),T1064&gt;0,FLOOR(SUM(T1064),0.01)),""),""),"")</f>
        <v/>
      </c>
      <c r="Y1064" s="314" t="str">
        <f t="shared" ca="1" si="66"/>
        <v/>
      </c>
      <c r="Z1064" s="314" t="str" cm="1">
        <f t="array" aca="1" ref="Z1064" ca="1">IFERROR(_xlfn.IFS(OR(F1064="",LEFT(Methode_Keuze,4)="Geen",Methode_Keuze=""),"",AND(W1064&lt;&gt;"",F1064&lt;&gt;"Arbeidskosten"),W1064*VLOOKUP(F1064,Tb_ProjectKosten[],MATCH(Tb_ProjectKosten[[#Headers],[Forfait_Percentage]],Tb_ProjectKosten[#Headers],0),0),AND(F1064="Arbeidskosten",G1064&lt;&gt;""),IFERROR(W1064*VLOOKUP(G1064,Tb_KostenTypen[],3,0)*VLOOKUP(F1064,Tb_ProjectKosten[],MATCH(Tb_ProjectKosten[[#Headers],[Forfait_Percentage]],Tb_ProjectKosten[#Headers],0),0),""),W1064 &lt;=0,0),"")</f>
        <v/>
      </c>
      <c r="AA1064" s="314" t="str" cm="1">
        <f t="array" aca="1" ref="AA1064" ca="1">IFERROR(_xlfn.IFS(OR(F1064="",LEFT(Methode_Keuze,4)="Geen",Methode_Keuze=""),"",AND(X1064&lt;&gt;"",F1064&lt;&gt;"Arbeidskosten"),X1064*VLOOKUP(F1064,Tb_ProjectKosten[],MATCH(Tb_ProjectKosten[[#Headers],[Forfait_Percentage]],Tb_ProjectKosten[#Headers],0),0),AND(F1064="Arbeidskosten",G1064&lt;&gt;""),IFERROR(X1064*VLOOKUP(G1064,Tb_KostenTypen[],3,0)*VLOOKUP(F1064,Tb_ProjectKosten[],MATCH(Tb_ProjectKosten[[#Headers],[Forfait_Percentage]],Tb_ProjectKosten[#Headers],0),0),""),X1064 &lt;=0,0),"")</f>
        <v/>
      </c>
      <c r="AB1064" s="314" t="str">
        <f t="shared" ca="1" si="67"/>
        <v/>
      </c>
      <c r="AC1064" s="322"/>
      <c r="AD1064" s="315"/>
      <c r="AE1064" s="32" t="str" cm="1">
        <f t="array" ref="AE1064">IFERROR(IF(INDEX(SubsidieTabel!$AD$1:$AG$12,MATCH($F1064,SubsidieTabel!$AD$1:$AD$12,0),IFERROR(MATCH(Methode_Keuze,SubsidieTabel!$AD$1:$AG$1,0),2))&lt;&gt;1=TRUE,"ja",""),"")</f>
        <v/>
      </c>
    </row>
    <row r="1065" spans="1:31" x14ac:dyDescent="0.25">
      <c r="A1065" s="316"/>
      <c r="B1065" s="317" t="str">
        <f>IF(A1065&lt;&gt;"",_xlfn.MAXIFS($B$1:B1064,$A$1:A1064,A1065)+1,"")</f>
        <v/>
      </c>
      <c r="C1065" s="296"/>
      <c r="D1065" s="296"/>
      <c r="E1065" s="296"/>
      <c r="F1065" s="296"/>
      <c r="G1065" s="326"/>
      <c r="H1065" s="324"/>
      <c r="I1065" s="325"/>
      <c r="J1065" s="325"/>
      <c r="K1065" s="318"/>
      <c r="L1065" s="318"/>
      <c r="M1065" s="319" t="str">
        <f>IFERROR(VLOOKUP(H1065,Lijsten!$H$1:$I$100,2,0),"")</f>
        <v/>
      </c>
      <c r="N1065" s="319" t="str">
        <f ca="1">IFERROR(IF(VLOOKUP(F1065,Kostentypen!$A$3:$E$21,3,0)=0,"",IF(OR(F1065="Arbeidskosten",F1065="Vergoeding"),VLOOKUP(G1065,Tb_KostenTypen[],2,0),VLOOKUP(F1065,Kostentypen!$A$3:$E$20,3,0))),"")</f>
        <v/>
      </c>
      <c r="O1065" s="320" t="str" cm="1">
        <f t="array" ref="O1065">_xlfn.IFNA(IF(INDEX(Tb_KostenOptiesDB[],MATCH($F1065,Tb_KostenOptiesDB[KostenOptie],0),IFERROR(MATCH(Methode_Keuze,Tb_KostenOptiesDB[#Headers],0),2))=1,_xlfn.SWITCH($N1065,"Uurtarief",IF(OR(AND(RIGHT($F1065,3)="IKS",VLOOKUP($M1065,DB_Loonkosten,2,0)="Ja"),AND(RIGHT($F1065,3)&lt;&gt;"IKS",VLOOKUP($M1065,DB_Loonkosten,2,0)="Nee")),IFERROR(VLOOKUP($M1065,DB_Loonkosten,24,0),""),0),"Vast tarief",IF(LEFT(F1065,8)="Bijdrage",VLOOKUP($F1065,Tb_KostenTypen[],MATCH(Lijsten!$P$1,Tb_KostenTypen[#Headers],0),0),VLOOKUP($G1065,Lijsten!L:P,MATCH(Lijsten!$P$1,Kop_Tarief_Vast,0),0))),""),"")</f>
        <v/>
      </c>
      <c r="P1065" s="320" t="str" cm="1">
        <f t="array" ref="P1065">_xlfn.IFNA(IF(INDEX(Tb_KostenOptiesDB[],MATCH($F1065,Tb_KostenOptiesDB[KostenOptie],0),IFERROR(MATCH(Methode_Keuze,Tb_KostenOptiesDB[#Headers],0),2))=1,_xlfn.SWITCH($N1065,"Uurtarief",IF(OR(AND(RIGHT($F1065,3)="IKS",VLOOKUP($M1065,DB_Loonkosten,2,0)="Ja"),AND(RIGHT($F1065,3)&lt;&gt;"IKS",VLOOKUP($M1065,DB_Loonkosten,2,0)="Nee")),IFERROR(VLOOKUP($M1065,DB_Loonkosten,25,0),""),0),"Vast tarief",IF(LEFT(F1065,8)="Bijdrage",VLOOKUP($F1065,Tb_KostenTypen[],MATCH(Lijsten!$P$1,Tb_KostenTypen[#Headers],0),0),VLOOKUP($G1065,Lijsten!L:P,MATCH(Lijsten!$P$1,Kop_Tarief_Vast,0),0))),""),"")</f>
        <v/>
      </c>
      <c r="Q1065" s="359"/>
      <c r="R1065" s="359"/>
      <c r="S1065" s="321"/>
      <c r="T1065" s="321"/>
      <c r="U1065" s="373" t="str">
        <f t="shared" si="64"/>
        <v/>
      </c>
      <c r="V1065" s="314" t="str">
        <f t="shared" si="65"/>
        <v/>
      </c>
      <c r="W1065" s="314" t="str" cm="1">
        <f t="array" aca="1" ref="W1065" ca="1">IFERROR(IF(AE1065&lt;&gt;"ja",_xlfn.IFNA(_xlfn.IFS(AND(O1065&lt;&gt;"",F1065&lt;&gt;"",RIGHT($N1065,6)="tarief",F1065="Vergoeding"),SUM(O1065)*FLOOR(SUM(Q1065),0.0001),AND(O1065&lt;&gt;"",F1065&lt;&gt;"",RIGHT($N1065,6)="tarief"),SUM(O1065)*FLOOR(SUM(Q1065),0.01),S1065&gt;0,IF(F1065&lt;&gt;"",FLOOR(SUM(S1065),0.01),"")),""),""),"")</f>
        <v/>
      </c>
      <c r="X1065" s="314" t="str" cm="1">
        <f t="array" aca="1" ref="X1065" ca="1">IFERROR(IF(AE1065&lt;&gt;"ja",_xlfn.IFNA(_xlfn.IFS(AND(P1065&lt;&gt;"",R1065&lt;&gt;"",RIGHT($N1065,6)="tarief",F1065="Vergoeding"),SUM(P1065)*FLOOR(SUM(R1065),0.0001),AND(P1065&lt;&gt;"",R1065&lt;&gt;"",RIGHT($N1065,6)="tarief"),P1065*FLOOR(R1065,0.01),T1065&gt;0,FLOOR(SUM(T1065),0.01)),""),""),"")</f>
        <v/>
      </c>
      <c r="Y1065" s="314" t="str">
        <f t="shared" ca="1" si="66"/>
        <v/>
      </c>
      <c r="Z1065" s="314" t="str" cm="1">
        <f t="array" aca="1" ref="Z1065" ca="1">IFERROR(_xlfn.IFS(OR(F1065="",LEFT(Methode_Keuze,4)="Geen",Methode_Keuze=""),"",AND(W1065&lt;&gt;"",F1065&lt;&gt;"Arbeidskosten"),W1065*VLOOKUP(F1065,Tb_ProjectKosten[],MATCH(Tb_ProjectKosten[[#Headers],[Forfait_Percentage]],Tb_ProjectKosten[#Headers],0),0),AND(F1065="Arbeidskosten",G1065&lt;&gt;""),IFERROR(W1065*VLOOKUP(G1065,Tb_KostenTypen[],3,0)*VLOOKUP(F1065,Tb_ProjectKosten[],MATCH(Tb_ProjectKosten[[#Headers],[Forfait_Percentage]],Tb_ProjectKosten[#Headers],0),0),""),W1065 &lt;=0,0),"")</f>
        <v/>
      </c>
      <c r="AA1065" s="314" t="str" cm="1">
        <f t="array" aca="1" ref="AA1065" ca="1">IFERROR(_xlfn.IFS(OR(F1065="",LEFT(Methode_Keuze,4)="Geen",Methode_Keuze=""),"",AND(X1065&lt;&gt;"",F1065&lt;&gt;"Arbeidskosten"),X1065*VLOOKUP(F1065,Tb_ProjectKosten[],MATCH(Tb_ProjectKosten[[#Headers],[Forfait_Percentage]],Tb_ProjectKosten[#Headers],0),0),AND(F1065="Arbeidskosten",G1065&lt;&gt;""),IFERROR(X1065*VLOOKUP(G1065,Tb_KostenTypen[],3,0)*VLOOKUP(F1065,Tb_ProjectKosten[],MATCH(Tb_ProjectKosten[[#Headers],[Forfait_Percentage]],Tb_ProjectKosten[#Headers],0),0),""),X1065 &lt;=0,0),"")</f>
        <v/>
      </c>
      <c r="AB1065" s="314" t="str">
        <f t="shared" ca="1" si="67"/>
        <v/>
      </c>
      <c r="AC1065" s="322"/>
      <c r="AD1065" s="315"/>
      <c r="AE1065" s="32" t="str" cm="1">
        <f t="array" ref="AE1065">IFERROR(IF(INDEX(SubsidieTabel!$AD$1:$AG$12,MATCH($F1065,SubsidieTabel!$AD$1:$AD$12,0),IFERROR(MATCH(Methode_Keuze,SubsidieTabel!$AD$1:$AG$1,0),2))&lt;&gt;1=TRUE,"ja",""),"")</f>
        <v/>
      </c>
    </row>
    <row r="1066" spans="1:31" x14ac:dyDescent="0.25">
      <c r="A1066" s="316"/>
      <c r="B1066" s="317" t="str">
        <f>IF(A1066&lt;&gt;"",_xlfn.MAXIFS($B$1:B1065,$A$1:A1065,A1066)+1,"")</f>
        <v/>
      </c>
      <c r="C1066" s="296"/>
      <c r="D1066" s="296"/>
      <c r="E1066" s="296"/>
      <c r="F1066" s="296"/>
      <c r="G1066" s="326"/>
      <c r="H1066" s="324"/>
      <c r="I1066" s="325"/>
      <c r="J1066" s="325"/>
      <c r="K1066" s="318"/>
      <c r="L1066" s="318"/>
      <c r="M1066" s="319" t="str">
        <f>IFERROR(VLOOKUP(H1066,Lijsten!$H$1:$I$100,2,0),"")</f>
        <v/>
      </c>
      <c r="N1066" s="319" t="str">
        <f ca="1">IFERROR(IF(VLOOKUP(F1066,Kostentypen!$A$3:$E$21,3,0)=0,"",IF(OR(F1066="Arbeidskosten",F1066="Vergoeding"),VLOOKUP(G1066,Tb_KostenTypen[],2,0),VLOOKUP(F1066,Kostentypen!$A$3:$E$20,3,0))),"")</f>
        <v/>
      </c>
      <c r="O1066" s="320" t="str" cm="1">
        <f t="array" ref="O1066">_xlfn.IFNA(IF(INDEX(Tb_KostenOptiesDB[],MATCH($F1066,Tb_KostenOptiesDB[KostenOptie],0),IFERROR(MATCH(Methode_Keuze,Tb_KostenOptiesDB[#Headers],0),2))=1,_xlfn.SWITCH($N1066,"Uurtarief",IF(OR(AND(RIGHT($F1066,3)="IKS",VLOOKUP($M1066,DB_Loonkosten,2,0)="Ja"),AND(RIGHT($F1066,3)&lt;&gt;"IKS",VLOOKUP($M1066,DB_Loonkosten,2,0)="Nee")),IFERROR(VLOOKUP($M1066,DB_Loonkosten,24,0),""),0),"Vast tarief",IF(LEFT(F1066,8)="Bijdrage",VLOOKUP($F1066,Tb_KostenTypen[],MATCH(Lijsten!$P$1,Tb_KostenTypen[#Headers],0),0),VLOOKUP($G1066,Lijsten!L:P,MATCH(Lijsten!$P$1,Kop_Tarief_Vast,0),0))),""),"")</f>
        <v/>
      </c>
      <c r="P1066" s="320" t="str" cm="1">
        <f t="array" ref="P1066">_xlfn.IFNA(IF(INDEX(Tb_KostenOptiesDB[],MATCH($F1066,Tb_KostenOptiesDB[KostenOptie],0),IFERROR(MATCH(Methode_Keuze,Tb_KostenOptiesDB[#Headers],0),2))=1,_xlfn.SWITCH($N1066,"Uurtarief",IF(OR(AND(RIGHT($F1066,3)="IKS",VLOOKUP($M1066,DB_Loonkosten,2,0)="Ja"),AND(RIGHT($F1066,3)&lt;&gt;"IKS",VLOOKUP($M1066,DB_Loonkosten,2,0)="Nee")),IFERROR(VLOOKUP($M1066,DB_Loonkosten,25,0),""),0),"Vast tarief",IF(LEFT(F1066,8)="Bijdrage",VLOOKUP($F1066,Tb_KostenTypen[],MATCH(Lijsten!$P$1,Tb_KostenTypen[#Headers],0),0),VLOOKUP($G1066,Lijsten!L:P,MATCH(Lijsten!$P$1,Kop_Tarief_Vast,0),0))),""),"")</f>
        <v/>
      </c>
      <c r="Q1066" s="359"/>
      <c r="R1066" s="359"/>
      <c r="S1066" s="321"/>
      <c r="T1066" s="321"/>
      <c r="U1066" s="373" t="str">
        <f t="shared" si="64"/>
        <v/>
      </c>
      <c r="V1066" s="314" t="str">
        <f t="shared" si="65"/>
        <v/>
      </c>
      <c r="W1066" s="314" t="str" cm="1">
        <f t="array" aca="1" ref="W1066" ca="1">IFERROR(IF(AE1066&lt;&gt;"ja",_xlfn.IFNA(_xlfn.IFS(AND(O1066&lt;&gt;"",F1066&lt;&gt;"",RIGHT($N1066,6)="tarief",F1066="Vergoeding"),SUM(O1066)*FLOOR(SUM(Q1066),0.0001),AND(O1066&lt;&gt;"",F1066&lt;&gt;"",RIGHT($N1066,6)="tarief"),SUM(O1066)*FLOOR(SUM(Q1066),0.01),S1066&gt;0,IF(F1066&lt;&gt;"",FLOOR(SUM(S1066),0.01),"")),""),""),"")</f>
        <v/>
      </c>
      <c r="X1066" s="314" t="str" cm="1">
        <f t="array" aca="1" ref="X1066" ca="1">IFERROR(IF(AE1066&lt;&gt;"ja",_xlfn.IFNA(_xlfn.IFS(AND(P1066&lt;&gt;"",R1066&lt;&gt;"",RIGHT($N1066,6)="tarief",F1066="Vergoeding"),SUM(P1066)*FLOOR(SUM(R1066),0.0001),AND(P1066&lt;&gt;"",R1066&lt;&gt;"",RIGHT($N1066,6)="tarief"),P1066*FLOOR(R1066,0.01),T1066&gt;0,FLOOR(SUM(T1066),0.01)),""),""),"")</f>
        <v/>
      </c>
      <c r="Y1066" s="314" t="str">
        <f t="shared" ca="1" si="66"/>
        <v/>
      </c>
      <c r="Z1066" s="314" t="str" cm="1">
        <f t="array" aca="1" ref="Z1066" ca="1">IFERROR(_xlfn.IFS(OR(F1066="",LEFT(Methode_Keuze,4)="Geen",Methode_Keuze=""),"",AND(W1066&lt;&gt;"",F1066&lt;&gt;"Arbeidskosten"),W1066*VLOOKUP(F1066,Tb_ProjectKosten[],MATCH(Tb_ProjectKosten[[#Headers],[Forfait_Percentage]],Tb_ProjectKosten[#Headers],0),0),AND(F1066="Arbeidskosten",G1066&lt;&gt;""),IFERROR(W1066*VLOOKUP(G1066,Tb_KostenTypen[],3,0)*VLOOKUP(F1066,Tb_ProjectKosten[],MATCH(Tb_ProjectKosten[[#Headers],[Forfait_Percentage]],Tb_ProjectKosten[#Headers],0),0),""),W1066 &lt;=0,0),"")</f>
        <v/>
      </c>
      <c r="AA1066" s="314" t="str" cm="1">
        <f t="array" aca="1" ref="AA1066" ca="1">IFERROR(_xlfn.IFS(OR(F1066="",LEFT(Methode_Keuze,4)="Geen",Methode_Keuze=""),"",AND(X1066&lt;&gt;"",F1066&lt;&gt;"Arbeidskosten"),X1066*VLOOKUP(F1066,Tb_ProjectKosten[],MATCH(Tb_ProjectKosten[[#Headers],[Forfait_Percentage]],Tb_ProjectKosten[#Headers],0),0),AND(F1066="Arbeidskosten",G1066&lt;&gt;""),IFERROR(X1066*VLOOKUP(G1066,Tb_KostenTypen[],3,0)*VLOOKUP(F1066,Tb_ProjectKosten[],MATCH(Tb_ProjectKosten[[#Headers],[Forfait_Percentage]],Tb_ProjectKosten[#Headers],0),0),""),X1066 &lt;=0,0),"")</f>
        <v/>
      </c>
      <c r="AB1066" s="314" t="str">
        <f t="shared" ca="1" si="67"/>
        <v/>
      </c>
      <c r="AC1066" s="322"/>
      <c r="AD1066" s="315"/>
      <c r="AE1066" s="32" t="str" cm="1">
        <f t="array" ref="AE1066">IFERROR(IF(INDEX(SubsidieTabel!$AD$1:$AG$12,MATCH($F1066,SubsidieTabel!$AD$1:$AD$12,0),IFERROR(MATCH(Methode_Keuze,SubsidieTabel!$AD$1:$AG$1,0),2))&lt;&gt;1=TRUE,"ja",""),"")</f>
        <v/>
      </c>
    </row>
    <row r="1067" spans="1:31" x14ac:dyDescent="0.25">
      <c r="A1067" s="316"/>
      <c r="B1067" s="317" t="str">
        <f>IF(A1067&lt;&gt;"",_xlfn.MAXIFS($B$1:B1066,$A$1:A1066,A1067)+1,"")</f>
        <v/>
      </c>
      <c r="C1067" s="296"/>
      <c r="D1067" s="296"/>
      <c r="E1067" s="296"/>
      <c r="F1067" s="296"/>
      <c r="G1067" s="326"/>
      <c r="H1067" s="324"/>
      <c r="I1067" s="325"/>
      <c r="J1067" s="325"/>
      <c r="K1067" s="318"/>
      <c r="L1067" s="318"/>
      <c r="M1067" s="319" t="str">
        <f>IFERROR(VLOOKUP(H1067,Lijsten!$H$1:$I$100,2,0),"")</f>
        <v/>
      </c>
      <c r="N1067" s="319" t="str">
        <f ca="1">IFERROR(IF(VLOOKUP(F1067,Kostentypen!$A$3:$E$21,3,0)=0,"",IF(OR(F1067="Arbeidskosten",F1067="Vergoeding"),VLOOKUP(G1067,Tb_KostenTypen[],2,0),VLOOKUP(F1067,Kostentypen!$A$3:$E$20,3,0))),"")</f>
        <v/>
      </c>
      <c r="O1067" s="320" t="str" cm="1">
        <f t="array" ref="O1067">_xlfn.IFNA(IF(INDEX(Tb_KostenOptiesDB[],MATCH($F1067,Tb_KostenOptiesDB[KostenOptie],0),IFERROR(MATCH(Methode_Keuze,Tb_KostenOptiesDB[#Headers],0),2))=1,_xlfn.SWITCH($N1067,"Uurtarief",IF(OR(AND(RIGHT($F1067,3)="IKS",VLOOKUP($M1067,DB_Loonkosten,2,0)="Ja"),AND(RIGHT($F1067,3)&lt;&gt;"IKS",VLOOKUP($M1067,DB_Loonkosten,2,0)="Nee")),IFERROR(VLOOKUP($M1067,DB_Loonkosten,24,0),""),0),"Vast tarief",IF(LEFT(F1067,8)="Bijdrage",VLOOKUP($F1067,Tb_KostenTypen[],MATCH(Lijsten!$P$1,Tb_KostenTypen[#Headers],0),0),VLOOKUP($G1067,Lijsten!L:P,MATCH(Lijsten!$P$1,Kop_Tarief_Vast,0),0))),""),"")</f>
        <v/>
      </c>
      <c r="P1067" s="320" t="str" cm="1">
        <f t="array" ref="P1067">_xlfn.IFNA(IF(INDEX(Tb_KostenOptiesDB[],MATCH($F1067,Tb_KostenOptiesDB[KostenOptie],0),IFERROR(MATCH(Methode_Keuze,Tb_KostenOptiesDB[#Headers],0),2))=1,_xlfn.SWITCH($N1067,"Uurtarief",IF(OR(AND(RIGHT($F1067,3)="IKS",VLOOKUP($M1067,DB_Loonkosten,2,0)="Ja"),AND(RIGHT($F1067,3)&lt;&gt;"IKS",VLOOKUP($M1067,DB_Loonkosten,2,0)="Nee")),IFERROR(VLOOKUP($M1067,DB_Loonkosten,25,0),""),0),"Vast tarief",IF(LEFT(F1067,8)="Bijdrage",VLOOKUP($F1067,Tb_KostenTypen[],MATCH(Lijsten!$P$1,Tb_KostenTypen[#Headers],0),0),VLOOKUP($G1067,Lijsten!L:P,MATCH(Lijsten!$P$1,Kop_Tarief_Vast,0),0))),""),"")</f>
        <v/>
      </c>
      <c r="Q1067" s="359"/>
      <c r="R1067" s="359"/>
      <c r="S1067" s="321"/>
      <c r="T1067" s="321"/>
      <c r="U1067" s="373" t="str">
        <f t="shared" si="64"/>
        <v/>
      </c>
      <c r="V1067" s="314" t="str">
        <f t="shared" si="65"/>
        <v/>
      </c>
      <c r="W1067" s="314" t="str" cm="1">
        <f t="array" aca="1" ref="W1067" ca="1">IFERROR(IF(AE1067&lt;&gt;"ja",_xlfn.IFNA(_xlfn.IFS(AND(O1067&lt;&gt;"",F1067&lt;&gt;"",RIGHT($N1067,6)="tarief",F1067="Vergoeding"),SUM(O1067)*FLOOR(SUM(Q1067),0.0001),AND(O1067&lt;&gt;"",F1067&lt;&gt;"",RIGHT($N1067,6)="tarief"),SUM(O1067)*FLOOR(SUM(Q1067),0.01),S1067&gt;0,IF(F1067&lt;&gt;"",FLOOR(SUM(S1067),0.01),"")),""),""),"")</f>
        <v/>
      </c>
      <c r="X1067" s="314" t="str" cm="1">
        <f t="array" aca="1" ref="X1067" ca="1">IFERROR(IF(AE1067&lt;&gt;"ja",_xlfn.IFNA(_xlfn.IFS(AND(P1067&lt;&gt;"",R1067&lt;&gt;"",RIGHT($N1067,6)="tarief",F1067="Vergoeding"),SUM(P1067)*FLOOR(SUM(R1067),0.0001),AND(P1067&lt;&gt;"",R1067&lt;&gt;"",RIGHT($N1067,6)="tarief"),P1067*FLOOR(R1067,0.01),T1067&gt;0,FLOOR(SUM(T1067),0.01)),""),""),"")</f>
        <v/>
      </c>
      <c r="Y1067" s="314" t="str">
        <f t="shared" ca="1" si="66"/>
        <v/>
      </c>
      <c r="Z1067" s="314" t="str" cm="1">
        <f t="array" aca="1" ref="Z1067" ca="1">IFERROR(_xlfn.IFS(OR(F1067="",LEFT(Methode_Keuze,4)="Geen",Methode_Keuze=""),"",AND(W1067&lt;&gt;"",F1067&lt;&gt;"Arbeidskosten"),W1067*VLOOKUP(F1067,Tb_ProjectKosten[],MATCH(Tb_ProjectKosten[[#Headers],[Forfait_Percentage]],Tb_ProjectKosten[#Headers],0),0),AND(F1067="Arbeidskosten",G1067&lt;&gt;""),IFERROR(W1067*VLOOKUP(G1067,Tb_KostenTypen[],3,0)*VLOOKUP(F1067,Tb_ProjectKosten[],MATCH(Tb_ProjectKosten[[#Headers],[Forfait_Percentage]],Tb_ProjectKosten[#Headers],0),0),""),W1067 &lt;=0,0),"")</f>
        <v/>
      </c>
      <c r="AA1067" s="314" t="str" cm="1">
        <f t="array" aca="1" ref="AA1067" ca="1">IFERROR(_xlfn.IFS(OR(F1067="",LEFT(Methode_Keuze,4)="Geen",Methode_Keuze=""),"",AND(X1067&lt;&gt;"",F1067&lt;&gt;"Arbeidskosten"),X1067*VLOOKUP(F1067,Tb_ProjectKosten[],MATCH(Tb_ProjectKosten[[#Headers],[Forfait_Percentage]],Tb_ProjectKosten[#Headers],0),0),AND(F1067="Arbeidskosten",G1067&lt;&gt;""),IFERROR(X1067*VLOOKUP(G1067,Tb_KostenTypen[],3,0)*VLOOKUP(F1067,Tb_ProjectKosten[],MATCH(Tb_ProjectKosten[[#Headers],[Forfait_Percentage]],Tb_ProjectKosten[#Headers],0),0),""),X1067 &lt;=0,0),"")</f>
        <v/>
      </c>
      <c r="AB1067" s="314" t="str">
        <f t="shared" ca="1" si="67"/>
        <v/>
      </c>
      <c r="AC1067" s="322"/>
      <c r="AD1067" s="315"/>
      <c r="AE1067" s="32" t="str" cm="1">
        <f t="array" ref="AE1067">IFERROR(IF(INDEX(SubsidieTabel!$AD$1:$AG$12,MATCH($F1067,SubsidieTabel!$AD$1:$AD$12,0),IFERROR(MATCH(Methode_Keuze,SubsidieTabel!$AD$1:$AG$1,0),2))&lt;&gt;1=TRUE,"ja",""),"")</f>
        <v/>
      </c>
    </row>
    <row r="1068" spans="1:31" x14ac:dyDescent="0.25">
      <c r="A1068" s="316"/>
      <c r="B1068" s="317" t="str">
        <f>IF(A1068&lt;&gt;"",_xlfn.MAXIFS($B$1:B1067,$A$1:A1067,A1068)+1,"")</f>
        <v/>
      </c>
      <c r="C1068" s="296"/>
      <c r="D1068" s="296"/>
      <c r="E1068" s="296"/>
      <c r="F1068" s="296"/>
      <c r="G1068" s="326"/>
      <c r="H1068" s="324"/>
      <c r="I1068" s="325"/>
      <c r="J1068" s="325"/>
      <c r="K1068" s="318"/>
      <c r="L1068" s="318"/>
      <c r="M1068" s="319" t="str">
        <f>IFERROR(VLOOKUP(H1068,Lijsten!$H$1:$I$100,2,0),"")</f>
        <v/>
      </c>
      <c r="N1068" s="319" t="str">
        <f ca="1">IFERROR(IF(VLOOKUP(F1068,Kostentypen!$A$3:$E$21,3,0)=0,"",IF(OR(F1068="Arbeidskosten",F1068="Vergoeding"),VLOOKUP(G1068,Tb_KostenTypen[],2,0),VLOOKUP(F1068,Kostentypen!$A$3:$E$20,3,0))),"")</f>
        <v/>
      </c>
      <c r="O1068" s="320" t="str" cm="1">
        <f t="array" ref="O1068">_xlfn.IFNA(IF(INDEX(Tb_KostenOptiesDB[],MATCH($F1068,Tb_KostenOptiesDB[KostenOptie],0),IFERROR(MATCH(Methode_Keuze,Tb_KostenOptiesDB[#Headers],0),2))=1,_xlfn.SWITCH($N1068,"Uurtarief",IF(OR(AND(RIGHT($F1068,3)="IKS",VLOOKUP($M1068,DB_Loonkosten,2,0)="Ja"),AND(RIGHT($F1068,3)&lt;&gt;"IKS",VLOOKUP($M1068,DB_Loonkosten,2,0)="Nee")),IFERROR(VLOOKUP($M1068,DB_Loonkosten,24,0),""),0),"Vast tarief",IF(LEFT(F1068,8)="Bijdrage",VLOOKUP($F1068,Tb_KostenTypen[],MATCH(Lijsten!$P$1,Tb_KostenTypen[#Headers],0),0),VLOOKUP($G1068,Lijsten!L:P,MATCH(Lijsten!$P$1,Kop_Tarief_Vast,0),0))),""),"")</f>
        <v/>
      </c>
      <c r="P1068" s="320" t="str" cm="1">
        <f t="array" ref="P1068">_xlfn.IFNA(IF(INDEX(Tb_KostenOptiesDB[],MATCH($F1068,Tb_KostenOptiesDB[KostenOptie],0),IFERROR(MATCH(Methode_Keuze,Tb_KostenOptiesDB[#Headers],0),2))=1,_xlfn.SWITCH($N1068,"Uurtarief",IF(OR(AND(RIGHT($F1068,3)="IKS",VLOOKUP($M1068,DB_Loonkosten,2,0)="Ja"),AND(RIGHT($F1068,3)&lt;&gt;"IKS",VLOOKUP($M1068,DB_Loonkosten,2,0)="Nee")),IFERROR(VLOOKUP($M1068,DB_Loonkosten,25,0),""),0),"Vast tarief",IF(LEFT(F1068,8)="Bijdrage",VLOOKUP($F1068,Tb_KostenTypen[],MATCH(Lijsten!$P$1,Tb_KostenTypen[#Headers],0),0),VLOOKUP($G1068,Lijsten!L:P,MATCH(Lijsten!$P$1,Kop_Tarief_Vast,0),0))),""),"")</f>
        <v/>
      </c>
      <c r="Q1068" s="359"/>
      <c r="R1068" s="359"/>
      <c r="S1068" s="321"/>
      <c r="T1068" s="321"/>
      <c r="U1068" s="373" t="str">
        <f t="shared" si="64"/>
        <v/>
      </c>
      <c r="V1068" s="314" t="str">
        <f t="shared" si="65"/>
        <v/>
      </c>
      <c r="W1068" s="314" t="str" cm="1">
        <f t="array" aca="1" ref="W1068" ca="1">IFERROR(IF(AE1068&lt;&gt;"ja",_xlfn.IFNA(_xlfn.IFS(AND(O1068&lt;&gt;"",F1068&lt;&gt;"",RIGHT($N1068,6)="tarief",F1068="Vergoeding"),SUM(O1068)*FLOOR(SUM(Q1068),0.0001),AND(O1068&lt;&gt;"",F1068&lt;&gt;"",RIGHT($N1068,6)="tarief"),SUM(O1068)*FLOOR(SUM(Q1068),0.01),S1068&gt;0,IF(F1068&lt;&gt;"",FLOOR(SUM(S1068),0.01),"")),""),""),"")</f>
        <v/>
      </c>
      <c r="X1068" s="314" t="str" cm="1">
        <f t="array" aca="1" ref="X1068" ca="1">IFERROR(IF(AE1068&lt;&gt;"ja",_xlfn.IFNA(_xlfn.IFS(AND(P1068&lt;&gt;"",R1068&lt;&gt;"",RIGHT($N1068,6)="tarief",F1068="Vergoeding"),SUM(P1068)*FLOOR(SUM(R1068),0.0001),AND(P1068&lt;&gt;"",R1068&lt;&gt;"",RIGHT($N1068,6)="tarief"),P1068*FLOOR(R1068,0.01),T1068&gt;0,FLOOR(SUM(T1068),0.01)),""),""),"")</f>
        <v/>
      </c>
      <c r="Y1068" s="314" t="str">
        <f t="shared" ca="1" si="66"/>
        <v/>
      </c>
      <c r="Z1068" s="314" t="str" cm="1">
        <f t="array" aca="1" ref="Z1068" ca="1">IFERROR(_xlfn.IFS(OR(F1068="",LEFT(Methode_Keuze,4)="Geen",Methode_Keuze=""),"",AND(W1068&lt;&gt;"",F1068&lt;&gt;"Arbeidskosten"),W1068*VLOOKUP(F1068,Tb_ProjectKosten[],MATCH(Tb_ProjectKosten[[#Headers],[Forfait_Percentage]],Tb_ProjectKosten[#Headers],0),0),AND(F1068="Arbeidskosten",G1068&lt;&gt;""),IFERROR(W1068*VLOOKUP(G1068,Tb_KostenTypen[],3,0)*VLOOKUP(F1068,Tb_ProjectKosten[],MATCH(Tb_ProjectKosten[[#Headers],[Forfait_Percentage]],Tb_ProjectKosten[#Headers],0),0),""),W1068 &lt;=0,0),"")</f>
        <v/>
      </c>
      <c r="AA1068" s="314" t="str" cm="1">
        <f t="array" aca="1" ref="AA1068" ca="1">IFERROR(_xlfn.IFS(OR(F1068="",LEFT(Methode_Keuze,4)="Geen",Methode_Keuze=""),"",AND(X1068&lt;&gt;"",F1068&lt;&gt;"Arbeidskosten"),X1068*VLOOKUP(F1068,Tb_ProjectKosten[],MATCH(Tb_ProjectKosten[[#Headers],[Forfait_Percentage]],Tb_ProjectKosten[#Headers],0),0),AND(F1068="Arbeidskosten",G1068&lt;&gt;""),IFERROR(X1068*VLOOKUP(G1068,Tb_KostenTypen[],3,0)*VLOOKUP(F1068,Tb_ProjectKosten[],MATCH(Tb_ProjectKosten[[#Headers],[Forfait_Percentage]],Tb_ProjectKosten[#Headers],0),0),""),X1068 &lt;=0,0),"")</f>
        <v/>
      </c>
      <c r="AB1068" s="314" t="str">
        <f t="shared" ca="1" si="67"/>
        <v/>
      </c>
      <c r="AC1068" s="322"/>
      <c r="AD1068" s="315"/>
      <c r="AE1068" s="32" t="str" cm="1">
        <f t="array" ref="AE1068">IFERROR(IF(INDEX(SubsidieTabel!$AD$1:$AG$12,MATCH($F1068,SubsidieTabel!$AD$1:$AD$12,0),IFERROR(MATCH(Methode_Keuze,SubsidieTabel!$AD$1:$AG$1,0),2))&lt;&gt;1=TRUE,"ja",""),"")</f>
        <v/>
      </c>
    </row>
    <row r="1069" spans="1:31" x14ac:dyDescent="0.25">
      <c r="A1069" s="316"/>
      <c r="B1069" s="317" t="str">
        <f>IF(A1069&lt;&gt;"",_xlfn.MAXIFS($B$1:B1068,$A$1:A1068,A1069)+1,"")</f>
        <v/>
      </c>
      <c r="C1069" s="296"/>
      <c r="D1069" s="296"/>
      <c r="E1069" s="296"/>
      <c r="F1069" s="296"/>
      <c r="G1069" s="326"/>
      <c r="H1069" s="324"/>
      <c r="I1069" s="325"/>
      <c r="J1069" s="325"/>
      <c r="K1069" s="318"/>
      <c r="L1069" s="318"/>
      <c r="M1069" s="319" t="str">
        <f>IFERROR(VLOOKUP(H1069,Lijsten!$H$1:$I$100,2,0),"")</f>
        <v/>
      </c>
      <c r="N1069" s="319" t="str">
        <f ca="1">IFERROR(IF(VLOOKUP(F1069,Kostentypen!$A$3:$E$21,3,0)=0,"",IF(OR(F1069="Arbeidskosten",F1069="Vergoeding"),VLOOKUP(G1069,Tb_KostenTypen[],2,0),VLOOKUP(F1069,Kostentypen!$A$3:$E$20,3,0))),"")</f>
        <v/>
      </c>
      <c r="O1069" s="320" t="str" cm="1">
        <f t="array" ref="O1069">_xlfn.IFNA(IF(INDEX(Tb_KostenOptiesDB[],MATCH($F1069,Tb_KostenOptiesDB[KostenOptie],0),IFERROR(MATCH(Methode_Keuze,Tb_KostenOptiesDB[#Headers],0),2))=1,_xlfn.SWITCH($N1069,"Uurtarief",IF(OR(AND(RIGHT($F1069,3)="IKS",VLOOKUP($M1069,DB_Loonkosten,2,0)="Ja"),AND(RIGHT($F1069,3)&lt;&gt;"IKS",VLOOKUP($M1069,DB_Loonkosten,2,0)="Nee")),IFERROR(VLOOKUP($M1069,DB_Loonkosten,24,0),""),0),"Vast tarief",IF(LEFT(F1069,8)="Bijdrage",VLOOKUP($F1069,Tb_KostenTypen[],MATCH(Lijsten!$P$1,Tb_KostenTypen[#Headers],0),0),VLOOKUP($G1069,Lijsten!L:P,MATCH(Lijsten!$P$1,Kop_Tarief_Vast,0),0))),""),"")</f>
        <v/>
      </c>
      <c r="P1069" s="320" t="str" cm="1">
        <f t="array" ref="P1069">_xlfn.IFNA(IF(INDEX(Tb_KostenOptiesDB[],MATCH($F1069,Tb_KostenOptiesDB[KostenOptie],0),IFERROR(MATCH(Methode_Keuze,Tb_KostenOptiesDB[#Headers],0),2))=1,_xlfn.SWITCH($N1069,"Uurtarief",IF(OR(AND(RIGHT($F1069,3)="IKS",VLOOKUP($M1069,DB_Loonkosten,2,0)="Ja"),AND(RIGHT($F1069,3)&lt;&gt;"IKS",VLOOKUP($M1069,DB_Loonkosten,2,0)="Nee")),IFERROR(VLOOKUP($M1069,DB_Loonkosten,25,0),""),0),"Vast tarief",IF(LEFT(F1069,8)="Bijdrage",VLOOKUP($F1069,Tb_KostenTypen[],MATCH(Lijsten!$P$1,Tb_KostenTypen[#Headers],0),0),VLOOKUP($G1069,Lijsten!L:P,MATCH(Lijsten!$P$1,Kop_Tarief_Vast,0),0))),""),"")</f>
        <v/>
      </c>
      <c r="Q1069" s="359"/>
      <c r="R1069" s="359"/>
      <c r="S1069" s="321"/>
      <c r="T1069" s="321"/>
      <c r="U1069" s="373" t="str">
        <f t="shared" si="64"/>
        <v/>
      </c>
      <c r="V1069" s="314" t="str">
        <f t="shared" si="65"/>
        <v/>
      </c>
      <c r="W1069" s="314" t="str" cm="1">
        <f t="array" aca="1" ref="W1069" ca="1">IFERROR(IF(AE1069&lt;&gt;"ja",_xlfn.IFNA(_xlfn.IFS(AND(O1069&lt;&gt;"",F1069&lt;&gt;"",RIGHT($N1069,6)="tarief",F1069="Vergoeding"),SUM(O1069)*FLOOR(SUM(Q1069),0.0001),AND(O1069&lt;&gt;"",F1069&lt;&gt;"",RIGHT($N1069,6)="tarief"),SUM(O1069)*FLOOR(SUM(Q1069),0.01),S1069&gt;0,IF(F1069&lt;&gt;"",FLOOR(SUM(S1069),0.01),"")),""),""),"")</f>
        <v/>
      </c>
      <c r="X1069" s="314" t="str" cm="1">
        <f t="array" aca="1" ref="X1069" ca="1">IFERROR(IF(AE1069&lt;&gt;"ja",_xlfn.IFNA(_xlfn.IFS(AND(P1069&lt;&gt;"",R1069&lt;&gt;"",RIGHT($N1069,6)="tarief",F1069="Vergoeding"),SUM(P1069)*FLOOR(SUM(R1069),0.0001),AND(P1069&lt;&gt;"",R1069&lt;&gt;"",RIGHT($N1069,6)="tarief"),P1069*FLOOR(R1069,0.01),T1069&gt;0,FLOOR(SUM(T1069),0.01)),""),""),"")</f>
        <v/>
      </c>
      <c r="Y1069" s="314" t="str">
        <f t="shared" ca="1" si="66"/>
        <v/>
      </c>
      <c r="Z1069" s="314" t="str" cm="1">
        <f t="array" aca="1" ref="Z1069" ca="1">IFERROR(_xlfn.IFS(OR(F1069="",LEFT(Methode_Keuze,4)="Geen",Methode_Keuze=""),"",AND(W1069&lt;&gt;"",F1069&lt;&gt;"Arbeidskosten"),W1069*VLOOKUP(F1069,Tb_ProjectKosten[],MATCH(Tb_ProjectKosten[[#Headers],[Forfait_Percentage]],Tb_ProjectKosten[#Headers],0),0),AND(F1069="Arbeidskosten",G1069&lt;&gt;""),IFERROR(W1069*VLOOKUP(G1069,Tb_KostenTypen[],3,0)*VLOOKUP(F1069,Tb_ProjectKosten[],MATCH(Tb_ProjectKosten[[#Headers],[Forfait_Percentage]],Tb_ProjectKosten[#Headers],0),0),""),W1069 &lt;=0,0),"")</f>
        <v/>
      </c>
      <c r="AA1069" s="314" t="str" cm="1">
        <f t="array" aca="1" ref="AA1069" ca="1">IFERROR(_xlfn.IFS(OR(F1069="",LEFT(Methode_Keuze,4)="Geen",Methode_Keuze=""),"",AND(X1069&lt;&gt;"",F1069&lt;&gt;"Arbeidskosten"),X1069*VLOOKUP(F1069,Tb_ProjectKosten[],MATCH(Tb_ProjectKosten[[#Headers],[Forfait_Percentage]],Tb_ProjectKosten[#Headers],0),0),AND(F1069="Arbeidskosten",G1069&lt;&gt;""),IFERROR(X1069*VLOOKUP(G1069,Tb_KostenTypen[],3,0)*VLOOKUP(F1069,Tb_ProjectKosten[],MATCH(Tb_ProjectKosten[[#Headers],[Forfait_Percentage]],Tb_ProjectKosten[#Headers],0),0),""),X1069 &lt;=0,0),"")</f>
        <v/>
      </c>
      <c r="AB1069" s="314" t="str">
        <f t="shared" ca="1" si="67"/>
        <v/>
      </c>
      <c r="AC1069" s="322"/>
      <c r="AD1069" s="315"/>
      <c r="AE1069" s="32" t="str" cm="1">
        <f t="array" ref="AE1069">IFERROR(IF(INDEX(SubsidieTabel!$AD$1:$AG$12,MATCH($F1069,SubsidieTabel!$AD$1:$AD$12,0),IFERROR(MATCH(Methode_Keuze,SubsidieTabel!$AD$1:$AG$1,0),2))&lt;&gt;1=TRUE,"ja",""),"")</f>
        <v/>
      </c>
    </row>
    <row r="1070" spans="1:31" x14ac:dyDescent="0.25">
      <c r="A1070" s="316"/>
      <c r="B1070" s="317" t="str">
        <f>IF(A1070&lt;&gt;"",_xlfn.MAXIFS($B$1:B1069,$A$1:A1069,A1070)+1,"")</f>
        <v/>
      </c>
      <c r="C1070" s="296"/>
      <c r="D1070" s="296"/>
      <c r="E1070" s="296"/>
      <c r="F1070" s="296"/>
      <c r="G1070" s="326"/>
      <c r="H1070" s="324"/>
      <c r="I1070" s="325"/>
      <c r="J1070" s="325"/>
      <c r="K1070" s="318"/>
      <c r="L1070" s="318"/>
      <c r="M1070" s="319" t="str">
        <f>IFERROR(VLOOKUP(H1070,Lijsten!$H$1:$I$100,2,0),"")</f>
        <v/>
      </c>
      <c r="N1070" s="319" t="str">
        <f ca="1">IFERROR(IF(VLOOKUP(F1070,Kostentypen!$A$3:$E$21,3,0)=0,"",IF(OR(F1070="Arbeidskosten",F1070="Vergoeding"),VLOOKUP(G1070,Tb_KostenTypen[],2,0),VLOOKUP(F1070,Kostentypen!$A$3:$E$20,3,0))),"")</f>
        <v/>
      </c>
      <c r="O1070" s="320" t="str" cm="1">
        <f t="array" ref="O1070">_xlfn.IFNA(IF(INDEX(Tb_KostenOptiesDB[],MATCH($F1070,Tb_KostenOptiesDB[KostenOptie],0),IFERROR(MATCH(Methode_Keuze,Tb_KostenOptiesDB[#Headers],0),2))=1,_xlfn.SWITCH($N1070,"Uurtarief",IF(OR(AND(RIGHT($F1070,3)="IKS",VLOOKUP($M1070,DB_Loonkosten,2,0)="Ja"),AND(RIGHT($F1070,3)&lt;&gt;"IKS",VLOOKUP($M1070,DB_Loonkosten,2,0)="Nee")),IFERROR(VLOOKUP($M1070,DB_Loonkosten,24,0),""),0),"Vast tarief",IF(LEFT(F1070,8)="Bijdrage",VLOOKUP($F1070,Tb_KostenTypen[],MATCH(Lijsten!$P$1,Tb_KostenTypen[#Headers],0),0),VLOOKUP($G1070,Lijsten!L:P,MATCH(Lijsten!$P$1,Kop_Tarief_Vast,0),0))),""),"")</f>
        <v/>
      </c>
      <c r="P1070" s="320" t="str" cm="1">
        <f t="array" ref="P1070">_xlfn.IFNA(IF(INDEX(Tb_KostenOptiesDB[],MATCH($F1070,Tb_KostenOptiesDB[KostenOptie],0),IFERROR(MATCH(Methode_Keuze,Tb_KostenOptiesDB[#Headers],0),2))=1,_xlfn.SWITCH($N1070,"Uurtarief",IF(OR(AND(RIGHT($F1070,3)="IKS",VLOOKUP($M1070,DB_Loonkosten,2,0)="Ja"),AND(RIGHT($F1070,3)&lt;&gt;"IKS",VLOOKUP($M1070,DB_Loonkosten,2,0)="Nee")),IFERROR(VLOOKUP($M1070,DB_Loonkosten,25,0),""),0),"Vast tarief",IF(LEFT(F1070,8)="Bijdrage",VLOOKUP($F1070,Tb_KostenTypen[],MATCH(Lijsten!$P$1,Tb_KostenTypen[#Headers],0),0),VLOOKUP($G1070,Lijsten!L:P,MATCH(Lijsten!$P$1,Kop_Tarief_Vast,0),0))),""),"")</f>
        <v/>
      </c>
      <c r="Q1070" s="359"/>
      <c r="R1070" s="359"/>
      <c r="S1070" s="321"/>
      <c r="T1070" s="321"/>
      <c r="U1070" s="373" t="str">
        <f t="shared" si="64"/>
        <v/>
      </c>
      <c r="V1070" s="314" t="str">
        <f t="shared" si="65"/>
        <v/>
      </c>
      <c r="W1070" s="314" t="str" cm="1">
        <f t="array" aca="1" ref="W1070" ca="1">IFERROR(IF(AE1070&lt;&gt;"ja",_xlfn.IFNA(_xlfn.IFS(AND(O1070&lt;&gt;"",F1070&lt;&gt;"",RIGHT($N1070,6)="tarief",F1070="Vergoeding"),SUM(O1070)*FLOOR(SUM(Q1070),0.0001),AND(O1070&lt;&gt;"",F1070&lt;&gt;"",RIGHT($N1070,6)="tarief"),SUM(O1070)*FLOOR(SUM(Q1070),0.01),S1070&gt;0,IF(F1070&lt;&gt;"",FLOOR(SUM(S1070),0.01),"")),""),""),"")</f>
        <v/>
      </c>
      <c r="X1070" s="314" t="str" cm="1">
        <f t="array" aca="1" ref="X1070" ca="1">IFERROR(IF(AE1070&lt;&gt;"ja",_xlfn.IFNA(_xlfn.IFS(AND(P1070&lt;&gt;"",R1070&lt;&gt;"",RIGHT($N1070,6)="tarief",F1070="Vergoeding"),SUM(P1070)*FLOOR(SUM(R1070),0.0001),AND(P1070&lt;&gt;"",R1070&lt;&gt;"",RIGHT($N1070,6)="tarief"),P1070*FLOOR(R1070,0.01),T1070&gt;0,FLOOR(SUM(T1070),0.01)),""),""),"")</f>
        <v/>
      </c>
      <c r="Y1070" s="314" t="str">
        <f t="shared" ca="1" si="66"/>
        <v/>
      </c>
      <c r="Z1070" s="314" t="str" cm="1">
        <f t="array" aca="1" ref="Z1070" ca="1">IFERROR(_xlfn.IFS(OR(F1070="",LEFT(Methode_Keuze,4)="Geen",Methode_Keuze=""),"",AND(W1070&lt;&gt;"",F1070&lt;&gt;"Arbeidskosten"),W1070*VLOOKUP(F1070,Tb_ProjectKosten[],MATCH(Tb_ProjectKosten[[#Headers],[Forfait_Percentage]],Tb_ProjectKosten[#Headers],0),0),AND(F1070="Arbeidskosten",G1070&lt;&gt;""),IFERROR(W1070*VLOOKUP(G1070,Tb_KostenTypen[],3,0)*VLOOKUP(F1070,Tb_ProjectKosten[],MATCH(Tb_ProjectKosten[[#Headers],[Forfait_Percentage]],Tb_ProjectKosten[#Headers],0),0),""),W1070 &lt;=0,0),"")</f>
        <v/>
      </c>
      <c r="AA1070" s="314" t="str" cm="1">
        <f t="array" aca="1" ref="AA1070" ca="1">IFERROR(_xlfn.IFS(OR(F1070="",LEFT(Methode_Keuze,4)="Geen",Methode_Keuze=""),"",AND(X1070&lt;&gt;"",F1070&lt;&gt;"Arbeidskosten"),X1070*VLOOKUP(F1070,Tb_ProjectKosten[],MATCH(Tb_ProjectKosten[[#Headers],[Forfait_Percentage]],Tb_ProjectKosten[#Headers],0),0),AND(F1070="Arbeidskosten",G1070&lt;&gt;""),IFERROR(X1070*VLOOKUP(G1070,Tb_KostenTypen[],3,0)*VLOOKUP(F1070,Tb_ProjectKosten[],MATCH(Tb_ProjectKosten[[#Headers],[Forfait_Percentage]],Tb_ProjectKosten[#Headers],0),0),""),X1070 &lt;=0,0),"")</f>
        <v/>
      </c>
      <c r="AB1070" s="314" t="str">
        <f t="shared" ca="1" si="67"/>
        <v/>
      </c>
      <c r="AC1070" s="322"/>
      <c r="AD1070" s="315"/>
      <c r="AE1070" s="32" t="str" cm="1">
        <f t="array" ref="AE1070">IFERROR(IF(INDEX(SubsidieTabel!$AD$1:$AG$12,MATCH($F1070,SubsidieTabel!$AD$1:$AD$12,0),IFERROR(MATCH(Methode_Keuze,SubsidieTabel!$AD$1:$AG$1,0),2))&lt;&gt;1=TRUE,"ja",""),"")</f>
        <v/>
      </c>
    </row>
    <row r="1071" spans="1:31" x14ac:dyDescent="0.25">
      <c r="A1071" s="316"/>
      <c r="B1071" s="317" t="str">
        <f>IF(A1071&lt;&gt;"",_xlfn.MAXIFS($B$1:B1070,$A$1:A1070,A1071)+1,"")</f>
        <v/>
      </c>
      <c r="C1071" s="296"/>
      <c r="D1071" s="296"/>
      <c r="E1071" s="296"/>
      <c r="F1071" s="296"/>
      <c r="G1071" s="326"/>
      <c r="H1071" s="324"/>
      <c r="I1071" s="325"/>
      <c r="J1071" s="325"/>
      <c r="K1071" s="318"/>
      <c r="L1071" s="318"/>
      <c r="M1071" s="319" t="str">
        <f>IFERROR(VLOOKUP(H1071,Lijsten!$H$1:$I$100,2,0),"")</f>
        <v/>
      </c>
      <c r="N1071" s="319" t="str">
        <f ca="1">IFERROR(IF(VLOOKUP(F1071,Kostentypen!$A$3:$E$21,3,0)=0,"",IF(OR(F1071="Arbeidskosten",F1071="Vergoeding"),VLOOKUP(G1071,Tb_KostenTypen[],2,0),VLOOKUP(F1071,Kostentypen!$A$3:$E$20,3,0))),"")</f>
        <v/>
      </c>
      <c r="O1071" s="320" t="str" cm="1">
        <f t="array" ref="O1071">_xlfn.IFNA(IF(INDEX(Tb_KostenOptiesDB[],MATCH($F1071,Tb_KostenOptiesDB[KostenOptie],0),IFERROR(MATCH(Methode_Keuze,Tb_KostenOptiesDB[#Headers],0),2))=1,_xlfn.SWITCH($N1071,"Uurtarief",IF(OR(AND(RIGHT($F1071,3)="IKS",VLOOKUP($M1071,DB_Loonkosten,2,0)="Ja"),AND(RIGHT($F1071,3)&lt;&gt;"IKS",VLOOKUP($M1071,DB_Loonkosten,2,0)="Nee")),IFERROR(VLOOKUP($M1071,DB_Loonkosten,24,0),""),0),"Vast tarief",IF(LEFT(F1071,8)="Bijdrage",VLOOKUP($F1071,Tb_KostenTypen[],MATCH(Lijsten!$P$1,Tb_KostenTypen[#Headers],0),0),VLOOKUP($G1071,Lijsten!L:P,MATCH(Lijsten!$P$1,Kop_Tarief_Vast,0),0))),""),"")</f>
        <v/>
      </c>
      <c r="P1071" s="320" t="str" cm="1">
        <f t="array" ref="P1071">_xlfn.IFNA(IF(INDEX(Tb_KostenOptiesDB[],MATCH($F1071,Tb_KostenOptiesDB[KostenOptie],0),IFERROR(MATCH(Methode_Keuze,Tb_KostenOptiesDB[#Headers],0),2))=1,_xlfn.SWITCH($N1071,"Uurtarief",IF(OR(AND(RIGHT($F1071,3)="IKS",VLOOKUP($M1071,DB_Loonkosten,2,0)="Ja"),AND(RIGHT($F1071,3)&lt;&gt;"IKS",VLOOKUP($M1071,DB_Loonkosten,2,0)="Nee")),IFERROR(VLOOKUP($M1071,DB_Loonkosten,25,0),""),0),"Vast tarief",IF(LEFT(F1071,8)="Bijdrage",VLOOKUP($F1071,Tb_KostenTypen[],MATCH(Lijsten!$P$1,Tb_KostenTypen[#Headers],0),0),VLOOKUP($G1071,Lijsten!L:P,MATCH(Lijsten!$P$1,Kop_Tarief_Vast,0),0))),""),"")</f>
        <v/>
      </c>
      <c r="Q1071" s="359"/>
      <c r="R1071" s="359"/>
      <c r="S1071" s="321"/>
      <c r="T1071" s="321"/>
      <c r="U1071" s="373" t="str">
        <f t="shared" si="64"/>
        <v/>
      </c>
      <c r="V1071" s="314" t="str">
        <f t="shared" si="65"/>
        <v/>
      </c>
      <c r="W1071" s="314" t="str" cm="1">
        <f t="array" aca="1" ref="W1071" ca="1">IFERROR(IF(AE1071&lt;&gt;"ja",_xlfn.IFNA(_xlfn.IFS(AND(O1071&lt;&gt;"",F1071&lt;&gt;"",RIGHT($N1071,6)="tarief",F1071="Vergoeding"),SUM(O1071)*FLOOR(SUM(Q1071),0.0001),AND(O1071&lt;&gt;"",F1071&lt;&gt;"",RIGHT($N1071,6)="tarief"),SUM(O1071)*FLOOR(SUM(Q1071),0.01),S1071&gt;0,IF(F1071&lt;&gt;"",FLOOR(SUM(S1071),0.01),"")),""),""),"")</f>
        <v/>
      </c>
      <c r="X1071" s="314" t="str" cm="1">
        <f t="array" aca="1" ref="X1071" ca="1">IFERROR(IF(AE1071&lt;&gt;"ja",_xlfn.IFNA(_xlfn.IFS(AND(P1071&lt;&gt;"",R1071&lt;&gt;"",RIGHT($N1071,6)="tarief",F1071="Vergoeding"),SUM(P1071)*FLOOR(SUM(R1071),0.0001),AND(P1071&lt;&gt;"",R1071&lt;&gt;"",RIGHT($N1071,6)="tarief"),P1071*FLOOR(R1071,0.01),T1071&gt;0,FLOOR(SUM(T1071),0.01)),""),""),"")</f>
        <v/>
      </c>
      <c r="Y1071" s="314" t="str">
        <f t="shared" ca="1" si="66"/>
        <v/>
      </c>
      <c r="Z1071" s="314" t="str" cm="1">
        <f t="array" aca="1" ref="Z1071" ca="1">IFERROR(_xlfn.IFS(OR(F1071="",LEFT(Methode_Keuze,4)="Geen",Methode_Keuze=""),"",AND(W1071&lt;&gt;"",F1071&lt;&gt;"Arbeidskosten"),W1071*VLOOKUP(F1071,Tb_ProjectKosten[],MATCH(Tb_ProjectKosten[[#Headers],[Forfait_Percentage]],Tb_ProjectKosten[#Headers],0),0),AND(F1071="Arbeidskosten",G1071&lt;&gt;""),IFERROR(W1071*VLOOKUP(G1071,Tb_KostenTypen[],3,0)*VLOOKUP(F1071,Tb_ProjectKosten[],MATCH(Tb_ProjectKosten[[#Headers],[Forfait_Percentage]],Tb_ProjectKosten[#Headers],0),0),""),W1071 &lt;=0,0),"")</f>
        <v/>
      </c>
      <c r="AA1071" s="314" t="str" cm="1">
        <f t="array" aca="1" ref="AA1071" ca="1">IFERROR(_xlfn.IFS(OR(F1071="",LEFT(Methode_Keuze,4)="Geen",Methode_Keuze=""),"",AND(X1071&lt;&gt;"",F1071&lt;&gt;"Arbeidskosten"),X1071*VLOOKUP(F1071,Tb_ProjectKosten[],MATCH(Tb_ProjectKosten[[#Headers],[Forfait_Percentage]],Tb_ProjectKosten[#Headers],0),0),AND(F1071="Arbeidskosten",G1071&lt;&gt;""),IFERROR(X1071*VLOOKUP(G1071,Tb_KostenTypen[],3,0)*VLOOKUP(F1071,Tb_ProjectKosten[],MATCH(Tb_ProjectKosten[[#Headers],[Forfait_Percentage]],Tb_ProjectKosten[#Headers],0),0),""),X1071 &lt;=0,0),"")</f>
        <v/>
      </c>
      <c r="AB1071" s="314" t="str">
        <f t="shared" ca="1" si="67"/>
        <v/>
      </c>
      <c r="AC1071" s="322"/>
      <c r="AD1071" s="315"/>
      <c r="AE1071" s="32" t="str" cm="1">
        <f t="array" ref="AE1071">IFERROR(IF(INDEX(SubsidieTabel!$AD$1:$AG$12,MATCH($F1071,SubsidieTabel!$AD$1:$AD$12,0),IFERROR(MATCH(Methode_Keuze,SubsidieTabel!$AD$1:$AG$1,0),2))&lt;&gt;1=TRUE,"ja",""),"")</f>
        <v/>
      </c>
    </row>
    <row r="1072" spans="1:31" x14ac:dyDescent="0.25">
      <c r="A1072" s="316"/>
      <c r="B1072" s="317" t="str">
        <f>IF(A1072&lt;&gt;"",_xlfn.MAXIFS($B$1:B1071,$A$1:A1071,A1072)+1,"")</f>
        <v/>
      </c>
      <c r="C1072" s="296"/>
      <c r="D1072" s="296"/>
      <c r="E1072" s="296"/>
      <c r="F1072" s="296"/>
      <c r="G1072" s="326"/>
      <c r="H1072" s="324"/>
      <c r="I1072" s="325"/>
      <c r="J1072" s="325"/>
      <c r="K1072" s="318"/>
      <c r="L1072" s="318"/>
      <c r="M1072" s="319" t="str">
        <f>IFERROR(VLOOKUP(H1072,Lijsten!$H$1:$I$100,2,0),"")</f>
        <v/>
      </c>
      <c r="N1072" s="319" t="str">
        <f ca="1">IFERROR(IF(VLOOKUP(F1072,Kostentypen!$A$3:$E$21,3,0)=0,"",IF(OR(F1072="Arbeidskosten",F1072="Vergoeding"),VLOOKUP(G1072,Tb_KostenTypen[],2,0),VLOOKUP(F1072,Kostentypen!$A$3:$E$20,3,0))),"")</f>
        <v/>
      </c>
      <c r="O1072" s="320" t="str" cm="1">
        <f t="array" ref="O1072">_xlfn.IFNA(IF(INDEX(Tb_KostenOptiesDB[],MATCH($F1072,Tb_KostenOptiesDB[KostenOptie],0),IFERROR(MATCH(Methode_Keuze,Tb_KostenOptiesDB[#Headers],0),2))=1,_xlfn.SWITCH($N1072,"Uurtarief",IF(OR(AND(RIGHT($F1072,3)="IKS",VLOOKUP($M1072,DB_Loonkosten,2,0)="Ja"),AND(RIGHT($F1072,3)&lt;&gt;"IKS",VLOOKUP($M1072,DB_Loonkosten,2,0)="Nee")),IFERROR(VLOOKUP($M1072,DB_Loonkosten,24,0),""),0),"Vast tarief",IF(LEFT(F1072,8)="Bijdrage",VLOOKUP($F1072,Tb_KostenTypen[],MATCH(Lijsten!$P$1,Tb_KostenTypen[#Headers],0),0),VLOOKUP($G1072,Lijsten!L:P,MATCH(Lijsten!$P$1,Kop_Tarief_Vast,0),0))),""),"")</f>
        <v/>
      </c>
      <c r="P1072" s="320" t="str" cm="1">
        <f t="array" ref="P1072">_xlfn.IFNA(IF(INDEX(Tb_KostenOptiesDB[],MATCH($F1072,Tb_KostenOptiesDB[KostenOptie],0),IFERROR(MATCH(Methode_Keuze,Tb_KostenOptiesDB[#Headers],0),2))=1,_xlfn.SWITCH($N1072,"Uurtarief",IF(OR(AND(RIGHT($F1072,3)="IKS",VLOOKUP($M1072,DB_Loonkosten,2,0)="Ja"),AND(RIGHT($F1072,3)&lt;&gt;"IKS",VLOOKUP($M1072,DB_Loonkosten,2,0)="Nee")),IFERROR(VLOOKUP($M1072,DB_Loonkosten,25,0),""),0),"Vast tarief",IF(LEFT(F1072,8)="Bijdrage",VLOOKUP($F1072,Tb_KostenTypen[],MATCH(Lijsten!$P$1,Tb_KostenTypen[#Headers],0),0),VLOOKUP($G1072,Lijsten!L:P,MATCH(Lijsten!$P$1,Kop_Tarief_Vast,0),0))),""),"")</f>
        <v/>
      </c>
      <c r="Q1072" s="359"/>
      <c r="R1072" s="359"/>
      <c r="S1072" s="321"/>
      <c r="T1072" s="321"/>
      <c r="U1072" s="373" t="str">
        <f t="shared" si="64"/>
        <v/>
      </c>
      <c r="V1072" s="314" t="str">
        <f t="shared" si="65"/>
        <v/>
      </c>
      <c r="W1072" s="314" t="str" cm="1">
        <f t="array" aca="1" ref="W1072" ca="1">IFERROR(IF(AE1072&lt;&gt;"ja",_xlfn.IFNA(_xlfn.IFS(AND(O1072&lt;&gt;"",F1072&lt;&gt;"",RIGHT($N1072,6)="tarief",F1072="Vergoeding"),SUM(O1072)*FLOOR(SUM(Q1072),0.0001),AND(O1072&lt;&gt;"",F1072&lt;&gt;"",RIGHT($N1072,6)="tarief"),SUM(O1072)*FLOOR(SUM(Q1072),0.01),S1072&gt;0,IF(F1072&lt;&gt;"",FLOOR(SUM(S1072),0.01),"")),""),""),"")</f>
        <v/>
      </c>
      <c r="X1072" s="314" t="str" cm="1">
        <f t="array" aca="1" ref="X1072" ca="1">IFERROR(IF(AE1072&lt;&gt;"ja",_xlfn.IFNA(_xlfn.IFS(AND(P1072&lt;&gt;"",R1072&lt;&gt;"",RIGHT($N1072,6)="tarief",F1072="Vergoeding"),SUM(P1072)*FLOOR(SUM(R1072),0.0001),AND(P1072&lt;&gt;"",R1072&lt;&gt;"",RIGHT($N1072,6)="tarief"),P1072*FLOOR(R1072,0.01),T1072&gt;0,FLOOR(SUM(T1072),0.01)),""),""),"")</f>
        <v/>
      </c>
      <c r="Y1072" s="314" t="str">
        <f t="shared" ca="1" si="66"/>
        <v/>
      </c>
      <c r="Z1072" s="314" t="str" cm="1">
        <f t="array" aca="1" ref="Z1072" ca="1">IFERROR(_xlfn.IFS(OR(F1072="",LEFT(Methode_Keuze,4)="Geen",Methode_Keuze=""),"",AND(W1072&lt;&gt;"",F1072&lt;&gt;"Arbeidskosten"),W1072*VLOOKUP(F1072,Tb_ProjectKosten[],MATCH(Tb_ProjectKosten[[#Headers],[Forfait_Percentage]],Tb_ProjectKosten[#Headers],0),0),AND(F1072="Arbeidskosten",G1072&lt;&gt;""),IFERROR(W1072*VLOOKUP(G1072,Tb_KostenTypen[],3,0)*VLOOKUP(F1072,Tb_ProjectKosten[],MATCH(Tb_ProjectKosten[[#Headers],[Forfait_Percentage]],Tb_ProjectKosten[#Headers],0),0),""),W1072 &lt;=0,0),"")</f>
        <v/>
      </c>
      <c r="AA1072" s="314" t="str" cm="1">
        <f t="array" aca="1" ref="AA1072" ca="1">IFERROR(_xlfn.IFS(OR(F1072="",LEFT(Methode_Keuze,4)="Geen",Methode_Keuze=""),"",AND(X1072&lt;&gt;"",F1072&lt;&gt;"Arbeidskosten"),X1072*VLOOKUP(F1072,Tb_ProjectKosten[],MATCH(Tb_ProjectKosten[[#Headers],[Forfait_Percentage]],Tb_ProjectKosten[#Headers],0),0),AND(F1072="Arbeidskosten",G1072&lt;&gt;""),IFERROR(X1072*VLOOKUP(G1072,Tb_KostenTypen[],3,0)*VLOOKUP(F1072,Tb_ProjectKosten[],MATCH(Tb_ProjectKosten[[#Headers],[Forfait_Percentage]],Tb_ProjectKosten[#Headers],0),0),""),X1072 &lt;=0,0),"")</f>
        <v/>
      </c>
      <c r="AB1072" s="314" t="str">
        <f t="shared" ca="1" si="67"/>
        <v/>
      </c>
      <c r="AC1072" s="322"/>
      <c r="AD1072" s="315"/>
      <c r="AE1072" s="32" t="str" cm="1">
        <f t="array" ref="AE1072">IFERROR(IF(INDEX(SubsidieTabel!$AD$1:$AG$12,MATCH($F1072,SubsidieTabel!$AD$1:$AD$12,0),IFERROR(MATCH(Methode_Keuze,SubsidieTabel!$AD$1:$AG$1,0),2))&lt;&gt;1=TRUE,"ja",""),"")</f>
        <v/>
      </c>
    </row>
    <row r="1073" spans="1:31" x14ac:dyDescent="0.25">
      <c r="A1073" s="316"/>
      <c r="B1073" s="317" t="str">
        <f>IF(A1073&lt;&gt;"",_xlfn.MAXIFS($B$1:B1072,$A$1:A1072,A1073)+1,"")</f>
        <v/>
      </c>
      <c r="C1073" s="296"/>
      <c r="D1073" s="296"/>
      <c r="E1073" s="296"/>
      <c r="F1073" s="296"/>
      <c r="G1073" s="326"/>
      <c r="H1073" s="324"/>
      <c r="I1073" s="325"/>
      <c r="J1073" s="325"/>
      <c r="K1073" s="318"/>
      <c r="L1073" s="318"/>
      <c r="M1073" s="319" t="str">
        <f>IFERROR(VLOOKUP(H1073,Lijsten!$H$1:$I$100,2,0),"")</f>
        <v/>
      </c>
      <c r="N1073" s="319" t="str">
        <f ca="1">IFERROR(IF(VLOOKUP(F1073,Kostentypen!$A$3:$E$21,3,0)=0,"",IF(OR(F1073="Arbeidskosten",F1073="Vergoeding"),VLOOKUP(G1073,Tb_KostenTypen[],2,0),VLOOKUP(F1073,Kostentypen!$A$3:$E$20,3,0))),"")</f>
        <v/>
      </c>
      <c r="O1073" s="320" t="str" cm="1">
        <f t="array" ref="O1073">_xlfn.IFNA(IF(INDEX(Tb_KostenOptiesDB[],MATCH($F1073,Tb_KostenOptiesDB[KostenOptie],0),IFERROR(MATCH(Methode_Keuze,Tb_KostenOptiesDB[#Headers],0),2))=1,_xlfn.SWITCH($N1073,"Uurtarief",IF(OR(AND(RIGHT($F1073,3)="IKS",VLOOKUP($M1073,DB_Loonkosten,2,0)="Ja"),AND(RIGHT($F1073,3)&lt;&gt;"IKS",VLOOKUP($M1073,DB_Loonkosten,2,0)="Nee")),IFERROR(VLOOKUP($M1073,DB_Loonkosten,24,0),""),0),"Vast tarief",IF(LEFT(F1073,8)="Bijdrage",VLOOKUP($F1073,Tb_KostenTypen[],MATCH(Lijsten!$P$1,Tb_KostenTypen[#Headers],0),0),VLOOKUP($G1073,Lijsten!L:P,MATCH(Lijsten!$P$1,Kop_Tarief_Vast,0),0))),""),"")</f>
        <v/>
      </c>
      <c r="P1073" s="320" t="str" cm="1">
        <f t="array" ref="P1073">_xlfn.IFNA(IF(INDEX(Tb_KostenOptiesDB[],MATCH($F1073,Tb_KostenOptiesDB[KostenOptie],0),IFERROR(MATCH(Methode_Keuze,Tb_KostenOptiesDB[#Headers],0),2))=1,_xlfn.SWITCH($N1073,"Uurtarief",IF(OR(AND(RIGHT($F1073,3)="IKS",VLOOKUP($M1073,DB_Loonkosten,2,0)="Ja"),AND(RIGHT($F1073,3)&lt;&gt;"IKS",VLOOKUP($M1073,DB_Loonkosten,2,0)="Nee")),IFERROR(VLOOKUP($M1073,DB_Loonkosten,25,0),""),0),"Vast tarief",IF(LEFT(F1073,8)="Bijdrage",VLOOKUP($F1073,Tb_KostenTypen[],MATCH(Lijsten!$P$1,Tb_KostenTypen[#Headers],0),0),VLOOKUP($G1073,Lijsten!L:P,MATCH(Lijsten!$P$1,Kop_Tarief_Vast,0),0))),""),"")</f>
        <v/>
      </c>
      <c r="Q1073" s="359"/>
      <c r="R1073" s="359"/>
      <c r="S1073" s="321"/>
      <c r="T1073" s="321"/>
      <c r="U1073" s="373" t="str">
        <f t="shared" si="64"/>
        <v/>
      </c>
      <c r="V1073" s="314" t="str">
        <f t="shared" si="65"/>
        <v/>
      </c>
      <c r="W1073" s="314" t="str" cm="1">
        <f t="array" aca="1" ref="W1073" ca="1">IFERROR(IF(AE1073&lt;&gt;"ja",_xlfn.IFNA(_xlfn.IFS(AND(O1073&lt;&gt;"",F1073&lt;&gt;"",RIGHT($N1073,6)="tarief",F1073="Vergoeding"),SUM(O1073)*FLOOR(SUM(Q1073),0.0001),AND(O1073&lt;&gt;"",F1073&lt;&gt;"",RIGHT($N1073,6)="tarief"),SUM(O1073)*FLOOR(SUM(Q1073),0.01),S1073&gt;0,IF(F1073&lt;&gt;"",FLOOR(SUM(S1073),0.01),"")),""),""),"")</f>
        <v/>
      </c>
      <c r="X1073" s="314" t="str" cm="1">
        <f t="array" aca="1" ref="X1073" ca="1">IFERROR(IF(AE1073&lt;&gt;"ja",_xlfn.IFNA(_xlfn.IFS(AND(P1073&lt;&gt;"",R1073&lt;&gt;"",RIGHT($N1073,6)="tarief",F1073="Vergoeding"),SUM(P1073)*FLOOR(SUM(R1073),0.0001),AND(P1073&lt;&gt;"",R1073&lt;&gt;"",RIGHT($N1073,6)="tarief"),P1073*FLOOR(R1073,0.01),T1073&gt;0,FLOOR(SUM(T1073),0.01)),""),""),"")</f>
        <v/>
      </c>
      <c r="Y1073" s="314" t="str">
        <f t="shared" ca="1" si="66"/>
        <v/>
      </c>
      <c r="Z1073" s="314" t="str" cm="1">
        <f t="array" aca="1" ref="Z1073" ca="1">IFERROR(_xlfn.IFS(OR(F1073="",LEFT(Methode_Keuze,4)="Geen",Methode_Keuze=""),"",AND(W1073&lt;&gt;"",F1073&lt;&gt;"Arbeidskosten"),W1073*VLOOKUP(F1073,Tb_ProjectKosten[],MATCH(Tb_ProjectKosten[[#Headers],[Forfait_Percentage]],Tb_ProjectKosten[#Headers],0),0),AND(F1073="Arbeidskosten",G1073&lt;&gt;""),IFERROR(W1073*VLOOKUP(G1073,Tb_KostenTypen[],3,0)*VLOOKUP(F1073,Tb_ProjectKosten[],MATCH(Tb_ProjectKosten[[#Headers],[Forfait_Percentage]],Tb_ProjectKosten[#Headers],0),0),""),W1073 &lt;=0,0),"")</f>
        <v/>
      </c>
      <c r="AA1073" s="314" t="str" cm="1">
        <f t="array" aca="1" ref="AA1073" ca="1">IFERROR(_xlfn.IFS(OR(F1073="",LEFT(Methode_Keuze,4)="Geen",Methode_Keuze=""),"",AND(X1073&lt;&gt;"",F1073&lt;&gt;"Arbeidskosten"),X1073*VLOOKUP(F1073,Tb_ProjectKosten[],MATCH(Tb_ProjectKosten[[#Headers],[Forfait_Percentage]],Tb_ProjectKosten[#Headers],0),0),AND(F1073="Arbeidskosten",G1073&lt;&gt;""),IFERROR(X1073*VLOOKUP(G1073,Tb_KostenTypen[],3,0)*VLOOKUP(F1073,Tb_ProjectKosten[],MATCH(Tb_ProjectKosten[[#Headers],[Forfait_Percentage]],Tb_ProjectKosten[#Headers],0),0),""),X1073 &lt;=0,0),"")</f>
        <v/>
      </c>
      <c r="AB1073" s="314" t="str">
        <f t="shared" ca="1" si="67"/>
        <v/>
      </c>
      <c r="AC1073" s="322"/>
      <c r="AD1073" s="315"/>
      <c r="AE1073" s="32" t="str" cm="1">
        <f t="array" ref="AE1073">IFERROR(IF(INDEX(SubsidieTabel!$AD$1:$AG$12,MATCH($F1073,SubsidieTabel!$AD$1:$AD$12,0),IFERROR(MATCH(Methode_Keuze,SubsidieTabel!$AD$1:$AG$1,0),2))&lt;&gt;1=TRUE,"ja",""),"")</f>
        <v/>
      </c>
    </row>
    <row r="1074" spans="1:31" x14ac:dyDescent="0.25">
      <c r="A1074" s="316"/>
      <c r="B1074" s="317" t="str">
        <f>IF(A1074&lt;&gt;"",_xlfn.MAXIFS($B$1:B1073,$A$1:A1073,A1074)+1,"")</f>
        <v/>
      </c>
      <c r="C1074" s="296"/>
      <c r="D1074" s="296"/>
      <c r="E1074" s="296"/>
      <c r="F1074" s="296"/>
      <c r="G1074" s="326"/>
      <c r="H1074" s="324"/>
      <c r="I1074" s="325"/>
      <c r="J1074" s="325"/>
      <c r="K1074" s="318"/>
      <c r="L1074" s="318"/>
      <c r="M1074" s="319" t="str">
        <f>IFERROR(VLOOKUP(H1074,Lijsten!$H$1:$I$100,2,0),"")</f>
        <v/>
      </c>
      <c r="N1074" s="319" t="str">
        <f ca="1">IFERROR(IF(VLOOKUP(F1074,Kostentypen!$A$3:$E$21,3,0)=0,"",IF(OR(F1074="Arbeidskosten",F1074="Vergoeding"),VLOOKUP(G1074,Tb_KostenTypen[],2,0),VLOOKUP(F1074,Kostentypen!$A$3:$E$20,3,0))),"")</f>
        <v/>
      </c>
      <c r="O1074" s="320" t="str" cm="1">
        <f t="array" ref="O1074">_xlfn.IFNA(IF(INDEX(Tb_KostenOptiesDB[],MATCH($F1074,Tb_KostenOptiesDB[KostenOptie],0),IFERROR(MATCH(Methode_Keuze,Tb_KostenOptiesDB[#Headers],0),2))=1,_xlfn.SWITCH($N1074,"Uurtarief",IF(OR(AND(RIGHT($F1074,3)="IKS",VLOOKUP($M1074,DB_Loonkosten,2,0)="Ja"),AND(RIGHT($F1074,3)&lt;&gt;"IKS",VLOOKUP($M1074,DB_Loonkosten,2,0)="Nee")),IFERROR(VLOOKUP($M1074,DB_Loonkosten,24,0),""),0),"Vast tarief",IF(LEFT(F1074,8)="Bijdrage",VLOOKUP($F1074,Tb_KostenTypen[],MATCH(Lijsten!$P$1,Tb_KostenTypen[#Headers],0),0),VLOOKUP($G1074,Lijsten!L:P,MATCH(Lijsten!$P$1,Kop_Tarief_Vast,0),0))),""),"")</f>
        <v/>
      </c>
      <c r="P1074" s="320" t="str" cm="1">
        <f t="array" ref="P1074">_xlfn.IFNA(IF(INDEX(Tb_KostenOptiesDB[],MATCH($F1074,Tb_KostenOptiesDB[KostenOptie],0),IFERROR(MATCH(Methode_Keuze,Tb_KostenOptiesDB[#Headers],0),2))=1,_xlfn.SWITCH($N1074,"Uurtarief",IF(OR(AND(RIGHT($F1074,3)="IKS",VLOOKUP($M1074,DB_Loonkosten,2,0)="Ja"),AND(RIGHT($F1074,3)&lt;&gt;"IKS",VLOOKUP($M1074,DB_Loonkosten,2,0)="Nee")),IFERROR(VLOOKUP($M1074,DB_Loonkosten,25,0),""),0),"Vast tarief",IF(LEFT(F1074,8)="Bijdrage",VLOOKUP($F1074,Tb_KostenTypen[],MATCH(Lijsten!$P$1,Tb_KostenTypen[#Headers],0),0),VLOOKUP($G1074,Lijsten!L:P,MATCH(Lijsten!$P$1,Kop_Tarief_Vast,0),0))),""),"")</f>
        <v/>
      </c>
      <c r="Q1074" s="359"/>
      <c r="R1074" s="359"/>
      <c r="S1074" s="321"/>
      <c r="T1074" s="321"/>
      <c r="U1074" s="373" t="str">
        <f t="shared" si="64"/>
        <v/>
      </c>
      <c r="V1074" s="314" t="str">
        <f t="shared" si="65"/>
        <v/>
      </c>
      <c r="W1074" s="314" t="str" cm="1">
        <f t="array" aca="1" ref="W1074" ca="1">IFERROR(IF(AE1074&lt;&gt;"ja",_xlfn.IFNA(_xlfn.IFS(AND(O1074&lt;&gt;"",F1074&lt;&gt;"",RIGHT($N1074,6)="tarief",F1074="Vergoeding"),SUM(O1074)*FLOOR(SUM(Q1074),0.0001),AND(O1074&lt;&gt;"",F1074&lt;&gt;"",RIGHT($N1074,6)="tarief"),SUM(O1074)*FLOOR(SUM(Q1074),0.01),S1074&gt;0,IF(F1074&lt;&gt;"",FLOOR(SUM(S1074),0.01),"")),""),""),"")</f>
        <v/>
      </c>
      <c r="X1074" s="314" t="str" cm="1">
        <f t="array" aca="1" ref="X1074" ca="1">IFERROR(IF(AE1074&lt;&gt;"ja",_xlfn.IFNA(_xlfn.IFS(AND(P1074&lt;&gt;"",R1074&lt;&gt;"",RIGHT($N1074,6)="tarief",F1074="Vergoeding"),SUM(P1074)*FLOOR(SUM(R1074),0.0001),AND(P1074&lt;&gt;"",R1074&lt;&gt;"",RIGHT($N1074,6)="tarief"),P1074*FLOOR(R1074,0.01),T1074&gt;0,FLOOR(SUM(T1074),0.01)),""),""),"")</f>
        <v/>
      </c>
      <c r="Y1074" s="314" t="str">
        <f t="shared" ca="1" si="66"/>
        <v/>
      </c>
      <c r="Z1074" s="314" t="str" cm="1">
        <f t="array" aca="1" ref="Z1074" ca="1">IFERROR(_xlfn.IFS(OR(F1074="",LEFT(Methode_Keuze,4)="Geen",Methode_Keuze=""),"",AND(W1074&lt;&gt;"",F1074&lt;&gt;"Arbeidskosten"),W1074*VLOOKUP(F1074,Tb_ProjectKosten[],MATCH(Tb_ProjectKosten[[#Headers],[Forfait_Percentage]],Tb_ProjectKosten[#Headers],0),0),AND(F1074="Arbeidskosten",G1074&lt;&gt;""),IFERROR(W1074*VLOOKUP(G1074,Tb_KostenTypen[],3,0)*VLOOKUP(F1074,Tb_ProjectKosten[],MATCH(Tb_ProjectKosten[[#Headers],[Forfait_Percentage]],Tb_ProjectKosten[#Headers],0),0),""),W1074 &lt;=0,0),"")</f>
        <v/>
      </c>
      <c r="AA1074" s="314" t="str" cm="1">
        <f t="array" aca="1" ref="AA1074" ca="1">IFERROR(_xlfn.IFS(OR(F1074="",LEFT(Methode_Keuze,4)="Geen",Methode_Keuze=""),"",AND(X1074&lt;&gt;"",F1074&lt;&gt;"Arbeidskosten"),X1074*VLOOKUP(F1074,Tb_ProjectKosten[],MATCH(Tb_ProjectKosten[[#Headers],[Forfait_Percentage]],Tb_ProjectKosten[#Headers],0),0),AND(F1074="Arbeidskosten",G1074&lt;&gt;""),IFERROR(X1074*VLOOKUP(G1074,Tb_KostenTypen[],3,0)*VLOOKUP(F1074,Tb_ProjectKosten[],MATCH(Tb_ProjectKosten[[#Headers],[Forfait_Percentage]],Tb_ProjectKosten[#Headers],0),0),""),X1074 &lt;=0,0),"")</f>
        <v/>
      </c>
      <c r="AB1074" s="314" t="str">
        <f t="shared" ca="1" si="67"/>
        <v/>
      </c>
      <c r="AC1074" s="322"/>
      <c r="AD1074" s="315"/>
      <c r="AE1074" s="32" t="str" cm="1">
        <f t="array" ref="AE1074">IFERROR(IF(INDEX(SubsidieTabel!$AD$1:$AG$12,MATCH($F1074,SubsidieTabel!$AD$1:$AD$12,0),IFERROR(MATCH(Methode_Keuze,SubsidieTabel!$AD$1:$AG$1,0),2))&lt;&gt;1=TRUE,"ja",""),"")</f>
        <v/>
      </c>
    </row>
    <row r="1075" spans="1:31" x14ac:dyDescent="0.25">
      <c r="A1075" s="316"/>
      <c r="B1075" s="317" t="str">
        <f>IF(A1075&lt;&gt;"",_xlfn.MAXIFS($B$1:B1074,$A$1:A1074,A1075)+1,"")</f>
        <v/>
      </c>
      <c r="C1075" s="296"/>
      <c r="D1075" s="296"/>
      <c r="E1075" s="296"/>
      <c r="F1075" s="296"/>
      <c r="G1075" s="326"/>
      <c r="H1075" s="324"/>
      <c r="I1075" s="325"/>
      <c r="J1075" s="325"/>
      <c r="K1075" s="318"/>
      <c r="L1075" s="318"/>
      <c r="M1075" s="319" t="str">
        <f>IFERROR(VLOOKUP(H1075,Lijsten!$H$1:$I$100,2,0),"")</f>
        <v/>
      </c>
      <c r="N1075" s="319" t="str">
        <f ca="1">IFERROR(IF(VLOOKUP(F1075,Kostentypen!$A$3:$E$21,3,0)=0,"",IF(OR(F1075="Arbeidskosten",F1075="Vergoeding"),VLOOKUP(G1075,Tb_KostenTypen[],2,0),VLOOKUP(F1075,Kostentypen!$A$3:$E$20,3,0))),"")</f>
        <v/>
      </c>
      <c r="O1075" s="320" t="str" cm="1">
        <f t="array" ref="O1075">_xlfn.IFNA(IF(INDEX(Tb_KostenOptiesDB[],MATCH($F1075,Tb_KostenOptiesDB[KostenOptie],0),IFERROR(MATCH(Methode_Keuze,Tb_KostenOptiesDB[#Headers],0),2))=1,_xlfn.SWITCH($N1075,"Uurtarief",IF(OR(AND(RIGHT($F1075,3)="IKS",VLOOKUP($M1075,DB_Loonkosten,2,0)="Ja"),AND(RIGHT($F1075,3)&lt;&gt;"IKS",VLOOKUP($M1075,DB_Loonkosten,2,0)="Nee")),IFERROR(VLOOKUP($M1075,DB_Loonkosten,24,0),""),0),"Vast tarief",IF(LEFT(F1075,8)="Bijdrage",VLOOKUP($F1075,Tb_KostenTypen[],MATCH(Lijsten!$P$1,Tb_KostenTypen[#Headers],0),0),VLOOKUP($G1075,Lijsten!L:P,MATCH(Lijsten!$P$1,Kop_Tarief_Vast,0),0))),""),"")</f>
        <v/>
      </c>
      <c r="P1075" s="320" t="str" cm="1">
        <f t="array" ref="P1075">_xlfn.IFNA(IF(INDEX(Tb_KostenOptiesDB[],MATCH($F1075,Tb_KostenOptiesDB[KostenOptie],0),IFERROR(MATCH(Methode_Keuze,Tb_KostenOptiesDB[#Headers],0),2))=1,_xlfn.SWITCH($N1075,"Uurtarief",IF(OR(AND(RIGHT($F1075,3)="IKS",VLOOKUP($M1075,DB_Loonkosten,2,0)="Ja"),AND(RIGHT($F1075,3)&lt;&gt;"IKS",VLOOKUP($M1075,DB_Loonkosten,2,0)="Nee")),IFERROR(VLOOKUP($M1075,DB_Loonkosten,25,0),""),0),"Vast tarief",IF(LEFT(F1075,8)="Bijdrage",VLOOKUP($F1075,Tb_KostenTypen[],MATCH(Lijsten!$P$1,Tb_KostenTypen[#Headers],0),0),VLOOKUP($G1075,Lijsten!L:P,MATCH(Lijsten!$P$1,Kop_Tarief_Vast,0),0))),""),"")</f>
        <v/>
      </c>
      <c r="Q1075" s="359"/>
      <c r="R1075" s="359"/>
      <c r="S1075" s="321"/>
      <c r="T1075" s="321"/>
      <c r="U1075" s="373" t="str">
        <f t="shared" si="64"/>
        <v/>
      </c>
      <c r="V1075" s="314" t="str">
        <f t="shared" si="65"/>
        <v/>
      </c>
      <c r="W1075" s="314" t="str" cm="1">
        <f t="array" aca="1" ref="W1075" ca="1">IFERROR(IF(AE1075&lt;&gt;"ja",_xlfn.IFNA(_xlfn.IFS(AND(O1075&lt;&gt;"",F1075&lt;&gt;"",RIGHT($N1075,6)="tarief",F1075="Vergoeding"),SUM(O1075)*FLOOR(SUM(Q1075),0.0001),AND(O1075&lt;&gt;"",F1075&lt;&gt;"",RIGHT($N1075,6)="tarief"),SUM(O1075)*FLOOR(SUM(Q1075),0.01),S1075&gt;0,IF(F1075&lt;&gt;"",FLOOR(SUM(S1075),0.01),"")),""),""),"")</f>
        <v/>
      </c>
      <c r="X1075" s="314" t="str" cm="1">
        <f t="array" aca="1" ref="X1075" ca="1">IFERROR(IF(AE1075&lt;&gt;"ja",_xlfn.IFNA(_xlfn.IFS(AND(P1075&lt;&gt;"",R1075&lt;&gt;"",RIGHT($N1075,6)="tarief",F1075="Vergoeding"),SUM(P1075)*FLOOR(SUM(R1075),0.0001),AND(P1075&lt;&gt;"",R1075&lt;&gt;"",RIGHT($N1075,6)="tarief"),P1075*FLOOR(R1075,0.01),T1075&gt;0,FLOOR(SUM(T1075),0.01)),""),""),"")</f>
        <v/>
      </c>
      <c r="Y1075" s="314" t="str">
        <f t="shared" ca="1" si="66"/>
        <v/>
      </c>
      <c r="Z1075" s="314" t="str" cm="1">
        <f t="array" aca="1" ref="Z1075" ca="1">IFERROR(_xlfn.IFS(OR(F1075="",LEFT(Methode_Keuze,4)="Geen",Methode_Keuze=""),"",AND(W1075&lt;&gt;"",F1075&lt;&gt;"Arbeidskosten"),W1075*VLOOKUP(F1075,Tb_ProjectKosten[],MATCH(Tb_ProjectKosten[[#Headers],[Forfait_Percentage]],Tb_ProjectKosten[#Headers],0),0),AND(F1075="Arbeidskosten",G1075&lt;&gt;""),IFERROR(W1075*VLOOKUP(G1075,Tb_KostenTypen[],3,0)*VLOOKUP(F1075,Tb_ProjectKosten[],MATCH(Tb_ProjectKosten[[#Headers],[Forfait_Percentage]],Tb_ProjectKosten[#Headers],0),0),""),W1075 &lt;=0,0),"")</f>
        <v/>
      </c>
      <c r="AA1075" s="314" t="str" cm="1">
        <f t="array" aca="1" ref="AA1075" ca="1">IFERROR(_xlfn.IFS(OR(F1075="",LEFT(Methode_Keuze,4)="Geen",Methode_Keuze=""),"",AND(X1075&lt;&gt;"",F1075&lt;&gt;"Arbeidskosten"),X1075*VLOOKUP(F1075,Tb_ProjectKosten[],MATCH(Tb_ProjectKosten[[#Headers],[Forfait_Percentage]],Tb_ProjectKosten[#Headers],0),0),AND(F1075="Arbeidskosten",G1075&lt;&gt;""),IFERROR(X1075*VLOOKUP(G1075,Tb_KostenTypen[],3,0)*VLOOKUP(F1075,Tb_ProjectKosten[],MATCH(Tb_ProjectKosten[[#Headers],[Forfait_Percentage]],Tb_ProjectKosten[#Headers],0),0),""),X1075 &lt;=0,0),"")</f>
        <v/>
      </c>
      <c r="AB1075" s="314" t="str">
        <f t="shared" ca="1" si="67"/>
        <v/>
      </c>
      <c r="AC1075" s="322"/>
      <c r="AD1075" s="315"/>
      <c r="AE1075" s="32" t="str" cm="1">
        <f t="array" ref="AE1075">IFERROR(IF(INDEX(SubsidieTabel!$AD$1:$AG$12,MATCH($F1075,SubsidieTabel!$AD$1:$AD$12,0),IFERROR(MATCH(Methode_Keuze,SubsidieTabel!$AD$1:$AG$1,0),2))&lt;&gt;1=TRUE,"ja",""),"")</f>
        <v/>
      </c>
    </row>
    <row r="1076" spans="1:31" x14ac:dyDescent="0.25">
      <c r="A1076" s="316"/>
      <c r="B1076" s="317" t="str">
        <f>IF(A1076&lt;&gt;"",_xlfn.MAXIFS($B$1:B1075,$A$1:A1075,A1076)+1,"")</f>
        <v/>
      </c>
      <c r="C1076" s="296"/>
      <c r="D1076" s="296"/>
      <c r="E1076" s="296"/>
      <c r="F1076" s="296"/>
      <c r="G1076" s="326"/>
      <c r="H1076" s="324"/>
      <c r="I1076" s="325"/>
      <c r="J1076" s="325"/>
      <c r="K1076" s="318"/>
      <c r="L1076" s="318"/>
      <c r="M1076" s="319" t="str">
        <f>IFERROR(VLOOKUP(H1076,Lijsten!$H$1:$I$100,2,0),"")</f>
        <v/>
      </c>
      <c r="N1076" s="319" t="str">
        <f ca="1">IFERROR(IF(VLOOKUP(F1076,Kostentypen!$A$3:$E$21,3,0)=0,"",IF(OR(F1076="Arbeidskosten",F1076="Vergoeding"),VLOOKUP(G1076,Tb_KostenTypen[],2,0),VLOOKUP(F1076,Kostentypen!$A$3:$E$20,3,0))),"")</f>
        <v/>
      </c>
      <c r="O1076" s="320" t="str" cm="1">
        <f t="array" ref="O1076">_xlfn.IFNA(IF(INDEX(Tb_KostenOptiesDB[],MATCH($F1076,Tb_KostenOptiesDB[KostenOptie],0),IFERROR(MATCH(Methode_Keuze,Tb_KostenOptiesDB[#Headers],0),2))=1,_xlfn.SWITCH($N1076,"Uurtarief",IF(OR(AND(RIGHT($F1076,3)="IKS",VLOOKUP($M1076,DB_Loonkosten,2,0)="Ja"),AND(RIGHT($F1076,3)&lt;&gt;"IKS",VLOOKUP($M1076,DB_Loonkosten,2,0)="Nee")),IFERROR(VLOOKUP($M1076,DB_Loonkosten,24,0),""),0),"Vast tarief",IF(LEFT(F1076,8)="Bijdrage",VLOOKUP($F1076,Tb_KostenTypen[],MATCH(Lijsten!$P$1,Tb_KostenTypen[#Headers],0),0),VLOOKUP($G1076,Lijsten!L:P,MATCH(Lijsten!$P$1,Kop_Tarief_Vast,0),0))),""),"")</f>
        <v/>
      </c>
      <c r="P1076" s="320" t="str" cm="1">
        <f t="array" ref="P1076">_xlfn.IFNA(IF(INDEX(Tb_KostenOptiesDB[],MATCH($F1076,Tb_KostenOptiesDB[KostenOptie],0),IFERROR(MATCH(Methode_Keuze,Tb_KostenOptiesDB[#Headers],0),2))=1,_xlfn.SWITCH($N1076,"Uurtarief",IF(OR(AND(RIGHT($F1076,3)="IKS",VLOOKUP($M1076,DB_Loonkosten,2,0)="Ja"),AND(RIGHT($F1076,3)&lt;&gt;"IKS",VLOOKUP($M1076,DB_Loonkosten,2,0)="Nee")),IFERROR(VLOOKUP($M1076,DB_Loonkosten,25,0),""),0),"Vast tarief",IF(LEFT(F1076,8)="Bijdrage",VLOOKUP($F1076,Tb_KostenTypen[],MATCH(Lijsten!$P$1,Tb_KostenTypen[#Headers],0),0),VLOOKUP($G1076,Lijsten!L:P,MATCH(Lijsten!$P$1,Kop_Tarief_Vast,0),0))),""),"")</f>
        <v/>
      </c>
      <c r="Q1076" s="359"/>
      <c r="R1076" s="359"/>
      <c r="S1076" s="321"/>
      <c r="T1076" s="321"/>
      <c r="U1076" s="373" t="str">
        <f t="shared" si="64"/>
        <v/>
      </c>
      <c r="V1076" s="314" t="str">
        <f t="shared" si="65"/>
        <v/>
      </c>
      <c r="W1076" s="314" t="str" cm="1">
        <f t="array" aca="1" ref="W1076" ca="1">IFERROR(IF(AE1076&lt;&gt;"ja",_xlfn.IFNA(_xlfn.IFS(AND(O1076&lt;&gt;"",F1076&lt;&gt;"",RIGHT($N1076,6)="tarief",F1076="Vergoeding"),SUM(O1076)*FLOOR(SUM(Q1076),0.0001),AND(O1076&lt;&gt;"",F1076&lt;&gt;"",RIGHT($N1076,6)="tarief"),SUM(O1076)*FLOOR(SUM(Q1076),0.01),S1076&gt;0,IF(F1076&lt;&gt;"",FLOOR(SUM(S1076),0.01),"")),""),""),"")</f>
        <v/>
      </c>
      <c r="X1076" s="314" t="str" cm="1">
        <f t="array" aca="1" ref="X1076" ca="1">IFERROR(IF(AE1076&lt;&gt;"ja",_xlfn.IFNA(_xlfn.IFS(AND(P1076&lt;&gt;"",R1076&lt;&gt;"",RIGHT($N1076,6)="tarief",F1076="Vergoeding"),SUM(P1076)*FLOOR(SUM(R1076),0.0001),AND(P1076&lt;&gt;"",R1076&lt;&gt;"",RIGHT($N1076,6)="tarief"),P1076*FLOOR(R1076,0.01),T1076&gt;0,FLOOR(SUM(T1076),0.01)),""),""),"")</f>
        <v/>
      </c>
      <c r="Y1076" s="314" t="str">
        <f t="shared" ca="1" si="66"/>
        <v/>
      </c>
      <c r="Z1076" s="314" t="str" cm="1">
        <f t="array" aca="1" ref="Z1076" ca="1">IFERROR(_xlfn.IFS(OR(F1076="",LEFT(Methode_Keuze,4)="Geen",Methode_Keuze=""),"",AND(W1076&lt;&gt;"",F1076&lt;&gt;"Arbeidskosten"),W1076*VLOOKUP(F1076,Tb_ProjectKosten[],MATCH(Tb_ProjectKosten[[#Headers],[Forfait_Percentage]],Tb_ProjectKosten[#Headers],0),0),AND(F1076="Arbeidskosten",G1076&lt;&gt;""),IFERROR(W1076*VLOOKUP(G1076,Tb_KostenTypen[],3,0)*VLOOKUP(F1076,Tb_ProjectKosten[],MATCH(Tb_ProjectKosten[[#Headers],[Forfait_Percentage]],Tb_ProjectKosten[#Headers],0),0),""),W1076 &lt;=0,0),"")</f>
        <v/>
      </c>
      <c r="AA1076" s="314" t="str" cm="1">
        <f t="array" aca="1" ref="AA1076" ca="1">IFERROR(_xlfn.IFS(OR(F1076="",LEFT(Methode_Keuze,4)="Geen",Methode_Keuze=""),"",AND(X1076&lt;&gt;"",F1076&lt;&gt;"Arbeidskosten"),X1076*VLOOKUP(F1076,Tb_ProjectKosten[],MATCH(Tb_ProjectKosten[[#Headers],[Forfait_Percentage]],Tb_ProjectKosten[#Headers],0),0),AND(F1076="Arbeidskosten",G1076&lt;&gt;""),IFERROR(X1076*VLOOKUP(G1076,Tb_KostenTypen[],3,0)*VLOOKUP(F1076,Tb_ProjectKosten[],MATCH(Tb_ProjectKosten[[#Headers],[Forfait_Percentage]],Tb_ProjectKosten[#Headers],0),0),""),X1076 &lt;=0,0),"")</f>
        <v/>
      </c>
      <c r="AB1076" s="314" t="str">
        <f t="shared" ca="1" si="67"/>
        <v/>
      </c>
      <c r="AC1076" s="322"/>
      <c r="AD1076" s="315"/>
      <c r="AE1076" s="32" t="str" cm="1">
        <f t="array" ref="AE1076">IFERROR(IF(INDEX(SubsidieTabel!$AD$1:$AG$12,MATCH($F1076,SubsidieTabel!$AD$1:$AD$12,0),IFERROR(MATCH(Methode_Keuze,SubsidieTabel!$AD$1:$AG$1,0),2))&lt;&gt;1=TRUE,"ja",""),"")</f>
        <v/>
      </c>
    </row>
    <row r="1077" spans="1:31" x14ac:dyDescent="0.25">
      <c r="A1077" s="316"/>
      <c r="B1077" s="317" t="str">
        <f>IF(A1077&lt;&gt;"",_xlfn.MAXIFS($B$1:B1076,$A$1:A1076,A1077)+1,"")</f>
        <v/>
      </c>
      <c r="C1077" s="296"/>
      <c r="D1077" s="296"/>
      <c r="E1077" s="296"/>
      <c r="F1077" s="296"/>
      <c r="G1077" s="326"/>
      <c r="H1077" s="324"/>
      <c r="I1077" s="325"/>
      <c r="J1077" s="325"/>
      <c r="K1077" s="318"/>
      <c r="L1077" s="318"/>
      <c r="M1077" s="319" t="str">
        <f>IFERROR(VLOOKUP(H1077,Lijsten!$H$1:$I$100,2,0),"")</f>
        <v/>
      </c>
      <c r="N1077" s="319" t="str">
        <f ca="1">IFERROR(IF(VLOOKUP(F1077,Kostentypen!$A$3:$E$21,3,0)=0,"",IF(OR(F1077="Arbeidskosten",F1077="Vergoeding"),VLOOKUP(G1077,Tb_KostenTypen[],2,0),VLOOKUP(F1077,Kostentypen!$A$3:$E$20,3,0))),"")</f>
        <v/>
      </c>
      <c r="O1077" s="320" t="str" cm="1">
        <f t="array" ref="O1077">_xlfn.IFNA(IF(INDEX(Tb_KostenOptiesDB[],MATCH($F1077,Tb_KostenOptiesDB[KostenOptie],0),IFERROR(MATCH(Methode_Keuze,Tb_KostenOptiesDB[#Headers],0),2))=1,_xlfn.SWITCH($N1077,"Uurtarief",IF(OR(AND(RIGHT($F1077,3)="IKS",VLOOKUP($M1077,DB_Loonkosten,2,0)="Ja"),AND(RIGHT($F1077,3)&lt;&gt;"IKS",VLOOKUP($M1077,DB_Loonkosten,2,0)="Nee")),IFERROR(VLOOKUP($M1077,DB_Loonkosten,24,0),""),0),"Vast tarief",IF(LEFT(F1077,8)="Bijdrage",VLOOKUP($F1077,Tb_KostenTypen[],MATCH(Lijsten!$P$1,Tb_KostenTypen[#Headers],0),0),VLOOKUP($G1077,Lijsten!L:P,MATCH(Lijsten!$P$1,Kop_Tarief_Vast,0),0))),""),"")</f>
        <v/>
      </c>
      <c r="P1077" s="320" t="str" cm="1">
        <f t="array" ref="P1077">_xlfn.IFNA(IF(INDEX(Tb_KostenOptiesDB[],MATCH($F1077,Tb_KostenOptiesDB[KostenOptie],0),IFERROR(MATCH(Methode_Keuze,Tb_KostenOptiesDB[#Headers],0),2))=1,_xlfn.SWITCH($N1077,"Uurtarief",IF(OR(AND(RIGHT($F1077,3)="IKS",VLOOKUP($M1077,DB_Loonkosten,2,0)="Ja"),AND(RIGHT($F1077,3)&lt;&gt;"IKS",VLOOKUP($M1077,DB_Loonkosten,2,0)="Nee")),IFERROR(VLOOKUP($M1077,DB_Loonkosten,25,0),""),0),"Vast tarief",IF(LEFT(F1077,8)="Bijdrage",VLOOKUP($F1077,Tb_KostenTypen[],MATCH(Lijsten!$P$1,Tb_KostenTypen[#Headers],0),0),VLOOKUP($G1077,Lijsten!L:P,MATCH(Lijsten!$P$1,Kop_Tarief_Vast,0),0))),""),"")</f>
        <v/>
      </c>
      <c r="Q1077" s="359"/>
      <c r="R1077" s="359"/>
      <c r="S1077" s="321"/>
      <c r="T1077" s="321"/>
      <c r="U1077" s="373" t="str">
        <f t="shared" si="64"/>
        <v/>
      </c>
      <c r="V1077" s="314" t="str">
        <f t="shared" si="65"/>
        <v/>
      </c>
      <c r="W1077" s="314" t="str" cm="1">
        <f t="array" aca="1" ref="W1077" ca="1">IFERROR(IF(AE1077&lt;&gt;"ja",_xlfn.IFNA(_xlfn.IFS(AND(O1077&lt;&gt;"",F1077&lt;&gt;"",RIGHT($N1077,6)="tarief",F1077="Vergoeding"),SUM(O1077)*FLOOR(SUM(Q1077),0.0001),AND(O1077&lt;&gt;"",F1077&lt;&gt;"",RIGHT($N1077,6)="tarief"),SUM(O1077)*FLOOR(SUM(Q1077),0.01),S1077&gt;0,IF(F1077&lt;&gt;"",FLOOR(SUM(S1077),0.01),"")),""),""),"")</f>
        <v/>
      </c>
      <c r="X1077" s="314" t="str" cm="1">
        <f t="array" aca="1" ref="X1077" ca="1">IFERROR(IF(AE1077&lt;&gt;"ja",_xlfn.IFNA(_xlfn.IFS(AND(P1077&lt;&gt;"",R1077&lt;&gt;"",RIGHT($N1077,6)="tarief",F1077="Vergoeding"),SUM(P1077)*FLOOR(SUM(R1077),0.0001),AND(P1077&lt;&gt;"",R1077&lt;&gt;"",RIGHT($N1077,6)="tarief"),P1077*FLOOR(R1077,0.01),T1077&gt;0,FLOOR(SUM(T1077),0.01)),""),""),"")</f>
        <v/>
      </c>
      <c r="Y1077" s="314" t="str">
        <f t="shared" ca="1" si="66"/>
        <v/>
      </c>
      <c r="Z1077" s="314" t="str" cm="1">
        <f t="array" aca="1" ref="Z1077" ca="1">IFERROR(_xlfn.IFS(OR(F1077="",LEFT(Methode_Keuze,4)="Geen",Methode_Keuze=""),"",AND(W1077&lt;&gt;"",F1077&lt;&gt;"Arbeidskosten"),W1077*VLOOKUP(F1077,Tb_ProjectKosten[],MATCH(Tb_ProjectKosten[[#Headers],[Forfait_Percentage]],Tb_ProjectKosten[#Headers],0),0),AND(F1077="Arbeidskosten",G1077&lt;&gt;""),IFERROR(W1077*VLOOKUP(G1077,Tb_KostenTypen[],3,0)*VLOOKUP(F1077,Tb_ProjectKosten[],MATCH(Tb_ProjectKosten[[#Headers],[Forfait_Percentage]],Tb_ProjectKosten[#Headers],0),0),""),W1077 &lt;=0,0),"")</f>
        <v/>
      </c>
      <c r="AA1077" s="314" t="str" cm="1">
        <f t="array" aca="1" ref="AA1077" ca="1">IFERROR(_xlfn.IFS(OR(F1077="",LEFT(Methode_Keuze,4)="Geen",Methode_Keuze=""),"",AND(X1077&lt;&gt;"",F1077&lt;&gt;"Arbeidskosten"),X1077*VLOOKUP(F1077,Tb_ProjectKosten[],MATCH(Tb_ProjectKosten[[#Headers],[Forfait_Percentage]],Tb_ProjectKosten[#Headers],0),0),AND(F1077="Arbeidskosten",G1077&lt;&gt;""),IFERROR(X1077*VLOOKUP(G1077,Tb_KostenTypen[],3,0)*VLOOKUP(F1077,Tb_ProjectKosten[],MATCH(Tb_ProjectKosten[[#Headers],[Forfait_Percentage]],Tb_ProjectKosten[#Headers],0),0),""),X1077 &lt;=0,0),"")</f>
        <v/>
      </c>
      <c r="AB1077" s="314" t="str">
        <f t="shared" ca="1" si="67"/>
        <v/>
      </c>
      <c r="AC1077" s="322"/>
      <c r="AD1077" s="315"/>
      <c r="AE1077" s="32" t="str" cm="1">
        <f t="array" ref="AE1077">IFERROR(IF(INDEX(SubsidieTabel!$AD$1:$AG$12,MATCH($F1077,SubsidieTabel!$AD$1:$AD$12,0),IFERROR(MATCH(Methode_Keuze,SubsidieTabel!$AD$1:$AG$1,0),2))&lt;&gt;1=TRUE,"ja",""),"")</f>
        <v/>
      </c>
    </row>
    <row r="1078" spans="1:31" x14ac:dyDescent="0.25">
      <c r="A1078" s="316"/>
      <c r="B1078" s="317" t="str">
        <f>IF(A1078&lt;&gt;"",_xlfn.MAXIFS($B$1:B1077,$A$1:A1077,A1078)+1,"")</f>
        <v/>
      </c>
      <c r="C1078" s="296"/>
      <c r="D1078" s="296"/>
      <c r="E1078" s="296"/>
      <c r="F1078" s="296"/>
      <c r="G1078" s="326"/>
      <c r="H1078" s="324"/>
      <c r="I1078" s="325"/>
      <c r="J1078" s="325"/>
      <c r="K1078" s="318"/>
      <c r="L1078" s="318"/>
      <c r="M1078" s="319" t="str">
        <f>IFERROR(VLOOKUP(H1078,Lijsten!$H$1:$I$100,2,0),"")</f>
        <v/>
      </c>
      <c r="N1078" s="319" t="str">
        <f ca="1">IFERROR(IF(VLOOKUP(F1078,Kostentypen!$A$3:$E$21,3,0)=0,"",IF(OR(F1078="Arbeidskosten",F1078="Vergoeding"),VLOOKUP(G1078,Tb_KostenTypen[],2,0),VLOOKUP(F1078,Kostentypen!$A$3:$E$20,3,0))),"")</f>
        <v/>
      </c>
      <c r="O1078" s="320" t="str" cm="1">
        <f t="array" ref="O1078">_xlfn.IFNA(IF(INDEX(Tb_KostenOptiesDB[],MATCH($F1078,Tb_KostenOptiesDB[KostenOptie],0),IFERROR(MATCH(Methode_Keuze,Tb_KostenOptiesDB[#Headers],0),2))=1,_xlfn.SWITCH($N1078,"Uurtarief",IF(OR(AND(RIGHT($F1078,3)="IKS",VLOOKUP($M1078,DB_Loonkosten,2,0)="Ja"),AND(RIGHT($F1078,3)&lt;&gt;"IKS",VLOOKUP($M1078,DB_Loonkosten,2,0)="Nee")),IFERROR(VLOOKUP($M1078,DB_Loonkosten,24,0),""),0),"Vast tarief",IF(LEFT(F1078,8)="Bijdrage",VLOOKUP($F1078,Tb_KostenTypen[],MATCH(Lijsten!$P$1,Tb_KostenTypen[#Headers],0),0),VLOOKUP($G1078,Lijsten!L:P,MATCH(Lijsten!$P$1,Kop_Tarief_Vast,0),0))),""),"")</f>
        <v/>
      </c>
      <c r="P1078" s="320" t="str" cm="1">
        <f t="array" ref="P1078">_xlfn.IFNA(IF(INDEX(Tb_KostenOptiesDB[],MATCH($F1078,Tb_KostenOptiesDB[KostenOptie],0),IFERROR(MATCH(Methode_Keuze,Tb_KostenOptiesDB[#Headers],0),2))=1,_xlfn.SWITCH($N1078,"Uurtarief",IF(OR(AND(RIGHT($F1078,3)="IKS",VLOOKUP($M1078,DB_Loonkosten,2,0)="Ja"),AND(RIGHT($F1078,3)&lt;&gt;"IKS",VLOOKUP($M1078,DB_Loonkosten,2,0)="Nee")),IFERROR(VLOOKUP($M1078,DB_Loonkosten,25,0),""),0),"Vast tarief",IF(LEFT(F1078,8)="Bijdrage",VLOOKUP($F1078,Tb_KostenTypen[],MATCH(Lijsten!$P$1,Tb_KostenTypen[#Headers],0),0),VLOOKUP($G1078,Lijsten!L:P,MATCH(Lijsten!$P$1,Kop_Tarief_Vast,0),0))),""),"")</f>
        <v/>
      </c>
      <c r="Q1078" s="359"/>
      <c r="R1078" s="359"/>
      <c r="S1078" s="321"/>
      <c r="T1078" s="321"/>
      <c r="U1078" s="373" t="str">
        <f t="shared" si="64"/>
        <v/>
      </c>
      <c r="V1078" s="314" t="str">
        <f t="shared" si="65"/>
        <v/>
      </c>
      <c r="W1078" s="314" t="str" cm="1">
        <f t="array" aca="1" ref="W1078" ca="1">IFERROR(IF(AE1078&lt;&gt;"ja",_xlfn.IFNA(_xlfn.IFS(AND(O1078&lt;&gt;"",F1078&lt;&gt;"",RIGHT($N1078,6)="tarief",F1078="Vergoeding"),SUM(O1078)*FLOOR(SUM(Q1078),0.0001),AND(O1078&lt;&gt;"",F1078&lt;&gt;"",RIGHT($N1078,6)="tarief"),SUM(O1078)*FLOOR(SUM(Q1078),0.01),S1078&gt;0,IF(F1078&lt;&gt;"",FLOOR(SUM(S1078),0.01),"")),""),""),"")</f>
        <v/>
      </c>
      <c r="X1078" s="314" t="str" cm="1">
        <f t="array" aca="1" ref="X1078" ca="1">IFERROR(IF(AE1078&lt;&gt;"ja",_xlfn.IFNA(_xlfn.IFS(AND(P1078&lt;&gt;"",R1078&lt;&gt;"",RIGHT($N1078,6)="tarief",F1078="Vergoeding"),SUM(P1078)*FLOOR(SUM(R1078),0.0001),AND(P1078&lt;&gt;"",R1078&lt;&gt;"",RIGHT($N1078,6)="tarief"),P1078*FLOOR(R1078,0.01),T1078&gt;0,FLOOR(SUM(T1078),0.01)),""),""),"")</f>
        <v/>
      </c>
      <c r="Y1078" s="314" t="str">
        <f t="shared" ca="1" si="66"/>
        <v/>
      </c>
      <c r="Z1078" s="314" t="str" cm="1">
        <f t="array" aca="1" ref="Z1078" ca="1">IFERROR(_xlfn.IFS(OR(F1078="",LEFT(Methode_Keuze,4)="Geen",Methode_Keuze=""),"",AND(W1078&lt;&gt;"",F1078&lt;&gt;"Arbeidskosten"),W1078*VLOOKUP(F1078,Tb_ProjectKosten[],MATCH(Tb_ProjectKosten[[#Headers],[Forfait_Percentage]],Tb_ProjectKosten[#Headers],0),0),AND(F1078="Arbeidskosten",G1078&lt;&gt;""),IFERROR(W1078*VLOOKUP(G1078,Tb_KostenTypen[],3,0)*VLOOKUP(F1078,Tb_ProjectKosten[],MATCH(Tb_ProjectKosten[[#Headers],[Forfait_Percentage]],Tb_ProjectKosten[#Headers],0),0),""),W1078 &lt;=0,0),"")</f>
        <v/>
      </c>
      <c r="AA1078" s="314" t="str" cm="1">
        <f t="array" aca="1" ref="AA1078" ca="1">IFERROR(_xlfn.IFS(OR(F1078="",LEFT(Methode_Keuze,4)="Geen",Methode_Keuze=""),"",AND(X1078&lt;&gt;"",F1078&lt;&gt;"Arbeidskosten"),X1078*VLOOKUP(F1078,Tb_ProjectKosten[],MATCH(Tb_ProjectKosten[[#Headers],[Forfait_Percentage]],Tb_ProjectKosten[#Headers],0),0),AND(F1078="Arbeidskosten",G1078&lt;&gt;""),IFERROR(X1078*VLOOKUP(G1078,Tb_KostenTypen[],3,0)*VLOOKUP(F1078,Tb_ProjectKosten[],MATCH(Tb_ProjectKosten[[#Headers],[Forfait_Percentage]],Tb_ProjectKosten[#Headers],0),0),""),X1078 &lt;=0,0),"")</f>
        <v/>
      </c>
      <c r="AB1078" s="314" t="str">
        <f t="shared" ca="1" si="67"/>
        <v/>
      </c>
      <c r="AC1078" s="322"/>
      <c r="AD1078" s="315"/>
      <c r="AE1078" s="32" t="str" cm="1">
        <f t="array" ref="AE1078">IFERROR(IF(INDEX(SubsidieTabel!$AD$1:$AG$12,MATCH($F1078,SubsidieTabel!$AD$1:$AD$12,0),IFERROR(MATCH(Methode_Keuze,SubsidieTabel!$AD$1:$AG$1,0),2))&lt;&gt;1=TRUE,"ja",""),"")</f>
        <v/>
      </c>
    </row>
    <row r="1079" spans="1:31" x14ac:dyDescent="0.25">
      <c r="A1079" s="316"/>
      <c r="B1079" s="317" t="str">
        <f>IF(A1079&lt;&gt;"",_xlfn.MAXIFS($B$1:B1078,$A$1:A1078,A1079)+1,"")</f>
        <v/>
      </c>
      <c r="C1079" s="296"/>
      <c r="D1079" s="296"/>
      <c r="E1079" s="296"/>
      <c r="F1079" s="296"/>
      <c r="G1079" s="326"/>
      <c r="H1079" s="324"/>
      <c r="I1079" s="325"/>
      <c r="J1079" s="325"/>
      <c r="K1079" s="318"/>
      <c r="L1079" s="318"/>
      <c r="M1079" s="319" t="str">
        <f>IFERROR(VLOOKUP(H1079,Lijsten!$H$1:$I$100,2,0),"")</f>
        <v/>
      </c>
      <c r="N1079" s="319" t="str">
        <f ca="1">IFERROR(IF(VLOOKUP(F1079,Kostentypen!$A$3:$E$21,3,0)=0,"",IF(OR(F1079="Arbeidskosten",F1079="Vergoeding"),VLOOKUP(G1079,Tb_KostenTypen[],2,0),VLOOKUP(F1079,Kostentypen!$A$3:$E$20,3,0))),"")</f>
        <v/>
      </c>
      <c r="O1079" s="320" t="str" cm="1">
        <f t="array" ref="O1079">_xlfn.IFNA(IF(INDEX(Tb_KostenOptiesDB[],MATCH($F1079,Tb_KostenOptiesDB[KostenOptie],0),IFERROR(MATCH(Methode_Keuze,Tb_KostenOptiesDB[#Headers],0),2))=1,_xlfn.SWITCH($N1079,"Uurtarief",IF(OR(AND(RIGHT($F1079,3)="IKS",VLOOKUP($M1079,DB_Loonkosten,2,0)="Ja"),AND(RIGHT($F1079,3)&lt;&gt;"IKS",VLOOKUP($M1079,DB_Loonkosten,2,0)="Nee")),IFERROR(VLOOKUP($M1079,DB_Loonkosten,24,0),""),0),"Vast tarief",IF(LEFT(F1079,8)="Bijdrage",VLOOKUP($F1079,Tb_KostenTypen[],MATCH(Lijsten!$P$1,Tb_KostenTypen[#Headers],0),0),VLOOKUP($G1079,Lijsten!L:P,MATCH(Lijsten!$P$1,Kop_Tarief_Vast,0),0))),""),"")</f>
        <v/>
      </c>
      <c r="P1079" s="320" t="str" cm="1">
        <f t="array" ref="P1079">_xlfn.IFNA(IF(INDEX(Tb_KostenOptiesDB[],MATCH($F1079,Tb_KostenOptiesDB[KostenOptie],0),IFERROR(MATCH(Methode_Keuze,Tb_KostenOptiesDB[#Headers],0),2))=1,_xlfn.SWITCH($N1079,"Uurtarief",IF(OR(AND(RIGHT($F1079,3)="IKS",VLOOKUP($M1079,DB_Loonkosten,2,0)="Ja"),AND(RIGHT($F1079,3)&lt;&gt;"IKS",VLOOKUP($M1079,DB_Loonkosten,2,0)="Nee")),IFERROR(VLOOKUP($M1079,DB_Loonkosten,25,0),""),0),"Vast tarief",IF(LEFT(F1079,8)="Bijdrage",VLOOKUP($F1079,Tb_KostenTypen[],MATCH(Lijsten!$P$1,Tb_KostenTypen[#Headers],0),0),VLOOKUP($G1079,Lijsten!L:P,MATCH(Lijsten!$P$1,Kop_Tarief_Vast,0),0))),""),"")</f>
        <v/>
      </c>
      <c r="Q1079" s="359"/>
      <c r="R1079" s="359"/>
      <c r="S1079" s="321"/>
      <c r="T1079" s="321"/>
      <c r="U1079" s="373" t="str">
        <f t="shared" si="64"/>
        <v/>
      </c>
      <c r="V1079" s="314" t="str">
        <f t="shared" si="65"/>
        <v/>
      </c>
      <c r="W1079" s="314" t="str" cm="1">
        <f t="array" aca="1" ref="W1079" ca="1">IFERROR(IF(AE1079&lt;&gt;"ja",_xlfn.IFNA(_xlfn.IFS(AND(O1079&lt;&gt;"",F1079&lt;&gt;"",RIGHT($N1079,6)="tarief",F1079="Vergoeding"),SUM(O1079)*FLOOR(SUM(Q1079),0.0001),AND(O1079&lt;&gt;"",F1079&lt;&gt;"",RIGHT($N1079,6)="tarief"),SUM(O1079)*FLOOR(SUM(Q1079),0.01),S1079&gt;0,IF(F1079&lt;&gt;"",FLOOR(SUM(S1079),0.01),"")),""),""),"")</f>
        <v/>
      </c>
      <c r="X1079" s="314" t="str" cm="1">
        <f t="array" aca="1" ref="X1079" ca="1">IFERROR(IF(AE1079&lt;&gt;"ja",_xlfn.IFNA(_xlfn.IFS(AND(P1079&lt;&gt;"",R1079&lt;&gt;"",RIGHT($N1079,6)="tarief",F1079="Vergoeding"),SUM(P1079)*FLOOR(SUM(R1079),0.0001),AND(P1079&lt;&gt;"",R1079&lt;&gt;"",RIGHT($N1079,6)="tarief"),P1079*FLOOR(R1079,0.01),T1079&gt;0,FLOOR(SUM(T1079),0.01)),""),""),"")</f>
        <v/>
      </c>
      <c r="Y1079" s="314" t="str">
        <f t="shared" ca="1" si="66"/>
        <v/>
      </c>
      <c r="Z1079" s="314" t="str" cm="1">
        <f t="array" aca="1" ref="Z1079" ca="1">IFERROR(_xlfn.IFS(OR(F1079="",LEFT(Methode_Keuze,4)="Geen",Methode_Keuze=""),"",AND(W1079&lt;&gt;"",F1079&lt;&gt;"Arbeidskosten"),W1079*VLOOKUP(F1079,Tb_ProjectKosten[],MATCH(Tb_ProjectKosten[[#Headers],[Forfait_Percentage]],Tb_ProjectKosten[#Headers],0),0),AND(F1079="Arbeidskosten",G1079&lt;&gt;""),IFERROR(W1079*VLOOKUP(G1079,Tb_KostenTypen[],3,0)*VLOOKUP(F1079,Tb_ProjectKosten[],MATCH(Tb_ProjectKosten[[#Headers],[Forfait_Percentage]],Tb_ProjectKosten[#Headers],0),0),""),W1079 &lt;=0,0),"")</f>
        <v/>
      </c>
      <c r="AA1079" s="314" t="str" cm="1">
        <f t="array" aca="1" ref="AA1079" ca="1">IFERROR(_xlfn.IFS(OR(F1079="",LEFT(Methode_Keuze,4)="Geen",Methode_Keuze=""),"",AND(X1079&lt;&gt;"",F1079&lt;&gt;"Arbeidskosten"),X1079*VLOOKUP(F1079,Tb_ProjectKosten[],MATCH(Tb_ProjectKosten[[#Headers],[Forfait_Percentage]],Tb_ProjectKosten[#Headers],0),0),AND(F1079="Arbeidskosten",G1079&lt;&gt;""),IFERROR(X1079*VLOOKUP(G1079,Tb_KostenTypen[],3,0)*VLOOKUP(F1079,Tb_ProjectKosten[],MATCH(Tb_ProjectKosten[[#Headers],[Forfait_Percentage]],Tb_ProjectKosten[#Headers],0),0),""),X1079 &lt;=0,0),"")</f>
        <v/>
      </c>
      <c r="AB1079" s="314" t="str">
        <f t="shared" ca="1" si="67"/>
        <v/>
      </c>
      <c r="AC1079" s="322"/>
      <c r="AD1079" s="315"/>
      <c r="AE1079" s="32" t="str" cm="1">
        <f t="array" ref="AE1079">IFERROR(IF(INDEX(SubsidieTabel!$AD$1:$AG$12,MATCH($F1079,SubsidieTabel!$AD$1:$AD$12,0),IFERROR(MATCH(Methode_Keuze,SubsidieTabel!$AD$1:$AG$1,0),2))&lt;&gt;1=TRUE,"ja",""),"")</f>
        <v/>
      </c>
    </row>
    <row r="1080" spans="1:31" x14ac:dyDescent="0.25">
      <c r="A1080" s="316"/>
      <c r="B1080" s="317" t="str">
        <f>IF(A1080&lt;&gt;"",_xlfn.MAXIFS($B$1:B1079,$A$1:A1079,A1080)+1,"")</f>
        <v/>
      </c>
      <c r="C1080" s="296"/>
      <c r="D1080" s="296"/>
      <c r="E1080" s="296"/>
      <c r="F1080" s="296"/>
      <c r="G1080" s="326"/>
      <c r="H1080" s="324"/>
      <c r="I1080" s="325"/>
      <c r="J1080" s="325"/>
      <c r="K1080" s="318"/>
      <c r="L1080" s="318"/>
      <c r="M1080" s="319" t="str">
        <f>IFERROR(VLOOKUP(H1080,Lijsten!$H$1:$I$100,2,0),"")</f>
        <v/>
      </c>
      <c r="N1080" s="319" t="str">
        <f ca="1">IFERROR(IF(VLOOKUP(F1080,Kostentypen!$A$3:$E$21,3,0)=0,"",IF(OR(F1080="Arbeidskosten",F1080="Vergoeding"),VLOOKUP(G1080,Tb_KostenTypen[],2,0),VLOOKUP(F1080,Kostentypen!$A$3:$E$20,3,0))),"")</f>
        <v/>
      </c>
      <c r="O1080" s="320" t="str" cm="1">
        <f t="array" ref="O1080">_xlfn.IFNA(IF(INDEX(Tb_KostenOptiesDB[],MATCH($F1080,Tb_KostenOptiesDB[KostenOptie],0),IFERROR(MATCH(Methode_Keuze,Tb_KostenOptiesDB[#Headers],0),2))=1,_xlfn.SWITCH($N1080,"Uurtarief",IF(OR(AND(RIGHT($F1080,3)="IKS",VLOOKUP($M1080,DB_Loonkosten,2,0)="Ja"),AND(RIGHT($F1080,3)&lt;&gt;"IKS",VLOOKUP($M1080,DB_Loonkosten,2,0)="Nee")),IFERROR(VLOOKUP($M1080,DB_Loonkosten,24,0),""),0),"Vast tarief",IF(LEFT(F1080,8)="Bijdrage",VLOOKUP($F1080,Tb_KostenTypen[],MATCH(Lijsten!$P$1,Tb_KostenTypen[#Headers],0),0),VLOOKUP($G1080,Lijsten!L:P,MATCH(Lijsten!$P$1,Kop_Tarief_Vast,0),0))),""),"")</f>
        <v/>
      </c>
      <c r="P1080" s="320" t="str" cm="1">
        <f t="array" ref="P1080">_xlfn.IFNA(IF(INDEX(Tb_KostenOptiesDB[],MATCH($F1080,Tb_KostenOptiesDB[KostenOptie],0),IFERROR(MATCH(Methode_Keuze,Tb_KostenOptiesDB[#Headers],0),2))=1,_xlfn.SWITCH($N1080,"Uurtarief",IF(OR(AND(RIGHT($F1080,3)="IKS",VLOOKUP($M1080,DB_Loonkosten,2,0)="Ja"),AND(RIGHT($F1080,3)&lt;&gt;"IKS",VLOOKUP($M1080,DB_Loonkosten,2,0)="Nee")),IFERROR(VLOOKUP($M1080,DB_Loonkosten,25,0),""),0),"Vast tarief",IF(LEFT(F1080,8)="Bijdrage",VLOOKUP($F1080,Tb_KostenTypen[],MATCH(Lijsten!$P$1,Tb_KostenTypen[#Headers],0),0),VLOOKUP($G1080,Lijsten!L:P,MATCH(Lijsten!$P$1,Kop_Tarief_Vast,0),0))),""),"")</f>
        <v/>
      </c>
      <c r="Q1080" s="359"/>
      <c r="R1080" s="359"/>
      <c r="S1080" s="321"/>
      <c r="T1080" s="321"/>
      <c r="U1080" s="373" t="str">
        <f t="shared" si="64"/>
        <v/>
      </c>
      <c r="V1080" s="314" t="str">
        <f t="shared" si="65"/>
        <v/>
      </c>
      <c r="W1080" s="314" t="str" cm="1">
        <f t="array" aca="1" ref="W1080" ca="1">IFERROR(IF(AE1080&lt;&gt;"ja",_xlfn.IFNA(_xlfn.IFS(AND(O1080&lt;&gt;"",F1080&lt;&gt;"",RIGHT($N1080,6)="tarief",F1080="Vergoeding"),SUM(O1080)*FLOOR(SUM(Q1080),0.0001),AND(O1080&lt;&gt;"",F1080&lt;&gt;"",RIGHT($N1080,6)="tarief"),SUM(O1080)*FLOOR(SUM(Q1080),0.01),S1080&gt;0,IF(F1080&lt;&gt;"",FLOOR(SUM(S1080),0.01),"")),""),""),"")</f>
        <v/>
      </c>
      <c r="X1080" s="314" t="str" cm="1">
        <f t="array" aca="1" ref="X1080" ca="1">IFERROR(IF(AE1080&lt;&gt;"ja",_xlfn.IFNA(_xlfn.IFS(AND(P1080&lt;&gt;"",R1080&lt;&gt;"",RIGHT($N1080,6)="tarief",F1080="Vergoeding"),SUM(P1080)*FLOOR(SUM(R1080),0.0001),AND(P1080&lt;&gt;"",R1080&lt;&gt;"",RIGHT($N1080,6)="tarief"),P1080*FLOOR(R1080,0.01),T1080&gt;0,FLOOR(SUM(T1080),0.01)),""),""),"")</f>
        <v/>
      </c>
      <c r="Y1080" s="314" t="str">
        <f t="shared" ca="1" si="66"/>
        <v/>
      </c>
      <c r="Z1080" s="314" t="str" cm="1">
        <f t="array" aca="1" ref="Z1080" ca="1">IFERROR(_xlfn.IFS(OR(F1080="",LEFT(Methode_Keuze,4)="Geen",Methode_Keuze=""),"",AND(W1080&lt;&gt;"",F1080&lt;&gt;"Arbeidskosten"),W1080*VLOOKUP(F1080,Tb_ProjectKosten[],MATCH(Tb_ProjectKosten[[#Headers],[Forfait_Percentage]],Tb_ProjectKosten[#Headers],0),0),AND(F1080="Arbeidskosten",G1080&lt;&gt;""),IFERROR(W1080*VLOOKUP(G1080,Tb_KostenTypen[],3,0)*VLOOKUP(F1080,Tb_ProjectKosten[],MATCH(Tb_ProjectKosten[[#Headers],[Forfait_Percentage]],Tb_ProjectKosten[#Headers],0),0),""),W1080 &lt;=0,0),"")</f>
        <v/>
      </c>
      <c r="AA1080" s="314" t="str" cm="1">
        <f t="array" aca="1" ref="AA1080" ca="1">IFERROR(_xlfn.IFS(OR(F1080="",LEFT(Methode_Keuze,4)="Geen",Methode_Keuze=""),"",AND(X1080&lt;&gt;"",F1080&lt;&gt;"Arbeidskosten"),X1080*VLOOKUP(F1080,Tb_ProjectKosten[],MATCH(Tb_ProjectKosten[[#Headers],[Forfait_Percentage]],Tb_ProjectKosten[#Headers],0),0),AND(F1080="Arbeidskosten",G1080&lt;&gt;""),IFERROR(X1080*VLOOKUP(G1080,Tb_KostenTypen[],3,0)*VLOOKUP(F1080,Tb_ProjectKosten[],MATCH(Tb_ProjectKosten[[#Headers],[Forfait_Percentage]],Tb_ProjectKosten[#Headers],0),0),""),X1080 &lt;=0,0),"")</f>
        <v/>
      </c>
      <c r="AB1080" s="314" t="str">
        <f t="shared" ca="1" si="67"/>
        <v/>
      </c>
      <c r="AC1080" s="322"/>
      <c r="AD1080" s="315"/>
      <c r="AE1080" s="32" t="str" cm="1">
        <f t="array" ref="AE1080">IFERROR(IF(INDEX(SubsidieTabel!$AD$1:$AG$12,MATCH($F1080,SubsidieTabel!$AD$1:$AD$12,0),IFERROR(MATCH(Methode_Keuze,SubsidieTabel!$AD$1:$AG$1,0),2))&lt;&gt;1=TRUE,"ja",""),"")</f>
        <v/>
      </c>
    </row>
    <row r="1081" spans="1:31" x14ac:dyDescent="0.25">
      <c r="A1081" s="316"/>
      <c r="B1081" s="317" t="str">
        <f>IF(A1081&lt;&gt;"",_xlfn.MAXIFS($B$1:B1080,$A$1:A1080,A1081)+1,"")</f>
        <v/>
      </c>
      <c r="C1081" s="296"/>
      <c r="D1081" s="296"/>
      <c r="E1081" s="296"/>
      <c r="F1081" s="296"/>
      <c r="G1081" s="326"/>
      <c r="H1081" s="324"/>
      <c r="I1081" s="325"/>
      <c r="J1081" s="325"/>
      <c r="K1081" s="318"/>
      <c r="L1081" s="318"/>
      <c r="M1081" s="319" t="str">
        <f>IFERROR(VLOOKUP(H1081,Lijsten!$H$1:$I$100,2,0),"")</f>
        <v/>
      </c>
      <c r="N1081" s="319" t="str">
        <f ca="1">IFERROR(IF(VLOOKUP(F1081,Kostentypen!$A$3:$E$21,3,0)=0,"",IF(OR(F1081="Arbeidskosten",F1081="Vergoeding"),VLOOKUP(G1081,Tb_KostenTypen[],2,0),VLOOKUP(F1081,Kostentypen!$A$3:$E$20,3,0))),"")</f>
        <v/>
      </c>
      <c r="O1081" s="320" t="str" cm="1">
        <f t="array" ref="O1081">_xlfn.IFNA(IF(INDEX(Tb_KostenOptiesDB[],MATCH($F1081,Tb_KostenOptiesDB[KostenOptie],0),IFERROR(MATCH(Methode_Keuze,Tb_KostenOptiesDB[#Headers],0),2))=1,_xlfn.SWITCH($N1081,"Uurtarief",IF(OR(AND(RIGHT($F1081,3)="IKS",VLOOKUP($M1081,DB_Loonkosten,2,0)="Ja"),AND(RIGHT($F1081,3)&lt;&gt;"IKS",VLOOKUP($M1081,DB_Loonkosten,2,0)="Nee")),IFERROR(VLOOKUP($M1081,DB_Loonkosten,24,0),""),0),"Vast tarief",IF(LEFT(F1081,8)="Bijdrage",VLOOKUP($F1081,Tb_KostenTypen[],MATCH(Lijsten!$P$1,Tb_KostenTypen[#Headers],0),0),VLOOKUP($G1081,Lijsten!L:P,MATCH(Lijsten!$P$1,Kop_Tarief_Vast,0),0))),""),"")</f>
        <v/>
      </c>
      <c r="P1081" s="320" t="str" cm="1">
        <f t="array" ref="P1081">_xlfn.IFNA(IF(INDEX(Tb_KostenOptiesDB[],MATCH($F1081,Tb_KostenOptiesDB[KostenOptie],0),IFERROR(MATCH(Methode_Keuze,Tb_KostenOptiesDB[#Headers],0),2))=1,_xlfn.SWITCH($N1081,"Uurtarief",IF(OR(AND(RIGHT($F1081,3)="IKS",VLOOKUP($M1081,DB_Loonkosten,2,0)="Ja"),AND(RIGHT($F1081,3)&lt;&gt;"IKS",VLOOKUP($M1081,DB_Loonkosten,2,0)="Nee")),IFERROR(VLOOKUP($M1081,DB_Loonkosten,25,0),""),0),"Vast tarief",IF(LEFT(F1081,8)="Bijdrage",VLOOKUP($F1081,Tb_KostenTypen[],MATCH(Lijsten!$P$1,Tb_KostenTypen[#Headers],0),0),VLOOKUP($G1081,Lijsten!L:P,MATCH(Lijsten!$P$1,Kop_Tarief_Vast,0),0))),""),"")</f>
        <v/>
      </c>
      <c r="Q1081" s="359"/>
      <c r="R1081" s="359"/>
      <c r="S1081" s="321"/>
      <c r="T1081" s="321"/>
      <c r="U1081" s="373" t="str">
        <f t="shared" si="64"/>
        <v/>
      </c>
      <c r="V1081" s="314" t="str">
        <f t="shared" si="65"/>
        <v/>
      </c>
      <c r="W1081" s="314" t="str" cm="1">
        <f t="array" aca="1" ref="W1081" ca="1">IFERROR(IF(AE1081&lt;&gt;"ja",_xlfn.IFNA(_xlfn.IFS(AND(O1081&lt;&gt;"",F1081&lt;&gt;"",RIGHT($N1081,6)="tarief",F1081="Vergoeding"),SUM(O1081)*FLOOR(SUM(Q1081),0.0001),AND(O1081&lt;&gt;"",F1081&lt;&gt;"",RIGHT($N1081,6)="tarief"),SUM(O1081)*FLOOR(SUM(Q1081),0.01),S1081&gt;0,IF(F1081&lt;&gt;"",FLOOR(SUM(S1081),0.01),"")),""),""),"")</f>
        <v/>
      </c>
      <c r="X1081" s="314" t="str" cm="1">
        <f t="array" aca="1" ref="X1081" ca="1">IFERROR(IF(AE1081&lt;&gt;"ja",_xlfn.IFNA(_xlfn.IFS(AND(P1081&lt;&gt;"",R1081&lt;&gt;"",RIGHT($N1081,6)="tarief",F1081="Vergoeding"),SUM(P1081)*FLOOR(SUM(R1081),0.0001),AND(P1081&lt;&gt;"",R1081&lt;&gt;"",RIGHT($N1081,6)="tarief"),P1081*FLOOR(R1081,0.01),T1081&gt;0,FLOOR(SUM(T1081),0.01)),""),""),"")</f>
        <v/>
      </c>
      <c r="Y1081" s="314" t="str">
        <f t="shared" ca="1" si="66"/>
        <v/>
      </c>
      <c r="Z1081" s="314" t="str" cm="1">
        <f t="array" aca="1" ref="Z1081" ca="1">IFERROR(_xlfn.IFS(OR(F1081="",LEFT(Methode_Keuze,4)="Geen",Methode_Keuze=""),"",AND(W1081&lt;&gt;"",F1081&lt;&gt;"Arbeidskosten"),W1081*VLOOKUP(F1081,Tb_ProjectKosten[],MATCH(Tb_ProjectKosten[[#Headers],[Forfait_Percentage]],Tb_ProjectKosten[#Headers],0),0),AND(F1081="Arbeidskosten",G1081&lt;&gt;""),IFERROR(W1081*VLOOKUP(G1081,Tb_KostenTypen[],3,0)*VLOOKUP(F1081,Tb_ProjectKosten[],MATCH(Tb_ProjectKosten[[#Headers],[Forfait_Percentage]],Tb_ProjectKosten[#Headers],0),0),""),W1081 &lt;=0,0),"")</f>
        <v/>
      </c>
      <c r="AA1081" s="314" t="str" cm="1">
        <f t="array" aca="1" ref="AA1081" ca="1">IFERROR(_xlfn.IFS(OR(F1081="",LEFT(Methode_Keuze,4)="Geen",Methode_Keuze=""),"",AND(X1081&lt;&gt;"",F1081&lt;&gt;"Arbeidskosten"),X1081*VLOOKUP(F1081,Tb_ProjectKosten[],MATCH(Tb_ProjectKosten[[#Headers],[Forfait_Percentage]],Tb_ProjectKosten[#Headers],0),0),AND(F1081="Arbeidskosten",G1081&lt;&gt;""),IFERROR(X1081*VLOOKUP(G1081,Tb_KostenTypen[],3,0)*VLOOKUP(F1081,Tb_ProjectKosten[],MATCH(Tb_ProjectKosten[[#Headers],[Forfait_Percentage]],Tb_ProjectKosten[#Headers],0),0),""),X1081 &lt;=0,0),"")</f>
        <v/>
      </c>
      <c r="AB1081" s="314" t="str">
        <f t="shared" ca="1" si="67"/>
        <v/>
      </c>
      <c r="AC1081" s="322"/>
      <c r="AD1081" s="315"/>
      <c r="AE1081" s="32" t="str" cm="1">
        <f t="array" ref="AE1081">IFERROR(IF(INDEX(SubsidieTabel!$AD$1:$AG$12,MATCH($F1081,SubsidieTabel!$AD$1:$AD$12,0),IFERROR(MATCH(Methode_Keuze,SubsidieTabel!$AD$1:$AG$1,0),2))&lt;&gt;1=TRUE,"ja",""),"")</f>
        <v/>
      </c>
    </row>
    <row r="1082" spans="1:31" x14ac:dyDescent="0.25">
      <c r="A1082" s="316"/>
      <c r="B1082" s="317" t="str">
        <f>IF(A1082&lt;&gt;"",_xlfn.MAXIFS($B$1:B1081,$A$1:A1081,A1082)+1,"")</f>
        <v/>
      </c>
      <c r="C1082" s="296"/>
      <c r="D1082" s="296"/>
      <c r="E1082" s="296"/>
      <c r="F1082" s="296"/>
      <c r="G1082" s="326"/>
      <c r="H1082" s="324"/>
      <c r="I1082" s="325"/>
      <c r="J1082" s="325"/>
      <c r="K1082" s="318"/>
      <c r="L1082" s="318"/>
      <c r="M1082" s="319" t="str">
        <f>IFERROR(VLOOKUP(H1082,Lijsten!$H$1:$I$100,2,0),"")</f>
        <v/>
      </c>
      <c r="N1082" s="319" t="str">
        <f ca="1">IFERROR(IF(VLOOKUP(F1082,Kostentypen!$A$3:$E$21,3,0)=0,"",IF(OR(F1082="Arbeidskosten",F1082="Vergoeding"),VLOOKUP(G1082,Tb_KostenTypen[],2,0),VLOOKUP(F1082,Kostentypen!$A$3:$E$20,3,0))),"")</f>
        <v/>
      </c>
      <c r="O1082" s="320" t="str" cm="1">
        <f t="array" ref="O1082">_xlfn.IFNA(IF(INDEX(Tb_KostenOptiesDB[],MATCH($F1082,Tb_KostenOptiesDB[KostenOptie],0),IFERROR(MATCH(Methode_Keuze,Tb_KostenOptiesDB[#Headers],0),2))=1,_xlfn.SWITCH($N1082,"Uurtarief",IF(OR(AND(RIGHT($F1082,3)="IKS",VLOOKUP($M1082,DB_Loonkosten,2,0)="Ja"),AND(RIGHT($F1082,3)&lt;&gt;"IKS",VLOOKUP($M1082,DB_Loonkosten,2,0)="Nee")),IFERROR(VLOOKUP($M1082,DB_Loonkosten,24,0),""),0),"Vast tarief",IF(LEFT(F1082,8)="Bijdrage",VLOOKUP($F1082,Tb_KostenTypen[],MATCH(Lijsten!$P$1,Tb_KostenTypen[#Headers],0),0),VLOOKUP($G1082,Lijsten!L:P,MATCH(Lijsten!$P$1,Kop_Tarief_Vast,0),0))),""),"")</f>
        <v/>
      </c>
      <c r="P1082" s="320" t="str" cm="1">
        <f t="array" ref="P1082">_xlfn.IFNA(IF(INDEX(Tb_KostenOptiesDB[],MATCH($F1082,Tb_KostenOptiesDB[KostenOptie],0),IFERROR(MATCH(Methode_Keuze,Tb_KostenOptiesDB[#Headers],0),2))=1,_xlfn.SWITCH($N1082,"Uurtarief",IF(OR(AND(RIGHT($F1082,3)="IKS",VLOOKUP($M1082,DB_Loonkosten,2,0)="Ja"),AND(RIGHT($F1082,3)&lt;&gt;"IKS",VLOOKUP($M1082,DB_Loonkosten,2,0)="Nee")),IFERROR(VLOOKUP($M1082,DB_Loonkosten,25,0),""),0),"Vast tarief",IF(LEFT(F1082,8)="Bijdrage",VLOOKUP($F1082,Tb_KostenTypen[],MATCH(Lijsten!$P$1,Tb_KostenTypen[#Headers],0),0),VLOOKUP($G1082,Lijsten!L:P,MATCH(Lijsten!$P$1,Kop_Tarief_Vast,0),0))),""),"")</f>
        <v/>
      </c>
      <c r="Q1082" s="359"/>
      <c r="R1082" s="359"/>
      <c r="S1082" s="321"/>
      <c r="T1082" s="321"/>
      <c r="U1082" s="373" t="str">
        <f t="shared" si="64"/>
        <v/>
      </c>
      <c r="V1082" s="314" t="str">
        <f t="shared" si="65"/>
        <v/>
      </c>
      <c r="W1082" s="314" t="str" cm="1">
        <f t="array" aca="1" ref="W1082" ca="1">IFERROR(IF(AE1082&lt;&gt;"ja",_xlfn.IFNA(_xlfn.IFS(AND(O1082&lt;&gt;"",F1082&lt;&gt;"",RIGHT($N1082,6)="tarief",F1082="Vergoeding"),SUM(O1082)*FLOOR(SUM(Q1082),0.0001),AND(O1082&lt;&gt;"",F1082&lt;&gt;"",RIGHT($N1082,6)="tarief"),SUM(O1082)*FLOOR(SUM(Q1082),0.01),S1082&gt;0,IF(F1082&lt;&gt;"",FLOOR(SUM(S1082),0.01),"")),""),""),"")</f>
        <v/>
      </c>
      <c r="X1082" s="314" t="str" cm="1">
        <f t="array" aca="1" ref="X1082" ca="1">IFERROR(IF(AE1082&lt;&gt;"ja",_xlfn.IFNA(_xlfn.IFS(AND(P1082&lt;&gt;"",R1082&lt;&gt;"",RIGHT($N1082,6)="tarief",F1082="Vergoeding"),SUM(P1082)*FLOOR(SUM(R1082),0.0001),AND(P1082&lt;&gt;"",R1082&lt;&gt;"",RIGHT($N1082,6)="tarief"),P1082*FLOOR(R1082,0.01),T1082&gt;0,FLOOR(SUM(T1082),0.01)),""),""),"")</f>
        <v/>
      </c>
      <c r="Y1082" s="314" t="str">
        <f t="shared" ca="1" si="66"/>
        <v/>
      </c>
      <c r="Z1082" s="314" t="str" cm="1">
        <f t="array" aca="1" ref="Z1082" ca="1">IFERROR(_xlfn.IFS(OR(F1082="",LEFT(Methode_Keuze,4)="Geen",Methode_Keuze=""),"",AND(W1082&lt;&gt;"",F1082&lt;&gt;"Arbeidskosten"),W1082*VLOOKUP(F1082,Tb_ProjectKosten[],MATCH(Tb_ProjectKosten[[#Headers],[Forfait_Percentage]],Tb_ProjectKosten[#Headers],0),0),AND(F1082="Arbeidskosten",G1082&lt;&gt;""),IFERROR(W1082*VLOOKUP(G1082,Tb_KostenTypen[],3,0)*VLOOKUP(F1082,Tb_ProjectKosten[],MATCH(Tb_ProjectKosten[[#Headers],[Forfait_Percentage]],Tb_ProjectKosten[#Headers],0),0),""),W1082 &lt;=0,0),"")</f>
        <v/>
      </c>
      <c r="AA1082" s="314" t="str" cm="1">
        <f t="array" aca="1" ref="AA1082" ca="1">IFERROR(_xlfn.IFS(OR(F1082="",LEFT(Methode_Keuze,4)="Geen",Methode_Keuze=""),"",AND(X1082&lt;&gt;"",F1082&lt;&gt;"Arbeidskosten"),X1082*VLOOKUP(F1082,Tb_ProjectKosten[],MATCH(Tb_ProjectKosten[[#Headers],[Forfait_Percentage]],Tb_ProjectKosten[#Headers],0),0),AND(F1082="Arbeidskosten",G1082&lt;&gt;""),IFERROR(X1082*VLOOKUP(G1082,Tb_KostenTypen[],3,0)*VLOOKUP(F1082,Tb_ProjectKosten[],MATCH(Tb_ProjectKosten[[#Headers],[Forfait_Percentage]],Tb_ProjectKosten[#Headers],0),0),""),X1082 &lt;=0,0),"")</f>
        <v/>
      </c>
      <c r="AB1082" s="314" t="str">
        <f t="shared" ca="1" si="67"/>
        <v/>
      </c>
      <c r="AC1082" s="322"/>
      <c r="AD1082" s="315"/>
      <c r="AE1082" s="32" t="str" cm="1">
        <f t="array" ref="AE1082">IFERROR(IF(INDEX(SubsidieTabel!$AD$1:$AG$12,MATCH($F1082,SubsidieTabel!$AD$1:$AD$12,0),IFERROR(MATCH(Methode_Keuze,SubsidieTabel!$AD$1:$AG$1,0),2))&lt;&gt;1=TRUE,"ja",""),"")</f>
        <v/>
      </c>
    </row>
    <row r="1083" spans="1:31" x14ac:dyDescent="0.25">
      <c r="A1083" s="316"/>
      <c r="B1083" s="317" t="str">
        <f>IF(A1083&lt;&gt;"",_xlfn.MAXIFS($B$1:B1082,$A$1:A1082,A1083)+1,"")</f>
        <v/>
      </c>
      <c r="C1083" s="296"/>
      <c r="D1083" s="296"/>
      <c r="E1083" s="296"/>
      <c r="F1083" s="296"/>
      <c r="G1083" s="326"/>
      <c r="H1083" s="324"/>
      <c r="I1083" s="325"/>
      <c r="J1083" s="325"/>
      <c r="K1083" s="318"/>
      <c r="L1083" s="318"/>
      <c r="M1083" s="319" t="str">
        <f>IFERROR(VLOOKUP(H1083,Lijsten!$H$1:$I$100,2,0),"")</f>
        <v/>
      </c>
      <c r="N1083" s="319" t="str">
        <f ca="1">IFERROR(IF(VLOOKUP(F1083,Kostentypen!$A$3:$E$21,3,0)=0,"",IF(OR(F1083="Arbeidskosten",F1083="Vergoeding"),VLOOKUP(G1083,Tb_KostenTypen[],2,0),VLOOKUP(F1083,Kostentypen!$A$3:$E$20,3,0))),"")</f>
        <v/>
      </c>
      <c r="O1083" s="320" t="str" cm="1">
        <f t="array" ref="O1083">_xlfn.IFNA(IF(INDEX(Tb_KostenOptiesDB[],MATCH($F1083,Tb_KostenOptiesDB[KostenOptie],0),IFERROR(MATCH(Methode_Keuze,Tb_KostenOptiesDB[#Headers],0),2))=1,_xlfn.SWITCH($N1083,"Uurtarief",IF(OR(AND(RIGHT($F1083,3)="IKS",VLOOKUP($M1083,DB_Loonkosten,2,0)="Ja"),AND(RIGHT($F1083,3)&lt;&gt;"IKS",VLOOKUP($M1083,DB_Loonkosten,2,0)="Nee")),IFERROR(VLOOKUP($M1083,DB_Loonkosten,24,0),""),0),"Vast tarief",IF(LEFT(F1083,8)="Bijdrage",VLOOKUP($F1083,Tb_KostenTypen[],MATCH(Lijsten!$P$1,Tb_KostenTypen[#Headers],0),0),VLOOKUP($G1083,Lijsten!L:P,MATCH(Lijsten!$P$1,Kop_Tarief_Vast,0),0))),""),"")</f>
        <v/>
      </c>
      <c r="P1083" s="320" t="str" cm="1">
        <f t="array" ref="P1083">_xlfn.IFNA(IF(INDEX(Tb_KostenOptiesDB[],MATCH($F1083,Tb_KostenOptiesDB[KostenOptie],0),IFERROR(MATCH(Methode_Keuze,Tb_KostenOptiesDB[#Headers],0),2))=1,_xlfn.SWITCH($N1083,"Uurtarief",IF(OR(AND(RIGHT($F1083,3)="IKS",VLOOKUP($M1083,DB_Loonkosten,2,0)="Ja"),AND(RIGHT($F1083,3)&lt;&gt;"IKS",VLOOKUP($M1083,DB_Loonkosten,2,0)="Nee")),IFERROR(VLOOKUP($M1083,DB_Loonkosten,25,0),""),0),"Vast tarief",IF(LEFT(F1083,8)="Bijdrage",VLOOKUP($F1083,Tb_KostenTypen[],MATCH(Lijsten!$P$1,Tb_KostenTypen[#Headers],0),0),VLOOKUP($G1083,Lijsten!L:P,MATCH(Lijsten!$P$1,Kop_Tarief_Vast,0),0))),""),"")</f>
        <v/>
      </c>
      <c r="Q1083" s="359"/>
      <c r="R1083" s="359"/>
      <c r="S1083" s="321"/>
      <c r="T1083" s="321"/>
      <c r="U1083" s="373" t="str">
        <f t="shared" si="64"/>
        <v/>
      </c>
      <c r="V1083" s="314" t="str">
        <f t="shared" si="65"/>
        <v/>
      </c>
      <c r="W1083" s="314" t="str" cm="1">
        <f t="array" aca="1" ref="W1083" ca="1">IFERROR(IF(AE1083&lt;&gt;"ja",_xlfn.IFNA(_xlfn.IFS(AND(O1083&lt;&gt;"",F1083&lt;&gt;"",RIGHT($N1083,6)="tarief",F1083="Vergoeding"),SUM(O1083)*FLOOR(SUM(Q1083),0.0001),AND(O1083&lt;&gt;"",F1083&lt;&gt;"",RIGHT($N1083,6)="tarief"),SUM(O1083)*FLOOR(SUM(Q1083),0.01),S1083&gt;0,IF(F1083&lt;&gt;"",FLOOR(SUM(S1083),0.01),"")),""),""),"")</f>
        <v/>
      </c>
      <c r="X1083" s="314" t="str" cm="1">
        <f t="array" aca="1" ref="X1083" ca="1">IFERROR(IF(AE1083&lt;&gt;"ja",_xlfn.IFNA(_xlfn.IFS(AND(P1083&lt;&gt;"",R1083&lt;&gt;"",RIGHT($N1083,6)="tarief",F1083="Vergoeding"),SUM(P1083)*FLOOR(SUM(R1083),0.0001),AND(P1083&lt;&gt;"",R1083&lt;&gt;"",RIGHT($N1083,6)="tarief"),P1083*FLOOR(R1083,0.01),T1083&gt;0,FLOOR(SUM(T1083),0.01)),""),""),"")</f>
        <v/>
      </c>
      <c r="Y1083" s="314" t="str">
        <f t="shared" ca="1" si="66"/>
        <v/>
      </c>
      <c r="Z1083" s="314" t="str" cm="1">
        <f t="array" aca="1" ref="Z1083" ca="1">IFERROR(_xlfn.IFS(OR(F1083="",LEFT(Methode_Keuze,4)="Geen",Methode_Keuze=""),"",AND(W1083&lt;&gt;"",F1083&lt;&gt;"Arbeidskosten"),W1083*VLOOKUP(F1083,Tb_ProjectKosten[],MATCH(Tb_ProjectKosten[[#Headers],[Forfait_Percentage]],Tb_ProjectKosten[#Headers],0),0),AND(F1083="Arbeidskosten",G1083&lt;&gt;""),IFERROR(W1083*VLOOKUP(G1083,Tb_KostenTypen[],3,0)*VLOOKUP(F1083,Tb_ProjectKosten[],MATCH(Tb_ProjectKosten[[#Headers],[Forfait_Percentage]],Tb_ProjectKosten[#Headers],0),0),""),W1083 &lt;=0,0),"")</f>
        <v/>
      </c>
      <c r="AA1083" s="314" t="str" cm="1">
        <f t="array" aca="1" ref="AA1083" ca="1">IFERROR(_xlfn.IFS(OR(F1083="",LEFT(Methode_Keuze,4)="Geen",Methode_Keuze=""),"",AND(X1083&lt;&gt;"",F1083&lt;&gt;"Arbeidskosten"),X1083*VLOOKUP(F1083,Tb_ProjectKosten[],MATCH(Tb_ProjectKosten[[#Headers],[Forfait_Percentage]],Tb_ProjectKosten[#Headers],0),0),AND(F1083="Arbeidskosten",G1083&lt;&gt;""),IFERROR(X1083*VLOOKUP(G1083,Tb_KostenTypen[],3,0)*VLOOKUP(F1083,Tb_ProjectKosten[],MATCH(Tb_ProjectKosten[[#Headers],[Forfait_Percentage]],Tb_ProjectKosten[#Headers],0),0),""),X1083 &lt;=0,0),"")</f>
        <v/>
      </c>
      <c r="AB1083" s="314" t="str">
        <f t="shared" ca="1" si="67"/>
        <v/>
      </c>
      <c r="AC1083" s="322"/>
      <c r="AD1083" s="315"/>
      <c r="AE1083" s="32" t="str" cm="1">
        <f t="array" ref="AE1083">IFERROR(IF(INDEX(SubsidieTabel!$AD$1:$AG$12,MATCH($F1083,SubsidieTabel!$AD$1:$AD$12,0),IFERROR(MATCH(Methode_Keuze,SubsidieTabel!$AD$1:$AG$1,0),2))&lt;&gt;1=TRUE,"ja",""),"")</f>
        <v/>
      </c>
    </row>
    <row r="1084" spans="1:31" x14ac:dyDescent="0.25">
      <c r="A1084" s="316"/>
      <c r="B1084" s="317" t="str">
        <f>IF(A1084&lt;&gt;"",_xlfn.MAXIFS($B$1:B1083,$A$1:A1083,A1084)+1,"")</f>
        <v/>
      </c>
      <c r="C1084" s="296"/>
      <c r="D1084" s="296"/>
      <c r="E1084" s="296"/>
      <c r="F1084" s="296"/>
      <c r="G1084" s="326"/>
      <c r="H1084" s="324"/>
      <c r="I1084" s="325"/>
      <c r="J1084" s="325"/>
      <c r="K1084" s="318"/>
      <c r="L1084" s="318"/>
      <c r="M1084" s="319" t="str">
        <f>IFERROR(VLOOKUP(H1084,Lijsten!$H$1:$I$100,2,0),"")</f>
        <v/>
      </c>
      <c r="N1084" s="319" t="str">
        <f ca="1">IFERROR(IF(VLOOKUP(F1084,Kostentypen!$A$3:$E$21,3,0)=0,"",IF(OR(F1084="Arbeidskosten",F1084="Vergoeding"),VLOOKUP(G1084,Tb_KostenTypen[],2,0),VLOOKUP(F1084,Kostentypen!$A$3:$E$20,3,0))),"")</f>
        <v/>
      </c>
      <c r="O1084" s="320" t="str" cm="1">
        <f t="array" ref="O1084">_xlfn.IFNA(IF(INDEX(Tb_KostenOptiesDB[],MATCH($F1084,Tb_KostenOptiesDB[KostenOptie],0),IFERROR(MATCH(Methode_Keuze,Tb_KostenOptiesDB[#Headers],0),2))=1,_xlfn.SWITCH($N1084,"Uurtarief",IF(OR(AND(RIGHT($F1084,3)="IKS",VLOOKUP($M1084,DB_Loonkosten,2,0)="Ja"),AND(RIGHT($F1084,3)&lt;&gt;"IKS",VLOOKUP($M1084,DB_Loonkosten,2,0)="Nee")),IFERROR(VLOOKUP($M1084,DB_Loonkosten,24,0),""),0),"Vast tarief",IF(LEFT(F1084,8)="Bijdrage",VLOOKUP($F1084,Tb_KostenTypen[],MATCH(Lijsten!$P$1,Tb_KostenTypen[#Headers],0),0),VLOOKUP($G1084,Lijsten!L:P,MATCH(Lijsten!$P$1,Kop_Tarief_Vast,0),0))),""),"")</f>
        <v/>
      </c>
      <c r="P1084" s="320" t="str" cm="1">
        <f t="array" ref="P1084">_xlfn.IFNA(IF(INDEX(Tb_KostenOptiesDB[],MATCH($F1084,Tb_KostenOptiesDB[KostenOptie],0),IFERROR(MATCH(Methode_Keuze,Tb_KostenOptiesDB[#Headers],0),2))=1,_xlfn.SWITCH($N1084,"Uurtarief",IF(OR(AND(RIGHT($F1084,3)="IKS",VLOOKUP($M1084,DB_Loonkosten,2,0)="Ja"),AND(RIGHT($F1084,3)&lt;&gt;"IKS",VLOOKUP($M1084,DB_Loonkosten,2,0)="Nee")),IFERROR(VLOOKUP($M1084,DB_Loonkosten,25,0),""),0),"Vast tarief",IF(LEFT(F1084,8)="Bijdrage",VLOOKUP($F1084,Tb_KostenTypen[],MATCH(Lijsten!$P$1,Tb_KostenTypen[#Headers],0),0),VLOOKUP($G1084,Lijsten!L:P,MATCH(Lijsten!$P$1,Kop_Tarief_Vast,0),0))),""),"")</f>
        <v/>
      </c>
      <c r="Q1084" s="359"/>
      <c r="R1084" s="359"/>
      <c r="S1084" s="321"/>
      <c r="T1084" s="321"/>
      <c r="U1084" s="373" t="str">
        <f t="shared" si="64"/>
        <v/>
      </c>
      <c r="V1084" s="314" t="str">
        <f t="shared" si="65"/>
        <v/>
      </c>
      <c r="W1084" s="314" t="str" cm="1">
        <f t="array" aca="1" ref="W1084" ca="1">IFERROR(IF(AE1084&lt;&gt;"ja",_xlfn.IFNA(_xlfn.IFS(AND(O1084&lt;&gt;"",F1084&lt;&gt;"",RIGHT($N1084,6)="tarief",F1084="Vergoeding"),SUM(O1084)*FLOOR(SUM(Q1084),0.0001),AND(O1084&lt;&gt;"",F1084&lt;&gt;"",RIGHT($N1084,6)="tarief"),SUM(O1084)*FLOOR(SUM(Q1084),0.01),S1084&gt;0,IF(F1084&lt;&gt;"",FLOOR(SUM(S1084),0.01),"")),""),""),"")</f>
        <v/>
      </c>
      <c r="X1084" s="314" t="str" cm="1">
        <f t="array" aca="1" ref="X1084" ca="1">IFERROR(IF(AE1084&lt;&gt;"ja",_xlfn.IFNA(_xlfn.IFS(AND(P1084&lt;&gt;"",R1084&lt;&gt;"",RIGHT($N1084,6)="tarief",F1084="Vergoeding"),SUM(P1084)*FLOOR(SUM(R1084),0.0001),AND(P1084&lt;&gt;"",R1084&lt;&gt;"",RIGHT($N1084,6)="tarief"),P1084*FLOOR(R1084,0.01),T1084&gt;0,FLOOR(SUM(T1084),0.01)),""),""),"")</f>
        <v/>
      </c>
      <c r="Y1084" s="314" t="str">
        <f t="shared" ca="1" si="66"/>
        <v/>
      </c>
      <c r="Z1084" s="314" t="str" cm="1">
        <f t="array" aca="1" ref="Z1084" ca="1">IFERROR(_xlfn.IFS(OR(F1084="",LEFT(Methode_Keuze,4)="Geen",Methode_Keuze=""),"",AND(W1084&lt;&gt;"",F1084&lt;&gt;"Arbeidskosten"),W1084*VLOOKUP(F1084,Tb_ProjectKosten[],MATCH(Tb_ProjectKosten[[#Headers],[Forfait_Percentage]],Tb_ProjectKosten[#Headers],0),0),AND(F1084="Arbeidskosten",G1084&lt;&gt;""),IFERROR(W1084*VLOOKUP(G1084,Tb_KostenTypen[],3,0)*VLOOKUP(F1084,Tb_ProjectKosten[],MATCH(Tb_ProjectKosten[[#Headers],[Forfait_Percentage]],Tb_ProjectKosten[#Headers],0),0),""),W1084 &lt;=0,0),"")</f>
        <v/>
      </c>
      <c r="AA1084" s="314" t="str" cm="1">
        <f t="array" aca="1" ref="AA1084" ca="1">IFERROR(_xlfn.IFS(OR(F1084="",LEFT(Methode_Keuze,4)="Geen",Methode_Keuze=""),"",AND(X1084&lt;&gt;"",F1084&lt;&gt;"Arbeidskosten"),X1084*VLOOKUP(F1084,Tb_ProjectKosten[],MATCH(Tb_ProjectKosten[[#Headers],[Forfait_Percentage]],Tb_ProjectKosten[#Headers],0),0),AND(F1084="Arbeidskosten",G1084&lt;&gt;""),IFERROR(X1084*VLOOKUP(G1084,Tb_KostenTypen[],3,0)*VLOOKUP(F1084,Tb_ProjectKosten[],MATCH(Tb_ProjectKosten[[#Headers],[Forfait_Percentage]],Tb_ProjectKosten[#Headers],0),0),""),X1084 &lt;=0,0),"")</f>
        <v/>
      </c>
      <c r="AB1084" s="314" t="str">
        <f t="shared" ca="1" si="67"/>
        <v/>
      </c>
      <c r="AC1084" s="322"/>
      <c r="AD1084" s="315"/>
      <c r="AE1084" s="32" t="str" cm="1">
        <f t="array" ref="AE1084">IFERROR(IF(INDEX(SubsidieTabel!$AD$1:$AG$12,MATCH($F1084,SubsidieTabel!$AD$1:$AD$12,0),IFERROR(MATCH(Methode_Keuze,SubsidieTabel!$AD$1:$AG$1,0),2))&lt;&gt;1=TRUE,"ja",""),"")</f>
        <v/>
      </c>
    </row>
    <row r="1085" spans="1:31" x14ac:dyDescent="0.25">
      <c r="A1085" s="316"/>
      <c r="B1085" s="317" t="str">
        <f>IF(A1085&lt;&gt;"",_xlfn.MAXIFS($B$1:B1084,$A$1:A1084,A1085)+1,"")</f>
        <v/>
      </c>
      <c r="C1085" s="296"/>
      <c r="D1085" s="296"/>
      <c r="E1085" s="296"/>
      <c r="F1085" s="296"/>
      <c r="G1085" s="326"/>
      <c r="H1085" s="324"/>
      <c r="I1085" s="325"/>
      <c r="J1085" s="325"/>
      <c r="K1085" s="318"/>
      <c r="L1085" s="318"/>
      <c r="M1085" s="319" t="str">
        <f>IFERROR(VLOOKUP(H1085,Lijsten!$H$1:$I$100,2,0),"")</f>
        <v/>
      </c>
      <c r="N1085" s="319" t="str">
        <f ca="1">IFERROR(IF(VLOOKUP(F1085,Kostentypen!$A$3:$E$21,3,0)=0,"",IF(OR(F1085="Arbeidskosten",F1085="Vergoeding"),VLOOKUP(G1085,Tb_KostenTypen[],2,0),VLOOKUP(F1085,Kostentypen!$A$3:$E$20,3,0))),"")</f>
        <v/>
      </c>
      <c r="O1085" s="320" t="str" cm="1">
        <f t="array" ref="O1085">_xlfn.IFNA(IF(INDEX(Tb_KostenOptiesDB[],MATCH($F1085,Tb_KostenOptiesDB[KostenOptie],0),IFERROR(MATCH(Methode_Keuze,Tb_KostenOptiesDB[#Headers],0),2))=1,_xlfn.SWITCH($N1085,"Uurtarief",IF(OR(AND(RIGHT($F1085,3)="IKS",VLOOKUP($M1085,DB_Loonkosten,2,0)="Ja"),AND(RIGHT($F1085,3)&lt;&gt;"IKS",VLOOKUP($M1085,DB_Loonkosten,2,0)="Nee")),IFERROR(VLOOKUP($M1085,DB_Loonkosten,24,0),""),0),"Vast tarief",IF(LEFT(F1085,8)="Bijdrage",VLOOKUP($F1085,Tb_KostenTypen[],MATCH(Lijsten!$P$1,Tb_KostenTypen[#Headers],0),0),VLOOKUP($G1085,Lijsten!L:P,MATCH(Lijsten!$P$1,Kop_Tarief_Vast,0),0))),""),"")</f>
        <v/>
      </c>
      <c r="P1085" s="320" t="str" cm="1">
        <f t="array" ref="P1085">_xlfn.IFNA(IF(INDEX(Tb_KostenOptiesDB[],MATCH($F1085,Tb_KostenOptiesDB[KostenOptie],0),IFERROR(MATCH(Methode_Keuze,Tb_KostenOptiesDB[#Headers],0),2))=1,_xlfn.SWITCH($N1085,"Uurtarief",IF(OR(AND(RIGHT($F1085,3)="IKS",VLOOKUP($M1085,DB_Loonkosten,2,0)="Ja"),AND(RIGHT($F1085,3)&lt;&gt;"IKS",VLOOKUP($M1085,DB_Loonkosten,2,0)="Nee")),IFERROR(VLOOKUP($M1085,DB_Loonkosten,25,0),""),0),"Vast tarief",IF(LEFT(F1085,8)="Bijdrage",VLOOKUP($F1085,Tb_KostenTypen[],MATCH(Lijsten!$P$1,Tb_KostenTypen[#Headers],0),0),VLOOKUP($G1085,Lijsten!L:P,MATCH(Lijsten!$P$1,Kop_Tarief_Vast,0),0))),""),"")</f>
        <v/>
      </c>
      <c r="Q1085" s="359"/>
      <c r="R1085" s="359"/>
      <c r="S1085" s="321"/>
      <c r="T1085" s="321"/>
      <c r="U1085" s="373" t="str">
        <f t="shared" si="64"/>
        <v/>
      </c>
      <c r="V1085" s="314" t="str">
        <f t="shared" si="65"/>
        <v/>
      </c>
      <c r="W1085" s="314" t="str" cm="1">
        <f t="array" aca="1" ref="W1085" ca="1">IFERROR(IF(AE1085&lt;&gt;"ja",_xlfn.IFNA(_xlfn.IFS(AND(O1085&lt;&gt;"",F1085&lt;&gt;"",RIGHT($N1085,6)="tarief",F1085="Vergoeding"),SUM(O1085)*FLOOR(SUM(Q1085),0.0001),AND(O1085&lt;&gt;"",F1085&lt;&gt;"",RIGHT($N1085,6)="tarief"),SUM(O1085)*FLOOR(SUM(Q1085),0.01),S1085&gt;0,IF(F1085&lt;&gt;"",FLOOR(SUM(S1085),0.01),"")),""),""),"")</f>
        <v/>
      </c>
      <c r="X1085" s="314" t="str" cm="1">
        <f t="array" aca="1" ref="X1085" ca="1">IFERROR(IF(AE1085&lt;&gt;"ja",_xlfn.IFNA(_xlfn.IFS(AND(P1085&lt;&gt;"",R1085&lt;&gt;"",RIGHT($N1085,6)="tarief",F1085="Vergoeding"),SUM(P1085)*FLOOR(SUM(R1085),0.0001),AND(P1085&lt;&gt;"",R1085&lt;&gt;"",RIGHT($N1085,6)="tarief"),P1085*FLOOR(R1085,0.01),T1085&gt;0,FLOOR(SUM(T1085),0.01)),""),""),"")</f>
        <v/>
      </c>
      <c r="Y1085" s="314" t="str">
        <f t="shared" ca="1" si="66"/>
        <v/>
      </c>
      <c r="Z1085" s="314" t="str" cm="1">
        <f t="array" aca="1" ref="Z1085" ca="1">IFERROR(_xlfn.IFS(OR(F1085="",LEFT(Methode_Keuze,4)="Geen",Methode_Keuze=""),"",AND(W1085&lt;&gt;"",F1085&lt;&gt;"Arbeidskosten"),W1085*VLOOKUP(F1085,Tb_ProjectKosten[],MATCH(Tb_ProjectKosten[[#Headers],[Forfait_Percentage]],Tb_ProjectKosten[#Headers],0),0),AND(F1085="Arbeidskosten",G1085&lt;&gt;""),IFERROR(W1085*VLOOKUP(G1085,Tb_KostenTypen[],3,0)*VLOOKUP(F1085,Tb_ProjectKosten[],MATCH(Tb_ProjectKosten[[#Headers],[Forfait_Percentage]],Tb_ProjectKosten[#Headers],0),0),""),W1085 &lt;=0,0),"")</f>
        <v/>
      </c>
      <c r="AA1085" s="314" t="str" cm="1">
        <f t="array" aca="1" ref="AA1085" ca="1">IFERROR(_xlfn.IFS(OR(F1085="",LEFT(Methode_Keuze,4)="Geen",Methode_Keuze=""),"",AND(X1085&lt;&gt;"",F1085&lt;&gt;"Arbeidskosten"),X1085*VLOOKUP(F1085,Tb_ProjectKosten[],MATCH(Tb_ProjectKosten[[#Headers],[Forfait_Percentage]],Tb_ProjectKosten[#Headers],0),0),AND(F1085="Arbeidskosten",G1085&lt;&gt;""),IFERROR(X1085*VLOOKUP(G1085,Tb_KostenTypen[],3,0)*VLOOKUP(F1085,Tb_ProjectKosten[],MATCH(Tb_ProjectKosten[[#Headers],[Forfait_Percentage]],Tb_ProjectKosten[#Headers],0),0),""),X1085 &lt;=0,0),"")</f>
        <v/>
      </c>
      <c r="AB1085" s="314" t="str">
        <f t="shared" ca="1" si="67"/>
        <v/>
      </c>
      <c r="AC1085" s="322"/>
      <c r="AD1085" s="315"/>
      <c r="AE1085" s="32" t="str" cm="1">
        <f t="array" ref="AE1085">IFERROR(IF(INDEX(SubsidieTabel!$AD$1:$AG$12,MATCH($F1085,SubsidieTabel!$AD$1:$AD$12,0),IFERROR(MATCH(Methode_Keuze,SubsidieTabel!$AD$1:$AG$1,0),2))&lt;&gt;1=TRUE,"ja",""),"")</f>
        <v/>
      </c>
    </row>
    <row r="1086" spans="1:31" x14ac:dyDescent="0.25">
      <c r="A1086" s="316"/>
      <c r="B1086" s="317" t="str">
        <f>IF(A1086&lt;&gt;"",_xlfn.MAXIFS($B$1:B1085,$A$1:A1085,A1086)+1,"")</f>
        <v/>
      </c>
      <c r="C1086" s="296"/>
      <c r="D1086" s="296"/>
      <c r="E1086" s="296"/>
      <c r="F1086" s="296"/>
      <c r="G1086" s="326"/>
      <c r="H1086" s="324"/>
      <c r="I1086" s="325"/>
      <c r="J1086" s="325"/>
      <c r="K1086" s="318"/>
      <c r="L1086" s="318"/>
      <c r="M1086" s="319" t="str">
        <f>IFERROR(VLOOKUP(H1086,Lijsten!$H$1:$I$100,2,0),"")</f>
        <v/>
      </c>
      <c r="N1086" s="319" t="str">
        <f ca="1">IFERROR(IF(VLOOKUP(F1086,Kostentypen!$A$3:$E$21,3,0)=0,"",IF(OR(F1086="Arbeidskosten",F1086="Vergoeding"),VLOOKUP(G1086,Tb_KostenTypen[],2,0),VLOOKUP(F1086,Kostentypen!$A$3:$E$20,3,0))),"")</f>
        <v/>
      </c>
      <c r="O1086" s="320" t="str" cm="1">
        <f t="array" ref="O1086">_xlfn.IFNA(IF(INDEX(Tb_KostenOptiesDB[],MATCH($F1086,Tb_KostenOptiesDB[KostenOptie],0),IFERROR(MATCH(Methode_Keuze,Tb_KostenOptiesDB[#Headers],0),2))=1,_xlfn.SWITCH($N1086,"Uurtarief",IF(OR(AND(RIGHT($F1086,3)="IKS",VLOOKUP($M1086,DB_Loonkosten,2,0)="Ja"),AND(RIGHT($F1086,3)&lt;&gt;"IKS",VLOOKUP($M1086,DB_Loonkosten,2,0)="Nee")),IFERROR(VLOOKUP($M1086,DB_Loonkosten,24,0),""),0),"Vast tarief",IF(LEFT(F1086,8)="Bijdrage",VLOOKUP($F1086,Tb_KostenTypen[],MATCH(Lijsten!$P$1,Tb_KostenTypen[#Headers],0),0),VLOOKUP($G1086,Lijsten!L:P,MATCH(Lijsten!$P$1,Kop_Tarief_Vast,0),0))),""),"")</f>
        <v/>
      </c>
      <c r="P1086" s="320" t="str" cm="1">
        <f t="array" ref="P1086">_xlfn.IFNA(IF(INDEX(Tb_KostenOptiesDB[],MATCH($F1086,Tb_KostenOptiesDB[KostenOptie],0),IFERROR(MATCH(Methode_Keuze,Tb_KostenOptiesDB[#Headers],0),2))=1,_xlfn.SWITCH($N1086,"Uurtarief",IF(OR(AND(RIGHT($F1086,3)="IKS",VLOOKUP($M1086,DB_Loonkosten,2,0)="Ja"),AND(RIGHT($F1086,3)&lt;&gt;"IKS",VLOOKUP($M1086,DB_Loonkosten,2,0)="Nee")),IFERROR(VLOOKUP($M1086,DB_Loonkosten,25,0),""),0),"Vast tarief",IF(LEFT(F1086,8)="Bijdrage",VLOOKUP($F1086,Tb_KostenTypen[],MATCH(Lijsten!$P$1,Tb_KostenTypen[#Headers],0),0),VLOOKUP($G1086,Lijsten!L:P,MATCH(Lijsten!$P$1,Kop_Tarief_Vast,0),0))),""),"")</f>
        <v/>
      </c>
      <c r="Q1086" s="359"/>
      <c r="R1086" s="359"/>
      <c r="S1086" s="321"/>
      <c r="T1086" s="321"/>
      <c r="U1086" s="373" t="str">
        <f t="shared" si="64"/>
        <v/>
      </c>
      <c r="V1086" s="314" t="str">
        <f t="shared" si="65"/>
        <v/>
      </c>
      <c r="W1086" s="314" t="str" cm="1">
        <f t="array" aca="1" ref="W1086" ca="1">IFERROR(IF(AE1086&lt;&gt;"ja",_xlfn.IFNA(_xlfn.IFS(AND(O1086&lt;&gt;"",F1086&lt;&gt;"",RIGHT($N1086,6)="tarief",F1086="Vergoeding"),SUM(O1086)*FLOOR(SUM(Q1086),0.0001),AND(O1086&lt;&gt;"",F1086&lt;&gt;"",RIGHT($N1086,6)="tarief"),SUM(O1086)*FLOOR(SUM(Q1086),0.01),S1086&gt;0,IF(F1086&lt;&gt;"",FLOOR(SUM(S1086),0.01),"")),""),""),"")</f>
        <v/>
      </c>
      <c r="X1086" s="314" t="str" cm="1">
        <f t="array" aca="1" ref="X1086" ca="1">IFERROR(IF(AE1086&lt;&gt;"ja",_xlfn.IFNA(_xlfn.IFS(AND(P1086&lt;&gt;"",R1086&lt;&gt;"",RIGHT($N1086,6)="tarief",F1086="Vergoeding"),SUM(P1086)*FLOOR(SUM(R1086),0.0001),AND(P1086&lt;&gt;"",R1086&lt;&gt;"",RIGHT($N1086,6)="tarief"),P1086*FLOOR(R1086,0.01),T1086&gt;0,FLOOR(SUM(T1086),0.01)),""),""),"")</f>
        <v/>
      </c>
      <c r="Y1086" s="314" t="str">
        <f t="shared" ca="1" si="66"/>
        <v/>
      </c>
      <c r="Z1086" s="314" t="str" cm="1">
        <f t="array" aca="1" ref="Z1086" ca="1">IFERROR(_xlfn.IFS(OR(F1086="",LEFT(Methode_Keuze,4)="Geen",Methode_Keuze=""),"",AND(W1086&lt;&gt;"",F1086&lt;&gt;"Arbeidskosten"),W1086*VLOOKUP(F1086,Tb_ProjectKosten[],MATCH(Tb_ProjectKosten[[#Headers],[Forfait_Percentage]],Tb_ProjectKosten[#Headers],0),0),AND(F1086="Arbeidskosten",G1086&lt;&gt;""),IFERROR(W1086*VLOOKUP(G1086,Tb_KostenTypen[],3,0)*VLOOKUP(F1086,Tb_ProjectKosten[],MATCH(Tb_ProjectKosten[[#Headers],[Forfait_Percentage]],Tb_ProjectKosten[#Headers],0),0),""),W1086 &lt;=0,0),"")</f>
        <v/>
      </c>
      <c r="AA1086" s="314" t="str" cm="1">
        <f t="array" aca="1" ref="AA1086" ca="1">IFERROR(_xlfn.IFS(OR(F1086="",LEFT(Methode_Keuze,4)="Geen",Methode_Keuze=""),"",AND(X1086&lt;&gt;"",F1086&lt;&gt;"Arbeidskosten"),X1086*VLOOKUP(F1086,Tb_ProjectKosten[],MATCH(Tb_ProjectKosten[[#Headers],[Forfait_Percentage]],Tb_ProjectKosten[#Headers],0),0),AND(F1086="Arbeidskosten",G1086&lt;&gt;""),IFERROR(X1086*VLOOKUP(G1086,Tb_KostenTypen[],3,0)*VLOOKUP(F1086,Tb_ProjectKosten[],MATCH(Tb_ProjectKosten[[#Headers],[Forfait_Percentage]],Tb_ProjectKosten[#Headers],0),0),""),X1086 &lt;=0,0),"")</f>
        <v/>
      </c>
      <c r="AB1086" s="314" t="str">
        <f t="shared" ca="1" si="67"/>
        <v/>
      </c>
      <c r="AC1086" s="322"/>
      <c r="AD1086" s="315"/>
      <c r="AE1086" s="32" t="str" cm="1">
        <f t="array" ref="AE1086">IFERROR(IF(INDEX(SubsidieTabel!$AD$1:$AG$12,MATCH($F1086,SubsidieTabel!$AD$1:$AD$12,0),IFERROR(MATCH(Methode_Keuze,SubsidieTabel!$AD$1:$AG$1,0),2))&lt;&gt;1=TRUE,"ja",""),"")</f>
        <v/>
      </c>
    </row>
    <row r="1087" spans="1:31" x14ac:dyDescent="0.25">
      <c r="A1087" s="316"/>
      <c r="B1087" s="317" t="str">
        <f>IF(A1087&lt;&gt;"",_xlfn.MAXIFS($B$1:B1086,$A$1:A1086,A1087)+1,"")</f>
        <v/>
      </c>
      <c r="C1087" s="296"/>
      <c r="D1087" s="296"/>
      <c r="E1087" s="296"/>
      <c r="F1087" s="296"/>
      <c r="G1087" s="326"/>
      <c r="H1087" s="324"/>
      <c r="I1087" s="325"/>
      <c r="J1087" s="325"/>
      <c r="K1087" s="318"/>
      <c r="L1087" s="318"/>
      <c r="M1087" s="319" t="str">
        <f>IFERROR(VLOOKUP(H1087,Lijsten!$H$1:$I$100,2,0),"")</f>
        <v/>
      </c>
      <c r="N1087" s="319" t="str">
        <f ca="1">IFERROR(IF(VLOOKUP(F1087,Kostentypen!$A$3:$E$21,3,0)=0,"",IF(OR(F1087="Arbeidskosten",F1087="Vergoeding"),VLOOKUP(G1087,Tb_KostenTypen[],2,0),VLOOKUP(F1087,Kostentypen!$A$3:$E$20,3,0))),"")</f>
        <v/>
      </c>
      <c r="O1087" s="320" t="str" cm="1">
        <f t="array" ref="O1087">_xlfn.IFNA(IF(INDEX(Tb_KostenOptiesDB[],MATCH($F1087,Tb_KostenOptiesDB[KostenOptie],0),IFERROR(MATCH(Methode_Keuze,Tb_KostenOptiesDB[#Headers],0),2))=1,_xlfn.SWITCH($N1087,"Uurtarief",IF(OR(AND(RIGHT($F1087,3)="IKS",VLOOKUP($M1087,DB_Loonkosten,2,0)="Ja"),AND(RIGHT($F1087,3)&lt;&gt;"IKS",VLOOKUP($M1087,DB_Loonkosten,2,0)="Nee")),IFERROR(VLOOKUP($M1087,DB_Loonkosten,24,0),""),0),"Vast tarief",IF(LEFT(F1087,8)="Bijdrage",VLOOKUP($F1087,Tb_KostenTypen[],MATCH(Lijsten!$P$1,Tb_KostenTypen[#Headers],0),0),VLOOKUP($G1087,Lijsten!L:P,MATCH(Lijsten!$P$1,Kop_Tarief_Vast,0),0))),""),"")</f>
        <v/>
      </c>
      <c r="P1087" s="320" t="str" cm="1">
        <f t="array" ref="P1087">_xlfn.IFNA(IF(INDEX(Tb_KostenOptiesDB[],MATCH($F1087,Tb_KostenOptiesDB[KostenOptie],0),IFERROR(MATCH(Methode_Keuze,Tb_KostenOptiesDB[#Headers],0),2))=1,_xlfn.SWITCH($N1087,"Uurtarief",IF(OR(AND(RIGHT($F1087,3)="IKS",VLOOKUP($M1087,DB_Loonkosten,2,0)="Ja"),AND(RIGHT($F1087,3)&lt;&gt;"IKS",VLOOKUP($M1087,DB_Loonkosten,2,0)="Nee")),IFERROR(VLOOKUP($M1087,DB_Loonkosten,25,0),""),0),"Vast tarief",IF(LEFT(F1087,8)="Bijdrage",VLOOKUP($F1087,Tb_KostenTypen[],MATCH(Lijsten!$P$1,Tb_KostenTypen[#Headers],0),0),VLOOKUP($G1087,Lijsten!L:P,MATCH(Lijsten!$P$1,Kop_Tarief_Vast,0),0))),""),"")</f>
        <v/>
      </c>
      <c r="Q1087" s="359"/>
      <c r="R1087" s="359"/>
      <c r="S1087" s="321"/>
      <c r="T1087" s="321"/>
      <c r="U1087" s="373" t="str">
        <f t="shared" si="64"/>
        <v/>
      </c>
      <c r="V1087" s="314" t="str">
        <f t="shared" si="65"/>
        <v/>
      </c>
      <c r="W1087" s="314" t="str" cm="1">
        <f t="array" aca="1" ref="W1087" ca="1">IFERROR(IF(AE1087&lt;&gt;"ja",_xlfn.IFNA(_xlfn.IFS(AND(O1087&lt;&gt;"",F1087&lt;&gt;"",RIGHT($N1087,6)="tarief",F1087="Vergoeding"),SUM(O1087)*FLOOR(SUM(Q1087),0.0001),AND(O1087&lt;&gt;"",F1087&lt;&gt;"",RIGHT($N1087,6)="tarief"),SUM(O1087)*FLOOR(SUM(Q1087),0.01),S1087&gt;0,IF(F1087&lt;&gt;"",FLOOR(SUM(S1087),0.01),"")),""),""),"")</f>
        <v/>
      </c>
      <c r="X1087" s="314" t="str" cm="1">
        <f t="array" aca="1" ref="X1087" ca="1">IFERROR(IF(AE1087&lt;&gt;"ja",_xlfn.IFNA(_xlfn.IFS(AND(P1087&lt;&gt;"",R1087&lt;&gt;"",RIGHT($N1087,6)="tarief",F1087="Vergoeding"),SUM(P1087)*FLOOR(SUM(R1087),0.0001),AND(P1087&lt;&gt;"",R1087&lt;&gt;"",RIGHT($N1087,6)="tarief"),P1087*FLOOR(R1087,0.01),T1087&gt;0,FLOOR(SUM(T1087),0.01)),""),""),"")</f>
        <v/>
      </c>
      <c r="Y1087" s="314" t="str">
        <f t="shared" ca="1" si="66"/>
        <v/>
      </c>
      <c r="Z1087" s="314" t="str" cm="1">
        <f t="array" aca="1" ref="Z1087" ca="1">IFERROR(_xlfn.IFS(OR(F1087="",LEFT(Methode_Keuze,4)="Geen",Methode_Keuze=""),"",AND(W1087&lt;&gt;"",F1087&lt;&gt;"Arbeidskosten"),W1087*VLOOKUP(F1087,Tb_ProjectKosten[],MATCH(Tb_ProjectKosten[[#Headers],[Forfait_Percentage]],Tb_ProjectKosten[#Headers],0),0),AND(F1087="Arbeidskosten",G1087&lt;&gt;""),IFERROR(W1087*VLOOKUP(G1087,Tb_KostenTypen[],3,0)*VLOOKUP(F1087,Tb_ProjectKosten[],MATCH(Tb_ProjectKosten[[#Headers],[Forfait_Percentage]],Tb_ProjectKosten[#Headers],0),0),""),W1087 &lt;=0,0),"")</f>
        <v/>
      </c>
      <c r="AA1087" s="314" t="str" cm="1">
        <f t="array" aca="1" ref="AA1087" ca="1">IFERROR(_xlfn.IFS(OR(F1087="",LEFT(Methode_Keuze,4)="Geen",Methode_Keuze=""),"",AND(X1087&lt;&gt;"",F1087&lt;&gt;"Arbeidskosten"),X1087*VLOOKUP(F1087,Tb_ProjectKosten[],MATCH(Tb_ProjectKosten[[#Headers],[Forfait_Percentage]],Tb_ProjectKosten[#Headers],0),0),AND(F1087="Arbeidskosten",G1087&lt;&gt;""),IFERROR(X1087*VLOOKUP(G1087,Tb_KostenTypen[],3,0)*VLOOKUP(F1087,Tb_ProjectKosten[],MATCH(Tb_ProjectKosten[[#Headers],[Forfait_Percentage]],Tb_ProjectKosten[#Headers],0),0),""),X1087 &lt;=0,0),"")</f>
        <v/>
      </c>
      <c r="AB1087" s="314" t="str">
        <f t="shared" ca="1" si="67"/>
        <v/>
      </c>
      <c r="AC1087" s="322"/>
      <c r="AD1087" s="315"/>
      <c r="AE1087" s="32" t="str" cm="1">
        <f t="array" ref="AE1087">IFERROR(IF(INDEX(SubsidieTabel!$AD$1:$AG$12,MATCH($F1087,SubsidieTabel!$AD$1:$AD$12,0),IFERROR(MATCH(Methode_Keuze,SubsidieTabel!$AD$1:$AG$1,0),2))&lt;&gt;1=TRUE,"ja",""),"")</f>
        <v/>
      </c>
    </row>
    <row r="1088" spans="1:31" x14ac:dyDescent="0.25">
      <c r="A1088" s="316"/>
      <c r="B1088" s="317" t="str">
        <f>IF(A1088&lt;&gt;"",_xlfn.MAXIFS($B$1:B1087,$A$1:A1087,A1088)+1,"")</f>
        <v/>
      </c>
      <c r="C1088" s="296"/>
      <c r="D1088" s="296"/>
      <c r="E1088" s="296"/>
      <c r="F1088" s="296"/>
      <c r="G1088" s="326"/>
      <c r="H1088" s="324"/>
      <c r="I1088" s="325"/>
      <c r="J1088" s="325"/>
      <c r="K1088" s="318"/>
      <c r="L1088" s="318"/>
      <c r="M1088" s="319" t="str">
        <f>IFERROR(VLOOKUP(H1088,Lijsten!$H$1:$I$100,2,0),"")</f>
        <v/>
      </c>
      <c r="N1088" s="319" t="str">
        <f ca="1">IFERROR(IF(VLOOKUP(F1088,Kostentypen!$A$3:$E$21,3,0)=0,"",IF(OR(F1088="Arbeidskosten",F1088="Vergoeding"),VLOOKUP(G1088,Tb_KostenTypen[],2,0),VLOOKUP(F1088,Kostentypen!$A$3:$E$20,3,0))),"")</f>
        <v/>
      </c>
      <c r="O1088" s="320" t="str" cm="1">
        <f t="array" ref="O1088">_xlfn.IFNA(IF(INDEX(Tb_KostenOptiesDB[],MATCH($F1088,Tb_KostenOptiesDB[KostenOptie],0),IFERROR(MATCH(Methode_Keuze,Tb_KostenOptiesDB[#Headers],0),2))=1,_xlfn.SWITCH($N1088,"Uurtarief",IF(OR(AND(RIGHT($F1088,3)="IKS",VLOOKUP($M1088,DB_Loonkosten,2,0)="Ja"),AND(RIGHT($F1088,3)&lt;&gt;"IKS",VLOOKUP($M1088,DB_Loonkosten,2,0)="Nee")),IFERROR(VLOOKUP($M1088,DB_Loonkosten,24,0),""),0),"Vast tarief",IF(LEFT(F1088,8)="Bijdrage",VLOOKUP($F1088,Tb_KostenTypen[],MATCH(Lijsten!$P$1,Tb_KostenTypen[#Headers],0),0),VLOOKUP($G1088,Lijsten!L:P,MATCH(Lijsten!$P$1,Kop_Tarief_Vast,0),0))),""),"")</f>
        <v/>
      </c>
      <c r="P1088" s="320" t="str" cm="1">
        <f t="array" ref="P1088">_xlfn.IFNA(IF(INDEX(Tb_KostenOptiesDB[],MATCH($F1088,Tb_KostenOptiesDB[KostenOptie],0),IFERROR(MATCH(Methode_Keuze,Tb_KostenOptiesDB[#Headers],0),2))=1,_xlfn.SWITCH($N1088,"Uurtarief",IF(OR(AND(RIGHT($F1088,3)="IKS",VLOOKUP($M1088,DB_Loonkosten,2,0)="Ja"),AND(RIGHT($F1088,3)&lt;&gt;"IKS",VLOOKUP($M1088,DB_Loonkosten,2,0)="Nee")),IFERROR(VLOOKUP($M1088,DB_Loonkosten,25,0),""),0),"Vast tarief",IF(LEFT(F1088,8)="Bijdrage",VLOOKUP($F1088,Tb_KostenTypen[],MATCH(Lijsten!$P$1,Tb_KostenTypen[#Headers],0),0),VLOOKUP($G1088,Lijsten!L:P,MATCH(Lijsten!$P$1,Kop_Tarief_Vast,0),0))),""),"")</f>
        <v/>
      </c>
      <c r="Q1088" s="359"/>
      <c r="R1088" s="359"/>
      <c r="S1088" s="321"/>
      <c r="T1088" s="321"/>
      <c r="U1088" s="373" t="str">
        <f t="shared" si="64"/>
        <v/>
      </c>
      <c r="V1088" s="314" t="str">
        <f t="shared" si="65"/>
        <v/>
      </c>
      <c r="W1088" s="314" t="str" cm="1">
        <f t="array" aca="1" ref="W1088" ca="1">IFERROR(IF(AE1088&lt;&gt;"ja",_xlfn.IFNA(_xlfn.IFS(AND(O1088&lt;&gt;"",F1088&lt;&gt;"",RIGHT($N1088,6)="tarief",F1088="Vergoeding"),SUM(O1088)*FLOOR(SUM(Q1088),0.0001),AND(O1088&lt;&gt;"",F1088&lt;&gt;"",RIGHT($N1088,6)="tarief"),SUM(O1088)*FLOOR(SUM(Q1088),0.01),S1088&gt;0,IF(F1088&lt;&gt;"",FLOOR(SUM(S1088),0.01),"")),""),""),"")</f>
        <v/>
      </c>
      <c r="X1088" s="314" t="str" cm="1">
        <f t="array" aca="1" ref="X1088" ca="1">IFERROR(IF(AE1088&lt;&gt;"ja",_xlfn.IFNA(_xlfn.IFS(AND(P1088&lt;&gt;"",R1088&lt;&gt;"",RIGHT($N1088,6)="tarief",F1088="Vergoeding"),SUM(P1088)*FLOOR(SUM(R1088),0.0001),AND(P1088&lt;&gt;"",R1088&lt;&gt;"",RIGHT($N1088,6)="tarief"),P1088*FLOOR(R1088,0.01),T1088&gt;0,FLOOR(SUM(T1088),0.01)),""),""),"")</f>
        <v/>
      </c>
      <c r="Y1088" s="314" t="str">
        <f t="shared" ca="1" si="66"/>
        <v/>
      </c>
      <c r="Z1088" s="314" t="str" cm="1">
        <f t="array" aca="1" ref="Z1088" ca="1">IFERROR(_xlfn.IFS(OR(F1088="",LEFT(Methode_Keuze,4)="Geen",Methode_Keuze=""),"",AND(W1088&lt;&gt;"",F1088&lt;&gt;"Arbeidskosten"),W1088*VLOOKUP(F1088,Tb_ProjectKosten[],MATCH(Tb_ProjectKosten[[#Headers],[Forfait_Percentage]],Tb_ProjectKosten[#Headers],0),0),AND(F1088="Arbeidskosten",G1088&lt;&gt;""),IFERROR(W1088*VLOOKUP(G1088,Tb_KostenTypen[],3,0)*VLOOKUP(F1088,Tb_ProjectKosten[],MATCH(Tb_ProjectKosten[[#Headers],[Forfait_Percentage]],Tb_ProjectKosten[#Headers],0),0),""),W1088 &lt;=0,0),"")</f>
        <v/>
      </c>
      <c r="AA1088" s="314" t="str" cm="1">
        <f t="array" aca="1" ref="AA1088" ca="1">IFERROR(_xlfn.IFS(OR(F1088="",LEFT(Methode_Keuze,4)="Geen",Methode_Keuze=""),"",AND(X1088&lt;&gt;"",F1088&lt;&gt;"Arbeidskosten"),X1088*VLOOKUP(F1088,Tb_ProjectKosten[],MATCH(Tb_ProjectKosten[[#Headers],[Forfait_Percentage]],Tb_ProjectKosten[#Headers],0),0),AND(F1088="Arbeidskosten",G1088&lt;&gt;""),IFERROR(X1088*VLOOKUP(G1088,Tb_KostenTypen[],3,0)*VLOOKUP(F1088,Tb_ProjectKosten[],MATCH(Tb_ProjectKosten[[#Headers],[Forfait_Percentage]],Tb_ProjectKosten[#Headers],0),0),""),X1088 &lt;=0,0),"")</f>
        <v/>
      </c>
      <c r="AB1088" s="314" t="str">
        <f t="shared" ca="1" si="67"/>
        <v/>
      </c>
      <c r="AC1088" s="322"/>
      <c r="AD1088" s="315"/>
      <c r="AE1088" s="32" t="str" cm="1">
        <f t="array" ref="AE1088">IFERROR(IF(INDEX(SubsidieTabel!$AD$1:$AG$12,MATCH($F1088,SubsidieTabel!$AD$1:$AD$12,0),IFERROR(MATCH(Methode_Keuze,SubsidieTabel!$AD$1:$AG$1,0),2))&lt;&gt;1=TRUE,"ja",""),"")</f>
        <v/>
      </c>
    </row>
    <row r="1089" spans="1:31" x14ac:dyDescent="0.25">
      <c r="A1089" s="316"/>
      <c r="B1089" s="317" t="str">
        <f>IF(A1089&lt;&gt;"",_xlfn.MAXIFS($B$1:B1088,$A$1:A1088,A1089)+1,"")</f>
        <v/>
      </c>
      <c r="C1089" s="296"/>
      <c r="D1089" s="296"/>
      <c r="E1089" s="296"/>
      <c r="F1089" s="296"/>
      <c r="G1089" s="326"/>
      <c r="H1089" s="324"/>
      <c r="I1089" s="325"/>
      <c r="J1089" s="325"/>
      <c r="K1089" s="318"/>
      <c r="L1089" s="318"/>
      <c r="M1089" s="319" t="str">
        <f>IFERROR(VLOOKUP(H1089,Lijsten!$H$1:$I$100,2,0),"")</f>
        <v/>
      </c>
      <c r="N1089" s="319" t="str">
        <f ca="1">IFERROR(IF(VLOOKUP(F1089,Kostentypen!$A$3:$E$21,3,0)=0,"",IF(OR(F1089="Arbeidskosten",F1089="Vergoeding"),VLOOKUP(G1089,Tb_KostenTypen[],2,0),VLOOKUP(F1089,Kostentypen!$A$3:$E$20,3,0))),"")</f>
        <v/>
      </c>
      <c r="O1089" s="320" t="str" cm="1">
        <f t="array" ref="O1089">_xlfn.IFNA(IF(INDEX(Tb_KostenOptiesDB[],MATCH($F1089,Tb_KostenOptiesDB[KostenOptie],0),IFERROR(MATCH(Methode_Keuze,Tb_KostenOptiesDB[#Headers],0),2))=1,_xlfn.SWITCH($N1089,"Uurtarief",IF(OR(AND(RIGHT($F1089,3)="IKS",VLOOKUP($M1089,DB_Loonkosten,2,0)="Ja"),AND(RIGHT($F1089,3)&lt;&gt;"IKS",VLOOKUP($M1089,DB_Loonkosten,2,0)="Nee")),IFERROR(VLOOKUP($M1089,DB_Loonkosten,24,0),""),0),"Vast tarief",IF(LEFT(F1089,8)="Bijdrage",VLOOKUP($F1089,Tb_KostenTypen[],MATCH(Lijsten!$P$1,Tb_KostenTypen[#Headers],0),0),VLOOKUP($G1089,Lijsten!L:P,MATCH(Lijsten!$P$1,Kop_Tarief_Vast,0),0))),""),"")</f>
        <v/>
      </c>
      <c r="P1089" s="320" t="str" cm="1">
        <f t="array" ref="P1089">_xlfn.IFNA(IF(INDEX(Tb_KostenOptiesDB[],MATCH($F1089,Tb_KostenOptiesDB[KostenOptie],0),IFERROR(MATCH(Methode_Keuze,Tb_KostenOptiesDB[#Headers],0),2))=1,_xlfn.SWITCH($N1089,"Uurtarief",IF(OR(AND(RIGHT($F1089,3)="IKS",VLOOKUP($M1089,DB_Loonkosten,2,0)="Ja"),AND(RIGHT($F1089,3)&lt;&gt;"IKS",VLOOKUP($M1089,DB_Loonkosten,2,0)="Nee")),IFERROR(VLOOKUP($M1089,DB_Loonkosten,25,0),""),0),"Vast tarief",IF(LEFT(F1089,8)="Bijdrage",VLOOKUP($F1089,Tb_KostenTypen[],MATCH(Lijsten!$P$1,Tb_KostenTypen[#Headers],0),0),VLOOKUP($G1089,Lijsten!L:P,MATCH(Lijsten!$P$1,Kop_Tarief_Vast,0),0))),""),"")</f>
        <v/>
      </c>
      <c r="Q1089" s="359"/>
      <c r="R1089" s="359"/>
      <c r="S1089" s="321"/>
      <c r="T1089" s="321"/>
      <c r="U1089" s="373" t="str">
        <f t="shared" si="64"/>
        <v/>
      </c>
      <c r="V1089" s="314" t="str">
        <f t="shared" si="65"/>
        <v/>
      </c>
      <c r="W1089" s="314" t="str" cm="1">
        <f t="array" aca="1" ref="W1089" ca="1">IFERROR(IF(AE1089&lt;&gt;"ja",_xlfn.IFNA(_xlfn.IFS(AND(O1089&lt;&gt;"",F1089&lt;&gt;"",RIGHT($N1089,6)="tarief",F1089="Vergoeding"),SUM(O1089)*FLOOR(SUM(Q1089),0.0001),AND(O1089&lt;&gt;"",F1089&lt;&gt;"",RIGHT($N1089,6)="tarief"),SUM(O1089)*FLOOR(SUM(Q1089),0.01),S1089&gt;0,IF(F1089&lt;&gt;"",FLOOR(SUM(S1089),0.01),"")),""),""),"")</f>
        <v/>
      </c>
      <c r="X1089" s="314" t="str" cm="1">
        <f t="array" aca="1" ref="X1089" ca="1">IFERROR(IF(AE1089&lt;&gt;"ja",_xlfn.IFNA(_xlfn.IFS(AND(P1089&lt;&gt;"",R1089&lt;&gt;"",RIGHT($N1089,6)="tarief",F1089="Vergoeding"),SUM(P1089)*FLOOR(SUM(R1089),0.0001),AND(P1089&lt;&gt;"",R1089&lt;&gt;"",RIGHT($N1089,6)="tarief"),P1089*FLOOR(R1089,0.01),T1089&gt;0,FLOOR(SUM(T1089),0.01)),""),""),"")</f>
        <v/>
      </c>
      <c r="Y1089" s="314" t="str">
        <f t="shared" ca="1" si="66"/>
        <v/>
      </c>
      <c r="Z1089" s="314" t="str" cm="1">
        <f t="array" aca="1" ref="Z1089" ca="1">IFERROR(_xlfn.IFS(OR(F1089="",LEFT(Methode_Keuze,4)="Geen",Methode_Keuze=""),"",AND(W1089&lt;&gt;"",F1089&lt;&gt;"Arbeidskosten"),W1089*VLOOKUP(F1089,Tb_ProjectKosten[],MATCH(Tb_ProjectKosten[[#Headers],[Forfait_Percentage]],Tb_ProjectKosten[#Headers],0),0),AND(F1089="Arbeidskosten",G1089&lt;&gt;""),IFERROR(W1089*VLOOKUP(G1089,Tb_KostenTypen[],3,0)*VLOOKUP(F1089,Tb_ProjectKosten[],MATCH(Tb_ProjectKosten[[#Headers],[Forfait_Percentage]],Tb_ProjectKosten[#Headers],0),0),""),W1089 &lt;=0,0),"")</f>
        <v/>
      </c>
      <c r="AA1089" s="314" t="str" cm="1">
        <f t="array" aca="1" ref="AA1089" ca="1">IFERROR(_xlfn.IFS(OR(F1089="",LEFT(Methode_Keuze,4)="Geen",Methode_Keuze=""),"",AND(X1089&lt;&gt;"",F1089&lt;&gt;"Arbeidskosten"),X1089*VLOOKUP(F1089,Tb_ProjectKosten[],MATCH(Tb_ProjectKosten[[#Headers],[Forfait_Percentage]],Tb_ProjectKosten[#Headers],0),0),AND(F1089="Arbeidskosten",G1089&lt;&gt;""),IFERROR(X1089*VLOOKUP(G1089,Tb_KostenTypen[],3,0)*VLOOKUP(F1089,Tb_ProjectKosten[],MATCH(Tb_ProjectKosten[[#Headers],[Forfait_Percentage]],Tb_ProjectKosten[#Headers],0),0),""),X1089 &lt;=0,0),"")</f>
        <v/>
      </c>
      <c r="AB1089" s="314" t="str">
        <f t="shared" ca="1" si="67"/>
        <v/>
      </c>
      <c r="AC1089" s="322"/>
      <c r="AD1089" s="315"/>
      <c r="AE1089" s="32" t="str" cm="1">
        <f t="array" ref="AE1089">IFERROR(IF(INDEX(SubsidieTabel!$AD$1:$AG$12,MATCH($F1089,SubsidieTabel!$AD$1:$AD$12,0),IFERROR(MATCH(Methode_Keuze,SubsidieTabel!$AD$1:$AG$1,0),2))&lt;&gt;1=TRUE,"ja",""),"")</f>
        <v/>
      </c>
    </row>
    <row r="1090" spans="1:31" x14ac:dyDescent="0.25">
      <c r="A1090" s="316"/>
      <c r="B1090" s="317" t="str">
        <f>IF(A1090&lt;&gt;"",_xlfn.MAXIFS($B$1:B1089,$A$1:A1089,A1090)+1,"")</f>
        <v/>
      </c>
      <c r="C1090" s="296"/>
      <c r="D1090" s="296"/>
      <c r="E1090" s="296"/>
      <c r="F1090" s="296"/>
      <c r="G1090" s="326"/>
      <c r="H1090" s="324"/>
      <c r="I1090" s="325"/>
      <c r="J1090" s="325"/>
      <c r="K1090" s="318"/>
      <c r="L1090" s="318"/>
      <c r="M1090" s="319" t="str">
        <f>IFERROR(VLOOKUP(H1090,Lijsten!$H$1:$I$100,2,0),"")</f>
        <v/>
      </c>
      <c r="N1090" s="319" t="str">
        <f ca="1">IFERROR(IF(VLOOKUP(F1090,Kostentypen!$A$3:$E$21,3,0)=0,"",IF(OR(F1090="Arbeidskosten",F1090="Vergoeding"),VLOOKUP(G1090,Tb_KostenTypen[],2,0),VLOOKUP(F1090,Kostentypen!$A$3:$E$20,3,0))),"")</f>
        <v/>
      </c>
      <c r="O1090" s="320" t="str" cm="1">
        <f t="array" ref="O1090">_xlfn.IFNA(IF(INDEX(Tb_KostenOptiesDB[],MATCH($F1090,Tb_KostenOptiesDB[KostenOptie],0),IFERROR(MATCH(Methode_Keuze,Tb_KostenOptiesDB[#Headers],0),2))=1,_xlfn.SWITCH($N1090,"Uurtarief",IF(OR(AND(RIGHT($F1090,3)="IKS",VLOOKUP($M1090,DB_Loonkosten,2,0)="Ja"),AND(RIGHT($F1090,3)&lt;&gt;"IKS",VLOOKUP($M1090,DB_Loonkosten,2,0)="Nee")),IFERROR(VLOOKUP($M1090,DB_Loonkosten,24,0),""),0),"Vast tarief",IF(LEFT(F1090,8)="Bijdrage",VLOOKUP($F1090,Tb_KostenTypen[],MATCH(Lijsten!$P$1,Tb_KostenTypen[#Headers],0),0),VLOOKUP($G1090,Lijsten!L:P,MATCH(Lijsten!$P$1,Kop_Tarief_Vast,0),0))),""),"")</f>
        <v/>
      </c>
      <c r="P1090" s="320" t="str" cm="1">
        <f t="array" ref="P1090">_xlfn.IFNA(IF(INDEX(Tb_KostenOptiesDB[],MATCH($F1090,Tb_KostenOptiesDB[KostenOptie],0),IFERROR(MATCH(Methode_Keuze,Tb_KostenOptiesDB[#Headers],0),2))=1,_xlfn.SWITCH($N1090,"Uurtarief",IF(OR(AND(RIGHT($F1090,3)="IKS",VLOOKUP($M1090,DB_Loonkosten,2,0)="Ja"),AND(RIGHT($F1090,3)&lt;&gt;"IKS",VLOOKUP($M1090,DB_Loonkosten,2,0)="Nee")),IFERROR(VLOOKUP($M1090,DB_Loonkosten,25,0),""),0),"Vast tarief",IF(LEFT(F1090,8)="Bijdrage",VLOOKUP($F1090,Tb_KostenTypen[],MATCH(Lijsten!$P$1,Tb_KostenTypen[#Headers],0),0),VLOOKUP($G1090,Lijsten!L:P,MATCH(Lijsten!$P$1,Kop_Tarief_Vast,0),0))),""),"")</f>
        <v/>
      </c>
      <c r="Q1090" s="359"/>
      <c r="R1090" s="359"/>
      <c r="S1090" s="321"/>
      <c r="T1090" s="321"/>
      <c r="U1090" s="373" t="str">
        <f t="shared" si="64"/>
        <v/>
      </c>
      <c r="V1090" s="314" t="str">
        <f t="shared" si="65"/>
        <v/>
      </c>
      <c r="W1090" s="314" t="str" cm="1">
        <f t="array" aca="1" ref="W1090" ca="1">IFERROR(IF(AE1090&lt;&gt;"ja",_xlfn.IFNA(_xlfn.IFS(AND(O1090&lt;&gt;"",F1090&lt;&gt;"",RIGHT($N1090,6)="tarief",F1090="Vergoeding"),SUM(O1090)*FLOOR(SUM(Q1090),0.0001),AND(O1090&lt;&gt;"",F1090&lt;&gt;"",RIGHT($N1090,6)="tarief"),SUM(O1090)*FLOOR(SUM(Q1090),0.01),S1090&gt;0,IF(F1090&lt;&gt;"",FLOOR(SUM(S1090),0.01),"")),""),""),"")</f>
        <v/>
      </c>
      <c r="X1090" s="314" t="str" cm="1">
        <f t="array" aca="1" ref="X1090" ca="1">IFERROR(IF(AE1090&lt;&gt;"ja",_xlfn.IFNA(_xlfn.IFS(AND(P1090&lt;&gt;"",R1090&lt;&gt;"",RIGHT($N1090,6)="tarief",F1090="Vergoeding"),SUM(P1090)*FLOOR(SUM(R1090),0.0001),AND(P1090&lt;&gt;"",R1090&lt;&gt;"",RIGHT($N1090,6)="tarief"),P1090*FLOOR(R1090,0.01),T1090&gt;0,FLOOR(SUM(T1090),0.01)),""),""),"")</f>
        <v/>
      </c>
      <c r="Y1090" s="314" t="str">
        <f t="shared" ca="1" si="66"/>
        <v/>
      </c>
      <c r="Z1090" s="314" t="str" cm="1">
        <f t="array" aca="1" ref="Z1090" ca="1">IFERROR(_xlfn.IFS(OR(F1090="",LEFT(Methode_Keuze,4)="Geen",Methode_Keuze=""),"",AND(W1090&lt;&gt;"",F1090&lt;&gt;"Arbeidskosten"),W1090*VLOOKUP(F1090,Tb_ProjectKosten[],MATCH(Tb_ProjectKosten[[#Headers],[Forfait_Percentage]],Tb_ProjectKosten[#Headers],0),0),AND(F1090="Arbeidskosten",G1090&lt;&gt;""),IFERROR(W1090*VLOOKUP(G1090,Tb_KostenTypen[],3,0)*VLOOKUP(F1090,Tb_ProjectKosten[],MATCH(Tb_ProjectKosten[[#Headers],[Forfait_Percentage]],Tb_ProjectKosten[#Headers],0),0),""),W1090 &lt;=0,0),"")</f>
        <v/>
      </c>
      <c r="AA1090" s="314" t="str" cm="1">
        <f t="array" aca="1" ref="AA1090" ca="1">IFERROR(_xlfn.IFS(OR(F1090="",LEFT(Methode_Keuze,4)="Geen",Methode_Keuze=""),"",AND(X1090&lt;&gt;"",F1090&lt;&gt;"Arbeidskosten"),X1090*VLOOKUP(F1090,Tb_ProjectKosten[],MATCH(Tb_ProjectKosten[[#Headers],[Forfait_Percentage]],Tb_ProjectKosten[#Headers],0),0),AND(F1090="Arbeidskosten",G1090&lt;&gt;""),IFERROR(X1090*VLOOKUP(G1090,Tb_KostenTypen[],3,0)*VLOOKUP(F1090,Tb_ProjectKosten[],MATCH(Tb_ProjectKosten[[#Headers],[Forfait_Percentage]],Tb_ProjectKosten[#Headers],0),0),""),X1090 &lt;=0,0),"")</f>
        <v/>
      </c>
      <c r="AB1090" s="314" t="str">
        <f t="shared" ca="1" si="67"/>
        <v/>
      </c>
      <c r="AC1090" s="322"/>
      <c r="AD1090" s="315"/>
      <c r="AE1090" s="32" t="str" cm="1">
        <f t="array" ref="AE1090">IFERROR(IF(INDEX(SubsidieTabel!$AD$1:$AG$12,MATCH($F1090,SubsidieTabel!$AD$1:$AD$12,0),IFERROR(MATCH(Methode_Keuze,SubsidieTabel!$AD$1:$AG$1,0),2))&lt;&gt;1=TRUE,"ja",""),"")</f>
        <v/>
      </c>
    </row>
    <row r="1091" spans="1:31" x14ac:dyDescent="0.25">
      <c r="A1091" s="316"/>
      <c r="B1091" s="317" t="str">
        <f>IF(A1091&lt;&gt;"",_xlfn.MAXIFS($B$1:B1090,$A$1:A1090,A1091)+1,"")</f>
        <v/>
      </c>
      <c r="C1091" s="296"/>
      <c r="D1091" s="296"/>
      <c r="E1091" s="296"/>
      <c r="F1091" s="296"/>
      <c r="G1091" s="326"/>
      <c r="H1091" s="324"/>
      <c r="I1091" s="325"/>
      <c r="J1091" s="325"/>
      <c r="K1091" s="318"/>
      <c r="L1091" s="318"/>
      <c r="M1091" s="319" t="str">
        <f>IFERROR(VLOOKUP(H1091,Lijsten!$H$1:$I$100,2,0),"")</f>
        <v/>
      </c>
      <c r="N1091" s="319" t="str">
        <f ca="1">IFERROR(IF(VLOOKUP(F1091,Kostentypen!$A$3:$E$21,3,0)=0,"",IF(OR(F1091="Arbeidskosten",F1091="Vergoeding"),VLOOKUP(G1091,Tb_KostenTypen[],2,0),VLOOKUP(F1091,Kostentypen!$A$3:$E$20,3,0))),"")</f>
        <v/>
      </c>
      <c r="O1091" s="320" t="str" cm="1">
        <f t="array" ref="O1091">_xlfn.IFNA(IF(INDEX(Tb_KostenOptiesDB[],MATCH($F1091,Tb_KostenOptiesDB[KostenOptie],0),IFERROR(MATCH(Methode_Keuze,Tb_KostenOptiesDB[#Headers],0),2))=1,_xlfn.SWITCH($N1091,"Uurtarief",IF(OR(AND(RIGHT($F1091,3)="IKS",VLOOKUP($M1091,DB_Loonkosten,2,0)="Ja"),AND(RIGHT($F1091,3)&lt;&gt;"IKS",VLOOKUP($M1091,DB_Loonkosten,2,0)="Nee")),IFERROR(VLOOKUP($M1091,DB_Loonkosten,24,0),""),0),"Vast tarief",IF(LEFT(F1091,8)="Bijdrage",VLOOKUP($F1091,Tb_KostenTypen[],MATCH(Lijsten!$P$1,Tb_KostenTypen[#Headers],0),0),VLOOKUP($G1091,Lijsten!L:P,MATCH(Lijsten!$P$1,Kop_Tarief_Vast,0),0))),""),"")</f>
        <v/>
      </c>
      <c r="P1091" s="320" t="str" cm="1">
        <f t="array" ref="P1091">_xlfn.IFNA(IF(INDEX(Tb_KostenOptiesDB[],MATCH($F1091,Tb_KostenOptiesDB[KostenOptie],0),IFERROR(MATCH(Methode_Keuze,Tb_KostenOptiesDB[#Headers],0),2))=1,_xlfn.SWITCH($N1091,"Uurtarief",IF(OR(AND(RIGHT($F1091,3)="IKS",VLOOKUP($M1091,DB_Loonkosten,2,0)="Ja"),AND(RIGHT($F1091,3)&lt;&gt;"IKS",VLOOKUP($M1091,DB_Loonkosten,2,0)="Nee")),IFERROR(VLOOKUP($M1091,DB_Loonkosten,25,0),""),0),"Vast tarief",IF(LEFT(F1091,8)="Bijdrage",VLOOKUP($F1091,Tb_KostenTypen[],MATCH(Lijsten!$P$1,Tb_KostenTypen[#Headers],0),0),VLOOKUP($G1091,Lijsten!L:P,MATCH(Lijsten!$P$1,Kop_Tarief_Vast,0),0))),""),"")</f>
        <v/>
      </c>
      <c r="Q1091" s="359"/>
      <c r="R1091" s="359"/>
      <c r="S1091" s="321"/>
      <c r="T1091" s="321"/>
      <c r="U1091" s="373" t="str">
        <f t="shared" ref="U1091:U1154" si="68">IFERROR(IF(AND(R1091&lt;&gt;"",R1091&lt;&gt;Q1091),-1*(R1091-Q1091),""),"")</f>
        <v/>
      </c>
      <c r="V1091" s="314" t="str">
        <f t="shared" ref="V1091:V1154" si="69">IFERROR(IF(AND(T1091&lt;&gt;"",T1091&lt;&gt;S1091),-1*(T1091-S1091),""),"")</f>
        <v/>
      </c>
      <c r="W1091" s="314" t="str" cm="1">
        <f t="array" aca="1" ref="W1091" ca="1">IFERROR(IF(AE1091&lt;&gt;"ja",_xlfn.IFNA(_xlfn.IFS(AND(O1091&lt;&gt;"",F1091&lt;&gt;"",RIGHT($N1091,6)="tarief",F1091="Vergoeding"),SUM(O1091)*FLOOR(SUM(Q1091),0.0001),AND(O1091&lt;&gt;"",F1091&lt;&gt;"",RIGHT($N1091,6)="tarief"),SUM(O1091)*FLOOR(SUM(Q1091),0.01),S1091&gt;0,IF(F1091&lt;&gt;"",FLOOR(SUM(S1091),0.01),"")),""),""),"")</f>
        <v/>
      </c>
      <c r="X1091" s="314" t="str" cm="1">
        <f t="array" aca="1" ref="X1091" ca="1">IFERROR(IF(AE1091&lt;&gt;"ja",_xlfn.IFNA(_xlfn.IFS(AND(P1091&lt;&gt;"",R1091&lt;&gt;"",RIGHT($N1091,6)="tarief",F1091="Vergoeding"),SUM(P1091)*FLOOR(SUM(R1091),0.0001),AND(P1091&lt;&gt;"",R1091&lt;&gt;"",RIGHT($N1091,6)="tarief"),P1091*FLOOR(R1091,0.01),T1091&gt;0,FLOOR(SUM(T1091),0.01)),""),""),"")</f>
        <v/>
      </c>
      <c r="Y1091" s="314" t="str">
        <f t="shared" ref="Y1091:Y1154" ca="1" si="70">IFERROR(IF(AND(X1091&lt;&gt;"",X1091&lt;&gt;W1091),-1*(X1091-W1091),""),"")</f>
        <v/>
      </c>
      <c r="Z1091" s="314" t="str" cm="1">
        <f t="array" aca="1" ref="Z1091" ca="1">IFERROR(_xlfn.IFS(OR(F1091="",LEFT(Methode_Keuze,4)="Geen",Methode_Keuze=""),"",AND(W1091&lt;&gt;"",F1091&lt;&gt;"Arbeidskosten"),W1091*VLOOKUP(F1091,Tb_ProjectKosten[],MATCH(Tb_ProjectKosten[[#Headers],[Forfait_Percentage]],Tb_ProjectKosten[#Headers],0),0),AND(F1091="Arbeidskosten",G1091&lt;&gt;""),IFERROR(W1091*VLOOKUP(G1091,Tb_KostenTypen[],3,0)*VLOOKUP(F1091,Tb_ProjectKosten[],MATCH(Tb_ProjectKosten[[#Headers],[Forfait_Percentage]],Tb_ProjectKosten[#Headers],0),0),""),W1091 &lt;=0,0),"")</f>
        <v/>
      </c>
      <c r="AA1091" s="314" t="str" cm="1">
        <f t="array" aca="1" ref="AA1091" ca="1">IFERROR(_xlfn.IFS(OR(F1091="",LEFT(Methode_Keuze,4)="Geen",Methode_Keuze=""),"",AND(X1091&lt;&gt;"",F1091&lt;&gt;"Arbeidskosten"),X1091*VLOOKUP(F1091,Tb_ProjectKosten[],MATCH(Tb_ProjectKosten[[#Headers],[Forfait_Percentage]],Tb_ProjectKosten[#Headers],0),0),AND(F1091="Arbeidskosten",G1091&lt;&gt;""),IFERROR(X1091*VLOOKUP(G1091,Tb_KostenTypen[],3,0)*VLOOKUP(F1091,Tb_ProjectKosten[],MATCH(Tb_ProjectKosten[[#Headers],[Forfait_Percentage]],Tb_ProjectKosten[#Headers],0),0),""),X1091 &lt;=0,0),"")</f>
        <v/>
      </c>
      <c r="AB1091" s="314" t="str">
        <f t="shared" ref="AB1091:AB1154" ca="1" si="71">IFERROR(IF(AND(AA1091&lt;&gt;"",AA1091&lt;&gt;Z1091),-1*(AA1091-Z1091),""),"")</f>
        <v/>
      </c>
      <c r="AC1091" s="322"/>
      <c r="AD1091" s="315"/>
      <c r="AE1091" s="32" t="str" cm="1">
        <f t="array" ref="AE1091">IFERROR(IF(INDEX(SubsidieTabel!$AD$1:$AG$12,MATCH($F1091,SubsidieTabel!$AD$1:$AD$12,0),IFERROR(MATCH(Methode_Keuze,SubsidieTabel!$AD$1:$AG$1,0),2))&lt;&gt;1=TRUE,"ja",""),"")</f>
        <v/>
      </c>
    </row>
    <row r="1092" spans="1:31" x14ac:dyDescent="0.25">
      <c r="A1092" s="316"/>
      <c r="B1092" s="317" t="str">
        <f>IF(A1092&lt;&gt;"",_xlfn.MAXIFS($B$1:B1091,$A$1:A1091,A1092)+1,"")</f>
        <v/>
      </c>
      <c r="C1092" s="296"/>
      <c r="D1092" s="296"/>
      <c r="E1092" s="296"/>
      <c r="F1092" s="296"/>
      <c r="G1092" s="326"/>
      <c r="H1092" s="324"/>
      <c r="I1092" s="325"/>
      <c r="J1092" s="325"/>
      <c r="K1092" s="318"/>
      <c r="L1092" s="318"/>
      <c r="M1092" s="319" t="str">
        <f>IFERROR(VLOOKUP(H1092,Lijsten!$H$1:$I$100,2,0),"")</f>
        <v/>
      </c>
      <c r="N1092" s="319" t="str">
        <f ca="1">IFERROR(IF(VLOOKUP(F1092,Kostentypen!$A$3:$E$21,3,0)=0,"",IF(OR(F1092="Arbeidskosten",F1092="Vergoeding"),VLOOKUP(G1092,Tb_KostenTypen[],2,0),VLOOKUP(F1092,Kostentypen!$A$3:$E$20,3,0))),"")</f>
        <v/>
      </c>
      <c r="O1092" s="320" t="str" cm="1">
        <f t="array" ref="O1092">_xlfn.IFNA(IF(INDEX(Tb_KostenOptiesDB[],MATCH($F1092,Tb_KostenOptiesDB[KostenOptie],0),IFERROR(MATCH(Methode_Keuze,Tb_KostenOptiesDB[#Headers],0),2))=1,_xlfn.SWITCH($N1092,"Uurtarief",IF(OR(AND(RIGHT($F1092,3)="IKS",VLOOKUP($M1092,DB_Loonkosten,2,0)="Ja"),AND(RIGHT($F1092,3)&lt;&gt;"IKS",VLOOKUP($M1092,DB_Loonkosten,2,0)="Nee")),IFERROR(VLOOKUP($M1092,DB_Loonkosten,24,0),""),0),"Vast tarief",IF(LEFT(F1092,8)="Bijdrage",VLOOKUP($F1092,Tb_KostenTypen[],MATCH(Lijsten!$P$1,Tb_KostenTypen[#Headers],0),0),VLOOKUP($G1092,Lijsten!L:P,MATCH(Lijsten!$P$1,Kop_Tarief_Vast,0),0))),""),"")</f>
        <v/>
      </c>
      <c r="P1092" s="320" t="str" cm="1">
        <f t="array" ref="P1092">_xlfn.IFNA(IF(INDEX(Tb_KostenOptiesDB[],MATCH($F1092,Tb_KostenOptiesDB[KostenOptie],0),IFERROR(MATCH(Methode_Keuze,Tb_KostenOptiesDB[#Headers],0),2))=1,_xlfn.SWITCH($N1092,"Uurtarief",IF(OR(AND(RIGHT($F1092,3)="IKS",VLOOKUP($M1092,DB_Loonkosten,2,0)="Ja"),AND(RIGHT($F1092,3)&lt;&gt;"IKS",VLOOKUP($M1092,DB_Loonkosten,2,0)="Nee")),IFERROR(VLOOKUP($M1092,DB_Loonkosten,25,0),""),0),"Vast tarief",IF(LEFT(F1092,8)="Bijdrage",VLOOKUP($F1092,Tb_KostenTypen[],MATCH(Lijsten!$P$1,Tb_KostenTypen[#Headers],0),0),VLOOKUP($G1092,Lijsten!L:P,MATCH(Lijsten!$P$1,Kop_Tarief_Vast,0),0))),""),"")</f>
        <v/>
      </c>
      <c r="Q1092" s="359"/>
      <c r="R1092" s="359"/>
      <c r="S1092" s="321"/>
      <c r="T1092" s="321"/>
      <c r="U1092" s="373" t="str">
        <f t="shared" si="68"/>
        <v/>
      </c>
      <c r="V1092" s="314" t="str">
        <f t="shared" si="69"/>
        <v/>
      </c>
      <c r="W1092" s="314" t="str" cm="1">
        <f t="array" aca="1" ref="W1092" ca="1">IFERROR(IF(AE1092&lt;&gt;"ja",_xlfn.IFNA(_xlfn.IFS(AND(O1092&lt;&gt;"",F1092&lt;&gt;"",RIGHT($N1092,6)="tarief",F1092="Vergoeding"),SUM(O1092)*FLOOR(SUM(Q1092),0.0001),AND(O1092&lt;&gt;"",F1092&lt;&gt;"",RIGHT($N1092,6)="tarief"),SUM(O1092)*FLOOR(SUM(Q1092),0.01),S1092&gt;0,IF(F1092&lt;&gt;"",FLOOR(SUM(S1092),0.01),"")),""),""),"")</f>
        <v/>
      </c>
      <c r="X1092" s="314" t="str" cm="1">
        <f t="array" aca="1" ref="X1092" ca="1">IFERROR(IF(AE1092&lt;&gt;"ja",_xlfn.IFNA(_xlfn.IFS(AND(P1092&lt;&gt;"",R1092&lt;&gt;"",RIGHT($N1092,6)="tarief",F1092="Vergoeding"),SUM(P1092)*FLOOR(SUM(R1092),0.0001),AND(P1092&lt;&gt;"",R1092&lt;&gt;"",RIGHT($N1092,6)="tarief"),P1092*FLOOR(R1092,0.01),T1092&gt;0,FLOOR(SUM(T1092),0.01)),""),""),"")</f>
        <v/>
      </c>
      <c r="Y1092" s="314" t="str">
        <f t="shared" ca="1" si="70"/>
        <v/>
      </c>
      <c r="Z1092" s="314" t="str" cm="1">
        <f t="array" aca="1" ref="Z1092" ca="1">IFERROR(_xlfn.IFS(OR(F1092="",LEFT(Methode_Keuze,4)="Geen",Methode_Keuze=""),"",AND(W1092&lt;&gt;"",F1092&lt;&gt;"Arbeidskosten"),W1092*VLOOKUP(F1092,Tb_ProjectKosten[],MATCH(Tb_ProjectKosten[[#Headers],[Forfait_Percentage]],Tb_ProjectKosten[#Headers],0),0),AND(F1092="Arbeidskosten",G1092&lt;&gt;""),IFERROR(W1092*VLOOKUP(G1092,Tb_KostenTypen[],3,0)*VLOOKUP(F1092,Tb_ProjectKosten[],MATCH(Tb_ProjectKosten[[#Headers],[Forfait_Percentage]],Tb_ProjectKosten[#Headers],0),0),""),W1092 &lt;=0,0),"")</f>
        <v/>
      </c>
      <c r="AA1092" s="314" t="str" cm="1">
        <f t="array" aca="1" ref="AA1092" ca="1">IFERROR(_xlfn.IFS(OR(F1092="",LEFT(Methode_Keuze,4)="Geen",Methode_Keuze=""),"",AND(X1092&lt;&gt;"",F1092&lt;&gt;"Arbeidskosten"),X1092*VLOOKUP(F1092,Tb_ProjectKosten[],MATCH(Tb_ProjectKosten[[#Headers],[Forfait_Percentage]],Tb_ProjectKosten[#Headers],0),0),AND(F1092="Arbeidskosten",G1092&lt;&gt;""),IFERROR(X1092*VLOOKUP(G1092,Tb_KostenTypen[],3,0)*VLOOKUP(F1092,Tb_ProjectKosten[],MATCH(Tb_ProjectKosten[[#Headers],[Forfait_Percentage]],Tb_ProjectKosten[#Headers],0),0),""),X1092 &lt;=0,0),"")</f>
        <v/>
      </c>
      <c r="AB1092" s="314" t="str">
        <f t="shared" ca="1" si="71"/>
        <v/>
      </c>
      <c r="AC1092" s="322"/>
      <c r="AD1092" s="315"/>
      <c r="AE1092" s="32" t="str" cm="1">
        <f t="array" ref="AE1092">IFERROR(IF(INDEX(SubsidieTabel!$AD$1:$AG$12,MATCH($F1092,SubsidieTabel!$AD$1:$AD$12,0),IFERROR(MATCH(Methode_Keuze,SubsidieTabel!$AD$1:$AG$1,0),2))&lt;&gt;1=TRUE,"ja",""),"")</f>
        <v/>
      </c>
    </row>
    <row r="1093" spans="1:31" x14ac:dyDescent="0.25">
      <c r="A1093" s="316"/>
      <c r="B1093" s="317" t="str">
        <f>IF(A1093&lt;&gt;"",_xlfn.MAXIFS($B$1:B1092,$A$1:A1092,A1093)+1,"")</f>
        <v/>
      </c>
      <c r="C1093" s="296"/>
      <c r="D1093" s="296"/>
      <c r="E1093" s="296"/>
      <c r="F1093" s="296"/>
      <c r="G1093" s="326"/>
      <c r="H1093" s="324"/>
      <c r="I1093" s="325"/>
      <c r="J1093" s="325"/>
      <c r="K1093" s="318"/>
      <c r="L1093" s="318"/>
      <c r="M1093" s="319" t="str">
        <f>IFERROR(VLOOKUP(H1093,Lijsten!$H$1:$I$100,2,0),"")</f>
        <v/>
      </c>
      <c r="N1093" s="319" t="str">
        <f ca="1">IFERROR(IF(VLOOKUP(F1093,Kostentypen!$A$3:$E$21,3,0)=0,"",IF(OR(F1093="Arbeidskosten",F1093="Vergoeding"),VLOOKUP(G1093,Tb_KostenTypen[],2,0),VLOOKUP(F1093,Kostentypen!$A$3:$E$20,3,0))),"")</f>
        <v/>
      </c>
      <c r="O1093" s="320" t="str" cm="1">
        <f t="array" ref="O1093">_xlfn.IFNA(IF(INDEX(Tb_KostenOptiesDB[],MATCH($F1093,Tb_KostenOptiesDB[KostenOptie],0),IFERROR(MATCH(Methode_Keuze,Tb_KostenOptiesDB[#Headers],0),2))=1,_xlfn.SWITCH($N1093,"Uurtarief",IF(OR(AND(RIGHT($F1093,3)="IKS",VLOOKUP($M1093,DB_Loonkosten,2,0)="Ja"),AND(RIGHT($F1093,3)&lt;&gt;"IKS",VLOOKUP($M1093,DB_Loonkosten,2,0)="Nee")),IFERROR(VLOOKUP($M1093,DB_Loonkosten,24,0),""),0),"Vast tarief",IF(LEFT(F1093,8)="Bijdrage",VLOOKUP($F1093,Tb_KostenTypen[],MATCH(Lijsten!$P$1,Tb_KostenTypen[#Headers],0),0),VLOOKUP($G1093,Lijsten!L:P,MATCH(Lijsten!$P$1,Kop_Tarief_Vast,0),0))),""),"")</f>
        <v/>
      </c>
      <c r="P1093" s="320" t="str" cm="1">
        <f t="array" ref="P1093">_xlfn.IFNA(IF(INDEX(Tb_KostenOptiesDB[],MATCH($F1093,Tb_KostenOptiesDB[KostenOptie],0),IFERROR(MATCH(Methode_Keuze,Tb_KostenOptiesDB[#Headers],0),2))=1,_xlfn.SWITCH($N1093,"Uurtarief",IF(OR(AND(RIGHT($F1093,3)="IKS",VLOOKUP($M1093,DB_Loonkosten,2,0)="Ja"),AND(RIGHT($F1093,3)&lt;&gt;"IKS",VLOOKUP($M1093,DB_Loonkosten,2,0)="Nee")),IFERROR(VLOOKUP($M1093,DB_Loonkosten,25,0),""),0),"Vast tarief",IF(LEFT(F1093,8)="Bijdrage",VLOOKUP($F1093,Tb_KostenTypen[],MATCH(Lijsten!$P$1,Tb_KostenTypen[#Headers],0),0),VLOOKUP($G1093,Lijsten!L:P,MATCH(Lijsten!$P$1,Kop_Tarief_Vast,0),0))),""),"")</f>
        <v/>
      </c>
      <c r="Q1093" s="359"/>
      <c r="R1093" s="359"/>
      <c r="S1093" s="321"/>
      <c r="T1093" s="321"/>
      <c r="U1093" s="373" t="str">
        <f t="shared" si="68"/>
        <v/>
      </c>
      <c r="V1093" s="314" t="str">
        <f t="shared" si="69"/>
        <v/>
      </c>
      <c r="W1093" s="314" t="str" cm="1">
        <f t="array" aca="1" ref="W1093" ca="1">IFERROR(IF(AE1093&lt;&gt;"ja",_xlfn.IFNA(_xlfn.IFS(AND(O1093&lt;&gt;"",F1093&lt;&gt;"",RIGHT($N1093,6)="tarief",F1093="Vergoeding"),SUM(O1093)*FLOOR(SUM(Q1093),0.0001),AND(O1093&lt;&gt;"",F1093&lt;&gt;"",RIGHT($N1093,6)="tarief"),SUM(O1093)*FLOOR(SUM(Q1093),0.01),S1093&gt;0,IF(F1093&lt;&gt;"",FLOOR(SUM(S1093),0.01),"")),""),""),"")</f>
        <v/>
      </c>
      <c r="X1093" s="314" t="str" cm="1">
        <f t="array" aca="1" ref="X1093" ca="1">IFERROR(IF(AE1093&lt;&gt;"ja",_xlfn.IFNA(_xlfn.IFS(AND(P1093&lt;&gt;"",R1093&lt;&gt;"",RIGHT($N1093,6)="tarief",F1093="Vergoeding"),SUM(P1093)*FLOOR(SUM(R1093),0.0001),AND(P1093&lt;&gt;"",R1093&lt;&gt;"",RIGHT($N1093,6)="tarief"),P1093*FLOOR(R1093,0.01),T1093&gt;0,FLOOR(SUM(T1093),0.01)),""),""),"")</f>
        <v/>
      </c>
      <c r="Y1093" s="314" t="str">
        <f t="shared" ca="1" si="70"/>
        <v/>
      </c>
      <c r="Z1093" s="314" t="str" cm="1">
        <f t="array" aca="1" ref="Z1093" ca="1">IFERROR(_xlfn.IFS(OR(F1093="",LEFT(Methode_Keuze,4)="Geen",Methode_Keuze=""),"",AND(W1093&lt;&gt;"",F1093&lt;&gt;"Arbeidskosten"),W1093*VLOOKUP(F1093,Tb_ProjectKosten[],MATCH(Tb_ProjectKosten[[#Headers],[Forfait_Percentage]],Tb_ProjectKosten[#Headers],0),0),AND(F1093="Arbeidskosten",G1093&lt;&gt;""),IFERROR(W1093*VLOOKUP(G1093,Tb_KostenTypen[],3,0)*VLOOKUP(F1093,Tb_ProjectKosten[],MATCH(Tb_ProjectKosten[[#Headers],[Forfait_Percentage]],Tb_ProjectKosten[#Headers],0),0),""),W1093 &lt;=0,0),"")</f>
        <v/>
      </c>
      <c r="AA1093" s="314" t="str" cm="1">
        <f t="array" aca="1" ref="AA1093" ca="1">IFERROR(_xlfn.IFS(OR(F1093="",LEFT(Methode_Keuze,4)="Geen",Methode_Keuze=""),"",AND(X1093&lt;&gt;"",F1093&lt;&gt;"Arbeidskosten"),X1093*VLOOKUP(F1093,Tb_ProjectKosten[],MATCH(Tb_ProjectKosten[[#Headers],[Forfait_Percentage]],Tb_ProjectKosten[#Headers],0),0),AND(F1093="Arbeidskosten",G1093&lt;&gt;""),IFERROR(X1093*VLOOKUP(G1093,Tb_KostenTypen[],3,0)*VLOOKUP(F1093,Tb_ProjectKosten[],MATCH(Tb_ProjectKosten[[#Headers],[Forfait_Percentage]],Tb_ProjectKosten[#Headers],0),0),""),X1093 &lt;=0,0),"")</f>
        <v/>
      </c>
      <c r="AB1093" s="314" t="str">
        <f t="shared" ca="1" si="71"/>
        <v/>
      </c>
      <c r="AC1093" s="322"/>
      <c r="AD1093" s="315"/>
      <c r="AE1093" s="32" t="str" cm="1">
        <f t="array" ref="AE1093">IFERROR(IF(INDEX(SubsidieTabel!$AD$1:$AG$12,MATCH($F1093,SubsidieTabel!$AD$1:$AD$12,0),IFERROR(MATCH(Methode_Keuze,SubsidieTabel!$AD$1:$AG$1,0),2))&lt;&gt;1=TRUE,"ja",""),"")</f>
        <v/>
      </c>
    </row>
    <row r="1094" spans="1:31" x14ac:dyDescent="0.25">
      <c r="A1094" s="316"/>
      <c r="B1094" s="317" t="str">
        <f>IF(A1094&lt;&gt;"",_xlfn.MAXIFS($B$1:B1093,$A$1:A1093,A1094)+1,"")</f>
        <v/>
      </c>
      <c r="C1094" s="296"/>
      <c r="D1094" s="296"/>
      <c r="E1094" s="296"/>
      <c r="F1094" s="296"/>
      <c r="G1094" s="326"/>
      <c r="H1094" s="324"/>
      <c r="I1094" s="325"/>
      <c r="J1094" s="325"/>
      <c r="K1094" s="318"/>
      <c r="L1094" s="318"/>
      <c r="M1094" s="319" t="str">
        <f>IFERROR(VLOOKUP(H1094,Lijsten!$H$1:$I$100,2,0),"")</f>
        <v/>
      </c>
      <c r="N1094" s="319" t="str">
        <f ca="1">IFERROR(IF(VLOOKUP(F1094,Kostentypen!$A$3:$E$21,3,0)=0,"",IF(OR(F1094="Arbeidskosten",F1094="Vergoeding"),VLOOKUP(G1094,Tb_KostenTypen[],2,0),VLOOKUP(F1094,Kostentypen!$A$3:$E$20,3,0))),"")</f>
        <v/>
      </c>
      <c r="O1094" s="320" t="str" cm="1">
        <f t="array" ref="O1094">_xlfn.IFNA(IF(INDEX(Tb_KostenOptiesDB[],MATCH($F1094,Tb_KostenOptiesDB[KostenOptie],0),IFERROR(MATCH(Methode_Keuze,Tb_KostenOptiesDB[#Headers],0),2))=1,_xlfn.SWITCH($N1094,"Uurtarief",IF(OR(AND(RIGHT($F1094,3)="IKS",VLOOKUP($M1094,DB_Loonkosten,2,0)="Ja"),AND(RIGHT($F1094,3)&lt;&gt;"IKS",VLOOKUP($M1094,DB_Loonkosten,2,0)="Nee")),IFERROR(VLOOKUP($M1094,DB_Loonkosten,24,0),""),0),"Vast tarief",IF(LEFT(F1094,8)="Bijdrage",VLOOKUP($F1094,Tb_KostenTypen[],MATCH(Lijsten!$P$1,Tb_KostenTypen[#Headers],0),0),VLOOKUP($G1094,Lijsten!L:P,MATCH(Lijsten!$P$1,Kop_Tarief_Vast,0),0))),""),"")</f>
        <v/>
      </c>
      <c r="P1094" s="320" t="str" cm="1">
        <f t="array" ref="P1094">_xlfn.IFNA(IF(INDEX(Tb_KostenOptiesDB[],MATCH($F1094,Tb_KostenOptiesDB[KostenOptie],0),IFERROR(MATCH(Methode_Keuze,Tb_KostenOptiesDB[#Headers],0),2))=1,_xlfn.SWITCH($N1094,"Uurtarief",IF(OR(AND(RIGHT($F1094,3)="IKS",VLOOKUP($M1094,DB_Loonkosten,2,0)="Ja"),AND(RIGHT($F1094,3)&lt;&gt;"IKS",VLOOKUP($M1094,DB_Loonkosten,2,0)="Nee")),IFERROR(VLOOKUP($M1094,DB_Loonkosten,25,0),""),0),"Vast tarief",IF(LEFT(F1094,8)="Bijdrage",VLOOKUP($F1094,Tb_KostenTypen[],MATCH(Lijsten!$P$1,Tb_KostenTypen[#Headers],0),0),VLOOKUP($G1094,Lijsten!L:P,MATCH(Lijsten!$P$1,Kop_Tarief_Vast,0),0))),""),"")</f>
        <v/>
      </c>
      <c r="Q1094" s="359"/>
      <c r="R1094" s="359"/>
      <c r="S1094" s="321"/>
      <c r="T1094" s="321"/>
      <c r="U1094" s="373" t="str">
        <f t="shared" si="68"/>
        <v/>
      </c>
      <c r="V1094" s="314" t="str">
        <f t="shared" si="69"/>
        <v/>
      </c>
      <c r="W1094" s="314" t="str" cm="1">
        <f t="array" aca="1" ref="W1094" ca="1">IFERROR(IF(AE1094&lt;&gt;"ja",_xlfn.IFNA(_xlfn.IFS(AND(O1094&lt;&gt;"",F1094&lt;&gt;"",RIGHT($N1094,6)="tarief",F1094="Vergoeding"),SUM(O1094)*FLOOR(SUM(Q1094),0.0001),AND(O1094&lt;&gt;"",F1094&lt;&gt;"",RIGHT($N1094,6)="tarief"),SUM(O1094)*FLOOR(SUM(Q1094),0.01),S1094&gt;0,IF(F1094&lt;&gt;"",FLOOR(SUM(S1094),0.01),"")),""),""),"")</f>
        <v/>
      </c>
      <c r="X1094" s="314" t="str" cm="1">
        <f t="array" aca="1" ref="X1094" ca="1">IFERROR(IF(AE1094&lt;&gt;"ja",_xlfn.IFNA(_xlfn.IFS(AND(P1094&lt;&gt;"",R1094&lt;&gt;"",RIGHT($N1094,6)="tarief",F1094="Vergoeding"),SUM(P1094)*FLOOR(SUM(R1094),0.0001),AND(P1094&lt;&gt;"",R1094&lt;&gt;"",RIGHT($N1094,6)="tarief"),P1094*FLOOR(R1094,0.01),T1094&gt;0,FLOOR(SUM(T1094),0.01)),""),""),"")</f>
        <v/>
      </c>
      <c r="Y1094" s="314" t="str">
        <f t="shared" ca="1" si="70"/>
        <v/>
      </c>
      <c r="Z1094" s="314" t="str" cm="1">
        <f t="array" aca="1" ref="Z1094" ca="1">IFERROR(_xlfn.IFS(OR(F1094="",LEFT(Methode_Keuze,4)="Geen",Methode_Keuze=""),"",AND(W1094&lt;&gt;"",F1094&lt;&gt;"Arbeidskosten"),W1094*VLOOKUP(F1094,Tb_ProjectKosten[],MATCH(Tb_ProjectKosten[[#Headers],[Forfait_Percentage]],Tb_ProjectKosten[#Headers],0),0),AND(F1094="Arbeidskosten",G1094&lt;&gt;""),IFERROR(W1094*VLOOKUP(G1094,Tb_KostenTypen[],3,0)*VLOOKUP(F1094,Tb_ProjectKosten[],MATCH(Tb_ProjectKosten[[#Headers],[Forfait_Percentage]],Tb_ProjectKosten[#Headers],0),0),""),W1094 &lt;=0,0),"")</f>
        <v/>
      </c>
      <c r="AA1094" s="314" t="str" cm="1">
        <f t="array" aca="1" ref="AA1094" ca="1">IFERROR(_xlfn.IFS(OR(F1094="",LEFT(Methode_Keuze,4)="Geen",Methode_Keuze=""),"",AND(X1094&lt;&gt;"",F1094&lt;&gt;"Arbeidskosten"),X1094*VLOOKUP(F1094,Tb_ProjectKosten[],MATCH(Tb_ProjectKosten[[#Headers],[Forfait_Percentage]],Tb_ProjectKosten[#Headers],0),0),AND(F1094="Arbeidskosten",G1094&lt;&gt;""),IFERROR(X1094*VLOOKUP(G1094,Tb_KostenTypen[],3,0)*VLOOKUP(F1094,Tb_ProjectKosten[],MATCH(Tb_ProjectKosten[[#Headers],[Forfait_Percentage]],Tb_ProjectKosten[#Headers],0),0),""),X1094 &lt;=0,0),"")</f>
        <v/>
      </c>
      <c r="AB1094" s="314" t="str">
        <f t="shared" ca="1" si="71"/>
        <v/>
      </c>
      <c r="AC1094" s="322"/>
      <c r="AD1094" s="315"/>
      <c r="AE1094" s="32" t="str" cm="1">
        <f t="array" ref="AE1094">IFERROR(IF(INDEX(SubsidieTabel!$AD$1:$AG$12,MATCH($F1094,SubsidieTabel!$AD$1:$AD$12,0),IFERROR(MATCH(Methode_Keuze,SubsidieTabel!$AD$1:$AG$1,0),2))&lt;&gt;1=TRUE,"ja",""),"")</f>
        <v/>
      </c>
    </row>
    <row r="1095" spans="1:31" x14ac:dyDescent="0.25">
      <c r="A1095" s="316"/>
      <c r="B1095" s="317" t="str">
        <f>IF(A1095&lt;&gt;"",_xlfn.MAXIFS($B$1:B1094,$A$1:A1094,A1095)+1,"")</f>
        <v/>
      </c>
      <c r="C1095" s="296"/>
      <c r="D1095" s="296"/>
      <c r="E1095" s="296"/>
      <c r="F1095" s="296"/>
      <c r="G1095" s="326"/>
      <c r="H1095" s="324"/>
      <c r="I1095" s="325"/>
      <c r="J1095" s="325"/>
      <c r="K1095" s="318"/>
      <c r="L1095" s="318"/>
      <c r="M1095" s="319" t="str">
        <f>IFERROR(VLOOKUP(H1095,Lijsten!$H$1:$I$100,2,0),"")</f>
        <v/>
      </c>
      <c r="N1095" s="319" t="str">
        <f ca="1">IFERROR(IF(VLOOKUP(F1095,Kostentypen!$A$3:$E$21,3,0)=0,"",IF(OR(F1095="Arbeidskosten",F1095="Vergoeding"),VLOOKUP(G1095,Tb_KostenTypen[],2,0),VLOOKUP(F1095,Kostentypen!$A$3:$E$20,3,0))),"")</f>
        <v/>
      </c>
      <c r="O1095" s="320" t="str" cm="1">
        <f t="array" ref="O1095">_xlfn.IFNA(IF(INDEX(Tb_KostenOptiesDB[],MATCH($F1095,Tb_KostenOptiesDB[KostenOptie],0),IFERROR(MATCH(Methode_Keuze,Tb_KostenOptiesDB[#Headers],0),2))=1,_xlfn.SWITCH($N1095,"Uurtarief",IF(OR(AND(RIGHT($F1095,3)="IKS",VLOOKUP($M1095,DB_Loonkosten,2,0)="Ja"),AND(RIGHT($F1095,3)&lt;&gt;"IKS",VLOOKUP($M1095,DB_Loonkosten,2,0)="Nee")),IFERROR(VLOOKUP($M1095,DB_Loonkosten,24,0),""),0),"Vast tarief",IF(LEFT(F1095,8)="Bijdrage",VLOOKUP($F1095,Tb_KostenTypen[],MATCH(Lijsten!$P$1,Tb_KostenTypen[#Headers],0),0),VLOOKUP($G1095,Lijsten!L:P,MATCH(Lijsten!$P$1,Kop_Tarief_Vast,0),0))),""),"")</f>
        <v/>
      </c>
      <c r="P1095" s="320" t="str" cm="1">
        <f t="array" ref="P1095">_xlfn.IFNA(IF(INDEX(Tb_KostenOptiesDB[],MATCH($F1095,Tb_KostenOptiesDB[KostenOptie],0),IFERROR(MATCH(Methode_Keuze,Tb_KostenOptiesDB[#Headers],0),2))=1,_xlfn.SWITCH($N1095,"Uurtarief",IF(OR(AND(RIGHT($F1095,3)="IKS",VLOOKUP($M1095,DB_Loonkosten,2,0)="Ja"),AND(RIGHT($F1095,3)&lt;&gt;"IKS",VLOOKUP($M1095,DB_Loonkosten,2,0)="Nee")),IFERROR(VLOOKUP($M1095,DB_Loonkosten,25,0),""),0),"Vast tarief",IF(LEFT(F1095,8)="Bijdrage",VLOOKUP($F1095,Tb_KostenTypen[],MATCH(Lijsten!$P$1,Tb_KostenTypen[#Headers],0),0),VLOOKUP($G1095,Lijsten!L:P,MATCH(Lijsten!$P$1,Kop_Tarief_Vast,0),0))),""),"")</f>
        <v/>
      </c>
      <c r="Q1095" s="359"/>
      <c r="R1095" s="359"/>
      <c r="S1095" s="321"/>
      <c r="T1095" s="321"/>
      <c r="U1095" s="373" t="str">
        <f t="shared" si="68"/>
        <v/>
      </c>
      <c r="V1095" s="314" t="str">
        <f t="shared" si="69"/>
        <v/>
      </c>
      <c r="W1095" s="314" t="str" cm="1">
        <f t="array" aca="1" ref="W1095" ca="1">IFERROR(IF(AE1095&lt;&gt;"ja",_xlfn.IFNA(_xlfn.IFS(AND(O1095&lt;&gt;"",F1095&lt;&gt;"",RIGHT($N1095,6)="tarief",F1095="Vergoeding"),SUM(O1095)*FLOOR(SUM(Q1095),0.0001),AND(O1095&lt;&gt;"",F1095&lt;&gt;"",RIGHT($N1095,6)="tarief"),SUM(O1095)*FLOOR(SUM(Q1095),0.01),S1095&gt;0,IF(F1095&lt;&gt;"",FLOOR(SUM(S1095),0.01),"")),""),""),"")</f>
        <v/>
      </c>
      <c r="X1095" s="314" t="str" cm="1">
        <f t="array" aca="1" ref="X1095" ca="1">IFERROR(IF(AE1095&lt;&gt;"ja",_xlfn.IFNA(_xlfn.IFS(AND(P1095&lt;&gt;"",R1095&lt;&gt;"",RIGHT($N1095,6)="tarief",F1095="Vergoeding"),SUM(P1095)*FLOOR(SUM(R1095),0.0001),AND(P1095&lt;&gt;"",R1095&lt;&gt;"",RIGHT($N1095,6)="tarief"),P1095*FLOOR(R1095,0.01),T1095&gt;0,FLOOR(SUM(T1095),0.01)),""),""),"")</f>
        <v/>
      </c>
      <c r="Y1095" s="314" t="str">
        <f t="shared" ca="1" si="70"/>
        <v/>
      </c>
      <c r="Z1095" s="314" t="str" cm="1">
        <f t="array" aca="1" ref="Z1095" ca="1">IFERROR(_xlfn.IFS(OR(F1095="",LEFT(Methode_Keuze,4)="Geen",Methode_Keuze=""),"",AND(W1095&lt;&gt;"",F1095&lt;&gt;"Arbeidskosten"),W1095*VLOOKUP(F1095,Tb_ProjectKosten[],MATCH(Tb_ProjectKosten[[#Headers],[Forfait_Percentage]],Tb_ProjectKosten[#Headers],0),0),AND(F1095="Arbeidskosten",G1095&lt;&gt;""),IFERROR(W1095*VLOOKUP(G1095,Tb_KostenTypen[],3,0)*VLOOKUP(F1095,Tb_ProjectKosten[],MATCH(Tb_ProjectKosten[[#Headers],[Forfait_Percentage]],Tb_ProjectKosten[#Headers],0),0),""),W1095 &lt;=0,0),"")</f>
        <v/>
      </c>
      <c r="AA1095" s="314" t="str" cm="1">
        <f t="array" aca="1" ref="AA1095" ca="1">IFERROR(_xlfn.IFS(OR(F1095="",LEFT(Methode_Keuze,4)="Geen",Methode_Keuze=""),"",AND(X1095&lt;&gt;"",F1095&lt;&gt;"Arbeidskosten"),X1095*VLOOKUP(F1095,Tb_ProjectKosten[],MATCH(Tb_ProjectKosten[[#Headers],[Forfait_Percentage]],Tb_ProjectKosten[#Headers],0),0),AND(F1095="Arbeidskosten",G1095&lt;&gt;""),IFERROR(X1095*VLOOKUP(G1095,Tb_KostenTypen[],3,0)*VLOOKUP(F1095,Tb_ProjectKosten[],MATCH(Tb_ProjectKosten[[#Headers],[Forfait_Percentage]],Tb_ProjectKosten[#Headers],0),0),""),X1095 &lt;=0,0),"")</f>
        <v/>
      </c>
      <c r="AB1095" s="314" t="str">
        <f t="shared" ca="1" si="71"/>
        <v/>
      </c>
      <c r="AC1095" s="322"/>
      <c r="AD1095" s="315"/>
      <c r="AE1095" s="32" t="str" cm="1">
        <f t="array" ref="AE1095">IFERROR(IF(INDEX(SubsidieTabel!$AD$1:$AG$12,MATCH($F1095,SubsidieTabel!$AD$1:$AD$12,0),IFERROR(MATCH(Methode_Keuze,SubsidieTabel!$AD$1:$AG$1,0),2))&lt;&gt;1=TRUE,"ja",""),"")</f>
        <v/>
      </c>
    </row>
    <row r="1096" spans="1:31" x14ac:dyDescent="0.25">
      <c r="A1096" s="316"/>
      <c r="B1096" s="317" t="str">
        <f>IF(A1096&lt;&gt;"",_xlfn.MAXIFS($B$1:B1095,$A$1:A1095,A1096)+1,"")</f>
        <v/>
      </c>
      <c r="C1096" s="296"/>
      <c r="D1096" s="296"/>
      <c r="E1096" s="296"/>
      <c r="F1096" s="296"/>
      <c r="G1096" s="326"/>
      <c r="H1096" s="324"/>
      <c r="I1096" s="325"/>
      <c r="J1096" s="325"/>
      <c r="K1096" s="318"/>
      <c r="L1096" s="318"/>
      <c r="M1096" s="319" t="str">
        <f>IFERROR(VLOOKUP(H1096,Lijsten!$H$1:$I$100,2,0),"")</f>
        <v/>
      </c>
      <c r="N1096" s="319" t="str">
        <f ca="1">IFERROR(IF(VLOOKUP(F1096,Kostentypen!$A$3:$E$21,3,0)=0,"",IF(OR(F1096="Arbeidskosten",F1096="Vergoeding"),VLOOKUP(G1096,Tb_KostenTypen[],2,0),VLOOKUP(F1096,Kostentypen!$A$3:$E$20,3,0))),"")</f>
        <v/>
      </c>
      <c r="O1096" s="320" t="str" cm="1">
        <f t="array" ref="O1096">_xlfn.IFNA(IF(INDEX(Tb_KostenOptiesDB[],MATCH($F1096,Tb_KostenOptiesDB[KostenOptie],0),IFERROR(MATCH(Methode_Keuze,Tb_KostenOptiesDB[#Headers],0),2))=1,_xlfn.SWITCH($N1096,"Uurtarief",IF(OR(AND(RIGHT($F1096,3)="IKS",VLOOKUP($M1096,DB_Loonkosten,2,0)="Ja"),AND(RIGHT($F1096,3)&lt;&gt;"IKS",VLOOKUP($M1096,DB_Loonkosten,2,0)="Nee")),IFERROR(VLOOKUP($M1096,DB_Loonkosten,24,0),""),0),"Vast tarief",IF(LEFT(F1096,8)="Bijdrage",VLOOKUP($F1096,Tb_KostenTypen[],MATCH(Lijsten!$P$1,Tb_KostenTypen[#Headers],0),0),VLOOKUP($G1096,Lijsten!L:P,MATCH(Lijsten!$P$1,Kop_Tarief_Vast,0),0))),""),"")</f>
        <v/>
      </c>
      <c r="P1096" s="320" t="str" cm="1">
        <f t="array" ref="P1096">_xlfn.IFNA(IF(INDEX(Tb_KostenOptiesDB[],MATCH($F1096,Tb_KostenOptiesDB[KostenOptie],0),IFERROR(MATCH(Methode_Keuze,Tb_KostenOptiesDB[#Headers],0),2))=1,_xlfn.SWITCH($N1096,"Uurtarief",IF(OR(AND(RIGHT($F1096,3)="IKS",VLOOKUP($M1096,DB_Loonkosten,2,0)="Ja"),AND(RIGHT($F1096,3)&lt;&gt;"IKS",VLOOKUP($M1096,DB_Loonkosten,2,0)="Nee")),IFERROR(VLOOKUP($M1096,DB_Loonkosten,25,0),""),0),"Vast tarief",IF(LEFT(F1096,8)="Bijdrage",VLOOKUP($F1096,Tb_KostenTypen[],MATCH(Lijsten!$P$1,Tb_KostenTypen[#Headers],0),0),VLOOKUP($G1096,Lijsten!L:P,MATCH(Lijsten!$P$1,Kop_Tarief_Vast,0),0))),""),"")</f>
        <v/>
      </c>
      <c r="Q1096" s="359"/>
      <c r="R1096" s="359"/>
      <c r="S1096" s="321"/>
      <c r="T1096" s="321"/>
      <c r="U1096" s="373" t="str">
        <f t="shared" si="68"/>
        <v/>
      </c>
      <c r="V1096" s="314" t="str">
        <f t="shared" si="69"/>
        <v/>
      </c>
      <c r="W1096" s="314" t="str" cm="1">
        <f t="array" aca="1" ref="W1096" ca="1">IFERROR(IF(AE1096&lt;&gt;"ja",_xlfn.IFNA(_xlfn.IFS(AND(O1096&lt;&gt;"",F1096&lt;&gt;"",RIGHT($N1096,6)="tarief",F1096="Vergoeding"),SUM(O1096)*FLOOR(SUM(Q1096),0.0001),AND(O1096&lt;&gt;"",F1096&lt;&gt;"",RIGHT($N1096,6)="tarief"),SUM(O1096)*FLOOR(SUM(Q1096),0.01),S1096&gt;0,IF(F1096&lt;&gt;"",FLOOR(SUM(S1096),0.01),"")),""),""),"")</f>
        <v/>
      </c>
      <c r="X1096" s="314" t="str" cm="1">
        <f t="array" aca="1" ref="X1096" ca="1">IFERROR(IF(AE1096&lt;&gt;"ja",_xlfn.IFNA(_xlfn.IFS(AND(P1096&lt;&gt;"",R1096&lt;&gt;"",RIGHT($N1096,6)="tarief",F1096="Vergoeding"),SUM(P1096)*FLOOR(SUM(R1096),0.0001),AND(P1096&lt;&gt;"",R1096&lt;&gt;"",RIGHT($N1096,6)="tarief"),P1096*FLOOR(R1096,0.01),T1096&gt;0,FLOOR(SUM(T1096),0.01)),""),""),"")</f>
        <v/>
      </c>
      <c r="Y1096" s="314" t="str">
        <f t="shared" ca="1" si="70"/>
        <v/>
      </c>
      <c r="Z1096" s="314" t="str" cm="1">
        <f t="array" aca="1" ref="Z1096" ca="1">IFERROR(_xlfn.IFS(OR(F1096="",LEFT(Methode_Keuze,4)="Geen",Methode_Keuze=""),"",AND(W1096&lt;&gt;"",F1096&lt;&gt;"Arbeidskosten"),W1096*VLOOKUP(F1096,Tb_ProjectKosten[],MATCH(Tb_ProjectKosten[[#Headers],[Forfait_Percentage]],Tb_ProjectKosten[#Headers],0),0),AND(F1096="Arbeidskosten",G1096&lt;&gt;""),IFERROR(W1096*VLOOKUP(G1096,Tb_KostenTypen[],3,0)*VLOOKUP(F1096,Tb_ProjectKosten[],MATCH(Tb_ProjectKosten[[#Headers],[Forfait_Percentage]],Tb_ProjectKosten[#Headers],0),0),""),W1096 &lt;=0,0),"")</f>
        <v/>
      </c>
      <c r="AA1096" s="314" t="str" cm="1">
        <f t="array" aca="1" ref="AA1096" ca="1">IFERROR(_xlfn.IFS(OR(F1096="",LEFT(Methode_Keuze,4)="Geen",Methode_Keuze=""),"",AND(X1096&lt;&gt;"",F1096&lt;&gt;"Arbeidskosten"),X1096*VLOOKUP(F1096,Tb_ProjectKosten[],MATCH(Tb_ProjectKosten[[#Headers],[Forfait_Percentage]],Tb_ProjectKosten[#Headers],0),0),AND(F1096="Arbeidskosten",G1096&lt;&gt;""),IFERROR(X1096*VLOOKUP(G1096,Tb_KostenTypen[],3,0)*VLOOKUP(F1096,Tb_ProjectKosten[],MATCH(Tb_ProjectKosten[[#Headers],[Forfait_Percentage]],Tb_ProjectKosten[#Headers],0),0),""),X1096 &lt;=0,0),"")</f>
        <v/>
      </c>
      <c r="AB1096" s="314" t="str">
        <f t="shared" ca="1" si="71"/>
        <v/>
      </c>
      <c r="AC1096" s="322"/>
      <c r="AD1096" s="315"/>
      <c r="AE1096" s="32" t="str" cm="1">
        <f t="array" ref="AE1096">IFERROR(IF(INDEX(SubsidieTabel!$AD$1:$AG$12,MATCH($F1096,SubsidieTabel!$AD$1:$AD$12,0),IFERROR(MATCH(Methode_Keuze,SubsidieTabel!$AD$1:$AG$1,0),2))&lt;&gt;1=TRUE,"ja",""),"")</f>
        <v/>
      </c>
    </row>
    <row r="1097" spans="1:31" x14ac:dyDescent="0.25">
      <c r="A1097" s="316"/>
      <c r="B1097" s="317" t="str">
        <f>IF(A1097&lt;&gt;"",_xlfn.MAXIFS($B$1:B1096,$A$1:A1096,A1097)+1,"")</f>
        <v/>
      </c>
      <c r="C1097" s="296"/>
      <c r="D1097" s="296"/>
      <c r="E1097" s="296"/>
      <c r="F1097" s="296"/>
      <c r="G1097" s="326"/>
      <c r="H1097" s="324"/>
      <c r="I1097" s="325"/>
      <c r="J1097" s="325"/>
      <c r="K1097" s="318"/>
      <c r="L1097" s="318"/>
      <c r="M1097" s="319" t="str">
        <f>IFERROR(VLOOKUP(H1097,Lijsten!$H$1:$I$100,2,0),"")</f>
        <v/>
      </c>
      <c r="N1097" s="319" t="str">
        <f ca="1">IFERROR(IF(VLOOKUP(F1097,Kostentypen!$A$3:$E$21,3,0)=0,"",IF(OR(F1097="Arbeidskosten",F1097="Vergoeding"),VLOOKUP(G1097,Tb_KostenTypen[],2,0),VLOOKUP(F1097,Kostentypen!$A$3:$E$20,3,0))),"")</f>
        <v/>
      </c>
      <c r="O1097" s="320" t="str" cm="1">
        <f t="array" ref="O1097">_xlfn.IFNA(IF(INDEX(Tb_KostenOptiesDB[],MATCH($F1097,Tb_KostenOptiesDB[KostenOptie],0),IFERROR(MATCH(Methode_Keuze,Tb_KostenOptiesDB[#Headers],0),2))=1,_xlfn.SWITCH($N1097,"Uurtarief",IF(OR(AND(RIGHT($F1097,3)="IKS",VLOOKUP($M1097,DB_Loonkosten,2,0)="Ja"),AND(RIGHT($F1097,3)&lt;&gt;"IKS",VLOOKUP($M1097,DB_Loonkosten,2,0)="Nee")),IFERROR(VLOOKUP($M1097,DB_Loonkosten,24,0),""),0),"Vast tarief",IF(LEFT(F1097,8)="Bijdrage",VLOOKUP($F1097,Tb_KostenTypen[],MATCH(Lijsten!$P$1,Tb_KostenTypen[#Headers],0),0),VLOOKUP($G1097,Lijsten!L:P,MATCH(Lijsten!$P$1,Kop_Tarief_Vast,0),0))),""),"")</f>
        <v/>
      </c>
      <c r="P1097" s="320" t="str" cm="1">
        <f t="array" ref="P1097">_xlfn.IFNA(IF(INDEX(Tb_KostenOptiesDB[],MATCH($F1097,Tb_KostenOptiesDB[KostenOptie],0),IFERROR(MATCH(Methode_Keuze,Tb_KostenOptiesDB[#Headers],0),2))=1,_xlfn.SWITCH($N1097,"Uurtarief",IF(OR(AND(RIGHT($F1097,3)="IKS",VLOOKUP($M1097,DB_Loonkosten,2,0)="Ja"),AND(RIGHT($F1097,3)&lt;&gt;"IKS",VLOOKUP($M1097,DB_Loonkosten,2,0)="Nee")),IFERROR(VLOOKUP($M1097,DB_Loonkosten,25,0),""),0),"Vast tarief",IF(LEFT(F1097,8)="Bijdrage",VLOOKUP($F1097,Tb_KostenTypen[],MATCH(Lijsten!$P$1,Tb_KostenTypen[#Headers],0),0),VLOOKUP($G1097,Lijsten!L:P,MATCH(Lijsten!$P$1,Kop_Tarief_Vast,0),0))),""),"")</f>
        <v/>
      </c>
      <c r="Q1097" s="359"/>
      <c r="R1097" s="359"/>
      <c r="S1097" s="321"/>
      <c r="T1097" s="321"/>
      <c r="U1097" s="373" t="str">
        <f t="shared" si="68"/>
        <v/>
      </c>
      <c r="V1097" s="314" t="str">
        <f t="shared" si="69"/>
        <v/>
      </c>
      <c r="W1097" s="314" t="str" cm="1">
        <f t="array" aca="1" ref="W1097" ca="1">IFERROR(IF(AE1097&lt;&gt;"ja",_xlfn.IFNA(_xlfn.IFS(AND(O1097&lt;&gt;"",F1097&lt;&gt;"",RIGHT($N1097,6)="tarief",F1097="Vergoeding"),SUM(O1097)*FLOOR(SUM(Q1097),0.0001),AND(O1097&lt;&gt;"",F1097&lt;&gt;"",RIGHT($N1097,6)="tarief"),SUM(O1097)*FLOOR(SUM(Q1097),0.01),S1097&gt;0,IF(F1097&lt;&gt;"",FLOOR(SUM(S1097),0.01),"")),""),""),"")</f>
        <v/>
      </c>
      <c r="X1097" s="314" t="str" cm="1">
        <f t="array" aca="1" ref="X1097" ca="1">IFERROR(IF(AE1097&lt;&gt;"ja",_xlfn.IFNA(_xlfn.IFS(AND(P1097&lt;&gt;"",R1097&lt;&gt;"",RIGHT($N1097,6)="tarief",F1097="Vergoeding"),SUM(P1097)*FLOOR(SUM(R1097),0.0001),AND(P1097&lt;&gt;"",R1097&lt;&gt;"",RIGHT($N1097,6)="tarief"),P1097*FLOOR(R1097,0.01),T1097&gt;0,FLOOR(SUM(T1097),0.01)),""),""),"")</f>
        <v/>
      </c>
      <c r="Y1097" s="314" t="str">
        <f t="shared" ca="1" si="70"/>
        <v/>
      </c>
      <c r="Z1097" s="314" t="str" cm="1">
        <f t="array" aca="1" ref="Z1097" ca="1">IFERROR(_xlfn.IFS(OR(F1097="",LEFT(Methode_Keuze,4)="Geen",Methode_Keuze=""),"",AND(W1097&lt;&gt;"",F1097&lt;&gt;"Arbeidskosten"),W1097*VLOOKUP(F1097,Tb_ProjectKosten[],MATCH(Tb_ProjectKosten[[#Headers],[Forfait_Percentage]],Tb_ProjectKosten[#Headers],0),0),AND(F1097="Arbeidskosten",G1097&lt;&gt;""),IFERROR(W1097*VLOOKUP(G1097,Tb_KostenTypen[],3,0)*VLOOKUP(F1097,Tb_ProjectKosten[],MATCH(Tb_ProjectKosten[[#Headers],[Forfait_Percentage]],Tb_ProjectKosten[#Headers],0),0),""),W1097 &lt;=0,0),"")</f>
        <v/>
      </c>
      <c r="AA1097" s="314" t="str" cm="1">
        <f t="array" aca="1" ref="AA1097" ca="1">IFERROR(_xlfn.IFS(OR(F1097="",LEFT(Methode_Keuze,4)="Geen",Methode_Keuze=""),"",AND(X1097&lt;&gt;"",F1097&lt;&gt;"Arbeidskosten"),X1097*VLOOKUP(F1097,Tb_ProjectKosten[],MATCH(Tb_ProjectKosten[[#Headers],[Forfait_Percentage]],Tb_ProjectKosten[#Headers],0),0),AND(F1097="Arbeidskosten",G1097&lt;&gt;""),IFERROR(X1097*VLOOKUP(G1097,Tb_KostenTypen[],3,0)*VLOOKUP(F1097,Tb_ProjectKosten[],MATCH(Tb_ProjectKosten[[#Headers],[Forfait_Percentage]],Tb_ProjectKosten[#Headers],0),0),""),X1097 &lt;=0,0),"")</f>
        <v/>
      </c>
      <c r="AB1097" s="314" t="str">
        <f t="shared" ca="1" si="71"/>
        <v/>
      </c>
      <c r="AC1097" s="322"/>
      <c r="AD1097" s="315"/>
      <c r="AE1097" s="32" t="str" cm="1">
        <f t="array" ref="AE1097">IFERROR(IF(INDEX(SubsidieTabel!$AD$1:$AG$12,MATCH($F1097,SubsidieTabel!$AD$1:$AD$12,0),IFERROR(MATCH(Methode_Keuze,SubsidieTabel!$AD$1:$AG$1,0),2))&lt;&gt;1=TRUE,"ja",""),"")</f>
        <v/>
      </c>
    </row>
    <row r="1098" spans="1:31" x14ac:dyDescent="0.25">
      <c r="A1098" s="316"/>
      <c r="B1098" s="317" t="str">
        <f>IF(A1098&lt;&gt;"",_xlfn.MAXIFS($B$1:B1097,$A$1:A1097,A1098)+1,"")</f>
        <v/>
      </c>
      <c r="C1098" s="296"/>
      <c r="D1098" s="296"/>
      <c r="E1098" s="296"/>
      <c r="F1098" s="296"/>
      <c r="G1098" s="326"/>
      <c r="H1098" s="324"/>
      <c r="I1098" s="325"/>
      <c r="J1098" s="325"/>
      <c r="K1098" s="318"/>
      <c r="L1098" s="318"/>
      <c r="M1098" s="319" t="str">
        <f>IFERROR(VLOOKUP(H1098,Lijsten!$H$1:$I$100,2,0),"")</f>
        <v/>
      </c>
      <c r="N1098" s="319" t="str">
        <f ca="1">IFERROR(IF(VLOOKUP(F1098,Kostentypen!$A$3:$E$21,3,0)=0,"",IF(OR(F1098="Arbeidskosten",F1098="Vergoeding"),VLOOKUP(G1098,Tb_KostenTypen[],2,0),VLOOKUP(F1098,Kostentypen!$A$3:$E$20,3,0))),"")</f>
        <v/>
      </c>
      <c r="O1098" s="320" t="str" cm="1">
        <f t="array" ref="O1098">_xlfn.IFNA(IF(INDEX(Tb_KostenOptiesDB[],MATCH($F1098,Tb_KostenOptiesDB[KostenOptie],0),IFERROR(MATCH(Methode_Keuze,Tb_KostenOptiesDB[#Headers],0),2))=1,_xlfn.SWITCH($N1098,"Uurtarief",IF(OR(AND(RIGHT($F1098,3)="IKS",VLOOKUP($M1098,DB_Loonkosten,2,0)="Ja"),AND(RIGHT($F1098,3)&lt;&gt;"IKS",VLOOKUP($M1098,DB_Loonkosten,2,0)="Nee")),IFERROR(VLOOKUP($M1098,DB_Loonkosten,24,0),""),0),"Vast tarief",IF(LEFT(F1098,8)="Bijdrage",VLOOKUP($F1098,Tb_KostenTypen[],MATCH(Lijsten!$P$1,Tb_KostenTypen[#Headers],0),0),VLOOKUP($G1098,Lijsten!L:P,MATCH(Lijsten!$P$1,Kop_Tarief_Vast,0),0))),""),"")</f>
        <v/>
      </c>
      <c r="P1098" s="320" t="str" cm="1">
        <f t="array" ref="P1098">_xlfn.IFNA(IF(INDEX(Tb_KostenOptiesDB[],MATCH($F1098,Tb_KostenOptiesDB[KostenOptie],0),IFERROR(MATCH(Methode_Keuze,Tb_KostenOptiesDB[#Headers],0),2))=1,_xlfn.SWITCH($N1098,"Uurtarief",IF(OR(AND(RIGHT($F1098,3)="IKS",VLOOKUP($M1098,DB_Loonkosten,2,0)="Ja"),AND(RIGHT($F1098,3)&lt;&gt;"IKS",VLOOKUP($M1098,DB_Loonkosten,2,0)="Nee")),IFERROR(VLOOKUP($M1098,DB_Loonkosten,25,0),""),0),"Vast tarief",IF(LEFT(F1098,8)="Bijdrage",VLOOKUP($F1098,Tb_KostenTypen[],MATCH(Lijsten!$P$1,Tb_KostenTypen[#Headers],0),0),VLOOKUP($G1098,Lijsten!L:P,MATCH(Lijsten!$P$1,Kop_Tarief_Vast,0),0))),""),"")</f>
        <v/>
      </c>
      <c r="Q1098" s="359"/>
      <c r="R1098" s="359"/>
      <c r="S1098" s="321"/>
      <c r="T1098" s="321"/>
      <c r="U1098" s="373" t="str">
        <f t="shared" si="68"/>
        <v/>
      </c>
      <c r="V1098" s="314" t="str">
        <f t="shared" si="69"/>
        <v/>
      </c>
      <c r="W1098" s="314" t="str" cm="1">
        <f t="array" aca="1" ref="W1098" ca="1">IFERROR(IF(AE1098&lt;&gt;"ja",_xlfn.IFNA(_xlfn.IFS(AND(O1098&lt;&gt;"",F1098&lt;&gt;"",RIGHT($N1098,6)="tarief",F1098="Vergoeding"),SUM(O1098)*FLOOR(SUM(Q1098),0.0001),AND(O1098&lt;&gt;"",F1098&lt;&gt;"",RIGHT($N1098,6)="tarief"),SUM(O1098)*FLOOR(SUM(Q1098),0.01),S1098&gt;0,IF(F1098&lt;&gt;"",FLOOR(SUM(S1098),0.01),"")),""),""),"")</f>
        <v/>
      </c>
      <c r="X1098" s="314" t="str" cm="1">
        <f t="array" aca="1" ref="X1098" ca="1">IFERROR(IF(AE1098&lt;&gt;"ja",_xlfn.IFNA(_xlfn.IFS(AND(P1098&lt;&gt;"",R1098&lt;&gt;"",RIGHT($N1098,6)="tarief",F1098="Vergoeding"),SUM(P1098)*FLOOR(SUM(R1098),0.0001),AND(P1098&lt;&gt;"",R1098&lt;&gt;"",RIGHT($N1098,6)="tarief"),P1098*FLOOR(R1098,0.01),T1098&gt;0,FLOOR(SUM(T1098),0.01)),""),""),"")</f>
        <v/>
      </c>
      <c r="Y1098" s="314" t="str">
        <f t="shared" ca="1" si="70"/>
        <v/>
      </c>
      <c r="Z1098" s="314" t="str" cm="1">
        <f t="array" aca="1" ref="Z1098" ca="1">IFERROR(_xlfn.IFS(OR(F1098="",LEFT(Methode_Keuze,4)="Geen",Methode_Keuze=""),"",AND(W1098&lt;&gt;"",F1098&lt;&gt;"Arbeidskosten"),W1098*VLOOKUP(F1098,Tb_ProjectKosten[],MATCH(Tb_ProjectKosten[[#Headers],[Forfait_Percentage]],Tb_ProjectKosten[#Headers],0),0),AND(F1098="Arbeidskosten",G1098&lt;&gt;""),IFERROR(W1098*VLOOKUP(G1098,Tb_KostenTypen[],3,0)*VLOOKUP(F1098,Tb_ProjectKosten[],MATCH(Tb_ProjectKosten[[#Headers],[Forfait_Percentage]],Tb_ProjectKosten[#Headers],0),0),""),W1098 &lt;=0,0),"")</f>
        <v/>
      </c>
      <c r="AA1098" s="314" t="str" cm="1">
        <f t="array" aca="1" ref="AA1098" ca="1">IFERROR(_xlfn.IFS(OR(F1098="",LEFT(Methode_Keuze,4)="Geen",Methode_Keuze=""),"",AND(X1098&lt;&gt;"",F1098&lt;&gt;"Arbeidskosten"),X1098*VLOOKUP(F1098,Tb_ProjectKosten[],MATCH(Tb_ProjectKosten[[#Headers],[Forfait_Percentage]],Tb_ProjectKosten[#Headers],0),0),AND(F1098="Arbeidskosten",G1098&lt;&gt;""),IFERROR(X1098*VLOOKUP(G1098,Tb_KostenTypen[],3,0)*VLOOKUP(F1098,Tb_ProjectKosten[],MATCH(Tb_ProjectKosten[[#Headers],[Forfait_Percentage]],Tb_ProjectKosten[#Headers],0),0),""),X1098 &lt;=0,0),"")</f>
        <v/>
      </c>
      <c r="AB1098" s="314" t="str">
        <f t="shared" ca="1" si="71"/>
        <v/>
      </c>
      <c r="AC1098" s="322"/>
      <c r="AD1098" s="315"/>
      <c r="AE1098" s="32" t="str" cm="1">
        <f t="array" ref="AE1098">IFERROR(IF(INDEX(SubsidieTabel!$AD$1:$AG$12,MATCH($F1098,SubsidieTabel!$AD$1:$AD$12,0),IFERROR(MATCH(Methode_Keuze,SubsidieTabel!$AD$1:$AG$1,0),2))&lt;&gt;1=TRUE,"ja",""),"")</f>
        <v/>
      </c>
    </row>
    <row r="1099" spans="1:31" x14ac:dyDescent="0.25">
      <c r="A1099" s="316"/>
      <c r="B1099" s="317" t="str">
        <f>IF(A1099&lt;&gt;"",_xlfn.MAXIFS($B$1:B1098,$A$1:A1098,A1099)+1,"")</f>
        <v/>
      </c>
      <c r="C1099" s="296"/>
      <c r="D1099" s="296"/>
      <c r="E1099" s="296"/>
      <c r="F1099" s="296"/>
      <c r="G1099" s="326"/>
      <c r="H1099" s="324"/>
      <c r="I1099" s="325"/>
      <c r="J1099" s="325"/>
      <c r="K1099" s="318"/>
      <c r="L1099" s="318"/>
      <c r="M1099" s="319" t="str">
        <f>IFERROR(VLOOKUP(H1099,Lijsten!$H$1:$I$100,2,0),"")</f>
        <v/>
      </c>
      <c r="N1099" s="319" t="str">
        <f ca="1">IFERROR(IF(VLOOKUP(F1099,Kostentypen!$A$3:$E$21,3,0)=0,"",IF(OR(F1099="Arbeidskosten",F1099="Vergoeding"),VLOOKUP(G1099,Tb_KostenTypen[],2,0),VLOOKUP(F1099,Kostentypen!$A$3:$E$20,3,0))),"")</f>
        <v/>
      </c>
      <c r="O1099" s="320" t="str" cm="1">
        <f t="array" ref="O1099">_xlfn.IFNA(IF(INDEX(Tb_KostenOptiesDB[],MATCH($F1099,Tb_KostenOptiesDB[KostenOptie],0),IFERROR(MATCH(Methode_Keuze,Tb_KostenOptiesDB[#Headers],0),2))=1,_xlfn.SWITCH($N1099,"Uurtarief",IF(OR(AND(RIGHT($F1099,3)="IKS",VLOOKUP($M1099,DB_Loonkosten,2,0)="Ja"),AND(RIGHT($F1099,3)&lt;&gt;"IKS",VLOOKUP($M1099,DB_Loonkosten,2,0)="Nee")),IFERROR(VLOOKUP($M1099,DB_Loonkosten,24,0),""),0),"Vast tarief",IF(LEFT(F1099,8)="Bijdrage",VLOOKUP($F1099,Tb_KostenTypen[],MATCH(Lijsten!$P$1,Tb_KostenTypen[#Headers],0),0),VLOOKUP($G1099,Lijsten!L:P,MATCH(Lijsten!$P$1,Kop_Tarief_Vast,0),0))),""),"")</f>
        <v/>
      </c>
      <c r="P1099" s="320" t="str" cm="1">
        <f t="array" ref="P1099">_xlfn.IFNA(IF(INDEX(Tb_KostenOptiesDB[],MATCH($F1099,Tb_KostenOptiesDB[KostenOptie],0),IFERROR(MATCH(Methode_Keuze,Tb_KostenOptiesDB[#Headers],0),2))=1,_xlfn.SWITCH($N1099,"Uurtarief",IF(OR(AND(RIGHT($F1099,3)="IKS",VLOOKUP($M1099,DB_Loonkosten,2,0)="Ja"),AND(RIGHT($F1099,3)&lt;&gt;"IKS",VLOOKUP($M1099,DB_Loonkosten,2,0)="Nee")),IFERROR(VLOOKUP($M1099,DB_Loonkosten,25,0),""),0),"Vast tarief",IF(LEFT(F1099,8)="Bijdrage",VLOOKUP($F1099,Tb_KostenTypen[],MATCH(Lijsten!$P$1,Tb_KostenTypen[#Headers],0),0),VLOOKUP($G1099,Lijsten!L:P,MATCH(Lijsten!$P$1,Kop_Tarief_Vast,0),0))),""),"")</f>
        <v/>
      </c>
      <c r="Q1099" s="359"/>
      <c r="R1099" s="359"/>
      <c r="S1099" s="321"/>
      <c r="T1099" s="321"/>
      <c r="U1099" s="373" t="str">
        <f t="shared" si="68"/>
        <v/>
      </c>
      <c r="V1099" s="314" t="str">
        <f t="shared" si="69"/>
        <v/>
      </c>
      <c r="W1099" s="314" t="str" cm="1">
        <f t="array" aca="1" ref="W1099" ca="1">IFERROR(IF(AE1099&lt;&gt;"ja",_xlfn.IFNA(_xlfn.IFS(AND(O1099&lt;&gt;"",F1099&lt;&gt;"",RIGHT($N1099,6)="tarief",F1099="Vergoeding"),SUM(O1099)*FLOOR(SUM(Q1099),0.0001),AND(O1099&lt;&gt;"",F1099&lt;&gt;"",RIGHT($N1099,6)="tarief"),SUM(O1099)*FLOOR(SUM(Q1099),0.01),S1099&gt;0,IF(F1099&lt;&gt;"",FLOOR(SUM(S1099),0.01),"")),""),""),"")</f>
        <v/>
      </c>
      <c r="X1099" s="314" t="str" cm="1">
        <f t="array" aca="1" ref="X1099" ca="1">IFERROR(IF(AE1099&lt;&gt;"ja",_xlfn.IFNA(_xlfn.IFS(AND(P1099&lt;&gt;"",R1099&lt;&gt;"",RIGHT($N1099,6)="tarief",F1099="Vergoeding"),SUM(P1099)*FLOOR(SUM(R1099),0.0001),AND(P1099&lt;&gt;"",R1099&lt;&gt;"",RIGHT($N1099,6)="tarief"),P1099*FLOOR(R1099,0.01),T1099&gt;0,FLOOR(SUM(T1099),0.01)),""),""),"")</f>
        <v/>
      </c>
      <c r="Y1099" s="314" t="str">
        <f t="shared" ca="1" si="70"/>
        <v/>
      </c>
      <c r="Z1099" s="314" t="str" cm="1">
        <f t="array" aca="1" ref="Z1099" ca="1">IFERROR(_xlfn.IFS(OR(F1099="",LEFT(Methode_Keuze,4)="Geen",Methode_Keuze=""),"",AND(W1099&lt;&gt;"",F1099&lt;&gt;"Arbeidskosten"),W1099*VLOOKUP(F1099,Tb_ProjectKosten[],MATCH(Tb_ProjectKosten[[#Headers],[Forfait_Percentage]],Tb_ProjectKosten[#Headers],0),0),AND(F1099="Arbeidskosten",G1099&lt;&gt;""),IFERROR(W1099*VLOOKUP(G1099,Tb_KostenTypen[],3,0)*VLOOKUP(F1099,Tb_ProjectKosten[],MATCH(Tb_ProjectKosten[[#Headers],[Forfait_Percentage]],Tb_ProjectKosten[#Headers],0),0),""),W1099 &lt;=0,0),"")</f>
        <v/>
      </c>
      <c r="AA1099" s="314" t="str" cm="1">
        <f t="array" aca="1" ref="AA1099" ca="1">IFERROR(_xlfn.IFS(OR(F1099="",LEFT(Methode_Keuze,4)="Geen",Methode_Keuze=""),"",AND(X1099&lt;&gt;"",F1099&lt;&gt;"Arbeidskosten"),X1099*VLOOKUP(F1099,Tb_ProjectKosten[],MATCH(Tb_ProjectKosten[[#Headers],[Forfait_Percentage]],Tb_ProjectKosten[#Headers],0),0),AND(F1099="Arbeidskosten",G1099&lt;&gt;""),IFERROR(X1099*VLOOKUP(G1099,Tb_KostenTypen[],3,0)*VLOOKUP(F1099,Tb_ProjectKosten[],MATCH(Tb_ProjectKosten[[#Headers],[Forfait_Percentage]],Tb_ProjectKosten[#Headers],0),0),""),X1099 &lt;=0,0),"")</f>
        <v/>
      </c>
      <c r="AB1099" s="314" t="str">
        <f t="shared" ca="1" si="71"/>
        <v/>
      </c>
      <c r="AC1099" s="322"/>
      <c r="AD1099" s="315"/>
      <c r="AE1099" s="32" t="str" cm="1">
        <f t="array" ref="AE1099">IFERROR(IF(INDEX(SubsidieTabel!$AD$1:$AG$12,MATCH($F1099,SubsidieTabel!$AD$1:$AD$12,0),IFERROR(MATCH(Methode_Keuze,SubsidieTabel!$AD$1:$AG$1,0),2))&lt;&gt;1=TRUE,"ja",""),"")</f>
        <v/>
      </c>
    </row>
    <row r="1100" spans="1:31" x14ac:dyDescent="0.25">
      <c r="A1100" s="316"/>
      <c r="B1100" s="317" t="str">
        <f>IF(A1100&lt;&gt;"",_xlfn.MAXIFS($B$1:B1099,$A$1:A1099,A1100)+1,"")</f>
        <v/>
      </c>
      <c r="C1100" s="296"/>
      <c r="D1100" s="296"/>
      <c r="E1100" s="296"/>
      <c r="F1100" s="296"/>
      <c r="G1100" s="326"/>
      <c r="H1100" s="324"/>
      <c r="I1100" s="325"/>
      <c r="J1100" s="325"/>
      <c r="K1100" s="318"/>
      <c r="L1100" s="318"/>
      <c r="M1100" s="319" t="str">
        <f>IFERROR(VLOOKUP(H1100,Lijsten!$H$1:$I$100,2,0),"")</f>
        <v/>
      </c>
      <c r="N1100" s="319" t="str">
        <f ca="1">IFERROR(IF(VLOOKUP(F1100,Kostentypen!$A$3:$E$21,3,0)=0,"",IF(OR(F1100="Arbeidskosten",F1100="Vergoeding"),VLOOKUP(G1100,Tb_KostenTypen[],2,0),VLOOKUP(F1100,Kostentypen!$A$3:$E$20,3,0))),"")</f>
        <v/>
      </c>
      <c r="O1100" s="320" t="str" cm="1">
        <f t="array" ref="O1100">_xlfn.IFNA(IF(INDEX(Tb_KostenOptiesDB[],MATCH($F1100,Tb_KostenOptiesDB[KostenOptie],0),IFERROR(MATCH(Methode_Keuze,Tb_KostenOptiesDB[#Headers],0),2))=1,_xlfn.SWITCH($N1100,"Uurtarief",IF(OR(AND(RIGHT($F1100,3)="IKS",VLOOKUP($M1100,DB_Loonkosten,2,0)="Ja"),AND(RIGHT($F1100,3)&lt;&gt;"IKS",VLOOKUP($M1100,DB_Loonkosten,2,0)="Nee")),IFERROR(VLOOKUP($M1100,DB_Loonkosten,24,0),""),0),"Vast tarief",IF(LEFT(F1100,8)="Bijdrage",VLOOKUP($F1100,Tb_KostenTypen[],MATCH(Lijsten!$P$1,Tb_KostenTypen[#Headers],0),0),VLOOKUP($G1100,Lijsten!L:P,MATCH(Lijsten!$P$1,Kop_Tarief_Vast,0),0))),""),"")</f>
        <v/>
      </c>
      <c r="P1100" s="320" t="str" cm="1">
        <f t="array" ref="P1100">_xlfn.IFNA(IF(INDEX(Tb_KostenOptiesDB[],MATCH($F1100,Tb_KostenOptiesDB[KostenOptie],0),IFERROR(MATCH(Methode_Keuze,Tb_KostenOptiesDB[#Headers],0),2))=1,_xlfn.SWITCH($N1100,"Uurtarief",IF(OR(AND(RIGHT($F1100,3)="IKS",VLOOKUP($M1100,DB_Loonkosten,2,0)="Ja"),AND(RIGHT($F1100,3)&lt;&gt;"IKS",VLOOKUP($M1100,DB_Loonkosten,2,0)="Nee")),IFERROR(VLOOKUP($M1100,DB_Loonkosten,25,0),""),0),"Vast tarief",IF(LEFT(F1100,8)="Bijdrage",VLOOKUP($F1100,Tb_KostenTypen[],MATCH(Lijsten!$P$1,Tb_KostenTypen[#Headers],0),0),VLOOKUP($G1100,Lijsten!L:P,MATCH(Lijsten!$P$1,Kop_Tarief_Vast,0),0))),""),"")</f>
        <v/>
      </c>
      <c r="Q1100" s="359"/>
      <c r="R1100" s="359"/>
      <c r="S1100" s="321"/>
      <c r="T1100" s="321"/>
      <c r="U1100" s="373" t="str">
        <f t="shared" si="68"/>
        <v/>
      </c>
      <c r="V1100" s="314" t="str">
        <f t="shared" si="69"/>
        <v/>
      </c>
      <c r="W1100" s="314" t="str" cm="1">
        <f t="array" aca="1" ref="W1100" ca="1">IFERROR(IF(AE1100&lt;&gt;"ja",_xlfn.IFNA(_xlfn.IFS(AND(O1100&lt;&gt;"",F1100&lt;&gt;"",RIGHT($N1100,6)="tarief",F1100="Vergoeding"),SUM(O1100)*FLOOR(SUM(Q1100),0.0001),AND(O1100&lt;&gt;"",F1100&lt;&gt;"",RIGHT($N1100,6)="tarief"),SUM(O1100)*FLOOR(SUM(Q1100),0.01),S1100&gt;0,IF(F1100&lt;&gt;"",FLOOR(SUM(S1100),0.01),"")),""),""),"")</f>
        <v/>
      </c>
      <c r="X1100" s="314" t="str" cm="1">
        <f t="array" aca="1" ref="X1100" ca="1">IFERROR(IF(AE1100&lt;&gt;"ja",_xlfn.IFNA(_xlfn.IFS(AND(P1100&lt;&gt;"",R1100&lt;&gt;"",RIGHT($N1100,6)="tarief",F1100="Vergoeding"),SUM(P1100)*FLOOR(SUM(R1100),0.0001),AND(P1100&lt;&gt;"",R1100&lt;&gt;"",RIGHT($N1100,6)="tarief"),P1100*FLOOR(R1100,0.01),T1100&gt;0,FLOOR(SUM(T1100),0.01)),""),""),"")</f>
        <v/>
      </c>
      <c r="Y1100" s="314" t="str">
        <f t="shared" ca="1" si="70"/>
        <v/>
      </c>
      <c r="Z1100" s="314" t="str" cm="1">
        <f t="array" aca="1" ref="Z1100" ca="1">IFERROR(_xlfn.IFS(OR(F1100="",LEFT(Methode_Keuze,4)="Geen",Methode_Keuze=""),"",AND(W1100&lt;&gt;"",F1100&lt;&gt;"Arbeidskosten"),W1100*VLOOKUP(F1100,Tb_ProjectKosten[],MATCH(Tb_ProjectKosten[[#Headers],[Forfait_Percentage]],Tb_ProjectKosten[#Headers],0),0),AND(F1100="Arbeidskosten",G1100&lt;&gt;""),IFERROR(W1100*VLOOKUP(G1100,Tb_KostenTypen[],3,0)*VLOOKUP(F1100,Tb_ProjectKosten[],MATCH(Tb_ProjectKosten[[#Headers],[Forfait_Percentage]],Tb_ProjectKosten[#Headers],0),0),""),W1100 &lt;=0,0),"")</f>
        <v/>
      </c>
      <c r="AA1100" s="314" t="str" cm="1">
        <f t="array" aca="1" ref="AA1100" ca="1">IFERROR(_xlfn.IFS(OR(F1100="",LEFT(Methode_Keuze,4)="Geen",Methode_Keuze=""),"",AND(X1100&lt;&gt;"",F1100&lt;&gt;"Arbeidskosten"),X1100*VLOOKUP(F1100,Tb_ProjectKosten[],MATCH(Tb_ProjectKosten[[#Headers],[Forfait_Percentage]],Tb_ProjectKosten[#Headers],0),0),AND(F1100="Arbeidskosten",G1100&lt;&gt;""),IFERROR(X1100*VLOOKUP(G1100,Tb_KostenTypen[],3,0)*VLOOKUP(F1100,Tb_ProjectKosten[],MATCH(Tb_ProjectKosten[[#Headers],[Forfait_Percentage]],Tb_ProjectKosten[#Headers],0),0),""),X1100 &lt;=0,0),"")</f>
        <v/>
      </c>
      <c r="AB1100" s="314" t="str">
        <f t="shared" ca="1" si="71"/>
        <v/>
      </c>
      <c r="AC1100" s="322"/>
      <c r="AD1100" s="315"/>
      <c r="AE1100" s="32" t="str" cm="1">
        <f t="array" ref="AE1100">IFERROR(IF(INDEX(SubsidieTabel!$AD$1:$AG$12,MATCH($F1100,SubsidieTabel!$AD$1:$AD$12,0),IFERROR(MATCH(Methode_Keuze,SubsidieTabel!$AD$1:$AG$1,0),2))&lt;&gt;1=TRUE,"ja",""),"")</f>
        <v/>
      </c>
    </row>
    <row r="1101" spans="1:31" x14ac:dyDescent="0.25">
      <c r="A1101" s="316"/>
      <c r="B1101" s="317" t="str">
        <f>IF(A1101&lt;&gt;"",_xlfn.MAXIFS($B$1:B1100,$A$1:A1100,A1101)+1,"")</f>
        <v/>
      </c>
      <c r="C1101" s="296"/>
      <c r="D1101" s="296"/>
      <c r="E1101" s="296"/>
      <c r="F1101" s="296"/>
      <c r="G1101" s="326"/>
      <c r="H1101" s="324"/>
      <c r="I1101" s="325"/>
      <c r="J1101" s="325"/>
      <c r="K1101" s="318"/>
      <c r="L1101" s="318"/>
      <c r="M1101" s="319" t="str">
        <f>IFERROR(VLOOKUP(H1101,Lijsten!$H$1:$I$100,2,0),"")</f>
        <v/>
      </c>
      <c r="N1101" s="319" t="str">
        <f ca="1">IFERROR(IF(VLOOKUP(F1101,Kostentypen!$A$3:$E$21,3,0)=0,"",IF(OR(F1101="Arbeidskosten",F1101="Vergoeding"),VLOOKUP(G1101,Tb_KostenTypen[],2,0),VLOOKUP(F1101,Kostentypen!$A$3:$E$20,3,0))),"")</f>
        <v/>
      </c>
      <c r="O1101" s="320" t="str" cm="1">
        <f t="array" ref="O1101">_xlfn.IFNA(IF(INDEX(Tb_KostenOptiesDB[],MATCH($F1101,Tb_KostenOptiesDB[KostenOptie],0),IFERROR(MATCH(Methode_Keuze,Tb_KostenOptiesDB[#Headers],0),2))=1,_xlfn.SWITCH($N1101,"Uurtarief",IF(OR(AND(RIGHT($F1101,3)="IKS",VLOOKUP($M1101,DB_Loonkosten,2,0)="Ja"),AND(RIGHT($F1101,3)&lt;&gt;"IKS",VLOOKUP($M1101,DB_Loonkosten,2,0)="Nee")),IFERROR(VLOOKUP($M1101,DB_Loonkosten,24,0),""),0),"Vast tarief",IF(LEFT(F1101,8)="Bijdrage",VLOOKUP($F1101,Tb_KostenTypen[],MATCH(Lijsten!$P$1,Tb_KostenTypen[#Headers],0),0),VLOOKUP($G1101,Lijsten!L:P,MATCH(Lijsten!$P$1,Kop_Tarief_Vast,0),0))),""),"")</f>
        <v/>
      </c>
      <c r="P1101" s="320" t="str" cm="1">
        <f t="array" ref="P1101">_xlfn.IFNA(IF(INDEX(Tb_KostenOptiesDB[],MATCH($F1101,Tb_KostenOptiesDB[KostenOptie],0),IFERROR(MATCH(Methode_Keuze,Tb_KostenOptiesDB[#Headers],0),2))=1,_xlfn.SWITCH($N1101,"Uurtarief",IF(OR(AND(RIGHT($F1101,3)="IKS",VLOOKUP($M1101,DB_Loonkosten,2,0)="Ja"),AND(RIGHT($F1101,3)&lt;&gt;"IKS",VLOOKUP($M1101,DB_Loonkosten,2,0)="Nee")),IFERROR(VLOOKUP($M1101,DB_Loonkosten,25,0),""),0),"Vast tarief",IF(LEFT(F1101,8)="Bijdrage",VLOOKUP($F1101,Tb_KostenTypen[],MATCH(Lijsten!$P$1,Tb_KostenTypen[#Headers],0),0),VLOOKUP($G1101,Lijsten!L:P,MATCH(Lijsten!$P$1,Kop_Tarief_Vast,0),0))),""),"")</f>
        <v/>
      </c>
      <c r="Q1101" s="359"/>
      <c r="R1101" s="359"/>
      <c r="S1101" s="321"/>
      <c r="T1101" s="321"/>
      <c r="U1101" s="373" t="str">
        <f t="shared" si="68"/>
        <v/>
      </c>
      <c r="V1101" s="314" t="str">
        <f t="shared" si="69"/>
        <v/>
      </c>
      <c r="W1101" s="314" t="str" cm="1">
        <f t="array" aca="1" ref="W1101" ca="1">IFERROR(IF(AE1101&lt;&gt;"ja",_xlfn.IFNA(_xlfn.IFS(AND(O1101&lt;&gt;"",F1101&lt;&gt;"",RIGHT($N1101,6)="tarief",F1101="Vergoeding"),SUM(O1101)*FLOOR(SUM(Q1101),0.0001),AND(O1101&lt;&gt;"",F1101&lt;&gt;"",RIGHT($N1101,6)="tarief"),SUM(O1101)*FLOOR(SUM(Q1101),0.01),S1101&gt;0,IF(F1101&lt;&gt;"",FLOOR(SUM(S1101),0.01),"")),""),""),"")</f>
        <v/>
      </c>
      <c r="X1101" s="314" t="str" cm="1">
        <f t="array" aca="1" ref="X1101" ca="1">IFERROR(IF(AE1101&lt;&gt;"ja",_xlfn.IFNA(_xlfn.IFS(AND(P1101&lt;&gt;"",R1101&lt;&gt;"",RIGHT($N1101,6)="tarief",F1101="Vergoeding"),SUM(P1101)*FLOOR(SUM(R1101),0.0001),AND(P1101&lt;&gt;"",R1101&lt;&gt;"",RIGHT($N1101,6)="tarief"),P1101*FLOOR(R1101,0.01),T1101&gt;0,FLOOR(SUM(T1101),0.01)),""),""),"")</f>
        <v/>
      </c>
      <c r="Y1101" s="314" t="str">
        <f t="shared" ca="1" si="70"/>
        <v/>
      </c>
      <c r="Z1101" s="314" t="str" cm="1">
        <f t="array" aca="1" ref="Z1101" ca="1">IFERROR(_xlfn.IFS(OR(F1101="",LEFT(Methode_Keuze,4)="Geen",Methode_Keuze=""),"",AND(W1101&lt;&gt;"",F1101&lt;&gt;"Arbeidskosten"),W1101*VLOOKUP(F1101,Tb_ProjectKosten[],MATCH(Tb_ProjectKosten[[#Headers],[Forfait_Percentage]],Tb_ProjectKosten[#Headers],0),0),AND(F1101="Arbeidskosten",G1101&lt;&gt;""),IFERROR(W1101*VLOOKUP(G1101,Tb_KostenTypen[],3,0)*VLOOKUP(F1101,Tb_ProjectKosten[],MATCH(Tb_ProjectKosten[[#Headers],[Forfait_Percentage]],Tb_ProjectKosten[#Headers],0),0),""),W1101 &lt;=0,0),"")</f>
        <v/>
      </c>
      <c r="AA1101" s="314" t="str" cm="1">
        <f t="array" aca="1" ref="AA1101" ca="1">IFERROR(_xlfn.IFS(OR(F1101="",LEFT(Methode_Keuze,4)="Geen",Methode_Keuze=""),"",AND(X1101&lt;&gt;"",F1101&lt;&gt;"Arbeidskosten"),X1101*VLOOKUP(F1101,Tb_ProjectKosten[],MATCH(Tb_ProjectKosten[[#Headers],[Forfait_Percentage]],Tb_ProjectKosten[#Headers],0),0),AND(F1101="Arbeidskosten",G1101&lt;&gt;""),IFERROR(X1101*VLOOKUP(G1101,Tb_KostenTypen[],3,0)*VLOOKUP(F1101,Tb_ProjectKosten[],MATCH(Tb_ProjectKosten[[#Headers],[Forfait_Percentage]],Tb_ProjectKosten[#Headers],0),0),""),X1101 &lt;=0,0),"")</f>
        <v/>
      </c>
      <c r="AB1101" s="314" t="str">
        <f t="shared" ca="1" si="71"/>
        <v/>
      </c>
      <c r="AC1101" s="322"/>
      <c r="AD1101" s="315"/>
      <c r="AE1101" s="32" t="str" cm="1">
        <f t="array" ref="AE1101">IFERROR(IF(INDEX(SubsidieTabel!$AD$1:$AG$12,MATCH($F1101,SubsidieTabel!$AD$1:$AD$12,0),IFERROR(MATCH(Methode_Keuze,SubsidieTabel!$AD$1:$AG$1,0),2))&lt;&gt;1=TRUE,"ja",""),"")</f>
        <v/>
      </c>
    </row>
    <row r="1102" spans="1:31" x14ac:dyDescent="0.25">
      <c r="A1102" s="316"/>
      <c r="B1102" s="317" t="str">
        <f>IF(A1102&lt;&gt;"",_xlfn.MAXIFS($B$1:B1101,$A$1:A1101,A1102)+1,"")</f>
        <v/>
      </c>
      <c r="C1102" s="296"/>
      <c r="D1102" s="296"/>
      <c r="E1102" s="296"/>
      <c r="F1102" s="296"/>
      <c r="G1102" s="326"/>
      <c r="H1102" s="324"/>
      <c r="I1102" s="325"/>
      <c r="J1102" s="325"/>
      <c r="K1102" s="318"/>
      <c r="L1102" s="318"/>
      <c r="M1102" s="319" t="str">
        <f>IFERROR(VLOOKUP(H1102,Lijsten!$H$1:$I$100,2,0),"")</f>
        <v/>
      </c>
      <c r="N1102" s="319" t="str">
        <f ca="1">IFERROR(IF(VLOOKUP(F1102,Kostentypen!$A$3:$E$21,3,0)=0,"",IF(OR(F1102="Arbeidskosten",F1102="Vergoeding"),VLOOKUP(G1102,Tb_KostenTypen[],2,0),VLOOKUP(F1102,Kostentypen!$A$3:$E$20,3,0))),"")</f>
        <v/>
      </c>
      <c r="O1102" s="320" t="str" cm="1">
        <f t="array" ref="O1102">_xlfn.IFNA(IF(INDEX(Tb_KostenOptiesDB[],MATCH($F1102,Tb_KostenOptiesDB[KostenOptie],0),IFERROR(MATCH(Methode_Keuze,Tb_KostenOptiesDB[#Headers],0),2))=1,_xlfn.SWITCH($N1102,"Uurtarief",IF(OR(AND(RIGHT($F1102,3)="IKS",VLOOKUP($M1102,DB_Loonkosten,2,0)="Ja"),AND(RIGHT($F1102,3)&lt;&gt;"IKS",VLOOKUP($M1102,DB_Loonkosten,2,0)="Nee")),IFERROR(VLOOKUP($M1102,DB_Loonkosten,24,0),""),0),"Vast tarief",IF(LEFT(F1102,8)="Bijdrage",VLOOKUP($F1102,Tb_KostenTypen[],MATCH(Lijsten!$P$1,Tb_KostenTypen[#Headers],0),0),VLOOKUP($G1102,Lijsten!L:P,MATCH(Lijsten!$P$1,Kop_Tarief_Vast,0),0))),""),"")</f>
        <v/>
      </c>
      <c r="P1102" s="320" t="str" cm="1">
        <f t="array" ref="P1102">_xlfn.IFNA(IF(INDEX(Tb_KostenOptiesDB[],MATCH($F1102,Tb_KostenOptiesDB[KostenOptie],0),IFERROR(MATCH(Methode_Keuze,Tb_KostenOptiesDB[#Headers],0),2))=1,_xlfn.SWITCH($N1102,"Uurtarief",IF(OR(AND(RIGHT($F1102,3)="IKS",VLOOKUP($M1102,DB_Loonkosten,2,0)="Ja"),AND(RIGHT($F1102,3)&lt;&gt;"IKS",VLOOKUP($M1102,DB_Loonkosten,2,0)="Nee")),IFERROR(VLOOKUP($M1102,DB_Loonkosten,25,0),""),0),"Vast tarief",IF(LEFT(F1102,8)="Bijdrage",VLOOKUP($F1102,Tb_KostenTypen[],MATCH(Lijsten!$P$1,Tb_KostenTypen[#Headers],0),0),VLOOKUP($G1102,Lijsten!L:P,MATCH(Lijsten!$P$1,Kop_Tarief_Vast,0),0))),""),"")</f>
        <v/>
      </c>
      <c r="Q1102" s="359"/>
      <c r="R1102" s="359"/>
      <c r="S1102" s="321"/>
      <c r="T1102" s="321"/>
      <c r="U1102" s="373" t="str">
        <f t="shared" si="68"/>
        <v/>
      </c>
      <c r="V1102" s="314" t="str">
        <f t="shared" si="69"/>
        <v/>
      </c>
      <c r="W1102" s="314" t="str" cm="1">
        <f t="array" aca="1" ref="W1102" ca="1">IFERROR(IF(AE1102&lt;&gt;"ja",_xlfn.IFNA(_xlfn.IFS(AND(O1102&lt;&gt;"",F1102&lt;&gt;"",RIGHT($N1102,6)="tarief",F1102="Vergoeding"),SUM(O1102)*FLOOR(SUM(Q1102),0.0001),AND(O1102&lt;&gt;"",F1102&lt;&gt;"",RIGHT($N1102,6)="tarief"),SUM(O1102)*FLOOR(SUM(Q1102),0.01),S1102&gt;0,IF(F1102&lt;&gt;"",FLOOR(SUM(S1102),0.01),"")),""),""),"")</f>
        <v/>
      </c>
      <c r="X1102" s="314" t="str" cm="1">
        <f t="array" aca="1" ref="X1102" ca="1">IFERROR(IF(AE1102&lt;&gt;"ja",_xlfn.IFNA(_xlfn.IFS(AND(P1102&lt;&gt;"",R1102&lt;&gt;"",RIGHT($N1102,6)="tarief",F1102="Vergoeding"),SUM(P1102)*FLOOR(SUM(R1102),0.0001),AND(P1102&lt;&gt;"",R1102&lt;&gt;"",RIGHT($N1102,6)="tarief"),P1102*FLOOR(R1102,0.01),T1102&gt;0,FLOOR(SUM(T1102),0.01)),""),""),"")</f>
        <v/>
      </c>
      <c r="Y1102" s="314" t="str">
        <f t="shared" ca="1" si="70"/>
        <v/>
      </c>
      <c r="Z1102" s="314" t="str" cm="1">
        <f t="array" aca="1" ref="Z1102" ca="1">IFERROR(_xlfn.IFS(OR(F1102="",LEFT(Methode_Keuze,4)="Geen",Methode_Keuze=""),"",AND(W1102&lt;&gt;"",F1102&lt;&gt;"Arbeidskosten"),W1102*VLOOKUP(F1102,Tb_ProjectKosten[],MATCH(Tb_ProjectKosten[[#Headers],[Forfait_Percentage]],Tb_ProjectKosten[#Headers],0),0),AND(F1102="Arbeidskosten",G1102&lt;&gt;""),IFERROR(W1102*VLOOKUP(G1102,Tb_KostenTypen[],3,0)*VLOOKUP(F1102,Tb_ProjectKosten[],MATCH(Tb_ProjectKosten[[#Headers],[Forfait_Percentage]],Tb_ProjectKosten[#Headers],0),0),""),W1102 &lt;=0,0),"")</f>
        <v/>
      </c>
      <c r="AA1102" s="314" t="str" cm="1">
        <f t="array" aca="1" ref="AA1102" ca="1">IFERROR(_xlfn.IFS(OR(F1102="",LEFT(Methode_Keuze,4)="Geen",Methode_Keuze=""),"",AND(X1102&lt;&gt;"",F1102&lt;&gt;"Arbeidskosten"),X1102*VLOOKUP(F1102,Tb_ProjectKosten[],MATCH(Tb_ProjectKosten[[#Headers],[Forfait_Percentage]],Tb_ProjectKosten[#Headers],0),0),AND(F1102="Arbeidskosten",G1102&lt;&gt;""),IFERROR(X1102*VLOOKUP(G1102,Tb_KostenTypen[],3,0)*VLOOKUP(F1102,Tb_ProjectKosten[],MATCH(Tb_ProjectKosten[[#Headers],[Forfait_Percentage]],Tb_ProjectKosten[#Headers],0),0),""),X1102 &lt;=0,0),"")</f>
        <v/>
      </c>
      <c r="AB1102" s="314" t="str">
        <f t="shared" ca="1" si="71"/>
        <v/>
      </c>
      <c r="AC1102" s="322"/>
      <c r="AD1102" s="315"/>
      <c r="AE1102" s="32" t="str" cm="1">
        <f t="array" ref="AE1102">IFERROR(IF(INDEX(SubsidieTabel!$AD$1:$AG$12,MATCH($F1102,SubsidieTabel!$AD$1:$AD$12,0),IFERROR(MATCH(Methode_Keuze,SubsidieTabel!$AD$1:$AG$1,0),2))&lt;&gt;1=TRUE,"ja",""),"")</f>
        <v/>
      </c>
    </row>
    <row r="1103" spans="1:31" x14ac:dyDescent="0.25">
      <c r="A1103" s="316"/>
      <c r="B1103" s="317" t="str">
        <f>IF(A1103&lt;&gt;"",_xlfn.MAXIFS($B$1:B1102,$A$1:A1102,A1103)+1,"")</f>
        <v/>
      </c>
      <c r="C1103" s="296"/>
      <c r="D1103" s="296"/>
      <c r="E1103" s="296"/>
      <c r="F1103" s="296"/>
      <c r="G1103" s="326"/>
      <c r="H1103" s="324"/>
      <c r="I1103" s="325"/>
      <c r="J1103" s="325"/>
      <c r="K1103" s="318"/>
      <c r="L1103" s="318"/>
      <c r="M1103" s="319" t="str">
        <f>IFERROR(VLOOKUP(H1103,Lijsten!$H$1:$I$100,2,0),"")</f>
        <v/>
      </c>
      <c r="N1103" s="319" t="str">
        <f ca="1">IFERROR(IF(VLOOKUP(F1103,Kostentypen!$A$3:$E$21,3,0)=0,"",IF(OR(F1103="Arbeidskosten",F1103="Vergoeding"),VLOOKUP(G1103,Tb_KostenTypen[],2,0),VLOOKUP(F1103,Kostentypen!$A$3:$E$20,3,0))),"")</f>
        <v/>
      </c>
      <c r="O1103" s="320" t="str" cm="1">
        <f t="array" ref="O1103">_xlfn.IFNA(IF(INDEX(Tb_KostenOptiesDB[],MATCH($F1103,Tb_KostenOptiesDB[KostenOptie],0),IFERROR(MATCH(Methode_Keuze,Tb_KostenOptiesDB[#Headers],0),2))=1,_xlfn.SWITCH($N1103,"Uurtarief",IF(OR(AND(RIGHT($F1103,3)="IKS",VLOOKUP($M1103,DB_Loonkosten,2,0)="Ja"),AND(RIGHT($F1103,3)&lt;&gt;"IKS",VLOOKUP($M1103,DB_Loonkosten,2,0)="Nee")),IFERROR(VLOOKUP($M1103,DB_Loonkosten,24,0),""),0),"Vast tarief",IF(LEFT(F1103,8)="Bijdrage",VLOOKUP($F1103,Tb_KostenTypen[],MATCH(Lijsten!$P$1,Tb_KostenTypen[#Headers],0),0),VLOOKUP($G1103,Lijsten!L:P,MATCH(Lijsten!$P$1,Kop_Tarief_Vast,0),0))),""),"")</f>
        <v/>
      </c>
      <c r="P1103" s="320" t="str" cm="1">
        <f t="array" ref="P1103">_xlfn.IFNA(IF(INDEX(Tb_KostenOptiesDB[],MATCH($F1103,Tb_KostenOptiesDB[KostenOptie],0),IFERROR(MATCH(Methode_Keuze,Tb_KostenOptiesDB[#Headers],0),2))=1,_xlfn.SWITCH($N1103,"Uurtarief",IF(OR(AND(RIGHT($F1103,3)="IKS",VLOOKUP($M1103,DB_Loonkosten,2,0)="Ja"),AND(RIGHT($F1103,3)&lt;&gt;"IKS",VLOOKUP($M1103,DB_Loonkosten,2,0)="Nee")),IFERROR(VLOOKUP($M1103,DB_Loonkosten,25,0),""),0),"Vast tarief",IF(LEFT(F1103,8)="Bijdrage",VLOOKUP($F1103,Tb_KostenTypen[],MATCH(Lijsten!$P$1,Tb_KostenTypen[#Headers],0),0),VLOOKUP($G1103,Lijsten!L:P,MATCH(Lijsten!$P$1,Kop_Tarief_Vast,0),0))),""),"")</f>
        <v/>
      </c>
      <c r="Q1103" s="359"/>
      <c r="R1103" s="359"/>
      <c r="S1103" s="321"/>
      <c r="T1103" s="321"/>
      <c r="U1103" s="373" t="str">
        <f t="shared" si="68"/>
        <v/>
      </c>
      <c r="V1103" s="314" t="str">
        <f t="shared" si="69"/>
        <v/>
      </c>
      <c r="W1103" s="314" t="str" cm="1">
        <f t="array" aca="1" ref="W1103" ca="1">IFERROR(IF(AE1103&lt;&gt;"ja",_xlfn.IFNA(_xlfn.IFS(AND(O1103&lt;&gt;"",F1103&lt;&gt;"",RIGHT($N1103,6)="tarief",F1103="Vergoeding"),SUM(O1103)*FLOOR(SUM(Q1103),0.0001),AND(O1103&lt;&gt;"",F1103&lt;&gt;"",RIGHT($N1103,6)="tarief"),SUM(O1103)*FLOOR(SUM(Q1103),0.01),S1103&gt;0,IF(F1103&lt;&gt;"",FLOOR(SUM(S1103),0.01),"")),""),""),"")</f>
        <v/>
      </c>
      <c r="X1103" s="314" t="str" cm="1">
        <f t="array" aca="1" ref="X1103" ca="1">IFERROR(IF(AE1103&lt;&gt;"ja",_xlfn.IFNA(_xlfn.IFS(AND(P1103&lt;&gt;"",R1103&lt;&gt;"",RIGHT($N1103,6)="tarief",F1103="Vergoeding"),SUM(P1103)*FLOOR(SUM(R1103),0.0001),AND(P1103&lt;&gt;"",R1103&lt;&gt;"",RIGHT($N1103,6)="tarief"),P1103*FLOOR(R1103,0.01),T1103&gt;0,FLOOR(SUM(T1103),0.01)),""),""),"")</f>
        <v/>
      </c>
      <c r="Y1103" s="314" t="str">
        <f t="shared" ca="1" si="70"/>
        <v/>
      </c>
      <c r="Z1103" s="314" t="str" cm="1">
        <f t="array" aca="1" ref="Z1103" ca="1">IFERROR(_xlfn.IFS(OR(F1103="",LEFT(Methode_Keuze,4)="Geen",Methode_Keuze=""),"",AND(W1103&lt;&gt;"",F1103&lt;&gt;"Arbeidskosten"),W1103*VLOOKUP(F1103,Tb_ProjectKosten[],MATCH(Tb_ProjectKosten[[#Headers],[Forfait_Percentage]],Tb_ProjectKosten[#Headers],0),0),AND(F1103="Arbeidskosten",G1103&lt;&gt;""),IFERROR(W1103*VLOOKUP(G1103,Tb_KostenTypen[],3,0)*VLOOKUP(F1103,Tb_ProjectKosten[],MATCH(Tb_ProjectKosten[[#Headers],[Forfait_Percentage]],Tb_ProjectKosten[#Headers],0),0),""),W1103 &lt;=0,0),"")</f>
        <v/>
      </c>
      <c r="AA1103" s="314" t="str" cm="1">
        <f t="array" aca="1" ref="AA1103" ca="1">IFERROR(_xlfn.IFS(OR(F1103="",LEFT(Methode_Keuze,4)="Geen",Methode_Keuze=""),"",AND(X1103&lt;&gt;"",F1103&lt;&gt;"Arbeidskosten"),X1103*VLOOKUP(F1103,Tb_ProjectKosten[],MATCH(Tb_ProjectKosten[[#Headers],[Forfait_Percentage]],Tb_ProjectKosten[#Headers],0),0),AND(F1103="Arbeidskosten",G1103&lt;&gt;""),IFERROR(X1103*VLOOKUP(G1103,Tb_KostenTypen[],3,0)*VLOOKUP(F1103,Tb_ProjectKosten[],MATCH(Tb_ProjectKosten[[#Headers],[Forfait_Percentage]],Tb_ProjectKosten[#Headers],0),0),""),X1103 &lt;=0,0),"")</f>
        <v/>
      </c>
      <c r="AB1103" s="314" t="str">
        <f t="shared" ca="1" si="71"/>
        <v/>
      </c>
      <c r="AC1103" s="322"/>
      <c r="AD1103" s="315"/>
      <c r="AE1103" s="32" t="str" cm="1">
        <f t="array" ref="AE1103">IFERROR(IF(INDEX(SubsidieTabel!$AD$1:$AG$12,MATCH($F1103,SubsidieTabel!$AD$1:$AD$12,0),IFERROR(MATCH(Methode_Keuze,SubsidieTabel!$AD$1:$AG$1,0),2))&lt;&gt;1=TRUE,"ja",""),"")</f>
        <v/>
      </c>
    </row>
    <row r="1104" spans="1:31" x14ac:dyDescent="0.25">
      <c r="A1104" s="316"/>
      <c r="B1104" s="317" t="str">
        <f>IF(A1104&lt;&gt;"",_xlfn.MAXIFS($B$1:B1103,$A$1:A1103,A1104)+1,"")</f>
        <v/>
      </c>
      <c r="C1104" s="296"/>
      <c r="D1104" s="296"/>
      <c r="E1104" s="296"/>
      <c r="F1104" s="296"/>
      <c r="G1104" s="326"/>
      <c r="H1104" s="324"/>
      <c r="I1104" s="325"/>
      <c r="J1104" s="325"/>
      <c r="K1104" s="318"/>
      <c r="L1104" s="318"/>
      <c r="M1104" s="319" t="str">
        <f>IFERROR(VLOOKUP(H1104,Lijsten!$H$1:$I$100,2,0),"")</f>
        <v/>
      </c>
      <c r="N1104" s="319" t="str">
        <f ca="1">IFERROR(IF(VLOOKUP(F1104,Kostentypen!$A$3:$E$21,3,0)=0,"",IF(OR(F1104="Arbeidskosten",F1104="Vergoeding"),VLOOKUP(G1104,Tb_KostenTypen[],2,0),VLOOKUP(F1104,Kostentypen!$A$3:$E$20,3,0))),"")</f>
        <v/>
      </c>
      <c r="O1104" s="320" t="str" cm="1">
        <f t="array" ref="O1104">_xlfn.IFNA(IF(INDEX(Tb_KostenOptiesDB[],MATCH($F1104,Tb_KostenOptiesDB[KostenOptie],0),IFERROR(MATCH(Methode_Keuze,Tb_KostenOptiesDB[#Headers],0),2))=1,_xlfn.SWITCH($N1104,"Uurtarief",IF(OR(AND(RIGHT($F1104,3)="IKS",VLOOKUP($M1104,DB_Loonkosten,2,0)="Ja"),AND(RIGHT($F1104,3)&lt;&gt;"IKS",VLOOKUP($M1104,DB_Loonkosten,2,0)="Nee")),IFERROR(VLOOKUP($M1104,DB_Loonkosten,24,0),""),0),"Vast tarief",IF(LEFT(F1104,8)="Bijdrage",VLOOKUP($F1104,Tb_KostenTypen[],MATCH(Lijsten!$P$1,Tb_KostenTypen[#Headers],0),0),VLOOKUP($G1104,Lijsten!L:P,MATCH(Lijsten!$P$1,Kop_Tarief_Vast,0),0))),""),"")</f>
        <v/>
      </c>
      <c r="P1104" s="320" t="str" cm="1">
        <f t="array" ref="P1104">_xlfn.IFNA(IF(INDEX(Tb_KostenOptiesDB[],MATCH($F1104,Tb_KostenOptiesDB[KostenOptie],0),IFERROR(MATCH(Methode_Keuze,Tb_KostenOptiesDB[#Headers],0),2))=1,_xlfn.SWITCH($N1104,"Uurtarief",IF(OR(AND(RIGHT($F1104,3)="IKS",VLOOKUP($M1104,DB_Loonkosten,2,0)="Ja"),AND(RIGHT($F1104,3)&lt;&gt;"IKS",VLOOKUP($M1104,DB_Loonkosten,2,0)="Nee")),IFERROR(VLOOKUP($M1104,DB_Loonkosten,25,0),""),0),"Vast tarief",IF(LEFT(F1104,8)="Bijdrage",VLOOKUP($F1104,Tb_KostenTypen[],MATCH(Lijsten!$P$1,Tb_KostenTypen[#Headers],0),0),VLOOKUP($G1104,Lijsten!L:P,MATCH(Lijsten!$P$1,Kop_Tarief_Vast,0),0))),""),"")</f>
        <v/>
      </c>
      <c r="Q1104" s="359"/>
      <c r="R1104" s="359"/>
      <c r="S1104" s="321"/>
      <c r="T1104" s="321"/>
      <c r="U1104" s="373" t="str">
        <f t="shared" si="68"/>
        <v/>
      </c>
      <c r="V1104" s="314" t="str">
        <f t="shared" si="69"/>
        <v/>
      </c>
      <c r="W1104" s="314" t="str" cm="1">
        <f t="array" aca="1" ref="W1104" ca="1">IFERROR(IF(AE1104&lt;&gt;"ja",_xlfn.IFNA(_xlfn.IFS(AND(O1104&lt;&gt;"",F1104&lt;&gt;"",RIGHT($N1104,6)="tarief",F1104="Vergoeding"),SUM(O1104)*FLOOR(SUM(Q1104),0.0001),AND(O1104&lt;&gt;"",F1104&lt;&gt;"",RIGHT($N1104,6)="tarief"),SUM(O1104)*FLOOR(SUM(Q1104),0.01),S1104&gt;0,IF(F1104&lt;&gt;"",FLOOR(SUM(S1104),0.01),"")),""),""),"")</f>
        <v/>
      </c>
      <c r="X1104" s="314" t="str" cm="1">
        <f t="array" aca="1" ref="X1104" ca="1">IFERROR(IF(AE1104&lt;&gt;"ja",_xlfn.IFNA(_xlfn.IFS(AND(P1104&lt;&gt;"",R1104&lt;&gt;"",RIGHT($N1104,6)="tarief",F1104="Vergoeding"),SUM(P1104)*FLOOR(SUM(R1104),0.0001),AND(P1104&lt;&gt;"",R1104&lt;&gt;"",RIGHT($N1104,6)="tarief"),P1104*FLOOR(R1104,0.01),T1104&gt;0,FLOOR(SUM(T1104),0.01)),""),""),"")</f>
        <v/>
      </c>
      <c r="Y1104" s="314" t="str">
        <f t="shared" ca="1" si="70"/>
        <v/>
      </c>
      <c r="Z1104" s="314" t="str" cm="1">
        <f t="array" aca="1" ref="Z1104" ca="1">IFERROR(_xlfn.IFS(OR(F1104="",LEFT(Methode_Keuze,4)="Geen",Methode_Keuze=""),"",AND(W1104&lt;&gt;"",F1104&lt;&gt;"Arbeidskosten"),W1104*VLOOKUP(F1104,Tb_ProjectKosten[],MATCH(Tb_ProjectKosten[[#Headers],[Forfait_Percentage]],Tb_ProjectKosten[#Headers],0),0),AND(F1104="Arbeidskosten",G1104&lt;&gt;""),IFERROR(W1104*VLOOKUP(G1104,Tb_KostenTypen[],3,0)*VLOOKUP(F1104,Tb_ProjectKosten[],MATCH(Tb_ProjectKosten[[#Headers],[Forfait_Percentage]],Tb_ProjectKosten[#Headers],0),0),""),W1104 &lt;=0,0),"")</f>
        <v/>
      </c>
      <c r="AA1104" s="314" t="str" cm="1">
        <f t="array" aca="1" ref="AA1104" ca="1">IFERROR(_xlfn.IFS(OR(F1104="",LEFT(Methode_Keuze,4)="Geen",Methode_Keuze=""),"",AND(X1104&lt;&gt;"",F1104&lt;&gt;"Arbeidskosten"),X1104*VLOOKUP(F1104,Tb_ProjectKosten[],MATCH(Tb_ProjectKosten[[#Headers],[Forfait_Percentage]],Tb_ProjectKosten[#Headers],0),0),AND(F1104="Arbeidskosten",G1104&lt;&gt;""),IFERROR(X1104*VLOOKUP(G1104,Tb_KostenTypen[],3,0)*VLOOKUP(F1104,Tb_ProjectKosten[],MATCH(Tb_ProjectKosten[[#Headers],[Forfait_Percentage]],Tb_ProjectKosten[#Headers],0),0),""),X1104 &lt;=0,0),"")</f>
        <v/>
      </c>
      <c r="AB1104" s="314" t="str">
        <f t="shared" ca="1" si="71"/>
        <v/>
      </c>
      <c r="AC1104" s="322"/>
      <c r="AD1104" s="315"/>
      <c r="AE1104" s="32" t="str" cm="1">
        <f t="array" ref="AE1104">IFERROR(IF(INDEX(SubsidieTabel!$AD$1:$AG$12,MATCH($F1104,SubsidieTabel!$AD$1:$AD$12,0),IFERROR(MATCH(Methode_Keuze,SubsidieTabel!$AD$1:$AG$1,0),2))&lt;&gt;1=TRUE,"ja",""),"")</f>
        <v/>
      </c>
    </row>
    <row r="1105" spans="1:31" x14ac:dyDescent="0.25">
      <c r="A1105" s="316"/>
      <c r="B1105" s="317" t="str">
        <f>IF(A1105&lt;&gt;"",_xlfn.MAXIFS($B$1:B1104,$A$1:A1104,A1105)+1,"")</f>
        <v/>
      </c>
      <c r="C1105" s="296"/>
      <c r="D1105" s="296"/>
      <c r="E1105" s="296"/>
      <c r="F1105" s="296"/>
      <c r="G1105" s="326"/>
      <c r="H1105" s="324"/>
      <c r="I1105" s="325"/>
      <c r="J1105" s="325"/>
      <c r="K1105" s="318"/>
      <c r="L1105" s="318"/>
      <c r="M1105" s="319" t="str">
        <f>IFERROR(VLOOKUP(H1105,Lijsten!$H$1:$I$100,2,0),"")</f>
        <v/>
      </c>
      <c r="N1105" s="319" t="str">
        <f ca="1">IFERROR(IF(VLOOKUP(F1105,Kostentypen!$A$3:$E$21,3,0)=0,"",IF(OR(F1105="Arbeidskosten",F1105="Vergoeding"),VLOOKUP(G1105,Tb_KostenTypen[],2,0),VLOOKUP(F1105,Kostentypen!$A$3:$E$20,3,0))),"")</f>
        <v/>
      </c>
      <c r="O1105" s="320" t="str" cm="1">
        <f t="array" ref="O1105">_xlfn.IFNA(IF(INDEX(Tb_KostenOptiesDB[],MATCH($F1105,Tb_KostenOptiesDB[KostenOptie],0),IFERROR(MATCH(Methode_Keuze,Tb_KostenOptiesDB[#Headers],0),2))=1,_xlfn.SWITCH($N1105,"Uurtarief",IF(OR(AND(RIGHT($F1105,3)="IKS",VLOOKUP($M1105,DB_Loonkosten,2,0)="Ja"),AND(RIGHT($F1105,3)&lt;&gt;"IKS",VLOOKUP($M1105,DB_Loonkosten,2,0)="Nee")),IFERROR(VLOOKUP($M1105,DB_Loonkosten,24,0),""),0),"Vast tarief",IF(LEFT(F1105,8)="Bijdrage",VLOOKUP($F1105,Tb_KostenTypen[],MATCH(Lijsten!$P$1,Tb_KostenTypen[#Headers],0),0),VLOOKUP($G1105,Lijsten!L:P,MATCH(Lijsten!$P$1,Kop_Tarief_Vast,0),0))),""),"")</f>
        <v/>
      </c>
      <c r="P1105" s="320" t="str" cm="1">
        <f t="array" ref="P1105">_xlfn.IFNA(IF(INDEX(Tb_KostenOptiesDB[],MATCH($F1105,Tb_KostenOptiesDB[KostenOptie],0),IFERROR(MATCH(Methode_Keuze,Tb_KostenOptiesDB[#Headers],0),2))=1,_xlfn.SWITCH($N1105,"Uurtarief",IF(OR(AND(RIGHT($F1105,3)="IKS",VLOOKUP($M1105,DB_Loonkosten,2,0)="Ja"),AND(RIGHT($F1105,3)&lt;&gt;"IKS",VLOOKUP($M1105,DB_Loonkosten,2,0)="Nee")),IFERROR(VLOOKUP($M1105,DB_Loonkosten,25,0),""),0),"Vast tarief",IF(LEFT(F1105,8)="Bijdrage",VLOOKUP($F1105,Tb_KostenTypen[],MATCH(Lijsten!$P$1,Tb_KostenTypen[#Headers],0),0),VLOOKUP($G1105,Lijsten!L:P,MATCH(Lijsten!$P$1,Kop_Tarief_Vast,0),0))),""),"")</f>
        <v/>
      </c>
      <c r="Q1105" s="359"/>
      <c r="R1105" s="359"/>
      <c r="S1105" s="321"/>
      <c r="T1105" s="321"/>
      <c r="U1105" s="373" t="str">
        <f t="shared" si="68"/>
        <v/>
      </c>
      <c r="V1105" s="314" t="str">
        <f t="shared" si="69"/>
        <v/>
      </c>
      <c r="W1105" s="314" t="str" cm="1">
        <f t="array" aca="1" ref="W1105" ca="1">IFERROR(IF(AE1105&lt;&gt;"ja",_xlfn.IFNA(_xlfn.IFS(AND(O1105&lt;&gt;"",F1105&lt;&gt;"",RIGHT($N1105,6)="tarief",F1105="Vergoeding"),SUM(O1105)*FLOOR(SUM(Q1105),0.0001),AND(O1105&lt;&gt;"",F1105&lt;&gt;"",RIGHT($N1105,6)="tarief"),SUM(O1105)*FLOOR(SUM(Q1105),0.01),S1105&gt;0,IF(F1105&lt;&gt;"",FLOOR(SUM(S1105),0.01),"")),""),""),"")</f>
        <v/>
      </c>
      <c r="X1105" s="314" t="str" cm="1">
        <f t="array" aca="1" ref="X1105" ca="1">IFERROR(IF(AE1105&lt;&gt;"ja",_xlfn.IFNA(_xlfn.IFS(AND(P1105&lt;&gt;"",R1105&lt;&gt;"",RIGHT($N1105,6)="tarief",F1105="Vergoeding"),SUM(P1105)*FLOOR(SUM(R1105),0.0001),AND(P1105&lt;&gt;"",R1105&lt;&gt;"",RIGHT($N1105,6)="tarief"),P1105*FLOOR(R1105,0.01),T1105&gt;0,FLOOR(SUM(T1105),0.01)),""),""),"")</f>
        <v/>
      </c>
      <c r="Y1105" s="314" t="str">
        <f t="shared" ca="1" si="70"/>
        <v/>
      </c>
      <c r="Z1105" s="314" t="str" cm="1">
        <f t="array" aca="1" ref="Z1105" ca="1">IFERROR(_xlfn.IFS(OR(F1105="",LEFT(Methode_Keuze,4)="Geen",Methode_Keuze=""),"",AND(W1105&lt;&gt;"",F1105&lt;&gt;"Arbeidskosten"),W1105*VLOOKUP(F1105,Tb_ProjectKosten[],MATCH(Tb_ProjectKosten[[#Headers],[Forfait_Percentage]],Tb_ProjectKosten[#Headers],0),0),AND(F1105="Arbeidskosten",G1105&lt;&gt;""),IFERROR(W1105*VLOOKUP(G1105,Tb_KostenTypen[],3,0)*VLOOKUP(F1105,Tb_ProjectKosten[],MATCH(Tb_ProjectKosten[[#Headers],[Forfait_Percentage]],Tb_ProjectKosten[#Headers],0),0),""),W1105 &lt;=0,0),"")</f>
        <v/>
      </c>
      <c r="AA1105" s="314" t="str" cm="1">
        <f t="array" aca="1" ref="AA1105" ca="1">IFERROR(_xlfn.IFS(OR(F1105="",LEFT(Methode_Keuze,4)="Geen",Methode_Keuze=""),"",AND(X1105&lt;&gt;"",F1105&lt;&gt;"Arbeidskosten"),X1105*VLOOKUP(F1105,Tb_ProjectKosten[],MATCH(Tb_ProjectKosten[[#Headers],[Forfait_Percentage]],Tb_ProjectKosten[#Headers],0),0),AND(F1105="Arbeidskosten",G1105&lt;&gt;""),IFERROR(X1105*VLOOKUP(G1105,Tb_KostenTypen[],3,0)*VLOOKUP(F1105,Tb_ProjectKosten[],MATCH(Tb_ProjectKosten[[#Headers],[Forfait_Percentage]],Tb_ProjectKosten[#Headers],0),0),""),X1105 &lt;=0,0),"")</f>
        <v/>
      </c>
      <c r="AB1105" s="314" t="str">
        <f t="shared" ca="1" si="71"/>
        <v/>
      </c>
      <c r="AC1105" s="322"/>
      <c r="AD1105" s="315"/>
      <c r="AE1105" s="32" t="str" cm="1">
        <f t="array" ref="AE1105">IFERROR(IF(INDEX(SubsidieTabel!$AD$1:$AG$12,MATCH($F1105,SubsidieTabel!$AD$1:$AD$12,0),IFERROR(MATCH(Methode_Keuze,SubsidieTabel!$AD$1:$AG$1,0),2))&lt;&gt;1=TRUE,"ja",""),"")</f>
        <v/>
      </c>
    </row>
    <row r="1106" spans="1:31" x14ac:dyDescent="0.25">
      <c r="A1106" s="316"/>
      <c r="B1106" s="317" t="str">
        <f>IF(A1106&lt;&gt;"",_xlfn.MAXIFS($B$1:B1105,$A$1:A1105,A1106)+1,"")</f>
        <v/>
      </c>
      <c r="C1106" s="296"/>
      <c r="D1106" s="296"/>
      <c r="E1106" s="296"/>
      <c r="F1106" s="296"/>
      <c r="G1106" s="326"/>
      <c r="H1106" s="324"/>
      <c r="I1106" s="325"/>
      <c r="J1106" s="325"/>
      <c r="K1106" s="318"/>
      <c r="L1106" s="318"/>
      <c r="M1106" s="319" t="str">
        <f>IFERROR(VLOOKUP(H1106,Lijsten!$H$1:$I$100,2,0),"")</f>
        <v/>
      </c>
      <c r="N1106" s="319" t="str">
        <f ca="1">IFERROR(IF(VLOOKUP(F1106,Kostentypen!$A$3:$E$21,3,0)=0,"",IF(OR(F1106="Arbeidskosten",F1106="Vergoeding"),VLOOKUP(G1106,Tb_KostenTypen[],2,0),VLOOKUP(F1106,Kostentypen!$A$3:$E$20,3,0))),"")</f>
        <v/>
      </c>
      <c r="O1106" s="320" t="str" cm="1">
        <f t="array" ref="O1106">_xlfn.IFNA(IF(INDEX(Tb_KostenOptiesDB[],MATCH($F1106,Tb_KostenOptiesDB[KostenOptie],0),IFERROR(MATCH(Methode_Keuze,Tb_KostenOptiesDB[#Headers],0),2))=1,_xlfn.SWITCH($N1106,"Uurtarief",IF(OR(AND(RIGHT($F1106,3)="IKS",VLOOKUP($M1106,DB_Loonkosten,2,0)="Ja"),AND(RIGHT($F1106,3)&lt;&gt;"IKS",VLOOKUP($M1106,DB_Loonkosten,2,0)="Nee")),IFERROR(VLOOKUP($M1106,DB_Loonkosten,24,0),""),0),"Vast tarief",IF(LEFT(F1106,8)="Bijdrage",VLOOKUP($F1106,Tb_KostenTypen[],MATCH(Lijsten!$P$1,Tb_KostenTypen[#Headers],0),0),VLOOKUP($G1106,Lijsten!L:P,MATCH(Lijsten!$P$1,Kop_Tarief_Vast,0),0))),""),"")</f>
        <v/>
      </c>
      <c r="P1106" s="320" t="str" cm="1">
        <f t="array" ref="P1106">_xlfn.IFNA(IF(INDEX(Tb_KostenOptiesDB[],MATCH($F1106,Tb_KostenOptiesDB[KostenOptie],0),IFERROR(MATCH(Methode_Keuze,Tb_KostenOptiesDB[#Headers],0),2))=1,_xlfn.SWITCH($N1106,"Uurtarief",IF(OR(AND(RIGHT($F1106,3)="IKS",VLOOKUP($M1106,DB_Loonkosten,2,0)="Ja"),AND(RIGHT($F1106,3)&lt;&gt;"IKS",VLOOKUP($M1106,DB_Loonkosten,2,0)="Nee")),IFERROR(VLOOKUP($M1106,DB_Loonkosten,25,0),""),0),"Vast tarief",IF(LEFT(F1106,8)="Bijdrage",VLOOKUP($F1106,Tb_KostenTypen[],MATCH(Lijsten!$P$1,Tb_KostenTypen[#Headers],0),0),VLOOKUP($G1106,Lijsten!L:P,MATCH(Lijsten!$P$1,Kop_Tarief_Vast,0),0))),""),"")</f>
        <v/>
      </c>
      <c r="Q1106" s="359"/>
      <c r="R1106" s="359"/>
      <c r="S1106" s="321"/>
      <c r="T1106" s="321"/>
      <c r="U1106" s="373" t="str">
        <f t="shared" si="68"/>
        <v/>
      </c>
      <c r="V1106" s="314" t="str">
        <f t="shared" si="69"/>
        <v/>
      </c>
      <c r="W1106" s="314" t="str" cm="1">
        <f t="array" aca="1" ref="W1106" ca="1">IFERROR(IF(AE1106&lt;&gt;"ja",_xlfn.IFNA(_xlfn.IFS(AND(O1106&lt;&gt;"",F1106&lt;&gt;"",RIGHT($N1106,6)="tarief",F1106="Vergoeding"),SUM(O1106)*FLOOR(SUM(Q1106),0.0001),AND(O1106&lt;&gt;"",F1106&lt;&gt;"",RIGHT($N1106,6)="tarief"),SUM(O1106)*FLOOR(SUM(Q1106),0.01),S1106&gt;0,IF(F1106&lt;&gt;"",FLOOR(SUM(S1106),0.01),"")),""),""),"")</f>
        <v/>
      </c>
      <c r="X1106" s="314" t="str" cm="1">
        <f t="array" aca="1" ref="X1106" ca="1">IFERROR(IF(AE1106&lt;&gt;"ja",_xlfn.IFNA(_xlfn.IFS(AND(P1106&lt;&gt;"",R1106&lt;&gt;"",RIGHT($N1106,6)="tarief",F1106="Vergoeding"),SUM(P1106)*FLOOR(SUM(R1106),0.0001),AND(P1106&lt;&gt;"",R1106&lt;&gt;"",RIGHT($N1106,6)="tarief"),P1106*FLOOR(R1106,0.01),T1106&gt;0,FLOOR(SUM(T1106),0.01)),""),""),"")</f>
        <v/>
      </c>
      <c r="Y1106" s="314" t="str">
        <f t="shared" ca="1" si="70"/>
        <v/>
      </c>
      <c r="Z1106" s="314" t="str" cm="1">
        <f t="array" aca="1" ref="Z1106" ca="1">IFERROR(_xlfn.IFS(OR(F1106="",LEFT(Methode_Keuze,4)="Geen",Methode_Keuze=""),"",AND(W1106&lt;&gt;"",F1106&lt;&gt;"Arbeidskosten"),W1106*VLOOKUP(F1106,Tb_ProjectKosten[],MATCH(Tb_ProjectKosten[[#Headers],[Forfait_Percentage]],Tb_ProjectKosten[#Headers],0),0),AND(F1106="Arbeidskosten",G1106&lt;&gt;""),IFERROR(W1106*VLOOKUP(G1106,Tb_KostenTypen[],3,0)*VLOOKUP(F1106,Tb_ProjectKosten[],MATCH(Tb_ProjectKosten[[#Headers],[Forfait_Percentage]],Tb_ProjectKosten[#Headers],0),0),""),W1106 &lt;=0,0),"")</f>
        <v/>
      </c>
      <c r="AA1106" s="314" t="str" cm="1">
        <f t="array" aca="1" ref="AA1106" ca="1">IFERROR(_xlfn.IFS(OR(F1106="",LEFT(Methode_Keuze,4)="Geen",Methode_Keuze=""),"",AND(X1106&lt;&gt;"",F1106&lt;&gt;"Arbeidskosten"),X1106*VLOOKUP(F1106,Tb_ProjectKosten[],MATCH(Tb_ProjectKosten[[#Headers],[Forfait_Percentage]],Tb_ProjectKosten[#Headers],0),0),AND(F1106="Arbeidskosten",G1106&lt;&gt;""),IFERROR(X1106*VLOOKUP(G1106,Tb_KostenTypen[],3,0)*VLOOKUP(F1106,Tb_ProjectKosten[],MATCH(Tb_ProjectKosten[[#Headers],[Forfait_Percentage]],Tb_ProjectKosten[#Headers],0),0),""),X1106 &lt;=0,0),"")</f>
        <v/>
      </c>
      <c r="AB1106" s="314" t="str">
        <f t="shared" ca="1" si="71"/>
        <v/>
      </c>
      <c r="AC1106" s="322"/>
      <c r="AD1106" s="315"/>
      <c r="AE1106" s="32" t="str" cm="1">
        <f t="array" ref="AE1106">IFERROR(IF(INDEX(SubsidieTabel!$AD$1:$AG$12,MATCH($F1106,SubsidieTabel!$AD$1:$AD$12,0),IFERROR(MATCH(Methode_Keuze,SubsidieTabel!$AD$1:$AG$1,0),2))&lt;&gt;1=TRUE,"ja",""),"")</f>
        <v/>
      </c>
    </row>
    <row r="1107" spans="1:31" x14ac:dyDescent="0.25">
      <c r="A1107" s="316"/>
      <c r="B1107" s="317" t="str">
        <f>IF(A1107&lt;&gt;"",_xlfn.MAXIFS($B$1:B1106,$A$1:A1106,A1107)+1,"")</f>
        <v/>
      </c>
      <c r="C1107" s="296"/>
      <c r="D1107" s="296"/>
      <c r="E1107" s="296"/>
      <c r="F1107" s="296"/>
      <c r="G1107" s="326"/>
      <c r="H1107" s="324"/>
      <c r="I1107" s="325"/>
      <c r="J1107" s="325"/>
      <c r="K1107" s="318"/>
      <c r="L1107" s="318"/>
      <c r="M1107" s="319" t="str">
        <f>IFERROR(VLOOKUP(H1107,Lijsten!$H$1:$I$100,2,0),"")</f>
        <v/>
      </c>
      <c r="N1107" s="319" t="str">
        <f ca="1">IFERROR(IF(VLOOKUP(F1107,Kostentypen!$A$3:$E$21,3,0)=0,"",IF(OR(F1107="Arbeidskosten",F1107="Vergoeding"),VLOOKUP(G1107,Tb_KostenTypen[],2,0),VLOOKUP(F1107,Kostentypen!$A$3:$E$20,3,0))),"")</f>
        <v/>
      </c>
      <c r="O1107" s="320" t="str" cm="1">
        <f t="array" ref="O1107">_xlfn.IFNA(IF(INDEX(Tb_KostenOptiesDB[],MATCH($F1107,Tb_KostenOptiesDB[KostenOptie],0),IFERROR(MATCH(Methode_Keuze,Tb_KostenOptiesDB[#Headers],0),2))=1,_xlfn.SWITCH($N1107,"Uurtarief",IF(OR(AND(RIGHT($F1107,3)="IKS",VLOOKUP($M1107,DB_Loonkosten,2,0)="Ja"),AND(RIGHT($F1107,3)&lt;&gt;"IKS",VLOOKUP($M1107,DB_Loonkosten,2,0)="Nee")),IFERROR(VLOOKUP($M1107,DB_Loonkosten,24,0),""),0),"Vast tarief",IF(LEFT(F1107,8)="Bijdrage",VLOOKUP($F1107,Tb_KostenTypen[],MATCH(Lijsten!$P$1,Tb_KostenTypen[#Headers],0),0),VLOOKUP($G1107,Lijsten!L:P,MATCH(Lijsten!$P$1,Kop_Tarief_Vast,0),0))),""),"")</f>
        <v/>
      </c>
      <c r="P1107" s="320" t="str" cm="1">
        <f t="array" ref="P1107">_xlfn.IFNA(IF(INDEX(Tb_KostenOptiesDB[],MATCH($F1107,Tb_KostenOptiesDB[KostenOptie],0),IFERROR(MATCH(Methode_Keuze,Tb_KostenOptiesDB[#Headers],0),2))=1,_xlfn.SWITCH($N1107,"Uurtarief",IF(OR(AND(RIGHT($F1107,3)="IKS",VLOOKUP($M1107,DB_Loonkosten,2,0)="Ja"),AND(RIGHT($F1107,3)&lt;&gt;"IKS",VLOOKUP($M1107,DB_Loonkosten,2,0)="Nee")),IFERROR(VLOOKUP($M1107,DB_Loonkosten,25,0),""),0),"Vast tarief",IF(LEFT(F1107,8)="Bijdrage",VLOOKUP($F1107,Tb_KostenTypen[],MATCH(Lijsten!$P$1,Tb_KostenTypen[#Headers],0),0),VLOOKUP($G1107,Lijsten!L:P,MATCH(Lijsten!$P$1,Kop_Tarief_Vast,0),0))),""),"")</f>
        <v/>
      </c>
      <c r="Q1107" s="359"/>
      <c r="R1107" s="359"/>
      <c r="S1107" s="321"/>
      <c r="T1107" s="321"/>
      <c r="U1107" s="373" t="str">
        <f t="shared" si="68"/>
        <v/>
      </c>
      <c r="V1107" s="314" t="str">
        <f t="shared" si="69"/>
        <v/>
      </c>
      <c r="W1107" s="314" t="str" cm="1">
        <f t="array" aca="1" ref="W1107" ca="1">IFERROR(IF(AE1107&lt;&gt;"ja",_xlfn.IFNA(_xlfn.IFS(AND(O1107&lt;&gt;"",F1107&lt;&gt;"",RIGHT($N1107,6)="tarief",F1107="Vergoeding"),SUM(O1107)*FLOOR(SUM(Q1107),0.0001),AND(O1107&lt;&gt;"",F1107&lt;&gt;"",RIGHT($N1107,6)="tarief"),SUM(O1107)*FLOOR(SUM(Q1107),0.01),S1107&gt;0,IF(F1107&lt;&gt;"",FLOOR(SUM(S1107),0.01),"")),""),""),"")</f>
        <v/>
      </c>
      <c r="X1107" s="314" t="str" cm="1">
        <f t="array" aca="1" ref="X1107" ca="1">IFERROR(IF(AE1107&lt;&gt;"ja",_xlfn.IFNA(_xlfn.IFS(AND(P1107&lt;&gt;"",R1107&lt;&gt;"",RIGHT($N1107,6)="tarief",F1107="Vergoeding"),SUM(P1107)*FLOOR(SUM(R1107),0.0001),AND(P1107&lt;&gt;"",R1107&lt;&gt;"",RIGHT($N1107,6)="tarief"),P1107*FLOOR(R1107,0.01),T1107&gt;0,FLOOR(SUM(T1107),0.01)),""),""),"")</f>
        <v/>
      </c>
      <c r="Y1107" s="314" t="str">
        <f t="shared" ca="1" si="70"/>
        <v/>
      </c>
      <c r="Z1107" s="314" t="str" cm="1">
        <f t="array" aca="1" ref="Z1107" ca="1">IFERROR(_xlfn.IFS(OR(F1107="",LEFT(Methode_Keuze,4)="Geen",Methode_Keuze=""),"",AND(W1107&lt;&gt;"",F1107&lt;&gt;"Arbeidskosten"),W1107*VLOOKUP(F1107,Tb_ProjectKosten[],MATCH(Tb_ProjectKosten[[#Headers],[Forfait_Percentage]],Tb_ProjectKosten[#Headers],0),0),AND(F1107="Arbeidskosten",G1107&lt;&gt;""),IFERROR(W1107*VLOOKUP(G1107,Tb_KostenTypen[],3,0)*VLOOKUP(F1107,Tb_ProjectKosten[],MATCH(Tb_ProjectKosten[[#Headers],[Forfait_Percentage]],Tb_ProjectKosten[#Headers],0),0),""),W1107 &lt;=0,0),"")</f>
        <v/>
      </c>
      <c r="AA1107" s="314" t="str" cm="1">
        <f t="array" aca="1" ref="AA1107" ca="1">IFERROR(_xlfn.IFS(OR(F1107="",LEFT(Methode_Keuze,4)="Geen",Methode_Keuze=""),"",AND(X1107&lt;&gt;"",F1107&lt;&gt;"Arbeidskosten"),X1107*VLOOKUP(F1107,Tb_ProjectKosten[],MATCH(Tb_ProjectKosten[[#Headers],[Forfait_Percentage]],Tb_ProjectKosten[#Headers],0),0),AND(F1107="Arbeidskosten",G1107&lt;&gt;""),IFERROR(X1107*VLOOKUP(G1107,Tb_KostenTypen[],3,0)*VLOOKUP(F1107,Tb_ProjectKosten[],MATCH(Tb_ProjectKosten[[#Headers],[Forfait_Percentage]],Tb_ProjectKosten[#Headers],0),0),""),X1107 &lt;=0,0),"")</f>
        <v/>
      </c>
      <c r="AB1107" s="314" t="str">
        <f t="shared" ca="1" si="71"/>
        <v/>
      </c>
      <c r="AC1107" s="322"/>
      <c r="AD1107" s="315"/>
      <c r="AE1107" s="32" t="str" cm="1">
        <f t="array" ref="AE1107">IFERROR(IF(INDEX(SubsidieTabel!$AD$1:$AG$12,MATCH($F1107,SubsidieTabel!$AD$1:$AD$12,0),IFERROR(MATCH(Methode_Keuze,SubsidieTabel!$AD$1:$AG$1,0),2))&lt;&gt;1=TRUE,"ja",""),"")</f>
        <v/>
      </c>
    </row>
    <row r="1108" spans="1:31" x14ac:dyDescent="0.25">
      <c r="A1108" s="316"/>
      <c r="B1108" s="317" t="str">
        <f>IF(A1108&lt;&gt;"",_xlfn.MAXIFS($B$1:B1107,$A$1:A1107,A1108)+1,"")</f>
        <v/>
      </c>
      <c r="C1108" s="296"/>
      <c r="D1108" s="296"/>
      <c r="E1108" s="296"/>
      <c r="F1108" s="296"/>
      <c r="G1108" s="326"/>
      <c r="H1108" s="324"/>
      <c r="I1108" s="325"/>
      <c r="J1108" s="325"/>
      <c r="K1108" s="318"/>
      <c r="L1108" s="318"/>
      <c r="M1108" s="319" t="str">
        <f>IFERROR(VLOOKUP(H1108,Lijsten!$H$1:$I$100,2,0),"")</f>
        <v/>
      </c>
      <c r="N1108" s="319" t="str">
        <f ca="1">IFERROR(IF(VLOOKUP(F1108,Kostentypen!$A$3:$E$21,3,0)=0,"",IF(OR(F1108="Arbeidskosten",F1108="Vergoeding"),VLOOKUP(G1108,Tb_KostenTypen[],2,0),VLOOKUP(F1108,Kostentypen!$A$3:$E$20,3,0))),"")</f>
        <v/>
      </c>
      <c r="O1108" s="320" t="str" cm="1">
        <f t="array" ref="O1108">_xlfn.IFNA(IF(INDEX(Tb_KostenOptiesDB[],MATCH($F1108,Tb_KostenOptiesDB[KostenOptie],0),IFERROR(MATCH(Methode_Keuze,Tb_KostenOptiesDB[#Headers],0),2))=1,_xlfn.SWITCH($N1108,"Uurtarief",IF(OR(AND(RIGHT($F1108,3)="IKS",VLOOKUP($M1108,DB_Loonkosten,2,0)="Ja"),AND(RIGHT($F1108,3)&lt;&gt;"IKS",VLOOKUP($M1108,DB_Loonkosten,2,0)="Nee")),IFERROR(VLOOKUP($M1108,DB_Loonkosten,24,0),""),0),"Vast tarief",IF(LEFT(F1108,8)="Bijdrage",VLOOKUP($F1108,Tb_KostenTypen[],MATCH(Lijsten!$P$1,Tb_KostenTypen[#Headers],0),0),VLOOKUP($G1108,Lijsten!L:P,MATCH(Lijsten!$P$1,Kop_Tarief_Vast,0),0))),""),"")</f>
        <v/>
      </c>
      <c r="P1108" s="320" t="str" cm="1">
        <f t="array" ref="P1108">_xlfn.IFNA(IF(INDEX(Tb_KostenOptiesDB[],MATCH($F1108,Tb_KostenOptiesDB[KostenOptie],0),IFERROR(MATCH(Methode_Keuze,Tb_KostenOptiesDB[#Headers],0),2))=1,_xlfn.SWITCH($N1108,"Uurtarief",IF(OR(AND(RIGHT($F1108,3)="IKS",VLOOKUP($M1108,DB_Loonkosten,2,0)="Ja"),AND(RIGHT($F1108,3)&lt;&gt;"IKS",VLOOKUP($M1108,DB_Loonkosten,2,0)="Nee")),IFERROR(VLOOKUP($M1108,DB_Loonkosten,25,0),""),0),"Vast tarief",IF(LEFT(F1108,8)="Bijdrage",VLOOKUP($F1108,Tb_KostenTypen[],MATCH(Lijsten!$P$1,Tb_KostenTypen[#Headers],0),0),VLOOKUP($G1108,Lijsten!L:P,MATCH(Lijsten!$P$1,Kop_Tarief_Vast,0),0))),""),"")</f>
        <v/>
      </c>
      <c r="Q1108" s="359"/>
      <c r="R1108" s="359"/>
      <c r="S1108" s="321"/>
      <c r="T1108" s="321"/>
      <c r="U1108" s="373" t="str">
        <f t="shared" si="68"/>
        <v/>
      </c>
      <c r="V1108" s="314" t="str">
        <f t="shared" si="69"/>
        <v/>
      </c>
      <c r="W1108" s="314" t="str" cm="1">
        <f t="array" aca="1" ref="W1108" ca="1">IFERROR(IF(AE1108&lt;&gt;"ja",_xlfn.IFNA(_xlfn.IFS(AND(O1108&lt;&gt;"",F1108&lt;&gt;"",RIGHT($N1108,6)="tarief",F1108="Vergoeding"),SUM(O1108)*FLOOR(SUM(Q1108),0.0001),AND(O1108&lt;&gt;"",F1108&lt;&gt;"",RIGHT($N1108,6)="tarief"),SUM(O1108)*FLOOR(SUM(Q1108),0.01),S1108&gt;0,IF(F1108&lt;&gt;"",FLOOR(SUM(S1108),0.01),"")),""),""),"")</f>
        <v/>
      </c>
      <c r="X1108" s="314" t="str" cm="1">
        <f t="array" aca="1" ref="X1108" ca="1">IFERROR(IF(AE1108&lt;&gt;"ja",_xlfn.IFNA(_xlfn.IFS(AND(P1108&lt;&gt;"",R1108&lt;&gt;"",RIGHT($N1108,6)="tarief",F1108="Vergoeding"),SUM(P1108)*FLOOR(SUM(R1108),0.0001),AND(P1108&lt;&gt;"",R1108&lt;&gt;"",RIGHT($N1108,6)="tarief"),P1108*FLOOR(R1108,0.01),T1108&gt;0,FLOOR(SUM(T1108),0.01)),""),""),"")</f>
        <v/>
      </c>
      <c r="Y1108" s="314" t="str">
        <f t="shared" ca="1" si="70"/>
        <v/>
      </c>
      <c r="Z1108" s="314" t="str" cm="1">
        <f t="array" aca="1" ref="Z1108" ca="1">IFERROR(_xlfn.IFS(OR(F1108="",LEFT(Methode_Keuze,4)="Geen",Methode_Keuze=""),"",AND(W1108&lt;&gt;"",F1108&lt;&gt;"Arbeidskosten"),W1108*VLOOKUP(F1108,Tb_ProjectKosten[],MATCH(Tb_ProjectKosten[[#Headers],[Forfait_Percentage]],Tb_ProjectKosten[#Headers],0),0),AND(F1108="Arbeidskosten",G1108&lt;&gt;""),IFERROR(W1108*VLOOKUP(G1108,Tb_KostenTypen[],3,0)*VLOOKUP(F1108,Tb_ProjectKosten[],MATCH(Tb_ProjectKosten[[#Headers],[Forfait_Percentage]],Tb_ProjectKosten[#Headers],0),0),""),W1108 &lt;=0,0),"")</f>
        <v/>
      </c>
      <c r="AA1108" s="314" t="str" cm="1">
        <f t="array" aca="1" ref="AA1108" ca="1">IFERROR(_xlfn.IFS(OR(F1108="",LEFT(Methode_Keuze,4)="Geen",Methode_Keuze=""),"",AND(X1108&lt;&gt;"",F1108&lt;&gt;"Arbeidskosten"),X1108*VLOOKUP(F1108,Tb_ProjectKosten[],MATCH(Tb_ProjectKosten[[#Headers],[Forfait_Percentage]],Tb_ProjectKosten[#Headers],0),0),AND(F1108="Arbeidskosten",G1108&lt;&gt;""),IFERROR(X1108*VLOOKUP(G1108,Tb_KostenTypen[],3,0)*VLOOKUP(F1108,Tb_ProjectKosten[],MATCH(Tb_ProjectKosten[[#Headers],[Forfait_Percentage]],Tb_ProjectKosten[#Headers],0),0),""),X1108 &lt;=0,0),"")</f>
        <v/>
      </c>
      <c r="AB1108" s="314" t="str">
        <f t="shared" ca="1" si="71"/>
        <v/>
      </c>
      <c r="AC1108" s="322"/>
      <c r="AD1108" s="315"/>
      <c r="AE1108" s="32" t="str" cm="1">
        <f t="array" ref="AE1108">IFERROR(IF(INDEX(SubsidieTabel!$AD$1:$AG$12,MATCH($F1108,SubsidieTabel!$AD$1:$AD$12,0),IFERROR(MATCH(Methode_Keuze,SubsidieTabel!$AD$1:$AG$1,0),2))&lt;&gt;1=TRUE,"ja",""),"")</f>
        <v/>
      </c>
    </row>
    <row r="1109" spans="1:31" x14ac:dyDescent="0.25">
      <c r="A1109" s="316"/>
      <c r="B1109" s="317" t="str">
        <f>IF(A1109&lt;&gt;"",_xlfn.MAXIFS($B$1:B1108,$A$1:A1108,A1109)+1,"")</f>
        <v/>
      </c>
      <c r="C1109" s="296"/>
      <c r="D1109" s="296"/>
      <c r="E1109" s="296"/>
      <c r="F1109" s="296"/>
      <c r="G1109" s="326"/>
      <c r="H1109" s="324"/>
      <c r="I1109" s="325"/>
      <c r="J1109" s="325"/>
      <c r="K1109" s="318"/>
      <c r="L1109" s="318"/>
      <c r="M1109" s="319" t="str">
        <f>IFERROR(VLOOKUP(H1109,Lijsten!$H$1:$I$100,2,0),"")</f>
        <v/>
      </c>
      <c r="N1109" s="319" t="str">
        <f ca="1">IFERROR(IF(VLOOKUP(F1109,Kostentypen!$A$3:$E$21,3,0)=0,"",IF(OR(F1109="Arbeidskosten",F1109="Vergoeding"),VLOOKUP(G1109,Tb_KostenTypen[],2,0),VLOOKUP(F1109,Kostentypen!$A$3:$E$20,3,0))),"")</f>
        <v/>
      </c>
      <c r="O1109" s="320" t="str" cm="1">
        <f t="array" ref="O1109">_xlfn.IFNA(IF(INDEX(Tb_KostenOptiesDB[],MATCH($F1109,Tb_KostenOptiesDB[KostenOptie],0),IFERROR(MATCH(Methode_Keuze,Tb_KostenOptiesDB[#Headers],0),2))=1,_xlfn.SWITCH($N1109,"Uurtarief",IF(OR(AND(RIGHT($F1109,3)="IKS",VLOOKUP($M1109,DB_Loonkosten,2,0)="Ja"),AND(RIGHT($F1109,3)&lt;&gt;"IKS",VLOOKUP($M1109,DB_Loonkosten,2,0)="Nee")),IFERROR(VLOOKUP($M1109,DB_Loonkosten,24,0),""),0),"Vast tarief",IF(LEFT(F1109,8)="Bijdrage",VLOOKUP($F1109,Tb_KostenTypen[],MATCH(Lijsten!$P$1,Tb_KostenTypen[#Headers],0),0),VLOOKUP($G1109,Lijsten!L:P,MATCH(Lijsten!$P$1,Kop_Tarief_Vast,0),0))),""),"")</f>
        <v/>
      </c>
      <c r="P1109" s="320" t="str" cm="1">
        <f t="array" ref="P1109">_xlfn.IFNA(IF(INDEX(Tb_KostenOptiesDB[],MATCH($F1109,Tb_KostenOptiesDB[KostenOptie],0),IFERROR(MATCH(Methode_Keuze,Tb_KostenOptiesDB[#Headers],0),2))=1,_xlfn.SWITCH($N1109,"Uurtarief",IF(OR(AND(RIGHT($F1109,3)="IKS",VLOOKUP($M1109,DB_Loonkosten,2,0)="Ja"),AND(RIGHT($F1109,3)&lt;&gt;"IKS",VLOOKUP($M1109,DB_Loonkosten,2,0)="Nee")),IFERROR(VLOOKUP($M1109,DB_Loonkosten,25,0),""),0),"Vast tarief",IF(LEFT(F1109,8)="Bijdrage",VLOOKUP($F1109,Tb_KostenTypen[],MATCH(Lijsten!$P$1,Tb_KostenTypen[#Headers],0),0),VLOOKUP($G1109,Lijsten!L:P,MATCH(Lijsten!$P$1,Kop_Tarief_Vast,0),0))),""),"")</f>
        <v/>
      </c>
      <c r="Q1109" s="359"/>
      <c r="R1109" s="359"/>
      <c r="S1109" s="321"/>
      <c r="T1109" s="321"/>
      <c r="U1109" s="373" t="str">
        <f t="shared" si="68"/>
        <v/>
      </c>
      <c r="V1109" s="314" t="str">
        <f t="shared" si="69"/>
        <v/>
      </c>
      <c r="W1109" s="314" t="str" cm="1">
        <f t="array" aca="1" ref="W1109" ca="1">IFERROR(IF(AE1109&lt;&gt;"ja",_xlfn.IFNA(_xlfn.IFS(AND(O1109&lt;&gt;"",F1109&lt;&gt;"",RIGHT($N1109,6)="tarief",F1109="Vergoeding"),SUM(O1109)*FLOOR(SUM(Q1109),0.0001),AND(O1109&lt;&gt;"",F1109&lt;&gt;"",RIGHT($N1109,6)="tarief"),SUM(O1109)*FLOOR(SUM(Q1109),0.01),S1109&gt;0,IF(F1109&lt;&gt;"",FLOOR(SUM(S1109),0.01),"")),""),""),"")</f>
        <v/>
      </c>
      <c r="X1109" s="314" t="str" cm="1">
        <f t="array" aca="1" ref="X1109" ca="1">IFERROR(IF(AE1109&lt;&gt;"ja",_xlfn.IFNA(_xlfn.IFS(AND(P1109&lt;&gt;"",R1109&lt;&gt;"",RIGHT($N1109,6)="tarief",F1109="Vergoeding"),SUM(P1109)*FLOOR(SUM(R1109),0.0001),AND(P1109&lt;&gt;"",R1109&lt;&gt;"",RIGHT($N1109,6)="tarief"),P1109*FLOOR(R1109,0.01),T1109&gt;0,FLOOR(SUM(T1109),0.01)),""),""),"")</f>
        <v/>
      </c>
      <c r="Y1109" s="314" t="str">
        <f t="shared" ca="1" si="70"/>
        <v/>
      </c>
      <c r="Z1109" s="314" t="str" cm="1">
        <f t="array" aca="1" ref="Z1109" ca="1">IFERROR(_xlfn.IFS(OR(F1109="",LEFT(Methode_Keuze,4)="Geen",Methode_Keuze=""),"",AND(W1109&lt;&gt;"",F1109&lt;&gt;"Arbeidskosten"),W1109*VLOOKUP(F1109,Tb_ProjectKosten[],MATCH(Tb_ProjectKosten[[#Headers],[Forfait_Percentage]],Tb_ProjectKosten[#Headers],0),0),AND(F1109="Arbeidskosten",G1109&lt;&gt;""),IFERROR(W1109*VLOOKUP(G1109,Tb_KostenTypen[],3,0)*VLOOKUP(F1109,Tb_ProjectKosten[],MATCH(Tb_ProjectKosten[[#Headers],[Forfait_Percentage]],Tb_ProjectKosten[#Headers],0),0),""),W1109 &lt;=0,0),"")</f>
        <v/>
      </c>
      <c r="AA1109" s="314" t="str" cm="1">
        <f t="array" aca="1" ref="AA1109" ca="1">IFERROR(_xlfn.IFS(OR(F1109="",LEFT(Methode_Keuze,4)="Geen",Methode_Keuze=""),"",AND(X1109&lt;&gt;"",F1109&lt;&gt;"Arbeidskosten"),X1109*VLOOKUP(F1109,Tb_ProjectKosten[],MATCH(Tb_ProjectKosten[[#Headers],[Forfait_Percentage]],Tb_ProjectKosten[#Headers],0),0),AND(F1109="Arbeidskosten",G1109&lt;&gt;""),IFERROR(X1109*VLOOKUP(G1109,Tb_KostenTypen[],3,0)*VLOOKUP(F1109,Tb_ProjectKosten[],MATCH(Tb_ProjectKosten[[#Headers],[Forfait_Percentage]],Tb_ProjectKosten[#Headers],0),0),""),X1109 &lt;=0,0),"")</f>
        <v/>
      </c>
      <c r="AB1109" s="314" t="str">
        <f t="shared" ca="1" si="71"/>
        <v/>
      </c>
      <c r="AC1109" s="322"/>
      <c r="AD1109" s="315"/>
      <c r="AE1109" s="32" t="str" cm="1">
        <f t="array" ref="AE1109">IFERROR(IF(INDEX(SubsidieTabel!$AD$1:$AG$12,MATCH($F1109,SubsidieTabel!$AD$1:$AD$12,0),IFERROR(MATCH(Methode_Keuze,SubsidieTabel!$AD$1:$AG$1,0),2))&lt;&gt;1=TRUE,"ja",""),"")</f>
        <v/>
      </c>
    </row>
    <row r="1110" spans="1:31" x14ac:dyDescent="0.25">
      <c r="A1110" s="316"/>
      <c r="B1110" s="317" t="str">
        <f>IF(A1110&lt;&gt;"",_xlfn.MAXIFS($B$1:B1109,$A$1:A1109,A1110)+1,"")</f>
        <v/>
      </c>
      <c r="C1110" s="296"/>
      <c r="D1110" s="296"/>
      <c r="E1110" s="296"/>
      <c r="F1110" s="296"/>
      <c r="G1110" s="326"/>
      <c r="H1110" s="324"/>
      <c r="I1110" s="325"/>
      <c r="J1110" s="325"/>
      <c r="K1110" s="318"/>
      <c r="L1110" s="318"/>
      <c r="M1110" s="319" t="str">
        <f>IFERROR(VLOOKUP(H1110,Lijsten!$H$1:$I$100,2,0),"")</f>
        <v/>
      </c>
      <c r="N1110" s="319" t="str">
        <f ca="1">IFERROR(IF(VLOOKUP(F1110,Kostentypen!$A$3:$E$21,3,0)=0,"",IF(OR(F1110="Arbeidskosten",F1110="Vergoeding"),VLOOKUP(G1110,Tb_KostenTypen[],2,0),VLOOKUP(F1110,Kostentypen!$A$3:$E$20,3,0))),"")</f>
        <v/>
      </c>
      <c r="O1110" s="320" t="str" cm="1">
        <f t="array" ref="O1110">_xlfn.IFNA(IF(INDEX(Tb_KostenOptiesDB[],MATCH($F1110,Tb_KostenOptiesDB[KostenOptie],0),IFERROR(MATCH(Methode_Keuze,Tb_KostenOptiesDB[#Headers],0),2))=1,_xlfn.SWITCH($N1110,"Uurtarief",IF(OR(AND(RIGHT($F1110,3)="IKS",VLOOKUP($M1110,DB_Loonkosten,2,0)="Ja"),AND(RIGHT($F1110,3)&lt;&gt;"IKS",VLOOKUP($M1110,DB_Loonkosten,2,0)="Nee")),IFERROR(VLOOKUP($M1110,DB_Loonkosten,24,0),""),0),"Vast tarief",IF(LEFT(F1110,8)="Bijdrage",VLOOKUP($F1110,Tb_KostenTypen[],MATCH(Lijsten!$P$1,Tb_KostenTypen[#Headers],0),0),VLOOKUP($G1110,Lijsten!L:P,MATCH(Lijsten!$P$1,Kop_Tarief_Vast,0),0))),""),"")</f>
        <v/>
      </c>
      <c r="P1110" s="320" t="str" cm="1">
        <f t="array" ref="P1110">_xlfn.IFNA(IF(INDEX(Tb_KostenOptiesDB[],MATCH($F1110,Tb_KostenOptiesDB[KostenOptie],0),IFERROR(MATCH(Methode_Keuze,Tb_KostenOptiesDB[#Headers],0),2))=1,_xlfn.SWITCH($N1110,"Uurtarief",IF(OR(AND(RIGHT($F1110,3)="IKS",VLOOKUP($M1110,DB_Loonkosten,2,0)="Ja"),AND(RIGHT($F1110,3)&lt;&gt;"IKS",VLOOKUP($M1110,DB_Loonkosten,2,0)="Nee")),IFERROR(VLOOKUP($M1110,DB_Loonkosten,25,0),""),0),"Vast tarief",IF(LEFT(F1110,8)="Bijdrage",VLOOKUP($F1110,Tb_KostenTypen[],MATCH(Lijsten!$P$1,Tb_KostenTypen[#Headers],0),0),VLOOKUP($G1110,Lijsten!L:P,MATCH(Lijsten!$P$1,Kop_Tarief_Vast,0),0))),""),"")</f>
        <v/>
      </c>
      <c r="Q1110" s="359"/>
      <c r="R1110" s="359"/>
      <c r="S1110" s="321"/>
      <c r="T1110" s="321"/>
      <c r="U1110" s="373" t="str">
        <f t="shared" si="68"/>
        <v/>
      </c>
      <c r="V1110" s="314" t="str">
        <f t="shared" si="69"/>
        <v/>
      </c>
      <c r="W1110" s="314" t="str" cm="1">
        <f t="array" aca="1" ref="W1110" ca="1">IFERROR(IF(AE1110&lt;&gt;"ja",_xlfn.IFNA(_xlfn.IFS(AND(O1110&lt;&gt;"",F1110&lt;&gt;"",RIGHT($N1110,6)="tarief",F1110="Vergoeding"),SUM(O1110)*FLOOR(SUM(Q1110),0.0001),AND(O1110&lt;&gt;"",F1110&lt;&gt;"",RIGHT($N1110,6)="tarief"),SUM(O1110)*FLOOR(SUM(Q1110),0.01),S1110&gt;0,IF(F1110&lt;&gt;"",FLOOR(SUM(S1110),0.01),"")),""),""),"")</f>
        <v/>
      </c>
      <c r="X1110" s="314" t="str" cm="1">
        <f t="array" aca="1" ref="X1110" ca="1">IFERROR(IF(AE1110&lt;&gt;"ja",_xlfn.IFNA(_xlfn.IFS(AND(P1110&lt;&gt;"",R1110&lt;&gt;"",RIGHT($N1110,6)="tarief",F1110="Vergoeding"),SUM(P1110)*FLOOR(SUM(R1110),0.0001),AND(P1110&lt;&gt;"",R1110&lt;&gt;"",RIGHT($N1110,6)="tarief"),P1110*FLOOR(R1110,0.01),T1110&gt;0,FLOOR(SUM(T1110),0.01)),""),""),"")</f>
        <v/>
      </c>
      <c r="Y1110" s="314" t="str">
        <f t="shared" ca="1" si="70"/>
        <v/>
      </c>
      <c r="Z1110" s="314" t="str" cm="1">
        <f t="array" aca="1" ref="Z1110" ca="1">IFERROR(_xlfn.IFS(OR(F1110="",LEFT(Methode_Keuze,4)="Geen",Methode_Keuze=""),"",AND(W1110&lt;&gt;"",F1110&lt;&gt;"Arbeidskosten"),W1110*VLOOKUP(F1110,Tb_ProjectKosten[],MATCH(Tb_ProjectKosten[[#Headers],[Forfait_Percentage]],Tb_ProjectKosten[#Headers],0),0),AND(F1110="Arbeidskosten",G1110&lt;&gt;""),IFERROR(W1110*VLOOKUP(G1110,Tb_KostenTypen[],3,0)*VLOOKUP(F1110,Tb_ProjectKosten[],MATCH(Tb_ProjectKosten[[#Headers],[Forfait_Percentage]],Tb_ProjectKosten[#Headers],0),0),""),W1110 &lt;=0,0),"")</f>
        <v/>
      </c>
      <c r="AA1110" s="314" t="str" cm="1">
        <f t="array" aca="1" ref="AA1110" ca="1">IFERROR(_xlfn.IFS(OR(F1110="",LEFT(Methode_Keuze,4)="Geen",Methode_Keuze=""),"",AND(X1110&lt;&gt;"",F1110&lt;&gt;"Arbeidskosten"),X1110*VLOOKUP(F1110,Tb_ProjectKosten[],MATCH(Tb_ProjectKosten[[#Headers],[Forfait_Percentage]],Tb_ProjectKosten[#Headers],0),0),AND(F1110="Arbeidskosten",G1110&lt;&gt;""),IFERROR(X1110*VLOOKUP(G1110,Tb_KostenTypen[],3,0)*VLOOKUP(F1110,Tb_ProjectKosten[],MATCH(Tb_ProjectKosten[[#Headers],[Forfait_Percentage]],Tb_ProjectKosten[#Headers],0),0),""),X1110 &lt;=0,0),"")</f>
        <v/>
      </c>
      <c r="AB1110" s="314" t="str">
        <f t="shared" ca="1" si="71"/>
        <v/>
      </c>
      <c r="AC1110" s="322"/>
      <c r="AD1110" s="315"/>
      <c r="AE1110" s="32" t="str" cm="1">
        <f t="array" ref="AE1110">IFERROR(IF(INDEX(SubsidieTabel!$AD$1:$AG$12,MATCH($F1110,SubsidieTabel!$AD$1:$AD$12,0),IFERROR(MATCH(Methode_Keuze,SubsidieTabel!$AD$1:$AG$1,0),2))&lt;&gt;1=TRUE,"ja",""),"")</f>
        <v/>
      </c>
    </row>
    <row r="1111" spans="1:31" x14ac:dyDescent="0.25">
      <c r="A1111" s="316"/>
      <c r="B1111" s="317" t="str">
        <f>IF(A1111&lt;&gt;"",_xlfn.MAXIFS($B$1:B1110,$A$1:A1110,A1111)+1,"")</f>
        <v/>
      </c>
      <c r="C1111" s="296"/>
      <c r="D1111" s="296"/>
      <c r="E1111" s="296"/>
      <c r="F1111" s="296"/>
      <c r="G1111" s="326"/>
      <c r="H1111" s="324"/>
      <c r="I1111" s="325"/>
      <c r="J1111" s="325"/>
      <c r="K1111" s="318"/>
      <c r="L1111" s="318"/>
      <c r="M1111" s="319" t="str">
        <f>IFERROR(VLOOKUP(H1111,Lijsten!$H$1:$I$100,2,0),"")</f>
        <v/>
      </c>
      <c r="N1111" s="319" t="str">
        <f ca="1">IFERROR(IF(VLOOKUP(F1111,Kostentypen!$A$3:$E$21,3,0)=0,"",IF(OR(F1111="Arbeidskosten",F1111="Vergoeding"),VLOOKUP(G1111,Tb_KostenTypen[],2,0),VLOOKUP(F1111,Kostentypen!$A$3:$E$20,3,0))),"")</f>
        <v/>
      </c>
      <c r="O1111" s="320" t="str" cm="1">
        <f t="array" ref="O1111">_xlfn.IFNA(IF(INDEX(Tb_KostenOptiesDB[],MATCH($F1111,Tb_KostenOptiesDB[KostenOptie],0),IFERROR(MATCH(Methode_Keuze,Tb_KostenOptiesDB[#Headers],0),2))=1,_xlfn.SWITCH($N1111,"Uurtarief",IF(OR(AND(RIGHT($F1111,3)="IKS",VLOOKUP($M1111,DB_Loonkosten,2,0)="Ja"),AND(RIGHT($F1111,3)&lt;&gt;"IKS",VLOOKUP($M1111,DB_Loonkosten,2,0)="Nee")),IFERROR(VLOOKUP($M1111,DB_Loonkosten,24,0),""),0),"Vast tarief",IF(LEFT(F1111,8)="Bijdrage",VLOOKUP($F1111,Tb_KostenTypen[],MATCH(Lijsten!$P$1,Tb_KostenTypen[#Headers],0),0),VLOOKUP($G1111,Lijsten!L:P,MATCH(Lijsten!$P$1,Kop_Tarief_Vast,0),0))),""),"")</f>
        <v/>
      </c>
      <c r="P1111" s="320" t="str" cm="1">
        <f t="array" ref="P1111">_xlfn.IFNA(IF(INDEX(Tb_KostenOptiesDB[],MATCH($F1111,Tb_KostenOptiesDB[KostenOptie],0),IFERROR(MATCH(Methode_Keuze,Tb_KostenOptiesDB[#Headers],0),2))=1,_xlfn.SWITCH($N1111,"Uurtarief",IF(OR(AND(RIGHT($F1111,3)="IKS",VLOOKUP($M1111,DB_Loonkosten,2,0)="Ja"),AND(RIGHT($F1111,3)&lt;&gt;"IKS",VLOOKUP($M1111,DB_Loonkosten,2,0)="Nee")),IFERROR(VLOOKUP($M1111,DB_Loonkosten,25,0),""),0),"Vast tarief",IF(LEFT(F1111,8)="Bijdrage",VLOOKUP($F1111,Tb_KostenTypen[],MATCH(Lijsten!$P$1,Tb_KostenTypen[#Headers],0),0),VLOOKUP($G1111,Lijsten!L:P,MATCH(Lijsten!$P$1,Kop_Tarief_Vast,0),0))),""),"")</f>
        <v/>
      </c>
      <c r="Q1111" s="359"/>
      <c r="R1111" s="359"/>
      <c r="S1111" s="321"/>
      <c r="T1111" s="321"/>
      <c r="U1111" s="373" t="str">
        <f t="shared" si="68"/>
        <v/>
      </c>
      <c r="V1111" s="314" t="str">
        <f t="shared" si="69"/>
        <v/>
      </c>
      <c r="W1111" s="314" t="str" cm="1">
        <f t="array" aca="1" ref="W1111" ca="1">IFERROR(IF(AE1111&lt;&gt;"ja",_xlfn.IFNA(_xlfn.IFS(AND(O1111&lt;&gt;"",F1111&lt;&gt;"",RIGHT($N1111,6)="tarief",F1111="Vergoeding"),SUM(O1111)*FLOOR(SUM(Q1111),0.0001),AND(O1111&lt;&gt;"",F1111&lt;&gt;"",RIGHT($N1111,6)="tarief"),SUM(O1111)*FLOOR(SUM(Q1111),0.01),S1111&gt;0,IF(F1111&lt;&gt;"",FLOOR(SUM(S1111),0.01),"")),""),""),"")</f>
        <v/>
      </c>
      <c r="X1111" s="314" t="str" cm="1">
        <f t="array" aca="1" ref="X1111" ca="1">IFERROR(IF(AE1111&lt;&gt;"ja",_xlfn.IFNA(_xlfn.IFS(AND(P1111&lt;&gt;"",R1111&lt;&gt;"",RIGHT($N1111,6)="tarief",F1111="Vergoeding"),SUM(P1111)*FLOOR(SUM(R1111),0.0001),AND(P1111&lt;&gt;"",R1111&lt;&gt;"",RIGHT($N1111,6)="tarief"),P1111*FLOOR(R1111,0.01),T1111&gt;0,FLOOR(SUM(T1111),0.01)),""),""),"")</f>
        <v/>
      </c>
      <c r="Y1111" s="314" t="str">
        <f t="shared" ca="1" si="70"/>
        <v/>
      </c>
      <c r="Z1111" s="314" t="str" cm="1">
        <f t="array" aca="1" ref="Z1111" ca="1">IFERROR(_xlfn.IFS(OR(F1111="",LEFT(Methode_Keuze,4)="Geen",Methode_Keuze=""),"",AND(W1111&lt;&gt;"",F1111&lt;&gt;"Arbeidskosten"),W1111*VLOOKUP(F1111,Tb_ProjectKosten[],MATCH(Tb_ProjectKosten[[#Headers],[Forfait_Percentage]],Tb_ProjectKosten[#Headers],0),0),AND(F1111="Arbeidskosten",G1111&lt;&gt;""),IFERROR(W1111*VLOOKUP(G1111,Tb_KostenTypen[],3,0)*VLOOKUP(F1111,Tb_ProjectKosten[],MATCH(Tb_ProjectKosten[[#Headers],[Forfait_Percentage]],Tb_ProjectKosten[#Headers],0),0),""),W1111 &lt;=0,0),"")</f>
        <v/>
      </c>
      <c r="AA1111" s="314" t="str" cm="1">
        <f t="array" aca="1" ref="AA1111" ca="1">IFERROR(_xlfn.IFS(OR(F1111="",LEFT(Methode_Keuze,4)="Geen",Methode_Keuze=""),"",AND(X1111&lt;&gt;"",F1111&lt;&gt;"Arbeidskosten"),X1111*VLOOKUP(F1111,Tb_ProjectKosten[],MATCH(Tb_ProjectKosten[[#Headers],[Forfait_Percentage]],Tb_ProjectKosten[#Headers],0),0),AND(F1111="Arbeidskosten",G1111&lt;&gt;""),IFERROR(X1111*VLOOKUP(G1111,Tb_KostenTypen[],3,0)*VLOOKUP(F1111,Tb_ProjectKosten[],MATCH(Tb_ProjectKosten[[#Headers],[Forfait_Percentage]],Tb_ProjectKosten[#Headers],0),0),""),X1111 &lt;=0,0),"")</f>
        <v/>
      </c>
      <c r="AB1111" s="314" t="str">
        <f t="shared" ca="1" si="71"/>
        <v/>
      </c>
      <c r="AC1111" s="322"/>
      <c r="AD1111" s="315"/>
      <c r="AE1111" s="32" t="str" cm="1">
        <f t="array" ref="AE1111">IFERROR(IF(INDEX(SubsidieTabel!$AD$1:$AG$12,MATCH($F1111,SubsidieTabel!$AD$1:$AD$12,0),IFERROR(MATCH(Methode_Keuze,SubsidieTabel!$AD$1:$AG$1,0),2))&lt;&gt;1=TRUE,"ja",""),"")</f>
        <v/>
      </c>
    </row>
    <row r="1112" spans="1:31" x14ac:dyDescent="0.25">
      <c r="A1112" s="316"/>
      <c r="B1112" s="317" t="str">
        <f>IF(A1112&lt;&gt;"",_xlfn.MAXIFS($B$1:B1111,$A$1:A1111,A1112)+1,"")</f>
        <v/>
      </c>
      <c r="C1112" s="296"/>
      <c r="D1112" s="296"/>
      <c r="E1112" s="296"/>
      <c r="F1112" s="296"/>
      <c r="G1112" s="326"/>
      <c r="H1112" s="324"/>
      <c r="I1112" s="325"/>
      <c r="J1112" s="325"/>
      <c r="K1112" s="318"/>
      <c r="L1112" s="318"/>
      <c r="M1112" s="319" t="str">
        <f>IFERROR(VLOOKUP(H1112,Lijsten!$H$1:$I$100,2,0),"")</f>
        <v/>
      </c>
      <c r="N1112" s="319" t="str">
        <f ca="1">IFERROR(IF(VLOOKUP(F1112,Kostentypen!$A$3:$E$21,3,0)=0,"",IF(OR(F1112="Arbeidskosten",F1112="Vergoeding"),VLOOKUP(G1112,Tb_KostenTypen[],2,0),VLOOKUP(F1112,Kostentypen!$A$3:$E$20,3,0))),"")</f>
        <v/>
      </c>
      <c r="O1112" s="320" t="str" cm="1">
        <f t="array" ref="O1112">_xlfn.IFNA(IF(INDEX(Tb_KostenOptiesDB[],MATCH($F1112,Tb_KostenOptiesDB[KostenOptie],0),IFERROR(MATCH(Methode_Keuze,Tb_KostenOptiesDB[#Headers],0),2))=1,_xlfn.SWITCH($N1112,"Uurtarief",IF(OR(AND(RIGHT($F1112,3)="IKS",VLOOKUP($M1112,DB_Loonkosten,2,0)="Ja"),AND(RIGHT($F1112,3)&lt;&gt;"IKS",VLOOKUP($M1112,DB_Loonkosten,2,0)="Nee")),IFERROR(VLOOKUP($M1112,DB_Loonkosten,24,0),""),0),"Vast tarief",IF(LEFT(F1112,8)="Bijdrage",VLOOKUP($F1112,Tb_KostenTypen[],MATCH(Lijsten!$P$1,Tb_KostenTypen[#Headers],0),0),VLOOKUP($G1112,Lijsten!L:P,MATCH(Lijsten!$P$1,Kop_Tarief_Vast,0),0))),""),"")</f>
        <v/>
      </c>
      <c r="P1112" s="320" t="str" cm="1">
        <f t="array" ref="P1112">_xlfn.IFNA(IF(INDEX(Tb_KostenOptiesDB[],MATCH($F1112,Tb_KostenOptiesDB[KostenOptie],0),IFERROR(MATCH(Methode_Keuze,Tb_KostenOptiesDB[#Headers],0),2))=1,_xlfn.SWITCH($N1112,"Uurtarief",IF(OR(AND(RIGHT($F1112,3)="IKS",VLOOKUP($M1112,DB_Loonkosten,2,0)="Ja"),AND(RIGHT($F1112,3)&lt;&gt;"IKS",VLOOKUP($M1112,DB_Loonkosten,2,0)="Nee")),IFERROR(VLOOKUP($M1112,DB_Loonkosten,25,0),""),0),"Vast tarief",IF(LEFT(F1112,8)="Bijdrage",VLOOKUP($F1112,Tb_KostenTypen[],MATCH(Lijsten!$P$1,Tb_KostenTypen[#Headers],0),0),VLOOKUP($G1112,Lijsten!L:P,MATCH(Lijsten!$P$1,Kop_Tarief_Vast,0),0))),""),"")</f>
        <v/>
      </c>
      <c r="Q1112" s="359"/>
      <c r="R1112" s="359"/>
      <c r="S1112" s="321"/>
      <c r="T1112" s="321"/>
      <c r="U1112" s="373" t="str">
        <f t="shared" si="68"/>
        <v/>
      </c>
      <c r="V1112" s="314" t="str">
        <f t="shared" si="69"/>
        <v/>
      </c>
      <c r="W1112" s="314" t="str" cm="1">
        <f t="array" aca="1" ref="W1112" ca="1">IFERROR(IF(AE1112&lt;&gt;"ja",_xlfn.IFNA(_xlfn.IFS(AND(O1112&lt;&gt;"",F1112&lt;&gt;"",RIGHT($N1112,6)="tarief",F1112="Vergoeding"),SUM(O1112)*FLOOR(SUM(Q1112),0.0001),AND(O1112&lt;&gt;"",F1112&lt;&gt;"",RIGHT($N1112,6)="tarief"),SUM(O1112)*FLOOR(SUM(Q1112),0.01),S1112&gt;0,IF(F1112&lt;&gt;"",FLOOR(SUM(S1112),0.01),"")),""),""),"")</f>
        <v/>
      </c>
      <c r="X1112" s="314" t="str" cm="1">
        <f t="array" aca="1" ref="X1112" ca="1">IFERROR(IF(AE1112&lt;&gt;"ja",_xlfn.IFNA(_xlfn.IFS(AND(P1112&lt;&gt;"",R1112&lt;&gt;"",RIGHT($N1112,6)="tarief",F1112="Vergoeding"),SUM(P1112)*FLOOR(SUM(R1112),0.0001),AND(P1112&lt;&gt;"",R1112&lt;&gt;"",RIGHT($N1112,6)="tarief"),P1112*FLOOR(R1112,0.01),T1112&gt;0,FLOOR(SUM(T1112),0.01)),""),""),"")</f>
        <v/>
      </c>
      <c r="Y1112" s="314" t="str">
        <f t="shared" ca="1" si="70"/>
        <v/>
      </c>
      <c r="Z1112" s="314" t="str" cm="1">
        <f t="array" aca="1" ref="Z1112" ca="1">IFERROR(_xlfn.IFS(OR(F1112="",LEFT(Methode_Keuze,4)="Geen",Methode_Keuze=""),"",AND(W1112&lt;&gt;"",F1112&lt;&gt;"Arbeidskosten"),W1112*VLOOKUP(F1112,Tb_ProjectKosten[],MATCH(Tb_ProjectKosten[[#Headers],[Forfait_Percentage]],Tb_ProjectKosten[#Headers],0),0),AND(F1112="Arbeidskosten",G1112&lt;&gt;""),IFERROR(W1112*VLOOKUP(G1112,Tb_KostenTypen[],3,0)*VLOOKUP(F1112,Tb_ProjectKosten[],MATCH(Tb_ProjectKosten[[#Headers],[Forfait_Percentage]],Tb_ProjectKosten[#Headers],0),0),""),W1112 &lt;=0,0),"")</f>
        <v/>
      </c>
      <c r="AA1112" s="314" t="str" cm="1">
        <f t="array" aca="1" ref="AA1112" ca="1">IFERROR(_xlfn.IFS(OR(F1112="",LEFT(Methode_Keuze,4)="Geen",Methode_Keuze=""),"",AND(X1112&lt;&gt;"",F1112&lt;&gt;"Arbeidskosten"),X1112*VLOOKUP(F1112,Tb_ProjectKosten[],MATCH(Tb_ProjectKosten[[#Headers],[Forfait_Percentage]],Tb_ProjectKosten[#Headers],0),0),AND(F1112="Arbeidskosten",G1112&lt;&gt;""),IFERROR(X1112*VLOOKUP(G1112,Tb_KostenTypen[],3,0)*VLOOKUP(F1112,Tb_ProjectKosten[],MATCH(Tb_ProjectKosten[[#Headers],[Forfait_Percentage]],Tb_ProjectKosten[#Headers],0),0),""),X1112 &lt;=0,0),"")</f>
        <v/>
      </c>
      <c r="AB1112" s="314" t="str">
        <f t="shared" ca="1" si="71"/>
        <v/>
      </c>
      <c r="AC1112" s="322"/>
      <c r="AD1112" s="315"/>
      <c r="AE1112" s="32" t="str" cm="1">
        <f t="array" ref="AE1112">IFERROR(IF(INDEX(SubsidieTabel!$AD$1:$AG$12,MATCH($F1112,SubsidieTabel!$AD$1:$AD$12,0),IFERROR(MATCH(Methode_Keuze,SubsidieTabel!$AD$1:$AG$1,0),2))&lt;&gt;1=TRUE,"ja",""),"")</f>
        <v/>
      </c>
    </row>
    <row r="1113" spans="1:31" x14ac:dyDescent="0.25">
      <c r="A1113" s="316"/>
      <c r="B1113" s="317" t="str">
        <f>IF(A1113&lt;&gt;"",_xlfn.MAXIFS($B$1:B1112,$A$1:A1112,A1113)+1,"")</f>
        <v/>
      </c>
      <c r="C1113" s="296"/>
      <c r="D1113" s="296"/>
      <c r="E1113" s="296"/>
      <c r="F1113" s="296"/>
      <c r="G1113" s="326"/>
      <c r="H1113" s="324"/>
      <c r="I1113" s="325"/>
      <c r="J1113" s="325"/>
      <c r="K1113" s="318"/>
      <c r="L1113" s="318"/>
      <c r="M1113" s="319" t="str">
        <f>IFERROR(VLOOKUP(H1113,Lijsten!$H$1:$I$100,2,0),"")</f>
        <v/>
      </c>
      <c r="N1113" s="319" t="str">
        <f ca="1">IFERROR(IF(VLOOKUP(F1113,Kostentypen!$A$3:$E$21,3,0)=0,"",IF(OR(F1113="Arbeidskosten",F1113="Vergoeding"),VLOOKUP(G1113,Tb_KostenTypen[],2,0),VLOOKUP(F1113,Kostentypen!$A$3:$E$20,3,0))),"")</f>
        <v/>
      </c>
      <c r="O1113" s="320" t="str" cm="1">
        <f t="array" ref="O1113">_xlfn.IFNA(IF(INDEX(Tb_KostenOptiesDB[],MATCH($F1113,Tb_KostenOptiesDB[KostenOptie],0),IFERROR(MATCH(Methode_Keuze,Tb_KostenOptiesDB[#Headers],0),2))=1,_xlfn.SWITCH($N1113,"Uurtarief",IF(OR(AND(RIGHT($F1113,3)="IKS",VLOOKUP($M1113,DB_Loonkosten,2,0)="Ja"),AND(RIGHT($F1113,3)&lt;&gt;"IKS",VLOOKUP($M1113,DB_Loonkosten,2,0)="Nee")),IFERROR(VLOOKUP($M1113,DB_Loonkosten,24,0),""),0),"Vast tarief",IF(LEFT(F1113,8)="Bijdrage",VLOOKUP($F1113,Tb_KostenTypen[],MATCH(Lijsten!$P$1,Tb_KostenTypen[#Headers],0),0),VLOOKUP($G1113,Lijsten!L:P,MATCH(Lijsten!$P$1,Kop_Tarief_Vast,0),0))),""),"")</f>
        <v/>
      </c>
      <c r="P1113" s="320" t="str" cm="1">
        <f t="array" ref="P1113">_xlfn.IFNA(IF(INDEX(Tb_KostenOptiesDB[],MATCH($F1113,Tb_KostenOptiesDB[KostenOptie],0),IFERROR(MATCH(Methode_Keuze,Tb_KostenOptiesDB[#Headers],0),2))=1,_xlfn.SWITCH($N1113,"Uurtarief",IF(OR(AND(RIGHT($F1113,3)="IKS",VLOOKUP($M1113,DB_Loonkosten,2,0)="Ja"),AND(RIGHT($F1113,3)&lt;&gt;"IKS",VLOOKUP($M1113,DB_Loonkosten,2,0)="Nee")),IFERROR(VLOOKUP($M1113,DB_Loonkosten,25,0),""),0),"Vast tarief",IF(LEFT(F1113,8)="Bijdrage",VLOOKUP($F1113,Tb_KostenTypen[],MATCH(Lijsten!$P$1,Tb_KostenTypen[#Headers],0),0),VLOOKUP($G1113,Lijsten!L:P,MATCH(Lijsten!$P$1,Kop_Tarief_Vast,0),0))),""),"")</f>
        <v/>
      </c>
      <c r="Q1113" s="359"/>
      <c r="R1113" s="359"/>
      <c r="S1113" s="321"/>
      <c r="T1113" s="321"/>
      <c r="U1113" s="373" t="str">
        <f t="shared" si="68"/>
        <v/>
      </c>
      <c r="V1113" s="314" t="str">
        <f t="shared" si="69"/>
        <v/>
      </c>
      <c r="W1113" s="314" t="str" cm="1">
        <f t="array" aca="1" ref="W1113" ca="1">IFERROR(IF(AE1113&lt;&gt;"ja",_xlfn.IFNA(_xlfn.IFS(AND(O1113&lt;&gt;"",F1113&lt;&gt;"",RIGHT($N1113,6)="tarief",F1113="Vergoeding"),SUM(O1113)*FLOOR(SUM(Q1113),0.0001),AND(O1113&lt;&gt;"",F1113&lt;&gt;"",RIGHT($N1113,6)="tarief"),SUM(O1113)*FLOOR(SUM(Q1113),0.01),S1113&gt;0,IF(F1113&lt;&gt;"",FLOOR(SUM(S1113),0.01),"")),""),""),"")</f>
        <v/>
      </c>
      <c r="X1113" s="314" t="str" cm="1">
        <f t="array" aca="1" ref="X1113" ca="1">IFERROR(IF(AE1113&lt;&gt;"ja",_xlfn.IFNA(_xlfn.IFS(AND(P1113&lt;&gt;"",R1113&lt;&gt;"",RIGHT($N1113,6)="tarief",F1113="Vergoeding"),SUM(P1113)*FLOOR(SUM(R1113),0.0001),AND(P1113&lt;&gt;"",R1113&lt;&gt;"",RIGHT($N1113,6)="tarief"),P1113*FLOOR(R1113,0.01),T1113&gt;0,FLOOR(SUM(T1113),0.01)),""),""),"")</f>
        <v/>
      </c>
      <c r="Y1113" s="314" t="str">
        <f t="shared" ca="1" si="70"/>
        <v/>
      </c>
      <c r="Z1113" s="314" t="str" cm="1">
        <f t="array" aca="1" ref="Z1113" ca="1">IFERROR(_xlfn.IFS(OR(F1113="",LEFT(Methode_Keuze,4)="Geen",Methode_Keuze=""),"",AND(W1113&lt;&gt;"",F1113&lt;&gt;"Arbeidskosten"),W1113*VLOOKUP(F1113,Tb_ProjectKosten[],MATCH(Tb_ProjectKosten[[#Headers],[Forfait_Percentage]],Tb_ProjectKosten[#Headers],0),0),AND(F1113="Arbeidskosten",G1113&lt;&gt;""),IFERROR(W1113*VLOOKUP(G1113,Tb_KostenTypen[],3,0)*VLOOKUP(F1113,Tb_ProjectKosten[],MATCH(Tb_ProjectKosten[[#Headers],[Forfait_Percentage]],Tb_ProjectKosten[#Headers],0),0),""),W1113 &lt;=0,0),"")</f>
        <v/>
      </c>
      <c r="AA1113" s="314" t="str" cm="1">
        <f t="array" aca="1" ref="AA1113" ca="1">IFERROR(_xlfn.IFS(OR(F1113="",LEFT(Methode_Keuze,4)="Geen",Methode_Keuze=""),"",AND(X1113&lt;&gt;"",F1113&lt;&gt;"Arbeidskosten"),X1113*VLOOKUP(F1113,Tb_ProjectKosten[],MATCH(Tb_ProjectKosten[[#Headers],[Forfait_Percentage]],Tb_ProjectKosten[#Headers],0),0),AND(F1113="Arbeidskosten",G1113&lt;&gt;""),IFERROR(X1113*VLOOKUP(G1113,Tb_KostenTypen[],3,0)*VLOOKUP(F1113,Tb_ProjectKosten[],MATCH(Tb_ProjectKosten[[#Headers],[Forfait_Percentage]],Tb_ProjectKosten[#Headers],0),0),""),X1113 &lt;=0,0),"")</f>
        <v/>
      </c>
      <c r="AB1113" s="314" t="str">
        <f t="shared" ca="1" si="71"/>
        <v/>
      </c>
      <c r="AC1113" s="322"/>
      <c r="AD1113" s="315"/>
      <c r="AE1113" s="32" t="str" cm="1">
        <f t="array" ref="AE1113">IFERROR(IF(INDEX(SubsidieTabel!$AD$1:$AG$12,MATCH($F1113,SubsidieTabel!$AD$1:$AD$12,0),IFERROR(MATCH(Methode_Keuze,SubsidieTabel!$AD$1:$AG$1,0),2))&lt;&gt;1=TRUE,"ja",""),"")</f>
        <v/>
      </c>
    </row>
    <row r="1114" spans="1:31" x14ac:dyDescent="0.25">
      <c r="A1114" s="316"/>
      <c r="B1114" s="317" t="str">
        <f>IF(A1114&lt;&gt;"",_xlfn.MAXIFS($B$1:B1113,$A$1:A1113,A1114)+1,"")</f>
        <v/>
      </c>
      <c r="C1114" s="296"/>
      <c r="D1114" s="296"/>
      <c r="E1114" s="296"/>
      <c r="F1114" s="296"/>
      <c r="G1114" s="326"/>
      <c r="H1114" s="324"/>
      <c r="I1114" s="325"/>
      <c r="J1114" s="325"/>
      <c r="K1114" s="318"/>
      <c r="L1114" s="318"/>
      <c r="M1114" s="319" t="str">
        <f>IFERROR(VLOOKUP(H1114,Lijsten!$H$1:$I$100,2,0),"")</f>
        <v/>
      </c>
      <c r="N1114" s="319" t="str">
        <f ca="1">IFERROR(IF(VLOOKUP(F1114,Kostentypen!$A$3:$E$21,3,0)=0,"",IF(OR(F1114="Arbeidskosten",F1114="Vergoeding"),VLOOKUP(G1114,Tb_KostenTypen[],2,0),VLOOKUP(F1114,Kostentypen!$A$3:$E$20,3,0))),"")</f>
        <v/>
      </c>
      <c r="O1114" s="320" t="str" cm="1">
        <f t="array" ref="O1114">_xlfn.IFNA(IF(INDEX(Tb_KostenOptiesDB[],MATCH($F1114,Tb_KostenOptiesDB[KostenOptie],0),IFERROR(MATCH(Methode_Keuze,Tb_KostenOptiesDB[#Headers],0),2))=1,_xlfn.SWITCH($N1114,"Uurtarief",IF(OR(AND(RIGHT($F1114,3)="IKS",VLOOKUP($M1114,DB_Loonkosten,2,0)="Ja"),AND(RIGHT($F1114,3)&lt;&gt;"IKS",VLOOKUP($M1114,DB_Loonkosten,2,0)="Nee")),IFERROR(VLOOKUP($M1114,DB_Loonkosten,24,0),""),0),"Vast tarief",IF(LEFT(F1114,8)="Bijdrage",VLOOKUP($F1114,Tb_KostenTypen[],MATCH(Lijsten!$P$1,Tb_KostenTypen[#Headers],0),0),VLOOKUP($G1114,Lijsten!L:P,MATCH(Lijsten!$P$1,Kop_Tarief_Vast,0),0))),""),"")</f>
        <v/>
      </c>
      <c r="P1114" s="320" t="str" cm="1">
        <f t="array" ref="P1114">_xlfn.IFNA(IF(INDEX(Tb_KostenOptiesDB[],MATCH($F1114,Tb_KostenOptiesDB[KostenOptie],0),IFERROR(MATCH(Methode_Keuze,Tb_KostenOptiesDB[#Headers],0),2))=1,_xlfn.SWITCH($N1114,"Uurtarief",IF(OR(AND(RIGHT($F1114,3)="IKS",VLOOKUP($M1114,DB_Loonkosten,2,0)="Ja"),AND(RIGHT($F1114,3)&lt;&gt;"IKS",VLOOKUP($M1114,DB_Loonkosten,2,0)="Nee")),IFERROR(VLOOKUP($M1114,DB_Loonkosten,25,0),""),0),"Vast tarief",IF(LEFT(F1114,8)="Bijdrage",VLOOKUP($F1114,Tb_KostenTypen[],MATCH(Lijsten!$P$1,Tb_KostenTypen[#Headers],0),0),VLOOKUP($G1114,Lijsten!L:P,MATCH(Lijsten!$P$1,Kop_Tarief_Vast,0),0))),""),"")</f>
        <v/>
      </c>
      <c r="Q1114" s="359"/>
      <c r="R1114" s="359"/>
      <c r="S1114" s="321"/>
      <c r="T1114" s="321"/>
      <c r="U1114" s="373" t="str">
        <f t="shared" si="68"/>
        <v/>
      </c>
      <c r="V1114" s="314" t="str">
        <f t="shared" si="69"/>
        <v/>
      </c>
      <c r="W1114" s="314" t="str" cm="1">
        <f t="array" aca="1" ref="W1114" ca="1">IFERROR(IF(AE1114&lt;&gt;"ja",_xlfn.IFNA(_xlfn.IFS(AND(O1114&lt;&gt;"",F1114&lt;&gt;"",RIGHT($N1114,6)="tarief",F1114="Vergoeding"),SUM(O1114)*FLOOR(SUM(Q1114),0.0001),AND(O1114&lt;&gt;"",F1114&lt;&gt;"",RIGHT($N1114,6)="tarief"),SUM(O1114)*FLOOR(SUM(Q1114),0.01),S1114&gt;0,IF(F1114&lt;&gt;"",FLOOR(SUM(S1114),0.01),"")),""),""),"")</f>
        <v/>
      </c>
      <c r="X1114" s="314" t="str" cm="1">
        <f t="array" aca="1" ref="X1114" ca="1">IFERROR(IF(AE1114&lt;&gt;"ja",_xlfn.IFNA(_xlfn.IFS(AND(P1114&lt;&gt;"",R1114&lt;&gt;"",RIGHT($N1114,6)="tarief",F1114="Vergoeding"),SUM(P1114)*FLOOR(SUM(R1114),0.0001),AND(P1114&lt;&gt;"",R1114&lt;&gt;"",RIGHT($N1114,6)="tarief"),P1114*FLOOR(R1114,0.01),T1114&gt;0,FLOOR(SUM(T1114),0.01)),""),""),"")</f>
        <v/>
      </c>
      <c r="Y1114" s="314" t="str">
        <f t="shared" ca="1" si="70"/>
        <v/>
      </c>
      <c r="Z1114" s="314" t="str" cm="1">
        <f t="array" aca="1" ref="Z1114" ca="1">IFERROR(_xlfn.IFS(OR(F1114="",LEFT(Methode_Keuze,4)="Geen",Methode_Keuze=""),"",AND(W1114&lt;&gt;"",F1114&lt;&gt;"Arbeidskosten"),W1114*VLOOKUP(F1114,Tb_ProjectKosten[],MATCH(Tb_ProjectKosten[[#Headers],[Forfait_Percentage]],Tb_ProjectKosten[#Headers],0),0),AND(F1114="Arbeidskosten",G1114&lt;&gt;""),IFERROR(W1114*VLOOKUP(G1114,Tb_KostenTypen[],3,0)*VLOOKUP(F1114,Tb_ProjectKosten[],MATCH(Tb_ProjectKosten[[#Headers],[Forfait_Percentage]],Tb_ProjectKosten[#Headers],0),0),""),W1114 &lt;=0,0),"")</f>
        <v/>
      </c>
      <c r="AA1114" s="314" t="str" cm="1">
        <f t="array" aca="1" ref="AA1114" ca="1">IFERROR(_xlfn.IFS(OR(F1114="",LEFT(Methode_Keuze,4)="Geen",Methode_Keuze=""),"",AND(X1114&lt;&gt;"",F1114&lt;&gt;"Arbeidskosten"),X1114*VLOOKUP(F1114,Tb_ProjectKosten[],MATCH(Tb_ProjectKosten[[#Headers],[Forfait_Percentage]],Tb_ProjectKosten[#Headers],0),0),AND(F1114="Arbeidskosten",G1114&lt;&gt;""),IFERROR(X1114*VLOOKUP(G1114,Tb_KostenTypen[],3,0)*VLOOKUP(F1114,Tb_ProjectKosten[],MATCH(Tb_ProjectKosten[[#Headers],[Forfait_Percentage]],Tb_ProjectKosten[#Headers],0),0),""),X1114 &lt;=0,0),"")</f>
        <v/>
      </c>
      <c r="AB1114" s="314" t="str">
        <f t="shared" ca="1" si="71"/>
        <v/>
      </c>
      <c r="AC1114" s="322"/>
      <c r="AD1114" s="315"/>
      <c r="AE1114" s="32" t="str" cm="1">
        <f t="array" ref="AE1114">IFERROR(IF(INDEX(SubsidieTabel!$AD$1:$AG$12,MATCH($F1114,SubsidieTabel!$AD$1:$AD$12,0),IFERROR(MATCH(Methode_Keuze,SubsidieTabel!$AD$1:$AG$1,0),2))&lt;&gt;1=TRUE,"ja",""),"")</f>
        <v/>
      </c>
    </row>
    <row r="1115" spans="1:31" x14ac:dyDescent="0.25">
      <c r="A1115" s="316"/>
      <c r="B1115" s="317" t="str">
        <f>IF(A1115&lt;&gt;"",_xlfn.MAXIFS($B$1:B1114,$A$1:A1114,A1115)+1,"")</f>
        <v/>
      </c>
      <c r="C1115" s="296"/>
      <c r="D1115" s="296"/>
      <c r="E1115" s="296"/>
      <c r="F1115" s="296"/>
      <c r="G1115" s="326"/>
      <c r="H1115" s="324"/>
      <c r="I1115" s="325"/>
      <c r="J1115" s="325"/>
      <c r="K1115" s="318"/>
      <c r="L1115" s="318"/>
      <c r="M1115" s="319" t="str">
        <f>IFERROR(VLOOKUP(H1115,Lijsten!$H$1:$I$100,2,0),"")</f>
        <v/>
      </c>
      <c r="N1115" s="319" t="str">
        <f ca="1">IFERROR(IF(VLOOKUP(F1115,Kostentypen!$A$3:$E$21,3,0)=0,"",IF(OR(F1115="Arbeidskosten",F1115="Vergoeding"),VLOOKUP(G1115,Tb_KostenTypen[],2,0),VLOOKUP(F1115,Kostentypen!$A$3:$E$20,3,0))),"")</f>
        <v/>
      </c>
      <c r="O1115" s="320" t="str" cm="1">
        <f t="array" ref="O1115">_xlfn.IFNA(IF(INDEX(Tb_KostenOptiesDB[],MATCH($F1115,Tb_KostenOptiesDB[KostenOptie],0),IFERROR(MATCH(Methode_Keuze,Tb_KostenOptiesDB[#Headers],0),2))=1,_xlfn.SWITCH($N1115,"Uurtarief",IF(OR(AND(RIGHT($F1115,3)="IKS",VLOOKUP($M1115,DB_Loonkosten,2,0)="Ja"),AND(RIGHT($F1115,3)&lt;&gt;"IKS",VLOOKUP($M1115,DB_Loonkosten,2,0)="Nee")),IFERROR(VLOOKUP($M1115,DB_Loonkosten,24,0),""),0),"Vast tarief",IF(LEFT(F1115,8)="Bijdrage",VLOOKUP($F1115,Tb_KostenTypen[],MATCH(Lijsten!$P$1,Tb_KostenTypen[#Headers],0),0),VLOOKUP($G1115,Lijsten!L:P,MATCH(Lijsten!$P$1,Kop_Tarief_Vast,0),0))),""),"")</f>
        <v/>
      </c>
      <c r="P1115" s="320" t="str" cm="1">
        <f t="array" ref="P1115">_xlfn.IFNA(IF(INDEX(Tb_KostenOptiesDB[],MATCH($F1115,Tb_KostenOptiesDB[KostenOptie],0),IFERROR(MATCH(Methode_Keuze,Tb_KostenOptiesDB[#Headers],0),2))=1,_xlfn.SWITCH($N1115,"Uurtarief",IF(OR(AND(RIGHT($F1115,3)="IKS",VLOOKUP($M1115,DB_Loonkosten,2,0)="Ja"),AND(RIGHT($F1115,3)&lt;&gt;"IKS",VLOOKUP($M1115,DB_Loonkosten,2,0)="Nee")),IFERROR(VLOOKUP($M1115,DB_Loonkosten,25,0),""),0),"Vast tarief",IF(LEFT(F1115,8)="Bijdrage",VLOOKUP($F1115,Tb_KostenTypen[],MATCH(Lijsten!$P$1,Tb_KostenTypen[#Headers],0),0),VLOOKUP($G1115,Lijsten!L:P,MATCH(Lijsten!$P$1,Kop_Tarief_Vast,0),0))),""),"")</f>
        <v/>
      </c>
      <c r="Q1115" s="359"/>
      <c r="R1115" s="359"/>
      <c r="S1115" s="321"/>
      <c r="T1115" s="321"/>
      <c r="U1115" s="373" t="str">
        <f t="shared" si="68"/>
        <v/>
      </c>
      <c r="V1115" s="314" t="str">
        <f t="shared" si="69"/>
        <v/>
      </c>
      <c r="W1115" s="314" t="str" cm="1">
        <f t="array" aca="1" ref="W1115" ca="1">IFERROR(IF(AE1115&lt;&gt;"ja",_xlfn.IFNA(_xlfn.IFS(AND(O1115&lt;&gt;"",F1115&lt;&gt;"",RIGHT($N1115,6)="tarief",F1115="Vergoeding"),SUM(O1115)*FLOOR(SUM(Q1115),0.0001),AND(O1115&lt;&gt;"",F1115&lt;&gt;"",RIGHT($N1115,6)="tarief"),SUM(O1115)*FLOOR(SUM(Q1115),0.01),S1115&gt;0,IF(F1115&lt;&gt;"",FLOOR(SUM(S1115),0.01),"")),""),""),"")</f>
        <v/>
      </c>
      <c r="X1115" s="314" t="str" cm="1">
        <f t="array" aca="1" ref="X1115" ca="1">IFERROR(IF(AE1115&lt;&gt;"ja",_xlfn.IFNA(_xlfn.IFS(AND(P1115&lt;&gt;"",R1115&lt;&gt;"",RIGHT($N1115,6)="tarief",F1115="Vergoeding"),SUM(P1115)*FLOOR(SUM(R1115),0.0001),AND(P1115&lt;&gt;"",R1115&lt;&gt;"",RIGHT($N1115,6)="tarief"),P1115*FLOOR(R1115,0.01),T1115&gt;0,FLOOR(SUM(T1115),0.01)),""),""),"")</f>
        <v/>
      </c>
      <c r="Y1115" s="314" t="str">
        <f t="shared" ca="1" si="70"/>
        <v/>
      </c>
      <c r="Z1115" s="314" t="str" cm="1">
        <f t="array" aca="1" ref="Z1115" ca="1">IFERROR(_xlfn.IFS(OR(F1115="",LEFT(Methode_Keuze,4)="Geen",Methode_Keuze=""),"",AND(W1115&lt;&gt;"",F1115&lt;&gt;"Arbeidskosten"),W1115*VLOOKUP(F1115,Tb_ProjectKosten[],MATCH(Tb_ProjectKosten[[#Headers],[Forfait_Percentage]],Tb_ProjectKosten[#Headers],0),0),AND(F1115="Arbeidskosten",G1115&lt;&gt;""),IFERROR(W1115*VLOOKUP(G1115,Tb_KostenTypen[],3,0)*VLOOKUP(F1115,Tb_ProjectKosten[],MATCH(Tb_ProjectKosten[[#Headers],[Forfait_Percentage]],Tb_ProjectKosten[#Headers],0),0),""),W1115 &lt;=0,0),"")</f>
        <v/>
      </c>
      <c r="AA1115" s="314" t="str" cm="1">
        <f t="array" aca="1" ref="AA1115" ca="1">IFERROR(_xlfn.IFS(OR(F1115="",LEFT(Methode_Keuze,4)="Geen",Methode_Keuze=""),"",AND(X1115&lt;&gt;"",F1115&lt;&gt;"Arbeidskosten"),X1115*VLOOKUP(F1115,Tb_ProjectKosten[],MATCH(Tb_ProjectKosten[[#Headers],[Forfait_Percentage]],Tb_ProjectKosten[#Headers],0),0),AND(F1115="Arbeidskosten",G1115&lt;&gt;""),IFERROR(X1115*VLOOKUP(G1115,Tb_KostenTypen[],3,0)*VLOOKUP(F1115,Tb_ProjectKosten[],MATCH(Tb_ProjectKosten[[#Headers],[Forfait_Percentage]],Tb_ProjectKosten[#Headers],0),0),""),X1115 &lt;=0,0),"")</f>
        <v/>
      </c>
      <c r="AB1115" s="314" t="str">
        <f t="shared" ca="1" si="71"/>
        <v/>
      </c>
      <c r="AC1115" s="322"/>
      <c r="AD1115" s="315"/>
      <c r="AE1115" s="32" t="str" cm="1">
        <f t="array" ref="AE1115">IFERROR(IF(INDEX(SubsidieTabel!$AD$1:$AG$12,MATCH($F1115,SubsidieTabel!$AD$1:$AD$12,0),IFERROR(MATCH(Methode_Keuze,SubsidieTabel!$AD$1:$AG$1,0),2))&lt;&gt;1=TRUE,"ja",""),"")</f>
        <v/>
      </c>
    </row>
    <row r="1116" spans="1:31" x14ac:dyDescent="0.25">
      <c r="A1116" s="316"/>
      <c r="B1116" s="317" t="str">
        <f>IF(A1116&lt;&gt;"",_xlfn.MAXIFS($B$1:B1115,$A$1:A1115,A1116)+1,"")</f>
        <v/>
      </c>
      <c r="C1116" s="296"/>
      <c r="D1116" s="296"/>
      <c r="E1116" s="296"/>
      <c r="F1116" s="296"/>
      <c r="G1116" s="326"/>
      <c r="H1116" s="324"/>
      <c r="I1116" s="325"/>
      <c r="J1116" s="325"/>
      <c r="K1116" s="318"/>
      <c r="L1116" s="318"/>
      <c r="M1116" s="319" t="str">
        <f>IFERROR(VLOOKUP(H1116,Lijsten!$H$1:$I$100,2,0),"")</f>
        <v/>
      </c>
      <c r="N1116" s="319" t="str">
        <f ca="1">IFERROR(IF(VLOOKUP(F1116,Kostentypen!$A$3:$E$21,3,0)=0,"",IF(OR(F1116="Arbeidskosten",F1116="Vergoeding"),VLOOKUP(G1116,Tb_KostenTypen[],2,0),VLOOKUP(F1116,Kostentypen!$A$3:$E$20,3,0))),"")</f>
        <v/>
      </c>
      <c r="O1116" s="320" t="str" cm="1">
        <f t="array" ref="O1116">_xlfn.IFNA(IF(INDEX(Tb_KostenOptiesDB[],MATCH($F1116,Tb_KostenOptiesDB[KostenOptie],0),IFERROR(MATCH(Methode_Keuze,Tb_KostenOptiesDB[#Headers],0),2))=1,_xlfn.SWITCH($N1116,"Uurtarief",IF(OR(AND(RIGHT($F1116,3)="IKS",VLOOKUP($M1116,DB_Loonkosten,2,0)="Ja"),AND(RIGHT($F1116,3)&lt;&gt;"IKS",VLOOKUP($M1116,DB_Loonkosten,2,0)="Nee")),IFERROR(VLOOKUP($M1116,DB_Loonkosten,24,0),""),0),"Vast tarief",IF(LEFT(F1116,8)="Bijdrage",VLOOKUP($F1116,Tb_KostenTypen[],MATCH(Lijsten!$P$1,Tb_KostenTypen[#Headers],0),0),VLOOKUP($G1116,Lijsten!L:P,MATCH(Lijsten!$P$1,Kop_Tarief_Vast,0),0))),""),"")</f>
        <v/>
      </c>
      <c r="P1116" s="320" t="str" cm="1">
        <f t="array" ref="P1116">_xlfn.IFNA(IF(INDEX(Tb_KostenOptiesDB[],MATCH($F1116,Tb_KostenOptiesDB[KostenOptie],0),IFERROR(MATCH(Methode_Keuze,Tb_KostenOptiesDB[#Headers],0),2))=1,_xlfn.SWITCH($N1116,"Uurtarief",IF(OR(AND(RIGHT($F1116,3)="IKS",VLOOKUP($M1116,DB_Loonkosten,2,0)="Ja"),AND(RIGHT($F1116,3)&lt;&gt;"IKS",VLOOKUP($M1116,DB_Loonkosten,2,0)="Nee")),IFERROR(VLOOKUP($M1116,DB_Loonkosten,25,0),""),0),"Vast tarief",IF(LEFT(F1116,8)="Bijdrage",VLOOKUP($F1116,Tb_KostenTypen[],MATCH(Lijsten!$P$1,Tb_KostenTypen[#Headers],0),0),VLOOKUP($G1116,Lijsten!L:P,MATCH(Lijsten!$P$1,Kop_Tarief_Vast,0),0))),""),"")</f>
        <v/>
      </c>
      <c r="Q1116" s="359"/>
      <c r="R1116" s="359"/>
      <c r="S1116" s="321"/>
      <c r="T1116" s="321"/>
      <c r="U1116" s="373" t="str">
        <f t="shared" si="68"/>
        <v/>
      </c>
      <c r="V1116" s="314" t="str">
        <f t="shared" si="69"/>
        <v/>
      </c>
      <c r="W1116" s="314" t="str" cm="1">
        <f t="array" aca="1" ref="W1116" ca="1">IFERROR(IF(AE1116&lt;&gt;"ja",_xlfn.IFNA(_xlfn.IFS(AND(O1116&lt;&gt;"",F1116&lt;&gt;"",RIGHT($N1116,6)="tarief",F1116="Vergoeding"),SUM(O1116)*FLOOR(SUM(Q1116),0.0001),AND(O1116&lt;&gt;"",F1116&lt;&gt;"",RIGHT($N1116,6)="tarief"),SUM(O1116)*FLOOR(SUM(Q1116),0.01),S1116&gt;0,IF(F1116&lt;&gt;"",FLOOR(SUM(S1116),0.01),"")),""),""),"")</f>
        <v/>
      </c>
      <c r="X1116" s="314" t="str" cm="1">
        <f t="array" aca="1" ref="X1116" ca="1">IFERROR(IF(AE1116&lt;&gt;"ja",_xlfn.IFNA(_xlfn.IFS(AND(P1116&lt;&gt;"",R1116&lt;&gt;"",RIGHT($N1116,6)="tarief",F1116="Vergoeding"),SUM(P1116)*FLOOR(SUM(R1116),0.0001),AND(P1116&lt;&gt;"",R1116&lt;&gt;"",RIGHT($N1116,6)="tarief"),P1116*FLOOR(R1116,0.01),T1116&gt;0,FLOOR(SUM(T1116),0.01)),""),""),"")</f>
        <v/>
      </c>
      <c r="Y1116" s="314" t="str">
        <f t="shared" ca="1" si="70"/>
        <v/>
      </c>
      <c r="Z1116" s="314" t="str" cm="1">
        <f t="array" aca="1" ref="Z1116" ca="1">IFERROR(_xlfn.IFS(OR(F1116="",LEFT(Methode_Keuze,4)="Geen",Methode_Keuze=""),"",AND(W1116&lt;&gt;"",F1116&lt;&gt;"Arbeidskosten"),W1116*VLOOKUP(F1116,Tb_ProjectKosten[],MATCH(Tb_ProjectKosten[[#Headers],[Forfait_Percentage]],Tb_ProjectKosten[#Headers],0),0),AND(F1116="Arbeidskosten",G1116&lt;&gt;""),IFERROR(W1116*VLOOKUP(G1116,Tb_KostenTypen[],3,0)*VLOOKUP(F1116,Tb_ProjectKosten[],MATCH(Tb_ProjectKosten[[#Headers],[Forfait_Percentage]],Tb_ProjectKosten[#Headers],0),0),""),W1116 &lt;=0,0),"")</f>
        <v/>
      </c>
      <c r="AA1116" s="314" t="str" cm="1">
        <f t="array" aca="1" ref="AA1116" ca="1">IFERROR(_xlfn.IFS(OR(F1116="",LEFT(Methode_Keuze,4)="Geen",Methode_Keuze=""),"",AND(X1116&lt;&gt;"",F1116&lt;&gt;"Arbeidskosten"),X1116*VLOOKUP(F1116,Tb_ProjectKosten[],MATCH(Tb_ProjectKosten[[#Headers],[Forfait_Percentage]],Tb_ProjectKosten[#Headers],0),0),AND(F1116="Arbeidskosten",G1116&lt;&gt;""),IFERROR(X1116*VLOOKUP(G1116,Tb_KostenTypen[],3,0)*VLOOKUP(F1116,Tb_ProjectKosten[],MATCH(Tb_ProjectKosten[[#Headers],[Forfait_Percentage]],Tb_ProjectKosten[#Headers],0),0),""),X1116 &lt;=0,0),"")</f>
        <v/>
      </c>
      <c r="AB1116" s="314" t="str">
        <f t="shared" ca="1" si="71"/>
        <v/>
      </c>
      <c r="AC1116" s="322"/>
      <c r="AD1116" s="315"/>
      <c r="AE1116" s="32" t="str" cm="1">
        <f t="array" ref="AE1116">IFERROR(IF(INDEX(SubsidieTabel!$AD$1:$AG$12,MATCH($F1116,SubsidieTabel!$AD$1:$AD$12,0),IFERROR(MATCH(Methode_Keuze,SubsidieTabel!$AD$1:$AG$1,0),2))&lt;&gt;1=TRUE,"ja",""),"")</f>
        <v/>
      </c>
    </row>
    <row r="1117" spans="1:31" x14ac:dyDescent="0.25">
      <c r="A1117" s="316"/>
      <c r="B1117" s="317" t="str">
        <f>IF(A1117&lt;&gt;"",_xlfn.MAXIFS($B$1:B1116,$A$1:A1116,A1117)+1,"")</f>
        <v/>
      </c>
      <c r="C1117" s="296"/>
      <c r="D1117" s="296"/>
      <c r="E1117" s="296"/>
      <c r="F1117" s="296"/>
      <c r="G1117" s="326"/>
      <c r="H1117" s="324"/>
      <c r="I1117" s="325"/>
      <c r="J1117" s="325"/>
      <c r="K1117" s="318"/>
      <c r="L1117" s="318"/>
      <c r="M1117" s="319" t="str">
        <f>IFERROR(VLOOKUP(H1117,Lijsten!$H$1:$I$100,2,0),"")</f>
        <v/>
      </c>
      <c r="N1117" s="319" t="str">
        <f ca="1">IFERROR(IF(VLOOKUP(F1117,Kostentypen!$A$3:$E$21,3,0)=0,"",IF(OR(F1117="Arbeidskosten",F1117="Vergoeding"),VLOOKUP(G1117,Tb_KostenTypen[],2,0),VLOOKUP(F1117,Kostentypen!$A$3:$E$20,3,0))),"")</f>
        <v/>
      </c>
      <c r="O1117" s="320" t="str" cm="1">
        <f t="array" ref="O1117">_xlfn.IFNA(IF(INDEX(Tb_KostenOptiesDB[],MATCH($F1117,Tb_KostenOptiesDB[KostenOptie],0),IFERROR(MATCH(Methode_Keuze,Tb_KostenOptiesDB[#Headers],0),2))=1,_xlfn.SWITCH($N1117,"Uurtarief",IF(OR(AND(RIGHT($F1117,3)="IKS",VLOOKUP($M1117,DB_Loonkosten,2,0)="Ja"),AND(RIGHT($F1117,3)&lt;&gt;"IKS",VLOOKUP($M1117,DB_Loonkosten,2,0)="Nee")),IFERROR(VLOOKUP($M1117,DB_Loonkosten,24,0),""),0),"Vast tarief",IF(LEFT(F1117,8)="Bijdrage",VLOOKUP($F1117,Tb_KostenTypen[],MATCH(Lijsten!$P$1,Tb_KostenTypen[#Headers],0),0),VLOOKUP($G1117,Lijsten!L:P,MATCH(Lijsten!$P$1,Kop_Tarief_Vast,0),0))),""),"")</f>
        <v/>
      </c>
      <c r="P1117" s="320" t="str" cm="1">
        <f t="array" ref="P1117">_xlfn.IFNA(IF(INDEX(Tb_KostenOptiesDB[],MATCH($F1117,Tb_KostenOptiesDB[KostenOptie],0),IFERROR(MATCH(Methode_Keuze,Tb_KostenOptiesDB[#Headers],0),2))=1,_xlfn.SWITCH($N1117,"Uurtarief",IF(OR(AND(RIGHT($F1117,3)="IKS",VLOOKUP($M1117,DB_Loonkosten,2,0)="Ja"),AND(RIGHT($F1117,3)&lt;&gt;"IKS",VLOOKUP($M1117,DB_Loonkosten,2,0)="Nee")),IFERROR(VLOOKUP($M1117,DB_Loonkosten,25,0),""),0),"Vast tarief",IF(LEFT(F1117,8)="Bijdrage",VLOOKUP($F1117,Tb_KostenTypen[],MATCH(Lijsten!$P$1,Tb_KostenTypen[#Headers],0),0),VLOOKUP($G1117,Lijsten!L:P,MATCH(Lijsten!$P$1,Kop_Tarief_Vast,0),0))),""),"")</f>
        <v/>
      </c>
      <c r="Q1117" s="359"/>
      <c r="R1117" s="359"/>
      <c r="S1117" s="321"/>
      <c r="T1117" s="321"/>
      <c r="U1117" s="373" t="str">
        <f t="shared" si="68"/>
        <v/>
      </c>
      <c r="V1117" s="314" t="str">
        <f t="shared" si="69"/>
        <v/>
      </c>
      <c r="W1117" s="314" t="str" cm="1">
        <f t="array" aca="1" ref="W1117" ca="1">IFERROR(IF(AE1117&lt;&gt;"ja",_xlfn.IFNA(_xlfn.IFS(AND(O1117&lt;&gt;"",F1117&lt;&gt;"",RIGHT($N1117,6)="tarief",F1117="Vergoeding"),SUM(O1117)*FLOOR(SUM(Q1117),0.0001),AND(O1117&lt;&gt;"",F1117&lt;&gt;"",RIGHT($N1117,6)="tarief"),SUM(O1117)*FLOOR(SUM(Q1117),0.01),S1117&gt;0,IF(F1117&lt;&gt;"",FLOOR(SUM(S1117),0.01),"")),""),""),"")</f>
        <v/>
      </c>
      <c r="X1117" s="314" t="str" cm="1">
        <f t="array" aca="1" ref="X1117" ca="1">IFERROR(IF(AE1117&lt;&gt;"ja",_xlfn.IFNA(_xlfn.IFS(AND(P1117&lt;&gt;"",R1117&lt;&gt;"",RIGHT($N1117,6)="tarief",F1117="Vergoeding"),SUM(P1117)*FLOOR(SUM(R1117),0.0001),AND(P1117&lt;&gt;"",R1117&lt;&gt;"",RIGHT($N1117,6)="tarief"),P1117*FLOOR(R1117,0.01),T1117&gt;0,FLOOR(SUM(T1117),0.01)),""),""),"")</f>
        <v/>
      </c>
      <c r="Y1117" s="314" t="str">
        <f t="shared" ca="1" si="70"/>
        <v/>
      </c>
      <c r="Z1117" s="314" t="str" cm="1">
        <f t="array" aca="1" ref="Z1117" ca="1">IFERROR(_xlfn.IFS(OR(F1117="",LEFT(Methode_Keuze,4)="Geen",Methode_Keuze=""),"",AND(W1117&lt;&gt;"",F1117&lt;&gt;"Arbeidskosten"),W1117*VLOOKUP(F1117,Tb_ProjectKosten[],MATCH(Tb_ProjectKosten[[#Headers],[Forfait_Percentage]],Tb_ProjectKosten[#Headers],0),0),AND(F1117="Arbeidskosten",G1117&lt;&gt;""),IFERROR(W1117*VLOOKUP(G1117,Tb_KostenTypen[],3,0)*VLOOKUP(F1117,Tb_ProjectKosten[],MATCH(Tb_ProjectKosten[[#Headers],[Forfait_Percentage]],Tb_ProjectKosten[#Headers],0),0),""),W1117 &lt;=0,0),"")</f>
        <v/>
      </c>
      <c r="AA1117" s="314" t="str" cm="1">
        <f t="array" aca="1" ref="AA1117" ca="1">IFERROR(_xlfn.IFS(OR(F1117="",LEFT(Methode_Keuze,4)="Geen",Methode_Keuze=""),"",AND(X1117&lt;&gt;"",F1117&lt;&gt;"Arbeidskosten"),X1117*VLOOKUP(F1117,Tb_ProjectKosten[],MATCH(Tb_ProjectKosten[[#Headers],[Forfait_Percentage]],Tb_ProjectKosten[#Headers],0),0),AND(F1117="Arbeidskosten",G1117&lt;&gt;""),IFERROR(X1117*VLOOKUP(G1117,Tb_KostenTypen[],3,0)*VLOOKUP(F1117,Tb_ProjectKosten[],MATCH(Tb_ProjectKosten[[#Headers],[Forfait_Percentage]],Tb_ProjectKosten[#Headers],0),0),""),X1117 &lt;=0,0),"")</f>
        <v/>
      </c>
      <c r="AB1117" s="314" t="str">
        <f t="shared" ca="1" si="71"/>
        <v/>
      </c>
      <c r="AC1117" s="322"/>
      <c r="AD1117" s="315"/>
      <c r="AE1117" s="32" t="str" cm="1">
        <f t="array" ref="AE1117">IFERROR(IF(INDEX(SubsidieTabel!$AD$1:$AG$12,MATCH($F1117,SubsidieTabel!$AD$1:$AD$12,0),IFERROR(MATCH(Methode_Keuze,SubsidieTabel!$AD$1:$AG$1,0),2))&lt;&gt;1=TRUE,"ja",""),"")</f>
        <v/>
      </c>
    </row>
    <row r="1118" spans="1:31" x14ac:dyDescent="0.25">
      <c r="A1118" s="316"/>
      <c r="B1118" s="317" t="str">
        <f>IF(A1118&lt;&gt;"",_xlfn.MAXIFS($B$1:B1117,$A$1:A1117,A1118)+1,"")</f>
        <v/>
      </c>
      <c r="C1118" s="296"/>
      <c r="D1118" s="296"/>
      <c r="E1118" s="296"/>
      <c r="F1118" s="296"/>
      <c r="G1118" s="326"/>
      <c r="H1118" s="324"/>
      <c r="I1118" s="325"/>
      <c r="J1118" s="325"/>
      <c r="K1118" s="318"/>
      <c r="L1118" s="318"/>
      <c r="M1118" s="319" t="str">
        <f>IFERROR(VLOOKUP(H1118,Lijsten!$H$1:$I$100,2,0),"")</f>
        <v/>
      </c>
      <c r="N1118" s="319" t="str">
        <f ca="1">IFERROR(IF(VLOOKUP(F1118,Kostentypen!$A$3:$E$21,3,0)=0,"",IF(OR(F1118="Arbeidskosten",F1118="Vergoeding"),VLOOKUP(G1118,Tb_KostenTypen[],2,0),VLOOKUP(F1118,Kostentypen!$A$3:$E$20,3,0))),"")</f>
        <v/>
      </c>
      <c r="O1118" s="320" t="str" cm="1">
        <f t="array" ref="O1118">_xlfn.IFNA(IF(INDEX(Tb_KostenOptiesDB[],MATCH($F1118,Tb_KostenOptiesDB[KostenOptie],0),IFERROR(MATCH(Methode_Keuze,Tb_KostenOptiesDB[#Headers],0),2))=1,_xlfn.SWITCH($N1118,"Uurtarief",IF(OR(AND(RIGHT($F1118,3)="IKS",VLOOKUP($M1118,DB_Loonkosten,2,0)="Ja"),AND(RIGHT($F1118,3)&lt;&gt;"IKS",VLOOKUP($M1118,DB_Loonkosten,2,0)="Nee")),IFERROR(VLOOKUP($M1118,DB_Loonkosten,24,0),""),0),"Vast tarief",IF(LEFT(F1118,8)="Bijdrage",VLOOKUP($F1118,Tb_KostenTypen[],MATCH(Lijsten!$P$1,Tb_KostenTypen[#Headers],0),0),VLOOKUP($G1118,Lijsten!L:P,MATCH(Lijsten!$P$1,Kop_Tarief_Vast,0),0))),""),"")</f>
        <v/>
      </c>
      <c r="P1118" s="320" t="str" cm="1">
        <f t="array" ref="P1118">_xlfn.IFNA(IF(INDEX(Tb_KostenOptiesDB[],MATCH($F1118,Tb_KostenOptiesDB[KostenOptie],0),IFERROR(MATCH(Methode_Keuze,Tb_KostenOptiesDB[#Headers],0),2))=1,_xlfn.SWITCH($N1118,"Uurtarief",IF(OR(AND(RIGHT($F1118,3)="IKS",VLOOKUP($M1118,DB_Loonkosten,2,0)="Ja"),AND(RIGHT($F1118,3)&lt;&gt;"IKS",VLOOKUP($M1118,DB_Loonkosten,2,0)="Nee")),IFERROR(VLOOKUP($M1118,DB_Loonkosten,25,0),""),0),"Vast tarief",IF(LEFT(F1118,8)="Bijdrage",VLOOKUP($F1118,Tb_KostenTypen[],MATCH(Lijsten!$P$1,Tb_KostenTypen[#Headers],0),0),VLOOKUP($G1118,Lijsten!L:P,MATCH(Lijsten!$P$1,Kop_Tarief_Vast,0),0))),""),"")</f>
        <v/>
      </c>
      <c r="Q1118" s="359"/>
      <c r="R1118" s="359"/>
      <c r="S1118" s="321"/>
      <c r="T1118" s="321"/>
      <c r="U1118" s="373" t="str">
        <f t="shared" si="68"/>
        <v/>
      </c>
      <c r="V1118" s="314" t="str">
        <f t="shared" si="69"/>
        <v/>
      </c>
      <c r="W1118" s="314" t="str" cm="1">
        <f t="array" aca="1" ref="W1118" ca="1">IFERROR(IF(AE1118&lt;&gt;"ja",_xlfn.IFNA(_xlfn.IFS(AND(O1118&lt;&gt;"",F1118&lt;&gt;"",RIGHT($N1118,6)="tarief",F1118="Vergoeding"),SUM(O1118)*FLOOR(SUM(Q1118),0.0001),AND(O1118&lt;&gt;"",F1118&lt;&gt;"",RIGHT($N1118,6)="tarief"),SUM(O1118)*FLOOR(SUM(Q1118),0.01),S1118&gt;0,IF(F1118&lt;&gt;"",FLOOR(SUM(S1118),0.01),"")),""),""),"")</f>
        <v/>
      </c>
      <c r="X1118" s="314" t="str" cm="1">
        <f t="array" aca="1" ref="X1118" ca="1">IFERROR(IF(AE1118&lt;&gt;"ja",_xlfn.IFNA(_xlfn.IFS(AND(P1118&lt;&gt;"",R1118&lt;&gt;"",RIGHT($N1118,6)="tarief",F1118="Vergoeding"),SUM(P1118)*FLOOR(SUM(R1118),0.0001),AND(P1118&lt;&gt;"",R1118&lt;&gt;"",RIGHT($N1118,6)="tarief"),P1118*FLOOR(R1118,0.01),T1118&gt;0,FLOOR(SUM(T1118),0.01)),""),""),"")</f>
        <v/>
      </c>
      <c r="Y1118" s="314" t="str">
        <f t="shared" ca="1" si="70"/>
        <v/>
      </c>
      <c r="Z1118" s="314" t="str" cm="1">
        <f t="array" aca="1" ref="Z1118" ca="1">IFERROR(_xlfn.IFS(OR(F1118="",LEFT(Methode_Keuze,4)="Geen",Methode_Keuze=""),"",AND(W1118&lt;&gt;"",F1118&lt;&gt;"Arbeidskosten"),W1118*VLOOKUP(F1118,Tb_ProjectKosten[],MATCH(Tb_ProjectKosten[[#Headers],[Forfait_Percentage]],Tb_ProjectKosten[#Headers],0),0),AND(F1118="Arbeidskosten",G1118&lt;&gt;""),IFERROR(W1118*VLOOKUP(G1118,Tb_KostenTypen[],3,0)*VLOOKUP(F1118,Tb_ProjectKosten[],MATCH(Tb_ProjectKosten[[#Headers],[Forfait_Percentage]],Tb_ProjectKosten[#Headers],0),0),""),W1118 &lt;=0,0),"")</f>
        <v/>
      </c>
      <c r="AA1118" s="314" t="str" cm="1">
        <f t="array" aca="1" ref="AA1118" ca="1">IFERROR(_xlfn.IFS(OR(F1118="",LEFT(Methode_Keuze,4)="Geen",Methode_Keuze=""),"",AND(X1118&lt;&gt;"",F1118&lt;&gt;"Arbeidskosten"),X1118*VLOOKUP(F1118,Tb_ProjectKosten[],MATCH(Tb_ProjectKosten[[#Headers],[Forfait_Percentage]],Tb_ProjectKosten[#Headers],0),0),AND(F1118="Arbeidskosten",G1118&lt;&gt;""),IFERROR(X1118*VLOOKUP(G1118,Tb_KostenTypen[],3,0)*VLOOKUP(F1118,Tb_ProjectKosten[],MATCH(Tb_ProjectKosten[[#Headers],[Forfait_Percentage]],Tb_ProjectKosten[#Headers],0),0),""),X1118 &lt;=0,0),"")</f>
        <v/>
      </c>
      <c r="AB1118" s="314" t="str">
        <f t="shared" ca="1" si="71"/>
        <v/>
      </c>
      <c r="AC1118" s="322"/>
      <c r="AD1118" s="315"/>
      <c r="AE1118" s="32" t="str" cm="1">
        <f t="array" ref="AE1118">IFERROR(IF(INDEX(SubsidieTabel!$AD$1:$AG$12,MATCH($F1118,SubsidieTabel!$AD$1:$AD$12,0),IFERROR(MATCH(Methode_Keuze,SubsidieTabel!$AD$1:$AG$1,0),2))&lt;&gt;1=TRUE,"ja",""),"")</f>
        <v/>
      </c>
    </row>
    <row r="1119" spans="1:31" x14ac:dyDescent="0.25">
      <c r="A1119" s="316"/>
      <c r="B1119" s="317" t="str">
        <f>IF(A1119&lt;&gt;"",_xlfn.MAXIFS($B$1:B1118,$A$1:A1118,A1119)+1,"")</f>
        <v/>
      </c>
      <c r="C1119" s="296"/>
      <c r="D1119" s="296"/>
      <c r="E1119" s="296"/>
      <c r="F1119" s="296"/>
      <c r="G1119" s="326"/>
      <c r="H1119" s="324"/>
      <c r="I1119" s="325"/>
      <c r="J1119" s="325"/>
      <c r="K1119" s="318"/>
      <c r="L1119" s="318"/>
      <c r="M1119" s="319" t="str">
        <f>IFERROR(VLOOKUP(H1119,Lijsten!$H$1:$I$100,2,0),"")</f>
        <v/>
      </c>
      <c r="N1119" s="319" t="str">
        <f ca="1">IFERROR(IF(VLOOKUP(F1119,Kostentypen!$A$3:$E$21,3,0)=0,"",IF(OR(F1119="Arbeidskosten",F1119="Vergoeding"),VLOOKUP(G1119,Tb_KostenTypen[],2,0),VLOOKUP(F1119,Kostentypen!$A$3:$E$20,3,0))),"")</f>
        <v/>
      </c>
      <c r="O1119" s="320" t="str" cm="1">
        <f t="array" ref="O1119">_xlfn.IFNA(IF(INDEX(Tb_KostenOptiesDB[],MATCH($F1119,Tb_KostenOptiesDB[KostenOptie],0),IFERROR(MATCH(Methode_Keuze,Tb_KostenOptiesDB[#Headers],0),2))=1,_xlfn.SWITCH($N1119,"Uurtarief",IF(OR(AND(RIGHT($F1119,3)="IKS",VLOOKUP($M1119,DB_Loonkosten,2,0)="Ja"),AND(RIGHT($F1119,3)&lt;&gt;"IKS",VLOOKUP($M1119,DB_Loonkosten,2,0)="Nee")),IFERROR(VLOOKUP($M1119,DB_Loonkosten,24,0),""),0),"Vast tarief",IF(LEFT(F1119,8)="Bijdrage",VLOOKUP($F1119,Tb_KostenTypen[],MATCH(Lijsten!$P$1,Tb_KostenTypen[#Headers],0),0),VLOOKUP($G1119,Lijsten!L:P,MATCH(Lijsten!$P$1,Kop_Tarief_Vast,0),0))),""),"")</f>
        <v/>
      </c>
      <c r="P1119" s="320" t="str" cm="1">
        <f t="array" ref="P1119">_xlfn.IFNA(IF(INDEX(Tb_KostenOptiesDB[],MATCH($F1119,Tb_KostenOptiesDB[KostenOptie],0),IFERROR(MATCH(Methode_Keuze,Tb_KostenOptiesDB[#Headers],0),2))=1,_xlfn.SWITCH($N1119,"Uurtarief",IF(OR(AND(RIGHT($F1119,3)="IKS",VLOOKUP($M1119,DB_Loonkosten,2,0)="Ja"),AND(RIGHT($F1119,3)&lt;&gt;"IKS",VLOOKUP($M1119,DB_Loonkosten,2,0)="Nee")),IFERROR(VLOOKUP($M1119,DB_Loonkosten,25,0),""),0),"Vast tarief",IF(LEFT(F1119,8)="Bijdrage",VLOOKUP($F1119,Tb_KostenTypen[],MATCH(Lijsten!$P$1,Tb_KostenTypen[#Headers],0),0),VLOOKUP($G1119,Lijsten!L:P,MATCH(Lijsten!$P$1,Kop_Tarief_Vast,0),0))),""),"")</f>
        <v/>
      </c>
      <c r="Q1119" s="359"/>
      <c r="R1119" s="359"/>
      <c r="S1119" s="321"/>
      <c r="T1119" s="321"/>
      <c r="U1119" s="373" t="str">
        <f t="shared" si="68"/>
        <v/>
      </c>
      <c r="V1119" s="314" t="str">
        <f t="shared" si="69"/>
        <v/>
      </c>
      <c r="W1119" s="314" t="str" cm="1">
        <f t="array" aca="1" ref="W1119" ca="1">IFERROR(IF(AE1119&lt;&gt;"ja",_xlfn.IFNA(_xlfn.IFS(AND(O1119&lt;&gt;"",F1119&lt;&gt;"",RIGHT($N1119,6)="tarief",F1119="Vergoeding"),SUM(O1119)*FLOOR(SUM(Q1119),0.0001),AND(O1119&lt;&gt;"",F1119&lt;&gt;"",RIGHT($N1119,6)="tarief"),SUM(O1119)*FLOOR(SUM(Q1119),0.01),S1119&gt;0,IF(F1119&lt;&gt;"",FLOOR(SUM(S1119),0.01),"")),""),""),"")</f>
        <v/>
      </c>
      <c r="X1119" s="314" t="str" cm="1">
        <f t="array" aca="1" ref="X1119" ca="1">IFERROR(IF(AE1119&lt;&gt;"ja",_xlfn.IFNA(_xlfn.IFS(AND(P1119&lt;&gt;"",R1119&lt;&gt;"",RIGHT($N1119,6)="tarief",F1119="Vergoeding"),SUM(P1119)*FLOOR(SUM(R1119),0.0001),AND(P1119&lt;&gt;"",R1119&lt;&gt;"",RIGHT($N1119,6)="tarief"),P1119*FLOOR(R1119,0.01),T1119&gt;0,FLOOR(SUM(T1119),0.01)),""),""),"")</f>
        <v/>
      </c>
      <c r="Y1119" s="314" t="str">
        <f t="shared" ca="1" si="70"/>
        <v/>
      </c>
      <c r="Z1119" s="314" t="str" cm="1">
        <f t="array" aca="1" ref="Z1119" ca="1">IFERROR(_xlfn.IFS(OR(F1119="",LEFT(Methode_Keuze,4)="Geen",Methode_Keuze=""),"",AND(W1119&lt;&gt;"",F1119&lt;&gt;"Arbeidskosten"),W1119*VLOOKUP(F1119,Tb_ProjectKosten[],MATCH(Tb_ProjectKosten[[#Headers],[Forfait_Percentage]],Tb_ProjectKosten[#Headers],0),0),AND(F1119="Arbeidskosten",G1119&lt;&gt;""),IFERROR(W1119*VLOOKUP(G1119,Tb_KostenTypen[],3,0)*VLOOKUP(F1119,Tb_ProjectKosten[],MATCH(Tb_ProjectKosten[[#Headers],[Forfait_Percentage]],Tb_ProjectKosten[#Headers],0),0),""),W1119 &lt;=0,0),"")</f>
        <v/>
      </c>
      <c r="AA1119" s="314" t="str" cm="1">
        <f t="array" aca="1" ref="AA1119" ca="1">IFERROR(_xlfn.IFS(OR(F1119="",LEFT(Methode_Keuze,4)="Geen",Methode_Keuze=""),"",AND(X1119&lt;&gt;"",F1119&lt;&gt;"Arbeidskosten"),X1119*VLOOKUP(F1119,Tb_ProjectKosten[],MATCH(Tb_ProjectKosten[[#Headers],[Forfait_Percentage]],Tb_ProjectKosten[#Headers],0),0),AND(F1119="Arbeidskosten",G1119&lt;&gt;""),IFERROR(X1119*VLOOKUP(G1119,Tb_KostenTypen[],3,0)*VLOOKUP(F1119,Tb_ProjectKosten[],MATCH(Tb_ProjectKosten[[#Headers],[Forfait_Percentage]],Tb_ProjectKosten[#Headers],0),0),""),X1119 &lt;=0,0),"")</f>
        <v/>
      </c>
      <c r="AB1119" s="314" t="str">
        <f t="shared" ca="1" si="71"/>
        <v/>
      </c>
      <c r="AC1119" s="322"/>
      <c r="AD1119" s="315"/>
      <c r="AE1119" s="32" t="str" cm="1">
        <f t="array" ref="AE1119">IFERROR(IF(INDEX(SubsidieTabel!$AD$1:$AG$12,MATCH($F1119,SubsidieTabel!$AD$1:$AD$12,0),IFERROR(MATCH(Methode_Keuze,SubsidieTabel!$AD$1:$AG$1,0),2))&lt;&gt;1=TRUE,"ja",""),"")</f>
        <v/>
      </c>
    </row>
    <row r="1120" spans="1:31" x14ac:dyDescent="0.25">
      <c r="A1120" s="316"/>
      <c r="B1120" s="317" t="str">
        <f>IF(A1120&lt;&gt;"",_xlfn.MAXIFS($B$1:B1119,$A$1:A1119,A1120)+1,"")</f>
        <v/>
      </c>
      <c r="C1120" s="296"/>
      <c r="D1120" s="296"/>
      <c r="E1120" s="296"/>
      <c r="F1120" s="296"/>
      <c r="G1120" s="326"/>
      <c r="H1120" s="324"/>
      <c r="I1120" s="325"/>
      <c r="J1120" s="325"/>
      <c r="K1120" s="318"/>
      <c r="L1120" s="318"/>
      <c r="M1120" s="319" t="str">
        <f>IFERROR(VLOOKUP(H1120,Lijsten!$H$1:$I$100,2,0),"")</f>
        <v/>
      </c>
      <c r="N1120" s="319" t="str">
        <f ca="1">IFERROR(IF(VLOOKUP(F1120,Kostentypen!$A$3:$E$21,3,0)=0,"",IF(OR(F1120="Arbeidskosten",F1120="Vergoeding"),VLOOKUP(G1120,Tb_KostenTypen[],2,0),VLOOKUP(F1120,Kostentypen!$A$3:$E$20,3,0))),"")</f>
        <v/>
      </c>
      <c r="O1120" s="320" t="str" cm="1">
        <f t="array" ref="O1120">_xlfn.IFNA(IF(INDEX(Tb_KostenOptiesDB[],MATCH($F1120,Tb_KostenOptiesDB[KostenOptie],0),IFERROR(MATCH(Methode_Keuze,Tb_KostenOptiesDB[#Headers],0),2))=1,_xlfn.SWITCH($N1120,"Uurtarief",IF(OR(AND(RIGHT($F1120,3)="IKS",VLOOKUP($M1120,DB_Loonkosten,2,0)="Ja"),AND(RIGHT($F1120,3)&lt;&gt;"IKS",VLOOKUP($M1120,DB_Loonkosten,2,0)="Nee")),IFERROR(VLOOKUP($M1120,DB_Loonkosten,24,0),""),0),"Vast tarief",IF(LEFT(F1120,8)="Bijdrage",VLOOKUP($F1120,Tb_KostenTypen[],MATCH(Lijsten!$P$1,Tb_KostenTypen[#Headers],0),0),VLOOKUP($G1120,Lijsten!L:P,MATCH(Lijsten!$P$1,Kop_Tarief_Vast,0),0))),""),"")</f>
        <v/>
      </c>
      <c r="P1120" s="320" t="str" cm="1">
        <f t="array" ref="P1120">_xlfn.IFNA(IF(INDEX(Tb_KostenOptiesDB[],MATCH($F1120,Tb_KostenOptiesDB[KostenOptie],0),IFERROR(MATCH(Methode_Keuze,Tb_KostenOptiesDB[#Headers],0),2))=1,_xlfn.SWITCH($N1120,"Uurtarief",IF(OR(AND(RIGHT($F1120,3)="IKS",VLOOKUP($M1120,DB_Loonkosten,2,0)="Ja"),AND(RIGHT($F1120,3)&lt;&gt;"IKS",VLOOKUP($M1120,DB_Loonkosten,2,0)="Nee")),IFERROR(VLOOKUP($M1120,DB_Loonkosten,25,0),""),0),"Vast tarief",IF(LEFT(F1120,8)="Bijdrage",VLOOKUP($F1120,Tb_KostenTypen[],MATCH(Lijsten!$P$1,Tb_KostenTypen[#Headers],0),0),VLOOKUP($G1120,Lijsten!L:P,MATCH(Lijsten!$P$1,Kop_Tarief_Vast,0),0))),""),"")</f>
        <v/>
      </c>
      <c r="Q1120" s="359"/>
      <c r="R1120" s="359"/>
      <c r="S1120" s="321"/>
      <c r="T1120" s="321"/>
      <c r="U1120" s="373" t="str">
        <f t="shared" si="68"/>
        <v/>
      </c>
      <c r="V1120" s="314" t="str">
        <f t="shared" si="69"/>
        <v/>
      </c>
      <c r="W1120" s="314" t="str" cm="1">
        <f t="array" aca="1" ref="W1120" ca="1">IFERROR(IF(AE1120&lt;&gt;"ja",_xlfn.IFNA(_xlfn.IFS(AND(O1120&lt;&gt;"",F1120&lt;&gt;"",RIGHT($N1120,6)="tarief",F1120="Vergoeding"),SUM(O1120)*FLOOR(SUM(Q1120),0.0001),AND(O1120&lt;&gt;"",F1120&lt;&gt;"",RIGHT($N1120,6)="tarief"),SUM(O1120)*FLOOR(SUM(Q1120),0.01),S1120&gt;0,IF(F1120&lt;&gt;"",FLOOR(SUM(S1120),0.01),"")),""),""),"")</f>
        <v/>
      </c>
      <c r="X1120" s="314" t="str" cm="1">
        <f t="array" aca="1" ref="X1120" ca="1">IFERROR(IF(AE1120&lt;&gt;"ja",_xlfn.IFNA(_xlfn.IFS(AND(P1120&lt;&gt;"",R1120&lt;&gt;"",RIGHT($N1120,6)="tarief",F1120="Vergoeding"),SUM(P1120)*FLOOR(SUM(R1120),0.0001),AND(P1120&lt;&gt;"",R1120&lt;&gt;"",RIGHT($N1120,6)="tarief"),P1120*FLOOR(R1120,0.01),T1120&gt;0,FLOOR(SUM(T1120),0.01)),""),""),"")</f>
        <v/>
      </c>
      <c r="Y1120" s="314" t="str">
        <f t="shared" ca="1" si="70"/>
        <v/>
      </c>
      <c r="Z1120" s="314" t="str" cm="1">
        <f t="array" aca="1" ref="Z1120" ca="1">IFERROR(_xlfn.IFS(OR(F1120="",LEFT(Methode_Keuze,4)="Geen",Methode_Keuze=""),"",AND(W1120&lt;&gt;"",F1120&lt;&gt;"Arbeidskosten"),W1120*VLOOKUP(F1120,Tb_ProjectKosten[],MATCH(Tb_ProjectKosten[[#Headers],[Forfait_Percentage]],Tb_ProjectKosten[#Headers],0),0),AND(F1120="Arbeidskosten",G1120&lt;&gt;""),IFERROR(W1120*VLOOKUP(G1120,Tb_KostenTypen[],3,0)*VLOOKUP(F1120,Tb_ProjectKosten[],MATCH(Tb_ProjectKosten[[#Headers],[Forfait_Percentage]],Tb_ProjectKosten[#Headers],0),0),""),W1120 &lt;=0,0),"")</f>
        <v/>
      </c>
      <c r="AA1120" s="314" t="str" cm="1">
        <f t="array" aca="1" ref="AA1120" ca="1">IFERROR(_xlfn.IFS(OR(F1120="",LEFT(Methode_Keuze,4)="Geen",Methode_Keuze=""),"",AND(X1120&lt;&gt;"",F1120&lt;&gt;"Arbeidskosten"),X1120*VLOOKUP(F1120,Tb_ProjectKosten[],MATCH(Tb_ProjectKosten[[#Headers],[Forfait_Percentage]],Tb_ProjectKosten[#Headers],0),0),AND(F1120="Arbeidskosten",G1120&lt;&gt;""),IFERROR(X1120*VLOOKUP(G1120,Tb_KostenTypen[],3,0)*VLOOKUP(F1120,Tb_ProjectKosten[],MATCH(Tb_ProjectKosten[[#Headers],[Forfait_Percentage]],Tb_ProjectKosten[#Headers],0),0),""),X1120 &lt;=0,0),"")</f>
        <v/>
      </c>
      <c r="AB1120" s="314" t="str">
        <f t="shared" ca="1" si="71"/>
        <v/>
      </c>
      <c r="AC1120" s="322"/>
      <c r="AD1120" s="315"/>
      <c r="AE1120" s="32" t="str" cm="1">
        <f t="array" ref="AE1120">IFERROR(IF(INDEX(SubsidieTabel!$AD$1:$AG$12,MATCH($F1120,SubsidieTabel!$AD$1:$AD$12,0),IFERROR(MATCH(Methode_Keuze,SubsidieTabel!$AD$1:$AG$1,0),2))&lt;&gt;1=TRUE,"ja",""),"")</f>
        <v/>
      </c>
    </row>
    <row r="1121" spans="1:31" x14ac:dyDescent="0.25">
      <c r="A1121" s="316"/>
      <c r="B1121" s="317" t="str">
        <f>IF(A1121&lt;&gt;"",_xlfn.MAXIFS($B$1:B1120,$A$1:A1120,A1121)+1,"")</f>
        <v/>
      </c>
      <c r="C1121" s="296"/>
      <c r="D1121" s="296"/>
      <c r="E1121" s="296"/>
      <c r="F1121" s="296"/>
      <c r="G1121" s="326"/>
      <c r="H1121" s="324"/>
      <c r="I1121" s="325"/>
      <c r="J1121" s="325"/>
      <c r="K1121" s="318"/>
      <c r="L1121" s="318"/>
      <c r="M1121" s="319" t="str">
        <f>IFERROR(VLOOKUP(H1121,Lijsten!$H$1:$I$100,2,0),"")</f>
        <v/>
      </c>
      <c r="N1121" s="319" t="str">
        <f ca="1">IFERROR(IF(VLOOKUP(F1121,Kostentypen!$A$3:$E$21,3,0)=0,"",IF(OR(F1121="Arbeidskosten",F1121="Vergoeding"),VLOOKUP(G1121,Tb_KostenTypen[],2,0),VLOOKUP(F1121,Kostentypen!$A$3:$E$20,3,0))),"")</f>
        <v/>
      </c>
      <c r="O1121" s="320" t="str" cm="1">
        <f t="array" ref="O1121">_xlfn.IFNA(IF(INDEX(Tb_KostenOptiesDB[],MATCH($F1121,Tb_KostenOptiesDB[KostenOptie],0),IFERROR(MATCH(Methode_Keuze,Tb_KostenOptiesDB[#Headers],0),2))=1,_xlfn.SWITCH($N1121,"Uurtarief",IF(OR(AND(RIGHT($F1121,3)="IKS",VLOOKUP($M1121,DB_Loonkosten,2,0)="Ja"),AND(RIGHT($F1121,3)&lt;&gt;"IKS",VLOOKUP($M1121,DB_Loonkosten,2,0)="Nee")),IFERROR(VLOOKUP($M1121,DB_Loonkosten,24,0),""),0),"Vast tarief",IF(LEFT(F1121,8)="Bijdrage",VLOOKUP($F1121,Tb_KostenTypen[],MATCH(Lijsten!$P$1,Tb_KostenTypen[#Headers],0),0),VLOOKUP($G1121,Lijsten!L:P,MATCH(Lijsten!$P$1,Kop_Tarief_Vast,0),0))),""),"")</f>
        <v/>
      </c>
      <c r="P1121" s="320" t="str" cm="1">
        <f t="array" ref="P1121">_xlfn.IFNA(IF(INDEX(Tb_KostenOptiesDB[],MATCH($F1121,Tb_KostenOptiesDB[KostenOptie],0),IFERROR(MATCH(Methode_Keuze,Tb_KostenOptiesDB[#Headers],0),2))=1,_xlfn.SWITCH($N1121,"Uurtarief",IF(OR(AND(RIGHT($F1121,3)="IKS",VLOOKUP($M1121,DB_Loonkosten,2,0)="Ja"),AND(RIGHT($F1121,3)&lt;&gt;"IKS",VLOOKUP($M1121,DB_Loonkosten,2,0)="Nee")),IFERROR(VLOOKUP($M1121,DB_Loonkosten,25,0),""),0),"Vast tarief",IF(LEFT(F1121,8)="Bijdrage",VLOOKUP($F1121,Tb_KostenTypen[],MATCH(Lijsten!$P$1,Tb_KostenTypen[#Headers],0),0),VLOOKUP($G1121,Lijsten!L:P,MATCH(Lijsten!$P$1,Kop_Tarief_Vast,0),0))),""),"")</f>
        <v/>
      </c>
      <c r="Q1121" s="359"/>
      <c r="R1121" s="359"/>
      <c r="S1121" s="321"/>
      <c r="T1121" s="321"/>
      <c r="U1121" s="373" t="str">
        <f t="shared" si="68"/>
        <v/>
      </c>
      <c r="V1121" s="314" t="str">
        <f t="shared" si="69"/>
        <v/>
      </c>
      <c r="W1121" s="314" t="str" cm="1">
        <f t="array" aca="1" ref="W1121" ca="1">IFERROR(IF(AE1121&lt;&gt;"ja",_xlfn.IFNA(_xlfn.IFS(AND(O1121&lt;&gt;"",F1121&lt;&gt;"",RIGHT($N1121,6)="tarief",F1121="Vergoeding"),SUM(O1121)*FLOOR(SUM(Q1121),0.0001),AND(O1121&lt;&gt;"",F1121&lt;&gt;"",RIGHT($N1121,6)="tarief"),SUM(O1121)*FLOOR(SUM(Q1121),0.01),S1121&gt;0,IF(F1121&lt;&gt;"",FLOOR(SUM(S1121),0.01),"")),""),""),"")</f>
        <v/>
      </c>
      <c r="X1121" s="314" t="str" cm="1">
        <f t="array" aca="1" ref="X1121" ca="1">IFERROR(IF(AE1121&lt;&gt;"ja",_xlfn.IFNA(_xlfn.IFS(AND(P1121&lt;&gt;"",R1121&lt;&gt;"",RIGHT($N1121,6)="tarief",F1121="Vergoeding"),SUM(P1121)*FLOOR(SUM(R1121),0.0001),AND(P1121&lt;&gt;"",R1121&lt;&gt;"",RIGHT($N1121,6)="tarief"),P1121*FLOOR(R1121,0.01),T1121&gt;0,FLOOR(SUM(T1121),0.01)),""),""),"")</f>
        <v/>
      </c>
      <c r="Y1121" s="314" t="str">
        <f t="shared" ca="1" si="70"/>
        <v/>
      </c>
      <c r="Z1121" s="314" t="str" cm="1">
        <f t="array" aca="1" ref="Z1121" ca="1">IFERROR(_xlfn.IFS(OR(F1121="",LEFT(Methode_Keuze,4)="Geen",Methode_Keuze=""),"",AND(W1121&lt;&gt;"",F1121&lt;&gt;"Arbeidskosten"),W1121*VLOOKUP(F1121,Tb_ProjectKosten[],MATCH(Tb_ProjectKosten[[#Headers],[Forfait_Percentage]],Tb_ProjectKosten[#Headers],0),0),AND(F1121="Arbeidskosten",G1121&lt;&gt;""),IFERROR(W1121*VLOOKUP(G1121,Tb_KostenTypen[],3,0)*VLOOKUP(F1121,Tb_ProjectKosten[],MATCH(Tb_ProjectKosten[[#Headers],[Forfait_Percentage]],Tb_ProjectKosten[#Headers],0),0),""),W1121 &lt;=0,0),"")</f>
        <v/>
      </c>
      <c r="AA1121" s="314" t="str" cm="1">
        <f t="array" aca="1" ref="AA1121" ca="1">IFERROR(_xlfn.IFS(OR(F1121="",LEFT(Methode_Keuze,4)="Geen",Methode_Keuze=""),"",AND(X1121&lt;&gt;"",F1121&lt;&gt;"Arbeidskosten"),X1121*VLOOKUP(F1121,Tb_ProjectKosten[],MATCH(Tb_ProjectKosten[[#Headers],[Forfait_Percentage]],Tb_ProjectKosten[#Headers],0),0),AND(F1121="Arbeidskosten",G1121&lt;&gt;""),IFERROR(X1121*VLOOKUP(G1121,Tb_KostenTypen[],3,0)*VLOOKUP(F1121,Tb_ProjectKosten[],MATCH(Tb_ProjectKosten[[#Headers],[Forfait_Percentage]],Tb_ProjectKosten[#Headers],0),0),""),X1121 &lt;=0,0),"")</f>
        <v/>
      </c>
      <c r="AB1121" s="314" t="str">
        <f t="shared" ca="1" si="71"/>
        <v/>
      </c>
      <c r="AC1121" s="322"/>
      <c r="AD1121" s="315"/>
      <c r="AE1121" s="32" t="str" cm="1">
        <f t="array" ref="AE1121">IFERROR(IF(INDEX(SubsidieTabel!$AD$1:$AG$12,MATCH($F1121,SubsidieTabel!$AD$1:$AD$12,0),IFERROR(MATCH(Methode_Keuze,SubsidieTabel!$AD$1:$AG$1,0),2))&lt;&gt;1=TRUE,"ja",""),"")</f>
        <v/>
      </c>
    </row>
    <row r="1122" spans="1:31" x14ac:dyDescent="0.25">
      <c r="A1122" s="316"/>
      <c r="B1122" s="317" t="str">
        <f>IF(A1122&lt;&gt;"",_xlfn.MAXIFS($B$1:B1121,$A$1:A1121,A1122)+1,"")</f>
        <v/>
      </c>
      <c r="C1122" s="296"/>
      <c r="D1122" s="296"/>
      <c r="E1122" s="296"/>
      <c r="F1122" s="296"/>
      <c r="G1122" s="326"/>
      <c r="H1122" s="324"/>
      <c r="I1122" s="325"/>
      <c r="J1122" s="325"/>
      <c r="K1122" s="318"/>
      <c r="L1122" s="318"/>
      <c r="M1122" s="319" t="str">
        <f>IFERROR(VLOOKUP(H1122,Lijsten!$H$1:$I$100,2,0),"")</f>
        <v/>
      </c>
      <c r="N1122" s="319" t="str">
        <f ca="1">IFERROR(IF(VLOOKUP(F1122,Kostentypen!$A$3:$E$21,3,0)=0,"",IF(OR(F1122="Arbeidskosten",F1122="Vergoeding"),VLOOKUP(G1122,Tb_KostenTypen[],2,0),VLOOKUP(F1122,Kostentypen!$A$3:$E$20,3,0))),"")</f>
        <v/>
      </c>
      <c r="O1122" s="320" t="str" cm="1">
        <f t="array" ref="O1122">_xlfn.IFNA(IF(INDEX(Tb_KostenOptiesDB[],MATCH($F1122,Tb_KostenOptiesDB[KostenOptie],0),IFERROR(MATCH(Methode_Keuze,Tb_KostenOptiesDB[#Headers],0),2))=1,_xlfn.SWITCH($N1122,"Uurtarief",IF(OR(AND(RIGHT($F1122,3)="IKS",VLOOKUP($M1122,DB_Loonkosten,2,0)="Ja"),AND(RIGHT($F1122,3)&lt;&gt;"IKS",VLOOKUP($M1122,DB_Loonkosten,2,0)="Nee")),IFERROR(VLOOKUP($M1122,DB_Loonkosten,24,0),""),0),"Vast tarief",IF(LEFT(F1122,8)="Bijdrage",VLOOKUP($F1122,Tb_KostenTypen[],MATCH(Lijsten!$P$1,Tb_KostenTypen[#Headers],0),0),VLOOKUP($G1122,Lijsten!L:P,MATCH(Lijsten!$P$1,Kop_Tarief_Vast,0),0))),""),"")</f>
        <v/>
      </c>
      <c r="P1122" s="320" t="str" cm="1">
        <f t="array" ref="P1122">_xlfn.IFNA(IF(INDEX(Tb_KostenOptiesDB[],MATCH($F1122,Tb_KostenOptiesDB[KostenOptie],0),IFERROR(MATCH(Methode_Keuze,Tb_KostenOptiesDB[#Headers],0),2))=1,_xlfn.SWITCH($N1122,"Uurtarief",IF(OR(AND(RIGHT($F1122,3)="IKS",VLOOKUP($M1122,DB_Loonkosten,2,0)="Ja"),AND(RIGHT($F1122,3)&lt;&gt;"IKS",VLOOKUP($M1122,DB_Loonkosten,2,0)="Nee")),IFERROR(VLOOKUP($M1122,DB_Loonkosten,25,0),""),0),"Vast tarief",IF(LEFT(F1122,8)="Bijdrage",VLOOKUP($F1122,Tb_KostenTypen[],MATCH(Lijsten!$P$1,Tb_KostenTypen[#Headers],0),0),VLOOKUP($G1122,Lijsten!L:P,MATCH(Lijsten!$P$1,Kop_Tarief_Vast,0),0))),""),"")</f>
        <v/>
      </c>
      <c r="Q1122" s="359"/>
      <c r="R1122" s="359"/>
      <c r="S1122" s="321"/>
      <c r="T1122" s="321"/>
      <c r="U1122" s="373" t="str">
        <f t="shared" si="68"/>
        <v/>
      </c>
      <c r="V1122" s="314" t="str">
        <f t="shared" si="69"/>
        <v/>
      </c>
      <c r="W1122" s="314" t="str" cm="1">
        <f t="array" aca="1" ref="W1122" ca="1">IFERROR(IF(AE1122&lt;&gt;"ja",_xlfn.IFNA(_xlfn.IFS(AND(O1122&lt;&gt;"",F1122&lt;&gt;"",RIGHT($N1122,6)="tarief",F1122="Vergoeding"),SUM(O1122)*FLOOR(SUM(Q1122),0.0001),AND(O1122&lt;&gt;"",F1122&lt;&gt;"",RIGHT($N1122,6)="tarief"),SUM(O1122)*FLOOR(SUM(Q1122),0.01),S1122&gt;0,IF(F1122&lt;&gt;"",FLOOR(SUM(S1122),0.01),"")),""),""),"")</f>
        <v/>
      </c>
      <c r="X1122" s="314" t="str" cm="1">
        <f t="array" aca="1" ref="X1122" ca="1">IFERROR(IF(AE1122&lt;&gt;"ja",_xlfn.IFNA(_xlfn.IFS(AND(P1122&lt;&gt;"",R1122&lt;&gt;"",RIGHT($N1122,6)="tarief",F1122="Vergoeding"),SUM(P1122)*FLOOR(SUM(R1122),0.0001),AND(P1122&lt;&gt;"",R1122&lt;&gt;"",RIGHT($N1122,6)="tarief"),P1122*FLOOR(R1122,0.01),T1122&gt;0,FLOOR(SUM(T1122),0.01)),""),""),"")</f>
        <v/>
      </c>
      <c r="Y1122" s="314" t="str">
        <f t="shared" ca="1" si="70"/>
        <v/>
      </c>
      <c r="Z1122" s="314" t="str" cm="1">
        <f t="array" aca="1" ref="Z1122" ca="1">IFERROR(_xlfn.IFS(OR(F1122="",LEFT(Methode_Keuze,4)="Geen",Methode_Keuze=""),"",AND(W1122&lt;&gt;"",F1122&lt;&gt;"Arbeidskosten"),W1122*VLOOKUP(F1122,Tb_ProjectKosten[],MATCH(Tb_ProjectKosten[[#Headers],[Forfait_Percentage]],Tb_ProjectKosten[#Headers],0),0),AND(F1122="Arbeidskosten",G1122&lt;&gt;""),IFERROR(W1122*VLOOKUP(G1122,Tb_KostenTypen[],3,0)*VLOOKUP(F1122,Tb_ProjectKosten[],MATCH(Tb_ProjectKosten[[#Headers],[Forfait_Percentage]],Tb_ProjectKosten[#Headers],0),0),""),W1122 &lt;=0,0),"")</f>
        <v/>
      </c>
      <c r="AA1122" s="314" t="str" cm="1">
        <f t="array" aca="1" ref="AA1122" ca="1">IFERROR(_xlfn.IFS(OR(F1122="",LEFT(Methode_Keuze,4)="Geen",Methode_Keuze=""),"",AND(X1122&lt;&gt;"",F1122&lt;&gt;"Arbeidskosten"),X1122*VLOOKUP(F1122,Tb_ProjectKosten[],MATCH(Tb_ProjectKosten[[#Headers],[Forfait_Percentage]],Tb_ProjectKosten[#Headers],0),0),AND(F1122="Arbeidskosten",G1122&lt;&gt;""),IFERROR(X1122*VLOOKUP(G1122,Tb_KostenTypen[],3,0)*VLOOKUP(F1122,Tb_ProjectKosten[],MATCH(Tb_ProjectKosten[[#Headers],[Forfait_Percentage]],Tb_ProjectKosten[#Headers],0),0),""),X1122 &lt;=0,0),"")</f>
        <v/>
      </c>
      <c r="AB1122" s="314" t="str">
        <f t="shared" ca="1" si="71"/>
        <v/>
      </c>
      <c r="AC1122" s="322"/>
      <c r="AD1122" s="315"/>
      <c r="AE1122" s="32" t="str" cm="1">
        <f t="array" ref="AE1122">IFERROR(IF(INDEX(SubsidieTabel!$AD$1:$AG$12,MATCH($F1122,SubsidieTabel!$AD$1:$AD$12,0),IFERROR(MATCH(Methode_Keuze,SubsidieTabel!$AD$1:$AG$1,0),2))&lt;&gt;1=TRUE,"ja",""),"")</f>
        <v/>
      </c>
    </row>
    <row r="1123" spans="1:31" x14ac:dyDescent="0.25">
      <c r="A1123" s="316"/>
      <c r="B1123" s="317" t="str">
        <f>IF(A1123&lt;&gt;"",_xlfn.MAXIFS($B$1:B1122,$A$1:A1122,A1123)+1,"")</f>
        <v/>
      </c>
      <c r="C1123" s="296"/>
      <c r="D1123" s="296"/>
      <c r="E1123" s="296"/>
      <c r="F1123" s="296"/>
      <c r="G1123" s="326"/>
      <c r="H1123" s="324"/>
      <c r="I1123" s="325"/>
      <c r="J1123" s="325"/>
      <c r="K1123" s="318"/>
      <c r="L1123" s="318"/>
      <c r="M1123" s="319" t="str">
        <f>IFERROR(VLOOKUP(H1123,Lijsten!$H$1:$I$100,2,0),"")</f>
        <v/>
      </c>
      <c r="N1123" s="319" t="str">
        <f ca="1">IFERROR(IF(VLOOKUP(F1123,Kostentypen!$A$3:$E$21,3,0)=0,"",IF(OR(F1123="Arbeidskosten",F1123="Vergoeding"),VLOOKUP(G1123,Tb_KostenTypen[],2,0),VLOOKUP(F1123,Kostentypen!$A$3:$E$20,3,0))),"")</f>
        <v/>
      </c>
      <c r="O1123" s="320" t="str" cm="1">
        <f t="array" ref="O1123">_xlfn.IFNA(IF(INDEX(Tb_KostenOptiesDB[],MATCH($F1123,Tb_KostenOptiesDB[KostenOptie],0),IFERROR(MATCH(Methode_Keuze,Tb_KostenOptiesDB[#Headers],0),2))=1,_xlfn.SWITCH($N1123,"Uurtarief",IF(OR(AND(RIGHT($F1123,3)="IKS",VLOOKUP($M1123,DB_Loonkosten,2,0)="Ja"),AND(RIGHT($F1123,3)&lt;&gt;"IKS",VLOOKUP($M1123,DB_Loonkosten,2,0)="Nee")),IFERROR(VLOOKUP($M1123,DB_Loonkosten,24,0),""),0),"Vast tarief",IF(LEFT(F1123,8)="Bijdrage",VLOOKUP($F1123,Tb_KostenTypen[],MATCH(Lijsten!$P$1,Tb_KostenTypen[#Headers],0),0),VLOOKUP($G1123,Lijsten!L:P,MATCH(Lijsten!$P$1,Kop_Tarief_Vast,0),0))),""),"")</f>
        <v/>
      </c>
      <c r="P1123" s="320" t="str" cm="1">
        <f t="array" ref="P1123">_xlfn.IFNA(IF(INDEX(Tb_KostenOptiesDB[],MATCH($F1123,Tb_KostenOptiesDB[KostenOptie],0),IFERROR(MATCH(Methode_Keuze,Tb_KostenOptiesDB[#Headers],0),2))=1,_xlfn.SWITCH($N1123,"Uurtarief",IF(OR(AND(RIGHT($F1123,3)="IKS",VLOOKUP($M1123,DB_Loonkosten,2,0)="Ja"),AND(RIGHT($F1123,3)&lt;&gt;"IKS",VLOOKUP($M1123,DB_Loonkosten,2,0)="Nee")),IFERROR(VLOOKUP($M1123,DB_Loonkosten,25,0),""),0),"Vast tarief",IF(LEFT(F1123,8)="Bijdrage",VLOOKUP($F1123,Tb_KostenTypen[],MATCH(Lijsten!$P$1,Tb_KostenTypen[#Headers],0),0),VLOOKUP($G1123,Lijsten!L:P,MATCH(Lijsten!$P$1,Kop_Tarief_Vast,0),0))),""),"")</f>
        <v/>
      </c>
      <c r="Q1123" s="359"/>
      <c r="R1123" s="359"/>
      <c r="S1123" s="321"/>
      <c r="T1123" s="321"/>
      <c r="U1123" s="373" t="str">
        <f t="shared" si="68"/>
        <v/>
      </c>
      <c r="V1123" s="314" t="str">
        <f t="shared" si="69"/>
        <v/>
      </c>
      <c r="W1123" s="314" t="str" cm="1">
        <f t="array" aca="1" ref="W1123" ca="1">IFERROR(IF(AE1123&lt;&gt;"ja",_xlfn.IFNA(_xlfn.IFS(AND(O1123&lt;&gt;"",F1123&lt;&gt;"",RIGHT($N1123,6)="tarief",F1123="Vergoeding"),SUM(O1123)*FLOOR(SUM(Q1123),0.0001),AND(O1123&lt;&gt;"",F1123&lt;&gt;"",RIGHT($N1123,6)="tarief"),SUM(O1123)*FLOOR(SUM(Q1123),0.01),S1123&gt;0,IF(F1123&lt;&gt;"",FLOOR(SUM(S1123),0.01),"")),""),""),"")</f>
        <v/>
      </c>
      <c r="X1123" s="314" t="str" cm="1">
        <f t="array" aca="1" ref="X1123" ca="1">IFERROR(IF(AE1123&lt;&gt;"ja",_xlfn.IFNA(_xlfn.IFS(AND(P1123&lt;&gt;"",R1123&lt;&gt;"",RIGHT($N1123,6)="tarief",F1123="Vergoeding"),SUM(P1123)*FLOOR(SUM(R1123),0.0001),AND(P1123&lt;&gt;"",R1123&lt;&gt;"",RIGHT($N1123,6)="tarief"),P1123*FLOOR(R1123,0.01),T1123&gt;0,FLOOR(SUM(T1123),0.01)),""),""),"")</f>
        <v/>
      </c>
      <c r="Y1123" s="314" t="str">
        <f t="shared" ca="1" si="70"/>
        <v/>
      </c>
      <c r="Z1123" s="314" t="str" cm="1">
        <f t="array" aca="1" ref="Z1123" ca="1">IFERROR(_xlfn.IFS(OR(F1123="",LEFT(Methode_Keuze,4)="Geen",Methode_Keuze=""),"",AND(W1123&lt;&gt;"",F1123&lt;&gt;"Arbeidskosten"),W1123*VLOOKUP(F1123,Tb_ProjectKosten[],MATCH(Tb_ProjectKosten[[#Headers],[Forfait_Percentage]],Tb_ProjectKosten[#Headers],0),0),AND(F1123="Arbeidskosten",G1123&lt;&gt;""),IFERROR(W1123*VLOOKUP(G1123,Tb_KostenTypen[],3,0)*VLOOKUP(F1123,Tb_ProjectKosten[],MATCH(Tb_ProjectKosten[[#Headers],[Forfait_Percentage]],Tb_ProjectKosten[#Headers],0),0),""),W1123 &lt;=0,0),"")</f>
        <v/>
      </c>
      <c r="AA1123" s="314" t="str" cm="1">
        <f t="array" aca="1" ref="AA1123" ca="1">IFERROR(_xlfn.IFS(OR(F1123="",LEFT(Methode_Keuze,4)="Geen",Methode_Keuze=""),"",AND(X1123&lt;&gt;"",F1123&lt;&gt;"Arbeidskosten"),X1123*VLOOKUP(F1123,Tb_ProjectKosten[],MATCH(Tb_ProjectKosten[[#Headers],[Forfait_Percentage]],Tb_ProjectKosten[#Headers],0),0),AND(F1123="Arbeidskosten",G1123&lt;&gt;""),IFERROR(X1123*VLOOKUP(G1123,Tb_KostenTypen[],3,0)*VLOOKUP(F1123,Tb_ProjectKosten[],MATCH(Tb_ProjectKosten[[#Headers],[Forfait_Percentage]],Tb_ProjectKosten[#Headers],0),0),""),X1123 &lt;=0,0),"")</f>
        <v/>
      </c>
      <c r="AB1123" s="314" t="str">
        <f t="shared" ca="1" si="71"/>
        <v/>
      </c>
      <c r="AC1123" s="322"/>
      <c r="AD1123" s="315"/>
      <c r="AE1123" s="32" t="str" cm="1">
        <f t="array" ref="AE1123">IFERROR(IF(INDEX(SubsidieTabel!$AD$1:$AG$12,MATCH($F1123,SubsidieTabel!$AD$1:$AD$12,0),IFERROR(MATCH(Methode_Keuze,SubsidieTabel!$AD$1:$AG$1,0),2))&lt;&gt;1=TRUE,"ja",""),"")</f>
        <v/>
      </c>
    </row>
    <row r="1124" spans="1:31" x14ac:dyDescent="0.25">
      <c r="A1124" s="316"/>
      <c r="B1124" s="317" t="str">
        <f>IF(A1124&lt;&gt;"",_xlfn.MAXIFS($B$1:B1123,$A$1:A1123,A1124)+1,"")</f>
        <v/>
      </c>
      <c r="C1124" s="296"/>
      <c r="D1124" s="296"/>
      <c r="E1124" s="296"/>
      <c r="F1124" s="296"/>
      <c r="G1124" s="326"/>
      <c r="H1124" s="324"/>
      <c r="I1124" s="325"/>
      <c r="J1124" s="325"/>
      <c r="K1124" s="318"/>
      <c r="L1124" s="318"/>
      <c r="M1124" s="319" t="str">
        <f>IFERROR(VLOOKUP(H1124,Lijsten!$H$1:$I$100,2,0),"")</f>
        <v/>
      </c>
      <c r="N1124" s="319" t="str">
        <f ca="1">IFERROR(IF(VLOOKUP(F1124,Kostentypen!$A$3:$E$21,3,0)=0,"",IF(OR(F1124="Arbeidskosten",F1124="Vergoeding"),VLOOKUP(G1124,Tb_KostenTypen[],2,0),VLOOKUP(F1124,Kostentypen!$A$3:$E$20,3,0))),"")</f>
        <v/>
      </c>
      <c r="O1124" s="320" t="str" cm="1">
        <f t="array" ref="O1124">_xlfn.IFNA(IF(INDEX(Tb_KostenOptiesDB[],MATCH($F1124,Tb_KostenOptiesDB[KostenOptie],0),IFERROR(MATCH(Methode_Keuze,Tb_KostenOptiesDB[#Headers],0),2))=1,_xlfn.SWITCH($N1124,"Uurtarief",IF(OR(AND(RIGHT($F1124,3)="IKS",VLOOKUP($M1124,DB_Loonkosten,2,0)="Ja"),AND(RIGHT($F1124,3)&lt;&gt;"IKS",VLOOKUP($M1124,DB_Loonkosten,2,0)="Nee")),IFERROR(VLOOKUP($M1124,DB_Loonkosten,24,0),""),0),"Vast tarief",IF(LEFT(F1124,8)="Bijdrage",VLOOKUP($F1124,Tb_KostenTypen[],MATCH(Lijsten!$P$1,Tb_KostenTypen[#Headers],0),0),VLOOKUP($G1124,Lijsten!L:P,MATCH(Lijsten!$P$1,Kop_Tarief_Vast,0),0))),""),"")</f>
        <v/>
      </c>
      <c r="P1124" s="320" t="str" cm="1">
        <f t="array" ref="P1124">_xlfn.IFNA(IF(INDEX(Tb_KostenOptiesDB[],MATCH($F1124,Tb_KostenOptiesDB[KostenOptie],0),IFERROR(MATCH(Methode_Keuze,Tb_KostenOptiesDB[#Headers],0),2))=1,_xlfn.SWITCH($N1124,"Uurtarief",IF(OR(AND(RIGHT($F1124,3)="IKS",VLOOKUP($M1124,DB_Loonkosten,2,0)="Ja"),AND(RIGHT($F1124,3)&lt;&gt;"IKS",VLOOKUP($M1124,DB_Loonkosten,2,0)="Nee")),IFERROR(VLOOKUP($M1124,DB_Loonkosten,25,0),""),0),"Vast tarief",IF(LEFT(F1124,8)="Bijdrage",VLOOKUP($F1124,Tb_KostenTypen[],MATCH(Lijsten!$P$1,Tb_KostenTypen[#Headers],0),0),VLOOKUP($G1124,Lijsten!L:P,MATCH(Lijsten!$P$1,Kop_Tarief_Vast,0),0))),""),"")</f>
        <v/>
      </c>
      <c r="Q1124" s="359"/>
      <c r="R1124" s="359"/>
      <c r="S1124" s="321"/>
      <c r="T1124" s="321"/>
      <c r="U1124" s="373" t="str">
        <f t="shared" si="68"/>
        <v/>
      </c>
      <c r="V1124" s="314" t="str">
        <f t="shared" si="69"/>
        <v/>
      </c>
      <c r="W1124" s="314" t="str" cm="1">
        <f t="array" aca="1" ref="W1124" ca="1">IFERROR(IF(AE1124&lt;&gt;"ja",_xlfn.IFNA(_xlfn.IFS(AND(O1124&lt;&gt;"",F1124&lt;&gt;"",RIGHT($N1124,6)="tarief",F1124="Vergoeding"),SUM(O1124)*FLOOR(SUM(Q1124),0.0001),AND(O1124&lt;&gt;"",F1124&lt;&gt;"",RIGHT($N1124,6)="tarief"),SUM(O1124)*FLOOR(SUM(Q1124),0.01),S1124&gt;0,IF(F1124&lt;&gt;"",FLOOR(SUM(S1124),0.01),"")),""),""),"")</f>
        <v/>
      </c>
      <c r="X1124" s="314" t="str" cm="1">
        <f t="array" aca="1" ref="X1124" ca="1">IFERROR(IF(AE1124&lt;&gt;"ja",_xlfn.IFNA(_xlfn.IFS(AND(P1124&lt;&gt;"",R1124&lt;&gt;"",RIGHT($N1124,6)="tarief",F1124="Vergoeding"),SUM(P1124)*FLOOR(SUM(R1124),0.0001),AND(P1124&lt;&gt;"",R1124&lt;&gt;"",RIGHT($N1124,6)="tarief"),P1124*FLOOR(R1124,0.01),T1124&gt;0,FLOOR(SUM(T1124),0.01)),""),""),"")</f>
        <v/>
      </c>
      <c r="Y1124" s="314" t="str">
        <f t="shared" ca="1" si="70"/>
        <v/>
      </c>
      <c r="Z1124" s="314" t="str" cm="1">
        <f t="array" aca="1" ref="Z1124" ca="1">IFERROR(_xlfn.IFS(OR(F1124="",LEFT(Methode_Keuze,4)="Geen",Methode_Keuze=""),"",AND(W1124&lt;&gt;"",F1124&lt;&gt;"Arbeidskosten"),W1124*VLOOKUP(F1124,Tb_ProjectKosten[],MATCH(Tb_ProjectKosten[[#Headers],[Forfait_Percentage]],Tb_ProjectKosten[#Headers],0),0),AND(F1124="Arbeidskosten",G1124&lt;&gt;""),IFERROR(W1124*VLOOKUP(G1124,Tb_KostenTypen[],3,0)*VLOOKUP(F1124,Tb_ProjectKosten[],MATCH(Tb_ProjectKosten[[#Headers],[Forfait_Percentage]],Tb_ProjectKosten[#Headers],0),0),""),W1124 &lt;=0,0),"")</f>
        <v/>
      </c>
      <c r="AA1124" s="314" t="str" cm="1">
        <f t="array" aca="1" ref="AA1124" ca="1">IFERROR(_xlfn.IFS(OR(F1124="",LEFT(Methode_Keuze,4)="Geen",Methode_Keuze=""),"",AND(X1124&lt;&gt;"",F1124&lt;&gt;"Arbeidskosten"),X1124*VLOOKUP(F1124,Tb_ProjectKosten[],MATCH(Tb_ProjectKosten[[#Headers],[Forfait_Percentage]],Tb_ProjectKosten[#Headers],0),0),AND(F1124="Arbeidskosten",G1124&lt;&gt;""),IFERROR(X1124*VLOOKUP(G1124,Tb_KostenTypen[],3,0)*VLOOKUP(F1124,Tb_ProjectKosten[],MATCH(Tb_ProjectKosten[[#Headers],[Forfait_Percentage]],Tb_ProjectKosten[#Headers],0),0),""),X1124 &lt;=0,0),"")</f>
        <v/>
      </c>
      <c r="AB1124" s="314" t="str">
        <f t="shared" ca="1" si="71"/>
        <v/>
      </c>
      <c r="AC1124" s="322"/>
      <c r="AD1124" s="315"/>
      <c r="AE1124" s="32" t="str" cm="1">
        <f t="array" ref="AE1124">IFERROR(IF(INDEX(SubsidieTabel!$AD$1:$AG$12,MATCH($F1124,SubsidieTabel!$AD$1:$AD$12,0),IFERROR(MATCH(Methode_Keuze,SubsidieTabel!$AD$1:$AG$1,0),2))&lt;&gt;1=TRUE,"ja",""),"")</f>
        <v/>
      </c>
    </row>
    <row r="1125" spans="1:31" x14ac:dyDescent="0.25">
      <c r="A1125" s="316"/>
      <c r="B1125" s="317" t="str">
        <f>IF(A1125&lt;&gt;"",_xlfn.MAXIFS($B$1:B1124,$A$1:A1124,A1125)+1,"")</f>
        <v/>
      </c>
      <c r="C1125" s="296"/>
      <c r="D1125" s="296"/>
      <c r="E1125" s="296"/>
      <c r="F1125" s="296"/>
      <c r="G1125" s="326"/>
      <c r="H1125" s="324"/>
      <c r="I1125" s="325"/>
      <c r="J1125" s="325"/>
      <c r="K1125" s="318"/>
      <c r="L1125" s="318"/>
      <c r="M1125" s="319" t="str">
        <f>IFERROR(VLOOKUP(H1125,Lijsten!$H$1:$I$100,2,0),"")</f>
        <v/>
      </c>
      <c r="N1125" s="319" t="str">
        <f ca="1">IFERROR(IF(VLOOKUP(F1125,Kostentypen!$A$3:$E$21,3,0)=0,"",IF(OR(F1125="Arbeidskosten",F1125="Vergoeding"),VLOOKUP(G1125,Tb_KostenTypen[],2,0),VLOOKUP(F1125,Kostentypen!$A$3:$E$20,3,0))),"")</f>
        <v/>
      </c>
      <c r="O1125" s="320" t="str" cm="1">
        <f t="array" ref="O1125">_xlfn.IFNA(IF(INDEX(Tb_KostenOptiesDB[],MATCH($F1125,Tb_KostenOptiesDB[KostenOptie],0),IFERROR(MATCH(Methode_Keuze,Tb_KostenOptiesDB[#Headers],0),2))=1,_xlfn.SWITCH($N1125,"Uurtarief",IF(OR(AND(RIGHT($F1125,3)="IKS",VLOOKUP($M1125,DB_Loonkosten,2,0)="Ja"),AND(RIGHT($F1125,3)&lt;&gt;"IKS",VLOOKUP($M1125,DB_Loonkosten,2,0)="Nee")),IFERROR(VLOOKUP($M1125,DB_Loonkosten,24,0),""),0),"Vast tarief",IF(LEFT(F1125,8)="Bijdrage",VLOOKUP($F1125,Tb_KostenTypen[],MATCH(Lijsten!$P$1,Tb_KostenTypen[#Headers],0),0),VLOOKUP($G1125,Lijsten!L:P,MATCH(Lijsten!$P$1,Kop_Tarief_Vast,0),0))),""),"")</f>
        <v/>
      </c>
      <c r="P1125" s="320" t="str" cm="1">
        <f t="array" ref="P1125">_xlfn.IFNA(IF(INDEX(Tb_KostenOptiesDB[],MATCH($F1125,Tb_KostenOptiesDB[KostenOptie],0),IFERROR(MATCH(Methode_Keuze,Tb_KostenOptiesDB[#Headers],0),2))=1,_xlfn.SWITCH($N1125,"Uurtarief",IF(OR(AND(RIGHT($F1125,3)="IKS",VLOOKUP($M1125,DB_Loonkosten,2,0)="Ja"),AND(RIGHT($F1125,3)&lt;&gt;"IKS",VLOOKUP($M1125,DB_Loonkosten,2,0)="Nee")),IFERROR(VLOOKUP($M1125,DB_Loonkosten,25,0),""),0),"Vast tarief",IF(LEFT(F1125,8)="Bijdrage",VLOOKUP($F1125,Tb_KostenTypen[],MATCH(Lijsten!$P$1,Tb_KostenTypen[#Headers],0),0),VLOOKUP($G1125,Lijsten!L:P,MATCH(Lijsten!$P$1,Kop_Tarief_Vast,0),0))),""),"")</f>
        <v/>
      </c>
      <c r="Q1125" s="359"/>
      <c r="R1125" s="359"/>
      <c r="S1125" s="321"/>
      <c r="T1125" s="321"/>
      <c r="U1125" s="373" t="str">
        <f t="shared" si="68"/>
        <v/>
      </c>
      <c r="V1125" s="314" t="str">
        <f t="shared" si="69"/>
        <v/>
      </c>
      <c r="W1125" s="314" t="str" cm="1">
        <f t="array" aca="1" ref="W1125" ca="1">IFERROR(IF(AE1125&lt;&gt;"ja",_xlfn.IFNA(_xlfn.IFS(AND(O1125&lt;&gt;"",F1125&lt;&gt;"",RIGHT($N1125,6)="tarief",F1125="Vergoeding"),SUM(O1125)*FLOOR(SUM(Q1125),0.0001),AND(O1125&lt;&gt;"",F1125&lt;&gt;"",RIGHT($N1125,6)="tarief"),SUM(O1125)*FLOOR(SUM(Q1125),0.01),S1125&gt;0,IF(F1125&lt;&gt;"",FLOOR(SUM(S1125),0.01),"")),""),""),"")</f>
        <v/>
      </c>
      <c r="X1125" s="314" t="str" cm="1">
        <f t="array" aca="1" ref="X1125" ca="1">IFERROR(IF(AE1125&lt;&gt;"ja",_xlfn.IFNA(_xlfn.IFS(AND(P1125&lt;&gt;"",R1125&lt;&gt;"",RIGHT($N1125,6)="tarief",F1125="Vergoeding"),SUM(P1125)*FLOOR(SUM(R1125),0.0001),AND(P1125&lt;&gt;"",R1125&lt;&gt;"",RIGHT($N1125,6)="tarief"),P1125*FLOOR(R1125,0.01),T1125&gt;0,FLOOR(SUM(T1125),0.01)),""),""),"")</f>
        <v/>
      </c>
      <c r="Y1125" s="314" t="str">
        <f t="shared" ca="1" si="70"/>
        <v/>
      </c>
      <c r="Z1125" s="314" t="str" cm="1">
        <f t="array" aca="1" ref="Z1125" ca="1">IFERROR(_xlfn.IFS(OR(F1125="",LEFT(Methode_Keuze,4)="Geen",Methode_Keuze=""),"",AND(W1125&lt;&gt;"",F1125&lt;&gt;"Arbeidskosten"),W1125*VLOOKUP(F1125,Tb_ProjectKosten[],MATCH(Tb_ProjectKosten[[#Headers],[Forfait_Percentage]],Tb_ProjectKosten[#Headers],0),0),AND(F1125="Arbeidskosten",G1125&lt;&gt;""),IFERROR(W1125*VLOOKUP(G1125,Tb_KostenTypen[],3,0)*VLOOKUP(F1125,Tb_ProjectKosten[],MATCH(Tb_ProjectKosten[[#Headers],[Forfait_Percentage]],Tb_ProjectKosten[#Headers],0),0),""),W1125 &lt;=0,0),"")</f>
        <v/>
      </c>
      <c r="AA1125" s="314" t="str" cm="1">
        <f t="array" aca="1" ref="AA1125" ca="1">IFERROR(_xlfn.IFS(OR(F1125="",LEFT(Methode_Keuze,4)="Geen",Methode_Keuze=""),"",AND(X1125&lt;&gt;"",F1125&lt;&gt;"Arbeidskosten"),X1125*VLOOKUP(F1125,Tb_ProjectKosten[],MATCH(Tb_ProjectKosten[[#Headers],[Forfait_Percentage]],Tb_ProjectKosten[#Headers],0),0),AND(F1125="Arbeidskosten",G1125&lt;&gt;""),IFERROR(X1125*VLOOKUP(G1125,Tb_KostenTypen[],3,0)*VLOOKUP(F1125,Tb_ProjectKosten[],MATCH(Tb_ProjectKosten[[#Headers],[Forfait_Percentage]],Tb_ProjectKosten[#Headers],0),0),""),X1125 &lt;=0,0),"")</f>
        <v/>
      </c>
      <c r="AB1125" s="314" t="str">
        <f t="shared" ca="1" si="71"/>
        <v/>
      </c>
      <c r="AC1125" s="322"/>
      <c r="AD1125" s="315"/>
      <c r="AE1125" s="32" t="str" cm="1">
        <f t="array" ref="AE1125">IFERROR(IF(INDEX(SubsidieTabel!$AD$1:$AG$12,MATCH($F1125,SubsidieTabel!$AD$1:$AD$12,0),IFERROR(MATCH(Methode_Keuze,SubsidieTabel!$AD$1:$AG$1,0),2))&lt;&gt;1=TRUE,"ja",""),"")</f>
        <v/>
      </c>
    </row>
    <row r="1126" spans="1:31" x14ac:dyDescent="0.25">
      <c r="A1126" s="316"/>
      <c r="B1126" s="317" t="str">
        <f>IF(A1126&lt;&gt;"",_xlfn.MAXIFS($B$1:B1125,$A$1:A1125,A1126)+1,"")</f>
        <v/>
      </c>
      <c r="C1126" s="296"/>
      <c r="D1126" s="296"/>
      <c r="E1126" s="296"/>
      <c r="F1126" s="296"/>
      <c r="G1126" s="326"/>
      <c r="H1126" s="324"/>
      <c r="I1126" s="325"/>
      <c r="J1126" s="325"/>
      <c r="K1126" s="318"/>
      <c r="L1126" s="318"/>
      <c r="M1126" s="319" t="str">
        <f>IFERROR(VLOOKUP(H1126,Lijsten!$H$1:$I$100,2,0),"")</f>
        <v/>
      </c>
      <c r="N1126" s="319" t="str">
        <f ca="1">IFERROR(IF(VLOOKUP(F1126,Kostentypen!$A$3:$E$21,3,0)=0,"",IF(OR(F1126="Arbeidskosten",F1126="Vergoeding"),VLOOKUP(G1126,Tb_KostenTypen[],2,0),VLOOKUP(F1126,Kostentypen!$A$3:$E$20,3,0))),"")</f>
        <v/>
      </c>
      <c r="O1126" s="320" t="str" cm="1">
        <f t="array" ref="O1126">_xlfn.IFNA(IF(INDEX(Tb_KostenOptiesDB[],MATCH($F1126,Tb_KostenOptiesDB[KostenOptie],0),IFERROR(MATCH(Methode_Keuze,Tb_KostenOptiesDB[#Headers],0),2))=1,_xlfn.SWITCH($N1126,"Uurtarief",IF(OR(AND(RIGHT($F1126,3)="IKS",VLOOKUP($M1126,DB_Loonkosten,2,0)="Ja"),AND(RIGHT($F1126,3)&lt;&gt;"IKS",VLOOKUP($M1126,DB_Loonkosten,2,0)="Nee")),IFERROR(VLOOKUP($M1126,DB_Loonkosten,24,0),""),0),"Vast tarief",IF(LEFT(F1126,8)="Bijdrage",VLOOKUP($F1126,Tb_KostenTypen[],MATCH(Lijsten!$P$1,Tb_KostenTypen[#Headers],0),0),VLOOKUP($G1126,Lijsten!L:P,MATCH(Lijsten!$P$1,Kop_Tarief_Vast,0),0))),""),"")</f>
        <v/>
      </c>
      <c r="P1126" s="320" t="str" cm="1">
        <f t="array" ref="P1126">_xlfn.IFNA(IF(INDEX(Tb_KostenOptiesDB[],MATCH($F1126,Tb_KostenOptiesDB[KostenOptie],0),IFERROR(MATCH(Methode_Keuze,Tb_KostenOptiesDB[#Headers],0),2))=1,_xlfn.SWITCH($N1126,"Uurtarief",IF(OR(AND(RIGHT($F1126,3)="IKS",VLOOKUP($M1126,DB_Loonkosten,2,0)="Ja"),AND(RIGHT($F1126,3)&lt;&gt;"IKS",VLOOKUP($M1126,DB_Loonkosten,2,0)="Nee")),IFERROR(VLOOKUP($M1126,DB_Loonkosten,25,0),""),0),"Vast tarief",IF(LEFT(F1126,8)="Bijdrage",VLOOKUP($F1126,Tb_KostenTypen[],MATCH(Lijsten!$P$1,Tb_KostenTypen[#Headers],0),0),VLOOKUP($G1126,Lijsten!L:P,MATCH(Lijsten!$P$1,Kop_Tarief_Vast,0),0))),""),"")</f>
        <v/>
      </c>
      <c r="Q1126" s="359"/>
      <c r="R1126" s="359"/>
      <c r="S1126" s="321"/>
      <c r="T1126" s="321"/>
      <c r="U1126" s="373" t="str">
        <f t="shared" si="68"/>
        <v/>
      </c>
      <c r="V1126" s="314" t="str">
        <f t="shared" si="69"/>
        <v/>
      </c>
      <c r="W1126" s="314" t="str" cm="1">
        <f t="array" aca="1" ref="W1126" ca="1">IFERROR(IF(AE1126&lt;&gt;"ja",_xlfn.IFNA(_xlfn.IFS(AND(O1126&lt;&gt;"",F1126&lt;&gt;"",RIGHT($N1126,6)="tarief",F1126="Vergoeding"),SUM(O1126)*FLOOR(SUM(Q1126),0.0001),AND(O1126&lt;&gt;"",F1126&lt;&gt;"",RIGHT($N1126,6)="tarief"),SUM(O1126)*FLOOR(SUM(Q1126),0.01),S1126&gt;0,IF(F1126&lt;&gt;"",FLOOR(SUM(S1126),0.01),"")),""),""),"")</f>
        <v/>
      </c>
      <c r="X1126" s="314" t="str" cm="1">
        <f t="array" aca="1" ref="X1126" ca="1">IFERROR(IF(AE1126&lt;&gt;"ja",_xlfn.IFNA(_xlfn.IFS(AND(P1126&lt;&gt;"",R1126&lt;&gt;"",RIGHT($N1126,6)="tarief",F1126="Vergoeding"),SUM(P1126)*FLOOR(SUM(R1126),0.0001),AND(P1126&lt;&gt;"",R1126&lt;&gt;"",RIGHT($N1126,6)="tarief"),P1126*FLOOR(R1126,0.01),T1126&gt;0,FLOOR(SUM(T1126),0.01)),""),""),"")</f>
        <v/>
      </c>
      <c r="Y1126" s="314" t="str">
        <f t="shared" ca="1" si="70"/>
        <v/>
      </c>
      <c r="Z1126" s="314" t="str" cm="1">
        <f t="array" aca="1" ref="Z1126" ca="1">IFERROR(_xlfn.IFS(OR(F1126="",LEFT(Methode_Keuze,4)="Geen",Methode_Keuze=""),"",AND(W1126&lt;&gt;"",F1126&lt;&gt;"Arbeidskosten"),W1126*VLOOKUP(F1126,Tb_ProjectKosten[],MATCH(Tb_ProjectKosten[[#Headers],[Forfait_Percentage]],Tb_ProjectKosten[#Headers],0),0),AND(F1126="Arbeidskosten",G1126&lt;&gt;""),IFERROR(W1126*VLOOKUP(G1126,Tb_KostenTypen[],3,0)*VLOOKUP(F1126,Tb_ProjectKosten[],MATCH(Tb_ProjectKosten[[#Headers],[Forfait_Percentage]],Tb_ProjectKosten[#Headers],0),0),""),W1126 &lt;=0,0),"")</f>
        <v/>
      </c>
      <c r="AA1126" s="314" t="str" cm="1">
        <f t="array" aca="1" ref="AA1126" ca="1">IFERROR(_xlfn.IFS(OR(F1126="",LEFT(Methode_Keuze,4)="Geen",Methode_Keuze=""),"",AND(X1126&lt;&gt;"",F1126&lt;&gt;"Arbeidskosten"),X1126*VLOOKUP(F1126,Tb_ProjectKosten[],MATCH(Tb_ProjectKosten[[#Headers],[Forfait_Percentage]],Tb_ProjectKosten[#Headers],0),0),AND(F1126="Arbeidskosten",G1126&lt;&gt;""),IFERROR(X1126*VLOOKUP(G1126,Tb_KostenTypen[],3,0)*VLOOKUP(F1126,Tb_ProjectKosten[],MATCH(Tb_ProjectKosten[[#Headers],[Forfait_Percentage]],Tb_ProjectKosten[#Headers],0),0),""),X1126 &lt;=0,0),"")</f>
        <v/>
      </c>
      <c r="AB1126" s="314" t="str">
        <f t="shared" ca="1" si="71"/>
        <v/>
      </c>
      <c r="AC1126" s="322"/>
      <c r="AD1126" s="315"/>
      <c r="AE1126" s="32" t="str" cm="1">
        <f t="array" ref="AE1126">IFERROR(IF(INDEX(SubsidieTabel!$AD$1:$AG$12,MATCH($F1126,SubsidieTabel!$AD$1:$AD$12,0),IFERROR(MATCH(Methode_Keuze,SubsidieTabel!$AD$1:$AG$1,0),2))&lt;&gt;1=TRUE,"ja",""),"")</f>
        <v/>
      </c>
    </row>
    <row r="1127" spans="1:31" x14ac:dyDescent="0.25">
      <c r="A1127" s="316"/>
      <c r="B1127" s="317" t="str">
        <f>IF(A1127&lt;&gt;"",_xlfn.MAXIFS($B$1:B1126,$A$1:A1126,A1127)+1,"")</f>
        <v/>
      </c>
      <c r="C1127" s="296"/>
      <c r="D1127" s="296"/>
      <c r="E1127" s="296"/>
      <c r="F1127" s="296"/>
      <c r="G1127" s="326"/>
      <c r="H1127" s="324"/>
      <c r="I1127" s="325"/>
      <c r="J1127" s="325"/>
      <c r="K1127" s="318"/>
      <c r="L1127" s="318"/>
      <c r="M1127" s="319" t="str">
        <f>IFERROR(VLOOKUP(H1127,Lijsten!$H$1:$I$100,2,0),"")</f>
        <v/>
      </c>
      <c r="N1127" s="319" t="str">
        <f ca="1">IFERROR(IF(VLOOKUP(F1127,Kostentypen!$A$3:$E$21,3,0)=0,"",IF(OR(F1127="Arbeidskosten",F1127="Vergoeding"),VLOOKUP(G1127,Tb_KostenTypen[],2,0),VLOOKUP(F1127,Kostentypen!$A$3:$E$20,3,0))),"")</f>
        <v/>
      </c>
      <c r="O1127" s="320" t="str" cm="1">
        <f t="array" ref="O1127">_xlfn.IFNA(IF(INDEX(Tb_KostenOptiesDB[],MATCH($F1127,Tb_KostenOptiesDB[KostenOptie],0),IFERROR(MATCH(Methode_Keuze,Tb_KostenOptiesDB[#Headers],0),2))=1,_xlfn.SWITCH($N1127,"Uurtarief",IF(OR(AND(RIGHT($F1127,3)="IKS",VLOOKUP($M1127,DB_Loonkosten,2,0)="Ja"),AND(RIGHT($F1127,3)&lt;&gt;"IKS",VLOOKUP($M1127,DB_Loonkosten,2,0)="Nee")),IFERROR(VLOOKUP($M1127,DB_Loonkosten,24,0),""),0),"Vast tarief",IF(LEFT(F1127,8)="Bijdrage",VLOOKUP($F1127,Tb_KostenTypen[],MATCH(Lijsten!$P$1,Tb_KostenTypen[#Headers],0),0),VLOOKUP($G1127,Lijsten!L:P,MATCH(Lijsten!$P$1,Kop_Tarief_Vast,0),0))),""),"")</f>
        <v/>
      </c>
      <c r="P1127" s="320" t="str" cm="1">
        <f t="array" ref="P1127">_xlfn.IFNA(IF(INDEX(Tb_KostenOptiesDB[],MATCH($F1127,Tb_KostenOptiesDB[KostenOptie],0),IFERROR(MATCH(Methode_Keuze,Tb_KostenOptiesDB[#Headers],0),2))=1,_xlfn.SWITCH($N1127,"Uurtarief",IF(OR(AND(RIGHT($F1127,3)="IKS",VLOOKUP($M1127,DB_Loonkosten,2,0)="Ja"),AND(RIGHT($F1127,3)&lt;&gt;"IKS",VLOOKUP($M1127,DB_Loonkosten,2,0)="Nee")),IFERROR(VLOOKUP($M1127,DB_Loonkosten,25,0),""),0),"Vast tarief",IF(LEFT(F1127,8)="Bijdrage",VLOOKUP($F1127,Tb_KostenTypen[],MATCH(Lijsten!$P$1,Tb_KostenTypen[#Headers],0),0),VLOOKUP($G1127,Lijsten!L:P,MATCH(Lijsten!$P$1,Kop_Tarief_Vast,0),0))),""),"")</f>
        <v/>
      </c>
      <c r="Q1127" s="359"/>
      <c r="R1127" s="359"/>
      <c r="S1127" s="321"/>
      <c r="T1127" s="321"/>
      <c r="U1127" s="373" t="str">
        <f t="shared" si="68"/>
        <v/>
      </c>
      <c r="V1127" s="314" t="str">
        <f t="shared" si="69"/>
        <v/>
      </c>
      <c r="W1127" s="314" t="str" cm="1">
        <f t="array" aca="1" ref="W1127" ca="1">IFERROR(IF(AE1127&lt;&gt;"ja",_xlfn.IFNA(_xlfn.IFS(AND(O1127&lt;&gt;"",F1127&lt;&gt;"",RIGHT($N1127,6)="tarief",F1127="Vergoeding"),SUM(O1127)*FLOOR(SUM(Q1127),0.0001),AND(O1127&lt;&gt;"",F1127&lt;&gt;"",RIGHT($N1127,6)="tarief"),SUM(O1127)*FLOOR(SUM(Q1127),0.01),S1127&gt;0,IF(F1127&lt;&gt;"",FLOOR(SUM(S1127),0.01),"")),""),""),"")</f>
        <v/>
      </c>
      <c r="X1127" s="314" t="str" cm="1">
        <f t="array" aca="1" ref="X1127" ca="1">IFERROR(IF(AE1127&lt;&gt;"ja",_xlfn.IFNA(_xlfn.IFS(AND(P1127&lt;&gt;"",R1127&lt;&gt;"",RIGHT($N1127,6)="tarief",F1127="Vergoeding"),SUM(P1127)*FLOOR(SUM(R1127),0.0001),AND(P1127&lt;&gt;"",R1127&lt;&gt;"",RIGHT($N1127,6)="tarief"),P1127*FLOOR(R1127,0.01),T1127&gt;0,FLOOR(SUM(T1127),0.01)),""),""),"")</f>
        <v/>
      </c>
      <c r="Y1127" s="314" t="str">
        <f t="shared" ca="1" si="70"/>
        <v/>
      </c>
      <c r="Z1127" s="314" t="str" cm="1">
        <f t="array" aca="1" ref="Z1127" ca="1">IFERROR(_xlfn.IFS(OR(F1127="",LEFT(Methode_Keuze,4)="Geen",Methode_Keuze=""),"",AND(W1127&lt;&gt;"",F1127&lt;&gt;"Arbeidskosten"),W1127*VLOOKUP(F1127,Tb_ProjectKosten[],MATCH(Tb_ProjectKosten[[#Headers],[Forfait_Percentage]],Tb_ProjectKosten[#Headers],0),0),AND(F1127="Arbeidskosten",G1127&lt;&gt;""),IFERROR(W1127*VLOOKUP(G1127,Tb_KostenTypen[],3,0)*VLOOKUP(F1127,Tb_ProjectKosten[],MATCH(Tb_ProjectKosten[[#Headers],[Forfait_Percentage]],Tb_ProjectKosten[#Headers],0),0),""),W1127 &lt;=0,0),"")</f>
        <v/>
      </c>
      <c r="AA1127" s="314" t="str" cm="1">
        <f t="array" aca="1" ref="AA1127" ca="1">IFERROR(_xlfn.IFS(OR(F1127="",LEFT(Methode_Keuze,4)="Geen",Methode_Keuze=""),"",AND(X1127&lt;&gt;"",F1127&lt;&gt;"Arbeidskosten"),X1127*VLOOKUP(F1127,Tb_ProjectKosten[],MATCH(Tb_ProjectKosten[[#Headers],[Forfait_Percentage]],Tb_ProjectKosten[#Headers],0),0),AND(F1127="Arbeidskosten",G1127&lt;&gt;""),IFERROR(X1127*VLOOKUP(G1127,Tb_KostenTypen[],3,0)*VLOOKUP(F1127,Tb_ProjectKosten[],MATCH(Tb_ProjectKosten[[#Headers],[Forfait_Percentage]],Tb_ProjectKosten[#Headers],0),0),""),X1127 &lt;=0,0),"")</f>
        <v/>
      </c>
      <c r="AB1127" s="314" t="str">
        <f t="shared" ca="1" si="71"/>
        <v/>
      </c>
      <c r="AC1127" s="322"/>
      <c r="AD1127" s="315"/>
      <c r="AE1127" s="32" t="str" cm="1">
        <f t="array" ref="AE1127">IFERROR(IF(INDEX(SubsidieTabel!$AD$1:$AG$12,MATCH($F1127,SubsidieTabel!$AD$1:$AD$12,0),IFERROR(MATCH(Methode_Keuze,SubsidieTabel!$AD$1:$AG$1,0),2))&lt;&gt;1=TRUE,"ja",""),"")</f>
        <v/>
      </c>
    </row>
    <row r="1128" spans="1:31" x14ac:dyDescent="0.25">
      <c r="A1128" s="316"/>
      <c r="B1128" s="317" t="str">
        <f>IF(A1128&lt;&gt;"",_xlfn.MAXIFS($B$1:B1127,$A$1:A1127,A1128)+1,"")</f>
        <v/>
      </c>
      <c r="C1128" s="296"/>
      <c r="D1128" s="296"/>
      <c r="E1128" s="296"/>
      <c r="F1128" s="296"/>
      <c r="G1128" s="326"/>
      <c r="H1128" s="324"/>
      <c r="I1128" s="325"/>
      <c r="J1128" s="325"/>
      <c r="K1128" s="318"/>
      <c r="L1128" s="318"/>
      <c r="M1128" s="319" t="str">
        <f>IFERROR(VLOOKUP(H1128,Lijsten!$H$1:$I$100,2,0),"")</f>
        <v/>
      </c>
      <c r="N1128" s="319" t="str">
        <f ca="1">IFERROR(IF(VLOOKUP(F1128,Kostentypen!$A$3:$E$21,3,0)=0,"",IF(OR(F1128="Arbeidskosten",F1128="Vergoeding"),VLOOKUP(G1128,Tb_KostenTypen[],2,0),VLOOKUP(F1128,Kostentypen!$A$3:$E$20,3,0))),"")</f>
        <v/>
      </c>
      <c r="O1128" s="320" t="str" cm="1">
        <f t="array" ref="O1128">_xlfn.IFNA(IF(INDEX(Tb_KostenOptiesDB[],MATCH($F1128,Tb_KostenOptiesDB[KostenOptie],0),IFERROR(MATCH(Methode_Keuze,Tb_KostenOptiesDB[#Headers],0),2))=1,_xlfn.SWITCH($N1128,"Uurtarief",IF(OR(AND(RIGHT($F1128,3)="IKS",VLOOKUP($M1128,DB_Loonkosten,2,0)="Ja"),AND(RIGHT($F1128,3)&lt;&gt;"IKS",VLOOKUP($M1128,DB_Loonkosten,2,0)="Nee")),IFERROR(VLOOKUP($M1128,DB_Loonkosten,24,0),""),0),"Vast tarief",IF(LEFT(F1128,8)="Bijdrage",VLOOKUP($F1128,Tb_KostenTypen[],MATCH(Lijsten!$P$1,Tb_KostenTypen[#Headers],0),0),VLOOKUP($G1128,Lijsten!L:P,MATCH(Lijsten!$P$1,Kop_Tarief_Vast,0),0))),""),"")</f>
        <v/>
      </c>
      <c r="P1128" s="320" t="str" cm="1">
        <f t="array" ref="P1128">_xlfn.IFNA(IF(INDEX(Tb_KostenOptiesDB[],MATCH($F1128,Tb_KostenOptiesDB[KostenOptie],0),IFERROR(MATCH(Methode_Keuze,Tb_KostenOptiesDB[#Headers],0),2))=1,_xlfn.SWITCH($N1128,"Uurtarief",IF(OR(AND(RIGHT($F1128,3)="IKS",VLOOKUP($M1128,DB_Loonkosten,2,0)="Ja"),AND(RIGHT($F1128,3)&lt;&gt;"IKS",VLOOKUP($M1128,DB_Loonkosten,2,0)="Nee")),IFERROR(VLOOKUP($M1128,DB_Loonkosten,25,0),""),0),"Vast tarief",IF(LEFT(F1128,8)="Bijdrage",VLOOKUP($F1128,Tb_KostenTypen[],MATCH(Lijsten!$P$1,Tb_KostenTypen[#Headers],0),0),VLOOKUP($G1128,Lijsten!L:P,MATCH(Lijsten!$P$1,Kop_Tarief_Vast,0),0))),""),"")</f>
        <v/>
      </c>
      <c r="Q1128" s="359"/>
      <c r="R1128" s="359"/>
      <c r="S1128" s="321"/>
      <c r="T1128" s="321"/>
      <c r="U1128" s="373" t="str">
        <f t="shared" si="68"/>
        <v/>
      </c>
      <c r="V1128" s="314" t="str">
        <f t="shared" si="69"/>
        <v/>
      </c>
      <c r="W1128" s="314" t="str" cm="1">
        <f t="array" aca="1" ref="W1128" ca="1">IFERROR(IF(AE1128&lt;&gt;"ja",_xlfn.IFNA(_xlfn.IFS(AND(O1128&lt;&gt;"",F1128&lt;&gt;"",RIGHT($N1128,6)="tarief",F1128="Vergoeding"),SUM(O1128)*FLOOR(SUM(Q1128),0.0001),AND(O1128&lt;&gt;"",F1128&lt;&gt;"",RIGHT($N1128,6)="tarief"),SUM(O1128)*FLOOR(SUM(Q1128),0.01),S1128&gt;0,IF(F1128&lt;&gt;"",FLOOR(SUM(S1128),0.01),"")),""),""),"")</f>
        <v/>
      </c>
      <c r="X1128" s="314" t="str" cm="1">
        <f t="array" aca="1" ref="X1128" ca="1">IFERROR(IF(AE1128&lt;&gt;"ja",_xlfn.IFNA(_xlfn.IFS(AND(P1128&lt;&gt;"",R1128&lt;&gt;"",RIGHT($N1128,6)="tarief",F1128="Vergoeding"),SUM(P1128)*FLOOR(SUM(R1128),0.0001),AND(P1128&lt;&gt;"",R1128&lt;&gt;"",RIGHT($N1128,6)="tarief"),P1128*FLOOR(R1128,0.01),T1128&gt;0,FLOOR(SUM(T1128),0.01)),""),""),"")</f>
        <v/>
      </c>
      <c r="Y1128" s="314" t="str">
        <f t="shared" ca="1" si="70"/>
        <v/>
      </c>
      <c r="Z1128" s="314" t="str" cm="1">
        <f t="array" aca="1" ref="Z1128" ca="1">IFERROR(_xlfn.IFS(OR(F1128="",LEFT(Methode_Keuze,4)="Geen",Methode_Keuze=""),"",AND(W1128&lt;&gt;"",F1128&lt;&gt;"Arbeidskosten"),W1128*VLOOKUP(F1128,Tb_ProjectKosten[],MATCH(Tb_ProjectKosten[[#Headers],[Forfait_Percentage]],Tb_ProjectKosten[#Headers],0),0),AND(F1128="Arbeidskosten",G1128&lt;&gt;""),IFERROR(W1128*VLOOKUP(G1128,Tb_KostenTypen[],3,0)*VLOOKUP(F1128,Tb_ProjectKosten[],MATCH(Tb_ProjectKosten[[#Headers],[Forfait_Percentage]],Tb_ProjectKosten[#Headers],0),0),""),W1128 &lt;=0,0),"")</f>
        <v/>
      </c>
      <c r="AA1128" s="314" t="str" cm="1">
        <f t="array" aca="1" ref="AA1128" ca="1">IFERROR(_xlfn.IFS(OR(F1128="",LEFT(Methode_Keuze,4)="Geen",Methode_Keuze=""),"",AND(X1128&lt;&gt;"",F1128&lt;&gt;"Arbeidskosten"),X1128*VLOOKUP(F1128,Tb_ProjectKosten[],MATCH(Tb_ProjectKosten[[#Headers],[Forfait_Percentage]],Tb_ProjectKosten[#Headers],0),0),AND(F1128="Arbeidskosten",G1128&lt;&gt;""),IFERROR(X1128*VLOOKUP(G1128,Tb_KostenTypen[],3,0)*VLOOKUP(F1128,Tb_ProjectKosten[],MATCH(Tb_ProjectKosten[[#Headers],[Forfait_Percentage]],Tb_ProjectKosten[#Headers],0),0),""),X1128 &lt;=0,0),"")</f>
        <v/>
      </c>
      <c r="AB1128" s="314" t="str">
        <f t="shared" ca="1" si="71"/>
        <v/>
      </c>
      <c r="AC1128" s="322"/>
      <c r="AD1128" s="315"/>
      <c r="AE1128" s="32" t="str" cm="1">
        <f t="array" ref="AE1128">IFERROR(IF(INDEX(SubsidieTabel!$AD$1:$AG$12,MATCH($F1128,SubsidieTabel!$AD$1:$AD$12,0),IFERROR(MATCH(Methode_Keuze,SubsidieTabel!$AD$1:$AG$1,0),2))&lt;&gt;1=TRUE,"ja",""),"")</f>
        <v/>
      </c>
    </row>
    <row r="1129" spans="1:31" x14ac:dyDescent="0.25">
      <c r="A1129" s="316"/>
      <c r="B1129" s="317" t="str">
        <f>IF(A1129&lt;&gt;"",_xlfn.MAXIFS($B$1:B1128,$A$1:A1128,A1129)+1,"")</f>
        <v/>
      </c>
      <c r="C1129" s="296"/>
      <c r="D1129" s="296"/>
      <c r="E1129" s="296"/>
      <c r="F1129" s="296"/>
      <c r="G1129" s="326"/>
      <c r="H1129" s="324"/>
      <c r="I1129" s="325"/>
      <c r="J1129" s="325"/>
      <c r="K1129" s="318"/>
      <c r="L1129" s="318"/>
      <c r="M1129" s="319" t="str">
        <f>IFERROR(VLOOKUP(H1129,Lijsten!$H$1:$I$100,2,0),"")</f>
        <v/>
      </c>
      <c r="N1129" s="319" t="str">
        <f ca="1">IFERROR(IF(VLOOKUP(F1129,Kostentypen!$A$3:$E$21,3,0)=0,"",IF(OR(F1129="Arbeidskosten",F1129="Vergoeding"),VLOOKUP(G1129,Tb_KostenTypen[],2,0),VLOOKUP(F1129,Kostentypen!$A$3:$E$20,3,0))),"")</f>
        <v/>
      </c>
      <c r="O1129" s="320" t="str" cm="1">
        <f t="array" ref="O1129">_xlfn.IFNA(IF(INDEX(Tb_KostenOptiesDB[],MATCH($F1129,Tb_KostenOptiesDB[KostenOptie],0),IFERROR(MATCH(Methode_Keuze,Tb_KostenOptiesDB[#Headers],0),2))=1,_xlfn.SWITCH($N1129,"Uurtarief",IF(OR(AND(RIGHT($F1129,3)="IKS",VLOOKUP($M1129,DB_Loonkosten,2,0)="Ja"),AND(RIGHT($F1129,3)&lt;&gt;"IKS",VLOOKUP($M1129,DB_Loonkosten,2,0)="Nee")),IFERROR(VLOOKUP($M1129,DB_Loonkosten,24,0),""),0),"Vast tarief",IF(LEFT(F1129,8)="Bijdrage",VLOOKUP($F1129,Tb_KostenTypen[],MATCH(Lijsten!$P$1,Tb_KostenTypen[#Headers],0),0),VLOOKUP($G1129,Lijsten!L:P,MATCH(Lijsten!$P$1,Kop_Tarief_Vast,0),0))),""),"")</f>
        <v/>
      </c>
      <c r="P1129" s="320" t="str" cm="1">
        <f t="array" ref="P1129">_xlfn.IFNA(IF(INDEX(Tb_KostenOptiesDB[],MATCH($F1129,Tb_KostenOptiesDB[KostenOptie],0),IFERROR(MATCH(Methode_Keuze,Tb_KostenOptiesDB[#Headers],0),2))=1,_xlfn.SWITCH($N1129,"Uurtarief",IF(OR(AND(RIGHT($F1129,3)="IKS",VLOOKUP($M1129,DB_Loonkosten,2,0)="Ja"),AND(RIGHT($F1129,3)&lt;&gt;"IKS",VLOOKUP($M1129,DB_Loonkosten,2,0)="Nee")),IFERROR(VLOOKUP($M1129,DB_Loonkosten,25,0),""),0),"Vast tarief",IF(LEFT(F1129,8)="Bijdrage",VLOOKUP($F1129,Tb_KostenTypen[],MATCH(Lijsten!$P$1,Tb_KostenTypen[#Headers],0),0),VLOOKUP($G1129,Lijsten!L:P,MATCH(Lijsten!$P$1,Kop_Tarief_Vast,0),0))),""),"")</f>
        <v/>
      </c>
      <c r="Q1129" s="359"/>
      <c r="R1129" s="359"/>
      <c r="S1129" s="321"/>
      <c r="T1129" s="321"/>
      <c r="U1129" s="373" t="str">
        <f t="shared" si="68"/>
        <v/>
      </c>
      <c r="V1129" s="314" t="str">
        <f t="shared" si="69"/>
        <v/>
      </c>
      <c r="W1129" s="314" t="str" cm="1">
        <f t="array" aca="1" ref="W1129" ca="1">IFERROR(IF(AE1129&lt;&gt;"ja",_xlfn.IFNA(_xlfn.IFS(AND(O1129&lt;&gt;"",F1129&lt;&gt;"",RIGHT($N1129,6)="tarief",F1129="Vergoeding"),SUM(O1129)*FLOOR(SUM(Q1129),0.0001),AND(O1129&lt;&gt;"",F1129&lt;&gt;"",RIGHT($N1129,6)="tarief"),SUM(O1129)*FLOOR(SUM(Q1129),0.01),S1129&gt;0,IF(F1129&lt;&gt;"",FLOOR(SUM(S1129),0.01),"")),""),""),"")</f>
        <v/>
      </c>
      <c r="X1129" s="314" t="str" cm="1">
        <f t="array" aca="1" ref="X1129" ca="1">IFERROR(IF(AE1129&lt;&gt;"ja",_xlfn.IFNA(_xlfn.IFS(AND(P1129&lt;&gt;"",R1129&lt;&gt;"",RIGHT($N1129,6)="tarief",F1129="Vergoeding"),SUM(P1129)*FLOOR(SUM(R1129),0.0001),AND(P1129&lt;&gt;"",R1129&lt;&gt;"",RIGHT($N1129,6)="tarief"),P1129*FLOOR(R1129,0.01),T1129&gt;0,FLOOR(SUM(T1129),0.01)),""),""),"")</f>
        <v/>
      </c>
      <c r="Y1129" s="314" t="str">
        <f t="shared" ca="1" si="70"/>
        <v/>
      </c>
      <c r="Z1129" s="314" t="str" cm="1">
        <f t="array" aca="1" ref="Z1129" ca="1">IFERROR(_xlfn.IFS(OR(F1129="",LEFT(Methode_Keuze,4)="Geen",Methode_Keuze=""),"",AND(W1129&lt;&gt;"",F1129&lt;&gt;"Arbeidskosten"),W1129*VLOOKUP(F1129,Tb_ProjectKosten[],MATCH(Tb_ProjectKosten[[#Headers],[Forfait_Percentage]],Tb_ProjectKosten[#Headers],0),0),AND(F1129="Arbeidskosten",G1129&lt;&gt;""),IFERROR(W1129*VLOOKUP(G1129,Tb_KostenTypen[],3,0)*VLOOKUP(F1129,Tb_ProjectKosten[],MATCH(Tb_ProjectKosten[[#Headers],[Forfait_Percentage]],Tb_ProjectKosten[#Headers],0),0),""),W1129 &lt;=0,0),"")</f>
        <v/>
      </c>
      <c r="AA1129" s="314" t="str" cm="1">
        <f t="array" aca="1" ref="AA1129" ca="1">IFERROR(_xlfn.IFS(OR(F1129="",LEFT(Methode_Keuze,4)="Geen",Methode_Keuze=""),"",AND(X1129&lt;&gt;"",F1129&lt;&gt;"Arbeidskosten"),X1129*VLOOKUP(F1129,Tb_ProjectKosten[],MATCH(Tb_ProjectKosten[[#Headers],[Forfait_Percentage]],Tb_ProjectKosten[#Headers],0),0),AND(F1129="Arbeidskosten",G1129&lt;&gt;""),IFERROR(X1129*VLOOKUP(G1129,Tb_KostenTypen[],3,0)*VLOOKUP(F1129,Tb_ProjectKosten[],MATCH(Tb_ProjectKosten[[#Headers],[Forfait_Percentage]],Tb_ProjectKosten[#Headers],0),0),""),X1129 &lt;=0,0),"")</f>
        <v/>
      </c>
      <c r="AB1129" s="314" t="str">
        <f t="shared" ca="1" si="71"/>
        <v/>
      </c>
      <c r="AC1129" s="322"/>
      <c r="AD1129" s="315"/>
      <c r="AE1129" s="32" t="str" cm="1">
        <f t="array" ref="AE1129">IFERROR(IF(INDEX(SubsidieTabel!$AD$1:$AG$12,MATCH($F1129,SubsidieTabel!$AD$1:$AD$12,0),IFERROR(MATCH(Methode_Keuze,SubsidieTabel!$AD$1:$AG$1,0),2))&lt;&gt;1=TRUE,"ja",""),"")</f>
        <v/>
      </c>
    </row>
    <row r="1130" spans="1:31" x14ac:dyDescent="0.25">
      <c r="A1130" s="316"/>
      <c r="B1130" s="317" t="str">
        <f>IF(A1130&lt;&gt;"",_xlfn.MAXIFS($B$1:B1129,$A$1:A1129,A1130)+1,"")</f>
        <v/>
      </c>
      <c r="C1130" s="296"/>
      <c r="D1130" s="296"/>
      <c r="E1130" s="296"/>
      <c r="F1130" s="296"/>
      <c r="G1130" s="326"/>
      <c r="H1130" s="324"/>
      <c r="I1130" s="325"/>
      <c r="J1130" s="325"/>
      <c r="K1130" s="318"/>
      <c r="L1130" s="318"/>
      <c r="M1130" s="319" t="str">
        <f>IFERROR(VLOOKUP(H1130,Lijsten!$H$1:$I$100,2,0),"")</f>
        <v/>
      </c>
      <c r="N1130" s="319" t="str">
        <f ca="1">IFERROR(IF(VLOOKUP(F1130,Kostentypen!$A$3:$E$21,3,0)=0,"",IF(OR(F1130="Arbeidskosten",F1130="Vergoeding"),VLOOKUP(G1130,Tb_KostenTypen[],2,0),VLOOKUP(F1130,Kostentypen!$A$3:$E$20,3,0))),"")</f>
        <v/>
      </c>
      <c r="O1130" s="320" t="str" cm="1">
        <f t="array" ref="O1130">_xlfn.IFNA(IF(INDEX(Tb_KostenOptiesDB[],MATCH($F1130,Tb_KostenOptiesDB[KostenOptie],0),IFERROR(MATCH(Methode_Keuze,Tb_KostenOptiesDB[#Headers],0),2))=1,_xlfn.SWITCH($N1130,"Uurtarief",IF(OR(AND(RIGHT($F1130,3)="IKS",VLOOKUP($M1130,DB_Loonkosten,2,0)="Ja"),AND(RIGHT($F1130,3)&lt;&gt;"IKS",VLOOKUP($M1130,DB_Loonkosten,2,0)="Nee")),IFERROR(VLOOKUP($M1130,DB_Loonkosten,24,0),""),0),"Vast tarief",IF(LEFT(F1130,8)="Bijdrage",VLOOKUP($F1130,Tb_KostenTypen[],MATCH(Lijsten!$P$1,Tb_KostenTypen[#Headers],0),0),VLOOKUP($G1130,Lijsten!L:P,MATCH(Lijsten!$P$1,Kop_Tarief_Vast,0),0))),""),"")</f>
        <v/>
      </c>
      <c r="P1130" s="320" t="str" cm="1">
        <f t="array" ref="P1130">_xlfn.IFNA(IF(INDEX(Tb_KostenOptiesDB[],MATCH($F1130,Tb_KostenOptiesDB[KostenOptie],0),IFERROR(MATCH(Methode_Keuze,Tb_KostenOptiesDB[#Headers],0),2))=1,_xlfn.SWITCH($N1130,"Uurtarief",IF(OR(AND(RIGHT($F1130,3)="IKS",VLOOKUP($M1130,DB_Loonkosten,2,0)="Ja"),AND(RIGHT($F1130,3)&lt;&gt;"IKS",VLOOKUP($M1130,DB_Loonkosten,2,0)="Nee")),IFERROR(VLOOKUP($M1130,DB_Loonkosten,25,0),""),0),"Vast tarief",IF(LEFT(F1130,8)="Bijdrage",VLOOKUP($F1130,Tb_KostenTypen[],MATCH(Lijsten!$P$1,Tb_KostenTypen[#Headers],0),0),VLOOKUP($G1130,Lijsten!L:P,MATCH(Lijsten!$P$1,Kop_Tarief_Vast,0),0))),""),"")</f>
        <v/>
      </c>
      <c r="Q1130" s="359"/>
      <c r="R1130" s="359"/>
      <c r="S1130" s="321"/>
      <c r="T1130" s="321"/>
      <c r="U1130" s="373" t="str">
        <f t="shared" si="68"/>
        <v/>
      </c>
      <c r="V1130" s="314" t="str">
        <f t="shared" si="69"/>
        <v/>
      </c>
      <c r="W1130" s="314" t="str" cm="1">
        <f t="array" aca="1" ref="W1130" ca="1">IFERROR(IF(AE1130&lt;&gt;"ja",_xlfn.IFNA(_xlfn.IFS(AND(O1130&lt;&gt;"",F1130&lt;&gt;"",RIGHT($N1130,6)="tarief",F1130="Vergoeding"),SUM(O1130)*FLOOR(SUM(Q1130),0.0001),AND(O1130&lt;&gt;"",F1130&lt;&gt;"",RIGHT($N1130,6)="tarief"),SUM(O1130)*FLOOR(SUM(Q1130),0.01),S1130&gt;0,IF(F1130&lt;&gt;"",FLOOR(SUM(S1130),0.01),"")),""),""),"")</f>
        <v/>
      </c>
      <c r="X1130" s="314" t="str" cm="1">
        <f t="array" aca="1" ref="X1130" ca="1">IFERROR(IF(AE1130&lt;&gt;"ja",_xlfn.IFNA(_xlfn.IFS(AND(P1130&lt;&gt;"",R1130&lt;&gt;"",RIGHT($N1130,6)="tarief",F1130="Vergoeding"),SUM(P1130)*FLOOR(SUM(R1130),0.0001),AND(P1130&lt;&gt;"",R1130&lt;&gt;"",RIGHT($N1130,6)="tarief"),P1130*FLOOR(R1130,0.01),T1130&gt;0,FLOOR(SUM(T1130),0.01)),""),""),"")</f>
        <v/>
      </c>
      <c r="Y1130" s="314" t="str">
        <f t="shared" ca="1" si="70"/>
        <v/>
      </c>
      <c r="Z1130" s="314" t="str" cm="1">
        <f t="array" aca="1" ref="Z1130" ca="1">IFERROR(_xlfn.IFS(OR(F1130="",LEFT(Methode_Keuze,4)="Geen",Methode_Keuze=""),"",AND(W1130&lt;&gt;"",F1130&lt;&gt;"Arbeidskosten"),W1130*VLOOKUP(F1130,Tb_ProjectKosten[],MATCH(Tb_ProjectKosten[[#Headers],[Forfait_Percentage]],Tb_ProjectKosten[#Headers],0),0),AND(F1130="Arbeidskosten",G1130&lt;&gt;""),IFERROR(W1130*VLOOKUP(G1130,Tb_KostenTypen[],3,0)*VLOOKUP(F1130,Tb_ProjectKosten[],MATCH(Tb_ProjectKosten[[#Headers],[Forfait_Percentage]],Tb_ProjectKosten[#Headers],0),0),""),W1130 &lt;=0,0),"")</f>
        <v/>
      </c>
      <c r="AA1130" s="314" t="str" cm="1">
        <f t="array" aca="1" ref="AA1130" ca="1">IFERROR(_xlfn.IFS(OR(F1130="",LEFT(Methode_Keuze,4)="Geen",Methode_Keuze=""),"",AND(X1130&lt;&gt;"",F1130&lt;&gt;"Arbeidskosten"),X1130*VLOOKUP(F1130,Tb_ProjectKosten[],MATCH(Tb_ProjectKosten[[#Headers],[Forfait_Percentage]],Tb_ProjectKosten[#Headers],0),0),AND(F1130="Arbeidskosten",G1130&lt;&gt;""),IFERROR(X1130*VLOOKUP(G1130,Tb_KostenTypen[],3,0)*VLOOKUP(F1130,Tb_ProjectKosten[],MATCH(Tb_ProjectKosten[[#Headers],[Forfait_Percentage]],Tb_ProjectKosten[#Headers],0),0),""),X1130 &lt;=0,0),"")</f>
        <v/>
      </c>
      <c r="AB1130" s="314" t="str">
        <f t="shared" ca="1" si="71"/>
        <v/>
      </c>
      <c r="AC1130" s="322"/>
      <c r="AD1130" s="315"/>
      <c r="AE1130" s="32" t="str" cm="1">
        <f t="array" ref="AE1130">IFERROR(IF(INDEX(SubsidieTabel!$AD$1:$AG$12,MATCH($F1130,SubsidieTabel!$AD$1:$AD$12,0),IFERROR(MATCH(Methode_Keuze,SubsidieTabel!$AD$1:$AG$1,0),2))&lt;&gt;1=TRUE,"ja",""),"")</f>
        <v/>
      </c>
    </row>
    <row r="1131" spans="1:31" x14ac:dyDescent="0.25">
      <c r="A1131" s="316"/>
      <c r="B1131" s="317" t="str">
        <f>IF(A1131&lt;&gt;"",_xlfn.MAXIFS($B$1:B1130,$A$1:A1130,A1131)+1,"")</f>
        <v/>
      </c>
      <c r="C1131" s="296"/>
      <c r="D1131" s="296"/>
      <c r="E1131" s="296"/>
      <c r="F1131" s="296"/>
      <c r="G1131" s="326"/>
      <c r="H1131" s="324"/>
      <c r="I1131" s="325"/>
      <c r="J1131" s="325"/>
      <c r="K1131" s="318"/>
      <c r="L1131" s="318"/>
      <c r="M1131" s="319" t="str">
        <f>IFERROR(VLOOKUP(H1131,Lijsten!$H$1:$I$100,2,0),"")</f>
        <v/>
      </c>
      <c r="N1131" s="319" t="str">
        <f ca="1">IFERROR(IF(VLOOKUP(F1131,Kostentypen!$A$3:$E$21,3,0)=0,"",IF(OR(F1131="Arbeidskosten",F1131="Vergoeding"),VLOOKUP(G1131,Tb_KostenTypen[],2,0),VLOOKUP(F1131,Kostentypen!$A$3:$E$20,3,0))),"")</f>
        <v/>
      </c>
      <c r="O1131" s="320" t="str" cm="1">
        <f t="array" ref="O1131">_xlfn.IFNA(IF(INDEX(Tb_KostenOptiesDB[],MATCH($F1131,Tb_KostenOptiesDB[KostenOptie],0),IFERROR(MATCH(Methode_Keuze,Tb_KostenOptiesDB[#Headers],0),2))=1,_xlfn.SWITCH($N1131,"Uurtarief",IF(OR(AND(RIGHT($F1131,3)="IKS",VLOOKUP($M1131,DB_Loonkosten,2,0)="Ja"),AND(RIGHT($F1131,3)&lt;&gt;"IKS",VLOOKUP($M1131,DB_Loonkosten,2,0)="Nee")),IFERROR(VLOOKUP($M1131,DB_Loonkosten,24,0),""),0),"Vast tarief",IF(LEFT(F1131,8)="Bijdrage",VLOOKUP($F1131,Tb_KostenTypen[],MATCH(Lijsten!$P$1,Tb_KostenTypen[#Headers],0),0),VLOOKUP($G1131,Lijsten!L:P,MATCH(Lijsten!$P$1,Kop_Tarief_Vast,0),0))),""),"")</f>
        <v/>
      </c>
      <c r="P1131" s="320" t="str" cm="1">
        <f t="array" ref="P1131">_xlfn.IFNA(IF(INDEX(Tb_KostenOptiesDB[],MATCH($F1131,Tb_KostenOptiesDB[KostenOptie],0),IFERROR(MATCH(Methode_Keuze,Tb_KostenOptiesDB[#Headers],0),2))=1,_xlfn.SWITCH($N1131,"Uurtarief",IF(OR(AND(RIGHT($F1131,3)="IKS",VLOOKUP($M1131,DB_Loonkosten,2,0)="Ja"),AND(RIGHT($F1131,3)&lt;&gt;"IKS",VLOOKUP($M1131,DB_Loonkosten,2,0)="Nee")),IFERROR(VLOOKUP($M1131,DB_Loonkosten,25,0),""),0),"Vast tarief",IF(LEFT(F1131,8)="Bijdrage",VLOOKUP($F1131,Tb_KostenTypen[],MATCH(Lijsten!$P$1,Tb_KostenTypen[#Headers],0),0),VLOOKUP($G1131,Lijsten!L:P,MATCH(Lijsten!$P$1,Kop_Tarief_Vast,0),0))),""),"")</f>
        <v/>
      </c>
      <c r="Q1131" s="359"/>
      <c r="R1131" s="359"/>
      <c r="S1131" s="321"/>
      <c r="T1131" s="321"/>
      <c r="U1131" s="373" t="str">
        <f t="shared" si="68"/>
        <v/>
      </c>
      <c r="V1131" s="314" t="str">
        <f t="shared" si="69"/>
        <v/>
      </c>
      <c r="W1131" s="314" t="str" cm="1">
        <f t="array" aca="1" ref="W1131" ca="1">IFERROR(IF(AE1131&lt;&gt;"ja",_xlfn.IFNA(_xlfn.IFS(AND(O1131&lt;&gt;"",F1131&lt;&gt;"",RIGHT($N1131,6)="tarief",F1131="Vergoeding"),SUM(O1131)*FLOOR(SUM(Q1131),0.0001),AND(O1131&lt;&gt;"",F1131&lt;&gt;"",RIGHT($N1131,6)="tarief"),SUM(O1131)*FLOOR(SUM(Q1131),0.01),S1131&gt;0,IF(F1131&lt;&gt;"",FLOOR(SUM(S1131),0.01),"")),""),""),"")</f>
        <v/>
      </c>
      <c r="X1131" s="314" t="str" cm="1">
        <f t="array" aca="1" ref="X1131" ca="1">IFERROR(IF(AE1131&lt;&gt;"ja",_xlfn.IFNA(_xlfn.IFS(AND(P1131&lt;&gt;"",R1131&lt;&gt;"",RIGHT($N1131,6)="tarief",F1131="Vergoeding"),SUM(P1131)*FLOOR(SUM(R1131),0.0001),AND(P1131&lt;&gt;"",R1131&lt;&gt;"",RIGHT($N1131,6)="tarief"),P1131*FLOOR(R1131,0.01),T1131&gt;0,FLOOR(SUM(T1131),0.01)),""),""),"")</f>
        <v/>
      </c>
      <c r="Y1131" s="314" t="str">
        <f t="shared" ca="1" si="70"/>
        <v/>
      </c>
      <c r="Z1131" s="314" t="str" cm="1">
        <f t="array" aca="1" ref="Z1131" ca="1">IFERROR(_xlfn.IFS(OR(F1131="",LEFT(Methode_Keuze,4)="Geen",Methode_Keuze=""),"",AND(W1131&lt;&gt;"",F1131&lt;&gt;"Arbeidskosten"),W1131*VLOOKUP(F1131,Tb_ProjectKosten[],MATCH(Tb_ProjectKosten[[#Headers],[Forfait_Percentage]],Tb_ProjectKosten[#Headers],0),0),AND(F1131="Arbeidskosten",G1131&lt;&gt;""),IFERROR(W1131*VLOOKUP(G1131,Tb_KostenTypen[],3,0)*VLOOKUP(F1131,Tb_ProjectKosten[],MATCH(Tb_ProjectKosten[[#Headers],[Forfait_Percentage]],Tb_ProjectKosten[#Headers],0),0),""),W1131 &lt;=0,0),"")</f>
        <v/>
      </c>
      <c r="AA1131" s="314" t="str" cm="1">
        <f t="array" aca="1" ref="AA1131" ca="1">IFERROR(_xlfn.IFS(OR(F1131="",LEFT(Methode_Keuze,4)="Geen",Methode_Keuze=""),"",AND(X1131&lt;&gt;"",F1131&lt;&gt;"Arbeidskosten"),X1131*VLOOKUP(F1131,Tb_ProjectKosten[],MATCH(Tb_ProjectKosten[[#Headers],[Forfait_Percentage]],Tb_ProjectKosten[#Headers],0),0),AND(F1131="Arbeidskosten",G1131&lt;&gt;""),IFERROR(X1131*VLOOKUP(G1131,Tb_KostenTypen[],3,0)*VLOOKUP(F1131,Tb_ProjectKosten[],MATCH(Tb_ProjectKosten[[#Headers],[Forfait_Percentage]],Tb_ProjectKosten[#Headers],0),0),""),X1131 &lt;=0,0),"")</f>
        <v/>
      </c>
      <c r="AB1131" s="314" t="str">
        <f t="shared" ca="1" si="71"/>
        <v/>
      </c>
      <c r="AC1131" s="322"/>
      <c r="AD1131" s="315"/>
      <c r="AE1131" s="32" t="str" cm="1">
        <f t="array" ref="AE1131">IFERROR(IF(INDEX(SubsidieTabel!$AD$1:$AG$12,MATCH($F1131,SubsidieTabel!$AD$1:$AD$12,0),IFERROR(MATCH(Methode_Keuze,SubsidieTabel!$AD$1:$AG$1,0),2))&lt;&gt;1=TRUE,"ja",""),"")</f>
        <v/>
      </c>
    </row>
    <row r="1132" spans="1:31" x14ac:dyDescent="0.25">
      <c r="A1132" s="316"/>
      <c r="B1132" s="317" t="str">
        <f>IF(A1132&lt;&gt;"",_xlfn.MAXIFS($B$1:B1131,$A$1:A1131,A1132)+1,"")</f>
        <v/>
      </c>
      <c r="C1132" s="296"/>
      <c r="D1132" s="296"/>
      <c r="E1132" s="296"/>
      <c r="F1132" s="296"/>
      <c r="G1132" s="326"/>
      <c r="H1132" s="324"/>
      <c r="I1132" s="325"/>
      <c r="J1132" s="325"/>
      <c r="K1132" s="318"/>
      <c r="L1132" s="318"/>
      <c r="M1132" s="319" t="str">
        <f>IFERROR(VLOOKUP(H1132,Lijsten!$H$1:$I$100,2,0),"")</f>
        <v/>
      </c>
      <c r="N1132" s="319" t="str">
        <f ca="1">IFERROR(IF(VLOOKUP(F1132,Kostentypen!$A$3:$E$21,3,0)=0,"",IF(OR(F1132="Arbeidskosten",F1132="Vergoeding"),VLOOKUP(G1132,Tb_KostenTypen[],2,0),VLOOKUP(F1132,Kostentypen!$A$3:$E$20,3,0))),"")</f>
        <v/>
      </c>
      <c r="O1132" s="320" t="str" cm="1">
        <f t="array" ref="O1132">_xlfn.IFNA(IF(INDEX(Tb_KostenOptiesDB[],MATCH($F1132,Tb_KostenOptiesDB[KostenOptie],0),IFERROR(MATCH(Methode_Keuze,Tb_KostenOptiesDB[#Headers],0),2))=1,_xlfn.SWITCH($N1132,"Uurtarief",IF(OR(AND(RIGHT($F1132,3)="IKS",VLOOKUP($M1132,DB_Loonkosten,2,0)="Ja"),AND(RIGHT($F1132,3)&lt;&gt;"IKS",VLOOKUP($M1132,DB_Loonkosten,2,0)="Nee")),IFERROR(VLOOKUP($M1132,DB_Loonkosten,24,0),""),0),"Vast tarief",IF(LEFT(F1132,8)="Bijdrage",VLOOKUP($F1132,Tb_KostenTypen[],MATCH(Lijsten!$P$1,Tb_KostenTypen[#Headers],0),0),VLOOKUP($G1132,Lijsten!L:P,MATCH(Lijsten!$P$1,Kop_Tarief_Vast,0),0))),""),"")</f>
        <v/>
      </c>
      <c r="P1132" s="320" t="str" cm="1">
        <f t="array" ref="P1132">_xlfn.IFNA(IF(INDEX(Tb_KostenOptiesDB[],MATCH($F1132,Tb_KostenOptiesDB[KostenOptie],0),IFERROR(MATCH(Methode_Keuze,Tb_KostenOptiesDB[#Headers],0),2))=1,_xlfn.SWITCH($N1132,"Uurtarief",IF(OR(AND(RIGHT($F1132,3)="IKS",VLOOKUP($M1132,DB_Loonkosten,2,0)="Ja"),AND(RIGHT($F1132,3)&lt;&gt;"IKS",VLOOKUP($M1132,DB_Loonkosten,2,0)="Nee")),IFERROR(VLOOKUP($M1132,DB_Loonkosten,25,0),""),0),"Vast tarief",IF(LEFT(F1132,8)="Bijdrage",VLOOKUP($F1132,Tb_KostenTypen[],MATCH(Lijsten!$P$1,Tb_KostenTypen[#Headers],0),0),VLOOKUP($G1132,Lijsten!L:P,MATCH(Lijsten!$P$1,Kop_Tarief_Vast,0),0))),""),"")</f>
        <v/>
      </c>
      <c r="Q1132" s="359"/>
      <c r="R1132" s="359"/>
      <c r="S1132" s="321"/>
      <c r="T1132" s="321"/>
      <c r="U1132" s="373" t="str">
        <f t="shared" si="68"/>
        <v/>
      </c>
      <c r="V1132" s="314" t="str">
        <f t="shared" si="69"/>
        <v/>
      </c>
      <c r="W1132" s="314" t="str" cm="1">
        <f t="array" aca="1" ref="W1132" ca="1">IFERROR(IF(AE1132&lt;&gt;"ja",_xlfn.IFNA(_xlfn.IFS(AND(O1132&lt;&gt;"",F1132&lt;&gt;"",RIGHT($N1132,6)="tarief",F1132="Vergoeding"),SUM(O1132)*FLOOR(SUM(Q1132),0.0001),AND(O1132&lt;&gt;"",F1132&lt;&gt;"",RIGHT($N1132,6)="tarief"),SUM(O1132)*FLOOR(SUM(Q1132),0.01),S1132&gt;0,IF(F1132&lt;&gt;"",FLOOR(SUM(S1132),0.01),"")),""),""),"")</f>
        <v/>
      </c>
      <c r="X1132" s="314" t="str" cm="1">
        <f t="array" aca="1" ref="X1132" ca="1">IFERROR(IF(AE1132&lt;&gt;"ja",_xlfn.IFNA(_xlfn.IFS(AND(P1132&lt;&gt;"",R1132&lt;&gt;"",RIGHT($N1132,6)="tarief",F1132="Vergoeding"),SUM(P1132)*FLOOR(SUM(R1132),0.0001),AND(P1132&lt;&gt;"",R1132&lt;&gt;"",RIGHT($N1132,6)="tarief"),P1132*FLOOR(R1132,0.01),T1132&gt;0,FLOOR(SUM(T1132),0.01)),""),""),"")</f>
        <v/>
      </c>
      <c r="Y1132" s="314" t="str">
        <f t="shared" ca="1" si="70"/>
        <v/>
      </c>
      <c r="Z1132" s="314" t="str" cm="1">
        <f t="array" aca="1" ref="Z1132" ca="1">IFERROR(_xlfn.IFS(OR(F1132="",LEFT(Methode_Keuze,4)="Geen",Methode_Keuze=""),"",AND(W1132&lt;&gt;"",F1132&lt;&gt;"Arbeidskosten"),W1132*VLOOKUP(F1132,Tb_ProjectKosten[],MATCH(Tb_ProjectKosten[[#Headers],[Forfait_Percentage]],Tb_ProjectKosten[#Headers],0),0),AND(F1132="Arbeidskosten",G1132&lt;&gt;""),IFERROR(W1132*VLOOKUP(G1132,Tb_KostenTypen[],3,0)*VLOOKUP(F1132,Tb_ProjectKosten[],MATCH(Tb_ProjectKosten[[#Headers],[Forfait_Percentage]],Tb_ProjectKosten[#Headers],0),0),""),W1132 &lt;=0,0),"")</f>
        <v/>
      </c>
      <c r="AA1132" s="314" t="str" cm="1">
        <f t="array" aca="1" ref="AA1132" ca="1">IFERROR(_xlfn.IFS(OR(F1132="",LEFT(Methode_Keuze,4)="Geen",Methode_Keuze=""),"",AND(X1132&lt;&gt;"",F1132&lt;&gt;"Arbeidskosten"),X1132*VLOOKUP(F1132,Tb_ProjectKosten[],MATCH(Tb_ProjectKosten[[#Headers],[Forfait_Percentage]],Tb_ProjectKosten[#Headers],0),0),AND(F1132="Arbeidskosten",G1132&lt;&gt;""),IFERROR(X1132*VLOOKUP(G1132,Tb_KostenTypen[],3,0)*VLOOKUP(F1132,Tb_ProjectKosten[],MATCH(Tb_ProjectKosten[[#Headers],[Forfait_Percentage]],Tb_ProjectKosten[#Headers],0),0),""),X1132 &lt;=0,0),"")</f>
        <v/>
      </c>
      <c r="AB1132" s="314" t="str">
        <f t="shared" ca="1" si="71"/>
        <v/>
      </c>
      <c r="AC1132" s="322"/>
      <c r="AD1132" s="315"/>
      <c r="AE1132" s="32" t="str" cm="1">
        <f t="array" ref="AE1132">IFERROR(IF(INDEX(SubsidieTabel!$AD$1:$AG$12,MATCH($F1132,SubsidieTabel!$AD$1:$AD$12,0),IFERROR(MATCH(Methode_Keuze,SubsidieTabel!$AD$1:$AG$1,0),2))&lt;&gt;1=TRUE,"ja",""),"")</f>
        <v/>
      </c>
    </row>
    <row r="1133" spans="1:31" x14ac:dyDescent="0.25">
      <c r="A1133" s="316"/>
      <c r="B1133" s="317" t="str">
        <f>IF(A1133&lt;&gt;"",_xlfn.MAXIFS($B$1:B1132,$A$1:A1132,A1133)+1,"")</f>
        <v/>
      </c>
      <c r="C1133" s="296"/>
      <c r="D1133" s="296"/>
      <c r="E1133" s="296"/>
      <c r="F1133" s="296"/>
      <c r="G1133" s="326"/>
      <c r="H1133" s="324"/>
      <c r="I1133" s="325"/>
      <c r="J1133" s="325"/>
      <c r="K1133" s="318"/>
      <c r="L1133" s="318"/>
      <c r="M1133" s="319" t="str">
        <f>IFERROR(VLOOKUP(H1133,Lijsten!$H$1:$I$100,2,0),"")</f>
        <v/>
      </c>
      <c r="N1133" s="319" t="str">
        <f ca="1">IFERROR(IF(VLOOKUP(F1133,Kostentypen!$A$3:$E$21,3,0)=0,"",IF(OR(F1133="Arbeidskosten",F1133="Vergoeding"),VLOOKUP(G1133,Tb_KostenTypen[],2,0),VLOOKUP(F1133,Kostentypen!$A$3:$E$20,3,0))),"")</f>
        <v/>
      </c>
      <c r="O1133" s="320" t="str" cm="1">
        <f t="array" ref="O1133">_xlfn.IFNA(IF(INDEX(Tb_KostenOptiesDB[],MATCH($F1133,Tb_KostenOptiesDB[KostenOptie],0),IFERROR(MATCH(Methode_Keuze,Tb_KostenOptiesDB[#Headers],0),2))=1,_xlfn.SWITCH($N1133,"Uurtarief",IF(OR(AND(RIGHT($F1133,3)="IKS",VLOOKUP($M1133,DB_Loonkosten,2,0)="Ja"),AND(RIGHT($F1133,3)&lt;&gt;"IKS",VLOOKUP($M1133,DB_Loonkosten,2,0)="Nee")),IFERROR(VLOOKUP($M1133,DB_Loonkosten,24,0),""),0),"Vast tarief",IF(LEFT(F1133,8)="Bijdrage",VLOOKUP($F1133,Tb_KostenTypen[],MATCH(Lijsten!$P$1,Tb_KostenTypen[#Headers],0),0),VLOOKUP($G1133,Lijsten!L:P,MATCH(Lijsten!$P$1,Kop_Tarief_Vast,0),0))),""),"")</f>
        <v/>
      </c>
      <c r="P1133" s="320" t="str" cm="1">
        <f t="array" ref="P1133">_xlfn.IFNA(IF(INDEX(Tb_KostenOptiesDB[],MATCH($F1133,Tb_KostenOptiesDB[KostenOptie],0),IFERROR(MATCH(Methode_Keuze,Tb_KostenOptiesDB[#Headers],0),2))=1,_xlfn.SWITCH($N1133,"Uurtarief",IF(OR(AND(RIGHT($F1133,3)="IKS",VLOOKUP($M1133,DB_Loonkosten,2,0)="Ja"),AND(RIGHT($F1133,3)&lt;&gt;"IKS",VLOOKUP($M1133,DB_Loonkosten,2,0)="Nee")),IFERROR(VLOOKUP($M1133,DB_Loonkosten,25,0),""),0),"Vast tarief",IF(LEFT(F1133,8)="Bijdrage",VLOOKUP($F1133,Tb_KostenTypen[],MATCH(Lijsten!$P$1,Tb_KostenTypen[#Headers],0),0),VLOOKUP($G1133,Lijsten!L:P,MATCH(Lijsten!$P$1,Kop_Tarief_Vast,0),0))),""),"")</f>
        <v/>
      </c>
      <c r="Q1133" s="359"/>
      <c r="R1133" s="359"/>
      <c r="S1133" s="321"/>
      <c r="T1133" s="321"/>
      <c r="U1133" s="373" t="str">
        <f t="shared" si="68"/>
        <v/>
      </c>
      <c r="V1133" s="314" t="str">
        <f t="shared" si="69"/>
        <v/>
      </c>
      <c r="W1133" s="314" t="str" cm="1">
        <f t="array" aca="1" ref="W1133" ca="1">IFERROR(IF(AE1133&lt;&gt;"ja",_xlfn.IFNA(_xlfn.IFS(AND(O1133&lt;&gt;"",F1133&lt;&gt;"",RIGHT($N1133,6)="tarief",F1133="Vergoeding"),SUM(O1133)*FLOOR(SUM(Q1133),0.0001),AND(O1133&lt;&gt;"",F1133&lt;&gt;"",RIGHT($N1133,6)="tarief"),SUM(O1133)*FLOOR(SUM(Q1133),0.01),S1133&gt;0,IF(F1133&lt;&gt;"",FLOOR(SUM(S1133),0.01),"")),""),""),"")</f>
        <v/>
      </c>
      <c r="X1133" s="314" t="str" cm="1">
        <f t="array" aca="1" ref="X1133" ca="1">IFERROR(IF(AE1133&lt;&gt;"ja",_xlfn.IFNA(_xlfn.IFS(AND(P1133&lt;&gt;"",R1133&lt;&gt;"",RIGHT($N1133,6)="tarief",F1133="Vergoeding"),SUM(P1133)*FLOOR(SUM(R1133),0.0001),AND(P1133&lt;&gt;"",R1133&lt;&gt;"",RIGHT($N1133,6)="tarief"),P1133*FLOOR(R1133,0.01),T1133&gt;0,FLOOR(SUM(T1133),0.01)),""),""),"")</f>
        <v/>
      </c>
      <c r="Y1133" s="314" t="str">
        <f t="shared" ca="1" si="70"/>
        <v/>
      </c>
      <c r="Z1133" s="314" t="str" cm="1">
        <f t="array" aca="1" ref="Z1133" ca="1">IFERROR(_xlfn.IFS(OR(F1133="",LEFT(Methode_Keuze,4)="Geen",Methode_Keuze=""),"",AND(W1133&lt;&gt;"",F1133&lt;&gt;"Arbeidskosten"),W1133*VLOOKUP(F1133,Tb_ProjectKosten[],MATCH(Tb_ProjectKosten[[#Headers],[Forfait_Percentage]],Tb_ProjectKosten[#Headers],0),0),AND(F1133="Arbeidskosten",G1133&lt;&gt;""),IFERROR(W1133*VLOOKUP(G1133,Tb_KostenTypen[],3,0)*VLOOKUP(F1133,Tb_ProjectKosten[],MATCH(Tb_ProjectKosten[[#Headers],[Forfait_Percentage]],Tb_ProjectKosten[#Headers],0),0),""),W1133 &lt;=0,0),"")</f>
        <v/>
      </c>
      <c r="AA1133" s="314" t="str" cm="1">
        <f t="array" aca="1" ref="AA1133" ca="1">IFERROR(_xlfn.IFS(OR(F1133="",LEFT(Methode_Keuze,4)="Geen",Methode_Keuze=""),"",AND(X1133&lt;&gt;"",F1133&lt;&gt;"Arbeidskosten"),X1133*VLOOKUP(F1133,Tb_ProjectKosten[],MATCH(Tb_ProjectKosten[[#Headers],[Forfait_Percentage]],Tb_ProjectKosten[#Headers],0),0),AND(F1133="Arbeidskosten",G1133&lt;&gt;""),IFERROR(X1133*VLOOKUP(G1133,Tb_KostenTypen[],3,0)*VLOOKUP(F1133,Tb_ProjectKosten[],MATCH(Tb_ProjectKosten[[#Headers],[Forfait_Percentage]],Tb_ProjectKosten[#Headers],0),0),""),X1133 &lt;=0,0),"")</f>
        <v/>
      </c>
      <c r="AB1133" s="314" t="str">
        <f t="shared" ca="1" si="71"/>
        <v/>
      </c>
      <c r="AC1133" s="322"/>
      <c r="AD1133" s="315"/>
      <c r="AE1133" s="32" t="str" cm="1">
        <f t="array" ref="AE1133">IFERROR(IF(INDEX(SubsidieTabel!$AD$1:$AG$12,MATCH($F1133,SubsidieTabel!$AD$1:$AD$12,0),IFERROR(MATCH(Methode_Keuze,SubsidieTabel!$AD$1:$AG$1,0),2))&lt;&gt;1=TRUE,"ja",""),"")</f>
        <v/>
      </c>
    </row>
    <row r="1134" spans="1:31" x14ac:dyDescent="0.25">
      <c r="A1134" s="316"/>
      <c r="B1134" s="317" t="str">
        <f>IF(A1134&lt;&gt;"",_xlfn.MAXIFS($B$1:B1133,$A$1:A1133,A1134)+1,"")</f>
        <v/>
      </c>
      <c r="C1134" s="296"/>
      <c r="D1134" s="296"/>
      <c r="E1134" s="296"/>
      <c r="F1134" s="296"/>
      <c r="G1134" s="326"/>
      <c r="H1134" s="324"/>
      <c r="I1134" s="325"/>
      <c r="J1134" s="325"/>
      <c r="K1134" s="318"/>
      <c r="L1134" s="318"/>
      <c r="M1134" s="319" t="str">
        <f>IFERROR(VLOOKUP(H1134,Lijsten!$H$1:$I$100,2,0),"")</f>
        <v/>
      </c>
      <c r="N1134" s="319" t="str">
        <f ca="1">IFERROR(IF(VLOOKUP(F1134,Kostentypen!$A$3:$E$21,3,0)=0,"",IF(OR(F1134="Arbeidskosten",F1134="Vergoeding"),VLOOKUP(G1134,Tb_KostenTypen[],2,0),VLOOKUP(F1134,Kostentypen!$A$3:$E$20,3,0))),"")</f>
        <v/>
      </c>
      <c r="O1134" s="320" t="str" cm="1">
        <f t="array" ref="O1134">_xlfn.IFNA(IF(INDEX(Tb_KostenOptiesDB[],MATCH($F1134,Tb_KostenOptiesDB[KostenOptie],0),IFERROR(MATCH(Methode_Keuze,Tb_KostenOptiesDB[#Headers],0),2))=1,_xlfn.SWITCH($N1134,"Uurtarief",IF(OR(AND(RIGHT($F1134,3)="IKS",VLOOKUP($M1134,DB_Loonkosten,2,0)="Ja"),AND(RIGHT($F1134,3)&lt;&gt;"IKS",VLOOKUP($M1134,DB_Loonkosten,2,0)="Nee")),IFERROR(VLOOKUP($M1134,DB_Loonkosten,24,0),""),0),"Vast tarief",IF(LEFT(F1134,8)="Bijdrage",VLOOKUP($F1134,Tb_KostenTypen[],MATCH(Lijsten!$P$1,Tb_KostenTypen[#Headers],0),0),VLOOKUP($G1134,Lijsten!L:P,MATCH(Lijsten!$P$1,Kop_Tarief_Vast,0),0))),""),"")</f>
        <v/>
      </c>
      <c r="P1134" s="320" t="str" cm="1">
        <f t="array" ref="P1134">_xlfn.IFNA(IF(INDEX(Tb_KostenOptiesDB[],MATCH($F1134,Tb_KostenOptiesDB[KostenOptie],0),IFERROR(MATCH(Methode_Keuze,Tb_KostenOptiesDB[#Headers],0),2))=1,_xlfn.SWITCH($N1134,"Uurtarief",IF(OR(AND(RIGHT($F1134,3)="IKS",VLOOKUP($M1134,DB_Loonkosten,2,0)="Ja"),AND(RIGHT($F1134,3)&lt;&gt;"IKS",VLOOKUP($M1134,DB_Loonkosten,2,0)="Nee")),IFERROR(VLOOKUP($M1134,DB_Loonkosten,25,0),""),0),"Vast tarief",IF(LEFT(F1134,8)="Bijdrage",VLOOKUP($F1134,Tb_KostenTypen[],MATCH(Lijsten!$P$1,Tb_KostenTypen[#Headers],0),0),VLOOKUP($G1134,Lijsten!L:P,MATCH(Lijsten!$P$1,Kop_Tarief_Vast,0),0))),""),"")</f>
        <v/>
      </c>
      <c r="Q1134" s="359"/>
      <c r="R1134" s="359"/>
      <c r="S1134" s="321"/>
      <c r="T1134" s="321"/>
      <c r="U1134" s="373" t="str">
        <f t="shared" si="68"/>
        <v/>
      </c>
      <c r="V1134" s="314" t="str">
        <f t="shared" si="69"/>
        <v/>
      </c>
      <c r="W1134" s="314" t="str" cm="1">
        <f t="array" aca="1" ref="W1134" ca="1">IFERROR(IF(AE1134&lt;&gt;"ja",_xlfn.IFNA(_xlfn.IFS(AND(O1134&lt;&gt;"",F1134&lt;&gt;"",RIGHT($N1134,6)="tarief",F1134="Vergoeding"),SUM(O1134)*FLOOR(SUM(Q1134),0.0001),AND(O1134&lt;&gt;"",F1134&lt;&gt;"",RIGHT($N1134,6)="tarief"),SUM(O1134)*FLOOR(SUM(Q1134),0.01),S1134&gt;0,IF(F1134&lt;&gt;"",FLOOR(SUM(S1134),0.01),"")),""),""),"")</f>
        <v/>
      </c>
      <c r="X1134" s="314" t="str" cm="1">
        <f t="array" aca="1" ref="X1134" ca="1">IFERROR(IF(AE1134&lt;&gt;"ja",_xlfn.IFNA(_xlfn.IFS(AND(P1134&lt;&gt;"",R1134&lt;&gt;"",RIGHT($N1134,6)="tarief",F1134="Vergoeding"),SUM(P1134)*FLOOR(SUM(R1134),0.0001),AND(P1134&lt;&gt;"",R1134&lt;&gt;"",RIGHT($N1134,6)="tarief"),P1134*FLOOR(R1134,0.01),T1134&gt;0,FLOOR(SUM(T1134),0.01)),""),""),"")</f>
        <v/>
      </c>
      <c r="Y1134" s="314" t="str">
        <f t="shared" ca="1" si="70"/>
        <v/>
      </c>
      <c r="Z1134" s="314" t="str" cm="1">
        <f t="array" aca="1" ref="Z1134" ca="1">IFERROR(_xlfn.IFS(OR(F1134="",LEFT(Methode_Keuze,4)="Geen",Methode_Keuze=""),"",AND(W1134&lt;&gt;"",F1134&lt;&gt;"Arbeidskosten"),W1134*VLOOKUP(F1134,Tb_ProjectKosten[],MATCH(Tb_ProjectKosten[[#Headers],[Forfait_Percentage]],Tb_ProjectKosten[#Headers],0),0),AND(F1134="Arbeidskosten",G1134&lt;&gt;""),IFERROR(W1134*VLOOKUP(G1134,Tb_KostenTypen[],3,0)*VLOOKUP(F1134,Tb_ProjectKosten[],MATCH(Tb_ProjectKosten[[#Headers],[Forfait_Percentage]],Tb_ProjectKosten[#Headers],0),0),""),W1134 &lt;=0,0),"")</f>
        <v/>
      </c>
      <c r="AA1134" s="314" t="str" cm="1">
        <f t="array" aca="1" ref="AA1134" ca="1">IFERROR(_xlfn.IFS(OR(F1134="",LEFT(Methode_Keuze,4)="Geen",Methode_Keuze=""),"",AND(X1134&lt;&gt;"",F1134&lt;&gt;"Arbeidskosten"),X1134*VLOOKUP(F1134,Tb_ProjectKosten[],MATCH(Tb_ProjectKosten[[#Headers],[Forfait_Percentage]],Tb_ProjectKosten[#Headers],0),0),AND(F1134="Arbeidskosten",G1134&lt;&gt;""),IFERROR(X1134*VLOOKUP(G1134,Tb_KostenTypen[],3,0)*VLOOKUP(F1134,Tb_ProjectKosten[],MATCH(Tb_ProjectKosten[[#Headers],[Forfait_Percentage]],Tb_ProjectKosten[#Headers],0),0),""),X1134 &lt;=0,0),"")</f>
        <v/>
      </c>
      <c r="AB1134" s="314" t="str">
        <f t="shared" ca="1" si="71"/>
        <v/>
      </c>
      <c r="AC1134" s="322"/>
      <c r="AD1134" s="315"/>
      <c r="AE1134" s="32" t="str" cm="1">
        <f t="array" ref="AE1134">IFERROR(IF(INDEX(SubsidieTabel!$AD$1:$AG$12,MATCH($F1134,SubsidieTabel!$AD$1:$AD$12,0),IFERROR(MATCH(Methode_Keuze,SubsidieTabel!$AD$1:$AG$1,0),2))&lt;&gt;1=TRUE,"ja",""),"")</f>
        <v/>
      </c>
    </row>
    <row r="1135" spans="1:31" x14ac:dyDescent="0.25">
      <c r="A1135" s="316"/>
      <c r="B1135" s="317" t="str">
        <f>IF(A1135&lt;&gt;"",_xlfn.MAXIFS($B$1:B1134,$A$1:A1134,A1135)+1,"")</f>
        <v/>
      </c>
      <c r="C1135" s="296"/>
      <c r="D1135" s="296"/>
      <c r="E1135" s="296"/>
      <c r="F1135" s="296"/>
      <c r="G1135" s="326"/>
      <c r="H1135" s="324"/>
      <c r="I1135" s="325"/>
      <c r="J1135" s="325"/>
      <c r="K1135" s="318"/>
      <c r="L1135" s="318"/>
      <c r="M1135" s="319" t="str">
        <f>IFERROR(VLOOKUP(H1135,Lijsten!$H$1:$I$100,2,0),"")</f>
        <v/>
      </c>
      <c r="N1135" s="319" t="str">
        <f ca="1">IFERROR(IF(VLOOKUP(F1135,Kostentypen!$A$3:$E$21,3,0)=0,"",IF(OR(F1135="Arbeidskosten",F1135="Vergoeding"),VLOOKUP(G1135,Tb_KostenTypen[],2,0),VLOOKUP(F1135,Kostentypen!$A$3:$E$20,3,0))),"")</f>
        <v/>
      </c>
      <c r="O1135" s="320" t="str" cm="1">
        <f t="array" ref="O1135">_xlfn.IFNA(IF(INDEX(Tb_KostenOptiesDB[],MATCH($F1135,Tb_KostenOptiesDB[KostenOptie],0),IFERROR(MATCH(Methode_Keuze,Tb_KostenOptiesDB[#Headers],0),2))=1,_xlfn.SWITCH($N1135,"Uurtarief",IF(OR(AND(RIGHT($F1135,3)="IKS",VLOOKUP($M1135,DB_Loonkosten,2,0)="Ja"),AND(RIGHT($F1135,3)&lt;&gt;"IKS",VLOOKUP($M1135,DB_Loonkosten,2,0)="Nee")),IFERROR(VLOOKUP($M1135,DB_Loonkosten,24,0),""),0),"Vast tarief",IF(LEFT(F1135,8)="Bijdrage",VLOOKUP($F1135,Tb_KostenTypen[],MATCH(Lijsten!$P$1,Tb_KostenTypen[#Headers],0),0),VLOOKUP($G1135,Lijsten!L:P,MATCH(Lijsten!$P$1,Kop_Tarief_Vast,0),0))),""),"")</f>
        <v/>
      </c>
      <c r="P1135" s="320" t="str" cm="1">
        <f t="array" ref="P1135">_xlfn.IFNA(IF(INDEX(Tb_KostenOptiesDB[],MATCH($F1135,Tb_KostenOptiesDB[KostenOptie],0),IFERROR(MATCH(Methode_Keuze,Tb_KostenOptiesDB[#Headers],0),2))=1,_xlfn.SWITCH($N1135,"Uurtarief",IF(OR(AND(RIGHT($F1135,3)="IKS",VLOOKUP($M1135,DB_Loonkosten,2,0)="Ja"),AND(RIGHT($F1135,3)&lt;&gt;"IKS",VLOOKUP($M1135,DB_Loonkosten,2,0)="Nee")),IFERROR(VLOOKUP($M1135,DB_Loonkosten,25,0),""),0),"Vast tarief",IF(LEFT(F1135,8)="Bijdrage",VLOOKUP($F1135,Tb_KostenTypen[],MATCH(Lijsten!$P$1,Tb_KostenTypen[#Headers],0),0),VLOOKUP($G1135,Lijsten!L:P,MATCH(Lijsten!$P$1,Kop_Tarief_Vast,0),0))),""),"")</f>
        <v/>
      </c>
      <c r="Q1135" s="359"/>
      <c r="R1135" s="359"/>
      <c r="S1135" s="321"/>
      <c r="T1135" s="321"/>
      <c r="U1135" s="373" t="str">
        <f t="shared" si="68"/>
        <v/>
      </c>
      <c r="V1135" s="314" t="str">
        <f t="shared" si="69"/>
        <v/>
      </c>
      <c r="W1135" s="314" t="str" cm="1">
        <f t="array" aca="1" ref="W1135" ca="1">IFERROR(IF(AE1135&lt;&gt;"ja",_xlfn.IFNA(_xlfn.IFS(AND(O1135&lt;&gt;"",F1135&lt;&gt;"",RIGHT($N1135,6)="tarief",F1135="Vergoeding"),SUM(O1135)*FLOOR(SUM(Q1135),0.0001),AND(O1135&lt;&gt;"",F1135&lt;&gt;"",RIGHT($N1135,6)="tarief"),SUM(O1135)*FLOOR(SUM(Q1135),0.01),S1135&gt;0,IF(F1135&lt;&gt;"",FLOOR(SUM(S1135),0.01),"")),""),""),"")</f>
        <v/>
      </c>
      <c r="X1135" s="314" t="str" cm="1">
        <f t="array" aca="1" ref="X1135" ca="1">IFERROR(IF(AE1135&lt;&gt;"ja",_xlfn.IFNA(_xlfn.IFS(AND(P1135&lt;&gt;"",R1135&lt;&gt;"",RIGHT($N1135,6)="tarief",F1135="Vergoeding"),SUM(P1135)*FLOOR(SUM(R1135),0.0001),AND(P1135&lt;&gt;"",R1135&lt;&gt;"",RIGHT($N1135,6)="tarief"),P1135*FLOOR(R1135,0.01),T1135&gt;0,FLOOR(SUM(T1135),0.01)),""),""),"")</f>
        <v/>
      </c>
      <c r="Y1135" s="314" t="str">
        <f t="shared" ca="1" si="70"/>
        <v/>
      </c>
      <c r="Z1135" s="314" t="str" cm="1">
        <f t="array" aca="1" ref="Z1135" ca="1">IFERROR(_xlfn.IFS(OR(F1135="",LEFT(Methode_Keuze,4)="Geen",Methode_Keuze=""),"",AND(W1135&lt;&gt;"",F1135&lt;&gt;"Arbeidskosten"),W1135*VLOOKUP(F1135,Tb_ProjectKosten[],MATCH(Tb_ProjectKosten[[#Headers],[Forfait_Percentage]],Tb_ProjectKosten[#Headers],0),0),AND(F1135="Arbeidskosten",G1135&lt;&gt;""),IFERROR(W1135*VLOOKUP(G1135,Tb_KostenTypen[],3,0)*VLOOKUP(F1135,Tb_ProjectKosten[],MATCH(Tb_ProjectKosten[[#Headers],[Forfait_Percentage]],Tb_ProjectKosten[#Headers],0),0),""),W1135 &lt;=0,0),"")</f>
        <v/>
      </c>
      <c r="AA1135" s="314" t="str" cm="1">
        <f t="array" aca="1" ref="AA1135" ca="1">IFERROR(_xlfn.IFS(OR(F1135="",LEFT(Methode_Keuze,4)="Geen",Methode_Keuze=""),"",AND(X1135&lt;&gt;"",F1135&lt;&gt;"Arbeidskosten"),X1135*VLOOKUP(F1135,Tb_ProjectKosten[],MATCH(Tb_ProjectKosten[[#Headers],[Forfait_Percentage]],Tb_ProjectKosten[#Headers],0),0),AND(F1135="Arbeidskosten",G1135&lt;&gt;""),IFERROR(X1135*VLOOKUP(G1135,Tb_KostenTypen[],3,0)*VLOOKUP(F1135,Tb_ProjectKosten[],MATCH(Tb_ProjectKosten[[#Headers],[Forfait_Percentage]],Tb_ProjectKosten[#Headers],0),0),""),X1135 &lt;=0,0),"")</f>
        <v/>
      </c>
      <c r="AB1135" s="314" t="str">
        <f t="shared" ca="1" si="71"/>
        <v/>
      </c>
      <c r="AC1135" s="322"/>
      <c r="AD1135" s="315"/>
      <c r="AE1135" s="32" t="str" cm="1">
        <f t="array" ref="AE1135">IFERROR(IF(INDEX(SubsidieTabel!$AD$1:$AG$12,MATCH($F1135,SubsidieTabel!$AD$1:$AD$12,0),IFERROR(MATCH(Methode_Keuze,SubsidieTabel!$AD$1:$AG$1,0),2))&lt;&gt;1=TRUE,"ja",""),"")</f>
        <v/>
      </c>
    </row>
    <row r="1136" spans="1:31" x14ac:dyDescent="0.25">
      <c r="A1136" s="316"/>
      <c r="B1136" s="317" t="str">
        <f>IF(A1136&lt;&gt;"",_xlfn.MAXIFS($B$1:B1135,$A$1:A1135,A1136)+1,"")</f>
        <v/>
      </c>
      <c r="C1136" s="296"/>
      <c r="D1136" s="296"/>
      <c r="E1136" s="296"/>
      <c r="F1136" s="296"/>
      <c r="G1136" s="326"/>
      <c r="H1136" s="324"/>
      <c r="I1136" s="325"/>
      <c r="J1136" s="325"/>
      <c r="K1136" s="318"/>
      <c r="L1136" s="318"/>
      <c r="M1136" s="319" t="str">
        <f>IFERROR(VLOOKUP(H1136,Lijsten!$H$1:$I$100,2,0),"")</f>
        <v/>
      </c>
      <c r="N1136" s="319" t="str">
        <f ca="1">IFERROR(IF(VLOOKUP(F1136,Kostentypen!$A$3:$E$21,3,0)=0,"",IF(OR(F1136="Arbeidskosten",F1136="Vergoeding"),VLOOKUP(G1136,Tb_KostenTypen[],2,0),VLOOKUP(F1136,Kostentypen!$A$3:$E$20,3,0))),"")</f>
        <v/>
      </c>
      <c r="O1136" s="320" t="str" cm="1">
        <f t="array" ref="O1136">_xlfn.IFNA(IF(INDEX(Tb_KostenOptiesDB[],MATCH($F1136,Tb_KostenOptiesDB[KostenOptie],0),IFERROR(MATCH(Methode_Keuze,Tb_KostenOptiesDB[#Headers],0),2))=1,_xlfn.SWITCH($N1136,"Uurtarief",IF(OR(AND(RIGHT($F1136,3)="IKS",VLOOKUP($M1136,DB_Loonkosten,2,0)="Ja"),AND(RIGHT($F1136,3)&lt;&gt;"IKS",VLOOKUP($M1136,DB_Loonkosten,2,0)="Nee")),IFERROR(VLOOKUP($M1136,DB_Loonkosten,24,0),""),0),"Vast tarief",IF(LEFT(F1136,8)="Bijdrage",VLOOKUP($F1136,Tb_KostenTypen[],MATCH(Lijsten!$P$1,Tb_KostenTypen[#Headers],0),0),VLOOKUP($G1136,Lijsten!L:P,MATCH(Lijsten!$P$1,Kop_Tarief_Vast,0),0))),""),"")</f>
        <v/>
      </c>
      <c r="P1136" s="320" t="str" cm="1">
        <f t="array" ref="P1136">_xlfn.IFNA(IF(INDEX(Tb_KostenOptiesDB[],MATCH($F1136,Tb_KostenOptiesDB[KostenOptie],0),IFERROR(MATCH(Methode_Keuze,Tb_KostenOptiesDB[#Headers],0),2))=1,_xlfn.SWITCH($N1136,"Uurtarief",IF(OR(AND(RIGHT($F1136,3)="IKS",VLOOKUP($M1136,DB_Loonkosten,2,0)="Ja"),AND(RIGHT($F1136,3)&lt;&gt;"IKS",VLOOKUP($M1136,DB_Loonkosten,2,0)="Nee")),IFERROR(VLOOKUP($M1136,DB_Loonkosten,25,0),""),0),"Vast tarief",IF(LEFT(F1136,8)="Bijdrage",VLOOKUP($F1136,Tb_KostenTypen[],MATCH(Lijsten!$P$1,Tb_KostenTypen[#Headers],0),0),VLOOKUP($G1136,Lijsten!L:P,MATCH(Lijsten!$P$1,Kop_Tarief_Vast,0),0))),""),"")</f>
        <v/>
      </c>
      <c r="Q1136" s="359"/>
      <c r="R1136" s="359"/>
      <c r="S1136" s="321"/>
      <c r="T1136" s="321"/>
      <c r="U1136" s="373" t="str">
        <f t="shared" si="68"/>
        <v/>
      </c>
      <c r="V1136" s="314" t="str">
        <f t="shared" si="69"/>
        <v/>
      </c>
      <c r="W1136" s="314" t="str" cm="1">
        <f t="array" aca="1" ref="W1136" ca="1">IFERROR(IF(AE1136&lt;&gt;"ja",_xlfn.IFNA(_xlfn.IFS(AND(O1136&lt;&gt;"",F1136&lt;&gt;"",RIGHT($N1136,6)="tarief",F1136="Vergoeding"),SUM(O1136)*FLOOR(SUM(Q1136),0.0001),AND(O1136&lt;&gt;"",F1136&lt;&gt;"",RIGHT($N1136,6)="tarief"),SUM(O1136)*FLOOR(SUM(Q1136),0.01),S1136&gt;0,IF(F1136&lt;&gt;"",FLOOR(SUM(S1136),0.01),"")),""),""),"")</f>
        <v/>
      </c>
      <c r="X1136" s="314" t="str" cm="1">
        <f t="array" aca="1" ref="X1136" ca="1">IFERROR(IF(AE1136&lt;&gt;"ja",_xlfn.IFNA(_xlfn.IFS(AND(P1136&lt;&gt;"",R1136&lt;&gt;"",RIGHT($N1136,6)="tarief",F1136="Vergoeding"),SUM(P1136)*FLOOR(SUM(R1136),0.0001),AND(P1136&lt;&gt;"",R1136&lt;&gt;"",RIGHT($N1136,6)="tarief"),P1136*FLOOR(R1136,0.01),T1136&gt;0,FLOOR(SUM(T1136),0.01)),""),""),"")</f>
        <v/>
      </c>
      <c r="Y1136" s="314" t="str">
        <f t="shared" ca="1" si="70"/>
        <v/>
      </c>
      <c r="Z1136" s="314" t="str" cm="1">
        <f t="array" aca="1" ref="Z1136" ca="1">IFERROR(_xlfn.IFS(OR(F1136="",LEFT(Methode_Keuze,4)="Geen",Methode_Keuze=""),"",AND(W1136&lt;&gt;"",F1136&lt;&gt;"Arbeidskosten"),W1136*VLOOKUP(F1136,Tb_ProjectKosten[],MATCH(Tb_ProjectKosten[[#Headers],[Forfait_Percentage]],Tb_ProjectKosten[#Headers],0),0),AND(F1136="Arbeidskosten",G1136&lt;&gt;""),IFERROR(W1136*VLOOKUP(G1136,Tb_KostenTypen[],3,0)*VLOOKUP(F1136,Tb_ProjectKosten[],MATCH(Tb_ProjectKosten[[#Headers],[Forfait_Percentage]],Tb_ProjectKosten[#Headers],0),0),""),W1136 &lt;=0,0),"")</f>
        <v/>
      </c>
      <c r="AA1136" s="314" t="str" cm="1">
        <f t="array" aca="1" ref="AA1136" ca="1">IFERROR(_xlfn.IFS(OR(F1136="",LEFT(Methode_Keuze,4)="Geen",Methode_Keuze=""),"",AND(X1136&lt;&gt;"",F1136&lt;&gt;"Arbeidskosten"),X1136*VLOOKUP(F1136,Tb_ProjectKosten[],MATCH(Tb_ProjectKosten[[#Headers],[Forfait_Percentage]],Tb_ProjectKosten[#Headers],0),0),AND(F1136="Arbeidskosten",G1136&lt;&gt;""),IFERROR(X1136*VLOOKUP(G1136,Tb_KostenTypen[],3,0)*VLOOKUP(F1136,Tb_ProjectKosten[],MATCH(Tb_ProjectKosten[[#Headers],[Forfait_Percentage]],Tb_ProjectKosten[#Headers],0),0),""),X1136 &lt;=0,0),"")</f>
        <v/>
      </c>
      <c r="AB1136" s="314" t="str">
        <f t="shared" ca="1" si="71"/>
        <v/>
      </c>
      <c r="AC1136" s="322"/>
      <c r="AD1136" s="315"/>
      <c r="AE1136" s="32" t="str" cm="1">
        <f t="array" ref="AE1136">IFERROR(IF(INDEX(SubsidieTabel!$AD$1:$AG$12,MATCH($F1136,SubsidieTabel!$AD$1:$AD$12,0),IFERROR(MATCH(Methode_Keuze,SubsidieTabel!$AD$1:$AG$1,0),2))&lt;&gt;1=TRUE,"ja",""),"")</f>
        <v/>
      </c>
    </row>
    <row r="1137" spans="1:31" x14ac:dyDescent="0.25">
      <c r="A1137" s="316"/>
      <c r="B1137" s="317" t="str">
        <f>IF(A1137&lt;&gt;"",_xlfn.MAXIFS($B$1:B1136,$A$1:A1136,A1137)+1,"")</f>
        <v/>
      </c>
      <c r="C1137" s="296"/>
      <c r="D1137" s="296"/>
      <c r="E1137" s="296"/>
      <c r="F1137" s="296"/>
      <c r="G1137" s="326"/>
      <c r="H1137" s="324"/>
      <c r="I1137" s="325"/>
      <c r="J1137" s="325"/>
      <c r="K1137" s="318"/>
      <c r="L1137" s="318"/>
      <c r="M1137" s="319" t="str">
        <f>IFERROR(VLOOKUP(H1137,Lijsten!$H$1:$I$100,2,0),"")</f>
        <v/>
      </c>
      <c r="N1137" s="319" t="str">
        <f ca="1">IFERROR(IF(VLOOKUP(F1137,Kostentypen!$A$3:$E$21,3,0)=0,"",IF(OR(F1137="Arbeidskosten",F1137="Vergoeding"),VLOOKUP(G1137,Tb_KostenTypen[],2,0),VLOOKUP(F1137,Kostentypen!$A$3:$E$20,3,0))),"")</f>
        <v/>
      </c>
      <c r="O1137" s="320" t="str" cm="1">
        <f t="array" ref="O1137">_xlfn.IFNA(IF(INDEX(Tb_KostenOptiesDB[],MATCH($F1137,Tb_KostenOptiesDB[KostenOptie],0),IFERROR(MATCH(Methode_Keuze,Tb_KostenOptiesDB[#Headers],0),2))=1,_xlfn.SWITCH($N1137,"Uurtarief",IF(OR(AND(RIGHT($F1137,3)="IKS",VLOOKUP($M1137,DB_Loonkosten,2,0)="Ja"),AND(RIGHT($F1137,3)&lt;&gt;"IKS",VLOOKUP($M1137,DB_Loonkosten,2,0)="Nee")),IFERROR(VLOOKUP($M1137,DB_Loonkosten,24,0),""),0),"Vast tarief",IF(LEFT(F1137,8)="Bijdrage",VLOOKUP($F1137,Tb_KostenTypen[],MATCH(Lijsten!$P$1,Tb_KostenTypen[#Headers],0),0),VLOOKUP($G1137,Lijsten!L:P,MATCH(Lijsten!$P$1,Kop_Tarief_Vast,0),0))),""),"")</f>
        <v/>
      </c>
      <c r="P1137" s="320" t="str" cm="1">
        <f t="array" ref="P1137">_xlfn.IFNA(IF(INDEX(Tb_KostenOptiesDB[],MATCH($F1137,Tb_KostenOptiesDB[KostenOptie],0),IFERROR(MATCH(Methode_Keuze,Tb_KostenOptiesDB[#Headers],0),2))=1,_xlfn.SWITCH($N1137,"Uurtarief",IF(OR(AND(RIGHT($F1137,3)="IKS",VLOOKUP($M1137,DB_Loonkosten,2,0)="Ja"),AND(RIGHT($F1137,3)&lt;&gt;"IKS",VLOOKUP($M1137,DB_Loonkosten,2,0)="Nee")),IFERROR(VLOOKUP($M1137,DB_Loonkosten,25,0),""),0),"Vast tarief",IF(LEFT(F1137,8)="Bijdrage",VLOOKUP($F1137,Tb_KostenTypen[],MATCH(Lijsten!$P$1,Tb_KostenTypen[#Headers],0),0),VLOOKUP($G1137,Lijsten!L:P,MATCH(Lijsten!$P$1,Kop_Tarief_Vast,0),0))),""),"")</f>
        <v/>
      </c>
      <c r="Q1137" s="359"/>
      <c r="R1137" s="359"/>
      <c r="S1137" s="321"/>
      <c r="T1137" s="321"/>
      <c r="U1137" s="373" t="str">
        <f t="shared" si="68"/>
        <v/>
      </c>
      <c r="V1137" s="314" t="str">
        <f t="shared" si="69"/>
        <v/>
      </c>
      <c r="W1137" s="314" t="str" cm="1">
        <f t="array" aca="1" ref="W1137" ca="1">IFERROR(IF(AE1137&lt;&gt;"ja",_xlfn.IFNA(_xlfn.IFS(AND(O1137&lt;&gt;"",F1137&lt;&gt;"",RIGHT($N1137,6)="tarief",F1137="Vergoeding"),SUM(O1137)*FLOOR(SUM(Q1137),0.0001),AND(O1137&lt;&gt;"",F1137&lt;&gt;"",RIGHT($N1137,6)="tarief"),SUM(O1137)*FLOOR(SUM(Q1137),0.01),S1137&gt;0,IF(F1137&lt;&gt;"",FLOOR(SUM(S1137),0.01),"")),""),""),"")</f>
        <v/>
      </c>
      <c r="X1137" s="314" t="str" cm="1">
        <f t="array" aca="1" ref="X1137" ca="1">IFERROR(IF(AE1137&lt;&gt;"ja",_xlfn.IFNA(_xlfn.IFS(AND(P1137&lt;&gt;"",R1137&lt;&gt;"",RIGHT($N1137,6)="tarief",F1137="Vergoeding"),SUM(P1137)*FLOOR(SUM(R1137),0.0001),AND(P1137&lt;&gt;"",R1137&lt;&gt;"",RIGHT($N1137,6)="tarief"),P1137*FLOOR(R1137,0.01),T1137&gt;0,FLOOR(SUM(T1137),0.01)),""),""),"")</f>
        <v/>
      </c>
      <c r="Y1137" s="314" t="str">
        <f t="shared" ca="1" si="70"/>
        <v/>
      </c>
      <c r="Z1137" s="314" t="str" cm="1">
        <f t="array" aca="1" ref="Z1137" ca="1">IFERROR(_xlfn.IFS(OR(F1137="",LEFT(Methode_Keuze,4)="Geen",Methode_Keuze=""),"",AND(W1137&lt;&gt;"",F1137&lt;&gt;"Arbeidskosten"),W1137*VLOOKUP(F1137,Tb_ProjectKosten[],MATCH(Tb_ProjectKosten[[#Headers],[Forfait_Percentage]],Tb_ProjectKosten[#Headers],0),0),AND(F1137="Arbeidskosten",G1137&lt;&gt;""),IFERROR(W1137*VLOOKUP(G1137,Tb_KostenTypen[],3,0)*VLOOKUP(F1137,Tb_ProjectKosten[],MATCH(Tb_ProjectKosten[[#Headers],[Forfait_Percentage]],Tb_ProjectKosten[#Headers],0),0),""),W1137 &lt;=0,0),"")</f>
        <v/>
      </c>
      <c r="AA1137" s="314" t="str" cm="1">
        <f t="array" aca="1" ref="AA1137" ca="1">IFERROR(_xlfn.IFS(OR(F1137="",LEFT(Methode_Keuze,4)="Geen",Methode_Keuze=""),"",AND(X1137&lt;&gt;"",F1137&lt;&gt;"Arbeidskosten"),X1137*VLOOKUP(F1137,Tb_ProjectKosten[],MATCH(Tb_ProjectKosten[[#Headers],[Forfait_Percentage]],Tb_ProjectKosten[#Headers],0),0),AND(F1137="Arbeidskosten",G1137&lt;&gt;""),IFERROR(X1137*VLOOKUP(G1137,Tb_KostenTypen[],3,0)*VLOOKUP(F1137,Tb_ProjectKosten[],MATCH(Tb_ProjectKosten[[#Headers],[Forfait_Percentage]],Tb_ProjectKosten[#Headers],0),0),""),X1137 &lt;=0,0),"")</f>
        <v/>
      </c>
      <c r="AB1137" s="314" t="str">
        <f t="shared" ca="1" si="71"/>
        <v/>
      </c>
      <c r="AC1137" s="322"/>
      <c r="AD1137" s="315"/>
      <c r="AE1137" s="32" t="str" cm="1">
        <f t="array" ref="AE1137">IFERROR(IF(INDEX(SubsidieTabel!$AD$1:$AG$12,MATCH($F1137,SubsidieTabel!$AD$1:$AD$12,0),IFERROR(MATCH(Methode_Keuze,SubsidieTabel!$AD$1:$AG$1,0),2))&lt;&gt;1=TRUE,"ja",""),"")</f>
        <v/>
      </c>
    </row>
    <row r="1138" spans="1:31" x14ac:dyDescent="0.25">
      <c r="A1138" s="316"/>
      <c r="B1138" s="317" t="str">
        <f>IF(A1138&lt;&gt;"",_xlfn.MAXIFS($B$1:B1137,$A$1:A1137,A1138)+1,"")</f>
        <v/>
      </c>
      <c r="C1138" s="296"/>
      <c r="D1138" s="296"/>
      <c r="E1138" s="296"/>
      <c r="F1138" s="296"/>
      <c r="G1138" s="326"/>
      <c r="H1138" s="324"/>
      <c r="I1138" s="325"/>
      <c r="J1138" s="325"/>
      <c r="K1138" s="318"/>
      <c r="L1138" s="318"/>
      <c r="M1138" s="319" t="str">
        <f>IFERROR(VLOOKUP(H1138,Lijsten!$H$1:$I$100,2,0),"")</f>
        <v/>
      </c>
      <c r="N1138" s="319" t="str">
        <f ca="1">IFERROR(IF(VLOOKUP(F1138,Kostentypen!$A$3:$E$21,3,0)=0,"",IF(OR(F1138="Arbeidskosten",F1138="Vergoeding"),VLOOKUP(G1138,Tb_KostenTypen[],2,0),VLOOKUP(F1138,Kostentypen!$A$3:$E$20,3,0))),"")</f>
        <v/>
      </c>
      <c r="O1138" s="320" t="str" cm="1">
        <f t="array" ref="O1138">_xlfn.IFNA(IF(INDEX(Tb_KostenOptiesDB[],MATCH($F1138,Tb_KostenOptiesDB[KostenOptie],0),IFERROR(MATCH(Methode_Keuze,Tb_KostenOptiesDB[#Headers],0),2))=1,_xlfn.SWITCH($N1138,"Uurtarief",IF(OR(AND(RIGHT($F1138,3)="IKS",VLOOKUP($M1138,DB_Loonkosten,2,0)="Ja"),AND(RIGHT($F1138,3)&lt;&gt;"IKS",VLOOKUP($M1138,DB_Loonkosten,2,0)="Nee")),IFERROR(VLOOKUP($M1138,DB_Loonkosten,24,0),""),0),"Vast tarief",IF(LEFT(F1138,8)="Bijdrage",VLOOKUP($F1138,Tb_KostenTypen[],MATCH(Lijsten!$P$1,Tb_KostenTypen[#Headers],0),0),VLOOKUP($G1138,Lijsten!L:P,MATCH(Lijsten!$P$1,Kop_Tarief_Vast,0),0))),""),"")</f>
        <v/>
      </c>
      <c r="P1138" s="320" t="str" cm="1">
        <f t="array" ref="P1138">_xlfn.IFNA(IF(INDEX(Tb_KostenOptiesDB[],MATCH($F1138,Tb_KostenOptiesDB[KostenOptie],0),IFERROR(MATCH(Methode_Keuze,Tb_KostenOptiesDB[#Headers],0),2))=1,_xlfn.SWITCH($N1138,"Uurtarief",IF(OR(AND(RIGHT($F1138,3)="IKS",VLOOKUP($M1138,DB_Loonkosten,2,0)="Ja"),AND(RIGHT($F1138,3)&lt;&gt;"IKS",VLOOKUP($M1138,DB_Loonkosten,2,0)="Nee")),IFERROR(VLOOKUP($M1138,DB_Loonkosten,25,0),""),0),"Vast tarief",IF(LEFT(F1138,8)="Bijdrage",VLOOKUP($F1138,Tb_KostenTypen[],MATCH(Lijsten!$P$1,Tb_KostenTypen[#Headers],0),0),VLOOKUP($G1138,Lijsten!L:P,MATCH(Lijsten!$P$1,Kop_Tarief_Vast,0),0))),""),"")</f>
        <v/>
      </c>
      <c r="Q1138" s="359"/>
      <c r="R1138" s="359"/>
      <c r="S1138" s="321"/>
      <c r="T1138" s="321"/>
      <c r="U1138" s="373" t="str">
        <f t="shared" si="68"/>
        <v/>
      </c>
      <c r="V1138" s="314" t="str">
        <f t="shared" si="69"/>
        <v/>
      </c>
      <c r="W1138" s="314" t="str" cm="1">
        <f t="array" aca="1" ref="W1138" ca="1">IFERROR(IF(AE1138&lt;&gt;"ja",_xlfn.IFNA(_xlfn.IFS(AND(O1138&lt;&gt;"",F1138&lt;&gt;"",RIGHT($N1138,6)="tarief",F1138="Vergoeding"),SUM(O1138)*FLOOR(SUM(Q1138),0.0001),AND(O1138&lt;&gt;"",F1138&lt;&gt;"",RIGHT($N1138,6)="tarief"),SUM(O1138)*FLOOR(SUM(Q1138),0.01),S1138&gt;0,IF(F1138&lt;&gt;"",FLOOR(SUM(S1138),0.01),"")),""),""),"")</f>
        <v/>
      </c>
      <c r="X1138" s="314" t="str" cm="1">
        <f t="array" aca="1" ref="X1138" ca="1">IFERROR(IF(AE1138&lt;&gt;"ja",_xlfn.IFNA(_xlfn.IFS(AND(P1138&lt;&gt;"",R1138&lt;&gt;"",RIGHT($N1138,6)="tarief",F1138="Vergoeding"),SUM(P1138)*FLOOR(SUM(R1138),0.0001),AND(P1138&lt;&gt;"",R1138&lt;&gt;"",RIGHT($N1138,6)="tarief"),P1138*FLOOR(R1138,0.01),T1138&gt;0,FLOOR(SUM(T1138),0.01)),""),""),"")</f>
        <v/>
      </c>
      <c r="Y1138" s="314" t="str">
        <f t="shared" ca="1" si="70"/>
        <v/>
      </c>
      <c r="Z1138" s="314" t="str" cm="1">
        <f t="array" aca="1" ref="Z1138" ca="1">IFERROR(_xlfn.IFS(OR(F1138="",LEFT(Methode_Keuze,4)="Geen",Methode_Keuze=""),"",AND(W1138&lt;&gt;"",F1138&lt;&gt;"Arbeidskosten"),W1138*VLOOKUP(F1138,Tb_ProjectKosten[],MATCH(Tb_ProjectKosten[[#Headers],[Forfait_Percentage]],Tb_ProjectKosten[#Headers],0),0),AND(F1138="Arbeidskosten",G1138&lt;&gt;""),IFERROR(W1138*VLOOKUP(G1138,Tb_KostenTypen[],3,0)*VLOOKUP(F1138,Tb_ProjectKosten[],MATCH(Tb_ProjectKosten[[#Headers],[Forfait_Percentage]],Tb_ProjectKosten[#Headers],0),0),""),W1138 &lt;=0,0),"")</f>
        <v/>
      </c>
      <c r="AA1138" s="314" t="str" cm="1">
        <f t="array" aca="1" ref="AA1138" ca="1">IFERROR(_xlfn.IFS(OR(F1138="",LEFT(Methode_Keuze,4)="Geen",Methode_Keuze=""),"",AND(X1138&lt;&gt;"",F1138&lt;&gt;"Arbeidskosten"),X1138*VLOOKUP(F1138,Tb_ProjectKosten[],MATCH(Tb_ProjectKosten[[#Headers],[Forfait_Percentage]],Tb_ProjectKosten[#Headers],0),0),AND(F1138="Arbeidskosten",G1138&lt;&gt;""),IFERROR(X1138*VLOOKUP(G1138,Tb_KostenTypen[],3,0)*VLOOKUP(F1138,Tb_ProjectKosten[],MATCH(Tb_ProjectKosten[[#Headers],[Forfait_Percentage]],Tb_ProjectKosten[#Headers],0),0),""),X1138 &lt;=0,0),"")</f>
        <v/>
      </c>
      <c r="AB1138" s="314" t="str">
        <f t="shared" ca="1" si="71"/>
        <v/>
      </c>
      <c r="AC1138" s="322"/>
      <c r="AD1138" s="315"/>
      <c r="AE1138" s="32" t="str" cm="1">
        <f t="array" ref="AE1138">IFERROR(IF(INDEX(SubsidieTabel!$AD$1:$AG$12,MATCH($F1138,SubsidieTabel!$AD$1:$AD$12,0),IFERROR(MATCH(Methode_Keuze,SubsidieTabel!$AD$1:$AG$1,0),2))&lt;&gt;1=TRUE,"ja",""),"")</f>
        <v/>
      </c>
    </row>
    <row r="1139" spans="1:31" x14ac:dyDescent="0.25">
      <c r="A1139" s="316"/>
      <c r="B1139" s="317" t="str">
        <f>IF(A1139&lt;&gt;"",_xlfn.MAXIFS($B$1:B1138,$A$1:A1138,A1139)+1,"")</f>
        <v/>
      </c>
      <c r="C1139" s="296"/>
      <c r="D1139" s="296"/>
      <c r="E1139" s="296"/>
      <c r="F1139" s="296"/>
      <c r="G1139" s="326"/>
      <c r="H1139" s="324"/>
      <c r="I1139" s="325"/>
      <c r="J1139" s="325"/>
      <c r="K1139" s="318"/>
      <c r="L1139" s="318"/>
      <c r="M1139" s="319" t="str">
        <f>IFERROR(VLOOKUP(H1139,Lijsten!$H$1:$I$100,2,0),"")</f>
        <v/>
      </c>
      <c r="N1139" s="319" t="str">
        <f ca="1">IFERROR(IF(VLOOKUP(F1139,Kostentypen!$A$3:$E$21,3,0)=0,"",IF(OR(F1139="Arbeidskosten",F1139="Vergoeding"),VLOOKUP(G1139,Tb_KostenTypen[],2,0),VLOOKUP(F1139,Kostentypen!$A$3:$E$20,3,0))),"")</f>
        <v/>
      </c>
      <c r="O1139" s="320" t="str" cm="1">
        <f t="array" ref="O1139">_xlfn.IFNA(IF(INDEX(Tb_KostenOptiesDB[],MATCH($F1139,Tb_KostenOptiesDB[KostenOptie],0),IFERROR(MATCH(Methode_Keuze,Tb_KostenOptiesDB[#Headers],0),2))=1,_xlfn.SWITCH($N1139,"Uurtarief",IF(OR(AND(RIGHT($F1139,3)="IKS",VLOOKUP($M1139,DB_Loonkosten,2,0)="Ja"),AND(RIGHT($F1139,3)&lt;&gt;"IKS",VLOOKUP($M1139,DB_Loonkosten,2,0)="Nee")),IFERROR(VLOOKUP($M1139,DB_Loonkosten,24,0),""),0),"Vast tarief",IF(LEFT(F1139,8)="Bijdrage",VLOOKUP($F1139,Tb_KostenTypen[],MATCH(Lijsten!$P$1,Tb_KostenTypen[#Headers],0),0),VLOOKUP($G1139,Lijsten!L:P,MATCH(Lijsten!$P$1,Kop_Tarief_Vast,0),0))),""),"")</f>
        <v/>
      </c>
      <c r="P1139" s="320" t="str" cm="1">
        <f t="array" ref="P1139">_xlfn.IFNA(IF(INDEX(Tb_KostenOptiesDB[],MATCH($F1139,Tb_KostenOptiesDB[KostenOptie],0),IFERROR(MATCH(Methode_Keuze,Tb_KostenOptiesDB[#Headers],0),2))=1,_xlfn.SWITCH($N1139,"Uurtarief",IF(OR(AND(RIGHT($F1139,3)="IKS",VLOOKUP($M1139,DB_Loonkosten,2,0)="Ja"),AND(RIGHT($F1139,3)&lt;&gt;"IKS",VLOOKUP($M1139,DB_Loonkosten,2,0)="Nee")),IFERROR(VLOOKUP($M1139,DB_Loonkosten,25,0),""),0),"Vast tarief",IF(LEFT(F1139,8)="Bijdrage",VLOOKUP($F1139,Tb_KostenTypen[],MATCH(Lijsten!$P$1,Tb_KostenTypen[#Headers],0),0),VLOOKUP($G1139,Lijsten!L:P,MATCH(Lijsten!$P$1,Kop_Tarief_Vast,0),0))),""),"")</f>
        <v/>
      </c>
      <c r="Q1139" s="359"/>
      <c r="R1139" s="359"/>
      <c r="S1139" s="321"/>
      <c r="T1139" s="321"/>
      <c r="U1139" s="373" t="str">
        <f t="shared" si="68"/>
        <v/>
      </c>
      <c r="V1139" s="314" t="str">
        <f t="shared" si="69"/>
        <v/>
      </c>
      <c r="W1139" s="314" t="str" cm="1">
        <f t="array" aca="1" ref="W1139" ca="1">IFERROR(IF(AE1139&lt;&gt;"ja",_xlfn.IFNA(_xlfn.IFS(AND(O1139&lt;&gt;"",F1139&lt;&gt;"",RIGHT($N1139,6)="tarief",F1139="Vergoeding"),SUM(O1139)*FLOOR(SUM(Q1139),0.0001),AND(O1139&lt;&gt;"",F1139&lt;&gt;"",RIGHT($N1139,6)="tarief"),SUM(O1139)*FLOOR(SUM(Q1139),0.01),S1139&gt;0,IF(F1139&lt;&gt;"",FLOOR(SUM(S1139),0.01),"")),""),""),"")</f>
        <v/>
      </c>
      <c r="X1139" s="314" t="str" cm="1">
        <f t="array" aca="1" ref="X1139" ca="1">IFERROR(IF(AE1139&lt;&gt;"ja",_xlfn.IFNA(_xlfn.IFS(AND(P1139&lt;&gt;"",R1139&lt;&gt;"",RIGHT($N1139,6)="tarief",F1139="Vergoeding"),SUM(P1139)*FLOOR(SUM(R1139),0.0001),AND(P1139&lt;&gt;"",R1139&lt;&gt;"",RIGHT($N1139,6)="tarief"),P1139*FLOOR(R1139,0.01),T1139&gt;0,FLOOR(SUM(T1139),0.01)),""),""),"")</f>
        <v/>
      </c>
      <c r="Y1139" s="314" t="str">
        <f t="shared" ca="1" si="70"/>
        <v/>
      </c>
      <c r="Z1139" s="314" t="str" cm="1">
        <f t="array" aca="1" ref="Z1139" ca="1">IFERROR(_xlfn.IFS(OR(F1139="",LEFT(Methode_Keuze,4)="Geen",Methode_Keuze=""),"",AND(W1139&lt;&gt;"",F1139&lt;&gt;"Arbeidskosten"),W1139*VLOOKUP(F1139,Tb_ProjectKosten[],MATCH(Tb_ProjectKosten[[#Headers],[Forfait_Percentage]],Tb_ProjectKosten[#Headers],0),0),AND(F1139="Arbeidskosten",G1139&lt;&gt;""),IFERROR(W1139*VLOOKUP(G1139,Tb_KostenTypen[],3,0)*VLOOKUP(F1139,Tb_ProjectKosten[],MATCH(Tb_ProjectKosten[[#Headers],[Forfait_Percentage]],Tb_ProjectKosten[#Headers],0),0),""),W1139 &lt;=0,0),"")</f>
        <v/>
      </c>
      <c r="AA1139" s="314" t="str" cm="1">
        <f t="array" aca="1" ref="AA1139" ca="1">IFERROR(_xlfn.IFS(OR(F1139="",LEFT(Methode_Keuze,4)="Geen",Methode_Keuze=""),"",AND(X1139&lt;&gt;"",F1139&lt;&gt;"Arbeidskosten"),X1139*VLOOKUP(F1139,Tb_ProjectKosten[],MATCH(Tb_ProjectKosten[[#Headers],[Forfait_Percentage]],Tb_ProjectKosten[#Headers],0),0),AND(F1139="Arbeidskosten",G1139&lt;&gt;""),IFERROR(X1139*VLOOKUP(G1139,Tb_KostenTypen[],3,0)*VLOOKUP(F1139,Tb_ProjectKosten[],MATCH(Tb_ProjectKosten[[#Headers],[Forfait_Percentage]],Tb_ProjectKosten[#Headers],0),0),""),X1139 &lt;=0,0),"")</f>
        <v/>
      </c>
      <c r="AB1139" s="314" t="str">
        <f t="shared" ca="1" si="71"/>
        <v/>
      </c>
      <c r="AC1139" s="322"/>
      <c r="AD1139" s="315"/>
      <c r="AE1139" s="32" t="str" cm="1">
        <f t="array" ref="AE1139">IFERROR(IF(INDEX(SubsidieTabel!$AD$1:$AG$12,MATCH($F1139,SubsidieTabel!$AD$1:$AD$12,0),IFERROR(MATCH(Methode_Keuze,SubsidieTabel!$AD$1:$AG$1,0),2))&lt;&gt;1=TRUE,"ja",""),"")</f>
        <v/>
      </c>
    </row>
    <row r="1140" spans="1:31" x14ac:dyDescent="0.25">
      <c r="A1140" s="316"/>
      <c r="B1140" s="317" t="str">
        <f>IF(A1140&lt;&gt;"",_xlfn.MAXIFS($B$1:B1139,$A$1:A1139,A1140)+1,"")</f>
        <v/>
      </c>
      <c r="C1140" s="296"/>
      <c r="D1140" s="296"/>
      <c r="E1140" s="296"/>
      <c r="F1140" s="296"/>
      <c r="G1140" s="326"/>
      <c r="H1140" s="324"/>
      <c r="I1140" s="325"/>
      <c r="J1140" s="325"/>
      <c r="K1140" s="318"/>
      <c r="L1140" s="318"/>
      <c r="M1140" s="319" t="str">
        <f>IFERROR(VLOOKUP(H1140,Lijsten!$H$1:$I$100,2,0),"")</f>
        <v/>
      </c>
      <c r="N1140" s="319" t="str">
        <f ca="1">IFERROR(IF(VLOOKUP(F1140,Kostentypen!$A$3:$E$21,3,0)=0,"",IF(OR(F1140="Arbeidskosten",F1140="Vergoeding"),VLOOKUP(G1140,Tb_KostenTypen[],2,0),VLOOKUP(F1140,Kostentypen!$A$3:$E$20,3,0))),"")</f>
        <v/>
      </c>
      <c r="O1140" s="320" t="str" cm="1">
        <f t="array" ref="O1140">_xlfn.IFNA(IF(INDEX(Tb_KostenOptiesDB[],MATCH($F1140,Tb_KostenOptiesDB[KostenOptie],0),IFERROR(MATCH(Methode_Keuze,Tb_KostenOptiesDB[#Headers],0),2))=1,_xlfn.SWITCH($N1140,"Uurtarief",IF(OR(AND(RIGHT($F1140,3)="IKS",VLOOKUP($M1140,DB_Loonkosten,2,0)="Ja"),AND(RIGHT($F1140,3)&lt;&gt;"IKS",VLOOKUP($M1140,DB_Loonkosten,2,0)="Nee")),IFERROR(VLOOKUP($M1140,DB_Loonkosten,24,0),""),0),"Vast tarief",IF(LEFT(F1140,8)="Bijdrage",VLOOKUP($F1140,Tb_KostenTypen[],MATCH(Lijsten!$P$1,Tb_KostenTypen[#Headers],0),0),VLOOKUP($G1140,Lijsten!L:P,MATCH(Lijsten!$P$1,Kop_Tarief_Vast,0),0))),""),"")</f>
        <v/>
      </c>
      <c r="P1140" s="320" t="str" cm="1">
        <f t="array" ref="P1140">_xlfn.IFNA(IF(INDEX(Tb_KostenOptiesDB[],MATCH($F1140,Tb_KostenOptiesDB[KostenOptie],0),IFERROR(MATCH(Methode_Keuze,Tb_KostenOptiesDB[#Headers],0),2))=1,_xlfn.SWITCH($N1140,"Uurtarief",IF(OR(AND(RIGHT($F1140,3)="IKS",VLOOKUP($M1140,DB_Loonkosten,2,0)="Ja"),AND(RIGHT($F1140,3)&lt;&gt;"IKS",VLOOKUP($M1140,DB_Loonkosten,2,0)="Nee")),IFERROR(VLOOKUP($M1140,DB_Loonkosten,25,0),""),0),"Vast tarief",IF(LEFT(F1140,8)="Bijdrage",VLOOKUP($F1140,Tb_KostenTypen[],MATCH(Lijsten!$P$1,Tb_KostenTypen[#Headers],0),0),VLOOKUP($G1140,Lijsten!L:P,MATCH(Lijsten!$P$1,Kop_Tarief_Vast,0),0))),""),"")</f>
        <v/>
      </c>
      <c r="Q1140" s="359"/>
      <c r="R1140" s="359"/>
      <c r="S1140" s="321"/>
      <c r="T1140" s="321"/>
      <c r="U1140" s="373" t="str">
        <f t="shared" si="68"/>
        <v/>
      </c>
      <c r="V1140" s="314" t="str">
        <f t="shared" si="69"/>
        <v/>
      </c>
      <c r="W1140" s="314" t="str" cm="1">
        <f t="array" aca="1" ref="W1140" ca="1">IFERROR(IF(AE1140&lt;&gt;"ja",_xlfn.IFNA(_xlfn.IFS(AND(O1140&lt;&gt;"",F1140&lt;&gt;"",RIGHT($N1140,6)="tarief",F1140="Vergoeding"),SUM(O1140)*FLOOR(SUM(Q1140),0.0001),AND(O1140&lt;&gt;"",F1140&lt;&gt;"",RIGHT($N1140,6)="tarief"),SUM(O1140)*FLOOR(SUM(Q1140),0.01),S1140&gt;0,IF(F1140&lt;&gt;"",FLOOR(SUM(S1140),0.01),"")),""),""),"")</f>
        <v/>
      </c>
      <c r="X1140" s="314" t="str" cm="1">
        <f t="array" aca="1" ref="X1140" ca="1">IFERROR(IF(AE1140&lt;&gt;"ja",_xlfn.IFNA(_xlfn.IFS(AND(P1140&lt;&gt;"",R1140&lt;&gt;"",RIGHT($N1140,6)="tarief",F1140="Vergoeding"),SUM(P1140)*FLOOR(SUM(R1140),0.0001),AND(P1140&lt;&gt;"",R1140&lt;&gt;"",RIGHT($N1140,6)="tarief"),P1140*FLOOR(R1140,0.01),T1140&gt;0,FLOOR(SUM(T1140),0.01)),""),""),"")</f>
        <v/>
      </c>
      <c r="Y1140" s="314" t="str">
        <f t="shared" ca="1" si="70"/>
        <v/>
      </c>
      <c r="Z1140" s="314" t="str" cm="1">
        <f t="array" aca="1" ref="Z1140" ca="1">IFERROR(_xlfn.IFS(OR(F1140="",LEFT(Methode_Keuze,4)="Geen",Methode_Keuze=""),"",AND(W1140&lt;&gt;"",F1140&lt;&gt;"Arbeidskosten"),W1140*VLOOKUP(F1140,Tb_ProjectKosten[],MATCH(Tb_ProjectKosten[[#Headers],[Forfait_Percentage]],Tb_ProjectKosten[#Headers],0),0),AND(F1140="Arbeidskosten",G1140&lt;&gt;""),IFERROR(W1140*VLOOKUP(G1140,Tb_KostenTypen[],3,0)*VLOOKUP(F1140,Tb_ProjectKosten[],MATCH(Tb_ProjectKosten[[#Headers],[Forfait_Percentage]],Tb_ProjectKosten[#Headers],0),0),""),W1140 &lt;=0,0),"")</f>
        <v/>
      </c>
      <c r="AA1140" s="314" t="str" cm="1">
        <f t="array" aca="1" ref="AA1140" ca="1">IFERROR(_xlfn.IFS(OR(F1140="",LEFT(Methode_Keuze,4)="Geen",Methode_Keuze=""),"",AND(X1140&lt;&gt;"",F1140&lt;&gt;"Arbeidskosten"),X1140*VLOOKUP(F1140,Tb_ProjectKosten[],MATCH(Tb_ProjectKosten[[#Headers],[Forfait_Percentage]],Tb_ProjectKosten[#Headers],0),0),AND(F1140="Arbeidskosten",G1140&lt;&gt;""),IFERROR(X1140*VLOOKUP(G1140,Tb_KostenTypen[],3,0)*VLOOKUP(F1140,Tb_ProjectKosten[],MATCH(Tb_ProjectKosten[[#Headers],[Forfait_Percentage]],Tb_ProjectKosten[#Headers],0),0),""),X1140 &lt;=0,0),"")</f>
        <v/>
      </c>
      <c r="AB1140" s="314" t="str">
        <f t="shared" ca="1" si="71"/>
        <v/>
      </c>
      <c r="AC1140" s="322"/>
      <c r="AD1140" s="315"/>
      <c r="AE1140" s="32" t="str" cm="1">
        <f t="array" ref="AE1140">IFERROR(IF(INDEX(SubsidieTabel!$AD$1:$AG$12,MATCH($F1140,SubsidieTabel!$AD$1:$AD$12,0),IFERROR(MATCH(Methode_Keuze,SubsidieTabel!$AD$1:$AG$1,0),2))&lt;&gt;1=TRUE,"ja",""),"")</f>
        <v/>
      </c>
    </row>
    <row r="1141" spans="1:31" x14ac:dyDescent="0.25">
      <c r="A1141" s="316"/>
      <c r="B1141" s="317" t="str">
        <f>IF(A1141&lt;&gt;"",_xlfn.MAXIFS($B$1:B1140,$A$1:A1140,A1141)+1,"")</f>
        <v/>
      </c>
      <c r="C1141" s="296"/>
      <c r="D1141" s="296"/>
      <c r="E1141" s="296"/>
      <c r="F1141" s="296"/>
      <c r="G1141" s="326"/>
      <c r="H1141" s="324"/>
      <c r="I1141" s="325"/>
      <c r="J1141" s="325"/>
      <c r="K1141" s="318"/>
      <c r="L1141" s="318"/>
      <c r="M1141" s="319" t="str">
        <f>IFERROR(VLOOKUP(H1141,Lijsten!$H$1:$I$100,2,0),"")</f>
        <v/>
      </c>
      <c r="N1141" s="319" t="str">
        <f ca="1">IFERROR(IF(VLOOKUP(F1141,Kostentypen!$A$3:$E$21,3,0)=0,"",IF(OR(F1141="Arbeidskosten",F1141="Vergoeding"),VLOOKUP(G1141,Tb_KostenTypen[],2,0),VLOOKUP(F1141,Kostentypen!$A$3:$E$20,3,0))),"")</f>
        <v/>
      </c>
      <c r="O1141" s="320" t="str" cm="1">
        <f t="array" ref="O1141">_xlfn.IFNA(IF(INDEX(Tb_KostenOptiesDB[],MATCH($F1141,Tb_KostenOptiesDB[KostenOptie],0),IFERROR(MATCH(Methode_Keuze,Tb_KostenOptiesDB[#Headers],0),2))=1,_xlfn.SWITCH($N1141,"Uurtarief",IF(OR(AND(RIGHT($F1141,3)="IKS",VLOOKUP($M1141,DB_Loonkosten,2,0)="Ja"),AND(RIGHT($F1141,3)&lt;&gt;"IKS",VLOOKUP($M1141,DB_Loonkosten,2,0)="Nee")),IFERROR(VLOOKUP($M1141,DB_Loonkosten,24,0),""),0),"Vast tarief",IF(LEFT(F1141,8)="Bijdrage",VLOOKUP($F1141,Tb_KostenTypen[],MATCH(Lijsten!$P$1,Tb_KostenTypen[#Headers],0),0),VLOOKUP($G1141,Lijsten!L:P,MATCH(Lijsten!$P$1,Kop_Tarief_Vast,0),0))),""),"")</f>
        <v/>
      </c>
      <c r="P1141" s="320" t="str" cm="1">
        <f t="array" ref="P1141">_xlfn.IFNA(IF(INDEX(Tb_KostenOptiesDB[],MATCH($F1141,Tb_KostenOptiesDB[KostenOptie],0),IFERROR(MATCH(Methode_Keuze,Tb_KostenOptiesDB[#Headers],0),2))=1,_xlfn.SWITCH($N1141,"Uurtarief",IF(OR(AND(RIGHT($F1141,3)="IKS",VLOOKUP($M1141,DB_Loonkosten,2,0)="Ja"),AND(RIGHT($F1141,3)&lt;&gt;"IKS",VLOOKUP($M1141,DB_Loonkosten,2,0)="Nee")),IFERROR(VLOOKUP($M1141,DB_Loonkosten,25,0),""),0),"Vast tarief",IF(LEFT(F1141,8)="Bijdrage",VLOOKUP($F1141,Tb_KostenTypen[],MATCH(Lijsten!$P$1,Tb_KostenTypen[#Headers],0),0),VLOOKUP($G1141,Lijsten!L:P,MATCH(Lijsten!$P$1,Kop_Tarief_Vast,0),0))),""),"")</f>
        <v/>
      </c>
      <c r="Q1141" s="359"/>
      <c r="R1141" s="359"/>
      <c r="S1141" s="321"/>
      <c r="T1141" s="321"/>
      <c r="U1141" s="373" t="str">
        <f t="shared" si="68"/>
        <v/>
      </c>
      <c r="V1141" s="314" t="str">
        <f t="shared" si="69"/>
        <v/>
      </c>
      <c r="W1141" s="314" t="str" cm="1">
        <f t="array" aca="1" ref="W1141" ca="1">IFERROR(IF(AE1141&lt;&gt;"ja",_xlfn.IFNA(_xlfn.IFS(AND(O1141&lt;&gt;"",F1141&lt;&gt;"",RIGHT($N1141,6)="tarief",F1141="Vergoeding"),SUM(O1141)*FLOOR(SUM(Q1141),0.0001),AND(O1141&lt;&gt;"",F1141&lt;&gt;"",RIGHT($N1141,6)="tarief"),SUM(O1141)*FLOOR(SUM(Q1141),0.01),S1141&gt;0,IF(F1141&lt;&gt;"",FLOOR(SUM(S1141),0.01),"")),""),""),"")</f>
        <v/>
      </c>
      <c r="X1141" s="314" t="str" cm="1">
        <f t="array" aca="1" ref="X1141" ca="1">IFERROR(IF(AE1141&lt;&gt;"ja",_xlfn.IFNA(_xlfn.IFS(AND(P1141&lt;&gt;"",R1141&lt;&gt;"",RIGHT($N1141,6)="tarief",F1141="Vergoeding"),SUM(P1141)*FLOOR(SUM(R1141),0.0001),AND(P1141&lt;&gt;"",R1141&lt;&gt;"",RIGHT($N1141,6)="tarief"),P1141*FLOOR(R1141,0.01),T1141&gt;0,FLOOR(SUM(T1141),0.01)),""),""),"")</f>
        <v/>
      </c>
      <c r="Y1141" s="314" t="str">
        <f t="shared" ca="1" si="70"/>
        <v/>
      </c>
      <c r="Z1141" s="314" t="str" cm="1">
        <f t="array" aca="1" ref="Z1141" ca="1">IFERROR(_xlfn.IFS(OR(F1141="",LEFT(Methode_Keuze,4)="Geen",Methode_Keuze=""),"",AND(W1141&lt;&gt;"",F1141&lt;&gt;"Arbeidskosten"),W1141*VLOOKUP(F1141,Tb_ProjectKosten[],MATCH(Tb_ProjectKosten[[#Headers],[Forfait_Percentage]],Tb_ProjectKosten[#Headers],0),0),AND(F1141="Arbeidskosten",G1141&lt;&gt;""),IFERROR(W1141*VLOOKUP(G1141,Tb_KostenTypen[],3,0)*VLOOKUP(F1141,Tb_ProjectKosten[],MATCH(Tb_ProjectKosten[[#Headers],[Forfait_Percentage]],Tb_ProjectKosten[#Headers],0),0),""),W1141 &lt;=0,0),"")</f>
        <v/>
      </c>
      <c r="AA1141" s="314" t="str" cm="1">
        <f t="array" aca="1" ref="AA1141" ca="1">IFERROR(_xlfn.IFS(OR(F1141="",LEFT(Methode_Keuze,4)="Geen",Methode_Keuze=""),"",AND(X1141&lt;&gt;"",F1141&lt;&gt;"Arbeidskosten"),X1141*VLOOKUP(F1141,Tb_ProjectKosten[],MATCH(Tb_ProjectKosten[[#Headers],[Forfait_Percentage]],Tb_ProjectKosten[#Headers],0),0),AND(F1141="Arbeidskosten",G1141&lt;&gt;""),IFERROR(X1141*VLOOKUP(G1141,Tb_KostenTypen[],3,0)*VLOOKUP(F1141,Tb_ProjectKosten[],MATCH(Tb_ProjectKosten[[#Headers],[Forfait_Percentage]],Tb_ProjectKosten[#Headers],0),0),""),X1141 &lt;=0,0),"")</f>
        <v/>
      </c>
      <c r="AB1141" s="314" t="str">
        <f t="shared" ca="1" si="71"/>
        <v/>
      </c>
      <c r="AC1141" s="322"/>
      <c r="AD1141" s="315"/>
      <c r="AE1141" s="32" t="str" cm="1">
        <f t="array" ref="AE1141">IFERROR(IF(INDEX(SubsidieTabel!$AD$1:$AG$12,MATCH($F1141,SubsidieTabel!$AD$1:$AD$12,0),IFERROR(MATCH(Methode_Keuze,SubsidieTabel!$AD$1:$AG$1,0),2))&lt;&gt;1=TRUE,"ja",""),"")</f>
        <v/>
      </c>
    </row>
    <row r="1142" spans="1:31" x14ac:dyDescent="0.25">
      <c r="A1142" s="316"/>
      <c r="B1142" s="317" t="str">
        <f>IF(A1142&lt;&gt;"",_xlfn.MAXIFS($B$1:B1141,$A$1:A1141,A1142)+1,"")</f>
        <v/>
      </c>
      <c r="C1142" s="296"/>
      <c r="D1142" s="296"/>
      <c r="E1142" s="296"/>
      <c r="F1142" s="296"/>
      <c r="G1142" s="326"/>
      <c r="H1142" s="324"/>
      <c r="I1142" s="325"/>
      <c r="J1142" s="325"/>
      <c r="K1142" s="318"/>
      <c r="L1142" s="318"/>
      <c r="M1142" s="319" t="str">
        <f>IFERROR(VLOOKUP(H1142,Lijsten!$H$1:$I$100,2,0),"")</f>
        <v/>
      </c>
      <c r="N1142" s="319" t="str">
        <f ca="1">IFERROR(IF(VLOOKUP(F1142,Kostentypen!$A$3:$E$21,3,0)=0,"",IF(OR(F1142="Arbeidskosten",F1142="Vergoeding"),VLOOKUP(G1142,Tb_KostenTypen[],2,0),VLOOKUP(F1142,Kostentypen!$A$3:$E$20,3,0))),"")</f>
        <v/>
      </c>
      <c r="O1142" s="320" t="str" cm="1">
        <f t="array" ref="O1142">_xlfn.IFNA(IF(INDEX(Tb_KostenOptiesDB[],MATCH($F1142,Tb_KostenOptiesDB[KostenOptie],0),IFERROR(MATCH(Methode_Keuze,Tb_KostenOptiesDB[#Headers],0),2))=1,_xlfn.SWITCH($N1142,"Uurtarief",IF(OR(AND(RIGHT($F1142,3)="IKS",VLOOKUP($M1142,DB_Loonkosten,2,0)="Ja"),AND(RIGHT($F1142,3)&lt;&gt;"IKS",VLOOKUP($M1142,DB_Loonkosten,2,0)="Nee")),IFERROR(VLOOKUP($M1142,DB_Loonkosten,24,0),""),0),"Vast tarief",IF(LEFT(F1142,8)="Bijdrage",VLOOKUP($F1142,Tb_KostenTypen[],MATCH(Lijsten!$P$1,Tb_KostenTypen[#Headers],0),0),VLOOKUP($G1142,Lijsten!L:P,MATCH(Lijsten!$P$1,Kop_Tarief_Vast,0),0))),""),"")</f>
        <v/>
      </c>
      <c r="P1142" s="320" t="str" cm="1">
        <f t="array" ref="P1142">_xlfn.IFNA(IF(INDEX(Tb_KostenOptiesDB[],MATCH($F1142,Tb_KostenOptiesDB[KostenOptie],0),IFERROR(MATCH(Methode_Keuze,Tb_KostenOptiesDB[#Headers],0),2))=1,_xlfn.SWITCH($N1142,"Uurtarief",IF(OR(AND(RIGHT($F1142,3)="IKS",VLOOKUP($M1142,DB_Loonkosten,2,0)="Ja"),AND(RIGHT($F1142,3)&lt;&gt;"IKS",VLOOKUP($M1142,DB_Loonkosten,2,0)="Nee")),IFERROR(VLOOKUP($M1142,DB_Loonkosten,25,0),""),0),"Vast tarief",IF(LEFT(F1142,8)="Bijdrage",VLOOKUP($F1142,Tb_KostenTypen[],MATCH(Lijsten!$P$1,Tb_KostenTypen[#Headers],0),0),VLOOKUP($G1142,Lijsten!L:P,MATCH(Lijsten!$P$1,Kop_Tarief_Vast,0),0))),""),"")</f>
        <v/>
      </c>
      <c r="Q1142" s="359"/>
      <c r="R1142" s="359"/>
      <c r="S1142" s="321"/>
      <c r="T1142" s="321"/>
      <c r="U1142" s="373" t="str">
        <f t="shared" si="68"/>
        <v/>
      </c>
      <c r="V1142" s="314" t="str">
        <f t="shared" si="69"/>
        <v/>
      </c>
      <c r="W1142" s="314" t="str" cm="1">
        <f t="array" aca="1" ref="W1142" ca="1">IFERROR(IF(AE1142&lt;&gt;"ja",_xlfn.IFNA(_xlfn.IFS(AND(O1142&lt;&gt;"",F1142&lt;&gt;"",RIGHT($N1142,6)="tarief",F1142="Vergoeding"),SUM(O1142)*FLOOR(SUM(Q1142),0.0001),AND(O1142&lt;&gt;"",F1142&lt;&gt;"",RIGHT($N1142,6)="tarief"),SUM(O1142)*FLOOR(SUM(Q1142),0.01),S1142&gt;0,IF(F1142&lt;&gt;"",FLOOR(SUM(S1142),0.01),"")),""),""),"")</f>
        <v/>
      </c>
      <c r="X1142" s="314" t="str" cm="1">
        <f t="array" aca="1" ref="X1142" ca="1">IFERROR(IF(AE1142&lt;&gt;"ja",_xlfn.IFNA(_xlfn.IFS(AND(P1142&lt;&gt;"",R1142&lt;&gt;"",RIGHT($N1142,6)="tarief",F1142="Vergoeding"),SUM(P1142)*FLOOR(SUM(R1142),0.0001),AND(P1142&lt;&gt;"",R1142&lt;&gt;"",RIGHT($N1142,6)="tarief"),P1142*FLOOR(R1142,0.01),T1142&gt;0,FLOOR(SUM(T1142),0.01)),""),""),"")</f>
        <v/>
      </c>
      <c r="Y1142" s="314" t="str">
        <f t="shared" ca="1" si="70"/>
        <v/>
      </c>
      <c r="Z1142" s="314" t="str" cm="1">
        <f t="array" aca="1" ref="Z1142" ca="1">IFERROR(_xlfn.IFS(OR(F1142="",LEFT(Methode_Keuze,4)="Geen",Methode_Keuze=""),"",AND(W1142&lt;&gt;"",F1142&lt;&gt;"Arbeidskosten"),W1142*VLOOKUP(F1142,Tb_ProjectKosten[],MATCH(Tb_ProjectKosten[[#Headers],[Forfait_Percentage]],Tb_ProjectKosten[#Headers],0),0),AND(F1142="Arbeidskosten",G1142&lt;&gt;""),IFERROR(W1142*VLOOKUP(G1142,Tb_KostenTypen[],3,0)*VLOOKUP(F1142,Tb_ProjectKosten[],MATCH(Tb_ProjectKosten[[#Headers],[Forfait_Percentage]],Tb_ProjectKosten[#Headers],0),0),""),W1142 &lt;=0,0),"")</f>
        <v/>
      </c>
      <c r="AA1142" s="314" t="str" cm="1">
        <f t="array" aca="1" ref="AA1142" ca="1">IFERROR(_xlfn.IFS(OR(F1142="",LEFT(Methode_Keuze,4)="Geen",Methode_Keuze=""),"",AND(X1142&lt;&gt;"",F1142&lt;&gt;"Arbeidskosten"),X1142*VLOOKUP(F1142,Tb_ProjectKosten[],MATCH(Tb_ProjectKosten[[#Headers],[Forfait_Percentage]],Tb_ProjectKosten[#Headers],0),0),AND(F1142="Arbeidskosten",G1142&lt;&gt;""),IFERROR(X1142*VLOOKUP(G1142,Tb_KostenTypen[],3,0)*VLOOKUP(F1142,Tb_ProjectKosten[],MATCH(Tb_ProjectKosten[[#Headers],[Forfait_Percentage]],Tb_ProjectKosten[#Headers],0),0),""),X1142 &lt;=0,0),"")</f>
        <v/>
      </c>
      <c r="AB1142" s="314" t="str">
        <f t="shared" ca="1" si="71"/>
        <v/>
      </c>
      <c r="AC1142" s="322"/>
      <c r="AD1142" s="315"/>
      <c r="AE1142" s="32" t="str" cm="1">
        <f t="array" ref="AE1142">IFERROR(IF(INDEX(SubsidieTabel!$AD$1:$AG$12,MATCH($F1142,SubsidieTabel!$AD$1:$AD$12,0),IFERROR(MATCH(Methode_Keuze,SubsidieTabel!$AD$1:$AG$1,0),2))&lt;&gt;1=TRUE,"ja",""),"")</f>
        <v/>
      </c>
    </row>
    <row r="1143" spans="1:31" x14ac:dyDescent="0.25">
      <c r="A1143" s="316"/>
      <c r="B1143" s="317" t="str">
        <f>IF(A1143&lt;&gt;"",_xlfn.MAXIFS($B$1:B1142,$A$1:A1142,A1143)+1,"")</f>
        <v/>
      </c>
      <c r="C1143" s="296"/>
      <c r="D1143" s="296"/>
      <c r="E1143" s="296"/>
      <c r="F1143" s="296"/>
      <c r="G1143" s="326"/>
      <c r="H1143" s="324"/>
      <c r="I1143" s="325"/>
      <c r="J1143" s="325"/>
      <c r="K1143" s="318"/>
      <c r="L1143" s="318"/>
      <c r="M1143" s="319" t="str">
        <f>IFERROR(VLOOKUP(H1143,Lijsten!$H$1:$I$100,2,0),"")</f>
        <v/>
      </c>
      <c r="N1143" s="319" t="str">
        <f ca="1">IFERROR(IF(VLOOKUP(F1143,Kostentypen!$A$3:$E$21,3,0)=0,"",IF(OR(F1143="Arbeidskosten",F1143="Vergoeding"),VLOOKUP(G1143,Tb_KostenTypen[],2,0),VLOOKUP(F1143,Kostentypen!$A$3:$E$20,3,0))),"")</f>
        <v/>
      </c>
      <c r="O1143" s="320" t="str" cm="1">
        <f t="array" ref="O1143">_xlfn.IFNA(IF(INDEX(Tb_KostenOptiesDB[],MATCH($F1143,Tb_KostenOptiesDB[KostenOptie],0),IFERROR(MATCH(Methode_Keuze,Tb_KostenOptiesDB[#Headers],0),2))=1,_xlfn.SWITCH($N1143,"Uurtarief",IF(OR(AND(RIGHT($F1143,3)="IKS",VLOOKUP($M1143,DB_Loonkosten,2,0)="Ja"),AND(RIGHT($F1143,3)&lt;&gt;"IKS",VLOOKUP($M1143,DB_Loonkosten,2,0)="Nee")),IFERROR(VLOOKUP($M1143,DB_Loonkosten,24,0),""),0),"Vast tarief",IF(LEFT(F1143,8)="Bijdrage",VLOOKUP($F1143,Tb_KostenTypen[],MATCH(Lijsten!$P$1,Tb_KostenTypen[#Headers],0),0),VLOOKUP($G1143,Lijsten!L:P,MATCH(Lijsten!$P$1,Kop_Tarief_Vast,0),0))),""),"")</f>
        <v/>
      </c>
      <c r="P1143" s="320" t="str" cm="1">
        <f t="array" ref="P1143">_xlfn.IFNA(IF(INDEX(Tb_KostenOptiesDB[],MATCH($F1143,Tb_KostenOptiesDB[KostenOptie],0),IFERROR(MATCH(Methode_Keuze,Tb_KostenOptiesDB[#Headers],0),2))=1,_xlfn.SWITCH($N1143,"Uurtarief",IF(OR(AND(RIGHT($F1143,3)="IKS",VLOOKUP($M1143,DB_Loonkosten,2,0)="Ja"),AND(RIGHT($F1143,3)&lt;&gt;"IKS",VLOOKUP($M1143,DB_Loonkosten,2,0)="Nee")),IFERROR(VLOOKUP($M1143,DB_Loonkosten,25,0),""),0),"Vast tarief",IF(LEFT(F1143,8)="Bijdrage",VLOOKUP($F1143,Tb_KostenTypen[],MATCH(Lijsten!$P$1,Tb_KostenTypen[#Headers],0),0),VLOOKUP($G1143,Lijsten!L:P,MATCH(Lijsten!$P$1,Kop_Tarief_Vast,0),0))),""),"")</f>
        <v/>
      </c>
      <c r="Q1143" s="359"/>
      <c r="R1143" s="359"/>
      <c r="S1143" s="321"/>
      <c r="T1143" s="321"/>
      <c r="U1143" s="373" t="str">
        <f t="shared" si="68"/>
        <v/>
      </c>
      <c r="V1143" s="314" t="str">
        <f t="shared" si="69"/>
        <v/>
      </c>
      <c r="W1143" s="314" t="str" cm="1">
        <f t="array" aca="1" ref="W1143" ca="1">IFERROR(IF(AE1143&lt;&gt;"ja",_xlfn.IFNA(_xlfn.IFS(AND(O1143&lt;&gt;"",F1143&lt;&gt;"",RIGHT($N1143,6)="tarief",F1143="Vergoeding"),SUM(O1143)*FLOOR(SUM(Q1143),0.0001),AND(O1143&lt;&gt;"",F1143&lt;&gt;"",RIGHT($N1143,6)="tarief"),SUM(O1143)*FLOOR(SUM(Q1143),0.01),S1143&gt;0,IF(F1143&lt;&gt;"",FLOOR(SUM(S1143),0.01),"")),""),""),"")</f>
        <v/>
      </c>
      <c r="X1143" s="314" t="str" cm="1">
        <f t="array" aca="1" ref="X1143" ca="1">IFERROR(IF(AE1143&lt;&gt;"ja",_xlfn.IFNA(_xlfn.IFS(AND(P1143&lt;&gt;"",R1143&lt;&gt;"",RIGHT($N1143,6)="tarief",F1143="Vergoeding"),SUM(P1143)*FLOOR(SUM(R1143),0.0001),AND(P1143&lt;&gt;"",R1143&lt;&gt;"",RIGHT($N1143,6)="tarief"),P1143*FLOOR(R1143,0.01),T1143&gt;0,FLOOR(SUM(T1143),0.01)),""),""),"")</f>
        <v/>
      </c>
      <c r="Y1143" s="314" t="str">
        <f t="shared" ca="1" si="70"/>
        <v/>
      </c>
      <c r="Z1143" s="314" t="str" cm="1">
        <f t="array" aca="1" ref="Z1143" ca="1">IFERROR(_xlfn.IFS(OR(F1143="",LEFT(Methode_Keuze,4)="Geen",Methode_Keuze=""),"",AND(W1143&lt;&gt;"",F1143&lt;&gt;"Arbeidskosten"),W1143*VLOOKUP(F1143,Tb_ProjectKosten[],MATCH(Tb_ProjectKosten[[#Headers],[Forfait_Percentage]],Tb_ProjectKosten[#Headers],0),0),AND(F1143="Arbeidskosten",G1143&lt;&gt;""),IFERROR(W1143*VLOOKUP(G1143,Tb_KostenTypen[],3,0)*VLOOKUP(F1143,Tb_ProjectKosten[],MATCH(Tb_ProjectKosten[[#Headers],[Forfait_Percentage]],Tb_ProjectKosten[#Headers],0),0),""),W1143 &lt;=0,0),"")</f>
        <v/>
      </c>
      <c r="AA1143" s="314" t="str" cm="1">
        <f t="array" aca="1" ref="AA1143" ca="1">IFERROR(_xlfn.IFS(OR(F1143="",LEFT(Methode_Keuze,4)="Geen",Methode_Keuze=""),"",AND(X1143&lt;&gt;"",F1143&lt;&gt;"Arbeidskosten"),X1143*VLOOKUP(F1143,Tb_ProjectKosten[],MATCH(Tb_ProjectKosten[[#Headers],[Forfait_Percentage]],Tb_ProjectKosten[#Headers],0),0),AND(F1143="Arbeidskosten",G1143&lt;&gt;""),IFERROR(X1143*VLOOKUP(G1143,Tb_KostenTypen[],3,0)*VLOOKUP(F1143,Tb_ProjectKosten[],MATCH(Tb_ProjectKosten[[#Headers],[Forfait_Percentage]],Tb_ProjectKosten[#Headers],0),0),""),X1143 &lt;=0,0),"")</f>
        <v/>
      </c>
      <c r="AB1143" s="314" t="str">
        <f t="shared" ca="1" si="71"/>
        <v/>
      </c>
      <c r="AC1143" s="322"/>
      <c r="AD1143" s="315"/>
      <c r="AE1143" s="32" t="str" cm="1">
        <f t="array" ref="AE1143">IFERROR(IF(INDEX(SubsidieTabel!$AD$1:$AG$12,MATCH($F1143,SubsidieTabel!$AD$1:$AD$12,0),IFERROR(MATCH(Methode_Keuze,SubsidieTabel!$AD$1:$AG$1,0),2))&lt;&gt;1=TRUE,"ja",""),"")</f>
        <v/>
      </c>
    </row>
    <row r="1144" spans="1:31" x14ac:dyDescent="0.25">
      <c r="A1144" s="316"/>
      <c r="B1144" s="317" t="str">
        <f>IF(A1144&lt;&gt;"",_xlfn.MAXIFS($B$1:B1143,$A$1:A1143,A1144)+1,"")</f>
        <v/>
      </c>
      <c r="C1144" s="296"/>
      <c r="D1144" s="296"/>
      <c r="E1144" s="296"/>
      <c r="F1144" s="296"/>
      <c r="G1144" s="326"/>
      <c r="H1144" s="324"/>
      <c r="I1144" s="325"/>
      <c r="J1144" s="325"/>
      <c r="K1144" s="318"/>
      <c r="L1144" s="318"/>
      <c r="M1144" s="319" t="str">
        <f>IFERROR(VLOOKUP(H1144,Lijsten!$H$1:$I$100,2,0),"")</f>
        <v/>
      </c>
      <c r="N1144" s="319" t="str">
        <f ca="1">IFERROR(IF(VLOOKUP(F1144,Kostentypen!$A$3:$E$21,3,0)=0,"",IF(OR(F1144="Arbeidskosten",F1144="Vergoeding"),VLOOKUP(G1144,Tb_KostenTypen[],2,0),VLOOKUP(F1144,Kostentypen!$A$3:$E$20,3,0))),"")</f>
        <v/>
      </c>
      <c r="O1144" s="320" t="str" cm="1">
        <f t="array" ref="O1144">_xlfn.IFNA(IF(INDEX(Tb_KostenOptiesDB[],MATCH($F1144,Tb_KostenOptiesDB[KostenOptie],0),IFERROR(MATCH(Methode_Keuze,Tb_KostenOptiesDB[#Headers],0),2))=1,_xlfn.SWITCH($N1144,"Uurtarief",IF(OR(AND(RIGHT($F1144,3)="IKS",VLOOKUP($M1144,DB_Loonkosten,2,0)="Ja"),AND(RIGHT($F1144,3)&lt;&gt;"IKS",VLOOKUP($M1144,DB_Loonkosten,2,0)="Nee")),IFERROR(VLOOKUP($M1144,DB_Loonkosten,24,0),""),0),"Vast tarief",IF(LEFT(F1144,8)="Bijdrage",VLOOKUP($F1144,Tb_KostenTypen[],MATCH(Lijsten!$P$1,Tb_KostenTypen[#Headers],0),0),VLOOKUP($G1144,Lijsten!L:P,MATCH(Lijsten!$P$1,Kop_Tarief_Vast,0),0))),""),"")</f>
        <v/>
      </c>
      <c r="P1144" s="320" t="str" cm="1">
        <f t="array" ref="P1144">_xlfn.IFNA(IF(INDEX(Tb_KostenOptiesDB[],MATCH($F1144,Tb_KostenOptiesDB[KostenOptie],0),IFERROR(MATCH(Methode_Keuze,Tb_KostenOptiesDB[#Headers],0),2))=1,_xlfn.SWITCH($N1144,"Uurtarief",IF(OR(AND(RIGHT($F1144,3)="IKS",VLOOKUP($M1144,DB_Loonkosten,2,0)="Ja"),AND(RIGHT($F1144,3)&lt;&gt;"IKS",VLOOKUP($M1144,DB_Loonkosten,2,0)="Nee")),IFERROR(VLOOKUP($M1144,DB_Loonkosten,25,0),""),0),"Vast tarief",IF(LEFT(F1144,8)="Bijdrage",VLOOKUP($F1144,Tb_KostenTypen[],MATCH(Lijsten!$P$1,Tb_KostenTypen[#Headers],0),0),VLOOKUP($G1144,Lijsten!L:P,MATCH(Lijsten!$P$1,Kop_Tarief_Vast,0),0))),""),"")</f>
        <v/>
      </c>
      <c r="Q1144" s="359"/>
      <c r="R1144" s="359"/>
      <c r="S1144" s="321"/>
      <c r="T1144" s="321"/>
      <c r="U1144" s="373" t="str">
        <f t="shared" si="68"/>
        <v/>
      </c>
      <c r="V1144" s="314" t="str">
        <f t="shared" si="69"/>
        <v/>
      </c>
      <c r="W1144" s="314" t="str" cm="1">
        <f t="array" aca="1" ref="W1144" ca="1">IFERROR(IF(AE1144&lt;&gt;"ja",_xlfn.IFNA(_xlfn.IFS(AND(O1144&lt;&gt;"",F1144&lt;&gt;"",RIGHT($N1144,6)="tarief",F1144="Vergoeding"),SUM(O1144)*FLOOR(SUM(Q1144),0.0001),AND(O1144&lt;&gt;"",F1144&lt;&gt;"",RIGHT($N1144,6)="tarief"),SUM(O1144)*FLOOR(SUM(Q1144),0.01),S1144&gt;0,IF(F1144&lt;&gt;"",FLOOR(SUM(S1144),0.01),"")),""),""),"")</f>
        <v/>
      </c>
      <c r="X1144" s="314" t="str" cm="1">
        <f t="array" aca="1" ref="X1144" ca="1">IFERROR(IF(AE1144&lt;&gt;"ja",_xlfn.IFNA(_xlfn.IFS(AND(P1144&lt;&gt;"",R1144&lt;&gt;"",RIGHT($N1144,6)="tarief",F1144="Vergoeding"),SUM(P1144)*FLOOR(SUM(R1144),0.0001),AND(P1144&lt;&gt;"",R1144&lt;&gt;"",RIGHT($N1144,6)="tarief"),P1144*FLOOR(R1144,0.01),T1144&gt;0,FLOOR(SUM(T1144),0.01)),""),""),"")</f>
        <v/>
      </c>
      <c r="Y1144" s="314" t="str">
        <f t="shared" ca="1" si="70"/>
        <v/>
      </c>
      <c r="Z1144" s="314" t="str" cm="1">
        <f t="array" aca="1" ref="Z1144" ca="1">IFERROR(_xlfn.IFS(OR(F1144="",LEFT(Methode_Keuze,4)="Geen",Methode_Keuze=""),"",AND(W1144&lt;&gt;"",F1144&lt;&gt;"Arbeidskosten"),W1144*VLOOKUP(F1144,Tb_ProjectKosten[],MATCH(Tb_ProjectKosten[[#Headers],[Forfait_Percentage]],Tb_ProjectKosten[#Headers],0),0),AND(F1144="Arbeidskosten",G1144&lt;&gt;""),IFERROR(W1144*VLOOKUP(G1144,Tb_KostenTypen[],3,0)*VLOOKUP(F1144,Tb_ProjectKosten[],MATCH(Tb_ProjectKosten[[#Headers],[Forfait_Percentage]],Tb_ProjectKosten[#Headers],0),0),""),W1144 &lt;=0,0),"")</f>
        <v/>
      </c>
      <c r="AA1144" s="314" t="str" cm="1">
        <f t="array" aca="1" ref="AA1144" ca="1">IFERROR(_xlfn.IFS(OR(F1144="",LEFT(Methode_Keuze,4)="Geen",Methode_Keuze=""),"",AND(X1144&lt;&gt;"",F1144&lt;&gt;"Arbeidskosten"),X1144*VLOOKUP(F1144,Tb_ProjectKosten[],MATCH(Tb_ProjectKosten[[#Headers],[Forfait_Percentage]],Tb_ProjectKosten[#Headers],0),0),AND(F1144="Arbeidskosten",G1144&lt;&gt;""),IFERROR(X1144*VLOOKUP(G1144,Tb_KostenTypen[],3,0)*VLOOKUP(F1144,Tb_ProjectKosten[],MATCH(Tb_ProjectKosten[[#Headers],[Forfait_Percentage]],Tb_ProjectKosten[#Headers],0),0),""),X1144 &lt;=0,0),"")</f>
        <v/>
      </c>
      <c r="AB1144" s="314" t="str">
        <f t="shared" ca="1" si="71"/>
        <v/>
      </c>
      <c r="AC1144" s="322"/>
      <c r="AD1144" s="315"/>
      <c r="AE1144" s="32" t="str" cm="1">
        <f t="array" ref="AE1144">IFERROR(IF(INDEX(SubsidieTabel!$AD$1:$AG$12,MATCH($F1144,SubsidieTabel!$AD$1:$AD$12,0),IFERROR(MATCH(Methode_Keuze,SubsidieTabel!$AD$1:$AG$1,0),2))&lt;&gt;1=TRUE,"ja",""),"")</f>
        <v/>
      </c>
    </row>
    <row r="1145" spans="1:31" x14ac:dyDescent="0.25">
      <c r="A1145" s="316"/>
      <c r="B1145" s="317" t="str">
        <f>IF(A1145&lt;&gt;"",_xlfn.MAXIFS($B$1:B1144,$A$1:A1144,A1145)+1,"")</f>
        <v/>
      </c>
      <c r="C1145" s="296"/>
      <c r="D1145" s="296"/>
      <c r="E1145" s="296"/>
      <c r="F1145" s="296"/>
      <c r="G1145" s="326"/>
      <c r="H1145" s="324"/>
      <c r="I1145" s="325"/>
      <c r="J1145" s="325"/>
      <c r="K1145" s="318"/>
      <c r="L1145" s="318"/>
      <c r="M1145" s="319" t="str">
        <f>IFERROR(VLOOKUP(H1145,Lijsten!$H$1:$I$100,2,0),"")</f>
        <v/>
      </c>
      <c r="N1145" s="319" t="str">
        <f ca="1">IFERROR(IF(VLOOKUP(F1145,Kostentypen!$A$3:$E$21,3,0)=0,"",IF(OR(F1145="Arbeidskosten",F1145="Vergoeding"),VLOOKUP(G1145,Tb_KostenTypen[],2,0),VLOOKUP(F1145,Kostentypen!$A$3:$E$20,3,0))),"")</f>
        <v/>
      </c>
      <c r="O1145" s="320" t="str" cm="1">
        <f t="array" ref="O1145">_xlfn.IFNA(IF(INDEX(Tb_KostenOptiesDB[],MATCH($F1145,Tb_KostenOptiesDB[KostenOptie],0),IFERROR(MATCH(Methode_Keuze,Tb_KostenOptiesDB[#Headers],0),2))=1,_xlfn.SWITCH($N1145,"Uurtarief",IF(OR(AND(RIGHT($F1145,3)="IKS",VLOOKUP($M1145,DB_Loonkosten,2,0)="Ja"),AND(RIGHT($F1145,3)&lt;&gt;"IKS",VLOOKUP($M1145,DB_Loonkosten,2,0)="Nee")),IFERROR(VLOOKUP($M1145,DB_Loonkosten,24,0),""),0),"Vast tarief",IF(LEFT(F1145,8)="Bijdrage",VLOOKUP($F1145,Tb_KostenTypen[],MATCH(Lijsten!$P$1,Tb_KostenTypen[#Headers],0),0),VLOOKUP($G1145,Lijsten!L:P,MATCH(Lijsten!$P$1,Kop_Tarief_Vast,0),0))),""),"")</f>
        <v/>
      </c>
      <c r="P1145" s="320" t="str" cm="1">
        <f t="array" ref="P1145">_xlfn.IFNA(IF(INDEX(Tb_KostenOptiesDB[],MATCH($F1145,Tb_KostenOptiesDB[KostenOptie],0),IFERROR(MATCH(Methode_Keuze,Tb_KostenOptiesDB[#Headers],0),2))=1,_xlfn.SWITCH($N1145,"Uurtarief",IF(OR(AND(RIGHT($F1145,3)="IKS",VLOOKUP($M1145,DB_Loonkosten,2,0)="Ja"),AND(RIGHT($F1145,3)&lt;&gt;"IKS",VLOOKUP($M1145,DB_Loonkosten,2,0)="Nee")),IFERROR(VLOOKUP($M1145,DB_Loonkosten,25,0),""),0),"Vast tarief",IF(LEFT(F1145,8)="Bijdrage",VLOOKUP($F1145,Tb_KostenTypen[],MATCH(Lijsten!$P$1,Tb_KostenTypen[#Headers],0),0),VLOOKUP($G1145,Lijsten!L:P,MATCH(Lijsten!$P$1,Kop_Tarief_Vast,0),0))),""),"")</f>
        <v/>
      </c>
      <c r="Q1145" s="359"/>
      <c r="R1145" s="359"/>
      <c r="S1145" s="321"/>
      <c r="T1145" s="321"/>
      <c r="U1145" s="373" t="str">
        <f t="shared" si="68"/>
        <v/>
      </c>
      <c r="V1145" s="314" t="str">
        <f t="shared" si="69"/>
        <v/>
      </c>
      <c r="W1145" s="314" t="str" cm="1">
        <f t="array" aca="1" ref="W1145" ca="1">IFERROR(IF(AE1145&lt;&gt;"ja",_xlfn.IFNA(_xlfn.IFS(AND(O1145&lt;&gt;"",F1145&lt;&gt;"",RIGHT($N1145,6)="tarief",F1145="Vergoeding"),SUM(O1145)*FLOOR(SUM(Q1145),0.0001),AND(O1145&lt;&gt;"",F1145&lt;&gt;"",RIGHT($N1145,6)="tarief"),SUM(O1145)*FLOOR(SUM(Q1145),0.01),S1145&gt;0,IF(F1145&lt;&gt;"",FLOOR(SUM(S1145),0.01),"")),""),""),"")</f>
        <v/>
      </c>
      <c r="X1145" s="314" t="str" cm="1">
        <f t="array" aca="1" ref="X1145" ca="1">IFERROR(IF(AE1145&lt;&gt;"ja",_xlfn.IFNA(_xlfn.IFS(AND(P1145&lt;&gt;"",R1145&lt;&gt;"",RIGHT($N1145,6)="tarief",F1145="Vergoeding"),SUM(P1145)*FLOOR(SUM(R1145),0.0001),AND(P1145&lt;&gt;"",R1145&lt;&gt;"",RIGHT($N1145,6)="tarief"),P1145*FLOOR(R1145,0.01),T1145&gt;0,FLOOR(SUM(T1145),0.01)),""),""),"")</f>
        <v/>
      </c>
      <c r="Y1145" s="314" t="str">
        <f t="shared" ca="1" si="70"/>
        <v/>
      </c>
      <c r="Z1145" s="314" t="str" cm="1">
        <f t="array" aca="1" ref="Z1145" ca="1">IFERROR(_xlfn.IFS(OR(F1145="",LEFT(Methode_Keuze,4)="Geen",Methode_Keuze=""),"",AND(W1145&lt;&gt;"",F1145&lt;&gt;"Arbeidskosten"),W1145*VLOOKUP(F1145,Tb_ProjectKosten[],MATCH(Tb_ProjectKosten[[#Headers],[Forfait_Percentage]],Tb_ProjectKosten[#Headers],0),0),AND(F1145="Arbeidskosten",G1145&lt;&gt;""),IFERROR(W1145*VLOOKUP(G1145,Tb_KostenTypen[],3,0)*VLOOKUP(F1145,Tb_ProjectKosten[],MATCH(Tb_ProjectKosten[[#Headers],[Forfait_Percentage]],Tb_ProjectKosten[#Headers],0),0),""),W1145 &lt;=0,0),"")</f>
        <v/>
      </c>
      <c r="AA1145" s="314" t="str" cm="1">
        <f t="array" aca="1" ref="AA1145" ca="1">IFERROR(_xlfn.IFS(OR(F1145="",LEFT(Methode_Keuze,4)="Geen",Methode_Keuze=""),"",AND(X1145&lt;&gt;"",F1145&lt;&gt;"Arbeidskosten"),X1145*VLOOKUP(F1145,Tb_ProjectKosten[],MATCH(Tb_ProjectKosten[[#Headers],[Forfait_Percentage]],Tb_ProjectKosten[#Headers],0),0),AND(F1145="Arbeidskosten",G1145&lt;&gt;""),IFERROR(X1145*VLOOKUP(G1145,Tb_KostenTypen[],3,0)*VLOOKUP(F1145,Tb_ProjectKosten[],MATCH(Tb_ProjectKosten[[#Headers],[Forfait_Percentage]],Tb_ProjectKosten[#Headers],0),0),""),X1145 &lt;=0,0),"")</f>
        <v/>
      </c>
      <c r="AB1145" s="314" t="str">
        <f t="shared" ca="1" si="71"/>
        <v/>
      </c>
      <c r="AC1145" s="322"/>
      <c r="AD1145" s="315"/>
      <c r="AE1145" s="32" t="str" cm="1">
        <f t="array" ref="AE1145">IFERROR(IF(INDEX(SubsidieTabel!$AD$1:$AG$12,MATCH($F1145,SubsidieTabel!$AD$1:$AD$12,0),IFERROR(MATCH(Methode_Keuze,SubsidieTabel!$AD$1:$AG$1,0),2))&lt;&gt;1=TRUE,"ja",""),"")</f>
        <v/>
      </c>
    </row>
    <row r="1146" spans="1:31" x14ac:dyDescent="0.25">
      <c r="A1146" s="316"/>
      <c r="B1146" s="317" t="str">
        <f>IF(A1146&lt;&gt;"",_xlfn.MAXIFS($B$1:B1145,$A$1:A1145,A1146)+1,"")</f>
        <v/>
      </c>
      <c r="C1146" s="296"/>
      <c r="D1146" s="296"/>
      <c r="E1146" s="296"/>
      <c r="F1146" s="296"/>
      <c r="G1146" s="326"/>
      <c r="H1146" s="324"/>
      <c r="I1146" s="325"/>
      <c r="J1146" s="325"/>
      <c r="K1146" s="318"/>
      <c r="L1146" s="318"/>
      <c r="M1146" s="319" t="str">
        <f>IFERROR(VLOOKUP(H1146,Lijsten!$H$1:$I$100,2,0),"")</f>
        <v/>
      </c>
      <c r="N1146" s="319" t="str">
        <f ca="1">IFERROR(IF(VLOOKUP(F1146,Kostentypen!$A$3:$E$21,3,0)=0,"",IF(OR(F1146="Arbeidskosten",F1146="Vergoeding"),VLOOKUP(G1146,Tb_KostenTypen[],2,0),VLOOKUP(F1146,Kostentypen!$A$3:$E$20,3,0))),"")</f>
        <v/>
      </c>
      <c r="O1146" s="320" t="str" cm="1">
        <f t="array" ref="O1146">_xlfn.IFNA(IF(INDEX(Tb_KostenOptiesDB[],MATCH($F1146,Tb_KostenOptiesDB[KostenOptie],0),IFERROR(MATCH(Methode_Keuze,Tb_KostenOptiesDB[#Headers],0),2))=1,_xlfn.SWITCH($N1146,"Uurtarief",IF(OR(AND(RIGHT($F1146,3)="IKS",VLOOKUP($M1146,DB_Loonkosten,2,0)="Ja"),AND(RIGHT($F1146,3)&lt;&gt;"IKS",VLOOKUP($M1146,DB_Loonkosten,2,0)="Nee")),IFERROR(VLOOKUP($M1146,DB_Loonkosten,24,0),""),0),"Vast tarief",IF(LEFT(F1146,8)="Bijdrage",VLOOKUP($F1146,Tb_KostenTypen[],MATCH(Lijsten!$P$1,Tb_KostenTypen[#Headers],0),0),VLOOKUP($G1146,Lijsten!L:P,MATCH(Lijsten!$P$1,Kop_Tarief_Vast,0),0))),""),"")</f>
        <v/>
      </c>
      <c r="P1146" s="320" t="str" cm="1">
        <f t="array" ref="P1146">_xlfn.IFNA(IF(INDEX(Tb_KostenOptiesDB[],MATCH($F1146,Tb_KostenOptiesDB[KostenOptie],0),IFERROR(MATCH(Methode_Keuze,Tb_KostenOptiesDB[#Headers],0),2))=1,_xlfn.SWITCH($N1146,"Uurtarief",IF(OR(AND(RIGHT($F1146,3)="IKS",VLOOKUP($M1146,DB_Loonkosten,2,0)="Ja"),AND(RIGHT($F1146,3)&lt;&gt;"IKS",VLOOKUP($M1146,DB_Loonkosten,2,0)="Nee")),IFERROR(VLOOKUP($M1146,DB_Loonkosten,25,0),""),0),"Vast tarief",IF(LEFT(F1146,8)="Bijdrage",VLOOKUP($F1146,Tb_KostenTypen[],MATCH(Lijsten!$P$1,Tb_KostenTypen[#Headers],0),0),VLOOKUP($G1146,Lijsten!L:P,MATCH(Lijsten!$P$1,Kop_Tarief_Vast,0),0))),""),"")</f>
        <v/>
      </c>
      <c r="Q1146" s="359"/>
      <c r="R1146" s="359"/>
      <c r="S1146" s="321"/>
      <c r="T1146" s="321"/>
      <c r="U1146" s="373" t="str">
        <f t="shared" si="68"/>
        <v/>
      </c>
      <c r="V1146" s="314" t="str">
        <f t="shared" si="69"/>
        <v/>
      </c>
      <c r="W1146" s="314" t="str" cm="1">
        <f t="array" aca="1" ref="W1146" ca="1">IFERROR(IF(AE1146&lt;&gt;"ja",_xlfn.IFNA(_xlfn.IFS(AND(O1146&lt;&gt;"",F1146&lt;&gt;"",RIGHT($N1146,6)="tarief",F1146="Vergoeding"),SUM(O1146)*FLOOR(SUM(Q1146),0.0001),AND(O1146&lt;&gt;"",F1146&lt;&gt;"",RIGHT($N1146,6)="tarief"),SUM(O1146)*FLOOR(SUM(Q1146),0.01),S1146&gt;0,IF(F1146&lt;&gt;"",FLOOR(SUM(S1146),0.01),"")),""),""),"")</f>
        <v/>
      </c>
      <c r="X1146" s="314" t="str" cm="1">
        <f t="array" aca="1" ref="X1146" ca="1">IFERROR(IF(AE1146&lt;&gt;"ja",_xlfn.IFNA(_xlfn.IFS(AND(P1146&lt;&gt;"",R1146&lt;&gt;"",RIGHT($N1146,6)="tarief",F1146="Vergoeding"),SUM(P1146)*FLOOR(SUM(R1146),0.0001),AND(P1146&lt;&gt;"",R1146&lt;&gt;"",RIGHT($N1146,6)="tarief"),P1146*FLOOR(R1146,0.01),T1146&gt;0,FLOOR(SUM(T1146),0.01)),""),""),"")</f>
        <v/>
      </c>
      <c r="Y1146" s="314" t="str">
        <f t="shared" ca="1" si="70"/>
        <v/>
      </c>
      <c r="Z1146" s="314" t="str" cm="1">
        <f t="array" aca="1" ref="Z1146" ca="1">IFERROR(_xlfn.IFS(OR(F1146="",LEFT(Methode_Keuze,4)="Geen",Methode_Keuze=""),"",AND(W1146&lt;&gt;"",F1146&lt;&gt;"Arbeidskosten"),W1146*VLOOKUP(F1146,Tb_ProjectKosten[],MATCH(Tb_ProjectKosten[[#Headers],[Forfait_Percentage]],Tb_ProjectKosten[#Headers],0),0),AND(F1146="Arbeidskosten",G1146&lt;&gt;""),IFERROR(W1146*VLOOKUP(G1146,Tb_KostenTypen[],3,0)*VLOOKUP(F1146,Tb_ProjectKosten[],MATCH(Tb_ProjectKosten[[#Headers],[Forfait_Percentage]],Tb_ProjectKosten[#Headers],0),0),""),W1146 &lt;=0,0),"")</f>
        <v/>
      </c>
      <c r="AA1146" s="314" t="str" cm="1">
        <f t="array" aca="1" ref="AA1146" ca="1">IFERROR(_xlfn.IFS(OR(F1146="",LEFT(Methode_Keuze,4)="Geen",Methode_Keuze=""),"",AND(X1146&lt;&gt;"",F1146&lt;&gt;"Arbeidskosten"),X1146*VLOOKUP(F1146,Tb_ProjectKosten[],MATCH(Tb_ProjectKosten[[#Headers],[Forfait_Percentage]],Tb_ProjectKosten[#Headers],0),0),AND(F1146="Arbeidskosten",G1146&lt;&gt;""),IFERROR(X1146*VLOOKUP(G1146,Tb_KostenTypen[],3,0)*VLOOKUP(F1146,Tb_ProjectKosten[],MATCH(Tb_ProjectKosten[[#Headers],[Forfait_Percentage]],Tb_ProjectKosten[#Headers],0),0),""),X1146 &lt;=0,0),"")</f>
        <v/>
      </c>
      <c r="AB1146" s="314" t="str">
        <f t="shared" ca="1" si="71"/>
        <v/>
      </c>
      <c r="AC1146" s="322"/>
      <c r="AD1146" s="315"/>
      <c r="AE1146" s="32" t="str" cm="1">
        <f t="array" ref="AE1146">IFERROR(IF(INDEX(SubsidieTabel!$AD$1:$AG$12,MATCH($F1146,SubsidieTabel!$AD$1:$AD$12,0),IFERROR(MATCH(Methode_Keuze,SubsidieTabel!$AD$1:$AG$1,0),2))&lt;&gt;1=TRUE,"ja",""),"")</f>
        <v/>
      </c>
    </row>
    <row r="1147" spans="1:31" x14ac:dyDescent="0.25">
      <c r="A1147" s="316"/>
      <c r="B1147" s="317" t="str">
        <f>IF(A1147&lt;&gt;"",_xlfn.MAXIFS($B$1:B1146,$A$1:A1146,A1147)+1,"")</f>
        <v/>
      </c>
      <c r="C1147" s="296"/>
      <c r="D1147" s="296"/>
      <c r="E1147" s="296"/>
      <c r="F1147" s="296"/>
      <c r="G1147" s="326"/>
      <c r="H1147" s="324"/>
      <c r="I1147" s="325"/>
      <c r="J1147" s="325"/>
      <c r="K1147" s="318"/>
      <c r="L1147" s="318"/>
      <c r="M1147" s="319" t="str">
        <f>IFERROR(VLOOKUP(H1147,Lijsten!$H$1:$I$100,2,0),"")</f>
        <v/>
      </c>
      <c r="N1147" s="319" t="str">
        <f ca="1">IFERROR(IF(VLOOKUP(F1147,Kostentypen!$A$3:$E$21,3,0)=0,"",IF(OR(F1147="Arbeidskosten",F1147="Vergoeding"),VLOOKUP(G1147,Tb_KostenTypen[],2,0),VLOOKUP(F1147,Kostentypen!$A$3:$E$20,3,0))),"")</f>
        <v/>
      </c>
      <c r="O1147" s="320" t="str" cm="1">
        <f t="array" ref="O1147">_xlfn.IFNA(IF(INDEX(Tb_KostenOptiesDB[],MATCH($F1147,Tb_KostenOptiesDB[KostenOptie],0),IFERROR(MATCH(Methode_Keuze,Tb_KostenOptiesDB[#Headers],0),2))=1,_xlfn.SWITCH($N1147,"Uurtarief",IF(OR(AND(RIGHT($F1147,3)="IKS",VLOOKUP($M1147,DB_Loonkosten,2,0)="Ja"),AND(RIGHT($F1147,3)&lt;&gt;"IKS",VLOOKUP($M1147,DB_Loonkosten,2,0)="Nee")),IFERROR(VLOOKUP($M1147,DB_Loonkosten,24,0),""),0),"Vast tarief",IF(LEFT(F1147,8)="Bijdrage",VLOOKUP($F1147,Tb_KostenTypen[],MATCH(Lijsten!$P$1,Tb_KostenTypen[#Headers],0),0),VLOOKUP($G1147,Lijsten!L:P,MATCH(Lijsten!$P$1,Kop_Tarief_Vast,0),0))),""),"")</f>
        <v/>
      </c>
      <c r="P1147" s="320" t="str" cm="1">
        <f t="array" ref="P1147">_xlfn.IFNA(IF(INDEX(Tb_KostenOptiesDB[],MATCH($F1147,Tb_KostenOptiesDB[KostenOptie],0),IFERROR(MATCH(Methode_Keuze,Tb_KostenOptiesDB[#Headers],0),2))=1,_xlfn.SWITCH($N1147,"Uurtarief",IF(OR(AND(RIGHT($F1147,3)="IKS",VLOOKUP($M1147,DB_Loonkosten,2,0)="Ja"),AND(RIGHT($F1147,3)&lt;&gt;"IKS",VLOOKUP($M1147,DB_Loonkosten,2,0)="Nee")),IFERROR(VLOOKUP($M1147,DB_Loonkosten,25,0),""),0),"Vast tarief",IF(LEFT(F1147,8)="Bijdrage",VLOOKUP($F1147,Tb_KostenTypen[],MATCH(Lijsten!$P$1,Tb_KostenTypen[#Headers],0),0),VLOOKUP($G1147,Lijsten!L:P,MATCH(Lijsten!$P$1,Kop_Tarief_Vast,0),0))),""),"")</f>
        <v/>
      </c>
      <c r="Q1147" s="359"/>
      <c r="R1147" s="359"/>
      <c r="S1147" s="321"/>
      <c r="T1147" s="321"/>
      <c r="U1147" s="373" t="str">
        <f t="shared" si="68"/>
        <v/>
      </c>
      <c r="V1147" s="314" t="str">
        <f t="shared" si="69"/>
        <v/>
      </c>
      <c r="W1147" s="314" t="str" cm="1">
        <f t="array" aca="1" ref="W1147" ca="1">IFERROR(IF(AE1147&lt;&gt;"ja",_xlfn.IFNA(_xlfn.IFS(AND(O1147&lt;&gt;"",F1147&lt;&gt;"",RIGHT($N1147,6)="tarief",F1147="Vergoeding"),SUM(O1147)*FLOOR(SUM(Q1147),0.0001),AND(O1147&lt;&gt;"",F1147&lt;&gt;"",RIGHT($N1147,6)="tarief"),SUM(O1147)*FLOOR(SUM(Q1147),0.01),S1147&gt;0,IF(F1147&lt;&gt;"",FLOOR(SUM(S1147),0.01),"")),""),""),"")</f>
        <v/>
      </c>
      <c r="X1147" s="314" t="str" cm="1">
        <f t="array" aca="1" ref="X1147" ca="1">IFERROR(IF(AE1147&lt;&gt;"ja",_xlfn.IFNA(_xlfn.IFS(AND(P1147&lt;&gt;"",R1147&lt;&gt;"",RIGHT($N1147,6)="tarief",F1147="Vergoeding"),SUM(P1147)*FLOOR(SUM(R1147),0.0001),AND(P1147&lt;&gt;"",R1147&lt;&gt;"",RIGHT($N1147,6)="tarief"),P1147*FLOOR(R1147,0.01),T1147&gt;0,FLOOR(SUM(T1147),0.01)),""),""),"")</f>
        <v/>
      </c>
      <c r="Y1147" s="314" t="str">
        <f t="shared" ca="1" si="70"/>
        <v/>
      </c>
      <c r="Z1147" s="314" t="str" cm="1">
        <f t="array" aca="1" ref="Z1147" ca="1">IFERROR(_xlfn.IFS(OR(F1147="",LEFT(Methode_Keuze,4)="Geen",Methode_Keuze=""),"",AND(W1147&lt;&gt;"",F1147&lt;&gt;"Arbeidskosten"),W1147*VLOOKUP(F1147,Tb_ProjectKosten[],MATCH(Tb_ProjectKosten[[#Headers],[Forfait_Percentage]],Tb_ProjectKosten[#Headers],0),0),AND(F1147="Arbeidskosten",G1147&lt;&gt;""),IFERROR(W1147*VLOOKUP(G1147,Tb_KostenTypen[],3,0)*VLOOKUP(F1147,Tb_ProjectKosten[],MATCH(Tb_ProjectKosten[[#Headers],[Forfait_Percentage]],Tb_ProjectKosten[#Headers],0),0),""),W1147 &lt;=0,0),"")</f>
        <v/>
      </c>
      <c r="AA1147" s="314" t="str" cm="1">
        <f t="array" aca="1" ref="AA1147" ca="1">IFERROR(_xlfn.IFS(OR(F1147="",LEFT(Methode_Keuze,4)="Geen",Methode_Keuze=""),"",AND(X1147&lt;&gt;"",F1147&lt;&gt;"Arbeidskosten"),X1147*VLOOKUP(F1147,Tb_ProjectKosten[],MATCH(Tb_ProjectKosten[[#Headers],[Forfait_Percentage]],Tb_ProjectKosten[#Headers],0),0),AND(F1147="Arbeidskosten",G1147&lt;&gt;""),IFERROR(X1147*VLOOKUP(G1147,Tb_KostenTypen[],3,0)*VLOOKUP(F1147,Tb_ProjectKosten[],MATCH(Tb_ProjectKosten[[#Headers],[Forfait_Percentage]],Tb_ProjectKosten[#Headers],0),0),""),X1147 &lt;=0,0),"")</f>
        <v/>
      </c>
      <c r="AB1147" s="314" t="str">
        <f t="shared" ca="1" si="71"/>
        <v/>
      </c>
      <c r="AC1147" s="322"/>
      <c r="AD1147" s="315"/>
      <c r="AE1147" s="32" t="str" cm="1">
        <f t="array" ref="AE1147">IFERROR(IF(INDEX(SubsidieTabel!$AD$1:$AG$12,MATCH($F1147,SubsidieTabel!$AD$1:$AD$12,0),IFERROR(MATCH(Methode_Keuze,SubsidieTabel!$AD$1:$AG$1,0),2))&lt;&gt;1=TRUE,"ja",""),"")</f>
        <v/>
      </c>
    </row>
    <row r="1148" spans="1:31" x14ac:dyDescent="0.25">
      <c r="A1148" s="316"/>
      <c r="B1148" s="317" t="str">
        <f>IF(A1148&lt;&gt;"",_xlfn.MAXIFS($B$1:B1147,$A$1:A1147,A1148)+1,"")</f>
        <v/>
      </c>
      <c r="C1148" s="296"/>
      <c r="D1148" s="296"/>
      <c r="E1148" s="296"/>
      <c r="F1148" s="296"/>
      <c r="G1148" s="326"/>
      <c r="H1148" s="324"/>
      <c r="I1148" s="325"/>
      <c r="J1148" s="325"/>
      <c r="K1148" s="318"/>
      <c r="L1148" s="318"/>
      <c r="M1148" s="319" t="str">
        <f>IFERROR(VLOOKUP(H1148,Lijsten!$H$1:$I$100,2,0),"")</f>
        <v/>
      </c>
      <c r="N1148" s="319" t="str">
        <f ca="1">IFERROR(IF(VLOOKUP(F1148,Kostentypen!$A$3:$E$21,3,0)=0,"",IF(OR(F1148="Arbeidskosten",F1148="Vergoeding"),VLOOKUP(G1148,Tb_KostenTypen[],2,0),VLOOKUP(F1148,Kostentypen!$A$3:$E$20,3,0))),"")</f>
        <v/>
      </c>
      <c r="O1148" s="320" t="str" cm="1">
        <f t="array" ref="O1148">_xlfn.IFNA(IF(INDEX(Tb_KostenOptiesDB[],MATCH($F1148,Tb_KostenOptiesDB[KostenOptie],0),IFERROR(MATCH(Methode_Keuze,Tb_KostenOptiesDB[#Headers],0),2))=1,_xlfn.SWITCH($N1148,"Uurtarief",IF(OR(AND(RIGHT($F1148,3)="IKS",VLOOKUP($M1148,DB_Loonkosten,2,0)="Ja"),AND(RIGHT($F1148,3)&lt;&gt;"IKS",VLOOKUP($M1148,DB_Loonkosten,2,0)="Nee")),IFERROR(VLOOKUP($M1148,DB_Loonkosten,24,0),""),0),"Vast tarief",IF(LEFT(F1148,8)="Bijdrage",VLOOKUP($F1148,Tb_KostenTypen[],MATCH(Lijsten!$P$1,Tb_KostenTypen[#Headers],0),0),VLOOKUP($G1148,Lijsten!L:P,MATCH(Lijsten!$P$1,Kop_Tarief_Vast,0),0))),""),"")</f>
        <v/>
      </c>
      <c r="P1148" s="320" t="str" cm="1">
        <f t="array" ref="P1148">_xlfn.IFNA(IF(INDEX(Tb_KostenOptiesDB[],MATCH($F1148,Tb_KostenOptiesDB[KostenOptie],0),IFERROR(MATCH(Methode_Keuze,Tb_KostenOptiesDB[#Headers],0),2))=1,_xlfn.SWITCH($N1148,"Uurtarief",IF(OR(AND(RIGHT($F1148,3)="IKS",VLOOKUP($M1148,DB_Loonkosten,2,0)="Ja"),AND(RIGHT($F1148,3)&lt;&gt;"IKS",VLOOKUP($M1148,DB_Loonkosten,2,0)="Nee")),IFERROR(VLOOKUP($M1148,DB_Loonkosten,25,0),""),0),"Vast tarief",IF(LEFT(F1148,8)="Bijdrage",VLOOKUP($F1148,Tb_KostenTypen[],MATCH(Lijsten!$P$1,Tb_KostenTypen[#Headers],0),0),VLOOKUP($G1148,Lijsten!L:P,MATCH(Lijsten!$P$1,Kop_Tarief_Vast,0),0))),""),"")</f>
        <v/>
      </c>
      <c r="Q1148" s="359"/>
      <c r="R1148" s="359"/>
      <c r="S1148" s="321"/>
      <c r="T1148" s="321"/>
      <c r="U1148" s="373" t="str">
        <f t="shared" si="68"/>
        <v/>
      </c>
      <c r="V1148" s="314" t="str">
        <f t="shared" si="69"/>
        <v/>
      </c>
      <c r="W1148" s="314" t="str" cm="1">
        <f t="array" aca="1" ref="W1148" ca="1">IFERROR(IF(AE1148&lt;&gt;"ja",_xlfn.IFNA(_xlfn.IFS(AND(O1148&lt;&gt;"",F1148&lt;&gt;"",RIGHT($N1148,6)="tarief",F1148="Vergoeding"),SUM(O1148)*FLOOR(SUM(Q1148),0.0001),AND(O1148&lt;&gt;"",F1148&lt;&gt;"",RIGHT($N1148,6)="tarief"),SUM(O1148)*FLOOR(SUM(Q1148),0.01),S1148&gt;0,IF(F1148&lt;&gt;"",FLOOR(SUM(S1148),0.01),"")),""),""),"")</f>
        <v/>
      </c>
      <c r="X1148" s="314" t="str" cm="1">
        <f t="array" aca="1" ref="X1148" ca="1">IFERROR(IF(AE1148&lt;&gt;"ja",_xlfn.IFNA(_xlfn.IFS(AND(P1148&lt;&gt;"",R1148&lt;&gt;"",RIGHT($N1148,6)="tarief",F1148="Vergoeding"),SUM(P1148)*FLOOR(SUM(R1148),0.0001),AND(P1148&lt;&gt;"",R1148&lt;&gt;"",RIGHT($N1148,6)="tarief"),P1148*FLOOR(R1148,0.01),T1148&gt;0,FLOOR(SUM(T1148),0.01)),""),""),"")</f>
        <v/>
      </c>
      <c r="Y1148" s="314" t="str">
        <f t="shared" ca="1" si="70"/>
        <v/>
      </c>
      <c r="Z1148" s="314" t="str" cm="1">
        <f t="array" aca="1" ref="Z1148" ca="1">IFERROR(_xlfn.IFS(OR(F1148="",LEFT(Methode_Keuze,4)="Geen",Methode_Keuze=""),"",AND(W1148&lt;&gt;"",F1148&lt;&gt;"Arbeidskosten"),W1148*VLOOKUP(F1148,Tb_ProjectKosten[],MATCH(Tb_ProjectKosten[[#Headers],[Forfait_Percentage]],Tb_ProjectKosten[#Headers],0),0),AND(F1148="Arbeidskosten",G1148&lt;&gt;""),IFERROR(W1148*VLOOKUP(G1148,Tb_KostenTypen[],3,0)*VLOOKUP(F1148,Tb_ProjectKosten[],MATCH(Tb_ProjectKosten[[#Headers],[Forfait_Percentage]],Tb_ProjectKosten[#Headers],0),0),""),W1148 &lt;=0,0),"")</f>
        <v/>
      </c>
      <c r="AA1148" s="314" t="str" cm="1">
        <f t="array" aca="1" ref="AA1148" ca="1">IFERROR(_xlfn.IFS(OR(F1148="",LEFT(Methode_Keuze,4)="Geen",Methode_Keuze=""),"",AND(X1148&lt;&gt;"",F1148&lt;&gt;"Arbeidskosten"),X1148*VLOOKUP(F1148,Tb_ProjectKosten[],MATCH(Tb_ProjectKosten[[#Headers],[Forfait_Percentage]],Tb_ProjectKosten[#Headers],0),0),AND(F1148="Arbeidskosten",G1148&lt;&gt;""),IFERROR(X1148*VLOOKUP(G1148,Tb_KostenTypen[],3,0)*VLOOKUP(F1148,Tb_ProjectKosten[],MATCH(Tb_ProjectKosten[[#Headers],[Forfait_Percentage]],Tb_ProjectKosten[#Headers],0),0),""),X1148 &lt;=0,0),"")</f>
        <v/>
      </c>
      <c r="AB1148" s="314" t="str">
        <f t="shared" ca="1" si="71"/>
        <v/>
      </c>
      <c r="AC1148" s="322"/>
      <c r="AD1148" s="315"/>
      <c r="AE1148" s="32" t="str" cm="1">
        <f t="array" ref="AE1148">IFERROR(IF(INDEX(SubsidieTabel!$AD$1:$AG$12,MATCH($F1148,SubsidieTabel!$AD$1:$AD$12,0),IFERROR(MATCH(Methode_Keuze,SubsidieTabel!$AD$1:$AG$1,0),2))&lt;&gt;1=TRUE,"ja",""),"")</f>
        <v/>
      </c>
    </row>
    <row r="1149" spans="1:31" x14ac:dyDescent="0.25">
      <c r="A1149" s="316"/>
      <c r="B1149" s="317" t="str">
        <f>IF(A1149&lt;&gt;"",_xlfn.MAXIFS($B$1:B1148,$A$1:A1148,A1149)+1,"")</f>
        <v/>
      </c>
      <c r="C1149" s="296"/>
      <c r="D1149" s="296"/>
      <c r="E1149" s="296"/>
      <c r="F1149" s="296"/>
      <c r="G1149" s="326"/>
      <c r="H1149" s="324"/>
      <c r="I1149" s="325"/>
      <c r="J1149" s="325"/>
      <c r="K1149" s="318"/>
      <c r="L1149" s="318"/>
      <c r="M1149" s="319" t="str">
        <f>IFERROR(VLOOKUP(H1149,Lijsten!$H$1:$I$100,2,0),"")</f>
        <v/>
      </c>
      <c r="N1149" s="319" t="str">
        <f ca="1">IFERROR(IF(VLOOKUP(F1149,Kostentypen!$A$3:$E$21,3,0)=0,"",IF(OR(F1149="Arbeidskosten",F1149="Vergoeding"),VLOOKUP(G1149,Tb_KostenTypen[],2,0),VLOOKUP(F1149,Kostentypen!$A$3:$E$20,3,0))),"")</f>
        <v/>
      </c>
      <c r="O1149" s="320" t="str" cm="1">
        <f t="array" ref="O1149">_xlfn.IFNA(IF(INDEX(Tb_KostenOptiesDB[],MATCH($F1149,Tb_KostenOptiesDB[KostenOptie],0),IFERROR(MATCH(Methode_Keuze,Tb_KostenOptiesDB[#Headers],0),2))=1,_xlfn.SWITCH($N1149,"Uurtarief",IF(OR(AND(RIGHT($F1149,3)="IKS",VLOOKUP($M1149,DB_Loonkosten,2,0)="Ja"),AND(RIGHT($F1149,3)&lt;&gt;"IKS",VLOOKUP($M1149,DB_Loonkosten,2,0)="Nee")),IFERROR(VLOOKUP($M1149,DB_Loonkosten,24,0),""),0),"Vast tarief",IF(LEFT(F1149,8)="Bijdrage",VLOOKUP($F1149,Tb_KostenTypen[],MATCH(Lijsten!$P$1,Tb_KostenTypen[#Headers],0),0),VLOOKUP($G1149,Lijsten!L:P,MATCH(Lijsten!$P$1,Kop_Tarief_Vast,0),0))),""),"")</f>
        <v/>
      </c>
      <c r="P1149" s="320" t="str" cm="1">
        <f t="array" ref="P1149">_xlfn.IFNA(IF(INDEX(Tb_KostenOptiesDB[],MATCH($F1149,Tb_KostenOptiesDB[KostenOptie],0),IFERROR(MATCH(Methode_Keuze,Tb_KostenOptiesDB[#Headers],0),2))=1,_xlfn.SWITCH($N1149,"Uurtarief",IF(OR(AND(RIGHT($F1149,3)="IKS",VLOOKUP($M1149,DB_Loonkosten,2,0)="Ja"),AND(RIGHT($F1149,3)&lt;&gt;"IKS",VLOOKUP($M1149,DB_Loonkosten,2,0)="Nee")),IFERROR(VLOOKUP($M1149,DB_Loonkosten,25,0),""),0),"Vast tarief",IF(LEFT(F1149,8)="Bijdrage",VLOOKUP($F1149,Tb_KostenTypen[],MATCH(Lijsten!$P$1,Tb_KostenTypen[#Headers],0),0),VLOOKUP($G1149,Lijsten!L:P,MATCH(Lijsten!$P$1,Kop_Tarief_Vast,0),0))),""),"")</f>
        <v/>
      </c>
      <c r="Q1149" s="359"/>
      <c r="R1149" s="359"/>
      <c r="S1149" s="321"/>
      <c r="T1149" s="321"/>
      <c r="U1149" s="373" t="str">
        <f t="shared" si="68"/>
        <v/>
      </c>
      <c r="V1149" s="314" t="str">
        <f t="shared" si="69"/>
        <v/>
      </c>
      <c r="W1149" s="314" t="str" cm="1">
        <f t="array" aca="1" ref="W1149" ca="1">IFERROR(IF(AE1149&lt;&gt;"ja",_xlfn.IFNA(_xlfn.IFS(AND(O1149&lt;&gt;"",F1149&lt;&gt;"",RIGHT($N1149,6)="tarief",F1149="Vergoeding"),SUM(O1149)*FLOOR(SUM(Q1149),0.0001),AND(O1149&lt;&gt;"",F1149&lt;&gt;"",RIGHT($N1149,6)="tarief"),SUM(O1149)*FLOOR(SUM(Q1149),0.01),S1149&gt;0,IF(F1149&lt;&gt;"",FLOOR(SUM(S1149),0.01),"")),""),""),"")</f>
        <v/>
      </c>
      <c r="X1149" s="314" t="str" cm="1">
        <f t="array" aca="1" ref="X1149" ca="1">IFERROR(IF(AE1149&lt;&gt;"ja",_xlfn.IFNA(_xlfn.IFS(AND(P1149&lt;&gt;"",R1149&lt;&gt;"",RIGHT($N1149,6)="tarief",F1149="Vergoeding"),SUM(P1149)*FLOOR(SUM(R1149),0.0001),AND(P1149&lt;&gt;"",R1149&lt;&gt;"",RIGHT($N1149,6)="tarief"),P1149*FLOOR(R1149,0.01),T1149&gt;0,FLOOR(SUM(T1149),0.01)),""),""),"")</f>
        <v/>
      </c>
      <c r="Y1149" s="314" t="str">
        <f t="shared" ca="1" si="70"/>
        <v/>
      </c>
      <c r="Z1149" s="314" t="str" cm="1">
        <f t="array" aca="1" ref="Z1149" ca="1">IFERROR(_xlfn.IFS(OR(F1149="",LEFT(Methode_Keuze,4)="Geen",Methode_Keuze=""),"",AND(W1149&lt;&gt;"",F1149&lt;&gt;"Arbeidskosten"),W1149*VLOOKUP(F1149,Tb_ProjectKosten[],MATCH(Tb_ProjectKosten[[#Headers],[Forfait_Percentage]],Tb_ProjectKosten[#Headers],0),0),AND(F1149="Arbeidskosten",G1149&lt;&gt;""),IFERROR(W1149*VLOOKUP(G1149,Tb_KostenTypen[],3,0)*VLOOKUP(F1149,Tb_ProjectKosten[],MATCH(Tb_ProjectKosten[[#Headers],[Forfait_Percentage]],Tb_ProjectKosten[#Headers],0),0),""),W1149 &lt;=0,0),"")</f>
        <v/>
      </c>
      <c r="AA1149" s="314" t="str" cm="1">
        <f t="array" aca="1" ref="AA1149" ca="1">IFERROR(_xlfn.IFS(OR(F1149="",LEFT(Methode_Keuze,4)="Geen",Methode_Keuze=""),"",AND(X1149&lt;&gt;"",F1149&lt;&gt;"Arbeidskosten"),X1149*VLOOKUP(F1149,Tb_ProjectKosten[],MATCH(Tb_ProjectKosten[[#Headers],[Forfait_Percentage]],Tb_ProjectKosten[#Headers],0),0),AND(F1149="Arbeidskosten",G1149&lt;&gt;""),IFERROR(X1149*VLOOKUP(G1149,Tb_KostenTypen[],3,0)*VLOOKUP(F1149,Tb_ProjectKosten[],MATCH(Tb_ProjectKosten[[#Headers],[Forfait_Percentage]],Tb_ProjectKosten[#Headers],0),0),""),X1149 &lt;=0,0),"")</f>
        <v/>
      </c>
      <c r="AB1149" s="314" t="str">
        <f t="shared" ca="1" si="71"/>
        <v/>
      </c>
      <c r="AC1149" s="322"/>
      <c r="AD1149" s="315"/>
      <c r="AE1149" s="32" t="str" cm="1">
        <f t="array" ref="AE1149">IFERROR(IF(INDEX(SubsidieTabel!$AD$1:$AG$12,MATCH($F1149,SubsidieTabel!$AD$1:$AD$12,0),IFERROR(MATCH(Methode_Keuze,SubsidieTabel!$AD$1:$AG$1,0),2))&lt;&gt;1=TRUE,"ja",""),"")</f>
        <v/>
      </c>
    </row>
    <row r="1150" spans="1:31" x14ac:dyDescent="0.25">
      <c r="A1150" s="316"/>
      <c r="B1150" s="317" t="str">
        <f>IF(A1150&lt;&gt;"",_xlfn.MAXIFS($B$1:B1149,$A$1:A1149,A1150)+1,"")</f>
        <v/>
      </c>
      <c r="C1150" s="296"/>
      <c r="D1150" s="296"/>
      <c r="E1150" s="296"/>
      <c r="F1150" s="296"/>
      <c r="G1150" s="326"/>
      <c r="H1150" s="324"/>
      <c r="I1150" s="325"/>
      <c r="J1150" s="325"/>
      <c r="K1150" s="318"/>
      <c r="L1150" s="318"/>
      <c r="M1150" s="319" t="str">
        <f>IFERROR(VLOOKUP(H1150,Lijsten!$H$1:$I$100,2,0),"")</f>
        <v/>
      </c>
      <c r="N1150" s="319" t="str">
        <f ca="1">IFERROR(IF(VLOOKUP(F1150,Kostentypen!$A$3:$E$21,3,0)=0,"",IF(OR(F1150="Arbeidskosten",F1150="Vergoeding"),VLOOKUP(G1150,Tb_KostenTypen[],2,0),VLOOKUP(F1150,Kostentypen!$A$3:$E$20,3,0))),"")</f>
        <v/>
      </c>
      <c r="O1150" s="320" t="str" cm="1">
        <f t="array" ref="O1150">_xlfn.IFNA(IF(INDEX(Tb_KostenOptiesDB[],MATCH($F1150,Tb_KostenOptiesDB[KostenOptie],0),IFERROR(MATCH(Methode_Keuze,Tb_KostenOptiesDB[#Headers],0),2))=1,_xlfn.SWITCH($N1150,"Uurtarief",IF(OR(AND(RIGHT($F1150,3)="IKS",VLOOKUP($M1150,DB_Loonkosten,2,0)="Ja"),AND(RIGHT($F1150,3)&lt;&gt;"IKS",VLOOKUP($M1150,DB_Loonkosten,2,0)="Nee")),IFERROR(VLOOKUP($M1150,DB_Loonkosten,24,0),""),0),"Vast tarief",IF(LEFT(F1150,8)="Bijdrage",VLOOKUP($F1150,Tb_KostenTypen[],MATCH(Lijsten!$P$1,Tb_KostenTypen[#Headers],0),0),VLOOKUP($G1150,Lijsten!L:P,MATCH(Lijsten!$P$1,Kop_Tarief_Vast,0),0))),""),"")</f>
        <v/>
      </c>
      <c r="P1150" s="320" t="str" cm="1">
        <f t="array" ref="P1150">_xlfn.IFNA(IF(INDEX(Tb_KostenOptiesDB[],MATCH($F1150,Tb_KostenOptiesDB[KostenOptie],0),IFERROR(MATCH(Methode_Keuze,Tb_KostenOptiesDB[#Headers],0),2))=1,_xlfn.SWITCH($N1150,"Uurtarief",IF(OR(AND(RIGHT($F1150,3)="IKS",VLOOKUP($M1150,DB_Loonkosten,2,0)="Ja"),AND(RIGHT($F1150,3)&lt;&gt;"IKS",VLOOKUP($M1150,DB_Loonkosten,2,0)="Nee")),IFERROR(VLOOKUP($M1150,DB_Loonkosten,25,0),""),0),"Vast tarief",IF(LEFT(F1150,8)="Bijdrage",VLOOKUP($F1150,Tb_KostenTypen[],MATCH(Lijsten!$P$1,Tb_KostenTypen[#Headers],0),0),VLOOKUP($G1150,Lijsten!L:P,MATCH(Lijsten!$P$1,Kop_Tarief_Vast,0),0))),""),"")</f>
        <v/>
      </c>
      <c r="Q1150" s="359"/>
      <c r="R1150" s="359"/>
      <c r="S1150" s="321"/>
      <c r="T1150" s="321"/>
      <c r="U1150" s="373" t="str">
        <f t="shared" si="68"/>
        <v/>
      </c>
      <c r="V1150" s="314" t="str">
        <f t="shared" si="69"/>
        <v/>
      </c>
      <c r="W1150" s="314" t="str" cm="1">
        <f t="array" aca="1" ref="W1150" ca="1">IFERROR(IF(AE1150&lt;&gt;"ja",_xlfn.IFNA(_xlfn.IFS(AND(O1150&lt;&gt;"",F1150&lt;&gt;"",RIGHT($N1150,6)="tarief",F1150="Vergoeding"),SUM(O1150)*FLOOR(SUM(Q1150),0.0001),AND(O1150&lt;&gt;"",F1150&lt;&gt;"",RIGHT($N1150,6)="tarief"),SUM(O1150)*FLOOR(SUM(Q1150),0.01),S1150&gt;0,IF(F1150&lt;&gt;"",FLOOR(SUM(S1150),0.01),"")),""),""),"")</f>
        <v/>
      </c>
      <c r="X1150" s="314" t="str" cm="1">
        <f t="array" aca="1" ref="X1150" ca="1">IFERROR(IF(AE1150&lt;&gt;"ja",_xlfn.IFNA(_xlfn.IFS(AND(P1150&lt;&gt;"",R1150&lt;&gt;"",RIGHT($N1150,6)="tarief",F1150="Vergoeding"),SUM(P1150)*FLOOR(SUM(R1150),0.0001),AND(P1150&lt;&gt;"",R1150&lt;&gt;"",RIGHT($N1150,6)="tarief"),P1150*FLOOR(R1150,0.01),T1150&gt;0,FLOOR(SUM(T1150),0.01)),""),""),"")</f>
        <v/>
      </c>
      <c r="Y1150" s="314" t="str">
        <f t="shared" ca="1" si="70"/>
        <v/>
      </c>
      <c r="Z1150" s="314" t="str" cm="1">
        <f t="array" aca="1" ref="Z1150" ca="1">IFERROR(_xlfn.IFS(OR(F1150="",LEFT(Methode_Keuze,4)="Geen",Methode_Keuze=""),"",AND(W1150&lt;&gt;"",F1150&lt;&gt;"Arbeidskosten"),W1150*VLOOKUP(F1150,Tb_ProjectKosten[],MATCH(Tb_ProjectKosten[[#Headers],[Forfait_Percentage]],Tb_ProjectKosten[#Headers],0),0),AND(F1150="Arbeidskosten",G1150&lt;&gt;""),IFERROR(W1150*VLOOKUP(G1150,Tb_KostenTypen[],3,0)*VLOOKUP(F1150,Tb_ProjectKosten[],MATCH(Tb_ProjectKosten[[#Headers],[Forfait_Percentage]],Tb_ProjectKosten[#Headers],0),0),""),W1150 &lt;=0,0),"")</f>
        <v/>
      </c>
      <c r="AA1150" s="314" t="str" cm="1">
        <f t="array" aca="1" ref="AA1150" ca="1">IFERROR(_xlfn.IFS(OR(F1150="",LEFT(Methode_Keuze,4)="Geen",Methode_Keuze=""),"",AND(X1150&lt;&gt;"",F1150&lt;&gt;"Arbeidskosten"),X1150*VLOOKUP(F1150,Tb_ProjectKosten[],MATCH(Tb_ProjectKosten[[#Headers],[Forfait_Percentage]],Tb_ProjectKosten[#Headers],0),0),AND(F1150="Arbeidskosten",G1150&lt;&gt;""),IFERROR(X1150*VLOOKUP(G1150,Tb_KostenTypen[],3,0)*VLOOKUP(F1150,Tb_ProjectKosten[],MATCH(Tb_ProjectKosten[[#Headers],[Forfait_Percentage]],Tb_ProjectKosten[#Headers],0),0),""),X1150 &lt;=0,0),"")</f>
        <v/>
      </c>
      <c r="AB1150" s="314" t="str">
        <f t="shared" ca="1" si="71"/>
        <v/>
      </c>
      <c r="AC1150" s="322"/>
      <c r="AD1150" s="315"/>
      <c r="AE1150" s="32" t="str" cm="1">
        <f t="array" ref="AE1150">IFERROR(IF(INDEX(SubsidieTabel!$AD$1:$AG$12,MATCH($F1150,SubsidieTabel!$AD$1:$AD$12,0),IFERROR(MATCH(Methode_Keuze,SubsidieTabel!$AD$1:$AG$1,0),2))&lt;&gt;1=TRUE,"ja",""),"")</f>
        <v/>
      </c>
    </row>
    <row r="1151" spans="1:31" x14ac:dyDescent="0.25">
      <c r="A1151" s="316"/>
      <c r="B1151" s="317" t="str">
        <f>IF(A1151&lt;&gt;"",_xlfn.MAXIFS($B$1:B1150,$A$1:A1150,A1151)+1,"")</f>
        <v/>
      </c>
      <c r="C1151" s="296"/>
      <c r="D1151" s="296"/>
      <c r="E1151" s="296"/>
      <c r="F1151" s="296"/>
      <c r="G1151" s="326"/>
      <c r="H1151" s="324"/>
      <c r="I1151" s="325"/>
      <c r="J1151" s="325"/>
      <c r="K1151" s="318"/>
      <c r="L1151" s="318"/>
      <c r="M1151" s="319" t="str">
        <f>IFERROR(VLOOKUP(H1151,Lijsten!$H$1:$I$100,2,0),"")</f>
        <v/>
      </c>
      <c r="N1151" s="319" t="str">
        <f ca="1">IFERROR(IF(VLOOKUP(F1151,Kostentypen!$A$3:$E$21,3,0)=0,"",IF(OR(F1151="Arbeidskosten",F1151="Vergoeding"),VLOOKUP(G1151,Tb_KostenTypen[],2,0),VLOOKUP(F1151,Kostentypen!$A$3:$E$20,3,0))),"")</f>
        <v/>
      </c>
      <c r="O1151" s="320" t="str" cm="1">
        <f t="array" ref="O1151">_xlfn.IFNA(IF(INDEX(Tb_KostenOptiesDB[],MATCH($F1151,Tb_KostenOptiesDB[KostenOptie],0),IFERROR(MATCH(Methode_Keuze,Tb_KostenOptiesDB[#Headers],0),2))=1,_xlfn.SWITCH($N1151,"Uurtarief",IF(OR(AND(RIGHT($F1151,3)="IKS",VLOOKUP($M1151,DB_Loonkosten,2,0)="Ja"),AND(RIGHT($F1151,3)&lt;&gt;"IKS",VLOOKUP($M1151,DB_Loonkosten,2,0)="Nee")),IFERROR(VLOOKUP($M1151,DB_Loonkosten,24,0),""),0),"Vast tarief",IF(LEFT(F1151,8)="Bijdrage",VLOOKUP($F1151,Tb_KostenTypen[],MATCH(Lijsten!$P$1,Tb_KostenTypen[#Headers],0),0),VLOOKUP($G1151,Lijsten!L:P,MATCH(Lijsten!$P$1,Kop_Tarief_Vast,0),0))),""),"")</f>
        <v/>
      </c>
      <c r="P1151" s="320" t="str" cm="1">
        <f t="array" ref="P1151">_xlfn.IFNA(IF(INDEX(Tb_KostenOptiesDB[],MATCH($F1151,Tb_KostenOptiesDB[KostenOptie],0),IFERROR(MATCH(Methode_Keuze,Tb_KostenOptiesDB[#Headers],0),2))=1,_xlfn.SWITCH($N1151,"Uurtarief",IF(OR(AND(RIGHT($F1151,3)="IKS",VLOOKUP($M1151,DB_Loonkosten,2,0)="Ja"),AND(RIGHT($F1151,3)&lt;&gt;"IKS",VLOOKUP($M1151,DB_Loonkosten,2,0)="Nee")),IFERROR(VLOOKUP($M1151,DB_Loonkosten,25,0),""),0),"Vast tarief",IF(LEFT(F1151,8)="Bijdrage",VLOOKUP($F1151,Tb_KostenTypen[],MATCH(Lijsten!$P$1,Tb_KostenTypen[#Headers],0),0),VLOOKUP($G1151,Lijsten!L:P,MATCH(Lijsten!$P$1,Kop_Tarief_Vast,0),0))),""),"")</f>
        <v/>
      </c>
      <c r="Q1151" s="359"/>
      <c r="R1151" s="359"/>
      <c r="S1151" s="321"/>
      <c r="T1151" s="321"/>
      <c r="U1151" s="373" t="str">
        <f t="shared" si="68"/>
        <v/>
      </c>
      <c r="V1151" s="314" t="str">
        <f t="shared" si="69"/>
        <v/>
      </c>
      <c r="W1151" s="314" t="str" cm="1">
        <f t="array" aca="1" ref="W1151" ca="1">IFERROR(IF(AE1151&lt;&gt;"ja",_xlfn.IFNA(_xlfn.IFS(AND(O1151&lt;&gt;"",F1151&lt;&gt;"",RIGHT($N1151,6)="tarief",F1151="Vergoeding"),SUM(O1151)*FLOOR(SUM(Q1151),0.0001),AND(O1151&lt;&gt;"",F1151&lt;&gt;"",RIGHT($N1151,6)="tarief"),SUM(O1151)*FLOOR(SUM(Q1151),0.01),S1151&gt;0,IF(F1151&lt;&gt;"",FLOOR(SUM(S1151),0.01),"")),""),""),"")</f>
        <v/>
      </c>
      <c r="X1151" s="314" t="str" cm="1">
        <f t="array" aca="1" ref="X1151" ca="1">IFERROR(IF(AE1151&lt;&gt;"ja",_xlfn.IFNA(_xlfn.IFS(AND(P1151&lt;&gt;"",R1151&lt;&gt;"",RIGHT($N1151,6)="tarief",F1151="Vergoeding"),SUM(P1151)*FLOOR(SUM(R1151),0.0001),AND(P1151&lt;&gt;"",R1151&lt;&gt;"",RIGHT($N1151,6)="tarief"),P1151*FLOOR(R1151,0.01),T1151&gt;0,FLOOR(SUM(T1151),0.01)),""),""),"")</f>
        <v/>
      </c>
      <c r="Y1151" s="314" t="str">
        <f t="shared" ca="1" si="70"/>
        <v/>
      </c>
      <c r="Z1151" s="314" t="str" cm="1">
        <f t="array" aca="1" ref="Z1151" ca="1">IFERROR(_xlfn.IFS(OR(F1151="",LEFT(Methode_Keuze,4)="Geen",Methode_Keuze=""),"",AND(W1151&lt;&gt;"",F1151&lt;&gt;"Arbeidskosten"),W1151*VLOOKUP(F1151,Tb_ProjectKosten[],MATCH(Tb_ProjectKosten[[#Headers],[Forfait_Percentage]],Tb_ProjectKosten[#Headers],0),0),AND(F1151="Arbeidskosten",G1151&lt;&gt;""),IFERROR(W1151*VLOOKUP(G1151,Tb_KostenTypen[],3,0)*VLOOKUP(F1151,Tb_ProjectKosten[],MATCH(Tb_ProjectKosten[[#Headers],[Forfait_Percentage]],Tb_ProjectKosten[#Headers],0),0),""),W1151 &lt;=0,0),"")</f>
        <v/>
      </c>
      <c r="AA1151" s="314" t="str" cm="1">
        <f t="array" aca="1" ref="AA1151" ca="1">IFERROR(_xlfn.IFS(OR(F1151="",LEFT(Methode_Keuze,4)="Geen",Methode_Keuze=""),"",AND(X1151&lt;&gt;"",F1151&lt;&gt;"Arbeidskosten"),X1151*VLOOKUP(F1151,Tb_ProjectKosten[],MATCH(Tb_ProjectKosten[[#Headers],[Forfait_Percentage]],Tb_ProjectKosten[#Headers],0),0),AND(F1151="Arbeidskosten",G1151&lt;&gt;""),IFERROR(X1151*VLOOKUP(G1151,Tb_KostenTypen[],3,0)*VLOOKUP(F1151,Tb_ProjectKosten[],MATCH(Tb_ProjectKosten[[#Headers],[Forfait_Percentage]],Tb_ProjectKosten[#Headers],0),0),""),X1151 &lt;=0,0),"")</f>
        <v/>
      </c>
      <c r="AB1151" s="314" t="str">
        <f t="shared" ca="1" si="71"/>
        <v/>
      </c>
      <c r="AC1151" s="322"/>
      <c r="AD1151" s="315"/>
      <c r="AE1151" s="32" t="str" cm="1">
        <f t="array" ref="AE1151">IFERROR(IF(INDEX(SubsidieTabel!$AD$1:$AG$12,MATCH($F1151,SubsidieTabel!$AD$1:$AD$12,0),IFERROR(MATCH(Methode_Keuze,SubsidieTabel!$AD$1:$AG$1,0),2))&lt;&gt;1=TRUE,"ja",""),"")</f>
        <v/>
      </c>
    </row>
    <row r="1152" spans="1:31" x14ac:dyDescent="0.25">
      <c r="A1152" s="316"/>
      <c r="B1152" s="317" t="str">
        <f>IF(A1152&lt;&gt;"",_xlfn.MAXIFS($B$1:B1151,$A$1:A1151,A1152)+1,"")</f>
        <v/>
      </c>
      <c r="C1152" s="296"/>
      <c r="D1152" s="296"/>
      <c r="E1152" s="296"/>
      <c r="F1152" s="296"/>
      <c r="G1152" s="326"/>
      <c r="H1152" s="324"/>
      <c r="I1152" s="325"/>
      <c r="J1152" s="325"/>
      <c r="K1152" s="318"/>
      <c r="L1152" s="318"/>
      <c r="M1152" s="319" t="str">
        <f>IFERROR(VLOOKUP(H1152,Lijsten!$H$1:$I$100,2,0),"")</f>
        <v/>
      </c>
      <c r="N1152" s="319" t="str">
        <f ca="1">IFERROR(IF(VLOOKUP(F1152,Kostentypen!$A$3:$E$21,3,0)=0,"",IF(OR(F1152="Arbeidskosten",F1152="Vergoeding"),VLOOKUP(G1152,Tb_KostenTypen[],2,0),VLOOKUP(F1152,Kostentypen!$A$3:$E$20,3,0))),"")</f>
        <v/>
      </c>
      <c r="O1152" s="320" t="str" cm="1">
        <f t="array" ref="O1152">_xlfn.IFNA(IF(INDEX(Tb_KostenOptiesDB[],MATCH($F1152,Tb_KostenOptiesDB[KostenOptie],0),IFERROR(MATCH(Methode_Keuze,Tb_KostenOptiesDB[#Headers],0),2))=1,_xlfn.SWITCH($N1152,"Uurtarief",IF(OR(AND(RIGHT($F1152,3)="IKS",VLOOKUP($M1152,DB_Loonkosten,2,0)="Ja"),AND(RIGHT($F1152,3)&lt;&gt;"IKS",VLOOKUP($M1152,DB_Loonkosten,2,0)="Nee")),IFERROR(VLOOKUP($M1152,DB_Loonkosten,24,0),""),0),"Vast tarief",IF(LEFT(F1152,8)="Bijdrage",VLOOKUP($F1152,Tb_KostenTypen[],MATCH(Lijsten!$P$1,Tb_KostenTypen[#Headers],0),0),VLOOKUP($G1152,Lijsten!L:P,MATCH(Lijsten!$P$1,Kop_Tarief_Vast,0),0))),""),"")</f>
        <v/>
      </c>
      <c r="P1152" s="320" t="str" cm="1">
        <f t="array" ref="P1152">_xlfn.IFNA(IF(INDEX(Tb_KostenOptiesDB[],MATCH($F1152,Tb_KostenOptiesDB[KostenOptie],0),IFERROR(MATCH(Methode_Keuze,Tb_KostenOptiesDB[#Headers],0),2))=1,_xlfn.SWITCH($N1152,"Uurtarief",IF(OR(AND(RIGHT($F1152,3)="IKS",VLOOKUP($M1152,DB_Loonkosten,2,0)="Ja"),AND(RIGHT($F1152,3)&lt;&gt;"IKS",VLOOKUP($M1152,DB_Loonkosten,2,0)="Nee")),IFERROR(VLOOKUP($M1152,DB_Loonkosten,25,0),""),0),"Vast tarief",IF(LEFT(F1152,8)="Bijdrage",VLOOKUP($F1152,Tb_KostenTypen[],MATCH(Lijsten!$P$1,Tb_KostenTypen[#Headers],0),0),VLOOKUP($G1152,Lijsten!L:P,MATCH(Lijsten!$P$1,Kop_Tarief_Vast,0),0))),""),"")</f>
        <v/>
      </c>
      <c r="Q1152" s="359"/>
      <c r="R1152" s="359"/>
      <c r="S1152" s="321"/>
      <c r="T1152" s="321"/>
      <c r="U1152" s="373" t="str">
        <f t="shared" si="68"/>
        <v/>
      </c>
      <c r="V1152" s="314" t="str">
        <f t="shared" si="69"/>
        <v/>
      </c>
      <c r="W1152" s="314" t="str" cm="1">
        <f t="array" aca="1" ref="W1152" ca="1">IFERROR(IF(AE1152&lt;&gt;"ja",_xlfn.IFNA(_xlfn.IFS(AND(O1152&lt;&gt;"",F1152&lt;&gt;"",RIGHT($N1152,6)="tarief",F1152="Vergoeding"),SUM(O1152)*FLOOR(SUM(Q1152),0.0001),AND(O1152&lt;&gt;"",F1152&lt;&gt;"",RIGHT($N1152,6)="tarief"),SUM(O1152)*FLOOR(SUM(Q1152),0.01),S1152&gt;0,IF(F1152&lt;&gt;"",FLOOR(SUM(S1152),0.01),"")),""),""),"")</f>
        <v/>
      </c>
      <c r="X1152" s="314" t="str" cm="1">
        <f t="array" aca="1" ref="X1152" ca="1">IFERROR(IF(AE1152&lt;&gt;"ja",_xlfn.IFNA(_xlfn.IFS(AND(P1152&lt;&gt;"",R1152&lt;&gt;"",RIGHT($N1152,6)="tarief",F1152="Vergoeding"),SUM(P1152)*FLOOR(SUM(R1152),0.0001),AND(P1152&lt;&gt;"",R1152&lt;&gt;"",RIGHT($N1152,6)="tarief"),P1152*FLOOR(R1152,0.01),T1152&gt;0,FLOOR(SUM(T1152),0.01)),""),""),"")</f>
        <v/>
      </c>
      <c r="Y1152" s="314" t="str">
        <f t="shared" ca="1" si="70"/>
        <v/>
      </c>
      <c r="Z1152" s="314" t="str" cm="1">
        <f t="array" aca="1" ref="Z1152" ca="1">IFERROR(_xlfn.IFS(OR(F1152="",LEFT(Methode_Keuze,4)="Geen",Methode_Keuze=""),"",AND(W1152&lt;&gt;"",F1152&lt;&gt;"Arbeidskosten"),W1152*VLOOKUP(F1152,Tb_ProjectKosten[],MATCH(Tb_ProjectKosten[[#Headers],[Forfait_Percentage]],Tb_ProjectKosten[#Headers],0),0),AND(F1152="Arbeidskosten",G1152&lt;&gt;""),IFERROR(W1152*VLOOKUP(G1152,Tb_KostenTypen[],3,0)*VLOOKUP(F1152,Tb_ProjectKosten[],MATCH(Tb_ProjectKosten[[#Headers],[Forfait_Percentage]],Tb_ProjectKosten[#Headers],0),0),""),W1152 &lt;=0,0),"")</f>
        <v/>
      </c>
      <c r="AA1152" s="314" t="str" cm="1">
        <f t="array" aca="1" ref="AA1152" ca="1">IFERROR(_xlfn.IFS(OR(F1152="",LEFT(Methode_Keuze,4)="Geen",Methode_Keuze=""),"",AND(X1152&lt;&gt;"",F1152&lt;&gt;"Arbeidskosten"),X1152*VLOOKUP(F1152,Tb_ProjectKosten[],MATCH(Tb_ProjectKosten[[#Headers],[Forfait_Percentage]],Tb_ProjectKosten[#Headers],0),0),AND(F1152="Arbeidskosten",G1152&lt;&gt;""),IFERROR(X1152*VLOOKUP(G1152,Tb_KostenTypen[],3,0)*VLOOKUP(F1152,Tb_ProjectKosten[],MATCH(Tb_ProjectKosten[[#Headers],[Forfait_Percentage]],Tb_ProjectKosten[#Headers],0),0),""),X1152 &lt;=0,0),"")</f>
        <v/>
      </c>
      <c r="AB1152" s="314" t="str">
        <f t="shared" ca="1" si="71"/>
        <v/>
      </c>
      <c r="AC1152" s="322"/>
      <c r="AD1152" s="315"/>
      <c r="AE1152" s="32" t="str" cm="1">
        <f t="array" ref="AE1152">IFERROR(IF(INDEX(SubsidieTabel!$AD$1:$AG$12,MATCH($F1152,SubsidieTabel!$AD$1:$AD$12,0),IFERROR(MATCH(Methode_Keuze,SubsidieTabel!$AD$1:$AG$1,0),2))&lt;&gt;1=TRUE,"ja",""),"")</f>
        <v/>
      </c>
    </row>
    <row r="1153" spans="1:31" x14ac:dyDescent="0.25">
      <c r="A1153" s="316"/>
      <c r="B1153" s="317" t="str">
        <f>IF(A1153&lt;&gt;"",_xlfn.MAXIFS($B$1:B1152,$A$1:A1152,A1153)+1,"")</f>
        <v/>
      </c>
      <c r="C1153" s="296"/>
      <c r="D1153" s="296"/>
      <c r="E1153" s="296"/>
      <c r="F1153" s="296"/>
      <c r="G1153" s="326"/>
      <c r="H1153" s="324"/>
      <c r="I1153" s="325"/>
      <c r="J1153" s="325"/>
      <c r="K1153" s="318"/>
      <c r="L1153" s="318"/>
      <c r="M1153" s="319" t="str">
        <f>IFERROR(VLOOKUP(H1153,Lijsten!$H$1:$I$100,2,0),"")</f>
        <v/>
      </c>
      <c r="N1153" s="319" t="str">
        <f ca="1">IFERROR(IF(VLOOKUP(F1153,Kostentypen!$A$3:$E$21,3,0)=0,"",IF(OR(F1153="Arbeidskosten",F1153="Vergoeding"),VLOOKUP(G1153,Tb_KostenTypen[],2,0),VLOOKUP(F1153,Kostentypen!$A$3:$E$20,3,0))),"")</f>
        <v/>
      </c>
      <c r="O1153" s="320" t="str" cm="1">
        <f t="array" ref="O1153">_xlfn.IFNA(IF(INDEX(Tb_KostenOptiesDB[],MATCH($F1153,Tb_KostenOptiesDB[KostenOptie],0),IFERROR(MATCH(Methode_Keuze,Tb_KostenOptiesDB[#Headers],0),2))=1,_xlfn.SWITCH($N1153,"Uurtarief",IF(OR(AND(RIGHT($F1153,3)="IKS",VLOOKUP($M1153,DB_Loonkosten,2,0)="Ja"),AND(RIGHT($F1153,3)&lt;&gt;"IKS",VLOOKUP($M1153,DB_Loonkosten,2,0)="Nee")),IFERROR(VLOOKUP($M1153,DB_Loonkosten,24,0),""),0),"Vast tarief",IF(LEFT(F1153,8)="Bijdrage",VLOOKUP($F1153,Tb_KostenTypen[],MATCH(Lijsten!$P$1,Tb_KostenTypen[#Headers],0),0),VLOOKUP($G1153,Lijsten!L:P,MATCH(Lijsten!$P$1,Kop_Tarief_Vast,0),0))),""),"")</f>
        <v/>
      </c>
      <c r="P1153" s="320" t="str" cm="1">
        <f t="array" ref="P1153">_xlfn.IFNA(IF(INDEX(Tb_KostenOptiesDB[],MATCH($F1153,Tb_KostenOptiesDB[KostenOptie],0),IFERROR(MATCH(Methode_Keuze,Tb_KostenOptiesDB[#Headers],0),2))=1,_xlfn.SWITCH($N1153,"Uurtarief",IF(OR(AND(RIGHT($F1153,3)="IKS",VLOOKUP($M1153,DB_Loonkosten,2,0)="Ja"),AND(RIGHT($F1153,3)&lt;&gt;"IKS",VLOOKUP($M1153,DB_Loonkosten,2,0)="Nee")),IFERROR(VLOOKUP($M1153,DB_Loonkosten,25,0),""),0),"Vast tarief",IF(LEFT(F1153,8)="Bijdrage",VLOOKUP($F1153,Tb_KostenTypen[],MATCH(Lijsten!$P$1,Tb_KostenTypen[#Headers],0),0),VLOOKUP($G1153,Lijsten!L:P,MATCH(Lijsten!$P$1,Kop_Tarief_Vast,0),0))),""),"")</f>
        <v/>
      </c>
      <c r="Q1153" s="359"/>
      <c r="R1153" s="359"/>
      <c r="S1153" s="321"/>
      <c r="T1153" s="321"/>
      <c r="U1153" s="373" t="str">
        <f t="shared" si="68"/>
        <v/>
      </c>
      <c r="V1153" s="314" t="str">
        <f t="shared" si="69"/>
        <v/>
      </c>
      <c r="W1153" s="314" t="str" cm="1">
        <f t="array" aca="1" ref="W1153" ca="1">IFERROR(IF(AE1153&lt;&gt;"ja",_xlfn.IFNA(_xlfn.IFS(AND(O1153&lt;&gt;"",F1153&lt;&gt;"",RIGHT($N1153,6)="tarief",F1153="Vergoeding"),SUM(O1153)*FLOOR(SUM(Q1153),0.0001),AND(O1153&lt;&gt;"",F1153&lt;&gt;"",RIGHT($N1153,6)="tarief"),SUM(O1153)*FLOOR(SUM(Q1153),0.01),S1153&gt;0,IF(F1153&lt;&gt;"",FLOOR(SUM(S1153),0.01),"")),""),""),"")</f>
        <v/>
      </c>
      <c r="X1153" s="314" t="str" cm="1">
        <f t="array" aca="1" ref="X1153" ca="1">IFERROR(IF(AE1153&lt;&gt;"ja",_xlfn.IFNA(_xlfn.IFS(AND(P1153&lt;&gt;"",R1153&lt;&gt;"",RIGHT($N1153,6)="tarief",F1153="Vergoeding"),SUM(P1153)*FLOOR(SUM(R1153),0.0001),AND(P1153&lt;&gt;"",R1153&lt;&gt;"",RIGHT($N1153,6)="tarief"),P1153*FLOOR(R1153,0.01),T1153&gt;0,FLOOR(SUM(T1153),0.01)),""),""),"")</f>
        <v/>
      </c>
      <c r="Y1153" s="314" t="str">
        <f t="shared" ca="1" si="70"/>
        <v/>
      </c>
      <c r="Z1153" s="314" t="str" cm="1">
        <f t="array" aca="1" ref="Z1153" ca="1">IFERROR(_xlfn.IFS(OR(F1153="",LEFT(Methode_Keuze,4)="Geen",Methode_Keuze=""),"",AND(W1153&lt;&gt;"",F1153&lt;&gt;"Arbeidskosten"),W1153*VLOOKUP(F1153,Tb_ProjectKosten[],MATCH(Tb_ProjectKosten[[#Headers],[Forfait_Percentage]],Tb_ProjectKosten[#Headers],0),0),AND(F1153="Arbeidskosten",G1153&lt;&gt;""),IFERROR(W1153*VLOOKUP(G1153,Tb_KostenTypen[],3,0)*VLOOKUP(F1153,Tb_ProjectKosten[],MATCH(Tb_ProjectKosten[[#Headers],[Forfait_Percentage]],Tb_ProjectKosten[#Headers],0),0),""),W1153 &lt;=0,0),"")</f>
        <v/>
      </c>
      <c r="AA1153" s="314" t="str" cm="1">
        <f t="array" aca="1" ref="AA1153" ca="1">IFERROR(_xlfn.IFS(OR(F1153="",LEFT(Methode_Keuze,4)="Geen",Methode_Keuze=""),"",AND(X1153&lt;&gt;"",F1153&lt;&gt;"Arbeidskosten"),X1153*VLOOKUP(F1153,Tb_ProjectKosten[],MATCH(Tb_ProjectKosten[[#Headers],[Forfait_Percentage]],Tb_ProjectKosten[#Headers],0),0),AND(F1153="Arbeidskosten",G1153&lt;&gt;""),IFERROR(X1153*VLOOKUP(G1153,Tb_KostenTypen[],3,0)*VLOOKUP(F1153,Tb_ProjectKosten[],MATCH(Tb_ProjectKosten[[#Headers],[Forfait_Percentage]],Tb_ProjectKosten[#Headers],0),0),""),X1153 &lt;=0,0),"")</f>
        <v/>
      </c>
      <c r="AB1153" s="314" t="str">
        <f t="shared" ca="1" si="71"/>
        <v/>
      </c>
      <c r="AC1153" s="322"/>
      <c r="AD1153" s="315"/>
      <c r="AE1153" s="32" t="str" cm="1">
        <f t="array" ref="AE1153">IFERROR(IF(INDEX(SubsidieTabel!$AD$1:$AG$12,MATCH($F1153,SubsidieTabel!$AD$1:$AD$12,0),IFERROR(MATCH(Methode_Keuze,SubsidieTabel!$AD$1:$AG$1,0),2))&lt;&gt;1=TRUE,"ja",""),"")</f>
        <v/>
      </c>
    </row>
    <row r="1154" spans="1:31" x14ac:dyDescent="0.25">
      <c r="A1154" s="316"/>
      <c r="B1154" s="317" t="str">
        <f>IF(A1154&lt;&gt;"",_xlfn.MAXIFS($B$1:B1153,$A$1:A1153,A1154)+1,"")</f>
        <v/>
      </c>
      <c r="C1154" s="296"/>
      <c r="D1154" s="296"/>
      <c r="E1154" s="296"/>
      <c r="F1154" s="296"/>
      <c r="G1154" s="326"/>
      <c r="H1154" s="324"/>
      <c r="I1154" s="325"/>
      <c r="J1154" s="325"/>
      <c r="K1154" s="318"/>
      <c r="L1154" s="318"/>
      <c r="M1154" s="319" t="str">
        <f>IFERROR(VLOOKUP(H1154,Lijsten!$H$1:$I$100,2,0),"")</f>
        <v/>
      </c>
      <c r="N1154" s="319" t="str">
        <f ca="1">IFERROR(IF(VLOOKUP(F1154,Kostentypen!$A$3:$E$21,3,0)=0,"",IF(OR(F1154="Arbeidskosten",F1154="Vergoeding"),VLOOKUP(G1154,Tb_KostenTypen[],2,0),VLOOKUP(F1154,Kostentypen!$A$3:$E$20,3,0))),"")</f>
        <v/>
      </c>
      <c r="O1154" s="320" t="str" cm="1">
        <f t="array" ref="O1154">_xlfn.IFNA(IF(INDEX(Tb_KostenOptiesDB[],MATCH($F1154,Tb_KostenOptiesDB[KostenOptie],0),IFERROR(MATCH(Methode_Keuze,Tb_KostenOptiesDB[#Headers],0),2))=1,_xlfn.SWITCH($N1154,"Uurtarief",IF(OR(AND(RIGHT($F1154,3)="IKS",VLOOKUP($M1154,DB_Loonkosten,2,0)="Ja"),AND(RIGHT($F1154,3)&lt;&gt;"IKS",VLOOKUP($M1154,DB_Loonkosten,2,0)="Nee")),IFERROR(VLOOKUP($M1154,DB_Loonkosten,24,0),""),0),"Vast tarief",IF(LEFT(F1154,8)="Bijdrage",VLOOKUP($F1154,Tb_KostenTypen[],MATCH(Lijsten!$P$1,Tb_KostenTypen[#Headers],0),0),VLOOKUP($G1154,Lijsten!L:P,MATCH(Lijsten!$P$1,Kop_Tarief_Vast,0),0))),""),"")</f>
        <v/>
      </c>
      <c r="P1154" s="320" t="str" cm="1">
        <f t="array" ref="P1154">_xlfn.IFNA(IF(INDEX(Tb_KostenOptiesDB[],MATCH($F1154,Tb_KostenOptiesDB[KostenOptie],0),IFERROR(MATCH(Methode_Keuze,Tb_KostenOptiesDB[#Headers],0),2))=1,_xlfn.SWITCH($N1154,"Uurtarief",IF(OR(AND(RIGHT($F1154,3)="IKS",VLOOKUP($M1154,DB_Loonkosten,2,0)="Ja"),AND(RIGHT($F1154,3)&lt;&gt;"IKS",VLOOKUP($M1154,DB_Loonkosten,2,0)="Nee")),IFERROR(VLOOKUP($M1154,DB_Loonkosten,25,0),""),0),"Vast tarief",IF(LEFT(F1154,8)="Bijdrage",VLOOKUP($F1154,Tb_KostenTypen[],MATCH(Lijsten!$P$1,Tb_KostenTypen[#Headers],0),0),VLOOKUP($G1154,Lijsten!L:P,MATCH(Lijsten!$P$1,Kop_Tarief_Vast,0),0))),""),"")</f>
        <v/>
      </c>
      <c r="Q1154" s="359"/>
      <c r="R1154" s="359"/>
      <c r="S1154" s="321"/>
      <c r="T1154" s="321"/>
      <c r="U1154" s="373" t="str">
        <f t="shared" si="68"/>
        <v/>
      </c>
      <c r="V1154" s="314" t="str">
        <f t="shared" si="69"/>
        <v/>
      </c>
      <c r="W1154" s="314" t="str" cm="1">
        <f t="array" aca="1" ref="W1154" ca="1">IFERROR(IF(AE1154&lt;&gt;"ja",_xlfn.IFNA(_xlfn.IFS(AND(O1154&lt;&gt;"",F1154&lt;&gt;"",RIGHT($N1154,6)="tarief",F1154="Vergoeding"),SUM(O1154)*FLOOR(SUM(Q1154),0.0001),AND(O1154&lt;&gt;"",F1154&lt;&gt;"",RIGHT($N1154,6)="tarief"),SUM(O1154)*FLOOR(SUM(Q1154),0.01),S1154&gt;0,IF(F1154&lt;&gt;"",FLOOR(SUM(S1154),0.01),"")),""),""),"")</f>
        <v/>
      </c>
      <c r="X1154" s="314" t="str" cm="1">
        <f t="array" aca="1" ref="X1154" ca="1">IFERROR(IF(AE1154&lt;&gt;"ja",_xlfn.IFNA(_xlfn.IFS(AND(P1154&lt;&gt;"",R1154&lt;&gt;"",RIGHT($N1154,6)="tarief",F1154="Vergoeding"),SUM(P1154)*FLOOR(SUM(R1154),0.0001),AND(P1154&lt;&gt;"",R1154&lt;&gt;"",RIGHT($N1154,6)="tarief"),P1154*FLOOR(R1154,0.01),T1154&gt;0,FLOOR(SUM(T1154),0.01)),""),""),"")</f>
        <v/>
      </c>
      <c r="Y1154" s="314" t="str">
        <f t="shared" ca="1" si="70"/>
        <v/>
      </c>
      <c r="Z1154" s="314" t="str" cm="1">
        <f t="array" aca="1" ref="Z1154" ca="1">IFERROR(_xlfn.IFS(OR(F1154="",LEFT(Methode_Keuze,4)="Geen",Methode_Keuze=""),"",AND(W1154&lt;&gt;"",F1154&lt;&gt;"Arbeidskosten"),W1154*VLOOKUP(F1154,Tb_ProjectKosten[],MATCH(Tb_ProjectKosten[[#Headers],[Forfait_Percentage]],Tb_ProjectKosten[#Headers],0),0),AND(F1154="Arbeidskosten",G1154&lt;&gt;""),IFERROR(W1154*VLOOKUP(G1154,Tb_KostenTypen[],3,0)*VLOOKUP(F1154,Tb_ProjectKosten[],MATCH(Tb_ProjectKosten[[#Headers],[Forfait_Percentage]],Tb_ProjectKosten[#Headers],0),0),""),W1154 &lt;=0,0),"")</f>
        <v/>
      </c>
      <c r="AA1154" s="314" t="str" cm="1">
        <f t="array" aca="1" ref="AA1154" ca="1">IFERROR(_xlfn.IFS(OR(F1154="",LEFT(Methode_Keuze,4)="Geen",Methode_Keuze=""),"",AND(X1154&lt;&gt;"",F1154&lt;&gt;"Arbeidskosten"),X1154*VLOOKUP(F1154,Tb_ProjectKosten[],MATCH(Tb_ProjectKosten[[#Headers],[Forfait_Percentage]],Tb_ProjectKosten[#Headers],0),0),AND(F1154="Arbeidskosten",G1154&lt;&gt;""),IFERROR(X1154*VLOOKUP(G1154,Tb_KostenTypen[],3,0)*VLOOKUP(F1154,Tb_ProjectKosten[],MATCH(Tb_ProjectKosten[[#Headers],[Forfait_Percentage]],Tb_ProjectKosten[#Headers],0),0),""),X1154 &lt;=0,0),"")</f>
        <v/>
      </c>
      <c r="AB1154" s="314" t="str">
        <f t="shared" ca="1" si="71"/>
        <v/>
      </c>
      <c r="AC1154" s="322"/>
      <c r="AD1154" s="315"/>
      <c r="AE1154" s="32" t="str" cm="1">
        <f t="array" ref="AE1154">IFERROR(IF(INDEX(SubsidieTabel!$AD$1:$AG$12,MATCH($F1154,SubsidieTabel!$AD$1:$AD$12,0),IFERROR(MATCH(Methode_Keuze,SubsidieTabel!$AD$1:$AG$1,0),2))&lt;&gt;1=TRUE,"ja",""),"")</f>
        <v/>
      </c>
    </row>
    <row r="1155" spans="1:31" x14ac:dyDescent="0.25">
      <c r="A1155" s="316"/>
      <c r="B1155" s="317" t="str">
        <f>IF(A1155&lt;&gt;"",_xlfn.MAXIFS($B$1:B1154,$A$1:A1154,A1155)+1,"")</f>
        <v/>
      </c>
      <c r="C1155" s="296"/>
      <c r="D1155" s="296"/>
      <c r="E1155" s="296"/>
      <c r="F1155" s="296"/>
      <c r="G1155" s="326"/>
      <c r="H1155" s="324"/>
      <c r="I1155" s="325"/>
      <c r="J1155" s="325"/>
      <c r="K1155" s="318"/>
      <c r="L1155" s="318"/>
      <c r="M1155" s="319" t="str">
        <f>IFERROR(VLOOKUP(H1155,Lijsten!$H$1:$I$100,2,0),"")</f>
        <v/>
      </c>
      <c r="N1155" s="319" t="str">
        <f ca="1">IFERROR(IF(VLOOKUP(F1155,Kostentypen!$A$3:$E$21,3,0)=0,"",IF(OR(F1155="Arbeidskosten",F1155="Vergoeding"),VLOOKUP(G1155,Tb_KostenTypen[],2,0),VLOOKUP(F1155,Kostentypen!$A$3:$E$20,3,0))),"")</f>
        <v/>
      </c>
      <c r="O1155" s="320" t="str" cm="1">
        <f t="array" ref="O1155">_xlfn.IFNA(IF(INDEX(Tb_KostenOptiesDB[],MATCH($F1155,Tb_KostenOptiesDB[KostenOptie],0),IFERROR(MATCH(Methode_Keuze,Tb_KostenOptiesDB[#Headers],0),2))=1,_xlfn.SWITCH($N1155,"Uurtarief",IF(OR(AND(RIGHT($F1155,3)="IKS",VLOOKUP($M1155,DB_Loonkosten,2,0)="Ja"),AND(RIGHT($F1155,3)&lt;&gt;"IKS",VLOOKUP($M1155,DB_Loonkosten,2,0)="Nee")),IFERROR(VLOOKUP($M1155,DB_Loonkosten,24,0),""),0),"Vast tarief",IF(LEFT(F1155,8)="Bijdrage",VLOOKUP($F1155,Tb_KostenTypen[],MATCH(Lijsten!$P$1,Tb_KostenTypen[#Headers],0),0),VLOOKUP($G1155,Lijsten!L:P,MATCH(Lijsten!$P$1,Kop_Tarief_Vast,0),0))),""),"")</f>
        <v/>
      </c>
      <c r="P1155" s="320" t="str" cm="1">
        <f t="array" ref="P1155">_xlfn.IFNA(IF(INDEX(Tb_KostenOptiesDB[],MATCH($F1155,Tb_KostenOptiesDB[KostenOptie],0),IFERROR(MATCH(Methode_Keuze,Tb_KostenOptiesDB[#Headers],0),2))=1,_xlfn.SWITCH($N1155,"Uurtarief",IF(OR(AND(RIGHT($F1155,3)="IKS",VLOOKUP($M1155,DB_Loonkosten,2,0)="Ja"),AND(RIGHT($F1155,3)&lt;&gt;"IKS",VLOOKUP($M1155,DB_Loonkosten,2,0)="Nee")),IFERROR(VLOOKUP($M1155,DB_Loonkosten,25,0),""),0),"Vast tarief",IF(LEFT(F1155,8)="Bijdrage",VLOOKUP($F1155,Tb_KostenTypen[],MATCH(Lijsten!$P$1,Tb_KostenTypen[#Headers],0),0),VLOOKUP($G1155,Lijsten!L:P,MATCH(Lijsten!$P$1,Kop_Tarief_Vast,0),0))),""),"")</f>
        <v/>
      </c>
      <c r="Q1155" s="359"/>
      <c r="R1155" s="359"/>
      <c r="S1155" s="321"/>
      <c r="T1155" s="321"/>
      <c r="U1155" s="373" t="str">
        <f t="shared" ref="U1155:U1218" si="72">IFERROR(IF(AND(R1155&lt;&gt;"",R1155&lt;&gt;Q1155),-1*(R1155-Q1155),""),"")</f>
        <v/>
      </c>
      <c r="V1155" s="314" t="str">
        <f t="shared" ref="V1155:V1218" si="73">IFERROR(IF(AND(T1155&lt;&gt;"",T1155&lt;&gt;S1155),-1*(T1155-S1155),""),"")</f>
        <v/>
      </c>
      <c r="W1155" s="314" t="str" cm="1">
        <f t="array" aca="1" ref="W1155" ca="1">IFERROR(IF(AE1155&lt;&gt;"ja",_xlfn.IFNA(_xlfn.IFS(AND(O1155&lt;&gt;"",F1155&lt;&gt;"",RIGHT($N1155,6)="tarief",F1155="Vergoeding"),SUM(O1155)*FLOOR(SUM(Q1155),0.0001),AND(O1155&lt;&gt;"",F1155&lt;&gt;"",RIGHT($N1155,6)="tarief"),SUM(O1155)*FLOOR(SUM(Q1155),0.01),S1155&gt;0,IF(F1155&lt;&gt;"",FLOOR(SUM(S1155),0.01),"")),""),""),"")</f>
        <v/>
      </c>
      <c r="X1155" s="314" t="str" cm="1">
        <f t="array" aca="1" ref="X1155" ca="1">IFERROR(IF(AE1155&lt;&gt;"ja",_xlfn.IFNA(_xlfn.IFS(AND(P1155&lt;&gt;"",R1155&lt;&gt;"",RIGHT($N1155,6)="tarief",F1155="Vergoeding"),SUM(P1155)*FLOOR(SUM(R1155),0.0001),AND(P1155&lt;&gt;"",R1155&lt;&gt;"",RIGHT($N1155,6)="tarief"),P1155*FLOOR(R1155,0.01),T1155&gt;0,FLOOR(SUM(T1155),0.01)),""),""),"")</f>
        <v/>
      </c>
      <c r="Y1155" s="314" t="str">
        <f t="shared" ref="Y1155:Y1218" ca="1" si="74">IFERROR(IF(AND(X1155&lt;&gt;"",X1155&lt;&gt;W1155),-1*(X1155-W1155),""),"")</f>
        <v/>
      </c>
      <c r="Z1155" s="314" t="str" cm="1">
        <f t="array" aca="1" ref="Z1155" ca="1">IFERROR(_xlfn.IFS(OR(F1155="",LEFT(Methode_Keuze,4)="Geen",Methode_Keuze=""),"",AND(W1155&lt;&gt;"",F1155&lt;&gt;"Arbeidskosten"),W1155*VLOOKUP(F1155,Tb_ProjectKosten[],MATCH(Tb_ProjectKosten[[#Headers],[Forfait_Percentage]],Tb_ProjectKosten[#Headers],0),0),AND(F1155="Arbeidskosten",G1155&lt;&gt;""),IFERROR(W1155*VLOOKUP(G1155,Tb_KostenTypen[],3,0)*VLOOKUP(F1155,Tb_ProjectKosten[],MATCH(Tb_ProjectKosten[[#Headers],[Forfait_Percentage]],Tb_ProjectKosten[#Headers],0),0),""),W1155 &lt;=0,0),"")</f>
        <v/>
      </c>
      <c r="AA1155" s="314" t="str" cm="1">
        <f t="array" aca="1" ref="AA1155" ca="1">IFERROR(_xlfn.IFS(OR(F1155="",LEFT(Methode_Keuze,4)="Geen",Methode_Keuze=""),"",AND(X1155&lt;&gt;"",F1155&lt;&gt;"Arbeidskosten"),X1155*VLOOKUP(F1155,Tb_ProjectKosten[],MATCH(Tb_ProjectKosten[[#Headers],[Forfait_Percentage]],Tb_ProjectKosten[#Headers],0),0),AND(F1155="Arbeidskosten",G1155&lt;&gt;""),IFERROR(X1155*VLOOKUP(G1155,Tb_KostenTypen[],3,0)*VLOOKUP(F1155,Tb_ProjectKosten[],MATCH(Tb_ProjectKosten[[#Headers],[Forfait_Percentage]],Tb_ProjectKosten[#Headers],0),0),""),X1155 &lt;=0,0),"")</f>
        <v/>
      </c>
      <c r="AB1155" s="314" t="str">
        <f t="shared" ref="AB1155:AB1218" ca="1" si="75">IFERROR(IF(AND(AA1155&lt;&gt;"",AA1155&lt;&gt;Z1155),-1*(AA1155-Z1155),""),"")</f>
        <v/>
      </c>
      <c r="AC1155" s="322"/>
      <c r="AD1155" s="315"/>
      <c r="AE1155" s="32" t="str" cm="1">
        <f t="array" ref="AE1155">IFERROR(IF(INDEX(SubsidieTabel!$AD$1:$AG$12,MATCH($F1155,SubsidieTabel!$AD$1:$AD$12,0),IFERROR(MATCH(Methode_Keuze,SubsidieTabel!$AD$1:$AG$1,0),2))&lt;&gt;1=TRUE,"ja",""),"")</f>
        <v/>
      </c>
    </row>
    <row r="1156" spans="1:31" x14ac:dyDescent="0.25">
      <c r="A1156" s="316"/>
      <c r="B1156" s="317" t="str">
        <f>IF(A1156&lt;&gt;"",_xlfn.MAXIFS($B$1:B1155,$A$1:A1155,A1156)+1,"")</f>
        <v/>
      </c>
      <c r="C1156" s="296"/>
      <c r="D1156" s="296"/>
      <c r="E1156" s="296"/>
      <c r="F1156" s="296"/>
      <c r="G1156" s="326"/>
      <c r="H1156" s="324"/>
      <c r="I1156" s="325"/>
      <c r="J1156" s="325"/>
      <c r="K1156" s="318"/>
      <c r="L1156" s="318"/>
      <c r="M1156" s="319" t="str">
        <f>IFERROR(VLOOKUP(H1156,Lijsten!$H$1:$I$100,2,0),"")</f>
        <v/>
      </c>
      <c r="N1156" s="319" t="str">
        <f ca="1">IFERROR(IF(VLOOKUP(F1156,Kostentypen!$A$3:$E$21,3,0)=0,"",IF(OR(F1156="Arbeidskosten",F1156="Vergoeding"),VLOOKUP(G1156,Tb_KostenTypen[],2,0),VLOOKUP(F1156,Kostentypen!$A$3:$E$20,3,0))),"")</f>
        <v/>
      </c>
      <c r="O1156" s="320" t="str" cm="1">
        <f t="array" ref="O1156">_xlfn.IFNA(IF(INDEX(Tb_KostenOptiesDB[],MATCH($F1156,Tb_KostenOptiesDB[KostenOptie],0),IFERROR(MATCH(Methode_Keuze,Tb_KostenOptiesDB[#Headers],0),2))=1,_xlfn.SWITCH($N1156,"Uurtarief",IF(OR(AND(RIGHT($F1156,3)="IKS",VLOOKUP($M1156,DB_Loonkosten,2,0)="Ja"),AND(RIGHT($F1156,3)&lt;&gt;"IKS",VLOOKUP($M1156,DB_Loonkosten,2,0)="Nee")),IFERROR(VLOOKUP($M1156,DB_Loonkosten,24,0),""),0),"Vast tarief",IF(LEFT(F1156,8)="Bijdrage",VLOOKUP($F1156,Tb_KostenTypen[],MATCH(Lijsten!$P$1,Tb_KostenTypen[#Headers],0),0),VLOOKUP($G1156,Lijsten!L:P,MATCH(Lijsten!$P$1,Kop_Tarief_Vast,0),0))),""),"")</f>
        <v/>
      </c>
      <c r="P1156" s="320" t="str" cm="1">
        <f t="array" ref="P1156">_xlfn.IFNA(IF(INDEX(Tb_KostenOptiesDB[],MATCH($F1156,Tb_KostenOptiesDB[KostenOptie],0),IFERROR(MATCH(Methode_Keuze,Tb_KostenOptiesDB[#Headers],0),2))=1,_xlfn.SWITCH($N1156,"Uurtarief",IF(OR(AND(RIGHT($F1156,3)="IKS",VLOOKUP($M1156,DB_Loonkosten,2,0)="Ja"),AND(RIGHT($F1156,3)&lt;&gt;"IKS",VLOOKUP($M1156,DB_Loonkosten,2,0)="Nee")),IFERROR(VLOOKUP($M1156,DB_Loonkosten,25,0),""),0),"Vast tarief",IF(LEFT(F1156,8)="Bijdrage",VLOOKUP($F1156,Tb_KostenTypen[],MATCH(Lijsten!$P$1,Tb_KostenTypen[#Headers],0),0),VLOOKUP($G1156,Lijsten!L:P,MATCH(Lijsten!$P$1,Kop_Tarief_Vast,0),0))),""),"")</f>
        <v/>
      </c>
      <c r="Q1156" s="359"/>
      <c r="R1156" s="359"/>
      <c r="S1156" s="321"/>
      <c r="T1156" s="321"/>
      <c r="U1156" s="373" t="str">
        <f t="shared" si="72"/>
        <v/>
      </c>
      <c r="V1156" s="314" t="str">
        <f t="shared" si="73"/>
        <v/>
      </c>
      <c r="W1156" s="314" t="str" cm="1">
        <f t="array" aca="1" ref="W1156" ca="1">IFERROR(IF(AE1156&lt;&gt;"ja",_xlfn.IFNA(_xlfn.IFS(AND(O1156&lt;&gt;"",F1156&lt;&gt;"",RIGHT($N1156,6)="tarief",F1156="Vergoeding"),SUM(O1156)*FLOOR(SUM(Q1156),0.0001),AND(O1156&lt;&gt;"",F1156&lt;&gt;"",RIGHT($N1156,6)="tarief"),SUM(O1156)*FLOOR(SUM(Q1156),0.01),S1156&gt;0,IF(F1156&lt;&gt;"",FLOOR(SUM(S1156),0.01),"")),""),""),"")</f>
        <v/>
      </c>
      <c r="X1156" s="314" t="str" cm="1">
        <f t="array" aca="1" ref="X1156" ca="1">IFERROR(IF(AE1156&lt;&gt;"ja",_xlfn.IFNA(_xlfn.IFS(AND(P1156&lt;&gt;"",R1156&lt;&gt;"",RIGHT($N1156,6)="tarief",F1156="Vergoeding"),SUM(P1156)*FLOOR(SUM(R1156),0.0001),AND(P1156&lt;&gt;"",R1156&lt;&gt;"",RIGHT($N1156,6)="tarief"),P1156*FLOOR(R1156,0.01),T1156&gt;0,FLOOR(SUM(T1156),0.01)),""),""),"")</f>
        <v/>
      </c>
      <c r="Y1156" s="314" t="str">
        <f t="shared" ca="1" si="74"/>
        <v/>
      </c>
      <c r="Z1156" s="314" t="str" cm="1">
        <f t="array" aca="1" ref="Z1156" ca="1">IFERROR(_xlfn.IFS(OR(F1156="",LEFT(Methode_Keuze,4)="Geen",Methode_Keuze=""),"",AND(W1156&lt;&gt;"",F1156&lt;&gt;"Arbeidskosten"),W1156*VLOOKUP(F1156,Tb_ProjectKosten[],MATCH(Tb_ProjectKosten[[#Headers],[Forfait_Percentage]],Tb_ProjectKosten[#Headers],0),0),AND(F1156="Arbeidskosten",G1156&lt;&gt;""),IFERROR(W1156*VLOOKUP(G1156,Tb_KostenTypen[],3,0)*VLOOKUP(F1156,Tb_ProjectKosten[],MATCH(Tb_ProjectKosten[[#Headers],[Forfait_Percentage]],Tb_ProjectKosten[#Headers],0),0),""),W1156 &lt;=0,0),"")</f>
        <v/>
      </c>
      <c r="AA1156" s="314" t="str" cm="1">
        <f t="array" aca="1" ref="AA1156" ca="1">IFERROR(_xlfn.IFS(OR(F1156="",LEFT(Methode_Keuze,4)="Geen",Methode_Keuze=""),"",AND(X1156&lt;&gt;"",F1156&lt;&gt;"Arbeidskosten"),X1156*VLOOKUP(F1156,Tb_ProjectKosten[],MATCH(Tb_ProjectKosten[[#Headers],[Forfait_Percentage]],Tb_ProjectKosten[#Headers],0),0),AND(F1156="Arbeidskosten",G1156&lt;&gt;""),IFERROR(X1156*VLOOKUP(G1156,Tb_KostenTypen[],3,0)*VLOOKUP(F1156,Tb_ProjectKosten[],MATCH(Tb_ProjectKosten[[#Headers],[Forfait_Percentage]],Tb_ProjectKosten[#Headers],0),0),""),X1156 &lt;=0,0),"")</f>
        <v/>
      </c>
      <c r="AB1156" s="314" t="str">
        <f t="shared" ca="1" si="75"/>
        <v/>
      </c>
      <c r="AC1156" s="322"/>
      <c r="AD1156" s="315"/>
      <c r="AE1156" s="32" t="str" cm="1">
        <f t="array" ref="AE1156">IFERROR(IF(INDEX(SubsidieTabel!$AD$1:$AG$12,MATCH($F1156,SubsidieTabel!$AD$1:$AD$12,0),IFERROR(MATCH(Methode_Keuze,SubsidieTabel!$AD$1:$AG$1,0),2))&lt;&gt;1=TRUE,"ja",""),"")</f>
        <v/>
      </c>
    </row>
    <row r="1157" spans="1:31" x14ac:dyDescent="0.25">
      <c r="A1157" s="316"/>
      <c r="B1157" s="317" t="str">
        <f>IF(A1157&lt;&gt;"",_xlfn.MAXIFS($B$1:B1156,$A$1:A1156,A1157)+1,"")</f>
        <v/>
      </c>
      <c r="C1157" s="296"/>
      <c r="D1157" s="296"/>
      <c r="E1157" s="296"/>
      <c r="F1157" s="296"/>
      <c r="G1157" s="326"/>
      <c r="H1157" s="324"/>
      <c r="I1157" s="325"/>
      <c r="J1157" s="325"/>
      <c r="K1157" s="318"/>
      <c r="L1157" s="318"/>
      <c r="M1157" s="319" t="str">
        <f>IFERROR(VLOOKUP(H1157,Lijsten!$H$1:$I$100,2,0),"")</f>
        <v/>
      </c>
      <c r="N1157" s="319" t="str">
        <f ca="1">IFERROR(IF(VLOOKUP(F1157,Kostentypen!$A$3:$E$21,3,0)=0,"",IF(OR(F1157="Arbeidskosten",F1157="Vergoeding"),VLOOKUP(G1157,Tb_KostenTypen[],2,0),VLOOKUP(F1157,Kostentypen!$A$3:$E$20,3,0))),"")</f>
        <v/>
      </c>
      <c r="O1157" s="320" t="str" cm="1">
        <f t="array" ref="O1157">_xlfn.IFNA(IF(INDEX(Tb_KostenOptiesDB[],MATCH($F1157,Tb_KostenOptiesDB[KostenOptie],0),IFERROR(MATCH(Methode_Keuze,Tb_KostenOptiesDB[#Headers],0),2))=1,_xlfn.SWITCH($N1157,"Uurtarief",IF(OR(AND(RIGHT($F1157,3)="IKS",VLOOKUP($M1157,DB_Loonkosten,2,0)="Ja"),AND(RIGHT($F1157,3)&lt;&gt;"IKS",VLOOKUP($M1157,DB_Loonkosten,2,0)="Nee")),IFERROR(VLOOKUP($M1157,DB_Loonkosten,24,0),""),0),"Vast tarief",IF(LEFT(F1157,8)="Bijdrage",VLOOKUP($F1157,Tb_KostenTypen[],MATCH(Lijsten!$P$1,Tb_KostenTypen[#Headers],0),0),VLOOKUP($G1157,Lijsten!L:P,MATCH(Lijsten!$P$1,Kop_Tarief_Vast,0),0))),""),"")</f>
        <v/>
      </c>
      <c r="P1157" s="320" t="str" cm="1">
        <f t="array" ref="P1157">_xlfn.IFNA(IF(INDEX(Tb_KostenOptiesDB[],MATCH($F1157,Tb_KostenOptiesDB[KostenOptie],0),IFERROR(MATCH(Methode_Keuze,Tb_KostenOptiesDB[#Headers],0),2))=1,_xlfn.SWITCH($N1157,"Uurtarief",IF(OR(AND(RIGHT($F1157,3)="IKS",VLOOKUP($M1157,DB_Loonkosten,2,0)="Ja"),AND(RIGHT($F1157,3)&lt;&gt;"IKS",VLOOKUP($M1157,DB_Loonkosten,2,0)="Nee")),IFERROR(VLOOKUP($M1157,DB_Loonkosten,25,0),""),0),"Vast tarief",IF(LEFT(F1157,8)="Bijdrage",VLOOKUP($F1157,Tb_KostenTypen[],MATCH(Lijsten!$P$1,Tb_KostenTypen[#Headers],0),0),VLOOKUP($G1157,Lijsten!L:P,MATCH(Lijsten!$P$1,Kop_Tarief_Vast,0),0))),""),"")</f>
        <v/>
      </c>
      <c r="Q1157" s="359"/>
      <c r="R1157" s="359"/>
      <c r="S1157" s="321"/>
      <c r="T1157" s="321"/>
      <c r="U1157" s="373" t="str">
        <f t="shared" si="72"/>
        <v/>
      </c>
      <c r="V1157" s="314" t="str">
        <f t="shared" si="73"/>
        <v/>
      </c>
      <c r="W1157" s="314" t="str" cm="1">
        <f t="array" aca="1" ref="W1157" ca="1">IFERROR(IF(AE1157&lt;&gt;"ja",_xlfn.IFNA(_xlfn.IFS(AND(O1157&lt;&gt;"",F1157&lt;&gt;"",RIGHT($N1157,6)="tarief",F1157="Vergoeding"),SUM(O1157)*FLOOR(SUM(Q1157),0.0001),AND(O1157&lt;&gt;"",F1157&lt;&gt;"",RIGHT($N1157,6)="tarief"),SUM(O1157)*FLOOR(SUM(Q1157),0.01),S1157&gt;0,IF(F1157&lt;&gt;"",FLOOR(SUM(S1157),0.01),"")),""),""),"")</f>
        <v/>
      </c>
      <c r="X1157" s="314" t="str" cm="1">
        <f t="array" aca="1" ref="X1157" ca="1">IFERROR(IF(AE1157&lt;&gt;"ja",_xlfn.IFNA(_xlfn.IFS(AND(P1157&lt;&gt;"",R1157&lt;&gt;"",RIGHT($N1157,6)="tarief",F1157="Vergoeding"),SUM(P1157)*FLOOR(SUM(R1157),0.0001),AND(P1157&lt;&gt;"",R1157&lt;&gt;"",RIGHT($N1157,6)="tarief"),P1157*FLOOR(R1157,0.01),T1157&gt;0,FLOOR(SUM(T1157),0.01)),""),""),"")</f>
        <v/>
      </c>
      <c r="Y1157" s="314" t="str">
        <f t="shared" ca="1" si="74"/>
        <v/>
      </c>
      <c r="Z1157" s="314" t="str" cm="1">
        <f t="array" aca="1" ref="Z1157" ca="1">IFERROR(_xlfn.IFS(OR(F1157="",LEFT(Methode_Keuze,4)="Geen",Methode_Keuze=""),"",AND(W1157&lt;&gt;"",F1157&lt;&gt;"Arbeidskosten"),W1157*VLOOKUP(F1157,Tb_ProjectKosten[],MATCH(Tb_ProjectKosten[[#Headers],[Forfait_Percentage]],Tb_ProjectKosten[#Headers],0),0),AND(F1157="Arbeidskosten",G1157&lt;&gt;""),IFERROR(W1157*VLOOKUP(G1157,Tb_KostenTypen[],3,0)*VLOOKUP(F1157,Tb_ProjectKosten[],MATCH(Tb_ProjectKosten[[#Headers],[Forfait_Percentage]],Tb_ProjectKosten[#Headers],0),0),""),W1157 &lt;=0,0),"")</f>
        <v/>
      </c>
      <c r="AA1157" s="314" t="str" cm="1">
        <f t="array" aca="1" ref="AA1157" ca="1">IFERROR(_xlfn.IFS(OR(F1157="",LEFT(Methode_Keuze,4)="Geen",Methode_Keuze=""),"",AND(X1157&lt;&gt;"",F1157&lt;&gt;"Arbeidskosten"),X1157*VLOOKUP(F1157,Tb_ProjectKosten[],MATCH(Tb_ProjectKosten[[#Headers],[Forfait_Percentage]],Tb_ProjectKosten[#Headers],0),0),AND(F1157="Arbeidskosten",G1157&lt;&gt;""),IFERROR(X1157*VLOOKUP(G1157,Tb_KostenTypen[],3,0)*VLOOKUP(F1157,Tb_ProjectKosten[],MATCH(Tb_ProjectKosten[[#Headers],[Forfait_Percentage]],Tb_ProjectKosten[#Headers],0),0),""),X1157 &lt;=0,0),"")</f>
        <v/>
      </c>
      <c r="AB1157" s="314" t="str">
        <f t="shared" ca="1" si="75"/>
        <v/>
      </c>
      <c r="AC1157" s="322"/>
      <c r="AD1157" s="315"/>
      <c r="AE1157" s="32" t="str" cm="1">
        <f t="array" ref="AE1157">IFERROR(IF(INDEX(SubsidieTabel!$AD$1:$AG$12,MATCH($F1157,SubsidieTabel!$AD$1:$AD$12,0),IFERROR(MATCH(Methode_Keuze,SubsidieTabel!$AD$1:$AG$1,0),2))&lt;&gt;1=TRUE,"ja",""),"")</f>
        <v/>
      </c>
    </row>
    <row r="1158" spans="1:31" x14ac:dyDescent="0.25">
      <c r="A1158" s="316"/>
      <c r="B1158" s="317" t="str">
        <f>IF(A1158&lt;&gt;"",_xlfn.MAXIFS($B$1:B1157,$A$1:A1157,A1158)+1,"")</f>
        <v/>
      </c>
      <c r="C1158" s="296"/>
      <c r="D1158" s="296"/>
      <c r="E1158" s="296"/>
      <c r="F1158" s="296"/>
      <c r="G1158" s="326"/>
      <c r="H1158" s="324"/>
      <c r="I1158" s="325"/>
      <c r="J1158" s="325"/>
      <c r="K1158" s="318"/>
      <c r="L1158" s="318"/>
      <c r="M1158" s="319" t="str">
        <f>IFERROR(VLOOKUP(H1158,Lijsten!$H$1:$I$100,2,0),"")</f>
        <v/>
      </c>
      <c r="N1158" s="319" t="str">
        <f ca="1">IFERROR(IF(VLOOKUP(F1158,Kostentypen!$A$3:$E$21,3,0)=0,"",IF(OR(F1158="Arbeidskosten",F1158="Vergoeding"),VLOOKUP(G1158,Tb_KostenTypen[],2,0),VLOOKUP(F1158,Kostentypen!$A$3:$E$20,3,0))),"")</f>
        <v/>
      </c>
      <c r="O1158" s="320" t="str" cm="1">
        <f t="array" ref="O1158">_xlfn.IFNA(IF(INDEX(Tb_KostenOptiesDB[],MATCH($F1158,Tb_KostenOptiesDB[KostenOptie],0),IFERROR(MATCH(Methode_Keuze,Tb_KostenOptiesDB[#Headers],0),2))=1,_xlfn.SWITCH($N1158,"Uurtarief",IF(OR(AND(RIGHT($F1158,3)="IKS",VLOOKUP($M1158,DB_Loonkosten,2,0)="Ja"),AND(RIGHT($F1158,3)&lt;&gt;"IKS",VLOOKUP($M1158,DB_Loonkosten,2,0)="Nee")),IFERROR(VLOOKUP($M1158,DB_Loonkosten,24,0),""),0),"Vast tarief",IF(LEFT(F1158,8)="Bijdrage",VLOOKUP($F1158,Tb_KostenTypen[],MATCH(Lijsten!$P$1,Tb_KostenTypen[#Headers],0),0),VLOOKUP($G1158,Lijsten!L:P,MATCH(Lijsten!$P$1,Kop_Tarief_Vast,0),0))),""),"")</f>
        <v/>
      </c>
      <c r="P1158" s="320" t="str" cm="1">
        <f t="array" ref="P1158">_xlfn.IFNA(IF(INDEX(Tb_KostenOptiesDB[],MATCH($F1158,Tb_KostenOptiesDB[KostenOptie],0),IFERROR(MATCH(Methode_Keuze,Tb_KostenOptiesDB[#Headers],0),2))=1,_xlfn.SWITCH($N1158,"Uurtarief",IF(OR(AND(RIGHT($F1158,3)="IKS",VLOOKUP($M1158,DB_Loonkosten,2,0)="Ja"),AND(RIGHT($F1158,3)&lt;&gt;"IKS",VLOOKUP($M1158,DB_Loonkosten,2,0)="Nee")),IFERROR(VLOOKUP($M1158,DB_Loonkosten,25,0),""),0),"Vast tarief",IF(LEFT(F1158,8)="Bijdrage",VLOOKUP($F1158,Tb_KostenTypen[],MATCH(Lijsten!$P$1,Tb_KostenTypen[#Headers],0),0),VLOOKUP($G1158,Lijsten!L:P,MATCH(Lijsten!$P$1,Kop_Tarief_Vast,0),0))),""),"")</f>
        <v/>
      </c>
      <c r="Q1158" s="359"/>
      <c r="R1158" s="359"/>
      <c r="S1158" s="321"/>
      <c r="T1158" s="321"/>
      <c r="U1158" s="373" t="str">
        <f t="shared" si="72"/>
        <v/>
      </c>
      <c r="V1158" s="314" t="str">
        <f t="shared" si="73"/>
        <v/>
      </c>
      <c r="W1158" s="314" t="str" cm="1">
        <f t="array" aca="1" ref="W1158" ca="1">IFERROR(IF(AE1158&lt;&gt;"ja",_xlfn.IFNA(_xlfn.IFS(AND(O1158&lt;&gt;"",F1158&lt;&gt;"",RIGHT($N1158,6)="tarief",F1158="Vergoeding"),SUM(O1158)*FLOOR(SUM(Q1158),0.0001),AND(O1158&lt;&gt;"",F1158&lt;&gt;"",RIGHT($N1158,6)="tarief"),SUM(O1158)*FLOOR(SUM(Q1158),0.01),S1158&gt;0,IF(F1158&lt;&gt;"",FLOOR(SUM(S1158),0.01),"")),""),""),"")</f>
        <v/>
      </c>
      <c r="X1158" s="314" t="str" cm="1">
        <f t="array" aca="1" ref="X1158" ca="1">IFERROR(IF(AE1158&lt;&gt;"ja",_xlfn.IFNA(_xlfn.IFS(AND(P1158&lt;&gt;"",R1158&lt;&gt;"",RIGHT($N1158,6)="tarief",F1158="Vergoeding"),SUM(P1158)*FLOOR(SUM(R1158),0.0001),AND(P1158&lt;&gt;"",R1158&lt;&gt;"",RIGHT($N1158,6)="tarief"),P1158*FLOOR(R1158,0.01),T1158&gt;0,FLOOR(SUM(T1158),0.01)),""),""),"")</f>
        <v/>
      </c>
      <c r="Y1158" s="314" t="str">
        <f t="shared" ca="1" si="74"/>
        <v/>
      </c>
      <c r="Z1158" s="314" t="str" cm="1">
        <f t="array" aca="1" ref="Z1158" ca="1">IFERROR(_xlfn.IFS(OR(F1158="",LEFT(Methode_Keuze,4)="Geen",Methode_Keuze=""),"",AND(W1158&lt;&gt;"",F1158&lt;&gt;"Arbeidskosten"),W1158*VLOOKUP(F1158,Tb_ProjectKosten[],MATCH(Tb_ProjectKosten[[#Headers],[Forfait_Percentage]],Tb_ProjectKosten[#Headers],0),0),AND(F1158="Arbeidskosten",G1158&lt;&gt;""),IFERROR(W1158*VLOOKUP(G1158,Tb_KostenTypen[],3,0)*VLOOKUP(F1158,Tb_ProjectKosten[],MATCH(Tb_ProjectKosten[[#Headers],[Forfait_Percentage]],Tb_ProjectKosten[#Headers],0),0),""),W1158 &lt;=0,0),"")</f>
        <v/>
      </c>
      <c r="AA1158" s="314" t="str" cm="1">
        <f t="array" aca="1" ref="AA1158" ca="1">IFERROR(_xlfn.IFS(OR(F1158="",LEFT(Methode_Keuze,4)="Geen",Methode_Keuze=""),"",AND(X1158&lt;&gt;"",F1158&lt;&gt;"Arbeidskosten"),X1158*VLOOKUP(F1158,Tb_ProjectKosten[],MATCH(Tb_ProjectKosten[[#Headers],[Forfait_Percentage]],Tb_ProjectKosten[#Headers],0),0),AND(F1158="Arbeidskosten",G1158&lt;&gt;""),IFERROR(X1158*VLOOKUP(G1158,Tb_KostenTypen[],3,0)*VLOOKUP(F1158,Tb_ProjectKosten[],MATCH(Tb_ProjectKosten[[#Headers],[Forfait_Percentage]],Tb_ProjectKosten[#Headers],0),0),""),X1158 &lt;=0,0),"")</f>
        <v/>
      </c>
      <c r="AB1158" s="314" t="str">
        <f t="shared" ca="1" si="75"/>
        <v/>
      </c>
      <c r="AC1158" s="322"/>
      <c r="AD1158" s="315"/>
      <c r="AE1158" s="32" t="str" cm="1">
        <f t="array" ref="AE1158">IFERROR(IF(INDEX(SubsidieTabel!$AD$1:$AG$12,MATCH($F1158,SubsidieTabel!$AD$1:$AD$12,0),IFERROR(MATCH(Methode_Keuze,SubsidieTabel!$AD$1:$AG$1,0),2))&lt;&gt;1=TRUE,"ja",""),"")</f>
        <v/>
      </c>
    </row>
    <row r="1159" spans="1:31" x14ac:dyDescent="0.25">
      <c r="A1159" s="316"/>
      <c r="B1159" s="317" t="str">
        <f>IF(A1159&lt;&gt;"",_xlfn.MAXIFS($B$1:B1158,$A$1:A1158,A1159)+1,"")</f>
        <v/>
      </c>
      <c r="C1159" s="296"/>
      <c r="D1159" s="296"/>
      <c r="E1159" s="296"/>
      <c r="F1159" s="296"/>
      <c r="G1159" s="326"/>
      <c r="H1159" s="324"/>
      <c r="I1159" s="325"/>
      <c r="J1159" s="325"/>
      <c r="K1159" s="318"/>
      <c r="L1159" s="318"/>
      <c r="M1159" s="319" t="str">
        <f>IFERROR(VLOOKUP(H1159,Lijsten!$H$1:$I$100,2,0),"")</f>
        <v/>
      </c>
      <c r="N1159" s="319" t="str">
        <f ca="1">IFERROR(IF(VLOOKUP(F1159,Kostentypen!$A$3:$E$21,3,0)=0,"",IF(OR(F1159="Arbeidskosten",F1159="Vergoeding"),VLOOKUP(G1159,Tb_KostenTypen[],2,0),VLOOKUP(F1159,Kostentypen!$A$3:$E$20,3,0))),"")</f>
        <v/>
      </c>
      <c r="O1159" s="320" t="str" cm="1">
        <f t="array" ref="O1159">_xlfn.IFNA(IF(INDEX(Tb_KostenOptiesDB[],MATCH($F1159,Tb_KostenOptiesDB[KostenOptie],0),IFERROR(MATCH(Methode_Keuze,Tb_KostenOptiesDB[#Headers],0),2))=1,_xlfn.SWITCH($N1159,"Uurtarief",IF(OR(AND(RIGHT($F1159,3)="IKS",VLOOKUP($M1159,DB_Loonkosten,2,0)="Ja"),AND(RIGHT($F1159,3)&lt;&gt;"IKS",VLOOKUP($M1159,DB_Loonkosten,2,0)="Nee")),IFERROR(VLOOKUP($M1159,DB_Loonkosten,24,0),""),0),"Vast tarief",IF(LEFT(F1159,8)="Bijdrage",VLOOKUP($F1159,Tb_KostenTypen[],MATCH(Lijsten!$P$1,Tb_KostenTypen[#Headers],0),0),VLOOKUP($G1159,Lijsten!L:P,MATCH(Lijsten!$P$1,Kop_Tarief_Vast,0),0))),""),"")</f>
        <v/>
      </c>
      <c r="P1159" s="320" t="str" cm="1">
        <f t="array" ref="P1159">_xlfn.IFNA(IF(INDEX(Tb_KostenOptiesDB[],MATCH($F1159,Tb_KostenOptiesDB[KostenOptie],0),IFERROR(MATCH(Methode_Keuze,Tb_KostenOptiesDB[#Headers],0),2))=1,_xlfn.SWITCH($N1159,"Uurtarief",IF(OR(AND(RIGHT($F1159,3)="IKS",VLOOKUP($M1159,DB_Loonkosten,2,0)="Ja"),AND(RIGHT($F1159,3)&lt;&gt;"IKS",VLOOKUP($M1159,DB_Loonkosten,2,0)="Nee")),IFERROR(VLOOKUP($M1159,DB_Loonkosten,25,0),""),0),"Vast tarief",IF(LEFT(F1159,8)="Bijdrage",VLOOKUP($F1159,Tb_KostenTypen[],MATCH(Lijsten!$P$1,Tb_KostenTypen[#Headers],0),0),VLOOKUP($G1159,Lijsten!L:P,MATCH(Lijsten!$P$1,Kop_Tarief_Vast,0),0))),""),"")</f>
        <v/>
      </c>
      <c r="Q1159" s="359"/>
      <c r="R1159" s="359"/>
      <c r="S1159" s="321"/>
      <c r="T1159" s="321"/>
      <c r="U1159" s="373" t="str">
        <f t="shared" si="72"/>
        <v/>
      </c>
      <c r="V1159" s="314" t="str">
        <f t="shared" si="73"/>
        <v/>
      </c>
      <c r="W1159" s="314" t="str" cm="1">
        <f t="array" aca="1" ref="W1159" ca="1">IFERROR(IF(AE1159&lt;&gt;"ja",_xlfn.IFNA(_xlfn.IFS(AND(O1159&lt;&gt;"",F1159&lt;&gt;"",RIGHT($N1159,6)="tarief",F1159="Vergoeding"),SUM(O1159)*FLOOR(SUM(Q1159),0.0001),AND(O1159&lt;&gt;"",F1159&lt;&gt;"",RIGHT($N1159,6)="tarief"),SUM(O1159)*FLOOR(SUM(Q1159),0.01),S1159&gt;0,IF(F1159&lt;&gt;"",FLOOR(SUM(S1159),0.01),"")),""),""),"")</f>
        <v/>
      </c>
      <c r="X1159" s="314" t="str" cm="1">
        <f t="array" aca="1" ref="X1159" ca="1">IFERROR(IF(AE1159&lt;&gt;"ja",_xlfn.IFNA(_xlfn.IFS(AND(P1159&lt;&gt;"",R1159&lt;&gt;"",RIGHT($N1159,6)="tarief",F1159="Vergoeding"),SUM(P1159)*FLOOR(SUM(R1159),0.0001),AND(P1159&lt;&gt;"",R1159&lt;&gt;"",RIGHT($N1159,6)="tarief"),P1159*FLOOR(R1159,0.01),T1159&gt;0,FLOOR(SUM(T1159),0.01)),""),""),"")</f>
        <v/>
      </c>
      <c r="Y1159" s="314" t="str">
        <f t="shared" ca="1" si="74"/>
        <v/>
      </c>
      <c r="Z1159" s="314" t="str" cm="1">
        <f t="array" aca="1" ref="Z1159" ca="1">IFERROR(_xlfn.IFS(OR(F1159="",LEFT(Methode_Keuze,4)="Geen",Methode_Keuze=""),"",AND(W1159&lt;&gt;"",F1159&lt;&gt;"Arbeidskosten"),W1159*VLOOKUP(F1159,Tb_ProjectKosten[],MATCH(Tb_ProjectKosten[[#Headers],[Forfait_Percentage]],Tb_ProjectKosten[#Headers],0),0),AND(F1159="Arbeidskosten",G1159&lt;&gt;""),IFERROR(W1159*VLOOKUP(G1159,Tb_KostenTypen[],3,0)*VLOOKUP(F1159,Tb_ProjectKosten[],MATCH(Tb_ProjectKosten[[#Headers],[Forfait_Percentage]],Tb_ProjectKosten[#Headers],0),0),""),W1159 &lt;=0,0),"")</f>
        <v/>
      </c>
      <c r="AA1159" s="314" t="str" cm="1">
        <f t="array" aca="1" ref="AA1159" ca="1">IFERROR(_xlfn.IFS(OR(F1159="",LEFT(Methode_Keuze,4)="Geen",Methode_Keuze=""),"",AND(X1159&lt;&gt;"",F1159&lt;&gt;"Arbeidskosten"),X1159*VLOOKUP(F1159,Tb_ProjectKosten[],MATCH(Tb_ProjectKosten[[#Headers],[Forfait_Percentage]],Tb_ProjectKosten[#Headers],0),0),AND(F1159="Arbeidskosten",G1159&lt;&gt;""),IFERROR(X1159*VLOOKUP(G1159,Tb_KostenTypen[],3,0)*VLOOKUP(F1159,Tb_ProjectKosten[],MATCH(Tb_ProjectKosten[[#Headers],[Forfait_Percentage]],Tb_ProjectKosten[#Headers],0),0),""),X1159 &lt;=0,0),"")</f>
        <v/>
      </c>
      <c r="AB1159" s="314" t="str">
        <f t="shared" ca="1" si="75"/>
        <v/>
      </c>
      <c r="AC1159" s="322"/>
      <c r="AD1159" s="315"/>
      <c r="AE1159" s="32" t="str" cm="1">
        <f t="array" ref="AE1159">IFERROR(IF(INDEX(SubsidieTabel!$AD$1:$AG$12,MATCH($F1159,SubsidieTabel!$AD$1:$AD$12,0),IFERROR(MATCH(Methode_Keuze,SubsidieTabel!$AD$1:$AG$1,0),2))&lt;&gt;1=TRUE,"ja",""),"")</f>
        <v/>
      </c>
    </row>
    <row r="1160" spans="1:31" x14ac:dyDescent="0.25">
      <c r="A1160" s="316"/>
      <c r="B1160" s="317" t="str">
        <f>IF(A1160&lt;&gt;"",_xlfn.MAXIFS($B$1:B1159,$A$1:A1159,A1160)+1,"")</f>
        <v/>
      </c>
      <c r="C1160" s="296"/>
      <c r="D1160" s="296"/>
      <c r="E1160" s="296"/>
      <c r="F1160" s="296"/>
      <c r="G1160" s="326"/>
      <c r="H1160" s="324"/>
      <c r="I1160" s="325"/>
      <c r="J1160" s="325"/>
      <c r="K1160" s="318"/>
      <c r="L1160" s="318"/>
      <c r="M1160" s="319" t="str">
        <f>IFERROR(VLOOKUP(H1160,Lijsten!$H$1:$I$100,2,0),"")</f>
        <v/>
      </c>
      <c r="N1160" s="319" t="str">
        <f ca="1">IFERROR(IF(VLOOKUP(F1160,Kostentypen!$A$3:$E$21,3,0)=0,"",IF(OR(F1160="Arbeidskosten",F1160="Vergoeding"),VLOOKUP(G1160,Tb_KostenTypen[],2,0),VLOOKUP(F1160,Kostentypen!$A$3:$E$20,3,0))),"")</f>
        <v/>
      </c>
      <c r="O1160" s="320" t="str" cm="1">
        <f t="array" ref="O1160">_xlfn.IFNA(IF(INDEX(Tb_KostenOptiesDB[],MATCH($F1160,Tb_KostenOptiesDB[KostenOptie],0),IFERROR(MATCH(Methode_Keuze,Tb_KostenOptiesDB[#Headers],0),2))=1,_xlfn.SWITCH($N1160,"Uurtarief",IF(OR(AND(RIGHT($F1160,3)="IKS",VLOOKUP($M1160,DB_Loonkosten,2,0)="Ja"),AND(RIGHT($F1160,3)&lt;&gt;"IKS",VLOOKUP($M1160,DB_Loonkosten,2,0)="Nee")),IFERROR(VLOOKUP($M1160,DB_Loonkosten,24,0),""),0),"Vast tarief",IF(LEFT(F1160,8)="Bijdrage",VLOOKUP($F1160,Tb_KostenTypen[],MATCH(Lijsten!$P$1,Tb_KostenTypen[#Headers],0),0),VLOOKUP($G1160,Lijsten!L:P,MATCH(Lijsten!$P$1,Kop_Tarief_Vast,0),0))),""),"")</f>
        <v/>
      </c>
      <c r="P1160" s="320" t="str" cm="1">
        <f t="array" ref="P1160">_xlfn.IFNA(IF(INDEX(Tb_KostenOptiesDB[],MATCH($F1160,Tb_KostenOptiesDB[KostenOptie],0),IFERROR(MATCH(Methode_Keuze,Tb_KostenOptiesDB[#Headers],0),2))=1,_xlfn.SWITCH($N1160,"Uurtarief",IF(OR(AND(RIGHT($F1160,3)="IKS",VLOOKUP($M1160,DB_Loonkosten,2,0)="Ja"),AND(RIGHT($F1160,3)&lt;&gt;"IKS",VLOOKUP($M1160,DB_Loonkosten,2,0)="Nee")),IFERROR(VLOOKUP($M1160,DB_Loonkosten,25,0),""),0),"Vast tarief",IF(LEFT(F1160,8)="Bijdrage",VLOOKUP($F1160,Tb_KostenTypen[],MATCH(Lijsten!$P$1,Tb_KostenTypen[#Headers],0),0),VLOOKUP($G1160,Lijsten!L:P,MATCH(Lijsten!$P$1,Kop_Tarief_Vast,0),0))),""),"")</f>
        <v/>
      </c>
      <c r="Q1160" s="359"/>
      <c r="R1160" s="359"/>
      <c r="S1160" s="321"/>
      <c r="T1160" s="321"/>
      <c r="U1160" s="373" t="str">
        <f t="shared" si="72"/>
        <v/>
      </c>
      <c r="V1160" s="314" t="str">
        <f t="shared" si="73"/>
        <v/>
      </c>
      <c r="W1160" s="314" t="str" cm="1">
        <f t="array" aca="1" ref="W1160" ca="1">IFERROR(IF(AE1160&lt;&gt;"ja",_xlfn.IFNA(_xlfn.IFS(AND(O1160&lt;&gt;"",F1160&lt;&gt;"",RIGHT($N1160,6)="tarief",F1160="Vergoeding"),SUM(O1160)*FLOOR(SUM(Q1160),0.0001),AND(O1160&lt;&gt;"",F1160&lt;&gt;"",RIGHT($N1160,6)="tarief"),SUM(O1160)*FLOOR(SUM(Q1160),0.01),S1160&gt;0,IF(F1160&lt;&gt;"",FLOOR(SUM(S1160),0.01),"")),""),""),"")</f>
        <v/>
      </c>
      <c r="X1160" s="314" t="str" cm="1">
        <f t="array" aca="1" ref="X1160" ca="1">IFERROR(IF(AE1160&lt;&gt;"ja",_xlfn.IFNA(_xlfn.IFS(AND(P1160&lt;&gt;"",R1160&lt;&gt;"",RIGHT($N1160,6)="tarief",F1160="Vergoeding"),SUM(P1160)*FLOOR(SUM(R1160),0.0001),AND(P1160&lt;&gt;"",R1160&lt;&gt;"",RIGHT($N1160,6)="tarief"),P1160*FLOOR(R1160,0.01),T1160&gt;0,FLOOR(SUM(T1160),0.01)),""),""),"")</f>
        <v/>
      </c>
      <c r="Y1160" s="314" t="str">
        <f t="shared" ca="1" si="74"/>
        <v/>
      </c>
      <c r="Z1160" s="314" t="str" cm="1">
        <f t="array" aca="1" ref="Z1160" ca="1">IFERROR(_xlfn.IFS(OR(F1160="",LEFT(Methode_Keuze,4)="Geen",Methode_Keuze=""),"",AND(W1160&lt;&gt;"",F1160&lt;&gt;"Arbeidskosten"),W1160*VLOOKUP(F1160,Tb_ProjectKosten[],MATCH(Tb_ProjectKosten[[#Headers],[Forfait_Percentage]],Tb_ProjectKosten[#Headers],0),0),AND(F1160="Arbeidskosten",G1160&lt;&gt;""),IFERROR(W1160*VLOOKUP(G1160,Tb_KostenTypen[],3,0)*VLOOKUP(F1160,Tb_ProjectKosten[],MATCH(Tb_ProjectKosten[[#Headers],[Forfait_Percentage]],Tb_ProjectKosten[#Headers],0),0),""),W1160 &lt;=0,0),"")</f>
        <v/>
      </c>
      <c r="AA1160" s="314" t="str" cm="1">
        <f t="array" aca="1" ref="AA1160" ca="1">IFERROR(_xlfn.IFS(OR(F1160="",LEFT(Methode_Keuze,4)="Geen",Methode_Keuze=""),"",AND(X1160&lt;&gt;"",F1160&lt;&gt;"Arbeidskosten"),X1160*VLOOKUP(F1160,Tb_ProjectKosten[],MATCH(Tb_ProjectKosten[[#Headers],[Forfait_Percentage]],Tb_ProjectKosten[#Headers],0),0),AND(F1160="Arbeidskosten",G1160&lt;&gt;""),IFERROR(X1160*VLOOKUP(G1160,Tb_KostenTypen[],3,0)*VLOOKUP(F1160,Tb_ProjectKosten[],MATCH(Tb_ProjectKosten[[#Headers],[Forfait_Percentage]],Tb_ProjectKosten[#Headers],0),0),""),X1160 &lt;=0,0),"")</f>
        <v/>
      </c>
      <c r="AB1160" s="314" t="str">
        <f t="shared" ca="1" si="75"/>
        <v/>
      </c>
      <c r="AC1160" s="322"/>
      <c r="AD1160" s="315"/>
      <c r="AE1160" s="32" t="str" cm="1">
        <f t="array" ref="AE1160">IFERROR(IF(INDEX(SubsidieTabel!$AD$1:$AG$12,MATCH($F1160,SubsidieTabel!$AD$1:$AD$12,0),IFERROR(MATCH(Methode_Keuze,SubsidieTabel!$AD$1:$AG$1,0),2))&lt;&gt;1=TRUE,"ja",""),"")</f>
        <v/>
      </c>
    </row>
    <row r="1161" spans="1:31" x14ac:dyDescent="0.25">
      <c r="A1161" s="316"/>
      <c r="B1161" s="317" t="str">
        <f>IF(A1161&lt;&gt;"",_xlfn.MAXIFS($B$1:B1160,$A$1:A1160,A1161)+1,"")</f>
        <v/>
      </c>
      <c r="C1161" s="296"/>
      <c r="D1161" s="296"/>
      <c r="E1161" s="296"/>
      <c r="F1161" s="296"/>
      <c r="G1161" s="326"/>
      <c r="H1161" s="324"/>
      <c r="I1161" s="325"/>
      <c r="J1161" s="325"/>
      <c r="K1161" s="318"/>
      <c r="L1161" s="318"/>
      <c r="M1161" s="319" t="str">
        <f>IFERROR(VLOOKUP(H1161,Lijsten!$H$1:$I$100,2,0),"")</f>
        <v/>
      </c>
      <c r="N1161" s="319" t="str">
        <f ca="1">IFERROR(IF(VLOOKUP(F1161,Kostentypen!$A$3:$E$21,3,0)=0,"",IF(OR(F1161="Arbeidskosten",F1161="Vergoeding"),VLOOKUP(G1161,Tb_KostenTypen[],2,0),VLOOKUP(F1161,Kostentypen!$A$3:$E$20,3,0))),"")</f>
        <v/>
      </c>
      <c r="O1161" s="320" t="str" cm="1">
        <f t="array" ref="O1161">_xlfn.IFNA(IF(INDEX(Tb_KostenOptiesDB[],MATCH($F1161,Tb_KostenOptiesDB[KostenOptie],0),IFERROR(MATCH(Methode_Keuze,Tb_KostenOptiesDB[#Headers],0),2))=1,_xlfn.SWITCH($N1161,"Uurtarief",IF(OR(AND(RIGHT($F1161,3)="IKS",VLOOKUP($M1161,DB_Loonkosten,2,0)="Ja"),AND(RIGHT($F1161,3)&lt;&gt;"IKS",VLOOKUP($M1161,DB_Loonkosten,2,0)="Nee")),IFERROR(VLOOKUP($M1161,DB_Loonkosten,24,0),""),0),"Vast tarief",IF(LEFT(F1161,8)="Bijdrage",VLOOKUP($F1161,Tb_KostenTypen[],MATCH(Lijsten!$P$1,Tb_KostenTypen[#Headers],0),0),VLOOKUP($G1161,Lijsten!L:P,MATCH(Lijsten!$P$1,Kop_Tarief_Vast,0),0))),""),"")</f>
        <v/>
      </c>
      <c r="P1161" s="320" t="str" cm="1">
        <f t="array" ref="P1161">_xlfn.IFNA(IF(INDEX(Tb_KostenOptiesDB[],MATCH($F1161,Tb_KostenOptiesDB[KostenOptie],0),IFERROR(MATCH(Methode_Keuze,Tb_KostenOptiesDB[#Headers],0),2))=1,_xlfn.SWITCH($N1161,"Uurtarief",IF(OR(AND(RIGHT($F1161,3)="IKS",VLOOKUP($M1161,DB_Loonkosten,2,0)="Ja"),AND(RIGHT($F1161,3)&lt;&gt;"IKS",VLOOKUP($M1161,DB_Loonkosten,2,0)="Nee")),IFERROR(VLOOKUP($M1161,DB_Loonkosten,25,0),""),0),"Vast tarief",IF(LEFT(F1161,8)="Bijdrage",VLOOKUP($F1161,Tb_KostenTypen[],MATCH(Lijsten!$P$1,Tb_KostenTypen[#Headers],0),0),VLOOKUP($G1161,Lijsten!L:P,MATCH(Lijsten!$P$1,Kop_Tarief_Vast,0),0))),""),"")</f>
        <v/>
      </c>
      <c r="Q1161" s="359"/>
      <c r="R1161" s="359"/>
      <c r="S1161" s="321"/>
      <c r="T1161" s="321"/>
      <c r="U1161" s="373" t="str">
        <f t="shared" si="72"/>
        <v/>
      </c>
      <c r="V1161" s="314" t="str">
        <f t="shared" si="73"/>
        <v/>
      </c>
      <c r="W1161" s="314" t="str" cm="1">
        <f t="array" aca="1" ref="W1161" ca="1">IFERROR(IF(AE1161&lt;&gt;"ja",_xlfn.IFNA(_xlfn.IFS(AND(O1161&lt;&gt;"",F1161&lt;&gt;"",RIGHT($N1161,6)="tarief",F1161="Vergoeding"),SUM(O1161)*FLOOR(SUM(Q1161),0.0001),AND(O1161&lt;&gt;"",F1161&lt;&gt;"",RIGHT($N1161,6)="tarief"),SUM(O1161)*FLOOR(SUM(Q1161),0.01),S1161&gt;0,IF(F1161&lt;&gt;"",FLOOR(SUM(S1161),0.01),"")),""),""),"")</f>
        <v/>
      </c>
      <c r="X1161" s="314" t="str" cm="1">
        <f t="array" aca="1" ref="X1161" ca="1">IFERROR(IF(AE1161&lt;&gt;"ja",_xlfn.IFNA(_xlfn.IFS(AND(P1161&lt;&gt;"",R1161&lt;&gt;"",RIGHT($N1161,6)="tarief",F1161="Vergoeding"),SUM(P1161)*FLOOR(SUM(R1161),0.0001),AND(P1161&lt;&gt;"",R1161&lt;&gt;"",RIGHT($N1161,6)="tarief"),P1161*FLOOR(R1161,0.01),T1161&gt;0,FLOOR(SUM(T1161),0.01)),""),""),"")</f>
        <v/>
      </c>
      <c r="Y1161" s="314" t="str">
        <f t="shared" ca="1" si="74"/>
        <v/>
      </c>
      <c r="Z1161" s="314" t="str" cm="1">
        <f t="array" aca="1" ref="Z1161" ca="1">IFERROR(_xlfn.IFS(OR(F1161="",LEFT(Methode_Keuze,4)="Geen",Methode_Keuze=""),"",AND(W1161&lt;&gt;"",F1161&lt;&gt;"Arbeidskosten"),W1161*VLOOKUP(F1161,Tb_ProjectKosten[],MATCH(Tb_ProjectKosten[[#Headers],[Forfait_Percentage]],Tb_ProjectKosten[#Headers],0),0),AND(F1161="Arbeidskosten",G1161&lt;&gt;""),IFERROR(W1161*VLOOKUP(G1161,Tb_KostenTypen[],3,0)*VLOOKUP(F1161,Tb_ProjectKosten[],MATCH(Tb_ProjectKosten[[#Headers],[Forfait_Percentage]],Tb_ProjectKosten[#Headers],0),0),""),W1161 &lt;=0,0),"")</f>
        <v/>
      </c>
      <c r="AA1161" s="314" t="str" cm="1">
        <f t="array" aca="1" ref="AA1161" ca="1">IFERROR(_xlfn.IFS(OR(F1161="",LEFT(Methode_Keuze,4)="Geen",Methode_Keuze=""),"",AND(X1161&lt;&gt;"",F1161&lt;&gt;"Arbeidskosten"),X1161*VLOOKUP(F1161,Tb_ProjectKosten[],MATCH(Tb_ProjectKosten[[#Headers],[Forfait_Percentage]],Tb_ProjectKosten[#Headers],0),0),AND(F1161="Arbeidskosten",G1161&lt;&gt;""),IFERROR(X1161*VLOOKUP(G1161,Tb_KostenTypen[],3,0)*VLOOKUP(F1161,Tb_ProjectKosten[],MATCH(Tb_ProjectKosten[[#Headers],[Forfait_Percentage]],Tb_ProjectKosten[#Headers],0),0),""),X1161 &lt;=0,0),"")</f>
        <v/>
      </c>
      <c r="AB1161" s="314" t="str">
        <f t="shared" ca="1" si="75"/>
        <v/>
      </c>
      <c r="AC1161" s="322"/>
      <c r="AD1161" s="315"/>
      <c r="AE1161" s="32" t="str" cm="1">
        <f t="array" ref="AE1161">IFERROR(IF(INDEX(SubsidieTabel!$AD$1:$AG$12,MATCH($F1161,SubsidieTabel!$AD$1:$AD$12,0),IFERROR(MATCH(Methode_Keuze,SubsidieTabel!$AD$1:$AG$1,0),2))&lt;&gt;1=TRUE,"ja",""),"")</f>
        <v/>
      </c>
    </row>
    <row r="1162" spans="1:31" x14ac:dyDescent="0.25">
      <c r="A1162" s="316"/>
      <c r="B1162" s="317" t="str">
        <f>IF(A1162&lt;&gt;"",_xlfn.MAXIFS($B$1:B1161,$A$1:A1161,A1162)+1,"")</f>
        <v/>
      </c>
      <c r="C1162" s="296"/>
      <c r="D1162" s="296"/>
      <c r="E1162" s="296"/>
      <c r="F1162" s="296"/>
      <c r="G1162" s="326"/>
      <c r="H1162" s="324"/>
      <c r="I1162" s="325"/>
      <c r="J1162" s="325"/>
      <c r="K1162" s="318"/>
      <c r="L1162" s="318"/>
      <c r="M1162" s="319" t="str">
        <f>IFERROR(VLOOKUP(H1162,Lijsten!$H$1:$I$100,2,0),"")</f>
        <v/>
      </c>
      <c r="N1162" s="319" t="str">
        <f ca="1">IFERROR(IF(VLOOKUP(F1162,Kostentypen!$A$3:$E$21,3,0)=0,"",IF(OR(F1162="Arbeidskosten",F1162="Vergoeding"),VLOOKUP(G1162,Tb_KostenTypen[],2,0),VLOOKUP(F1162,Kostentypen!$A$3:$E$20,3,0))),"")</f>
        <v/>
      </c>
      <c r="O1162" s="320" t="str" cm="1">
        <f t="array" ref="O1162">_xlfn.IFNA(IF(INDEX(Tb_KostenOptiesDB[],MATCH($F1162,Tb_KostenOptiesDB[KostenOptie],0),IFERROR(MATCH(Methode_Keuze,Tb_KostenOptiesDB[#Headers],0),2))=1,_xlfn.SWITCH($N1162,"Uurtarief",IF(OR(AND(RIGHT($F1162,3)="IKS",VLOOKUP($M1162,DB_Loonkosten,2,0)="Ja"),AND(RIGHT($F1162,3)&lt;&gt;"IKS",VLOOKUP($M1162,DB_Loonkosten,2,0)="Nee")),IFERROR(VLOOKUP($M1162,DB_Loonkosten,24,0),""),0),"Vast tarief",IF(LEFT(F1162,8)="Bijdrage",VLOOKUP($F1162,Tb_KostenTypen[],MATCH(Lijsten!$P$1,Tb_KostenTypen[#Headers],0),0),VLOOKUP($G1162,Lijsten!L:P,MATCH(Lijsten!$P$1,Kop_Tarief_Vast,0),0))),""),"")</f>
        <v/>
      </c>
      <c r="P1162" s="320" t="str" cm="1">
        <f t="array" ref="P1162">_xlfn.IFNA(IF(INDEX(Tb_KostenOptiesDB[],MATCH($F1162,Tb_KostenOptiesDB[KostenOptie],0),IFERROR(MATCH(Methode_Keuze,Tb_KostenOptiesDB[#Headers],0),2))=1,_xlfn.SWITCH($N1162,"Uurtarief",IF(OR(AND(RIGHT($F1162,3)="IKS",VLOOKUP($M1162,DB_Loonkosten,2,0)="Ja"),AND(RIGHT($F1162,3)&lt;&gt;"IKS",VLOOKUP($M1162,DB_Loonkosten,2,0)="Nee")),IFERROR(VLOOKUP($M1162,DB_Loonkosten,25,0),""),0),"Vast tarief",IF(LEFT(F1162,8)="Bijdrage",VLOOKUP($F1162,Tb_KostenTypen[],MATCH(Lijsten!$P$1,Tb_KostenTypen[#Headers],0),0),VLOOKUP($G1162,Lijsten!L:P,MATCH(Lijsten!$P$1,Kop_Tarief_Vast,0),0))),""),"")</f>
        <v/>
      </c>
      <c r="Q1162" s="359"/>
      <c r="R1162" s="359"/>
      <c r="S1162" s="321"/>
      <c r="T1162" s="321"/>
      <c r="U1162" s="373" t="str">
        <f t="shared" si="72"/>
        <v/>
      </c>
      <c r="V1162" s="314" t="str">
        <f t="shared" si="73"/>
        <v/>
      </c>
      <c r="W1162" s="314" t="str" cm="1">
        <f t="array" aca="1" ref="W1162" ca="1">IFERROR(IF(AE1162&lt;&gt;"ja",_xlfn.IFNA(_xlfn.IFS(AND(O1162&lt;&gt;"",F1162&lt;&gt;"",RIGHT($N1162,6)="tarief",F1162="Vergoeding"),SUM(O1162)*FLOOR(SUM(Q1162),0.0001),AND(O1162&lt;&gt;"",F1162&lt;&gt;"",RIGHT($N1162,6)="tarief"),SUM(O1162)*FLOOR(SUM(Q1162),0.01),S1162&gt;0,IF(F1162&lt;&gt;"",FLOOR(SUM(S1162),0.01),"")),""),""),"")</f>
        <v/>
      </c>
      <c r="X1162" s="314" t="str" cm="1">
        <f t="array" aca="1" ref="X1162" ca="1">IFERROR(IF(AE1162&lt;&gt;"ja",_xlfn.IFNA(_xlfn.IFS(AND(P1162&lt;&gt;"",R1162&lt;&gt;"",RIGHT($N1162,6)="tarief",F1162="Vergoeding"),SUM(P1162)*FLOOR(SUM(R1162),0.0001),AND(P1162&lt;&gt;"",R1162&lt;&gt;"",RIGHT($N1162,6)="tarief"),P1162*FLOOR(R1162,0.01),T1162&gt;0,FLOOR(SUM(T1162),0.01)),""),""),"")</f>
        <v/>
      </c>
      <c r="Y1162" s="314" t="str">
        <f t="shared" ca="1" si="74"/>
        <v/>
      </c>
      <c r="Z1162" s="314" t="str" cm="1">
        <f t="array" aca="1" ref="Z1162" ca="1">IFERROR(_xlfn.IFS(OR(F1162="",LEFT(Methode_Keuze,4)="Geen",Methode_Keuze=""),"",AND(W1162&lt;&gt;"",F1162&lt;&gt;"Arbeidskosten"),W1162*VLOOKUP(F1162,Tb_ProjectKosten[],MATCH(Tb_ProjectKosten[[#Headers],[Forfait_Percentage]],Tb_ProjectKosten[#Headers],0),0),AND(F1162="Arbeidskosten",G1162&lt;&gt;""),IFERROR(W1162*VLOOKUP(G1162,Tb_KostenTypen[],3,0)*VLOOKUP(F1162,Tb_ProjectKosten[],MATCH(Tb_ProjectKosten[[#Headers],[Forfait_Percentage]],Tb_ProjectKosten[#Headers],0),0),""),W1162 &lt;=0,0),"")</f>
        <v/>
      </c>
      <c r="AA1162" s="314" t="str" cm="1">
        <f t="array" aca="1" ref="AA1162" ca="1">IFERROR(_xlfn.IFS(OR(F1162="",LEFT(Methode_Keuze,4)="Geen",Methode_Keuze=""),"",AND(X1162&lt;&gt;"",F1162&lt;&gt;"Arbeidskosten"),X1162*VLOOKUP(F1162,Tb_ProjectKosten[],MATCH(Tb_ProjectKosten[[#Headers],[Forfait_Percentage]],Tb_ProjectKosten[#Headers],0),0),AND(F1162="Arbeidskosten",G1162&lt;&gt;""),IFERROR(X1162*VLOOKUP(G1162,Tb_KostenTypen[],3,0)*VLOOKUP(F1162,Tb_ProjectKosten[],MATCH(Tb_ProjectKosten[[#Headers],[Forfait_Percentage]],Tb_ProjectKosten[#Headers],0),0),""),X1162 &lt;=0,0),"")</f>
        <v/>
      </c>
      <c r="AB1162" s="314" t="str">
        <f t="shared" ca="1" si="75"/>
        <v/>
      </c>
      <c r="AC1162" s="322"/>
      <c r="AD1162" s="315"/>
      <c r="AE1162" s="32" t="str" cm="1">
        <f t="array" ref="AE1162">IFERROR(IF(INDEX(SubsidieTabel!$AD$1:$AG$12,MATCH($F1162,SubsidieTabel!$AD$1:$AD$12,0),IFERROR(MATCH(Methode_Keuze,SubsidieTabel!$AD$1:$AG$1,0),2))&lt;&gt;1=TRUE,"ja",""),"")</f>
        <v/>
      </c>
    </row>
    <row r="1163" spans="1:31" x14ac:dyDescent="0.25">
      <c r="A1163" s="316"/>
      <c r="B1163" s="317" t="str">
        <f>IF(A1163&lt;&gt;"",_xlfn.MAXIFS($B$1:B1162,$A$1:A1162,A1163)+1,"")</f>
        <v/>
      </c>
      <c r="C1163" s="296"/>
      <c r="D1163" s="296"/>
      <c r="E1163" s="296"/>
      <c r="F1163" s="296"/>
      <c r="G1163" s="326"/>
      <c r="H1163" s="324"/>
      <c r="I1163" s="325"/>
      <c r="J1163" s="325"/>
      <c r="K1163" s="318"/>
      <c r="L1163" s="318"/>
      <c r="M1163" s="319" t="str">
        <f>IFERROR(VLOOKUP(H1163,Lijsten!$H$1:$I$100,2,0),"")</f>
        <v/>
      </c>
      <c r="N1163" s="319" t="str">
        <f ca="1">IFERROR(IF(VLOOKUP(F1163,Kostentypen!$A$3:$E$21,3,0)=0,"",IF(OR(F1163="Arbeidskosten",F1163="Vergoeding"),VLOOKUP(G1163,Tb_KostenTypen[],2,0),VLOOKUP(F1163,Kostentypen!$A$3:$E$20,3,0))),"")</f>
        <v/>
      </c>
      <c r="O1163" s="320" t="str" cm="1">
        <f t="array" ref="O1163">_xlfn.IFNA(IF(INDEX(Tb_KostenOptiesDB[],MATCH($F1163,Tb_KostenOptiesDB[KostenOptie],0),IFERROR(MATCH(Methode_Keuze,Tb_KostenOptiesDB[#Headers],0),2))=1,_xlfn.SWITCH($N1163,"Uurtarief",IF(OR(AND(RIGHT($F1163,3)="IKS",VLOOKUP($M1163,DB_Loonkosten,2,0)="Ja"),AND(RIGHT($F1163,3)&lt;&gt;"IKS",VLOOKUP($M1163,DB_Loonkosten,2,0)="Nee")),IFERROR(VLOOKUP($M1163,DB_Loonkosten,24,0),""),0),"Vast tarief",IF(LEFT(F1163,8)="Bijdrage",VLOOKUP($F1163,Tb_KostenTypen[],MATCH(Lijsten!$P$1,Tb_KostenTypen[#Headers],0),0),VLOOKUP($G1163,Lijsten!L:P,MATCH(Lijsten!$P$1,Kop_Tarief_Vast,0),0))),""),"")</f>
        <v/>
      </c>
      <c r="P1163" s="320" t="str" cm="1">
        <f t="array" ref="P1163">_xlfn.IFNA(IF(INDEX(Tb_KostenOptiesDB[],MATCH($F1163,Tb_KostenOptiesDB[KostenOptie],0),IFERROR(MATCH(Methode_Keuze,Tb_KostenOptiesDB[#Headers],0),2))=1,_xlfn.SWITCH($N1163,"Uurtarief",IF(OR(AND(RIGHT($F1163,3)="IKS",VLOOKUP($M1163,DB_Loonkosten,2,0)="Ja"),AND(RIGHT($F1163,3)&lt;&gt;"IKS",VLOOKUP($M1163,DB_Loonkosten,2,0)="Nee")),IFERROR(VLOOKUP($M1163,DB_Loonkosten,25,0),""),0),"Vast tarief",IF(LEFT(F1163,8)="Bijdrage",VLOOKUP($F1163,Tb_KostenTypen[],MATCH(Lijsten!$P$1,Tb_KostenTypen[#Headers],0),0),VLOOKUP($G1163,Lijsten!L:P,MATCH(Lijsten!$P$1,Kop_Tarief_Vast,0),0))),""),"")</f>
        <v/>
      </c>
      <c r="Q1163" s="359"/>
      <c r="R1163" s="359"/>
      <c r="S1163" s="321"/>
      <c r="T1163" s="321"/>
      <c r="U1163" s="373" t="str">
        <f t="shared" si="72"/>
        <v/>
      </c>
      <c r="V1163" s="314" t="str">
        <f t="shared" si="73"/>
        <v/>
      </c>
      <c r="W1163" s="314" t="str" cm="1">
        <f t="array" aca="1" ref="W1163" ca="1">IFERROR(IF(AE1163&lt;&gt;"ja",_xlfn.IFNA(_xlfn.IFS(AND(O1163&lt;&gt;"",F1163&lt;&gt;"",RIGHT($N1163,6)="tarief",F1163="Vergoeding"),SUM(O1163)*FLOOR(SUM(Q1163),0.0001),AND(O1163&lt;&gt;"",F1163&lt;&gt;"",RIGHT($N1163,6)="tarief"),SUM(O1163)*FLOOR(SUM(Q1163),0.01),S1163&gt;0,IF(F1163&lt;&gt;"",FLOOR(SUM(S1163),0.01),"")),""),""),"")</f>
        <v/>
      </c>
      <c r="X1163" s="314" t="str" cm="1">
        <f t="array" aca="1" ref="X1163" ca="1">IFERROR(IF(AE1163&lt;&gt;"ja",_xlfn.IFNA(_xlfn.IFS(AND(P1163&lt;&gt;"",R1163&lt;&gt;"",RIGHT($N1163,6)="tarief",F1163="Vergoeding"),SUM(P1163)*FLOOR(SUM(R1163),0.0001),AND(P1163&lt;&gt;"",R1163&lt;&gt;"",RIGHT($N1163,6)="tarief"),P1163*FLOOR(R1163,0.01),T1163&gt;0,FLOOR(SUM(T1163),0.01)),""),""),"")</f>
        <v/>
      </c>
      <c r="Y1163" s="314" t="str">
        <f t="shared" ca="1" si="74"/>
        <v/>
      </c>
      <c r="Z1163" s="314" t="str" cm="1">
        <f t="array" aca="1" ref="Z1163" ca="1">IFERROR(_xlfn.IFS(OR(F1163="",LEFT(Methode_Keuze,4)="Geen",Methode_Keuze=""),"",AND(W1163&lt;&gt;"",F1163&lt;&gt;"Arbeidskosten"),W1163*VLOOKUP(F1163,Tb_ProjectKosten[],MATCH(Tb_ProjectKosten[[#Headers],[Forfait_Percentage]],Tb_ProjectKosten[#Headers],0),0),AND(F1163="Arbeidskosten",G1163&lt;&gt;""),IFERROR(W1163*VLOOKUP(G1163,Tb_KostenTypen[],3,0)*VLOOKUP(F1163,Tb_ProjectKosten[],MATCH(Tb_ProjectKosten[[#Headers],[Forfait_Percentage]],Tb_ProjectKosten[#Headers],0),0),""),W1163 &lt;=0,0),"")</f>
        <v/>
      </c>
      <c r="AA1163" s="314" t="str" cm="1">
        <f t="array" aca="1" ref="AA1163" ca="1">IFERROR(_xlfn.IFS(OR(F1163="",LEFT(Methode_Keuze,4)="Geen",Methode_Keuze=""),"",AND(X1163&lt;&gt;"",F1163&lt;&gt;"Arbeidskosten"),X1163*VLOOKUP(F1163,Tb_ProjectKosten[],MATCH(Tb_ProjectKosten[[#Headers],[Forfait_Percentage]],Tb_ProjectKosten[#Headers],0),0),AND(F1163="Arbeidskosten",G1163&lt;&gt;""),IFERROR(X1163*VLOOKUP(G1163,Tb_KostenTypen[],3,0)*VLOOKUP(F1163,Tb_ProjectKosten[],MATCH(Tb_ProjectKosten[[#Headers],[Forfait_Percentage]],Tb_ProjectKosten[#Headers],0),0),""),X1163 &lt;=0,0),"")</f>
        <v/>
      </c>
      <c r="AB1163" s="314" t="str">
        <f t="shared" ca="1" si="75"/>
        <v/>
      </c>
      <c r="AC1163" s="322"/>
      <c r="AD1163" s="315"/>
      <c r="AE1163" s="32" t="str" cm="1">
        <f t="array" ref="AE1163">IFERROR(IF(INDEX(SubsidieTabel!$AD$1:$AG$12,MATCH($F1163,SubsidieTabel!$AD$1:$AD$12,0),IFERROR(MATCH(Methode_Keuze,SubsidieTabel!$AD$1:$AG$1,0),2))&lt;&gt;1=TRUE,"ja",""),"")</f>
        <v/>
      </c>
    </row>
    <row r="1164" spans="1:31" x14ac:dyDescent="0.25">
      <c r="A1164" s="316"/>
      <c r="B1164" s="317" t="str">
        <f>IF(A1164&lt;&gt;"",_xlfn.MAXIFS($B$1:B1163,$A$1:A1163,A1164)+1,"")</f>
        <v/>
      </c>
      <c r="C1164" s="296"/>
      <c r="D1164" s="296"/>
      <c r="E1164" s="296"/>
      <c r="F1164" s="296"/>
      <c r="G1164" s="326"/>
      <c r="H1164" s="324"/>
      <c r="I1164" s="325"/>
      <c r="J1164" s="325"/>
      <c r="K1164" s="318"/>
      <c r="L1164" s="318"/>
      <c r="M1164" s="319" t="str">
        <f>IFERROR(VLOOKUP(H1164,Lijsten!$H$1:$I$100,2,0),"")</f>
        <v/>
      </c>
      <c r="N1164" s="319" t="str">
        <f ca="1">IFERROR(IF(VLOOKUP(F1164,Kostentypen!$A$3:$E$21,3,0)=0,"",IF(OR(F1164="Arbeidskosten",F1164="Vergoeding"),VLOOKUP(G1164,Tb_KostenTypen[],2,0),VLOOKUP(F1164,Kostentypen!$A$3:$E$20,3,0))),"")</f>
        <v/>
      </c>
      <c r="O1164" s="320" t="str" cm="1">
        <f t="array" ref="O1164">_xlfn.IFNA(IF(INDEX(Tb_KostenOptiesDB[],MATCH($F1164,Tb_KostenOptiesDB[KostenOptie],0),IFERROR(MATCH(Methode_Keuze,Tb_KostenOptiesDB[#Headers],0),2))=1,_xlfn.SWITCH($N1164,"Uurtarief",IF(OR(AND(RIGHT($F1164,3)="IKS",VLOOKUP($M1164,DB_Loonkosten,2,0)="Ja"),AND(RIGHT($F1164,3)&lt;&gt;"IKS",VLOOKUP($M1164,DB_Loonkosten,2,0)="Nee")),IFERROR(VLOOKUP($M1164,DB_Loonkosten,24,0),""),0),"Vast tarief",IF(LEFT(F1164,8)="Bijdrage",VLOOKUP($F1164,Tb_KostenTypen[],MATCH(Lijsten!$P$1,Tb_KostenTypen[#Headers],0),0),VLOOKUP($G1164,Lijsten!L:P,MATCH(Lijsten!$P$1,Kop_Tarief_Vast,0),0))),""),"")</f>
        <v/>
      </c>
      <c r="P1164" s="320" t="str" cm="1">
        <f t="array" ref="P1164">_xlfn.IFNA(IF(INDEX(Tb_KostenOptiesDB[],MATCH($F1164,Tb_KostenOptiesDB[KostenOptie],0),IFERROR(MATCH(Methode_Keuze,Tb_KostenOptiesDB[#Headers],0),2))=1,_xlfn.SWITCH($N1164,"Uurtarief",IF(OR(AND(RIGHT($F1164,3)="IKS",VLOOKUP($M1164,DB_Loonkosten,2,0)="Ja"),AND(RIGHT($F1164,3)&lt;&gt;"IKS",VLOOKUP($M1164,DB_Loonkosten,2,0)="Nee")),IFERROR(VLOOKUP($M1164,DB_Loonkosten,25,0),""),0),"Vast tarief",IF(LEFT(F1164,8)="Bijdrage",VLOOKUP($F1164,Tb_KostenTypen[],MATCH(Lijsten!$P$1,Tb_KostenTypen[#Headers],0),0),VLOOKUP($G1164,Lijsten!L:P,MATCH(Lijsten!$P$1,Kop_Tarief_Vast,0),0))),""),"")</f>
        <v/>
      </c>
      <c r="Q1164" s="359"/>
      <c r="R1164" s="359"/>
      <c r="S1164" s="321"/>
      <c r="T1164" s="321"/>
      <c r="U1164" s="373" t="str">
        <f t="shared" si="72"/>
        <v/>
      </c>
      <c r="V1164" s="314" t="str">
        <f t="shared" si="73"/>
        <v/>
      </c>
      <c r="W1164" s="314" t="str" cm="1">
        <f t="array" aca="1" ref="W1164" ca="1">IFERROR(IF(AE1164&lt;&gt;"ja",_xlfn.IFNA(_xlfn.IFS(AND(O1164&lt;&gt;"",F1164&lt;&gt;"",RIGHT($N1164,6)="tarief",F1164="Vergoeding"),SUM(O1164)*FLOOR(SUM(Q1164),0.0001),AND(O1164&lt;&gt;"",F1164&lt;&gt;"",RIGHT($N1164,6)="tarief"),SUM(O1164)*FLOOR(SUM(Q1164),0.01),S1164&gt;0,IF(F1164&lt;&gt;"",FLOOR(SUM(S1164),0.01),"")),""),""),"")</f>
        <v/>
      </c>
      <c r="X1164" s="314" t="str" cm="1">
        <f t="array" aca="1" ref="X1164" ca="1">IFERROR(IF(AE1164&lt;&gt;"ja",_xlfn.IFNA(_xlfn.IFS(AND(P1164&lt;&gt;"",R1164&lt;&gt;"",RIGHT($N1164,6)="tarief",F1164="Vergoeding"),SUM(P1164)*FLOOR(SUM(R1164),0.0001),AND(P1164&lt;&gt;"",R1164&lt;&gt;"",RIGHT($N1164,6)="tarief"),P1164*FLOOR(R1164,0.01),T1164&gt;0,FLOOR(SUM(T1164),0.01)),""),""),"")</f>
        <v/>
      </c>
      <c r="Y1164" s="314" t="str">
        <f t="shared" ca="1" si="74"/>
        <v/>
      </c>
      <c r="Z1164" s="314" t="str" cm="1">
        <f t="array" aca="1" ref="Z1164" ca="1">IFERROR(_xlfn.IFS(OR(F1164="",LEFT(Methode_Keuze,4)="Geen",Methode_Keuze=""),"",AND(W1164&lt;&gt;"",F1164&lt;&gt;"Arbeidskosten"),W1164*VLOOKUP(F1164,Tb_ProjectKosten[],MATCH(Tb_ProjectKosten[[#Headers],[Forfait_Percentage]],Tb_ProjectKosten[#Headers],0),0),AND(F1164="Arbeidskosten",G1164&lt;&gt;""),IFERROR(W1164*VLOOKUP(G1164,Tb_KostenTypen[],3,0)*VLOOKUP(F1164,Tb_ProjectKosten[],MATCH(Tb_ProjectKosten[[#Headers],[Forfait_Percentage]],Tb_ProjectKosten[#Headers],0),0),""),W1164 &lt;=0,0),"")</f>
        <v/>
      </c>
      <c r="AA1164" s="314" t="str" cm="1">
        <f t="array" aca="1" ref="AA1164" ca="1">IFERROR(_xlfn.IFS(OR(F1164="",LEFT(Methode_Keuze,4)="Geen",Methode_Keuze=""),"",AND(X1164&lt;&gt;"",F1164&lt;&gt;"Arbeidskosten"),X1164*VLOOKUP(F1164,Tb_ProjectKosten[],MATCH(Tb_ProjectKosten[[#Headers],[Forfait_Percentage]],Tb_ProjectKosten[#Headers],0),0),AND(F1164="Arbeidskosten",G1164&lt;&gt;""),IFERROR(X1164*VLOOKUP(G1164,Tb_KostenTypen[],3,0)*VLOOKUP(F1164,Tb_ProjectKosten[],MATCH(Tb_ProjectKosten[[#Headers],[Forfait_Percentage]],Tb_ProjectKosten[#Headers],0),0),""),X1164 &lt;=0,0),"")</f>
        <v/>
      </c>
      <c r="AB1164" s="314" t="str">
        <f t="shared" ca="1" si="75"/>
        <v/>
      </c>
      <c r="AC1164" s="322"/>
      <c r="AD1164" s="315"/>
      <c r="AE1164" s="32" t="str" cm="1">
        <f t="array" ref="AE1164">IFERROR(IF(INDEX(SubsidieTabel!$AD$1:$AG$12,MATCH($F1164,SubsidieTabel!$AD$1:$AD$12,0),IFERROR(MATCH(Methode_Keuze,SubsidieTabel!$AD$1:$AG$1,0),2))&lt;&gt;1=TRUE,"ja",""),"")</f>
        <v/>
      </c>
    </row>
    <row r="1165" spans="1:31" x14ac:dyDescent="0.25">
      <c r="A1165" s="316"/>
      <c r="B1165" s="317" t="str">
        <f>IF(A1165&lt;&gt;"",_xlfn.MAXIFS($B$1:B1164,$A$1:A1164,A1165)+1,"")</f>
        <v/>
      </c>
      <c r="C1165" s="296"/>
      <c r="D1165" s="296"/>
      <c r="E1165" s="296"/>
      <c r="F1165" s="296"/>
      <c r="G1165" s="326"/>
      <c r="H1165" s="324"/>
      <c r="I1165" s="325"/>
      <c r="J1165" s="325"/>
      <c r="K1165" s="318"/>
      <c r="L1165" s="318"/>
      <c r="M1165" s="319" t="str">
        <f>IFERROR(VLOOKUP(H1165,Lijsten!$H$1:$I$100,2,0),"")</f>
        <v/>
      </c>
      <c r="N1165" s="319" t="str">
        <f ca="1">IFERROR(IF(VLOOKUP(F1165,Kostentypen!$A$3:$E$21,3,0)=0,"",IF(OR(F1165="Arbeidskosten",F1165="Vergoeding"),VLOOKUP(G1165,Tb_KostenTypen[],2,0),VLOOKUP(F1165,Kostentypen!$A$3:$E$20,3,0))),"")</f>
        <v/>
      </c>
      <c r="O1165" s="320" t="str" cm="1">
        <f t="array" ref="O1165">_xlfn.IFNA(IF(INDEX(Tb_KostenOptiesDB[],MATCH($F1165,Tb_KostenOptiesDB[KostenOptie],0),IFERROR(MATCH(Methode_Keuze,Tb_KostenOptiesDB[#Headers],0),2))=1,_xlfn.SWITCH($N1165,"Uurtarief",IF(OR(AND(RIGHT($F1165,3)="IKS",VLOOKUP($M1165,DB_Loonkosten,2,0)="Ja"),AND(RIGHT($F1165,3)&lt;&gt;"IKS",VLOOKUP($M1165,DB_Loonkosten,2,0)="Nee")),IFERROR(VLOOKUP($M1165,DB_Loonkosten,24,0),""),0),"Vast tarief",IF(LEFT(F1165,8)="Bijdrage",VLOOKUP($F1165,Tb_KostenTypen[],MATCH(Lijsten!$P$1,Tb_KostenTypen[#Headers],0),0),VLOOKUP($G1165,Lijsten!L:P,MATCH(Lijsten!$P$1,Kop_Tarief_Vast,0),0))),""),"")</f>
        <v/>
      </c>
      <c r="P1165" s="320" t="str" cm="1">
        <f t="array" ref="P1165">_xlfn.IFNA(IF(INDEX(Tb_KostenOptiesDB[],MATCH($F1165,Tb_KostenOptiesDB[KostenOptie],0),IFERROR(MATCH(Methode_Keuze,Tb_KostenOptiesDB[#Headers],0),2))=1,_xlfn.SWITCH($N1165,"Uurtarief",IF(OR(AND(RIGHT($F1165,3)="IKS",VLOOKUP($M1165,DB_Loonkosten,2,0)="Ja"),AND(RIGHT($F1165,3)&lt;&gt;"IKS",VLOOKUP($M1165,DB_Loonkosten,2,0)="Nee")),IFERROR(VLOOKUP($M1165,DB_Loonkosten,25,0),""),0),"Vast tarief",IF(LEFT(F1165,8)="Bijdrage",VLOOKUP($F1165,Tb_KostenTypen[],MATCH(Lijsten!$P$1,Tb_KostenTypen[#Headers],0),0),VLOOKUP($G1165,Lijsten!L:P,MATCH(Lijsten!$P$1,Kop_Tarief_Vast,0),0))),""),"")</f>
        <v/>
      </c>
      <c r="Q1165" s="359"/>
      <c r="R1165" s="359"/>
      <c r="S1165" s="321"/>
      <c r="T1165" s="321"/>
      <c r="U1165" s="373" t="str">
        <f t="shared" si="72"/>
        <v/>
      </c>
      <c r="V1165" s="314" t="str">
        <f t="shared" si="73"/>
        <v/>
      </c>
      <c r="W1165" s="314" t="str" cm="1">
        <f t="array" aca="1" ref="W1165" ca="1">IFERROR(IF(AE1165&lt;&gt;"ja",_xlfn.IFNA(_xlfn.IFS(AND(O1165&lt;&gt;"",F1165&lt;&gt;"",RIGHT($N1165,6)="tarief",F1165="Vergoeding"),SUM(O1165)*FLOOR(SUM(Q1165),0.0001),AND(O1165&lt;&gt;"",F1165&lt;&gt;"",RIGHT($N1165,6)="tarief"),SUM(O1165)*FLOOR(SUM(Q1165),0.01),S1165&gt;0,IF(F1165&lt;&gt;"",FLOOR(SUM(S1165),0.01),"")),""),""),"")</f>
        <v/>
      </c>
      <c r="X1165" s="314" t="str" cm="1">
        <f t="array" aca="1" ref="X1165" ca="1">IFERROR(IF(AE1165&lt;&gt;"ja",_xlfn.IFNA(_xlfn.IFS(AND(P1165&lt;&gt;"",R1165&lt;&gt;"",RIGHT($N1165,6)="tarief",F1165="Vergoeding"),SUM(P1165)*FLOOR(SUM(R1165),0.0001),AND(P1165&lt;&gt;"",R1165&lt;&gt;"",RIGHT($N1165,6)="tarief"),P1165*FLOOR(R1165,0.01),T1165&gt;0,FLOOR(SUM(T1165),0.01)),""),""),"")</f>
        <v/>
      </c>
      <c r="Y1165" s="314" t="str">
        <f t="shared" ca="1" si="74"/>
        <v/>
      </c>
      <c r="Z1165" s="314" t="str" cm="1">
        <f t="array" aca="1" ref="Z1165" ca="1">IFERROR(_xlfn.IFS(OR(F1165="",LEFT(Methode_Keuze,4)="Geen",Methode_Keuze=""),"",AND(W1165&lt;&gt;"",F1165&lt;&gt;"Arbeidskosten"),W1165*VLOOKUP(F1165,Tb_ProjectKosten[],MATCH(Tb_ProjectKosten[[#Headers],[Forfait_Percentage]],Tb_ProjectKosten[#Headers],0),0),AND(F1165="Arbeidskosten",G1165&lt;&gt;""),IFERROR(W1165*VLOOKUP(G1165,Tb_KostenTypen[],3,0)*VLOOKUP(F1165,Tb_ProjectKosten[],MATCH(Tb_ProjectKosten[[#Headers],[Forfait_Percentage]],Tb_ProjectKosten[#Headers],0),0),""),W1165 &lt;=0,0),"")</f>
        <v/>
      </c>
      <c r="AA1165" s="314" t="str" cm="1">
        <f t="array" aca="1" ref="AA1165" ca="1">IFERROR(_xlfn.IFS(OR(F1165="",LEFT(Methode_Keuze,4)="Geen",Methode_Keuze=""),"",AND(X1165&lt;&gt;"",F1165&lt;&gt;"Arbeidskosten"),X1165*VLOOKUP(F1165,Tb_ProjectKosten[],MATCH(Tb_ProjectKosten[[#Headers],[Forfait_Percentage]],Tb_ProjectKosten[#Headers],0),0),AND(F1165="Arbeidskosten",G1165&lt;&gt;""),IFERROR(X1165*VLOOKUP(G1165,Tb_KostenTypen[],3,0)*VLOOKUP(F1165,Tb_ProjectKosten[],MATCH(Tb_ProjectKosten[[#Headers],[Forfait_Percentage]],Tb_ProjectKosten[#Headers],0),0),""),X1165 &lt;=0,0),"")</f>
        <v/>
      </c>
      <c r="AB1165" s="314" t="str">
        <f t="shared" ca="1" si="75"/>
        <v/>
      </c>
      <c r="AC1165" s="322"/>
      <c r="AD1165" s="315"/>
      <c r="AE1165" s="32" t="str" cm="1">
        <f t="array" ref="AE1165">IFERROR(IF(INDEX(SubsidieTabel!$AD$1:$AG$12,MATCH($F1165,SubsidieTabel!$AD$1:$AD$12,0),IFERROR(MATCH(Methode_Keuze,SubsidieTabel!$AD$1:$AG$1,0),2))&lt;&gt;1=TRUE,"ja",""),"")</f>
        <v/>
      </c>
    </row>
    <row r="1166" spans="1:31" x14ac:dyDescent="0.25">
      <c r="A1166" s="316"/>
      <c r="B1166" s="317" t="str">
        <f>IF(A1166&lt;&gt;"",_xlfn.MAXIFS($B$1:B1165,$A$1:A1165,A1166)+1,"")</f>
        <v/>
      </c>
      <c r="C1166" s="296"/>
      <c r="D1166" s="296"/>
      <c r="E1166" s="296"/>
      <c r="F1166" s="296"/>
      <c r="G1166" s="326"/>
      <c r="H1166" s="324"/>
      <c r="I1166" s="325"/>
      <c r="J1166" s="325"/>
      <c r="K1166" s="318"/>
      <c r="L1166" s="318"/>
      <c r="M1166" s="319" t="str">
        <f>IFERROR(VLOOKUP(H1166,Lijsten!$H$1:$I$100,2,0),"")</f>
        <v/>
      </c>
      <c r="N1166" s="319" t="str">
        <f ca="1">IFERROR(IF(VLOOKUP(F1166,Kostentypen!$A$3:$E$21,3,0)=0,"",IF(OR(F1166="Arbeidskosten",F1166="Vergoeding"),VLOOKUP(G1166,Tb_KostenTypen[],2,0),VLOOKUP(F1166,Kostentypen!$A$3:$E$20,3,0))),"")</f>
        <v/>
      </c>
      <c r="O1166" s="320" t="str" cm="1">
        <f t="array" ref="O1166">_xlfn.IFNA(IF(INDEX(Tb_KostenOptiesDB[],MATCH($F1166,Tb_KostenOptiesDB[KostenOptie],0),IFERROR(MATCH(Methode_Keuze,Tb_KostenOptiesDB[#Headers],0),2))=1,_xlfn.SWITCH($N1166,"Uurtarief",IF(OR(AND(RIGHT($F1166,3)="IKS",VLOOKUP($M1166,DB_Loonkosten,2,0)="Ja"),AND(RIGHT($F1166,3)&lt;&gt;"IKS",VLOOKUP($M1166,DB_Loonkosten,2,0)="Nee")),IFERROR(VLOOKUP($M1166,DB_Loonkosten,24,0),""),0),"Vast tarief",IF(LEFT(F1166,8)="Bijdrage",VLOOKUP($F1166,Tb_KostenTypen[],MATCH(Lijsten!$P$1,Tb_KostenTypen[#Headers],0),0),VLOOKUP($G1166,Lijsten!L:P,MATCH(Lijsten!$P$1,Kop_Tarief_Vast,0),0))),""),"")</f>
        <v/>
      </c>
      <c r="P1166" s="320" t="str" cm="1">
        <f t="array" ref="P1166">_xlfn.IFNA(IF(INDEX(Tb_KostenOptiesDB[],MATCH($F1166,Tb_KostenOptiesDB[KostenOptie],0),IFERROR(MATCH(Methode_Keuze,Tb_KostenOptiesDB[#Headers],0),2))=1,_xlfn.SWITCH($N1166,"Uurtarief",IF(OR(AND(RIGHT($F1166,3)="IKS",VLOOKUP($M1166,DB_Loonkosten,2,0)="Ja"),AND(RIGHT($F1166,3)&lt;&gt;"IKS",VLOOKUP($M1166,DB_Loonkosten,2,0)="Nee")),IFERROR(VLOOKUP($M1166,DB_Loonkosten,25,0),""),0),"Vast tarief",IF(LEFT(F1166,8)="Bijdrage",VLOOKUP($F1166,Tb_KostenTypen[],MATCH(Lijsten!$P$1,Tb_KostenTypen[#Headers],0),0),VLOOKUP($G1166,Lijsten!L:P,MATCH(Lijsten!$P$1,Kop_Tarief_Vast,0),0))),""),"")</f>
        <v/>
      </c>
      <c r="Q1166" s="359"/>
      <c r="R1166" s="359"/>
      <c r="S1166" s="321"/>
      <c r="T1166" s="321"/>
      <c r="U1166" s="373" t="str">
        <f t="shared" si="72"/>
        <v/>
      </c>
      <c r="V1166" s="314" t="str">
        <f t="shared" si="73"/>
        <v/>
      </c>
      <c r="W1166" s="314" t="str" cm="1">
        <f t="array" aca="1" ref="W1166" ca="1">IFERROR(IF(AE1166&lt;&gt;"ja",_xlfn.IFNA(_xlfn.IFS(AND(O1166&lt;&gt;"",F1166&lt;&gt;"",RIGHT($N1166,6)="tarief",F1166="Vergoeding"),SUM(O1166)*FLOOR(SUM(Q1166),0.0001),AND(O1166&lt;&gt;"",F1166&lt;&gt;"",RIGHT($N1166,6)="tarief"),SUM(O1166)*FLOOR(SUM(Q1166),0.01),S1166&gt;0,IF(F1166&lt;&gt;"",FLOOR(SUM(S1166),0.01),"")),""),""),"")</f>
        <v/>
      </c>
      <c r="X1166" s="314" t="str" cm="1">
        <f t="array" aca="1" ref="X1166" ca="1">IFERROR(IF(AE1166&lt;&gt;"ja",_xlfn.IFNA(_xlfn.IFS(AND(P1166&lt;&gt;"",R1166&lt;&gt;"",RIGHT($N1166,6)="tarief",F1166="Vergoeding"),SUM(P1166)*FLOOR(SUM(R1166),0.0001),AND(P1166&lt;&gt;"",R1166&lt;&gt;"",RIGHT($N1166,6)="tarief"),P1166*FLOOR(R1166,0.01),T1166&gt;0,FLOOR(SUM(T1166),0.01)),""),""),"")</f>
        <v/>
      </c>
      <c r="Y1166" s="314" t="str">
        <f t="shared" ca="1" si="74"/>
        <v/>
      </c>
      <c r="Z1166" s="314" t="str" cm="1">
        <f t="array" aca="1" ref="Z1166" ca="1">IFERROR(_xlfn.IFS(OR(F1166="",LEFT(Methode_Keuze,4)="Geen",Methode_Keuze=""),"",AND(W1166&lt;&gt;"",F1166&lt;&gt;"Arbeidskosten"),W1166*VLOOKUP(F1166,Tb_ProjectKosten[],MATCH(Tb_ProjectKosten[[#Headers],[Forfait_Percentage]],Tb_ProjectKosten[#Headers],0),0),AND(F1166="Arbeidskosten",G1166&lt;&gt;""),IFERROR(W1166*VLOOKUP(G1166,Tb_KostenTypen[],3,0)*VLOOKUP(F1166,Tb_ProjectKosten[],MATCH(Tb_ProjectKosten[[#Headers],[Forfait_Percentage]],Tb_ProjectKosten[#Headers],0),0),""),W1166 &lt;=0,0),"")</f>
        <v/>
      </c>
      <c r="AA1166" s="314" t="str" cm="1">
        <f t="array" aca="1" ref="AA1166" ca="1">IFERROR(_xlfn.IFS(OR(F1166="",LEFT(Methode_Keuze,4)="Geen",Methode_Keuze=""),"",AND(X1166&lt;&gt;"",F1166&lt;&gt;"Arbeidskosten"),X1166*VLOOKUP(F1166,Tb_ProjectKosten[],MATCH(Tb_ProjectKosten[[#Headers],[Forfait_Percentage]],Tb_ProjectKosten[#Headers],0),0),AND(F1166="Arbeidskosten",G1166&lt;&gt;""),IFERROR(X1166*VLOOKUP(G1166,Tb_KostenTypen[],3,0)*VLOOKUP(F1166,Tb_ProjectKosten[],MATCH(Tb_ProjectKosten[[#Headers],[Forfait_Percentage]],Tb_ProjectKosten[#Headers],0),0),""),X1166 &lt;=0,0),"")</f>
        <v/>
      </c>
      <c r="AB1166" s="314" t="str">
        <f t="shared" ca="1" si="75"/>
        <v/>
      </c>
      <c r="AC1166" s="322"/>
      <c r="AD1166" s="315"/>
      <c r="AE1166" s="32" t="str" cm="1">
        <f t="array" ref="AE1166">IFERROR(IF(INDEX(SubsidieTabel!$AD$1:$AG$12,MATCH($F1166,SubsidieTabel!$AD$1:$AD$12,0),IFERROR(MATCH(Methode_Keuze,SubsidieTabel!$AD$1:$AG$1,0),2))&lt;&gt;1=TRUE,"ja",""),"")</f>
        <v/>
      </c>
    </row>
    <row r="1167" spans="1:31" x14ac:dyDescent="0.25">
      <c r="A1167" s="316"/>
      <c r="B1167" s="317" t="str">
        <f>IF(A1167&lt;&gt;"",_xlfn.MAXIFS($B$1:B1166,$A$1:A1166,A1167)+1,"")</f>
        <v/>
      </c>
      <c r="C1167" s="296"/>
      <c r="D1167" s="296"/>
      <c r="E1167" s="296"/>
      <c r="F1167" s="296"/>
      <c r="G1167" s="326"/>
      <c r="H1167" s="324"/>
      <c r="I1167" s="325"/>
      <c r="J1167" s="325"/>
      <c r="K1167" s="318"/>
      <c r="L1167" s="318"/>
      <c r="M1167" s="319" t="str">
        <f>IFERROR(VLOOKUP(H1167,Lijsten!$H$1:$I$100,2,0),"")</f>
        <v/>
      </c>
      <c r="N1167" s="319" t="str">
        <f ca="1">IFERROR(IF(VLOOKUP(F1167,Kostentypen!$A$3:$E$21,3,0)=0,"",IF(OR(F1167="Arbeidskosten",F1167="Vergoeding"),VLOOKUP(G1167,Tb_KostenTypen[],2,0),VLOOKUP(F1167,Kostentypen!$A$3:$E$20,3,0))),"")</f>
        <v/>
      </c>
      <c r="O1167" s="320" t="str" cm="1">
        <f t="array" ref="O1167">_xlfn.IFNA(IF(INDEX(Tb_KostenOptiesDB[],MATCH($F1167,Tb_KostenOptiesDB[KostenOptie],0),IFERROR(MATCH(Methode_Keuze,Tb_KostenOptiesDB[#Headers],0),2))=1,_xlfn.SWITCH($N1167,"Uurtarief",IF(OR(AND(RIGHT($F1167,3)="IKS",VLOOKUP($M1167,DB_Loonkosten,2,0)="Ja"),AND(RIGHT($F1167,3)&lt;&gt;"IKS",VLOOKUP($M1167,DB_Loonkosten,2,0)="Nee")),IFERROR(VLOOKUP($M1167,DB_Loonkosten,24,0),""),0),"Vast tarief",IF(LEFT(F1167,8)="Bijdrage",VLOOKUP($F1167,Tb_KostenTypen[],MATCH(Lijsten!$P$1,Tb_KostenTypen[#Headers],0),0),VLOOKUP($G1167,Lijsten!L:P,MATCH(Lijsten!$P$1,Kop_Tarief_Vast,0),0))),""),"")</f>
        <v/>
      </c>
      <c r="P1167" s="320" t="str" cm="1">
        <f t="array" ref="P1167">_xlfn.IFNA(IF(INDEX(Tb_KostenOptiesDB[],MATCH($F1167,Tb_KostenOptiesDB[KostenOptie],0),IFERROR(MATCH(Methode_Keuze,Tb_KostenOptiesDB[#Headers],0),2))=1,_xlfn.SWITCH($N1167,"Uurtarief",IF(OR(AND(RIGHT($F1167,3)="IKS",VLOOKUP($M1167,DB_Loonkosten,2,0)="Ja"),AND(RIGHT($F1167,3)&lt;&gt;"IKS",VLOOKUP($M1167,DB_Loonkosten,2,0)="Nee")),IFERROR(VLOOKUP($M1167,DB_Loonkosten,25,0),""),0),"Vast tarief",IF(LEFT(F1167,8)="Bijdrage",VLOOKUP($F1167,Tb_KostenTypen[],MATCH(Lijsten!$P$1,Tb_KostenTypen[#Headers],0),0),VLOOKUP($G1167,Lijsten!L:P,MATCH(Lijsten!$P$1,Kop_Tarief_Vast,0),0))),""),"")</f>
        <v/>
      </c>
      <c r="Q1167" s="359"/>
      <c r="R1167" s="359"/>
      <c r="S1167" s="321"/>
      <c r="T1167" s="321"/>
      <c r="U1167" s="373" t="str">
        <f t="shared" si="72"/>
        <v/>
      </c>
      <c r="V1167" s="314" t="str">
        <f t="shared" si="73"/>
        <v/>
      </c>
      <c r="W1167" s="314" t="str" cm="1">
        <f t="array" aca="1" ref="W1167" ca="1">IFERROR(IF(AE1167&lt;&gt;"ja",_xlfn.IFNA(_xlfn.IFS(AND(O1167&lt;&gt;"",F1167&lt;&gt;"",RIGHT($N1167,6)="tarief",F1167="Vergoeding"),SUM(O1167)*FLOOR(SUM(Q1167),0.0001),AND(O1167&lt;&gt;"",F1167&lt;&gt;"",RIGHT($N1167,6)="tarief"),SUM(O1167)*FLOOR(SUM(Q1167),0.01),S1167&gt;0,IF(F1167&lt;&gt;"",FLOOR(SUM(S1167),0.01),"")),""),""),"")</f>
        <v/>
      </c>
      <c r="X1167" s="314" t="str" cm="1">
        <f t="array" aca="1" ref="X1167" ca="1">IFERROR(IF(AE1167&lt;&gt;"ja",_xlfn.IFNA(_xlfn.IFS(AND(P1167&lt;&gt;"",R1167&lt;&gt;"",RIGHT($N1167,6)="tarief",F1167="Vergoeding"),SUM(P1167)*FLOOR(SUM(R1167),0.0001),AND(P1167&lt;&gt;"",R1167&lt;&gt;"",RIGHT($N1167,6)="tarief"),P1167*FLOOR(R1167,0.01),T1167&gt;0,FLOOR(SUM(T1167),0.01)),""),""),"")</f>
        <v/>
      </c>
      <c r="Y1167" s="314" t="str">
        <f t="shared" ca="1" si="74"/>
        <v/>
      </c>
      <c r="Z1167" s="314" t="str" cm="1">
        <f t="array" aca="1" ref="Z1167" ca="1">IFERROR(_xlfn.IFS(OR(F1167="",LEFT(Methode_Keuze,4)="Geen",Methode_Keuze=""),"",AND(W1167&lt;&gt;"",F1167&lt;&gt;"Arbeidskosten"),W1167*VLOOKUP(F1167,Tb_ProjectKosten[],MATCH(Tb_ProjectKosten[[#Headers],[Forfait_Percentage]],Tb_ProjectKosten[#Headers],0),0),AND(F1167="Arbeidskosten",G1167&lt;&gt;""),IFERROR(W1167*VLOOKUP(G1167,Tb_KostenTypen[],3,0)*VLOOKUP(F1167,Tb_ProjectKosten[],MATCH(Tb_ProjectKosten[[#Headers],[Forfait_Percentage]],Tb_ProjectKosten[#Headers],0),0),""),W1167 &lt;=0,0),"")</f>
        <v/>
      </c>
      <c r="AA1167" s="314" t="str" cm="1">
        <f t="array" aca="1" ref="AA1167" ca="1">IFERROR(_xlfn.IFS(OR(F1167="",LEFT(Methode_Keuze,4)="Geen",Methode_Keuze=""),"",AND(X1167&lt;&gt;"",F1167&lt;&gt;"Arbeidskosten"),X1167*VLOOKUP(F1167,Tb_ProjectKosten[],MATCH(Tb_ProjectKosten[[#Headers],[Forfait_Percentage]],Tb_ProjectKosten[#Headers],0),0),AND(F1167="Arbeidskosten",G1167&lt;&gt;""),IFERROR(X1167*VLOOKUP(G1167,Tb_KostenTypen[],3,0)*VLOOKUP(F1167,Tb_ProjectKosten[],MATCH(Tb_ProjectKosten[[#Headers],[Forfait_Percentage]],Tb_ProjectKosten[#Headers],0),0),""),X1167 &lt;=0,0),"")</f>
        <v/>
      </c>
      <c r="AB1167" s="314" t="str">
        <f t="shared" ca="1" si="75"/>
        <v/>
      </c>
      <c r="AC1167" s="322"/>
      <c r="AD1167" s="315"/>
      <c r="AE1167" s="32" t="str" cm="1">
        <f t="array" ref="AE1167">IFERROR(IF(INDEX(SubsidieTabel!$AD$1:$AG$12,MATCH($F1167,SubsidieTabel!$AD$1:$AD$12,0),IFERROR(MATCH(Methode_Keuze,SubsidieTabel!$AD$1:$AG$1,0),2))&lt;&gt;1=TRUE,"ja",""),"")</f>
        <v/>
      </c>
    </row>
    <row r="1168" spans="1:31" x14ac:dyDescent="0.25">
      <c r="A1168" s="316"/>
      <c r="B1168" s="317" t="str">
        <f>IF(A1168&lt;&gt;"",_xlfn.MAXIFS($B$1:B1167,$A$1:A1167,A1168)+1,"")</f>
        <v/>
      </c>
      <c r="C1168" s="296"/>
      <c r="D1168" s="296"/>
      <c r="E1168" s="296"/>
      <c r="F1168" s="296"/>
      <c r="G1168" s="326"/>
      <c r="H1168" s="324"/>
      <c r="I1168" s="325"/>
      <c r="J1168" s="325"/>
      <c r="K1168" s="318"/>
      <c r="L1168" s="318"/>
      <c r="M1168" s="319" t="str">
        <f>IFERROR(VLOOKUP(H1168,Lijsten!$H$1:$I$100,2,0),"")</f>
        <v/>
      </c>
      <c r="N1168" s="319" t="str">
        <f ca="1">IFERROR(IF(VLOOKUP(F1168,Kostentypen!$A$3:$E$21,3,0)=0,"",IF(OR(F1168="Arbeidskosten",F1168="Vergoeding"),VLOOKUP(G1168,Tb_KostenTypen[],2,0),VLOOKUP(F1168,Kostentypen!$A$3:$E$20,3,0))),"")</f>
        <v/>
      </c>
      <c r="O1168" s="320" t="str" cm="1">
        <f t="array" ref="O1168">_xlfn.IFNA(IF(INDEX(Tb_KostenOptiesDB[],MATCH($F1168,Tb_KostenOptiesDB[KostenOptie],0),IFERROR(MATCH(Methode_Keuze,Tb_KostenOptiesDB[#Headers],0),2))=1,_xlfn.SWITCH($N1168,"Uurtarief",IF(OR(AND(RIGHT($F1168,3)="IKS",VLOOKUP($M1168,DB_Loonkosten,2,0)="Ja"),AND(RIGHT($F1168,3)&lt;&gt;"IKS",VLOOKUP($M1168,DB_Loonkosten,2,0)="Nee")),IFERROR(VLOOKUP($M1168,DB_Loonkosten,24,0),""),0),"Vast tarief",IF(LEFT(F1168,8)="Bijdrage",VLOOKUP($F1168,Tb_KostenTypen[],MATCH(Lijsten!$P$1,Tb_KostenTypen[#Headers],0),0),VLOOKUP($G1168,Lijsten!L:P,MATCH(Lijsten!$P$1,Kop_Tarief_Vast,0),0))),""),"")</f>
        <v/>
      </c>
      <c r="P1168" s="320" t="str" cm="1">
        <f t="array" ref="P1168">_xlfn.IFNA(IF(INDEX(Tb_KostenOptiesDB[],MATCH($F1168,Tb_KostenOptiesDB[KostenOptie],0),IFERROR(MATCH(Methode_Keuze,Tb_KostenOptiesDB[#Headers],0),2))=1,_xlfn.SWITCH($N1168,"Uurtarief",IF(OR(AND(RIGHT($F1168,3)="IKS",VLOOKUP($M1168,DB_Loonkosten,2,0)="Ja"),AND(RIGHT($F1168,3)&lt;&gt;"IKS",VLOOKUP($M1168,DB_Loonkosten,2,0)="Nee")),IFERROR(VLOOKUP($M1168,DB_Loonkosten,25,0),""),0),"Vast tarief",IF(LEFT(F1168,8)="Bijdrage",VLOOKUP($F1168,Tb_KostenTypen[],MATCH(Lijsten!$P$1,Tb_KostenTypen[#Headers],0),0),VLOOKUP($G1168,Lijsten!L:P,MATCH(Lijsten!$P$1,Kop_Tarief_Vast,0),0))),""),"")</f>
        <v/>
      </c>
      <c r="Q1168" s="359"/>
      <c r="R1168" s="359"/>
      <c r="S1168" s="321"/>
      <c r="T1168" s="321"/>
      <c r="U1168" s="373" t="str">
        <f t="shared" si="72"/>
        <v/>
      </c>
      <c r="V1168" s="314" t="str">
        <f t="shared" si="73"/>
        <v/>
      </c>
      <c r="W1168" s="314" t="str" cm="1">
        <f t="array" aca="1" ref="W1168" ca="1">IFERROR(IF(AE1168&lt;&gt;"ja",_xlfn.IFNA(_xlfn.IFS(AND(O1168&lt;&gt;"",F1168&lt;&gt;"",RIGHT($N1168,6)="tarief",F1168="Vergoeding"),SUM(O1168)*FLOOR(SUM(Q1168),0.0001),AND(O1168&lt;&gt;"",F1168&lt;&gt;"",RIGHT($N1168,6)="tarief"),SUM(O1168)*FLOOR(SUM(Q1168),0.01),S1168&gt;0,IF(F1168&lt;&gt;"",FLOOR(SUM(S1168),0.01),"")),""),""),"")</f>
        <v/>
      </c>
      <c r="X1168" s="314" t="str" cm="1">
        <f t="array" aca="1" ref="X1168" ca="1">IFERROR(IF(AE1168&lt;&gt;"ja",_xlfn.IFNA(_xlfn.IFS(AND(P1168&lt;&gt;"",R1168&lt;&gt;"",RIGHT($N1168,6)="tarief",F1168="Vergoeding"),SUM(P1168)*FLOOR(SUM(R1168),0.0001),AND(P1168&lt;&gt;"",R1168&lt;&gt;"",RIGHT($N1168,6)="tarief"),P1168*FLOOR(R1168,0.01),T1168&gt;0,FLOOR(SUM(T1168),0.01)),""),""),"")</f>
        <v/>
      </c>
      <c r="Y1168" s="314" t="str">
        <f t="shared" ca="1" si="74"/>
        <v/>
      </c>
      <c r="Z1168" s="314" t="str" cm="1">
        <f t="array" aca="1" ref="Z1168" ca="1">IFERROR(_xlfn.IFS(OR(F1168="",LEFT(Methode_Keuze,4)="Geen",Methode_Keuze=""),"",AND(W1168&lt;&gt;"",F1168&lt;&gt;"Arbeidskosten"),W1168*VLOOKUP(F1168,Tb_ProjectKosten[],MATCH(Tb_ProjectKosten[[#Headers],[Forfait_Percentage]],Tb_ProjectKosten[#Headers],0),0),AND(F1168="Arbeidskosten",G1168&lt;&gt;""),IFERROR(W1168*VLOOKUP(G1168,Tb_KostenTypen[],3,0)*VLOOKUP(F1168,Tb_ProjectKosten[],MATCH(Tb_ProjectKosten[[#Headers],[Forfait_Percentage]],Tb_ProjectKosten[#Headers],0),0),""),W1168 &lt;=0,0),"")</f>
        <v/>
      </c>
      <c r="AA1168" s="314" t="str" cm="1">
        <f t="array" aca="1" ref="AA1168" ca="1">IFERROR(_xlfn.IFS(OR(F1168="",LEFT(Methode_Keuze,4)="Geen",Methode_Keuze=""),"",AND(X1168&lt;&gt;"",F1168&lt;&gt;"Arbeidskosten"),X1168*VLOOKUP(F1168,Tb_ProjectKosten[],MATCH(Tb_ProjectKosten[[#Headers],[Forfait_Percentage]],Tb_ProjectKosten[#Headers],0),0),AND(F1168="Arbeidskosten",G1168&lt;&gt;""),IFERROR(X1168*VLOOKUP(G1168,Tb_KostenTypen[],3,0)*VLOOKUP(F1168,Tb_ProjectKosten[],MATCH(Tb_ProjectKosten[[#Headers],[Forfait_Percentage]],Tb_ProjectKosten[#Headers],0),0),""),X1168 &lt;=0,0),"")</f>
        <v/>
      </c>
      <c r="AB1168" s="314" t="str">
        <f t="shared" ca="1" si="75"/>
        <v/>
      </c>
      <c r="AC1168" s="322"/>
      <c r="AD1168" s="315"/>
      <c r="AE1168" s="32" t="str" cm="1">
        <f t="array" ref="AE1168">IFERROR(IF(INDEX(SubsidieTabel!$AD$1:$AG$12,MATCH($F1168,SubsidieTabel!$AD$1:$AD$12,0),IFERROR(MATCH(Methode_Keuze,SubsidieTabel!$AD$1:$AG$1,0),2))&lt;&gt;1=TRUE,"ja",""),"")</f>
        <v/>
      </c>
    </row>
    <row r="1169" spans="1:31" x14ac:dyDescent="0.25">
      <c r="A1169" s="316"/>
      <c r="B1169" s="317" t="str">
        <f>IF(A1169&lt;&gt;"",_xlfn.MAXIFS($B$1:B1168,$A$1:A1168,A1169)+1,"")</f>
        <v/>
      </c>
      <c r="C1169" s="296"/>
      <c r="D1169" s="296"/>
      <c r="E1169" s="296"/>
      <c r="F1169" s="296"/>
      <c r="G1169" s="326"/>
      <c r="H1169" s="324"/>
      <c r="I1169" s="325"/>
      <c r="J1169" s="325"/>
      <c r="K1169" s="318"/>
      <c r="L1169" s="318"/>
      <c r="M1169" s="319" t="str">
        <f>IFERROR(VLOOKUP(H1169,Lijsten!$H$1:$I$100,2,0),"")</f>
        <v/>
      </c>
      <c r="N1169" s="319" t="str">
        <f ca="1">IFERROR(IF(VLOOKUP(F1169,Kostentypen!$A$3:$E$21,3,0)=0,"",IF(OR(F1169="Arbeidskosten",F1169="Vergoeding"),VLOOKUP(G1169,Tb_KostenTypen[],2,0),VLOOKUP(F1169,Kostentypen!$A$3:$E$20,3,0))),"")</f>
        <v/>
      </c>
      <c r="O1169" s="320" t="str" cm="1">
        <f t="array" ref="O1169">_xlfn.IFNA(IF(INDEX(Tb_KostenOptiesDB[],MATCH($F1169,Tb_KostenOptiesDB[KostenOptie],0),IFERROR(MATCH(Methode_Keuze,Tb_KostenOptiesDB[#Headers],0),2))=1,_xlfn.SWITCH($N1169,"Uurtarief",IF(OR(AND(RIGHT($F1169,3)="IKS",VLOOKUP($M1169,DB_Loonkosten,2,0)="Ja"),AND(RIGHT($F1169,3)&lt;&gt;"IKS",VLOOKUP($M1169,DB_Loonkosten,2,0)="Nee")),IFERROR(VLOOKUP($M1169,DB_Loonkosten,24,0),""),0),"Vast tarief",IF(LEFT(F1169,8)="Bijdrage",VLOOKUP($F1169,Tb_KostenTypen[],MATCH(Lijsten!$P$1,Tb_KostenTypen[#Headers],0),0),VLOOKUP($G1169,Lijsten!L:P,MATCH(Lijsten!$P$1,Kop_Tarief_Vast,0),0))),""),"")</f>
        <v/>
      </c>
      <c r="P1169" s="320" t="str" cm="1">
        <f t="array" ref="P1169">_xlfn.IFNA(IF(INDEX(Tb_KostenOptiesDB[],MATCH($F1169,Tb_KostenOptiesDB[KostenOptie],0),IFERROR(MATCH(Methode_Keuze,Tb_KostenOptiesDB[#Headers],0),2))=1,_xlfn.SWITCH($N1169,"Uurtarief",IF(OR(AND(RIGHT($F1169,3)="IKS",VLOOKUP($M1169,DB_Loonkosten,2,0)="Ja"),AND(RIGHT($F1169,3)&lt;&gt;"IKS",VLOOKUP($M1169,DB_Loonkosten,2,0)="Nee")),IFERROR(VLOOKUP($M1169,DB_Loonkosten,25,0),""),0),"Vast tarief",IF(LEFT(F1169,8)="Bijdrage",VLOOKUP($F1169,Tb_KostenTypen[],MATCH(Lijsten!$P$1,Tb_KostenTypen[#Headers],0),0),VLOOKUP($G1169,Lijsten!L:P,MATCH(Lijsten!$P$1,Kop_Tarief_Vast,0),0))),""),"")</f>
        <v/>
      </c>
      <c r="Q1169" s="359"/>
      <c r="R1169" s="359"/>
      <c r="S1169" s="321"/>
      <c r="T1169" s="321"/>
      <c r="U1169" s="373" t="str">
        <f t="shared" si="72"/>
        <v/>
      </c>
      <c r="V1169" s="314" t="str">
        <f t="shared" si="73"/>
        <v/>
      </c>
      <c r="W1169" s="314" t="str" cm="1">
        <f t="array" aca="1" ref="W1169" ca="1">IFERROR(IF(AE1169&lt;&gt;"ja",_xlfn.IFNA(_xlfn.IFS(AND(O1169&lt;&gt;"",F1169&lt;&gt;"",RIGHT($N1169,6)="tarief",F1169="Vergoeding"),SUM(O1169)*FLOOR(SUM(Q1169),0.0001),AND(O1169&lt;&gt;"",F1169&lt;&gt;"",RIGHT($N1169,6)="tarief"),SUM(O1169)*FLOOR(SUM(Q1169),0.01),S1169&gt;0,IF(F1169&lt;&gt;"",FLOOR(SUM(S1169),0.01),"")),""),""),"")</f>
        <v/>
      </c>
      <c r="X1169" s="314" t="str" cm="1">
        <f t="array" aca="1" ref="X1169" ca="1">IFERROR(IF(AE1169&lt;&gt;"ja",_xlfn.IFNA(_xlfn.IFS(AND(P1169&lt;&gt;"",R1169&lt;&gt;"",RIGHT($N1169,6)="tarief",F1169="Vergoeding"),SUM(P1169)*FLOOR(SUM(R1169),0.0001),AND(P1169&lt;&gt;"",R1169&lt;&gt;"",RIGHT($N1169,6)="tarief"),P1169*FLOOR(R1169,0.01),T1169&gt;0,FLOOR(SUM(T1169),0.01)),""),""),"")</f>
        <v/>
      </c>
      <c r="Y1169" s="314" t="str">
        <f t="shared" ca="1" si="74"/>
        <v/>
      </c>
      <c r="Z1169" s="314" t="str" cm="1">
        <f t="array" aca="1" ref="Z1169" ca="1">IFERROR(_xlfn.IFS(OR(F1169="",LEFT(Methode_Keuze,4)="Geen",Methode_Keuze=""),"",AND(W1169&lt;&gt;"",F1169&lt;&gt;"Arbeidskosten"),W1169*VLOOKUP(F1169,Tb_ProjectKosten[],MATCH(Tb_ProjectKosten[[#Headers],[Forfait_Percentage]],Tb_ProjectKosten[#Headers],0),0),AND(F1169="Arbeidskosten",G1169&lt;&gt;""),IFERROR(W1169*VLOOKUP(G1169,Tb_KostenTypen[],3,0)*VLOOKUP(F1169,Tb_ProjectKosten[],MATCH(Tb_ProjectKosten[[#Headers],[Forfait_Percentage]],Tb_ProjectKosten[#Headers],0),0),""),W1169 &lt;=0,0),"")</f>
        <v/>
      </c>
      <c r="AA1169" s="314" t="str" cm="1">
        <f t="array" aca="1" ref="AA1169" ca="1">IFERROR(_xlfn.IFS(OR(F1169="",LEFT(Methode_Keuze,4)="Geen",Methode_Keuze=""),"",AND(X1169&lt;&gt;"",F1169&lt;&gt;"Arbeidskosten"),X1169*VLOOKUP(F1169,Tb_ProjectKosten[],MATCH(Tb_ProjectKosten[[#Headers],[Forfait_Percentage]],Tb_ProjectKosten[#Headers],0),0),AND(F1169="Arbeidskosten",G1169&lt;&gt;""),IFERROR(X1169*VLOOKUP(G1169,Tb_KostenTypen[],3,0)*VLOOKUP(F1169,Tb_ProjectKosten[],MATCH(Tb_ProjectKosten[[#Headers],[Forfait_Percentage]],Tb_ProjectKosten[#Headers],0),0),""),X1169 &lt;=0,0),"")</f>
        <v/>
      </c>
      <c r="AB1169" s="314" t="str">
        <f t="shared" ca="1" si="75"/>
        <v/>
      </c>
      <c r="AC1169" s="322"/>
      <c r="AD1169" s="315"/>
      <c r="AE1169" s="32" t="str" cm="1">
        <f t="array" ref="AE1169">IFERROR(IF(INDEX(SubsidieTabel!$AD$1:$AG$12,MATCH($F1169,SubsidieTabel!$AD$1:$AD$12,0),IFERROR(MATCH(Methode_Keuze,SubsidieTabel!$AD$1:$AG$1,0),2))&lt;&gt;1=TRUE,"ja",""),"")</f>
        <v/>
      </c>
    </row>
    <row r="1170" spans="1:31" x14ac:dyDescent="0.25">
      <c r="A1170" s="316"/>
      <c r="B1170" s="317" t="str">
        <f>IF(A1170&lt;&gt;"",_xlfn.MAXIFS($B$1:B1169,$A$1:A1169,A1170)+1,"")</f>
        <v/>
      </c>
      <c r="C1170" s="296"/>
      <c r="D1170" s="296"/>
      <c r="E1170" s="296"/>
      <c r="F1170" s="296"/>
      <c r="G1170" s="326"/>
      <c r="H1170" s="324"/>
      <c r="I1170" s="325"/>
      <c r="J1170" s="325"/>
      <c r="K1170" s="318"/>
      <c r="L1170" s="318"/>
      <c r="M1170" s="319" t="str">
        <f>IFERROR(VLOOKUP(H1170,Lijsten!$H$1:$I$100,2,0),"")</f>
        <v/>
      </c>
      <c r="N1170" s="319" t="str">
        <f ca="1">IFERROR(IF(VLOOKUP(F1170,Kostentypen!$A$3:$E$21,3,0)=0,"",IF(OR(F1170="Arbeidskosten",F1170="Vergoeding"),VLOOKUP(G1170,Tb_KostenTypen[],2,0),VLOOKUP(F1170,Kostentypen!$A$3:$E$20,3,0))),"")</f>
        <v/>
      </c>
      <c r="O1170" s="320" t="str" cm="1">
        <f t="array" ref="O1170">_xlfn.IFNA(IF(INDEX(Tb_KostenOptiesDB[],MATCH($F1170,Tb_KostenOptiesDB[KostenOptie],0),IFERROR(MATCH(Methode_Keuze,Tb_KostenOptiesDB[#Headers],0),2))=1,_xlfn.SWITCH($N1170,"Uurtarief",IF(OR(AND(RIGHT($F1170,3)="IKS",VLOOKUP($M1170,DB_Loonkosten,2,0)="Ja"),AND(RIGHT($F1170,3)&lt;&gt;"IKS",VLOOKUP($M1170,DB_Loonkosten,2,0)="Nee")),IFERROR(VLOOKUP($M1170,DB_Loonkosten,24,0),""),0),"Vast tarief",IF(LEFT(F1170,8)="Bijdrage",VLOOKUP($F1170,Tb_KostenTypen[],MATCH(Lijsten!$P$1,Tb_KostenTypen[#Headers],0),0),VLOOKUP($G1170,Lijsten!L:P,MATCH(Lijsten!$P$1,Kop_Tarief_Vast,0),0))),""),"")</f>
        <v/>
      </c>
      <c r="P1170" s="320" t="str" cm="1">
        <f t="array" ref="P1170">_xlfn.IFNA(IF(INDEX(Tb_KostenOptiesDB[],MATCH($F1170,Tb_KostenOptiesDB[KostenOptie],0),IFERROR(MATCH(Methode_Keuze,Tb_KostenOptiesDB[#Headers],0),2))=1,_xlfn.SWITCH($N1170,"Uurtarief",IF(OR(AND(RIGHT($F1170,3)="IKS",VLOOKUP($M1170,DB_Loonkosten,2,0)="Ja"),AND(RIGHT($F1170,3)&lt;&gt;"IKS",VLOOKUP($M1170,DB_Loonkosten,2,0)="Nee")),IFERROR(VLOOKUP($M1170,DB_Loonkosten,25,0),""),0),"Vast tarief",IF(LEFT(F1170,8)="Bijdrage",VLOOKUP($F1170,Tb_KostenTypen[],MATCH(Lijsten!$P$1,Tb_KostenTypen[#Headers],0),0),VLOOKUP($G1170,Lijsten!L:P,MATCH(Lijsten!$P$1,Kop_Tarief_Vast,0),0))),""),"")</f>
        <v/>
      </c>
      <c r="Q1170" s="359"/>
      <c r="R1170" s="359"/>
      <c r="S1170" s="321"/>
      <c r="T1170" s="321"/>
      <c r="U1170" s="373" t="str">
        <f t="shared" si="72"/>
        <v/>
      </c>
      <c r="V1170" s="314" t="str">
        <f t="shared" si="73"/>
        <v/>
      </c>
      <c r="W1170" s="314" t="str" cm="1">
        <f t="array" aca="1" ref="W1170" ca="1">IFERROR(IF(AE1170&lt;&gt;"ja",_xlfn.IFNA(_xlfn.IFS(AND(O1170&lt;&gt;"",F1170&lt;&gt;"",RIGHT($N1170,6)="tarief",F1170="Vergoeding"),SUM(O1170)*FLOOR(SUM(Q1170),0.0001),AND(O1170&lt;&gt;"",F1170&lt;&gt;"",RIGHT($N1170,6)="tarief"),SUM(O1170)*FLOOR(SUM(Q1170),0.01),S1170&gt;0,IF(F1170&lt;&gt;"",FLOOR(SUM(S1170),0.01),"")),""),""),"")</f>
        <v/>
      </c>
      <c r="X1170" s="314" t="str" cm="1">
        <f t="array" aca="1" ref="X1170" ca="1">IFERROR(IF(AE1170&lt;&gt;"ja",_xlfn.IFNA(_xlfn.IFS(AND(P1170&lt;&gt;"",R1170&lt;&gt;"",RIGHT($N1170,6)="tarief",F1170="Vergoeding"),SUM(P1170)*FLOOR(SUM(R1170),0.0001),AND(P1170&lt;&gt;"",R1170&lt;&gt;"",RIGHT($N1170,6)="tarief"),P1170*FLOOR(R1170,0.01),T1170&gt;0,FLOOR(SUM(T1170),0.01)),""),""),"")</f>
        <v/>
      </c>
      <c r="Y1170" s="314" t="str">
        <f t="shared" ca="1" si="74"/>
        <v/>
      </c>
      <c r="Z1170" s="314" t="str" cm="1">
        <f t="array" aca="1" ref="Z1170" ca="1">IFERROR(_xlfn.IFS(OR(F1170="",LEFT(Methode_Keuze,4)="Geen",Methode_Keuze=""),"",AND(W1170&lt;&gt;"",F1170&lt;&gt;"Arbeidskosten"),W1170*VLOOKUP(F1170,Tb_ProjectKosten[],MATCH(Tb_ProjectKosten[[#Headers],[Forfait_Percentage]],Tb_ProjectKosten[#Headers],0),0),AND(F1170="Arbeidskosten",G1170&lt;&gt;""),IFERROR(W1170*VLOOKUP(G1170,Tb_KostenTypen[],3,0)*VLOOKUP(F1170,Tb_ProjectKosten[],MATCH(Tb_ProjectKosten[[#Headers],[Forfait_Percentage]],Tb_ProjectKosten[#Headers],0),0),""),W1170 &lt;=0,0),"")</f>
        <v/>
      </c>
      <c r="AA1170" s="314" t="str" cm="1">
        <f t="array" aca="1" ref="AA1170" ca="1">IFERROR(_xlfn.IFS(OR(F1170="",LEFT(Methode_Keuze,4)="Geen",Methode_Keuze=""),"",AND(X1170&lt;&gt;"",F1170&lt;&gt;"Arbeidskosten"),X1170*VLOOKUP(F1170,Tb_ProjectKosten[],MATCH(Tb_ProjectKosten[[#Headers],[Forfait_Percentage]],Tb_ProjectKosten[#Headers],0),0),AND(F1170="Arbeidskosten",G1170&lt;&gt;""),IFERROR(X1170*VLOOKUP(G1170,Tb_KostenTypen[],3,0)*VLOOKUP(F1170,Tb_ProjectKosten[],MATCH(Tb_ProjectKosten[[#Headers],[Forfait_Percentage]],Tb_ProjectKosten[#Headers],0),0),""),X1170 &lt;=0,0),"")</f>
        <v/>
      </c>
      <c r="AB1170" s="314" t="str">
        <f t="shared" ca="1" si="75"/>
        <v/>
      </c>
      <c r="AC1170" s="322"/>
      <c r="AD1170" s="315"/>
      <c r="AE1170" s="32" t="str" cm="1">
        <f t="array" ref="AE1170">IFERROR(IF(INDEX(SubsidieTabel!$AD$1:$AG$12,MATCH($F1170,SubsidieTabel!$AD$1:$AD$12,0),IFERROR(MATCH(Methode_Keuze,SubsidieTabel!$AD$1:$AG$1,0),2))&lt;&gt;1=TRUE,"ja",""),"")</f>
        <v/>
      </c>
    </row>
    <row r="1171" spans="1:31" x14ac:dyDescent="0.25">
      <c r="A1171" s="316"/>
      <c r="B1171" s="317" t="str">
        <f>IF(A1171&lt;&gt;"",_xlfn.MAXIFS($B$1:B1170,$A$1:A1170,A1171)+1,"")</f>
        <v/>
      </c>
      <c r="C1171" s="296"/>
      <c r="D1171" s="296"/>
      <c r="E1171" s="296"/>
      <c r="F1171" s="296"/>
      <c r="G1171" s="326"/>
      <c r="H1171" s="324"/>
      <c r="I1171" s="325"/>
      <c r="J1171" s="325"/>
      <c r="K1171" s="318"/>
      <c r="L1171" s="318"/>
      <c r="M1171" s="319" t="str">
        <f>IFERROR(VLOOKUP(H1171,Lijsten!$H$1:$I$100,2,0),"")</f>
        <v/>
      </c>
      <c r="N1171" s="319" t="str">
        <f ca="1">IFERROR(IF(VLOOKUP(F1171,Kostentypen!$A$3:$E$21,3,0)=0,"",IF(OR(F1171="Arbeidskosten",F1171="Vergoeding"),VLOOKUP(G1171,Tb_KostenTypen[],2,0),VLOOKUP(F1171,Kostentypen!$A$3:$E$20,3,0))),"")</f>
        <v/>
      </c>
      <c r="O1171" s="320" t="str" cm="1">
        <f t="array" ref="O1171">_xlfn.IFNA(IF(INDEX(Tb_KostenOptiesDB[],MATCH($F1171,Tb_KostenOptiesDB[KostenOptie],0),IFERROR(MATCH(Methode_Keuze,Tb_KostenOptiesDB[#Headers],0),2))=1,_xlfn.SWITCH($N1171,"Uurtarief",IF(OR(AND(RIGHT($F1171,3)="IKS",VLOOKUP($M1171,DB_Loonkosten,2,0)="Ja"),AND(RIGHT($F1171,3)&lt;&gt;"IKS",VLOOKUP($M1171,DB_Loonkosten,2,0)="Nee")),IFERROR(VLOOKUP($M1171,DB_Loonkosten,24,0),""),0),"Vast tarief",IF(LEFT(F1171,8)="Bijdrage",VLOOKUP($F1171,Tb_KostenTypen[],MATCH(Lijsten!$P$1,Tb_KostenTypen[#Headers],0),0),VLOOKUP($G1171,Lijsten!L:P,MATCH(Lijsten!$P$1,Kop_Tarief_Vast,0),0))),""),"")</f>
        <v/>
      </c>
      <c r="P1171" s="320" t="str" cm="1">
        <f t="array" ref="P1171">_xlfn.IFNA(IF(INDEX(Tb_KostenOptiesDB[],MATCH($F1171,Tb_KostenOptiesDB[KostenOptie],0),IFERROR(MATCH(Methode_Keuze,Tb_KostenOptiesDB[#Headers],0),2))=1,_xlfn.SWITCH($N1171,"Uurtarief",IF(OR(AND(RIGHT($F1171,3)="IKS",VLOOKUP($M1171,DB_Loonkosten,2,0)="Ja"),AND(RIGHT($F1171,3)&lt;&gt;"IKS",VLOOKUP($M1171,DB_Loonkosten,2,0)="Nee")),IFERROR(VLOOKUP($M1171,DB_Loonkosten,25,0),""),0),"Vast tarief",IF(LEFT(F1171,8)="Bijdrage",VLOOKUP($F1171,Tb_KostenTypen[],MATCH(Lijsten!$P$1,Tb_KostenTypen[#Headers],0),0),VLOOKUP($G1171,Lijsten!L:P,MATCH(Lijsten!$P$1,Kop_Tarief_Vast,0),0))),""),"")</f>
        <v/>
      </c>
      <c r="Q1171" s="359"/>
      <c r="R1171" s="359"/>
      <c r="S1171" s="321"/>
      <c r="T1171" s="321"/>
      <c r="U1171" s="373" t="str">
        <f t="shared" si="72"/>
        <v/>
      </c>
      <c r="V1171" s="314" t="str">
        <f t="shared" si="73"/>
        <v/>
      </c>
      <c r="W1171" s="314" t="str" cm="1">
        <f t="array" aca="1" ref="W1171" ca="1">IFERROR(IF(AE1171&lt;&gt;"ja",_xlfn.IFNA(_xlfn.IFS(AND(O1171&lt;&gt;"",F1171&lt;&gt;"",RIGHT($N1171,6)="tarief",F1171="Vergoeding"),SUM(O1171)*FLOOR(SUM(Q1171),0.0001),AND(O1171&lt;&gt;"",F1171&lt;&gt;"",RIGHT($N1171,6)="tarief"),SUM(O1171)*FLOOR(SUM(Q1171),0.01),S1171&gt;0,IF(F1171&lt;&gt;"",FLOOR(SUM(S1171),0.01),"")),""),""),"")</f>
        <v/>
      </c>
      <c r="X1171" s="314" t="str" cm="1">
        <f t="array" aca="1" ref="X1171" ca="1">IFERROR(IF(AE1171&lt;&gt;"ja",_xlfn.IFNA(_xlfn.IFS(AND(P1171&lt;&gt;"",R1171&lt;&gt;"",RIGHT($N1171,6)="tarief",F1171="Vergoeding"),SUM(P1171)*FLOOR(SUM(R1171),0.0001),AND(P1171&lt;&gt;"",R1171&lt;&gt;"",RIGHT($N1171,6)="tarief"),P1171*FLOOR(R1171,0.01),T1171&gt;0,FLOOR(SUM(T1171),0.01)),""),""),"")</f>
        <v/>
      </c>
      <c r="Y1171" s="314" t="str">
        <f t="shared" ca="1" si="74"/>
        <v/>
      </c>
      <c r="Z1171" s="314" t="str" cm="1">
        <f t="array" aca="1" ref="Z1171" ca="1">IFERROR(_xlfn.IFS(OR(F1171="",LEFT(Methode_Keuze,4)="Geen",Methode_Keuze=""),"",AND(W1171&lt;&gt;"",F1171&lt;&gt;"Arbeidskosten"),W1171*VLOOKUP(F1171,Tb_ProjectKosten[],MATCH(Tb_ProjectKosten[[#Headers],[Forfait_Percentage]],Tb_ProjectKosten[#Headers],0),0),AND(F1171="Arbeidskosten",G1171&lt;&gt;""),IFERROR(W1171*VLOOKUP(G1171,Tb_KostenTypen[],3,0)*VLOOKUP(F1171,Tb_ProjectKosten[],MATCH(Tb_ProjectKosten[[#Headers],[Forfait_Percentage]],Tb_ProjectKosten[#Headers],0),0),""),W1171 &lt;=0,0),"")</f>
        <v/>
      </c>
      <c r="AA1171" s="314" t="str" cm="1">
        <f t="array" aca="1" ref="AA1171" ca="1">IFERROR(_xlfn.IFS(OR(F1171="",LEFT(Methode_Keuze,4)="Geen",Methode_Keuze=""),"",AND(X1171&lt;&gt;"",F1171&lt;&gt;"Arbeidskosten"),X1171*VLOOKUP(F1171,Tb_ProjectKosten[],MATCH(Tb_ProjectKosten[[#Headers],[Forfait_Percentage]],Tb_ProjectKosten[#Headers],0),0),AND(F1171="Arbeidskosten",G1171&lt;&gt;""),IFERROR(X1171*VLOOKUP(G1171,Tb_KostenTypen[],3,0)*VLOOKUP(F1171,Tb_ProjectKosten[],MATCH(Tb_ProjectKosten[[#Headers],[Forfait_Percentage]],Tb_ProjectKosten[#Headers],0),0),""),X1171 &lt;=0,0),"")</f>
        <v/>
      </c>
      <c r="AB1171" s="314" t="str">
        <f t="shared" ca="1" si="75"/>
        <v/>
      </c>
      <c r="AC1171" s="322"/>
      <c r="AD1171" s="315"/>
      <c r="AE1171" s="32" t="str" cm="1">
        <f t="array" ref="AE1171">IFERROR(IF(INDEX(SubsidieTabel!$AD$1:$AG$12,MATCH($F1171,SubsidieTabel!$AD$1:$AD$12,0),IFERROR(MATCH(Methode_Keuze,SubsidieTabel!$AD$1:$AG$1,0),2))&lt;&gt;1=TRUE,"ja",""),"")</f>
        <v/>
      </c>
    </row>
    <row r="1172" spans="1:31" x14ac:dyDescent="0.25">
      <c r="A1172" s="316"/>
      <c r="B1172" s="317" t="str">
        <f>IF(A1172&lt;&gt;"",_xlfn.MAXIFS($B$1:B1171,$A$1:A1171,A1172)+1,"")</f>
        <v/>
      </c>
      <c r="C1172" s="296"/>
      <c r="D1172" s="296"/>
      <c r="E1172" s="296"/>
      <c r="F1172" s="296"/>
      <c r="G1172" s="326"/>
      <c r="H1172" s="324"/>
      <c r="I1172" s="325"/>
      <c r="J1172" s="325"/>
      <c r="K1172" s="318"/>
      <c r="L1172" s="318"/>
      <c r="M1172" s="319" t="str">
        <f>IFERROR(VLOOKUP(H1172,Lijsten!$H$1:$I$100,2,0),"")</f>
        <v/>
      </c>
      <c r="N1172" s="319" t="str">
        <f ca="1">IFERROR(IF(VLOOKUP(F1172,Kostentypen!$A$3:$E$21,3,0)=0,"",IF(OR(F1172="Arbeidskosten",F1172="Vergoeding"),VLOOKUP(G1172,Tb_KostenTypen[],2,0),VLOOKUP(F1172,Kostentypen!$A$3:$E$20,3,0))),"")</f>
        <v/>
      </c>
      <c r="O1172" s="320" t="str" cm="1">
        <f t="array" ref="O1172">_xlfn.IFNA(IF(INDEX(Tb_KostenOptiesDB[],MATCH($F1172,Tb_KostenOptiesDB[KostenOptie],0),IFERROR(MATCH(Methode_Keuze,Tb_KostenOptiesDB[#Headers],0),2))=1,_xlfn.SWITCH($N1172,"Uurtarief",IF(OR(AND(RIGHT($F1172,3)="IKS",VLOOKUP($M1172,DB_Loonkosten,2,0)="Ja"),AND(RIGHT($F1172,3)&lt;&gt;"IKS",VLOOKUP($M1172,DB_Loonkosten,2,0)="Nee")),IFERROR(VLOOKUP($M1172,DB_Loonkosten,24,0),""),0),"Vast tarief",IF(LEFT(F1172,8)="Bijdrage",VLOOKUP($F1172,Tb_KostenTypen[],MATCH(Lijsten!$P$1,Tb_KostenTypen[#Headers],0),0),VLOOKUP($G1172,Lijsten!L:P,MATCH(Lijsten!$P$1,Kop_Tarief_Vast,0),0))),""),"")</f>
        <v/>
      </c>
      <c r="P1172" s="320" t="str" cm="1">
        <f t="array" ref="P1172">_xlfn.IFNA(IF(INDEX(Tb_KostenOptiesDB[],MATCH($F1172,Tb_KostenOptiesDB[KostenOptie],0),IFERROR(MATCH(Methode_Keuze,Tb_KostenOptiesDB[#Headers],0),2))=1,_xlfn.SWITCH($N1172,"Uurtarief",IF(OR(AND(RIGHT($F1172,3)="IKS",VLOOKUP($M1172,DB_Loonkosten,2,0)="Ja"),AND(RIGHT($F1172,3)&lt;&gt;"IKS",VLOOKUP($M1172,DB_Loonkosten,2,0)="Nee")),IFERROR(VLOOKUP($M1172,DB_Loonkosten,25,0),""),0),"Vast tarief",IF(LEFT(F1172,8)="Bijdrage",VLOOKUP($F1172,Tb_KostenTypen[],MATCH(Lijsten!$P$1,Tb_KostenTypen[#Headers],0),0),VLOOKUP($G1172,Lijsten!L:P,MATCH(Lijsten!$P$1,Kop_Tarief_Vast,0),0))),""),"")</f>
        <v/>
      </c>
      <c r="Q1172" s="359"/>
      <c r="R1172" s="359"/>
      <c r="S1172" s="321"/>
      <c r="T1172" s="321"/>
      <c r="U1172" s="373" t="str">
        <f t="shared" si="72"/>
        <v/>
      </c>
      <c r="V1172" s="314" t="str">
        <f t="shared" si="73"/>
        <v/>
      </c>
      <c r="W1172" s="314" t="str" cm="1">
        <f t="array" aca="1" ref="W1172" ca="1">IFERROR(IF(AE1172&lt;&gt;"ja",_xlfn.IFNA(_xlfn.IFS(AND(O1172&lt;&gt;"",F1172&lt;&gt;"",RIGHT($N1172,6)="tarief",F1172="Vergoeding"),SUM(O1172)*FLOOR(SUM(Q1172),0.0001),AND(O1172&lt;&gt;"",F1172&lt;&gt;"",RIGHT($N1172,6)="tarief"),SUM(O1172)*FLOOR(SUM(Q1172),0.01),S1172&gt;0,IF(F1172&lt;&gt;"",FLOOR(SUM(S1172),0.01),"")),""),""),"")</f>
        <v/>
      </c>
      <c r="X1172" s="314" t="str" cm="1">
        <f t="array" aca="1" ref="X1172" ca="1">IFERROR(IF(AE1172&lt;&gt;"ja",_xlfn.IFNA(_xlfn.IFS(AND(P1172&lt;&gt;"",R1172&lt;&gt;"",RIGHT($N1172,6)="tarief",F1172="Vergoeding"),SUM(P1172)*FLOOR(SUM(R1172),0.0001),AND(P1172&lt;&gt;"",R1172&lt;&gt;"",RIGHT($N1172,6)="tarief"),P1172*FLOOR(R1172,0.01),T1172&gt;0,FLOOR(SUM(T1172),0.01)),""),""),"")</f>
        <v/>
      </c>
      <c r="Y1172" s="314" t="str">
        <f t="shared" ca="1" si="74"/>
        <v/>
      </c>
      <c r="Z1172" s="314" t="str" cm="1">
        <f t="array" aca="1" ref="Z1172" ca="1">IFERROR(_xlfn.IFS(OR(F1172="",LEFT(Methode_Keuze,4)="Geen",Methode_Keuze=""),"",AND(W1172&lt;&gt;"",F1172&lt;&gt;"Arbeidskosten"),W1172*VLOOKUP(F1172,Tb_ProjectKosten[],MATCH(Tb_ProjectKosten[[#Headers],[Forfait_Percentage]],Tb_ProjectKosten[#Headers],0),0),AND(F1172="Arbeidskosten",G1172&lt;&gt;""),IFERROR(W1172*VLOOKUP(G1172,Tb_KostenTypen[],3,0)*VLOOKUP(F1172,Tb_ProjectKosten[],MATCH(Tb_ProjectKosten[[#Headers],[Forfait_Percentage]],Tb_ProjectKosten[#Headers],0),0),""),W1172 &lt;=0,0),"")</f>
        <v/>
      </c>
      <c r="AA1172" s="314" t="str" cm="1">
        <f t="array" aca="1" ref="AA1172" ca="1">IFERROR(_xlfn.IFS(OR(F1172="",LEFT(Methode_Keuze,4)="Geen",Methode_Keuze=""),"",AND(X1172&lt;&gt;"",F1172&lt;&gt;"Arbeidskosten"),X1172*VLOOKUP(F1172,Tb_ProjectKosten[],MATCH(Tb_ProjectKosten[[#Headers],[Forfait_Percentage]],Tb_ProjectKosten[#Headers],0),0),AND(F1172="Arbeidskosten",G1172&lt;&gt;""),IFERROR(X1172*VLOOKUP(G1172,Tb_KostenTypen[],3,0)*VLOOKUP(F1172,Tb_ProjectKosten[],MATCH(Tb_ProjectKosten[[#Headers],[Forfait_Percentage]],Tb_ProjectKosten[#Headers],0),0),""),X1172 &lt;=0,0),"")</f>
        <v/>
      </c>
      <c r="AB1172" s="314" t="str">
        <f t="shared" ca="1" si="75"/>
        <v/>
      </c>
      <c r="AC1172" s="322"/>
      <c r="AD1172" s="315"/>
      <c r="AE1172" s="32" t="str" cm="1">
        <f t="array" ref="AE1172">IFERROR(IF(INDEX(SubsidieTabel!$AD$1:$AG$12,MATCH($F1172,SubsidieTabel!$AD$1:$AD$12,0),IFERROR(MATCH(Methode_Keuze,SubsidieTabel!$AD$1:$AG$1,0),2))&lt;&gt;1=TRUE,"ja",""),"")</f>
        <v/>
      </c>
    </row>
    <row r="1173" spans="1:31" x14ac:dyDescent="0.25">
      <c r="A1173" s="316"/>
      <c r="B1173" s="317" t="str">
        <f>IF(A1173&lt;&gt;"",_xlfn.MAXIFS($B$1:B1172,$A$1:A1172,A1173)+1,"")</f>
        <v/>
      </c>
      <c r="C1173" s="296"/>
      <c r="D1173" s="296"/>
      <c r="E1173" s="296"/>
      <c r="F1173" s="296"/>
      <c r="G1173" s="326"/>
      <c r="H1173" s="324"/>
      <c r="I1173" s="325"/>
      <c r="J1173" s="325"/>
      <c r="K1173" s="318"/>
      <c r="L1173" s="318"/>
      <c r="M1173" s="319" t="str">
        <f>IFERROR(VLOOKUP(H1173,Lijsten!$H$1:$I$100,2,0),"")</f>
        <v/>
      </c>
      <c r="N1173" s="319" t="str">
        <f ca="1">IFERROR(IF(VLOOKUP(F1173,Kostentypen!$A$3:$E$21,3,0)=0,"",IF(OR(F1173="Arbeidskosten",F1173="Vergoeding"),VLOOKUP(G1173,Tb_KostenTypen[],2,0),VLOOKUP(F1173,Kostentypen!$A$3:$E$20,3,0))),"")</f>
        <v/>
      </c>
      <c r="O1173" s="320" t="str" cm="1">
        <f t="array" ref="O1173">_xlfn.IFNA(IF(INDEX(Tb_KostenOptiesDB[],MATCH($F1173,Tb_KostenOptiesDB[KostenOptie],0),IFERROR(MATCH(Methode_Keuze,Tb_KostenOptiesDB[#Headers],0),2))=1,_xlfn.SWITCH($N1173,"Uurtarief",IF(OR(AND(RIGHT($F1173,3)="IKS",VLOOKUP($M1173,DB_Loonkosten,2,0)="Ja"),AND(RIGHT($F1173,3)&lt;&gt;"IKS",VLOOKUP($M1173,DB_Loonkosten,2,0)="Nee")),IFERROR(VLOOKUP($M1173,DB_Loonkosten,24,0),""),0),"Vast tarief",IF(LEFT(F1173,8)="Bijdrage",VLOOKUP($F1173,Tb_KostenTypen[],MATCH(Lijsten!$P$1,Tb_KostenTypen[#Headers],0),0),VLOOKUP($G1173,Lijsten!L:P,MATCH(Lijsten!$P$1,Kop_Tarief_Vast,0),0))),""),"")</f>
        <v/>
      </c>
      <c r="P1173" s="320" t="str" cm="1">
        <f t="array" ref="P1173">_xlfn.IFNA(IF(INDEX(Tb_KostenOptiesDB[],MATCH($F1173,Tb_KostenOptiesDB[KostenOptie],0),IFERROR(MATCH(Methode_Keuze,Tb_KostenOptiesDB[#Headers],0),2))=1,_xlfn.SWITCH($N1173,"Uurtarief",IF(OR(AND(RIGHT($F1173,3)="IKS",VLOOKUP($M1173,DB_Loonkosten,2,0)="Ja"),AND(RIGHT($F1173,3)&lt;&gt;"IKS",VLOOKUP($M1173,DB_Loonkosten,2,0)="Nee")),IFERROR(VLOOKUP($M1173,DB_Loonkosten,25,0),""),0),"Vast tarief",IF(LEFT(F1173,8)="Bijdrage",VLOOKUP($F1173,Tb_KostenTypen[],MATCH(Lijsten!$P$1,Tb_KostenTypen[#Headers],0),0),VLOOKUP($G1173,Lijsten!L:P,MATCH(Lijsten!$P$1,Kop_Tarief_Vast,0),0))),""),"")</f>
        <v/>
      </c>
      <c r="Q1173" s="359"/>
      <c r="R1173" s="359"/>
      <c r="S1173" s="321"/>
      <c r="T1173" s="321"/>
      <c r="U1173" s="373" t="str">
        <f t="shared" si="72"/>
        <v/>
      </c>
      <c r="V1173" s="314" t="str">
        <f t="shared" si="73"/>
        <v/>
      </c>
      <c r="W1173" s="314" t="str" cm="1">
        <f t="array" aca="1" ref="W1173" ca="1">IFERROR(IF(AE1173&lt;&gt;"ja",_xlfn.IFNA(_xlfn.IFS(AND(O1173&lt;&gt;"",F1173&lt;&gt;"",RIGHT($N1173,6)="tarief",F1173="Vergoeding"),SUM(O1173)*FLOOR(SUM(Q1173),0.0001),AND(O1173&lt;&gt;"",F1173&lt;&gt;"",RIGHT($N1173,6)="tarief"),SUM(O1173)*FLOOR(SUM(Q1173),0.01),S1173&gt;0,IF(F1173&lt;&gt;"",FLOOR(SUM(S1173),0.01),"")),""),""),"")</f>
        <v/>
      </c>
      <c r="X1173" s="314" t="str" cm="1">
        <f t="array" aca="1" ref="X1173" ca="1">IFERROR(IF(AE1173&lt;&gt;"ja",_xlfn.IFNA(_xlfn.IFS(AND(P1173&lt;&gt;"",R1173&lt;&gt;"",RIGHT($N1173,6)="tarief",F1173="Vergoeding"),SUM(P1173)*FLOOR(SUM(R1173),0.0001),AND(P1173&lt;&gt;"",R1173&lt;&gt;"",RIGHT($N1173,6)="tarief"),P1173*FLOOR(R1173,0.01),T1173&gt;0,FLOOR(SUM(T1173),0.01)),""),""),"")</f>
        <v/>
      </c>
      <c r="Y1173" s="314" t="str">
        <f t="shared" ca="1" si="74"/>
        <v/>
      </c>
      <c r="Z1173" s="314" t="str" cm="1">
        <f t="array" aca="1" ref="Z1173" ca="1">IFERROR(_xlfn.IFS(OR(F1173="",LEFT(Methode_Keuze,4)="Geen",Methode_Keuze=""),"",AND(W1173&lt;&gt;"",F1173&lt;&gt;"Arbeidskosten"),W1173*VLOOKUP(F1173,Tb_ProjectKosten[],MATCH(Tb_ProjectKosten[[#Headers],[Forfait_Percentage]],Tb_ProjectKosten[#Headers],0),0),AND(F1173="Arbeidskosten",G1173&lt;&gt;""),IFERROR(W1173*VLOOKUP(G1173,Tb_KostenTypen[],3,0)*VLOOKUP(F1173,Tb_ProjectKosten[],MATCH(Tb_ProjectKosten[[#Headers],[Forfait_Percentage]],Tb_ProjectKosten[#Headers],0),0),""),W1173 &lt;=0,0),"")</f>
        <v/>
      </c>
      <c r="AA1173" s="314" t="str" cm="1">
        <f t="array" aca="1" ref="AA1173" ca="1">IFERROR(_xlfn.IFS(OR(F1173="",LEFT(Methode_Keuze,4)="Geen",Methode_Keuze=""),"",AND(X1173&lt;&gt;"",F1173&lt;&gt;"Arbeidskosten"),X1173*VLOOKUP(F1173,Tb_ProjectKosten[],MATCH(Tb_ProjectKosten[[#Headers],[Forfait_Percentage]],Tb_ProjectKosten[#Headers],0),0),AND(F1173="Arbeidskosten",G1173&lt;&gt;""),IFERROR(X1173*VLOOKUP(G1173,Tb_KostenTypen[],3,0)*VLOOKUP(F1173,Tb_ProjectKosten[],MATCH(Tb_ProjectKosten[[#Headers],[Forfait_Percentage]],Tb_ProjectKosten[#Headers],0),0),""),X1173 &lt;=0,0),"")</f>
        <v/>
      </c>
      <c r="AB1173" s="314" t="str">
        <f t="shared" ca="1" si="75"/>
        <v/>
      </c>
      <c r="AC1173" s="322"/>
      <c r="AD1173" s="315"/>
      <c r="AE1173" s="32" t="str" cm="1">
        <f t="array" ref="AE1173">IFERROR(IF(INDEX(SubsidieTabel!$AD$1:$AG$12,MATCH($F1173,SubsidieTabel!$AD$1:$AD$12,0),IFERROR(MATCH(Methode_Keuze,SubsidieTabel!$AD$1:$AG$1,0),2))&lt;&gt;1=TRUE,"ja",""),"")</f>
        <v/>
      </c>
    </row>
    <row r="1174" spans="1:31" x14ac:dyDescent="0.25">
      <c r="A1174" s="316"/>
      <c r="B1174" s="317" t="str">
        <f>IF(A1174&lt;&gt;"",_xlfn.MAXIFS($B$1:B1173,$A$1:A1173,A1174)+1,"")</f>
        <v/>
      </c>
      <c r="C1174" s="296"/>
      <c r="D1174" s="296"/>
      <c r="E1174" s="296"/>
      <c r="F1174" s="296"/>
      <c r="G1174" s="326"/>
      <c r="H1174" s="324"/>
      <c r="I1174" s="325"/>
      <c r="J1174" s="325"/>
      <c r="K1174" s="318"/>
      <c r="L1174" s="318"/>
      <c r="M1174" s="319" t="str">
        <f>IFERROR(VLOOKUP(H1174,Lijsten!$H$1:$I$100,2,0),"")</f>
        <v/>
      </c>
      <c r="N1174" s="319" t="str">
        <f ca="1">IFERROR(IF(VLOOKUP(F1174,Kostentypen!$A$3:$E$21,3,0)=0,"",IF(OR(F1174="Arbeidskosten",F1174="Vergoeding"),VLOOKUP(G1174,Tb_KostenTypen[],2,0),VLOOKUP(F1174,Kostentypen!$A$3:$E$20,3,0))),"")</f>
        <v/>
      </c>
      <c r="O1174" s="320" t="str" cm="1">
        <f t="array" ref="O1174">_xlfn.IFNA(IF(INDEX(Tb_KostenOptiesDB[],MATCH($F1174,Tb_KostenOptiesDB[KostenOptie],0),IFERROR(MATCH(Methode_Keuze,Tb_KostenOptiesDB[#Headers],0),2))=1,_xlfn.SWITCH($N1174,"Uurtarief",IF(OR(AND(RIGHT($F1174,3)="IKS",VLOOKUP($M1174,DB_Loonkosten,2,0)="Ja"),AND(RIGHT($F1174,3)&lt;&gt;"IKS",VLOOKUP($M1174,DB_Loonkosten,2,0)="Nee")),IFERROR(VLOOKUP($M1174,DB_Loonkosten,24,0),""),0),"Vast tarief",IF(LEFT(F1174,8)="Bijdrage",VLOOKUP($F1174,Tb_KostenTypen[],MATCH(Lijsten!$P$1,Tb_KostenTypen[#Headers],0),0),VLOOKUP($G1174,Lijsten!L:P,MATCH(Lijsten!$P$1,Kop_Tarief_Vast,0),0))),""),"")</f>
        <v/>
      </c>
      <c r="P1174" s="320" t="str" cm="1">
        <f t="array" ref="P1174">_xlfn.IFNA(IF(INDEX(Tb_KostenOptiesDB[],MATCH($F1174,Tb_KostenOptiesDB[KostenOptie],0),IFERROR(MATCH(Methode_Keuze,Tb_KostenOptiesDB[#Headers],0),2))=1,_xlfn.SWITCH($N1174,"Uurtarief",IF(OR(AND(RIGHT($F1174,3)="IKS",VLOOKUP($M1174,DB_Loonkosten,2,0)="Ja"),AND(RIGHT($F1174,3)&lt;&gt;"IKS",VLOOKUP($M1174,DB_Loonkosten,2,0)="Nee")),IFERROR(VLOOKUP($M1174,DB_Loonkosten,25,0),""),0),"Vast tarief",IF(LEFT(F1174,8)="Bijdrage",VLOOKUP($F1174,Tb_KostenTypen[],MATCH(Lijsten!$P$1,Tb_KostenTypen[#Headers],0),0),VLOOKUP($G1174,Lijsten!L:P,MATCH(Lijsten!$P$1,Kop_Tarief_Vast,0),0))),""),"")</f>
        <v/>
      </c>
      <c r="Q1174" s="359"/>
      <c r="R1174" s="359"/>
      <c r="S1174" s="321"/>
      <c r="T1174" s="321"/>
      <c r="U1174" s="373" t="str">
        <f t="shared" si="72"/>
        <v/>
      </c>
      <c r="V1174" s="314" t="str">
        <f t="shared" si="73"/>
        <v/>
      </c>
      <c r="W1174" s="314" t="str" cm="1">
        <f t="array" aca="1" ref="W1174" ca="1">IFERROR(IF(AE1174&lt;&gt;"ja",_xlfn.IFNA(_xlfn.IFS(AND(O1174&lt;&gt;"",F1174&lt;&gt;"",RIGHT($N1174,6)="tarief",F1174="Vergoeding"),SUM(O1174)*FLOOR(SUM(Q1174),0.0001),AND(O1174&lt;&gt;"",F1174&lt;&gt;"",RIGHT($N1174,6)="tarief"),SUM(O1174)*FLOOR(SUM(Q1174),0.01),S1174&gt;0,IF(F1174&lt;&gt;"",FLOOR(SUM(S1174),0.01),"")),""),""),"")</f>
        <v/>
      </c>
      <c r="X1174" s="314" t="str" cm="1">
        <f t="array" aca="1" ref="X1174" ca="1">IFERROR(IF(AE1174&lt;&gt;"ja",_xlfn.IFNA(_xlfn.IFS(AND(P1174&lt;&gt;"",R1174&lt;&gt;"",RIGHT($N1174,6)="tarief",F1174="Vergoeding"),SUM(P1174)*FLOOR(SUM(R1174),0.0001),AND(P1174&lt;&gt;"",R1174&lt;&gt;"",RIGHT($N1174,6)="tarief"),P1174*FLOOR(R1174,0.01),T1174&gt;0,FLOOR(SUM(T1174),0.01)),""),""),"")</f>
        <v/>
      </c>
      <c r="Y1174" s="314" t="str">
        <f t="shared" ca="1" si="74"/>
        <v/>
      </c>
      <c r="Z1174" s="314" t="str" cm="1">
        <f t="array" aca="1" ref="Z1174" ca="1">IFERROR(_xlfn.IFS(OR(F1174="",LEFT(Methode_Keuze,4)="Geen",Methode_Keuze=""),"",AND(W1174&lt;&gt;"",F1174&lt;&gt;"Arbeidskosten"),W1174*VLOOKUP(F1174,Tb_ProjectKosten[],MATCH(Tb_ProjectKosten[[#Headers],[Forfait_Percentage]],Tb_ProjectKosten[#Headers],0),0),AND(F1174="Arbeidskosten",G1174&lt;&gt;""),IFERROR(W1174*VLOOKUP(G1174,Tb_KostenTypen[],3,0)*VLOOKUP(F1174,Tb_ProjectKosten[],MATCH(Tb_ProjectKosten[[#Headers],[Forfait_Percentage]],Tb_ProjectKosten[#Headers],0),0),""),W1174 &lt;=0,0),"")</f>
        <v/>
      </c>
      <c r="AA1174" s="314" t="str" cm="1">
        <f t="array" aca="1" ref="AA1174" ca="1">IFERROR(_xlfn.IFS(OR(F1174="",LEFT(Methode_Keuze,4)="Geen",Methode_Keuze=""),"",AND(X1174&lt;&gt;"",F1174&lt;&gt;"Arbeidskosten"),X1174*VLOOKUP(F1174,Tb_ProjectKosten[],MATCH(Tb_ProjectKosten[[#Headers],[Forfait_Percentage]],Tb_ProjectKosten[#Headers],0),0),AND(F1174="Arbeidskosten",G1174&lt;&gt;""),IFERROR(X1174*VLOOKUP(G1174,Tb_KostenTypen[],3,0)*VLOOKUP(F1174,Tb_ProjectKosten[],MATCH(Tb_ProjectKosten[[#Headers],[Forfait_Percentage]],Tb_ProjectKosten[#Headers],0),0),""),X1174 &lt;=0,0),"")</f>
        <v/>
      </c>
      <c r="AB1174" s="314" t="str">
        <f t="shared" ca="1" si="75"/>
        <v/>
      </c>
      <c r="AC1174" s="322"/>
      <c r="AD1174" s="315"/>
      <c r="AE1174" s="32" t="str" cm="1">
        <f t="array" ref="AE1174">IFERROR(IF(INDEX(SubsidieTabel!$AD$1:$AG$12,MATCH($F1174,SubsidieTabel!$AD$1:$AD$12,0),IFERROR(MATCH(Methode_Keuze,SubsidieTabel!$AD$1:$AG$1,0),2))&lt;&gt;1=TRUE,"ja",""),"")</f>
        <v/>
      </c>
    </row>
    <row r="1175" spans="1:31" x14ac:dyDescent="0.25">
      <c r="A1175" s="316"/>
      <c r="B1175" s="317" t="str">
        <f>IF(A1175&lt;&gt;"",_xlfn.MAXIFS($B$1:B1174,$A$1:A1174,A1175)+1,"")</f>
        <v/>
      </c>
      <c r="C1175" s="296"/>
      <c r="D1175" s="296"/>
      <c r="E1175" s="296"/>
      <c r="F1175" s="296"/>
      <c r="G1175" s="326"/>
      <c r="H1175" s="324"/>
      <c r="I1175" s="325"/>
      <c r="J1175" s="325"/>
      <c r="K1175" s="318"/>
      <c r="L1175" s="318"/>
      <c r="M1175" s="319" t="str">
        <f>IFERROR(VLOOKUP(H1175,Lijsten!$H$1:$I$100,2,0),"")</f>
        <v/>
      </c>
      <c r="N1175" s="319" t="str">
        <f ca="1">IFERROR(IF(VLOOKUP(F1175,Kostentypen!$A$3:$E$21,3,0)=0,"",IF(OR(F1175="Arbeidskosten",F1175="Vergoeding"),VLOOKUP(G1175,Tb_KostenTypen[],2,0),VLOOKUP(F1175,Kostentypen!$A$3:$E$20,3,0))),"")</f>
        <v/>
      </c>
      <c r="O1175" s="320" t="str" cm="1">
        <f t="array" ref="O1175">_xlfn.IFNA(IF(INDEX(Tb_KostenOptiesDB[],MATCH($F1175,Tb_KostenOptiesDB[KostenOptie],0),IFERROR(MATCH(Methode_Keuze,Tb_KostenOptiesDB[#Headers],0),2))=1,_xlfn.SWITCH($N1175,"Uurtarief",IF(OR(AND(RIGHT($F1175,3)="IKS",VLOOKUP($M1175,DB_Loonkosten,2,0)="Ja"),AND(RIGHT($F1175,3)&lt;&gt;"IKS",VLOOKUP($M1175,DB_Loonkosten,2,0)="Nee")),IFERROR(VLOOKUP($M1175,DB_Loonkosten,24,0),""),0),"Vast tarief",IF(LEFT(F1175,8)="Bijdrage",VLOOKUP($F1175,Tb_KostenTypen[],MATCH(Lijsten!$P$1,Tb_KostenTypen[#Headers],0),0),VLOOKUP($G1175,Lijsten!L:P,MATCH(Lijsten!$P$1,Kop_Tarief_Vast,0),0))),""),"")</f>
        <v/>
      </c>
      <c r="P1175" s="320" t="str" cm="1">
        <f t="array" ref="P1175">_xlfn.IFNA(IF(INDEX(Tb_KostenOptiesDB[],MATCH($F1175,Tb_KostenOptiesDB[KostenOptie],0),IFERROR(MATCH(Methode_Keuze,Tb_KostenOptiesDB[#Headers],0),2))=1,_xlfn.SWITCH($N1175,"Uurtarief",IF(OR(AND(RIGHT($F1175,3)="IKS",VLOOKUP($M1175,DB_Loonkosten,2,0)="Ja"),AND(RIGHT($F1175,3)&lt;&gt;"IKS",VLOOKUP($M1175,DB_Loonkosten,2,0)="Nee")),IFERROR(VLOOKUP($M1175,DB_Loonkosten,25,0),""),0),"Vast tarief",IF(LEFT(F1175,8)="Bijdrage",VLOOKUP($F1175,Tb_KostenTypen[],MATCH(Lijsten!$P$1,Tb_KostenTypen[#Headers],0),0),VLOOKUP($G1175,Lijsten!L:P,MATCH(Lijsten!$P$1,Kop_Tarief_Vast,0),0))),""),"")</f>
        <v/>
      </c>
      <c r="Q1175" s="359"/>
      <c r="R1175" s="359"/>
      <c r="S1175" s="321"/>
      <c r="T1175" s="321"/>
      <c r="U1175" s="373" t="str">
        <f t="shared" si="72"/>
        <v/>
      </c>
      <c r="V1175" s="314" t="str">
        <f t="shared" si="73"/>
        <v/>
      </c>
      <c r="W1175" s="314" t="str" cm="1">
        <f t="array" aca="1" ref="W1175" ca="1">IFERROR(IF(AE1175&lt;&gt;"ja",_xlfn.IFNA(_xlfn.IFS(AND(O1175&lt;&gt;"",F1175&lt;&gt;"",RIGHT($N1175,6)="tarief",F1175="Vergoeding"),SUM(O1175)*FLOOR(SUM(Q1175),0.0001),AND(O1175&lt;&gt;"",F1175&lt;&gt;"",RIGHT($N1175,6)="tarief"),SUM(O1175)*FLOOR(SUM(Q1175),0.01),S1175&gt;0,IF(F1175&lt;&gt;"",FLOOR(SUM(S1175),0.01),"")),""),""),"")</f>
        <v/>
      </c>
      <c r="X1175" s="314" t="str" cm="1">
        <f t="array" aca="1" ref="X1175" ca="1">IFERROR(IF(AE1175&lt;&gt;"ja",_xlfn.IFNA(_xlfn.IFS(AND(P1175&lt;&gt;"",R1175&lt;&gt;"",RIGHT($N1175,6)="tarief",F1175="Vergoeding"),SUM(P1175)*FLOOR(SUM(R1175),0.0001),AND(P1175&lt;&gt;"",R1175&lt;&gt;"",RIGHT($N1175,6)="tarief"),P1175*FLOOR(R1175,0.01),T1175&gt;0,FLOOR(SUM(T1175),0.01)),""),""),"")</f>
        <v/>
      </c>
      <c r="Y1175" s="314" t="str">
        <f t="shared" ca="1" si="74"/>
        <v/>
      </c>
      <c r="Z1175" s="314" t="str" cm="1">
        <f t="array" aca="1" ref="Z1175" ca="1">IFERROR(_xlfn.IFS(OR(F1175="",LEFT(Methode_Keuze,4)="Geen",Methode_Keuze=""),"",AND(W1175&lt;&gt;"",F1175&lt;&gt;"Arbeidskosten"),W1175*VLOOKUP(F1175,Tb_ProjectKosten[],MATCH(Tb_ProjectKosten[[#Headers],[Forfait_Percentage]],Tb_ProjectKosten[#Headers],0),0),AND(F1175="Arbeidskosten",G1175&lt;&gt;""),IFERROR(W1175*VLOOKUP(G1175,Tb_KostenTypen[],3,0)*VLOOKUP(F1175,Tb_ProjectKosten[],MATCH(Tb_ProjectKosten[[#Headers],[Forfait_Percentage]],Tb_ProjectKosten[#Headers],0),0),""),W1175 &lt;=0,0),"")</f>
        <v/>
      </c>
      <c r="AA1175" s="314" t="str" cm="1">
        <f t="array" aca="1" ref="AA1175" ca="1">IFERROR(_xlfn.IFS(OR(F1175="",LEFT(Methode_Keuze,4)="Geen",Methode_Keuze=""),"",AND(X1175&lt;&gt;"",F1175&lt;&gt;"Arbeidskosten"),X1175*VLOOKUP(F1175,Tb_ProjectKosten[],MATCH(Tb_ProjectKosten[[#Headers],[Forfait_Percentage]],Tb_ProjectKosten[#Headers],0),0),AND(F1175="Arbeidskosten",G1175&lt;&gt;""),IFERROR(X1175*VLOOKUP(G1175,Tb_KostenTypen[],3,0)*VLOOKUP(F1175,Tb_ProjectKosten[],MATCH(Tb_ProjectKosten[[#Headers],[Forfait_Percentage]],Tb_ProjectKosten[#Headers],0),0),""),X1175 &lt;=0,0),"")</f>
        <v/>
      </c>
      <c r="AB1175" s="314" t="str">
        <f t="shared" ca="1" si="75"/>
        <v/>
      </c>
      <c r="AC1175" s="322"/>
      <c r="AD1175" s="315"/>
      <c r="AE1175" s="32" t="str" cm="1">
        <f t="array" ref="AE1175">IFERROR(IF(INDEX(SubsidieTabel!$AD$1:$AG$12,MATCH($F1175,SubsidieTabel!$AD$1:$AD$12,0),IFERROR(MATCH(Methode_Keuze,SubsidieTabel!$AD$1:$AG$1,0),2))&lt;&gt;1=TRUE,"ja",""),"")</f>
        <v/>
      </c>
    </row>
    <row r="1176" spans="1:31" x14ac:dyDescent="0.25">
      <c r="A1176" s="316"/>
      <c r="B1176" s="317" t="str">
        <f>IF(A1176&lt;&gt;"",_xlfn.MAXIFS($B$1:B1175,$A$1:A1175,A1176)+1,"")</f>
        <v/>
      </c>
      <c r="C1176" s="296"/>
      <c r="D1176" s="296"/>
      <c r="E1176" s="296"/>
      <c r="F1176" s="296"/>
      <c r="G1176" s="326"/>
      <c r="H1176" s="324"/>
      <c r="I1176" s="325"/>
      <c r="J1176" s="325"/>
      <c r="K1176" s="318"/>
      <c r="L1176" s="318"/>
      <c r="M1176" s="319" t="str">
        <f>IFERROR(VLOOKUP(H1176,Lijsten!$H$1:$I$100,2,0),"")</f>
        <v/>
      </c>
      <c r="N1176" s="319" t="str">
        <f ca="1">IFERROR(IF(VLOOKUP(F1176,Kostentypen!$A$3:$E$21,3,0)=0,"",IF(OR(F1176="Arbeidskosten",F1176="Vergoeding"),VLOOKUP(G1176,Tb_KostenTypen[],2,0),VLOOKUP(F1176,Kostentypen!$A$3:$E$20,3,0))),"")</f>
        <v/>
      </c>
      <c r="O1176" s="320" t="str" cm="1">
        <f t="array" ref="O1176">_xlfn.IFNA(IF(INDEX(Tb_KostenOptiesDB[],MATCH($F1176,Tb_KostenOptiesDB[KostenOptie],0),IFERROR(MATCH(Methode_Keuze,Tb_KostenOptiesDB[#Headers],0),2))=1,_xlfn.SWITCH($N1176,"Uurtarief",IF(OR(AND(RIGHT($F1176,3)="IKS",VLOOKUP($M1176,DB_Loonkosten,2,0)="Ja"),AND(RIGHT($F1176,3)&lt;&gt;"IKS",VLOOKUP($M1176,DB_Loonkosten,2,0)="Nee")),IFERROR(VLOOKUP($M1176,DB_Loonkosten,24,0),""),0),"Vast tarief",IF(LEFT(F1176,8)="Bijdrage",VLOOKUP($F1176,Tb_KostenTypen[],MATCH(Lijsten!$P$1,Tb_KostenTypen[#Headers],0),0),VLOOKUP($G1176,Lijsten!L:P,MATCH(Lijsten!$P$1,Kop_Tarief_Vast,0),0))),""),"")</f>
        <v/>
      </c>
      <c r="P1176" s="320" t="str" cm="1">
        <f t="array" ref="P1176">_xlfn.IFNA(IF(INDEX(Tb_KostenOptiesDB[],MATCH($F1176,Tb_KostenOptiesDB[KostenOptie],0),IFERROR(MATCH(Methode_Keuze,Tb_KostenOptiesDB[#Headers],0),2))=1,_xlfn.SWITCH($N1176,"Uurtarief",IF(OR(AND(RIGHT($F1176,3)="IKS",VLOOKUP($M1176,DB_Loonkosten,2,0)="Ja"),AND(RIGHT($F1176,3)&lt;&gt;"IKS",VLOOKUP($M1176,DB_Loonkosten,2,0)="Nee")),IFERROR(VLOOKUP($M1176,DB_Loonkosten,25,0),""),0),"Vast tarief",IF(LEFT(F1176,8)="Bijdrage",VLOOKUP($F1176,Tb_KostenTypen[],MATCH(Lijsten!$P$1,Tb_KostenTypen[#Headers],0),0),VLOOKUP($G1176,Lijsten!L:P,MATCH(Lijsten!$P$1,Kop_Tarief_Vast,0),0))),""),"")</f>
        <v/>
      </c>
      <c r="Q1176" s="359"/>
      <c r="R1176" s="359"/>
      <c r="S1176" s="321"/>
      <c r="T1176" s="321"/>
      <c r="U1176" s="373" t="str">
        <f t="shared" si="72"/>
        <v/>
      </c>
      <c r="V1176" s="314" t="str">
        <f t="shared" si="73"/>
        <v/>
      </c>
      <c r="W1176" s="314" t="str" cm="1">
        <f t="array" aca="1" ref="W1176" ca="1">IFERROR(IF(AE1176&lt;&gt;"ja",_xlfn.IFNA(_xlfn.IFS(AND(O1176&lt;&gt;"",F1176&lt;&gt;"",RIGHT($N1176,6)="tarief",F1176="Vergoeding"),SUM(O1176)*FLOOR(SUM(Q1176),0.0001),AND(O1176&lt;&gt;"",F1176&lt;&gt;"",RIGHT($N1176,6)="tarief"),SUM(O1176)*FLOOR(SUM(Q1176),0.01),S1176&gt;0,IF(F1176&lt;&gt;"",FLOOR(SUM(S1176),0.01),"")),""),""),"")</f>
        <v/>
      </c>
      <c r="X1176" s="314" t="str" cm="1">
        <f t="array" aca="1" ref="X1176" ca="1">IFERROR(IF(AE1176&lt;&gt;"ja",_xlfn.IFNA(_xlfn.IFS(AND(P1176&lt;&gt;"",R1176&lt;&gt;"",RIGHT($N1176,6)="tarief",F1176="Vergoeding"),SUM(P1176)*FLOOR(SUM(R1176),0.0001),AND(P1176&lt;&gt;"",R1176&lt;&gt;"",RIGHT($N1176,6)="tarief"),P1176*FLOOR(R1176,0.01),T1176&gt;0,FLOOR(SUM(T1176),0.01)),""),""),"")</f>
        <v/>
      </c>
      <c r="Y1176" s="314" t="str">
        <f t="shared" ca="1" si="74"/>
        <v/>
      </c>
      <c r="Z1176" s="314" t="str" cm="1">
        <f t="array" aca="1" ref="Z1176" ca="1">IFERROR(_xlfn.IFS(OR(F1176="",LEFT(Methode_Keuze,4)="Geen",Methode_Keuze=""),"",AND(W1176&lt;&gt;"",F1176&lt;&gt;"Arbeidskosten"),W1176*VLOOKUP(F1176,Tb_ProjectKosten[],MATCH(Tb_ProjectKosten[[#Headers],[Forfait_Percentage]],Tb_ProjectKosten[#Headers],0),0),AND(F1176="Arbeidskosten",G1176&lt;&gt;""),IFERROR(W1176*VLOOKUP(G1176,Tb_KostenTypen[],3,0)*VLOOKUP(F1176,Tb_ProjectKosten[],MATCH(Tb_ProjectKosten[[#Headers],[Forfait_Percentage]],Tb_ProjectKosten[#Headers],0),0),""),W1176 &lt;=0,0),"")</f>
        <v/>
      </c>
      <c r="AA1176" s="314" t="str" cm="1">
        <f t="array" aca="1" ref="AA1176" ca="1">IFERROR(_xlfn.IFS(OR(F1176="",LEFT(Methode_Keuze,4)="Geen",Methode_Keuze=""),"",AND(X1176&lt;&gt;"",F1176&lt;&gt;"Arbeidskosten"),X1176*VLOOKUP(F1176,Tb_ProjectKosten[],MATCH(Tb_ProjectKosten[[#Headers],[Forfait_Percentage]],Tb_ProjectKosten[#Headers],0),0),AND(F1176="Arbeidskosten",G1176&lt;&gt;""),IFERROR(X1176*VLOOKUP(G1176,Tb_KostenTypen[],3,0)*VLOOKUP(F1176,Tb_ProjectKosten[],MATCH(Tb_ProjectKosten[[#Headers],[Forfait_Percentage]],Tb_ProjectKosten[#Headers],0),0),""),X1176 &lt;=0,0),"")</f>
        <v/>
      </c>
      <c r="AB1176" s="314" t="str">
        <f t="shared" ca="1" si="75"/>
        <v/>
      </c>
      <c r="AC1176" s="322"/>
      <c r="AD1176" s="315"/>
      <c r="AE1176" s="32" t="str" cm="1">
        <f t="array" ref="AE1176">IFERROR(IF(INDEX(SubsidieTabel!$AD$1:$AG$12,MATCH($F1176,SubsidieTabel!$AD$1:$AD$12,0),IFERROR(MATCH(Methode_Keuze,SubsidieTabel!$AD$1:$AG$1,0),2))&lt;&gt;1=TRUE,"ja",""),"")</f>
        <v/>
      </c>
    </row>
    <row r="1177" spans="1:31" x14ac:dyDescent="0.25">
      <c r="A1177" s="316"/>
      <c r="B1177" s="317" t="str">
        <f>IF(A1177&lt;&gt;"",_xlfn.MAXIFS($B$1:B1176,$A$1:A1176,A1177)+1,"")</f>
        <v/>
      </c>
      <c r="C1177" s="296"/>
      <c r="D1177" s="296"/>
      <c r="E1177" s="296"/>
      <c r="F1177" s="296"/>
      <c r="G1177" s="326"/>
      <c r="H1177" s="324"/>
      <c r="I1177" s="325"/>
      <c r="J1177" s="325"/>
      <c r="K1177" s="318"/>
      <c r="L1177" s="318"/>
      <c r="M1177" s="319" t="str">
        <f>IFERROR(VLOOKUP(H1177,Lijsten!$H$1:$I$100,2,0),"")</f>
        <v/>
      </c>
      <c r="N1177" s="319" t="str">
        <f ca="1">IFERROR(IF(VLOOKUP(F1177,Kostentypen!$A$3:$E$21,3,0)=0,"",IF(OR(F1177="Arbeidskosten",F1177="Vergoeding"),VLOOKUP(G1177,Tb_KostenTypen[],2,0),VLOOKUP(F1177,Kostentypen!$A$3:$E$20,3,0))),"")</f>
        <v/>
      </c>
      <c r="O1177" s="320" t="str" cm="1">
        <f t="array" ref="O1177">_xlfn.IFNA(IF(INDEX(Tb_KostenOptiesDB[],MATCH($F1177,Tb_KostenOptiesDB[KostenOptie],0),IFERROR(MATCH(Methode_Keuze,Tb_KostenOptiesDB[#Headers],0),2))=1,_xlfn.SWITCH($N1177,"Uurtarief",IF(OR(AND(RIGHT($F1177,3)="IKS",VLOOKUP($M1177,DB_Loonkosten,2,0)="Ja"),AND(RIGHT($F1177,3)&lt;&gt;"IKS",VLOOKUP($M1177,DB_Loonkosten,2,0)="Nee")),IFERROR(VLOOKUP($M1177,DB_Loonkosten,24,0),""),0),"Vast tarief",IF(LEFT(F1177,8)="Bijdrage",VLOOKUP($F1177,Tb_KostenTypen[],MATCH(Lijsten!$P$1,Tb_KostenTypen[#Headers],0),0),VLOOKUP($G1177,Lijsten!L:P,MATCH(Lijsten!$P$1,Kop_Tarief_Vast,0),0))),""),"")</f>
        <v/>
      </c>
      <c r="P1177" s="320" t="str" cm="1">
        <f t="array" ref="P1177">_xlfn.IFNA(IF(INDEX(Tb_KostenOptiesDB[],MATCH($F1177,Tb_KostenOptiesDB[KostenOptie],0),IFERROR(MATCH(Methode_Keuze,Tb_KostenOptiesDB[#Headers],0),2))=1,_xlfn.SWITCH($N1177,"Uurtarief",IF(OR(AND(RIGHT($F1177,3)="IKS",VLOOKUP($M1177,DB_Loonkosten,2,0)="Ja"),AND(RIGHT($F1177,3)&lt;&gt;"IKS",VLOOKUP($M1177,DB_Loonkosten,2,0)="Nee")),IFERROR(VLOOKUP($M1177,DB_Loonkosten,25,0),""),0),"Vast tarief",IF(LEFT(F1177,8)="Bijdrage",VLOOKUP($F1177,Tb_KostenTypen[],MATCH(Lijsten!$P$1,Tb_KostenTypen[#Headers],0),0),VLOOKUP($G1177,Lijsten!L:P,MATCH(Lijsten!$P$1,Kop_Tarief_Vast,0),0))),""),"")</f>
        <v/>
      </c>
      <c r="Q1177" s="359"/>
      <c r="R1177" s="359"/>
      <c r="S1177" s="321"/>
      <c r="T1177" s="321"/>
      <c r="U1177" s="373" t="str">
        <f t="shared" si="72"/>
        <v/>
      </c>
      <c r="V1177" s="314" t="str">
        <f t="shared" si="73"/>
        <v/>
      </c>
      <c r="W1177" s="314" t="str" cm="1">
        <f t="array" aca="1" ref="W1177" ca="1">IFERROR(IF(AE1177&lt;&gt;"ja",_xlfn.IFNA(_xlfn.IFS(AND(O1177&lt;&gt;"",F1177&lt;&gt;"",RIGHT($N1177,6)="tarief",F1177="Vergoeding"),SUM(O1177)*FLOOR(SUM(Q1177),0.0001),AND(O1177&lt;&gt;"",F1177&lt;&gt;"",RIGHT($N1177,6)="tarief"),SUM(O1177)*FLOOR(SUM(Q1177),0.01),S1177&gt;0,IF(F1177&lt;&gt;"",FLOOR(SUM(S1177),0.01),"")),""),""),"")</f>
        <v/>
      </c>
      <c r="X1177" s="314" t="str" cm="1">
        <f t="array" aca="1" ref="X1177" ca="1">IFERROR(IF(AE1177&lt;&gt;"ja",_xlfn.IFNA(_xlfn.IFS(AND(P1177&lt;&gt;"",R1177&lt;&gt;"",RIGHT($N1177,6)="tarief",F1177="Vergoeding"),SUM(P1177)*FLOOR(SUM(R1177),0.0001),AND(P1177&lt;&gt;"",R1177&lt;&gt;"",RIGHT($N1177,6)="tarief"),P1177*FLOOR(R1177,0.01),T1177&gt;0,FLOOR(SUM(T1177),0.01)),""),""),"")</f>
        <v/>
      </c>
      <c r="Y1177" s="314" t="str">
        <f t="shared" ca="1" si="74"/>
        <v/>
      </c>
      <c r="Z1177" s="314" t="str" cm="1">
        <f t="array" aca="1" ref="Z1177" ca="1">IFERROR(_xlfn.IFS(OR(F1177="",LEFT(Methode_Keuze,4)="Geen",Methode_Keuze=""),"",AND(W1177&lt;&gt;"",F1177&lt;&gt;"Arbeidskosten"),W1177*VLOOKUP(F1177,Tb_ProjectKosten[],MATCH(Tb_ProjectKosten[[#Headers],[Forfait_Percentage]],Tb_ProjectKosten[#Headers],0),0),AND(F1177="Arbeidskosten",G1177&lt;&gt;""),IFERROR(W1177*VLOOKUP(G1177,Tb_KostenTypen[],3,0)*VLOOKUP(F1177,Tb_ProjectKosten[],MATCH(Tb_ProjectKosten[[#Headers],[Forfait_Percentage]],Tb_ProjectKosten[#Headers],0),0),""),W1177 &lt;=0,0),"")</f>
        <v/>
      </c>
      <c r="AA1177" s="314" t="str" cm="1">
        <f t="array" aca="1" ref="AA1177" ca="1">IFERROR(_xlfn.IFS(OR(F1177="",LEFT(Methode_Keuze,4)="Geen",Methode_Keuze=""),"",AND(X1177&lt;&gt;"",F1177&lt;&gt;"Arbeidskosten"),X1177*VLOOKUP(F1177,Tb_ProjectKosten[],MATCH(Tb_ProjectKosten[[#Headers],[Forfait_Percentage]],Tb_ProjectKosten[#Headers],0),0),AND(F1177="Arbeidskosten",G1177&lt;&gt;""),IFERROR(X1177*VLOOKUP(G1177,Tb_KostenTypen[],3,0)*VLOOKUP(F1177,Tb_ProjectKosten[],MATCH(Tb_ProjectKosten[[#Headers],[Forfait_Percentage]],Tb_ProjectKosten[#Headers],0),0),""),X1177 &lt;=0,0),"")</f>
        <v/>
      </c>
      <c r="AB1177" s="314" t="str">
        <f t="shared" ca="1" si="75"/>
        <v/>
      </c>
      <c r="AC1177" s="322"/>
      <c r="AD1177" s="315"/>
      <c r="AE1177" s="32" t="str" cm="1">
        <f t="array" ref="AE1177">IFERROR(IF(INDEX(SubsidieTabel!$AD$1:$AG$12,MATCH($F1177,SubsidieTabel!$AD$1:$AD$12,0),IFERROR(MATCH(Methode_Keuze,SubsidieTabel!$AD$1:$AG$1,0),2))&lt;&gt;1=TRUE,"ja",""),"")</f>
        <v/>
      </c>
    </row>
    <row r="1178" spans="1:31" x14ac:dyDescent="0.25">
      <c r="A1178" s="316"/>
      <c r="B1178" s="317" t="str">
        <f>IF(A1178&lt;&gt;"",_xlfn.MAXIFS($B$1:B1177,$A$1:A1177,A1178)+1,"")</f>
        <v/>
      </c>
      <c r="C1178" s="296"/>
      <c r="D1178" s="296"/>
      <c r="E1178" s="296"/>
      <c r="F1178" s="296"/>
      <c r="G1178" s="326"/>
      <c r="H1178" s="324"/>
      <c r="I1178" s="325"/>
      <c r="J1178" s="325"/>
      <c r="K1178" s="318"/>
      <c r="L1178" s="318"/>
      <c r="M1178" s="319" t="str">
        <f>IFERROR(VLOOKUP(H1178,Lijsten!$H$1:$I$100,2,0),"")</f>
        <v/>
      </c>
      <c r="N1178" s="319" t="str">
        <f ca="1">IFERROR(IF(VLOOKUP(F1178,Kostentypen!$A$3:$E$21,3,0)=0,"",IF(OR(F1178="Arbeidskosten",F1178="Vergoeding"),VLOOKUP(G1178,Tb_KostenTypen[],2,0),VLOOKUP(F1178,Kostentypen!$A$3:$E$20,3,0))),"")</f>
        <v/>
      </c>
      <c r="O1178" s="320" t="str" cm="1">
        <f t="array" ref="O1178">_xlfn.IFNA(IF(INDEX(Tb_KostenOptiesDB[],MATCH($F1178,Tb_KostenOptiesDB[KostenOptie],0),IFERROR(MATCH(Methode_Keuze,Tb_KostenOptiesDB[#Headers],0),2))=1,_xlfn.SWITCH($N1178,"Uurtarief",IF(OR(AND(RIGHT($F1178,3)="IKS",VLOOKUP($M1178,DB_Loonkosten,2,0)="Ja"),AND(RIGHT($F1178,3)&lt;&gt;"IKS",VLOOKUP($M1178,DB_Loonkosten,2,0)="Nee")),IFERROR(VLOOKUP($M1178,DB_Loonkosten,24,0),""),0),"Vast tarief",IF(LEFT(F1178,8)="Bijdrage",VLOOKUP($F1178,Tb_KostenTypen[],MATCH(Lijsten!$P$1,Tb_KostenTypen[#Headers],0),0),VLOOKUP($G1178,Lijsten!L:P,MATCH(Lijsten!$P$1,Kop_Tarief_Vast,0),0))),""),"")</f>
        <v/>
      </c>
      <c r="P1178" s="320" t="str" cm="1">
        <f t="array" ref="P1178">_xlfn.IFNA(IF(INDEX(Tb_KostenOptiesDB[],MATCH($F1178,Tb_KostenOptiesDB[KostenOptie],0),IFERROR(MATCH(Methode_Keuze,Tb_KostenOptiesDB[#Headers],0),2))=1,_xlfn.SWITCH($N1178,"Uurtarief",IF(OR(AND(RIGHT($F1178,3)="IKS",VLOOKUP($M1178,DB_Loonkosten,2,0)="Ja"),AND(RIGHT($F1178,3)&lt;&gt;"IKS",VLOOKUP($M1178,DB_Loonkosten,2,0)="Nee")),IFERROR(VLOOKUP($M1178,DB_Loonkosten,25,0),""),0),"Vast tarief",IF(LEFT(F1178,8)="Bijdrage",VLOOKUP($F1178,Tb_KostenTypen[],MATCH(Lijsten!$P$1,Tb_KostenTypen[#Headers],0),0),VLOOKUP($G1178,Lijsten!L:P,MATCH(Lijsten!$P$1,Kop_Tarief_Vast,0),0))),""),"")</f>
        <v/>
      </c>
      <c r="Q1178" s="359"/>
      <c r="R1178" s="359"/>
      <c r="S1178" s="321"/>
      <c r="T1178" s="321"/>
      <c r="U1178" s="373" t="str">
        <f t="shared" si="72"/>
        <v/>
      </c>
      <c r="V1178" s="314" t="str">
        <f t="shared" si="73"/>
        <v/>
      </c>
      <c r="W1178" s="314" t="str" cm="1">
        <f t="array" aca="1" ref="W1178" ca="1">IFERROR(IF(AE1178&lt;&gt;"ja",_xlfn.IFNA(_xlfn.IFS(AND(O1178&lt;&gt;"",F1178&lt;&gt;"",RIGHT($N1178,6)="tarief",F1178="Vergoeding"),SUM(O1178)*FLOOR(SUM(Q1178),0.0001),AND(O1178&lt;&gt;"",F1178&lt;&gt;"",RIGHT($N1178,6)="tarief"),SUM(O1178)*FLOOR(SUM(Q1178),0.01),S1178&gt;0,IF(F1178&lt;&gt;"",FLOOR(SUM(S1178),0.01),"")),""),""),"")</f>
        <v/>
      </c>
      <c r="X1178" s="314" t="str" cm="1">
        <f t="array" aca="1" ref="X1178" ca="1">IFERROR(IF(AE1178&lt;&gt;"ja",_xlfn.IFNA(_xlfn.IFS(AND(P1178&lt;&gt;"",R1178&lt;&gt;"",RIGHT($N1178,6)="tarief",F1178="Vergoeding"),SUM(P1178)*FLOOR(SUM(R1178),0.0001),AND(P1178&lt;&gt;"",R1178&lt;&gt;"",RIGHT($N1178,6)="tarief"),P1178*FLOOR(R1178,0.01),T1178&gt;0,FLOOR(SUM(T1178),0.01)),""),""),"")</f>
        <v/>
      </c>
      <c r="Y1178" s="314" t="str">
        <f t="shared" ca="1" si="74"/>
        <v/>
      </c>
      <c r="Z1178" s="314" t="str" cm="1">
        <f t="array" aca="1" ref="Z1178" ca="1">IFERROR(_xlfn.IFS(OR(F1178="",LEFT(Methode_Keuze,4)="Geen",Methode_Keuze=""),"",AND(W1178&lt;&gt;"",F1178&lt;&gt;"Arbeidskosten"),W1178*VLOOKUP(F1178,Tb_ProjectKosten[],MATCH(Tb_ProjectKosten[[#Headers],[Forfait_Percentage]],Tb_ProjectKosten[#Headers],0),0),AND(F1178="Arbeidskosten",G1178&lt;&gt;""),IFERROR(W1178*VLOOKUP(G1178,Tb_KostenTypen[],3,0)*VLOOKUP(F1178,Tb_ProjectKosten[],MATCH(Tb_ProjectKosten[[#Headers],[Forfait_Percentage]],Tb_ProjectKosten[#Headers],0),0),""),W1178 &lt;=0,0),"")</f>
        <v/>
      </c>
      <c r="AA1178" s="314" t="str" cm="1">
        <f t="array" aca="1" ref="AA1178" ca="1">IFERROR(_xlfn.IFS(OR(F1178="",LEFT(Methode_Keuze,4)="Geen",Methode_Keuze=""),"",AND(X1178&lt;&gt;"",F1178&lt;&gt;"Arbeidskosten"),X1178*VLOOKUP(F1178,Tb_ProjectKosten[],MATCH(Tb_ProjectKosten[[#Headers],[Forfait_Percentage]],Tb_ProjectKosten[#Headers],0),0),AND(F1178="Arbeidskosten",G1178&lt;&gt;""),IFERROR(X1178*VLOOKUP(G1178,Tb_KostenTypen[],3,0)*VLOOKUP(F1178,Tb_ProjectKosten[],MATCH(Tb_ProjectKosten[[#Headers],[Forfait_Percentage]],Tb_ProjectKosten[#Headers],0),0),""),X1178 &lt;=0,0),"")</f>
        <v/>
      </c>
      <c r="AB1178" s="314" t="str">
        <f t="shared" ca="1" si="75"/>
        <v/>
      </c>
      <c r="AC1178" s="322"/>
      <c r="AD1178" s="315"/>
      <c r="AE1178" s="32" t="str" cm="1">
        <f t="array" ref="AE1178">IFERROR(IF(INDEX(SubsidieTabel!$AD$1:$AG$12,MATCH($F1178,SubsidieTabel!$AD$1:$AD$12,0),IFERROR(MATCH(Methode_Keuze,SubsidieTabel!$AD$1:$AG$1,0),2))&lt;&gt;1=TRUE,"ja",""),"")</f>
        <v/>
      </c>
    </row>
    <row r="1179" spans="1:31" x14ac:dyDescent="0.25">
      <c r="A1179" s="316"/>
      <c r="B1179" s="317" t="str">
        <f>IF(A1179&lt;&gt;"",_xlfn.MAXIFS($B$1:B1178,$A$1:A1178,A1179)+1,"")</f>
        <v/>
      </c>
      <c r="C1179" s="296"/>
      <c r="D1179" s="296"/>
      <c r="E1179" s="296"/>
      <c r="F1179" s="296"/>
      <c r="G1179" s="326"/>
      <c r="H1179" s="324"/>
      <c r="I1179" s="325"/>
      <c r="J1179" s="325"/>
      <c r="K1179" s="318"/>
      <c r="L1179" s="318"/>
      <c r="M1179" s="319" t="str">
        <f>IFERROR(VLOOKUP(H1179,Lijsten!$H$1:$I$100,2,0),"")</f>
        <v/>
      </c>
      <c r="N1179" s="319" t="str">
        <f ca="1">IFERROR(IF(VLOOKUP(F1179,Kostentypen!$A$3:$E$21,3,0)=0,"",IF(OR(F1179="Arbeidskosten",F1179="Vergoeding"),VLOOKUP(G1179,Tb_KostenTypen[],2,0),VLOOKUP(F1179,Kostentypen!$A$3:$E$20,3,0))),"")</f>
        <v/>
      </c>
      <c r="O1179" s="320" t="str" cm="1">
        <f t="array" ref="O1179">_xlfn.IFNA(IF(INDEX(Tb_KostenOptiesDB[],MATCH($F1179,Tb_KostenOptiesDB[KostenOptie],0),IFERROR(MATCH(Methode_Keuze,Tb_KostenOptiesDB[#Headers],0),2))=1,_xlfn.SWITCH($N1179,"Uurtarief",IF(OR(AND(RIGHT($F1179,3)="IKS",VLOOKUP($M1179,DB_Loonkosten,2,0)="Ja"),AND(RIGHT($F1179,3)&lt;&gt;"IKS",VLOOKUP($M1179,DB_Loonkosten,2,0)="Nee")),IFERROR(VLOOKUP($M1179,DB_Loonkosten,24,0),""),0),"Vast tarief",IF(LEFT(F1179,8)="Bijdrage",VLOOKUP($F1179,Tb_KostenTypen[],MATCH(Lijsten!$P$1,Tb_KostenTypen[#Headers],0),0),VLOOKUP($G1179,Lijsten!L:P,MATCH(Lijsten!$P$1,Kop_Tarief_Vast,0),0))),""),"")</f>
        <v/>
      </c>
      <c r="P1179" s="320" t="str" cm="1">
        <f t="array" ref="P1179">_xlfn.IFNA(IF(INDEX(Tb_KostenOptiesDB[],MATCH($F1179,Tb_KostenOptiesDB[KostenOptie],0),IFERROR(MATCH(Methode_Keuze,Tb_KostenOptiesDB[#Headers],0),2))=1,_xlfn.SWITCH($N1179,"Uurtarief",IF(OR(AND(RIGHT($F1179,3)="IKS",VLOOKUP($M1179,DB_Loonkosten,2,0)="Ja"),AND(RIGHT($F1179,3)&lt;&gt;"IKS",VLOOKUP($M1179,DB_Loonkosten,2,0)="Nee")),IFERROR(VLOOKUP($M1179,DB_Loonkosten,25,0),""),0),"Vast tarief",IF(LEFT(F1179,8)="Bijdrage",VLOOKUP($F1179,Tb_KostenTypen[],MATCH(Lijsten!$P$1,Tb_KostenTypen[#Headers],0),0),VLOOKUP($G1179,Lijsten!L:P,MATCH(Lijsten!$P$1,Kop_Tarief_Vast,0),0))),""),"")</f>
        <v/>
      </c>
      <c r="Q1179" s="359"/>
      <c r="R1179" s="359"/>
      <c r="S1179" s="321"/>
      <c r="T1179" s="321"/>
      <c r="U1179" s="373" t="str">
        <f t="shared" si="72"/>
        <v/>
      </c>
      <c r="V1179" s="314" t="str">
        <f t="shared" si="73"/>
        <v/>
      </c>
      <c r="W1179" s="314" t="str" cm="1">
        <f t="array" aca="1" ref="W1179" ca="1">IFERROR(IF(AE1179&lt;&gt;"ja",_xlfn.IFNA(_xlfn.IFS(AND(O1179&lt;&gt;"",F1179&lt;&gt;"",RIGHT($N1179,6)="tarief",F1179="Vergoeding"),SUM(O1179)*FLOOR(SUM(Q1179),0.0001),AND(O1179&lt;&gt;"",F1179&lt;&gt;"",RIGHT($N1179,6)="tarief"),SUM(O1179)*FLOOR(SUM(Q1179),0.01),S1179&gt;0,IF(F1179&lt;&gt;"",FLOOR(SUM(S1179),0.01),"")),""),""),"")</f>
        <v/>
      </c>
      <c r="X1179" s="314" t="str" cm="1">
        <f t="array" aca="1" ref="X1179" ca="1">IFERROR(IF(AE1179&lt;&gt;"ja",_xlfn.IFNA(_xlfn.IFS(AND(P1179&lt;&gt;"",R1179&lt;&gt;"",RIGHT($N1179,6)="tarief",F1179="Vergoeding"),SUM(P1179)*FLOOR(SUM(R1179),0.0001),AND(P1179&lt;&gt;"",R1179&lt;&gt;"",RIGHT($N1179,6)="tarief"),P1179*FLOOR(R1179,0.01),T1179&gt;0,FLOOR(SUM(T1179),0.01)),""),""),"")</f>
        <v/>
      </c>
      <c r="Y1179" s="314" t="str">
        <f t="shared" ca="1" si="74"/>
        <v/>
      </c>
      <c r="Z1179" s="314" t="str" cm="1">
        <f t="array" aca="1" ref="Z1179" ca="1">IFERROR(_xlfn.IFS(OR(F1179="",LEFT(Methode_Keuze,4)="Geen",Methode_Keuze=""),"",AND(W1179&lt;&gt;"",F1179&lt;&gt;"Arbeidskosten"),W1179*VLOOKUP(F1179,Tb_ProjectKosten[],MATCH(Tb_ProjectKosten[[#Headers],[Forfait_Percentage]],Tb_ProjectKosten[#Headers],0),0),AND(F1179="Arbeidskosten",G1179&lt;&gt;""),IFERROR(W1179*VLOOKUP(G1179,Tb_KostenTypen[],3,0)*VLOOKUP(F1179,Tb_ProjectKosten[],MATCH(Tb_ProjectKosten[[#Headers],[Forfait_Percentage]],Tb_ProjectKosten[#Headers],0),0),""),W1179 &lt;=0,0),"")</f>
        <v/>
      </c>
      <c r="AA1179" s="314" t="str" cm="1">
        <f t="array" aca="1" ref="AA1179" ca="1">IFERROR(_xlfn.IFS(OR(F1179="",LEFT(Methode_Keuze,4)="Geen",Methode_Keuze=""),"",AND(X1179&lt;&gt;"",F1179&lt;&gt;"Arbeidskosten"),X1179*VLOOKUP(F1179,Tb_ProjectKosten[],MATCH(Tb_ProjectKosten[[#Headers],[Forfait_Percentage]],Tb_ProjectKosten[#Headers],0),0),AND(F1179="Arbeidskosten",G1179&lt;&gt;""),IFERROR(X1179*VLOOKUP(G1179,Tb_KostenTypen[],3,0)*VLOOKUP(F1179,Tb_ProjectKosten[],MATCH(Tb_ProjectKosten[[#Headers],[Forfait_Percentage]],Tb_ProjectKosten[#Headers],0),0),""),X1179 &lt;=0,0),"")</f>
        <v/>
      </c>
      <c r="AB1179" s="314" t="str">
        <f t="shared" ca="1" si="75"/>
        <v/>
      </c>
      <c r="AC1179" s="322"/>
      <c r="AD1179" s="315"/>
      <c r="AE1179" s="32" t="str" cm="1">
        <f t="array" ref="AE1179">IFERROR(IF(INDEX(SubsidieTabel!$AD$1:$AG$12,MATCH($F1179,SubsidieTabel!$AD$1:$AD$12,0),IFERROR(MATCH(Methode_Keuze,SubsidieTabel!$AD$1:$AG$1,0),2))&lt;&gt;1=TRUE,"ja",""),"")</f>
        <v/>
      </c>
    </row>
    <row r="1180" spans="1:31" x14ac:dyDescent="0.25">
      <c r="A1180" s="316"/>
      <c r="B1180" s="317" t="str">
        <f>IF(A1180&lt;&gt;"",_xlfn.MAXIFS($B$1:B1179,$A$1:A1179,A1180)+1,"")</f>
        <v/>
      </c>
      <c r="C1180" s="296"/>
      <c r="D1180" s="296"/>
      <c r="E1180" s="296"/>
      <c r="F1180" s="296"/>
      <c r="G1180" s="326"/>
      <c r="H1180" s="324"/>
      <c r="I1180" s="325"/>
      <c r="J1180" s="325"/>
      <c r="K1180" s="318"/>
      <c r="L1180" s="318"/>
      <c r="M1180" s="319" t="str">
        <f>IFERROR(VLOOKUP(H1180,Lijsten!$H$1:$I$100,2,0),"")</f>
        <v/>
      </c>
      <c r="N1180" s="319" t="str">
        <f ca="1">IFERROR(IF(VLOOKUP(F1180,Kostentypen!$A$3:$E$21,3,0)=0,"",IF(OR(F1180="Arbeidskosten",F1180="Vergoeding"),VLOOKUP(G1180,Tb_KostenTypen[],2,0),VLOOKUP(F1180,Kostentypen!$A$3:$E$20,3,0))),"")</f>
        <v/>
      </c>
      <c r="O1180" s="320" t="str" cm="1">
        <f t="array" ref="O1180">_xlfn.IFNA(IF(INDEX(Tb_KostenOptiesDB[],MATCH($F1180,Tb_KostenOptiesDB[KostenOptie],0),IFERROR(MATCH(Methode_Keuze,Tb_KostenOptiesDB[#Headers],0),2))=1,_xlfn.SWITCH($N1180,"Uurtarief",IF(OR(AND(RIGHT($F1180,3)="IKS",VLOOKUP($M1180,DB_Loonkosten,2,0)="Ja"),AND(RIGHT($F1180,3)&lt;&gt;"IKS",VLOOKUP($M1180,DB_Loonkosten,2,0)="Nee")),IFERROR(VLOOKUP($M1180,DB_Loonkosten,24,0),""),0),"Vast tarief",IF(LEFT(F1180,8)="Bijdrage",VLOOKUP($F1180,Tb_KostenTypen[],MATCH(Lijsten!$P$1,Tb_KostenTypen[#Headers],0),0),VLOOKUP($G1180,Lijsten!L:P,MATCH(Lijsten!$P$1,Kop_Tarief_Vast,0),0))),""),"")</f>
        <v/>
      </c>
      <c r="P1180" s="320" t="str" cm="1">
        <f t="array" ref="P1180">_xlfn.IFNA(IF(INDEX(Tb_KostenOptiesDB[],MATCH($F1180,Tb_KostenOptiesDB[KostenOptie],0),IFERROR(MATCH(Methode_Keuze,Tb_KostenOptiesDB[#Headers],0),2))=1,_xlfn.SWITCH($N1180,"Uurtarief",IF(OR(AND(RIGHT($F1180,3)="IKS",VLOOKUP($M1180,DB_Loonkosten,2,0)="Ja"),AND(RIGHT($F1180,3)&lt;&gt;"IKS",VLOOKUP($M1180,DB_Loonkosten,2,0)="Nee")),IFERROR(VLOOKUP($M1180,DB_Loonkosten,25,0),""),0),"Vast tarief",IF(LEFT(F1180,8)="Bijdrage",VLOOKUP($F1180,Tb_KostenTypen[],MATCH(Lijsten!$P$1,Tb_KostenTypen[#Headers],0),0),VLOOKUP($G1180,Lijsten!L:P,MATCH(Lijsten!$P$1,Kop_Tarief_Vast,0),0))),""),"")</f>
        <v/>
      </c>
      <c r="Q1180" s="359"/>
      <c r="R1180" s="359"/>
      <c r="S1180" s="321"/>
      <c r="T1180" s="321"/>
      <c r="U1180" s="373" t="str">
        <f t="shared" si="72"/>
        <v/>
      </c>
      <c r="V1180" s="314" t="str">
        <f t="shared" si="73"/>
        <v/>
      </c>
      <c r="W1180" s="314" t="str" cm="1">
        <f t="array" aca="1" ref="W1180" ca="1">IFERROR(IF(AE1180&lt;&gt;"ja",_xlfn.IFNA(_xlfn.IFS(AND(O1180&lt;&gt;"",F1180&lt;&gt;"",RIGHT($N1180,6)="tarief",F1180="Vergoeding"),SUM(O1180)*FLOOR(SUM(Q1180),0.0001),AND(O1180&lt;&gt;"",F1180&lt;&gt;"",RIGHT($N1180,6)="tarief"),SUM(O1180)*FLOOR(SUM(Q1180),0.01),S1180&gt;0,IF(F1180&lt;&gt;"",FLOOR(SUM(S1180),0.01),"")),""),""),"")</f>
        <v/>
      </c>
      <c r="X1180" s="314" t="str" cm="1">
        <f t="array" aca="1" ref="X1180" ca="1">IFERROR(IF(AE1180&lt;&gt;"ja",_xlfn.IFNA(_xlfn.IFS(AND(P1180&lt;&gt;"",R1180&lt;&gt;"",RIGHT($N1180,6)="tarief",F1180="Vergoeding"),SUM(P1180)*FLOOR(SUM(R1180),0.0001),AND(P1180&lt;&gt;"",R1180&lt;&gt;"",RIGHT($N1180,6)="tarief"),P1180*FLOOR(R1180,0.01),T1180&gt;0,FLOOR(SUM(T1180),0.01)),""),""),"")</f>
        <v/>
      </c>
      <c r="Y1180" s="314" t="str">
        <f t="shared" ca="1" si="74"/>
        <v/>
      </c>
      <c r="Z1180" s="314" t="str" cm="1">
        <f t="array" aca="1" ref="Z1180" ca="1">IFERROR(_xlfn.IFS(OR(F1180="",LEFT(Methode_Keuze,4)="Geen",Methode_Keuze=""),"",AND(W1180&lt;&gt;"",F1180&lt;&gt;"Arbeidskosten"),W1180*VLOOKUP(F1180,Tb_ProjectKosten[],MATCH(Tb_ProjectKosten[[#Headers],[Forfait_Percentage]],Tb_ProjectKosten[#Headers],0),0),AND(F1180="Arbeidskosten",G1180&lt;&gt;""),IFERROR(W1180*VLOOKUP(G1180,Tb_KostenTypen[],3,0)*VLOOKUP(F1180,Tb_ProjectKosten[],MATCH(Tb_ProjectKosten[[#Headers],[Forfait_Percentage]],Tb_ProjectKosten[#Headers],0),0),""),W1180 &lt;=0,0),"")</f>
        <v/>
      </c>
      <c r="AA1180" s="314" t="str" cm="1">
        <f t="array" aca="1" ref="AA1180" ca="1">IFERROR(_xlfn.IFS(OR(F1180="",LEFT(Methode_Keuze,4)="Geen",Methode_Keuze=""),"",AND(X1180&lt;&gt;"",F1180&lt;&gt;"Arbeidskosten"),X1180*VLOOKUP(F1180,Tb_ProjectKosten[],MATCH(Tb_ProjectKosten[[#Headers],[Forfait_Percentage]],Tb_ProjectKosten[#Headers],0),0),AND(F1180="Arbeidskosten",G1180&lt;&gt;""),IFERROR(X1180*VLOOKUP(G1180,Tb_KostenTypen[],3,0)*VLOOKUP(F1180,Tb_ProjectKosten[],MATCH(Tb_ProjectKosten[[#Headers],[Forfait_Percentage]],Tb_ProjectKosten[#Headers],0),0),""),X1180 &lt;=0,0),"")</f>
        <v/>
      </c>
      <c r="AB1180" s="314" t="str">
        <f t="shared" ca="1" si="75"/>
        <v/>
      </c>
      <c r="AC1180" s="322"/>
      <c r="AD1180" s="315"/>
      <c r="AE1180" s="32" t="str" cm="1">
        <f t="array" ref="AE1180">IFERROR(IF(INDEX(SubsidieTabel!$AD$1:$AG$12,MATCH($F1180,SubsidieTabel!$AD$1:$AD$12,0),IFERROR(MATCH(Methode_Keuze,SubsidieTabel!$AD$1:$AG$1,0),2))&lt;&gt;1=TRUE,"ja",""),"")</f>
        <v/>
      </c>
    </row>
    <row r="1181" spans="1:31" x14ac:dyDescent="0.25">
      <c r="A1181" s="316"/>
      <c r="B1181" s="317" t="str">
        <f>IF(A1181&lt;&gt;"",_xlfn.MAXIFS($B$1:B1180,$A$1:A1180,A1181)+1,"")</f>
        <v/>
      </c>
      <c r="C1181" s="296"/>
      <c r="D1181" s="296"/>
      <c r="E1181" s="296"/>
      <c r="F1181" s="296"/>
      <c r="G1181" s="326"/>
      <c r="H1181" s="324"/>
      <c r="I1181" s="325"/>
      <c r="J1181" s="325"/>
      <c r="K1181" s="318"/>
      <c r="L1181" s="318"/>
      <c r="M1181" s="319" t="str">
        <f>IFERROR(VLOOKUP(H1181,Lijsten!$H$1:$I$100,2,0),"")</f>
        <v/>
      </c>
      <c r="N1181" s="319" t="str">
        <f ca="1">IFERROR(IF(VLOOKUP(F1181,Kostentypen!$A$3:$E$21,3,0)=0,"",IF(OR(F1181="Arbeidskosten",F1181="Vergoeding"),VLOOKUP(G1181,Tb_KostenTypen[],2,0),VLOOKUP(F1181,Kostentypen!$A$3:$E$20,3,0))),"")</f>
        <v/>
      </c>
      <c r="O1181" s="320" t="str" cm="1">
        <f t="array" ref="O1181">_xlfn.IFNA(IF(INDEX(Tb_KostenOptiesDB[],MATCH($F1181,Tb_KostenOptiesDB[KostenOptie],0),IFERROR(MATCH(Methode_Keuze,Tb_KostenOptiesDB[#Headers],0),2))=1,_xlfn.SWITCH($N1181,"Uurtarief",IF(OR(AND(RIGHT($F1181,3)="IKS",VLOOKUP($M1181,DB_Loonkosten,2,0)="Ja"),AND(RIGHT($F1181,3)&lt;&gt;"IKS",VLOOKUP($M1181,DB_Loonkosten,2,0)="Nee")),IFERROR(VLOOKUP($M1181,DB_Loonkosten,24,0),""),0),"Vast tarief",IF(LEFT(F1181,8)="Bijdrage",VLOOKUP($F1181,Tb_KostenTypen[],MATCH(Lijsten!$P$1,Tb_KostenTypen[#Headers],0),0),VLOOKUP($G1181,Lijsten!L:P,MATCH(Lijsten!$P$1,Kop_Tarief_Vast,0),0))),""),"")</f>
        <v/>
      </c>
      <c r="P1181" s="320" t="str" cm="1">
        <f t="array" ref="P1181">_xlfn.IFNA(IF(INDEX(Tb_KostenOptiesDB[],MATCH($F1181,Tb_KostenOptiesDB[KostenOptie],0),IFERROR(MATCH(Methode_Keuze,Tb_KostenOptiesDB[#Headers],0),2))=1,_xlfn.SWITCH($N1181,"Uurtarief",IF(OR(AND(RIGHT($F1181,3)="IKS",VLOOKUP($M1181,DB_Loonkosten,2,0)="Ja"),AND(RIGHT($F1181,3)&lt;&gt;"IKS",VLOOKUP($M1181,DB_Loonkosten,2,0)="Nee")),IFERROR(VLOOKUP($M1181,DB_Loonkosten,25,0),""),0),"Vast tarief",IF(LEFT(F1181,8)="Bijdrage",VLOOKUP($F1181,Tb_KostenTypen[],MATCH(Lijsten!$P$1,Tb_KostenTypen[#Headers],0),0),VLOOKUP($G1181,Lijsten!L:P,MATCH(Lijsten!$P$1,Kop_Tarief_Vast,0),0))),""),"")</f>
        <v/>
      </c>
      <c r="Q1181" s="359"/>
      <c r="R1181" s="359"/>
      <c r="S1181" s="321"/>
      <c r="T1181" s="321"/>
      <c r="U1181" s="373" t="str">
        <f t="shared" si="72"/>
        <v/>
      </c>
      <c r="V1181" s="314" t="str">
        <f t="shared" si="73"/>
        <v/>
      </c>
      <c r="W1181" s="314" t="str" cm="1">
        <f t="array" aca="1" ref="W1181" ca="1">IFERROR(IF(AE1181&lt;&gt;"ja",_xlfn.IFNA(_xlfn.IFS(AND(O1181&lt;&gt;"",F1181&lt;&gt;"",RIGHT($N1181,6)="tarief",F1181="Vergoeding"),SUM(O1181)*FLOOR(SUM(Q1181),0.0001),AND(O1181&lt;&gt;"",F1181&lt;&gt;"",RIGHT($N1181,6)="tarief"),SUM(O1181)*FLOOR(SUM(Q1181),0.01),S1181&gt;0,IF(F1181&lt;&gt;"",FLOOR(SUM(S1181),0.01),"")),""),""),"")</f>
        <v/>
      </c>
      <c r="X1181" s="314" t="str" cm="1">
        <f t="array" aca="1" ref="X1181" ca="1">IFERROR(IF(AE1181&lt;&gt;"ja",_xlfn.IFNA(_xlfn.IFS(AND(P1181&lt;&gt;"",R1181&lt;&gt;"",RIGHT($N1181,6)="tarief",F1181="Vergoeding"),SUM(P1181)*FLOOR(SUM(R1181),0.0001),AND(P1181&lt;&gt;"",R1181&lt;&gt;"",RIGHT($N1181,6)="tarief"),P1181*FLOOR(R1181,0.01),T1181&gt;0,FLOOR(SUM(T1181),0.01)),""),""),"")</f>
        <v/>
      </c>
      <c r="Y1181" s="314" t="str">
        <f t="shared" ca="1" si="74"/>
        <v/>
      </c>
      <c r="Z1181" s="314" t="str" cm="1">
        <f t="array" aca="1" ref="Z1181" ca="1">IFERROR(_xlfn.IFS(OR(F1181="",LEFT(Methode_Keuze,4)="Geen",Methode_Keuze=""),"",AND(W1181&lt;&gt;"",F1181&lt;&gt;"Arbeidskosten"),W1181*VLOOKUP(F1181,Tb_ProjectKosten[],MATCH(Tb_ProjectKosten[[#Headers],[Forfait_Percentage]],Tb_ProjectKosten[#Headers],0),0),AND(F1181="Arbeidskosten",G1181&lt;&gt;""),IFERROR(W1181*VLOOKUP(G1181,Tb_KostenTypen[],3,0)*VLOOKUP(F1181,Tb_ProjectKosten[],MATCH(Tb_ProjectKosten[[#Headers],[Forfait_Percentage]],Tb_ProjectKosten[#Headers],0),0),""),W1181 &lt;=0,0),"")</f>
        <v/>
      </c>
      <c r="AA1181" s="314" t="str" cm="1">
        <f t="array" aca="1" ref="AA1181" ca="1">IFERROR(_xlfn.IFS(OR(F1181="",LEFT(Methode_Keuze,4)="Geen",Methode_Keuze=""),"",AND(X1181&lt;&gt;"",F1181&lt;&gt;"Arbeidskosten"),X1181*VLOOKUP(F1181,Tb_ProjectKosten[],MATCH(Tb_ProjectKosten[[#Headers],[Forfait_Percentage]],Tb_ProjectKosten[#Headers],0),0),AND(F1181="Arbeidskosten",G1181&lt;&gt;""),IFERROR(X1181*VLOOKUP(G1181,Tb_KostenTypen[],3,0)*VLOOKUP(F1181,Tb_ProjectKosten[],MATCH(Tb_ProjectKosten[[#Headers],[Forfait_Percentage]],Tb_ProjectKosten[#Headers],0),0),""),X1181 &lt;=0,0),"")</f>
        <v/>
      </c>
      <c r="AB1181" s="314" t="str">
        <f t="shared" ca="1" si="75"/>
        <v/>
      </c>
      <c r="AC1181" s="322"/>
      <c r="AD1181" s="315"/>
      <c r="AE1181" s="32" t="str" cm="1">
        <f t="array" ref="AE1181">IFERROR(IF(INDEX(SubsidieTabel!$AD$1:$AG$12,MATCH($F1181,SubsidieTabel!$AD$1:$AD$12,0),IFERROR(MATCH(Methode_Keuze,SubsidieTabel!$AD$1:$AG$1,0),2))&lt;&gt;1=TRUE,"ja",""),"")</f>
        <v/>
      </c>
    </row>
    <row r="1182" spans="1:31" x14ac:dyDescent="0.25">
      <c r="A1182" s="316"/>
      <c r="B1182" s="317" t="str">
        <f>IF(A1182&lt;&gt;"",_xlfn.MAXIFS($B$1:B1181,$A$1:A1181,A1182)+1,"")</f>
        <v/>
      </c>
      <c r="C1182" s="296"/>
      <c r="D1182" s="296"/>
      <c r="E1182" s="296"/>
      <c r="F1182" s="296"/>
      <c r="G1182" s="326"/>
      <c r="H1182" s="324"/>
      <c r="I1182" s="325"/>
      <c r="J1182" s="325"/>
      <c r="K1182" s="318"/>
      <c r="L1182" s="318"/>
      <c r="M1182" s="319" t="str">
        <f>IFERROR(VLOOKUP(H1182,Lijsten!$H$1:$I$100,2,0),"")</f>
        <v/>
      </c>
      <c r="N1182" s="319" t="str">
        <f ca="1">IFERROR(IF(VLOOKUP(F1182,Kostentypen!$A$3:$E$21,3,0)=0,"",IF(OR(F1182="Arbeidskosten",F1182="Vergoeding"),VLOOKUP(G1182,Tb_KostenTypen[],2,0),VLOOKUP(F1182,Kostentypen!$A$3:$E$20,3,0))),"")</f>
        <v/>
      </c>
      <c r="O1182" s="320" t="str" cm="1">
        <f t="array" ref="O1182">_xlfn.IFNA(IF(INDEX(Tb_KostenOptiesDB[],MATCH($F1182,Tb_KostenOptiesDB[KostenOptie],0),IFERROR(MATCH(Methode_Keuze,Tb_KostenOptiesDB[#Headers],0),2))=1,_xlfn.SWITCH($N1182,"Uurtarief",IF(OR(AND(RIGHT($F1182,3)="IKS",VLOOKUP($M1182,DB_Loonkosten,2,0)="Ja"),AND(RIGHT($F1182,3)&lt;&gt;"IKS",VLOOKUP($M1182,DB_Loonkosten,2,0)="Nee")),IFERROR(VLOOKUP($M1182,DB_Loonkosten,24,0),""),0),"Vast tarief",IF(LEFT(F1182,8)="Bijdrage",VLOOKUP($F1182,Tb_KostenTypen[],MATCH(Lijsten!$P$1,Tb_KostenTypen[#Headers],0),0),VLOOKUP($G1182,Lijsten!L:P,MATCH(Lijsten!$P$1,Kop_Tarief_Vast,0),0))),""),"")</f>
        <v/>
      </c>
      <c r="P1182" s="320" t="str" cm="1">
        <f t="array" ref="P1182">_xlfn.IFNA(IF(INDEX(Tb_KostenOptiesDB[],MATCH($F1182,Tb_KostenOptiesDB[KostenOptie],0),IFERROR(MATCH(Methode_Keuze,Tb_KostenOptiesDB[#Headers],0),2))=1,_xlfn.SWITCH($N1182,"Uurtarief",IF(OR(AND(RIGHT($F1182,3)="IKS",VLOOKUP($M1182,DB_Loonkosten,2,0)="Ja"),AND(RIGHT($F1182,3)&lt;&gt;"IKS",VLOOKUP($M1182,DB_Loonkosten,2,0)="Nee")),IFERROR(VLOOKUP($M1182,DB_Loonkosten,25,0),""),0),"Vast tarief",IF(LEFT(F1182,8)="Bijdrage",VLOOKUP($F1182,Tb_KostenTypen[],MATCH(Lijsten!$P$1,Tb_KostenTypen[#Headers],0),0),VLOOKUP($G1182,Lijsten!L:P,MATCH(Lijsten!$P$1,Kop_Tarief_Vast,0),0))),""),"")</f>
        <v/>
      </c>
      <c r="Q1182" s="359"/>
      <c r="R1182" s="359"/>
      <c r="S1182" s="321"/>
      <c r="T1182" s="321"/>
      <c r="U1182" s="373" t="str">
        <f t="shared" si="72"/>
        <v/>
      </c>
      <c r="V1182" s="314" t="str">
        <f t="shared" si="73"/>
        <v/>
      </c>
      <c r="W1182" s="314" t="str" cm="1">
        <f t="array" aca="1" ref="W1182" ca="1">IFERROR(IF(AE1182&lt;&gt;"ja",_xlfn.IFNA(_xlfn.IFS(AND(O1182&lt;&gt;"",F1182&lt;&gt;"",RIGHT($N1182,6)="tarief",F1182="Vergoeding"),SUM(O1182)*FLOOR(SUM(Q1182),0.0001),AND(O1182&lt;&gt;"",F1182&lt;&gt;"",RIGHT($N1182,6)="tarief"),SUM(O1182)*FLOOR(SUM(Q1182),0.01),S1182&gt;0,IF(F1182&lt;&gt;"",FLOOR(SUM(S1182),0.01),"")),""),""),"")</f>
        <v/>
      </c>
      <c r="X1182" s="314" t="str" cm="1">
        <f t="array" aca="1" ref="X1182" ca="1">IFERROR(IF(AE1182&lt;&gt;"ja",_xlfn.IFNA(_xlfn.IFS(AND(P1182&lt;&gt;"",R1182&lt;&gt;"",RIGHT($N1182,6)="tarief",F1182="Vergoeding"),SUM(P1182)*FLOOR(SUM(R1182),0.0001),AND(P1182&lt;&gt;"",R1182&lt;&gt;"",RIGHT($N1182,6)="tarief"),P1182*FLOOR(R1182,0.01),T1182&gt;0,FLOOR(SUM(T1182),0.01)),""),""),"")</f>
        <v/>
      </c>
      <c r="Y1182" s="314" t="str">
        <f t="shared" ca="1" si="74"/>
        <v/>
      </c>
      <c r="Z1182" s="314" t="str" cm="1">
        <f t="array" aca="1" ref="Z1182" ca="1">IFERROR(_xlfn.IFS(OR(F1182="",LEFT(Methode_Keuze,4)="Geen",Methode_Keuze=""),"",AND(W1182&lt;&gt;"",F1182&lt;&gt;"Arbeidskosten"),W1182*VLOOKUP(F1182,Tb_ProjectKosten[],MATCH(Tb_ProjectKosten[[#Headers],[Forfait_Percentage]],Tb_ProjectKosten[#Headers],0),0),AND(F1182="Arbeidskosten",G1182&lt;&gt;""),IFERROR(W1182*VLOOKUP(G1182,Tb_KostenTypen[],3,0)*VLOOKUP(F1182,Tb_ProjectKosten[],MATCH(Tb_ProjectKosten[[#Headers],[Forfait_Percentage]],Tb_ProjectKosten[#Headers],0),0),""),W1182 &lt;=0,0),"")</f>
        <v/>
      </c>
      <c r="AA1182" s="314" t="str" cm="1">
        <f t="array" aca="1" ref="AA1182" ca="1">IFERROR(_xlfn.IFS(OR(F1182="",LEFT(Methode_Keuze,4)="Geen",Methode_Keuze=""),"",AND(X1182&lt;&gt;"",F1182&lt;&gt;"Arbeidskosten"),X1182*VLOOKUP(F1182,Tb_ProjectKosten[],MATCH(Tb_ProjectKosten[[#Headers],[Forfait_Percentage]],Tb_ProjectKosten[#Headers],0),0),AND(F1182="Arbeidskosten",G1182&lt;&gt;""),IFERROR(X1182*VLOOKUP(G1182,Tb_KostenTypen[],3,0)*VLOOKUP(F1182,Tb_ProjectKosten[],MATCH(Tb_ProjectKosten[[#Headers],[Forfait_Percentage]],Tb_ProjectKosten[#Headers],0),0),""),X1182 &lt;=0,0),"")</f>
        <v/>
      </c>
      <c r="AB1182" s="314" t="str">
        <f t="shared" ca="1" si="75"/>
        <v/>
      </c>
      <c r="AC1182" s="322"/>
      <c r="AD1182" s="315"/>
      <c r="AE1182" s="32" t="str" cm="1">
        <f t="array" ref="AE1182">IFERROR(IF(INDEX(SubsidieTabel!$AD$1:$AG$12,MATCH($F1182,SubsidieTabel!$AD$1:$AD$12,0),IFERROR(MATCH(Methode_Keuze,SubsidieTabel!$AD$1:$AG$1,0),2))&lt;&gt;1=TRUE,"ja",""),"")</f>
        <v/>
      </c>
    </row>
    <row r="1183" spans="1:31" x14ac:dyDescent="0.25">
      <c r="A1183" s="316"/>
      <c r="B1183" s="317" t="str">
        <f>IF(A1183&lt;&gt;"",_xlfn.MAXIFS($B$1:B1182,$A$1:A1182,A1183)+1,"")</f>
        <v/>
      </c>
      <c r="C1183" s="296"/>
      <c r="D1183" s="296"/>
      <c r="E1183" s="296"/>
      <c r="F1183" s="296"/>
      <c r="G1183" s="326"/>
      <c r="H1183" s="324"/>
      <c r="I1183" s="325"/>
      <c r="J1183" s="325"/>
      <c r="K1183" s="318"/>
      <c r="L1183" s="318"/>
      <c r="M1183" s="319" t="str">
        <f>IFERROR(VLOOKUP(H1183,Lijsten!$H$1:$I$100,2,0),"")</f>
        <v/>
      </c>
      <c r="N1183" s="319" t="str">
        <f ca="1">IFERROR(IF(VLOOKUP(F1183,Kostentypen!$A$3:$E$21,3,0)=0,"",IF(OR(F1183="Arbeidskosten",F1183="Vergoeding"),VLOOKUP(G1183,Tb_KostenTypen[],2,0),VLOOKUP(F1183,Kostentypen!$A$3:$E$20,3,0))),"")</f>
        <v/>
      </c>
      <c r="O1183" s="320" t="str" cm="1">
        <f t="array" ref="O1183">_xlfn.IFNA(IF(INDEX(Tb_KostenOptiesDB[],MATCH($F1183,Tb_KostenOptiesDB[KostenOptie],0),IFERROR(MATCH(Methode_Keuze,Tb_KostenOptiesDB[#Headers],0),2))=1,_xlfn.SWITCH($N1183,"Uurtarief",IF(OR(AND(RIGHT($F1183,3)="IKS",VLOOKUP($M1183,DB_Loonkosten,2,0)="Ja"),AND(RIGHT($F1183,3)&lt;&gt;"IKS",VLOOKUP($M1183,DB_Loonkosten,2,0)="Nee")),IFERROR(VLOOKUP($M1183,DB_Loonkosten,24,0),""),0),"Vast tarief",IF(LEFT(F1183,8)="Bijdrage",VLOOKUP($F1183,Tb_KostenTypen[],MATCH(Lijsten!$P$1,Tb_KostenTypen[#Headers],0),0),VLOOKUP($G1183,Lijsten!L:P,MATCH(Lijsten!$P$1,Kop_Tarief_Vast,0),0))),""),"")</f>
        <v/>
      </c>
      <c r="P1183" s="320" t="str" cm="1">
        <f t="array" ref="P1183">_xlfn.IFNA(IF(INDEX(Tb_KostenOptiesDB[],MATCH($F1183,Tb_KostenOptiesDB[KostenOptie],0),IFERROR(MATCH(Methode_Keuze,Tb_KostenOptiesDB[#Headers],0),2))=1,_xlfn.SWITCH($N1183,"Uurtarief",IF(OR(AND(RIGHT($F1183,3)="IKS",VLOOKUP($M1183,DB_Loonkosten,2,0)="Ja"),AND(RIGHT($F1183,3)&lt;&gt;"IKS",VLOOKUP($M1183,DB_Loonkosten,2,0)="Nee")),IFERROR(VLOOKUP($M1183,DB_Loonkosten,25,0),""),0),"Vast tarief",IF(LEFT(F1183,8)="Bijdrage",VLOOKUP($F1183,Tb_KostenTypen[],MATCH(Lijsten!$P$1,Tb_KostenTypen[#Headers],0),0),VLOOKUP($G1183,Lijsten!L:P,MATCH(Lijsten!$P$1,Kop_Tarief_Vast,0),0))),""),"")</f>
        <v/>
      </c>
      <c r="Q1183" s="359"/>
      <c r="R1183" s="359"/>
      <c r="S1183" s="321"/>
      <c r="T1183" s="321"/>
      <c r="U1183" s="373" t="str">
        <f t="shared" si="72"/>
        <v/>
      </c>
      <c r="V1183" s="314" t="str">
        <f t="shared" si="73"/>
        <v/>
      </c>
      <c r="W1183" s="314" t="str" cm="1">
        <f t="array" aca="1" ref="W1183" ca="1">IFERROR(IF(AE1183&lt;&gt;"ja",_xlfn.IFNA(_xlfn.IFS(AND(O1183&lt;&gt;"",F1183&lt;&gt;"",RIGHT($N1183,6)="tarief",F1183="Vergoeding"),SUM(O1183)*FLOOR(SUM(Q1183),0.0001),AND(O1183&lt;&gt;"",F1183&lt;&gt;"",RIGHT($N1183,6)="tarief"),SUM(O1183)*FLOOR(SUM(Q1183),0.01),S1183&gt;0,IF(F1183&lt;&gt;"",FLOOR(SUM(S1183),0.01),"")),""),""),"")</f>
        <v/>
      </c>
      <c r="X1183" s="314" t="str" cm="1">
        <f t="array" aca="1" ref="X1183" ca="1">IFERROR(IF(AE1183&lt;&gt;"ja",_xlfn.IFNA(_xlfn.IFS(AND(P1183&lt;&gt;"",R1183&lt;&gt;"",RIGHT($N1183,6)="tarief",F1183="Vergoeding"),SUM(P1183)*FLOOR(SUM(R1183),0.0001),AND(P1183&lt;&gt;"",R1183&lt;&gt;"",RIGHT($N1183,6)="tarief"),P1183*FLOOR(R1183,0.01),T1183&gt;0,FLOOR(SUM(T1183),0.01)),""),""),"")</f>
        <v/>
      </c>
      <c r="Y1183" s="314" t="str">
        <f t="shared" ca="1" si="74"/>
        <v/>
      </c>
      <c r="Z1183" s="314" t="str" cm="1">
        <f t="array" aca="1" ref="Z1183" ca="1">IFERROR(_xlfn.IFS(OR(F1183="",LEFT(Methode_Keuze,4)="Geen",Methode_Keuze=""),"",AND(W1183&lt;&gt;"",F1183&lt;&gt;"Arbeidskosten"),W1183*VLOOKUP(F1183,Tb_ProjectKosten[],MATCH(Tb_ProjectKosten[[#Headers],[Forfait_Percentage]],Tb_ProjectKosten[#Headers],0),0),AND(F1183="Arbeidskosten",G1183&lt;&gt;""),IFERROR(W1183*VLOOKUP(G1183,Tb_KostenTypen[],3,0)*VLOOKUP(F1183,Tb_ProjectKosten[],MATCH(Tb_ProjectKosten[[#Headers],[Forfait_Percentage]],Tb_ProjectKosten[#Headers],0),0),""),W1183 &lt;=0,0),"")</f>
        <v/>
      </c>
      <c r="AA1183" s="314" t="str" cm="1">
        <f t="array" aca="1" ref="AA1183" ca="1">IFERROR(_xlfn.IFS(OR(F1183="",LEFT(Methode_Keuze,4)="Geen",Methode_Keuze=""),"",AND(X1183&lt;&gt;"",F1183&lt;&gt;"Arbeidskosten"),X1183*VLOOKUP(F1183,Tb_ProjectKosten[],MATCH(Tb_ProjectKosten[[#Headers],[Forfait_Percentage]],Tb_ProjectKosten[#Headers],0),0),AND(F1183="Arbeidskosten",G1183&lt;&gt;""),IFERROR(X1183*VLOOKUP(G1183,Tb_KostenTypen[],3,0)*VLOOKUP(F1183,Tb_ProjectKosten[],MATCH(Tb_ProjectKosten[[#Headers],[Forfait_Percentage]],Tb_ProjectKosten[#Headers],0),0),""),X1183 &lt;=0,0),"")</f>
        <v/>
      </c>
      <c r="AB1183" s="314" t="str">
        <f t="shared" ca="1" si="75"/>
        <v/>
      </c>
      <c r="AC1183" s="322"/>
      <c r="AD1183" s="315"/>
      <c r="AE1183" s="32" t="str" cm="1">
        <f t="array" ref="AE1183">IFERROR(IF(INDEX(SubsidieTabel!$AD$1:$AG$12,MATCH($F1183,SubsidieTabel!$AD$1:$AD$12,0),IFERROR(MATCH(Methode_Keuze,SubsidieTabel!$AD$1:$AG$1,0),2))&lt;&gt;1=TRUE,"ja",""),"")</f>
        <v/>
      </c>
    </row>
    <row r="1184" spans="1:31" x14ac:dyDescent="0.25">
      <c r="A1184" s="316"/>
      <c r="B1184" s="317" t="str">
        <f>IF(A1184&lt;&gt;"",_xlfn.MAXIFS($B$1:B1183,$A$1:A1183,A1184)+1,"")</f>
        <v/>
      </c>
      <c r="C1184" s="296"/>
      <c r="D1184" s="296"/>
      <c r="E1184" s="296"/>
      <c r="F1184" s="296"/>
      <c r="G1184" s="326"/>
      <c r="H1184" s="324"/>
      <c r="I1184" s="325"/>
      <c r="J1184" s="325"/>
      <c r="K1184" s="318"/>
      <c r="L1184" s="318"/>
      <c r="M1184" s="319" t="str">
        <f>IFERROR(VLOOKUP(H1184,Lijsten!$H$1:$I$100,2,0),"")</f>
        <v/>
      </c>
      <c r="N1184" s="319" t="str">
        <f ca="1">IFERROR(IF(VLOOKUP(F1184,Kostentypen!$A$3:$E$21,3,0)=0,"",IF(OR(F1184="Arbeidskosten",F1184="Vergoeding"),VLOOKUP(G1184,Tb_KostenTypen[],2,0),VLOOKUP(F1184,Kostentypen!$A$3:$E$20,3,0))),"")</f>
        <v/>
      </c>
      <c r="O1184" s="320" t="str" cm="1">
        <f t="array" ref="O1184">_xlfn.IFNA(IF(INDEX(Tb_KostenOptiesDB[],MATCH($F1184,Tb_KostenOptiesDB[KostenOptie],0),IFERROR(MATCH(Methode_Keuze,Tb_KostenOptiesDB[#Headers],0),2))=1,_xlfn.SWITCH($N1184,"Uurtarief",IF(OR(AND(RIGHT($F1184,3)="IKS",VLOOKUP($M1184,DB_Loonkosten,2,0)="Ja"),AND(RIGHT($F1184,3)&lt;&gt;"IKS",VLOOKUP($M1184,DB_Loonkosten,2,0)="Nee")),IFERROR(VLOOKUP($M1184,DB_Loonkosten,24,0),""),0),"Vast tarief",IF(LEFT(F1184,8)="Bijdrage",VLOOKUP($F1184,Tb_KostenTypen[],MATCH(Lijsten!$P$1,Tb_KostenTypen[#Headers],0),0),VLOOKUP($G1184,Lijsten!L:P,MATCH(Lijsten!$P$1,Kop_Tarief_Vast,0),0))),""),"")</f>
        <v/>
      </c>
      <c r="P1184" s="320" t="str" cm="1">
        <f t="array" ref="P1184">_xlfn.IFNA(IF(INDEX(Tb_KostenOptiesDB[],MATCH($F1184,Tb_KostenOptiesDB[KostenOptie],0),IFERROR(MATCH(Methode_Keuze,Tb_KostenOptiesDB[#Headers],0),2))=1,_xlfn.SWITCH($N1184,"Uurtarief",IF(OR(AND(RIGHT($F1184,3)="IKS",VLOOKUP($M1184,DB_Loonkosten,2,0)="Ja"),AND(RIGHT($F1184,3)&lt;&gt;"IKS",VLOOKUP($M1184,DB_Loonkosten,2,0)="Nee")),IFERROR(VLOOKUP($M1184,DB_Loonkosten,25,0),""),0),"Vast tarief",IF(LEFT(F1184,8)="Bijdrage",VLOOKUP($F1184,Tb_KostenTypen[],MATCH(Lijsten!$P$1,Tb_KostenTypen[#Headers],0),0),VLOOKUP($G1184,Lijsten!L:P,MATCH(Lijsten!$P$1,Kop_Tarief_Vast,0),0))),""),"")</f>
        <v/>
      </c>
      <c r="Q1184" s="359"/>
      <c r="R1184" s="359"/>
      <c r="S1184" s="321"/>
      <c r="T1184" s="321"/>
      <c r="U1184" s="373" t="str">
        <f t="shared" si="72"/>
        <v/>
      </c>
      <c r="V1184" s="314" t="str">
        <f t="shared" si="73"/>
        <v/>
      </c>
      <c r="W1184" s="314" t="str" cm="1">
        <f t="array" aca="1" ref="W1184" ca="1">IFERROR(IF(AE1184&lt;&gt;"ja",_xlfn.IFNA(_xlfn.IFS(AND(O1184&lt;&gt;"",F1184&lt;&gt;"",RIGHT($N1184,6)="tarief",F1184="Vergoeding"),SUM(O1184)*FLOOR(SUM(Q1184),0.0001),AND(O1184&lt;&gt;"",F1184&lt;&gt;"",RIGHT($N1184,6)="tarief"),SUM(O1184)*FLOOR(SUM(Q1184),0.01),S1184&gt;0,IF(F1184&lt;&gt;"",FLOOR(SUM(S1184),0.01),"")),""),""),"")</f>
        <v/>
      </c>
      <c r="X1184" s="314" t="str" cm="1">
        <f t="array" aca="1" ref="X1184" ca="1">IFERROR(IF(AE1184&lt;&gt;"ja",_xlfn.IFNA(_xlfn.IFS(AND(P1184&lt;&gt;"",R1184&lt;&gt;"",RIGHT($N1184,6)="tarief",F1184="Vergoeding"),SUM(P1184)*FLOOR(SUM(R1184),0.0001),AND(P1184&lt;&gt;"",R1184&lt;&gt;"",RIGHT($N1184,6)="tarief"),P1184*FLOOR(R1184,0.01),T1184&gt;0,FLOOR(SUM(T1184),0.01)),""),""),"")</f>
        <v/>
      </c>
      <c r="Y1184" s="314" t="str">
        <f t="shared" ca="1" si="74"/>
        <v/>
      </c>
      <c r="Z1184" s="314" t="str" cm="1">
        <f t="array" aca="1" ref="Z1184" ca="1">IFERROR(_xlfn.IFS(OR(F1184="",LEFT(Methode_Keuze,4)="Geen",Methode_Keuze=""),"",AND(W1184&lt;&gt;"",F1184&lt;&gt;"Arbeidskosten"),W1184*VLOOKUP(F1184,Tb_ProjectKosten[],MATCH(Tb_ProjectKosten[[#Headers],[Forfait_Percentage]],Tb_ProjectKosten[#Headers],0),0),AND(F1184="Arbeidskosten",G1184&lt;&gt;""),IFERROR(W1184*VLOOKUP(G1184,Tb_KostenTypen[],3,0)*VLOOKUP(F1184,Tb_ProjectKosten[],MATCH(Tb_ProjectKosten[[#Headers],[Forfait_Percentage]],Tb_ProjectKosten[#Headers],0),0),""),W1184 &lt;=0,0),"")</f>
        <v/>
      </c>
      <c r="AA1184" s="314" t="str" cm="1">
        <f t="array" aca="1" ref="AA1184" ca="1">IFERROR(_xlfn.IFS(OR(F1184="",LEFT(Methode_Keuze,4)="Geen",Methode_Keuze=""),"",AND(X1184&lt;&gt;"",F1184&lt;&gt;"Arbeidskosten"),X1184*VLOOKUP(F1184,Tb_ProjectKosten[],MATCH(Tb_ProjectKosten[[#Headers],[Forfait_Percentage]],Tb_ProjectKosten[#Headers],0),0),AND(F1184="Arbeidskosten",G1184&lt;&gt;""),IFERROR(X1184*VLOOKUP(G1184,Tb_KostenTypen[],3,0)*VLOOKUP(F1184,Tb_ProjectKosten[],MATCH(Tb_ProjectKosten[[#Headers],[Forfait_Percentage]],Tb_ProjectKosten[#Headers],0),0),""),X1184 &lt;=0,0),"")</f>
        <v/>
      </c>
      <c r="AB1184" s="314" t="str">
        <f t="shared" ca="1" si="75"/>
        <v/>
      </c>
      <c r="AC1184" s="322"/>
      <c r="AD1184" s="315"/>
      <c r="AE1184" s="32" t="str" cm="1">
        <f t="array" ref="AE1184">IFERROR(IF(INDEX(SubsidieTabel!$AD$1:$AG$12,MATCH($F1184,SubsidieTabel!$AD$1:$AD$12,0),IFERROR(MATCH(Methode_Keuze,SubsidieTabel!$AD$1:$AG$1,0),2))&lt;&gt;1=TRUE,"ja",""),"")</f>
        <v/>
      </c>
    </row>
    <row r="1185" spans="1:31" x14ac:dyDescent="0.25">
      <c r="A1185" s="316"/>
      <c r="B1185" s="317" t="str">
        <f>IF(A1185&lt;&gt;"",_xlfn.MAXIFS($B$1:B1184,$A$1:A1184,A1185)+1,"")</f>
        <v/>
      </c>
      <c r="C1185" s="296"/>
      <c r="D1185" s="296"/>
      <c r="E1185" s="296"/>
      <c r="F1185" s="296"/>
      <c r="G1185" s="326"/>
      <c r="H1185" s="324"/>
      <c r="I1185" s="325"/>
      <c r="J1185" s="325"/>
      <c r="K1185" s="318"/>
      <c r="L1185" s="318"/>
      <c r="M1185" s="319" t="str">
        <f>IFERROR(VLOOKUP(H1185,Lijsten!$H$1:$I$100,2,0),"")</f>
        <v/>
      </c>
      <c r="N1185" s="319" t="str">
        <f ca="1">IFERROR(IF(VLOOKUP(F1185,Kostentypen!$A$3:$E$21,3,0)=0,"",IF(OR(F1185="Arbeidskosten",F1185="Vergoeding"),VLOOKUP(G1185,Tb_KostenTypen[],2,0),VLOOKUP(F1185,Kostentypen!$A$3:$E$20,3,0))),"")</f>
        <v/>
      </c>
      <c r="O1185" s="320" t="str" cm="1">
        <f t="array" ref="O1185">_xlfn.IFNA(IF(INDEX(Tb_KostenOptiesDB[],MATCH($F1185,Tb_KostenOptiesDB[KostenOptie],0),IFERROR(MATCH(Methode_Keuze,Tb_KostenOptiesDB[#Headers],0),2))=1,_xlfn.SWITCH($N1185,"Uurtarief",IF(OR(AND(RIGHT($F1185,3)="IKS",VLOOKUP($M1185,DB_Loonkosten,2,0)="Ja"),AND(RIGHT($F1185,3)&lt;&gt;"IKS",VLOOKUP($M1185,DB_Loonkosten,2,0)="Nee")),IFERROR(VLOOKUP($M1185,DB_Loonkosten,24,0),""),0),"Vast tarief",IF(LEFT(F1185,8)="Bijdrage",VLOOKUP($F1185,Tb_KostenTypen[],MATCH(Lijsten!$P$1,Tb_KostenTypen[#Headers],0),0),VLOOKUP($G1185,Lijsten!L:P,MATCH(Lijsten!$P$1,Kop_Tarief_Vast,0),0))),""),"")</f>
        <v/>
      </c>
      <c r="P1185" s="320" t="str" cm="1">
        <f t="array" ref="P1185">_xlfn.IFNA(IF(INDEX(Tb_KostenOptiesDB[],MATCH($F1185,Tb_KostenOptiesDB[KostenOptie],0),IFERROR(MATCH(Methode_Keuze,Tb_KostenOptiesDB[#Headers],0),2))=1,_xlfn.SWITCH($N1185,"Uurtarief",IF(OR(AND(RIGHT($F1185,3)="IKS",VLOOKUP($M1185,DB_Loonkosten,2,0)="Ja"),AND(RIGHT($F1185,3)&lt;&gt;"IKS",VLOOKUP($M1185,DB_Loonkosten,2,0)="Nee")),IFERROR(VLOOKUP($M1185,DB_Loonkosten,25,0),""),0),"Vast tarief",IF(LEFT(F1185,8)="Bijdrage",VLOOKUP($F1185,Tb_KostenTypen[],MATCH(Lijsten!$P$1,Tb_KostenTypen[#Headers],0),0),VLOOKUP($G1185,Lijsten!L:P,MATCH(Lijsten!$P$1,Kop_Tarief_Vast,0),0))),""),"")</f>
        <v/>
      </c>
      <c r="Q1185" s="359"/>
      <c r="R1185" s="359"/>
      <c r="S1185" s="321"/>
      <c r="T1185" s="321"/>
      <c r="U1185" s="373" t="str">
        <f t="shared" si="72"/>
        <v/>
      </c>
      <c r="V1185" s="314" t="str">
        <f t="shared" si="73"/>
        <v/>
      </c>
      <c r="W1185" s="314" t="str" cm="1">
        <f t="array" aca="1" ref="W1185" ca="1">IFERROR(IF(AE1185&lt;&gt;"ja",_xlfn.IFNA(_xlfn.IFS(AND(O1185&lt;&gt;"",F1185&lt;&gt;"",RIGHT($N1185,6)="tarief",F1185="Vergoeding"),SUM(O1185)*FLOOR(SUM(Q1185),0.0001),AND(O1185&lt;&gt;"",F1185&lt;&gt;"",RIGHT($N1185,6)="tarief"),SUM(O1185)*FLOOR(SUM(Q1185),0.01),S1185&gt;0,IF(F1185&lt;&gt;"",FLOOR(SUM(S1185),0.01),"")),""),""),"")</f>
        <v/>
      </c>
      <c r="X1185" s="314" t="str" cm="1">
        <f t="array" aca="1" ref="X1185" ca="1">IFERROR(IF(AE1185&lt;&gt;"ja",_xlfn.IFNA(_xlfn.IFS(AND(P1185&lt;&gt;"",R1185&lt;&gt;"",RIGHT($N1185,6)="tarief",F1185="Vergoeding"),SUM(P1185)*FLOOR(SUM(R1185),0.0001),AND(P1185&lt;&gt;"",R1185&lt;&gt;"",RIGHT($N1185,6)="tarief"),P1185*FLOOR(R1185,0.01),T1185&gt;0,FLOOR(SUM(T1185),0.01)),""),""),"")</f>
        <v/>
      </c>
      <c r="Y1185" s="314" t="str">
        <f t="shared" ca="1" si="74"/>
        <v/>
      </c>
      <c r="Z1185" s="314" t="str" cm="1">
        <f t="array" aca="1" ref="Z1185" ca="1">IFERROR(_xlfn.IFS(OR(F1185="",LEFT(Methode_Keuze,4)="Geen",Methode_Keuze=""),"",AND(W1185&lt;&gt;"",F1185&lt;&gt;"Arbeidskosten"),W1185*VLOOKUP(F1185,Tb_ProjectKosten[],MATCH(Tb_ProjectKosten[[#Headers],[Forfait_Percentage]],Tb_ProjectKosten[#Headers],0),0),AND(F1185="Arbeidskosten",G1185&lt;&gt;""),IFERROR(W1185*VLOOKUP(G1185,Tb_KostenTypen[],3,0)*VLOOKUP(F1185,Tb_ProjectKosten[],MATCH(Tb_ProjectKosten[[#Headers],[Forfait_Percentage]],Tb_ProjectKosten[#Headers],0),0),""),W1185 &lt;=0,0),"")</f>
        <v/>
      </c>
      <c r="AA1185" s="314" t="str" cm="1">
        <f t="array" aca="1" ref="AA1185" ca="1">IFERROR(_xlfn.IFS(OR(F1185="",LEFT(Methode_Keuze,4)="Geen",Methode_Keuze=""),"",AND(X1185&lt;&gt;"",F1185&lt;&gt;"Arbeidskosten"),X1185*VLOOKUP(F1185,Tb_ProjectKosten[],MATCH(Tb_ProjectKosten[[#Headers],[Forfait_Percentage]],Tb_ProjectKosten[#Headers],0),0),AND(F1185="Arbeidskosten",G1185&lt;&gt;""),IFERROR(X1185*VLOOKUP(G1185,Tb_KostenTypen[],3,0)*VLOOKUP(F1185,Tb_ProjectKosten[],MATCH(Tb_ProjectKosten[[#Headers],[Forfait_Percentage]],Tb_ProjectKosten[#Headers],0),0),""),X1185 &lt;=0,0),"")</f>
        <v/>
      </c>
      <c r="AB1185" s="314" t="str">
        <f t="shared" ca="1" si="75"/>
        <v/>
      </c>
      <c r="AC1185" s="322"/>
      <c r="AD1185" s="315"/>
      <c r="AE1185" s="32" t="str" cm="1">
        <f t="array" ref="AE1185">IFERROR(IF(INDEX(SubsidieTabel!$AD$1:$AG$12,MATCH($F1185,SubsidieTabel!$AD$1:$AD$12,0),IFERROR(MATCH(Methode_Keuze,SubsidieTabel!$AD$1:$AG$1,0),2))&lt;&gt;1=TRUE,"ja",""),"")</f>
        <v/>
      </c>
    </row>
    <row r="1186" spans="1:31" x14ac:dyDescent="0.25">
      <c r="A1186" s="316"/>
      <c r="B1186" s="317" t="str">
        <f>IF(A1186&lt;&gt;"",_xlfn.MAXIFS($B$1:B1185,$A$1:A1185,A1186)+1,"")</f>
        <v/>
      </c>
      <c r="C1186" s="296"/>
      <c r="D1186" s="296"/>
      <c r="E1186" s="296"/>
      <c r="F1186" s="296"/>
      <c r="G1186" s="326"/>
      <c r="H1186" s="324"/>
      <c r="I1186" s="325"/>
      <c r="J1186" s="325"/>
      <c r="K1186" s="318"/>
      <c r="L1186" s="318"/>
      <c r="M1186" s="319" t="str">
        <f>IFERROR(VLOOKUP(H1186,Lijsten!$H$1:$I$100,2,0),"")</f>
        <v/>
      </c>
      <c r="N1186" s="319" t="str">
        <f ca="1">IFERROR(IF(VLOOKUP(F1186,Kostentypen!$A$3:$E$21,3,0)=0,"",IF(OR(F1186="Arbeidskosten",F1186="Vergoeding"),VLOOKUP(G1186,Tb_KostenTypen[],2,0),VLOOKUP(F1186,Kostentypen!$A$3:$E$20,3,0))),"")</f>
        <v/>
      </c>
      <c r="O1186" s="320" t="str" cm="1">
        <f t="array" ref="O1186">_xlfn.IFNA(IF(INDEX(Tb_KostenOptiesDB[],MATCH($F1186,Tb_KostenOptiesDB[KostenOptie],0),IFERROR(MATCH(Methode_Keuze,Tb_KostenOptiesDB[#Headers],0),2))=1,_xlfn.SWITCH($N1186,"Uurtarief",IF(OR(AND(RIGHT($F1186,3)="IKS",VLOOKUP($M1186,DB_Loonkosten,2,0)="Ja"),AND(RIGHT($F1186,3)&lt;&gt;"IKS",VLOOKUP($M1186,DB_Loonkosten,2,0)="Nee")),IFERROR(VLOOKUP($M1186,DB_Loonkosten,24,0),""),0),"Vast tarief",IF(LEFT(F1186,8)="Bijdrage",VLOOKUP($F1186,Tb_KostenTypen[],MATCH(Lijsten!$P$1,Tb_KostenTypen[#Headers],0),0),VLOOKUP($G1186,Lijsten!L:P,MATCH(Lijsten!$P$1,Kop_Tarief_Vast,0),0))),""),"")</f>
        <v/>
      </c>
      <c r="P1186" s="320" t="str" cm="1">
        <f t="array" ref="P1186">_xlfn.IFNA(IF(INDEX(Tb_KostenOptiesDB[],MATCH($F1186,Tb_KostenOptiesDB[KostenOptie],0),IFERROR(MATCH(Methode_Keuze,Tb_KostenOptiesDB[#Headers],0),2))=1,_xlfn.SWITCH($N1186,"Uurtarief",IF(OR(AND(RIGHT($F1186,3)="IKS",VLOOKUP($M1186,DB_Loonkosten,2,0)="Ja"),AND(RIGHT($F1186,3)&lt;&gt;"IKS",VLOOKUP($M1186,DB_Loonkosten,2,0)="Nee")),IFERROR(VLOOKUP($M1186,DB_Loonkosten,25,0),""),0),"Vast tarief",IF(LEFT(F1186,8)="Bijdrage",VLOOKUP($F1186,Tb_KostenTypen[],MATCH(Lijsten!$P$1,Tb_KostenTypen[#Headers],0),0),VLOOKUP($G1186,Lijsten!L:P,MATCH(Lijsten!$P$1,Kop_Tarief_Vast,0),0))),""),"")</f>
        <v/>
      </c>
      <c r="Q1186" s="359"/>
      <c r="R1186" s="359"/>
      <c r="S1186" s="321"/>
      <c r="T1186" s="321"/>
      <c r="U1186" s="373" t="str">
        <f t="shared" si="72"/>
        <v/>
      </c>
      <c r="V1186" s="314" t="str">
        <f t="shared" si="73"/>
        <v/>
      </c>
      <c r="W1186" s="314" t="str" cm="1">
        <f t="array" aca="1" ref="W1186" ca="1">IFERROR(IF(AE1186&lt;&gt;"ja",_xlfn.IFNA(_xlfn.IFS(AND(O1186&lt;&gt;"",F1186&lt;&gt;"",RIGHT($N1186,6)="tarief",F1186="Vergoeding"),SUM(O1186)*FLOOR(SUM(Q1186),0.0001),AND(O1186&lt;&gt;"",F1186&lt;&gt;"",RIGHT($N1186,6)="tarief"),SUM(O1186)*FLOOR(SUM(Q1186),0.01),S1186&gt;0,IF(F1186&lt;&gt;"",FLOOR(SUM(S1186),0.01),"")),""),""),"")</f>
        <v/>
      </c>
      <c r="X1186" s="314" t="str" cm="1">
        <f t="array" aca="1" ref="X1186" ca="1">IFERROR(IF(AE1186&lt;&gt;"ja",_xlfn.IFNA(_xlfn.IFS(AND(P1186&lt;&gt;"",R1186&lt;&gt;"",RIGHT($N1186,6)="tarief",F1186="Vergoeding"),SUM(P1186)*FLOOR(SUM(R1186),0.0001),AND(P1186&lt;&gt;"",R1186&lt;&gt;"",RIGHT($N1186,6)="tarief"),P1186*FLOOR(R1186,0.01),T1186&gt;0,FLOOR(SUM(T1186),0.01)),""),""),"")</f>
        <v/>
      </c>
      <c r="Y1186" s="314" t="str">
        <f t="shared" ca="1" si="74"/>
        <v/>
      </c>
      <c r="Z1186" s="314" t="str" cm="1">
        <f t="array" aca="1" ref="Z1186" ca="1">IFERROR(_xlfn.IFS(OR(F1186="",LEFT(Methode_Keuze,4)="Geen",Methode_Keuze=""),"",AND(W1186&lt;&gt;"",F1186&lt;&gt;"Arbeidskosten"),W1186*VLOOKUP(F1186,Tb_ProjectKosten[],MATCH(Tb_ProjectKosten[[#Headers],[Forfait_Percentage]],Tb_ProjectKosten[#Headers],0),0),AND(F1186="Arbeidskosten",G1186&lt;&gt;""),IFERROR(W1186*VLOOKUP(G1186,Tb_KostenTypen[],3,0)*VLOOKUP(F1186,Tb_ProjectKosten[],MATCH(Tb_ProjectKosten[[#Headers],[Forfait_Percentage]],Tb_ProjectKosten[#Headers],0),0),""),W1186 &lt;=0,0),"")</f>
        <v/>
      </c>
      <c r="AA1186" s="314" t="str" cm="1">
        <f t="array" aca="1" ref="AA1186" ca="1">IFERROR(_xlfn.IFS(OR(F1186="",LEFT(Methode_Keuze,4)="Geen",Methode_Keuze=""),"",AND(X1186&lt;&gt;"",F1186&lt;&gt;"Arbeidskosten"),X1186*VLOOKUP(F1186,Tb_ProjectKosten[],MATCH(Tb_ProjectKosten[[#Headers],[Forfait_Percentage]],Tb_ProjectKosten[#Headers],0),0),AND(F1186="Arbeidskosten",G1186&lt;&gt;""),IFERROR(X1186*VLOOKUP(G1186,Tb_KostenTypen[],3,0)*VLOOKUP(F1186,Tb_ProjectKosten[],MATCH(Tb_ProjectKosten[[#Headers],[Forfait_Percentage]],Tb_ProjectKosten[#Headers],0),0),""),X1186 &lt;=0,0),"")</f>
        <v/>
      </c>
      <c r="AB1186" s="314" t="str">
        <f t="shared" ca="1" si="75"/>
        <v/>
      </c>
      <c r="AC1186" s="322"/>
      <c r="AD1186" s="315"/>
      <c r="AE1186" s="32" t="str" cm="1">
        <f t="array" ref="AE1186">IFERROR(IF(INDEX(SubsidieTabel!$AD$1:$AG$12,MATCH($F1186,SubsidieTabel!$AD$1:$AD$12,0),IFERROR(MATCH(Methode_Keuze,SubsidieTabel!$AD$1:$AG$1,0),2))&lt;&gt;1=TRUE,"ja",""),"")</f>
        <v/>
      </c>
    </row>
    <row r="1187" spans="1:31" x14ac:dyDescent="0.25">
      <c r="A1187" s="316"/>
      <c r="B1187" s="317" t="str">
        <f>IF(A1187&lt;&gt;"",_xlfn.MAXIFS($B$1:B1186,$A$1:A1186,A1187)+1,"")</f>
        <v/>
      </c>
      <c r="C1187" s="296"/>
      <c r="D1187" s="296"/>
      <c r="E1187" s="296"/>
      <c r="F1187" s="296"/>
      <c r="G1187" s="326"/>
      <c r="H1187" s="324"/>
      <c r="I1187" s="325"/>
      <c r="J1187" s="325"/>
      <c r="K1187" s="318"/>
      <c r="L1187" s="318"/>
      <c r="M1187" s="319" t="str">
        <f>IFERROR(VLOOKUP(H1187,Lijsten!$H$1:$I$100,2,0),"")</f>
        <v/>
      </c>
      <c r="N1187" s="319" t="str">
        <f ca="1">IFERROR(IF(VLOOKUP(F1187,Kostentypen!$A$3:$E$21,3,0)=0,"",IF(OR(F1187="Arbeidskosten",F1187="Vergoeding"),VLOOKUP(G1187,Tb_KostenTypen[],2,0),VLOOKUP(F1187,Kostentypen!$A$3:$E$20,3,0))),"")</f>
        <v/>
      </c>
      <c r="O1187" s="320" t="str" cm="1">
        <f t="array" ref="O1187">_xlfn.IFNA(IF(INDEX(Tb_KostenOptiesDB[],MATCH($F1187,Tb_KostenOptiesDB[KostenOptie],0),IFERROR(MATCH(Methode_Keuze,Tb_KostenOptiesDB[#Headers],0),2))=1,_xlfn.SWITCH($N1187,"Uurtarief",IF(OR(AND(RIGHT($F1187,3)="IKS",VLOOKUP($M1187,DB_Loonkosten,2,0)="Ja"),AND(RIGHT($F1187,3)&lt;&gt;"IKS",VLOOKUP($M1187,DB_Loonkosten,2,0)="Nee")),IFERROR(VLOOKUP($M1187,DB_Loonkosten,24,0),""),0),"Vast tarief",IF(LEFT(F1187,8)="Bijdrage",VLOOKUP($F1187,Tb_KostenTypen[],MATCH(Lijsten!$P$1,Tb_KostenTypen[#Headers],0),0),VLOOKUP($G1187,Lijsten!L:P,MATCH(Lijsten!$P$1,Kop_Tarief_Vast,0),0))),""),"")</f>
        <v/>
      </c>
      <c r="P1187" s="320" t="str" cm="1">
        <f t="array" ref="P1187">_xlfn.IFNA(IF(INDEX(Tb_KostenOptiesDB[],MATCH($F1187,Tb_KostenOptiesDB[KostenOptie],0),IFERROR(MATCH(Methode_Keuze,Tb_KostenOptiesDB[#Headers],0),2))=1,_xlfn.SWITCH($N1187,"Uurtarief",IF(OR(AND(RIGHT($F1187,3)="IKS",VLOOKUP($M1187,DB_Loonkosten,2,0)="Ja"),AND(RIGHT($F1187,3)&lt;&gt;"IKS",VLOOKUP($M1187,DB_Loonkosten,2,0)="Nee")),IFERROR(VLOOKUP($M1187,DB_Loonkosten,25,0),""),0),"Vast tarief",IF(LEFT(F1187,8)="Bijdrage",VLOOKUP($F1187,Tb_KostenTypen[],MATCH(Lijsten!$P$1,Tb_KostenTypen[#Headers],0),0),VLOOKUP($G1187,Lijsten!L:P,MATCH(Lijsten!$P$1,Kop_Tarief_Vast,0),0))),""),"")</f>
        <v/>
      </c>
      <c r="Q1187" s="359"/>
      <c r="R1187" s="359"/>
      <c r="S1187" s="321"/>
      <c r="T1187" s="321"/>
      <c r="U1187" s="373" t="str">
        <f t="shared" si="72"/>
        <v/>
      </c>
      <c r="V1187" s="314" t="str">
        <f t="shared" si="73"/>
        <v/>
      </c>
      <c r="W1187" s="314" t="str" cm="1">
        <f t="array" aca="1" ref="W1187" ca="1">IFERROR(IF(AE1187&lt;&gt;"ja",_xlfn.IFNA(_xlfn.IFS(AND(O1187&lt;&gt;"",F1187&lt;&gt;"",RIGHT($N1187,6)="tarief",F1187="Vergoeding"),SUM(O1187)*FLOOR(SUM(Q1187),0.0001),AND(O1187&lt;&gt;"",F1187&lt;&gt;"",RIGHT($N1187,6)="tarief"),SUM(O1187)*FLOOR(SUM(Q1187),0.01),S1187&gt;0,IF(F1187&lt;&gt;"",FLOOR(SUM(S1187),0.01),"")),""),""),"")</f>
        <v/>
      </c>
      <c r="X1187" s="314" t="str" cm="1">
        <f t="array" aca="1" ref="X1187" ca="1">IFERROR(IF(AE1187&lt;&gt;"ja",_xlfn.IFNA(_xlfn.IFS(AND(P1187&lt;&gt;"",R1187&lt;&gt;"",RIGHT($N1187,6)="tarief",F1187="Vergoeding"),SUM(P1187)*FLOOR(SUM(R1187),0.0001),AND(P1187&lt;&gt;"",R1187&lt;&gt;"",RIGHT($N1187,6)="tarief"),P1187*FLOOR(R1187,0.01),T1187&gt;0,FLOOR(SUM(T1187),0.01)),""),""),"")</f>
        <v/>
      </c>
      <c r="Y1187" s="314" t="str">
        <f t="shared" ca="1" si="74"/>
        <v/>
      </c>
      <c r="Z1187" s="314" t="str" cm="1">
        <f t="array" aca="1" ref="Z1187" ca="1">IFERROR(_xlfn.IFS(OR(F1187="",LEFT(Methode_Keuze,4)="Geen",Methode_Keuze=""),"",AND(W1187&lt;&gt;"",F1187&lt;&gt;"Arbeidskosten"),W1187*VLOOKUP(F1187,Tb_ProjectKosten[],MATCH(Tb_ProjectKosten[[#Headers],[Forfait_Percentage]],Tb_ProjectKosten[#Headers],0),0),AND(F1187="Arbeidskosten",G1187&lt;&gt;""),IFERROR(W1187*VLOOKUP(G1187,Tb_KostenTypen[],3,0)*VLOOKUP(F1187,Tb_ProjectKosten[],MATCH(Tb_ProjectKosten[[#Headers],[Forfait_Percentage]],Tb_ProjectKosten[#Headers],0),0),""),W1187 &lt;=0,0),"")</f>
        <v/>
      </c>
      <c r="AA1187" s="314" t="str" cm="1">
        <f t="array" aca="1" ref="AA1187" ca="1">IFERROR(_xlfn.IFS(OR(F1187="",LEFT(Methode_Keuze,4)="Geen",Methode_Keuze=""),"",AND(X1187&lt;&gt;"",F1187&lt;&gt;"Arbeidskosten"),X1187*VLOOKUP(F1187,Tb_ProjectKosten[],MATCH(Tb_ProjectKosten[[#Headers],[Forfait_Percentage]],Tb_ProjectKosten[#Headers],0),0),AND(F1187="Arbeidskosten",G1187&lt;&gt;""),IFERROR(X1187*VLOOKUP(G1187,Tb_KostenTypen[],3,0)*VLOOKUP(F1187,Tb_ProjectKosten[],MATCH(Tb_ProjectKosten[[#Headers],[Forfait_Percentage]],Tb_ProjectKosten[#Headers],0),0),""),X1187 &lt;=0,0),"")</f>
        <v/>
      </c>
      <c r="AB1187" s="314" t="str">
        <f t="shared" ca="1" si="75"/>
        <v/>
      </c>
      <c r="AC1187" s="322"/>
      <c r="AD1187" s="315"/>
      <c r="AE1187" s="32" t="str" cm="1">
        <f t="array" ref="AE1187">IFERROR(IF(INDEX(SubsidieTabel!$AD$1:$AG$12,MATCH($F1187,SubsidieTabel!$AD$1:$AD$12,0),IFERROR(MATCH(Methode_Keuze,SubsidieTabel!$AD$1:$AG$1,0),2))&lt;&gt;1=TRUE,"ja",""),"")</f>
        <v/>
      </c>
    </row>
    <row r="1188" spans="1:31" x14ac:dyDescent="0.25">
      <c r="A1188" s="316"/>
      <c r="B1188" s="317" t="str">
        <f>IF(A1188&lt;&gt;"",_xlfn.MAXIFS($B$1:B1187,$A$1:A1187,A1188)+1,"")</f>
        <v/>
      </c>
      <c r="C1188" s="296"/>
      <c r="D1188" s="296"/>
      <c r="E1188" s="296"/>
      <c r="F1188" s="296"/>
      <c r="G1188" s="326"/>
      <c r="H1188" s="324"/>
      <c r="I1188" s="325"/>
      <c r="J1188" s="325"/>
      <c r="K1188" s="318"/>
      <c r="L1188" s="318"/>
      <c r="M1188" s="319" t="str">
        <f>IFERROR(VLOOKUP(H1188,Lijsten!$H$1:$I$100,2,0),"")</f>
        <v/>
      </c>
      <c r="N1188" s="319" t="str">
        <f ca="1">IFERROR(IF(VLOOKUP(F1188,Kostentypen!$A$3:$E$21,3,0)=0,"",IF(OR(F1188="Arbeidskosten",F1188="Vergoeding"),VLOOKUP(G1188,Tb_KostenTypen[],2,0),VLOOKUP(F1188,Kostentypen!$A$3:$E$20,3,0))),"")</f>
        <v/>
      </c>
      <c r="O1188" s="320" t="str" cm="1">
        <f t="array" ref="O1188">_xlfn.IFNA(IF(INDEX(Tb_KostenOptiesDB[],MATCH($F1188,Tb_KostenOptiesDB[KostenOptie],0),IFERROR(MATCH(Methode_Keuze,Tb_KostenOptiesDB[#Headers],0),2))=1,_xlfn.SWITCH($N1188,"Uurtarief",IF(OR(AND(RIGHT($F1188,3)="IKS",VLOOKUP($M1188,DB_Loonkosten,2,0)="Ja"),AND(RIGHT($F1188,3)&lt;&gt;"IKS",VLOOKUP($M1188,DB_Loonkosten,2,0)="Nee")),IFERROR(VLOOKUP($M1188,DB_Loonkosten,24,0),""),0),"Vast tarief",IF(LEFT(F1188,8)="Bijdrage",VLOOKUP($F1188,Tb_KostenTypen[],MATCH(Lijsten!$P$1,Tb_KostenTypen[#Headers],0),0),VLOOKUP($G1188,Lijsten!L:P,MATCH(Lijsten!$P$1,Kop_Tarief_Vast,0),0))),""),"")</f>
        <v/>
      </c>
      <c r="P1188" s="320" t="str" cm="1">
        <f t="array" ref="P1188">_xlfn.IFNA(IF(INDEX(Tb_KostenOptiesDB[],MATCH($F1188,Tb_KostenOptiesDB[KostenOptie],0),IFERROR(MATCH(Methode_Keuze,Tb_KostenOptiesDB[#Headers],0),2))=1,_xlfn.SWITCH($N1188,"Uurtarief",IF(OR(AND(RIGHT($F1188,3)="IKS",VLOOKUP($M1188,DB_Loonkosten,2,0)="Ja"),AND(RIGHT($F1188,3)&lt;&gt;"IKS",VLOOKUP($M1188,DB_Loonkosten,2,0)="Nee")),IFERROR(VLOOKUP($M1188,DB_Loonkosten,25,0),""),0),"Vast tarief",IF(LEFT(F1188,8)="Bijdrage",VLOOKUP($F1188,Tb_KostenTypen[],MATCH(Lijsten!$P$1,Tb_KostenTypen[#Headers],0),0),VLOOKUP($G1188,Lijsten!L:P,MATCH(Lijsten!$P$1,Kop_Tarief_Vast,0),0))),""),"")</f>
        <v/>
      </c>
      <c r="Q1188" s="359"/>
      <c r="R1188" s="359"/>
      <c r="S1188" s="321"/>
      <c r="T1188" s="321"/>
      <c r="U1188" s="373" t="str">
        <f t="shared" si="72"/>
        <v/>
      </c>
      <c r="V1188" s="314" t="str">
        <f t="shared" si="73"/>
        <v/>
      </c>
      <c r="W1188" s="314" t="str" cm="1">
        <f t="array" aca="1" ref="W1188" ca="1">IFERROR(IF(AE1188&lt;&gt;"ja",_xlfn.IFNA(_xlfn.IFS(AND(O1188&lt;&gt;"",F1188&lt;&gt;"",RIGHT($N1188,6)="tarief",F1188="Vergoeding"),SUM(O1188)*FLOOR(SUM(Q1188),0.0001),AND(O1188&lt;&gt;"",F1188&lt;&gt;"",RIGHT($N1188,6)="tarief"),SUM(O1188)*FLOOR(SUM(Q1188),0.01),S1188&gt;0,IF(F1188&lt;&gt;"",FLOOR(SUM(S1188),0.01),"")),""),""),"")</f>
        <v/>
      </c>
      <c r="X1188" s="314" t="str" cm="1">
        <f t="array" aca="1" ref="X1188" ca="1">IFERROR(IF(AE1188&lt;&gt;"ja",_xlfn.IFNA(_xlfn.IFS(AND(P1188&lt;&gt;"",R1188&lt;&gt;"",RIGHT($N1188,6)="tarief",F1188="Vergoeding"),SUM(P1188)*FLOOR(SUM(R1188),0.0001),AND(P1188&lt;&gt;"",R1188&lt;&gt;"",RIGHT($N1188,6)="tarief"),P1188*FLOOR(R1188,0.01),T1188&gt;0,FLOOR(SUM(T1188),0.01)),""),""),"")</f>
        <v/>
      </c>
      <c r="Y1188" s="314" t="str">
        <f t="shared" ca="1" si="74"/>
        <v/>
      </c>
      <c r="Z1188" s="314" t="str" cm="1">
        <f t="array" aca="1" ref="Z1188" ca="1">IFERROR(_xlfn.IFS(OR(F1188="",LEFT(Methode_Keuze,4)="Geen",Methode_Keuze=""),"",AND(W1188&lt;&gt;"",F1188&lt;&gt;"Arbeidskosten"),W1188*VLOOKUP(F1188,Tb_ProjectKosten[],MATCH(Tb_ProjectKosten[[#Headers],[Forfait_Percentage]],Tb_ProjectKosten[#Headers],0),0),AND(F1188="Arbeidskosten",G1188&lt;&gt;""),IFERROR(W1188*VLOOKUP(G1188,Tb_KostenTypen[],3,0)*VLOOKUP(F1188,Tb_ProjectKosten[],MATCH(Tb_ProjectKosten[[#Headers],[Forfait_Percentage]],Tb_ProjectKosten[#Headers],0),0),""),W1188 &lt;=0,0),"")</f>
        <v/>
      </c>
      <c r="AA1188" s="314" t="str" cm="1">
        <f t="array" aca="1" ref="AA1188" ca="1">IFERROR(_xlfn.IFS(OR(F1188="",LEFT(Methode_Keuze,4)="Geen",Methode_Keuze=""),"",AND(X1188&lt;&gt;"",F1188&lt;&gt;"Arbeidskosten"),X1188*VLOOKUP(F1188,Tb_ProjectKosten[],MATCH(Tb_ProjectKosten[[#Headers],[Forfait_Percentage]],Tb_ProjectKosten[#Headers],0),0),AND(F1188="Arbeidskosten",G1188&lt;&gt;""),IFERROR(X1188*VLOOKUP(G1188,Tb_KostenTypen[],3,0)*VLOOKUP(F1188,Tb_ProjectKosten[],MATCH(Tb_ProjectKosten[[#Headers],[Forfait_Percentage]],Tb_ProjectKosten[#Headers],0),0),""),X1188 &lt;=0,0),"")</f>
        <v/>
      </c>
      <c r="AB1188" s="314" t="str">
        <f t="shared" ca="1" si="75"/>
        <v/>
      </c>
      <c r="AC1188" s="322"/>
      <c r="AD1188" s="315"/>
      <c r="AE1188" s="32" t="str" cm="1">
        <f t="array" ref="AE1188">IFERROR(IF(INDEX(SubsidieTabel!$AD$1:$AG$12,MATCH($F1188,SubsidieTabel!$AD$1:$AD$12,0),IFERROR(MATCH(Methode_Keuze,SubsidieTabel!$AD$1:$AG$1,0),2))&lt;&gt;1=TRUE,"ja",""),"")</f>
        <v/>
      </c>
    </row>
    <row r="1189" spans="1:31" x14ac:dyDescent="0.25">
      <c r="A1189" s="316"/>
      <c r="B1189" s="317" t="str">
        <f>IF(A1189&lt;&gt;"",_xlfn.MAXIFS($B$1:B1188,$A$1:A1188,A1189)+1,"")</f>
        <v/>
      </c>
      <c r="C1189" s="296"/>
      <c r="D1189" s="296"/>
      <c r="E1189" s="296"/>
      <c r="F1189" s="296"/>
      <c r="G1189" s="326"/>
      <c r="H1189" s="324"/>
      <c r="I1189" s="325"/>
      <c r="J1189" s="325"/>
      <c r="K1189" s="318"/>
      <c r="L1189" s="318"/>
      <c r="M1189" s="319" t="str">
        <f>IFERROR(VLOOKUP(H1189,Lijsten!$H$1:$I$100,2,0),"")</f>
        <v/>
      </c>
      <c r="N1189" s="319" t="str">
        <f ca="1">IFERROR(IF(VLOOKUP(F1189,Kostentypen!$A$3:$E$21,3,0)=0,"",IF(OR(F1189="Arbeidskosten",F1189="Vergoeding"),VLOOKUP(G1189,Tb_KostenTypen[],2,0),VLOOKUP(F1189,Kostentypen!$A$3:$E$20,3,0))),"")</f>
        <v/>
      </c>
      <c r="O1189" s="320" t="str" cm="1">
        <f t="array" ref="O1189">_xlfn.IFNA(IF(INDEX(Tb_KostenOptiesDB[],MATCH($F1189,Tb_KostenOptiesDB[KostenOptie],0),IFERROR(MATCH(Methode_Keuze,Tb_KostenOptiesDB[#Headers],0),2))=1,_xlfn.SWITCH($N1189,"Uurtarief",IF(OR(AND(RIGHT($F1189,3)="IKS",VLOOKUP($M1189,DB_Loonkosten,2,0)="Ja"),AND(RIGHT($F1189,3)&lt;&gt;"IKS",VLOOKUP($M1189,DB_Loonkosten,2,0)="Nee")),IFERROR(VLOOKUP($M1189,DB_Loonkosten,24,0),""),0),"Vast tarief",IF(LEFT(F1189,8)="Bijdrage",VLOOKUP($F1189,Tb_KostenTypen[],MATCH(Lijsten!$P$1,Tb_KostenTypen[#Headers],0),0),VLOOKUP($G1189,Lijsten!L:P,MATCH(Lijsten!$P$1,Kop_Tarief_Vast,0),0))),""),"")</f>
        <v/>
      </c>
      <c r="P1189" s="320" t="str" cm="1">
        <f t="array" ref="P1189">_xlfn.IFNA(IF(INDEX(Tb_KostenOptiesDB[],MATCH($F1189,Tb_KostenOptiesDB[KostenOptie],0),IFERROR(MATCH(Methode_Keuze,Tb_KostenOptiesDB[#Headers],0),2))=1,_xlfn.SWITCH($N1189,"Uurtarief",IF(OR(AND(RIGHT($F1189,3)="IKS",VLOOKUP($M1189,DB_Loonkosten,2,0)="Ja"),AND(RIGHT($F1189,3)&lt;&gt;"IKS",VLOOKUP($M1189,DB_Loonkosten,2,0)="Nee")),IFERROR(VLOOKUP($M1189,DB_Loonkosten,25,0),""),0),"Vast tarief",IF(LEFT(F1189,8)="Bijdrage",VLOOKUP($F1189,Tb_KostenTypen[],MATCH(Lijsten!$P$1,Tb_KostenTypen[#Headers],0),0),VLOOKUP($G1189,Lijsten!L:P,MATCH(Lijsten!$P$1,Kop_Tarief_Vast,0),0))),""),"")</f>
        <v/>
      </c>
      <c r="Q1189" s="359"/>
      <c r="R1189" s="359"/>
      <c r="S1189" s="321"/>
      <c r="T1189" s="321"/>
      <c r="U1189" s="373" t="str">
        <f t="shared" si="72"/>
        <v/>
      </c>
      <c r="V1189" s="314" t="str">
        <f t="shared" si="73"/>
        <v/>
      </c>
      <c r="W1189" s="314" t="str" cm="1">
        <f t="array" aca="1" ref="W1189" ca="1">IFERROR(IF(AE1189&lt;&gt;"ja",_xlfn.IFNA(_xlfn.IFS(AND(O1189&lt;&gt;"",F1189&lt;&gt;"",RIGHT($N1189,6)="tarief",F1189="Vergoeding"),SUM(O1189)*FLOOR(SUM(Q1189),0.0001),AND(O1189&lt;&gt;"",F1189&lt;&gt;"",RIGHT($N1189,6)="tarief"),SUM(O1189)*FLOOR(SUM(Q1189),0.01),S1189&gt;0,IF(F1189&lt;&gt;"",FLOOR(SUM(S1189),0.01),"")),""),""),"")</f>
        <v/>
      </c>
      <c r="X1189" s="314" t="str" cm="1">
        <f t="array" aca="1" ref="X1189" ca="1">IFERROR(IF(AE1189&lt;&gt;"ja",_xlfn.IFNA(_xlfn.IFS(AND(P1189&lt;&gt;"",R1189&lt;&gt;"",RIGHT($N1189,6)="tarief",F1189="Vergoeding"),SUM(P1189)*FLOOR(SUM(R1189),0.0001),AND(P1189&lt;&gt;"",R1189&lt;&gt;"",RIGHT($N1189,6)="tarief"),P1189*FLOOR(R1189,0.01),T1189&gt;0,FLOOR(SUM(T1189),0.01)),""),""),"")</f>
        <v/>
      </c>
      <c r="Y1189" s="314" t="str">
        <f t="shared" ca="1" si="74"/>
        <v/>
      </c>
      <c r="Z1189" s="314" t="str" cm="1">
        <f t="array" aca="1" ref="Z1189" ca="1">IFERROR(_xlfn.IFS(OR(F1189="",LEFT(Methode_Keuze,4)="Geen",Methode_Keuze=""),"",AND(W1189&lt;&gt;"",F1189&lt;&gt;"Arbeidskosten"),W1189*VLOOKUP(F1189,Tb_ProjectKosten[],MATCH(Tb_ProjectKosten[[#Headers],[Forfait_Percentage]],Tb_ProjectKosten[#Headers],0),0),AND(F1189="Arbeidskosten",G1189&lt;&gt;""),IFERROR(W1189*VLOOKUP(G1189,Tb_KostenTypen[],3,0)*VLOOKUP(F1189,Tb_ProjectKosten[],MATCH(Tb_ProjectKosten[[#Headers],[Forfait_Percentage]],Tb_ProjectKosten[#Headers],0),0),""),W1189 &lt;=0,0),"")</f>
        <v/>
      </c>
      <c r="AA1189" s="314" t="str" cm="1">
        <f t="array" aca="1" ref="AA1189" ca="1">IFERROR(_xlfn.IFS(OR(F1189="",LEFT(Methode_Keuze,4)="Geen",Methode_Keuze=""),"",AND(X1189&lt;&gt;"",F1189&lt;&gt;"Arbeidskosten"),X1189*VLOOKUP(F1189,Tb_ProjectKosten[],MATCH(Tb_ProjectKosten[[#Headers],[Forfait_Percentage]],Tb_ProjectKosten[#Headers],0),0),AND(F1189="Arbeidskosten",G1189&lt;&gt;""),IFERROR(X1189*VLOOKUP(G1189,Tb_KostenTypen[],3,0)*VLOOKUP(F1189,Tb_ProjectKosten[],MATCH(Tb_ProjectKosten[[#Headers],[Forfait_Percentage]],Tb_ProjectKosten[#Headers],0),0),""),X1189 &lt;=0,0),"")</f>
        <v/>
      </c>
      <c r="AB1189" s="314" t="str">
        <f t="shared" ca="1" si="75"/>
        <v/>
      </c>
      <c r="AC1189" s="322"/>
      <c r="AD1189" s="315"/>
      <c r="AE1189" s="32" t="str" cm="1">
        <f t="array" ref="AE1189">IFERROR(IF(INDEX(SubsidieTabel!$AD$1:$AG$12,MATCH($F1189,SubsidieTabel!$AD$1:$AD$12,0),IFERROR(MATCH(Methode_Keuze,SubsidieTabel!$AD$1:$AG$1,0),2))&lt;&gt;1=TRUE,"ja",""),"")</f>
        <v/>
      </c>
    </row>
    <row r="1190" spans="1:31" x14ac:dyDescent="0.25">
      <c r="A1190" s="316"/>
      <c r="B1190" s="317" t="str">
        <f>IF(A1190&lt;&gt;"",_xlfn.MAXIFS($B$1:B1189,$A$1:A1189,A1190)+1,"")</f>
        <v/>
      </c>
      <c r="C1190" s="296"/>
      <c r="D1190" s="296"/>
      <c r="E1190" s="296"/>
      <c r="F1190" s="296"/>
      <c r="G1190" s="326"/>
      <c r="H1190" s="324"/>
      <c r="I1190" s="325"/>
      <c r="J1190" s="325"/>
      <c r="K1190" s="318"/>
      <c r="L1190" s="318"/>
      <c r="M1190" s="319" t="str">
        <f>IFERROR(VLOOKUP(H1190,Lijsten!$H$1:$I$100,2,0),"")</f>
        <v/>
      </c>
      <c r="N1190" s="319" t="str">
        <f ca="1">IFERROR(IF(VLOOKUP(F1190,Kostentypen!$A$3:$E$21,3,0)=0,"",IF(OR(F1190="Arbeidskosten",F1190="Vergoeding"),VLOOKUP(G1190,Tb_KostenTypen[],2,0),VLOOKUP(F1190,Kostentypen!$A$3:$E$20,3,0))),"")</f>
        <v/>
      </c>
      <c r="O1190" s="320" t="str" cm="1">
        <f t="array" ref="O1190">_xlfn.IFNA(IF(INDEX(Tb_KostenOptiesDB[],MATCH($F1190,Tb_KostenOptiesDB[KostenOptie],0),IFERROR(MATCH(Methode_Keuze,Tb_KostenOptiesDB[#Headers],0),2))=1,_xlfn.SWITCH($N1190,"Uurtarief",IF(OR(AND(RIGHT($F1190,3)="IKS",VLOOKUP($M1190,DB_Loonkosten,2,0)="Ja"),AND(RIGHT($F1190,3)&lt;&gt;"IKS",VLOOKUP($M1190,DB_Loonkosten,2,0)="Nee")),IFERROR(VLOOKUP($M1190,DB_Loonkosten,24,0),""),0),"Vast tarief",IF(LEFT(F1190,8)="Bijdrage",VLOOKUP($F1190,Tb_KostenTypen[],MATCH(Lijsten!$P$1,Tb_KostenTypen[#Headers],0),0),VLOOKUP($G1190,Lijsten!L:P,MATCH(Lijsten!$P$1,Kop_Tarief_Vast,0),0))),""),"")</f>
        <v/>
      </c>
      <c r="P1190" s="320" t="str" cm="1">
        <f t="array" ref="P1190">_xlfn.IFNA(IF(INDEX(Tb_KostenOptiesDB[],MATCH($F1190,Tb_KostenOptiesDB[KostenOptie],0),IFERROR(MATCH(Methode_Keuze,Tb_KostenOptiesDB[#Headers],0),2))=1,_xlfn.SWITCH($N1190,"Uurtarief",IF(OR(AND(RIGHT($F1190,3)="IKS",VLOOKUP($M1190,DB_Loonkosten,2,0)="Ja"),AND(RIGHT($F1190,3)&lt;&gt;"IKS",VLOOKUP($M1190,DB_Loonkosten,2,0)="Nee")),IFERROR(VLOOKUP($M1190,DB_Loonkosten,25,0),""),0),"Vast tarief",IF(LEFT(F1190,8)="Bijdrage",VLOOKUP($F1190,Tb_KostenTypen[],MATCH(Lijsten!$P$1,Tb_KostenTypen[#Headers],0),0),VLOOKUP($G1190,Lijsten!L:P,MATCH(Lijsten!$P$1,Kop_Tarief_Vast,0),0))),""),"")</f>
        <v/>
      </c>
      <c r="Q1190" s="359"/>
      <c r="R1190" s="359"/>
      <c r="S1190" s="321"/>
      <c r="T1190" s="321"/>
      <c r="U1190" s="373" t="str">
        <f t="shared" si="72"/>
        <v/>
      </c>
      <c r="V1190" s="314" t="str">
        <f t="shared" si="73"/>
        <v/>
      </c>
      <c r="W1190" s="314" t="str" cm="1">
        <f t="array" aca="1" ref="W1190" ca="1">IFERROR(IF(AE1190&lt;&gt;"ja",_xlfn.IFNA(_xlfn.IFS(AND(O1190&lt;&gt;"",F1190&lt;&gt;"",RIGHT($N1190,6)="tarief",F1190="Vergoeding"),SUM(O1190)*FLOOR(SUM(Q1190),0.0001),AND(O1190&lt;&gt;"",F1190&lt;&gt;"",RIGHT($N1190,6)="tarief"),SUM(O1190)*FLOOR(SUM(Q1190),0.01),S1190&gt;0,IF(F1190&lt;&gt;"",FLOOR(SUM(S1190),0.01),"")),""),""),"")</f>
        <v/>
      </c>
      <c r="X1190" s="314" t="str" cm="1">
        <f t="array" aca="1" ref="X1190" ca="1">IFERROR(IF(AE1190&lt;&gt;"ja",_xlfn.IFNA(_xlfn.IFS(AND(P1190&lt;&gt;"",R1190&lt;&gt;"",RIGHT($N1190,6)="tarief",F1190="Vergoeding"),SUM(P1190)*FLOOR(SUM(R1190),0.0001),AND(P1190&lt;&gt;"",R1190&lt;&gt;"",RIGHT($N1190,6)="tarief"),P1190*FLOOR(R1190,0.01),T1190&gt;0,FLOOR(SUM(T1190),0.01)),""),""),"")</f>
        <v/>
      </c>
      <c r="Y1190" s="314" t="str">
        <f t="shared" ca="1" si="74"/>
        <v/>
      </c>
      <c r="Z1190" s="314" t="str" cm="1">
        <f t="array" aca="1" ref="Z1190" ca="1">IFERROR(_xlfn.IFS(OR(F1190="",LEFT(Methode_Keuze,4)="Geen",Methode_Keuze=""),"",AND(W1190&lt;&gt;"",F1190&lt;&gt;"Arbeidskosten"),W1190*VLOOKUP(F1190,Tb_ProjectKosten[],MATCH(Tb_ProjectKosten[[#Headers],[Forfait_Percentage]],Tb_ProjectKosten[#Headers],0),0),AND(F1190="Arbeidskosten",G1190&lt;&gt;""),IFERROR(W1190*VLOOKUP(G1190,Tb_KostenTypen[],3,0)*VLOOKUP(F1190,Tb_ProjectKosten[],MATCH(Tb_ProjectKosten[[#Headers],[Forfait_Percentage]],Tb_ProjectKosten[#Headers],0),0),""),W1190 &lt;=0,0),"")</f>
        <v/>
      </c>
      <c r="AA1190" s="314" t="str" cm="1">
        <f t="array" aca="1" ref="AA1190" ca="1">IFERROR(_xlfn.IFS(OR(F1190="",LEFT(Methode_Keuze,4)="Geen",Methode_Keuze=""),"",AND(X1190&lt;&gt;"",F1190&lt;&gt;"Arbeidskosten"),X1190*VLOOKUP(F1190,Tb_ProjectKosten[],MATCH(Tb_ProjectKosten[[#Headers],[Forfait_Percentage]],Tb_ProjectKosten[#Headers],0),0),AND(F1190="Arbeidskosten",G1190&lt;&gt;""),IFERROR(X1190*VLOOKUP(G1190,Tb_KostenTypen[],3,0)*VLOOKUP(F1190,Tb_ProjectKosten[],MATCH(Tb_ProjectKosten[[#Headers],[Forfait_Percentage]],Tb_ProjectKosten[#Headers],0),0),""),X1190 &lt;=0,0),"")</f>
        <v/>
      </c>
      <c r="AB1190" s="314" t="str">
        <f t="shared" ca="1" si="75"/>
        <v/>
      </c>
      <c r="AC1190" s="322"/>
      <c r="AD1190" s="315"/>
      <c r="AE1190" s="32" t="str" cm="1">
        <f t="array" ref="AE1190">IFERROR(IF(INDEX(SubsidieTabel!$AD$1:$AG$12,MATCH($F1190,SubsidieTabel!$AD$1:$AD$12,0),IFERROR(MATCH(Methode_Keuze,SubsidieTabel!$AD$1:$AG$1,0),2))&lt;&gt;1=TRUE,"ja",""),"")</f>
        <v/>
      </c>
    </row>
    <row r="1191" spans="1:31" x14ac:dyDescent="0.25">
      <c r="A1191" s="316"/>
      <c r="B1191" s="317" t="str">
        <f>IF(A1191&lt;&gt;"",_xlfn.MAXIFS($B$1:B1190,$A$1:A1190,A1191)+1,"")</f>
        <v/>
      </c>
      <c r="C1191" s="296"/>
      <c r="D1191" s="296"/>
      <c r="E1191" s="296"/>
      <c r="F1191" s="296"/>
      <c r="G1191" s="326"/>
      <c r="H1191" s="324"/>
      <c r="I1191" s="325"/>
      <c r="J1191" s="325"/>
      <c r="K1191" s="318"/>
      <c r="L1191" s="318"/>
      <c r="M1191" s="319" t="str">
        <f>IFERROR(VLOOKUP(H1191,Lijsten!$H$1:$I$100,2,0),"")</f>
        <v/>
      </c>
      <c r="N1191" s="319" t="str">
        <f ca="1">IFERROR(IF(VLOOKUP(F1191,Kostentypen!$A$3:$E$21,3,0)=0,"",IF(OR(F1191="Arbeidskosten",F1191="Vergoeding"),VLOOKUP(G1191,Tb_KostenTypen[],2,0),VLOOKUP(F1191,Kostentypen!$A$3:$E$20,3,0))),"")</f>
        <v/>
      </c>
      <c r="O1191" s="320" t="str" cm="1">
        <f t="array" ref="O1191">_xlfn.IFNA(IF(INDEX(Tb_KostenOptiesDB[],MATCH($F1191,Tb_KostenOptiesDB[KostenOptie],0),IFERROR(MATCH(Methode_Keuze,Tb_KostenOptiesDB[#Headers],0),2))=1,_xlfn.SWITCH($N1191,"Uurtarief",IF(OR(AND(RIGHT($F1191,3)="IKS",VLOOKUP($M1191,DB_Loonkosten,2,0)="Ja"),AND(RIGHT($F1191,3)&lt;&gt;"IKS",VLOOKUP($M1191,DB_Loonkosten,2,0)="Nee")),IFERROR(VLOOKUP($M1191,DB_Loonkosten,24,0),""),0),"Vast tarief",IF(LEFT(F1191,8)="Bijdrage",VLOOKUP($F1191,Tb_KostenTypen[],MATCH(Lijsten!$P$1,Tb_KostenTypen[#Headers],0),0),VLOOKUP($G1191,Lijsten!L:P,MATCH(Lijsten!$P$1,Kop_Tarief_Vast,0),0))),""),"")</f>
        <v/>
      </c>
      <c r="P1191" s="320" t="str" cm="1">
        <f t="array" ref="P1191">_xlfn.IFNA(IF(INDEX(Tb_KostenOptiesDB[],MATCH($F1191,Tb_KostenOptiesDB[KostenOptie],0),IFERROR(MATCH(Methode_Keuze,Tb_KostenOptiesDB[#Headers],0),2))=1,_xlfn.SWITCH($N1191,"Uurtarief",IF(OR(AND(RIGHT($F1191,3)="IKS",VLOOKUP($M1191,DB_Loonkosten,2,0)="Ja"),AND(RIGHT($F1191,3)&lt;&gt;"IKS",VLOOKUP($M1191,DB_Loonkosten,2,0)="Nee")),IFERROR(VLOOKUP($M1191,DB_Loonkosten,25,0),""),0),"Vast tarief",IF(LEFT(F1191,8)="Bijdrage",VLOOKUP($F1191,Tb_KostenTypen[],MATCH(Lijsten!$P$1,Tb_KostenTypen[#Headers],0),0),VLOOKUP($G1191,Lijsten!L:P,MATCH(Lijsten!$P$1,Kop_Tarief_Vast,0),0))),""),"")</f>
        <v/>
      </c>
      <c r="Q1191" s="359"/>
      <c r="R1191" s="359"/>
      <c r="S1191" s="321"/>
      <c r="T1191" s="321"/>
      <c r="U1191" s="373" t="str">
        <f t="shared" si="72"/>
        <v/>
      </c>
      <c r="V1191" s="314" t="str">
        <f t="shared" si="73"/>
        <v/>
      </c>
      <c r="W1191" s="314" t="str" cm="1">
        <f t="array" aca="1" ref="W1191" ca="1">IFERROR(IF(AE1191&lt;&gt;"ja",_xlfn.IFNA(_xlfn.IFS(AND(O1191&lt;&gt;"",F1191&lt;&gt;"",RIGHT($N1191,6)="tarief",F1191="Vergoeding"),SUM(O1191)*FLOOR(SUM(Q1191),0.0001),AND(O1191&lt;&gt;"",F1191&lt;&gt;"",RIGHT($N1191,6)="tarief"),SUM(O1191)*FLOOR(SUM(Q1191),0.01),S1191&gt;0,IF(F1191&lt;&gt;"",FLOOR(SUM(S1191),0.01),"")),""),""),"")</f>
        <v/>
      </c>
      <c r="X1191" s="314" t="str" cm="1">
        <f t="array" aca="1" ref="X1191" ca="1">IFERROR(IF(AE1191&lt;&gt;"ja",_xlfn.IFNA(_xlfn.IFS(AND(P1191&lt;&gt;"",R1191&lt;&gt;"",RIGHT($N1191,6)="tarief",F1191="Vergoeding"),SUM(P1191)*FLOOR(SUM(R1191),0.0001),AND(P1191&lt;&gt;"",R1191&lt;&gt;"",RIGHT($N1191,6)="tarief"),P1191*FLOOR(R1191,0.01),T1191&gt;0,FLOOR(SUM(T1191),0.01)),""),""),"")</f>
        <v/>
      </c>
      <c r="Y1191" s="314" t="str">
        <f t="shared" ca="1" si="74"/>
        <v/>
      </c>
      <c r="Z1191" s="314" t="str" cm="1">
        <f t="array" aca="1" ref="Z1191" ca="1">IFERROR(_xlfn.IFS(OR(F1191="",LEFT(Methode_Keuze,4)="Geen",Methode_Keuze=""),"",AND(W1191&lt;&gt;"",F1191&lt;&gt;"Arbeidskosten"),W1191*VLOOKUP(F1191,Tb_ProjectKosten[],MATCH(Tb_ProjectKosten[[#Headers],[Forfait_Percentage]],Tb_ProjectKosten[#Headers],0),0),AND(F1191="Arbeidskosten",G1191&lt;&gt;""),IFERROR(W1191*VLOOKUP(G1191,Tb_KostenTypen[],3,0)*VLOOKUP(F1191,Tb_ProjectKosten[],MATCH(Tb_ProjectKosten[[#Headers],[Forfait_Percentage]],Tb_ProjectKosten[#Headers],0),0),""),W1191 &lt;=0,0),"")</f>
        <v/>
      </c>
      <c r="AA1191" s="314" t="str" cm="1">
        <f t="array" aca="1" ref="AA1191" ca="1">IFERROR(_xlfn.IFS(OR(F1191="",LEFT(Methode_Keuze,4)="Geen",Methode_Keuze=""),"",AND(X1191&lt;&gt;"",F1191&lt;&gt;"Arbeidskosten"),X1191*VLOOKUP(F1191,Tb_ProjectKosten[],MATCH(Tb_ProjectKosten[[#Headers],[Forfait_Percentage]],Tb_ProjectKosten[#Headers],0),0),AND(F1191="Arbeidskosten",G1191&lt;&gt;""),IFERROR(X1191*VLOOKUP(G1191,Tb_KostenTypen[],3,0)*VLOOKUP(F1191,Tb_ProjectKosten[],MATCH(Tb_ProjectKosten[[#Headers],[Forfait_Percentage]],Tb_ProjectKosten[#Headers],0),0),""),X1191 &lt;=0,0),"")</f>
        <v/>
      </c>
      <c r="AB1191" s="314" t="str">
        <f t="shared" ca="1" si="75"/>
        <v/>
      </c>
      <c r="AC1191" s="322"/>
      <c r="AD1191" s="315"/>
      <c r="AE1191" s="32" t="str" cm="1">
        <f t="array" ref="AE1191">IFERROR(IF(INDEX(SubsidieTabel!$AD$1:$AG$12,MATCH($F1191,SubsidieTabel!$AD$1:$AD$12,0),IFERROR(MATCH(Methode_Keuze,SubsidieTabel!$AD$1:$AG$1,0),2))&lt;&gt;1=TRUE,"ja",""),"")</f>
        <v/>
      </c>
    </row>
    <row r="1192" spans="1:31" x14ac:dyDescent="0.25">
      <c r="A1192" s="316"/>
      <c r="B1192" s="317" t="str">
        <f>IF(A1192&lt;&gt;"",_xlfn.MAXIFS($B$1:B1191,$A$1:A1191,A1192)+1,"")</f>
        <v/>
      </c>
      <c r="C1192" s="296"/>
      <c r="D1192" s="296"/>
      <c r="E1192" s="296"/>
      <c r="F1192" s="296"/>
      <c r="G1192" s="326"/>
      <c r="H1192" s="324"/>
      <c r="I1192" s="325"/>
      <c r="J1192" s="325"/>
      <c r="K1192" s="318"/>
      <c r="L1192" s="318"/>
      <c r="M1192" s="319" t="str">
        <f>IFERROR(VLOOKUP(H1192,Lijsten!$H$1:$I$100,2,0),"")</f>
        <v/>
      </c>
      <c r="N1192" s="319" t="str">
        <f ca="1">IFERROR(IF(VLOOKUP(F1192,Kostentypen!$A$3:$E$21,3,0)=0,"",IF(OR(F1192="Arbeidskosten",F1192="Vergoeding"),VLOOKUP(G1192,Tb_KostenTypen[],2,0),VLOOKUP(F1192,Kostentypen!$A$3:$E$20,3,0))),"")</f>
        <v/>
      </c>
      <c r="O1192" s="320" t="str" cm="1">
        <f t="array" ref="O1192">_xlfn.IFNA(IF(INDEX(Tb_KostenOptiesDB[],MATCH($F1192,Tb_KostenOptiesDB[KostenOptie],0),IFERROR(MATCH(Methode_Keuze,Tb_KostenOptiesDB[#Headers],0),2))=1,_xlfn.SWITCH($N1192,"Uurtarief",IF(OR(AND(RIGHT($F1192,3)="IKS",VLOOKUP($M1192,DB_Loonkosten,2,0)="Ja"),AND(RIGHT($F1192,3)&lt;&gt;"IKS",VLOOKUP($M1192,DB_Loonkosten,2,0)="Nee")),IFERROR(VLOOKUP($M1192,DB_Loonkosten,24,0),""),0),"Vast tarief",IF(LEFT(F1192,8)="Bijdrage",VLOOKUP($F1192,Tb_KostenTypen[],MATCH(Lijsten!$P$1,Tb_KostenTypen[#Headers],0),0),VLOOKUP($G1192,Lijsten!L:P,MATCH(Lijsten!$P$1,Kop_Tarief_Vast,0),0))),""),"")</f>
        <v/>
      </c>
      <c r="P1192" s="320" t="str" cm="1">
        <f t="array" ref="P1192">_xlfn.IFNA(IF(INDEX(Tb_KostenOptiesDB[],MATCH($F1192,Tb_KostenOptiesDB[KostenOptie],0),IFERROR(MATCH(Methode_Keuze,Tb_KostenOptiesDB[#Headers],0),2))=1,_xlfn.SWITCH($N1192,"Uurtarief",IF(OR(AND(RIGHT($F1192,3)="IKS",VLOOKUP($M1192,DB_Loonkosten,2,0)="Ja"),AND(RIGHT($F1192,3)&lt;&gt;"IKS",VLOOKUP($M1192,DB_Loonkosten,2,0)="Nee")),IFERROR(VLOOKUP($M1192,DB_Loonkosten,25,0),""),0),"Vast tarief",IF(LEFT(F1192,8)="Bijdrage",VLOOKUP($F1192,Tb_KostenTypen[],MATCH(Lijsten!$P$1,Tb_KostenTypen[#Headers],0),0),VLOOKUP($G1192,Lijsten!L:P,MATCH(Lijsten!$P$1,Kop_Tarief_Vast,0),0))),""),"")</f>
        <v/>
      </c>
      <c r="Q1192" s="359"/>
      <c r="R1192" s="359"/>
      <c r="S1192" s="321"/>
      <c r="T1192" s="321"/>
      <c r="U1192" s="373" t="str">
        <f t="shared" si="72"/>
        <v/>
      </c>
      <c r="V1192" s="314" t="str">
        <f t="shared" si="73"/>
        <v/>
      </c>
      <c r="W1192" s="314" t="str" cm="1">
        <f t="array" aca="1" ref="W1192" ca="1">IFERROR(IF(AE1192&lt;&gt;"ja",_xlfn.IFNA(_xlfn.IFS(AND(O1192&lt;&gt;"",F1192&lt;&gt;"",RIGHT($N1192,6)="tarief",F1192="Vergoeding"),SUM(O1192)*FLOOR(SUM(Q1192),0.0001),AND(O1192&lt;&gt;"",F1192&lt;&gt;"",RIGHT($N1192,6)="tarief"),SUM(O1192)*FLOOR(SUM(Q1192),0.01),S1192&gt;0,IF(F1192&lt;&gt;"",FLOOR(SUM(S1192),0.01),"")),""),""),"")</f>
        <v/>
      </c>
      <c r="X1192" s="314" t="str" cm="1">
        <f t="array" aca="1" ref="X1192" ca="1">IFERROR(IF(AE1192&lt;&gt;"ja",_xlfn.IFNA(_xlfn.IFS(AND(P1192&lt;&gt;"",R1192&lt;&gt;"",RIGHT($N1192,6)="tarief",F1192="Vergoeding"),SUM(P1192)*FLOOR(SUM(R1192),0.0001),AND(P1192&lt;&gt;"",R1192&lt;&gt;"",RIGHT($N1192,6)="tarief"),P1192*FLOOR(R1192,0.01),T1192&gt;0,FLOOR(SUM(T1192),0.01)),""),""),"")</f>
        <v/>
      </c>
      <c r="Y1192" s="314" t="str">
        <f t="shared" ca="1" si="74"/>
        <v/>
      </c>
      <c r="Z1192" s="314" t="str" cm="1">
        <f t="array" aca="1" ref="Z1192" ca="1">IFERROR(_xlfn.IFS(OR(F1192="",LEFT(Methode_Keuze,4)="Geen",Methode_Keuze=""),"",AND(W1192&lt;&gt;"",F1192&lt;&gt;"Arbeidskosten"),W1192*VLOOKUP(F1192,Tb_ProjectKosten[],MATCH(Tb_ProjectKosten[[#Headers],[Forfait_Percentage]],Tb_ProjectKosten[#Headers],0),0),AND(F1192="Arbeidskosten",G1192&lt;&gt;""),IFERROR(W1192*VLOOKUP(G1192,Tb_KostenTypen[],3,0)*VLOOKUP(F1192,Tb_ProjectKosten[],MATCH(Tb_ProjectKosten[[#Headers],[Forfait_Percentage]],Tb_ProjectKosten[#Headers],0),0),""),W1192 &lt;=0,0),"")</f>
        <v/>
      </c>
      <c r="AA1192" s="314" t="str" cm="1">
        <f t="array" aca="1" ref="AA1192" ca="1">IFERROR(_xlfn.IFS(OR(F1192="",LEFT(Methode_Keuze,4)="Geen",Methode_Keuze=""),"",AND(X1192&lt;&gt;"",F1192&lt;&gt;"Arbeidskosten"),X1192*VLOOKUP(F1192,Tb_ProjectKosten[],MATCH(Tb_ProjectKosten[[#Headers],[Forfait_Percentage]],Tb_ProjectKosten[#Headers],0),0),AND(F1192="Arbeidskosten",G1192&lt;&gt;""),IFERROR(X1192*VLOOKUP(G1192,Tb_KostenTypen[],3,0)*VLOOKUP(F1192,Tb_ProjectKosten[],MATCH(Tb_ProjectKosten[[#Headers],[Forfait_Percentage]],Tb_ProjectKosten[#Headers],0),0),""),X1192 &lt;=0,0),"")</f>
        <v/>
      </c>
      <c r="AB1192" s="314" t="str">
        <f t="shared" ca="1" si="75"/>
        <v/>
      </c>
      <c r="AC1192" s="322"/>
      <c r="AD1192" s="315"/>
      <c r="AE1192" s="32" t="str" cm="1">
        <f t="array" ref="AE1192">IFERROR(IF(INDEX(SubsidieTabel!$AD$1:$AG$12,MATCH($F1192,SubsidieTabel!$AD$1:$AD$12,0),IFERROR(MATCH(Methode_Keuze,SubsidieTabel!$AD$1:$AG$1,0),2))&lt;&gt;1=TRUE,"ja",""),"")</f>
        <v/>
      </c>
    </row>
    <row r="1193" spans="1:31" x14ac:dyDescent="0.25">
      <c r="A1193" s="316"/>
      <c r="B1193" s="317" t="str">
        <f>IF(A1193&lt;&gt;"",_xlfn.MAXIFS($B$1:B1192,$A$1:A1192,A1193)+1,"")</f>
        <v/>
      </c>
      <c r="C1193" s="296"/>
      <c r="D1193" s="296"/>
      <c r="E1193" s="296"/>
      <c r="F1193" s="296"/>
      <c r="G1193" s="326"/>
      <c r="H1193" s="324"/>
      <c r="I1193" s="325"/>
      <c r="J1193" s="325"/>
      <c r="K1193" s="318"/>
      <c r="L1193" s="318"/>
      <c r="M1193" s="319" t="str">
        <f>IFERROR(VLOOKUP(H1193,Lijsten!$H$1:$I$100,2,0),"")</f>
        <v/>
      </c>
      <c r="N1193" s="319" t="str">
        <f ca="1">IFERROR(IF(VLOOKUP(F1193,Kostentypen!$A$3:$E$21,3,0)=0,"",IF(OR(F1193="Arbeidskosten",F1193="Vergoeding"),VLOOKUP(G1193,Tb_KostenTypen[],2,0),VLOOKUP(F1193,Kostentypen!$A$3:$E$20,3,0))),"")</f>
        <v/>
      </c>
      <c r="O1193" s="320" t="str" cm="1">
        <f t="array" ref="O1193">_xlfn.IFNA(IF(INDEX(Tb_KostenOptiesDB[],MATCH($F1193,Tb_KostenOptiesDB[KostenOptie],0),IFERROR(MATCH(Methode_Keuze,Tb_KostenOptiesDB[#Headers],0),2))=1,_xlfn.SWITCH($N1193,"Uurtarief",IF(OR(AND(RIGHT($F1193,3)="IKS",VLOOKUP($M1193,DB_Loonkosten,2,0)="Ja"),AND(RIGHT($F1193,3)&lt;&gt;"IKS",VLOOKUP($M1193,DB_Loonkosten,2,0)="Nee")),IFERROR(VLOOKUP($M1193,DB_Loonkosten,24,0),""),0),"Vast tarief",IF(LEFT(F1193,8)="Bijdrage",VLOOKUP($F1193,Tb_KostenTypen[],MATCH(Lijsten!$P$1,Tb_KostenTypen[#Headers],0),0),VLOOKUP($G1193,Lijsten!L:P,MATCH(Lijsten!$P$1,Kop_Tarief_Vast,0),0))),""),"")</f>
        <v/>
      </c>
      <c r="P1193" s="320" t="str" cm="1">
        <f t="array" ref="P1193">_xlfn.IFNA(IF(INDEX(Tb_KostenOptiesDB[],MATCH($F1193,Tb_KostenOptiesDB[KostenOptie],0),IFERROR(MATCH(Methode_Keuze,Tb_KostenOptiesDB[#Headers],0),2))=1,_xlfn.SWITCH($N1193,"Uurtarief",IF(OR(AND(RIGHT($F1193,3)="IKS",VLOOKUP($M1193,DB_Loonkosten,2,0)="Ja"),AND(RIGHT($F1193,3)&lt;&gt;"IKS",VLOOKUP($M1193,DB_Loonkosten,2,0)="Nee")),IFERROR(VLOOKUP($M1193,DB_Loonkosten,25,0),""),0),"Vast tarief",IF(LEFT(F1193,8)="Bijdrage",VLOOKUP($F1193,Tb_KostenTypen[],MATCH(Lijsten!$P$1,Tb_KostenTypen[#Headers],0),0),VLOOKUP($G1193,Lijsten!L:P,MATCH(Lijsten!$P$1,Kop_Tarief_Vast,0),0))),""),"")</f>
        <v/>
      </c>
      <c r="Q1193" s="359"/>
      <c r="R1193" s="359"/>
      <c r="S1193" s="321"/>
      <c r="T1193" s="321"/>
      <c r="U1193" s="373" t="str">
        <f t="shared" si="72"/>
        <v/>
      </c>
      <c r="V1193" s="314" t="str">
        <f t="shared" si="73"/>
        <v/>
      </c>
      <c r="W1193" s="314" t="str" cm="1">
        <f t="array" aca="1" ref="W1193" ca="1">IFERROR(IF(AE1193&lt;&gt;"ja",_xlfn.IFNA(_xlfn.IFS(AND(O1193&lt;&gt;"",F1193&lt;&gt;"",RIGHT($N1193,6)="tarief",F1193="Vergoeding"),SUM(O1193)*FLOOR(SUM(Q1193),0.0001),AND(O1193&lt;&gt;"",F1193&lt;&gt;"",RIGHT($N1193,6)="tarief"),SUM(O1193)*FLOOR(SUM(Q1193),0.01),S1193&gt;0,IF(F1193&lt;&gt;"",FLOOR(SUM(S1193),0.01),"")),""),""),"")</f>
        <v/>
      </c>
      <c r="X1193" s="314" t="str" cm="1">
        <f t="array" aca="1" ref="X1193" ca="1">IFERROR(IF(AE1193&lt;&gt;"ja",_xlfn.IFNA(_xlfn.IFS(AND(P1193&lt;&gt;"",R1193&lt;&gt;"",RIGHT($N1193,6)="tarief",F1193="Vergoeding"),SUM(P1193)*FLOOR(SUM(R1193),0.0001),AND(P1193&lt;&gt;"",R1193&lt;&gt;"",RIGHT($N1193,6)="tarief"),P1193*FLOOR(R1193,0.01),T1193&gt;0,FLOOR(SUM(T1193),0.01)),""),""),"")</f>
        <v/>
      </c>
      <c r="Y1193" s="314" t="str">
        <f t="shared" ca="1" si="74"/>
        <v/>
      </c>
      <c r="Z1193" s="314" t="str" cm="1">
        <f t="array" aca="1" ref="Z1193" ca="1">IFERROR(_xlfn.IFS(OR(F1193="",LEFT(Methode_Keuze,4)="Geen",Methode_Keuze=""),"",AND(W1193&lt;&gt;"",F1193&lt;&gt;"Arbeidskosten"),W1193*VLOOKUP(F1193,Tb_ProjectKosten[],MATCH(Tb_ProjectKosten[[#Headers],[Forfait_Percentage]],Tb_ProjectKosten[#Headers],0),0),AND(F1193="Arbeidskosten",G1193&lt;&gt;""),IFERROR(W1193*VLOOKUP(G1193,Tb_KostenTypen[],3,0)*VLOOKUP(F1193,Tb_ProjectKosten[],MATCH(Tb_ProjectKosten[[#Headers],[Forfait_Percentage]],Tb_ProjectKosten[#Headers],0),0),""),W1193 &lt;=0,0),"")</f>
        <v/>
      </c>
      <c r="AA1193" s="314" t="str" cm="1">
        <f t="array" aca="1" ref="AA1193" ca="1">IFERROR(_xlfn.IFS(OR(F1193="",LEFT(Methode_Keuze,4)="Geen",Methode_Keuze=""),"",AND(X1193&lt;&gt;"",F1193&lt;&gt;"Arbeidskosten"),X1193*VLOOKUP(F1193,Tb_ProjectKosten[],MATCH(Tb_ProjectKosten[[#Headers],[Forfait_Percentage]],Tb_ProjectKosten[#Headers],0),0),AND(F1193="Arbeidskosten",G1193&lt;&gt;""),IFERROR(X1193*VLOOKUP(G1193,Tb_KostenTypen[],3,0)*VLOOKUP(F1193,Tb_ProjectKosten[],MATCH(Tb_ProjectKosten[[#Headers],[Forfait_Percentage]],Tb_ProjectKosten[#Headers],0),0),""),X1193 &lt;=0,0),"")</f>
        <v/>
      </c>
      <c r="AB1193" s="314" t="str">
        <f t="shared" ca="1" si="75"/>
        <v/>
      </c>
      <c r="AC1193" s="322"/>
      <c r="AD1193" s="315"/>
      <c r="AE1193" s="32" t="str" cm="1">
        <f t="array" ref="AE1193">IFERROR(IF(INDEX(SubsidieTabel!$AD$1:$AG$12,MATCH($F1193,SubsidieTabel!$AD$1:$AD$12,0),IFERROR(MATCH(Methode_Keuze,SubsidieTabel!$AD$1:$AG$1,0),2))&lt;&gt;1=TRUE,"ja",""),"")</f>
        <v/>
      </c>
    </row>
    <row r="1194" spans="1:31" x14ac:dyDescent="0.25">
      <c r="A1194" s="316"/>
      <c r="B1194" s="317" t="str">
        <f>IF(A1194&lt;&gt;"",_xlfn.MAXIFS($B$1:B1193,$A$1:A1193,A1194)+1,"")</f>
        <v/>
      </c>
      <c r="C1194" s="296"/>
      <c r="D1194" s="296"/>
      <c r="E1194" s="296"/>
      <c r="F1194" s="296"/>
      <c r="G1194" s="326"/>
      <c r="H1194" s="324"/>
      <c r="I1194" s="325"/>
      <c r="J1194" s="325"/>
      <c r="K1194" s="318"/>
      <c r="L1194" s="318"/>
      <c r="M1194" s="319" t="str">
        <f>IFERROR(VLOOKUP(H1194,Lijsten!$H$1:$I$100,2,0),"")</f>
        <v/>
      </c>
      <c r="N1194" s="319" t="str">
        <f ca="1">IFERROR(IF(VLOOKUP(F1194,Kostentypen!$A$3:$E$21,3,0)=0,"",IF(OR(F1194="Arbeidskosten",F1194="Vergoeding"),VLOOKUP(G1194,Tb_KostenTypen[],2,0),VLOOKUP(F1194,Kostentypen!$A$3:$E$20,3,0))),"")</f>
        <v/>
      </c>
      <c r="O1194" s="320" t="str" cm="1">
        <f t="array" ref="O1194">_xlfn.IFNA(IF(INDEX(Tb_KostenOptiesDB[],MATCH($F1194,Tb_KostenOptiesDB[KostenOptie],0),IFERROR(MATCH(Methode_Keuze,Tb_KostenOptiesDB[#Headers],0),2))=1,_xlfn.SWITCH($N1194,"Uurtarief",IF(OR(AND(RIGHT($F1194,3)="IKS",VLOOKUP($M1194,DB_Loonkosten,2,0)="Ja"),AND(RIGHT($F1194,3)&lt;&gt;"IKS",VLOOKUP($M1194,DB_Loonkosten,2,0)="Nee")),IFERROR(VLOOKUP($M1194,DB_Loonkosten,24,0),""),0),"Vast tarief",IF(LEFT(F1194,8)="Bijdrage",VLOOKUP($F1194,Tb_KostenTypen[],MATCH(Lijsten!$P$1,Tb_KostenTypen[#Headers],0),0),VLOOKUP($G1194,Lijsten!L:P,MATCH(Lijsten!$P$1,Kop_Tarief_Vast,0),0))),""),"")</f>
        <v/>
      </c>
      <c r="P1194" s="320" t="str" cm="1">
        <f t="array" ref="P1194">_xlfn.IFNA(IF(INDEX(Tb_KostenOptiesDB[],MATCH($F1194,Tb_KostenOptiesDB[KostenOptie],0),IFERROR(MATCH(Methode_Keuze,Tb_KostenOptiesDB[#Headers],0),2))=1,_xlfn.SWITCH($N1194,"Uurtarief",IF(OR(AND(RIGHT($F1194,3)="IKS",VLOOKUP($M1194,DB_Loonkosten,2,0)="Ja"),AND(RIGHT($F1194,3)&lt;&gt;"IKS",VLOOKUP($M1194,DB_Loonkosten,2,0)="Nee")),IFERROR(VLOOKUP($M1194,DB_Loonkosten,25,0),""),0),"Vast tarief",IF(LEFT(F1194,8)="Bijdrage",VLOOKUP($F1194,Tb_KostenTypen[],MATCH(Lijsten!$P$1,Tb_KostenTypen[#Headers],0),0),VLOOKUP($G1194,Lijsten!L:P,MATCH(Lijsten!$P$1,Kop_Tarief_Vast,0),0))),""),"")</f>
        <v/>
      </c>
      <c r="Q1194" s="359"/>
      <c r="R1194" s="359"/>
      <c r="S1194" s="321"/>
      <c r="T1194" s="321"/>
      <c r="U1194" s="373" t="str">
        <f t="shared" si="72"/>
        <v/>
      </c>
      <c r="V1194" s="314" t="str">
        <f t="shared" si="73"/>
        <v/>
      </c>
      <c r="W1194" s="314" t="str" cm="1">
        <f t="array" aca="1" ref="W1194" ca="1">IFERROR(IF(AE1194&lt;&gt;"ja",_xlfn.IFNA(_xlfn.IFS(AND(O1194&lt;&gt;"",F1194&lt;&gt;"",RIGHT($N1194,6)="tarief",F1194="Vergoeding"),SUM(O1194)*FLOOR(SUM(Q1194),0.0001),AND(O1194&lt;&gt;"",F1194&lt;&gt;"",RIGHT($N1194,6)="tarief"),SUM(O1194)*FLOOR(SUM(Q1194),0.01),S1194&gt;0,IF(F1194&lt;&gt;"",FLOOR(SUM(S1194),0.01),"")),""),""),"")</f>
        <v/>
      </c>
      <c r="X1194" s="314" t="str" cm="1">
        <f t="array" aca="1" ref="X1194" ca="1">IFERROR(IF(AE1194&lt;&gt;"ja",_xlfn.IFNA(_xlfn.IFS(AND(P1194&lt;&gt;"",R1194&lt;&gt;"",RIGHT($N1194,6)="tarief",F1194="Vergoeding"),SUM(P1194)*FLOOR(SUM(R1194),0.0001),AND(P1194&lt;&gt;"",R1194&lt;&gt;"",RIGHT($N1194,6)="tarief"),P1194*FLOOR(R1194,0.01),T1194&gt;0,FLOOR(SUM(T1194),0.01)),""),""),"")</f>
        <v/>
      </c>
      <c r="Y1194" s="314" t="str">
        <f t="shared" ca="1" si="74"/>
        <v/>
      </c>
      <c r="Z1194" s="314" t="str" cm="1">
        <f t="array" aca="1" ref="Z1194" ca="1">IFERROR(_xlfn.IFS(OR(F1194="",LEFT(Methode_Keuze,4)="Geen",Methode_Keuze=""),"",AND(W1194&lt;&gt;"",F1194&lt;&gt;"Arbeidskosten"),W1194*VLOOKUP(F1194,Tb_ProjectKosten[],MATCH(Tb_ProjectKosten[[#Headers],[Forfait_Percentage]],Tb_ProjectKosten[#Headers],0),0),AND(F1194="Arbeidskosten",G1194&lt;&gt;""),IFERROR(W1194*VLOOKUP(G1194,Tb_KostenTypen[],3,0)*VLOOKUP(F1194,Tb_ProjectKosten[],MATCH(Tb_ProjectKosten[[#Headers],[Forfait_Percentage]],Tb_ProjectKosten[#Headers],0),0),""),W1194 &lt;=0,0),"")</f>
        <v/>
      </c>
      <c r="AA1194" s="314" t="str" cm="1">
        <f t="array" aca="1" ref="AA1194" ca="1">IFERROR(_xlfn.IFS(OR(F1194="",LEFT(Methode_Keuze,4)="Geen",Methode_Keuze=""),"",AND(X1194&lt;&gt;"",F1194&lt;&gt;"Arbeidskosten"),X1194*VLOOKUP(F1194,Tb_ProjectKosten[],MATCH(Tb_ProjectKosten[[#Headers],[Forfait_Percentage]],Tb_ProjectKosten[#Headers],0),0),AND(F1194="Arbeidskosten",G1194&lt;&gt;""),IFERROR(X1194*VLOOKUP(G1194,Tb_KostenTypen[],3,0)*VLOOKUP(F1194,Tb_ProjectKosten[],MATCH(Tb_ProjectKosten[[#Headers],[Forfait_Percentage]],Tb_ProjectKosten[#Headers],0),0),""),X1194 &lt;=0,0),"")</f>
        <v/>
      </c>
      <c r="AB1194" s="314" t="str">
        <f t="shared" ca="1" si="75"/>
        <v/>
      </c>
      <c r="AC1194" s="322"/>
      <c r="AD1194" s="315"/>
      <c r="AE1194" s="32" t="str" cm="1">
        <f t="array" ref="AE1194">IFERROR(IF(INDEX(SubsidieTabel!$AD$1:$AG$12,MATCH($F1194,SubsidieTabel!$AD$1:$AD$12,0),IFERROR(MATCH(Methode_Keuze,SubsidieTabel!$AD$1:$AG$1,0),2))&lt;&gt;1=TRUE,"ja",""),"")</f>
        <v/>
      </c>
    </row>
    <row r="1195" spans="1:31" x14ac:dyDescent="0.25">
      <c r="A1195" s="316"/>
      <c r="B1195" s="317" t="str">
        <f>IF(A1195&lt;&gt;"",_xlfn.MAXIFS($B$1:B1194,$A$1:A1194,A1195)+1,"")</f>
        <v/>
      </c>
      <c r="C1195" s="296"/>
      <c r="D1195" s="296"/>
      <c r="E1195" s="296"/>
      <c r="F1195" s="296"/>
      <c r="G1195" s="326"/>
      <c r="H1195" s="324"/>
      <c r="I1195" s="325"/>
      <c r="J1195" s="325"/>
      <c r="K1195" s="318"/>
      <c r="L1195" s="318"/>
      <c r="M1195" s="319" t="str">
        <f>IFERROR(VLOOKUP(H1195,Lijsten!$H$1:$I$100,2,0),"")</f>
        <v/>
      </c>
      <c r="N1195" s="319" t="str">
        <f ca="1">IFERROR(IF(VLOOKUP(F1195,Kostentypen!$A$3:$E$21,3,0)=0,"",IF(OR(F1195="Arbeidskosten",F1195="Vergoeding"),VLOOKUP(G1195,Tb_KostenTypen[],2,0),VLOOKUP(F1195,Kostentypen!$A$3:$E$20,3,0))),"")</f>
        <v/>
      </c>
      <c r="O1195" s="320" t="str" cm="1">
        <f t="array" ref="O1195">_xlfn.IFNA(IF(INDEX(Tb_KostenOptiesDB[],MATCH($F1195,Tb_KostenOptiesDB[KostenOptie],0),IFERROR(MATCH(Methode_Keuze,Tb_KostenOptiesDB[#Headers],0),2))=1,_xlfn.SWITCH($N1195,"Uurtarief",IF(OR(AND(RIGHT($F1195,3)="IKS",VLOOKUP($M1195,DB_Loonkosten,2,0)="Ja"),AND(RIGHT($F1195,3)&lt;&gt;"IKS",VLOOKUP($M1195,DB_Loonkosten,2,0)="Nee")),IFERROR(VLOOKUP($M1195,DB_Loonkosten,24,0),""),0),"Vast tarief",IF(LEFT(F1195,8)="Bijdrage",VLOOKUP($F1195,Tb_KostenTypen[],MATCH(Lijsten!$P$1,Tb_KostenTypen[#Headers],0),0),VLOOKUP($G1195,Lijsten!L:P,MATCH(Lijsten!$P$1,Kop_Tarief_Vast,0),0))),""),"")</f>
        <v/>
      </c>
      <c r="P1195" s="320" t="str" cm="1">
        <f t="array" ref="P1195">_xlfn.IFNA(IF(INDEX(Tb_KostenOptiesDB[],MATCH($F1195,Tb_KostenOptiesDB[KostenOptie],0),IFERROR(MATCH(Methode_Keuze,Tb_KostenOptiesDB[#Headers],0),2))=1,_xlfn.SWITCH($N1195,"Uurtarief",IF(OR(AND(RIGHT($F1195,3)="IKS",VLOOKUP($M1195,DB_Loonkosten,2,0)="Ja"),AND(RIGHT($F1195,3)&lt;&gt;"IKS",VLOOKUP($M1195,DB_Loonkosten,2,0)="Nee")),IFERROR(VLOOKUP($M1195,DB_Loonkosten,25,0),""),0),"Vast tarief",IF(LEFT(F1195,8)="Bijdrage",VLOOKUP($F1195,Tb_KostenTypen[],MATCH(Lijsten!$P$1,Tb_KostenTypen[#Headers],0),0),VLOOKUP($G1195,Lijsten!L:P,MATCH(Lijsten!$P$1,Kop_Tarief_Vast,0),0))),""),"")</f>
        <v/>
      </c>
      <c r="Q1195" s="359"/>
      <c r="R1195" s="359"/>
      <c r="S1195" s="321"/>
      <c r="T1195" s="321"/>
      <c r="U1195" s="373" t="str">
        <f t="shared" si="72"/>
        <v/>
      </c>
      <c r="V1195" s="314" t="str">
        <f t="shared" si="73"/>
        <v/>
      </c>
      <c r="W1195" s="314" t="str" cm="1">
        <f t="array" aca="1" ref="W1195" ca="1">IFERROR(IF(AE1195&lt;&gt;"ja",_xlfn.IFNA(_xlfn.IFS(AND(O1195&lt;&gt;"",F1195&lt;&gt;"",RIGHT($N1195,6)="tarief",F1195="Vergoeding"),SUM(O1195)*FLOOR(SUM(Q1195),0.0001),AND(O1195&lt;&gt;"",F1195&lt;&gt;"",RIGHT($N1195,6)="tarief"),SUM(O1195)*FLOOR(SUM(Q1195),0.01),S1195&gt;0,IF(F1195&lt;&gt;"",FLOOR(SUM(S1195),0.01),"")),""),""),"")</f>
        <v/>
      </c>
      <c r="X1195" s="314" t="str" cm="1">
        <f t="array" aca="1" ref="X1195" ca="1">IFERROR(IF(AE1195&lt;&gt;"ja",_xlfn.IFNA(_xlfn.IFS(AND(P1195&lt;&gt;"",R1195&lt;&gt;"",RIGHT($N1195,6)="tarief",F1195="Vergoeding"),SUM(P1195)*FLOOR(SUM(R1195),0.0001),AND(P1195&lt;&gt;"",R1195&lt;&gt;"",RIGHT($N1195,6)="tarief"),P1195*FLOOR(R1195,0.01),T1195&gt;0,FLOOR(SUM(T1195),0.01)),""),""),"")</f>
        <v/>
      </c>
      <c r="Y1195" s="314" t="str">
        <f t="shared" ca="1" si="74"/>
        <v/>
      </c>
      <c r="Z1195" s="314" t="str" cm="1">
        <f t="array" aca="1" ref="Z1195" ca="1">IFERROR(_xlfn.IFS(OR(F1195="",LEFT(Methode_Keuze,4)="Geen",Methode_Keuze=""),"",AND(W1195&lt;&gt;"",F1195&lt;&gt;"Arbeidskosten"),W1195*VLOOKUP(F1195,Tb_ProjectKosten[],MATCH(Tb_ProjectKosten[[#Headers],[Forfait_Percentage]],Tb_ProjectKosten[#Headers],0),0),AND(F1195="Arbeidskosten",G1195&lt;&gt;""),IFERROR(W1195*VLOOKUP(G1195,Tb_KostenTypen[],3,0)*VLOOKUP(F1195,Tb_ProjectKosten[],MATCH(Tb_ProjectKosten[[#Headers],[Forfait_Percentage]],Tb_ProjectKosten[#Headers],0),0),""),W1195 &lt;=0,0),"")</f>
        <v/>
      </c>
      <c r="AA1195" s="314" t="str" cm="1">
        <f t="array" aca="1" ref="AA1195" ca="1">IFERROR(_xlfn.IFS(OR(F1195="",LEFT(Methode_Keuze,4)="Geen",Methode_Keuze=""),"",AND(X1195&lt;&gt;"",F1195&lt;&gt;"Arbeidskosten"),X1195*VLOOKUP(F1195,Tb_ProjectKosten[],MATCH(Tb_ProjectKosten[[#Headers],[Forfait_Percentage]],Tb_ProjectKosten[#Headers],0),0),AND(F1195="Arbeidskosten",G1195&lt;&gt;""),IFERROR(X1195*VLOOKUP(G1195,Tb_KostenTypen[],3,0)*VLOOKUP(F1195,Tb_ProjectKosten[],MATCH(Tb_ProjectKosten[[#Headers],[Forfait_Percentage]],Tb_ProjectKosten[#Headers],0),0),""),X1195 &lt;=0,0),"")</f>
        <v/>
      </c>
      <c r="AB1195" s="314" t="str">
        <f t="shared" ca="1" si="75"/>
        <v/>
      </c>
      <c r="AC1195" s="322"/>
      <c r="AD1195" s="315"/>
      <c r="AE1195" s="32" t="str" cm="1">
        <f t="array" ref="AE1195">IFERROR(IF(INDEX(SubsidieTabel!$AD$1:$AG$12,MATCH($F1195,SubsidieTabel!$AD$1:$AD$12,0),IFERROR(MATCH(Methode_Keuze,SubsidieTabel!$AD$1:$AG$1,0),2))&lt;&gt;1=TRUE,"ja",""),"")</f>
        <v/>
      </c>
    </row>
    <row r="1196" spans="1:31" x14ac:dyDescent="0.25">
      <c r="A1196" s="316"/>
      <c r="B1196" s="317" t="str">
        <f>IF(A1196&lt;&gt;"",_xlfn.MAXIFS($B$1:B1195,$A$1:A1195,A1196)+1,"")</f>
        <v/>
      </c>
      <c r="C1196" s="296"/>
      <c r="D1196" s="296"/>
      <c r="E1196" s="296"/>
      <c r="F1196" s="296"/>
      <c r="G1196" s="326"/>
      <c r="H1196" s="324"/>
      <c r="I1196" s="325"/>
      <c r="J1196" s="325"/>
      <c r="K1196" s="318"/>
      <c r="L1196" s="318"/>
      <c r="M1196" s="319" t="str">
        <f>IFERROR(VLOOKUP(H1196,Lijsten!$H$1:$I$100,2,0),"")</f>
        <v/>
      </c>
      <c r="N1196" s="319" t="str">
        <f ca="1">IFERROR(IF(VLOOKUP(F1196,Kostentypen!$A$3:$E$21,3,0)=0,"",IF(OR(F1196="Arbeidskosten",F1196="Vergoeding"),VLOOKUP(G1196,Tb_KostenTypen[],2,0),VLOOKUP(F1196,Kostentypen!$A$3:$E$20,3,0))),"")</f>
        <v/>
      </c>
      <c r="O1196" s="320" t="str" cm="1">
        <f t="array" ref="O1196">_xlfn.IFNA(IF(INDEX(Tb_KostenOptiesDB[],MATCH($F1196,Tb_KostenOptiesDB[KostenOptie],0),IFERROR(MATCH(Methode_Keuze,Tb_KostenOptiesDB[#Headers],0),2))=1,_xlfn.SWITCH($N1196,"Uurtarief",IF(OR(AND(RIGHT($F1196,3)="IKS",VLOOKUP($M1196,DB_Loonkosten,2,0)="Ja"),AND(RIGHT($F1196,3)&lt;&gt;"IKS",VLOOKUP($M1196,DB_Loonkosten,2,0)="Nee")),IFERROR(VLOOKUP($M1196,DB_Loonkosten,24,0),""),0),"Vast tarief",IF(LEFT(F1196,8)="Bijdrage",VLOOKUP($F1196,Tb_KostenTypen[],MATCH(Lijsten!$P$1,Tb_KostenTypen[#Headers],0),0),VLOOKUP($G1196,Lijsten!L:P,MATCH(Lijsten!$P$1,Kop_Tarief_Vast,0),0))),""),"")</f>
        <v/>
      </c>
      <c r="P1196" s="320" t="str" cm="1">
        <f t="array" ref="P1196">_xlfn.IFNA(IF(INDEX(Tb_KostenOptiesDB[],MATCH($F1196,Tb_KostenOptiesDB[KostenOptie],0),IFERROR(MATCH(Methode_Keuze,Tb_KostenOptiesDB[#Headers],0),2))=1,_xlfn.SWITCH($N1196,"Uurtarief",IF(OR(AND(RIGHT($F1196,3)="IKS",VLOOKUP($M1196,DB_Loonkosten,2,0)="Ja"),AND(RIGHT($F1196,3)&lt;&gt;"IKS",VLOOKUP($M1196,DB_Loonkosten,2,0)="Nee")),IFERROR(VLOOKUP($M1196,DB_Loonkosten,25,0),""),0),"Vast tarief",IF(LEFT(F1196,8)="Bijdrage",VLOOKUP($F1196,Tb_KostenTypen[],MATCH(Lijsten!$P$1,Tb_KostenTypen[#Headers],0),0),VLOOKUP($G1196,Lijsten!L:P,MATCH(Lijsten!$P$1,Kop_Tarief_Vast,0),0))),""),"")</f>
        <v/>
      </c>
      <c r="Q1196" s="359"/>
      <c r="R1196" s="359"/>
      <c r="S1196" s="321"/>
      <c r="T1196" s="321"/>
      <c r="U1196" s="373" t="str">
        <f t="shared" si="72"/>
        <v/>
      </c>
      <c r="V1196" s="314" t="str">
        <f t="shared" si="73"/>
        <v/>
      </c>
      <c r="W1196" s="314" t="str" cm="1">
        <f t="array" aca="1" ref="W1196" ca="1">IFERROR(IF(AE1196&lt;&gt;"ja",_xlfn.IFNA(_xlfn.IFS(AND(O1196&lt;&gt;"",F1196&lt;&gt;"",RIGHT($N1196,6)="tarief",F1196="Vergoeding"),SUM(O1196)*FLOOR(SUM(Q1196),0.0001),AND(O1196&lt;&gt;"",F1196&lt;&gt;"",RIGHT($N1196,6)="tarief"),SUM(O1196)*FLOOR(SUM(Q1196),0.01),S1196&gt;0,IF(F1196&lt;&gt;"",FLOOR(SUM(S1196),0.01),"")),""),""),"")</f>
        <v/>
      </c>
      <c r="X1196" s="314" t="str" cm="1">
        <f t="array" aca="1" ref="X1196" ca="1">IFERROR(IF(AE1196&lt;&gt;"ja",_xlfn.IFNA(_xlfn.IFS(AND(P1196&lt;&gt;"",R1196&lt;&gt;"",RIGHT($N1196,6)="tarief",F1196="Vergoeding"),SUM(P1196)*FLOOR(SUM(R1196),0.0001),AND(P1196&lt;&gt;"",R1196&lt;&gt;"",RIGHT($N1196,6)="tarief"),P1196*FLOOR(R1196,0.01),T1196&gt;0,FLOOR(SUM(T1196),0.01)),""),""),"")</f>
        <v/>
      </c>
      <c r="Y1196" s="314" t="str">
        <f t="shared" ca="1" si="74"/>
        <v/>
      </c>
      <c r="Z1196" s="314" t="str" cm="1">
        <f t="array" aca="1" ref="Z1196" ca="1">IFERROR(_xlfn.IFS(OR(F1196="",LEFT(Methode_Keuze,4)="Geen",Methode_Keuze=""),"",AND(W1196&lt;&gt;"",F1196&lt;&gt;"Arbeidskosten"),W1196*VLOOKUP(F1196,Tb_ProjectKosten[],MATCH(Tb_ProjectKosten[[#Headers],[Forfait_Percentage]],Tb_ProjectKosten[#Headers],0),0),AND(F1196="Arbeidskosten",G1196&lt;&gt;""),IFERROR(W1196*VLOOKUP(G1196,Tb_KostenTypen[],3,0)*VLOOKUP(F1196,Tb_ProjectKosten[],MATCH(Tb_ProjectKosten[[#Headers],[Forfait_Percentage]],Tb_ProjectKosten[#Headers],0),0),""),W1196 &lt;=0,0),"")</f>
        <v/>
      </c>
      <c r="AA1196" s="314" t="str" cm="1">
        <f t="array" aca="1" ref="AA1196" ca="1">IFERROR(_xlfn.IFS(OR(F1196="",LEFT(Methode_Keuze,4)="Geen",Methode_Keuze=""),"",AND(X1196&lt;&gt;"",F1196&lt;&gt;"Arbeidskosten"),X1196*VLOOKUP(F1196,Tb_ProjectKosten[],MATCH(Tb_ProjectKosten[[#Headers],[Forfait_Percentage]],Tb_ProjectKosten[#Headers],0),0),AND(F1196="Arbeidskosten",G1196&lt;&gt;""),IFERROR(X1196*VLOOKUP(G1196,Tb_KostenTypen[],3,0)*VLOOKUP(F1196,Tb_ProjectKosten[],MATCH(Tb_ProjectKosten[[#Headers],[Forfait_Percentage]],Tb_ProjectKosten[#Headers],0),0),""),X1196 &lt;=0,0),"")</f>
        <v/>
      </c>
      <c r="AB1196" s="314" t="str">
        <f t="shared" ca="1" si="75"/>
        <v/>
      </c>
      <c r="AC1196" s="322"/>
      <c r="AD1196" s="315"/>
      <c r="AE1196" s="32" t="str" cm="1">
        <f t="array" ref="AE1196">IFERROR(IF(INDEX(SubsidieTabel!$AD$1:$AG$12,MATCH($F1196,SubsidieTabel!$AD$1:$AD$12,0),IFERROR(MATCH(Methode_Keuze,SubsidieTabel!$AD$1:$AG$1,0),2))&lt;&gt;1=TRUE,"ja",""),"")</f>
        <v/>
      </c>
    </row>
    <row r="1197" spans="1:31" x14ac:dyDescent="0.25">
      <c r="A1197" s="316"/>
      <c r="B1197" s="317" t="str">
        <f>IF(A1197&lt;&gt;"",_xlfn.MAXIFS($B$1:B1196,$A$1:A1196,A1197)+1,"")</f>
        <v/>
      </c>
      <c r="C1197" s="296"/>
      <c r="D1197" s="296"/>
      <c r="E1197" s="296"/>
      <c r="F1197" s="296"/>
      <c r="G1197" s="326"/>
      <c r="H1197" s="324"/>
      <c r="I1197" s="325"/>
      <c r="J1197" s="325"/>
      <c r="K1197" s="318"/>
      <c r="L1197" s="318"/>
      <c r="M1197" s="319" t="str">
        <f>IFERROR(VLOOKUP(H1197,Lijsten!$H$1:$I$100,2,0),"")</f>
        <v/>
      </c>
      <c r="N1197" s="319" t="str">
        <f ca="1">IFERROR(IF(VLOOKUP(F1197,Kostentypen!$A$3:$E$21,3,0)=0,"",IF(OR(F1197="Arbeidskosten",F1197="Vergoeding"),VLOOKUP(G1197,Tb_KostenTypen[],2,0),VLOOKUP(F1197,Kostentypen!$A$3:$E$20,3,0))),"")</f>
        <v/>
      </c>
      <c r="O1197" s="320" t="str" cm="1">
        <f t="array" ref="O1197">_xlfn.IFNA(IF(INDEX(Tb_KostenOptiesDB[],MATCH($F1197,Tb_KostenOptiesDB[KostenOptie],0),IFERROR(MATCH(Methode_Keuze,Tb_KostenOptiesDB[#Headers],0),2))=1,_xlfn.SWITCH($N1197,"Uurtarief",IF(OR(AND(RIGHT($F1197,3)="IKS",VLOOKUP($M1197,DB_Loonkosten,2,0)="Ja"),AND(RIGHT($F1197,3)&lt;&gt;"IKS",VLOOKUP($M1197,DB_Loonkosten,2,0)="Nee")),IFERROR(VLOOKUP($M1197,DB_Loonkosten,24,0),""),0),"Vast tarief",IF(LEFT(F1197,8)="Bijdrage",VLOOKUP($F1197,Tb_KostenTypen[],MATCH(Lijsten!$P$1,Tb_KostenTypen[#Headers],0),0),VLOOKUP($G1197,Lijsten!L:P,MATCH(Lijsten!$P$1,Kop_Tarief_Vast,0),0))),""),"")</f>
        <v/>
      </c>
      <c r="P1197" s="320" t="str" cm="1">
        <f t="array" ref="P1197">_xlfn.IFNA(IF(INDEX(Tb_KostenOptiesDB[],MATCH($F1197,Tb_KostenOptiesDB[KostenOptie],0),IFERROR(MATCH(Methode_Keuze,Tb_KostenOptiesDB[#Headers],0),2))=1,_xlfn.SWITCH($N1197,"Uurtarief",IF(OR(AND(RIGHT($F1197,3)="IKS",VLOOKUP($M1197,DB_Loonkosten,2,0)="Ja"),AND(RIGHT($F1197,3)&lt;&gt;"IKS",VLOOKUP($M1197,DB_Loonkosten,2,0)="Nee")),IFERROR(VLOOKUP($M1197,DB_Loonkosten,25,0),""),0),"Vast tarief",IF(LEFT(F1197,8)="Bijdrage",VLOOKUP($F1197,Tb_KostenTypen[],MATCH(Lijsten!$P$1,Tb_KostenTypen[#Headers],0),0),VLOOKUP($G1197,Lijsten!L:P,MATCH(Lijsten!$P$1,Kop_Tarief_Vast,0),0))),""),"")</f>
        <v/>
      </c>
      <c r="Q1197" s="359"/>
      <c r="R1197" s="359"/>
      <c r="S1197" s="321"/>
      <c r="T1197" s="321"/>
      <c r="U1197" s="373" t="str">
        <f t="shared" si="72"/>
        <v/>
      </c>
      <c r="V1197" s="314" t="str">
        <f t="shared" si="73"/>
        <v/>
      </c>
      <c r="W1197" s="314" t="str" cm="1">
        <f t="array" aca="1" ref="W1197" ca="1">IFERROR(IF(AE1197&lt;&gt;"ja",_xlfn.IFNA(_xlfn.IFS(AND(O1197&lt;&gt;"",F1197&lt;&gt;"",RIGHT($N1197,6)="tarief",F1197="Vergoeding"),SUM(O1197)*FLOOR(SUM(Q1197),0.0001),AND(O1197&lt;&gt;"",F1197&lt;&gt;"",RIGHT($N1197,6)="tarief"),SUM(O1197)*FLOOR(SUM(Q1197),0.01),S1197&gt;0,IF(F1197&lt;&gt;"",FLOOR(SUM(S1197),0.01),"")),""),""),"")</f>
        <v/>
      </c>
      <c r="X1197" s="314" t="str" cm="1">
        <f t="array" aca="1" ref="X1197" ca="1">IFERROR(IF(AE1197&lt;&gt;"ja",_xlfn.IFNA(_xlfn.IFS(AND(P1197&lt;&gt;"",R1197&lt;&gt;"",RIGHT($N1197,6)="tarief",F1197="Vergoeding"),SUM(P1197)*FLOOR(SUM(R1197),0.0001),AND(P1197&lt;&gt;"",R1197&lt;&gt;"",RIGHT($N1197,6)="tarief"),P1197*FLOOR(R1197,0.01),T1197&gt;0,FLOOR(SUM(T1197),0.01)),""),""),"")</f>
        <v/>
      </c>
      <c r="Y1197" s="314" t="str">
        <f t="shared" ca="1" si="74"/>
        <v/>
      </c>
      <c r="Z1197" s="314" t="str" cm="1">
        <f t="array" aca="1" ref="Z1197" ca="1">IFERROR(_xlfn.IFS(OR(F1197="",LEFT(Methode_Keuze,4)="Geen",Methode_Keuze=""),"",AND(W1197&lt;&gt;"",F1197&lt;&gt;"Arbeidskosten"),W1197*VLOOKUP(F1197,Tb_ProjectKosten[],MATCH(Tb_ProjectKosten[[#Headers],[Forfait_Percentage]],Tb_ProjectKosten[#Headers],0),0),AND(F1197="Arbeidskosten",G1197&lt;&gt;""),IFERROR(W1197*VLOOKUP(G1197,Tb_KostenTypen[],3,0)*VLOOKUP(F1197,Tb_ProjectKosten[],MATCH(Tb_ProjectKosten[[#Headers],[Forfait_Percentage]],Tb_ProjectKosten[#Headers],0),0),""),W1197 &lt;=0,0),"")</f>
        <v/>
      </c>
      <c r="AA1197" s="314" t="str" cm="1">
        <f t="array" aca="1" ref="AA1197" ca="1">IFERROR(_xlfn.IFS(OR(F1197="",LEFT(Methode_Keuze,4)="Geen",Methode_Keuze=""),"",AND(X1197&lt;&gt;"",F1197&lt;&gt;"Arbeidskosten"),X1197*VLOOKUP(F1197,Tb_ProjectKosten[],MATCH(Tb_ProjectKosten[[#Headers],[Forfait_Percentage]],Tb_ProjectKosten[#Headers],0),0),AND(F1197="Arbeidskosten",G1197&lt;&gt;""),IFERROR(X1197*VLOOKUP(G1197,Tb_KostenTypen[],3,0)*VLOOKUP(F1197,Tb_ProjectKosten[],MATCH(Tb_ProjectKosten[[#Headers],[Forfait_Percentage]],Tb_ProjectKosten[#Headers],0),0),""),X1197 &lt;=0,0),"")</f>
        <v/>
      </c>
      <c r="AB1197" s="314" t="str">
        <f t="shared" ca="1" si="75"/>
        <v/>
      </c>
      <c r="AC1197" s="322"/>
      <c r="AD1197" s="315"/>
      <c r="AE1197" s="32" t="str" cm="1">
        <f t="array" ref="AE1197">IFERROR(IF(INDEX(SubsidieTabel!$AD$1:$AG$12,MATCH($F1197,SubsidieTabel!$AD$1:$AD$12,0),IFERROR(MATCH(Methode_Keuze,SubsidieTabel!$AD$1:$AG$1,0),2))&lt;&gt;1=TRUE,"ja",""),"")</f>
        <v/>
      </c>
    </row>
    <row r="1198" spans="1:31" x14ac:dyDescent="0.25">
      <c r="A1198" s="316"/>
      <c r="B1198" s="317" t="str">
        <f>IF(A1198&lt;&gt;"",_xlfn.MAXIFS($B$1:B1197,$A$1:A1197,A1198)+1,"")</f>
        <v/>
      </c>
      <c r="C1198" s="296"/>
      <c r="D1198" s="296"/>
      <c r="E1198" s="296"/>
      <c r="F1198" s="296"/>
      <c r="G1198" s="326"/>
      <c r="H1198" s="324"/>
      <c r="I1198" s="325"/>
      <c r="J1198" s="325"/>
      <c r="K1198" s="318"/>
      <c r="L1198" s="318"/>
      <c r="M1198" s="319" t="str">
        <f>IFERROR(VLOOKUP(H1198,Lijsten!$H$1:$I$100,2,0),"")</f>
        <v/>
      </c>
      <c r="N1198" s="319" t="str">
        <f ca="1">IFERROR(IF(VLOOKUP(F1198,Kostentypen!$A$3:$E$21,3,0)=0,"",IF(OR(F1198="Arbeidskosten",F1198="Vergoeding"),VLOOKUP(G1198,Tb_KostenTypen[],2,0),VLOOKUP(F1198,Kostentypen!$A$3:$E$20,3,0))),"")</f>
        <v/>
      </c>
      <c r="O1198" s="320" t="str" cm="1">
        <f t="array" ref="O1198">_xlfn.IFNA(IF(INDEX(Tb_KostenOptiesDB[],MATCH($F1198,Tb_KostenOptiesDB[KostenOptie],0),IFERROR(MATCH(Methode_Keuze,Tb_KostenOptiesDB[#Headers],0),2))=1,_xlfn.SWITCH($N1198,"Uurtarief",IF(OR(AND(RIGHT($F1198,3)="IKS",VLOOKUP($M1198,DB_Loonkosten,2,0)="Ja"),AND(RIGHT($F1198,3)&lt;&gt;"IKS",VLOOKUP($M1198,DB_Loonkosten,2,0)="Nee")),IFERROR(VLOOKUP($M1198,DB_Loonkosten,24,0),""),0),"Vast tarief",IF(LEFT(F1198,8)="Bijdrage",VLOOKUP($F1198,Tb_KostenTypen[],MATCH(Lijsten!$P$1,Tb_KostenTypen[#Headers],0),0),VLOOKUP($G1198,Lijsten!L:P,MATCH(Lijsten!$P$1,Kop_Tarief_Vast,0),0))),""),"")</f>
        <v/>
      </c>
      <c r="P1198" s="320" t="str" cm="1">
        <f t="array" ref="P1198">_xlfn.IFNA(IF(INDEX(Tb_KostenOptiesDB[],MATCH($F1198,Tb_KostenOptiesDB[KostenOptie],0),IFERROR(MATCH(Methode_Keuze,Tb_KostenOptiesDB[#Headers],0),2))=1,_xlfn.SWITCH($N1198,"Uurtarief",IF(OR(AND(RIGHT($F1198,3)="IKS",VLOOKUP($M1198,DB_Loonkosten,2,0)="Ja"),AND(RIGHT($F1198,3)&lt;&gt;"IKS",VLOOKUP($M1198,DB_Loonkosten,2,0)="Nee")),IFERROR(VLOOKUP($M1198,DB_Loonkosten,25,0),""),0),"Vast tarief",IF(LEFT(F1198,8)="Bijdrage",VLOOKUP($F1198,Tb_KostenTypen[],MATCH(Lijsten!$P$1,Tb_KostenTypen[#Headers],0),0),VLOOKUP($G1198,Lijsten!L:P,MATCH(Lijsten!$P$1,Kop_Tarief_Vast,0),0))),""),"")</f>
        <v/>
      </c>
      <c r="Q1198" s="359"/>
      <c r="R1198" s="359"/>
      <c r="S1198" s="321"/>
      <c r="T1198" s="321"/>
      <c r="U1198" s="373" t="str">
        <f t="shared" si="72"/>
        <v/>
      </c>
      <c r="V1198" s="314" t="str">
        <f t="shared" si="73"/>
        <v/>
      </c>
      <c r="W1198" s="314" t="str" cm="1">
        <f t="array" aca="1" ref="W1198" ca="1">IFERROR(IF(AE1198&lt;&gt;"ja",_xlfn.IFNA(_xlfn.IFS(AND(O1198&lt;&gt;"",F1198&lt;&gt;"",RIGHT($N1198,6)="tarief",F1198="Vergoeding"),SUM(O1198)*FLOOR(SUM(Q1198),0.0001),AND(O1198&lt;&gt;"",F1198&lt;&gt;"",RIGHT($N1198,6)="tarief"),SUM(O1198)*FLOOR(SUM(Q1198),0.01),S1198&gt;0,IF(F1198&lt;&gt;"",FLOOR(SUM(S1198),0.01),"")),""),""),"")</f>
        <v/>
      </c>
      <c r="X1198" s="314" t="str" cm="1">
        <f t="array" aca="1" ref="X1198" ca="1">IFERROR(IF(AE1198&lt;&gt;"ja",_xlfn.IFNA(_xlfn.IFS(AND(P1198&lt;&gt;"",R1198&lt;&gt;"",RIGHT($N1198,6)="tarief",F1198="Vergoeding"),SUM(P1198)*FLOOR(SUM(R1198),0.0001),AND(P1198&lt;&gt;"",R1198&lt;&gt;"",RIGHT($N1198,6)="tarief"),P1198*FLOOR(R1198,0.01),T1198&gt;0,FLOOR(SUM(T1198),0.01)),""),""),"")</f>
        <v/>
      </c>
      <c r="Y1198" s="314" t="str">
        <f t="shared" ca="1" si="74"/>
        <v/>
      </c>
      <c r="Z1198" s="314" t="str" cm="1">
        <f t="array" aca="1" ref="Z1198" ca="1">IFERROR(_xlfn.IFS(OR(F1198="",LEFT(Methode_Keuze,4)="Geen",Methode_Keuze=""),"",AND(W1198&lt;&gt;"",F1198&lt;&gt;"Arbeidskosten"),W1198*VLOOKUP(F1198,Tb_ProjectKosten[],MATCH(Tb_ProjectKosten[[#Headers],[Forfait_Percentage]],Tb_ProjectKosten[#Headers],0),0),AND(F1198="Arbeidskosten",G1198&lt;&gt;""),IFERROR(W1198*VLOOKUP(G1198,Tb_KostenTypen[],3,0)*VLOOKUP(F1198,Tb_ProjectKosten[],MATCH(Tb_ProjectKosten[[#Headers],[Forfait_Percentage]],Tb_ProjectKosten[#Headers],0),0),""),W1198 &lt;=0,0),"")</f>
        <v/>
      </c>
      <c r="AA1198" s="314" t="str" cm="1">
        <f t="array" aca="1" ref="AA1198" ca="1">IFERROR(_xlfn.IFS(OR(F1198="",LEFT(Methode_Keuze,4)="Geen",Methode_Keuze=""),"",AND(X1198&lt;&gt;"",F1198&lt;&gt;"Arbeidskosten"),X1198*VLOOKUP(F1198,Tb_ProjectKosten[],MATCH(Tb_ProjectKosten[[#Headers],[Forfait_Percentage]],Tb_ProjectKosten[#Headers],0),0),AND(F1198="Arbeidskosten",G1198&lt;&gt;""),IFERROR(X1198*VLOOKUP(G1198,Tb_KostenTypen[],3,0)*VLOOKUP(F1198,Tb_ProjectKosten[],MATCH(Tb_ProjectKosten[[#Headers],[Forfait_Percentage]],Tb_ProjectKosten[#Headers],0),0),""),X1198 &lt;=0,0),"")</f>
        <v/>
      </c>
      <c r="AB1198" s="314" t="str">
        <f t="shared" ca="1" si="75"/>
        <v/>
      </c>
      <c r="AC1198" s="322"/>
      <c r="AD1198" s="315"/>
      <c r="AE1198" s="32" t="str" cm="1">
        <f t="array" ref="AE1198">IFERROR(IF(INDEX(SubsidieTabel!$AD$1:$AG$12,MATCH($F1198,SubsidieTabel!$AD$1:$AD$12,0),IFERROR(MATCH(Methode_Keuze,SubsidieTabel!$AD$1:$AG$1,0),2))&lt;&gt;1=TRUE,"ja",""),"")</f>
        <v/>
      </c>
    </row>
    <row r="1199" spans="1:31" x14ac:dyDescent="0.25">
      <c r="A1199" s="316"/>
      <c r="B1199" s="317" t="str">
        <f>IF(A1199&lt;&gt;"",_xlfn.MAXIFS($B$1:B1198,$A$1:A1198,A1199)+1,"")</f>
        <v/>
      </c>
      <c r="C1199" s="296"/>
      <c r="D1199" s="296"/>
      <c r="E1199" s="296"/>
      <c r="F1199" s="296"/>
      <c r="G1199" s="326"/>
      <c r="H1199" s="324"/>
      <c r="I1199" s="325"/>
      <c r="J1199" s="325"/>
      <c r="K1199" s="318"/>
      <c r="L1199" s="318"/>
      <c r="M1199" s="319" t="str">
        <f>IFERROR(VLOOKUP(H1199,Lijsten!$H$1:$I$100,2,0),"")</f>
        <v/>
      </c>
      <c r="N1199" s="319" t="str">
        <f ca="1">IFERROR(IF(VLOOKUP(F1199,Kostentypen!$A$3:$E$21,3,0)=0,"",IF(OR(F1199="Arbeidskosten",F1199="Vergoeding"),VLOOKUP(G1199,Tb_KostenTypen[],2,0),VLOOKUP(F1199,Kostentypen!$A$3:$E$20,3,0))),"")</f>
        <v/>
      </c>
      <c r="O1199" s="320" t="str" cm="1">
        <f t="array" ref="O1199">_xlfn.IFNA(IF(INDEX(Tb_KostenOptiesDB[],MATCH($F1199,Tb_KostenOptiesDB[KostenOptie],0),IFERROR(MATCH(Methode_Keuze,Tb_KostenOptiesDB[#Headers],0),2))=1,_xlfn.SWITCH($N1199,"Uurtarief",IF(OR(AND(RIGHT($F1199,3)="IKS",VLOOKUP($M1199,DB_Loonkosten,2,0)="Ja"),AND(RIGHT($F1199,3)&lt;&gt;"IKS",VLOOKUP($M1199,DB_Loonkosten,2,0)="Nee")),IFERROR(VLOOKUP($M1199,DB_Loonkosten,24,0),""),0),"Vast tarief",IF(LEFT(F1199,8)="Bijdrage",VLOOKUP($F1199,Tb_KostenTypen[],MATCH(Lijsten!$P$1,Tb_KostenTypen[#Headers],0),0),VLOOKUP($G1199,Lijsten!L:P,MATCH(Lijsten!$P$1,Kop_Tarief_Vast,0),0))),""),"")</f>
        <v/>
      </c>
      <c r="P1199" s="320" t="str" cm="1">
        <f t="array" ref="P1199">_xlfn.IFNA(IF(INDEX(Tb_KostenOptiesDB[],MATCH($F1199,Tb_KostenOptiesDB[KostenOptie],0),IFERROR(MATCH(Methode_Keuze,Tb_KostenOptiesDB[#Headers],0),2))=1,_xlfn.SWITCH($N1199,"Uurtarief",IF(OR(AND(RIGHT($F1199,3)="IKS",VLOOKUP($M1199,DB_Loonkosten,2,0)="Ja"),AND(RIGHT($F1199,3)&lt;&gt;"IKS",VLOOKUP($M1199,DB_Loonkosten,2,0)="Nee")),IFERROR(VLOOKUP($M1199,DB_Loonkosten,25,0),""),0),"Vast tarief",IF(LEFT(F1199,8)="Bijdrage",VLOOKUP($F1199,Tb_KostenTypen[],MATCH(Lijsten!$P$1,Tb_KostenTypen[#Headers],0),0),VLOOKUP($G1199,Lijsten!L:P,MATCH(Lijsten!$P$1,Kop_Tarief_Vast,0),0))),""),"")</f>
        <v/>
      </c>
      <c r="Q1199" s="359"/>
      <c r="R1199" s="359"/>
      <c r="S1199" s="321"/>
      <c r="T1199" s="321"/>
      <c r="U1199" s="373" t="str">
        <f t="shared" si="72"/>
        <v/>
      </c>
      <c r="V1199" s="314" t="str">
        <f t="shared" si="73"/>
        <v/>
      </c>
      <c r="W1199" s="314" t="str" cm="1">
        <f t="array" aca="1" ref="W1199" ca="1">IFERROR(IF(AE1199&lt;&gt;"ja",_xlfn.IFNA(_xlfn.IFS(AND(O1199&lt;&gt;"",F1199&lt;&gt;"",RIGHT($N1199,6)="tarief",F1199="Vergoeding"),SUM(O1199)*FLOOR(SUM(Q1199),0.0001),AND(O1199&lt;&gt;"",F1199&lt;&gt;"",RIGHT($N1199,6)="tarief"),SUM(O1199)*FLOOR(SUM(Q1199),0.01),S1199&gt;0,IF(F1199&lt;&gt;"",FLOOR(SUM(S1199),0.01),"")),""),""),"")</f>
        <v/>
      </c>
      <c r="X1199" s="314" t="str" cm="1">
        <f t="array" aca="1" ref="X1199" ca="1">IFERROR(IF(AE1199&lt;&gt;"ja",_xlfn.IFNA(_xlfn.IFS(AND(P1199&lt;&gt;"",R1199&lt;&gt;"",RIGHT($N1199,6)="tarief",F1199="Vergoeding"),SUM(P1199)*FLOOR(SUM(R1199),0.0001),AND(P1199&lt;&gt;"",R1199&lt;&gt;"",RIGHT($N1199,6)="tarief"),P1199*FLOOR(R1199,0.01),T1199&gt;0,FLOOR(SUM(T1199),0.01)),""),""),"")</f>
        <v/>
      </c>
      <c r="Y1199" s="314" t="str">
        <f t="shared" ca="1" si="74"/>
        <v/>
      </c>
      <c r="Z1199" s="314" t="str" cm="1">
        <f t="array" aca="1" ref="Z1199" ca="1">IFERROR(_xlfn.IFS(OR(F1199="",LEFT(Methode_Keuze,4)="Geen",Methode_Keuze=""),"",AND(W1199&lt;&gt;"",F1199&lt;&gt;"Arbeidskosten"),W1199*VLOOKUP(F1199,Tb_ProjectKosten[],MATCH(Tb_ProjectKosten[[#Headers],[Forfait_Percentage]],Tb_ProjectKosten[#Headers],0),0),AND(F1199="Arbeidskosten",G1199&lt;&gt;""),IFERROR(W1199*VLOOKUP(G1199,Tb_KostenTypen[],3,0)*VLOOKUP(F1199,Tb_ProjectKosten[],MATCH(Tb_ProjectKosten[[#Headers],[Forfait_Percentage]],Tb_ProjectKosten[#Headers],0),0),""),W1199 &lt;=0,0),"")</f>
        <v/>
      </c>
      <c r="AA1199" s="314" t="str" cm="1">
        <f t="array" aca="1" ref="AA1199" ca="1">IFERROR(_xlfn.IFS(OR(F1199="",LEFT(Methode_Keuze,4)="Geen",Methode_Keuze=""),"",AND(X1199&lt;&gt;"",F1199&lt;&gt;"Arbeidskosten"),X1199*VLOOKUP(F1199,Tb_ProjectKosten[],MATCH(Tb_ProjectKosten[[#Headers],[Forfait_Percentage]],Tb_ProjectKosten[#Headers],0),0),AND(F1199="Arbeidskosten",G1199&lt;&gt;""),IFERROR(X1199*VLOOKUP(G1199,Tb_KostenTypen[],3,0)*VLOOKUP(F1199,Tb_ProjectKosten[],MATCH(Tb_ProjectKosten[[#Headers],[Forfait_Percentage]],Tb_ProjectKosten[#Headers],0),0),""),X1199 &lt;=0,0),"")</f>
        <v/>
      </c>
      <c r="AB1199" s="314" t="str">
        <f t="shared" ca="1" si="75"/>
        <v/>
      </c>
      <c r="AC1199" s="322"/>
      <c r="AD1199" s="315"/>
      <c r="AE1199" s="32" t="str" cm="1">
        <f t="array" ref="AE1199">IFERROR(IF(INDEX(SubsidieTabel!$AD$1:$AG$12,MATCH($F1199,SubsidieTabel!$AD$1:$AD$12,0),IFERROR(MATCH(Methode_Keuze,SubsidieTabel!$AD$1:$AG$1,0),2))&lt;&gt;1=TRUE,"ja",""),"")</f>
        <v/>
      </c>
    </row>
    <row r="1200" spans="1:31" x14ac:dyDescent="0.25">
      <c r="A1200" s="316"/>
      <c r="B1200" s="317" t="str">
        <f>IF(A1200&lt;&gt;"",_xlfn.MAXIFS($B$1:B1199,$A$1:A1199,A1200)+1,"")</f>
        <v/>
      </c>
      <c r="C1200" s="296"/>
      <c r="D1200" s="296"/>
      <c r="E1200" s="296"/>
      <c r="F1200" s="296"/>
      <c r="G1200" s="326"/>
      <c r="H1200" s="324"/>
      <c r="I1200" s="325"/>
      <c r="J1200" s="325"/>
      <c r="K1200" s="318"/>
      <c r="L1200" s="318"/>
      <c r="M1200" s="319" t="str">
        <f>IFERROR(VLOOKUP(H1200,Lijsten!$H$1:$I$100,2,0),"")</f>
        <v/>
      </c>
      <c r="N1200" s="319" t="str">
        <f ca="1">IFERROR(IF(VLOOKUP(F1200,Kostentypen!$A$3:$E$21,3,0)=0,"",IF(OR(F1200="Arbeidskosten",F1200="Vergoeding"),VLOOKUP(G1200,Tb_KostenTypen[],2,0),VLOOKUP(F1200,Kostentypen!$A$3:$E$20,3,0))),"")</f>
        <v/>
      </c>
      <c r="O1200" s="320" t="str" cm="1">
        <f t="array" ref="O1200">_xlfn.IFNA(IF(INDEX(Tb_KostenOptiesDB[],MATCH($F1200,Tb_KostenOptiesDB[KostenOptie],0),IFERROR(MATCH(Methode_Keuze,Tb_KostenOptiesDB[#Headers],0),2))=1,_xlfn.SWITCH($N1200,"Uurtarief",IF(OR(AND(RIGHT($F1200,3)="IKS",VLOOKUP($M1200,DB_Loonkosten,2,0)="Ja"),AND(RIGHT($F1200,3)&lt;&gt;"IKS",VLOOKUP($M1200,DB_Loonkosten,2,0)="Nee")),IFERROR(VLOOKUP($M1200,DB_Loonkosten,24,0),""),0),"Vast tarief",IF(LEFT(F1200,8)="Bijdrage",VLOOKUP($F1200,Tb_KostenTypen[],MATCH(Lijsten!$P$1,Tb_KostenTypen[#Headers],0),0),VLOOKUP($G1200,Lijsten!L:P,MATCH(Lijsten!$P$1,Kop_Tarief_Vast,0),0))),""),"")</f>
        <v/>
      </c>
      <c r="P1200" s="320" t="str" cm="1">
        <f t="array" ref="P1200">_xlfn.IFNA(IF(INDEX(Tb_KostenOptiesDB[],MATCH($F1200,Tb_KostenOptiesDB[KostenOptie],0),IFERROR(MATCH(Methode_Keuze,Tb_KostenOptiesDB[#Headers],0),2))=1,_xlfn.SWITCH($N1200,"Uurtarief",IF(OR(AND(RIGHT($F1200,3)="IKS",VLOOKUP($M1200,DB_Loonkosten,2,0)="Ja"),AND(RIGHT($F1200,3)&lt;&gt;"IKS",VLOOKUP($M1200,DB_Loonkosten,2,0)="Nee")),IFERROR(VLOOKUP($M1200,DB_Loonkosten,25,0),""),0),"Vast tarief",IF(LEFT(F1200,8)="Bijdrage",VLOOKUP($F1200,Tb_KostenTypen[],MATCH(Lijsten!$P$1,Tb_KostenTypen[#Headers],0),0),VLOOKUP($G1200,Lijsten!L:P,MATCH(Lijsten!$P$1,Kop_Tarief_Vast,0),0))),""),"")</f>
        <v/>
      </c>
      <c r="Q1200" s="359"/>
      <c r="R1200" s="359"/>
      <c r="S1200" s="321"/>
      <c r="T1200" s="321"/>
      <c r="U1200" s="373" t="str">
        <f t="shared" si="72"/>
        <v/>
      </c>
      <c r="V1200" s="314" t="str">
        <f t="shared" si="73"/>
        <v/>
      </c>
      <c r="W1200" s="314" t="str" cm="1">
        <f t="array" aca="1" ref="W1200" ca="1">IFERROR(IF(AE1200&lt;&gt;"ja",_xlfn.IFNA(_xlfn.IFS(AND(O1200&lt;&gt;"",F1200&lt;&gt;"",RIGHT($N1200,6)="tarief",F1200="Vergoeding"),SUM(O1200)*FLOOR(SUM(Q1200),0.0001),AND(O1200&lt;&gt;"",F1200&lt;&gt;"",RIGHT($N1200,6)="tarief"),SUM(O1200)*FLOOR(SUM(Q1200),0.01),S1200&gt;0,IF(F1200&lt;&gt;"",FLOOR(SUM(S1200),0.01),"")),""),""),"")</f>
        <v/>
      </c>
      <c r="X1200" s="314" t="str" cm="1">
        <f t="array" aca="1" ref="X1200" ca="1">IFERROR(IF(AE1200&lt;&gt;"ja",_xlfn.IFNA(_xlfn.IFS(AND(P1200&lt;&gt;"",R1200&lt;&gt;"",RIGHT($N1200,6)="tarief",F1200="Vergoeding"),SUM(P1200)*FLOOR(SUM(R1200),0.0001),AND(P1200&lt;&gt;"",R1200&lt;&gt;"",RIGHT($N1200,6)="tarief"),P1200*FLOOR(R1200,0.01),T1200&gt;0,FLOOR(SUM(T1200),0.01)),""),""),"")</f>
        <v/>
      </c>
      <c r="Y1200" s="314" t="str">
        <f t="shared" ca="1" si="74"/>
        <v/>
      </c>
      <c r="Z1200" s="314" t="str" cm="1">
        <f t="array" aca="1" ref="Z1200" ca="1">IFERROR(_xlfn.IFS(OR(F1200="",LEFT(Methode_Keuze,4)="Geen",Methode_Keuze=""),"",AND(W1200&lt;&gt;"",F1200&lt;&gt;"Arbeidskosten"),W1200*VLOOKUP(F1200,Tb_ProjectKosten[],MATCH(Tb_ProjectKosten[[#Headers],[Forfait_Percentage]],Tb_ProjectKosten[#Headers],0),0),AND(F1200="Arbeidskosten",G1200&lt;&gt;""),IFERROR(W1200*VLOOKUP(G1200,Tb_KostenTypen[],3,0)*VLOOKUP(F1200,Tb_ProjectKosten[],MATCH(Tb_ProjectKosten[[#Headers],[Forfait_Percentage]],Tb_ProjectKosten[#Headers],0),0),""),W1200 &lt;=0,0),"")</f>
        <v/>
      </c>
      <c r="AA1200" s="314" t="str" cm="1">
        <f t="array" aca="1" ref="AA1200" ca="1">IFERROR(_xlfn.IFS(OR(F1200="",LEFT(Methode_Keuze,4)="Geen",Methode_Keuze=""),"",AND(X1200&lt;&gt;"",F1200&lt;&gt;"Arbeidskosten"),X1200*VLOOKUP(F1200,Tb_ProjectKosten[],MATCH(Tb_ProjectKosten[[#Headers],[Forfait_Percentage]],Tb_ProjectKosten[#Headers],0),0),AND(F1200="Arbeidskosten",G1200&lt;&gt;""),IFERROR(X1200*VLOOKUP(G1200,Tb_KostenTypen[],3,0)*VLOOKUP(F1200,Tb_ProjectKosten[],MATCH(Tb_ProjectKosten[[#Headers],[Forfait_Percentage]],Tb_ProjectKosten[#Headers],0),0),""),X1200 &lt;=0,0),"")</f>
        <v/>
      </c>
      <c r="AB1200" s="314" t="str">
        <f t="shared" ca="1" si="75"/>
        <v/>
      </c>
      <c r="AC1200" s="322"/>
      <c r="AD1200" s="315"/>
      <c r="AE1200" s="32" t="str" cm="1">
        <f t="array" ref="AE1200">IFERROR(IF(INDEX(SubsidieTabel!$AD$1:$AG$12,MATCH($F1200,SubsidieTabel!$AD$1:$AD$12,0),IFERROR(MATCH(Methode_Keuze,SubsidieTabel!$AD$1:$AG$1,0),2))&lt;&gt;1=TRUE,"ja",""),"")</f>
        <v/>
      </c>
    </row>
    <row r="1201" spans="1:31" x14ac:dyDescent="0.25">
      <c r="A1201" s="316"/>
      <c r="B1201" s="317" t="str">
        <f>IF(A1201&lt;&gt;"",_xlfn.MAXIFS($B$1:B1200,$A$1:A1200,A1201)+1,"")</f>
        <v/>
      </c>
      <c r="C1201" s="296"/>
      <c r="D1201" s="296"/>
      <c r="E1201" s="296"/>
      <c r="F1201" s="296"/>
      <c r="G1201" s="326"/>
      <c r="H1201" s="324"/>
      <c r="I1201" s="325"/>
      <c r="J1201" s="325"/>
      <c r="K1201" s="318"/>
      <c r="L1201" s="318"/>
      <c r="M1201" s="319" t="str">
        <f>IFERROR(VLOOKUP(H1201,Lijsten!$H$1:$I$100,2,0),"")</f>
        <v/>
      </c>
      <c r="N1201" s="319" t="str">
        <f ca="1">IFERROR(IF(VLOOKUP(F1201,Kostentypen!$A$3:$E$21,3,0)=0,"",IF(OR(F1201="Arbeidskosten",F1201="Vergoeding"),VLOOKUP(G1201,Tb_KostenTypen[],2,0),VLOOKUP(F1201,Kostentypen!$A$3:$E$20,3,0))),"")</f>
        <v/>
      </c>
      <c r="O1201" s="320" t="str" cm="1">
        <f t="array" ref="O1201">_xlfn.IFNA(IF(INDEX(Tb_KostenOptiesDB[],MATCH($F1201,Tb_KostenOptiesDB[KostenOptie],0),IFERROR(MATCH(Methode_Keuze,Tb_KostenOptiesDB[#Headers],0),2))=1,_xlfn.SWITCH($N1201,"Uurtarief",IF(OR(AND(RIGHT($F1201,3)="IKS",VLOOKUP($M1201,DB_Loonkosten,2,0)="Ja"),AND(RIGHT($F1201,3)&lt;&gt;"IKS",VLOOKUP($M1201,DB_Loonkosten,2,0)="Nee")),IFERROR(VLOOKUP($M1201,DB_Loonkosten,24,0),""),0),"Vast tarief",IF(LEFT(F1201,8)="Bijdrage",VLOOKUP($F1201,Tb_KostenTypen[],MATCH(Lijsten!$P$1,Tb_KostenTypen[#Headers],0),0),VLOOKUP($G1201,Lijsten!L:P,MATCH(Lijsten!$P$1,Kop_Tarief_Vast,0),0))),""),"")</f>
        <v/>
      </c>
      <c r="P1201" s="320" t="str" cm="1">
        <f t="array" ref="P1201">_xlfn.IFNA(IF(INDEX(Tb_KostenOptiesDB[],MATCH($F1201,Tb_KostenOptiesDB[KostenOptie],0),IFERROR(MATCH(Methode_Keuze,Tb_KostenOptiesDB[#Headers],0),2))=1,_xlfn.SWITCH($N1201,"Uurtarief",IF(OR(AND(RIGHT($F1201,3)="IKS",VLOOKUP($M1201,DB_Loonkosten,2,0)="Ja"),AND(RIGHT($F1201,3)&lt;&gt;"IKS",VLOOKUP($M1201,DB_Loonkosten,2,0)="Nee")),IFERROR(VLOOKUP($M1201,DB_Loonkosten,25,0),""),0),"Vast tarief",IF(LEFT(F1201,8)="Bijdrage",VLOOKUP($F1201,Tb_KostenTypen[],MATCH(Lijsten!$P$1,Tb_KostenTypen[#Headers],0),0),VLOOKUP($G1201,Lijsten!L:P,MATCH(Lijsten!$P$1,Kop_Tarief_Vast,0),0))),""),"")</f>
        <v/>
      </c>
      <c r="Q1201" s="359"/>
      <c r="R1201" s="359"/>
      <c r="S1201" s="321"/>
      <c r="T1201" s="321"/>
      <c r="U1201" s="373" t="str">
        <f t="shared" si="72"/>
        <v/>
      </c>
      <c r="V1201" s="314" t="str">
        <f t="shared" si="73"/>
        <v/>
      </c>
      <c r="W1201" s="314" t="str" cm="1">
        <f t="array" aca="1" ref="W1201" ca="1">IFERROR(IF(AE1201&lt;&gt;"ja",_xlfn.IFNA(_xlfn.IFS(AND(O1201&lt;&gt;"",F1201&lt;&gt;"",RIGHT($N1201,6)="tarief",F1201="Vergoeding"),SUM(O1201)*FLOOR(SUM(Q1201),0.0001),AND(O1201&lt;&gt;"",F1201&lt;&gt;"",RIGHT($N1201,6)="tarief"),SUM(O1201)*FLOOR(SUM(Q1201),0.01),S1201&gt;0,IF(F1201&lt;&gt;"",FLOOR(SUM(S1201),0.01),"")),""),""),"")</f>
        <v/>
      </c>
      <c r="X1201" s="314" t="str" cm="1">
        <f t="array" aca="1" ref="X1201" ca="1">IFERROR(IF(AE1201&lt;&gt;"ja",_xlfn.IFNA(_xlfn.IFS(AND(P1201&lt;&gt;"",R1201&lt;&gt;"",RIGHT($N1201,6)="tarief",F1201="Vergoeding"),SUM(P1201)*FLOOR(SUM(R1201),0.0001),AND(P1201&lt;&gt;"",R1201&lt;&gt;"",RIGHT($N1201,6)="tarief"),P1201*FLOOR(R1201,0.01),T1201&gt;0,FLOOR(SUM(T1201),0.01)),""),""),"")</f>
        <v/>
      </c>
      <c r="Y1201" s="314" t="str">
        <f t="shared" ca="1" si="74"/>
        <v/>
      </c>
      <c r="Z1201" s="314" t="str" cm="1">
        <f t="array" aca="1" ref="Z1201" ca="1">IFERROR(_xlfn.IFS(OR(F1201="",LEFT(Methode_Keuze,4)="Geen",Methode_Keuze=""),"",AND(W1201&lt;&gt;"",F1201&lt;&gt;"Arbeidskosten"),W1201*VLOOKUP(F1201,Tb_ProjectKosten[],MATCH(Tb_ProjectKosten[[#Headers],[Forfait_Percentage]],Tb_ProjectKosten[#Headers],0),0),AND(F1201="Arbeidskosten",G1201&lt;&gt;""),IFERROR(W1201*VLOOKUP(G1201,Tb_KostenTypen[],3,0)*VLOOKUP(F1201,Tb_ProjectKosten[],MATCH(Tb_ProjectKosten[[#Headers],[Forfait_Percentage]],Tb_ProjectKosten[#Headers],0),0),""),W1201 &lt;=0,0),"")</f>
        <v/>
      </c>
      <c r="AA1201" s="314" t="str" cm="1">
        <f t="array" aca="1" ref="AA1201" ca="1">IFERROR(_xlfn.IFS(OR(F1201="",LEFT(Methode_Keuze,4)="Geen",Methode_Keuze=""),"",AND(X1201&lt;&gt;"",F1201&lt;&gt;"Arbeidskosten"),X1201*VLOOKUP(F1201,Tb_ProjectKosten[],MATCH(Tb_ProjectKosten[[#Headers],[Forfait_Percentage]],Tb_ProjectKosten[#Headers],0),0),AND(F1201="Arbeidskosten",G1201&lt;&gt;""),IFERROR(X1201*VLOOKUP(G1201,Tb_KostenTypen[],3,0)*VLOOKUP(F1201,Tb_ProjectKosten[],MATCH(Tb_ProjectKosten[[#Headers],[Forfait_Percentage]],Tb_ProjectKosten[#Headers],0),0),""),X1201 &lt;=0,0),"")</f>
        <v/>
      </c>
      <c r="AB1201" s="314" t="str">
        <f t="shared" ca="1" si="75"/>
        <v/>
      </c>
      <c r="AC1201" s="322"/>
      <c r="AD1201" s="315"/>
      <c r="AE1201" s="32" t="str" cm="1">
        <f t="array" ref="AE1201">IFERROR(IF(INDEX(SubsidieTabel!$AD$1:$AG$12,MATCH($F1201,SubsidieTabel!$AD$1:$AD$12,0),IFERROR(MATCH(Methode_Keuze,SubsidieTabel!$AD$1:$AG$1,0),2))&lt;&gt;1=TRUE,"ja",""),"")</f>
        <v/>
      </c>
    </row>
    <row r="1202" spans="1:31" x14ac:dyDescent="0.25">
      <c r="A1202" s="316"/>
      <c r="B1202" s="317" t="str">
        <f>IF(A1202&lt;&gt;"",_xlfn.MAXIFS($B$1:B1201,$A$1:A1201,A1202)+1,"")</f>
        <v/>
      </c>
      <c r="C1202" s="296"/>
      <c r="D1202" s="296"/>
      <c r="E1202" s="296"/>
      <c r="F1202" s="296"/>
      <c r="G1202" s="326"/>
      <c r="H1202" s="324"/>
      <c r="I1202" s="325"/>
      <c r="J1202" s="325"/>
      <c r="K1202" s="318"/>
      <c r="L1202" s="318"/>
      <c r="M1202" s="319" t="str">
        <f>IFERROR(VLOOKUP(H1202,Lijsten!$H$1:$I$100,2,0),"")</f>
        <v/>
      </c>
      <c r="N1202" s="319" t="str">
        <f ca="1">IFERROR(IF(VLOOKUP(F1202,Kostentypen!$A$3:$E$21,3,0)=0,"",IF(OR(F1202="Arbeidskosten",F1202="Vergoeding"),VLOOKUP(G1202,Tb_KostenTypen[],2,0),VLOOKUP(F1202,Kostentypen!$A$3:$E$20,3,0))),"")</f>
        <v/>
      </c>
      <c r="O1202" s="320" t="str" cm="1">
        <f t="array" ref="O1202">_xlfn.IFNA(IF(INDEX(Tb_KostenOptiesDB[],MATCH($F1202,Tb_KostenOptiesDB[KostenOptie],0),IFERROR(MATCH(Methode_Keuze,Tb_KostenOptiesDB[#Headers],0),2))=1,_xlfn.SWITCH($N1202,"Uurtarief",IF(OR(AND(RIGHT($F1202,3)="IKS",VLOOKUP($M1202,DB_Loonkosten,2,0)="Ja"),AND(RIGHT($F1202,3)&lt;&gt;"IKS",VLOOKUP($M1202,DB_Loonkosten,2,0)="Nee")),IFERROR(VLOOKUP($M1202,DB_Loonkosten,24,0),""),0),"Vast tarief",IF(LEFT(F1202,8)="Bijdrage",VLOOKUP($F1202,Tb_KostenTypen[],MATCH(Lijsten!$P$1,Tb_KostenTypen[#Headers],0),0),VLOOKUP($G1202,Lijsten!L:P,MATCH(Lijsten!$P$1,Kop_Tarief_Vast,0),0))),""),"")</f>
        <v/>
      </c>
      <c r="P1202" s="320" t="str" cm="1">
        <f t="array" ref="P1202">_xlfn.IFNA(IF(INDEX(Tb_KostenOptiesDB[],MATCH($F1202,Tb_KostenOptiesDB[KostenOptie],0),IFERROR(MATCH(Methode_Keuze,Tb_KostenOptiesDB[#Headers],0),2))=1,_xlfn.SWITCH($N1202,"Uurtarief",IF(OR(AND(RIGHT($F1202,3)="IKS",VLOOKUP($M1202,DB_Loonkosten,2,0)="Ja"),AND(RIGHT($F1202,3)&lt;&gt;"IKS",VLOOKUP($M1202,DB_Loonkosten,2,0)="Nee")),IFERROR(VLOOKUP($M1202,DB_Loonkosten,25,0),""),0),"Vast tarief",IF(LEFT(F1202,8)="Bijdrage",VLOOKUP($F1202,Tb_KostenTypen[],MATCH(Lijsten!$P$1,Tb_KostenTypen[#Headers],0),0),VLOOKUP($G1202,Lijsten!L:P,MATCH(Lijsten!$P$1,Kop_Tarief_Vast,0),0))),""),"")</f>
        <v/>
      </c>
      <c r="Q1202" s="359"/>
      <c r="R1202" s="359"/>
      <c r="S1202" s="321"/>
      <c r="T1202" s="321"/>
      <c r="U1202" s="373" t="str">
        <f t="shared" si="72"/>
        <v/>
      </c>
      <c r="V1202" s="314" t="str">
        <f t="shared" si="73"/>
        <v/>
      </c>
      <c r="W1202" s="314" t="str" cm="1">
        <f t="array" aca="1" ref="W1202" ca="1">IFERROR(IF(AE1202&lt;&gt;"ja",_xlfn.IFNA(_xlfn.IFS(AND(O1202&lt;&gt;"",F1202&lt;&gt;"",RIGHT($N1202,6)="tarief",F1202="Vergoeding"),SUM(O1202)*FLOOR(SUM(Q1202),0.0001),AND(O1202&lt;&gt;"",F1202&lt;&gt;"",RIGHT($N1202,6)="tarief"),SUM(O1202)*FLOOR(SUM(Q1202),0.01),S1202&gt;0,IF(F1202&lt;&gt;"",FLOOR(SUM(S1202),0.01),"")),""),""),"")</f>
        <v/>
      </c>
      <c r="X1202" s="314" t="str" cm="1">
        <f t="array" aca="1" ref="X1202" ca="1">IFERROR(IF(AE1202&lt;&gt;"ja",_xlfn.IFNA(_xlfn.IFS(AND(P1202&lt;&gt;"",R1202&lt;&gt;"",RIGHT($N1202,6)="tarief",F1202="Vergoeding"),SUM(P1202)*FLOOR(SUM(R1202),0.0001),AND(P1202&lt;&gt;"",R1202&lt;&gt;"",RIGHT($N1202,6)="tarief"),P1202*FLOOR(R1202,0.01),T1202&gt;0,FLOOR(SUM(T1202),0.01)),""),""),"")</f>
        <v/>
      </c>
      <c r="Y1202" s="314" t="str">
        <f t="shared" ca="1" si="74"/>
        <v/>
      </c>
      <c r="Z1202" s="314" t="str" cm="1">
        <f t="array" aca="1" ref="Z1202" ca="1">IFERROR(_xlfn.IFS(OR(F1202="",LEFT(Methode_Keuze,4)="Geen",Methode_Keuze=""),"",AND(W1202&lt;&gt;"",F1202&lt;&gt;"Arbeidskosten"),W1202*VLOOKUP(F1202,Tb_ProjectKosten[],MATCH(Tb_ProjectKosten[[#Headers],[Forfait_Percentage]],Tb_ProjectKosten[#Headers],0),0),AND(F1202="Arbeidskosten",G1202&lt;&gt;""),IFERROR(W1202*VLOOKUP(G1202,Tb_KostenTypen[],3,0)*VLOOKUP(F1202,Tb_ProjectKosten[],MATCH(Tb_ProjectKosten[[#Headers],[Forfait_Percentage]],Tb_ProjectKosten[#Headers],0),0),""),W1202 &lt;=0,0),"")</f>
        <v/>
      </c>
      <c r="AA1202" s="314" t="str" cm="1">
        <f t="array" aca="1" ref="AA1202" ca="1">IFERROR(_xlfn.IFS(OR(F1202="",LEFT(Methode_Keuze,4)="Geen",Methode_Keuze=""),"",AND(X1202&lt;&gt;"",F1202&lt;&gt;"Arbeidskosten"),X1202*VLOOKUP(F1202,Tb_ProjectKosten[],MATCH(Tb_ProjectKosten[[#Headers],[Forfait_Percentage]],Tb_ProjectKosten[#Headers],0),0),AND(F1202="Arbeidskosten",G1202&lt;&gt;""),IFERROR(X1202*VLOOKUP(G1202,Tb_KostenTypen[],3,0)*VLOOKUP(F1202,Tb_ProjectKosten[],MATCH(Tb_ProjectKosten[[#Headers],[Forfait_Percentage]],Tb_ProjectKosten[#Headers],0),0),""),X1202 &lt;=0,0),"")</f>
        <v/>
      </c>
      <c r="AB1202" s="314" t="str">
        <f t="shared" ca="1" si="75"/>
        <v/>
      </c>
      <c r="AC1202" s="322"/>
      <c r="AD1202" s="315"/>
      <c r="AE1202" s="32" t="str" cm="1">
        <f t="array" ref="AE1202">IFERROR(IF(INDEX(SubsidieTabel!$AD$1:$AG$12,MATCH($F1202,SubsidieTabel!$AD$1:$AD$12,0),IFERROR(MATCH(Methode_Keuze,SubsidieTabel!$AD$1:$AG$1,0),2))&lt;&gt;1=TRUE,"ja",""),"")</f>
        <v/>
      </c>
    </row>
    <row r="1203" spans="1:31" x14ac:dyDescent="0.25">
      <c r="A1203" s="316"/>
      <c r="B1203" s="317" t="str">
        <f>IF(A1203&lt;&gt;"",_xlfn.MAXIFS($B$1:B1202,$A$1:A1202,A1203)+1,"")</f>
        <v/>
      </c>
      <c r="C1203" s="296"/>
      <c r="D1203" s="296"/>
      <c r="E1203" s="296"/>
      <c r="F1203" s="296"/>
      <c r="G1203" s="326"/>
      <c r="H1203" s="324"/>
      <c r="I1203" s="325"/>
      <c r="J1203" s="325"/>
      <c r="K1203" s="318"/>
      <c r="L1203" s="318"/>
      <c r="M1203" s="319" t="str">
        <f>IFERROR(VLOOKUP(H1203,Lijsten!$H$1:$I$100,2,0),"")</f>
        <v/>
      </c>
      <c r="N1203" s="319" t="str">
        <f ca="1">IFERROR(IF(VLOOKUP(F1203,Kostentypen!$A$3:$E$21,3,0)=0,"",IF(OR(F1203="Arbeidskosten",F1203="Vergoeding"),VLOOKUP(G1203,Tb_KostenTypen[],2,0),VLOOKUP(F1203,Kostentypen!$A$3:$E$20,3,0))),"")</f>
        <v/>
      </c>
      <c r="O1203" s="320" t="str" cm="1">
        <f t="array" ref="O1203">_xlfn.IFNA(IF(INDEX(Tb_KostenOptiesDB[],MATCH($F1203,Tb_KostenOptiesDB[KostenOptie],0),IFERROR(MATCH(Methode_Keuze,Tb_KostenOptiesDB[#Headers],0),2))=1,_xlfn.SWITCH($N1203,"Uurtarief",IF(OR(AND(RIGHT($F1203,3)="IKS",VLOOKUP($M1203,DB_Loonkosten,2,0)="Ja"),AND(RIGHT($F1203,3)&lt;&gt;"IKS",VLOOKUP($M1203,DB_Loonkosten,2,0)="Nee")),IFERROR(VLOOKUP($M1203,DB_Loonkosten,24,0),""),0),"Vast tarief",IF(LEFT(F1203,8)="Bijdrage",VLOOKUP($F1203,Tb_KostenTypen[],MATCH(Lijsten!$P$1,Tb_KostenTypen[#Headers],0),0),VLOOKUP($G1203,Lijsten!L:P,MATCH(Lijsten!$P$1,Kop_Tarief_Vast,0),0))),""),"")</f>
        <v/>
      </c>
      <c r="P1203" s="320" t="str" cm="1">
        <f t="array" ref="P1203">_xlfn.IFNA(IF(INDEX(Tb_KostenOptiesDB[],MATCH($F1203,Tb_KostenOptiesDB[KostenOptie],0),IFERROR(MATCH(Methode_Keuze,Tb_KostenOptiesDB[#Headers],0),2))=1,_xlfn.SWITCH($N1203,"Uurtarief",IF(OR(AND(RIGHT($F1203,3)="IKS",VLOOKUP($M1203,DB_Loonkosten,2,0)="Ja"),AND(RIGHT($F1203,3)&lt;&gt;"IKS",VLOOKUP($M1203,DB_Loonkosten,2,0)="Nee")),IFERROR(VLOOKUP($M1203,DB_Loonkosten,25,0),""),0),"Vast tarief",IF(LEFT(F1203,8)="Bijdrage",VLOOKUP($F1203,Tb_KostenTypen[],MATCH(Lijsten!$P$1,Tb_KostenTypen[#Headers],0),0),VLOOKUP($G1203,Lijsten!L:P,MATCH(Lijsten!$P$1,Kop_Tarief_Vast,0),0))),""),"")</f>
        <v/>
      </c>
      <c r="Q1203" s="359"/>
      <c r="R1203" s="359"/>
      <c r="S1203" s="321"/>
      <c r="T1203" s="321"/>
      <c r="U1203" s="373" t="str">
        <f t="shared" si="72"/>
        <v/>
      </c>
      <c r="V1203" s="314" t="str">
        <f t="shared" si="73"/>
        <v/>
      </c>
      <c r="W1203" s="314" t="str" cm="1">
        <f t="array" aca="1" ref="W1203" ca="1">IFERROR(IF(AE1203&lt;&gt;"ja",_xlfn.IFNA(_xlfn.IFS(AND(O1203&lt;&gt;"",F1203&lt;&gt;"",RIGHT($N1203,6)="tarief",F1203="Vergoeding"),SUM(O1203)*FLOOR(SUM(Q1203),0.0001),AND(O1203&lt;&gt;"",F1203&lt;&gt;"",RIGHT($N1203,6)="tarief"),SUM(O1203)*FLOOR(SUM(Q1203),0.01),S1203&gt;0,IF(F1203&lt;&gt;"",FLOOR(SUM(S1203),0.01),"")),""),""),"")</f>
        <v/>
      </c>
      <c r="X1203" s="314" t="str" cm="1">
        <f t="array" aca="1" ref="X1203" ca="1">IFERROR(IF(AE1203&lt;&gt;"ja",_xlfn.IFNA(_xlfn.IFS(AND(P1203&lt;&gt;"",R1203&lt;&gt;"",RIGHT($N1203,6)="tarief",F1203="Vergoeding"),SUM(P1203)*FLOOR(SUM(R1203),0.0001),AND(P1203&lt;&gt;"",R1203&lt;&gt;"",RIGHT($N1203,6)="tarief"),P1203*FLOOR(R1203,0.01),T1203&gt;0,FLOOR(SUM(T1203),0.01)),""),""),"")</f>
        <v/>
      </c>
      <c r="Y1203" s="314" t="str">
        <f t="shared" ca="1" si="74"/>
        <v/>
      </c>
      <c r="Z1203" s="314" t="str" cm="1">
        <f t="array" aca="1" ref="Z1203" ca="1">IFERROR(_xlfn.IFS(OR(F1203="",LEFT(Methode_Keuze,4)="Geen",Methode_Keuze=""),"",AND(W1203&lt;&gt;"",F1203&lt;&gt;"Arbeidskosten"),W1203*VLOOKUP(F1203,Tb_ProjectKosten[],MATCH(Tb_ProjectKosten[[#Headers],[Forfait_Percentage]],Tb_ProjectKosten[#Headers],0),0),AND(F1203="Arbeidskosten",G1203&lt;&gt;""),IFERROR(W1203*VLOOKUP(G1203,Tb_KostenTypen[],3,0)*VLOOKUP(F1203,Tb_ProjectKosten[],MATCH(Tb_ProjectKosten[[#Headers],[Forfait_Percentage]],Tb_ProjectKosten[#Headers],0),0),""),W1203 &lt;=0,0),"")</f>
        <v/>
      </c>
      <c r="AA1203" s="314" t="str" cm="1">
        <f t="array" aca="1" ref="AA1203" ca="1">IFERROR(_xlfn.IFS(OR(F1203="",LEFT(Methode_Keuze,4)="Geen",Methode_Keuze=""),"",AND(X1203&lt;&gt;"",F1203&lt;&gt;"Arbeidskosten"),X1203*VLOOKUP(F1203,Tb_ProjectKosten[],MATCH(Tb_ProjectKosten[[#Headers],[Forfait_Percentage]],Tb_ProjectKosten[#Headers],0),0),AND(F1203="Arbeidskosten",G1203&lt;&gt;""),IFERROR(X1203*VLOOKUP(G1203,Tb_KostenTypen[],3,0)*VLOOKUP(F1203,Tb_ProjectKosten[],MATCH(Tb_ProjectKosten[[#Headers],[Forfait_Percentage]],Tb_ProjectKosten[#Headers],0),0),""),X1203 &lt;=0,0),"")</f>
        <v/>
      </c>
      <c r="AB1203" s="314" t="str">
        <f t="shared" ca="1" si="75"/>
        <v/>
      </c>
      <c r="AC1203" s="322"/>
      <c r="AD1203" s="315"/>
      <c r="AE1203" s="32" t="str" cm="1">
        <f t="array" ref="AE1203">IFERROR(IF(INDEX(SubsidieTabel!$AD$1:$AG$12,MATCH($F1203,SubsidieTabel!$AD$1:$AD$12,0),IFERROR(MATCH(Methode_Keuze,SubsidieTabel!$AD$1:$AG$1,0),2))&lt;&gt;1=TRUE,"ja",""),"")</f>
        <v/>
      </c>
    </row>
    <row r="1204" spans="1:31" x14ac:dyDescent="0.25">
      <c r="A1204" s="316"/>
      <c r="B1204" s="317" t="str">
        <f>IF(A1204&lt;&gt;"",_xlfn.MAXIFS($B$1:B1203,$A$1:A1203,A1204)+1,"")</f>
        <v/>
      </c>
      <c r="C1204" s="296"/>
      <c r="D1204" s="296"/>
      <c r="E1204" s="296"/>
      <c r="F1204" s="296"/>
      <c r="G1204" s="326"/>
      <c r="H1204" s="324"/>
      <c r="I1204" s="325"/>
      <c r="J1204" s="325"/>
      <c r="K1204" s="318"/>
      <c r="L1204" s="318"/>
      <c r="M1204" s="319" t="str">
        <f>IFERROR(VLOOKUP(H1204,Lijsten!$H$1:$I$100,2,0),"")</f>
        <v/>
      </c>
      <c r="N1204" s="319" t="str">
        <f ca="1">IFERROR(IF(VLOOKUP(F1204,Kostentypen!$A$3:$E$21,3,0)=0,"",IF(OR(F1204="Arbeidskosten",F1204="Vergoeding"),VLOOKUP(G1204,Tb_KostenTypen[],2,0),VLOOKUP(F1204,Kostentypen!$A$3:$E$20,3,0))),"")</f>
        <v/>
      </c>
      <c r="O1204" s="320" t="str" cm="1">
        <f t="array" ref="O1204">_xlfn.IFNA(IF(INDEX(Tb_KostenOptiesDB[],MATCH($F1204,Tb_KostenOptiesDB[KostenOptie],0),IFERROR(MATCH(Methode_Keuze,Tb_KostenOptiesDB[#Headers],0),2))=1,_xlfn.SWITCH($N1204,"Uurtarief",IF(OR(AND(RIGHT($F1204,3)="IKS",VLOOKUP($M1204,DB_Loonkosten,2,0)="Ja"),AND(RIGHT($F1204,3)&lt;&gt;"IKS",VLOOKUP($M1204,DB_Loonkosten,2,0)="Nee")),IFERROR(VLOOKUP($M1204,DB_Loonkosten,24,0),""),0),"Vast tarief",IF(LEFT(F1204,8)="Bijdrage",VLOOKUP($F1204,Tb_KostenTypen[],MATCH(Lijsten!$P$1,Tb_KostenTypen[#Headers],0),0),VLOOKUP($G1204,Lijsten!L:P,MATCH(Lijsten!$P$1,Kop_Tarief_Vast,0),0))),""),"")</f>
        <v/>
      </c>
      <c r="P1204" s="320" t="str" cm="1">
        <f t="array" ref="P1204">_xlfn.IFNA(IF(INDEX(Tb_KostenOptiesDB[],MATCH($F1204,Tb_KostenOptiesDB[KostenOptie],0),IFERROR(MATCH(Methode_Keuze,Tb_KostenOptiesDB[#Headers],0),2))=1,_xlfn.SWITCH($N1204,"Uurtarief",IF(OR(AND(RIGHT($F1204,3)="IKS",VLOOKUP($M1204,DB_Loonkosten,2,0)="Ja"),AND(RIGHT($F1204,3)&lt;&gt;"IKS",VLOOKUP($M1204,DB_Loonkosten,2,0)="Nee")),IFERROR(VLOOKUP($M1204,DB_Loonkosten,25,0),""),0),"Vast tarief",IF(LEFT(F1204,8)="Bijdrage",VLOOKUP($F1204,Tb_KostenTypen[],MATCH(Lijsten!$P$1,Tb_KostenTypen[#Headers],0),0),VLOOKUP($G1204,Lijsten!L:P,MATCH(Lijsten!$P$1,Kop_Tarief_Vast,0),0))),""),"")</f>
        <v/>
      </c>
      <c r="Q1204" s="359"/>
      <c r="R1204" s="359"/>
      <c r="S1204" s="321"/>
      <c r="T1204" s="321"/>
      <c r="U1204" s="373" t="str">
        <f t="shared" si="72"/>
        <v/>
      </c>
      <c r="V1204" s="314" t="str">
        <f t="shared" si="73"/>
        <v/>
      </c>
      <c r="W1204" s="314" t="str" cm="1">
        <f t="array" aca="1" ref="W1204" ca="1">IFERROR(IF(AE1204&lt;&gt;"ja",_xlfn.IFNA(_xlfn.IFS(AND(O1204&lt;&gt;"",F1204&lt;&gt;"",RIGHT($N1204,6)="tarief",F1204="Vergoeding"),SUM(O1204)*FLOOR(SUM(Q1204),0.0001),AND(O1204&lt;&gt;"",F1204&lt;&gt;"",RIGHT($N1204,6)="tarief"),SUM(O1204)*FLOOR(SUM(Q1204),0.01),S1204&gt;0,IF(F1204&lt;&gt;"",FLOOR(SUM(S1204),0.01),"")),""),""),"")</f>
        <v/>
      </c>
      <c r="X1204" s="314" t="str" cm="1">
        <f t="array" aca="1" ref="X1204" ca="1">IFERROR(IF(AE1204&lt;&gt;"ja",_xlfn.IFNA(_xlfn.IFS(AND(P1204&lt;&gt;"",R1204&lt;&gt;"",RIGHT($N1204,6)="tarief",F1204="Vergoeding"),SUM(P1204)*FLOOR(SUM(R1204),0.0001),AND(P1204&lt;&gt;"",R1204&lt;&gt;"",RIGHT($N1204,6)="tarief"),P1204*FLOOR(R1204,0.01),T1204&gt;0,FLOOR(SUM(T1204),0.01)),""),""),"")</f>
        <v/>
      </c>
      <c r="Y1204" s="314" t="str">
        <f t="shared" ca="1" si="74"/>
        <v/>
      </c>
      <c r="Z1204" s="314" t="str" cm="1">
        <f t="array" aca="1" ref="Z1204" ca="1">IFERROR(_xlfn.IFS(OR(F1204="",LEFT(Methode_Keuze,4)="Geen",Methode_Keuze=""),"",AND(W1204&lt;&gt;"",F1204&lt;&gt;"Arbeidskosten"),W1204*VLOOKUP(F1204,Tb_ProjectKosten[],MATCH(Tb_ProjectKosten[[#Headers],[Forfait_Percentage]],Tb_ProjectKosten[#Headers],0),0),AND(F1204="Arbeidskosten",G1204&lt;&gt;""),IFERROR(W1204*VLOOKUP(G1204,Tb_KostenTypen[],3,0)*VLOOKUP(F1204,Tb_ProjectKosten[],MATCH(Tb_ProjectKosten[[#Headers],[Forfait_Percentage]],Tb_ProjectKosten[#Headers],0),0),""),W1204 &lt;=0,0),"")</f>
        <v/>
      </c>
      <c r="AA1204" s="314" t="str" cm="1">
        <f t="array" aca="1" ref="AA1204" ca="1">IFERROR(_xlfn.IFS(OR(F1204="",LEFT(Methode_Keuze,4)="Geen",Methode_Keuze=""),"",AND(X1204&lt;&gt;"",F1204&lt;&gt;"Arbeidskosten"),X1204*VLOOKUP(F1204,Tb_ProjectKosten[],MATCH(Tb_ProjectKosten[[#Headers],[Forfait_Percentage]],Tb_ProjectKosten[#Headers],0),0),AND(F1204="Arbeidskosten",G1204&lt;&gt;""),IFERROR(X1204*VLOOKUP(G1204,Tb_KostenTypen[],3,0)*VLOOKUP(F1204,Tb_ProjectKosten[],MATCH(Tb_ProjectKosten[[#Headers],[Forfait_Percentage]],Tb_ProjectKosten[#Headers],0),0),""),X1204 &lt;=0,0),"")</f>
        <v/>
      </c>
      <c r="AB1204" s="314" t="str">
        <f t="shared" ca="1" si="75"/>
        <v/>
      </c>
      <c r="AC1204" s="322"/>
      <c r="AD1204" s="315"/>
      <c r="AE1204" s="32" t="str" cm="1">
        <f t="array" ref="AE1204">IFERROR(IF(INDEX(SubsidieTabel!$AD$1:$AG$12,MATCH($F1204,SubsidieTabel!$AD$1:$AD$12,0),IFERROR(MATCH(Methode_Keuze,SubsidieTabel!$AD$1:$AG$1,0),2))&lt;&gt;1=TRUE,"ja",""),"")</f>
        <v/>
      </c>
    </row>
    <row r="1205" spans="1:31" x14ac:dyDescent="0.25">
      <c r="A1205" s="316"/>
      <c r="B1205" s="317" t="str">
        <f>IF(A1205&lt;&gt;"",_xlfn.MAXIFS($B$1:B1204,$A$1:A1204,A1205)+1,"")</f>
        <v/>
      </c>
      <c r="C1205" s="296"/>
      <c r="D1205" s="296"/>
      <c r="E1205" s="296"/>
      <c r="F1205" s="296"/>
      <c r="G1205" s="326"/>
      <c r="H1205" s="324"/>
      <c r="I1205" s="325"/>
      <c r="J1205" s="325"/>
      <c r="K1205" s="318"/>
      <c r="L1205" s="318"/>
      <c r="M1205" s="319" t="str">
        <f>IFERROR(VLOOKUP(H1205,Lijsten!$H$1:$I$100,2,0),"")</f>
        <v/>
      </c>
      <c r="N1205" s="319" t="str">
        <f ca="1">IFERROR(IF(VLOOKUP(F1205,Kostentypen!$A$3:$E$21,3,0)=0,"",IF(OR(F1205="Arbeidskosten",F1205="Vergoeding"),VLOOKUP(G1205,Tb_KostenTypen[],2,0),VLOOKUP(F1205,Kostentypen!$A$3:$E$20,3,0))),"")</f>
        <v/>
      </c>
      <c r="O1205" s="320" t="str" cm="1">
        <f t="array" ref="O1205">_xlfn.IFNA(IF(INDEX(Tb_KostenOptiesDB[],MATCH($F1205,Tb_KostenOptiesDB[KostenOptie],0),IFERROR(MATCH(Methode_Keuze,Tb_KostenOptiesDB[#Headers],0),2))=1,_xlfn.SWITCH($N1205,"Uurtarief",IF(OR(AND(RIGHT($F1205,3)="IKS",VLOOKUP($M1205,DB_Loonkosten,2,0)="Ja"),AND(RIGHT($F1205,3)&lt;&gt;"IKS",VLOOKUP($M1205,DB_Loonkosten,2,0)="Nee")),IFERROR(VLOOKUP($M1205,DB_Loonkosten,24,0),""),0),"Vast tarief",IF(LEFT(F1205,8)="Bijdrage",VLOOKUP($F1205,Tb_KostenTypen[],MATCH(Lijsten!$P$1,Tb_KostenTypen[#Headers],0),0),VLOOKUP($G1205,Lijsten!L:P,MATCH(Lijsten!$P$1,Kop_Tarief_Vast,0),0))),""),"")</f>
        <v/>
      </c>
      <c r="P1205" s="320" t="str" cm="1">
        <f t="array" ref="P1205">_xlfn.IFNA(IF(INDEX(Tb_KostenOptiesDB[],MATCH($F1205,Tb_KostenOptiesDB[KostenOptie],0),IFERROR(MATCH(Methode_Keuze,Tb_KostenOptiesDB[#Headers],0),2))=1,_xlfn.SWITCH($N1205,"Uurtarief",IF(OR(AND(RIGHT($F1205,3)="IKS",VLOOKUP($M1205,DB_Loonkosten,2,0)="Ja"),AND(RIGHT($F1205,3)&lt;&gt;"IKS",VLOOKUP($M1205,DB_Loonkosten,2,0)="Nee")),IFERROR(VLOOKUP($M1205,DB_Loonkosten,25,0),""),0),"Vast tarief",IF(LEFT(F1205,8)="Bijdrage",VLOOKUP($F1205,Tb_KostenTypen[],MATCH(Lijsten!$P$1,Tb_KostenTypen[#Headers],0),0),VLOOKUP($G1205,Lijsten!L:P,MATCH(Lijsten!$P$1,Kop_Tarief_Vast,0),0))),""),"")</f>
        <v/>
      </c>
      <c r="Q1205" s="359"/>
      <c r="R1205" s="359"/>
      <c r="S1205" s="321"/>
      <c r="T1205" s="321"/>
      <c r="U1205" s="373" t="str">
        <f t="shared" si="72"/>
        <v/>
      </c>
      <c r="V1205" s="314" t="str">
        <f t="shared" si="73"/>
        <v/>
      </c>
      <c r="W1205" s="314" t="str" cm="1">
        <f t="array" aca="1" ref="W1205" ca="1">IFERROR(IF(AE1205&lt;&gt;"ja",_xlfn.IFNA(_xlfn.IFS(AND(O1205&lt;&gt;"",F1205&lt;&gt;"",RIGHT($N1205,6)="tarief",F1205="Vergoeding"),SUM(O1205)*FLOOR(SUM(Q1205),0.0001),AND(O1205&lt;&gt;"",F1205&lt;&gt;"",RIGHT($N1205,6)="tarief"),SUM(O1205)*FLOOR(SUM(Q1205),0.01),S1205&gt;0,IF(F1205&lt;&gt;"",FLOOR(SUM(S1205),0.01),"")),""),""),"")</f>
        <v/>
      </c>
      <c r="X1205" s="314" t="str" cm="1">
        <f t="array" aca="1" ref="X1205" ca="1">IFERROR(IF(AE1205&lt;&gt;"ja",_xlfn.IFNA(_xlfn.IFS(AND(P1205&lt;&gt;"",R1205&lt;&gt;"",RIGHT($N1205,6)="tarief",F1205="Vergoeding"),SUM(P1205)*FLOOR(SUM(R1205),0.0001),AND(P1205&lt;&gt;"",R1205&lt;&gt;"",RIGHT($N1205,6)="tarief"),P1205*FLOOR(R1205,0.01),T1205&gt;0,FLOOR(SUM(T1205),0.01)),""),""),"")</f>
        <v/>
      </c>
      <c r="Y1205" s="314" t="str">
        <f t="shared" ca="1" si="74"/>
        <v/>
      </c>
      <c r="Z1205" s="314" t="str" cm="1">
        <f t="array" aca="1" ref="Z1205" ca="1">IFERROR(_xlfn.IFS(OR(F1205="",LEFT(Methode_Keuze,4)="Geen",Methode_Keuze=""),"",AND(W1205&lt;&gt;"",F1205&lt;&gt;"Arbeidskosten"),W1205*VLOOKUP(F1205,Tb_ProjectKosten[],MATCH(Tb_ProjectKosten[[#Headers],[Forfait_Percentage]],Tb_ProjectKosten[#Headers],0),0),AND(F1205="Arbeidskosten",G1205&lt;&gt;""),IFERROR(W1205*VLOOKUP(G1205,Tb_KostenTypen[],3,0)*VLOOKUP(F1205,Tb_ProjectKosten[],MATCH(Tb_ProjectKosten[[#Headers],[Forfait_Percentage]],Tb_ProjectKosten[#Headers],0),0),""),W1205 &lt;=0,0),"")</f>
        <v/>
      </c>
      <c r="AA1205" s="314" t="str" cm="1">
        <f t="array" aca="1" ref="AA1205" ca="1">IFERROR(_xlfn.IFS(OR(F1205="",LEFT(Methode_Keuze,4)="Geen",Methode_Keuze=""),"",AND(X1205&lt;&gt;"",F1205&lt;&gt;"Arbeidskosten"),X1205*VLOOKUP(F1205,Tb_ProjectKosten[],MATCH(Tb_ProjectKosten[[#Headers],[Forfait_Percentage]],Tb_ProjectKosten[#Headers],0),0),AND(F1205="Arbeidskosten",G1205&lt;&gt;""),IFERROR(X1205*VLOOKUP(G1205,Tb_KostenTypen[],3,0)*VLOOKUP(F1205,Tb_ProjectKosten[],MATCH(Tb_ProjectKosten[[#Headers],[Forfait_Percentage]],Tb_ProjectKosten[#Headers],0),0),""),X1205 &lt;=0,0),"")</f>
        <v/>
      </c>
      <c r="AB1205" s="314" t="str">
        <f t="shared" ca="1" si="75"/>
        <v/>
      </c>
      <c r="AC1205" s="322"/>
      <c r="AD1205" s="315"/>
      <c r="AE1205" s="32" t="str" cm="1">
        <f t="array" ref="AE1205">IFERROR(IF(INDEX(SubsidieTabel!$AD$1:$AG$12,MATCH($F1205,SubsidieTabel!$AD$1:$AD$12,0),IFERROR(MATCH(Methode_Keuze,SubsidieTabel!$AD$1:$AG$1,0),2))&lt;&gt;1=TRUE,"ja",""),"")</f>
        <v/>
      </c>
    </row>
    <row r="1206" spans="1:31" x14ac:dyDescent="0.25">
      <c r="A1206" s="316"/>
      <c r="B1206" s="317" t="str">
        <f>IF(A1206&lt;&gt;"",_xlfn.MAXIFS($B$1:B1205,$A$1:A1205,A1206)+1,"")</f>
        <v/>
      </c>
      <c r="C1206" s="296"/>
      <c r="D1206" s="296"/>
      <c r="E1206" s="296"/>
      <c r="F1206" s="296"/>
      <c r="G1206" s="326"/>
      <c r="H1206" s="324"/>
      <c r="I1206" s="325"/>
      <c r="J1206" s="325"/>
      <c r="K1206" s="318"/>
      <c r="L1206" s="318"/>
      <c r="M1206" s="319" t="str">
        <f>IFERROR(VLOOKUP(H1206,Lijsten!$H$1:$I$100,2,0),"")</f>
        <v/>
      </c>
      <c r="N1206" s="319" t="str">
        <f ca="1">IFERROR(IF(VLOOKUP(F1206,Kostentypen!$A$3:$E$21,3,0)=0,"",IF(OR(F1206="Arbeidskosten",F1206="Vergoeding"),VLOOKUP(G1206,Tb_KostenTypen[],2,0),VLOOKUP(F1206,Kostentypen!$A$3:$E$20,3,0))),"")</f>
        <v/>
      </c>
      <c r="O1206" s="320" t="str" cm="1">
        <f t="array" ref="O1206">_xlfn.IFNA(IF(INDEX(Tb_KostenOptiesDB[],MATCH($F1206,Tb_KostenOptiesDB[KostenOptie],0),IFERROR(MATCH(Methode_Keuze,Tb_KostenOptiesDB[#Headers],0),2))=1,_xlfn.SWITCH($N1206,"Uurtarief",IF(OR(AND(RIGHT($F1206,3)="IKS",VLOOKUP($M1206,DB_Loonkosten,2,0)="Ja"),AND(RIGHT($F1206,3)&lt;&gt;"IKS",VLOOKUP($M1206,DB_Loonkosten,2,0)="Nee")),IFERROR(VLOOKUP($M1206,DB_Loonkosten,24,0),""),0),"Vast tarief",IF(LEFT(F1206,8)="Bijdrage",VLOOKUP($F1206,Tb_KostenTypen[],MATCH(Lijsten!$P$1,Tb_KostenTypen[#Headers],0),0),VLOOKUP($G1206,Lijsten!L:P,MATCH(Lijsten!$P$1,Kop_Tarief_Vast,0),0))),""),"")</f>
        <v/>
      </c>
      <c r="P1206" s="320" t="str" cm="1">
        <f t="array" ref="P1206">_xlfn.IFNA(IF(INDEX(Tb_KostenOptiesDB[],MATCH($F1206,Tb_KostenOptiesDB[KostenOptie],0),IFERROR(MATCH(Methode_Keuze,Tb_KostenOptiesDB[#Headers],0),2))=1,_xlfn.SWITCH($N1206,"Uurtarief",IF(OR(AND(RIGHT($F1206,3)="IKS",VLOOKUP($M1206,DB_Loonkosten,2,0)="Ja"),AND(RIGHT($F1206,3)&lt;&gt;"IKS",VLOOKUP($M1206,DB_Loonkosten,2,0)="Nee")),IFERROR(VLOOKUP($M1206,DB_Loonkosten,25,0),""),0),"Vast tarief",IF(LEFT(F1206,8)="Bijdrage",VLOOKUP($F1206,Tb_KostenTypen[],MATCH(Lijsten!$P$1,Tb_KostenTypen[#Headers],0),0),VLOOKUP($G1206,Lijsten!L:P,MATCH(Lijsten!$P$1,Kop_Tarief_Vast,0),0))),""),"")</f>
        <v/>
      </c>
      <c r="Q1206" s="359"/>
      <c r="R1206" s="359"/>
      <c r="S1206" s="321"/>
      <c r="T1206" s="321"/>
      <c r="U1206" s="373" t="str">
        <f t="shared" si="72"/>
        <v/>
      </c>
      <c r="V1206" s="314" t="str">
        <f t="shared" si="73"/>
        <v/>
      </c>
      <c r="W1206" s="314" t="str" cm="1">
        <f t="array" aca="1" ref="W1206" ca="1">IFERROR(IF(AE1206&lt;&gt;"ja",_xlfn.IFNA(_xlfn.IFS(AND(O1206&lt;&gt;"",F1206&lt;&gt;"",RIGHT($N1206,6)="tarief",F1206="Vergoeding"),SUM(O1206)*FLOOR(SUM(Q1206),0.0001),AND(O1206&lt;&gt;"",F1206&lt;&gt;"",RIGHT($N1206,6)="tarief"),SUM(O1206)*FLOOR(SUM(Q1206),0.01),S1206&gt;0,IF(F1206&lt;&gt;"",FLOOR(SUM(S1206),0.01),"")),""),""),"")</f>
        <v/>
      </c>
      <c r="X1206" s="314" t="str" cm="1">
        <f t="array" aca="1" ref="X1206" ca="1">IFERROR(IF(AE1206&lt;&gt;"ja",_xlfn.IFNA(_xlfn.IFS(AND(P1206&lt;&gt;"",R1206&lt;&gt;"",RIGHT($N1206,6)="tarief",F1206="Vergoeding"),SUM(P1206)*FLOOR(SUM(R1206),0.0001),AND(P1206&lt;&gt;"",R1206&lt;&gt;"",RIGHT($N1206,6)="tarief"),P1206*FLOOR(R1206,0.01),T1206&gt;0,FLOOR(SUM(T1206),0.01)),""),""),"")</f>
        <v/>
      </c>
      <c r="Y1206" s="314" t="str">
        <f t="shared" ca="1" si="74"/>
        <v/>
      </c>
      <c r="Z1206" s="314" t="str" cm="1">
        <f t="array" aca="1" ref="Z1206" ca="1">IFERROR(_xlfn.IFS(OR(F1206="",LEFT(Methode_Keuze,4)="Geen",Methode_Keuze=""),"",AND(W1206&lt;&gt;"",F1206&lt;&gt;"Arbeidskosten"),W1206*VLOOKUP(F1206,Tb_ProjectKosten[],MATCH(Tb_ProjectKosten[[#Headers],[Forfait_Percentage]],Tb_ProjectKosten[#Headers],0),0),AND(F1206="Arbeidskosten",G1206&lt;&gt;""),IFERROR(W1206*VLOOKUP(G1206,Tb_KostenTypen[],3,0)*VLOOKUP(F1206,Tb_ProjectKosten[],MATCH(Tb_ProjectKosten[[#Headers],[Forfait_Percentage]],Tb_ProjectKosten[#Headers],0),0),""),W1206 &lt;=0,0),"")</f>
        <v/>
      </c>
      <c r="AA1206" s="314" t="str" cm="1">
        <f t="array" aca="1" ref="AA1206" ca="1">IFERROR(_xlfn.IFS(OR(F1206="",LEFT(Methode_Keuze,4)="Geen",Methode_Keuze=""),"",AND(X1206&lt;&gt;"",F1206&lt;&gt;"Arbeidskosten"),X1206*VLOOKUP(F1206,Tb_ProjectKosten[],MATCH(Tb_ProjectKosten[[#Headers],[Forfait_Percentage]],Tb_ProjectKosten[#Headers],0),0),AND(F1206="Arbeidskosten",G1206&lt;&gt;""),IFERROR(X1206*VLOOKUP(G1206,Tb_KostenTypen[],3,0)*VLOOKUP(F1206,Tb_ProjectKosten[],MATCH(Tb_ProjectKosten[[#Headers],[Forfait_Percentage]],Tb_ProjectKosten[#Headers],0),0),""),X1206 &lt;=0,0),"")</f>
        <v/>
      </c>
      <c r="AB1206" s="314" t="str">
        <f t="shared" ca="1" si="75"/>
        <v/>
      </c>
      <c r="AC1206" s="322"/>
      <c r="AD1206" s="315"/>
      <c r="AE1206" s="32" t="str" cm="1">
        <f t="array" ref="AE1206">IFERROR(IF(INDEX(SubsidieTabel!$AD$1:$AG$12,MATCH($F1206,SubsidieTabel!$AD$1:$AD$12,0),IFERROR(MATCH(Methode_Keuze,SubsidieTabel!$AD$1:$AG$1,0),2))&lt;&gt;1=TRUE,"ja",""),"")</f>
        <v/>
      </c>
    </row>
    <row r="1207" spans="1:31" x14ac:dyDescent="0.25">
      <c r="A1207" s="316"/>
      <c r="B1207" s="317" t="str">
        <f>IF(A1207&lt;&gt;"",_xlfn.MAXIFS($B$1:B1206,$A$1:A1206,A1207)+1,"")</f>
        <v/>
      </c>
      <c r="C1207" s="296"/>
      <c r="D1207" s="296"/>
      <c r="E1207" s="296"/>
      <c r="F1207" s="296"/>
      <c r="G1207" s="326"/>
      <c r="H1207" s="324"/>
      <c r="I1207" s="325"/>
      <c r="J1207" s="325"/>
      <c r="K1207" s="318"/>
      <c r="L1207" s="318"/>
      <c r="M1207" s="319" t="str">
        <f>IFERROR(VLOOKUP(H1207,Lijsten!$H$1:$I$100,2,0),"")</f>
        <v/>
      </c>
      <c r="N1207" s="319" t="str">
        <f ca="1">IFERROR(IF(VLOOKUP(F1207,Kostentypen!$A$3:$E$21,3,0)=0,"",IF(OR(F1207="Arbeidskosten",F1207="Vergoeding"),VLOOKUP(G1207,Tb_KostenTypen[],2,0),VLOOKUP(F1207,Kostentypen!$A$3:$E$20,3,0))),"")</f>
        <v/>
      </c>
      <c r="O1207" s="320" t="str" cm="1">
        <f t="array" ref="O1207">_xlfn.IFNA(IF(INDEX(Tb_KostenOptiesDB[],MATCH($F1207,Tb_KostenOptiesDB[KostenOptie],0),IFERROR(MATCH(Methode_Keuze,Tb_KostenOptiesDB[#Headers],0),2))=1,_xlfn.SWITCH($N1207,"Uurtarief",IF(OR(AND(RIGHT($F1207,3)="IKS",VLOOKUP($M1207,DB_Loonkosten,2,0)="Ja"),AND(RIGHT($F1207,3)&lt;&gt;"IKS",VLOOKUP($M1207,DB_Loonkosten,2,0)="Nee")),IFERROR(VLOOKUP($M1207,DB_Loonkosten,24,0),""),0),"Vast tarief",IF(LEFT(F1207,8)="Bijdrage",VLOOKUP($F1207,Tb_KostenTypen[],MATCH(Lijsten!$P$1,Tb_KostenTypen[#Headers],0),0),VLOOKUP($G1207,Lijsten!L:P,MATCH(Lijsten!$P$1,Kop_Tarief_Vast,0),0))),""),"")</f>
        <v/>
      </c>
      <c r="P1207" s="320" t="str" cm="1">
        <f t="array" ref="P1207">_xlfn.IFNA(IF(INDEX(Tb_KostenOptiesDB[],MATCH($F1207,Tb_KostenOptiesDB[KostenOptie],0),IFERROR(MATCH(Methode_Keuze,Tb_KostenOptiesDB[#Headers],0),2))=1,_xlfn.SWITCH($N1207,"Uurtarief",IF(OR(AND(RIGHT($F1207,3)="IKS",VLOOKUP($M1207,DB_Loonkosten,2,0)="Ja"),AND(RIGHT($F1207,3)&lt;&gt;"IKS",VLOOKUP($M1207,DB_Loonkosten,2,0)="Nee")),IFERROR(VLOOKUP($M1207,DB_Loonkosten,25,0),""),0),"Vast tarief",IF(LEFT(F1207,8)="Bijdrage",VLOOKUP($F1207,Tb_KostenTypen[],MATCH(Lijsten!$P$1,Tb_KostenTypen[#Headers],0),0),VLOOKUP($G1207,Lijsten!L:P,MATCH(Lijsten!$P$1,Kop_Tarief_Vast,0),0))),""),"")</f>
        <v/>
      </c>
      <c r="Q1207" s="359"/>
      <c r="R1207" s="359"/>
      <c r="S1207" s="321"/>
      <c r="T1207" s="321"/>
      <c r="U1207" s="373" t="str">
        <f t="shared" si="72"/>
        <v/>
      </c>
      <c r="V1207" s="314" t="str">
        <f t="shared" si="73"/>
        <v/>
      </c>
      <c r="W1207" s="314" t="str" cm="1">
        <f t="array" aca="1" ref="W1207" ca="1">IFERROR(IF(AE1207&lt;&gt;"ja",_xlfn.IFNA(_xlfn.IFS(AND(O1207&lt;&gt;"",F1207&lt;&gt;"",RIGHT($N1207,6)="tarief",F1207="Vergoeding"),SUM(O1207)*FLOOR(SUM(Q1207),0.0001),AND(O1207&lt;&gt;"",F1207&lt;&gt;"",RIGHT($N1207,6)="tarief"),SUM(O1207)*FLOOR(SUM(Q1207),0.01),S1207&gt;0,IF(F1207&lt;&gt;"",FLOOR(SUM(S1207),0.01),"")),""),""),"")</f>
        <v/>
      </c>
      <c r="X1207" s="314" t="str" cm="1">
        <f t="array" aca="1" ref="X1207" ca="1">IFERROR(IF(AE1207&lt;&gt;"ja",_xlfn.IFNA(_xlfn.IFS(AND(P1207&lt;&gt;"",R1207&lt;&gt;"",RIGHT($N1207,6)="tarief",F1207="Vergoeding"),SUM(P1207)*FLOOR(SUM(R1207),0.0001),AND(P1207&lt;&gt;"",R1207&lt;&gt;"",RIGHT($N1207,6)="tarief"),P1207*FLOOR(R1207,0.01),T1207&gt;0,FLOOR(SUM(T1207),0.01)),""),""),"")</f>
        <v/>
      </c>
      <c r="Y1207" s="314" t="str">
        <f t="shared" ca="1" si="74"/>
        <v/>
      </c>
      <c r="Z1207" s="314" t="str" cm="1">
        <f t="array" aca="1" ref="Z1207" ca="1">IFERROR(_xlfn.IFS(OR(F1207="",LEFT(Methode_Keuze,4)="Geen",Methode_Keuze=""),"",AND(W1207&lt;&gt;"",F1207&lt;&gt;"Arbeidskosten"),W1207*VLOOKUP(F1207,Tb_ProjectKosten[],MATCH(Tb_ProjectKosten[[#Headers],[Forfait_Percentage]],Tb_ProjectKosten[#Headers],0),0),AND(F1207="Arbeidskosten",G1207&lt;&gt;""),IFERROR(W1207*VLOOKUP(G1207,Tb_KostenTypen[],3,0)*VLOOKUP(F1207,Tb_ProjectKosten[],MATCH(Tb_ProjectKosten[[#Headers],[Forfait_Percentage]],Tb_ProjectKosten[#Headers],0),0),""),W1207 &lt;=0,0),"")</f>
        <v/>
      </c>
      <c r="AA1207" s="314" t="str" cm="1">
        <f t="array" aca="1" ref="AA1207" ca="1">IFERROR(_xlfn.IFS(OR(F1207="",LEFT(Methode_Keuze,4)="Geen",Methode_Keuze=""),"",AND(X1207&lt;&gt;"",F1207&lt;&gt;"Arbeidskosten"),X1207*VLOOKUP(F1207,Tb_ProjectKosten[],MATCH(Tb_ProjectKosten[[#Headers],[Forfait_Percentage]],Tb_ProjectKosten[#Headers],0),0),AND(F1207="Arbeidskosten",G1207&lt;&gt;""),IFERROR(X1207*VLOOKUP(G1207,Tb_KostenTypen[],3,0)*VLOOKUP(F1207,Tb_ProjectKosten[],MATCH(Tb_ProjectKosten[[#Headers],[Forfait_Percentage]],Tb_ProjectKosten[#Headers],0),0),""),X1207 &lt;=0,0),"")</f>
        <v/>
      </c>
      <c r="AB1207" s="314" t="str">
        <f t="shared" ca="1" si="75"/>
        <v/>
      </c>
      <c r="AC1207" s="322"/>
      <c r="AD1207" s="315"/>
      <c r="AE1207" s="32" t="str" cm="1">
        <f t="array" ref="AE1207">IFERROR(IF(INDEX(SubsidieTabel!$AD$1:$AG$12,MATCH($F1207,SubsidieTabel!$AD$1:$AD$12,0),IFERROR(MATCH(Methode_Keuze,SubsidieTabel!$AD$1:$AG$1,0),2))&lt;&gt;1=TRUE,"ja",""),"")</f>
        <v/>
      </c>
    </row>
    <row r="1208" spans="1:31" x14ac:dyDescent="0.25">
      <c r="A1208" s="316"/>
      <c r="B1208" s="317" t="str">
        <f>IF(A1208&lt;&gt;"",_xlfn.MAXIFS($B$1:B1207,$A$1:A1207,A1208)+1,"")</f>
        <v/>
      </c>
      <c r="C1208" s="296"/>
      <c r="D1208" s="296"/>
      <c r="E1208" s="296"/>
      <c r="F1208" s="296"/>
      <c r="G1208" s="326"/>
      <c r="H1208" s="324"/>
      <c r="I1208" s="325"/>
      <c r="J1208" s="325"/>
      <c r="K1208" s="318"/>
      <c r="L1208" s="318"/>
      <c r="M1208" s="319" t="str">
        <f>IFERROR(VLOOKUP(H1208,Lijsten!$H$1:$I$100,2,0),"")</f>
        <v/>
      </c>
      <c r="N1208" s="319" t="str">
        <f ca="1">IFERROR(IF(VLOOKUP(F1208,Kostentypen!$A$3:$E$21,3,0)=0,"",IF(OR(F1208="Arbeidskosten",F1208="Vergoeding"),VLOOKUP(G1208,Tb_KostenTypen[],2,0),VLOOKUP(F1208,Kostentypen!$A$3:$E$20,3,0))),"")</f>
        <v/>
      </c>
      <c r="O1208" s="320" t="str" cm="1">
        <f t="array" ref="O1208">_xlfn.IFNA(IF(INDEX(Tb_KostenOptiesDB[],MATCH($F1208,Tb_KostenOptiesDB[KostenOptie],0),IFERROR(MATCH(Methode_Keuze,Tb_KostenOptiesDB[#Headers],0),2))=1,_xlfn.SWITCH($N1208,"Uurtarief",IF(OR(AND(RIGHT($F1208,3)="IKS",VLOOKUP($M1208,DB_Loonkosten,2,0)="Ja"),AND(RIGHT($F1208,3)&lt;&gt;"IKS",VLOOKUP($M1208,DB_Loonkosten,2,0)="Nee")),IFERROR(VLOOKUP($M1208,DB_Loonkosten,24,0),""),0),"Vast tarief",IF(LEFT(F1208,8)="Bijdrage",VLOOKUP($F1208,Tb_KostenTypen[],MATCH(Lijsten!$P$1,Tb_KostenTypen[#Headers],0),0),VLOOKUP($G1208,Lijsten!L:P,MATCH(Lijsten!$P$1,Kop_Tarief_Vast,0),0))),""),"")</f>
        <v/>
      </c>
      <c r="P1208" s="320" t="str" cm="1">
        <f t="array" ref="P1208">_xlfn.IFNA(IF(INDEX(Tb_KostenOptiesDB[],MATCH($F1208,Tb_KostenOptiesDB[KostenOptie],0),IFERROR(MATCH(Methode_Keuze,Tb_KostenOptiesDB[#Headers],0),2))=1,_xlfn.SWITCH($N1208,"Uurtarief",IF(OR(AND(RIGHT($F1208,3)="IKS",VLOOKUP($M1208,DB_Loonkosten,2,0)="Ja"),AND(RIGHT($F1208,3)&lt;&gt;"IKS",VLOOKUP($M1208,DB_Loonkosten,2,0)="Nee")),IFERROR(VLOOKUP($M1208,DB_Loonkosten,25,0),""),0),"Vast tarief",IF(LEFT(F1208,8)="Bijdrage",VLOOKUP($F1208,Tb_KostenTypen[],MATCH(Lijsten!$P$1,Tb_KostenTypen[#Headers],0),0),VLOOKUP($G1208,Lijsten!L:P,MATCH(Lijsten!$P$1,Kop_Tarief_Vast,0),0))),""),"")</f>
        <v/>
      </c>
      <c r="Q1208" s="359"/>
      <c r="R1208" s="359"/>
      <c r="S1208" s="321"/>
      <c r="T1208" s="321"/>
      <c r="U1208" s="373" t="str">
        <f t="shared" si="72"/>
        <v/>
      </c>
      <c r="V1208" s="314" t="str">
        <f t="shared" si="73"/>
        <v/>
      </c>
      <c r="W1208" s="314" t="str" cm="1">
        <f t="array" aca="1" ref="W1208" ca="1">IFERROR(IF(AE1208&lt;&gt;"ja",_xlfn.IFNA(_xlfn.IFS(AND(O1208&lt;&gt;"",F1208&lt;&gt;"",RIGHT($N1208,6)="tarief",F1208="Vergoeding"),SUM(O1208)*FLOOR(SUM(Q1208),0.0001),AND(O1208&lt;&gt;"",F1208&lt;&gt;"",RIGHT($N1208,6)="tarief"),SUM(O1208)*FLOOR(SUM(Q1208),0.01),S1208&gt;0,IF(F1208&lt;&gt;"",FLOOR(SUM(S1208),0.01),"")),""),""),"")</f>
        <v/>
      </c>
      <c r="X1208" s="314" t="str" cm="1">
        <f t="array" aca="1" ref="X1208" ca="1">IFERROR(IF(AE1208&lt;&gt;"ja",_xlfn.IFNA(_xlfn.IFS(AND(P1208&lt;&gt;"",R1208&lt;&gt;"",RIGHT($N1208,6)="tarief",F1208="Vergoeding"),SUM(P1208)*FLOOR(SUM(R1208),0.0001),AND(P1208&lt;&gt;"",R1208&lt;&gt;"",RIGHT($N1208,6)="tarief"),P1208*FLOOR(R1208,0.01),T1208&gt;0,FLOOR(SUM(T1208),0.01)),""),""),"")</f>
        <v/>
      </c>
      <c r="Y1208" s="314" t="str">
        <f t="shared" ca="1" si="74"/>
        <v/>
      </c>
      <c r="Z1208" s="314" t="str" cm="1">
        <f t="array" aca="1" ref="Z1208" ca="1">IFERROR(_xlfn.IFS(OR(F1208="",LEFT(Methode_Keuze,4)="Geen",Methode_Keuze=""),"",AND(W1208&lt;&gt;"",F1208&lt;&gt;"Arbeidskosten"),W1208*VLOOKUP(F1208,Tb_ProjectKosten[],MATCH(Tb_ProjectKosten[[#Headers],[Forfait_Percentage]],Tb_ProjectKosten[#Headers],0),0),AND(F1208="Arbeidskosten",G1208&lt;&gt;""),IFERROR(W1208*VLOOKUP(G1208,Tb_KostenTypen[],3,0)*VLOOKUP(F1208,Tb_ProjectKosten[],MATCH(Tb_ProjectKosten[[#Headers],[Forfait_Percentage]],Tb_ProjectKosten[#Headers],0),0),""),W1208 &lt;=0,0),"")</f>
        <v/>
      </c>
      <c r="AA1208" s="314" t="str" cm="1">
        <f t="array" aca="1" ref="AA1208" ca="1">IFERROR(_xlfn.IFS(OR(F1208="",LEFT(Methode_Keuze,4)="Geen",Methode_Keuze=""),"",AND(X1208&lt;&gt;"",F1208&lt;&gt;"Arbeidskosten"),X1208*VLOOKUP(F1208,Tb_ProjectKosten[],MATCH(Tb_ProjectKosten[[#Headers],[Forfait_Percentage]],Tb_ProjectKosten[#Headers],0),0),AND(F1208="Arbeidskosten",G1208&lt;&gt;""),IFERROR(X1208*VLOOKUP(G1208,Tb_KostenTypen[],3,0)*VLOOKUP(F1208,Tb_ProjectKosten[],MATCH(Tb_ProjectKosten[[#Headers],[Forfait_Percentage]],Tb_ProjectKosten[#Headers],0),0),""),X1208 &lt;=0,0),"")</f>
        <v/>
      </c>
      <c r="AB1208" s="314" t="str">
        <f t="shared" ca="1" si="75"/>
        <v/>
      </c>
      <c r="AC1208" s="322"/>
      <c r="AD1208" s="315"/>
      <c r="AE1208" s="32" t="str" cm="1">
        <f t="array" ref="AE1208">IFERROR(IF(INDEX(SubsidieTabel!$AD$1:$AG$12,MATCH($F1208,SubsidieTabel!$AD$1:$AD$12,0),IFERROR(MATCH(Methode_Keuze,SubsidieTabel!$AD$1:$AG$1,0),2))&lt;&gt;1=TRUE,"ja",""),"")</f>
        <v/>
      </c>
    </row>
    <row r="1209" spans="1:31" x14ac:dyDescent="0.25">
      <c r="A1209" s="316"/>
      <c r="B1209" s="317" t="str">
        <f>IF(A1209&lt;&gt;"",_xlfn.MAXIFS($B$1:B1208,$A$1:A1208,A1209)+1,"")</f>
        <v/>
      </c>
      <c r="C1209" s="296"/>
      <c r="D1209" s="296"/>
      <c r="E1209" s="296"/>
      <c r="F1209" s="296"/>
      <c r="G1209" s="326"/>
      <c r="H1209" s="324"/>
      <c r="I1209" s="325"/>
      <c r="J1209" s="325"/>
      <c r="K1209" s="318"/>
      <c r="L1209" s="318"/>
      <c r="M1209" s="319" t="str">
        <f>IFERROR(VLOOKUP(H1209,Lijsten!$H$1:$I$100,2,0),"")</f>
        <v/>
      </c>
      <c r="N1209" s="319" t="str">
        <f ca="1">IFERROR(IF(VLOOKUP(F1209,Kostentypen!$A$3:$E$21,3,0)=0,"",IF(OR(F1209="Arbeidskosten",F1209="Vergoeding"),VLOOKUP(G1209,Tb_KostenTypen[],2,0),VLOOKUP(F1209,Kostentypen!$A$3:$E$20,3,0))),"")</f>
        <v/>
      </c>
      <c r="O1209" s="320" t="str" cm="1">
        <f t="array" ref="O1209">_xlfn.IFNA(IF(INDEX(Tb_KostenOptiesDB[],MATCH($F1209,Tb_KostenOptiesDB[KostenOptie],0),IFERROR(MATCH(Methode_Keuze,Tb_KostenOptiesDB[#Headers],0),2))=1,_xlfn.SWITCH($N1209,"Uurtarief",IF(OR(AND(RIGHT($F1209,3)="IKS",VLOOKUP($M1209,DB_Loonkosten,2,0)="Ja"),AND(RIGHT($F1209,3)&lt;&gt;"IKS",VLOOKUP($M1209,DB_Loonkosten,2,0)="Nee")),IFERROR(VLOOKUP($M1209,DB_Loonkosten,24,0),""),0),"Vast tarief",IF(LEFT(F1209,8)="Bijdrage",VLOOKUP($F1209,Tb_KostenTypen[],MATCH(Lijsten!$P$1,Tb_KostenTypen[#Headers],0),0),VLOOKUP($G1209,Lijsten!L:P,MATCH(Lijsten!$P$1,Kop_Tarief_Vast,0),0))),""),"")</f>
        <v/>
      </c>
      <c r="P1209" s="320" t="str" cm="1">
        <f t="array" ref="P1209">_xlfn.IFNA(IF(INDEX(Tb_KostenOptiesDB[],MATCH($F1209,Tb_KostenOptiesDB[KostenOptie],0),IFERROR(MATCH(Methode_Keuze,Tb_KostenOptiesDB[#Headers],0),2))=1,_xlfn.SWITCH($N1209,"Uurtarief",IF(OR(AND(RIGHT($F1209,3)="IKS",VLOOKUP($M1209,DB_Loonkosten,2,0)="Ja"),AND(RIGHT($F1209,3)&lt;&gt;"IKS",VLOOKUP($M1209,DB_Loonkosten,2,0)="Nee")),IFERROR(VLOOKUP($M1209,DB_Loonkosten,25,0),""),0),"Vast tarief",IF(LEFT(F1209,8)="Bijdrage",VLOOKUP($F1209,Tb_KostenTypen[],MATCH(Lijsten!$P$1,Tb_KostenTypen[#Headers],0),0),VLOOKUP($G1209,Lijsten!L:P,MATCH(Lijsten!$P$1,Kop_Tarief_Vast,0),0))),""),"")</f>
        <v/>
      </c>
      <c r="Q1209" s="359"/>
      <c r="R1209" s="359"/>
      <c r="S1209" s="321"/>
      <c r="T1209" s="321"/>
      <c r="U1209" s="373" t="str">
        <f t="shared" si="72"/>
        <v/>
      </c>
      <c r="V1209" s="314" t="str">
        <f t="shared" si="73"/>
        <v/>
      </c>
      <c r="W1209" s="314" t="str" cm="1">
        <f t="array" aca="1" ref="W1209" ca="1">IFERROR(IF(AE1209&lt;&gt;"ja",_xlfn.IFNA(_xlfn.IFS(AND(O1209&lt;&gt;"",F1209&lt;&gt;"",RIGHT($N1209,6)="tarief",F1209="Vergoeding"),SUM(O1209)*FLOOR(SUM(Q1209),0.0001),AND(O1209&lt;&gt;"",F1209&lt;&gt;"",RIGHT($N1209,6)="tarief"),SUM(O1209)*FLOOR(SUM(Q1209),0.01),S1209&gt;0,IF(F1209&lt;&gt;"",FLOOR(SUM(S1209),0.01),"")),""),""),"")</f>
        <v/>
      </c>
      <c r="X1209" s="314" t="str" cm="1">
        <f t="array" aca="1" ref="X1209" ca="1">IFERROR(IF(AE1209&lt;&gt;"ja",_xlfn.IFNA(_xlfn.IFS(AND(P1209&lt;&gt;"",R1209&lt;&gt;"",RIGHT($N1209,6)="tarief",F1209="Vergoeding"),SUM(P1209)*FLOOR(SUM(R1209),0.0001),AND(P1209&lt;&gt;"",R1209&lt;&gt;"",RIGHT($N1209,6)="tarief"),P1209*FLOOR(R1209,0.01),T1209&gt;0,FLOOR(SUM(T1209),0.01)),""),""),"")</f>
        <v/>
      </c>
      <c r="Y1209" s="314" t="str">
        <f t="shared" ca="1" si="74"/>
        <v/>
      </c>
      <c r="Z1209" s="314" t="str" cm="1">
        <f t="array" aca="1" ref="Z1209" ca="1">IFERROR(_xlfn.IFS(OR(F1209="",LEFT(Methode_Keuze,4)="Geen",Methode_Keuze=""),"",AND(W1209&lt;&gt;"",F1209&lt;&gt;"Arbeidskosten"),W1209*VLOOKUP(F1209,Tb_ProjectKosten[],MATCH(Tb_ProjectKosten[[#Headers],[Forfait_Percentage]],Tb_ProjectKosten[#Headers],0),0),AND(F1209="Arbeidskosten",G1209&lt;&gt;""),IFERROR(W1209*VLOOKUP(G1209,Tb_KostenTypen[],3,0)*VLOOKUP(F1209,Tb_ProjectKosten[],MATCH(Tb_ProjectKosten[[#Headers],[Forfait_Percentage]],Tb_ProjectKosten[#Headers],0),0),""),W1209 &lt;=0,0),"")</f>
        <v/>
      </c>
      <c r="AA1209" s="314" t="str" cm="1">
        <f t="array" aca="1" ref="AA1209" ca="1">IFERROR(_xlfn.IFS(OR(F1209="",LEFT(Methode_Keuze,4)="Geen",Methode_Keuze=""),"",AND(X1209&lt;&gt;"",F1209&lt;&gt;"Arbeidskosten"),X1209*VLOOKUP(F1209,Tb_ProjectKosten[],MATCH(Tb_ProjectKosten[[#Headers],[Forfait_Percentage]],Tb_ProjectKosten[#Headers],0),0),AND(F1209="Arbeidskosten",G1209&lt;&gt;""),IFERROR(X1209*VLOOKUP(G1209,Tb_KostenTypen[],3,0)*VLOOKUP(F1209,Tb_ProjectKosten[],MATCH(Tb_ProjectKosten[[#Headers],[Forfait_Percentage]],Tb_ProjectKosten[#Headers],0),0),""),X1209 &lt;=0,0),"")</f>
        <v/>
      </c>
      <c r="AB1209" s="314" t="str">
        <f t="shared" ca="1" si="75"/>
        <v/>
      </c>
      <c r="AC1209" s="322"/>
      <c r="AD1209" s="315"/>
      <c r="AE1209" s="32" t="str" cm="1">
        <f t="array" ref="AE1209">IFERROR(IF(INDEX(SubsidieTabel!$AD$1:$AG$12,MATCH($F1209,SubsidieTabel!$AD$1:$AD$12,0),IFERROR(MATCH(Methode_Keuze,SubsidieTabel!$AD$1:$AG$1,0),2))&lt;&gt;1=TRUE,"ja",""),"")</f>
        <v/>
      </c>
    </row>
    <row r="1210" spans="1:31" x14ac:dyDescent="0.25">
      <c r="A1210" s="316"/>
      <c r="B1210" s="317" t="str">
        <f>IF(A1210&lt;&gt;"",_xlfn.MAXIFS($B$1:B1209,$A$1:A1209,A1210)+1,"")</f>
        <v/>
      </c>
      <c r="C1210" s="296"/>
      <c r="D1210" s="296"/>
      <c r="E1210" s="296"/>
      <c r="F1210" s="296"/>
      <c r="G1210" s="326"/>
      <c r="H1210" s="324"/>
      <c r="I1210" s="325"/>
      <c r="J1210" s="325"/>
      <c r="K1210" s="318"/>
      <c r="L1210" s="318"/>
      <c r="M1210" s="319" t="str">
        <f>IFERROR(VLOOKUP(H1210,Lijsten!$H$1:$I$100,2,0),"")</f>
        <v/>
      </c>
      <c r="N1210" s="319" t="str">
        <f ca="1">IFERROR(IF(VLOOKUP(F1210,Kostentypen!$A$3:$E$21,3,0)=0,"",IF(OR(F1210="Arbeidskosten",F1210="Vergoeding"),VLOOKUP(G1210,Tb_KostenTypen[],2,0),VLOOKUP(F1210,Kostentypen!$A$3:$E$20,3,0))),"")</f>
        <v/>
      </c>
      <c r="O1210" s="320" t="str" cm="1">
        <f t="array" ref="O1210">_xlfn.IFNA(IF(INDEX(Tb_KostenOptiesDB[],MATCH($F1210,Tb_KostenOptiesDB[KostenOptie],0),IFERROR(MATCH(Methode_Keuze,Tb_KostenOptiesDB[#Headers],0),2))=1,_xlfn.SWITCH($N1210,"Uurtarief",IF(OR(AND(RIGHT($F1210,3)="IKS",VLOOKUP($M1210,DB_Loonkosten,2,0)="Ja"),AND(RIGHT($F1210,3)&lt;&gt;"IKS",VLOOKUP($M1210,DB_Loonkosten,2,0)="Nee")),IFERROR(VLOOKUP($M1210,DB_Loonkosten,24,0),""),0),"Vast tarief",IF(LEFT(F1210,8)="Bijdrage",VLOOKUP($F1210,Tb_KostenTypen[],MATCH(Lijsten!$P$1,Tb_KostenTypen[#Headers],0),0),VLOOKUP($G1210,Lijsten!L:P,MATCH(Lijsten!$P$1,Kop_Tarief_Vast,0),0))),""),"")</f>
        <v/>
      </c>
      <c r="P1210" s="320" t="str" cm="1">
        <f t="array" ref="P1210">_xlfn.IFNA(IF(INDEX(Tb_KostenOptiesDB[],MATCH($F1210,Tb_KostenOptiesDB[KostenOptie],0),IFERROR(MATCH(Methode_Keuze,Tb_KostenOptiesDB[#Headers],0),2))=1,_xlfn.SWITCH($N1210,"Uurtarief",IF(OR(AND(RIGHT($F1210,3)="IKS",VLOOKUP($M1210,DB_Loonkosten,2,0)="Ja"),AND(RIGHT($F1210,3)&lt;&gt;"IKS",VLOOKUP($M1210,DB_Loonkosten,2,0)="Nee")),IFERROR(VLOOKUP($M1210,DB_Loonkosten,25,0),""),0),"Vast tarief",IF(LEFT(F1210,8)="Bijdrage",VLOOKUP($F1210,Tb_KostenTypen[],MATCH(Lijsten!$P$1,Tb_KostenTypen[#Headers],0),0),VLOOKUP($G1210,Lijsten!L:P,MATCH(Lijsten!$P$1,Kop_Tarief_Vast,0),0))),""),"")</f>
        <v/>
      </c>
      <c r="Q1210" s="359"/>
      <c r="R1210" s="359"/>
      <c r="S1210" s="321"/>
      <c r="T1210" s="321"/>
      <c r="U1210" s="373" t="str">
        <f t="shared" si="72"/>
        <v/>
      </c>
      <c r="V1210" s="314" t="str">
        <f t="shared" si="73"/>
        <v/>
      </c>
      <c r="W1210" s="314" t="str" cm="1">
        <f t="array" aca="1" ref="W1210" ca="1">IFERROR(IF(AE1210&lt;&gt;"ja",_xlfn.IFNA(_xlfn.IFS(AND(O1210&lt;&gt;"",F1210&lt;&gt;"",RIGHT($N1210,6)="tarief",F1210="Vergoeding"),SUM(O1210)*FLOOR(SUM(Q1210),0.0001),AND(O1210&lt;&gt;"",F1210&lt;&gt;"",RIGHT($N1210,6)="tarief"),SUM(O1210)*FLOOR(SUM(Q1210),0.01),S1210&gt;0,IF(F1210&lt;&gt;"",FLOOR(SUM(S1210),0.01),"")),""),""),"")</f>
        <v/>
      </c>
      <c r="X1210" s="314" t="str" cm="1">
        <f t="array" aca="1" ref="X1210" ca="1">IFERROR(IF(AE1210&lt;&gt;"ja",_xlfn.IFNA(_xlfn.IFS(AND(P1210&lt;&gt;"",R1210&lt;&gt;"",RIGHT($N1210,6)="tarief",F1210="Vergoeding"),SUM(P1210)*FLOOR(SUM(R1210),0.0001),AND(P1210&lt;&gt;"",R1210&lt;&gt;"",RIGHT($N1210,6)="tarief"),P1210*FLOOR(R1210,0.01),T1210&gt;0,FLOOR(SUM(T1210),0.01)),""),""),"")</f>
        <v/>
      </c>
      <c r="Y1210" s="314" t="str">
        <f t="shared" ca="1" si="74"/>
        <v/>
      </c>
      <c r="Z1210" s="314" t="str" cm="1">
        <f t="array" aca="1" ref="Z1210" ca="1">IFERROR(_xlfn.IFS(OR(F1210="",LEFT(Methode_Keuze,4)="Geen",Methode_Keuze=""),"",AND(W1210&lt;&gt;"",F1210&lt;&gt;"Arbeidskosten"),W1210*VLOOKUP(F1210,Tb_ProjectKosten[],MATCH(Tb_ProjectKosten[[#Headers],[Forfait_Percentage]],Tb_ProjectKosten[#Headers],0),0),AND(F1210="Arbeidskosten",G1210&lt;&gt;""),IFERROR(W1210*VLOOKUP(G1210,Tb_KostenTypen[],3,0)*VLOOKUP(F1210,Tb_ProjectKosten[],MATCH(Tb_ProjectKosten[[#Headers],[Forfait_Percentage]],Tb_ProjectKosten[#Headers],0),0),""),W1210 &lt;=0,0),"")</f>
        <v/>
      </c>
      <c r="AA1210" s="314" t="str" cm="1">
        <f t="array" aca="1" ref="AA1210" ca="1">IFERROR(_xlfn.IFS(OR(F1210="",LEFT(Methode_Keuze,4)="Geen",Methode_Keuze=""),"",AND(X1210&lt;&gt;"",F1210&lt;&gt;"Arbeidskosten"),X1210*VLOOKUP(F1210,Tb_ProjectKosten[],MATCH(Tb_ProjectKosten[[#Headers],[Forfait_Percentage]],Tb_ProjectKosten[#Headers],0),0),AND(F1210="Arbeidskosten",G1210&lt;&gt;""),IFERROR(X1210*VLOOKUP(G1210,Tb_KostenTypen[],3,0)*VLOOKUP(F1210,Tb_ProjectKosten[],MATCH(Tb_ProjectKosten[[#Headers],[Forfait_Percentage]],Tb_ProjectKosten[#Headers],0),0),""),X1210 &lt;=0,0),"")</f>
        <v/>
      </c>
      <c r="AB1210" s="314" t="str">
        <f t="shared" ca="1" si="75"/>
        <v/>
      </c>
      <c r="AC1210" s="322"/>
      <c r="AD1210" s="315"/>
      <c r="AE1210" s="32" t="str" cm="1">
        <f t="array" ref="AE1210">IFERROR(IF(INDEX(SubsidieTabel!$AD$1:$AG$12,MATCH($F1210,SubsidieTabel!$AD$1:$AD$12,0),IFERROR(MATCH(Methode_Keuze,SubsidieTabel!$AD$1:$AG$1,0),2))&lt;&gt;1=TRUE,"ja",""),"")</f>
        <v/>
      </c>
    </row>
    <row r="1211" spans="1:31" x14ac:dyDescent="0.25">
      <c r="A1211" s="316"/>
      <c r="B1211" s="317" t="str">
        <f>IF(A1211&lt;&gt;"",_xlfn.MAXIFS($B$1:B1210,$A$1:A1210,A1211)+1,"")</f>
        <v/>
      </c>
      <c r="C1211" s="296"/>
      <c r="D1211" s="296"/>
      <c r="E1211" s="296"/>
      <c r="F1211" s="296"/>
      <c r="G1211" s="326"/>
      <c r="H1211" s="324"/>
      <c r="I1211" s="325"/>
      <c r="J1211" s="325"/>
      <c r="K1211" s="318"/>
      <c r="L1211" s="318"/>
      <c r="M1211" s="319" t="str">
        <f>IFERROR(VLOOKUP(H1211,Lijsten!$H$1:$I$100,2,0),"")</f>
        <v/>
      </c>
      <c r="N1211" s="319" t="str">
        <f ca="1">IFERROR(IF(VLOOKUP(F1211,Kostentypen!$A$3:$E$21,3,0)=0,"",IF(OR(F1211="Arbeidskosten",F1211="Vergoeding"),VLOOKUP(G1211,Tb_KostenTypen[],2,0),VLOOKUP(F1211,Kostentypen!$A$3:$E$20,3,0))),"")</f>
        <v/>
      </c>
      <c r="O1211" s="320" t="str" cm="1">
        <f t="array" ref="O1211">_xlfn.IFNA(IF(INDEX(Tb_KostenOptiesDB[],MATCH($F1211,Tb_KostenOptiesDB[KostenOptie],0),IFERROR(MATCH(Methode_Keuze,Tb_KostenOptiesDB[#Headers],0),2))=1,_xlfn.SWITCH($N1211,"Uurtarief",IF(OR(AND(RIGHT($F1211,3)="IKS",VLOOKUP($M1211,DB_Loonkosten,2,0)="Ja"),AND(RIGHT($F1211,3)&lt;&gt;"IKS",VLOOKUP($M1211,DB_Loonkosten,2,0)="Nee")),IFERROR(VLOOKUP($M1211,DB_Loonkosten,24,0),""),0),"Vast tarief",IF(LEFT(F1211,8)="Bijdrage",VLOOKUP($F1211,Tb_KostenTypen[],MATCH(Lijsten!$P$1,Tb_KostenTypen[#Headers],0),0),VLOOKUP($G1211,Lijsten!L:P,MATCH(Lijsten!$P$1,Kop_Tarief_Vast,0),0))),""),"")</f>
        <v/>
      </c>
      <c r="P1211" s="320" t="str" cm="1">
        <f t="array" ref="P1211">_xlfn.IFNA(IF(INDEX(Tb_KostenOptiesDB[],MATCH($F1211,Tb_KostenOptiesDB[KostenOptie],0),IFERROR(MATCH(Methode_Keuze,Tb_KostenOptiesDB[#Headers],0),2))=1,_xlfn.SWITCH($N1211,"Uurtarief",IF(OR(AND(RIGHT($F1211,3)="IKS",VLOOKUP($M1211,DB_Loonkosten,2,0)="Ja"),AND(RIGHT($F1211,3)&lt;&gt;"IKS",VLOOKUP($M1211,DB_Loonkosten,2,0)="Nee")),IFERROR(VLOOKUP($M1211,DB_Loonkosten,25,0),""),0),"Vast tarief",IF(LEFT(F1211,8)="Bijdrage",VLOOKUP($F1211,Tb_KostenTypen[],MATCH(Lijsten!$P$1,Tb_KostenTypen[#Headers],0),0),VLOOKUP($G1211,Lijsten!L:P,MATCH(Lijsten!$P$1,Kop_Tarief_Vast,0),0))),""),"")</f>
        <v/>
      </c>
      <c r="Q1211" s="359"/>
      <c r="R1211" s="359"/>
      <c r="S1211" s="321"/>
      <c r="T1211" s="321"/>
      <c r="U1211" s="373" t="str">
        <f t="shared" si="72"/>
        <v/>
      </c>
      <c r="V1211" s="314" t="str">
        <f t="shared" si="73"/>
        <v/>
      </c>
      <c r="W1211" s="314" t="str" cm="1">
        <f t="array" aca="1" ref="W1211" ca="1">IFERROR(IF(AE1211&lt;&gt;"ja",_xlfn.IFNA(_xlfn.IFS(AND(O1211&lt;&gt;"",F1211&lt;&gt;"",RIGHT($N1211,6)="tarief",F1211="Vergoeding"),SUM(O1211)*FLOOR(SUM(Q1211),0.0001),AND(O1211&lt;&gt;"",F1211&lt;&gt;"",RIGHT($N1211,6)="tarief"),SUM(O1211)*FLOOR(SUM(Q1211),0.01),S1211&gt;0,IF(F1211&lt;&gt;"",FLOOR(SUM(S1211),0.01),"")),""),""),"")</f>
        <v/>
      </c>
      <c r="X1211" s="314" t="str" cm="1">
        <f t="array" aca="1" ref="X1211" ca="1">IFERROR(IF(AE1211&lt;&gt;"ja",_xlfn.IFNA(_xlfn.IFS(AND(P1211&lt;&gt;"",R1211&lt;&gt;"",RIGHT($N1211,6)="tarief",F1211="Vergoeding"),SUM(P1211)*FLOOR(SUM(R1211),0.0001),AND(P1211&lt;&gt;"",R1211&lt;&gt;"",RIGHT($N1211,6)="tarief"),P1211*FLOOR(R1211,0.01),T1211&gt;0,FLOOR(SUM(T1211),0.01)),""),""),"")</f>
        <v/>
      </c>
      <c r="Y1211" s="314" t="str">
        <f t="shared" ca="1" si="74"/>
        <v/>
      </c>
      <c r="Z1211" s="314" t="str" cm="1">
        <f t="array" aca="1" ref="Z1211" ca="1">IFERROR(_xlfn.IFS(OR(F1211="",LEFT(Methode_Keuze,4)="Geen",Methode_Keuze=""),"",AND(W1211&lt;&gt;"",F1211&lt;&gt;"Arbeidskosten"),W1211*VLOOKUP(F1211,Tb_ProjectKosten[],MATCH(Tb_ProjectKosten[[#Headers],[Forfait_Percentage]],Tb_ProjectKosten[#Headers],0),0),AND(F1211="Arbeidskosten",G1211&lt;&gt;""),IFERROR(W1211*VLOOKUP(G1211,Tb_KostenTypen[],3,0)*VLOOKUP(F1211,Tb_ProjectKosten[],MATCH(Tb_ProjectKosten[[#Headers],[Forfait_Percentage]],Tb_ProjectKosten[#Headers],0),0),""),W1211 &lt;=0,0),"")</f>
        <v/>
      </c>
      <c r="AA1211" s="314" t="str" cm="1">
        <f t="array" aca="1" ref="AA1211" ca="1">IFERROR(_xlfn.IFS(OR(F1211="",LEFT(Methode_Keuze,4)="Geen",Methode_Keuze=""),"",AND(X1211&lt;&gt;"",F1211&lt;&gt;"Arbeidskosten"),X1211*VLOOKUP(F1211,Tb_ProjectKosten[],MATCH(Tb_ProjectKosten[[#Headers],[Forfait_Percentage]],Tb_ProjectKosten[#Headers],0),0),AND(F1211="Arbeidskosten",G1211&lt;&gt;""),IFERROR(X1211*VLOOKUP(G1211,Tb_KostenTypen[],3,0)*VLOOKUP(F1211,Tb_ProjectKosten[],MATCH(Tb_ProjectKosten[[#Headers],[Forfait_Percentage]],Tb_ProjectKosten[#Headers],0),0),""),X1211 &lt;=0,0),"")</f>
        <v/>
      </c>
      <c r="AB1211" s="314" t="str">
        <f t="shared" ca="1" si="75"/>
        <v/>
      </c>
      <c r="AC1211" s="322"/>
      <c r="AD1211" s="315"/>
      <c r="AE1211" s="32" t="str" cm="1">
        <f t="array" ref="AE1211">IFERROR(IF(INDEX(SubsidieTabel!$AD$1:$AG$12,MATCH($F1211,SubsidieTabel!$AD$1:$AD$12,0),IFERROR(MATCH(Methode_Keuze,SubsidieTabel!$AD$1:$AG$1,0),2))&lt;&gt;1=TRUE,"ja",""),"")</f>
        <v/>
      </c>
    </row>
    <row r="1212" spans="1:31" x14ac:dyDescent="0.25">
      <c r="A1212" s="316"/>
      <c r="B1212" s="317" t="str">
        <f>IF(A1212&lt;&gt;"",_xlfn.MAXIFS($B$1:B1211,$A$1:A1211,A1212)+1,"")</f>
        <v/>
      </c>
      <c r="C1212" s="296"/>
      <c r="D1212" s="296"/>
      <c r="E1212" s="296"/>
      <c r="F1212" s="296"/>
      <c r="G1212" s="326"/>
      <c r="H1212" s="324"/>
      <c r="I1212" s="325"/>
      <c r="J1212" s="325"/>
      <c r="K1212" s="318"/>
      <c r="L1212" s="318"/>
      <c r="M1212" s="319" t="str">
        <f>IFERROR(VLOOKUP(H1212,Lijsten!$H$1:$I$100,2,0),"")</f>
        <v/>
      </c>
      <c r="N1212" s="319" t="str">
        <f ca="1">IFERROR(IF(VLOOKUP(F1212,Kostentypen!$A$3:$E$21,3,0)=0,"",IF(OR(F1212="Arbeidskosten",F1212="Vergoeding"),VLOOKUP(G1212,Tb_KostenTypen[],2,0),VLOOKUP(F1212,Kostentypen!$A$3:$E$20,3,0))),"")</f>
        <v/>
      </c>
      <c r="O1212" s="320" t="str" cm="1">
        <f t="array" ref="O1212">_xlfn.IFNA(IF(INDEX(Tb_KostenOptiesDB[],MATCH($F1212,Tb_KostenOptiesDB[KostenOptie],0),IFERROR(MATCH(Methode_Keuze,Tb_KostenOptiesDB[#Headers],0),2))=1,_xlfn.SWITCH($N1212,"Uurtarief",IF(OR(AND(RIGHT($F1212,3)="IKS",VLOOKUP($M1212,DB_Loonkosten,2,0)="Ja"),AND(RIGHT($F1212,3)&lt;&gt;"IKS",VLOOKUP($M1212,DB_Loonkosten,2,0)="Nee")),IFERROR(VLOOKUP($M1212,DB_Loonkosten,24,0),""),0),"Vast tarief",IF(LEFT(F1212,8)="Bijdrage",VLOOKUP($F1212,Tb_KostenTypen[],MATCH(Lijsten!$P$1,Tb_KostenTypen[#Headers],0),0),VLOOKUP($G1212,Lijsten!L:P,MATCH(Lijsten!$P$1,Kop_Tarief_Vast,0),0))),""),"")</f>
        <v/>
      </c>
      <c r="P1212" s="320" t="str" cm="1">
        <f t="array" ref="P1212">_xlfn.IFNA(IF(INDEX(Tb_KostenOptiesDB[],MATCH($F1212,Tb_KostenOptiesDB[KostenOptie],0),IFERROR(MATCH(Methode_Keuze,Tb_KostenOptiesDB[#Headers],0),2))=1,_xlfn.SWITCH($N1212,"Uurtarief",IF(OR(AND(RIGHT($F1212,3)="IKS",VLOOKUP($M1212,DB_Loonkosten,2,0)="Ja"),AND(RIGHT($F1212,3)&lt;&gt;"IKS",VLOOKUP($M1212,DB_Loonkosten,2,0)="Nee")),IFERROR(VLOOKUP($M1212,DB_Loonkosten,25,0),""),0),"Vast tarief",IF(LEFT(F1212,8)="Bijdrage",VLOOKUP($F1212,Tb_KostenTypen[],MATCH(Lijsten!$P$1,Tb_KostenTypen[#Headers],0),0),VLOOKUP($G1212,Lijsten!L:P,MATCH(Lijsten!$P$1,Kop_Tarief_Vast,0),0))),""),"")</f>
        <v/>
      </c>
      <c r="Q1212" s="359"/>
      <c r="R1212" s="359"/>
      <c r="S1212" s="321"/>
      <c r="T1212" s="321"/>
      <c r="U1212" s="373" t="str">
        <f t="shared" si="72"/>
        <v/>
      </c>
      <c r="V1212" s="314" t="str">
        <f t="shared" si="73"/>
        <v/>
      </c>
      <c r="W1212" s="314" t="str" cm="1">
        <f t="array" aca="1" ref="W1212" ca="1">IFERROR(IF(AE1212&lt;&gt;"ja",_xlfn.IFNA(_xlfn.IFS(AND(O1212&lt;&gt;"",F1212&lt;&gt;"",RIGHT($N1212,6)="tarief",F1212="Vergoeding"),SUM(O1212)*FLOOR(SUM(Q1212),0.0001),AND(O1212&lt;&gt;"",F1212&lt;&gt;"",RIGHT($N1212,6)="tarief"),SUM(O1212)*FLOOR(SUM(Q1212),0.01),S1212&gt;0,IF(F1212&lt;&gt;"",FLOOR(SUM(S1212),0.01),"")),""),""),"")</f>
        <v/>
      </c>
      <c r="X1212" s="314" t="str" cm="1">
        <f t="array" aca="1" ref="X1212" ca="1">IFERROR(IF(AE1212&lt;&gt;"ja",_xlfn.IFNA(_xlfn.IFS(AND(P1212&lt;&gt;"",R1212&lt;&gt;"",RIGHT($N1212,6)="tarief",F1212="Vergoeding"),SUM(P1212)*FLOOR(SUM(R1212),0.0001),AND(P1212&lt;&gt;"",R1212&lt;&gt;"",RIGHT($N1212,6)="tarief"),P1212*FLOOR(R1212,0.01),T1212&gt;0,FLOOR(SUM(T1212),0.01)),""),""),"")</f>
        <v/>
      </c>
      <c r="Y1212" s="314" t="str">
        <f t="shared" ca="1" si="74"/>
        <v/>
      </c>
      <c r="Z1212" s="314" t="str" cm="1">
        <f t="array" aca="1" ref="Z1212" ca="1">IFERROR(_xlfn.IFS(OR(F1212="",LEFT(Methode_Keuze,4)="Geen",Methode_Keuze=""),"",AND(W1212&lt;&gt;"",F1212&lt;&gt;"Arbeidskosten"),W1212*VLOOKUP(F1212,Tb_ProjectKosten[],MATCH(Tb_ProjectKosten[[#Headers],[Forfait_Percentage]],Tb_ProjectKosten[#Headers],0),0),AND(F1212="Arbeidskosten",G1212&lt;&gt;""),IFERROR(W1212*VLOOKUP(G1212,Tb_KostenTypen[],3,0)*VLOOKUP(F1212,Tb_ProjectKosten[],MATCH(Tb_ProjectKosten[[#Headers],[Forfait_Percentage]],Tb_ProjectKosten[#Headers],0),0),""),W1212 &lt;=0,0),"")</f>
        <v/>
      </c>
      <c r="AA1212" s="314" t="str" cm="1">
        <f t="array" aca="1" ref="AA1212" ca="1">IFERROR(_xlfn.IFS(OR(F1212="",LEFT(Methode_Keuze,4)="Geen",Methode_Keuze=""),"",AND(X1212&lt;&gt;"",F1212&lt;&gt;"Arbeidskosten"),X1212*VLOOKUP(F1212,Tb_ProjectKosten[],MATCH(Tb_ProjectKosten[[#Headers],[Forfait_Percentage]],Tb_ProjectKosten[#Headers],0),0),AND(F1212="Arbeidskosten",G1212&lt;&gt;""),IFERROR(X1212*VLOOKUP(G1212,Tb_KostenTypen[],3,0)*VLOOKUP(F1212,Tb_ProjectKosten[],MATCH(Tb_ProjectKosten[[#Headers],[Forfait_Percentage]],Tb_ProjectKosten[#Headers],0),0),""),X1212 &lt;=0,0),"")</f>
        <v/>
      </c>
      <c r="AB1212" s="314" t="str">
        <f t="shared" ca="1" si="75"/>
        <v/>
      </c>
      <c r="AC1212" s="322"/>
      <c r="AD1212" s="315"/>
      <c r="AE1212" s="32" t="str" cm="1">
        <f t="array" ref="AE1212">IFERROR(IF(INDEX(SubsidieTabel!$AD$1:$AG$12,MATCH($F1212,SubsidieTabel!$AD$1:$AD$12,0),IFERROR(MATCH(Methode_Keuze,SubsidieTabel!$AD$1:$AG$1,0),2))&lt;&gt;1=TRUE,"ja",""),"")</f>
        <v/>
      </c>
    </row>
    <row r="1213" spans="1:31" x14ac:dyDescent="0.25">
      <c r="A1213" s="316"/>
      <c r="B1213" s="317" t="str">
        <f>IF(A1213&lt;&gt;"",_xlfn.MAXIFS($B$1:B1212,$A$1:A1212,A1213)+1,"")</f>
        <v/>
      </c>
      <c r="C1213" s="296"/>
      <c r="D1213" s="296"/>
      <c r="E1213" s="296"/>
      <c r="F1213" s="296"/>
      <c r="G1213" s="326"/>
      <c r="H1213" s="324"/>
      <c r="I1213" s="325"/>
      <c r="J1213" s="325"/>
      <c r="K1213" s="318"/>
      <c r="L1213" s="318"/>
      <c r="M1213" s="319" t="str">
        <f>IFERROR(VLOOKUP(H1213,Lijsten!$H$1:$I$100,2,0),"")</f>
        <v/>
      </c>
      <c r="N1213" s="319" t="str">
        <f ca="1">IFERROR(IF(VLOOKUP(F1213,Kostentypen!$A$3:$E$21,3,0)=0,"",IF(OR(F1213="Arbeidskosten",F1213="Vergoeding"),VLOOKUP(G1213,Tb_KostenTypen[],2,0),VLOOKUP(F1213,Kostentypen!$A$3:$E$20,3,0))),"")</f>
        <v/>
      </c>
      <c r="O1213" s="320" t="str" cm="1">
        <f t="array" ref="O1213">_xlfn.IFNA(IF(INDEX(Tb_KostenOptiesDB[],MATCH($F1213,Tb_KostenOptiesDB[KostenOptie],0),IFERROR(MATCH(Methode_Keuze,Tb_KostenOptiesDB[#Headers],0),2))=1,_xlfn.SWITCH($N1213,"Uurtarief",IF(OR(AND(RIGHT($F1213,3)="IKS",VLOOKUP($M1213,DB_Loonkosten,2,0)="Ja"),AND(RIGHT($F1213,3)&lt;&gt;"IKS",VLOOKUP($M1213,DB_Loonkosten,2,0)="Nee")),IFERROR(VLOOKUP($M1213,DB_Loonkosten,24,0),""),0),"Vast tarief",IF(LEFT(F1213,8)="Bijdrage",VLOOKUP($F1213,Tb_KostenTypen[],MATCH(Lijsten!$P$1,Tb_KostenTypen[#Headers],0),0),VLOOKUP($G1213,Lijsten!L:P,MATCH(Lijsten!$P$1,Kop_Tarief_Vast,0),0))),""),"")</f>
        <v/>
      </c>
      <c r="P1213" s="320" t="str" cm="1">
        <f t="array" ref="P1213">_xlfn.IFNA(IF(INDEX(Tb_KostenOptiesDB[],MATCH($F1213,Tb_KostenOptiesDB[KostenOptie],0),IFERROR(MATCH(Methode_Keuze,Tb_KostenOptiesDB[#Headers],0),2))=1,_xlfn.SWITCH($N1213,"Uurtarief",IF(OR(AND(RIGHT($F1213,3)="IKS",VLOOKUP($M1213,DB_Loonkosten,2,0)="Ja"),AND(RIGHT($F1213,3)&lt;&gt;"IKS",VLOOKUP($M1213,DB_Loonkosten,2,0)="Nee")),IFERROR(VLOOKUP($M1213,DB_Loonkosten,25,0),""),0),"Vast tarief",IF(LEFT(F1213,8)="Bijdrage",VLOOKUP($F1213,Tb_KostenTypen[],MATCH(Lijsten!$P$1,Tb_KostenTypen[#Headers],0),0),VLOOKUP($G1213,Lijsten!L:P,MATCH(Lijsten!$P$1,Kop_Tarief_Vast,0),0))),""),"")</f>
        <v/>
      </c>
      <c r="Q1213" s="359"/>
      <c r="R1213" s="359"/>
      <c r="S1213" s="321"/>
      <c r="T1213" s="321"/>
      <c r="U1213" s="373" t="str">
        <f t="shared" si="72"/>
        <v/>
      </c>
      <c r="V1213" s="314" t="str">
        <f t="shared" si="73"/>
        <v/>
      </c>
      <c r="W1213" s="314" t="str" cm="1">
        <f t="array" aca="1" ref="W1213" ca="1">IFERROR(IF(AE1213&lt;&gt;"ja",_xlfn.IFNA(_xlfn.IFS(AND(O1213&lt;&gt;"",F1213&lt;&gt;"",RIGHT($N1213,6)="tarief",F1213="Vergoeding"),SUM(O1213)*FLOOR(SUM(Q1213),0.0001),AND(O1213&lt;&gt;"",F1213&lt;&gt;"",RIGHT($N1213,6)="tarief"),SUM(O1213)*FLOOR(SUM(Q1213),0.01),S1213&gt;0,IF(F1213&lt;&gt;"",FLOOR(SUM(S1213),0.01),"")),""),""),"")</f>
        <v/>
      </c>
      <c r="X1213" s="314" t="str" cm="1">
        <f t="array" aca="1" ref="X1213" ca="1">IFERROR(IF(AE1213&lt;&gt;"ja",_xlfn.IFNA(_xlfn.IFS(AND(P1213&lt;&gt;"",R1213&lt;&gt;"",RIGHT($N1213,6)="tarief",F1213="Vergoeding"),SUM(P1213)*FLOOR(SUM(R1213),0.0001),AND(P1213&lt;&gt;"",R1213&lt;&gt;"",RIGHT($N1213,6)="tarief"),P1213*FLOOR(R1213,0.01),T1213&gt;0,FLOOR(SUM(T1213),0.01)),""),""),"")</f>
        <v/>
      </c>
      <c r="Y1213" s="314" t="str">
        <f t="shared" ca="1" si="74"/>
        <v/>
      </c>
      <c r="Z1213" s="314" t="str" cm="1">
        <f t="array" aca="1" ref="Z1213" ca="1">IFERROR(_xlfn.IFS(OR(F1213="",LEFT(Methode_Keuze,4)="Geen",Methode_Keuze=""),"",AND(W1213&lt;&gt;"",F1213&lt;&gt;"Arbeidskosten"),W1213*VLOOKUP(F1213,Tb_ProjectKosten[],MATCH(Tb_ProjectKosten[[#Headers],[Forfait_Percentage]],Tb_ProjectKosten[#Headers],0),0),AND(F1213="Arbeidskosten",G1213&lt;&gt;""),IFERROR(W1213*VLOOKUP(G1213,Tb_KostenTypen[],3,0)*VLOOKUP(F1213,Tb_ProjectKosten[],MATCH(Tb_ProjectKosten[[#Headers],[Forfait_Percentage]],Tb_ProjectKosten[#Headers],0),0),""),W1213 &lt;=0,0),"")</f>
        <v/>
      </c>
      <c r="AA1213" s="314" t="str" cm="1">
        <f t="array" aca="1" ref="AA1213" ca="1">IFERROR(_xlfn.IFS(OR(F1213="",LEFT(Methode_Keuze,4)="Geen",Methode_Keuze=""),"",AND(X1213&lt;&gt;"",F1213&lt;&gt;"Arbeidskosten"),X1213*VLOOKUP(F1213,Tb_ProjectKosten[],MATCH(Tb_ProjectKosten[[#Headers],[Forfait_Percentage]],Tb_ProjectKosten[#Headers],0),0),AND(F1213="Arbeidskosten",G1213&lt;&gt;""),IFERROR(X1213*VLOOKUP(G1213,Tb_KostenTypen[],3,0)*VLOOKUP(F1213,Tb_ProjectKosten[],MATCH(Tb_ProjectKosten[[#Headers],[Forfait_Percentage]],Tb_ProjectKosten[#Headers],0),0),""),X1213 &lt;=0,0),"")</f>
        <v/>
      </c>
      <c r="AB1213" s="314" t="str">
        <f t="shared" ca="1" si="75"/>
        <v/>
      </c>
      <c r="AC1213" s="322"/>
      <c r="AD1213" s="315"/>
      <c r="AE1213" s="32" t="str" cm="1">
        <f t="array" ref="AE1213">IFERROR(IF(INDEX(SubsidieTabel!$AD$1:$AG$12,MATCH($F1213,SubsidieTabel!$AD$1:$AD$12,0),IFERROR(MATCH(Methode_Keuze,SubsidieTabel!$AD$1:$AG$1,0),2))&lt;&gt;1=TRUE,"ja",""),"")</f>
        <v/>
      </c>
    </row>
    <row r="1214" spans="1:31" x14ac:dyDescent="0.25">
      <c r="A1214" s="316"/>
      <c r="B1214" s="317" t="str">
        <f>IF(A1214&lt;&gt;"",_xlfn.MAXIFS($B$1:B1213,$A$1:A1213,A1214)+1,"")</f>
        <v/>
      </c>
      <c r="C1214" s="296"/>
      <c r="D1214" s="296"/>
      <c r="E1214" s="296"/>
      <c r="F1214" s="296"/>
      <c r="G1214" s="326"/>
      <c r="H1214" s="324"/>
      <c r="I1214" s="325"/>
      <c r="J1214" s="325"/>
      <c r="K1214" s="318"/>
      <c r="L1214" s="318"/>
      <c r="M1214" s="319" t="str">
        <f>IFERROR(VLOOKUP(H1214,Lijsten!$H$1:$I$100,2,0),"")</f>
        <v/>
      </c>
      <c r="N1214" s="319" t="str">
        <f ca="1">IFERROR(IF(VLOOKUP(F1214,Kostentypen!$A$3:$E$21,3,0)=0,"",IF(OR(F1214="Arbeidskosten",F1214="Vergoeding"),VLOOKUP(G1214,Tb_KostenTypen[],2,0),VLOOKUP(F1214,Kostentypen!$A$3:$E$20,3,0))),"")</f>
        <v/>
      </c>
      <c r="O1214" s="320" t="str" cm="1">
        <f t="array" ref="O1214">_xlfn.IFNA(IF(INDEX(Tb_KostenOptiesDB[],MATCH($F1214,Tb_KostenOptiesDB[KostenOptie],0),IFERROR(MATCH(Methode_Keuze,Tb_KostenOptiesDB[#Headers],0),2))=1,_xlfn.SWITCH($N1214,"Uurtarief",IF(OR(AND(RIGHT($F1214,3)="IKS",VLOOKUP($M1214,DB_Loonkosten,2,0)="Ja"),AND(RIGHT($F1214,3)&lt;&gt;"IKS",VLOOKUP($M1214,DB_Loonkosten,2,0)="Nee")),IFERROR(VLOOKUP($M1214,DB_Loonkosten,24,0),""),0),"Vast tarief",IF(LEFT(F1214,8)="Bijdrage",VLOOKUP($F1214,Tb_KostenTypen[],MATCH(Lijsten!$P$1,Tb_KostenTypen[#Headers],0),0),VLOOKUP($G1214,Lijsten!L:P,MATCH(Lijsten!$P$1,Kop_Tarief_Vast,0),0))),""),"")</f>
        <v/>
      </c>
      <c r="P1214" s="320" t="str" cm="1">
        <f t="array" ref="P1214">_xlfn.IFNA(IF(INDEX(Tb_KostenOptiesDB[],MATCH($F1214,Tb_KostenOptiesDB[KostenOptie],0),IFERROR(MATCH(Methode_Keuze,Tb_KostenOptiesDB[#Headers],0),2))=1,_xlfn.SWITCH($N1214,"Uurtarief",IF(OR(AND(RIGHT($F1214,3)="IKS",VLOOKUP($M1214,DB_Loonkosten,2,0)="Ja"),AND(RIGHT($F1214,3)&lt;&gt;"IKS",VLOOKUP($M1214,DB_Loonkosten,2,0)="Nee")),IFERROR(VLOOKUP($M1214,DB_Loonkosten,25,0),""),0),"Vast tarief",IF(LEFT(F1214,8)="Bijdrage",VLOOKUP($F1214,Tb_KostenTypen[],MATCH(Lijsten!$P$1,Tb_KostenTypen[#Headers],0),0),VLOOKUP($G1214,Lijsten!L:P,MATCH(Lijsten!$P$1,Kop_Tarief_Vast,0),0))),""),"")</f>
        <v/>
      </c>
      <c r="Q1214" s="359"/>
      <c r="R1214" s="359"/>
      <c r="S1214" s="321"/>
      <c r="T1214" s="321"/>
      <c r="U1214" s="373" t="str">
        <f t="shared" si="72"/>
        <v/>
      </c>
      <c r="V1214" s="314" t="str">
        <f t="shared" si="73"/>
        <v/>
      </c>
      <c r="W1214" s="314" t="str" cm="1">
        <f t="array" aca="1" ref="W1214" ca="1">IFERROR(IF(AE1214&lt;&gt;"ja",_xlfn.IFNA(_xlfn.IFS(AND(O1214&lt;&gt;"",F1214&lt;&gt;"",RIGHT($N1214,6)="tarief",F1214="Vergoeding"),SUM(O1214)*FLOOR(SUM(Q1214),0.0001),AND(O1214&lt;&gt;"",F1214&lt;&gt;"",RIGHT($N1214,6)="tarief"),SUM(O1214)*FLOOR(SUM(Q1214),0.01),S1214&gt;0,IF(F1214&lt;&gt;"",FLOOR(SUM(S1214),0.01),"")),""),""),"")</f>
        <v/>
      </c>
      <c r="X1214" s="314" t="str" cm="1">
        <f t="array" aca="1" ref="X1214" ca="1">IFERROR(IF(AE1214&lt;&gt;"ja",_xlfn.IFNA(_xlfn.IFS(AND(P1214&lt;&gt;"",R1214&lt;&gt;"",RIGHT($N1214,6)="tarief",F1214="Vergoeding"),SUM(P1214)*FLOOR(SUM(R1214),0.0001),AND(P1214&lt;&gt;"",R1214&lt;&gt;"",RIGHT($N1214,6)="tarief"),P1214*FLOOR(R1214,0.01),T1214&gt;0,FLOOR(SUM(T1214),0.01)),""),""),"")</f>
        <v/>
      </c>
      <c r="Y1214" s="314" t="str">
        <f t="shared" ca="1" si="74"/>
        <v/>
      </c>
      <c r="Z1214" s="314" t="str" cm="1">
        <f t="array" aca="1" ref="Z1214" ca="1">IFERROR(_xlfn.IFS(OR(F1214="",LEFT(Methode_Keuze,4)="Geen",Methode_Keuze=""),"",AND(W1214&lt;&gt;"",F1214&lt;&gt;"Arbeidskosten"),W1214*VLOOKUP(F1214,Tb_ProjectKosten[],MATCH(Tb_ProjectKosten[[#Headers],[Forfait_Percentage]],Tb_ProjectKosten[#Headers],0),0),AND(F1214="Arbeidskosten",G1214&lt;&gt;""),IFERROR(W1214*VLOOKUP(G1214,Tb_KostenTypen[],3,0)*VLOOKUP(F1214,Tb_ProjectKosten[],MATCH(Tb_ProjectKosten[[#Headers],[Forfait_Percentage]],Tb_ProjectKosten[#Headers],0),0),""),W1214 &lt;=0,0),"")</f>
        <v/>
      </c>
      <c r="AA1214" s="314" t="str" cm="1">
        <f t="array" aca="1" ref="AA1214" ca="1">IFERROR(_xlfn.IFS(OR(F1214="",LEFT(Methode_Keuze,4)="Geen",Methode_Keuze=""),"",AND(X1214&lt;&gt;"",F1214&lt;&gt;"Arbeidskosten"),X1214*VLOOKUP(F1214,Tb_ProjectKosten[],MATCH(Tb_ProjectKosten[[#Headers],[Forfait_Percentage]],Tb_ProjectKosten[#Headers],0),0),AND(F1214="Arbeidskosten",G1214&lt;&gt;""),IFERROR(X1214*VLOOKUP(G1214,Tb_KostenTypen[],3,0)*VLOOKUP(F1214,Tb_ProjectKosten[],MATCH(Tb_ProjectKosten[[#Headers],[Forfait_Percentage]],Tb_ProjectKosten[#Headers],0),0),""),X1214 &lt;=0,0),"")</f>
        <v/>
      </c>
      <c r="AB1214" s="314" t="str">
        <f t="shared" ca="1" si="75"/>
        <v/>
      </c>
      <c r="AC1214" s="322"/>
      <c r="AD1214" s="315"/>
      <c r="AE1214" s="32" t="str" cm="1">
        <f t="array" ref="AE1214">IFERROR(IF(INDEX(SubsidieTabel!$AD$1:$AG$12,MATCH($F1214,SubsidieTabel!$AD$1:$AD$12,0),IFERROR(MATCH(Methode_Keuze,SubsidieTabel!$AD$1:$AG$1,0),2))&lt;&gt;1=TRUE,"ja",""),"")</f>
        <v/>
      </c>
    </row>
    <row r="1215" spans="1:31" x14ac:dyDescent="0.25">
      <c r="A1215" s="316"/>
      <c r="B1215" s="317" t="str">
        <f>IF(A1215&lt;&gt;"",_xlfn.MAXIFS($B$1:B1214,$A$1:A1214,A1215)+1,"")</f>
        <v/>
      </c>
      <c r="C1215" s="296"/>
      <c r="D1215" s="296"/>
      <c r="E1215" s="296"/>
      <c r="F1215" s="296"/>
      <c r="G1215" s="326"/>
      <c r="H1215" s="324"/>
      <c r="I1215" s="325"/>
      <c r="J1215" s="325"/>
      <c r="K1215" s="318"/>
      <c r="L1215" s="318"/>
      <c r="M1215" s="319" t="str">
        <f>IFERROR(VLOOKUP(H1215,Lijsten!$H$1:$I$100,2,0),"")</f>
        <v/>
      </c>
      <c r="N1215" s="319" t="str">
        <f ca="1">IFERROR(IF(VLOOKUP(F1215,Kostentypen!$A$3:$E$21,3,0)=0,"",IF(OR(F1215="Arbeidskosten",F1215="Vergoeding"),VLOOKUP(G1215,Tb_KostenTypen[],2,0),VLOOKUP(F1215,Kostentypen!$A$3:$E$20,3,0))),"")</f>
        <v/>
      </c>
      <c r="O1215" s="320" t="str" cm="1">
        <f t="array" ref="O1215">_xlfn.IFNA(IF(INDEX(Tb_KostenOptiesDB[],MATCH($F1215,Tb_KostenOptiesDB[KostenOptie],0),IFERROR(MATCH(Methode_Keuze,Tb_KostenOptiesDB[#Headers],0),2))=1,_xlfn.SWITCH($N1215,"Uurtarief",IF(OR(AND(RIGHT($F1215,3)="IKS",VLOOKUP($M1215,DB_Loonkosten,2,0)="Ja"),AND(RIGHT($F1215,3)&lt;&gt;"IKS",VLOOKUP($M1215,DB_Loonkosten,2,0)="Nee")),IFERROR(VLOOKUP($M1215,DB_Loonkosten,24,0),""),0),"Vast tarief",IF(LEFT(F1215,8)="Bijdrage",VLOOKUP($F1215,Tb_KostenTypen[],MATCH(Lijsten!$P$1,Tb_KostenTypen[#Headers],0),0),VLOOKUP($G1215,Lijsten!L:P,MATCH(Lijsten!$P$1,Kop_Tarief_Vast,0),0))),""),"")</f>
        <v/>
      </c>
      <c r="P1215" s="320" t="str" cm="1">
        <f t="array" ref="P1215">_xlfn.IFNA(IF(INDEX(Tb_KostenOptiesDB[],MATCH($F1215,Tb_KostenOptiesDB[KostenOptie],0),IFERROR(MATCH(Methode_Keuze,Tb_KostenOptiesDB[#Headers],0),2))=1,_xlfn.SWITCH($N1215,"Uurtarief",IF(OR(AND(RIGHT($F1215,3)="IKS",VLOOKUP($M1215,DB_Loonkosten,2,0)="Ja"),AND(RIGHT($F1215,3)&lt;&gt;"IKS",VLOOKUP($M1215,DB_Loonkosten,2,0)="Nee")),IFERROR(VLOOKUP($M1215,DB_Loonkosten,25,0),""),0),"Vast tarief",IF(LEFT(F1215,8)="Bijdrage",VLOOKUP($F1215,Tb_KostenTypen[],MATCH(Lijsten!$P$1,Tb_KostenTypen[#Headers],0),0),VLOOKUP($G1215,Lijsten!L:P,MATCH(Lijsten!$P$1,Kop_Tarief_Vast,0),0))),""),"")</f>
        <v/>
      </c>
      <c r="Q1215" s="359"/>
      <c r="R1215" s="359"/>
      <c r="S1215" s="321"/>
      <c r="T1215" s="321"/>
      <c r="U1215" s="373" t="str">
        <f t="shared" si="72"/>
        <v/>
      </c>
      <c r="V1215" s="314" t="str">
        <f t="shared" si="73"/>
        <v/>
      </c>
      <c r="W1215" s="314" t="str" cm="1">
        <f t="array" aca="1" ref="W1215" ca="1">IFERROR(IF(AE1215&lt;&gt;"ja",_xlfn.IFNA(_xlfn.IFS(AND(O1215&lt;&gt;"",F1215&lt;&gt;"",RIGHT($N1215,6)="tarief",F1215="Vergoeding"),SUM(O1215)*FLOOR(SUM(Q1215),0.0001),AND(O1215&lt;&gt;"",F1215&lt;&gt;"",RIGHT($N1215,6)="tarief"),SUM(O1215)*FLOOR(SUM(Q1215),0.01),S1215&gt;0,IF(F1215&lt;&gt;"",FLOOR(SUM(S1215),0.01),"")),""),""),"")</f>
        <v/>
      </c>
      <c r="X1215" s="314" t="str" cm="1">
        <f t="array" aca="1" ref="X1215" ca="1">IFERROR(IF(AE1215&lt;&gt;"ja",_xlfn.IFNA(_xlfn.IFS(AND(P1215&lt;&gt;"",R1215&lt;&gt;"",RIGHT($N1215,6)="tarief",F1215="Vergoeding"),SUM(P1215)*FLOOR(SUM(R1215),0.0001),AND(P1215&lt;&gt;"",R1215&lt;&gt;"",RIGHT($N1215,6)="tarief"),P1215*FLOOR(R1215,0.01),T1215&gt;0,FLOOR(SUM(T1215),0.01)),""),""),"")</f>
        <v/>
      </c>
      <c r="Y1215" s="314" t="str">
        <f t="shared" ca="1" si="74"/>
        <v/>
      </c>
      <c r="Z1215" s="314" t="str" cm="1">
        <f t="array" aca="1" ref="Z1215" ca="1">IFERROR(_xlfn.IFS(OR(F1215="",LEFT(Methode_Keuze,4)="Geen",Methode_Keuze=""),"",AND(W1215&lt;&gt;"",F1215&lt;&gt;"Arbeidskosten"),W1215*VLOOKUP(F1215,Tb_ProjectKosten[],MATCH(Tb_ProjectKosten[[#Headers],[Forfait_Percentage]],Tb_ProjectKosten[#Headers],0),0),AND(F1215="Arbeidskosten",G1215&lt;&gt;""),IFERROR(W1215*VLOOKUP(G1215,Tb_KostenTypen[],3,0)*VLOOKUP(F1215,Tb_ProjectKosten[],MATCH(Tb_ProjectKosten[[#Headers],[Forfait_Percentage]],Tb_ProjectKosten[#Headers],0),0),""),W1215 &lt;=0,0),"")</f>
        <v/>
      </c>
      <c r="AA1215" s="314" t="str" cm="1">
        <f t="array" aca="1" ref="AA1215" ca="1">IFERROR(_xlfn.IFS(OR(F1215="",LEFT(Methode_Keuze,4)="Geen",Methode_Keuze=""),"",AND(X1215&lt;&gt;"",F1215&lt;&gt;"Arbeidskosten"),X1215*VLOOKUP(F1215,Tb_ProjectKosten[],MATCH(Tb_ProjectKosten[[#Headers],[Forfait_Percentage]],Tb_ProjectKosten[#Headers],0),0),AND(F1215="Arbeidskosten",G1215&lt;&gt;""),IFERROR(X1215*VLOOKUP(G1215,Tb_KostenTypen[],3,0)*VLOOKUP(F1215,Tb_ProjectKosten[],MATCH(Tb_ProjectKosten[[#Headers],[Forfait_Percentage]],Tb_ProjectKosten[#Headers],0),0),""),X1215 &lt;=0,0),"")</f>
        <v/>
      </c>
      <c r="AB1215" s="314" t="str">
        <f t="shared" ca="1" si="75"/>
        <v/>
      </c>
      <c r="AC1215" s="322"/>
      <c r="AD1215" s="315"/>
      <c r="AE1215" s="32" t="str" cm="1">
        <f t="array" ref="AE1215">IFERROR(IF(INDEX(SubsidieTabel!$AD$1:$AG$12,MATCH($F1215,SubsidieTabel!$AD$1:$AD$12,0),IFERROR(MATCH(Methode_Keuze,SubsidieTabel!$AD$1:$AG$1,0),2))&lt;&gt;1=TRUE,"ja",""),"")</f>
        <v/>
      </c>
    </row>
    <row r="1216" spans="1:31" x14ac:dyDescent="0.25">
      <c r="A1216" s="316"/>
      <c r="B1216" s="317" t="str">
        <f>IF(A1216&lt;&gt;"",_xlfn.MAXIFS($B$1:B1215,$A$1:A1215,A1216)+1,"")</f>
        <v/>
      </c>
      <c r="C1216" s="296"/>
      <c r="D1216" s="296"/>
      <c r="E1216" s="296"/>
      <c r="F1216" s="296"/>
      <c r="G1216" s="326"/>
      <c r="H1216" s="324"/>
      <c r="I1216" s="325"/>
      <c r="J1216" s="325"/>
      <c r="K1216" s="318"/>
      <c r="L1216" s="318"/>
      <c r="M1216" s="319" t="str">
        <f>IFERROR(VLOOKUP(H1216,Lijsten!$H$1:$I$100,2,0),"")</f>
        <v/>
      </c>
      <c r="N1216" s="319" t="str">
        <f ca="1">IFERROR(IF(VLOOKUP(F1216,Kostentypen!$A$3:$E$21,3,0)=0,"",IF(OR(F1216="Arbeidskosten",F1216="Vergoeding"),VLOOKUP(G1216,Tb_KostenTypen[],2,0),VLOOKUP(F1216,Kostentypen!$A$3:$E$20,3,0))),"")</f>
        <v/>
      </c>
      <c r="O1216" s="320" t="str" cm="1">
        <f t="array" ref="O1216">_xlfn.IFNA(IF(INDEX(Tb_KostenOptiesDB[],MATCH($F1216,Tb_KostenOptiesDB[KostenOptie],0),IFERROR(MATCH(Methode_Keuze,Tb_KostenOptiesDB[#Headers],0),2))=1,_xlfn.SWITCH($N1216,"Uurtarief",IF(OR(AND(RIGHT($F1216,3)="IKS",VLOOKUP($M1216,DB_Loonkosten,2,0)="Ja"),AND(RIGHT($F1216,3)&lt;&gt;"IKS",VLOOKUP($M1216,DB_Loonkosten,2,0)="Nee")),IFERROR(VLOOKUP($M1216,DB_Loonkosten,24,0),""),0),"Vast tarief",IF(LEFT(F1216,8)="Bijdrage",VLOOKUP($F1216,Tb_KostenTypen[],MATCH(Lijsten!$P$1,Tb_KostenTypen[#Headers],0),0),VLOOKUP($G1216,Lijsten!L:P,MATCH(Lijsten!$P$1,Kop_Tarief_Vast,0),0))),""),"")</f>
        <v/>
      </c>
      <c r="P1216" s="320" t="str" cm="1">
        <f t="array" ref="P1216">_xlfn.IFNA(IF(INDEX(Tb_KostenOptiesDB[],MATCH($F1216,Tb_KostenOptiesDB[KostenOptie],0),IFERROR(MATCH(Methode_Keuze,Tb_KostenOptiesDB[#Headers],0),2))=1,_xlfn.SWITCH($N1216,"Uurtarief",IF(OR(AND(RIGHT($F1216,3)="IKS",VLOOKUP($M1216,DB_Loonkosten,2,0)="Ja"),AND(RIGHT($F1216,3)&lt;&gt;"IKS",VLOOKUP($M1216,DB_Loonkosten,2,0)="Nee")),IFERROR(VLOOKUP($M1216,DB_Loonkosten,25,0),""),0),"Vast tarief",IF(LEFT(F1216,8)="Bijdrage",VLOOKUP($F1216,Tb_KostenTypen[],MATCH(Lijsten!$P$1,Tb_KostenTypen[#Headers],0),0),VLOOKUP($G1216,Lijsten!L:P,MATCH(Lijsten!$P$1,Kop_Tarief_Vast,0),0))),""),"")</f>
        <v/>
      </c>
      <c r="Q1216" s="359"/>
      <c r="R1216" s="359"/>
      <c r="S1216" s="321"/>
      <c r="T1216" s="321"/>
      <c r="U1216" s="373" t="str">
        <f t="shared" si="72"/>
        <v/>
      </c>
      <c r="V1216" s="314" t="str">
        <f t="shared" si="73"/>
        <v/>
      </c>
      <c r="W1216" s="314" t="str" cm="1">
        <f t="array" aca="1" ref="W1216" ca="1">IFERROR(IF(AE1216&lt;&gt;"ja",_xlfn.IFNA(_xlfn.IFS(AND(O1216&lt;&gt;"",F1216&lt;&gt;"",RIGHT($N1216,6)="tarief",F1216="Vergoeding"),SUM(O1216)*FLOOR(SUM(Q1216),0.0001),AND(O1216&lt;&gt;"",F1216&lt;&gt;"",RIGHT($N1216,6)="tarief"),SUM(O1216)*FLOOR(SUM(Q1216),0.01),S1216&gt;0,IF(F1216&lt;&gt;"",FLOOR(SUM(S1216),0.01),"")),""),""),"")</f>
        <v/>
      </c>
      <c r="X1216" s="314" t="str" cm="1">
        <f t="array" aca="1" ref="X1216" ca="1">IFERROR(IF(AE1216&lt;&gt;"ja",_xlfn.IFNA(_xlfn.IFS(AND(P1216&lt;&gt;"",R1216&lt;&gt;"",RIGHT($N1216,6)="tarief",F1216="Vergoeding"),SUM(P1216)*FLOOR(SUM(R1216),0.0001),AND(P1216&lt;&gt;"",R1216&lt;&gt;"",RIGHT($N1216,6)="tarief"),P1216*FLOOR(R1216,0.01),T1216&gt;0,FLOOR(SUM(T1216),0.01)),""),""),"")</f>
        <v/>
      </c>
      <c r="Y1216" s="314" t="str">
        <f t="shared" ca="1" si="74"/>
        <v/>
      </c>
      <c r="Z1216" s="314" t="str" cm="1">
        <f t="array" aca="1" ref="Z1216" ca="1">IFERROR(_xlfn.IFS(OR(F1216="",LEFT(Methode_Keuze,4)="Geen",Methode_Keuze=""),"",AND(W1216&lt;&gt;"",F1216&lt;&gt;"Arbeidskosten"),W1216*VLOOKUP(F1216,Tb_ProjectKosten[],MATCH(Tb_ProjectKosten[[#Headers],[Forfait_Percentage]],Tb_ProjectKosten[#Headers],0),0),AND(F1216="Arbeidskosten",G1216&lt;&gt;""),IFERROR(W1216*VLOOKUP(G1216,Tb_KostenTypen[],3,0)*VLOOKUP(F1216,Tb_ProjectKosten[],MATCH(Tb_ProjectKosten[[#Headers],[Forfait_Percentage]],Tb_ProjectKosten[#Headers],0),0),""),W1216 &lt;=0,0),"")</f>
        <v/>
      </c>
      <c r="AA1216" s="314" t="str" cm="1">
        <f t="array" aca="1" ref="AA1216" ca="1">IFERROR(_xlfn.IFS(OR(F1216="",LEFT(Methode_Keuze,4)="Geen",Methode_Keuze=""),"",AND(X1216&lt;&gt;"",F1216&lt;&gt;"Arbeidskosten"),X1216*VLOOKUP(F1216,Tb_ProjectKosten[],MATCH(Tb_ProjectKosten[[#Headers],[Forfait_Percentage]],Tb_ProjectKosten[#Headers],0),0),AND(F1216="Arbeidskosten",G1216&lt;&gt;""),IFERROR(X1216*VLOOKUP(G1216,Tb_KostenTypen[],3,0)*VLOOKUP(F1216,Tb_ProjectKosten[],MATCH(Tb_ProjectKosten[[#Headers],[Forfait_Percentage]],Tb_ProjectKosten[#Headers],0),0),""),X1216 &lt;=0,0),"")</f>
        <v/>
      </c>
      <c r="AB1216" s="314" t="str">
        <f t="shared" ca="1" si="75"/>
        <v/>
      </c>
      <c r="AC1216" s="322"/>
      <c r="AD1216" s="315"/>
      <c r="AE1216" s="32" t="str" cm="1">
        <f t="array" ref="AE1216">IFERROR(IF(INDEX(SubsidieTabel!$AD$1:$AG$12,MATCH($F1216,SubsidieTabel!$AD$1:$AD$12,0),IFERROR(MATCH(Methode_Keuze,SubsidieTabel!$AD$1:$AG$1,0),2))&lt;&gt;1=TRUE,"ja",""),"")</f>
        <v/>
      </c>
    </row>
    <row r="1217" spans="1:31" x14ac:dyDescent="0.25">
      <c r="A1217" s="316"/>
      <c r="B1217" s="317" t="str">
        <f>IF(A1217&lt;&gt;"",_xlfn.MAXIFS($B$1:B1216,$A$1:A1216,A1217)+1,"")</f>
        <v/>
      </c>
      <c r="C1217" s="296"/>
      <c r="D1217" s="296"/>
      <c r="E1217" s="296"/>
      <c r="F1217" s="296"/>
      <c r="G1217" s="326"/>
      <c r="H1217" s="324"/>
      <c r="I1217" s="325"/>
      <c r="J1217" s="325"/>
      <c r="K1217" s="318"/>
      <c r="L1217" s="318"/>
      <c r="M1217" s="319" t="str">
        <f>IFERROR(VLOOKUP(H1217,Lijsten!$H$1:$I$100,2,0),"")</f>
        <v/>
      </c>
      <c r="N1217" s="319" t="str">
        <f ca="1">IFERROR(IF(VLOOKUP(F1217,Kostentypen!$A$3:$E$21,3,0)=0,"",IF(OR(F1217="Arbeidskosten",F1217="Vergoeding"),VLOOKUP(G1217,Tb_KostenTypen[],2,0),VLOOKUP(F1217,Kostentypen!$A$3:$E$20,3,0))),"")</f>
        <v/>
      </c>
      <c r="O1217" s="320" t="str" cm="1">
        <f t="array" ref="O1217">_xlfn.IFNA(IF(INDEX(Tb_KostenOptiesDB[],MATCH($F1217,Tb_KostenOptiesDB[KostenOptie],0),IFERROR(MATCH(Methode_Keuze,Tb_KostenOptiesDB[#Headers],0),2))=1,_xlfn.SWITCH($N1217,"Uurtarief",IF(OR(AND(RIGHT($F1217,3)="IKS",VLOOKUP($M1217,DB_Loonkosten,2,0)="Ja"),AND(RIGHT($F1217,3)&lt;&gt;"IKS",VLOOKUP($M1217,DB_Loonkosten,2,0)="Nee")),IFERROR(VLOOKUP($M1217,DB_Loonkosten,24,0),""),0),"Vast tarief",IF(LEFT(F1217,8)="Bijdrage",VLOOKUP($F1217,Tb_KostenTypen[],MATCH(Lijsten!$P$1,Tb_KostenTypen[#Headers],0),0),VLOOKUP($G1217,Lijsten!L:P,MATCH(Lijsten!$P$1,Kop_Tarief_Vast,0),0))),""),"")</f>
        <v/>
      </c>
      <c r="P1217" s="320" t="str" cm="1">
        <f t="array" ref="P1217">_xlfn.IFNA(IF(INDEX(Tb_KostenOptiesDB[],MATCH($F1217,Tb_KostenOptiesDB[KostenOptie],0),IFERROR(MATCH(Methode_Keuze,Tb_KostenOptiesDB[#Headers],0),2))=1,_xlfn.SWITCH($N1217,"Uurtarief",IF(OR(AND(RIGHT($F1217,3)="IKS",VLOOKUP($M1217,DB_Loonkosten,2,0)="Ja"),AND(RIGHT($F1217,3)&lt;&gt;"IKS",VLOOKUP($M1217,DB_Loonkosten,2,0)="Nee")),IFERROR(VLOOKUP($M1217,DB_Loonkosten,25,0),""),0),"Vast tarief",IF(LEFT(F1217,8)="Bijdrage",VLOOKUP($F1217,Tb_KostenTypen[],MATCH(Lijsten!$P$1,Tb_KostenTypen[#Headers],0),0),VLOOKUP($G1217,Lijsten!L:P,MATCH(Lijsten!$P$1,Kop_Tarief_Vast,0),0))),""),"")</f>
        <v/>
      </c>
      <c r="Q1217" s="359"/>
      <c r="R1217" s="359"/>
      <c r="S1217" s="321"/>
      <c r="T1217" s="321"/>
      <c r="U1217" s="373" t="str">
        <f t="shared" si="72"/>
        <v/>
      </c>
      <c r="V1217" s="314" t="str">
        <f t="shared" si="73"/>
        <v/>
      </c>
      <c r="W1217" s="314" t="str" cm="1">
        <f t="array" aca="1" ref="W1217" ca="1">IFERROR(IF(AE1217&lt;&gt;"ja",_xlfn.IFNA(_xlfn.IFS(AND(O1217&lt;&gt;"",F1217&lt;&gt;"",RIGHT($N1217,6)="tarief",F1217="Vergoeding"),SUM(O1217)*FLOOR(SUM(Q1217),0.0001),AND(O1217&lt;&gt;"",F1217&lt;&gt;"",RIGHT($N1217,6)="tarief"),SUM(O1217)*FLOOR(SUM(Q1217),0.01),S1217&gt;0,IF(F1217&lt;&gt;"",FLOOR(SUM(S1217),0.01),"")),""),""),"")</f>
        <v/>
      </c>
      <c r="X1217" s="314" t="str" cm="1">
        <f t="array" aca="1" ref="X1217" ca="1">IFERROR(IF(AE1217&lt;&gt;"ja",_xlfn.IFNA(_xlfn.IFS(AND(P1217&lt;&gt;"",R1217&lt;&gt;"",RIGHT($N1217,6)="tarief",F1217="Vergoeding"),SUM(P1217)*FLOOR(SUM(R1217),0.0001),AND(P1217&lt;&gt;"",R1217&lt;&gt;"",RIGHT($N1217,6)="tarief"),P1217*FLOOR(R1217,0.01),T1217&gt;0,FLOOR(SUM(T1217),0.01)),""),""),"")</f>
        <v/>
      </c>
      <c r="Y1217" s="314" t="str">
        <f t="shared" ca="1" si="74"/>
        <v/>
      </c>
      <c r="Z1217" s="314" t="str" cm="1">
        <f t="array" aca="1" ref="Z1217" ca="1">IFERROR(_xlfn.IFS(OR(F1217="",LEFT(Methode_Keuze,4)="Geen",Methode_Keuze=""),"",AND(W1217&lt;&gt;"",F1217&lt;&gt;"Arbeidskosten"),W1217*VLOOKUP(F1217,Tb_ProjectKosten[],MATCH(Tb_ProjectKosten[[#Headers],[Forfait_Percentage]],Tb_ProjectKosten[#Headers],0),0),AND(F1217="Arbeidskosten",G1217&lt;&gt;""),IFERROR(W1217*VLOOKUP(G1217,Tb_KostenTypen[],3,0)*VLOOKUP(F1217,Tb_ProjectKosten[],MATCH(Tb_ProjectKosten[[#Headers],[Forfait_Percentage]],Tb_ProjectKosten[#Headers],0),0),""),W1217 &lt;=0,0),"")</f>
        <v/>
      </c>
      <c r="AA1217" s="314" t="str" cm="1">
        <f t="array" aca="1" ref="AA1217" ca="1">IFERROR(_xlfn.IFS(OR(F1217="",LEFT(Methode_Keuze,4)="Geen",Methode_Keuze=""),"",AND(X1217&lt;&gt;"",F1217&lt;&gt;"Arbeidskosten"),X1217*VLOOKUP(F1217,Tb_ProjectKosten[],MATCH(Tb_ProjectKosten[[#Headers],[Forfait_Percentage]],Tb_ProjectKosten[#Headers],0),0),AND(F1217="Arbeidskosten",G1217&lt;&gt;""),IFERROR(X1217*VLOOKUP(G1217,Tb_KostenTypen[],3,0)*VLOOKUP(F1217,Tb_ProjectKosten[],MATCH(Tb_ProjectKosten[[#Headers],[Forfait_Percentage]],Tb_ProjectKosten[#Headers],0),0),""),X1217 &lt;=0,0),"")</f>
        <v/>
      </c>
      <c r="AB1217" s="314" t="str">
        <f t="shared" ca="1" si="75"/>
        <v/>
      </c>
      <c r="AC1217" s="322"/>
      <c r="AD1217" s="315"/>
      <c r="AE1217" s="32" t="str" cm="1">
        <f t="array" ref="AE1217">IFERROR(IF(INDEX(SubsidieTabel!$AD$1:$AG$12,MATCH($F1217,SubsidieTabel!$AD$1:$AD$12,0),IFERROR(MATCH(Methode_Keuze,SubsidieTabel!$AD$1:$AG$1,0),2))&lt;&gt;1=TRUE,"ja",""),"")</f>
        <v/>
      </c>
    </row>
    <row r="1218" spans="1:31" x14ac:dyDescent="0.25">
      <c r="A1218" s="316"/>
      <c r="B1218" s="317" t="str">
        <f>IF(A1218&lt;&gt;"",_xlfn.MAXIFS($B$1:B1217,$A$1:A1217,A1218)+1,"")</f>
        <v/>
      </c>
      <c r="C1218" s="296"/>
      <c r="D1218" s="296"/>
      <c r="E1218" s="296"/>
      <c r="F1218" s="296"/>
      <c r="G1218" s="326"/>
      <c r="H1218" s="324"/>
      <c r="I1218" s="325"/>
      <c r="J1218" s="325"/>
      <c r="K1218" s="318"/>
      <c r="L1218" s="318"/>
      <c r="M1218" s="319" t="str">
        <f>IFERROR(VLOOKUP(H1218,Lijsten!$H$1:$I$100,2,0),"")</f>
        <v/>
      </c>
      <c r="N1218" s="319" t="str">
        <f ca="1">IFERROR(IF(VLOOKUP(F1218,Kostentypen!$A$3:$E$21,3,0)=0,"",IF(OR(F1218="Arbeidskosten",F1218="Vergoeding"),VLOOKUP(G1218,Tb_KostenTypen[],2,0),VLOOKUP(F1218,Kostentypen!$A$3:$E$20,3,0))),"")</f>
        <v/>
      </c>
      <c r="O1218" s="320" t="str" cm="1">
        <f t="array" ref="O1218">_xlfn.IFNA(IF(INDEX(Tb_KostenOptiesDB[],MATCH($F1218,Tb_KostenOptiesDB[KostenOptie],0),IFERROR(MATCH(Methode_Keuze,Tb_KostenOptiesDB[#Headers],0),2))=1,_xlfn.SWITCH($N1218,"Uurtarief",IF(OR(AND(RIGHT($F1218,3)="IKS",VLOOKUP($M1218,DB_Loonkosten,2,0)="Ja"),AND(RIGHT($F1218,3)&lt;&gt;"IKS",VLOOKUP($M1218,DB_Loonkosten,2,0)="Nee")),IFERROR(VLOOKUP($M1218,DB_Loonkosten,24,0),""),0),"Vast tarief",IF(LEFT(F1218,8)="Bijdrage",VLOOKUP($F1218,Tb_KostenTypen[],MATCH(Lijsten!$P$1,Tb_KostenTypen[#Headers],0),0),VLOOKUP($G1218,Lijsten!L:P,MATCH(Lijsten!$P$1,Kop_Tarief_Vast,0),0))),""),"")</f>
        <v/>
      </c>
      <c r="P1218" s="320" t="str" cm="1">
        <f t="array" ref="P1218">_xlfn.IFNA(IF(INDEX(Tb_KostenOptiesDB[],MATCH($F1218,Tb_KostenOptiesDB[KostenOptie],0),IFERROR(MATCH(Methode_Keuze,Tb_KostenOptiesDB[#Headers],0),2))=1,_xlfn.SWITCH($N1218,"Uurtarief",IF(OR(AND(RIGHT($F1218,3)="IKS",VLOOKUP($M1218,DB_Loonkosten,2,0)="Ja"),AND(RIGHT($F1218,3)&lt;&gt;"IKS",VLOOKUP($M1218,DB_Loonkosten,2,0)="Nee")),IFERROR(VLOOKUP($M1218,DB_Loonkosten,25,0),""),0),"Vast tarief",IF(LEFT(F1218,8)="Bijdrage",VLOOKUP($F1218,Tb_KostenTypen[],MATCH(Lijsten!$P$1,Tb_KostenTypen[#Headers],0),0),VLOOKUP($G1218,Lijsten!L:P,MATCH(Lijsten!$P$1,Kop_Tarief_Vast,0),0))),""),"")</f>
        <v/>
      </c>
      <c r="Q1218" s="359"/>
      <c r="R1218" s="359"/>
      <c r="S1218" s="321"/>
      <c r="T1218" s="321"/>
      <c r="U1218" s="373" t="str">
        <f t="shared" si="72"/>
        <v/>
      </c>
      <c r="V1218" s="314" t="str">
        <f t="shared" si="73"/>
        <v/>
      </c>
      <c r="W1218" s="314" t="str" cm="1">
        <f t="array" aca="1" ref="W1218" ca="1">IFERROR(IF(AE1218&lt;&gt;"ja",_xlfn.IFNA(_xlfn.IFS(AND(O1218&lt;&gt;"",F1218&lt;&gt;"",RIGHT($N1218,6)="tarief",F1218="Vergoeding"),SUM(O1218)*FLOOR(SUM(Q1218),0.0001),AND(O1218&lt;&gt;"",F1218&lt;&gt;"",RIGHT($N1218,6)="tarief"),SUM(O1218)*FLOOR(SUM(Q1218),0.01),S1218&gt;0,IF(F1218&lt;&gt;"",FLOOR(SUM(S1218),0.01),"")),""),""),"")</f>
        <v/>
      </c>
      <c r="X1218" s="314" t="str" cm="1">
        <f t="array" aca="1" ref="X1218" ca="1">IFERROR(IF(AE1218&lt;&gt;"ja",_xlfn.IFNA(_xlfn.IFS(AND(P1218&lt;&gt;"",R1218&lt;&gt;"",RIGHT($N1218,6)="tarief",F1218="Vergoeding"),SUM(P1218)*FLOOR(SUM(R1218),0.0001),AND(P1218&lt;&gt;"",R1218&lt;&gt;"",RIGHT($N1218,6)="tarief"),P1218*FLOOR(R1218,0.01),T1218&gt;0,FLOOR(SUM(T1218),0.01)),""),""),"")</f>
        <v/>
      </c>
      <c r="Y1218" s="314" t="str">
        <f t="shared" ca="1" si="74"/>
        <v/>
      </c>
      <c r="Z1218" s="314" t="str" cm="1">
        <f t="array" aca="1" ref="Z1218" ca="1">IFERROR(_xlfn.IFS(OR(F1218="",LEFT(Methode_Keuze,4)="Geen",Methode_Keuze=""),"",AND(W1218&lt;&gt;"",F1218&lt;&gt;"Arbeidskosten"),W1218*VLOOKUP(F1218,Tb_ProjectKosten[],MATCH(Tb_ProjectKosten[[#Headers],[Forfait_Percentage]],Tb_ProjectKosten[#Headers],0),0),AND(F1218="Arbeidskosten",G1218&lt;&gt;""),IFERROR(W1218*VLOOKUP(G1218,Tb_KostenTypen[],3,0)*VLOOKUP(F1218,Tb_ProjectKosten[],MATCH(Tb_ProjectKosten[[#Headers],[Forfait_Percentage]],Tb_ProjectKosten[#Headers],0),0),""),W1218 &lt;=0,0),"")</f>
        <v/>
      </c>
      <c r="AA1218" s="314" t="str" cm="1">
        <f t="array" aca="1" ref="AA1218" ca="1">IFERROR(_xlfn.IFS(OR(F1218="",LEFT(Methode_Keuze,4)="Geen",Methode_Keuze=""),"",AND(X1218&lt;&gt;"",F1218&lt;&gt;"Arbeidskosten"),X1218*VLOOKUP(F1218,Tb_ProjectKosten[],MATCH(Tb_ProjectKosten[[#Headers],[Forfait_Percentage]],Tb_ProjectKosten[#Headers],0),0),AND(F1218="Arbeidskosten",G1218&lt;&gt;""),IFERROR(X1218*VLOOKUP(G1218,Tb_KostenTypen[],3,0)*VLOOKUP(F1218,Tb_ProjectKosten[],MATCH(Tb_ProjectKosten[[#Headers],[Forfait_Percentage]],Tb_ProjectKosten[#Headers],0),0),""),X1218 &lt;=0,0),"")</f>
        <v/>
      </c>
      <c r="AB1218" s="314" t="str">
        <f t="shared" ca="1" si="75"/>
        <v/>
      </c>
      <c r="AC1218" s="322"/>
      <c r="AD1218" s="315"/>
      <c r="AE1218" s="32" t="str" cm="1">
        <f t="array" ref="AE1218">IFERROR(IF(INDEX(SubsidieTabel!$AD$1:$AG$12,MATCH($F1218,SubsidieTabel!$AD$1:$AD$12,0),IFERROR(MATCH(Methode_Keuze,SubsidieTabel!$AD$1:$AG$1,0),2))&lt;&gt;1=TRUE,"ja",""),"")</f>
        <v/>
      </c>
    </row>
    <row r="1219" spans="1:31" x14ac:dyDescent="0.25">
      <c r="A1219" s="316"/>
      <c r="B1219" s="317" t="str">
        <f>IF(A1219&lt;&gt;"",_xlfn.MAXIFS($B$1:B1218,$A$1:A1218,A1219)+1,"")</f>
        <v/>
      </c>
      <c r="C1219" s="296"/>
      <c r="D1219" s="296"/>
      <c r="E1219" s="296"/>
      <c r="F1219" s="296"/>
      <c r="G1219" s="326"/>
      <c r="H1219" s="324"/>
      <c r="I1219" s="325"/>
      <c r="J1219" s="325"/>
      <c r="K1219" s="318"/>
      <c r="L1219" s="318"/>
      <c r="M1219" s="319" t="str">
        <f>IFERROR(VLOOKUP(H1219,Lijsten!$H$1:$I$100,2,0),"")</f>
        <v/>
      </c>
      <c r="N1219" s="319" t="str">
        <f ca="1">IFERROR(IF(VLOOKUP(F1219,Kostentypen!$A$3:$E$21,3,0)=0,"",IF(OR(F1219="Arbeidskosten",F1219="Vergoeding"),VLOOKUP(G1219,Tb_KostenTypen[],2,0),VLOOKUP(F1219,Kostentypen!$A$3:$E$20,3,0))),"")</f>
        <v/>
      </c>
      <c r="O1219" s="320" t="str" cm="1">
        <f t="array" ref="O1219">_xlfn.IFNA(IF(INDEX(Tb_KostenOptiesDB[],MATCH($F1219,Tb_KostenOptiesDB[KostenOptie],0),IFERROR(MATCH(Methode_Keuze,Tb_KostenOptiesDB[#Headers],0),2))=1,_xlfn.SWITCH($N1219,"Uurtarief",IF(OR(AND(RIGHT($F1219,3)="IKS",VLOOKUP($M1219,DB_Loonkosten,2,0)="Ja"),AND(RIGHT($F1219,3)&lt;&gt;"IKS",VLOOKUP($M1219,DB_Loonkosten,2,0)="Nee")),IFERROR(VLOOKUP($M1219,DB_Loonkosten,24,0),""),0),"Vast tarief",IF(LEFT(F1219,8)="Bijdrage",VLOOKUP($F1219,Tb_KostenTypen[],MATCH(Lijsten!$P$1,Tb_KostenTypen[#Headers],0),0),VLOOKUP($G1219,Lijsten!L:P,MATCH(Lijsten!$P$1,Kop_Tarief_Vast,0),0))),""),"")</f>
        <v/>
      </c>
      <c r="P1219" s="320" t="str" cm="1">
        <f t="array" ref="P1219">_xlfn.IFNA(IF(INDEX(Tb_KostenOptiesDB[],MATCH($F1219,Tb_KostenOptiesDB[KostenOptie],0),IFERROR(MATCH(Methode_Keuze,Tb_KostenOptiesDB[#Headers],0),2))=1,_xlfn.SWITCH($N1219,"Uurtarief",IF(OR(AND(RIGHT($F1219,3)="IKS",VLOOKUP($M1219,DB_Loonkosten,2,0)="Ja"),AND(RIGHT($F1219,3)&lt;&gt;"IKS",VLOOKUP($M1219,DB_Loonkosten,2,0)="Nee")),IFERROR(VLOOKUP($M1219,DB_Loonkosten,25,0),""),0),"Vast tarief",IF(LEFT(F1219,8)="Bijdrage",VLOOKUP($F1219,Tb_KostenTypen[],MATCH(Lijsten!$P$1,Tb_KostenTypen[#Headers],0),0),VLOOKUP($G1219,Lijsten!L:P,MATCH(Lijsten!$P$1,Kop_Tarief_Vast,0),0))),""),"")</f>
        <v/>
      </c>
      <c r="Q1219" s="359"/>
      <c r="R1219" s="359"/>
      <c r="S1219" s="321"/>
      <c r="T1219" s="321"/>
      <c r="U1219" s="373" t="str">
        <f t="shared" ref="U1219:U1282" si="76">IFERROR(IF(AND(R1219&lt;&gt;"",R1219&lt;&gt;Q1219),-1*(R1219-Q1219),""),"")</f>
        <v/>
      </c>
      <c r="V1219" s="314" t="str">
        <f t="shared" ref="V1219:V1282" si="77">IFERROR(IF(AND(T1219&lt;&gt;"",T1219&lt;&gt;S1219),-1*(T1219-S1219),""),"")</f>
        <v/>
      </c>
      <c r="W1219" s="314" t="str" cm="1">
        <f t="array" aca="1" ref="W1219" ca="1">IFERROR(IF(AE1219&lt;&gt;"ja",_xlfn.IFNA(_xlfn.IFS(AND(O1219&lt;&gt;"",F1219&lt;&gt;"",RIGHT($N1219,6)="tarief",F1219="Vergoeding"),SUM(O1219)*FLOOR(SUM(Q1219),0.0001),AND(O1219&lt;&gt;"",F1219&lt;&gt;"",RIGHT($N1219,6)="tarief"),SUM(O1219)*FLOOR(SUM(Q1219),0.01),S1219&gt;0,IF(F1219&lt;&gt;"",FLOOR(SUM(S1219),0.01),"")),""),""),"")</f>
        <v/>
      </c>
      <c r="X1219" s="314" t="str" cm="1">
        <f t="array" aca="1" ref="X1219" ca="1">IFERROR(IF(AE1219&lt;&gt;"ja",_xlfn.IFNA(_xlfn.IFS(AND(P1219&lt;&gt;"",R1219&lt;&gt;"",RIGHT($N1219,6)="tarief",F1219="Vergoeding"),SUM(P1219)*FLOOR(SUM(R1219),0.0001),AND(P1219&lt;&gt;"",R1219&lt;&gt;"",RIGHT($N1219,6)="tarief"),P1219*FLOOR(R1219,0.01),T1219&gt;0,FLOOR(SUM(T1219),0.01)),""),""),"")</f>
        <v/>
      </c>
      <c r="Y1219" s="314" t="str">
        <f t="shared" ref="Y1219:Y1282" ca="1" si="78">IFERROR(IF(AND(X1219&lt;&gt;"",X1219&lt;&gt;W1219),-1*(X1219-W1219),""),"")</f>
        <v/>
      </c>
      <c r="Z1219" s="314" t="str" cm="1">
        <f t="array" aca="1" ref="Z1219" ca="1">IFERROR(_xlfn.IFS(OR(F1219="",LEFT(Methode_Keuze,4)="Geen",Methode_Keuze=""),"",AND(W1219&lt;&gt;"",F1219&lt;&gt;"Arbeidskosten"),W1219*VLOOKUP(F1219,Tb_ProjectKosten[],MATCH(Tb_ProjectKosten[[#Headers],[Forfait_Percentage]],Tb_ProjectKosten[#Headers],0),0),AND(F1219="Arbeidskosten",G1219&lt;&gt;""),IFERROR(W1219*VLOOKUP(G1219,Tb_KostenTypen[],3,0)*VLOOKUP(F1219,Tb_ProjectKosten[],MATCH(Tb_ProjectKosten[[#Headers],[Forfait_Percentage]],Tb_ProjectKosten[#Headers],0),0),""),W1219 &lt;=0,0),"")</f>
        <v/>
      </c>
      <c r="AA1219" s="314" t="str" cm="1">
        <f t="array" aca="1" ref="AA1219" ca="1">IFERROR(_xlfn.IFS(OR(F1219="",LEFT(Methode_Keuze,4)="Geen",Methode_Keuze=""),"",AND(X1219&lt;&gt;"",F1219&lt;&gt;"Arbeidskosten"),X1219*VLOOKUP(F1219,Tb_ProjectKosten[],MATCH(Tb_ProjectKosten[[#Headers],[Forfait_Percentage]],Tb_ProjectKosten[#Headers],0),0),AND(F1219="Arbeidskosten",G1219&lt;&gt;""),IFERROR(X1219*VLOOKUP(G1219,Tb_KostenTypen[],3,0)*VLOOKUP(F1219,Tb_ProjectKosten[],MATCH(Tb_ProjectKosten[[#Headers],[Forfait_Percentage]],Tb_ProjectKosten[#Headers],0),0),""),X1219 &lt;=0,0),"")</f>
        <v/>
      </c>
      <c r="AB1219" s="314" t="str">
        <f t="shared" ref="AB1219:AB1282" ca="1" si="79">IFERROR(IF(AND(AA1219&lt;&gt;"",AA1219&lt;&gt;Z1219),-1*(AA1219-Z1219),""),"")</f>
        <v/>
      </c>
      <c r="AC1219" s="322"/>
      <c r="AD1219" s="315"/>
      <c r="AE1219" s="32" t="str" cm="1">
        <f t="array" ref="AE1219">IFERROR(IF(INDEX(SubsidieTabel!$AD$1:$AG$12,MATCH($F1219,SubsidieTabel!$AD$1:$AD$12,0),IFERROR(MATCH(Methode_Keuze,SubsidieTabel!$AD$1:$AG$1,0),2))&lt;&gt;1=TRUE,"ja",""),"")</f>
        <v/>
      </c>
    </row>
    <row r="1220" spans="1:31" x14ac:dyDescent="0.25">
      <c r="A1220" s="316"/>
      <c r="B1220" s="317" t="str">
        <f>IF(A1220&lt;&gt;"",_xlfn.MAXIFS($B$1:B1219,$A$1:A1219,A1220)+1,"")</f>
        <v/>
      </c>
      <c r="C1220" s="296"/>
      <c r="D1220" s="296"/>
      <c r="E1220" s="296"/>
      <c r="F1220" s="296"/>
      <c r="G1220" s="326"/>
      <c r="H1220" s="324"/>
      <c r="I1220" s="325"/>
      <c r="J1220" s="325"/>
      <c r="K1220" s="318"/>
      <c r="L1220" s="318"/>
      <c r="M1220" s="319" t="str">
        <f>IFERROR(VLOOKUP(H1220,Lijsten!$H$1:$I$100,2,0),"")</f>
        <v/>
      </c>
      <c r="N1220" s="319" t="str">
        <f ca="1">IFERROR(IF(VLOOKUP(F1220,Kostentypen!$A$3:$E$21,3,0)=0,"",IF(OR(F1220="Arbeidskosten",F1220="Vergoeding"),VLOOKUP(G1220,Tb_KostenTypen[],2,0),VLOOKUP(F1220,Kostentypen!$A$3:$E$20,3,0))),"")</f>
        <v/>
      </c>
      <c r="O1220" s="320" t="str" cm="1">
        <f t="array" ref="O1220">_xlfn.IFNA(IF(INDEX(Tb_KostenOptiesDB[],MATCH($F1220,Tb_KostenOptiesDB[KostenOptie],0),IFERROR(MATCH(Methode_Keuze,Tb_KostenOptiesDB[#Headers],0),2))=1,_xlfn.SWITCH($N1220,"Uurtarief",IF(OR(AND(RIGHT($F1220,3)="IKS",VLOOKUP($M1220,DB_Loonkosten,2,0)="Ja"),AND(RIGHT($F1220,3)&lt;&gt;"IKS",VLOOKUP($M1220,DB_Loonkosten,2,0)="Nee")),IFERROR(VLOOKUP($M1220,DB_Loonkosten,24,0),""),0),"Vast tarief",IF(LEFT(F1220,8)="Bijdrage",VLOOKUP($F1220,Tb_KostenTypen[],MATCH(Lijsten!$P$1,Tb_KostenTypen[#Headers],0),0),VLOOKUP($G1220,Lijsten!L:P,MATCH(Lijsten!$P$1,Kop_Tarief_Vast,0),0))),""),"")</f>
        <v/>
      </c>
      <c r="P1220" s="320" t="str" cm="1">
        <f t="array" ref="P1220">_xlfn.IFNA(IF(INDEX(Tb_KostenOptiesDB[],MATCH($F1220,Tb_KostenOptiesDB[KostenOptie],0),IFERROR(MATCH(Methode_Keuze,Tb_KostenOptiesDB[#Headers],0),2))=1,_xlfn.SWITCH($N1220,"Uurtarief",IF(OR(AND(RIGHT($F1220,3)="IKS",VLOOKUP($M1220,DB_Loonkosten,2,0)="Ja"),AND(RIGHT($F1220,3)&lt;&gt;"IKS",VLOOKUP($M1220,DB_Loonkosten,2,0)="Nee")),IFERROR(VLOOKUP($M1220,DB_Loonkosten,25,0),""),0),"Vast tarief",IF(LEFT(F1220,8)="Bijdrage",VLOOKUP($F1220,Tb_KostenTypen[],MATCH(Lijsten!$P$1,Tb_KostenTypen[#Headers],0),0),VLOOKUP($G1220,Lijsten!L:P,MATCH(Lijsten!$P$1,Kop_Tarief_Vast,0),0))),""),"")</f>
        <v/>
      </c>
      <c r="Q1220" s="359"/>
      <c r="R1220" s="359"/>
      <c r="S1220" s="321"/>
      <c r="T1220" s="321"/>
      <c r="U1220" s="373" t="str">
        <f t="shared" si="76"/>
        <v/>
      </c>
      <c r="V1220" s="314" t="str">
        <f t="shared" si="77"/>
        <v/>
      </c>
      <c r="W1220" s="314" t="str" cm="1">
        <f t="array" aca="1" ref="W1220" ca="1">IFERROR(IF(AE1220&lt;&gt;"ja",_xlfn.IFNA(_xlfn.IFS(AND(O1220&lt;&gt;"",F1220&lt;&gt;"",RIGHT($N1220,6)="tarief",F1220="Vergoeding"),SUM(O1220)*FLOOR(SUM(Q1220),0.0001),AND(O1220&lt;&gt;"",F1220&lt;&gt;"",RIGHT($N1220,6)="tarief"),SUM(O1220)*FLOOR(SUM(Q1220),0.01),S1220&gt;0,IF(F1220&lt;&gt;"",FLOOR(SUM(S1220),0.01),"")),""),""),"")</f>
        <v/>
      </c>
      <c r="X1220" s="314" t="str" cm="1">
        <f t="array" aca="1" ref="X1220" ca="1">IFERROR(IF(AE1220&lt;&gt;"ja",_xlfn.IFNA(_xlfn.IFS(AND(P1220&lt;&gt;"",R1220&lt;&gt;"",RIGHT($N1220,6)="tarief",F1220="Vergoeding"),SUM(P1220)*FLOOR(SUM(R1220),0.0001),AND(P1220&lt;&gt;"",R1220&lt;&gt;"",RIGHT($N1220,6)="tarief"),P1220*FLOOR(R1220,0.01),T1220&gt;0,FLOOR(SUM(T1220),0.01)),""),""),"")</f>
        <v/>
      </c>
      <c r="Y1220" s="314" t="str">
        <f t="shared" ca="1" si="78"/>
        <v/>
      </c>
      <c r="Z1220" s="314" t="str" cm="1">
        <f t="array" aca="1" ref="Z1220" ca="1">IFERROR(_xlfn.IFS(OR(F1220="",LEFT(Methode_Keuze,4)="Geen",Methode_Keuze=""),"",AND(W1220&lt;&gt;"",F1220&lt;&gt;"Arbeidskosten"),W1220*VLOOKUP(F1220,Tb_ProjectKosten[],MATCH(Tb_ProjectKosten[[#Headers],[Forfait_Percentage]],Tb_ProjectKosten[#Headers],0),0),AND(F1220="Arbeidskosten",G1220&lt;&gt;""),IFERROR(W1220*VLOOKUP(G1220,Tb_KostenTypen[],3,0)*VLOOKUP(F1220,Tb_ProjectKosten[],MATCH(Tb_ProjectKosten[[#Headers],[Forfait_Percentage]],Tb_ProjectKosten[#Headers],0),0),""),W1220 &lt;=0,0),"")</f>
        <v/>
      </c>
      <c r="AA1220" s="314" t="str" cm="1">
        <f t="array" aca="1" ref="AA1220" ca="1">IFERROR(_xlfn.IFS(OR(F1220="",LEFT(Methode_Keuze,4)="Geen",Methode_Keuze=""),"",AND(X1220&lt;&gt;"",F1220&lt;&gt;"Arbeidskosten"),X1220*VLOOKUP(F1220,Tb_ProjectKosten[],MATCH(Tb_ProjectKosten[[#Headers],[Forfait_Percentage]],Tb_ProjectKosten[#Headers],0),0),AND(F1220="Arbeidskosten",G1220&lt;&gt;""),IFERROR(X1220*VLOOKUP(G1220,Tb_KostenTypen[],3,0)*VLOOKUP(F1220,Tb_ProjectKosten[],MATCH(Tb_ProjectKosten[[#Headers],[Forfait_Percentage]],Tb_ProjectKosten[#Headers],0),0),""),X1220 &lt;=0,0),"")</f>
        <v/>
      </c>
      <c r="AB1220" s="314" t="str">
        <f t="shared" ca="1" si="79"/>
        <v/>
      </c>
      <c r="AC1220" s="322"/>
      <c r="AD1220" s="315"/>
      <c r="AE1220" s="32" t="str" cm="1">
        <f t="array" ref="AE1220">IFERROR(IF(INDEX(SubsidieTabel!$AD$1:$AG$12,MATCH($F1220,SubsidieTabel!$AD$1:$AD$12,0),IFERROR(MATCH(Methode_Keuze,SubsidieTabel!$AD$1:$AG$1,0),2))&lt;&gt;1=TRUE,"ja",""),"")</f>
        <v/>
      </c>
    </row>
    <row r="1221" spans="1:31" x14ac:dyDescent="0.25">
      <c r="A1221" s="316"/>
      <c r="B1221" s="317" t="str">
        <f>IF(A1221&lt;&gt;"",_xlfn.MAXIFS($B$1:B1220,$A$1:A1220,A1221)+1,"")</f>
        <v/>
      </c>
      <c r="C1221" s="296"/>
      <c r="D1221" s="296"/>
      <c r="E1221" s="296"/>
      <c r="F1221" s="296"/>
      <c r="G1221" s="326"/>
      <c r="H1221" s="324"/>
      <c r="I1221" s="325"/>
      <c r="J1221" s="325"/>
      <c r="K1221" s="318"/>
      <c r="L1221" s="318"/>
      <c r="M1221" s="319" t="str">
        <f>IFERROR(VLOOKUP(H1221,Lijsten!$H$1:$I$100,2,0),"")</f>
        <v/>
      </c>
      <c r="N1221" s="319" t="str">
        <f ca="1">IFERROR(IF(VLOOKUP(F1221,Kostentypen!$A$3:$E$21,3,0)=0,"",IF(OR(F1221="Arbeidskosten",F1221="Vergoeding"),VLOOKUP(G1221,Tb_KostenTypen[],2,0),VLOOKUP(F1221,Kostentypen!$A$3:$E$20,3,0))),"")</f>
        <v/>
      </c>
      <c r="O1221" s="320" t="str" cm="1">
        <f t="array" ref="O1221">_xlfn.IFNA(IF(INDEX(Tb_KostenOptiesDB[],MATCH($F1221,Tb_KostenOptiesDB[KostenOptie],0),IFERROR(MATCH(Methode_Keuze,Tb_KostenOptiesDB[#Headers],0),2))=1,_xlfn.SWITCH($N1221,"Uurtarief",IF(OR(AND(RIGHT($F1221,3)="IKS",VLOOKUP($M1221,DB_Loonkosten,2,0)="Ja"),AND(RIGHT($F1221,3)&lt;&gt;"IKS",VLOOKUP($M1221,DB_Loonkosten,2,0)="Nee")),IFERROR(VLOOKUP($M1221,DB_Loonkosten,24,0),""),0),"Vast tarief",IF(LEFT(F1221,8)="Bijdrage",VLOOKUP($F1221,Tb_KostenTypen[],MATCH(Lijsten!$P$1,Tb_KostenTypen[#Headers],0),0),VLOOKUP($G1221,Lijsten!L:P,MATCH(Lijsten!$P$1,Kop_Tarief_Vast,0),0))),""),"")</f>
        <v/>
      </c>
      <c r="P1221" s="320" t="str" cm="1">
        <f t="array" ref="P1221">_xlfn.IFNA(IF(INDEX(Tb_KostenOptiesDB[],MATCH($F1221,Tb_KostenOptiesDB[KostenOptie],0),IFERROR(MATCH(Methode_Keuze,Tb_KostenOptiesDB[#Headers],0),2))=1,_xlfn.SWITCH($N1221,"Uurtarief",IF(OR(AND(RIGHT($F1221,3)="IKS",VLOOKUP($M1221,DB_Loonkosten,2,0)="Ja"),AND(RIGHT($F1221,3)&lt;&gt;"IKS",VLOOKUP($M1221,DB_Loonkosten,2,0)="Nee")),IFERROR(VLOOKUP($M1221,DB_Loonkosten,25,0),""),0),"Vast tarief",IF(LEFT(F1221,8)="Bijdrage",VLOOKUP($F1221,Tb_KostenTypen[],MATCH(Lijsten!$P$1,Tb_KostenTypen[#Headers],0),0),VLOOKUP($G1221,Lijsten!L:P,MATCH(Lijsten!$P$1,Kop_Tarief_Vast,0),0))),""),"")</f>
        <v/>
      </c>
      <c r="Q1221" s="359"/>
      <c r="R1221" s="359"/>
      <c r="S1221" s="321"/>
      <c r="T1221" s="321"/>
      <c r="U1221" s="373" t="str">
        <f t="shared" si="76"/>
        <v/>
      </c>
      <c r="V1221" s="314" t="str">
        <f t="shared" si="77"/>
        <v/>
      </c>
      <c r="W1221" s="314" t="str" cm="1">
        <f t="array" aca="1" ref="W1221" ca="1">IFERROR(IF(AE1221&lt;&gt;"ja",_xlfn.IFNA(_xlfn.IFS(AND(O1221&lt;&gt;"",F1221&lt;&gt;"",RIGHT($N1221,6)="tarief",F1221="Vergoeding"),SUM(O1221)*FLOOR(SUM(Q1221),0.0001),AND(O1221&lt;&gt;"",F1221&lt;&gt;"",RIGHT($N1221,6)="tarief"),SUM(O1221)*FLOOR(SUM(Q1221),0.01),S1221&gt;0,IF(F1221&lt;&gt;"",FLOOR(SUM(S1221),0.01),"")),""),""),"")</f>
        <v/>
      </c>
      <c r="X1221" s="314" t="str" cm="1">
        <f t="array" aca="1" ref="X1221" ca="1">IFERROR(IF(AE1221&lt;&gt;"ja",_xlfn.IFNA(_xlfn.IFS(AND(P1221&lt;&gt;"",R1221&lt;&gt;"",RIGHT($N1221,6)="tarief",F1221="Vergoeding"),SUM(P1221)*FLOOR(SUM(R1221),0.0001),AND(P1221&lt;&gt;"",R1221&lt;&gt;"",RIGHT($N1221,6)="tarief"),P1221*FLOOR(R1221,0.01),T1221&gt;0,FLOOR(SUM(T1221),0.01)),""),""),"")</f>
        <v/>
      </c>
      <c r="Y1221" s="314" t="str">
        <f t="shared" ca="1" si="78"/>
        <v/>
      </c>
      <c r="Z1221" s="314" t="str" cm="1">
        <f t="array" aca="1" ref="Z1221" ca="1">IFERROR(_xlfn.IFS(OR(F1221="",LEFT(Methode_Keuze,4)="Geen",Methode_Keuze=""),"",AND(W1221&lt;&gt;"",F1221&lt;&gt;"Arbeidskosten"),W1221*VLOOKUP(F1221,Tb_ProjectKosten[],MATCH(Tb_ProjectKosten[[#Headers],[Forfait_Percentage]],Tb_ProjectKosten[#Headers],0),0),AND(F1221="Arbeidskosten",G1221&lt;&gt;""),IFERROR(W1221*VLOOKUP(G1221,Tb_KostenTypen[],3,0)*VLOOKUP(F1221,Tb_ProjectKosten[],MATCH(Tb_ProjectKosten[[#Headers],[Forfait_Percentage]],Tb_ProjectKosten[#Headers],0),0),""),W1221 &lt;=0,0),"")</f>
        <v/>
      </c>
      <c r="AA1221" s="314" t="str" cm="1">
        <f t="array" aca="1" ref="AA1221" ca="1">IFERROR(_xlfn.IFS(OR(F1221="",LEFT(Methode_Keuze,4)="Geen",Methode_Keuze=""),"",AND(X1221&lt;&gt;"",F1221&lt;&gt;"Arbeidskosten"),X1221*VLOOKUP(F1221,Tb_ProjectKosten[],MATCH(Tb_ProjectKosten[[#Headers],[Forfait_Percentage]],Tb_ProjectKosten[#Headers],0),0),AND(F1221="Arbeidskosten",G1221&lt;&gt;""),IFERROR(X1221*VLOOKUP(G1221,Tb_KostenTypen[],3,0)*VLOOKUP(F1221,Tb_ProjectKosten[],MATCH(Tb_ProjectKosten[[#Headers],[Forfait_Percentage]],Tb_ProjectKosten[#Headers],0),0),""),X1221 &lt;=0,0),"")</f>
        <v/>
      </c>
      <c r="AB1221" s="314" t="str">
        <f t="shared" ca="1" si="79"/>
        <v/>
      </c>
      <c r="AC1221" s="322"/>
      <c r="AD1221" s="315"/>
      <c r="AE1221" s="32" t="str" cm="1">
        <f t="array" ref="AE1221">IFERROR(IF(INDEX(SubsidieTabel!$AD$1:$AG$12,MATCH($F1221,SubsidieTabel!$AD$1:$AD$12,0),IFERROR(MATCH(Methode_Keuze,SubsidieTabel!$AD$1:$AG$1,0),2))&lt;&gt;1=TRUE,"ja",""),"")</f>
        <v/>
      </c>
    </row>
    <row r="1222" spans="1:31" x14ac:dyDescent="0.25">
      <c r="A1222" s="316"/>
      <c r="B1222" s="317" t="str">
        <f>IF(A1222&lt;&gt;"",_xlfn.MAXIFS($B$1:B1221,$A$1:A1221,A1222)+1,"")</f>
        <v/>
      </c>
      <c r="C1222" s="296"/>
      <c r="D1222" s="296"/>
      <c r="E1222" s="296"/>
      <c r="F1222" s="296"/>
      <c r="G1222" s="326"/>
      <c r="H1222" s="324"/>
      <c r="I1222" s="325"/>
      <c r="J1222" s="325"/>
      <c r="K1222" s="318"/>
      <c r="L1222" s="318"/>
      <c r="M1222" s="319" t="str">
        <f>IFERROR(VLOOKUP(H1222,Lijsten!$H$1:$I$100,2,0),"")</f>
        <v/>
      </c>
      <c r="N1222" s="319" t="str">
        <f ca="1">IFERROR(IF(VLOOKUP(F1222,Kostentypen!$A$3:$E$21,3,0)=0,"",IF(OR(F1222="Arbeidskosten",F1222="Vergoeding"),VLOOKUP(G1222,Tb_KostenTypen[],2,0),VLOOKUP(F1222,Kostentypen!$A$3:$E$20,3,0))),"")</f>
        <v/>
      </c>
      <c r="O1222" s="320" t="str" cm="1">
        <f t="array" ref="O1222">_xlfn.IFNA(IF(INDEX(Tb_KostenOptiesDB[],MATCH($F1222,Tb_KostenOptiesDB[KostenOptie],0),IFERROR(MATCH(Methode_Keuze,Tb_KostenOptiesDB[#Headers],0),2))=1,_xlfn.SWITCH($N1222,"Uurtarief",IF(OR(AND(RIGHT($F1222,3)="IKS",VLOOKUP($M1222,DB_Loonkosten,2,0)="Ja"),AND(RIGHT($F1222,3)&lt;&gt;"IKS",VLOOKUP($M1222,DB_Loonkosten,2,0)="Nee")),IFERROR(VLOOKUP($M1222,DB_Loonkosten,24,0),""),0),"Vast tarief",IF(LEFT(F1222,8)="Bijdrage",VLOOKUP($F1222,Tb_KostenTypen[],MATCH(Lijsten!$P$1,Tb_KostenTypen[#Headers],0),0),VLOOKUP($G1222,Lijsten!L:P,MATCH(Lijsten!$P$1,Kop_Tarief_Vast,0),0))),""),"")</f>
        <v/>
      </c>
      <c r="P1222" s="320" t="str" cm="1">
        <f t="array" ref="P1222">_xlfn.IFNA(IF(INDEX(Tb_KostenOptiesDB[],MATCH($F1222,Tb_KostenOptiesDB[KostenOptie],0),IFERROR(MATCH(Methode_Keuze,Tb_KostenOptiesDB[#Headers],0),2))=1,_xlfn.SWITCH($N1222,"Uurtarief",IF(OR(AND(RIGHT($F1222,3)="IKS",VLOOKUP($M1222,DB_Loonkosten,2,0)="Ja"),AND(RIGHT($F1222,3)&lt;&gt;"IKS",VLOOKUP($M1222,DB_Loonkosten,2,0)="Nee")),IFERROR(VLOOKUP($M1222,DB_Loonkosten,25,0),""),0),"Vast tarief",IF(LEFT(F1222,8)="Bijdrage",VLOOKUP($F1222,Tb_KostenTypen[],MATCH(Lijsten!$P$1,Tb_KostenTypen[#Headers],0),0),VLOOKUP($G1222,Lijsten!L:P,MATCH(Lijsten!$P$1,Kop_Tarief_Vast,0),0))),""),"")</f>
        <v/>
      </c>
      <c r="Q1222" s="359"/>
      <c r="R1222" s="359"/>
      <c r="S1222" s="321"/>
      <c r="T1222" s="321"/>
      <c r="U1222" s="373" t="str">
        <f t="shared" si="76"/>
        <v/>
      </c>
      <c r="V1222" s="314" t="str">
        <f t="shared" si="77"/>
        <v/>
      </c>
      <c r="W1222" s="314" t="str" cm="1">
        <f t="array" aca="1" ref="W1222" ca="1">IFERROR(IF(AE1222&lt;&gt;"ja",_xlfn.IFNA(_xlfn.IFS(AND(O1222&lt;&gt;"",F1222&lt;&gt;"",RIGHT($N1222,6)="tarief",F1222="Vergoeding"),SUM(O1222)*FLOOR(SUM(Q1222),0.0001),AND(O1222&lt;&gt;"",F1222&lt;&gt;"",RIGHT($N1222,6)="tarief"),SUM(O1222)*FLOOR(SUM(Q1222),0.01),S1222&gt;0,IF(F1222&lt;&gt;"",FLOOR(SUM(S1222),0.01),"")),""),""),"")</f>
        <v/>
      </c>
      <c r="X1222" s="314" t="str" cm="1">
        <f t="array" aca="1" ref="X1222" ca="1">IFERROR(IF(AE1222&lt;&gt;"ja",_xlfn.IFNA(_xlfn.IFS(AND(P1222&lt;&gt;"",R1222&lt;&gt;"",RIGHT($N1222,6)="tarief",F1222="Vergoeding"),SUM(P1222)*FLOOR(SUM(R1222),0.0001),AND(P1222&lt;&gt;"",R1222&lt;&gt;"",RIGHT($N1222,6)="tarief"),P1222*FLOOR(R1222,0.01),T1222&gt;0,FLOOR(SUM(T1222),0.01)),""),""),"")</f>
        <v/>
      </c>
      <c r="Y1222" s="314" t="str">
        <f t="shared" ca="1" si="78"/>
        <v/>
      </c>
      <c r="Z1222" s="314" t="str" cm="1">
        <f t="array" aca="1" ref="Z1222" ca="1">IFERROR(_xlfn.IFS(OR(F1222="",LEFT(Methode_Keuze,4)="Geen",Methode_Keuze=""),"",AND(W1222&lt;&gt;"",F1222&lt;&gt;"Arbeidskosten"),W1222*VLOOKUP(F1222,Tb_ProjectKosten[],MATCH(Tb_ProjectKosten[[#Headers],[Forfait_Percentage]],Tb_ProjectKosten[#Headers],0),0),AND(F1222="Arbeidskosten",G1222&lt;&gt;""),IFERROR(W1222*VLOOKUP(G1222,Tb_KostenTypen[],3,0)*VLOOKUP(F1222,Tb_ProjectKosten[],MATCH(Tb_ProjectKosten[[#Headers],[Forfait_Percentage]],Tb_ProjectKosten[#Headers],0),0),""),W1222 &lt;=0,0),"")</f>
        <v/>
      </c>
      <c r="AA1222" s="314" t="str" cm="1">
        <f t="array" aca="1" ref="AA1222" ca="1">IFERROR(_xlfn.IFS(OR(F1222="",LEFT(Methode_Keuze,4)="Geen",Methode_Keuze=""),"",AND(X1222&lt;&gt;"",F1222&lt;&gt;"Arbeidskosten"),X1222*VLOOKUP(F1222,Tb_ProjectKosten[],MATCH(Tb_ProjectKosten[[#Headers],[Forfait_Percentage]],Tb_ProjectKosten[#Headers],0),0),AND(F1222="Arbeidskosten",G1222&lt;&gt;""),IFERROR(X1222*VLOOKUP(G1222,Tb_KostenTypen[],3,0)*VLOOKUP(F1222,Tb_ProjectKosten[],MATCH(Tb_ProjectKosten[[#Headers],[Forfait_Percentage]],Tb_ProjectKosten[#Headers],0),0),""),X1222 &lt;=0,0),"")</f>
        <v/>
      </c>
      <c r="AB1222" s="314" t="str">
        <f t="shared" ca="1" si="79"/>
        <v/>
      </c>
      <c r="AC1222" s="322"/>
      <c r="AD1222" s="315"/>
      <c r="AE1222" s="32" t="str" cm="1">
        <f t="array" ref="AE1222">IFERROR(IF(INDEX(SubsidieTabel!$AD$1:$AG$12,MATCH($F1222,SubsidieTabel!$AD$1:$AD$12,0),IFERROR(MATCH(Methode_Keuze,SubsidieTabel!$AD$1:$AG$1,0),2))&lt;&gt;1=TRUE,"ja",""),"")</f>
        <v/>
      </c>
    </row>
    <row r="1223" spans="1:31" x14ac:dyDescent="0.25">
      <c r="A1223" s="316"/>
      <c r="B1223" s="317" t="str">
        <f>IF(A1223&lt;&gt;"",_xlfn.MAXIFS($B$1:B1222,$A$1:A1222,A1223)+1,"")</f>
        <v/>
      </c>
      <c r="C1223" s="296"/>
      <c r="D1223" s="296"/>
      <c r="E1223" s="296"/>
      <c r="F1223" s="296"/>
      <c r="G1223" s="326"/>
      <c r="H1223" s="324"/>
      <c r="I1223" s="325"/>
      <c r="J1223" s="325"/>
      <c r="K1223" s="318"/>
      <c r="L1223" s="318"/>
      <c r="M1223" s="319" t="str">
        <f>IFERROR(VLOOKUP(H1223,Lijsten!$H$1:$I$100,2,0),"")</f>
        <v/>
      </c>
      <c r="N1223" s="319" t="str">
        <f ca="1">IFERROR(IF(VLOOKUP(F1223,Kostentypen!$A$3:$E$21,3,0)=0,"",IF(OR(F1223="Arbeidskosten",F1223="Vergoeding"),VLOOKUP(G1223,Tb_KostenTypen[],2,0),VLOOKUP(F1223,Kostentypen!$A$3:$E$20,3,0))),"")</f>
        <v/>
      </c>
      <c r="O1223" s="320" t="str" cm="1">
        <f t="array" ref="O1223">_xlfn.IFNA(IF(INDEX(Tb_KostenOptiesDB[],MATCH($F1223,Tb_KostenOptiesDB[KostenOptie],0),IFERROR(MATCH(Methode_Keuze,Tb_KostenOptiesDB[#Headers],0),2))=1,_xlfn.SWITCH($N1223,"Uurtarief",IF(OR(AND(RIGHT($F1223,3)="IKS",VLOOKUP($M1223,DB_Loonkosten,2,0)="Ja"),AND(RIGHT($F1223,3)&lt;&gt;"IKS",VLOOKUP($M1223,DB_Loonkosten,2,0)="Nee")),IFERROR(VLOOKUP($M1223,DB_Loonkosten,24,0),""),0),"Vast tarief",IF(LEFT(F1223,8)="Bijdrage",VLOOKUP($F1223,Tb_KostenTypen[],MATCH(Lijsten!$P$1,Tb_KostenTypen[#Headers],0),0),VLOOKUP($G1223,Lijsten!L:P,MATCH(Lijsten!$P$1,Kop_Tarief_Vast,0),0))),""),"")</f>
        <v/>
      </c>
      <c r="P1223" s="320" t="str" cm="1">
        <f t="array" ref="P1223">_xlfn.IFNA(IF(INDEX(Tb_KostenOptiesDB[],MATCH($F1223,Tb_KostenOptiesDB[KostenOptie],0),IFERROR(MATCH(Methode_Keuze,Tb_KostenOptiesDB[#Headers],0),2))=1,_xlfn.SWITCH($N1223,"Uurtarief",IF(OR(AND(RIGHT($F1223,3)="IKS",VLOOKUP($M1223,DB_Loonkosten,2,0)="Ja"),AND(RIGHT($F1223,3)&lt;&gt;"IKS",VLOOKUP($M1223,DB_Loonkosten,2,0)="Nee")),IFERROR(VLOOKUP($M1223,DB_Loonkosten,25,0),""),0),"Vast tarief",IF(LEFT(F1223,8)="Bijdrage",VLOOKUP($F1223,Tb_KostenTypen[],MATCH(Lijsten!$P$1,Tb_KostenTypen[#Headers],0),0),VLOOKUP($G1223,Lijsten!L:P,MATCH(Lijsten!$P$1,Kop_Tarief_Vast,0),0))),""),"")</f>
        <v/>
      </c>
      <c r="Q1223" s="359"/>
      <c r="R1223" s="359"/>
      <c r="S1223" s="321"/>
      <c r="T1223" s="321"/>
      <c r="U1223" s="373" t="str">
        <f t="shared" si="76"/>
        <v/>
      </c>
      <c r="V1223" s="314" t="str">
        <f t="shared" si="77"/>
        <v/>
      </c>
      <c r="W1223" s="314" t="str" cm="1">
        <f t="array" aca="1" ref="W1223" ca="1">IFERROR(IF(AE1223&lt;&gt;"ja",_xlfn.IFNA(_xlfn.IFS(AND(O1223&lt;&gt;"",F1223&lt;&gt;"",RIGHT($N1223,6)="tarief",F1223="Vergoeding"),SUM(O1223)*FLOOR(SUM(Q1223),0.0001),AND(O1223&lt;&gt;"",F1223&lt;&gt;"",RIGHT($N1223,6)="tarief"),SUM(O1223)*FLOOR(SUM(Q1223),0.01),S1223&gt;0,IF(F1223&lt;&gt;"",FLOOR(SUM(S1223),0.01),"")),""),""),"")</f>
        <v/>
      </c>
      <c r="X1223" s="314" t="str" cm="1">
        <f t="array" aca="1" ref="X1223" ca="1">IFERROR(IF(AE1223&lt;&gt;"ja",_xlfn.IFNA(_xlfn.IFS(AND(P1223&lt;&gt;"",R1223&lt;&gt;"",RIGHT($N1223,6)="tarief",F1223="Vergoeding"),SUM(P1223)*FLOOR(SUM(R1223),0.0001),AND(P1223&lt;&gt;"",R1223&lt;&gt;"",RIGHT($N1223,6)="tarief"),P1223*FLOOR(R1223,0.01),T1223&gt;0,FLOOR(SUM(T1223),0.01)),""),""),"")</f>
        <v/>
      </c>
      <c r="Y1223" s="314" t="str">
        <f t="shared" ca="1" si="78"/>
        <v/>
      </c>
      <c r="Z1223" s="314" t="str" cm="1">
        <f t="array" aca="1" ref="Z1223" ca="1">IFERROR(_xlfn.IFS(OR(F1223="",LEFT(Methode_Keuze,4)="Geen",Methode_Keuze=""),"",AND(W1223&lt;&gt;"",F1223&lt;&gt;"Arbeidskosten"),W1223*VLOOKUP(F1223,Tb_ProjectKosten[],MATCH(Tb_ProjectKosten[[#Headers],[Forfait_Percentage]],Tb_ProjectKosten[#Headers],0),0),AND(F1223="Arbeidskosten",G1223&lt;&gt;""),IFERROR(W1223*VLOOKUP(G1223,Tb_KostenTypen[],3,0)*VLOOKUP(F1223,Tb_ProjectKosten[],MATCH(Tb_ProjectKosten[[#Headers],[Forfait_Percentage]],Tb_ProjectKosten[#Headers],0),0),""),W1223 &lt;=0,0),"")</f>
        <v/>
      </c>
      <c r="AA1223" s="314" t="str" cm="1">
        <f t="array" aca="1" ref="AA1223" ca="1">IFERROR(_xlfn.IFS(OR(F1223="",LEFT(Methode_Keuze,4)="Geen",Methode_Keuze=""),"",AND(X1223&lt;&gt;"",F1223&lt;&gt;"Arbeidskosten"),X1223*VLOOKUP(F1223,Tb_ProjectKosten[],MATCH(Tb_ProjectKosten[[#Headers],[Forfait_Percentage]],Tb_ProjectKosten[#Headers],0),0),AND(F1223="Arbeidskosten",G1223&lt;&gt;""),IFERROR(X1223*VLOOKUP(G1223,Tb_KostenTypen[],3,0)*VLOOKUP(F1223,Tb_ProjectKosten[],MATCH(Tb_ProjectKosten[[#Headers],[Forfait_Percentage]],Tb_ProjectKosten[#Headers],0),0),""),X1223 &lt;=0,0),"")</f>
        <v/>
      </c>
      <c r="AB1223" s="314" t="str">
        <f t="shared" ca="1" si="79"/>
        <v/>
      </c>
      <c r="AC1223" s="322"/>
      <c r="AD1223" s="315"/>
      <c r="AE1223" s="32" t="str" cm="1">
        <f t="array" ref="AE1223">IFERROR(IF(INDEX(SubsidieTabel!$AD$1:$AG$12,MATCH($F1223,SubsidieTabel!$AD$1:$AD$12,0),IFERROR(MATCH(Methode_Keuze,SubsidieTabel!$AD$1:$AG$1,0),2))&lt;&gt;1=TRUE,"ja",""),"")</f>
        <v/>
      </c>
    </row>
    <row r="1224" spans="1:31" x14ac:dyDescent="0.25">
      <c r="A1224" s="316"/>
      <c r="B1224" s="317" t="str">
        <f>IF(A1224&lt;&gt;"",_xlfn.MAXIFS($B$1:B1223,$A$1:A1223,A1224)+1,"")</f>
        <v/>
      </c>
      <c r="C1224" s="296"/>
      <c r="D1224" s="296"/>
      <c r="E1224" s="296"/>
      <c r="F1224" s="296"/>
      <c r="G1224" s="326"/>
      <c r="H1224" s="324"/>
      <c r="I1224" s="325"/>
      <c r="J1224" s="325"/>
      <c r="K1224" s="318"/>
      <c r="L1224" s="318"/>
      <c r="M1224" s="319" t="str">
        <f>IFERROR(VLOOKUP(H1224,Lijsten!$H$1:$I$100,2,0),"")</f>
        <v/>
      </c>
      <c r="N1224" s="319" t="str">
        <f ca="1">IFERROR(IF(VLOOKUP(F1224,Kostentypen!$A$3:$E$21,3,0)=0,"",IF(OR(F1224="Arbeidskosten",F1224="Vergoeding"),VLOOKUP(G1224,Tb_KostenTypen[],2,0),VLOOKUP(F1224,Kostentypen!$A$3:$E$20,3,0))),"")</f>
        <v/>
      </c>
      <c r="O1224" s="320" t="str" cm="1">
        <f t="array" ref="O1224">_xlfn.IFNA(IF(INDEX(Tb_KostenOptiesDB[],MATCH($F1224,Tb_KostenOptiesDB[KostenOptie],0),IFERROR(MATCH(Methode_Keuze,Tb_KostenOptiesDB[#Headers],0),2))=1,_xlfn.SWITCH($N1224,"Uurtarief",IF(OR(AND(RIGHT($F1224,3)="IKS",VLOOKUP($M1224,DB_Loonkosten,2,0)="Ja"),AND(RIGHT($F1224,3)&lt;&gt;"IKS",VLOOKUP($M1224,DB_Loonkosten,2,0)="Nee")),IFERROR(VLOOKUP($M1224,DB_Loonkosten,24,0),""),0),"Vast tarief",IF(LEFT(F1224,8)="Bijdrage",VLOOKUP($F1224,Tb_KostenTypen[],MATCH(Lijsten!$P$1,Tb_KostenTypen[#Headers],0),0),VLOOKUP($G1224,Lijsten!L:P,MATCH(Lijsten!$P$1,Kop_Tarief_Vast,0),0))),""),"")</f>
        <v/>
      </c>
      <c r="P1224" s="320" t="str" cm="1">
        <f t="array" ref="P1224">_xlfn.IFNA(IF(INDEX(Tb_KostenOptiesDB[],MATCH($F1224,Tb_KostenOptiesDB[KostenOptie],0),IFERROR(MATCH(Methode_Keuze,Tb_KostenOptiesDB[#Headers],0),2))=1,_xlfn.SWITCH($N1224,"Uurtarief",IF(OR(AND(RIGHT($F1224,3)="IKS",VLOOKUP($M1224,DB_Loonkosten,2,0)="Ja"),AND(RIGHT($F1224,3)&lt;&gt;"IKS",VLOOKUP($M1224,DB_Loonkosten,2,0)="Nee")),IFERROR(VLOOKUP($M1224,DB_Loonkosten,25,0),""),0),"Vast tarief",IF(LEFT(F1224,8)="Bijdrage",VLOOKUP($F1224,Tb_KostenTypen[],MATCH(Lijsten!$P$1,Tb_KostenTypen[#Headers],0),0),VLOOKUP($G1224,Lijsten!L:P,MATCH(Lijsten!$P$1,Kop_Tarief_Vast,0),0))),""),"")</f>
        <v/>
      </c>
      <c r="Q1224" s="359"/>
      <c r="R1224" s="359"/>
      <c r="S1224" s="321"/>
      <c r="T1224" s="321"/>
      <c r="U1224" s="373" t="str">
        <f t="shared" si="76"/>
        <v/>
      </c>
      <c r="V1224" s="314" t="str">
        <f t="shared" si="77"/>
        <v/>
      </c>
      <c r="W1224" s="314" t="str" cm="1">
        <f t="array" aca="1" ref="W1224" ca="1">IFERROR(IF(AE1224&lt;&gt;"ja",_xlfn.IFNA(_xlfn.IFS(AND(O1224&lt;&gt;"",F1224&lt;&gt;"",RIGHT($N1224,6)="tarief",F1224="Vergoeding"),SUM(O1224)*FLOOR(SUM(Q1224),0.0001),AND(O1224&lt;&gt;"",F1224&lt;&gt;"",RIGHT($N1224,6)="tarief"),SUM(O1224)*FLOOR(SUM(Q1224),0.01),S1224&gt;0,IF(F1224&lt;&gt;"",FLOOR(SUM(S1224),0.01),"")),""),""),"")</f>
        <v/>
      </c>
      <c r="X1224" s="314" t="str" cm="1">
        <f t="array" aca="1" ref="X1224" ca="1">IFERROR(IF(AE1224&lt;&gt;"ja",_xlfn.IFNA(_xlfn.IFS(AND(P1224&lt;&gt;"",R1224&lt;&gt;"",RIGHT($N1224,6)="tarief",F1224="Vergoeding"),SUM(P1224)*FLOOR(SUM(R1224),0.0001),AND(P1224&lt;&gt;"",R1224&lt;&gt;"",RIGHT($N1224,6)="tarief"),P1224*FLOOR(R1224,0.01),T1224&gt;0,FLOOR(SUM(T1224),0.01)),""),""),"")</f>
        <v/>
      </c>
      <c r="Y1224" s="314" t="str">
        <f t="shared" ca="1" si="78"/>
        <v/>
      </c>
      <c r="Z1224" s="314" t="str" cm="1">
        <f t="array" aca="1" ref="Z1224" ca="1">IFERROR(_xlfn.IFS(OR(F1224="",LEFT(Methode_Keuze,4)="Geen",Methode_Keuze=""),"",AND(W1224&lt;&gt;"",F1224&lt;&gt;"Arbeidskosten"),W1224*VLOOKUP(F1224,Tb_ProjectKosten[],MATCH(Tb_ProjectKosten[[#Headers],[Forfait_Percentage]],Tb_ProjectKosten[#Headers],0),0),AND(F1224="Arbeidskosten",G1224&lt;&gt;""),IFERROR(W1224*VLOOKUP(G1224,Tb_KostenTypen[],3,0)*VLOOKUP(F1224,Tb_ProjectKosten[],MATCH(Tb_ProjectKosten[[#Headers],[Forfait_Percentage]],Tb_ProjectKosten[#Headers],0),0),""),W1224 &lt;=0,0),"")</f>
        <v/>
      </c>
      <c r="AA1224" s="314" t="str" cm="1">
        <f t="array" aca="1" ref="AA1224" ca="1">IFERROR(_xlfn.IFS(OR(F1224="",LEFT(Methode_Keuze,4)="Geen",Methode_Keuze=""),"",AND(X1224&lt;&gt;"",F1224&lt;&gt;"Arbeidskosten"),X1224*VLOOKUP(F1224,Tb_ProjectKosten[],MATCH(Tb_ProjectKosten[[#Headers],[Forfait_Percentage]],Tb_ProjectKosten[#Headers],0),0),AND(F1224="Arbeidskosten",G1224&lt;&gt;""),IFERROR(X1224*VLOOKUP(G1224,Tb_KostenTypen[],3,0)*VLOOKUP(F1224,Tb_ProjectKosten[],MATCH(Tb_ProjectKosten[[#Headers],[Forfait_Percentage]],Tb_ProjectKosten[#Headers],0),0),""),X1224 &lt;=0,0),"")</f>
        <v/>
      </c>
      <c r="AB1224" s="314" t="str">
        <f t="shared" ca="1" si="79"/>
        <v/>
      </c>
      <c r="AC1224" s="322"/>
      <c r="AD1224" s="315"/>
      <c r="AE1224" s="32" t="str" cm="1">
        <f t="array" ref="AE1224">IFERROR(IF(INDEX(SubsidieTabel!$AD$1:$AG$12,MATCH($F1224,SubsidieTabel!$AD$1:$AD$12,0),IFERROR(MATCH(Methode_Keuze,SubsidieTabel!$AD$1:$AG$1,0),2))&lt;&gt;1=TRUE,"ja",""),"")</f>
        <v/>
      </c>
    </row>
    <row r="1225" spans="1:31" x14ac:dyDescent="0.25">
      <c r="A1225" s="316"/>
      <c r="B1225" s="317" t="str">
        <f>IF(A1225&lt;&gt;"",_xlfn.MAXIFS($B$1:B1224,$A$1:A1224,A1225)+1,"")</f>
        <v/>
      </c>
      <c r="C1225" s="296"/>
      <c r="D1225" s="296"/>
      <c r="E1225" s="296"/>
      <c r="F1225" s="296"/>
      <c r="G1225" s="326"/>
      <c r="H1225" s="324"/>
      <c r="I1225" s="325"/>
      <c r="J1225" s="325"/>
      <c r="K1225" s="318"/>
      <c r="L1225" s="318"/>
      <c r="M1225" s="319" t="str">
        <f>IFERROR(VLOOKUP(H1225,Lijsten!$H$1:$I$100,2,0),"")</f>
        <v/>
      </c>
      <c r="N1225" s="319" t="str">
        <f ca="1">IFERROR(IF(VLOOKUP(F1225,Kostentypen!$A$3:$E$21,3,0)=0,"",IF(OR(F1225="Arbeidskosten",F1225="Vergoeding"),VLOOKUP(G1225,Tb_KostenTypen[],2,0),VLOOKUP(F1225,Kostentypen!$A$3:$E$20,3,0))),"")</f>
        <v/>
      </c>
      <c r="O1225" s="320" t="str" cm="1">
        <f t="array" ref="O1225">_xlfn.IFNA(IF(INDEX(Tb_KostenOptiesDB[],MATCH($F1225,Tb_KostenOptiesDB[KostenOptie],0),IFERROR(MATCH(Methode_Keuze,Tb_KostenOptiesDB[#Headers],0),2))=1,_xlfn.SWITCH($N1225,"Uurtarief",IF(OR(AND(RIGHT($F1225,3)="IKS",VLOOKUP($M1225,DB_Loonkosten,2,0)="Ja"),AND(RIGHT($F1225,3)&lt;&gt;"IKS",VLOOKUP($M1225,DB_Loonkosten,2,0)="Nee")),IFERROR(VLOOKUP($M1225,DB_Loonkosten,24,0),""),0),"Vast tarief",IF(LEFT(F1225,8)="Bijdrage",VLOOKUP($F1225,Tb_KostenTypen[],MATCH(Lijsten!$P$1,Tb_KostenTypen[#Headers],0),0),VLOOKUP($G1225,Lijsten!L:P,MATCH(Lijsten!$P$1,Kop_Tarief_Vast,0),0))),""),"")</f>
        <v/>
      </c>
      <c r="P1225" s="320" t="str" cm="1">
        <f t="array" ref="P1225">_xlfn.IFNA(IF(INDEX(Tb_KostenOptiesDB[],MATCH($F1225,Tb_KostenOptiesDB[KostenOptie],0),IFERROR(MATCH(Methode_Keuze,Tb_KostenOptiesDB[#Headers],0),2))=1,_xlfn.SWITCH($N1225,"Uurtarief",IF(OR(AND(RIGHT($F1225,3)="IKS",VLOOKUP($M1225,DB_Loonkosten,2,0)="Ja"),AND(RIGHT($F1225,3)&lt;&gt;"IKS",VLOOKUP($M1225,DB_Loonkosten,2,0)="Nee")),IFERROR(VLOOKUP($M1225,DB_Loonkosten,25,0),""),0),"Vast tarief",IF(LEFT(F1225,8)="Bijdrage",VLOOKUP($F1225,Tb_KostenTypen[],MATCH(Lijsten!$P$1,Tb_KostenTypen[#Headers],0),0),VLOOKUP($G1225,Lijsten!L:P,MATCH(Lijsten!$P$1,Kop_Tarief_Vast,0),0))),""),"")</f>
        <v/>
      </c>
      <c r="Q1225" s="359"/>
      <c r="R1225" s="359"/>
      <c r="S1225" s="321"/>
      <c r="T1225" s="321"/>
      <c r="U1225" s="373" t="str">
        <f t="shared" si="76"/>
        <v/>
      </c>
      <c r="V1225" s="314" t="str">
        <f t="shared" si="77"/>
        <v/>
      </c>
      <c r="W1225" s="314" t="str" cm="1">
        <f t="array" aca="1" ref="W1225" ca="1">IFERROR(IF(AE1225&lt;&gt;"ja",_xlfn.IFNA(_xlfn.IFS(AND(O1225&lt;&gt;"",F1225&lt;&gt;"",RIGHT($N1225,6)="tarief",F1225="Vergoeding"),SUM(O1225)*FLOOR(SUM(Q1225),0.0001),AND(O1225&lt;&gt;"",F1225&lt;&gt;"",RIGHT($N1225,6)="tarief"),SUM(O1225)*FLOOR(SUM(Q1225),0.01),S1225&gt;0,IF(F1225&lt;&gt;"",FLOOR(SUM(S1225),0.01),"")),""),""),"")</f>
        <v/>
      </c>
      <c r="X1225" s="314" t="str" cm="1">
        <f t="array" aca="1" ref="X1225" ca="1">IFERROR(IF(AE1225&lt;&gt;"ja",_xlfn.IFNA(_xlfn.IFS(AND(P1225&lt;&gt;"",R1225&lt;&gt;"",RIGHT($N1225,6)="tarief",F1225="Vergoeding"),SUM(P1225)*FLOOR(SUM(R1225),0.0001),AND(P1225&lt;&gt;"",R1225&lt;&gt;"",RIGHT($N1225,6)="tarief"),P1225*FLOOR(R1225,0.01),T1225&gt;0,FLOOR(SUM(T1225),0.01)),""),""),"")</f>
        <v/>
      </c>
      <c r="Y1225" s="314" t="str">
        <f t="shared" ca="1" si="78"/>
        <v/>
      </c>
      <c r="Z1225" s="314" t="str" cm="1">
        <f t="array" aca="1" ref="Z1225" ca="1">IFERROR(_xlfn.IFS(OR(F1225="",LEFT(Methode_Keuze,4)="Geen",Methode_Keuze=""),"",AND(W1225&lt;&gt;"",F1225&lt;&gt;"Arbeidskosten"),W1225*VLOOKUP(F1225,Tb_ProjectKosten[],MATCH(Tb_ProjectKosten[[#Headers],[Forfait_Percentage]],Tb_ProjectKosten[#Headers],0),0),AND(F1225="Arbeidskosten",G1225&lt;&gt;""),IFERROR(W1225*VLOOKUP(G1225,Tb_KostenTypen[],3,0)*VLOOKUP(F1225,Tb_ProjectKosten[],MATCH(Tb_ProjectKosten[[#Headers],[Forfait_Percentage]],Tb_ProjectKosten[#Headers],0),0),""),W1225 &lt;=0,0),"")</f>
        <v/>
      </c>
      <c r="AA1225" s="314" t="str" cm="1">
        <f t="array" aca="1" ref="AA1225" ca="1">IFERROR(_xlfn.IFS(OR(F1225="",LEFT(Methode_Keuze,4)="Geen",Methode_Keuze=""),"",AND(X1225&lt;&gt;"",F1225&lt;&gt;"Arbeidskosten"),X1225*VLOOKUP(F1225,Tb_ProjectKosten[],MATCH(Tb_ProjectKosten[[#Headers],[Forfait_Percentage]],Tb_ProjectKosten[#Headers],0),0),AND(F1225="Arbeidskosten",G1225&lt;&gt;""),IFERROR(X1225*VLOOKUP(G1225,Tb_KostenTypen[],3,0)*VLOOKUP(F1225,Tb_ProjectKosten[],MATCH(Tb_ProjectKosten[[#Headers],[Forfait_Percentage]],Tb_ProjectKosten[#Headers],0),0),""),X1225 &lt;=0,0),"")</f>
        <v/>
      </c>
      <c r="AB1225" s="314" t="str">
        <f t="shared" ca="1" si="79"/>
        <v/>
      </c>
      <c r="AC1225" s="322"/>
      <c r="AD1225" s="315"/>
      <c r="AE1225" s="32" t="str" cm="1">
        <f t="array" ref="AE1225">IFERROR(IF(INDEX(SubsidieTabel!$AD$1:$AG$12,MATCH($F1225,SubsidieTabel!$AD$1:$AD$12,0),IFERROR(MATCH(Methode_Keuze,SubsidieTabel!$AD$1:$AG$1,0),2))&lt;&gt;1=TRUE,"ja",""),"")</f>
        <v/>
      </c>
    </row>
    <row r="1226" spans="1:31" x14ac:dyDescent="0.25">
      <c r="A1226" s="316"/>
      <c r="B1226" s="317" t="str">
        <f>IF(A1226&lt;&gt;"",_xlfn.MAXIFS($B$1:B1225,$A$1:A1225,A1226)+1,"")</f>
        <v/>
      </c>
      <c r="C1226" s="296"/>
      <c r="D1226" s="296"/>
      <c r="E1226" s="296"/>
      <c r="F1226" s="296"/>
      <c r="G1226" s="326"/>
      <c r="H1226" s="324"/>
      <c r="I1226" s="325"/>
      <c r="J1226" s="325"/>
      <c r="K1226" s="318"/>
      <c r="L1226" s="318"/>
      <c r="M1226" s="319" t="str">
        <f>IFERROR(VLOOKUP(H1226,Lijsten!$H$1:$I$100,2,0),"")</f>
        <v/>
      </c>
      <c r="N1226" s="319" t="str">
        <f ca="1">IFERROR(IF(VLOOKUP(F1226,Kostentypen!$A$3:$E$21,3,0)=0,"",IF(OR(F1226="Arbeidskosten",F1226="Vergoeding"),VLOOKUP(G1226,Tb_KostenTypen[],2,0),VLOOKUP(F1226,Kostentypen!$A$3:$E$20,3,0))),"")</f>
        <v/>
      </c>
      <c r="O1226" s="320" t="str" cm="1">
        <f t="array" ref="O1226">_xlfn.IFNA(IF(INDEX(Tb_KostenOptiesDB[],MATCH($F1226,Tb_KostenOptiesDB[KostenOptie],0),IFERROR(MATCH(Methode_Keuze,Tb_KostenOptiesDB[#Headers],0),2))=1,_xlfn.SWITCH($N1226,"Uurtarief",IF(OR(AND(RIGHT($F1226,3)="IKS",VLOOKUP($M1226,DB_Loonkosten,2,0)="Ja"),AND(RIGHT($F1226,3)&lt;&gt;"IKS",VLOOKUP($M1226,DB_Loonkosten,2,0)="Nee")),IFERROR(VLOOKUP($M1226,DB_Loonkosten,24,0),""),0),"Vast tarief",IF(LEFT(F1226,8)="Bijdrage",VLOOKUP($F1226,Tb_KostenTypen[],MATCH(Lijsten!$P$1,Tb_KostenTypen[#Headers],0),0),VLOOKUP($G1226,Lijsten!L:P,MATCH(Lijsten!$P$1,Kop_Tarief_Vast,0),0))),""),"")</f>
        <v/>
      </c>
      <c r="P1226" s="320" t="str" cm="1">
        <f t="array" ref="P1226">_xlfn.IFNA(IF(INDEX(Tb_KostenOptiesDB[],MATCH($F1226,Tb_KostenOptiesDB[KostenOptie],0),IFERROR(MATCH(Methode_Keuze,Tb_KostenOptiesDB[#Headers],0),2))=1,_xlfn.SWITCH($N1226,"Uurtarief",IF(OR(AND(RIGHT($F1226,3)="IKS",VLOOKUP($M1226,DB_Loonkosten,2,0)="Ja"),AND(RIGHT($F1226,3)&lt;&gt;"IKS",VLOOKUP($M1226,DB_Loonkosten,2,0)="Nee")),IFERROR(VLOOKUP($M1226,DB_Loonkosten,25,0),""),0),"Vast tarief",IF(LEFT(F1226,8)="Bijdrage",VLOOKUP($F1226,Tb_KostenTypen[],MATCH(Lijsten!$P$1,Tb_KostenTypen[#Headers],0),0),VLOOKUP($G1226,Lijsten!L:P,MATCH(Lijsten!$P$1,Kop_Tarief_Vast,0),0))),""),"")</f>
        <v/>
      </c>
      <c r="Q1226" s="359"/>
      <c r="R1226" s="359"/>
      <c r="S1226" s="321"/>
      <c r="T1226" s="321"/>
      <c r="U1226" s="373" t="str">
        <f t="shared" si="76"/>
        <v/>
      </c>
      <c r="V1226" s="314" t="str">
        <f t="shared" si="77"/>
        <v/>
      </c>
      <c r="W1226" s="314" t="str" cm="1">
        <f t="array" aca="1" ref="W1226" ca="1">IFERROR(IF(AE1226&lt;&gt;"ja",_xlfn.IFNA(_xlfn.IFS(AND(O1226&lt;&gt;"",F1226&lt;&gt;"",RIGHT($N1226,6)="tarief",F1226="Vergoeding"),SUM(O1226)*FLOOR(SUM(Q1226),0.0001),AND(O1226&lt;&gt;"",F1226&lt;&gt;"",RIGHT($N1226,6)="tarief"),SUM(O1226)*FLOOR(SUM(Q1226),0.01),S1226&gt;0,IF(F1226&lt;&gt;"",FLOOR(SUM(S1226),0.01),"")),""),""),"")</f>
        <v/>
      </c>
      <c r="X1226" s="314" t="str" cm="1">
        <f t="array" aca="1" ref="X1226" ca="1">IFERROR(IF(AE1226&lt;&gt;"ja",_xlfn.IFNA(_xlfn.IFS(AND(P1226&lt;&gt;"",R1226&lt;&gt;"",RIGHT($N1226,6)="tarief",F1226="Vergoeding"),SUM(P1226)*FLOOR(SUM(R1226),0.0001),AND(P1226&lt;&gt;"",R1226&lt;&gt;"",RIGHT($N1226,6)="tarief"),P1226*FLOOR(R1226,0.01),T1226&gt;0,FLOOR(SUM(T1226),0.01)),""),""),"")</f>
        <v/>
      </c>
      <c r="Y1226" s="314" t="str">
        <f t="shared" ca="1" si="78"/>
        <v/>
      </c>
      <c r="Z1226" s="314" t="str" cm="1">
        <f t="array" aca="1" ref="Z1226" ca="1">IFERROR(_xlfn.IFS(OR(F1226="",LEFT(Methode_Keuze,4)="Geen",Methode_Keuze=""),"",AND(W1226&lt;&gt;"",F1226&lt;&gt;"Arbeidskosten"),W1226*VLOOKUP(F1226,Tb_ProjectKosten[],MATCH(Tb_ProjectKosten[[#Headers],[Forfait_Percentage]],Tb_ProjectKosten[#Headers],0),0),AND(F1226="Arbeidskosten",G1226&lt;&gt;""),IFERROR(W1226*VLOOKUP(G1226,Tb_KostenTypen[],3,0)*VLOOKUP(F1226,Tb_ProjectKosten[],MATCH(Tb_ProjectKosten[[#Headers],[Forfait_Percentage]],Tb_ProjectKosten[#Headers],0),0),""),W1226 &lt;=0,0),"")</f>
        <v/>
      </c>
      <c r="AA1226" s="314" t="str" cm="1">
        <f t="array" aca="1" ref="AA1226" ca="1">IFERROR(_xlfn.IFS(OR(F1226="",LEFT(Methode_Keuze,4)="Geen",Methode_Keuze=""),"",AND(X1226&lt;&gt;"",F1226&lt;&gt;"Arbeidskosten"),X1226*VLOOKUP(F1226,Tb_ProjectKosten[],MATCH(Tb_ProjectKosten[[#Headers],[Forfait_Percentage]],Tb_ProjectKosten[#Headers],0),0),AND(F1226="Arbeidskosten",G1226&lt;&gt;""),IFERROR(X1226*VLOOKUP(G1226,Tb_KostenTypen[],3,0)*VLOOKUP(F1226,Tb_ProjectKosten[],MATCH(Tb_ProjectKosten[[#Headers],[Forfait_Percentage]],Tb_ProjectKosten[#Headers],0),0),""),X1226 &lt;=0,0),"")</f>
        <v/>
      </c>
      <c r="AB1226" s="314" t="str">
        <f t="shared" ca="1" si="79"/>
        <v/>
      </c>
      <c r="AC1226" s="322"/>
      <c r="AD1226" s="315"/>
      <c r="AE1226" s="32" t="str" cm="1">
        <f t="array" ref="AE1226">IFERROR(IF(INDEX(SubsidieTabel!$AD$1:$AG$12,MATCH($F1226,SubsidieTabel!$AD$1:$AD$12,0),IFERROR(MATCH(Methode_Keuze,SubsidieTabel!$AD$1:$AG$1,0),2))&lt;&gt;1=TRUE,"ja",""),"")</f>
        <v/>
      </c>
    </row>
    <row r="1227" spans="1:31" x14ac:dyDescent="0.25">
      <c r="A1227" s="316"/>
      <c r="B1227" s="317" t="str">
        <f>IF(A1227&lt;&gt;"",_xlfn.MAXIFS($B$1:B1226,$A$1:A1226,A1227)+1,"")</f>
        <v/>
      </c>
      <c r="C1227" s="296"/>
      <c r="D1227" s="296"/>
      <c r="E1227" s="296"/>
      <c r="F1227" s="296"/>
      <c r="G1227" s="326"/>
      <c r="H1227" s="324"/>
      <c r="I1227" s="325"/>
      <c r="J1227" s="325"/>
      <c r="K1227" s="318"/>
      <c r="L1227" s="318"/>
      <c r="M1227" s="319" t="str">
        <f>IFERROR(VLOOKUP(H1227,Lijsten!$H$1:$I$100,2,0),"")</f>
        <v/>
      </c>
      <c r="N1227" s="319" t="str">
        <f ca="1">IFERROR(IF(VLOOKUP(F1227,Kostentypen!$A$3:$E$21,3,0)=0,"",IF(OR(F1227="Arbeidskosten",F1227="Vergoeding"),VLOOKUP(G1227,Tb_KostenTypen[],2,0),VLOOKUP(F1227,Kostentypen!$A$3:$E$20,3,0))),"")</f>
        <v/>
      </c>
      <c r="O1227" s="320" t="str" cm="1">
        <f t="array" ref="O1227">_xlfn.IFNA(IF(INDEX(Tb_KostenOptiesDB[],MATCH($F1227,Tb_KostenOptiesDB[KostenOptie],0),IFERROR(MATCH(Methode_Keuze,Tb_KostenOptiesDB[#Headers],0),2))=1,_xlfn.SWITCH($N1227,"Uurtarief",IF(OR(AND(RIGHT($F1227,3)="IKS",VLOOKUP($M1227,DB_Loonkosten,2,0)="Ja"),AND(RIGHT($F1227,3)&lt;&gt;"IKS",VLOOKUP($M1227,DB_Loonkosten,2,0)="Nee")),IFERROR(VLOOKUP($M1227,DB_Loonkosten,24,0),""),0),"Vast tarief",IF(LEFT(F1227,8)="Bijdrage",VLOOKUP($F1227,Tb_KostenTypen[],MATCH(Lijsten!$P$1,Tb_KostenTypen[#Headers],0),0),VLOOKUP($G1227,Lijsten!L:P,MATCH(Lijsten!$P$1,Kop_Tarief_Vast,0),0))),""),"")</f>
        <v/>
      </c>
      <c r="P1227" s="320" t="str" cm="1">
        <f t="array" ref="P1227">_xlfn.IFNA(IF(INDEX(Tb_KostenOptiesDB[],MATCH($F1227,Tb_KostenOptiesDB[KostenOptie],0),IFERROR(MATCH(Methode_Keuze,Tb_KostenOptiesDB[#Headers],0),2))=1,_xlfn.SWITCH($N1227,"Uurtarief",IF(OR(AND(RIGHT($F1227,3)="IKS",VLOOKUP($M1227,DB_Loonkosten,2,0)="Ja"),AND(RIGHT($F1227,3)&lt;&gt;"IKS",VLOOKUP($M1227,DB_Loonkosten,2,0)="Nee")),IFERROR(VLOOKUP($M1227,DB_Loonkosten,25,0),""),0),"Vast tarief",IF(LEFT(F1227,8)="Bijdrage",VLOOKUP($F1227,Tb_KostenTypen[],MATCH(Lijsten!$P$1,Tb_KostenTypen[#Headers],0),0),VLOOKUP($G1227,Lijsten!L:P,MATCH(Lijsten!$P$1,Kop_Tarief_Vast,0),0))),""),"")</f>
        <v/>
      </c>
      <c r="Q1227" s="359"/>
      <c r="R1227" s="359"/>
      <c r="S1227" s="321"/>
      <c r="T1227" s="321"/>
      <c r="U1227" s="373" t="str">
        <f t="shared" si="76"/>
        <v/>
      </c>
      <c r="V1227" s="314" t="str">
        <f t="shared" si="77"/>
        <v/>
      </c>
      <c r="W1227" s="314" t="str" cm="1">
        <f t="array" aca="1" ref="W1227" ca="1">IFERROR(IF(AE1227&lt;&gt;"ja",_xlfn.IFNA(_xlfn.IFS(AND(O1227&lt;&gt;"",F1227&lt;&gt;"",RIGHT($N1227,6)="tarief",F1227="Vergoeding"),SUM(O1227)*FLOOR(SUM(Q1227),0.0001),AND(O1227&lt;&gt;"",F1227&lt;&gt;"",RIGHT($N1227,6)="tarief"),SUM(O1227)*FLOOR(SUM(Q1227),0.01),S1227&gt;0,IF(F1227&lt;&gt;"",FLOOR(SUM(S1227),0.01),"")),""),""),"")</f>
        <v/>
      </c>
      <c r="X1227" s="314" t="str" cm="1">
        <f t="array" aca="1" ref="X1227" ca="1">IFERROR(IF(AE1227&lt;&gt;"ja",_xlfn.IFNA(_xlfn.IFS(AND(P1227&lt;&gt;"",R1227&lt;&gt;"",RIGHT($N1227,6)="tarief",F1227="Vergoeding"),SUM(P1227)*FLOOR(SUM(R1227),0.0001),AND(P1227&lt;&gt;"",R1227&lt;&gt;"",RIGHT($N1227,6)="tarief"),P1227*FLOOR(R1227,0.01),T1227&gt;0,FLOOR(SUM(T1227),0.01)),""),""),"")</f>
        <v/>
      </c>
      <c r="Y1227" s="314" t="str">
        <f t="shared" ca="1" si="78"/>
        <v/>
      </c>
      <c r="Z1227" s="314" t="str" cm="1">
        <f t="array" aca="1" ref="Z1227" ca="1">IFERROR(_xlfn.IFS(OR(F1227="",LEFT(Methode_Keuze,4)="Geen",Methode_Keuze=""),"",AND(W1227&lt;&gt;"",F1227&lt;&gt;"Arbeidskosten"),W1227*VLOOKUP(F1227,Tb_ProjectKosten[],MATCH(Tb_ProjectKosten[[#Headers],[Forfait_Percentage]],Tb_ProjectKosten[#Headers],0),0),AND(F1227="Arbeidskosten",G1227&lt;&gt;""),IFERROR(W1227*VLOOKUP(G1227,Tb_KostenTypen[],3,0)*VLOOKUP(F1227,Tb_ProjectKosten[],MATCH(Tb_ProjectKosten[[#Headers],[Forfait_Percentage]],Tb_ProjectKosten[#Headers],0),0),""),W1227 &lt;=0,0),"")</f>
        <v/>
      </c>
      <c r="AA1227" s="314" t="str" cm="1">
        <f t="array" aca="1" ref="AA1227" ca="1">IFERROR(_xlfn.IFS(OR(F1227="",LEFT(Methode_Keuze,4)="Geen",Methode_Keuze=""),"",AND(X1227&lt;&gt;"",F1227&lt;&gt;"Arbeidskosten"),X1227*VLOOKUP(F1227,Tb_ProjectKosten[],MATCH(Tb_ProjectKosten[[#Headers],[Forfait_Percentage]],Tb_ProjectKosten[#Headers],0),0),AND(F1227="Arbeidskosten",G1227&lt;&gt;""),IFERROR(X1227*VLOOKUP(G1227,Tb_KostenTypen[],3,0)*VLOOKUP(F1227,Tb_ProjectKosten[],MATCH(Tb_ProjectKosten[[#Headers],[Forfait_Percentage]],Tb_ProjectKosten[#Headers],0),0),""),X1227 &lt;=0,0),"")</f>
        <v/>
      </c>
      <c r="AB1227" s="314" t="str">
        <f t="shared" ca="1" si="79"/>
        <v/>
      </c>
      <c r="AC1227" s="322"/>
      <c r="AD1227" s="315"/>
      <c r="AE1227" s="32" t="str" cm="1">
        <f t="array" ref="AE1227">IFERROR(IF(INDEX(SubsidieTabel!$AD$1:$AG$12,MATCH($F1227,SubsidieTabel!$AD$1:$AD$12,0),IFERROR(MATCH(Methode_Keuze,SubsidieTabel!$AD$1:$AG$1,0),2))&lt;&gt;1=TRUE,"ja",""),"")</f>
        <v/>
      </c>
    </row>
    <row r="1228" spans="1:31" x14ac:dyDescent="0.25">
      <c r="A1228" s="316"/>
      <c r="B1228" s="317" t="str">
        <f>IF(A1228&lt;&gt;"",_xlfn.MAXIFS($B$1:B1227,$A$1:A1227,A1228)+1,"")</f>
        <v/>
      </c>
      <c r="C1228" s="296"/>
      <c r="D1228" s="296"/>
      <c r="E1228" s="296"/>
      <c r="F1228" s="296"/>
      <c r="G1228" s="326"/>
      <c r="H1228" s="324"/>
      <c r="I1228" s="325"/>
      <c r="J1228" s="325"/>
      <c r="K1228" s="318"/>
      <c r="L1228" s="318"/>
      <c r="M1228" s="319" t="str">
        <f>IFERROR(VLOOKUP(H1228,Lijsten!$H$1:$I$100,2,0),"")</f>
        <v/>
      </c>
      <c r="N1228" s="319" t="str">
        <f ca="1">IFERROR(IF(VLOOKUP(F1228,Kostentypen!$A$3:$E$21,3,0)=0,"",IF(OR(F1228="Arbeidskosten",F1228="Vergoeding"),VLOOKUP(G1228,Tb_KostenTypen[],2,0),VLOOKUP(F1228,Kostentypen!$A$3:$E$20,3,0))),"")</f>
        <v/>
      </c>
      <c r="O1228" s="320" t="str" cm="1">
        <f t="array" ref="O1228">_xlfn.IFNA(IF(INDEX(Tb_KostenOptiesDB[],MATCH($F1228,Tb_KostenOptiesDB[KostenOptie],0),IFERROR(MATCH(Methode_Keuze,Tb_KostenOptiesDB[#Headers],0),2))=1,_xlfn.SWITCH($N1228,"Uurtarief",IF(OR(AND(RIGHT($F1228,3)="IKS",VLOOKUP($M1228,DB_Loonkosten,2,0)="Ja"),AND(RIGHT($F1228,3)&lt;&gt;"IKS",VLOOKUP($M1228,DB_Loonkosten,2,0)="Nee")),IFERROR(VLOOKUP($M1228,DB_Loonkosten,24,0),""),0),"Vast tarief",IF(LEFT(F1228,8)="Bijdrage",VLOOKUP($F1228,Tb_KostenTypen[],MATCH(Lijsten!$P$1,Tb_KostenTypen[#Headers],0),0),VLOOKUP($G1228,Lijsten!L:P,MATCH(Lijsten!$P$1,Kop_Tarief_Vast,0),0))),""),"")</f>
        <v/>
      </c>
      <c r="P1228" s="320" t="str" cm="1">
        <f t="array" ref="P1228">_xlfn.IFNA(IF(INDEX(Tb_KostenOptiesDB[],MATCH($F1228,Tb_KostenOptiesDB[KostenOptie],0),IFERROR(MATCH(Methode_Keuze,Tb_KostenOptiesDB[#Headers],0),2))=1,_xlfn.SWITCH($N1228,"Uurtarief",IF(OR(AND(RIGHT($F1228,3)="IKS",VLOOKUP($M1228,DB_Loonkosten,2,0)="Ja"),AND(RIGHT($F1228,3)&lt;&gt;"IKS",VLOOKUP($M1228,DB_Loonkosten,2,0)="Nee")),IFERROR(VLOOKUP($M1228,DB_Loonkosten,25,0),""),0),"Vast tarief",IF(LEFT(F1228,8)="Bijdrage",VLOOKUP($F1228,Tb_KostenTypen[],MATCH(Lijsten!$P$1,Tb_KostenTypen[#Headers],0),0),VLOOKUP($G1228,Lijsten!L:P,MATCH(Lijsten!$P$1,Kop_Tarief_Vast,0),0))),""),"")</f>
        <v/>
      </c>
      <c r="Q1228" s="359"/>
      <c r="R1228" s="359"/>
      <c r="S1228" s="321"/>
      <c r="T1228" s="321"/>
      <c r="U1228" s="373" t="str">
        <f t="shared" si="76"/>
        <v/>
      </c>
      <c r="V1228" s="314" t="str">
        <f t="shared" si="77"/>
        <v/>
      </c>
      <c r="W1228" s="314" t="str" cm="1">
        <f t="array" aca="1" ref="W1228" ca="1">IFERROR(IF(AE1228&lt;&gt;"ja",_xlfn.IFNA(_xlfn.IFS(AND(O1228&lt;&gt;"",F1228&lt;&gt;"",RIGHT($N1228,6)="tarief",F1228="Vergoeding"),SUM(O1228)*FLOOR(SUM(Q1228),0.0001),AND(O1228&lt;&gt;"",F1228&lt;&gt;"",RIGHT($N1228,6)="tarief"),SUM(O1228)*FLOOR(SUM(Q1228),0.01),S1228&gt;0,IF(F1228&lt;&gt;"",FLOOR(SUM(S1228),0.01),"")),""),""),"")</f>
        <v/>
      </c>
      <c r="X1228" s="314" t="str" cm="1">
        <f t="array" aca="1" ref="X1228" ca="1">IFERROR(IF(AE1228&lt;&gt;"ja",_xlfn.IFNA(_xlfn.IFS(AND(P1228&lt;&gt;"",R1228&lt;&gt;"",RIGHT($N1228,6)="tarief",F1228="Vergoeding"),SUM(P1228)*FLOOR(SUM(R1228),0.0001),AND(P1228&lt;&gt;"",R1228&lt;&gt;"",RIGHT($N1228,6)="tarief"),P1228*FLOOR(R1228,0.01),T1228&gt;0,FLOOR(SUM(T1228),0.01)),""),""),"")</f>
        <v/>
      </c>
      <c r="Y1228" s="314" t="str">
        <f t="shared" ca="1" si="78"/>
        <v/>
      </c>
      <c r="Z1228" s="314" t="str" cm="1">
        <f t="array" aca="1" ref="Z1228" ca="1">IFERROR(_xlfn.IFS(OR(F1228="",LEFT(Methode_Keuze,4)="Geen",Methode_Keuze=""),"",AND(W1228&lt;&gt;"",F1228&lt;&gt;"Arbeidskosten"),W1228*VLOOKUP(F1228,Tb_ProjectKosten[],MATCH(Tb_ProjectKosten[[#Headers],[Forfait_Percentage]],Tb_ProjectKosten[#Headers],0),0),AND(F1228="Arbeidskosten",G1228&lt;&gt;""),IFERROR(W1228*VLOOKUP(G1228,Tb_KostenTypen[],3,0)*VLOOKUP(F1228,Tb_ProjectKosten[],MATCH(Tb_ProjectKosten[[#Headers],[Forfait_Percentage]],Tb_ProjectKosten[#Headers],0),0),""),W1228 &lt;=0,0),"")</f>
        <v/>
      </c>
      <c r="AA1228" s="314" t="str" cm="1">
        <f t="array" aca="1" ref="AA1228" ca="1">IFERROR(_xlfn.IFS(OR(F1228="",LEFT(Methode_Keuze,4)="Geen",Methode_Keuze=""),"",AND(X1228&lt;&gt;"",F1228&lt;&gt;"Arbeidskosten"),X1228*VLOOKUP(F1228,Tb_ProjectKosten[],MATCH(Tb_ProjectKosten[[#Headers],[Forfait_Percentage]],Tb_ProjectKosten[#Headers],0),0),AND(F1228="Arbeidskosten",G1228&lt;&gt;""),IFERROR(X1228*VLOOKUP(G1228,Tb_KostenTypen[],3,0)*VLOOKUP(F1228,Tb_ProjectKosten[],MATCH(Tb_ProjectKosten[[#Headers],[Forfait_Percentage]],Tb_ProjectKosten[#Headers],0),0),""),X1228 &lt;=0,0),"")</f>
        <v/>
      </c>
      <c r="AB1228" s="314" t="str">
        <f t="shared" ca="1" si="79"/>
        <v/>
      </c>
      <c r="AC1228" s="322"/>
      <c r="AD1228" s="315"/>
      <c r="AE1228" s="32" t="str" cm="1">
        <f t="array" ref="AE1228">IFERROR(IF(INDEX(SubsidieTabel!$AD$1:$AG$12,MATCH($F1228,SubsidieTabel!$AD$1:$AD$12,0),IFERROR(MATCH(Methode_Keuze,SubsidieTabel!$AD$1:$AG$1,0),2))&lt;&gt;1=TRUE,"ja",""),"")</f>
        <v/>
      </c>
    </row>
    <row r="1229" spans="1:31" x14ac:dyDescent="0.25">
      <c r="A1229" s="316"/>
      <c r="B1229" s="317" t="str">
        <f>IF(A1229&lt;&gt;"",_xlfn.MAXIFS($B$1:B1228,$A$1:A1228,A1229)+1,"")</f>
        <v/>
      </c>
      <c r="C1229" s="296"/>
      <c r="D1229" s="296"/>
      <c r="E1229" s="296"/>
      <c r="F1229" s="296"/>
      <c r="G1229" s="326"/>
      <c r="H1229" s="324"/>
      <c r="I1229" s="325"/>
      <c r="J1229" s="325"/>
      <c r="K1229" s="318"/>
      <c r="L1229" s="318"/>
      <c r="M1229" s="319" t="str">
        <f>IFERROR(VLOOKUP(H1229,Lijsten!$H$1:$I$100,2,0),"")</f>
        <v/>
      </c>
      <c r="N1229" s="319" t="str">
        <f ca="1">IFERROR(IF(VLOOKUP(F1229,Kostentypen!$A$3:$E$21,3,0)=0,"",IF(OR(F1229="Arbeidskosten",F1229="Vergoeding"),VLOOKUP(G1229,Tb_KostenTypen[],2,0),VLOOKUP(F1229,Kostentypen!$A$3:$E$20,3,0))),"")</f>
        <v/>
      </c>
      <c r="O1229" s="320" t="str" cm="1">
        <f t="array" ref="O1229">_xlfn.IFNA(IF(INDEX(Tb_KostenOptiesDB[],MATCH($F1229,Tb_KostenOptiesDB[KostenOptie],0),IFERROR(MATCH(Methode_Keuze,Tb_KostenOptiesDB[#Headers],0),2))=1,_xlfn.SWITCH($N1229,"Uurtarief",IF(OR(AND(RIGHT($F1229,3)="IKS",VLOOKUP($M1229,DB_Loonkosten,2,0)="Ja"),AND(RIGHT($F1229,3)&lt;&gt;"IKS",VLOOKUP($M1229,DB_Loonkosten,2,0)="Nee")),IFERROR(VLOOKUP($M1229,DB_Loonkosten,24,0),""),0),"Vast tarief",IF(LEFT(F1229,8)="Bijdrage",VLOOKUP($F1229,Tb_KostenTypen[],MATCH(Lijsten!$P$1,Tb_KostenTypen[#Headers],0),0),VLOOKUP($G1229,Lijsten!L:P,MATCH(Lijsten!$P$1,Kop_Tarief_Vast,0),0))),""),"")</f>
        <v/>
      </c>
      <c r="P1229" s="320" t="str" cm="1">
        <f t="array" ref="P1229">_xlfn.IFNA(IF(INDEX(Tb_KostenOptiesDB[],MATCH($F1229,Tb_KostenOptiesDB[KostenOptie],0),IFERROR(MATCH(Methode_Keuze,Tb_KostenOptiesDB[#Headers],0),2))=1,_xlfn.SWITCH($N1229,"Uurtarief",IF(OR(AND(RIGHT($F1229,3)="IKS",VLOOKUP($M1229,DB_Loonkosten,2,0)="Ja"),AND(RIGHT($F1229,3)&lt;&gt;"IKS",VLOOKUP($M1229,DB_Loonkosten,2,0)="Nee")),IFERROR(VLOOKUP($M1229,DB_Loonkosten,25,0),""),0),"Vast tarief",IF(LEFT(F1229,8)="Bijdrage",VLOOKUP($F1229,Tb_KostenTypen[],MATCH(Lijsten!$P$1,Tb_KostenTypen[#Headers],0),0),VLOOKUP($G1229,Lijsten!L:P,MATCH(Lijsten!$P$1,Kop_Tarief_Vast,0),0))),""),"")</f>
        <v/>
      </c>
      <c r="Q1229" s="359"/>
      <c r="R1229" s="359"/>
      <c r="S1229" s="321"/>
      <c r="T1229" s="321"/>
      <c r="U1229" s="373" t="str">
        <f t="shared" si="76"/>
        <v/>
      </c>
      <c r="V1229" s="314" t="str">
        <f t="shared" si="77"/>
        <v/>
      </c>
      <c r="W1229" s="314" t="str" cm="1">
        <f t="array" aca="1" ref="W1229" ca="1">IFERROR(IF(AE1229&lt;&gt;"ja",_xlfn.IFNA(_xlfn.IFS(AND(O1229&lt;&gt;"",F1229&lt;&gt;"",RIGHT($N1229,6)="tarief",F1229="Vergoeding"),SUM(O1229)*FLOOR(SUM(Q1229),0.0001),AND(O1229&lt;&gt;"",F1229&lt;&gt;"",RIGHT($N1229,6)="tarief"),SUM(O1229)*FLOOR(SUM(Q1229),0.01),S1229&gt;0,IF(F1229&lt;&gt;"",FLOOR(SUM(S1229),0.01),"")),""),""),"")</f>
        <v/>
      </c>
      <c r="X1229" s="314" t="str" cm="1">
        <f t="array" aca="1" ref="X1229" ca="1">IFERROR(IF(AE1229&lt;&gt;"ja",_xlfn.IFNA(_xlfn.IFS(AND(P1229&lt;&gt;"",R1229&lt;&gt;"",RIGHT($N1229,6)="tarief",F1229="Vergoeding"),SUM(P1229)*FLOOR(SUM(R1229),0.0001),AND(P1229&lt;&gt;"",R1229&lt;&gt;"",RIGHT($N1229,6)="tarief"),P1229*FLOOR(R1229,0.01),T1229&gt;0,FLOOR(SUM(T1229),0.01)),""),""),"")</f>
        <v/>
      </c>
      <c r="Y1229" s="314" t="str">
        <f t="shared" ca="1" si="78"/>
        <v/>
      </c>
      <c r="Z1229" s="314" t="str" cm="1">
        <f t="array" aca="1" ref="Z1229" ca="1">IFERROR(_xlfn.IFS(OR(F1229="",LEFT(Methode_Keuze,4)="Geen",Methode_Keuze=""),"",AND(W1229&lt;&gt;"",F1229&lt;&gt;"Arbeidskosten"),W1229*VLOOKUP(F1229,Tb_ProjectKosten[],MATCH(Tb_ProjectKosten[[#Headers],[Forfait_Percentage]],Tb_ProjectKosten[#Headers],0),0),AND(F1229="Arbeidskosten",G1229&lt;&gt;""),IFERROR(W1229*VLOOKUP(G1229,Tb_KostenTypen[],3,0)*VLOOKUP(F1229,Tb_ProjectKosten[],MATCH(Tb_ProjectKosten[[#Headers],[Forfait_Percentage]],Tb_ProjectKosten[#Headers],0),0),""),W1229 &lt;=0,0),"")</f>
        <v/>
      </c>
      <c r="AA1229" s="314" t="str" cm="1">
        <f t="array" aca="1" ref="AA1229" ca="1">IFERROR(_xlfn.IFS(OR(F1229="",LEFT(Methode_Keuze,4)="Geen",Methode_Keuze=""),"",AND(X1229&lt;&gt;"",F1229&lt;&gt;"Arbeidskosten"),X1229*VLOOKUP(F1229,Tb_ProjectKosten[],MATCH(Tb_ProjectKosten[[#Headers],[Forfait_Percentage]],Tb_ProjectKosten[#Headers],0),0),AND(F1229="Arbeidskosten",G1229&lt;&gt;""),IFERROR(X1229*VLOOKUP(G1229,Tb_KostenTypen[],3,0)*VLOOKUP(F1229,Tb_ProjectKosten[],MATCH(Tb_ProjectKosten[[#Headers],[Forfait_Percentage]],Tb_ProjectKosten[#Headers],0),0),""),X1229 &lt;=0,0),"")</f>
        <v/>
      </c>
      <c r="AB1229" s="314" t="str">
        <f t="shared" ca="1" si="79"/>
        <v/>
      </c>
      <c r="AC1229" s="322"/>
      <c r="AD1229" s="315"/>
      <c r="AE1229" s="32" t="str" cm="1">
        <f t="array" ref="AE1229">IFERROR(IF(INDEX(SubsidieTabel!$AD$1:$AG$12,MATCH($F1229,SubsidieTabel!$AD$1:$AD$12,0),IFERROR(MATCH(Methode_Keuze,SubsidieTabel!$AD$1:$AG$1,0),2))&lt;&gt;1=TRUE,"ja",""),"")</f>
        <v/>
      </c>
    </row>
    <row r="1230" spans="1:31" x14ac:dyDescent="0.25">
      <c r="A1230" s="316"/>
      <c r="B1230" s="317" t="str">
        <f>IF(A1230&lt;&gt;"",_xlfn.MAXIFS($B$1:B1229,$A$1:A1229,A1230)+1,"")</f>
        <v/>
      </c>
      <c r="C1230" s="296"/>
      <c r="D1230" s="296"/>
      <c r="E1230" s="296"/>
      <c r="F1230" s="296"/>
      <c r="G1230" s="326"/>
      <c r="H1230" s="324"/>
      <c r="I1230" s="325"/>
      <c r="J1230" s="325"/>
      <c r="K1230" s="318"/>
      <c r="L1230" s="318"/>
      <c r="M1230" s="319" t="str">
        <f>IFERROR(VLOOKUP(H1230,Lijsten!$H$1:$I$100,2,0),"")</f>
        <v/>
      </c>
      <c r="N1230" s="319" t="str">
        <f ca="1">IFERROR(IF(VLOOKUP(F1230,Kostentypen!$A$3:$E$21,3,0)=0,"",IF(OR(F1230="Arbeidskosten",F1230="Vergoeding"),VLOOKUP(G1230,Tb_KostenTypen[],2,0),VLOOKUP(F1230,Kostentypen!$A$3:$E$20,3,0))),"")</f>
        <v/>
      </c>
      <c r="O1230" s="320" t="str" cm="1">
        <f t="array" ref="O1230">_xlfn.IFNA(IF(INDEX(Tb_KostenOptiesDB[],MATCH($F1230,Tb_KostenOptiesDB[KostenOptie],0),IFERROR(MATCH(Methode_Keuze,Tb_KostenOptiesDB[#Headers],0),2))=1,_xlfn.SWITCH($N1230,"Uurtarief",IF(OR(AND(RIGHT($F1230,3)="IKS",VLOOKUP($M1230,DB_Loonkosten,2,0)="Ja"),AND(RIGHT($F1230,3)&lt;&gt;"IKS",VLOOKUP($M1230,DB_Loonkosten,2,0)="Nee")),IFERROR(VLOOKUP($M1230,DB_Loonkosten,24,0),""),0),"Vast tarief",IF(LEFT(F1230,8)="Bijdrage",VLOOKUP($F1230,Tb_KostenTypen[],MATCH(Lijsten!$P$1,Tb_KostenTypen[#Headers],0),0),VLOOKUP($G1230,Lijsten!L:P,MATCH(Lijsten!$P$1,Kop_Tarief_Vast,0),0))),""),"")</f>
        <v/>
      </c>
      <c r="P1230" s="320" t="str" cm="1">
        <f t="array" ref="P1230">_xlfn.IFNA(IF(INDEX(Tb_KostenOptiesDB[],MATCH($F1230,Tb_KostenOptiesDB[KostenOptie],0),IFERROR(MATCH(Methode_Keuze,Tb_KostenOptiesDB[#Headers],0),2))=1,_xlfn.SWITCH($N1230,"Uurtarief",IF(OR(AND(RIGHT($F1230,3)="IKS",VLOOKUP($M1230,DB_Loonkosten,2,0)="Ja"),AND(RIGHT($F1230,3)&lt;&gt;"IKS",VLOOKUP($M1230,DB_Loonkosten,2,0)="Nee")),IFERROR(VLOOKUP($M1230,DB_Loonkosten,25,0),""),0),"Vast tarief",IF(LEFT(F1230,8)="Bijdrage",VLOOKUP($F1230,Tb_KostenTypen[],MATCH(Lijsten!$P$1,Tb_KostenTypen[#Headers],0),0),VLOOKUP($G1230,Lijsten!L:P,MATCH(Lijsten!$P$1,Kop_Tarief_Vast,0),0))),""),"")</f>
        <v/>
      </c>
      <c r="Q1230" s="359"/>
      <c r="R1230" s="359"/>
      <c r="S1230" s="321"/>
      <c r="T1230" s="321"/>
      <c r="U1230" s="373" t="str">
        <f t="shared" si="76"/>
        <v/>
      </c>
      <c r="V1230" s="314" t="str">
        <f t="shared" si="77"/>
        <v/>
      </c>
      <c r="W1230" s="314" t="str" cm="1">
        <f t="array" aca="1" ref="W1230" ca="1">IFERROR(IF(AE1230&lt;&gt;"ja",_xlfn.IFNA(_xlfn.IFS(AND(O1230&lt;&gt;"",F1230&lt;&gt;"",RIGHT($N1230,6)="tarief",F1230="Vergoeding"),SUM(O1230)*FLOOR(SUM(Q1230),0.0001),AND(O1230&lt;&gt;"",F1230&lt;&gt;"",RIGHT($N1230,6)="tarief"),SUM(O1230)*FLOOR(SUM(Q1230),0.01),S1230&gt;0,IF(F1230&lt;&gt;"",FLOOR(SUM(S1230),0.01),"")),""),""),"")</f>
        <v/>
      </c>
      <c r="X1230" s="314" t="str" cm="1">
        <f t="array" aca="1" ref="X1230" ca="1">IFERROR(IF(AE1230&lt;&gt;"ja",_xlfn.IFNA(_xlfn.IFS(AND(P1230&lt;&gt;"",R1230&lt;&gt;"",RIGHT($N1230,6)="tarief",F1230="Vergoeding"),SUM(P1230)*FLOOR(SUM(R1230),0.0001),AND(P1230&lt;&gt;"",R1230&lt;&gt;"",RIGHT($N1230,6)="tarief"),P1230*FLOOR(R1230,0.01),T1230&gt;0,FLOOR(SUM(T1230),0.01)),""),""),"")</f>
        <v/>
      </c>
      <c r="Y1230" s="314" t="str">
        <f t="shared" ca="1" si="78"/>
        <v/>
      </c>
      <c r="Z1230" s="314" t="str" cm="1">
        <f t="array" aca="1" ref="Z1230" ca="1">IFERROR(_xlfn.IFS(OR(F1230="",LEFT(Methode_Keuze,4)="Geen",Methode_Keuze=""),"",AND(W1230&lt;&gt;"",F1230&lt;&gt;"Arbeidskosten"),W1230*VLOOKUP(F1230,Tb_ProjectKosten[],MATCH(Tb_ProjectKosten[[#Headers],[Forfait_Percentage]],Tb_ProjectKosten[#Headers],0),0),AND(F1230="Arbeidskosten",G1230&lt;&gt;""),IFERROR(W1230*VLOOKUP(G1230,Tb_KostenTypen[],3,0)*VLOOKUP(F1230,Tb_ProjectKosten[],MATCH(Tb_ProjectKosten[[#Headers],[Forfait_Percentage]],Tb_ProjectKosten[#Headers],0),0),""),W1230 &lt;=0,0),"")</f>
        <v/>
      </c>
      <c r="AA1230" s="314" t="str" cm="1">
        <f t="array" aca="1" ref="AA1230" ca="1">IFERROR(_xlfn.IFS(OR(F1230="",LEFT(Methode_Keuze,4)="Geen",Methode_Keuze=""),"",AND(X1230&lt;&gt;"",F1230&lt;&gt;"Arbeidskosten"),X1230*VLOOKUP(F1230,Tb_ProjectKosten[],MATCH(Tb_ProjectKosten[[#Headers],[Forfait_Percentage]],Tb_ProjectKosten[#Headers],0),0),AND(F1230="Arbeidskosten",G1230&lt;&gt;""),IFERROR(X1230*VLOOKUP(G1230,Tb_KostenTypen[],3,0)*VLOOKUP(F1230,Tb_ProjectKosten[],MATCH(Tb_ProjectKosten[[#Headers],[Forfait_Percentage]],Tb_ProjectKosten[#Headers],0),0),""),X1230 &lt;=0,0),"")</f>
        <v/>
      </c>
      <c r="AB1230" s="314" t="str">
        <f t="shared" ca="1" si="79"/>
        <v/>
      </c>
      <c r="AC1230" s="322"/>
      <c r="AD1230" s="315"/>
      <c r="AE1230" s="32" t="str" cm="1">
        <f t="array" ref="AE1230">IFERROR(IF(INDEX(SubsidieTabel!$AD$1:$AG$12,MATCH($F1230,SubsidieTabel!$AD$1:$AD$12,0),IFERROR(MATCH(Methode_Keuze,SubsidieTabel!$AD$1:$AG$1,0),2))&lt;&gt;1=TRUE,"ja",""),"")</f>
        <v/>
      </c>
    </row>
    <row r="1231" spans="1:31" x14ac:dyDescent="0.25">
      <c r="A1231" s="316"/>
      <c r="B1231" s="317" t="str">
        <f>IF(A1231&lt;&gt;"",_xlfn.MAXIFS($B$1:B1230,$A$1:A1230,A1231)+1,"")</f>
        <v/>
      </c>
      <c r="C1231" s="296"/>
      <c r="D1231" s="296"/>
      <c r="E1231" s="296"/>
      <c r="F1231" s="296"/>
      <c r="G1231" s="326"/>
      <c r="H1231" s="324"/>
      <c r="I1231" s="325"/>
      <c r="J1231" s="325"/>
      <c r="K1231" s="318"/>
      <c r="L1231" s="318"/>
      <c r="M1231" s="319" t="str">
        <f>IFERROR(VLOOKUP(H1231,Lijsten!$H$1:$I$100,2,0),"")</f>
        <v/>
      </c>
      <c r="N1231" s="319" t="str">
        <f ca="1">IFERROR(IF(VLOOKUP(F1231,Kostentypen!$A$3:$E$21,3,0)=0,"",IF(OR(F1231="Arbeidskosten",F1231="Vergoeding"),VLOOKUP(G1231,Tb_KostenTypen[],2,0),VLOOKUP(F1231,Kostentypen!$A$3:$E$20,3,0))),"")</f>
        <v/>
      </c>
      <c r="O1231" s="320" t="str" cm="1">
        <f t="array" ref="O1231">_xlfn.IFNA(IF(INDEX(Tb_KostenOptiesDB[],MATCH($F1231,Tb_KostenOptiesDB[KostenOptie],0),IFERROR(MATCH(Methode_Keuze,Tb_KostenOptiesDB[#Headers],0),2))=1,_xlfn.SWITCH($N1231,"Uurtarief",IF(OR(AND(RIGHT($F1231,3)="IKS",VLOOKUP($M1231,DB_Loonkosten,2,0)="Ja"),AND(RIGHT($F1231,3)&lt;&gt;"IKS",VLOOKUP($M1231,DB_Loonkosten,2,0)="Nee")),IFERROR(VLOOKUP($M1231,DB_Loonkosten,24,0),""),0),"Vast tarief",IF(LEFT(F1231,8)="Bijdrage",VLOOKUP($F1231,Tb_KostenTypen[],MATCH(Lijsten!$P$1,Tb_KostenTypen[#Headers],0),0),VLOOKUP($G1231,Lijsten!L:P,MATCH(Lijsten!$P$1,Kop_Tarief_Vast,0),0))),""),"")</f>
        <v/>
      </c>
      <c r="P1231" s="320" t="str" cm="1">
        <f t="array" ref="P1231">_xlfn.IFNA(IF(INDEX(Tb_KostenOptiesDB[],MATCH($F1231,Tb_KostenOptiesDB[KostenOptie],0),IFERROR(MATCH(Methode_Keuze,Tb_KostenOptiesDB[#Headers],0),2))=1,_xlfn.SWITCH($N1231,"Uurtarief",IF(OR(AND(RIGHT($F1231,3)="IKS",VLOOKUP($M1231,DB_Loonkosten,2,0)="Ja"),AND(RIGHT($F1231,3)&lt;&gt;"IKS",VLOOKUP($M1231,DB_Loonkosten,2,0)="Nee")),IFERROR(VLOOKUP($M1231,DB_Loonkosten,25,0),""),0),"Vast tarief",IF(LEFT(F1231,8)="Bijdrage",VLOOKUP($F1231,Tb_KostenTypen[],MATCH(Lijsten!$P$1,Tb_KostenTypen[#Headers],0),0),VLOOKUP($G1231,Lijsten!L:P,MATCH(Lijsten!$P$1,Kop_Tarief_Vast,0),0))),""),"")</f>
        <v/>
      </c>
      <c r="Q1231" s="359"/>
      <c r="R1231" s="359"/>
      <c r="S1231" s="321"/>
      <c r="T1231" s="321"/>
      <c r="U1231" s="373" t="str">
        <f t="shared" si="76"/>
        <v/>
      </c>
      <c r="V1231" s="314" t="str">
        <f t="shared" si="77"/>
        <v/>
      </c>
      <c r="W1231" s="314" t="str" cm="1">
        <f t="array" aca="1" ref="W1231" ca="1">IFERROR(IF(AE1231&lt;&gt;"ja",_xlfn.IFNA(_xlfn.IFS(AND(O1231&lt;&gt;"",F1231&lt;&gt;"",RIGHT($N1231,6)="tarief",F1231="Vergoeding"),SUM(O1231)*FLOOR(SUM(Q1231),0.0001),AND(O1231&lt;&gt;"",F1231&lt;&gt;"",RIGHT($N1231,6)="tarief"),SUM(O1231)*FLOOR(SUM(Q1231),0.01),S1231&gt;0,IF(F1231&lt;&gt;"",FLOOR(SUM(S1231),0.01),"")),""),""),"")</f>
        <v/>
      </c>
      <c r="X1231" s="314" t="str" cm="1">
        <f t="array" aca="1" ref="X1231" ca="1">IFERROR(IF(AE1231&lt;&gt;"ja",_xlfn.IFNA(_xlfn.IFS(AND(P1231&lt;&gt;"",R1231&lt;&gt;"",RIGHT($N1231,6)="tarief",F1231="Vergoeding"),SUM(P1231)*FLOOR(SUM(R1231),0.0001),AND(P1231&lt;&gt;"",R1231&lt;&gt;"",RIGHT($N1231,6)="tarief"),P1231*FLOOR(R1231,0.01),T1231&gt;0,FLOOR(SUM(T1231),0.01)),""),""),"")</f>
        <v/>
      </c>
      <c r="Y1231" s="314" t="str">
        <f t="shared" ca="1" si="78"/>
        <v/>
      </c>
      <c r="Z1231" s="314" t="str" cm="1">
        <f t="array" aca="1" ref="Z1231" ca="1">IFERROR(_xlfn.IFS(OR(F1231="",LEFT(Methode_Keuze,4)="Geen",Methode_Keuze=""),"",AND(W1231&lt;&gt;"",F1231&lt;&gt;"Arbeidskosten"),W1231*VLOOKUP(F1231,Tb_ProjectKosten[],MATCH(Tb_ProjectKosten[[#Headers],[Forfait_Percentage]],Tb_ProjectKosten[#Headers],0),0),AND(F1231="Arbeidskosten",G1231&lt;&gt;""),IFERROR(W1231*VLOOKUP(G1231,Tb_KostenTypen[],3,0)*VLOOKUP(F1231,Tb_ProjectKosten[],MATCH(Tb_ProjectKosten[[#Headers],[Forfait_Percentage]],Tb_ProjectKosten[#Headers],0),0),""),W1231 &lt;=0,0),"")</f>
        <v/>
      </c>
      <c r="AA1231" s="314" t="str" cm="1">
        <f t="array" aca="1" ref="AA1231" ca="1">IFERROR(_xlfn.IFS(OR(F1231="",LEFT(Methode_Keuze,4)="Geen",Methode_Keuze=""),"",AND(X1231&lt;&gt;"",F1231&lt;&gt;"Arbeidskosten"),X1231*VLOOKUP(F1231,Tb_ProjectKosten[],MATCH(Tb_ProjectKosten[[#Headers],[Forfait_Percentage]],Tb_ProjectKosten[#Headers],0),0),AND(F1231="Arbeidskosten",G1231&lt;&gt;""),IFERROR(X1231*VLOOKUP(G1231,Tb_KostenTypen[],3,0)*VLOOKUP(F1231,Tb_ProjectKosten[],MATCH(Tb_ProjectKosten[[#Headers],[Forfait_Percentage]],Tb_ProjectKosten[#Headers],0),0),""),X1231 &lt;=0,0),"")</f>
        <v/>
      </c>
      <c r="AB1231" s="314" t="str">
        <f t="shared" ca="1" si="79"/>
        <v/>
      </c>
      <c r="AC1231" s="322"/>
      <c r="AD1231" s="315"/>
      <c r="AE1231" s="32" t="str" cm="1">
        <f t="array" ref="AE1231">IFERROR(IF(INDEX(SubsidieTabel!$AD$1:$AG$12,MATCH($F1231,SubsidieTabel!$AD$1:$AD$12,0),IFERROR(MATCH(Methode_Keuze,SubsidieTabel!$AD$1:$AG$1,0),2))&lt;&gt;1=TRUE,"ja",""),"")</f>
        <v/>
      </c>
    </row>
    <row r="1232" spans="1:31" x14ac:dyDescent="0.25">
      <c r="A1232" s="316"/>
      <c r="B1232" s="317" t="str">
        <f>IF(A1232&lt;&gt;"",_xlfn.MAXIFS($B$1:B1231,$A$1:A1231,A1232)+1,"")</f>
        <v/>
      </c>
      <c r="C1232" s="296"/>
      <c r="D1232" s="296"/>
      <c r="E1232" s="296"/>
      <c r="F1232" s="296"/>
      <c r="G1232" s="326"/>
      <c r="H1232" s="324"/>
      <c r="I1232" s="325"/>
      <c r="J1232" s="325"/>
      <c r="K1232" s="318"/>
      <c r="L1232" s="318"/>
      <c r="M1232" s="319" t="str">
        <f>IFERROR(VLOOKUP(H1232,Lijsten!$H$1:$I$100,2,0),"")</f>
        <v/>
      </c>
      <c r="N1232" s="319" t="str">
        <f ca="1">IFERROR(IF(VLOOKUP(F1232,Kostentypen!$A$3:$E$21,3,0)=0,"",IF(OR(F1232="Arbeidskosten",F1232="Vergoeding"),VLOOKUP(G1232,Tb_KostenTypen[],2,0),VLOOKUP(F1232,Kostentypen!$A$3:$E$20,3,0))),"")</f>
        <v/>
      </c>
      <c r="O1232" s="320" t="str" cm="1">
        <f t="array" ref="O1232">_xlfn.IFNA(IF(INDEX(Tb_KostenOptiesDB[],MATCH($F1232,Tb_KostenOptiesDB[KostenOptie],0),IFERROR(MATCH(Methode_Keuze,Tb_KostenOptiesDB[#Headers],0),2))=1,_xlfn.SWITCH($N1232,"Uurtarief",IF(OR(AND(RIGHT($F1232,3)="IKS",VLOOKUP($M1232,DB_Loonkosten,2,0)="Ja"),AND(RIGHT($F1232,3)&lt;&gt;"IKS",VLOOKUP($M1232,DB_Loonkosten,2,0)="Nee")),IFERROR(VLOOKUP($M1232,DB_Loonkosten,24,0),""),0),"Vast tarief",IF(LEFT(F1232,8)="Bijdrage",VLOOKUP($F1232,Tb_KostenTypen[],MATCH(Lijsten!$P$1,Tb_KostenTypen[#Headers],0),0),VLOOKUP($G1232,Lijsten!L:P,MATCH(Lijsten!$P$1,Kop_Tarief_Vast,0),0))),""),"")</f>
        <v/>
      </c>
      <c r="P1232" s="320" t="str" cm="1">
        <f t="array" ref="P1232">_xlfn.IFNA(IF(INDEX(Tb_KostenOptiesDB[],MATCH($F1232,Tb_KostenOptiesDB[KostenOptie],0),IFERROR(MATCH(Methode_Keuze,Tb_KostenOptiesDB[#Headers],0),2))=1,_xlfn.SWITCH($N1232,"Uurtarief",IF(OR(AND(RIGHT($F1232,3)="IKS",VLOOKUP($M1232,DB_Loonkosten,2,0)="Ja"),AND(RIGHT($F1232,3)&lt;&gt;"IKS",VLOOKUP($M1232,DB_Loonkosten,2,0)="Nee")),IFERROR(VLOOKUP($M1232,DB_Loonkosten,25,0),""),0),"Vast tarief",IF(LEFT(F1232,8)="Bijdrage",VLOOKUP($F1232,Tb_KostenTypen[],MATCH(Lijsten!$P$1,Tb_KostenTypen[#Headers],0),0),VLOOKUP($G1232,Lijsten!L:P,MATCH(Lijsten!$P$1,Kop_Tarief_Vast,0),0))),""),"")</f>
        <v/>
      </c>
      <c r="Q1232" s="359"/>
      <c r="R1232" s="359"/>
      <c r="S1232" s="321"/>
      <c r="T1232" s="321"/>
      <c r="U1232" s="373" t="str">
        <f t="shared" si="76"/>
        <v/>
      </c>
      <c r="V1232" s="314" t="str">
        <f t="shared" si="77"/>
        <v/>
      </c>
      <c r="W1232" s="314" t="str" cm="1">
        <f t="array" aca="1" ref="W1232" ca="1">IFERROR(IF(AE1232&lt;&gt;"ja",_xlfn.IFNA(_xlfn.IFS(AND(O1232&lt;&gt;"",F1232&lt;&gt;"",RIGHT($N1232,6)="tarief",F1232="Vergoeding"),SUM(O1232)*FLOOR(SUM(Q1232),0.0001),AND(O1232&lt;&gt;"",F1232&lt;&gt;"",RIGHT($N1232,6)="tarief"),SUM(O1232)*FLOOR(SUM(Q1232),0.01),S1232&gt;0,IF(F1232&lt;&gt;"",FLOOR(SUM(S1232),0.01),"")),""),""),"")</f>
        <v/>
      </c>
      <c r="X1232" s="314" t="str" cm="1">
        <f t="array" aca="1" ref="X1232" ca="1">IFERROR(IF(AE1232&lt;&gt;"ja",_xlfn.IFNA(_xlfn.IFS(AND(P1232&lt;&gt;"",R1232&lt;&gt;"",RIGHT($N1232,6)="tarief",F1232="Vergoeding"),SUM(P1232)*FLOOR(SUM(R1232),0.0001),AND(P1232&lt;&gt;"",R1232&lt;&gt;"",RIGHT($N1232,6)="tarief"),P1232*FLOOR(R1232,0.01),T1232&gt;0,FLOOR(SUM(T1232),0.01)),""),""),"")</f>
        <v/>
      </c>
      <c r="Y1232" s="314" t="str">
        <f t="shared" ca="1" si="78"/>
        <v/>
      </c>
      <c r="Z1232" s="314" t="str" cm="1">
        <f t="array" aca="1" ref="Z1232" ca="1">IFERROR(_xlfn.IFS(OR(F1232="",LEFT(Methode_Keuze,4)="Geen",Methode_Keuze=""),"",AND(W1232&lt;&gt;"",F1232&lt;&gt;"Arbeidskosten"),W1232*VLOOKUP(F1232,Tb_ProjectKosten[],MATCH(Tb_ProjectKosten[[#Headers],[Forfait_Percentage]],Tb_ProjectKosten[#Headers],0),0),AND(F1232="Arbeidskosten",G1232&lt;&gt;""),IFERROR(W1232*VLOOKUP(G1232,Tb_KostenTypen[],3,0)*VLOOKUP(F1232,Tb_ProjectKosten[],MATCH(Tb_ProjectKosten[[#Headers],[Forfait_Percentage]],Tb_ProjectKosten[#Headers],0),0),""),W1232 &lt;=0,0),"")</f>
        <v/>
      </c>
      <c r="AA1232" s="314" t="str" cm="1">
        <f t="array" aca="1" ref="AA1232" ca="1">IFERROR(_xlfn.IFS(OR(F1232="",LEFT(Methode_Keuze,4)="Geen",Methode_Keuze=""),"",AND(X1232&lt;&gt;"",F1232&lt;&gt;"Arbeidskosten"),X1232*VLOOKUP(F1232,Tb_ProjectKosten[],MATCH(Tb_ProjectKosten[[#Headers],[Forfait_Percentage]],Tb_ProjectKosten[#Headers],0),0),AND(F1232="Arbeidskosten",G1232&lt;&gt;""),IFERROR(X1232*VLOOKUP(G1232,Tb_KostenTypen[],3,0)*VLOOKUP(F1232,Tb_ProjectKosten[],MATCH(Tb_ProjectKosten[[#Headers],[Forfait_Percentage]],Tb_ProjectKosten[#Headers],0),0),""),X1232 &lt;=0,0),"")</f>
        <v/>
      </c>
      <c r="AB1232" s="314" t="str">
        <f t="shared" ca="1" si="79"/>
        <v/>
      </c>
      <c r="AC1232" s="322"/>
      <c r="AD1232" s="315"/>
      <c r="AE1232" s="32" t="str" cm="1">
        <f t="array" ref="AE1232">IFERROR(IF(INDEX(SubsidieTabel!$AD$1:$AG$12,MATCH($F1232,SubsidieTabel!$AD$1:$AD$12,0),IFERROR(MATCH(Methode_Keuze,SubsidieTabel!$AD$1:$AG$1,0),2))&lt;&gt;1=TRUE,"ja",""),"")</f>
        <v/>
      </c>
    </row>
    <row r="1233" spans="1:31" x14ac:dyDescent="0.25">
      <c r="A1233" s="316"/>
      <c r="B1233" s="317" t="str">
        <f>IF(A1233&lt;&gt;"",_xlfn.MAXIFS($B$1:B1232,$A$1:A1232,A1233)+1,"")</f>
        <v/>
      </c>
      <c r="C1233" s="296"/>
      <c r="D1233" s="296"/>
      <c r="E1233" s="296"/>
      <c r="F1233" s="296"/>
      <c r="G1233" s="326"/>
      <c r="H1233" s="324"/>
      <c r="I1233" s="325"/>
      <c r="J1233" s="325"/>
      <c r="K1233" s="318"/>
      <c r="L1233" s="318"/>
      <c r="M1233" s="319" t="str">
        <f>IFERROR(VLOOKUP(H1233,Lijsten!$H$1:$I$100,2,0),"")</f>
        <v/>
      </c>
      <c r="N1233" s="319" t="str">
        <f ca="1">IFERROR(IF(VLOOKUP(F1233,Kostentypen!$A$3:$E$21,3,0)=0,"",IF(OR(F1233="Arbeidskosten",F1233="Vergoeding"),VLOOKUP(G1233,Tb_KostenTypen[],2,0),VLOOKUP(F1233,Kostentypen!$A$3:$E$20,3,0))),"")</f>
        <v/>
      </c>
      <c r="O1233" s="320" t="str" cm="1">
        <f t="array" ref="O1233">_xlfn.IFNA(IF(INDEX(Tb_KostenOptiesDB[],MATCH($F1233,Tb_KostenOptiesDB[KostenOptie],0),IFERROR(MATCH(Methode_Keuze,Tb_KostenOptiesDB[#Headers],0),2))=1,_xlfn.SWITCH($N1233,"Uurtarief",IF(OR(AND(RIGHT($F1233,3)="IKS",VLOOKUP($M1233,DB_Loonkosten,2,0)="Ja"),AND(RIGHT($F1233,3)&lt;&gt;"IKS",VLOOKUP($M1233,DB_Loonkosten,2,0)="Nee")),IFERROR(VLOOKUP($M1233,DB_Loonkosten,24,0),""),0),"Vast tarief",IF(LEFT(F1233,8)="Bijdrage",VLOOKUP($F1233,Tb_KostenTypen[],MATCH(Lijsten!$P$1,Tb_KostenTypen[#Headers],0),0),VLOOKUP($G1233,Lijsten!L:P,MATCH(Lijsten!$P$1,Kop_Tarief_Vast,0),0))),""),"")</f>
        <v/>
      </c>
      <c r="P1233" s="320" t="str" cm="1">
        <f t="array" ref="P1233">_xlfn.IFNA(IF(INDEX(Tb_KostenOptiesDB[],MATCH($F1233,Tb_KostenOptiesDB[KostenOptie],0),IFERROR(MATCH(Methode_Keuze,Tb_KostenOptiesDB[#Headers],0),2))=1,_xlfn.SWITCH($N1233,"Uurtarief",IF(OR(AND(RIGHT($F1233,3)="IKS",VLOOKUP($M1233,DB_Loonkosten,2,0)="Ja"),AND(RIGHT($F1233,3)&lt;&gt;"IKS",VLOOKUP($M1233,DB_Loonkosten,2,0)="Nee")),IFERROR(VLOOKUP($M1233,DB_Loonkosten,25,0),""),0),"Vast tarief",IF(LEFT(F1233,8)="Bijdrage",VLOOKUP($F1233,Tb_KostenTypen[],MATCH(Lijsten!$P$1,Tb_KostenTypen[#Headers],0),0),VLOOKUP($G1233,Lijsten!L:P,MATCH(Lijsten!$P$1,Kop_Tarief_Vast,0),0))),""),"")</f>
        <v/>
      </c>
      <c r="Q1233" s="359"/>
      <c r="R1233" s="359"/>
      <c r="S1233" s="321"/>
      <c r="T1233" s="321"/>
      <c r="U1233" s="373" t="str">
        <f t="shared" si="76"/>
        <v/>
      </c>
      <c r="V1233" s="314" t="str">
        <f t="shared" si="77"/>
        <v/>
      </c>
      <c r="W1233" s="314" t="str" cm="1">
        <f t="array" aca="1" ref="W1233" ca="1">IFERROR(IF(AE1233&lt;&gt;"ja",_xlfn.IFNA(_xlfn.IFS(AND(O1233&lt;&gt;"",F1233&lt;&gt;"",RIGHT($N1233,6)="tarief",F1233="Vergoeding"),SUM(O1233)*FLOOR(SUM(Q1233),0.0001),AND(O1233&lt;&gt;"",F1233&lt;&gt;"",RIGHT($N1233,6)="tarief"),SUM(O1233)*FLOOR(SUM(Q1233),0.01),S1233&gt;0,IF(F1233&lt;&gt;"",FLOOR(SUM(S1233),0.01),"")),""),""),"")</f>
        <v/>
      </c>
      <c r="X1233" s="314" t="str" cm="1">
        <f t="array" aca="1" ref="X1233" ca="1">IFERROR(IF(AE1233&lt;&gt;"ja",_xlfn.IFNA(_xlfn.IFS(AND(P1233&lt;&gt;"",R1233&lt;&gt;"",RIGHT($N1233,6)="tarief",F1233="Vergoeding"),SUM(P1233)*FLOOR(SUM(R1233),0.0001),AND(P1233&lt;&gt;"",R1233&lt;&gt;"",RIGHT($N1233,6)="tarief"),P1233*FLOOR(R1233,0.01),T1233&gt;0,FLOOR(SUM(T1233),0.01)),""),""),"")</f>
        <v/>
      </c>
      <c r="Y1233" s="314" t="str">
        <f t="shared" ca="1" si="78"/>
        <v/>
      </c>
      <c r="Z1233" s="314" t="str" cm="1">
        <f t="array" aca="1" ref="Z1233" ca="1">IFERROR(_xlfn.IFS(OR(F1233="",LEFT(Methode_Keuze,4)="Geen",Methode_Keuze=""),"",AND(W1233&lt;&gt;"",F1233&lt;&gt;"Arbeidskosten"),W1233*VLOOKUP(F1233,Tb_ProjectKosten[],MATCH(Tb_ProjectKosten[[#Headers],[Forfait_Percentage]],Tb_ProjectKosten[#Headers],0),0),AND(F1233="Arbeidskosten",G1233&lt;&gt;""),IFERROR(W1233*VLOOKUP(G1233,Tb_KostenTypen[],3,0)*VLOOKUP(F1233,Tb_ProjectKosten[],MATCH(Tb_ProjectKosten[[#Headers],[Forfait_Percentage]],Tb_ProjectKosten[#Headers],0),0),""),W1233 &lt;=0,0),"")</f>
        <v/>
      </c>
      <c r="AA1233" s="314" t="str" cm="1">
        <f t="array" aca="1" ref="AA1233" ca="1">IFERROR(_xlfn.IFS(OR(F1233="",LEFT(Methode_Keuze,4)="Geen",Methode_Keuze=""),"",AND(X1233&lt;&gt;"",F1233&lt;&gt;"Arbeidskosten"),X1233*VLOOKUP(F1233,Tb_ProjectKosten[],MATCH(Tb_ProjectKosten[[#Headers],[Forfait_Percentage]],Tb_ProjectKosten[#Headers],0),0),AND(F1233="Arbeidskosten",G1233&lt;&gt;""),IFERROR(X1233*VLOOKUP(G1233,Tb_KostenTypen[],3,0)*VLOOKUP(F1233,Tb_ProjectKosten[],MATCH(Tb_ProjectKosten[[#Headers],[Forfait_Percentage]],Tb_ProjectKosten[#Headers],0),0),""),X1233 &lt;=0,0),"")</f>
        <v/>
      </c>
      <c r="AB1233" s="314" t="str">
        <f t="shared" ca="1" si="79"/>
        <v/>
      </c>
      <c r="AC1233" s="322"/>
      <c r="AD1233" s="315"/>
      <c r="AE1233" s="32" t="str" cm="1">
        <f t="array" ref="AE1233">IFERROR(IF(INDEX(SubsidieTabel!$AD$1:$AG$12,MATCH($F1233,SubsidieTabel!$AD$1:$AD$12,0),IFERROR(MATCH(Methode_Keuze,SubsidieTabel!$AD$1:$AG$1,0),2))&lt;&gt;1=TRUE,"ja",""),"")</f>
        <v/>
      </c>
    </row>
    <row r="1234" spans="1:31" x14ac:dyDescent="0.25">
      <c r="A1234" s="316"/>
      <c r="B1234" s="317" t="str">
        <f>IF(A1234&lt;&gt;"",_xlfn.MAXIFS($B$1:B1233,$A$1:A1233,A1234)+1,"")</f>
        <v/>
      </c>
      <c r="C1234" s="296"/>
      <c r="D1234" s="296"/>
      <c r="E1234" s="296"/>
      <c r="F1234" s="296"/>
      <c r="G1234" s="326"/>
      <c r="H1234" s="324"/>
      <c r="I1234" s="325"/>
      <c r="J1234" s="325"/>
      <c r="K1234" s="318"/>
      <c r="L1234" s="318"/>
      <c r="M1234" s="319" t="str">
        <f>IFERROR(VLOOKUP(H1234,Lijsten!$H$1:$I$100,2,0),"")</f>
        <v/>
      </c>
      <c r="N1234" s="319" t="str">
        <f ca="1">IFERROR(IF(VLOOKUP(F1234,Kostentypen!$A$3:$E$21,3,0)=0,"",IF(OR(F1234="Arbeidskosten",F1234="Vergoeding"),VLOOKUP(G1234,Tb_KostenTypen[],2,0),VLOOKUP(F1234,Kostentypen!$A$3:$E$20,3,0))),"")</f>
        <v/>
      </c>
      <c r="O1234" s="320" t="str" cm="1">
        <f t="array" ref="O1234">_xlfn.IFNA(IF(INDEX(Tb_KostenOptiesDB[],MATCH($F1234,Tb_KostenOptiesDB[KostenOptie],0),IFERROR(MATCH(Methode_Keuze,Tb_KostenOptiesDB[#Headers],0),2))=1,_xlfn.SWITCH($N1234,"Uurtarief",IF(OR(AND(RIGHT($F1234,3)="IKS",VLOOKUP($M1234,DB_Loonkosten,2,0)="Ja"),AND(RIGHT($F1234,3)&lt;&gt;"IKS",VLOOKUP($M1234,DB_Loonkosten,2,0)="Nee")),IFERROR(VLOOKUP($M1234,DB_Loonkosten,24,0),""),0),"Vast tarief",IF(LEFT(F1234,8)="Bijdrage",VLOOKUP($F1234,Tb_KostenTypen[],MATCH(Lijsten!$P$1,Tb_KostenTypen[#Headers],0),0),VLOOKUP($G1234,Lijsten!L:P,MATCH(Lijsten!$P$1,Kop_Tarief_Vast,0),0))),""),"")</f>
        <v/>
      </c>
      <c r="P1234" s="320" t="str" cm="1">
        <f t="array" ref="P1234">_xlfn.IFNA(IF(INDEX(Tb_KostenOptiesDB[],MATCH($F1234,Tb_KostenOptiesDB[KostenOptie],0),IFERROR(MATCH(Methode_Keuze,Tb_KostenOptiesDB[#Headers],0),2))=1,_xlfn.SWITCH($N1234,"Uurtarief",IF(OR(AND(RIGHT($F1234,3)="IKS",VLOOKUP($M1234,DB_Loonkosten,2,0)="Ja"),AND(RIGHT($F1234,3)&lt;&gt;"IKS",VLOOKUP($M1234,DB_Loonkosten,2,0)="Nee")),IFERROR(VLOOKUP($M1234,DB_Loonkosten,25,0),""),0),"Vast tarief",IF(LEFT(F1234,8)="Bijdrage",VLOOKUP($F1234,Tb_KostenTypen[],MATCH(Lijsten!$P$1,Tb_KostenTypen[#Headers],0),0),VLOOKUP($G1234,Lijsten!L:P,MATCH(Lijsten!$P$1,Kop_Tarief_Vast,0),0))),""),"")</f>
        <v/>
      </c>
      <c r="Q1234" s="359"/>
      <c r="R1234" s="359"/>
      <c r="S1234" s="321"/>
      <c r="T1234" s="321"/>
      <c r="U1234" s="373" t="str">
        <f t="shared" si="76"/>
        <v/>
      </c>
      <c r="V1234" s="314" t="str">
        <f t="shared" si="77"/>
        <v/>
      </c>
      <c r="W1234" s="314" t="str" cm="1">
        <f t="array" aca="1" ref="W1234" ca="1">IFERROR(IF(AE1234&lt;&gt;"ja",_xlfn.IFNA(_xlfn.IFS(AND(O1234&lt;&gt;"",F1234&lt;&gt;"",RIGHT($N1234,6)="tarief",F1234="Vergoeding"),SUM(O1234)*FLOOR(SUM(Q1234),0.0001),AND(O1234&lt;&gt;"",F1234&lt;&gt;"",RIGHT($N1234,6)="tarief"),SUM(O1234)*FLOOR(SUM(Q1234),0.01),S1234&gt;0,IF(F1234&lt;&gt;"",FLOOR(SUM(S1234),0.01),"")),""),""),"")</f>
        <v/>
      </c>
      <c r="X1234" s="314" t="str" cm="1">
        <f t="array" aca="1" ref="X1234" ca="1">IFERROR(IF(AE1234&lt;&gt;"ja",_xlfn.IFNA(_xlfn.IFS(AND(P1234&lt;&gt;"",R1234&lt;&gt;"",RIGHT($N1234,6)="tarief",F1234="Vergoeding"),SUM(P1234)*FLOOR(SUM(R1234),0.0001),AND(P1234&lt;&gt;"",R1234&lt;&gt;"",RIGHT($N1234,6)="tarief"),P1234*FLOOR(R1234,0.01),T1234&gt;0,FLOOR(SUM(T1234),0.01)),""),""),"")</f>
        <v/>
      </c>
      <c r="Y1234" s="314" t="str">
        <f t="shared" ca="1" si="78"/>
        <v/>
      </c>
      <c r="Z1234" s="314" t="str" cm="1">
        <f t="array" aca="1" ref="Z1234" ca="1">IFERROR(_xlfn.IFS(OR(F1234="",LEFT(Methode_Keuze,4)="Geen",Methode_Keuze=""),"",AND(W1234&lt;&gt;"",F1234&lt;&gt;"Arbeidskosten"),W1234*VLOOKUP(F1234,Tb_ProjectKosten[],MATCH(Tb_ProjectKosten[[#Headers],[Forfait_Percentage]],Tb_ProjectKosten[#Headers],0),0),AND(F1234="Arbeidskosten",G1234&lt;&gt;""),IFERROR(W1234*VLOOKUP(G1234,Tb_KostenTypen[],3,0)*VLOOKUP(F1234,Tb_ProjectKosten[],MATCH(Tb_ProjectKosten[[#Headers],[Forfait_Percentage]],Tb_ProjectKosten[#Headers],0),0),""),W1234 &lt;=0,0),"")</f>
        <v/>
      </c>
      <c r="AA1234" s="314" t="str" cm="1">
        <f t="array" aca="1" ref="AA1234" ca="1">IFERROR(_xlfn.IFS(OR(F1234="",LEFT(Methode_Keuze,4)="Geen",Methode_Keuze=""),"",AND(X1234&lt;&gt;"",F1234&lt;&gt;"Arbeidskosten"),X1234*VLOOKUP(F1234,Tb_ProjectKosten[],MATCH(Tb_ProjectKosten[[#Headers],[Forfait_Percentage]],Tb_ProjectKosten[#Headers],0),0),AND(F1234="Arbeidskosten",G1234&lt;&gt;""),IFERROR(X1234*VLOOKUP(G1234,Tb_KostenTypen[],3,0)*VLOOKUP(F1234,Tb_ProjectKosten[],MATCH(Tb_ProjectKosten[[#Headers],[Forfait_Percentage]],Tb_ProjectKosten[#Headers],0),0),""),X1234 &lt;=0,0),"")</f>
        <v/>
      </c>
      <c r="AB1234" s="314" t="str">
        <f t="shared" ca="1" si="79"/>
        <v/>
      </c>
      <c r="AC1234" s="322"/>
      <c r="AD1234" s="315"/>
      <c r="AE1234" s="32" t="str" cm="1">
        <f t="array" ref="AE1234">IFERROR(IF(INDEX(SubsidieTabel!$AD$1:$AG$12,MATCH($F1234,SubsidieTabel!$AD$1:$AD$12,0),IFERROR(MATCH(Methode_Keuze,SubsidieTabel!$AD$1:$AG$1,0),2))&lt;&gt;1=TRUE,"ja",""),"")</f>
        <v/>
      </c>
    </row>
    <row r="1235" spans="1:31" x14ac:dyDescent="0.25">
      <c r="A1235" s="316"/>
      <c r="B1235" s="317" t="str">
        <f>IF(A1235&lt;&gt;"",_xlfn.MAXIFS($B$1:B1234,$A$1:A1234,A1235)+1,"")</f>
        <v/>
      </c>
      <c r="C1235" s="296"/>
      <c r="D1235" s="296"/>
      <c r="E1235" s="296"/>
      <c r="F1235" s="296"/>
      <c r="G1235" s="326"/>
      <c r="H1235" s="324"/>
      <c r="I1235" s="325"/>
      <c r="J1235" s="325"/>
      <c r="K1235" s="318"/>
      <c r="L1235" s="318"/>
      <c r="M1235" s="319" t="str">
        <f>IFERROR(VLOOKUP(H1235,Lijsten!$H$1:$I$100,2,0),"")</f>
        <v/>
      </c>
      <c r="N1235" s="319" t="str">
        <f ca="1">IFERROR(IF(VLOOKUP(F1235,Kostentypen!$A$3:$E$21,3,0)=0,"",IF(OR(F1235="Arbeidskosten",F1235="Vergoeding"),VLOOKUP(G1235,Tb_KostenTypen[],2,0),VLOOKUP(F1235,Kostentypen!$A$3:$E$20,3,0))),"")</f>
        <v/>
      </c>
      <c r="O1235" s="320" t="str" cm="1">
        <f t="array" ref="O1235">_xlfn.IFNA(IF(INDEX(Tb_KostenOptiesDB[],MATCH($F1235,Tb_KostenOptiesDB[KostenOptie],0),IFERROR(MATCH(Methode_Keuze,Tb_KostenOptiesDB[#Headers],0),2))=1,_xlfn.SWITCH($N1235,"Uurtarief",IF(OR(AND(RIGHT($F1235,3)="IKS",VLOOKUP($M1235,DB_Loonkosten,2,0)="Ja"),AND(RIGHT($F1235,3)&lt;&gt;"IKS",VLOOKUP($M1235,DB_Loonkosten,2,0)="Nee")),IFERROR(VLOOKUP($M1235,DB_Loonkosten,24,0),""),0),"Vast tarief",IF(LEFT(F1235,8)="Bijdrage",VLOOKUP($F1235,Tb_KostenTypen[],MATCH(Lijsten!$P$1,Tb_KostenTypen[#Headers],0),0),VLOOKUP($G1235,Lijsten!L:P,MATCH(Lijsten!$P$1,Kop_Tarief_Vast,0),0))),""),"")</f>
        <v/>
      </c>
      <c r="P1235" s="320" t="str" cm="1">
        <f t="array" ref="P1235">_xlfn.IFNA(IF(INDEX(Tb_KostenOptiesDB[],MATCH($F1235,Tb_KostenOptiesDB[KostenOptie],0),IFERROR(MATCH(Methode_Keuze,Tb_KostenOptiesDB[#Headers],0),2))=1,_xlfn.SWITCH($N1235,"Uurtarief",IF(OR(AND(RIGHT($F1235,3)="IKS",VLOOKUP($M1235,DB_Loonkosten,2,0)="Ja"),AND(RIGHT($F1235,3)&lt;&gt;"IKS",VLOOKUP($M1235,DB_Loonkosten,2,0)="Nee")),IFERROR(VLOOKUP($M1235,DB_Loonkosten,25,0),""),0),"Vast tarief",IF(LEFT(F1235,8)="Bijdrage",VLOOKUP($F1235,Tb_KostenTypen[],MATCH(Lijsten!$P$1,Tb_KostenTypen[#Headers],0),0),VLOOKUP($G1235,Lijsten!L:P,MATCH(Lijsten!$P$1,Kop_Tarief_Vast,0),0))),""),"")</f>
        <v/>
      </c>
      <c r="Q1235" s="359"/>
      <c r="R1235" s="359"/>
      <c r="S1235" s="321"/>
      <c r="T1235" s="321"/>
      <c r="U1235" s="373" t="str">
        <f t="shared" si="76"/>
        <v/>
      </c>
      <c r="V1235" s="314" t="str">
        <f t="shared" si="77"/>
        <v/>
      </c>
      <c r="W1235" s="314" t="str" cm="1">
        <f t="array" aca="1" ref="W1235" ca="1">IFERROR(IF(AE1235&lt;&gt;"ja",_xlfn.IFNA(_xlfn.IFS(AND(O1235&lt;&gt;"",F1235&lt;&gt;"",RIGHT($N1235,6)="tarief",F1235="Vergoeding"),SUM(O1235)*FLOOR(SUM(Q1235),0.0001),AND(O1235&lt;&gt;"",F1235&lt;&gt;"",RIGHT($N1235,6)="tarief"),SUM(O1235)*FLOOR(SUM(Q1235),0.01),S1235&gt;0,IF(F1235&lt;&gt;"",FLOOR(SUM(S1235),0.01),"")),""),""),"")</f>
        <v/>
      </c>
      <c r="X1235" s="314" t="str" cm="1">
        <f t="array" aca="1" ref="X1235" ca="1">IFERROR(IF(AE1235&lt;&gt;"ja",_xlfn.IFNA(_xlfn.IFS(AND(P1235&lt;&gt;"",R1235&lt;&gt;"",RIGHT($N1235,6)="tarief",F1235="Vergoeding"),SUM(P1235)*FLOOR(SUM(R1235),0.0001),AND(P1235&lt;&gt;"",R1235&lt;&gt;"",RIGHT($N1235,6)="tarief"),P1235*FLOOR(R1235,0.01),T1235&gt;0,FLOOR(SUM(T1235),0.01)),""),""),"")</f>
        <v/>
      </c>
      <c r="Y1235" s="314" t="str">
        <f t="shared" ca="1" si="78"/>
        <v/>
      </c>
      <c r="Z1235" s="314" t="str" cm="1">
        <f t="array" aca="1" ref="Z1235" ca="1">IFERROR(_xlfn.IFS(OR(F1235="",LEFT(Methode_Keuze,4)="Geen",Methode_Keuze=""),"",AND(W1235&lt;&gt;"",F1235&lt;&gt;"Arbeidskosten"),W1235*VLOOKUP(F1235,Tb_ProjectKosten[],MATCH(Tb_ProjectKosten[[#Headers],[Forfait_Percentage]],Tb_ProjectKosten[#Headers],0),0),AND(F1235="Arbeidskosten",G1235&lt;&gt;""),IFERROR(W1235*VLOOKUP(G1235,Tb_KostenTypen[],3,0)*VLOOKUP(F1235,Tb_ProjectKosten[],MATCH(Tb_ProjectKosten[[#Headers],[Forfait_Percentage]],Tb_ProjectKosten[#Headers],0),0),""),W1235 &lt;=0,0),"")</f>
        <v/>
      </c>
      <c r="AA1235" s="314" t="str" cm="1">
        <f t="array" aca="1" ref="AA1235" ca="1">IFERROR(_xlfn.IFS(OR(F1235="",LEFT(Methode_Keuze,4)="Geen",Methode_Keuze=""),"",AND(X1235&lt;&gt;"",F1235&lt;&gt;"Arbeidskosten"),X1235*VLOOKUP(F1235,Tb_ProjectKosten[],MATCH(Tb_ProjectKosten[[#Headers],[Forfait_Percentage]],Tb_ProjectKosten[#Headers],0),0),AND(F1235="Arbeidskosten",G1235&lt;&gt;""),IFERROR(X1235*VLOOKUP(G1235,Tb_KostenTypen[],3,0)*VLOOKUP(F1235,Tb_ProjectKosten[],MATCH(Tb_ProjectKosten[[#Headers],[Forfait_Percentage]],Tb_ProjectKosten[#Headers],0),0),""),X1235 &lt;=0,0),"")</f>
        <v/>
      </c>
      <c r="AB1235" s="314" t="str">
        <f t="shared" ca="1" si="79"/>
        <v/>
      </c>
      <c r="AC1235" s="322"/>
      <c r="AD1235" s="315"/>
      <c r="AE1235" s="32" t="str" cm="1">
        <f t="array" ref="AE1235">IFERROR(IF(INDEX(SubsidieTabel!$AD$1:$AG$12,MATCH($F1235,SubsidieTabel!$AD$1:$AD$12,0),IFERROR(MATCH(Methode_Keuze,SubsidieTabel!$AD$1:$AG$1,0),2))&lt;&gt;1=TRUE,"ja",""),"")</f>
        <v/>
      </c>
    </row>
    <row r="1236" spans="1:31" x14ac:dyDescent="0.25">
      <c r="A1236" s="316"/>
      <c r="B1236" s="317" t="str">
        <f>IF(A1236&lt;&gt;"",_xlfn.MAXIFS($B$1:B1235,$A$1:A1235,A1236)+1,"")</f>
        <v/>
      </c>
      <c r="C1236" s="296"/>
      <c r="D1236" s="296"/>
      <c r="E1236" s="296"/>
      <c r="F1236" s="296"/>
      <c r="G1236" s="326"/>
      <c r="H1236" s="324"/>
      <c r="I1236" s="325"/>
      <c r="J1236" s="325"/>
      <c r="K1236" s="318"/>
      <c r="L1236" s="318"/>
      <c r="M1236" s="319" t="str">
        <f>IFERROR(VLOOKUP(H1236,Lijsten!$H$1:$I$100,2,0),"")</f>
        <v/>
      </c>
      <c r="N1236" s="319" t="str">
        <f ca="1">IFERROR(IF(VLOOKUP(F1236,Kostentypen!$A$3:$E$21,3,0)=0,"",IF(OR(F1236="Arbeidskosten",F1236="Vergoeding"),VLOOKUP(G1236,Tb_KostenTypen[],2,0),VLOOKUP(F1236,Kostentypen!$A$3:$E$20,3,0))),"")</f>
        <v/>
      </c>
      <c r="O1236" s="320" t="str" cm="1">
        <f t="array" ref="O1236">_xlfn.IFNA(IF(INDEX(Tb_KostenOptiesDB[],MATCH($F1236,Tb_KostenOptiesDB[KostenOptie],0),IFERROR(MATCH(Methode_Keuze,Tb_KostenOptiesDB[#Headers],0),2))=1,_xlfn.SWITCH($N1236,"Uurtarief",IF(OR(AND(RIGHT($F1236,3)="IKS",VLOOKUP($M1236,DB_Loonkosten,2,0)="Ja"),AND(RIGHT($F1236,3)&lt;&gt;"IKS",VLOOKUP($M1236,DB_Loonkosten,2,0)="Nee")),IFERROR(VLOOKUP($M1236,DB_Loonkosten,24,0),""),0),"Vast tarief",IF(LEFT(F1236,8)="Bijdrage",VLOOKUP($F1236,Tb_KostenTypen[],MATCH(Lijsten!$P$1,Tb_KostenTypen[#Headers],0),0),VLOOKUP($G1236,Lijsten!L:P,MATCH(Lijsten!$P$1,Kop_Tarief_Vast,0),0))),""),"")</f>
        <v/>
      </c>
      <c r="P1236" s="320" t="str" cm="1">
        <f t="array" ref="P1236">_xlfn.IFNA(IF(INDEX(Tb_KostenOptiesDB[],MATCH($F1236,Tb_KostenOptiesDB[KostenOptie],0),IFERROR(MATCH(Methode_Keuze,Tb_KostenOptiesDB[#Headers],0),2))=1,_xlfn.SWITCH($N1236,"Uurtarief",IF(OR(AND(RIGHT($F1236,3)="IKS",VLOOKUP($M1236,DB_Loonkosten,2,0)="Ja"),AND(RIGHT($F1236,3)&lt;&gt;"IKS",VLOOKUP($M1236,DB_Loonkosten,2,0)="Nee")),IFERROR(VLOOKUP($M1236,DB_Loonkosten,25,0),""),0),"Vast tarief",IF(LEFT(F1236,8)="Bijdrage",VLOOKUP($F1236,Tb_KostenTypen[],MATCH(Lijsten!$P$1,Tb_KostenTypen[#Headers],0),0),VLOOKUP($G1236,Lijsten!L:P,MATCH(Lijsten!$P$1,Kop_Tarief_Vast,0),0))),""),"")</f>
        <v/>
      </c>
      <c r="Q1236" s="359"/>
      <c r="R1236" s="359"/>
      <c r="S1236" s="321"/>
      <c r="T1236" s="321"/>
      <c r="U1236" s="373" t="str">
        <f t="shared" si="76"/>
        <v/>
      </c>
      <c r="V1236" s="314" t="str">
        <f t="shared" si="77"/>
        <v/>
      </c>
      <c r="W1236" s="314" t="str" cm="1">
        <f t="array" aca="1" ref="W1236" ca="1">IFERROR(IF(AE1236&lt;&gt;"ja",_xlfn.IFNA(_xlfn.IFS(AND(O1236&lt;&gt;"",F1236&lt;&gt;"",RIGHT($N1236,6)="tarief",F1236="Vergoeding"),SUM(O1236)*FLOOR(SUM(Q1236),0.0001),AND(O1236&lt;&gt;"",F1236&lt;&gt;"",RIGHT($N1236,6)="tarief"),SUM(O1236)*FLOOR(SUM(Q1236),0.01),S1236&gt;0,IF(F1236&lt;&gt;"",FLOOR(SUM(S1236),0.01),"")),""),""),"")</f>
        <v/>
      </c>
      <c r="X1236" s="314" t="str" cm="1">
        <f t="array" aca="1" ref="X1236" ca="1">IFERROR(IF(AE1236&lt;&gt;"ja",_xlfn.IFNA(_xlfn.IFS(AND(P1236&lt;&gt;"",R1236&lt;&gt;"",RIGHT($N1236,6)="tarief",F1236="Vergoeding"),SUM(P1236)*FLOOR(SUM(R1236),0.0001),AND(P1236&lt;&gt;"",R1236&lt;&gt;"",RIGHT($N1236,6)="tarief"),P1236*FLOOR(R1236,0.01),T1236&gt;0,FLOOR(SUM(T1236),0.01)),""),""),"")</f>
        <v/>
      </c>
      <c r="Y1236" s="314" t="str">
        <f t="shared" ca="1" si="78"/>
        <v/>
      </c>
      <c r="Z1236" s="314" t="str" cm="1">
        <f t="array" aca="1" ref="Z1236" ca="1">IFERROR(_xlfn.IFS(OR(F1236="",LEFT(Methode_Keuze,4)="Geen",Methode_Keuze=""),"",AND(W1236&lt;&gt;"",F1236&lt;&gt;"Arbeidskosten"),W1236*VLOOKUP(F1236,Tb_ProjectKosten[],MATCH(Tb_ProjectKosten[[#Headers],[Forfait_Percentage]],Tb_ProjectKosten[#Headers],0),0),AND(F1236="Arbeidskosten",G1236&lt;&gt;""),IFERROR(W1236*VLOOKUP(G1236,Tb_KostenTypen[],3,0)*VLOOKUP(F1236,Tb_ProjectKosten[],MATCH(Tb_ProjectKosten[[#Headers],[Forfait_Percentage]],Tb_ProjectKosten[#Headers],0),0),""),W1236 &lt;=0,0),"")</f>
        <v/>
      </c>
      <c r="AA1236" s="314" t="str" cm="1">
        <f t="array" aca="1" ref="AA1236" ca="1">IFERROR(_xlfn.IFS(OR(F1236="",LEFT(Methode_Keuze,4)="Geen",Methode_Keuze=""),"",AND(X1236&lt;&gt;"",F1236&lt;&gt;"Arbeidskosten"),X1236*VLOOKUP(F1236,Tb_ProjectKosten[],MATCH(Tb_ProjectKosten[[#Headers],[Forfait_Percentage]],Tb_ProjectKosten[#Headers],0),0),AND(F1236="Arbeidskosten",G1236&lt;&gt;""),IFERROR(X1236*VLOOKUP(G1236,Tb_KostenTypen[],3,0)*VLOOKUP(F1236,Tb_ProjectKosten[],MATCH(Tb_ProjectKosten[[#Headers],[Forfait_Percentage]],Tb_ProjectKosten[#Headers],0),0),""),X1236 &lt;=0,0),"")</f>
        <v/>
      </c>
      <c r="AB1236" s="314" t="str">
        <f t="shared" ca="1" si="79"/>
        <v/>
      </c>
      <c r="AC1236" s="322"/>
      <c r="AD1236" s="315"/>
      <c r="AE1236" s="32" t="str" cm="1">
        <f t="array" ref="AE1236">IFERROR(IF(INDEX(SubsidieTabel!$AD$1:$AG$12,MATCH($F1236,SubsidieTabel!$AD$1:$AD$12,0),IFERROR(MATCH(Methode_Keuze,SubsidieTabel!$AD$1:$AG$1,0),2))&lt;&gt;1=TRUE,"ja",""),"")</f>
        <v/>
      </c>
    </row>
    <row r="1237" spans="1:31" x14ac:dyDescent="0.25">
      <c r="A1237" s="316"/>
      <c r="B1237" s="317" t="str">
        <f>IF(A1237&lt;&gt;"",_xlfn.MAXIFS($B$1:B1236,$A$1:A1236,A1237)+1,"")</f>
        <v/>
      </c>
      <c r="C1237" s="296"/>
      <c r="D1237" s="296"/>
      <c r="E1237" s="296"/>
      <c r="F1237" s="296"/>
      <c r="G1237" s="326"/>
      <c r="H1237" s="324"/>
      <c r="I1237" s="325"/>
      <c r="J1237" s="325"/>
      <c r="K1237" s="318"/>
      <c r="L1237" s="318"/>
      <c r="M1237" s="319" t="str">
        <f>IFERROR(VLOOKUP(H1237,Lijsten!$H$1:$I$100,2,0),"")</f>
        <v/>
      </c>
      <c r="N1237" s="319" t="str">
        <f ca="1">IFERROR(IF(VLOOKUP(F1237,Kostentypen!$A$3:$E$21,3,0)=0,"",IF(OR(F1237="Arbeidskosten",F1237="Vergoeding"),VLOOKUP(G1237,Tb_KostenTypen[],2,0),VLOOKUP(F1237,Kostentypen!$A$3:$E$20,3,0))),"")</f>
        <v/>
      </c>
      <c r="O1237" s="320" t="str" cm="1">
        <f t="array" ref="O1237">_xlfn.IFNA(IF(INDEX(Tb_KostenOptiesDB[],MATCH($F1237,Tb_KostenOptiesDB[KostenOptie],0),IFERROR(MATCH(Methode_Keuze,Tb_KostenOptiesDB[#Headers],0),2))=1,_xlfn.SWITCH($N1237,"Uurtarief",IF(OR(AND(RIGHT($F1237,3)="IKS",VLOOKUP($M1237,DB_Loonkosten,2,0)="Ja"),AND(RIGHT($F1237,3)&lt;&gt;"IKS",VLOOKUP($M1237,DB_Loonkosten,2,0)="Nee")),IFERROR(VLOOKUP($M1237,DB_Loonkosten,24,0),""),0),"Vast tarief",IF(LEFT(F1237,8)="Bijdrage",VLOOKUP($F1237,Tb_KostenTypen[],MATCH(Lijsten!$P$1,Tb_KostenTypen[#Headers],0),0),VLOOKUP($G1237,Lijsten!L:P,MATCH(Lijsten!$P$1,Kop_Tarief_Vast,0),0))),""),"")</f>
        <v/>
      </c>
      <c r="P1237" s="320" t="str" cm="1">
        <f t="array" ref="P1237">_xlfn.IFNA(IF(INDEX(Tb_KostenOptiesDB[],MATCH($F1237,Tb_KostenOptiesDB[KostenOptie],0),IFERROR(MATCH(Methode_Keuze,Tb_KostenOptiesDB[#Headers],0),2))=1,_xlfn.SWITCH($N1237,"Uurtarief",IF(OR(AND(RIGHT($F1237,3)="IKS",VLOOKUP($M1237,DB_Loonkosten,2,0)="Ja"),AND(RIGHT($F1237,3)&lt;&gt;"IKS",VLOOKUP($M1237,DB_Loonkosten,2,0)="Nee")),IFERROR(VLOOKUP($M1237,DB_Loonkosten,25,0),""),0),"Vast tarief",IF(LEFT(F1237,8)="Bijdrage",VLOOKUP($F1237,Tb_KostenTypen[],MATCH(Lijsten!$P$1,Tb_KostenTypen[#Headers],0),0),VLOOKUP($G1237,Lijsten!L:P,MATCH(Lijsten!$P$1,Kop_Tarief_Vast,0),0))),""),"")</f>
        <v/>
      </c>
      <c r="Q1237" s="359"/>
      <c r="R1237" s="359"/>
      <c r="S1237" s="321"/>
      <c r="T1237" s="321"/>
      <c r="U1237" s="373" t="str">
        <f t="shared" si="76"/>
        <v/>
      </c>
      <c r="V1237" s="314" t="str">
        <f t="shared" si="77"/>
        <v/>
      </c>
      <c r="W1237" s="314" t="str" cm="1">
        <f t="array" aca="1" ref="W1237" ca="1">IFERROR(IF(AE1237&lt;&gt;"ja",_xlfn.IFNA(_xlfn.IFS(AND(O1237&lt;&gt;"",F1237&lt;&gt;"",RIGHT($N1237,6)="tarief",F1237="Vergoeding"),SUM(O1237)*FLOOR(SUM(Q1237),0.0001),AND(O1237&lt;&gt;"",F1237&lt;&gt;"",RIGHT($N1237,6)="tarief"),SUM(O1237)*FLOOR(SUM(Q1237),0.01),S1237&gt;0,IF(F1237&lt;&gt;"",FLOOR(SUM(S1237),0.01),"")),""),""),"")</f>
        <v/>
      </c>
      <c r="X1237" s="314" t="str" cm="1">
        <f t="array" aca="1" ref="X1237" ca="1">IFERROR(IF(AE1237&lt;&gt;"ja",_xlfn.IFNA(_xlfn.IFS(AND(P1237&lt;&gt;"",R1237&lt;&gt;"",RIGHT($N1237,6)="tarief",F1237="Vergoeding"),SUM(P1237)*FLOOR(SUM(R1237),0.0001),AND(P1237&lt;&gt;"",R1237&lt;&gt;"",RIGHT($N1237,6)="tarief"),P1237*FLOOR(R1237,0.01),T1237&gt;0,FLOOR(SUM(T1237),0.01)),""),""),"")</f>
        <v/>
      </c>
      <c r="Y1237" s="314" t="str">
        <f t="shared" ca="1" si="78"/>
        <v/>
      </c>
      <c r="Z1237" s="314" t="str" cm="1">
        <f t="array" aca="1" ref="Z1237" ca="1">IFERROR(_xlfn.IFS(OR(F1237="",LEFT(Methode_Keuze,4)="Geen",Methode_Keuze=""),"",AND(W1237&lt;&gt;"",F1237&lt;&gt;"Arbeidskosten"),W1237*VLOOKUP(F1237,Tb_ProjectKosten[],MATCH(Tb_ProjectKosten[[#Headers],[Forfait_Percentage]],Tb_ProjectKosten[#Headers],0),0),AND(F1237="Arbeidskosten",G1237&lt;&gt;""),IFERROR(W1237*VLOOKUP(G1237,Tb_KostenTypen[],3,0)*VLOOKUP(F1237,Tb_ProjectKosten[],MATCH(Tb_ProjectKosten[[#Headers],[Forfait_Percentage]],Tb_ProjectKosten[#Headers],0),0),""),W1237 &lt;=0,0),"")</f>
        <v/>
      </c>
      <c r="AA1237" s="314" t="str" cm="1">
        <f t="array" aca="1" ref="AA1237" ca="1">IFERROR(_xlfn.IFS(OR(F1237="",LEFT(Methode_Keuze,4)="Geen",Methode_Keuze=""),"",AND(X1237&lt;&gt;"",F1237&lt;&gt;"Arbeidskosten"),X1237*VLOOKUP(F1237,Tb_ProjectKosten[],MATCH(Tb_ProjectKosten[[#Headers],[Forfait_Percentage]],Tb_ProjectKosten[#Headers],0),0),AND(F1237="Arbeidskosten",G1237&lt;&gt;""),IFERROR(X1237*VLOOKUP(G1237,Tb_KostenTypen[],3,0)*VLOOKUP(F1237,Tb_ProjectKosten[],MATCH(Tb_ProjectKosten[[#Headers],[Forfait_Percentage]],Tb_ProjectKosten[#Headers],0),0),""),X1237 &lt;=0,0),"")</f>
        <v/>
      </c>
      <c r="AB1237" s="314" t="str">
        <f t="shared" ca="1" si="79"/>
        <v/>
      </c>
      <c r="AC1237" s="322"/>
      <c r="AD1237" s="315"/>
      <c r="AE1237" s="32" t="str" cm="1">
        <f t="array" ref="AE1237">IFERROR(IF(INDEX(SubsidieTabel!$AD$1:$AG$12,MATCH($F1237,SubsidieTabel!$AD$1:$AD$12,0),IFERROR(MATCH(Methode_Keuze,SubsidieTabel!$AD$1:$AG$1,0),2))&lt;&gt;1=TRUE,"ja",""),"")</f>
        <v/>
      </c>
    </row>
    <row r="1238" spans="1:31" x14ac:dyDescent="0.25">
      <c r="A1238" s="316"/>
      <c r="B1238" s="317" t="str">
        <f>IF(A1238&lt;&gt;"",_xlfn.MAXIFS($B$1:B1237,$A$1:A1237,A1238)+1,"")</f>
        <v/>
      </c>
      <c r="C1238" s="296"/>
      <c r="D1238" s="296"/>
      <c r="E1238" s="296"/>
      <c r="F1238" s="296"/>
      <c r="G1238" s="326"/>
      <c r="H1238" s="324"/>
      <c r="I1238" s="325"/>
      <c r="J1238" s="325"/>
      <c r="K1238" s="318"/>
      <c r="L1238" s="318"/>
      <c r="M1238" s="319" t="str">
        <f>IFERROR(VLOOKUP(H1238,Lijsten!$H$1:$I$100,2,0),"")</f>
        <v/>
      </c>
      <c r="N1238" s="319" t="str">
        <f ca="1">IFERROR(IF(VLOOKUP(F1238,Kostentypen!$A$3:$E$21,3,0)=0,"",IF(OR(F1238="Arbeidskosten",F1238="Vergoeding"),VLOOKUP(G1238,Tb_KostenTypen[],2,0),VLOOKUP(F1238,Kostentypen!$A$3:$E$20,3,0))),"")</f>
        <v/>
      </c>
      <c r="O1238" s="320" t="str" cm="1">
        <f t="array" ref="O1238">_xlfn.IFNA(IF(INDEX(Tb_KostenOptiesDB[],MATCH($F1238,Tb_KostenOptiesDB[KostenOptie],0),IFERROR(MATCH(Methode_Keuze,Tb_KostenOptiesDB[#Headers],0),2))=1,_xlfn.SWITCH($N1238,"Uurtarief",IF(OR(AND(RIGHT($F1238,3)="IKS",VLOOKUP($M1238,DB_Loonkosten,2,0)="Ja"),AND(RIGHT($F1238,3)&lt;&gt;"IKS",VLOOKUP($M1238,DB_Loonkosten,2,0)="Nee")),IFERROR(VLOOKUP($M1238,DB_Loonkosten,24,0),""),0),"Vast tarief",IF(LEFT(F1238,8)="Bijdrage",VLOOKUP($F1238,Tb_KostenTypen[],MATCH(Lijsten!$P$1,Tb_KostenTypen[#Headers],0),0),VLOOKUP($G1238,Lijsten!L:P,MATCH(Lijsten!$P$1,Kop_Tarief_Vast,0),0))),""),"")</f>
        <v/>
      </c>
      <c r="P1238" s="320" t="str" cm="1">
        <f t="array" ref="P1238">_xlfn.IFNA(IF(INDEX(Tb_KostenOptiesDB[],MATCH($F1238,Tb_KostenOptiesDB[KostenOptie],0),IFERROR(MATCH(Methode_Keuze,Tb_KostenOptiesDB[#Headers],0),2))=1,_xlfn.SWITCH($N1238,"Uurtarief",IF(OR(AND(RIGHT($F1238,3)="IKS",VLOOKUP($M1238,DB_Loonkosten,2,0)="Ja"),AND(RIGHT($F1238,3)&lt;&gt;"IKS",VLOOKUP($M1238,DB_Loonkosten,2,0)="Nee")),IFERROR(VLOOKUP($M1238,DB_Loonkosten,25,0),""),0),"Vast tarief",IF(LEFT(F1238,8)="Bijdrage",VLOOKUP($F1238,Tb_KostenTypen[],MATCH(Lijsten!$P$1,Tb_KostenTypen[#Headers],0),0),VLOOKUP($G1238,Lijsten!L:P,MATCH(Lijsten!$P$1,Kop_Tarief_Vast,0),0))),""),"")</f>
        <v/>
      </c>
      <c r="Q1238" s="359"/>
      <c r="R1238" s="359"/>
      <c r="S1238" s="321"/>
      <c r="T1238" s="321"/>
      <c r="U1238" s="373" t="str">
        <f t="shared" si="76"/>
        <v/>
      </c>
      <c r="V1238" s="314" t="str">
        <f t="shared" si="77"/>
        <v/>
      </c>
      <c r="W1238" s="314" t="str" cm="1">
        <f t="array" aca="1" ref="W1238" ca="1">IFERROR(IF(AE1238&lt;&gt;"ja",_xlfn.IFNA(_xlfn.IFS(AND(O1238&lt;&gt;"",F1238&lt;&gt;"",RIGHT($N1238,6)="tarief",F1238="Vergoeding"),SUM(O1238)*FLOOR(SUM(Q1238),0.0001),AND(O1238&lt;&gt;"",F1238&lt;&gt;"",RIGHT($N1238,6)="tarief"),SUM(O1238)*FLOOR(SUM(Q1238),0.01),S1238&gt;0,IF(F1238&lt;&gt;"",FLOOR(SUM(S1238),0.01),"")),""),""),"")</f>
        <v/>
      </c>
      <c r="X1238" s="314" t="str" cm="1">
        <f t="array" aca="1" ref="X1238" ca="1">IFERROR(IF(AE1238&lt;&gt;"ja",_xlfn.IFNA(_xlfn.IFS(AND(P1238&lt;&gt;"",R1238&lt;&gt;"",RIGHT($N1238,6)="tarief",F1238="Vergoeding"),SUM(P1238)*FLOOR(SUM(R1238),0.0001),AND(P1238&lt;&gt;"",R1238&lt;&gt;"",RIGHT($N1238,6)="tarief"),P1238*FLOOR(R1238,0.01),T1238&gt;0,FLOOR(SUM(T1238),0.01)),""),""),"")</f>
        <v/>
      </c>
      <c r="Y1238" s="314" t="str">
        <f t="shared" ca="1" si="78"/>
        <v/>
      </c>
      <c r="Z1238" s="314" t="str" cm="1">
        <f t="array" aca="1" ref="Z1238" ca="1">IFERROR(_xlfn.IFS(OR(F1238="",LEFT(Methode_Keuze,4)="Geen",Methode_Keuze=""),"",AND(W1238&lt;&gt;"",F1238&lt;&gt;"Arbeidskosten"),W1238*VLOOKUP(F1238,Tb_ProjectKosten[],MATCH(Tb_ProjectKosten[[#Headers],[Forfait_Percentage]],Tb_ProjectKosten[#Headers],0),0),AND(F1238="Arbeidskosten",G1238&lt;&gt;""),IFERROR(W1238*VLOOKUP(G1238,Tb_KostenTypen[],3,0)*VLOOKUP(F1238,Tb_ProjectKosten[],MATCH(Tb_ProjectKosten[[#Headers],[Forfait_Percentage]],Tb_ProjectKosten[#Headers],0),0),""),W1238 &lt;=0,0),"")</f>
        <v/>
      </c>
      <c r="AA1238" s="314" t="str" cm="1">
        <f t="array" aca="1" ref="AA1238" ca="1">IFERROR(_xlfn.IFS(OR(F1238="",LEFT(Methode_Keuze,4)="Geen",Methode_Keuze=""),"",AND(X1238&lt;&gt;"",F1238&lt;&gt;"Arbeidskosten"),X1238*VLOOKUP(F1238,Tb_ProjectKosten[],MATCH(Tb_ProjectKosten[[#Headers],[Forfait_Percentage]],Tb_ProjectKosten[#Headers],0),0),AND(F1238="Arbeidskosten",G1238&lt;&gt;""),IFERROR(X1238*VLOOKUP(G1238,Tb_KostenTypen[],3,0)*VLOOKUP(F1238,Tb_ProjectKosten[],MATCH(Tb_ProjectKosten[[#Headers],[Forfait_Percentage]],Tb_ProjectKosten[#Headers],0),0),""),X1238 &lt;=0,0),"")</f>
        <v/>
      </c>
      <c r="AB1238" s="314" t="str">
        <f t="shared" ca="1" si="79"/>
        <v/>
      </c>
      <c r="AC1238" s="322"/>
      <c r="AD1238" s="315"/>
      <c r="AE1238" s="32" t="str" cm="1">
        <f t="array" ref="AE1238">IFERROR(IF(INDEX(SubsidieTabel!$AD$1:$AG$12,MATCH($F1238,SubsidieTabel!$AD$1:$AD$12,0),IFERROR(MATCH(Methode_Keuze,SubsidieTabel!$AD$1:$AG$1,0),2))&lt;&gt;1=TRUE,"ja",""),"")</f>
        <v/>
      </c>
    </row>
    <row r="1239" spans="1:31" x14ac:dyDescent="0.25">
      <c r="A1239" s="316"/>
      <c r="B1239" s="317" t="str">
        <f>IF(A1239&lt;&gt;"",_xlfn.MAXIFS($B$1:B1238,$A$1:A1238,A1239)+1,"")</f>
        <v/>
      </c>
      <c r="C1239" s="296"/>
      <c r="D1239" s="296"/>
      <c r="E1239" s="296"/>
      <c r="F1239" s="296"/>
      <c r="G1239" s="326"/>
      <c r="H1239" s="324"/>
      <c r="I1239" s="325"/>
      <c r="J1239" s="325"/>
      <c r="K1239" s="318"/>
      <c r="L1239" s="318"/>
      <c r="M1239" s="319" t="str">
        <f>IFERROR(VLOOKUP(H1239,Lijsten!$H$1:$I$100,2,0),"")</f>
        <v/>
      </c>
      <c r="N1239" s="319" t="str">
        <f ca="1">IFERROR(IF(VLOOKUP(F1239,Kostentypen!$A$3:$E$21,3,0)=0,"",IF(OR(F1239="Arbeidskosten",F1239="Vergoeding"),VLOOKUP(G1239,Tb_KostenTypen[],2,0),VLOOKUP(F1239,Kostentypen!$A$3:$E$20,3,0))),"")</f>
        <v/>
      </c>
      <c r="O1239" s="320" t="str" cm="1">
        <f t="array" ref="O1239">_xlfn.IFNA(IF(INDEX(Tb_KostenOptiesDB[],MATCH($F1239,Tb_KostenOptiesDB[KostenOptie],0),IFERROR(MATCH(Methode_Keuze,Tb_KostenOptiesDB[#Headers],0),2))=1,_xlfn.SWITCH($N1239,"Uurtarief",IF(OR(AND(RIGHT($F1239,3)="IKS",VLOOKUP($M1239,DB_Loonkosten,2,0)="Ja"),AND(RIGHT($F1239,3)&lt;&gt;"IKS",VLOOKUP($M1239,DB_Loonkosten,2,0)="Nee")),IFERROR(VLOOKUP($M1239,DB_Loonkosten,24,0),""),0),"Vast tarief",IF(LEFT(F1239,8)="Bijdrage",VLOOKUP($F1239,Tb_KostenTypen[],MATCH(Lijsten!$P$1,Tb_KostenTypen[#Headers],0),0),VLOOKUP($G1239,Lijsten!L:P,MATCH(Lijsten!$P$1,Kop_Tarief_Vast,0),0))),""),"")</f>
        <v/>
      </c>
      <c r="P1239" s="320" t="str" cm="1">
        <f t="array" ref="P1239">_xlfn.IFNA(IF(INDEX(Tb_KostenOptiesDB[],MATCH($F1239,Tb_KostenOptiesDB[KostenOptie],0),IFERROR(MATCH(Methode_Keuze,Tb_KostenOptiesDB[#Headers],0),2))=1,_xlfn.SWITCH($N1239,"Uurtarief",IF(OR(AND(RIGHT($F1239,3)="IKS",VLOOKUP($M1239,DB_Loonkosten,2,0)="Ja"),AND(RIGHT($F1239,3)&lt;&gt;"IKS",VLOOKUP($M1239,DB_Loonkosten,2,0)="Nee")),IFERROR(VLOOKUP($M1239,DB_Loonkosten,25,0),""),0),"Vast tarief",IF(LEFT(F1239,8)="Bijdrage",VLOOKUP($F1239,Tb_KostenTypen[],MATCH(Lijsten!$P$1,Tb_KostenTypen[#Headers],0),0),VLOOKUP($G1239,Lijsten!L:P,MATCH(Lijsten!$P$1,Kop_Tarief_Vast,0),0))),""),"")</f>
        <v/>
      </c>
      <c r="Q1239" s="359"/>
      <c r="R1239" s="359"/>
      <c r="S1239" s="321"/>
      <c r="T1239" s="321"/>
      <c r="U1239" s="373" t="str">
        <f t="shared" si="76"/>
        <v/>
      </c>
      <c r="V1239" s="314" t="str">
        <f t="shared" si="77"/>
        <v/>
      </c>
      <c r="W1239" s="314" t="str" cm="1">
        <f t="array" aca="1" ref="W1239" ca="1">IFERROR(IF(AE1239&lt;&gt;"ja",_xlfn.IFNA(_xlfn.IFS(AND(O1239&lt;&gt;"",F1239&lt;&gt;"",RIGHT($N1239,6)="tarief",F1239="Vergoeding"),SUM(O1239)*FLOOR(SUM(Q1239),0.0001),AND(O1239&lt;&gt;"",F1239&lt;&gt;"",RIGHT($N1239,6)="tarief"),SUM(O1239)*FLOOR(SUM(Q1239),0.01),S1239&gt;0,IF(F1239&lt;&gt;"",FLOOR(SUM(S1239),0.01),"")),""),""),"")</f>
        <v/>
      </c>
      <c r="X1239" s="314" t="str" cm="1">
        <f t="array" aca="1" ref="X1239" ca="1">IFERROR(IF(AE1239&lt;&gt;"ja",_xlfn.IFNA(_xlfn.IFS(AND(P1239&lt;&gt;"",R1239&lt;&gt;"",RIGHT($N1239,6)="tarief",F1239="Vergoeding"),SUM(P1239)*FLOOR(SUM(R1239),0.0001),AND(P1239&lt;&gt;"",R1239&lt;&gt;"",RIGHT($N1239,6)="tarief"),P1239*FLOOR(R1239,0.01),T1239&gt;0,FLOOR(SUM(T1239),0.01)),""),""),"")</f>
        <v/>
      </c>
      <c r="Y1239" s="314" t="str">
        <f t="shared" ca="1" si="78"/>
        <v/>
      </c>
      <c r="Z1239" s="314" t="str" cm="1">
        <f t="array" aca="1" ref="Z1239" ca="1">IFERROR(_xlfn.IFS(OR(F1239="",LEFT(Methode_Keuze,4)="Geen",Methode_Keuze=""),"",AND(W1239&lt;&gt;"",F1239&lt;&gt;"Arbeidskosten"),W1239*VLOOKUP(F1239,Tb_ProjectKosten[],MATCH(Tb_ProjectKosten[[#Headers],[Forfait_Percentage]],Tb_ProjectKosten[#Headers],0),0),AND(F1239="Arbeidskosten",G1239&lt;&gt;""),IFERROR(W1239*VLOOKUP(G1239,Tb_KostenTypen[],3,0)*VLOOKUP(F1239,Tb_ProjectKosten[],MATCH(Tb_ProjectKosten[[#Headers],[Forfait_Percentage]],Tb_ProjectKosten[#Headers],0),0),""),W1239 &lt;=0,0),"")</f>
        <v/>
      </c>
      <c r="AA1239" s="314" t="str" cm="1">
        <f t="array" aca="1" ref="AA1239" ca="1">IFERROR(_xlfn.IFS(OR(F1239="",LEFT(Methode_Keuze,4)="Geen",Methode_Keuze=""),"",AND(X1239&lt;&gt;"",F1239&lt;&gt;"Arbeidskosten"),X1239*VLOOKUP(F1239,Tb_ProjectKosten[],MATCH(Tb_ProjectKosten[[#Headers],[Forfait_Percentage]],Tb_ProjectKosten[#Headers],0),0),AND(F1239="Arbeidskosten",G1239&lt;&gt;""),IFERROR(X1239*VLOOKUP(G1239,Tb_KostenTypen[],3,0)*VLOOKUP(F1239,Tb_ProjectKosten[],MATCH(Tb_ProjectKosten[[#Headers],[Forfait_Percentage]],Tb_ProjectKosten[#Headers],0),0),""),X1239 &lt;=0,0),"")</f>
        <v/>
      </c>
      <c r="AB1239" s="314" t="str">
        <f t="shared" ca="1" si="79"/>
        <v/>
      </c>
      <c r="AC1239" s="322"/>
      <c r="AD1239" s="315"/>
      <c r="AE1239" s="32" t="str" cm="1">
        <f t="array" ref="AE1239">IFERROR(IF(INDEX(SubsidieTabel!$AD$1:$AG$12,MATCH($F1239,SubsidieTabel!$AD$1:$AD$12,0),IFERROR(MATCH(Methode_Keuze,SubsidieTabel!$AD$1:$AG$1,0),2))&lt;&gt;1=TRUE,"ja",""),"")</f>
        <v/>
      </c>
    </row>
    <row r="1240" spans="1:31" x14ac:dyDescent="0.25">
      <c r="A1240" s="316"/>
      <c r="B1240" s="317" t="str">
        <f>IF(A1240&lt;&gt;"",_xlfn.MAXIFS($B$1:B1239,$A$1:A1239,A1240)+1,"")</f>
        <v/>
      </c>
      <c r="C1240" s="296"/>
      <c r="D1240" s="296"/>
      <c r="E1240" s="296"/>
      <c r="F1240" s="296"/>
      <c r="G1240" s="326"/>
      <c r="H1240" s="324"/>
      <c r="I1240" s="325"/>
      <c r="J1240" s="325"/>
      <c r="K1240" s="318"/>
      <c r="L1240" s="318"/>
      <c r="M1240" s="319" t="str">
        <f>IFERROR(VLOOKUP(H1240,Lijsten!$H$1:$I$100,2,0),"")</f>
        <v/>
      </c>
      <c r="N1240" s="319" t="str">
        <f ca="1">IFERROR(IF(VLOOKUP(F1240,Kostentypen!$A$3:$E$21,3,0)=0,"",IF(OR(F1240="Arbeidskosten",F1240="Vergoeding"),VLOOKUP(G1240,Tb_KostenTypen[],2,0),VLOOKUP(F1240,Kostentypen!$A$3:$E$20,3,0))),"")</f>
        <v/>
      </c>
      <c r="O1240" s="320" t="str" cm="1">
        <f t="array" ref="O1240">_xlfn.IFNA(IF(INDEX(Tb_KostenOptiesDB[],MATCH($F1240,Tb_KostenOptiesDB[KostenOptie],0),IFERROR(MATCH(Methode_Keuze,Tb_KostenOptiesDB[#Headers],0),2))=1,_xlfn.SWITCH($N1240,"Uurtarief",IF(OR(AND(RIGHT($F1240,3)="IKS",VLOOKUP($M1240,DB_Loonkosten,2,0)="Ja"),AND(RIGHT($F1240,3)&lt;&gt;"IKS",VLOOKUP($M1240,DB_Loonkosten,2,0)="Nee")),IFERROR(VLOOKUP($M1240,DB_Loonkosten,24,0),""),0),"Vast tarief",IF(LEFT(F1240,8)="Bijdrage",VLOOKUP($F1240,Tb_KostenTypen[],MATCH(Lijsten!$P$1,Tb_KostenTypen[#Headers],0),0),VLOOKUP($G1240,Lijsten!L:P,MATCH(Lijsten!$P$1,Kop_Tarief_Vast,0),0))),""),"")</f>
        <v/>
      </c>
      <c r="P1240" s="320" t="str" cm="1">
        <f t="array" ref="P1240">_xlfn.IFNA(IF(INDEX(Tb_KostenOptiesDB[],MATCH($F1240,Tb_KostenOptiesDB[KostenOptie],0),IFERROR(MATCH(Methode_Keuze,Tb_KostenOptiesDB[#Headers],0),2))=1,_xlfn.SWITCH($N1240,"Uurtarief",IF(OR(AND(RIGHT($F1240,3)="IKS",VLOOKUP($M1240,DB_Loonkosten,2,0)="Ja"),AND(RIGHT($F1240,3)&lt;&gt;"IKS",VLOOKUP($M1240,DB_Loonkosten,2,0)="Nee")),IFERROR(VLOOKUP($M1240,DB_Loonkosten,25,0),""),0),"Vast tarief",IF(LEFT(F1240,8)="Bijdrage",VLOOKUP($F1240,Tb_KostenTypen[],MATCH(Lijsten!$P$1,Tb_KostenTypen[#Headers],0),0),VLOOKUP($G1240,Lijsten!L:P,MATCH(Lijsten!$P$1,Kop_Tarief_Vast,0),0))),""),"")</f>
        <v/>
      </c>
      <c r="Q1240" s="359"/>
      <c r="R1240" s="359"/>
      <c r="S1240" s="321"/>
      <c r="T1240" s="321"/>
      <c r="U1240" s="373" t="str">
        <f t="shared" si="76"/>
        <v/>
      </c>
      <c r="V1240" s="314" t="str">
        <f t="shared" si="77"/>
        <v/>
      </c>
      <c r="W1240" s="314" t="str" cm="1">
        <f t="array" aca="1" ref="W1240" ca="1">IFERROR(IF(AE1240&lt;&gt;"ja",_xlfn.IFNA(_xlfn.IFS(AND(O1240&lt;&gt;"",F1240&lt;&gt;"",RIGHT($N1240,6)="tarief",F1240="Vergoeding"),SUM(O1240)*FLOOR(SUM(Q1240),0.0001),AND(O1240&lt;&gt;"",F1240&lt;&gt;"",RIGHT($N1240,6)="tarief"),SUM(O1240)*FLOOR(SUM(Q1240),0.01),S1240&gt;0,IF(F1240&lt;&gt;"",FLOOR(SUM(S1240),0.01),"")),""),""),"")</f>
        <v/>
      </c>
      <c r="X1240" s="314" t="str" cm="1">
        <f t="array" aca="1" ref="X1240" ca="1">IFERROR(IF(AE1240&lt;&gt;"ja",_xlfn.IFNA(_xlfn.IFS(AND(P1240&lt;&gt;"",R1240&lt;&gt;"",RIGHT($N1240,6)="tarief",F1240="Vergoeding"),SUM(P1240)*FLOOR(SUM(R1240),0.0001),AND(P1240&lt;&gt;"",R1240&lt;&gt;"",RIGHT($N1240,6)="tarief"),P1240*FLOOR(R1240,0.01),T1240&gt;0,FLOOR(SUM(T1240),0.01)),""),""),"")</f>
        <v/>
      </c>
      <c r="Y1240" s="314" t="str">
        <f t="shared" ca="1" si="78"/>
        <v/>
      </c>
      <c r="Z1240" s="314" t="str" cm="1">
        <f t="array" aca="1" ref="Z1240" ca="1">IFERROR(_xlfn.IFS(OR(F1240="",LEFT(Methode_Keuze,4)="Geen",Methode_Keuze=""),"",AND(W1240&lt;&gt;"",F1240&lt;&gt;"Arbeidskosten"),W1240*VLOOKUP(F1240,Tb_ProjectKosten[],MATCH(Tb_ProjectKosten[[#Headers],[Forfait_Percentage]],Tb_ProjectKosten[#Headers],0),0),AND(F1240="Arbeidskosten",G1240&lt;&gt;""),IFERROR(W1240*VLOOKUP(G1240,Tb_KostenTypen[],3,0)*VLOOKUP(F1240,Tb_ProjectKosten[],MATCH(Tb_ProjectKosten[[#Headers],[Forfait_Percentage]],Tb_ProjectKosten[#Headers],0),0),""),W1240 &lt;=0,0),"")</f>
        <v/>
      </c>
      <c r="AA1240" s="314" t="str" cm="1">
        <f t="array" aca="1" ref="AA1240" ca="1">IFERROR(_xlfn.IFS(OR(F1240="",LEFT(Methode_Keuze,4)="Geen",Methode_Keuze=""),"",AND(X1240&lt;&gt;"",F1240&lt;&gt;"Arbeidskosten"),X1240*VLOOKUP(F1240,Tb_ProjectKosten[],MATCH(Tb_ProjectKosten[[#Headers],[Forfait_Percentage]],Tb_ProjectKosten[#Headers],0),0),AND(F1240="Arbeidskosten",G1240&lt;&gt;""),IFERROR(X1240*VLOOKUP(G1240,Tb_KostenTypen[],3,0)*VLOOKUP(F1240,Tb_ProjectKosten[],MATCH(Tb_ProjectKosten[[#Headers],[Forfait_Percentage]],Tb_ProjectKosten[#Headers],0),0),""),X1240 &lt;=0,0),"")</f>
        <v/>
      </c>
      <c r="AB1240" s="314" t="str">
        <f t="shared" ca="1" si="79"/>
        <v/>
      </c>
      <c r="AC1240" s="322"/>
      <c r="AD1240" s="315"/>
      <c r="AE1240" s="32" t="str" cm="1">
        <f t="array" ref="AE1240">IFERROR(IF(INDEX(SubsidieTabel!$AD$1:$AG$12,MATCH($F1240,SubsidieTabel!$AD$1:$AD$12,0),IFERROR(MATCH(Methode_Keuze,SubsidieTabel!$AD$1:$AG$1,0),2))&lt;&gt;1=TRUE,"ja",""),"")</f>
        <v/>
      </c>
    </row>
    <row r="1241" spans="1:31" x14ac:dyDescent="0.25">
      <c r="A1241" s="316"/>
      <c r="B1241" s="317" t="str">
        <f>IF(A1241&lt;&gt;"",_xlfn.MAXIFS($B$1:B1240,$A$1:A1240,A1241)+1,"")</f>
        <v/>
      </c>
      <c r="C1241" s="296"/>
      <c r="D1241" s="296"/>
      <c r="E1241" s="296"/>
      <c r="F1241" s="296"/>
      <c r="G1241" s="326"/>
      <c r="H1241" s="324"/>
      <c r="I1241" s="325"/>
      <c r="J1241" s="325"/>
      <c r="K1241" s="318"/>
      <c r="L1241" s="318"/>
      <c r="M1241" s="319" t="str">
        <f>IFERROR(VLOOKUP(H1241,Lijsten!$H$1:$I$100,2,0),"")</f>
        <v/>
      </c>
      <c r="N1241" s="319" t="str">
        <f ca="1">IFERROR(IF(VLOOKUP(F1241,Kostentypen!$A$3:$E$21,3,0)=0,"",IF(OR(F1241="Arbeidskosten",F1241="Vergoeding"),VLOOKUP(G1241,Tb_KostenTypen[],2,0),VLOOKUP(F1241,Kostentypen!$A$3:$E$20,3,0))),"")</f>
        <v/>
      </c>
      <c r="O1241" s="320" t="str" cm="1">
        <f t="array" ref="O1241">_xlfn.IFNA(IF(INDEX(Tb_KostenOptiesDB[],MATCH($F1241,Tb_KostenOptiesDB[KostenOptie],0),IFERROR(MATCH(Methode_Keuze,Tb_KostenOptiesDB[#Headers],0),2))=1,_xlfn.SWITCH($N1241,"Uurtarief",IF(OR(AND(RIGHT($F1241,3)="IKS",VLOOKUP($M1241,DB_Loonkosten,2,0)="Ja"),AND(RIGHT($F1241,3)&lt;&gt;"IKS",VLOOKUP($M1241,DB_Loonkosten,2,0)="Nee")),IFERROR(VLOOKUP($M1241,DB_Loonkosten,24,0),""),0),"Vast tarief",IF(LEFT(F1241,8)="Bijdrage",VLOOKUP($F1241,Tb_KostenTypen[],MATCH(Lijsten!$P$1,Tb_KostenTypen[#Headers],0),0),VLOOKUP($G1241,Lijsten!L:P,MATCH(Lijsten!$P$1,Kop_Tarief_Vast,0),0))),""),"")</f>
        <v/>
      </c>
      <c r="P1241" s="320" t="str" cm="1">
        <f t="array" ref="P1241">_xlfn.IFNA(IF(INDEX(Tb_KostenOptiesDB[],MATCH($F1241,Tb_KostenOptiesDB[KostenOptie],0),IFERROR(MATCH(Methode_Keuze,Tb_KostenOptiesDB[#Headers],0),2))=1,_xlfn.SWITCH($N1241,"Uurtarief",IF(OR(AND(RIGHT($F1241,3)="IKS",VLOOKUP($M1241,DB_Loonkosten,2,0)="Ja"),AND(RIGHT($F1241,3)&lt;&gt;"IKS",VLOOKUP($M1241,DB_Loonkosten,2,0)="Nee")),IFERROR(VLOOKUP($M1241,DB_Loonkosten,25,0),""),0),"Vast tarief",IF(LEFT(F1241,8)="Bijdrage",VLOOKUP($F1241,Tb_KostenTypen[],MATCH(Lijsten!$P$1,Tb_KostenTypen[#Headers],0),0),VLOOKUP($G1241,Lijsten!L:P,MATCH(Lijsten!$P$1,Kop_Tarief_Vast,0),0))),""),"")</f>
        <v/>
      </c>
      <c r="Q1241" s="359"/>
      <c r="R1241" s="359"/>
      <c r="S1241" s="321"/>
      <c r="T1241" s="321"/>
      <c r="U1241" s="373" t="str">
        <f t="shared" si="76"/>
        <v/>
      </c>
      <c r="V1241" s="314" t="str">
        <f t="shared" si="77"/>
        <v/>
      </c>
      <c r="W1241" s="314" t="str" cm="1">
        <f t="array" aca="1" ref="W1241" ca="1">IFERROR(IF(AE1241&lt;&gt;"ja",_xlfn.IFNA(_xlfn.IFS(AND(O1241&lt;&gt;"",F1241&lt;&gt;"",RIGHT($N1241,6)="tarief",F1241="Vergoeding"),SUM(O1241)*FLOOR(SUM(Q1241),0.0001),AND(O1241&lt;&gt;"",F1241&lt;&gt;"",RIGHT($N1241,6)="tarief"),SUM(O1241)*FLOOR(SUM(Q1241),0.01),S1241&gt;0,IF(F1241&lt;&gt;"",FLOOR(SUM(S1241),0.01),"")),""),""),"")</f>
        <v/>
      </c>
      <c r="X1241" s="314" t="str" cm="1">
        <f t="array" aca="1" ref="X1241" ca="1">IFERROR(IF(AE1241&lt;&gt;"ja",_xlfn.IFNA(_xlfn.IFS(AND(P1241&lt;&gt;"",R1241&lt;&gt;"",RIGHT($N1241,6)="tarief",F1241="Vergoeding"),SUM(P1241)*FLOOR(SUM(R1241),0.0001),AND(P1241&lt;&gt;"",R1241&lt;&gt;"",RIGHT($N1241,6)="tarief"),P1241*FLOOR(R1241,0.01),T1241&gt;0,FLOOR(SUM(T1241),0.01)),""),""),"")</f>
        <v/>
      </c>
      <c r="Y1241" s="314" t="str">
        <f t="shared" ca="1" si="78"/>
        <v/>
      </c>
      <c r="Z1241" s="314" t="str" cm="1">
        <f t="array" aca="1" ref="Z1241" ca="1">IFERROR(_xlfn.IFS(OR(F1241="",LEFT(Methode_Keuze,4)="Geen",Methode_Keuze=""),"",AND(W1241&lt;&gt;"",F1241&lt;&gt;"Arbeidskosten"),W1241*VLOOKUP(F1241,Tb_ProjectKosten[],MATCH(Tb_ProjectKosten[[#Headers],[Forfait_Percentage]],Tb_ProjectKosten[#Headers],0),0),AND(F1241="Arbeidskosten",G1241&lt;&gt;""),IFERROR(W1241*VLOOKUP(G1241,Tb_KostenTypen[],3,0)*VLOOKUP(F1241,Tb_ProjectKosten[],MATCH(Tb_ProjectKosten[[#Headers],[Forfait_Percentage]],Tb_ProjectKosten[#Headers],0),0),""),W1241 &lt;=0,0),"")</f>
        <v/>
      </c>
      <c r="AA1241" s="314" t="str" cm="1">
        <f t="array" aca="1" ref="AA1241" ca="1">IFERROR(_xlfn.IFS(OR(F1241="",LEFT(Methode_Keuze,4)="Geen",Methode_Keuze=""),"",AND(X1241&lt;&gt;"",F1241&lt;&gt;"Arbeidskosten"),X1241*VLOOKUP(F1241,Tb_ProjectKosten[],MATCH(Tb_ProjectKosten[[#Headers],[Forfait_Percentage]],Tb_ProjectKosten[#Headers],0),0),AND(F1241="Arbeidskosten",G1241&lt;&gt;""),IFERROR(X1241*VLOOKUP(G1241,Tb_KostenTypen[],3,0)*VLOOKUP(F1241,Tb_ProjectKosten[],MATCH(Tb_ProjectKosten[[#Headers],[Forfait_Percentage]],Tb_ProjectKosten[#Headers],0),0),""),X1241 &lt;=0,0),"")</f>
        <v/>
      </c>
      <c r="AB1241" s="314" t="str">
        <f t="shared" ca="1" si="79"/>
        <v/>
      </c>
      <c r="AC1241" s="322"/>
      <c r="AD1241" s="315"/>
      <c r="AE1241" s="32" t="str" cm="1">
        <f t="array" ref="AE1241">IFERROR(IF(INDEX(SubsidieTabel!$AD$1:$AG$12,MATCH($F1241,SubsidieTabel!$AD$1:$AD$12,0),IFERROR(MATCH(Methode_Keuze,SubsidieTabel!$AD$1:$AG$1,0),2))&lt;&gt;1=TRUE,"ja",""),"")</f>
        <v/>
      </c>
    </row>
    <row r="1242" spans="1:31" x14ac:dyDescent="0.25">
      <c r="A1242" s="316"/>
      <c r="B1242" s="317" t="str">
        <f>IF(A1242&lt;&gt;"",_xlfn.MAXIFS($B$1:B1241,$A$1:A1241,A1242)+1,"")</f>
        <v/>
      </c>
      <c r="C1242" s="296"/>
      <c r="D1242" s="296"/>
      <c r="E1242" s="296"/>
      <c r="F1242" s="296"/>
      <c r="G1242" s="326"/>
      <c r="H1242" s="324"/>
      <c r="I1242" s="325"/>
      <c r="J1242" s="325"/>
      <c r="K1242" s="318"/>
      <c r="L1242" s="318"/>
      <c r="M1242" s="319" t="str">
        <f>IFERROR(VLOOKUP(H1242,Lijsten!$H$1:$I$100,2,0),"")</f>
        <v/>
      </c>
      <c r="N1242" s="319" t="str">
        <f ca="1">IFERROR(IF(VLOOKUP(F1242,Kostentypen!$A$3:$E$21,3,0)=0,"",IF(OR(F1242="Arbeidskosten",F1242="Vergoeding"),VLOOKUP(G1242,Tb_KostenTypen[],2,0),VLOOKUP(F1242,Kostentypen!$A$3:$E$20,3,0))),"")</f>
        <v/>
      </c>
      <c r="O1242" s="320" t="str" cm="1">
        <f t="array" ref="O1242">_xlfn.IFNA(IF(INDEX(Tb_KostenOptiesDB[],MATCH($F1242,Tb_KostenOptiesDB[KostenOptie],0),IFERROR(MATCH(Methode_Keuze,Tb_KostenOptiesDB[#Headers],0),2))=1,_xlfn.SWITCH($N1242,"Uurtarief",IF(OR(AND(RIGHT($F1242,3)="IKS",VLOOKUP($M1242,DB_Loonkosten,2,0)="Ja"),AND(RIGHT($F1242,3)&lt;&gt;"IKS",VLOOKUP($M1242,DB_Loonkosten,2,0)="Nee")),IFERROR(VLOOKUP($M1242,DB_Loonkosten,24,0),""),0),"Vast tarief",IF(LEFT(F1242,8)="Bijdrage",VLOOKUP($F1242,Tb_KostenTypen[],MATCH(Lijsten!$P$1,Tb_KostenTypen[#Headers],0),0),VLOOKUP($G1242,Lijsten!L:P,MATCH(Lijsten!$P$1,Kop_Tarief_Vast,0),0))),""),"")</f>
        <v/>
      </c>
      <c r="P1242" s="320" t="str" cm="1">
        <f t="array" ref="P1242">_xlfn.IFNA(IF(INDEX(Tb_KostenOptiesDB[],MATCH($F1242,Tb_KostenOptiesDB[KostenOptie],0),IFERROR(MATCH(Methode_Keuze,Tb_KostenOptiesDB[#Headers],0),2))=1,_xlfn.SWITCH($N1242,"Uurtarief",IF(OR(AND(RIGHT($F1242,3)="IKS",VLOOKUP($M1242,DB_Loonkosten,2,0)="Ja"),AND(RIGHT($F1242,3)&lt;&gt;"IKS",VLOOKUP($M1242,DB_Loonkosten,2,0)="Nee")),IFERROR(VLOOKUP($M1242,DB_Loonkosten,25,0),""),0),"Vast tarief",IF(LEFT(F1242,8)="Bijdrage",VLOOKUP($F1242,Tb_KostenTypen[],MATCH(Lijsten!$P$1,Tb_KostenTypen[#Headers],0),0),VLOOKUP($G1242,Lijsten!L:P,MATCH(Lijsten!$P$1,Kop_Tarief_Vast,0),0))),""),"")</f>
        <v/>
      </c>
      <c r="Q1242" s="359"/>
      <c r="R1242" s="359"/>
      <c r="S1242" s="321"/>
      <c r="T1242" s="321"/>
      <c r="U1242" s="373" t="str">
        <f t="shared" si="76"/>
        <v/>
      </c>
      <c r="V1242" s="314" t="str">
        <f t="shared" si="77"/>
        <v/>
      </c>
      <c r="W1242" s="314" t="str" cm="1">
        <f t="array" aca="1" ref="W1242" ca="1">IFERROR(IF(AE1242&lt;&gt;"ja",_xlfn.IFNA(_xlfn.IFS(AND(O1242&lt;&gt;"",F1242&lt;&gt;"",RIGHT($N1242,6)="tarief",F1242="Vergoeding"),SUM(O1242)*FLOOR(SUM(Q1242),0.0001),AND(O1242&lt;&gt;"",F1242&lt;&gt;"",RIGHT($N1242,6)="tarief"),SUM(O1242)*FLOOR(SUM(Q1242),0.01),S1242&gt;0,IF(F1242&lt;&gt;"",FLOOR(SUM(S1242),0.01),"")),""),""),"")</f>
        <v/>
      </c>
      <c r="X1242" s="314" t="str" cm="1">
        <f t="array" aca="1" ref="X1242" ca="1">IFERROR(IF(AE1242&lt;&gt;"ja",_xlfn.IFNA(_xlfn.IFS(AND(P1242&lt;&gt;"",R1242&lt;&gt;"",RIGHT($N1242,6)="tarief",F1242="Vergoeding"),SUM(P1242)*FLOOR(SUM(R1242),0.0001),AND(P1242&lt;&gt;"",R1242&lt;&gt;"",RIGHT($N1242,6)="tarief"),P1242*FLOOR(R1242,0.01),T1242&gt;0,FLOOR(SUM(T1242),0.01)),""),""),"")</f>
        <v/>
      </c>
      <c r="Y1242" s="314" t="str">
        <f t="shared" ca="1" si="78"/>
        <v/>
      </c>
      <c r="Z1242" s="314" t="str" cm="1">
        <f t="array" aca="1" ref="Z1242" ca="1">IFERROR(_xlfn.IFS(OR(F1242="",LEFT(Methode_Keuze,4)="Geen",Methode_Keuze=""),"",AND(W1242&lt;&gt;"",F1242&lt;&gt;"Arbeidskosten"),W1242*VLOOKUP(F1242,Tb_ProjectKosten[],MATCH(Tb_ProjectKosten[[#Headers],[Forfait_Percentage]],Tb_ProjectKosten[#Headers],0),0),AND(F1242="Arbeidskosten",G1242&lt;&gt;""),IFERROR(W1242*VLOOKUP(G1242,Tb_KostenTypen[],3,0)*VLOOKUP(F1242,Tb_ProjectKosten[],MATCH(Tb_ProjectKosten[[#Headers],[Forfait_Percentage]],Tb_ProjectKosten[#Headers],0),0),""),W1242 &lt;=0,0),"")</f>
        <v/>
      </c>
      <c r="AA1242" s="314" t="str" cm="1">
        <f t="array" aca="1" ref="AA1242" ca="1">IFERROR(_xlfn.IFS(OR(F1242="",LEFT(Methode_Keuze,4)="Geen",Methode_Keuze=""),"",AND(X1242&lt;&gt;"",F1242&lt;&gt;"Arbeidskosten"),X1242*VLOOKUP(F1242,Tb_ProjectKosten[],MATCH(Tb_ProjectKosten[[#Headers],[Forfait_Percentage]],Tb_ProjectKosten[#Headers],0),0),AND(F1242="Arbeidskosten",G1242&lt;&gt;""),IFERROR(X1242*VLOOKUP(G1242,Tb_KostenTypen[],3,0)*VLOOKUP(F1242,Tb_ProjectKosten[],MATCH(Tb_ProjectKosten[[#Headers],[Forfait_Percentage]],Tb_ProjectKosten[#Headers],0),0),""),X1242 &lt;=0,0),"")</f>
        <v/>
      </c>
      <c r="AB1242" s="314" t="str">
        <f t="shared" ca="1" si="79"/>
        <v/>
      </c>
      <c r="AC1242" s="322"/>
      <c r="AD1242" s="315"/>
      <c r="AE1242" s="32" t="str" cm="1">
        <f t="array" ref="AE1242">IFERROR(IF(INDEX(SubsidieTabel!$AD$1:$AG$12,MATCH($F1242,SubsidieTabel!$AD$1:$AD$12,0),IFERROR(MATCH(Methode_Keuze,SubsidieTabel!$AD$1:$AG$1,0),2))&lt;&gt;1=TRUE,"ja",""),"")</f>
        <v/>
      </c>
    </row>
    <row r="1243" spans="1:31" x14ac:dyDescent="0.25">
      <c r="A1243" s="316"/>
      <c r="B1243" s="317" t="str">
        <f>IF(A1243&lt;&gt;"",_xlfn.MAXIFS($B$1:B1242,$A$1:A1242,A1243)+1,"")</f>
        <v/>
      </c>
      <c r="C1243" s="296"/>
      <c r="D1243" s="296"/>
      <c r="E1243" s="296"/>
      <c r="F1243" s="296"/>
      <c r="G1243" s="326"/>
      <c r="H1243" s="324"/>
      <c r="I1243" s="325"/>
      <c r="J1243" s="325"/>
      <c r="K1243" s="318"/>
      <c r="L1243" s="318"/>
      <c r="M1243" s="319" t="str">
        <f>IFERROR(VLOOKUP(H1243,Lijsten!$H$1:$I$100,2,0),"")</f>
        <v/>
      </c>
      <c r="N1243" s="319" t="str">
        <f ca="1">IFERROR(IF(VLOOKUP(F1243,Kostentypen!$A$3:$E$21,3,0)=0,"",IF(OR(F1243="Arbeidskosten",F1243="Vergoeding"),VLOOKUP(G1243,Tb_KostenTypen[],2,0),VLOOKUP(F1243,Kostentypen!$A$3:$E$20,3,0))),"")</f>
        <v/>
      </c>
      <c r="O1243" s="320" t="str" cm="1">
        <f t="array" ref="O1243">_xlfn.IFNA(IF(INDEX(Tb_KostenOptiesDB[],MATCH($F1243,Tb_KostenOptiesDB[KostenOptie],0),IFERROR(MATCH(Methode_Keuze,Tb_KostenOptiesDB[#Headers],0),2))=1,_xlfn.SWITCH($N1243,"Uurtarief",IF(OR(AND(RIGHT($F1243,3)="IKS",VLOOKUP($M1243,DB_Loonkosten,2,0)="Ja"),AND(RIGHT($F1243,3)&lt;&gt;"IKS",VLOOKUP($M1243,DB_Loonkosten,2,0)="Nee")),IFERROR(VLOOKUP($M1243,DB_Loonkosten,24,0),""),0),"Vast tarief",IF(LEFT(F1243,8)="Bijdrage",VLOOKUP($F1243,Tb_KostenTypen[],MATCH(Lijsten!$P$1,Tb_KostenTypen[#Headers],0),0),VLOOKUP($G1243,Lijsten!L:P,MATCH(Lijsten!$P$1,Kop_Tarief_Vast,0),0))),""),"")</f>
        <v/>
      </c>
      <c r="P1243" s="320" t="str" cm="1">
        <f t="array" ref="P1243">_xlfn.IFNA(IF(INDEX(Tb_KostenOptiesDB[],MATCH($F1243,Tb_KostenOptiesDB[KostenOptie],0),IFERROR(MATCH(Methode_Keuze,Tb_KostenOptiesDB[#Headers],0),2))=1,_xlfn.SWITCH($N1243,"Uurtarief",IF(OR(AND(RIGHT($F1243,3)="IKS",VLOOKUP($M1243,DB_Loonkosten,2,0)="Ja"),AND(RIGHT($F1243,3)&lt;&gt;"IKS",VLOOKUP($M1243,DB_Loonkosten,2,0)="Nee")),IFERROR(VLOOKUP($M1243,DB_Loonkosten,25,0),""),0),"Vast tarief",IF(LEFT(F1243,8)="Bijdrage",VLOOKUP($F1243,Tb_KostenTypen[],MATCH(Lijsten!$P$1,Tb_KostenTypen[#Headers],0),0),VLOOKUP($G1243,Lijsten!L:P,MATCH(Lijsten!$P$1,Kop_Tarief_Vast,0),0))),""),"")</f>
        <v/>
      </c>
      <c r="Q1243" s="359"/>
      <c r="R1243" s="359"/>
      <c r="S1243" s="321"/>
      <c r="T1243" s="321"/>
      <c r="U1243" s="373" t="str">
        <f t="shared" si="76"/>
        <v/>
      </c>
      <c r="V1243" s="314" t="str">
        <f t="shared" si="77"/>
        <v/>
      </c>
      <c r="W1243" s="314" t="str" cm="1">
        <f t="array" aca="1" ref="W1243" ca="1">IFERROR(IF(AE1243&lt;&gt;"ja",_xlfn.IFNA(_xlfn.IFS(AND(O1243&lt;&gt;"",F1243&lt;&gt;"",RIGHT($N1243,6)="tarief",F1243="Vergoeding"),SUM(O1243)*FLOOR(SUM(Q1243),0.0001),AND(O1243&lt;&gt;"",F1243&lt;&gt;"",RIGHT($N1243,6)="tarief"),SUM(O1243)*FLOOR(SUM(Q1243),0.01),S1243&gt;0,IF(F1243&lt;&gt;"",FLOOR(SUM(S1243),0.01),"")),""),""),"")</f>
        <v/>
      </c>
      <c r="X1243" s="314" t="str" cm="1">
        <f t="array" aca="1" ref="X1243" ca="1">IFERROR(IF(AE1243&lt;&gt;"ja",_xlfn.IFNA(_xlfn.IFS(AND(P1243&lt;&gt;"",R1243&lt;&gt;"",RIGHT($N1243,6)="tarief",F1243="Vergoeding"),SUM(P1243)*FLOOR(SUM(R1243),0.0001),AND(P1243&lt;&gt;"",R1243&lt;&gt;"",RIGHT($N1243,6)="tarief"),P1243*FLOOR(R1243,0.01),T1243&gt;0,FLOOR(SUM(T1243),0.01)),""),""),"")</f>
        <v/>
      </c>
      <c r="Y1243" s="314" t="str">
        <f t="shared" ca="1" si="78"/>
        <v/>
      </c>
      <c r="Z1243" s="314" t="str" cm="1">
        <f t="array" aca="1" ref="Z1243" ca="1">IFERROR(_xlfn.IFS(OR(F1243="",LEFT(Methode_Keuze,4)="Geen",Methode_Keuze=""),"",AND(W1243&lt;&gt;"",F1243&lt;&gt;"Arbeidskosten"),W1243*VLOOKUP(F1243,Tb_ProjectKosten[],MATCH(Tb_ProjectKosten[[#Headers],[Forfait_Percentage]],Tb_ProjectKosten[#Headers],0),0),AND(F1243="Arbeidskosten",G1243&lt;&gt;""),IFERROR(W1243*VLOOKUP(G1243,Tb_KostenTypen[],3,0)*VLOOKUP(F1243,Tb_ProjectKosten[],MATCH(Tb_ProjectKosten[[#Headers],[Forfait_Percentage]],Tb_ProjectKosten[#Headers],0),0),""),W1243 &lt;=0,0),"")</f>
        <v/>
      </c>
      <c r="AA1243" s="314" t="str" cm="1">
        <f t="array" aca="1" ref="AA1243" ca="1">IFERROR(_xlfn.IFS(OR(F1243="",LEFT(Methode_Keuze,4)="Geen",Methode_Keuze=""),"",AND(X1243&lt;&gt;"",F1243&lt;&gt;"Arbeidskosten"),X1243*VLOOKUP(F1243,Tb_ProjectKosten[],MATCH(Tb_ProjectKosten[[#Headers],[Forfait_Percentage]],Tb_ProjectKosten[#Headers],0),0),AND(F1243="Arbeidskosten",G1243&lt;&gt;""),IFERROR(X1243*VLOOKUP(G1243,Tb_KostenTypen[],3,0)*VLOOKUP(F1243,Tb_ProjectKosten[],MATCH(Tb_ProjectKosten[[#Headers],[Forfait_Percentage]],Tb_ProjectKosten[#Headers],0),0),""),X1243 &lt;=0,0),"")</f>
        <v/>
      </c>
      <c r="AB1243" s="314" t="str">
        <f t="shared" ca="1" si="79"/>
        <v/>
      </c>
      <c r="AC1243" s="322"/>
      <c r="AD1243" s="315"/>
      <c r="AE1243" s="32" t="str" cm="1">
        <f t="array" ref="AE1243">IFERROR(IF(INDEX(SubsidieTabel!$AD$1:$AG$12,MATCH($F1243,SubsidieTabel!$AD$1:$AD$12,0),IFERROR(MATCH(Methode_Keuze,SubsidieTabel!$AD$1:$AG$1,0),2))&lt;&gt;1=TRUE,"ja",""),"")</f>
        <v/>
      </c>
    </row>
    <row r="1244" spans="1:31" x14ac:dyDescent="0.25">
      <c r="A1244" s="316"/>
      <c r="B1244" s="317" t="str">
        <f>IF(A1244&lt;&gt;"",_xlfn.MAXIFS($B$1:B1243,$A$1:A1243,A1244)+1,"")</f>
        <v/>
      </c>
      <c r="C1244" s="296"/>
      <c r="D1244" s="296"/>
      <c r="E1244" s="296"/>
      <c r="F1244" s="296"/>
      <c r="G1244" s="326"/>
      <c r="H1244" s="324"/>
      <c r="I1244" s="325"/>
      <c r="J1244" s="325"/>
      <c r="K1244" s="318"/>
      <c r="L1244" s="318"/>
      <c r="M1244" s="319" t="str">
        <f>IFERROR(VLOOKUP(H1244,Lijsten!$H$1:$I$100,2,0),"")</f>
        <v/>
      </c>
      <c r="N1244" s="319" t="str">
        <f ca="1">IFERROR(IF(VLOOKUP(F1244,Kostentypen!$A$3:$E$21,3,0)=0,"",IF(OR(F1244="Arbeidskosten",F1244="Vergoeding"),VLOOKUP(G1244,Tb_KostenTypen[],2,0),VLOOKUP(F1244,Kostentypen!$A$3:$E$20,3,0))),"")</f>
        <v/>
      </c>
      <c r="O1244" s="320" t="str" cm="1">
        <f t="array" ref="O1244">_xlfn.IFNA(IF(INDEX(Tb_KostenOptiesDB[],MATCH($F1244,Tb_KostenOptiesDB[KostenOptie],0),IFERROR(MATCH(Methode_Keuze,Tb_KostenOptiesDB[#Headers],0),2))=1,_xlfn.SWITCH($N1244,"Uurtarief",IF(OR(AND(RIGHT($F1244,3)="IKS",VLOOKUP($M1244,DB_Loonkosten,2,0)="Ja"),AND(RIGHT($F1244,3)&lt;&gt;"IKS",VLOOKUP($M1244,DB_Loonkosten,2,0)="Nee")),IFERROR(VLOOKUP($M1244,DB_Loonkosten,24,0),""),0),"Vast tarief",IF(LEFT(F1244,8)="Bijdrage",VLOOKUP($F1244,Tb_KostenTypen[],MATCH(Lijsten!$P$1,Tb_KostenTypen[#Headers],0),0),VLOOKUP($G1244,Lijsten!L:P,MATCH(Lijsten!$P$1,Kop_Tarief_Vast,0),0))),""),"")</f>
        <v/>
      </c>
      <c r="P1244" s="320" t="str" cm="1">
        <f t="array" ref="P1244">_xlfn.IFNA(IF(INDEX(Tb_KostenOptiesDB[],MATCH($F1244,Tb_KostenOptiesDB[KostenOptie],0),IFERROR(MATCH(Methode_Keuze,Tb_KostenOptiesDB[#Headers],0),2))=1,_xlfn.SWITCH($N1244,"Uurtarief",IF(OR(AND(RIGHT($F1244,3)="IKS",VLOOKUP($M1244,DB_Loonkosten,2,0)="Ja"),AND(RIGHT($F1244,3)&lt;&gt;"IKS",VLOOKUP($M1244,DB_Loonkosten,2,0)="Nee")),IFERROR(VLOOKUP($M1244,DB_Loonkosten,25,0),""),0),"Vast tarief",IF(LEFT(F1244,8)="Bijdrage",VLOOKUP($F1244,Tb_KostenTypen[],MATCH(Lijsten!$P$1,Tb_KostenTypen[#Headers],0),0),VLOOKUP($G1244,Lijsten!L:P,MATCH(Lijsten!$P$1,Kop_Tarief_Vast,0),0))),""),"")</f>
        <v/>
      </c>
      <c r="Q1244" s="359"/>
      <c r="R1244" s="359"/>
      <c r="S1244" s="321"/>
      <c r="T1244" s="321"/>
      <c r="U1244" s="373" t="str">
        <f t="shared" si="76"/>
        <v/>
      </c>
      <c r="V1244" s="314" t="str">
        <f t="shared" si="77"/>
        <v/>
      </c>
      <c r="W1244" s="314" t="str" cm="1">
        <f t="array" aca="1" ref="W1244" ca="1">IFERROR(IF(AE1244&lt;&gt;"ja",_xlfn.IFNA(_xlfn.IFS(AND(O1244&lt;&gt;"",F1244&lt;&gt;"",RIGHT($N1244,6)="tarief",F1244="Vergoeding"),SUM(O1244)*FLOOR(SUM(Q1244),0.0001),AND(O1244&lt;&gt;"",F1244&lt;&gt;"",RIGHT($N1244,6)="tarief"),SUM(O1244)*FLOOR(SUM(Q1244),0.01),S1244&gt;0,IF(F1244&lt;&gt;"",FLOOR(SUM(S1244),0.01),"")),""),""),"")</f>
        <v/>
      </c>
      <c r="X1244" s="314" t="str" cm="1">
        <f t="array" aca="1" ref="X1244" ca="1">IFERROR(IF(AE1244&lt;&gt;"ja",_xlfn.IFNA(_xlfn.IFS(AND(P1244&lt;&gt;"",R1244&lt;&gt;"",RIGHT($N1244,6)="tarief",F1244="Vergoeding"),SUM(P1244)*FLOOR(SUM(R1244),0.0001),AND(P1244&lt;&gt;"",R1244&lt;&gt;"",RIGHT($N1244,6)="tarief"),P1244*FLOOR(R1244,0.01),T1244&gt;0,FLOOR(SUM(T1244),0.01)),""),""),"")</f>
        <v/>
      </c>
      <c r="Y1244" s="314" t="str">
        <f t="shared" ca="1" si="78"/>
        <v/>
      </c>
      <c r="Z1244" s="314" t="str" cm="1">
        <f t="array" aca="1" ref="Z1244" ca="1">IFERROR(_xlfn.IFS(OR(F1244="",LEFT(Methode_Keuze,4)="Geen",Methode_Keuze=""),"",AND(W1244&lt;&gt;"",F1244&lt;&gt;"Arbeidskosten"),W1244*VLOOKUP(F1244,Tb_ProjectKosten[],MATCH(Tb_ProjectKosten[[#Headers],[Forfait_Percentage]],Tb_ProjectKosten[#Headers],0),0),AND(F1244="Arbeidskosten",G1244&lt;&gt;""),IFERROR(W1244*VLOOKUP(G1244,Tb_KostenTypen[],3,0)*VLOOKUP(F1244,Tb_ProjectKosten[],MATCH(Tb_ProjectKosten[[#Headers],[Forfait_Percentage]],Tb_ProjectKosten[#Headers],0),0),""),W1244 &lt;=0,0),"")</f>
        <v/>
      </c>
      <c r="AA1244" s="314" t="str" cm="1">
        <f t="array" aca="1" ref="AA1244" ca="1">IFERROR(_xlfn.IFS(OR(F1244="",LEFT(Methode_Keuze,4)="Geen",Methode_Keuze=""),"",AND(X1244&lt;&gt;"",F1244&lt;&gt;"Arbeidskosten"),X1244*VLOOKUP(F1244,Tb_ProjectKosten[],MATCH(Tb_ProjectKosten[[#Headers],[Forfait_Percentage]],Tb_ProjectKosten[#Headers],0),0),AND(F1244="Arbeidskosten",G1244&lt;&gt;""),IFERROR(X1244*VLOOKUP(G1244,Tb_KostenTypen[],3,0)*VLOOKUP(F1244,Tb_ProjectKosten[],MATCH(Tb_ProjectKosten[[#Headers],[Forfait_Percentage]],Tb_ProjectKosten[#Headers],0),0),""),X1244 &lt;=0,0),"")</f>
        <v/>
      </c>
      <c r="AB1244" s="314" t="str">
        <f t="shared" ca="1" si="79"/>
        <v/>
      </c>
      <c r="AC1244" s="322"/>
      <c r="AD1244" s="315"/>
      <c r="AE1244" s="32" t="str" cm="1">
        <f t="array" ref="AE1244">IFERROR(IF(INDEX(SubsidieTabel!$AD$1:$AG$12,MATCH($F1244,SubsidieTabel!$AD$1:$AD$12,0),IFERROR(MATCH(Methode_Keuze,SubsidieTabel!$AD$1:$AG$1,0),2))&lt;&gt;1=TRUE,"ja",""),"")</f>
        <v/>
      </c>
    </row>
    <row r="1245" spans="1:31" x14ac:dyDescent="0.25">
      <c r="A1245" s="316"/>
      <c r="B1245" s="317" t="str">
        <f>IF(A1245&lt;&gt;"",_xlfn.MAXIFS($B$1:B1244,$A$1:A1244,A1245)+1,"")</f>
        <v/>
      </c>
      <c r="C1245" s="296"/>
      <c r="D1245" s="296"/>
      <c r="E1245" s="296"/>
      <c r="F1245" s="296"/>
      <c r="G1245" s="326"/>
      <c r="H1245" s="324"/>
      <c r="I1245" s="325"/>
      <c r="J1245" s="325"/>
      <c r="K1245" s="318"/>
      <c r="L1245" s="318"/>
      <c r="M1245" s="319" t="str">
        <f>IFERROR(VLOOKUP(H1245,Lijsten!$H$1:$I$100,2,0),"")</f>
        <v/>
      </c>
      <c r="N1245" s="319" t="str">
        <f ca="1">IFERROR(IF(VLOOKUP(F1245,Kostentypen!$A$3:$E$21,3,0)=0,"",IF(OR(F1245="Arbeidskosten",F1245="Vergoeding"),VLOOKUP(G1245,Tb_KostenTypen[],2,0),VLOOKUP(F1245,Kostentypen!$A$3:$E$20,3,0))),"")</f>
        <v/>
      </c>
      <c r="O1245" s="320" t="str" cm="1">
        <f t="array" ref="O1245">_xlfn.IFNA(IF(INDEX(Tb_KostenOptiesDB[],MATCH($F1245,Tb_KostenOptiesDB[KostenOptie],0),IFERROR(MATCH(Methode_Keuze,Tb_KostenOptiesDB[#Headers],0),2))=1,_xlfn.SWITCH($N1245,"Uurtarief",IF(OR(AND(RIGHT($F1245,3)="IKS",VLOOKUP($M1245,DB_Loonkosten,2,0)="Ja"),AND(RIGHT($F1245,3)&lt;&gt;"IKS",VLOOKUP($M1245,DB_Loonkosten,2,0)="Nee")),IFERROR(VLOOKUP($M1245,DB_Loonkosten,24,0),""),0),"Vast tarief",IF(LEFT(F1245,8)="Bijdrage",VLOOKUP($F1245,Tb_KostenTypen[],MATCH(Lijsten!$P$1,Tb_KostenTypen[#Headers],0),0),VLOOKUP($G1245,Lijsten!L:P,MATCH(Lijsten!$P$1,Kop_Tarief_Vast,0),0))),""),"")</f>
        <v/>
      </c>
      <c r="P1245" s="320" t="str" cm="1">
        <f t="array" ref="P1245">_xlfn.IFNA(IF(INDEX(Tb_KostenOptiesDB[],MATCH($F1245,Tb_KostenOptiesDB[KostenOptie],0),IFERROR(MATCH(Methode_Keuze,Tb_KostenOptiesDB[#Headers],0),2))=1,_xlfn.SWITCH($N1245,"Uurtarief",IF(OR(AND(RIGHT($F1245,3)="IKS",VLOOKUP($M1245,DB_Loonkosten,2,0)="Ja"),AND(RIGHT($F1245,3)&lt;&gt;"IKS",VLOOKUP($M1245,DB_Loonkosten,2,0)="Nee")),IFERROR(VLOOKUP($M1245,DB_Loonkosten,25,0),""),0),"Vast tarief",IF(LEFT(F1245,8)="Bijdrage",VLOOKUP($F1245,Tb_KostenTypen[],MATCH(Lijsten!$P$1,Tb_KostenTypen[#Headers],0),0),VLOOKUP($G1245,Lijsten!L:P,MATCH(Lijsten!$P$1,Kop_Tarief_Vast,0),0))),""),"")</f>
        <v/>
      </c>
      <c r="Q1245" s="359"/>
      <c r="R1245" s="359"/>
      <c r="S1245" s="321"/>
      <c r="T1245" s="321"/>
      <c r="U1245" s="373" t="str">
        <f t="shared" si="76"/>
        <v/>
      </c>
      <c r="V1245" s="314" t="str">
        <f t="shared" si="77"/>
        <v/>
      </c>
      <c r="W1245" s="314" t="str" cm="1">
        <f t="array" aca="1" ref="W1245" ca="1">IFERROR(IF(AE1245&lt;&gt;"ja",_xlfn.IFNA(_xlfn.IFS(AND(O1245&lt;&gt;"",F1245&lt;&gt;"",RIGHT($N1245,6)="tarief",F1245="Vergoeding"),SUM(O1245)*FLOOR(SUM(Q1245),0.0001),AND(O1245&lt;&gt;"",F1245&lt;&gt;"",RIGHT($N1245,6)="tarief"),SUM(O1245)*FLOOR(SUM(Q1245),0.01),S1245&gt;0,IF(F1245&lt;&gt;"",FLOOR(SUM(S1245),0.01),"")),""),""),"")</f>
        <v/>
      </c>
      <c r="X1245" s="314" t="str" cm="1">
        <f t="array" aca="1" ref="X1245" ca="1">IFERROR(IF(AE1245&lt;&gt;"ja",_xlfn.IFNA(_xlfn.IFS(AND(P1245&lt;&gt;"",R1245&lt;&gt;"",RIGHT($N1245,6)="tarief",F1245="Vergoeding"),SUM(P1245)*FLOOR(SUM(R1245),0.0001),AND(P1245&lt;&gt;"",R1245&lt;&gt;"",RIGHT($N1245,6)="tarief"),P1245*FLOOR(R1245,0.01),T1245&gt;0,FLOOR(SUM(T1245),0.01)),""),""),"")</f>
        <v/>
      </c>
      <c r="Y1245" s="314" t="str">
        <f t="shared" ca="1" si="78"/>
        <v/>
      </c>
      <c r="Z1245" s="314" t="str" cm="1">
        <f t="array" aca="1" ref="Z1245" ca="1">IFERROR(_xlfn.IFS(OR(F1245="",LEFT(Methode_Keuze,4)="Geen",Methode_Keuze=""),"",AND(W1245&lt;&gt;"",F1245&lt;&gt;"Arbeidskosten"),W1245*VLOOKUP(F1245,Tb_ProjectKosten[],MATCH(Tb_ProjectKosten[[#Headers],[Forfait_Percentage]],Tb_ProjectKosten[#Headers],0),0),AND(F1245="Arbeidskosten",G1245&lt;&gt;""),IFERROR(W1245*VLOOKUP(G1245,Tb_KostenTypen[],3,0)*VLOOKUP(F1245,Tb_ProjectKosten[],MATCH(Tb_ProjectKosten[[#Headers],[Forfait_Percentage]],Tb_ProjectKosten[#Headers],0),0),""),W1245 &lt;=0,0),"")</f>
        <v/>
      </c>
      <c r="AA1245" s="314" t="str" cm="1">
        <f t="array" aca="1" ref="AA1245" ca="1">IFERROR(_xlfn.IFS(OR(F1245="",LEFT(Methode_Keuze,4)="Geen",Methode_Keuze=""),"",AND(X1245&lt;&gt;"",F1245&lt;&gt;"Arbeidskosten"),X1245*VLOOKUP(F1245,Tb_ProjectKosten[],MATCH(Tb_ProjectKosten[[#Headers],[Forfait_Percentage]],Tb_ProjectKosten[#Headers],0),0),AND(F1245="Arbeidskosten",G1245&lt;&gt;""),IFERROR(X1245*VLOOKUP(G1245,Tb_KostenTypen[],3,0)*VLOOKUP(F1245,Tb_ProjectKosten[],MATCH(Tb_ProjectKosten[[#Headers],[Forfait_Percentage]],Tb_ProjectKosten[#Headers],0),0),""),X1245 &lt;=0,0),"")</f>
        <v/>
      </c>
      <c r="AB1245" s="314" t="str">
        <f t="shared" ca="1" si="79"/>
        <v/>
      </c>
      <c r="AC1245" s="322"/>
      <c r="AD1245" s="315"/>
      <c r="AE1245" s="32" t="str" cm="1">
        <f t="array" ref="AE1245">IFERROR(IF(INDEX(SubsidieTabel!$AD$1:$AG$12,MATCH($F1245,SubsidieTabel!$AD$1:$AD$12,0),IFERROR(MATCH(Methode_Keuze,SubsidieTabel!$AD$1:$AG$1,0),2))&lt;&gt;1=TRUE,"ja",""),"")</f>
        <v/>
      </c>
    </row>
    <row r="1246" spans="1:31" x14ac:dyDescent="0.25">
      <c r="A1246" s="316"/>
      <c r="B1246" s="317" t="str">
        <f>IF(A1246&lt;&gt;"",_xlfn.MAXIFS($B$1:B1245,$A$1:A1245,A1246)+1,"")</f>
        <v/>
      </c>
      <c r="C1246" s="296"/>
      <c r="D1246" s="296"/>
      <c r="E1246" s="296"/>
      <c r="F1246" s="296"/>
      <c r="G1246" s="326"/>
      <c r="H1246" s="324"/>
      <c r="I1246" s="325"/>
      <c r="J1246" s="325"/>
      <c r="K1246" s="318"/>
      <c r="L1246" s="318"/>
      <c r="M1246" s="319" t="str">
        <f>IFERROR(VLOOKUP(H1246,Lijsten!$H$1:$I$100,2,0),"")</f>
        <v/>
      </c>
      <c r="N1246" s="319" t="str">
        <f ca="1">IFERROR(IF(VLOOKUP(F1246,Kostentypen!$A$3:$E$21,3,0)=0,"",IF(OR(F1246="Arbeidskosten",F1246="Vergoeding"),VLOOKUP(G1246,Tb_KostenTypen[],2,0),VLOOKUP(F1246,Kostentypen!$A$3:$E$20,3,0))),"")</f>
        <v/>
      </c>
      <c r="O1246" s="320" t="str" cm="1">
        <f t="array" ref="O1246">_xlfn.IFNA(IF(INDEX(Tb_KostenOptiesDB[],MATCH($F1246,Tb_KostenOptiesDB[KostenOptie],0),IFERROR(MATCH(Methode_Keuze,Tb_KostenOptiesDB[#Headers],0),2))=1,_xlfn.SWITCH($N1246,"Uurtarief",IF(OR(AND(RIGHT($F1246,3)="IKS",VLOOKUP($M1246,DB_Loonkosten,2,0)="Ja"),AND(RIGHT($F1246,3)&lt;&gt;"IKS",VLOOKUP($M1246,DB_Loonkosten,2,0)="Nee")),IFERROR(VLOOKUP($M1246,DB_Loonkosten,24,0),""),0),"Vast tarief",IF(LEFT(F1246,8)="Bijdrage",VLOOKUP($F1246,Tb_KostenTypen[],MATCH(Lijsten!$P$1,Tb_KostenTypen[#Headers],0),0),VLOOKUP($G1246,Lijsten!L:P,MATCH(Lijsten!$P$1,Kop_Tarief_Vast,0),0))),""),"")</f>
        <v/>
      </c>
      <c r="P1246" s="320" t="str" cm="1">
        <f t="array" ref="P1246">_xlfn.IFNA(IF(INDEX(Tb_KostenOptiesDB[],MATCH($F1246,Tb_KostenOptiesDB[KostenOptie],0),IFERROR(MATCH(Methode_Keuze,Tb_KostenOptiesDB[#Headers],0),2))=1,_xlfn.SWITCH($N1246,"Uurtarief",IF(OR(AND(RIGHT($F1246,3)="IKS",VLOOKUP($M1246,DB_Loonkosten,2,0)="Ja"),AND(RIGHT($F1246,3)&lt;&gt;"IKS",VLOOKUP($M1246,DB_Loonkosten,2,0)="Nee")),IFERROR(VLOOKUP($M1246,DB_Loonkosten,25,0),""),0),"Vast tarief",IF(LEFT(F1246,8)="Bijdrage",VLOOKUP($F1246,Tb_KostenTypen[],MATCH(Lijsten!$P$1,Tb_KostenTypen[#Headers],0),0),VLOOKUP($G1246,Lijsten!L:P,MATCH(Lijsten!$P$1,Kop_Tarief_Vast,0),0))),""),"")</f>
        <v/>
      </c>
      <c r="Q1246" s="359"/>
      <c r="R1246" s="359"/>
      <c r="S1246" s="321"/>
      <c r="T1246" s="321"/>
      <c r="U1246" s="373" t="str">
        <f t="shared" si="76"/>
        <v/>
      </c>
      <c r="V1246" s="314" t="str">
        <f t="shared" si="77"/>
        <v/>
      </c>
      <c r="W1246" s="314" t="str" cm="1">
        <f t="array" aca="1" ref="W1246" ca="1">IFERROR(IF(AE1246&lt;&gt;"ja",_xlfn.IFNA(_xlfn.IFS(AND(O1246&lt;&gt;"",F1246&lt;&gt;"",RIGHT($N1246,6)="tarief",F1246="Vergoeding"),SUM(O1246)*FLOOR(SUM(Q1246),0.0001),AND(O1246&lt;&gt;"",F1246&lt;&gt;"",RIGHT($N1246,6)="tarief"),SUM(O1246)*FLOOR(SUM(Q1246),0.01),S1246&gt;0,IF(F1246&lt;&gt;"",FLOOR(SUM(S1246),0.01),"")),""),""),"")</f>
        <v/>
      </c>
      <c r="X1246" s="314" t="str" cm="1">
        <f t="array" aca="1" ref="X1246" ca="1">IFERROR(IF(AE1246&lt;&gt;"ja",_xlfn.IFNA(_xlfn.IFS(AND(P1246&lt;&gt;"",R1246&lt;&gt;"",RIGHT($N1246,6)="tarief",F1246="Vergoeding"),SUM(P1246)*FLOOR(SUM(R1246),0.0001),AND(P1246&lt;&gt;"",R1246&lt;&gt;"",RIGHT($N1246,6)="tarief"),P1246*FLOOR(R1246,0.01),T1246&gt;0,FLOOR(SUM(T1246),0.01)),""),""),"")</f>
        <v/>
      </c>
      <c r="Y1246" s="314" t="str">
        <f t="shared" ca="1" si="78"/>
        <v/>
      </c>
      <c r="Z1246" s="314" t="str" cm="1">
        <f t="array" aca="1" ref="Z1246" ca="1">IFERROR(_xlfn.IFS(OR(F1246="",LEFT(Methode_Keuze,4)="Geen",Methode_Keuze=""),"",AND(W1246&lt;&gt;"",F1246&lt;&gt;"Arbeidskosten"),W1246*VLOOKUP(F1246,Tb_ProjectKosten[],MATCH(Tb_ProjectKosten[[#Headers],[Forfait_Percentage]],Tb_ProjectKosten[#Headers],0),0),AND(F1246="Arbeidskosten",G1246&lt;&gt;""),IFERROR(W1246*VLOOKUP(G1246,Tb_KostenTypen[],3,0)*VLOOKUP(F1246,Tb_ProjectKosten[],MATCH(Tb_ProjectKosten[[#Headers],[Forfait_Percentage]],Tb_ProjectKosten[#Headers],0),0),""),W1246 &lt;=0,0),"")</f>
        <v/>
      </c>
      <c r="AA1246" s="314" t="str" cm="1">
        <f t="array" aca="1" ref="AA1246" ca="1">IFERROR(_xlfn.IFS(OR(F1246="",LEFT(Methode_Keuze,4)="Geen",Methode_Keuze=""),"",AND(X1246&lt;&gt;"",F1246&lt;&gt;"Arbeidskosten"),X1246*VLOOKUP(F1246,Tb_ProjectKosten[],MATCH(Tb_ProjectKosten[[#Headers],[Forfait_Percentage]],Tb_ProjectKosten[#Headers],0),0),AND(F1246="Arbeidskosten",G1246&lt;&gt;""),IFERROR(X1246*VLOOKUP(G1246,Tb_KostenTypen[],3,0)*VLOOKUP(F1246,Tb_ProjectKosten[],MATCH(Tb_ProjectKosten[[#Headers],[Forfait_Percentage]],Tb_ProjectKosten[#Headers],0),0),""),X1246 &lt;=0,0),"")</f>
        <v/>
      </c>
      <c r="AB1246" s="314" t="str">
        <f t="shared" ca="1" si="79"/>
        <v/>
      </c>
      <c r="AC1246" s="322"/>
      <c r="AD1246" s="315"/>
      <c r="AE1246" s="32" t="str" cm="1">
        <f t="array" ref="AE1246">IFERROR(IF(INDEX(SubsidieTabel!$AD$1:$AG$12,MATCH($F1246,SubsidieTabel!$AD$1:$AD$12,0),IFERROR(MATCH(Methode_Keuze,SubsidieTabel!$AD$1:$AG$1,0),2))&lt;&gt;1=TRUE,"ja",""),"")</f>
        <v/>
      </c>
    </row>
    <row r="1247" spans="1:31" x14ac:dyDescent="0.25">
      <c r="A1247" s="316"/>
      <c r="B1247" s="317" t="str">
        <f>IF(A1247&lt;&gt;"",_xlfn.MAXIFS($B$1:B1246,$A$1:A1246,A1247)+1,"")</f>
        <v/>
      </c>
      <c r="C1247" s="296"/>
      <c r="D1247" s="296"/>
      <c r="E1247" s="296"/>
      <c r="F1247" s="296"/>
      <c r="G1247" s="326"/>
      <c r="H1247" s="324"/>
      <c r="I1247" s="325"/>
      <c r="J1247" s="325"/>
      <c r="K1247" s="318"/>
      <c r="L1247" s="318"/>
      <c r="M1247" s="319" t="str">
        <f>IFERROR(VLOOKUP(H1247,Lijsten!$H$1:$I$100,2,0),"")</f>
        <v/>
      </c>
      <c r="N1247" s="319" t="str">
        <f ca="1">IFERROR(IF(VLOOKUP(F1247,Kostentypen!$A$3:$E$21,3,0)=0,"",IF(OR(F1247="Arbeidskosten",F1247="Vergoeding"),VLOOKUP(G1247,Tb_KostenTypen[],2,0),VLOOKUP(F1247,Kostentypen!$A$3:$E$20,3,0))),"")</f>
        <v/>
      </c>
      <c r="O1247" s="320" t="str" cm="1">
        <f t="array" ref="O1247">_xlfn.IFNA(IF(INDEX(Tb_KostenOptiesDB[],MATCH($F1247,Tb_KostenOptiesDB[KostenOptie],0),IFERROR(MATCH(Methode_Keuze,Tb_KostenOptiesDB[#Headers],0),2))=1,_xlfn.SWITCH($N1247,"Uurtarief",IF(OR(AND(RIGHT($F1247,3)="IKS",VLOOKUP($M1247,DB_Loonkosten,2,0)="Ja"),AND(RIGHT($F1247,3)&lt;&gt;"IKS",VLOOKUP($M1247,DB_Loonkosten,2,0)="Nee")),IFERROR(VLOOKUP($M1247,DB_Loonkosten,24,0),""),0),"Vast tarief",IF(LEFT(F1247,8)="Bijdrage",VLOOKUP($F1247,Tb_KostenTypen[],MATCH(Lijsten!$P$1,Tb_KostenTypen[#Headers],0),0),VLOOKUP($G1247,Lijsten!L:P,MATCH(Lijsten!$P$1,Kop_Tarief_Vast,0),0))),""),"")</f>
        <v/>
      </c>
      <c r="P1247" s="320" t="str" cm="1">
        <f t="array" ref="P1247">_xlfn.IFNA(IF(INDEX(Tb_KostenOptiesDB[],MATCH($F1247,Tb_KostenOptiesDB[KostenOptie],0),IFERROR(MATCH(Methode_Keuze,Tb_KostenOptiesDB[#Headers],0),2))=1,_xlfn.SWITCH($N1247,"Uurtarief",IF(OR(AND(RIGHT($F1247,3)="IKS",VLOOKUP($M1247,DB_Loonkosten,2,0)="Ja"),AND(RIGHT($F1247,3)&lt;&gt;"IKS",VLOOKUP($M1247,DB_Loonkosten,2,0)="Nee")),IFERROR(VLOOKUP($M1247,DB_Loonkosten,25,0),""),0),"Vast tarief",IF(LEFT(F1247,8)="Bijdrage",VLOOKUP($F1247,Tb_KostenTypen[],MATCH(Lijsten!$P$1,Tb_KostenTypen[#Headers],0),0),VLOOKUP($G1247,Lijsten!L:P,MATCH(Lijsten!$P$1,Kop_Tarief_Vast,0),0))),""),"")</f>
        <v/>
      </c>
      <c r="Q1247" s="359"/>
      <c r="R1247" s="359"/>
      <c r="S1247" s="321"/>
      <c r="T1247" s="321"/>
      <c r="U1247" s="373" t="str">
        <f t="shared" si="76"/>
        <v/>
      </c>
      <c r="V1247" s="314" t="str">
        <f t="shared" si="77"/>
        <v/>
      </c>
      <c r="W1247" s="314" t="str" cm="1">
        <f t="array" aca="1" ref="W1247" ca="1">IFERROR(IF(AE1247&lt;&gt;"ja",_xlfn.IFNA(_xlfn.IFS(AND(O1247&lt;&gt;"",F1247&lt;&gt;"",RIGHT($N1247,6)="tarief",F1247="Vergoeding"),SUM(O1247)*FLOOR(SUM(Q1247),0.0001),AND(O1247&lt;&gt;"",F1247&lt;&gt;"",RIGHT($N1247,6)="tarief"),SUM(O1247)*FLOOR(SUM(Q1247),0.01),S1247&gt;0,IF(F1247&lt;&gt;"",FLOOR(SUM(S1247),0.01),"")),""),""),"")</f>
        <v/>
      </c>
      <c r="X1247" s="314" t="str" cm="1">
        <f t="array" aca="1" ref="X1247" ca="1">IFERROR(IF(AE1247&lt;&gt;"ja",_xlfn.IFNA(_xlfn.IFS(AND(P1247&lt;&gt;"",R1247&lt;&gt;"",RIGHT($N1247,6)="tarief",F1247="Vergoeding"),SUM(P1247)*FLOOR(SUM(R1247),0.0001),AND(P1247&lt;&gt;"",R1247&lt;&gt;"",RIGHT($N1247,6)="tarief"),P1247*FLOOR(R1247,0.01),T1247&gt;0,FLOOR(SUM(T1247),0.01)),""),""),"")</f>
        <v/>
      </c>
      <c r="Y1247" s="314" t="str">
        <f t="shared" ca="1" si="78"/>
        <v/>
      </c>
      <c r="Z1247" s="314" t="str" cm="1">
        <f t="array" aca="1" ref="Z1247" ca="1">IFERROR(_xlfn.IFS(OR(F1247="",LEFT(Methode_Keuze,4)="Geen",Methode_Keuze=""),"",AND(W1247&lt;&gt;"",F1247&lt;&gt;"Arbeidskosten"),W1247*VLOOKUP(F1247,Tb_ProjectKosten[],MATCH(Tb_ProjectKosten[[#Headers],[Forfait_Percentage]],Tb_ProjectKosten[#Headers],0),0),AND(F1247="Arbeidskosten",G1247&lt;&gt;""),IFERROR(W1247*VLOOKUP(G1247,Tb_KostenTypen[],3,0)*VLOOKUP(F1247,Tb_ProjectKosten[],MATCH(Tb_ProjectKosten[[#Headers],[Forfait_Percentage]],Tb_ProjectKosten[#Headers],0),0),""),W1247 &lt;=0,0),"")</f>
        <v/>
      </c>
      <c r="AA1247" s="314" t="str" cm="1">
        <f t="array" aca="1" ref="AA1247" ca="1">IFERROR(_xlfn.IFS(OR(F1247="",LEFT(Methode_Keuze,4)="Geen",Methode_Keuze=""),"",AND(X1247&lt;&gt;"",F1247&lt;&gt;"Arbeidskosten"),X1247*VLOOKUP(F1247,Tb_ProjectKosten[],MATCH(Tb_ProjectKosten[[#Headers],[Forfait_Percentage]],Tb_ProjectKosten[#Headers],0),0),AND(F1247="Arbeidskosten",G1247&lt;&gt;""),IFERROR(X1247*VLOOKUP(G1247,Tb_KostenTypen[],3,0)*VLOOKUP(F1247,Tb_ProjectKosten[],MATCH(Tb_ProjectKosten[[#Headers],[Forfait_Percentage]],Tb_ProjectKosten[#Headers],0),0),""),X1247 &lt;=0,0),"")</f>
        <v/>
      </c>
      <c r="AB1247" s="314" t="str">
        <f t="shared" ca="1" si="79"/>
        <v/>
      </c>
      <c r="AC1247" s="322"/>
      <c r="AD1247" s="315"/>
      <c r="AE1247" s="32" t="str" cm="1">
        <f t="array" ref="AE1247">IFERROR(IF(INDEX(SubsidieTabel!$AD$1:$AG$12,MATCH($F1247,SubsidieTabel!$AD$1:$AD$12,0),IFERROR(MATCH(Methode_Keuze,SubsidieTabel!$AD$1:$AG$1,0),2))&lt;&gt;1=TRUE,"ja",""),"")</f>
        <v/>
      </c>
    </row>
    <row r="1248" spans="1:31" x14ac:dyDescent="0.25">
      <c r="A1248" s="316"/>
      <c r="B1248" s="317" t="str">
        <f>IF(A1248&lt;&gt;"",_xlfn.MAXIFS($B$1:B1247,$A$1:A1247,A1248)+1,"")</f>
        <v/>
      </c>
      <c r="C1248" s="296"/>
      <c r="D1248" s="296"/>
      <c r="E1248" s="296"/>
      <c r="F1248" s="296"/>
      <c r="G1248" s="326"/>
      <c r="H1248" s="324"/>
      <c r="I1248" s="325"/>
      <c r="J1248" s="325"/>
      <c r="K1248" s="318"/>
      <c r="L1248" s="318"/>
      <c r="M1248" s="319" t="str">
        <f>IFERROR(VLOOKUP(H1248,Lijsten!$H$1:$I$100,2,0),"")</f>
        <v/>
      </c>
      <c r="N1248" s="319" t="str">
        <f ca="1">IFERROR(IF(VLOOKUP(F1248,Kostentypen!$A$3:$E$21,3,0)=0,"",IF(OR(F1248="Arbeidskosten",F1248="Vergoeding"),VLOOKUP(G1248,Tb_KostenTypen[],2,0),VLOOKUP(F1248,Kostentypen!$A$3:$E$20,3,0))),"")</f>
        <v/>
      </c>
      <c r="O1248" s="320" t="str" cm="1">
        <f t="array" ref="O1248">_xlfn.IFNA(IF(INDEX(Tb_KostenOptiesDB[],MATCH($F1248,Tb_KostenOptiesDB[KostenOptie],0),IFERROR(MATCH(Methode_Keuze,Tb_KostenOptiesDB[#Headers],0),2))=1,_xlfn.SWITCH($N1248,"Uurtarief",IF(OR(AND(RIGHT($F1248,3)="IKS",VLOOKUP($M1248,DB_Loonkosten,2,0)="Ja"),AND(RIGHT($F1248,3)&lt;&gt;"IKS",VLOOKUP($M1248,DB_Loonkosten,2,0)="Nee")),IFERROR(VLOOKUP($M1248,DB_Loonkosten,24,0),""),0),"Vast tarief",IF(LEFT(F1248,8)="Bijdrage",VLOOKUP($F1248,Tb_KostenTypen[],MATCH(Lijsten!$P$1,Tb_KostenTypen[#Headers],0),0),VLOOKUP($G1248,Lijsten!L:P,MATCH(Lijsten!$P$1,Kop_Tarief_Vast,0),0))),""),"")</f>
        <v/>
      </c>
      <c r="P1248" s="320" t="str" cm="1">
        <f t="array" ref="P1248">_xlfn.IFNA(IF(INDEX(Tb_KostenOptiesDB[],MATCH($F1248,Tb_KostenOptiesDB[KostenOptie],0),IFERROR(MATCH(Methode_Keuze,Tb_KostenOptiesDB[#Headers],0),2))=1,_xlfn.SWITCH($N1248,"Uurtarief",IF(OR(AND(RIGHT($F1248,3)="IKS",VLOOKUP($M1248,DB_Loonkosten,2,0)="Ja"),AND(RIGHT($F1248,3)&lt;&gt;"IKS",VLOOKUP($M1248,DB_Loonkosten,2,0)="Nee")),IFERROR(VLOOKUP($M1248,DB_Loonkosten,25,0),""),0),"Vast tarief",IF(LEFT(F1248,8)="Bijdrage",VLOOKUP($F1248,Tb_KostenTypen[],MATCH(Lijsten!$P$1,Tb_KostenTypen[#Headers],0),0),VLOOKUP($G1248,Lijsten!L:P,MATCH(Lijsten!$P$1,Kop_Tarief_Vast,0),0))),""),"")</f>
        <v/>
      </c>
      <c r="Q1248" s="359"/>
      <c r="R1248" s="359"/>
      <c r="S1248" s="321"/>
      <c r="T1248" s="321"/>
      <c r="U1248" s="373" t="str">
        <f t="shared" si="76"/>
        <v/>
      </c>
      <c r="V1248" s="314" t="str">
        <f t="shared" si="77"/>
        <v/>
      </c>
      <c r="W1248" s="314" t="str" cm="1">
        <f t="array" aca="1" ref="W1248" ca="1">IFERROR(IF(AE1248&lt;&gt;"ja",_xlfn.IFNA(_xlfn.IFS(AND(O1248&lt;&gt;"",F1248&lt;&gt;"",RIGHT($N1248,6)="tarief",F1248="Vergoeding"),SUM(O1248)*FLOOR(SUM(Q1248),0.0001),AND(O1248&lt;&gt;"",F1248&lt;&gt;"",RIGHT($N1248,6)="tarief"),SUM(O1248)*FLOOR(SUM(Q1248),0.01),S1248&gt;0,IF(F1248&lt;&gt;"",FLOOR(SUM(S1248),0.01),"")),""),""),"")</f>
        <v/>
      </c>
      <c r="X1248" s="314" t="str" cm="1">
        <f t="array" aca="1" ref="X1248" ca="1">IFERROR(IF(AE1248&lt;&gt;"ja",_xlfn.IFNA(_xlfn.IFS(AND(P1248&lt;&gt;"",R1248&lt;&gt;"",RIGHT($N1248,6)="tarief",F1248="Vergoeding"),SUM(P1248)*FLOOR(SUM(R1248),0.0001),AND(P1248&lt;&gt;"",R1248&lt;&gt;"",RIGHT($N1248,6)="tarief"),P1248*FLOOR(R1248,0.01),T1248&gt;0,FLOOR(SUM(T1248),0.01)),""),""),"")</f>
        <v/>
      </c>
      <c r="Y1248" s="314" t="str">
        <f t="shared" ca="1" si="78"/>
        <v/>
      </c>
      <c r="Z1248" s="314" t="str" cm="1">
        <f t="array" aca="1" ref="Z1248" ca="1">IFERROR(_xlfn.IFS(OR(F1248="",LEFT(Methode_Keuze,4)="Geen",Methode_Keuze=""),"",AND(W1248&lt;&gt;"",F1248&lt;&gt;"Arbeidskosten"),W1248*VLOOKUP(F1248,Tb_ProjectKosten[],MATCH(Tb_ProjectKosten[[#Headers],[Forfait_Percentage]],Tb_ProjectKosten[#Headers],0),0),AND(F1248="Arbeidskosten",G1248&lt;&gt;""),IFERROR(W1248*VLOOKUP(G1248,Tb_KostenTypen[],3,0)*VLOOKUP(F1248,Tb_ProjectKosten[],MATCH(Tb_ProjectKosten[[#Headers],[Forfait_Percentage]],Tb_ProjectKosten[#Headers],0),0),""),W1248 &lt;=0,0),"")</f>
        <v/>
      </c>
      <c r="AA1248" s="314" t="str" cm="1">
        <f t="array" aca="1" ref="AA1248" ca="1">IFERROR(_xlfn.IFS(OR(F1248="",LEFT(Methode_Keuze,4)="Geen",Methode_Keuze=""),"",AND(X1248&lt;&gt;"",F1248&lt;&gt;"Arbeidskosten"),X1248*VLOOKUP(F1248,Tb_ProjectKosten[],MATCH(Tb_ProjectKosten[[#Headers],[Forfait_Percentage]],Tb_ProjectKosten[#Headers],0),0),AND(F1248="Arbeidskosten",G1248&lt;&gt;""),IFERROR(X1248*VLOOKUP(G1248,Tb_KostenTypen[],3,0)*VLOOKUP(F1248,Tb_ProjectKosten[],MATCH(Tb_ProjectKosten[[#Headers],[Forfait_Percentage]],Tb_ProjectKosten[#Headers],0),0),""),X1248 &lt;=0,0),"")</f>
        <v/>
      </c>
      <c r="AB1248" s="314" t="str">
        <f t="shared" ca="1" si="79"/>
        <v/>
      </c>
      <c r="AC1248" s="322"/>
      <c r="AD1248" s="315"/>
      <c r="AE1248" s="32" t="str" cm="1">
        <f t="array" ref="AE1248">IFERROR(IF(INDEX(SubsidieTabel!$AD$1:$AG$12,MATCH($F1248,SubsidieTabel!$AD$1:$AD$12,0),IFERROR(MATCH(Methode_Keuze,SubsidieTabel!$AD$1:$AG$1,0),2))&lt;&gt;1=TRUE,"ja",""),"")</f>
        <v/>
      </c>
    </row>
    <row r="1249" spans="1:31" x14ac:dyDescent="0.25">
      <c r="A1249" s="316"/>
      <c r="B1249" s="317" t="str">
        <f>IF(A1249&lt;&gt;"",_xlfn.MAXIFS($B$1:B1248,$A$1:A1248,A1249)+1,"")</f>
        <v/>
      </c>
      <c r="C1249" s="296"/>
      <c r="D1249" s="296"/>
      <c r="E1249" s="296"/>
      <c r="F1249" s="296"/>
      <c r="G1249" s="326"/>
      <c r="H1249" s="324"/>
      <c r="I1249" s="325"/>
      <c r="J1249" s="325"/>
      <c r="K1249" s="318"/>
      <c r="L1249" s="318"/>
      <c r="M1249" s="319" t="str">
        <f>IFERROR(VLOOKUP(H1249,Lijsten!$H$1:$I$100,2,0),"")</f>
        <v/>
      </c>
      <c r="N1249" s="319" t="str">
        <f ca="1">IFERROR(IF(VLOOKUP(F1249,Kostentypen!$A$3:$E$21,3,0)=0,"",IF(OR(F1249="Arbeidskosten",F1249="Vergoeding"),VLOOKUP(G1249,Tb_KostenTypen[],2,0),VLOOKUP(F1249,Kostentypen!$A$3:$E$20,3,0))),"")</f>
        <v/>
      </c>
      <c r="O1249" s="320" t="str" cm="1">
        <f t="array" ref="O1249">_xlfn.IFNA(IF(INDEX(Tb_KostenOptiesDB[],MATCH($F1249,Tb_KostenOptiesDB[KostenOptie],0),IFERROR(MATCH(Methode_Keuze,Tb_KostenOptiesDB[#Headers],0),2))=1,_xlfn.SWITCH($N1249,"Uurtarief",IF(OR(AND(RIGHT($F1249,3)="IKS",VLOOKUP($M1249,DB_Loonkosten,2,0)="Ja"),AND(RIGHT($F1249,3)&lt;&gt;"IKS",VLOOKUP($M1249,DB_Loonkosten,2,0)="Nee")),IFERROR(VLOOKUP($M1249,DB_Loonkosten,24,0),""),0),"Vast tarief",IF(LEFT(F1249,8)="Bijdrage",VLOOKUP($F1249,Tb_KostenTypen[],MATCH(Lijsten!$P$1,Tb_KostenTypen[#Headers],0),0),VLOOKUP($G1249,Lijsten!L:P,MATCH(Lijsten!$P$1,Kop_Tarief_Vast,0),0))),""),"")</f>
        <v/>
      </c>
      <c r="P1249" s="320" t="str" cm="1">
        <f t="array" ref="P1249">_xlfn.IFNA(IF(INDEX(Tb_KostenOptiesDB[],MATCH($F1249,Tb_KostenOptiesDB[KostenOptie],0),IFERROR(MATCH(Methode_Keuze,Tb_KostenOptiesDB[#Headers],0),2))=1,_xlfn.SWITCH($N1249,"Uurtarief",IF(OR(AND(RIGHT($F1249,3)="IKS",VLOOKUP($M1249,DB_Loonkosten,2,0)="Ja"),AND(RIGHT($F1249,3)&lt;&gt;"IKS",VLOOKUP($M1249,DB_Loonkosten,2,0)="Nee")),IFERROR(VLOOKUP($M1249,DB_Loonkosten,25,0),""),0),"Vast tarief",IF(LEFT(F1249,8)="Bijdrage",VLOOKUP($F1249,Tb_KostenTypen[],MATCH(Lijsten!$P$1,Tb_KostenTypen[#Headers],0),0),VLOOKUP($G1249,Lijsten!L:P,MATCH(Lijsten!$P$1,Kop_Tarief_Vast,0),0))),""),"")</f>
        <v/>
      </c>
      <c r="Q1249" s="359"/>
      <c r="R1249" s="359"/>
      <c r="S1249" s="321"/>
      <c r="T1249" s="321"/>
      <c r="U1249" s="373" t="str">
        <f t="shared" si="76"/>
        <v/>
      </c>
      <c r="V1249" s="314" t="str">
        <f t="shared" si="77"/>
        <v/>
      </c>
      <c r="W1249" s="314" t="str" cm="1">
        <f t="array" aca="1" ref="W1249" ca="1">IFERROR(IF(AE1249&lt;&gt;"ja",_xlfn.IFNA(_xlfn.IFS(AND(O1249&lt;&gt;"",F1249&lt;&gt;"",RIGHT($N1249,6)="tarief",F1249="Vergoeding"),SUM(O1249)*FLOOR(SUM(Q1249),0.0001),AND(O1249&lt;&gt;"",F1249&lt;&gt;"",RIGHT($N1249,6)="tarief"),SUM(O1249)*FLOOR(SUM(Q1249),0.01),S1249&gt;0,IF(F1249&lt;&gt;"",FLOOR(SUM(S1249),0.01),"")),""),""),"")</f>
        <v/>
      </c>
      <c r="X1249" s="314" t="str" cm="1">
        <f t="array" aca="1" ref="X1249" ca="1">IFERROR(IF(AE1249&lt;&gt;"ja",_xlfn.IFNA(_xlfn.IFS(AND(P1249&lt;&gt;"",R1249&lt;&gt;"",RIGHT($N1249,6)="tarief",F1249="Vergoeding"),SUM(P1249)*FLOOR(SUM(R1249),0.0001),AND(P1249&lt;&gt;"",R1249&lt;&gt;"",RIGHT($N1249,6)="tarief"),P1249*FLOOR(R1249,0.01),T1249&gt;0,FLOOR(SUM(T1249),0.01)),""),""),"")</f>
        <v/>
      </c>
      <c r="Y1249" s="314" t="str">
        <f t="shared" ca="1" si="78"/>
        <v/>
      </c>
      <c r="Z1249" s="314" t="str" cm="1">
        <f t="array" aca="1" ref="Z1249" ca="1">IFERROR(_xlfn.IFS(OR(F1249="",LEFT(Methode_Keuze,4)="Geen",Methode_Keuze=""),"",AND(W1249&lt;&gt;"",F1249&lt;&gt;"Arbeidskosten"),W1249*VLOOKUP(F1249,Tb_ProjectKosten[],MATCH(Tb_ProjectKosten[[#Headers],[Forfait_Percentage]],Tb_ProjectKosten[#Headers],0),0),AND(F1249="Arbeidskosten",G1249&lt;&gt;""),IFERROR(W1249*VLOOKUP(G1249,Tb_KostenTypen[],3,0)*VLOOKUP(F1249,Tb_ProjectKosten[],MATCH(Tb_ProjectKosten[[#Headers],[Forfait_Percentage]],Tb_ProjectKosten[#Headers],0),0),""),W1249 &lt;=0,0),"")</f>
        <v/>
      </c>
      <c r="AA1249" s="314" t="str" cm="1">
        <f t="array" aca="1" ref="AA1249" ca="1">IFERROR(_xlfn.IFS(OR(F1249="",LEFT(Methode_Keuze,4)="Geen",Methode_Keuze=""),"",AND(X1249&lt;&gt;"",F1249&lt;&gt;"Arbeidskosten"),X1249*VLOOKUP(F1249,Tb_ProjectKosten[],MATCH(Tb_ProjectKosten[[#Headers],[Forfait_Percentage]],Tb_ProjectKosten[#Headers],0),0),AND(F1249="Arbeidskosten",G1249&lt;&gt;""),IFERROR(X1249*VLOOKUP(G1249,Tb_KostenTypen[],3,0)*VLOOKUP(F1249,Tb_ProjectKosten[],MATCH(Tb_ProjectKosten[[#Headers],[Forfait_Percentage]],Tb_ProjectKosten[#Headers],0),0),""),X1249 &lt;=0,0),"")</f>
        <v/>
      </c>
      <c r="AB1249" s="314" t="str">
        <f t="shared" ca="1" si="79"/>
        <v/>
      </c>
      <c r="AC1249" s="322"/>
      <c r="AD1249" s="315"/>
      <c r="AE1249" s="32" t="str" cm="1">
        <f t="array" ref="AE1249">IFERROR(IF(INDEX(SubsidieTabel!$AD$1:$AG$12,MATCH($F1249,SubsidieTabel!$AD$1:$AD$12,0),IFERROR(MATCH(Methode_Keuze,SubsidieTabel!$AD$1:$AG$1,0),2))&lt;&gt;1=TRUE,"ja",""),"")</f>
        <v/>
      </c>
    </row>
    <row r="1250" spans="1:31" x14ac:dyDescent="0.25">
      <c r="A1250" s="316"/>
      <c r="B1250" s="317" t="str">
        <f>IF(A1250&lt;&gt;"",_xlfn.MAXIFS($B$1:B1249,$A$1:A1249,A1250)+1,"")</f>
        <v/>
      </c>
      <c r="C1250" s="296"/>
      <c r="D1250" s="296"/>
      <c r="E1250" s="296"/>
      <c r="F1250" s="296"/>
      <c r="G1250" s="326"/>
      <c r="H1250" s="324"/>
      <c r="I1250" s="325"/>
      <c r="J1250" s="325"/>
      <c r="K1250" s="318"/>
      <c r="L1250" s="318"/>
      <c r="M1250" s="319" t="str">
        <f>IFERROR(VLOOKUP(H1250,Lijsten!$H$1:$I$100,2,0),"")</f>
        <v/>
      </c>
      <c r="N1250" s="319" t="str">
        <f ca="1">IFERROR(IF(VLOOKUP(F1250,Kostentypen!$A$3:$E$21,3,0)=0,"",IF(OR(F1250="Arbeidskosten",F1250="Vergoeding"),VLOOKUP(G1250,Tb_KostenTypen[],2,0),VLOOKUP(F1250,Kostentypen!$A$3:$E$20,3,0))),"")</f>
        <v/>
      </c>
      <c r="O1250" s="320" t="str" cm="1">
        <f t="array" ref="O1250">_xlfn.IFNA(IF(INDEX(Tb_KostenOptiesDB[],MATCH($F1250,Tb_KostenOptiesDB[KostenOptie],0),IFERROR(MATCH(Methode_Keuze,Tb_KostenOptiesDB[#Headers],0),2))=1,_xlfn.SWITCH($N1250,"Uurtarief",IF(OR(AND(RIGHT($F1250,3)="IKS",VLOOKUP($M1250,DB_Loonkosten,2,0)="Ja"),AND(RIGHT($F1250,3)&lt;&gt;"IKS",VLOOKUP($M1250,DB_Loonkosten,2,0)="Nee")),IFERROR(VLOOKUP($M1250,DB_Loonkosten,24,0),""),0),"Vast tarief",IF(LEFT(F1250,8)="Bijdrage",VLOOKUP($F1250,Tb_KostenTypen[],MATCH(Lijsten!$P$1,Tb_KostenTypen[#Headers],0),0),VLOOKUP($G1250,Lijsten!L:P,MATCH(Lijsten!$P$1,Kop_Tarief_Vast,0),0))),""),"")</f>
        <v/>
      </c>
      <c r="P1250" s="320" t="str" cm="1">
        <f t="array" ref="P1250">_xlfn.IFNA(IF(INDEX(Tb_KostenOptiesDB[],MATCH($F1250,Tb_KostenOptiesDB[KostenOptie],0),IFERROR(MATCH(Methode_Keuze,Tb_KostenOptiesDB[#Headers],0),2))=1,_xlfn.SWITCH($N1250,"Uurtarief",IF(OR(AND(RIGHT($F1250,3)="IKS",VLOOKUP($M1250,DB_Loonkosten,2,0)="Ja"),AND(RIGHT($F1250,3)&lt;&gt;"IKS",VLOOKUP($M1250,DB_Loonkosten,2,0)="Nee")),IFERROR(VLOOKUP($M1250,DB_Loonkosten,25,0),""),0),"Vast tarief",IF(LEFT(F1250,8)="Bijdrage",VLOOKUP($F1250,Tb_KostenTypen[],MATCH(Lijsten!$P$1,Tb_KostenTypen[#Headers],0),0),VLOOKUP($G1250,Lijsten!L:P,MATCH(Lijsten!$P$1,Kop_Tarief_Vast,0),0))),""),"")</f>
        <v/>
      </c>
      <c r="Q1250" s="359"/>
      <c r="R1250" s="359"/>
      <c r="S1250" s="321"/>
      <c r="T1250" s="321"/>
      <c r="U1250" s="373" t="str">
        <f t="shared" si="76"/>
        <v/>
      </c>
      <c r="V1250" s="314" t="str">
        <f t="shared" si="77"/>
        <v/>
      </c>
      <c r="W1250" s="314" t="str" cm="1">
        <f t="array" aca="1" ref="W1250" ca="1">IFERROR(IF(AE1250&lt;&gt;"ja",_xlfn.IFNA(_xlfn.IFS(AND(O1250&lt;&gt;"",F1250&lt;&gt;"",RIGHT($N1250,6)="tarief",F1250="Vergoeding"),SUM(O1250)*FLOOR(SUM(Q1250),0.0001),AND(O1250&lt;&gt;"",F1250&lt;&gt;"",RIGHT($N1250,6)="tarief"),SUM(O1250)*FLOOR(SUM(Q1250),0.01),S1250&gt;0,IF(F1250&lt;&gt;"",FLOOR(SUM(S1250),0.01),"")),""),""),"")</f>
        <v/>
      </c>
      <c r="X1250" s="314" t="str" cm="1">
        <f t="array" aca="1" ref="X1250" ca="1">IFERROR(IF(AE1250&lt;&gt;"ja",_xlfn.IFNA(_xlfn.IFS(AND(P1250&lt;&gt;"",R1250&lt;&gt;"",RIGHT($N1250,6)="tarief",F1250="Vergoeding"),SUM(P1250)*FLOOR(SUM(R1250),0.0001),AND(P1250&lt;&gt;"",R1250&lt;&gt;"",RIGHT($N1250,6)="tarief"),P1250*FLOOR(R1250,0.01),T1250&gt;0,FLOOR(SUM(T1250),0.01)),""),""),"")</f>
        <v/>
      </c>
      <c r="Y1250" s="314" t="str">
        <f t="shared" ca="1" si="78"/>
        <v/>
      </c>
      <c r="Z1250" s="314" t="str" cm="1">
        <f t="array" aca="1" ref="Z1250" ca="1">IFERROR(_xlfn.IFS(OR(F1250="",LEFT(Methode_Keuze,4)="Geen",Methode_Keuze=""),"",AND(W1250&lt;&gt;"",F1250&lt;&gt;"Arbeidskosten"),W1250*VLOOKUP(F1250,Tb_ProjectKosten[],MATCH(Tb_ProjectKosten[[#Headers],[Forfait_Percentage]],Tb_ProjectKosten[#Headers],0),0),AND(F1250="Arbeidskosten",G1250&lt;&gt;""),IFERROR(W1250*VLOOKUP(G1250,Tb_KostenTypen[],3,0)*VLOOKUP(F1250,Tb_ProjectKosten[],MATCH(Tb_ProjectKosten[[#Headers],[Forfait_Percentage]],Tb_ProjectKosten[#Headers],0),0),""),W1250 &lt;=0,0),"")</f>
        <v/>
      </c>
      <c r="AA1250" s="314" t="str" cm="1">
        <f t="array" aca="1" ref="AA1250" ca="1">IFERROR(_xlfn.IFS(OR(F1250="",LEFT(Methode_Keuze,4)="Geen",Methode_Keuze=""),"",AND(X1250&lt;&gt;"",F1250&lt;&gt;"Arbeidskosten"),X1250*VLOOKUP(F1250,Tb_ProjectKosten[],MATCH(Tb_ProjectKosten[[#Headers],[Forfait_Percentage]],Tb_ProjectKosten[#Headers],0),0),AND(F1250="Arbeidskosten",G1250&lt;&gt;""),IFERROR(X1250*VLOOKUP(G1250,Tb_KostenTypen[],3,0)*VLOOKUP(F1250,Tb_ProjectKosten[],MATCH(Tb_ProjectKosten[[#Headers],[Forfait_Percentage]],Tb_ProjectKosten[#Headers],0),0),""),X1250 &lt;=0,0),"")</f>
        <v/>
      </c>
      <c r="AB1250" s="314" t="str">
        <f t="shared" ca="1" si="79"/>
        <v/>
      </c>
      <c r="AC1250" s="322"/>
      <c r="AD1250" s="315"/>
      <c r="AE1250" s="32" t="str" cm="1">
        <f t="array" ref="AE1250">IFERROR(IF(INDEX(SubsidieTabel!$AD$1:$AG$12,MATCH($F1250,SubsidieTabel!$AD$1:$AD$12,0),IFERROR(MATCH(Methode_Keuze,SubsidieTabel!$AD$1:$AG$1,0),2))&lt;&gt;1=TRUE,"ja",""),"")</f>
        <v/>
      </c>
    </row>
    <row r="1251" spans="1:31" x14ac:dyDescent="0.25">
      <c r="A1251" s="316"/>
      <c r="B1251" s="317" t="str">
        <f>IF(A1251&lt;&gt;"",_xlfn.MAXIFS($B$1:B1250,$A$1:A1250,A1251)+1,"")</f>
        <v/>
      </c>
      <c r="C1251" s="296"/>
      <c r="D1251" s="296"/>
      <c r="E1251" s="296"/>
      <c r="F1251" s="296"/>
      <c r="G1251" s="326"/>
      <c r="H1251" s="324"/>
      <c r="I1251" s="325"/>
      <c r="J1251" s="325"/>
      <c r="K1251" s="318"/>
      <c r="L1251" s="318"/>
      <c r="M1251" s="319" t="str">
        <f>IFERROR(VLOOKUP(H1251,Lijsten!$H$1:$I$100,2,0),"")</f>
        <v/>
      </c>
      <c r="N1251" s="319" t="str">
        <f ca="1">IFERROR(IF(VLOOKUP(F1251,Kostentypen!$A$3:$E$21,3,0)=0,"",IF(OR(F1251="Arbeidskosten",F1251="Vergoeding"),VLOOKUP(G1251,Tb_KostenTypen[],2,0),VLOOKUP(F1251,Kostentypen!$A$3:$E$20,3,0))),"")</f>
        <v/>
      </c>
      <c r="O1251" s="320" t="str" cm="1">
        <f t="array" ref="O1251">_xlfn.IFNA(IF(INDEX(Tb_KostenOptiesDB[],MATCH($F1251,Tb_KostenOptiesDB[KostenOptie],0),IFERROR(MATCH(Methode_Keuze,Tb_KostenOptiesDB[#Headers],0),2))=1,_xlfn.SWITCH($N1251,"Uurtarief",IF(OR(AND(RIGHT($F1251,3)="IKS",VLOOKUP($M1251,DB_Loonkosten,2,0)="Ja"),AND(RIGHT($F1251,3)&lt;&gt;"IKS",VLOOKUP($M1251,DB_Loonkosten,2,0)="Nee")),IFERROR(VLOOKUP($M1251,DB_Loonkosten,24,0),""),0),"Vast tarief",IF(LEFT(F1251,8)="Bijdrage",VLOOKUP($F1251,Tb_KostenTypen[],MATCH(Lijsten!$P$1,Tb_KostenTypen[#Headers],0),0),VLOOKUP($G1251,Lijsten!L:P,MATCH(Lijsten!$P$1,Kop_Tarief_Vast,0),0))),""),"")</f>
        <v/>
      </c>
      <c r="P1251" s="320" t="str" cm="1">
        <f t="array" ref="P1251">_xlfn.IFNA(IF(INDEX(Tb_KostenOptiesDB[],MATCH($F1251,Tb_KostenOptiesDB[KostenOptie],0),IFERROR(MATCH(Methode_Keuze,Tb_KostenOptiesDB[#Headers],0),2))=1,_xlfn.SWITCH($N1251,"Uurtarief",IF(OR(AND(RIGHT($F1251,3)="IKS",VLOOKUP($M1251,DB_Loonkosten,2,0)="Ja"),AND(RIGHT($F1251,3)&lt;&gt;"IKS",VLOOKUP($M1251,DB_Loonkosten,2,0)="Nee")),IFERROR(VLOOKUP($M1251,DB_Loonkosten,25,0),""),0),"Vast tarief",IF(LEFT(F1251,8)="Bijdrage",VLOOKUP($F1251,Tb_KostenTypen[],MATCH(Lijsten!$P$1,Tb_KostenTypen[#Headers],0),0),VLOOKUP($G1251,Lijsten!L:P,MATCH(Lijsten!$P$1,Kop_Tarief_Vast,0),0))),""),"")</f>
        <v/>
      </c>
      <c r="Q1251" s="359"/>
      <c r="R1251" s="359"/>
      <c r="S1251" s="321"/>
      <c r="T1251" s="321"/>
      <c r="U1251" s="373" t="str">
        <f t="shared" si="76"/>
        <v/>
      </c>
      <c r="V1251" s="314" t="str">
        <f t="shared" si="77"/>
        <v/>
      </c>
      <c r="W1251" s="314" t="str" cm="1">
        <f t="array" aca="1" ref="W1251" ca="1">IFERROR(IF(AE1251&lt;&gt;"ja",_xlfn.IFNA(_xlfn.IFS(AND(O1251&lt;&gt;"",F1251&lt;&gt;"",RIGHT($N1251,6)="tarief",F1251="Vergoeding"),SUM(O1251)*FLOOR(SUM(Q1251),0.0001),AND(O1251&lt;&gt;"",F1251&lt;&gt;"",RIGHT($N1251,6)="tarief"),SUM(O1251)*FLOOR(SUM(Q1251),0.01),S1251&gt;0,IF(F1251&lt;&gt;"",FLOOR(SUM(S1251),0.01),"")),""),""),"")</f>
        <v/>
      </c>
      <c r="X1251" s="314" t="str" cm="1">
        <f t="array" aca="1" ref="X1251" ca="1">IFERROR(IF(AE1251&lt;&gt;"ja",_xlfn.IFNA(_xlfn.IFS(AND(P1251&lt;&gt;"",R1251&lt;&gt;"",RIGHT($N1251,6)="tarief",F1251="Vergoeding"),SUM(P1251)*FLOOR(SUM(R1251),0.0001),AND(P1251&lt;&gt;"",R1251&lt;&gt;"",RIGHT($N1251,6)="tarief"),P1251*FLOOR(R1251,0.01),T1251&gt;0,FLOOR(SUM(T1251),0.01)),""),""),"")</f>
        <v/>
      </c>
      <c r="Y1251" s="314" t="str">
        <f t="shared" ca="1" si="78"/>
        <v/>
      </c>
      <c r="Z1251" s="314" t="str" cm="1">
        <f t="array" aca="1" ref="Z1251" ca="1">IFERROR(_xlfn.IFS(OR(F1251="",LEFT(Methode_Keuze,4)="Geen",Methode_Keuze=""),"",AND(W1251&lt;&gt;"",F1251&lt;&gt;"Arbeidskosten"),W1251*VLOOKUP(F1251,Tb_ProjectKosten[],MATCH(Tb_ProjectKosten[[#Headers],[Forfait_Percentage]],Tb_ProjectKosten[#Headers],0),0),AND(F1251="Arbeidskosten",G1251&lt;&gt;""),IFERROR(W1251*VLOOKUP(G1251,Tb_KostenTypen[],3,0)*VLOOKUP(F1251,Tb_ProjectKosten[],MATCH(Tb_ProjectKosten[[#Headers],[Forfait_Percentage]],Tb_ProjectKosten[#Headers],0),0),""),W1251 &lt;=0,0),"")</f>
        <v/>
      </c>
      <c r="AA1251" s="314" t="str" cm="1">
        <f t="array" aca="1" ref="AA1251" ca="1">IFERROR(_xlfn.IFS(OR(F1251="",LEFT(Methode_Keuze,4)="Geen",Methode_Keuze=""),"",AND(X1251&lt;&gt;"",F1251&lt;&gt;"Arbeidskosten"),X1251*VLOOKUP(F1251,Tb_ProjectKosten[],MATCH(Tb_ProjectKosten[[#Headers],[Forfait_Percentage]],Tb_ProjectKosten[#Headers],0),0),AND(F1251="Arbeidskosten",G1251&lt;&gt;""),IFERROR(X1251*VLOOKUP(G1251,Tb_KostenTypen[],3,0)*VLOOKUP(F1251,Tb_ProjectKosten[],MATCH(Tb_ProjectKosten[[#Headers],[Forfait_Percentage]],Tb_ProjectKosten[#Headers],0),0),""),X1251 &lt;=0,0),"")</f>
        <v/>
      </c>
      <c r="AB1251" s="314" t="str">
        <f t="shared" ca="1" si="79"/>
        <v/>
      </c>
      <c r="AC1251" s="322"/>
      <c r="AD1251" s="315"/>
      <c r="AE1251" s="32" t="str" cm="1">
        <f t="array" ref="AE1251">IFERROR(IF(INDEX(SubsidieTabel!$AD$1:$AG$12,MATCH($F1251,SubsidieTabel!$AD$1:$AD$12,0),IFERROR(MATCH(Methode_Keuze,SubsidieTabel!$AD$1:$AG$1,0),2))&lt;&gt;1=TRUE,"ja",""),"")</f>
        <v/>
      </c>
    </row>
    <row r="1252" spans="1:31" x14ac:dyDescent="0.25">
      <c r="A1252" s="316"/>
      <c r="B1252" s="317" t="str">
        <f>IF(A1252&lt;&gt;"",_xlfn.MAXIFS($B$1:B1251,$A$1:A1251,A1252)+1,"")</f>
        <v/>
      </c>
      <c r="C1252" s="296"/>
      <c r="D1252" s="296"/>
      <c r="E1252" s="296"/>
      <c r="F1252" s="296"/>
      <c r="G1252" s="326"/>
      <c r="H1252" s="324"/>
      <c r="I1252" s="325"/>
      <c r="J1252" s="325"/>
      <c r="K1252" s="318"/>
      <c r="L1252" s="318"/>
      <c r="M1252" s="319" t="str">
        <f>IFERROR(VLOOKUP(H1252,Lijsten!$H$1:$I$100,2,0),"")</f>
        <v/>
      </c>
      <c r="N1252" s="319" t="str">
        <f ca="1">IFERROR(IF(VLOOKUP(F1252,Kostentypen!$A$3:$E$21,3,0)=0,"",IF(OR(F1252="Arbeidskosten",F1252="Vergoeding"),VLOOKUP(G1252,Tb_KostenTypen[],2,0),VLOOKUP(F1252,Kostentypen!$A$3:$E$20,3,0))),"")</f>
        <v/>
      </c>
      <c r="O1252" s="320" t="str" cm="1">
        <f t="array" ref="O1252">_xlfn.IFNA(IF(INDEX(Tb_KostenOptiesDB[],MATCH($F1252,Tb_KostenOptiesDB[KostenOptie],0),IFERROR(MATCH(Methode_Keuze,Tb_KostenOptiesDB[#Headers],0),2))=1,_xlfn.SWITCH($N1252,"Uurtarief",IF(OR(AND(RIGHT($F1252,3)="IKS",VLOOKUP($M1252,DB_Loonkosten,2,0)="Ja"),AND(RIGHT($F1252,3)&lt;&gt;"IKS",VLOOKUP($M1252,DB_Loonkosten,2,0)="Nee")),IFERROR(VLOOKUP($M1252,DB_Loonkosten,24,0),""),0),"Vast tarief",IF(LEFT(F1252,8)="Bijdrage",VLOOKUP($F1252,Tb_KostenTypen[],MATCH(Lijsten!$P$1,Tb_KostenTypen[#Headers],0),0),VLOOKUP($G1252,Lijsten!L:P,MATCH(Lijsten!$P$1,Kop_Tarief_Vast,0),0))),""),"")</f>
        <v/>
      </c>
      <c r="P1252" s="320" t="str" cm="1">
        <f t="array" ref="P1252">_xlfn.IFNA(IF(INDEX(Tb_KostenOptiesDB[],MATCH($F1252,Tb_KostenOptiesDB[KostenOptie],0),IFERROR(MATCH(Methode_Keuze,Tb_KostenOptiesDB[#Headers],0),2))=1,_xlfn.SWITCH($N1252,"Uurtarief",IF(OR(AND(RIGHT($F1252,3)="IKS",VLOOKUP($M1252,DB_Loonkosten,2,0)="Ja"),AND(RIGHT($F1252,3)&lt;&gt;"IKS",VLOOKUP($M1252,DB_Loonkosten,2,0)="Nee")),IFERROR(VLOOKUP($M1252,DB_Loonkosten,25,0),""),0),"Vast tarief",IF(LEFT(F1252,8)="Bijdrage",VLOOKUP($F1252,Tb_KostenTypen[],MATCH(Lijsten!$P$1,Tb_KostenTypen[#Headers],0),0),VLOOKUP($G1252,Lijsten!L:P,MATCH(Lijsten!$P$1,Kop_Tarief_Vast,0),0))),""),"")</f>
        <v/>
      </c>
      <c r="Q1252" s="359"/>
      <c r="R1252" s="359"/>
      <c r="S1252" s="321"/>
      <c r="T1252" s="321"/>
      <c r="U1252" s="373" t="str">
        <f t="shared" si="76"/>
        <v/>
      </c>
      <c r="V1252" s="314" t="str">
        <f t="shared" si="77"/>
        <v/>
      </c>
      <c r="W1252" s="314" t="str" cm="1">
        <f t="array" aca="1" ref="W1252" ca="1">IFERROR(IF(AE1252&lt;&gt;"ja",_xlfn.IFNA(_xlfn.IFS(AND(O1252&lt;&gt;"",F1252&lt;&gt;"",RIGHT($N1252,6)="tarief",F1252="Vergoeding"),SUM(O1252)*FLOOR(SUM(Q1252),0.0001),AND(O1252&lt;&gt;"",F1252&lt;&gt;"",RIGHT($N1252,6)="tarief"),SUM(O1252)*FLOOR(SUM(Q1252),0.01),S1252&gt;0,IF(F1252&lt;&gt;"",FLOOR(SUM(S1252),0.01),"")),""),""),"")</f>
        <v/>
      </c>
      <c r="X1252" s="314" t="str" cm="1">
        <f t="array" aca="1" ref="X1252" ca="1">IFERROR(IF(AE1252&lt;&gt;"ja",_xlfn.IFNA(_xlfn.IFS(AND(P1252&lt;&gt;"",R1252&lt;&gt;"",RIGHT($N1252,6)="tarief",F1252="Vergoeding"),SUM(P1252)*FLOOR(SUM(R1252),0.0001),AND(P1252&lt;&gt;"",R1252&lt;&gt;"",RIGHT($N1252,6)="tarief"),P1252*FLOOR(R1252,0.01),T1252&gt;0,FLOOR(SUM(T1252),0.01)),""),""),"")</f>
        <v/>
      </c>
      <c r="Y1252" s="314" t="str">
        <f t="shared" ca="1" si="78"/>
        <v/>
      </c>
      <c r="Z1252" s="314" t="str" cm="1">
        <f t="array" aca="1" ref="Z1252" ca="1">IFERROR(_xlfn.IFS(OR(F1252="",LEFT(Methode_Keuze,4)="Geen",Methode_Keuze=""),"",AND(W1252&lt;&gt;"",F1252&lt;&gt;"Arbeidskosten"),W1252*VLOOKUP(F1252,Tb_ProjectKosten[],MATCH(Tb_ProjectKosten[[#Headers],[Forfait_Percentage]],Tb_ProjectKosten[#Headers],0),0),AND(F1252="Arbeidskosten",G1252&lt;&gt;""),IFERROR(W1252*VLOOKUP(G1252,Tb_KostenTypen[],3,0)*VLOOKUP(F1252,Tb_ProjectKosten[],MATCH(Tb_ProjectKosten[[#Headers],[Forfait_Percentage]],Tb_ProjectKosten[#Headers],0),0),""),W1252 &lt;=0,0),"")</f>
        <v/>
      </c>
      <c r="AA1252" s="314" t="str" cm="1">
        <f t="array" aca="1" ref="AA1252" ca="1">IFERROR(_xlfn.IFS(OR(F1252="",LEFT(Methode_Keuze,4)="Geen",Methode_Keuze=""),"",AND(X1252&lt;&gt;"",F1252&lt;&gt;"Arbeidskosten"),X1252*VLOOKUP(F1252,Tb_ProjectKosten[],MATCH(Tb_ProjectKosten[[#Headers],[Forfait_Percentage]],Tb_ProjectKosten[#Headers],0),0),AND(F1252="Arbeidskosten",G1252&lt;&gt;""),IFERROR(X1252*VLOOKUP(G1252,Tb_KostenTypen[],3,0)*VLOOKUP(F1252,Tb_ProjectKosten[],MATCH(Tb_ProjectKosten[[#Headers],[Forfait_Percentage]],Tb_ProjectKosten[#Headers],0),0),""),X1252 &lt;=0,0),"")</f>
        <v/>
      </c>
      <c r="AB1252" s="314" t="str">
        <f t="shared" ca="1" si="79"/>
        <v/>
      </c>
      <c r="AC1252" s="322"/>
      <c r="AD1252" s="315"/>
      <c r="AE1252" s="32" t="str" cm="1">
        <f t="array" ref="AE1252">IFERROR(IF(INDEX(SubsidieTabel!$AD$1:$AG$12,MATCH($F1252,SubsidieTabel!$AD$1:$AD$12,0),IFERROR(MATCH(Methode_Keuze,SubsidieTabel!$AD$1:$AG$1,0),2))&lt;&gt;1=TRUE,"ja",""),"")</f>
        <v/>
      </c>
    </row>
    <row r="1253" spans="1:31" x14ac:dyDescent="0.25">
      <c r="A1253" s="316"/>
      <c r="B1253" s="317" t="str">
        <f>IF(A1253&lt;&gt;"",_xlfn.MAXIFS($B$1:B1252,$A$1:A1252,A1253)+1,"")</f>
        <v/>
      </c>
      <c r="C1253" s="296"/>
      <c r="D1253" s="296"/>
      <c r="E1253" s="296"/>
      <c r="F1253" s="296"/>
      <c r="G1253" s="326"/>
      <c r="H1253" s="324"/>
      <c r="I1253" s="325"/>
      <c r="J1253" s="325"/>
      <c r="K1253" s="318"/>
      <c r="L1253" s="318"/>
      <c r="M1253" s="319" t="str">
        <f>IFERROR(VLOOKUP(H1253,Lijsten!$H$1:$I$100,2,0),"")</f>
        <v/>
      </c>
      <c r="N1253" s="319" t="str">
        <f ca="1">IFERROR(IF(VLOOKUP(F1253,Kostentypen!$A$3:$E$21,3,0)=0,"",IF(OR(F1253="Arbeidskosten",F1253="Vergoeding"),VLOOKUP(G1253,Tb_KostenTypen[],2,0),VLOOKUP(F1253,Kostentypen!$A$3:$E$20,3,0))),"")</f>
        <v/>
      </c>
      <c r="O1253" s="320" t="str" cm="1">
        <f t="array" ref="O1253">_xlfn.IFNA(IF(INDEX(Tb_KostenOptiesDB[],MATCH($F1253,Tb_KostenOptiesDB[KostenOptie],0),IFERROR(MATCH(Methode_Keuze,Tb_KostenOptiesDB[#Headers],0),2))=1,_xlfn.SWITCH($N1253,"Uurtarief",IF(OR(AND(RIGHT($F1253,3)="IKS",VLOOKUP($M1253,DB_Loonkosten,2,0)="Ja"),AND(RIGHT($F1253,3)&lt;&gt;"IKS",VLOOKUP($M1253,DB_Loonkosten,2,0)="Nee")),IFERROR(VLOOKUP($M1253,DB_Loonkosten,24,0),""),0),"Vast tarief",IF(LEFT(F1253,8)="Bijdrage",VLOOKUP($F1253,Tb_KostenTypen[],MATCH(Lijsten!$P$1,Tb_KostenTypen[#Headers],0),0),VLOOKUP($G1253,Lijsten!L:P,MATCH(Lijsten!$P$1,Kop_Tarief_Vast,0),0))),""),"")</f>
        <v/>
      </c>
      <c r="P1253" s="320" t="str" cm="1">
        <f t="array" ref="P1253">_xlfn.IFNA(IF(INDEX(Tb_KostenOptiesDB[],MATCH($F1253,Tb_KostenOptiesDB[KostenOptie],0),IFERROR(MATCH(Methode_Keuze,Tb_KostenOptiesDB[#Headers],0),2))=1,_xlfn.SWITCH($N1253,"Uurtarief",IF(OR(AND(RIGHT($F1253,3)="IKS",VLOOKUP($M1253,DB_Loonkosten,2,0)="Ja"),AND(RIGHT($F1253,3)&lt;&gt;"IKS",VLOOKUP($M1253,DB_Loonkosten,2,0)="Nee")),IFERROR(VLOOKUP($M1253,DB_Loonkosten,25,0),""),0),"Vast tarief",IF(LEFT(F1253,8)="Bijdrage",VLOOKUP($F1253,Tb_KostenTypen[],MATCH(Lijsten!$P$1,Tb_KostenTypen[#Headers],0),0),VLOOKUP($G1253,Lijsten!L:P,MATCH(Lijsten!$P$1,Kop_Tarief_Vast,0),0))),""),"")</f>
        <v/>
      </c>
      <c r="Q1253" s="359"/>
      <c r="R1253" s="359"/>
      <c r="S1253" s="321"/>
      <c r="T1253" s="321"/>
      <c r="U1253" s="373" t="str">
        <f t="shared" si="76"/>
        <v/>
      </c>
      <c r="V1253" s="314" t="str">
        <f t="shared" si="77"/>
        <v/>
      </c>
      <c r="W1253" s="314" t="str" cm="1">
        <f t="array" aca="1" ref="W1253" ca="1">IFERROR(IF(AE1253&lt;&gt;"ja",_xlfn.IFNA(_xlfn.IFS(AND(O1253&lt;&gt;"",F1253&lt;&gt;"",RIGHT($N1253,6)="tarief",F1253="Vergoeding"),SUM(O1253)*FLOOR(SUM(Q1253),0.0001),AND(O1253&lt;&gt;"",F1253&lt;&gt;"",RIGHT($N1253,6)="tarief"),SUM(O1253)*FLOOR(SUM(Q1253),0.01),S1253&gt;0,IF(F1253&lt;&gt;"",FLOOR(SUM(S1253),0.01),"")),""),""),"")</f>
        <v/>
      </c>
      <c r="X1253" s="314" t="str" cm="1">
        <f t="array" aca="1" ref="X1253" ca="1">IFERROR(IF(AE1253&lt;&gt;"ja",_xlfn.IFNA(_xlfn.IFS(AND(P1253&lt;&gt;"",R1253&lt;&gt;"",RIGHT($N1253,6)="tarief",F1253="Vergoeding"),SUM(P1253)*FLOOR(SUM(R1253),0.0001),AND(P1253&lt;&gt;"",R1253&lt;&gt;"",RIGHT($N1253,6)="tarief"),P1253*FLOOR(R1253,0.01),T1253&gt;0,FLOOR(SUM(T1253),0.01)),""),""),"")</f>
        <v/>
      </c>
      <c r="Y1253" s="314" t="str">
        <f t="shared" ca="1" si="78"/>
        <v/>
      </c>
      <c r="Z1253" s="314" t="str" cm="1">
        <f t="array" aca="1" ref="Z1253" ca="1">IFERROR(_xlfn.IFS(OR(F1253="",LEFT(Methode_Keuze,4)="Geen",Methode_Keuze=""),"",AND(W1253&lt;&gt;"",F1253&lt;&gt;"Arbeidskosten"),W1253*VLOOKUP(F1253,Tb_ProjectKosten[],MATCH(Tb_ProjectKosten[[#Headers],[Forfait_Percentage]],Tb_ProjectKosten[#Headers],0),0),AND(F1253="Arbeidskosten",G1253&lt;&gt;""),IFERROR(W1253*VLOOKUP(G1253,Tb_KostenTypen[],3,0)*VLOOKUP(F1253,Tb_ProjectKosten[],MATCH(Tb_ProjectKosten[[#Headers],[Forfait_Percentage]],Tb_ProjectKosten[#Headers],0),0),""),W1253 &lt;=0,0),"")</f>
        <v/>
      </c>
      <c r="AA1253" s="314" t="str" cm="1">
        <f t="array" aca="1" ref="AA1253" ca="1">IFERROR(_xlfn.IFS(OR(F1253="",LEFT(Methode_Keuze,4)="Geen",Methode_Keuze=""),"",AND(X1253&lt;&gt;"",F1253&lt;&gt;"Arbeidskosten"),X1253*VLOOKUP(F1253,Tb_ProjectKosten[],MATCH(Tb_ProjectKosten[[#Headers],[Forfait_Percentage]],Tb_ProjectKosten[#Headers],0),0),AND(F1253="Arbeidskosten",G1253&lt;&gt;""),IFERROR(X1253*VLOOKUP(G1253,Tb_KostenTypen[],3,0)*VLOOKUP(F1253,Tb_ProjectKosten[],MATCH(Tb_ProjectKosten[[#Headers],[Forfait_Percentage]],Tb_ProjectKosten[#Headers],0),0),""),X1253 &lt;=0,0),"")</f>
        <v/>
      </c>
      <c r="AB1253" s="314" t="str">
        <f t="shared" ca="1" si="79"/>
        <v/>
      </c>
      <c r="AC1253" s="322"/>
      <c r="AD1253" s="315"/>
      <c r="AE1253" s="32" t="str" cm="1">
        <f t="array" ref="AE1253">IFERROR(IF(INDEX(SubsidieTabel!$AD$1:$AG$12,MATCH($F1253,SubsidieTabel!$AD$1:$AD$12,0),IFERROR(MATCH(Methode_Keuze,SubsidieTabel!$AD$1:$AG$1,0),2))&lt;&gt;1=TRUE,"ja",""),"")</f>
        <v/>
      </c>
    </row>
    <row r="1254" spans="1:31" x14ac:dyDescent="0.25">
      <c r="A1254" s="316"/>
      <c r="B1254" s="317" t="str">
        <f>IF(A1254&lt;&gt;"",_xlfn.MAXIFS($B$1:B1253,$A$1:A1253,A1254)+1,"")</f>
        <v/>
      </c>
      <c r="C1254" s="296"/>
      <c r="D1254" s="296"/>
      <c r="E1254" s="296"/>
      <c r="F1254" s="296"/>
      <c r="G1254" s="326"/>
      <c r="H1254" s="324"/>
      <c r="I1254" s="325"/>
      <c r="J1254" s="325"/>
      <c r="K1254" s="318"/>
      <c r="L1254" s="318"/>
      <c r="M1254" s="319" t="str">
        <f>IFERROR(VLOOKUP(H1254,Lijsten!$H$1:$I$100,2,0),"")</f>
        <v/>
      </c>
      <c r="N1254" s="319" t="str">
        <f ca="1">IFERROR(IF(VLOOKUP(F1254,Kostentypen!$A$3:$E$21,3,0)=0,"",IF(OR(F1254="Arbeidskosten",F1254="Vergoeding"),VLOOKUP(G1254,Tb_KostenTypen[],2,0),VLOOKUP(F1254,Kostentypen!$A$3:$E$20,3,0))),"")</f>
        <v/>
      </c>
      <c r="O1254" s="320" t="str" cm="1">
        <f t="array" ref="O1254">_xlfn.IFNA(IF(INDEX(Tb_KostenOptiesDB[],MATCH($F1254,Tb_KostenOptiesDB[KostenOptie],0),IFERROR(MATCH(Methode_Keuze,Tb_KostenOptiesDB[#Headers],0),2))=1,_xlfn.SWITCH($N1254,"Uurtarief",IF(OR(AND(RIGHT($F1254,3)="IKS",VLOOKUP($M1254,DB_Loonkosten,2,0)="Ja"),AND(RIGHT($F1254,3)&lt;&gt;"IKS",VLOOKUP($M1254,DB_Loonkosten,2,0)="Nee")),IFERROR(VLOOKUP($M1254,DB_Loonkosten,24,0),""),0),"Vast tarief",IF(LEFT(F1254,8)="Bijdrage",VLOOKUP($F1254,Tb_KostenTypen[],MATCH(Lijsten!$P$1,Tb_KostenTypen[#Headers],0),0),VLOOKUP($G1254,Lijsten!L:P,MATCH(Lijsten!$P$1,Kop_Tarief_Vast,0),0))),""),"")</f>
        <v/>
      </c>
      <c r="P1254" s="320" t="str" cm="1">
        <f t="array" ref="P1254">_xlfn.IFNA(IF(INDEX(Tb_KostenOptiesDB[],MATCH($F1254,Tb_KostenOptiesDB[KostenOptie],0),IFERROR(MATCH(Methode_Keuze,Tb_KostenOptiesDB[#Headers],0),2))=1,_xlfn.SWITCH($N1254,"Uurtarief",IF(OR(AND(RIGHT($F1254,3)="IKS",VLOOKUP($M1254,DB_Loonkosten,2,0)="Ja"),AND(RIGHT($F1254,3)&lt;&gt;"IKS",VLOOKUP($M1254,DB_Loonkosten,2,0)="Nee")),IFERROR(VLOOKUP($M1254,DB_Loonkosten,25,0),""),0),"Vast tarief",IF(LEFT(F1254,8)="Bijdrage",VLOOKUP($F1254,Tb_KostenTypen[],MATCH(Lijsten!$P$1,Tb_KostenTypen[#Headers],0),0),VLOOKUP($G1254,Lijsten!L:P,MATCH(Lijsten!$P$1,Kop_Tarief_Vast,0),0))),""),"")</f>
        <v/>
      </c>
      <c r="Q1254" s="359"/>
      <c r="R1254" s="359"/>
      <c r="S1254" s="321"/>
      <c r="T1254" s="321"/>
      <c r="U1254" s="373" t="str">
        <f t="shared" si="76"/>
        <v/>
      </c>
      <c r="V1254" s="314" t="str">
        <f t="shared" si="77"/>
        <v/>
      </c>
      <c r="W1254" s="314" t="str" cm="1">
        <f t="array" aca="1" ref="W1254" ca="1">IFERROR(IF(AE1254&lt;&gt;"ja",_xlfn.IFNA(_xlfn.IFS(AND(O1254&lt;&gt;"",F1254&lt;&gt;"",RIGHT($N1254,6)="tarief",F1254="Vergoeding"),SUM(O1254)*FLOOR(SUM(Q1254),0.0001),AND(O1254&lt;&gt;"",F1254&lt;&gt;"",RIGHT($N1254,6)="tarief"),SUM(O1254)*FLOOR(SUM(Q1254),0.01),S1254&gt;0,IF(F1254&lt;&gt;"",FLOOR(SUM(S1254),0.01),"")),""),""),"")</f>
        <v/>
      </c>
      <c r="X1254" s="314" t="str" cm="1">
        <f t="array" aca="1" ref="X1254" ca="1">IFERROR(IF(AE1254&lt;&gt;"ja",_xlfn.IFNA(_xlfn.IFS(AND(P1254&lt;&gt;"",R1254&lt;&gt;"",RIGHT($N1254,6)="tarief",F1254="Vergoeding"),SUM(P1254)*FLOOR(SUM(R1254),0.0001),AND(P1254&lt;&gt;"",R1254&lt;&gt;"",RIGHT($N1254,6)="tarief"),P1254*FLOOR(R1254,0.01),T1254&gt;0,FLOOR(SUM(T1254),0.01)),""),""),"")</f>
        <v/>
      </c>
      <c r="Y1254" s="314" t="str">
        <f t="shared" ca="1" si="78"/>
        <v/>
      </c>
      <c r="Z1254" s="314" t="str" cm="1">
        <f t="array" aca="1" ref="Z1254" ca="1">IFERROR(_xlfn.IFS(OR(F1254="",LEFT(Methode_Keuze,4)="Geen",Methode_Keuze=""),"",AND(W1254&lt;&gt;"",F1254&lt;&gt;"Arbeidskosten"),W1254*VLOOKUP(F1254,Tb_ProjectKosten[],MATCH(Tb_ProjectKosten[[#Headers],[Forfait_Percentage]],Tb_ProjectKosten[#Headers],0),0),AND(F1254="Arbeidskosten",G1254&lt;&gt;""),IFERROR(W1254*VLOOKUP(G1254,Tb_KostenTypen[],3,0)*VLOOKUP(F1254,Tb_ProjectKosten[],MATCH(Tb_ProjectKosten[[#Headers],[Forfait_Percentage]],Tb_ProjectKosten[#Headers],0),0),""),W1254 &lt;=0,0),"")</f>
        <v/>
      </c>
      <c r="AA1254" s="314" t="str" cm="1">
        <f t="array" aca="1" ref="AA1254" ca="1">IFERROR(_xlfn.IFS(OR(F1254="",LEFT(Methode_Keuze,4)="Geen",Methode_Keuze=""),"",AND(X1254&lt;&gt;"",F1254&lt;&gt;"Arbeidskosten"),X1254*VLOOKUP(F1254,Tb_ProjectKosten[],MATCH(Tb_ProjectKosten[[#Headers],[Forfait_Percentage]],Tb_ProjectKosten[#Headers],0),0),AND(F1254="Arbeidskosten",G1254&lt;&gt;""),IFERROR(X1254*VLOOKUP(G1254,Tb_KostenTypen[],3,0)*VLOOKUP(F1254,Tb_ProjectKosten[],MATCH(Tb_ProjectKosten[[#Headers],[Forfait_Percentage]],Tb_ProjectKosten[#Headers],0),0),""),X1254 &lt;=0,0),"")</f>
        <v/>
      </c>
      <c r="AB1254" s="314" t="str">
        <f t="shared" ca="1" si="79"/>
        <v/>
      </c>
      <c r="AC1254" s="322"/>
      <c r="AD1254" s="315"/>
      <c r="AE1254" s="32" t="str" cm="1">
        <f t="array" ref="AE1254">IFERROR(IF(INDEX(SubsidieTabel!$AD$1:$AG$12,MATCH($F1254,SubsidieTabel!$AD$1:$AD$12,0),IFERROR(MATCH(Methode_Keuze,SubsidieTabel!$AD$1:$AG$1,0),2))&lt;&gt;1=TRUE,"ja",""),"")</f>
        <v/>
      </c>
    </row>
    <row r="1255" spans="1:31" x14ac:dyDescent="0.25">
      <c r="A1255" s="316"/>
      <c r="B1255" s="317" t="str">
        <f>IF(A1255&lt;&gt;"",_xlfn.MAXIFS($B$1:B1254,$A$1:A1254,A1255)+1,"")</f>
        <v/>
      </c>
      <c r="C1255" s="296"/>
      <c r="D1255" s="296"/>
      <c r="E1255" s="296"/>
      <c r="F1255" s="296"/>
      <c r="G1255" s="326"/>
      <c r="H1255" s="324"/>
      <c r="I1255" s="325"/>
      <c r="J1255" s="325"/>
      <c r="K1255" s="318"/>
      <c r="L1255" s="318"/>
      <c r="M1255" s="319" t="str">
        <f>IFERROR(VLOOKUP(H1255,Lijsten!$H$1:$I$100,2,0),"")</f>
        <v/>
      </c>
      <c r="N1255" s="319" t="str">
        <f ca="1">IFERROR(IF(VLOOKUP(F1255,Kostentypen!$A$3:$E$21,3,0)=0,"",IF(OR(F1255="Arbeidskosten",F1255="Vergoeding"),VLOOKUP(G1255,Tb_KostenTypen[],2,0),VLOOKUP(F1255,Kostentypen!$A$3:$E$20,3,0))),"")</f>
        <v/>
      </c>
      <c r="O1255" s="320" t="str" cm="1">
        <f t="array" ref="O1255">_xlfn.IFNA(IF(INDEX(Tb_KostenOptiesDB[],MATCH($F1255,Tb_KostenOptiesDB[KostenOptie],0),IFERROR(MATCH(Methode_Keuze,Tb_KostenOptiesDB[#Headers],0),2))=1,_xlfn.SWITCH($N1255,"Uurtarief",IF(OR(AND(RIGHT($F1255,3)="IKS",VLOOKUP($M1255,DB_Loonkosten,2,0)="Ja"),AND(RIGHT($F1255,3)&lt;&gt;"IKS",VLOOKUP($M1255,DB_Loonkosten,2,0)="Nee")),IFERROR(VLOOKUP($M1255,DB_Loonkosten,24,0),""),0),"Vast tarief",IF(LEFT(F1255,8)="Bijdrage",VLOOKUP($F1255,Tb_KostenTypen[],MATCH(Lijsten!$P$1,Tb_KostenTypen[#Headers],0),0),VLOOKUP($G1255,Lijsten!L:P,MATCH(Lijsten!$P$1,Kop_Tarief_Vast,0),0))),""),"")</f>
        <v/>
      </c>
      <c r="P1255" s="320" t="str" cm="1">
        <f t="array" ref="P1255">_xlfn.IFNA(IF(INDEX(Tb_KostenOptiesDB[],MATCH($F1255,Tb_KostenOptiesDB[KostenOptie],0),IFERROR(MATCH(Methode_Keuze,Tb_KostenOptiesDB[#Headers],0),2))=1,_xlfn.SWITCH($N1255,"Uurtarief",IF(OR(AND(RIGHT($F1255,3)="IKS",VLOOKUP($M1255,DB_Loonkosten,2,0)="Ja"),AND(RIGHT($F1255,3)&lt;&gt;"IKS",VLOOKUP($M1255,DB_Loonkosten,2,0)="Nee")),IFERROR(VLOOKUP($M1255,DB_Loonkosten,25,0),""),0),"Vast tarief",IF(LEFT(F1255,8)="Bijdrage",VLOOKUP($F1255,Tb_KostenTypen[],MATCH(Lijsten!$P$1,Tb_KostenTypen[#Headers],0),0),VLOOKUP($G1255,Lijsten!L:P,MATCH(Lijsten!$P$1,Kop_Tarief_Vast,0),0))),""),"")</f>
        <v/>
      </c>
      <c r="Q1255" s="359"/>
      <c r="R1255" s="359"/>
      <c r="S1255" s="321"/>
      <c r="T1255" s="321"/>
      <c r="U1255" s="373" t="str">
        <f t="shared" si="76"/>
        <v/>
      </c>
      <c r="V1255" s="314" t="str">
        <f t="shared" si="77"/>
        <v/>
      </c>
      <c r="W1255" s="314" t="str" cm="1">
        <f t="array" aca="1" ref="W1255" ca="1">IFERROR(IF(AE1255&lt;&gt;"ja",_xlfn.IFNA(_xlfn.IFS(AND(O1255&lt;&gt;"",F1255&lt;&gt;"",RIGHT($N1255,6)="tarief",F1255="Vergoeding"),SUM(O1255)*FLOOR(SUM(Q1255),0.0001),AND(O1255&lt;&gt;"",F1255&lt;&gt;"",RIGHT($N1255,6)="tarief"),SUM(O1255)*FLOOR(SUM(Q1255),0.01),S1255&gt;0,IF(F1255&lt;&gt;"",FLOOR(SUM(S1255),0.01),"")),""),""),"")</f>
        <v/>
      </c>
      <c r="X1255" s="314" t="str" cm="1">
        <f t="array" aca="1" ref="X1255" ca="1">IFERROR(IF(AE1255&lt;&gt;"ja",_xlfn.IFNA(_xlfn.IFS(AND(P1255&lt;&gt;"",R1255&lt;&gt;"",RIGHT($N1255,6)="tarief",F1255="Vergoeding"),SUM(P1255)*FLOOR(SUM(R1255),0.0001),AND(P1255&lt;&gt;"",R1255&lt;&gt;"",RIGHT($N1255,6)="tarief"),P1255*FLOOR(R1255,0.01),T1255&gt;0,FLOOR(SUM(T1255),0.01)),""),""),"")</f>
        <v/>
      </c>
      <c r="Y1255" s="314" t="str">
        <f t="shared" ca="1" si="78"/>
        <v/>
      </c>
      <c r="Z1255" s="314" t="str" cm="1">
        <f t="array" aca="1" ref="Z1255" ca="1">IFERROR(_xlfn.IFS(OR(F1255="",LEFT(Methode_Keuze,4)="Geen",Methode_Keuze=""),"",AND(W1255&lt;&gt;"",F1255&lt;&gt;"Arbeidskosten"),W1255*VLOOKUP(F1255,Tb_ProjectKosten[],MATCH(Tb_ProjectKosten[[#Headers],[Forfait_Percentage]],Tb_ProjectKosten[#Headers],0),0),AND(F1255="Arbeidskosten",G1255&lt;&gt;""),IFERROR(W1255*VLOOKUP(G1255,Tb_KostenTypen[],3,0)*VLOOKUP(F1255,Tb_ProjectKosten[],MATCH(Tb_ProjectKosten[[#Headers],[Forfait_Percentage]],Tb_ProjectKosten[#Headers],0),0),""),W1255 &lt;=0,0),"")</f>
        <v/>
      </c>
      <c r="AA1255" s="314" t="str" cm="1">
        <f t="array" aca="1" ref="AA1255" ca="1">IFERROR(_xlfn.IFS(OR(F1255="",LEFT(Methode_Keuze,4)="Geen",Methode_Keuze=""),"",AND(X1255&lt;&gt;"",F1255&lt;&gt;"Arbeidskosten"),X1255*VLOOKUP(F1255,Tb_ProjectKosten[],MATCH(Tb_ProjectKosten[[#Headers],[Forfait_Percentage]],Tb_ProjectKosten[#Headers],0),0),AND(F1255="Arbeidskosten",G1255&lt;&gt;""),IFERROR(X1255*VLOOKUP(G1255,Tb_KostenTypen[],3,0)*VLOOKUP(F1255,Tb_ProjectKosten[],MATCH(Tb_ProjectKosten[[#Headers],[Forfait_Percentage]],Tb_ProjectKosten[#Headers],0),0),""),X1255 &lt;=0,0),"")</f>
        <v/>
      </c>
      <c r="AB1255" s="314" t="str">
        <f t="shared" ca="1" si="79"/>
        <v/>
      </c>
      <c r="AC1255" s="322"/>
      <c r="AD1255" s="315"/>
      <c r="AE1255" s="32" t="str" cm="1">
        <f t="array" ref="AE1255">IFERROR(IF(INDEX(SubsidieTabel!$AD$1:$AG$12,MATCH($F1255,SubsidieTabel!$AD$1:$AD$12,0),IFERROR(MATCH(Methode_Keuze,SubsidieTabel!$AD$1:$AG$1,0),2))&lt;&gt;1=TRUE,"ja",""),"")</f>
        <v/>
      </c>
    </row>
    <row r="1256" spans="1:31" x14ac:dyDescent="0.25">
      <c r="A1256" s="316"/>
      <c r="B1256" s="317" t="str">
        <f>IF(A1256&lt;&gt;"",_xlfn.MAXIFS($B$1:B1255,$A$1:A1255,A1256)+1,"")</f>
        <v/>
      </c>
      <c r="C1256" s="296"/>
      <c r="D1256" s="296"/>
      <c r="E1256" s="296"/>
      <c r="F1256" s="296"/>
      <c r="G1256" s="326"/>
      <c r="H1256" s="324"/>
      <c r="I1256" s="325"/>
      <c r="J1256" s="325"/>
      <c r="K1256" s="318"/>
      <c r="L1256" s="318"/>
      <c r="M1256" s="319" t="str">
        <f>IFERROR(VLOOKUP(H1256,Lijsten!$H$1:$I$100,2,0),"")</f>
        <v/>
      </c>
      <c r="N1256" s="319" t="str">
        <f ca="1">IFERROR(IF(VLOOKUP(F1256,Kostentypen!$A$3:$E$21,3,0)=0,"",IF(OR(F1256="Arbeidskosten",F1256="Vergoeding"),VLOOKUP(G1256,Tb_KostenTypen[],2,0),VLOOKUP(F1256,Kostentypen!$A$3:$E$20,3,0))),"")</f>
        <v/>
      </c>
      <c r="O1256" s="320" t="str" cm="1">
        <f t="array" ref="O1256">_xlfn.IFNA(IF(INDEX(Tb_KostenOptiesDB[],MATCH($F1256,Tb_KostenOptiesDB[KostenOptie],0),IFERROR(MATCH(Methode_Keuze,Tb_KostenOptiesDB[#Headers],0),2))=1,_xlfn.SWITCH($N1256,"Uurtarief",IF(OR(AND(RIGHT($F1256,3)="IKS",VLOOKUP($M1256,DB_Loonkosten,2,0)="Ja"),AND(RIGHT($F1256,3)&lt;&gt;"IKS",VLOOKUP($M1256,DB_Loonkosten,2,0)="Nee")),IFERROR(VLOOKUP($M1256,DB_Loonkosten,24,0),""),0),"Vast tarief",IF(LEFT(F1256,8)="Bijdrage",VLOOKUP($F1256,Tb_KostenTypen[],MATCH(Lijsten!$P$1,Tb_KostenTypen[#Headers],0),0),VLOOKUP($G1256,Lijsten!L:P,MATCH(Lijsten!$P$1,Kop_Tarief_Vast,0),0))),""),"")</f>
        <v/>
      </c>
      <c r="P1256" s="320" t="str" cm="1">
        <f t="array" ref="P1256">_xlfn.IFNA(IF(INDEX(Tb_KostenOptiesDB[],MATCH($F1256,Tb_KostenOptiesDB[KostenOptie],0),IFERROR(MATCH(Methode_Keuze,Tb_KostenOptiesDB[#Headers],0),2))=1,_xlfn.SWITCH($N1256,"Uurtarief",IF(OR(AND(RIGHT($F1256,3)="IKS",VLOOKUP($M1256,DB_Loonkosten,2,0)="Ja"),AND(RIGHT($F1256,3)&lt;&gt;"IKS",VLOOKUP($M1256,DB_Loonkosten,2,0)="Nee")),IFERROR(VLOOKUP($M1256,DB_Loonkosten,25,0),""),0),"Vast tarief",IF(LEFT(F1256,8)="Bijdrage",VLOOKUP($F1256,Tb_KostenTypen[],MATCH(Lijsten!$P$1,Tb_KostenTypen[#Headers],0),0),VLOOKUP($G1256,Lijsten!L:P,MATCH(Lijsten!$P$1,Kop_Tarief_Vast,0),0))),""),"")</f>
        <v/>
      </c>
      <c r="Q1256" s="359"/>
      <c r="R1256" s="359"/>
      <c r="S1256" s="321"/>
      <c r="T1256" s="321"/>
      <c r="U1256" s="373" t="str">
        <f t="shared" si="76"/>
        <v/>
      </c>
      <c r="V1256" s="314" t="str">
        <f t="shared" si="77"/>
        <v/>
      </c>
      <c r="W1256" s="314" t="str" cm="1">
        <f t="array" aca="1" ref="W1256" ca="1">IFERROR(IF(AE1256&lt;&gt;"ja",_xlfn.IFNA(_xlfn.IFS(AND(O1256&lt;&gt;"",F1256&lt;&gt;"",RIGHT($N1256,6)="tarief",F1256="Vergoeding"),SUM(O1256)*FLOOR(SUM(Q1256),0.0001),AND(O1256&lt;&gt;"",F1256&lt;&gt;"",RIGHT($N1256,6)="tarief"),SUM(O1256)*FLOOR(SUM(Q1256),0.01),S1256&gt;0,IF(F1256&lt;&gt;"",FLOOR(SUM(S1256),0.01),"")),""),""),"")</f>
        <v/>
      </c>
      <c r="X1256" s="314" t="str" cm="1">
        <f t="array" aca="1" ref="X1256" ca="1">IFERROR(IF(AE1256&lt;&gt;"ja",_xlfn.IFNA(_xlfn.IFS(AND(P1256&lt;&gt;"",R1256&lt;&gt;"",RIGHT($N1256,6)="tarief",F1256="Vergoeding"),SUM(P1256)*FLOOR(SUM(R1256),0.0001),AND(P1256&lt;&gt;"",R1256&lt;&gt;"",RIGHT($N1256,6)="tarief"),P1256*FLOOR(R1256,0.01),T1256&gt;0,FLOOR(SUM(T1256),0.01)),""),""),"")</f>
        <v/>
      </c>
      <c r="Y1256" s="314" t="str">
        <f t="shared" ca="1" si="78"/>
        <v/>
      </c>
      <c r="Z1256" s="314" t="str" cm="1">
        <f t="array" aca="1" ref="Z1256" ca="1">IFERROR(_xlfn.IFS(OR(F1256="",LEFT(Methode_Keuze,4)="Geen",Methode_Keuze=""),"",AND(W1256&lt;&gt;"",F1256&lt;&gt;"Arbeidskosten"),W1256*VLOOKUP(F1256,Tb_ProjectKosten[],MATCH(Tb_ProjectKosten[[#Headers],[Forfait_Percentage]],Tb_ProjectKosten[#Headers],0),0),AND(F1256="Arbeidskosten",G1256&lt;&gt;""),IFERROR(W1256*VLOOKUP(G1256,Tb_KostenTypen[],3,0)*VLOOKUP(F1256,Tb_ProjectKosten[],MATCH(Tb_ProjectKosten[[#Headers],[Forfait_Percentage]],Tb_ProjectKosten[#Headers],0),0),""),W1256 &lt;=0,0),"")</f>
        <v/>
      </c>
      <c r="AA1256" s="314" t="str" cm="1">
        <f t="array" aca="1" ref="AA1256" ca="1">IFERROR(_xlfn.IFS(OR(F1256="",LEFT(Methode_Keuze,4)="Geen",Methode_Keuze=""),"",AND(X1256&lt;&gt;"",F1256&lt;&gt;"Arbeidskosten"),X1256*VLOOKUP(F1256,Tb_ProjectKosten[],MATCH(Tb_ProjectKosten[[#Headers],[Forfait_Percentage]],Tb_ProjectKosten[#Headers],0),0),AND(F1256="Arbeidskosten",G1256&lt;&gt;""),IFERROR(X1256*VLOOKUP(G1256,Tb_KostenTypen[],3,0)*VLOOKUP(F1256,Tb_ProjectKosten[],MATCH(Tb_ProjectKosten[[#Headers],[Forfait_Percentage]],Tb_ProjectKosten[#Headers],0),0),""),X1256 &lt;=0,0),"")</f>
        <v/>
      </c>
      <c r="AB1256" s="314" t="str">
        <f t="shared" ca="1" si="79"/>
        <v/>
      </c>
      <c r="AC1256" s="322"/>
      <c r="AD1256" s="315"/>
      <c r="AE1256" s="32" t="str" cm="1">
        <f t="array" ref="AE1256">IFERROR(IF(INDEX(SubsidieTabel!$AD$1:$AG$12,MATCH($F1256,SubsidieTabel!$AD$1:$AD$12,0),IFERROR(MATCH(Methode_Keuze,SubsidieTabel!$AD$1:$AG$1,0),2))&lt;&gt;1=TRUE,"ja",""),"")</f>
        <v/>
      </c>
    </row>
    <row r="1257" spans="1:31" x14ac:dyDescent="0.25">
      <c r="A1257" s="316"/>
      <c r="B1257" s="317" t="str">
        <f>IF(A1257&lt;&gt;"",_xlfn.MAXIFS($B$1:B1256,$A$1:A1256,A1257)+1,"")</f>
        <v/>
      </c>
      <c r="C1257" s="296"/>
      <c r="D1257" s="296"/>
      <c r="E1257" s="296"/>
      <c r="F1257" s="296"/>
      <c r="G1257" s="326"/>
      <c r="H1257" s="324"/>
      <c r="I1257" s="325"/>
      <c r="J1257" s="325"/>
      <c r="K1257" s="318"/>
      <c r="L1257" s="318"/>
      <c r="M1257" s="319" t="str">
        <f>IFERROR(VLOOKUP(H1257,Lijsten!$H$1:$I$100,2,0),"")</f>
        <v/>
      </c>
      <c r="N1257" s="319" t="str">
        <f ca="1">IFERROR(IF(VLOOKUP(F1257,Kostentypen!$A$3:$E$21,3,0)=0,"",IF(OR(F1257="Arbeidskosten",F1257="Vergoeding"),VLOOKUP(G1257,Tb_KostenTypen[],2,0),VLOOKUP(F1257,Kostentypen!$A$3:$E$20,3,0))),"")</f>
        <v/>
      </c>
      <c r="O1257" s="320" t="str" cm="1">
        <f t="array" ref="O1257">_xlfn.IFNA(IF(INDEX(Tb_KostenOptiesDB[],MATCH($F1257,Tb_KostenOptiesDB[KostenOptie],0),IFERROR(MATCH(Methode_Keuze,Tb_KostenOptiesDB[#Headers],0),2))=1,_xlfn.SWITCH($N1257,"Uurtarief",IF(OR(AND(RIGHT($F1257,3)="IKS",VLOOKUP($M1257,DB_Loonkosten,2,0)="Ja"),AND(RIGHT($F1257,3)&lt;&gt;"IKS",VLOOKUP($M1257,DB_Loonkosten,2,0)="Nee")),IFERROR(VLOOKUP($M1257,DB_Loonkosten,24,0),""),0),"Vast tarief",IF(LEFT(F1257,8)="Bijdrage",VLOOKUP($F1257,Tb_KostenTypen[],MATCH(Lijsten!$P$1,Tb_KostenTypen[#Headers],0),0),VLOOKUP($G1257,Lijsten!L:P,MATCH(Lijsten!$P$1,Kop_Tarief_Vast,0),0))),""),"")</f>
        <v/>
      </c>
      <c r="P1257" s="320" t="str" cm="1">
        <f t="array" ref="P1257">_xlfn.IFNA(IF(INDEX(Tb_KostenOptiesDB[],MATCH($F1257,Tb_KostenOptiesDB[KostenOptie],0),IFERROR(MATCH(Methode_Keuze,Tb_KostenOptiesDB[#Headers],0),2))=1,_xlfn.SWITCH($N1257,"Uurtarief",IF(OR(AND(RIGHT($F1257,3)="IKS",VLOOKUP($M1257,DB_Loonkosten,2,0)="Ja"),AND(RIGHT($F1257,3)&lt;&gt;"IKS",VLOOKUP($M1257,DB_Loonkosten,2,0)="Nee")),IFERROR(VLOOKUP($M1257,DB_Loonkosten,25,0),""),0),"Vast tarief",IF(LEFT(F1257,8)="Bijdrage",VLOOKUP($F1257,Tb_KostenTypen[],MATCH(Lijsten!$P$1,Tb_KostenTypen[#Headers],0),0),VLOOKUP($G1257,Lijsten!L:P,MATCH(Lijsten!$P$1,Kop_Tarief_Vast,0),0))),""),"")</f>
        <v/>
      </c>
      <c r="Q1257" s="359"/>
      <c r="R1257" s="359"/>
      <c r="S1257" s="321"/>
      <c r="T1257" s="321"/>
      <c r="U1257" s="373" t="str">
        <f t="shared" si="76"/>
        <v/>
      </c>
      <c r="V1257" s="314" t="str">
        <f t="shared" si="77"/>
        <v/>
      </c>
      <c r="W1257" s="314" t="str" cm="1">
        <f t="array" aca="1" ref="W1257" ca="1">IFERROR(IF(AE1257&lt;&gt;"ja",_xlfn.IFNA(_xlfn.IFS(AND(O1257&lt;&gt;"",F1257&lt;&gt;"",RIGHT($N1257,6)="tarief",F1257="Vergoeding"),SUM(O1257)*FLOOR(SUM(Q1257),0.0001),AND(O1257&lt;&gt;"",F1257&lt;&gt;"",RIGHT($N1257,6)="tarief"),SUM(O1257)*FLOOR(SUM(Q1257),0.01),S1257&gt;0,IF(F1257&lt;&gt;"",FLOOR(SUM(S1257),0.01),"")),""),""),"")</f>
        <v/>
      </c>
      <c r="X1257" s="314" t="str" cm="1">
        <f t="array" aca="1" ref="X1257" ca="1">IFERROR(IF(AE1257&lt;&gt;"ja",_xlfn.IFNA(_xlfn.IFS(AND(P1257&lt;&gt;"",R1257&lt;&gt;"",RIGHT($N1257,6)="tarief",F1257="Vergoeding"),SUM(P1257)*FLOOR(SUM(R1257),0.0001),AND(P1257&lt;&gt;"",R1257&lt;&gt;"",RIGHT($N1257,6)="tarief"),P1257*FLOOR(R1257,0.01),T1257&gt;0,FLOOR(SUM(T1257),0.01)),""),""),"")</f>
        <v/>
      </c>
      <c r="Y1257" s="314" t="str">
        <f t="shared" ca="1" si="78"/>
        <v/>
      </c>
      <c r="Z1257" s="314" t="str" cm="1">
        <f t="array" aca="1" ref="Z1257" ca="1">IFERROR(_xlfn.IFS(OR(F1257="",LEFT(Methode_Keuze,4)="Geen",Methode_Keuze=""),"",AND(W1257&lt;&gt;"",F1257&lt;&gt;"Arbeidskosten"),W1257*VLOOKUP(F1257,Tb_ProjectKosten[],MATCH(Tb_ProjectKosten[[#Headers],[Forfait_Percentage]],Tb_ProjectKosten[#Headers],0),0),AND(F1257="Arbeidskosten",G1257&lt;&gt;""),IFERROR(W1257*VLOOKUP(G1257,Tb_KostenTypen[],3,0)*VLOOKUP(F1257,Tb_ProjectKosten[],MATCH(Tb_ProjectKosten[[#Headers],[Forfait_Percentage]],Tb_ProjectKosten[#Headers],0),0),""),W1257 &lt;=0,0),"")</f>
        <v/>
      </c>
      <c r="AA1257" s="314" t="str" cm="1">
        <f t="array" aca="1" ref="AA1257" ca="1">IFERROR(_xlfn.IFS(OR(F1257="",LEFT(Methode_Keuze,4)="Geen",Methode_Keuze=""),"",AND(X1257&lt;&gt;"",F1257&lt;&gt;"Arbeidskosten"),X1257*VLOOKUP(F1257,Tb_ProjectKosten[],MATCH(Tb_ProjectKosten[[#Headers],[Forfait_Percentage]],Tb_ProjectKosten[#Headers],0),0),AND(F1257="Arbeidskosten",G1257&lt;&gt;""),IFERROR(X1257*VLOOKUP(G1257,Tb_KostenTypen[],3,0)*VLOOKUP(F1257,Tb_ProjectKosten[],MATCH(Tb_ProjectKosten[[#Headers],[Forfait_Percentage]],Tb_ProjectKosten[#Headers],0),0),""),X1257 &lt;=0,0),"")</f>
        <v/>
      </c>
      <c r="AB1257" s="314" t="str">
        <f t="shared" ca="1" si="79"/>
        <v/>
      </c>
      <c r="AC1257" s="322"/>
      <c r="AD1257" s="315"/>
      <c r="AE1257" s="32" t="str" cm="1">
        <f t="array" ref="AE1257">IFERROR(IF(INDEX(SubsidieTabel!$AD$1:$AG$12,MATCH($F1257,SubsidieTabel!$AD$1:$AD$12,0),IFERROR(MATCH(Methode_Keuze,SubsidieTabel!$AD$1:$AG$1,0),2))&lt;&gt;1=TRUE,"ja",""),"")</f>
        <v/>
      </c>
    </row>
    <row r="1258" spans="1:31" x14ac:dyDescent="0.25">
      <c r="A1258" s="316"/>
      <c r="B1258" s="317" t="str">
        <f>IF(A1258&lt;&gt;"",_xlfn.MAXIFS($B$1:B1257,$A$1:A1257,A1258)+1,"")</f>
        <v/>
      </c>
      <c r="C1258" s="296"/>
      <c r="D1258" s="296"/>
      <c r="E1258" s="296"/>
      <c r="F1258" s="296"/>
      <c r="G1258" s="326"/>
      <c r="H1258" s="324"/>
      <c r="I1258" s="325"/>
      <c r="J1258" s="325"/>
      <c r="K1258" s="318"/>
      <c r="L1258" s="318"/>
      <c r="M1258" s="319" t="str">
        <f>IFERROR(VLOOKUP(H1258,Lijsten!$H$1:$I$100,2,0),"")</f>
        <v/>
      </c>
      <c r="N1258" s="319" t="str">
        <f ca="1">IFERROR(IF(VLOOKUP(F1258,Kostentypen!$A$3:$E$21,3,0)=0,"",IF(OR(F1258="Arbeidskosten",F1258="Vergoeding"),VLOOKUP(G1258,Tb_KostenTypen[],2,0),VLOOKUP(F1258,Kostentypen!$A$3:$E$20,3,0))),"")</f>
        <v/>
      </c>
      <c r="O1258" s="320" t="str" cm="1">
        <f t="array" ref="O1258">_xlfn.IFNA(IF(INDEX(Tb_KostenOptiesDB[],MATCH($F1258,Tb_KostenOptiesDB[KostenOptie],0),IFERROR(MATCH(Methode_Keuze,Tb_KostenOptiesDB[#Headers],0),2))=1,_xlfn.SWITCH($N1258,"Uurtarief",IF(OR(AND(RIGHT($F1258,3)="IKS",VLOOKUP($M1258,DB_Loonkosten,2,0)="Ja"),AND(RIGHT($F1258,3)&lt;&gt;"IKS",VLOOKUP($M1258,DB_Loonkosten,2,0)="Nee")),IFERROR(VLOOKUP($M1258,DB_Loonkosten,24,0),""),0),"Vast tarief",IF(LEFT(F1258,8)="Bijdrage",VLOOKUP($F1258,Tb_KostenTypen[],MATCH(Lijsten!$P$1,Tb_KostenTypen[#Headers],0),0),VLOOKUP($G1258,Lijsten!L:P,MATCH(Lijsten!$P$1,Kop_Tarief_Vast,0),0))),""),"")</f>
        <v/>
      </c>
      <c r="P1258" s="320" t="str" cm="1">
        <f t="array" ref="P1258">_xlfn.IFNA(IF(INDEX(Tb_KostenOptiesDB[],MATCH($F1258,Tb_KostenOptiesDB[KostenOptie],0),IFERROR(MATCH(Methode_Keuze,Tb_KostenOptiesDB[#Headers],0),2))=1,_xlfn.SWITCH($N1258,"Uurtarief",IF(OR(AND(RIGHT($F1258,3)="IKS",VLOOKUP($M1258,DB_Loonkosten,2,0)="Ja"),AND(RIGHT($F1258,3)&lt;&gt;"IKS",VLOOKUP($M1258,DB_Loonkosten,2,0)="Nee")),IFERROR(VLOOKUP($M1258,DB_Loonkosten,25,0),""),0),"Vast tarief",IF(LEFT(F1258,8)="Bijdrage",VLOOKUP($F1258,Tb_KostenTypen[],MATCH(Lijsten!$P$1,Tb_KostenTypen[#Headers],0),0),VLOOKUP($G1258,Lijsten!L:P,MATCH(Lijsten!$P$1,Kop_Tarief_Vast,0),0))),""),"")</f>
        <v/>
      </c>
      <c r="Q1258" s="359"/>
      <c r="R1258" s="359"/>
      <c r="S1258" s="321"/>
      <c r="T1258" s="321"/>
      <c r="U1258" s="373" t="str">
        <f t="shared" si="76"/>
        <v/>
      </c>
      <c r="V1258" s="314" t="str">
        <f t="shared" si="77"/>
        <v/>
      </c>
      <c r="W1258" s="314" t="str" cm="1">
        <f t="array" aca="1" ref="W1258" ca="1">IFERROR(IF(AE1258&lt;&gt;"ja",_xlfn.IFNA(_xlfn.IFS(AND(O1258&lt;&gt;"",F1258&lt;&gt;"",RIGHT($N1258,6)="tarief",F1258="Vergoeding"),SUM(O1258)*FLOOR(SUM(Q1258),0.0001),AND(O1258&lt;&gt;"",F1258&lt;&gt;"",RIGHT($N1258,6)="tarief"),SUM(O1258)*FLOOR(SUM(Q1258),0.01),S1258&gt;0,IF(F1258&lt;&gt;"",FLOOR(SUM(S1258),0.01),"")),""),""),"")</f>
        <v/>
      </c>
      <c r="X1258" s="314" t="str" cm="1">
        <f t="array" aca="1" ref="X1258" ca="1">IFERROR(IF(AE1258&lt;&gt;"ja",_xlfn.IFNA(_xlfn.IFS(AND(P1258&lt;&gt;"",R1258&lt;&gt;"",RIGHT($N1258,6)="tarief",F1258="Vergoeding"),SUM(P1258)*FLOOR(SUM(R1258),0.0001),AND(P1258&lt;&gt;"",R1258&lt;&gt;"",RIGHT($N1258,6)="tarief"),P1258*FLOOR(R1258,0.01),T1258&gt;0,FLOOR(SUM(T1258),0.01)),""),""),"")</f>
        <v/>
      </c>
      <c r="Y1258" s="314" t="str">
        <f t="shared" ca="1" si="78"/>
        <v/>
      </c>
      <c r="Z1258" s="314" t="str" cm="1">
        <f t="array" aca="1" ref="Z1258" ca="1">IFERROR(_xlfn.IFS(OR(F1258="",LEFT(Methode_Keuze,4)="Geen",Methode_Keuze=""),"",AND(W1258&lt;&gt;"",F1258&lt;&gt;"Arbeidskosten"),W1258*VLOOKUP(F1258,Tb_ProjectKosten[],MATCH(Tb_ProjectKosten[[#Headers],[Forfait_Percentage]],Tb_ProjectKosten[#Headers],0),0),AND(F1258="Arbeidskosten",G1258&lt;&gt;""),IFERROR(W1258*VLOOKUP(G1258,Tb_KostenTypen[],3,0)*VLOOKUP(F1258,Tb_ProjectKosten[],MATCH(Tb_ProjectKosten[[#Headers],[Forfait_Percentage]],Tb_ProjectKosten[#Headers],0),0),""),W1258 &lt;=0,0),"")</f>
        <v/>
      </c>
      <c r="AA1258" s="314" t="str" cm="1">
        <f t="array" aca="1" ref="AA1258" ca="1">IFERROR(_xlfn.IFS(OR(F1258="",LEFT(Methode_Keuze,4)="Geen",Methode_Keuze=""),"",AND(X1258&lt;&gt;"",F1258&lt;&gt;"Arbeidskosten"),X1258*VLOOKUP(F1258,Tb_ProjectKosten[],MATCH(Tb_ProjectKosten[[#Headers],[Forfait_Percentage]],Tb_ProjectKosten[#Headers],0),0),AND(F1258="Arbeidskosten",G1258&lt;&gt;""),IFERROR(X1258*VLOOKUP(G1258,Tb_KostenTypen[],3,0)*VLOOKUP(F1258,Tb_ProjectKosten[],MATCH(Tb_ProjectKosten[[#Headers],[Forfait_Percentage]],Tb_ProjectKosten[#Headers],0),0),""),X1258 &lt;=0,0),"")</f>
        <v/>
      </c>
      <c r="AB1258" s="314" t="str">
        <f t="shared" ca="1" si="79"/>
        <v/>
      </c>
      <c r="AC1258" s="322"/>
      <c r="AD1258" s="315"/>
      <c r="AE1258" s="32" t="str" cm="1">
        <f t="array" ref="AE1258">IFERROR(IF(INDEX(SubsidieTabel!$AD$1:$AG$12,MATCH($F1258,SubsidieTabel!$AD$1:$AD$12,0),IFERROR(MATCH(Methode_Keuze,SubsidieTabel!$AD$1:$AG$1,0),2))&lt;&gt;1=TRUE,"ja",""),"")</f>
        <v/>
      </c>
    </row>
    <row r="1259" spans="1:31" x14ac:dyDescent="0.25">
      <c r="A1259" s="316"/>
      <c r="B1259" s="317" t="str">
        <f>IF(A1259&lt;&gt;"",_xlfn.MAXIFS($B$1:B1258,$A$1:A1258,A1259)+1,"")</f>
        <v/>
      </c>
      <c r="C1259" s="296"/>
      <c r="D1259" s="296"/>
      <c r="E1259" s="296"/>
      <c r="F1259" s="296"/>
      <c r="G1259" s="326"/>
      <c r="H1259" s="324"/>
      <c r="I1259" s="325"/>
      <c r="J1259" s="325"/>
      <c r="K1259" s="318"/>
      <c r="L1259" s="318"/>
      <c r="M1259" s="319" t="str">
        <f>IFERROR(VLOOKUP(H1259,Lijsten!$H$1:$I$100,2,0),"")</f>
        <v/>
      </c>
      <c r="N1259" s="319" t="str">
        <f ca="1">IFERROR(IF(VLOOKUP(F1259,Kostentypen!$A$3:$E$21,3,0)=0,"",IF(OR(F1259="Arbeidskosten",F1259="Vergoeding"),VLOOKUP(G1259,Tb_KostenTypen[],2,0),VLOOKUP(F1259,Kostentypen!$A$3:$E$20,3,0))),"")</f>
        <v/>
      </c>
      <c r="O1259" s="320" t="str" cm="1">
        <f t="array" ref="O1259">_xlfn.IFNA(IF(INDEX(Tb_KostenOptiesDB[],MATCH($F1259,Tb_KostenOptiesDB[KostenOptie],0),IFERROR(MATCH(Methode_Keuze,Tb_KostenOptiesDB[#Headers],0),2))=1,_xlfn.SWITCH($N1259,"Uurtarief",IF(OR(AND(RIGHT($F1259,3)="IKS",VLOOKUP($M1259,DB_Loonkosten,2,0)="Ja"),AND(RIGHT($F1259,3)&lt;&gt;"IKS",VLOOKUP($M1259,DB_Loonkosten,2,0)="Nee")),IFERROR(VLOOKUP($M1259,DB_Loonkosten,24,0),""),0),"Vast tarief",IF(LEFT(F1259,8)="Bijdrage",VLOOKUP($F1259,Tb_KostenTypen[],MATCH(Lijsten!$P$1,Tb_KostenTypen[#Headers],0),0),VLOOKUP($G1259,Lijsten!L:P,MATCH(Lijsten!$P$1,Kop_Tarief_Vast,0),0))),""),"")</f>
        <v/>
      </c>
      <c r="P1259" s="320" t="str" cm="1">
        <f t="array" ref="P1259">_xlfn.IFNA(IF(INDEX(Tb_KostenOptiesDB[],MATCH($F1259,Tb_KostenOptiesDB[KostenOptie],0),IFERROR(MATCH(Methode_Keuze,Tb_KostenOptiesDB[#Headers],0),2))=1,_xlfn.SWITCH($N1259,"Uurtarief",IF(OR(AND(RIGHT($F1259,3)="IKS",VLOOKUP($M1259,DB_Loonkosten,2,0)="Ja"),AND(RIGHT($F1259,3)&lt;&gt;"IKS",VLOOKUP($M1259,DB_Loonkosten,2,0)="Nee")),IFERROR(VLOOKUP($M1259,DB_Loonkosten,25,0),""),0),"Vast tarief",IF(LEFT(F1259,8)="Bijdrage",VLOOKUP($F1259,Tb_KostenTypen[],MATCH(Lijsten!$P$1,Tb_KostenTypen[#Headers],0),0),VLOOKUP($G1259,Lijsten!L:P,MATCH(Lijsten!$P$1,Kop_Tarief_Vast,0),0))),""),"")</f>
        <v/>
      </c>
      <c r="Q1259" s="359"/>
      <c r="R1259" s="359"/>
      <c r="S1259" s="321"/>
      <c r="T1259" s="321"/>
      <c r="U1259" s="373" t="str">
        <f t="shared" si="76"/>
        <v/>
      </c>
      <c r="V1259" s="314" t="str">
        <f t="shared" si="77"/>
        <v/>
      </c>
      <c r="W1259" s="314" t="str" cm="1">
        <f t="array" aca="1" ref="W1259" ca="1">IFERROR(IF(AE1259&lt;&gt;"ja",_xlfn.IFNA(_xlfn.IFS(AND(O1259&lt;&gt;"",F1259&lt;&gt;"",RIGHT($N1259,6)="tarief",F1259="Vergoeding"),SUM(O1259)*FLOOR(SUM(Q1259),0.0001),AND(O1259&lt;&gt;"",F1259&lt;&gt;"",RIGHT($N1259,6)="tarief"),SUM(O1259)*FLOOR(SUM(Q1259),0.01),S1259&gt;0,IF(F1259&lt;&gt;"",FLOOR(SUM(S1259),0.01),"")),""),""),"")</f>
        <v/>
      </c>
      <c r="X1259" s="314" t="str" cm="1">
        <f t="array" aca="1" ref="X1259" ca="1">IFERROR(IF(AE1259&lt;&gt;"ja",_xlfn.IFNA(_xlfn.IFS(AND(P1259&lt;&gt;"",R1259&lt;&gt;"",RIGHT($N1259,6)="tarief",F1259="Vergoeding"),SUM(P1259)*FLOOR(SUM(R1259),0.0001),AND(P1259&lt;&gt;"",R1259&lt;&gt;"",RIGHT($N1259,6)="tarief"),P1259*FLOOR(R1259,0.01),T1259&gt;0,FLOOR(SUM(T1259),0.01)),""),""),"")</f>
        <v/>
      </c>
      <c r="Y1259" s="314" t="str">
        <f t="shared" ca="1" si="78"/>
        <v/>
      </c>
      <c r="Z1259" s="314" t="str" cm="1">
        <f t="array" aca="1" ref="Z1259" ca="1">IFERROR(_xlfn.IFS(OR(F1259="",LEFT(Methode_Keuze,4)="Geen",Methode_Keuze=""),"",AND(W1259&lt;&gt;"",F1259&lt;&gt;"Arbeidskosten"),W1259*VLOOKUP(F1259,Tb_ProjectKosten[],MATCH(Tb_ProjectKosten[[#Headers],[Forfait_Percentage]],Tb_ProjectKosten[#Headers],0),0),AND(F1259="Arbeidskosten",G1259&lt;&gt;""),IFERROR(W1259*VLOOKUP(G1259,Tb_KostenTypen[],3,0)*VLOOKUP(F1259,Tb_ProjectKosten[],MATCH(Tb_ProjectKosten[[#Headers],[Forfait_Percentage]],Tb_ProjectKosten[#Headers],0),0),""),W1259 &lt;=0,0),"")</f>
        <v/>
      </c>
      <c r="AA1259" s="314" t="str" cm="1">
        <f t="array" aca="1" ref="AA1259" ca="1">IFERROR(_xlfn.IFS(OR(F1259="",LEFT(Methode_Keuze,4)="Geen",Methode_Keuze=""),"",AND(X1259&lt;&gt;"",F1259&lt;&gt;"Arbeidskosten"),X1259*VLOOKUP(F1259,Tb_ProjectKosten[],MATCH(Tb_ProjectKosten[[#Headers],[Forfait_Percentage]],Tb_ProjectKosten[#Headers],0),0),AND(F1259="Arbeidskosten",G1259&lt;&gt;""),IFERROR(X1259*VLOOKUP(G1259,Tb_KostenTypen[],3,0)*VLOOKUP(F1259,Tb_ProjectKosten[],MATCH(Tb_ProjectKosten[[#Headers],[Forfait_Percentage]],Tb_ProjectKosten[#Headers],0),0),""),X1259 &lt;=0,0),"")</f>
        <v/>
      </c>
      <c r="AB1259" s="314" t="str">
        <f t="shared" ca="1" si="79"/>
        <v/>
      </c>
      <c r="AC1259" s="322"/>
      <c r="AD1259" s="315"/>
      <c r="AE1259" s="32" t="str" cm="1">
        <f t="array" ref="AE1259">IFERROR(IF(INDEX(SubsidieTabel!$AD$1:$AG$12,MATCH($F1259,SubsidieTabel!$AD$1:$AD$12,0),IFERROR(MATCH(Methode_Keuze,SubsidieTabel!$AD$1:$AG$1,0),2))&lt;&gt;1=TRUE,"ja",""),"")</f>
        <v/>
      </c>
    </row>
    <row r="1260" spans="1:31" x14ac:dyDescent="0.25">
      <c r="A1260" s="316"/>
      <c r="B1260" s="317" t="str">
        <f>IF(A1260&lt;&gt;"",_xlfn.MAXIFS($B$1:B1259,$A$1:A1259,A1260)+1,"")</f>
        <v/>
      </c>
      <c r="C1260" s="296"/>
      <c r="D1260" s="296"/>
      <c r="E1260" s="296"/>
      <c r="F1260" s="296"/>
      <c r="G1260" s="326"/>
      <c r="H1260" s="324"/>
      <c r="I1260" s="325"/>
      <c r="J1260" s="325"/>
      <c r="K1260" s="318"/>
      <c r="L1260" s="318"/>
      <c r="M1260" s="319" t="str">
        <f>IFERROR(VLOOKUP(H1260,Lijsten!$H$1:$I$100,2,0),"")</f>
        <v/>
      </c>
      <c r="N1260" s="319" t="str">
        <f ca="1">IFERROR(IF(VLOOKUP(F1260,Kostentypen!$A$3:$E$21,3,0)=0,"",IF(OR(F1260="Arbeidskosten",F1260="Vergoeding"),VLOOKUP(G1260,Tb_KostenTypen[],2,0),VLOOKUP(F1260,Kostentypen!$A$3:$E$20,3,0))),"")</f>
        <v/>
      </c>
      <c r="O1260" s="320" t="str" cm="1">
        <f t="array" ref="O1260">_xlfn.IFNA(IF(INDEX(Tb_KostenOptiesDB[],MATCH($F1260,Tb_KostenOptiesDB[KostenOptie],0),IFERROR(MATCH(Methode_Keuze,Tb_KostenOptiesDB[#Headers],0),2))=1,_xlfn.SWITCH($N1260,"Uurtarief",IF(OR(AND(RIGHT($F1260,3)="IKS",VLOOKUP($M1260,DB_Loonkosten,2,0)="Ja"),AND(RIGHT($F1260,3)&lt;&gt;"IKS",VLOOKUP($M1260,DB_Loonkosten,2,0)="Nee")),IFERROR(VLOOKUP($M1260,DB_Loonkosten,24,0),""),0),"Vast tarief",IF(LEFT(F1260,8)="Bijdrage",VLOOKUP($F1260,Tb_KostenTypen[],MATCH(Lijsten!$P$1,Tb_KostenTypen[#Headers],0),0),VLOOKUP($G1260,Lijsten!L:P,MATCH(Lijsten!$P$1,Kop_Tarief_Vast,0),0))),""),"")</f>
        <v/>
      </c>
      <c r="P1260" s="320" t="str" cm="1">
        <f t="array" ref="P1260">_xlfn.IFNA(IF(INDEX(Tb_KostenOptiesDB[],MATCH($F1260,Tb_KostenOptiesDB[KostenOptie],0),IFERROR(MATCH(Methode_Keuze,Tb_KostenOptiesDB[#Headers],0),2))=1,_xlfn.SWITCH($N1260,"Uurtarief",IF(OR(AND(RIGHT($F1260,3)="IKS",VLOOKUP($M1260,DB_Loonkosten,2,0)="Ja"),AND(RIGHT($F1260,3)&lt;&gt;"IKS",VLOOKUP($M1260,DB_Loonkosten,2,0)="Nee")),IFERROR(VLOOKUP($M1260,DB_Loonkosten,25,0),""),0),"Vast tarief",IF(LEFT(F1260,8)="Bijdrage",VLOOKUP($F1260,Tb_KostenTypen[],MATCH(Lijsten!$P$1,Tb_KostenTypen[#Headers],0),0),VLOOKUP($G1260,Lijsten!L:P,MATCH(Lijsten!$P$1,Kop_Tarief_Vast,0),0))),""),"")</f>
        <v/>
      </c>
      <c r="Q1260" s="359"/>
      <c r="R1260" s="359"/>
      <c r="S1260" s="321"/>
      <c r="T1260" s="321"/>
      <c r="U1260" s="373" t="str">
        <f t="shared" si="76"/>
        <v/>
      </c>
      <c r="V1260" s="314" t="str">
        <f t="shared" si="77"/>
        <v/>
      </c>
      <c r="W1260" s="314" t="str" cm="1">
        <f t="array" aca="1" ref="W1260" ca="1">IFERROR(IF(AE1260&lt;&gt;"ja",_xlfn.IFNA(_xlfn.IFS(AND(O1260&lt;&gt;"",F1260&lt;&gt;"",RIGHT($N1260,6)="tarief",F1260="Vergoeding"),SUM(O1260)*FLOOR(SUM(Q1260),0.0001),AND(O1260&lt;&gt;"",F1260&lt;&gt;"",RIGHT($N1260,6)="tarief"),SUM(O1260)*FLOOR(SUM(Q1260),0.01),S1260&gt;0,IF(F1260&lt;&gt;"",FLOOR(SUM(S1260),0.01),"")),""),""),"")</f>
        <v/>
      </c>
      <c r="X1260" s="314" t="str" cm="1">
        <f t="array" aca="1" ref="X1260" ca="1">IFERROR(IF(AE1260&lt;&gt;"ja",_xlfn.IFNA(_xlfn.IFS(AND(P1260&lt;&gt;"",R1260&lt;&gt;"",RIGHT($N1260,6)="tarief",F1260="Vergoeding"),SUM(P1260)*FLOOR(SUM(R1260),0.0001),AND(P1260&lt;&gt;"",R1260&lt;&gt;"",RIGHT($N1260,6)="tarief"),P1260*FLOOR(R1260,0.01),T1260&gt;0,FLOOR(SUM(T1260),0.01)),""),""),"")</f>
        <v/>
      </c>
      <c r="Y1260" s="314" t="str">
        <f t="shared" ca="1" si="78"/>
        <v/>
      </c>
      <c r="Z1260" s="314" t="str" cm="1">
        <f t="array" aca="1" ref="Z1260" ca="1">IFERROR(_xlfn.IFS(OR(F1260="",LEFT(Methode_Keuze,4)="Geen",Methode_Keuze=""),"",AND(W1260&lt;&gt;"",F1260&lt;&gt;"Arbeidskosten"),W1260*VLOOKUP(F1260,Tb_ProjectKosten[],MATCH(Tb_ProjectKosten[[#Headers],[Forfait_Percentage]],Tb_ProjectKosten[#Headers],0),0),AND(F1260="Arbeidskosten",G1260&lt;&gt;""),IFERROR(W1260*VLOOKUP(G1260,Tb_KostenTypen[],3,0)*VLOOKUP(F1260,Tb_ProjectKosten[],MATCH(Tb_ProjectKosten[[#Headers],[Forfait_Percentage]],Tb_ProjectKosten[#Headers],0),0),""),W1260 &lt;=0,0),"")</f>
        <v/>
      </c>
      <c r="AA1260" s="314" t="str" cm="1">
        <f t="array" aca="1" ref="AA1260" ca="1">IFERROR(_xlfn.IFS(OR(F1260="",LEFT(Methode_Keuze,4)="Geen",Methode_Keuze=""),"",AND(X1260&lt;&gt;"",F1260&lt;&gt;"Arbeidskosten"),X1260*VLOOKUP(F1260,Tb_ProjectKosten[],MATCH(Tb_ProjectKosten[[#Headers],[Forfait_Percentage]],Tb_ProjectKosten[#Headers],0),0),AND(F1260="Arbeidskosten",G1260&lt;&gt;""),IFERROR(X1260*VLOOKUP(G1260,Tb_KostenTypen[],3,0)*VLOOKUP(F1260,Tb_ProjectKosten[],MATCH(Tb_ProjectKosten[[#Headers],[Forfait_Percentage]],Tb_ProjectKosten[#Headers],0),0),""),X1260 &lt;=0,0),"")</f>
        <v/>
      </c>
      <c r="AB1260" s="314" t="str">
        <f t="shared" ca="1" si="79"/>
        <v/>
      </c>
      <c r="AC1260" s="322"/>
      <c r="AD1260" s="315"/>
      <c r="AE1260" s="32" t="str" cm="1">
        <f t="array" ref="AE1260">IFERROR(IF(INDEX(SubsidieTabel!$AD$1:$AG$12,MATCH($F1260,SubsidieTabel!$AD$1:$AD$12,0),IFERROR(MATCH(Methode_Keuze,SubsidieTabel!$AD$1:$AG$1,0),2))&lt;&gt;1=TRUE,"ja",""),"")</f>
        <v/>
      </c>
    </row>
    <row r="1261" spans="1:31" x14ac:dyDescent="0.25">
      <c r="A1261" s="316"/>
      <c r="B1261" s="317" t="str">
        <f>IF(A1261&lt;&gt;"",_xlfn.MAXIFS($B$1:B1260,$A$1:A1260,A1261)+1,"")</f>
        <v/>
      </c>
      <c r="C1261" s="296"/>
      <c r="D1261" s="296"/>
      <c r="E1261" s="296"/>
      <c r="F1261" s="296"/>
      <c r="G1261" s="326"/>
      <c r="H1261" s="324"/>
      <c r="I1261" s="325"/>
      <c r="J1261" s="325"/>
      <c r="K1261" s="318"/>
      <c r="L1261" s="318"/>
      <c r="M1261" s="319" t="str">
        <f>IFERROR(VLOOKUP(H1261,Lijsten!$H$1:$I$100,2,0),"")</f>
        <v/>
      </c>
      <c r="N1261" s="319" t="str">
        <f ca="1">IFERROR(IF(VLOOKUP(F1261,Kostentypen!$A$3:$E$21,3,0)=0,"",IF(OR(F1261="Arbeidskosten",F1261="Vergoeding"),VLOOKUP(G1261,Tb_KostenTypen[],2,0),VLOOKUP(F1261,Kostentypen!$A$3:$E$20,3,0))),"")</f>
        <v/>
      </c>
      <c r="O1261" s="320" t="str" cm="1">
        <f t="array" ref="O1261">_xlfn.IFNA(IF(INDEX(Tb_KostenOptiesDB[],MATCH($F1261,Tb_KostenOptiesDB[KostenOptie],0),IFERROR(MATCH(Methode_Keuze,Tb_KostenOptiesDB[#Headers],0),2))=1,_xlfn.SWITCH($N1261,"Uurtarief",IF(OR(AND(RIGHT($F1261,3)="IKS",VLOOKUP($M1261,DB_Loonkosten,2,0)="Ja"),AND(RIGHT($F1261,3)&lt;&gt;"IKS",VLOOKUP($M1261,DB_Loonkosten,2,0)="Nee")),IFERROR(VLOOKUP($M1261,DB_Loonkosten,24,0),""),0),"Vast tarief",IF(LEFT(F1261,8)="Bijdrage",VLOOKUP($F1261,Tb_KostenTypen[],MATCH(Lijsten!$P$1,Tb_KostenTypen[#Headers],0),0),VLOOKUP($G1261,Lijsten!L:P,MATCH(Lijsten!$P$1,Kop_Tarief_Vast,0),0))),""),"")</f>
        <v/>
      </c>
      <c r="P1261" s="320" t="str" cm="1">
        <f t="array" ref="P1261">_xlfn.IFNA(IF(INDEX(Tb_KostenOptiesDB[],MATCH($F1261,Tb_KostenOptiesDB[KostenOptie],0),IFERROR(MATCH(Methode_Keuze,Tb_KostenOptiesDB[#Headers],0),2))=1,_xlfn.SWITCH($N1261,"Uurtarief",IF(OR(AND(RIGHT($F1261,3)="IKS",VLOOKUP($M1261,DB_Loonkosten,2,0)="Ja"),AND(RIGHT($F1261,3)&lt;&gt;"IKS",VLOOKUP($M1261,DB_Loonkosten,2,0)="Nee")),IFERROR(VLOOKUP($M1261,DB_Loonkosten,25,0),""),0),"Vast tarief",IF(LEFT(F1261,8)="Bijdrage",VLOOKUP($F1261,Tb_KostenTypen[],MATCH(Lijsten!$P$1,Tb_KostenTypen[#Headers],0),0),VLOOKUP($G1261,Lijsten!L:P,MATCH(Lijsten!$P$1,Kop_Tarief_Vast,0),0))),""),"")</f>
        <v/>
      </c>
      <c r="Q1261" s="359"/>
      <c r="R1261" s="359"/>
      <c r="S1261" s="321"/>
      <c r="T1261" s="321"/>
      <c r="U1261" s="373" t="str">
        <f t="shared" si="76"/>
        <v/>
      </c>
      <c r="V1261" s="314" t="str">
        <f t="shared" si="77"/>
        <v/>
      </c>
      <c r="W1261" s="314" t="str" cm="1">
        <f t="array" aca="1" ref="W1261" ca="1">IFERROR(IF(AE1261&lt;&gt;"ja",_xlfn.IFNA(_xlfn.IFS(AND(O1261&lt;&gt;"",F1261&lt;&gt;"",RIGHT($N1261,6)="tarief",F1261="Vergoeding"),SUM(O1261)*FLOOR(SUM(Q1261),0.0001),AND(O1261&lt;&gt;"",F1261&lt;&gt;"",RIGHT($N1261,6)="tarief"),SUM(O1261)*FLOOR(SUM(Q1261),0.01),S1261&gt;0,IF(F1261&lt;&gt;"",FLOOR(SUM(S1261),0.01),"")),""),""),"")</f>
        <v/>
      </c>
      <c r="X1261" s="314" t="str" cm="1">
        <f t="array" aca="1" ref="X1261" ca="1">IFERROR(IF(AE1261&lt;&gt;"ja",_xlfn.IFNA(_xlfn.IFS(AND(P1261&lt;&gt;"",R1261&lt;&gt;"",RIGHT($N1261,6)="tarief",F1261="Vergoeding"),SUM(P1261)*FLOOR(SUM(R1261),0.0001),AND(P1261&lt;&gt;"",R1261&lt;&gt;"",RIGHT($N1261,6)="tarief"),P1261*FLOOR(R1261,0.01),T1261&gt;0,FLOOR(SUM(T1261),0.01)),""),""),"")</f>
        <v/>
      </c>
      <c r="Y1261" s="314" t="str">
        <f t="shared" ca="1" si="78"/>
        <v/>
      </c>
      <c r="Z1261" s="314" t="str" cm="1">
        <f t="array" aca="1" ref="Z1261" ca="1">IFERROR(_xlfn.IFS(OR(F1261="",LEFT(Methode_Keuze,4)="Geen",Methode_Keuze=""),"",AND(W1261&lt;&gt;"",F1261&lt;&gt;"Arbeidskosten"),W1261*VLOOKUP(F1261,Tb_ProjectKosten[],MATCH(Tb_ProjectKosten[[#Headers],[Forfait_Percentage]],Tb_ProjectKosten[#Headers],0),0),AND(F1261="Arbeidskosten",G1261&lt;&gt;""),IFERROR(W1261*VLOOKUP(G1261,Tb_KostenTypen[],3,0)*VLOOKUP(F1261,Tb_ProjectKosten[],MATCH(Tb_ProjectKosten[[#Headers],[Forfait_Percentage]],Tb_ProjectKosten[#Headers],0),0),""),W1261 &lt;=0,0),"")</f>
        <v/>
      </c>
      <c r="AA1261" s="314" t="str" cm="1">
        <f t="array" aca="1" ref="AA1261" ca="1">IFERROR(_xlfn.IFS(OR(F1261="",LEFT(Methode_Keuze,4)="Geen",Methode_Keuze=""),"",AND(X1261&lt;&gt;"",F1261&lt;&gt;"Arbeidskosten"),X1261*VLOOKUP(F1261,Tb_ProjectKosten[],MATCH(Tb_ProjectKosten[[#Headers],[Forfait_Percentage]],Tb_ProjectKosten[#Headers],0),0),AND(F1261="Arbeidskosten",G1261&lt;&gt;""),IFERROR(X1261*VLOOKUP(G1261,Tb_KostenTypen[],3,0)*VLOOKUP(F1261,Tb_ProjectKosten[],MATCH(Tb_ProjectKosten[[#Headers],[Forfait_Percentage]],Tb_ProjectKosten[#Headers],0),0),""),X1261 &lt;=0,0),"")</f>
        <v/>
      </c>
      <c r="AB1261" s="314" t="str">
        <f t="shared" ca="1" si="79"/>
        <v/>
      </c>
      <c r="AC1261" s="322"/>
      <c r="AD1261" s="315"/>
      <c r="AE1261" s="32" t="str" cm="1">
        <f t="array" ref="AE1261">IFERROR(IF(INDEX(SubsidieTabel!$AD$1:$AG$12,MATCH($F1261,SubsidieTabel!$AD$1:$AD$12,0),IFERROR(MATCH(Methode_Keuze,SubsidieTabel!$AD$1:$AG$1,0),2))&lt;&gt;1=TRUE,"ja",""),"")</f>
        <v/>
      </c>
    </row>
    <row r="1262" spans="1:31" x14ac:dyDescent="0.25">
      <c r="A1262" s="316"/>
      <c r="B1262" s="317" t="str">
        <f>IF(A1262&lt;&gt;"",_xlfn.MAXIFS($B$1:B1261,$A$1:A1261,A1262)+1,"")</f>
        <v/>
      </c>
      <c r="C1262" s="296"/>
      <c r="D1262" s="296"/>
      <c r="E1262" s="296"/>
      <c r="F1262" s="296"/>
      <c r="G1262" s="326"/>
      <c r="H1262" s="324"/>
      <c r="I1262" s="325"/>
      <c r="J1262" s="325"/>
      <c r="K1262" s="318"/>
      <c r="L1262" s="318"/>
      <c r="M1262" s="319" t="str">
        <f>IFERROR(VLOOKUP(H1262,Lijsten!$H$1:$I$100,2,0),"")</f>
        <v/>
      </c>
      <c r="N1262" s="319" t="str">
        <f ca="1">IFERROR(IF(VLOOKUP(F1262,Kostentypen!$A$3:$E$21,3,0)=0,"",IF(OR(F1262="Arbeidskosten",F1262="Vergoeding"),VLOOKUP(G1262,Tb_KostenTypen[],2,0),VLOOKUP(F1262,Kostentypen!$A$3:$E$20,3,0))),"")</f>
        <v/>
      </c>
      <c r="O1262" s="320" t="str" cm="1">
        <f t="array" ref="O1262">_xlfn.IFNA(IF(INDEX(Tb_KostenOptiesDB[],MATCH($F1262,Tb_KostenOptiesDB[KostenOptie],0),IFERROR(MATCH(Methode_Keuze,Tb_KostenOptiesDB[#Headers],0),2))=1,_xlfn.SWITCH($N1262,"Uurtarief",IF(OR(AND(RIGHT($F1262,3)="IKS",VLOOKUP($M1262,DB_Loonkosten,2,0)="Ja"),AND(RIGHT($F1262,3)&lt;&gt;"IKS",VLOOKUP($M1262,DB_Loonkosten,2,0)="Nee")),IFERROR(VLOOKUP($M1262,DB_Loonkosten,24,0),""),0),"Vast tarief",IF(LEFT(F1262,8)="Bijdrage",VLOOKUP($F1262,Tb_KostenTypen[],MATCH(Lijsten!$P$1,Tb_KostenTypen[#Headers],0),0),VLOOKUP($G1262,Lijsten!L:P,MATCH(Lijsten!$P$1,Kop_Tarief_Vast,0),0))),""),"")</f>
        <v/>
      </c>
      <c r="P1262" s="320" t="str" cm="1">
        <f t="array" ref="P1262">_xlfn.IFNA(IF(INDEX(Tb_KostenOptiesDB[],MATCH($F1262,Tb_KostenOptiesDB[KostenOptie],0),IFERROR(MATCH(Methode_Keuze,Tb_KostenOptiesDB[#Headers],0),2))=1,_xlfn.SWITCH($N1262,"Uurtarief",IF(OR(AND(RIGHT($F1262,3)="IKS",VLOOKUP($M1262,DB_Loonkosten,2,0)="Ja"),AND(RIGHT($F1262,3)&lt;&gt;"IKS",VLOOKUP($M1262,DB_Loonkosten,2,0)="Nee")),IFERROR(VLOOKUP($M1262,DB_Loonkosten,25,0),""),0),"Vast tarief",IF(LEFT(F1262,8)="Bijdrage",VLOOKUP($F1262,Tb_KostenTypen[],MATCH(Lijsten!$P$1,Tb_KostenTypen[#Headers],0),0),VLOOKUP($G1262,Lijsten!L:P,MATCH(Lijsten!$P$1,Kop_Tarief_Vast,0),0))),""),"")</f>
        <v/>
      </c>
      <c r="Q1262" s="359"/>
      <c r="R1262" s="359"/>
      <c r="S1262" s="321"/>
      <c r="T1262" s="321"/>
      <c r="U1262" s="373" t="str">
        <f t="shared" si="76"/>
        <v/>
      </c>
      <c r="V1262" s="314" t="str">
        <f t="shared" si="77"/>
        <v/>
      </c>
      <c r="W1262" s="314" t="str" cm="1">
        <f t="array" aca="1" ref="W1262" ca="1">IFERROR(IF(AE1262&lt;&gt;"ja",_xlfn.IFNA(_xlfn.IFS(AND(O1262&lt;&gt;"",F1262&lt;&gt;"",RIGHT($N1262,6)="tarief",F1262="Vergoeding"),SUM(O1262)*FLOOR(SUM(Q1262),0.0001),AND(O1262&lt;&gt;"",F1262&lt;&gt;"",RIGHT($N1262,6)="tarief"),SUM(O1262)*FLOOR(SUM(Q1262),0.01),S1262&gt;0,IF(F1262&lt;&gt;"",FLOOR(SUM(S1262),0.01),"")),""),""),"")</f>
        <v/>
      </c>
      <c r="X1262" s="314" t="str" cm="1">
        <f t="array" aca="1" ref="X1262" ca="1">IFERROR(IF(AE1262&lt;&gt;"ja",_xlfn.IFNA(_xlfn.IFS(AND(P1262&lt;&gt;"",R1262&lt;&gt;"",RIGHT($N1262,6)="tarief",F1262="Vergoeding"),SUM(P1262)*FLOOR(SUM(R1262),0.0001),AND(P1262&lt;&gt;"",R1262&lt;&gt;"",RIGHT($N1262,6)="tarief"),P1262*FLOOR(R1262,0.01),T1262&gt;0,FLOOR(SUM(T1262),0.01)),""),""),"")</f>
        <v/>
      </c>
      <c r="Y1262" s="314" t="str">
        <f t="shared" ca="1" si="78"/>
        <v/>
      </c>
      <c r="Z1262" s="314" t="str" cm="1">
        <f t="array" aca="1" ref="Z1262" ca="1">IFERROR(_xlfn.IFS(OR(F1262="",LEFT(Methode_Keuze,4)="Geen",Methode_Keuze=""),"",AND(W1262&lt;&gt;"",F1262&lt;&gt;"Arbeidskosten"),W1262*VLOOKUP(F1262,Tb_ProjectKosten[],MATCH(Tb_ProjectKosten[[#Headers],[Forfait_Percentage]],Tb_ProjectKosten[#Headers],0),0),AND(F1262="Arbeidskosten",G1262&lt;&gt;""),IFERROR(W1262*VLOOKUP(G1262,Tb_KostenTypen[],3,0)*VLOOKUP(F1262,Tb_ProjectKosten[],MATCH(Tb_ProjectKosten[[#Headers],[Forfait_Percentage]],Tb_ProjectKosten[#Headers],0),0),""),W1262 &lt;=0,0),"")</f>
        <v/>
      </c>
      <c r="AA1262" s="314" t="str" cm="1">
        <f t="array" aca="1" ref="AA1262" ca="1">IFERROR(_xlfn.IFS(OR(F1262="",LEFT(Methode_Keuze,4)="Geen",Methode_Keuze=""),"",AND(X1262&lt;&gt;"",F1262&lt;&gt;"Arbeidskosten"),X1262*VLOOKUP(F1262,Tb_ProjectKosten[],MATCH(Tb_ProjectKosten[[#Headers],[Forfait_Percentage]],Tb_ProjectKosten[#Headers],0),0),AND(F1262="Arbeidskosten",G1262&lt;&gt;""),IFERROR(X1262*VLOOKUP(G1262,Tb_KostenTypen[],3,0)*VLOOKUP(F1262,Tb_ProjectKosten[],MATCH(Tb_ProjectKosten[[#Headers],[Forfait_Percentage]],Tb_ProjectKosten[#Headers],0),0),""),X1262 &lt;=0,0),"")</f>
        <v/>
      </c>
      <c r="AB1262" s="314" t="str">
        <f t="shared" ca="1" si="79"/>
        <v/>
      </c>
      <c r="AC1262" s="322"/>
      <c r="AD1262" s="315"/>
      <c r="AE1262" s="32" t="str" cm="1">
        <f t="array" ref="AE1262">IFERROR(IF(INDEX(SubsidieTabel!$AD$1:$AG$12,MATCH($F1262,SubsidieTabel!$AD$1:$AD$12,0),IFERROR(MATCH(Methode_Keuze,SubsidieTabel!$AD$1:$AG$1,0),2))&lt;&gt;1=TRUE,"ja",""),"")</f>
        <v/>
      </c>
    </row>
    <row r="1263" spans="1:31" x14ac:dyDescent="0.25">
      <c r="A1263" s="316"/>
      <c r="B1263" s="317" t="str">
        <f>IF(A1263&lt;&gt;"",_xlfn.MAXIFS($B$1:B1262,$A$1:A1262,A1263)+1,"")</f>
        <v/>
      </c>
      <c r="C1263" s="296"/>
      <c r="D1263" s="296"/>
      <c r="E1263" s="296"/>
      <c r="F1263" s="296"/>
      <c r="G1263" s="326"/>
      <c r="H1263" s="324"/>
      <c r="I1263" s="325"/>
      <c r="J1263" s="325"/>
      <c r="K1263" s="318"/>
      <c r="L1263" s="318"/>
      <c r="M1263" s="319" t="str">
        <f>IFERROR(VLOOKUP(H1263,Lijsten!$H$1:$I$100,2,0),"")</f>
        <v/>
      </c>
      <c r="N1263" s="319" t="str">
        <f ca="1">IFERROR(IF(VLOOKUP(F1263,Kostentypen!$A$3:$E$21,3,0)=0,"",IF(OR(F1263="Arbeidskosten",F1263="Vergoeding"),VLOOKUP(G1263,Tb_KostenTypen[],2,0),VLOOKUP(F1263,Kostentypen!$A$3:$E$20,3,0))),"")</f>
        <v/>
      </c>
      <c r="O1263" s="320" t="str" cm="1">
        <f t="array" ref="O1263">_xlfn.IFNA(IF(INDEX(Tb_KostenOptiesDB[],MATCH($F1263,Tb_KostenOptiesDB[KostenOptie],0),IFERROR(MATCH(Methode_Keuze,Tb_KostenOptiesDB[#Headers],0),2))=1,_xlfn.SWITCH($N1263,"Uurtarief",IF(OR(AND(RIGHT($F1263,3)="IKS",VLOOKUP($M1263,DB_Loonkosten,2,0)="Ja"),AND(RIGHT($F1263,3)&lt;&gt;"IKS",VLOOKUP($M1263,DB_Loonkosten,2,0)="Nee")),IFERROR(VLOOKUP($M1263,DB_Loonkosten,24,0),""),0),"Vast tarief",IF(LEFT(F1263,8)="Bijdrage",VLOOKUP($F1263,Tb_KostenTypen[],MATCH(Lijsten!$P$1,Tb_KostenTypen[#Headers],0),0),VLOOKUP($G1263,Lijsten!L:P,MATCH(Lijsten!$P$1,Kop_Tarief_Vast,0),0))),""),"")</f>
        <v/>
      </c>
      <c r="P1263" s="320" t="str" cm="1">
        <f t="array" ref="P1263">_xlfn.IFNA(IF(INDEX(Tb_KostenOptiesDB[],MATCH($F1263,Tb_KostenOptiesDB[KostenOptie],0),IFERROR(MATCH(Methode_Keuze,Tb_KostenOptiesDB[#Headers],0),2))=1,_xlfn.SWITCH($N1263,"Uurtarief",IF(OR(AND(RIGHT($F1263,3)="IKS",VLOOKUP($M1263,DB_Loonkosten,2,0)="Ja"),AND(RIGHT($F1263,3)&lt;&gt;"IKS",VLOOKUP($M1263,DB_Loonkosten,2,0)="Nee")),IFERROR(VLOOKUP($M1263,DB_Loonkosten,25,0),""),0),"Vast tarief",IF(LEFT(F1263,8)="Bijdrage",VLOOKUP($F1263,Tb_KostenTypen[],MATCH(Lijsten!$P$1,Tb_KostenTypen[#Headers],0),0),VLOOKUP($G1263,Lijsten!L:P,MATCH(Lijsten!$P$1,Kop_Tarief_Vast,0),0))),""),"")</f>
        <v/>
      </c>
      <c r="Q1263" s="359"/>
      <c r="R1263" s="359"/>
      <c r="S1263" s="321"/>
      <c r="T1263" s="321"/>
      <c r="U1263" s="373" t="str">
        <f t="shared" si="76"/>
        <v/>
      </c>
      <c r="V1263" s="314" t="str">
        <f t="shared" si="77"/>
        <v/>
      </c>
      <c r="W1263" s="314" t="str" cm="1">
        <f t="array" aca="1" ref="W1263" ca="1">IFERROR(IF(AE1263&lt;&gt;"ja",_xlfn.IFNA(_xlfn.IFS(AND(O1263&lt;&gt;"",F1263&lt;&gt;"",RIGHT($N1263,6)="tarief",F1263="Vergoeding"),SUM(O1263)*FLOOR(SUM(Q1263),0.0001),AND(O1263&lt;&gt;"",F1263&lt;&gt;"",RIGHT($N1263,6)="tarief"),SUM(O1263)*FLOOR(SUM(Q1263),0.01),S1263&gt;0,IF(F1263&lt;&gt;"",FLOOR(SUM(S1263),0.01),"")),""),""),"")</f>
        <v/>
      </c>
      <c r="X1263" s="314" t="str" cm="1">
        <f t="array" aca="1" ref="X1263" ca="1">IFERROR(IF(AE1263&lt;&gt;"ja",_xlfn.IFNA(_xlfn.IFS(AND(P1263&lt;&gt;"",R1263&lt;&gt;"",RIGHT($N1263,6)="tarief",F1263="Vergoeding"),SUM(P1263)*FLOOR(SUM(R1263),0.0001),AND(P1263&lt;&gt;"",R1263&lt;&gt;"",RIGHT($N1263,6)="tarief"),P1263*FLOOR(R1263,0.01),T1263&gt;0,FLOOR(SUM(T1263),0.01)),""),""),"")</f>
        <v/>
      </c>
      <c r="Y1263" s="314" t="str">
        <f t="shared" ca="1" si="78"/>
        <v/>
      </c>
      <c r="Z1263" s="314" t="str" cm="1">
        <f t="array" aca="1" ref="Z1263" ca="1">IFERROR(_xlfn.IFS(OR(F1263="",LEFT(Methode_Keuze,4)="Geen",Methode_Keuze=""),"",AND(W1263&lt;&gt;"",F1263&lt;&gt;"Arbeidskosten"),W1263*VLOOKUP(F1263,Tb_ProjectKosten[],MATCH(Tb_ProjectKosten[[#Headers],[Forfait_Percentage]],Tb_ProjectKosten[#Headers],0),0),AND(F1263="Arbeidskosten",G1263&lt;&gt;""),IFERROR(W1263*VLOOKUP(G1263,Tb_KostenTypen[],3,0)*VLOOKUP(F1263,Tb_ProjectKosten[],MATCH(Tb_ProjectKosten[[#Headers],[Forfait_Percentage]],Tb_ProjectKosten[#Headers],0),0),""),W1263 &lt;=0,0),"")</f>
        <v/>
      </c>
      <c r="AA1263" s="314" t="str" cm="1">
        <f t="array" aca="1" ref="AA1263" ca="1">IFERROR(_xlfn.IFS(OR(F1263="",LEFT(Methode_Keuze,4)="Geen",Methode_Keuze=""),"",AND(X1263&lt;&gt;"",F1263&lt;&gt;"Arbeidskosten"),X1263*VLOOKUP(F1263,Tb_ProjectKosten[],MATCH(Tb_ProjectKosten[[#Headers],[Forfait_Percentage]],Tb_ProjectKosten[#Headers],0),0),AND(F1263="Arbeidskosten",G1263&lt;&gt;""),IFERROR(X1263*VLOOKUP(G1263,Tb_KostenTypen[],3,0)*VLOOKUP(F1263,Tb_ProjectKosten[],MATCH(Tb_ProjectKosten[[#Headers],[Forfait_Percentage]],Tb_ProjectKosten[#Headers],0),0),""),X1263 &lt;=0,0),"")</f>
        <v/>
      </c>
      <c r="AB1263" s="314" t="str">
        <f t="shared" ca="1" si="79"/>
        <v/>
      </c>
      <c r="AC1263" s="322"/>
      <c r="AD1263" s="315"/>
      <c r="AE1263" s="32" t="str" cm="1">
        <f t="array" ref="AE1263">IFERROR(IF(INDEX(SubsidieTabel!$AD$1:$AG$12,MATCH($F1263,SubsidieTabel!$AD$1:$AD$12,0),IFERROR(MATCH(Methode_Keuze,SubsidieTabel!$AD$1:$AG$1,0),2))&lt;&gt;1=TRUE,"ja",""),"")</f>
        <v/>
      </c>
    </row>
    <row r="1264" spans="1:31" x14ac:dyDescent="0.25">
      <c r="A1264" s="316"/>
      <c r="B1264" s="317" t="str">
        <f>IF(A1264&lt;&gt;"",_xlfn.MAXIFS($B$1:B1263,$A$1:A1263,A1264)+1,"")</f>
        <v/>
      </c>
      <c r="C1264" s="296"/>
      <c r="D1264" s="296"/>
      <c r="E1264" s="296"/>
      <c r="F1264" s="296"/>
      <c r="G1264" s="326"/>
      <c r="H1264" s="324"/>
      <c r="I1264" s="325"/>
      <c r="J1264" s="325"/>
      <c r="K1264" s="318"/>
      <c r="L1264" s="318"/>
      <c r="M1264" s="319" t="str">
        <f>IFERROR(VLOOKUP(H1264,Lijsten!$H$1:$I$100,2,0),"")</f>
        <v/>
      </c>
      <c r="N1264" s="319" t="str">
        <f ca="1">IFERROR(IF(VLOOKUP(F1264,Kostentypen!$A$3:$E$21,3,0)=0,"",IF(OR(F1264="Arbeidskosten",F1264="Vergoeding"),VLOOKUP(G1264,Tb_KostenTypen[],2,0),VLOOKUP(F1264,Kostentypen!$A$3:$E$20,3,0))),"")</f>
        <v/>
      </c>
      <c r="O1264" s="320" t="str" cm="1">
        <f t="array" ref="O1264">_xlfn.IFNA(IF(INDEX(Tb_KostenOptiesDB[],MATCH($F1264,Tb_KostenOptiesDB[KostenOptie],0),IFERROR(MATCH(Methode_Keuze,Tb_KostenOptiesDB[#Headers],0),2))=1,_xlfn.SWITCH($N1264,"Uurtarief",IF(OR(AND(RIGHT($F1264,3)="IKS",VLOOKUP($M1264,DB_Loonkosten,2,0)="Ja"),AND(RIGHT($F1264,3)&lt;&gt;"IKS",VLOOKUP($M1264,DB_Loonkosten,2,0)="Nee")),IFERROR(VLOOKUP($M1264,DB_Loonkosten,24,0),""),0),"Vast tarief",IF(LEFT(F1264,8)="Bijdrage",VLOOKUP($F1264,Tb_KostenTypen[],MATCH(Lijsten!$P$1,Tb_KostenTypen[#Headers],0),0),VLOOKUP($G1264,Lijsten!L:P,MATCH(Lijsten!$P$1,Kop_Tarief_Vast,0),0))),""),"")</f>
        <v/>
      </c>
      <c r="P1264" s="320" t="str" cm="1">
        <f t="array" ref="P1264">_xlfn.IFNA(IF(INDEX(Tb_KostenOptiesDB[],MATCH($F1264,Tb_KostenOptiesDB[KostenOptie],0),IFERROR(MATCH(Methode_Keuze,Tb_KostenOptiesDB[#Headers],0),2))=1,_xlfn.SWITCH($N1264,"Uurtarief",IF(OR(AND(RIGHT($F1264,3)="IKS",VLOOKUP($M1264,DB_Loonkosten,2,0)="Ja"),AND(RIGHT($F1264,3)&lt;&gt;"IKS",VLOOKUP($M1264,DB_Loonkosten,2,0)="Nee")),IFERROR(VLOOKUP($M1264,DB_Loonkosten,25,0),""),0),"Vast tarief",IF(LEFT(F1264,8)="Bijdrage",VLOOKUP($F1264,Tb_KostenTypen[],MATCH(Lijsten!$P$1,Tb_KostenTypen[#Headers],0),0),VLOOKUP($G1264,Lijsten!L:P,MATCH(Lijsten!$P$1,Kop_Tarief_Vast,0),0))),""),"")</f>
        <v/>
      </c>
      <c r="Q1264" s="359"/>
      <c r="R1264" s="359"/>
      <c r="S1264" s="321"/>
      <c r="T1264" s="321"/>
      <c r="U1264" s="373" t="str">
        <f t="shared" si="76"/>
        <v/>
      </c>
      <c r="V1264" s="314" t="str">
        <f t="shared" si="77"/>
        <v/>
      </c>
      <c r="W1264" s="314" t="str" cm="1">
        <f t="array" aca="1" ref="W1264" ca="1">IFERROR(IF(AE1264&lt;&gt;"ja",_xlfn.IFNA(_xlfn.IFS(AND(O1264&lt;&gt;"",F1264&lt;&gt;"",RIGHT($N1264,6)="tarief",F1264="Vergoeding"),SUM(O1264)*FLOOR(SUM(Q1264),0.0001),AND(O1264&lt;&gt;"",F1264&lt;&gt;"",RIGHT($N1264,6)="tarief"),SUM(O1264)*FLOOR(SUM(Q1264),0.01),S1264&gt;0,IF(F1264&lt;&gt;"",FLOOR(SUM(S1264),0.01),"")),""),""),"")</f>
        <v/>
      </c>
      <c r="X1264" s="314" t="str" cm="1">
        <f t="array" aca="1" ref="X1264" ca="1">IFERROR(IF(AE1264&lt;&gt;"ja",_xlfn.IFNA(_xlfn.IFS(AND(P1264&lt;&gt;"",R1264&lt;&gt;"",RIGHT($N1264,6)="tarief",F1264="Vergoeding"),SUM(P1264)*FLOOR(SUM(R1264),0.0001),AND(P1264&lt;&gt;"",R1264&lt;&gt;"",RIGHT($N1264,6)="tarief"),P1264*FLOOR(R1264,0.01),T1264&gt;0,FLOOR(SUM(T1264),0.01)),""),""),"")</f>
        <v/>
      </c>
      <c r="Y1264" s="314" t="str">
        <f t="shared" ca="1" si="78"/>
        <v/>
      </c>
      <c r="Z1264" s="314" t="str" cm="1">
        <f t="array" aca="1" ref="Z1264" ca="1">IFERROR(_xlfn.IFS(OR(F1264="",LEFT(Methode_Keuze,4)="Geen",Methode_Keuze=""),"",AND(W1264&lt;&gt;"",F1264&lt;&gt;"Arbeidskosten"),W1264*VLOOKUP(F1264,Tb_ProjectKosten[],MATCH(Tb_ProjectKosten[[#Headers],[Forfait_Percentage]],Tb_ProjectKosten[#Headers],0),0),AND(F1264="Arbeidskosten",G1264&lt;&gt;""),IFERROR(W1264*VLOOKUP(G1264,Tb_KostenTypen[],3,0)*VLOOKUP(F1264,Tb_ProjectKosten[],MATCH(Tb_ProjectKosten[[#Headers],[Forfait_Percentage]],Tb_ProjectKosten[#Headers],0),0),""),W1264 &lt;=0,0),"")</f>
        <v/>
      </c>
      <c r="AA1264" s="314" t="str" cm="1">
        <f t="array" aca="1" ref="AA1264" ca="1">IFERROR(_xlfn.IFS(OR(F1264="",LEFT(Methode_Keuze,4)="Geen",Methode_Keuze=""),"",AND(X1264&lt;&gt;"",F1264&lt;&gt;"Arbeidskosten"),X1264*VLOOKUP(F1264,Tb_ProjectKosten[],MATCH(Tb_ProjectKosten[[#Headers],[Forfait_Percentage]],Tb_ProjectKosten[#Headers],0),0),AND(F1264="Arbeidskosten",G1264&lt;&gt;""),IFERROR(X1264*VLOOKUP(G1264,Tb_KostenTypen[],3,0)*VLOOKUP(F1264,Tb_ProjectKosten[],MATCH(Tb_ProjectKosten[[#Headers],[Forfait_Percentage]],Tb_ProjectKosten[#Headers],0),0),""),X1264 &lt;=0,0),"")</f>
        <v/>
      </c>
      <c r="AB1264" s="314" t="str">
        <f t="shared" ca="1" si="79"/>
        <v/>
      </c>
      <c r="AC1264" s="322"/>
      <c r="AD1264" s="315"/>
      <c r="AE1264" s="32" t="str" cm="1">
        <f t="array" ref="AE1264">IFERROR(IF(INDEX(SubsidieTabel!$AD$1:$AG$12,MATCH($F1264,SubsidieTabel!$AD$1:$AD$12,0),IFERROR(MATCH(Methode_Keuze,SubsidieTabel!$AD$1:$AG$1,0),2))&lt;&gt;1=TRUE,"ja",""),"")</f>
        <v/>
      </c>
    </row>
    <row r="1265" spans="1:31" x14ac:dyDescent="0.25">
      <c r="A1265" s="316"/>
      <c r="B1265" s="317" t="str">
        <f>IF(A1265&lt;&gt;"",_xlfn.MAXIFS($B$1:B1264,$A$1:A1264,A1265)+1,"")</f>
        <v/>
      </c>
      <c r="C1265" s="296"/>
      <c r="D1265" s="296"/>
      <c r="E1265" s="296"/>
      <c r="F1265" s="296"/>
      <c r="G1265" s="326"/>
      <c r="H1265" s="324"/>
      <c r="I1265" s="325"/>
      <c r="J1265" s="325"/>
      <c r="K1265" s="318"/>
      <c r="L1265" s="318"/>
      <c r="M1265" s="319" t="str">
        <f>IFERROR(VLOOKUP(H1265,Lijsten!$H$1:$I$100,2,0),"")</f>
        <v/>
      </c>
      <c r="N1265" s="319" t="str">
        <f ca="1">IFERROR(IF(VLOOKUP(F1265,Kostentypen!$A$3:$E$21,3,0)=0,"",IF(OR(F1265="Arbeidskosten",F1265="Vergoeding"),VLOOKUP(G1265,Tb_KostenTypen[],2,0),VLOOKUP(F1265,Kostentypen!$A$3:$E$20,3,0))),"")</f>
        <v/>
      </c>
      <c r="O1265" s="320" t="str" cm="1">
        <f t="array" ref="O1265">_xlfn.IFNA(IF(INDEX(Tb_KostenOptiesDB[],MATCH($F1265,Tb_KostenOptiesDB[KostenOptie],0),IFERROR(MATCH(Methode_Keuze,Tb_KostenOptiesDB[#Headers],0),2))=1,_xlfn.SWITCH($N1265,"Uurtarief",IF(OR(AND(RIGHT($F1265,3)="IKS",VLOOKUP($M1265,DB_Loonkosten,2,0)="Ja"),AND(RIGHT($F1265,3)&lt;&gt;"IKS",VLOOKUP($M1265,DB_Loonkosten,2,0)="Nee")),IFERROR(VLOOKUP($M1265,DB_Loonkosten,24,0),""),0),"Vast tarief",IF(LEFT(F1265,8)="Bijdrage",VLOOKUP($F1265,Tb_KostenTypen[],MATCH(Lijsten!$P$1,Tb_KostenTypen[#Headers],0),0),VLOOKUP($G1265,Lijsten!L:P,MATCH(Lijsten!$P$1,Kop_Tarief_Vast,0),0))),""),"")</f>
        <v/>
      </c>
      <c r="P1265" s="320" t="str" cm="1">
        <f t="array" ref="P1265">_xlfn.IFNA(IF(INDEX(Tb_KostenOptiesDB[],MATCH($F1265,Tb_KostenOptiesDB[KostenOptie],0),IFERROR(MATCH(Methode_Keuze,Tb_KostenOptiesDB[#Headers],0),2))=1,_xlfn.SWITCH($N1265,"Uurtarief",IF(OR(AND(RIGHT($F1265,3)="IKS",VLOOKUP($M1265,DB_Loonkosten,2,0)="Ja"),AND(RIGHT($F1265,3)&lt;&gt;"IKS",VLOOKUP($M1265,DB_Loonkosten,2,0)="Nee")),IFERROR(VLOOKUP($M1265,DB_Loonkosten,25,0),""),0),"Vast tarief",IF(LEFT(F1265,8)="Bijdrage",VLOOKUP($F1265,Tb_KostenTypen[],MATCH(Lijsten!$P$1,Tb_KostenTypen[#Headers],0),0),VLOOKUP($G1265,Lijsten!L:P,MATCH(Lijsten!$P$1,Kop_Tarief_Vast,0),0))),""),"")</f>
        <v/>
      </c>
      <c r="Q1265" s="359"/>
      <c r="R1265" s="359"/>
      <c r="S1265" s="321"/>
      <c r="T1265" s="321"/>
      <c r="U1265" s="373" t="str">
        <f t="shared" si="76"/>
        <v/>
      </c>
      <c r="V1265" s="314" t="str">
        <f t="shared" si="77"/>
        <v/>
      </c>
      <c r="W1265" s="314" t="str" cm="1">
        <f t="array" aca="1" ref="W1265" ca="1">IFERROR(IF(AE1265&lt;&gt;"ja",_xlfn.IFNA(_xlfn.IFS(AND(O1265&lt;&gt;"",F1265&lt;&gt;"",RIGHT($N1265,6)="tarief",F1265="Vergoeding"),SUM(O1265)*FLOOR(SUM(Q1265),0.0001),AND(O1265&lt;&gt;"",F1265&lt;&gt;"",RIGHT($N1265,6)="tarief"),SUM(O1265)*FLOOR(SUM(Q1265),0.01),S1265&gt;0,IF(F1265&lt;&gt;"",FLOOR(SUM(S1265),0.01),"")),""),""),"")</f>
        <v/>
      </c>
      <c r="X1265" s="314" t="str" cm="1">
        <f t="array" aca="1" ref="X1265" ca="1">IFERROR(IF(AE1265&lt;&gt;"ja",_xlfn.IFNA(_xlfn.IFS(AND(P1265&lt;&gt;"",R1265&lt;&gt;"",RIGHT($N1265,6)="tarief",F1265="Vergoeding"),SUM(P1265)*FLOOR(SUM(R1265),0.0001),AND(P1265&lt;&gt;"",R1265&lt;&gt;"",RIGHT($N1265,6)="tarief"),P1265*FLOOR(R1265,0.01),T1265&gt;0,FLOOR(SUM(T1265),0.01)),""),""),"")</f>
        <v/>
      </c>
      <c r="Y1265" s="314" t="str">
        <f t="shared" ca="1" si="78"/>
        <v/>
      </c>
      <c r="Z1265" s="314" t="str" cm="1">
        <f t="array" aca="1" ref="Z1265" ca="1">IFERROR(_xlfn.IFS(OR(F1265="",LEFT(Methode_Keuze,4)="Geen",Methode_Keuze=""),"",AND(W1265&lt;&gt;"",F1265&lt;&gt;"Arbeidskosten"),W1265*VLOOKUP(F1265,Tb_ProjectKosten[],MATCH(Tb_ProjectKosten[[#Headers],[Forfait_Percentage]],Tb_ProjectKosten[#Headers],0),0),AND(F1265="Arbeidskosten",G1265&lt;&gt;""),IFERROR(W1265*VLOOKUP(G1265,Tb_KostenTypen[],3,0)*VLOOKUP(F1265,Tb_ProjectKosten[],MATCH(Tb_ProjectKosten[[#Headers],[Forfait_Percentage]],Tb_ProjectKosten[#Headers],0),0),""),W1265 &lt;=0,0),"")</f>
        <v/>
      </c>
      <c r="AA1265" s="314" t="str" cm="1">
        <f t="array" aca="1" ref="AA1265" ca="1">IFERROR(_xlfn.IFS(OR(F1265="",LEFT(Methode_Keuze,4)="Geen",Methode_Keuze=""),"",AND(X1265&lt;&gt;"",F1265&lt;&gt;"Arbeidskosten"),X1265*VLOOKUP(F1265,Tb_ProjectKosten[],MATCH(Tb_ProjectKosten[[#Headers],[Forfait_Percentage]],Tb_ProjectKosten[#Headers],0),0),AND(F1265="Arbeidskosten",G1265&lt;&gt;""),IFERROR(X1265*VLOOKUP(G1265,Tb_KostenTypen[],3,0)*VLOOKUP(F1265,Tb_ProjectKosten[],MATCH(Tb_ProjectKosten[[#Headers],[Forfait_Percentage]],Tb_ProjectKosten[#Headers],0),0),""),X1265 &lt;=0,0),"")</f>
        <v/>
      </c>
      <c r="AB1265" s="314" t="str">
        <f t="shared" ca="1" si="79"/>
        <v/>
      </c>
      <c r="AC1265" s="322"/>
      <c r="AD1265" s="315"/>
      <c r="AE1265" s="32" t="str" cm="1">
        <f t="array" ref="AE1265">IFERROR(IF(INDEX(SubsidieTabel!$AD$1:$AG$12,MATCH($F1265,SubsidieTabel!$AD$1:$AD$12,0),IFERROR(MATCH(Methode_Keuze,SubsidieTabel!$AD$1:$AG$1,0),2))&lt;&gt;1=TRUE,"ja",""),"")</f>
        <v/>
      </c>
    </row>
    <row r="1266" spans="1:31" x14ac:dyDescent="0.25">
      <c r="A1266" s="316"/>
      <c r="B1266" s="317" t="str">
        <f>IF(A1266&lt;&gt;"",_xlfn.MAXIFS($B$1:B1265,$A$1:A1265,A1266)+1,"")</f>
        <v/>
      </c>
      <c r="C1266" s="296"/>
      <c r="D1266" s="296"/>
      <c r="E1266" s="296"/>
      <c r="F1266" s="296"/>
      <c r="G1266" s="326"/>
      <c r="H1266" s="324"/>
      <c r="I1266" s="325"/>
      <c r="J1266" s="325"/>
      <c r="K1266" s="318"/>
      <c r="L1266" s="318"/>
      <c r="M1266" s="319" t="str">
        <f>IFERROR(VLOOKUP(H1266,Lijsten!$H$1:$I$100,2,0),"")</f>
        <v/>
      </c>
      <c r="N1266" s="319" t="str">
        <f ca="1">IFERROR(IF(VLOOKUP(F1266,Kostentypen!$A$3:$E$21,3,0)=0,"",IF(OR(F1266="Arbeidskosten",F1266="Vergoeding"),VLOOKUP(G1266,Tb_KostenTypen[],2,0),VLOOKUP(F1266,Kostentypen!$A$3:$E$20,3,0))),"")</f>
        <v/>
      </c>
      <c r="O1266" s="320" t="str" cm="1">
        <f t="array" ref="O1266">_xlfn.IFNA(IF(INDEX(Tb_KostenOptiesDB[],MATCH($F1266,Tb_KostenOptiesDB[KostenOptie],0),IFERROR(MATCH(Methode_Keuze,Tb_KostenOptiesDB[#Headers],0),2))=1,_xlfn.SWITCH($N1266,"Uurtarief",IF(OR(AND(RIGHT($F1266,3)="IKS",VLOOKUP($M1266,DB_Loonkosten,2,0)="Ja"),AND(RIGHT($F1266,3)&lt;&gt;"IKS",VLOOKUP($M1266,DB_Loonkosten,2,0)="Nee")),IFERROR(VLOOKUP($M1266,DB_Loonkosten,24,0),""),0),"Vast tarief",IF(LEFT(F1266,8)="Bijdrage",VLOOKUP($F1266,Tb_KostenTypen[],MATCH(Lijsten!$P$1,Tb_KostenTypen[#Headers],0),0),VLOOKUP($G1266,Lijsten!L:P,MATCH(Lijsten!$P$1,Kop_Tarief_Vast,0),0))),""),"")</f>
        <v/>
      </c>
      <c r="P1266" s="320" t="str" cm="1">
        <f t="array" ref="P1266">_xlfn.IFNA(IF(INDEX(Tb_KostenOptiesDB[],MATCH($F1266,Tb_KostenOptiesDB[KostenOptie],0),IFERROR(MATCH(Methode_Keuze,Tb_KostenOptiesDB[#Headers],0),2))=1,_xlfn.SWITCH($N1266,"Uurtarief",IF(OR(AND(RIGHT($F1266,3)="IKS",VLOOKUP($M1266,DB_Loonkosten,2,0)="Ja"),AND(RIGHT($F1266,3)&lt;&gt;"IKS",VLOOKUP($M1266,DB_Loonkosten,2,0)="Nee")),IFERROR(VLOOKUP($M1266,DB_Loonkosten,25,0),""),0),"Vast tarief",IF(LEFT(F1266,8)="Bijdrage",VLOOKUP($F1266,Tb_KostenTypen[],MATCH(Lijsten!$P$1,Tb_KostenTypen[#Headers],0),0),VLOOKUP($G1266,Lijsten!L:P,MATCH(Lijsten!$P$1,Kop_Tarief_Vast,0),0))),""),"")</f>
        <v/>
      </c>
      <c r="Q1266" s="359"/>
      <c r="R1266" s="359"/>
      <c r="S1266" s="321"/>
      <c r="T1266" s="321"/>
      <c r="U1266" s="373" t="str">
        <f t="shared" si="76"/>
        <v/>
      </c>
      <c r="V1266" s="314" t="str">
        <f t="shared" si="77"/>
        <v/>
      </c>
      <c r="W1266" s="314" t="str" cm="1">
        <f t="array" aca="1" ref="W1266" ca="1">IFERROR(IF(AE1266&lt;&gt;"ja",_xlfn.IFNA(_xlfn.IFS(AND(O1266&lt;&gt;"",F1266&lt;&gt;"",RIGHT($N1266,6)="tarief",F1266="Vergoeding"),SUM(O1266)*FLOOR(SUM(Q1266),0.0001),AND(O1266&lt;&gt;"",F1266&lt;&gt;"",RIGHT($N1266,6)="tarief"),SUM(O1266)*FLOOR(SUM(Q1266),0.01),S1266&gt;0,IF(F1266&lt;&gt;"",FLOOR(SUM(S1266),0.01),"")),""),""),"")</f>
        <v/>
      </c>
      <c r="X1266" s="314" t="str" cm="1">
        <f t="array" aca="1" ref="X1266" ca="1">IFERROR(IF(AE1266&lt;&gt;"ja",_xlfn.IFNA(_xlfn.IFS(AND(P1266&lt;&gt;"",R1266&lt;&gt;"",RIGHT($N1266,6)="tarief",F1266="Vergoeding"),SUM(P1266)*FLOOR(SUM(R1266),0.0001),AND(P1266&lt;&gt;"",R1266&lt;&gt;"",RIGHT($N1266,6)="tarief"),P1266*FLOOR(R1266,0.01),T1266&gt;0,FLOOR(SUM(T1266),0.01)),""),""),"")</f>
        <v/>
      </c>
      <c r="Y1266" s="314" t="str">
        <f t="shared" ca="1" si="78"/>
        <v/>
      </c>
      <c r="Z1266" s="314" t="str" cm="1">
        <f t="array" aca="1" ref="Z1266" ca="1">IFERROR(_xlfn.IFS(OR(F1266="",LEFT(Methode_Keuze,4)="Geen",Methode_Keuze=""),"",AND(W1266&lt;&gt;"",F1266&lt;&gt;"Arbeidskosten"),W1266*VLOOKUP(F1266,Tb_ProjectKosten[],MATCH(Tb_ProjectKosten[[#Headers],[Forfait_Percentage]],Tb_ProjectKosten[#Headers],0),0),AND(F1266="Arbeidskosten",G1266&lt;&gt;""),IFERROR(W1266*VLOOKUP(G1266,Tb_KostenTypen[],3,0)*VLOOKUP(F1266,Tb_ProjectKosten[],MATCH(Tb_ProjectKosten[[#Headers],[Forfait_Percentage]],Tb_ProjectKosten[#Headers],0),0),""),W1266 &lt;=0,0),"")</f>
        <v/>
      </c>
      <c r="AA1266" s="314" t="str" cm="1">
        <f t="array" aca="1" ref="AA1266" ca="1">IFERROR(_xlfn.IFS(OR(F1266="",LEFT(Methode_Keuze,4)="Geen",Methode_Keuze=""),"",AND(X1266&lt;&gt;"",F1266&lt;&gt;"Arbeidskosten"),X1266*VLOOKUP(F1266,Tb_ProjectKosten[],MATCH(Tb_ProjectKosten[[#Headers],[Forfait_Percentage]],Tb_ProjectKosten[#Headers],0),0),AND(F1266="Arbeidskosten",G1266&lt;&gt;""),IFERROR(X1266*VLOOKUP(G1266,Tb_KostenTypen[],3,0)*VLOOKUP(F1266,Tb_ProjectKosten[],MATCH(Tb_ProjectKosten[[#Headers],[Forfait_Percentage]],Tb_ProjectKosten[#Headers],0),0),""),X1266 &lt;=0,0),"")</f>
        <v/>
      </c>
      <c r="AB1266" s="314" t="str">
        <f t="shared" ca="1" si="79"/>
        <v/>
      </c>
      <c r="AC1266" s="322"/>
      <c r="AD1266" s="315"/>
      <c r="AE1266" s="32" t="str" cm="1">
        <f t="array" ref="AE1266">IFERROR(IF(INDEX(SubsidieTabel!$AD$1:$AG$12,MATCH($F1266,SubsidieTabel!$AD$1:$AD$12,0),IFERROR(MATCH(Methode_Keuze,SubsidieTabel!$AD$1:$AG$1,0),2))&lt;&gt;1=TRUE,"ja",""),"")</f>
        <v/>
      </c>
    </row>
    <row r="1267" spans="1:31" x14ac:dyDescent="0.25">
      <c r="A1267" s="316"/>
      <c r="B1267" s="317" t="str">
        <f>IF(A1267&lt;&gt;"",_xlfn.MAXIFS($B$1:B1266,$A$1:A1266,A1267)+1,"")</f>
        <v/>
      </c>
      <c r="C1267" s="296"/>
      <c r="D1267" s="296"/>
      <c r="E1267" s="296"/>
      <c r="F1267" s="296"/>
      <c r="G1267" s="326"/>
      <c r="H1267" s="324"/>
      <c r="I1267" s="325"/>
      <c r="J1267" s="325"/>
      <c r="K1267" s="318"/>
      <c r="L1267" s="318"/>
      <c r="M1267" s="319" t="str">
        <f>IFERROR(VLOOKUP(H1267,Lijsten!$H$1:$I$100,2,0),"")</f>
        <v/>
      </c>
      <c r="N1267" s="319" t="str">
        <f ca="1">IFERROR(IF(VLOOKUP(F1267,Kostentypen!$A$3:$E$21,3,0)=0,"",IF(OR(F1267="Arbeidskosten",F1267="Vergoeding"),VLOOKUP(G1267,Tb_KostenTypen[],2,0),VLOOKUP(F1267,Kostentypen!$A$3:$E$20,3,0))),"")</f>
        <v/>
      </c>
      <c r="O1267" s="320" t="str" cm="1">
        <f t="array" ref="O1267">_xlfn.IFNA(IF(INDEX(Tb_KostenOptiesDB[],MATCH($F1267,Tb_KostenOptiesDB[KostenOptie],0),IFERROR(MATCH(Methode_Keuze,Tb_KostenOptiesDB[#Headers],0),2))=1,_xlfn.SWITCH($N1267,"Uurtarief",IF(OR(AND(RIGHT($F1267,3)="IKS",VLOOKUP($M1267,DB_Loonkosten,2,0)="Ja"),AND(RIGHT($F1267,3)&lt;&gt;"IKS",VLOOKUP($M1267,DB_Loonkosten,2,0)="Nee")),IFERROR(VLOOKUP($M1267,DB_Loonkosten,24,0),""),0),"Vast tarief",IF(LEFT(F1267,8)="Bijdrage",VLOOKUP($F1267,Tb_KostenTypen[],MATCH(Lijsten!$P$1,Tb_KostenTypen[#Headers],0),0),VLOOKUP($G1267,Lijsten!L:P,MATCH(Lijsten!$P$1,Kop_Tarief_Vast,0),0))),""),"")</f>
        <v/>
      </c>
      <c r="P1267" s="320" t="str" cm="1">
        <f t="array" ref="P1267">_xlfn.IFNA(IF(INDEX(Tb_KostenOptiesDB[],MATCH($F1267,Tb_KostenOptiesDB[KostenOptie],0),IFERROR(MATCH(Methode_Keuze,Tb_KostenOptiesDB[#Headers],0),2))=1,_xlfn.SWITCH($N1267,"Uurtarief",IF(OR(AND(RIGHT($F1267,3)="IKS",VLOOKUP($M1267,DB_Loonkosten,2,0)="Ja"),AND(RIGHT($F1267,3)&lt;&gt;"IKS",VLOOKUP($M1267,DB_Loonkosten,2,0)="Nee")),IFERROR(VLOOKUP($M1267,DB_Loonkosten,25,0),""),0),"Vast tarief",IF(LEFT(F1267,8)="Bijdrage",VLOOKUP($F1267,Tb_KostenTypen[],MATCH(Lijsten!$P$1,Tb_KostenTypen[#Headers],0),0),VLOOKUP($G1267,Lijsten!L:P,MATCH(Lijsten!$P$1,Kop_Tarief_Vast,0),0))),""),"")</f>
        <v/>
      </c>
      <c r="Q1267" s="359"/>
      <c r="R1267" s="359"/>
      <c r="S1267" s="321"/>
      <c r="T1267" s="321"/>
      <c r="U1267" s="373" t="str">
        <f t="shared" si="76"/>
        <v/>
      </c>
      <c r="V1267" s="314" t="str">
        <f t="shared" si="77"/>
        <v/>
      </c>
      <c r="W1267" s="314" t="str" cm="1">
        <f t="array" aca="1" ref="W1267" ca="1">IFERROR(IF(AE1267&lt;&gt;"ja",_xlfn.IFNA(_xlfn.IFS(AND(O1267&lt;&gt;"",F1267&lt;&gt;"",RIGHT($N1267,6)="tarief",F1267="Vergoeding"),SUM(O1267)*FLOOR(SUM(Q1267),0.0001),AND(O1267&lt;&gt;"",F1267&lt;&gt;"",RIGHT($N1267,6)="tarief"),SUM(O1267)*FLOOR(SUM(Q1267),0.01),S1267&gt;0,IF(F1267&lt;&gt;"",FLOOR(SUM(S1267),0.01),"")),""),""),"")</f>
        <v/>
      </c>
      <c r="X1267" s="314" t="str" cm="1">
        <f t="array" aca="1" ref="X1267" ca="1">IFERROR(IF(AE1267&lt;&gt;"ja",_xlfn.IFNA(_xlfn.IFS(AND(P1267&lt;&gt;"",R1267&lt;&gt;"",RIGHT($N1267,6)="tarief",F1267="Vergoeding"),SUM(P1267)*FLOOR(SUM(R1267),0.0001),AND(P1267&lt;&gt;"",R1267&lt;&gt;"",RIGHT($N1267,6)="tarief"),P1267*FLOOR(R1267,0.01),T1267&gt;0,FLOOR(SUM(T1267),0.01)),""),""),"")</f>
        <v/>
      </c>
      <c r="Y1267" s="314" t="str">
        <f t="shared" ca="1" si="78"/>
        <v/>
      </c>
      <c r="Z1267" s="314" t="str" cm="1">
        <f t="array" aca="1" ref="Z1267" ca="1">IFERROR(_xlfn.IFS(OR(F1267="",LEFT(Methode_Keuze,4)="Geen",Methode_Keuze=""),"",AND(W1267&lt;&gt;"",F1267&lt;&gt;"Arbeidskosten"),W1267*VLOOKUP(F1267,Tb_ProjectKosten[],MATCH(Tb_ProjectKosten[[#Headers],[Forfait_Percentage]],Tb_ProjectKosten[#Headers],0),0),AND(F1267="Arbeidskosten",G1267&lt;&gt;""),IFERROR(W1267*VLOOKUP(G1267,Tb_KostenTypen[],3,0)*VLOOKUP(F1267,Tb_ProjectKosten[],MATCH(Tb_ProjectKosten[[#Headers],[Forfait_Percentage]],Tb_ProjectKosten[#Headers],0),0),""),W1267 &lt;=0,0),"")</f>
        <v/>
      </c>
      <c r="AA1267" s="314" t="str" cm="1">
        <f t="array" aca="1" ref="AA1267" ca="1">IFERROR(_xlfn.IFS(OR(F1267="",LEFT(Methode_Keuze,4)="Geen",Methode_Keuze=""),"",AND(X1267&lt;&gt;"",F1267&lt;&gt;"Arbeidskosten"),X1267*VLOOKUP(F1267,Tb_ProjectKosten[],MATCH(Tb_ProjectKosten[[#Headers],[Forfait_Percentage]],Tb_ProjectKosten[#Headers],0),0),AND(F1267="Arbeidskosten",G1267&lt;&gt;""),IFERROR(X1267*VLOOKUP(G1267,Tb_KostenTypen[],3,0)*VLOOKUP(F1267,Tb_ProjectKosten[],MATCH(Tb_ProjectKosten[[#Headers],[Forfait_Percentage]],Tb_ProjectKosten[#Headers],0),0),""),X1267 &lt;=0,0),"")</f>
        <v/>
      </c>
      <c r="AB1267" s="314" t="str">
        <f t="shared" ca="1" si="79"/>
        <v/>
      </c>
      <c r="AC1267" s="322"/>
      <c r="AD1267" s="315"/>
      <c r="AE1267" s="32" t="str" cm="1">
        <f t="array" ref="AE1267">IFERROR(IF(INDEX(SubsidieTabel!$AD$1:$AG$12,MATCH($F1267,SubsidieTabel!$AD$1:$AD$12,0),IFERROR(MATCH(Methode_Keuze,SubsidieTabel!$AD$1:$AG$1,0),2))&lt;&gt;1=TRUE,"ja",""),"")</f>
        <v/>
      </c>
    </row>
    <row r="1268" spans="1:31" x14ac:dyDescent="0.25">
      <c r="A1268" s="316"/>
      <c r="B1268" s="317" t="str">
        <f>IF(A1268&lt;&gt;"",_xlfn.MAXIFS($B$1:B1267,$A$1:A1267,A1268)+1,"")</f>
        <v/>
      </c>
      <c r="C1268" s="296"/>
      <c r="D1268" s="296"/>
      <c r="E1268" s="296"/>
      <c r="F1268" s="296"/>
      <c r="G1268" s="326"/>
      <c r="H1268" s="324"/>
      <c r="I1268" s="325"/>
      <c r="J1268" s="325"/>
      <c r="K1268" s="318"/>
      <c r="L1268" s="318"/>
      <c r="M1268" s="319" t="str">
        <f>IFERROR(VLOOKUP(H1268,Lijsten!$H$1:$I$100,2,0),"")</f>
        <v/>
      </c>
      <c r="N1268" s="319" t="str">
        <f ca="1">IFERROR(IF(VLOOKUP(F1268,Kostentypen!$A$3:$E$21,3,0)=0,"",IF(OR(F1268="Arbeidskosten",F1268="Vergoeding"),VLOOKUP(G1268,Tb_KostenTypen[],2,0),VLOOKUP(F1268,Kostentypen!$A$3:$E$20,3,0))),"")</f>
        <v/>
      </c>
      <c r="O1268" s="320" t="str" cm="1">
        <f t="array" ref="O1268">_xlfn.IFNA(IF(INDEX(Tb_KostenOptiesDB[],MATCH($F1268,Tb_KostenOptiesDB[KostenOptie],0),IFERROR(MATCH(Methode_Keuze,Tb_KostenOptiesDB[#Headers],0),2))=1,_xlfn.SWITCH($N1268,"Uurtarief",IF(OR(AND(RIGHT($F1268,3)="IKS",VLOOKUP($M1268,DB_Loonkosten,2,0)="Ja"),AND(RIGHT($F1268,3)&lt;&gt;"IKS",VLOOKUP($M1268,DB_Loonkosten,2,0)="Nee")),IFERROR(VLOOKUP($M1268,DB_Loonkosten,24,0),""),0),"Vast tarief",IF(LEFT(F1268,8)="Bijdrage",VLOOKUP($F1268,Tb_KostenTypen[],MATCH(Lijsten!$P$1,Tb_KostenTypen[#Headers],0),0),VLOOKUP($G1268,Lijsten!L:P,MATCH(Lijsten!$P$1,Kop_Tarief_Vast,0),0))),""),"")</f>
        <v/>
      </c>
      <c r="P1268" s="320" t="str" cm="1">
        <f t="array" ref="P1268">_xlfn.IFNA(IF(INDEX(Tb_KostenOptiesDB[],MATCH($F1268,Tb_KostenOptiesDB[KostenOptie],0),IFERROR(MATCH(Methode_Keuze,Tb_KostenOptiesDB[#Headers],0),2))=1,_xlfn.SWITCH($N1268,"Uurtarief",IF(OR(AND(RIGHT($F1268,3)="IKS",VLOOKUP($M1268,DB_Loonkosten,2,0)="Ja"),AND(RIGHT($F1268,3)&lt;&gt;"IKS",VLOOKUP($M1268,DB_Loonkosten,2,0)="Nee")),IFERROR(VLOOKUP($M1268,DB_Loonkosten,25,0),""),0),"Vast tarief",IF(LEFT(F1268,8)="Bijdrage",VLOOKUP($F1268,Tb_KostenTypen[],MATCH(Lijsten!$P$1,Tb_KostenTypen[#Headers],0),0),VLOOKUP($G1268,Lijsten!L:P,MATCH(Lijsten!$P$1,Kop_Tarief_Vast,0),0))),""),"")</f>
        <v/>
      </c>
      <c r="Q1268" s="359"/>
      <c r="R1268" s="359"/>
      <c r="S1268" s="321"/>
      <c r="T1268" s="321"/>
      <c r="U1268" s="373" t="str">
        <f t="shared" si="76"/>
        <v/>
      </c>
      <c r="V1268" s="314" t="str">
        <f t="shared" si="77"/>
        <v/>
      </c>
      <c r="W1268" s="314" t="str" cm="1">
        <f t="array" aca="1" ref="W1268" ca="1">IFERROR(IF(AE1268&lt;&gt;"ja",_xlfn.IFNA(_xlfn.IFS(AND(O1268&lt;&gt;"",F1268&lt;&gt;"",RIGHT($N1268,6)="tarief",F1268="Vergoeding"),SUM(O1268)*FLOOR(SUM(Q1268),0.0001),AND(O1268&lt;&gt;"",F1268&lt;&gt;"",RIGHT($N1268,6)="tarief"),SUM(O1268)*FLOOR(SUM(Q1268),0.01),S1268&gt;0,IF(F1268&lt;&gt;"",FLOOR(SUM(S1268),0.01),"")),""),""),"")</f>
        <v/>
      </c>
      <c r="X1268" s="314" t="str" cm="1">
        <f t="array" aca="1" ref="X1268" ca="1">IFERROR(IF(AE1268&lt;&gt;"ja",_xlfn.IFNA(_xlfn.IFS(AND(P1268&lt;&gt;"",R1268&lt;&gt;"",RIGHT($N1268,6)="tarief",F1268="Vergoeding"),SUM(P1268)*FLOOR(SUM(R1268),0.0001),AND(P1268&lt;&gt;"",R1268&lt;&gt;"",RIGHT($N1268,6)="tarief"),P1268*FLOOR(R1268,0.01),T1268&gt;0,FLOOR(SUM(T1268),0.01)),""),""),"")</f>
        <v/>
      </c>
      <c r="Y1268" s="314" t="str">
        <f t="shared" ca="1" si="78"/>
        <v/>
      </c>
      <c r="Z1268" s="314" t="str" cm="1">
        <f t="array" aca="1" ref="Z1268" ca="1">IFERROR(_xlfn.IFS(OR(F1268="",LEFT(Methode_Keuze,4)="Geen",Methode_Keuze=""),"",AND(W1268&lt;&gt;"",F1268&lt;&gt;"Arbeidskosten"),W1268*VLOOKUP(F1268,Tb_ProjectKosten[],MATCH(Tb_ProjectKosten[[#Headers],[Forfait_Percentage]],Tb_ProjectKosten[#Headers],0),0),AND(F1268="Arbeidskosten",G1268&lt;&gt;""),IFERROR(W1268*VLOOKUP(G1268,Tb_KostenTypen[],3,0)*VLOOKUP(F1268,Tb_ProjectKosten[],MATCH(Tb_ProjectKosten[[#Headers],[Forfait_Percentage]],Tb_ProjectKosten[#Headers],0),0),""),W1268 &lt;=0,0),"")</f>
        <v/>
      </c>
      <c r="AA1268" s="314" t="str" cm="1">
        <f t="array" aca="1" ref="AA1268" ca="1">IFERROR(_xlfn.IFS(OR(F1268="",LEFT(Methode_Keuze,4)="Geen",Methode_Keuze=""),"",AND(X1268&lt;&gt;"",F1268&lt;&gt;"Arbeidskosten"),X1268*VLOOKUP(F1268,Tb_ProjectKosten[],MATCH(Tb_ProjectKosten[[#Headers],[Forfait_Percentage]],Tb_ProjectKosten[#Headers],0),0),AND(F1268="Arbeidskosten",G1268&lt;&gt;""),IFERROR(X1268*VLOOKUP(G1268,Tb_KostenTypen[],3,0)*VLOOKUP(F1268,Tb_ProjectKosten[],MATCH(Tb_ProjectKosten[[#Headers],[Forfait_Percentage]],Tb_ProjectKosten[#Headers],0),0),""),X1268 &lt;=0,0),"")</f>
        <v/>
      </c>
      <c r="AB1268" s="314" t="str">
        <f t="shared" ca="1" si="79"/>
        <v/>
      </c>
      <c r="AC1268" s="322"/>
      <c r="AD1268" s="315"/>
      <c r="AE1268" s="32" t="str" cm="1">
        <f t="array" ref="AE1268">IFERROR(IF(INDEX(SubsidieTabel!$AD$1:$AG$12,MATCH($F1268,SubsidieTabel!$AD$1:$AD$12,0),IFERROR(MATCH(Methode_Keuze,SubsidieTabel!$AD$1:$AG$1,0),2))&lt;&gt;1=TRUE,"ja",""),"")</f>
        <v/>
      </c>
    </row>
    <row r="1269" spans="1:31" x14ac:dyDescent="0.25">
      <c r="A1269" s="316"/>
      <c r="B1269" s="317" t="str">
        <f>IF(A1269&lt;&gt;"",_xlfn.MAXIFS($B$1:B1268,$A$1:A1268,A1269)+1,"")</f>
        <v/>
      </c>
      <c r="C1269" s="296"/>
      <c r="D1269" s="296"/>
      <c r="E1269" s="296"/>
      <c r="F1269" s="296"/>
      <c r="G1269" s="326"/>
      <c r="H1269" s="324"/>
      <c r="I1269" s="325"/>
      <c r="J1269" s="325"/>
      <c r="K1269" s="318"/>
      <c r="L1269" s="318"/>
      <c r="M1269" s="319" t="str">
        <f>IFERROR(VLOOKUP(H1269,Lijsten!$H$1:$I$100,2,0),"")</f>
        <v/>
      </c>
      <c r="N1269" s="319" t="str">
        <f ca="1">IFERROR(IF(VLOOKUP(F1269,Kostentypen!$A$3:$E$21,3,0)=0,"",IF(OR(F1269="Arbeidskosten",F1269="Vergoeding"),VLOOKUP(G1269,Tb_KostenTypen[],2,0),VLOOKUP(F1269,Kostentypen!$A$3:$E$20,3,0))),"")</f>
        <v/>
      </c>
      <c r="O1269" s="320" t="str" cm="1">
        <f t="array" ref="O1269">_xlfn.IFNA(IF(INDEX(Tb_KostenOptiesDB[],MATCH($F1269,Tb_KostenOptiesDB[KostenOptie],0),IFERROR(MATCH(Methode_Keuze,Tb_KostenOptiesDB[#Headers],0),2))=1,_xlfn.SWITCH($N1269,"Uurtarief",IF(OR(AND(RIGHT($F1269,3)="IKS",VLOOKUP($M1269,DB_Loonkosten,2,0)="Ja"),AND(RIGHT($F1269,3)&lt;&gt;"IKS",VLOOKUP($M1269,DB_Loonkosten,2,0)="Nee")),IFERROR(VLOOKUP($M1269,DB_Loonkosten,24,0),""),0),"Vast tarief",IF(LEFT(F1269,8)="Bijdrage",VLOOKUP($F1269,Tb_KostenTypen[],MATCH(Lijsten!$P$1,Tb_KostenTypen[#Headers],0),0),VLOOKUP($G1269,Lijsten!L:P,MATCH(Lijsten!$P$1,Kop_Tarief_Vast,0),0))),""),"")</f>
        <v/>
      </c>
      <c r="P1269" s="320" t="str" cm="1">
        <f t="array" ref="P1269">_xlfn.IFNA(IF(INDEX(Tb_KostenOptiesDB[],MATCH($F1269,Tb_KostenOptiesDB[KostenOptie],0),IFERROR(MATCH(Methode_Keuze,Tb_KostenOptiesDB[#Headers],0),2))=1,_xlfn.SWITCH($N1269,"Uurtarief",IF(OR(AND(RIGHT($F1269,3)="IKS",VLOOKUP($M1269,DB_Loonkosten,2,0)="Ja"),AND(RIGHT($F1269,3)&lt;&gt;"IKS",VLOOKUP($M1269,DB_Loonkosten,2,0)="Nee")),IFERROR(VLOOKUP($M1269,DB_Loonkosten,25,0),""),0),"Vast tarief",IF(LEFT(F1269,8)="Bijdrage",VLOOKUP($F1269,Tb_KostenTypen[],MATCH(Lijsten!$P$1,Tb_KostenTypen[#Headers],0),0),VLOOKUP($G1269,Lijsten!L:P,MATCH(Lijsten!$P$1,Kop_Tarief_Vast,0),0))),""),"")</f>
        <v/>
      </c>
      <c r="Q1269" s="359"/>
      <c r="R1269" s="359"/>
      <c r="S1269" s="321"/>
      <c r="T1269" s="321"/>
      <c r="U1269" s="373" t="str">
        <f t="shared" si="76"/>
        <v/>
      </c>
      <c r="V1269" s="314" t="str">
        <f t="shared" si="77"/>
        <v/>
      </c>
      <c r="W1269" s="314" t="str" cm="1">
        <f t="array" aca="1" ref="W1269" ca="1">IFERROR(IF(AE1269&lt;&gt;"ja",_xlfn.IFNA(_xlfn.IFS(AND(O1269&lt;&gt;"",F1269&lt;&gt;"",RIGHT($N1269,6)="tarief",F1269="Vergoeding"),SUM(O1269)*FLOOR(SUM(Q1269),0.0001),AND(O1269&lt;&gt;"",F1269&lt;&gt;"",RIGHT($N1269,6)="tarief"),SUM(O1269)*FLOOR(SUM(Q1269),0.01),S1269&gt;0,IF(F1269&lt;&gt;"",FLOOR(SUM(S1269),0.01),"")),""),""),"")</f>
        <v/>
      </c>
      <c r="X1269" s="314" t="str" cm="1">
        <f t="array" aca="1" ref="X1269" ca="1">IFERROR(IF(AE1269&lt;&gt;"ja",_xlfn.IFNA(_xlfn.IFS(AND(P1269&lt;&gt;"",R1269&lt;&gt;"",RIGHT($N1269,6)="tarief",F1269="Vergoeding"),SUM(P1269)*FLOOR(SUM(R1269),0.0001),AND(P1269&lt;&gt;"",R1269&lt;&gt;"",RIGHT($N1269,6)="tarief"),P1269*FLOOR(R1269,0.01),T1269&gt;0,FLOOR(SUM(T1269),0.01)),""),""),"")</f>
        <v/>
      </c>
      <c r="Y1269" s="314" t="str">
        <f t="shared" ca="1" si="78"/>
        <v/>
      </c>
      <c r="Z1269" s="314" t="str" cm="1">
        <f t="array" aca="1" ref="Z1269" ca="1">IFERROR(_xlfn.IFS(OR(F1269="",LEFT(Methode_Keuze,4)="Geen",Methode_Keuze=""),"",AND(W1269&lt;&gt;"",F1269&lt;&gt;"Arbeidskosten"),W1269*VLOOKUP(F1269,Tb_ProjectKosten[],MATCH(Tb_ProjectKosten[[#Headers],[Forfait_Percentage]],Tb_ProjectKosten[#Headers],0),0),AND(F1269="Arbeidskosten",G1269&lt;&gt;""),IFERROR(W1269*VLOOKUP(G1269,Tb_KostenTypen[],3,0)*VLOOKUP(F1269,Tb_ProjectKosten[],MATCH(Tb_ProjectKosten[[#Headers],[Forfait_Percentage]],Tb_ProjectKosten[#Headers],0),0),""),W1269 &lt;=0,0),"")</f>
        <v/>
      </c>
      <c r="AA1269" s="314" t="str" cm="1">
        <f t="array" aca="1" ref="AA1269" ca="1">IFERROR(_xlfn.IFS(OR(F1269="",LEFT(Methode_Keuze,4)="Geen",Methode_Keuze=""),"",AND(X1269&lt;&gt;"",F1269&lt;&gt;"Arbeidskosten"),X1269*VLOOKUP(F1269,Tb_ProjectKosten[],MATCH(Tb_ProjectKosten[[#Headers],[Forfait_Percentage]],Tb_ProjectKosten[#Headers],0),0),AND(F1269="Arbeidskosten",G1269&lt;&gt;""),IFERROR(X1269*VLOOKUP(G1269,Tb_KostenTypen[],3,0)*VLOOKUP(F1269,Tb_ProjectKosten[],MATCH(Tb_ProjectKosten[[#Headers],[Forfait_Percentage]],Tb_ProjectKosten[#Headers],0),0),""),X1269 &lt;=0,0),"")</f>
        <v/>
      </c>
      <c r="AB1269" s="314" t="str">
        <f t="shared" ca="1" si="79"/>
        <v/>
      </c>
      <c r="AC1269" s="322"/>
      <c r="AD1269" s="315"/>
      <c r="AE1269" s="32" t="str" cm="1">
        <f t="array" ref="AE1269">IFERROR(IF(INDEX(SubsidieTabel!$AD$1:$AG$12,MATCH($F1269,SubsidieTabel!$AD$1:$AD$12,0),IFERROR(MATCH(Methode_Keuze,SubsidieTabel!$AD$1:$AG$1,0),2))&lt;&gt;1=TRUE,"ja",""),"")</f>
        <v/>
      </c>
    </row>
    <row r="1270" spans="1:31" x14ac:dyDescent="0.25">
      <c r="A1270" s="316"/>
      <c r="B1270" s="317" t="str">
        <f>IF(A1270&lt;&gt;"",_xlfn.MAXIFS($B$1:B1269,$A$1:A1269,A1270)+1,"")</f>
        <v/>
      </c>
      <c r="C1270" s="296"/>
      <c r="D1270" s="296"/>
      <c r="E1270" s="296"/>
      <c r="F1270" s="296"/>
      <c r="G1270" s="326"/>
      <c r="H1270" s="324"/>
      <c r="I1270" s="325"/>
      <c r="J1270" s="325"/>
      <c r="K1270" s="318"/>
      <c r="L1270" s="318"/>
      <c r="M1270" s="319" t="str">
        <f>IFERROR(VLOOKUP(H1270,Lijsten!$H$1:$I$100,2,0),"")</f>
        <v/>
      </c>
      <c r="N1270" s="319" t="str">
        <f ca="1">IFERROR(IF(VLOOKUP(F1270,Kostentypen!$A$3:$E$21,3,0)=0,"",IF(OR(F1270="Arbeidskosten",F1270="Vergoeding"),VLOOKUP(G1270,Tb_KostenTypen[],2,0),VLOOKUP(F1270,Kostentypen!$A$3:$E$20,3,0))),"")</f>
        <v/>
      </c>
      <c r="O1270" s="320" t="str" cm="1">
        <f t="array" ref="O1270">_xlfn.IFNA(IF(INDEX(Tb_KostenOptiesDB[],MATCH($F1270,Tb_KostenOptiesDB[KostenOptie],0),IFERROR(MATCH(Methode_Keuze,Tb_KostenOptiesDB[#Headers],0),2))=1,_xlfn.SWITCH($N1270,"Uurtarief",IF(OR(AND(RIGHT($F1270,3)="IKS",VLOOKUP($M1270,DB_Loonkosten,2,0)="Ja"),AND(RIGHT($F1270,3)&lt;&gt;"IKS",VLOOKUP($M1270,DB_Loonkosten,2,0)="Nee")),IFERROR(VLOOKUP($M1270,DB_Loonkosten,24,0),""),0),"Vast tarief",IF(LEFT(F1270,8)="Bijdrage",VLOOKUP($F1270,Tb_KostenTypen[],MATCH(Lijsten!$P$1,Tb_KostenTypen[#Headers],0),0),VLOOKUP($G1270,Lijsten!L:P,MATCH(Lijsten!$P$1,Kop_Tarief_Vast,0),0))),""),"")</f>
        <v/>
      </c>
      <c r="P1270" s="320" t="str" cm="1">
        <f t="array" ref="P1270">_xlfn.IFNA(IF(INDEX(Tb_KostenOptiesDB[],MATCH($F1270,Tb_KostenOptiesDB[KostenOptie],0),IFERROR(MATCH(Methode_Keuze,Tb_KostenOptiesDB[#Headers],0),2))=1,_xlfn.SWITCH($N1270,"Uurtarief",IF(OR(AND(RIGHT($F1270,3)="IKS",VLOOKUP($M1270,DB_Loonkosten,2,0)="Ja"),AND(RIGHT($F1270,3)&lt;&gt;"IKS",VLOOKUP($M1270,DB_Loonkosten,2,0)="Nee")),IFERROR(VLOOKUP($M1270,DB_Loonkosten,25,0),""),0),"Vast tarief",IF(LEFT(F1270,8)="Bijdrage",VLOOKUP($F1270,Tb_KostenTypen[],MATCH(Lijsten!$P$1,Tb_KostenTypen[#Headers],0),0),VLOOKUP($G1270,Lijsten!L:P,MATCH(Lijsten!$P$1,Kop_Tarief_Vast,0),0))),""),"")</f>
        <v/>
      </c>
      <c r="Q1270" s="359"/>
      <c r="R1270" s="359"/>
      <c r="S1270" s="321"/>
      <c r="T1270" s="321"/>
      <c r="U1270" s="373" t="str">
        <f t="shared" si="76"/>
        <v/>
      </c>
      <c r="V1270" s="314" t="str">
        <f t="shared" si="77"/>
        <v/>
      </c>
      <c r="W1270" s="314" t="str" cm="1">
        <f t="array" aca="1" ref="W1270" ca="1">IFERROR(IF(AE1270&lt;&gt;"ja",_xlfn.IFNA(_xlfn.IFS(AND(O1270&lt;&gt;"",F1270&lt;&gt;"",RIGHT($N1270,6)="tarief",F1270="Vergoeding"),SUM(O1270)*FLOOR(SUM(Q1270),0.0001),AND(O1270&lt;&gt;"",F1270&lt;&gt;"",RIGHT($N1270,6)="tarief"),SUM(O1270)*FLOOR(SUM(Q1270),0.01),S1270&gt;0,IF(F1270&lt;&gt;"",FLOOR(SUM(S1270),0.01),"")),""),""),"")</f>
        <v/>
      </c>
      <c r="X1270" s="314" t="str" cm="1">
        <f t="array" aca="1" ref="X1270" ca="1">IFERROR(IF(AE1270&lt;&gt;"ja",_xlfn.IFNA(_xlfn.IFS(AND(P1270&lt;&gt;"",R1270&lt;&gt;"",RIGHT($N1270,6)="tarief",F1270="Vergoeding"),SUM(P1270)*FLOOR(SUM(R1270),0.0001),AND(P1270&lt;&gt;"",R1270&lt;&gt;"",RIGHT($N1270,6)="tarief"),P1270*FLOOR(R1270,0.01),T1270&gt;0,FLOOR(SUM(T1270),0.01)),""),""),"")</f>
        <v/>
      </c>
      <c r="Y1270" s="314" t="str">
        <f t="shared" ca="1" si="78"/>
        <v/>
      </c>
      <c r="Z1270" s="314" t="str" cm="1">
        <f t="array" aca="1" ref="Z1270" ca="1">IFERROR(_xlfn.IFS(OR(F1270="",LEFT(Methode_Keuze,4)="Geen",Methode_Keuze=""),"",AND(W1270&lt;&gt;"",F1270&lt;&gt;"Arbeidskosten"),W1270*VLOOKUP(F1270,Tb_ProjectKosten[],MATCH(Tb_ProjectKosten[[#Headers],[Forfait_Percentage]],Tb_ProjectKosten[#Headers],0),0),AND(F1270="Arbeidskosten",G1270&lt;&gt;""),IFERROR(W1270*VLOOKUP(G1270,Tb_KostenTypen[],3,0)*VLOOKUP(F1270,Tb_ProjectKosten[],MATCH(Tb_ProjectKosten[[#Headers],[Forfait_Percentage]],Tb_ProjectKosten[#Headers],0),0),""),W1270 &lt;=0,0),"")</f>
        <v/>
      </c>
      <c r="AA1270" s="314" t="str" cm="1">
        <f t="array" aca="1" ref="AA1270" ca="1">IFERROR(_xlfn.IFS(OR(F1270="",LEFT(Methode_Keuze,4)="Geen",Methode_Keuze=""),"",AND(X1270&lt;&gt;"",F1270&lt;&gt;"Arbeidskosten"),X1270*VLOOKUP(F1270,Tb_ProjectKosten[],MATCH(Tb_ProjectKosten[[#Headers],[Forfait_Percentage]],Tb_ProjectKosten[#Headers],0),0),AND(F1270="Arbeidskosten",G1270&lt;&gt;""),IFERROR(X1270*VLOOKUP(G1270,Tb_KostenTypen[],3,0)*VLOOKUP(F1270,Tb_ProjectKosten[],MATCH(Tb_ProjectKosten[[#Headers],[Forfait_Percentage]],Tb_ProjectKosten[#Headers],0),0),""),X1270 &lt;=0,0),"")</f>
        <v/>
      </c>
      <c r="AB1270" s="314" t="str">
        <f t="shared" ca="1" si="79"/>
        <v/>
      </c>
      <c r="AC1270" s="322"/>
      <c r="AD1270" s="315"/>
      <c r="AE1270" s="32" t="str" cm="1">
        <f t="array" ref="AE1270">IFERROR(IF(INDEX(SubsidieTabel!$AD$1:$AG$12,MATCH($F1270,SubsidieTabel!$AD$1:$AD$12,0),IFERROR(MATCH(Methode_Keuze,SubsidieTabel!$AD$1:$AG$1,0),2))&lt;&gt;1=TRUE,"ja",""),"")</f>
        <v/>
      </c>
    </row>
    <row r="1271" spans="1:31" x14ac:dyDescent="0.25">
      <c r="A1271" s="316"/>
      <c r="B1271" s="317" t="str">
        <f>IF(A1271&lt;&gt;"",_xlfn.MAXIFS($B$1:B1270,$A$1:A1270,A1271)+1,"")</f>
        <v/>
      </c>
      <c r="C1271" s="296"/>
      <c r="D1271" s="296"/>
      <c r="E1271" s="296"/>
      <c r="F1271" s="296"/>
      <c r="G1271" s="326"/>
      <c r="H1271" s="324"/>
      <c r="I1271" s="325"/>
      <c r="J1271" s="325"/>
      <c r="K1271" s="318"/>
      <c r="L1271" s="318"/>
      <c r="M1271" s="319" t="str">
        <f>IFERROR(VLOOKUP(H1271,Lijsten!$H$1:$I$100,2,0),"")</f>
        <v/>
      </c>
      <c r="N1271" s="319" t="str">
        <f ca="1">IFERROR(IF(VLOOKUP(F1271,Kostentypen!$A$3:$E$21,3,0)=0,"",IF(OR(F1271="Arbeidskosten",F1271="Vergoeding"),VLOOKUP(G1271,Tb_KostenTypen[],2,0),VLOOKUP(F1271,Kostentypen!$A$3:$E$20,3,0))),"")</f>
        <v/>
      </c>
      <c r="O1271" s="320" t="str" cm="1">
        <f t="array" ref="O1271">_xlfn.IFNA(IF(INDEX(Tb_KostenOptiesDB[],MATCH($F1271,Tb_KostenOptiesDB[KostenOptie],0),IFERROR(MATCH(Methode_Keuze,Tb_KostenOptiesDB[#Headers],0),2))=1,_xlfn.SWITCH($N1271,"Uurtarief",IF(OR(AND(RIGHT($F1271,3)="IKS",VLOOKUP($M1271,DB_Loonkosten,2,0)="Ja"),AND(RIGHT($F1271,3)&lt;&gt;"IKS",VLOOKUP($M1271,DB_Loonkosten,2,0)="Nee")),IFERROR(VLOOKUP($M1271,DB_Loonkosten,24,0),""),0),"Vast tarief",IF(LEFT(F1271,8)="Bijdrage",VLOOKUP($F1271,Tb_KostenTypen[],MATCH(Lijsten!$P$1,Tb_KostenTypen[#Headers],0),0),VLOOKUP($G1271,Lijsten!L:P,MATCH(Lijsten!$P$1,Kop_Tarief_Vast,0),0))),""),"")</f>
        <v/>
      </c>
      <c r="P1271" s="320" t="str" cm="1">
        <f t="array" ref="P1271">_xlfn.IFNA(IF(INDEX(Tb_KostenOptiesDB[],MATCH($F1271,Tb_KostenOptiesDB[KostenOptie],0),IFERROR(MATCH(Methode_Keuze,Tb_KostenOptiesDB[#Headers],0),2))=1,_xlfn.SWITCH($N1271,"Uurtarief",IF(OR(AND(RIGHT($F1271,3)="IKS",VLOOKUP($M1271,DB_Loonkosten,2,0)="Ja"),AND(RIGHT($F1271,3)&lt;&gt;"IKS",VLOOKUP($M1271,DB_Loonkosten,2,0)="Nee")),IFERROR(VLOOKUP($M1271,DB_Loonkosten,25,0),""),0),"Vast tarief",IF(LEFT(F1271,8)="Bijdrage",VLOOKUP($F1271,Tb_KostenTypen[],MATCH(Lijsten!$P$1,Tb_KostenTypen[#Headers],0),0),VLOOKUP($G1271,Lijsten!L:P,MATCH(Lijsten!$P$1,Kop_Tarief_Vast,0),0))),""),"")</f>
        <v/>
      </c>
      <c r="Q1271" s="359"/>
      <c r="R1271" s="359"/>
      <c r="S1271" s="321"/>
      <c r="T1271" s="321"/>
      <c r="U1271" s="373" t="str">
        <f t="shared" si="76"/>
        <v/>
      </c>
      <c r="V1271" s="314" t="str">
        <f t="shared" si="77"/>
        <v/>
      </c>
      <c r="W1271" s="314" t="str" cm="1">
        <f t="array" aca="1" ref="W1271" ca="1">IFERROR(IF(AE1271&lt;&gt;"ja",_xlfn.IFNA(_xlfn.IFS(AND(O1271&lt;&gt;"",F1271&lt;&gt;"",RIGHT($N1271,6)="tarief",F1271="Vergoeding"),SUM(O1271)*FLOOR(SUM(Q1271),0.0001),AND(O1271&lt;&gt;"",F1271&lt;&gt;"",RIGHT($N1271,6)="tarief"),SUM(O1271)*FLOOR(SUM(Q1271),0.01),S1271&gt;0,IF(F1271&lt;&gt;"",FLOOR(SUM(S1271),0.01),"")),""),""),"")</f>
        <v/>
      </c>
      <c r="X1271" s="314" t="str" cm="1">
        <f t="array" aca="1" ref="X1271" ca="1">IFERROR(IF(AE1271&lt;&gt;"ja",_xlfn.IFNA(_xlfn.IFS(AND(P1271&lt;&gt;"",R1271&lt;&gt;"",RIGHT($N1271,6)="tarief",F1271="Vergoeding"),SUM(P1271)*FLOOR(SUM(R1271),0.0001),AND(P1271&lt;&gt;"",R1271&lt;&gt;"",RIGHT($N1271,6)="tarief"),P1271*FLOOR(R1271,0.01),T1271&gt;0,FLOOR(SUM(T1271),0.01)),""),""),"")</f>
        <v/>
      </c>
      <c r="Y1271" s="314" t="str">
        <f t="shared" ca="1" si="78"/>
        <v/>
      </c>
      <c r="Z1271" s="314" t="str" cm="1">
        <f t="array" aca="1" ref="Z1271" ca="1">IFERROR(_xlfn.IFS(OR(F1271="",LEFT(Methode_Keuze,4)="Geen",Methode_Keuze=""),"",AND(W1271&lt;&gt;"",F1271&lt;&gt;"Arbeidskosten"),W1271*VLOOKUP(F1271,Tb_ProjectKosten[],MATCH(Tb_ProjectKosten[[#Headers],[Forfait_Percentage]],Tb_ProjectKosten[#Headers],0),0),AND(F1271="Arbeidskosten",G1271&lt;&gt;""),IFERROR(W1271*VLOOKUP(G1271,Tb_KostenTypen[],3,0)*VLOOKUP(F1271,Tb_ProjectKosten[],MATCH(Tb_ProjectKosten[[#Headers],[Forfait_Percentage]],Tb_ProjectKosten[#Headers],0),0),""),W1271 &lt;=0,0),"")</f>
        <v/>
      </c>
      <c r="AA1271" s="314" t="str" cm="1">
        <f t="array" aca="1" ref="AA1271" ca="1">IFERROR(_xlfn.IFS(OR(F1271="",LEFT(Methode_Keuze,4)="Geen",Methode_Keuze=""),"",AND(X1271&lt;&gt;"",F1271&lt;&gt;"Arbeidskosten"),X1271*VLOOKUP(F1271,Tb_ProjectKosten[],MATCH(Tb_ProjectKosten[[#Headers],[Forfait_Percentage]],Tb_ProjectKosten[#Headers],0),0),AND(F1271="Arbeidskosten",G1271&lt;&gt;""),IFERROR(X1271*VLOOKUP(G1271,Tb_KostenTypen[],3,0)*VLOOKUP(F1271,Tb_ProjectKosten[],MATCH(Tb_ProjectKosten[[#Headers],[Forfait_Percentage]],Tb_ProjectKosten[#Headers],0),0),""),X1271 &lt;=0,0),"")</f>
        <v/>
      </c>
      <c r="AB1271" s="314" t="str">
        <f t="shared" ca="1" si="79"/>
        <v/>
      </c>
      <c r="AC1271" s="322"/>
      <c r="AD1271" s="315"/>
      <c r="AE1271" s="32" t="str" cm="1">
        <f t="array" ref="AE1271">IFERROR(IF(INDEX(SubsidieTabel!$AD$1:$AG$12,MATCH($F1271,SubsidieTabel!$AD$1:$AD$12,0),IFERROR(MATCH(Methode_Keuze,SubsidieTabel!$AD$1:$AG$1,0),2))&lt;&gt;1=TRUE,"ja",""),"")</f>
        <v/>
      </c>
    </row>
    <row r="1272" spans="1:31" x14ac:dyDescent="0.25">
      <c r="A1272" s="316"/>
      <c r="B1272" s="317" t="str">
        <f>IF(A1272&lt;&gt;"",_xlfn.MAXIFS($B$1:B1271,$A$1:A1271,A1272)+1,"")</f>
        <v/>
      </c>
      <c r="C1272" s="296"/>
      <c r="D1272" s="296"/>
      <c r="E1272" s="296"/>
      <c r="F1272" s="296"/>
      <c r="G1272" s="326"/>
      <c r="H1272" s="324"/>
      <c r="I1272" s="325"/>
      <c r="J1272" s="325"/>
      <c r="K1272" s="318"/>
      <c r="L1272" s="318"/>
      <c r="M1272" s="319" t="str">
        <f>IFERROR(VLOOKUP(H1272,Lijsten!$H$1:$I$100,2,0),"")</f>
        <v/>
      </c>
      <c r="N1272" s="319" t="str">
        <f ca="1">IFERROR(IF(VLOOKUP(F1272,Kostentypen!$A$3:$E$21,3,0)=0,"",IF(OR(F1272="Arbeidskosten",F1272="Vergoeding"),VLOOKUP(G1272,Tb_KostenTypen[],2,0),VLOOKUP(F1272,Kostentypen!$A$3:$E$20,3,0))),"")</f>
        <v/>
      </c>
      <c r="O1272" s="320" t="str" cm="1">
        <f t="array" ref="O1272">_xlfn.IFNA(IF(INDEX(Tb_KostenOptiesDB[],MATCH($F1272,Tb_KostenOptiesDB[KostenOptie],0),IFERROR(MATCH(Methode_Keuze,Tb_KostenOptiesDB[#Headers],0),2))=1,_xlfn.SWITCH($N1272,"Uurtarief",IF(OR(AND(RIGHT($F1272,3)="IKS",VLOOKUP($M1272,DB_Loonkosten,2,0)="Ja"),AND(RIGHT($F1272,3)&lt;&gt;"IKS",VLOOKUP($M1272,DB_Loonkosten,2,0)="Nee")),IFERROR(VLOOKUP($M1272,DB_Loonkosten,24,0),""),0),"Vast tarief",IF(LEFT(F1272,8)="Bijdrage",VLOOKUP($F1272,Tb_KostenTypen[],MATCH(Lijsten!$P$1,Tb_KostenTypen[#Headers],0),0),VLOOKUP($G1272,Lijsten!L:P,MATCH(Lijsten!$P$1,Kop_Tarief_Vast,0),0))),""),"")</f>
        <v/>
      </c>
      <c r="P1272" s="320" t="str" cm="1">
        <f t="array" ref="P1272">_xlfn.IFNA(IF(INDEX(Tb_KostenOptiesDB[],MATCH($F1272,Tb_KostenOptiesDB[KostenOptie],0),IFERROR(MATCH(Methode_Keuze,Tb_KostenOptiesDB[#Headers],0),2))=1,_xlfn.SWITCH($N1272,"Uurtarief",IF(OR(AND(RIGHT($F1272,3)="IKS",VLOOKUP($M1272,DB_Loonkosten,2,0)="Ja"),AND(RIGHT($F1272,3)&lt;&gt;"IKS",VLOOKUP($M1272,DB_Loonkosten,2,0)="Nee")),IFERROR(VLOOKUP($M1272,DB_Loonkosten,25,0),""),0),"Vast tarief",IF(LEFT(F1272,8)="Bijdrage",VLOOKUP($F1272,Tb_KostenTypen[],MATCH(Lijsten!$P$1,Tb_KostenTypen[#Headers],0),0),VLOOKUP($G1272,Lijsten!L:P,MATCH(Lijsten!$P$1,Kop_Tarief_Vast,0),0))),""),"")</f>
        <v/>
      </c>
      <c r="Q1272" s="359"/>
      <c r="R1272" s="359"/>
      <c r="S1272" s="321"/>
      <c r="T1272" s="321"/>
      <c r="U1272" s="373" t="str">
        <f t="shared" si="76"/>
        <v/>
      </c>
      <c r="V1272" s="314" t="str">
        <f t="shared" si="77"/>
        <v/>
      </c>
      <c r="W1272" s="314" t="str" cm="1">
        <f t="array" aca="1" ref="W1272" ca="1">IFERROR(IF(AE1272&lt;&gt;"ja",_xlfn.IFNA(_xlfn.IFS(AND(O1272&lt;&gt;"",F1272&lt;&gt;"",RIGHT($N1272,6)="tarief",F1272="Vergoeding"),SUM(O1272)*FLOOR(SUM(Q1272),0.0001),AND(O1272&lt;&gt;"",F1272&lt;&gt;"",RIGHT($N1272,6)="tarief"),SUM(O1272)*FLOOR(SUM(Q1272),0.01),S1272&gt;0,IF(F1272&lt;&gt;"",FLOOR(SUM(S1272),0.01),"")),""),""),"")</f>
        <v/>
      </c>
      <c r="X1272" s="314" t="str" cm="1">
        <f t="array" aca="1" ref="X1272" ca="1">IFERROR(IF(AE1272&lt;&gt;"ja",_xlfn.IFNA(_xlfn.IFS(AND(P1272&lt;&gt;"",R1272&lt;&gt;"",RIGHT($N1272,6)="tarief",F1272="Vergoeding"),SUM(P1272)*FLOOR(SUM(R1272),0.0001),AND(P1272&lt;&gt;"",R1272&lt;&gt;"",RIGHT($N1272,6)="tarief"),P1272*FLOOR(R1272,0.01),T1272&gt;0,FLOOR(SUM(T1272),0.01)),""),""),"")</f>
        <v/>
      </c>
      <c r="Y1272" s="314" t="str">
        <f t="shared" ca="1" si="78"/>
        <v/>
      </c>
      <c r="Z1272" s="314" t="str" cm="1">
        <f t="array" aca="1" ref="Z1272" ca="1">IFERROR(_xlfn.IFS(OR(F1272="",LEFT(Methode_Keuze,4)="Geen",Methode_Keuze=""),"",AND(W1272&lt;&gt;"",F1272&lt;&gt;"Arbeidskosten"),W1272*VLOOKUP(F1272,Tb_ProjectKosten[],MATCH(Tb_ProjectKosten[[#Headers],[Forfait_Percentage]],Tb_ProjectKosten[#Headers],0),0),AND(F1272="Arbeidskosten",G1272&lt;&gt;""),IFERROR(W1272*VLOOKUP(G1272,Tb_KostenTypen[],3,0)*VLOOKUP(F1272,Tb_ProjectKosten[],MATCH(Tb_ProjectKosten[[#Headers],[Forfait_Percentage]],Tb_ProjectKosten[#Headers],0),0),""),W1272 &lt;=0,0),"")</f>
        <v/>
      </c>
      <c r="AA1272" s="314" t="str" cm="1">
        <f t="array" aca="1" ref="AA1272" ca="1">IFERROR(_xlfn.IFS(OR(F1272="",LEFT(Methode_Keuze,4)="Geen",Methode_Keuze=""),"",AND(X1272&lt;&gt;"",F1272&lt;&gt;"Arbeidskosten"),X1272*VLOOKUP(F1272,Tb_ProjectKosten[],MATCH(Tb_ProjectKosten[[#Headers],[Forfait_Percentage]],Tb_ProjectKosten[#Headers],0),0),AND(F1272="Arbeidskosten",G1272&lt;&gt;""),IFERROR(X1272*VLOOKUP(G1272,Tb_KostenTypen[],3,0)*VLOOKUP(F1272,Tb_ProjectKosten[],MATCH(Tb_ProjectKosten[[#Headers],[Forfait_Percentage]],Tb_ProjectKosten[#Headers],0),0),""),X1272 &lt;=0,0),"")</f>
        <v/>
      </c>
      <c r="AB1272" s="314" t="str">
        <f t="shared" ca="1" si="79"/>
        <v/>
      </c>
      <c r="AC1272" s="322"/>
      <c r="AD1272" s="315"/>
      <c r="AE1272" s="32" t="str" cm="1">
        <f t="array" ref="AE1272">IFERROR(IF(INDEX(SubsidieTabel!$AD$1:$AG$12,MATCH($F1272,SubsidieTabel!$AD$1:$AD$12,0),IFERROR(MATCH(Methode_Keuze,SubsidieTabel!$AD$1:$AG$1,0),2))&lt;&gt;1=TRUE,"ja",""),"")</f>
        <v/>
      </c>
    </row>
    <row r="1273" spans="1:31" x14ac:dyDescent="0.25">
      <c r="A1273" s="316"/>
      <c r="B1273" s="317" t="str">
        <f>IF(A1273&lt;&gt;"",_xlfn.MAXIFS($B$1:B1272,$A$1:A1272,A1273)+1,"")</f>
        <v/>
      </c>
      <c r="C1273" s="296"/>
      <c r="D1273" s="296"/>
      <c r="E1273" s="296"/>
      <c r="F1273" s="296"/>
      <c r="G1273" s="326"/>
      <c r="H1273" s="324"/>
      <c r="I1273" s="325"/>
      <c r="J1273" s="325"/>
      <c r="K1273" s="318"/>
      <c r="L1273" s="318"/>
      <c r="M1273" s="319" t="str">
        <f>IFERROR(VLOOKUP(H1273,Lijsten!$H$1:$I$100,2,0),"")</f>
        <v/>
      </c>
      <c r="N1273" s="319" t="str">
        <f ca="1">IFERROR(IF(VLOOKUP(F1273,Kostentypen!$A$3:$E$21,3,0)=0,"",IF(OR(F1273="Arbeidskosten",F1273="Vergoeding"),VLOOKUP(G1273,Tb_KostenTypen[],2,0),VLOOKUP(F1273,Kostentypen!$A$3:$E$20,3,0))),"")</f>
        <v/>
      </c>
      <c r="O1273" s="320" t="str" cm="1">
        <f t="array" ref="O1273">_xlfn.IFNA(IF(INDEX(Tb_KostenOptiesDB[],MATCH($F1273,Tb_KostenOptiesDB[KostenOptie],0),IFERROR(MATCH(Methode_Keuze,Tb_KostenOptiesDB[#Headers],0),2))=1,_xlfn.SWITCH($N1273,"Uurtarief",IF(OR(AND(RIGHT($F1273,3)="IKS",VLOOKUP($M1273,DB_Loonkosten,2,0)="Ja"),AND(RIGHT($F1273,3)&lt;&gt;"IKS",VLOOKUP($M1273,DB_Loonkosten,2,0)="Nee")),IFERROR(VLOOKUP($M1273,DB_Loonkosten,24,0),""),0),"Vast tarief",IF(LEFT(F1273,8)="Bijdrage",VLOOKUP($F1273,Tb_KostenTypen[],MATCH(Lijsten!$P$1,Tb_KostenTypen[#Headers],0),0),VLOOKUP($G1273,Lijsten!L:P,MATCH(Lijsten!$P$1,Kop_Tarief_Vast,0),0))),""),"")</f>
        <v/>
      </c>
      <c r="P1273" s="320" t="str" cm="1">
        <f t="array" ref="P1273">_xlfn.IFNA(IF(INDEX(Tb_KostenOptiesDB[],MATCH($F1273,Tb_KostenOptiesDB[KostenOptie],0),IFERROR(MATCH(Methode_Keuze,Tb_KostenOptiesDB[#Headers],0),2))=1,_xlfn.SWITCH($N1273,"Uurtarief",IF(OR(AND(RIGHT($F1273,3)="IKS",VLOOKUP($M1273,DB_Loonkosten,2,0)="Ja"),AND(RIGHT($F1273,3)&lt;&gt;"IKS",VLOOKUP($M1273,DB_Loonkosten,2,0)="Nee")),IFERROR(VLOOKUP($M1273,DB_Loonkosten,25,0),""),0),"Vast tarief",IF(LEFT(F1273,8)="Bijdrage",VLOOKUP($F1273,Tb_KostenTypen[],MATCH(Lijsten!$P$1,Tb_KostenTypen[#Headers],0),0),VLOOKUP($G1273,Lijsten!L:P,MATCH(Lijsten!$P$1,Kop_Tarief_Vast,0),0))),""),"")</f>
        <v/>
      </c>
      <c r="Q1273" s="359"/>
      <c r="R1273" s="359"/>
      <c r="S1273" s="321"/>
      <c r="T1273" s="321"/>
      <c r="U1273" s="373" t="str">
        <f t="shared" si="76"/>
        <v/>
      </c>
      <c r="V1273" s="314" t="str">
        <f t="shared" si="77"/>
        <v/>
      </c>
      <c r="W1273" s="314" t="str" cm="1">
        <f t="array" aca="1" ref="W1273" ca="1">IFERROR(IF(AE1273&lt;&gt;"ja",_xlfn.IFNA(_xlfn.IFS(AND(O1273&lt;&gt;"",F1273&lt;&gt;"",RIGHT($N1273,6)="tarief",F1273="Vergoeding"),SUM(O1273)*FLOOR(SUM(Q1273),0.0001),AND(O1273&lt;&gt;"",F1273&lt;&gt;"",RIGHT($N1273,6)="tarief"),SUM(O1273)*FLOOR(SUM(Q1273),0.01),S1273&gt;0,IF(F1273&lt;&gt;"",FLOOR(SUM(S1273),0.01),"")),""),""),"")</f>
        <v/>
      </c>
      <c r="X1273" s="314" t="str" cm="1">
        <f t="array" aca="1" ref="X1273" ca="1">IFERROR(IF(AE1273&lt;&gt;"ja",_xlfn.IFNA(_xlfn.IFS(AND(P1273&lt;&gt;"",R1273&lt;&gt;"",RIGHT($N1273,6)="tarief",F1273="Vergoeding"),SUM(P1273)*FLOOR(SUM(R1273),0.0001),AND(P1273&lt;&gt;"",R1273&lt;&gt;"",RIGHT($N1273,6)="tarief"),P1273*FLOOR(R1273,0.01),T1273&gt;0,FLOOR(SUM(T1273),0.01)),""),""),"")</f>
        <v/>
      </c>
      <c r="Y1273" s="314" t="str">
        <f t="shared" ca="1" si="78"/>
        <v/>
      </c>
      <c r="Z1273" s="314" t="str" cm="1">
        <f t="array" aca="1" ref="Z1273" ca="1">IFERROR(_xlfn.IFS(OR(F1273="",LEFT(Methode_Keuze,4)="Geen",Methode_Keuze=""),"",AND(W1273&lt;&gt;"",F1273&lt;&gt;"Arbeidskosten"),W1273*VLOOKUP(F1273,Tb_ProjectKosten[],MATCH(Tb_ProjectKosten[[#Headers],[Forfait_Percentage]],Tb_ProjectKosten[#Headers],0),0),AND(F1273="Arbeidskosten",G1273&lt;&gt;""),IFERROR(W1273*VLOOKUP(G1273,Tb_KostenTypen[],3,0)*VLOOKUP(F1273,Tb_ProjectKosten[],MATCH(Tb_ProjectKosten[[#Headers],[Forfait_Percentage]],Tb_ProjectKosten[#Headers],0),0),""),W1273 &lt;=0,0),"")</f>
        <v/>
      </c>
      <c r="AA1273" s="314" t="str" cm="1">
        <f t="array" aca="1" ref="AA1273" ca="1">IFERROR(_xlfn.IFS(OR(F1273="",LEFT(Methode_Keuze,4)="Geen",Methode_Keuze=""),"",AND(X1273&lt;&gt;"",F1273&lt;&gt;"Arbeidskosten"),X1273*VLOOKUP(F1273,Tb_ProjectKosten[],MATCH(Tb_ProjectKosten[[#Headers],[Forfait_Percentage]],Tb_ProjectKosten[#Headers],0),0),AND(F1273="Arbeidskosten",G1273&lt;&gt;""),IFERROR(X1273*VLOOKUP(G1273,Tb_KostenTypen[],3,0)*VLOOKUP(F1273,Tb_ProjectKosten[],MATCH(Tb_ProjectKosten[[#Headers],[Forfait_Percentage]],Tb_ProjectKosten[#Headers],0),0),""),X1273 &lt;=0,0),"")</f>
        <v/>
      </c>
      <c r="AB1273" s="314" t="str">
        <f t="shared" ca="1" si="79"/>
        <v/>
      </c>
      <c r="AC1273" s="322"/>
      <c r="AD1273" s="315"/>
      <c r="AE1273" s="32" t="str" cm="1">
        <f t="array" ref="AE1273">IFERROR(IF(INDEX(SubsidieTabel!$AD$1:$AG$12,MATCH($F1273,SubsidieTabel!$AD$1:$AD$12,0),IFERROR(MATCH(Methode_Keuze,SubsidieTabel!$AD$1:$AG$1,0),2))&lt;&gt;1=TRUE,"ja",""),"")</f>
        <v/>
      </c>
    </row>
    <row r="1274" spans="1:31" x14ac:dyDescent="0.25">
      <c r="A1274" s="316"/>
      <c r="B1274" s="317" t="str">
        <f>IF(A1274&lt;&gt;"",_xlfn.MAXIFS($B$1:B1273,$A$1:A1273,A1274)+1,"")</f>
        <v/>
      </c>
      <c r="C1274" s="296"/>
      <c r="D1274" s="296"/>
      <c r="E1274" s="296"/>
      <c r="F1274" s="296"/>
      <c r="G1274" s="326"/>
      <c r="H1274" s="324"/>
      <c r="I1274" s="325"/>
      <c r="J1274" s="325"/>
      <c r="K1274" s="318"/>
      <c r="L1274" s="318"/>
      <c r="M1274" s="319" t="str">
        <f>IFERROR(VLOOKUP(H1274,Lijsten!$H$1:$I$100,2,0),"")</f>
        <v/>
      </c>
      <c r="N1274" s="319" t="str">
        <f ca="1">IFERROR(IF(VLOOKUP(F1274,Kostentypen!$A$3:$E$21,3,0)=0,"",IF(OR(F1274="Arbeidskosten",F1274="Vergoeding"),VLOOKUP(G1274,Tb_KostenTypen[],2,0),VLOOKUP(F1274,Kostentypen!$A$3:$E$20,3,0))),"")</f>
        <v/>
      </c>
      <c r="O1274" s="320" t="str" cm="1">
        <f t="array" ref="O1274">_xlfn.IFNA(IF(INDEX(Tb_KostenOptiesDB[],MATCH($F1274,Tb_KostenOptiesDB[KostenOptie],0),IFERROR(MATCH(Methode_Keuze,Tb_KostenOptiesDB[#Headers],0),2))=1,_xlfn.SWITCH($N1274,"Uurtarief",IF(OR(AND(RIGHT($F1274,3)="IKS",VLOOKUP($M1274,DB_Loonkosten,2,0)="Ja"),AND(RIGHT($F1274,3)&lt;&gt;"IKS",VLOOKUP($M1274,DB_Loonkosten,2,0)="Nee")),IFERROR(VLOOKUP($M1274,DB_Loonkosten,24,0),""),0),"Vast tarief",IF(LEFT(F1274,8)="Bijdrage",VLOOKUP($F1274,Tb_KostenTypen[],MATCH(Lijsten!$P$1,Tb_KostenTypen[#Headers],0),0),VLOOKUP($G1274,Lijsten!L:P,MATCH(Lijsten!$P$1,Kop_Tarief_Vast,0),0))),""),"")</f>
        <v/>
      </c>
      <c r="P1274" s="320" t="str" cm="1">
        <f t="array" ref="P1274">_xlfn.IFNA(IF(INDEX(Tb_KostenOptiesDB[],MATCH($F1274,Tb_KostenOptiesDB[KostenOptie],0),IFERROR(MATCH(Methode_Keuze,Tb_KostenOptiesDB[#Headers],0),2))=1,_xlfn.SWITCH($N1274,"Uurtarief",IF(OR(AND(RIGHT($F1274,3)="IKS",VLOOKUP($M1274,DB_Loonkosten,2,0)="Ja"),AND(RIGHT($F1274,3)&lt;&gt;"IKS",VLOOKUP($M1274,DB_Loonkosten,2,0)="Nee")),IFERROR(VLOOKUP($M1274,DB_Loonkosten,25,0),""),0),"Vast tarief",IF(LEFT(F1274,8)="Bijdrage",VLOOKUP($F1274,Tb_KostenTypen[],MATCH(Lijsten!$P$1,Tb_KostenTypen[#Headers],0),0),VLOOKUP($G1274,Lijsten!L:P,MATCH(Lijsten!$P$1,Kop_Tarief_Vast,0),0))),""),"")</f>
        <v/>
      </c>
      <c r="Q1274" s="359"/>
      <c r="R1274" s="359"/>
      <c r="S1274" s="321"/>
      <c r="T1274" s="321"/>
      <c r="U1274" s="373" t="str">
        <f t="shared" si="76"/>
        <v/>
      </c>
      <c r="V1274" s="314" t="str">
        <f t="shared" si="77"/>
        <v/>
      </c>
      <c r="W1274" s="314" t="str" cm="1">
        <f t="array" aca="1" ref="W1274" ca="1">IFERROR(IF(AE1274&lt;&gt;"ja",_xlfn.IFNA(_xlfn.IFS(AND(O1274&lt;&gt;"",F1274&lt;&gt;"",RIGHT($N1274,6)="tarief",F1274="Vergoeding"),SUM(O1274)*FLOOR(SUM(Q1274),0.0001),AND(O1274&lt;&gt;"",F1274&lt;&gt;"",RIGHT($N1274,6)="tarief"),SUM(O1274)*FLOOR(SUM(Q1274),0.01),S1274&gt;0,IF(F1274&lt;&gt;"",FLOOR(SUM(S1274),0.01),"")),""),""),"")</f>
        <v/>
      </c>
      <c r="X1274" s="314" t="str" cm="1">
        <f t="array" aca="1" ref="X1274" ca="1">IFERROR(IF(AE1274&lt;&gt;"ja",_xlfn.IFNA(_xlfn.IFS(AND(P1274&lt;&gt;"",R1274&lt;&gt;"",RIGHT($N1274,6)="tarief",F1274="Vergoeding"),SUM(P1274)*FLOOR(SUM(R1274),0.0001),AND(P1274&lt;&gt;"",R1274&lt;&gt;"",RIGHT($N1274,6)="tarief"),P1274*FLOOR(R1274,0.01),T1274&gt;0,FLOOR(SUM(T1274),0.01)),""),""),"")</f>
        <v/>
      </c>
      <c r="Y1274" s="314" t="str">
        <f t="shared" ca="1" si="78"/>
        <v/>
      </c>
      <c r="Z1274" s="314" t="str" cm="1">
        <f t="array" aca="1" ref="Z1274" ca="1">IFERROR(_xlfn.IFS(OR(F1274="",LEFT(Methode_Keuze,4)="Geen",Methode_Keuze=""),"",AND(W1274&lt;&gt;"",F1274&lt;&gt;"Arbeidskosten"),W1274*VLOOKUP(F1274,Tb_ProjectKosten[],MATCH(Tb_ProjectKosten[[#Headers],[Forfait_Percentage]],Tb_ProjectKosten[#Headers],0),0),AND(F1274="Arbeidskosten",G1274&lt;&gt;""),IFERROR(W1274*VLOOKUP(G1274,Tb_KostenTypen[],3,0)*VLOOKUP(F1274,Tb_ProjectKosten[],MATCH(Tb_ProjectKosten[[#Headers],[Forfait_Percentage]],Tb_ProjectKosten[#Headers],0),0),""),W1274 &lt;=0,0),"")</f>
        <v/>
      </c>
      <c r="AA1274" s="314" t="str" cm="1">
        <f t="array" aca="1" ref="AA1274" ca="1">IFERROR(_xlfn.IFS(OR(F1274="",LEFT(Methode_Keuze,4)="Geen",Methode_Keuze=""),"",AND(X1274&lt;&gt;"",F1274&lt;&gt;"Arbeidskosten"),X1274*VLOOKUP(F1274,Tb_ProjectKosten[],MATCH(Tb_ProjectKosten[[#Headers],[Forfait_Percentage]],Tb_ProjectKosten[#Headers],0),0),AND(F1274="Arbeidskosten",G1274&lt;&gt;""),IFERROR(X1274*VLOOKUP(G1274,Tb_KostenTypen[],3,0)*VLOOKUP(F1274,Tb_ProjectKosten[],MATCH(Tb_ProjectKosten[[#Headers],[Forfait_Percentage]],Tb_ProjectKosten[#Headers],0),0),""),X1274 &lt;=0,0),"")</f>
        <v/>
      </c>
      <c r="AB1274" s="314" t="str">
        <f t="shared" ca="1" si="79"/>
        <v/>
      </c>
      <c r="AC1274" s="322"/>
      <c r="AD1274" s="315"/>
      <c r="AE1274" s="32" t="str" cm="1">
        <f t="array" ref="AE1274">IFERROR(IF(INDEX(SubsidieTabel!$AD$1:$AG$12,MATCH($F1274,SubsidieTabel!$AD$1:$AD$12,0),IFERROR(MATCH(Methode_Keuze,SubsidieTabel!$AD$1:$AG$1,0),2))&lt;&gt;1=TRUE,"ja",""),"")</f>
        <v/>
      </c>
    </row>
    <row r="1275" spans="1:31" x14ac:dyDescent="0.25">
      <c r="A1275" s="316"/>
      <c r="B1275" s="317" t="str">
        <f>IF(A1275&lt;&gt;"",_xlfn.MAXIFS($B$1:B1274,$A$1:A1274,A1275)+1,"")</f>
        <v/>
      </c>
      <c r="C1275" s="296"/>
      <c r="D1275" s="296"/>
      <c r="E1275" s="296"/>
      <c r="F1275" s="296"/>
      <c r="G1275" s="326"/>
      <c r="H1275" s="324"/>
      <c r="I1275" s="325"/>
      <c r="J1275" s="325"/>
      <c r="K1275" s="318"/>
      <c r="L1275" s="318"/>
      <c r="M1275" s="319" t="str">
        <f>IFERROR(VLOOKUP(H1275,Lijsten!$H$1:$I$100,2,0),"")</f>
        <v/>
      </c>
      <c r="N1275" s="319" t="str">
        <f ca="1">IFERROR(IF(VLOOKUP(F1275,Kostentypen!$A$3:$E$21,3,0)=0,"",IF(OR(F1275="Arbeidskosten",F1275="Vergoeding"),VLOOKUP(G1275,Tb_KostenTypen[],2,0),VLOOKUP(F1275,Kostentypen!$A$3:$E$20,3,0))),"")</f>
        <v/>
      </c>
      <c r="O1275" s="320" t="str" cm="1">
        <f t="array" ref="O1275">_xlfn.IFNA(IF(INDEX(Tb_KostenOptiesDB[],MATCH($F1275,Tb_KostenOptiesDB[KostenOptie],0),IFERROR(MATCH(Methode_Keuze,Tb_KostenOptiesDB[#Headers],0),2))=1,_xlfn.SWITCH($N1275,"Uurtarief",IF(OR(AND(RIGHT($F1275,3)="IKS",VLOOKUP($M1275,DB_Loonkosten,2,0)="Ja"),AND(RIGHT($F1275,3)&lt;&gt;"IKS",VLOOKUP($M1275,DB_Loonkosten,2,0)="Nee")),IFERROR(VLOOKUP($M1275,DB_Loonkosten,24,0),""),0),"Vast tarief",IF(LEFT(F1275,8)="Bijdrage",VLOOKUP($F1275,Tb_KostenTypen[],MATCH(Lijsten!$P$1,Tb_KostenTypen[#Headers],0),0),VLOOKUP($G1275,Lijsten!L:P,MATCH(Lijsten!$P$1,Kop_Tarief_Vast,0),0))),""),"")</f>
        <v/>
      </c>
      <c r="P1275" s="320" t="str" cm="1">
        <f t="array" ref="P1275">_xlfn.IFNA(IF(INDEX(Tb_KostenOptiesDB[],MATCH($F1275,Tb_KostenOptiesDB[KostenOptie],0),IFERROR(MATCH(Methode_Keuze,Tb_KostenOptiesDB[#Headers],0),2))=1,_xlfn.SWITCH($N1275,"Uurtarief",IF(OR(AND(RIGHT($F1275,3)="IKS",VLOOKUP($M1275,DB_Loonkosten,2,0)="Ja"),AND(RIGHT($F1275,3)&lt;&gt;"IKS",VLOOKUP($M1275,DB_Loonkosten,2,0)="Nee")),IFERROR(VLOOKUP($M1275,DB_Loonkosten,25,0),""),0),"Vast tarief",IF(LEFT(F1275,8)="Bijdrage",VLOOKUP($F1275,Tb_KostenTypen[],MATCH(Lijsten!$P$1,Tb_KostenTypen[#Headers],0),0),VLOOKUP($G1275,Lijsten!L:P,MATCH(Lijsten!$P$1,Kop_Tarief_Vast,0),0))),""),"")</f>
        <v/>
      </c>
      <c r="Q1275" s="359"/>
      <c r="R1275" s="359"/>
      <c r="S1275" s="321"/>
      <c r="T1275" s="321"/>
      <c r="U1275" s="373" t="str">
        <f t="shared" si="76"/>
        <v/>
      </c>
      <c r="V1275" s="314" t="str">
        <f t="shared" si="77"/>
        <v/>
      </c>
      <c r="W1275" s="314" t="str" cm="1">
        <f t="array" aca="1" ref="W1275" ca="1">IFERROR(IF(AE1275&lt;&gt;"ja",_xlfn.IFNA(_xlfn.IFS(AND(O1275&lt;&gt;"",F1275&lt;&gt;"",RIGHT($N1275,6)="tarief",F1275="Vergoeding"),SUM(O1275)*FLOOR(SUM(Q1275),0.0001),AND(O1275&lt;&gt;"",F1275&lt;&gt;"",RIGHT($N1275,6)="tarief"),SUM(O1275)*FLOOR(SUM(Q1275),0.01),S1275&gt;0,IF(F1275&lt;&gt;"",FLOOR(SUM(S1275),0.01),"")),""),""),"")</f>
        <v/>
      </c>
      <c r="X1275" s="314" t="str" cm="1">
        <f t="array" aca="1" ref="X1275" ca="1">IFERROR(IF(AE1275&lt;&gt;"ja",_xlfn.IFNA(_xlfn.IFS(AND(P1275&lt;&gt;"",R1275&lt;&gt;"",RIGHT($N1275,6)="tarief",F1275="Vergoeding"),SUM(P1275)*FLOOR(SUM(R1275),0.0001),AND(P1275&lt;&gt;"",R1275&lt;&gt;"",RIGHT($N1275,6)="tarief"),P1275*FLOOR(R1275,0.01),T1275&gt;0,FLOOR(SUM(T1275),0.01)),""),""),"")</f>
        <v/>
      </c>
      <c r="Y1275" s="314" t="str">
        <f t="shared" ca="1" si="78"/>
        <v/>
      </c>
      <c r="Z1275" s="314" t="str" cm="1">
        <f t="array" aca="1" ref="Z1275" ca="1">IFERROR(_xlfn.IFS(OR(F1275="",LEFT(Methode_Keuze,4)="Geen",Methode_Keuze=""),"",AND(W1275&lt;&gt;"",F1275&lt;&gt;"Arbeidskosten"),W1275*VLOOKUP(F1275,Tb_ProjectKosten[],MATCH(Tb_ProjectKosten[[#Headers],[Forfait_Percentage]],Tb_ProjectKosten[#Headers],0),0),AND(F1275="Arbeidskosten",G1275&lt;&gt;""),IFERROR(W1275*VLOOKUP(G1275,Tb_KostenTypen[],3,0)*VLOOKUP(F1275,Tb_ProjectKosten[],MATCH(Tb_ProjectKosten[[#Headers],[Forfait_Percentage]],Tb_ProjectKosten[#Headers],0),0),""),W1275 &lt;=0,0),"")</f>
        <v/>
      </c>
      <c r="AA1275" s="314" t="str" cm="1">
        <f t="array" aca="1" ref="AA1275" ca="1">IFERROR(_xlfn.IFS(OR(F1275="",LEFT(Methode_Keuze,4)="Geen",Methode_Keuze=""),"",AND(X1275&lt;&gt;"",F1275&lt;&gt;"Arbeidskosten"),X1275*VLOOKUP(F1275,Tb_ProjectKosten[],MATCH(Tb_ProjectKosten[[#Headers],[Forfait_Percentage]],Tb_ProjectKosten[#Headers],0),0),AND(F1275="Arbeidskosten",G1275&lt;&gt;""),IFERROR(X1275*VLOOKUP(G1275,Tb_KostenTypen[],3,0)*VLOOKUP(F1275,Tb_ProjectKosten[],MATCH(Tb_ProjectKosten[[#Headers],[Forfait_Percentage]],Tb_ProjectKosten[#Headers],0),0),""),X1275 &lt;=0,0),"")</f>
        <v/>
      </c>
      <c r="AB1275" s="314" t="str">
        <f t="shared" ca="1" si="79"/>
        <v/>
      </c>
      <c r="AC1275" s="322"/>
      <c r="AD1275" s="315"/>
      <c r="AE1275" s="32" t="str" cm="1">
        <f t="array" ref="AE1275">IFERROR(IF(INDEX(SubsidieTabel!$AD$1:$AG$12,MATCH($F1275,SubsidieTabel!$AD$1:$AD$12,0),IFERROR(MATCH(Methode_Keuze,SubsidieTabel!$AD$1:$AG$1,0),2))&lt;&gt;1=TRUE,"ja",""),"")</f>
        <v/>
      </c>
    </row>
    <row r="1276" spans="1:31" x14ac:dyDescent="0.25">
      <c r="A1276" s="316"/>
      <c r="B1276" s="317" t="str">
        <f>IF(A1276&lt;&gt;"",_xlfn.MAXIFS($B$1:B1275,$A$1:A1275,A1276)+1,"")</f>
        <v/>
      </c>
      <c r="C1276" s="296"/>
      <c r="D1276" s="296"/>
      <c r="E1276" s="296"/>
      <c r="F1276" s="296"/>
      <c r="G1276" s="326"/>
      <c r="H1276" s="324"/>
      <c r="I1276" s="325"/>
      <c r="J1276" s="325"/>
      <c r="K1276" s="318"/>
      <c r="L1276" s="318"/>
      <c r="M1276" s="319" t="str">
        <f>IFERROR(VLOOKUP(H1276,Lijsten!$H$1:$I$100,2,0),"")</f>
        <v/>
      </c>
      <c r="N1276" s="319" t="str">
        <f ca="1">IFERROR(IF(VLOOKUP(F1276,Kostentypen!$A$3:$E$21,3,0)=0,"",IF(OR(F1276="Arbeidskosten",F1276="Vergoeding"),VLOOKUP(G1276,Tb_KostenTypen[],2,0),VLOOKUP(F1276,Kostentypen!$A$3:$E$20,3,0))),"")</f>
        <v/>
      </c>
      <c r="O1276" s="320" t="str" cm="1">
        <f t="array" ref="O1276">_xlfn.IFNA(IF(INDEX(Tb_KostenOptiesDB[],MATCH($F1276,Tb_KostenOptiesDB[KostenOptie],0),IFERROR(MATCH(Methode_Keuze,Tb_KostenOptiesDB[#Headers],0),2))=1,_xlfn.SWITCH($N1276,"Uurtarief",IF(OR(AND(RIGHT($F1276,3)="IKS",VLOOKUP($M1276,DB_Loonkosten,2,0)="Ja"),AND(RIGHT($F1276,3)&lt;&gt;"IKS",VLOOKUP($M1276,DB_Loonkosten,2,0)="Nee")),IFERROR(VLOOKUP($M1276,DB_Loonkosten,24,0),""),0),"Vast tarief",IF(LEFT(F1276,8)="Bijdrage",VLOOKUP($F1276,Tb_KostenTypen[],MATCH(Lijsten!$P$1,Tb_KostenTypen[#Headers],0),0),VLOOKUP($G1276,Lijsten!L:P,MATCH(Lijsten!$P$1,Kop_Tarief_Vast,0),0))),""),"")</f>
        <v/>
      </c>
      <c r="P1276" s="320" t="str" cm="1">
        <f t="array" ref="P1276">_xlfn.IFNA(IF(INDEX(Tb_KostenOptiesDB[],MATCH($F1276,Tb_KostenOptiesDB[KostenOptie],0),IFERROR(MATCH(Methode_Keuze,Tb_KostenOptiesDB[#Headers],0),2))=1,_xlfn.SWITCH($N1276,"Uurtarief",IF(OR(AND(RIGHT($F1276,3)="IKS",VLOOKUP($M1276,DB_Loonkosten,2,0)="Ja"),AND(RIGHT($F1276,3)&lt;&gt;"IKS",VLOOKUP($M1276,DB_Loonkosten,2,0)="Nee")),IFERROR(VLOOKUP($M1276,DB_Loonkosten,25,0),""),0),"Vast tarief",IF(LEFT(F1276,8)="Bijdrage",VLOOKUP($F1276,Tb_KostenTypen[],MATCH(Lijsten!$P$1,Tb_KostenTypen[#Headers],0),0),VLOOKUP($G1276,Lijsten!L:P,MATCH(Lijsten!$P$1,Kop_Tarief_Vast,0),0))),""),"")</f>
        <v/>
      </c>
      <c r="Q1276" s="359"/>
      <c r="R1276" s="359"/>
      <c r="S1276" s="321"/>
      <c r="T1276" s="321"/>
      <c r="U1276" s="373" t="str">
        <f t="shared" si="76"/>
        <v/>
      </c>
      <c r="V1276" s="314" t="str">
        <f t="shared" si="77"/>
        <v/>
      </c>
      <c r="W1276" s="314" t="str" cm="1">
        <f t="array" aca="1" ref="W1276" ca="1">IFERROR(IF(AE1276&lt;&gt;"ja",_xlfn.IFNA(_xlfn.IFS(AND(O1276&lt;&gt;"",F1276&lt;&gt;"",RIGHT($N1276,6)="tarief",F1276="Vergoeding"),SUM(O1276)*FLOOR(SUM(Q1276),0.0001),AND(O1276&lt;&gt;"",F1276&lt;&gt;"",RIGHT($N1276,6)="tarief"),SUM(O1276)*FLOOR(SUM(Q1276),0.01),S1276&gt;0,IF(F1276&lt;&gt;"",FLOOR(SUM(S1276),0.01),"")),""),""),"")</f>
        <v/>
      </c>
      <c r="X1276" s="314" t="str" cm="1">
        <f t="array" aca="1" ref="X1276" ca="1">IFERROR(IF(AE1276&lt;&gt;"ja",_xlfn.IFNA(_xlfn.IFS(AND(P1276&lt;&gt;"",R1276&lt;&gt;"",RIGHT($N1276,6)="tarief",F1276="Vergoeding"),SUM(P1276)*FLOOR(SUM(R1276),0.0001),AND(P1276&lt;&gt;"",R1276&lt;&gt;"",RIGHT($N1276,6)="tarief"),P1276*FLOOR(R1276,0.01),T1276&gt;0,FLOOR(SUM(T1276),0.01)),""),""),"")</f>
        <v/>
      </c>
      <c r="Y1276" s="314" t="str">
        <f t="shared" ca="1" si="78"/>
        <v/>
      </c>
      <c r="Z1276" s="314" t="str" cm="1">
        <f t="array" aca="1" ref="Z1276" ca="1">IFERROR(_xlfn.IFS(OR(F1276="",LEFT(Methode_Keuze,4)="Geen",Methode_Keuze=""),"",AND(W1276&lt;&gt;"",F1276&lt;&gt;"Arbeidskosten"),W1276*VLOOKUP(F1276,Tb_ProjectKosten[],MATCH(Tb_ProjectKosten[[#Headers],[Forfait_Percentage]],Tb_ProjectKosten[#Headers],0),0),AND(F1276="Arbeidskosten",G1276&lt;&gt;""),IFERROR(W1276*VLOOKUP(G1276,Tb_KostenTypen[],3,0)*VLOOKUP(F1276,Tb_ProjectKosten[],MATCH(Tb_ProjectKosten[[#Headers],[Forfait_Percentage]],Tb_ProjectKosten[#Headers],0),0),""),W1276 &lt;=0,0),"")</f>
        <v/>
      </c>
      <c r="AA1276" s="314" t="str" cm="1">
        <f t="array" aca="1" ref="AA1276" ca="1">IFERROR(_xlfn.IFS(OR(F1276="",LEFT(Methode_Keuze,4)="Geen",Methode_Keuze=""),"",AND(X1276&lt;&gt;"",F1276&lt;&gt;"Arbeidskosten"),X1276*VLOOKUP(F1276,Tb_ProjectKosten[],MATCH(Tb_ProjectKosten[[#Headers],[Forfait_Percentage]],Tb_ProjectKosten[#Headers],0),0),AND(F1276="Arbeidskosten",G1276&lt;&gt;""),IFERROR(X1276*VLOOKUP(G1276,Tb_KostenTypen[],3,0)*VLOOKUP(F1276,Tb_ProjectKosten[],MATCH(Tb_ProjectKosten[[#Headers],[Forfait_Percentage]],Tb_ProjectKosten[#Headers],0),0),""),X1276 &lt;=0,0),"")</f>
        <v/>
      </c>
      <c r="AB1276" s="314" t="str">
        <f t="shared" ca="1" si="79"/>
        <v/>
      </c>
      <c r="AC1276" s="322"/>
      <c r="AD1276" s="315"/>
      <c r="AE1276" s="32" t="str" cm="1">
        <f t="array" ref="AE1276">IFERROR(IF(INDEX(SubsidieTabel!$AD$1:$AG$12,MATCH($F1276,SubsidieTabel!$AD$1:$AD$12,0),IFERROR(MATCH(Methode_Keuze,SubsidieTabel!$AD$1:$AG$1,0),2))&lt;&gt;1=TRUE,"ja",""),"")</f>
        <v/>
      </c>
    </row>
    <row r="1277" spans="1:31" x14ac:dyDescent="0.25">
      <c r="A1277" s="316"/>
      <c r="B1277" s="317" t="str">
        <f>IF(A1277&lt;&gt;"",_xlfn.MAXIFS($B$1:B1276,$A$1:A1276,A1277)+1,"")</f>
        <v/>
      </c>
      <c r="C1277" s="296"/>
      <c r="D1277" s="296"/>
      <c r="E1277" s="296"/>
      <c r="F1277" s="296"/>
      <c r="G1277" s="326"/>
      <c r="H1277" s="324"/>
      <c r="I1277" s="325"/>
      <c r="J1277" s="325"/>
      <c r="K1277" s="318"/>
      <c r="L1277" s="318"/>
      <c r="M1277" s="319" t="str">
        <f>IFERROR(VLOOKUP(H1277,Lijsten!$H$1:$I$100,2,0),"")</f>
        <v/>
      </c>
      <c r="N1277" s="319" t="str">
        <f ca="1">IFERROR(IF(VLOOKUP(F1277,Kostentypen!$A$3:$E$21,3,0)=0,"",IF(OR(F1277="Arbeidskosten",F1277="Vergoeding"),VLOOKUP(G1277,Tb_KostenTypen[],2,0),VLOOKUP(F1277,Kostentypen!$A$3:$E$20,3,0))),"")</f>
        <v/>
      </c>
      <c r="O1277" s="320" t="str" cm="1">
        <f t="array" ref="O1277">_xlfn.IFNA(IF(INDEX(Tb_KostenOptiesDB[],MATCH($F1277,Tb_KostenOptiesDB[KostenOptie],0),IFERROR(MATCH(Methode_Keuze,Tb_KostenOptiesDB[#Headers],0),2))=1,_xlfn.SWITCH($N1277,"Uurtarief",IF(OR(AND(RIGHT($F1277,3)="IKS",VLOOKUP($M1277,DB_Loonkosten,2,0)="Ja"),AND(RIGHT($F1277,3)&lt;&gt;"IKS",VLOOKUP($M1277,DB_Loonkosten,2,0)="Nee")),IFERROR(VLOOKUP($M1277,DB_Loonkosten,24,0),""),0),"Vast tarief",IF(LEFT(F1277,8)="Bijdrage",VLOOKUP($F1277,Tb_KostenTypen[],MATCH(Lijsten!$P$1,Tb_KostenTypen[#Headers],0),0),VLOOKUP($G1277,Lijsten!L:P,MATCH(Lijsten!$P$1,Kop_Tarief_Vast,0),0))),""),"")</f>
        <v/>
      </c>
      <c r="P1277" s="320" t="str" cm="1">
        <f t="array" ref="P1277">_xlfn.IFNA(IF(INDEX(Tb_KostenOptiesDB[],MATCH($F1277,Tb_KostenOptiesDB[KostenOptie],0),IFERROR(MATCH(Methode_Keuze,Tb_KostenOptiesDB[#Headers],0),2))=1,_xlfn.SWITCH($N1277,"Uurtarief",IF(OR(AND(RIGHT($F1277,3)="IKS",VLOOKUP($M1277,DB_Loonkosten,2,0)="Ja"),AND(RIGHT($F1277,3)&lt;&gt;"IKS",VLOOKUP($M1277,DB_Loonkosten,2,0)="Nee")),IFERROR(VLOOKUP($M1277,DB_Loonkosten,25,0),""),0),"Vast tarief",IF(LEFT(F1277,8)="Bijdrage",VLOOKUP($F1277,Tb_KostenTypen[],MATCH(Lijsten!$P$1,Tb_KostenTypen[#Headers],0),0),VLOOKUP($G1277,Lijsten!L:P,MATCH(Lijsten!$P$1,Kop_Tarief_Vast,0),0))),""),"")</f>
        <v/>
      </c>
      <c r="Q1277" s="359"/>
      <c r="R1277" s="359"/>
      <c r="S1277" s="321"/>
      <c r="T1277" s="321"/>
      <c r="U1277" s="373" t="str">
        <f t="shared" si="76"/>
        <v/>
      </c>
      <c r="V1277" s="314" t="str">
        <f t="shared" si="77"/>
        <v/>
      </c>
      <c r="W1277" s="314" t="str" cm="1">
        <f t="array" aca="1" ref="W1277" ca="1">IFERROR(IF(AE1277&lt;&gt;"ja",_xlfn.IFNA(_xlfn.IFS(AND(O1277&lt;&gt;"",F1277&lt;&gt;"",RIGHT($N1277,6)="tarief",F1277="Vergoeding"),SUM(O1277)*FLOOR(SUM(Q1277),0.0001),AND(O1277&lt;&gt;"",F1277&lt;&gt;"",RIGHT($N1277,6)="tarief"),SUM(O1277)*FLOOR(SUM(Q1277),0.01),S1277&gt;0,IF(F1277&lt;&gt;"",FLOOR(SUM(S1277),0.01),"")),""),""),"")</f>
        <v/>
      </c>
      <c r="X1277" s="314" t="str" cm="1">
        <f t="array" aca="1" ref="X1277" ca="1">IFERROR(IF(AE1277&lt;&gt;"ja",_xlfn.IFNA(_xlfn.IFS(AND(P1277&lt;&gt;"",R1277&lt;&gt;"",RIGHT($N1277,6)="tarief",F1277="Vergoeding"),SUM(P1277)*FLOOR(SUM(R1277),0.0001),AND(P1277&lt;&gt;"",R1277&lt;&gt;"",RIGHT($N1277,6)="tarief"),P1277*FLOOR(R1277,0.01),T1277&gt;0,FLOOR(SUM(T1277),0.01)),""),""),"")</f>
        <v/>
      </c>
      <c r="Y1277" s="314" t="str">
        <f t="shared" ca="1" si="78"/>
        <v/>
      </c>
      <c r="Z1277" s="314" t="str" cm="1">
        <f t="array" aca="1" ref="Z1277" ca="1">IFERROR(_xlfn.IFS(OR(F1277="",LEFT(Methode_Keuze,4)="Geen",Methode_Keuze=""),"",AND(W1277&lt;&gt;"",F1277&lt;&gt;"Arbeidskosten"),W1277*VLOOKUP(F1277,Tb_ProjectKosten[],MATCH(Tb_ProjectKosten[[#Headers],[Forfait_Percentage]],Tb_ProjectKosten[#Headers],0),0),AND(F1277="Arbeidskosten",G1277&lt;&gt;""),IFERROR(W1277*VLOOKUP(G1277,Tb_KostenTypen[],3,0)*VLOOKUP(F1277,Tb_ProjectKosten[],MATCH(Tb_ProjectKosten[[#Headers],[Forfait_Percentage]],Tb_ProjectKosten[#Headers],0),0),""),W1277 &lt;=0,0),"")</f>
        <v/>
      </c>
      <c r="AA1277" s="314" t="str" cm="1">
        <f t="array" aca="1" ref="AA1277" ca="1">IFERROR(_xlfn.IFS(OR(F1277="",LEFT(Methode_Keuze,4)="Geen",Methode_Keuze=""),"",AND(X1277&lt;&gt;"",F1277&lt;&gt;"Arbeidskosten"),X1277*VLOOKUP(F1277,Tb_ProjectKosten[],MATCH(Tb_ProjectKosten[[#Headers],[Forfait_Percentage]],Tb_ProjectKosten[#Headers],0),0),AND(F1277="Arbeidskosten",G1277&lt;&gt;""),IFERROR(X1277*VLOOKUP(G1277,Tb_KostenTypen[],3,0)*VLOOKUP(F1277,Tb_ProjectKosten[],MATCH(Tb_ProjectKosten[[#Headers],[Forfait_Percentage]],Tb_ProjectKosten[#Headers],0),0),""),X1277 &lt;=0,0),"")</f>
        <v/>
      </c>
      <c r="AB1277" s="314" t="str">
        <f t="shared" ca="1" si="79"/>
        <v/>
      </c>
      <c r="AC1277" s="322"/>
      <c r="AD1277" s="315"/>
      <c r="AE1277" s="32" t="str" cm="1">
        <f t="array" ref="AE1277">IFERROR(IF(INDEX(SubsidieTabel!$AD$1:$AG$12,MATCH($F1277,SubsidieTabel!$AD$1:$AD$12,0),IFERROR(MATCH(Methode_Keuze,SubsidieTabel!$AD$1:$AG$1,0),2))&lt;&gt;1=TRUE,"ja",""),"")</f>
        <v/>
      </c>
    </row>
    <row r="1278" spans="1:31" x14ac:dyDescent="0.25">
      <c r="A1278" s="316"/>
      <c r="B1278" s="317" t="str">
        <f>IF(A1278&lt;&gt;"",_xlfn.MAXIFS($B$1:B1277,$A$1:A1277,A1278)+1,"")</f>
        <v/>
      </c>
      <c r="C1278" s="296"/>
      <c r="D1278" s="296"/>
      <c r="E1278" s="296"/>
      <c r="F1278" s="296"/>
      <c r="G1278" s="326"/>
      <c r="H1278" s="324"/>
      <c r="I1278" s="325"/>
      <c r="J1278" s="325"/>
      <c r="K1278" s="318"/>
      <c r="L1278" s="318"/>
      <c r="M1278" s="319" t="str">
        <f>IFERROR(VLOOKUP(H1278,Lijsten!$H$1:$I$100,2,0),"")</f>
        <v/>
      </c>
      <c r="N1278" s="319" t="str">
        <f ca="1">IFERROR(IF(VLOOKUP(F1278,Kostentypen!$A$3:$E$21,3,0)=0,"",IF(OR(F1278="Arbeidskosten",F1278="Vergoeding"),VLOOKUP(G1278,Tb_KostenTypen[],2,0),VLOOKUP(F1278,Kostentypen!$A$3:$E$20,3,0))),"")</f>
        <v/>
      </c>
      <c r="O1278" s="320" t="str" cm="1">
        <f t="array" ref="O1278">_xlfn.IFNA(IF(INDEX(Tb_KostenOptiesDB[],MATCH($F1278,Tb_KostenOptiesDB[KostenOptie],0),IFERROR(MATCH(Methode_Keuze,Tb_KostenOptiesDB[#Headers],0),2))=1,_xlfn.SWITCH($N1278,"Uurtarief",IF(OR(AND(RIGHT($F1278,3)="IKS",VLOOKUP($M1278,DB_Loonkosten,2,0)="Ja"),AND(RIGHT($F1278,3)&lt;&gt;"IKS",VLOOKUP($M1278,DB_Loonkosten,2,0)="Nee")),IFERROR(VLOOKUP($M1278,DB_Loonkosten,24,0),""),0),"Vast tarief",IF(LEFT(F1278,8)="Bijdrage",VLOOKUP($F1278,Tb_KostenTypen[],MATCH(Lijsten!$P$1,Tb_KostenTypen[#Headers],0),0),VLOOKUP($G1278,Lijsten!L:P,MATCH(Lijsten!$P$1,Kop_Tarief_Vast,0),0))),""),"")</f>
        <v/>
      </c>
      <c r="P1278" s="320" t="str" cm="1">
        <f t="array" ref="P1278">_xlfn.IFNA(IF(INDEX(Tb_KostenOptiesDB[],MATCH($F1278,Tb_KostenOptiesDB[KostenOptie],0),IFERROR(MATCH(Methode_Keuze,Tb_KostenOptiesDB[#Headers],0),2))=1,_xlfn.SWITCH($N1278,"Uurtarief",IF(OR(AND(RIGHT($F1278,3)="IKS",VLOOKUP($M1278,DB_Loonkosten,2,0)="Ja"),AND(RIGHT($F1278,3)&lt;&gt;"IKS",VLOOKUP($M1278,DB_Loonkosten,2,0)="Nee")),IFERROR(VLOOKUP($M1278,DB_Loonkosten,25,0),""),0),"Vast tarief",IF(LEFT(F1278,8)="Bijdrage",VLOOKUP($F1278,Tb_KostenTypen[],MATCH(Lijsten!$P$1,Tb_KostenTypen[#Headers],0),0),VLOOKUP($G1278,Lijsten!L:P,MATCH(Lijsten!$P$1,Kop_Tarief_Vast,0),0))),""),"")</f>
        <v/>
      </c>
      <c r="Q1278" s="359"/>
      <c r="R1278" s="359"/>
      <c r="S1278" s="321"/>
      <c r="T1278" s="321"/>
      <c r="U1278" s="373" t="str">
        <f t="shared" si="76"/>
        <v/>
      </c>
      <c r="V1278" s="314" t="str">
        <f t="shared" si="77"/>
        <v/>
      </c>
      <c r="W1278" s="314" t="str" cm="1">
        <f t="array" aca="1" ref="W1278" ca="1">IFERROR(IF(AE1278&lt;&gt;"ja",_xlfn.IFNA(_xlfn.IFS(AND(O1278&lt;&gt;"",F1278&lt;&gt;"",RIGHT($N1278,6)="tarief",F1278="Vergoeding"),SUM(O1278)*FLOOR(SUM(Q1278),0.0001),AND(O1278&lt;&gt;"",F1278&lt;&gt;"",RIGHT($N1278,6)="tarief"),SUM(O1278)*FLOOR(SUM(Q1278),0.01),S1278&gt;0,IF(F1278&lt;&gt;"",FLOOR(SUM(S1278),0.01),"")),""),""),"")</f>
        <v/>
      </c>
      <c r="X1278" s="314" t="str" cm="1">
        <f t="array" aca="1" ref="X1278" ca="1">IFERROR(IF(AE1278&lt;&gt;"ja",_xlfn.IFNA(_xlfn.IFS(AND(P1278&lt;&gt;"",R1278&lt;&gt;"",RIGHT($N1278,6)="tarief",F1278="Vergoeding"),SUM(P1278)*FLOOR(SUM(R1278),0.0001),AND(P1278&lt;&gt;"",R1278&lt;&gt;"",RIGHT($N1278,6)="tarief"),P1278*FLOOR(R1278,0.01),T1278&gt;0,FLOOR(SUM(T1278),0.01)),""),""),"")</f>
        <v/>
      </c>
      <c r="Y1278" s="314" t="str">
        <f t="shared" ca="1" si="78"/>
        <v/>
      </c>
      <c r="Z1278" s="314" t="str" cm="1">
        <f t="array" aca="1" ref="Z1278" ca="1">IFERROR(_xlfn.IFS(OR(F1278="",LEFT(Methode_Keuze,4)="Geen",Methode_Keuze=""),"",AND(W1278&lt;&gt;"",F1278&lt;&gt;"Arbeidskosten"),W1278*VLOOKUP(F1278,Tb_ProjectKosten[],MATCH(Tb_ProjectKosten[[#Headers],[Forfait_Percentage]],Tb_ProjectKosten[#Headers],0),0),AND(F1278="Arbeidskosten",G1278&lt;&gt;""),IFERROR(W1278*VLOOKUP(G1278,Tb_KostenTypen[],3,0)*VLOOKUP(F1278,Tb_ProjectKosten[],MATCH(Tb_ProjectKosten[[#Headers],[Forfait_Percentage]],Tb_ProjectKosten[#Headers],0),0),""),W1278 &lt;=0,0),"")</f>
        <v/>
      </c>
      <c r="AA1278" s="314" t="str" cm="1">
        <f t="array" aca="1" ref="AA1278" ca="1">IFERROR(_xlfn.IFS(OR(F1278="",LEFT(Methode_Keuze,4)="Geen",Methode_Keuze=""),"",AND(X1278&lt;&gt;"",F1278&lt;&gt;"Arbeidskosten"),X1278*VLOOKUP(F1278,Tb_ProjectKosten[],MATCH(Tb_ProjectKosten[[#Headers],[Forfait_Percentage]],Tb_ProjectKosten[#Headers],0),0),AND(F1278="Arbeidskosten",G1278&lt;&gt;""),IFERROR(X1278*VLOOKUP(G1278,Tb_KostenTypen[],3,0)*VLOOKUP(F1278,Tb_ProjectKosten[],MATCH(Tb_ProjectKosten[[#Headers],[Forfait_Percentage]],Tb_ProjectKosten[#Headers],0),0),""),X1278 &lt;=0,0),"")</f>
        <v/>
      </c>
      <c r="AB1278" s="314" t="str">
        <f t="shared" ca="1" si="79"/>
        <v/>
      </c>
      <c r="AC1278" s="322"/>
      <c r="AD1278" s="315"/>
      <c r="AE1278" s="32" t="str" cm="1">
        <f t="array" ref="AE1278">IFERROR(IF(INDEX(SubsidieTabel!$AD$1:$AG$12,MATCH($F1278,SubsidieTabel!$AD$1:$AD$12,0),IFERROR(MATCH(Methode_Keuze,SubsidieTabel!$AD$1:$AG$1,0),2))&lt;&gt;1=TRUE,"ja",""),"")</f>
        <v/>
      </c>
    </row>
    <row r="1279" spans="1:31" x14ac:dyDescent="0.25">
      <c r="A1279" s="316"/>
      <c r="B1279" s="317" t="str">
        <f>IF(A1279&lt;&gt;"",_xlfn.MAXIFS($B$1:B1278,$A$1:A1278,A1279)+1,"")</f>
        <v/>
      </c>
      <c r="C1279" s="296"/>
      <c r="D1279" s="296"/>
      <c r="E1279" s="296"/>
      <c r="F1279" s="296"/>
      <c r="G1279" s="326"/>
      <c r="H1279" s="324"/>
      <c r="I1279" s="325"/>
      <c r="J1279" s="325"/>
      <c r="K1279" s="318"/>
      <c r="L1279" s="318"/>
      <c r="M1279" s="319" t="str">
        <f>IFERROR(VLOOKUP(H1279,Lijsten!$H$1:$I$100,2,0),"")</f>
        <v/>
      </c>
      <c r="N1279" s="319" t="str">
        <f ca="1">IFERROR(IF(VLOOKUP(F1279,Kostentypen!$A$3:$E$21,3,0)=0,"",IF(OR(F1279="Arbeidskosten",F1279="Vergoeding"),VLOOKUP(G1279,Tb_KostenTypen[],2,0),VLOOKUP(F1279,Kostentypen!$A$3:$E$20,3,0))),"")</f>
        <v/>
      </c>
      <c r="O1279" s="320" t="str" cm="1">
        <f t="array" ref="O1279">_xlfn.IFNA(IF(INDEX(Tb_KostenOptiesDB[],MATCH($F1279,Tb_KostenOptiesDB[KostenOptie],0),IFERROR(MATCH(Methode_Keuze,Tb_KostenOptiesDB[#Headers],0),2))=1,_xlfn.SWITCH($N1279,"Uurtarief",IF(OR(AND(RIGHT($F1279,3)="IKS",VLOOKUP($M1279,DB_Loonkosten,2,0)="Ja"),AND(RIGHT($F1279,3)&lt;&gt;"IKS",VLOOKUP($M1279,DB_Loonkosten,2,0)="Nee")),IFERROR(VLOOKUP($M1279,DB_Loonkosten,24,0),""),0),"Vast tarief",IF(LEFT(F1279,8)="Bijdrage",VLOOKUP($F1279,Tb_KostenTypen[],MATCH(Lijsten!$P$1,Tb_KostenTypen[#Headers],0),0),VLOOKUP($G1279,Lijsten!L:P,MATCH(Lijsten!$P$1,Kop_Tarief_Vast,0),0))),""),"")</f>
        <v/>
      </c>
      <c r="P1279" s="320" t="str" cm="1">
        <f t="array" ref="P1279">_xlfn.IFNA(IF(INDEX(Tb_KostenOptiesDB[],MATCH($F1279,Tb_KostenOptiesDB[KostenOptie],0),IFERROR(MATCH(Methode_Keuze,Tb_KostenOptiesDB[#Headers],0),2))=1,_xlfn.SWITCH($N1279,"Uurtarief",IF(OR(AND(RIGHT($F1279,3)="IKS",VLOOKUP($M1279,DB_Loonkosten,2,0)="Ja"),AND(RIGHT($F1279,3)&lt;&gt;"IKS",VLOOKUP($M1279,DB_Loonkosten,2,0)="Nee")),IFERROR(VLOOKUP($M1279,DB_Loonkosten,25,0),""),0),"Vast tarief",IF(LEFT(F1279,8)="Bijdrage",VLOOKUP($F1279,Tb_KostenTypen[],MATCH(Lijsten!$P$1,Tb_KostenTypen[#Headers],0),0),VLOOKUP($G1279,Lijsten!L:P,MATCH(Lijsten!$P$1,Kop_Tarief_Vast,0),0))),""),"")</f>
        <v/>
      </c>
      <c r="Q1279" s="359"/>
      <c r="R1279" s="359"/>
      <c r="S1279" s="321"/>
      <c r="T1279" s="321"/>
      <c r="U1279" s="373" t="str">
        <f t="shared" si="76"/>
        <v/>
      </c>
      <c r="V1279" s="314" t="str">
        <f t="shared" si="77"/>
        <v/>
      </c>
      <c r="W1279" s="314" t="str" cm="1">
        <f t="array" aca="1" ref="W1279" ca="1">IFERROR(IF(AE1279&lt;&gt;"ja",_xlfn.IFNA(_xlfn.IFS(AND(O1279&lt;&gt;"",F1279&lt;&gt;"",RIGHT($N1279,6)="tarief",F1279="Vergoeding"),SUM(O1279)*FLOOR(SUM(Q1279),0.0001),AND(O1279&lt;&gt;"",F1279&lt;&gt;"",RIGHT($N1279,6)="tarief"),SUM(O1279)*FLOOR(SUM(Q1279),0.01),S1279&gt;0,IF(F1279&lt;&gt;"",FLOOR(SUM(S1279),0.01),"")),""),""),"")</f>
        <v/>
      </c>
      <c r="X1279" s="314" t="str" cm="1">
        <f t="array" aca="1" ref="X1279" ca="1">IFERROR(IF(AE1279&lt;&gt;"ja",_xlfn.IFNA(_xlfn.IFS(AND(P1279&lt;&gt;"",R1279&lt;&gt;"",RIGHT($N1279,6)="tarief",F1279="Vergoeding"),SUM(P1279)*FLOOR(SUM(R1279),0.0001),AND(P1279&lt;&gt;"",R1279&lt;&gt;"",RIGHT($N1279,6)="tarief"),P1279*FLOOR(R1279,0.01),T1279&gt;0,FLOOR(SUM(T1279),0.01)),""),""),"")</f>
        <v/>
      </c>
      <c r="Y1279" s="314" t="str">
        <f t="shared" ca="1" si="78"/>
        <v/>
      </c>
      <c r="Z1279" s="314" t="str" cm="1">
        <f t="array" aca="1" ref="Z1279" ca="1">IFERROR(_xlfn.IFS(OR(F1279="",LEFT(Methode_Keuze,4)="Geen",Methode_Keuze=""),"",AND(W1279&lt;&gt;"",F1279&lt;&gt;"Arbeidskosten"),W1279*VLOOKUP(F1279,Tb_ProjectKosten[],MATCH(Tb_ProjectKosten[[#Headers],[Forfait_Percentage]],Tb_ProjectKosten[#Headers],0),0),AND(F1279="Arbeidskosten",G1279&lt;&gt;""),IFERROR(W1279*VLOOKUP(G1279,Tb_KostenTypen[],3,0)*VLOOKUP(F1279,Tb_ProjectKosten[],MATCH(Tb_ProjectKosten[[#Headers],[Forfait_Percentage]],Tb_ProjectKosten[#Headers],0),0),""),W1279 &lt;=0,0),"")</f>
        <v/>
      </c>
      <c r="AA1279" s="314" t="str" cm="1">
        <f t="array" aca="1" ref="AA1279" ca="1">IFERROR(_xlfn.IFS(OR(F1279="",LEFT(Methode_Keuze,4)="Geen",Methode_Keuze=""),"",AND(X1279&lt;&gt;"",F1279&lt;&gt;"Arbeidskosten"),X1279*VLOOKUP(F1279,Tb_ProjectKosten[],MATCH(Tb_ProjectKosten[[#Headers],[Forfait_Percentage]],Tb_ProjectKosten[#Headers],0),0),AND(F1279="Arbeidskosten",G1279&lt;&gt;""),IFERROR(X1279*VLOOKUP(G1279,Tb_KostenTypen[],3,0)*VLOOKUP(F1279,Tb_ProjectKosten[],MATCH(Tb_ProjectKosten[[#Headers],[Forfait_Percentage]],Tb_ProjectKosten[#Headers],0),0),""),X1279 &lt;=0,0),"")</f>
        <v/>
      </c>
      <c r="AB1279" s="314" t="str">
        <f t="shared" ca="1" si="79"/>
        <v/>
      </c>
      <c r="AC1279" s="322"/>
      <c r="AD1279" s="315"/>
      <c r="AE1279" s="32" t="str" cm="1">
        <f t="array" ref="AE1279">IFERROR(IF(INDEX(SubsidieTabel!$AD$1:$AG$12,MATCH($F1279,SubsidieTabel!$AD$1:$AD$12,0),IFERROR(MATCH(Methode_Keuze,SubsidieTabel!$AD$1:$AG$1,0),2))&lt;&gt;1=TRUE,"ja",""),"")</f>
        <v/>
      </c>
    </row>
    <row r="1280" spans="1:31" x14ac:dyDescent="0.25">
      <c r="A1280" s="316"/>
      <c r="B1280" s="317" t="str">
        <f>IF(A1280&lt;&gt;"",_xlfn.MAXIFS($B$1:B1279,$A$1:A1279,A1280)+1,"")</f>
        <v/>
      </c>
      <c r="C1280" s="296"/>
      <c r="D1280" s="296"/>
      <c r="E1280" s="296"/>
      <c r="F1280" s="296"/>
      <c r="G1280" s="326"/>
      <c r="H1280" s="324"/>
      <c r="I1280" s="325"/>
      <c r="J1280" s="325"/>
      <c r="K1280" s="318"/>
      <c r="L1280" s="318"/>
      <c r="M1280" s="319" t="str">
        <f>IFERROR(VLOOKUP(H1280,Lijsten!$H$1:$I$100,2,0),"")</f>
        <v/>
      </c>
      <c r="N1280" s="319" t="str">
        <f ca="1">IFERROR(IF(VLOOKUP(F1280,Kostentypen!$A$3:$E$21,3,0)=0,"",IF(OR(F1280="Arbeidskosten",F1280="Vergoeding"),VLOOKUP(G1280,Tb_KostenTypen[],2,0),VLOOKUP(F1280,Kostentypen!$A$3:$E$20,3,0))),"")</f>
        <v/>
      </c>
      <c r="O1280" s="320" t="str" cm="1">
        <f t="array" ref="O1280">_xlfn.IFNA(IF(INDEX(Tb_KostenOptiesDB[],MATCH($F1280,Tb_KostenOptiesDB[KostenOptie],0),IFERROR(MATCH(Methode_Keuze,Tb_KostenOptiesDB[#Headers],0),2))=1,_xlfn.SWITCH($N1280,"Uurtarief",IF(OR(AND(RIGHT($F1280,3)="IKS",VLOOKUP($M1280,DB_Loonkosten,2,0)="Ja"),AND(RIGHT($F1280,3)&lt;&gt;"IKS",VLOOKUP($M1280,DB_Loonkosten,2,0)="Nee")),IFERROR(VLOOKUP($M1280,DB_Loonkosten,24,0),""),0),"Vast tarief",IF(LEFT(F1280,8)="Bijdrage",VLOOKUP($F1280,Tb_KostenTypen[],MATCH(Lijsten!$P$1,Tb_KostenTypen[#Headers],0),0),VLOOKUP($G1280,Lijsten!L:P,MATCH(Lijsten!$P$1,Kop_Tarief_Vast,0),0))),""),"")</f>
        <v/>
      </c>
      <c r="P1280" s="320" t="str" cm="1">
        <f t="array" ref="P1280">_xlfn.IFNA(IF(INDEX(Tb_KostenOptiesDB[],MATCH($F1280,Tb_KostenOptiesDB[KostenOptie],0),IFERROR(MATCH(Methode_Keuze,Tb_KostenOptiesDB[#Headers],0),2))=1,_xlfn.SWITCH($N1280,"Uurtarief",IF(OR(AND(RIGHT($F1280,3)="IKS",VLOOKUP($M1280,DB_Loonkosten,2,0)="Ja"),AND(RIGHT($F1280,3)&lt;&gt;"IKS",VLOOKUP($M1280,DB_Loonkosten,2,0)="Nee")),IFERROR(VLOOKUP($M1280,DB_Loonkosten,25,0),""),0),"Vast tarief",IF(LEFT(F1280,8)="Bijdrage",VLOOKUP($F1280,Tb_KostenTypen[],MATCH(Lijsten!$P$1,Tb_KostenTypen[#Headers],0),0),VLOOKUP($G1280,Lijsten!L:P,MATCH(Lijsten!$P$1,Kop_Tarief_Vast,0),0))),""),"")</f>
        <v/>
      </c>
      <c r="Q1280" s="359"/>
      <c r="R1280" s="359"/>
      <c r="S1280" s="321"/>
      <c r="T1280" s="321"/>
      <c r="U1280" s="373" t="str">
        <f t="shared" si="76"/>
        <v/>
      </c>
      <c r="V1280" s="314" t="str">
        <f t="shared" si="77"/>
        <v/>
      </c>
      <c r="W1280" s="314" t="str" cm="1">
        <f t="array" aca="1" ref="W1280" ca="1">IFERROR(IF(AE1280&lt;&gt;"ja",_xlfn.IFNA(_xlfn.IFS(AND(O1280&lt;&gt;"",F1280&lt;&gt;"",RIGHT($N1280,6)="tarief",F1280="Vergoeding"),SUM(O1280)*FLOOR(SUM(Q1280),0.0001),AND(O1280&lt;&gt;"",F1280&lt;&gt;"",RIGHT($N1280,6)="tarief"),SUM(O1280)*FLOOR(SUM(Q1280),0.01),S1280&gt;0,IF(F1280&lt;&gt;"",FLOOR(SUM(S1280),0.01),"")),""),""),"")</f>
        <v/>
      </c>
      <c r="X1280" s="314" t="str" cm="1">
        <f t="array" aca="1" ref="X1280" ca="1">IFERROR(IF(AE1280&lt;&gt;"ja",_xlfn.IFNA(_xlfn.IFS(AND(P1280&lt;&gt;"",R1280&lt;&gt;"",RIGHT($N1280,6)="tarief",F1280="Vergoeding"),SUM(P1280)*FLOOR(SUM(R1280),0.0001),AND(P1280&lt;&gt;"",R1280&lt;&gt;"",RIGHT($N1280,6)="tarief"),P1280*FLOOR(R1280,0.01),T1280&gt;0,FLOOR(SUM(T1280),0.01)),""),""),"")</f>
        <v/>
      </c>
      <c r="Y1280" s="314" t="str">
        <f t="shared" ca="1" si="78"/>
        <v/>
      </c>
      <c r="Z1280" s="314" t="str" cm="1">
        <f t="array" aca="1" ref="Z1280" ca="1">IFERROR(_xlfn.IFS(OR(F1280="",LEFT(Methode_Keuze,4)="Geen",Methode_Keuze=""),"",AND(W1280&lt;&gt;"",F1280&lt;&gt;"Arbeidskosten"),W1280*VLOOKUP(F1280,Tb_ProjectKosten[],MATCH(Tb_ProjectKosten[[#Headers],[Forfait_Percentage]],Tb_ProjectKosten[#Headers],0),0),AND(F1280="Arbeidskosten",G1280&lt;&gt;""),IFERROR(W1280*VLOOKUP(G1280,Tb_KostenTypen[],3,0)*VLOOKUP(F1280,Tb_ProjectKosten[],MATCH(Tb_ProjectKosten[[#Headers],[Forfait_Percentage]],Tb_ProjectKosten[#Headers],0),0),""),W1280 &lt;=0,0),"")</f>
        <v/>
      </c>
      <c r="AA1280" s="314" t="str" cm="1">
        <f t="array" aca="1" ref="AA1280" ca="1">IFERROR(_xlfn.IFS(OR(F1280="",LEFT(Methode_Keuze,4)="Geen",Methode_Keuze=""),"",AND(X1280&lt;&gt;"",F1280&lt;&gt;"Arbeidskosten"),X1280*VLOOKUP(F1280,Tb_ProjectKosten[],MATCH(Tb_ProjectKosten[[#Headers],[Forfait_Percentage]],Tb_ProjectKosten[#Headers],0),0),AND(F1280="Arbeidskosten",G1280&lt;&gt;""),IFERROR(X1280*VLOOKUP(G1280,Tb_KostenTypen[],3,0)*VLOOKUP(F1280,Tb_ProjectKosten[],MATCH(Tb_ProjectKosten[[#Headers],[Forfait_Percentage]],Tb_ProjectKosten[#Headers],0),0),""),X1280 &lt;=0,0),"")</f>
        <v/>
      </c>
      <c r="AB1280" s="314" t="str">
        <f t="shared" ca="1" si="79"/>
        <v/>
      </c>
      <c r="AC1280" s="322"/>
      <c r="AD1280" s="315"/>
      <c r="AE1280" s="32" t="str" cm="1">
        <f t="array" ref="AE1280">IFERROR(IF(INDEX(SubsidieTabel!$AD$1:$AG$12,MATCH($F1280,SubsidieTabel!$AD$1:$AD$12,0),IFERROR(MATCH(Methode_Keuze,SubsidieTabel!$AD$1:$AG$1,0),2))&lt;&gt;1=TRUE,"ja",""),"")</f>
        <v/>
      </c>
    </row>
    <row r="1281" spans="1:31" x14ac:dyDescent="0.25">
      <c r="A1281" s="316"/>
      <c r="B1281" s="317" t="str">
        <f>IF(A1281&lt;&gt;"",_xlfn.MAXIFS($B$1:B1280,$A$1:A1280,A1281)+1,"")</f>
        <v/>
      </c>
      <c r="C1281" s="296"/>
      <c r="D1281" s="296"/>
      <c r="E1281" s="296"/>
      <c r="F1281" s="296"/>
      <c r="G1281" s="326"/>
      <c r="H1281" s="324"/>
      <c r="I1281" s="325"/>
      <c r="J1281" s="325"/>
      <c r="K1281" s="318"/>
      <c r="L1281" s="318"/>
      <c r="M1281" s="319" t="str">
        <f>IFERROR(VLOOKUP(H1281,Lijsten!$H$1:$I$100,2,0),"")</f>
        <v/>
      </c>
      <c r="N1281" s="319" t="str">
        <f ca="1">IFERROR(IF(VLOOKUP(F1281,Kostentypen!$A$3:$E$21,3,0)=0,"",IF(OR(F1281="Arbeidskosten",F1281="Vergoeding"),VLOOKUP(G1281,Tb_KostenTypen[],2,0),VLOOKUP(F1281,Kostentypen!$A$3:$E$20,3,0))),"")</f>
        <v/>
      </c>
      <c r="O1281" s="320" t="str" cm="1">
        <f t="array" ref="O1281">_xlfn.IFNA(IF(INDEX(Tb_KostenOptiesDB[],MATCH($F1281,Tb_KostenOptiesDB[KostenOptie],0),IFERROR(MATCH(Methode_Keuze,Tb_KostenOptiesDB[#Headers],0),2))=1,_xlfn.SWITCH($N1281,"Uurtarief",IF(OR(AND(RIGHT($F1281,3)="IKS",VLOOKUP($M1281,DB_Loonkosten,2,0)="Ja"),AND(RIGHT($F1281,3)&lt;&gt;"IKS",VLOOKUP($M1281,DB_Loonkosten,2,0)="Nee")),IFERROR(VLOOKUP($M1281,DB_Loonkosten,24,0),""),0),"Vast tarief",IF(LEFT(F1281,8)="Bijdrage",VLOOKUP($F1281,Tb_KostenTypen[],MATCH(Lijsten!$P$1,Tb_KostenTypen[#Headers],0),0),VLOOKUP($G1281,Lijsten!L:P,MATCH(Lijsten!$P$1,Kop_Tarief_Vast,0),0))),""),"")</f>
        <v/>
      </c>
      <c r="P1281" s="320" t="str" cm="1">
        <f t="array" ref="P1281">_xlfn.IFNA(IF(INDEX(Tb_KostenOptiesDB[],MATCH($F1281,Tb_KostenOptiesDB[KostenOptie],0),IFERROR(MATCH(Methode_Keuze,Tb_KostenOptiesDB[#Headers],0),2))=1,_xlfn.SWITCH($N1281,"Uurtarief",IF(OR(AND(RIGHT($F1281,3)="IKS",VLOOKUP($M1281,DB_Loonkosten,2,0)="Ja"),AND(RIGHT($F1281,3)&lt;&gt;"IKS",VLOOKUP($M1281,DB_Loonkosten,2,0)="Nee")),IFERROR(VLOOKUP($M1281,DB_Loonkosten,25,0),""),0),"Vast tarief",IF(LEFT(F1281,8)="Bijdrage",VLOOKUP($F1281,Tb_KostenTypen[],MATCH(Lijsten!$P$1,Tb_KostenTypen[#Headers],0),0),VLOOKUP($G1281,Lijsten!L:P,MATCH(Lijsten!$P$1,Kop_Tarief_Vast,0),0))),""),"")</f>
        <v/>
      </c>
      <c r="Q1281" s="359"/>
      <c r="R1281" s="359"/>
      <c r="S1281" s="321"/>
      <c r="T1281" s="321"/>
      <c r="U1281" s="373" t="str">
        <f t="shared" si="76"/>
        <v/>
      </c>
      <c r="V1281" s="314" t="str">
        <f t="shared" si="77"/>
        <v/>
      </c>
      <c r="W1281" s="314" t="str" cm="1">
        <f t="array" aca="1" ref="W1281" ca="1">IFERROR(IF(AE1281&lt;&gt;"ja",_xlfn.IFNA(_xlfn.IFS(AND(O1281&lt;&gt;"",F1281&lt;&gt;"",RIGHT($N1281,6)="tarief",F1281="Vergoeding"),SUM(O1281)*FLOOR(SUM(Q1281),0.0001),AND(O1281&lt;&gt;"",F1281&lt;&gt;"",RIGHT($N1281,6)="tarief"),SUM(O1281)*FLOOR(SUM(Q1281),0.01),S1281&gt;0,IF(F1281&lt;&gt;"",FLOOR(SUM(S1281),0.01),"")),""),""),"")</f>
        <v/>
      </c>
      <c r="X1281" s="314" t="str" cm="1">
        <f t="array" aca="1" ref="X1281" ca="1">IFERROR(IF(AE1281&lt;&gt;"ja",_xlfn.IFNA(_xlfn.IFS(AND(P1281&lt;&gt;"",R1281&lt;&gt;"",RIGHT($N1281,6)="tarief",F1281="Vergoeding"),SUM(P1281)*FLOOR(SUM(R1281),0.0001),AND(P1281&lt;&gt;"",R1281&lt;&gt;"",RIGHT($N1281,6)="tarief"),P1281*FLOOR(R1281,0.01),T1281&gt;0,FLOOR(SUM(T1281),0.01)),""),""),"")</f>
        <v/>
      </c>
      <c r="Y1281" s="314" t="str">
        <f t="shared" ca="1" si="78"/>
        <v/>
      </c>
      <c r="Z1281" s="314" t="str" cm="1">
        <f t="array" aca="1" ref="Z1281" ca="1">IFERROR(_xlfn.IFS(OR(F1281="",LEFT(Methode_Keuze,4)="Geen",Methode_Keuze=""),"",AND(W1281&lt;&gt;"",F1281&lt;&gt;"Arbeidskosten"),W1281*VLOOKUP(F1281,Tb_ProjectKosten[],MATCH(Tb_ProjectKosten[[#Headers],[Forfait_Percentage]],Tb_ProjectKosten[#Headers],0),0),AND(F1281="Arbeidskosten",G1281&lt;&gt;""),IFERROR(W1281*VLOOKUP(G1281,Tb_KostenTypen[],3,0)*VLOOKUP(F1281,Tb_ProjectKosten[],MATCH(Tb_ProjectKosten[[#Headers],[Forfait_Percentage]],Tb_ProjectKosten[#Headers],0),0),""),W1281 &lt;=0,0),"")</f>
        <v/>
      </c>
      <c r="AA1281" s="314" t="str" cm="1">
        <f t="array" aca="1" ref="AA1281" ca="1">IFERROR(_xlfn.IFS(OR(F1281="",LEFT(Methode_Keuze,4)="Geen",Methode_Keuze=""),"",AND(X1281&lt;&gt;"",F1281&lt;&gt;"Arbeidskosten"),X1281*VLOOKUP(F1281,Tb_ProjectKosten[],MATCH(Tb_ProjectKosten[[#Headers],[Forfait_Percentage]],Tb_ProjectKosten[#Headers],0),0),AND(F1281="Arbeidskosten",G1281&lt;&gt;""),IFERROR(X1281*VLOOKUP(G1281,Tb_KostenTypen[],3,0)*VLOOKUP(F1281,Tb_ProjectKosten[],MATCH(Tb_ProjectKosten[[#Headers],[Forfait_Percentage]],Tb_ProjectKosten[#Headers],0),0),""),X1281 &lt;=0,0),"")</f>
        <v/>
      </c>
      <c r="AB1281" s="314" t="str">
        <f t="shared" ca="1" si="79"/>
        <v/>
      </c>
      <c r="AC1281" s="322"/>
      <c r="AD1281" s="315"/>
      <c r="AE1281" s="32" t="str" cm="1">
        <f t="array" ref="AE1281">IFERROR(IF(INDEX(SubsidieTabel!$AD$1:$AG$12,MATCH($F1281,SubsidieTabel!$AD$1:$AD$12,0),IFERROR(MATCH(Methode_Keuze,SubsidieTabel!$AD$1:$AG$1,0),2))&lt;&gt;1=TRUE,"ja",""),"")</f>
        <v/>
      </c>
    </row>
    <row r="1282" spans="1:31" x14ac:dyDescent="0.25">
      <c r="A1282" s="316"/>
      <c r="B1282" s="317" t="str">
        <f>IF(A1282&lt;&gt;"",_xlfn.MAXIFS($B$1:B1281,$A$1:A1281,A1282)+1,"")</f>
        <v/>
      </c>
      <c r="C1282" s="296"/>
      <c r="D1282" s="296"/>
      <c r="E1282" s="296"/>
      <c r="F1282" s="296"/>
      <c r="G1282" s="326"/>
      <c r="H1282" s="324"/>
      <c r="I1282" s="325"/>
      <c r="J1282" s="325"/>
      <c r="K1282" s="318"/>
      <c r="L1282" s="318"/>
      <c r="M1282" s="319" t="str">
        <f>IFERROR(VLOOKUP(H1282,Lijsten!$H$1:$I$100,2,0),"")</f>
        <v/>
      </c>
      <c r="N1282" s="319" t="str">
        <f ca="1">IFERROR(IF(VLOOKUP(F1282,Kostentypen!$A$3:$E$21,3,0)=0,"",IF(OR(F1282="Arbeidskosten",F1282="Vergoeding"),VLOOKUP(G1282,Tb_KostenTypen[],2,0),VLOOKUP(F1282,Kostentypen!$A$3:$E$20,3,0))),"")</f>
        <v/>
      </c>
      <c r="O1282" s="320" t="str" cm="1">
        <f t="array" ref="O1282">_xlfn.IFNA(IF(INDEX(Tb_KostenOptiesDB[],MATCH($F1282,Tb_KostenOptiesDB[KostenOptie],0),IFERROR(MATCH(Methode_Keuze,Tb_KostenOptiesDB[#Headers],0),2))=1,_xlfn.SWITCH($N1282,"Uurtarief",IF(OR(AND(RIGHT($F1282,3)="IKS",VLOOKUP($M1282,DB_Loonkosten,2,0)="Ja"),AND(RIGHT($F1282,3)&lt;&gt;"IKS",VLOOKUP($M1282,DB_Loonkosten,2,0)="Nee")),IFERROR(VLOOKUP($M1282,DB_Loonkosten,24,0),""),0),"Vast tarief",IF(LEFT(F1282,8)="Bijdrage",VLOOKUP($F1282,Tb_KostenTypen[],MATCH(Lijsten!$P$1,Tb_KostenTypen[#Headers],0),0),VLOOKUP($G1282,Lijsten!L:P,MATCH(Lijsten!$P$1,Kop_Tarief_Vast,0),0))),""),"")</f>
        <v/>
      </c>
      <c r="P1282" s="320" t="str" cm="1">
        <f t="array" ref="P1282">_xlfn.IFNA(IF(INDEX(Tb_KostenOptiesDB[],MATCH($F1282,Tb_KostenOptiesDB[KostenOptie],0),IFERROR(MATCH(Methode_Keuze,Tb_KostenOptiesDB[#Headers],0),2))=1,_xlfn.SWITCH($N1282,"Uurtarief",IF(OR(AND(RIGHT($F1282,3)="IKS",VLOOKUP($M1282,DB_Loonkosten,2,0)="Ja"),AND(RIGHT($F1282,3)&lt;&gt;"IKS",VLOOKUP($M1282,DB_Loonkosten,2,0)="Nee")),IFERROR(VLOOKUP($M1282,DB_Loonkosten,25,0),""),0),"Vast tarief",IF(LEFT(F1282,8)="Bijdrage",VLOOKUP($F1282,Tb_KostenTypen[],MATCH(Lijsten!$P$1,Tb_KostenTypen[#Headers],0),0),VLOOKUP($G1282,Lijsten!L:P,MATCH(Lijsten!$P$1,Kop_Tarief_Vast,0),0))),""),"")</f>
        <v/>
      </c>
      <c r="Q1282" s="359"/>
      <c r="R1282" s="359"/>
      <c r="S1282" s="321"/>
      <c r="T1282" s="321"/>
      <c r="U1282" s="373" t="str">
        <f t="shared" si="76"/>
        <v/>
      </c>
      <c r="V1282" s="314" t="str">
        <f t="shared" si="77"/>
        <v/>
      </c>
      <c r="W1282" s="314" t="str" cm="1">
        <f t="array" aca="1" ref="W1282" ca="1">IFERROR(IF(AE1282&lt;&gt;"ja",_xlfn.IFNA(_xlfn.IFS(AND(O1282&lt;&gt;"",F1282&lt;&gt;"",RIGHT($N1282,6)="tarief",F1282="Vergoeding"),SUM(O1282)*FLOOR(SUM(Q1282),0.0001),AND(O1282&lt;&gt;"",F1282&lt;&gt;"",RIGHT($N1282,6)="tarief"),SUM(O1282)*FLOOR(SUM(Q1282),0.01),S1282&gt;0,IF(F1282&lt;&gt;"",FLOOR(SUM(S1282),0.01),"")),""),""),"")</f>
        <v/>
      </c>
      <c r="X1282" s="314" t="str" cm="1">
        <f t="array" aca="1" ref="X1282" ca="1">IFERROR(IF(AE1282&lt;&gt;"ja",_xlfn.IFNA(_xlfn.IFS(AND(P1282&lt;&gt;"",R1282&lt;&gt;"",RIGHT($N1282,6)="tarief",F1282="Vergoeding"),SUM(P1282)*FLOOR(SUM(R1282),0.0001),AND(P1282&lt;&gt;"",R1282&lt;&gt;"",RIGHT($N1282,6)="tarief"),P1282*FLOOR(R1282,0.01),T1282&gt;0,FLOOR(SUM(T1282),0.01)),""),""),"")</f>
        <v/>
      </c>
      <c r="Y1282" s="314" t="str">
        <f t="shared" ca="1" si="78"/>
        <v/>
      </c>
      <c r="Z1282" s="314" t="str" cm="1">
        <f t="array" aca="1" ref="Z1282" ca="1">IFERROR(_xlfn.IFS(OR(F1282="",LEFT(Methode_Keuze,4)="Geen",Methode_Keuze=""),"",AND(W1282&lt;&gt;"",F1282&lt;&gt;"Arbeidskosten"),W1282*VLOOKUP(F1282,Tb_ProjectKosten[],MATCH(Tb_ProjectKosten[[#Headers],[Forfait_Percentage]],Tb_ProjectKosten[#Headers],0),0),AND(F1282="Arbeidskosten",G1282&lt;&gt;""),IFERROR(W1282*VLOOKUP(G1282,Tb_KostenTypen[],3,0)*VLOOKUP(F1282,Tb_ProjectKosten[],MATCH(Tb_ProjectKosten[[#Headers],[Forfait_Percentage]],Tb_ProjectKosten[#Headers],0),0),""),W1282 &lt;=0,0),"")</f>
        <v/>
      </c>
      <c r="AA1282" s="314" t="str" cm="1">
        <f t="array" aca="1" ref="AA1282" ca="1">IFERROR(_xlfn.IFS(OR(F1282="",LEFT(Methode_Keuze,4)="Geen",Methode_Keuze=""),"",AND(X1282&lt;&gt;"",F1282&lt;&gt;"Arbeidskosten"),X1282*VLOOKUP(F1282,Tb_ProjectKosten[],MATCH(Tb_ProjectKosten[[#Headers],[Forfait_Percentage]],Tb_ProjectKosten[#Headers],0),0),AND(F1282="Arbeidskosten",G1282&lt;&gt;""),IFERROR(X1282*VLOOKUP(G1282,Tb_KostenTypen[],3,0)*VLOOKUP(F1282,Tb_ProjectKosten[],MATCH(Tb_ProjectKosten[[#Headers],[Forfait_Percentage]],Tb_ProjectKosten[#Headers],0),0),""),X1282 &lt;=0,0),"")</f>
        <v/>
      </c>
      <c r="AB1282" s="314" t="str">
        <f t="shared" ca="1" si="79"/>
        <v/>
      </c>
      <c r="AC1282" s="322"/>
      <c r="AD1282" s="315"/>
      <c r="AE1282" s="32" t="str" cm="1">
        <f t="array" ref="AE1282">IFERROR(IF(INDEX(SubsidieTabel!$AD$1:$AG$12,MATCH($F1282,SubsidieTabel!$AD$1:$AD$12,0),IFERROR(MATCH(Methode_Keuze,SubsidieTabel!$AD$1:$AG$1,0),2))&lt;&gt;1=TRUE,"ja",""),"")</f>
        <v/>
      </c>
    </row>
    <row r="1283" spans="1:31" x14ac:dyDescent="0.25">
      <c r="A1283" s="316"/>
      <c r="B1283" s="317" t="str">
        <f>IF(A1283&lt;&gt;"",_xlfn.MAXIFS($B$1:B1282,$A$1:A1282,A1283)+1,"")</f>
        <v/>
      </c>
      <c r="C1283" s="296"/>
      <c r="D1283" s="296"/>
      <c r="E1283" s="296"/>
      <c r="F1283" s="296"/>
      <c r="G1283" s="326"/>
      <c r="H1283" s="324"/>
      <c r="I1283" s="325"/>
      <c r="J1283" s="325"/>
      <c r="K1283" s="318"/>
      <c r="L1283" s="318"/>
      <c r="M1283" s="319" t="str">
        <f>IFERROR(VLOOKUP(H1283,Lijsten!$H$1:$I$100,2,0),"")</f>
        <v/>
      </c>
      <c r="N1283" s="319" t="str">
        <f ca="1">IFERROR(IF(VLOOKUP(F1283,Kostentypen!$A$3:$E$21,3,0)=0,"",IF(OR(F1283="Arbeidskosten",F1283="Vergoeding"),VLOOKUP(G1283,Tb_KostenTypen[],2,0),VLOOKUP(F1283,Kostentypen!$A$3:$E$20,3,0))),"")</f>
        <v/>
      </c>
      <c r="O1283" s="320" t="str" cm="1">
        <f t="array" ref="O1283">_xlfn.IFNA(IF(INDEX(Tb_KostenOptiesDB[],MATCH($F1283,Tb_KostenOptiesDB[KostenOptie],0),IFERROR(MATCH(Methode_Keuze,Tb_KostenOptiesDB[#Headers],0),2))=1,_xlfn.SWITCH($N1283,"Uurtarief",IF(OR(AND(RIGHT($F1283,3)="IKS",VLOOKUP($M1283,DB_Loonkosten,2,0)="Ja"),AND(RIGHT($F1283,3)&lt;&gt;"IKS",VLOOKUP($M1283,DB_Loonkosten,2,0)="Nee")),IFERROR(VLOOKUP($M1283,DB_Loonkosten,24,0),""),0),"Vast tarief",IF(LEFT(F1283,8)="Bijdrage",VLOOKUP($F1283,Tb_KostenTypen[],MATCH(Lijsten!$P$1,Tb_KostenTypen[#Headers],0),0),VLOOKUP($G1283,Lijsten!L:P,MATCH(Lijsten!$P$1,Kop_Tarief_Vast,0),0))),""),"")</f>
        <v/>
      </c>
      <c r="P1283" s="320" t="str" cm="1">
        <f t="array" ref="P1283">_xlfn.IFNA(IF(INDEX(Tb_KostenOptiesDB[],MATCH($F1283,Tb_KostenOptiesDB[KostenOptie],0),IFERROR(MATCH(Methode_Keuze,Tb_KostenOptiesDB[#Headers],0),2))=1,_xlfn.SWITCH($N1283,"Uurtarief",IF(OR(AND(RIGHT($F1283,3)="IKS",VLOOKUP($M1283,DB_Loonkosten,2,0)="Ja"),AND(RIGHT($F1283,3)&lt;&gt;"IKS",VLOOKUP($M1283,DB_Loonkosten,2,0)="Nee")),IFERROR(VLOOKUP($M1283,DB_Loonkosten,25,0),""),0),"Vast tarief",IF(LEFT(F1283,8)="Bijdrage",VLOOKUP($F1283,Tb_KostenTypen[],MATCH(Lijsten!$P$1,Tb_KostenTypen[#Headers],0),0),VLOOKUP($G1283,Lijsten!L:P,MATCH(Lijsten!$P$1,Kop_Tarief_Vast,0),0))),""),"")</f>
        <v/>
      </c>
      <c r="Q1283" s="359"/>
      <c r="R1283" s="359"/>
      <c r="S1283" s="321"/>
      <c r="T1283" s="321"/>
      <c r="U1283" s="373" t="str">
        <f t="shared" ref="U1283:U1346" si="80">IFERROR(IF(AND(R1283&lt;&gt;"",R1283&lt;&gt;Q1283),-1*(R1283-Q1283),""),"")</f>
        <v/>
      </c>
      <c r="V1283" s="314" t="str">
        <f t="shared" ref="V1283:V1346" si="81">IFERROR(IF(AND(T1283&lt;&gt;"",T1283&lt;&gt;S1283),-1*(T1283-S1283),""),"")</f>
        <v/>
      </c>
      <c r="W1283" s="314" t="str" cm="1">
        <f t="array" aca="1" ref="W1283" ca="1">IFERROR(IF(AE1283&lt;&gt;"ja",_xlfn.IFNA(_xlfn.IFS(AND(O1283&lt;&gt;"",F1283&lt;&gt;"",RIGHT($N1283,6)="tarief",F1283="Vergoeding"),SUM(O1283)*FLOOR(SUM(Q1283),0.0001),AND(O1283&lt;&gt;"",F1283&lt;&gt;"",RIGHT($N1283,6)="tarief"),SUM(O1283)*FLOOR(SUM(Q1283),0.01),S1283&gt;0,IF(F1283&lt;&gt;"",FLOOR(SUM(S1283),0.01),"")),""),""),"")</f>
        <v/>
      </c>
      <c r="X1283" s="314" t="str" cm="1">
        <f t="array" aca="1" ref="X1283" ca="1">IFERROR(IF(AE1283&lt;&gt;"ja",_xlfn.IFNA(_xlfn.IFS(AND(P1283&lt;&gt;"",R1283&lt;&gt;"",RIGHT($N1283,6)="tarief",F1283="Vergoeding"),SUM(P1283)*FLOOR(SUM(R1283),0.0001),AND(P1283&lt;&gt;"",R1283&lt;&gt;"",RIGHT($N1283,6)="tarief"),P1283*FLOOR(R1283,0.01),T1283&gt;0,FLOOR(SUM(T1283),0.01)),""),""),"")</f>
        <v/>
      </c>
      <c r="Y1283" s="314" t="str">
        <f t="shared" ref="Y1283:Y1346" ca="1" si="82">IFERROR(IF(AND(X1283&lt;&gt;"",X1283&lt;&gt;W1283),-1*(X1283-W1283),""),"")</f>
        <v/>
      </c>
      <c r="Z1283" s="314" t="str" cm="1">
        <f t="array" aca="1" ref="Z1283" ca="1">IFERROR(_xlfn.IFS(OR(F1283="",LEFT(Methode_Keuze,4)="Geen",Methode_Keuze=""),"",AND(W1283&lt;&gt;"",F1283&lt;&gt;"Arbeidskosten"),W1283*VLOOKUP(F1283,Tb_ProjectKosten[],MATCH(Tb_ProjectKosten[[#Headers],[Forfait_Percentage]],Tb_ProjectKosten[#Headers],0),0),AND(F1283="Arbeidskosten",G1283&lt;&gt;""),IFERROR(W1283*VLOOKUP(G1283,Tb_KostenTypen[],3,0)*VLOOKUP(F1283,Tb_ProjectKosten[],MATCH(Tb_ProjectKosten[[#Headers],[Forfait_Percentage]],Tb_ProjectKosten[#Headers],0),0),""),W1283 &lt;=0,0),"")</f>
        <v/>
      </c>
      <c r="AA1283" s="314" t="str" cm="1">
        <f t="array" aca="1" ref="AA1283" ca="1">IFERROR(_xlfn.IFS(OR(F1283="",LEFT(Methode_Keuze,4)="Geen",Methode_Keuze=""),"",AND(X1283&lt;&gt;"",F1283&lt;&gt;"Arbeidskosten"),X1283*VLOOKUP(F1283,Tb_ProjectKosten[],MATCH(Tb_ProjectKosten[[#Headers],[Forfait_Percentage]],Tb_ProjectKosten[#Headers],0),0),AND(F1283="Arbeidskosten",G1283&lt;&gt;""),IFERROR(X1283*VLOOKUP(G1283,Tb_KostenTypen[],3,0)*VLOOKUP(F1283,Tb_ProjectKosten[],MATCH(Tb_ProjectKosten[[#Headers],[Forfait_Percentage]],Tb_ProjectKosten[#Headers],0),0),""),X1283 &lt;=0,0),"")</f>
        <v/>
      </c>
      <c r="AB1283" s="314" t="str">
        <f t="shared" ref="AB1283:AB1346" ca="1" si="83">IFERROR(IF(AND(AA1283&lt;&gt;"",AA1283&lt;&gt;Z1283),-1*(AA1283-Z1283),""),"")</f>
        <v/>
      </c>
      <c r="AC1283" s="322"/>
      <c r="AD1283" s="315"/>
      <c r="AE1283" s="32" t="str" cm="1">
        <f t="array" ref="AE1283">IFERROR(IF(INDEX(SubsidieTabel!$AD$1:$AG$12,MATCH($F1283,SubsidieTabel!$AD$1:$AD$12,0),IFERROR(MATCH(Methode_Keuze,SubsidieTabel!$AD$1:$AG$1,0),2))&lt;&gt;1=TRUE,"ja",""),"")</f>
        <v/>
      </c>
    </row>
    <row r="1284" spans="1:31" x14ac:dyDescent="0.25">
      <c r="A1284" s="316"/>
      <c r="B1284" s="317" t="str">
        <f>IF(A1284&lt;&gt;"",_xlfn.MAXIFS($B$1:B1283,$A$1:A1283,A1284)+1,"")</f>
        <v/>
      </c>
      <c r="C1284" s="296"/>
      <c r="D1284" s="296"/>
      <c r="E1284" s="296"/>
      <c r="F1284" s="296"/>
      <c r="G1284" s="326"/>
      <c r="H1284" s="324"/>
      <c r="I1284" s="325"/>
      <c r="J1284" s="325"/>
      <c r="K1284" s="318"/>
      <c r="L1284" s="318"/>
      <c r="M1284" s="319" t="str">
        <f>IFERROR(VLOOKUP(H1284,Lijsten!$H$1:$I$100,2,0),"")</f>
        <v/>
      </c>
      <c r="N1284" s="319" t="str">
        <f ca="1">IFERROR(IF(VLOOKUP(F1284,Kostentypen!$A$3:$E$21,3,0)=0,"",IF(OR(F1284="Arbeidskosten",F1284="Vergoeding"),VLOOKUP(G1284,Tb_KostenTypen[],2,0),VLOOKUP(F1284,Kostentypen!$A$3:$E$20,3,0))),"")</f>
        <v/>
      </c>
      <c r="O1284" s="320" t="str" cm="1">
        <f t="array" ref="O1284">_xlfn.IFNA(IF(INDEX(Tb_KostenOptiesDB[],MATCH($F1284,Tb_KostenOptiesDB[KostenOptie],0),IFERROR(MATCH(Methode_Keuze,Tb_KostenOptiesDB[#Headers],0),2))=1,_xlfn.SWITCH($N1284,"Uurtarief",IF(OR(AND(RIGHT($F1284,3)="IKS",VLOOKUP($M1284,DB_Loonkosten,2,0)="Ja"),AND(RIGHT($F1284,3)&lt;&gt;"IKS",VLOOKUP($M1284,DB_Loonkosten,2,0)="Nee")),IFERROR(VLOOKUP($M1284,DB_Loonkosten,24,0),""),0),"Vast tarief",IF(LEFT(F1284,8)="Bijdrage",VLOOKUP($F1284,Tb_KostenTypen[],MATCH(Lijsten!$P$1,Tb_KostenTypen[#Headers],0),0),VLOOKUP($G1284,Lijsten!L:P,MATCH(Lijsten!$P$1,Kop_Tarief_Vast,0),0))),""),"")</f>
        <v/>
      </c>
      <c r="P1284" s="320" t="str" cm="1">
        <f t="array" ref="P1284">_xlfn.IFNA(IF(INDEX(Tb_KostenOptiesDB[],MATCH($F1284,Tb_KostenOptiesDB[KostenOptie],0),IFERROR(MATCH(Methode_Keuze,Tb_KostenOptiesDB[#Headers],0),2))=1,_xlfn.SWITCH($N1284,"Uurtarief",IF(OR(AND(RIGHT($F1284,3)="IKS",VLOOKUP($M1284,DB_Loonkosten,2,0)="Ja"),AND(RIGHT($F1284,3)&lt;&gt;"IKS",VLOOKUP($M1284,DB_Loonkosten,2,0)="Nee")),IFERROR(VLOOKUP($M1284,DB_Loonkosten,25,0),""),0),"Vast tarief",IF(LEFT(F1284,8)="Bijdrage",VLOOKUP($F1284,Tb_KostenTypen[],MATCH(Lijsten!$P$1,Tb_KostenTypen[#Headers],0),0),VLOOKUP($G1284,Lijsten!L:P,MATCH(Lijsten!$P$1,Kop_Tarief_Vast,0),0))),""),"")</f>
        <v/>
      </c>
      <c r="Q1284" s="359"/>
      <c r="R1284" s="359"/>
      <c r="S1284" s="321"/>
      <c r="T1284" s="321"/>
      <c r="U1284" s="373" t="str">
        <f t="shared" si="80"/>
        <v/>
      </c>
      <c r="V1284" s="314" t="str">
        <f t="shared" si="81"/>
        <v/>
      </c>
      <c r="W1284" s="314" t="str" cm="1">
        <f t="array" aca="1" ref="W1284" ca="1">IFERROR(IF(AE1284&lt;&gt;"ja",_xlfn.IFNA(_xlfn.IFS(AND(O1284&lt;&gt;"",F1284&lt;&gt;"",RIGHT($N1284,6)="tarief",F1284="Vergoeding"),SUM(O1284)*FLOOR(SUM(Q1284),0.0001),AND(O1284&lt;&gt;"",F1284&lt;&gt;"",RIGHT($N1284,6)="tarief"),SUM(O1284)*FLOOR(SUM(Q1284),0.01),S1284&gt;0,IF(F1284&lt;&gt;"",FLOOR(SUM(S1284),0.01),"")),""),""),"")</f>
        <v/>
      </c>
      <c r="X1284" s="314" t="str" cm="1">
        <f t="array" aca="1" ref="X1284" ca="1">IFERROR(IF(AE1284&lt;&gt;"ja",_xlfn.IFNA(_xlfn.IFS(AND(P1284&lt;&gt;"",R1284&lt;&gt;"",RIGHT($N1284,6)="tarief",F1284="Vergoeding"),SUM(P1284)*FLOOR(SUM(R1284),0.0001),AND(P1284&lt;&gt;"",R1284&lt;&gt;"",RIGHT($N1284,6)="tarief"),P1284*FLOOR(R1284,0.01),T1284&gt;0,FLOOR(SUM(T1284),0.01)),""),""),"")</f>
        <v/>
      </c>
      <c r="Y1284" s="314" t="str">
        <f t="shared" ca="1" si="82"/>
        <v/>
      </c>
      <c r="Z1284" s="314" t="str" cm="1">
        <f t="array" aca="1" ref="Z1284" ca="1">IFERROR(_xlfn.IFS(OR(F1284="",LEFT(Methode_Keuze,4)="Geen",Methode_Keuze=""),"",AND(W1284&lt;&gt;"",F1284&lt;&gt;"Arbeidskosten"),W1284*VLOOKUP(F1284,Tb_ProjectKosten[],MATCH(Tb_ProjectKosten[[#Headers],[Forfait_Percentage]],Tb_ProjectKosten[#Headers],0),0),AND(F1284="Arbeidskosten",G1284&lt;&gt;""),IFERROR(W1284*VLOOKUP(G1284,Tb_KostenTypen[],3,0)*VLOOKUP(F1284,Tb_ProjectKosten[],MATCH(Tb_ProjectKosten[[#Headers],[Forfait_Percentage]],Tb_ProjectKosten[#Headers],0),0),""),W1284 &lt;=0,0),"")</f>
        <v/>
      </c>
      <c r="AA1284" s="314" t="str" cm="1">
        <f t="array" aca="1" ref="AA1284" ca="1">IFERROR(_xlfn.IFS(OR(F1284="",LEFT(Methode_Keuze,4)="Geen",Methode_Keuze=""),"",AND(X1284&lt;&gt;"",F1284&lt;&gt;"Arbeidskosten"),X1284*VLOOKUP(F1284,Tb_ProjectKosten[],MATCH(Tb_ProjectKosten[[#Headers],[Forfait_Percentage]],Tb_ProjectKosten[#Headers],0),0),AND(F1284="Arbeidskosten",G1284&lt;&gt;""),IFERROR(X1284*VLOOKUP(G1284,Tb_KostenTypen[],3,0)*VLOOKUP(F1284,Tb_ProjectKosten[],MATCH(Tb_ProjectKosten[[#Headers],[Forfait_Percentage]],Tb_ProjectKosten[#Headers],0),0),""),X1284 &lt;=0,0),"")</f>
        <v/>
      </c>
      <c r="AB1284" s="314" t="str">
        <f t="shared" ca="1" si="83"/>
        <v/>
      </c>
      <c r="AC1284" s="322"/>
      <c r="AD1284" s="315"/>
      <c r="AE1284" s="32" t="str" cm="1">
        <f t="array" ref="AE1284">IFERROR(IF(INDEX(SubsidieTabel!$AD$1:$AG$12,MATCH($F1284,SubsidieTabel!$AD$1:$AD$12,0),IFERROR(MATCH(Methode_Keuze,SubsidieTabel!$AD$1:$AG$1,0),2))&lt;&gt;1=TRUE,"ja",""),"")</f>
        <v/>
      </c>
    </row>
    <row r="1285" spans="1:31" x14ac:dyDescent="0.25">
      <c r="A1285" s="316"/>
      <c r="B1285" s="317" t="str">
        <f>IF(A1285&lt;&gt;"",_xlfn.MAXIFS($B$1:B1284,$A$1:A1284,A1285)+1,"")</f>
        <v/>
      </c>
      <c r="C1285" s="296"/>
      <c r="D1285" s="296"/>
      <c r="E1285" s="296"/>
      <c r="F1285" s="296"/>
      <c r="G1285" s="326"/>
      <c r="H1285" s="324"/>
      <c r="I1285" s="325"/>
      <c r="J1285" s="325"/>
      <c r="K1285" s="318"/>
      <c r="L1285" s="318"/>
      <c r="M1285" s="319" t="str">
        <f>IFERROR(VLOOKUP(H1285,Lijsten!$H$1:$I$100,2,0),"")</f>
        <v/>
      </c>
      <c r="N1285" s="319" t="str">
        <f ca="1">IFERROR(IF(VLOOKUP(F1285,Kostentypen!$A$3:$E$21,3,0)=0,"",IF(OR(F1285="Arbeidskosten",F1285="Vergoeding"),VLOOKUP(G1285,Tb_KostenTypen[],2,0),VLOOKUP(F1285,Kostentypen!$A$3:$E$20,3,0))),"")</f>
        <v/>
      </c>
      <c r="O1285" s="320" t="str" cm="1">
        <f t="array" ref="O1285">_xlfn.IFNA(IF(INDEX(Tb_KostenOptiesDB[],MATCH($F1285,Tb_KostenOptiesDB[KostenOptie],0),IFERROR(MATCH(Methode_Keuze,Tb_KostenOptiesDB[#Headers],0),2))=1,_xlfn.SWITCH($N1285,"Uurtarief",IF(OR(AND(RIGHT($F1285,3)="IKS",VLOOKUP($M1285,DB_Loonkosten,2,0)="Ja"),AND(RIGHT($F1285,3)&lt;&gt;"IKS",VLOOKUP($M1285,DB_Loonkosten,2,0)="Nee")),IFERROR(VLOOKUP($M1285,DB_Loonkosten,24,0),""),0),"Vast tarief",IF(LEFT(F1285,8)="Bijdrage",VLOOKUP($F1285,Tb_KostenTypen[],MATCH(Lijsten!$P$1,Tb_KostenTypen[#Headers],0),0),VLOOKUP($G1285,Lijsten!L:P,MATCH(Lijsten!$P$1,Kop_Tarief_Vast,0),0))),""),"")</f>
        <v/>
      </c>
      <c r="P1285" s="320" t="str" cm="1">
        <f t="array" ref="P1285">_xlfn.IFNA(IF(INDEX(Tb_KostenOptiesDB[],MATCH($F1285,Tb_KostenOptiesDB[KostenOptie],0),IFERROR(MATCH(Methode_Keuze,Tb_KostenOptiesDB[#Headers],0),2))=1,_xlfn.SWITCH($N1285,"Uurtarief",IF(OR(AND(RIGHT($F1285,3)="IKS",VLOOKUP($M1285,DB_Loonkosten,2,0)="Ja"),AND(RIGHT($F1285,3)&lt;&gt;"IKS",VLOOKUP($M1285,DB_Loonkosten,2,0)="Nee")),IFERROR(VLOOKUP($M1285,DB_Loonkosten,25,0),""),0),"Vast tarief",IF(LEFT(F1285,8)="Bijdrage",VLOOKUP($F1285,Tb_KostenTypen[],MATCH(Lijsten!$P$1,Tb_KostenTypen[#Headers],0),0),VLOOKUP($G1285,Lijsten!L:P,MATCH(Lijsten!$P$1,Kop_Tarief_Vast,0),0))),""),"")</f>
        <v/>
      </c>
      <c r="Q1285" s="359"/>
      <c r="R1285" s="359"/>
      <c r="S1285" s="321"/>
      <c r="T1285" s="321"/>
      <c r="U1285" s="373" t="str">
        <f t="shared" si="80"/>
        <v/>
      </c>
      <c r="V1285" s="314" t="str">
        <f t="shared" si="81"/>
        <v/>
      </c>
      <c r="W1285" s="314" t="str" cm="1">
        <f t="array" aca="1" ref="W1285" ca="1">IFERROR(IF(AE1285&lt;&gt;"ja",_xlfn.IFNA(_xlfn.IFS(AND(O1285&lt;&gt;"",F1285&lt;&gt;"",RIGHT($N1285,6)="tarief",F1285="Vergoeding"),SUM(O1285)*FLOOR(SUM(Q1285),0.0001),AND(O1285&lt;&gt;"",F1285&lt;&gt;"",RIGHT($N1285,6)="tarief"),SUM(O1285)*FLOOR(SUM(Q1285),0.01),S1285&gt;0,IF(F1285&lt;&gt;"",FLOOR(SUM(S1285),0.01),"")),""),""),"")</f>
        <v/>
      </c>
      <c r="X1285" s="314" t="str" cm="1">
        <f t="array" aca="1" ref="X1285" ca="1">IFERROR(IF(AE1285&lt;&gt;"ja",_xlfn.IFNA(_xlfn.IFS(AND(P1285&lt;&gt;"",R1285&lt;&gt;"",RIGHT($N1285,6)="tarief",F1285="Vergoeding"),SUM(P1285)*FLOOR(SUM(R1285),0.0001),AND(P1285&lt;&gt;"",R1285&lt;&gt;"",RIGHT($N1285,6)="tarief"),P1285*FLOOR(R1285,0.01),T1285&gt;0,FLOOR(SUM(T1285),0.01)),""),""),"")</f>
        <v/>
      </c>
      <c r="Y1285" s="314" t="str">
        <f t="shared" ca="1" si="82"/>
        <v/>
      </c>
      <c r="Z1285" s="314" t="str" cm="1">
        <f t="array" aca="1" ref="Z1285" ca="1">IFERROR(_xlfn.IFS(OR(F1285="",LEFT(Methode_Keuze,4)="Geen",Methode_Keuze=""),"",AND(W1285&lt;&gt;"",F1285&lt;&gt;"Arbeidskosten"),W1285*VLOOKUP(F1285,Tb_ProjectKosten[],MATCH(Tb_ProjectKosten[[#Headers],[Forfait_Percentage]],Tb_ProjectKosten[#Headers],0),0),AND(F1285="Arbeidskosten",G1285&lt;&gt;""),IFERROR(W1285*VLOOKUP(G1285,Tb_KostenTypen[],3,0)*VLOOKUP(F1285,Tb_ProjectKosten[],MATCH(Tb_ProjectKosten[[#Headers],[Forfait_Percentage]],Tb_ProjectKosten[#Headers],0),0),""),W1285 &lt;=0,0),"")</f>
        <v/>
      </c>
      <c r="AA1285" s="314" t="str" cm="1">
        <f t="array" aca="1" ref="AA1285" ca="1">IFERROR(_xlfn.IFS(OR(F1285="",LEFT(Methode_Keuze,4)="Geen",Methode_Keuze=""),"",AND(X1285&lt;&gt;"",F1285&lt;&gt;"Arbeidskosten"),X1285*VLOOKUP(F1285,Tb_ProjectKosten[],MATCH(Tb_ProjectKosten[[#Headers],[Forfait_Percentage]],Tb_ProjectKosten[#Headers],0),0),AND(F1285="Arbeidskosten",G1285&lt;&gt;""),IFERROR(X1285*VLOOKUP(G1285,Tb_KostenTypen[],3,0)*VLOOKUP(F1285,Tb_ProjectKosten[],MATCH(Tb_ProjectKosten[[#Headers],[Forfait_Percentage]],Tb_ProjectKosten[#Headers],0),0),""),X1285 &lt;=0,0),"")</f>
        <v/>
      </c>
      <c r="AB1285" s="314" t="str">
        <f t="shared" ca="1" si="83"/>
        <v/>
      </c>
      <c r="AC1285" s="322"/>
      <c r="AD1285" s="315"/>
      <c r="AE1285" s="32" t="str" cm="1">
        <f t="array" ref="AE1285">IFERROR(IF(INDEX(SubsidieTabel!$AD$1:$AG$12,MATCH($F1285,SubsidieTabel!$AD$1:$AD$12,0),IFERROR(MATCH(Methode_Keuze,SubsidieTabel!$AD$1:$AG$1,0),2))&lt;&gt;1=TRUE,"ja",""),"")</f>
        <v/>
      </c>
    </row>
    <row r="1286" spans="1:31" x14ac:dyDescent="0.25">
      <c r="A1286" s="316"/>
      <c r="B1286" s="317" t="str">
        <f>IF(A1286&lt;&gt;"",_xlfn.MAXIFS($B$1:B1285,$A$1:A1285,A1286)+1,"")</f>
        <v/>
      </c>
      <c r="C1286" s="296"/>
      <c r="D1286" s="296"/>
      <c r="E1286" s="296"/>
      <c r="F1286" s="296"/>
      <c r="G1286" s="326"/>
      <c r="H1286" s="324"/>
      <c r="I1286" s="325"/>
      <c r="J1286" s="325"/>
      <c r="K1286" s="318"/>
      <c r="L1286" s="318"/>
      <c r="M1286" s="319" t="str">
        <f>IFERROR(VLOOKUP(H1286,Lijsten!$H$1:$I$100,2,0),"")</f>
        <v/>
      </c>
      <c r="N1286" s="319" t="str">
        <f ca="1">IFERROR(IF(VLOOKUP(F1286,Kostentypen!$A$3:$E$21,3,0)=0,"",IF(OR(F1286="Arbeidskosten",F1286="Vergoeding"),VLOOKUP(G1286,Tb_KostenTypen[],2,0),VLOOKUP(F1286,Kostentypen!$A$3:$E$20,3,0))),"")</f>
        <v/>
      </c>
      <c r="O1286" s="320" t="str" cm="1">
        <f t="array" ref="O1286">_xlfn.IFNA(IF(INDEX(Tb_KostenOptiesDB[],MATCH($F1286,Tb_KostenOptiesDB[KostenOptie],0),IFERROR(MATCH(Methode_Keuze,Tb_KostenOptiesDB[#Headers],0),2))=1,_xlfn.SWITCH($N1286,"Uurtarief",IF(OR(AND(RIGHT($F1286,3)="IKS",VLOOKUP($M1286,DB_Loonkosten,2,0)="Ja"),AND(RIGHT($F1286,3)&lt;&gt;"IKS",VLOOKUP($M1286,DB_Loonkosten,2,0)="Nee")),IFERROR(VLOOKUP($M1286,DB_Loonkosten,24,0),""),0),"Vast tarief",IF(LEFT(F1286,8)="Bijdrage",VLOOKUP($F1286,Tb_KostenTypen[],MATCH(Lijsten!$P$1,Tb_KostenTypen[#Headers],0),0),VLOOKUP($G1286,Lijsten!L:P,MATCH(Lijsten!$P$1,Kop_Tarief_Vast,0),0))),""),"")</f>
        <v/>
      </c>
      <c r="P1286" s="320" t="str" cm="1">
        <f t="array" ref="P1286">_xlfn.IFNA(IF(INDEX(Tb_KostenOptiesDB[],MATCH($F1286,Tb_KostenOptiesDB[KostenOptie],0),IFERROR(MATCH(Methode_Keuze,Tb_KostenOptiesDB[#Headers],0),2))=1,_xlfn.SWITCH($N1286,"Uurtarief",IF(OR(AND(RIGHT($F1286,3)="IKS",VLOOKUP($M1286,DB_Loonkosten,2,0)="Ja"),AND(RIGHT($F1286,3)&lt;&gt;"IKS",VLOOKUP($M1286,DB_Loonkosten,2,0)="Nee")),IFERROR(VLOOKUP($M1286,DB_Loonkosten,25,0),""),0),"Vast tarief",IF(LEFT(F1286,8)="Bijdrage",VLOOKUP($F1286,Tb_KostenTypen[],MATCH(Lijsten!$P$1,Tb_KostenTypen[#Headers],0),0),VLOOKUP($G1286,Lijsten!L:P,MATCH(Lijsten!$P$1,Kop_Tarief_Vast,0),0))),""),"")</f>
        <v/>
      </c>
      <c r="Q1286" s="359"/>
      <c r="R1286" s="359"/>
      <c r="S1286" s="321"/>
      <c r="T1286" s="321"/>
      <c r="U1286" s="373" t="str">
        <f t="shared" si="80"/>
        <v/>
      </c>
      <c r="V1286" s="314" t="str">
        <f t="shared" si="81"/>
        <v/>
      </c>
      <c r="W1286" s="314" t="str" cm="1">
        <f t="array" aca="1" ref="W1286" ca="1">IFERROR(IF(AE1286&lt;&gt;"ja",_xlfn.IFNA(_xlfn.IFS(AND(O1286&lt;&gt;"",F1286&lt;&gt;"",RIGHT($N1286,6)="tarief",F1286="Vergoeding"),SUM(O1286)*FLOOR(SUM(Q1286),0.0001),AND(O1286&lt;&gt;"",F1286&lt;&gt;"",RIGHT($N1286,6)="tarief"),SUM(O1286)*FLOOR(SUM(Q1286),0.01),S1286&gt;0,IF(F1286&lt;&gt;"",FLOOR(SUM(S1286),0.01),"")),""),""),"")</f>
        <v/>
      </c>
      <c r="X1286" s="314" t="str" cm="1">
        <f t="array" aca="1" ref="X1286" ca="1">IFERROR(IF(AE1286&lt;&gt;"ja",_xlfn.IFNA(_xlfn.IFS(AND(P1286&lt;&gt;"",R1286&lt;&gt;"",RIGHT($N1286,6)="tarief",F1286="Vergoeding"),SUM(P1286)*FLOOR(SUM(R1286),0.0001),AND(P1286&lt;&gt;"",R1286&lt;&gt;"",RIGHT($N1286,6)="tarief"),P1286*FLOOR(R1286,0.01),T1286&gt;0,FLOOR(SUM(T1286),0.01)),""),""),"")</f>
        <v/>
      </c>
      <c r="Y1286" s="314" t="str">
        <f t="shared" ca="1" si="82"/>
        <v/>
      </c>
      <c r="Z1286" s="314" t="str" cm="1">
        <f t="array" aca="1" ref="Z1286" ca="1">IFERROR(_xlfn.IFS(OR(F1286="",LEFT(Methode_Keuze,4)="Geen",Methode_Keuze=""),"",AND(W1286&lt;&gt;"",F1286&lt;&gt;"Arbeidskosten"),W1286*VLOOKUP(F1286,Tb_ProjectKosten[],MATCH(Tb_ProjectKosten[[#Headers],[Forfait_Percentage]],Tb_ProjectKosten[#Headers],0),0),AND(F1286="Arbeidskosten",G1286&lt;&gt;""),IFERROR(W1286*VLOOKUP(G1286,Tb_KostenTypen[],3,0)*VLOOKUP(F1286,Tb_ProjectKosten[],MATCH(Tb_ProjectKosten[[#Headers],[Forfait_Percentage]],Tb_ProjectKosten[#Headers],0),0),""),W1286 &lt;=0,0),"")</f>
        <v/>
      </c>
      <c r="AA1286" s="314" t="str" cm="1">
        <f t="array" aca="1" ref="AA1286" ca="1">IFERROR(_xlfn.IFS(OR(F1286="",LEFT(Methode_Keuze,4)="Geen",Methode_Keuze=""),"",AND(X1286&lt;&gt;"",F1286&lt;&gt;"Arbeidskosten"),X1286*VLOOKUP(F1286,Tb_ProjectKosten[],MATCH(Tb_ProjectKosten[[#Headers],[Forfait_Percentage]],Tb_ProjectKosten[#Headers],0),0),AND(F1286="Arbeidskosten",G1286&lt;&gt;""),IFERROR(X1286*VLOOKUP(G1286,Tb_KostenTypen[],3,0)*VLOOKUP(F1286,Tb_ProjectKosten[],MATCH(Tb_ProjectKosten[[#Headers],[Forfait_Percentage]],Tb_ProjectKosten[#Headers],0),0),""),X1286 &lt;=0,0),"")</f>
        <v/>
      </c>
      <c r="AB1286" s="314" t="str">
        <f t="shared" ca="1" si="83"/>
        <v/>
      </c>
      <c r="AC1286" s="322"/>
      <c r="AD1286" s="315"/>
      <c r="AE1286" s="32" t="str" cm="1">
        <f t="array" ref="AE1286">IFERROR(IF(INDEX(SubsidieTabel!$AD$1:$AG$12,MATCH($F1286,SubsidieTabel!$AD$1:$AD$12,0),IFERROR(MATCH(Methode_Keuze,SubsidieTabel!$AD$1:$AG$1,0),2))&lt;&gt;1=TRUE,"ja",""),"")</f>
        <v/>
      </c>
    </row>
    <row r="1287" spans="1:31" x14ac:dyDescent="0.25">
      <c r="A1287" s="316"/>
      <c r="B1287" s="317" t="str">
        <f>IF(A1287&lt;&gt;"",_xlfn.MAXIFS($B$1:B1286,$A$1:A1286,A1287)+1,"")</f>
        <v/>
      </c>
      <c r="C1287" s="296"/>
      <c r="D1287" s="296"/>
      <c r="E1287" s="296"/>
      <c r="F1287" s="296"/>
      <c r="G1287" s="326"/>
      <c r="H1287" s="324"/>
      <c r="I1287" s="325"/>
      <c r="J1287" s="325"/>
      <c r="K1287" s="318"/>
      <c r="L1287" s="318"/>
      <c r="M1287" s="319" t="str">
        <f>IFERROR(VLOOKUP(H1287,Lijsten!$H$1:$I$100,2,0),"")</f>
        <v/>
      </c>
      <c r="N1287" s="319" t="str">
        <f ca="1">IFERROR(IF(VLOOKUP(F1287,Kostentypen!$A$3:$E$21,3,0)=0,"",IF(OR(F1287="Arbeidskosten",F1287="Vergoeding"),VLOOKUP(G1287,Tb_KostenTypen[],2,0),VLOOKUP(F1287,Kostentypen!$A$3:$E$20,3,0))),"")</f>
        <v/>
      </c>
      <c r="O1287" s="320" t="str" cm="1">
        <f t="array" ref="O1287">_xlfn.IFNA(IF(INDEX(Tb_KostenOptiesDB[],MATCH($F1287,Tb_KostenOptiesDB[KostenOptie],0),IFERROR(MATCH(Methode_Keuze,Tb_KostenOptiesDB[#Headers],0),2))=1,_xlfn.SWITCH($N1287,"Uurtarief",IF(OR(AND(RIGHT($F1287,3)="IKS",VLOOKUP($M1287,DB_Loonkosten,2,0)="Ja"),AND(RIGHT($F1287,3)&lt;&gt;"IKS",VLOOKUP($M1287,DB_Loonkosten,2,0)="Nee")),IFERROR(VLOOKUP($M1287,DB_Loonkosten,24,0),""),0),"Vast tarief",IF(LEFT(F1287,8)="Bijdrage",VLOOKUP($F1287,Tb_KostenTypen[],MATCH(Lijsten!$P$1,Tb_KostenTypen[#Headers],0),0),VLOOKUP($G1287,Lijsten!L:P,MATCH(Lijsten!$P$1,Kop_Tarief_Vast,0),0))),""),"")</f>
        <v/>
      </c>
      <c r="P1287" s="320" t="str" cm="1">
        <f t="array" ref="P1287">_xlfn.IFNA(IF(INDEX(Tb_KostenOptiesDB[],MATCH($F1287,Tb_KostenOptiesDB[KostenOptie],0),IFERROR(MATCH(Methode_Keuze,Tb_KostenOptiesDB[#Headers],0),2))=1,_xlfn.SWITCH($N1287,"Uurtarief",IF(OR(AND(RIGHT($F1287,3)="IKS",VLOOKUP($M1287,DB_Loonkosten,2,0)="Ja"),AND(RIGHT($F1287,3)&lt;&gt;"IKS",VLOOKUP($M1287,DB_Loonkosten,2,0)="Nee")),IFERROR(VLOOKUP($M1287,DB_Loonkosten,25,0),""),0),"Vast tarief",IF(LEFT(F1287,8)="Bijdrage",VLOOKUP($F1287,Tb_KostenTypen[],MATCH(Lijsten!$P$1,Tb_KostenTypen[#Headers],0),0),VLOOKUP($G1287,Lijsten!L:P,MATCH(Lijsten!$P$1,Kop_Tarief_Vast,0),0))),""),"")</f>
        <v/>
      </c>
      <c r="Q1287" s="359"/>
      <c r="R1287" s="359"/>
      <c r="S1287" s="321"/>
      <c r="T1287" s="321"/>
      <c r="U1287" s="373" t="str">
        <f t="shared" si="80"/>
        <v/>
      </c>
      <c r="V1287" s="314" t="str">
        <f t="shared" si="81"/>
        <v/>
      </c>
      <c r="W1287" s="314" t="str" cm="1">
        <f t="array" aca="1" ref="W1287" ca="1">IFERROR(IF(AE1287&lt;&gt;"ja",_xlfn.IFNA(_xlfn.IFS(AND(O1287&lt;&gt;"",F1287&lt;&gt;"",RIGHT($N1287,6)="tarief",F1287="Vergoeding"),SUM(O1287)*FLOOR(SUM(Q1287),0.0001),AND(O1287&lt;&gt;"",F1287&lt;&gt;"",RIGHT($N1287,6)="tarief"),SUM(O1287)*FLOOR(SUM(Q1287),0.01),S1287&gt;0,IF(F1287&lt;&gt;"",FLOOR(SUM(S1287),0.01),"")),""),""),"")</f>
        <v/>
      </c>
      <c r="X1287" s="314" t="str" cm="1">
        <f t="array" aca="1" ref="X1287" ca="1">IFERROR(IF(AE1287&lt;&gt;"ja",_xlfn.IFNA(_xlfn.IFS(AND(P1287&lt;&gt;"",R1287&lt;&gt;"",RIGHT($N1287,6)="tarief",F1287="Vergoeding"),SUM(P1287)*FLOOR(SUM(R1287),0.0001),AND(P1287&lt;&gt;"",R1287&lt;&gt;"",RIGHT($N1287,6)="tarief"),P1287*FLOOR(R1287,0.01),T1287&gt;0,FLOOR(SUM(T1287),0.01)),""),""),"")</f>
        <v/>
      </c>
      <c r="Y1287" s="314" t="str">
        <f t="shared" ca="1" si="82"/>
        <v/>
      </c>
      <c r="Z1287" s="314" t="str" cm="1">
        <f t="array" aca="1" ref="Z1287" ca="1">IFERROR(_xlfn.IFS(OR(F1287="",LEFT(Methode_Keuze,4)="Geen",Methode_Keuze=""),"",AND(W1287&lt;&gt;"",F1287&lt;&gt;"Arbeidskosten"),W1287*VLOOKUP(F1287,Tb_ProjectKosten[],MATCH(Tb_ProjectKosten[[#Headers],[Forfait_Percentage]],Tb_ProjectKosten[#Headers],0),0),AND(F1287="Arbeidskosten",G1287&lt;&gt;""),IFERROR(W1287*VLOOKUP(G1287,Tb_KostenTypen[],3,0)*VLOOKUP(F1287,Tb_ProjectKosten[],MATCH(Tb_ProjectKosten[[#Headers],[Forfait_Percentage]],Tb_ProjectKosten[#Headers],0),0),""),W1287 &lt;=0,0),"")</f>
        <v/>
      </c>
      <c r="AA1287" s="314" t="str" cm="1">
        <f t="array" aca="1" ref="AA1287" ca="1">IFERROR(_xlfn.IFS(OR(F1287="",LEFT(Methode_Keuze,4)="Geen",Methode_Keuze=""),"",AND(X1287&lt;&gt;"",F1287&lt;&gt;"Arbeidskosten"),X1287*VLOOKUP(F1287,Tb_ProjectKosten[],MATCH(Tb_ProjectKosten[[#Headers],[Forfait_Percentage]],Tb_ProjectKosten[#Headers],0),0),AND(F1287="Arbeidskosten",G1287&lt;&gt;""),IFERROR(X1287*VLOOKUP(G1287,Tb_KostenTypen[],3,0)*VLOOKUP(F1287,Tb_ProjectKosten[],MATCH(Tb_ProjectKosten[[#Headers],[Forfait_Percentage]],Tb_ProjectKosten[#Headers],0),0),""),X1287 &lt;=0,0),"")</f>
        <v/>
      </c>
      <c r="AB1287" s="314" t="str">
        <f t="shared" ca="1" si="83"/>
        <v/>
      </c>
      <c r="AC1287" s="322"/>
      <c r="AD1287" s="315"/>
      <c r="AE1287" s="32" t="str" cm="1">
        <f t="array" ref="AE1287">IFERROR(IF(INDEX(SubsidieTabel!$AD$1:$AG$12,MATCH($F1287,SubsidieTabel!$AD$1:$AD$12,0),IFERROR(MATCH(Methode_Keuze,SubsidieTabel!$AD$1:$AG$1,0),2))&lt;&gt;1=TRUE,"ja",""),"")</f>
        <v/>
      </c>
    </row>
    <row r="1288" spans="1:31" x14ac:dyDescent="0.25">
      <c r="A1288" s="316"/>
      <c r="B1288" s="317" t="str">
        <f>IF(A1288&lt;&gt;"",_xlfn.MAXIFS($B$1:B1287,$A$1:A1287,A1288)+1,"")</f>
        <v/>
      </c>
      <c r="C1288" s="296"/>
      <c r="D1288" s="296"/>
      <c r="E1288" s="296"/>
      <c r="F1288" s="296"/>
      <c r="G1288" s="326"/>
      <c r="H1288" s="324"/>
      <c r="I1288" s="325"/>
      <c r="J1288" s="325"/>
      <c r="K1288" s="318"/>
      <c r="L1288" s="318"/>
      <c r="M1288" s="319" t="str">
        <f>IFERROR(VLOOKUP(H1288,Lijsten!$H$1:$I$100,2,0),"")</f>
        <v/>
      </c>
      <c r="N1288" s="319" t="str">
        <f ca="1">IFERROR(IF(VLOOKUP(F1288,Kostentypen!$A$3:$E$21,3,0)=0,"",IF(OR(F1288="Arbeidskosten",F1288="Vergoeding"),VLOOKUP(G1288,Tb_KostenTypen[],2,0),VLOOKUP(F1288,Kostentypen!$A$3:$E$20,3,0))),"")</f>
        <v/>
      </c>
      <c r="O1288" s="320" t="str" cm="1">
        <f t="array" ref="O1288">_xlfn.IFNA(IF(INDEX(Tb_KostenOptiesDB[],MATCH($F1288,Tb_KostenOptiesDB[KostenOptie],0),IFERROR(MATCH(Methode_Keuze,Tb_KostenOptiesDB[#Headers],0),2))=1,_xlfn.SWITCH($N1288,"Uurtarief",IF(OR(AND(RIGHT($F1288,3)="IKS",VLOOKUP($M1288,DB_Loonkosten,2,0)="Ja"),AND(RIGHT($F1288,3)&lt;&gt;"IKS",VLOOKUP($M1288,DB_Loonkosten,2,0)="Nee")),IFERROR(VLOOKUP($M1288,DB_Loonkosten,24,0),""),0),"Vast tarief",IF(LEFT(F1288,8)="Bijdrage",VLOOKUP($F1288,Tb_KostenTypen[],MATCH(Lijsten!$P$1,Tb_KostenTypen[#Headers],0),0),VLOOKUP($G1288,Lijsten!L:P,MATCH(Lijsten!$P$1,Kop_Tarief_Vast,0),0))),""),"")</f>
        <v/>
      </c>
      <c r="P1288" s="320" t="str" cm="1">
        <f t="array" ref="P1288">_xlfn.IFNA(IF(INDEX(Tb_KostenOptiesDB[],MATCH($F1288,Tb_KostenOptiesDB[KostenOptie],0),IFERROR(MATCH(Methode_Keuze,Tb_KostenOptiesDB[#Headers],0),2))=1,_xlfn.SWITCH($N1288,"Uurtarief",IF(OR(AND(RIGHT($F1288,3)="IKS",VLOOKUP($M1288,DB_Loonkosten,2,0)="Ja"),AND(RIGHT($F1288,3)&lt;&gt;"IKS",VLOOKUP($M1288,DB_Loonkosten,2,0)="Nee")),IFERROR(VLOOKUP($M1288,DB_Loonkosten,25,0),""),0),"Vast tarief",IF(LEFT(F1288,8)="Bijdrage",VLOOKUP($F1288,Tb_KostenTypen[],MATCH(Lijsten!$P$1,Tb_KostenTypen[#Headers],0),0),VLOOKUP($G1288,Lijsten!L:P,MATCH(Lijsten!$P$1,Kop_Tarief_Vast,0),0))),""),"")</f>
        <v/>
      </c>
      <c r="Q1288" s="359"/>
      <c r="R1288" s="359"/>
      <c r="S1288" s="321"/>
      <c r="T1288" s="321"/>
      <c r="U1288" s="373" t="str">
        <f t="shared" si="80"/>
        <v/>
      </c>
      <c r="V1288" s="314" t="str">
        <f t="shared" si="81"/>
        <v/>
      </c>
      <c r="W1288" s="314" t="str" cm="1">
        <f t="array" aca="1" ref="W1288" ca="1">IFERROR(IF(AE1288&lt;&gt;"ja",_xlfn.IFNA(_xlfn.IFS(AND(O1288&lt;&gt;"",F1288&lt;&gt;"",RIGHT($N1288,6)="tarief",F1288="Vergoeding"),SUM(O1288)*FLOOR(SUM(Q1288),0.0001),AND(O1288&lt;&gt;"",F1288&lt;&gt;"",RIGHT($N1288,6)="tarief"),SUM(O1288)*FLOOR(SUM(Q1288),0.01),S1288&gt;0,IF(F1288&lt;&gt;"",FLOOR(SUM(S1288),0.01),"")),""),""),"")</f>
        <v/>
      </c>
      <c r="X1288" s="314" t="str" cm="1">
        <f t="array" aca="1" ref="X1288" ca="1">IFERROR(IF(AE1288&lt;&gt;"ja",_xlfn.IFNA(_xlfn.IFS(AND(P1288&lt;&gt;"",R1288&lt;&gt;"",RIGHT($N1288,6)="tarief",F1288="Vergoeding"),SUM(P1288)*FLOOR(SUM(R1288),0.0001),AND(P1288&lt;&gt;"",R1288&lt;&gt;"",RIGHT($N1288,6)="tarief"),P1288*FLOOR(R1288,0.01),T1288&gt;0,FLOOR(SUM(T1288),0.01)),""),""),"")</f>
        <v/>
      </c>
      <c r="Y1288" s="314" t="str">
        <f t="shared" ca="1" si="82"/>
        <v/>
      </c>
      <c r="Z1288" s="314" t="str" cm="1">
        <f t="array" aca="1" ref="Z1288" ca="1">IFERROR(_xlfn.IFS(OR(F1288="",LEFT(Methode_Keuze,4)="Geen",Methode_Keuze=""),"",AND(W1288&lt;&gt;"",F1288&lt;&gt;"Arbeidskosten"),W1288*VLOOKUP(F1288,Tb_ProjectKosten[],MATCH(Tb_ProjectKosten[[#Headers],[Forfait_Percentage]],Tb_ProjectKosten[#Headers],0),0),AND(F1288="Arbeidskosten",G1288&lt;&gt;""),IFERROR(W1288*VLOOKUP(G1288,Tb_KostenTypen[],3,0)*VLOOKUP(F1288,Tb_ProjectKosten[],MATCH(Tb_ProjectKosten[[#Headers],[Forfait_Percentage]],Tb_ProjectKosten[#Headers],0),0),""),W1288 &lt;=0,0),"")</f>
        <v/>
      </c>
      <c r="AA1288" s="314" t="str" cm="1">
        <f t="array" aca="1" ref="AA1288" ca="1">IFERROR(_xlfn.IFS(OR(F1288="",LEFT(Methode_Keuze,4)="Geen",Methode_Keuze=""),"",AND(X1288&lt;&gt;"",F1288&lt;&gt;"Arbeidskosten"),X1288*VLOOKUP(F1288,Tb_ProjectKosten[],MATCH(Tb_ProjectKosten[[#Headers],[Forfait_Percentage]],Tb_ProjectKosten[#Headers],0),0),AND(F1288="Arbeidskosten",G1288&lt;&gt;""),IFERROR(X1288*VLOOKUP(G1288,Tb_KostenTypen[],3,0)*VLOOKUP(F1288,Tb_ProjectKosten[],MATCH(Tb_ProjectKosten[[#Headers],[Forfait_Percentage]],Tb_ProjectKosten[#Headers],0),0),""),X1288 &lt;=0,0),"")</f>
        <v/>
      </c>
      <c r="AB1288" s="314" t="str">
        <f t="shared" ca="1" si="83"/>
        <v/>
      </c>
      <c r="AC1288" s="322"/>
      <c r="AD1288" s="315"/>
      <c r="AE1288" s="32" t="str" cm="1">
        <f t="array" ref="AE1288">IFERROR(IF(INDEX(SubsidieTabel!$AD$1:$AG$12,MATCH($F1288,SubsidieTabel!$AD$1:$AD$12,0),IFERROR(MATCH(Methode_Keuze,SubsidieTabel!$AD$1:$AG$1,0),2))&lt;&gt;1=TRUE,"ja",""),"")</f>
        <v/>
      </c>
    </row>
    <row r="1289" spans="1:31" x14ac:dyDescent="0.25">
      <c r="A1289" s="316"/>
      <c r="B1289" s="317" t="str">
        <f>IF(A1289&lt;&gt;"",_xlfn.MAXIFS($B$1:B1288,$A$1:A1288,A1289)+1,"")</f>
        <v/>
      </c>
      <c r="C1289" s="296"/>
      <c r="D1289" s="296"/>
      <c r="E1289" s="296"/>
      <c r="F1289" s="296"/>
      <c r="G1289" s="326"/>
      <c r="H1289" s="324"/>
      <c r="I1289" s="325"/>
      <c r="J1289" s="325"/>
      <c r="K1289" s="318"/>
      <c r="L1289" s="318"/>
      <c r="M1289" s="319" t="str">
        <f>IFERROR(VLOOKUP(H1289,Lijsten!$H$1:$I$100,2,0),"")</f>
        <v/>
      </c>
      <c r="N1289" s="319" t="str">
        <f ca="1">IFERROR(IF(VLOOKUP(F1289,Kostentypen!$A$3:$E$21,3,0)=0,"",IF(OR(F1289="Arbeidskosten",F1289="Vergoeding"),VLOOKUP(G1289,Tb_KostenTypen[],2,0),VLOOKUP(F1289,Kostentypen!$A$3:$E$20,3,0))),"")</f>
        <v/>
      </c>
      <c r="O1289" s="320" t="str" cm="1">
        <f t="array" ref="O1289">_xlfn.IFNA(IF(INDEX(Tb_KostenOptiesDB[],MATCH($F1289,Tb_KostenOptiesDB[KostenOptie],0),IFERROR(MATCH(Methode_Keuze,Tb_KostenOptiesDB[#Headers],0),2))=1,_xlfn.SWITCH($N1289,"Uurtarief",IF(OR(AND(RIGHT($F1289,3)="IKS",VLOOKUP($M1289,DB_Loonkosten,2,0)="Ja"),AND(RIGHT($F1289,3)&lt;&gt;"IKS",VLOOKUP($M1289,DB_Loonkosten,2,0)="Nee")),IFERROR(VLOOKUP($M1289,DB_Loonkosten,24,0),""),0),"Vast tarief",IF(LEFT(F1289,8)="Bijdrage",VLOOKUP($F1289,Tb_KostenTypen[],MATCH(Lijsten!$P$1,Tb_KostenTypen[#Headers],0),0),VLOOKUP($G1289,Lijsten!L:P,MATCH(Lijsten!$P$1,Kop_Tarief_Vast,0),0))),""),"")</f>
        <v/>
      </c>
      <c r="P1289" s="320" t="str" cm="1">
        <f t="array" ref="P1289">_xlfn.IFNA(IF(INDEX(Tb_KostenOptiesDB[],MATCH($F1289,Tb_KostenOptiesDB[KostenOptie],0),IFERROR(MATCH(Methode_Keuze,Tb_KostenOptiesDB[#Headers],0),2))=1,_xlfn.SWITCH($N1289,"Uurtarief",IF(OR(AND(RIGHT($F1289,3)="IKS",VLOOKUP($M1289,DB_Loonkosten,2,0)="Ja"),AND(RIGHT($F1289,3)&lt;&gt;"IKS",VLOOKUP($M1289,DB_Loonkosten,2,0)="Nee")),IFERROR(VLOOKUP($M1289,DB_Loonkosten,25,0),""),0),"Vast tarief",IF(LEFT(F1289,8)="Bijdrage",VLOOKUP($F1289,Tb_KostenTypen[],MATCH(Lijsten!$P$1,Tb_KostenTypen[#Headers],0),0),VLOOKUP($G1289,Lijsten!L:P,MATCH(Lijsten!$P$1,Kop_Tarief_Vast,0),0))),""),"")</f>
        <v/>
      </c>
      <c r="Q1289" s="359"/>
      <c r="R1289" s="359"/>
      <c r="S1289" s="321"/>
      <c r="T1289" s="321"/>
      <c r="U1289" s="373" t="str">
        <f t="shared" si="80"/>
        <v/>
      </c>
      <c r="V1289" s="314" t="str">
        <f t="shared" si="81"/>
        <v/>
      </c>
      <c r="W1289" s="314" t="str" cm="1">
        <f t="array" aca="1" ref="W1289" ca="1">IFERROR(IF(AE1289&lt;&gt;"ja",_xlfn.IFNA(_xlfn.IFS(AND(O1289&lt;&gt;"",F1289&lt;&gt;"",RIGHT($N1289,6)="tarief",F1289="Vergoeding"),SUM(O1289)*FLOOR(SUM(Q1289),0.0001),AND(O1289&lt;&gt;"",F1289&lt;&gt;"",RIGHT($N1289,6)="tarief"),SUM(O1289)*FLOOR(SUM(Q1289),0.01),S1289&gt;0,IF(F1289&lt;&gt;"",FLOOR(SUM(S1289),0.01),"")),""),""),"")</f>
        <v/>
      </c>
      <c r="X1289" s="314" t="str" cm="1">
        <f t="array" aca="1" ref="X1289" ca="1">IFERROR(IF(AE1289&lt;&gt;"ja",_xlfn.IFNA(_xlfn.IFS(AND(P1289&lt;&gt;"",R1289&lt;&gt;"",RIGHT($N1289,6)="tarief",F1289="Vergoeding"),SUM(P1289)*FLOOR(SUM(R1289),0.0001),AND(P1289&lt;&gt;"",R1289&lt;&gt;"",RIGHT($N1289,6)="tarief"),P1289*FLOOR(R1289,0.01),T1289&gt;0,FLOOR(SUM(T1289),0.01)),""),""),"")</f>
        <v/>
      </c>
      <c r="Y1289" s="314" t="str">
        <f t="shared" ca="1" si="82"/>
        <v/>
      </c>
      <c r="Z1289" s="314" t="str" cm="1">
        <f t="array" aca="1" ref="Z1289" ca="1">IFERROR(_xlfn.IFS(OR(F1289="",LEFT(Methode_Keuze,4)="Geen",Methode_Keuze=""),"",AND(W1289&lt;&gt;"",F1289&lt;&gt;"Arbeidskosten"),W1289*VLOOKUP(F1289,Tb_ProjectKosten[],MATCH(Tb_ProjectKosten[[#Headers],[Forfait_Percentage]],Tb_ProjectKosten[#Headers],0),0),AND(F1289="Arbeidskosten",G1289&lt;&gt;""),IFERROR(W1289*VLOOKUP(G1289,Tb_KostenTypen[],3,0)*VLOOKUP(F1289,Tb_ProjectKosten[],MATCH(Tb_ProjectKosten[[#Headers],[Forfait_Percentage]],Tb_ProjectKosten[#Headers],0),0),""),W1289 &lt;=0,0),"")</f>
        <v/>
      </c>
      <c r="AA1289" s="314" t="str" cm="1">
        <f t="array" aca="1" ref="AA1289" ca="1">IFERROR(_xlfn.IFS(OR(F1289="",LEFT(Methode_Keuze,4)="Geen",Methode_Keuze=""),"",AND(X1289&lt;&gt;"",F1289&lt;&gt;"Arbeidskosten"),X1289*VLOOKUP(F1289,Tb_ProjectKosten[],MATCH(Tb_ProjectKosten[[#Headers],[Forfait_Percentage]],Tb_ProjectKosten[#Headers],0),0),AND(F1289="Arbeidskosten",G1289&lt;&gt;""),IFERROR(X1289*VLOOKUP(G1289,Tb_KostenTypen[],3,0)*VLOOKUP(F1289,Tb_ProjectKosten[],MATCH(Tb_ProjectKosten[[#Headers],[Forfait_Percentage]],Tb_ProjectKosten[#Headers],0),0),""),X1289 &lt;=0,0),"")</f>
        <v/>
      </c>
      <c r="AB1289" s="314" t="str">
        <f t="shared" ca="1" si="83"/>
        <v/>
      </c>
      <c r="AC1289" s="322"/>
      <c r="AD1289" s="315"/>
      <c r="AE1289" s="32" t="str" cm="1">
        <f t="array" ref="AE1289">IFERROR(IF(INDEX(SubsidieTabel!$AD$1:$AG$12,MATCH($F1289,SubsidieTabel!$AD$1:$AD$12,0),IFERROR(MATCH(Methode_Keuze,SubsidieTabel!$AD$1:$AG$1,0),2))&lt;&gt;1=TRUE,"ja",""),"")</f>
        <v/>
      </c>
    </row>
    <row r="1290" spans="1:31" x14ac:dyDescent="0.25">
      <c r="A1290" s="316"/>
      <c r="B1290" s="317" t="str">
        <f>IF(A1290&lt;&gt;"",_xlfn.MAXIFS($B$1:B1289,$A$1:A1289,A1290)+1,"")</f>
        <v/>
      </c>
      <c r="C1290" s="296"/>
      <c r="D1290" s="296"/>
      <c r="E1290" s="296"/>
      <c r="F1290" s="296"/>
      <c r="G1290" s="326"/>
      <c r="H1290" s="324"/>
      <c r="I1290" s="325"/>
      <c r="J1290" s="325"/>
      <c r="K1290" s="318"/>
      <c r="L1290" s="318"/>
      <c r="M1290" s="319" t="str">
        <f>IFERROR(VLOOKUP(H1290,Lijsten!$H$1:$I$100,2,0),"")</f>
        <v/>
      </c>
      <c r="N1290" s="319" t="str">
        <f ca="1">IFERROR(IF(VLOOKUP(F1290,Kostentypen!$A$3:$E$21,3,0)=0,"",IF(OR(F1290="Arbeidskosten",F1290="Vergoeding"),VLOOKUP(G1290,Tb_KostenTypen[],2,0),VLOOKUP(F1290,Kostentypen!$A$3:$E$20,3,0))),"")</f>
        <v/>
      </c>
      <c r="O1290" s="320" t="str" cm="1">
        <f t="array" ref="O1290">_xlfn.IFNA(IF(INDEX(Tb_KostenOptiesDB[],MATCH($F1290,Tb_KostenOptiesDB[KostenOptie],0),IFERROR(MATCH(Methode_Keuze,Tb_KostenOptiesDB[#Headers],0),2))=1,_xlfn.SWITCH($N1290,"Uurtarief",IF(OR(AND(RIGHT($F1290,3)="IKS",VLOOKUP($M1290,DB_Loonkosten,2,0)="Ja"),AND(RIGHT($F1290,3)&lt;&gt;"IKS",VLOOKUP($M1290,DB_Loonkosten,2,0)="Nee")),IFERROR(VLOOKUP($M1290,DB_Loonkosten,24,0),""),0),"Vast tarief",IF(LEFT(F1290,8)="Bijdrage",VLOOKUP($F1290,Tb_KostenTypen[],MATCH(Lijsten!$P$1,Tb_KostenTypen[#Headers],0),0),VLOOKUP($G1290,Lijsten!L:P,MATCH(Lijsten!$P$1,Kop_Tarief_Vast,0),0))),""),"")</f>
        <v/>
      </c>
      <c r="P1290" s="320" t="str" cm="1">
        <f t="array" ref="P1290">_xlfn.IFNA(IF(INDEX(Tb_KostenOptiesDB[],MATCH($F1290,Tb_KostenOptiesDB[KostenOptie],0),IFERROR(MATCH(Methode_Keuze,Tb_KostenOptiesDB[#Headers],0),2))=1,_xlfn.SWITCH($N1290,"Uurtarief",IF(OR(AND(RIGHT($F1290,3)="IKS",VLOOKUP($M1290,DB_Loonkosten,2,0)="Ja"),AND(RIGHT($F1290,3)&lt;&gt;"IKS",VLOOKUP($M1290,DB_Loonkosten,2,0)="Nee")),IFERROR(VLOOKUP($M1290,DB_Loonkosten,25,0),""),0),"Vast tarief",IF(LEFT(F1290,8)="Bijdrage",VLOOKUP($F1290,Tb_KostenTypen[],MATCH(Lijsten!$P$1,Tb_KostenTypen[#Headers],0),0),VLOOKUP($G1290,Lijsten!L:P,MATCH(Lijsten!$P$1,Kop_Tarief_Vast,0),0))),""),"")</f>
        <v/>
      </c>
      <c r="Q1290" s="359"/>
      <c r="R1290" s="359"/>
      <c r="S1290" s="321"/>
      <c r="T1290" s="321"/>
      <c r="U1290" s="373" t="str">
        <f t="shared" si="80"/>
        <v/>
      </c>
      <c r="V1290" s="314" t="str">
        <f t="shared" si="81"/>
        <v/>
      </c>
      <c r="W1290" s="314" t="str" cm="1">
        <f t="array" aca="1" ref="W1290" ca="1">IFERROR(IF(AE1290&lt;&gt;"ja",_xlfn.IFNA(_xlfn.IFS(AND(O1290&lt;&gt;"",F1290&lt;&gt;"",RIGHT($N1290,6)="tarief",F1290="Vergoeding"),SUM(O1290)*FLOOR(SUM(Q1290),0.0001),AND(O1290&lt;&gt;"",F1290&lt;&gt;"",RIGHT($N1290,6)="tarief"),SUM(O1290)*FLOOR(SUM(Q1290),0.01),S1290&gt;0,IF(F1290&lt;&gt;"",FLOOR(SUM(S1290),0.01),"")),""),""),"")</f>
        <v/>
      </c>
      <c r="X1290" s="314" t="str" cm="1">
        <f t="array" aca="1" ref="X1290" ca="1">IFERROR(IF(AE1290&lt;&gt;"ja",_xlfn.IFNA(_xlfn.IFS(AND(P1290&lt;&gt;"",R1290&lt;&gt;"",RIGHT($N1290,6)="tarief",F1290="Vergoeding"),SUM(P1290)*FLOOR(SUM(R1290),0.0001),AND(P1290&lt;&gt;"",R1290&lt;&gt;"",RIGHT($N1290,6)="tarief"),P1290*FLOOR(R1290,0.01),T1290&gt;0,FLOOR(SUM(T1290),0.01)),""),""),"")</f>
        <v/>
      </c>
      <c r="Y1290" s="314" t="str">
        <f t="shared" ca="1" si="82"/>
        <v/>
      </c>
      <c r="Z1290" s="314" t="str" cm="1">
        <f t="array" aca="1" ref="Z1290" ca="1">IFERROR(_xlfn.IFS(OR(F1290="",LEFT(Methode_Keuze,4)="Geen",Methode_Keuze=""),"",AND(W1290&lt;&gt;"",F1290&lt;&gt;"Arbeidskosten"),W1290*VLOOKUP(F1290,Tb_ProjectKosten[],MATCH(Tb_ProjectKosten[[#Headers],[Forfait_Percentage]],Tb_ProjectKosten[#Headers],0),0),AND(F1290="Arbeidskosten",G1290&lt;&gt;""),IFERROR(W1290*VLOOKUP(G1290,Tb_KostenTypen[],3,0)*VLOOKUP(F1290,Tb_ProjectKosten[],MATCH(Tb_ProjectKosten[[#Headers],[Forfait_Percentage]],Tb_ProjectKosten[#Headers],0),0),""),W1290 &lt;=0,0),"")</f>
        <v/>
      </c>
      <c r="AA1290" s="314" t="str" cm="1">
        <f t="array" aca="1" ref="AA1290" ca="1">IFERROR(_xlfn.IFS(OR(F1290="",LEFT(Methode_Keuze,4)="Geen",Methode_Keuze=""),"",AND(X1290&lt;&gt;"",F1290&lt;&gt;"Arbeidskosten"),X1290*VLOOKUP(F1290,Tb_ProjectKosten[],MATCH(Tb_ProjectKosten[[#Headers],[Forfait_Percentage]],Tb_ProjectKosten[#Headers],0),0),AND(F1290="Arbeidskosten",G1290&lt;&gt;""),IFERROR(X1290*VLOOKUP(G1290,Tb_KostenTypen[],3,0)*VLOOKUP(F1290,Tb_ProjectKosten[],MATCH(Tb_ProjectKosten[[#Headers],[Forfait_Percentage]],Tb_ProjectKosten[#Headers],0),0),""),X1290 &lt;=0,0),"")</f>
        <v/>
      </c>
      <c r="AB1290" s="314" t="str">
        <f t="shared" ca="1" si="83"/>
        <v/>
      </c>
      <c r="AC1290" s="322"/>
      <c r="AD1290" s="315"/>
      <c r="AE1290" s="32" t="str" cm="1">
        <f t="array" ref="AE1290">IFERROR(IF(INDEX(SubsidieTabel!$AD$1:$AG$12,MATCH($F1290,SubsidieTabel!$AD$1:$AD$12,0),IFERROR(MATCH(Methode_Keuze,SubsidieTabel!$AD$1:$AG$1,0),2))&lt;&gt;1=TRUE,"ja",""),"")</f>
        <v/>
      </c>
    </row>
    <row r="1291" spans="1:31" x14ac:dyDescent="0.25">
      <c r="A1291" s="316"/>
      <c r="B1291" s="317" t="str">
        <f>IF(A1291&lt;&gt;"",_xlfn.MAXIFS($B$1:B1290,$A$1:A1290,A1291)+1,"")</f>
        <v/>
      </c>
      <c r="C1291" s="296"/>
      <c r="D1291" s="296"/>
      <c r="E1291" s="296"/>
      <c r="F1291" s="296"/>
      <c r="G1291" s="326"/>
      <c r="H1291" s="324"/>
      <c r="I1291" s="325"/>
      <c r="J1291" s="325"/>
      <c r="K1291" s="318"/>
      <c r="L1291" s="318"/>
      <c r="M1291" s="319" t="str">
        <f>IFERROR(VLOOKUP(H1291,Lijsten!$H$1:$I$100,2,0),"")</f>
        <v/>
      </c>
      <c r="N1291" s="319" t="str">
        <f ca="1">IFERROR(IF(VLOOKUP(F1291,Kostentypen!$A$3:$E$21,3,0)=0,"",IF(OR(F1291="Arbeidskosten",F1291="Vergoeding"),VLOOKUP(G1291,Tb_KostenTypen[],2,0),VLOOKUP(F1291,Kostentypen!$A$3:$E$20,3,0))),"")</f>
        <v/>
      </c>
      <c r="O1291" s="320" t="str" cm="1">
        <f t="array" ref="O1291">_xlfn.IFNA(IF(INDEX(Tb_KostenOptiesDB[],MATCH($F1291,Tb_KostenOptiesDB[KostenOptie],0),IFERROR(MATCH(Methode_Keuze,Tb_KostenOptiesDB[#Headers],0),2))=1,_xlfn.SWITCH($N1291,"Uurtarief",IF(OR(AND(RIGHT($F1291,3)="IKS",VLOOKUP($M1291,DB_Loonkosten,2,0)="Ja"),AND(RIGHT($F1291,3)&lt;&gt;"IKS",VLOOKUP($M1291,DB_Loonkosten,2,0)="Nee")),IFERROR(VLOOKUP($M1291,DB_Loonkosten,24,0),""),0),"Vast tarief",IF(LEFT(F1291,8)="Bijdrage",VLOOKUP($F1291,Tb_KostenTypen[],MATCH(Lijsten!$P$1,Tb_KostenTypen[#Headers],0),0),VLOOKUP($G1291,Lijsten!L:P,MATCH(Lijsten!$P$1,Kop_Tarief_Vast,0),0))),""),"")</f>
        <v/>
      </c>
      <c r="P1291" s="320" t="str" cm="1">
        <f t="array" ref="P1291">_xlfn.IFNA(IF(INDEX(Tb_KostenOptiesDB[],MATCH($F1291,Tb_KostenOptiesDB[KostenOptie],0),IFERROR(MATCH(Methode_Keuze,Tb_KostenOptiesDB[#Headers],0),2))=1,_xlfn.SWITCH($N1291,"Uurtarief",IF(OR(AND(RIGHT($F1291,3)="IKS",VLOOKUP($M1291,DB_Loonkosten,2,0)="Ja"),AND(RIGHT($F1291,3)&lt;&gt;"IKS",VLOOKUP($M1291,DB_Loonkosten,2,0)="Nee")),IFERROR(VLOOKUP($M1291,DB_Loonkosten,25,0),""),0),"Vast tarief",IF(LEFT(F1291,8)="Bijdrage",VLOOKUP($F1291,Tb_KostenTypen[],MATCH(Lijsten!$P$1,Tb_KostenTypen[#Headers],0),0),VLOOKUP($G1291,Lijsten!L:P,MATCH(Lijsten!$P$1,Kop_Tarief_Vast,0),0))),""),"")</f>
        <v/>
      </c>
      <c r="Q1291" s="359"/>
      <c r="R1291" s="359"/>
      <c r="S1291" s="321"/>
      <c r="T1291" s="321"/>
      <c r="U1291" s="373" t="str">
        <f t="shared" si="80"/>
        <v/>
      </c>
      <c r="V1291" s="314" t="str">
        <f t="shared" si="81"/>
        <v/>
      </c>
      <c r="W1291" s="314" t="str" cm="1">
        <f t="array" aca="1" ref="W1291" ca="1">IFERROR(IF(AE1291&lt;&gt;"ja",_xlfn.IFNA(_xlfn.IFS(AND(O1291&lt;&gt;"",F1291&lt;&gt;"",RIGHT($N1291,6)="tarief",F1291="Vergoeding"),SUM(O1291)*FLOOR(SUM(Q1291),0.0001),AND(O1291&lt;&gt;"",F1291&lt;&gt;"",RIGHT($N1291,6)="tarief"),SUM(O1291)*FLOOR(SUM(Q1291),0.01),S1291&gt;0,IF(F1291&lt;&gt;"",FLOOR(SUM(S1291),0.01),"")),""),""),"")</f>
        <v/>
      </c>
      <c r="X1291" s="314" t="str" cm="1">
        <f t="array" aca="1" ref="X1291" ca="1">IFERROR(IF(AE1291&lt;&gt;"ja",_xlfn.IFNA(_xlfn.IFS(AND(P1291&lt;&gt;"",R1291&lt;&gt;"",RIGHT($N1291,6)="tarief",F1291="Vergoeding"),SUM(P1291)*FLOOR(SUM(R1291),0.0001),AND(P1291&lt;&gt;"",R1291&lt;&gt;"",RIGHT($N1291,6)="tarief"),P1291*FLOOR(R1291,0.01),T1291&gt;0,FLOOR(SUM(T1291),0.01)),""),""),"")</f>
        <v/>
      </c>
      <c r="Y1291" s="314" t="str">
        <f t="shared" ca="1" si="82"/>
        <v/>
      </c>
      <c r="Z1291" s="314" t="str" cm="1">
        <f t="array" aca="1" ref="Z1291" ca="1">IFERROR(_xlfn.IFS(OR(F1291="",LEFT(Methode_Keuze,4)="Geen",Methode_Keuze=""),"",AND(W1291&lt;&gt;"",F1291&lt;&gt;"Arbeidskosten"),W1291*VLOOKUP(F1291,Tb_ProjectKosten[],MATCH(Tb_ProjectKosten[[#Headers],[Forfait_Percentage]],Tb_ProjectKosten[#Headers],0),0),AND(F1291="Arbeidskosten",G1291&lt;&gt;""),IFERROR(W1291*VLOOKUP(G1291,Tb_KostenTypen[],3,0)*VLOOKUP(F1291,Tb_ProjectKosten[],MATCH(Tb_ProjectKosten[[#Headers],[Forfait_Percentage]],Tb_ProjectKosten[#Headers],0),0),""),W1291 &lt;=0,0),"")</f>
        <v/>
      </c>
      <c r="AA1291" s="314" t="str" cm="1">
        <f t="array" aca="1" ref="AA1291" ca="1">IFERROR(_xlfn.IFS(OR(F1291="",LEFT(Methode_Keuze,4)="Geen",Methode_Keuze=""),"",AND(X1291&lt;&gt;"",F1291&lt;&gt;"Arbeidskosten"),X1291*VLOOKUP(F1291,Tb_ProjectKosten[],MATCH(Tb_ProjectKosten[[#Headers],[Forfait_Percentage]],Tb_ProjectKosten[#Headers],0),0),AND(F1291="Arbeidskosten",G1291&lt;&gt;""),IFERROR(X1291*VLOOKUP(G1291,Tb_KostenTypen[],3,0)*VLOOKUP(F1291,Tb_ProjectKosten[],MATCH(Tb_ProjectKosten[[#Headers],[Forfait_Percentage]],Tb_ProjectKosten[#Headers],0),0),""),X1291 &lt;=0,0),"")</f>
        <v/>
      </c>
      <c r="AB1291" s="314" t="str">
        <f t="shared" ca="1" si="83"/>
        <v/>
      </c>
      <c r="AC1291" s="322"/>
      <c r="AD1291" s="315"/>
      <c r="AE1291" s="32" t="str" cm="1">
        <f t="array" ref="AE1291">IFERROR(IF(INDEX(SubsidieTabel!$AD$1:$AG$12,MATCH($F1291,SubsidieTabel!$AD$1:$AD$12,0),IFERROR(MATCH(Methode_Keuze,SubsidieTabel!$AD$1:$AG$1,0),2))&lt;&gt;1=TRUE,"ja",""),"")</f>
        <v/>
      </c>
    </row>
    <row r="1292" spans="1:31" x14ac:dyDescent="0.25">
      <c r="A1292" s="316"/>
      <c r="B1292" s="317" t="str">
        <f>IF(A1292&lt;&gt;"",_xlfn.MAXIFS($B$1:B1291,$A$1:A1291,A1292)+1,"")</f>
        <v/>
      </c>
      <c r="C1292" s="296"/>
      <c r="D1292" s="296"/>
      <c r="E1292" s="296"/>
      <c r="F1292" s="296"/>
      <c r="G1292" s="326"/>
      <c r="H1292" s="324"/>
      <c r="I1292" s="325"/>
      <c r="J1292" s="325"/>
      <c r="K1292" s="318"/>
      <c r="L1292" s="318"/>
      <c r="M1292" s="319" t="str">
        <f>IFERROR(VLOOKUP(H1292,Lijsten!$H$1:$I$100,2,0),"")</f>
        <v/>
      </c>
      <c r="N1292" s="319" t="str">
        <f ca="1">IFERROR(IF(VLOOKUP(F1292,Kostentypen!$A$3:$E$21,3,0)=0,"",IF(OR(F1292="Arbeidskosten",F1292="Vergoeding"),VLOOKUP(G1292,Tb_KostenTypen[],2,0),VLOOKUP(F1292,Kostentypen!$A$3:$E$20,3,0))),"")</f>
        <v/>
      </c>
      <c r="O1292" s="320" t="str" cm="1">
        <f t="array" ref="O1292">_xlfn.IFNA(IF(INDEX(Tb_KostenOptiesDB[],MATCH($F1292,Tb_KostenOptiesDB[KostenOptie],0),IFERROR(MATCH(Methode_Keuze,Tb_KostenOptiesDB[#Headers],0),2))=1,_xlfn.SWITCH($N1292,"Uurtarief",IF(OR(AND(RIGHT($F1292,3)="IKS",VLOOKUP($M1292,DB_Loonkosten,2,0)="Ja"),AND(RIGHT($F1292,3)&lt;&gt;"IKS",VLOOKUP($M1292,DB_Loonkosten,2,0)="Nee")),IFERROR(VLOOKUP($M1292,DB_Loonkosten,24,0),""),0),"Vast tarief",IF(LEFT(F1292,8)="Bijdrage",VLOOKUP($F1292,Tb_KostenTypen[],MATCH(Lijsten!$P$1,Tb_KostenTypen[#Headers],0),0),VLOOKUP($G1292,Lijsten!L:P,MATCH(Lijsten!$P$1,Kop_Tarief_Vast,0),0))),""),"")</f>
        <v/>
      </c>
      <c r="P1292" s="320" t="str" cm="1">
        <f t="array" ref="P1292">_xlfn.IFNA(IF(INDEX(Tb_KostenOptiesDB[],MATCH($F1292,Tb_KostenOptiesDB[KostenOptie],0),IFERROR(MATCH(Methode_Keuze,Tb_KostenOptiesDB[#Headers],0),2))=1,_xlfn.SWITCH($N1292,"Uurtarief",IF(OR(AND(RIGHT($F1292,3)="IKS",VLOOKUP($M1292,DB_Loonkosten,2,0)="Ja"),AND(RIGHT($F1292,3)&lt;&gt;"IKS",VLOOKUP($M1292,DB_Loonkosten,2,0)="Nee")),IFERROR(VLOOKUP($M1292,DB_Loonkosten,25,0),""),0),"Vast tarief",IF(LEFT(F1292,8)="Bijdrage",VLOOKUP($F1292,Tb_KostenTypen[],MATCH(Lijsten!$P$1,Tb_KostenTypen[#Headers],0),0),VLOOKUP($G1292,Lijsten!L:P,MATCH(Lijsten!$P$1,Kop_Tarief_Vast,0),0))),""),"")</f>
        <v/>
      </c>
      <c r="Q1292" s="359"/>
      <c r="R1292" s="359"/>
      <c r="S1292" s="321"/>
      <c r="T1292" s="321"/>
      <c r="U1292" s="373" t="str">
        <f t="shared" si="80"/>
        <v/>
      </c>
      <c r="V1292" s="314" t="str">
        <f t="shared" si="81"/>
        <v/>
      </c>
      <c r="W1292" s="314" t="str" cm="1">
        <f t="array" aca="1" ref="W1292" ca="1">IFERROR(IF(AE1292&lt;&gt;"ja",_xlfn.IFNA(_xlfn.IFS(AND(O1292&lt;&gt;"",F1292&lt;&gt;"",RIGHT($N1292,6)="tarief",F1292="Vergoeding"),SUM(O1292)*FLOOR(SUM(Q1292),0.0001),AND(O1292&lt;&gt;"",F1292&lt;&gt;"",RIGHT($N1292,6)="tarief"),SUM(O1292)*FLOOR(SUM(Q1292),0.01),S1292&gt;0,IF(F1292&lt;&gt;"",FLOOR(SUM(S1292),0.01),"")),""),""),"")</f>
        <v/>
      </c>
      <c r="X1292" s="314" t="str" cm="1">
        <f t="array" aca="1" ref="X1292" ca="1">IFERROR(IF(AE1292&lt;&gt;"ja",_xlfn.IFNA(_xlfn.IFS(AND(P1292&lt;&gt;"",R1292&lt;&gt;"",RIGHT($N1292,6)="tarief",F1292="Vergoeding"),SUM(P1292)*FLOOR(SUM(R1292),0.0001),AND(P1292&lt;&gt;"",R1292&lt;&gt;"",RIGHT($N1292,6)="tarief"),P1292*FLOOR(R1292,0.01),T1292&gt;0,FLOOR(SUM(T1292),0.01)),""),""),"")</f>
        <v/>
      </c>
      <c r="Y1292" s="314" t="str">
        <f t="shared" ca="1" si="82"/>
        <v/>
      </c>
      <c r="Z1292" s="314" t="str" cm="1">
        <f t="array" aca="1" ref="Z1292" ca="1">IFERROR(_xlfn.IFS(OR(F1292="",LEFT(Methode_Keuze,4)="Geen",Methode_Keuze=""),"",AND(W1292&lt;&gt;"",F1292&lt;&gt;"Arbeidskosten"),W1292*VLOOKUP(F1292,Tb_ProjectKosten[],MATCH(Tb_ProjectKosten[[#Headers],[Forfait_Percentage]],Tb_ProjectKosten[#Headers],0),0),AND(F1292="Arbeidskosten",G1292&lt;&gt;""),IFERROR(W1292*VLOOKUP(G1292,Tb_KostenTypen[],3,0)*VLOOKUP(F1292,Tb_ProjectKosten[],MATCH(Tb_ProjectKosten[[#Headers],[Forfait_Percentage]],Tb_ProjectKosten[#Headers],0),0),""),W1292 &lt;=0,0),"")</f>
        <v/>
      </c>
      <c r="AA1292" s="314" t="str" cm="1">
        <f t="array" aca="1" ref="AA1292" ca="1">IFERROR(_xlfn.IFS(OR(F1292="",LEFT(Methode_Keuze,4)="Geen",Methode_Keuze=""),"",AND(X1292&lt;&gt;"",F1292&lt;&gt;"Arbeidskosten"),X1292*VLOOKUP(F1292,Tb_ProjectKosten[],MATCH(Tb_ProjectKosten[[#Headers],[Forfait_Percentage]],Tb_ProjectKosten[#Headers],0),0),AND(F1292="Arbeidskosten",G1292&lt;&gt;""),IFERROR(X1292*VLOOKUP(G1292,Tb_KostenTypen[],3,0)*VLOOKUP(F1292,Tb_ProjectKosten[],MATCH(Tb_ProjectKosten[[#Headers],[Forfait_Percentage]],Tb_ProjectKosten[#Headers],0),0),""),X1292 &lt;=0,0),"")</f>
        <v/>
      </c>
      <c r="AB1292" s="314" t="str">
        <f t="shared" ca="1" si="83"/>
        <v/>
      </c>
      <c r="AC1292" s="322"/>
      <c r="AD1292" s="315"/>
      <c r="AE1292" s="32" t="str" cm="1">
        <f t="array" ref="AE1292">IFERROR(IF(INDEX(SubsidieTabel!$AD$1:$AG$12,MATCH($F1292,SubsidieTabel!$AD$1:$AD$12,0),IFERROR(MATCH(Methode_Keuze,SubsidieTabel!$AD$1:$AG$1,0),2))&lt;&gt;1=TRUE,"ja",""),"")</f>
        <v/>
      </c>
    </row>
    <row r="1293" spans="1:31" x14ac:dyDescent="0.25">
      <c r="A1293" s="316"/>
      <c r="B1293" s="317" t="str">
        <f>IF(A1293&lt;&gt;"",_xlfn.MAXIFS($B$1:B1292,$A$1:A1292,A1293)+1,"")</f>
        <v/>
      </c>
      <c r="C1293" s="296"/>
      <c r="D1293" s="296"/>
      <c r="E1293" s="296"/>
      <c r="F1293" s="296"/>
      <c r="G1293" s="326"/>
      <c r="H1293" s="324"/>
      <c r="I1293" s="325"/>
      <c r="J1293" s="325"/>
      <c r="K1293" s="318"/>
      <c r="L1293" s="318"/>
      <c r="M1293" s="319" t="str">
        <f>IFERROR(VLOOKUP(H1293,Lijsten!$H$1:$I$100,2,0),"")</f>
        <v/>
      </c>
      <c r="N1293" s="319" t="str">
        <f ca="1">IFERROR(IF(VLOOKUP(F1293,Kostentypen!$A$3:$E$21,3,0)=0,"",IF(OR(F1293="Arbeidskosten",F1293="Vergoeding"),VLOOKUP(G1293,Tb_KostenTypen[],2,0),VLOOKUP(F1293,Kostentypen!$A$3:$E$20,3,0))),"")</f>
        <v/>
      </c>
      <c r="O1293" s="320" t="str" cm="1">
        <f t="array" ref="O1293">_xlfn.IFNA(IF(INDEX(Tb_KostenOptiesDB[],MATCH($F1293,Tb_KostenOptiesDB[KostenOptie],0),IFERROR(MATCH(Methode_Keuze,Tb_KostenOptiesDB[#Headers],0),2))=1,_xlfn.SWITCH($N1293,"Uurtarief",IF(OR(AND(RIGHT($F1293,3)="IKS",VLOOKUP($M1293,DB_Loonkosten,2,0)="Ja"),AND(RIGHT($F1293,3)&lt;&gt;"IKS",VLOOKUP($M1293,DB_Loonkosten,2,0)="Nee")),IFERROR(VLOOKUP($M1293,DB_Loonkosten,24,0),""),0),"Vast tarief",IF(LEFT(F1293,8)="Bijdrage",VLOOKUP($F1293,Tb_KostenTypen[],MATCH(Lijsten!$P$1,Tb_KostenTypen[#Headers],0),0),VLOOKUP($G1293,Lijsten!L:P,MATCH(Lijsten!$P$1,Kop_Tarief_Vast,0),0))),""),"")</f>
        <v/>
      </c>
      <c r="P1293" s="320" t="str" cm="1">
        <f t="array" ref="P1293">_xlfn.IFNA(IF(INDEX(Tb_KostenOptiesDB[],MATCH($F1293,Tb_KostenOptiesDB[KostenOptie],0),IFERROR(MATCH(Methode_Keuze,Tb_KostenOptiesDB[#Headers],0),2))=1,_xlfn.SWITCH($N1293,"Uurtarief",IF(OR(AND(RIGHT($F1293,3)="IKS",VLOOKUP($M1293,DB_Loonkosten,2,0)="Ja"),AND(RIGHT($F1293,3)&lt;&gt;"IKS",VLOOKUP($M1293,DB_Loonkosten,2,0)="Nee")),IFERROR(VLOOKUP($M1293,DB_Loonkosten,25,0),""),0),"Vast tarief",IF(LEFT(F1293,8)="Bijdrage",VLOOKUP($F1293,Tb_KostenTypen[],MATCH(Lijsten!$P$1,Tb_KostenTypen[#Headers],0),0),VLOOKUP($G1293,Lijsten!L:P,MATCH(Lijsten!$P$1,Kop_Tarief_Vast,0),0))),""),"")</f>
        <v/>
      </c>
      <c r="Q1293" s="359"/>
      <c r="R1293" s="359"/>
      <c r="S1293" s="321"/>
      <c r="T1293" s="321"/>
      <c r="U1293" s="373" t="str">
        <f t="shared" si="80"/>
        <v/>
      </c>
      <c r="V1293" s="314" t="str">
        <f t="shared" si="81"/>
        <v/>
      </c>
      <c r="W1293" s="314" t="str" cm="1">
        <f t="array" aca="1" ref="W1293" ca="1">IFERROR(IF(AE1293&lt;&gt;"ja",_xlfn.IFNA(_xlfn.IFS(AND(O1293&lt;&gt;"",F1293&lt;&gt;"",RIGHT($N1293,6)="tarief",F1293="Vergoeding"),SUM(O1293)*FLOOR(SUM(Q1293),0.0001),AND(O1293&lt;&gt;"",F1293&lt;&gt;"",RIGHT($N1293,6)="tarief"),SUM(O1293)*FLOOR(SUM(Q1293),0.01),S1293&gt;0,IF(F1293&lt;&gt;"",FLOOR(SUM(S1293),0.01),"")),""),""),"")</f>
        <v/>
      </c>
      <c r="X1293" s="314" t="str" cm="1">
        <f t="array" aca="1" ref="X1293" ca="1">IFERROR(IF(AE1293&lt;&gt;"ja",_xlfn.IFNA(_xlfn.IFS(AND(P1293&lt;&gt;"",R1293&lt;&gt;"",RIGHT($N1293,6)="tarief",F1293="Vergoeding"),SUM(P1293)*FLOOR(SUM(R1293),0.0001),AND(P1293&lt;&gt;"",R1293&lt;&gt;"",RIGHT($N1293,6)="tarief"),P1293*FLOOR(R1293,0.01),T1293&gt;0,FLOOR(SUM(T1293),0.01)),""),""),"")</f>
        <v/>
      </c>
      <c r="Y1293" s="314" t="str">
        <f t="shared" ca="1" si="82"/>
        <v/>
      </c>
      <c r="Z1293" s="314" t="str" cm="1">
        <f t="array" aca="1" ref="Z1293" ca="1">IFERROR(_xlfn.IFS(OR(F1293="",LEFT(Methode_Keuze,4)="Geen",Methode_Keuze=""),"",AND(W1293&lt;&gt;"",F1293&lt;&gt;"Arbeidskosten"),W1293*VLOOKUP(F1293,Tb_ProjectKosten[],MATCH(Tb_ProjectKosten[[#Headers],[Forfait_Percentage]],Tb_ProjectKosten[#Headers],0),0),AND(F1293="Arbeidskosten",G1293&lt;&gt;""),IFERROR(W1293*VLOOKUP(G1293,Tb_KostenTypen[],3,0)*VLOOKUP(F1293,Tb_ProjectKosten[],MATCH(Tb_ProjectKosten[[#Headers],[Forfait_Percentage]],Tb_ProjectKosten[#Headers],0),0),""),W1293 &lt;=0,0),"")</f>
        <v/>
      </c>
      <c r="AA1293" s="314" t="str" cm="1">
        <f t="array" aca="1" ref="AA1293" ca="1">IFERROR(_xlfn.IFS(OR(F1293="",LEFT(Methode_Keuze,4)="Geen",Methode_Keuze=""),"",AND(X1293&lt;&gt;"",F1293&lt;&gt;"Arbeidskosten"),X1293*VLOOKUP(F1293,Tb_ProjectKosten[],MATCH(Tb_ProjectKosten[[#Headers],[Forfait_Percentage]],Tb_ProjectKosten[#Headers],0),0),AND(F1293="Arbeidskosten",G1293&lt;&gt;""),IFERROR(X1293*VLOOKUP(G1293,Tb_KostenTypen[],3,0)*VLOOKUP(F1293,Tb_ProjectKosten[],MATCH(Tb_ProjectKosten[[#Headers],[Forfait_Percentage]],Tb_ProjectKosten[#Headers],0),0),""),X1293 &lt;=0,0),"")</f>
        <v/>
      </c>
      <c r="AB1293" s="314" t="str">
        <f t="shared" ca="1" si="83"/>
        <v/>
      </c>
      <c r="AC1293" s="322"/>
      <c r="AD1293" s="315"/>
      <c r="AE1293" s="32" t="str" cm="1">
        <f t="array" ref="AE1293">IFERROR(IF(INDEX(SubsidieTabel!$AD$1:$AG$12,MATCH($F1293,SubsidieTabel!$AD$1:$AD$12,0),IFERROR(MATCH(Methode_Keuze,SubsidieTabel!$AD$1:$AG$1,0),2))&lt;&gt;1=TRUE,"ja",""),"")</f>
        <v/>
      </c>
    </row>
    <row r="1294" spans="1:31" x14ac:dyDescent="0.25">
      <c r="A1294" s="316"/>
      <c r="B1294" s="317" t="str">
        <f>IF(A1294&lt;&gt;"",_xlfn.MAXIFS($B$1:B1293,$A$1:A1293,A1294)+1,"")</f>
        <v/>
      </c>
      <c r="C1294" s="296"/>
      <c r="D1294" s="296"/>
      <c r="E1294" s="296"/>
      <c r="F1294" s="296"/>
      <c r="G1294" s="326"/>
      <c r="H1294" s="324"/>
      <c r="I1294" s="325"/>
      <c r="J1294" s="325"/>
      <c r="K1294" s="318"/>
      <c r="L1294" s="318"/>
      <c r="M1294" s="319" t="str">
        <f>IFERROR(VLOOKUP(H1294,Lijsten!$H$1:$I$100,2,0),"")</f>
        <v/>
      </c>
      <c r="N1294" s="319" t="str">
        <f ca="1">IFERROR(IF(VLOOKUP(F1294,Kostentypen!$A$3:$E$21,3,0)=0,"",IF(OR(F1294="Arbeidskosten",F1294="Vergoeding"),VLOOKUP(G1294,Tb_KostenTypen[],2,0),VLOOKUP(F1294,Kostentypen!$A$3:$E$20,3,0))),"")</f>
        <v/>
      </c>
      <c r="O1294" s="320" t="str" cm="1">
        <f t="array" ref="O1294">_xlfn.IFNA(IF(INDEX(Tb_KostenOptiesDB[],MATCH($F1294,Tb_KostenOptiesDB[KostenOptie],0),IFERROR(MATCH(Methode_Keuze,Tb_KostenOptiesDB[#Headers],0),2))=1,_xlfn.SWITCH($N1294,"Uurtarief",IF(OR(AND(RIGHT($F1294,3)="IKS",VLOOKUP($M1294,DB_Loonkosten,2,0)="Ja"),AND(RIGHT($F1294,3)&lt;&gt;"IKS",VLOOKUP($M1294,DB_Loonkosten,2,0)="Nee")),IFERROR(VLOOKUP($M1294,DB_Loonkosten,24,0),""),0),"Vast tarief",IF(LEFT(F1294,8)="Bijdrage",VLOOKUP($F1294,Tb_KostenTypen[],MATCH(Lijsten!$P$1,Tb_KostenTypen[#Headers],0),0),VLOOKUP($G1294,Lijsten!L:P,MATCH(Lijsten!$P$1,Kop_Tarief_Vast,0),0))),""),"")</f>
        <v/>
      </c>
      <c r="P1294" s="320" t="str" cm="1">
        <f t="array" ref="P1294">_xlfn.IFNA(IF(INDEX(Tb_KostenOptiesDB[],MATCH($F1294,Tb_KostenOptiesDB[KostenOptie],0),IFERROR(MATCH(Methode_Keuze,Tb_KostenOptiesDB[#Headers],0),2))=1,_xlfn.SWITCH($N1294,"Uurtarief",IF(OR(AND(RIGHT($F1294,3)="IKS",VLOOKUP($M1294,DB_Loonkosten,2,0)="Ja"),AND(RIGHT($F1294,3)&lt;&gt;"IKS",VLOOKUP($M1294,DB_Loonkosten,2,0)="Nee")),IFERROR(VLOOKUP($M1294,DB_Loonkosten,25,0),""),0),"Vast tarief",IF(LEFT(F1294,8)="Bijdrage",VLOOKUP($F1294,Tb_KostenTypen[],MATCH(Lijsten!$P$1,Tb_KostenTypen[#Headers],0),0),VLOOKUP($G1294,Lijsten!L:P,MATCH(Lijsten!$P$1,Kop_Tarief_Vast,0),0))),""),"")</f>
        <v/>
      </c>
      <c r="Q1294" s="359"/>
      <c r="R1294" s="359"/>
      <c r="S1294" s="321"/>
      <c r="T1294" s="321"/>
      <c r="U1294" s="373" t="str">
        <f t="shared" si="80"/>
        <v/>
      </c>
      <c r="V1294" s="314" t="str">
        <f t="shared" si="81"/>
        <v/>
      </c>
      <c r="W1294" s="314" t="str" cm="1">
        <f t="array" aca="1" ref="W1294" ca="1">IFERROR(IF(AE1294&lt;&gt;"ja",_xlfn.IFNA(_xlfn.IFS(AND(O1294&lt;&gt;"",F1294&lt;&gt;"",RIGHT($N1294,6)="tarief",F1294="Vergoeding"),SUM(O1294)*FLOOR(SUM(Q1294),0.0001),AND(O1294&lt;&gt;"",F1294&lt;&gt;"",RIGHT($N1294,6)="tarief"),SUM(O1294)*FLOOR(SUM(Q1294),0.01),S1294&gt;0,IF(F1294&lt;&gt;"",FLOOR(SUM(S1294),0.01),"")),""),""),"")</f>
        <v/>
      </c>
      <c r="X1294" s="314" t="str" cm="1">
        <f t="array" aca="1" ref="X1294" ca="1">IFERROR(IF(AE1294&lt;&gt;"ja",_xlfn.IFNA(_xlfn.IFS(AND(P1294&lt;&gt;"",R1294&lt;&gt;"",RIGHT($N1294,6)="tarief",F1294="Vergoeding"),SUM(P1294)*FLOOR(SUM(R1294),0.0001),AND(P1294&lt;&gt;"",R1294&lt;&gt;"",RIGHT($N1294,6)="tarief"),P1294*FLOOR(R1294,0.01),T1294&gt;0,FLOOR(SUM(T1294),0.01)),""),""),"")</f>
        <v/>
      </c>
      <c r="Y1294" s="314" t="str">
        <f t="shared" ca="1" si="82"/>
        <v/>
      </c>
      <c r="Z1294" s="314" t="str" cm="1">
        <f t="array" aca="1" ref="Z1294" ca="1">IFERROR(_xlfn.IFS(OR(F1294="",LEFT(Methode_Keuze,4)="Geen",Methode_Keuze=""),"",AND(W1294&lt;&gt;"",F1294&lt;&gt;"Arbeidskosten"),W1294*VLOOKUP(F1294,Tb_ProjectKosten[],MATCH(Tb_ProjectKosten[[#Headers],[Forfait_Percentage]],Tb_ProjectKosten[#Headers],0),0),AND(F1294="Arbeidskosten",G1294&lt;&gt;""),IFERROR(W1294*VLOOKUP(G1294,Tb_KostenTypen[],3,0)*VLOOKUP(F1294,Tb_ProjectKosten[],MATCH(Tb_ProjectKosten[[#Headers],[Forfait_Percentage]],Tb_ProjectKosten[#Headers],0),0),""),W1294 &lt;=0,0),"")</f>
        <v/>
      </c>
      <c r="AA1294" s="314" t="str" cm="1">
        <f t="array" aca="1" ref="AA1294" ca="1">IFERROR(_xlfn.IFS(OR(F1294="",LEFT(Methode_Keuze,4)="Geen",Methode_Keuze=""),"",AND(X1294&lt;&gt;"",F1294&lt;&gt;"Arbeidskosten"),X1294*VLOOKUP(F1294,Tb_ProjectKosten[],MATCH(Tb_ProjectKosten[[#Headers],[Forfait_Percentage]],Tb_ProjectKosten[#Headers],0),0),AND(F1294="Arbeidskosten",G1294&lt;&gt;""),IFERROR(X1294*VLOOKUP(G1294,Tb_KostenTypen[],3,0)*VLOOKUP(F1294,Tb_ProjectKosten[],MATCH(Tb_ProjectKosten[[#Headers],[Forfait_Percentage]],Tb_ProjectKosten[#Headers],0),0),""),X1294 &lt;=0,0),"")</f>
        <v/>
      </c>
      <c r="AB1294" s="314" t="str">
        <f t="shared" ca="1" si="83"/>
        <v/>
      </c>
      <c r="AC1294" s="322"/>
      <c r="AD1294" s="315"/>
      <c r="AE1294" s="32" t="str" cm="1">
        <f t="array" ref="AE1294">IFERROR(IF(INDEX(SubsidieTabel!$AD$1:$AG$12,MATCH($F1294,SubsidieTabel!$AD$1:$AD$12,0),IFERROR(MATCH(Methode_Keuze,SubsidieTabel!$AD$1:$AG$1,0),2))&lt;&gt;1=TRUE,"ja",""),"")</f>
        <v/>
      </c>
    </row>
    <row r="1295" spans="1:31" x14ac:dyDescent="0.25">
      <c r="A1295" s="316"/>
      <c r="B1295" s="317" t="str">
        <f>IF(A1295&lt;&gt;"",_xlfn.MAXIFS($B$1:B1294,$A$1:A1294,A1295)+1,"")</f>
        <v/>
      </c>
      <c r="C1295" s="296"/>
      <c r="D1295" s="296"/>
      <c r="E1295" s="296"/>
      <c r="F1295" s="296"/>
      <c r="G1295" s="326"/>
      <c r="H1295" s="324"/>
      <c r="I1295" s="325"/>
      <c r="J1295" s="325"/>
      <c r="K1295" s="318"/>
      <c r="L1295" s="318"/>
      <c r="M1295" s="319" t="str">
        <f>IFERROR(VLOOKUP(H1295,Lijsten!$H$1:$I$100,2,0),"")</f>
        <v/>
      </c>
      <c r="N1295" s="319" t="str">
        <f ca="1">IFERROR(IF(VLOOKUP(F1295,Kostentypen!$A$3:$E$21,3,0)=0,"",IF(OR(F1295="Arbeidskosten",F1295="Vergoeding"),VLOOKUP(G1295,Tb_KostenTypen[],2,0),VLOOKUP(F1295,Kostentypen!$A$3:$E$20,3,0))),"")</f>
        <v/>
      </c>
      <c r="O1295" s="320" t="str" cm="1">
        <f t="array" ref="O1295">_xlfn.IFNA(IF(INDEX(Tb_KostenOptiesDB[],MATCH($F1295,Tb_KostenOptiesDB[KostenOptie],0),IFERROR(MATCH(Methode_Keuze,Tb_KostenOptiesDB[#Headers],0),2))=1,_xlfn.SWITCH($N1295,"Uurtarief",IF(OR(AND(RIGHT($F1295,3)="IKS",VLOOKUP($M1295,DB_Loonkosten,2,0)="Ja"),AND(RIGHT($F1295,3)&lt;&gt;"IKS",VLOOKUP($M1295,DB_Loonkosten,2,0)="Nee")),IFERROR(VLOOKUP($M1295,DB_Loonkosten,24,0),""),0),"Vast tarief",IF(LEFT(F1295,8)="Bijdrage",VLOOKUP($F1295,Tb_KostenTypen[],MATCH(Lijsten!$P$1,Tb_KostenTypen[#Headers],0),0),VLOOKUP($G1295,Lijsten!L:P,MATCH(Lijsten!$P$1,Kop_Tarief_Vast,0),0))),""),"")</f>
        <v/>
      </c>
      <c r="P1295" s="320" t="str" cm="1">
        <f t="array" ref="P1295">_xlfn.IFNA(IF(INDEX(Tb_KostenOptiesDB[],MATCH($F1295,Tb_KostenOptiesDB[KostenOptie],0),IFERROR(MATCH(Methode_Keuze,Tb_KostenOptiesDB[#Headers],0),2))=1,_xlfn.SWITCH($N1295,"Uurtarief",IF(OR(AND(RIGHT($F1295,3)="IKS",VLOOKUP($M1295,DB_Loonkosten,2,0)="Ja"),AND(RIGHT($F1295,3)&lt;&gt;"IKS",VLOOKUP($M1295,DB_Loonkosten,2,0)="Nee")),IFERROR(VLOOKUP($M1295,DB_Loonkosten,25,0),""),0),"Vast tarief",IF(LEFT(F1295,8)="Bijdrage",VLOOKUP($F1295,Tb_KostenTypen[],MATCH(Lijsten!$P$1,Tb_KostenTypen[#Headers],0),0),VLOOKUP($G1295,Lijsten!L:P,MATCH(Lijsten!$P$1,Kop_Tarief_Vast,0),0))),""),"")</f>
        <v/>
      </c>
      <c r="Q1295" s="359"/>
      <c r="R1295" s="359"/>
      <c r="S1295" s="321"/>
      <c r="T1295" s="321"/>
      <c r="U1295" s="373" t="str">
        <f t="shared" si="80"/>
        <v/>
      </c>
      <c r="V1295" s="314" t="str">
        <f t="shared" si="81"/>
        <v/>
      </c>
      <c r="W1295" s="314" t="str" cm="1">
        <f t="array" aca="1" ref="W1295" ca="1">IFERROR(IF(AE1295&lt;&gt;"ja",_xlfn.IFNA(_xlfn.IFS(AND(O1295&lt;&gt;"",F1295&lt;&gt;"",RIGHT($N1295,6)="tarief",F1295="Vergoeding"),SUM(O1295)*FLOOR(SUM(Q1295),0.0001),AND(O1295&lt;&gt;"",F1295&lt;&gt;"",RIGHT($N1295,6)="tarief"),SUM(O1295)*FLOOR(SUM(Q1295),0.01),S1295&gt;0,IF(F1295&lt;&gt;"",FLOOR(SUM(S1295),0.01),"")),""),""),"")</f>
        <v/>
      </c>
      <c r="X1295" s="314" t="str" cm="1">
        <f t="array" aca="1" ref="X1295" ca="1">IFERROR(IF(AE1295&lt;&gt;"ja",_xlfn.IFNA(_xlfn.IFS(AND(P1295&lt;&gt;"",R1295&lt;&gt;"",RIGHT($N1295,6)="tarief",F1295="Vergoeding"),SUM(P1295)*FLOOR(SUM(R1295),0.0001),AND(P1295&lt;&gt;"",R1295&lt;&gt;"",RIGHT($N1295,6)="tarief"),P1295*FLOOR(R1295,0.01),T1295&gt;0,FLOOR(SUM(T1295),0.01)),""),""),"")</f>
        <v/>
      </c>
      <c r="Y1295" s="314" t="str">
        <f t="shared" ca="1" si="82"/>
        <v/>
      </c>
      <c r="Z1295" s="314" t="str" cm="1">
        <f t="array" aca="1" ref="Z1295" ca="1">IFERROR(_xlfn.IFS(OR(F1295="",LEFT(Methode_Keuze,4)="Geen",Methode_Keuze=""),"",AND(W1295&lt;&gt;"",F1295&lt;&gt;"Arbeidskosten"),W1295*VLOOKUP(F1295,Tb_ProjectKosten[],MATCH(Tb_ProjectKosten[[#Headers],[Forfait_Percentage]],Tb_ProjectKosten[#Headers],0),0),AND(F1295="Arbeidskosten",G1295&lt;&gt;""),IFERROR(W1295*VLOOKUP(G1295,Tb_KostenTypen[],3,0)*VLOOKUP(F1295,Tb_ProjectKosten[],MATCH(Tb_ProjectKosten[[#Headers],[Forfait_Percentage]],Tb_ProjectKosten[#Headers],0),0),""),W1295 &lt;=0,0),"")</f>
        <v/>
      </c>
      <c r="AA1295" s="314" t="str" cm="1">
        <f t="array" aca="1" ref="AA1295" ca="1">IFERROR(_xlfn.IFS(OR(F1295="",LEFT(Methode_Keuze,4)="Geen",Methode_Keuze=""),"",AND(X1295&lt;&gt;"",F1295&lt;&gt;"Arbeidskosten"),X1295*VLOOKUP(F1295,Tb_ProjectKosten[],MATCH(Tb_ProjectKosten[[#Headers],[Forfait_Percentage]],Tb_ProjectKosten[#Headers],0),0),AND(F1295="Arbeidskosten",G1295&lt;&gt;""),IFERROR(X1295*VLOOKUP(G1295,Tb_KostenTypen[],3,0)*VLOOKUP(F1295,Tb_ProjectKosten[],MATCH(Tb_ProjectKosten[[#Headers],[Forfait_Percentage]],Tb_ProjectKosten[#Headers],0),0),""),X1295 &lt;=0,0),"")</f>
        <v/>
      </c>
      <c r="AB1295" s="314" t="str">
        <f t="shared" ca="1" si="83"/>
        <v/>
      </c>
      <c r="AC1295" s="322"/>
      <c r="AD1295" s="315"/>
      <c r="AE1295" s="32" t="str" cm="1">
        <f t="array" ref="AE1295">IFERROR(IF(INDEX(SubsidieTabel!$AD$1:$AG$12,MATCH($F1295,SubsidieTabel!$AD$1:$AD$12,0),IFERROR(MATCH(Methode_Keuze,SubsidieTabel!$AD$1:$AG$1,0),2))&lt;&gt;1=TRUE,"ja",""),"")</f>
        <v/>
      </c>
    </row>
    <row r="1296" spans="1:31" x14ac:dyDescent="0.25">
      <c r="A1296" s="316"/>
      <c r="B1296" s="317" t="str">
        <f>IF(A1296&lt;&gt;"",_xlfn.MAXIFS($B$1:B1295,$A$1:A1295,A1296)+1,"")</f>
        <v/>
      </c>
      <c r="C1296" s="296"/>
      <c r="D1296" s="296"/>
      <c r="E1296" s="296"/>
      <c r="F1296" s="296"/>
      <c r="G1296" s="326"/>
      <c r="H1296" s="324"/>
      <c r="I1296" s="325"/>
      <c r="J1296" s="325"/>
      <c r="K1296" s="318"/>
      <c r="L1296" s="318"/>
      <c r="M1296" s="319" t="str">
        <f>IFERROR(VLOOKUP(H1296,Lijsten!$H$1:$I$100,2,0),"")</f>
        <v/>
      </c>
      <c r="N1296" s="319" t="str">
        <f ca="1">IFERROR(IF(VLOOKUP(F1296,Kostentypen!$A$3:$E$21,3,0)=0,"",IF(OR(F1296="Arbeidskosten",F1296="Vergoeding"),VLOOKUP(G1296,Tb_KostenTypen[],2,0),VLOOKUP(F1296,Kostentypen!$A$3:$E$20,3,0))),"")</f>
        <v/>
      </c>
      <c r="O1296" s="320" t="str" cm="1">
        <f t="array" ref="O1296">_xlfn.IFNA(IF(INDEX(Tb_KostenOptiesDB[],MATCH($F1296,Tb_KostenOptiesDB[KostenOptie],0),IFERROR(MATCH(Methode_Keuze,Tb_KostenOptiesDB[#Headers],0),2))=1,_xlfn.SWITCH($N1296,"Uurtarief",IF(OR(AND(RIGHT($F1296,3)="IKS",VLOOKUP($M1296,DB_Loonkosten,2,0)="Ja"),AND(RIGHT($F1296,3)&lt;&gt;"IKS",VLOOKUP($M1296,DB_Loonkosten,2,0)="Nee")),IFERROR(VLOOKUP($M1296,DB_Loonkosten,24,0),""),0),"Vast tarief",IF(LEFT(F1296,8)="Bijdrage",VLOOKUP($F1296,Tb_KostenTypen[],MATCH(Lijsten!$P$1,Tb_KostenTypen[#Headers],0),0),VLOOKUP($G1296,Lijsten!L:P,MATCH(Lijsten!$P$1,Kop_Tarief_Vast,0),0))),""),"")</f>
        <v/>
      </c>
      <c r="P1296" s="320" t="str" cm="1">
        <f t="array" ref="P1296">_xlfn.IFNA(IF(INDEX(Tb_KostenOptiesDB[],MATCH($F1296,Tb_KostenOptiesDB[KostenOptie],0),IFERROR(MATCH(Methode_Keuze,Tb_KostenOptiesDB[#Headers],0),2))=1,_xlfn.SWITCH($N1296,"Uurtarief",IF(OR(AND(RIGHT($F1296,3)="IKS",VLOOKUP($M1296,DB_Loonkosten,2,0)="Ja"),AND(RIGHT($F1296,3)&lt;&gt;"IKS",VLOOKUP($M1296,DB_Loonkosten,2,0)="Nee")),IFERROR(VLOOKUP($M1296,DB_Loonkosten,25,0),""),0),"Vast tarief",IF(LEFT(F1296,8)="Bijdrage",VLOOKUP($F1296,Tb_KostenTypen[],MATCH(Lijsten!$P$1,Tb_KostenTypen[#Headers],0),0),VLOOKUP($G1296,Lijsten!L:P,MATCH(Lijsten!$P$1,Kop_Tarief_Vast,0),0))),""),"")</f>
        <v/>
      </c>
      <c r="Q1296" s="359"/>
      <c r="R1296" s="359"/>
      <c r="S1296" s="321"/>
      <c r="T1296" s="321"/>
      <c r="U1296" s="373" t="str">
        <f t="shared" si="80"/>
        <v/>
      </c>
      <c r="V1296" s="314" t="str">
        <f t="shared" si="81"/>
        <v/>
      </c>
      <c r="W1296" s="314" t="str" cm="1">
        <f t="array" aca="1" ref="W1296" ca="1">IFERROR(IF(AE1296&lt;&gt;"ja",_xlfn.IFNA(_xlfn.IFS(AND(O1296&lt;&gt;"",F1296&lt;&gt;"",RIGHT($N1296,6)="tarief",F1296="Vergoeding"),SUM(O1296)*FLOOR(SUM(Q1296),0.0001),AND(O1296&lt;&gt;"",F1296&lt;&gt;"",RIGHT($N1296,6)="tarief"),SUM(O1296)*FLOOR(SUM(Q1296),0.01),S1296&gt;0,IF(F1296&lt;&gt;"",FLOOR(SUM(S1296),0.01),"")),""),""),"")</f>
        <v/>
      </c>
      <c r="X1296" s="314" t="str" cm="1">
        <f t="array" aca="1" ref="X1296" ca="1">IFERROR(IF(AE1296&lt;&gt;"ja",_xlfn.IFNA(_xlfn.IFS(AND(P1296&lt;&gt;"",R1296&lt;&gt;"",RIGHT($N1296,6)="tarief",F1296="Vergoeding"),SUM(P1296)*FLOOR(SUM(R1296),0.0001),AND(P1296&lt;&gt;"",R1296&lt;&gt;"",RIGHT($N1296,6)="tarief"),P1296*FLOOR(R1296,0.01),T1296&gt;0,FLOOR(SUM(T1296),0.01)),""),""),"")</f>
        <v/>
      </c>
      <c r="Y1296" s="314" t="str">
        <f t="shared" ca="1" si="82"/>
        <v/>
      </c>
      <c r="Z1296" s="314" t="str" cm="1">
        <f t="array" aca="1" ref="Z1296" ca="1">IFERROR(_xlfn.IFS(OR(F1296="",LEFT(Methode_Keuze,4)="Geen",Methode_Keuze=""),"",AND(W1296&lt;&gt;"",F1296&lt;&gt;"Arbeidskosten"),W1296*VLOOKUP(F1296,Tb_ProjectKosten[],MATCH(Tb_ProjectKosten[[#Headers],[Forfait_Percentage]],Tb_ProjectKosten[#Headers],0),0),AND(F1296="Arbeidskosten",G1296&lt;&gt;""),IFERROR(W1296*VLOOKUP(G1296,Tb_KostenTypen[],3,0)*VLOOKUP(F1296,Tb_ProjectKosten[],MATCH(Tb_ProjectKosten[[#Headers],[Forfait_Percentage]],Tb_ProjectKosten[#Headers],0),0),""),W1296 &lt;=0,0),"")</f>
        <v/>
      </c>
      <c r="AA1296" s="314" t="str" cm="1">
        <f t="array" aca="1" ref="AA1296" ca="1">IFERROR(_xlfn.IFS(OR(F1296="",LEFT(Methode_Keuze,4)="Geen",Methode_Keuze=""),"",AND(X1296&lt;&gt;"",F1296&lt;&gt;"Arbeidskosten"),X1296*VLOOKUP(F1296,Tb_ProjectKosten[],MATCH(Tb_ProjectKosten[[#Headers],[Forfait_Percentage]],Tb_ProjectKosten[#Headers],0),0),AND(F1296="Arbeidskosten",G1296&lt;&gt;""),IFERROR(X1296*VLOOKUP(G1296,Tb_KostenTypen[],3,0)*VLOOKUP(F1296,Tb_ProjectKosten[],MATCH(Tb_ProjectKosten[[#Headers],[Forfait_Percentage]],Tb_ProjectKosten[#Headers],0),0),""),X1296 &lt;=0,0),"")</f>
        <v/>
      </c>
      <c r="AB1296" s="314" t="str">
        <f t="shared" ca="1" si="83"/>
        <v/>
      </c>
      <c r="AC1296" s="322"/>
      <c r="AD1296" s="315"/>
      <c r="AE1296" s="32" t="str" cm="1">
        <f t="array" ref="AE1296">IFERROR(IF(INDEX(SubsidieTabel!$AD$1:$AG$12,MATCH($F1296,SubsidieTabel!$AD$1:$AD$12,0),IFERROR(MATCH(Methode_Keuze,SubsidieTabel!$AD$1:$AG$1,0),2))&lt;&gt;1=TRUE,"ja",""),"")</f>
        <v/>
      </c>
    </row>
    <row r="1297" spans="1:31" x14ac:dyDescent="0.25">
      <c r="A1297" s="316"/>
      <c r="B1297" s="317" t="str">
        <f>IF(A1297&lt;&gt;"",_xlfn.MAXIFS($B$1:B1296,$A$1:A1296,A1297)+1,"")</f>
        <v/>
      </c>
      <c r="C1297" s="296"/>
      <c r="D1297" s="296"/>
      <c r="E1297" s="296"/>
      <c r="F1297" s="296"/>
      <c r="G1297" s="326"/>
      <c r="H1297" s="324"/>
      <c r="I1297" s="325"/>
      <c r="J1297" s="325"/>
      <c r="K1297" s="318"/>
      <c r="L1297" s="318"/>
      <c r="M1297" s="319" t="str">
        <f>IFERROR(VLOOKUP(H1297,Lijsten!$H$1:$I$100,2,0),"")</f>
        <v/>
      </c>
      <c r="N1297" s="319" t="str">
        <f ca="1">IFERROR(IF(VLOOKUP(F1297,Kostentypen!$A$3:$E$21,3,0)=0,"",IF(OR(F1297="Arbeidskosten",F1297="Vergoeding"),VLOOKUP(G1297,Tb_KostenTypen[],2,0),VLOOKUP(F1297,Kostentypen!$A$3:$E$20,3,0))),"")</f>
        <v/>
      </c>
      <c r="O1297" s="320" t="str" cm="1">
        <f t="array" ref="O1297">_xlfn.IFNA(IF(INDEX(Tb_KostenOptiesDB[],MATCH($F1297,Tb_KostenOptiesDB[KostenOptie],0),IFERROR(MATCH(Methode_Keuze,Tb_KostenOptiesDB[#Headers],0),2))=1,_xlfn.SWITCH($N1297,"Uurtarief",IF(OR(AND(RIGHT($F1297,3)="IKS",VLOOKUP($M1297,DB_Loonkosten,2,0)="Ja"),AND(RIGHT($F1297,3)&lt;&gt;"IKS",VLOOKUP($M1297,DB_Loonkosten,2,0)="Nee")),IFERROR(VLOOKUP($M1297,DB_Loonkosten,24,0),""),0),"Vast tarief",IF(LEFT(F1297,8)="Bijdrage",VLOOKUP($F1297,Tb_KostenTypen[],MATCH(Lijsten!$P$1,Tb_KostenTypen[#Headers],0),0),VLOOKUP($G1297,Lijsten!L:P,MATCH(Lijsten!$P$1,Kop_Tarief_Vast,0),0))),""),"")</f>
        <v/>
      </c>
      <c r="P1297" s="320" t="str" cm="1">
        <f t="array" ref="P1297">_xlfn.IFNA(IF(INDEX(Tb_KostenOptiesDB[],MATCH($F1297,Tb_KostenOptiesDB[KostenOptie],0),IFERROR(MATCH(Methode_Keuze,Tb_KostenOptiesDB[#Headers],0),2))=1,_xlfn.SWITCH($N1297,"Uurtarief",IF(OR(AND(RIGHT($F1297,3)="IKS",VLOOKUP($M1297,DB_Loonkosten,2,0)="Ja"),AND(RIGHT($F1297,3)&lt;&gt;"IKS",VLOOKUP($M1297,DB_Loonkosten,2,0)="Nee")),IFERROR(VLOOKUP($M1297,DB_Loonkosten,25,0),""),0),"Vast tarief",IF(LEFT(F1297,8)="Bijdrage",VLOOKUP($F1297,Tb_KostenTypen[],MATCH(Lijsten!$P$1,Tb_KostenTypen[#Headers],0),0),VLOOKUP($G1297,Lijsten!L:P,MATCH(Lijsten!$P$1,Kop_Tarief_Vast,0),0))),""),"")</f>
        <v/>
      </c>
      <c r="Q1297" s="359"/>
      <c r="R1297" s="359"/>
      <c r="S1297" s="321"/>
      <c r="T1297" s="321"/>
      <c r="U1297" s="373" t="str">
        <f t="shared" si="80"/>
        <v/>
      </c>
      <c r="V1297" s="314" t="str">
        <f t="shared" si="81"/>
        <v/>
      </c>
      <c r="W1297" s="314" t="str" cm="1">
        <f t="array" aca="1" ref="W1297" ca="1">IFERROR(IF(AE1297&lt;&gt;"ja",_xlfn.IFNA(_xlfn.IFS(AND(O1297&lt;&gt;"",F1297&lt;&gt;"",RIGHT($N1297,6)="tarief",F1297="Vergoeding"),SUM(O1297)*FLOOR(SUM(Q1297),0.0001),AND(O1297&lt;&gt;"",F1297&lt;&gt;"",RIGHT($N1297,6)="tarief"),SUM(O1297)*FLOOR(SUM(Q1297),0.01),S1297&gt;0,IF(F1297&lt;&gt;"",FLOOR(SUM(S1297),0.01),"")),""),""),"")</f>
        <v/>
      </c>
      <c r="X1297" s="314" t="str" cm="1">
        <f t="array" aca="1" ref="X1297" ca="1">IFERROR(IF(AE1297&lt;&gt;"ja",_xlfn.IFNA(_xlfn.IFS(AND(P1297&lt;&gt;"",R1297&lt;&gt;"",RIGHT($N1297,6)="tarief",F1297="Vergoeding"),SUM(P1297)*FLOOR(SUM(R1297),0.0001),AND(P1297&lt;&gt;"",R1297&lt;&gt;"",RIGHT($N1297,6)="tarief"),P1297*FLOOR(R1297,0.01),T1297&gt;0,FLOOR(SUM(T1297),0.01)),""),""),"")</f>
        <v/>
      </c>
      <c r="Y1297" s="314" t="str">
        <f t="shared" ca="1" si="82"/>
        <v/>
      </c>
      <c r="Z1297" s="314" t="str" cm="1">
        <f t="array" aca="1" ref="Z1297" ca="1">IFERROR(_xlfn.IFS(OR(F1297="",LEFT(Methode_Keuze,4)="Geen",Methode_Keuze=""),"",AND(W1297&lt;&gt;"",F1297&lt;&gt;"Arbeidskosten"),W1297*VLOOKUP(F1297,Tb_ProjectKosten[],MATCH(Tb_ProjectKosten[[#Headers],[Forfait_Percentage]],Tb_ProjectKosten[#Headers],0),0),AND(F1297="Arbeidskosten",G1297&lt;&gt;""),IFERROR(W1297*VLOOKUP(G1297,Tb_KostenTypen[],3,0)*VLOOKUP(F1297,Tb_ProjectKosten[],MATCH(Tb_ProjectKosten[[#Headers],[Forfait_Percentage]],Tb_ProjectKosten[#Headers],0),0),""),W1297 &lt;=0,0),"")</f>
        <v/>
      </c>
      <c r="AA1297" s="314" t="str" cm="1">
        <f t="array" aca="1" ref="AA1297" ca="1">IFERROR(_xlfn.IFS(OR(F1297="",LEFT(Methode_Keuze,4)="Geen",Methode_Keuze=""),"",AND(X1297&lt;&gt;"",F1297&lt;&gt;"Arbeidskosten"),X1297*VLOOKUP(F1297,Tb_ProjectKosten[],MATCH(Tb_ProjectKosten[[#Headers],[Forfait_Percentage]],Tb_ProjectKosten[#Headers],0),0),AND(F1297="Arbeidskosten",G1297&lt;&gt;""),IFERROR(X1297*VLOOKUP(G1297,Tb_KostenTypen[],3,0)*VLOOKUP(F1297,Tb_ProjectKosten[],MATCH(Tb_ProjectKosten[[#Headers],[Forfait_Percentage]],Tb_ProjectKosten[#Headers],0),0),""),X1297 &lt;=0,0),"")</f>
        <v/>
      </c>
      <c r="AB1297" s="314" t="str">
        <f t="shared" ca="1" si="83"/>
        <v/>
      </c>
      <c r="AC1297" s="322"/>
      <c r="AD1297" s="315"/>
      <c r="AE1297" s="32" t="str" cm="1">
        <f t="array" ref="AE1297">IFERROR(IF(INDEX(SubsidieTabel!$AD$1:$AG$12,MATCH($F1297,SubsidieTabel!$AD$1:$AD$12,0),IFERROR(MATCH(Methode_Keuze,SubsidieTabel!$AD$1:$AG$1,0),2))&lt;&gt;1=TRUE,"ja",""),"")</f>
        <v/>
      </c>
    </row>
    <row r="1298" spans="1:31" x14ac:dyDescent="0.25">
      <c r="A1298" s="316"/>
      <c r="B1298" s="317" t="str">
        <f>IF(A1298&lt;&gt;"",_xlfn.MAXIFS($B$1:B1297,$A$1:A1297,A1298)+1,"")</f>
        <v/>
      </c>
      <c r="C1298" s="296"/>
      <c r="D1298" s="296"/>
      <c r="E1298" s="296"/>
      <c r="F1298" s="296"/>
      <c r="G1298" s="326"/>
      <c r="H1298" s="324"/>
      <c r="I1298" s="325"/>
      <c r="J1298" s="325"/>
      <c r="K1298" s="318"/>
      <c r="L1298" s="318"/>
      <c r="M1298" s="319" t="str">
        <f>IFERROR(VLOOKUP(H1298,Lijsten!$H$1:$I$100,2,0),"")</f>
        <v/>
      </c>
      <c r="N1298" s="319" t="str">
        <f ca="1">IFERROR(IF(VLOOKUP(F1298,Kostentypen!$A$3:$E$21,3,0)=0,"",IF(OR(F1298="Arbeidskosten",F1298="Vergoeding"),VLOOKUP(G1298,Tb_KostenTypen[],2,0),VLOOKUP(F1298,Kostentypen!$A$3:$E$20,3,0))),"")</f>
        <v/>
      </c>
      <c r="O1298" s="320" t="str" cm="1">
        <f t="array" ref="O1298">_xlfn.IFNA(IF(INDEX(Tb_KostenOptiesDB[],MATCH($F1298,Tb_KostenOptiesDB[KostenOptie],0),IFERROR(MATCH(Methode_Keuze,Tb_KostenOptiesDB[#Headers],0),2))=1,_xlfn.SWITCH($N1298,"Uurtarief",IF(OR(AND(RIGHT($F1298,3)="IKS",VLOOKUP($M1298,DB_Loonkosten,2,0)="Ja"),AND(RIGHT($F1298,3)&lt;&gt;"IKS",VLOOKUP($M1298,DB_Loonkosten,2,0)="Nee")),IFERROR(VLOOKUP($M1298,DB_Loonkosten,24,0),""),0),"Vast tarief",IF(LEFT(F1298,8)="Bijdrage",VLOOKUP($F1298,Tb_KostenTypen[],MATCH(Lijsten!$P$1,Tb_KostenTypen[#Headers],0),0),VLOOKUP($G1298,Lijsten!L:P,MATCH(Lijsten!$P$1,Kop_Tarief_Vast,0),0))),""),"")</f>
        <v/>
      </c>
      <c r="P1298" s="320" t="str" cm="1">
        <f t="array" ref="P1298">_xlfn.IFNA(IF(INDEX(Tb_KostenOptiesDB[],MATCH($F1298,Tb_KostenOptiesDB[KostenOptie],0),IFERROR(MATCH(Methode_Keuze,Tb_KostenOptiesDB[#Headers],0),2))=1,_xlfn.SWITCH($N1298,"Uurtarief",IF(OR(AND(RIGHT($F1298,3)="IKS",VLOOKUP($M1298,DB_Loonkosten,2,0)="Ja"),AND(RIGHT($F1298,3)&lt;&gt;"IKS",VLOOKUP($M1298,DB_Loonkosten,2,0)="Nee")),IFERROR(VLOOKUP($M1298,DB_Loonkosten,25,0),""),0),"Vast tarief",IF(LEFT(F1298,8)="Bijdrage",VLOOKUP($F1298,Tb_KostenTypen[],MATCH(Lijsten!$P$1,Tb_KostenTypen[#Headers],0),0),VLOOKUP($G1298,Lijsten!L:P,MATCH(Lijsten!$P$1,Kop_Tarief_Vast,0),0))),""),"")</f>
        <v/>
      </c>
      <c r="Q1298" s="359"/>
      <c r="R1298" s="359"/>
      <c r="S1298" s="321"/>
      <c r="T1298" s="321"/>
      <c r="U1298" s="373" t="str">
        <f t="shared" si="80"/>
        <v/>
      </c>
      <c r="V1298" s="314" t="str">
        <f t="shared" si="81"/>
        <v/>
      </c>
      <c r="W1298" s="314" t="str" cm="1">
        <f t="array" aca="1" ref="W1298" ca="1">IFERROR(IF(AE1298&lt;&gt;"ja",_xlfn.IFNA(_xlfn.IFS(AND(O1298&lt;&gt;"",F1298&lt;&gt;"",RIGHT($N1298,6)="tarief",F1298="Vergoeding"),SUM(O1298)*FLOOR(SUM(Q1298),0.0001),AND(O1298&lt;&gt;"",F1298&lt;&gt;"",RIGHT($N1298,6)="tarief"),SUM(O1298)*FLOOR(SUM(Q1298),0.01),S1298&gt;0,IF(F1298&lt;&gt;"",FLOOR(SUM(S1298),0.01),"")),""),""),"")</f>
        <v/>
      </c>
      <c r="X1298" s="314" t="str" cm="1">
        <f t="array" aca="1" ref="X1298" ca="1">IFERROR(IF(AE1298&lt;&gt;"ja",_xlfn.IFNA(_xlfn.IFS(AND(P1298&lt;&gt;"",R1298&lt;&gt;"",RIGHT($N1298,6)="tarief",F1298="Vergoeding"),SUM(P1298)*FLOOR(SUM(R1298),0.0001),AND(P1298&lt;&gt;"",R1298&lt;&gt;"",RIGHT($N1298,6)="tarief"),P1298*FLOOR(R1298,0.01),T1298&gt;0,FLOOR(SUM(T1298),0.01)),""),""),"")</f>
        <v/>
      </c>
      <c r="Y1298" s="314" t="str">
        <f t="shared" ca="1" si="82"/>
        <v/>
      </c>
      <c r="Z1298" s="314" t="str" cm="1">
        <f t="array" aca="1" ref="Z1298" ca="1">IFERROR(_xlfn.IFS(OR(F1298="",LEFT(Methode_Keuze,4)="Geen",Methode_Keuze=""),"",AND(W1298&lt;&gt;"",F1298&lt;&gt;"Arbeidskosten"),W1298*VLOOKUP(F1298,Tb_ProjectKosten[],MATCH(Tb_ProjectKosten[[#Headers],[Forfait_Percentage]],Tb_ProjectKosten[#Headers],0),0),AND(F1298="Arbeidskosten",G1298&lt;&gt;""),IFERROR(W1298*VLOOKUP(G1298,Tb_KostenTypen[],3,0)*VLOOKUP(F1298,Tb_ProjectKosten[],MATCH(Tb_ProjectKosten[[#Headers],[Forfait_Percentage]],Tb_ProjectKosten[#Headers],0),0),""),W1298 &lt;=0,0),"")</f>
        <v/>
      </c>
      <c r="AA1298" s="314" t="str" cm="1">
        <f t="array" aca="1" ref="AA1298" ca="1">IFERROR(_xlfn.IFS(OR(F1298="",LEFT(Methode_Keuze,4)="Geen",Methode_Keuze=""),"",AND(X1298&lt;&gt;"",F1298&lt;&gt;"Arbeidskosten"),X1298*VLOOKUP(F1298,Tb_ProjectKosten[],MATCH(Tb_ProjectKosten[[#Headers],[Forfait_Percentage]],Tb_ProjectKosten[#Headers],0),0),AND(F1298="Arbeidskosten",G1298&lt;&gt;""),IFERROR(X1298*VLOOKUP(G1298,Tb_KostenTypen[],3,0)*VLOOKUP(F1298,Tb_ProjectKosten[],MATCH(Tb_ProjectKosten[[#Headers],[Forfait_Percentage]],Tb_ProjectKosten[#Headers],0),0),""),X1298 &lt;=0,0),"")</f>
        <v/>
      </c>
      <c r="AB1298" s="314" t="str">
        <f t="shared" ca="1" si="83"/>
        <v/>
      </c>
      <c r="AC1298" s="322"/>
      <c r="AD1298" s="315"/>
      <c r="AE1298" s="32" t="str" cm="1">
        <f t="array" ref="AE1298">IFERROR(IF(INDEX(SubsidieTabel!$AD$1:$AG$12,MATCH($F1298,SubsidieTabel!$AD$1:$AD$12,0),IFERROR(MATCH(Methode_Keuze,SubsidieTabel!$AD$1:$AG$1,0),2))&lt;&gt;1=TRUE,"ja",""),"")</f>
        <v/>
      </c>
    </row>
    <row r="1299" spans="1:31" x14ac:dyDescent="0.25">
      <c r="A1299" s="316"/>
      <c r="B1299" s="317" t="str">
        <f>IF(A1299&lt;&gt;"",_xlfn.MAXIFS($B$1:B1298,$A$1:A1298,A1299)+1,"")</f>
        <v/>
      </c>
      <c r="C1299" s="296"/>
      <c r="D1299" s="296"/>
      <c r="E1299" s="296"/>
      <c r="F1299" s="296"/>
      <c r="G1299" s="326"/>
      <c r="H1299" s="324"/>
      <c r="I1299" s="325"/>
      <c r="J1299" s="325"/>
      <c r="K1299" s="318"/>
      <c r="L1299" s="318"/>
      <c r="M1299" s="319" t="str">
        <f>IFERROR(VLOOKUP(H1299,Lijsten!$H$1:$I$100,2,0),"")</f>
        <v/>
      </c>
      <c r="N1299" s="319" t="str">
        <f ca="1">IFERROR(IF(VLOOKUP(F1299,Kostentypen!$A$3:$E$21,3,0)=0,"",IF(OR(F1299="Arbeidskosten",F1299="Vergoeding"),VLOOKUP(G1299,Tb_KostenTypen[],2,0),VLOOKUP(F1299,Kostentypen!$A$3:$E$20,3,0))),"")</f>
        <v/>
      </c>
      <c r="O1299" s="320" t="str" cm="1">
        <f t="array" ref="O1299">_xlfn.IFNA(IF(INDEX(Tb_KostenOptiesDB[],MATCH($F1299,Tb_KostenOptiesDB[KostenOptie],0),IFERROR(MATCH(Methode_Keuze,Tb_KostenOptiesDB[#Headers],0),2))=1,_xlfn.SWITCH($N1299,"Uurtarief",IF(OR(AND(RIGHT($F1299,3)="IKS",VLOOKUP($M1299,DB_Loonkosten,2,0)="Ja"),AND(RIGHT($F1299,3)&lt;&gt;"IKS",VLOOKUP($M1299,DB_Loonkosten,2,0)="Nee")),IFERROR(VLOOKUP($M1299,DB_Loonkosten,24,0),""),0),"Vast tarief",IF(LEFT(F1299,8)="Bijdrage",VLOOKUP($F1299,Tb_KostenTypen[],MATCH(Lijsten!$P$1,Tb_KostenTypen[#Headers],0),0),VLOOKUP($G1299,Lijsten!L:P,MATCH(Lijsten!$P$1,Kop_Tarief_Vast,0),0))),""),"")</f>
        <v/>
      </c>
      <c r="P1299" s="320" t="str" cm="1">
        <f t="array" ref="P1299">_xlfn.IFNA(IF(INDEX(Tb_KostenOptiesDB[],MATCH($F1299,Tb_KostenOptiesDB[KostenOptie],0),IFERROR(MATCH(Methode_Keuze,Tb_KostenOptiesDB[#Headers],0),2))=1,_xlfn.SWITCH($N1299,"Uurtarief",IF(OR(AND(RIGHT($F1299,3)="IKS",VLOOKUP($M1299,DB_Loonkosten,2,0)="Ja"),AND(RIGHT($F1299,3)&lt;&gt;"IKS",VLOOKUP($M1299,DB_Loonkosten,2,0)="Nee")),IFERROR(VLOOKUP($M1299,DB_Loonkosten,25,0),""),0),"Vast tarief",IF(LEFT(F1299,8)="Bijdrage",VLOOKUP($F1299,Tb_KostenTypen[],MATCH(Lijsten!$P$1,Tb_KostenTypen[#Headers],0),0),VLOOKUP($G1299,Lijsten!L:P,MATCH(Lijsten!$P$1,Kop_Tarief_Vast,0),0))),""),"")</f>
        <v/>
      </c>
      <c r="Q1299" s="359"/>
      <c r="R1299" s="359"/>
      <c r="S1299" s="321"/>
      <c r="T1299" s="321"/>
      <c r="U1299" s="373" t="str">
        <f t="shared" si="80"/>
        <v/>
      </c>
      <c r="V1299" s="314" t="str">
        <f t="shared" si="81"/>
        <v/>
      </c>
      <c r="W1299" s="314" t="str" cm="1">
        <f t="array" aca="1" ref="W1299" ca="1">IFERROR(IF(AE1299&lt;&gt;"ja",_xlfn.IFNA(_xlfn.IFS(AND(O1299&lt;&gt;"",F1299&lt;&gt;"",RIGHT($N1299,6)="tarief",F1299="Vergoeding"),SUM(O1299)*FLOOR(SUM(Q1299),0.0001),AND(O1299&lt;&gt;"",F1299&lt;&gt;"",RIGHT($N1299,6)="tarief"),SUM(O1299)*FLOOR(SUM(Q1299),0.01),S1299&gt;0,IF(F1299&lt;&gt;"",FLOOR(SUM(S1299),0.01),"")),""),""),"")</f>
        <v/>
      </c>
      <c r="X1299" s="314" t="str" cm="1">
        <f t="array" aca="1" ref="X1299" ca="1">IFERROR(IF(AE1299&lt;&gt;"ja",_xlfn.IFNA(_xlfn.IFS(AND(P1299&lt;&gt;"",R1299&lt;&gt;"",RIGHT($N1299,6)="tarief",F1299="Vergoeding"),SUM(P1299)*FLOOR(SUM(R1299),0.0001),AND(P1299&lt;&gt;"",R1299&lt;&gt;"",RIGHT($N1299,6)="tarief"),P1299*FLOOR(R1299,0.01),T1299&gt;0,FLOOR(SUM(T1299),0.01)),""),""),"")</f>
        <v/>
      </c>
      <c r="Y1299" s="314" t="str">
        <f t="shared" ca="1" si="82"/>
        <v/>
      </c>
      <c r="Z1299" s="314" t="str" cm="1">
        <f t="array" aca="1" ref="Z1299" ca="1">IFERROR(_xlfn.IFS(OR(F1299="",LEFT(Methode_Keuze,4)="Geen",Methode_Keuze=""),"",AND(W1299&lt;&gt;"",F1299&lt;&gt;"Arbeidskosten"),W1299*VLOOKUP(F1299,Tb_ProjectKosten[],MATCH(Tb_ProjectKosten[[#Headers],[Forfait_Percentage]],Tb_ProjectKosten[#Headers],0),0),AND(F1299="Arbeidskosten",G1299&lt;&gt;""),IFERROR(W1299*VLOOKUP(G1299,Tb_KostenTypen[],3,0)*VLOOKUP(F1299,Tb_ProjectKosten[],MATCH(Tb_ProjectKosten[[#Headers],[Forfait_Percentage]],Tb_ProjectKosten[#Headers],0),0),""),W1299 &lt;=0,0),"")</f>
        <v/>
      </c>
      <c r="AA1299" s="314" t="str" cm="1">
        <f t="array" aca="1" ref="AA1299" ca="1">IFERROR(_xlfn.IFS(OR(F1299="",LEFT(Methode_Keuze,4)="Geen",Methode_Keuze=""),"",AND(X1299&lt;&gt;"",F1299&lt;&gt;"Arbeidskosten"),X1299*VLOOKUP(F1299,Tb_ProjectKosten[],MATCH(Tb_ProjectKosten[[#Headers],[Forfait_Percentage]],Tb_ProjectKosten[#Headers],0),0),AND(F1299="Arbeidskosten",G1299&lt;&gt;""),IFERROR(X1299*VLOOKUP(G1299,Tb_KostenTypen[],3,0)*VLOOKUP(F1299,Tb_ProjectKosten[],MATCH(Tb_ProjectKosten[[#Headers],[Forfait_Percentage]],Tb_ProjectKosten[#Headers],0),0),""),X1299 &lt;=0,0),"")</f>
        <v/>
      </c>
      <c r="AB1299" s="314" t="str">
        <f t="shared" ca="1" si="83"/>
        <v/>
      </c>
      <c r="AC1299" s="322"/>
      <c r="AD1299" s="315"/>
      <c r="AE1299" s="32" t="str" cm="1">
        <f t="array" ref="AE1299">IFERROR(IF(INDEX(SubsidieTabel!$AD$1:$AG$12,MATCH($F1299,SubsidieTabel!$AD$1:$AD$12,0),IFERROR(MATCH(Methode_Keuze,SubsidieTabel!$AD$1:$AG$1,0),2))&lt;&gt;1=TRUE,"ja",""),"")</f>
        <v/>
      </c>
    </row>
    <row r="1300" spans="1:31" x14ac:dyDescent="0.25">
      <c r="A1300" s="316"/>
      <c r="B1300" s="317" t="str">
        <f>IF(A1300&lt;&gt;"",_xlfn.MAXIFS($B$1:B1299,$A$1:A1299,A1300)+1,"")</f>
        <v/>
      </c>
      <c r="C1300" s="296"/>
      <c r="D1300" s="296"/>
      <c r="E1300" s="296"/>
      <c r="F1300" s="296"/>
      <c r="G1300" s="326"/>
      <c r="H1300" s="324"/>
      <c r="I1300" s="325"/>
      <c r="J1300" s="325"/>
      <c r="K1300" s="318"/>
      <c r="L1300" s="318"/>
      <c r="M1300" s="319" t="str">
        <f>IFERROR(VLOOKUP(H1300,Lijsten!$H$1:$I$100,2,0),"")</f>
        <v/>
      </c>
      <c r="N1300" s="319" t="str">
        <f ca="1">IFERROR(IF(VLOOKUP(F1300,Kostentypen!$A$3:$E$21,3,0)=0,"",IF(OR(F1300="Arbeidskosten",F1300="Vergoeding"),VLOOKUP(G1300,Tb_KostenTypen[],2,0),VLOOKUP(F1300,Kostentypen!$A$3:$E$20,3,0))),"")</f>
        <v/>
      </c>
      <c r="O1300" s="320" t="str" cm="1">
        <f t="array" ref="O1300">_xlfn.IFNA(IF(INDEX(Tb_KostenOptiesDB[],MATCH($F1300,Tb_KostenOptiesDB[KostenOptie],0),IFERROR(MATCH(Methode_Keuze,Tb_KostenOptiesDB[#Headers],0),2))=1,_xlfn.SWITCH($N1300,"Uurtarief",IF(OR(AND(RIGHT($F1300,3)="IKS",VLOOKUP($M1300,DB_Loonkosten,2,0)="Ja"),AND(RIGHT($F1300,3)&lt;&gt;"IKS",VLOOKUP($M1300,DB_Loonkosten,2,0)="Nee")),IFERROR(VLOOKUP($M1300,DB_Loonkosten,24,0),""),0),"Vast tarief",IF(LEFT(F1300,8)="Bijdrage",VLOOKUP($F1300,Tb_KostenTypen[],MATCH(Lijsten!$P$1,Tb_KostenTypen[#Headers],0),0),VLOOKUP($G1300,Lijsten!L:P,MATCH(Lijsten!$P$1,Kop_Tarief_Vast,0),0))),""),"")</f>
        <v/>
      </c>
      <c r="P1300" s="320" t="str" cm="1">
        <f t="array" ref="P1300">_xlfn.IFNA(IF(INDEX(Tb_KostenOptiesDB[],MATCH($F1300,Tb_KostenOptiesDB[KostenOptie],0),IFERROR(MATCH(Methode_Keuze,Tb_KostenOptiesDB[#Headers],0),2))=1,_xlfn.SWITCH($N1300,"Uurtarief",IF(OR(AND(RIGHT($F1300,3)="IKS",VLOOKUP($M1300,DB_Loonkosten,2,0)="Ja"),AND(RIGHT($F1300,3)&lt;&gt;"IKS",VLOOKUP($M1300,DB_Loonkosten,2,0)="Nee")),IFERROR(VLOOKUP($M1300,DB_Loonkosten,25,0),""),0),"Vast tarief",IF(LEFT(F1300,8)="Bijdrage",VLOOKUP($F1300,Tb_KostenTypen[],MATCH(Lijsten!$P$1,Tb_KostenTypen[#Headers],0),0),VLOOKUP($G1300,Lijsten!L:P,MATCH(Lijsten!$P$1,Kop_Tarief_Vast,0),0))),""),"")</f>
        <v/>
      </c>
      <c r="Q1300" s="359"/>
      <c r="R1300" s="359"/>
      <c r="S1300" s="321"/>
      <c r="T1300" s="321"/>
      <c r="U1300" s="373" t="str">
        <f t="shared" si="80"/>
        <v/>
      </c>
      <c r="V1300" s="314" t="str">
        <f t="shared" si="81"/>
        <v/>
      </c>
      <c r="W1300" s="314" t="str" cm="1">
        <f t="array" aca="1" ref="W1300" ca="1">IFERROR(IF(AE1300&lt;&gt;"ja",_xlfn.IFNA(_xlfn.IFS(AND(O1300&lt;&gt;"",F1300&lt;&gt;"",RIGHT($N1300,6)="tarief",F1300="Vergoeding"),SUM(O1300)*FLOOR(SUM(Q1300),0.0001),AND(O1300&lt;&gt;"",F1300&lt;&gt;"",RIGHT($N1300,6)="tarief"),SUM(O1300)*FLOOR(SUM(Q1300),0.01),S1300&gt;0,IF(F1300&lt;&gt;"",FLOOR(SUM(S1300),0.01),"")),""),""),"")</f>
        <v/>
      </c>
      <c r="X1300" s="314" t="str" cm="1">
        <f t="array" aca="1" ref="X1300" ca="1">IFERROR(IF(AE1300&lt;&gt;"ja",_xlfn.IFNA(_xlfn.IFS(AND(P1300&lt;&gt;"",R1300&lt;&gt;"",RIGHT($N1300,6)="tarief",F1300="Vergoeding"),SUM(P1300)*FLOOR(SUM(R1300),0.0001),AND(P1300&lt;&gt;"",R1300&lt;&gt;"",RIGHT($N1300,6)="tarief"),P1300*FLOOR(R1300,0.01),T1300&gt;0,FLOOR(SUM(T1300),0.01)),""),""),"")</f>
        <v/>
      </c>
      <c r="Y1300" s="314" t="str">
        <f t="shared" ca="1" si="82"/>
        <v/>
      </c>
      <c r="Z1300" s="314" t="str" cm="1">
        <f t="array" aca="1" ref="Z1300" ca="1">IFERROR(_xlfn.IFS(OR(F1300="",LEFT(Methode_Keuze,4)="Geen",Methode_Keuze=""),"",AND(W1300&lt;&gt;"",F1300&lt;&gt;"Arbeidskosten"),W1300*VLOOKUP(F1300,Tb_ProjectKosten[],MATCH(Tb_ProjectKosten[[#Headers],[Forfait_Percentage]],Tb_ProjectKosten[#Headers],0),0),AND(F1300="Arbeidskosten",G1300&lt;&gt;""),IFERROR(W1300*VLOOKUP(G1300,Tb_KostenTypen[],3,0)*VLOOKUP(F1300,Tb_ProjectKosten[],MATCH(Tb_ProjectKosten[[#Headers],[Forfait_Percentage]],Tb_ProjectKosten[#Headers],0),0),""),W1300 &lt;=0,0),"")</f>
        <v/>
      </c>
      <c r="AA1300" s="314" t="str" cm="1">
        <f t="array" aca="1" ref="AA1300" ca="1">IFERROR(_xlfn.IFS(OR(F1300="",LEFT(Methode_Keuze,4)="Geen",Methode_Keuze=""),"",AND(X1300&lt;&gt;"",F1300&lt;&gt;"Arbeidskosten"),X1300*VLOOKUP(F1300,Tb_ProjectKosten[],MATCH(Tb_ProjectKosten[[#Headers],[Forfait_Percentage]],Tb_ProjectKosten[#Headers],0),0),AND(F1300="Arbeidskosten",G1300&lt;&gt;""),IFERROR(X1300*VLOOKUP(G1300,Tb_KostenTypen[],3,0)*VLOOKUP(F1300,Tb_ProjectKosten[],MATCH(Tb_ProjectKosten[[#Headers],[Forfait_Percentage]],Tb_ProjectKosten[#Headers],0),0),""),X1300 &lt;=0,0),"")</f>
        <v/>
      </c>
      <c r="AB1300" s="314" t="str">
        <f t="shared" ca="1" si="83"/>
        <v/>
      </c>
      <c r="AC1300" s="322"/>
      <c r="AD1300" s="315"/>
      <c r="AE1300" s="32" t="str" cm="1">
        <f t="array" ref="AE1300">IFERROR(IF(INDEX(SubsidieTabel!$AD$1:$AG$12,MATCH($F1300,SubsidieTabel!$AD$1:$AD$12,0),IFERROR(MATCH(Methode_Keuze,SubsidieTabel!$AD$1:$AG$1,0),2))&lt;&gt;1=TRUE,"ja",""),"")</f>
        <v/>
      </c>
    </row>
    <row r="1301" spans="1:31" x14ac:dyDescent="0.25">
      <c r="A1301" s="316"/>
      <c r="B1301" s="317" t="str">
        <f>IF(A1301&lt;&gt;"",_xlfn.MAXIFS($B$1:B1300,$A$1:A1300,A1301)+1,"")</f>
        <v/>
      </c>
      <c r="C1301" s="296"/>
      <c r="D1301" s="296"/>
      <c r="E1301" s="296"/>
      <c r="F1301" s="296"/>
      <c r="G1301" s="326"/>
      <c r="H1301" s="324"/>
      <c r="I1301" s="325"/>
      <c r="J1301" s="325"/>
      <c r="K1301" s="318"/>
      <c r="L1301" s="318"/>
      <c r="M1301" s="319" t="str">
        <f>IFERROR(VLOOKUP(H1301,Lijsten!$H$1:$I$100,2,0),"")</f>
        <v/>
      </c>
      <c r="N1301" s="319" t="str">
        <f ca="1">IFERROR(IF(VLOOKUP(F1301,Kostentypen!$A$3:$E$21,3,0)=0,"",IF(OR(F1301="Arbeidskosten",F1301="Vergoeding"),VLOOKUP(G1301,Tb_KostenTypen[],2,0),VLOOKUP(F1301,Kostentypen!$A$3:$E$20,3,0))),"")</f>
        <v/>
      </c>
      <c r="O1301" s="320" t="str" cm="1">
        <f t="array" ref="O1301">_xlfn.IFNA(IF(INDEX(Tb_KostenOptiesDB[],MATCH($F1301,Tb_KostenOptiesDB[KostenOptie],0),IFERROR(MATCH(Methode_Keuze,Tb_KostenOptiesDB[#Headers],0),2))=1,_xlfn.SWITCH($N1301,"Uurtarief",IF(OR(AND(RIGHT($F1301,3)="IKS",VLOOKUP($M1301,DB_Loonkosten,2,0)="Ja"),AND(RIGHT($F1301,3)&lt;&gt;"IKS",VLOOKUP($M1301,DB_Loonkosten,2,0)="Nee")),IFERROR(VLOOKUP($M1301,DB_Loonkosten,24,0),""),0),"Vast tarief",IF(LEFT(F1301,8)="Bijdrage",VLOOKUP($F1301,Tb_KostenTypen[],MATCH(Lijsten!$P$1,Tb_KostenTypen[#Headers],0),0),VLOOKUP($G1301,Lijsten!L:P,MATCH(Lijsten!$P$1,Kop_Tarief_Vast,0),0))),""),"")</f>
        <v/>
      </c>
      <c r="P1301" s="320" t="str" cm="1">
        <f t="array" ref="P1301">_xlfn.IFNA(IF(INDEX(Tb_KostenOptiesDB[],MATCH($F1301,Tb_KostenOptiesDB[KostenOptie],0),IFERROR(MATCH(Methode_Keuze,Tb_KostenOptiesDB[#Headers],0),2))=1,_xlfn.SWITCH($N1301,"Uurtarief",IF(OR(AND(RIGHT($F1301,3)="IKS",VLOOKUP($M1301,DB_Loonkosten,2,0)="Ja"),AND(RIGHT($F1301,3)&lt;&gt;"IKS",VLOOKUP($M1301,DB_Loonkosten,2,0)="Nee")),IFERROR(VLOOKUP($M1301,DB_Loonkosten,25,0),""),0),"Vast tarief",IF(LEFT(F1301,8)="Bijdrage",VLOOKUP($F1301,Tb_KostenTypen[],MATCH(Lijsten!$P$1,Tb_KostenTypen[#Headers],0),0),VLOOKUP($G1301,Lijsten!L:P,MATCH(Lijsten!$P$1,Kop_Tarief_Vast,0),0))),""),"")</f>
        <v/>
      </c>
      <c r="Q1301" s="359"/>
      <c r="R1301" s="359"/>
      <c r="S1301" s="321"/>
      <c r="T1301" s="321"/>
      <c r="U1301" s="373" t="str">
        <f t="shared" si="80"/>
        <v/>
      </c>
      <c r="V1301" s="314" t="str">
        <f t="shared" si="81"/>
        <v/>
      </c>
      <c r="W1301" s="314" t="str" cm="1">
        <f t="array" aca="1" ref="W1301" ca="1">IFERROR(IF(AE1301&lt;&gt;"ja",_xlfn.IFNA(_xlfn.IFS(AND(O1301&lt;&gt;"",F1301&lt;&gt;"",RIGHT($N1301,6)="tarief",F1301="Vergoeding"),SUM(O1301)*FLOOR(SUM(Q1301),0.0001),AND(O1301&lt;&gt;"",F1301&lt;&gt;"",RIGHT($N1301,6)="tarief"),SUM(O1301)*FLOOR(SUM(Q1301),0.01),S1301&gt;0,IF(F1301&lt;&gt;"",FLOOR(SUM(S1301),0.01),"")),""),""),"")</f>
        <v/>
      </c>
      <c r="X1301" s="314" t="str" cm="1">
        <f t="array" aca="1" ref="X1301" ca="1">IFERROR(IF(AE1301&lt;&gt;"ja",_xlfn.IFNA(_xlfn.IFS(AND(P1301&lt;&gt;"",R1301&lt;&gt;"",RIGHT($N1301,6)="tarief",F1301="Vergoeding"),SUM(P1301)*FLOOR(SUM(R1301),0.0001),AND(P1301&lt;&gt;"",R1301&lt;&gt;"",RIGHT($N1301,6)="tarief"),P1301*FLOOR(R1301,0.01),T1301&gt;0,FLOOR(SUM(T1301),0.01)),""),""),"")</f>
        <v/>
      </c>
      <c r="Y1301" s="314" t="str">
        <f t="shared" ca="1" si="82"/>
        <v/>
      </c>
      <c r="Z1301" s="314" t="str" cm="1">
        <f t="array" aca="1" ref="Z1301" ca="1">IFERROR(_xlfn.IFS(OR(F1301="",LEFT(Methode_Keuze,4)="Geen",Methode_Keuze=""),"",AND(W1301&lt;&gt;"",F1301&lt;&gt;"Arbeidskosten"),W1301*VLOOKUP(F1301,Tb_ProjectKosten[],MATCH(Tb_ProjectKosten[[#Headers],[Forfait_Percentage]],Tb_ProjectKosten[#Headers],0),0),AND(F1301="Arbeidskosten",G1301&lt;&gt;""),IFERROR(W1301*VLOOKUP(G1301,Tb_KostenTypen[],3,0)*VLOOKUP(F1301,Tb_ProjectKosten[],MATCH(Tb_ProjectKosten[[#Headers],[Forfait_Percentage]],Tb_ProjectKosten[#Headers],0),0),""),W1301 &lt;=0,0),"")</f>
        <v/>
      </c>
      <c r="AA1301" s="314" t="str" cm="1">
        <f t="array" aca="1" ref="AA1301" ca="1">IFERROR(_xlfn.IFS(OR(F1301="",LEFT(Methode_Keuze,4)="Geen",Methode_Keuze=""),"",AND(X1301&lt;&gt;"",F1301&lt;&gt;"Arbeidskosten"),X1301*VLOOKUP(F1301,Tb_ProjectKosten[],MATCH(Tb_ProjectKosten[[#Headers],[Forfait_Percentage]],Tb_ProjectKosten[#Headers],0),0),AND(F1301="Arbeidskosten",G1301&lt;&gt;""),IFERROR(X1301*VLOOKUP(G1301,Tb_KostenTypen[],3,0)*VLOOKUP(F1301,Tb_ProjectKosten[],MATCH(Tb_ProjectKosten[[#Headers],[Forfait_Percentage]],Tb_ProjectKosten[#Headers],0),0),""),X1301 &lt;=0,0),"")</f>
        <v/>
      </c>
      <c r="AB1301" s="314" t="str">
        <f t="shared" ca="1" si="83"/>
        <v/>
      </c>
      <c r="AC1301" s="322"/>
      <c r="AD1301" s="315"/>
      <c r="AE1301" s="32" t="str" cm="1">
        <f t="array" ref="AE1301">IFERROR(IF(INDEX(SubsidieTabel!$AD$1:$AG$12,MATCH($F1301,SubsidieTabel!$AD$1:$AD$12,0),IFERROR(MATCH(Methode_Keuze,SubsidieTabel!$AD$1:$AG$1,0),2))&lt;&gt;1=TRUE,"ja",""),"")</f>
        <v/>
      </c>
    </row>
    <row r="1302" spans="1:31" x14ac:dyDescent="0.25">
      <c r="A1302" s="316"/>
      <c r="B1302" s="317" t="str">
        <f>IF(A1302&lt;&gt;"",_xlfn.MAXIFS($B$1:B1301,$A$1:A1301,A1302)+1,"")</f>
        <v/>
      </c>
      <c r="C1302" s="296"/>
      <c r="D1302" s="296"/>
      <c r="E1302" s="296"/>
      <c r="F1302" s="296"/>
      <c r="G1302" s="326"/>
      <c r="H1302" s="324"/>
      <c r="I1302" s="325"/>
      <c r="J1302" s="325"/>
      <c r="K1302" s="318"/>
      <c r="L1302" s="318"/>
      <c r="M1302" s="319" t="str">
        <f>IFERROR(VLOOKUP(H1302,Lijsten!$H$1:$I$100,2,0),"")</f>
        <v/>
      </c>
      <c r="N1302" s="319" t="str">
        <f ca="1">IFERROR(IF(VLOOKUP(F1302,Kostentypen!$A$3:$E$21,3,0)=0,"",IF(OR(F1302="Arbeidskosten",F1302="Vergoeding"),VLOOKUP(G1302,Tb_KostenTypen[],2,0),VLOOKUP(F1302,Kostentypen!$A$3:$E$20,3,0))),"")</f>
        <v/>
      </c>
      <c r="O1302" s="320" t="str" cm="1">
        <f t="array" ref="O1302">_xlfn.IFNA(IF(INDEX(Tb_KostenOptiesDB[],MATCH($F1302,Tb_KostenOptiesDB[KostenOptie],0),IFERROR(MATCH(Methode_Keuze,Tb_KostenOptiesDB[#Headers],0),2))=1,_xlfn.SWITCH($N1302,"Uurtarief",IF(OR(AND(RIGHT($F1302,3)="IKS",VLOOKUP($M1302,DB_Loonkosten,2,0)="Ja"),AND(RIGHT($F1302,3)&lt;&gt;"IKS",VLOOKUP($M1302,DB_Loonkosten,2,0)="Nee")),IFERROR(VLOOKUP($M1302,DB_Loonkosten,24,0),""),0),"Vast tarief",IF(LEFT(F1302,8)="Bijdrage",VLOOKUP($F1302,Tb_KostenTypen[],MATCH(Lijsten!$P$1,Tb_KostenTypen[#Headers],0),0),VLOOKUP($G1302,Lijsten!L:P,MATCH(Lijsten!$P$1,Kop_Tarief_Vast,0),0))),""),"")</f>
        <v/>
      </c>
      <c r="P1302" s="320" t="str" cm="1">
        <f t="array" ref="P1302">_xlfn.IFNA(IF(INDEX(Tb_KostenOptiesDB[],MATCH($F1302,Tb_KostenOptiesDB[KostenOptie],0),IFERROR(MATCH(Methode_Keuze,Tb_KostenOptiesDB[#Headers],0),2))=1,_xlfn.SWITCH($N1302,"Uurtarief",IF(OR(AND(RIGHT($F1302,3)="IKS",VLOOKUP($M1302,DB_Loonkosten,2,0)="Ja"),AND(RIGHT($F1302,3)&lt;&gt;"IKS",VLOOKUP($M1302,DB_Loonkosten,2,0)="Nee")),IFERROR(VLOOKUP($M1302,DB_Loonkosten,25,0),""),0),"Vast tarief",IF(LEFT(F1302,8)="Bijdrage",VLOOKUP($F1302,Tb_KostenTypen[],MATCH(Lijsten!$P$1,Tb_KostenTypen[#Headers],0),0),VLOOKUP($G1302,Lijsten!L:P,MATCH(Lijsten!$P$1,Kop_Tarief_Vast,0),0))),""),"")</f>
        <v/>
      </c>
      <c r="Q1302" s="359"/>
      <c r="R1302" s="359"/>
      <c r="S1302" s="321"/>
      <c r="T1302" s="321"/>
      <c r="U1302" s="373" t="str">
        <f t="shared" si="80"/>
        <v/>
      </c>
      <c r="V1302" s="314" t="str">
        <f t="shared" si="81"/>
        <v/>
      </c>
      <c r="W1302" s="314" t="str" cm="1">
        <f t="array" aca="1" ref="W1302" ca="1">IFERROR(IF(AE1302&lt;&gt;"ja",_xlfn.IFNA(_xlfn.IFS(AND(O1302&lt;&gt;"",F1302&lt;&gt;"",RIGHT($N1302,6)="tarief",F1302="Vergoeding"),SUM(O1302)*FLOOR(SUM(Q1302),0.0001),AND(O1302&lt;&gt;"",F1302&lt;&gt;"",RIGHT($N1302,6)="tarief"),SUM(O1302)*FLOOR(SUM(Q1302),0.01),S1302&gt;0,IF(F1302&lt;&gt;"",FLOOR(SUM(S1302),0.01),"")),""),""),"")</f>
        <v/>
      </c>
      <c r="X1302" s="314" t="str" cm="1">
        <f t="array" aca="1" ref="X1302" ca="1">IFERROR(IF(AE1302&lt;&gt;"ja",_xlfn.IFNA(_xlfn.IFS(AND(P1302&lt;&gt;"",R1302&lt;&gt;"",RIGHT($N1302,6)="tarief",F1302="Vergoeding"),SUM(P1302)*FLOOR(SUM(R1302),0.0001),AND(P1302&lt;&gt;"",R1302&lt;&gt;"",RIGHT($N1302,6)="tarief"),P1302*FLOOR(R1302,0.01),T1302&gt;0,FLOOR(SUM(T1302),0.01)),""),""),"")</f>
        <v/>
      </c>
      <c r="Y1302" s="314" t="str">
        <f t="shared" ca="1" si="82"/>
        <v/>
      </c>
      <c r="Z1302" s="314" t="str" cm="1">
        <f t="array" aca="1" ref="Z1302" ca="1">IFERROR(_xlfn.IFS(OR(F1302="",LEFT(Methode_Keuze,4)="Geen",Methode_Keuze=""),"",AND(W1302&lt;&gt;"",F1302&lt;&gt;"Arbeidskosten"),W1302*VLOOKUP(F1302,Tb_ProjectKosten[],MATCH(Tb_ProjectKosten[[#Headers],[Forfait_Percentage]],Tb_ProjectKosten[#Headers],0),0),AND(F1302="Arbeidskosten",G1302&lt;&gt;""),IFERROR(W1302*VLOOKUP(G1302,Tb_KostenTypen[],3,0)*VLOOKUP(F1302,Tb_ProjectKosten[],MATCH(Tb_ProjectKosten[[#Headers],[Forfait_Percentage]],Tb_ProjectKosten[#Headers],0),0),""),W1302 &lt;=0,0),"")</f>
        <v/>
      </c>
      <c r="AA1302" s="314" t="str" cm="1">
        <f t="array" aca="1" ref="AA1302" ca="1">IFERROR(_xlfn.IFS(OR(F1302="",LEFT(Methode_Keuze,4)="Geen",Methode_Keuze=""),"",AND(X1302&lt;&gt;"",F1302&lt;&gt;"Arbeidskosten"),X1302*VLOOKUP(F1302,Tb_ProjectKosten[],MATCH(Tb_ProjectKosten[[#Headers],[Forfait_Percentage]],Tb_ProjectKosten[#Headers],0),0),AND(F1302="Arbeidskosten",G1302&lt;&gt;""),IFERROR(X1302*VLOOKUP(G1302,Tb_KostenTypen[],3,0)*VLOOKUP(F1302,Tb_ProjectKosten[],MATCH(Tb_ProjectKosten[[#Headers],[Forfait_Percentage]],Tb_ProjectKosten[#Headers],0),0),""),X1302 &lt;=0,0),"")</f>
        <v/>
      </c>
      <c r="AB1302" s="314" t="str">
        <f t="shared" ca="1" si="83"/>
        <v/>
      </c>
      <c r="AC1302" s="322"/>
      <c r="AD1302" s="315"/>
      <c r="AE1302" s="32" t="str" cm="1">
        <f t="array" ref="AE1302">IFERROR(IF(INDEX(SubsidieTabel!$AD$1:$AG$12,MATCH($F1302,SubsidieTabel!$AD$1:$AD$12,0),IFERROR(MATCH(Methode_Keuze,SubsidieTabel!$AD$1:$AG$1,0),2))&lt;&gt;1=TRUE,"ja",""),"")</f>
        <v/>
      </c>
    </row>
    <row r="1303" spans="1:31" x14ac:dyDescent="0.25">
      <c r="A1303" s="316"/>
      <c r="B1303" s="317" t="str">
        <f>IF(A1303&lt;&gt;"",_xlfn.MAXIFS($B$1:B1302,$A$1:A1302,A1303)+1,"")</f>
        <v/>
      </c>
      <c r="C1303" s="296"/>
      <c r="D1303" s="296"/>
      <c r="E1303" s="296"/>
      <c r="F1303" s="296"/>
      <c r="G1303" s="326"/>
      <c r="H1303" s="324"/>
      <c r="I1303" s="325"/>
      <c r="J1303" s="325"/>
      <c r="K1303" s="318"/>
      <c r="L1303" s="318"/>
      <c r="M1303" s="319" t="str">
        <f>IFERROR(VLOOKUP(H1303,Lijsten!$H$1:$I$100,2,0),"")</f>
        <v/>
      </c>
      <c r="N1303" s="319" t="str">
        <f ca="1">IFERROR(IF(VLOOKUP(F1303,Kostentypen!$A$3:$E$21,3,0)=0,"",IF(OR(F1303="Arbeidskosten",F1303="Vergoeding"),VLOOKUP(G1303,Tb_KostenTypen[],2,0),VLOOKUP(F1303,Kostentypen!$A$3:$E$20,3,0))),"")</f>
        <v/>
      </c>
      <c r="O1303" s="320" t="str" cm="1">
        <f t="array" ref="O1303">_xlfn.IFNA(IF(INDEX(Tb_KostenOptiesDB[],MATCH($F1303,Tb_KostenOptiesDB[KostenOptie],0),IFERROR(MATCH(Methode_Keuze,Tb_KostenOptiesDB[#Headers],0),2))=1,_xlfn.SWITCH($N1303,"Uurtarief",IF(OR(AND(RIGHT($F1303,3)="IKS",VLOOKUP($M1303,DB_Loonkosten,2,0)="Ja"),AND(RIGHT($F1303,3)&lt;&gt;"IKS",VLOOKUP($M1303,DB_Loonkosten,2,0)="Nee")),IFERROR(VLOOKUP($M1303,DB_Loonkosten,24,0),""),0),"Vast tarief",IF(LEFT(F1303,8)="Bijdrage",VLOOKUP($F1303,Tb_KostenTypen[],MATCH(Lijsten!$P$1,Tb_KostenTypen[#Headers],0),0),VLOOKUP($G1303,Lijsten!L:P,MATCH(Lijsten!$P$1,Kop_Tarief_Vast,0),0))),""),"")</f>
        <v/>
      </c>
      <c r="P1303" s="320" t="str" cm="1">
        <f t="array" ref="P1303">_xlfn.IFNA(IF(INDEX(Tb_KostenOptiesDB[],MATCH($F1303,Tb_KostenOptiesDB[KostenOptie],0),IFERROR(MATCH(Methode_Keuze,Tb_KostenOptiesDB[#Headers],0),2))=1,_xlfn.SWITCH($N1303,"Uurtarief",IF(OR(AND(RIGHT($F1303,3)="IKS",VLOOKUP($M1303,DB_Loonkosten,2,0)="Ja"),AND(RIGHT($F1303,3)&lt;&gt;"IKS",VLOOKUP($M1303,DB_Loonkosten,2,0)="Nee")),IFERROR(VLOOKUP($M1303,DB_Loonkosten,25,0),""),0),"Vast tarief",IF(LEFT(F1303,8)="Bijdrage",VLOOKUP($F1303,Tb_KostenTypen[],MATCH(Lijsten!$P$1,Tb_KostenTypen[#Headers],0),0),VLOOKUP($G1303,Lijsten!L:P,MATCH(Lijsten!$P$1,Kop_Tarief_Vast,0),0))),""),"")</f>
        <v/>
      </c>
      <c r="Q1303" s="359"/>
      <c r="R1303" s="359"/>
      <c r="S1303" s="321"/>
      <c r="T1303" s="321"/>
      <c r="U1303" s="373" t="str">
        <f t="shared" si="80"/>
        <v/>
      </c>
      <c r="V1303" s="314" t="str">
        <f t="shared" si="81"/>
        <v/>
      </c>
      <c r="W1303" s="314" t="str" cm="1">
        <f t="array" aca="1" ref="W1303" ca="1">IFERROR(IF(AE1303&lt;&gt;"ja",_xlfn.IFNA(_xlfn.IFS(AND(O1303&lt;&gt;"",F1303&lt;&gt;"",RIGHT($N1303,6)="tarief",F1303="Vergoeding"),SUM(O1303)*FLOOR(SUM(Q1303),0.0001),AND(O1303&lt;&gt;"",F1303&lt;&gt;"",RIGHT($N1303,6)="tarief"),SUM(O1303)*FLOOR(SUM(Q1303),0.01),S1303&gt;0,IF(F1303&lt;&gt;"",FLOOR(SUM(S1303),0.01),"")),""),""),"")</f>
        <v/>
      </c>
      <c r="X1303" s="314" t="str" cm="1">
        <f t="array" aca="1" ref="X1303" ca="1">IFERROR(IF(AE1303&lt;&gt;"ja",_xlfn.IFNA(_xlfn.IFS(AND(P1303&lt;&gt;"",R1303&lt;&gt;"",RIGHT($N1303,6)="tarief",F1303="Vergoeding"),SUM(P1303)*FLOOR(SUM(R1303),0.0001),AND(P1303&lt;&gt;"",R1303&lt;&gt;"",RIGHT($N1303,6)="tarief"),P1303*FLOOR(R1303,0.01),T1303&gt;0,FLOOR(SUM(T1303),0.01)),""),""),"")</f>
        <v/>
      </c>
      <c r="Y1303" s="314" t="str">
        <f t="shared" ca="1" si="82"/>
        <v/>
      </c>
      <c r="Z1303" s="314" t="str" cm="1">
        <f t="array" aca="1" ref="Z1303" ca="1">IFERROR(_xlfn.IFS(OR(F1303="",LEFT(Methode_Keuze,4)="Geen",Methode_Keuze=""),"",AND(W1303&lt;&gt;"",F1303&lt;&gt;"Arbeidskosten"),W1303*VLOOKUP(F1303,Tb_ProjectKosten[],MATCH(Tb_ProjectKosten[[#Headers],[Forfait_Percentage]],Tb_ProjectKosten[#Headers],0),0),AND(F1303="Arbeidskosten",G1303&lt;&gt;""),IFERROR(W1303*VLOOKUP(G1303,Tb_KostenTypen[],3,0)*VLOOKUP(F1303,Tb_ProjectKosten[],MATCH(Tb_ProjectKosten[[#Headers],[Forfait_Percentage]],Tb_ProjectKosten[#Headers],0),0),""),W1303 &lt;=0,0),"")</f>
        <v/>
      </c>
      <c r="AA1303" s="314" t="str" cm="1">
        <f t="array" aca="1" ref="AA1303" ca="1">IFERROR(_xlfn.IFS(OR(F1303="",LEFT(Methode_Keuze,4)="Geen",Methode_Keuze=""),"",AND(X1303&lt;&gt;"",F1303&lt;&gt;"Arbeidskosten"),X1303*VLOOKUP(F1303,Tb_ProjectKosten[],MATCH(Tb_ProjectKosten[[#Headers],[Forfait_Percentage]],Tb_ProjectKosten[#Headers],0),0),AND(F1303="Arbeidskosten",G1303&lt;&gt;""),IFERROR(X1303*VLOOKUP(G1303,Tb_KostenTypen[],3,0)*VLOOKUP(F1303,Tb_ProjectKosten[],MATCH(Tb_ProjectKosten[[#Headers],[Forfait_Percentage]],Tb_ProjectKosten[#Headers],0),0),""),X1303 &lt;=0,0),"")</f>
        <v/>
      </c>
      <c r="AB1303" s="314" t="str">
        <f t="shared" ca="1" si="83"/>
        <v/>
      </c>
      <c r="AC1303" s="322"/>
      <c r="AD1303" s="315"/>
      <c r="AE1303" s="32" t="str" cm="1">
        <f t="array" ref="AE1303">IFERROR(IF(INDEX(SubsidieTabel!$AD$1:$AG$12,MATCH($F1303,SubsidieTabel!$AD$1:$AD$12,0),IFERROR(MATCH(Methode_Keuze,SubsidieTabel!$AD$1:$AG$1,0),2))&lt;&gt;1=TRUE,"ja",""),"")</f>
        <v/>
      </c>
    </row>
    <row r="1304" spans="1:31" x14ac:dyDescent="0.25">
      <c r="A1304" s="316"/>
      <c r="B1304" s="317" t="str">
        <f>IF(A1304&lt;&gt;"",_xlfn.MAXIFS($B$1:B1303,$A$1:A1303,A1304)+1,"")</f>
        <v/>
      </c>
      <c r="C1304" s="296"/>
      <c r="D1304" s="296"/>
      <c r="E1304" s="296"/>
      <c r="F1304" s="296"/>
      <c r="G1304" s="326"/>
      <c r="H1304" s="324"/>
      <c r="I1304" s="325"/>
      <c r="J1304" s="325"/>
      <c r="K1304" s="318"/>
      <c r="L1304" s="318"/>
      <c r="M1304" s="319" t="str">
        <f>IFERROR(VLOOKUP(H1304,Lijsten!$H$1:$I$100,2,0),"")</f>
        <v/>
      </c>
      <c r="N1304" s="319" t="str">
        <f ca="1">IFERROR(IF(VLOOKUP(F1304,Kostentypen!$A$3:$E$21,3,0)=0,"",IF(OR(F1304="Arbeidskosten",F1304="Vergoeding"),VLOOKUP(G1304,Tb_KostenTypen[],2,0),VLOOKUP(F1304,Kostentypen!$A$3:$E$20,3,0))),"")</f>
        <v/>
      </c>
      <c r="O1304" s="320" t="str" cm="1">
        <f t="array" ref="O1304">_xlfn.IFNA(IF(INDEX(Tb_KostenOptiesDB[],MATCH($F1304,Tb_KostenOptiesDB[KostenOptie],0),IFERROR(MATCH(Methode_Keuze,Tb_KostenOptiesDB[#Headers],0),2))=1,_xlfn.SWITCH($N1304,"Uurtarief",IF(OR(AND(RIGHT($F1304,3)="IKS",VLOOKUP($M1304,DB_Loonkosten,2,0)="Ja"),AND(RIGHT($F1304,3)&lt;&gt;"IKS",VLOOKUP($M1304,DB_Loonkosten,2,0)="Nee")),IFERROR(VLOOKUP($M1304,DB_Loonkosten,24,0),""),0),"Vast tarief",IF(LEFT(F1304,8)="Bijdrage",VLOOKUP($F1304,Tb_KostenTypen[],MATCH(Lijsten!$P$1,Tb_KostenTypen[#Headers],0),0),VLOOKUP($G1304,Lijsten!L:P,MATCH(Lijsten!$P$1,Kop_Tarief_Vast,0),0))),""),"")</f>
        <v/>
      </c>
      <c r="P1304" s="320" t="str" cm="1">
        <f t="array" ref="P1304">_xlfn.IFNA(IF(INDEX(Tb_KostenOptiesDB[],MATCH($F1304,Tb_KostenOptiesDB[KostenOptie],0),IFERROR(MATCH(Methode_Keuze,Tb_KostenOptiesDB[#Headers],0),2))=1,_xlfn.SWITCH($N1304,"Uurtarief",IF(OR(AND(RIGHT($F1304,3)="IKS",VLOOKUP($M1304,DB_Loonkosten,2,0)="Ja"),AND(RIGHT($F1304,3)&lt;&gt;"IKS",VLOOKUP($M1304,DB_Loonkosten,2,0)="Nee")),IFERROR(VLOOKUP($M1304,DB_Loonkosten,25,0),""),0),"Vast tarief",IF(LEFT(F1304,8)="Bijdrage",VLOOKUP($F1304,Tb_KostenTypen[],MATCH(Lijsten!$P$1,Tb_KostenTypen[#Headers],0),0),VLOOKUP($G1304,Lijsten!L:P,MATCH(Lijsten!$P$1,Kop_Tarief_Vast,0),0))),""),"")</f>
        <v/>
      </c>
      <c r="Q1304" s="359"/>
      <c r="R1304" s="359"/>
      <c r="S1304" s="321"/>
      <c r="T1304" s="321"/>
      <c r="U1304" s="373" t="str">
        <f t="shared" si="80"/>
        <v/>
      </c>
      <c r="V1304" s="314" t="str">
        <f t="shared" si="81"/>
        <v/>
      </c>
      <c r="W1304" s="314" t="str" cm="1">
        <f t="array" aca="1" ref="W1304" ca="1">IFERROR(IF(AE1304&lt;&gt;"ja",_xlfn.IFNA(_xlfn.IFS(AND(O1304&lt;&gt;"",F1304&lt;&gt;"",RIGHT($N1304,6)="tarief",F1304="Vergoeding"),SUM(O1304)*FLOOR(SUM(Q1304),0.0001),AND(O1304&lt;&gt;"",F1304&lt;&gt;"",RIGHT($N1304,6)="tarief"),SUM(O1304)*FLOOR(SUM(Q1304),0.01),S1304&gt;0,IF(F1304&lt;&gt;"",FLOOR(SUM(S1304),0.01),"")),""),""),"")</f>
        <v/>
      </c>
      <c r="X1304" s="314" t="str" cm="1">
        <f t="array" aca="1" ref="X1304" ca="1">IFERROR(IF(AE1304&lt;&gt;"ja",_xlfn.IFNA(_xlfn.IFS(AND(P1304&lt;&gt;"",R1304&lt;&gt;"",RIGHT($N1304,6)="tarief",F1304="Vergoeding"),SUM(P1304)*FLOOR(SUM(R1304),0.0001),AND(P1304&lt;&gt;"",R1304&lt;&gt;"",RIGHT($N1304,6)="tarief"),P1304*FLOOR(R1304,0.01),T1304&gt;0,FLOOR(SUM(T1304),0.01)),""),""),"")</f>
        <v/>
      </c>
      <c r="Y1304" s="314" t="str">
        <f t="shared" ca="1" si="82"/>
        <v/>
      </c>
      <c r="Z1304" s="314" t="str" cm="1">
        <f t="array" aca="1" ref="Z1304" ca="1">IFERROR(_xlfn.IFS(OR(F1304="",LEFT(Methode_Keuze,4)="Geen",Methode_Keuze=""),"",AND(W1304&lt;&gt;"",F1304&lt;&gt;"Arbeidskosten"),W1304*VLOOKUP(F1304,Tb_ProjectKosten[],MATCH(Tb_ProjectKosten[[#Headers],[Forfait_Percentage]],Tb_ProjectKosten[#Headers],0),0),AND(F1304="Arbeidskosten",G1304&lt;&gt;""),IFERROR(W1304*VLOOKUP(G1304,Tb_KostenTypen[],3,0)*VLOOKUP(F1304,Tb_ProjectKosten[],MATCH(Tb_ProjectKosten[[#Headers],[Forfait_Percentage]],Tb_ProjectKosten[#Headers],0),0),""),W1304 &lt;=0,0),"")</f>
        <v/>
      </c>
      <c r="AA1304" s="314" t="str" cm="1">
        <f t="array" aca="1" ref="AA1304" ca="1">IFERROR(_xlfn.IFS(OR(F1304="",LEFT(Methode_Keuze,4)="Geen",Methode_Keuze=""),"",AND(X1304&lt;&gt;"",F1304&lt;&gt;"Arbeidskosten"),X1304*VLOOKUP(F1304,Tb_ProjectKosten[],MATCH(Tb_ProjectKosten[[#Headers],[Forfait_Percentage]],Tb_ProjectKosten[#Headers],0),0),AND(F1304="Arbeidskosten",G1304&lt;&gt;""),IFERROR(X1304*VLOOKUP(G1304,Tb_KostenTypen[],3,0)*VLOOKUP(F1304,Tb_ProjectKosten[],MATCH(Tb_ProjectKosten[[#Headers],[Forfait_Percentage]],Tb_ProjectKosten[#Headers],0),0),""),X1304 &lt;=0,0),"")</f>
        <v/>
      </c>
      <c r="AB1304" s="314" t="str">
        <f t="shared" ca="1" si="83"/>
        <v/>
      </c>
      <c r="AC1304" s="322"/>
      <c r="AD1304" s="315"/>
      <c r="AE1304" s="32" t="str" cm="1">
        <f t="array" ref="AE1304">IFERROR(IF(INDEX(SubsidieTabel!$AD$1:$AG$12,MATCH($F1304,SubsidieTabel!$AD$1:$AD$12,0),IFERROR(MATCH(Methode_Keuze,SubsidieTabel!$AD$1:$AG$1,0),2))&lt;&gt;1=TRUE,"ja",""),"")</f>
        <v/>
      </c>
    </row>
    <row r="1305" spans="1:31" x14ac:dyDescent="0.25">
      <c r="A1305" s="316"/>
      <c r="B1305" s="317" t="str">
        <f>IF(A1305&lt;&gt;"",_xlfn.MAXIFS($B$1:B1304,$A$1:A1304,A1305)+1,"")</f>
        <v/>
      </c>
      <c r="C1305" s="296"/>
      <c r="D1305" s="296"/>
      <c r="E1305" s="296"/>
      <c r="F1305" s="296"/>
      <c r="G1305" s="326"/>
      <c r="H1305" s="324"/>
      <c r="I1305" s="325"/>
      <c r="J1305" s="325"/>
      <c r="K1305" s="318"/>
      <c r="L1305" s="318"/>
      <c r="M1305" s="319" t="str">
        <f>IFERROR(VLOOKUP(H1305,Lijsten!$H$1:$I$100,2,0),"")</f>
        <v/>
      </c>
      <c r="N1305" s="319" t="str">
        <f ca="1">IFERROR(IF(VLOOKUP(F1305,Kostentypen!$A$3:$E$21,3,0)=0,"",IF(OR(F1305="Arbeidskosten",F1305="Vergoeding"),VLOOKUP(G1305,Tb_KostenTypen[],2,0),VLOOKUP(F1305,Kostentypen!$A$3:$E$20,3,0))),"")</f>
        <v/>
      </c>
      <c r="O1305" s="320" t="str" cm="1">
        <f t="array" ref="O1305">_xlfn.IFNA(IF(INDEX(Tb_KostenOptiesDB[],MATCH($F1305,Tb_KostenOptiesDB[KostenOptie],0),IFERROR(MATCH(Methode_Keuze,Tb_KostenOptiesDB[#Headers],0),2))=1,_xlfn.SWITCH($N1305,"Uurtarief",IF(OR(AND(RIGHT($F1305,3)="IKS",VLOOKUP($M1305,DB_Loonkosten,2,0)="Ja"),AND(RIGHT($F1305,3)&lt;&gt;"IKS",VLOOKUP($M1305,DB_Loonkosten,2,0)="Nee")),IFERROR(VLOOKUP($M1305,DB_Loonkosten,24,0),""),0),"Vast tarief",IF(LEFT(F1305,8)="Bijdrage",VLOOKUP($F1305,Tb_KostenTypen[],MATCH(Lijsten!$P$1,Tb_KostenTypen[#Headers],0),0),VLOOKUP($G1305,Lijsten!L:P,MATCH(Lijsten!$P$1,Kop_Tarief_Vast,0),0))),""),"")</f>
        <v/>
      </c>
      <c r="P1305" s="320" t="str" cm="1">
        <f t="array" ref="P1305">_xlfn.IFNA(IF(INDEX(Tb_KostenOptiesDB[],MATCH($F1305,Tb_KostenOptiesDB[KostenOptie],0),IFERROR(MATCH(Methode_Keuze,Tb_KostenOptiesDB[#Headers],0),2))=1,_xlfn.SWITCH($N1305,"Uurtarief",IF(OR(AND(RIGHT($F1305,3)="IKS",VLOOKUP($M1305,DB_Loonkosten,2,0)="Ja"),AND(RIGHT($F1305,3)&lt;&gt;"IKS",VLOOKUP($M1305,DB_Loonkosten,2,0)="Nee")),IFERROR(VLOOKUP($M1305,DB_Loonkosten,25,0),""),0),"Vast tarief",IF(LEFT(F1305,8)="Bijdrage",VLOOKUP($F1305,Tb_KostenTypen[],MATCH(Lijsten!$P$1,Tb_KostenTypen[#Headers],0),0),VLOOKUP($G1305,Lijsten!L:P,MATCH(Lijsten!$P$1,Kop_Tarief_Vast,0),0))),""),"")</f>
        <v/>
      </c>
      <c r="Q1305" s="359"/>
      <c r="R1305" s="359"/>
      <c r="S1305" s="321"/>
      <c r="T1305" s="321"/>
      <c r="U1305" s="373" t="str">
        <f t="shared" si="80"/>
        <v/>
      </c>
      <c r="V1305" s="314" t="str">
        <f t="shared" si="81"/>
        <v/>
      </c>
      <c r="W1305" s="314" t="str" cm="1">
        <f t="array" aca="1" ref="W1305" ca="1">IFERROR(IF(AE1305&lt;&gt;"ja",_xlfn.IFNA(_xlfn.IFS(AND(O1305&lt;&gt;"",F1305&lt;&gt;"",RIGHT($N1305,6)="tarief",F1305="Vergoeding"),SUM(O1305)*FLOOR(SUM(Q1305),0.0001),AND(O1305&lt;&gt;"",F1305&lt;&gt;"",RIGHT($N1305,6)="tarief"),SUM(O1305)*FLOOR(SUM(Q1305),0.01),S1305&gt;0,IF(F1305&lt;&gt;"",FLOOR(SUM(S1305),0.01),"")),""),""),"")</f>
        <v/>
      </c>
      <c r="X1305" s="314" t="str" cm="1">
        <f t="array" aca="1" ref="X1305" ca="1">IFERROR(IF(AE1305&lt;&gt;"ja",_xlfn.IFNA(_xlfn.IFS(AND(P1305&lt;&gt;"",R1305&lt;&gt;"",RIGHT($N1305,6)="tarief",F1305="Vergoeding"),SUM(P1305)*FLOOR(SUM(R1305),0.0001),AND(P1305&lt;&gt;"",R1305&lt;&gt;"",RIGHT($N1305,6)="tarief"),P1305*FLOOR(R1305,0.01),T1305&gt;0,FLOOR(SUM(T1305),0.01)),""),""),"")</f>
        <v/>
      </c>
      <c r="Y1305" s="314" t="str">
        <f t="shared" ca="1" si="82"/>
        <v/>
      </c>
      <c r="Z1305" s="314" t="str" cm="1">
        <f t="array" aca="1" ref="Z1305" ca="1">IFERROR(_xlfn.IFS(OR(F1305="",LEFT(Methode_Keuze,4)="Geen",Methode_Keuze=""),"",AND(W1305&lt;&gt;"",F1305&lt;&gt;"Arbeidskosten"),W1305*VLOOKUP(F1305,Tb_ProjectKosten[],MATCH(Tb_ProjectKosten[[#Headers],[Forfait_Percentage]],Tb_ProjectKosten[#Headers],0),0),AND(F1305="Arbeidskosten",G1305&lt;&gt;""),IFERROR(W1305*VLOOKUP(G1305,Tb_KostenTypen[],3,0)*VLOOKUP(F1305,Tb_ProjectKosten[],MATCH(Tb_ProjectKosten[[#Headers],[Forfait_Percentage]],Tb_ProjectKosten[#Headers],0),0),""),W1305 &lt;=0,0),"")</f>
        <v/>
      </c>
      <c r="AA1305" s="314" t="str" cm="1">
        <f t="array" aca="1" ref="AA1305" ca="1">IFERROR(_xlfn.IFS(OR(F1305="",LEFT(Methode_Keuze,4)="Geen",Methode_Keuze=""),"",AND(X1305&lt;&gt;"",F1305&lt;&gt;"Arbeidskosten"),X1305*VLOOKUP(F1305,Tb_ProjectKosten[],MATCH(Tb_ProjectKosten[[#Headers],[Forfait_Percentage]],Tb_ProjectKosten[#Headers],0),0),AND(F1305="Arbeidskosten",G1305&lt;&gt;""),IFERROR(X1305*VLOOKUP(G1305,Tb_KostenTypen[],3,0)*VLOOKUP(F1305,Tb_ProjectKosten[],MATCH(Tb_ProjectKosten[[#Headers],[Forfait_Percentage]],Tb_ProjectKosten[#Headers],0),0),""),X1305 &lt;=0,0),"")</f>
        <v/>
      </c>
      <c r="AB1305" s="314" t="str">
        <f t="shared" ca="1" si="83"/>
        <v/>
      </c>
      <c r="AC1305" s="322"/>
      <c r="AD1305" s="315"/>
      <c r="AE1305" s="32" t="str" cm="1">
        <f t="array" ref="AE1305">IFERROR(IF(INDEX(SubsidieTabel!$AD$1:$AG$12,MATCH($F1305,SubsidieTabel!$AD$1:$AD$12,0),IFERROR(MATCH(Methode_Keuze,SubsidieTabel!$AD$1:$AG$1,0),2))&lt;&gt;1=TRUE,"ja",""),"")</f>
        <v/>
      </c>
    </row>
    <row r="1306" spans="1:31" x14ac:dyDescent="0.25">
      <c r="A1306" s="316"/>
      <c r="B1306" s="317" t="str">
        <f>IF(A1306&lt;&gt;"",_xlfn.MAXIFS($B$1:B1305,$A$1:A1305,A1306)+1,"")</f>
        <v/>
      </c>
      <c r="C1306" s="296"/>
      <c r="D1306" s="296"/>
      <c r="E1306" s="296"/>
      <c r="F1306" s="296"/>
      <c r="G1306" s="326"/>
      <c r="H1306" s="324"/>
      <c r="I1306" s="325"/>
      <c r="J1306" s="325"/>
      <c r="K1306" s="318"/>
      <c r="L1306" s="318"/>
      <c r="M1306" s="319" t="str">
        <f>IFERROR(VLOOKUP(H1306,Lijsten!$H$1:$I$100,2,0),"")</f>
        <v/>
      </c>
      <c r="N1306" s="319" t="str">
        <f ca="1">IFERROR(IF(VLOOKUP(F1306,Kostentypen!$A$3:$E$21,3,0)=0,"",IF(OR(F1306="Arbeidskosten",F1306="Vergoeding"),VLOOKUP(G1306,Tb_KostenTypen[],2,0),VLOOKUP(F1306,Kostentypen!$A$3:$E$20,3,0))),"")</f>
        <v/>
      </c>
      <c r="O1306" s="320" t="str" cm="1">
        <f t="array" ref="O1306">_xlfn.IFNA(IF(INDEX(Tb_KostenOptiesDB[],MATCH($F1306,Tb_KostenOptiesDB[KostenOptie],0),IFERROR(MATCH(Methode_Keuze,Tb_KostenOptiesDB[#Headers],0),2))=1,_xlfn.SWITCH($N1306,"Uurtarief",IF(OR(AND(RIGHT($F1306,3)="IKS",VLOOKUP($M1306,DB_Loonkosten,2,0)="Ja"),AND(RIGHT($F1306,3)&lt;&gt;"IKS",VLOOKUP($M1306,DB_Loonkosten,2,0)="Nee")),IFERROR(VLOOKUP($M1306,DB_Loonkosten,24,0),""),0),"Vast tarief",IF(LEFT(F1306,8)="Bijdrage",VLOOKUP($F1306,Tb_KostenTypen[],MATCH(Lijsten!$P$1,Tb_KostenTypen[#Headers],0),0),VLOOKUP($G1306,Lijsten!L:P,MATCH(Lijsten!$P$1,Kop_Tarief_Vast,0),0))),""),"")</f>
        <v/>
      </c>
      <c r="P1306" s="320" t="str" cm="1">
        <f t="array" ref="P1306">_xlfn.IFNA(IF(INDEX(Tb_KostenOptiesDB[],MATCH($F1306,Tb_KostenOptiesDB[KostenOptie],0),IFERROR(MATCH(Methode_Keuze,Tb_KostenOptiesDB[#Headers],0),2))=1,_xlfn.SWITCH($N1306,"Uurtarief",IF(OR(AND(RIGHT($F1306,3)="IKS",VLOOKUP($M1306,DB_Loonkosten,2,0)="Ja"),AND(RIGHT($F1306,3)&lt;&gt;"IKS",VLOOKUP($M1306,DB_Loonkosten,2,0)="Nee")),IFERROR(VLOOKUP($M1306,DB_Loonkosten,25,0),""),0),"Vast tarief",IF(LEFT(F1306,8)="Bijdrage",VLOOKUP($F1306,Tb_KostenTypen[],MATCH(Lijsten!$P$1,Tb_KostenTypen[#Headers],0),0),VLOOKUP($G1306,Lijsten!L:P,MATCH(Lijsten!$P$1,Kop_Tarief_Vast,0),0))),""),"")</f>
        <v/>
      </c>
      <c r="Q1306" s="359"/>
      <c r="R1306" s="359"/>
      <c r="S1306" s="321"/>
      <c r="T1306" s="321"/>
      <c r="U1306" s="373" t="str">
        <f t="shared" si="80"/>
        <v/>
      </c>
      <c r="V1306" s="314" t="str">
        <f t="shared" si="81"/>
        <v/>
      </c>
      <c r="W1306" s="314" t="str" cm="1">
        <f t="array" aca="1" ref="W1306" ca="1">IFERROR(IF(AE1306&lt;&gt;"ja",_xlfn.IFNA(_xlfn.IFS(AND(O1306&lt;&gt;"",F1306&lt;&gt;"",RIGHT($N1306,6)="tarief",F1306="Vergoeding"),SUM(O1306)*FLOOR(SUM(Q1306),0.0001),AND(O1306&lt;&gt;"",F1306&lt;&gt;"",RIGHT($N1306,6)="tarief"),SUM(O1306)*FLOOR(SUM(Q1306),0.01),S1306&gt;0,IF(F1306&lt;&gt;"",FLOOR(SUM(S1306),0.01),"")),""),""),"")</f>
        <v/>
      </c>
      <c r="X1306" s="314" t="str" cm="1">
        <f t="array" aca="1" ref="X1306" ca="1">IFERROR(IF(AE1306&lt;&gt;"ja",_xlfn.IFNA(_xlfn.IFS(AND(P1306&lt;&gt;"",R1306&lt;&gt;"",RIGHT($N1306,6)="tarief",F1306="Vergoeding"),SUM(P1306)*FLOOR(SUM(R1306),0.0001),AND(P1306&lt;&gt;"",R1306&lt;&gt;"",RIGHT($N1306,6)="tarief"),P1306*FLOOR(R1306,0.01),T1306&gt;0,FLOOR(SUM(T1306),0.01)),""),""),"")</f>
        <v/>
      </c>
      <c r="Y1306" s="314" t="str">
        <f t="shared" ca="1" si="82"/>
        <v/>
      </c>
      <c r="Z1306" s="314" t="str" cm="1">
        <f t="array" aca="1" ref="Z1306" ca="1">IFERROR(_xlfn.IFS(OR(F1306="",LEFT(Methode_Keuze,4)="Geen",Methode_Keuze=""),"",AND(W1306&lt;&gt;"",F1306&lt;&gt;"Arbeidskosten"),W1306*VLOOKUP(F1306,Tb_ProjectKosten[],MATCH(Tb_ProjectKosten[[#Headers],[Forfait_Percentage]],Tb_ProjectKosten[#Headers],0),0),AND(F1306="Arbeidskosten",G1306&lt;&gt;""),IFERROR(W1306*VLOOKUP(G1306,Tb_KostenTypen[],3,0)*VLOOKUP(F1306,Tb_ProjectKosten[],MATCH(Tb_ProjectKosten[[#Headers],[Forfait_Percentage]],Tb_ProjectKosten[#Headers],0),0),""),W1306 &lt;=0,0),"")</f>
        <v/>
      </c>
      <c r="AA1306" s="314" t="str" cm="1">
        <f t="array" aca="1" ref="AA1306" ca="1">IFERROR(_xlfn.IFS(OR(F1306="",LEFT(Methode_Keuze,4)="Geen",Methode_Keuze=""),"",AND(X1306&lt;&gt;"",F1306&lt;&gt;"Arbeidskosten"),X1306*VLOOKUP(F1306,Tb_ProjectKosten[],MATCH(Tb_ProjectKosten[[#Headers],[Forfait_Percentage]],Tb_ProjectKosten[#Headers],0),0),AND(F1306="Arbeidskosten",G1306&lt;&gt;""),IFERROR(X1306*VLOOKUP(G1306,Tb_KostenTypen[],3,0)*VLOOKUP(F1306,Tb_ProjectKosten[],MATCH(Tb_ProjectKosten[[#Headers],[Forfait_Percentage]],Tb_ProjectKosten[#Headers],0),0),""),X1306 &lt;=0,0),"")</f>
        <v/>
      </c>
      <c r="AB1306" s="314" t="str">
        <f t="shared" ca="1" si="83"/>
        <v/>
      </c>
      <c r="AC1306" s="322"/>
      <c r="AD1306" s="315"/>
      <c r="AE1306" s="32" t="str" cm="1">
        <f t="array" ref="AE1306">IFERROR(IF(INDEX(SubsidieTabel!$AD$1:$AG$12,MATCH($F1306,SubsidieTabel!$AD$1:$AD$12,0),IFERROR(MATCH(Methode_Keuze,SubsidieTabel!$AD$1:$AG$1,0),2))&lt;&gt;1=TRUE,"ja",""),"")</f>
        <v/>
      </c>
    </row>
    <row r="1307" spans="1:31" x14ac:dyDescent="0.25">
      <c r="A1307" s="316"/>
      <c r="B1307" s="317" t="str">
        <f>IF(A1307&lt;&gt;"",_xlfn.MAXIFS($B$1:B1306,$A$1:A1306,A1307)+1,"")</f>
        <v/>
      </c>
      <c r="C1307" s="296"/>
      <c r="D1307" s="296"/>
      <c r="E1307" s="296"/>
      <c r="F1307" s="296"/>
      <c r="G1307" s="326"/>
      <c r="H1307" s="324"/>
      <c r="I1307" s="325"/>
      <c r="J1307" s="325"/>
      <c r="K1307" s="318"/>
      <c r="L1307" s="318"/>
      <c r="M1307" s="319" t="str">
        <f>IFERROR(VLOOKUP(H1307,Lijsten!$H$1:$I$100,2,0),"")</f>
        <v/>
      </c>
      <c r="N1307" s="319" t="str">
        <f ca="1">IFERROR(IF(VLOOKUP(F1307,Kostentypen!$A$3:$E$21,3,0)=0,"",IF(OR(F1307="Arbeidskosten",F1307="Vergoeding"),VLOOKUP(G1307,Tb_KostenTypen[],2,0),VLOOKUP(F1307,Kostentypen!$A$3:$E$20,3,0))),"")</f>
        <v/>
      </c>
      <c r="O1307" s="320" t="str" cm="1">
        <f t="array" ref="O1307">_xlfn.IFNA(IF(INDEX(Tb_KostenOptiesDB[],MATCH($F1307,Tb_KostenOptiesDB[KostenOptie],0),IFERROR(MATCH(Methode_Keuze,Tb_KostenOptiesDB[#Headers],0),2))=1,_xlfn.SWITCH($N1307,"Uurtarief",IF(OR(AND(RIGHT($F1307,3)="IKS",VLOOKUP($M1307,DB_Loonkosten,2,0)="Ja"),AND(RIGHT($F1307,3)&lt;&gt;"IKS",VLOOKUP($M1307,DB_Loonkosten,2,0)="Nee")),IFERROR(VLOOKUP($M1307,DB_Loonkosten,24,0),""),0),"Vast tarief",IF(LEFT(F1307,8)="Bijdrage",VLOOKUP($F1307,Tb_KostenTypen[],MATCH(Lijsten!$P$1,Tb_KostenTypen[#Headers],0),0),VLOOKUP($G1307,Lijsten!L:P,MATCH(Lijsten!$P$1,Kop_Tarief_Vast,0),0))),""),"")</f>
        <v/>
      </c>
      <c r="P1307" s="320" t="str" cm="1">
        <f t="array" ref="P1307">_xlfn.IFNA(IF(INDEX(Tb_KostenOptiesDB[],MATCH($F1307,Tb_KostenOptiesDB[KostenOptie],0),IFERROR(MATCH(Methode_Keuze,Tb_KostenOptiesDB[#Headers],0),2))=1,_xlfn.SWITCH($N1307,"Uurtarief",IF(OR(AND(RIGHT($F1307,3)="IKS",VLOOKUP($M1307,DB_Loonkosten,2,0)="Ja"),AND(RIGHT($F1307,3)&lt;&gt;"IKS",VLOOKUP($M1307,DB_Loonkosten,2,0)="Nee")),IFERROR(VLOOKUP($M1307,DB_Loonkosten,25,0),""),0),"Vast tarief",IF(LEFT(F1307,8)="Bijdrage",VLOOKUP($F1307,Tb_KostenTypen[],MATCH(Lijsten!$P$1,Tb_KostenTypen[#Headers],0),0),VLOOKUP($G1307,Lijsten!L:P,MATCH(Lijsten!$P$1,Kop_Tarief_Vast,0),0))),""),"")</f>
        <v/>
      </c>
      <c r="Q1307" s="359"/>
      <c r="R1307" s="359"/>
      <c r="S1307" s="321"/>
      <c r="T1307" s="321"/>
      <c r="U1307" s="373" t="str">
        <f t="shared" si="80"/>
        <v/>
      </c>
      <c r="V1307" s="314" t="str">
        <f t="shared" si="81"/>
        <v/>
      </c>
      <c r="W1307" s="314" t="str" cm="1">
        <f t="array" aca="1" ref="W1307" ca="1">IFERROR(IF(AE1307&lt;&gt;"ja",_xlfn.IFNA(_xlfn.IFS(AND(O1307&lt;&gt;"",F1307&lt;&gt;"",RIGHT($N1307,6)="tarief",F1307="Vergoeding"),SUM(O1307)*FLOOR(SUM(Q1307),0.0001),AND(O1307&lt;&gt;"",F1307&lt;&gt;"",RIGHT($N1307,6)="tarief"),SUM(O1307)*FLOOR(SUM(Q1307),0.01),S1307&gt;0,IF(F1307&lt;&gt;"",FLOOR(SUM(S1307),0.01),"")),""),""),"")</f>
        <v/>
      </c>
      <c r="X1307" s="314" t="str" cm="1">
        <f t="array" aca="1" ref="X1307" ca="1">IFERROR(IF(AE1307&lt;&gt;"ja",_xlfn.IFNA(_xlfn.IFS(AND(P1307&lt;&gt;"",R1307&lt;&gt;"",RIGHT($N1307,6)="tarief",F1307="Vergoeding"),SUM(P1307)*FLOOR(SUM(R1307),0.0001),AND(P1307&lt;&gt;"",R1307&lt;&gt;"",RIGHT($N1307,6)="tarief"),P1307*FLOOR(R1307,0.01),T1307&gt;0,FLOOR(SUM(T1307),0.01)),""),""),"")</f>
        <v/>
      </c>
      <c r="Y1307" s="314" t="str">
        <f t="shared" ca="1" si="82"/>
        <v/>
      </c>
      <c r="Z1307" s="314" t="str" cm="1">
        <f t="array" aca="1" ref="Z1307" ca="1">IFERROR(_xlfn.IFS(OR(F1307="",LEFT(Methode_Keuze,4)="Geen",Methode_Keuze=""),"",AND(W1307&lt;&gt;"",F1307&lt;&gt;"Arbeidskosten"),W1307*VLOOKUP(F1307,Tb_ProjectKosten[],MATCH(Tb_ProjectKosten[[#Headers],[Forfait_Percentage]],Tb_ProjectKosten[#Headers],0),0),AND(F1307="Arbeidskosten",G1307&lt;&gt;""),IFERROR(W1307*VLOOKUP(G1307,Tb_KostenTypen[],3,0)*VLOOKUP(F1307,Tb_ProjectKosten[],MATCH(Tb_ProjectKosten[[#Headers],[Forfait_Percentage]],Tb_ProjectKosten[#Headers],0),0),""),W1307 &lt;=0,0),"")</f>
        <v/>
      </c>
      <c r="AA1307" s="314" t="str" cm="1">
        <f t="array" aca="1" ref="AA1307" ca="1">IFERROR(_xlfn.IFS(OR(F1307="",LEFT(Methode_Keuze,4)="Geen",Methode_Keuze=""),"",AND(X1307&lt;&gt;"",F1307&lt;&gt;"Arbeidskosten"),X1307*VLOOKUP(F1307,Tb_ProjectKosten[],MATCH(Tb_ProjectKosten[[#Headers],[Forfait_Percentage]],Tb_ProjectKosten[#Headers],0),0),AND(F1307="Arbeidskosten",G1307&lt;&gt;""),IFERROR(X1307*VLOOKUP(G1307,Tb_KostenTypen[],3,0)*VLOOKUP(F1307,Tb_ProjectKosten[],MATCH(Tb_ProjectKosten[[#Headers],[Forfait_Percentage]],Tb_ProjectKosten[#Headers],0),0),""),X1307 &lt;=0,0),"")</f>
        <v/>
      </c>
      <c r="AB1307" s="314" t="str">
        <f t="shared" ca="1" si="83"/>
        <v/>
      </c>
      <c r="AC1307" s="322"/>
      <c r="AD1307" s="315"/>
      <c r="AE1307" s="32" t="str" cm="1">
        <f t="array" ref="AE1307">IFERROR(IF(INDEX(SubsidieTabel!$AD$1:$AG$12,MATCH($F1307,SubsidieTabel!$AD$1:$AD$12,0),IFERROR(MATCH(Methode_Keuze,SubsidieTabel!$AD$1:$AG$1,0),2))&lt;&gt;1=TRUE,"ja",""),"")</f>
        <v/>
      </c>
    </row>
    <row r="1308" spans="1:31" x14ac:dyDescent="0.25">
      <c r="A1308" s="316"/>
      <c r="B1308" s="317" t="str">
        <f>IF(A1308&lt;&gt;"",_xlfn.MAXIFS($B$1:B1307,$A$1:A1307,A1308)+1,"")</f>
        <v/>
      </c>
      <c r="C1308" s="296"/>
      <c r="D1308" s="296"/>
      <c r="E1308" s="296"/>
      <c r="F1308" s="296"/>
      <c r="G1308" s="326"/>
      <c r="H1308" s="324"/>
      <c r="I1308" s="325"/>
      <c r="J1308" s="325"/>
      <c r="K1308" s="318"/>
      <c r="L1308" s="318"/>
      <c r="M1308" s="319" t="str">
        <f>IFERROR(VLOOKUP(H1308,Lijsten!$H$1:$I$100,2,0),"")</f>
        <v/>
      </c>
      <c r="N1308" s="319" t="str">
        <f ca="1">IFERROR(IF(VLOOKUP(F1308,Kostentypen!$A$3:$E$21,3,0)=0,"",IF(OR(F1308="Arbeidskosten",F1308="Vergoeding"),VLOOKUP(G1308,Tb_KostenTypen[],2,0),VLOOKUP(F1308,Kostentypen!$A$3:$E$20,3,0))),"")</f>
        <v/>
      </c>
      <c r="O1308" s="320" t="str" cm="1">
        <f t="array" ref="O1308">_xlfn.IFNA(IF(INDEX(Tb_KostenOptiesDB[],MATCH($F1308,Tb_KostenOptiesDB[KostenOptie],0),IFERROR(MATCH(Methode_Keuze,Tb_KostenOptiesDB[#Headers],0),2))=1,_xlfn.SWITCH($N1308,"Uurtarief",IF(OR(AND(RIGHT($F1308,3)="IKS",VLOOKUP($M1308,DB_Loonkosten,2,0)="Ja"),AND(RIGHT($F1308,3)&lt;&gt;"IKS",VLOOKUP($M1308,DB_Loonkosten,2,0)="Nee")),IFERROR(VLOOKUP($M1308,DB_Loonkosten,24,0),""),0),"Vast tarief",IF(LEFT(F1308,8)="Bijdrage",VLOOKUP($F1308,Tb_KostenTypen[],MATCH(Lijsten!$P$1,Tb_KostenTypen[#Headers],0),0),VLOOKUP($G1308,Lijsten!L:P,MATCH(Lijsten!$P$1,Kop_Tarief_Vast,0),0))),""),"")</f>
        <v/>
      </c>
      <c r="P1308" s="320" t="str" cm="1">
        <f t="array" ref="P1308">_xlfn.IFNA(IF(INDEX(Tb_KostenOptiesDB[],MATCH($F1308,Tb_KostenOptiesDB[KostenOptie],0),IFERROR(MATCH(Methode_Keuze,Tb_KostenOptiesDB[#Headers],0),2))=1,_xlfn.SWITCH($N1308,"Uurtarief",IF(OR(AND(RIGHT($F1308,3)="IKS",VLOOKUP($M1308,DB_Loonkosten,2,0)="Ja"),AND(RIGHT($F1308,3)&lt;&gt;"IKS",VLOOKUP($M1308,DB_Loonkosten,2,0)="Nee")),IFERROR(VLOOKUP($M1308,DB_Loonkosten,25,0),""),0),"Vast tarief",IF(LEFT(F1308,8)="Bijdrage",VLOOKUP($F1308,Tb_KostenTypen[],MATCH(Lijsten!$P$1,Tb_KostenTypen[#Headers],0),0),VLOOKUP($G1308,Lijsten!L:P,MATCH(Lijsten!$P$1,Kop_Tarief_Vast,0),0))),""),"")</f>
        <v/>
      </c>
      <c r="Q1308" s="359"/>
      <c r="R1308" s="359"/>
      <c r="S1308" s="321"/>
      <c r="T1308" s="321"/>
      <c r="U1308" s="373" t="str">
        <f t="shared" si="80"/>
        <v/>
      </c>
      <c r="V1308" s="314" t="str">
        <f t="shared" si="81"/>
        <v/>
      </c>
      <c r="W1308" s="314" t="str" cm="1">
        <f t="array" aca="1" ref="W1308" ca="1">IFERROR(IF(AE1308&lt;&gt;"ja",_xlfn.IFNA(_xlfn.IFS(AND(O1308&lt;&gt;"",F1308&lt;&gt;"",RIGHT($N1308,6)="tarief",F1308="Vergoeding"),SUM(O1308)*FLOOR(SUM(Q1308),0.0001),AND(O1308&lt;&gt;"",F1308&lt;&gt;"",RIGHT($N1308,6)="tarief"),SUM(O1308)*FLOOR(SUM(Q1308),0.01),S1308&gt;0,IF(F1308&lt;&gt;"",FLOOR(SUM(S1308),0.01),"")),""),""),"")</f>
        <v/>
      </c>
      <c r="X1308" s="314" t="str" cm="1">
        <f t="array" aca="1" ref="X1308" ca="1">IFERROR(IF(AE1308&lt;&gt;"ja",_xlfn.IFNA(_xlfn.IFS(AND(P1308&lt;&gt;"",R1308&lt;&gt;"",RIGHT($N1308,6)="tarief",F1308="Vergoeding"),SUM(P1308)*FLOOR(SUM(R1308),0.0001),AND(P1308&lt;&gt;"",R1308&lt;&gt;"",RIGHT($N1308,6)="tarief"),P1308*FLOOR(R1308,0.01),T1308&gt;0,FLOOR(SUM(T1308),0.01)),""),""),"")</f>
        <v/>
      </c>
      <c r="Y1308" s="314" t="str">
        <f t="shared" ca="1" si="82"/>
        <v/>
      </c>
      <c r="Z1308" s="314" t="str" cm="1">
        <f t="array" aca="1" ref="Z1308" ca="1">IFERROR(_xlfn.IFS(OR(F1308="",LEFT(Methode_Keuze,4)="Geen",Methode_Keuze=""),"",AND(W1308&lt;&gt;"",F1308&lt;&gt;"Arbeidskosten"),W1308*VLOOKUP(F1308,Tb_ProjectKosten[],MATCH(Tb_ProjectKosten[[#Headers],[Forfait_Percentage]],Tb_ProjectKosten[#Headers],0),0),AND(F1308="Arbeidskosten",G1308&lt;&gt;""),IFERROR(W1308*VLOOKUP(G1308,Tb_KostenTypen[],3,0)*VLOOKUP(F1308,Tb_ProjectKosten[],MATCH(Tb_ProjectKosten[[#Headers],[Forfait_Percentage]],Tb_ProjectKosten[#Headers],0),0),""),W1308 &lt;=0,0),"")</f>
        <v/>
      </c>
      <c r="AA1308" s="314" t="str" cm="1">
        <f t="array" aca="1" ref="AA1308" ca="1">IFERROR(_xlfn.IFS(OR(F1308="",LEFT(Methode_Keuze,4)="Geen",Methode_Keuze=""),"",AND(X1308&lt;&gt;"",F1308&lt;&gt;"Arbeidskosten"),X1308*VLOOKUP(F1308,Tb_ProjectKosten[],MATCH(Tb_ProjectKosten[[#Headers],[Forfait_Percentage]],Tb_ProjectKosten[#Headers],0),0),AND(F1308="Arbeidskosten",G1308&lt;&gt;""),IFERROR(X1308*VLOOKUP(G1308,Tb_KostenTypen[],3,0)*VLOOKUP(F1308,Tb_ProjectKosten[],MATCH(Tb_ProjectKosten[[#Headers],[Forfait_Percentage]],Tb_ProjectKosten[#Headers],0),0),""),X1308 &lt;=0,0),"")</f>
        <v/>
      </c>
      <c r="AB1308" s="314" t="str">
        <f t="shared" ca="1" si="83"/>
        <v/>
      </c>
      <c r="AC1308" s="322"/>
      <c r="AD1308" s="315"/>
      <c r="AE1308" s="32" t="str" cm="1">
        <f t="array" ref="AE1308">IFERROR(IF(INDEX(SubsidieTabel!$AD$1:$AG$12,MATCH($F1308,SubsidieTabel!$AD$1:$AD$12,0),IFERROR(MATCH(Methode_Keuze,SubsidieTabel!$AD$1:$AG$1,0),2))&lt;&gt;1=TRUE,"ja",""),"")</f>
        <v/>
      </c>
    </row>
    <row r="1309" spans="1:31" x14ac:dyDescent="0.25">
      <c r="A1309" s="316"/>
      <c r="B1309" s="317" t="str">
        <f>IF(A1309&lt;&gt;"",_xlfn.MAXIFS($B$1:B1308,$A$1:A1308,A1309)+1,"")</f>
        <v/>
      </c>
      <c r="C1309" s="296"/>
      <c r="D1309" s="296"/>
      <c r="E1309" s="296"/>
      <c r="F1309" s="296"/>
      <c r="G1309" s="326"/>
      <c r="H1309" s="324"/>
      <c r="I1309" s="325"/>
      <c r="J1309" s="325"/>
      <c r="K1309" s="318"/>
      <c r="L1309" s="318"/>
      <c r="M1309" s="319" t="str">
        <f>IFERROR(VLOOKUP(H1309,Lijsten!$H$1:$I$100,2,0),"")</f>
        <v/>
      </c>
      <c r="N1309" s="319" t="str">
        <f ca="1">IFERROR(IF(VLOOKUP(F1309,Kostentypen!$A$3:$E$21,3,0)=0,"",IF(OR(F1309="Arbeidskosten",F1309="Vergoeding"),VLOOKUP(G1309,Tb_KostenTypen[],2,0),VLOOKUP(F1309,Kostentypen!$A$3:$E$20,3,0))),"")</f>
        <v/>
      </c>
      <c r="O1309" s="320" t="str" cm="1">
        <f t="array" ref="O1309">_xlfn.IFNA(IF(INDEX(Tb_KostenOptiesDB[],MATCH($F1309,Tb_KostenOptiesDB[KostenOptie],0),IFERROR(MATCH(Methode_Keuze,Tb_KostenOptiesDB[#Headers],0),2))=1,_xlfn.SWITCH($N1309,"Uurtarief",IF(OR(AND(RIGHT($F1309,3)="IKS",VLOOKUP($M1309,DB_Loonkosten,2,0)="Ja"),AND(RIGHT($F1309,3)&lt;&gt;"IKS",VLOOKUP($M1309,DB_Loonkosten,2,0)="Nee")),IFERROR(VLOOKUP($M1309,DB_Loonkosten,24,0),""),0),"Vast tarief",IF(LEFT(F1309,8)="Bijdrage",VLOOKUP($F1309,Tb_KostenTypen[],MATCH(Lijsten!$P$1,Tb_KostenTypen[#Headers],0),0),VLOOKUP($G1309,Lijsten!L:P,MATCH(Lijsten!$P$1,Kop_Tarief_Vast,0),0))),""),"")</f>
        <v/>
      </c>
      <c r="P1309" s="320" t="str" cm="1">
        <f t="array" ref="P1309">_xlfn.IFNA(IF(INDEX(Tb_KostenOptiesDB[],MATCH($F1309,Tb_KostenOptiesDB[KostenOptie],0),IFERROR(MATCH(Methode_Keuze,Tb_KostenOptiesDB[#Headers],0),2))=1,_xlfn.SWITCH($N1309,"Uurtarief",IF(OR(AND(RIGHT($F1309,3)="IKS",VLOOKUP($M1309,DB_Loonkosten,2,0)="Ja"),AND(RIGHT($F1309,3)&lt;&gt;"IKS",VLOOKUP($M1309,DB_Loonkosten,2,0)="Nee")),IFERROR(VLOOKUP($M1309,DB_Loonkosten,25,0),""),0),"Vast tarief",IF(LEFT(F1309,8)="Bijdrage",VLOOKUP($F1309,Tb_KostenTypen[],MATCH(Lijsten!$P$1,Tb_KostenTypen[#Headers],0),0),VLOOKUP($G1309,Lijsten!L:P,MATCH(Lijsten!$P$1,Kop_Tarief_Vast,0),0))),""),"")</f>
        <v/>
      </c>
      <c r="Q1309" s="359"/>
      <c r="R1309" s="359"/>
      <c r="S1309" s="321"/>
      <c r="T1309" s="321"/>
      <c r="U1309" s="373" t="str">
        <f t="shared" si="80"/>
        <v/>
      </c>
      <c r="V1309" s="314" t="str">
        <f t="shared" si="81"/>
        <v/>
      </c>
      <c r="W1309" s="314" t="str" cm="1">
        <f t="array" aca="1" ref="W1309" ca="1">IFERROR(IF(AE1309&lt;&gt;"ja",_xlfn.IFNA(_xlfn.IFS(AND(O1309&lt;&gt;"",F1309&lt;&gt;"",RIGHT($N1309,6)="tarief",F1309="Vergoeding"),SUM(O1309)*FLOOR(SUM(Q1309),0.0001),AND(O1309&lt;&gt;"",F1309&lt;&gt;"",RIGHT($N1309,6)="tarief"),SUM(O1309)*FLOOR(SUM(Q1309),0.01),S1309&gt;0,IF(F1309&lt;&gt;"",FLOOR(SUM(S1309),0.01),"")),""),""),"")</f>
        <v/>
      </c>
      <c r="X1309" s="314" t="str" cm="1">
        <f t="array" aca="1" ref="X1309" ca="1">IFERROR(IF(AE1309&lt;&gt;"ja",_xlfn.IFNA(_xlfn.IFS(AND(P1309&lt;&gt;"",R1309&lt;&gt;"",RIGHT($N1309,6)="tarief",F1309="Vergoeding"),SUM(P1309)*FLOOR(SUM(R1309),0.0001),AND(P1309&lt;&gt;"",R1309&lt;&gt;"",RIGHT($N1309,6)="tarief"),P1309*FLOOR(R1309,0.01),T1309&gt;0,FLOOR(SUM(T1309),0.01)),""),""),"")</f>
        <v/>
      </c>
      <c r="Y1309" s="314" t="str">
        <f t="shared" ca="1" si="82"/>
        <v/>
      </c>
      <c r="Z1309" s="314" t="str" cm="1">
        <f t="array" aca="1" ref="Z1309" ca="1">IFERROR(_xlfn.IFS(OR(F1309="",LEFT(Methode_Keuze,4)="Geen",Methode_Keuze=""),"",AND(W1309&lt;&gt;"",F1309&lt;&gt;"Arbeidskosten"),W1309*VLOOKUP(F1309,Tb_ProjectKosten[],MATCH(Tb_ProjectKosten[[#Headers],[Forfait_Percentage]],Tb_ProjectKosten[#Headers],0),0),AND(F1309="Arbeidskosten",G1309&lt;&gt;""),IFERROR(W1309*VLOOKUP(G1309,Tb_KostenTypen[],3,0)*VLOOKUP(F1309,Tb_ProjectKosten[],MATCH(Tb_ProjectKosten[[#Headers],[Forfait_Percentage]],Tb_ProjectKosten[#Headers],0),0),""),W1309 &lt;=0,0),"")</f>
        <v/>
      </c>
      <c r="AA1309" s="314" t="str" cm="1">
        <f t="array" aca="1" ref="AA1309" ca="1">IFERROR(_xlfn.IFS(OR(F1309="",LEFT(Methode_Keuze,4)="Geen",Methode_Keuze=""),"",AND(X1309&lt;&gt;"",F1309&lt;&gt;"Arbeidskosten"),X1309*VLOOKUP(F1309,Tb_ProjectKosten[],MATCH(Tb_ProjectKosten[[#Headers],[Forfait_Percentage]],Tb_ProjectKosten[#Headers],0),0),AND(F1309="Arbeidskosten",G1309&lt;&gt;""),IFERROR(X1309*VLOOKUP(G1309,Tb_KostenTypen[],3,0)*VLOOKUP(F1309,Tb_ProjectKosten[],MATCH(Tb_ProjectKosten[[#Headers],[Forfait_Percentage]],Tb_ProjectKosten[#Headers],0),0),""),X1309 &lt;=0,0),"")</f>
        <v/>
      </c>
      <c r="AB1309" s="314" t="str">
        <f t="shared" ca="1" si="83"/>
        <v/>
      </c>
      <c r="AC1309" s="322"/>
      <c r="AD1309" s="315"/>
      <c r="AE1309" s="32" t="str" cm="1">
        <f t="array" ref="AE1309">IFERROR(IF(INDEX(SubsidieTabel!$AD$1:$AG$12,MATCH($F1309,SubsidieTabel!$AD$1:$AD$12,0),IFERROR(MATCH(Methode_Keuze,SubsidieTabel!$AD$1:$AG$1,0),2))&lt;&gt;1=TRUE,"ja",""),"")</f>
        <v/>
      </c>
    </row>
    <row r="1310" spans="1:31" x14ac:dyDescent="0.25">
      <c r="A1310" s="316"/>
      <c r="B1310" s="317" t="str">
        <f>IF(A1310&lt;&gt;"",_xlfn.MAXIFS($B$1:B1309,$A$1:A1309,A1310)+1,"")</f>
        <v/>
      </c>
      <c r="C1310" s="296"/>
      <c r="D1310" s="296"/>
      <c r="E1310" s="296"/>
      <c r="F1310" s="296"/>
      <c r="G1310" s="326"/>
      <c r="H1310" s="324"/>
      <c r="I1310" s="325"/>
      <c r="J1310" s="325"/>
      <c r="K1310" s="318"/>
      <c r="L1310" s="318"/>
      <c r="M1310" s="319" t="str">
        <f>IFERROR(VLOOKUP(H1310,Lijsten!$H$1:$I$100,2,0),"")</f>
        <v/>
      </c>
      <c r="N1310" s="319" t="str">
        <f ca="1">IFERROR(IF(VLOOKUP(F1310,Kostentypen!$A$3:$E$21,3,0)=0,"",IF(OR(F1310="Arbeidskosten",F1310="Vergoeding"),VLOOKUP(G1310,Tb_KostenTypen[],2,0),VLOOKUP(F1310,Kostentypen!$A$3:$E$20,3,0))),"")</f>
        <v/>
      </c>
      <c r="O1310" s="320" t="str" cm="1">
        <f t="array" ref="O1310">_xlfn.IFNA(IF(INDEX(Tb_KostenOptiesDB[],MATCH($F1310,Tb_KostenOptiesDB[KostenOptie],0),IFERROR(MATCH(Methode_Keuze,Tb_KostenOptiesDB[#Headers],0),2))=1,_xlfn.SWITCH($N1310,"Uurtarief",IF(OR(AND(RIGHT($F1310,3)="IKS",VLOOKUP($M1310,DB_Loonkosten,2,0)="Ja"),AND(RIGHT($F1310,3)&lt;&gt;"IKS",VLOOKUP($M1310,DB_Loonkosten,2,0)="Nee")),IFERROR(VLOOKUP($M1310,DB_Loonkosten,24,0),""),0),"Vast tarief",IF(LEFT(F1310,8)="Bijdrage",VLOOKUP($F1310,Tb_KostenTypen[],MATCH(Lijsten!$P$1,Tb_KostenTypen[#Headers],0),0),VLOOKUP($G1310,Lijsten!L:P,MATCH(Lijsten!$P$1,Kop_Tarief_Vast,0),0))),""),"")</f>
        <v/>
      </c>
      <c r="P1310" s="320" t="str" cm="1">
        <f t="array" ref="P1310">_xlfn.IFNA(IF(INDEX(Tb_KostenOptiesDB[],MATCH($F1310,Tb_KostenOptiesDB[KostenOptie],0),IFERROR(MATCH(Methode_Keuze,Tb_KostenOptiesDB[#Headers],0),2))=1,_xlfn.SWITCH($N1310,"Uurtarief",IF(OR(AND(RIGHT($F1310,3)="IKS",VLOOKUP($M1310,DB_Loonkosten,2,0)="Ja"),AND(RIGHT($F1310,3)&lt;&gt;"IKS",VLOOKUP($M1310,DB_Loonkosten,2,0)="Nee")),IFERROR(VLOOKUP($M1310,DB_Loonkosten,25,0),""),0),"Vast tarief",IF(LEFT(F1310,8)="Bijdrage",VLOOKUP($F1310,Tb_KostenTypen[],MATCH(Lijsten!$P$1,Tb_KostenTypen[#Headers],0),0),VLOOKUP($G1310,Lijsten!L:P,MATCH(Lijsten!$P$1,Kop_Tarief_Vast,0),0))),""),"")</f>
        <v/>
      </c>
      <c r="Q1310" s="359"/>
      <c r="R1310" s="359"/>
      <c r="S1310" s="321"/>
      <c r="T1310" s="321"/>
      <c r="U1310" s="373" t="str">
        <f t="shared" si="80"/>
        <v/>
      </c>
      <c r="V1310" s="314" t="str">
        <f t="shared" si="81"/>
        <v/>
      </c>
      <c r="W1310" s="314" t="str" cm="1">
        <f t="array" aca="1" ref="W1310" ca="1">IFERROR(IF(AE1310&lt;&gt;"ja",_xlfn.IFNA(_xlfn.IFS(AND(O1310&lt;&gt;"",F1310&lt;&gt;"",RIGHT($N1310,6)="tarief",F1310="Vergoeding"),SUM(O1310)*FLOOR(SUM(Q1310),0.0001),AND(O1310&lt;&gt;"",F1310&lt;&gt;"",RIGHT($N1310,6)="tarief"),SUM(O1310)*FLOOR(SUM(Q1310),0.01),S1310&gt;0,IF(F1310&lt;&gt;"",FLOOR(SUM(S1310),0.01),"")),""),""),"")</f>
        <v/>
      </c>
      <c r="X1310" s="314" t="str" cm="1">
        <f t="array" aca="1" ref="X1310" ca="1">IFERROR(IF(AE1310&lt;&gt;"ja",_xlfn.IFNA(_xlfn.IFS(AND(P1310&lt;&gt;"",R1310&lt;&gt;"",RIGHT($N1310,6)="tarief",F1310="Vergoeding"),SUM(P1310)*FLOOR(SUM(R1310),0.0001),AND(P1310&lt;&gt;"",R1310&lt;&gt;"",RIGHT($N1310,6)="tarief"),P1310*FLOOR(R1310,0.01),T1310&gt;0,FLOOR(SUM(T1310),0.01)),""),""),"")</f>
        <v/>
      </c>
      <c r="Y1310" s="314" t="str">
        <f t="shared" ca="1" si="82"/>
        <v/>
      </c>
      <c r="Z1310" s="314" t="str" cm="1">
        <f t="array" aca="1" ref="Z1310" ca="1">IFERROR(_xlfn.IFS(OR(F1310="",LEFT(Methode_Keuze,4)="Geen",Methode_Keuze=""),"",AND(W1310&lt;&gt;"",F1310&lt;&gt;"Arbeidskosten"),W1310*VLOOKUP(F1310,Tb_ProjectKosten[],MATCH(Tb_ProjectKosten[[#Headers],[Forfait_Percentage]],Tb_ProjectKosten[#Headers],0),0),AND(F1310="Arbeidskosten",G1310&lt;&gt;""),IFERROR(W1310*VLOOKUP(G1310,Tb_KostenTypen[],3,0)*VLOOKUP(F1310,Tb_ProjectKosten[],MATCH(Tb_ProjectKosten[[#Headers],[Forfait_Percentage]],Tb_ProjectKosten[#Headers],0),0),""),W1310 &lt;=0,0),"")</f>
        <v/>
      </c>
      <c r="AA1310" s="314" t="str" cm="1">
        <f t="array" aca="1" ref="AA1310" ca="1">IFERROR(_xlfn.IFS(OR(F1310="",LEFT(Methode_Keuze,4)="Geen",Methode_Keuze=""),"",AND(X1310&lt;&gt;"",F1310&lt;&gt;"Arbeidskosten"),X1310*VLOOKUP(F1310,Tb_ProjectKosten[],MATCH(Tb_ProjectKosten[[#Headers],[Forfait_Percentage]],Tb_ProjectKosten[#Headers],0),0),AND(F1310="Arbeidskosten",G1310&lt;&gt;""),IFERROR(X1310*VLOOKUP(G1310,Tb_KostenTypen[],3,0)*VLOOKUP(F1310,Tb_ProjectKosten[],MATCH(Tb_ProjectKosten[[#Headers],[Forfait_Percentage]],Tb_ProjectKosten[#Headers],0),0),""),X1310 &lt;=0,0),"")</f>
        <v/>
      </c>
      <c r="AB1310" s="314" t="str">
        <f t="shared" ca="1" si="83"/>
        <v/>
      </c>
      <c r="AC1310" s="322"/>
      <c r="AD1310" s="315"/>
      <c r="AE1310" s="32" t="str" cm="1">
        <f t="array" ref="AE1310">IFERROR(IF(INDEX(SubsidieTabel!$AD$1:$AG$12,MATCH($F1310,SubsidieTabel!$AD$1:$AD$12,0),IFERROR(MATCH(Methode_Keuze,SubsidieTabel!$AD$1:$AG$1,0),2))&lt;&gt;1=TRUE,"ja",""),"")</f>
        <v/>
      </c>
    </row>
    <row r="1311" spans="1:31" x14ac:dyDescent="0.25">
      <c r="A1311" s="316"/>
      <c r="B1311" s="317" t="str">
        <f>IF(A1311&lt;&gt;"",_xlfn.MAXIFS($B$1:B1310,$A$1:A1310,A1311)+1,"")</f>
        <v/>
      </c>
      <c r="C1311" s="296"/>
      <c r="D1311" s="296"/>
      <c r="E1311" s="296"/>
      <c r="F1311" s="296"/>
      <c r="G1311" s="326"/>
      <c r="H1311" s="324"/>
      <c r="I1311" s="325"/>
      <c r="J1311" s="325"/>
      <c r="K1311" s="318"/>
      <c r="L1311" s="318"/>
      <c r="M1311" s="319" t="str">
        <f>IFERROR(VLOOKUP(H1311,Lijsten!$H$1:$I$100,2,0),"")</f>
        <v/>
      </c>
      <c r="N1311" s="319" t="str">
        <f ca="1">IFERROR(IF(VLOOKUP(F1311,Kostentypen!$A$3:$E$21,3,0)=0,"",IF(OR(F1311="Arbeidskosten",F1311="Vergoeding"),VLOOKUP(G1311,Tb_KostenTypen[],2,0),VLOOKUP(F1311,Kostentypen!$A$3:$E$20,3,0))),"")</f>
        <v/>
      </c>
      <c r="O1311" s="320" t="str" cm="1">
        <f t="array" ref="O1311">_xlfn.IFNA(IF(INDEX(Tb_KostenOptiesDB[],MATCH($F1311,Tb_KostenOptiesDB[KostenOptie],0),IFERROR(MATCH(Methode_Keuze,Tb_KostenOptiesDB[#Headers],0),2))=1,_xlfn.SWITCH($N1311,"Uurtarief",IF(OR(AND(RIGHT($F1311,3)="IKS",VLOOKUP($M1311,DB_Loonkosten,2,0)="Ja"),AND(RIGHT($F1311,3)&lt;&gt;"IKS",VLOOKUP($M1311,DB_Loonkosten,2,0)="Nee")),IFERROR(VLOOKUP($M1311,DB_Loonkosten,24,0),""),0),"Vast tarief",IF(LEFT(F1311,8)="Bijdrage",VLOOKUP($F1311,Tb_KostenTypen[],MATCH(Lijsten!$P$1,Tb_KostenTypen[#Headers],0),0),VLOOKUP($G1311,Lijsten!L:P,MATCH(Lijsten!$P$1,Kop_Tarief_Vast,0),0))),""),"")</f>
        <v/>
      </c>
      <c r="P1311" s="320" t="str" cm="1">
        <f t="array" ref="P1311">_xlfn.IFNA(IF(INDEX(Tb_KostenOptiesDB[],MATCH($F1311,Tb_KostenOptiesDB[KostenOptie],0),IFERROR(MATCH(Methode_Keuze,Tb_KostenOptiesDB[#Headers],0),2))=1,_xlfn.SWITCH($N1311,"Uurtarief",IF(OR(AND(RIGHT($F1311,3)="IKS",VLOOKUP($M1311,DB_Loonkosten,2,0)="Ja"),AND(RIGHT($F1311,3)&lt;&gt;"IKS",VLOOKUP($M1311,DB_Loonkosten,2,0)="Nee")),IFERROR(VLOOKUP($M1311,DB_Loonkosten,25,0),""),0),"Vast tarief",IF(LEFT(F1311,8)="Bijdrage",VLOOKUP($F1311,Tb_KostenTypen[],MATCH(Lijsten!$P$1,Tb_KostenTypen[#Headers],0),0),VLOOKUP($G1311,Lijsten!L:P,MATCH(Lijsten!$P$1,Kop_Tarief_Vast,0),0))),""),"")</f>
        <v/>
      </c>
      <c r="Q1311" s="359"/>
      <c r="R1311" s="359"/>
      <c r="S1311" s="321"/>
      <c r="T1311" s="321"/>
      <c r="U1311" s="373" t="str">
        <f t="shared" si="80"/>
        <v/>
      </c>
      <c r="V1311" s="314" t="str">
        <f t="shared" si="81"/>
        <v/>
      </c>
      <c r="W1311" s="314" t="str" cm="1">
        <f t="array" aca="1" ref="W1311" ca="1">IFERROR(IF(AE1311&lt;&gt;"ja",_xlfn.IFNA(_xlfn.IFS(AND(O1311&lt;&gt;"",F1311&lt;&gt;"",RIGHT($N1311,6)="tarief",F1311="Vergoeding"),SUM(O1311)*FLOOR(SUM(Q1311),0.0001),AND(O1311&lt;&gt;"",F1311&lt;&gt;"",RIGHT($N1311,6)="tarief"),SUM(O1311)*FLOOR(SUM(Q1311),0.01),S1311&gt;0,IF(F1311&lt;&gt;"",FLOOR(SUM(S1311),0.01),"")),""),""),"")</f>
        <v/>
      </c>
      <c r="X1311" s="314" t="str" cm="1">
        <f t="array" aca="1" ref="X1311" ca="1">IFERROR(IF(AE1311&lt;&gt;"ja",_xlfn.IFNA(_xlfn.IFS(AND(P1311&lt;&gt;"",R1311&lt;&gt;"",RIGHT($N1311,6)="tarief",F1311="Vergoeding"),SUM(P1311)*FLOOR(SUM(R1311),0.0001),AND(P1311&lt;&gt;"",R1311&lt;&gt;"",RIGHT($N1311,6)="tarief"),P1311*FLOOR(R1311,0.01),T1311&gt;0,FLOOR(SUM(T1311),0.01)),""),""),"")</f>
        <v/>
      </c>
      <c r="Y1311" s="314" t="str">
        <f t="shared" ca="1" si="82"/>
        <v/>
      </c>
      <c r="Z1311" s="314" t="str" cm="1">
        <f t="array" aca="1" ref="Z1311" ca="1">IFERROR(_xlfn.IFS(OR(F1311="",LEFT(Methode_Keuze,4)="Geen",Methode_Keuze=""),"",AND(W1311&lt;&gt;"",F1311&lt;&gt;"Arbeidskosten"),W1311*VLOOKUP(F1311,Tb_ProjectKosten[],MATCH(Tb_ProjectKosten[[#Headers],[Forfait_Percentage]],Tb_ProjectKosten[#Headers],0),0),AND(F1311="Arbeidskosten",G1311&lt;&gt;""),IFERROR(W1311*VLOOKUP(G1311,Tb_KostenTypen[],3,0)*VLOOKUP(F1311,Tb_ProjectKosten[],MATCH(Tb_ProjectKosten[[#Headers],[Forfait_Percentage]],Tb_ProjectKosten[#Headers],0),0),""),W1311 &lt;=0,0),"")</f>
        <v/>
      </c>
      <c r="AA1311" s="314" t="str" cm="1">
        <f t="array" aca="1" ref="AA1311" ca="1">IFERROR(_xlfn.IFS(OR(F1311="",LEFT(Methode_Keuze,4)="Geen",Methode_Keuze=""),"",AND(X1311&lt;&gt;"",F1311&lt;&gt;"Arbeidskosten"),X1311*VLOOKUP(F1311,Tb_ProjectKosten[],MATCH(Tb_ProjectKosten[[#Headers],[Forfait_Percentage]],Tb_ProjectKosten[#Headers],0),0),AND(F1311="Arbeidskosten",G1311&lt;&gt;""),IFERROR(X1311*VLOOKUP(G1311,Tb_KostenTypen[],3,0)*VLOOKUP(F1311,Tb_ProjectKosten[],MATCH(Tb_ProjectKosten[[#Headers],[Forfait_Percentage]],Tb_ProjectKosten[#Headers],0),0),""),X1311 &lt;=0,0),"")</f>
        <v/>
      </c>
      <c r="AB1311" s="314" t="str">
        <f t="shared" ca="1" si="83"/>
        <v/>
      </c>
      <c r="AC1311" s="322"/>
      <c r="AD1311" s="315"/>
      <c r="AE1311" s="32" t="str" cm="1">
        <f t="array" ref="AE1311">IFERROR(IF(INDEX(SubsidieTabel!$AD$1:$AG$12,MATCH($F1311,SubsidieTabel!$AD$1:$AD$12,0),IFERROR(MATCH(Methode_Keuze,SubsidieTabel!$AD$1:$AG$1,0),2))&lt;&gt;1=TRUE,"ja",""),"")</f>
        <v/>
      </c>
    </row>
    <row r="1312" spans="1:31" x14ac:dyDescent="0.25">
      <c r="A1312" s="316"/>
      <c r="B1312" s="317" t="str">
        <f>IF(A1312&lt;&gt;"",_xlfn.MAXIFS($B$1:B1311,$A$1:A1311,A1312)+1,"")</f>
        <v/>
      </c>
      <c r="C1312" s="296"/>
      <c r="D1312" s="296"/>
      <c r="E1312" s="296"/>
      <c r="F1312" s="296"/>
      <c r="G1312" s="326"/>
      <c r="H1312" s="324"/>
      <c r="I1312" s="325"/>
      <c r="J1312" s="325"/>
      <c r="K1312" s="318"/>
      <c r="L1312" s="318"/>
      <c r="M1312" s="319" t="str">
        <f>IFERROR(VLOOKUP(H1312,Lijsten!$H$1:$I$100,2,0),"")</f>
        <v/>
      </c>
      <c r="N1312" s="319" t="str">
        <f ca="1">IFERROR(IF(VLOOKUP(F1312,Kostentypen!$A$3:$E$21,3,0)=0,"",IF(OR(F1312="Arbeidskosten",F1312="Vergoeding"),VLOOKUP(G1312,Tb_KostenTypen[],2,0),VLOOKUP(F1312,Kostentypen!$A$3:$E$20,3,0))),"")</f>
        <v/>
      </c>
      <c r="O1312" s="320" t="str" cm="1">
        <f t="array" ref="O1312">_xlfn.IFNA(IF(INDEX(Tb_KostenOptiesDB[],MATCH($F1312,Tb_KostenOptiesDB[KostenOptie],0),IFERROR(MATCH(Methode_Keuze,Tb_KostenOptiesDB[#Headers],0),2))=1,_xlfn.SWITCH($N1312,"Uurtarief",IF(OR(AND(RIGHT($F1312,3)="IKS",VLOOKUP($M1312,DB_Loonkosten,2,0)="Ja"),AND(RIGHT($F1312,3)&lt;&gt;"IKS",VLOOKUP($M1312,DB_Loonkosten,2,0)="Nee")),IFERROR(VLOOKUP($M1312,DB_Loonkosten,24,0),""),0),"Vast tarief",IF(LEFT(F1312,8)="Bijdrage",VLOOKUP($F1312,Tb_KostenTypen[],MATCH(Lijsten!$P$1,Tb_KostenTypen[#Headers],0),0),VLOOKUP($G1312,Lijsten!L:P,MATCH(Lijsten!$P$1,Kop_Tarief_Vast,0),0))),""),"")</f>
        <v/>
      </c>
      <c r="P1312" s="320" t="str" cm="1">
        <f t="array" ref="P1312">_xlfn.IFNA(IF(INDEX(Tb_KostenOptiesDB[],MATCH($F1312,Tb_KostenOptiesDB[KostenOptie],0),IFERROR(MATCH(Methode_Keuze,Tb_KostenOptiesDB[#Headers],0),2))=1,_xlfn.SWITCH($N1312,"Uurtarief",IF(OR(AND(RIGHT($F1312,3)="IKS",VLOOKUP($M1312,DB_Loonkosten,2,0)="Ja"),AND(RIGHT($F1312,3)&lt;&gt;"IKS",VLOOKUP($M1312,DB_Loonkosten,2,0)="Nee")),IFERROR(VLOOKUP($M1312,DB_Loonkosten,25,0),""),0),"Vast tarief",IF(LEFT(F1312,8)="Bijdrage",VLOOKUP($F1312,Tb_KostenTypen[],MATCH(Lijsten!$P$1,Tb_KostenTypen[#Headers],0),0),VLOOKUP($G1312,Lijsten!L:P,MATCH(Lijsten!$P$1,Kop_Tarief_Vast,0),0))),""),"")</f>
        <v/>
      </c>
      <c r="Q1312" s="359"/>
      <c r="R1312" s="359"/>
      <c r="S1312" s="321"/>
      <c r="T1312" s="321"/>
      <c r="U1312" s="373" t="str">
        <f t="shared" si="80"/>
        <v/>
      </c>
      <c r="V1312" s="314" t="str">
        <f t="shared" si="81"/>
        <v/>
      </c>
      <c r="W1312" s="314" t="str" cm="1">
        <f t="array" aca="1" ref="W1312" ca="1">IFERROR(IF(AE1312&lt;&gt;"ja",_xlfn.IFNA(_xlfn.IFS(AND(O1312&lt;&gt;"",F1312&lt;&gt;"",RIGHT($N1312,6)="tarief",F1312="Vergoeding"),SUM(O1312)*FLOOR(SUM(Q1312),0.0001),AND(O1312&lt;&gt;"",F1312&lt;&gt;"",RIGHT($N1312,6)="tarief"),SUM(O1312)*FLOOR(SUM(Q1312),0.01),S1312&gt;0,IF(F1312&lt;&gt;"",FLOOR(SUM(S1312),0.01),"")),""),""),"")</f>
        <v/>
      </c>
      <c r="X1312" s="314" t="str" cm="1">
        <f t="array" aca="1" ref="X1312" ca="1">IFERROR(IF(AE1312&lt;&gt;"ja",_xlfn.IFNA(_xlfn.IFS(AND(P1312&lt;&gt;"",R1312&lt;&gt;"",RIGHT($N1312,6)="tarief",F1312="Vergoeding"),SUM(P1312)*FLOOR(SUM(R1312),0.0001),AND(P1312&lt;&gt;"",R1312&lt;&gt;"",RIGHT($N1312,6)="tarief"),P1312*FLOOR(R1312,0.01),T1312&gt;0,FLOOR(SUM(T1312),0.01)),""),""),"")</f>
        <v/>
      </c>
      <c r="Y1312" s="314" t="str">
        <f t="shared" ca="1" si="82"/>
        <v/>
      </c>
      <c r="Z1312" s="314" t="str" cm="1">
        <f t="array" aca="1" ref="Z1312" ca="1">IFERROR(_xlfn.IFS(OR(F1312="",LEFT(Methode_Keuze,4)="Geen",Methode_Keuze=""),"",AND(W1312&lt;&gt;"",F1312&lt;&gt;"Arbeidskosten"),W1312*VLOOKUP(F1312,Tb_ProjectKosten[],MATCH(Tb_ProjectKosten[[#Headers],[Forfait_Percentage]],Tb_ProjectKosten[#Headers],0),0),AND(F1312="Arbeidskosten",G1312&lt;&gt;""),IFERROR(W1312*VLOOKUP(G1312,Tb_KostenTypen[],3,0)*VLOOKUP(F1312,Tb_ProjectKosten[],MATCH(Tb_ProjectKosten[[#Headers],[Forfait_Percentage]],Tb_ProjectKosten[#Headers],0),0),""),W1312 &lt;=0,0),"")</f>
        <v/>
      </c>
      <c r="AA1312" s="314" t="str" cm="1">
        <f t="array" aca="1" ref="AA1312" ca="1">IFERROR(_xlfn.IFS(OR(F1312="",LEFT(Methode_Keuze,4)="Geen",Methode_Keuze=""),"",AND(X1312&lt;&gt;"",F1312&lt;&gt;"Arbeidskosten"),X1312*VLOOKUP(F1312,Tb_ProjectKosten[],MATCH(Tb_ProjectKosten[[#Headers],[Forfait_Percentage]],Tb_ProjectKosten[#Headers],0),0),AND(F1312="Arbeidskosten",G1312&lt;&gt;""),IFERROR(X1312*VLOOKUP(G1312,Tb_KostenTypen[],3,0)*VLOOKUP(F1312,Tb_ProjectKosten[],MATCH(Tb_ProjectKosten[[#Headers],[Forfait_Percentage]],Tb_ProjectKosten[#Headers],0),0),""),X1312 &lt;=0,0),"")</f>
        <v/>
      </c>
      <c r="AB1312" s="314" t="str">
        <f t="shared" ca="1" si="83"/>
        <v/>
      </c>
      <c r="AC1312" s="322"/>
      <c r="AD1312" s="315"/>
      <c r="AE1312" s="32" t="str" cm="1">
        <f t="array" ref="AE1312">IFERROR(IF(INDEX(SubsidieTabel!$AD$1:$AG$12,MATCH($F1312,SubsidieTabel!$AD$1:$AD$12,0),IFERROR(MATCH(Methode_Keuze,SubsidieTabel!$AD$1:$AG$1,0),2))&lt;&gt;1=TRUE,"ja",""),"")</f>
        <v/>
      </c>
    </row>
    <row r="1313" spans="1:31" x14ac:dyDescent="0.25">
      <c r="A1313" s="316"/>
      <c r="B1313" s="317" t="str">
        <f>IF(A1313&lt;&gt;"",_xlfn.MAXIFS($B$1:B1312,$A$1:A1312,A1313)+1,"")</f>
        <v/>
      </c>
      <c r="C1313" s="296"/>
      <c r="D1313" s="296"/>
      <c r="E1313" s="296"/>
      <c r="F1313" s="296"/>
      <c r="G1313" s="326"/>
      <c r="H1313" s="324"/>
      <c r="I1313" s="325"/>
      <c r="J1313" s="325"/>
      <c r="K1313" s="318"/>
      <c r="L1313" s="318"/>
      <c r="M1313" s="319" t="str">
        <f>IFERROR(VLOOKUP(H1313,Lijsten!$H$1:$I$100,2,0),"")</f>
        <v/>
      </c>
      <c r="N1313" s="319" t="str">
        <f ca="1">IFERROR(IF(VLOOKUP(F1313,Kostentypen!$A$3:$E$21,3,0)=0,"",IF(OR(F1313="Arbeidskosten",F1313="Vergoeding"),VLOOKUP(G1313,Tb_KostenTypen[],2,0),VLOOKUP(F1313,Kostentypen!$A$3:$E$20,3,0))),"")</f>
        <v/>
      </c>
      <c r="O1313" s="320" t="str" cm="1">
        <f t="array" ref="O1313">_xlfn.IFNA(IF(INDEX(Tb_KostenOptiesDB[],MATCH($F1313,Tb_KostenOptiesDB[KostenOptie],0),IFERROR(MATCH(Methode_Keuze,Tb_KostenOptiesDB[#Headers],0),2))=1,_xlfn.SWITCH($N1313,"Uurtarief",IF(OR(AND(RIGHT($F1313,3)="IKS",VLOOKUP($M1313,DB_Loonkosten,2,0)="Ja"),AND(RIGHT($F1313,3)&lt;&gt;"IKS",VLOOKUP($M1313,DB_Loonkosten,2,0)="Nee")),IFERROR(VLOOKUP($M1313,DB_Loonkosten,24,0),""),0),"Vast tarief",IF(LEFT(F1313,8)="Bijdrage",VLOOKUP($F1313,Tb_KostenTypen[],MATCH(Lijsten!$P$1,Tb_KostenTypen[#Headers],0),0),VLOOKUP($G1313,Lijsten!L:P,MATCH(Lijsten!$P$1,Kop_Tarief_Vast,0),0))),""),"")</f>
        <v/>
      </c>
      <c r="P1313" s="320" t="str" cm="1">
        <f t="array" ref="P1313">_xlfn.IFNA(IF(INDEX(Tb_KostenOptiesDB[],MATCH($F1313,Tb_KostenOptiesDB[KostenOptie],0),IFERROR(MATCH(Methode_Keuze,Tb_KostenOptiesDB[#Headers],0),2))=1,_xlfn.SWITCH($N1313,"Uurtarief",IF(OR(AND(RIGHT($F1313,3)="IKS",VLOOKUP($M1313,DB_Loonkosten,2,0)="Ja"),AND(RIGHT($F1313,3)&lt;&gt;"IKS",VLOOKUP($M1313,DB_Loonkosten,2,0)="Nee")),IFERROR(VLOOKUP($M1313,DB_Loonkosten,25,0),""),0),"Vast tarief",IF(LEFT(F1313,8)="Bijdrage",VLOOKUP($F1313,Tb_KostenTypen[],MATCH(Lijsten!$P$1,Tb_KostenTypen[#Headers],0),0),VLOOKUP($G1313,Lijsten!L:P,MATCH(Lijsten!$P$1,Kop_Tarief_Vast,0),0))),""),"")</f>
        <v/>
      </c>
      <c r="Q1313" s="359"/>
      <c r="R1313" s="359"/>
      <c r="S1313" s="321"/>
      <c r="T1313" s="321"/>
      <c r="U1313" s="373" t="str">
        <f t="shared" si="80"/>
        <v/>
      </c>
      <c r="V1313" s="314" t="str">
        <f t="shared" si="81"/>
        <v/>
      </c>
      <c r="W1313" s="314" t="str" cm="1">
        <f t="array" aca="1" ref="W1313" ca="1">IFERROR(IF(AE1313&lt;&gt;"ja",_xlfn.IFNA(_xlfn.IFS(AND(O1313&lt;&gt;"",F1313&lt;&gt;"",RIGHT($N1313,6)="tarief",F1313="Vergoeding"),SUM(O1313)*FLOOR(SUM(Q1313),0.0001),AND(O1313&lt;&gt;"",F1313&lt;&gt;"",RIGHT($N1313,6)="tarief"),SUM(O1313)*FLOOR(SUM(Q1313),0.01),S1313&gt;0,IF(F1313&lt;&gt;"",FLOOR(SUM(S1313),0.01),"")),""),""),"")</f>
        <v/>
      </c>
      <c r="X1313" s="314" t="str" cm="1">
        <f t="array" aca="1" ref="X1313" ca="1">IFERROR(IF(AE1313&lt;&gt;"ja",_xlfn.IFNA(_xlfn.IFS(AND(P1313&lt;&gt;"",R1313&lt;&gt;"",RIGHT($N1313,6)="tarief",F1313="Vergoeding"),SUM(P1313)*FLOOR(SUM(R1313),0.0001),AND(P1313&lt;&gt;"",R1313&lt;&gt;"",RIGHT($N1313,6)="tarief"),P1313*FLOOR(R1313,0.01),T1313&gt;0,FLOOR(SUM(T1313),0.01)),""),""),"")</f>
        <v/>
      </c>
      <c r="Y1313" s="314" t="str">
        <f t="shared" ca="1" si="82"/>
        <v/>
      </c>
      <c r="Z1313" s="314" t="str" cm="1">
        <f t="array" aca="1" ref="Z1313" ca="1">IFERROR(_xlfn.IFS(OR(F1313="",LEFT(Methode_Keuze,4)="Geen",Methode_Keuze=""),"",AND(W1313&lt;&gt;"",F1313&lt;&gt;"Arbeidskosten"),W1313*VLOOKUP(F1313,Tb_ProjectKosten[],MATCH(Tb_ProjectKosten[[#Headers],[Forfait_Percentage]],Tb_ProjectKosten[#Headers],0),0),AND(F1313="Arbeidskosten",G1313&lt;&gt;""),IFERROR(W1313*VLOOKUP(G1313,Tb_KostenTypen[],3,0)*VLOOKUP(F1313,Tb_ProjectKosten[],MATCH(Tb_ProjectKosten[[#Headers],[Forfait_Percentage]],Tb_ProjectKosten[#Headers],0),0),""),W1313 &lt;=0,0),"")</f>
        <v/>
      </c>
      <c r="AA1313" s="314" t="str" cm="1">
        <f t="array" aca="1" ref="AA1313" ca="1">IFERROR(_xlfn.IFS(OR(F1313="",LEFT(Methode_Keuze,4)="Geen",Methode_Keuze=""),"",AND(X1313&lt;&gt;"",F1313&lt;&gt;"Arbeidskosten"),X1313*VLOOKUP(F1313,Tb_ProjectKosten[],MATCH(Tb_ProjectKosten[[#Headers],[Forfait_Percentage]],Tb_ProjectKosten[#Headers],0),0),AND(F1313="Arbeidskosten",G1313&lt;&gt;""),IFERROR(X1313*VLOOKUP(G1313,Tb_KostenTypen[],3,0)*VLOOKUP(F1313,Tb_ProjectKosten[],MATCH(Tb_ProjectKosten[[#Headers],[Forfait_Percentage]],Tb_ProjectKosten[#Headers],0),0),""),X1313 &lt;=0,0),"")</f>
        <v/>
      </c>
      <c r="AB1313" s="314" t="str">
        <f t="shared" ca="1" si="83"/>
        <v/>
      </c>
      <c r="AC1313" s="322"/>
      <c r="AD1313" s="315"/>
      <c r="AE1313" s="32" t="str" cm="1">
        <f t="array" ref="AE1313">IFERROR(IF(INDEX(SubsidieTabel!$AD$1:$AG$12,MATCH($F1313,SubsidieTabel!$AD$1:$AD$12,0),IFERROR(MATCH(Methode_Keuze,SubsidieTabel!$AD$1:$AG$1,0),2))&lt;&gt;1=TRUE,"ja",""),"")</f>
        <v/>
      </c>
    </row>
    <row r="1314" spans="1:31" x14ac:dyDescent="0.25">
      <c r="A1314" s="316"/>
      <c r="B1314" s="317" t="str">
        <f>IF(A1314&lt;&gt;"",_xlfn.MAXIFS($B$1:B1313,$A$1:A1313,A1314)+1,"")</f>
        <v/>
      </c>
      <c r="C1314" s="296"/>
      <c r="D1314" s="296"/>
      <c r="E1314" s="296"/>
      <c r="F1314" s="296"/>
      <c r="G1314" s="326"/>
      <c r="H1314" s="324"/>
      <c r="I1314" s="325"/>
      <c r="J1314" s="325"/>
      <c r="K1314" s="318"/>
      <c r="L1314" s="318"/>
      <c r="M1314" s="319" t="str">
        <f>IFERROR(VLOOKUP(H1314,Lijsten!$H$1:$I$100,2,0),"")</f>
        <v/>
      </c>
      <c r="N1314" s="319" t="str">
        <f ca="1">IFERROR(IF(VLOOKUP(F1314,Kostentypen!$A$3:$E$21,3,0)=0,"",IF(OR(F1314="Arbeidskosten",F1314="Vergoeding"),VLOOKUP(G1314,Tb_KostenTypen[],2,0),VLOOKUP(F1314,Kostentypen!$A$3:$E$20,3,0))),"")</f>
        <v/>
      </c>
      <c r="O1314" s="320" t="str" cm="1">
        <f t="array" ref="O1314">_xlfn.IFNA(IF(INDEX(Tb_KostenOptiesDB[],MATCH($F1314,Tb_KostenOptiesDB[KostenOptie],0),IFERROR(MATCH(Methode_Keuze,Tb_KostenOptiesDB[#Headers],0),2))=1,_xlfn.SWITCH($N1314,"Uurtarief",IF(OR(AND(RIGHT($F1314,3)="IKS",VLOOKUP($M1314,DB_Loonkosten,2,0)="Ja"),AND(RIGHT($F1314,3)&lt;&gt;"IKS",VLOOKUP($M1314,DB_Loonkosten,2,0)="Nee")),IFERROR(VLOOKUP($M1314,DB_Loonkosten,24,0),""),0),"Vast tarief",IF(LEFT(F1314,8)="Bijdrage",VLOOKUP($F1314,Tb_KostenTypen[],MATCH(Lijsten!$P$1,Tb_KostenTypen[#Headers],0),0),VLOOKUP($G1314,Lijsten!L:P,MATCH(Lijsten!$P$1,Kop_Tarief_Vast,0),0))),""),"")</f>
        <v/>
      </c>
      <c r="P1314" s="320" t="str" cm="1">
        <f t="array" ref="P1314">_xlfn.IFNA(IF(INDEX(Tb_KostenOptiesDB[],MATCH($F1314,Tb_KostenOptiesDB[KostenOptie],0),IFERROR(MATCH(Methode_Keuze,Tb_KostenOptiesDB[#Headers],0),2))=1,_xlfn.SWITCH($N1314,"Uurtarief",IF(OR(AND(RIGHT($F1314,3)="IKS",VLOOKUP($M1314,DB_Loonkosten,2,0)="Ja"),AND(RIGHT($F1314,3)&lt;&gt;"IKS",VLOOKUP($M1314,DB_Loonkosten,2,0)="Nee")),IFERROR(VLOOKUP($M1314,DB_Loonkosten,25,0),""),0),"Vast tarief",IF(LEFT(F1314,8)="Bijdrage",VLOOKUP($F1314,Tb_KostenTypen[],MATCH(Lijsten!$P$1,Tb_KostenTypen[#Headers],0),0),VLOOKUP($G1314,Lijsten!L:P,MATCH(Lijsten!$P$1,Kop_Tarief_Vast,0),0))),""),"")</f>
        <v/>
      </c>
      <c r="Q1314" s="359"/>
      <c r="R1314" s="359"/>
      <c r="S1314" s="321"/>
      <c r="T1314" s="321"/>
      <c r="U1314" s="373" t="str">
        <f t="shared" si="80"/>
        <v/>
      </c>
      <c r="V1314" s="314" t="str">
        <f t="shared" si="81"/>
        <v/>
      </c>
      <c r="W1314" s="314" t="str" cm="1">
        <f t="array" aca="1" ref="W1314" ca="1">IFERROR(IF(AE1314&lt;&gt;"ja",_xlfn.IFNA(_xlfn.IFS(AND(O1314&lt;&gt;"",F1314&lt;&gt;"",RIGHT($N1314,6)="tarief",F1314="Vergoeding"),SUM(O1314)*FLOOR(SUM(Q1314),0.0001),AND(O1314&lt;&gt;"",F1314&lt;&gt;"",RIGHT($N1314,6)="tarief"),SUM(O1314)*FLOOR(SUM(Q1314),0.01),S1314&gt;0,IF(F1314&lt;&gt;"",FLOOR(SUM(S1314),0.01),"")),""),""),"")</f>
        <v/>
      </c>
      <c r="X1314" s="314" t="str" cm="1">
        <f t="array" aca="1" ref="X1314" ca="1">IFERROR(IF(AE1314&lt;&gt;"ja",_xlfn.IFNA(_xlfn.IFS(AND(P1314&lt;&gt;"",R1314&lt;&gt;"",RIGHT($N1314,6)="tarief",F1314="Vergoeding"),SUM(P1314)*FLOOR(SUM(R1314),0.0001),AND(P1314&lt;&gt;"",R1314&lt;&gt;"",RIGHT($N1314,6)="tarief"),P1314*FLOOR(R1314,0.01),T1314&gt;0,FLOOR(SUM(T1314),0.01)),""),""),"")</f>
        <v/>
      </c>
      <c r="Y1314" s="314" t="str">
        <f t="shared" ca="1" si="82"/>
        <v/>
      </c>
      <c r="Z1314" s="314" t="str" cm="1">
        <f t="array" aca="1" ref="Z1314" ca="1">IFERROR(_xlfn.IFS(OR(F1314="",LEFT(Methode_Keuze,4)="Geen",Methode_Keuze=""),"",AND(W1314&lt;&gt;"",F1314&lt;&gt;"Arbeidskosten"),W1314*VLOOKUP(F1314,Tb_ProjectKosten[],MATCH(Tb_ProjectKosten[[#Headers],[Forfait_Percentage]],Tb_ProjectKosten[#Headers],0),0),AND(F1314="Arbeidskosten",G1314&lt;&gt;""),IFERROR(W1314*VLOOKUP(G1314,Tb_KostenTypen[],3,0)*VLOOKUP(F1314,Tb_ProjectKosten[],MATCH(Tb_ProjectKosten[[#Headers],[Forfait_Percentage]],Tb_ProjectKosten[#Headers],0),0),""),W1314 &lt;=0,0),"")</f>
        <v/>
      </c>
      <c r="AA1314" s="314" t="str" cm="1">
        <f t="array" aca="1" ref="AA1314" ca="1">IFERROR(_xlfn.IFS(OR(F1314="",LEFT(Methode_Keuze,4)="Geen",Methode_Keuze=""),"",AND(X1314&lt;&gt;"",F1314&lt;&gt;"Arbeidskosten"),X1314*VLOOKUP(F1314,Tb_ProjectKosten[],MATCH(Tb_ProjectKosten[[#Headers],[Forfait_Percentage]],Tb_ProjectKosten[#Headers],0),0),AND(F1314="Arbeidskosten",G1314&lt;&gt;""),IFERROR(X1314*VLOOKUP(G1314,Tb_KostenTypen[],3,0)*VLOOKUP(F1314,Tb_ProjectKosten[],MATCH(Tb_ProjectKosten[[#Headers],[Forfait_Percentage]],Tb_ProjectKosten[#Headers],0),0),""),X1314 &lt;=0,0),"")</f>
        <v/>
      </c>
      <c r="AB1314" s="314" t="str">
        <f t="shared" ca="1" si="83"/>
        <v/>
      </c>
      <c r="AC1314" s="322"/>
      <c r="AD1314" s="315"/>
      <c r="AE1314" s="32" t="str" cm="1">
        <f t="array" ref="AE1314">IFERROR(IF(INDEX(SubsidieTabel!$AD$1:$AG$12,MATCH($F1314,SubsidieTabel!$AD$1:$AD$12,0),IFERROR(MATCH(Methode_Keuze,SubsidieTabel!$AD$1:$AG$1,0),2))&lt;&gt;1=TRUE,"ja",""),"")</f>
        <v/>
      </c>
    </row>
    <row r="1315" spans="1:31" x14ac:dyDescent="0.25">
      <c r="A1315" s="316"/>
      <c r="B1315" s="317" t="str">
        <f>IF(A1315&lt;&gt;"",_xlfn.MAXIFS($B$1:B1314,$A$1:A1314,A1315)+1,"")</f>
        <v/>
      </c>
      <c r="C1315" s="296"/>
      <c r="D1315" s="296"/>
      <c r="E1315" s="296"/>
      <c r="F1315" s="296"/>
      <c r="G1315" s="326"/>
      <c r="H1315" s="324"/>
      <c r="I1315" s="325"/>
      <c r="J1315" s="325"/>
      <c r="K1315" s="318"/>
      <c r="L1315" s="318"/>
      <c r="M1315" s="319" t="str">
        <f>IFERROR(VLOOKUP(H1315,Lijsten!$H$1:$I$100,2,0),"")</f>
        <v/>
      </c>
      <c r="N1315" s="319" t="str">
        <f ca="1">IFERROR(IF(VLOOKUP(F1315,Kostentypen!$A$3:$E$21,3,0)=0,"",IF(OR(F1315="Arbeidskosten",F1315="Vergoeding"),VLOOKUP(G1315,Tb_KostenTypen[],2,0),VLOOKUP(F1315,Kostentypen!$A$3:$E$20,3,0))),"")</f>
        <v/>
      </c>
      <c r="O1315" s="320" t="str" cm="1">
        <f t="array" ref="O1315">_xlfn.IFNA(IF(INDEX(Tb_KostenOptiesDB[],MATCH($F1315,Tb_KostenOptiesDB[KostenOptie],0),IFERROR(MATCH(Methode_Keuze,Tb_KostenOptiesDB[#Headers],0),2))=1,_xlfn.SWITCH($N1315,"Uurtarief",IF(OR(AND(RIGHT($F1315,3)="IKS",VLOOKUP($M1315,DB_Loonkosten,2,0)="Ja"),AND(RIGHT($F1315,3)&lt;&gt;"IKS",VLOOKUP($M1315,DB_Loonkosten,2,0)="Nee")),IFERROR(VLOOKUP($M1315,DB_Loonkosten,24,0),""),0),"Vast tarief",IF(LEFT(F1315,8)="Bijdrage",VLOOKUP($F1315,Tb_KostenTypen[],MATCH(Lijsten!$P$1,Tb_KostenTypen[#Headers],0),0),VLOOKUP($G1315,Lijsten!L:P,MATCH(Lijsten!$P$1,Kop_Tarief_Vast,0),0))),""),"")</f>
        <v/>
      </c>
      <c r="P1315" s="320" t="str" cm="1">
        <f t="array" ref="P1315">_xlfn.IFNA(IF(INDEX(Tb_KostenOptiesDB[],MATCH($F1315,Tb_KostenOptiesDB[KostenOptie],0),IFERROR(MATCH(Methode_Keuze,Tb_KostenOptiesDB[#Headers],0),2))=1,_xlfn.SWITCH($N1315,"Uurtarief",IF(OR(AND(RIGHT($F1315,3)="IKS",VLOOKUP($M1315,DB_Loonkosten,2,0)="Ja"),AND(RIGHT($F1315,3)&lt;&gt;"IKS",VLOOKUP($M1315,DB_Loonkosten,2,0)="Nee")),IFERROR(VLOOKUP($M1315,DB_Loonkosten,25,0),""),0),"Vast tarief",IF(LEFT(F1315,8)="Bijdrage",VLOOKUP($F1315,Tb_KostenTypen[],MATCH(Lijsten!$P$1,Tb_KostenTypen[#Headers],0),0),VLOOKUP($G1315,Lijsten!L:P,MATCH(Lijsten!$P$1,Kop_Tarief_Vast,0),0))),""),"")</f>
        <v/>
      </c>
      <c r="Q1315" s="359"/>
      <c r="R1315" s="359"/>
      <c r="S1315" s="321"/>
      <c r="T1315" s="321"/>
      <c r="U1315" s="373" t="str">
        <f t="shared" si="80"/>
        <v/>
      </c>
      <c r="V1315" s="314" t="str">
        <f t="shared" si="81"/>
        <v/>
      </c>
      <c r="W1315" s="314" t="str" cm="1">
        <f t="array" aca="1" ref="W1315" ca="1">IFERROR(IF(AE1315&lt;&gt;"ja",_xlfn.IFNA(_xlfn.IFS(AND(O1315&lt;&gt;"",F1315&lt;&gt;"",RIGHT($N1315,6)="tarief",F1315="Vergoeding"),SUM(O1315)*FLOOR(SUM(Q1315),0.0001),AND(O1315&lt;&gt;"",F1315&lt;&gt;"",RIGHT($N1315,6)="tarief"),SUM(O1315)*FLOOR(SUM(Q1315),0.01),S1315&gt;0,IF(F1315&lt;&gt;"",FLOOR(SUM(S1315),0.01),"")),""),""),"")</f>
        <v/>
      </c>
      <c r="X1315" s="314" t="str" cm="1">
        <f t="array" aca="1" ref="X1315" ca="1">IFERROR(IF(AE1315&lt;&gt;"ja",_xlfn.IFNA(_xlfn.IFS(AND(P1315&lt;&gt;"",R1315&lt;&gt;"",RIGHT($N1315,6)="tarief",F1315="Vergoeding"),SUM(P1315)*FLOOR(SUM(R1315),0.0001),AND(P1315&lt;&gt;"",R1315&lt;&gt;"",RIGHT($N1315,6)="tarief"),P1315*FLOOR(R1315,0.01),T1315&gt;0,FLOOR(SUM(T1315),0.01)),""),""),"")</f>
        <v/>
      </c>
      <c r="Y1315" s="314" t="str">
        <f t="shared" ca="1" si="82"/>
        <v/>
      </c>
      <c r="Z1315" s="314" t="str" cm="1">
        <f t="array" aca="1" ref="Z1315" ca="1">IFERROR(_xlfn.IFS(OR(F1315="",LEFT(Methode_Keuze,4)="Geen",Methode_Keuze=""),"",AND(W1315&lt;&gt;"",F1315&lt;&gt;"Arbeidskosten"),W1315*VLOOKUP(F1315,Tb_ProjectKosten[],MATCH(Tb_ProjectKosten[[#Headers],[Forfait_Percentage]],Tb_ProjectKosten[#Headers],0),0),AND(F1315="Arbeidskosten",G1315&lt;&gt;""),IFERROR(W1315*VLOOKUP(G1315,Tb_KostenTypen[],3,0)*VLOOKUP(F1315,Tb_ProjectKosten[],MATCH(Tb_ProjectKosten[[#Headers],[Forfait_Percentage]],Tb_ProjectKosten[#Headers],0),0),""),W1315 &lt;=0,0),"")</f>
        <v/>
      </c>
      <c r="AA1315" s="314" t="str" cm="1">
        <f t="array" aca="1" ref="AA1315" ca="1">IFERROR(_xlfn.IFS(OR(F1315="",LEFT(Methode_Keuze,4)="Geen",Methode_Keuze=""),"",AND(X1315&lt;&gt;"",F1315&lt;&gt;"Arbeidskosten"),X1315*VLOOKUP(F1315,Tb_ProjectKosten[],MATCH(Tb_ProjectKosten[[#Headers],[Forfait_Percentage]],Tb_ProjectKosten[#Headers],0),0),AND(F1315="Arbeidskosten",G1315&lt;&gt;""),IFERROR(X1315*VLOOKUP(G1315,Tb_KostenTypen[],3,0)*VLOOKUP(F1315,Tb_ProjectKosten[],MATCH(Tb_ProjectKosten[[#Headers],[Forfait_Percentage]],Tb_ProjectKosten[#Headers],0),0),""),X1315 &lt;=0,0),"")</f>
        <v/>
      </c>
      <c r="AB1315" s="314" t="str">
        <f t="shared" ca="1" si="83"/>
        <v/>
      </c>
      <c r="AC1315" s="322"/>
      <c r="AD1315" s="315"/>
      <c r="AE1315" s="32" t="str" cm="1">
        <f t="array" ref="AE1315">IFERROR(IF(INDEX(SubsidieTabel!$AD$1:$AG$12,MATCH($F1315,SubsidieTabel!$AD$1:$AD$12,0),IFERROR(MATCH(Methode_Keuze,SubsidieTabel!$AD$1:$AG$1,0),2))&lt;&gt;1=TRUE,"ja",""),"")</f>
        <v/>
      </c>
    </row>
    <row r="1316" spans="1:31" x14ac:dyDescent="0.25">
      <c r="A1316" s="316"/>
      <c r="B1316" s="317" t="str">
        <f>IF(A1316&lt;&gt;"",_xlfn.MAXIFS($B$1:B1315,$A$1:A1315,A1316)+1,"")</f>
        <v/>
      </c>
      <c r="C1316" s="296"/>
      <c r="D1316" s="296"/>
      <c r="E1316" s="296"/>
      <c r="F1316" s="296"/>
      <c r="G1316" s="326"/>
      <c r="H1316" s="324"/>
      <c r="I1316" s="325"/>
      <c r="J1316" s="325"/>
      <c r="K1316" s="318"/>
      <c r="L1316" s="318"/>
      <c r="M1316" s="319" t="str">
        <f>IFERROR(VLOOKUP(H1316,Lijsten!$H$1:$I$100,2,0),"")</f>
        <v/>
      </c>
      <c r="N1316" s="319" t="str">
        <f ca="1">IFERROR(IF(VLOOKUP(F1316,Kostentypen!$A$3:$E$21,3,0)=0,"",IF(OR(F1316="Arbeidskosten",F1316="Vergoeding"),VLOOKUP(G1316,Tb_KostenTypen[],2,0),VLOOKUP(F1316,Kostentypen!$A$3:$E$20,3,0))),"")</f>
        <v/>
      </c>
      <c r="O1316" s="320" t="str" cm="1">
        <f t="array" ref="O1316">_xlfn.IFNA(IF(INDEX(Tb_KostenOptiesDB[],MATCH($F1316,Tb_KostenOptiesDB[KostenOptie],0),IFERROR(MATCH(Methode_Keuze,Tb_KostenOptiesDB[#Headers],0),2))=1,_xlfn.SWITCH($N1316,"Uurtarief",IF(OR(AND(RIGHT($F1316,3)="IKS",VLOOKUP($M1316,DB_Loonkosten,2,0)="Ja"),AND(RIGHT($F1316,3)&lt;&gt;"IKS",VLOOKUP($M1316,DB_Loonkosten,2,0)="Nee")),IFERROR(VLOOKUP($M1316,DB_Loonkosten,24,0),""),0),"Vast tarief",IF(LEFT(F1316,8)="Bijdrage",VLOOKUP($F1316,Tb_KostenTypen[],MATCH(Lijsten!$P$1,Tb_KostenTypen[#Headers],0),0),VLOOKUP($G1316,Lijsten!L:P,MATCH(Lijsten!$P$1,Kop_Tarief_Vast,0),0))),""),"")</f>
        <v/>
      </c>
      <c r="P1316" s="320" t="str" cm="1">
        <f t="array" ref="P1316">_xlfn.IFNA(IF(INDEX(Tb_KostenOptiesDB[],MATCH($F1316,Tb_KostenOptiesDB[KostenOptie],0),IFERROR(MATCH(Methode_Keuze,Tb_KostenOptiesDB[#Headers],0),2))=1,_xlfn.SWITCH($N1316,"Uurtarief",IF(OR(AND(RIGHT($F1316,3)="IKS",VLOOKUP($M1316,DB_Loonkosten,2,0)="Ja"),AND(RIGHT($F1316,3)&lt;&gt;"IKS",VLOOKUP($M1316,DB_Loonkosten,2,0)="Nee")),IFERROR(VLOOKUP($M1316,DB_Loonkosten,25,0),""),0),"Vast tarief",IF(LEFT(F1316,8)="Bijdrage",VLOOKUP($F1316,Tb_KostenTypen[],MATCH(Lijsten!$P$1,Tb_KostenTypen[#Headers],0),0),VLOOKUP($G1316,Lijsten!L:P,MATCH(Lijsten!$P$1,Kop_Tarief_Vast,0),0))),""),"")</f>
        <v/>
      </c>
      <c r="Q1316" s="359"/>
      <c r="R1316" s="359"/>
      <c r="S1316" s="321"/>
      <c r="T1316" s="321"/>
      <c r="U1316" s="373" t="str">
        <f t="shared" si="80"/>
        <v/>
      </c>
      <c r="V1316" s="314" t="str">
        <f t="shared" si="81"/>
        <v/>
      </c>
      <c r="W1316" s="314" t="str" cm="1">
        <f t="array" aca="1" ref="W1316" ca="1">IFERROR(IF(AE1316&lt;&gt;"ja",_xlfn.IFNA(_xlfn.IFS(AND(O1316&lt;&gt;"",F1316&lt;&gt;"",RIGHT($N1316,6)="tarief",F1316="Vergoeding"),SUM(O1316)*FLOOR(SUM(Q1316),0.0001),AND(O1316&lt;&gt;"",F1316&lt;&gt;"",RIGHT($N1316,6)="tarief"),SUM(O1316)*FLOOR(SUM(Q1316),0.01),S1316&gt;0,IF(F1316&lt;&gt;"",FLOOR(SUM(S1316),0.01),"")),""),""),"")</f>
        <v/>
      </c>
      <c r="X1316" s="314" t="str" cm="1">
        <f t="array" aca="1" ref="X1316" ca="1">IFERROR(IF(AE1316&lt;&gt;"ja",_xlfn.IFNA(_xlfn.IFS(AND(P1316&lt;&gt;"",R1316&lt;&gt;"",RIGHT($N1316,6)="tarief",F1316="Vergoeding"),SUM(P1316)*FLOOR(SUM(R1316),0.0001),AND(P1316&lt;&gt;"",R1316&lt;&gt;"",RIGHT($N1316,6)="tarief"),P1316*FLOOR(R1316,0.01),T1316&gt;0,FLOOR(SUM(T1316),0.01)),""),""),"")</f>
        <v/>
      </c>
      <c r="Y1316" s="314" t="str">
        <f t="shared" ca="1" si="82"/>
        <v/>
      </c>
      <c r="Z1316" s="314" t="str" cm="1">
        <f t="array" aca="1" ref="Z1316" ca="1">IFERROR(_xlfn.IFS(OR(F1316="",LEFT(Methode_Keuze,4)="Geen",Methode_Keuze=""),"",AND(W1316&lt;&gt;"",F1316&lt;&gt;"Arbeidskosten"),W1316*VLOOKUP(F1316,Tb_ProjectKosten[],MATCH(Tb_ProjectKosten[[#Headers],[Forfait_Percentage]],Tb_ProjectKosten[#Headers],0),0),AND(F1316="Arbeidskosten",G1316&lt;&gt;""),IFERROR(W1316*VLOOKUP(G1316,Tb_KostenTypen[],3,0)*VLOOKUP(F1316,Tb_ProjectKosten[],MATCH(Tb_ProjectKosten[[#Headers],[Forfait_Percentage]],Tb_ProjectKosten[#Headers],0),0),""),W1316 &lt;=0,0),"")</f>
        <v/>
      </c>
      <c r="AA1316" s="314" t="str" cm="1">
        <f t="array" aca="1" ref="AA1316" ca="1">IFERROR(_xlfn.IFS(OR(F1316="",LEFT(Methode_Keuze,4)="Geen",Methode_Keuze=""),"",AND(X1316&lt;&gt;"",F1316&lt;&gt;"Arbeidskosten"),X1316*VLOOKUP(F1316,Tb_ProjectKosten[],MATCH(Tb_ProjectKosten[[#Headers],[Forfait_Percentage]],Tb_ProjectKosten[#Headers],0),0),AND(F1316="Arbeidskosten",G1316&lt;&gt;""),IFERROR(X1316*VLOOKUP(G1316,Tb_KostenTypen[],3,0)*VLOOKUP(F1316,Tb_ProjectKosten[],MATCH(Tb_ProjectKosten[[#Headers],[Forfait_Percentage]],Tb_ProjectKosten[#Headers],0),0),""),X1316 &lt;=0,0),"")</f>
        <v/>
      </c>
      <c r="AB1316" s="314" t="str">
        <f t="shared" ca="1" si="83"/>
        <v/>
      </c>
      <c r="AC1316" s="322"/>
      <c r="AD1316" s="315"/>
      <c r="AE1316" s="32" t="str" cm="1">
        <f t="array" ref="AE1316">IFERROR(IF(INDEX(SubsidieTabel!$AD$1:$AG$12,MATCH($F1316,SubsidieTabel!$AD$1:$AD$12,0),IFERROR(MATCH(Methode_Keuze,SubsidieTabel!$AD$1:$AG$1,0),2))&lt;&gt;1=TRUE,"ja",""),"")</f>
        <v/>
      </c>
    </row>
    <row r="1317" spans="1:31" x14ac:dyDescent="0.25">
      <c r="A1317" s="316"/>
      <c r="B1317" s="317" t="str">
        <f>IF(A1317&lt;&gt;"",_xlfn.MAXIFS($B$1:B1316,$A$1:A1316,A1317)+1,"")</f>
        <v/>
      </c>
      <c r="C1317" s="296"/>
      <c r="D1317" s="296"/>
      <c r="E1317" s="296"/>
      <c r="F1317" s="296"/>
      <c r="G1317" s="326"/>
      <c r="H1317" s="324"/>
      <c r="I1317" s="325"/>
      <c r="J1317" s="325"/>
      <c r="K1317" s="318"/>
      <c r="L1317" s="318"/>
      <c r="M1317" s="319" t="str">
        <f>IFERROR(VLOOKUP(H1317,Lijsten!$H$1:$I$100,2,0),"")</f>
        <v/>
      </c>
      <c r="N1317" s="319" t="str">
        <f ca="1">IFERROR(IF(VLOOKUP(F1317,Kostentypen!$A$3:$E$21,3,0)=0,"",IF(OR(F1317="Arbeidskosten",F1317="Vergoeding"),VLOOKUP(G1317,Tb_KostenTypen[],2,0),VLOOKUP(F1317,Kostentypen!$A$3:$E$20,3,0))),"")</f>
        <v/>
      </c>
      <c r="O1317" s="320" t="str" cm="1">
        <f t="array" ref="O1317">_xlfn.IFNA(IF(INDEX(Tb_KostenOptiesDB[],MATCH($F1317,Tb_KostenOptiesDB[KostenOptie],0),IFERROR(MATCH(Methode_Keuze,Tb_KostenOptiesDB[#Headers],0),2))=1,_xlfn.SWITCH($N1317,"Uurtarief",IF(OR(AND(RIGHT($F1317,3)="IKS",VLOOKUP($M1317,DB_Loonkosten,2,0)="Ja"),AND(RIGHT($F1317,3)&lt;&gt;"IKS",VLOOKUP($M1317,DB_Loonkosten,2,0)="Nee")),IFERROR(VLOOKUP($M1317,DB_Loonkosten,24,0),""),0),"Vast tarief",IF(LEFT(F1317,8)="Bijdrage",VLOOKUP($F1317,Tb_KostenTypen[],MATCH(Lijsten!$P$1,Tb_KostenTypen[#Headers],0),0),VLOOKUP($G1317,Lijsten!L:P,MATCH(Lijsten!$P$1,Kop_Tarief_Vast,0),0))),""),"")</f>
        <v/>
      </c>
      <c r="P1317" s="320" t="str" cm="1">
        <f t="array" ref="P1317">_xlfn.IFNA(IF(INDEX(Tb_KostenOptiesDB[],MATCH($F1317,Tb_KostenOptiesDB[KostenOptie],0),IFERROR(MATCH(Methode_Keuze,Tb_KostenOptiesDB[#Headers],0),2))=1,_xlfn.SWITCH($N1317,"Uurtarief",IF(OR(AND(RIGHT($F1317,3)="IKS",VLOOKUP($M1317,DB_Loonkosten,2,0)="Ja"),AND(RIGHT($F1317,3)&lt;&gt;"IKS",VLOOKUP($M1317,DB_Loonkosten,2,0)="Nee")),IFERROR(VLOOKUP($M1317,DB_Loonkosten,25,0),""),0),"Vast tarief",IF(LEFT(F1317,8)="Bijdrage",VLOOKUP($F1317,Tb_KostenTypen[],MATCH(Lijsten!$P$1,Tb_KostenTypen[#Headers],0),0),VLOOKUP($G1317,Lijsten!L:P,MATCH(Lijsten!$P$1,Kop_Tarief_Vast,0),0))),""),"")</f>
        <v/>
      </c>
      <c r="Q1317" s="359"/>
      <c r="R1317" s="359"/>
      <c r="S1317" s="321"/>
      <c r="T1317" s="321"/>
      <c r="U1317" s="373" t="str">
        <f t="shared" si="80"/>
        <v/>
      </c>
      <c r="V1317" s="314" t="str">
        <f t="shared" si="81"/>
        <v/>
      </c>
      <c r="W1317" s="314" t="str" cm="1">
        <f t="array" aca="1" ref="W1317" ca="1">IFERROR(IF(AE1317&lt;&gt;"ja",_xlfn.IFNA(_xlfn.IFS(AND(O1317&lt;&gt;"",F1317&lt;&gt;"",RIGHT($N1317,6)="tarief",F1317="Vergoeding"),SUM(O1317)*FLOOR(SUM(Q1317),0.0001),AND(O1317&lt;&gt;"",F1317&lt;&gt;"",RIGHT($N1317,6)="tarief"),SUM(O1317)*FLOOR(SUM(Q1317),0.01),S1317&gt;0,IF(F1317&lt;&gt;"",FLOOR(SUM(S1317),0.01),"")),""),""),"")</f>
        <v/>
      </c>
      <c r="X1317" s="314" t="str" cm="1">
        <f t="array" aca="1" ref="X1317" ca="1">IFERROR(IF(AE1317&lt;&gt;"ja",_xlfn.IFNA(_xlfn.IFS(AND(P1317&lt;&gt;"",R1317&lt;&gt;"",RIGHT($N1317,6)="tarief",F1317="Vergoeding"),SUM(P1317)*FLOOR(SUM(R1317),0.0001),AND(P1317&lt;&gt;"",R1317&lt;&gt;"",RIGHT($N1317,6)="tarief"),P1317*FLOOR(R1317,0.01),T1317&gt;0,FLOOR(SUM(T1317),0.01)),""),""),"")</f>
        <v/>
      </c>
      <c r="Y1317" s="314" t="str">
        <f t="shared" ca="1" si="82"/>
        <v/>
      </c>
      <c r="Z1317" s="314" t="str" cm="1">
        <f t="array" aca="1" ref="Z1317" ca="1">IFERROR(_xlfn.IFS(OR(F1317="",LEFT(Methode_Keuze,4)="Geen",Methode_Keuze=""),"",AND(W1317&lt;&gt;"",F1317&lt;&gt;"Arbeidskosten"),W1317*VLOOKUP(F1317,Tb_ProjectKosten[],MATCH(Tb_ProjectKosten[[#Headers],[Forfait_Percentage]],Tb_ProjectKosten[#Headers],0),0),AND(F1317="Arbeidskosten",G1317&lt;&gt;""),IFERROR(W1317*VLOOKUP(G1317,Tb_KostenTypen[],3,0)*VLOOKUP(F1317,Tb_ProjectKosten[],MATCH(Tb_ProjectKosten[[#Headers],[Forfait_Percentage]],Tb_ProjectKosten[#Headers],0),0),""),W1317 &lt;=0,0),"")</f>
        <v/>
      </c>
      <c r="AA1317" s="314" t="str" cm="1">
        <f t="array" aca="1" ref="AA1317" ca="1">IFERROR(_xlfn.IFS(OR(F1317="",LEFT(Methode_Keuze,4)="Geen",Methode_Keuze=""),"",AND(X1317&lt;&gt;"",F1317&lt;&gt;"Arbeidskosten"),X1317*VLOOKUP(F1317,Tb_ProjectKosten[],MATCH(Tb_ProjectKosten[[#Headers],[Forfait_Percentage]],Tb_ProjectKosten[#Headers],0),0),AND(F1317="Arbeidskosten",G1317&lt;&gt;""),IFERROR(X1317*VLOOKUP(G1317,Tb_KostenTypen[],3,0)*VLOOKUP(F1317,Tb_ProjectKosten[],MATCH(Tb_ProjectKosten[[#Headers],[Forfait_Percentage]],Tb_ProjectKosten[#Headers],0),0),""),X1317 &lt;=0,0),"")</f>
        <v/>
      </c>
      <c r="AB1317" s="314" t="str">
        <f t="shared" ca="1" si="83"/>
        <v/>
      </c>
      <c r="AC1317" s="322"/>
      <c r="AD1317" s="315"/>
      <c r="AE1317" s="32" t="str" cm="1">
        <f t="array" ref="AE1317">IFERROR(IF(INDEX(SubsidieTabel!$AD$1:$AG$12,MATCH($F1317,SubsidieTabel!$AD$1:$AD$12,0),IFERROR(MATCH(Methode_Keuze,SubsidieTabel!$AD$1:$AG$1,0),2))&lt;&gt;1=TRUE,"ja",""),"")</f>
        <v/>
      </c>
    </row>
    <row r="1318" spans="1:31" x14ac:dyDescent="0.25">
      <c r="A1318" s="316"/>
      <c r="B1318" s="317" t="str">
        <f>IF(A1318&lt;&gt;"",_xlfn.MAXIFS($B$1:B1317,$A$1:A1317,A1318)+1,"")</f>
        <v/>
      </c>
      <c r="C1318" s="296"/>
      <c r="D1318" s="296"/>
      <c r="E1318" s="296"/>
      <c r="F1318" s="296"/>
      <c r="G1318" s="326"/>
      <c r="H1318" s="324"/>
      <c r="I1318" s="325"/>
      <c r="J1318" s="325"/>
      <c r="K1318" s="318"/>
      <c r="L1318" s="318"/>
      <c r="M1318" s="319" t="str">
        <f>IFERROR(VLOOKUP(H1318,Lijsten!$H$1:$I$100,2,0),"")</f>
        <v/>
      </c>
      <c r="N1318" s="319" t="str">
        <f ca="1">IFERROR(IF(VLOOKUP(F1318,Kostentypen!$A$3:$E$21,3,0)=0,"",IF(OR(F1318="Arbeidskosten",F1318="Vergoeding"),VLOOKUP(G1318,Tb_KostenTypen[],2,0),VLOOKUP(F1318,Kostentypen!$A$3:$E$20,3,0))),"")</f>
        <v/>
      </c>
      <c r="O1318" s="320" t="str" cm="1">
        <f t="array" ref="O1318">_xlfn.IFNA(IF(INDEX(Tb_KostenOptiesDB[],MATCH($F1318,Tb_KostenOptiesDB[KostenOptie],0),IFERROR(MATCH(Methode_Keuze,Tb_KostenOptiesDB[#Headers],0),2))=1,_xlfn.SWITCH($N1318,"Uurtarief",IF(OR(AND(RIGHT($F1318,3)="IKS",VLOOKUP($M1318,DB_Loonkosten,2,0)="Ja"),AND(RIGHT($F1318,3)&lt;&gt;"IKS",VLOOKUP($M1318,DB_Loonkosten,2,0)="Nee")),IFERROR(VLOOKUP($M1318,DB_Loonkosten,24,0),""),0),"Vast tarief",IF(LEFT(F1318,8)="Bijdrage",VLOOKUP($F1318,Tb_KostenTypen[],MATCH(Lijsten!$P$1,Tb_KostenTypen[#Headers],0),0),VLOOKUP($G1318,Lijsten!L:P,MATCH(Lijsten!$P$1,Kop_Tarief_Vast,0),0))),""),"")</f>
        <v/>
      </c>
      <c r="P1318" s="320" t="str" cm="1">
        <f t="array" ref="P1318">_xlfn.IFNA(IF(INDEX(Tb_KostenOptiesDB[],MATCH($F1318,Tb_KostenOptiesDB[KostenOptie],0),IFERROR(MATCH(Methode_Keuze,Tb_KostenOptiesDB[#Headers],0),2))=1,_xlfn.SWITCH($N1318,"Uurtarief",IF(OR(AND(RIGHT($F1318,3)="IKS",VLOOKUP($M1318,DB_Loonkosten,2,0)="Ja"),AND(RIGHT($F1318,3)&lt;&gt;"IKS",VLOOKUP($M1318,DB_Loonkosten,2,0)="Nee")),IFERROR(VLOOKUP($M1318,DB_Loonkosten,25,0),""),0),"Vast tarief",IF(LEFT(F1318,8)="Bijdrage",VLOOKUP($F1318,Tb_KostenTypen[],MATCH(Lijsten!$P$1,Tb_KostenTypen[#Headers],0),0),VLOOKUP($G1318,Lijsten!L:P,MATCH(Lijsten!$P$1,Kop_Tarief_Vast,0),0))),""),"")</f>
        <v/>
      </c>
      <c r="Q1318" s="359"/>
      <c r="R1318" s="359"/>
      <c r="S1318" s="321"/>
      <c r="T1318" s="321"/>
      <c r="U1318" s="373" t="str">
        <f t="shared" si="80"/>
        <v/>
      </c>
      <c r="V1318" s="314" t="str">
        <f t="shared" si="81"/>
        <v/>
      </c>
      <c r="W1318" s="314" t="str" cm="1">
        <f t="array" aca="1" ref="W1318" ca="1">IFERROR(IF(AE1318&lt;&gt;"ja",_xlfn.IFNA(_xlfn.IFS(AND(O1318&lt;&gt;"",F1318&lt;&gt;"",RIGHT($N1318,6)="tarief",F1318="Vergoeding"),SUM(O1318)*FLOOR(SUM(Q1318),0.0001),AND(O1318&lt;&gt;"",F1318&lt;&gt;"",RIGHT($N1318,6)="tarief"),SUM(O1318)*FLOOR(SUM(Q1318),0.01),S1318&gt;0,IF(F1318&lt;&gt;"",FLOOR(SUM(S1318),0.01),"")),""),""),"")</f>
        <v/>
      </c>
      <c r="X1318" s="314" t="str" cm="1">
        <f t="array" aca="1" ref="X1318" ca="1">IFERROR(IF(AE1318&lt;&gt;"ja",_xlfn.IFNA(_xlfn.IFS(AND(P1318&lt;&gt;"",R1318&lt;&gt;"",RIGHT($N1318,6)="tarief",F1318="Vergoeding"),SUM(P1318)*FLOOR(SUM(R1318),0.0001),AND(P1318&lt;&gt;"",R1318&lt;&gt;"",RIGHT($N1318,6)="tarief"),P1318*FLOOR(R1318,0.01),T1318&gt;0,FLOOR(SUM(T1318),0.01)),""),""),"")</f>
        <v/>
      </c>
      <c r="Y1318" s="314" t="str">
        <f t="shared" ca="1" si="82"/>
        <v/>
      </c>
      <c r="Z1318" s="314" t="str" cm="1">
        <f t="array" aca="1" ref="Z1318" ca="1">IFERROR(_xlfn.IFS(OR(F1318="",LEFT(Methode_Keuze,4)="Geen",Methode_Keuze=""),"",AND(W1318&lt;&gt;"",F1318&lt;&gt;"Arbeidskosten"),W1318*VLOOKUP(F1318,Tb_ProjectKosten[],MATCH(Tb_ProjectKosten[[#Headers],[Forfait_Percentage]],Tb_ProjectKosten[#Headers],0),0),AND(F1318="Arbeidskosten",G1318&lt;&gt;""),IFERROR(W1318*VLOOKUP(G1318,Tb_KostenTypen[],3,0)*VLOOKUP(F1318,Tb_ProjectKosten[],MATCH(Tb_ProjectKosten[[#Headers],[Forfait_Percentage]],Tb_ProjectKosten[#Headers],0),0),""),W1318 &lt;=0,0),"")</f>
        <v/>
      </c>
      <c r="AA1318" s="314" t="str" cm="1">
        <f t="array" aca="1" ref="AA1318" ca="1">IFERROR(_xlfn.IFS(OR(F1318="",LEFT(Methode_Keuze,4)="Geen",Methode_Keuze=""),"",AND(X1318&lt;&gt;"",F1318&lt;&gt;"Arbeidskosten"),X1318*VLOOKUP(F1318,Tb_ProjectKosten[],MATCH(Tb_ProjectKosten[[#Headers],[Forfait_Percentage]],Tb_ProjectKosten[#Headers],0),0),AND(F1318="Arbeidskosten",G1318&lt;&gt;""),IFERROR(X1318*VLOOKUP(G1318,Tb_KostenTypen[],3,0)*VLOOKUP(F1318,Tb_ProjectKosten[],MATCH(Tb_ProjectKosten[[#Headers],[Forfait_Percentage]],Tb_ProjectKosten[#Headers],0),0),""),X1318 &lt;=0,0),"")</f>
        <v/>
      </c>
      <c r="AB1318" s="314" t="str">
        <f t="shared" ca="1" si="83"/>
        <v/>
      </c>
      <c r="AC1318" s="322"/>
      <c r="AD1318" s="315"/>
      <c r="AE1318" s="32" t="str" cm="1">
        <f t="array" ref="AE1318">IFERROR(IF(INDEX(SubsidieTabel!$AD$1:$AG$12,MATCH($F1318,SubsidieTabel!$AD$1:$AD$12,0),IFERROR(MATCH(Methode_Keuze,SubsidieTabel!$AD$1:$AG$1,0),2))&lt;&gt;1=TRUE,"ja",""),"")</f>
        <v/>
      </c>
    </row>
    <row r="1319" spans="1:31" x14ac:dyDescent="0.25">
      <c r="A1319" s="316"/>
      <c r="B1319" s="317" t="str">
        <f>IF(A1319&lt;&gt;"",_xlfn.MAXIFS($B$1:B1318,$A$1:A1318,A1319)+1,"")</f>
        <v/>
      </c>
      <c r="C1319" s="296"/>
      <c r="D1319" s="296"/>
      <c r="E1319" s="296"/>
      <c r="F1319" s="296"/>
      <c r="G1319" s="326"/>
      <c r="H1319" s="324"/>
      <c r="I1319" s="325"/>
      <c r="J1319" s="325"/>
      <c r="K1319" s="318"/>
      <c r="L1319" s="318"/>
      <c r="M1319" s="319" t="str">
        <f>IFERROR(VLOOKUP(H1319,Lijsten!$H$1:$I$100,2,0),"")</f>
        <v/>
      </c>
      <c r="N1319" s="319" t="str">
        <f ca="1">IFERROR(IF(VLOOKUP(F1319,Kostentypen!$A$3:$E$21,3,0)=0,"",IF(OR(F1319="Arbeidskosten",F1319="Vergoeding"),VLOOKUP(G1319,Tb_KostenTypen[],2,0),VLOOKUP(F1319,Kostentypen!$A$3:$E$20,3,0))),"")</f>
        <v/>
      </c>
      <c r="O1319" s="320" t="str" cm="1">
        <f t="array" ref="O1319">_xlfn.IFNA(IF(INDEX(Tb_KostenOptiesDB[],MATCH($F1319,Tb_KostenOptiesDB[KostenOptie],0),IFERROR(MATCH(Methode_Keuze,Tb_KostenOptiesDB[#Headers],0),2))=1,_xlfn.SWITCH($N1319,"Uurtarief",IF(OR(AND(RIGHT($F1319,3)="IKS",VLOOKUP($M1319,DB_Loonkosten,2,0)="Ja"),AND(RIGHT($F1319,3)&lt;&gt;"IKS",VLOOKUP($M1319,DB_Loonkosten,2,0)="Nee")),IFERROR(VLOOKUP($M1319,DB_Loonkosten,24,0),""),0),"Vast tarief",IF(LEFT(F1319,8)="Bijdrage",VLOOKUP($F1319,Tb_KostenTypen[],MATCH(Lijsten!$P$1,Tb_KostenTypen[#Headers],0),0),VLOOKUP($G1319,Lijsten!L:P,MATCH(Lijsten!$P$1,Kop_Tarief_Vast,0),0))),""),"")</f>
        <v/>
      </c>
      <c r="P1319" s="320" t="str" cm="1">
        <f t="array" ref="P1319">_xlfn.IFNA(IF(INDEX(Tb_KostenOptiesDB[],MATCH($F1319,Tb_KostenOptiesDB[KostenOptie],0),IFERROR(MATCH(Methode_Keuze,Tb_KostenOptiesDB[#Headers],0),2))=1,_xlfn.SWITCH($N1319,"Uurtarief",IF(OR(AND(RIGHT($F1319,3)="IKS",VLOOKUP($M1319,DB_Loonkosten,2,0)="Ja"),AND(RIGHT($F1319,3)&lt;&gt;"IKS",VLOOKUP($M1319,DB_Loonkosten,2,0)="Nee")),IFERROR(VLOOKUP($M1319,DB_Loonkosten,25,0),""),0),"Vast tarief",IF(LEFT(F1319,8)="Bijdrage",VLOOKUP($F1319,Tb_KostenTypen[],MATCH(Lijsten!$P$1,Tb_KostenTypen[#Headers],0),0),VLOOKUP($G1319,Lijsten!L:P,MATCH(Lijsten!$P$1,Kop_Tarief_Vast,0),0))),""),"")</f>
        <v/>
      </c>
      <c r="Q1319" s="359"/>
      <c r="R1319" s="359"/>
      <c r="S1319" s="321"/>
      <c r="T1319" s="321"/>
      <c r="U1319" s="373" t="str">
        <f t="shared" si="80"/>
        <v/>
      </c>
      <c r="V1319" s="314" t="str">
        <f t="shared" si="81"/>
        <v/>
      </c>
      <c r="W1319" s="314" t="str" cm="1">
        <f t="array" aca="1" ref="W1319" ca="1">IFERROR(IF(AE1319&lt;&gt;"ja",_xlfn.IFNA(_xlfn.IFS(AND(O1319&lt;&gt;"",F1319&lt;&gt;"",RIGHT($N1319,6)="tarief",F1319="Vergoeding"),SUM(O1319)*FLOOR(SUM(Q1319),0.0001),AND(O1319&lt;&gt;"",F1319&lt;&gt;"",RIGHT($N1319,6)="tarief"),SUM(O1319)*FLOOR(SUM(Q1319),0.01),S1319&gt;0,IF(F1319&lt;&gt;"",FLOOR(SUM(S1319),0.01),"")),""),""),"")</f>
        <v/>
      </c>
      <c r="X1319" s="314" t="str" cm="1">
        <f t="array" aca="1" ref="X1319" ca="1">IFERROR(IF(AE1319&lt;&gt;"ja",_xlfn.IFNA(_xlfn.IFS(AND(P1319&lt;&gt;"",R1319&lt;&gt;"",RIGHT($N1319,6)="tarief",F1319="Vergoeding"),SUM(P1319)*FLOOR(SUM(R1319),0.0001),AND(P1319&lt;&gt;"",R1319&lt;&gt;"",RIGHT($N1319,6)="tarief"),P1319*FLOOR(R1319,0.01),T1319&gt;0,FLOOR(SUM(T1319),0.01)),""),""),"")</f>
        <v/>
      </c>
      <c r="Y1319" s="314" t="str">
        <f t="shared" ca="1" si="82"/>
        <v/>
      </c>
      <c r="Z1319" s="314" t="str" cm="1">
        <f t="array" aca="1" ref="Z1319" ca="1">IFERROR(_xlfn.IFS(OR(F1319="",LEFT(Methode_Keuze,4)="Geen",Methode_Keuze=""),"",AND(W1319&lt;&gt;"",F1319&lt;&gt;"Arbeidskosten"),W1319*VLOOKUP(F1319,Tb_ProjectKosten[],MATCH(Tb_ProjectKosten[[#Headers],[Forfait_Percentage]],Tb_ProjectKosten[#Headers],0),0),AND(F1319="Arbeidskosten",G1319&lt;&gt;""),IFERROR(W1319*VLOOKUP(G1319,Tb_KostenTypen[],3,0)*VLOOKUP(F1319,Tb_ProjectKosten[],MATCH(Tb_ProjectKosten[[#Headers],[Forfait_Percentage]],Tb_ProjectKosten[#Headers],0),0),""),W1319 &lt;=0,0),"")</f>
        <v/>
      </c>
      <c r="AA1319" s="314" t="str" cm="1">
        <f t="array" aca="1" ref="AA1319" ca="1">IFERROR(_xlfn.IFS(OR(F1319="",LEFT(Methode_Keuze,4)="Geen",Methode_Keuze=""),"",AND(X1319&lt;&gt;"",F1319&lt;&gt;"Arbeidskosten"),X1319*VLOOKUP(F1319,Tb_ProjectKosten[],MATCH(Tb_ProjectKosten[[#Headers],[Forfait_Percentage]],Tb_ProjectKosten[#Headers],0),0),AND(F1319="Arbeidskosten",G1319&lt;&gt;""),IFERROR(X1319*VLOOKUP(G1319,Tb_KostenTypen[],3,0)*VLOOKUP(F1319,Tb_ProjectKosten[],MATCH(Tb_ProjectKosten[[#Headers],[Forfait_Percentage]],Tb_ProjectKosten[#Headers],0),0),""),X1319 &lt;=0,0),"")</f>
        <v/>
      </c>
      <c r="AB1319" s="314" t="str">
        <f t="shared" ca="1" si="83"/>
        <v/>
      </c>
      <c r="AC1319" s="322"/>
      <c r="AD1319" s="315"/>
      <c r="AE1319" s="32" t="str" cm="1">
        <f t="array" ref="AE1319">IFERROR(IF(INDEX(SubsidieTabel!$AD$1:$AG$12,MATCH($F1319,SubsidieTabel!$AD$1:$AD$12,0),IFERROR(MATCH(Methode_Keuze,SubsidieTabel!$AD$1:$AG$1,0),2))&lt;&gt;1=TRUE,"ja",""),"")</f>
        <v/>
      </c>
    </row>
    <row r="1320" spans="1:31" x14ac:dyDescent="0.25">
      <c r="A1320" s="316"/>
      <c r="B1320" s="317" t="str">
        <f>IF(A1320&lt;&gt;"",_xlfn.MAXIFS($B$1:B1319,$A$1:A1319,A1320)+1,"")</f>
        <v/>
      </c>
      <c r="C1320" s="296"/>
      <c r="D1320" s="296"/>
      <c r="E1320" s="296"/>
      <c r="F1320" s="296"/>
      <c r="G1320" s="326"/>
      <c r="H1320" s="324"/>
      <c r="I1320" s="325"/>
      <c r="J1320" s="325"/>
      <c r="K1320" s="318"/>
      <c r="L1320" s="318"/>
      <c r="M1320" s="319" t="str">
        <f>IFERROR(VLOOKUP(H1320,Lijsten!$H$1:$I$100,2,0),"")</f>
        <v/>
      </c>
      <c r="N1320" s="319" t="str">
        <f ca="1">IFERROR(IF(VLOOKUP(F1320,Kostentypen!$A$3:$E$21,3,0)=0,"",IF(OR(F1320="Arbeidskosten",F1320="Vergoeding"),VLOOKUP(G1320,Tb_KostenTypen[],2,0),VLOOKUP(F1320,Kostentypen!$A$3:$E$20,3,0))),"")</f>
        <v/>
      </c>
      <c r="O1320" s="320" t="str" cm="1">
        <f t="array" ref="O1320">_xlfn.IFNA(IF(INDEX(Tb_KostenOptiesDB[],MATCH($F1320,Tb_KostenOptiesDB[KostenOptie],0),IFERROR(MATCH(Methode_Keuze,Tb_KostenOptiesDB[#Headers],0),2))=1,_xlfn.SWITCH($N1320,"Uurtarief",IF(OR(AND(RIGHT($F1320,3)="IKS",VLOOKUP($M1320,DB_Loonkosten,2,0)="Ja"),AND(RIGHT($F1320,3)&lt;&gt;"IKS",VLOOKUP($M1320,DB_Loonkosten,2,0)="Nee")),IFERROR(VLOOKUP($M1320,DB_Loonkosten,24,0),""),0),"Vast tarief",IF(LEFT(F1320,8)="Bijdrage",VLOOKUP($F1320,Tb_KostenTypen[],MATCH(Lijsten!$P$1,Tb_KostenTypen[#Headers],0),0),VLOOKUP($G1320,Lijsten!L:P,MATCH(Lijsten!$P$1,Kop_Tarief_Vast,0),0))),""),"")</f>
        <v/>
      </c>
      <c r="P1320" s="320" t="str" cm="1">
        <f t="array" ref="P1320">_xlfn.IFNA(IF(INDEX(Tb_KostenOptiesDB[],MATCH($F1320,Tb_KostenOptiesDB[KostenOptie],0),IFERROR(MATCH(Methode_Keuze,Tb_KostenOptiesDB[#Headers],0),2))=1,_xlfn.SWITCH($N1320,"Uurtarief",IF(OR(AND(RIGHT($F1320,3)="IKS",VLOOKUP($M1320,DB_Loonkosten,2,0)="Ja"),AND(RIGHT($F1320,3)&lt;&gt;"IKS",VLOOKUP($M1320,DB_Loonkosten,2,0)="Nee")),IFERROR(VLOOKUP($M1320,DB_Loonkosten,25,0),""),0),"Vast tarief",IF(LEFT(F1320,8)="Bijdrage",VLOOKUP($F1320,Tb_KostenTypen[],MATCH(Lijsten!$P$1,Tb_KostenTypen[#Headers],0),0),VLOOKUP($G1320,Lijsten!L:P,MATCH(Lijsten!$P$1,Kop_Tarief_Vast,0),0))),""),"")</f>
        <v/>
      </c>
      <c r="Q1320" s="359"/>
      <c r="R1320" s="359"/>
      <c r="S1320" s="321"/>
      <c r="T1320" s="321"/>
      <c r="U1320" s="373" t="str">
        <f t="shared" si="80"/>
        <v/>
      </c>
      <c r="V1320" s="314" t="str">
        <f t="shared" si="81"/>
        <v/>
      </c>
      <c r="W1320" s="314" t="str" cm="1">
        <f t="array" aca="1" ref="W1320" ca="1">IFERROR(IF(AE1320&lt;&gt;"ja",_xlfn.IFNA(_xlfn.IFS(AND(O1320&lt;&gt;"",F1320&lt;&gt;"",RIGHT($N1320,6)="tarief",F1320="Vergoeding"),SUM(O1320)*FLOOR(SUM(Q1320),0.0001),AND(O1320&lt;&gt;"",F1320&lt;&gt;"",RIGHT($N1320,6)="tarief"),SUM(O1320)*FLOOR(SUM(Q1320),0.01),S1320&gt;0,IF(F1320&lt;&gt;"",FLOOR(SUM(S1320),0.01),"")),""),""),"")</f>
        <v/>
      </c>
      <c r="X1320" s="314" t="str" cm="1">
        <f t="array" aca="1" ref="X1320" ca="1">IFERROR(IF(AE1320&lt;&gt;"ja",_xlfn.IFNA(_xlfn.IFS(AND(P1320&lt;&gt;"",R1320&lt;&gt;"",RIGHT($N1320,6)="tarief",F1320="Vergoeding"),SUM(P1320)*FLOOR(SUM(R1320),0.0001),AND(P1320&lt;&gt;"",R1320&lt;&gt;"",RIGHT($N1320,6)="tarief"),P1320*FLOOR(R1320,0.01),T1320&gt;0,FLOOR(SUM(T1320),0.01)),""),""),"")</f>
        <v/>
      </c>
      <c r="Y1320" s="314" t="str">
        <f t="shared" ca="1" si="82"/>
        <v/>
      </c>
      <c r="Z1320" s="314" t="str" cm="1">
        <f t="array" aca="1" ref="Z1320" ca="1">IFERROR(_xlfn.IFS(OR(F1320="",LEFT(Methode_Keuze,4)="Geen",Methode_Keuze=""),"",AND(W1320&lt;&gt;"",F1320&lt;&gt;"Arbeidskosten"),W1320*VLOOKUP(F1320,Tb_ProjectKosten[],MATCH(Tb_ProjectKosten[[#Headers],[Forfait_Percentage]],Tb_ProjectKosten[#Headers],0),0),AND(F1320="Arbeidskosten",G1320&lt;&gt;""),IFERROR(W1320*VLOOKUP(G1320,Tb_KostenTypen[],3,0)*VLOOKUP(F1320,Tb_ProjectKosten[],MATCH(Tb_ProjectKosten[[#Headers],[Forfait_Percentage]],Tb_ProjectKosten[#Headers],0),0),""),W1320 &lt;=0,0),"")</f>
        <v/>
      </c>
      <c r="AA1320" s="314" t="str" cm="1">
        <f t="array" aca="1" ref="AA1320" ca="1">IFERROR(_xlfn.IFS(OR(F1320="",LEFT(Methode_Keuze,4)="Geen",Methode_Keuze=""),"",AND(X1320&lt;&gt;"",F1320&lt;&gt;"Arbeidskosten"),X1320*VLOOKUP(F1320,Tb_ProjectKosten[],MATCH(Tb_ProjectKosten[[#Headers],[Forfait_Percentage]],Tb_ProjectKosten[#Headers],0),0),AND(F1320="Arbeidskosten",G1320&lt;&gt;""),IFERROR(X1320*VLOOKUP(G1320,Tb_KostenTypen[],3,0)*VLOOKUP(F1320,Tb_ProjectKosten[],MATCH(Tb_ProjectKosten[[#Headers],[Forfait_Percentage]],Tb_ProjectKosten[#Headers],0),0),""),X1320 &lt;=0,0),"")</f>
        <v/>
      </c>
      <c r="AB1320" s="314" t="str">
        <f t="shared" ca="1" si="83"/>
        <v/>
      </c>
      <c r="AC1320" s="322"/>
      <c r="AD1320" s="315"/>
      <c r="AE1320" s="32" t="str" cm="1">
        <f t="array" ref="AE1320">IFERROR(IF(INDEX(SubsidieTabel!$AD$1:$AG$12,MATCH($F1320,SubsidieTabel!$AD$1:$AD$12,0),IFERROR(MATCH(Methode_Keuze,SubsidieTabel!$AD$1:$AG$1,0),2))&lt;&gt;1=TRUE,"ja",""),"")</f>
        <v/>
      </c>
    </row>
    <row r="1321" spans="1:31" x14ac:dyDescent="0.25">
      <c r="A1321" s="316"/>
      <c r="B1321" s="317" t="str">
        <f>IF(A1321&lt;&gt;"",_xlfn.MAXIFS($B$1:B1320,$A$1:A1320,A1321)+1,"")</f>
        <v/>
      </c>
      <c r="C1321" s="296"/>
      <c r="D1321" s="296"/>
      <c r="E1321" s="296"/>
      <c r="F1321" s="296"/>
      <c r="G1321" s="326"/>
      <c r="H1321" s="324"/>
      <c r="I1321" s="325"/>
      <c r="J1321" s="325"/>
      <c r="K1321" s="318"/>
      <c r="L1321" s="318"/>
      <c r="M1321" s="319" t="str">
        <f>IFERROR(VLOOKUP(H1321,Lijsten!$H$1:$I$100,2,0),"")</f>
        <v/>
      </c>
      <c r="N1321" s="319" t="str">
        <f ca="1">IFERROR(IF(VLOOKUP(F1321,Kostentypen!$A$3:$E$21,3,0)=0,"",IF(OR(F1321="Arbeidskosten",F1321="Vergoeding"),VLOOKUP(G1321,Tb_KostenTypen[],2,0),VLOOKUP(F1321,Kostentypen!$A$3:$E$20,3,0))),"")</f>
        <v/>
      </c>
      <c r="O1321" s="320" t="str" cm="1">
        <f t="array" ref="O1321">_xlfn.IFNA(IF(INDEX(Tb_KostenOptiesDB[],MATCH($F1321,Tb_KostenOptiesDB[KostenOptie],0),IFERROR(MATCH(Methode_Keuze,Tb_KostenOptiesDB[#Headers],0),2))=1,_xlfn.SWITCH($N1321,"Uurtarief",IF(OR(AND(RIGHT($F1321,3)="IKS",VLOOKUP($M1321,DB_Loonkosten,2,0)="Ja"),AND(RIGHT($F1321,3)&lt;&gt;"IKS",VLOOKUP($M1321,DB_Loonkosten,2,0)="Nee")),IFERROR(VLOOKUP($M1321,DB_Loonkosten,24,0),""),0),"Vast tarief",IF(LEFT(F1321,8)="Bijdrage",VLOOKUP($F1321,Tb_KostenTypen[],MATCH(Lijsten!$P$1,Tb_KostenTypen[#Headers],0),0),VLOOKUP($G1321,Lijsten!L:P,MATCH(Lijsten!$P$1,Kop_Tarief_Vast,0),0))),""),"")</f>
        <v/>
      </c>
      <c r="P1321" s="320" t="str" cm="1">
        <f t="array" ref="P1321">_xlfn.IFNA(IF(INDEX(Tb_KostenOptiesDB[],MATCH($F1321,Tb_KostenOptiesDB[KostenOptie],0),IFERROR(MATCH(Methode_Keuze,Tb_KostenOptiesDB[#Headers],0),2))=1,_xlfn.SWITCH($N1321,"Uurtarief",IF(OR(AND(RIGHT($F1321,3)="IKS",VLOOKUP($M1321,DB_Loonkosten,2,0)="Ja"),AND(RIGHT($F1321,3)&lt;&gt;"IKS",VLOOKUP($M1321,DB_Loonkosten,2,0)="Nee")),IFERROR(VLOOKUP($M1321,DB_Loonkosten,25,0),""),0),"Vast tarief",IF(LEFT(F1321,8)="Bijdrage",VLOOKUP($F1321,Tb_KostenTypen[],MATCH(Lijsten!$P$1,Tb_KostenTypen[#Headers],0),0),VLOOKUP($G1321,Lijsten!L:P,MATCH(Lijsten!$P$1,Kop_Tarief_Vast,0),0))),""),"")</f>
        <v/>
      </c>
      <c r="Q1321" s="359"/>
      <c r="R1321" s="359"/>
      <c r="S1321" s="321"/>
      <c r="T1321" s="321"/>
      <c r="U1321" s="373" t="str">
        <f t="shared" si="80"/>
        <v/>
      </c>
      <c r="V1321" s="314" t="str">
        <f t="shared" si="81"/>
        <v/>
      </c>
      <c r="W1321" s="314" t="str" cm="1">
        <f t="array" aca="1" ref="W1321" ca="1">IFERROR(IF(AE1321&lt;&gt;"ja",_xlfn.IFNA(_xlfn.IFS(AND(O1321&lt;&gt;"",F1321&lt;&gt;"",RIGHT($N1321,6)="tarief",F1321="Vergoeding"),SUM(O1321)*FLOOR(SUM(Q1321),0.0001),AND(O1321&lt;&gt;"",F1321&lt;&gt;"",RIGHT($N1321,6)="tarief"),SUM(O1321)*FLOOR(SUM(Q1321),0.01),S1321&gt;0,IF(F1321&lt;&gt;"",FLOOR(SUM(S1321),0.01),"")),""),""),"")</f>
        <v/>
      </c>
      <c r="X1321" s="314" t="str" cm="1">
        <f t="array" aca="1" ref="X1321" ca="1">IFERROR(IF(AE1321&lt;&gt;"ja",_xlfn.IFNA(_xlfn.IFS(AND(P1321&lt;&gt;"",R1321&lt;&gt;"",RIGHT($N1321,6)="tarief",F1321="Vergoeding"),SUM(P1321)*FLOOR(SUM(R1321),0.0001),AND(P1321&lt;&gt;"",R1321&lt;&gt;"",RIGHT($N1321,6)="tarief"),P1321*FLOOR(R1321,0.01),T1321&gt;0,FLOOR(SUM(T1321),0.01)),""),""),"")</f>
        <v/>
      </c>
      <c r="Y1321" s="314" t="str">
        <f t="shared" ca="1" si="82"/>
        <v/>
      </c>
      <c r="Z1321" s="314" t="str" cm="1">
        <f t="array" aca="1" ref="Z1321" ca="1">IFERROR(_xlfn.IFS(OR(F1321="",LEFT(Methode_Keuze,4)="Geen",Methode_Keuze=""),"",AND(W1321&lt;&gt;"",F1321&lt;&gt;"Arbeidskosten"),W1321*VLOOKUP(F1321,Tb_ProjectKosten[],MATCH(Tb_ProjectKosten[[#Headers],[Forfait_Percentage]],Tb_ProjectKosten[#Headers],0),0),AND(F1321="Arbeidskosten",G1321&lt;&gt;""),IFERROR(W1321*VLOOKUP(G1321,Tb_KostenTypen[],3,0)*VLOOKUP(F1321,Tb_ProjectKosten[],MATCH(Tb_ProjectKosten[[#Headers],[Forfait_Percentage]],Tb_ProjectKosten[#Headers],0),0),""),W1321 &lt;=0,0),"")</f>
        <v/>
      </c>
      <c r="AA1321" s="314" t="str" cm="1">
        <f t="array" aca="1" ref="AA1321" ca="1">IFERROR(_xlfn.IFS(OR(F1321="",LEFT(Methode_Keuze,4)="Geen",Methode_Keuze=""),"",AND(X1321&lt;&gt;"",F1321&lt;&gt;"Arbeidskosten"),X1321*VLOOKUP(F1321,Tb_ProjectKosten[],MATCH(Tb_ProjectKosten[[#Headers],[Forfait_Percentage]],Tb_ProjectKosten[#Headers],0),0),AND(F1321="Arbeidskosten",G1321&lt;&gt;""),IFERROR(X1321*VLOOKUP(G1321,Tb_KostenTypen[],3,0)*VLOOKUP(F1321,Tb_ProjectKosten[],MATCH(Tb_ProjectKosten[[#Headers],[Forfait_Percentage]],Tb_ProjectKosten[#Headers],0),0),""),X1321 &lt;=0,0),"")</f>
        <v/>
      </c>
      <c r="AB1321" s="314" t="str">
        <f t="shared" ca="1" si="83"/>
        <v/>
      </c>
      <c r="AC1321" s="322"/>
      <c r="AD1321" s="315"/>
      <c r="AE1321" s="32" t="str" cm="1">
        <f t="array" ref="AE1321">IFERROR(IF(INDEX(SubsidieTabel!$AD$1:$AG$12,MATCH($F1321,SubsidieTabel!$AD$1:$AD$12,0),IFERROR(MATCH(Methode_Keuze,SubsidieTabel!$AD$1:$AG$1,0),2))&lt;&gt;1=TRUE,"ja",""),"")</f>
        <v/>
      </c>
    </row>
    <row r="1322" spans="1:31" x14ac:dyDescent="0.25">
      <c r="A1322" s="316"/>
      <c r="B1322" s="317" t="str">
        <f>IF(A1322&lt;&gt;"",_xlfn.MAXIFS($B$1:B1321,$A$1:A1321,A1322)+1,"")</f>
        <v/>
      </c>
      <c r="C1322" s="296"/>
      <c r="D1322" s="296"/>
      <c r="E1322" s="296"/>
      <c r="F1322" s="296"/>
      <c r="G1322" s="326"/>
      <c r="H1322" s="324"/>
      <c r="I1322" s="325"/>
      <c r="J1322" s="325"/>
      <c r="K1322" s="318"/>
      <c r="L1322" s="318"/>
      <c r="M1322" s="319" t="str">
        <f>IFERROR(VLOOKUP(H1322,Lijsten!$H$1:$I$100,2,0),"")</f>
        <v/>
      </c>
      <c r="N1322" s="319" t="str">
        <f ca="1">IFERROR(IF(VLOOKUP(F1322,Kostentypen!$A$3:$E$21,3,0)=0,"",IF(OR(F1322="Arbeidskosten",F1322="Vergoeding"),VLOOKUP(G1322,Tb_KostenTypen[],2,0),VLOOKUP(F1322,Kostentypen!$A$3:$E$20,3,0))),"")</f>
        <v/>
      </c>
      <c r="O1322" s="320" t="str" cm="1">
        <f t="array" ref="O1322">_xlfn.IFNA(IF(INDEX(Tb_KostenOptiesDB[],MATCH($F1322,Tb_KostenOptiesDB[KostenOptie],0),IFERROR(MATCH(Methode_Keuze,Tb_KostenOptiesDB[#Headers],0),2))=1,_xlfn.SWITCH($N1322,"Uurtarief",IF(OR(AND(RIGHT($F1322,3)="IKS",VLOOKUP($M1322,DB_Loonkosten,2,0)="Ja"),AND(RIGHT($F1322,3)&lt;&gt;"IKS",VLOOKUP($M1322,DB_Loonkosten,2,0)="Nee")),IFERROR(VLOOKUP($M1322,DB_Loonkosten,24,0),""),0),"Vast tarief",IF(LEFT(F1322,8)="Bijdrage",VLOOKUP($F1322,Tb_KostenTypen[],MATCH(Lijsten!$P$1,Tb_KostenTypen[#Headers],0),0),VLOOKUP($G1322,Lijsten!L:P,MATCH(Lijsten!$P$1,Kop_Tarief_Vast,0),0))),""),"")</f>
        <v/>
      </c>
      <c r="P1322" s="320" t="str" cm="1">
        <f t="array" ref="P1322">_xlfn.IFNA(IF(INDEX(Tb_KostenOptiesDB[],MATCH($F1322,Tb_KostenOptiesDB[KostenOptie],0),IFERROR(MATCH(Methode_Keuze,Tb_KostenOptiesDB[#Headers],0),2))=1,_xlfn.SWITCH($N1322,"Uurtarief",IF(OR(AND(RIGHT($F1322,3)="IKS",VLOOKUP($M1322,DB_Loonkosten,2,0)="Ja"),AND(RIGHT($F1322,3)&lt;&gt;"IKS",VLOOKUP($M1322,DB_Loonkosten,2,0)="Nee")),IFERROR(VLOOKUP($M1322,DB_Loonkosten,25,0),""),0),"Vast tarief",IF(LEFT(F1322,8)="Bijdrage",VLOOKUP($F1322,Tb_KostenTypen[],MATCH(Lijsten!$P$1,Tb_KostenTypen[#Headers],0),0),VLOOKUP($G1322,Lijsten!L:P,MATCH(Lijsten!$P$1,Kop_Tarief_Vast,0),0))),""),"")</f>
        <v/>
      </c>
      <c r="Q1322" s="359"/>
      <c r="R1322" s="359"/>
      <c r="S1322" s="321"/>
      <c r="T1322" s="321"/>
      <c r="U1322" s="373" t="str">
        <f t="shared" si="80"/>
        <v/>
      </c>
      <c r="V1322" s="314" t="str">
        <f t="shared" si="81"/>
        <v/>
      </c>
      <c r="W1322" s="314" t="str" cm="1">
        <f t="array" aca="1" ref="W1322" ca="1">IFERROR(IF(AE1322&lt;&gt;"ja",_xlfn.IFNA(_xlfn.IFS(AND(O1322&lt;&gt;"",F1322&lt;&gt;"",RIGHT($N1322,6)="tarief",F1322="Vergoeding"),SUM(O1322)*FLOOR(SUM(Q1322),0.0001),AND(O1322&lt;&gt;"",F1322&lt;&gt;"",RIGHT($N1322,6)="tarief"),SUM(O1322)*FLOOR(SUM(Q1322),0.01),S1322&gt;0,IF(F1322&lt;&gt;"",FLOOR(SUM(S1322),0.01),"")),""),""),"")</f>
        <v/>
      </c>
      <c r="X1322" s="314" t="str" cm="1">
        <f t="array" aca="1" ref="X1322" ca="1">IFERROR(IF(AE1322&lt;&gt;"ja",_xlfn.IFNA(_xlfn.IFS(AND(P1322&lt;&gt;"",R1322&lt;&gt;"",RIGHT($N1322,6)="tarief",F1322="Vergoeding"),SUM(P1322)*FLOOR(SUM(R1322),0.0001),AND(P1322&lt;&gt;"",R1322&lt;&gt;"",RIGHT($N1322,6)="tarief"),P1322*FLOOR(R1322,0.01),T1322&gt;0,FLOOR(SUM(T1322),0.01)),""),""),"")</f>
        <v/>
      </c>
      <c r="Y1322" s="314" t="str">
        <f t="shared" ca="1" si="82"/>
        <v/>
      </c>
      <c r="Z1322" s="314" t="str" cm="1">
        <f t="array" aca="1" ref="Z1322" ca="1">IFERROR(_xlfn.IFS(OR(F1322="",LEFT(Methode_Keuze,4)="Geen",Methode_Keuze=""),"",AND(W1322&lt;&gt;"",F1322&lt;&gt;"Arbeidskosten"),W1322*VLOOKUP(F1322,Tb_ProjectKosten[],MATCH(Tb_ProjectKosten[[#Headers],[Forfait_Percentage]],Tb_ProjectKosten[#Headers],0),0),AND(F1322="Arbeidskosten",G1322&lt;&gt;""),IFERROR(W1322*VLOOKUP(G1322,Tb_KostenTypen[],3,0)*VLOOKUP(F1322,Tb_ProjectKosten[],MATCH(Tb_ProjectKosten[[#Headers],[Forfait_Percentage]],Tb_ProjectKosten[#Headers],0),0),""),W1322 &lt;=0,0),"")</f>
        <v/>
      </c>
      <c r="AA1322" s="314" t="str" cm="1">
        <f t="array" aca="1" ref="AA1322" ca="1">IFERROR(_xlfn.IFS(OR(F1322="",LEFT(Methode_Keuze,4)="Geen",Methode_Keuze=""),"",AND(X1322&lt;&gt;"",F1322&lt;&gt;"Arbeidskosten"),X1322*VLOOKUP(F1322,Tb_ProjectKosten[],MATCH(Tb_ProjectKosten[[#Headers],[Forfait_Percentage]],Tb_ProjectKosten[#Headers],0),0),AND(F1322="Arbeidskosten",G1322&lt;&gt;""),IFERROR(X1322*VLOOKUP(G1322,Tb_KostenTypen[],3,0)*VLOOKUP(F1322,Tb_ProjectKosten[],MATCH(Tb_ProjectKosten[[#Headers],[Forfait_Percentage]],Tb_ProjectKosten[#Headers],0),0),""),X1322 &lt;=0,0),"")</f>
        <v/>
      </c>
      <c r="AB1322" s="314" t="str">
        <f t="shared" ca="1" si="83"/>
        <v/>
      </c>
      <c r="AC1322" s="322"/>
      <c r="AD1322" s="315"/>
      <c r="AE1322" s="32" t="str" cm="1">
        <f t="array" ref="AE1322">IFERROR(IF(INDEX(SubsidieTabel!$AD$1:$AG$12,MATCH($F1322,SubsidieTabel!$AD$1:$AD$12,0),IFERROR(MATCH(Methode_Keuze,SubsidieTabel!$AD$1:$AG$1,0),2))&lt;&gt;1=TRUE,"ja",""),"")</f>
        <v/>
      </c>
    </row>
    <row r="1323" spans="1:31" x14ac:dyDescent="0.25">
      <c r="A1323" s="316"/>
      <c r="B1323" s="317" t="str">
        <f>IF(A1323&lt;&gt;"",_xlfn.MAXIFS($B$1:B1322,$A$1:A1322,A1323)+1,"")</f>
        <v/>
      </c>
      <c r="C1323" s="296"/>
      <c r="D1323" s="296"/>
      <c r="E1323" s="296"/>
      <c r="F1323" s="296"/>
      <c r="G1323" s="326"/>
      <c r="H1323" s="324"/>
      <c r="I1323" s="325"/>
      <c r="J1323" s="325"/>
      <c r="K1323" s="318"/>
      <c r="L1323" s="318"/>
      <c r="M1323" s="319" t="str">
        <f>IFERROR(VLOOKUP(H1323,Lijsten!$H$1:$I$100,2,0),"")</f>
        <v/>
      </c>
      <c r="N1323" s="319" t="str">
        <f ca="1">IFERROR(IF(VLOOKUP(F1323,Kostentypen!$A$3:$E$21,3,0)=0,"",IF(OR(F1323="Arbeidskosten",F1323="Vergoeding"),VLOOKUP(G1323,Tb_KostenTypen[],2,0),VLOOKUP(F1323,Kostentypen!$A$3:$E$20,3,0))),"")</f>
        <v/>
      </c>
      <c r="O1323" s="320" t="str" cm="1">
        <f t="array" ref="O1323">_xlfn.IFNA(IF(INDEX(Tb_KostenOptiesDB[],MATCH($F1323,Tb_KostenOptiesDB[KostenOptie],0),IFERROR(MATCH(Methode_Keuze,Tb_KostenOptiesDB[#Headers],0),2))=1,_xlfn.SWITCH($N1323,"Uurtarief",IF(OR(AND(RIGHT($F1323,3)="IKS",VLOOKUP($M1323,DB_Loonkosten,2,0)="Ja"),AND(RIGHT($F1323,3)&lt;&gt;"IKS",VLOOKUP($M1323,DB_Loonkosten,2,0)="Nee")),IFERROR(VLOOKUP($M1323,DB_Loonkosten,24,0),""),0),"Vast tarief",IF(LEFT(F1323,8)="Bijdrage",VLOOKUP($F1323,Tb_KostenTypen[],MATCH(Lijsten!$P$1,Tb_KostenTypen[#Headers],0),0),VLOOKUP($G1323,Lijsten!L:P,MATCH(Lijsten!$P$1,Kop_Tarief_Vast,0),0))),""),"")</f>
        <v/>
      </c>
      <c r="P1323" s="320" t="str" cm="1">
        <f t="array" ref="P1323">_xlfn.IFNA(IF(INDEX(Tb_KostenOptiesDB[],MATCH($F1323,Tb_KostenOptiesDB[KostenOptie],0),IFERROR(MATCH(Methode_Keuze,Tb_KostenOptiesDB[#Headers],0),2))=1,_xlfn.SWITCH($N1323,"Uurtarief",IF(OR(AND(RIGHT($F1323,3)="IKS",VLOOKUP($M1323,DB_Loonkosten,2,0)="Ja"),AND(RIGHT($F1323,3)&lt;&gt;"IKS",VLOOKUP($M1323,DB_Loonkosten,2,0)="Nee")),IFERROR(VLOOKUP($M1323,DB_Loonkosten,25,0),""),0),"Vast tarief",IF(LEFT(F1323,8)="Bijdrage",VLOOKUP($F1323,Tb_KostenTypen[],MATCH(Lijsten!$P$1,Tb_KostenTypen[#Headers],0),0),VLOOKUP($G1323,Lijsten!L:P,MATCH(Lijsten!$P$1,Kop_Tarief_Vast,0),0))),""),"")</f>
        <v/>
      </c>
      <c r="Q1323" s="359"/>
      <c r="R1323" s="359"/>
      <c r="S1323" s="321"/>
      <c r="T1323" s="321"/>
      <c r="U1323" s="373" t="str">
        <f t="shared" si="80"/>
        <v/>
      </c>
      <c r="V1323" s="314" t="str">
        <f t="shared" si="81"/>
        <v/>
      </c>
      <c r="W1323" s="314" t="str" cm="1">
        <f t="array" aca="1" ref="W1323" ca="1">IFERROR(IF(AE1323&lt;&gt;"ja",_xlfn.IFNA(_xlfn.IFS(AND(O1323&lt;&gt;"",F1323&lt;&gt;"",RIGHT($N1323,6)="tarief",F1323="Vergoeding"),SUM(O1323)*FLOOR(SUM(Q1323),0.0001),AND(O1323&lt;&gt;"",F1323&lt;&gt;"",RIGHT($N1323,6)="tarief"),SUM(O1323)*FLOOR(SUM(Q1323),0.01),S1323&gt;0,IF(F1323&lt;&gt;"",FLOOR(SUM(S1323),0.01),"")),""),""),"")</f>
        <v/>
      </c>
      <c r="X1323" s="314" t="str" cm="1">
        <f t="array" aca="1" ref="X1323" ca="1">IFERROR(IF(AE1323&lt;&gt;"ja",_xlfn.IFNA(_xlfn.IFS(AND(P1323&lt;&gt;"",R1323&lt;&gt;"",RIGHT($N1323,6)="tarief",F1323="Vergoeding"),SUM(P1323)*FLOOR(SUM(R1323),0.0001),AND(P1323&lt;&gt;"",R1323&lt;&gt;"",RIGHT($N1323,6)="tarief"),P1323*FLOOR(R1323,0.01),T1323&gt;0,FLOOR(SUM(T1323),0.01)),""),""),"")</f>
        <v/>
      </c>
      <c r="Y1323" s="314" t="str">
        <f t="shared" ca="1" si="82"/>
        <v/>
      </c>
      <c r="Z1323" s="314" t="str" cm="1">
        <f t="array" aca="1" ref="Z1323" ca="1">IFERROR(_xlfn.IFS(OR(F1323="",LEFT(Methode_Keuze,4)="Geen",Methode_Keuze=""),"",AND(W1323&lt;&gt;"",F1323&lt;&gt;"Arbeidskosten"),W1323*VLOOKUP(F1323,Tb_ProjectKosten[],MATCH(Tb_ProjectKosten[[#Headers],[Forfait_Percentage]],Tb_ProjectKosten[#Headers],0),0),AND(F1323="Arbeidskosten",G1323&lt;&gt;""),IFERROR(W1323*VLOOKUP(G1323,Tb_KostenTypen[],3,0)*VLOOKUP(F1323,Tb_ProjectKosten[],MATCH(Tb_ProjectKosten[[#Headers],[Forfait_Percentage]],Tb_ProjectKosten[#Headers],0),0),""),W1323 &lt;=0,0),"")</f>
        <v/>
      </c>
      <c r="AA1323" s="314" t="str" cm="1">
        <f t="array" aca="1" ref="AA1323" ca="1">IFERROR(_xlfn.IFS(OR(F1323="",LEFT(Methode_Keuze,4)="Geen",Methode_Keuze=""),"",AND(X1323&lt;&gt;"",F1323&lt;&gt;"Arbeidskosten"),X1323*VLOOKUP(F1323,Tb_ProjectKosten[],MATCH(Tb_ProjectKosten[[#Headers],[Forfait_Percentage]],Tb_ProjectKosten[#Headers],0),0),AND(F1323="Arbeidskosten",G1323&lt;&gt;""),IFERROR(X1323*VLOOKUP(G1323,Tb_KostenTypen[],3,0)*VLOOKUP(F1323,Tb_ProjectKosten[],MATCH(Tb_ProjectKosten[[#Headers],[Forfait_Percentage]],Tb_ProjectKosten[#Headers],0),0),""),X1323 &lt;=0,0),"")</f>
        <v/>
      </c>
      <c r="AB1323" s="314" t="str">
        <f t="shared" ca="1" si="83"/>
        <v/>
      </c>
      <c r="AC1323" s="322"/>
      <c r="AD1323" s="315"/>
      <c r="AE1323" s="32" t="str" cm="1">
        <f t="array" ref="AE1323">IFERROR(IF(INDEX(SubsidieTabel!$AD$1:$AG$12,MATCH($F1323,SubsidieTabel!$AD$1:$AD$12,0),IFERROR(MATCH(Methode_Keuze,SubsidieTabel!$AD$1:$AG$1,0),2))&lt;&gt;1=TRUE,"ja",""),"")</f>
        <v/>
      </c>
    </row>
    <row r="1324" spans="1:31" x14ac:dyDescent="0.25">
      <c r="A1324" s="316"/>
      <c r="B1324" s="317" t="str">
        <f>IF(A1324&lt;&gt;"",_xlfn.MAXIFS($B$1:B1323,$A$1:A1323,A1324)+1,"")</f>
        <v/>
      </c>
      <c r="C1324" s="296"/>
      <c r="D1324" s="296"/>
      <c r="E1324" s="296"/>
      <c r="F1324" s="296"/>
      <c r="G1324" s="326"/>
      <c r="H1324" s="324"/>
      <c r="I1324" s="325"/>
      <c r="J1324" s="325"/>
      <c r="K1324" s="318"/>
      <c r="L1324" s="318"/>
      <c r="M1324" s="319" t="str">
        <f>IFERROR(VLOOKUP(H1324,Lijsten!$H$1:$I$100,2,0),"")</f>
        <v/>
      </c>
      <c r="N1324" s="319" t="str">
        <f ca="1">IFERROR(IF(VLOOKUP(F1324,Kostentypen!$A$3:$E$21,3,0)=0,"",IF(OR(F1324="Arbeidskosten",F1324="Vergoeding"),VLOOKUP(G1324,Tb_KostenTypen[],2,0),VLOOKUP(F1324,Kostentypen!$A$3:$E$20,3,0))),"")</f>
        <v/>
      </c>
      <c r="O1324" s="320" t="str" cm="1">
        <f t="array" ref="O1324">_xlfn.IFNA(IF(INDEX(Tb_KostenOptiesDB[],MATCH($F1324,Tb_KostenOptiesDB[KostenOptie],0),IFERROR(MATCH(Methode_Keuze,Tb_KostenOptiesDB[#Headers],0),2))=1,_xlfn.SWITCH($N1324,"Uurtarief",IF(OR(AND(RIGHT($F1324,3)="IKS",VLOOKUP($M1324,DB_Loonkosten,2,0)="Ja"),AND(RIGHT($F1324,3)&lt;&gt;"IKS",VLOOKUP($M1324,DB_Loonkosten,2,0)="Nee")),IFERROR(VLOOKUP($M1324,DB_Loonkosten,24,0),""),0),"Vast tarief",IF(LEFT(F1324,8)="Bijdrage",VLOOKUP($F1324,Tb_KostenTypen[],MATCH(Lijsten!$P$1,Tb_KostenTypen[#Headers],0),0),VLOOKUP($G1324,Lijsten!L:P,MATCH(Lijsten!$P$1,Kop_Tarief_Vast,0),0))),""),"")</f>
        <v/>
      </c>
      <c r="P1324" s="320" t="str" cm="1">
        <f t="array" ref="P1324">_xlfn.IFNA(IF(INDEX(Tb_KostenOptiesDB[],MATCH($F1324,Tb_KostenOptiesDB[KostenOptie],0),IFERROR(MATCH(Methode_Keuze,Tb_KostenOptiesDB[#Headers],0),2))=1,_xlfn.SWITCH($N1324,"Uurtarief",IF(OR(AND(RIGHT($F1324,3)="IKS",VLOOKUP($M1324,DB_Loonkosten,2,0)="Ja"),AND(RIGHT($F1324,3)&lt;&gt;"IKS",VLOOKUP($M1324,DB_Loonkosten,2,0)="Nee")),IFERROR(VLOOKUP($M1324,DB_Loonkosten,25,0),""),0),"Vast tarief",IF(LEFT(F1324,8)="Bijdrage",VLOOKUP($F1324,Tb_KostenTypen[],MATCH(Lijsten!$P$1,Tb_KostenTypen[#Headers],0),0),VLOOKUP($G1324,Lijsten!L:P,MATCH(Lijsten!$P$1,Kop_Tarief_Vast,0),0))),""),"")</f>
        <v/>
      </c>
      <c r="Q1324" s="359"/>
      <c r="R1324" s="359"/>
      <c r="S1324" s="321"/>
      <c r="T1324" s="321"/>
      <c r="U1324" s="373" t="str">
        <f t="shared" si="80"/>
        <v/>
      </c>
      <c r="V1324" s="314" t="str">
        <f t="shared" si="81"/>
        <v/>
      </c>
      <c r="W1324" s="314" t="str" cm="1">
        <f t="array" aca="1" ref="W1324" ca="1">IFERROR(IF(AE1324&lt;&gt;"ja",_xlfn.IFNA(_xlfn.IFS(AND(O1324&lt;&gt;"",F1324&lt;&gt;"",RIGHT($N1324,6)="tarief",F1324="Vergoeding"),SUM(O1324)*FLOOR(SUM(Q1324),0.0001),AND(O1324&lt;&gt;"",F1324&lt;&gt;"",RIGHT($N1324,6)="tarief"),SUM(O1324)*FLOOR(SUM(Q1324),0.01),S1324&gt;0,IF(F1324&lt;&gt;"",FLOOR(SUM(S1324),0.01),"")),""),""),"")</f>
        <v/>
      </c>
      <c r="X1324" s="314" t="str" cm="1">
        <f t="array" aca="1" ref="X1324" ca="1">IFERROR(IF(AE1324&lt;&gt;"ja",_xlfn.IFNA(_xlfn.IFS(AND(P1324&lt;&gt;"",R1324&lt;&gt;"",RIGHT($N1324,6)="tarief",F1324="Vergoeding"),SUM(P1324)*FLOOR(SUM(R1324),0.0001),AND(P1324&lt;&gt;"",R1324&lt;&gt;"",RIGHT($N1324,6)="tarief"),P1324*FLOOR(R1324,0.01),T1324&gt;0,FLOOR(SUM(T1324),0.01)),""),""),"")</f>
        <v/>
      </c>
      <c r="Y1324" s="314" t="str">
        <f t="shared" ca="1" si="82"/>
        <v/>
      </c>
      <c r="Z1324" s="314" t="str" cm="1">
        <f t="array" aca="1" ref="Z1324" ca="1">IFERROR(_xlfn.IFS(OR(F1324="",LEFT(Methode_Keuze,4)="Geen",Methode_Keuze=""),"",AND(W1324&lt;&gt;"",F1324&lt;&gt;"Arbeidskosten"),W1324*VLOOKUP(F1324,Tb_ProjectKosten[],MATCH(Tb_ProjectKosten[[#Headers],[Forfait_Percentage]],Tb_ProjectKosten[#Headers],0),0),AND(F1324="Arbeidskosten",G1324&lt;&gt;""),IFERROR(W1324*VLOOKUP(G1324,Tb_KostenTypen[],3,0)*VLOOKUP(F1324,Tb_ProjectKosten[],MATCH(Tb_ProjectKosten[[#Headers],[Forfait_Percentage]],Tb_ProjectKosten[#Headers],0),0),""),W1324 &lt;=0,0),"")</f>
        <v/>
      </c>
      <c r="AA1324" s="314" t="str" cm="1">
        <f t="array" aca="1" ref="AA1324" ca="1">IFERROR(_xlfn.IFS(OR(F1324="",LEFT(Methode_Keuze,4)="Geen",Methode_Keuze=""),"",AND(X1324&lt;&gt;"",F1324&lt;&gt;"Arbeidskosten"),X1324*VLOOKUP(F1324,Tb_ProjectKosten[],MATCH(Tb_ProjectKosten[[#Headers],[Forfait_Percentage]],Tb_ProjectKosten[#Headers],0),0),AND(F1324="Arbeidskosten",G1324&lt;&gt;""),IFERROR(X1324*VLOOKUP(G1324,Tb_KostenTypen[],3,0)*VLOOKUP(F1324,Tb_ProjectKosten[],MATCH(Tb_ProjectKosten[[#Headers],[Forfait_Percentage]],Tb_ProjectKosten[#Headers],0),0),""),X1324 &lt;=0,0),"")</f>
        <v/>
      </c>
      <c r="AB1324" s="314" t="str">
        <f t="shared" ca="1" si="83"/>
        <v/>
      </c>
      <c r="AC1324" s="322"/>
      <c r="AD1324" s="315"/>
      <c r="AE1324" s="32" t="str" cm="1">
        <f t="array" ref="AE1324">IFERROR(IF(INDEX(SubsidieTabel!$AD$1:$AG$12,MATCH($F1324,SubsidieTabel!$AD$1:$AD$12,0),IFERROR(MATCH(Methode_Keuze,SubsidieTabel!$AD$1:$AG$1,0),2))&lt;&gt;1=TRUE,"ja",""),"")</f>
        <v/>
      </c>
    </row>
    <row r="1325" spans="1:31" x14ac:dyDescent="0.25">
      <c r="A1325" s="316"/>
      <c r="B1325" s="317" t="str">
        <f>IF(A1325&lt;&gt;"",_xlfn.MAXIFS($B$1:B1324,$A$1:A1324,A1325)+1,"")</f>
        <v/>
      </c>
      <c r="C1325" s="296"/>
      <c r="D1325" s="296"/>
      <c r="E1325" s="296"/>
      <c r="F1325" s="296"/>
      <c r="G1325" s="326"/>
      <c r="H1325" s="324"/>
      <c r="I1325" s="325"/>
      <c r="J1325" s="325"/>
      <c r="K1325" s="318"/>
      <c r="L1325" s="318"/>
      <c r="M1325" s="319" t="str">
        <f>IFERROR(VLOOKUP(H1325,Lijsten!$H$1:$I$100,2,0),"")</f>
        <v/>
      </c>
      <c r="N1325" s="319" t="str">
        <f ca="1">IFERROR(IF(VLOOKUP(F1325,Kostentypen!$A$3:$E$21,3,0)=0,"",IF(OR(F1325="Arbeidskosten",F1325="Vergoeding"),VLOOKUP(G1325,Tb_KostenTypen[],2,0),VLOOKUP(F1325,Kostentypen!$A$3:$E$20,3,0))),"")</f>
        <v/>
      </c>
      <c r="O1325" s="320" t="str" cm="1">
        <f t="array" ref="O1325">_xlfn.IFNA(IF(INDEX(Tb_KostenOptiesDB[],MATCH($F1325,Tb_KostenOptiesDB[KostenOptie],0),IFERROR(MATCH(Methode_Keuze,Tb_KostenOptiesDB[#Headers],0),2))=1,_xlfn.SWITCH($N1325,"Uurtarief",IF(OR(AND(RIGHT($F1325,3)="IKS",VLOOKUP($M1325,DB_Loonkosten,2,0)="Ja"),AND(RIGHT($F1325,3)&lt;&gt;"IKS",VLOOKUP($M1325,DB_Loonkosten,2,0)="Nee")),IFERROR(VLOOKUP($M1325,DB_Loonkosten,24,0),""),0),"Vast tarief",IF(LEFT(F1325,8)="Bijdrage",VLOOKUP($F1325,Tb_KostenTypen[],MATCH(Lijsten!$P$1,Tb_KostenTypen[#Headers],0),0),VLOOKUP($G1325,Lijsten!L:P,MATCH(Lijsten!$P$1,Kop_Tarief_Vast,0),0))),""),"")</f>
        <v/>
      </c>
      <c r="P1325" s="320" t="str" cm="1">
        <f t="array" ref="P1325">_xlfn.IFNA(IF(INDEX(Tb_KostenOptiesDB[],MATCH($F1325,Tb_KostenOptiesDB[KostenOptie],0),IFERROR(MATCH(Methode_Keuze,Tb_KostenOptiesDB[#Headers],0),2))=1,_xlfn.SWITCH($N1325,"Uurtarief",IF(OR(AND(RIGHT($F1325,3)="IKS",VLOOKUP($M1325,DB_Loonkosten,2,0)="Ja"),AND(RIGHT($F1325,3)&lt;&gt;"IKS",VLOOKUP($M1325,DB_Loonkosten,2,0)="Nee")),IFERROR(VLOOKUP($M1325,DB_Loonkosten,25,0),""),0),"Vast tarief",IF(LEFT(F1325,8)="Bijdrage",VLOOKUP($F1325,Tb_KostenTypen[],MATCH(Lijsten!$P$1,Tb_KostenTypen[#Headers],0),0),VLOOKUP($G1325,Lijsten!L:P,MATCH(Lijsten!$P$1,Kop_Tarief_Vast,0),0))),""),"")</f>
        <v/>
      </c>
      <c r="Q1325" s="359"/>
      <c r="R1325" s="359"/>
      <c r="S1325" s="321"/>
      <c r="T1325" s="321"/>
      <c r="U1325" s="373" t="str">
        <f t="shared" si="80"/>
        <v/>
      </c>
      <c r="V1325" s="314" t="str">
        <f t="shared" si="81"/>
        <v/>
      </c>
      <c r="W1325" s="314" t="str" cm="1">
        <f t="array" aca="1" ref="W1325" ca="1">IFERROR(IF(AE1325&lt;&gt;"ja",_xlfn.IFNA(_xlfn.IFS(AND(O1325&lt;&gt;"",F1325&lt;&gt;"",RIGHT($N1325,6)="tarief",F1325="Vergoeding"),SUM(O1325)*FLOOR(SUM(Q1325),0.0001),AND(O1325&lt;&gt;"",F1325&lt;&gt;"",RIGHT($N1325,6)="tarief"),SUM(O1325)*FLOOR(SUM(Q1325),0.01),S1325&gt;0,IF(F1325&lt;&gt;"",FLOOR(SUM(S1325),0.01),"")),""),""),"")</f>
        <v/>
      </c>
      <c r="X1325" s="314" t="str" cm="1">
        <f t="array" aca="1" ref="X1325" ca="1">IFERROR(IF(AE1325&lt;&gt;"ja",_xlfn.IFNA(_xlfn.IFS(AND(P1325&lt;&gt;"",R1325&lt;&gt;"",RIGHT($N1325,6)="tarief",F1325="Vergoeding"),SUM(P1325)*FLOOR(SUM(R1325),0.0001),AND(P1325&lt;&gt;"",R1325&lt;&gt;"",RIGHT($N1325,6)="tarief"),P1325*FLOOR(R1325,0.01),T1325&gt;0,FLOOR(SUM(T1325),0.01)),""),""),"")</f>
        <v/>
      </c>
      <c r="Y1325" s="314" t="str">
        <f t="shared" ca="1" si="82"/>
        <v/>
      </c>
      <c r="Z1325" s="314" t="str" cm="1">
        <f t="array" aca="1" ref="Z1325" ca="1">IFERROR(_xlfn.IFS(OR(F1325="",LEFT(Methode_Keuze,4)="Geen",Methode_Keuze=""),"",AND(W1325&lt;&gt;"",F1325&lt;&gt;"Arbeidskosten"),W1325*VLOOKUP(F1325,Tb_ProjectKosten[],MATCH(Tb_ProjectKosten[[#Headers],[Forfait_Percentage]],Tb_ProjectKosten[#Headers],0),0),AND(F1325="Arbeidskosten",G1325&lt;&gt;""),IFERROR(W1325*VLOOKUP(G1325,Tb_KostenTypen[],3,0)*VLOOKUP(F1325,Tb_ProjectKosten[],MATCH(Tb_ProjectKosten[[#Headers],[Forfait_Percentage]],Tb_ProjectKosten[#Headers],0),0),""),W1325 &lt;=0,0),"")</f>
        <v/>
      </c>
      <c r="AA1325" s="314" t="str" cm="1">
        <f t="array" aca="1" ref="AA1325" ca="1">IFERROR(_xlfn.IFS(OR(F1325="",LEFT(Methode_Keuze,4)="Geen",Methode_Keuze=""),"",AND(X1325&lt;&gt;"",F1325&lt;&gt;"Arbeidskosten"),X1325*VLOOKUP(F1325,Tb_ProjectKosten[],MATCH(Tb_ProjectKosten[[#Headers],[Forfait_Percentage]],Tb_ProjectKosten[#Headers],0),0),AND(F1325="Arbeidskosten",G1325&lt;&gt;""),IFERROR(X1325*VLOOKUP(G1325,Tb_KostenTypen[],3,0)*VLOOKUP(F1325,Tb_ProjectKosten[],MATCH(Tb_ProjectKosten[[#Headers],[Forfait_Percentage]],Tb_ProjectKosten[#Headers],0),0),""),X1325 &lt;=0,0),"")</f>
        <v/>
      </c>
      <c r="AB1325" s="314" t="str">
        <f t="shared" ca="1" si="83"/>
        <v/>
      </c>
      <c r="AC1325" s="322"/>
      <c r="AD1325" s="315"/>
      <c r="AE1325" s="32" t="str" cm="1">
        <f t="array" ref="AE1325">IFERROR(IF(INDEX(SubsidieTabel!$AD$1:$AG$12,MATCH($F1325,SubsidieTabel!$AD$1:$AD$12,0),IFERROR(MATCH(Methode_Keuze,SubsidieTabel!$AD$1:$AG$1,0),2))&lt;&gt;1=TRUE,"ja",""),"")</f>
        <v/>
      </c>
    </row>
    <row r="1326" spans="1:31" x14ac:dyDescent="0.25">
      <c r="A1326" s="316"/>
      <c r="B1326" s="317" t="str">
        <f>IF(A1326&lt;&gt;"",_xlfn.MAXIFS($B$1:B1325,$A$1:A1325,A1326)+1,"")</f>
        <v/>
      </c>
      <c r="C1326" s="296"/>
      <c r="D1326" s="296"/>
      <c r="E1326" s="296"/>
      <c r="F1326" s="296"/>
      <c r="G1326" s="326"/>
      <c r="H1326" s="324"/>
      <c r="I1326" s="325"/>
      <c r="J1326" s="325"/>
      <c r="K1326" s="318"/>
      <c r="L1326" s="318"/>
      <c r="M1326" s="319" t="str">
        <f>IFERROR(VLOOKUP(H1326,Lijsten!$H$1:$I$100,2,0),"")</f>
        <v/>
      </c>
      <c r="N1326" s="319" t="str">
        <f ca="1">IFERROR(IF(VLOOKUP(F1326,Kostentypen!$A$3:$E$21,3,0)=0,"",IF(OR(F1326="Arbeidskosten",F1326="Vergoeding"),VLOOKUP(G1326,Tb_KostenTypen[],2,0),VLOOKUP(F1326,Kostentypen!$A$3:$E$20,3,0))),"")</f>
        <v/>
      </c>
      <c r="O1326" s="320" t="str" cm="1">
        <f t="array" ref="O1326">_xlfn.IFNA(IF(INDEX(Tb_KostenOptiesDB[],MATCH($F1326,Tb_KostenOptiesDB[KostenOptie],0),IFERROR(MATCH(Methode_Keuze,Tb_KostenOptiesDB[#Headers],0),2))=1,_xlfn.SWITCH($N1326,"Uurtarief",IF(OR(AND(RIGHT($F1326,3)="IKS",VLOOKUP($M1326,DB_Loonkosten,2,0)="Ja"),AND(RIGHT($F1326,3)&lt;&gt;"IKS",VLOOKUP($M1326,DB_Loonkosten,2,0)="Nee")),IFERROR(VLOOKUP($M1326,DB_Loonkosten,24,0),""),0),"Vast tarief",IF(LEFT(F1326,8)="Bijdrage",VLOOKUP($F1326,Tb_KostenTypen[],MATCH(Lijsten!$P$1,Tb_KostenTypen[#Headers],0),0),VLOOKUP($G1326,Lijsten!L:P,MATCH(Lijsten!$P$1,Kop_Tarief_Vast,0),0))),""),"")</f>
        <v/>
      </c>
      <c r="P1326" s="320" t="str" cm="1">
        <f t="array" ref="P1326">_xlfn.IFNA(IF(INDEX(Tb_KostenOptiesDB[],MATCH($F1326,Tb_KostenOptiesDB[KostenOptie],0),IFERROR(MATCH(Methode_Keuze,Tb_KostenOptiesDB[#Headers],0),2))=1,_xlfn.SWITCH($N1326,"Uurtarief",IF(OR(AND(RIGHT($F1326,3)="IKS",VLOOKUP($M1326,DB_Loonkosten,2,0)="Ja"),AND(RIGHT($F1326,3)&lt;&gt;"IKS",VLOOKUP($M1326,DB_Loonkosten,2,0)="Nee")),IFERROR(VLOOKUP($M1326,DB_Loonkosten,25,0),""),0),"Vast tarief",IF(LEFT(F1326,8)="Bijdrage",VLOOKUP($F1326,Tb_KostenTypen[],MATCH(Lijsten!$P$1,Tb_KostenTypen[#Headers],0),0),VLOOKUP($G1326,Lijsten!L:P,MATCH(Lijsten!$P$1,Kop_Tarief_Vast,0),0))),""),"")</f>
        <v/>
      </c>
      <c r="Q1326" s="359"/>
      <c r="R1326" s="359"/>
      <c r="S1326" s="321"/>
      <c r="T1326" s="321"/>
      <c r="U1326" s="373" t="str">
        <f t="shared" si="80"/>
        <v/>
      </c>
      <c r="V1326" s="314" t="str">
        <f t="shared" si="81"/>
        <v/>
      </c>
      <c r="W1326" s="314" t="str" cm="1">
        <f t="array" aca="1" ref="W1326" ca="1">IFERROR(IF(AE1326&lt;&gt;"ja",_xlfn.IFNA(_xlfn.IFS(AND(O1326&lt;&gt;"",F1326&lt;&gt;"",RIGHT($N1326,6)="tarief",F1326="Vergoeding"),SUM(O1326)*FLOOR(SUM(Q1326),0.0001),AND(O1326&lt;&gt;"",F1326&lt;&gt;"",RIGHT($N1326,6)="tarief"),SUM(O1326)*FLOOR(SUM(Q1326),0.01),S1326&gt;0,IF(F1326&lt;&gt;"",FLOOR(SUM(S1326),0.01),"")),""),""),"")</f>
        <v/>
      </c>
      <c r="X1326" s="314" t="str" cm="1">
        <f t="array" aca="1" ref="X1326" ca="1">IFERROR(IF(AE1326&lt;&gt;"ja",_xlfn.IFNA(_xlfn.IFS(AND(P1326&lt;&gt;"",R1326&lt;&gt;"",RIGHT($N1326,6)="tarief",F1326="Vergoeding"),SUM(P1326)*FLOOR(SUM(R1326),0.0001),AND(P1326&lt;&gt;"",R1326&lt;&gt;"",RIGHT($N1326,6)="tarief"),P1326*FLOOR(R1326,0.01),T1326&gt;0,FLOOR(SUM(T1326),0.01)),""),""),"")</f>
        <v/>
      </c>
      <c r="Y1326" s="314" t="str">
        <f t="shared" ca="1" si="82"/>
        <v/>
      </c>
      <c r="Z1326" s="314" t="str" cm="1">
        <f t="array" aca="1" ref="Z1326" ca="1">IFERROR(_xlfn.IFS(OR(F1326="",LEFT(Methode_Keuze,4)="Geen",Methode_Keuze=""),"",AND(W1326&lt;&gt;"",F1326&lt;&gt;"Arbeidskosten"),W1326*VLOOKUP(F1326,Tb_ProjectKosten[],MATCH(Tb_ProjectKosten[[#Headers],[Forfait_Percentage]],Tb_ProjectKosten[#Headers],0),0),AND(F1326="Arbeidskosten",G1326&lt;&gt;""),IFERROR(W1326*VLOOKUP(G1326,Tb_KostenTypen[],3,0)*VLOOKUP(F1326,Tb_ProjectKosten[],MATCH(Tb_ProjectKosten[[#Headers],[Forfait_Percentage]],Tb_ProjectKosten[#Headers],0),0),""),W1326 &lt;=0,0),"")</f>
        <v/>
      </c>
      <c r="AA1326" s="314" t="str" cm="1">
        <f t="array" aca="1" ref="AA1326" ca="1">IFERROR(_xlfn.IFS(OR(F1326="",LEFT(Methode_Keuze,4)="Geen",Methode_Keuze=""),"",AND(X1326&lt;&gt;"",F1326&lt;&gt;"Arbeidskosten"),X1326*VLOOKUP(F1326,Tb_ProjectKosten[],MATCH(Tb_ProjectKosten[[#Headers],[Forfait_Percentage]],Tb_ProjectKosten[#Headers],0),0),AND(F1326="Arbeidskosten",G1326&lt;&gt;""),IFERROR(X1326*VLOOKUP(G1326,Tb_KostenTypen[],3,0)*VLOOKUP(F1326,Tb_ProjectKosten[],MATCH(Tb_ProjectKosten[[#Headers],[Forfait_Percentage]],Tb_ProjectKosten[#Headers],0),0),""),X1326 &lt;=0,0),"")</f>
        <v/>
      </c>
      <c r="AB1326" s="314" t="str">
        <f t="shared" ca="1" si="83"/>
        <v/>
      </c>
      <c r="AC1326" s="322"/>
      <c r="AD1326" s="315"/>
      <c r="AE1326" s="32" t="str" cm="1">
        <f t="array" ref="AE1326">IFERROR(IF(INDEX(SubsidieTabel!$AD$1:$AG$12,MATCH($F1326,SubsidieTabel!$AD$1:$AD$12,0),IFERROR(MATCH(Methode_Keuze,SubsidieTabel!$AD$1:$AG$1,0),2))&lt;&gt;1=TRUE,"ja",""),"")</f>
        <v/>
      </c>
    </row>
    <row r="1327" spans="1:31" x14ac:dyDescent="0.25">
      <c r="A1327" s="316"/>
      <c r="B1327" s="317" t="str">
        <f>IF(A1327&lt;&gt;"",_xlfn.MAXIFS($B$1:B1326,$A$1:A1326,A1327)+1,"")</f>
        <v/>
      </c>
      <c r="C1327" s="296"/>
      <c r="D1327" s="296"/>
      <c r="E1327" s="296"/>
      <c r="F1327" s="296"/>
      <c r="G1327" s="326"/>
      <c r="H1327" s="324"/>
      <c r="I1327" s="325"/>
      <c r="J1327" s="325"/>
      <c r="K1327" s="318"/>
      <c r="L1327" s="318"/>
      <c r="M1327" s="319" t="str">
        <f>IFERROR(VLOOKUP(H1327,Lijsten!$H$1:$I$100,2,0),"")</f>
        <v/>
      </c>
      <c r="N1327" s="319" t="str">
        <f ca="1">IFERROR(IF(VLOOKUP(F1327,Kostentypen!$A$3:$E$21,3,0)=0,"",IF(OR(F1327="Arbeidskosten",F1327="Vergoeding"),VLOOKUP(G1327,Tb_KostenTypen[],2,0),VLOOKUP(F1327,Kostentypen!$A$3:$E$20,3,0))),"")</f>
        <v/>
      </c>
      <c r="O1327" s="320" t="str" cm="1">
        <f t="array" ref="O1327">_xlfn.IFNA(IF(INDEX(Tb_KostenOptiesDB[],MATCH($F1327,Tb_KostenOptiesDB[KostenOptie],0),IFERROR(MATCH(Methode_Keuze,Tb_KostenOptiesDB[#Headers],0),2))=1,_xlfn.SWITCH($N1327,"Uurtarief",IF(OR(AND(RIGHT($F1327,3)="IKS",VLOOKUP($M1327,DB_Loonkosten,2,0)="Ja"),AND(RIGHT($F1327,3)&lt;&gt;"IKS",VLOOKUP($M1327,DB_Loonkosten,2,0)="Nee")),IFERROR(VLOOKUP($M1327,DB_Loonkosten,24,0),""),0),"Vast tarief",IF(LEFT(F1327,8)="Bijdrage",VLOOKUP($F1327,Tb_KostenTypen[],MATCH(Lijsten!$P$1,Tb_KostenTypen[#Headers],0),0),VLOOKUP($G1327,Lijsten!L:P,MATCH(Lijsten!$P$1,Kop_Tarief_Vast,0),0))),""),"")</f>
        <v/>
      </c>
      <c r="P1327" s="320" t="str" cm="1">
        <f t="array" ref="P1327">_xlfn.IFNA(IF(INDEX(Tb_KostenOptiesDB[],MATCH($F1327,Tb_KostenOptiesDB[KostenOptie],0),IFERROR(MATCH(Methode_Keuze,Tb_KostenOptiesDB[#Headers],0),2))=1,_xlfn.SWITCH($N1327,"Uurtarief",IF(OR(AND(RIGHT($F1327,3)="IKS",VLOOKUP($M1327,DB_Loonkosten,2,0)="Ja"),AND(RIGHT($F1327,3)&lt;&gt;"IKS",VLOOKUP($M1327,DB_Loonkosten,2,0)="Nee")),IFERROR(VLOOKUP($M1327,DB_Loonkosten,25,0),""),0),"Vast tarief",IF(LEFT(F1327,8)="Bijdrage",VLOOKUP($F1327,Tb_KostenTypen[],MATCH(Lijsten!$P$1,Tb_KostenTypen[#Headers],0),0),VLOOKUP($G1327,Lijsten!L:P,MATCH(Lijsten!$P$1,Kop_Tarief_Vast,0),0))),""),"")</f>
        <v/>
      </c>
      <c r="Q1327" s="359"/>
      <c r="R1327" s="359"/>
      <c r="S1327" s="321"/>
      <c r="T1327" s="321"/>
      <c r="U1327" s="373" t="str">
        <f t="shared" si="80"/>
        <v/>
      </c>
      <c r="V1327" s="314" t="str">
        <f t="shared" si="81"/>
        <v/>
      </c>
      <c r="W1327" s="314" t="str" cm="1">
        <f t="array" aca="1" ref="W1327" ca="1">IFERROR(IF(AE1327&lt;&gt;"ja",_xlfn.IFNA(_xlfn.IFS(AND(O1327&lt;&gt;"",F1327&lt;&gt;"",RIGHT($N1327,6)="tarief",F1327="Vergoeding"),SUM(O1327)*FLOOR(SUM(Q1327),0.0001),AND(O1327&lt;&gt;"",F1327&lt;&gt;"",RIGHT($N1327,6)="tarief"),SUM(O1327)*FLOOR(SUM(Q1327),0.01),S1327&gt;0,IF(F1327&lt;&gt;"",FLOOR(SUM(S1327),0.01),"")),""),""),"")</f>
        <v/>
      </c>
      <c r="X1327" s="314" t="str" cm="1">
        <f t="array" aca="1" ref="X1327" ca="1">IFERROR(IF(AE1327&lt;&gt;"ja",_xlfn.IFNA(_xlfn.IFS(AND(P1327&lt;&gt;"",R1327&lt;&gt;"",RIGHT($N1327,6)="tarief",F1327="Vergoeding"),SUM(P1327)*FLOOR(SUM(R1327),0.0001),AND(P1327&lt;&gt;"",R1327&lt;&gt;"",RIGHT($N1327,6)="tarief"),P1327*FLOOR(R1327,0.01),T1327&gt;0,FLOOR(SUM(T1327),0.01)),""),""),"")</f>
        <v/>
      </c>
      <c r="Y1327" s="314" t="str">
        <f t="shared" ca="1" si="82"/>
        <v/>
      </c>
      <c r="Z1327" s="314" t="str" cm="1">
        <f t="array" aca="1" ref="Z1327" ca="1">IFERROR(_xlfn.IFS(OR(F1327="",LEFT(Methode_Keuze,4)="Geen",Methode_Keuze=""),"",AND(W1327&lt;&gt;"",F1327&lt;&gt;"Arbeidskosten"),W1327*VLOOKUP(F1327,Tb_ProjectKosten[],MATCH(Tb_ProjectKosten[[#Headers],[Forfait_Percentage]],Tb_ProjectKosten[#Headers],0),0),AND(F1327="Arbeidskosten",G1327&lt;&gt;""),IFERROR(W1327*VLOOKUP(G1327,Tb_KostenTypen[],3,0)*VLOOKUP(F1327,Tb_ProjectKosten[],MATCH(Tb_ProjectKosten[[#Headers],[Forfait_Percentage]],Tb_ProjectKosten[#Headers],0),0),""),W1327 &lt;=0,0),"")</f>
        <v/>
      </c>
      <c r="AA1327" s="314" t="str" cm="1">
        <f t="array" aca="1" ref="AA1327" ca="1">IFERROR(_xlfn.IFS(OR(F1327="",LEFT(Methode_Keuze,4)="Geen",Methode_Keuze=""),"",AND(X1327&lt;&gt;"",F1327&lt;&gt;"Arbeidskosten"),X1327*VLOOKUP(F1327,Tb_ProjectKosten[],MATCH(Tb_ProjectKosten[[#Headers],[Forfait_Percentage]],Tb_ProjectKosten[#Headers],0),0),AND(F1327="Arbeidskosten",G1327&lt;&gt;""),IFERROR(X1327*VLOOKUP(G1327,Tb_KostenTypen[],3,0)*VLOOKUP(F1327,Tb_ProjectKosten[],MATCH(Tb_ProjectKosten[[#Headers],[Forfait_Percentage]],Tb_ProjectKosten[#Headers],0),0),""),X1327 &lt;=0,0),"")</f>
        <v/>
      </c>
      <c r="AB1327" s="314" t="str">
        <f t="shared" ca="1" si="83"/>
        <v/>
      </c>
      <c r="AC1327" s="322"/>
      <c r="AD1327" s="315"/>
      <c r="AE1327" s="32" t="str" cm="1">
        <f t="array" ref="AE1327">IFERROR(IF(INDEX(SubsidieTabel!$AD$1:$AG$12,MATCH($F1327,SubsidieTabel!$AD$1:$AD$12,0),IFERROR(MATCH(Methode_Keuze,SubsidieTabel!$AD$1:$AG$1,0),2))&lt;&gt;1=TRUE,"ja",""),"")</f>
        <v/>
      </c>
    </row>
    <row r="1328" spans="1:31" x14ac:dyDescent="0.25">
      <c r="A1328" s="316"/>
      <c r="B1328" s="317" t="str">
        <f>IF(A1328&lt;&gt;"",_xlfn.MAXIFS($B$1:B1327,$A$1:A1327,A1328)+1,"")</f>
        <v/>
      </c>
      <c r="C1328" s="296"/>
      <c r="D1328" s="296"/>
      <c r="E1328" s="296"/>
      <c r="F1328" s="296"/>
      <c r="G1328" s="326"/>
      <c r="H1328" s="324"/>
      <c r="I1328" s="325"/>
      <c r="J1328" s="325"/>
      <c r="K1328" s="318"/>
      <c r="L1328" s="318"/>
      <c r="M1328" s="319" t="str">
        <f>IFERROR(VLOOKUP(H1328,Lijsten!$H$1:$I$100,2,0),"")</f>
        <v/>
      </c>
      <c r="N1328" s="319" t="str">
        <f ca="1">IFERROR(IF(VLOOKUP(F1328,Kostentypen!$A$3:$E$21,3,0)=0,"",IF(OR(F1328="Arbeidskosten",F1328="Vergoeding"),VLOOKUP(G1328,Tb_KostenTypen[],2,0),VLOOKUP(F1328,Kostentypen!$A$3:$E$20,3,0))),"")</f>
        <v/>
      </c>
      <c r="O1328" s="320" t="str" cm="1">
        <f t="array" ref="O1328">_xlfn.IFNA(IF(INDEX(Tb_KostenOptiesDB[],MATCH($F1328,Tb_KostenOptiesDB[KostenOptie],0),IFERROR(MATCH(Methode_Keuze,Tb_KostenOptiesDB[#Headers],0),2))=1,_xlfn.SWITCH($N1328,"Uurtarief",IF(OR(AND(RIGHT($F1328,3)="IKS",VLOOKUP($M1328,DB_Loonkosten,2,0)="Ja"),AND(RIGHT($F1328,3)&lt;&gt;"IKS",VLOOKUP($M1328,DB_Loonkosten,2,0)="Nee")),IFERROR(VLOOKUP($M1328,DB_Loonkosten,24,0),""),0),"Vast tarief",IF(LEFT(F1328,8)="Bijdrage",VLOOKUP($F1328,Tb_KostenTypen[],MATCH(Lijsten!$P$1,Tb_KostenTypen[#Headers],0),0),VLOOKUP($G1328,Lijsten!L:P,MATCH(Lijsten!$P$1,Kop_Tarief_Vast,0),0))),""),"")</f>
        <v/>
      </c>
      <c r="P1328" s="320" t="str" cm="1">
        <f t="array" ref="P1328">_xlfn.IFNA(IF(INDEX(Tb_KostenOptiesDB[],MATCH($F1328,Tb_KostenOptiesDB[KostenOptie],0),IFERROR(MATCH(Methode_Keuze,Tb_KostenOptiesDB[#Headers],0),2))=1,_xlfn.SWITCH($N1328,"Uurtarief",IF(OR(AND(RIGHT($F1328,3)="IKS",VLOOKUP($M1328,DB_Loonkosten,2,0)="Ja"),AND(RIGHT($F1328,3)&lt;&gt;"IKS",VLOOKUP($M1328,DB_Loonkosten,2,0)="Nee")),IFERROR(VLOOKUP($M1328,DB_Loonkosten,25,0),""),0),"Vast tarief",IF(LEFT(F1328,8)="Bijdrage",VLOOKUP($F1328,Tb_KostenTypen[],MATCH(Lijsten!$P$1,Tb_KostenTypen[#Headers],0),0),VLOOKUP($G1328,Lijsten!L:P,MATCH(Lijsten!$P$1,Kop_Tarief_Vast,0),0))),""),"")</f>
        <v/>
      </c>
      <c r="Q1328" s="359"/>
      <c r="R1328" s="359"/>
      <c r="S1328" s="321"/>
      <c r="T1328" s="321"/>
      <c r="U1328" s="373" t="str">
        <f t="shared" si="80"/>
        <v/>
      </c>
      <c r="V1328" s="314" t="str">
        <f t="shared" si="81"/>
        <v/>
      </c>
      <c r="W1328" s="314" t="str" cm="1">
        <f t="array" aca="1" ref="W1328" ca="1">IFERROR(IF(AE1328&lt;&gt;"ja",_xlfn.IFNA(_xlfn.IFS(AND(O1328&lt;&gt;"",F1328&lt;&gt;"",RIGHT($N1328,6)="tarief",F1328="Vergoeding"),SUM(O1328)*FLOOR(SUM(Q1328),0.0001),AND(O1328&lt;&gt;"",F1328&lt;&gt;"",RIGHT($N1328,6)="tarief"),SUM(O1328)*FLOOR(SUM(Q1328),0.01),S1328&gt;0,IF(F1328&lt;&gt;"",FLOOR(SUM(S1328),0.01),"")),""),""),"")</f>
        <v/>
      </c>
      <c r="X1328" s="314" t="str" cm="1">
        <f t="array" aca="1" ref="X1328" ca="1">IFERROR(IF(AE1328&lt;&gt;"ja",_xlfn.IFNA(_xlfn.IFS(AND(P1328&lt;&gt;"",R1328&lt;&gt;"",RIGHT($N1328,6)="tarief",F1328="Vergoeding"),SUM(P1328)*FLOOR(SUM(R1328),0.0001),AND(P1328&lt;&gt;"",R1328&lt;&gt;"",RIGHT($N1328,6)="tarief"),P1328*FLOOR(R1328,0.01),T1328&gt;0,FLOOR(SUM(T1328),0.01)),""),""),"")</f>
        <v/>
      </c>
      <c r="Y1328" s="314" t="str">
        <f t="shared" ca="1" si="82"/>
        <v/>
      </c>
      <c r="Z1328" s="314" t="str" cm="1">
        <f t="array" aca="1" ref="Z1328" ca="1">IFERROR(_xlfn.IFS(OR(F1328="",LEFT(Methode_Keuze,4)="Geen",Methode_Keuze=""),"",AND(W1328&lt;&gt;"",F1328&lt;&gt;"Arbeidskosten"),W1328*VLOOKUP(F1328,Tb_ProjectKosten[],MATCH(Tb_ProjectKosten[[#Headers],[Forfait_Percentage]],Tb_ProjectKosten[#Headers],0),0),AND(F1328="Arbeidskosten",G1328&lt;&gt;""),IFERROR(W1328*VLOOKUP(G1328,Tb_KostenTypen[],3,0)*VLOOKUP(F1328,Tb_ProjectKosten[],MATCH(Tb_ProjectKosten[[#Headers],[Forfait_Percentage]],Tb_ProjectKosten[#Headers],0),0),""),W1328 &lt;=0,0),"")</f>
        <v/>
      </c>
      <c r="AA1328" s="314" t="str" cm="1">
        <f t="array" aca="1" ref="AA1328" ca="1">IFERROR(_xlfn.IFS(OR(F1328="",LEFT(Methode_Keuze,4)="Geen",Methode_Keuze=""),"",AND(X1328&lt;&gt;"",F1328&lt;&gt;"Arbeidskosten"),X1328*VLOOKUP(F1328,Tb_ProjectKosten[],MATCH(Tb_ProjectKosten[[#Headers],[Forfait_Percentage]],Tb_ProjectKosten[#Headers],0),0),AND(F1328="Arbeidskosten",G1328&lt;&gt;""),IFERROR(X1328*VLOOKUP(G1328,Tb_KostenTypen[],3,0)*VLOOKUP(F1328,Tb_ProjectKosten[],MATCH(Tb_ProjectKosten[[#Headers],[Forfait_Percentage]],Tb_ProjectKosten[#Headers],0),0),""),X1328 &lt;=0,0),"")</f>
        <v/>
      </c>
      <c r="AB1328" s="314" t="str">
        <f t="shared" ca="1" si="83"/>
        <v/>
      </c>
      <c r="AC1328" s="322"/>
      <c r="AD1328" s="315"/>
      <c r="AE1328" s="32" t="str" cm="1">
        <f t="array" ref="AE1328">IFERROR(IF(INDEX(SubsidieTabel!$AD$1:$AG$12,MATCH($F1328,SubsidieTabel!$AD$1:$AD$12,0),IFERROR(MATCH(Methode_Keuze,SubsidieTabel!$AD$1:$AG$1,0),2))&lt;&gt;1=TRUE,"ja",""),"")</f>
        <v/>
      </c>
    </row>
    <row r="1329" spans="1:31" x14ac:dyDescent="0.25">
      <c r="A1329" s="316"/>
      <c r="B1329" s="317" t="str">
        <f>IF(A1329&lt;&gt;"",_xlfn.MAXIFS($B$1:B1328,$A$1:A1328,A1329)+1,"")</f>
        <v/>
      </c>
      <c r="C1329" s="296"/>
      <c r="D1329" s="296"/>
      <c r="E1329" s="296"/>
      <c r="F1329" s="296"/>
      <c r="G1329" s="326"/>
      <c r="H1329" s="324"/>
      <c r="I1329" s="325"/>
      <c r="J1329" s="325"/>
      <c r="K1329" s="318"/>
      <c r="L1329" s="318"/>
      <c r="M1329" s="319" t="str">
        <f>IFERROR(VLOOKUP(H1329,Lijsten!$H$1:$I$100,2,0),"")</f>
        <v/>
      </c>
      <c r="N1329" s="319" t="str">
        <f ca="1">IFERROR(IF(VLOOKUP(F1329,Kostentypen!$A$3:$E$21,3,0)=0,"",IF(OR(F1329="Arbeidskosten",F1329="Vergoeding"),VLOOKUP(G1329,Tb_KostenTypen[],2,0),VLOOKUP(F1329,Kostentypen!$A$3:$E$20,3,0))),"")</f>
        <v/>
      </c>
      <c r="O1329" s="320" t="str" cm="1">
        <f t="array" ref="O1329">_xlfn.IFNA(IF(INDEX(Tb_KostenOptiesDB[],MATCH($F1329,Tb_KostenOptiesDB[KostenOptie],0),IFERROR(MATCH(Methode_Keuze,Tb_KostenOptiesDB[#Headers],0),2))=1,_xlfn.SWITCH($N1329,"Uurtarief",IF(OR(AND(RIGHT($F1329,3)="IKS",VLOOKUP($M1329,DB_Loonkosten,2,0)="Ja"),AND(RIGHT($F1329,3)&lt;&gt;"IKS",VLOOKUP($M1329,DB_Loonkosten,2,0)="Nee")),IFERROR(VLOOKUP($M1329,DB_Loonkosten,24,0),""),0),"Vast tarief",IF(LEFT(F1329,8)="Bijdrage",VLOOKUP($F1329,Tb_KostenTypen[],MATCH(Lijsten!$P$1,Tb_KostenTypen[#Headers],0),0),VLOOKUP($G1329,Lijsten!L:P,MATCH(Lijsten!$P$1,Kop_Tarief_Vast,0),0))),""),"")</f>
        <v/>
      </c>
      <c r="P1329" s="320" t="str" cm="1">
        <f t="array" ref="P1329">_xlfn.IFNA(IF(INDEX(Tb_KostenOptiesDB[],MATCH($F1329,Tb_KostenOptiesDB[KostenOptie],0),IFERROR(MATCH(Methode_Keuze,Tb_KostenOptiesDB[#Headers],0),2))=1,_xlfn.SWITCH($N1329,"Uurtarief",IF(OR(AND(RIGHT($F1329,3)="IKS",VLOOKUP($M1329,DB_Loonkosten,2,0)="Ja"),AND(RIGHT($F1329,3)&lt;&gt;"IKS",VLOOKUP($M1329,DB_Loonkosten,2,0)="Nee")),IFERROR(VLOOKUP($M1329,DB_Loonkosten,25,0),""),0),"Vast tarief",IF(LEFT(F1329,8)="Bijdrage",VLOOKUP($F1329,Tb_KostenTypen[],MATCH(Lijsten!$P$1,Tb_KostenTypen[#Headers],0),0),VLOOKUP($G1329,Lijsten!L:P,MATCH(Lijsten!$P$1,Kop_Tarief_Vast,0),0))),""),"")</f>
        <v/>
      </c>
      <c r="Q1329" s="359"/>
      <c r="R1329" s="359"/>
      <c r="S1329" s="321"/>
      <c r="T1329" s="321"/>
      <c r="U1329" s="373" t="str">
        <f t="shared" si="80"/>
        <v/>
      </c>
      <c r="V1329" s="314" t="str">
        <f t="shared" si="81"/>
        <v/>
      </c>
      <c r="W1329" s="314" t="str" cm="1">
        <f t="array" aca="1" ref="W1329" ca="1">IFERROR(IF(AE1329&lt;&gt;"ja",_xlfn.IFNA(_xlfn.IFS(AND(O1329&lt;&gt;"",F1329&lt;&gt;"",RIGHT($N1329,6)="tarief",F1329="Vergoeding"),SUM(O1329)*FLOOR(SUM(Q1329),0.0001),AND(O1329&lt;&gt;"",F1329&lt;&gt;"",RIGHT($N1329,6)="tarief"),SUM(O1329)*FLOOR(SUM(Q1329),0.01),S1329&gt;0,IF(F1329&lt;&gt;"",FLOOR(SUM(S1329),0.01),"")),""),""),"")</f>
        <v/>
      </c>
      <c r="X1329" s="314" t="str" cm="1">
        <f t="array" aca="1" ref="X1329" ca="1">IFERROR(IF(AE1329&lt;&gt;"ja",_xlfn.IFNA(_xlfn.IFS(AND(P1329&lt;&gt;"",R1329&lt;&gt;"",RIGHT($N1329,6)="tarief",F1329="Vergoeding"),SUM(P1329)*FLOOR(SUM(R1329),0.0001),AND(P1329&lt;&gt;"",R1329&lt;&gt;"",RIGHT($N1329,6)="tarief"),P1329*FLOOR(R1329,0.01),T1329&gt;0,FLOOR(SUM(T1329),0.01)),""),""),"")</f>
        <v/>
      </c>
      <c r="Y1329" s="314" t="str">
        <f t="shared" ca="1" si="82"/>
        <v/>
      </c>
      <c r="Z1329" s="314" t="str" cm="1">
        <f t="array" aca="1" ref="Z1329" ca="1">IFERROR(_xlfn.IFS(OR(F1329="",LEFT(Methode_Keuze,4)="Geen",Methode_Keuze=""),"",AND(W1329&lt;&gt;"",F1329&lt;&gt;"Arbeidskosten"),W1329*VLOOKUP(F1329,Tb_ProjectKosten[],MATCH(Tb_ProjectKosten[[#Headers],[Forfait_Percentage]],Tb_ProjectKosten[#Headers],0),0),AND(F1329="Arbeidskosten",G1329&lt;&gt;""),IFERROR(W1329*VLOOKUP(G1329,Tb_KostenTypen[],3,0)*VLOOKUP(F1329,Tb_ProjectKosten[],MATCH(Tb_ProjectKosten[[#Headers],[Forfait_Percentage]],Tb_ProjectKosten[#Headers],0),0),""),W1329 &lt;=0,0),"")</f>
        <v/>
      </c>
      <c r="AA1329" s="314" t="str" cm="1">
        <f t="array" aca="1" ref="AA1329" ca="1">IFERROR(_xlfn.IFS(OR(F1329="",LEFT(Methode_Keuze,4)="Geen",Methode_Keuze=""),"",AND(X1329&lt;&gt;"",F1329&lt;&gt;"Arbeidskosten"),X1329*VLOOKUP(F1329,Tb_ProjectKosten[],MATCH(Tb_ProjectKosten[[#Headers],[Forfait_Percentage]],Tb_ProjectKosten[#Headers],0),0),AND(F1329="Arbeidskosten",G1329&lt;&gt;""),IFERROR(X1329*VLOOKUP(G1329,Tb_KostenTypen[],3,0)*VLOOKUP(F1329,Tb_ProjectKosten[],MATCH(Tb_ProjectKosten[[#Headers],[Forfait_Percentage]],Tb_ProjectKosten[#Headers],0),0),""),X1329 &lt;=0,0),"")</f>
        <v/>
      </c>
      <c r="AB1329" s="314" t="str">
        <f t="shared" ca="1" si="83"/>
        <v/>
      </c>
      <c r="AC1329" s="322"/>
      <c r="AD1329" s="315"/>
      <c r="AE1329" s="32" t="str" cm="1">
        <f t="array" ref="AE1329">IFERROR(IF(INDEX(SubsidieTabel!$AD$1:$AG$12,MATCH($F1329,SubsidieTabel!$AD$1:$AD$12,0),IFERROR(MATCH(Methode_Keuze,SubsidieTabel!$AD$1:$AG$1,0),2))&lt;&gt;1=TRUE,"ja",""),"")</f>
        <v/>
      </c>
    </row>
    <row r="1330" spans="1:31" x14ac:dyDescent="0.25">
      <c r="A1330" s="316"/>
      <c r="B1330" s="317" t="str">
        <f>IF(A1330&lt;&gt;"",_xlfn.MAXIFS($B$1:B1329,$A$1:A1329,A1330)+1,"")</f>
        <v/>
      </c>
      <c r="C1330" s="296"/>
      <c r="D1330" s="296"/>
      <c r="E1330" s="296"/>
      <c r="F1330" s="296"/>
      <c r="G1330" s="326"/>
      <c r="H1330" s="324"/>
      <c r="I1330" s="325"/>
      <c r="J1330" s="325"/>
      <c r="K1330" s="318"/>
      <c r="L1330" s="318"/>
      <c r="M1330" s="319" t="str">
        <f>IFERROR(VLOOKUP(H1330,Lijsten!$H$1:$I$100,2,0),"")</f>
        <v/>
      </c>
      <c r="N1330" s="319" t="str">
        <f ca="1">IFERROR(IF(VLOOKUP(F1330,Kostentypen!$A$3:$E$21,3,0)=0,"",IF(OR(F1330="Arbeidskosten",F1330="Vergoeding"),VLOOKUP(G1330,Tb_KostenTypen[],2,0),VLOOKUP(F1330,Kostentypen!$A$3:$E$20,3,0))),"")</f>
        <v/>
      </c>
      <c r="O1330" s="320" t="str" cm="1">
        <f t="array" ref="O1330">_xlfn.IFNA(IF(INDEX(Tb_KostenOptiesDB[],MATCH($F1330,Tb_KostenOptiesDB[KostenOptie],0),IFERROR(MATCH(Methode_Keuze,Tb_KostenOptiesDB[#Headers],0),2))=1,_xlfn.SWITCH($N1330,"Uurtarief",IF(OR(AND(RIGHT($F1330,3)="IKS",VLOOKUP($M1330,DB_Loonkosten,2,0)="Ja"),AND(RIGHT($F1330,3)&lt;&gt;"IKS",VLOOKUP($M1330,DB_Loonkosten,2,0)="Nee")),IFERROR(VLOOKUP($M1330,DB_Loonkosten,24,0),""),0),"Vast tarief",IF(LEFT(F1330,8)="Bijdrage",VLOOKUP($F1330,Tb_KostenTypen[],MATCH(Lijsten!$P$1,Tb_KostenTypen[#Headers],0),0),VLOOKUP($G1330,Lijsten!L:P,MATCH(Lijsten!$P$1,Kop_Tarief_Vast,0),0))),""),"")</f>
        <v/>
      </c>
      <c r="P1330" s="320" t="str" cm="1">
        <f t="array" ref="P1330">_xlfn.IFNA(IF(INDEX(Tb_KostenOptiesDB[],MATCH($F1330,Tb_KostenOptiesDB[KostenOptie],0),IFERROR(MATCH(Methode_Keuze,Tb_KostenOptiesDB[#Headers],0),2))=1,_xlfn.SWITCH($N1330,"Uurtarief",IF(OR(AND(RIGHT($F1330,3)="IKS",VLOOKUP($M1330,DB_Loonkosten,2,0)="Ja"),AND(RIGHT($F1330,3)&lt;&gt;"IKS",VLOOKUP($M1330,DB_Loonkosten,2,0)="Nee")),IFERROR(VLOOKUP($M1330,DB_Loonkosten,25,0),""),0),"Vast tarief",IF(LEFT(F1330,8)="Bijdrage",VLOOKUP($F1330,Tb_KostenTypen[],MATCH(Lijsten!$P$1,Tb_KostenTypen[#Headers],0),0),VLOOKUP($G1330,Lijsten!L:P,MATCH(Lijsten!$P$1,Kop_Tarief_Vast,0),0))),""),"")</f>
        <v/>
      </c>
      <c r="Q1330" s="359"/>
      <c r="R1330" s="359"/>
      <c r="S1330" s="321"/>
      <c r="T1330" s="321"/>
      <c r="U1330" s="373" t="str">
        <f t="shared" si="80"/>
        <v/>
      </c>
      <c r="V1330" s="314" t="str">
        <f t="shared" si="81"/>
        <v/>
      </c>
      <c r="W1330" s="314" t="str" cm="1">
        <f t="array" aca="1" ref="W1330" ca="1">IFERROR(IF(AE1330&lt;&gt;"ja",_xlfn.IFNA(_xlfn.IFS(AND(O1330&lt;&gt;"",F1330&lt;&gt;"",RIGHT($N1330,6)="tarief",F1330="Vergoeding"),SUM(O1330)*FLOOR(SUM(Q1330),0.0001),AND(O1330&lt;&gt;"",F1330&lt;&gt;"",RIGHT($N1330,6)="tarief"),SUM(O1330)*FLOOR(SUM(Q1330),0.01),S1330&gt;0,IF(F1330&lt;&gt;"",FLOOR(SUM(S1330),0.01),"")),""),""),"")</f>
        <v/>
      </c>
      <c r="X1330" s="314" t="str" cm="1">
        <f t="array" aca="1" ref="X1330" ca="1">IFERROR(IF(AE1330&lt;&gt;"ja",_xlfn.IFNA(_xlfn.IFS(AND(P1330&lt;&gt;"",R1330&lt;&gt;"",RIGHT($N1330,6)="tarief",F1330="Vergoeding"),SUM(P1330)*FLOOR(SUM(R1330),0.0001),AND(P1330&lt;&gt;"",R1330&lt;&gt;"",RIGHT($N1330,6)="tarief"),P1330*FLOOR(R1330,0.01),T1330&gt;0,FLOOR(SUM(T1330),0.01)),""),""),"")</f>
        <v/>
      </c>
      <c r="Y1330" s="314" t="str">
        <f t="shared" ca="1" si="82"/>
        <v/>
      </c>
      <c r="Z1330" s="314" t="str" cm="1">
        <f t="array" aca="1" ref="Z1330" ca="1">IFERROR(_xlfn.IFS(OR(F1330="",LEFT(Methode_Keuze,4)="Geen",Methode_Keuze=""),"",AND(W1330&lt;&gt;"",F1330&lt;&gt;"Arbeidskosten"),W1330*VLOOKUP(F1330,Tb_ProjectKosten[],MATCH(Tb_ProjectKosten[[#Headers],[Forfait_Percentage]],Tb_ProjectKosten[#Headers],0),0),AND(F1330="Arbeidskosten",G1330&lt;&gt;""),IFERROR(W1330*VLOOKUP(G1330,Tb_KostenTypen[],3,0)*VLOOKUP(F1330,Tb_ProjectKosten[],MATCH(Tb_ProjectKosten[[#Headers],[Forfait_Percentage]],Tb_ProjectKosten[#Headers],0),0),""),W1330 &lt;=0,0),"")</f>
        <v/>
      </c>
      <c r="AA1330" s="314" t="str" cm="1">
        <f t="array" aca="1" ref="AA1330" ca="1">IFERROR(_xlfn.IFS(OR(F1330="",LEFT(Methode_Keuze,4)="Geen",Methode_Keuze=""),"",AND(X1330&lt;&gt;"",F1330&lt;&gt;"Arbeidskosten"),X1330*VLOOKUP(F1330,Tb_ProjectKosten[],MATCH(Tb_ProjectKosten[[#Headers],[Forfait_Percentage]],Tb_ProjectKosten[#Headers],0),0),AND(F1330="Arbeidskosten",G1330&lt;&gt;""),IFERROR(X1330*VLOOKUP(G1330,Tb_KostenTypen[],3,0)*VLOOKUP(F1330,Tb_ProjectKosten[],MATCH(Tb_ProjectKosten[[#Headers],[Forfait_Percentage]],Tb_ProjectKosten[#Headers],0),0),""),X1330 &lt;=0,0),"")</f>
        <v/>
      </c>
      <c r="AB1330" s="314" t="str">
        <f t="shared" ca="1" si="83"/>
        <v/>
      </c>
      <c r="AC1330" s="322"/>
      <c r="AD1330" s="315"/>
      <c r="AE1330" s="32" t="str" cm="1">
        <f t="array" ref="AE1330">IFERROR(IF(INDEX(SubsidieTabel!$AD$1:$AG$12,MATCH($F1330,SubsidieTabel!$AD$1:$AD$12,0),IFERROR(MATCH(Methode_Keuze,SubsidieTabel!$AD$1:$AG$1,0),2))&lt;&gt;1=TRUE,"ja",""),"")</f>
        <v/>
      </c>
    </row>
    <row r="1331" spans="1:31" x14ac:dyDescent="0.25">
      <c r="A1331" s="316"/>
      <c r="B1331" s="317" t="str">
        <f>IF(A1331&lt;&gt;"",_xlfn.MAXIFS($B$1:B1330,$A$1:A1330,A1331)+1,"")</f>
        <v/>
      </c>
      <c r="C1331" s="296"/>
      <c r="D1331" s="296"/>
      <c r="E1331" s="296"/>
      <c r="F1331" s="296"/>
      <c r="G1331" s="326"/>
      <c r="H1331" s="324"/>
      <c r="I1331" s="325"/>
      <c r="J1331" s="325"/>
      <c r="K1331" s="318"/>
      <c r="L1331" s="318"/>
      <c r="M1331" s="319" t="str">
        <f>IFERROR(VLOOKUP(H1331,Lijsten!$H$1:$I$100,2,0),"")</f>
        <v/>
      </c>
      <c r="N1331" s="319" t="str">
        <f ca="1">IFERROR(IF(VLOOKUP(F1331,Kostentypen!$A$3:$E$21,3,0)=0,"",IF(OR(F1331="Arbeidskosten",F1331="Vergoeding"),VLOOKUP(G1331,Tb_KostenTypen[],2,0),VLOOKUP(F1331,Kostentypen!$A$3:$E$20,3,0))),"")</f>
        <v/>
      </c>
      <c r="O1331" s="320" t="str" cm="1">
        <f t="array" ref="O1331">_xlfn.IFNA(IF(INDEX(Tb_KostenOptiesDB[],MATCH($F1331,Tb_KostenOptiesDB[KostenOptie],0),IFERROR(MATCH(Methode_Keuze,Tb_KostenOptiesDB[#Headers],0),2))=1,_xlfn.SWITCH($N1331,"Uurtarief",IF(OR(AND(RIGHT($F1331,3)="IKS",VLOOKUP($M1331,DB_Loonkosten,2,0)="Ja"),AND(RIGHT($F1331,3)&lt;&gt;"IKS",VLOOKUP($M1331,DB_Loonkosten,2,0)="Nee")),IFERROR(VLOOKUP($M1331,DB_Loonkosten,24,0),""),0),"Vast tarief",IF(LEFT(F1331,8)="Bijdrage",VLOOKUP($F1331,Tb_KostenTypen[],MATCH(Lijsten!$P$1,Tb_KostenTypen[#Headers],0),0),VLOOKUP($G1331,Lijsten!L:P,MATCH(Lijsten!$P$1,Kop_Tarief_Vast,0),0))),""),"")</f>
        <v/>
      </c>
      <c r="P1331" s="320" t="str" cm="1">
        <f t="array" ref="P1331">_xlfn.IFNA(IF(INDEX(Tb_KostenOptiesDB[],MATCH($F1331,Tb_KostenOptiesDB[KostenOptie],0),IFERROR(MATCH(Methode_Keuze,Tb_KostenOptiesDB[#Headers],0),2))=1,_xlfn.SWITCH($N1331,"Uurtarief",IF(OR(AND(RIGHT($F1331,3)="IKS",VLOOKUP($M1331,DB_Loonkosten,2,0)="Ja"),AND(RIGHT($F1331,3)&lt;&gt;"IKS",VLOOKUP($M1331,DB_Loonkosten,2,0)="Nee")),IFERROR(VLOOKUP($M1331,DB_Loonkosten,25,0),""),0),"Vast tarief",IF(LEFT(F1331,8)="Bijdrage",VLOOKUP($F1331,Tb_KostenTypen[],MATCH(Lijsten!$P$1,Tb_KostenTypen[#Headers],0),0),VLOOKUP($G1331,Lijsten!L:P,MATCH(Lijsten!$P$1,Kop_Tarief_Vast,0),0))),""),"")</f>
        <v/>
      </c>
      <c r="Q1331" s="359"/>
      <c r="R1331" s="359"/>
      <c r="S1331" s="321"/>
      <c r="T1331" s="321"/>
      <c r="U1331" s="373" t="str">
        <f t="shared" si="80"/>
        <v/>
      </c>
      <c r="V1331" s="314" t="str">
        <f t="shared" si="81"/>
        <v/>
      </c>
      <c r="W1331" s="314" t="str" cm="1">
        <f t="array" aca="1" ref="W1331" ca="1">IFERROR(IF(AE1331&lt;&gt;"ja",_xlfn.IFNA(_xlfn.IFS(AND(O1331&lt;&gt;"",F1331&lt;&gt;"",RIGHT($N1331,6)="tarief",F1331="Vergoeding"),SUM(O1331)*FLOOR(SUM(Q1331),0.0001),AND(O1331&lt;&gt;"",F1331&lt;&gt;"",RIGHT($N1331,6)="tarief"),SUM(O1331)*FLOOR(SUM(Q1331),0.01),S1331&gt;0,IF(F1331&lt;&gt;"",FLOOR(SUM(S1331),0.01),"")),""),""),"")</f>
        <v/>
      </c>
      <c r="X1331" s="314" t="str" cm="1">
        <f t="array" aca="1" ref="X1331" ca="1">IFERROR(IF(AE1331&lt;&gt;"ja",_xlfn.IFNA(_xlfn.IFS(AND(P1331&lt;&gt;"",R1331&lt;&gt;"",RIGHT($N1331,6)="tarief",F1331="Vergoeding"),SUM(P1331)*FLOOR(SUM(R1331),0.0001),AND(P1331&lt;&gt;"",R1331&lt;&gt;"",RIGHT($N1331,6)="tarief"),P1331*FLOOR(R1331,0.01),T1331&gt;0,FLOOR(SUM(T1331),0.01)),""),""),"")</f>
        <v/>
      </c>
      <c r="Y1331" s="314" t="str">
        <f t="shared" ca="1" si="82"/>
        <v/>
      </c>
      <c r="Z1331" s="314" t="str" cm="1">
        <f t="array" aca="1" ref="Z1331" ca="1">IFERROR(_xlfn.IFS(OR(F1331="",LEFT(Methode_Keuze,4)="Geen",Methode_Keuze=""),"",AND(W1331&lt;&gt;"",F1331&lt;&gt;"Arbeidskosten"),W1331*VLOOKUP(F1331,Tb_ProjectKosten[],MATCH(Tb_ProjectKosten[[#Headers],[Forfait_Percentage]],Tb_ProjectKosten[#Headers],0),0),AND(F1331="Arbeidskosten",G1331&lt;&gt;""),IFERROR(W1331*VLOOKUP(G1331,Tb_KostenTypen[],3,0)*VLOOKUP(F1331,Tb_ProjectKosten[],MATCH(Tb_ProjectKosten[[#Headers],[Forfait_Percentage]],Tb_ProjectKosten[#Headers],0),0),""),W1331 &lt;=0,0),"")</f>
        <v/>
      </c>
      <c r="AA1331" s="314" t="str" cm="1">
        <f t="array" aca="1" ref="AA1331" ca="1">IFERROR(_xlfn.IFS(OR(F1331="",LEFT(Methode_Keuze,4)="Geen",Methode_Keuze=""),"",AND(X1331&lt;&gt;"",F1331&lt;&gt;"Arbeidskosten"),X1331*VLOOKUP(F1331,Tb_ProjectKosten[],MATCH(Tb_ProjectKosten[[#Headers],[Forfait_Percentage]],Tb_ProjectKosten[#Headers],0),0),AND(F1331="Arbeidskosten",G1331&lt;&gt;""),IFERROR(X1331*VLOOKUP(G1331,Tb_KostenTypen[],3,0)*VLOOKUP(F1331,Tb_ProjectKosten[],MATCH(Tb_ProjectKosten[[#Headers],[Forfait_Percentage]],Tb_ProjectKosten[#Headers],0),0),""),X1331 &lt;=0,0),"")</f>
        <v/>
      </c>
      <c r="AB1331" s="314" t="str">
        <f t="shared" ca="1" si="83"/>
        <v/>
      </c>
      <c r="AC1331" s="322"/>
      <c r="AD1331" s="315"/>
      <c r="AE1331" s="32" t="str" cm="1">
        <f t="array" ref="AE1331">IFERROR(IF(INDEX(SubsidieTabel!$AD$1:$AG$12,MATCH($F1331,SubsidieTabel!$AD$1:$AD$12,0),IFERROR(MATCH(Methode_Keuze,SubsidieTabel!$AD$1:$AG$1,0),2))&lt;&gt;1=TRUE,"ja",""),"")</f>
        <v/>
      </c>
    </row>
    <row r="1332" spans="1:31" x14ac:dyDescent="0.25">
      <c r="A1332" s="316"/>
      <c r="B1332" s="317" t="str">
        <f>IF(A1332&lt;&gt;"",_xlfn.MAXIFS($B$1:B1331,$A$1:A1331,A1332)+1,"")</f>
        <v/>
      </c>
      <c r="C1332" s="296"/>
      <c r="D1332" s="296"/>
      <c r="E1332" s="296"/>
      <c r="F1332" s="296"/>
      <c r="G1332" s="326"/>
      <c r="H1332" s="324"/>
      <c r="I1332" s="325"/>
      <c r="J1332" s="325"/>
      <c r="K1332" s="318"/>
      <c r="L1332" s="318"/>
      <c r="M1332" s="319" t="str">
        <f>IFERROR(VLOOKUP(H1332,Lijsten!$H$1:$I$100,2,0),"")</f>
        <v/>
      </c>
      <c r="N1332" s="319" t="str">
        <f ca="1">IFERROR(IF(VLOOKUP(F1332,Kostentypen!$A$3:$E$21,3,0)=0,"",IF(OR(F1332="Arbeidskosten",F1332="Vergoeding"),VLOOKUP(G1332,Tb_KostenTypen[],2,0),VLOOKUP(F1332,Kostentypen!$A$3:$E$20,3,0))),"")</f>
        <v/>
      </c>
      <c r="O1332" s="320" t="str" cm="1">
        <f t="array" ref="O1332">_xlfn.IFNA(IF(INDEX(Tb_KostenOptiesDB[],MATCH($F1332,Tb_KostenOptiesDB[KostenOptie],0),IFERROR(MATCH(Methode_Keuze,Tb_KostenOptiesDB[#Headers],0),2))=1,_xlfn.SWITCH($N1332,"Uurtarief",IF(OR(AND(RIGHT($F1332,3)="IKS",VLOOKUP($M1332,DB_Loonkosten,2,0)="Ja"),AND(RIGHT($F1332,3)&lt;&gt;"IKS",VLOOKUP($M1332,DB_Loonkosten,2,0)="Nee")),IFERROR(VLOOKUP($M1332,DB_Loonkosten,24,0),""),0),"Vast tarief",IF(LEFT(F1332,8)="Bijdrage",VLOOKUP($F1332,Tb_KostenTypen[],MATCH(Lijsten!$P$1,Tb_KostenTypen[#Headers],0),0),VLOOKUP($G1332,Lijsten!L:P,MATCH(Lijsten!$P$1,Kop_Tarief_Vast,0),0))),""),"")</f>
        <v/>
      </c>
      <c r="P1332" s="320" t="str" cm="1">
        <f t="array" ref="P1332">_xlfn.IFNA(IF(INDEX(Tb_KostenOptiesDB[],MATCH($F1332,Tb_KostenOptiesDB[KostenOptie],0),IFERROR(MATCH(Methode_Keuze,Tb_KostenOptiesDB[#Headers],0),2))=1,_xlfn.SWITCH($N1332,"Uurtarief",IF(OR(AND(RIGHT($F1332,3)="IKS",VLOOKUP($M1332,DB_Loonkosten,2,0)="Ja"),AND(RIGHT($F1332,3)&lt;&gt;"IKS",VLOOKUP($M1332,DB_Loonkosten,2,0)="Nee")),IFERROR(VLOOKUP($M1332,DB_Loonkosten,25,0),""),0),"Vast tarief",IF(LEFT(F1332,8)="Bijdrage",VLOOKUP($F1332,Tb_KostenTypen[],MATCH(Lijsten!$P$1,Tb_KostenTypen[#Headers],0),0),VLOOKUP($G1332,Lijsten!L:P,MATCH(Lijsten!$P$1,Kop_Tarief_Vast,0),0))),""),"")</f>
        <v/>
      </c>
      <c r="Q1332" s="359"/>
      <c r="R1332" s="359"/>
      <c r="S1332" s="321"/>
      <c r="T1332" s="321"/>
      <c r="U1332" s="373" t="str">
        <f t="shared" si="80"/>
        <v/>
      </c>
      <c r="V1332" s="314" t="str">
        <f t="shared" si="81"/>
        <v/>
      </c>
      <c r="W1332" s="314" t="str" cm="1">
        <f t="array" aca="1" ref="W1332" ca="1">IFERROR(IF(AE1332&lt;&gt;"ja",_xlfn.IFNA(_xlfn.IFS(AND(O1332&lt;&gt;"",F1332&lt;&gt;"",RIGHT($N1332,6)="tarief",F1332="Vergoeding"),SUM(O1332)*FLOOR(SUM(Q1332),0.0001),AND(O1332&lt;&gt;"",F1332&lt;&gt;"",RIGHT($N1332,6)="tarief"),SUM(O1332)*FLOOR(SUM(Q1332),0.01),S1332&gt;0,IF(F1332&lt;&gt;"",FLOOR(SUM(S1332),0.01),"")),""),""),"")</f>
        <v/>
      </c>
      <c r="X1332" s="314" t="str" cm="1">
        <f t="array" aca="1" ref="X1332" ca="1">IFERROR(IF(AE1332&lt;&gt;"ja",_xlfn.IFNA(_xlfn.IFS(AND(P1332&lt;&gt;"",R1332&lt;&gt;"",RIGHT($N1332,6)="tarief",F1332="Vergoeding"),SUM(P1332)*FLOOR(SUM(R1332),0.0001),AND(P1332&lt;&gt;"",R1332&lt;&gt;"",RIGHT($N1332,6)="tarief"),P1332*FLOOR(R1332,0.01),T1332&gt;0,FLOOR(SUM(T1332),0.01)),""),""),"")</f>
        <v/>
      </c>
      <c r="Y1332" s="314" t="str">
        <f t="shared" ca="1" si="82"/>
        <v/>
      </c>
      <c r="Z1332" s="314" t="str" cm="1">
        <f t="array" aca="1" ref="Z1332" ca="1">IFERROR(_xlfn.IFS(OR(F1332="",LEFT(Methode_Keuze,4)="Geen",Methode_Keuze=""),"",AND(W1332&lt;&gt;"",F1332&lt;&gt;"Arbeidskosten"),W1332*VLOOKUP(F1332,Tb_ProjectKosten[],MATCH(Tb_ProjectKosten[[#Headers],[Forfait_Percentage]],Tb_ProjectKosten[#Headers],0),0),AND(F1332="Arbeidskosten",G1332&lt;&gt;""),IFERROR(W1332*VLOOKUP(G1332,Tb_KostenTypen[],3,0)*VLOOKUP(F1332,Tb_ProjectKosten[],MATCH(Tb_ProjectKosten[[#Headers],[Forfait_Percentage]],Tb_ProjectKosten[#Headers],0),0),""),W1332 &lt;=0,0),"")</f>
        <v/>
      </c>
      <c r="AA1332" s="314" t="str" cm="1">
        <f t="array" aca="1" ref="AA1332" ca="1">IFERROR(_xlfn.IFS(OR(F1332="",LEFT(Methode_Keuze,4)="Geen",Methode_Keuze=""),"",AND(X1332&lt;&gt;"",F1332&lt;&gt;"Arbeidskosten"),X1332*VLOOKUP(F1332,Tb_ProjectKosten[],MATCH(Tb_ProjectKosten[[#Headers],[Forfait_Percentage]],Tb_ProjectKosten[#Headers],0),0),AND(F1332="Arbeidskosten",G1332&lt;&gt;""),IFERROR(X1332*VLOOKUP(G1332,Tb_KostenTypen[],3,0)*VLOOKUP(F1332,Tb_ProjectKosten[],MATCH(Tb_ProjectKosten[[#Headers],[Forfait_Percentage]],Tb_ProjectKosten[#Headers],0),0),""),X1332 &lt;=0,0),"")</f>
        <v/>
      </c>
      <c r="AB1332" s="314" t="str">
        <f t="shared" ca="1" si="83"/>
        <v/>
      </c>
      <c r="AC1332" s="322"/>
      <c r="AD1332" s="315"/>
      <c r="AE1332" s="32" t="str" cm="1">
        <f t="array" ref="AE1332">IFERROR(IF(INDEX(SubsidieTabel!$AD$1:$AG$12,MATCH($F1332,SubsidieTabel!$AD$1:$AD$12,0),IFERROR(MATCH(Methode_Keuze,SubsidieTabel!$AD$1:$AG$1,0),2))&lt;&gt;1=TRUE,"ja",""),"")</f>
        <v/>
      </c>
    </row>
    <row r="1333" spans="1:31" x14ac:dyDescent="0.25">
      <c r="A1333" s="316"/>
      <c r="B1333" s="317" t="str">
        <f>IF(A1333&lt;&gt;"",_xlfn.MAXIFS($B$1:B1332,$A$1:A1332,A1333)+1,"")</f>
        <v/>
      </c>
      <c r="C1333" s="296"/>
      <c r="D1333" s="296"/>
      <c r="E1333" s="296"/>
      <c r="F1333" s="296"/>
      <c r="G1333" s="326"/>
      <c r="H1333" s="324"/>
      <c r="I1333" s="325"/>
      <c r="J1333" s="325"/>
      <c r="K1333" s="318"/>
      <c r="L1333" s="318"/>
      <c r="M1333" s="319" t="str">
        <f>IFERROR(VLOOKUP(H1333,Lijsten!$H$1:$I$100,2,0),"")</f>
        <v/>
      </c>
      <c r="N1333" s="319" t="str">
        <f ca="1">IFERROR(IF(VLOOKUP(F1333,Kostentypen!$A$3:$E$21,3,0)=0,"",IF(OR(F1333="Arbeidskosten",F1333="Vergoeding"),VLOOKUP(G1333,Tb_KostenTypen[],2,0),VLOOKUP(F1333,Kostentypen!$A$3:$E$20,3,0))),"")</f>
        <v/>
      </c>
      <c r="O1333" s="320" t="str" cm="1">
        <f t="array" ref="O1333">_xlfn.IFNA(IF(INDEX(Tb_KostenOptiesDB[],MATCH($F1333,Tb_KostenOptiesDB[KostenOptie],0),IFERROR(MATCH(Methode_Keuze,Tb_KostenOptiesDB[#Headers],0),2))=1,_xlfn.SWITCH($N1333,"Uurtarief",IF(OR(AND(RIGHT($F1333,3)="IKS",VLOOKUP($M1333,DB_Loonkosten,2,0)="Ja"),AND(RIGHT($F1333,3)&lt;&gt;"IKS",VLOOKUP($M1333,DB_Loonkosten,2,0)="Nee")),IFERROR(VLOOKUP($M1333,DB_Loonkosten,24,0),""),0),"Vast tarief",IF(LEFT(F1333,8)="Bijdrage",VLOOKUP($F1333,Tb_KostenTypen[],MATCH(Lijsten!$P$1,Tb_KostenTypen[#Headers],0),0),VLOOKUP($G1333,Lijsten!L:P,MATCH(Lijsten!$P$1,Kop_Tarief_Vast,0),0))),""),"")</f>
        <v/>
      </c>
      <c r="P1333" s="320" t="str" cm="1">
        <f t="array" ref="P1333">_xlfn.IFNA(IF(INDEX(Tb_KostenOptiesDB[],MATCH($F1333,Tb_KostenOptiesDB[KostenOptie],0),IFERROR(MATCH(Methode_Keuze,Tb_KostenOptiesDB[#Headers],0),2))=1,_xlfn.SWITCH($N1333,"Uurtarief",IF(OR(AND(RIGHT($F1333,3)="IKS",VLOOKUP($M1333,DB_Loonkosten,2,0)="Ja"),AND(RIGHT($F1333,3)&lt;&gt;"IKS",VLOOKUP($M1333,DB_Loonkosten,2,0)="Nee")),IFERROR(VLOOKUP($M1333,DB_Loonkosten,25,0),""),0),"Vast tarief",IF(LEFT(F1333,8)="Bijdrage",VLOOKUP($F1333,Tb_KostenTypen[],MATCH(Lijsten!$P$1,Tb_KostenTypen[#Headers],0),0),VLOOKUP($G1333,Lijsten!L:P,MATCH(Lijsten!$P$1,Kop_Tarief_Vast,0),0))),""),"")</f>
        <v/>
      </c>
      <c r="Q1333" s="359"/>
      <c r="R1333" s="359"/>
      <c r="S1333" s="321"/>
      <c r="T1333" s="321"/>
      <c r="U1333" s="373" t="str">
        <f t="shared" si="80"/>
        <v/>
      </c>
      <c r="V1333" s="314" t="str">
        <f t="shared" si="81"/>
        <v/>
      </c>
      <c r="W1333" s="314" t="str" cm="1">
        <f t="array" aca="1" ref="W1333" ca="1">IFERROR(IF(AE1333&lt;&gt;"ja",_xlfn.IFNA(_xlfn.IFS(AND(O1333&lt;&gt;"",F1333&lt;&gt;"",RIGHT($N1333,6)="tarief",F1333="Vergoeding"),SUM(O1333)*FLOOR(SUM(Q1333),0.0001),AND(O1333&lt;&gt;"",F1333&lt;&gt;"",RIGHT($N1333,6)="tarief"),SUM(O1333)*FLOOR(SUM(Q1333),0.01),S1333&gt;0,IF(F1333&lt;&gt;"",FLOOR(SUM(S1333),0.01),"")),""),""),"")</f>
        <v/>
      </c>
      <c r="X1333" s="314" t="str" cm="1">
        <f t="array" aca="1" ref="X1333" ca="1">IFERROR(IF(AE1333&lt;&gt;"ja",_xlfn.IFNA(_xlfn.IFS(AND(P1333&lt;&gt;"",R1333&lt;&gt;"",RIGHT($N1333,6)="tarief",F1333="Vergoeding"),SUM(P1333)*FLOOR(SUM(R1333),0.0001),AND(P1333&lt;&gt;"",R1333&lt;&gt;"",RIGHT($N1333,6)="tarief"),P1333*FLOOR(R1333,0.01),T1333&gt;0,FLOOR(SUM(T1333),0.01)),""),""),"")</f>
        <v/>
      </c>
      <c r="Y1333" s="314" t="str">
        <f t="shared" ca="1" si="82"/>
        <v/>
      </c>
      <c r="Z1333" s="314" t="str" cm="1">
        <f t="array" aca="1" ref="Z1333" ca="1">IFERROR(_xlfn.IFS(OR(F1333="",LEFT(Methode_Keuze,4)="Geen",Methode_Keuze=""),"",AND(W1333&lt;&gt;"",F1333&lt;&gt;"Arbeidskosten"),W1333*VLOOKUP(F1333,Tb_ProjectKosten[],MATCH(Tb_ProjectKosten[[#Headers],[Forfait_Percentage]],Tb_ProjectKosten[#Headers],0),0),AND(F1333="Arbeidskosten",G1333&lt;&gt;""),IFERROR(W1333*VLOOKUP(G1333,Tb_KostenTypen[],3,0)*VLOOKUP(F1333,Tb_ProjectKosten[],MATCH(Tb_ProjectKosten[[#Headers],[Forfait_Percentage]],Tb_ProjectKosten[#Headers],0),0),""),W1333 &lt;=0,0),"")</f>
        <v/>
      </c>
      <c r="AA1333" s="314" t="str" cm="1">
        <f t="array" aca="1" ref="AA1333" ca="1">IFERROR(_xlfn.IFS(OR(F1333="",LEFT(Methode_Keuze,4)="Geen",Methode_Keuze=""),"",AND(X1333&lt;&gt;"",F1333&lt;&gt;"Arbeidskosten"),X1333*VLOOKUP(F1333,Tb_ProjectKosten[],MATCH(Tb_ProjectKosten[[#Headers],[Forfait_Percentage]],Tb_ProjectKosten[#Headers],0),0),AND(F1333="Arbeidskosten",G1333&lt;&gt;""),IFERROR(X1333*VLOOKUP(G1333,Tb_KostenTypen[],3,0)*VLOOKUP(F1333,Tb_ProjectKosten[],MATCH(Tb_ProjectKosten[[#Headers],[Forfait_Percentage]],Tb_ProjectKosten[#Headers],0),0),""),X1333 &lt;=0,0),"")</f>
        <v/>
      </c>
      <c r="AB1333" s="314" t="str">
        <f t="shared" ca="1" si="83"/>
        <v/>
      </c>
      <c r="AC1333" s="322"/>
      <c r="AD1333" s="315"/>
      <c r="AE1333" s="32" t="str" cm="1">
        <f t="array" ref="AE1333">IFERROR(IF(INDEX(SubsidieTabel!$AD$1:$AG$12,MATCH($F1333,SubsidieTabel!$AD$1:$AD$12,0),IFERROR(MATCH(Methode_Keuze,SubsidieTabel!$AD$1:$AG$1,0),2))&lt;&gt;1=TRUE,"ja",""),"")</f>
        <v/>
      </c>
    </row>
    <row r="1334" spans="1:31" x14ac:dyDescent="0.25">
      <c r="A1334" s="316"/>
      <c r="B1334" s="317" t="str">
        <f>IF(A1334&lt;&gt;"",_xlfn.MAXIFS($B$1:B1333,$A$1:A1333,A1334)+1,"")</f>
        <v/>
      </c>
      <c r="C1334" s="296"/>
      <c r="D1334" s="296"/>
      <c r="E1334" s="296"/>
      <c r="F1334" s="296"/>
      <c r="G1334" s="326"/>
      <c r="H1334" s="324"/>
      <c r="I1334" s="325"/>
      <c r="J1334" s="325"/>
      <c r="K1334" s="318"/>
      <c r="L1334" s="318"/>
      <c r="M1334" s="319" t="str">
        <f>IFERROR(VLOOKUP(H1334,Lijsten!$H$1:$I$100,2,0),"")</f>
        <v/>
      </c>
      <c r="N1334" s="319" t="str">
        <f ca="1">IFERROR(IF(VLOOKUP(F1334,Kostentypen!$A$3:$E$21,3,0)=0,"",IF(OR(F1334="Arbeidskosten",F1334="Vergoeding"),VLOOKUP(G1334,Tb_KostenTypen[],2,0),VLOOKUP(F1334,Kostentypen!$A$3:$E$20,3,0))),"")</f>
        <v/>
      </c>
      <c r="O1334" s="320" t="str" cm="1">
        <f t="array" ref="O1334">_xlfn.IFNA(IF(INDEX(Tb_KostenOptiesDB[],MATCH($F1334,Tb_KostenOptiesDB[KostenOptie],0),IFERROR(MATCH(Methode_Keuze,Tb_KostenOptiesDB[#Headers],0),2))=1,_xlfn.SWITCH($N1334,"Uurtarief",IF(OR(AND(RIGHT($F1334,3)="IKS",VLOOKUP($M1334,DB_Loonkosten,2,0)="Ja"),AND(RIGHT($F1334,3)&lt;&gt;"IKS",VLOOKUP($M1334,DB_Loonkosten,2,0)="Nee")),IFERROR(VLOOKUP($M1334,DB_Loonkosten,24,0),""),0),"Vast tarief",IF(LEFT(F1334,8)="Bijdrage",VLOOKUP($F1334,Tb_KostenTypen[],MATCH(Lijsten!$P$1,Tb_KostenTypen[#Headers],0),0),VLOOKUP($G1334,Lijsten!L:P,MATCH(Lijsten!$P$1,Kop_Tarief_Vast,0),0))),""),"")</f>
        <v/>
      </c>
      <c r="P1334" s="320" t="str" cm="1">
        <f t="array" ref="P1334">_xlfn.IFNA(IF(INDEX(Tb_KostenOptiesDB[],MATCH($F1334,Tb_KostenOptiesDB[KostenOptie],0),IFERROR(MATCH(Methode_Keuze,Tb_KostenOptiesDB[#Headers],0),2))=1,_xlfn.SWITCH($N1334,"Uurtarief",IF(OR(AND(RIGHT($F1334,3)="IKS",VLOOKUP($M1334,DB_Loonkosten,2,0)="Ja"),AND(RIGHT($F1334,3)&lt;&gt;"IKS",VLOOKUP($M1334,DB_Loonkosten,2,0)="Nee")),IFERROR(VLOOKUP($M1334,DB_Loonkosten,25,0),""),0),"Vast tarief",IF(LEFT(F1334,8)="Bijdrage",VLOOKUP($F1334,Tb_KostenTypen[],MATCH(Lijsten!$P$1,Tb_KostenTypen[#Headers],0),0),VLOOKUP($G1334,Lijsten!L:P,MATCH(Lijsten!$P$1,Kop_Tarief_Vast,0),0))),""),"")</f>
        <v/>
      </c>
      <c r="Q1334" s="359"/>
      <c r="R1334" s="359"/>
      <c r="S1334" s="321"/>
      <c r="T1334" s="321"/>
      <c r="U1334" s="373" t="str">
        <f t="shared" si="80"/>
        <v/>
      </c>
      <c r="V1334" s="314" t="str">
        <f t="shared" si="81"/>
        <v/>
      </c>
      <c r="W1334" s="314" t="str" cm="1">
        <f t="array" aca="1" ref="W1334" ca="1">IFERROR(IF(AE1334&lt;&gt;"ja",_xlfn.IFNA(_xlfn.IFS(AND(O1334&lt;&gt;"",F1334&lt;&gt;"",RIGHT($N1334,6)="tarief",F1334="Vergoeding"),SUM(O1334)*FLOOR(SUM(Q1334),0.0001),AND(O1334&lt;&gt;"",F1334&lt;&gt;"",RIGHT($N1334,6)="tarief"),SUM(O1334)*FLOOR(SUM(Q1334),0.01),S1334&gt;0,IF(F1334&lt;&gt;"",FLOOR(SUM(S1334),0.01),"")),""),""),"")</f>
        <v/>
      </c>
      <c r="X1334" s="314" t="str" cm="1">
        <f t="array" aca="1" ref="X1334" ca="1">IFERROR(IF(AE1334&lt;&gt;"ja",_xlfn.IFNA(_xlfn.IFS(AND(P1334&lt;&gt;"",R1334&lt;&gt;"",RIGHT($N1334,6)="tarief",F1334="Vergoeding"),SUM(P1334)*FLOOR(SUM(R1334),0.0001),AND(P1334&lt;&gt;"",R1334&lt;&gt;"",RIGHT($N1334,6)="tarief"),P1334*FLOOR(R1334,0.01),T1334&gt;0,FLOOR(SUM(T1334),0.01)),""),""),"")</f>
        <v/>
      </c>
      <c r="Y1334" s="314" t="str">
        <f t="shared" ca="1" si="82"/>
        <v/>
      </c>
      <c r="Z1334" s="314" t="str" cm="1">
        <f t="array" aca="1" ref="Z1334" ca="1">IFERROR(_xlfn.IFS(OR(F1334="",LEFT(Methode_Keuze,4)="Geen",Methode_Keuze=""),"",AND(W1334&lt;&gt;"",F1334&lt;&gt;"Arbeidskosten"),W1334*VLOOKUP(F1334,Tb_ProjectKosten[],MATCH(Tb_ProjectKosten[[#Headers],[Forfait_Percentage]],Tb_ProjectKosten[#Headers],0),0),AND(F1334="Arbeidskosten",G1334&lt;&gt;""),IFERROR(W1334*VLOOKUP(G1334,Tb_KostenTypen[],3,0)*VLOOKUP(F1334,Tb_ProjectKosten[],MATCH(Tb_ProjectKosten[[#Headers],[Forfait_Percentage]],Tb_ProjectKosten[#Headers],0),0),""),W1334 &lt;=0,0),"")</f>
        <v/>
      </c>
      <c r="AA1334" s="314" t="str" cm="1">
        <f t="array" aca="1" ref="AA1334" ca="1">IFERROR(_xlfn.IFS(OR(F1334="",LEFT(Methode_Keuze,4)="Geen",Methode_Keuze=""),"",AND(X1334&lt;&gt;"",F1334&lt;&gt;"Arbeidskosten"),X1334*VLOOKUP(F1334,Tb_ProjectKosten[],MATCH(Tb_ProjectKosten[[#Headers],[Forfait_Percentage]],Tb_ProjectKosten[#Headers],0),0),AND(F1334="Arbeidskosten",G1334&lt;&gt;""),IFERROR(X1334*VLOOKUP(G1334,Tb_KostenTypen[],3,0)*VLOOKUP(F1334,Tb_ProjectKosten[],MATCH(Tb_ProjectKosten[[#Headers],[Forfait_Percentage]],Tb_ProjectKosten[#Headers],0),0),""),X1334 &lt;=0,0),"")</f>
        <v/>
      </c>
      <c r="AB1334" s="314" t="str">
        <f t="shared" ca="1" si="83"/>
        <v/>
      </c>
      <c r="AC1334" s="322"/>
      <c r="AD1334" s="315"/>
      <c r="AE1334" s="32" t="str" cm="1">
        <f t="array" ref="AE1334">IFERROR(IF(INDEX(SubsidieTabel!$AD$1:$AG$12,MATCH($F1334,SubsidieTabel!$AD$1:$AD$12,0),IFERROR(MATCH(Methode_Keuze,SubsidieTabel!$AD$1:$AG$1,0),2))&lt;&gt;1=TRUE,"ja",""),"")</f>
        <v/>
      </c>
    </row>
    <row r="1335" spans="1:31" x14ac:dyDescent="0.25">
      <c r="A1335" s="316"/>
      <c r="B1335" s="317" t="str">
        <f>IF(A1335&lt;&gt;"",_xlfn.MAXIFS($B$1:B1334,$A$1:A1334,A1335)+1,"")</f>
        <v/>
      </c>
      <c r="C1335" s="296"/>
      <c r="D1335" s="296"/>
      <c r="E1335" s="296"/>
      <c r="F1335" s="296"/>
      <c r="G1335" s="326"/>
      <c r="H1335" s="324"/>
      <c r="I1335" s="325"/>
      <c r="J1335" s="325"/>
      <c r="K1335" s="318"/>
      <c r="L1335" s="318"/>
      <c r="M1335" s="319" t="str">
        <f>IFERROR(VLOOKUP(H1335,Lijsten!$H$1:$I$100,2,0),"")</f>
        <v/>
      </c>
      <c r="N1335" s="319" t="str">
        <f ca="1">IFERROR(IF(VLOOKUP(F1335,Kostentypen!$A$3:$E$21,3,0)=0,"",IF(OR(F1335="Arbeidskosten",F1335="Vergoeding"),VLOOKUP(G1335,Tb_KostenTypen[],2,0),VLOOKUP(F1335,Kostentypen!$A$3:$E$20,3,0))),"")</f>
        <v/>
      </c>
      <c r="O1335" s="320" t="str" cm="1">
        <f t="array" ref="O1335">_xlfn.IFNA(IF(INDEX(Tb_KostenOptiesDB[],MATCH($F1335,Tb_KostenOptiesDB[KostenOptie],0),IFERROR(MATCH(Methode_Keuze,Tb_KostenOptiesDB[#Headers],0),2))=1,_xlfn.SWITCH($N1335,"Uurtarief",IF(OR(AND(RIGHT($F1335,3)="IKS",VLOOKUP($M1335,DB_Loonkosten,2,0)="Ja"),AND(RIGHT($F1335,3)&lt;&gt;"IKS",VLOOKUP($M1335,DB_Loonkosten,2,0)="Nee")),IFERROR(VLOOKUP($M1335,DB_Loonkosten,24,0),""),0),"Vast tarief",IF(LEFT(F1335,8)="Bijdrage",VLOOKUP($F1335,Tb_KostenTypen[],MATCH(Lijsten!$P$1,Tb_KostenTypen[#Headers],0),0),VLOOKUP($G1335,Lijsten!L:P,MATCH(Lijsten!$P$1,Kop_Tarief_Vast,0),0))),""),"")</f>
        <v/>
      </c>
      <c r="P1335" s="320" t="str" cm="1">
        <f t="array" ref="P1335">_xlfn.IFNA(IF(INDEX(Tb_KostenOptiesDB[],MATCH($F1335,Tb_KostenOptiesDB[KostenOptie],0),IFERROR(MATCH(Methode_Keuze,Tb_KostenOptiesDB[#Headers],0),2))=1,_xlfn.SWITCH($N1335,"Uurtarief",IF(OR(AND(RIGHT($F1335,3)="IKS",VLOOKUP($M1335,DB_Loonkosten,2,0)="Ja"),AND(RIGHT($F1335,3)&lt;&gt;"IKS",VLOOKUP($M1335,DB_Loonkosten,2,0)="Nee")),IFERROR(VLOOKUP($M1335,DB_Loonkosten,25,0),""),0),"Vast tarief",IF(LEFT(F1335,8)="Bijdrage",VLOOKUP($F1335,Tb_KostenTypen[],MATCH(Lijsten!$P$1,Tb_KostenTypen[#Headers],0),0),VLOOKUP($G1335,Lijsten!L:P,MATCH(Lijsten!$P$1,Kop_Tarief_Vast,0),0))),""),"")</f>
        <v/>
      </c>
      <c r="Q1335" s="359"/>
      <c r="R1335" s="359"/>
      <c r="S1335" s="321"/>
      <c r="T1335" s="321"/>
      <c r="U1335" s="373" t="str">
        <f t="shared" si="80"/>
        <v/>
      </c>
      <c r="V1335" s="314" t="str">
        <f t="shared" si="81"/>
        <v/>
      </c>
      <c r="W1335" s="314" t="str" cm="1">
        <f t="array" aca="1" ref="W1335" ca="1">IFERROR(IF(AE1335&lt;&gt;"ja",_xlfn.IFNA(_xlfn.IFS(AND(O1335&lt;&gt;"",F1335&lt;&gt;"",RIGHT($N1335,6)="tarief",F1335="Vergoeding"),SUM(O1335)*FLOOR(SUM(Q1335),0.0001),AND(O1335&lt;&gt;"",F1335&lt;&gt;"",RIGHT($N1335,6)="tarief"),SUM(O1335)*FLOOR(SUM(Q1335),0.01),S1335&gt;0,IF(F1335&lt;&gt;"",FLOOR(SUM(S1335),0.01),"")),""),""),"")</f>
        <v/>
      </c>
      <c r="X1335" s="314" t="str" cm="1">
        <f t="array" aca="1" ref="X1335" ca="1">IFERROR(IF(AE1335&lt;&gt;"ja",_xlfn.IFNA(_xlfn.IFS(AND(P1335&lt;&gt;"",R1335&lt;&gt;"",RIGHT($N1335,6)="tarief",F1335="Vergoeding"),SUM(P1335)*FLOOR(SUM(R1335),0.0001),AND(P1335&lt;&gt;"",R1335&lt;&gt;"",RIGHT($N1335,6)="tarief"),P1335*FLOOR(R1335,0.01),T1335&gt;0,FLOOR(SUM(T1335),0.01)),""),""),"")</f>
        <v/>
      </c>
      <c r="Y1335" s="314" t="str">
        <f t="shared" ca="1" si="82"/>
        <v/>
      </c>
      <c r="Z1335" s="314" t="str" cm="1">
        <f t="array" aca="1" ref="Z1335" ca="1">IFERROR(_xlfn.IFS(OR(F1335="",LEFT(Methode_Keuze,4)="Geen",Methode_Keuze=""),"",AND(W1335&lt;&gt;"",F1335&lt;&gt;"Arbeidskosten"),W1335*VLOOKUP(F1335,Tb_ProjectKosten[],MATCH(Tb_ProjectKosten[[#Headers],[Forfait_Percentage]],Tb_ProjectKosten[#Headers],0),0),AND(F1335="Arbeidskosten",G1335&lt;&gt;""),IFERROR(W1335*VLOOKUP(G1335,Tb_KostenTypen[],3,0)*VLOOKUP(F1335,Tb_ProjectKosten[],MATCH(Tb_ProjectKosten[[#Headers],[Forfait_Percentage]],Tb_ProjectKosten[#Headers],0),0),""),W1335 &lt;=0,0),"")</f>
        <v/>
      </c>
      <c r="AA1335" s="314" t="str" cm="1">
        <f t="array" aca="1" ref="AA1335" ca="1">IFERROR(_xlfn.IFS(OR(F1335="",LEFT(Methode_Keuze,4)="Geen",Methode_Keuze=""),"",AND(X1335&lt;&gt;"",F1335&lt;&gt;"Arbeidskosten"),X1335*VLOOKUP(F1335,Tb_ProjectKosten[],MATCH(Tb_ProjectKosten[[#Headers],[Forfait_Percentage]],Tb_ProjectKosten[#Headers],0),0),AND(F1335="Arbeidskosten",G1335&lt;&gt;""),IFERROR(X1335*VLOOKUP(G1335,Tb_KostenTypen[],3,0)*VLOOKUP(F1335,Tb_ProjectKosten[],MATCH(Tb_ProjectKosten[[#Headers],[Forfait_Percentage]],Tb_ProjectKosten[#Headers],0),0),""),X1335 &lt;=0,0),"")</f>
        <v/>
      </c>
      <c r="AB1335" s="314" t="str">
        <f t="shared" ca="1" si="83"/>
        <v/>
      </c>
      <c r="AC1335" s="322"/>
      <c r="AD1335" s="315"/>
      <c r="AE1335" s="32" t="str" cm="1">
        <f t="array" ref="AE1335">IFERROR(IF(INDEX(SubsidieTabel!$AD$1:$AG$12,MATCH($F1335,SubsidieTabel!$AD$1:$AD$12,0),IFERROR(MATCH(Methode_Keuze,SubsidieTabel!$AD$1:$AG$1,0),2))&lt;&gt;1=TRUE,"ja",""),"")</f>
        <v/>
      </c>
    </row>
    <row r="1336" spans="1:31" x14ac:dyDescent="0.25">
      <c r="A1336" s="316"/>
      <c r="B1336" s="317" t="str">
        <f>IF(A1336&lt;&gt;"",_xlfn.MAXIFS($B$1:B1335,$A$1:A1335,A1336)+1,"")</f>
        <v/>
      </c>
      <c r="C1336" s="296"/>
      <c r="D1336" s="296"/>
      <c r="E1336" s="296"/>
      <c r="F1336" s="296"/>
      <c r="G1336" s="326"/>
      <c r="H1336" s="324"/>
      <c r="I1336" s="325"/>
      <c r="J1336" s="325"/>
      <c r="K1336" s="318"/>
      <c r="L1336" s="318"/>
      <c r="M1336" s="319" t="str">
        <f>IFERROR(VLOOKUP(H1336,Lijsten!$H$1:$I$100,2,0),"")</f>
        <v/>
      </c>
      <c r="N1336" s="319" t="str">
        <f ca="1">IFERROR(IF(VLOOKUP(F1336,Kostentypen!$A$3:$E$21,3,0)=0,"",IF(OR(F1336="Arbeidskosten",F1336="Vergoeding"),VLOOKUP(G1336,Tb_KostenTypen[],2,0),VLOOKUP(F1336,Kostentypen!$A$3:$E$20,3,0))),"")</f>
        <v/>
      </c>
      <c r="O1336" s="320" t="str" cm="1">
        <f t="array" ref="O1336">_xlfn.IFNA(IF(INDEX(Tb_KostenOptiesDB[],MATCH($F1336,Tb_KostenOptiesDB[KostenOptie],0),IFERROR(MATCH(Methode_Keuze,Tb_KostenOptiesDB[#Headers],0),2))=1,_xlfn.SWITCH($N1336,"Uurtarief",IF(OR(AND(RIGHT($F1336,3)="IKS",VLOOKUP($M1336,DB_Loonkosten,2,0)="Ja"),AND(RIGHT($F1336,3)&lt;&gt;"IKS",VLOOKUP($M1336,DB_Loonkosten,2,0)="Nee")),IFERROR(VLOOKUP($M1336,DB_Loonkosten,24,0),""),0),"Vast tarief",IF(LEFT(F1336,8)="Bijdrage",VLOOKUP($F1336,Tb_KostenTypen[],MATCH(Lijsten!$P$1,Tb_KostenTypen[#Headers],0),0),VLOOKUP($G1336,Lijsten!L:P,MATCH(Lijsten!$P$1,Kop_Tarief_Vast,0),0))),""),"")</f>
        <v/>
      </c>
      <c r="P1336" s="320" t="str" cm="1">
        <f t="array" ref="P1336">_xlfn.IFNA(IF(INDEX(Tb_KostenOptiesDB[],MATCH($F1336,Tb_KostenOptiesDB[KostenOptie],0),IFERROR(MATCH(Methode_Keuze,Tb_KostenOptiesDB[#Headers],0),2))=1,_xlfn.SWITCH($N1336,"Uurtarief",IF(OR(AND(RIGHT($F1336,3)="IKS",VLOOKUP($M1336,DB_Loonkosten,2,0)="Ja"),AND(RIGHT($F1336,3)&lt;&gt;"IKS",VLOOKUP($M1336,DB_Loonkosten,2,0)="Nee")),IFERROR(VLOOKUP($M1336,DB_Loonkosten,25,0),""),0),"Vast tarief",IF(LEFT(F1336,8)="Bijdrage",VLOOKUP($F1336,Tb_KostenTypen[],MATCH(Lijsten!$P$1,Tb_KostenTypen[#Headers],0),0),VLOOKUP($G1336,Lijsten!L:P,MATCH(Lijsten!$P$1,Kop_Tarief_Vast,0),0))),""),"")</f>
        <v/>
      </c>
      <c r="Q1336" s="359"/>
      <c r="R1336" s="359"/>
      <c r="S1336" s="321"/>
      <c r="T1336" s="321"/>
      <c r="U1336" s="373" t="str">
        <f t="shared" si="80"/>
        <v/>
      </c>
      <c r="V1336" s="314" t="str">
        <f t="shared" si="81"/>
        <v/>
      </c>
      <c r="W1336" s="314" t="str" cm="1">
        <f t="array" aca="1" ref="W1336" ca="1">IFERROR(IF(AE1336&lt;&gt;"ja",_xlfn.IFNA(_xlfn.IFS(AND(O1336&lt;&gt;"",F1336&lt;&gt;"",RIGHT($N1336,6)="tarief",F1336="Vergoeding"),SUM(O1336)*FLOOR(SUM(Q1336),0.0001),AND(O1336&lt;&gt;"",F1336&lt;&gt;"",RIGHT($N1336,6)="tarief"),SUM(O1336)*FLOOR(SUM(Q1336),0.01),S1336&gt;0,IF(F1336&lt;&gt;"",FLOOR(SUM(S1336),0.01),"")),""),""),"")</f>
        <v/>
      </c>
      <c r="X1336" s="314" t="str" cm="1">
        <f t="array" aca="1" ref="X1336" ca="1">IFERROR(IF(AE1336&lt;&gt;"ja",_xlfn.IFNA(_xlfn.IFS(AND(P1336&lt;&gt;"",R1336&lt;&gt;"",RIGHT($N1336,6)="tarief",F1336="Vergoeding"),SUM(P1336)*FLOOR(SUM(R1336),0.0001),AND(P1336&lt;&gt;"",R1336&lt;&gt;"",RIGHT($N1336,6)="tarief"),P1336*FLOOR(R1336,0.01),T1336&gt;0,FLOOR(SUM(T1336),0.01)),""),""),"")</f>
        <v/>
      </c>
      <c r="Y1336" s="314" t="str">
        <f t="shared" ca="1" si="82"/>
        <v/>
      </c>
      <c r="Z1336" s="314" t="str" cm="1">
        <f t="array" aca="1" ref="Z1336" ca="1">IFERROR(_xlfn.IFS(OR(F1336="",LEFT(Methode_Keuze,4)="Geen",Methode_Keuze=""),"",AND(W1336&lt;&gt;"",F1336&lt;&gt;"Arbeidskosten"),W1336*VLOOKUP(F1336,Tb_ProjectKosten[],MATCH(Tb_ProjectKosten[[#Headers],[Forfait_Percentage]],Tb_ProjectKosten[#Headers],0),0),AND(F1336="Arbeidskosten",G1336&lt;&gt;""),IFERROR(W1336*VLOOKUP(G1336,Tb_KostenTypen[],3,0)*VLOOKUP(F1336,Tb_ProjectKosten[],MATCH(Tb_ProjectKosten[[#Headers],[Forfait_Percentage]],Tb_ProjectKosten[#Headers],0),0),""),W1336 &lt;=0,0),"")</f>
        <v/>
      </c>
      <c r="AA1336" s="314" t="str" cm="1">
        <f t="array" aca="1" ref="AA1336" ca="1">IFERROR(_xlfn.IFS(OR(F1336="",LEFT(Methode_Keuze,4)="Geen",Methode_Keuze=""),"",AND(X1336&lt;&gt;"",F1336&lt;&gt;"Arbeidskosten"),X1336*VLOOKUP(F1336,Tb_ProjectKosten[],MATCH(Tb_ProjectKosten[[#Headers],[Forfait_Percentage]],Tb_ProjectKosten[#Headers],0),0),AND(F1336="Arbeidskosten",G1336&lt;&gt;""),IFERROR(X1336*VLOOKUP(G1336,Tb_KostenTypen[],3,0)*VLOOKUP(F1336,Tb_ProjectKosten[],MATCH(Tb_ProjectKosten[[#Headers],[Forfait_Percentage]],Tb_ProjectKosten[#Headers],0),0),""),X1336 &lt;=0,0),"")</f>
        <v/>
      </c>
      <c r="AB1336" s="314" t="str">
        <f t="shared" ca="1" si="83"/>
        <v/>
      </c>
      <c r="AC1336" s="322"/>
      <c r="AD1336" s="315"/>
      <c r="AE1336" s="32" t="str" cm="1">
        <f t="array" ref="AE1336">IFERROR(IF(INDEX(SubsidieTabel!$AD$1:$AG$12,MATCH($F1336,SubsidieTabel!$AD$1:$AD$12,0),IFERROR(MATCH(Methode_Keuze,SubsidieTabel!$AD$1:$AG$1,0),2))&lt;&gt;1=TRUE,"ja",""),"")</f>
        <v/>
      </c>
    </row>
    <row r="1337" spans="1:31" x14ac:dyDescent="0.25">
      <c r="A1337" s="316"/>
      <c r="B1337" s="317" t="str">
        <f>IF(A1337&lt;&gt;"",_xlfn.MAXIFS($B$1:B1336,$A$1:A1336,A1337)+1,"")</f>
        <v/>
      </c>
      <c r="C1337" s="296"/>
      <c r="D1337" s="296"/>
      <c r="E1337" s="296"/>
      <c r="F1337" s="296"/>
      <c r="G1337" s="326"/>
      <c r="H1337" s="324"/>
      <c r="I1337" s="325"/>
      <c r="J1337" s="325"/>
      <c r="K1337" s="318"/>
      <c r="L1337" s="318"/>
      <c r="M1337" s="319" t="str">
        <f>IFERROR(VLOOKUP(H1337,Lijsten!$H$1:$I$100,2,0),"")</f>
        <v/>
      </c>
      <c r="N1337" s="319" t="str">
        <f ca="1">IFERROR(IF(VLOOKUP(F1337,Kostentypen!$A$3:$E$21,3,0)=0,"",IF(OR(F1337="Arbeidskosten",F1337="Vergoeding"),VLOOKUP(G1337,Tb_KostenTypen[],2,0),VLOOKUP(F1337,Kostentypen!$A$3:$E$20,3,0))),"")</f>
        <v/>
      </c>
      <c r="O1337" s="320" t="str" cm="1">
        <f t="array" ref="O1337">_xlfn.IFNA(IF(INDEX(Tb_KostenOptiesDB[],MATCH($F1337,Tb_KostenOptiesDB[KostenOptie],0),IFERROR(MATCH(Methode_Keuze,Tb_KostenOptiesDB[#Headers],0),2))=1,_xlfn.SWITCH($N1337,"Uurtarief",IF(OR(AND(RIGHT($F1337,3)="IKS",VLOOKUP($M1337,DB_Loonkosten,2,0)="Ja"),AND(RIGHT($F1337,3)&lt;&gt;"IKS",VLOOKUP($M1337,DB_Loonkosten,2,0)="Nee")),IFERROR(VLOOKUP($M1337,DB_Loonkosten,24,0),""),0),"Vast tarief",IF(LEFT(F1337,8)="Bijdrage",VLOOKUP($F1337,Tb_KostenTypen[],MATCH(Lijsten!$P$1,Tb_KostenTypen[#Headers],0),0),VLOOKUP($G1337,Lijsten!L:P,MATCH(Lijsten!$P$1,Kop_Tarief_Vast,0),0))),""),"")</f>
        <v/>
      </c>
      <c r="P1337" s="320" t="str" cm="1">
        <f t="array" ref="P1337">_xlfn.IFNA(IF(INDEX(Tb_KostenOptiesDB[],MATCH($F1337,Tb_KostenOptiesDB[KostenOptie],0),IFERROR(MATCH(Methode_Keuze,Tb_KostenOptiesDB[#Headers],0),2))=1,_xlfn.SWITCH($N1337,"Uurtarief",IF(OR(AND(RIGHT($F1337,3)="IKS",VLOOKUP($M1337,DB_Loonkosten,2,0)="Ja"),AND(RIGHT($F1337,3)&lt;&gt;"IKS",VLOOKUP($M1337,DB_Loonkosten,2,0)="Nee")),IFERROR(VLOOKUP($M1337,DB_Loonkosten,25,0),""),0),"Vast tarief",IF(LEFT(F1337,8)="Bijdrage",VLOOKUP($F1337,Tb_KostenTypen[],MATCH(Lijsten!$P$1,Tb_KostenTypen[#Headers],0),0),VLOOKUP($G1337,Lijsten!L:P,MATCH(Lijsten!$P$1,Kop_Tarief_Vast,0),0))),""),"")</f>
        <v/>
      </c>
      <c r="Q1337" s="359"/>
      <c r="R1337" s="359"/>
      <c r="S1337" s="321"/>
      <c r="T1337" s="321"/>
      <c r="U1337" s="373" t="str">
        <f t="shared" si="80"/>
        <v/>
      </c>
      <c r="V1337" s="314" t="str">
        <f t="shared" si="81"/>
        <v/>
      </c>
      <c r="W1337" s="314" t="str" cm="1">
        <f t="array" aca="1" ref="W1337" ca="1">IFERROR(IF(AE1337&lt;&gt;"ja",_xlfn.IFNA(_xlfn.IFS(AND(O1337&lt;&gt;"",F1337&lt;&gt;"",RIGHT($N1337,6)="tarief",F1337="Vergoeding"),SUM(O1337)*FLOOR(SUM(Q1337),0.0001),AND(O1337&lt;&gt;"",F1337&lt;&gt;"",RIGHT($N1337,6)="tarief"),SUM(O1337)*FLOOR(SUM(Q1337),0.01),S1337&gt;0,IF(F1337&lt;&gt;"",FLOOR(SUM(S1337),0.01),"")),""),""),"")</f>
        <v/>
      </c>
      <c r="X1337" s="314" t="str" cm="1">
        <f t="array" aca="1" ref="X1337" ca="1">IFERROR(IF(AE1337&lt;&gt;"ja",_xlfn.IFNA(_xlfn.IFS(AND(P1337&lt;&gt;"",R1337&lt;&gt;"",RIGHT($N1337,6)="tarief",F1337="Vergoeding"),SUM(P1337)*FLOOR(SUM(R1337),0.0001),AND(P1337&lt;&gt;"",R1337&lt;&gt;"",RIGHT($N1337,6)="tarief"),P1337*FLOOR(R1337,0.01),T1337&gt;0,FLOOR(SUM(T1337),0.01)),""),""),"")</f>
        <v/>
      </c>
      <c r="Y1337" s="314" t="str">
        <f t="shared" ca="1" si="82"/>
        <v/>
      </c>
      <c r="Z1337" s="314" t="str" cm="1">
        <f t="array" aca="1" ref="Z1337" ca="1">IFERROR(_xlfn.IFS(OR(F1337="",LEFT(Methode_Keuze,4)="Geen",Methode_Keuze=""),"",AND(W1337&lt;&gt;"",F1337&lt;&gt;"Arbeidskosten"),W1337*VLOOKUP(F1337,Tb_ProjectKosten[],MATCH(Tb_ProjectKosten[[#Headers],[Forfait_Percentage]],Tb_ProjectKosten[#Headers],0),0),AND(F1337="Arbeidskosten",G1337&lt;&gt;""),IFERROR(W1337*VLOOKUP(G1337,Tb_KostenTypen[],3,0)*VLOOKUP(F1337,Tb_ProjectKosten[],MATCH(Tb_ProjectKosten[[#Headers],[Forfait_Percentage]],Tb_ProjectKosten[#Headers],0),0),""),W1337 &lt;=0,0),"")</f>
        <v/>
      </c>
      <c r="AA1337" s="314" t="str" cm="1">
        <f t="array" aca="1" ref="AA1337" ca="1">IFERROR(_xlfn.IFS(OR(F1337="",LEFT(Methode_Keuze,4)="Geen",Methode_Keuze=""),"",AND(X1337&lt;&gt;"",F1337&lt;&gt;"Arbeidskosten"),X1337*VLOOKUP(F1337,Tb_ProjectKosten[],MATCH(Tb_ProjectKosten[[#Headers],[Forfait_Percentage]],Tb_ProjectKosten[#Headers],0),0),AND(F1337="Arbeidskosten",G1337&lt;&gt;""),IFERROR(X1337*VLOOKUP(G1337,Tb_KostenTypen[],3,0)*VLOOKUP(F1337,Tb_ProjectKosten[],MATCH(Tb_ProjectKosten[[#Headers],[Forfait_Percentage]],Tb_ProjectKosten[#Headers],0),0),""),X1337 &lt;=0,0),"")</f>
        <v/>
      </c>
      <c r="AB1337" s="314" t="str">
        <f t="shared" ca="1" si="83"/>
        <v/>
      </c>
      <c r="AC1337" s="322"/>
      <c r="AD1337" s="315"/>
      <c r="AE1337" s="32" t="str" cm="1">
        <f t="array" ref="AE1337">IFERROR(IF(INDEX(SubsidieTabel!$AD$1:$AG$12,MATCH($F1337,SubsidieTabel!$AD$1:$AD$12,0),IFERROR(MATCH(Methode_Keuze,SubsidieTabel!$AD$1:$AG$1,0),2))&lt;&gt;1=TRUE,"ja",""),"")</f>
        <v/>
      </c>
    </row>
    <row r="1338" spans="1:31" x14ac:dyDescent="0.25">
      <c r="A1338" s="316"/>
      <c r="B1338" s="317" t="str">
        <f>IF(A1338&lt;&gt;"",_xlfn.MAXIFS($B$1:B1337,$A$1:A1337,A1338)+1,"")</f>
        <v/>
      </c>
      <c r="C1338" s="296"/>
      <c r="D1338" s="296"/>
      <c r="E1338" s="296"/>
      <c r="F1338" s="296"/>
      <c r="G1338" s="326"/>
      <c r="H1338" s="324"/>
      <c r="I1338" s="325"/>
      <c r="J1338" s="325"/>
      <c r="K1338" s="318"/>
      <c r="L1338" s="318"/>
      <c r="M1338" s="319" t="str">
        <f>IFERROR(VLOOKUP(H1338,Lijsten!$H$1:$I$100,2,0),"")</f>
        <v/>
      </c>
      <c r="N1338" s="319" t="str">
        <f ca="1">IFERROR(IF(VLOOKUP(F1338,Kostentypen!$A$3:$E$21,3,0)=0,"",IF(OR(F1338="Arbeidskosten",F1338="Vergoeding"),VLOOKUP(G1338,Tb_KostenTypen[],2,0),VLOOKUP(F1338,Kostentypen!$A$3:$E$20,3,0))),"")</f>
        <v/>
      </c>
      <c r="O1338" s="320" t="str" cm="1">
        <f t="array" ref="O1338">_xlfn.IFNA(IF(INDEX(Tb_KostenOptiesDB[],MATCH($F1338,Tb_KostenOptiesDB[KostenOptie],0),IFERROR(MATCH(Methode_Keuze,Tb_KostenOptiesDB[#Headers],0),2))=1,_xlfn.SWITCH($N1338,"Uurtarief",IF(OR(AND(RIGHT($F1338,3)="IKS",VLOOKUP($M1338,DB_Loonkosten,2,0)="Ja"),AND(RIGHT($F1338,3)&lt;&gt;"IKS",VLOOKUP($M1338,DB_Loonkosten,2,0)="Nee")),IFERROR(VLOOKUP($M1338,DB_Loonkosten,24,0),""),0),"Vast tarief",IF(LEFT(F1338,8)="Bijdrage",VLOOKUP($F1338,Tb_KostenTypen[],MATCH(Lijsten!$P$1,Tb_KostenTypen[#Headers],0),0),VLOOKUP($G1338,Lijsten!L:P,MATCH(Lijsten!$P$1,Kop_Tarief_Vast,0),0))),""),"")</f>
        <v/>
      </c>
      <c r="P1338" s="320" t="str" cm="1">
        <f t="array" ref="P1338">_xlfn.IFNA(IF(INDEX(Tb_KostenOptiesDB[],MATCH($F1338,Tb_KostenOptiesDB[KostenOptie],0),IFERROR(MATCH(Methode_Keuze,Tb_KostenOptiesDB[#Headers],0),2))=1,_xlfn.SWITCH($N1338,"Uurtarief",IF(OR(AND(RIGHT($F1338,3)="IKS",VLOOKUP($M1338,DB_Loonkosten,2,0)="Ja"),AND(RIGHT($F1338,3)&lt;&gt;"IKS",VLOOKUP($M1338,DB_Loonkosten,2,0)="Nee")),IFERROR(VLOOKUP($M1338,DB_Loonkosten,25,0),""),0),"Vast tarief",IF(LEFT(F1338,8)="Bijdrage",VLOOKUP($F1338,Tb_KostenTypen[],MATCH(Lijsten!$P$1,Tb_KostenTypen[#Headers],0),0),VLOOKUP($G1338,Lijsten!L:P,MATCH(Lijsten!$P$1,Kop_Tarief_Vast,0),0))),""),"")</f>
        <v/>
      </c>
      <c r="Q1338" s="359"/>
      <c r="R1338" s="359"/>
      <c r="S1338" s="321"/>
      <c r="T1338" s="321"/>
      <c r="U1338" s="373" t="str">
        <f t="shared" si="80"/>
        <v/>
      </c>
      <c r="V1338" s="314" t="str">
        <f t="shared" si="81"/>
        <v/>
      </c>
      <c r="W1338" s="314" t="str" cm="1">
        <f t="array" aca="1" ref="W1338" ca="1">IFERROR(IF(AE1338&lt;&gt;"ja",_xlfn.IFNA(_xlfn.IFS(AND(O1338&lt;&gt;"",F1338&lt;&gt;"",RIGHT($N1338,6)="tarief",F1338="Vergoeding"),SUM(O1338)*FLOOR(SUM(Q1338),0.0001),AND(O1338&lt;&gt;"",F1338&lt;&gt;"",RIGHT($N1338,6)="tarief"),SUM(O1338)*FLOOR(SUM(Q1338),0.01),S1338&gt;0,IF(F1338&lt;&gt;"",FLOOR(SUM(S1338),0.01),"")),""),""),"")</f>
        <v/>
      </c>
      <c r="X1338" s="314" t="str" cm="1">
        <f t="array" aca="1" ref="X1338" ca="1">IFERROR(IF(AE1338&lt;&gt;"ja",_xlfn.IFNA(_xlfn.IFS(AND(P1338&lt;&gt;"",R1338&lt;&gt;"",RIGHT($N1338,6)="tarief",F1338="Vergoeding"),SUM(P1338)*FLOOR(SUM(R1338),0.0001),AND(P1338&lt;&gt;"",R1338&lt;&gt;"",RIGHT($N1338,6)="tarief"),P1338*FLOOR(R1338,0.01),T1338&gt;0,FLOOR(SUM(T1338),0.01)),""),""),"")</f>
        <v/>
      </c>
      <c r="Y1338" s="314" t="str">
        <f t="shared" ca="1" si="82"/>
        <v/>
      </c>
      <c r="Z1338" s="314" t="str" cm="1">
        <f t="array" aca="1" ref="Z1338" ca="1">IFERROR(_xlfn.IFS(OR(F1338="",LEFT(Methode_Keuze,4)="Geen",Methode_Keuze=""),"",AND(W1338&lt;&gt;"",F1338&lt;&gt;"Arbeidskosten"),W1338*VLOOKUP(F1338,Tb_ProjectKosten[],MATCH(Tb_ProjectKosten[[#Headers],[Forfait_Percentage]],Tb_ProjectKosten[#Headers],0),0),AND(F1338="Arbeidskosten",G1338&lt;&gt;""),IFERROR(W1338*VLOOKUP(G1338,Tb_KostenTypen[],3,0)*VLOOKUP(F1338,Tb_ProjectKosten[],MATCH(Tb_ProjectKosten[[#Headers],[Forfait_Percentage]],Tb_ProjectKosten[#Headers],0),0),""),W1338 &lt;=0,0),"")</f>
        <v/>
      </c>
      <c r="AA1338" s="314" t="str" cm="1">
        <f t="array" aca="1" ref="AA1338" ca="1">IFERROR(_xlfn.IFS(OR(F1338="",LEFT(Methode_Keuze,4)="Geen",Methode_Keuze=""),"",AND(X1338&lt;&gt;"",F1338&lt;&gt;"Arbeidskosten"),X1338*VLOOKUP(F1338,Tb_ProjectKosten[],MATCH(Tb_ProjectKosten[[#Headers],[Forfait_Percentage]],Tb_ProjectKosten[#Headers],0),0),AND(F1338="Arbeidskosten",G1338&lt;&gt;""),IFERROR(X1338*VLOOKUP(G1338,Tb_KostenTypen[],3,0)*VLOOKUP(F1338,Tb_ProjectKosten[],MATCH(Tb_ProjectKosten[[#Headers],[Forfait_Percentage]],Tb_ProjectKosten[#Headers],0),0),""),X1338 &lt;=0,0),"")</f>
        <v/>
      </c>
      <c r="AB1338" s="314" t="str">
        <f t="shared" ca="1" si="83"/>
        <v/>
      </c>
      <c r="AC1338" s="322"/>
      <c r="AD1338" s="315"/>
      <c r="AE1338" s="32" t="str" cm="1">
        <f t="array" ref="AE1338">IFERROR(IF(INDEX(SubsidieTabel!$AD$1:$AG$12,MATCH($F1338,SubsidieTabel!$AD$1:$AD$12,0),IFERROR(MATCH(Methode_Keuze,SubsidieTabel!$AD$1:$AG$1,0),2))&lt;&gt;1=TRUE,"ja",""),"")</f>
        <v/>
      </c>
    </row>
    <row r="1339" spans="1:31" x14ac:dyDescent="0.25">
      <c r="A1339" s="316"/>
      <c r="B1339" s="317" t="str">
        <f>IF(A1339&lt;&gt;"",_xlfn.MAXIFS($B$1:B1338,$A$1:A1338,A1339)+1,"")</f>
        <v/>
      </c>
      <c r="C1339" s="296"/>
      <c r="D1339" s="296"/>
      <c r="E1339" s="296"/>
      <c r="F1339" s="296"/>
      <c r="G1339" s="326"/>
      <c r="H1339" s="324"/>
      <c r="I1339" s="325"/>
      <c r="J1339" s="325"/>
      <c r="K1339" s="318"/>
      <c r="L1339" s="318"/>
      <c r="M1339" s="319" t="str">
        <f>IFERROR(VLOOKUP(H1339,Lijsten!$H$1:$I$100,2,0),"")</f>
        <v/>
      </c>
      <c r="N1339" s="319" t="str">
        <f ca="1">IFERROR(IF(VLOOKUP(F1339,Kostentypen!$A$3:$E$21,3,0)=0,"",IF(OR(F1339="Arbeidskosten",F1339="Vergoeding"),VLOOKUP(G1339,Tb_KostenTypen[],2,0),VLOOKUP(F1339,Kostentypen!$A$3:$E$20,3,0))),"")</f>
        <v/>
      </c>
      <c r="O1339" s="320" t="str" cm="1">
        <f t="array" ref="O1339">_xlfn.IFNA(IF(INDEX(Tb_KostenOptiesDB[],MATCH($F1339,Tb_KostenOptiesDB[KostenOptie],0),IFERROR(MATCH(Methode_Keuze,Tb_KostenOptiesDB[#Headers],0),2))=1,_xlfn.SWITCH($N1339,"Uurtarief",IF(OR(AND(RIGHT($F1339,3)="IKS",VLOOKUP($M1339,DB_Loonkosten,2,0)="Ja"),AND(RIGHT($F1339,3)&lt;&gt;"IKS",VLOOKUP($M1339,DB_Loonkosten,2,0)="Nee")),IFERROR(VLOOKUP($M1339,DB_Loonkosten,24,0),""),0),"Vast tarief",IF(LEFT(F1339,8)="Bijdrage",VLOOKUP($F1339,Tb_KostenTypen[],MATCH(Lijsten!$P$1,Tb_KostenTypen[#Headers],0),0),VLOOKUP($G1339,Lijsten!L:P,MATCH(Lijsten!$P$1,Kop_Tarief_Vast,0),0))),""),"")</f>
        <v/>
      </c>
      <c r="P1339" s="320" t="str" cm="1">
        <f t="array" ref="P1339">_xlfn.IFNA(IF(INDEX(Tb_KostenOptiesDB[],MATCH($F1339,Tb_KostenOptiesDB[KostenOptie],0),IFERROR(MATCH(Methode_Keuze,Tb_KostenOptiesDB[#Headers],0),2))=1,_xlfn.SWITCH($N1339,"Uurtarief",IF(OR(AND(RIGHT($F1339,3)="IKS",VLOOKUP($M1339,DB_Loonkosten,2,0)="Ja"),AND(RIGHT($F1339,3)&lt;&gt;"IKS",VLOOKUP($M1339,DB_Loonkosten,2,0)="Nee")),IFERROR(VLOOKUP($M1339,DB_Loonkosten,25,0),""),0),"Vast tarief",IF(LEFT(F1339,8)="Bijdrage",VLOOKUP($F1339,Tb_KostenTypen[],MATCH(Lijsten!$P$1,Tb_KostenTypen[#Headers],0),0),VLOOKUP($G1339,Lijsten!L:P,MATCH(Lijsten!$P$1,Kop_Tarief_Vast,0),0))),""),"")</f>
        <v/>
      </c>
      <c r="Q1339" s="359"/>
      <c r="R1339" s="359"/>
      <c r="S1339" s="321"/>
      <c r="T1339" s="321"/>
      <c r="U1339" s="373" t="str">
        <f t="shared" si="80"/>
        <v/>
      </c>
      <c r="V1339" s="314" t="str">
        <f t="shared" si="81"/>
        <v/>
      </c>
      <c r="W1339" s="314" t="str" cm="1">
        <f t="array" aca="1" ref="W1339" ca="1">IFERROR(IF(AE1339&lt;&gt;"ja",_xlfn.IFNA(_xlfn.IFS(AND(O1339&lt;&gt;"",F1339&lt;&gt;"",RIGHT($N1339,6)="tarief",F1339="Vergoeding"),SUM(O1339)*FLOOR(SUM(Q1339),0.0001),AND(O1339&lt;&gt;"",F1339&lt;&gt;"",RIGHT($N1339,6)="tarief"),SUM(O1339)*FLOOR(SUM(Q1339),0.01),S1339&gt;0,IF(F1339&lt;&gt;"",FLOOR(SUM(S1339),0.01),"")),""),""),"")</f>
        <v/>
      </c>
      <c r="X1339" s="314" t="str" cm="1">
        <f t="array" aca="1" ref="X1339" ca="1">IFERROR(IF(AE1339&lt;&gt;"ja",_xlfn.IFNA(_xlfn.IFS(AND(P1339&lt;&gt;"",R1339&lt;&gt;"",RIGHT($N1339,6)="tarief",F1339="Vergoeding"),SUM(P1339)*FLOOR(SUM(R1339),0.0001),AND(P1339&lt;&gt;"",R1339&lt;&gt;"",RIGHT($N1339,6)="tarief"),P1339*FLOOR(R1339,0.01),T1339&gt;0,FLOOR(SUM(T1339),0.01)),""),""),"")</f>
        <v/>
      </c>
      <c r="Y1339" s="314" t="str">
        <f t="shared" ca="1" si="82"/>
        <v/>
      </c>
      <c r="Z1339" s="314" t="str" cm="1">
        <f t="array" aca="1" ref="Z1339" ca="1">IFERROR(_xlfn.IFS(OR(F1339="",LEFT(Methode_Keuze,4)="Geen",Methode_Keuze=""),"",AND(W1339&lt;&gt;"",F1339&lt;&gt;"Arbeidskosten"),W1339*VLOOKUP(F1339,Tb_ProjectKosten[],MATCH(Tb_ProjectKosten[[#Headers],[Forfait_Percentage]],Tb_ProjectKosten[#Headers],0),0),AND(F1339="Arbeidskosten",G1339&lt;&gt;""),IFERROR(W1339*VLOOKUP(G1339,Tb_KostenTypen[],3,0)*VLOOKUP(F1339,Tb_ProjectKosten[],MATCH(Tb_ProjectKosten[[#Headers],[Forfait_Percentage]],Tb_ProjectKosten[#Headers],0),0),""),W1339 &lt;=0,0),"")</f>
        <v/>
      </c>
      <c r="AA1339" s="314" t="str" cm="1">
        <f t="array" aca="1" ref="AA1339" ca="1">IFERROR(_xlfn.IFS(OR(F1339="",LEFT(Methode_Keuze,4)="Geen",Methode_Keuze=""),"",AND(X1339&lt;&gt;"",F1339&lt;&gt;"Arbeidskosten"),X1339*VLOOKUP(F1339,Tb_ProjectKosten[],MATCH(Tb_ProjectKosten[[#Headers],[Forfait_Percentage]],Tb_ProjectKosten[#Headers],0),0),AND(F1339="Arbeidskosten",G1339&lt;&gt;""),IFERROR(X1339*VLOOKUP(G1339,Tb_KostenTypen[],3,0)*VLOOKUP(F1339,Tb_ProjectKosten[],MATCH(Tb_ProjectKosten[[#Headers],[Forfait_Percentage]],Tb_ProjectKosten[#Headers],0),0),""),X1339 &lt;=0,0),"")</f>
        <v/>
      </c>
      <c r="AB1339" s="314" t="str">
        <f t="shared" ca="1" si="83"/>
        <v/>
      </c>
      <c r="AC1339" s="322"/>
      <c r="AD1339" s="315"/>
      <c r="AE1339" s="32" t="str" cm="1">
        <f t="array" ref="AE1339">IFERROR(IF(INDEX(SubsidieTabel!$AD$1:$AG$12,MATCH($F1339,SubsidieTabel!$AD$1:$AD$12,0),IFERROR(MATCH(Methode_Keuze,SubsidieTabel!$AD$1:$AG$1,0),2))&lt;&gt;1=TRUE,"ja",""),"")</f>
        <v/>
      </c>
    </row>
    <row r="1340" spans="1:31" x14ac:dyDescent="0.25">
      <c r="A1340" s="316"/>
      <c r="B1340" s="317" t="str">
        <f>IF(A1340&lt;&gt;"",_xlfn.MAXIFS($B$1:B1339,$A$1:A1339,A1340)+1,"")</f>
        <v/>
      </c>
      <c r="C1340" s="296"/>
      <c r="D1340" s="296"/>
      <c r="E1340" s="296"/>
      <c r="F1340" s="296"/>
      <c r="G1340" s="326"/>
      <c r="H1340" s="324"/>
      <c r="I1340" s="325"/>
      <c r="J1340" s="325"/>
      <c r="K1340" s="318"/>
      <c r="L1340" s="318"/>
      <c r="M1340" s="319" t="str">
        <f>IFERROR(VLOOKUP(H1340,Lijsten!$H$1:$I$100,2,0),"")</f>
        <v/>
      </c>
      <c r="N1340" s="319" t="str">
        <f ca="1">IFERROR(IF(VLOOKUP(F1340,Kostentypen!$A$3:$E$21,3,0)=0,"",IF(OR(F1340="Arbeidskosten",F1340="Vergoeding"),VLOOKUP(G1340,Tb_KostenTypen[],2,0),VLOOKUP(F1340,Kostentypen!$A$3:$E$20,3,0))),"")</f>
        <v/>
      </c>
      <c r="O1340" s="320" t="str" cm="1">
        <f t="array" ref="O1340">_xlfn.IFNA(IF(INDEX(Tb_KostenOptiesDB[],MATCH($F1340,Tb_KostenOptiesDB[KostenOptie],0),IFERROR(MATCH(Methode_Keuze,Tb_KostenOptiesDB[#Headers],0),2))=1,_xlfn.SWITCH($N1340,"Uurtarief",IF(OR(AND(RIGHT($F1340,3)="IKS",VLOOKUP($M1340,DB_Loonkosten,2,0)="Ja"),AND(RIGHT($F1340,3)&lt;&gt;"IKS",VLOOKUP($M1340,DB_Loonkosten,2,0)="Nee")),IFERROR(VLOOKUP($M1340,DB_Loonkosten,24,0),""),0),"Vast tarief",IF(LEFT(F1340,8)="Bijdrage",VLOOKUP($F1340,Tb_KostenTypen[],MATCH(Lijsten!$P$1,Tb_KostenTypen[#Headers],0),0),VLOOKUP($G1340,Lijsten!L:P,MATCH(Lijsten!$P$1,Kop_Tarief_Vast,0),0))),""),"")</f>
        <v/>
      </c>
      <c r="P1340" s="320" t="str" cm="1">
        <f t="array" ref="P1340">_xlfn.IFNA(IF(INDEX(Tb_KostenOptiesDB[],MATCH($F1340,Tb_KostenOptiesDB[KostenOptie],0),IFERROR(MATCH(Methode_Keuze,Tb_KostenOptiesDB[#Headers],0),2))=1,_xlfn.SWITCH($N1340,"Uurtarief",IF(OR(AND(RIGHT($F1340,3)="IKS",VLOOKUP($M1340,DB_Loonkosten,2,0)="Ja"),AND(RIGHT($F1340,3)&lt;&gt;"IKS",VLOOKUP($M1340,DB_Loonkosten,2,0)="Nee")),IFERROR(VLOOKUP($M1340,DB_Loonkosten,25,0),""),0),"Vast tarief",IF(LEFT(F1340,8)="Bijdrage",VLOOKUP($F1340,Tb_KostenTypen[],MATCH(Lijsten!$P$1,Tb_KostenTypen[#Headers],0),0),VLOOKUP($G1340,Lijsten!L:P,MATCH(Lijsten!$P$1,Kop_Tarief_Vast,0),0))),""),"")</f>
        <v/>
      </c>
      <c r="Q1340" s="359"/>
      <c r="R1340" s="359"/>
      <c r="S1340" s="321"/>
      <c r="T1340" s="321"/>
      <c r="U1340" s="373" t="str">
        <f t="shared" si="80"/>
        <v/>
      </c>
      <c r="V1340" s="314" t="str">
        <f t="shared" si="81"/>
        <v/>
      </c>
      <c r="W1340" s="314" t="str" cm="1">
        <f t="array" aca="1" ref="W1340" ca="1">IFERROR(IF(AE1340&lt;&gt;"ja",_xlfn.IFNA(_xlfn.IFS(AND(O1340&lt;&gt;"",F1340&lt;&gt;"",RIGHT($N1340,6)="tarief",F1340="Vergoeding"),SUM(O1340)*FLOOR(SUM(Q1340),0.0001),AND(O1340&lt;&gt;"",F1340&lt;&gt;"",RIGHT($N1340,6)="tarief"),SUM(O1340)*FLOOR(SUM(Q1340),0.01),S1340&gt;0,IF(F1340&lt;&gt;"",FLOOR(SUM(S1340),0.01),"")),""),""),"")</f>
        <v/>
      </c>
      <c r="X1340" s="314" t="str" cm="1">
        <f t="array" aca="1" ref="X1340" ca="1">IFERROR(IF(AE1340&lt;&gt;"ja",_xlfn.IFNA(_xlfn.IFS(AND(P1340&lt;&gt;"",R1340&lt;&gt;"",RIGHT($N1340,6)="tarief",F1340="Vergoeding"),SUM(P1340)*FLOOR(SUM(R1340),0.0001),AND(P1340&lt;&gt;"",R1340&lt;&gt;"",RIGHT($N1340,6)="tarief"),P1340*FLOOR(R1340,0.01),T1340&gt;0,FLOOR(SUM(T1340),0.01)),""),""),"")</f>
        <v/>
      </c>
      <c r="Y1340" s="314" t="str">
        <f t="shared" ca="1" si="82"/>
        <v/>
      </c>
      <c r="Z1340" s="314" t="str" cm="1">
        <f t="array" aca="1" ref="Z1340" ca="1">IFERROR(_xlfn.IFS(OR(F1340="",LEFT(Methode_Keuze,4)="Geen",Methode_Keuze=""),"",AND(W1340&lt;&gt;"",F1340&lt;&gt;"Arbeidskosten"),W1340*VLOOKUP(F1340,Tb_ProjectKosten[],MATCH(Tb_ProjectKosten[[#Headers],[Forfait_Percentage]],Tb_ProjectKosten[#Headers],0),0),AND(F1340="Arbeidskosten",G1340&lt;&gt;""),IFERROR(W1340*VLOOKUP(G1340,Tb_KostenTypen[],3,0)*VLOOKUP(F1340,Tb_ProjectKosten[],MATCH(Tb_ProjectKosten[[#Headers],[Forfait_Percentage]],Tb_ProjectKosten[#Headers],0),0),""),W1340 &lt;=0,0),"")</f>
        <v/>
      </c>
      <c r="AA1340" s="314" t="str" cm="1">
        <f t="array" aca="1" ref="AA1340" ca="1">IFERROR(_xlfn.IFS(OR(F1340="",LEFT(Methode_Keuze,4)="Geen",Methode_Keuze=""),"",AND(X1340&lt;&gt;"",F1340&lt;&gt;"Arbeidskosten"),X1340*VLOOKUP(F1340,Tb_ProjectKosten[],MATCH(Tb_ProjectKosten[[#Headers],[Forfait_Percentage]],Tb_ProjectKosten[#Headers],0),0),AND(F1340="Arbeidskosten",G1340&lt;&gt;""),IFERROR(X1340*VLOOKUP(G1340,Tb_KostenTypen[],3,0)*VLOOKUP(F1340,Tb_ProjectKosten[],MATCH(Tb_ProjectKosten[[#Headers],[Forfait_Percentage]],Tb_ProjectKosten[#Headers],0),0),""),X1340 &lt;=0,0),"")</f>
        <v/>
      </c>
      <c r="AB1340" s="314" t="str">
        <f t="shared" ca="1" si="83"/>
        <v/>
      </c>
      <c r="AC1340" s="322"/>
      <c r="AD1340" s="315"/>
      <c r="AE1340" s="32" t="str" cm="1">
        <f t="array" ref="AE1340">IFERROR(IF(INDEX(SubsidieTabel!$AD$1:$AG$12,MATCH($F1340,SubsidieTabel!$AD$1:$AD$12,0),IFERROR(MATCH(Methode_Keuze,SubsidieTabel!$AD$1:$AG$1,0),2))&lt;&gt;1=TRUE,"ja",""),"")</f>
        <v/>
      </c>
    </row>
    <row r="1341" spans="1:31" x14ac:dyDescent="0.25">
      <c r="A1341" s="316"/>
      <c r="B1341" s="317" t="str">
        <f>IF(A1341&lt;&gt;"",_xlfn.MAXIFS($B$1:B1340,$A$1:A1340,A1341)+1,"")</f>
        <v/>
      </c>
      <c r="C1341" s="296"/>
      <c r="D1341" s="296"/>
      <c r="E1341" s="296"/>
      <c r="F1341" s="296"/>
      <c r="G1341" s="326"/>
      <c r="H1341" s="324"/>
      <c r="I1341" s="325"/>
      <c r="J1341" s="325"/>
      <c r="K1341" s="318"/>
      <c r="L1341" s="318"/>
      <c r="M1341" s="319" t="str">
        <f>IFERROR(VLOOKUP(H1341,Lijsten!$H$1:$I$100,2,0),"")</f>
        <v/>
      </c>
      <c r="N1341" s="319" t="str">
        <f ca="1">IFERROR(IF(VLOOKUP(F1341,Kostentypen!$A$3:$E$21,3,0)=0,"",IF(OR(F1341="Arbeidskosten",F1341="Vergoeding"),VLOOKUP(G1341,Tb_KostenTypen[],2,0),VLOOKUP(F1341,Kostentypen!$A$3:$E$20,3,0))),"")</f>
        <v/>
      </c>
      <c r="O1341" s="320" t="str" cm="1">
        <f t="array" ref="O1341">_xlfn.IFNA(IF(INDEX(Tb_KostenOptiesDB[],MATCH($F1341,Tb_KostenOptiesDB[KostenOptie],0),IFERROR(MATCH(Methode_Keuze,Tb_KostenOptiesDB[#Headers],0),2))=1,_xlfn.SWITCH($N1341,"Uurtarief",IF(OR(AND(RIGHT($F1341,3)="IKS",VLOOKUP($M1341,DB_Loonkosten,2,0)="Ja"),AND(RIGHT($F1341,3)&lt;&gt;"IKS",VLOOKUP($M1341,DB_Loonkosten,2,0)="Nee")),IFERROR(VLOOKUP($M1341,DB_Loonkosten,24,0),""),0),"Vast tarief",IF(LEFT(F1341,8)="Bijdrage",VLOOKUP($F1341,Tb_KostenTypen[],MATCH(Lijsten!$P$1,Tb_KostenTypen[#Headers],0),0),VLOOKUP($G1341,Lijsten!L:P,MATCH(Lijsten!$P$1,Kop_Tarief_Vast,0),0))),""),"")</f>
        <v/>
      </c>
      <c r="P1341" s="320" t="str" cm="1">
        <f t="array" ref="P1341">_xlfn.IFNA(IF(INDEX(Tb_KostenOptiesDB[],MATCH($F1341,Tb_KostenOptiesDB[KostenOptie],0),IFERROR(MATCH(Methode_Keuze,Tb_KostenOptiesDB[#Headers],0),2))=1,_xlfn.SWITCH($N1341,"Uurtarief",IF(OR(AND(RIGHT($F1341,3)="IKS",VLOOKUP($M1341,DB_Loonkosten,2,0)="Ja"),AND(RIGHT($F1341,3)&lt;&gt;"IKS",VLOOKUP($M1341,DB_Loonkosten,2,0)="Nee")),IFERROR(VLOOKUP($M1341,DB_Loonkosten,25,0),""),0),"Vast tarief",IF(LEFT(F1341,8)="Bijdrage",VLOOKUP($F1341,Tb_KostenTypen[],MATCH(Lijsten!$P$1,Tb_KostenTypen[#Headers],0),0),VLOOKUP($G1341,Lijsten!L:P,MATCH(Lijsten!$P$1,Kop_Tarief_Vast,0),0))),""),"")</f>
        <v/>
      </c>
      <c r="Q1341" s="359"/>
      <c r="R1341" s="359"/>
      <c r="S1341" s="321"/>
      <c r="T1341" s="321"/>
      <c r="U1341" s="373" t="str">
        <f t="shared" si="80"/>
        <v/>
      </c>
      <c r="V1341" s="314" t="str">
        <f t="shared" si="81"/>
        <v/>
      </c>
      <c r="W1341" s="314" t="str" cm="1">
        <f t="array" aca="1" ref="W1341" ca="1">IFERROR(IF(AE1341&lt;&gt;"ja",_xlfn.IFNA(_xlfn.IFS(AND(O1341&lt;&gt;"",F1341&lt;&gt;"",RIGHT($N1341,6)="tarief",F1341="Vergoeding"),SUM(O1341)*FLOOR(SUM(Q1341),0.0001),AND(O1341&lt;&gt;"",F1341&lt;&gt;"",RIGHT($N1341,6)="tarief"),SUM(O1341)*FLOOR(SUM(Q1341),0.01),S1341&gt;0,IF(F1341&lt;&gt;"",FLOOR(SUM(S1341),0.01),"")),""),""),"")</f>
        <v/>
      </c>
      <c r="X1341" s="314" t="str" cm="1">
        <f t="array" aca="1" ref="X1341" ca="1">IFERROR(IF(AE1341&lt;&gt;"ja",_xlfn.IFNA(_xlfn.IFS(AND(P1341&lt;&gt;"",R1341&lt;&gt;"",RIGHT($N1341,6)="tarief",F1341="Vergoeding"),SUM(P1341)*FLOOR(SUM(R1341),0.0001),AND(P1341&lt;&gt;"",R1341&lt;&gt;"",RIGHT($N1341,6)="tarief"),P1341*FLOOR(R1341,0.01),T1341&gt;0,FLOOR(SUM(T1341),0.01)),""),""),"")</f>
        <v/>
      </c>
      <c r="Y1341" s="314" t="str">
        <f t="shared" ca="1" si="82"/>
        <v/>
      </c>
      <c r="Z1341" s="314" t="str" cm="1">
        <f t="array" aca="1" ref="Z1341" ca="1">IFERROR(_xlfn.IFS(OR(F1341="",LEFT(Methode_Keuze,4)="Geen",Methode_Keuze=""),"",AND(W1341&lt;&gt;"",F1341&lt;&gt;"Arbeidskosten"),W1341*VLOOKUP(F1341,Tb_ProjectKosten[],MATCH(Tb_ProjectKosten[[#Headers],[Forfait_Percentage]],Tb_ProjectKosten[#Headers],0),0),AND(F1341="Arbeidskosten",G1341&lt;&gt;""),IFERROR(W1341*VLOOKUP(G1341,Tb_KostenTypen[],3,0)*VLOOKUP(F1341,Tb_ProjectKosten[],MATCH(Tb_ProjectKosten[[#Headers],[Forfait_Percentage]],Tb_ProjectKosten[#Headers],0),0),""),W1341 &lt;=0,0),"")</f>
        <v/>
      </c>
      <c r="AA1341" s="314" t="str" cm="1">
        <f t="array" aca="1" ref="AA1341" ca="1">IFERROR(_xlfn.IFS(OR(F1341="",LEFT(Methode_Keuze,4)="Geen",Methode_Keuze=""),"",AND(X1341&lt;&gt;"",F1341&lt;&gt;"Arbeidskosten"),X1341*VLOOKUP(F1341,Tb_ProjectKosten[],MATCH(Tb_ProjectKosten[[#Headers],[Forfait_Percentage]],Tb_ProjectKosten[#Headers],0),0),AND(F1341="Arbeidskosten",G1341&lt;&gt;""),IFERROR(X1341*VLOOKUP(G1341,Tb_KostenTypen[],3,0)*VLOOKUP(F1341,Tb_ProjectKosten[],MATCH(Tb_ProjectKosten[[#Headers],[Forfait_Percentage]],Tb_ProjectKosten[#Headers],0),0),""),X1341 &lt;=0,0),"")</f>
        <v/>
      </c>
      <c r="AB1341" s="314" t="str">
        <f t="shared" ca="1" si="83"/>
        <v/>
      </c>
      <c r="AC1341" s="322"/>
      <c r="AD1341" s="315"/>
      <c r="AE1341" s="32" t="str" cm="1">
        <f t="array" ref="AE1341">IFERROR(IF(INDEX(SubsidieTabel!$AD$1:$AG$12,MATCH($F1341,SubsidieTabel!$AD$1:$AD$12,0),IFERROR(MATCH(Methode_Keuze,SubsidieTabel!$AD$1:$AG$1,0),2))&lt;&gt;1=TRUE,"ja",""),"")</f>
        <v/>
      </c>
    </row>
    <row r="1342" spans="1:31" x14ac:dyDescent="0.25">
      <c r="A1342" s="316"/>
      <c r="B1342" s="317" t="str">
        <f>IF(A1342&lt;&gt;"",_xlfn.MAXIFS($B$1:B1341,$A$1:A1341,A1342)+1,"")</f>
        <v/>
      </c>
      <c r="C1342" s="296"/>
      <c r="D1342" s="296"/>
      <c r="E1342" s="296"/>
      <c r="F1342" s="296"/>
      <c r="G1342" s="326"/>
      <c r="H1342" s="324"/>
      <c r="I1342" s="325"/>
      <c r="J1342" s="325"/>
      <c r="K1342" s="318"/>
      <c r="L1342" s="318"/>
      <c r="M1342" s="319" t="str">
        <f>IFERROR(VLOOKUP(H1342,Lijsten!$H$1:$I$100,2,0),"")</f>
        <v/>
      </c>
      <c r="N1342" s="319" t="str">
        <f ca="1">IFERROR(IF(VLOOKUP(F1342,Kostentypen!$A$3:$E$21,3,0)=0,"",IF(OR(F1342="Arbeidskosten",F1342="Vergoeding"),VLOOKUP(G1342,Tb_KostenTypen[],2,0),VLOOKUP(F1342,Kostentypen!$A$3:$E$20,3,0))),"")</f>
        <v/>
      </c>
      <c r="O1342" s="320" t="str" cm="1">
        <f t="array" ref="O1342">_xlfn.IFNA(IF(INDEX(Tb_KostenOptiesDB[],MATCH($F1342,Tb_KostenOptiesDB[KostenOptie],0),IFERROR(MATCH(Methode_Keuze,Tb_KostenOptiesDB[#Headers],0),2))=1,_xlfn.SWITCH($N1342,"Uurtarief",IF(OR(AND(RIGHT($F1342,3)="IKS",VLOOKUP($M1342,DB_Loonkosten,2,0)="Ja"),AND(RIGHT($F1342,3)&lt;&gt;"IKS",VLOOKUP($M1342,DB_Loonkosten,2,0)="Nee")),IFERROR(VLOOKUP($M1342,DB_Loonkosten,24,0),""),0),"Vast tarief",IF(LEFT(F1342,8)="Bijdrage",VLOOKUP($F1342,Tb_KostenTypen[],MATCH(Lijsten!$P$1,Tb_KostenTypen[#Headers],0),0),VLOOKUP($G1342,Lijsten!L:P,MATCH(Lijsten!$P$1,Kop_Tarief_Vast,0),0))),""),"")</f>
        <v/>
      </c>
      <c r="P1342" s="320" t="str" cm="1">
        <f t="array" ref="P1342">_xlfn.IFNA(IF(INDEX(Tb_KostenOptiesDB[],MATCH($F1342,Tb_KostenOptiesDB[KostenOptie],0),IFERROR(MATCH(Methode_Keuze,Tb_KostenOptiesDB[#Headers],0),2))=1,_xlfn.SWITCH($N1342,"Uurtarief",IF(OR(AND(RIGHT($F1342,3)="IKS",VLOOKUP($M1342,DB_Loonkosten,2,0)="Ja"),AND(RIGHT($F1342,3)&lt;&gt;"IKS",VLOOKUP($M1342,DB_Loonkosten,2,0)="Nee")),IFERROR(VLOOKUP($M1342,DB_Loonkosten,25,0),""),0),"Vast tarief",IF(LEFT(F1342,8)="Bijdrage",VLOOKUP($F1342,Tb_KostenTypen[],MATCH(Lijsten!$P$1,Tb_KostenTypen[#Headers],0),0),VLOOKUP($G1342,Lijsten!L:P,MATCH(Lijsten!$P$1,Kop_Tarief_Vast,0),0))),""),"")</f>
        <v/>
      </c>
      <c r="Q1342" s="359"/>
      <c r="R1342" s="359"/>
      <c r="S1342" s="321"/>
      <c r="T1342" s="321"/>
      <c r="U1342" s="373" t="str">
        <f t="shared" si="80"/>
        <v/>
      </c>
      <c r="V1342" s="314" t="str">
        <f t="shared" si="81"/>
        <v/>
      </c>
      <c r="W1342" s="314" t="str" cm="1">
        <f t="array" aca="1" ref="W1342" ca="1">IFERROR(IF(AE1342&lt;&gt;"ja",_xlfn.IFNA(_xlfn.IFS(AND(O1342&lt;&gt;"",F1342&lt;&gt;"",RIGHT($N1342,6)="tarief",F1342="Vergoeding"),SUM(O1342)*FLOOR(SUM(Q1342),0.0001),AND(O1342&lt;&gt;"",F1342&lt;&gt;"",RIGHT($N1342,6)="tarief"),SUM(O1342)*FLOOR(SUM(Q1342),0.01),S1342&gt;0,IF(F1342&lt;&gt;"",FLOOR(SUM(S1342),0.01),"")),""),""),"")</f>
        <v/>
      </c>
      <c r="X1342" s="314" t="str" cm="1">
        <f t="array" aca="1" ref="X1342" ca="1">IFERROR(IF(AE1342&lt;&gt;"ja",_xlfn.IFNA(_xlfn.IFS(AND(P1342&lt;&gt;"",R1342&lt;&gt;"",RIGHT($N1342,6)="tarief",F1342="Vergoeding"),SUM(P1342)*FLOOR(SUM(R1342),0.0001),AND(P1342&lt;&gt;"",R1342&lt;&gt;"",RIGHT($N1342,6)="tarief"),P1342*FLOOR(R1342,0.01),T1342&gt;0,FLOOR(SUM(T1342),0.01)),""),""),"")</f>
        <v/>
      </c>
      <c r="Y1342" s="314" t="str">
        <f t="shared" ca="1" si="82"/>
        <v/>
      </c>
      <c r="Z1342" s="314" t="str" cm="1">
        <f t="array" aca="1" ref="Z1342" ca="1">IFERROR(_xlfn.IFS(OR(F1342="",LEFT(Methode_Keuze,4)="Geen",Methode_Keuze=""),"",AND(W1342&lt;&gt;"",F1342&lt;&gt;"Arbeidskosten"),W1342*VLOOKUP(F1342,Tb_ProjectKosten[],MATCH(Tb_ProjectKosten[[#Headers],[Forfait_Percentage]],Tb_ProjectKosten[#Headers],0),0),AND(F1342="Arbeidskosten",G1342&lt;&gt;""),IFERROR(W1342*VLOOKUP(G1342,Tb_KostenTypen[],3,0)*VLOOKUP(F1342,Tb_ProjectKosten[],MATCH(Tb_ProjectKosten[[#Headers],[Forfait_Percentage]],Tb_ProjectKosten[#Headers],0),0),""),W1342 &lt;=0,0),"")</f>
        <v/>
      </c>
      <c r="AA1342" s="314" t="str" cm="1">
        <f t="array" aca="1" ref="AA1342" ca="1">IFERROR(_xlfn.IFS(OR(F1342="",LEFT(Methode_Keuze,4)="Geen",Methode_Keuze=""),"",AND(X1342&lt;&gt;"",F1342&lt;&gt;"Arbeidskosten"),X1342*VLOOKUP(F1342,Tb_ProjectKosten[],MATCH(Tb_ProjectKosten[[#Headers],[Forfait_Percentage]],Tb_ProjectKosten[#Headers],0),0),AND(F1342="Arbeidskosten",G1342&lt;&gt;""),IFERROR(X1342*VLOOKUP(G1342,Tb_KostenTypen[],3,0)*VLOOKUP(F1342,Tb_ProjectKosten[],MATCH(Tb_ProjectKosten[[#Headers],[Forfait_Percentage]],Tb_ProjectKosten[#Headers],0),0),""),X1342 &lt;=0,0),"")</f>
        <v/>
      </c>
      <c r="AB1342" s="314" t="str">
        <f t="shared" ca="1" si="83"/>
        <v/>
      </c>
      <c r="AC1342" s="322"/>
      <c r="AD1342" s="315"/>
      <c r="AE1342" s="32" t="str" cm="1">
        <f t="array" ref="AE1342">IFERROR(IF(INDEX(SubsidieTabel!$AD$1:$AG$12,MATCH($F1342,SubsidieTabel!$AD$1:$AD$12,0),IFERROR(MATCH(Methode_Keuze,SubsidieTabel!$AD$1:$AG$1,0),2))&lt;&gt;1=TRUE,"ja",""),"")</f>
        <v/>
      </c>
    </row>
    <row r="1343" spans="1:31" x14ac:dyDescent="0.25">
      <c r="A1343" s="316"/>
      <c r="B1343" s="317" t="str">
        <f>IF(A1343&lt;&gt;"",_xlfn.MAXIFS($B$1:B1342,$A$1:A1342,A1343)+1,"")</f>
        <v/>
      </c>
      <c r="C1343" s="296"/>
      <c r="D1343" s="296"/>
      <c r="E1343" s="296"/>
      <c r="F1343" s="296"/>
      <c r="G1343" s="326"/>
      <c r="H1343" s="324"/>
      <c r="I1343" s="325"/>
      <c r="J1343" s="325"/>
      <c r="K1343" s="318"/>
      <c r="L1343" s="318"/>
      <c r="M1343" s="319" t="str">
        <f>IFERROR(VLOOKUP(H1343,Lijsten!$H$1:$I$100,2,0),"")</f>
        <v/>
      </c>
      <c r="N1343" s="319" t="str">
        <f ca="1">IFERROR(IF(VLOOKUP(F1343,Kostentypen!$A$3:$E$21,3,0)=0,"",IF(OR(F1343="Arbeidskosten",F1343="Vergoeding"),VLOOKUP(G1343,Tb_KostenTypen[],2,0),VLOOKUP(F1343,Kostentypen!$A$3:$E$20,3,0))),"")</f>
        <v/>
      </c>
      <c r="O1343" s="320" t="str" cm="1">
        <f t="array" ref="O1343">_xlfn.IFNA(IF(INDEX(Tb_KostenOptiesDB[],MATCH($F1343,Tb_KostenOptiesDB[KostenOptie],0),IFERROR(MATCH(Methode_Keuze,Tb_KostenOptiesDB[#Headers],0),2))=1,_xlfn.SWITCH($N1343,"Uurtarief",IF(OR(AND(RIGHT($F1343,3)="IKS",VLOOKUP($M1343,DB_Loonkosten,2,0)="Ja"),AND(RIGHT($F1343,3)&lt;&gt;"IKS",VLOOKUP($M1343,DB_Loonkosten,2,0)="Nee")),IFERROR(VLOOKUP($M1343,DB_Loonkosten,24,0),""),0),"Vast tarief",IF(LEFT(F1343,8)="Bijdrage",VLOOKUP($F1343,Tb_KostenTypen[],MATCH(Lijsten!$P$1,Tb_KostenTypen[#Headers],0),0),VLOOKUP($G1343,Lijsten!L:P,MATCH(Lijsten!$P$1,Kop_Tarief_Vast,0),0))),""),"")</f>
        <v/>
      </c>
      <c r="P1343" s="320" t="str" cm="1">
        <f t="array" ref="P1343">_xlfn.IFNA(IF(INDEX(Tb_KostenOptiesDB[],MATCH($F1343,Tb_KostenOptiesDB[KostenOptie],0),IFERROR(MATCH(Methode_Keuze,Tb_KostenOptiesDB[#Headers],0),2))=1,_xlfn.SWITCH($N1343,"Uurtarief",IF(OR(AND(RIGHT($F1343,3)="IKS",VLOOKUP($M1343,DB_Loonkosten,2,0)="Ja"),AND(RIGHT($F1343,3)&lt;&gt;"IKS",VLOOKUP($M1343,DB_Loonkosten,2,0)="Nee")),IFERROR(VLOOKUP($M1343,DB_Loonkosten,25,0),""),0),"Vast tarief",IF(LEFT(F1343,8)="Bijdrage",VLOOKUP($F1343,Tb_KostenTypen[],MATCH(Lijsten!$P$1,Tb_KostenTypen[#Headers],0),0),VLOOKUP($G1343,Lijsten!L:P,MATCH(Lijsten!$P$1,Kop_Tarief_Vast,0),0))),""),"")</f>
        <v/>
      </c>
      <c r="Q1343" s="359"/>
      <c r="R1343" s="359"/>
      <c r="S1343" s="321"/>
      <c r="T1343" s="321"/>
      <c r="U1343" s="373" t="str">
        <f t="shared" si="80"/>
        <v/>
      </c>
      <c r="V1343" s="314" t="str">
        <f t="shared" si="81"/>
        <v/>
      </c>
      <c r="W1343" s="314" t="str" cm="1">
        <f t="array" aca="1" ref="W1343" ca="1">IFERROR(IF(AE1343&lt;&gt;"ja",_xlfn.IFNA(_xlfn.IFS(AND(O1343&lt;&gt;"",F1343&lt;&gt;"",RIGHT($N1343,6)="tarief",F1343="Vergoeding"),SUM(O1343)*FLOOR(SUM(Q1343),0.0001),AND(O1343&lt;&gt;"",F1343&lt;&gt;"",RIGHT($N1343,6)="tarief"),SUM(O1343)*FLOOR(SUM(Q1343),0.01),S1343&gt;0,IF(F1343&lt;&gt;"",FLOOR(SUM(S1343),0.01),"")),""),""),"")</f>
        <v/>
      </c>
      <c r="X1343" s="314" t="str" cm="1">
        <f t="array" aca="1" ref="X1343" ca="1">IFERROR(IF(AE1343&lt;&gt;"ja",_xlfn.IFNA(_xlfn.IFS(AND(P1343&lt;&gt;"",R1343&lt;&gt;"",RIGHT($N1343,6)="tarief",F1343="Vergoeding"),SUM(P1343)*FLOOR(SUM(R1343),0.0001),AND(P1343&lt;&gt;"",R1343&lt;&gt;"",RIGHT($N1343,6)="tarief"),P1343*FLOOR(R1343,0.01),T1343&gt;0,FLOOR(SUM(T1343),0.01)),""),""),"")</f>
        <v/>
      </c>
      <c r="Y1343" s="314" t="str">
        <f t="shared" ca="1" si="82"/>
        <v/>
      </c>
      <c r="Z1343" s="314" t="str" cm="1">
        <f t="array" aca="1" ref="Z1343" ca="1">IFERROR(_xlfn.IFS(OR(F1343="",LEFT(Methode_Keuze,4)="Geen",Methode_Keuze=""),"",AND(W1343&lt;&gt;"",F1343&lt;&gt;"Arbeidskosten"),W1343*VLOOKUP(F1343,Tb_ProjectKosten[],MATCH(Tb_ProjectKosten[[#Headers],[Forfait_Percentage]],Tb_ProjectKosten[#Headers],0),0),AND(F1343="Arbeidskosten",G1343&lt;&gt;""),IFERROR(W1343*VLOOKUP(G1343,Tb_KostenTypen[],3,0)*VLOOKUP(F1343,Tb_ProjectKosten[],MATCH(Tb_ProjectKosten[[#Headers],[Forfait_Percentage]],Tb_ProjectKosten[#Headers],0),0),""),W1343 &lt;=0,0),"")</f>
        <v/>
      </c>
      <c r="AA1343" s="314" t="str" cm="1">
        <f t="array" aca="1" ref="AA1343" ca="1">IFERROR(_xlfn.IFS(OR(F1343="",LEFT(Methode_Keuze,4)="Geen",Methode_Keuze=""),"",AND(X1343&lt;&gt;"",F1343&lt;&gt;"Arbeidskosten"),X1343*VLOOKUP(F1343,Tb_ProjectKosten[],MATCH(Tb_ProjectKosten[[#Headers],[Forfait_Percentage]],Tb_ProjectKosten[#Headers],0),0),AND(F1343="Arbeidskosten",G1343&lt;&gt;""),IFERROR(X1343*VLOOKUP(G1343,Tb_KostenTypen[],3,0)*VLOOKUP(F1343,Tb_ProjectKosten[],MATCH(Tb_ProjectKosten[[#Headers],[Forfait_Percentage]],Tb_ProjectKosten[#Headers],0),0),""),X1343 &lt;=0,0),"")</f>
        <v/>
      </c>
      <c r="AB1343" s="314" t="str">
        <f t="shared" ca="1" si="83"/>
        <v/>
      </c>
      <c r="AC1343" s="322"/>
      <c r="AD1343" s="315"/>
      <c r="AE1343" s="32" t="str" cm="1">
        <f t="array" ref="AE1343">IFERROR(IF(INDEX(SubsidieTabel!$AD$1:$AG$12,MATCH($F1343,SubsidieTabel!$AD$1:$AD$12,0),IFERROR(MATCH(Methode_Keuze,SubsidieTabel!$AD$1:$AG$1,0),2))&lt;&gt;1=TRUE,"ja",""),"")</f>
        <v/>
      </c>
    </row>
    <row r="1344" spans="1:31" x14ac:dyDescent="0.25">
      <c r="A1344" s="316"/>
      <c r="B1344" s="317" t="str">
        <f>IF(A1344&lt;&gt;"",_xlfn.MAXIFS($B$1:B1343,$A$1:A1343,A1344)+1,"")</f>
        <v/>
      </c>
      <c r="C1344" s="296"/>
      <c r="D1344" s="296"/>
      <c r="E1344" s="296"/>
      <c r="F1344" s="296"/>
      <c r="G1344" s="326"/>
      <c r="H1344" s="324"/>
      <c r="I1344" s="325"/>
      <c r="J1344" s="325"/>
      <c r="K1344" s="318"/>
      <c r="L1344" s="318"/>
      <c r="M1344" s="319" t="str">
        <f>IFERROR(VLOOKUP(H1344,Lijsten!$H$1:$I$100,2,0),"")</f>
        <v/>
      </c>
      <c r="N1344" s="319" t="str">
        <f ca="1">IFERROR(IF(VLOOKUP(F1344,Kostentypen!$A$3:$E$21,3,0)=0,"",IF(OR(F1344="Arbeidskosten",F1344="Vergoeding"),VLOOKUP(G1344,Tb_KostenTypen[],2,0),VLOOKUP(F1344,Kostentypen!$A$3:$E$20,3,0))),"")</f>
        <v/>
      </c>
      <c r="O1344" s="320" t="str" cm="1">
        <f t="array" ref="O1344">_xlfn.IFNA(IF(INDEX(Tb_KostenOptiesDB[],MATCH($F1344,Tb_KostenOptiesDB[KostenOptie],0),IFERROR(MATCH(Methode_Keuze,Tb_KostenOptiesDB[#Headers],0),2))=1,_xlfn.SWITCH($N1344,"Uurtarief",IF(OR(AND(RIGHT($F1344,3)="IKS",VLOOKUP($M1344,DB_Loonkosten,2,0)="Ja"),AND(RIGHT($F1344,3)&lt;&gt;"IKS",VLOOKUP($M1344,DB_Loonkosten,2,0)="Nee")),IFERROR(VLOOKUP($M1344,DB_Loonkosten,24,0),""),0),"Vast tarief",IF(LEFT(F1344,8)="Bijdrage",VLOOKUP($F1344,Tb_KostenTypen[],MATCH(Lijsten!$P$1,Tb_KostenTypen[#Headers],0),0),VLOOKUP($G1344,Lijsten!L:P,MATCH(Lijsten!$P$1,Kop_Tarief_Vast,0),0))),""),"")</f>
        <v/>
      </c>
      <c r="P1344" s="320" t="str" cm="1">
        <f t="array" ref="P1344">_xlfn.IFNA(IF(INDEX(Tb_KostenOptiesDB[],MATCH($F1344,Tb_KostenOptiesDB[KostenOptie],0),IFERROR(MATCH(Methode_Keuze,Tb_KostenOptiesDB[#Headers],0),2))=1,_xlfn.SWITCH($N1344,"Uurtarief",IF(OR(AND(RIGHT($F1344,3)="IKS",VLOOKUP($M1344,DB_Loonkosten,2,0)="Ja"),AND(RIGHT($F1344,3)&lt;&gt;"IKS",VLOOKUP($M1344,DB_Loonkosten,2,0)="Nee")),IFERROR(VLOOKUP($M1344,DB_Loonkosten,25,0),""),0),"Vast tarief",IF(LEFT(F1344,8)="Bijdrage",VLOOKUP($F1344,Tb_KostenTypen[],MATCH(Lijsten!$P$1,Tb_KostenTypen[#Headers],0),0),VLOOKUP($G1344,Lijsten!L:P,MATCH(Lijsten!$P$1,Kop_Tarief_Vast,0),0))),""),"")</f>
        <v/>
      </c>
      <c r="Q1344" s="359"/>
      <c r="R1344" s="359"/>
      <c r="S1344" s="321"/>
      <c r="T1344" s="321"/>
      <c r="U1344" s="373" t="str">
        <f t="shared" si="80"/>
        <v/>
      </c>
      <c r="V1344" s="314" t="str">
        <f t="shared" si="81"/>
        <v/>
      </c>
      <c r="W1344" s="314" t="str" cm="1">
        <f t="array" aca="1" ref="W1344" ca="1">IFERROR(IF(AE1344&lt;&gt;"ja",_xlfn.IFNA(_xlfn.IFS(AND(O1344&lt;&gt;"",F1344&lt;&gt;"",RIGHT($N1344,6)="tarief",F1344="Vergoeding"),SUM(O1344)*FLOOR(SUM(Q1344),0.0001),AND(O1344&lt;&gt;"",F1344&lt;&gt;"",RIGHT($N1344,6)="tarief"),SUM(O1344)*FLOOR(SUM(Q1344),0.01),S1344&gt;0,IF(F1344&lt;&gt;"",FLOOR(SUM(S1344),0.01),"")),""),""),"")</f>
        <v/>
      </c>
      <c r="X1344" s="314" t="str" cm="1">
        <f t="array" aca="1" ref="X1344" ca="1">IFERROR(IF(AE1344&lt;&gt;"ja",_xlfn.IFNA(_xlfn.IFS(AND(P1344&lt;&gt;"",R1344&lt;&gt;"",RIGHT($N1344,6)="tarief",F1344="Vergoeding"),SUM(P1344)*FLOOR(SUM(R1344),0.0001),AND(P1344&lt;&gt;"",R1344&lt;&gt;"",RIGHT($N1344,6)="tarief"),P1344*FLOOR(R1344,0.01),T1344&gt;0,FLOOR(SUM(T1344),0.01)),""),""),"")</f>
        <v/>
      </c>
      <c r="Y1344" s="314" t="str">
        <f t="shared" ca="1" si="82"/>
        <v/>
      </c>
      <c r="Z1344" s="314" t="str" cm="1">
        <f t="array" aca="1" ref="Z1344" ca="1">IFERROR(_xlfn.IFS(OR(F1344="",LEFT(Methode_Keuze,4)="Geen",Methode_Keuze=""),"",AND(W1344&lt;&gt;"",F1344&lt;&gt;"Arbeidskosten"),W1344*VLOOKUP(F1344,Tb_ProjectKosten[],MATCH(Tb_ProjectKosten[[#Headers],[Forfait_Percentage]],Tb_ProjectKosten[#Headers],0),0),AND(F1344="Arbeidskosten",G1344&lt;&gt;""),IFERROR(W1344*VLOOKUP(G1344,Tb_KostenTypen[],3,0)*VLOOKUP(F1344,Tb_ProjectKosten[],MATCH(Tb_ProjectKosten[[#Headers],[Forfait_Percentage]],Tb_ProjectKosten[#Headers],0),0),""),W1344 &lt;=0,0),"")</f>
        <v/>
      </c>
      <c r="AA1344" s="314" t="str" cm="1">
        <f t="array" aca="1" ref="AA1344" ca="1">IFERROR(_xlfn.IFS(OR(F1344="",LEFT(Methode_Keuze,4)="Geen",Methode_Keuze=""),"",AND(X1344&lt;&gt;"",F1344&lt;&gt;"Arbeidskosten"),X1344*VLOOKUP(F1344,Tb_ProjectKosten[],MATCH(Tb_ProjectKosten[[#Headers],[Forfait_Percentage]],Tb_ProjectKosten[#Headers],0),0),AND(F1344="Arbeidskosten",G1344&lt;&gt;""),IFERROR(X1344*VLOOKUP(G1344,Tb_KostenTypen[],3,0)*VLOOKUP(F1344,Tb_ProjectKosten[],MATCH(Tb_ProjectKosten[[#Headers],[Forfait_Percentage]],Tb_ProjectKosten[#Headers],0),0),""),X1344 &lt;=0,0),"")</f>
        <v/>
      </c>
      <c r="AB1344" s="314" t="str">
        <f t="shared" ca="1" si="83"/>
        <v/>
      </c>
      <c r="AC1344" s="322"/>
      <c r="AD1344" s="315"/>
      <c r="AE1344" s="32" t="str" cm="1">
        <f t="array" ref="AE1344">IFERROR(IF(INDEX(SubsidieTabel!$AD$1:$AG$12,MATCH($F1344,SubsidieTabel!$AD$1:$AD$12,0),IFERROR(MATCH(Methode_Keuze,SubsidieTabel!$AD$1:$AG$1,0),2))&lt;&gt;1=TRUE,"ja",""),"")</f>
        <v/>
      </c>
    </row>
    <row r="1345" spans="1:31" x14ac:dyDescent="0.25">
      <c r="A1345" s="316"/>
      <c r="B1345" s="317" t="str">
        <f>IF(A1345&lt;&gt;"",_xlfn.MAXIFS($B$1:B1344,$A$1:A1344,A1345)+1,"")</f>
        <v/>
      </c>
      <c r="C1345" s="296"/>
      <c r="D1345" s="296"/>
      <c r="E1345" s="296"/>
      <c r="F1345" s="296"/>
      <c r="G1345" s="326"/>
      <c r="H1345" s="324"/>
      <c r="I1345" s="325"/>
      <c r="J1345" s="325"/>
      <c r="K1345" s="318"/>
      <c r="L1345" s="318"/>
      <c r="M1345" s="319" t="str">
        <f>IFERROR(VLOOKUP(H1345,Lijsten!$H$1:$I$100,2,0),"")</f>
        <v/>
      </c>
      <c r="N1345" s="319" t="str">
        <f ca="1">IFERROR(IF(VLOOKUP(F1345,Kostentypen!$A$3:$E$21,3,0)=0,"",IF(OR(F1345="Arbeidskosten",F1345="Vergoeding"),VLOOKUP(G1345,Tb_KostenTypen[],2,0),VLOOKUP(F1345,Kostentypen!$A$3:$E$20,3,0))),"")</f>
        <v/>
      </c>
      <c r="O1345" s="320" t="str" cm="1">
        <f t="array" ref="O1345">_xlfn.IFNA(IF(INDEX(Tb_KostenOptiesDB[],MATCH($F1345,Tb_KostenOptiesDB[KostenOptie],0),IFERROR(MATCH(Methode_Keuze,Tb_KostenOptiesDB[#Headers],0),2))=1,_xlfn.SWITCH($N1345,"Uurtarief",IF(OR(AND(RIGHT($F1345,3)="IKS",VLOOKUP($M1345,DB_Loonkosten,2,0)="Ja"),AND(RIGHT($F1345,3)&lt;&gt;"IKS",VLOOKUP($M1345,DB_Loonkosten,2,0)="Nee")),IFERROR(VLOOKUP($M1345,DB_Loonkosten,24,0),""),0),"Vast tarief",IF(LEFT(F1345,8)="Bijdrage",VLOOKUP($F1345,Tb_KostenTypen[],MATCH(Lijsten!$P$1,Tb_KostenTypen[#Headers],0),0),VLOOKUP($G1345,Lijsten!L:P,MATCH(Lijsten!$P$1,Kop_Tarief_Vast,0),0))),""),"")</f>
        <v/>
      </c>
      <c r="P1345" s="320" t="str" cm="1">
        <f t="array" ref="P1345">_xlfn.IFNA(IF(INDEX(Tb_KostenOptiesDB[],MATCH($F1345,Tb_KostenOptiesDB[KostenOptie],0),IFERROR(MATCH(Methode_Keuze,Tb_KostenOptiesDB[#Headers],0),2))=1,_xlfn.SWITCH($N1345,"Uurtarief",IF(OR(AND(RIGHT($F1345,3)="IKS",VLOOKUP($M1345,DB_Loonkosten,2,0)="Ja"),AND(RIGHT($F1345,3)&lt;&gt;"IKS",VLOOKUP($M1345,DB_Loonkosten,2,0)="Nee")),IFERROR(VLOOKUP($M1345,DB_Loonkosten,25,0),""),0),"Vast tarief",IF(LEFT(F1345,8)="Bijdrage",VLOOKUP($F1345,Tb_KostenTypen[],MATCH(Lijsten!$P$1,Tb_KostenTypen[#Headers],0),0),VLOOKUP($G1345,Lijsten!L:P,MATCH(Lijsten!$P$1,Kop_Tarief_Vast,0),0))),""),"")</f>
        <v/>
      </c>
      <c r="Q1345" s="359"/>
      <c r="R1345" s="359"/>
      <c r="S1345" s="321"/>
      <c r="T1345" s="321"/>
      <c r="U1345" s="373" t="str">
        <f t="shared" si="80"/>
        <v/>
      </c>
      <c r="V1345" s="314" t="str">
        <f t="shared" si="81"/>
        <v/>
      </c>
      <c r="W1345" s="314" t="str" cm="1">
        <f t="array" aca="1" ref="W1345" ca="1">IFERROR(IF(AE1345&lt;&gt;"ja",_xlfn.IFNA(_xlfn.IFS(AND(O1345&lt;&gt;"",F1345&lt;&gt;"",RIGHT($N1345,6)="tarief",F1345="Vergoeding"),SUM(O1345)*FLOOR(SUM(Q1345),0.0001),AND(O1345&lt;&gt;"",F1345&lt;&gt;"",RIGHT($N1345,6)="tarief"),SUM(O1345)*FLOOR(SUM(Q1345),0.01),S1345&gt;0,IF(F1345&lt;&gt;"",FLOOR(SUM(S1345),0.01),"")),""),""),"")</f>
        <v/>
      </c>
      <c r="X1345" s="314" t="str" cm="1">
        <f t="array" aca="1" ref="X1345" ca="1">IFERROR(IF(AE1345&lt;&gt;"ja",_xlfn.IFNA(_xlfn.IFS(AND(P1345&lt;&gt;"",R1345&lt;&gt;"",RIGHT($N1345,6)="tarief",F1345="Vergoeding"),SUM(P1345)*FLOOR(SUM(R1345),0.0001),AND(P1345&lt;&gt;"",R1345&lt;&gt;"",RIGHT($N1345,6)="tarief"),P1345*FLOOR(R1345,0.01),T1345&gt;0,FLOOR(SUM(T1345),0.01)),""),""),"")</f>
        <v/>
      </c>
      <c r="Y1345" s="314" t="str">
        <f t="shared" ca="1" si="82"/>
        <v/>
      </c>
      <c r="Z1345" s="314" t="str" cm="1">
        <f t="array" aca="1" ref="Z1345" ca="1">IFERROR(_xlfn.IFS(OR(F1345="",LEFT(Methode_Keuze,4)="Geen",Methode_Keuze=""),"",AND(W1345&lt;&gt;"",F1345&lt;&gt;"Arbeidskosten"),W1345*VLOOKUP(F1345,Tb_ProjectKosten[],MATCH(Tb_ProjectKosten[[#Headers],[Forfait_Percentage]],Tb_ProjectKosten[#Headers],0),0),AND(F1345="Arbeidskosten",G1345&lt;&gt;""),IFERROR(W1345*VLOOKUP(G1345,Tb_KostenTypen[],3,0)*VLOOKUP(F1345,Tb_ProjectKosten[],MATCH(Tb_ProjectKosten[[#Headers],[Forfait_Percentage]],Tb_ProjectKosten[#Headers],0),0),""),W1345 &lt;=0,0),"")</f>
        <v/>
      </c>
      <c r="AA1345" s="314" t="str" cm="1">
        <f t="array" aca="1" ref="AA1345" ca="1">IFERROR(_xlfn.IFS(OR(F1345="",LEFT(Methode_Keuze,4)="Geen",Methode_Keuze=""),"",AND(X1345&lt;&gt;"",F1345&lt;&gt;"Arbeidskosten"),X1345*VLOOKUP(F1345,Tb_ProjectKosten[],MATCH(Tb_ProjectKosten[[#Headers],[Forfait_Percentage]],Tb_ProjectKosten[#Headers],0),0),AND(F1345="Arbeidskosten",G1345&lt;&gt;""),IFERROR(X1345*VLOOKUP(G1345,Tb_KostenTypen[],3,0)*VLOOKUP(F1345,Tb_ProjectKosten[],MATCH(Tb_ProjectKosten[[#Headers],[Forfait_Percentage]],Tb_ProjectKosten[#Headers],0),0),""),X1345 &lt;=0,0),"")</f>
        <v/>
      </c>
      <c r="AB1345" s="314" t="str">
        <f t="shared" ca="1" si="83"/>
        <v/>
      </c>
      <c r="AC1345" s="322"/>
      <c r="AD1345" s="315"/>
      <c r="AE1345" s="32" t="str" cm="1">
        <f t="array" ref="AE1345">IFERROR(IF(INDEX(SubsidieTabel!$AD$1:$AG$12,MATCH($F1345,SubsidieTabel!$AD$1:$AD$12,0),IFERROR(MATCH(Methode_Keuze,SubsidieTabel!$AD$1:$AG$1,0),2))&lt;&gt;1=TRUE,"ja",""),"")</f>
        <v/>
      </c>
    </row>
    <row r="1346" spans="1:31" x14ac:dyDescent="0.25">
      <c r="A1346" s="316"/>
      <c r="B1346" s="317" t="str">
        <f>IF(A1346&lt;&gt;"",_xlfn.MAXIFS($B$1:B1345,$A$1:A1345,A1346)+1,"")</f>
        <v/>
      </c>
      <c r="C1346" s="296"/>
      <c r="D1346" s="296"/>
      <c r="E1346" s="296"/>
      <c r="F1346" s="296"/>
      <c r="G1346" s="326"/>
      <c r="H1346" s="324"/>
      <c r="I1346" s="325"/>
      <c r="J1346" s="325"/>
      <c r="K1346" s="318"/>
      <c r="L1346" s="318"/>
      <c r="M1346" s="319" t="str">
        <f>IFERROR(VLOOKUP(H1346,Lijsten!$H$1:$I$100,2,0),"")</f>
        <v/>
      </c>
      <c r="N1346" s="319" t="str">
        <f ca="1">IFERROR(IF(VLOOKUP(F1346,Kostentypen!$A$3:$E$21,3,0)=0,"",IF(OR(F1346="Arbeidskosten",F1346="Vergoeding"),VLOOKUP(G1346,Tb_KostenTypen[],2,0),VLOOKUP(F1346,Kostentypen!$A$3:$E$20,3,0))),"")</f>
        <v/>
      </c>
      <c r="O1346" s="320" t="str" cm="1">
        <f t="array" ref="O1346">_xlfn.IFNA(IF(INDEX(Tb_KostenOptiesDB[],MATCH($F1346,Tb_KostenOptiesDB[KostenOptie],0),IFERROR(MATCH(Methode_Keuze,Tb_KostenOptiesDB[#Headers],0),2))=1,_xlfn.SWITCH($N1346,"Uurtarief",IF(OR(AND(RIGHT($F1346,3)="IKS",VLOOKUP($M1346,DB_Loonkosten,2,0)="Ja"),AND(RIGHT($F1346,3)&lt;&gt;"IKS",VLOOKUP($M1346,DB_Loonkosten,2,0)="Nee")),IFERROR(VLOOKUP($M1346,DB_Loonkosten,24,0),""),0),"Vast tarief",IF(LEFT(F1346,8)="Bijdrage",VLOOKUP($F1346,Tb_KostenTypen[],MATCH(Lijsten!$P$1,Tb_KostenTypen[#Headers],0),0),VLOOKUP($G1346,Lijsten!L:P,MATCH(Lijsten!$P$1,Kop_Tarief_Vast,0),0))),""),"")</f>
        <v/>
      </c>
      <c r="P1346" s="320" t="str" cm="1">
        <f t="array" ref="P1346">_xlfn.IFNA(IF(INDEX(Tb_KostenOptiesDB[],MATCH($F1346,Tb_KostenOptiesDB[KostenOptie],0),IFERROR(MATCH(Methode_Keuze,Tb_KostenOptiesDB[#Headers],0),2))=1,_xlfn.SWITCH($N1346,"Uurtarief",IF(OR(AND(RIGHT($F1346,3)="IKS",VLOOKUP($M1346,DB_Loonkosten,2,0)="Ja"),AND(RIGHT($F1346,3)&lt;&gt;"IKS",VLOOKUP($M1346,DB_Loonkosten,2,0)="Nee")),IFERROR(VLOOKUP($M1346,DB_Loonkosten,25,0),""),0),"Vast tarief",IF(LEFT(F1346,8)="Bijdrage",VLOOKUP($F1346,Tb_KostenTypen[],MATCH(Lijsten!$P$1,Tb_KostenTypen[#Headers],0),0),VLOOKUP($G1346,Lijsten!L:P,MATCH(Lijsten!$P$1,Kop_Tarief_Vast,0),0))),""),"")</f>
        <v/>
      </c>
      <c r="Q1346" s="359"/>
      <c r="R1346" s="359"/>
      <c r="S1346" s="321"/>
      <c r="T1346" s="321"/>
      <c r="U1346" s="373" t="str">
        <f t="shared" si="80"/>
        <v/>
      </c>
      <c r="V1346" s="314" t="str">
        <f t="shared" si="81"/>
        <v/>
      </c>
      <c r="W1346" s="314" t="str" cm="1">
        <f t="array" aca="1" ref="W1346" ca="1">IFERROR(IF(AE1346&lt;&gt;"ja",_xlfn.IFNA(_xlfn.IFS(AND(O1346&lt;&gt;"",F1346&lt;&gt;"",RIGHT($N1346,6)="tarief",F1346="Vergoeding"),SUM(O1346)*FLOOR(SUM(Q1346),0.0001),AND(O1346&lt;&gt;"",F1346&lt;&gt;"",RIGHT($N1346,6)="tarief"),SUM(O1346)*FLOOR(SUM(Q1346),0.01),S1346&gt;0,IF(F1346&lt;&gt;"",FLOOR(SUM(S1346),0.01),"")),""),""),"")</f>
        <v/>
      </c>
      <c r="X1346" s="314" t="str" cm="1">
        <f t="array" aca="1" ref="X1346" ca="1">IFERROR(IF(AE1346&lt;&gt;"ja",_xlfn.IFNA(_xlfn.IFS(AND(P1346&lt;&gt;"",R1346&lt;&gt;"",RIGHT($N1346,6)="tarief",F1346="Vergoeding"),SUM(P1346)*FLOOR(SUM(R1346),0.0001),AND(P1346&lt;&gt;"",R1346&lt;&gt;"",RIGHT($N1346,6)="tarief"),P1346*FLOOR(R1346,0.01),T1346&gt;0,FLOOR(SUM(T1346),0.01)),""),""),"")</f>
        <v/>
      </c>
      <c r="Y1346" s="314" t="str">
        <f t="shared" ca="1" si="82"/>
        <v/>
      </c>
      <c r="Z1346" s="314" t="str" cm="1">
        <f t="array" aca="1" ref="Z1346" ca="1">IFERROR(_xlfn.IFS(OR(F1346="",LEFT(Methode_Keuze,4)="Geen",Methode_Keuze=""),"",AND(W1346&lt;&gt;"",F1346&lt;&gt;"Arbeidskosten"),W1346*VLOOKUP(F1346,Tb_ProjectKosten[],MATCH(Tb_ProjectKosten[[#Headers],[Forfait_Percentage]],Tb_ProjectKosten[#Headers],0),0),AND(F1346="Arbeidskosten",G1346&lt;&gt;""),IFERROR(W1346*VLOOKUP(G1346,Tb_KostenTypen[],3,0)*VLOOKUP(F1346,Tb_ProjectKosten[],MATCH(Tb_ProjectKosten[[#Headers],[Forfait_Percentage]],Tb_ProjectKosten[#Headers],0),0),""),W1346 &lt;=0,0),"")</f>
        <v/>
      </c>
      <c r="AA1346" s="314" t="str" cm="1">
        <f t="array" aca="1" ref="AA1346" ca="1">IFERROR(_xlfn.IFS(OR(F1346="",LEFT(Methode_Keuze,4)="Geen",Methode_Keuze=""),"",AND(X1346&lt;&gt;"",F1346&lt;&gt;"Arbeidskosten"),X1346*VLOOKUP(F1346,Tb_ProjectKosten[],MATCH(Tb_ProjectKosten[[#Headers],[Forfait_Percentage]],Tb_ProjectKosten[#Headers],0),0),AND(F1346="Arbeidskosten",G1346&lt;&gt;""),IFERROR(X1346*VLOOKUP(G1346,Tb_KostenTypen[],3,0)*VLOOKUP(F1346,Tb_ProjectKosten[],MATCH(Tb_ProjectKosten[[#Headers],[Forfait_Percentage]],Tb_ProjectKosten[#Headers],0),0),""),X1346 &lt;=0,0),"")</f>
        <v/>
      </c>
      <c r="AB1346" s="314" t="str">
        <f t="shared" ca="1" si="83"/>
        <v/>
      </c>
      <c r="AC1346" s="322"/>
      <c r="AD1346" s="315"/>
      <c r="AE1346" s="32" t="str" cm="1">
        <f t="array" ref="AE1346">IFERROR(IF(INDEX(SubsidieTabel!$AD$1:$AG$12,MATCH($F1346,SubsidieTabel!$AD$1:$AD$12,0),IFERROR(MATCH(Methode_Keuze,SubsidieTabel!$AD$1:$AG$1,0),2))&lt;&gt;1=TRUE,"ja",""),"")</f>
        <v/>
      </c>
    </row>
    <row r="1347" spans="1:31" x14ac:dyDescent="0.25">
      <c r="A1347" s="316"/>
      <c r="B1347" s="317" t="str">
        <f>IF(A1347&lt;&gt;"",_xlfn.MAXIFS($B$1:B1346,$A$1:A1346,A1347)+1,"")</f>
        <v/>
      </c>
      <c r="C1347" s="296"/>
      <c r="D1347" s="296"/>
      <c r="E1347" s="296"/>
      <c r="F1347" s="296"/>
      <c r="G1347" s="326"/>
      <c r="H1347" s="324"/>
      <c r="I1347" s="325"/>
      <c r="J1347" s="325"/>
      <c r="K1347" s="318"/>
      <c r="L1347" s="318"/>
      <c r="M1347" s="319" t="str">
        <f>IFERROR(VLOOKUP(H1347,Lijsten!$H$1:$I$100,2,0),"")</f>
        <v/>
      </c>
      <c r="N1347" s="319" t="str">
        <f ca="1">IFERROR(IF(VLOOKUP(F1347,Kostentypen!$A$3:$E$21,3,0)=0,"",IF(OR(F1347="Arbeidskosten",F1347="Vergoeding"),VLOOKUP(G1347,Tb_KostenTypen[],2,0),VLOOKUP(F1347,Kostentypen!$A$3:$E$20,3,0))),"")</f>
        <v/>
      </c>
      <c r="O1347" s="320" t="str" cm="1">
        <f t="array" ref="O1347">_xlfn.IFNA(IF(INDEX(Tb_KostenOptiesDB[],MATCH($F1347,Tb_KostenOptiesDB[KostenOptie],0),IFERROR(MATCH(Methode_Keuze,Tb_KostenOptiesDB[#Headers],0),2))=1,_xlfn.SWITCH($N1347,"Uurtarief",IF(OR(AND(RIGHT($F1347,3)="IKS",VLOOKUP($M1347,DB_Loonkosten,2,0)="Ja"),AND(RIGHT($F1347,3)&lt;&gt;"IKS",VLOOKUP($M1347,DB_Loonkosten,2,0)="Nee")),IFERROR(VLOOKUP($M1347,DB_Loonkosten,24,0),""),0),"Vast tarief",IF(LEFT(F1347,8)="Bijdrage",VLOOKUP($F1347,Tb_KostenTypen[],MATCH(Lijsten!$P$1,Tb_KostenTypen[#Headers],0),0),VLOOKUP($G1347,Lijsten!L:P,MATCH(Lijsten!$P$1,Kop_Tarief_Vast,0),0))),""),"")</f>
        <v/>
      </c>
      <c r="P1347" s="320" t="str" cm="1">
        <f t="array" ref="P1347">_xlfn.IFNA(IF(INDEX(Tb_KostenOptiesDB[],MATCH($F1347,Tb_KostenOptiesDB[KostenOptie],0),IFERROR(MATCH(Methode_Keuze,Tb_KostenOptiesDB[#Headers],0),2))=1,_xlfn.SWITCH($N1347,"Uurtarief",IF(OR(AND(RIGHT($F1347,3)="IKS",VLOOKUP($M1347,DB_Loonkosten,2,0)="Ja"),AND(RIGHT($F1347,3)&lt;&gt;"IKS",VLOOKUP($M1347,DB_Loonkosten,2,0)="Nee")),IFERROR(VLOOKUP($M1347,DB_Loonkosten,25,0),""),0),"Vast tarief",IF(LEFT(F1347,8)="Bijdrage",VLOOKUP($F1347,Tb_KostenTypen[],MATCH(Lijsten!$P$1,Tb_KostenTypen[#Headers],0),0),VLOOKUP($G1347,Lijsten!L:P,MATCH(Lijsten!$P$1,Kop_Tarief_Vast,0),0))),""),"")</f>
        <v/>
      </c>
      <c r="Q1347" s="359"/>
      <c r="R1347" s="359"/>
      <c r="S1347" s="321"/>
      <c r="T1347" s="321"/>
      <c r="U1347" s="373" t="str">
        <f t="shared" ref="U1347:U1410" si="84">IFERROR(IF(AND(R1347&lt;&gt;"",R1347&lt;&gt;Q1347),-1*(R1347-Q1347),""),"")</f>
        <v/>
      </c>
      <c r="V1347" s="314" t="str">
        <f t="shared" ref="V1347:V1410" si="85">IFERROR(IF(AND(T1347&lt;&gt;"",T1347&lt;&gt;S1347),-1*(T1347-S1347),""),"")</f>
        <v/>
      </c>
      <c r="W1347" s="314" t="str" cm="1">
        <f t="array" aca="1" ref="W1347" ca="1">IFERROR(IF(AE1347&lt;&gt;"ja",_xlfn.IFNA(_xlfn.IFS(AND(O1347&lt;&gt;"",F1347&lt;&gt;"",RIGHT($N1347,6)="tarief",F1347="Vergoeding"),SUM(O1347)*FLOOR(SUM(Q1347),0.0001),AND(O1347&lt;&gt;"",F1347&lt;&gt;"",RIGHT($N1347,6)="tarief"),SUM(O1347)*FLOOR(SUM(Q1347),0.01),S1347&gt;0,IF(F1347&lt;&gt;"",FLOOR(SUM(S1347),0.01),"")),""),""),"")</f>
        <v/>
      </c>
      <c r="X1347" s="314" t="str" cm="1">
        <f t="array" aca="1" ref="X1347" ca="1">IFERROR(IF(AE1347&lt;&gt;"ja",_xlfn.IFNA(_xlfn.IFS(AND(P1347&lt;&gt;"",R1347&lt;&gt;"",RIGHT($N1347,6)="tarief",F1347="Vergoeding"),SUM(P1347)*FLOOR(SUM(R1347),0.0001),AND(P1347&lt;&gt;"",R1347&lt;&gt;"",RIGHT($N1347,6)="tarief"),P1347*FLOOR(R1347,0.01),T1347&gt;0,FLOOR(SUM(T1347),0.01)),""),""),"")</f>
        <v/>
      </c>
      <c r="Y1347" s="314" t="str">
        <f t="shared" ref="Y1347:Y1410" ca="1" si="86">IFERROR(IF(AND(X1347&lt;&gt;"",X1347&lt;&gt;W1347),-1*(X1347-W1347),""),"")</f>
        <v/>
      </c>
      <c r="Z1347" s="314" t="str" cm="1">
        <f t="array" aca="1" ref="Z1347" ca="1">IFERROR(_xlfn.IFS(OR(F1347="",LEFT(Methode_Keuze,4)="Geen",Methode_Keuze=""),"",AND(W1347&lt;&gt;"",F1347&lt;&gt;"Arbeidskosten"),W1347*VLOOKUP(F1347,Tb_ProjectKosten[],MATCH(Tb_ProjectKosten[[#Headers],[Forfait_Percentage]],Tb_ProjectKosten[#Headers],0),0),AND(F1347="Arbeidskosten",G1347&lt;&gt;""),IFERROR(W1347*VLOOKUP(G1347,Tb_KostenTypen[],3,0)*VLOOKUP(F1347,Tb_ProjectKosten[],MATCH(Tb_ProjectKosten[[#Headers],[Forfait_Percentage]],Tb_ProjectKosten[#Headers],0),0),""),W1347 &lt;=0,0),"")</f>
        <v/>
      </c>
      <c r="AA1347" s="314" t="str" cm="1">
        <f t="array" aca="1" ref="AA1347" ca="1">IFERROR(_xlfn.IFS(OR(F1347="",LEFT(Methode_Keuze,4)="Geen",Methode_Keuze=""),"",AND(X1347&lt;&gt;"",F1347&lt;&gt;"Arbeidskosten"),X1347*VLOOKUP(F1347,Tb_ProjectKosten[],MATCH(Tb_ProjectKosten[[#Headers],[Forfait_Percentage]],Tb_ProjectKosten[#Headers],0),0),AND(F1347="Arbeidskosten",G1347&lt;&gt;""),IFERROR(X1347*VLOOKUP(G1347,Tb_KostenTypen[],3,0)*VLOOKUP(F1347,Tb_ProjectKosten[],MATCH(Tb_ProjectKosten[[#Headers],[Forfait_Percentage]],Tb_ProjectKosten[#Headers],0),0),""),X1347 &lt;=0,0),"")</f>
        <v/>
      </c>
      <c r="AB1347" s="314" t="str">
        <f t="shared" ref="AB1347:AB1410" ca="1" si="87">IFERROR(IF(AND(AA1347&lt;&gt;"",AA1347&lt;&gt;Z1347),-1*(AA1347-Z1347),""),"")</f>
        <v/>
      </c>
      <c r="AC1347" s="322"/>
      <c r="AD1347" s="315"/>
      <c r="AE1347" s="32" t="str" cm="1">
        <f t="array" ref="AE1347">IFERROR(IF(INDEX(SubsidieTabel!$AD$1:$AG$12,MATCH($F1347,SubsidieTabel!$AD$1:$AD$12,0),IFERROR(MATCH(Methode_Keuze,SubsidieTabel!$AD$1:$AG$1,0),2))&lt;&gt;1=TRUE,"ja",""),"")</f>
        <v/>
      </c>
    </row>
    <row r="1348" spans="1:31" x14ac:dyDescent="0.25">
      <c r="A1348" s="316"/>
      <c r="B1348" s="317" t="str">
        <f>IF(A1348&lt;&gt;"",_xlfn.MAXIFS($B$1:B1347,$A$1:A1347,A1348)+1,"")</f>
        <v/>
      </c>
      <c r="C1348" s="296"/>
      <c r="D1348" s="296"/>
      <c r="E1348" s="296"/>
      <c r="F1348" s="296"/>
      <c r="G1348" s="326"/>
      <c r="H1348" s="324"/>
      <c r="I1348" s="325"/>
      <c r="J1348" s="325"/>
      <c r="K1348" s="318"/>
      <c r="L1348" s="318"/>
      <c r="M1348" s="319" t="str">
        <f>IFERROR(VLOOKUP(H1348,Lijsten!$H$1:$I$100,2,0),"")</f>
        <v/>
      </c>
      <c r="N1348" s="319" t="str">
        <f ca="1">IFERROR(IF(VLOOKUP(F1348,Kostentypen!$A$3:$E$21,3,0)=0,"",IF(OR(F1348="Arbeidskosten",F1348="Vergoeding"),VLOOKUP(G1348,Tb_KostenTypen[],2,0),VLOOKUP(F1348,Kostentypen!$A$3:$E$20,3,0))),"")</f>
        <v/>
      </c>
      <c r="O1348" s="320" t="str" cm="1">
        <f t="array" ref="O1348">_xlfn.IFNA(IF(INDEX(Tb_KostenOptiesDB[],MATCH($F1348,Tb_KostenOptiesDB[KostenOptie],0),IFERROR(MATCH(Methode_Keuze,Tb_KostenOptiesDB[#Headers],0),2))=1,_xlfn.SWITCH($N1348,"Uurtarief",IF(OR(AND(RIGHT($F1348,3)="IKS",VLOOKUP($M1348,DB_Loonkosten,2,0)="Ja"),AND(RIGHT($F1348,3)&lt;&gt;"IKS",VLOOKUP($M1348,DB_Loonkosten,2,0)="Nee")),IFERROR(VLOOKUP($M1348,DB_Loonkosten,24,0),""),0),"Vast tarief",IF(LEFT(F1348,8)="Bijdrage",VLOOKUP($F1348,Tb_KostenTypen[],MATCH(Lijsten!$P$1,Tb_KostenTypen[#Headers],0),0),VLOOKUP($G1348,Lijsten!L:P,MATCH(Lijsten!$P$1,Kop_Tarief_Vast,0),0))),""),"")</f>
        <v/>
      </c>
      <c r="P1348" s="320" t="str" cm="1">
        <f t="array" ref="P1348">_xlfn.IFNA(IF(INDEX(Tb_KostenOptiesDB[],MATCH($F1348,Tb_KostenOptiesDB[KostenOptie],0),IFERROR(MATCH(Methode_Keuze,Tb_KostenOptiesDB[#Headers],0),2))=1,_xlfn.SWITCH($N1348,"Uurtarief",IF(OR(AND(RIGHT($F1348,3)="IKS",VLOOKUP($M1348,DB_Loonkosten,2,0)="Ja"),AND(RIGHT($F1348,3)&lt;&gt;"IKS",VLOOKUP($M1348,DB_Loonkosten,2,0)="Nee")),IFERROR(VLOOKUP($M1348,DB_Loonkosten,25,0),""),0),"Vast tarief",IF(LEFT(F1348,8)="Bijdrage",VLOOKUP($F1348,Tb_KostenTypen[],MATCH(Lijsten!$P$1,Tb_KostenTypen[#Headers],0),0),VLOOKUP($G1348,Lijsten!L:P,MATCH(Lijsten!$P$1,Kop_Tarief_Vast,0),0))),""),"")</f>
        <v/>
      </c>
      <c r="Q1348" s="359"/>
      <c r="R1348" s="359"/>
      <c r="S1348" s="321"/>
      <c r="T1348" s="321"/>
      <c r="U1348" s="373" t="str">
        <f t="shared" si="84"/>
        <v/>
      </c>
      <c r="V1348" s="314" t="str">
        <f t="shared" si="85"/>
        <v/>
      </c>
      <c r="W1348" s="314" t="str" cm="1">
        <f t="array" aca="1" ref="W1348" ca="1">IFERROR(IF(AE1348&lt;&gt;"ja",_xlfn.IFNA(_xlfn.IFS(AND(O1348&lt;&gt;"",F1348&lt;&gt;"",RIGHT($N1348,6)="tarief",F1348="Vergoeding"),SUM(O1348)*FLOOR(SUM(Q1348),0.0001),AND(O1348&lt;&gt;"",F1348&lt;&gt;"",RIGHT($N1348,6)="tarief"),SUM(O1348)*FLOOR(SUM(Q1348),0.01),S1348&gt;0,IF(F1348&lt;&gt;"",FLOOR(SUM(S1348),0.01),"")),""),""),"")</f>
        <v/>
      </c>
      <c r="X1348" s="314" t="str" cm="1">
        <f t="array" aca="1" ref="X1348" ca="1">IFERROR(IF(AE1348&lt;&gt;"ja",_xlfn.IFNA(_xlfn.IFS(AND(P1348&lt;&gt;"",R1348&lt;&gt;"",RIGHT($N1348,6)="tarief",F1348="Vergoeding"),SUM(P1348)*FLOOR(SUM(R1348),0.0001),AND(P1348&lt;&gt;"",R1348&lt;&gt;"",RIGHT($N1348,6)="tarief"),P1348*FLOOR(R1348,0.01),T1348&gt;0,FLOOR(SUM(T1348),0.01)),""),""),"")</f>
        <v/>
      </c>
      <c r="Y1348" s="314" t="str">
        <f t="shared" ca="1" si="86"/>
        <v/>
      </c>
      <c r="Z1348" s="314" t="str" cm="1">
        <f t="array" aca="1" ref="Z1348" ca="1">IFERROR(_xlfn.IFS(OR(F1348="",LEFT(Methode_Keuze,4)="Geen",Methode_Keuze=""),"",AND(W1348&lt;&gt;"",F1348&lt;&gt;"Arbeidskosten"),W1348*VLOOKUP(F1348,Tb_ProjectKosten[],MATCH(Tb_ProjectKosten[[#Headers],[Forfait_Percentage]],Tb_ProjectKosten[#Headers],0),0),AND(F1348="Arbeidskosten",G1348&lt;&gt;""),IFERROR(W1348*VLOOKUP(G1348,Tb_KostenTypen[],3,0)*VLOOKUP(F1348,Tb_ProjectKosten[],MATCH(Tb_ProjectKosten[[#Headers],[Forfait_Percentage]],Tb_ProjectKosten[#Headers],0),0),""),W1348 &lt;=0,0),"")</f>
        <v/>
      </c>
      <c r="AA1348" s="314" t="str" cm="1">
        <f t="array" aca="1" ref="AA1348" ca="1">IFERROR(_xlfn.IFS(OR(F1348="",LEFT(Methode_Keuze,4)="Geen",Methode_Keuze=""),"",AND(X1348&lt;&gt;"",F1348&lt;&gt;"Arbeidskosten"),X1348*VLOOKUP(F1348,Tb_ProjectKosten[],MATCH(Tb_ProjectKosten[[#Headers],[Forfait_Percentage]],Tb_ProjectKosten[#Headers],0),0),AND(F1348="Arbeidskosten",G1348&lt;&gt;""),IFERROR(X1348*VLOOKUP(G1348,Tb_KostenTypen[],3,0)*VLOOKUP(F1348,Tb_ProjectKosten[],MATCH(Tb_ProjectKosten[[#Headers],[Forfait_Percentage]],Tb_ProjectKosten[#Headers],0),0),""),X1348 &lt;=0,0),"")</f>
        <v/>
      </c>
      <c r="AB1348" s="314" t="str">
        <f t="shared" ca="1" si="87"/>
        <v/>
      </c>
      <c r="AC1348" s="322"/>
      <c r="AD1348" s="315"/>
      <c r="AE1348" s="32" t="str" cm="1">
        <f t="array" ref="AE1348">IFERROR(IF(INDEX(SubsidieTabel!$AD$1:$AG$12,MATCH($F1348,SubsidieTabel!$AD$1:$AD$12,0),IFERROR(MATCH(Methode_Keuze,SubsidieTabel!$AD$1:$AG$1,0),2))&lt;&gt;1=TRUE,"ja",""),"")</f>
        <v/>
      </c>
    </row>
    <row r="1349" spans="1:31" x14ac:dyDescent="0.25">
      <c r="A1349" s="316"/>
      <c r="B1349" s="317" t="str">
        <f>IF(A1349&lt;&gt;"",_xlfn.MAXIFS($B$1:B1348,$A$1:A1348,A1349)+1,"")</f>
        <v/>
      </c>
      <c r="C1349" s="296"/>
      <c r="D1349" s="296"/>
      <c r="E1349" s="296"/>
      <c r="F1349" s="296"/>
      <c r="G1349" s="326"/>
      <c r="H1349" s="324"/>
      <c r="I1349" s="325"/>
      <c r="J1349" s="325"/>
      <c r="K1349" s="318"/>
      <c r="L1349" s="318"/>
      <c r="M1349" s="319" t="str">
        <f>IFERROR(VLOOKUP(H1349,Lijsten!$H$1:$I$100,2,0),"")</f>
        <v/>
      </c>
      <c r="N1349" s="319" t="str">
        <f ca="1">IFERROR(IF(VLOOKUP(F1349,Kostentypen!$A$3:$E$21,3,0)=0,"",IF(OR(F1349="Arbeidskosten",F1349="Vergoeding"),VLOOKUP(G1349,Tb_KostenTypen[],2,0),VLOOKUP(F1349,Kostentypen!$A$3:$E$20,3,0))),"")</f>
        <v/>
      </c>
      <c r="O1349" s="320" t="str" cm="1">
        <f t="array" ref="O1349">_xlfn.IFNA(IF(INDEX(Tb_KostenOptiesDB[],MATCH($F1349,Tb_KostenOptiesDB[KostenOptie],0),IFERROR(MATCH(Methode_Keuze,Tb_KostenOptiesDB[#Headers],0),2))=1,_xlfn.SWITCH($N1349,"Uurtarief",IF(OR(AND(RIGHT($F1349,3)="IKS",VLOOKUP($M1349,DB_Loonkosten,2,0)="Ja"),AND(RIGHT($F1349,3)&lt;&gt;"IKS",VLOOKUP($M1349,DB_Loonkosten,2,0)="Nee")),IFERROR(VLOOKUP($M1349,DB_Loonkosten,24,0),""),0),"Vast tarief",IF(LEFT(F1349,8)="Bijdrage",VLOOKUP($F1349,Tb_KostenTypen[],MATCH(Lijsten!$P$1,Tb_KostenTypen[#Headers],0),0),VLOOKUP($G1349,Lijsten!L:P,MATCH(Lijsten!$P$1,Kop_Tarief_Vast,0),0))),""),"")</f>
        <v/>
      </c>
      <c r="P1349" s="320" t="str" cm="1">
        <f t="array" ref="P1349">_xlfn.IFNA(IF(INDEX(Tb_KostenOptiesDB[],MATCH($F1349,Tb_KostenOptiesDB[KostenOptie],0),IFERROR(MATCH(Methode_Keuze,Tb_KostenOptiesDB[#Headers],0),2))=1,_xlfn.SWITCH($N1349,"Uurtarief",IF(OR(AND(RIGHT($F1349,3)="IKS",VLOOKUP($M1349,DB_Loonkosten,2,0)="Ja"),AND(RIGHT($F1349,3)&lt;&gt;"IKS",VLOOKUP($M1349,DB_Loonkosten,2,0)="Nee")),IFERROR(VLOOKUP($M1349,DB_Loonkosten,25,0),""),0),"Vast tarief",IF(LEFT(F1349,8)="Bijdrage",VLOOKUP($F1349,Tb_KostenTypen[],MATCH(Lijsten!$P$1,Tb_KostenTypen[#Headers],0),0),VLOOKUP($G1349,Lijsten!L:P,MATCH(Lijsten!$P$1,Kop_Tarief_Vast,0),0))),""),"")</f>
        <v/>
      </c>
      <c r="Q1349" s="359"/>
      <c r="R1349" s="359"/>
      <c r="S1349" s="321"/>
      <c r="T1349" s="321"/>
      <c r="U1349" s="373" t="str">
        <f t="shared" si="84"/>
        <v/>
      </c>
      <c r="V1349" s="314" t="str">
        <f t="shared" si="85"/>
        <v/>
      </c>
      <c r="W1349" s="314" t="str" cm="1">
        <f t="array" aca="1" ref="W1349" ca="1">IFERROR(IF(AE1349&lt;&gt;"ja",_xlfn.IFNA(_xlfn.IFS(AND(O1349&lt;&gt;"",F1349&lt;&gt;"",RIGHT($N1349,6)="tarief",F1349="Vergoeding"),SUM(O1349)*FLOOR(SUM(Q1349),0.0001),AND(O1349&lt;&gt;"",F1349&lt;&gt;"",RIGHT($N1349,6)="tarief"),SUM(O1349)*FLOOR(SUM(Q1349),0.01),S1349&gt;0,IF(F1349&lt;&gt;"",FLOOR(SUM(S1349),0.01),"")),""),""),"")</f>
        <v/>
      </c>
      <c r="X1349" s="314" t="str" cm="1">
        <f t="array" aca="1" ref="X1349" ca="1">IFERROR(IF(AE1349&lt;&gt;"ja",_xlfn.IFNA(_xlfn.IFS(AND(P1349&lt;&gt;"",R1349&lt;&gt;"",RIGHT($N1349,6)="tarief",F1349="Vergoeding"),SUM(P1349)*FLOOR(SUM(R1349),0.0001),AND(P1349&lt;&gt;"",R1349&lt;&gt;"",RIGHT($N1349,6)="tarief"),P1349*FLOOR(R1349,0.01),T1349&gt;0,FLOOR(SUM(T1349),0.01)),""),""),"")</f>
        <v/>
      </c>
      <c r="Y1349" s="314" t="str">
        <f t="shared" ca="1" si="86"/>
        <v/>
      </c>
      <c r="Z1349" s="314" t="str" cm="1">
        <f t="array" aca="1" ref="Z1349" ca="1">IFERROR(_xlfn.IFS(OR(F1349="",LEFT(Methode_Keuze,4)="Geen",Methode_Keuze=""),"",AND(W1349&lt;&gt;"",F1349&lt;&gt;"Arbeidskosten"),W1349*VLOOKUP(F1349,Tb_ProjectKosten[],MATCH(Tb_ProjectKosten[[#Headers],[Forfait_Percentage]],Tb_ProjectKosten[#Headers],0),0),AND(F1349="Arbeidskosten",G1349&lt;&gt;""),IFERROR(W1349*VLOOKUP(G1349,Tb_KostenTypen[],3,0)*VLOOKUP(F1349,Tb_ProjectKosten[],MATCH(Tb_ProjectKosten[[#Headers],[Forfait_Percentage]],Tb_ProjectKosten[#Headers],0),0),""),W1349 &lt;=0,0),"")</f>
        <v/>
      </c>
      <c r="AA1349" s="314" t="str" cm="1">
        <f t="array" aca="1" ref="AA1349" ca="1">IFERROR(_xlfn.IFS(OR(F1349="",LEFT(Methode_Keuze,4)="Geen",Methode_Keuze=""),"",AND(X1349&lt;&gt;"",F1349&lt;&gt;"Arbeidskosten"),X1349*VLOOKUP(F1349,Tb_ProjectKosten[],MATCH(Tb_ProjectKosten[[#Headers],[Forfait_Percentage]],Tb_ProjectKosten[#Headers],0),0),AND(F1349="Arbeidskosten",G1349&lt;&gt;""),IFERROR(X1349*VLOOKUP(G1349,Tb_KostenTypen[],3,0)*VLOOKUP(F1349,Tb_ProjectKosten[],MATCH(Tb_ProjectKosten[[#Headers],[Forfait_Percentage]],Tb_ProjectKosten[#Headers],0),0),""),X1349 &lt;=0,0),"")</f>
        <v/>
      </c>
      <c r="AB1349" s="314" t="str">
        <f t="shared" ca="1" si="87"/>
        <v/>
      </c>
      <c r="AC1349" s="322"/>
      <c r="AD1349" s="315"/>
      <c r="AE1349" s="32" t="str" cm="1">
        <f t="array" ref="AE1349">IFERROR(IF(INDEX(SubsidieTabel!$AD$1:$AG$12,MATCH($F1349,SubsidieTabel!$AD$1:$AD$12,0),IFERROR(MATCH(Methode_Keuze,SubsidieTabel!$AD$1:$AG$1,0),2))&lt;&gt;1=TRUE,"ja",""),"")</f>
        <v/>
      </c>
    </row>
    <row r="1350" spans="1:31" x14ac:dyDescent="0.25">
      <c r="A1350" s="316"/>
      <c r="B1350" s="317" t="str">
        <f>IF(A1350&lt;&gt;"",_xlfn.MAXIFS($B$1:B1349,$A$1:A1349,A1350)+1,"")</f>
        <v/>
      </c>
      <c r="C1350" s="296"/>
      <c r="D1350" s="296"/>
      <c r="E1350" s="296"/>
      <c r="F1350" s="296"/>
      <c r="G1350" s="326"/>
      <c r="H1350" s="324"/>
      <c r="I1350" s="325"/>
      <c r="J1350" s="325"/>
      <c r="K1350" s="318"/>
      <c r="L1350" s="318"/>
      <c r="M1350" s="319" t="str">
        <f>IFERROR(VLOOKUP(H1350,Lijsten!$H$1:$I$100,2,0),"")</f>
        <v/>
      </c>
      <c r="N1350" s="319" t="str">
        <f ca="1">IFERROR(IF(VLOOKUP(F1350,Kostentypen!$A$3:$E$21,3,0)=0,"",IF(OR(F1350="Arbeidskosten",F1350="Vergoeding"),VLOOKUP(G1350,Tb_KostenTypen[],2,0),VLOOKUP(F1350,Kostentypen!$A$3:$E$20,3,0))),"")</f>
        <v/>
      </c>
      <c r="O1350" s="320" t="str" cm="1">
        <f t="array" ref="O1350">_xlfn.IFNA(IF(INDEX(Tb_KostenOptiesDB[],MATCH($F1350,Tb_KostenOptiesDB[KostenOptie],0),IFERROR(MATCH(Methode_Keuze,Tb_KostenOptiesDB[#Headers],0),2))=1,_xlfn.SWITCH($N1350,"Uurtarief",IF(OR(AND(RIGHT($F1350,3)="IKS",VLOOKUP($M1350,DB_Loonkosten,2,0)="Ja"),AND(RIGHT($F1350,3)&lt;&gt;"IKS",VLOOKUP($M1350,DB_Loonkosten,2,0)="Nee")),IFERROR(VLOOKUP($M1350,DB_Loonkosten,24,0),""),0),"Vast tarief",IF(LEFT(F1350,8)="Bijdrage",VLOOKUP($F1350,Tb_KostenTypen[],MATCH(Lijsten!$P$1,Tb_KostenTypen[#Headers],0),0),VLOOKUP($G1350,Lijsten!L:P,MATCH(Lijsten!$P$1,Kop_Tarief_Vast,0),0))),""),"")</f>
        <v/>
      </c>
      <c r="P1350" s="320" t="str" cm="1">
        <f t="array" ref="P1350">_xlfn.IFNA(IF(INDEX(Tb_KostenOptiesDB[],MATCH($F1350,Tb_KostenOptiesDB[KostenOptie],0),IFERROR(MATCH(Methode_Keuze,Tb_KostenOptiesDB[#Headers],0),2))=1,_xlfn.SWITCH($N1350,"Uurtarief",IF(OR(AND(RIGHT($F1350,3)="IKS",VLOOKUP($M1350,DB_Loonkosten,2,0)="Ja"),AND(RIGHT($F1350,3)&lt;&gt;"IKS",VLOOKUP($M1350,DB_Loonkosten,2,0)="Nee")),IFERROR(VLOOKUP($M1350,DB_Loonkosten,25,0),""),0),"Vast tarief",IF(LEFT(F1350,8)="Bijdrage",VLOOKUP($F1350,Tb_KostenTypen[],MATCH(Lijsten!$P$1,Tb_KostenTypen[#Headers],0),0),VLOOKUP($G1350,Lijsten!L:P,MATCH(Lijsten!$P$1,Kop_Tarief_Vast,0),0))),""),"")</f>
        <v/>
      </c>
      <c r="Q1350" s="359"/>
      <c r="R1350" s="359"/>
      <c r="S1350" s="321"/>
      <c r="T1350" s="321"/>
      <c r="U1350" s="373" t="str">
        <f t="shared" si="84"/>
        <v/>
      </c>
      <c r="V1350" s="314" t="str">
        <f t="shared" si="85"/>
        <v/>
      </c>
      <c r="W1350" s="314" t="str" cm="1">
        <f t="array" aca="1" ref="W1350" ca="1">IFERROR(IF(AE1350&lt;&gt;"ja",_xlfn.IFNA(_xlfn.IFS(AND(O1350&lt;&gt;"",F1350&lt;&gt;"",RIGHT($N1350,6)="tarief",F1350="Vergoeding"),SUM(O1350)*FLOOR(SUM(Q1350),0.0001),AND(O1350&lt;&gt;"",F1350&lt;&gt;"",RIGHT($N1350,6)="tarief"),SUM(O1350)*FLOOR(SUM(Q1350),0.01),S1350&gt;0,IF(F1350&lt;&gt;"",FLOOR(SUM(S1350),0.01),"")),""),""),"")</f>
        <v/>
      </c>
      <c r="X1350" s="314" t="str" cm="1">
        <f t="array" aca="1" ref="X1350" ca="1">IFERROR(IF(AE1350&lt;&gt;"ja",_xlfn.IFNA(_xlfn.IFS(AND(P1350&lt;&gt;"",R1350&lt;&gt;"",RIGHT($N1350,6)="tarief",F1350="Vergoeding"),SUM(P1350)*FLOOR(SUM(R1350),0.0001),AND(P1350&lt;&gt;"",R1350&lt;&gt;"",RIGHT($N1350,6)="tarief"),P1350*FLOOR(R1350,0.01),T1350&gt;0,FLOOR(SUM(T1350),0.01)),""),""),"")</f>
        <v/>
      </c>
      <c r="Y1350" s="314" t="str">
        <f t="shared" ca="1" si="86"/>
        <v/>
      </c>
      <c r="Z1350" s="314" t="str" cm="1">
        <f t="array" aca="1" ref="Z1350" ca="1">IFERROR(_xlfn.IFS(OR(F1350="",LEFT(Methode_Keuze,4)="Geen",Methode_Keuze=""),"",AND(W1350&lt;&gt;"",F1350&lt;&gt;"Arbeidskosten"),W1350*VLOOKUP(F1350,Tb_ProjectKosten[],MATCH(Tb_ProjectKosten[[#Headers],[Forfait_Percentage]],Tb_ProjectKosten[#Headers],0),0),AND(F1350="Arbeidskosten",G1350&lt;&gt;""),IFERROR(W1350*VLOOKUP(G1350,Tb_KostenTypen[],3,0)*VLOOKUP(F1350,Tb_ProjectKosten[],MATCH(Tb_ProjectKosten[[#Headers],[Forfait_Percentage]],Tb_ProjectKosten[#Headers],0),0),""),W1350 &lt;=0,0),"")</f>
        <v/>
      </c>
      <c r="AA1350" s="314" t="str" cm="1">
        <f t="array" aca="1" ref="AA1350" ca="1">IFERROR(_xlfn.IFS(OR(F1350="",LEFT(Methode_Keuze,4)="Geen",Methode_Keuze=""),"",AND(X1350&lt;&gt;"",F1350&lt;&gt;"Arbeidskosten"),X1350*VLOOKUP(F1350,Tb_ProjectKosten[],MATCH(Tb_ProjectKosten[[#Headers],[Forfait_Percentage]],Tb_ProjectKosten[#Headers],0),0),AND(F1350="Arbeidskosten",G1350&lt;&gt;""),IFERROR(X1350*VLOOKUP(G1350,Tb_KostenTypen[],3,0)*VLOOKUP(F1350,Tb_ProjectKosten[],MATCH(Tb_ProjectKosten[[#Headers],[Forfait_Percentage]],Tb_ProjectKosten[#Headers],0),0),""),X1350 &lt;=0,0),"")</f>
        <v/>
      </c>
      <c r="AB1350" s="314" t="str">
        <f t="shared" ca="1" si="87"/>
        <v/>
      </c>
      <c r="AC1350" s="322"/>
      <c r="AD1350" s="315"/>
      <c r="AE1350" s="32" t="str" cm="1">
        <f t="array" ref="AE1350">IFERROR(IF(INDEX(SubsidieTabel!$AD$1:$AG$12,MATCH($F1350,SubsidieTabel!$AD$1:$AD$12,0),IFERROR(MATCH(Methode_Keuze,SubsidieTabel!$AD$1:$AG$1,0),2))&lt;&gt;1=TRUE,"ja",""),"")</f>
        <v/>
      </c>
    </row>
    <row r="1351" spans="1:31" x14ac:dyDescent="0.25">
      <c r="A1351" s="316"/>
      <c r="B1351" s="317" t="str">
        <f>IF(A1351&lt;&gt;"",_xlfn.MAXIFS($B$1:B1350,$A$1:A1350,A1351)+1,"")</f>
        <v/>
      </c>
      <c r="C1351" s="296"/>
      <c r="D1351" s="296"/>
      <c r="E1351" s="296"/>
      <c r="F1351" s="296"/>
      <c r="G1351" s="326"/>
      <c r="H1351" s="324"/>
      <c r="I1351" s="325"/>
      <c r="J1351" s="325"/>
      <c r="K1351" s="318"/>
      <c r="L1351" s="318"/>
      <c r="M1351" s="319" t="str">
        <f>IFERROR(VLOOKUP(H1351,Lijsten!$H$1:$I$100,2,0),"")</f>
        <v/>
      </c>
      <c r="N1351" s="319" t="str">
        <f ca="1">IFERROR(IF(VLOOKUP(F1351,Kostentypen!$A$3:$E$21,3,0)=0,"",IF(OR(F1351="Arbeidskosten",F1351="Vergoeding"),VLOOKUP(G1351,Tb_KostenTypen[],2,0),VLOOKUP(F1351,Kostentypen!$A$3:$E$20,3,0))),"")</f>
        <v/>
      </c>
      <c r="O1351" s="320" t="str" cm="1">
        <f t="array" ref="O1351">_xlfn.IFNA(IF(INDEX(Tb_KostenOptiesDB[],MATCH($F1351,Tb_KostenOptiesDB[KostenOptie],0),IFERROR(MATCH(Methode_Keuze,Tb_KostenOptiesDB[#Headers],0),2))=1,_xlfn.SWITCH($N1351,"Uurtarief",IF(OR(AND(RIGHT($F1351,3)="IKS",VLOOKUP($M1351,DB_Loonkosten,2,0)="Ja"),AND(RIGHT($F1351,3)&lt;&gt;"IKS",VLOOKUP($M1351,DB_Loonkosten,2,0)="Nee")),IFERROR(VLOOKUP($M1351,DB_Loonkosten,24,0),""),0),"Vast tarief",IF(LEFT(F1351,8)="Bijdrage",VLOOKUP($F1351,Tb_KostenTypen[],MATCH(Lijsten!$P$1,Tb_KostenTypen[#Headers],0),0),VLOOKUP($G1351,Lijsten!L:P,MATCH(Lijsten!$P$1,Kop_Tarief_Vast,0),0))),""),"")</f>
        <v/>
      </c>
      <c r="P1351" s="320" t="str" cm="1">
        <f t="array" ref="P1351">_xlfn.IFNA(IF(INDEX(Tb_KostenOptiesDB[],MATCH($F1351,Tb_KostenOptiesDB[KostenOptie],0),IFERROR(MATCH(Methode_Keuze,Tb_KostenOptiesDB[#Headers],0),2))=1,_xlfn.SWITCH($N1351,"Uurtarief",IF(OR(AND(RIGHT($F1351,3)="IKS",VLOOKUP($M1351,DB_Loonkosten,2,0)="Ja"),AND(RIGHT($F1351,3)&lt;&gt;"IKS",VLOOKUP($M1351,DB_Loonkosten,2,0)="Nee")),IFERROR(VLOOKUP($M1351,DB_Loonkosten,25,0),""),0),"Vast tarief",IF(LEFT(F1351,8)="Bijdrage",VLOOKUP($F1351,Tb_KostenTypen[],MATCH(Lijsten!$P$1,Tb_KostenTypen[#Headers],0),0),VLOOKUP($G1351,Lijsten!L:P,MATCH(Lijsten!$P$1,Kop_Tarief_Vast,0),0))),""),"")</f>
        <v/>
      </c>
      <c r="Q1351" s="359"/>
      <c r="R1351" s="359"/>
      <c r="S1351" s="321"/>
      <c r="T1351" s="321"/>
      <c r="U1351" s="373" t="str">
        <f t="shared" si="84"/>
        <v/>
      </c>
      <c r="V1351" s="314" t="str">
        <f t="shared" si="85"/>
        <v/>
      </c>
      <c r="W1351" s="314" t="str" cm="1">
        <f t="array" aca="1" ref="W1351" ca="1">IFERROR(IF(AE1351&lt;&gt;"ja",_xlfn.IFNA(_xlfn.IFS(AND(O1351&lt;&gt;"",F1351&lt;&gt;"",RIGHT($N1351,6)="tarief",F1351="Vergoeding"),SUM(O1351)*FLOOR(SUM(Q1351),0.0001),AND(O1351&lt;&gt;"",F1351&lt;&gt;"",RIGHT($N1351,6)="tarief"),SUM(O1351)*FLOOR(SUM(Q1351),0.01),S1351&gt;0,IF(F1351&lt;&gt;"",FLOOR(SUM(S1351),0.01),"")),""),""),"")</f>
        <v/>
      </c>
      <c r="X1351" s="314" t="str" cm="1">
        <f t="array" aca="1" ref="X1351" ca="1">IFERROR(IF(AE1351&lt;&gt;"ja",_xlfn.IFNA(_xlfn.IFS(AND(P1351&lt;&gt;"",R1351&lt;&gt;"",RIGHT($N1351,6)="tarief",F1351="Vergoeding"),SUM(P1351)*FLOOR(SUM(R1351),0.0001),AND(P1351&lt;&gt;"",R1351&lt;&gt;"",RIGHT($N1351,6)="tarief"),P1351*FLOOR(R1351,0.01),T1351&gt;0,FLOOR(SUM(T1351),0.01)),""),""),"")</f>
        <v/>
      </c>
      <c r="Y1351" s="314" t="str">
        <f t="shared" ca="1" si="86"/>
        <v/>
      </c>
      <c r="Z1351" s="314" t="str" cm="1">
        <f t="array" aca="1" ref="Z1351" ca="1">IFERROR(_xlfn.IFS(OR(F1351="",LEFT(Methode_Keuze,4)="Geen",Methode_Keuze=""),"",AND(W1351&lt;&gt;"",F1351&lt;&gt;"Arbeidskosten"),W1351*VLOOKUP(F1351,Tb_ProjectKosten[],MATCH(Tb_ProjectKosten[[#Headers],[Forfait_Percentage]],Tb_ProjectKosten[#Headers],0),0),AND(F1351="Arbeidskosten",G1351&lt;&gt;""),IFERROR(W1351*VLOOKUP(G1351,Tb_KostenTypen[],3,0)*VLOOKUP(F1351,Tb_ProjectKosten[],MATCH(Tb_ProjectKosten[[#Headers],[Forfait_Percentage]],Tb_ProjectKosten[#Headers],0),0),""),W1351 &lt;=0,0),"")</f>
        <v/>
      </c>
      <c r="AA1351" s="314" t="str" cm="1">
        <f t="array" aca="1" ref="AA1351" ca="1">IFERROR(_xlfn.IFS(OR(F1351="",LEFT(Methode_Keuze,4)="Geen",Methode_Keuze=""),"",AND(X1351&lt;&gt;"",F1351&lt;&gt;"Arbeidskosten"),X1351*VLOOKUP(F1351,Tb_ProjectKosten[],MATCH(Tb_ProjectKosten[[#Headers],[Forfait_Percentage]],Tb_ProjectKosten[#Headers],0),0),AND(F1351="Arbeidskosten",G1351&lt;&gt;""),IFERROR(X1351*VLOOKUP(G1351,Tb_KostenTypen[],3,0)*VLOOKUP(F1351,Tb_ProjectKosten[],MATCH(Tb_ProjectKosten[[#Headers],[Forfait_Percentage]],Tb_ProjectKosten[#Headers],0),0),""),X1351 &lt;=0,0),"")</f>
        <v/>
      </c>
      <c r="AB1351" s="314" t="str">
        <f t="shared" ca="1" si="87"/>
        <v/>
      </c>
      <c r="AC1351" s="322"/>
      <c r="AD1351" s="315"/>
      <c r="AE1351" s="32" t="str" cm="1">
        <f t="array" ref="AE1351">IFERROR(IF(INDEX(SubsidieTabel!$AD$1:$AG$12,MATCH($F1351,SubsidieTabel!$AD$1:$AD$12,0),IFERROR(MATCH(Methode_Keuze,SubsidieTabel!$AD$1:$AG$1,0),2))&lt;&gt;1=TRUE,"ja",""),"")</f>
        <v/>
      </c>
    </row>
    <row r="1352" spans="1:31" x14ac:dyDescent="0.25">
      <c r="A1352" s="316"/>
      <c r="B1352" s="317" t="str">
        <f>IF(A1352&lt;&gt;"",_xlfn.MAXIFS($B$1:B1351,$A$1:A1351,A1352)+1,"")</f>
        <v/>
      </c>
      <c r="C1352" s="296"/>
      <c r="D1352" s="296"/>
      <c r="E1352" s="296"/>
      <c r="F1352" s="296"/>
      <c r="G1352" s="326"/>
      <c r="H1352" s="324"/>
      <c r="I1352" s="325"/>
      <c r="J1352" s="325"/>
      <c r="K1352" s="318"/>
      <c r="L1352" s="318"/>
      <c r="M1352" s="319" t="str">
        <f>IFERROR(VLOOKUP(H1352,Lijsten!$H$1:$I$100,2,0),"")</f>
        <v/>
      </c>
      <c r="N1352" s="319" t="str">
        <f ca="1">IFERROR(IF(VLOOKUP(F1352,Kostentypen!$A$3:$E$21,3,0)=0,"",IF(OR(F1352="Arbeidskosten",F1352="Vergoeding"),VLOOKUP(G1352,Tb_KostenTypen[],2,0),VLOOKUP(F1352,Kostentypen!$A$3:$E$20,3,0))),"")</f>
        <v/>
      </c>
      <c r="O1352" s="320" t="str" cm="1">
        <f t="array" ref="O1352">_xlfn.IFNA(IF(INDEX(Tb_KostenOptiesDB[],MATCH($F1352,Tb_KostenOptiesDB[KostenOptie],0),IFERROR(MATCH(Methode_Keuze,Tb_KostenOptiesDB[#Headers],0),2))=1,_xlfn.SWITCH($N1352,"Uurtarief",IF(OR(AND(RIGHT($F1352,3)="IKS",VLOOKUP($M1352,DB_Loonkosten,2,0)="Ja"),AND(RIGHT($F1352,3)&lt;&gt;"IKS",VLOOKUP($M1352,DB_Loonkosten,2,0)="Nee")),IFERROR(VLOOKUP($M1352,DB_Loonkosten,24,0),""),0),"Vast tarief",IF(LEFT(F1352,8)="Bijdrage",VLOOKUP($F1352,Tb_KostenTypen[],MATCH(Lijsten!$P$1,Tb_KostenTypen[#Headers],0),0),VLOOKUP($G1352,Lijsten!L:P,MATCH(Lijsten!$P$1,Kop_Tarief_Vast,0),0))),""),"")</f>
        <v/>
      </c>
      <c r="P1352" s="320" t="str" cm="1">
        <f t="array" ref="P1352">_xlfn.IFNA(IF(INDEX(Tb_KostenOptiesDB[],MATCH($F1352,Tb_KostenOptiesDB[KostenOptie],0),IFERROR(MATCH(Methode_Keuze,Tb_KostenOptiesDB[#Headers],0),2))=1,_xlfn.SWITCH($N1352,"Uurtarief",IF(OR(AND(RIGHT($F1352,3)="IKS",VLOOKUP($M1352,DB_Loonkosten,2,0)="Ja"),AND(RIGHT($F1352,3)&lt;&gt;"IKS",VLOOKUP($M1352,DB_Loonkosten,2,0)="Nee")),IFERROR(VLOOKUP($M1352,DB_Loonkosten,25,0),""),0),"Vast tarief",IF(LEFT(F1352,8)="Bijdrage",VLOOKUP($F1352,Tb_KostenTypen[],MATCH(Lijsten!$P$1,Tb_KostenTypen[#Headers],0),0),VLOOKUP($G1352,Lijsten!L:P,MATCH(Lijsten!$P$1,Kop_Tarief_Vast,0),0))),""),"")</f>
        <v/>
      </c>
      <c r="Q1352" s="359"/>
      <c r="R1352" s="359"/>
      <c r="S1352" s="321"/>
      <c r="T1352" s="321"/>
      <c r="U1352" s="373" t="str">
        <f t="shared" si="84"/>
        <v/>
      </c>
      <c r="V1352" s="314" t="str">
        <f t="shared" si="85"/>
        <v/>
      </c>
      <c r="W1352" s="314" t="str" cm="1">
        <f t="array" aca="1" ref="W1352" ca="1">IFERROR(IF(AE1352&lt;&gt;"ja",_xlfn.IFNA(_xlfn.IFS(AND(O1352&lt;&gt;"",F1352&lt;&gt;"",RIGHT($N1352,6)="tarief",F1352="Vergoeding"),SUM(O1352)*FLOOR(SUM(Q1352),0.0001),AND(O1352&lt;&gt;"",F1352&lt;&gt;"",RIGHT($N1352,6)="tarief"),SUM(O1352)*FLOOR(SUM(Q1352),0.01),S1352&gt;0,IF(F1352&lt;&gt;"",FLOOR(SUM(S1352),0.01),"")),""),""),"")</f>
        <v/>
      </c>
      <c r="X1352" s="314" t="str" cm="1">
        <f t="array" aca="1" ref="X1352" ca="1">IFERROR(IF(AE1352&lt;&gt;"ja",_xlfn.IFNA(_xlfn.IFS(AND(P1352&lt;&gt;"",R1352&lt;&gt;"",RIGHT($N1352,6)="tarief",F1352="Vergoeding"),SUM(P1352)*FLOOR(SUM(R1352),0.0001),AND(P1352&lt;&gt;"",R1352&lt;&gt;"",RIGHT($N1352,6)="tarief"),P1352*FLOOR(R1352,0.01),T1352&gt;0,FLOOR(SUM(T1352),0.01)),""),""),"")</f>
        <v/>
      </c>
      <c r="Y1352" s="314" t="str">
        <f t="shared" ca="1" si="86"/>
        <v/>
      </c>
      <c r="Z1352" s="314" t="str" cm="1">
        <f t="array" aca="1" ref="Z1352" ca="1">IFERROR(_xlfn.IFS(OR(F1352="",LEFT(Methode_Keuze,4)="Geen",Methode_Keuze=""),"",AND(W1352&lt;&gt;"",F1352&lt;&gt;"Arbeidskosten"),W1352*VLOOKUP(F1352,Tb_ProjectKosten[],MATCH(Tb_ProjectKosten[[#Headers],[Forfait_Percentage]],Tb_ProjectKosten[#Headers],0),0),AND(F1352="Arbeidskosten",G1352&lt;&gt;""),IFERROR(W1352*VLOOKUP(G1352,Tb_KostenTypen[],3,0)*VLOOKUP(F1352,Tb_ProjectKosten[],MATCH(Tb_ProjectKosten[[#Headers],[Forfait_Percentage]],Tb_ProjectKosten[#Headers],0),0),""),W1352 &lt;=0,0),"")</f>
        <v/>
      </c>
      <c r="AA1352" s="314" t="str" cm="1">
        <f t="array" aca="1" ref="AA1352" ca="1">IFERROR(_xlfn.IFS(OR(F1352="",LEFT(Methode_Keuze,4)="Geen",Methode_Keuze=""),"",AND(X1352&lt;&gt;"",F1352&lt;&gt;"Arbeidskosten"),X1352*VLOOKUP(F1352,Tb_ProjectKosten[],MATCH(Tb_ProjectKosten[[#Headers],[Forfait_Percentage]],Tb_ProjectKosten[#Headers],0),0),AND(F1352="Arbeidskosten",G1352&lt;&gt;""),IFERROR(X1352*VLOOKUP(G1352,Tb_KostenTypen[],3,0)*VLOOKUP(F1352,Tb_ProjectKosten[],MATCH(Tb_ProjectKosten[[#Headers],[Forfait_Percentage]],Tb_ProjectKosten[#Headers],0),0),""),X1352 &lt;=0,0),"")</f>
        <v/>
      </c>
      <c r="AB1352" s="314" t="str">
        <f t="shared" ca="1" si="87"/>
        <v/>
      </c>
      <c r="AC1352" s="322"/>
      <c r="AD1352" s="315"/>
      <c r="AE1352" s="32" t="str" cm="1">
        <f t="array" ref="AE1352">IFERROR(IF(INDEX(SubsidieTabel!$AD$1:$AG$12,MATCH($F1352,SubsidieTabel!$AD$1:$AD$12,0),IFERROR(MATCH(Methode_Keuze,SubsidieTabel!$AD$1:$AG$1,0),2))&lt;&gt;1=TRUE,"ja",""),"")</f>
        <v/>
      </c>
    </row>
    <row r="1353" spans="1:31" x14ac:dyDescent="0.25">
      <c r="A1353" s="316"/>
      <c r="B1353" s="317" t="str">
        <f>IF(A1353&lt;&gt;"",_xlfn.MAXIFS($B$1:B1352,$A$1:A1352,A1353)+1,"")</f>
        <v/>
      </c>
      <c r="C1353" s="296"/>
      <c r="D1353" s="296"/>
      <c r="E1353" s="296"/>
      <c r="F1353" s="296"/>
      <c r="G1353" s="326"/>
      <c r="H1353" s="324"/>
      <c r="I1353" s="325"/>
      <c r="J1353" s="325"/>
      <c r="K1353" s="318"/>
      <c r="L1353" s="318"/>
      <c r="M1353" s="319" t="str">
        <f>IFERROR(VLOOKUP(H1353,Lijsten!$H$1:$I$100,2,0),"")</f>
        <v/>
      </c>
      <c r="N1353" s="319" t="str">
        <f ca="1">IFERROR(IF(VLOOKUP(F1353,Kostentypen!$A$3:$E$21,3,0)=0,"",IF(OR(F1353="Arbeidskosten",F1353="Vergoeding"),VLOOKUP(G1353,Tb_KostenTypen[],2,0),VLOOKUP(F1353,Kostentypen!$A$3:$E$20,3,0))),"")</f>
        <v/>
      </c>
      <c r="O1353" s="320" t="str" cm="1">
        <f t="array" ref="O1353">_xlfn.IFNA(IF(INDEX(Tb_KostenOptiesDB[],MATCH($F1353,Tb_KostenOptiesDB[KostenOptie],0),IFERROR(MATCH(Methode_Keuze,Tb_KostenOptiesDB[#Headers],0),2))=1,_xlfn.SWITCH($N1353,"Uurtarief",IF(OR(AND(RIGHT($F1353,3)="IKS",VLOOKUP($M1353,DB_Loonkosten,2,0)="Ja"),AND(RIGHT($F1353,3)&lt;&gt;"IKS",VLOOKUP($M1353,DB_Loonkosten,2,0)="Nee")),IFERROR(VLOOKUP($M1353,DB_Loonkosten,24,0),""),0),"Vast tarief",IF(LEFT(F1353,8)="Bijdrage",VLOOKUP($F1353,Tb_KostenTypen[],MATCH(Lijsten!$P$1,Tb_KostenTypen[#Headers],0),0),VLOOKUP($G1353,Lijsten!L:P,MATCH(Lijsten!$P$1,Kop_Tarief_Vast,0),0))),""),"")</f>
        <v/>
      </c>
      <c r="P1353" s="320" t="str" cm="1">
        <f t="array" ref="P1353">_xlfn.IFNA(IF(INDEX(Tb_KostenOptiesDB[],MATCH($F1353,Tb_KostenOptiesDB[KostenOptie],0),IFERROR(MATCH(Methode_Keuze,Tb_KostenOptiesDB[#Headers],0),2))=1,_xlfn.SWITCH($N1353,"Uurtarief",IF(OR(AND(RIGHT($F1353,3)="IKS",VLOOKUP($M1353,DB_Loonkosten,2,0)="Ja"),AND(RIGHT($F1353,3)&lt;&gt;"IKS",VLOOKUP($M1353,DB_Loonkosten,2,0)="Nee")),IFERROR(VLOOKUP($M1353,DB_Loonkosten,25,0),""),0),"Vast tarief",IF(LEFT(F1353,8)="Bijdrage",VLOOKUP($F1353,Tb_KostenTypen[],MATCH(Lijsten!$P$1,Tb_KostenTypen[#Headers],0),0),VLOOKUP($G1353,Lijsten!L:P,MATCH(Lijsten!$P$1,Kop_Tarief_Vast,0),0))),""),"")</f>
        <v/>
      </c>
      <c r="Q1353" s="359"/>
      <c r="R1353" s="359"/>
      <c r="S1353" s="321"/>
      <c r="T1353" s="321"/>
      <c r="U1353" s="373" t="str">
        <f t="shared" si="84"/>
        <v/>
      </c>
      <c r="V1353" s="314" t="str">
        <f t="shared" si="85"/>
        <v/>
      </c>
      <c r="W1353" s="314" t="str" cm="1">
        <f t="array" aca="1" ref="W1353" ca="1">IFERROR(IF(AE1353&lt;&gt;"ja",_xlfn.IFNA(_xlfn.IFS(AND(O1353&lt;&gt;"",F1353&lt;&gt;"",RIGHT($N1353,6)="tarief",F1353="Vergoeding"),SUM(O1353)*FLOOR(SUM(Q1353),0.0001),AND(O1353&lt;&gt;"",F1353&lt;&gt;"",RIGHT($N1353,6)="tarief"),SUM(O1353)*FLOOR(SUM(Q1353),0.01),S1353&gt;0,IF(F1353&lt;&gt;"",FLOOR(SUM(S1353),0.01),"")),""),""),"")</f>
        <v/>
      </c>
      <c r="X1353" s="314" t="str" cm="1">
        <f t="array" aca="1" ref="X1353" ca="1">IFERROR(IF(AE1353&lt;&gt;"ja",_xlfn.IFNA(_xlfn.IFS(AND(P1353&lt;&gt;"",R1353&lt;&gt;"",RIGHT($N1353,6)="tarief",F1353="Vergoeding"),SUM(P1353)*FLOOR(SUM(R1353),0.0001),AND(P1353&lt;&gt;"",R1353&lt;&gt;"",RIGHT($N1353,6)="tarief"),P1353*FLOOR(R1353,0.01),T1353&gt;0,FLOOR(SUM(T1353),0.01)),""),""),"")</f>
        <v/>
      </c>
      <c r="Y1353" s="314" t="str">
        <f t="shared" ca="1" si="86"/>
        <v/>
      </c>
      <c r="Z1353" s="314" t="str" cm="1">
        <f t="array" aca="1" ref="Z1353" ca="1">IFERROR(_xlfn.IFS(OR(F1353="",LEFT(Methode_Keuze,4)="Geen",Methode_Keuze=""),"",AND(W1353&lt;&gt;"",F1353&lt;&gt;"Arbeidskosten"),W1353*VLOOKUP(F1353,Tb_ProjectKosten[],MATCH(Tb_ProjectKosten[[#Headers],[Forfait_Percentage]],Tb_ProjectKosten[#Headers],0),0),AND(F1353="Arbeidskosten",G1353&lt;&gt;""),IFERROR(W1353*VLOOKUP(G1353,Tb_KostenTypen[],3,0)*VLOOKUP(F1353,Tb_ProjectKosten[],MATCH(Tb_ProjectKosten[[#Headers],[Forfait_Percentage]],Tb_ProjectKosten[#Headers],0),0),""),W1353 &lt;=0,0),"")</f>
        <v/>
      </c>
      <c r="AA1353" s="314" t="str" cm="1">
        <f t="array" aca="1" ref="AA1353" ca="1">IFERROR(_xlfn.IFS(OR(F1353="",LEFT(Methode_Keuze,4)="Geen",Methode_Keuze=""),"",AND(X1353&lt;&gt;"",F1353&lt;&gt;"Arbeidskosten"),X1353*VLOOKUP(F1353,Tb_ProjectKosten[],MATCH(Tb_ProjectKosten[[#Headers],[Forfait_Percentage]],Tb_ProjectKosten[#Headers],0),0),AND(F1353="Arbeidskosten",G1353&lt;&gt;""),IFERROR(X1353*VLOOKUP(G1353,Tb_KostenTypen[],3,0)*VLOOKUP(F1353,Tb_ProjectKosten[],MATCH(Tb_ProjectKosten[[#Headers],[Forfait_Percentage]],Tb_ProjectKosten[#Headers],0),0),""),X1353 &lt;=0,0),"")</f>
        <v/>
      </c>
      <c r="AB1353" s="314" t="str">
        <f t="shared" ca="1" si="87"/>
        <v/>
      </c>
      <c r="AC1353" s="322"/>
      <c r="AD1353" s="315"/>
      <c r="AE1353" s="32" t="str" cm="1">
        <f t="array" ref="AE1353">IFERROR(IF(INDEX(SubsidieTabel!$AD$1:$AG$12,MATCH($F1353,SubsidieTabel!$AD$1:$AD$12,0),IFERROR(MATCH(Methode_Keuze,SubsidieTabel!$AD$1:$AG$1,0),2))&lt;&gt;1=TRUE,"ja",""),"")</f>
        <v/>
      </c>
    </row>
    <row r="1354" spans="1:31" x14ac:dyDescent="0.25">
      <c r="A1354" s="316"/>
      <c r="B1354" s="317" t="str">
        <f>IF(A1354&lt;&gt;"",_xlfn.MAXIFS($B$1:B1353,$A$1:A1353,A1354)+1,"")</f>
        <v/>
      </c>
      <c r="C1354" s="296"/>
      <c r="D1354" s="296"/>
      <c r="E1354" s="296"/>
      <c r="F1354" s="296"/>
      <c r="G1354" s="326"/>
      <c r="H1354" s="324"/>
      <c r="I1354" s="325"/>
      <c r="J1354" s="325"/>
      <c r="K1354" s="318"/>
      <c r="L1354" s="318"/>
      <c r="M1354" s="319" t="str">
        <f>IFERROR(VLOOKUP(H1354,Lijsten!$H$1:$I$100,2,0),"")</f>
        <v/>
      </c>
      <c r="N1354" s="319" t="str">
        <f ca="1">IFERROR(IF(VLOOKUP(F1354,Kostentypen!$A$3:$E$21,3,0)=0,"",IF(OR(F1354="Arbeidskosten",F1354="Vergoeding"),VLOOKUP(G1354,Tb_KostenTypen[],2,0),VLOOKUP(F1354,Kostentypen!$A$3:$E$20,3,0))),"")</f>
        <v/>
      </c>
      <c r="O1354" s="320" t="str" cm="1">
        <f t="array" ref="O1354">_xlfn.IFNA(IF(INDEX(Tb_KostenOptiesDB[],MATCH($F1354,Tb_KostenOptiesDB[KostenOptie],0),IFERROR(MATCH(Methode_Keuze,Tb_KostenOptiesDB[#Headers],0),2))=1,_xlfn.SWITCH($N1354,"Uurtarief",IF(OR(AND(RIGHT($F1354,3)="IKS",VLOOKUP($M1354,DB_Loonkosten,2,0)="Ja"),AND(RIGHT($F1354,3)&lt;&gt;"IKS",VLOOKUP($M1354,DB_Loonkosten,2,0)="Nee")),IFERROR(VLOOKUP($M1354,DB_Loonkosten,24,0),""),0),"Vast tarief",IF(LEFT(F1354,8)="Bijdrage",VLOOKUP($F1354,Tb_KostenTypen[],MATCH(Lijsten!$P$1,Tb_KostenTypen[#Headers],0),0),VLOOKUP($G1354,Lijsten!L:P,MATCH(Lijsten!$P$1,Kop_Tarief_Vast,0),0))),""),"")</f>
        <v/>
      </c>
      <c r="P1354" s="320" t="str" cm="1">
        <f t="array" ref="P1354">_xlfn.IFNA(IF(INDEX(Tb_KostenOptiesDB[],MATCH($F1354,Tb_KostenOptiesDB[KostenOptie],0),IFERROR(MATCH(Methode_Keuze,Tb_KostenOptiesDB[#Headers],0),2))=1,_xlfn.SWITCH($N1354,"Uurtarief",IF(OR(AND(RIGHT($F1354,3)="IKS",VLOOKUP($M1354,DB_Loonkosten,2,0)="Ja"),AND(RIGHT($F1354,3)&lt;&gt;"IKS",VLOOKUP($M1354,DB_Loonkosten,2,0)="Nee")),IFERROR(VLOOKUP($M1354,DB_Loonkosten,25,0),""),0),"Vast tarief",IF(LEFT(F1354,8)="Bijdrage",VLOOKUP($F1354,Tb_KostenTypen[],MATCH(Lijsten!$P$1,Tb_KostenTypen[#Headers],0),0),VLOOKUP($G1354,Lijsten!L:P,MATCH(Lijsten!$P$1,Kop_Tarief_Vast,0),0))),""),"")</f>
        <v/>
      </c>
      <c r="Q1354" s="359"/>
      <c r="R1354" s="359"/>
      <c r="S1354" s="321"/>
      <c r="T1354" s="321"/>
      <c r="U1354" s="373" t="str">
        <f t="shared" si="84"/>
        <v/>
      </c>
      <c r="V1354" s="314" t="str">
        <f t="shared" si="85"/>
        <v/>
      </c>
      <c r="W1354" s="314" t="str" cm="1">
        <f t="array" aca="1" ref="W1354" ca="1">IFERROR(IF(AE1354&lt;&gt;"ja",_xlfn.IFNA(_xlfn.IFS(AND(O1354&lt;&gt;"",F1354&lt;&gt;"",RIGHT($N1354,6)="tarief",F1354="Vergoeding"),SUM(O1354)*FLOOR(SUM(Q1354),0.0001),AND(O1354&lt;&gt;"",F1354&lt;&gt;"",RIGHT($N1354,6)="tarief"),SUM(O1354)*FLOOR(SUM(Q1354),0.01),S1354&gt;0,IF(F1354&lt;&gt;"",FLOOR(SUM(S1354),0.01),"")),""),""),"")</f>
        <v/>
      </c>
      <c r="X1354" s="314" t="str" cm="1">
        <f t="array" aca="1" ref="X1354" ca="1">IFERROR(IF(AE1354&lt;&gt;"ja",_xlfn.IFNA(_xlfn.IFS(AND(P1354&lt;&gt;"",R1354&lt;&gt;"",RIGHT($N1354,6)="tarief",F1354="Vergoeding"),SUM(P1354)*FLOOR(SUM(R1354),0.0001),AND(P1354&lt;&gt;"",R1354&lt;&gt;"",RIGHT($N1354,6)="tarief"),P1354*FLOOR(R1354,0.01),T1354&gt;0,FLOOR(SUM(T1354),0.01)),""),""),"")</f>
        <v/>
      </c>
      <c r="Y1354" s="314" t="str">
        <f t="shared" ca="1" si="86"/>
        <v/>
      </c>
      <c r="Z1354" s="314" t="str" cm="1">
        <f t="array" aca="1" ref="Z1354" ca="1">IFERROR(_xlfn.IFS(OR(F1354="",LEFT(Methode_Keuze,4)="Geen",Methode_Keuze=""),"",AND(W1354&lt;&gt;"",F1354&lt;&gt;"Arbeidskosten"),W1354*VLOOKUP(F1354,Tb_ProjectKosten[],MATCH(Tb_ProjectKosten[[#Headers],[Forfait_Percentage]],Tb_ProjectKosten[#Headers],0),0),AND(F1354="Arbeidskosten",G1354&lt;&gt;""),IFERROR(W1354*VLOOKUP(G1354,Tb_KostenTypen[],3,0)*VLOOKUP(F1354,Tb_ProjectKosten[],MATCH(Tb_ProjectKosten[[#Headers],[Forfait_Percentage]],Tb_ProjectKosten[#Headers],0),0),""),W1354 &lt;=0,0),"")</f>
        <v/>
      </c>
      <c r="AA1354" s="314" t="str" cm="1">
        <f t="array" aca="1" ref="AA1354" ca="1">IFERROR(_xlfn.IFS(OR(F1354="",LEFT(Methode_Keuze,4)="Geen",Methode_Keuze=""),"",AND(X1354&lt;&gt;"",F1354&lt;&gt;"Arbeidskosten"),X1354*VLOOKUP(F1354,Tb_ProjectKosten[],MATCH(Tb_ProjectKosten[[#Headers],[Forfait_Percentage]],Tb_ProjectKosten[#Headers],0),0),AND(F1354="Arbeidskosten",G1354&lt;&gt;""),IFERROR(X1354*VLOOKUP(G1354,Tb_KostenTypen[],3,0)*VLOOKUP(F1354,Tb_ProjectKosten[],MATCH(Tb_ProjectKosten[[#Headers],[Forfait_Percentage]],Tb_ProjectKosten[#Headers],0),0),""),X1354 &lt;=0,0),"")</f>
        <v/>
      </c>
      <c r="AB1354" s="314" t="str">
        <f t="shared" ca="1" si="87"/>
        <v/>
      </c>
      <c r="AC1354" s="322"/>
      <c r="AD1354" s="315"/>
      <c r="AE1354" s="32" t="str" cm="1">
        <f t="array" ref="AE1354">IFERROR(IF(INDEX(SubsidieTabel!$AD$1:$AG$12,MATCH($F1354,SubsidieTabel!$AD$1:$AD$12,0),IFERROR(MATCH(Methode_Keuze,SubsidieTabel!$AD$1:$AG$1,0),2))&lt;&gt;1=TRUE,"ja",""),"")</f>
        <v/>
      </c>
    </row>
    <row r="1355" spans="1:31" x14ac:dyDescent="0.25">
      <c r="A1355" s="316"/>
      <c r="B1355" s="317" t="str">
        <f>IF(A1355&lt;&gt;"",_xlfn.MAXIFS($B$1:B1354,$A$1:A1354,A1355)+1,"")</f>
        <v/>
      </c>
      <c r="C1355" s="296"/>
      <c r="D1355" s="296"/>
      <c r="E1355" s="296"/>
      <c r="F1355" s="296"/>
      <c r="G1355" s="326"/>
      <c r="H1355" s="324"/>
      <c r="I1355" s="325"/>
      <c r="J1355" s="325"/>
      <c r="K1355" s="318"/>
      <c r="L1355" s="318"/>
      <c r="M1355" s="319" t="str">
        <f>IFERROR(VLOOKUP(H1355,Lijsten!$H$1:$I$100,2,0),"")</f>
        <v/>
      </c>
      <c r="N1355" s="319" t="str">
        <f ca="1">IFERROR(IF(VLOOKUP(F1355,Kostentypen!$A$3:$E$21,3,0)=0,"",IF(OR(F1355="Arbeidskosten",F1355="Vergoeding"),VLOOKUP(G1355,Tb_KostenTypen[],2,0),VLOOKUP(F1355,Kostentypen!$A$3:$E$20,3,0))),"")</f>
        <v/>
      </c>
      <c r="O1355" s="320" t="str" cm="1">
        <f t="array" ref="O1355">_xlfn.IFNA(IF(INDEX(Tb_KostenOptiesDB[],MATCH($F1355,Tb_KostenOptiesDB[KostenOptie],0),IFERROR(MATCH(Methode_Keuze,Tb_KostenOptiesDB[#Headers],0),2))=1,_xlfn.SWITCH($N1355,"Uurtarief",IF(OR(AND(RIGHT($F1355,3)="IKS",VLOOKUP($M1355,DB_Loonkosten,2,0)="Ja"),AND(RIGHT($F1355,3)&lt;&gt;"IKS",VLOOKUP($M1355,DB_Loonkosten,2,0)="Nee")),IFERROR(VLOOKUP($M1355,DB_Loonkosten,24,0),""),0),"Vast tarief",IF(LEFT(F1355,8)="Bijdrage",VLOOKUP($F1355,Tb_KostenTypen[],MATCH(Lijsten!$P$1,Tb_KostenTypen[#Headers],0),0),VLOOKUP($G1355,Lijsten!L:P,MATCH(Lijsten!$P$1,Kop_Tarief_Vast,0),0))),""),"")</f>
        <v/>
      </c>
      <c r="P1355" s="320" t="str" cm="1">
        <f t="array" ref="P1355">_xlfn.IFNA(IF(INDEX(Tb_KostenOptiesDB[],MATCH($F1355,Tb_KostenOptiesDB[KostenOptie],0),IFERROR(MATCH(Methode_Keuze,Tb_KostenOptiesDB[#Headers],0),2))=1,_xlfn.SWITCH($N1355,"Uurtarief",IF(OR(AND(RIGHT($F1355,3)="IKS",VLOOKUP($M1355,DB_Loonkosten,2,0)="Ja"),AND(RIGHT($F1355,3)&lt;&gt;"IKS",VLOOKUP($M1355,DB_Loonkosten,2,0)="Nee")),IFERROR(VLOOKUP($M1355,DB_Loonkosten,25,0),""),0),"Vast tarief",IF(LEFT(F1355,8)="Bijdrage",VLOOKUP($F1355,Tb_KostenTypen[],MATCH(Lijsten!$P$1,Tb_KostenTypen[#Headers],0),0),VLOOKUP($G1355,Lijsten!L:P,MATCH(Lijsten!$P$1,Kop_Tarief_Vast,0),0))),""),"")</f>
        <v/>
      </c>
      <c r="Q1355" s="359"/>
      <c r="R1355" s="359"/>
      <c r="S1355" s="321"/>
      <c r="T1355" s="321"/>
      <c r="U1355" s="373" t="str">
        <f t="shared" si="84"/>
        <v/>
      </c>
      <c r="V1355" s="314" t="str">
        <f t="shared" si="85"/>
        <v/>
      </c>
      <c r="W1355" s="314" t="str" cm="1">
        <f t="array" aca="1" ref="W1355" ca="1">IFERROR(IF(AE1355&lt;&gt;"ja",_xlfn.IFNA(_xlfn.IFS(AND(O1355&lt;&gt;"",F1355&lt;&gt;"",RIGHT($N1355,6)="tarief",F1355="Vergoeding"),SUM(O1355)*FLOOR(SUM(Q1355),0.0001),AND(O1355&lt;&gt;"",F1355&lt;&gt;"",RIGHT($N1355,6)="tarief"),SUM(O1355)*FLOOR(SUM(Q1355),0.01),S1355&gt;0,IF(F1355&lt;&gt;"",FLOOR(SUM(S1355),0.01),"")),""),""),"")</f>
        <v/>
      </c>
      <c r="X1355" s="314" t="str" cm="1">
        <f t="array" aca="1" ref="X1355" ca="1">IFERROR(IF(AE1355&lt;&gt;"ja",_xlfn.IFNA(_xlfn.IFS(AND(P1355&lt;&gt;"",R1355&lt;&gt;"",RIGHT($N1355,6)="tarief",F1355="Vergoeding"),SUM(P1355)*FLOOR(SUM(R1355),0.0001),AND(P1355&lt;&gt;"",R1355&lt;&gt;"",RIGHT($N1355,6)="tarief"),P1355*FLOOR(R1355,0.01),T1355&gt;0,FLOOR(SUM(T1355),0.01)),""),""),"")</f>
        <v/>
      </c>
      <c r="Y1355" s="314" t="str">
        <f t="shared" ca="1" si="86"/>
        <v/>
      </c>
      <c r="Z1355" s="314" t="str" cm="1">
        <f t="array" aca="1" ref="Z1355" ca="1">IFERROR(_xlfn.IFS(OR(F1355="",LEFT(Methode_Keuze,4)="Geen",Methode_Keuze=""),"",AND(W1355&lt;&gt;"",F1355&lt;&gt;"Arbeidskosten"),W1355*VLOOKUP(F1355,Tb_ProjectKosten[],MATCH(Tb_ProjectKosten[[#Headers],[Forfait_Percentage]],Tb_ProjectKosten[#Headers],0),0),AND(F1355="Arbeidskosten",G1355&lt;&gt;""),IFERROR(W1355*VLOOKUP(G1355,Tb_KostenTypen[],3,0)*VLOOKUP(F1355,Tb_ProjectKosten[],MATCH(Tb_ProjectKosten[[#Headers],[Forfait_Percentage]],Tb_ProjectKosten[#Headers],0),0),""),W1355 &lt;=0,0),"")</f>
        <v/>
      </c>
      <c r="AA1355" s="314" t="str" cm="1">
        <f t="array" aca="1" ref="AA1355" ca="1">IFERROR(_xlfn.IFS(OR(F1355="",LEFT(Methode_Keuze,4)="Geen",Methode_Keuze=""),"",AND(X1355&lt;&gt;"",F1355&lt;&gt;"Arbeidskosten"),X1355*VLOOKUP(F1355,Tb_ProjectKosten[],MATCH(Tb_ProjectKosten[[#Headers],[Forfait_Percentage]],Tb_ProjectKosten[#Headers],0),0),AND(F1355="Arbeidskosten",G1355&lt;&gt;""),IFERROR(X1355*VLOOKUP(G1355,Tb_KostenTypen[],3,0)*VLOOKUP(F1355,Tb_ProjectKosten[],MATCH(Tb_ProjectKosten[[#Headers],[Forfait_Percentage]],Tb_ProjectKosten[#Headers],0),0),""),X1355 &lt;=0,0),"")</f>
        <v/>
      </c>
      <c r="AB1355" s="314" t="str">
        <f t="shared" ca="1" si="87"/>
        <v/>
      </c>
      <c r="AC1355" s="322"/>
      <c r="AD1355" s="315"/>
      <c r="AE1355" s="32" t="str" cm="1">
        <f t="array" ref="AE1355">IFERROR(IF(INDEX(SubsidieTabel!$AD$1:$AG$12,MATCH($F1355,SubsidieTabel!$AD$1:$AD$12,0),IFERROR(MATCH(Methode_Keuze,SubsidieTabel!$AD$1:$AG$1,0),2))&lt;&gt;1=TRUE,"ja",""),"")</f>
        <v/>
      </c>
    </row>
    <row r="1356" spans="1:31" x14ac:dyDescent="0.25">
      <c r="A1356" s="316"/>
      <c r="B1356" s="317" t="str">
        <f>IF(A1356&lt;&gt;"",_xlfn.MAXIFS($B$1:B1355,$A$1:A1355,A1356)+1,"")</f>
        <v/>
      </c>
      <c r="C1356" s="296"/>
      <c r="D1356" s="296"/>
      <c r="E1356" s="296"/>
      <c r="F1356" s="296"/>
      <c r="G1356" s="326"/>
      <c r="H1356" s="324"/>
      <c r="I1356" s="325"/>
      <c r="J1356" s="325"/>
      <c r="K1356" s="318"/>
      <c r="L1356" s="318"/>
      <c r="M1356" s="319" t="str">
        <f>IFERROR(VLOOKUP(H1356,Lijsten!$H$1:$I$100,2,0),"")</f>
        <v/>
      </c>
      <c r="N1356" s="319" t="str">
        <f ca="1">IFERROR(IF(VLOOKUP(F1356,Kostentypen!$A$3:$E$21,3,0)=0,"",IF(OR(F1356="Arbeidskosten",F1356="Vergoeding"),VLOOKUP(G1356,Tb_KostenTypen[],2,0),VLOOKUP(F1356,Kostentypen!$A$3:$E$20,3,0))),"")</f>
        <v/>
      </c>
      <c r="O1356" s="320" t="str" cm="1">
        <f t="array" ref="O1356">_xlfn.IFNA(IF(INDEX(Tb_KostenOptiesDB[],MATCH($F1356,Tb_KostenOptiesDB[KostenOptie],0),IFERROR(MATCH(Methode_Keuze,Tb_KostenOptiesDB[#Headers],0),2))=1,_xlfn.SWITCH($N1356,"Uurtarief",IF(OR(AND(RIGHT($F1356,3)="IKS",VLOOKUP($M1356,DB_Loonkosten,2,0)="Ja"),AND(RIGHT($F1356,3)&lt;&gt;"IKS",VLOOKUP($M1356,DB_Loonkosten,2,0)="Nee")),IFERROR(VLOOKUP($M1356,DB_Loonkosten,24,0),""),0),"Vast tarief",IF(LEFT(F1356,8)="Bijdrage",VLOOKUP($F1356,Tb_KostenTypen[],MATCH(Lijsten!$P$1,Tb_KostenTypen[#Headers],0),0),VLOOKUP($G1356,Lijsten!L:P,MATCH(Lijsten!$P$1,Kop_Tarief_Vast,0),0))),""),"")</f>
        <v/>
      </c>
      <c r="P1356" s="320" t="str" cm="1">
        <f t="array" ref="P1356">_xlfn.IFNA(IF(INDEX(Tb_KostenOptiesDB[],MATCH($F1356,Tb_KostenOptiesDB[KostenOptie],0),IFERROR(MATCH(Methode_Keuze,Tb_KostenOptiesDB[#Headers],0),2))=1,_xlfn.SWITCH($N1356,"Uurtarief",IF(OR(AND(RIGHT($F1356,3)="IKS",VLOOKUP($M1356,DB_Loonkosten,2,0)="Ja"),AND(RIGHT($F1356,3)&lt;&gt;"IKS",VLOOKUP($M1356,DB_Loonkosten,2,0)="Nee")),IFERROR(VLOOKUP($M1356,DB_Loonkosten,25,0),""),0),"Vast tarief",IF(LEFT(F1356,8)="Bijdrage",VLOOKUP($F1356,Tb_KostenTypen[],MATCH(Lijsten!$P$1,Tb_KostenTypen[#Headers],0),0),VLOOKUP($G1356,Lijsten!L:P,MATCH(Lijsten!$P$1,Kop_Tarief_Vast,0),0))),""),"")</f>
        <v/>
      </c>
      <c r="Q1356" s="359"/>
      <c r="R1356" s="359"/>
      <c r="S1356" s="321"/>
      <c r="T1356" s="321"/>
      <c r="U1356" s="373" t="str">
        <f t="shared" si="84"/>
        <v/>
      </c>
      <c r="V1356" s="314" t="str">
        <f t="shared" si="85"/>
        <v/>
      </c>
      <c r="W1356" s="314" t="str" cm="1">
        <f t="array" aca="1" ref="W1356" ca="1">IFERROR(IF(AE1356&lt;&gt;"ja",_xlfn.IFNA(_xlfn.IFS(AND(O1356&lt;&gt;"",F1356&lt;&gt;"",RIGHT($N1356,6)="tarief",F1356="Vergoeding"),SUM(O1356)*FLOOR(SUM(Q1356),0.0001),AND(O1356&lt;&gt;"",F1356&lt;&gt;"",RIGHT($N1356,6)="tarief"),SUM(O1356)*FLOOR(SUM(Q1356),0.01),S1356&gt;0,IF(F1356&lt;&gt;"",FLOOR(SUM(S1356),0.01),"")),""),""),"")</f>
        <v/>
      </c>
      <c r="X1356" s="314" t="str" cm="1">
        <f t="array" aca="1" ref="X1356" ca="1">IFERROR(IF(AE1356&lt;&gt;"ja",_xlfn.IFNA(_xlfn.IFS(AND(P1356&lt;&gt;"",R1356&lt;&gt;"",RIGHT($N1356,6)="tarief",F1356="Vergoeding"),SUM(P1356)*FLOOR(SUM(R1356),0.0001),AND(P1356&lt;&gt;"",R1356&lt;&gt;"",RIGHT($N1356,6)="tarief"),P1356*FLOOR(R1356,0.01),T1356&gt;0,FLOOR(SUM(T1356),0.01)),""),""),"")</f>
        <v/>
      </c>
      <c r="Y1356" s="314" t="str">
        <f t="shared" ca="1" si="86"/>
        <v/>
      </c>
      <c r="Z1356" s="314" t="str" cm="1">
        <f t="array" aca="1" ref="Z1356" ca="1">IFERROR(_xlfn.IFS(OR(F1356="",LEFT(Methode_Keuze,4)="Geen",Methode_Keuze=""),"",AND(W1356&lt;&gt;"",F1356&lt;&gt;"Arbeidskosten"),W1356*VLOOKUP(F1356,Tb_ProjectKosten[],MATCH(Tb_ProjectKosten[[#Headers],[Forfait_Percentage]],Tb_ProjectKosten[#Headers],0),0),AND(F1356="Arbeidskosten",G1356&lt;&gt;""),IFERROR(W1356*VLOOKUP(G1356,Tb_KostenTypen[],3,0)*VLOOKUP(F1356,Tb_ProjectKosten[],MATCH(Tb_ProjectKosten[[#Headers],[Forfait_Percentage]],Tb_ProjectKosten[#Headers],0),0),""),W1356 &lt;=0,0),"")</f>
        <v/>
      </c>
      <c r="AA1356" s="314" t="str" cm="1">
        <f t="array" aca="1" ref="AA1356" ca="1">IFERROR(_xlfn.IFS(OR(F1356="",LEFT(Methode_Keuze,4)="Geen",Methode_Keuze=""),"",AND(X1356&lt;&gt;"",F1356&lt;&gt;"Arbeidskosten"),X1356*VLOOKUP(F1356,Tb_ProjectKosten[],MATCH(Tb_ProjectKosten[[#Headers],[Forfait_Percentage]],Tb_ProjectKosten[#Headers],0),0),AND(F1356="Arbeidskosten",G1356&lt;&gt;""),IFERROR(X1356*VLOOKUP(G1356,Tb_KostenTypen[],3,0)*VLOOKUP(F1356,Tb_ProjectKosten[],MATCH(Tb_ProjectKosten[[#Headers],[Forfait_Percentage]],Tb_ProjectKosten[#Headers],0),0),""),X1356 &lt;=0,0),"")</f>
        <v/>
      </c>
      <c r="AB1356" s="314" t="str">
        <f t="shared" ca="1" si="87"/>
        <v/>
      </c>
      <c r="AC1356" s="322"/>
      <c r="AD1356" s="315"/>
      <c r="AE1356" s="32" t="str" cm="1">
        <f t="array" ref="AE1356">IFERROR(IF(INDEX(SubsidieTabel!$AD$1:$AG$12,MATCH($F1356,SubsidieTabel!$AD$1:$AD$12,0),IFERROR(MATCH(Methode_Keuze,SubsidieTabel!$AD$1:$AG$1,0),2))&lt;&gt;1=TRUE,"ja",""),"")</f>
        <v/>
      </c>
    </row>
    <row r="1357" spans="1:31" x14ac:dyDescent="0.25">
      <c r="A1357" s="316"/>
      <c r="B1357" s="317" t="str">
        <f>IF(A1357&lt;&gt;"",_xlfn.MAXIFS($B$1:B1356,$A$1:A1356,A1357)+1,"")</f>
        <v/>
      </c>
      <c r="C1357" s="296"/>
      <c r="D1357" s="296"/>
      <c r="E1357" s="296"/>
      <c r="F1357" s="296"/>
      <c r="G1357" s="326"/>
      <c r="H1357" s="324"/>
      <c r="I1357" s="325"/>
      <c r="J1357" s="325"/>
      <c r="K1357" s="318"/>
      <c r="L1357" s="318"/>
      <c r="M1357" s="319" t="str">
        <f>IFERROR(VLOOKUP(H1357,Lijsten!$H$1:$I$100,2,0),"")</f>
        <v/>
      </c>
      <c r="N1357" s="319" t="str">
        <f ca="1">IFERROR(IF(VLOOKUP(F1357,Kostentypen!$A$3:$E$21,3,0)=0,"",IF(OR(F1357="Arbeidskosten",F1357="Vergoeding"),VLOOKUP(G1357,Tb_KostenTypen[],2,0),VLOOKUP(F1357,Kostentypen!$A$3:$E$20,3,0))),"")</f>
        <v/>
      </c>
      <c r="O1357" s="320" t="str" cm="1">
        <f t="array" ref="O1357">_xlfn.IFNA(IF(INDEX(Tb_KostenOptiesDB[],MATCH($F1357,Tb_KostenOptiesDB[KostenOptie],0),IFERROR(MATCH(Methode_Keuze,Tb_KostenOptiesDB[#Headers],0),2))=1,_xlfn.SWITCH($N1357,"Uurtarief",IF(OR(AND(RIGHT($F1357,3)="IKS",VLOOKUP($M1357,DB_Loonkosten,2,0)="Ja"),AND(RIGHT($F1357,3)&lt;&gt;"IKS",VLOOKUP($M1357,DB_Loonkosten,2,0)="Nee")),IFERROR(VLOOKUP($M1357,DB_Loonkosten,24,0),""),0),"Vast tarief",IF(LEFT(F1357,8)="Bijdrage",VLOOKUP($F1357,Tb_KostenTypen[],MATCH(Lijsten!$P$1,Tb_KostenTypen[#Headers],0),0),VLOOKUP($G1357,Lijsten!L:P,MATCH(Lijsten!$P$1,Kop_Tarief_Vast,0),0))),""),"")</f>
        <v/>
      </c>
      <c r="P1357" s="320" t="str" cm="1">
        <f t="array" ref="P1357">_xlfn.IFNA(IF(INDEX(Tb_KostenOptiesDB[],MATCH($F1357,Tb_KostenOptiesDB[KostenOptie],0),IFERROR(MATCH(Methode_Keuze,Tb_KostenOptiesDB[#Headers],0),2))=1,_xlfn.SWITCH($N1357,"Uurtarief",IF(OR(AND(RIGHT($F1357,3)="IKS",VLOOKUP($M1357,DB_Loonkosten,2,0)="Ja"),AND(RIGHT($F1357,3)&lt;&gt;"IKS",VLOOKUP($M1357,DB_Loonkosten,2,0)="Nee")),IFERROR(VLOOKUP($M1357,DB_Loonkosten,25,0),""),0),"Vast tarief",IF(LEFT(F1357,8)="Bijdrage",VLOOKUP($F1357,Tb_KostenTypen[],MATCH(Lijsten!$P$1,Tb_KostenTypen[#Headers],0),0),VLOOKUP($G1357,Lijsten!L:P,MATCH(Lijsten!$P$1,Kop_Tarief_Vast,0),0))),""),"")</f>
        <v/>
      </c>
      <c r="Q1357" s="359"/>
      <c r="R1357" s="359"/>
      <c r="S1357" s="321"/>
      <c r="T1357" s="321"/>
      <c r="U1357" s="373" t="str">
        <f t="shared" si="84"/>
        <v/>
      </c>
      <c r="V1357" s="314" t="str">
        <f t="shared" si="85"/>
        <v/>
      </c>
      <c r="W1357" s="314" t="str" cm="1">
        <f t="array" aca="1" ref="W1357" ca="1">IFERROR(IF(AE1357&lt;&gt;"ja",_xlfn.IFNA(_xlfn.IFS(AND(O1357&lt;&gt;"",F1357&lt;&gt;"",RIGHT($N1357,6)="tarief",F1357="Vergoeding"),SUM(O1357)*FLOOR(SUM(Q1357),0.0001),AND(O1357&lt;&gt;"",F1357&lt;&gt;"",RIGHT($N1357,6)="tarief"),SUM(O1357)*FLOOR(SUM(Q1357),0.01),S1357&gt;0,IF(F1357&lt;&gt;"",FLOOR(SUM(S1357),0.01),"")),""),""),"")</f>
        <v/>
      </c>
      <c r="X1357" s="314" t="str" cm="1">
        <f t="array" aca="1" ref="X1357" ca="1">IFERROR(IF(AE1357&lt;&gt;"ja",_xlfn.IFNA(_xlfn.IFS(AND(P1357&lt;&gt;"",R1357&lt;&gt;"",RIGHT($N1357,6)="tarief",F1357="Vergoeding"),SUM(P1357)*FLOOR(SUM(R1357),0.0001),AND(P1357&lt;&gt;"",R1357&lt;&gt;"",RIGHT($N1357,6)="tarief"),P1357*FLOOR(R1357,0.01),T1357&gt;0,FLOOR(SUM(T1357),0.01)),""),""),"")</f>
        <v/>
      </c>
      <c r="Y1357" s="314" t="str">
        <f t="shared" ca="1" si="86"/>
        <v/>
      </c>
      <c r="Z1357" s="314" t="str" cm="1">
        <f t="array" aca="1" ref="Z1357" ca="1">IFERROR(_xlfn.IFS(OR(F1357="",LEFT(Methode_Keuze,4)="Geen",Methode_Keuze=""),"",AND(W1357&lt;&gt;"",F1357&lt;&gt;"Arbeidskosten"),W1357*VLOOKUP(F1357,Tb_ProjectKosten[],MATCH(Tb_ProjectKosten[[#Headers],[Forfait_Percentage]],Tb_ProjectKosten[#Headers],0),0),AND(F1357="Arbeidskosten",G1357&lt;&gt;""),IFERROR(W1357*VLOOKUP(G1357,Tb_KostenTypen[],3,0)*VLOOKUP(F1357,Tb_ProjectKosten[],MATCH(Tb_ProjectKosten[[#Headers],[Forfait_Percentage]],Tb_ProjectKosten[#Headers],0),0),""),W1357 &lt;=0,0),"")</f>
        <v/>
      </c>
      <c r="AA1357" s="314" t="str" cm="1">
        <f t="array" aca="1" ref="AA1357" ca="1">IFERROR(_xlfn.IFS(OR(F1357="",LEFT(Methode_Keuze,4)="Geen",Methode_Keuze=""),"",AND(X1357&lt;&gt;"",F1357&lt;&gt;"Arbeidskosten"),X1357*VLOOKUP(F1357,Tb_ProjectKosten[],MATCH(Tb_ProjectKosten[[#Headers],[Forfait_Percentage]],Tb_ProjectKosten[#Headers],0),0),AND(F1357="Arbeidskosten",G1357&lt;&gt;""),IFERROR(X1357*VLOOKUP(G1357,Tb_KostenTypen[],3,0)*VLOOKUP(F1357,Tb_ProjectKosten[],MATCH(Tb_ProjectKosten[[#Headers],[Forfait_Percentage]],Tb_ProjectKosten[#Headers],0),0),""),X1357 &lt;=0,0),"")</f>
        <v/>
      </c>
      <c r="AB1357" s="314" t="str">
        <f t="shared" ca="1" si="87"/>
        <v/>
      </c>
      <c r="AC1357" s="322"/>
      <c r="AD1357" s="315"/>
      <c r="AE1357" s="32" t="str" cm="1">
        <f t="array" ref="AE1357">IFERROR(IF(INDEX(SubsidieTabel!$AD$1:$AG$12,MATCH($F1357,SubsidieTabel!$AD$1:$AD$12,0),IFERROR(MATCH(Methode_Keuze,SubsidieTabel!$AD$1:$AG$1,0),2))&lt;&gt;1=TRUE,"ja",""),"")</f>
        <v/>
      </c>
    </row>
    <row r="1358" spans="1:31" x14ac:dyDescent="0.25">
      <c r="A1358" s="316"/>
      <c r="B1358" s="317" t="str">
        <f>IF(A1358&lt;&gt;"",_xlfn.MAXIFS($B$1:B1357,$A$1:A1357,A1358)+1,"")</f>
        <v/>
      </c>
      <c r="C1358" s="296"/>
      <c r="D1358" s="296"/>
      <c r="E1358" s="296"/>
      <c r="F1358" s="296"/>
      <c r="G1358" s="326"/>
      <c r="H1358" s="324"/>
      <c r="I1358" s="325"/>
      <c r="J1358" s="325"/>
      <c r="K1358" s="318"/>
      <c r="L1358" s="318"/>
      <c r="M1358" s="319" t="str">
        <f>IFERROR(VLOOKUP(H1358,Lijsten!$H$1:$I$100,2,0),"")</f>
        <v/>
      </c>
      <c r="N1358" s="319" t="str">
        <f ca="1">IFERROR(IF(VLOOKUP(F1358,Kostentypen!$A$3:$E$21,3,0)=0,"",IF(OR(F1358="Arbeidskosten",F1358="Vergoeding"),VLOOKUP(G1358,Tb_KostenTypen[],2,0),VLOOKUP(F1358,Kostentypen!$A$3:$E$20,3,0))),"")</f>
        <v/>
      </c>
      <c r="O1358" s="320" t="str" cm="1">
        <f t="array" ref="O1358">_xlfn.IFNA(IF(INDEX(Tb_KostenOptiesDB[],MATCH($F1358,Tb_KostenOptiesDB[KostenOptie],0),IFERROR(MATCH(Methode_Keuze,Tb_KostenOptiesDB[#Headers],0),2))=1,_xlfn.SWITCH($N1358,"Uurtarief",IF(OR(AND(RIGHT($F1358,3)="IKS",VLOOKUP($M1358,DB_Loonkosten,2,0)="Ja"),AND(RIGHT($F1358,3)&lt;&gt;"IKS",VLOOKUP($M1358,DB_Loonkosten,2,0)="Nee")),IFERROR(VLOOKUP($M1358,DB_Loonkosten,24,0),""),0),"Vast tarief",IF(LEFT(F1358,8)="Bijdrage",VLOOKUP($F1358,Tb_KostenTypen[],MATCH(Lijsten!$P$1,Tb_KostenTypen[#Headers],0),0),VLOOKUP($G1358,Lijsten!L:P,MATCH(Lijsten!$P$1,Kop_Tarief_Vast,0),0))),""),"")</f>
        <v/>
      </c>
      <c r="P1358" s="320" t="str" cm="1">
        <f t="array" ref="P1358">_xlfn.IFNA(IF(INDEX(Tb_KostenOptiesDB[],MATCH($F1358,Tb_KostenOptiesDB[KostenOptie],0),IFERROR(MATCH(Methode_Keuze,Tb_KostenOptiesDB[#Headers],0),2))=1,_xlfn.SWITCH($N1358,"Uurtarief",IF(OR(AND(RIGHT($F1358,3)="IKS",VLOOKUP($M1358,DB_Loonkosten,2,0)="Ja"),AND(RIGHT($F1358,3)&lt;&gt;"IKS",VLOOKUP($M1358,DB_Loonkosten,2,0)="Nee")),IFERROR(VLOOKUP($M1358,DB_Loonkosten,25,0),""),0),"Vast tarief",IF(LEFT(F1358,8)="Bijdrage",VLOOKUP($F1358,Tb_KostenTypen[],MATCH(Lijsten!$P$1,Tb_KostenTypen[#Headers],0),0),VLOOKUP($G1358,Lijsten!L:P,MATCH(Lijsten!$P$1,Kop_Tarief_Vast,0),0))),""),"")</f>
        <v/>
      </c>
      <c r="Q1358" s="359"/>
      <c r="R1358" s="359"/>
      <c r="S1358" s="321"/>
      <c r="T1358" s="321"/>
      <c r="U1358" s="373" t="str">
        <f t="shared" si="84"/>
        <v/>
      </c>
      <c r="V1358" s="314" t="str">
        <f t="shared" si="85"/>
        <v/>
      </c>
      <c r="W1358" s="314" t="str" cm="1">
        <f t="array" aca="1" ref="W1358" ca="1">IFERROR(IF(AE1358&lt;&gt;"ja",_xlfn.IFNA(_xlfn.IFS(AND(O1358&lt;&gt;"",F1358&lt;&gt;"",RIGHT($N1358,6)="tarief",F1358="Vergoeding"),SUM(O1358)*FLOOR(SUM(Q1358),0.0001),AND(O1358&lt;&gt;"",F1358&lt;&gt;"",RIGHT($N1358,6)="tarief"),SUM(O1358)*FLOOR(SUM(Q1358),0.01),S1358&gt;0,IF(F1358&lt;&gt;"",FLOOR(SUM(S1358),0.01),"")),""),""),"")</f>
        <v/>
      </c>
      <c r="X1358" s="314" t="str" cm="1">
        <f t="array" aca="1" ref="X1358" ca="1">IFERROR(IF(AE1358&lt;&gt;"ja",_xlfn.IFNA(_xlfn.IFS(AND(P1358&lt;&gt;"",R1358&lt;&gt;"",RIGHT($N1358,6)="tarief",F1358="Vergoeding"),SUM(P1358)*FLOOR(SUM(R1358),0.0001),AND(P1358&lt;&gt;"",R1358&lt;&gt;"",RIGHT($N1358,6)="tarief"),P1358*FLOOR(R1358,0.01),T1358&gt;0,FLOOR(SUM(T1358),0.01)),""),""),"")</f>
        <v/>
      </c>
      <c r="Y1358" s="314" t="str">
        <f t="shared" ca="1" si="86"/>
        <v/>
      </c>
      <c r="Z1358" s="314" t="str" cm="1">
        <f t="array" aca="1" ref="Z1358" ca="1">IFERROR(_xlfn.IFS(OR(F1358="",LEFT(Methode_Keuze,4)="Geen",Methode_Keuze=""),"",AND(W1358&lt;&gt;"",F1358&lt;&gt;"Arbeidskosten"),W1358*VLOOKUP(F1358,Tb_ProjectKosten[],MATCH(Tb_ProjectKosten[[#Headers],[Forfait_Percentage]],Tb_ProjectKosten[#Headers],0),0),AND(F1358="Arbeidskosten",G1358&lt;&gt;""),IFERROR(W1358*VLOOKUP(G1358,Tb_KostenTypen[],3,0)*VLOOKUP(F1358,Tb_ProjectKosten[],MATCH(Tb_ProjectKosten[[#Headers],[Forfait_Percentage]],Tb_ProjectKosten[#Headers],0),0),""),W1358 &lt;=0,0),"")</f>
        <v/>
      </c>
      <c r="AA1358" s="314" t="str" cm="1">
        <f t="array" aca="1" ref="AA1358" ca="1">IFERROR(_xlfn.IFS(OR(F1358="",LEFT(Methode_Keuze,4)="Geen",Methode_Keuze=""),"",AND(X1358&lt;&gt;"",F1358&lt;&gt;"Arbeidskosten"),X1358*VLOOKUP(F1358,Tb_ProjectKosten[],MATCH(Tb_ProjectKosten[[#Headers],[Forfait_Percentage]],Tb_ProjectKosten[#Headers],0),0),AND(F1358="Arbeidskosten",G1358&lt;&gt;""),IFERROR(X1358*VLOOKUP(G1358,Tb_KostenTypen[],3,0)*VLOOKUP(F1358,Tb_ProjectKosten[],MATCH(Tb_ProjectKosten[[#Headers],[Forfait_Percentage]],Tb_ProjectKosten[#Headers],0),0),""),X1358 &lt;=0,0),"")</f>
        <v/>
      </c>
      <c r="AB1358" s="314" t="str">
        <f t="shared" ca="1" si="87"/>
        <v/>
      </c>
      <c r="AC1358" s="322"/>
      <c r="AD1358" s="315"/>
      <c r="AE1358" s="32" t="str" cm="1">
        <f t="array" ref="AE1358">IFERROR(IF(INDEX(SubsidieTabel!$AD$1:$AG$12,MATCH($F1358,SubsidieTabel!$AD$1:$AD$12,0),IFERROR(MATCH(Methode_Keuze,SubsidieTabel!$AD$1:$AG$1,0),2))&lt;&gt;1=TRUE,"ja",""),"")</f>
        <v/>
      </c>
    </row>
    <row r="1359" spans="1:31" x14ac:dyDescent="0.25">
      <c r="A1359" s="316"/>
      <c r="B1359" s="317" t="str">
        <f>IF(A1359&lt;&gt;"",_xlfn.MAXIFS($B$1:B1358,$A$1:A1358,A1359)+1,"")</f>
        <v/>
      </c>
      <c r="C1359" s="296"/>
      <c r="D1359" s="296"/>
      <c r="E1359" s="296"/>
      <c r="F1359" s="296"/>
      <c r="G1359" s="326"/>
      <c r="H1359" s="324"/>
      <c r="I1359" s="325"/>
      <c r="J1359" s="325"/>
      <c r="K1359" s="318"/>
      <c r="L1359" s="318"/>
      <c r="M1359" s="319" t="str">
        <f>IFERROR(VLOOKUP(H1359,Lijsten!$H$1:$I$100,2,0),"")</f>
        <v/>
      </c>
      <c r="N1359" s="319" t="str">
        <f ca="1">IFERROR(IF(VLOOKUP(F1359,Kostentypen!$A$3:$E$21,3,0)=0,"",IF(OR(F1359="Arbeidskosten",F1359="Vergoeding"),VLOOKUP(G1359,Tb_KostenTypen[],2,0),VLOOKUP(F1359,Kostentypen!$A$3:$E$20,3,0))),"")</f>
        <v/>
      </c>
      <c r="O1359" s="320" t="str" cm="1">
        <f t="array" ref="O1359">_xlfn.IFNA(IF(INDEX(Tb_KostenOptiesDB[],MATCH($F1359,Tb_KostenOptiesDB[KostenOptie],0),IFERROR(MATCH(Methode_Keuze,Tb_KostenOptiesDB[#Headers],0),2))=1,_xlfn.SWITCH($N1359,"Uurtarief",IF(OR(AND(RIGHT($F1359,3)="IKS",VLOOKUP($M1359,DB_Loonkosten,2,0)="Ja"),AND(RIGHT($F1359,3)&lt;&gt;"IKS",VLOOKUP($M1359,DB_Loonkosten,2,0)="Nee")),IFERROR(VLOOKUP($M1359,DB_Loonkosten,24,0),""),0),"Vast tarief",IF(LEFT(F1359,8)="Bijdrage",VLOOKUP($F1359,Tb_KostenTypen[],MATCH(Lijsten!$P$1,Tb_KostenTypen[#Headers],0),0),VLOOKUP($G1359,Lijsten!L:P,MATCH(Lijsten!$P$1,Kop_Tarief_Vast,0),0))),""),"")</f>
        <v/>
      </c>
      <c r="P1359" s="320" t="str" cm="1">
        <f t="array" ref="P1359">_xlfn.IFNA(IF(INDEX(Tb_KostenOptiesDB[],MATCH($F1359,Tb_KostenOptiesDB[KostenOptie],0),IFERROR(MATCH(Methode_Keuze,Tb_KostenOptiesDB[#Headers],0),2))=1,_xlfn.SWITCH($N1359,"Uurtarief",IF(OR(AND(RIGHT($F1359,3)="IKS",VLOOKUP($M1359,DB_Loonkosten,2,0)="Ja"),AND(RIGHT($F1359,3)&lt;&gt;"IKS",VLOOKUP($M1359,DB_Loonkosten,2,0)="Nee")),IFERROR(VLOOKUP($M1359,DB_Loonkosten,25,0),""),0),"Vast tarief",IF(LEFT(F1359,8)="Bijdrage",VLOOKUP($F1359,Tb_KostenTypen[],MATCH(Lijsten!$P$1,Tb_KostenTypen[#Headers],0),0),VLOOKUP($G1359,Lijsten!L:P,MATCH(Lijsten!$P$1,Kop_Tarief_Vast,0),0))),""),"")</f>
        <v/>
      </c>
      <c r="Q1359" s="359"/>
      <c r="R1359" s="359"/>
      <c r="S1359" s="321"/>
      <c r="T1359" s="321"/>
      <c r="U1359" s="373" t="str">
        <f t="shared" si="84"/>
        <v/>
      </c>
      <c r="V1359" s="314" t="str">
        <f t="shared" si="85"/>
        <v/>
      </c>
      <c r="W1359" s="314" t="str" cm="1">
        <f t="array" aca="1" ref="W1359" ca="1">IFERROR(IF(AE1359&lt;&gt;"ja",_xlfn.IFNA(_xlfn.IFS(AND(O1359&lt;&gt;"",F1359&lt;&gt;"",RIGHT($N1359,6)="tarief",F1359="Vergoeding"),SUM(O1359)*FLOOR(SUM(Q1359),0.0001),AND(O1359&lt;&gt;"",F1359&lt;&gt;"",RIGHT($N1359,6)="tarief"),SUM(O1359)*FLOOR(SUM(Q1359),0.01),S1359&gt;0,IF(F1359&lt;&gt;"",FLOOR(SUM(S1359),0.01),"")),""),""),"")</f>
        <v/>
      </c>
      <c r="X1359" s="314" t="str" cm="1">
        <f t="array" aca="1" ref="X1359" ca="1">IFERROR(IF(AE1359&lt;&gt;"ja",_xlfn.IFNA(_xlfn.IFS(AND(P1359&lt;&gt;"",R1359&lt;&gt;"",RIGHT($N1359,6)="tarief",F1359="Vergoeding"),SUM(P1359)*FLOOR(SUM(R1359),0.0001),AND(P1359&lt;&gt;"",R1359&lt;&gt;"",RIGHT($N1359,6)="tarief"),P1359*FLOOR(R1359,0.01),T1359&gt;0,FLOOR(SUM(T1359),0.01)),""),""),"")</f>
        <v/>
      </c>
      <c r="Y1359" s="314" t="str">
        <f t="shared" ca="1" si="86"/>
        <v/>
      </c>
      <c r="Z1359" s="314" t="str" cm="1">
        <f t="array" aca="1" ref="Z1359" ca="1">IFERROR(_xlfn.IFS(OR(F1359="",LEFT(Methode_Keuze,4)="Geen",Methode_Keuze=""),"",AND(W1359&lt;&gt;"",F1359&lt;&gt;"Arbeidskosten"),W1359*VLOOKUP(F1359,Tb_ProjectKosten[],MATCH(Tb_ProjectKosten[[#Headers],[Forfait_Percentage]],Tb_ProjectKosten[#Headers],0),0),AND(F1359="Arbeidskosten",G1359&lt;&gt;""),IFERROR(W1359*VLOOKUP(G1359,Tb_KostenTypen[],3,0)*VLOOKUP(F1359,Tb_ProjectKosten[],MATCH(Tb_ProjectKosten[[#Headers],[Forfait_Percentage]],Tb_ProjectKosten[#Headers],0),0),""),W1359 &lt;=0,0),"")</f>
        <v/>
      </c>
      <c r="AA1359" s="314" t="str" cm="1">
        <f t="array" aca="1" ref="AA1359" ca="1">IFERROR(_xlfn.IFS(OR(F1359="",LEFT(Methode_Keuze,4)="Geen",Methode_Keuze=""),"",AND(X1359&lt;&gt;"",F1359&lt;&gt;"Arbeidskosten"),X1359*VLOOKUP(F1359,Tb_ProjectKosten[],MATCH(Tb_ProjectKosten[[#Headers],[Forfait_Percentage]],Tb_ProjectKosten[#Headers],0),0),AND(F1359="Arbeidskosten",G1359&lt;&gt;""),IFERROR(X1359*VLOOKUP(G1359,Tb_KostenTypen[],3,0)*VLOOKUP(F1359,Tb_ProjectKosten[],MATCH(Tb_ProjectKosten[[#Headers],[Forfait_Percentage]],Tb_ProjectKosten[#Headers],0),0),""),X1359 &lt;=0,0),"")</f>
        <v/>
      </c>
      <c r="AB1359" s="314" t="str">
        <f t="shared" ca="1" si="87"/>
        <v/>
      </c>
      <c r="AC1359" s="322"/>
      <c r="AD1359" s="315"/>
      <c r="AE1359" s="32" t="str" cm="1">
        <f t="array" ref="AE1359">IFERROR(IF(INDEX(SubsidieTabel!$AD$1:$AG$12,MATCH($F1359,SubsidieTabel!$AD$1:$AD$12,0),IFERROR(MATCH(Methode_Keuze,SubsidieTabel!$AD$1:$AG$1,0),2))&lt;&gt;1=TRUE,"ja",""),"")</f>
        <v/>
      </c>
    </row>
    <row r="1360" spans="1:31" x14ac:dyDescent="0.25">
      <c r="A1360" s="316"/>
      <c r="B1360" s="317" t="str">
        <f>IF(A1360&lt;&gt;"",_xlfn.MAXIFS($B$1:B1359,$A$1:A1359,A1360)+1,"")</f>
        <v/>
      </c>
      <c r="C1360" s="296"/>
      <c r="D1360" s="296"/>
      <c r="E1360" s="296"/>
      <c r="F1360" s="296"/>
      <c r="G1360" s="326"/>
      <c r="H1360" s="324"/>
      <c r="I1360" s="325"/>
      <c r="J1360" s="325"/>
      <c r="K1360" s="318"/>
      <c r="L1360" s="318"/>
      <c r="M1360" s="319" t="str">
        <f>IFERROR(VLOOKUP(H1360,Lijsten!$H$1:$I$100,2,0),"")</f>
        <v/>
      </c>
      <c r="N1360" s="319" t="str">
        <f ca="1">IFERROR(IF(VLOOKUP(F1360,Kostentypen!$A$3:$E$21,3,0)=0,"",IF(OR(F1360="Arbeidskosten",F1360="Vergoeding"),VLOOKUP(G1360,Tb_KostenTypen[],2,0),VLOOKUP(F1360,Kostentypen!$A$3:$E$20,3,0))),"")</f>
        <v/>
      </c>
      <c r="O1360" s="320" t="str" cm="1">
        <f t="array" ref="O1360">_xlfn.IFNA(IF(INDEX(Tb_KostenOptiesDB[],MATCH($F1360,Tb_KostenOptiesDB[KostenOptie],0),IFERROR(MATCH(Methode_Keuze,Tb_KostenOptiesDB[#Headers],0),2))=1,_xlfn.SWITCH($N1360,"Uurtarief",IF(OR(AND(RIGHT($F1360,3)="IKS",VLOOKUP($M1360,DB_Loonkosten,2,0)="Ja"),AND(RIGHT($F1360,3)&lt;&gt;"IKS",VLOOKUP($M1360,DB_Loonkosten,2,0)="Nee")),IFERROR(VLOOKUP($M1360,DB_Loonkosten,24,0),""),0),"Vast tarief",IF(LEFT(F1360,8)="Bijdrage",VLOOKUP($F1360,Tb_KostenTypen[],MATCH(Lijsten!$P$1,Tb_KostenTypen[#Headers],0),0),VLOOKUP($G1360,Lijsten!L:P,MATCH(Lijsten!$P$1,Kop_Tarief_Vast,0),0))),""),"")</f>
        <v/>
      </c>
      <c r="P1360" s="320" t="str" cm="1">
        <f t="array" ref="P1360">_xlfn.IFNA(IF(INDEX(Tb_KostenOptiesDB[],MATCH($F1360,Tb_KostenOptiesDB[KostenOptie],0),IFERROR(MATCH(Methode_Keuze,Tb_KostenOptiesDB[#Headers],0),2))=1,_xlfn.SWITCH($N1360,"Uurtarief",IF(OR(AND(RIGHT($F1360,3)="IKS",VLOOKUP($M1360,DB_Loonkosten,2,0)="Ja"),AND(RIGHT($F1360,3)&lt;&gt;"IKS",VLOOKUP($M1360,DB_Loonkosten,2,0)="Nee")),IFERROR(VLOOKUP($M1360,DB_Loonkosten,25,0),""),0),"Vast tarief",IF(LEFT(F1360,8)="Bijdrage",VLOOKUP($F1360,Tb_KostenTypen[],MATCH(Lijsten!$P$1,Tb_KostenTypen[#Headers],0),0),VLOOKUP($G1360,Lijsten!L:P,MATCH(Lijsten!$P$1,Kop_Tarief_Vast,0),0))),""),"")</f>
        <v/>
      </c>
      <c r="Q1360" s="359"/>
      <c r="R1360" s="359"/>
      <c r="S1360" s="321"/>
      <c r="T1360" s="321"/>
      <c r="U1360" s="373" t="str">
        <f t="shared" si="84"/>
        <v/>
      </c>
      <c r="V1360" s="314" t="str">
        <f t="shared" si="85"/>
        <v/>
      </c>
      <c r="W1360" s="314" t="str" cm="1">
        <f t="array" aca="1" ref="W1360" ca="1">IFERROR(IF(AE1360&lt;&gt;"ja",_xlfn.IFNA(_xlfn.IFS(AND(O1360&lt;&gt;"",F1360&lt;&gt;"",RIGHT($N1360,6)="tarief",F1360="Vergoeding"),SUM(O1360)*FLOOR(SUM(Q1360),0.0001),AND(O1360&lt;&gt;"",F1360&lt;&gt;"",RIGHT($N1360,6)="tarief"),SUM(O1360)*FLOOR(SUM(Q1360),0.01),S1360&gt;0,IF(F1360&lt;&gt;"",FLOOR(SUM(S1360),0.01),"")),""),""),"")</f>
        <v/>
      </c>
      <c r="X1360" s="314" t="str" cm="1">
        <f t="array" aca="1" ref="X1360" ca="1">IFERROR(IF(AE1360&lt;&gt;"ja",_xlfn.IFNA(_xlfn.IFS(AND(P1360&lt;&gt;"",R1360&lt;&gt;"",RIGHT($N1360,6)="tarief",F1360="Vergoeding"),SUM(P1360)*FLOOR(SUM(R1360),0.0001),AND(P1360&lt;&gt;"",R1360&lt;&gt;"",RIGHT($N1360,6)="tarief"),P1360*FLOOR(R1360,0.01),T1360&gt;0,FLOOR(SUM(T1360),0.01)),""),""),"")</f>
        <v/>
      </c>
      <c r="Y1360" s="314" t="str">
        <f t="shared" ca="1" si="86"/>
        <v/>
      </c>
      <c r="Z1360" s="314" t="str" cm="1">
        <f t="array" aca="1" ref="Z1360" ca="1">IFERROR(_xlfn.IFS(OR(F1360="",LEFT(Methode_Keuze,4)="Geen",Methode_Keuze=""),"",AND(W1360&lt;&gt;"",F1360&lt;&gt;"Arbeidskosten"),W1360*VLOOKUP(F1360,Tb_ProjectKosten[],MATCH(Tb_ProjectKosten[[#Headers],[Forfait_Percentage]],Tb_ProjectKosten[#Headers],0),0),AND(F1360="Arbeidskosten",G1360&lt;&gt;""),IFERROR(W1360*VLOOKUP(G1360,Tb_KostenTypen[],3,0)*VLOOKUP(F1360,Tb_ProjectKosten[],MATCH(Tb_ProjectKosten[[#Headers],[Forfait_Percentage]],Tb_ProjectKosten[#Headers],0),0),""),W1360 &lt;=0,0),"")</f>
        <v/>
      </c>
      <c r="AA1360" s="314" t="str" cm="1">
        <f t="array" aca="1" ref="AA1360" ca="1">IFERROR(_xlfn.IFS(OR(F1360="",LEFT(Methode_Keuze,4)="Geen",Methode_Keuze=""),"",AND(X1360&lt;&gt;"",F1360&lt;&gt;"Arbeidskosten"),X1360*VLOOKUP(F1360,Tb_ProjectKosten[],MATCH(Tb_ProjectKosten[[#Headers],[Forfait_Percentage]],Tb_ProjectKosten[#Headers],0),0),AND(F1360="Arbeidskosten",G1360&lt;&gt;""),IFERROR(X1360*VLOOKUP(G1360,Tb_KostenTypen[],3,0)*VLOOKUP(F1360,Tb_ProjectKosten[],MATCH(Tb_ProjectKosten[[#Headers],[Forfait_Percentage]],Tb_ProjectKosten[#Headers],0),0),""),X1360 &lt;=0,0),"")</f>
        <v/>
      </c>
      <c r="AB1360" s="314" t="str">
        <f t="shared" ca="1" si="87"/>
        <v/>
      </c>
      <c r="AC1360" s="322"/>
      <c r="AD1360" s="315"/>
      <c r="AE1360" s="32" t="str" cm="1">
        <f t="array" ref="AE1360">IFERROR(IF(INDEX(SubsidieTabel!$AD$1:$AG$12,MATCH($F1360,SubsidieTabel!$AD$1:$AD$12,0),IFERROR(MATCH(Methode_Keuze,SubsidieTabel!$AD$1:$AG$1,0),2))&lt;&gt;1=TRUE,"ja",""),"")</f>
        <v/>
      </c>
    </row>
    <row r="1361" spans="1:31" x14ac:dyDescent="0.25">
      <c r="A1361" s="316"/>
      <c r="B1361" s="317" t="str">
        <f>IF(A1361&lt;&gt;"",_xlfn.MAXIFS($B$1:B1360,$A$1:A1360,A1361)+1,"")</f>
        <v/>
      </c>
      <c r="C1361" s="296"/>
      <c r="D1361" s="296"/>
      <c r="E1361" s="296"/>
      <c r="F1361" s="296"/>
      <c r="G1361" s="326"/>
      <c r="H1361" s="324"/>
      <c r="I1361" s="325"/>
      <c r="J1361" s="325"/>
      <c r="K1361" s="318"/>
      <c r="L1361" s="318"/>
      <c r="M1361" s="319" t="str">
        <f>IFERROR(VLOOKUP(H1361,Lijsten!$H$1:$I$100,2,0),"")</f>
        <v/>
      </c>
      <c r="N1361" s="319" t="str">
        <f ca="1">IFERROR(IF(VLOOKUP(F1361,Kostentypen!$A$3:$E$21,3,0)=0,"",IF(OR(F1361="Arbeidskosten",F1361="Vergoeding"),VLOOKUP(G1361,Tb_KostenTypen[],2,0),VLOOKUP(F1361,Kostentypen!$A$3:$E$20,3,0))),"")</f>
        <v/>
      </c>
      <c r="O1361" s="320" t="str" cm="1">
        <f t="array" ref="O1361">_xlfn.IFNA(IF(INDEX(Tb_KostenOptiesDB[],MATCH($F1361,Tb_KostenOptiesDB[KostenOptie],0),IFERROR(MATCH(Methode_Keuze,Tb_KostenOptiesDB[#Headers],0),2))=1,_xlfn.SWITCH($N1361,"Uurtarief",IF(OR(AND(RIGHT($F1361,3)="IKS",VLOOKUP($M1361,DB_Loonkosten,2,0)="Ja"),AND(RIGHT($F1361,3)&lt;&gt;"IKS",VLOOKUP($M1361,DB_Loonkosten,2,0)="Nee")),IFERROR(VLOOKUP($M1361,DB_Loonkosten,24,0),""),0),"Vast tarief",IF(LEFT(F1361,8)="Bijdrage",VLOOKUP($F1361,Tb_KostenTypen[],MATCH(Lijsten!$P$1,Tb_KostenTypen[#Headers],0),0),VLOOKUP($G1361,Lijsten!L:P,MATCH(Lijsten!$P$1,Kop_Tarief_Vast,0),0))),""),"")</f>
        <v/>
      </c>
      <c r="P1361" s="320" t="str" cm="1">
        <f t="array" ref="P1361">_xlfn.IFNA(IF(INDEX(Tb_KostenOptiesDB[],MATCH($F1361,Tb_KostenOptiesDB[KostenOptie],0),IFERROR(MATCH(Methode_Keuze,Tb_KostenOptiesDB[#Headers],0),2))=1,_xlfn.SWITCH($N1361,"Uurtarief",IF(OR(AND(RIGHT($F1361,3)="IKS",VLOOKUP($M1361,DB_Loonkosten,2,0)="Ja"),AND(RIGHT($F1361,3)&lt;&gt;"IKS",VLOOKUP($M1361,DB_Loonkosten,2,0)="Nee")),IFERROR(VLOOKUP($M1361,DB_Loonkosten,25,0),""),0),"Vast tarief",IF(LEFT(F1361,8)="Bijdrage",VLOOKUP($F1361,Tb_KostenTypen[],MATCH(Lijsten!$P$1,Tb_KostenTypen[#Headers],0),0),VLOOKUP($G1361,Lijsten!L:P,MATCH(Lijsten!$P$1,Kop_Tarief_Vast,0),0))),""),"")</f>
        <v/>
      </c>
      <c r="Q1361" s="359"/>
      <c r="R1361" s="359"/>
      <c r="S1361" s="321"/>
      <c r="T1361" s="321"/>
      <c r="U1361" s="373" t="str">
        <f t="shared" si="84"/>
        <v/>
      </c>
      <c r="V1361" s="314" t="str">
        <f t="shared" si="85"/>
        <v/>
      </c>
      <c r="W1361" s="314" t="str" cm="1">
        <f t="array" aca="1" ref="W1361" ca="1">IFERROR(IF(AE1361&lt;&gt;"ja",_xlfn.IFNA(_xlfn.IFS(AND(O1361&lt;&gt;"",F1361&lt;&gt;"",RIGHT($N1361,6)="tarief",F1361="Vergoeding"),SUM(O1361)*FLOOR(SUM(Q1361),0.0001),AND(O1361&lt;&gt;"",F1361&lt;&gt;"",RIGHT($N1361,6)="tarief"),SUM(O1361)*FLOOR(SUM(Q1361),0.01),S1361&gt;0,IF(F1361&lt;&gt;"",FLOOR(SUM(S1361),0.01),"")),""),""),"")</f>
        <v/>
      </c>
      <c r="X1361" s="314" t="str" cm="1">
        <f t="array" aca="1" ref="X1361" ca="1">IFERROR(IF(AE1361&lt;&gt;"ja",_xlfn.IFNA(_xlfn.IFS(AND(P1361&lt;&gt;"",R1361&lt;&gt;"",RIGHT($N1361,6)="tarief",F1361="Vergoeding"),SUM(P1361)*FLOOR(SUM(R1361),0.0001),AND(P1361&lt;&gt;"",R1361&lt;&gt;"",RIGHT($N1361,6)="tarief"),P1361*FLOOR(R1361,0.01),T1361&gt;0,FLOOR(SUM(T1361),0.01)),""),""),"")</f>
        <v/>
      </c>
      <c r="Y1361" s="314" t="str">
        <f t="shared" ca="1" si="86"/>
        <v/>
      </c>
      <c r="Z1361" s="314" t="str" cm="1">
        <f t="array" aca="1" ref="Z1361" ca="1">IFERROR(_xlfn.IFS(OR(F1361="",LEFT(Methode_Keuze,4)="Geen",Methode_Keuze=""),"",AND(W1361&lt;&gt;"",F1361&lt;&gt;"Arbeidskosten"),W1361*VLOOKUP(F1361,Tb_ProjectKosten[],MATCH(Tb_ProjectKosten[[#Headers],[Forfait_Percentage]],Tb_ProjectKosten[#Headers],0),0),AND(F1361="Arbeidskosten",G1361&lt;&gt;""),IFERROR(W1361*VLOOKUP(G1361,Tb_KostenTypen[],3,0)*VLOOKUP(F1361,Tb_ProjectKosten[],MATCH(Tb_ProjectKosten[[#Headers],[Forfait_Percentage]],Tb_ProjectKosten[#Headers],0),0),""),W1361 &lt;=0,0),"")</f>
        <v/>
      </c>
      <c r="AA1361" s="314" t="str" cm="1">
        <f t="array" aca="1" ref="AA1361" ca="1">IFERROR(_xlfn.IFS(OR(F1361="",LEFT(Methode_Keuze,4)="Geen",Methode_Keuze=""),"",AND(X1361&lt;&gt;"",F1361&lt;&gt;"Arbeidskosten"),X1361*VLOOKUP(F1361,Tb_ProjectKosten[],MATCH(Tb_ProjectKosten[[#Headers],[Forfait_Percentage]],Tb_ProjectKosten[#Headers],0),0),AND(F1361="Arbeidskosten",G1361&lt;&gt;""),IFERROR(X1361*VLOOKUP(G1361,Tb_KostenTypen[],3,0)*VLOOKUP(F1361,Tb_ProjectKosten[],MATCH(Tb_ProjectKosten[[#Headers],[Forfait_Percentage]],Tb_ProjectKosten[#Headers],0),0),""),X1361 &lt;=0,0),"")</f>
        <v/>
      </c>
      <c r="AB1361" s="314" t="str">
        <f t="shared" ca="1" si="87"/>
        <v/>
      </c>
      <c r="AC1361" s="322"/>
      <c r="AD1361" s="315"/>
      <c r="AE1361" s="32" t="str" cm="1">
        <f t="array" ref="AE1361">IFERROR(IF(INDEX(SubsidieTabel!$AD$1:$AG$12,MATCH($F1361,SubsidieTabel!$AD$1:$AD$12,0),IFERROR(MATCH(Methode_Keuze,SubsidieTabel!$AD$1:$AG$1,0),2))&lt;&gt;1=TRUE,"ja",""),"")</f>
        <v/>
      </c>
    </row>
    <row r="1362" spans="1:31" x14ac:dyDescent="0.25">
      <c r="A1362" s="316"/>
      <c r="B1362" s="317" t="str">
        <f>IF(A1362&lt;&gt;"",_xlfn.MAXIFS($B$1:B1361,$A$1:A1361,A1362)+1,"")</f>
        <v/>
      </c>
      <c r="C1362" s="296"/>
      <c r="D1362" s="296"/>
      <c r="E1362" s="296"/>
      <c r="F1362" s="296"/>
      <c r="G1362" s="326"/>
      <c r="H1362" s="324"/>
      <c r="I1362" s="325"/>
      <c r="J1362" s="325"/>
      <c r="K1362" s="318"/>
      <c r="L1362" s="318"/>
      <c r="M1362" s="319" t="str">
        <f>IFERROR(VLOOKUP(H1362,Lijsten!$H$1:$I$100,2,0),"")</f>
        <v/>
      </c>
      <c r="N1362" s="319" t="str">
        <f ca="1">IFERROR(IF(VLOOKUP(F1362,Kostentypen!$A$3:$E$21,3,0)=0,"",IF(OR(F1362="Arbeidskosten",F1362="Vergoeding"),VLOOKUP(G1362,Tb_KostenTypen[],2,0),VLOOKUP(F1362,Kostentypen!$A$3:$E$20,3,0))),"")</f>
        <v/>
      </c>
      <c r="O1362" s="320" t="str" cm="1">
        <f t="array" ref="O1362">_xlfn.IFNA(IF(INDEX(Tb_KostenOptiesDB[],MATCH($F1362,Tb_KostenOptiesDB[KostenOptie],0),IFERROR(MATCH(Methode_Keuze,Tb_KostenOptiesDB[#Headers],0),2))=1,_xlfn.SWITCH($N1362,"Uurtarief",IF(OR(AND(RIGHT($F1362,3)="IKS",VLOOKUP($M1362,DB_Loonkosten,2,0)="Ja"),AND(RIGHT($F1362,3)&lt;&gt;"IKS",VLOOKUP($M1362,DB_Loonkosten,2,0)="Nee")),IFERROR(VLOOKUP($M1362,DB_Loonkosten,24,0),""),0),"Vast tarief",IF(LEFT(F1362,8)="Bijdrage",VLOOKUP($F1362,Tb_KostenTypen[],MATCH(Lijsten!$P$1,Tb_KostenTypen[#Headers],0),0),VLOOKUP($G1362,Lijsten!L:P,MATCH(Lijsten!$P$1,Kop_Tarief_Vast,0),0))),""),"")</f>
        <v/>
      </c>
      <c r="P1362" s="320" t="str" cm="1">
        <f t="array" ref="P1362">_xlfn.IFNA(IF(INDEX(Tb_KostenOptiesDB[],MATCH($F1362,Tb_KostenOptiesDB[KostenOptie],0),IFERROR(MATCH(Methode_Keuze,Tb_KostenOptiesDB[#Headers],0),2))=1,_xlfn.SWITCH($N1362,"Uurtarief",IF(OR(AND(RIGHT($F1362,3)="IKS",VLOOKUP($M1362,DB_Loonkosten,2,0)="Ja"),AND(RIGHT($F1362,3)&lt;&gt;"IKS",VLOOKUP($M1362,DB_Loonkosten,2,0)="Nee")),IFERROR(VLOOKUP($M1362,DB_Loonkosten,25,0),""),0),"Vast tarief",IF(LEFT(F1362,8)="Bijdrage",VLOOKUP($F1362,Tb_KostenTypen[],MATCH(Lijsten!$P$1,Tb_KostenTypen[#Headers],0),0),VLOOKUP($G1362,Lijsten!L:P,MATCH(Lijsten!$P$1,Kop_Tarief_Vast,0),0))),""),"")</f>
        <v/>
      </c>
      <c r="Q1362" s="359"/>
      <c r="R1362" s="359"/>
      <c r="S1362" s="321"/>
      <c r="T1362" s="321"/>
      <c r="U1362" s="373" t="str">
        <f t="shared" si="84"/>
        <v/>
      </c>
      <c r="V1362" s="314" t="str">
        <f t="shared" si="85"/>
        <v/>
      </c>
      <c r="W1362" s="314" t="str" cm="1">
        <f t="array" aca="1" ref="W1362" ca="1">IFERROR(IF(AE1362&lt;&gt;"ja",_xlfn.IFNA(_xlfn.IFS(AND(O1362&lt;&gt;"",F1362&lt;&gt;"",RIGHT($N1362,6)="tarief",F1362="Vergoeding"),SUM(O1362)*FLOOR(SUM(Q1362),0.0001),AND(O1362&lt;&gt;"",F1362&lt;&gt;"",RIGHT($N1362,6)="tarief"),SUM(O1362)*FLOOR(SUM(Q1362),0.01),S1362&gt;0,IF(F1362&lt;&gt;"",FLOOR(SUM(S1362),0.01),"")),""),""),"")</f>
        <v/>
      </c>
      <c r="X1362" s="314" t="str" cm="1">
        <f t="array" aca="1" ref="X1362" ca="1">IFERROR(IF(AE1362&lt;&gt;"ja",_xlfn.IFNA(_xlfn.IFS(AND(P1362&lt;&gt;"",R1362&lt;&gt;"",RIGHT($N1362,6)="tarief",F1362="Vergoeding"),SUM(P1362)*FLOOR(SUM(R1362),0.0001),AND(P1362&lt;&gt;"",R1362&lt;&gt;"",RIGHT($N1362,6)="tarief"),P1362*FLOOR(R1362,0.01),T1362&gt;0,FLOOR(SUM(T1362),0.01)),""),""),"")</f>
        <v/>
      </c>
      <c r="Y1362" s="314" t="str">
        <f t="shared" ca="1" si="86"/>
        <v/>
      </c>
      <c r="Z1362" s="314" t="str" cm="1">
        <f t="array" aca="1" ref="Z1362" ca="1">IFERROR(_xlfn.IFS(OR(F1362="",LEFT(Methode_Keuze,4)="Geen",Methode_Keuze=""),"",AND(W1362&lt;&gt;"",F1362&lt;&gt;"Arbeidskosten"),W1362*VLOOKUP(F1362,Tb_ProjectKosten[],MATCH(Tb_ProjectKosten[[#Headers],[Forfait_Percentage]],Tb_ProjectKosten[#Headers],0),0),AND(F1362="Arbeidskosten",G1362&lt;&gt;""),IFERROR(W1362*VLOOKUP(G1362,Tb_KostenTypen[],3,0)*VLOOKUP(F1362,Tb_ProjectKosten[],MATCH(Tb_ProjectKosten[[#Headers],[Forfait_Percentage]],Tb_ProjectKosten[#Headers],0),0),""),W1362 &lt;=0,0),"")</f>
        <v/>
      </c>
      <c r="AA1362" s="314" t="str" cm="1">
        <f t="array" aca="1" ref="AA1362" ca="1">IFERROR(_xlfn.IFS(OR(F1362="",LEFT(Methode_Keuze,4)="Geen",Methode_Keuze=""),"",AND(X1362&lt;&gt;"",F1362&lt;&gt;"Arbeidskosten"),X1362*VLOOKUP(F1362,Tb_ProjectKosten[],MATCH(Tb_ProjectKosten[[#Headers],[Forfait_Percentage]],Tb_ProjectKosten[#Headers],0),0),AND(F1362="Arbeidskosten",G1362&lt;&gt;""),IFERROR(X1362*VLOOKUP(G1362,Tb_KostenTypen[],3,0)*VLOOKUP(F1362,Tb_ProjectKosten[],MATCH(Tb_ProjectKosten[[#Headers],[Forfait_Percentage]],Tb_ProjectKosten[#Headers],0),0),""),X1362 &lt;=0,0),"")</f>
        <v/>
      </c>
      <c r="AB1362" s="314" t="str">
        <f t="shared" ca="1" si="87"/>
        <v/>
      </c>
      <c r="AC1362" s="322"/>
      <c r="AD1362" s="315"/>
      <c r="AE1362" s="32" t="str" cm="1">
        <f t="array" ref="AE1362">IFERROR(IF(INDEX(SubsidieTabel!$AD$1:$AG$12,MATCH($F1362,SubsidieTabel!$AD$1:$AD$12,0),IFERROR(MATCH(Methode_Keuze,SubsidieTabel!$AD$1:$AG$1,0),2))&lt;&gt;1=TRUE,"ja",""),"")</f>
        <v/>
      </c>
    </row>
    <row r="1363" spans="1:31" x14ac:dyDescent="0.25">
      <c r="A1363" s="316"/>
      <c r="B1363" s="317" t="str">
        <f>IF(A1363&lt;&gt;"",_xlfn.MAXIFS($B$1:B1362,$A$1:A1362,A1363)+1,"")</f>
        <v/>
      </c>
      <c r="C1363" s="296"/>
      <c r="D1363" s="296"/>
      <c r="E1363" s="296"/>
      <c r="F1363" s="296"/>
      <c r="G1363" s="326"/>
      <c r="H1363" s="324"/>
      <c r="I1363" s="325"/>
      <c r="J1363" s="325"/>
      <c r="K1363" s="318"/>
      <c r="L1363" s="318"/>
      <c r="M1363" s="319" t="str">
        <f>IFERROR(VLOOKUP(H1363,Lijsten!$H$1:$I$100,2,0),"")</f>
        <v/>
      </c>
      <c r="N1363" s="319" t="str">
        <f ca="1">IFERROR(IF(VLOOKUP(F1363,Kostentypen!$A$3:$E$21,3,0)=0,"",IF(OR(F1363="Arbeidskosten",F1363="Vergoeding"),VLOOKUP(G1363,Tb_KostenTypen[],2,0),VLOOKUP(F1363,Kostentypen!$A$3:$E$20,3,0))),"")</f>
        <v/>
      </c>
      <c r="O1363" s="320" t="str" cm="1">
        <f t="array" ref="O1363">_xlfn.IFNA(IF(INDEX(Tb_KostenOptiesDB[],MATCH($F1363,Tb_KostenOptiesDB[KostenOptie],0),IFERROR(MATCH(Methode_Keuze,Tb_KostenOptiesDB[#Headers],0),2))=1,_xlfn.SWITCH($N1363,"Uurtarief",IF(OR(AND(RIGHT($F1363,3)="IKS",VLOOKUP($M1363,DB_Loonkosten,2,0)="Ja"),AND(RIGHT($F1363,3)&lt;&gt;"IKS",VLOOKUP($M1363,DB_Loonkosten,2,0)="Nee")),IFERROR(VLOOKUP($M1363,DB_Loonkosten,24,0),""),0),"Vast tarief",IF(LEFT(F1363,8)="Bijdrage",VLOOKUP($F1363,Tb_KostenTypen[],MATCH(Lijsten!$P$1,Tb_KostenTypen[#Headers],0),0),VLOOKUP($G1363,Lijsten!L:P,MATCH(Lijsten!$P$1,Kop_Tarief_Vast,0),0))),""),"")</f>
        <v/>
      </c>
      <c r="P1363" s="320" t="str" cm="1">
        <f t="array" ref="P1363">_xlfn.IFNA(IF(INDEX(Tb_KostenOptiesDB[],MATCH($F1363,Tb_KostenOptiesDB[KostenOptie],0),IFERROR(MATCH(Methode_Keuze,Tb_KostenOptiesDB[#Headers],0),2))=1,_xlfn.SWITCH($N1363,"Uurtarief",IF(OR(AND(RIGHT($F1363,3)="IKS",VLOOKUP($M1363,DB_Loonkosten,2,0)="Ja"),AND(RIGHT($F1363,3)&lt;&gt;"IKS",VLOOKUP($M1363,DB_Loonkosten,2,0)="Nee")),IFERROR(VLOOKUP($M1363,DB_Loonkosten,25,0),""),0),"Vast tarief",IF(LEFT(F1363,8)="Bijdrage",VLOOKUP($F1363,Tb_KostenTypen[],MATCH(Lijsten!$P$1,Tb_KostenTypen[#Headers],0),0),VLOOKUP($G1363,Lijsten!L:P,MATCH(Lijsten!$P$1,Kop_Tarief_Vast,0),0))),""),"")</f>
        <v/>
      </c>
      <c r="Q1363" s="359"/>
      <c r="R1363" s="359"/>
      <c r="S1363" s="321"/>
      <c r="T1363" s="321"/>
      <c r="U1363" s="373" t="str">
        <f t="shared" si="84"/>
        <v/>
      </c>
      <c r="V1363" s="314" t="str">
        <f t="shared" si="85"/>
        <v/>
      </c>
      <c r="W1363" s="314" t="str" cm="1">
        <f t="array" aca="1" ref="W1363" ca="1">IFERROR(IF(AE1363&lt;&gt;"ja",_xlfn.IFNA(_xlfn.IFS(AND(O1363&lt;&gt;"",F1363&lt;&gt;"",RIGHT($N1363,6)="tarief",F1363="Vergoeding"),SUM(O1363)*FLOOR(SUM(Q1363),0.0001),AND(O1363&lt;&gt;"",F1363&lt;&gt;"",RIGHT($N1363,6)="tarief"),SUM(O1363)*FLOOR(SUM(Q1363),0.01),S1363&gt;0,IF(F1363&lt;&gt;"",FLOOR(SUM(S1363),0.01),"")),""),""),"")</f>
        <v/>
      </c>
      <c r="X1363" s="314" t="str" cm="1">
        <f t="array" aca="1" ref="X1363" ca="1">IFERROR(IF(AE1363&lt;&gt;"ja",_xlfn.IFNA(_xlfn.IFS(AND(P1363&lt;&gt;"",R1363&lt;&gt;"",RIGHT($N1363,6)="tarief",F1363="Vergoeding"),SUM(P1363)*FLOOR(SUM(R1363),0.0001),AND(P1363&lt;&gt;"",R1363&lt;&gt;"",RIGHT($N1363,6)="tarief"),P1363*FLOOR(R1363,0.01),T1363&gt;0,FLOOR(SUM(T1363),0.01)),""),""),"")</f>
        <v/>
      </c>
      <c r="Y1363" s="314" t="str">
        <f t="shared" ca="1" si="86"/>
        <v/>
      </c>
      <c r="Z1363" s="314" t="str" cm="1">
        <f t="array" aca="1" ref="Z1363" ca="1">IFERROR(_xlfn.IFS(OR(F1363="",LEFT(Methode_Keuze,4)="Geen",Methode_Keuze=""),"",AND(W1363&lt;&gt;"",F1363&lt;&gt;"Arbeidskosten"),W1363*VLOOKUP(F1363,Tb_ProjectKosten[],MATCH(Tb_ProjectKosten[[#Headers],[Forfait_Percentage]],Tb_ProjectKosten[#Headers],0),0),AND(F1363="Arbeidskosten",G1363&lt;&gt;""),IFERROR(W1363*VLOOKUP(G1363,Tb_KostenTypen[],3,0)*VLOOKUP(F1363,Tb_ProjectKosten[],MATCH(Tb_ProjectKosten[[#Headers],[Forfait_Percentage]],Tb_ProjectKosten[#Headers],0),0),""),W1363 &lt;=0,0),"")</f>
        <v/>
      </c>
      <c r="AA1363" s="314" t="str" cm="1">
        <f t="array" aca="1" ref="AA1363" ca="1">IFERROR(_xlfn.IFS(OR(F1363="",LEFT(Methode_Keuze,4)="Geen",Methode_Keuze=""),"",AND(X1363&lt;&gt;"",F1363&lt;&gt;"Arbeidskosten"),X1363*VLOOKUP(F1363,Tb_ProjectKosten[],MATCH(Tb_ProjectKosten[[#Headers],[Forfait_Percentage]],Tb_ProjectKosten[#Headers],0),0),AND(F1363="Arbeidskosten",G1363&lt;&gt;""),IFERROR(X1363*VLOOKUP(G1363,Tb_KostenTypen[],3,0)*VLOOKUP(F1363,Tb_ProjectKosten[],MATCH(Tb_ProjectKosten[[#Headers],[Forfait_Percentage]],Tb_ProjectKosten[#Headers],0),0),""),X1363 &lt;=0,0),"")</f>
        <v/>
      </c>
      <c r="AB1363" s="314" t="str">
        <f t="shared" ca="1" si="87"/>
        <v/>
      </c>
      <c r="AC1363" s="322"/>
      <c r="AD1363" s="315"/>
      <c r="AE1363" s="32" t="str" cm="1">
        <f t="array" ref="AE1363">IFERROR(IF(INDEX(SubsidieTabel!$AD$1:$AG$12,MATCH($F1363,SubsidieTabel!$AD$1:$AD$12,0),IFERROR(MATCH(Methode_Keuze,SubsidieTabel!$AD$1:$AG$1,0),2))&lt;&gt;1=TRUE,"ja",""),"")</f>
        <v/>
      </c>
    </row>
    <row r="1364" spans="1:31" x14ac:dyDescent="0.25">
      <c r="A1364" s="316"/>
      <c r="B1364" s="317" t="str">
        <f>IF(A1364&lt;&gt;"",_xlfn.MAXIFS($B$1:B1363,$A$1:A1363,A1364)+1,"")</f>
        <v/>
      </c>
      <c r="C1364" s="296"/>
      <c r="D1364" s="296"/>
      <c r="E1364" s="296"/>
      <c r="F1364" s="296"/>
      <c r="G1364" s="326"/>
      <c r="H1364" s="324"/>
      <c r="I1364" s="325"/>
      <c r="J1364" s="325"/>
      <c r="K1364" s="318"/>
      <c r="L1364" s="318"/>
      <c r="M1364" s="319" t="str">
        <f>IFERROR(VLOOKUP(H1364,Lijsten!$H$1:$I$100,2,0),"")</f>
        <v/>
      </c>
      <c r="N1364" s="319" t="str">
        <f ca="1">IFERROR(IF(VLOOKUP(F1364,Kostentypen!$A$3:$E$21,3,0)=0,"",IF(OR(F1364="Arbeidskosten",F1364="Vergoeding"),VLOOKUP(G1364,Tb_KostenTypen[],2,0),VLOOKUP(F1364,Kostentypen!$A$3:$E$20,3,0))),"")</f>
        <v/>
      </c>
      <c r="O1364" s="320" t="str" cm="1">
        <f t="array" ref="O1364">_xlfn.IFNA(IF(INDEX(Tb_KostenOptiesDB[],MATCH($F1364,Tb_KostenOptiesDB[KostenOptie],0),IFERROR(MATCH(Methode_Keuze,Tb_KostenOptiesDB[#Headers],0),2))=1,_xlfn.SWITCH($N1364,"Uurtarief",IF(OR(AND(RIGHT($F1364,3)="IKS",VLOOKUP($M1364,DB_Loonkosten,2,0)="Ja"),AND(RIGHT($F1364,3)&lt;&gt;"IKS",VLOOKUP($M1364,DB_Loonkosten,2,0)="Nee")),IFERROR(VLOOKUP($M1364,DB_Loonkosten,24,0),""),0),"Vast tarief",IF(LEFT(F1364,8)="Bijdrage",VLOOKUP($F1364,Tb_KostenTypen[],MATCH(Lijsten!$P$1,Tb_KostenTypen[#Headers],0),0),VLOOKUP($G1364,Lijsten!L:P,MATCH(Lijsten!$P$1,Kop_Tarief_Vast,0),0))),""),"")</f>
        <v/>
      </c>
      <c r="P1364" s="320" t="str" cm="1">
        <f t="array" ref="P1364">_xlfn.IFNA(IF(INDEX(Tb_KostenOptiesDB[],MATCH($F1364,Tb_KostenOptiesDB[KostenOptie],0),IFERROR(MATCH(Methode_Keuze,Tb_KostenOptiesDB[#Headers],0),2))=1,_xlfn.SWITCH($N1364,"Uurtarief",IF(OR(AND(RIGHT($F1364,3)="IKS",VLOOKUP($M1364,DB_Loonkosten,2,0)="Ja"),AND(RIGHT($F1364,3)&lt;&gt;"IKS",VLOOKUP($M1364,DB_Loonkosten,2,0)="Nee")),IFERROR(VLOOKUP($M1364,DB_Loonkosten,25,0),""),0),"Vast tarief",IF(LEFT(F1364,8)="Bijdrage",VLOOKUP($F1364,Tb_KostenTypen[],MATCH(Lijsten!$P$1,Tb_KostenTypen[#Headers],0),0),VLOOKUP($G1364,Lijsten!L:P,MATCH(Lijsten!$P$1,Kop_Tarief_Vast,0),0))),""),"")</f>
        <v/>
      </c>
      <c r="Q1364" s="359"/>
      <c r="R1364" s="359"/>
      <c r="S1364" s="321"/>
      <c r="T1364" s="321"/>
      <c r="U1364" s="373" t="str">
        <f t="shared" si="84"/>
        <v/>
      </c>
      <c r="V1364" s="314" t="str">
        <f t="shared" si="85"/>
        <v/>
      </c>
      <c r="W1364" s="314" t="str" cm="1">
        <f t="array" aca="1" ref="W1364" ca="1">IFERROR(IF(AE1364&lt;&gt;"ja",_xlfn.IFNA(_xlfn.IFS(AND(O1364&lt;&gt;"",F1364&lt;&gt;"",RIGHT($N1364,6)="tarief",F1364="Vergoeding"),SUM(O1364)*FLOOR(SUM(Q1364),0.0001),AND(O1364&lt;&gt;"",F1364&lt;&gt;"",RIGHT($N1364,6)="tarief"),SUM(O1364)*FLOOR(SUM(Q1364),0.01),S1364&gt;0,IF(F1364&lt;&gt;"",FLOOR(SUM(S1364),0.01),"")),""),""),"")</f>
        <v/>
      </c>
      <c r="X1364" s="314" t="str" cm="1">
        <f t="array" aca="1" ref="X1364" ca="1">IFERROR(IF(AE1364&lt;&gt;"ja",_xlfn.IFNA(_xlfn.IFS(AND(P1364&lt;&gt;"",R1364&lt;&gt;"",RIGHT($N1364,6)="tarief",F1364="Vergoeding"),SUM(P1364)*FLOOR(SUM(R1364),0.0001),AND(P1364&lt;&gt;"",R1364&lt;&gt;"",RIGHT($N1364,6)="tarief"),P1364*FLOOR(R1364,0.01),T1364&gt;0,FLOOR(SUM(T1364),0.01)),""),""),"")</f>
        <v/>
      </c>
      <c r="Y1364" s="314" t="str">
        <f t="shared" ca="1" si="86"/>
        <v/>
      </c>
      <c r="Z1364" s="314" t="str" cm="1">
        <f t="array" aca="1" ref="Z1364" ca="1">IFERROR(_xlfn.IFS(OR(F1364="",LEFT(Methode_Keuze,4)="Geen",Methode_Keuze=""),"",AND(W1364&lt;&gt;"",F1364&lt;&gt;"Arbeidskosten"),W1364*VLOOKUP(F1364,Tb_ProjectKosten[],MATCH(Tb_ProjectKosten[[#Headers],[Forfait_Percentage]],Tb_ProjectKosten[#Headers],0),0),AND(F1364="Arbeidskosten",G1364&lt;&gt;""),IFERROR(W1364*VLOOKUP(G1364,Tb_KostenTypen[],3,0)*VLOOKUP(F1364,Tb_ProjectKosten[],MATCH(Tb_ProjectKosten[[#Headers],[Forfait_Percentage]],Tb_ProjectKosten[#Headers],0),0),""),W1364 &lt;=0,0),"")</f>
        <v/>
      </c>
      <c r="AA1364" s="314" t="str" cm="1">
        <f t="array" aca="1" ref="AA1364" ca="1">IFERROR(_xlfn.IFS(OR(F1364="",LEFT(Methode_Keuze,4)="Geen",Methode_Keuze=""),"",AND(X1364&lt;&gt;"",F1364&lt;&gt;"Arbeidskosten"),X1364*VLOOKUP(F1364,Tb_ProjectKosten[],MATCH(Tb_ProjectKosten[[#Headers],[Forfait_Percentage]],Tb_ProjectKosten[#Headers],0),0),AND(F1364="Arbeidskosten",G1364&lt;&gt;""),IFERROR(X1364*VLOOKUP(G1364,Tb_KostenTypen[],3,0)*VLOOKUP(F1364,Tb_ProjectKosten[],MATCH(Tb_ProjectKosten[[#Headers],[Forfait_Percentage]],Tb_ProjectKosten[#Headers],0),0),""),X1364 &lt;=0,0),"")</f>
        <v/>
      </c>
      <c r="AB1364" s="314" t="str">
        <f t="shared" ca="1" si="87"/>
        <v/>
      </c>
      <c r="AC1364" s="322"/>
      <c r="AD1364" s="315"/>
      <c r="AE1364" s="32" t="str" cm="1">
        <f t="array" ref="AE1364">IFERROR(IF(INDEX(SubsidieTabel!$AD$1:$AG$12,MATCH($F1364,SubsidieTabel!$AD$1:$AD$12,0),IFERROR(MATCH(Methode_Keuze,SubsidieTabel!$AD$1:$AG$1,0),2))&lt;&gt;1=TRUE,"ja",""),"")</f>
        <v/>
      </c>
    </row>
    <row r="1365" spans="1:31" x14ac:dyDescent="0.25">
      <c r="A1365" s="316"/>
      <c r="B1365" s="317" t="str">
        <f>IF(A1365&lt;&gt;"",_xlfn.MAXIFS($B$1:B1364,$A$1:A1364,A1365)+1,"")</f>
        <v/>
      </c>
      <c r="C1365" s="296"/>
      <c r="D1365" s="296"/>
      <c r="E1365" s="296"/>
      <c r="F1365" s="296"/>
      <c r="G1365" s="326"/>
      <c r="H1365" s="324"/>
      <c r="I1365" s="325"/>
      <c r="J1365" s="325"/>
      <c r="K1365" s="318"/>
      <c r="L1365" s="318"/>
      <c r="M1365" s="319" t="str">
        <f>IFERROR(VLOOKUP(H1365,Lijsten!$H$1:$I$100,2,0),"")</f>
        <v/>
      </c>
      <c r="N1365" s="319" t="str">
        <f ca="1">IFERROR(IF(VLOOKUP(F1365,Kostentypen!$A$3:$E$21,3,0)=0,"",IF(OR(F1365="Arbeidskosten",F1365="Vergoeding"),VLOOKUP(G1365,Tb_KostenTypen[],2,0),VLOOKUP(F1365,Kostentypen!$A$3:$E$20,3,0))),"")</f>
        <v/>
      </c>
      <c r="O1365" s="320" t="str" cm="1">
        <f t="array" ref="O1365">_xlfn.IFNA(IF(INDEX(Tb_KostenOptiesDB[],MATCH($F1365,Tb_KostenOptiesDB[KostenOptie],0),IFERROR(MATCH(Methode_Keuze,Tb_KostenOptiesDB[#Headers],0),2))=1,_xlfn.SWITCH($N1365,"Uurtarief",IF(OR(AND(RIGHT($F1365,3)="IKS",VLOOKUP($M1365,DB_Loonkosten,2,0)="Ja"),AND(RIGHT($F1365,3)&lt;&gt;"IKS",VLOOKUP($M1365,DB_Loonkosten,2,0)="Nee")),IFERROR(VLOOKUP($M1365,DB_Loonkosten,24,0),""),0),"Vast tarief",IF(LEFT(F1365,8)="Bijdrage",VLOOKUP($F1365,Tb_KostenTypen[],MATCH(Lijsten!$P$1,Tb_KostenTypen[#Headers],0),0),VLOOKUP($G1365,Lijsten!L:P,MATCH(Lijsten!$P$1,Kop_Tarief_Vast,0),0))),""),"")</f>
        <v/>
      </c>
      <c r="P1365" s="320" t="str" cm="1">
        <f t="array" ref="P1365">_xlfn.IFNA(IF(INDEX(Tb_KostenOptiesDB[],MATCH($F1365,Tb_KostenOptiesDB[KostenOptie],0),IFERROR(MATCH(Methode_Keuze,Tb_KostenOptiesDB[#Headers],0),2))=1,_xlfn.SWITCH($N1365,"Uurtarief",IF(OR(AND(RIGHT($F1365,3)="IKS",VLOOKUP($M1365,DB_Loonkosten,2,0)="Ja"),AND(RIGHT($F1365,3)&lt;&gt;"IKS",VLOOKUP($M1365,DB_Loonkosten,2,0)="Nee")),IFERROR(VLOOKUP($M1365,DB_Loonkosten,25,0),""),0),"Vast tarief",IF(LEFT(F1365,8)="Bijdrage",VLOOKUP($F1365,Tb_KostenTypen[],MATCH(Lijsten!$P$1,Tb_KostenTypen[#Headers],0),0),VLOOKUP($G1365,Lijsten!L:P,MATCH(Lijsten!$P$1,Kop_Tarief_Vast,0),0))),""),"")</f>
        <v/>
      </c>
      <c r="Q1365" s="359"/>
      <c r="R1365" s="359"/>
      <c r="S1365" s="321"/>
      <c r="T1365" s="321"/>
      <c r="U1365" s="373" t="str">
        <f t="shared" si="84"/>
        <v/>
      </c>
      <c r="V1365" s="314" t="str">
        <f t="shared" si="85"/>
        <v/>
      </c>
      <c r="W1365" s="314" t="str" cm="1">
        <f t="array" aca="1" ref="W1365" ca="1">IFERROR(IF(AE1365&lt;&gt;"ja",_xlfn.IFNA(_xlfn.IFS(AND(O1365&lt;&gt;"",F1365&lt;&gt;"",RIGHT($N1365,6)="tarief",F1365="Vergoeding"),SUM(O1365)*FLOOR(SUM(Q1365),0.0001),AND(O1365&lt;&gt;"",F1365&lt;&gt;"",RIGHT($N1365,6)="tarief"),SUM(O1365)*FLOOR(SUM(Q1365),0.01),S1365&gt;0,IF(F1365&lt;&gt;"",FLOOR(SUM(S1365),0.01),"")),""),""),"")</f>
        <v/>
      </c>
      <c r="X1365" s="314" t="str" cm="1">
        <f t="array" aca="1" ref="X1365" ca="1">IFERROR(IF(AE1365&lt;&gt;"ja",_xlfn.IFNA(_xlfn.IFS(AND(P1365&lt;&gt;"",R1365&lt;&gt;"",RIGHT($N1365,6)="tarief",F1365="Vergoeding"),SUM(P1365)*FLOOR(SUM(R1365),0.0001),AND(P1365&lt;&gt;"",R1365&lt;&gt;"",RIGHT($N1365,6)="tarief"),P1365*FLOOR(R1365,0.01),T1365&gt;0,FLOOR(SUM(T1365),0.01)),""),""),"")</f>
        <v/>
      </c>
      <c r="Y1365" s="314" t="str">
        <f t="shared" ca="1" si="86"/>
        <v/>
      </c>
      <c r="Z1365" s="314" t="str" cm="1">
        <f t="array" aca="1" ref="Z1365" ca="1">IFERROR(_xlfn.IFS(OR(F1365="",LEFT(Methode_Keuze,4)="Geen",Methode_Keuze=""),"",AND(W1365&lt;&gt;"",F1365&lt;&gt;"Arbeidskosten"),W1365*VLOOKUP(F1365,Tb_ProjectKosten[],MATCH(Tb_ProjectKosten[[#Headers],[Forfait_Percentage]],Tb_ProjectKosten[#Headers],0),0),AND(F1365="Arbeidskosten",G1365&lt;&gt;""),IFERROR(W1365*VLOOKUP(G1365,Tb_KostenTypen[],3,0)*VLOOKUP(F1365,Tb_ProjectKosten[],MATCH(Tb_ProjectKosten[[#Headers],[Forfait_Percentage]],Tb_ProjectKosten[#Headers],0),0),""),W1365 &lt;=0,0),"")</f>
        <v/>
      </c>
      <c r="AA1365" s="314" t="str" cm="1">
        <f t="array" aca="1" ref="AA1365" ca="1">IFERROR(_xlfn.IFS(OR(F1365="",LEFT(Methode_Keuze,4)="Geen",Methode_Keuze=""),"",AND(X1365&lt;&gt;"",F1365&lt;&gt;"Arbeidskosten"),X1365*VLOOKUP(F1365,Tb_ProjectKosten[],MATCH(Tb_ProjectKosten[[#Headers],[Forfait_Percentage]],Tb_ProjectKosten[#Headers],0),0),AND(F1365="Arbeidskosten",G1365&lt;&gt;""),IFERROR(X1365*VLOOKUP(G1365,Tb_KostenTypen[],3,0)*VLOOKUP(F1365,Tb_ProjectKosten[],MATCH(Tb_ProjectKosten[[#Headers],[Forfait_Percentage]],Tb_ProjectKosten[#Headers],0),0),""),X1365 &lt;=0,0),"")</f>
        <v/>
      </c>
      <c r="AB1365" s="314" t="str">
        <f t="shared" ca="1" si="87"/>
        <v/>
      </c>
      <c r="AC1365" s="322"/>
      <c r="AD1365" s="315"/>
      <c r="AE1365" s="32" t="str" cm="1">
        <f t="array" ref="AE1365">IFERROR(IF(INDEX(SubsidieTabel!$AD$1:$AG$12,MATCH($F1365,SubsidieTabel!$AD$1:$AD$12,0),IFERROR(MATCH(Methode_Keuze,SubsidieTabel!$AD$1:$AG$1,0),2))&lt;&gt;1=TRUE,"ja",""),"")</f>
        <v/>
      </c>
    </row>
    <row r="1366" spans="1:31" x14ac:dyDescent="0.25">
      <c r="A1366" s="316"/>
      <c r="B1366" s="317" t="str">
        <f>IF(A1366&lt;&gt;"",_xlfn.MAXIFS($B$1:B1365,$A$1:A1365,A1366)+1,"")</f>
        <v/>
      </c>
      <c r="C1366" s="296"/>
      <c r="D1366" s="296"/>
      <c r="E1366" s="296"/>
      <c r="F1366" s="296"/>
      <c r="G1366" s="326"/>
      <c r="H1366" s="324"/>
      <c r="I1366" s="325"/>
      <c r="J1366" s="325"/>
      <c r="K1366" s="318"/>
      <c r="L1366" s="318"/>
      <c r="M1366" s="319" t="str">
        <f>IFERROR(VLOOKUP(H1366,Lijsten!$H$1:$I$100,2,0),"")</f>
        <v/>
      </c>
      <c r="N1366" s="319" t="str">
        <f ca="1">IFERROR(IF(VLOOKUP(F1366,Kostentypen!$A$3:$E$21,3,0)=0,"",IF(OR(F1366="Arbeidskosten",F1366="Vergoeding"),VLOOKUP(G1366,Tb_KostenTypen[],2,0),VLOOKUP(F1366,Kostentypen!$A$3:$E$20,3,0))),"")</f>
        <v/>
      </c>
      <c r="O1366" s="320" t="str" cm="1">
        <f t="array" ref="O1366">_xlfn.IFNA(IF(INDEX(Tb_KostenOptiesDB[],MATCH($F1366,Tb_KostenOptiesDB[KostenOptie],0),IFERROR(MATCH(Methode_Keuze,Tb_KostenOptiesDB[#Headers],0),2))=1,_xlfn.SWITCH($N1366,"Uurtarief",IF(OR(AND(RIGHT($F1366,3)="IKS",VLOOKUP($M1366,DB_Loonkosten,2,0)="Ja"),AND(RIGHT($F1366,3)&lt;&gt;"IKS",VLOOKUP($M1366,DB_Loonkosten,2,0)="Nee")),IFERROR(VLOOKUP($M1366,DB_Loonkosten,24,0),""),0),"Vast tarief",IF(LEFT(F1366,8)="Bijdrage",VLOOKUP($F1366,Tb_KostenTypen[],MATCH(Lijsten!$P$1,Tb_KostenTypen[#Headers],0),0),VLOOKUP($G1366,Lijsten!L:P,MATCH(Lijsten!$P$1,Kop_Tarief_Vast,0),0))),""),"")</f>
        <v/>
      </c>
      <c r="P1366" s="320" t="str" cm="1">
        <f t="array" ref="P1366">_xlfn.IFNA(IF(INDEX(Tb_KostenOptiesDB[],MATCH($F1366,Tb_KostenOptiesDB[KostenOptie],0),IFERROR(MATCH(Methode_Keuze,Tb_KostenOptiesDB[#Headers],0),2))=1,_xlfn.SWITCH($N1366,"Uurtarief",IF(OR(AND(RIGHT($F1366,3)="IKS",VLOOKUP($M1366,DB_Loonkosten,2,0)="Ja"),AND(RIGHT($F1366,3)&lt;&gt;"IKS",VLOOKUP($M1366,DB_Loonkosten,2,0)="Nee")),IFERROR(VLOOKUP($M1366,DB_Loonkosten,25,0),""),0),"Vast tarief",IF(LEFT(F1366,8)="Bijdrage",VLOOKUP($F1366,Tb_KostenTypen[],MATCH(Lijsten!$P$1,Tb_KostenTypen[#Headers],0),0),VLOOKUP($G1366,Lijsten!L:P,MATCH(Lijsten!$P$1,Kop_Tarief_Vast,0),0))),""),"")</f>
        <v/>
      </c>
      <c r="Q1366" s="359"/>
      <c r="R1366" s="359"/>
      <c r="S1366" s="321"/>
      <c r="T1366" s="321"/>
      <c r="U1366" s="373" t="str">
        <f t="shared" si="84"/>
        <v/>
      </c>
      <c r="V1366" s="314" t="str">
        <f t="shared" si="85"/>
        <v/>
      </c>
      <c r="W1366" s="314" t="str" cm="1">
        <f t="array" aca="1" ref="W1366" ca="1">IFERROR(IF(AE1366&lt;&gt;"ja",_xlfn.IFNA(_xlfn.IFS(AND(O1366&lt;&gt;"",F1366&lt;&gt;"",RIGHT($N1366,6)="tarief",F1366="Vergoeding"),SUM(O1366)*FLOOR(SUM(Q1366),0.0001),AND(O1366&lt;&gt;"",F1366&lt;&gt;"",RIGHT($N1366,6)="tarief"),SUM(O1366)*FLOOR(SUM(Q1366),0.01),S1366&gt;0,IF(F1366&lt;&gt;"",FLOOR(SUM(S1366),0.01),"")),""),""),"")</f>
        <v/>
      </c>
      <c r="X1366" s="314" t="str" cm="1">
        <f t="array" aca="1" ref="X1366" ca="1">IFERROR(IF(AE1366&lt;&gt;"ja",_xlfn.IFNA(_xlfn.IFS(AND(P1366&lt;&gt;"",R1366&lt;&gt;"",RIGHT($N1366,6)="tarief",F1366="Vergoeding"),SUM(P1366)*FLOOR(SUM(R1366),0.0001),AND(P1366&lt;&gt;"",R1366&lt;&gt;"",RIGHT($N1366,6)="tarief"),P1366*FLOOR(R1366,0.01),T1366&gt;0,FLOOR(SUM(T1366),0.01)),""),""),"")</f>
        <v/>
      </c>
      <c r="Y1366" s="314" t="str">
        <f t="shared" ca="1" si="86"/>
        <v/>
      </c>
      <c r="Z1366" s="314" t="str" cm="1">
        <f t="array" aca="1" ref="Z1366" ca="1">IFERROR(_xlfn.IFS(OR(F1366="",LEFT(Methode_Keuze,4)="Geen",Methode_Keuze=""),"",AND(W1366&lt;&gt;"",F1366&lt;&gt;"Arbeidskosten"),W1366*VLOOKUP(F1366,Tb_ProjectKosten[],MATCH(Tb_ProjectKosten[[#Headers],[Forfait_Percentage]],Tb_ProjectKosten[#Headers],0),0),AND(F1366="Arbeidskosten",G1366&lt;&gt;""),IFERROR(W1366*VLOOKUP(G1366,Tb_KostenTypen[],3,0)*VLOOKUP(F1366,Tb_ProjectKosten[],MATCH(Tb_ProjectKosten[[#Headers],[Forfait_Percentage]],Tb_ProjectKosten[#Headers],0),0),""),W1366 &lt;=0,0),"")</f>
        <v/>
      </c>
      <c r="AA1366" s="314" t="str" cm="1">
        <f t="array" aca="1" ref="AA1366" ca="1">IFERROR(_xlfn.IFS(OR(F1366="",LEFT(Methode_Keuze,4)="Geen",Methode_Keuze=""),"",AND(X1366&lt;&gt;"",F1366&lt;&gt;"Arbeidskosten"),X1366*VLOOKUP(F1366,Tb_ProjectKosten[],MATCH(Tb_ProjectKosten[[#Headers],[Forfait_Percentage]],Tb_ProjectKosten[#Headers],0),0),AND(F1366="Arbeidskosten",G1366&lt;&gt;""),IFERROR(X1366*VLOOKUP(G1366,Tb_KostenTypen[],3,0)*VLOOKUP(F1366,Tb_ProjectKosten[],MATCH(Tb_ProjectKosten[[#Headers],[Forfait_Percentage]],Tb_ProjectKosten[#Headers],0),0),""),X1366 &lt;=0,0),"")</f>
        <v/>
      </c>
      <c r="AB1366" s="314" t="str">
        <f t="shared" ca="1" si="87"/>
        <v/>
      </c>
      <c r="AC1366" s="322"/>
      <c r="AD1366" s="315"/>
      <c r="AE1366" s="32" t="str" cm="1">
        <f t="array" ref="AE1366">IFERROR(IF(INDEX(SubsidieTabel!$AD$1:$AG$12,MATCH($F1366,SubsidieTabel!$AD$1:$AD$12,0),IFERROR(MATCH(Methode_Keuze,SubsidieTabel!$AD$1:$AG$1,0),2))&lt;&gt;1=TRUE,"ja",""),"")</f>
        <v/>
      </c>
    </row>
    <row r="1367" spans="1:31" x14ac:dyDescent="0.25">
      <c r="A1367" s="316"/>
      <c r="B1367" s="317" t="str">
        <f>IF(A1367&lt;&gt;"",_xlfn.MAXIFS($B$1:B1366,$A$1:A1366,A1367)+1,"")</f>
        <v/>
      </c>
      <c r="C1367" s="296"/>
      <c r="D1367" s="296"/>
      <c r="E1367" s="296"/>
      <c r="F1367" s="296"/>
      <c r="G1367" s="326"/>
      <c r="H1367" s="324"/>
      <c r="I1367" s="325"/>
      <c r="J1367" s="325"/>
      <c r="K1367" s="318"/>
      <c r="L1367" s="318"/>
      <c r="M1367" s="319" t="str">
        <f>IFERROR(VLOOKUP(H1367,Lijsten!$H$1:$I$100,2,0),"")</f>
        <v/>
      </c>
      <c r="N1367" s="319" t="str">
        <f ca="1">IFERROR(IF(VLOOKUP(F1367,Kostentypen!$A$3:$E$21,3,0)=0,"",IF(OR(F1367="Arbeidskosten",F1367="Vergoeding"),VLOOKUP(G1367,Tb_KostenTypen[],2,0),VLOOKUP(F1367,Kostentypen!$A$3:$E$20,3,0))),"")</f>
        <v/>
      </c>
      <c r="O1367" s="320" t="str" cm="1">
        <f t="array" ref="O1367">_xlfn.IFNA(IF(INDEX(Tb_KostenOptiesDB[],MATCH($F1367,Tb_KostenOptiesDB[KostenOptie],0),IFERROR(MATCH(Methode_Keuze,Tb_KostenOptiesDB[#Headers],0),2))=1,_xlfn.SWITCH($N1367,"Uurtarief",IF(OR(AND(RIGHT($F1367,3)="IKS",VLOOKUP($M1367,DB_Loonkosten,2,0)="Ja"),AND(RIGHT($F1367,3)&lt;&gt;"IKS",VLOOKUP($M1367,DB_Loonkosten,2,0)="Nee")),IFERROR(VLOOKUP($M1367,DB_Loonkosten,24,0),""),0),"Vast tarief",IF(LEFT(F1367,8)="Bijdrage",VLOOKUP($F1367,Tb_KostenTypen[],MATCH(Lijsten!$P$1,Tb_KostenTypen[#Headers],0),0),VLOOKUP($G1367,Lijsten!L:P,MATCH(Lijsten!$P$1,Kop_Tarief_Vast,0),0))),""),"")</f>
        <v/>
      </c>
      <c r="P1367" s="320" t="str" cm="1">
        <f t="array" ref="P1367">_xlfn.IFNA(IF(INDEX(Tb_KostenOptiesDB[],MATCH($F1367,Tb_KostenOptiesDB[KostenOptie],0),IFERROR(MATCH(Methode_Keuze,Tb_KostenOptiesDB[#Headers],0),2))=1,_xlfn.SWITCH($N1367,"Uurtarief",IF(OR(AND(RIGHT($F1367,3)="IKS",VLOOKUP($M1367,DB_Loonkosten,2,0)="Ja"),AND(RIGHT($F1367,3)&lt;&gt;"IKS",VLOOKUP($M1367,DB_Loonkosten,2,0)="Nee")),IFERROR(VLOOKUP($M1367,DB_Loonkosten,25,0),""),0),"Vast tarief",IF(LEFT(F1367,8)="Bijdrage",VLOOKUP($F1367,Tb_KostenTypen[],MATCH(Lijsten!$P$1,Tb_KostenTypen[#Headers],0),0),VLOOKUP($G1367,Lijsten!L:P,MATCH(Lijsten!$P$1,Kop_Tarief_Vast,0),0))),""),"")</f>
        <v/>
      </c>
      <c r="Q1367" s="359"/>
      <c r="R1367" s="359"/>
      <c r="S1367" s="321"/>
      <c r="T1367" s="321"/>
      <c r="U1367" s="373" t="str">
        <f t="shared" si="84"/>
        <v/>
      </c>
      <c r="V1367" s="314" t="str">
        <f t="shared" si="85"/>
        <v/>
      </c>
      <c r="W1367" s="314" t="str" cm="1">
        <f t="array" aca="1" ref="W1367" ca="1">IFERROR(IF(AE1367&lt;&gt;"ja",_xlfn.IFNA(_xlfn.IFS(AND(O1367&lt;&gt;"",F1367&lt;&gt;"",RIGHT($N1367,6)="tarief",F1367="Vergoeding"),SUM(O1367)*FLOOR(SUM(Q1367),0.0001),AND(O1367&lt;&gt;"",F1367&lt;&gt;"",RIGHT($N1367,6)="tarief"),SUM(O1367)*FLOOR(SUM(Q1367),0.01),S1367&gt;0,IF(F1367&lt;&gt;"",FLOOR(SUM(S1367),0.01),"")),""),""),"")</f>
        <v/>
      </c>
      <c r="X1367" s="314" t="str" cm="1">
        <f t="array" aca="1" ref="X1367" ca="1">IFERROR(IF(AE1367&lt;&gt;"ja",_xlfn.IFNA(_xlfn.IFS(AND(P1367&lt;&gt;"",R1367&lt;&gt;"",RIGHT($N1367,6)="tarief",F1367="Vergoeding"),SUM(P1367)*FLOOR(SUM(R1367),0.0001),AND(P1367&lt;&gt;"",R1367&lt;&gt;"",RIGHT($N1367,6)="tarief"),P1367*FLOOR(R1367,0.01),T1367&gt;0,FLOOR(SUM(T1367),0.01)),""),""),"")</f>
        <v/>
      </c>
      <c r="Y1367" s="314" t="str">
        <f t="shared" ca="1" si="86"/>
        <v/>
      </c>
      <c r="Z1367" s="314" t="str" cm="1">
        <f t="array" aca="1" ref="Z1367" ca="1">IFERROR(_xlfn.IFS(OR(F1367="",LEFT(Methode_Keuze,4)="Geen",Methode_Keuze=""),"",AND(W1367&lt;&gt;"",F1367&lt;&gt;"Arbeidskosten"),W1367*VLOOKUP(F1367,Tb_ProjectKosten[],MATCH(Tb_ProjectKosten[[#Headers],[Forfait_Percentage]],Tb_ProjectKosten[#Headers],0),0),AND(F1367="Arbeidskosten",G1367&lt;&gt;""),IFERROR(W1367*VLOOKUP(G1367,Tb_KostenTypen[],3,0)*VLOOKUP(F1367,Tb_ProjectKosten[],MATCH(Tb_ProjectKosten[[#Headers],[Forfait_Percentage]],Tb_ProjectKosten[#Headers],0),0),""),W1367 &lt;=0,0),"")</f>
        <v/>
      </c>
      <c r="AA1367" s="314" t="str" cm="1">
        <f t="array" aca="1" ref="AA1367" ca="1">IFERROR(_xlfn.IFS(OR(F1367="",LEFT(Methode_Keuze,4)="Geen",Methode_Keuze=""),"",AND(X1367&lt;&gt;"",F1367&lt;&gt;"Arbeidskosten"),X1367*VLOOKUP(F1367,Tb_ProjectKosten[],MATCH(Tb_ProjectKosten[[#Headers],[Forfait_Percentage]],Tb_ProjectKosten[#Headers],0),0),AND(F1367="Arbeidskosten",G1367&lt;&gt;""),IFERROR(X1367*VLOOKUP(G1367,Tb_KostenTypen[],3,0)*VLOOKUP(F1367,Tb_ProjectKosten[],MATCH(Tb_ProjectKosten[[#Headers],[Forfait_Percentage]],Tb_ProjectKosten[#Headers],0),0),""),X1367 &lt;=0,0),"")</f>
        <v/>
      </c>
      <c r="AB1367" s="314" t="str">
        <f t="shared" ca="1" si="87"/>
        <v/>
      </c>
      <c r="AC1367" s="322"/>
      <c r="AD1367" s="315"/>
      <c r="AE1367" s="32" t="str" cm="1">
        <f t="array" ref="AE1367">IFERROR(IF(INDEX(SubsidieTabel!$AD$1:$AG$12,MATCH($F1367,SubsidieTabel!$AD$1:$AD$12,0),IFERROR(MATCH(Methode_Keuze,SubsidieTabel!$AD$1:$AG$1,0),2))&lt;&gt;1=TRUE,"ja",""),"")</f>
        <v/>
      </c>
    </row>
    <row r="1368" spans="1:31" x14ac:dyDescent="0.25">
      <c r="A1368" s="316"/>
      <c r="B1368" s="317" t="str">
        <f>IF(A1368&lt;&gt;"",_xlfn.MAXIFS($B$1:B1367,$A$1:A1367,A1368)+1,"")</f>
        <v/>
      </c>
      <c r="C1368" s="296"/>
      <c r="D1368" s="296"/>
      <c r="E1368" s="296"/>
      <c r="F1368" s="296"/>
      <c r="G1368" s="326"/>
      <c r="H1368" s="324"/>
      <c r="I1368" s="325"/>
      <c r="J1368" s="325"/>
      <c r="K1368" s="318"/>
      <c r="L1368" s="318"/>
      <c r="M1368" s="319" t="str">
        <f>IFERROR(VLOOKUP(H1368,Lijsten!$H$1:$I$100,2,0),"")</f>
        <v/>
      </c>
      <c r="N1368" s="319" t="str">
        <f ca="1">IFERROR(IF(VLOOKUP(F1368,Kostentypen!$A$3:$E$21,3,0)=0,"",IF(OR(F1368="Arbeidskosten",F1368="Vergoeding"),VLOOKUP(G1368,Tb_KostenTypen[],2,0),VLOOKUP(F1368,Kostentypen!$A$3:$E$20,3,0))),"")</f>
        <v/>
      </c>
      <c r="O1368" s="320" t="str" cm="1">
        <f t="array" ref="O1368">_xlfn.IFNA(IF(INDEX(Tb_KostenOptiesDB[],MATCH($F1368,Tb_KostenOptiesDB[KostenOptie],0),IFERROR(MATCH(Methode_Keuze,Tb_KostenOptiesDB[#Headers],0),2))=1,_xlfn.SWITCH($N1368,"Uurtarief",IF(OR(AND(RIGHT($F1368,3)="IKS",VLOOKUP($M1368,DB_Loonkosten,2,0)="Ja"),AND(RIGHT($F1368,3)&lt;&gt;"IKS",VLOOKUP($M1368,DB_Loonkosten,2,0)="Nee")),IFERROR(VLOOKUP($M1368,DB_Loonkosten,24,0),""),0),"Vast tarief",IF(LEFT(F1368,8)="Bijdrage",VLOOKUP($F1368,Tb_KostenTypen[],MATCH(Lijsten!$P$1,Tb_KostenTypen[#Headers],0),0),VLOOKUP($G1368,Lijsten!L:P,MATCH(Lijsten!$P$1,Kop_Tarief_Vast,0),0))),""),"")</f>
        <v/>
      </c>
      <c r="P1368" s="320" t="str" cm="1">
        <f t="array" ref="P1368">_xlfn.IFNA(IF(INDEX(Tb_KostenOptiesDB[],MATCH($F1368,Tb_KostenOptiesDB[KostenOptie],0),IFERROR(MATCH(Methode_Keuze,Tb_KostenOptiesDB[#Headers],0),2))=1,_xlfn.SWITCH($N1368,"Uurtarief",IF(OR(AND(RIGHT($F1368,3)="IKS",VLOOKUP($M1368,DB_Loonkosten,2,0)="Ja"),AND(RIGHT($F1368,3)&lt;&gt;"IKS",VLOOKUP($M1368,DB_Loonkosten,2,0)="Nee")),IFERROR(VLOOKUP($M1368,DB_Loonkosten,25,0),""),0),"Vast tarief",IF(LEFT(F1368,8)="Bijdrage",VLOOKUP($F1368,Tb_KostenTypen[],MATCH(Lijsten!$P$1,Tb_KostenTypen[#Headers],0),0),VLOOKUP($G1368,Lijsten!L:P,MATCH(Lijsten!$P$1,Kop_Tarief_Vast,0),0))),""),"")</f>
        <v/>
      </c>
      <c r="Q1368" s="359"/>
      <c r="R1368" s="359"/>
      <c r="S1368" s="321"/>
      <c r="T1368" s="321"/>
      <c r="U1368" s="373" t="str">
        <f t="shared" si="84"/>
        <v/>
      </c>
      <c r="V1368" s="314" t="str">
        <f t="shared" si="85"/>
        <v/>
      </c>
      <c r="W1368" s="314" t="str" cm="1">
        <f t="array" aca="1" ref="W1368" ca="1">IFERROR(IF(AE1368&lt;&gt;"ja",_xlfn.IFNA(_xlfn.IFS(AND(O1368&lt;&gt;"",F1368&lt;&gt;"",RIGHT($N1368,6)="tarief",F1368="Vergoeding"),SUM(O1368)*FLOOR(SUM(Q1368),0.0001),AND(O1368&lt;&gt;"",F1368&lt;&gt;"",RIGHT($N1368,6)="tarief"),SUM(O1368)*FLOOR(SUM(Q1368),0.01),S1368&gt;0,IF(F1368&lt;&gt;"",FLOOR(SUM(S1368),0.01),"")),""),""),"")</f>
        <v/>
      </c>
      <c r="X1368" s="314" t="str" cm="1">
        <f t="array" aca="1" ref="X1368" ca="1">IFERROR(IF(AE1368&lt;&gt;"ja",_xlfn.IFNA(_xlfn.IFS(AND(P1368&lt;&gt;"",R1368&lt;&gt;"",RIGHT($N1368,6)="tarief",F1368="Vergoeding"),SUM(P1368)*FLOOR(SUM(R1368),0.0001),AND(P1368&lt;&gt;"",R1368&lt;&gt;"",RIGHT($N1368,6)="tarief"),P1368*FLOOR(R1368,0.01),T1368&gt;0,FLOOR(SUM(T1368),0.01)),""),""),"")</f>
        <v/>
      </c>
      <c r="Y1368" s="314" t="str">
        <f t="shared" ca="1" si="86"/>
        <v/>
      </c>
      <c r="Z1368" s="314" t="str" cm="1">
        <f t="array" aca="1" ref="Z1368" ca="1">IFERROR(_xlfn.IFS(OR(F1368="",LEFT(Methode_Keuze,4)="Geen",Methode_Keuze=""),"",AND(W1368&lt;&gt;"",F1368&lt;&gt;"Arbeidskosten"),W1368*VLOOKUP(F1368,Tb_ProjectKosten[],MATCH(Tb_ProjectKosten[[#Headers],[Forfait_Percentage]],Tb_ProjectKosten[#Headers],0),0),AND(F1368="Arbeidskosten",G1368&lt;&gt;""),IFERROR(W1368*VLOOKUP(G1368,Tb_KostenTypen[],3,0)*VLOOKUP(F1368,Tb_ProjectKosten[],MATCH(Tb_ProjectKosten[[#Headers],[Forfait_Percentage]],Tb_ProjectKosten[#Headers],0),0),""),W1368 &lt;=0,0),"")</f>
        <v/>
      </c>
      <c r="AA1368" s="314" t="str" cm="1">
        <f t="array" aca="1" ref="AA1368" ca="1">IFERROR(_xlfn.IFS(OR(F1368="",LEFT(Methode_Keuze,4)="Geen",Methode_Keuze=""),"",AND(X1368&lt;&gt;"",F1368&lt;&gt;"Arbeidskosten"),X1368*VLOOKUP(F1368,Tb_ProjectKosten[],MATCH(Tb_ProjectKosten[[#Headers],[Forfait_Percentage]],Tb_ProjectKosten[#Headers],0),0),AND(F1368="Arbeidskosten",G1368&lt;&gt;""),IFERROR(X1368*VLOOKUP(G1368,Tb_KostenTypen[],3,0)*VLOOKUP(F1368,Tb_ProjectKosten[],MATCH(Tb_ProjectKosten[[#Headers],[Forfait_Percentage]],Tb_ProjectKosten[#Headers],0),0),""),X1368 &lt;=0,0),"")</f>
        <v/>
      </c>
      <c r="AB1368" s="314" t="str">
        <f t="shared" ca="1" si="87"/>
        <v/>
      </c>
      <c r="AC1368" s="322"/>
      <c r="AD1368" s="315"/>
      <c r="AE1368" s="32" t="str" cm="1">
        <f t="array" ref="AE1368">IFERROR(IF(INDEX(SubsidieTabel!$AD$1:$AG$12,MATCH($F1368,SubsidieTabel!$AD$1:$AD$12,0),IFERROR(MATCH(Methode_Keuze,SubsidieTabel!$AD$1:$AG$1,0),2))&lt;&gt;1=TRUE,"ja",""),"")</f>
        <v/>
      </c>
    </row>
    <row r="1369" spans="1:31" x14ac:dyDescent="0.25">
      <c r="A1369" s="316"/>
      <c r="B1369" s="317" t="str">
        <f>IF(A1369&lt;&gt;"",_xlfn.MAXIFS($B$1:B1368,$A$1:A1368,A1369)+1,"")</f>
        <v/>
      </c>
      <c r="C1369" s="296"/>
      <c r="D1369" s="296"/>
      <c r="E1369" s="296"/>
      <c r="F1369" s="296"/>
      <c r="G1369" s="326"/>
      <c r="H1369" s="324"/>
      <c r="I1369" s="325"/>
      <c r="J1369" s="325"/>
      <c r="K1369" s="318"/>
      <c r="L1369" s="318"/>
      <c r="M1369" s="319" t="str">
        <f>IFERROR(VLOOKUP(H1369,Lijsten!$H$1:$I$100,2,0),"")</f>
        <v/>
      </c>
      <c r="N1369" s="319" t="str">
        <f ca="1">IFERROR(IF(VLOOKUP(F1369,Kostentypen!$A$3:$E$21,3,0)=0,"",IF(OR(F1369="Arbeidskosten",F1369="Vergoeding"),VLOOKUP(G1369,Tb_KostenTypen[],2,0),VLOOKUP(F1369,Kostentypen!$A$3:$E$20,3,0))),"")</f>
        <v/>
      </c>
      <c r="O1369" s="320" t="str" cm="1">
        <f t="array" ref="O1369">_xlfn.IFNA(IF(INDEX(Tb_KostenOptiesDB[],MATCH($F1369,Tb_KostenOptiesDB[KostenOptie],0),IFERROR(MATCH(Methode_Keuze,Tb_KostenOptiesDB[#Headers],0),2))=1,_xlfn.SWITCH($N1369,"Uurtarief",IF(OR(AND(RIGHT($F1369,3)="IKS",VLOOKUP($M1369,DB_Loonkosten,2,0)="Ja"),AND(RIGHT($F1369,3)&lt;&gt;"IKS",VLOOKUP($M1369,DB_Loonkosten,2,0)="Nee")),IFERROR(VLOOKUP($M1369,DB_Loonkosten,24,0),""),0),"Vast tarief",IF(LEFT(F1369,8)="Bijdrage",VLOOKUP($F1369,Tb_KostenTypen[],MATCH(Lijsten!$P$1,Tb_KostenTypen[#Headers],0),0),VLOOKUP($G1369,Lijsten!L:P,MATCH(Lijsten!$P$1,Kop_Tarief_Vast,0),0))),""),"")</f>
        <v/>
      </c>
      <c r="P1369" s="320" t="str" cm="1">
        <f t="array" ref="P1369">_xlfn.IFNA(IF(INDEX(Tb_KostenOptiesDB[],MATCH($F1369,Tb_KostenOptiesDB[KostenOptie],0),IFERROR(MATCH(Methode_Keuze,Tb_KostenOptiesDB[#Headers],0),2))=1,_xlfn.SWITCH($N1369,"Uurtarief",IF(OR(AND(RIGHT($F1369,3)="IKS",VLOOKUP($M1369,DB_Loonkosten,2,0)="Ja"),AND(RIGHT($F1369,3)&lt;&gt;"IKS",VLOOKUP($M1369,DB_Loonkosten,2,0)="Nee")),IFERROR(VLOOKUP($M1369,DB_Loonkosten,25,0),""),0),"Vast tarief",IF(LEFT(F1369,8)="Bijdrage",VLOOKUP($F1369,Tb_KostenTypen[],MATCH(Lijsten!$P$1,Tb_KostenTypen[#Headers],0),0),VLOOKUP($G1369,Lijsten!L:P,MATCH(Lijsten!$P$1,Kop_Tarief_Vast,0),0))),""),"")</f>
        <v/>
      </c>
      <c r="Q1369" s="359"/>
      <c r="R1369" s="359"/>
      <c r="S1369" s="321"/>
      <c r="T1369" s="321"/>
      <c r="U1369" s="373" t="str">
        <f t="shared" si="84"/>
        <v/>
      </c>
      <c r="V1369" s="314" t="str">
        <f t="shared" si="85"/>
        <v/>
      </c>
      <c r="W1369" s="314" t="str" cm="1">
        <f t="array" aca="1" ref="W1369" ca="1">IFERROR(IF(AE1369&lt;&gt;"ja",_xlfn.IFNA(_xlfn.IFS(AND(O1369&lt;&gt;"",F1369&lt;&gt;"",RIGHT($N1369,6)="tarief",F1369="Vergoeding"),SUM(O1369)*FLOOR(SUM(Q1369),0.0001),AND(O1369&lt;&gt;"",F1369&lt;&gt;"",RIGHT($N1369,6)="tarief"),SUM(O1369)*FLOOR(SUM(Q1369),0.01),S1369&gt;0,IF(F1369&lt;&gt;"",FLOOR(SUM(S1369),0.01),"")),""),""),"")</f>
        <v/>
      </c>
      <c r="X1369" s="314" t="str" cm="1">
        <f t="array" aca="1" ref="X1369" ca="1">IFERROR(IF(AE1369&lt;&gt;"ja",_xlfn.IFNA(_xlfn.IFS(AND(P1369&lt;&gt;"",R1369&lt;&gt;"",RIGHT($N1369,6)="tarief",F1369="Vergoeding"),SUM(P1369)*FLOOR(SUM(R1369),0.0001),AND(P1369&lt;&gt;"",R1369&lt;&gt;"",RIGHT($N1369,6)="tarief"),P1369*FLOOR(R1369,0.01),T1369&gt;0,FLOOR(SUM(T1369),0.01)),""),""),"")</f>
        <v/>
      </c>
      <c r="Y1369" s="314" t="str">
        <f t="shared" ca="1" si="86"/>
        <v/>
      </c>
      <c r="Z1369" s="314" t="str" cm="1">
        <f t="array" aca="1" ref="Z1369" ca="1">IFERROR(_xlfn.IFS(OR(F1369="",LEFT(Methode_Keuze,4)="Geen",Methode_Keuze=""),"",AND(W1369&lt;&gt;"",F1369&lt;&gt;"Arbeidskosten"),W1369*VLOOKUP(F1369,Tb_ProjectKosten[],MATCH(Tb_ProjectKosten[[#Headers],[Forfait_Percentage]],Tb_ProjectKosten[#Headers],0),0),AND(F1369="Arbeidskosten",G1369&lt;&gt;""),IFERROR(W1369*VLOOKUP(G1369,Tb_KostenTypen[],3,0)*VLOOKUP(F1369,Tb_ProjectKosten[],MATCH(Tb_ProjectKosten[[#Headers],[Forfait_Percentage]],Tb_ProjectKosten[#Headers],0),0),""),W1369 &lt;=0,0),"")</f>
        <v/>
      </c>
      <c r="AA1369" s="314" t="str" cm="1">
        <f t="array" aca="1" ref="AA1369" ca="1">IFERROR(_xlfn.IFS(OR(F1369="",LEFT(Methode_Keuze,4)="Geen",Methode_Keuze=""),"",AND(X1369&lt;&gt;"",F1369&lt;&gt;"Arbeidskosten"),X1369*VLOOKUP(F1369,Tb_ProjectKosten[],MATCH(Tb_ProjectKosten[[#Headers],[Forfait_Percentage]],Tb_ProjectKosten[#Headers],0),0),AND(F1369="Arbeidskosten",G1369&lt;&gt;""),IFERROR(X1369*VLOOKUP(G1369,Tb_KostenTypen[],3,0)*VLOOKUP(F1369,Tb_ProjectKosten[],MATCH(Tb_ProjectKosten[[#Headers],[Forfait_Percentage]],Tb_ProjectKosten[#Headers],0),0),""),X1369 &lt;=0,0),"")</f>
        <v/>
      </c>
      <c r="AB1369" s="314" t="str">
        <f t="shared" ca="1" si="87"/>
        <v/>
      </c>
      <c r="AC1369" s="322"/>
      <c r="AD1369" s="315"/>
      <c r="AE1369" s="32" t="str" cm="1">
        <f t="array" ref="AE1369">IFERROR(IF(INDEX(SubsidieTabel!$AD$1:$AG$12,MATCH($F1369,SubsidieTabel!$AD$1:$AD$12,0),IFERROR(MATCH(Methode_Keuze,SubsidieTabel!$AD$1:$AG$1,0),2))&lt;&gt;1=TRUE,"ja",""),"")</f>
        <v/>
      </c>
    </row>
    <row r="1370" spans="1:31" x14ac:dyDescent="0.25">
      <c r="A1370" s="316"/>
      <c r="B1370" s="317" t="str">
        <f>IF(A1370&lt;&gt;"",_xlfn.MAXIFS($B$1:B1369,$A$1:A1369,A1370)+1,"")</f>
        <v/>
      </c>
      <c r="C1370" s="296"/>
      <c r="D1370" s="296"/>
      <c r="E1370" s="296"/>
      <c r="F1370" s="296"/>
      <c r="G1370" s="326"/>
      <c r="H1370" s="324"/>
      <c r="I1370" s="325"/>
      <c r="J1370" s="325"/>
      <c r="K1370" s="318"/>
      <c r="L1370" s="318"/>
      <c r="M1370" s="319" t="str">
        <f>IFERROR(VLOOKUP(H1370,Lijsten!$H$1:$I$100,2,0),"")</f>
        <v/>
      </c>
      <c r="N1370" s="319" t="str">
        <f ca="1">IFERROR(IF(VLOOKUP(F1370,Kostentypen!$A$3:$E$21,3,0)=0,"",IF(OR(F1370="Arbeidskosten",F1370="Vergoeding"),VLOOKUP(G1370,Tb_KostenTypen[],2,0),VLOOKUP(F1370,Kostentypen!$A$3:$E$20,3,0))),"")</f>
        <v/>
      </c>
      <c r="O1370" s="320" t="str" cm="1">
        <f t="array" ref="O1370">_xlfn.IFNA(IF(INDEX(Tb_KostenOptiesDB[],MATCH($F1370,Tb_KostenOptiesDB[KostenOptie],0),IFERROR(MATCH(Methode_Keuze,Tb_KostenOptiesDB[#Headers],0),2))=1,_xlfn.SWITCH($N1370,"Uurtarief",IF(OR(AND(RIGHT($F1370,3)="IKS",VLOOKUP($M1370,DB_Loonkosten,2,0)="Ja"),AND(RIGHT($F1370,3)&lt;&gt;"IKS",VLOOKUP($M1370,DB_Loonkosten,2,0)="Nee")),IFERROR(VLOOKUP($M1370,DB_Loonkosten,24,0),""),0),"Vast tarief",IF(LEFT(F1370,8)="Bijdrage",VLOOKUP($F1370,Tb_KostenTypen[],MATCH(Lijsten!$P$1,Tb_KostenTypen[#Headers],0),0),VLOOKUP($G1370,Lijsten!L:P,MATCH(Lijsten!$P$1,Kop_Tarief_Vast,0),0))),""),"")</f>
        <v/>
      </c>
      <c r="P1370" s="320" t="str" cm="1">
        <f t="array" ref="P1370">_xlfn.IFNA(IF(INDEX(Tb_KostenOptiesDB[],MATCH($F1370,Tb_KostenOptiesDB[KostenOptie],0),IFERROR(MATCH(Methode_Keuze,Tb_KostenOptiesDB[#Headers],0),2))=1,_xlfn.SWITCH($N1370,"Uurtarief",IF(OR(AND(RIGHT($F1370,3)="IKS",VLOOKUP($M1370,DB_Loonkosten,2,0)="Ja"),AND(RIGHT($F1370,3)&lt;&gt;"IKS",VLOOKUP($M1370,DB_Loonkosten,2,0)="Nee")),IFERROR(VLOOKUP($M1370,DB_Loonkosten,25,0),""),0),"Vast tarief",IF(LEFT(F1370,8)="Bijdrage",VLOOKUP($F1370,Tb_KostenTypen[],MATCH(Lijsten!$P$1,Tb_KostenTypen[#Headers],0),0),VLOOKUP($G1370,Lijsten!L:P,MATCH(Lijsten!$P$1,Kop_Tarief_Vast,0),0))),""),"")</f>
        <v/>
      </c>
      <c r="Q1370" s="359"/>
      <c r="R1370" s="359"/>
      <c r="S1370" s="321"/>
      <c r="T1370" s="321"/>
      <c r="U1370" s="373" t="str">
        <f t="shared" si="84"/>
        <v/>
      </c>
      <c r="V1370" s="314" t="str">
        <f t="shared" si="85"/>
        <v/>
      </c>
      <c r="W1370" s="314" t="str" cm="1">
        <f t="array" aca="1" ref="W1370" ca="1">IFERROR(IF(AE1370&lt;&gt;"ja",_xlfn.IFNA(_xlfn.IFS(AND(O1370&lt;&gt;"",F1370&lt;&gt;"",RIGHT($N1370,6)="tarief",F1370="Vergoeding"),SUM(O1370)*FLOOR(SUM(Q1370),0.0001),AND(O1370&lt;&gt;"",F1370&lt;&gt;"",RIGHT($N1370,6)="tarief"),SUM(O1370)*FLOOR(SUM(Q1370),0.01),S1370&gt;0,IF(F1370&lt;&gt;"",FLOOR(SUM(S1370),0.01),"")),""),""),"")</f>
        <v/>
      </c>
      <c r="X1370" s="314" t="str" cm="1">
        <f t="array" aca="1" ref="X1370" ca="1">IFERROR(IF(AE1370&lt;&gt;"ja",_xlfn.IFNA(_xlfn.IFS(AND(P1370&lt;&gt;"",R1370&lt;&gt;"",RIGHT($N1370,6)="tarief",F1370="Vergoeding"),SUM(P1370)*FLOOR(SUM(R1370),0.0001),AND(P1370&lt;&gt;"",R1370&lt;&gt;"",RIGHT($N1370,6)="tarief"),P1370*FLOOR(R1370,0.01),T1370&gt;0,FLOOR(SUM(T1370),0.01)),""),""),"")</f>
        <v/>
      </c>
      <c r="Y1370" s="314" t="str">
        <f t="shared" ca="1" si="86"/>
        <v/>
      </c>
      <c r="Z1370" s="314" t="str" cm="1">
        <f t="array" aca="1" ref="Z1370" ca="1">IFERROR(_xlfn.IFS(OR(F1370="",LEFT(Methode_Keuze,4)="Geen",Methode_Keuze=""),"",AND(W1370&lt;&gt;"",F1370&lt;&gt;"Arbeidskosten"),W1370*VLOOKUP(F1370,Tb_ProjectKosten[],MATCH(Tb_ProjectKosten[[#Headers],[Forfait_Percentage]],Tb_ProjectKosten[#Headers],0),0),AND(F1370="Arbeidskosten",G1370&lt;&gt;""),IFERROR(W1370*VLOOKUP(G1370,Tb_KostenTypen[],3,0)*VLOOKUP(F1370,Tb_ProjectKosten[],MATCH(Tb_ProjectKosten[[#Headers],[Forfait_Percentage]],Tb_ProjectKosten[#Headers],0),0),""),W1370 &lt;=0,0),"")</f>
        <v/>
      </c>
      <c r="AA1370" s="314" t="str" cm="1">
        <f t="array" aca="1" ref="AA1370" ca="1">IFERROR(_xlfn.IFS(OR(F1370="",LEFT(Methode_Keuze,4)="Geen",Methode_Keuze=""),"",AND(X1370&lt;&gt;"",F1370&lt;&gt;"Arbeidskosten"),X1370*VLOOKUP(F1370,Tb_ProjectKosten[],MATCH(Tb_ProjectKosten[[#Headers],[Forfait_Percentage]],Tb_ProjectKosten[#Headers],0),0),AND(F1370="Arbeidskosten",G1370&lt;&gt;""),IFERROR(X1370*VLOOKUP(G1370,Tb_KostenTypen[],3,0)*VLOOKUP(F1370,Tb_ProjectKosten[],MATCH(Tb_ProjectKosten[[#Headers],[Forfait_Percentage]],Tb_ProjectKosten[#Headers],0),0),""),X1370 &lt;=0,0),"")</f>
        <v/>
      </c>
      <c r="AB1370" s="314" t="str">
        <f t="shared" ca="1" si="87"/>
        <v/>
      </c>
      <c r="AC1370" s="322"/>
      <c r="AD1370" s="315"/>
      <c r="AE1370" s="32" t="str" cm="1">
        <f t="array" ref="AE1370">IFERROR(IF(INDEX(SubsidieTabel!$AD$1:$AG$12,MATCH($F1370,SubsidieTabel!$AD$1:$AD$12,0),IFERROR(MATCH(Methode_Keuze,SubsidieTabel!$AD$1:$AG$1,0),2))&lt;&gt;1=TRUE,"ja",""),"")</f>
        <v/>
      </c>
    </row>
    <row r="1371" spans="1:31" x14ac:dyDescent="0.25">
      <c r="A1371" s="316"/>
      <c r="B1371" s="317" t="str">
        <f>IF(A1371&lt;&gt;"",_xlfn.MAXIFS($B$1:B1370,$A$1:A1370,A1371)+1,"")</f>
        <v/>
      </c>
      <c r="C1371" s="296"/>
      <c r="D1371" s="296"/>
      <c r="E1371" s="296"/>
      <c r="F1371" s="296"/>
      <c r="G1371" s="326"/>
      <c r="H1371" s="324"/>
      <c r="I1371" s="325"/>
      <c r="J1371" s="325"/>
      <c r="K1371" s="318"/>
      <c r="L1371" s="318"/>
      <c r="M1371" s="319" t="str">
        <f>IFERROR(VLOOKUP(H1371,Lijsten!$H$1:$I$100,2,0),"")</f>
        <v/>
      </c>
      <c r="N1371" s="319" t="str">
        <f ca="1">IFERROR(IF(VLOOKUP(F1371,Kostentypen!$A$3:$E$21,3,0)=0,"",IF(OR(F1371="Arbeidskosten",F1371="Vergoeding"),VLOOKUP(G1371,Tb_KostenTypen[],2,0),VLOOKUP(F1371,Kostentypen!$A$3:$E$20,3,0))),"")</f>
        <v/>
      </c>
      <c r="O1371" s="320" t="str" cm="1">
        <f t="array" ref="O1371">_xlfn.IFNA(IF(INDEX(Tb_KostenOptiesDB[],MATCH($F1371,Tb_KostenOptiesDB[KostenOptie],0),IFERROR(MATCH(Methode_Keuze,Tb_KostenOptiesDB[#Headers],0),2))=1,_xlfn.SWITCH($N1371,"Uurtarief",IF(OR(AND(RIGHT($F1371,3)="IKS",VLOOKUP($M1371,DB_Loonkosten,2,0)="Ja"),AND(RIGHT($F1371,3)&lt;&gt;"IKS",VLOOKUP($M1371,DB_Loonkosten,2,0)="Nee")),IFERROR(VLOOKUP($M1371,DB_Loonkosten,24,0),""),0),"Vast tarief",IF(LEFT(F1371,8)="Bijdrage",VLOOKUP($F1371,Tb_KostenTypen[],MATCH(Lijsten!$P$1,Tb_KostenTypen[#Headers],0),0),VLOOKUP($G1371,Lijsten!L:P,MATCH(Lijsten!$P$1,Kop_Tarief_Vast,0),0))),""),"")</f>
        <v/>
      </c>
      <c r="P1371" s="320" t="str" cm="1">
        <f t="array" ref="P1371">_xlfn.IFNA(IF(INDEX(Tb_KostenOptiesDB[],MATCH($F1371,Tb_KostenOptiesDB[KostenOptie],0),IFERROR(MATCH(Methode_Keuze,Tb_KostenOptiesDB[#Headers],0),2))=1,_xlfn.SWITCH($N1371,"Uurtarief",IF(OR(AND(RIGHT($F1371,3)="IKS",VLOOKUP($M1371,DB_Loonkosten,2,0)="Ja"),AND(RIGHT($F1371,3)&lt;&gt;"IKS",VLOOKUP($M1371,DB_Loonkosten,2,0)="Nee")),IFERROR(VLOOKUP($M1371,DB_Loonkosten,25,0),""),0),"Vast tarief",IF(LEFT(F1371,8)="Bijdrage",VLOOKUP($F1371,Tb_KostenTypen[],MATCH(Lijsten!$P$1,Tb_KostenTypen[#Headers],0),0),VLOOKUP($G1371,Lijsten!L:P,MATCH(Lijsten!$P$1,Kop_Tarief_Vast,0),0))),""),"")</f>
        <v/>
      </c>
      <c r="Q1371" s="359"/>
      <c r="R1371" s="359"/>
      <c r="S1371" s="321"/>
      <c r="T1371" s="321"/>
      <c r="U1371" s="373" t="str">
        <f t="shared" si="84"/>
        <v/>
      </c>
      <c r="V1371" s="314" t="str">
        <f t="shared" si="85"/>
        <v/>
      </c>
      <c r="W1371" s="314" t="str" cm="1">
        <f t="array" aca="1" ref="W1371" ca="1">IFERROR(IF(AE1371&lt;&gt;"ja",_xlfn.IFNA(_xlfn.IFS(AND(O1371&lt;&gt;"",F1371&lt;&gt;"",RIGHT($N1371,6)="tarief",F1371="Vergoeding"),SUM(O1371)*FLOOR(SUM(Q1371),0.0001),AND(O1371&lt;&gt;"",F1371&lt;&gt;"",RIGHT($N1371,6)="tarief"),SUM(O1371)*FLOOR(SUM(Q1371),0.01),S1371&gt;0,IF(F1371&lt;&gt;"",FLOOR(SUM(S1371),0.01),"")),""),""),"")</f>
        <v/>
      </c>
      <c r="X1371" s="314" t="str" cm="1">
        <f t="array" aca="1" ref="X1371" ca="1">IFERROR(IF(AE1371&lt;&gt;"ja",_xlfn.IFNA(_xlfn.IFS(AND(P1371&lt;&gt;"",R1371&lt;&gt;"",RIGHT($N1371,6)="tarief",F1371="Vergoeding"),SUM(P1371)*FLOOR(SUM(R1371),0.0001),AND(P1371&lt;&gt;"",R1371&lt;&gt;"",RIGHT($N1371,6)="tarief"),P1371*FLOOR(R1371,0.01),T1371&gt;0,FLOOR(SUM(T1371),0.01)),""),""),"")</f>
        <v/>
      </c>
      <c r="Y1371" s="314" t="str">
        <f t="shared" ca="1" si="86"/>
        <v/>
      </c>
      <c r="Z1371" s="314" t="str" cm="1">
        <f t="array" aca="1" ref="Z1371" ca="1">IFERROR(_xlfn.IFS(OR(F1371="",LEFT(Methode_Keuze,4)="Geen",Methode_Keuze=""),"",AND(W1371&lt;&gt;"",F1371&lt;&gt;"Arbeidskosten"),W1371*VLOOKUP(F1371,Tb_ProjectKosten[],MATCH(Tb_ProjectKosten[[#Headers],[Forfait_Percentage]],Tb_ProjectKosten[#Headers],0),0),AND(F1371="Arbeidskosten",G1371&lt;&gt;""),IFERROR(W1371*VLOOKUP(G1371,Tb_KostenTypen[],3,0)*VLOOKUP(F1371,Tb_ProjectKosten[],MATCH(Tb_ProjectKosten[[#Headers],[Forfait_Percentage]],Tb_ProjectKosten[#Headers],0),0),""),W1371 &lt;=0,0),"")</f>
        <v/>
      </c>
      <c r="AA1371" s="314" t="str" cm="1">
        <f t="array" aca="1" ref="AA1371" ca="1">IFERROR(_xlfn.IFS(OR(F1371="",LEFT(Methode_Keuze,4)="Geen",Methode_Keuze=""),"",AND(X1371&lt;&gt;"",F1371&lt;&gt;"Arbeidskosten"),X1371*VLOOKUP(F1371,Tb_ProjectKosten[],MATCH(Tb_ProjectKosten[[#Headers],[Forfait_Percentage]],Tb_ProjectKosten[#Headers],0),0),AND(F1371="Arbeidskosten",G1371&lt;&gt;""),IFERROR(X1371*VLOOKUP(G1371,Tb_KostenTypen[],3,0)*VLOOKUP(F1371,Tb_ProjectKosten[],MATCH(Tb_ProjectKosten[[#Headers],[Forfait_Percentage]],Tb_ProjectKosten[#Headers],0),0),""),X1371 &lt;=0,0),"")</f>
        <v/>
      </c>
      <c r="AB1371" s="314" t="str">
        <f t="shared" ca="1" si="87"/>
        <v/>
      </c>
      <c r="AC1371" s="322"/>
      <c r="AD1371" s="315"/>
      <c r="AE1371" s="32" t="str" cm="1">
        <f t="array" ref="AE1371">IFERROR(IF(INDEX(SubsidieTabel!$AD$1:$AG$12,MATCH($F1371,SubsidieTabel!$AD$1:$AD$12,0),IFERROR(MATCH(Methode_Keuze,SubsidieTabel!$AD$1:$AG$1,0),2))&lt;&gt;1=TRUE,"ja",""),"")</f>
        <v/>
      </c>
    </row>
    <row r="1372" spans="1:31" x14ac:dyDescent="0.25">
      <c r="A1372" s="316"/>
      <c r="B1372" s="317" t="str">
        <f>IF(A1372&lt;&gt;"",_xlfn.MAXIFS($B$1:B1371,$A$1:A1371,A1372)+1,"")</f>
        <v/>
      </c>
      <c r="C1372" s="296"/>
      <c r="D1372" s="296"/>
      <c r="E1372" s="296"/>
      <c r="F1372" s="296"/>
      <c r="G1372" s="326"/>
      <c r="H1372" s="324"/>
      <c r="I1372" s="325"/>
      <c r="J1372" s="325"/>
      <c r="K1372" s="318"/>
      <c r="L1372" s="318"/>
      <c r="M1372" s="319" t="str">
        <f>IFERROR(VLOOKUP(H1372,Lijsten!$H$1:$I$100,2,0),"")</f>
        <v/>
      </c>
      <c r="N1372" s="319" t="str">
        <f ca="1">IFERROR(IF(VLOOKUP(F1372,Kostentypen!$A$3:$E$21,3,0)=0,"",IF(OR(F1372="Arbeidskosten",F1372="Vergoeding"),VLOOKUP(G1372,Tb_KostenTypen[],2,0),VLOOKUP(F1372,Kostentypen!$A$3:$E$20,3,0))),"")</f>
        <v/>
      </c>
      <c r="O1372" s="320" t="str" cm="1">
        <f t="array" ref="O1372">_xlfn.IFNA(IF(INDEX(Tb_KostenOptiesDB[],MATCH($F1372,Tb_KostenOptiesDB[KostenOptie],0),IFERROR(MATCH(Methode_Keuze,Tb_KostenOptiesDB[#Headers],0),2))=1,_xlfn.SWITCH($N1372,"Uurtarief",IF(OR(AND(RIGHT($F1372,3)="IKS",VLOOKUP($M1372,DB_Loonkosten,2,0)="Ja"),AND(RIGHT($F1372,3)&lt;&gt;"IKS",VLOOKUP($M1372,DB_Loonkosten,2,0)="Nee")),IFERROR(VLOOKUP($M1372,DB_Loonkosten,24,0),""),0),"Vast tarief",IF(LEFT(F1372,8)="Bijdrage",VLOOKUP($F1372,Tb_KostenTypen[],MATCH(Lijsten!$P$1,Tb_KostenTypen[#Headers],0),0),VLOOKUP($G1372,Lijsten!L:P,MATCH(Lijsten!$P$1,Kop_Tarief_Vast,0),0))),""),"")</f>
        <v/>
      </c>
      <c r="P1372" s="320" t="str" cm="1">
        <f t="array" ref="P1372">_xlfn.IFNA(IF(INDEX(Tb_KostenOptiesDB[],MATCH($F1372,Tb_KostenOptiesDB[KostenOptie],0),IFERROR(MATCH(Methode_Keuze,Tb_KostenOptiesDB[#Headers],0),2))=1,_xlfn.SWITCH($N1372,"Uurtarief",IF(OR(AND(RIGHT($F1372,3)="IKS",VLOOKUP($M1372,DB_Loonkosten,2,0)="Ja"),AND(RIGHT($F1372,3)&lt;&gt;"IKS",VLOOKUP($M1372,DB_Loonkosten,2,0)="Nee")),IFERROR(VLOOKUP($M1372,DB_Loonkosten,25,0),""),0),"Vast tarief",IF(LEFT(F1372,8)="Bijdrage",VLOOKUP($F1372,Tb_KostenTypen[],MATCH(Lijsten!$P$1,Tb_KostenTypen[#Headers],0),0),VLOOKUP($G1372,Lijsten!L:P,MATCH(Lijsten!$P$1,Kop_Tarief_Vast,0),0))),""),"")</f>
        <v/>
      </c>
      <c r="Q1372" s="359"/>
      <c r="R1372" s="359"/>
      <c r="S1372" s="321"/>
      <c r="T1372" s="321"/>
      <c r="U1372" s="373" t="str">
        <f t="shared" si="84"/>
        <v/>
      </c>
      <c r="V1372" s="314" t="str">
        <f t="shared" si="85"/>
        <v/>
      </c>
      <c r="W1372" s="314" t="str" cm="1">
        <f t="array" aca="1" ref="W1372" ca="1">IFERROR(IF(AE1372&lt;&gt;"ja",_xlfn.IFNA(_xlfn.IFS(AND(O1372&lt;&gt;"",F1372&lt;&gt;"",RIGHT($N1372,6)="tarief",F1372="Vergoeding"),SUM(O1372)*FLOOR(SUM(Q1372),0.0001),AND(O1372&lt;&gt;"",F1372&lt;&gt;"",RIGHT($N1372,6)="tarief"),SUM(O1372)*FLOOR(SUM(Q1372),0.01),S1372&gt;0,IF(F1372&lt;&gt;"",FLOOR(SUM(S1372),0.01),"")),""),""),"")</f>
        <v/>
      </c>
      <c r="X1372" s="314" t="str" cm="1">
        <f t="array" aca="1" ref="X1372" ca="1">IFERROR(IF(AE1372&lt;&gt;"ja",_xlfn.IFNA(_xlfn.IFS(AND(P1372&lt;&gt;"",R1372&lt;&gt;"",RIGHT($N1372,6)="tarief",F1372="Vergoeding"),SUM(P1372)*FLOOR(SUM(R1372),0.0001),AND(P1372&lt;&gt;"",R1372&lt;&gt;"",RIGHT($N1372,6)="tarief"),P1372*FLOOR(R1372,0.01),T1372&gt;0,FLOOR(SUM(T1372),0.01)),""),""),"")</f>
        <v/>
      </c>
      <c r="Y1372" s="314" t="str">
        <f t="shared" ca="1" si="86"/>
        <v/>
      </c>
      <c r="Z1372" s="314" t="str" cm="1">
        <f t="array" aca="1" ref="Z1372" ca="1">IFERROR(_xlfn.IFS(OR(F1372="",LEFT(Methode_Keuze,4)="Geen",Methode_Keuze=""),"",AND(W1372&lt;&gt;"",F1372&lt;&gt;"Arbeidskosten"),W1372*VLOOKUP(F1372,Tb_ProjectKosten[],MATCH(Tb_ProjectKosten[[#Headers],[Forfait_Percentage]],Tb_ProjectKosten[#Headers],0),0),AND(F1372="Arbeidskosten",G1372&lt;&gt;""),IFERROR(W1372*VLOOKUP(G1372,Tb_KostenTypen[],3,0)*VLOOKUP(F1372,Tb_ProjectKosten[],MATCH(Tb_ProjectKosten[[#Headers],[Forfait_Percentage]],Tb_ProjectKosten[#Headers],0),0),""),W1372 &lt;=0,0),"")</f>
        <v/>
      </c>
      <c r="AA1372" s="314" t="str" cm="1">
        <f t="array" aca="1" ref="AA1372" ca="1">IFERROR(_xlfn.IFS(OR(F1372="",LEFT(Methode_Keuze,4)="Geen",Methode_Keuze=""),"",AND(X1372&lt;&gt;"",F1372&lt;&gt;"Arbeidskosten"),X1372*VLOOKUP(F1372,Tb_ProjectKosten[],MATCH(Tb_ProjectKosten[[#Headers],[Forfait_Percentage]],Tb_ProjectKosten[#Headers],0),0),AND(F1372="Arbeidskosten",G1372&lt;&gt;""),IFERROR(X1372*VLOOKUP(G1372,Tb_KostenTypen[],3,0)*VLOOKUP(F1372,Tb_ProjectKosten[],MATCH(Tb_ProjectKosten[[#Headers],[Forfait_Percentage]],Tb_ProjectKosten[#Headers],0),0),""),X1372 &lt;=0,0),"")</f>
        <v/>
      </c>
      <c r="AB1372" s="314" t="str">
        <f t="shared" ca="1" si="87"/>
        <v/>
      </c>
      <c r="AC1372" s="322"/>
      <c r="AD1372" s="315"/>
      <c r="AE1372" s="32" t="str" cm="1">
        <f t="array" ref="AE1372">IFERROR(IF(INDEX(SubsidieTabel!$AD$1:$AG$12,MATCH($F1372,SubsidieTabel!$AD$1:$AD$12,0),IFERROR(MATCH(Methode_Keuze,SubsidieTabel!$AD$1:$AG$1,0),2))&lt;&gt;1=TRUE,"ja",""),"")</f>
        <v/>
      </c>
    </row>
    <row r="1373" spans="1:31" x14ac:dyDescent="0.25">
      <c r="A1373" s="316"/>
      <c r="B1373" s="317" t="str">
        <f>IF(A1373&lt;&gt;"",_xlfn.MAXIFS($B$1:B1372,$A$1:A1372,A1373)+1,"")</f>
        <v/>
      </c>
      <c r="C1373" s="296"/>
      <c r="D1373" s="296"/>
      <c r="E1373" s="296"/>
      <c r="F1373" s="296"/>
      <c r="G1373" s="326"/>
      <c r="H1373" s="324"/>
      <c r="I1373" s="325"/>
      <c r="J1373" s="325"/>
      <c r="K1373" s="318"/>
      <c r="L1373" s="318"/>
      <c r="M1373" s="319" t="str">
        <f>IFERROR(VLOOKUP(H1373,Lijsten!$H$1:$I$100,2,0),"")</f>
        <v/>
      </c>
      <c r="N1373" s="319" t="str">
        <f ca="1">IFERROR(IF(VLOOKUP(F1373,Kostentypen!$A$3:$E$21,3,0)=0,"",IF(OR(F1373="Arbeidskosten",F1373="Vergoeding"),VLOOKUP(G1373,Tb_KostenTypen[],2,0),VLOOKUP(F1373,Kostentypen!$A$3:$E$20,3,0))),"")</f>
        <v/>
      </c>
      <c r="O1373" s="320" t="str" cm="1">
        <f t="array" ref="O1373">_xlfn.IFNA(IF(INDEX(Tb_KostenOptiesDB[],MATCH($F1373,Tb_KostenOptiesDB[KostenOptie],0),IFERROR(MATCH(Methode_Keuze,Tb_KostenOptiesDB[#Headers],0),2))=1,_xlfn.SWITCH($N1373,"Uurtarief",IF(OR(AND(RIGHT($F1373,3)="IKS",VLOOKUP($M1373,DB_Loonkosten,2,0)="Ja"),AND(RIGHT($F1373,3)&lt;&gt;"IKS",VLOOKUP($M1373,DB_Loonkosten,2,0)="Nee")),IFERROR(VLOOKUP($M1373,DB_Loonkosten,24,0),""),0),"Vast tarief",IF(LEFT(F1373,8)="Bijdrage",VLOOKUP($F1373,Tb_KostenTypen[],MATCH(Lijsten!$P$1,Tb_KostenTypen[#Headers],0),0),VLOOKUP($G1373,Lijsten!L:P,MATCH(Lijsten!$P$1,Kop_Tarief_Vast,0),0))),""),"")</f>
        <v/>
      </c>
      <c r="P1373" s="320" t="str" cm="1">
        <f t="array" ref="P1373">_xlfn.IFNA(IF(INDEX(Tb_KostenOptiesDB[],MATCH($F1373,Tb_KostenOptiesDB[KostenOptie],0),IFERROR(MATCH(Methode_Keuze,Tb_KostenOptiesDB[#Headers],0),2))=1,_xlfn.SWITCH($N1373,"Uurtarief",IF(OR(AND(RIGHT($F1373,3)="IKS",VLOOKUP($M1373,DB_Loonkosten,2,0)="Ja"),AND(RIGHT($F1373,3)&lt;&gt;"IKS",VLOOKUP($M1373,DB_Loonkosten,2,0)="Nee")),IFERROR(VLOOKUP($M1373,DB_Loonkosten,25,0),""),0),"Vast tarief",IF(LEFT(F1373,8)="Bijdrage",VLOOKUP($F1373,Tb_KostenTypen[],MATCH(Lijsten!$P$1,Tb_KostenTypen[#Headers],0),0),VLOOKUP($G1373,Lijsten!L:P,MATCH(Lijsten!$P$1,Kop_Tarief_Vast,0),0))),""),"")</f>
        <v/>
      </c>
      <c r="Q1373" s="359"/>
      <c r="R1373" s="359"/>
      <c r="S1373" s="321"/>
      <c r="T1373" s="321"/>
      <c r="U1373" s="373" t="str">
        <f t="shared" si="84"/>
        <v/>
      </c>
      <c r="V1373" s="314" t="str">
        <f t="shared" si="85"/>
        <v/>
      </c>
      <c r="W1373" s="314" t="str" cm="1">
        <f t="array" aca="1" ref="W1373" ca="1">IFERROR(IF(AE1373&lt;&gt;"ja",_xlfn.IFNA(_xlfn.IFS(AND(O1373&lt;&gt;"",F1373&lt;&gt;"",RIGHT($N1373,6)="tarief",F1373="Vergoeding"),SUM(O1373)*FLOOR(SUM(Q1373),0.0001),AND(O1373&lt;&gt;"",F1373&lt;&gt;"",RIGHT($N1373,6)="tarief"),SUM(O1373)*FLOOR(SUM(Q1373),0.01),S1373&gt;0,IF(F1373&lt;&gt;"",FLOOR(SUM(S1373),0.01),"")),""),""),"")</f>
        <v/>
      </c>
      <c r="X1373" s="314" t="str" cm="1">
        <f t="array" aca="1" ref="X1373" ca="1">IFERROR(IF(AE1373&lt;&gt;"ja",_xlfn.IFNA(_xlfn.IFS(AND(P1373&lt;&gt;"",R1373&lt;&gt;"",RIGHT($N1373,6)="tarief",F1373="Vergoeding"),SUM(P1373)*FLOOR(SUM(R1373),0.0001),AND(P1373&lt;&gt;"",R1373&lt;&gt;"",RIGHT($N1373,6)="tarief"),P1373*FLOOR(R1373,0.01),T1373&gt;0,FLOOR(SUM(T1373),0.01)),""),""),"")</f>
        <v/>
      </c>
      <c r="Y1373" s="314" t="str">
        <f t="shared" ca="1" si="86"/>
        <v/>
      </c>
      <c r="Z1373" s="314" t="str" cm="1">
        <f t="array" aca="1" ref="Z1373" ca="1">IFERROR(_xlfn.IFS(OR(F1373="",LEFT(Methode_Keuze,4)="Geen",Methode_Keuze=""),"",AND(W1373&lt;&gt;"",F1373&lt;&gt;"Arbeidskosten"),W1373*VLOOKUP(F1373,Tb_ProjectKosten[],MATCH(Tb_ProjectKosten[[#Headers],[Forfait_Percentage]],Tb_ProjectKosten[#Headers],0),0),AND(F1373="Arbeidskosten",G1373&lt;&gt;""),IFERROR(W1373*VLOOKUP(G1373,Tb_KostenTypen[],3,0)*VLOOKUP(F1373,Tb_ProjectKosten[],MATCH(Tb_ProjectKosten[[#Headers],[Forfait_Percentage]],Tb_ProjectKosten[#Headers],0),0),""),W1373 &lt;=0,0),"")</f>
        <v/>
      </c>
      <c r="AA1373" s="314" t="str" cm="1">
        <f t="array" aca="1" ref="AA1373" ca="1">IFERROR(_xlfn.IFS(OR(F1373="",LEFT(Methode_Keuze,4)="Geen",Methode_Keuze=""),"",AND(X1373&lt;&gt;"",F1373&lt;&gt;"Arbeidskosten"),X1373*VLOOKUP(F1373,Tb_ProjectKosten[],MATCH(Tb_ProjectKosten[[#Headers],[Forfait_Percentage]],Tb_ProjectKosten[#Headers],0),0),AND(F1373="Arbeidskosten",G1373&lt;&gt;""),IFERROR(X1373*VLOOKUP(G1373,Tb_KostenTypen[],3,0)*VLOOKUP(F1373,Tb_ProjectKosten[],MATCH(Tb_ProjectKosten[[#Headers],[Forfait_Percentage]],Tb_ProjectKosten[#Headers],0),0),""),X1373 &lt;=0,0),"")</f>
        <v/>
      </c>
      <c r="AB1373" s="314" t="str">
        <f t="shared" ca="1" si="87"/>
        <v/>
      </c>
      <c r="AC1373" s="322"/>
      <c r="AD1373" s="315"/>
      <c r="AE1373" s="32" t="str" cm="1">
        <f t="array" ref="AE1373">IFERROR(IF(INDEX(SubsidieTabel!$AD$1:$AG$12,MATCH($F1373,SubsidieTabel!$AD$1:$AD$12,0),IFERROR(MATCH(Methode_Keuze,SubsidieTabel!$AD$1:$AG$1,0),2))&lt;&gt;1=TRUE,"ja",""),"")</f>
        <v/>
      </c>
    </row>
    <row r="1374" spans="1:31" x14ac:dyDescent="0.25">
      <c r="A1374" s="316"/>
      <c r="B1374" s="317" t="str">
        <f>IF(A1374&lt;&gt;"",_xlfn.MAXIFS($B$1:B1373,$A$1:A1373,A1374)+1,"")</f>
        <v/>
      </c>
      <c r="C1374" s="296"/>
      <c r="D1374" s="296"/>
      <c r="E1374" s="296"/>
      <c r="F1374" s="296"/>
      <c r="G1374" s="326"/>
      <c r="H1374" s="324"/>
      <c r="I1374" s="325"/>
      <c r="J1374" s="325"/>
      <c r="K1374" s="318"/>
      <c r="L1374" s="318"/>
      <c r="M1374" s="319" t="str">
        <f>IFERROR(VLOOKUP(H1374,Lijsten!$H$1:$I$100,2,0),"")</f>
        <v/>
      </c>
      <c r="N1374" s="319" t="str">
        <f ca="1">IFERROR(IF(VLOOKUP(F1374,Kostentypen!$A$3:$E$21,3,0)=0,"",IF(OR(F1374="Arbeidskosten",F1374="Vergoeding"),VLOOKUP(G1374,Tb_KostenTypen[],2,0),VLOOKUP(F1374,Kostentypen!$A$3:$E$20,3,0))),"")</f>
        <v/>
      </c>
      <c r="O1374" s="320" t="str" cm="1">
        <f t="array" ref="O1374">_xlfn.IFNA(IF(INDEX(Tb_KostenOptiesDB[],MATCH($F1374,Tb_KostenOptiesDB[KostenOptie],0),IFERROR(MATCH(Methode_Keuze,Tb_KostenOptiesDB[#Headers],0),2))=1,_xlfn.SWITCH($N1374,"Uurtarief",IF(OR(AND(RIGHT($F1374,3)="IKS",VLOOKUP($M1374,DB_Loonkosten,2,0)="Ja"),AND(RIGHT($F1374,3)&lt;&gt;"IKS",VLOOKUP($M1374,DB_Loonkosten,2,0)="Nee")),IFERROR(VLOOKUP($M1374,DB_Loonkosten,24,0),""),0),"Vast tarief",IF(LEFT(F1374,8)="Bijdrage",VLOOKUP($F1374,Tb_KostenTypen[],MATCH(Lijsten!$P$1,Tb_KostenTypen[#Headers],0),0),VLOOKUP($G1374,Lijsten!L:P,MATCH(Lijsten!$P$1,Kop_Tarief_Vast,0),0))),""),"")</f>
        <v/>
      </c>
      <c r="P1374" s="320" t="str" cm="1">
        <f t="array" ref="P1374">_xlfn.IFNA(IF(INDEX(Tb_KostenOptiesDB[],MATCH($F1374,Tb_KostenOptiesDB[KostenOptie],0),IFERROR(MATCH(Methode_Keuze,Tb_KostenOptiesDB[#Headers],0),2))=1,_xlfn.SWITCH($N1374,"Uurtarief",IF(OR(AND(RIGHT($F1374,3)="IKS",VLOOKUP($M1374,DB_Loonkosten,2,0)="Ja"),AND(RIGHT($F1374,3)&lt;&gt;"IKS",VLOOKUP($M1374,DB_Loonkosten,2,0)="Nee")),IFERROR(VLOOKUP($M1374,DB_Loonkosten,25,0),""),0),"Vast tarief",IF(LEFT(F1374,8)="Bijdrage",VLOOKUP($F1374,Tb_KostenTypen[],MATCH(Lijsten!$P$1,Tb_KostenTypen[#Headers],0),0),VLOOKUP($G1374,Lijsten!L:P,MATCH(Lijsten!$P$1,Kop_Tarief_Vast,0),0))),""),"")</f>
        <v/>
      </c>
      <c r="Q1374" s="359"/>
      <c r="R1374" s="359"/>
      <c r="S1374" s="321"/>
      <c r="T1374" s="321"/>
      <c r="U1374" s="373" t="str">
        <f t="shared" si="84"/>
        <v/>
      </c>
      <c r="V1374" s="314" t="str">
        <f t="shared" si="85"/>
        <v/>
      </c>
      <c r="W1374" s="314" t="str" cm="1">
        <f t="array" aca="1" ref="W1374" ca="1">IFERROR(IF(AE1374&lt;&gt;"ja",_xlfn.IFNA(_xlfn.IFS(AND(O1374&lt;&gt;"",F1374&lt;&gt;"",RIGHT($N1374,6)="tarief",F1374="Vergoeding"),SUM(O1374)*FLOOR(SUM(Q1374),0.0001),AND(O1374&lt;&gt;"",F1374&lt;&gt;"",RIGHT($N1374,6)="tarief"),SUM(O1374)*FLOOR(SUM(Q1374),0.01),S1374&gt;0,IF(F1374&lt;&gt;"",FLOOR(SUM(S1374),0.01),"")),""),""),"")</f>
        <v/>
      </c>
      <c r="X1374" s="314" t="str" cm="1">
        <f t="array" aca="1" ref="X1374" ca="1">IFERROR(IF(AE1374&lt;&gt;"ja",_xlfn.IFNA(_xlfn.IFS(AND(P1374&lt;&gt;"",R1374&lt;&gt;"",RIGHT($N1374,6)="tarief",F1374="Vergoeding"),SUM(P1374)*FLOOR(SUM(R1374),0.0001),AND(P1374&lt;&gt;"",R1374&lt;&gt;"",RIGHT($N1374,6)="tarief"),P1374*FLOOR(R1374,0.01),T1374&gt;0,FLOOR(SUM(T1374),0.01)),""),""),"")</f>
        <v/>
      </c>
      <c r="Y1374" s="314" t="str">
        <f t="shared" ca="1" si="86"/>
        <v/>
      </c>
      <c r="Z1374" s="314" t="str" cm="1">
        <f t="array" aca="1" ref="Z1374" ca="1">IFERROR(_xlfn.IFS(OR(F1374="",LEFT(Methode_Keuze,4)="Geen",Methode_Keuze=""),"",AND(W1374&lt;&gt;"",F1374&lt;&gt;"Arbeidskosten"),W1374*VLOOKUP(F1374,Tb_ProjectKosten[],MATCH(Tb_ProjectKosten[[#Headers],[Forfait_Percentage]],Tb_ProjectKosten[#Headers],0),0),AND(F1374="Arbeidskosten",G1374&lt;&gt;""),IFERROR(W1374*VLOOKUP(G1374,Tb_KostenTypen[],3,0)*VLOOKUP(F1374,Tb_ProjectKosten[],MATCH(Tb_ProjectKosten[[#Headers],[Forfait_Percentage]],Tb_ProjectKosten[#Headers],0),0),""),W1374 &lt;=0,0),"")</f>
        <v/>
      </c>
      <c r="AA1374" s="314" t="str" cm="1">
        <f t="array" aca="1" ref="AA1374" ca="1">IFERROR(_xlfn.IFS(OR(F1374="",LEFT(Methode_Keuze,4)="Geen",Methode_Keuze=""),"",AND(X1374&lt;&gt;"",F1374&lt;&gt;"Arbeidskosten"),X1374*VLOOKUP(F1374,Tb_ProjectKosten[],MATCH(Tb_ProjectKosten[[#Headers],[Forfait_Percentage]],Tb_ProjectKosten[#Headers],0),0),AND(F1374="Arbeidskosten",G1374&lt;&gt;""),IFERROR(X1374*VLOOKUP(G1374,Tb_KostenTypen[],3,0)*VLOOKUP(F1374,Tb_ProjectKosten[],MATCH(Tb_ProjectKosten[[#Headers],[Forfait_Percentage]],Tb_ProjectKosten[#Headers],0),0),""),X1374 &lt;=0,0),"")</f>
        <v/>
      </c>
      <c r="AB1374" s="314" t="str">
        <f t="shared" ca="1" si="87"/>
        <v/>
      </c>
      <c r="AC1374" s="322"/>
      <c r="AD1374" s="315"/>
      <c r="AE1374" s="32" t="str" cm="1">
        <f t="array" ref="AE1374">IFERROR(IF(INDEX(SubsidieTabel!$AD$1:$AG$12,MATCH($F1374,SubsidieTabel!$AD$1:$AD$12,0),IFERROR(MATCH(Methode_Keuze,SubsidieTabel!$AD$1:$AG$1,0),2))&lt;&gt;1=TRUE,"ja",""),"")</f>
        <v/>
      </c>
    </row>
    <row r="1375" spans="1:31" x14ac:dyDescent="0.25">
      <c r="A1375" s="316"/>
      <c r="B1375" s="317" t="str">
        <f>IF(A1375&lt;&gt;"",_xlfn.MAXIFS($B$1:B1374,$A$1:A1374,A1375)+1,"")</f>
        <v/>
      </c>
      <c r="C1375" s="296"/>
      <c r="D1375" s="296"/>
      <c r="E1375" s="296"/>
      <c r="F1375" s="296"/>
      <c r="G1375" s="326"/>
      <c r="H1375" s="324"/>
      <c r="I1375" s="325"/>
      <c r="J1375" s="325"/>
      <c r="K1375" s="318"/>
      <c r="L1375" s="318"/>
      <c r="M1375" s="319" t="str">
        <f>IFERROR(VLOOKUP(H1375,Lijsten!$H$1:$I$100,2,0),"")</f>
        <v/>
      </c>
      <c r="N1375" s="319" t="str">
        <f ca="1">IFERROR(IF(VLOOKUP(F1375,Kostentypen!$A$3:$E$21,3,0)=0,"",IF(OR(F1375="Arbeidskosten",F1375="Vergoeding"),VLOOKUP(G1375,Tb_KostenTypen[],2,0),VLOOKUP(F1375,Kostentypen!$A$3:$E$20,3,0))),"")</f>
        <v/>
      </c>
      <c r="O1375" s="320" t="str" cm="1">
        <f t="array" ref="O1375">_xlfn.IFNA(IF(INDEX(Tb_KostenOptiesDB[],MATCH($F1375,Tb_KostenOptiesDB[KostenOptie],0),IFERROR(MATCH(Methode_Keuze,Tb_KostenOptiesDB[#Headers],0),2))=1,_xlfn.SWITCH($N1375,"Uurtarief",IF(OR(AND(RIGHT($F1375,3)="IKS",VLOOKUP($M1375,DB_Loonkosten,2,0)="Ja"),AND(RIGHT($F1375,3)&lt;&gt;"IKS",VLOOKUP($M1375,DB_Loonkosten,2,0)="Nee")),IFERROR(VLOOKUP($M1375,DB_Loonkosten,24,0),""),0),"Vast tarief",IF(LEFT(F1375,8)="Bijdrage",VLOOKUP($F1375,Tb_KostenTypen[],MATCH(Lijsten!$P$1,Tb_KostenTypen[#Headers],0),0),VLOOKUP($G1375,Lijsten!L:P,MATCH(Lijsten!$P$1,Kop_Tarief_Vast,0),0))),""),"")</f>
        <v/>
      </c>
      <c r="P1375" s="320" t="str" cm="1">
        <f t="array" ref="P1375">_xlfn.IFNA(IF(INDEX(Tb_KostenOptiesDB[],MATCH($F1375,Tb_KostenOptiesDB[KostenOptie],0),IFERROR(MATCH(Methode_Keuze,Tb_KostenOptiesDB[#Headers],0),2))=1,_xlfn.SWITCH($N1375,"Uurtarief",IF(OR(AND(RIGHT($F1375,3)="IKS",VLOOKUP($M1375,DB_Loonkosten,2,0)="Ja"),AND(RIGHT($F1375,3)&lt;&gt;"IKS",VLOOKUP($M1375,DB_Loonkosten,2,0)="Nee")),IFERROR(VLOOKUP($M1375,DB_Loonkosten,25,0),""),0),"Vast tarief",IF(LEFT(F1375,8)="Bijdrage",VLOOKUP($F1375,Tb_KostenTypen[],MATCH(Lijsten!$P$1,Tb_KostenTypen[#Headers],0),0),VLOOKUP($G1375,Lijsten!L:P,MATCH(Lijsten!$P$1,Kop_Tarief_Vast,0),0))),""),"")</f>
        <v/>
      </c>
      <c r="Q1375" s="359"/>
      <c r="R1375" s="359"/>
      <c r="S1375" s="321"/>
      <c r="T1375" s="321"/>
      <c r="U1375" s="373" t="str">
        <f t="shared" si="84"/>
        <v/>
      </c>
      <c r="V1375" s="314" t="str">
        <f t="shared" si="85"/>
        <v/>
      </c>
      <c r="W1375" s="314" t="str" cm="1">
        <f t="array" aca="1" ref="W1375" ca="1">IFERROR(IF(AE1375&lt;&gt;"ja",_xlfn.IFNA(_xlfn.IFS(AND(O1375&lt;&gt;"",F1375&lt;&gt;"",RIGHT($N1375,6)="tarief",F1375="Vergoeding"),SUM(O1375)*FLOOR(SUM(Q1375),0.0001),AND(O1375&lt;&gt;"",F1375&lt;&gt;"",RIGHT($N1375,6)="tarief"),SUM(O1375)*FLOOR(SUM(Q1375),0.01),S1375&gt;0,IF(F1375&lt;&gt;"",FLOOR(SUM(S1375),0.01),"")),""),""),"")</f>
        <v/>
      </c>
      <c r="X1375" s="314" t="str" cm="1">
        <f t="array" aca="1" ref="X1375" ca="1">IFERROR(IF(AE1375&lt;&gt;"ja",_xlfn.IFNA(_xlfn.IFS(AND(P1375&lt;&gt;"",R1375&lt;&gt;"",RIGHT($N1375,6)="tarief",F1375="Vergoeding"),SUM(P1375)*FLOOR(SUM(R1375),0.0001),AND(P1375&lt;&gt;"",R1375&lt;&gt;"",RIGHT($N1375,6)="tarief"),P1375*FLOOR(R1375,0.01),T1375&gt;0,FLOOR(SUM(T1375),0.01)),""),""),"")</f>
        <v/>
      </c>
      <c r="Y1375" s="314" t="str">
        <f t="shared" ca="1" si="86"/>
        <v/>
      </c>
      <c r="Z1375" s="314" t="str" cm="1">
        <f t="array" aca="1" ref="Z1375" ca="1">IFERROR(_xlfn.IFS(OR(F1375="",LEFT(Methode_Keuze,4)="Geen",Methode_Keuze=""),"",AND(W1375&lt;&gt;"",F1375&lt;&gt;"Arbeidskosten"),W1375*VLOOKUP(F1375,Tb_ProjectKosten[],MATCH(Tb_ProjectKosten[[#Headers],[Forfait_Percentage]],Tb_ProjectKosten[#Headers],0),0),AND(F1375="Arbeidskosten",G1375&lt;&gt;""),IFERROR(W1375*VLOOKUP(G1375,Tb_KostenTypen[],3,0)*VLOOKUP(F1375,Tb_ProjectKosten[],MATCH(Tb_ProjectKosten[[#Headers],[Forfait_Percentage]],Tb_ProjectKosten[#Headers],0),0),""),W1375 &lt;=0,0),"")</f>
        <v/>
      </c>
      <c r="AA1375" s="314" t="str" cm="1">
        <f t="array" aca="1" ref="AA1375" ca="1">IFERROR(_xlfn.IFS(OR(F1375="",LEFT(Methode_Keuze,4)="Geen",Methode_Keuze=""),"",AND(X1375&lt;&gt;"",F1375&lt;&gt;"Arbeidskosten"),X1375*VLOOKUP(F1375,Tb_ProjectKosten[],MATCH(Tb_ProjectKosten[[#Headers],[Forfait_Percentage]],Tb_ProjectKosten[#Headers],0),0),AND(F1375="Arbeidskosten",G1375&lt;&gt;""),IFERROR(X1375*VLOOKUP(G1375,Tb_KostenTypen[],3,0)*VLOOKUP(F1375,Tb_ProjectKosten[],MATCH(Tb_ProjectKosten[[#Headers],[Forfait_Percentage]],Tb_ProjectKosten[#Headers],0),0),""),X1375 &lt;=0,0),"")</f>
        <v/>
      </c>
      <c r="AB1375" s="314" t="str">
        <f t="shared" ca="1" si="87"/>
        <v/>
      </c>
      <c r="AC1375" s="322"/>
      <c r="AD1375" s="315"/>
      <c r="AE1375" s="32" t="str" cm="1">
        <f t="array" ref="AE1375">IFERROR(IF(INDEX(SubsidieTabel!$AD$1:$AG$12,MATCH($F1375,SubsidieTabel!$AD$1:$AD$12,0),IFERROR(MATCH(Methode_Keuze,SubsidieTabel!$AD$1:$AG$1,0),2))&lt;&gt;1=TRUE,"ja",""),"")</f>
        <v/>
      </c>
    </row>
    <row r="1376" spans="1:31" x14ac:dyDescent="0.25">
      <c r="A1376" s="316"/>
      <c r="B1376" s="317" t="str">
        <f>IF(A1376&lt;&gt;"",_xlfn.MAXIFS($B$1:B1375,$A$1:A1375,A1376)+1,"")</f>
        <v/>
      </c>
      <c r="C1376" s="296"/>
      <c r="D1376" s="296"/>
      <c r="E1376" s="296"/>
      <c r="F1376" s="296"/>
      <c r="G1376" s="326"/>
      <c r="H1376" s="324"/>
      <c r="I1376" s="325"/>
      <c r="J1376" s="325"/>
      <c r="K1376" s="318"/>
      <c r="L1376" s="318"/>
      <c r="M1376" s="319" t="str">
        <f>IFERROR(VLOOKUP(H1376,Lijsten!$H$1:$I$100,2,0),"")</f>
        <v/>
      </c>
      <c r="N1376" s="319" t="str">
        <f ca="1">IFERROR(IF(VLOOKUP(F1376,Kostentypen!$A$3:$E$21,3,0)=0,"",IF(OR(F1376="Arbeidskosten",F1376="Vergoeding"),VLOOKUP(G1376,Tb_KostenTypen[],2,0),VLOOKUP(F1376,Kostentypen!$A$3:$E$20,3,0))),"")</f>
        <v/>
      </c>
      <c r="O1376" s="320" t="str" cm="1">
        <f t="array" ref="O1376">_xlfn.IFNA(IF(INDEX(Tb_KostenOptiesDB[],MATCH($F1376,Tb_KostenOptiesDB[KostenOptie],0),IFERROR(MATCH(Methode_Keuze,Tb_KostenOptiesDB[#Headers],0),2))=1,_xlfn.SWITCH($N1376,"Uurtarief",IF(OR(AND(RIGHT($F1376,3)="IKS",VLOOKUP($M1376,DB_Loonkosten,2,0)="Ja"),AND(RIGHT($F1376,3)&lt;&gt;"IKS",VLOOKUP($M1376,DB_Loonkosten,2,0)="Nee")),IFERROR(VLOOKUP($M1376,DB_Loonkosten,24,0),""),0),"Vast tarief",IF(LEFT(F1376,8)="Bijdrage",VLOOKUP($F1376,Tb_KostenTypen[],MATCH(Lijsten!$P$1,Tb_KostenTypen[#Headers],0),0),VLOOKUP($G1376,Lijsten!L:P,MATCH(Lijsten!$P$1,Kop_Tarief_Vast,0),0))),""),"")</f>
        <v/>
      </c>
      <c r="P1376" s="320" t="str" cm="1">
        <f t="array" ref="P1376">_xlfn.IFNA(IF(INDEX(Tb_KostenOptiesDB[],MATCH($F1376,Tb_KostenOptiesDB[KostenOptie],0),IFERROR(MATCH(Methode_Keuze,Tb_KostenOptiesDB[#Headers],0),2))=1,_xlfn.SWITCH($N1376,"Uurtarief",IF(OR(AND(RIGHT($F1376,3)="IKS",VLOOKUP($M1376,DB_Loonkosten,2,0)="Ja"),AND(RIGHT($F1376,3)&lt;&gt;"IKS",VLOOKUP($M1376,DB_Loonkosten,2,0)="Nee")),IFERROR(VLOOKUP($M1376,DB_Loonkosten,25,0),""),0),"Vast tarief",IF(LEFT(F1376,8)="Bijdrage",VLOOKUP($F1376,Tb_KostenTypen[],MATCH(Lijsten!$P$1,Tb_KostenTypen[#Headers],0),0),VLOOKUP($G1376,Lijsten!L:P,MATCH(Lijsten!$P$1,Kop_Tarief_Vast,0),0))),""),"")</f>
        <v/>
      </c>
      <c r="Q1376" s="359"/>
      <c r="R1376" s="359"/>
      <c r="S1376" s="321"/>
      <c r="T1376" s="321"/>
      <c r="U1376" s="373" t="str">
        <f t="shared" si="84"/>
        <v/>
      </c>
      <c r="V1376" s="314" t="str">
        <f t="shared" si="85"/>
        <v/>
      </c>
      <c r="W1376" s="314" t="str" cm="1">
        <f t="array" aca="1" ref="W1376" ca="1">IFERROR(IF(AE1376&lt;&gt;"ja",_xlfn.IFNA(_xlfn.IFS(AND(O1376&lt;&gt;"",F1376&lt;&gt;"",RIGHT($N1376,6)="tarief",F1376="Vergoeding"),SUM(O1376)*FLOOR(SUM(Q1376),0.0001),AND(O1376&lt;&gt;"",F1376&lt;&gt;"",RIGHT($N1376,6)="tarief"),SUM(O1376)*FLOOR(SUM(Q1376),0.01),S1376&gt;0,IF(F1376&lt;&gt;"",FLOOR(SUM(S1376),0.01),"")),""),""),"")</f>
        <v/>
      </c>
      <c r="X1376" s="314" t="str" cm="1">
        <f t="array" aca="1" ref="X1376" ca="1">IFERROR(IF(AE1376&lt;&gt;"ja",_xlfn.IFNA(_xlfn.IFS(AND(P1376&lt;&gt;"",R1376&lt;&gt;"",RIGHT($N1376,6)="tarief",F1376="Vergoeding"),SUM(P1376)*FLOOR(SUM(R1376),0.0001),AND(P1376&lt;&gt;"",R1376&lt;&gt;"",RIGHT($N1376,6)="tarief"),P1376*FLOOR(R1376,0.01),T1376&gt;0,FLOOR(SUM(T1376),0.01)),""),""),"")</f>
        <v/>
      </c>
      <c r="Y1376" s="314" t="str">
        <f t="shared" ca="1" si="86"/>
        <v/>
      </c>
      <c r="Z1376" s="314" t="str" cm="1">
        <f t="array" aca="1" ref="Z1376" ca="1">IFERROR(_xlfn.IFS(OR(F1376="",LEFT(Methode_Keuze,4)="Geen",Methode_Keuze=""),"",AND(W1376&lt;&gt;"",F1376&lt;&gt;"Arbeidskosten"),W1376*VLOOKUP(F1376,Tb_ProjectKosten[],MATCH(Tb_ProjectKosten[[#Headers],[Forfait_Percentage]],Tb_ProjectKosten[#Headers],0),0),AND(F1376="Arbeidskosten",G1376&lt;&gt;""),IFERROR(W1376*VLOOKUP(G1376,Tb_KostenTypen[],3,0)*VLOOKUP(F1376,Tb_ProjectKosten[],MATCH(Tb_ProjectKosten[[#Headers],[Forfait_Percentage]],Tb_ProjectKosten[#Headers],0),0),""),W1376 &lt;=0,0),"")</f>
        <v/>
      </c>
      <c r="AA1376" s="314" t="str" cm="1">
        <f t="array" aca="1" ref="AA1376" ca="1">IFERROR(_xlfn.IFS(OR(F1376="",LEFT(Methode_Keuze,4)="Geen",Methode_Keuze=""),"",AND(X1376&lt;&gt;"",F1376&lt;&gt;"Arbeidskosten"),X1376*VLOOKUP(F1376,Tb_ProjectKosten[],MATCH(Tb_ProjectKosten[[#Headers],[Forfait_Percentage]],Tb_ProjectKosten[#Headers],0),0),AND(F1376="Arbeidskosten",G1376&lt;&gt;""),IFERROR(X1376*VLOOKUP(G1376,Tb_KostenTypen[],3,0)*VLOOKUP(F1376,Tb_ProjectKosten[],MATCH(Tb_ProjectKosten[[#Headers],[Forfait_Percentage]],Tb_ProjectKosten[#Headers],0),0),""),X1376 &lt;=0,0),"")</f>
        <v/>
      </c>
      <c r="AB1376" s="314" t="str">
        <f t="shared" ca="1" si="87"/>
        <v/>
      </c>
      <c r="AC1376" s="322"/>
      <c r="AD1376" s="315"/>
      <c r="AE1376" s="32" t="str" cm="1">
        <f t="array" ref="AE1376">IFERROR(IF(INDEX(SubsidieTabel!$AD$1:$AG$12,MATCH($F1376,SubsidieTabel!$AD$1:$AD$12,0),IFERROR(MATCH(Methode_Keuze,SubsidieTabel!$AD$1:$AG$1,0),2))&lt;&gt;1=TRUE,"ja",""),"")</f>
        <v/>
      </c>
    </row>
    <row r="1377" spans="1:31" x14ac:dyDescent="0.25">
      <c r="A1377" s="316"/>
      <c r="B1377" s="317" t="str">
        <f>IF(A1377&lt;&gt;"",_xlfn.MAXIFS($B$1:B1376,$A$1:A1376,A1377)+1,"")</f>
        <v/>
      </c>
      <c r="C1377" s="296"/>
      <c r="D1377" s="296"/>
      <c r="E1377" s="296"/>
      <c r="F1377" s="296"/>
      <c r="G1377" s="326"/>
      <c r="H1377" s="324"/>
      <c r="I1377" s="325"/>
      <c r="J1377" s="325"/>
      <c r="K1377" s="318"/>
      <c r="L1377" s="318"/>
      <c r="M1377" s="319" t="str">
        <f>IFERROR(VLOOKUP(H1377,Lijsten!$H$1:$I$100,2,0),"")</f>
        <v/>
      </c>
      <c r="N1377" s="319" t="str">
        <f ca="1">IFERROR(IF(VLOOKUP(F1377,Kostentypen!$A$3:$E$21,3,0)=0,"",IF(OR(F1377="Arbeidskosten",F1377="Vergoeding"),VLOOKUP(G1377,Tb_KostenTypen[],2,0),VLOOKUP(F1377,Kostentypen!$A$3:$E$20,3,0))),"")</f>
        <v/>
      </c>
      <c r="O1377" s="320" t="str" cm="1">
        <f t="array" ref="O1377">_xlfn.IFNA(IF(INDEX(Tb_KostenOptiesDB[],MATCH($F1377,Tb_KostenOptiesDB[KostenOptie],0),IFERROR(MATCH(Methode_Keuze,Tb_KostenOptiesDB[#Headers],0),2))=1,_xlfn.SWITCH($N1377,"Uurtarief",IF(OR(AND(RIGHT($F1377,3)="IKS",VLOOKUP($M1377,DB_Loonkosten,2,0)="Ja"),AND(RIGHT($F1377,3)&lt;&gt;"IKS",VLOOKUP($M1377,DB_Loonkosten,2,0)="Nee")),IFERROR(VLOOKUP($M1377,DB_Loonkosten,24,0),""),0),"Vast tarief",IF(LEFT(F1377,8)="Bijdrage",VLOOKUP($F1377,Tb_KostenTypen[],MATCH(Lijsten!$P$1,Tb_KostenTypen[#Headers],0),0),VLOOKUP($G1377,Lijsten!L:P,MATCH(Lijsten!$P$1,Kop_Tarief_Vast,0),0))),""),"")</f>
        <v/>
      </c>
      <c r="P1377" s="320" t="str" cm="1">
        <f t="array" ref="P1377">_xlfn.IFNA(IF(INDEX(Tb_KostenOptiesDB[],MATCH($F1377,Tb_KostenOptiesDB[KostenOptie],0),IFERROR(MATCH(Methode_Keuze,Tb_KostenOptiesDB[#Headers],0),2))=1,_xlfn.SWITCH($N1377,"Uurtarief",IF(OR(AND(RIGHT($F1377,3)="IKS",VLOOKUP($M1377,DB_Loonkosten,2,0)="Ja"),AND(RIGHT($F1377,3)&lt;&gt;"IKS",VLOOKUP($M1377,DB_Loonkosten,2,0)="Nee")),IFERROR(VLOOKUP($M1377,DB_Loonkosten,25,0),""),0),"Vast tarief",IF(LEFT(F1377,8)="Bijdrage",VLOOKUP($F1377,Tb_KostenTypen[],MATCH(Lijsten!$P$1,Tb_KostenTypen[#Headers],0),0),VLOOKUP($G1377,Lijsten!L:P,MATCH(Lijsten!$P$1,Kop_Tarief_Vast,0),0))),""),"")</f>
        <v/>
      </c>
      <c r="Q1377" s="359"/>
      <c r="R1377" s="359"/>
      <c r="S1377" s="321"/>
      <c r="T1377" s="321"/>
      <c r="U1377" s="373" t="str">
        <f t="shared" si="84"/>
        <v/>
      </c>
      <c r="V1377" s="314" t="str">
        <f t="shared" si="85"/>
        <v/>
      </c>
      <c r="W1377" s="314" t="str" cm="1">
        <f t="array" aca="1" ref="W1377" ca="1">IFERROR(IF(AE1377&lt;&gt;"ja",_xlfn.IFNA(_xlfn.IFS(AND(O1377&lt;&gt;"",F1377&lt;&gt;"",RIGHT($N1377,6)="tarief",F1377="Vergoeding"),SUM(O1377)*FLOOR(SUM(Q1377),0.0001),AND(O1377&lt;&gt;"",F1377&lt;&gt;"",RIGHT($N1377,6)="tarief"),SUM(O1377)*FLOOR(SUM(Q1377),0.01),S1377&gt;0,IF(F1377&lt;&gt;"",FLOOR(SUM(S1377),0.01),"")),""),""),"")</f>
        <v/>
      </c>
      <c r="X1377" s="314" t="str" cm="1">
        <f t="array" aca="1" ref="X1377" ca="1">IFERROR(IF(AE1377&lt;&gt;"ja",_xlfn.IFNA(_xlfn.IFS(AND(P1377&lt;&gt;"",R1377&lt;&gt;"",RIGHT($N1377,6)="tarief",F1377="Vergoeding"),SUM(P1377)*FLOOR(SUM(R1377),0.0001),AND(P1377&lt;&gt;"",R1377&lt;&gt;"",RIGHT($N1377,6)="tarief"),P1377*FLOOR(R1377,0.01),T1377&gt;0,FLOOR(SUM(T1377),0.01)),""),""),"")</f>
        <v/>
      </c>
      <c r="Y1377" s="314" t="str">
        <f t="shared" ca="1" si="86"/>
        <v/>
      </c>
      <c r="Z1377" s="314" t="str" cm="1">
        <f t="array" aca="1" ref="Z1377" ca="1">IFERROR(_xlfn.IFS(OR(F1377="",LEFT(Methode_Keuze,4)="Geen",Methode_Keuze=""),"",AND(W1377&lt;&gt;"",F1377&lt;&gt;"Arbeidskosten"),W1377*VLOOKUP(F1377,Tb_ProjectKosten[],MATCH(Tb_ProjectKosten[[#Headers],[Forfait_Percentage]],Tb_ProjectKosten[#Headers],0),0),AND(F1377="Arbeidskosten",G1377&lt;&gt;""),IFERROR(W1377*VLOOKUP(G1377,Tb_KostenTypen[],3,0)*VLOOKUP(F1377,Tb_ProjectKosten[],MATCH(Tb_ProjectKosten[[#Headers],[Forfait_Percentage]],Tb_ProjectKosten[#Headers],0),0),""),W1377 &lt;=0,0),"")</f>
        <v/>
      </c>
      <c r="AA1377" s="314" t="str" cm="1">
        <f t="array" aca="1" ref="AA1377" ca="1">IFERROR(_xlfn.IFS(OR(F1377="",LEFT(Methode_Keuze,4)="Geen",Methode_Keuze=""),"",AND(X1377&lt;&gt;"",F1377&lt;&gt;"Arbeidskosten"),X1377*VLOOKUP(F1377,Tb_ProjectKosten[],MATCH(Tb_ProjectKosten[[#Headers],[Forfait_Percentage]],Tb_ProjectKosten[#Headers],0),0),AND(F1377="Arbeidskosten",G1377&lt;&gt;""),IFERROR(X1377*VLOOKUP(G1377,Tb_KostenTypen[],3,0)*VLOOKUP(F1377,Tb_ProjectKosten[],MATCH(Tb_ProjectKosten[[#Headers],[Forfait_Percentage]],Tb_ProjectKosten[#Headers],0),0),""),X1377 &lt;=0,0),"")</f>
        <v/>
      </c>
      <c r="AB1377" s="314" t="str">
        <f t="shared" ca="1" si="87"/>
        <v/>
      </c>
      <c r="AC1377" s="322"/>
      <c r="AD1377" s="315"/>
      <c r="AE1377" s="32" t="str" cm="1">
        <f t="array" ref="AE1377">IFERROR(IF(INDEX(SubsidieTabel!$AD$1:$AG$12,MATCH($F1377,SubsidieTabel!$AD$1:$AD$12,0),IFERROR(MATCH(Methode_Keuze,SubsidieTabel!$AD$1:$AG$1,0),2))&lt;&gt;1=TRUE,"ja",""),"")</f>
        <v/>
      </c>
    </row>
    <row r="1378" spans="1:31" x14ac:dyDescent="0.25">
      <c r="A1378" s="316"/>
      <c r="B1378" s="317" t="str">
        <f>IF(A1378&lt;&gt;"",_xlfn.MAXIFS($B$1:B1377,$A$1:A1377,A1378)+1,"")</f>
        <v/>
      </c>
      <c r="C1378" s="296"/>
      <c r="D1378" s="296"/>
      <c r="E1378" s="296"/>
      <c r="F1378" s="296"/>
      <c r="G1378" s="326"/>
      <c r="H1378" s="324"/>
      <c r="I1378" s="325"/>
      <c r="J1378" s="325"/>
      <c r="K1378" s="318"/>
      <c r="L1378" s="318"/>
      <c r="M1378" s="319" t="str">
        <f>IFERROR(VLOOKUP(H1378,Lijsten!$H$1:$I$100,2,0),"")</f>
        <v/>
      </c>
      <c r="N1378" s="319" t="str">
        <f ca="1">IFERROR(IF(VLOOKUP(F1378,Kostentypen!$A$3:$E$21,3,0)=0,"",IF(OR(F1378="Arbeidskosten",F1378="Vergoeding"),VLOOKUP(G1378,Tb_KostenTypen[],2,0),VLOOKUP(F1378,Kostentypen!$A$3:$E$20,3,0))),"")</f>
        <v/>
      </c>
      <c r="O1378" s="320" t="str" cm="1">
        <f t="array" ref="O1378">_xlfn.IFNA(IF(INDEX(Tb_KostenOptiesDB[],MATCH($F1378,Tb_KostenOptiesDB[KostenOptie],0),IFERROR(MATCH(Methode_Keuze,Tb_KostenOptiesDB[#Headers],0),2))=1,_xlfn.SWITCH($N1378,"Uurtarief",IF(OR(AND(RIGHT($F1378,3)="IKS",VLOOKUP($M1378,DB_Loonkosten,2,0)="Ja"),AND(RIGHT($F1378,3)&lt;&gt;"IKS",VLOOKUP($M1378,DB_Loonkosten,2,0)="Nee")),IFERROR(VLOOKUP($M1378,DB_Loonkosten,24,0),""),0),"Vast tarief",IF(LEFT(F1378,8)="Bijdrage",VLOOKUP($F1378,Tb_KostenTypen[],MATCH(Lijsten!$P$1,Tb_KostenTypen[#Headers],0),0),VLOOKUP($G1378,Lijsten!L:P,MATCH(Lijsten!$P$1,Kop_Tarief_Vast,0),0))),""),"")</f>
        <v/>
      </c>
      <c r="P1378" s="320" t="str" cm="1">
        <f t="array" ref="P1378">_xlfn.IFNA(IF(INDEX(Tb_KostenOptiesDB[],MATCH($F1378,Tb_KostenOptiesDB[KostenOptie],0),IFERROR(MATCH(Methode_Keuze,Tb_KostenOptiesDB[#Headers],0),2))=1,_xlfn.SWITCH($N1378,"Uurtarief",IF(OR(AND(RIGHT($F1378,3)="IKS",VLOOKUP($M1378,DB_Loonkosten,2,0)="Ja"),AND(RIGHT($F1378,3)&lt;&gt;"IKS",VLOOKUP($M1378,DB_Loonkosten,2,0)="Nee")),IFERROR(VLOOKUP($M1378,DB_Loonkosten,25,0),""),0),"Vast tarief",IF(LEFT(F1378,8)="Bijdrage",VLOOKUP($F1378,Tb_KostenTypen[],MATCH(Lijsten!$P$1,Tb_KostenTypen[#Headers],0),0),VLOOKUP($G1378,Lijsten!L:P,MATCH(Lijsten!$P$1,Kop_Tarief_Vast,0),0))),""),"")</f>
        <v/>
      </c>
      <c r="Q1378" s="359"/>
      <c r="R1378" s="359"/>
      <c r="S1378" s="321"/>
      <c r="T1378" s="321"/>
      <c r="U1378" s="373" t="str">
        <f t="shared" si="84"/>
        <v/>
      </c>
      <c r="V1378" s="314" t="str">
        <f t="shared" si="85"/>
        <v/>
      </c>
      <c r="W1378" s="314" t="str" cm="1">
        <f t="array" aca="1" ref="W1378" ca="1">IFERROR(IF(AE1378&lt;&gt;"ja",_xlfn.IFNA(_xlfn.IFS(AND(O1378&lt;&gt;"",F1378&lt;&gt;"",RIGHT($N1378,6)="tarief",F1378="Vergoeding"),SUM(O1378)*FLOOR(SUM(Q1378),0.0001),AND(O1378&lt;&gt;"",F1378&lt;&gt;"",RIGHT($N1378,6)="tarief"),SUM(O1378)*FLOOR(SUM(Q1378),0.01),S1378&gt;0,IF(F1378&lt;&gt;"",FLOOR(SUM(S1378),0.01),"")),""),""),"")</f>
        <v/>
      </c>
      <c r="X1378" s="314" t="str" cm="1">
        <f t="array" aca="1" ref="X1378" ca="1">IFERROR(IF(AE1378&lt;&gt;"ja",_xlfn.IFNA(_xlfn.IFS(AND(P1378&lt;&gt;"",R1378&lt;&gt;"",RIGHT($N1378,6)="tarief",F1378="Vergoeding"),SUM(P1378)*FLOOR(SUM(R1378),0.0001),AND(P1378&lt;&gt;"",R1378&lt;&gt;"",RIGHT($N1378,6)="tarief"),P1378*FLOOR(R1378,0.01),T1378&gt;0,FLOOR(SUM(T1378),0.01)),""),""),"")</f>
        <v/>
      </c>
      <c r="Y1378" s="314" t="str">
        <f t="shared" ca="1" si="86"/>
        <v/>
      </c>
      <c r="Z1378" s="314" t="str" cm="1">
        <f t="array" aca="1" ref="Z1378" ca="1">IFERROR(_xlfn.IFS(OR(F1378="",LEFT(Methode_Keuze,4)="Geen",Methode_Keuze=""),"",AND(W1378&lt;&gt;"",F1378&lt;&gt;"Arbeidskosten"),W1378*VLOOKUP(F1378,Tb_ProjectKosten[],MATCH(Tb_ProjectKosten[[#Headers],[Forfait_Percentage]],Tb_ProjectKosten[#Headers],0),0),AND(F1378="Arbeidskosten",G1378&lt;&gt;""),IFERROR(W1378*VLOOKUP(G1378,Tb_KostenTypen[],3,0)*VLOOKUP(F1378,Tb_ProjectKosten[],MATCH(Tb_ProjectKosten[[#Headers],[Forfait_Percentage]],Tb_ProjectKosten[#Headers],0),0),""),W1378 &lt;=0,0),"")</f>
        <v/>
      </c>
      <c r="AA1378" s="314" t="str" cm="1">
        <f t="array" aca="1" ref="AA1378" ca="1">IFERROR(_xlfn.IFS(OR(F1378="",LEFT(Methode_Keuze,4)="Geen",Methode_Keuze=""),"",AND(X1378&lt;&gt;"",F1378&lt;&gt;"Arbeidskosten"),X1378*VLOOKUP(F1378,Tb_ProjectKosten[],MATCH(Tb_ProjectKosten[[#Headers],[Forfait_Percentage]],Tb_ProjectKosten[#Headers],0),0),AND(F1378="Arbeidskosten",G1378&lt;&gt;""),IFERROR(X1378*VLOOKUP(G1378,Tb_KostenTypen[],3,0)*VLOOKUP(F1378,Tb_ProjectKosten[],MATCH(Tb_ProjectKosten[[#Headers],[Forfait_Percentage]],Tb_ProjectKosten[#Headers],0),0),""),X1378 &lt;=0,0),"")</f>
        <v/>
      </c>
      <c r="AB1378" s="314" t="str">
        <f t="shared" ca="1" si="87"/>
        <v/>
      </c>
      <c r="AC1378" s="322"/>
      <c r="AD1378" s="315"/>
      <c r="AE1378" s="32" t="str" cm="1">
        <f t="array" ref="AE1378">IFERROR(IF(INDEX(SubsidieTabel!$AD$1:$AG$12,MATCH($F1378,SubsidieTabel!$AD$1:$AD$12,0),IFERROR(MATCH(Methode_Keuze,SubsidieTabel!$AD$1:$AG$1,0),2))&lt;&gt;1=TRUE,"ja",""),"")</f>
        <v/>
      </c>
    </row>
    <row r="1379" spans="1:31" x14ac:dyDescent="0.25">
      <c r="A1379" s="316"/>
      <c r="B1379" s="317" t="str">
        <f>IF(A1379&lt;&gt;"",_xlfn.MAXIFS($B$1:B1378,$A$1:A1378,A1379)+1,"")</f>
        <v/>
      </c>
      <c r="C1379" s="296"/>
      <c r="D1379" s="296"/>
      <c r="E1379" s="296"/>
      <c r="F1379" s="296"/>
      <c r="G1379" s="326"/>
      <c r="H1379" s="324"/>
      <c r="I1379" s="325"/>
      <c r="J1379" s="325"/>
      <c r="K1379" s="318"/>
      <c r="L1379" s="318"/>
      <c r="M1379" s="319" t="str">
        <f>IFERROR(VLOOKUP(H1379,Lijsten!$H$1:$I$100,2,0),"")</f>
        <v/>
      </c>
      <c r="N1379" s="319" t="str">
        <f ca="1">IFERROR(IF(VLOOKUP(F1379,Kostentypen!$A$3:$E$21,3,0)=0,"",IF(OR(F1379="Arbeidskosten",F1379="Vergoeding"),VLOOKUP(G1379,Tb_KostenTypen[],2,0),VLOOKUP(F1379,Kostentypen!$A$3:$E$20,3,0))),"")</f>
        <v/>
      </c>
      <c r="O1379" s="320" t="str" cm="1">
        <f t="array" ref="O1379">_xlfn.IFNA(IF(INDEX(Tb_KostenOptiesDB[],MATCH($F1379,Tb_KostenOptiesDB[KostenOptie],0),IFERROR(MATCH(Methode_Keuze,Tb_KostenOptiesDB[#Headers],0),2))=1,_xlfn.SWITCH($N1379,"Uurtarief",IF(OR(AND(RIGHT($F1379,3)="IKS",VLOOKUP($M1379,DB_Loonkosten,2,0)="Ja"),AND(RIGHT($F1379,3)&lt;&gt;"IKS",VLOOKUP($M1379,DB_Loonkosten,2,0)="Nee")),IFERROR(VLOOKUP($M1379,DB_Loonkosten,24,0),""),0),"Vast tarief",IF(LEFT(F1379,8)="Bijdrage",VLOOKUP($F1379,Tb_KostenTypen[],MATCH(Lijsten!$P$1,Tb_KostenTypen[#Headers],0),0),VLOOKUP($G1379,Lijsten!L:P,MATCH(Lijsten!$P$1,Kop_Tarief_Vast,0),0))),""),"")</f>
        <v/>
      </c>
      <c r="P1379" s="320" t="str" cm="1">
        <f t="array" ref="P1379">_xlfn.IFNA(IF(INDEX(Tb_KostenOptiesDB[],MATCH($F1379,Tb_KostenOptiesDB[KostenOptie],0),IFERROR(MATCH(Methode_Keuze,Tb_KostenOptiesDB[#Headers],0),2))=1,_xlfn.SWITCH($N1379,"Uurtarief",IF(OR(AND(RIGHT($F1379,3)="IKS",VLOOKUP($M1379,DB_Loonkosten,2,0)="Ja"),AND(RIGHT($F1379,3)&lt;&gt;"IKS",VLOOKUP($M1379,DB_Loonkosten,2,0)="Nee")),IFERROR(VLOOKUP($M1379,DB_Loonkosten,25,0),""),0),"Vast tarief",IF(LEFT(F1379,8)="Bijdrage",VLOOKUP($F1379,Tb_KostenTypen[],MATCH(Lijsten!$P$1,Tb_KostenTypen[#Headers],0),0),VLOOKUP($G1379,Lijsten!L:P,MATCH(Lijsten!$P$1,Kop_Tarief_Vast,0),0))),""),"")</f>
        <v/>
      </c>
      <c r="Q1379" s="359"/>
      <c r="R1379" s="359"/>
      <c r="S1379" s="321"/>
      <c r="T1379" s="321"/>
      <c r="U1379" s="373" t="str">
        <f t="shared" si="84"/>
        <v/>
      </c>
      <c r="V1379" s="314" t="str">
        <f t="shared" si="85"/>
        <v/>
      </c>
      <c r="W1379" s="314" t="str" cm="1">
        <f t="array" aca="1" ref="W1379" ca="1">IFERROR(IF(AE1379&lt;&gt;"ja",_xlfn.IFNA(_xlfn.IFS(AND(O1379&lt;&gt;"",F1379&lt;&gt;"",RIGHT($N1379,6)="tarief",F1379="Vergoeding"),SUM(O1379)*FLOOR(SUM(Q1379),0.0001),AND(O1379&lt;&gt;"",F1379&lt;&gt;"",RIGHT($N1379,6)="tarief"),SUM(O1379)*FLOOR(SUM(Q1379),0.01),S1379&gt;0,IF(F1379&lt;&gt;"",FLOOR(SUM(S1379),0.01),"")),""),""),"")</f>
        <v/>
      </c>
      <c r="X1379" s="314" t="str" cm="1">
        <f t="array" aca="1" ref="X1379" ca="1">IFERROR(IF(AE1379&lt;&gt;"ja",_xlfn.IFNA(_xlfn.IFS(AND(P1379&lt;&gt;"",R1379&lt;&gt;"",RIGHT($N1379,6)="tarief",F1379="Vergoeding"),SUM(P1379)*FLOOR(SUM(R1379),0.0001),AND(P1379&lt;&gt;"",R1379&lt;&gt;"",RIGHT($N1379,6)="tarief"),P1379*FLOOR(R1379,0.01),T1379&gt;0,FLOOR(SUM(T1379),0.01)),""),""),"")</f>
        <v/>
      </c>
      <c r="Y1379" s="314" t="str">
        <f t="shared" ca="1" si="86"/>
        <v/>
      </c>
      <c r="Z1379" s="314" t="str" cm="1">
        <f t="array" aca="1" ref="Z1379" ca="1">IFERROR(_xlfn.IFS(OR(F1379="",LEFT(Methode_Keuze,4)="Geen",Methode_Keuze=""),"",AND(W1379&lt;&gt;"",F1379&lt;&gt;"Arbeidskosten"),W1379*VLOOKUP(F1379,Tb_ProjectKosten[],MATCH(Tb_ProjectKosten[[#Headers],[Forfait_Percentage]],Tb_ProjectKosten[#Headers],0),0),AND(F1379="Arbeidskosten",G1379&lt;&gt;""),IFERROR(W1379*VLOOKUP(G1379,Tb_KostenTypen[],3,0)*VLOOKUP(F1379,Tb_ProjectKosten[],MATCH(Tb_ProjectKosten[[#Headers],[Forfait_Percentage]],Tb_ProjectKosten[#Headers],0),0),""),W1379 &lt;=0,0),"")</f>
        <v/>
      </c>
      <c r="AA1379" s="314" t="str" cm="1">
        <f t="array" aca="1" ref="AA1379" ca="1">IFERROR(_xlfn.IFS(OR(F1379="",LEFT(Methode_Keuze,4)="Geen",Methode_Keuze=""),"",AND(X1379&lt;&gt;"",F1379&lt;&gt;"Arbeidskosten"),X1379*VLOOKUP(F1379,Tb_ProjectKosten[],MATCH(Tb_ProjectKosten[[#Headers],[Forfait_Percentage]],Tb_ProjectKosten[#Headers],0),0),AND(F1379="Arbeidskosten",G1379&lt;&gt;""),IFERROR(X1379*VLOOKUP(G1379,Tb_KostenTypen[],3,0)*VLOOKUP(F1379,Tb_ProjectKosten[],MATCH(Tb_ProjectKosten[[#Headers],[Forfait_Percentage]],Tb_ProjectKosten[#Headers],0),0),""),X1379 &lt;=0,0),"")</f>
        <v/>
      </c>
      <c r="AB1379" s="314" t="str">
        <f t="shared" ca="1" si="87"/>
        <v/>
      </c>
      <c r="AC1379" s="322"/>
      <c r="AD1379" s="315"/>
      <c r="AE1379" s="32" t="str" cm="1">
        <f t="array" ref="AE1379">IFERROR(IF(INDEX(SubsidieTabel!$AD$1:$AG$12,MATCH($F1379,SubsidieTabel!$AD$1:$AD$12,0),IFERROR(MATCH(Methode_Keuze,SubsidieTabel!$AD$1:$AG$1,0),2))&lt;&gt;1=TRUE,"ja",""),"")</f>
        <v/>
      </c>
    </row>
    <row r="1380" spans="1:31" x14ac:dyDescent="0.25">
      <c r="A1380" s="316"/>
      <c r="B1380" s="317" t="str">
        <f>IF(A1380&lt;&gt;"",_xlfn.MAXIFS($B$1:B1379,$A$1:A1379,A1380)+1,"")</f>
        <v/>
      </c>
      <c r="C1380" s="296"/>
      <c r="D1380" s="296"/>
      <c r="E1380" s="296"/>
      <c r="F1380" s="296"/>
      <c r="G1380" s="326"/>
      <c r="H1380" s="324"/>
      <c r="I1380" s="325"/>
      <c r="J1380" s="325"/>
      <c r="K1380" s="318"/>
      <c r="L1380" s="318"/>
      <c r="M1380" s="319" t="str">
        <f>IFERROR(VLOOKUP(H1380,Lijsten!$H$1:$I$100,2,0),"")</f>
        <v/>
      </c>
      <c r="N1380" s="319" t="str">
        <f ca="1">IFERROR(IF(VLOOKUP(F1380,Kostentypen!$A$3:$E$21,3,0)=0,"",IF(OR(F1380="Arbeidskosten",F1380="Vergoeding"),VLOOKUP(G1380,Tb_KostenTypen[],2,0),VLOOKUP(F1380,Kostentypen!$A$3:$E$20,3,0))),"")</f>
        <v/>
      </c>
      <c r="O1380" s="320" t="str" cm="1">
        <f t="array" ref="O1380">_xlfn.IFNA(IF(INDEX(Tb_KostenOptiesDB[],MATCH($F1380,Tb_KostenOptiesDB[KostenOptie],0),IFERROR(MATCH(Methode_Keuze,Tb_KostenOptiesDB[#Headers],0),2))=1,_xlfn.SWITCH($N1380,"Uurtarief",IF(OR(AND(RIGHT($F1380,3)="IKS",VLOOKUP($M1380,DB_Loonkosten,2,0)="Ja"),AND(RIGHT($F1380,3)&lt;&gt;"IKS",VLOOKUP($M1380,DB_Loonkosten,2,0)="Nee")),IFERROR(VLOOKUP($M1380,DB_Loonkosten,24,0),""),0),"Vast tarief",IF(LEFT(F1380,8)="Bijdrage",VLOOKUP($F1380,Tb_KostenTypen[],MATCH(Lijsten!$P$1,Tb_KostenTypen[#Headers],0),0),VLOOKUP($G1380,Lijsten!L:P,MATCH(Lijsten!$P$1,Kop_Tarief_Vast,0),0))),""),"")</f>
        <v/>
      </c>
      <c r="P1380" s="320" t="str" cm="1">
        <f t="array" ref="P1380">_xlfn.IFNA(IF(INDEX(Tb_KostenOptiesDB[],MATCH($F1380,Tb_KostenOptiesDB[KostenOptie],0),IFERROR(MATCH(Methode_Keuze,Tb_KostenOptiesDB[#Headers],0),2))=1,_xlfn.SWITCH($N1380,"Uurtarief",IF(OR(AND(RIGHT($F1380,3)="IKS",VLOOKUP($M1380,DB_Loonkosten,2,0)="Ja"),AND(RIGHT($F1380,3)&lt;&gt;"IKS",VLOOKUP($M1380,DB_Loonkosten,2,0)="Nee")),IFERROR(VLOOKUP($M1380,DB_Loonkosten,25,0),""),0),"Vast tarief",IF(LEFT(F1380,8)="Bijdrage",VLOOKUP($F1380,Tb_KostenTypen[],MATCH(Lijsten!$P$1,Tb_KostenTypen[#Headers],0),0),VLOOKUP($G1380,Lijsten!L:P,MATCH(Lijsten!$P$1,Kop_Tarief_Vast,0),0))),""),"")</f>
        <v/>
      </c>
      <c r="Q1380" s="359"/>
      <c r="R1380" s="359"/>
      <c r="S1380" s="321"/>
      <c r="T1380" s="321"/>
      <c r="U1380" s="373" t="str">
        <f t="shared" si="84"/>
        <v/>
      </c>
      <c r="V1380" s="314" t="str">
        <f t="shared" si="85"/>
        <v/>
      </c>
      <c r="W1380" s="314" t="str" cm="1">
        <f t="array" aca="1" ref="W1380" ca="1">IFERROR(IF(AE1380&lt;&gt;"ja",_xlfn.IFNA(_xlfn.IFS(AND(O1380&lt;&gt;"",F1380&lt;&gt;"",RIGHT($N1380,6)="tarief",F1380="Vergoeding"),SUM(O1380)*FLOOR(SUM(Q1380),0.0001),AND(O1380&lt;&gt;"",F1380&lt;&gt;"",RIGHT($N1380,6)="tarief"),SUM(O1380)*FLOOR(SUM(Q1380),0.01),S1380&gt;0,IF(F1380&lt;&gt;"",FLOOR(SUM(S1380),0.01),"")),""),""),"")</f>
        <v/>
      </c>
      <c r="X1380" s="314" t="str" cm="1">
        <f t="array" aca="1" ref="X1380" ca="1">IFERROR(IF(AE1380&lt;&gt;"ja",_xlfn.IFNA(_xlfn.IFS(AND(P1380&lt;&gt;"",R1380&lt;&gt;"",RIGHT($N1380,6)="tarief",F1380="Vergoeding"),SUM(P1380)*FLOOR(SUM(R1380),0.0001),AND(P1380&lt;&gt;"",R1380&lt;&gt;"",RIGHT($N1380,6)="tarief"),P1380*FLOOR(R1380,0.01),T1380&gt;0,FLOOR(SUM(T1380),0.01)),""),""),"")</f>
        <v/>
      </c>
      <c r="Y1380" s="314" t="str">
        <f t="shared" ca="1" si="86"/>
        <v/>
      </c>
      <c r="Z1380" s="314" t="str" cm="1">
        <f t="array" aca="1" ref="Z1380" ca="1">IFERROR(_xlfn.IFS(OR(F1380="",LEFT(Methode_Keuze,4)="Geen",Methode_Keuze=""),"",AND(W1380&lt;&gt;"",F1380&lt;&gt;"Arbeidskosten"),W1380*VLOOKUP(F1380,Tb_ProjectKosten[],MATCH(Tb_ProjectKosten[[#Headers],[Forfait_Percentage]],Tb_ProjectKosten[#Headers],0),0),AND(F1380="Arbeidskosten",G1380&lt;&gt;""),IFERROR(W1380*VLOOKUP(G1380,Tb_KostenTypen[],3,0)*VLOOKUP(F1380,Tb_ProjectKosten[],MATCH(Tb_ProjectKosten[[#Headers],[Forfait_Percentage]],Tb_ProjectKosten[#Headers],0),0),""),W1380 &lt;=0,0),"")</f>
        <v/>
      </c>
      <c r="AA1380" s="314" t="str" cm="1">
        <f t="array" aca="1" ref="AA1380" ca="1">IFERROR(_xlfn.IFS(OR(F1380="",LEFT(Methode_Keuze,4)="Geen",Methode_Keuze=""),"",AND(X1380&lt;&gt;"",F1380&lt;&gt;"Arbeidskosten"),X1380*VLOOKUP(F1380,Tb_ProjectKosten[],MATCH(Tb_ProjectKosten[[#Headers],[Forfait_Percentage]],Tb_ProjectKosten[#Headers],0),0),AND(F1380="Arbeidskosten",G1380&lt;&gt;""),IFERROR(X1380*VLOOKUP(G1380,Tb_KostenTypen[],3,0)*VLOOKUP(F1380,Tb_ProjectKosten[],MATCH(Tb_ProjectKosten[[#Headers],[Forfait_Percentage]],Tb_ProjectKosten[#Headers],0),0),""),X1380 &lt;=0,0),"")</f>
        <v/>
      </c>
      <c r="AB1380" s="314" t="str">
        <f t="shared" ca="1" si="87"/>
        <v/>
      </c>
      <c r="AC1380" s="322"/>
      <c r="AD1380" s="315"/>
      <c r="AE1380" s="32" t="str" cm="1">
        <f t="array" ref="AE1380">IFERROR(IF(INDEX(SubsidieTabel!$AD$1:$AG$12,MATCH($F1380,SubsidieTabel!$AD$1:$AD$12,0),IFERROR(MATCH(Methode_Keuze,SubsidieTabel!$AD$1:$AG$1,0),2))&lt;&gt;1=TRUE,"ja",""),"")</f>
        <v/>
      </c>
    </row>
    <row r="1381" spans="1:31" x14ac:dyDescent="0.25">
      <c r="A1381" s="316"/>
      <c r="B1381" s="317" t="str">
        <f>IF(A1381&lt;&gt;"",_xlfn.MAXIFS($B$1:B1380,$A$1:A1380,A1381)+1,"")</f>
        <v/>
      </c>
      <c r="C1381" s="296"/>
      <c r="D1381" s="296"/>
      <c r="E1381" s="296"/>
      <c r="F1381" s="296"/>
      <c r="G1381" s="326"/>
      <c r="H1381" s="324"/>
      <c r="I1381" s="325"/>
      <c r="J1381" s="325"/>
      <c r="K1381" s="318"/>
      <c r="L1381" s="318"/>
      <c r="M1381" s="319" t="str">
        <f>IFERROR(VLOOKUP(H1381,Lijsten!$H$1:$I$100,2,0),"")</f>
        <v/>
      </c>
      <c r="N1381" s="319" t="str">
        <f ca="1">IFERROR(IF(VLOOKUP(F1381,Kostentypen!$A$3:$E$21,3,0)=0,"",IF(OR(F1381="Arbeidskosten",F1381="Vergoeding"),VLOOKUP(G1381,Tb_KostenTypen[],2,0),VLOOKUP(F1381,Kostentypen!$A$3:$E$20,3,0))),"")</f>
        <v/>
      </c>
      <c r="O1381" s="320" t="str" cm="1">
        <f t="array" ref="O1381">_xlfn.IFNA(IF(INDEX(Tb_KostenOptiesDB[],MATCH($F1381,Tb_KostenOptiesDB[KostenOptie],0),IFERROR(MATCH(Methode_Keuze,Tb_KostenOptiesDB[#Headers],0),2))=1,_xlfn.SWITCH($N1381,"Uurtarief",IF(OR(AND(RIGHT($F1381,3)="IKS",VLOOKUP($M1381,DB_Loonkosten,2,0)="Ja"),AND(RIGHT($F1381,3)&lt;&gt;"IKS",VLOOKUP($M1381,DB_Loonkosten,2,0)="Nee")),IFERROR(VLOOKUP($M1381,DB_Loonkosten,24,0),""),0),"Vast tarief",IF(LEFT(F1381,8)="Bijdrage",VLOOKUP($F1381,Tb_KostenTypen[],MATCH(Lijsten!$P$1,Tb_KostenTypen[#Headers],0),0),VLOOKUP($G1381,Lijsten!L:P,MATCH(Lijsten!$P$1,Kop_Tarief_Vast,0),0))),""),"")</f>
        <v/>
      </c>
      <c r="P1381" s="320" t="str" cm="1">
        <f t="array" ref="P1381">_xlfn.IFNA(IF(INDEX(Tb_KostenOptiesDB[],MATCH($F1381,Tb_KostenOptiesDB[KostenOptie],0),IFERROR(MATCH(Methode_Keuze,Tb_KostenOptiesDB[#Headers],0),2))=1,_xlfn.SWITCH($N1381,"Uurtarief",IF(OR(AND(RIGHT($F1381,3)="IKS",VLOOKUP($M1381,DB_Loonkosten,2,0)="Ja"),AND(RIGHT($F1381,3)&lt;&gt;"IKS",VLOOKUP($M1381,DB_Loonkosten,2,0)="Nee")),IFERROR(VLOOKUP($M1381,DB_Loonkosten,25,0),""),0),"Vast tarief",IF(LEFT(F1381,8)="Bijdrage",VLOOKUP($F1381,Tb_KostenTypen[],MATCH(Lijsten!$P$1,Tb_KostenTypen[#Headers],0),0),VLOOKUP($G1381,Lijsten!L:P,MATCH(Lijsten!$P$1,Kop_Tarief_Vast,0),0))),""),"")</f>
        <v/>
      </c>
      <c r="Q1381" s="359"/>
      <c r="R1381" s="359"/>
      <c r="S1381" s="321"/>
      <c r="T1381" s="321"/>
      <c r="U1381" s="373" t="str">
        <f t="shared" si="84"/>
        <v/>
      </c>
      <c r="V1381" s="314" t="str">
        <f t="shared" si="85"/>
        <v/>
      </c>
      <c r="W1381" s="314" t="str" cm="1">
        <f t="array" aca="1" ref="W1381" ca="1">IFERROR(IF(AE1381&lt;&gt;"ja",_xlfn.IFNA(_xlfn.IFS(AND(O1381&lt;&gt;"",F1381&lt;&gt;"",RIGHT($N1381,6)="tarief",F1381="Vergoeding"),SUM(O1381)*FLOOR(SUM(Q1381),0.0001),AND(O1381&lt;&gt;"",F1381&lt;&gt;"",RIGHT($N1381,6)="tarief"),SUM(O1381)*FLOOR(SUM(Q1381),0.01),S1381&gt;0,IF(F1381&lt;&gt;"",FLOOR(SUM(S1381),0.01),"")),""),""),"")</f>
        <v/>
      </c>
      <c r="X1381" s="314" t="str" cm="1">
        <f t="array" aca="1" ref="X1381" ca="1">IFERROR(IF(AE1381&lt;&gt;"ja",_xlfn.IFNA(_xlfn.IFS(AND(P1381&lt;&gt;"",R1381&lt;&gt;"",RIGHT($N1381,6)="tarief",F1381="Vergoeding"),SUM(P1381)*FLOOR(SUM(R1381),0.0001),AND(P1381&lt;&gt;"",R1381&lt;&gt;"",RIGHT($N1381,6)="tarief"),P1381*FLOOR(R1381,0.01),T1381&gt;0,FLOOR(SUM(T1381),0.01)),""),""),"")</f>
        <v/>
      </c>
      <c r="Y1381" s="314" t="str">
        <f t="shared" ca="1" si="86"/>
        <v/>
      </c>
      <c r="Z1381" s="314" t="str" cm="1">
        <f t="array" aca="1" ref="Z1381" ca="1">IFERROR(_xlfn.IFS(OR(F1381="",LEFT(Methode_Keuze,4)="Geen",Methode_Keuze=""),"",AND(W1381&lt;&gt;"",F1381&lt;&gt;"Arbeidskosten"),W1381*VLOOKUP(F1381,Tb_ProjectKosten[],MATCH(Tb_ProjectKosten[[#Headers],[Forfait_Percentage]],Tb_ProjectKosten[#Headers],0),0),AND(F1381="Arbeidskosten",G1381&lt;&gt;""),IFERROR(W1381*VLOOKUP(G1381,Tb_KostenTypen[],3,0)*VLOOKUP(F1381,Tb_ProjectKosten[],MATCH(Tb_ProjectKosten[[#Headers],[Forfait_Percentage]],Tb_ProjectKosten[#Headers],0),0),""),W1381 &lt;=0,0),"")</f>
        <v/>
      </c>
      <c r="AA1381" s="314" t="str" cm="1">
        <f t="array" aca="1" ref="AA1381" ca="1">IFERROR(_xlfn.IFS(OR(F1381="",LEFT(Methode_Keuze,4)="Geen",Methode_Keuze=""),"",AND(X1381&lt;&gt;"",F1381&lt;&gt;"Arbeidskosten"),X1381*VLOOKUP(F1381,Tb_ProjectKosten[],MATCH(Tb_ProjectKosten[[#Headers],[Forfait_Percentage]],Tb_ProjectKosten[#Headers],0),0),AND(F1381="Arbeidskosten",G1381&lt;&gt;""),IFERROR(X1381*VLOOKUP(G1381,Tb_KostenTypen[],3,0)*VLOOKUP(F1381,Tb_ProjectKosten[],MATCH(Tb_ProjectKosten[[#Headers],[Forfait_Percentage]],Tb_ProjectKosten[#Headers],0),0),""),X1381 &lt;=0,0),"")</f>
        <v/>
      </c>
      <c r="AB1381" s="314" t="str">
        <f t="shared" ca="1" si="87"/>
        <v/>
      </c>
      <c r="AC1381" s="322"/>
      <c r="AD1381" s="315"/>
      <c r="AE1381" s="32" t="str" cm="1">
        <f t="array" ref="AE1381">IFERROR(IF(INDEX(SubsidieTabel!$AD$1:$AG$12,MATCH($F1381,SubsidieTabel!$AD$1:$AD$12,0),IFERROR(MATCH(Methode_Keuze,SubsidieTabel!$AD$1:$AG$1,0),2))&lt;&gt;1=TRUE,"ja",""),"")</f>
        <v/>
      </c>
    </row>
    <row r="1382" spans="1:31" x14ac:dyDescent="0.25">
      <c r="A1382" s="316"/>
      <c r="B1382" s="317" t="str">
        <f>IF(A1382&lt;&gt;"",_xlfn.MAXIFS($B$1:B1381,$A$1:A1381,A1382)+1,"")</f>
        <v/>
      </c>
      <c r="C1382" s="296"/>
      <c r="D1382" s="296"/>
      <c r="E1382" s="296"/>
      <c r="F1382" s="296"/>
      <c r="G1382" s="326"/>
      <c r="H1382" s="324"/>
      <c r="I1382" s="325"/>
      <c r="J1382" s="325"/>
      <c r="K1382" s="318"/>
      <c r="L1382" s="318"/>
      <c r="M1382" s="319" t="str">
        <f>IFERROR(VLOOKUP(H1382,Lijsten!$H$1:$I$100,2,0),"")</f>
        <v/>
      </c>
      <c r="N1382" s="319" t="str">
        <f ca="1">IFERROR(IF(VLOOKUP(F1382,Kostentypen!$A$3:$E$21,3,0)=0,"",IF(OR(F1382="Arbeidskosten",F1382="Vergoeding"),VLOOKUP(G1382,Tb_KostenTypen[],2,0),VLOOKUP(F1382,Kostentypen!$A$3:$E$20,3,0))),"")</f>
        <v/>
      </c>
      <c r="O1382" s="320" t="str" cm="1">
        <f t="array" ref="O1382">_xlfn.IFNA(IF(INDEX(Tb_KostenOptiesDB[],MATCH($F1382,Tb_KostenOptiesDB[KostenOptie],0),IFERROR(MATCH(Methode_Keuze,Tb_KostenOptiesDB[#Headers],0),2))=1,_xlfn.SWITCH($N1382,"Uurtarief",IF(OR(AND(RIGHT($F1382,3)="IKS",VLOOKUP($M1382,DB_Loonkosten,2,0)="Ja"),AND(RIGHT($F1382,3)&lt;&gt;"IKS",VLOOKUP($M1382,DB_Loonkosten,2,0)="Nee")),IFERROR(VLOOKUP($M1382,DB_Loonkosten,24,0),""),0),"Vast tarief",IF(LEFT(F1382,8)="Bijdrage",VLOOKUP($F1382,Tb_KostenTypen[],MATCH(Lijsten!$P$1,Tb_KostenTypen[#Headers],0),0),VLOOKUP($G1382,Lijsten!L:P,MATCH(Lijsten!$P$1,Kop_Tarief_Vast,0),0))),""),"")</f>
        <v/>
      </c>
      <c r="P1382" s="320" t="str" cm="1">
        <f t="array" ref="P1382">_xlfn.IFNA(IF(INDEX(Tb_KostenOptiesDB[],MATCH($F1382,Tb_KostenOptiesDB[KostenOptie],0),IFERROR(MATCH(Methode_Keuze,Tb_KostenOptiesDB[#Headers],0),2))=1,_xlfn.SWITCH($N1382,"Uurtarief",IF(OR(AND(RIGHT($F1382,3)="IKS",VLOOKUP($M1382,DB_Loonkosten,2,0)="Ja"),AND(RIGHT($F1382,3)&lt;&gt;"IKS",VLOOKUP($M1382,DB_Loonkosten,2,0)="Nee")),IFERROR(VLOOKUP($M1382,DB_Loonkosten,25,0),""),0),"Vast tarief",IF(LEFT(F1382,8)="Bijdrage",VLOOKUP($F1382,Tb_KostenTypen[],MATCH(Lijsten!$P$1,Tb_KostenTypen[#Headers],0),0),VLOOKUP($G1382,Lijsten!L:P,MATCH(Lijsten!$P$1,Kop_Tarief_Vast,0),0))),""),"")</f>
        <v/>
      </c>
      <c r="Q1382" s="359"/>
      <c r="R1382" s="359"/>
      <c r="S1382" s="321"/>
      <c r="T1382" s="321"/>
      <c r="U1382" s="373" t="str">
        <f t="shared" si="84"/>
        <v/>
      </c>
      <c r="V1382" s="314" t="str">
        <f t="shared" si="85"/>
        <v/>
      </c>
      <c r="W1382" s="314" t="str" cm="1">
        <f t="array" aca="1" ref="W1382" ca="1">IFERROR(IF(AE1382&lt;&gt;"ja",_xlfn.IFNA(_xlfn.IFS(AND(O1382&lt;&gt;"",F1382&lt;&gt;"",RIGHT($N1382,6)="tarief",F1382="Vergoeding"),SUM(O1382)*FLOOR(SUM(Q1382),0.0001),AND(O1382&lt;&gt;"",F1382&lt;&gt;"",RIGHT($N1382,6)="tarief"),SUM(O1382)*FLOOR(SUM(Q1382),0.01),S1382&gt;0,IF(F1382&lt;&gt;"",FLOOR(SUM(S1382),0.01),"")),""),""),"")</f>
        <v/>
      </c>
      <c r="X1382" s="314" t="str" cm="1">
        <f t="array" aca="1" ref="X1382" ca="1">IFERROR(IF(AE1382&lt;&gt;"ja",_xlfn.IFNA(_xlfn.IFS(AND(P1382&lt;&gt;"",R1382&lt;&gt;"",RIGHT($N1382,6)="tarief",F1382="Vergoeding"),SUM(P1382)*FLOOR(SUM(R1382),0.0001),AND(P1382&lt;&gt;"",R1382&lt;&gt;"",RIGHT($N1382,6)="tarief"),P1382*FLOOR(R1382,0.01),T1382&gt;0,FLOOR(SUM(T1382),0.01)),""),""),"")</f>
        <v/>
      </c>
      <c r="Y1382" s="314" t="str">
        <f t="shared" ca="1" si="86"/>
        <v/>
      </c>
      <c r="Z1382" s="314" t="str" cm="1">
        <f t="array" aca="1" ref="Z1382" ca="1">IFERROR(_xlfn.IFS(OR(F1382="",LEFT(Methode_Keuze,4)="Geen",Methode_Keuze=""),"",AND(W1382&lt;&gt;"",F1382&lt;&gt;"Arbeidskosten"),W1382*VLOOKUP(F1382,Tb_ProjectKosten[],MATCH(Tb_ProjectKosten[[#Headers],[Forfait_Percentage]],Tb_ProjectKosten[#Headers],0),0),AND(F1382="Arbeidskosten",G1382&lt;&gt;""),IFERROR(W1382*VLOOKUP(G1382,Tb_KostenTypen[],3,0)*VLOOKUP(F1382,Tb_ProjectKosten[],MATCH(Tb_ProjectKosten[[#Headers],[Forfait_Percentage]],Tb_ProjectKosten[#Headers],0),0),""),W1382 &lt;=0,0),"")</f>
        <v/>
      </c>
      <c r="AA1382" s="314" t="str" cm="1">
        <f t="array" aca="1" ref="AA1382" ca="1">IFERROR(_xlfn.IFS(OR(F1382="",LEFT(Methode_Keuze,4)="Geen",Methode_Keuze=""),"",AND(X1382&lt;&gt;"",F1382&lt;&gt;"Arbeidskosten"),X1382*VLOOKUP(F1382,Tb_ProjectKosten[],MATCH(Tb_ProjectKosten[[#Headers],[Forfait_Percentage]],Tb_ProjectKosten[#Headers],0),0),AND(F1382="Arbeidskosten",G1382&lt;&gt;""),IFERROR(X1382*VLOOKUP(G1382,Tb_KostenTypen[],3,0)*VLOOKUP(F1382,Tb_ProjectKosten[],MATCH(Tb_ProjectKosten[[#Headers],[Forfait_Percentage]],Tb_ProjectKosten[#Headers],0),0),""),X1382 &lt;=0,0),"")</f>
        <v/>
      </c>
      <c r="AB1382" s="314" t="str">
        <f t="shared" ca="1" si="87"/>
        <v/>
      </c>
      <c r="AC1382" s="322"/>
      <c r="AD1382" s="315"/>
      <c r="AE1382" s="32" t="str" cm="1">
        <f t="array" ref="AE1382">IFERROR(IF(INDEX(SubsidieTabel!$AD$1:$AG$12,MATCH($F1382,SubsidieTabel!$AD$1:$AD$12,0),IFERROR(MATCH(Methode_Keuze,SubsidieTabel!$AD$1:$AG$1,0),2))&lt;&gt;1=TRUE,"ja",""),"")</f>
        <v/>
      </c>
    </row>
    <row r="1383" spans="1:31" x14ac:dyDescent="0.25">
      <c r="A1383" s="316"/>
      <c r="B1383" s="317" t="str">
        <f>IF(A1383&lt;&gt;"",_xlfn.MAXIFS($B$1:B1382,$A$1:A1382,A1383)+1,"")</f>
        <v/>
      </c>
      <c r="C1383" s="296"/>
      <c r="D1383" s="296"/>
      <c r="E1383" s="296"/>
      <c r="F1383" s="296"/>
      <c r="G1383" s="326"/>
      <c r="H1383" s="324"/>
      <c r="I1383" s="325"/>
      <c r="J1383" s="325"/>
      <c r="K1383" s="318"/>
      <c r="L1383" s="318"/>
      <c r="M1383" s="319" t="str">
        <f>IFERROR(VLOOKUP(H1383,Lijsten!$H$1:$I$100,2,0),"")</f>
        <v/>
      </c>
      <c r="N1383" s="319" t="str">
        <f ca="1">IFERROR(IF(VLOOKUP(F1383,Kostentypen!$A$3:$E$21,3,0)=0,"",IF(OR(F1383="Arbeidskosten",F1383="Vergoeding"),VLOOKUP(G1383,Tb_KostenTypen[],2,0),VLOOKUP(F1383,Kostentypen!$A$3:$E$20,3,0))),"")</f>
        <v/>
      </c>
      <c r="O1383" s="320" t="str" cm="1">
        <f t="array" ref="O1383">_xlfn.IFNA(IF(INDEX(Tb_KostenOptiesDB[],MATCH($F1383,Tb_KostenOptiesDB[KostenOptie],0),IFERROR(MATCH(Methode_Keuze,Tb_KostenOptiesDB[#Headers],0),2))=1,_xlfn.SWITCH($N1383,"Uurtarief",IF(OR(AND(RIGHT($F1383,3)="IKS",VLOOKUP($M1383,DB_Loonkosten,2,0)="Ja"),AND(RIGHT($F1383,3)&lt;&gt;"IKS",VLOOKUP($M1383,DB_Loonkosten,2,0)="Nee")),IFERROR(VLOOKUP($M1383,DB_Loonkosten,24,0),""),0),"Vast tarief",IF(LEFT(F1383,8)="Bijdrage",VLOOKUP($F1383,Tb_KostenTypen[],MATCH(Lijsten!$P$1,Tb_KostenTypen[#Headers],0),0),VLOOKUP($G1383,Lijsten!L:P,MATCH(Lijsten!$P$1,Kop_Tarief_Vast,0),0))),""),"")</f>
        <v/>
      </c>
      <c r="P1383" s="320" t="str" cm="1">
        <f t="array" ref="P1383">_xlfn.IFNA(IF(INDEX(Tb_KostenOptiesDB[],MATCH($F1383,Tb_KostenOptiesDB[KostenOptie],0),IFERROR(MATCH(Methode_Keuze,Tb_KostenOptiesDB[#Headers],0),2))=1,_xlfn.SWITCH($N1383,"Uurtarief",IF(OR(AND(RIGHT($F1383,3)="IKS",VLOOKUP($M1383,DB_Loonkosten,2,0)="Ja"),AND(RIGHT($F1383,3)&lt;&gt;"IKS",VLOOKUP($M1383,DB_Loonkosten,2,0)="Nee")),IFERROR(VLOOKUP($M1383,DB_Loonkosten,25,0),""),0),"Vast tarief",IF(LEFT(F1383,8)="Bijdrage",VLOOKUP($F1383,Tb_KostenTypen[],MATCH(Lijsten!$P$1,Tb_KostenTypen[#Headers],0),0),VLOOKUP($G1383,Lijsten!L:P,MATCH(Lijsten!$P$1,Kop_Tarief_Vast,0),0))),""),"")</f>
        <v/>
      </c>
      <c r="Q1383" s="359"/>
      <c r="R1383" s="359"/>
      <c r="S1383" s="321"/>
      <c r="T1383" s="321"/>
      <c r="U1383" s="373" t="str">
        <f t="shared" si="84"/>
        <v/>
      </c>
      <c r="V1383" s="314" t="str">
        <f t="shared" si="85"/>
        <v/>
      </c>
      <c r="W1383" s="314" t="str" cm="1">
        <f t="array" aca="1" ref="W1383" ca="1">IFERROR(IF(AE1383&lt;&gt;"ja",_xlfn.IFNA(_xlfn.IFS(AND(O1383&lt;&gt;"",F1383&lt;&gt;"",RIGHT($N1383,6)="tarief",F1383="Vergoeding"),SUM(O1383)*FLOOR(SUM(Q1383),0.0001),AND(O1383&lt;&gt;"",F1383&lt;&gt;"",RIGHT($N1383,6)="tarief"),SUM(O1383)*FLOOR(SUM(Q1383),0.01),S1383&gt;0,IF(F1383&lt;&gt;"",FLOOR(SUM(S1383),0.01),"")),""),""),"")</f>
        <v/>
      </c>
      <c r="X1383" s="314" t="str" cm="1">
        <f t="array" aca="1" ref="X1383" ca="1">IFERROR(IF(AE1383&lt;&gt;"ja",_xlfn.IFNA(_xlfn.IFS(AND(P1383&lt;&gt;"",R1383&lt;&gt;"",RIGHT($N1383,6)="tarief",F1383="Vergoeding"),SUM(P1383)*FLOOR(SUM(R1383),0.0001),AND(P1383&lt;&gt;"",R1383&lt;&gt;"",RIGHT($N1383,6)="tarief"),P1383*FLOOR(R1383,0.01),T1383&gt;0,FLOOR(SUM(T1383),0.01)),""),""),"")</f>
        <v/>
      </c>
      <c r="Y1383" s="314" t="str">
        <f t="shared" ca="1" si="86"/>
        <v/>
      </c>
      <c r="Z1383" s="314" t="str" cm="1">
        <f t="array" aca="1" ref="Z1383" ca="1">IFERROR(_xlfn.IFS(OR(F1383="",LEFT(Methode_Keuze,4)="Geen",Methode_Keuze=""),"",AND(W1383&lt;&gt;"",F1383&lt;&gt;"Arbeidskosten"),W1383*VLOOKUP(F1383,Tb_ProjectKosten[],MATCH(Tb_ProjectKosten[[#Headers],[Forfait_Percentage]],Tb_ProjectKosten[#Headers],0),0),AND(F1383="Arbeidskosten",G1383&lt;&gt;""),IFERROR(W1383*VLOOKUP(G1383,Tb_KostenTypen[],3,0)*VLOOKUP(F1383,Tb_ProjectKosten[],MATCH(Tb_ProjectKosten[[#Headers],[Forfait_Percentage]],Tb_ProjectKosten[#Headers],0),0),""),W1383 &lt;=0,0),"")</f>
        <v/>
      </c>
      <c r="AA1383" s="314" t="str" cm="1">
        <f t="array" aca="1" ref="AA1383" ca="1">IFERROR(_xlfn.IFS(OR(F1383="",LEFT(Methode_Keuze,4)="Geen",Methode_Keuze=""),"",AND(X1383&lt;&gt;"",F1383&lt;&gt;"Arbeidskosten"),X1383*VLOOKUP(F1383,Tb_ProjectKosten[],MATCH(Tb_ProjectKosten[[#Headers],[Forfait_Percentage]],Tb_ProjectKosten[#Headers],0),0),AND(F1383="Arbeidskosten",G1383&lt;&gt;""),IFERROR(X1383*VLOOKUP(G1383,Tb_KostenTypen[],3,0)*VLOOKUP(F1383,Tb_ProjectKosten[],MATCH(Tb_ProjectKosten[[#Headers],[Forfait_Percentage]],Tb_ProjectKosten[#Headers],0),0),""),X1383 &lt;=0,0),"")</f>
        <v/>
      </c>
      <c r="AB1383" s="314" t="str">
        <f t="shared" ca="1" si="87"/>
        <v/>
      </c>
      <c r="AC1383" s="322"/>
      <c r="AD1383" s="315"/>
      <c r="AE1383" s="32" t="str" cm="1">
        <f t="array" ref="AE1383">IFERROR(IF(INDEX(SubsidieTabel!$AD$1:$AG$12,MATCH($F1383,SubsidieTabel!$AD$1:$AD$12,0),IFERROR(MATCH(Methode_Keuze,SubsidieTabel!$AD$1:$AG$1,0),2))&lt;&gt;1=TRUE,"ja",""),"")</f>
        <v/>
      </c>
    </row>
    <row r="1384" spans="1:31" x14ac:dyDescent="0.25">
      <c r="A1384" s="316"/>
      <c r="B1384" s="317" t="str">
        <f>IF(A1384&lt;&gt;"",_xlfn.MAXIFS($B$1:B1383,$A$1:A1383,A1384)+1,"")</f>
        <v/>
      </c>
      <c r="C1384" s="296"/>
      <c r="D1384" s="296"/>
      <c r="E1384" s="296"/>
      <c r="F1384" s="296"/>
      <c r="G1384" s="326"/>
      <c r="H1384" s="324"/>
      <c r="I1384" s="325"/>
      <c r="J1384" s="325"/>
      <c r="K1384" s="318"/>
      <c r="L1384" s="318"/>
      <c r="M1384" s="319" t="str">
        <f>IFERROR(VLOOKUP(H1384,Lijsten!$H$1:$I$100,2,0),"")</f>
        <v/>
      </c>
      <c r="N1384" s="319" t="str">
        <f ca="1">IFERROR(IF(VLOOKUP(F1384,Kostentypen!$A$3:$E$21,3,0)=0,"",IF(OR(F1384="Arbeidskosten",F1384="Vergoeding"),VLOOKUP(G1384,Tb_KostenTypen[],2,0),VLOOKUP(F1384,Kostentypen!$A$3:$E$20,3,0))),"")</f>
        <v/>
      </c>
      <c r="O1384" s="320" t="str" cm="1">
        <f t="array" ref="O1384">_xlfn.IFNA(IF(INDEX(Tb_KostenOptiesDB[],MATCH($F1384,Tb_KostenOptiesDB[KostenOptie],0),IFERROR(MATCH(Methode_Keuze,Tb_KostenOptiesDB[#Headers],0),2))=1,_xlfn.SWITCH($N1384,"Uurtarief",IF(OR(AND(RIGHT($F1384,3)="IKS",VLOOKUP($M1384,DB_Loonkosten,2,0)="Ja"),AND(RIGHT($F1384,3)&lt;&gt;"IKS",VLOOKUP($M1384,DB_Loonkosten,2,0)="Nee")),IFERROR(VLOOKUP($M1384,DB_Loonkosten,24,0),""),0),"Vast tarief",IF(LEFT(F1384,8)="Bijdrage",VLOOKUP($F1384,Tb_KostenTypen[],MATCH(Lijsten!$P$1,Tb_KostenTypen[#Headers],0),0),VLOOKUP($G1384,Lijsten!L:P,MATCH(Lijsten!$P$1,Kop_Tarief_Vast,0),0))),""),"")</f>
        <v/>
      </c>
      <c r="P1384" s="320" t="str" cm="1">
        <f t="array" ref="P1384">_xlfn.IFNA(IF(INDEX(Tb_KostenOptiesDB[],MATCH($F1384,Tb_KostenOptiesDB[KostenOptie],0),IFERROR(MATCH(Methode_Keuze,Tb_KostenOptiesDB[#Headers],0),2))=1,_xlfn.SWITCH($N1384,"Uurtarief",IF(OR(AND(RIGHT($F1384,3)="IKS",VLOOKUP($M1384,DB_Loonkosten,2,0)="Ja"),AND(RIGHT($F1384,3)&lt;&gt;"IKS",VLOOKUP($M1384,DB_Loonkosten,2,0)="Nee")),IFERROR(VLOOKUP($M1384,DB_Loonkosten,25,0),""),0),"Vast tarief",IF(LEFT(F1384,8)="Bijdrage",VLOOKUP($F1384,Tb_KostenTypen[],MATCH(Lijsten!$P$1,Tb_KostenTypen[#Headers],0),0),VLOOKUP($G1384,Lijsten!L:P,MATCH(Lijsten!$P$1,Kop_Tarief_Vast,0),0))),""),"")</f>
        <v/>
      </c>
      <c r="Q1384" s="359"/>
      <c r="R1384" s="359"/>
      <c r="S1384" s="321"/>
      <c r="T1384" s="321"/>
      <c r="U1384" s="373" t="str">
        <f t="shared" si="84"/>
        <v/>
      </c>
      <c r="V1384" s="314" t="str">
        <f t="shared" si="85"/>
        <v/>
      </c>
      <c r="W1384" s="314" t="str" cm="1">
        <f t="array" aca="1" ref="W1384" ca="1">IFERROR(IF(AE1384&lt;&gt;"ja",_xlfn.IFNA(_xlfn.IFS(AND(O1384&lt;&gt;"",F1384&lt;&gt;"",RIGHT($N1384,6)="tarief",F1384="Vergoeding"),SUM(O1384)*FLOOR(SUM(Q1384),0.0001),AND(O1384&lt;&gt;"",F1384&lt;&gt;"",RIGHT($N1384,6)="tarief"),SUM(O1384)*FLOOR(SUM(Q1384),0.01),S1384&gt;0,IF(F1384&lt;&gt;"",FLOOR(SUM(S1384),0.01),"")),""),""),"")</f>
        <v/>
      </c>
      <c r="X1384" s="314" t="str" cm="1">
        <f t="array" aca="1" ref="X1384" ca="1">IFERROR(IF(AE1384&lt;&gt;"ja",_xlfn.IFNA(_xlfn.IFS(AND(P1384&lt;&gt;"",R1384&lt;&gt;"",RIGHT($N1384,6)="tarief",F1384="Vergoeding"),SUM(P1384)*FLOOR(SUM(R1384),0.0001),AND(P1384&lt;&gt;"",R1384&lt;&gt;"",RIGHT($N1384,6)="tarief"),P1384*FLOOR(R1384,0.01),T1384&gt;0,FLOOR(SUM(T1384),0.01)),""),""),"")</f>
        <v/>
      </c>
      <c r="Y1384" s="314" t="str">
        <f t="shared" ca="1" si="86"/>
        <v/>
      </c>
      <c r="Z1384" s="314" t="str" cm="1">
        <f t="array" aca="1" ref="Z1384" ca="1">IFERROR(_xlfn.IFS(OR(F1384="",LEFT(Methode_Keuze,4)="Geen",Methode_Keuze=""),"",AND(W1384&lt;&gt;"",F1384&lt;&gt;"Arbeidskosten"),W1384*VLOOKUP(F1384,Tb_ProjectKosten[],MATCH(Tb_ProjectKosten[[#Headers],[Forfait_Percentage]],Tb_ProjectKosten[#Headers],0),0),AND(F1384="Arbeidskosten",G1384&lt;&gt;""),IFERROR(W1384*VLOOKUP(G1384,Tb_KostenTypen[],3,0)*VLOOKUP(F1384,Tb_ProjectKosten[],MATCH(Tb_ProjectKosten[[#Headers],[Forfait_Percentage]],Tb_ProjectKosten[#Headers],0),0),""),W1384 &lt;=0,0),"")</f>
        <v/>
      </c>
      <c r="AA1384" s="314" t="str" cm="1">
        <f t="array" aca="1" ref="AA1384" ca="1">IFERROR(_xlfn.IFS(OR(F1384="",LEFT(Methode_Keuze,4)="Geen",Methode_Keuze=""),"",AND(X1384&lt;&gt;"",F1384&lt;&gt;"Arbeidskosten"),X1384*VLOOKUP(F1384,Tb_ProjectKosten[],MATCH(Tb_ProjectKosten[[#Headers],[Forfait_Percentage]],Tb_ProjectKosten[#Headers],0),0),AND(F1384="Arbeidskosten",G1384&lt;&gt;""),IFERROR(X1384*VLOOKUP(G1384,Tb_KostenTypen[],3,0)*VLOOKUP(F1384,Tb_ProjectKosten[],MATCH(Tb_ProjectKosten[[#Headers],[Forfait_Percentage]],Tb_ProjectKosten[#Headers],0),0),""),X1384 &lt;=0,0),"")</f>
        <v/>
      </c>
      <c r="AB1384" s="314" t="str">
        <f t="shared" ca="1" si="87"/>
        <v/>
      </c>
      <c r="AC1384" s="322"/>
      <c r="AD1384" s="315"/>
      <c r="AE1384" s="32" t="str" cm="1">
        <f t="array" ref="AE1384">IFERROR(IF(INDEX(SubsidieTabel!$AD$1:$AG$12,MATCH($F1384,SubsidieTabel!$AD$1:$AD$12,0),IFERROR(MATCH(Methode_Keuze,SubsidieTabel!$AD$1:$AG$1,0),2))&lt;&gt;1=TRUE,"ja",""),"")</f>
        <v/>
      </c>
    </row>
    <row r="1385" spans="1:31" x14ac:dyDescent="0.25">
      <c r="A1385" s="316"/>
      <c r="B1385" s="317" t="str">
        <f>IF(A1385&lt;&gt;"",_xlfn.MAXIFS($B$1:B1384,$A$1:A1384,A1385)+1,"")</f>
        <v/>
      </c>
      <c r="C1385" s="296"/>
      <c r="D1385" s="296"/>
      <c r="E1385" s="296"/>
      <c r="F1385" s="296"/>
      <c r="G1385" s="326"/>
      <c r="H1385" s="324"/>
      <c r="I1385" s="325"/>
      <c r="J1385" s="325"/>
      <c r="K1385" s="318"/>
      <c r="L1385" s="318"/>
      <c r="M1385" s="319" t="str">
        <f>IFERROR(VLOOKUP(H1385,Lijsten!$H$1:$I$100,2,0),"")</f>
        <v/>
      </c>
      <c r="N1385" s="319" t="str">
        <f ca="1">IFERROR(IF(VLOOKUP(F1385,Kostentypen!$A$3:$E$21,3,0)=0,"",IF(OR(F1385="Arbeidskosten",F1385="Vergoeding"),VLOOKUP(G1385,Tb_KostenTypen[],2,0),VLOOKUP(F1385,Kostentypen!$A$3:$E$20,3,0))),"")</f>
        <v/>
      </c>
      <c r="O1385" s="320" t="str" cm="1">
        <f t="array" ref="O1385">_xlfn.IFNA(IF(INDEX(Tb_KostenOptiesDB[],MATCH($F1385,Tb_KostenOptiesDB[KostenOptie],0),IFERROR(MATCH(Methode_Keuze,Tb_KostenOptiesDB[#Headers],0),2))=1,_xlfn.SWITCH($N1385,"Uurtarief",IF(OR(AND(RIGHT($F1385,3)="IKS",VLOOKUP($M1385,DB_Loonkosten,2,0)="Ja"),AND(RIGHT($F1385,3)&lt;&gt;"IKS",VLOOKUP($M1385,DB_Loonkosten,2,0)="Nee")),IFERROR(VLOOKUP($M1385,DB_Loonkosten,24,0),""),0),"Vast tarief",IF(LEFT(F1385,8)="Bijdrage",VLOOKUP($F1385,Tb_KostenTypen[],MATCH(Lijsten!$P$1,Tb_KostenTypen[#Headers],0),0),VLOOKUP($G1385,Lijsten!L:P,MATCH(Lijsten!$P$1,Kop_Tarief_Vast,0),0))),""),"")</f>
        <v/>
      </c>
      <c r="P1385" s="320" t="str" cm="1">
        <f t="array" ref="P1385">_xlfn.IFNA(IF(INDEX(Tb_KostenOptiesDB[],MATCH($F1385,Tb_KostenOptiesDB[KostenOptie],0),IFERROR(MATCH(Methode_Keuze,Tb_KostenOptiesDB[#Headers],0),2))=1,_xlfn.SWITCH($N1385,"Uurtarief",IF(OR(AND(RIGHT($F1385,3)="IKS",VLOOKUP($M1385,DB_Loonkosten,2,0)="Ja"),AND(RIGHT($F1385,3)&lt;&gt;"IKS",VLOOKUP($M1385,DB_Loonkosten,2,0)="Nee")),IFERROR(VLOOKUP($M1385,DB_Loonkosten,25,0),""),0),"Vast tarief",IF(LEFT(F1385,8)="Bijdrage",VLOOKUP($F1385,Tb_KostenTypen[],MATCH(Lijsten!$P$1,Tb_KostenTypen[#Headers],0),0),VLOOKUP($G1385,Lijsten!L:P,MATCH(Lijsten!$P$1,Kop_Tarief_Vast,0),0))),""),"")</f>
        <v/>
      </c>
      <c r="Q1385" s="359"/>
      <c r="R1385" s="359"/>
      <c r="S1385" s="321"/>
      <c r="T1385" s="321"/>
      <c r="U1385" s="373" t="str">
        <f t="shared" si="84"/>
        <v/>
      </c>
      <c r="V1385" s="314" t="str">
        <f t="shared" si="85"/>
        <v/>
      </c>
      <c r="W1385" s="314" t="str" cm="1">
        <f t="array" aca="1" ref="W1385" ca="1">IFERROR(IF(AE1385&lt;&gt;"ja",_xlfn.IFNA(_xlfn.IFS(AND(O1385&lt;&gt;"",F1385&lt;&gt;"",RIGHT($N1385,6)="tarief",F1385="Vergoeding"),SUM(O1385)*FLOOR(SUM(Q1385),0.0001),AND(O1385&lt;&gt;"",F1385&lt;&gt;"",RIGHT($N1385,6)="tarief"),SUM(O1385)*FLOOR(SUM(Q1385),0.01),S1385&gt;0,IF(F1385&lt;&gt;"",FLOOR(SUM(S1385),0.01),"")),""),""),"")</f>
        <v/>
      </c>
      <c r="X1385" s="314" t="str" cm="1">
        <f t="array" aca="1" ref="X1385" ca="1">IFERROR(IF(AE1385&lt;&gt;"ja",_xlfn.IFNA(_xlfn.IFS(AND(P1385&lt;&gt;"",R1385&lt;&gt;"",RIGHT($N1385,6)="tarief",F1385="Vergoeding"),SUM(P1385)*FLOOR(SUM(R1385),0.0001),AND(P1385&lt;&gt;"",R1385&lt;&gt;"",RIGHT($N1385,6)="tarief"),P1385*FLOOR(R1385,0.01),T1385&gt;0,FLOOR(SUM(T1385),0.01)),""),""),"")</f>
        <v/>
      </c>
      <c r="Y1385" s="314" t="str">
        <f t="shared" ca="1" si="86"/>
        <v/>
      </c>
      <c r="Z1385" s="314" t="str" cm="1">
        <f t="array" aca="1" ref="Z1385" ca="1">IFERROR(_xlfn.IFS(OR(F1385="",LEFT(Methode_Keuze,4)="Geen",Methode_Keuze=""),"",AND(W1385&lt;&gt;"",F1385&lt;&gt;"Arbeidskosten"),W1385*VLOOKUP(F1385,Tb_ProjectKosten[],MATCH(Tb_ProjectKosten[[#Headers],[Forfait_Percentage]],Tb_ProjectKosten[#Headers],0),0),AND(F1385="Arbeidskosten",G1385&lt;&gt;""),IFERROR(W1385*VLOOKUP(G1385,Tb_KostenTypen[],3,0)*VLOOKUP(F1385,Tb_ProjectKosten[],MATCH(Tb_ProjectKosten[[#Headers],[Forfait_Percentage]],Tb_ProjectKosten[#Headers],0),0),""),W1385 &lt;=0,0),"")</f>
        <v/>
      </c>
      <c r="AA1385" s="314" t="str" cm="1">
        <f t="array" aca="1" ref="AA1385" ca="1">IFERROR(_xlfn.IFS(OR(F1385="",LEFT(Methode_Keuze,4)="Geen",Methode_Keuze=""),"",AND(X1385&lt;&gt;"",F1385&lt;&gt;"Arbeidskosten"),X1385*VLOOKUP(F1385,Tb_ProjectKosten[],MATCH(Tb_ProjectKosten[[#Headers],[Forfait_Percentage]],Tb_ProjectKosten[#Headers],0),0),AND(F1385="Arbeidskosten",G1385&lt;&gt;""),IFERROR(X1385*VLOOKUP(G1385,Tb_KostenTypen[],3,0)*VLOOKUP(F1385,Tb_ProjectKosten[],MATCH(Tb_ProjectKosten[[#Headers],[Forfait_Percentage]],Tb_ProjectKosten[#Headers],0),0),""),X1385 &lt;=0,0),"")</f>
        <v/>
      </c>
      <c r="AB1385" s="314" t="str">
        <f t="shared" ca="1" si="87"/>
        <v/>
      </c>
      <c r="AC1385" s="322"/>
      <c r="AD1385" s="315"/>
      <c r="AE1385" s="32" t="str" cm="1">
        <f t="array" ref="AE1385">IFERROR(IF(INDEX(SubsidieTabel!$AD$1:$AG$12,MATCH($F1385,SubsidieTabel!$AD$1:$AD$12,0),IFERROR(MATCH(Methode_Keuze,SubsidieTabel!$AD$1:$AG$1,0),2))&lt;&gt;1=TRUE,"ja",""),"")</f>
        <v/>
      </c>
    </row>
    <row r="1386" spans="1:31" x14ac:dyDescent="0.25">
      <c r="A1386" s="316"/>
      <c r="B1386" s="317" t="str">
        <f>IF(A1386&lt;&gt;"",_xlfn.MAXIFS($B$1:B1385,$A$1:A1385,A1386)+1,"")</f>
        <v/>
      </c>
      <c r="C1386" s="296"/>
      <c r="D1386" s="296"/>
      <c r="E1386" s="296"/>
      <c r="F1386" s="296"/>
      <c r="G1386" s="326"/>
      <c r="H1386" s="324"/>
      <c r="I1386" s="325"/>
      <c r="J1386" s="325"/>
      <c r="K1386" s="318"/>
      <c r="L1386" s="318"/>
      <c r="M1386" s="319" t="str">
        <f>IFERROR(VLOOKUP(H1386,Lijsten!$H$1:$I$100,2,0),"")</f>
        <v/>
      </c>
      <c r="N1386" s="319" t="str">
        <f ca="1">IFERROR(IF(VLOOKUP(F1386,Kostentypen!$A$3:$E$21,3,0)=0,"",IF(OR(F1386="Arbeidskosten",F1386="Vergoeding"),VLOOKUP(G1386,Tb_KostenTypen[],2,0),VLOOKUP(F1386,Kostentypen!$A$3:$E$20,3,0))),"")</f>
        <v/>
      </c>
      <c r="O1386" s="320" t="str" cm="1">
        <f t="array" ref="O1386">_xlfn.IFNA(IF(INDEX(Tb_KostenOptiesDB[],MATCH($F1386,Tb_KostenOptiesDB[KostenOptie],0),IFERROR(MATCH(Methode_Keuze,Tb_KostenOptiesDB[#Headers],0),2))=1,_xlfn.SWITCH($N1386,"Uurtarief",IF(OR(AND(RIGHT($F1386,3)="IKS",VLOOKUP($M1386,DB_Loonkosten,2,0)="Ja"),AND(RIGHT($F1386,3)&lt;&gt;"IKS",VLOOKUP($M1386,DB_Loonkosten,2,0)="Nee")),IFERROR(VLOOKUP($M1386,DB_Loonkosten,24,0),""),0),"Vast tarief",IF(LEFT(F1386,8)="Bijdrage",VLOOKUP($F1386,Tb_KostenTypen[],MATCH(Lijsten!$P$1,Tb_KostenTypen[#Headers],0),0),VLOOKUP($G1386,Lijsten!L:P,MATCH(Lijsten!$P$1,Kop_Tarief_Vast,0),0))),""),"")</f>
        <v/>
      </c>
      <c r="P1386" s="320" t="str" cm="1">
        <f t="array" ref="P1386">_xlfn.IFNA(IF(INDEX(Tb_KostenOptiesDB[],MATCH($F1386,Tb_KostenOptiesDB[KostenOptie],0),IFERROR(MATCH(Methode_Keuze,Tb_KostenOptiesDB[#Headers],0),2))=1,_xlfn.SWITCH($N1386,"Uurtarief",IF(OR(AND(RIGHT($F1386,3)="IKS",VLOOKUP($M1386,DB_Loonkosten,2,0)="Ja"),AND(RIGHT($F1386,3)&lt;&gt;"IKS",VLOOKUP($M1386,DB_Loonkosten,2,0)="Nee")),IFERROR(VLOOKUP($M1386,DB_Loonkosten,25,0),""),0),"Vast tarief",IF(LEFT(F1386,8)="Bijdrage",VLOOKUP($F1386,Tb_KostenTypen[],MATCH(Lijsten!$P$1,Tb_KostenTypen[#Headers],0),0),VLOOKUP($G1386,Lijsten!L:P,MATCH(Lijsten!$P$1,Kop_Tarief_Vast,0),0))),""),"")</f>
        <v/>
      </c>
      <c r="Q1386" s="359"/>
      <c r="R1386" s="359"/>
      <c r="S1386" s="321"/>
      <c r="T1386" s="321"/>
      <c r="U1386" s="373" t="str">
        <f t="shared" si="84"/>
        <v/>
      </c>
      <c r="V1386" s="314" t="str">
        <f t="shared" si="85"/>
        <v/>
      </c>
      <c r="W1386" s="314" t="str" cm="1">
        <f t="array" aca="1" ref="W1386" ca="1">IFERROR(IF(AE1386&lt;&gt;"ja",_xlfn.IFNA(_xlfn.IFS(AND(O1386&lt;&gt;"",F1386&lt;&gt;"",RIGHT($N1386,6)="tarief",F1386="Vergoeding"),SUM(O1386)*FLOOR(SUM(Q1386),0.0001),AND(O1386&lt;&gt;"",F1386&lt;&gt;"",RIGHT($N1386,6)="tarief"),SUM(O1386)*FLOOR(SUM(Q1386),0.01),S1386&gt;0,IF(F1386&lt;&gt;"",FLOOR(SUM(S1386),0.01),"")),""),""),"")</f>
        <v/>
      </c>
      <c r="X1386" s="314" t="str" cm="1">
        <f t="array" aca="1" ref="X1386" ca="1">IFERROR(IF(AE1386&lt;&gt;"ja",_xlfn.IFNA(_xlfn.IFS(AND(P1386&lt;&gt;"",R1386&lt;&gt;"",RIGHT($N1386,6)="tarief",F1386="Vergoeding"),SUM(P1386)*FLOOR(SUM(R1386),0.0001),AND(P1386&lt;&gt;"",R1386&lt;&gt;"",RIGHT($N1386,6)="tarief"),P1386*FLOOR(R1386,0.01),T1386&gt;0,FLOOR(SUM(T1386),0.01)),""),""),"")</f>
        <v/>
      </c>
      <c r="Y1386" s="314" t="str">
        <f t="shared" ca="1" si="86"/>
        <v/>
      </c>
      <c r="Z1386" s="314" t="str" cm="1">
        <f t="array" aca="1" ref="Z1386" ca="1">IFERROR(_xlfn.IFS(OR(F1386="",LEFT(Methode_Keuze,4)="Geen",Methode_Keuze=""),"",AND(W1386&lt;&gt;"",F1386&lt;&gt;"Arbeidskosten"),W1386*VLOOKUP(F1386,Tb_ProjectKosten[],MATCH(Tb_ProjectKosten[[#Headers],[Forfait_Percentage]],Tb_ProjectKosten[#Headers],0),0),AND(F1386="Arbeidskosten",G1386&lt;&gt;""),IFERROR(W1386*VLOOKUP(G1386,Tb_KostenTypen[],3,0)*VLOOKUP(F1386,Tb_ProjectKosten[],MATCH(Tb_ProjectKosten[[#Headers],[Forfait_Percentage]],Tb_ProjectKosten[#Headers],0),0),""),W1386 &lt;=0,0),"")</f>
        <v/>
      </c>
      <c r="AA1386" s="314" t="str" cm="1">
        <f t="array" aca="1" ref="AA1386" ca="1">IFERROR(_xlfn.IFS(OR(F1386="",LEFT(Methode_Keuze,4)="Geen",Methode_Keuze=""),"",AND(X1386&lt;&gt;"",F1386&lt;&gt;"Arbeidskosten"),X1386*VLOOKUP(F1386,Tb_ProjectKosten[],MATCH(Tb_ProjectKosten[[#Headers],[Forfait_Percentage]],Tb_ProjectKosten[#Headers],0),0),AND(F1386="Arbeidskosten",G1386&lt;&gt;""),IFERROR(X1386*VLOOKUP(G1386,Tb_KostenTypen[],3,0)*VLOOKUP(F1386,Tb_ProjectKosten[],MATCH(Tb_ProjectKosten[[#Headers],[Forfait_Percentage]],Tb_ProjectKosten[#Headers],0),0),""),X1386 &lt;=0,0),"")</f>
        <v/>
      </c>
      <c r="AB1386" s="314" t="str">
        <f t="shared" ca="1" si="87"/>
        <v/>
      </c>
      <c r="AC1386" s="322"/>
      <c r="AD1386" s="315"/>
      <c r="AE1386" s="32" t="str" cm="1">
        <f t="array" ref="AE1386">IFERROR(IF(INDEX(SubsidieTabel!$AD$1:$AG$12,MATCH($F1386,SubsidieTabel!$AD$1:$AD$12,0),IFERROR(MATCH(Methode_Keuze,SubsidieTabel!$AD$1:$AG$1,0),2))&lt;&gt;1=TRUE,"ja",""),"")</f>
        <v/>
      </c>
    </row>
    <row r="1387" spans="1:31" x14ac:dyDescent="0.25">
      <c r="A1387" s="316"/>
      <c r="B1387" s="317" t="str">
        <f>IF(A1387&lt;&gt;"",_xlfn.MAXIFS($B$1:B1386,$A$1:A1386,A1387)+1,"")</f>
        <v/>
      </c>
      <c r="C1387" s="296"/>
      <c r="D1387" s="296"/>
      <c r="E1387" s="296"/>
      <c r="F1387" s="296"/>
      <c r="G1387" s="326"/>
      <c r="H1387" s="324"/>
      <c r="I1387" s="325"/>
      <c r="J1387" s="325"/>
      <c r="K1387" s="318"/>
      <c r="L1387" s="318"/>
      <c r="M1387" s="319" t="str">
        <f>IFERROR(VLOOKUP(H1387,Lijsten!$H$1:$I$100,2,0),"")</f>
        <v/>
      </c>
      <c r="N1387" s="319" t="str">
        <f ca="1">IFERROR(IF(VLOOKUP(F1387,Kostentypen!$A$3:$E$21,3,0)=0,"",IF(OR(F1387="Arbeidskosten",F1387="Vergoeding"),VLOOKUP(G1387,Tb_KostenTypen[],2,0),VLOOKUP(F1387,Kostentypen!$A$3:$E$20,3,0))),"")</f>
        <v/>
      </c>
      <c r="O1387" s="320" t="str" cm="1">
        <f t="array" ref="O1387">_xlfn.IFNA(IF(INDEX(Tb_KostenOptiesDB[],MATCH($F1387,Tb_KostenOptiesDB[KostenOptie],0),IFERROR(MATCH(Methode_Keuze,Tb_KostenOptiesDB[#Headers],0),2))=1,_xlfn.SWITCH($N1387,"Uurtarief",IF(OR(AND(RIGHT($F1387,3)="IKS",VLOOKUP($M1387,DB_Loonkosten,2,0)="Ja"),AND(RIGHT($F1387,3)&lt;&gt;"IKS",VLOOKUP($M1387,DB_Loonkosten,2,0)="Nee")),IFERROR(VLOOKUP($M1387,DB_Loonkosten,24,0),""),0),"Vast tarief",IF(LEFT(F1387,8)="Bijdrage",VLOOKUP($F1387,Tb_KostenTypen[],MATCH(Lijsten!$P$1,Tb_KostenTypen[#Headers],0),0),VLOOKUP($G1387,Lijsten!L:P,MATCH(Lijsten!$P$1,Kop_Tarief_Vast,0),0))),""),"")</f>
        <v/>
      </c>
      <c r="P1387" s="320" t="str" cm="1">
        <f t="array" ref="P1387">_xlfn.IFNA(IF(INDEX(Tb_KostenOptiesDB[],MATCH($F1387,Tb_KostenOptiesDB[KostenOptie],0),IFERROR(MATCH(Methode_Keuze,Tb_KostenOptiesDB[#Headers],0),2))=1,_xlfn.SWITCH($N1387,"Uurtarief",IF(OR(AND(RIGHT($F1387,3)="IKS",VLOOKUP($M1387,DB_Loonkosten,2,0)="Ja"),AND(RIGHT($F1387,3)&lt;&gt;"IKS",VLOOKUP($M1387,DB_Loonkosten,2,0)="Nee")),IFERROR(VLOOKUP($M1387,DB_Loonkosten,25,0),""),0),"Vast tarief",IF(LEFT(F1387,8)="Bijdrage",VLOOKUP($F1387,Tb_KostenTypen[],MATCH(Lijsten!$P$1,Tb_KostenTypen[#Headers],0),0),VLOOKUP($G1387,Lijsten!L:P,MATCH(Lijsten!$P$1,Kop_Tarief_Vast,0),0))),""),"")</f>
        <v/>
      </c>
      <c r="Q1387" s="359"/>
      <c r="R1387" s="359"/>
      <c r="S1387" s="321"/>
      <c r="T1387" s="321"/>
      <c r="U1387" s="373" t="str">
        <f t="shared" si="84"/>
        <v/>
      </c>
      <c r="V1387" s="314" t="str">
        <f t="shared" si="85"/>
        <v/>
      </c>
      <c r="W1387" s="314" t="str" cm="1">
        <f t="array" aca="1" ref="W1387" ca="1">IFERROR(IF(AE1387&lt;&gt;"ja",_xlfn.IFNA(_xlfn.IFS(AND(O1387&lt;&gt;"",F1387&lt;&gt;"",RIGHT($N1387,6)="tarief",F1387="Vergoeding"),SUM(O1387)*FLOOR(SUM(Q1387),0.0001),AND(O1387&lt;&gt;"",F1387&lt;&gt;"",RIGHT($N1387,6)="tarief"),SUM(O1387)*FLOOR(SUM(Q1387),0.01),S1387&gt;0,IF(F1387&lt;&gt;"",FLOOR(SUM(S1387),0.01),"")),""),""),"")</f>
        <v/>
      </c>
      <c r="X1387" s="314" t="str" cm="1">
        <f t="array" aca="1" ref="X1387" ca="1">IFERROR(IF(AE1387&lt;&gt;"ja",_xlfn.IFNA(_xlfn.IFS(AND(P1387&lt;&gt;"",R1387&lt;&gt;"",RIGHT($N1387,6)="tarief",F1387="Vergoeding"),SUM(P1387)*FLOOR(SUM(R1387),0.0001),AND(P1387&lt;&gt;"",R1387&lt;&gt;"",RIGHT($N1387,6)="tarief"),P1387*FLOOR(R1387,0.01),T1387&gt;0,FLOOR(SUM(T1387),0.01)),""),""),"")</f>
        <v/>
      </c>
      <c r="Y1387" s="314" t="str">
        <f t="shared" ca="1" si="86"/>
        <v/>
      </c>
      <c r="Z1387" s="314" t="str" cm="1">
        <f t="array" aca="1" ref="Z1387" ca="1">IFERROR(_xlfn.IFS(OR(F1387="",LEFT(Methode_Keuze,4)="Geen",Methode_Keuze=""),"",AND(W1387&lt;&gt;"",F1387&lt;&gt;"Arbeidskosten"),W1387*VLOOKUP(F1387,Tb_ProjectKosten[],MATCH(Tb_ProjectKosten[[#Headers],[Forfait_Percentage]],Tb_ProjectKosten[#Headers],0),0),AND(F1387="Arbeidskosten",G1387&lt;&gt;""),IFERROR(W1387*VLOOKUP(G1387,Tb_KostenTypen[],3,0)*VLOOKUP(F1387,Tb_ProjectKosten[],MATCH(Tb_ProjectKosten[[#Headers],[Forfait_Percentage]],Tb_ProjectKosten[#Headers],0),0),""),W1387 &lt;=0,0),"")</f>
        <v/>
      </c>
      <c r="AA1387" s="314" t="str" cm="1">
        <f t="array" aca="1" ref="AA1387" ca="1">IFERROR(_xlfn.IFS(OR(F1387="",LEFT(Methode_Keuze,4)="Geen",Methode_Keuze=""),"",AND(X1387&lt;&gt;"",F1387&lt;&gt;"Arbeidskosten"),X1387*VLOOKUP(F1387,Tb_ProjectKosten[],MATCH(Tb_ProjectKosten[[#Headers],[Forfait_Percentage]],Tb_ProjectKosten[#Headers],0),0),AND(F1387="Arbeidskosten",G1387&lt;&gt;""),IFERROR(X1387*VLOOKUP(G1387,Tb_KostenTypen[],3,0)*VLOOKUP(F1387,Tb_ProjectKosten[],MATCH(Tb_ProjectKosten[[#Headers],[Forfait_Percentage]],Tb_ProjectKosten[#Headers],0),0),""),X1387 &lt;=0,0),"")</f>
        <v/>
      </c>
      <c r="AB1387" s="314" t="str">
        <f t="shared" ca="1" si="87"/>
        <v/>
      </c>
      <c r="AC1387" s="322"/>
      <c r="AD1387" s="315"/>
      <c r="AE1387" s="32" t="str" cm="1">
        <f t="array" ref="AE1387">IFERROR(IF(INDEX(SubsidieTabel!$AD$1:$AG$12,MATCH($F1387,SubsidieTabel!$AD$1:$AD$12,0),IFERROR(MATCH(Methode_Keuze,SubsidieTabel!$AD$1:$AG$1,0),2))&lt;&gt;1=TRUE,"ja",""),"")</f>
        <v/>
      </c>
    </row>
    <row r="1388" spans="1:31" x14ac:dyDescent="0.25">
      <c r="A1388" s="316"/>
      <c r="B1388" s="317" t="str">
        <f>IF(A1388&lt;&gt;"",_xlfn.MAXIFS($B$1:B1387,$A$1:A1387,A1388)+1,"")</f>
        <v/>
      </c>
      <c r="C1388" s="296"/>
      <c r="D1388" s="296"/>
      <c r="E1388" s="296"/>
      <c r="F1388" s="296"/>
      <c r="G1388" s="326"/>
      <c r="H1388" s="324"/>
      <c r="I1388" s="325"/>
      <c r="J1388" s="325"/>
      <c r="K1388" s="318"/>
      <c r="L1388" s="318"/>
      <c r="M1388" s="319" t="str">
        <f>IFERROR(VLOOKUP(H1388,Lijsten!$H$1:$I$100,2,0),"")</f>
        <v/>
      </c>
      <c r="N1388" s="319" t="str">
        <f ca="1">IFERROR(IF(VLOOKUP(F1388,Kostentypen!$A$3:$E$21,3,0)=0,"",IF(OR(F1388="Arbeidskosten",F1388="Vergoeding"),VLOOKUP(G1388,Tb_KostenTypen[],2,0),VLOOKUP(F1388,Kostentypen!$A$3:$E$20,3,0))),"")</f>
        <v/>
      </c>
      <c r="O1388" s="320" t="str" cm="1">
        <f t="array" ref="O1388">_xlfn.IFNA(IF(INDEX(Tb_KostenOptiesDB[],MATCH($F1388,Tb_KostenOptiesDB[KostenOptie],0),IFERROR(MATCH(Methode_Keuze,Tb_KostenOptiesDB[#Headers],0),2))=1,_xlfn.SWITCH($N1388,"Uurtarief",IF(OR(AND(RIGHT($F1388,3)="IKS",VLOOKUP($M1388,DB_Loonkosten,2,0)="Ja"),AND(RIGHT($F1388,3)&lt;&gt;"IKS",VLOOKUP($M1388,DB_Loonkosten,2,0)="Nee")),IFERROR(VLOOKUP($M1388,DB_Loonkosten,24,0),""),0),"Vast tarief",IF(LEFT(F1388,8)="Bijdrage",VLOOKUP($F1388,Tb_KostenTypen[],MATCH(Lijsten!$P$1,Tb_KostenTypen[#Headers],0),0),VLOOKUP($G1388,Lijsten!L:P,MATCH(Lijsten!$P$1,Kop_Tarief_Vast,0),0))),""),"")</f>
        <v/>
      </c>
      <c r="P1388" s="320" t="str" cm="1">
        <f t="array" ref="P1388">_xlfn.IFNA(IF(INDEX(Tb_KostenOptiesDB[],MATCH($F1388,Tb_KostenOptiesDB[KostenOptie],0),IFERROR(MATCH(Methode_Keuze,Tb_KostenOptiesDB[#Headers],0),2))=1,_xlfn.SWITCH($N1388,"Uurtarief",IF(OR(AND(RIGHT($F1388,3)="IKS",VLOOKUP($M1388,DB_Loonkosten,2,0)="Ja"),AND(RIGHT($F1388,3)&lt;&gt;"IKS",VLOOKUP($M1388,DB_Loonkosten,2,0)="Nee")),IFERROR(VLOOKUP($M1388,DB_Loonkosten,25,0),""),0),"Vast tarief",IF(LEFT(F1388,8)="Bijdrage",VLOOKUP($F1388,Tb_KostenTypen[],MATCH(Lijsten!$P$1,Tb_KostenTypen[#Headers],0),0),VLOOKUP($G1388,Lijsten!L:P,MATCH(Lijsten!$P$1,Kop_Tarief_Vast,0),0))),""),"")</f>
        <v/>
      </c>
      <c r="Q1388" s="359"/>
      <c r="R1388" s="359"/>
      <c r="S1388" s="321"/>
      <c r="T1388" s="321"/>
      <c r="U1388" s="373" t="str">
        <f t="shared" si="84"/>
        <v/>
      </c>
      <c r="V1388" s="314" t="str">
        <f t="shared" si="85"/>
        <v/>
      </c>
      <c r="W1388" s="314" t="str" cm="1">
        <f t="array" aca="1" ref="W1388" ca="1">IFERROR(IF(AE1388&lt;&gt;"ja",_xlfn.IFNA(_xlfn.IFS(AND(O1388&lt;&gt;"",F1388&lt;&gt;"",RIGHT($N1388,6)="tarief",F1388="Vergoeding"),SUM(O1388)*FLOOR(SUM(Q1388),0.0001),AND(O1388&lt;&gt;"",F1388&lt;&gt;"",RIGHT($N1388,6)="tarief"),SUM(O1388)*FLOOR(SUM(Q1388),0.01),S1388&gt;0,IF(F1388&lt;&gt;"",FLOOR(SUM(S1388),0.01),"")),""),""),"")</f>
        <v/>
      </c>
      <c r="X1388" s="314" t="str" cm="1">
        <f t="array" aca="1" ref="X1388" ca="1">IFERROR(IF(AE1388&lt;&gt;"ja",_xlfn.IFNA(_xlfn.IFS(AND(P1388&lt;&gt;"",R1388&lt;&gt;"",RIGHT($N1388,6)="tarief",F1388="Vergoeding"),SUM(P1388)*FLOOR(SUM(R1388),0.0001),AND(P1388&lt;&gt;"",R1388&lt;&gt;"",RIGHT($N1388,6)="tarief"),P1388*FLOOR(R1388,0.01),T1388&gt;0,FLOOR(SUM(T1388),0.01)),""),""),"")</f>
        <v/>
      </c>
      <c r="Y1388" s="314" t="str">
        <f t="shared" ca="1" si="86"/>
        <v/>
      </c>
      <c r="Z1388" s="314" t="str" cm="1">
        <f t="array" aca="1" ref="Z1388" ca="1">IFERROR(_xlfn.IFS(OR(F1388="",LEFT(Methode_Keuze,4)="Geen",Methode_Keuze=""),"",AND(W1388&lt;&gt;"",F1388&lt;&gt;"Arbeidskosten"),W1388*VLOOKUP(F1388,Tb_ProjectKosten[],MATCH(Tb_ProjectKosten[[#Headers],[Forfait_Percentage]],Tb_ProjectKosten[#Headers],0),0),AND(F1388="Arbeidskosten",G1388&lt;&gt;""),IFERROR(W1388*VLOOKUP(G1388,Tb_KostenTypen[],3,0)*VLOOKUP(F1388,Tb_ProjectKosten[],MATCH(Tb_ProjectKosten[[#Headers],[Forfait_Percentage]],Tb_ProjectKosten[#Headers],0),0),""),W1388 &lt;=0,0),"")</f>
        <v/>
      </c>
      <c r="AA1388" s="314" t="str" cm="1">
        <f t="array" aca="1" ref="AA1388" ca="1">IFERROR(_xlfn.IFS(OR(F1388="",LEFT(Methode_Keuze,4)="Geen",Methode_Keuze=""),"",AND(X1388&lt;&gt;"",F1388&lt;&gt;"Arbeidskosten"),X1388*VLOOKUP(F1388,Tb_ProjectKosten[],MATCH(Tb_ProjectKosten[[#Headers],[Forfait_Percentage]],Tb_ProjectKosten[#Headers],0),0),AND(F1388="Arbeidskosten",G1388&lt;&gt;""),IFERROR(X1388*VLOOKUP(G1388,Tb_KostenTypen[],3,0)*VLOOKUP(F1388,Tb_ProjectKosten[],MATCH(Tb_ProjectKosten[[#Headers],[Forfait_Percentage]],Tb_ProjectKosten[#Headers],0),0),""),X1388 &lt;=0,0),"")</f>
        <v/>
      </c>
      <c r="AB1388" s="314" t="str">
        <f t="shared" ca="1" si="87"/>
        <v/>
      </c>
      <c r="AC1388" s="322"/>
      <c r="AD1388" s="315"/>
      <c r="AE1388" s="32" t="str" cm="1">
        <f t="array" ref="AE1388">IFERROR(IF(INDEX(SubsidieTabel!$AD$1:$AG$12,MATCH($F1388,SubsidieTabel!$AD$1:$AD$12,0),IFERROR(MATCH(Methode_Keuze,SubsidieTabel!$AD$1:$AG$1,0),2))&lt;&gt;1=TRUE,"ja",""),"")</f>
        <v/>
      </c>
    </row>
    <row r="1389" spans="1:31" x14ac:dyDescent="0.25">
      <c r="A1389" s="316"/>
      <c r="B1389" s="317" t="str">
        <f>IF(A1389&lt;&gt;"",_xlfn.MAXIFS($B$1:B1388,$A$1:A1388,A1389)+1,"")</f>
        <v/>
      </c>
      <c r="C1389" s="296"/>
      <c r="D1389" s="296"/>
      <c r="E1389" s="296"/>
      <c r="F1389" s="296"/>
      <c r="G1389" s="326"/>
      <c r="H1389" s="324"/>
      <c r="I1389" s="325"/>
      <c r="J1389" s="325"/>
      <c r="K1389" s="318"/>
      <c r="L1389" s="318"/>
      <c r="M1389" s="319" t="str">
        <f>IFERROR(VLOOKUP(H1389,Lijsten!$H$1:$I$100,2,0),"")</f>
        <v/>
      </c>
      <c r="N1389" s="319" t="str">
        <f ca="1">IFERROR(IF(VLOOKUP(F1389,Kostentypen!$A$3:$E$21,3,0)=0,"",IF(OR(F1389="Arbeidskosten",F1389="Vergoeding"),VLOOKUP(G1389,Tb_KostenTypen[],2,0),VLOOKUP(F1389,Kostentypen!$A$3:$E$20,3,0))),"")</f>
        <v/>
      </c>
      <c r="O1389" s="320" t="str" cm="1">
        <f t="array" ref="O1389">_xlfn.IFNA(IF(INDEX(Tb_KostenOptiesDB[],MATCH($F1389,Tb_KostenOptiesDB[KostenOptie],0),IFERROR(MATCH(Methode_Keuze,Tb_KostenOptiesDB[#Headers],0),2))=1,_xlfn.SWITCH($N1389,"Uurtarief",IF(OR(AND(RIGHT($F1389,3)="IKS",VLOOKUP($M1389,DB_Loonkosten,2,0)="Ja"),AND(RIGHT($F1389,3)&lt;&gt;"IKS",VLOOKUP($M1389,DB_Loonkosten,2,0)="Nee")),IFERROR(VLOOKUP($M1389,DB_Loonkosten,24,0),""),0),"Vast tarief",IF(LEFT(F1389,8)="Bijdrage",VLOOKUP($F1389,Tb_KostenTypen[],MATCH(Lijsten!$P$1,Tb_KostenTypen[#Headers],0),0),VLOOKUP($G1389,Lijsten!L:P,MATCH(Lijsten!$P$1,Kop_Tarief_Vast,0),0))),""),"")</f>
        <v/>
      </c>
      <c r="P1389" s="320" t="str" cm="1">
        <f t="array" ref="P1389">_xlfn.IFNA(IF(INDEX(Tb_KostenOptiesDB[],MATCH($F1389,Tb_KostenOptiesDB[KostenOptie],0),IFERROR(MATCH(Methode_Keuze,Tb_KostenOptiesDB[#Headers],0),2))=1,_xlfn.SWITCH($N1389,"Uurtarief",IF(OR(AND(RIGHT($F1389,3)="IKS",VLOOKUP($M1389,DB_Loonkosten,2,0)="Ja"),AND(RIGHT($F1389,3)&lt;&gt;"IKS",VLOOKUP($M1389,DB_Loonkosten,2,0)="Nee")),IFERROR(VLOOKUP($M1389,DB_Loonkosten,25,0),""),0),"Vast tarief",IF(LEFT(F1389,8)="Bijdrage",VLOOKUP($F1389,Tb_KostenTypen[],MATCH(Lijsten!$P$1,Tb_KostenTypen[#Headers],0),0),VLOOKUP($G1389,Lijsten!L:P,MATCH(Lijsten!$P$1,Kop_Tarief_Vast,0),0))),""),"")</f>
        <v/>
      </c>
      <c r="Q1389" s="359"/>
      <c r="R1389" s="359"/>
      <c r="S1389" s="321"/>
      <c r="T1389" s="321"/>
      <c r="U1389" s="373" t="str">
        <f t="shared" si="84"/>
        <v/>
      </c>
      <c r="V1389" s="314" t="str">
        <f t="shared" si="85"/>
        <v/>
      </c>
      <c r="W1389" s="314" t="str" cm="1">
        <f t="array" aca="1" ref="W1389" ca="1">IFERROR(IF(AE1389&lt;&gt;"ja",_xlfn.IFNA(_xlfn.IFS(AND(O1389&lt;&gt;"",F1389&lt;&gt;"",RIGHT($N1389,6)="tarief",F1389="Vergoeding"),SUM(O1389)*FLOOR(SUM(Q1389),0.0001),AND(O1389&lt;&gt;"",F1389&lt;&gt;"",RIGHT($N1389,6)="tarief"),SUM(O1389)*FLOOR(SUM(Q1389),0.01),S1389&gt;0,IF(F1389&lt;&gt;"",FLOOR(SUM(S1389),0.01),"")),""),""),"")</f>
        <v/>
      </c>
      <c r="X1389" s="314" t="str" cm="1">
        <f t="array" aca="1" ref="X1389" ca="1">IFERROR(IF(AE1389&lt;&gt;"ja",_xlfn.IFNA(_xlfn.IFS(AND(P1389&lt;&gt;"",R1389&lt;&gt;"",RIGHT($N1389,6)="tarief",F1389="Vergoeding"),SUM(P1389)*FLOOR(SUM(R1389),0.0001),AND(P1389&lt;&gt;"",R1389&lt;&gt;"",RIGHT($N1389,6)="tarief"),P1389*FLOOR(R1389,0.01),T1389&gt;0,FLOOR(SUM(T1389),0.01)),""),""),"")</f>
        <v/>
      </c>
      <c r="Y1389" s="314" t="str">
        <f t="shared" ca="1" si="86"/>
        <v/>
      </c>
      <c r="Z1389" s="314" t="str" cm="1">
        <f t="array" aca="1" ref="Z1389" ca="1">IFERROR(_xlfn.IFS(OR(F1389="",LEFT(Methode_Keuze,4)="Geen",Methode_Keuze=""),"",AND(W1389&lt;&gt;"",F1389&lt;&gt;"Arbeidskosten"),W1389*VLOOKUP(F1389,Tb_ProjectKosten[],MATCH(Tb_ProjectKosten[[#Headers],[Forfait_Percentage]],Tb_ProjectKosten[#Headers],0),0),AND(F1389="Arbeidskosten",G1389&lt;&gt;""),IFERROR(W1389*VLOOKUP(G1389,Tb_KostenTypen[],3,0)*VLOOKUP(F1389,Tb_ProjectKosten[],MATCH(Tb_ProjectKosten[[#Headers],[Forfait_Percentage]],Tb_ProjectKosten[#Headers],0),0),""),W1389 &lt;=0,0),"")</f>
        <v/>
      </c>
      <c r="AA1389" s="314" t="str" cm="1">
        <f t="array" aca="1" ref="AA1389" ca="1">IFERROR(_xlfn.IFS(OR(F1389="",LEFT(Methode_Keuze,4)="Geen",Methode_Keuze=""),"",AND(X1389&lt;&gt;"",F1389&lt;&gt;"Arbeidskosten"),X1389*VLOOKUP(F1389,Tb_ProjectKosten[],MATCH(Tb_ProjectKosten[[#Headers],[Forfait_Percentage]],Tb_ProjectKosten[#Headers],0),0),AND(F1389="Arbeidskosten",G1389&lt;&gt;""),IFERROR(X1389*VLOOKUP(G1389,Tb_KostenTypen[],3,0)*VLOOKUP(F1389,Tb_ProjectKosten[],MATCH(Tb_ProjectKosten[[#Headers],[Forfait_Percentage]],Tb_ProjectKosten[#Headers],0),0),""),X1389 &lt;=0,0),"")</f>
        <v/>
      </c>
      <c r="AB1389" s="314" t="str">
        <f t="shared" ca="1" si="87"/>
        <v/>
      </c>
      <c r="AC1389" s="322"/>
      <c r="AD1389" s="315"/>
      <c r="AE1389" s="32" t="str" cm="1">
        <f t="array" ref="AE1389">IFERROR(IF(INDEX(SubsidieTabel!$AD$1:$AG$12,MATCH($F1389,SubsidieTabel!$AD$1:$AD$12,0),IFERROR(MATCH(Methode_Keuze,SubsidieTabel!$AD$1:$AG$1,0),2))&lt;&gt;1=TRUE,"ja",""),"")</f>
        <v/>
      </c>
    </row>
    <row r="1390" spans="1:31" x14ac:dyDescent="0.25">
      <c r="A1390" s="316"/>
      <c r="B1390" s="317" t="str">
        <f>IF(A1390&lt;&gt;"",_xlfn.MAXIFS($B$1:B1389,$A$1:A1389,A1390)+1,"")</f>
        <v/>
      </c>
      <c r="C1390" s="296"/>
      <c r="D1390" s="296"/>
      <c r="E1390" s="296"/>
      <c r="F1390" s="296"/>
      <c r="G1390" s="326"/>
      <c r="H1390" s="324"/>
      <c r="I1390" s="325"/>
      <c r="J1390" s="325"/>
      <c r="K1390" s="318"/>
      <c r="L1390" s="318"/>
      <c r="M1390" s="319" t="str">
        <f>IFERROR(VLOOKUP(H1390,Lijsten!$H$1:$I$100,2,0),"")</f>
        <v/>
      </c>
      <c r="N1390" s="319" t="str">
        <f ca="1">IFERROR(IF(VLOOKUP(F1390,Kostentypen!$A$3:$E$21,3,0)=0,"",IF(OR(F1390="Arbeidskosten",F1390="Vergoeding"),VLOOKUP(G1390,Tb_KostenTypen[],2,0),VLOOKUP(F1390,Kostentypen!$A$3:$E$20,3,0))),"")</f>
        <v/>
      </c>
      <c r="O1390" s="320" t="str" cm="1">
        <f t="array" ref="O1390">_xlfn.IFNA(IF(INDEX(Tb_KostenOptiesDB[],MATCH($F1390,Tb_KostenOptiesDB[KostenOptie],0),IFERROR(MATCH(Methode_Keuze,Tb_KostenOptiesDB[#Headers],0),2))=1,_xlfn.SWITCH($N1390,"Uurtarief",IF(OR(AND(RIGHT($F1390,3)="IKS",VLOOKUP($M1390,DB_Loonkosten,2,0)="Ja"),AND(RIGHT($F1390,3)&lt;&gt;"IKS",VLOOKUP($M1390,DB_Loonkosten,2,0)="Nee")),IFERROR(VLOOKUP($M1390,DB_Loonkosten,24,0),""),0),"Vast tarief",IF(LEFT(F1390,8)="Bijdrage",VLOOKUP($F1390,Tb_KostenTypen[],MATCH(Lijsten!$P$1,Tb_KostenTypen[#Headers],0),0),VLOOKUP($G1390,Lijsten!L:P,MATCH(Lijsten!$P$1,Kop_Tarief_Vast,0),0))),""),"")</f>
        <v/>
      </c>
      <c r="P1390" s="320" t="str" cm="1">
        <f t="array" ref="P1390">_xlfn.IFNA(IF(INDEX(Tb_KostenOptiesDB[],MATCH($F1390,Tb_KostenOptiesDB[KostenOptie],0),IFERROR(MATCH(Methode_Keuze,Tb_KostenOptiesDB[#Headers],0),2))=1,_xlfn.SWITCH($N1390,"Uurtarief",IF(OR(AND(RIGHT($F1390,3)="IKS",VLOOKUP($M1390,DB_Loonkosten,2,0)="Ja"),AND(RIGHT($F1390,3)&lt;&gt;"IKS",VLOOKUP($M1390,DB_Loonkosten,2,0)="Nee")),IFERROR(VLOOKUP($M1390,DB_Loonkosten,25,0),""),0),"Vast tarief",IF(LEFT(F1390,8)="Bijdrage",VLOOKUP($F1390,Tb_KostenTypen[],MATCH(Lijsten!$P$1,Tb_KostenTypen[#Headers],0),0),VLOOKUP($G1390,Lijsten!L:P,MATCH(Lijsten!$P$1,Kop_Tarief_Vast,0),0))),""),"")</f>
        <v/>
      </c>
      <c r="Q1390" s="359"/>
      <c r="R1390" s="359"/>
      <c r="S1390" s="321"/>
      <c r="T1390" s="321"/>
      <c r="U1390" s="373" t="str">
        <f t="shared" si="84"/>
        <v/>
      </c>
      <c r="V1390" s="314" t="str">
        <f t="shared" si="85"/>
        <v/>
      </c>
      <c r="W1390" s="314" t="str" cm="1">
        <f t="array" aca="1" ref="W1390" ca="1">IFERROR(IF(AE1390&lt;&gt;"ja",_xlfn.IFNA(_xlfn.IFS(AND(O1390&lt;&gt;"",F1390&lt;&gt;"",RIGHT($N1390,6)="tarief",F1390="Vergoeding"),SUM(O1390)*FLOOR(SUM(Q1390),0.0001),AND(O1390&lt;&gt;"",F1390&lt;&gt;"",RIGHT($N1390,6)="tarief"),SUM(O1390)*FLOOR(SUM(Q1390),0.01),S1390&gt;0,IF(F1390&lt;&gt;"",FLOOR(SUM(S1390),0.01),"")),""),""),"")</f>
        <v/>
      </c>
      <c r="X1390" s="314" t="str" cm="1">
        <f t="array" aca="1" ref="X1390" ca="1">IFERROR(IF(AE1390&lt;&gt;"ja",_xlfn.IFNA(_xlfn.IFS(AND(P1390&lt;&gt;"",R1390&lt;&gt;"",RIGHT($N1390,6)="tarief",F1390="Vergoeding"),SUM(P1390)*FLOOR(SUM(R1390),0.0001),AND(P1390&lt;&gt;"",R1390&lt;&gt;"",RIGHT($N1390,6)="tarief"),P1390*FLOOR(R1390,0.01),T1390&gt;0,FLOOR(SUM(T1390),0.01)),""),""),"")</f>
        <v/>
      </c>
      <c r="Y1390" s="314" t="str">
        <f t="shared" ca="1" si="86"/>
        <v/>
      </c>
      <c r="Z1390" s="314" t="str" cm="1">
        <f t="array" aca="1" ref="Z1390" ca="1">IFERROR(_xlfn.IFS(OR(F1390="",LEFT(Methode_Keuze,4)="Geen",Methode_Keuze=""),"",AND(W1390&lt;&gt;"",F1390&lt;&gt;"Arbeidskosten"),W1390*VLOOKUP(F1390,Tb_ProjectKosten[],MATCH(Tb_ProjectKosten[[#Headers],[Forfait_Percentage]],Tb_ProjectKosten[#Headers],0),0),AND(F1390="Arbeidskosten",G1390&lt;&gt;""),IFERROR(W1390*VLOOKUP(G1390,Tb_KostenTypen[],3,0)*VLOOKUP(F1390,Tb_ProjectKosten[],MATCH(Tb_ProjectKosten[[#Headers],[Forfait_Percentage]],Tb_ProjectKosten[#Headers],0),0),""),W1390 &lt;=0,0),"")</f>
        <v/>
      </c>
      <c r="AA1390" s="314" t="str" cm="1">
        <f t="array" aca="1" ref="AA1390" ca="1">IFERROR(_xlfn.IFS(OR(F1390="",LEFT(Methode_Keuze,4)="Geen",Methode_Keuze=""),"",AND(X1390&lt;&gt;"",F1390&lt;&gt;"Arbeidskosten"),X1390*VLOOKUP(F1390,Tb_ProjectKosten[],MATCH(Tb_ProjectKosten[[#Headers],[Forfait_Percentage]],Tb_ProjectKosten[#Headers],0),0),AND(F1390="Arbeidskosten",G1390&lt;&gt;""),IFERROR(X1390*VLOOKUP(G1390,Tb_KostenTypen[],3,0)*VLOOKUP(F1390,Tb_ProjectKosten[],MATCH(Tb_ProjectKosten[[#Headers],[Forfait_Percentage]],Tb_ProjectKosten[#Headers],0),0),""),X1390 &lt;=0,0),"")</f>
        <v/>
      </c>
      <c r="AB1390" s="314" t="str">
        <f t="shared" ca="1" si="87"/>
        <v/>
      </c>
      <c r="AC1390" s="322"/>
      <c r="AD1390" s="315"/>
      <c r="AE1390" s="32" t="str" cm="1">
        <f t="array" ref="AE1390">IFERROR(IF(INDEX(SubsidieTabel!$AD$1:$AG$12,MATCH($F1390,SubsidieTabel!$AD$1:$AD$12,0),IFERROR(MATCH(Methode_Keuze,SubsidieTabel!$AD$1:$AG$1,0),2))&lt;&gt;1=TRUE,"ja",""),"")</f>
        <v/>
      </c>
    </row>
    <row r="1391" spans="1:31" x14ac:dyDescent="0.25">
      <c r="A1391" s="316"/>
      <c r="B1391" s="317" t="str">
        <f>IF(A1391&lt;&gt;"",_xlfn.MAXIFS($B$1:B1390,$A$1:A1390,A1391)+1,"")</f>
        <v/>
      </c>
      <c r="C1391" s="296"/>
      <c r="D1391" s="296"/>
      <c r="E1391" s="296"/>
      <c r="F1391" s="296"/>
      <c r="G1391" s="326"/>
      <c r="H1391" s="324"/>
      <c r="I1391" s="325"/>
      <c r="J1391" s="325"/>
      <c r="K1391" s="318"/>
      <c r="L1391" s="318"/>
      <c r="M1391" s="319" t="str">
        <f>IFERROR(VLOOKUP(H1391,Lijsten!$H$1:$I$100,2,0),"")</f>
        <v/>
      </c>
      <c r="N1391" s="319" t="str">
        <f ca="1">IFERROR(IF(VLOOKUP(F1391,Kostentypen!$A$3:$E$21,3,0)=0,"",IF(OR(F1391="Arbeidskosten",F1391="Vergoeding"),VLOOKUP(G1391,Tb_KostenTypen[],2,0),VLOOKUP(F1391,Kostentypen!$A$3:$E$20,3,0))),"")</f>
        <v/>
      </c>
      <c r="O1391" s="320" t="str" cm="1">
        <f t="array" ref="O1391">_xlfn.IFNA(IF(INDEX(Tb_KostenOptiesDB[],MATCH($F1391,Tb_KostenOptiesDB[KostenOptie],0),IFERROR(MATCH(Methode_Keuze,Tb_KostenOptiesDB[#Headers],0),2))=1,_xlfn.SWITCH($N1391,"Uurtarief",IF(OR(AND(RIGHT($F1391,3)="IKS",VLOOKUP($M1391,DB_Loonkosten,2,0)="Ja"),AND(RIGHT($F1391,3)&lt;&gt;"IKS",VLOOKUP($M1391,DB_Loonkosten,2,0)="Nee")),IFERROR(VLOOKUP($M1391,DB_Loonkosten,24,0),""),0),"Vast tarief",IF(LEFT(F1391,8)="Bijdrage",VLOOKUP($F1391,Tb_KostenTypen[],MATCH(Lijsten!$P$1,Tb_KostenTypen[#Headers],0),0),VLOOKUP($G1391,Lijsten!L:P,MATCH(Lijsten!$P$1,Kop_Tarief_Vast,0),0))),""),"")</f>
        <v/>
      </c>
      <c r="P1391" s="320" t="str" cm="1">
        <f t="array" ref="P1391">_xlfn.IFNA(IF(INDEX(Tb_KostenOptiesDB[],MATCH($F1391,Tb_KostenOptiesDB[KostenOptie],0),IFERROR(MATCH(Methode_Keuze,Tb_KostenOptiesDB[#Headers],0),2))=1,_xlfn.SWITCH($N1391,"Uurtarief",IF(OR(AND(RIGHT($F1391,3)="IKS",VLOOKUP($M1391,DB_Loonkosten,2,0)="Ja"),AND(RIGHT($F1391,3)&lt;&gt;"IKS",VLOOKUP($M1391,DB_Loonkosten,2,0)="Nee")),IFERROR(VLOOKUP($M1391,DB_Loonkosten,25,0),""),0),"Vast tarief",IF(LEFT(F1391,8)="Bijdrage",VLOOKUP($F1391,Tb_KostenTypen[],MATCH(Lijsten!$P$1,Tb_KostenTypen[#Headers],0),0),VLOOKUP($G1391,Lijsten!L:P,MATCH(Lijsten!$P$1,Kop_Tarief_Vast,0),0))),""),"")</f>
        <v/>
      </c>
      <c r="Q1391" s="359"/>
      <c r="R1391" s="359"/>
      <c r="S1391" s="321"/>
      <c r="T1391" s="321"/>
      <c r="U1391" s="373" t="str">
        <f t="shared" si="84"/>
        <v/>
      </c>
      <c r="V1391" s="314" t="str">
        <f t="shared" si="85"/>
        <v/>
      </c>
      <c r="W1391" s="314" t="str" cm="1">
        <f t="array" aca="1" ref="W1391" ca="1">IFERROR(IF(AE1391&lt;&gt;"ja",_xlfn.IFNA(_xlfn.IFS(AND(O1391&lt;&gt;"",F1391&lt;&gt;"",RIGHT($N1391,6)="tarief",F1391="Vergoeding"),SUM(O1391)*FLOOR(SUM(Q1391),0.0001),AND(O1391&lt;&gt;"",F1391&lt;&gt;"",RIGHT($N1391,6)="tarief"),SUM(O1391)*FLOOR(SUM(Q1391),0.01),S1391&gt;0,IF(F1391&lt;&gt;"",FLOOR(SUM(S1391),0.01),"")),""),""),"")</f>
        <v/>
      </c>
      <c r="X1391" s="314" t="str" cm="1">
        <f t="array" aca="1" ref="X1391" ca="1">IFERROR(IF(AE1391&lt;&gt;"ja",_xlfn.IFNA(_xlfn.IFS(AND(P1391&lt;&gt;"",R1391&lt;&gt;"",RIGHT($N1391,6)="tarief",F1391="Vergoeding"),SUM(P1391)*FLOOR(SUM(R1391),0.0001),AND(P1391&lt;&gt;"",R1391&lt;&gt;"",RIGHT($N1391,6)="tarief"),P1391*FLOOR(R1391,0.01),T1391&gt;0,FLOOR(SUM(T1391),0.01)),""),""),"")</f>
        <v/>
      </c>
      <c r="Y1391" s="314" t="str">
        <f t="shared" ca="1" si="86"/>
        <v/>
      </c>
      <c r="Z1391" s="314" t="str" cm="1">
        <f t="array" aca="1" ref="Z1391" ca="1">IFERROR(_xlfn.IFS(OR(F1391="",LEFT(Methode_Keuze,4)="Geen",Methode_Keuze=""),"",AND(W1391&lt;&gt;"",F1391&lt;&gt;"Arbeidskosten"),W1391*VLOOKUP(F1391,Tb_ProjectKosten[],MATCH(Tb_ProjectKosten[[#Headers],[Forfait_Percentage]],Tb_ProjectKosten[#Headers],0),0),AND(F1391="Arbeidskosten",G1391&lt;&gt;""),IFERROR(W1391*VLOOKUP(G1391,Tb_KostenTypen[],3,0)*VLOOKUP(F1391,Tb_ProjectKosten[],MATCH(Tb_ProjectKosten[[#Headers],[Forfait_Percentage]],Tb_ProjectKosten[#Headers],0),0),""),W1391 &lt;=0,0),"")</f>
        <v/>
      </c>
      <c r="AA1391" s="314" t="str" cm="1">
        <f t="array" aca="1" ref="AA1391" ca="1">IFERROR(_xlfn.IFS(OR(F1391="",LEFT(Methode_Keuze,4)="Geen",Methode_Keuze=""),"",AND(X1391&lt;&gt;"",F1391&lt;&gt;"Arbeidskosten"),X1391*VLOOKUP(F1391,Tb_ProjectKosten[],MATCH(Tb_ProjectKosten[[#Headers],[Forfait_Percentage]],Tb_ProjectKosten[#Headers],0),0),AND(F1391="Arbeidskosten",G1391&lt;&gt;""),IFERROR(X1391*VLOOKUP(G1391,Tb_KostenTypen[],3,0)*VLOOKUP(F1391,Tb_ProjectKosten[],MATCH(Tb_ProjectKosten[[#Headers],[Forfait_Percentage]],Tb_ProjectKosten[#Headers],0),0),""),X1391 &lt;=0,0),"")</f>
        <v/>
      </c>
      <c r="AB1391" s="314" t="str">
        <f t="shared" ca="1" si="87"/>
        <v/>
      </c>
      <c r="AC1391" s="322"/>
      <c r="AD1391" s="315"/>
      <c r="AE1391" s="32" t="str" cm="1">
        <f t="array" ref="AE1391">IFERROR(IF(INDEX(SubsidieTabel!$AD$1:$AG$12,MATCH($F1391,SubsidieTabel!$AD$1:$AD$12,0),IFERROR(MATCH(Methode_Keuze,SubsidieTabel!$AD$1:$AG$1,0),2))&lt;&gt;1=TRUE,"ja",""),"")</f>
        <v/>
      </c>
    </row>
    <row r="1392" spans="1:31" x14ac:dyDescent="0.25">
      <c r="A1392" s="316"/>
      <c r="B1392" s="317" t="str">
        <f>IF(A1392&lt;&gt;"",_xlfn.MAXIFS($B$1:B1391,$A$1:A1391,A1392)+1,"")</f>
        <v/>
      </c>
      <c r="C1392" s="296"/>
      <c r="D1392" s="296"/>
      <c r="E1392" s="296"/>
      <c r="F1392" s="296"/>
      <c r="G1392" s="326"/>
      <c r="H1392" s="324"/>
      <c r="I1392" s="325"/>
      <c r="J1392" s="325"/>
      <c r="K1392" s="318"/>
      <c r="L1392" s="318"/>
      <c r="M1392" s="319" t="str">
        <f>IFERROR(VLOOKUP(H1392,Lijsten!$H$1:$I$100,2,0),"")</f>
        <v/>
      </c>
      <c r="N1392" s="319" t="str">
        <f ca="1">IFERROR(IF(VLOOKUP(F1392,Kostentypen!$A$3:$E$21,3,0)=0,"",IF(OR(F1392="Arbeidskosten",F1392="Vergoeding"),VLOOKUP(G1392,Tb_KostenTypen[],2,0),VLOOKUP(F1392,Kostentypen!$A$3:$E$20,3,0))),"")</f>
        <v/>
      </c>
      <c r="O1392" s="320" t="str" cm="1">
        <f t="array" ref="O1392">_xlfn.IFNA(IF(INDEX(Tb_KostenOptiesDB[],MATCH($F1392,Tb_KostenOptiesDB[KostenOptie],0),IFERROR(MATCH(Methode_Keuze,Tb_KostenOptiesDB[#Headers],0),2))=1,_xlfn.SWITCH($N1392,"Uurtarief",IF(OR(AND(RIGHT($F1392,3)="IKS",VLOOKUP($M1392,DB_Loonkosten,2,0)="Ja"),AND(RIGHT($F1392,3)&lt;&gt;"IKS",VLOOKUP($M1392,DB_Loonkosten,2,0)="Nee")),IFERROR(VLOOKUP($M1392,DB_Loonkosten,24,0),""),0),"Vast tarief",IF(LEFT(F1392,8)="Bijdrage",VLOOKUP($F1392,Tb_KostenTypen[],MATCH(Lijsten!$P$1,Tb_KostenTypen[#Headers],0),0),VLOOKUP($G1392,Lijsten!L:P,MATCH(Lijsten!$P$1,Kop_Tarief_Vast,0),0))),""),"")</f>
        <v/>
      </c>
      <c r="P1392" s="320" t="str" cm="1">
        <f t="array" ref="P1392">_xlfn.IFNA(IF(INDEX(Tb_KostenOptiesDB[],MATCH($F1392,Tb_KostenOptiesDB[KostenOptie],0),IFERROR(MATCH(Methode_Keuze,Tb_KostenOptiesDB[#Headers],0),2))=1,_xlfn.SWITCH($N1392,"Uurtarief",IF(OR(AND(RIGHT($F1392,3)="IKS",VLOOKUP($M1392,DB_Loonkosten,2,0)="Ja"),AND(RIGHT($F1392,3)&lt;&gt;"IKS",VLOOKUP($M1392,DB_Loonkosten,2,0)="Nee")),IFERROR(VLOOKUP($M1392,DB_Loonkosten,25,0),""),0),"Vast tarief",IF(LEFT(F1392,8)="Bijdrage",VLOOKUP($F1392,Tb_KostenTypen[],MATCH(Lijsten!$P$1,Tb_KostenTypen[#Headers],0),0),VLOOKUP($G1392,Lijsten!L:P,MATCH(Lijsten!$P$1,Kop_Tarief_Vast,0),0))),""),"")</f>
        <v/>
      </c>
      <c r="Q1392" s="359"/>
      <c r="R1392" s="359"/>
      <c r="S1392" s="321"/>
      <c r="T1392" s="321"/>
      <c r="U1392" s="373" t="str">
        <f t="shared" si="84"/>
        <v/>
      </c>
      <c r="V1392" s="314" t="str">
        <f t="shared" si="85"/>
        <v/>
      </c>
      <c r="W1392" s="314" t="str" cm="1">
        <f t="array" aca="1" ref="W1392" ca="1">IFERROR(IF(AE1392&lt;&gt;"ja",_xlfn.IFNA(_xlfn.IFS(AND(O1392&lt;&gt;"",F1392&lt;&gt;"",RIGHT($N1392,6)="tarief",F1392="Vergoeding"),SUM(O1392)*FLOOR(SUM(Q1392),0.0001),AND(O1392&lt;&gt;"",F1392&lt;&gt;"",RIGHT($N1392,6)="tarief"),SUM(O1392)*FLOOR(SUM(Q1392),0.01),S1392&gt;0,IF(F1392&lt;&gt;"",FLOOR(SUM(S1392),0.01),"")),""),""),"")</f>
        <v/>
      </c>
      <c r="X1392" s="314" t="str" cm="1">
        <f t="array" aca="1" ref="X1392" ca="1">IFERROR(IF(AE1392&lt;&gt;"ja",_xlfn.IFNA(_xlfn.IFS(AND(P1392&lt;&gt;"",R1392&lt;&gt;"",RIGHT($N1392,6)="tarief",F1392="Vergoeding"),SUM(P1392)*FLOOR(SUM(R1392),0.0001),AND(P1392&lt;&gt;"",R1392&lt;&gt;"",RIGHT($N1392,6)="tarief"),P1392*FLOOR(R1392,0.01),T1392&gt;0,FLOOR(SUM(T1392),0.01)),""),""),"")</f>
        <v/>
      </c>
      <c r="Y1392" s="314" t="str">
        <f t="shared" ca="1" si="86"/>
        <v/>
      </c>
      <c r="Z1392" s="314" t="str" cm="1">
        <f t="array" aca="1" ref="Z1392" ca="1">IFERROR(_xlfn.IFS(OR(F1392="",LEFT(Methode_Keuze,4)="Geen",Methode_Keuze=""),"",AND(W1392&lt;&gt;"",F1392&lt;&gt;"Arbeidskosten"),W1392*VLOOKUP(F1392,Tb_ProjectKosten[],MATCH(Tb_ProjectKosten[[#Headers],[Forfait_Percentage]],Tb_ProjectKosten[#Headers],0),0),AND(F1392="Arbeidskosten",G1392&lt;&gt;""),IFERROR(W1392*VLOOKUP(G1392,Tb_KostenTypen[],3,0)*VLOOKUP(F1392,Tb_ProjectKosten[],MATCH(Tb_ProjectKosten[[#Headers],[Forfait_Percentage]],Tb_ProjectKosten[#Headers],0),0),""),W1392 &lt;=0,0),"")</f>
        <v/>
      </c>
      <c r="AA1392" s="314" t="str" cm="1">
        <f t="array" aca="1" ref="AA1392" ca="1">IFERROR(_xlfn.IFS(OR(F1392="",LEFT(Methode_Keuze,4)="Geen",Methode_Keuze=""),"",AND(X1392&lt;&gt;"",F1392&lt;&gt;"Arbeidskosten"),X1392*VLOOKUP(F1392,Tb_ProjectKosten[],MATCH(Tb_ProjectKosten[[#Headers],[Forfait_Percentage]],Tb_ProjectKosten[#Headers],0),0),AND(F1392="Arbeidskosten",G1392&lt;&gt;""),IFERROR(X1392*VLOOKUP(G1392,Tb_KostenTypen[],3,0)*VLOOKUP(F1392,Tb_ProjectKosten[],MATCH(Tb_ProjectKosten[[#Headers],[Forfait_Percentage]],Tb_ProjectKosten[#Headers],0),0),""),X1392 &lt;=0,0),"")</f>
        <v/>
      </c>
      <c r="AB1392" s="314" t="str">
        <f t="shared" ca="1" si="87"/>
        <v/>
      </c>
      <c r="AC1392" s="322"/>
      <c r="AD1392" s="315"/>
      <c r="AE1392" s="32" t="str" cm="1">
        <f t="array" ref="AE1392">IFERROR(IF(INDEX(SubsidieTabel!$AD$1:$AG$12,MATCH($F1392,SubsidieTabel!$AD$1:$AD$12,0),IFERROR(MATCH(Methode_Keuze,SubsidieTabel!$AD$1:$AG$1,0),2))&lt;&gt;1=TRUE,"ja",""),"")</f>
        <v/>
      </c>
    </row>
    <row r="1393" spans="1:31" x14ac:dyDescent="0.25">
      <c r="A1393" s="316"/>
      <c r="B1393" s="317" t="str">
        <f>IF(A1393&lt;&gt;"",_xlfn.MAXIFS($B$1:B1392,$A$1:A1392,A1393)+1,"")</f>
        <v/>
      </c>
      <c r="C1393" s="296"/>
      <c r="D1393" s="296"/>
      <c r="E1393" s="296"/>
      <c r="F1393" s="296"/>
      <c r="G1393" s="326"/>
      <c r="H1393" s="324"/>
      <c r="I1393" s="325"/>
      <c r="J1393" s="325"/>
      <c r="K1393" s="318"/>
      <c r="L1393" s="318"/>
      <c r="M1393" s="319" t="str">
        <f>IFERROR(VLOOKUP(H1393,Lijsten!$H$1:$I$100,2,0),"")</f>
        <v/>
      </c>
      <c r="N1393" s="319" t="str">
        <f ca="1">IFERROR(IF(VLOOKUP(F1393,Kostentypen!$A$3:$E$21,3,0)=0,"",IF(OR(F1393="Arbeidskosten",F1393="Vergoeding"),VLOOKUP(G1393,Tb_KostenTypen[],2,0),VLOOKUP(F1393,Kostentypen!$A$3:$E$20,3,0))),"")</f>
        <v/>
      </c>
      <c r="O1393" s="320" t="str" cm="1">
        <f t="array" ref="O1393">_xlfn.IFNA(IF(INDEX(Tb_KostenOptiesDB[],MATCH($F1393,Tb_KostenOptiesDB[KostenOptie],0),IFERROR(MATCH(Methode_Keuze,Tb_KostenOptiesDB[#Headers],0),2))=1,_xlfn.SWITCH($N1393,"Uurtarief",IF(OR(AND(RIGHT($F1393,3)="IKS",VLOOKUP($M1393,DB_Loonkosten,2,0)="Ja"),AND(RIGHT($F1393,3)&lt;&gt;"IKS",VLOOKUP($M1393,DB_Loonkosten,2,0)="Nee")),IFERROR(VLOOKUP($M1393,DB_Loonkosten,24,0),""),0),"Vast tarief",IF(LEFT(F1393,8)="Bijdrage",VLOOKUP($F1393,Tb_KostenTypen[],MATCH(Lijsten!$P$1,Tb_KostenTypen[#Headers],0),0),VLOOKUP($G1393,Lijsten!L:P,MATCH(Lijsten!$P$1,Kop_Tarief_Vast,0),0))),""),"")</f>
        <v/>
      </c>
      <c r="P1393" s="320" t="str" cm="1">
        <f t="array" ref="P1393">_xlfn.IFNA(IF(INDEX(Tb_KostenOptiesDB[],MATCH($F1393,Tb_KostenOptiesDB[KostenOptie],0),IFERROR(MATCH(Methode_Keuze,Tb_KostenOptiesDB[#Headers],0),2))=1,_xlfn.SWITCH($N1393,"Uurtarief",IF(OR(AND(RIGHT($F1393,3)="IKS",VLOOKUP($M1393,DB_Loonkosten,2,0)="Ja"),AND(RIGHT($F1393,3)&lt;&gt;"IKS",VLOOKUP($M1393,DB_Loonkosten,2,0)="Nee")),IFERROR(VLOOKUP($M1393,DB_Loonkosten,25,0),""),0),"Vast tarief",IF(LEFT(F1393,8)="Bijdrage",VLOOKUP($F1393,Tb_KostenTypen[],MATCH(Lijsten!$P$1,Tb_KostenTypen[#Headers],0),0),VLOOKUP($G1393,Lijsten!L:P,MATCH(Lijsten!$P$1,Kop_Tarief_Vast,0),0))),""),"")</f>
        <v/>
      </c>
      <c r="Q1393" s="359"/>
      <c r="R1393" s="359"/>
      <c r="S1393" s="321"/>
      <c r="T1393" s="321"/>
      <c r="U1393" s="373" t="str">
        <f t="shared" si="84"/>
        <v/>
      </c>
      <c r="V1393" s="314" t="str">
        <f t="shared" si="85"/>
        <v/>
      </c>
      <c r="W1393" s="314" t="str" cm="1">
        <f t="array" aca="1" ref="W1393" ca="1">IFERROR(IF(AE1393&lt;&gt;"ja",_xlfn.IFNA(_xlfn.IFS(AND(O1393&lt;&gt;"",F1393&lt;&gt;"",RIGHT($N1393,6)="tarief",F1393="Vergoeding"),SUM(O1393)*FLOOR(SUM(Q1393),0.0001),AND(O1393&lt;&gt;"",F1393&lt;&gt;"",RIGHT($N1393,6)="tarief"),SUM(O1393)*FLOOR(SUM(Q1393),0.01),S1393&gt;0,IF(F1393&lt;&gt;"",FLOOR(SUM(S1393),0.01),"")),""),""),"")</f>
        <v/>
      </c>
      <c r="X1393" s="314" t="str" cm="1">
        <f t="array" aca="1" ref="X1393" ca="1">IFERROR(IF(AE1393&lt;&gt;"ja",_xlfn.IFNA(_xlfn.IFS(AND(P1393&lt;&gt;"",R1393&lt;&gt;"",RIGHT($N1393,6)="tarief",F1393="Vergoeding"),SUM(P1393)*FLOOR(SUM(R1393),0.0001),AND(P1393&lt;&gt;"",R1393&lt;&gt;"",RIGHT($N1393,6)="tarief"),P1393*FLOOR(R1393,0.01),T1393&gt;0,FLOOR(SUM(T1393),0.01)),""),""),"")</f>
        <v/>
      </c>
      <c r="Y1393" s="314" t="str">
        <f t="shared" ca="1" si="86"/>
        <v/>
      </c>
      <c r="Z1393" s="314" t="str" cm="1">
        <f t="array" aca="1" ref="Z1393" ca="1">IFERROR(_xlfn.IFS(OR(F1393="",LEFT(Methode_Keuze,4)="Geen",Methode_Keuze=""),"",AND(W1393&lt;&gt;"",F1393&lt;&gt;"Arbeidskosten"),W1393*VLOOKUP(F1393,Tb_ProjectKosten[],MATCH(Tb_ProjectKosten[[#Headers],[Forfait_Percentage]],Tb_ProjectKosten[#Headers],0),0),AND(F1393="Arbeidskosten",G1393&lt;&gt;""),IFERROR(W1393*VLOOKUP(G1393,Tb_KostenTypen[],3,0)*VLOOKUP(F1393,Tb_ProjectKosten[],MATCH(Tb_ProjectKosten[[#Headers],[Forfait_Percentage]],Tb_ProjectKosten[#Headers],0),0),""),W1393 &lt;=0,0),"")</f>
        <v/>
      </c>
      <c r="AA1393" s="314" t="str" cm="1">
        <f t="array" aca="1" ref="AA1393" ca="1">IFERROR(_xlfn.IFS(OR(F1393="",LEFT(Methode_Keuze,4)="Geen",Methode_Keuze=""),"",AND(X1393&lt;&gt;"",F1393&lt;&gt;"Arbeidskosten"),X1393*VLOOKUP(F1393,Tb_ProjectKosten[],MATCH(Tb_ProjectKosten[[#Headers],[Forfait_Percentage]],Tb_ProjectKosten[#Headers],0),0),AND(F1393="Arbeidskosten",G1393&lt;&gt;""),IFERROR(X1393*VLOOKUP(G1393,Tb_KostenTypen[],3,0)*VLOOKUP(F1393,Tb_ProjectKosten[],MATCH(Tb_ProjectKosten[[#Headers],[Forfait_Percentage]],Tb_ProjectKosten[#Headers],0),0),""),X1393 &lt;=0,0),"")</f>
        <v/>
      </c>
      <c r="AB1393" s="314" t="str">
        <f t="shared" ca="1" si="87"/>
        <v/>
      </c>
      <c r="AC1393" s="322"/>
      <c r="AD1393" s="315"/>
      <c r="AE1393" s="32" t="str" cm="1">
        <f t="array" ref="AE1393">IFERROR(IF(INDEX(SubsidieTabel!$AD$1:$AG$12,MATCH($F1393,SubsidieTabel!$AD$1:$AD$12,0),IFERROR(MATCH(Methode_Keuze,SubsidieTabel!$AD$1:$AG$1,0),2))&lt;&gt;1=TRUE,"ja",""),"")</f>
        <v/>
      </c>
    </row>
    <row r="1394" spans="1:31" x14ac:dyDescent="0.25">
      <c r="A1394" s="316"/>
      <c r="B1394" s="317" t="str">
        <f>IF(A1394&lt;&gt;"",_xlfn.MAXIFS($B$1:B1393,$A$1:A1393,A1394)+1,"")</f>
        <v/>
      </c>
      <c r="C1394" s="296"/>
      <c r="D1394" s="296"/>
      <c r="E1394" s="296"/>
      <c r="F1394" s="296"/>
      <c r="G1394" s="326"/>
      <c r="H1394" s="324"/>
      <c r="I1394" s="325"/>
      <c r="J1394" s="325"/>
      <c r="K1394" s="318"/>
      <c r="L1394" s="318"/>
      <c r="M1394" s="319" t="str">
        <f>IFERROR(VLOOKUP(H1394,Lijsten!$H$1:$I$100,2,0),"")</f>
        <v/>
      </c>
      <c r="N1394" s="319" t="str">
        <f ca="1">IFERROR(IF(VLOOKUP(F1394,Kostentypen!$A$3:$E$21,3,0)=0,"",IF(OR(F1394="Arbeidskosten",F1394="Vergoeding"),VLOOKUP(G1394,Tb_KostenTypen[],2,0),VLOOKUP(F1394,Kostentypen!$A$3:$E$20,3,0))),"")</f>
        <v/>
      </c>
      <c r="O1394" s="320" t="str" cm="1">
        <f t="array" ref="O1394">_xlfn.IFNA(IF(INDEX(Tb_KostenOptiesDB[],MATCH($F1394,Tb_KostenOptiesDB[KostenOptie],0),IFERROR(MATCH(Methode_Keuze,Tb_KostenOptiesDB[#Headers],0),2))=1,_xlfn.SWITCH($N1394,"Uurtarief",IF(OR(AND(RIGHT($F1394,3)="IKS",VLOOKUP($M1394,DB_Loonkosten,2,0)="Ja"),AND(RIGHT($F1394,3)&lt;&gt;"IKS",VLOOKUP($M1394,DB_Loonkosten,2,0)="Nee")),IFERROR(VLOOKUP($M1394,DB_Loonkosten,24,0),""),0),"Vast tarief",IF(LEFT(F1394,8)="Bijdrage",VLOOKUP($F1394,Tb_KostenTypen[],MATCH(Lijsten!$P$1,Tb_KostenTypen[#Headers],0),0),VLOOKUP($G1394,Lijsten!L:P,MATCH(Lijsten!$P$1,Kop_Tarief_Vast,0),0))),""),"")</f>
        <v/>
      </c>
      <c r="P1394" s="320" t="str" cm="1">
        <f t="array" ref="P1394">_xlfn.IFNA(IF(INDEX(Tb_KostenOptiesDB[],MATCH($F1394,Tb_KostenOptiesDB[KostenOptie],0),IFERROR(MATCH(Methode_Keuze,Tb_KostenOptiesDB[#Headers],0),2))=1,_xlfn.SWITCH($N1394,"Uurtarief",IF(OR(AND(RIGHT($F1394,3)="IKS",VLOOKUP($M1394,DB_Loonkosten,2,0)="Ja"),AND(RIGHT($F1394,3)&lt;&gt;"IKS",VLOOKUP($M1394,DB_Loonkosten,2,0)="Nee")),IFERROR(VLOOKUP($M1394,DB_Loonkosten,25,0),""),0),"Vast tarief",IF(LEFT(F1394,8)="Bijdrage",VLOOKUP($F1394,Tb_KostenTypen[],MATCH(Lijsten!$P$1,Tb_KostenTypen[#Headers],0),0),VLOOKUP($G1394,Lijsten!L:P,MATCH(Lijsten!$P$1,Kop_Tarief_Vast,0),0))),""),"")</f>
        <v/>
      </c>
      <c r="Q1394" s="359"/>
      <c r="R1394" s="359"/>
      <c r="S1394" s="321"/>
      <c r="T1394" s="321"/>
      <c r="U1394" s="373" t="str">
        <f t="shared" si="84"/>
        <v/>
      </c>
      <c r="V1394" s="314" t="str">
        <f t="shared" si="85"/>
        <v/>
      </c>
      <c r="W1394" s="314" t="str" cm="1">
        <f t="array" aca="1" ref="W1394" ca="1">IFERROR(IF(AE1394&lt;&gt;"ja",_xlfn.IFNA(_xlfn.IFS(AND(O1394&lt;&gt;"",F1394&lt;&gt;"",RIGHT($N1394,6)="tarief",F1394="Vergoeding"),SUM(O1394)*FLOOR(SUM(Q1394),0.0001),AND(O1394&lt;&gt;"",F1394&lt;&gt;"",RIGHT($N1394,6)="tarief"),SUM(O1394)*FLOOR(SUM(Q1394),0.01),S1394&gt;0,IF(F1394&lt;&gt;"",FLOOR(SUM(S1394),0.01),"")),""),""),"")</f>
        <v/>
      </c>
      <c r="X1394" s="314" t="str" cm="1">
        <f t="array" aca="1" ref="X1394" ca="1">IFERROR(IF(AE1394&lt;&gt;"ja",_xlfn.IFNA(_xlfn.IFS(AND(P1394&lt;&gt;"",R1394&lt;&gt;"",RIGHT($N1394,6)="tarief",F1394="Vergoeding"),SUM(P1394)*FLOOR(SUM(R1394),0.0001),AND(P1394&lt;&gt;"",R1394&lt;&gt;"",RIGHT($N1394,6)="tarief"),P1394*FLOOR(R1394,0.01),T1394&gt;0,FLOOR(SUM(T1394),0.01)),""),""),"")</f>
        <v/>
      </c>
      <c r="Y1394" s="314" t="str">
        <f t="shared" ca="1" si="86"/>
        <v/>
      </c>
      <c r="Z1394" s="314" t="str" cm="1">
        <f t="array" aca="1" ref="Z1394" ca="1">IFERROR(_xlfn.IFS(OR(F1394="",LEFT(Methode_Keuze,4)="Geen",Methode_Keuze=""),"",AND(W1394&lt;&gt;"",F1394&lt;&gt;"Arbeidskosten"),W1394*VLOOKUP(F1394,Tb_ProjectKosten[],MATCH(Tb_ProjectKosten[[#Headers],[Forfait_Percentage]],Tb_ProjectKosten[#Headers],0),0),AND(F1394="Arbeidskosten",G1394&lt;&gt;""),IFERROR(W1394*VLOOKUP(G1394,Tb_KostenTypen[],3,0)*VLOOKUP(F1394,Tb_ProjectKosten[],MATCH(Tb_ProjectKosten[[#Headers],[Forfait_Percentage]],Tb_ProjectKosten[#Headers],0),0),""),W1394 &lt;=0,0),"")</f>
        <v/>
      </c>
      <c r="AA1394" s="314" t="str" cm="1">
        <f t="array" aca="1" ref="AA1394" ca="1">IFERROR(_xlfn.IFS(OR(F1394="",LEFT(Methode_Keuze,4)="Geen",Methode_Keuze=""),"",AND(X1394&lt;&gt;"",F1394&lt;&gt;"Arbeidskosten"),X1394*VLOOKUP(F1394,Tb_ProjectKosten[],MATCH(Tb_ProjectKosten[[#Headers],[Forfait_Percentage]],Tb_ProjectKosten[#Headers],0),0),AND(F1394="Arbeidskosten",G1394&lt;&gt;""),IFERROR(X1394*VLOOKUP(G1394,Tb_KostenTypen[],3,0)*VLOOKUP(F1394,Tb_ProjectKosten[],MATCH(Tb_ProjectKosten[[#Headers],[Forfait_Percentage]],Tb_ProjectKosten[#Headers],0),0),""),X1394 &lt;=0,0),"")</f>
        <v/>
      </c>
      <c r="AB1394" s="314" t="str">
        <f t="shared" ca="1" si="87"/>
        <v/>
      </c>
      <c r="AC1394" s="322"/>
      <c r="AD1394" s="315"/>
      <c r="AE1394" s="32" t="str" cm="1">
        <f t="array" ref="AE1394">IFERROR(IF(INDEX(SubsidieTabel!$AD$1:$AG$12,MATCH($F1394,SubsidieTabel!$AD$1:$AD$12,0),IFERROR(MATCH(Methode_Keuze,SubsidieTabel!$AD$1:$AG$1,0),2))&lt;&gt;1=TRUE,"ja",""),"")</f>
        <v/>
      </c>
    </row>
    <row r="1395" spans="1:31" x14ac:dyDescent="0.25">
      <c r="A1395" s="316"/>
      <c r="B1395" s="317" t="str">
        <f>IF(A1395&lt;&gt;"",_xlfn.MAXIFS($B$1:B1394,$A$1:A1394,A1395)+1,"")</f>
        <v/>
      </c>
      <c r="C1395" s="296"/>
      <c r="D1395" s="296"/>
      <c r="E1395" s="296"/>
      <c r="F1395" s="296"/>
      <c r="G1395" s="326"/>
      <c r="H1395" s="324"/>
      <c r="I1395" s="325"/>
      <c r="J1395" s="325"/>
      <c r="K1395" s="318"/>
      <c r="L1395" s="318"/>
      <c r="M1395" s="319" t="str">
        <f>IFERROR(VLOOKUP(H1395,Lijsten!$H$1:$I$100,2,0),"")</f>
        <v/>
      </c>
      <c r="N1395" s="319" t="str">
        <f ca="1">IFERROR(IF(VLOOKUP(F1395,Kostentypen!$A$3:$E$21,3,0)=0,"",IF(OR(F1395="Arbeidskosten",F1395="Vergoeding"),VLOOKUP(G1395,Tb_KostenTypen[],2,0),VLOOKUP(F1395,Kostentypen!$A$3:$E$20,3,0))),"")</f>
        <v/>
      </c>
      <c r="O1395" s="320" t="str" cm="1">
        <f t="array" ref="O1395">_xlfn.IFNA(IF(INDEX(Tb_KostenOptiesDB[],MATCH($F1395,Tb_KostenOptiesDB[KostenOptie],0),IFERROR(MATCH(Methode_Keuze,Tb_KostenOptiesDB[#Headers],0),2))=1,_xlfn.SWITCH($N1395,"Uurtarief",IF(OR(AND(RIGHT($F1395,3)="IKS",VLOOKUP($M1395,DB_Loonkosten,2,0)="Ja"),AND(RIGHT($F1395,3)&lt;&gt;"IKS",VLOOKUP($M1395,DB_Loonkosten,2,0)="Nee")),IFERROR(VLOOKUP($M1395,DB_Loonkosten,24,0),""),0),"Vast tarief",IF(LEFT(F1395,8)="Bijdrage",VLOOKUP($F1395,Tb_KostenTypen[],MATCH(Lijsten!$P$1,Tb_KostenTypen[#Headers],0),0),VLOOKUP($G1395,Lijsten!L:P,MATCH(Lijsten!$P$1,Kop_Tarief_Vast,0),0))),""),"")</f>
        <v/>
      </c>
      <c r="P1395" s="320" t="str" cm="1">
        <f t="array" ref="P1395">_xlfn.IFNA(IF(INDEX(Tb_KostenOptiesDB[],MATCH($F1395,Tb_KostenOptiesDB[KostenOptie],0),IFERROR(MATCH(Methode_Keuze,Tb_KostenOptiesDB[#Headers],0),2))=1,_xlfn.SWITCH($N1395,"Uurtarief",IF(OR(AND(RIGHT($F1395,3)="IKS",VLOOKUP($M1395,DB_Loonkosten,2,0)="Ja"),AND(RIGHT($F1395,3)&lt;&gt;"IKS",VLOOKUP($M1395,DB_Loonkosten,2,0)="Nee")),IFERROR(VLOOKUP($M1395,DB_Loonkosten,25,0),""),0),"Vast tarief",IF(LEFT(F1395,8)="Bijdrage",VLOOKUP($F1395,Tb_KostenTypen[],MATCH(Lijsten!$P$1,Tb_KostenTypen[#Headers],0),0),VLOOKUP($G1395,Lijsten!L:P,MATCH(Lijsten!$P$1,Kop_Tarief_Vast,0),0))),""),"")</f>
        <v/>
      </c>
      <c r="Q1395" s="359"/>
      <c r="R1395" s="359"/>
      <c r="S1395" s="321"/>
      <c r="T1395" s="321"/>
      <c r="U1395" s="373" t="str">
        <f t="shared" si="84"/>
        <v/>
      </c>
      <c r="V1395" s="314" t="str">
        <f t="shared" si="85"/>
        <v/>
      </c>
      <c r="W1395" s="314" t="str" cm="1">
        <f t="array" aca="1" ref="W1395" ca="1">IFERROR(IF(AE1395&lt;&gt;"ja",_xlfn.IFNA(_xlfn.IFS(AND(O1395&lt;&gt;"",F1395&lt;&gt;"",RIGHT($N1395,6)="tarief",F1395="Vergoeding"),SUM(O1395)*FLOOR(SUM(Q1395),0.0001),AND(O1395&lt;&gt;"",F1395&lt;&gt;"",RIGHT($N1395,6)="tarief"),SUM(O1395)*FLOOR(SUM(Q1395),0.01),S1395&gt;0,IF(F1395&lt;&gt;"",FLOOR(SUM(S1395),0.01),"")),""),""),"")</f>
        <v/>
      </c>
      <c r="X1395" s="314" t="str" cm="1">
        <f t="array" aca="1" ref="X1395" ca="1">IFERROR(IF(AE1395&lt;&gt;"ja",_xlfn.IFNA(_xlfn.IFS(AND(P1395&lt;&gt;"",R1395&lt;&gt;"",RIGHT($N1395,6)="tarief",F1395="Vergoeding"),SUM(P1395)*FLOOR(SUM(R1395),0.0001),AND(P1395&lt;&gt;"",R1395&lt;&gt;"",RIGHT($N1395,6)="tarief"),P1395*FLOOR(R1395,0.01),T1395&gt;0,FLOOR(SUM(T1395),0.01)),""),""),"")</f>
        <v/>
      </c>
      <c r="Y1395" s="314" t="str">
        <f t="shared" ca="1" si="86"/>
        <v/>
      </c>
      <c r="Z1395" s="314" t="str" cm="1">
        <f t="array" aca="1" ref="Z1395" ca="1">IFERROR(_xlfn.IFS(OR(F1395="",LEFT(Methode_Keuze,4)="Geen",Methode_Keuze=""),"",AND(W1395&lt;&gt;"",F1395&lt;&gt;"Arbeidskosten"),W1395*VLOOKUP(F1395,Tb_ProjectKosten[],MATCH(Tb_ProjectKosten[[#Headers],[Forfait_Percentage]],Tb_ProjectKosten[#Headers],0),0),AND(F1395="Arbeidskosten",G1395&lt;&gt;""),IFERROR(W1395*VLOOKUP(G1395,Tb_KostenTypen[],3,0)*VLOOKUP(F1395,Tb_ProjectKosten[],MATCH(Tb_ProjectKosten[[#Headers],[Forfait_Percentage]],Tb_ProjectKosten[#Headers],0),0),""),W1395 &lt;=0,0),"")</f>
        <v/>
      </c>
      <c r="AA1395" s="314" t="str" cm="1">
        <f t="array" aca="1" ref="AA1395" ca="1">IFERROR(_xlfn.IFS(OR(F1395="",LEFT(Methode_Keuze,4)="Geen",Methode_Keuze=""),"",AND(X1395&lt;&gt;"",F1395&lt;&gt;"Arbeidskosten"),X1395*VLOOKUP(F1395,Tb_ProjectKosten[],MATCH(Tb_ProjectKosten[[#Headers],[Forfait_Percentage]],Tb_ProjectKosten[#Headers],0),0),AND(F1395="Arbeidskosten",G1395&lt;&gt;""),IFERROR(X1395*VLOOKUP(G1395,Tb_KostenTypen[],3,0)*VLOOKUP(F1395,Tb_ProjectKosten[],MATCH(Tb_ProjectKosten[[#Headers],[Forfait_Percentage]],Tb_ProjectKosten[#Headers],0),0),""),X1395 &lt;=0,0),"")</f>
        <v/>
      </c>
      <c r="AB1395" s="314" t="str">
        <f t="shared" ca="1" si="87"/>
        <v/>
      </c>
      <c r="AC1395" s="322"/>
      <c r="AD1395" s="315"/>
      <c r="AE1395" s="32" t="str" cm="1">
        <f t="array" ref="AE1395">IFERROR(IF(INDEX(SubsidieTabel!$AD$1:$AG$12,MATCH($F1395,SubsidieTabel!$AD$1:$AD$12,0),IFERROR(MATCH(Methode_Keuze,SubsidieTabel!$AD$1:$AG$1,0),2))&lt;&gt;1=TRUE,"ja",""),"")</f>
        <v/>
      </c>
    </row>
    <row r="1396" spans="1:31" x14ac:dyDescent="0.25">
      <c r="A1396" s="316"/>
      <c r="B1396" s="317" t="str">
        <f>IF(A1396&lt;&gt;"",_xlfn.MAXIFS($B$1:B1395,$A$1:A1395,A1396)+1,"")</f>
        <v/>
      </c>
      <c r="C1396" s="296"/>
      <c r="D1396" s="296"/>
      <c r="E1396" s="296"/>
      <c r="F1396" s="296"/>
      <c r="G1396" s="326"/>
      <c r="H1396" s="324"/>
      <c r="I1396" s="325"/>
      <c r="J1396" s="325"/>
      <c r="K1396" s="318"/>
      <c r="L1396" s="318"/>
      <c r="M1396" s="319" t="str">
        <f>IFERROR(VLOOKUP(H1396,Lijsten!$H$1:$I$100,2,0),"")</f>
        <v/>
      </c>
      <c r="N1396" s="319" t="str">
        <f ca="1">IFERROR(IF(VLOOKUP(F1396,Kostentypen!$A$3:$E$21,3,0)=0,"",IF(OR(F1396="Arbeidskosten",F1396="Vergoeding"),VLOOKUP(G1396,Tb_KostenTypen[],2,0),VLOOKUP(F1396,Kostentypen!$A$3:$E$20,3,0))),"")</f>
        <v/>
      </c>
      <c r="O1396" s="320" t="str" cm="1">
        <f t="array" ref="O1396">_xlfn.IFNA(IF(INDEX(Tb_KostenOptiesDB[],MATCH($F1396,Tb_KostenOptiesDB[KostenOptie],0),IFERROR(MATCH(Methode_Keuze,Tb_KostenOptiesDB[#Headers],0),2))=1,_xlfn.SWITCH($N1396,"Uurtarief",IF(OR(AND(RIGHT($F1396,3)="IKS",VLOOKUP($M1396,DB_Loonkosten,2,0)="Ja"),AND(RIGHT($F1396,3)&lt;&gt;"IKS",VLOOKUP($M1396,DB_Loonkosten,2,0)="Nee")),IFERROR(VLOOKUP($M1396,DB_Loonkosten,24,0),""),0),"Vast tarief",IF(LEFT(F1396,8)="Bijdrage",VLOOKUP($F1396,Tb_KostenTypen[],MATCH(Lijsten!$P$1,Tb_KostenTypen[#Headers],0),0),VLOOKUP($G1396,Lijsten!L:P,MATCH(Lijsten!$P$1,Kop_Tarief_Vast,0),0))),""),"")</f>
        <v/>
      </c>
      <c r="P1396" s="320" t="str" cm="1">
        <f t="array" ref="P1396">_xlfn.IFNA(IF(INDEX(Tb_KostenOptiesDB[],MATCH($F1396,Tb_KostenOptiesDB[KostenOptie],0),IFERROR(MATCH(Methode_Keuze,Tb_KostenOptiesDB[#Headers],0),2))=1,_xlfn.SWITCH($N1396,"Uurtarief",IF(OR(AND(RIGHT($F1396,3)="IKS",VLOOKUP($M1396,DB_Loonkosten,2,0)="Ja"),AND(RIGHT($F1396,3)&lt;&gt;"IKS",VLOOKUP($M1396,DB_Loonkosten,2,0)="Nee")),IFERROR(VLOOKUP($M1396,DB_Loonkosten,25,0),""),0),"Vast tarief",IF(LEFT(F1396,8)="Bijdrage",VLOOKUP($F1396,Tb_KostenTypen[],MATCH(Lijsten!$P$1,Tb_KostenTypen[#Headers],0),0),VLOOKUP($G1396,Lijsten!L:P,MATCH(Lijsten!$P$1,Kop_Tarief_Vast,0),0))),""),"")</f>
        <v/>
      </c>
      <c r="Q1396" s="359"/>
      <c r="R1396" s="359"/>
      <c r="S1396" s="321"/>
      <c r="T1396" s="321"/>
      <c r="U1396" s="373" t="str">
        <f t="shared" si="84"/>
        <v/>
      </c>
      <c r="V1396" s="314" t="str">
        <f t="shared" si="85"/>
        <v/>
      </c>
      <c r="W1396" s="314" t="str" cm="1">
        <f t="array" aca="1" ref="W1396" ca="1">IFERROR(IF(AE1396&lt;&gt;"ja",_xlfn.IFNA(_xlfn.IFS(AND(O1396&lt;&gt;"",F1396&lt;&gt;"",RIGHT($N1396,6)="tarief",F1396="Vergoeding"),SUM(O1396)*FLOOR(SUM(Q1396),0.0001),AND(O1396&lt;&gt;"",F1396&lt;&gt;"",RIGHT($N1396,6)="tarief"),SUM(O1396)*FLOOR(SUM(Q1396),0.01),S1396&gt;0,IF(F1396&lt;&gt;"",FLOOR(SUM(S1396),0.01),"")),""),""),"")</f>
        <v/>
      </c>
      <c r="X1396" s="314" t="str" cm="1">
        <f t="array" aca="1" ref="X1396" ca="1">IFERROR(IF(AE1396&lt;&gt;"ja",_xlfn.IFNA(_xlfn.IFS(AND(P1396&lt;&gt;"",R1396&lt;&gt;"",RIGHT($N1396,6)="tarief",F1396="Vergoeding"),SUM(P1396)*FLOOR(SUM(R1396),0.0001),AND(P1396&lt;&gt;"",R1396&lt;&gt;"",RIGHT($N1396,6)="tarief"),P1396*FLOOR(R1396,0.01),T1396&gt;0,FLOOR(SUM(T1396),0.01)),""),""),"")</f>
        <v/>
      </c>
      <c r="Y1396" s="314" t="str">
        <f t="shared" ca="1" si="86"/>
        <v/>
      </c>
      <c r="Z1396" s="314" t="str" cm="1">
        <f t="array" aca="1" ref="Z1396" ca="1">IFERROR(_xlfn.IFS(OR(F1396="",LEFT(Methode_Keuze,4)="Geen",Methode_Keuze=""),"",AND(W1396&lt;&gt;"",F1396&lt;&gt;"Arbeidskosten"),W1396*VLOOKUP(F1396,Tb_ProjectKosten[],MATCH(Tb_ProjectKosten[[#Headers],[Forfait_Percentage]],Tb_ProjectKosten[#Headers],0),0),AND(F1396="Arbeidskosten",G1396&lt;&gt;""),IFERROR(W1396*VLOOKUP(G1396,Tb_KostenTypen[],3,0)*VLOOKUP(F1396,Tb_ProjectKosten[],MATCH(Tb_ProjectKosten[[#Headers],[Forfait_Percentage]],Tb_ProjectKosten[#Headers],0),0),""),W1396 &lt;=0,0),"")</f>
        <v/>
      </c>
      <c r="AA1396" s="314" t="str" cm="1">
        <f t="array" aca="1" ref="AA1396" ca="1">IFERROR(_xlfn.IFS(OR(F1396="",LEFT(Methode_Keuze,4)="Geen",Methode_Keuze=""),"",AND(X1396&lt;&gt;"",F1396&lt;&gt;"Arbeidskosten"),X1396*VLOOKUP(F1396,Tb_ProjectKosten[],MATCH(Tb_ProjectKosten[[#Headers],[Forfait_Percentage]],Tb_ProjectKosten[#Headers],0),0),AND(F1396="Arbeidskosten",G1396&lt;&gt;""),IFERROR(X1396*VLOOKUP(G1396,Tb_KostenTypen[],3,0)*VLOOKUP(F1396,Tb_ProjectKosten[],MATCH(Tb_ProjectKosten[[#Headers],[Forfait_Percentage]],Tb_ProjectKosten[#Headers],0),0),""),X1396 &lt;=0,0),"")</f>
        <v/>
      </c>
      <c r="AB1396" s="314" t="str">
        <f t="shared" ca="1" si="87"/>
        <v/>
      </c>
      <c r="AC1396" s="322"/>
      <c r="AD1396" s="315"/>
      <c r="AE1396" s="32" t="str" cm="1">
        <f t="array" ref="AE1396">IFERROR(IF(INDEX(SubsidieTabel!$AD$1:$AG$12,MATCH($F1396,SubsidieTabel!$AD$1:$AD$12,0),IFERROR(MATCH(Methode_Keuze,SubsidieTabel!$AD$1:$AG$1,0),2))&lt;&gt;1=TRUE,"ja",""),"")</f>
        <v/>
      </c>
    </row>
    <row r="1397" spans="1:31" x14ac:dyDescent="0.25">
      <c r="A1397" s="316"/>
      <c r="B1397" s="317" t="str">
        <f>IF(A1397&lt;&gt;"",_xlfn.MAXIFS($B$1:B1396,$A$1:A1396,A1397)+1,"")</f>
        <v/>
      </c>
      <c r="C1397" s="296"/>
      <c r="D1397" s="296"/>
      <c r="E1397" s="296"/>
      <c r="F1397" s="296"/>
      <c r="G1397" s="326"/>
      <c r="H1397" s="324"/>
      <c r="I1397" s="325"/>
      <c r="J1397" s="325"/>
      <c r="K1397" s="318"/>
      <c r="L1397" s="318"/>
      <c r="M1397" s="319" t="str">
        <f>IFERROR(VLOOKUP(H1397,Lijsten!$H$1:$I$100,2,0),"")</f>
        <v/>
      </c>
      <c r="N1397" s="319" t="str">
        <f ca="1">IFERROR(IF(VLOOKUP(F1397,Kostentypen!$A$3:$E$21,3,0)=0,"",IF(OR(F1397="Arbeidskosten",F1397="Vergoeding"),VLOOKUP(G1397,Tb_KostenTypen[],2,0),VLOOKUP(F1397,Kostentypen!$A$3:$E$20,3,0))),"")</f>
        <v/>
      </c>
      <c r="O1397" s="320" t="str" cm="1">
        <f t="array" ref="O1397">_xlfn.IFNA(IF(INDEX(Tb_KostenOptiesDB[],MATCH($F1397,Tb_KostenOptiesDB[KostenOptie],0),IFERROR(MATCH(Methode_Keuze,Tb_KostenOptiesDB[#Headers],0),2))=1,_xlfn.SWITCH($N1397,"Uurtarief",IF(OR(AND(RIGHT($F1397,3)="IKS",VLOOKUP($M1397,DB_Loonkosten,2,0)="Ja"),AND(RIGHT($F1397,3)&lt;&gt;"IKS",VLOOKUP($M1397,DB_Loonkosten,2,0)="Nee")),IFERROR(VLOOKUP($M1397,DB_Loonkosten,24,0),""),0),"Vast tarief",IF(LEFT(F1397,8)="Bijdrage",VLOOKUP($F1397,Tb_KostenTypen[],MATCH(Lijsten!$P$1,Tb_KostenTypen[#Headers],0),0),VLOOKUP($G1397,Lijsten!L:P,MATCH(Lijsten!$P$1,Kop_Tarief_Vast,0),0))),""),"")</f>
        <v/>
      </c>
      <c r="P1397" s="320" t="str" cm="1">
        <f t="array" ref="P1397">_xlfn.IFNA(IF(INDEX(Tb_KostenOptiesDB[],MATCH($F1397,Tb_KostenOptiesDB[KostenOptie],0),IFERROR(MATCH(Methode_Keuze,Tb_KostenOptiesDB[#Headers],0),2))=1,_xlfn.SWITCH($N1397,"Uurtarief",IF(OR(AND(RIGHT($F1397,3)="IKS",VLOOKUP($M1397,DB_Loonkosten,2,0)="Ja"),AND(RIGHT($F1397,3)&lt;&gt;"IKS",VLOOKUP($M1397,DB_Loonkosten,2,0)="Nee")),IFERROR(VLOOKUP($M1397,DB_Loonkosten,25,0),""),0),"Vast tarief",IF(LEFT(F1397,8)="Bijdrage",VLOOKUP($F1397,Tb_KostenTypen[],MATCH(Lijsten!$P$1,Tb_KostenTypen[#Headers],0),0),VLOOKUP($G1397,Lijsten!L:P,MATCH(Lijsten!$P$1,Kop_Tarief_Vast,0),0))),""),"")</f>
        <v/>
      </c>
      <c r="Q1397" s="359"/>
      <c r="R1397" s="359"/>
      <c r="S1397" s="321"/>
      <c r="T1397" s="321"/>
      <c r="U1397" s="373" t="str">
        <f t="shared" si="84"/>
        <v/>
      </c>
      <c r="V1397" s="314" t="str">
        <f t="shared" si="85"/>
        <v/>
      </c>
      <c r="W1397" s="314" t="str" cm="1">
        <f t="array" aca="1" ref="W1397" ca="1">IFERROR(IF(AE1397&lt;&gt;"ja",_xlfn.IFNA(_xlfn.IFS(AND(O1397&lt;&gt;"",F1397&lt;&gt;"",RIGHT($N1397,6)="tarief",F1397="Vergoeding"),SUM(O1397)*FLOOR(SUM(Q1397),0.0001),AND(O1397&lt;&gt;"",F1397&lt;&gt;"",RIGHT($N1397,6)="tarief"),SUM(O1397)*FLOOR(SUM(Q1397),0.01),S1397&gt;0,IF(F1397&lt;&gt;"",FLOOR(SUM(S1397),0.01),"")),""),""),"")</f>
        <v/>
      </c>
      <c r="X1397" s="314" t="str" cm="1">
        <f t="array" aca="1" ref="X1397" ca="1">IFERROR(IF(AE1397&lt;&gt;"ja",_xlfn.IFNA(_xlfn.IFS(AND(P1397&lt;&gt;"",R1397&lt;&gt;"",RIGHT($N1397,6)="tarief",F1397="Vergoeding"),SUM(P1397)*FLOOR(SUM(R1397),0.0001),AND(P1397&lt;&gt;"",R1397&lt;&gt;"",RIGHT($N1397,6)="tarief"),P1397*FLOOR(R1397,0.01),T1397&gt;0,FLOOR(SUM(T1397),0.01)),""),""),"")</f>
        <v/>
      </c>
      <c r="Y1397" s="314" t="str">
        <f t="shared" ca="1" si="86"/>
        <v/>
      </c>
      <c r="Z1397" s="314" t="str" cm="1">
        <f t="array" aca="1" ref="Z1397" ca="1">IFERROR(_xlfn.IFS(OR(F1397="",LEFT(Methode_Keuze,4)="Geen",Methode_Keuze=""),"",AND(W1397&lt;&gt;"",F1397&lt;&gt;"Arbeidskosten"),W1397*VLOOKUP(F1397,Tb_ProjectKosten[],MATCH(Tb_ProjectKosten[[#Headers],[Forfait_Percentage]],Tb_ProjectKosten[#Headers],0),0),AND(F1397="Arbeidskosten",G1397&lt;&gt;""),IFERROR(W1397*VLOOKUP(G1397,Tb_KostenTypen[],3,0)*VLOOKUP(F1397,Tb_ProjectKosten[],MATCH(Tb_ProjectKosten[[#Headers],[Forfait_Percentage]],Tb_ProjectKosten[#Headers],0),0),""),W1397 &lt;=0,0),"")</f>
        <v/>
      </c>
      <c r="AA1397" s="314" t="str" cm="1">
        <f t="array" aca="1" ref="AA1397" ca="1">IFERROR(_xlfn.IFS(OR(F1397="",LEFT(Methode_Keuze,4)="Geen",Methode_Keuze=""),"",AND(X1397&lt;&gt;"",F1397&lt;&gt;"Arbeidskosten"),X1397*VLOOKUP(F1397,Tb_ProjectKosten[],MATCH(Tb_ProjectKosten[[#Headers],[Forfait_Percentage]],Tb_ProjectKosten[#Headers],0),0),AND(F1397="Arbeidskosten",G1397&lt;&gt;""),IFERROR(X1397*VLOOKUP(G1397,Tb_KostenTypen[],3,0)*VLOOKUP(F1397,Tb_ProjectKosten[],MATCH(Tb_ProjectKosten[[#Headers],[Forfait_Percentage]],Tb_ProjectKosten[#Headers],0),0),""),X1397 &lt;=0,0),"")</f>
        <v/>
      </c>
      <c r="AB1397" s="314" t="str">
        <f t="shared" ca="1" si="87"/>
        <v/>
      </c>
      <c r="AC1397" s="322"/>
      <c r="AD1397" s="315"/>
      <c r="AE1397" s="32" t="str" cm="1">
        <f t="array" ref="AE1397">IFERROR(IF(INDEX(SubsidieTabel!$AD$1:$AG$12,MATCH($F1397,SubsidieTabel!$AD$1:$AD$12,0),IFERROR(MATCH(Methode_Keuze,SubsidieTabel!$AD$1:$AG$1,0),2))&lt;&gt;1=TRUE,"ja",""),"")</f>
        <v/>
      </c>
    </row>
    <row r="1398" spans="1:31" x14ac:dyDescent="0.25">
      <c r="A1398" s="316"/>
      <c r="B1398" s="317" t="str">
        <f>IF(A1398&lt;&gt;"",_xlfn.MAXIFS($B$1:B1397,$A$1:A1397,A1398)+1,"")</f>
        <v/>
      </c>
      <c r="C1398" s="296"/>
      <c r="D1398" s="296"/>
      <c r="E1398" s="296"/>
      <c r="F1398" s="296"/>
      <c r="G1398" s="326"/>
      <c r="H1398" s="324"/>
      <c r="I1398" s="325"/>
      <c r="J1398" s="325"/>
      <c r="K1398" s="318"/>
      <c r="L1398" s="318"/>
      <c r="M1398" s="319" t="str">
        <f>IFERROR(VLOOKUP(H1398,Lijsten!$H$1:$I$100,2,0),"")</f>
        <v/>
      </c>
      <c r="N1398" s="319" t="str">
        <f ca="1">IFERROR(IF(VLOOKUP(F1398,Kostentypen!$A$3:$E$21,3,0)=0,"",IF(OR(F1398="Arbeidskosten",F1398="Vergoeding"),VLOOKUP(G1398,Tb_KostenTypen[],2,0),VLOOKUP(F1398,Kostentypen!$A$3:$E$20,3,0))),"")</f>
        <v/>
      </c>
      <c r="O1398" s="320" t="str" cm="1">
        <f t="array" ref="O1398">_xlfn.IFNA(IF(INDEX(Tb_KostenOptiesDB[],MATCH($F1398,Tb_KostenOptiesDB[KostenOptie],0),IFERROR(MATCH(Methode_Keuze,Tb_KostenOptiesDB[#Headers],0),2))=1,_xlfn.SWITCH($N1398,"Uurtarief",IF(OR(AND(RIGHT($F1398,3)="IKS",VLOOKUP($M1398,DB_Loonkosten,2,0)="Ja"),AND(RIGHT($F1398,3)&lt;&gt;"IKS",VLOOKUP($M1398,DB_Loonkosten,2,0)="Nee")),IFERROR(VLOOKUP($M1398,DB_Loonkosten,24,0),""),0),"Vast tarief",IF(LEFT(F1398,8)="Bijdrage",VLOOKUP($F1398,Tb_KostenTypen[],MATCH(Lijsten!$P$1,Tb_KostenTypen[#Headers],0),0),VLOOKUP($G1398,Lijsten!L:P,MATCH(Lijsten!$P$1,Kop_Tarief_Vast,0),0))),""),"")</f>
        <v/>
      </c>
      <c r="P1398" s="320" t="str" cm="1">
        <f t="array" ref="P1398">_xlfn.IFNA(IF(INDEX(Tb_KostenOptiesDB[],MATCH($F1398,Tb_KostenOptiesDB[KostenOptie],0),IFERROR(MATCH(Methode_Keuze,Tb_KostenOptiesDB[#Headers],0),2))=1,_xlfn.SWITCH($N1398,"Uurtarief",IF(OR(AND(RIGHT($F1398,3)="IKS",VLOOKUP($M1398,DB_Loonkosten,2,0)="Ja"),AND(RIGHT($F1398,3)&lt;&gt;"IKS",VLOOKUP($M1398,DB_Loonkosten,2,0)="Nee")),IFERROR(VLOOKUP($M1398,DB_Loonkosten,25,0),""),0),"Vast tarief",IF(LEFT(F1398,8)="Bijdrage",VLOOKUP($F1398,Tb_KostenTypen[],MATCH(Lijsten!$P$1,Tb_KostenTypen[#Headers],0),0),VLOOKUP($G1398,Lijsten!L:P,MATCH(Lijsten!$P$1,Kop_Tarief_Vast,0),0))),""),"")</f>
        <v/>
      </c>
      <c r="Q1398" s="359"/>
      <c r="R1398" s="359"/>
      <c r="S1398" s="321"/>
      <c r="T1398" s="321"/>
      <c r="U1398" s="373" t="str">
        <f t="shared" si="84"/>
        <v/>
      </c>
      <c r="V1398" s="314" t="str">
        <f t="shared" si="85"/>
        <v/>
      </c>
      <c r="W1398" s="314" t="str" cm="1">
        <f t="array" aca="1" ref="W1398" ca="1">IFERROR(IF(AE1398&lt;&gt;"ja",_xlfn.IFNA(_xlfn.IFS(AND(O1398&lt;&gt;"",F1398&lt;&gt;"",RIGHT($N1398,6)="tarief",F1398="Vergoeding"),SUM(O1398)*FLOOR(SUM(Q1398),0.0001),AND(O1398&lt;&gt;"",F1398&lt;&gt;"",RIGHT($N1398,6)="tarief"),SUM(O1398)*FLOOR(SUM(Q1398),0.01),S1398&gt;0,IF(F1398&lt;&gt;"",FLOOR(SUM(S1398),0.01),"")),""),""),"")</f>
        <v/>
      </c>
      <c r="X1398" s="314" t="str" cm="1">
        <f t="array" aca="1" ref="X1398" ca="1">IFERROR(IF(AE1398&lt;&gt;"ja",_xlfn.IFNA(_xlfn.IFS(AND(P1398&lt;&gt;"",R1398&lt;&gt;"",RIGHT($N1398,6)="tarief",F1398="Vergoeding"),SUM(P1398)*FLOOR(SUM(R1398),0.0001),AND(P1398&lt;&gt;"",R1398&lt;&gt;"",RIGHT($N1398,6)="tarief"),P1398*FLOOR(R1398,0.01),T1398&gt;0,FLOOR(SUM(T1398),0.01)),""),""),"")</f>
        <v/>
      </c>
      <c r="Y1398" s="314" t="str">
        <f t="shared" ca="1" si="86"/>
        <v/>
      </c>
      <c r="Z1398" s="314" t="str" cm="1">
        <f t="array" aca="1" ref="Z1398" ca="1">IFERROR(_xlfn.IFS(OR(F1398="",LEFT(Methode_Keuze,4)="Geen",Methode_Keuze=""),"",AND(W1398&lt;&gt;"",F1398&lt;&gt;"Arbeidskosten"),W1398*VLOOKUP(F1398,Tb_ProjectKosten[],MATCH(Tb_ProjectKosten[[#Headers],[Forfait_Percentage]],Tb_ProjectKosten[#Headers],0),0),AND(F1398="Arbeidskosten",G1398&lt;&gt;""),IFERROR(W1398*VLOOKUP(G1398,Tb_KostenTypen[],3,0)*VLOOKUP(F1398,Tb_ProjectKosten[],MATCH(Tb_ProjectKosten[[#Headers],[Forfait_Percentage]],Tb_ProjectKosten[#Headers],0),0),""),W1398 &lt;=0,0),"")</f>
        <v/>
      </c>
      <c r="AA1398" s="314" t="str" cm="1">
        <f t="array" aca="1" ref="AA1398" ca="1">IFERROR(_xlfn.IFS(OR(F1398="",LEFT(Methode_Keuze,4)="Geen",Methode_Keuze=""),"",AND(X1398&lt;&gt;"",F1398&lt;&gt;"Arbeidskosten"),X1398*VLOOKUP(F1398,Tb_ProjectKosten[],MATCH(Tb_ProjectKosten[[#Headers],[Forfait_Percentage]],Tb_ProjectKosten[#Headers],0),0),AND(F1398="Arbeidskosten",G1398&lt;&gt;""),IFERROR(X1398*VLOOKUP(G1398,Tb_KostenTypen[],3,0)*VLOOKUP(F1398,Tb_ProjectKosten[],MATCH(Tb_ProjectKosten[[#Headers],[Forfait_Percentage]],Tb_ProjectKosten[#Headers],0),0),""),X1398 &lt;=0,0),"")</f>
        <v/>
      </c>
      <c r="AB1398" s="314" t="str">
        <f t="shared" ca="1" si="87"/>
        <v/>
      </c>
      <c r="AC1398" s="322"/>
      <c r="AD1398" s="315"/>
      <c r="AE1398" s="32" t="str" cm="1">
        <f t="array" ref="AE1398">IFERROR(IF(INDEX(SubsidieTabel!$AD$1:$AG$12,MATCH($F1398,SubsidieTabel!$AD$1:$AD$12,0),IFERROR(MATCH(Methode_Keuze,SubsidieTabel!$AD$1:$AG$1,0),2))&lt;&gt;1=TRUE,"ja",""),"")</f>
        <v/>
      </c>
    </row>
    <row r="1399" spans="1:31" x14ac:dyDescent="0.25">
      <c r="A1399" s="316"/>
      <c r="B1399" s="317" t="str">
        <f>IF(A1399&lt;&gt;"",_xlfn.MAXIFS($B$1:B1398,$A$1:A1398,A1399)+1,"")</f>
        <v/>
      </c>
      <c r="C1399" s="296"/>
      <c r="D1399" s="296"/>
      <c r="E1399" s="296"/>
      <c r="F1399" s="296"/>
      <c r="G1399" s="326"/>
      <c r="H1399" s="324"/>
      <c r="I1399" s="325"/>
      <c r="J1399" s="325"/>
      <c r="K1399" s="318"/>
      <c r="L1399" s="318"/>
      <c r="M1399" s="319" t="str">
        <f>IFERROR(VLOOKUP(H1399,Lijsten!$H$1:$I$100,2,0),"")</f>
        <v/>
      </c>
      <c r="N1399" s="319" t="str">
        <f ca="1">IFERROR(IF(VLOOKUP(F1399,Kostentypen!$A$3:$E$21,3,0)=0,"",IF(OR(F1399="Arbeidskosten",F1399="Vergoeding"),VLOOKUP(G1399,Tb_KostenTypen[],2,0),VLOOKUP(F1399,Kostentypen!$A$3:$E$20,3,0))),"")</f>
        <v/>
      </c>
      <c r="O1399" s="320" t="str" cm="1">
        <f t="array" ref="O1399">_xlfn.IFNA(IF(INDEX(Tb_KostenOptiesDB[],MATCH($F1399,Tb_KostenOptiesDB[KostenOptie],0),IFERROR(MATCH(Methode_Keuze,Tb_KostenOptiesDB[#Headers],0),2))=1,_xlfn.SWITCH($N1399,"Uurtarief",IF(OR(AND(RIGHT($F1399,3)="IKS",VLOOKUP($M1399,DB_Loonkosten,2,0)="Ja"),AND(RIGHT($F1399,3)&lt;&gt;"IKS",VLOOKUP($M1399,DB_Loonkosten,2,0)="Nee")),IFERROR(VLOOKUP($M1399,DB_Loonkosten,24,0),""),0),"Vast tarief",IF(LEFT(F1399,8)="Bijdrage",VLOOKUP($F1399,Tb_KostenTypen[],MATCH(Lijsten!$P$1,Tb_KostenTypen[#Headers],0),0),VLOOKUP($G1399,Lijsten!L:P,MATCH(Lijsten!$P$1,Kop_Tarief_Vast,0),0))),""),"")</f>
        <v/>
      </c>
      <c r="P1399" s="320" t="str" cm="1">
        <f t="array" ref="P1399">_xlfn.IFNA(IF(INDEX(Tb_KostenOptiesDB[],MATCH($F1399,Tb_KostenOptiesDB[KostenOptie],0),IFERROR(MATCH(Methode_Keuze,Tb_KostenOptiesDB[#Headers],0),2))=1,_xlfn.SWITCH($N1399,"Uurtarief",IF(OR(AND(RIGHT($F1399,3)="IKS",VLOOKUP($M1399,DB_Loonkosten,2,0)="Ja"),AND(RIGHT($F1399,3)&lt;&gt;"IKS",VLOOKUP($M1399,DB_Loonkosten,2,0)="Nee")),IFERROR(VLOOKUP($M1399,DB_Loonkosten,25,0),""),0),"Vast tarief",IF(LEFT(F1399,8)="Bijdrage",VLOOKUP($F1399,Tb_KostenTypen[],MATCH(Lijsten!$P$1,Tb_KostenTypen[#Headers],0),0),VLOOKUP($G1399,Lijsten!L:P,MATCH(Lijsten!$P$1,Kop_Tarief_Vast,0),0))),""),"")</f>
        <v/>
      </c>
      <c r="Q1399" s="359"/>
      <c r="R1399" s="359"/>
      <c r="S1399" s="321"/>
      <c r="T1399" s="321"/>
      <c r="U1399" s="373" t="str">
        <f t="shared" si="84"/>
        <v/>
      </c>
      <c r="V1399" s="314" t="str">
        <f t="shared" si="85"/>
        <v/>
      </c>
      <c r="W1399" s="314" t="str" cm="1">
        <f t="array" aca="1" ref="W1399" ca="1">IFERROR(IF(AE1399&lt;&gt;"ja",_xlfn.IFNA(_xlfn.IFS(AND(O1399&lt;&gt;"",F1399&lt;&gt;"",RIGHT($N1399,6)="tarief",F1399="Vergoeding"),SUM(O1399)*FLOOR(SUM(Q1399),0.0001),AND(O1399&lt;&gt;"",F1399&lt;&gt;"",RIGHT($N1399,6)="tarief"),SUM(O1399)*FLOOR(SUM(Q1399),0.01),S1399&gt;0,IF(F1399&lt;&gt;"",FLOOR(SUM(S1399),0.01),"")),""),""),"")</f>
        <v/>
      </c>
      <c r="X1399" s="314" t="str" cm="1">
        <f t="array" aca="1" ref="X1399" ca="1">IFERROR(IF(AE1399&lt;&gt;"ja",_xlfn.IFNA(_xlfn.IFS(AND(P1399&lt;&gt;"",R1399&lt;&gt;"",RIGHT($N1399,6)="tarief",F1399="Vergoeding"),SUM(P1399)*FLOOR(SUM(R1399),0.0001),AND(P1399&lt;&gt;"",R1399&lt;&gt;"",RIGHT($N1399,6)="tarief"),P1399*FLOOR(R1399,0.01),T1399&gt;0,FLOOR(SUM(T1399),0.01)),""),""),"")</f>
        <v/>
      </c>
      <c r="Y1399" s="314" t="str">
        <f t="shared" ca="1" si="86"/>
        <v/>
      </c>
      <c r="Z1399" s="314" t="str" cm="1">
        <f t="array" aca="1" ref="Z1399" ca="1">IFERROR(_xlfn.IFS(OR(F1399="",LEFT(Methode_Keuze,4)="Geen",Methode_Keuze=""),"",AND(W1399&lt;&gt;"",F1399&lt;&gt;"Arbeidskosten"),W1399*VLOOKUP(F1399,Tb_ProjectKosten[],MATCH(Tb_ProjectKosten[[#Headers],[Forfait_Percentage]],Tb_ProjectKosten[#Headers],0),0),AND(F1399="Arbeidskosten",G1399&lt;&gt;""),IFERROR(W1399*VLOOKUP(G1399,Tb_KostenTypen[],3,0)*VLOOKUP(F1399,Tb_ProjectKosten[],MATCH(Tb_ProjectKosten[[#Headers],[Forfait_Percentage]],Tb_ProjectKosten[#Headers],0),0),""),W1399 &lt;=0,0),"")</f>
        <v/>
      </c>
      <c r="AA1399" s="314" t="str" cm="1">
        <f t="array" aca="1" ref="AA1399" ca="1">IFERROR(_xlfn.IFS(OR(F1399="",LEFT(Methode_Keuze,4)="Geen",Methode_Keuze=""),"",AND(X1399&lt;&gt;"",F1399&lt;&gt;"Arbeidskosten"),X1399*VLOOKUP(F1399,Tb_ProjectKosten[],MATCH(Tb_ProjectKosten[[#Headers],[Forfait_Percentage]],Tb_ProjectKosten[#Headers],0),0),AND(F1399="Arbeidskosten",G1399&lt;&gt;""),IFERROR(X1399*VLOOKUP(G1399,Tb_KostenTypen[],3,0)*VLOOKUP(F1399,Tb_ProjectKosten[],MATCH(Tb_ProjectKosten[[#Headers],[Forfait_Percentage]],Tb_ProjectKosten[#Headers],0),0),""),X1399 &lt;=0,0),"")</f>
        <v/>
      </c>
      <c r="AB1399" s="314" t="str">
        <f t="shared" ca="1" si="87"/>
        <v/>
      </c>
      <c r="AC1399" s="322"/>
      <c r="AD1399" s="315"/>
      <c r="AE1399" s="32" t="str" cm="1">
        <f t="array" ref="AE1399">IFERROR(IF(INDEX(SubsidieTabel!$AD$1:$AG$12,MATCH($F1399,SubsidieTabel!$AD$1:$AD$12,0),IFERROR(MATCH(Methode_Keuze,SubsidieTabel!$AD$1:$AG$1,0),2))&lt;&gt;1=TRUE,"ja",""),"")</f>
        <v/>
      </c>
    </row>
    <row r="1400" spans="1:31" x14ac:dyDescent="0.25">
      <c r="A1400" s="316"/>
      <c r="B1400" s="317" t="str">
        <f>IF(A1400&lt;&gt;"",_xlfn.MAXIFS($B$1:B1399,$A$1:A1399,A1400)+1,"")</f>
        <v/>
      </c>
      <c r="C1400" s="296"/>
      <c r="D1400" s="296"/>
      <c r="E1400" s="296"/>
      <c r="F1400" s="296"/>
      <c r="G1400" s="326"/>
      <c r="H1400" s="324"/>
      <c r="I1400" s="325"/>
      <c r="J1400" s="325"/>
      <c r="K1400" s="318"/>
      <c r="L1400" s="318"/>
      <c r="M1400" s="319" t="str">
        <f>IFERROR(VLOOKUP(H1400,Lijsten!$H$1:$I$100,2,0),"")</f>
        <v/>
      </c>
      <c r="N1400" s="319" t="str">
        <f ca="1">IFERROR(IF(VLOOKUP(F1400,Kostentypen!$A$3:$E$21,3,0)=0,"",IF(OR(F1400="Arbeidskosten",F1400="Vergoeding"),VLOOKUP(G1400,Tb_KostenTypen[],2,0),VLOOKUP(F1400,Kostentypen!$A$3:$E$20,3,0))),"")</f>
        <v/>
      </c>
      <c r="O1400" s="320" t="str" cm="1">
        <f t="array" ref="O1400">_xlfn.IFNA(IF(INDEX(Tb_KostenOptiesDB[],MATCH($F1400,Tb_KostenOptiesDB[KostenOptie],0),IFERROR(MATCH(Methode_Keuze,Tb_KostenOptiesDB[#Headers],0),2))=1,_xlfn.SWITCH($N1400,"Uurtarief",IF(OR(AND(RIGHT($F1400,3)="IKS",VLOOKUP($M1400,DB_Loonkosten,2,0)="Ja"),AND(RIGHT($F1400,3)&lt;&gt;"IKS",VLOOKUP($M1400,DB_Loonkosten,2,0)="Nee")),IFERROR(VLOOKUP($M1400,DB_Loonkosten,24,0),""),0),"Vast tarief",IF(LEFT(F1400,8)="Bijdrage",VLOOKUP($F1400,Tb_KostenTypen[],MATCH(Lijsten!$P$1,Tb_KostenTypen[#Headers],0),0),VLOOKUP($G1400,Lijsten!L:P,MATCH(Lijsten!$P$1,Kop_Tarief_Vast,0),0))),""),"")</f>
        <v/>
      </c>
      <c r="P1400" s="320" t="str" cm="1">
        <f t="array" ref="P1400">_xlfn.IFNA(IF(INDEX(Tb_KostenOptiesDB[],MATCH($F1400,Tb_KostenOptiesDB[KostenOptie],0),IFERROR(MATCH(Methode_Keuze,Tb_KostenOptiesDB[#Headers],0),2))=1,_xlfn.SWITCH($N1400,"Uurtarief",IF(OR(AND(RIGHT($F1400,3)="IKS",VLOOKUP($M1400,DB_Loonkosten,2,0)="Ja"),AND(RIGHT($F1400,3)&lt;&gt;"IKS",VLOOKUP($M1400,DB_Loonkosten,2,0)="Nee")),IFERROR(VLOOKUP($M1400,DB_Loonkosten,25,0),""),0),"Vast tarief",IF(LEFT(F1400,8)="Bijdrage",VLOOKUP($F1400,Tb_KostenTypen[],MATCH(Lijsten!$P$1,Tb_KostenTypen[#Headers],0),0),VLOOKUP($G1400,Lijsten!L:P,MATCH(Lijsten!$P$1,Kop_Tarief_Vast,0),0))),""),"")</f>
        <v/>
      </c>
      <c r="Q1400" s="359"/>
      <c r="R1400" s="359"/>
      <c r="S1400" s="321"/>
      <c r="T1400" s="321"/>
      <c r="U1400" s="373" t="str">
        <f t="shared" si="84"/>
        <v/>
      </c>
      <c r="V1400" s="314" t="str">
        <f t="shared" si="85"/>
        <v/>
      </c>
      <c r="W1400" s="314" t="str" cm="1">
        <f t="array" aca="1" ref="W1400" ca="1">IFERROR(IF(AE1400&lt;&gt;"ja",_xlfn.IFNA(_xlfn.IFS(AND(O1400&lt;&gt;"",F1400&lt;&gt;"",RIGHT($N1400,6)="tarief",F1400="Vergoeding"),SUM(O1400)*FLOOR(SUM(Q1400),0.0001),AND(O1400&lt;&gt;"",F1400&lt;&gt;"",RIGHT($N1400,6)="tarief"),SUM(O1400)*FLOOR(SUM(Q1400),0.01),S1400&gt;0,IF(F1400&lt;&gt;"",FLOOR(SUM(S1400),0.01),"")),""),""),"")</f>
        <v/>
      </c>
      <c r="X1400" s="314" t="str" cm="1">
        <f t="array" aca="1" ref="X1400" ca="1">IFERROR(IF(AE1400&lt;&gt;"ja",_xlfn.IFNA(_xlfn.IFS(AND(P1400&lt;&gt;"",R1400&lt;&gt;"",RIGHT($N1400,6)="tarief",F1400="Vergoeding"),SUM(P1400)*FLOOR(SUM(R1400),0.0001),AND(P1400&lt;&gt;"",R1400&lt;&gt;"",RIGHT($N1400,6)="tarief"),P1400*FLOOR(R1400,0.01),T1400&gt;0,FLOOR(SUM(T1400),0.01)),""),""),"")</f>
        <v/>
      </c>
      <c r="Y1400" s="314" t="str">
        <f t="shared" ca="1" si="86"/>
        <v/>
      </c>
      <c r="Z1400" s="314" t="str" cm="1">
        <f t="array" aca="1" ref="Z1400" ca="1">IFERROR(_xlfn.IFS(OR(F1400="",LEFT(Methode_Keuze,4)="Geen",Methode_Keuze=""),"",AND(W1400&lt;&gt;"",F1400&lt;&gt;"Arbeidskosten"),W1400*VLOOKUP(F1400,Tb_ProjectKosten[],MATCH(Tb_ProjectKosten[[#Headers],[Forfait_Percentage]],Tb_ProjectKosten[#Headers],0),0),AND(F1400="Arbeidskosten",G1400&lt;&gt;""),IFERROR(W1400*VLOOKUP(G1400,Tb_KostenTypen[],3,0)*VLOOKUP(F1400,Tb_ProjectKosten[],MATCH(Tb_ProjectKosten[[#Headers],[Forfait_Percentage]],Tb_ProjectKosten[#Headers],0),0),""),W1400 &lt;=0,0),"")</f>
        <v/>
      </c>
      <c r="AA1400" s="314" t="str" cm="1">
        <f t="array" aca="1" ref="AA1400" ca="1">IFERROR(_xlfn.IFS(OR(F1400="",LEFT(Methode_Keuze,4)="Geen",Methode_Keuze=""),"",AND(X1400&lt;&gt;"",F1400&lt;&gt;"Arbeidskosten"),X1400*VLOOKUP(F1400,Tb_ProjectKosten[],MATCH(Tb_ProjectKosten[[#Headers],[Forfait_Percentage]],Tb_ProjectKosten[#Headers],0),0),AND(F1400="Arbeidskosten",G1400&lt;&gt;""),IFERROR(X1400*VLOOKUP(G1400,Tb_KostenTypen[],3,0)*VLOOKUP(F1400,Tb_ProjectKosten[],MATCH(Tb_ProjectKosten[[#Headers],[Forfait_Percentage]],Tb_ProjectKosten[#Headers],0),0),""),X1400 &lt;=0,0),"")</f>
        <v/>
      </c>
      <c r="AB1400" s="314" t="str">
        <f t="shared" ca="1" si="87"/>
        <v/>
      </c>
      <c r="AC1400" s="322"/>
      <c r="AD1400" s="315"/>
      <c r="AE1400" s="32" t="str" cm="1">
        <f t="array" ref="AE1400">IFERROR(IF(INDEX(SubsidieTabel!$AD$1:$AG$12,MATCH($F1400,SubsidieTabel!$AD$1:$AD$12,0),IFERROR(MATCH(Methode_Keuze,SubsidieTabel!$AD$1:$AG$1,0),2))&lt;&gt;1=TRUE,"ja",""),"")</f>
        <v/>
      </c>
    </row>
    <row r="1401" spans="1:31" x14ac:dyDescent="0.25">
      <c r="A1401" s="316"/>
      <c r="B1401" s="317" t="str">
        <f>IF(A1401&lt;&gt;"",_xlfn.MAXIFS($B$1:B1400,$A$1:A1400,A1401)+1,"")</f>
        <v/>
      </c>
      <c r="C1401" s="296"/>
      <c r="D1401" s="296"/>
      <c r="E1401" s="296"/>
      <c r="F1401" s="296"/>
      <c r="G1401" s="326"/>
      <c r="H1401" s="324"/>
      <c r="I1401" s="325"/>
      <c r="J1401" s="325"/>
      <c r="K1401" s="318"/>
      <c r="L1401" s="318"/>
      <c r="M1401" s="319" t="str">
        <f>IFERROR(VLOOKUP(H1401,Lijsten!$H$1:$I$100,2,0),"")</f>
        <v/>
      </c>
      <c r="N1401" s="319" t="str">
        <f ca="1">IFERROR(IF(VLOOKUP(F1401,Kostentypen!$A$3:$E$21,3,0)=0,"",IF(OR(F1401="Arbeidskosten",F1401="Vergoeding"),VLOOKUP(G1401,Tb_KostenTypen[],2,0),VLOOKUP(F1401,Kostentypen!$A$3:$E$20,3,0))),"")</f>
        <v/>
      </c>
      <c r="O1401" s="320" t="str" cm="1">
        <f t="array" ref="O1401">_xlfn.IFNA(IF(INDEX(Tb_KostenOptiesDB[],MATCH($F1401,Tb_KostenOptiesDB[KostenOptie],0),IFERROR(MATCH(Methode_Keuze,Tb_KostenOptiesDB[#Headers],0),2))=1,_xlfn.SWITCH($N1401,"Uurtarief",IF(OR(AND(RIGHT($F1401,3)="IKS",VLOOKUP($M1401,DB_Loonkosten,2,0)="Ja"),AND(RIGHT($F1401,3)&lt;&gt;"IKS",VLOOKUP($M1401,DB_Loonkosten,2,0)="Nee")),IFERROR(VLOOKUP($M1401,DB_Loonkosten,24,0),""),0),"Vast tarief",IF(LEFT(F1401,8)="Bijdrage",VLOOKUP($F1401,Tb_KostenTypen[],MATCH(Lijsten!$P$1,Tb_KostenTypen[#Headers],0),0),VLOOKUP($G1401,Lijsten!L:P,MATCH(Lijsten!$P$1,Kop_Tarief_Vast,0),0))),""),"")</f>
        <v/>
      </c>
      <c r="P1401" s="320" t="str" cm="1">
        <f t="array" ref="P1401">_xlfn.IFNA(IF(INDEX(Tb_KostenOptiesDB[],MATCH($F1401,Tb_KostenOptiesDB[KostenOptie],0),IFERROR(MATCH(Methode_Keuze,Tb_KostenOptiesDB[#Headers],0),2))=1,_xlfn.SWITCH($N1401,"Uurtarief",IF(OR(AND(RIGHT($F1401,3)="IKS",VLOOKUP($M1401,DB_Loonkosten,2,0)="Ja"),AND(RIGHT($F1401,3)&lt;&gt;"IKS",VLOOKUP($M1401,DB_Loonkosten,2,0)="Nee")),IFERROR(VLOOKUP($M1401,DB_Loonkosten,25,0),""),0),"Vast tarief",IF(LEFT(F1401,8)="Bijdrage",VLOOKUP($F1401,Tb_KostenTypen[],MATCH(Lijsten!$P$1,Tb_KostenTypen[#Headers],0),0),VLOOKUP($G1401,Lijsten!L:P,MATCH(Lijsten!$P$1,Kop_Tarief_Vast,0),0))),""),"")</f>
        <v/>
      </c>
      <c r="Q1401" s="359"/>
      <c r="R1401" s="359"/>
      <c r="S1401" s="321"/>
      <c r="T1401" s="321"/>
      <c r="U1401" s="373" t="str">
        <f t="shared" si="84"/>
        <v/>
      </c>
      <c r="V1401" s="314" t="str">
        <f t="shared" si="85"/>
        <v/>
      </c>
      <c r="W1401" s="314" t="str" cm="1">
        <f t="array" aca="1" ref="W1401" ca="1">IFERROR(IF(AE1401&lt;&gt;"ja",_xlfn.IFNA(_xlfn.IFS(AND(O1401&lt;&gt;"",F1401&lt;&gt;"",RIGHT($N1401,6)="tarief",F1401="Vergoeding"),SUM(O1401)*FLOOR(SUM(Q1401),0.0001),AND(O1401&lt;&gt;"",F1401&lt;&gt;"",RIGHT($N1401,6)="tarief"),SUM(O1401)*FLOOR(SUM(Q1401),0.01),S1401&gt;0,IF(F1401&lt;&gt;"",FLOOR(SUM(S1401),0.01),"")),""),""),"")</f>
        <v/>
      </c>
      <c r="X1401" s="314" t="str" cm="1">
        <f t="array" aca="1" ref="X1401" ca="1">IFERROR(IF(AE1401&lt;&gt;"ja",_xlfn.IFNA(_xlfn.IFS(AND(P1401&lt;&gt;"",R1401&lt;&gt;"",RIGHT($N1401,6)="tarief",F1401="Vergoeding"),SUM(P1401)*FLOOR(SUM(R1401),0.0001),AND(P1401&lt;&gt;"",R1401&lt;&gt;"",RIGHT($N1401,6)="tarief"),P1401*FLOOR(R1401,0.01),T1401&gt;0,FLOOR(SUM(T1401),0.01)),""),""),"")</f>
        <v/>
      </c>
      <c r="Y1401" s="314" t="str">
        <f t="shared" ca="1" si="86"/>
        <v/>
      </c>
      <c r="Z1401" s="314" t="str" cm="1">
        <f t="array" aca="1" ref="Z1401" ca="1">IFERROR(_xlfn.IFS(OR(F1401="",LEFT(Methode_Keuze,4)="Geen",Methode_Keuze=""),"",AND(W1401&lt;&gt;"",F1401&lt;&gt;"Arbeidskosten"),W1401*VLOOKUP(F1401,Tb_ProjectKosten[],MATCH(Tb_ProjectKosten[[#Headers],[Forfait_Percentage]],Tb_ProjectKosten[#Headers],0),0),AND(F1401="Arbeidskosten",G1401&lt;&gt;""),IFERROR(W1401*VLOOKUP(G1401,Tb_KostenTypen[],3,0)*VLOOKUP(F1401,Tb_ProjectKosten[],MATCH(Tb_ProjectKosten[[#Headers],[Forfait_Percentage]],Tb_ProjectKosten[#Headers],0),0),""),W1401 &lt;=0,0),"")</f>
        <v/>
      </c>
      <c r="AA1401" s="314" t="str" cm="1">
        <f t="array" aca="1" ref="AA1401" ca="1">IFERROR(_xlfn.IFS(OR(F1401="",LEFT(Methode_Keuze,4)="Geen",Methode_Keuze=""),"",AND(X1401&lt;&gt;"",F1401&lt;&gt;"Arbeidskosten"),X1401*VLOOKUP(F1401,Tb_ProjectKosten[],MATCH(Tb_ProjectKosten[[#Headers],[Forfait_Percentage]],Tb_ProjectKosten[#Headers],0),0),AND(F1401="Arbeidskosten",G1401&lt;&gt;""),IFERROR(X1401*VLOOKUP(G1401,Tb_KostenTypen[],3,0)*VLOOKUP(F1401,Tb_ProjectKosten[],MATCH(Tb_ProjectKosten[[#Headers],[Forfait_Percentage]],Tb_ProjectKosten[#Headers],0),0),""),X1401 &lt;=0,0),"")</f>
        <v/>
      </c>
      <c r="AB1401" s="314" t="str">
        <f t="shared" ca="1" si="87"/>
        <v/>
      </c>
      <c r="AC1401" s="322"/>
      <c r="AD1401" s="315"/>
      <c r="AE1401" s="32" t="str" cm="1">
        <f t="array" ref="AE1401">IFERROR(IF(INDEX(SubsidieTabel!$AD$1:$AG$12,MATCH($F1401,SubsidieTabel!$AD$1:$AD$12,0),IFERROR(MATCH(Methode_Keuze,SubsidieTabel!$AD$1:$AG$1,0),2))&lt;&gt;1=TRUE,"ja",""),"")</f>
        <v/>
      </c>
    </row>
    <row r="1402" spans="1:31" x14ac:dyDescent="0.25">
      <c r="A1402" s="316"/>
      <c r="B1402" s="317" t="str">
        <f>IF(A1402&lt;&gt;"",_xlfn.MAXIFS($B$1:B1401,$A$1:A1401,A1402)+1,"")</f>
        <v/>
      </c>
      <c r="C1402" s="296"/>
      <c r="D1402" s="296"/>
      <c r="E1402" s="296"/>
      <c r="F1402" s="296"/>
      <c r="G1402" s="326"/>
      <c r="H1402" s="324"/>
      <c r="I1402" s="325"/>
      <c r="J1402" s="325"/>
      <c r="K1402" s="318"/>
      <c r="L1402" s="318"/>
      <c r="M1402" s="319" t="str">
        <f>IFERROR(VLOOKUP(H1402,Lijsten!$H$1:$I$100,2,0),"")</f>
        <v/>
      </c>
      <c r="N1402" s="319" t="str">
        <f ca="1">IFERROR(IF(VLOOKUP(F1402,Kostentypen!$A$3:$E$21,3,0)=0,"",IF(OR(F1402="Arbeidskosten",F1402="Vergoeding"),VLOOKUP(G1402,Tb_KostenTypen[],2,0),VLOOKUP(F1402,Kostentypen!$A$3:$E$20,3,0))),"")</f>
        <v/>
      </c>
      <c r="O1402" s="320" t="str" cm="1">
        <f t="array" ref="O1402">_xlfn.IFNA(IF(INDEX(Tb_KostenOptiesDB[],MATCH($F1402,Tb_KostenOptiesDB[KostenOptie],0),IFERROR(MATCH(Methode_Keuze,Tb_KostenOptiesDB[#Headers],0),2))=1,_xlfn.SWITCH($N1402,"Uurtarief",IF(OR(AND(RIGHT($F1402,3)="IKS",VLOOKUP($M1402,DB_Loonkosten,2,0)="Ja"),AND(RIGHT($F1402,3)&lt;&gt;"IKS",VLOOKUP($M1402,DB_Loonkosten,2,0)="Nee")),IFERROR(VLOOKUP($M1402,DB_Loonkosten,24,0),""),0),"Vast tarief",IF(LEFT(F1402,8)="Bijdrage",VLOOKUP($F1402,Tb_KostenTypen[],MATCH(Lijsten!$P$1,Tb_KostenTypen[#Headers],0),0),VLOOKUP($G1402,Lijsten!L:P,MATCH(Lijsten!$P$1,Kop_Tarief_Vast,0),0))),""),"")</f>
        <v/>
      </c>
      <c r="P1402" s="320" t="str" cm="1">
        <f t="array" ref="P1402">_xlfn.IFNA(IF(INDEX(Tb_KostenOptiesDB[],MATCH($F1402,Tb_KostenOptiesDB[KostenOptie],0),IFERROR(MATCH(Methode_Keuze,Tb_KostenOptiesDB[#Headers],0),2))=1,_xlfn.SWITCH($N1402,"Uurtarief",IF(OR(AND(RIGHT($F1402,3)="IKS",VLOOKUP($M1402,DB_Loonkosten,2,0)="Ja"),AND(RIGHT($F1402,3)&lt;&gt;"IKS",VLOOKUP($M1402,DB_Loonkosten,2,0)="Nee")),IFERROR(VLOOKUP($M1402,DB_Loonkosten,25,0),""),0),"Vast tarief",IF(LEFT(F1402,8)="Bijdrage",VLOOKUP($F1402,Tb_KostenTypen[],MATCH(Lijsten!$P$1,Tb_KostenTypen[#Headers],0),0),VLOOKUP($G1402,Lijsten!L:P,MATCH(Lijsten!$P$1,Kop_Tarief_Vast,0),0))),""),"")</f>
        <v/>
      </c>
      <c r="Q1402" s="359"/>
      <c r="R1402" s="359"/>
      <c r="S1402" s="321"/>
      <c r="T1402" s="321"/>
      <c r="U1402" s="373" t="str">
        <f t="shared" si="84"/>
        <v/>
      </c>
      <c r="V1402" s="314" t="str">
        <f t="shared" si="85"/>
        <v/>
      </c>
      <c r="W1402" s="314" t="str" cm="1">
        <f t="array" aca="1" ref="W1402" ca="1">IFERROR(IF(AE1402&lt;&gt;"ja",_xlfn.IFNA(_xlfn.IFS(AND(O1402&lt;&gt;"",F1402&lt;&gt;"",RIGHT($N1402,6)="tarief",F1402="Vergoeding"),SUM(O1402)*FLOOR(SUM(Q1402),0.0001),AND(O1402&lt;&gt;"",F1402&lt;&gt;"",RIGHT($N1402,6)="tarief"),SUM(O1402)*FLOOR(SUM(Q1402),0.01),S1402&gt;0,IF(F1402&lt;&gt;"",FLOOR(SUM(S1402),0.01),"")),""),""),"")</f>
        <v/>
      </c>
      <c r="X1402" s="314" t="str" cm="1">
        <f t="array" aca="1" ref="X1402" ca="1">IFERROR(IF(AE1402&lt;&gt;"ja",_xlfn.IFNA(_xlfn.IFS(AND(P1402&lt;&gt;"",R1402&lt;&gt;"",RIGHT($N1402,6)="tarief",F1402="Vergoeding"),SUM(P1402)*FLOOR(SUM(R1402),0.0001),AND(P1402&lt;&gt;"",R1402&lt;&gt;"",RIGHT($N1402,6)="tarief"),P1402*FLOOR(R1402,0.01),T1402&gt;0,FLOOR(SUM(T1402),0.01)),""),""),"")</f>
        <v/>
      </c>
      <c r="Y1402" s="314" t="str">
        <f t="shared" ca="1" si="86"/>
        <v/>
      </c>
      <c r="Z1402" s="314" t="str" cm="1">
        <f t="array" aca="1" ref="Z1402" ca="1">IFERROR(_xlfn.IFS(OR(F1402="",LEFT(Methode_Keuze,4)="Geen",Methode_Keuze=""),"",AND(W1402&lt;&gt;"",F1402&lt;&gt;"Arbeidskosten"),W1402*VLOOKUP(F1402,Tb_ProjectKosten[],MATCH(Tb_ProjectKosten[[#Headers],[Forfait_Percentage]],Tb_ProjectKosten[#Headers],0),0),AND(F1402="Arbeidskosten",G1402&lt;&gt;""),IFERROR(W1402*VLOOKUP(G1402,Tb_KostenTypen[],3,0)*VLOOKUP(F1402,Tb_ProjectKosten[],MATCH(Tb_ProjectKosten[[#Headers],[Forfait_Percentage]],Tb_ProjectKosten[#Headers],0),0),""),W1402 &lt;=0,0),"")</f>
        <v/>
      </c>
      <c r="AA1402" s="314" t="str" cm="1">
        <f t="array" aca="1" ref="AA1402" ca="1">IFERROR(_xlfn.IFS(OR(F1402="",LEFT(Methode_Keuze,4)="Geen",Methode_Keuze=""),"",AND(X1402&lt;&gt;"",F1402&lt;&gt;"Arbeidskosten"),X1402*VLOOKUP(F1402,Tb_ProjectKosten[],MATCH(Tb_ProjectKosten[[#Headers],[Forfait_Percentage]],Tb_ProjectKosten[#Headers],0),0),AND(F1402="Arbeidskosten",G1402&lt;&gt;""),IFERROR(X1402*VLOOKUP(G1402,Tb_KostenTypen[],3,0)*VLOOKUP(F1402,Tb_ProjectKosten[],MATCH(Tb_ProjectKosten[[#Headers],[Forfait_Percentage]],Tb_ProjectKosten[#Headers],0),0),""),X1402 &lt;=0,0),"")</f>
        <v/>
      </c>
      <c r="AB1402" s="314" t="str">
        <f t="shared" ca="1" si="87"/>
        <v/>
      </c>
      <c r="AC1402" s="322"/>
      <c r="AD1402" s="315"/>
      <c r="AE1402" s="32" t="str" cm="1">
        <f t="array" ref="AE1402">IFERROR(IF(INDEX(SubsidieTabel!$AD$1:$AG$12,MATCH($F1402,SubsidieTabel!$AD$1:$AD$12,0),IFERROR(MATCH(Methode_Keuze,SubsidieTabel!$AD$1:$AG$1,0),2))&lt;&gt;1=TRUE,"ja",""),"")</f>
        <v/>
      </c>
    </row>
    <row r="1403" spans="1:31" x14ac:dyDescent="0.25">
      <c r="A1403" s="316"/>
      <c r="B1403" s="317" t="str">
        <f>IF(A1403&lt;&gt;"",_xlfn.MAXIFS($B$1:B1402,$A$1:A1402,A1403)+1,"")</f>
        <v/>
      </c>
      <c r="C1403" s="296"/>
      <c r="D1403" s="296"/>
      <c r="E1403" s="296"/>
      <c r="F1403" s="296"/>
      <c r="G1403" s="326"/>
      <c r="H1403" s="324"/>
      <c r="I1403" s="325"/>
      <c r="J1403" s="325"/>
      <c r="K1403" s="318"/>
      <c r="L1403" s="318"/>
      <c r="M1403" s="319" t="str">
        <f>IFERROR(VLOOKUP(H1403,Lijsten!$H$1:$I$100,2,0),"")</f>
        <v/>
      </c>
      <c r="N1403" s="319" t="str">
        <f ca="1">IFERROR(IF(VLOOKUP(F1403,Kostentypen!$A$3:$E$21,3,0)=0,"",IF(OR(F1403="Arbeidskosten",F1403="Vergoeding"),VLOOKUP(G1403,Tb_KostenTypen[],2,0),VLOOKUP(F1403,Kostentypen!$A$3:$E$20,3,0))),"")</f>
        <v/>
      </c>
      <c r="O1403" s="320" t="str" cm="1">
        <f t="array" ref="O1403">_xlfn.IFNA(IF(INDEX(Tb_KostenOptiesDB[],MATCH($F1403,Tb_KostenOptiesDB[KostenOptie],0),IFERROR(MATCH(Methode_Keuze,Tb_KostenOptiesDB[#Headers],0),2))=1,_xlfn.SWITCH($N1403,"Uurtarief",IF(OR(AND(RIGHT($F1403,3)="IKS",VLOOKUP($M1403,DB_Loonkosten,2,0)="Ja"),AND(RIGHT($F1403,3)&lt;&gt;"IKS",VLOOKUP($M1403,DB_Loonkosten,2,0)="Nee")),IFERROR(VLOOKUP($M1403,DB_Loonkosten,24,0),""),0),"Vast tarief",IF(LEFT(F1403,8)="Bijdrage",VLOOKUP($F1403,Tb_KostenTypen[],MATCH(Lijsten!$P$1,Tb_KostenTypen[#Headers],0),0),VLOOKUP($G1403,Lijsten!L:P,MATCH(Lijsten!$P$1,Kop_Tarief_Vast,0),0))),""),"")</f>
        <v/>
      </c>
      <c r="P1403" s="320" t="str" cm="1">
        <f t="array" ref="P1403">_xlfn.IFNA(IF(INDEX(Tb_KostenOptiesDB[],MATCH($F1403,Tb_KostenOptiesDB[KostenOptie],0),IFERROR(MATCH(Methode_Keuze,Tb_KostenOptiesDB[#Headers],0),2))=1,_xlfn.SWITCH($N1403,"Uurtarief",IF(OR(AND(RIGHT($F1403,3)="IKS",VLOOKUP($M1403,DB_Loonkosten,2,0)="Ja"),AND(RIGHT($F1403,3)&lt;&gt;"IKS",VLOOKUP($M1403,DB_Loonkosten,2,0)="Nee")),IFERROR(VLOOKUP($M1403,DB_Loonkosten,25,0),""),0),"Vast tarief",IF(LEFT(F1403,8)="Bijdrage",VLOOKUP($F1403,Tb_KostenTypen[],MATCH(Lijsten!$P$1,Tb_KostenTypen[#Headers],0),0),VLOOKUP($G1403,Lijsten!L:P,MATCH(Lijsten!$P$1,Kop_Tarief_Vast,0),0))),""),"")</f>
        <v/>
      </c>
      <c r="Q1403" s="359"/>
      <c r="R1403" s="359"/>
      <c r="S1403" s="321"/>
      <c r="T1403" s="321"/>
      <c r="U1403" s="373" t="str">
        <f t="shared" si="84"/>
        <v/>
      </c>
      <c r="V1403" s="314" t="str">
        <f t="shared" si="85"/>
        <v/>
      </c>
      <c r="W1403" s="314" t="str" cm="1">
        <f t="array" aca="1" ref="W1403" ca="1">IFERROR(IF(AE1403&lt;&gt;"ja",_xlfn.IFNA(_xlfn.IFS(AND(O1403&lt;&gt;"",F1403&lt;&gt;"",RIGHT($N1403,6)="tarief",F1403="Vergoeding"),SUM(O1403)*FLOOR(SUM(Q1403),0.0001),AND(O1403&lt;&gt;"",F1403&lt;&gt;"",RIGHT($N1403,6)="tarief"),SUM(O1403)*FLOOR(SUM(Q1403),0.01),S1403&gt;0,IF(F1403&lt;&gt;"",FLOOR(SUM(S1403),0.01),"")),""),""),"")</f>
        <v/>
      </c>
      <c r="X1403" s="314" t="str" cm="1">
        <f t="array" aca="1" ref="X1403" ca="1">IFERROR(IF(AE1403&lt;&gt;"ja",_xlfn.IFNA(_xlfn.IFS(AND(P1403&lt;&gt;"",R1403&lt;&gt;"",RIGHT($N1403,6)="tarief",F1403="Vergoeding"),SUM(P1403)*FLOOR(SUM(R1403),0.0001),AND(P1403&lt;&gt;"",R1403&lt;&gt;"",RIGHT($N1403,6)="tarief"),P1403*FLOOR(R1403,0.01),T1403&gt;0,FLOOR(SUM(T1403),0.01)),""),""),"")</f>
        <v/>
      </c>
      <c r="Y1403" s="314" t="str">
        <f t="shared" ca="1" si="86"/>
        <v/>
      </c>
      <c r="Z1403" s="314" t="str" cm="1">
        <f t="array" aca="1" ref="Z1403" ca="1">IFERROR(_xlfn.IFS(OR(F1403="",LEFT(Methode_Keuze,4)="Geen",Methode_Keuze=""),"",AND(W1403&lt;&gt;"",F1403&lt;&gt;"Arbeidskosten"),W1403*VLOOKUP(F1403,Tb_ProjectKosten[],MATCH(Tb_ProjectKosten[[#Headers],[Forfait_Percentage]],Tb_ProjectKosten[#Headers],0),0),AND(F1403="Arbeidskosten",G1403&lt;&gt;""),IFERROR(W1403*VLOOKUP(G1403,Tb_KostenTypen[],3,0)*VLOOKUP(F1403,Tb_ProjectKosten[],MATCH(Tb_ProjectKosten[[#Headers],[Forfait_Percentage]],Tb_ProjectKosten[#Headers],0),0),""),W1403 &lt;=0,0),"")</f>
        <v/>
      </c>
      <c r="AA1403" s="314" t="str" cm="1">
        <f t="array" aca="1" ref="AA1403" ca="1">IFERROR(_xlfn.IFS(OR(F1403="",LEFT(Methode_Keuze,4)="Geen",Methode_Keuze=""),"",AND(X1403&lt;&gt;"",F1403&lt;&gt;"Arbeidskosten"),X1403*VLOOKUP(F1403,Tb_ProjectKosten[],MATCH(Tb_ProjectKosten[[#Headers],[Forfait_Percentage]],Tb_ProjectKosten[#Headers],0),0),AND(F1403="Arbeidskosten",G1403&lt;&gt;""),IFERROR(X1403*VLOOKUP(G1403,Tb_KostenTypen[],3,0)*VLOOKUP(F1403,Tb_ProjectKosten[],MATCH(Tb_ProjectKosten[[#Headers],[Forfait_Percentage]],Tb_ProjectKosten[#Headers],0),0),""),X1403 &lt;=0,0),"")</f>
        <v/>
      </c>
      <c r="AB1403" s="314" t="str">
        <f t="shared" ca="1" si="87"/>
        <v/>
      </c>
      <c r="AC1403" s="322"/>
      <c r="AD1403" s="315"/>
      <c r="AE1403" s="32" t="str" cm="1">
        <f t="array" ref="AE1403">IFERROR(IF(INDEX(SubsidieTabel!$AD$1:$AG$12,MATCH($F1403,SubsidieTabel!$AD$1:$AD$12,0),IFERROR(MATCH(Methode_Keuze,SubsidieTabel!$AD$1:$AG$1,0),2))&lt;&gt;1=TRUE,"ja",""),"")</f>
        <v/>
      </c>
    </row>
    <row r="1404" spans="1:31" x14ac:dyDescent="0.25">
      <c r="A1404" s="316"/>
      <c r="B1404" s="317" t="str">
        <f>IF(A1404&lt;&gt;"",_xlfn.MAXIFS($B$1:B1403,$A$1:A1403,A1404)+1,"")</f>
        <v/>
      </c>
      <c r="C1404" s="296"/>
      <c r="D1404" s="296"/>
      <c r="E1404" s="296"/>
      <c r="F1404" s="296"/>
      <c r="G1404" s="326"/>
      <c r="H1404" s="324"/>
      <c r="I1404" s="325"/>
      <c r="J1404" s="325"/>
      <c r="K1404" s="318"/>
      <c r="L1404" s="318"/>
      <c r="M1404" s="319" t="str">
        <f>IFERROR(VLOOKUP(H1404,Lijsten!$H$1:$I$100,2,0),"")</f>
        <v/>
      </c>
      <c r="N1404" s="319" t="str">
        <f ca="1">IFERROR(IF(VLOOKUP(F1404,Kostentypen!$A$3:$E$21,3,0)=0,"",IF(OR(F1404="Arbeidskosten",F1404="Vergoeding"),VLOOKUP(G1404,Tb_KostenTypen[],2,0),VLOOKUP(F1404,Kostentypen!$A$3:$E$20,3,0))),"")</f>
        <v/>
      </c>
      <c r="O1404" s="320" t="str" cm="1">
        <f t="array" ref="O1404">_xlfn.IFNA(IF(INDEX(Tb_KostenOptiesDB[],MATCH($F1404,Tb_KostenOptiesDB[KostenOptie],0),IFERROR(MATCH(Methode_Keuze,Tb_KostenOptiesDB[#Headers],0),2))=1,_xlfn.SWITCH($N1404,"Uurtarief",IF(OR(AND(RIGHT($F1404,3)="IKS",VLOOKUP($M1404,DB_Loonkosten,2,0)="Ja"),AND(RIGHT($F1404,3)&lt;&gt;"IKS",VLOOKUP($M1404,DB_Loonkosten,2,0)="Nee")),IFERROR(VLOOKUP($M1404,DB_Loonkosten,24,0),""),0),"Vast tarief",IF(LEFT(F1404,8)="Bijdrage",VLOOKUP($F1404,Tb_KostenTypen[],MATCH(Lijsten!$P$1,Tb_KostenTypen[#Headers],0),0),VLOOKUP($G1404,Lijsten!L:P,MATCH(Lijsten!$P$1,Kop_Tarief_Vast,0),0))),""),"")</f>
        <v/>
      </c>
      <c r="P1404" s="320" t="str" cm="1">
        <f t="array" ref="P1404">_xlfn.IFNA(IF(INDEX(Tb_KostenOptiesDB[],MATCH($F1404,Tb_KostenOptiesDB[KostenOptie],0),IFERROR(MATCH(Methode_Keuze,Tb_KostenOptiesDB[#Headers],0),2))=1,_xlfn.SWITCH($N1404,"Uurtarief",IF(OR(AND(RIGHT($F1404,3)="IKS",VLOOKUP($M1404,DB_Loonkosten,2,0)="Ja"),AND(RIGHT($F1404,3)&lt;&gt;"IKS",VLOOKUP($M1404,DB_Loonkosten,2,0)="Nee")),IFERROR(VLOOKUP($M1404,DB_Loonkosten,25,0),""),0),"Vast tarief",IF(LEFT(F1404,8)="Bijdrage",VLOOKUP($F1404,Tb_KostenTypen[],MATCH(Lijsten!$P$1,Tb_KostenTypen[#Headers],0),0),VLOOKUP($G1404,Lijsten!L:P,MATCH(Lijsten!$P$1,Kop_Tarief_Vast,0),0))),""),"")</f>
        <v/>
      </c>
      <c r="Q1404" s="359"/>
      <c r="R1404" s="359"/>
      <c r="S1404" s="321"/>
      <c r="T1404" s="321"/>
      <c r="U1404" s="373" t="str">
        <f t="shared" si="84"/>
        <v/>
      </c>
      <c r="V1404" s="314" t="str">
        <f t="shared" si="85"/>
        <v/>
      </c>
      <c r="W1404" s="314" t="str" cm="1">
        <f t="array" aca="1" ref="W1404" ca="1">IFERROR(IF(AE1404&lt;&gt;"ja",_xlfn.IFNA(_xlfn.IFS(AND(O1404&lt;&gt;"",F1404&lt;&gt;"",RIGHT($N1404,6)="tarief",F1404="Vergoeding"),SUM(O1404)*FLOOR(SUM(Q1404),0.0001),AND(O1404&lt;&gt;"",F1404&lt;&gt;"",RIGHT($N1404,6)="tarief"),SUM(O1404)*FLOOR(SUM(Q1404),0.01),S1404&gt;0,IF(F1404&lt;&gt;"",FLOOR(SUM(S1404),0.01),"")),""),""),"")</f>
        <v/>
      </c>
      <c r="X1404" s="314" t="str" cm="1">
        <f t="array" aca="1" ref="X1404" ca="1">IFERROR(IF(AE1404&lt;&gt;"ja",_xlfn.IFNA(_xlfn.IFS(AND(P1404&lt;&gt;"",R1404&lt;&gt;"",RIGHT($N1404,6)="tarief",F1404="Vergoeding"),SUM(P1404)*FLOOR(SUM(R1404),0.0001),AND(P1404&lt;&gt;"",R1404&lt;&gt;"",RIGHT($N1404,6)="tarief"),P1404*FLOOR(R1404,0.01),T1404&gt;0,FLOOR(SUM(T1404),0.01)),""),""),"")</f>
        <v/>
      </c>
      <c r="Y1404" s="314" t="str">
        <f t="shared" ca="1" si="86"/>
        <v/>
      </c>
      <c r="Z1404" s="314" t="str" cm="1">
        <f t="array" aca="1" ref="Z1404" ca="1">IFERROR(_xlfn.IFS(OR(F1404="",LEFT(Methode_Keuze,4)="Geen",Methode_Keuze=""),"",AND(W1404&lt;&gt;"",F1404&lt;&gt;"Arbeidskosten"),W1404*VLOOKUP(F1404,Tb_ProjectKosten[],MATCH(Tb_ProjectKosten[[#Headers],[Forfait_Percentage]],Tb_ProjectKosten[#Headers],0),0),AND(F1404="Arbeidskosten",G1404&lt;&gt;""),IFERROR(W1404*VLOOKUP(G1404,Tb_KostenTypen[],3,0)*VLOOKUP(F1404,Tb_ProjectKosten[],MATCH(Tb_ProjectKosten[[#Headers],[Forfait_Percentage]],Tb_ProjectKosten[#Headers],0),0),""),W1404 &lt;=0,0),"")</f>
        <v/>
      </c>
      <c r="AA1404" s="314" t="str" cm="1">
        <f t="array" aca="1" ref="AA1404" ca="1">IFERROR(_xlfn.IFS(OR(F1404="",LEFT(Methode_Keuze,4)="Geen",Methode_Keuze=""),"",AND(X1404&lt;&gt;"",F1404&lt;&gt;"Arbeidskosten"),X1404*VLOOKUP(F1404,Tb_ProjectKosten[],MATCH(Tb_ProjectKosten[[#Headers],[Forfait_Percentage]],Tb_ProjectKosten[#Headers],0),0),AND(F1404="Arbeidskosten",G1404&lt;&gt;""),IFERROR(X1404*VLOOKUP(G1404,Tb_KostenTypen[],3,0)*VLOOKUP(F1404,Tb_ProjectKosten[],MATCH(Tb_ProjectKosten[[#Headers],[Forfait_Percentage]],Tb_ProjectKosten[#Headers],0),0),""),X1404 &lt;=0,0),"")</f>
        <v/>
      </c>
      <c r="AB1404" s="314" t="str">
        <f t="shared" ca="1" si="87"/>
        <v/>
      </c>
      <c r="AC1404" s="322"/>
      <c r="AD1404" s="315"/>
      <c r="AE1404" s="32" t="str" cm="1">
        <f t="array" ref="AE1404">IFERROR(IF(INDEX(SubsidieTabel!$AD$1:$AG$12,MATCH($F1404,SubsidieTabel!$AD$1:$AD$12,0),IFERROR(MATCH(Methode_Keuze,SubsidieTabel!$AD$1:$AG$1,0),2))&lt;&gt;1=TRUE,"ja",""),"")</f>
        <v/>
      </c>
    </row>
    <row r="1405" spans="1:31" x14ac:dyDescent="0.25">
      <c r="A1405" s="316"/>
      <c r="B1405" s="317" t="str">
        <f>IF(A1405&lt;&gt;"",_xlfn.MAXIFS($B$1:B1404,$A$1:A1404,A1405)+1,"")</f>
        <v/>
      </c>
      <c r="C1405" s="296"/>
      <c r="D1405" s="296"/>
      <c r="E1405" s="296"/>
      <c r="F1405" s="296"/>
      <c r="G1405" s="326"/>
      <c r="H1405" s="324"/>
      <c r="I1405" s="325"/>
      <c r="J1405" s="325"/>
      <c r="K1405" s="318"/>
      <c r="L1405" s="318"/>
      <c r="M1405" s="319" t="str">
        <f>IFERROR(VLOOKUP(H1405,Lijsten!$H$1:$I$100,2,0),"")</f>
        <v/>
      </c>
      <c r="N1405" s="319" t="str">
        <f ca="1">IFERROR(IF(VLOOKUP(F1405,Kostentypen!$A$3:$E$21,3,0)=0,"",IF(OR(F1405="Arbeidskosten",F1405="Vergoeding"),VLOOKUP(G1405,Tb_KostenTypen[],2,0),VLOOKUP(F1405,Kostentypen!$A$3:$E$20,3,0))),"")</f>
        <v/>
      </c>
      <c r="O1405" s="320" t="str" cm="1">
        <f t="array" ref="O1405">_xlfn.IFNA(IF(INDEX(Tb_KostenOptiesDB[],MATCH($F1405,Tb_KostenOptiesDB[KostenOptie],0),IFERROR(MATCH(Methode_Keuze,Tb_KostenOptiesDB[#Headers],0),2))=1,_xlfn.SWITCH($N1405,"Uurtarief",IF(OR(AND(RIGHT($F1405,3)="IKS",VLOOKUP($M1405,DB_Loonkosten,2,0)="Ja"),AND(RIGHT($F1405,3)&lt;&gt;"IKS",VLOOKUP($M1405,DB_Loonkosten,2,0)="Nee")),IFERROR(VLOOKUP($M1405,DB_Loonkosten,24,0),""),0),"Vast tarief",IF(LEFT(F1405,8)="Bijdrage",VLOOKUP($F1405,Tb_KostenTypen[],MATCH(Lijsten!$P$1,Tb_KostenTypen[#Headers],0),0),VLOOKUP($G1405,Lijsten!L:P,MATCH(Lijsten!$P$1,Kop_Tarief_Vast,0),0))),""),"")</f>
        <v/>
      </c>
      <c r="P1405" s="320" t="str" cm="1">
        <f t="array" ref="P1405">_xlfn.IFNA(IF(INDEX(Tb_KostenOptiesDB[],MATCH($F1405,Tb_KostenOptiesDB[KostenOptie],0),IFERROR(MATCH(Methode_Keuze,Tb_KostenOptiesDB[#Headers],0),2))=1,_xlfn.SWITCH($N1405,"Uurtarief",IF(OR(AND(RIGHT($F1405,3)="IKS",VLOOKUP($M1405,DB_Loonkosten,2,0)="Ja"),AND(RIGHT($F1405,3)&lt;&gt;"IKS",VLOOKUP($M1405,DB_Loonkosten,2,0)="Nee")),IFERROR(VLOOKUP($M1405,DB_Loonkosten,25,0),""),0),"Vast tarief",IF(LEFT(F1405,8)="Bijdrage",VLOOKUP($F1405,Tb_KostenTypen[],MATCH(Lijsten!$P$1,Tb_KostenTypen[#Headers],0),0),VLOOKUP($G1405,Lijsten!L:P,MATCH(Lijsten!$P$1,Kop_Tarief_Vast,0),0))),""),"")</f>
        <v/>
      </c>
      <c r="Q1405" s="359"/>
      <c r="R1405" s="359"/>
      <c r="S1405" s="321"/>
      <c r="T1405" s="321"/>
      <c r="U1405" s="373" t="str">
        <f t="shared" si="84"/>
        <v/>
      </c>
      <c r="V1405" s="314" t="str">
        <f t="shared" si="85"/>
        <v/>
      </c>
      <c r="W1405" s="314" t="str" cm="1">
        <f t="array" aca="1" ref="W1405" ca="1">IFERROR(IF(AE1405&lt;&gt;"ja",_xlfn.IFNA(_xlfn.IFS(AND(O1405&lt;&gt;"",F1405&lt;&gt;"",RIGHT($N1405,6)="tarief",F1405="Vergoeding"),SUM(O1405)*FLOOR(SUM(Q1405),0.0001),AND(O1405&lt;&gt;"",F1405&lt;&gt;"",RIGHT($N1405,6)="tarief"),SUM(O1405)*FLOOR(SUM(Q1405),0.01),S1405&gt;0,IF(F1405&lt;&gt;"",FLOOR(SUM(S1405),0.01),"")),""),""),"")</f>
        <v/>
      </c>
      <c r="X1405" s="314" t="str" cm="1">
        <f t="array" aca="1" ref="X1405" ca="1">IFERROR(IF(AE1405&lt;&gt;"ja",_xlfn.IFNA(_xlfn.IFS(AND(P1405&lt;&gt;"",R1405&lt;&gt;"",RIGHT($N1405,6)="tarief",F1405="Vergoeding"),SUM(P1405)*FLOOR(SUM(R1405),0.0001),AND(P1405&lt;&gt;"",R1405&lt;&gt;"",RIGHT($N1405,6)="tarief"),P1405*FLOOR(R1405,0.01),T1405&gt;0,FLOOR(SUM(T1405),0.01)),""),""),"")</f>
        <v/>
      </c>
      <c r="Y1405" s="314" t="str">
        <f t="shared" ca="1" si="86"/>
        <v/>
      </c>
      <c r="Z1405" s="314" t="str" cm="1">
        <f t="array" aca="1" ref="Z1405" ca="1">IFERROR(_xlfn.IFS(OR(F1405="",LEFT(Methode_Keuze,4)="Geen",Methode_Keuze=""),"",AND(W1405&lt;&gt;"",F1405&lt;&gt;"Arbeidskosten"),W1405*VLOOKUP(F1405,Tb_ProjectKosten[],MATCH(Tb_ProjectKosten[[#Headers],[Forfait_Percentage]],Tb_ProjectKosten[#Headers],0),0),AND(F1405="Arbeidskosten",G1405&lt;&gt;""),IFERROR(W1405*VLOOKUP(G1405,Tb_KostenTypen[],3,0)*VLOOKUP(F1405,Tb_ProjectKosten[],MATCH(Tb_ProjectKosten[[#Headers],[Forfait_Percentage]],Tb_ProjectKosten[#Headers],0),0),""),W1405 &lt;=0,0),"")</f>
        <v/>
      </c>
      <c r="AA1405" s="314" t="str" cm="1">
        <f t="array" aca="1" ref="AA1405" ca="1">IFERROR(_xlfn.IFS(OR(F1405="",LEFT(Methode_Keuze,4)="Geen",Methode_Keuze=""),"",AND(X1405&lt;&gt;"",F1405&lt;&gt;"Arbeidskosten"),X1405*VLOOKUP(F1405,Tb_ProjectKosten[],MATCH(Tb_ProjectKosten[[#Headers],[Forfait_Percentage]],Tb_ProjectKosten[#Headers],0),0),AND(F1405="Arbeidskosten",G1405&lt;&gt;""),IFERROR(X1405*VLOOKUP(G1405,Tb_KostenTypen[],3,0)*VLOOKUP(F1405,Tb_ProjectKosten[],MATCH(Tb_ProjectKosten[[#Headers],[Forfait_Percentage]],Tb_ProjectKosten[#Headers],0),0),""),X1405 &lt;=0,0),"")</f>
        <v/>
      </c>
      <c r="AB1405" s="314" t="str">
        <f t="shared" ca="1" si="87"/>
        <v/>
      </c>
      <c r="AC1405" s="322"/>
      <c r="AD1405" s="315"/>
      <c r="AE1405" s="32" t="str" cm="1">
        <f t="array" ref="AE1405">IFERROR(IF(INDEX(SubsidieTabel!$AD$1:$AG$12,MATCH($F1405,SubsidieTabel!$AD$1:$AD$12,0),IFERROR(MATCH(Methode_Keuze,SubsidieTabel!$AD$1:$AG$1,0),2))&lt;&gt;1=TRUE,"ja",""),"")</f>
        <v/>
      </c>
    </row>
    <row r="1406" spans="1:31" x14ac:dyDescent="0.25">
      <c r="A1406" s="316"/>
      <c r="B1406" s="317" t="str">
        <f>IF(A1406&lt;&gt;"",_xlfn.MAXIFS($B$1:B1405,$A$1:A1405,A1406)+1,"")</f>
        <v/>
      </c>
      <c r="C1406" s="296"/>
      <c r="D1406" s="296"/>
      <c r="E1406" s="296"/>
      <c r="F1406" s="296"/>
      <c r="G1406" s="326"/>
      <c r="H1406" s="324"/>
      <c r="I1406" s="325"/>
      <c r="J1406" s="325"/>
      <c r="K1406" s="318"/>
      <c r="L1406" s="318"/>
      <c r="M1406" s="319" t="str">
        <f>IFERROR(VLOOKUP(H1406,Lijsten!$H$1:$I$100,2,0),"")</f>
        <v/>
      </c>
      <c r="N1406" s="319" t="str">
        <f ca="1">IFERROR(IF(VLOOKUP(F1406,Kostentypen!$A$3:$E$21,3,0)=0,"",IF(OR(F1406="Arbeidskosten",F1406="Vergoeding"),VLOOKUP(G1406,Tb_KostenTypen[],2,0),VLOOKUP(F1406,Kostentypen!$A$3:$E$20,3,0))),"")</f>
        <v/>
      </c>
      <c r="O1406" s="320" t="str" cm="1">
        <f t="array" ref="O1406">_xlfn.IFNA(IF(INDEX(Tb_KostenOptiesDB[],MATCH($F1406,Tb_KostenOptiesDB[KostenOptie],0),IFERROR(MATCH(Methode_Keuze,Tb_KostenOptiesDB[#Headers],0),2))=1,_xlfn.SWITCH($N1406,"Uurtarief",IF(OR(AND(RIGHT($F1406,3)="IKS",VLOOKUP($M1406,DB_Loonkosten,2,0)="Ja"),AND(RIGHT($F1406,3)&lt;&gt;"IKS",VLOOKUP($M1406,DB_Loonkosten,2,0)="Nee")),IFERROR(VLOOKUP($M1406,DB_Loonkosten,24,0),""),0),"Vast tarief",IF(LEFT(F1406,8)="Bijdrage",VLOOKUP($F1406,Tb_KostenTypen[],MATCH(Lijsten!$P$1,Tb_KostenTypen[#Headers],0),0),VLOOKUP($G1406,Lijsten!L:P,MATCH(Lijsten!$P$1,Kop_Tarief_Vast,0),0))),""),"")</f>
        <v/>
      </c>
      <c r="P1406" s="320" t="str" cm="1">
        <f t="array" ref="P1406">_xlfn.IFNA(IF(INDEX(Tb_KostenOptiesDB[],MATCH($F1406,Tb_KostenOptiesDB[KostenOptie],0),IFERROR(MATCH(Methode_Keuze,Tb_KostenOptiesDB[#Headers],0),2))=1,_xlfn.SWITCH($N1406,"Uurtarief",IF(OR(AND(RIGHT($F1406,3)="IKS",VLOOKUP($M1406,DB_Loonkosten,2,0)="Ja"),AND(RIGHT($F1406,3)&lt;&gt;"IKS",VLOOKUP($M1406,DB_Loonkosten,2,0)="Nee")),IFERROR(VLOOKUP($M1406,DB_Loonkosten,25,0),""),0),"Vast tarief",IF(LEFT(F1406,8)="Bijdrage",VLOOKUP($F1406,Tb_KostenTypen[],MATCH(Lijsten!$P$1,Tb_KostenTypen[#Headers],0),0),VLOOKUP($G1406,Lijsten!L:P,MATCH(Lijsten!$P$1,Kop_Tarief_Vast,0),0))),""),"")</f>
        <v/>
      </c>
      <c r="Q1406" s="359"/>
      <c r="R1406" s="359"/>
      <c r="S1406" s="321"/>
      <c r="T1406" s="321"/>
      <c r="U1406" s="373" t="str">
        <f t="shared" si="84"/>
        <v/>
      </c>
      <c r="V1406" s="314" t="str">
        <f t="shared" si="85"/>
        <v/>
      </c>
      <c r="W1406" s="314" t="str" cm="1">
        <f t="array" aca="1" ref="W1406" ca="1">IFERROR(IF(AE1406&lt;&gt;"ja",_xlfn.IFNA(_xlfn.IFS(AND(O1406&lt;&gt;"",F1406&lt;&gt;"",RIGHT($N1406,6)="tarief",F1406="Vergoeding"),SUM(O1406)*FLOOR(SUM(Q1406),0.0001),AND(O1406&lt;&gt;"",F1406&lt;&gt;"",RIGHT($N1406,6)="tarief"),SUM(O1406)*FLOOR(SUM(Q1406),0.01),S1406&gt;0,IF(F1406&lt;&gt;"",FLOOR(SUM(S1406),0.01),"")),""),""),"")</f>
        <v/>
      </c>
      <c r="X1406" s="314" t="str" cm="1">
        <f t="array" aca="1" ref="X1406" ca="1">IFERROR(IF(AE1406&lt;&gt;"ja",_xlfn.IFNA(_xlfn.IFS(AND(P1406&lt;&gt;"",R1406&lt;&gt;"",RIGHT($N1406,6)="tarief",F1406="Vergoeding"),SUM(P1406)*FLOOR(SUM(R1406),0.0001),AND(P1406&lt;&gt;"",R1406&lt;&gt;"",RIGHT($N1406,6)="tarief"),P1406*FLOOR(R1406,0.01),T1406&gt;0,FLOOR(SUM(T1406),0.01)),""),""),"")</f>
        <v/>
      </c>
      <c r="Y1406" s="314" t="str">
        <f t="shared" ca="1" si="86"/>
        <v/>
      </c>
      <c r="Z1406" s="314" t="str" cm="1">
        <f t="array" aca="1" ref="Z1406" ca="1">IFERROR(_xlfn.IFS(OR(F1406="",LEFT(Methode_Keuze,4)="Geen",Methode_Keuze=""),"",AND(W1406&lt;&gt;"",F1406&lt;&gt;"Arbeidskosten"),W1406*VLOOKUP(F1406,Tb_ProjectKosten[],MATCH(Tb_ProjectKosten[[#Headers],[Forfait_Percentage]],Tb_ProjectKosten[#Headers],0),0),AND(F1406="Arbeidskosten",G1406&lt;&gt;""),IFERROR(W1406*VLOOKUP(G1406,Tb_KostenTypen[],3,0)*VLOOKUP(F1406,Tb_ProjectKosten[],MATCH(Tb_ProjectKosten[[#Headers],[Forfait_Percentage]],Tb_ProjectKosten[#Headers],0),0),""),W1406 &lt;=0,0),"")</f>
        <v/>
      </c>
      <c r="AA1406" s="314" t="str" cm="1">
        <f t="array" aca="1" ref="AA1406" ca="1">IFERROR(_xlfn.IFS(OR(F1406="",LEFT(Methode_Keuze,4)="Geen",Methode_Keuze=""),"",AND(X1406&lt;&gt;"",F1406&lt;&gt;"Arbeidskosten"),X1406*VLOOKUP(F1406,Tb_ProjectKosten[],MATCH(Tb_ProjectKosten[[#Headers],[Forfait_Percentage]],Tb_ProjectKosten[#Headers],0),0),AND(F1406="Arbeidskosten",G1406&lt;&gt;""),IFERROR(X1406*VLOOKUP(G1406,Tb_KostenTypen[],3,0)*VLOOKUP(F1406,Tb_ProjectKosten[],MATCH(Tb_ProjectKosten[[#Headers],[Forfait_Percentage]],Tb_ProjectKosten[#Headers],0),0),""),X1406 &lt;=0,0),"")</f>
        <v/>
      </c>
      <c r="AB1406" s="314" t="str">
        <f t="shared" ca="1" si="87"/>
        <v/>
      </c>
      <c r="AC1406" s="322"/>
      <c r="AD1406" s="315"/>
      <c r="AE1406" s="32" t="str" cm="1">
        <f t="array" ref="AE1406">IFERROR(IF(INDEX(SubsidieTabel!$AD$1:$AG$12,MATCH($F1406,SubsidieTabel!$AD$1:$AD$12,0),IFERROR(MATCH(Methode_Keuze,SubsidieTabel!$AD$1:$AG$1,0),2))&lt;&gt;1=TRUE,"ja",""),"")</f>
        <v/>
      </c>
    </row>
    <row r="1407" spans="1:31" x14ac:dyDescent="0.25">
      <c r="A1407" s="316"/>
      <c r="B1407" s="317" t="str">
        <f>IF(A1407&lt;&gt;"",_xlfn.MAXIFS($B$1:B1406,$A$1:A1406,A1407)+1,"")</f>
        <v/>
      </c>
      <c r="C1407" s="296"/>
      <c r="D1407" s="296"/>
      <c r="E1407" s="296"/>
      <c r="F1407" s="296"/>
      <c r="G1407" s="326"/>
      <c r="H1407" s="324"/>
      <c r="I1407" s="325"/>
      <c r="J1407" s="325"/>
      <c r="K1407" s="318"/>
      <c r="L1407" s="318"/>
      <c r="M1407" s="319" t="str">
        <f>IFERROR(VLOOKUP(H1407,Lijsten!$H$1:$I$100,2,0),"")</f>
        <v/>
      </c>
      <c r="N1407" s="319" t="str">
        <f ca="1">IFERROR(IF(VLOOKUP(F1407,Kostentypen!$A$3:$E$21,3,0)=0,"",IF(OR(F1407="Arbeidskosten",F1407="Vergoeding"),VLOOKUP(G1407,Tb_KostenTypen[],2,0),VLOOKUP(F1407,Kostentypen!$A$3:$E$20,3,0))),"")</f>
        <v/>
      </c>
      <c r="O1407" s="320" t="str" cm="1">
        <f t="array" ref="O1407">_xlfn.IFNA(IF(INDEX(Tb_KostenOptiesDB[],MATCH($F1407,Tb_KostenOptiesDB[KostenOptie],0),IFERROR(MATCH(Methode_Keuze,Tb_KostenOptiesDB[#Headers],0),2))=1,_xlfn.SWITCH($N1407,"Uurtarief",IF(OR(AND(RIGHT($F1407,3)="IKS",VLOOKUP($M1407,DB_Loonkosten,2,0)="Ja"),AND(RIGHT($F1407,3)&lt;&gt;"IKS",VLOOKUP($M1407,DB_Loonkosten,2,0)="Nee")),IFERROR(VLOOKUP($M1407,DB_Loonkosten,24,0),""),0),"Vast tarief",IF(LEFT(F1407,8)="Bijdrage",VLOOKUP($F1407,Tb_KostenTypen[],MATCH(Lijsten!$P$1,Tb_KostenTypen[#Headers],0),0),VLOOKUP($G1407,Lijsten!L:P,MATCH(Lijsten!$P$1,Kop_Tarief_Vast,0),0))),""),"")</f>
        <v/>
      </c>
      <c r="P1407" s="320" t="str" cm="1">
        <f t="array" ref="P1407">_xlfn.IFNA(IF(INDEX(Tb_KostenOptiesDB[],MATCH($F1407,Tb_KostenOptiesDB[KostenOptie],0),IFERROR(MATCH(Methode_Keuze,Tb_KostenOptiesDB[#Headers],0),2))=1,_xlfn.SWITCH($N1407,"Uurtarief",IF(OR(AND(RIGHT($F1407,3)="IKS",VLOOKUP($M1407,DB_Loonkosten,2,0)="Ja"),AND(RIGHT($F1407,3)&lt;&gt;"IKS",VLOOKUP($M1407,DB_Loonkosten,2,0)="Nee")),IFERROR(VLOOKUP($M1407,DB_Loonkosten,25,0),""),0),"Vast tarief",IF(LEFT(F1407,8)="Bijdrage",VLOOKUP($F1407,Tb_KostenTypen[],MATCH(Lijsten!$P$1,Tb_KostenTypen[#Headers],0),0),VLOOKUP($G1407,Lijsten!L:P,MATCH(Lijsten!$P$1,Kop_Tarief_Vast,0),0))),""),"")</f>
        <v/>
      </c>
      <c r="Q1407" s="359"/>
      <c r="R1407" s="359"/>
      <c r="S1407" s="321"/>
      <c r="T1407" s="321"/>
      <c r="U1407" s="373" t="str">
        <f t="shared" si="84"/>
        <v/>
      </c>
      <c r="V1407" s="314" t="str">
        <f t="shared" si="85"/>
        <v/>
      </c>
      <c r="W1407" s="314" t="str" cm="1">
        <f t="array" aca="1" ref="W1407" ca="1">IFERROR(IF(AE1407&lt;&gt;"ja",_xlfn.IFNA(_xlfn.IFS(AND(O1407&lt;&gt;"",F1407&lt;&gt;"",RIGHT($N1407,6)="tarief",F1407="Vergoeding"),SUM(O1407)*FLOOR(SUM(Q1407),0.0001),AND(O1407&lt;&gt;"",F1407&lt;&gt;"",RIGHT($N1407,6)="tarief"),SUM(O1407)*FLOOR(SUM(Q1407),0.01),S1407&gt;0,IF(F1407&lt;&gt;"",FLOOR(SUM(S1407),0.01),"")),""),""),"")</f>
        <v/>
      </c>
      <c r="X1407" s="314" t="str" cm="1">
        <f t="array" aca="1" ref="X1407" ca="1">IFERROR(IF(AE1407&lt;&gt;"ja",_xlfn.IFNA(_xlfn.IFS(AND(P1407&lt;&gt;"",R1407&lt;&gt;"",RIGHT($N1407,6)="tarief",F1407="Vergoeding"),SUM(P1407)*FLOOR(SUM(R1407),0.0001),AND(P1407&lt;&gt;"",R1407&lt;&gt;"",RIGHT($N1407,6)="tarief"),P1407*FLOOR(R1407,0.01),T1407&gt;0,FLOOR(SUM(T1407),0.01)),""),""),"")</f>
        <v/>
      </c>
      <c r="Y1407" s="314" t="str">
        <f t="shared" ca="1" si="86"/>
        <v/>
      </c>
      <c r="Z1407" s="314" t="str" cm="1">
        <f t="array" aca="1" ref="Z1407" ca="1">IFERROR(_xlfn.IFS(OR(F1407="",LEFT(Methode_Keuze,4)="Geen",Methode_Keuze=""),"",AND(W1407&lt;&gt;"",F1407&lt;&gt;"Arbeidskosten"),W1407*VLOOKUP(F1407,Tb_ProjectKosten[],MATCH(Tb_ProjectKosten[[#Headers],[Forfait_Percentage]],Tb_ProjectKosten[#Headers],0),0),AND(F1407="Arbeidskosten",G1407&lt;&gt;""),IFERROR(W1407*VLOOKUP(G1407,Tb_KostenTypen[],3,0)*VLOOKUP(F1407,Tb_ProjectKosten[],MATCH(Tb_ProjectKosten[[#Headers],[Forfait_Percentage]],Tb_ProjectKosten[#Headers],0),0),""),W1407 &lt;=0,0),"")</f>
        <v/>
      </c>
      <c r="AA1407" s="314" t="str" cm="1">
        <f t="array" aca="1" ref="AA1407" ca="1">IFERROR(_xlfn.IFS(OR(F1407="",LEFT(Methode_Keuze,4)="Geen",Methode_Keuze=""),"",AND(X1407&lt;&gt;"",F1407&lt;&gt;"Arbeidskosten"),X1407*VLOOKUP(F1407,Tb_ProjectKosten[],MATCH(Tb_ProjectKosten[[#Headers],[Forfait_Percentage]],Tb_ProjectKosten[#Headers],0),0),AND(F1407="Arbeidskosten",G1407&lt;&gt;""),IFERROR(X1407*VLOOKUP(G1407,Tb_KostenTypen[],3,0)*VLOOKUP(F1407,Tb_ProjectKosten[],MATCH(Tb_ProjectKosten[[#Headers],[Forfait_Percentage]],Tb_ProjectKosten[#Headers],0),0),""),X1407 &lt;=0,0),"")</f>
        <v/>
      </c>
      <c r="AB1407" s="314" t="str">
        <f t="shared" ca="1" si="87"/>
        <v/>
      </c>
      <c r="AC1407" s="322"/>
      <c r="AD1407" s="315"/>
      <c r="AE1407" s="32" t="str" cm="1">
        <f t="array" ref="AE1407">IFERROR(IF(INDEX(SubsidieTabel!$AD$1:$AG$12,MATCH($F1407,SubsidieTabel!$AD$1:$AD$12,0),IFERROR(MATCH(Methode_Keuze,SubsidieTabel!$AD$1:$AG$1,0),2))&lt;&gt;1=TRUE,"ja",""),"")</f>
        <v/>
      </c>
    </row>
    <row r="1408" spans="1:31" x14ac:dyDescent="0.25">
      <c r="A1408" s="316"/>
      <c r="B1408" s="317" t="str">
        <f>IF(A1408&lt;&gt;"",_xlfn.MAXIFS($B$1:B1407,$A$1:A1407,A1408)+1,"")</f>
        <v/>
      </c>
      <c r="C1408" s="296"/>
      <c r="D1408" s="296"/>
      <c r="E1408" s="296"/>
      <c r="F1408" s="296"/>
      <c r="G1408" s="326"/>
      <c r="H1408" s="324"/>
      <c r="I1408" s="325"/>
      <c r="J1408" s="325"/>
      <c r="K1408" s="318"/>
      <c r="L1408" s="318"/>
      <c r="M1408" s="319" t="str">
        <f>IFERROR(VLOOKUP(H1408,Lijsten!$H$1:$I$100,2,0),"")</f>
        <v/>
      </c>
      <c r="N1408" s="319" t="str">
        <f ca="1">IFERROR(IF(VLOOKUP(F1408,Kostentypen!$A$3:$E$21,3,0)=0,"",IF(OR(F1408="Arbeidskosten",F1408="Vergoeding"),VLOOKUP(G1408,Tb_KostenTypen[],2,0),VLOOKUP(F1408,Kostentypen!$A$3:$E$20,3,0))),"")</f>
        <v/>
      </c>
      <c r="O1408" s="320" t="str" cm="1">
        <f t="array" ref="O1408">_xlfn.IFNA(IF(INDEX(Tb_KostenOptiesDB[],MATCH($F1408,Tb_KostenOptiesDB[KostenOptie],0),IFERROR(MATCH(Methode_Keuze,Tb_KostenOptiesDB[#Headers],0),2))=1,_xlfn.SWITCH($N1408,"Uurtarief",IF(OR(AND(RIGHT($F1408,3)="IKS",VLOOKUP($M1408,DB_Loonkosten,2,0)="Ja"),AND(RIGHT($F1408,3)&lt;&gt;"IKS",VLOOKUP($M1408,DB_Loonkosten,2,0)="Nee")),IFERROR(VLOOKUP($M1408,DB_Loonkosten,24,0),""),0),"Vast tarief",IF(LEFT(F1408,8)="Bijdrage",VLOOKUP($F1408,Tb_KostenTypen[],MATCH(Lijsten!$P$1,Tb_KostenTypen[#Headers],0),0),VLOOKUP($G1408,Lijsten!L:P,MATCH(Lijsten!$P$1,Kop_Tarief_Vast,0),0))),""),"")</f>
        <v/>
      </c>
      <c r="P1408" s="320" t="str" cm="1">
        <f t="array" ref="P1408">_xlfn.IFNA(IF(INDEX(Tb_KostenOptiesDB[],MATCH($F1408,Tb_KostenOptiesDB[KostenOptie],0),IFERROR(MATCH(Methode_Keuze,Tb_KostenOptiesDB[#Headers],0),2))=1,_xlfn.SWITCH($N1408,"Uurtarief",IF(OR(AND(RIGHT($F1408,3)="IKS",VLOOKUP($M1408,DB_Loonkosten,2,0)="Ja"),AND(RIGHT($F1408,3)&lt;&gt;"IKS",VLOOKUP($M1408,DB_Loonkosten,2,0)="Nee")),IFERROR(VLOOKUP($M1408,DB_Loonkosten,25,0),""),0),"Vast tarief",IF(LEFT(F1408,8)="Bijdrage",VLOOKUP($F1408,Tb_KostenTypen[],MATCH(Lijsten!$P$1,Tb_KostenTypen[#Headers],0),0),VLOOKUP($G1408,Lijsten!L:P,MATCH(Lijsten!$P$1,Kop_Tarief_Vast,0),0))),""),"")</f>
        <v/>
      </c>
      <c r="Q1408" s="359"/>
      <c r="R1408" s="359"/>
      <c r="S1408" s="321"/>
      <c r="T1408" s="321"/>
      <c r="U1408" s="373" t="str">
        <f t="shared" si="84"/>
        <v/>
      </c>
      <c r="V1408" s="314" t="str">
        <f t="shared" si="85"/>
        <v/>
      </c>
      <c r="W1408" s="314" t="str" cm="1">
        <f t="array" aca="1" ref="W1408" ca="1">IFERROR(IF(AE1408&lt;&gt;"ja",_xlfn.IFNA(_xlfn.IFS(AND(O1408&lt;&gt;"",F1408&lt;&gt;"",RIGHT($N1408,6)="tarief",F1408="Vergoeding"),SUM(O1408)*FLOOR(SUM(Q1408),0.0001),AND(O1408&lt;&gt;"",F1408&lt;&gt;"",RIGHT($N1408,6)="tarief"),SUM(O1408)*FLOOR(SUM(Q1408),0.01),S1408&gt;0,IF(F1408&lt;&gt;"",FLOOR(SUM(S1408),0.01),"")),""),""),"")</f>
        <v/>
      </c>
      <c r="X1408" s="314" t="str" cm="1">
        <f t="array" aca="1" ref="X1408" ca="1">IFERROR(IF(AE1408&lt;&gt;"ja",_xlfn.IFNA(_xlfn.IFS(AND(P1408&lt;&gt;"",R1408&lt;&gt;"",RIGHT($N1408,6)="tarief",F1408="Vergoeding"),SUM(P1408)*FLOOR(SUM(R1408),0.0001),AND(P1408&lt;&gt;"",R1408&lt;&gt;"",RIGHT($N1408,6)="tarief"),P1408*FLOOR(R1408,0.01),T1408&gt;0,FLOOR(SUM(T1408),0.01)),""),""),"")</f>
        <v/>
      </c>
      <c r="Y1408" s="314" t="str">
        <f t="shared" ca="1" si="86"/>
        <v/>
      </c>
      <c r="Z1408" s="314" t="str" cm="1">
        <f t="array" aca="1" ref="Z1408" ca="1">IFERROR(_xlfn.IFS(OR(F1408="",LEFT(Methode_Keuze,4)="Geen",Methode_Keuze=""),"",AND(W1408&lt;&gt;"",F1408&lt;&gt;"Arbeidskosten"),W1408*VLOOKUP(F1408,Tb_ProjectKosten[],MATCH(Tb_ProjectKosten[[#Headers],[Forfait_Percentage]],Tb_ProjectKosten[#Headers],0),0),AND(F1408="Arbeidskosten",G1408&lt;&gt;""),IFERROR(W1408*VLOOKUP(G1408,Tb_KostenTypen[],3,0)*VLOOKUP(F1408,Tb_ProjectKosten[],MATCH(Tb_ProjectKosten[[#Headers],[Forfait_Percentage]],Tb_ProjectKosten[#Headers],0),0),""),W1408 &lt;=0,0),"")</f>
        <v/>
      </c>
      <c r="AA1408" s="314" t="str" cm="1">
        <f t="array" aca="1" ref="AA1408" ca="1">IFERROR(_xlfn.IFS(OR(F1408="",LEFT(Methode_Keuze,4)="Geen",Methode_Keuze=""),"",AND(X1408&lt;&gt;"",F1408&lt;&gt;"Arbeidskosten"),X1408*VLOOKUP(F1408,Tb_ProjectKosten[],MATCH(Tb_ProjectKosten[[#Headers],[Forfait_Percentage]],Tb_ProjectKosten[#Headers],0),0),AND(F1408="Arbeidskosten",G1408&lt;&gt;""),IFERROR(X1408*VLOOKUP(G1408,Tb_KostenTypen[],3,0)*VLOOKUP(F1408,Tb_ProjectKosten[],MATCH(Tb_ProjectKosten[[#Headers],[Forfait_Percentage]],Tb_ProjectKosten[#Headers],0),0),""),X1408 &lt;=0,0),"")</f>
        <v/>
      </c>
      <c r="AB1408" s="314" t="str">
        <f t="shared" ca="1" si="87"/>
        <v/>
      </c>
      <c r="AC1408" s="322"/>
      <c r="AD1408" s="315"/>
      <c r="AE1408" s="32" t="str" cm="1">
        <f t="array" ref="AE1408">IFERROR(IF(INDEX(SubsidieTabel!$AD$1:$AG$12,MATCH($F1408,SubsidieTabel!$AD$1:$AD$12,0),IFERROR(MATCH(Methode_Keuze,SubsidieTabel!$AD$1:$AG$1,0),2))&lt;&gt;1=TRUE,"ja",""),"")</f>
        <v/>
      </c>
    </row>
    <row r="1409" spans="1:31" x14ac:dyDescent="0.25">
      <c r="A1409" s="316"/>
      <c r="B1409" s="317" t="str">
        <f>IF(A1409&lt;&gt;"",_xlfn.MAXIFS($B$1:B1408,$A$1:A1408,A1409)+1,"")</f>
        <v/>
      </c>
      <c r="C1409" s="296"/>
      <c r="D1409" s="296"/>
      <c r="E1409" s="296"/>
      <c r="F1409" s="296"/>
      <c r="G1409" s="326"/>
      <c r="H1409" s="324"/>
      <c r="I1409" s="325"/>
      <c r="J1409" s="325"/>
      <c r="K1409" s="318"/>
      <c r="L1409" s="318"/>
      <c r="M1409" s="319" t="str">
        <f>IFERROR(VLOOKUP(H1409,Lijsten!$H$1:$I$100,2,0),"")</f>
        <v/>
      </c>
      <c r="N1409" s="319" t="str">
        <f ca="1">IFERROR(IF(VLOOKUP(F1409,Kostentypen!$A$3:$E$21,3,0)=0,"",IF(OR(F1409="Arbeidskosten",F1409="Vergoeding"),VLOOKUP(G1409,Tb_KostenTypen[],2,0),VLOOKUP(F1409,Kostentypen!$A$3:$E$20,3,0))),"")</f>
        <v/>
      </c>
      <c r="O1409" s="320" t="str" cm="1">
        <f t="array" ref="O1409">_xlfn.IFNA(IF(INDEX(Tb_KostenOptiesDB[],MATCH($F1409,Tb_KostenOptiesDB[KostenOptie],0),IFERROR(MATCH(Methode_Keuze,Tb_KostenOptiesDB[#Headers],0),2))=1,_xlfn.SWITCH($N1409,"Uurtarief",IF(OR(AND(RIGHT($F1409,3)="IKS",VLOOKUP($M1409,DB_Loonkosten,2,0)="Ja"),AND(RIGHT($F1409,3)&lt;&gt;"IKS",VLOOKUP($M1409,DB_Loonkosten,2,0)="Nee")),IFERROR(VLOOKUP($M1409,DB_Loonkosten,24,0),""),0),"Vast tarief",IF(LEFT(F1409,8)="Bijdrage",VLOOKUP($F1409,Tb_KostenTypen[],MATCH(Lijsten!$P$1,Tb_KostenTypen[#Headers],0),0),VLOOKUP($G1409,Lijsten!L:P,MATCH(Lijsten!$P$1,Kop_Tarief_Vast,0),0))),""),"")</f>
        <v/>
      </c>
      <c r="P1409" s="320" t="str" cm="1">
        <f t="array" ref="P1409">_xlfn.IFNA(IF(INDEX(Tb_KostenOptiesDB[],MATCH($F1409,Tb_KostenOptiesDB[KostenOptie],0),IFERROR(MATCH(Methode_Keuze,Tb_KostenOptiesDB[#Headers],0),2))=1,_xlfn.SWITCH($N1409,"Uurtarief",IF(OR(AND(RIGHT($F1409,3)="IKS",VLOOKUP($M1409,DB_Loonkosten,2,0)="Ja"),AND(RIGHT($F1409,3)&lt;&gt;"IKS",VLOOKUP($M1409,DB_Loonkosten,2,0)="Nee")),IFERROR(VLOOKUP($M1409,DB_Loonkosten,25,0),""),0),"Vast tarief",IF(LEFT(F1409,8)="Bijdrage",VLOOKUP($F1409,Tb_KostenTypen[],MATCH(Lijsten!$P$1,Tb_KostenTypen[#Headers],0),0),VLOOKUP($G1409,Lijsten!L:P,MATCH(Lijsten!$P$1,Kop_Tarief_Vast,0),0))),""),"")</f>
        <v/>
      </c>
      <c r="Q1409" s="359"/>
      <c r="R1409" s="359"/>
      <c r="S1409" s="321"/>
      <c r="T1409" s="321"/>
      <c r="U1409" s="373" t="str">
        <f t="shared" si="84"/>
        <v/>
      </c>
      <c r="V1409" s="314" t="str">
        <f t="shared" si="85"/>
        <v/>
      </c>
      <c r="W1409" s="314" t="str" cm="1">
        <f t="array" aca="1" ref="W1409" ca="1">IFERROR(IF(AE1409&lt;&gt;"ja",_xlfn.IFNA(_xlfn.IFS(AND(O1409&lt;&gt;"",F1409&lt;&gt;"",RIGHT($N1409,6)="tarief",F1409="Vergoeding"),SUM(O1409)*FLOOR(SUM(Q1409),0.0001),AND(O1409&lt;&gt;"",F1409&lt;&gt;"",RIGHT($N1409,6)="tarief"),SUM(O1409)*FLOOR(SUM(Q1409),0.01),S1409&gt;0,IF(F1409&lt;&gt;"",FLOOR(SUM(S1409),0.01),"")),""),""),"")</f>
        <v/>
      </c>
      <c r="X1409" s="314" t="str" cm="1">
        <f t="array" aca="1" ref="X1409" ca="1">IFERROR(IF(AE1409&lt;&gt;"ja",_xlfn.IFNA(_xlfn.IFS(AND(P1409&lt;&gt;"",R1409&lt;&gt;"",RIGHT($N1409,6)="tarief",F1409="Vergoeding"),SUM(P1409)*FLOOR(SUM(R1409),0.0001),AND(P1409&lt;&gt;"",R1409&lt;&gt;"",RIGHT($N1409,6)="tarief"),P1409*FLOOR(R1409,0.01),T1409&gt;0,FLOOR(SUM(T1409),0.01)),""),""),"")</f>
        <v/>
      </c>
      <c r="Y1409" s="314" t="str">
        <f t="shared" ca="1" si="86"/>
        <v/>
      </c>
      <c r="Z1409" s="314" t="str" cm="1">
        <f t="array" aca="1" ref="Z1409" ca="1">IFERROR(_xlfn.IFS(OR(F1409="",LEFT(Methode_Keuze,4)="Geen",Methode_Keuze=""),"",AND(W1409&lt;&gt;"",F1409&lt;&gt;"Arbeidskosten"),W1409*VLOOKUP(F1409,Tb_ProjectKosten[],MATCH(Tb_ProjectKosten[[#Headers],[Forfait_Percentage]],Tb_ProjectKosten[#Headers],0),0),AND(F1409="Arbeidskosten",G1409&lt;&gt;""),IFERROR(W1409*VLOOKUP(G1409,Tb_KostenTypen[],3,0)*VLOOKUP(F1409,Tb_ProjectKosten[],MATCH(Tb_ProjectKosten[[#Headers],[Forfait_Percentage]],Tb_ProjectKosten[#Headers],0),0),""),W1409 &lt;=0,0),"")</f>
        <v/>
      </c>
      <c r="AA1409" s="314" t="str" cm="1">
        <f t="array" aca="1" ref="AA1409" ca="1">IFERROR(_xlfn.IFS(OR(F1409="",LEFT(Methode_Keuze,4)="Geen",Methode_Keuze=""),"",AND(X1409&lt;&gt;"",F1409&lt;&gt;"Arbeidskosten"),X1409*VLOOKUP(F1409,Tb_ProjectKosten[],MATCH(Tb_ProjectKosten[[#Headers],[Forfait_Percentage]],Tb_ProjectKosten[#Headers],0),0),AND(F1409="Arbeidskosten",G1409&lt;&gt;""),IFERROR(X1409*VLOOKUP(G1409,Tb_KostenTypen[],3,0)*VLOOKUP(F1409,Tb_ProjectKosten[],MATCH(Tb_ProjectKosten[[#Headers],[Forfait_Percentage]],Tb_ProjectKosten[#Headers],0),0),""),X1409 &lt;=0,0),"")</f>
        <v/>
      </c>
      <c r="AB1409" s="314" t="str">
        <f t="shared" ca="1" si="87"/>
        <v/>
      </c>
      <c r="AC1409" s="322"/>
      <c r="AD1409" s="315"/>
      <c r="AE1409" s="32" t="str" cm="1">
        <f t="array" ref="AE1409">IFERROR(IF(INDEX(SubsidieTabel!$AD$1:$AG$12,MATCH($F1409,SubsidieTabel!$AD$1:$AD$12,0),IFERROR(MATCH(Methode_Keuze,SubsidieTabel!$AD$1:$AG$1,0),2))&lt;&gt;1=TRUE,"ja",""),"")</f>
        <v/>
      </c>
    </row>
    <row r="1410" spans="1:31" x14ac:dyDescent="0.25">
      <c r="A1410" s="316"/>
      <c r="B1410" s="317" t="str">
        <f>IF(A1410&lt;&gt;"",_xlfn.MAXIFS($B$1:B1409,$A$1:A1409,A1410)+1,"")</f>
        <v/>
      </c>
      <c r="C1410" s="296"/>
      <c r="D1410" s="296"/>
      <c r="E1410" s="296"/>
      <c r="F1410" s="296"/>
      <c r="G1410" s="326"/>
      <c r="H1410" s="324"/>
      <c r="I1410" s="325"/>
      <c r="J1410" s="325"/>
      <c r="K1410" s="318"/>
      <c r="L1410" s="318"/>
      <c r="M1410" s="319" t="str">
        <f>IFERROR(VLOOKUP(H1410,Lijsten!$H$1:$I$100,2,0),"")</f>
        <v/>
      </c>
      <c r="N1410" s="319" t="str">
        <f ca="1">IFERROR(IF(VLOOKUP(F1410,Kostentypen!$A$3:$E$21,3,0)=0,"",IF(OR(F1410="Arbeidskosten",F1410="Vergoeding"),VLOOKUP(G1410,Tb_KostenTypen[],2,0),VLOOKUP(F1410,Kostentypen!$A$3:$E$20,3,0))),"")</f>
        <v/>
      </c>
      <c r="O1410" s="320" t="str" cm="1">
        <f t="array" ref="O1410">_xlfn.IFNA(IF(INDEX(Tb_KostenOptiesDB[],MATCH($F1410,Tb_KostenOptiesDB[KostenOptie],0),IFERROR(MATCH(Methode_Keuze,Tb_KostenOptiesDB[#Headers],0),2))=1,_xlfn.SWITCH($N1410,"Uurtarief",IF(OR(AND(RIGHT($F1410,3)="IKS",VLOOKUP($M1410,DB_Loonkosten,2,0)="Ja"),AND(RIGHT($F1410,3)&lt;&gt;"IKS",VLOOKUP($M1410,DB_Loonkosten,2,0)="Nee")),IFERROR(VLOOKUP($M1410,DB_Loonkosten,24,0),""),0),"Vast tarief",IF(LEFT(F1410,8)="Bijdrage",VLOOKUP($F1410,Tb_KostenTypen[],MATCH(Lijsten!$P$1,Tb_KostenTypen[#Headers],0),0),VLOOKUP($G1410,Lijsten!L:P,MATCH(Lijsten!$P$1,Kop_Tarief_Vast,0),0))),""),"")</f>
        <v/>
      </c>
      <c r="P1410" s="320" t="str" cm="1">
        <f t="array" ref="P1410">_xlfn.IFNA(IF(INDEX(Tb_KostenOptiesDB[],MATCH($F1410,Tb_KostenOptiesDB[KostenOptie],0),IFERROR(MATCH(Methode_Keuze,Tb_KostenOptiesDB[#Headers],0),2))=1,_xlfn.SWITCH($N1410,"Uurtarief",IF(OR(AND(RIGHT($F1410,3)="IKS",VLOOKUP($M1410,DB_Loonkosten,2,0)="Ja"),AND(RIGHT($F1410,3)&lt;&gt;"IKS",VLOOKUP($M1410,DB_Loonkosten,2,0)="Nee")),IFERROR(VLOOKUP($M1410,DB_Loonkosten,25,0),""),0),"Vast tarief",IF(LEFT(F1410,8)="Bijdrage",VLOOKUP($F1410,Tb_KostenTypen[],MATCH(Lijsten!$P$1,Tb_KostenTypen[#Headers],0),0),VLOOKUP($G1410,Lijsten!L:P,MATCH(Lijsten!$P$1,Kop_Tarief_Vast,0),0))),""),"")</f>
        <v/>
      </c>
      <c r="Q1410" s="359"/>
      <c r="R1410" s="359"/>
      <c r="S1410" s="321"/>
      <c r="T1410" s="321"/>
      <c r="U1410" s="373" t="str">
        <f t="shared" si="84"/>
        <v/>
      </c>
      <c r="V1410" s="314" t="str">
        <f t="shared" si="85"/>
        <v/>
      </c>
      <c r="W1410" s="314" t="str" cm="1">
        <f t="array" aca="1" ref="W1410" ca="1">IFERROR(IF(AE1410&lt;&gt;"ja",_xlfn.IFNA(_xlfn.IFS(AND(O1410&lt;&gt;"",F1410&lt;&gt;"",RIGHT($N1410,6)="tarief",F1410="Vergoeding"),SUM(O1410)*FLOOR(SUM(Q1410),0.0001),AND(O1410&lt;&gt;"",F1410&lt;&gt;"",RIGHT($N1410,6)="tarief"),SUM(O1410)*FLOOR(SUM(Q1410),0.01),S1410&gt;0,IF(F1410&lt;&gt;"",FLOOR(SUM(S1410),0.01),"")),""),""),"")</f>
        <v/>
      </c>
      <c r="X1410" s="314" t="str" cm="1">
        <f t="array" aca="1" ref="X1410" ca="1">IFERROR(IF(AE1410&lt;&gt;"ja",_xlfn.IFNA(_xlfn.IFS(AND(P1410&lt;&gt;"",R1410&lt;&gt;"",RIGHT($N1410,6)="tarief",F1410="Vergoeding"),SUM(P1410)*FLOOR(SUM(R1410),0.0001),AND(P1410&lt;&gt;"",R1410&lt;&gt;"",RIGHT($N1410,6)="tarief"),P1410*FLOOR(R1410,0.01),T1410&gt;0,FLOOR(SUM(T1410),0.01)),""),""),"")</f>
        <v/>
      </c>
      <c r="Y1410" s="314" t="str">
        <f t="shared" ca="1" si="86"/>
        <v/>
      </c>
      <c r="Z1410" s="314" t="str" cm="1">
        <f t="array" aca="1" ref="Z1410" ca="1">IFERROR(_xlfn.IFS(OR(F1410="",LEFT(Methode_Keuze,4)="Geen",Methode_Keuze=""),"",AND(W1410&lt;&gt;"",F1410&lt;&gt;"Arbeidskosten"),W1410*VLOOKUP(F1410,Tb_ProjectKosten[],MATCH(Tb_ProjectKosten[[#Headers],[Forfait_Percentage]],Tb_ProjectKosten[#Headers],0),0),AND(F1410="Arbeidskosten",G1410&lt;&gt;""),IFERROR(W1410*VLOOKUP(G1410,Tb_KostenTypen[],3,0)*VLOOKUP(F1410,Tb_ProjectKosten[],MATCH(Tb_ProjectKosten[[#Headers],[Forfait_Percentage]],Tb_ProjectKosten[#Headers],0),0),""),W1410 &lt;=0,0),"")</f>
        <v/>
      </c>
      <c r="AA1410" s="314" t="str" cm="1">
        <f t="array" aca="1" ref="AA1410" ca="1">IFERROR(_xlfn.IFS(OR(F1410="",LEFT(Methode_Keuze,4)="Geen",Methode_Keuze=""),"",AND(X1410&lt;&gt;"",F1410&lt;&gt;"Arbeidskosten"),X1410*VLOOKUP(F1410,Tb_ProjectKosten[],MATCH(Tb_ProjectKosten[[#Headers],[Forfait_Percentage]],Tb_ProjectKosten[#Headers],0),0),AND(F1410="Arbeidskosten",G1410&lt;&gt;""),IFERROR(X1410*VLOOKUP(G1410,Tb_KostenTypen[],3,0)*VLOOKUP(F1410,Tb_ProjectKosten[],MATCH(Tb_ProjectKosten[[#Headers],[Forfait_Percentage]],Tb_ProjectKosten[#Headers],0),0),""),X1410 &lt;=0,0),"")</f>
        <v/>
      </c>
      <c r="AB1410" s="314" t="str">
        <f t="shared" ca="1" si="87"/>
        <v/>
      </c>
      <c r="AC1410" s="322"/>
      <c r="AD1410" s="315"/>
      <c r="AE1410" s="32" t="str" cm="1">
        <f t="array" ref="AE1410">IFERROR(IF(INDEX(SubsidieTabel!$AD$1:$AG$12,MATCH($F1410,SubsidieTabel!$AD$1:$AD$12,0),IFERROR(MATCH(Methode_Keuze,SubsidieTabel!$AD$1:$AG$1,0),2))&lt;&gt;1=TRUE,"ja",""),"")</f>
        <v/>
      </c>
    </row>
    <row r="1411" spans="1:31" x14ac:dyDescent="0.25">
      <c r="A1411" s="316"/>
      <c r="B1411" s="317" t="str">
        <f>IF(A1411&lt;&gt;"",_xlfn.MAXIFS($B$1:B1410,$A$1:A1410,A1411)+1,"")</f>
        <v/>
      </c>
      <c r="C1411" s="296"/>
      <c r="D1411" s="296"/>
      <c r="E1411" s="296"/>
      <c r="F1411" s="296"/>
      <c r="G1411" s="326"/>
      <c r="H1411" s="324"/>
      <c r="I1411" s="325"/>
      <c r="J1411" s="325"/>
      <c r="K1411" s="318"/>
      <c r="L1411" s="318"/>
      <c r="M1411" s="319" t="str">
        <f>IFERROR(VLOOKUP(H1411,Lijsten!$H$1:$I$100,2,0),"")</f>
        <v/>
      </c>
      <c r="N1411" s="319" t="str">
        <f ca="1">IFERROR(IF(VLOOKUP(F1411,Kostentypen!$A$3:$E$21,3,0)=0,"",IF(OR(F1411="Arbeidskosten",F1411="Vergoeding"),VLOOKUP(G1411,Tb_KostenTypen[],2,0),VLOOKUP(F1411,Kostentypen!$A$3:$E$20,3,0))),"")</f>
        <v/>
      </c>
      <c r="O1411" s="320" t="str" cm="1">
        <f t="array" ref="O1411">_xlfn.IFNA(IF(INDEX(Tb_KostenOptiesDB[],MATCH($F1411,Tb_KostenOptiesDB[KostenOptie],0),IFERROR(MATCH(Methode_Keuze,Tb_KostenOptiesDB[#Headers],0),2))=1,_xlfn.SWITCH($N1411,"Uurtarief",IF(OR(AND(RIGHT($F1411,3)="IKS",VLOOKUP($M1411,DB_Loonkosten,2,0)="Ja"),AND(RIGHT($F1411,3)&lt;&gt;"IKS",VLOOKUP($M1411,DB_Loonkosten,2,0)="Nee")),IFERROR(VLOOKUP($M1411,DB_Loonkosten,24,0),""),0),"Vast tarief",IF(LEFT(F1411,8)="Bijdrage",VLOOKUP($F1411,Tb_KostenTypen[],MATCH(Lijsten!$P$1,Tb_KostenTypen[#Headers],0),0),VLOOKUP($G1411,Lijsten!L:P,MATCH(Lijsten!$P$1,Kop_Tarief_Vast,0),0))),""),"")</f>
        <v/>
      </c>
      <c r="P1411" s="320" t="str" cm="1">
        <f t="array" ref="P1411">_xlfn.IFNA(IF(INDEX(Tb_KostenOptiesDB[],MATCH($F1411,Tb_KostenOptiesDB[KostenOptie],0),IFERROR(MATCH(Methode_Keuze,Tb_KostenOptiesDB[#Headers],0),2))=1,_xlfn.SWITCH($N1411,"Uurtarief",IF(OR(AND(RIGHT($F1411,3)="IKS",VLOOKUP($M1411,DB_Loonkosten,2,0)="Ja"),AND(RIGHT($F1411,3)&lt;&gt;"IKS",VLOOKUP($M1411,DB_Loonkosten,2,0)="Nee")),IFERROR(VLOOKUP($M1411,DB_Loonkosten,25,0),""),0),"Vast tarief",IF(LEFT(F1411,8)="Bijdrage",VLOOKUP($F1411,Tb_KostenTypen[],MATCH(Lijsten!$P$1,Tb_KostenTypen[#Headers],0),0),VLOOKUP($G1411,Lijsten!L:P,MATCH(Lijsten!$P$1,Kop_Tarief_Vast,0),0))),""),"")</f>
        <v/>
      </c>
      <c r="Q1411" s="359"/>
      <c r="R1411" s="359"/>
      <c r="S1411" s="321"/>
      <c r="T1411" s="321"/>
      <c r="U1411" s="373" t="str">
        <f t="shared" ref="U1411:U1474" si="88">IFERROR(IF(AND(R1411&lt;&gt;"",R1411&lt;&gt;Q1411),-1*(R1411-Q1411),""),"")</f>
        <v/>
      </c>
      <c r="V1411" s="314" t="str">
        <f t="shared" ref="V1411:V1474" si="89">IFERROR(IF(AND(T1411&lt;&gt;"",T1411&lt;&gt;S1411),-1*(T1411-S1411),""),"")</f>
        <v/>
      </c>
      <c r="W1411" s="314" t="str" cm="1">
        <f t="array" aca="1" ref="W1411" ca="1">IFERROR(IF(AE1411&lt;&gt;"ja",_xlfn.IFNA(_xlfn.IFS(AND(O1411&lt;&gt;"",F1411&lt;&gt;"",RIGHT($N1411,6)="tarief",F1411="Vergoeding"),SUM(O1411)*FLOOR(SUM(Q1411),0.0001),AND(O1411&lt;&gt;"",F1411&lt;&gt;"",RIGHT($N1411,6)="tarief"),SUM(O1411)*FLOOR(SUM(Q1411),0.01),S1411&gt;0,IF(F1411&lt;&gt;"",FLOOR(SUM(S1411),0.01),"")),""),""),"")</f>
        <v/>
      </c>
      <c r="X1411" s="314" t="str" cm="1">
        <f t="array" aca="1" ref="X1411" ca="1">IFERROR(IF(AE1411&lt;&gt;"ja",_xlfn.IFNA(_xlfn.IFS(AND(P1411&lt;&gt;"",R1411&lt;&gt;"",RIGHT($N1411,6)="tarief",F1411="Vergoeding"),SUM(P1411)*FLOOR(SUM(R1411),0.0001),AND(P1411&lt;&gt;"",R1411&lt;&gt;"",RIGHT($N1411,6)="tarief"),P1411*FLOOR(R1411,0.01),T1411&gt;0,FLOOR(SUM(T1411),0.01)),""),""),"")</f>
        <v/>
      </c>
      <c r="Y1411" s="314" t="str">
        <f t="shared" ref="Y1411:Y1474" ca="1" si="90">IFERROR(IF(AND(X1411&lt;&gt;"",X1411&lt;&gt;W1411),-1*(X1411-W1411),""),"")</f>
        <v/>
      </c>
      <c r="Z1411" s="314" t="str" cm="1">
        <f t="array" aca="1" ref="Z1411" ca="1">IFERROR(_xlfn.IFS(OR(F1411="",LEFT(Methode_Keuze,4)="Geen",Methode_Keuze=""),"",AND(W1411&lt;&gt;"",F1411&lt;&gt;"Arbeidskosten"),W1411*VLOOKUP(F1411,Tb_ProjectKosten[],MATCH(Tb_ProjectKosten[[#Headers],[Forfait_Percentage]],Tb_ProjectKosten[#Headers],0),0),AND(F1411="Arbeidskosten",G1411&lt;&gt;""),IFERROR(W1411*VLOOKUP(G1411,Tb_KostenTypen[],3,0)*VLOOKUP(F1411,Tb_ProjectKosten[],MATCH(Tb_ProjectKosten[[#Headers],[Forfait_Percentage]],Tb_ProjectKosten[#Headers],0),0),""),W1411 &lt;=0,0),"")</f>
        <v/>
      </c>
      <c r="AA1411" s="314" t="str" cm="1">
        <f t="array" aca="1" ref="AA1411" ca="1">IFERROR(_xlfn.IFS(OR(F1411="",LEFT(Methode_Keuze,4)="Geen",Methode_Keuze=""),"",AND(X1411&lt;&gt;"",F1411&lt;&gt;"Arbeidskosten"),X1411*VLOOKUP(F1411,Tb_ProjectKosten[],MATCH(Tb_ProjectKosten[[#Headers],[Forfait_Percentage]],Tb_ProjectKosten[#Headers],0),0),AND(F1411="Arbeidskosten",G1411&lt;&gt;""),IFERROR(X1411*VLOOKUP(G1411,Tb_KostenTypen[],3,0)*VLOOKUP(F1411,Tb_ProjectKosten[],MATCH(Tb_ProjectKosten[[#Headers],[Forfait_Percentage]],Tb_ProjectKosten[#Headers],0),0),""),X1411 &lt;=0,0),"")</f>
        <v/>
      </c>
      <c r="AB1411" s="314" t="str">
        <f t="shared" ref="AB1411:AB1474" ca="1" si="91">IFERROR(IF(AND(AA1411&lt;&gt;"",AA1411&lt;&gt;Z1411),-1*(AA1411-Z1411),""),"")</f>
        <v/>
      </c>
      <c r="AC1411" s="322"/>
      <c r="AD1411" s="315"/>
      <c r="AE1411" s="32" t="str" cm="1">
        <f t="array" ref="AE1411">IFERROR(IF(INDEX(SubsidieTabel!$AD$1:$AG$12,MATCH($F1411,SubsidieTabel!$AD$1:$AD$12,0),IFERROR(MATCH(Methode_Keuze,SubsidieTabel!$AD$1:$AG$1,0),2))&lt;&gt;1=TRUE,"ja",""),"")</f>
        <v/>
      </c>
    </row>
    <row r="1412" spans="1:31" x14ac:dyDescent="0.25">
      <c r="A1412" s="316"/>
      <c r="B1412" s="317" t="str">
        <f>IF(A1412&lt;&gt;"",_xlfn.MAXIFS($B$1:B1411,$A$1:A1411,A1412)+1,"")</f>
        <v/>
      </c>
      <c r="C1412" s="296"/>
      <c r="D1412" s="296"/>
      <c r="E1412" s="296"/>
      <c r="F1412" s="296"/>
      <c r="G1412" s="326"/>
      <c r="H1412" s="324"/>
      <c r="I1412" s="325"/>
      <c r="J1412" s="325"/>
      <c r="K1412" s="318"/>
      <c r="L1412" s="318"/>
      <c r="M1412" s="319" t="str">
        <f>IFERROR(VLOOKUP(H1412,Lijsten!$H$1:$I$100,2,0),"")</f>
        <v/>
      </c>
      <c r="N1412" s="319" t="str">
        <f ca="1">IFERROR(IF(VLOOKUP(F1412,Kostentypen!$A$3:$E$21,3,0)=0,"",IF(OR(F1412="Arbeidskosten",F1412="Vergoeding"),VLOOKUP(G1412,Tb_KostenTypen[],2,0),VLOOKUP(F1412,Kostentypen!$A$3:$E$20,3,0))),"")</f>
        <v/>
      </c>
      <c r="O1412" s="320" t="str" cm="1">
        <f t="array" ref="O1412">_xlfn.IFNA(IF(INDEX(Tb_KostenOptiesDB[],MATCH($F1412,Tb_KostenOptiesDB[KostenOptie],0),IFERROR(MATCH(Methode_Keuze,Tb_KostenOptiesDB[#Headers],0),2))=1,_xlfn.SWITCH($N1412,"Uurtarief",IF(OR(AND(RIGHT($F1412,3)="IKS",VLOOKUP($M1412,DB_Loonkosten,2,0)="Ja"),AND(RIGHT($F1412,3)&lt;&gt;"IKS",VLOOKUP($M1412,DB_Loonkosten,2,0)="Nee")),IFERROR(VLOOKUP($M1412,DB_Loonkosten,24,0),""),0),"Vast tarief",IF(LEFT(F1412,8)="Bijdrage",VLOOKUP($F1412,Tb_KostenTypen[],MATCH(Lijsten!$P$1,Tb_KostenTypen[#Headers],0),0),VLOOKUP($G1412,Lijsten!L:P,MATCH(Lijsten!$P$1,Kop_Tarief_Vast,0),0))),""),"")</f>
        <v/>
      </c>
      <c r="P1412" s="320" t="str" cm="1">
        <f t="array" ref="P1412">_xlfn.IFNA(IF(INDEX(Tb_KostenOptiesDB[],MATCH($F1412,Tb_KostenOptiesDB[KostenOptie],0),IFERROR(MATCH(Methode_Keuze,Tb_KostenOptiesDB[#Headers],0),2))=1,_xlfn.SWITCH($N1412,"Uurtarief",IF(OR(AND(RIGHT($F1412,3)="IKS",VLOOKUP($M1412,DB_Loonkosten,2,0)="Ja"),AND(RIGHT($F1412,3)&lt;&gt;"IKS",VLOOKUP($M1412,DB_Loonkosten,2,0)="Nee")),IFERROR(VLOOKUP($M1412,DB_Loonkosten,25,0),""),0),"Vast tarief",IF(LEFT(F1412,8)="Bijdrage",VLOOKUP($F1412,Tb_KostenTypen[],MATCH(Lijsten!$P$1,Tb_KostenTypen[#Headers],0),0),VLOOKUP($G1412,Lijsten!L:P,MATCH(Lijsten!$P$1,Kop_Tarief_Vast,0),0))),""),"")</f>
        <v/>
      </c>
      <c r="Q1412" s="359"/>
      <c r="R1412" s="359"/>
      <c r="S1412" s="321"/>
      <c r="T1412" s="321"/>
      <c r="U1412" s="373" t="str">
        <f t="shared" si="88"/>
        <v/>
      </c>
      <c r="V1412" s="314" t="str">
        <f t="shared" si="89"/>
        <v/>
      </c>
      <c r="W1412" s="314" t="str" cm="1">
        <f t="array" aca="1" ref="W1412" ca="1">IFERROR(IF(AE1412&lt;&gt;"ja",_xlfn.IFNA(_xlfn.IFS(AND(O1412&lt;&gt;"",F1412&lt;&gt;"",RIGHT($N1412,6)="tarief",F1412="Vergoeding"),SUM(O1412)*FLOOR(SUM(Q1412),0.0001),AND(O1412&lt;&gt;"",F1412&lt;&gt;"",RIGHT($N1412,6)="tarief"),SUM(O1412)*FLOOR(SUM(Q1412),0.01),S1412&gt;0,IF(F1412&lt;&gt;"",FLOOR(SUM(S1412),0.01),"")),""),""),"")</f>
        <v/>
      </c>
      <c r="X1412" s="314" t="str" cm="1">
        <f t="array" aca="1" ref="X1412" ca="1">IFERROR(IF(AE1412&lt;&gt;"ja",_xlfn.IFNA(_xlfn.IFS(AND(P1412&lt;&gt;"",R1412&lt;&gt;"",RIGHT($N1412,6)="tarief",F1412="Vergoeding"),SUM(P1412)*FLOOR(SUM(R1412),0.0001),AND(P1412&lt;&gt;"",R1412&lt;&gt;"",RIGHT($N1412,6)="tarief"),P1412*FLOOR(R1412,0.01),T1412&gt;0,FLOOR(SUM(T1412),0.01)),""),""),"")</f>
        <v/>
      </c>
      <c r="Y1412" s="314" t="str">
        <f t="shared" ca="1" si="90"/>
        <v/>
      </c>
      <c r="Z1412" s="314" t="str" cm="1">
        <f t="array" aca="1" ref="Z1412" ca="1">IFERROR(_xlfn.IFS(OR(F1412="",LEFT(Methode_Keuze,4)="Geen",Methode_Keuze=""),"",AND(W1412&lt;&gt;"",F1412&lt;&gt;"Arbeidskosten"),W1412*VLOOKUP(F1412,Tb_ProjectKosten[],MATCH(Tb_ProjectKosten[[#Headers],[Forfait_Percentage]],Tb_ProjectKosten[#Headers],0),0),AND(F1412="Arbeidskosten",G1412&lt;&gt;""),IFERROR(W1412*VLOOKUP(G1412,Tb_KostenTypen[],3,0)*VLOOKUP(F1412,Tb_ProjectKosten[],MATCH(Tb_ProjectKosten[[#Headers],[Forfait_Percentage]],Tb_ProjectKosten[#Headers],0),0),""),W1412 &lt;=0,0),"")</f>
        <v/>
      </c>
      <c r="AA1412" s="314" t="str" cm="1">
        <f t="array" aca="1" ref="AA1412" ca="1">IFERROR(_xlfn.IFS(OR(F1412="",LEFT(Methode_Keuze,4)="Geen",Methode_Keuze=""),"",AND(X1412&lt;&gt;"",F1412&lt;&gt;"Arbeidskosten"),X1412*VLOOKUP(F1412,Tb_ProjectKosten[],MATCH(Tb_ProjectKosten[[#Headers],[Forfait_Percentage]],Tb_ProjectKosten[#Headers],0),0),AND(F1412="Arbeidskosten",G1412&lt;&gt;""),IFERROR(X1412*VLOOKUP(G1412,Tb_KostenTypen[],3,0)*VLOOKUP(F1412,Tb_ProjectKosten[],MATCH(Tb_ProjectKosten[[#Headers],[Forfait_Percentage]],Tb_ProjectKosten[#Headers],0),0),""),X1412 &lt;=0,0),"")</f>
        <v/>
      </c>
      <c r="AB1412" s="314" t="str">
        <f t="shared" ca="1" si="91"/>
        <v/>
      </c>
      <c r="AC1412" s="322"/>
      <c r="AD1412" s="315"/>
      <c r="AE1412" s="32" t="str" cm="1">
        <f t="array" ref="AE1412">IFERROR(IF(INDEX(SubsidieTabel!$AD$1:$AG$12,MATCH($F1412,SubsidieTabel!$AD$1:$AD$12,0),IFERROR(MATCH(Methode_Keuze,SubsidieTabel!$AD$1:$AG$1,0),2))&lt;&gt;1=TRUE,"ja",""),"")</f>
        <v/>
      </c>
    </row>
    <row r="1413" spans="1:31" x14ac:dyDescent="0.25">
      <c r="A1413" s="316"/>
      <c r="B1413" s="317" t="str">
        <f>IF(A1413&lt;&gt;"",_xlfn.MAXIFS($B$1:B1412,$A$1:A1412,A1413)+1,"")</f>
        <v/>
      </c>
      <c r="C1413" s="296"/>
      <c r="D1413" s="296"/>
      <c r="E1413" s="296"/>
      <c r="F1413" s="296"/>
      <c r="G1413" s="326"/>
      <c r="H1413" s="324"/>
      <c r="I1413" s="325"/>
      <c r="J1413" s="325"/>
      <c r="K1413" s="318"/>
      <c r="L1413" s="318"/>
      <c r="M1413" s="319" t="str">
        <f>IFERROR(VLOOKUP(H1413,Lijsten!$H$1:$I$100,2,0),"")</f>
        <v/>
      </c>
      <c r="N1413" s="319" t="str">
        <f ca="1">IFERROR(IF(VLOOKUP(F1413,Kostentypen!$A$3:$E$21,3,0)=0,"",IF(OR(F1413="Arbeidskosten",F1413="Vergoeding"),VLOOKUP(G1413,Tb_KostenTypen[],2,0),VLOOKUP(F1413,Kostentypen!$A$3:$E$20,3,0))),"")</f>
        <v/>
      </c>
      <c r="O1413" s="320" t="str" cm="1">
        <f t="array" ref="O1413">_xlfn.IFNA(IF(INDEX(Tb_KostenOptiesDB[],MATCH($F1413,Tb_KostenOptiesDB[KostenOptie],0),IFERROR(MATCH(Methode_Keuze,Tb_KostenOptiesDB[#Headers],0),2))=1,_xlfn.SWITCH($N1413,"Uurtarief",IF(OR(AND(RIGHT($F1413,3)="IKS",VLOOKUP($M1413,DB_Loonkosten,2,0)="Ja"),AND(RIGHT($F1413,3)&lt;&gt;"IKS",VLOOKUP($M1413,DB_Loonkosten,2,0)="Nee")),IFERROR(VLOOKUP($M1413,DB_Loonkosten,24,0),""),0),"Vast tarief",IF(LEFT(F1413,8)="Bijdrage",VLOOKUP($F1413,Tb_KostenTypen[],MATCH(Lijsten!$P$1,Tb_KostenTypen[#Headers],0),0),VLOOKUP($G1413,Lijsten!L:P,MATCH(Lijsten!$P$1,Kop_Tarief_Vast,0),0))),""),"")</f>
        <v/>
      </c>
      <c r="P1413" s="320" t="str" cm="1">
        <f t="array" ref="P1413">_xlfn.IFNA(IF(INDEX(Tb_KostenOptiesDB[],MATCH($F1413,Tb_KostenOptiesDB[KostenOptie],0),IFERROR(MATCH(Methode_Keuze,Tb_KostenOptiesDB[#Headers],0),2))=1,_xlfn.SWITCH($N1413,"Uurtarief",IF(OR(AND(RIGHT($F1413,3)="IKS",VLOOKUP($M1413,DB_Loonkosten,2,0)="Ja"),AND(RIGHT($F1413,3)&lt;&gt;"IKS",VLOOKUP($M1413,DB_Loonkosten,2,0)="Nee")),IFERROR(VLOOKUP($M1413,DB_Loonkosten,25,0),""),0),"Vast tarief",IF(LEFT(F1413,8)="Bijdrage",VLOOKUP($F1413,Tb_KostenTypen[],MATCH(Lijsten!$P$1,Tb_KostenTypen[#Headers],0),0),VLOOKUP($G1413,Lijsten!L:P,MATCH(Lijsten!$P$1,Kop_Tarief_Vast,0),0))),""),"")</f>
        <v/>
      </c>
      <c r="Q1413" s="359"/>
      <c r="R1413" s="359"/>
      <c r="S1413" s="321"/>
      <c r="T1413" s="321"/>
      <c r="U1413" s="373" t="str">
        <f t="shared" si="88"/>
        <v/>
      </c>
      <c r="V1413" s="314" t="str">
        <f t="shared" si="89"/>
        <v/>
      </c>
      <c r="W1413" s="314" t="str" cm="1">
        <f t="array" aca="1" ref="W1413" ca="1">IFERROR(IF(AE1413&lt;&gt;"ja",_xlfn.IFNA(_xlfn.IFS(AND(O1413&lt;&gt;"",F1413&lt;&gt;"",RIGHT($N1413,6)="tarief",F1413="Vergoeding"),SUM(O1413)*FLOOR(SUM(Q1413),0.0001),AND(O1413&lt;&gt;"",F1413&lt;&gt;"",RIGHT($N1413,6)="tarief"),SUM(O1413)*FLOOR(SUM(Q1413),0.01),S1413&gt;0,IF(F1413&lt;&gt;"",FLOOR(SUM(S1413),0.01),"")),""),""),"")</f>
        <v/>
      </c>
      <c r="X1413" s="314" t="str" cm="1">
        <f t="array" aca="1" ref="X1413" ca="1">IFERROR(IF(AE1413&lt;&gt;"ja",_xlfn.IFNA(_xlfn.IFS(AND(P1413&lt;&gt;"",R1413&lt;&gt;"",RIGHT($N1413,6)="tarief",F1413="Vergoeding"),SUM(P1413)*FLOOR(SUM(R1413),0.0001),AND(P1413&lt;&gt;"",R1413&lt;&gt;"",RIGHT($N1413,6)="tarief"),P1413*FLOOR(R1413,0.01),T1413&gt;0,FLOOR(SUM(T1413),0.01)),""),""),"")</f>
        <v/>
      </c>
      <c r="Y1413" s="314" t="str">
        <f t="shared" ca="1" si="90"/>
        <v/>
      </c>
      <c r="Z1413" s="314" t="str" cm="1">
        <f t="array" aca="1" ref="Z1413" ca="1">IFERROR(_xlfn.IFS(OR(F1413="",LEFT(Methode_Keuze,4)="Geen",Methode_Keuze=""),"",AND(W1413&lt;&gt;"",F1413&lt;&gt;"Arbeidskosten"),W1413*VLOOKUP(F1413,Tb_ProjectKosten[],MATCH(Tb_ProjectKosten[[#Headers],[Forfait_Percentage]],Tb_ProjectKosten[#Headers],0),0),AND(F1413="Arbeidskosten",G1413&lt;&gt;""),IFERROR(W1413*VLOOKUP(G1413,Tb_KostenTypen[],3,0)*VLOOKUP(F1413,Tb_ProjectKosten[],MATCH(Tb_ProjectKosten[[#Headers],[Forfait_Percentage]],Tb_ProjectKosten[#Headers],0),0),""),W1413 &lt;=0,0),"")</f>
        <v/>
      </c>
      <c r="AA1413" s="314" t="str" cm="1">
        <f t="array" aca="1" ref="AA1413" ca="1">IFERROR(_xlfn.IFS(OR(F1413="",LEFT(Methode_Keuze,4)="Geen",Methode_Keuze=""),"",AND(X1413&lt;&gt;"",F1413&lt;&gt;"Arbeidskosten"),X1413*VLOOKUP(F1413,Tb_ProjectKosten[],MATCH(Tb_ProjectKosten[[#Headers],[Forfait_Percentage]],Tb_ProjectKosten[#Headers],0),0),AND(F1413="Arbeidskosten",G1413&lt;&gt;""),IFERROR(X1413*VLOOKUP(G1413,Tb_KostenTypen[],3,0)*VLOOKUP(F1413,Tb_ProjectKosten[],MATCH(Tb_ProjectKosten[[#Headers],[Forfait_Percentage]],Tb_ProjectKosten[#Headers],0),0),""),X1413 &lt;=0,0),"")</f>
        <v/>
      </c>
      <c r="AB1413" s="314" t="str">
        <f t="shared" ca="1" si="91"/>
        <v/>
      </c>
      <c r="AC1413" s="322"/>
      <c r="AD1413" s="315"/>
      <c r="AE1413" s="32" t="str" cm="1">
        <f t="array" ref="AE1413">IFERROR(IF(INDEX(SubsidieTabel!$AD$1:$AG$12,MATCH($F1413,SubsidieTabel!$AD$1:$AD$12,0),IFERROR(MATCH(Methode_Keuze,SubsidieTabel!$AD$1:$AG$1,0),2))&lt;&gt;1=TRUE,"ja",""),"")</f>
        <v/>
      </c>
    </row>
    <row r="1414" spans="1:31" x14ac:dyDescent="0.25">
      <c r="A1414" s="316"/>
      <c r="B1414" s="317" t="str">
        <f>IF(A1414&lt;&gt;"",_xlfn.MAXIFS($B$1:B1413,$A$1:A1413,A1414)+1,"")</f>
        <v/>
      </c>
      <c r="C1414" s="296"/>
      <c r="D1414" s="296"/>
      <c r="E1414" s="296"/>
      <c r="F1414" s="296"/>
      <c r="G1414" s="326"/>
      <c r="H1414" s="324"/>
      <c r="I1414" s="325"/>
      <c r="J1414" s="325"/>
      <c r="K1414" s="318"/>
      <c r="L1414" s="318"/>
      <c r="M1414" s="319" t="str">
        <f>IFERROR(VLOOKUP(H1414,Lijsten!$H$1:$I$100,2,0),"")</f>
        <v/>
      </c>
      <c r="N1414" s="319" t="str">
        <f ca="1">IFERROR(IF(VLOOKUP(F1414,Kostentypen!$A$3:$E$21,3,0)=0,"",IF(OR(F1414="Arbeidskosten",F1414="Vergoeding"),VLOOKUP(G1414,Tb_KostenTypen[],2,0),VLOOKUP(F1414,Kostentypen!$A$3:$E$20,3,0))),"")</f>
        <v/>
      </c>
      <c r="O1414" s="320" t="str" cm="1">
        <f t="array" ref="O1414">_xlfn.IFNA(IF(INDEX(Tb_KostenOptiesDB[],MATCH($F1414,Tb_KostenOptiesDB[KostenOptie],0),IFERROR(MATCH(Methode_Keuze,Tb_KostenOptiesDB[#Headers],0),2))=1,_xlfn.SWITCH($N1414,"Uurtarief",IF(OR(AND(RIGHT($F1414,3)="IKS",VLOOKUP($M1414,DB_Loonkosten,2,0)="Ja"),AND(RIGHT($F1414,3)&lt;&gt;"IKS",VLOOKUP($M1414,DB_Loonkosten,2,0)="Nee")),IFERROR(VLOOKUP($M1414,DB_Loonkosten,24,0),""),0),"Vast tarief",IF(LEFT(F1414,8)="Bijdrage",VLOOKUP($F1414,Tb_KostenTypen[],MATCH(Lijsten!$P$1,Tb_KostenTypen[#Headers],0),0),VLOOKUP($G1414,Lijsten!L:P,MATCH(Lijsten!$P$1,Kop_Tarief_Vast,0),0))),""),"")</f>
        <v/>
      </c>
      <c r="P1414" s="320" t="str" cm="1">
        <f t="array" ref="P1414">_xlfn.IFNA(IF(INDEX(Tb_KostenOptiesDB[],MATCH($F1414,Tb_KostenOptiesDB[KostenOptie],0),IFERROR(MATCH(Methode_Keuze,Tb_KostenOptiesDB[#Headers],0),2))=1,_xlfn.SWITCH($N1414,"Uurtarief",IF(OR(AND(RIGHT($F1414,3)="IKS",VLOOKUP($M1414,DB_Loonkosten,2,0)="Ja"),AND(RIGHT($F1414,3)&lt;&gt;"IKS",VLOOKUP($M1414,DB_Loonkosten,2,0)="Nee")),IFERROR(VLOOKUP($M1414,DB_Loonkosten,25,0),""),0),"Vast tarief",IF(LEFT(F1414,8)="Bijdrage",VLOOKUP($F1414,Tb_KostenTypen[],MATCH(Lijsten!$P$1,Tb_KostenTypen[#Headers],0),0),VLOOKUP($G1414,Lijsten!L:P,MATCH(Lijsten!$P$1,Kop_Tarief_Vast,0),0))),""),"")</f>
        <v/>
      </c>
      <c r="Q1414" s="359"/>
      <c r="R1414" s="359"/>
      <c r="S1414" s="321"/>
      <c r="T1414" s="321"/>
      <c r="U1414" s="373" t="str">
        <f t="shared" si="88"/>
        <v/>
      </c>
      <c r="V1414" s="314" t="str">
        <f t="shared" si="89"/>
        <v/>
      </c>
      <c r="W1414" s="314" t="str" cm="1">
        <f t="array" aca="1" ref="W1414" ca="1">IFERROR(IF(AE1414&lt;&gt;"ja",_xlfn.IFNA(_xlfn.IFS(AND(O1414&lt;&gt;"",F1414&lt;&gt;"",RIGHT($N1414,6)="tarief",F1414="Vergoeding"),SUM(O1414)*FLOOR(SUM(Q1414),0.0001),AND(O1414&lt;&gt;"",F1414&lt;&gt;"",RIGHT($N1414,6)="tarief"),SUM(O1414)*FLOOR(SUM(Q1414),0.01),S1414&gt;0,IF(F1414&lt;&gt;"",FLOOR(SUM(S1414),0.01),"")),""),""),"")</f>
        <v/>
      </c>
      <c r="X1414" s="314" t="str" cm="1">
        <f t="array" aca="1" ref="X1414" ca="1">IFERROR(IF(AE1414&lt;&gt;"ja",_xlfn.IFNA(_xlfn.IFS(AND(P1414&lt;&gt;"",R1414&lt;&gt;"",RIGHT($N1414,6)="tarief",F1414="Vergoeding"),SUM(P1414)*FLOOR(SUM(R1414),0.0001),AND(P1414&lt;&gt;"",R1414&lt;&gt;"",RIGHT($N1414,6)="tarief"),P1414*FLOOR(R1414,0.01),T1414&gt;0,FLOOR(SUM(T1414),0.01)),""),""),"")</f>
        <v/>
      </c>
      <c r="Y1414" s="314" t="str">
        <f t="shared" ca="1" si="90"/>
        <v/>
      </c>
      <c r="Z1414" s="314" t="str" cm="1">
        <f t="array" aca="1" ref="Z1414" ca="1">IFERROR(_xlfn.IFS(OR(F1414="",LEFT(Methode_Keuze,4)="Geen",Methode_Keuze=""),"",AND(W1414&lt;&gt;"",F1414&lt;&gt;"Arbeidskosten"),W1414*VLOOKUP(F1414,Tb_ProjectKosten[],MATCH(Tb_ProjectKosten[[#Headers],[Forfait_Percentage]],Tb_ProjectKosten[#Headers],0),0),AND(F1414="Arbeidskosten",G1414&lt;&gt;""),IFERROR(W1414*VLOOKUP(G1414,Tb_KostenTypen[],3,0)*VLOOKUP(F1414,Tb_ProjectKosten[],MATCH(Tb_ProjectKosten[[#Headers],[Forfait_Percentage]],Tb_ProjectKosten[#Headers],0),0),""),W1414 &lt;=0,0),"")</f>
        <v/>
      </c>
      <c r="AA1414" s="314" t="str" cm="1">
        <f t="array" aca="1" ref="AA1414" ca="1">IFERROR(_xlfn.IFS(OR(F1414="",LEFT(Methode_Keuze,4)="Geen",Methode_Keuze=""),"",AND(X1414&lt;&gt;"",F1414&lt;&gt;"Arbeidskosten"),X1414*VLOOKUP(F1414,Tb_ProjectKosten[],MATCH(Tb_ProjectKosten[[#Headers],[Forfait_Percentage]],Tb_ProjectKosten[#Headers],0),0),AND(F1414="Arbeidskosten",G1414&lt;&gt;""),IFERROR(X1414*VLOOKUP(G1414,Tb_KostenTypen[],3,0)*VLOOKUP(F1414,Tb_ProjectKosten[],MATCH(Tb_ProjectKosten[[#Headers],[Forfait_Percentage]],Tb_ProjectKosten[#Headers],0),0),""),X1414 &lt;=0,0),"")</f>
        <v/>
      </c>
      <c r="AB1414" s="314" t="str">
        <f t="shared" ca="1" si="91"/>
        <v/>
      </c>
      <c r="AC1414" s="322"/>
      <c r="AD1414" s="315"/>
      <c r="AE1414" s="32" t="str" cm="1">
        <f t="array" ref="AE1414">IFERROR(IF(INDEX(SubsidieTabel!$AD$1:$AG$12,MATCH($F1414,SubsidieTabel!$AD$1:$AD$12,0),IFERROR(MATCH(Methode_Keuze,SubsidieTabel!$AD$1:$AG$1,0),2))&lt;&gt;1=TRUE,"ja",""),"")</f>
        <v/>
      </c>
    </row>
    <row r="1415" spans="1:31" x14ac:dyDescent="0.25">
      <c r="A1415" s="316"/>
      <c r="B1415" s="317" t="str">
        <f>IF(A1415&lt;&gt;"",_xlfn.MAXIFS($B$1:B1414,$A$1:A1414,A1415)+1,"")</f>
        <v/>
      </c>
      <c r="C1415" s="296"/>
      <c r="D1415" s="296"/>
      <c r="E1415" s="296"/>
      <c r="F1415" s="296"/>
      <c r="G1415" s="326"/>
      <c r="H1415" s="324"/>
      <c r="I1415" s="325"/>
      <c r="J1415" s="325"/>
      <c r="K1415" s="318"/>
      <c r="L1415" s="318"/>
      <c r="M1415" s="319" t="str">
        <f>IFERROR(VLOOKUP(H1415,Lijsten!$H$1:$I$100,2,0),"")</f>
        <v/>
      </c>
      <c r="N1415" s="319" t="str">
        <f ca="1">IFERROR(IF(VLOOKUP(F1415,Kostentypen!$A$3:$E$21,3,0)=0,"",IF(OR(F1415="Arbeidskosten",F1415="Vergoeding"),VLOOKUP(G1415,Tb_KostenTypen[],2,0),VLOOKUP(F1415,Kostentypen!$A$3:$E$20,3,0))),"")</f>
        <v/>
      </c>
      <c r="O1415" s="320" t="str" cm="1">
        <f t="array" ref="O1415">_xlfn.IFNA(IF(INDEX(Tb_KostenOptiesDB[],MATCH($F1415,Tb_KostenOptiesDB[KostenOptie],0),IFERROR(MATCH(Methode_Keuze,Tb_KostenOptiesDB[#Headers],0),2))=1,_xlfn.SWITCH($N1415,"Uurtarief",IF(OR(AND(RIGHT($F1415,3)="IKS",VLOOKUP($M1415,DB_Loonkosten,2,0)="Ja"),AND(RIGHT($F1415,3)&lt;&gt;"IKS",VLOOKUP($M1415,DB_Loonkosten,2,0)="Nee")),IFERROR(VLOOKUP($M1415,DB_Loonkosten,24,0),""),0),"Vast tarief",IF(LEFT(F1415,8)="Bijdrage",VLOOKUP($F1415,Tb_KostenTypen[],MATCH(Lijsten!$P$1,Tb_KostenTypen[#Headers],0),0),VLOOKUP($G1415,Lijsten!L:P,MATCH(Lijsten!$P$1,Kop_Tarief_Vast,0),0))),""),"")</f>
        <v/>
      </c>
      <c r="P1415" s="320" t="str" cm="1">
        <f t="array" ref="P1415">_xlfn.IFNA(IF(INDEX(Tb_KostenOptiesDB[],MATCH($F1415,Tb_KostenOptiesDB[KostenOptie],0),IFERROR(MATCH(Methode_Keuze,Tb_KostenOptiesDB[#Headers],0),2))=1,_xlfn.SWITCH($N1415,"Uurtarief",IF(OR(AND(RIGHT($F1415,3)="IKS",VLOOKUP($M1415,DB_Loonkosten,2,0)="Ja"),AND(RIGHT($F1415,3)&lt;&gt;"IKS",VLOOKUP($M1415,DB_Loonkosten,2,0)="Nee")),IFERROR(VLOOKUP($M1415,DB_Loonkosten,25,0),""),0),"Vast tarief",IF(LEFT(F1415,8)="Bijdrage",VLOOKUP($F1415,Tb_KostenTypen[],MATCH(Lijsten!$P$1,Tb_KostenTypen[#Headers],0),0),VLOOKUP($G1415,Lijsten!L:P,MATCH(Lijsten!$P$1,Kop_Tarief_Vast,0),0))),""),"")</f>
        <v/>
      </c>
      <c r="Q1415" s="359"/>
      <c r="R1415" s="359"/>
      <c r="S1415" s="321"/>
      <c r="T1415" s="321"/>
      <c r="U1415" s="373" t="str">
        <f t="shared" si="88"/>
        <v/>
      </c>
      <c r="V1415" s="314" t="str">
        <f t="shared" si="89"/>
        <v/>
      </c>
      <c r="W1415" s="314" t="str" cm="1">
        <f t="array" aca="1" ref="W1415" ca="1">IFERROR(IF(AE1415&lt;&gt;"ja",_xlfn.IFNA(_xlfn.IFS(AND(O1415&lt;&gt;"",F1415&lt;&gt;"",RIGHT($N1415,6)="tarief",F1415="Vergoeding"),SUM(O1415)*FLOOR(SUM(Q1415),0.0001),AND(O1415&lt;&gt;"",F1415&lt;&gt;"",RIGHT($N1415,6)="tarief"),SUM(O1415)*FLOOR(SUM(Q1415),0.01),S1415&gt;0,IF(F1415&lt;&gt;"",FLOOR(SUM(S1415),0.01),"")),""),""),"")</f>
        <v/>
      </c>
      <c r="X1415" s="314" t="str" cm="1">
        <f t="array" aca="1" ref="X1415" ca="1">IFERROR(IF(AE1415&lt;&gt;"ja",_xlfn.IFNA(_xlfn.IFS(AND(P1415&lt;&gt;"",R1415&lt;&gt;"",RIGHT($N1415,6)="tarief",F1415="Vergoeding"),SUM(P1415)*FLOOR(SUM(R1415),0.0001),AND(P1415&lt;&gt;"",R1415&lt;&gt;"",RIGHT($N1415,6)="tarief"),P1415*FLOOR(R1415,0.01),T1415&gt;0,FLOOR(SUM(T1415),0.01)),""),""),"")</f>
        <v/>
      </c>
      <c r="Y1415" s="314" t="str">
        <f t="shared" ca="1" si="90"/>
        <v/>
      </c>
      <c r="Z1415" s="314" t="str" cm="1">
        <f t="array" aca="1" ref="Z1415" ca="1">IFERROR(_xlfn.IFS(OR(F1415="",LEFT(Methode_Keuze,4)="Geen",Methode_Keuze=""),"",AND(W1415&lt;&gt;"",F1415&lt;&gt;"Arbeidskosten"),W1415*VLOOKUP(F1415,Tb_ProjectKosten[],MATCH(Tb_ProjectKosten[[#Headers],[Forfait_Percentage]],Tb_ProjectKosten[#Headers],0),0),AND(F1415="Arbeidskosten",G1415&lt;&gt;""),IFERROR(W1415*VLOOKUP(G1415,Tb_KostenTypen[],3,0)*VLOOKUP(F1415,Tb_ProjectKosten[],MATCH(Tb_ProjectKosten[[#Headers],[Forfait_Percentage]],Tb_ProjectKosten[#Headers],0),0),""),W1415 &lt;=0,0),"")</f>
        <v/>
      </c>
      <c r="AA1415" s="314" t="str" cm="1">
        <f t="array" aca="1" ref="AA1415" ca="1">IFERROR(_xlfn.IFS(OR(F1415="",LEFT(Methode_Keuze,4)="Geen",Methode_Keuze=""),"",AND(X1415&lt;&gt;"",F1415&lt;&gt;"Arbeidskosten"),X1415*VLOOKUP(F1415,Tb_ProjectKosten[],MATCH(Tb_ProjectKosten[[#Headers],[Forfait_Percentage]],Tb_ProjectKosten[#Headers],0),0),AND(F1415="Arbeidskosten",G1415&lt;&gt;""),IFERROR(X1415*VLOOKUP(G1415,Tb_KostenTypen[],3,0)*VLOOKUP(F1415,Tb_ProjectKosten[],MATCH(Tb_ProjectKosten[[#Headers],[Forfait_Percentage]],Tb_ProjectKosten[#Headers],0),0),""),X1415 &lt;=0,0),"")</f>
        <v/>
      </c>
      <c r="AB1415" s="314" t="str">
        <f t="shared" ca="1" si="91"/>
        <v/>
      </c>
      <c r="AC1415" s="322"/>
      <c r="AD1415" s="315"/>
      <c r="AE1415" s="32" t="str" cm="1">
        <f t="array" ref="AE1415">IFERROR(IF(INDEX(SubsidieTabel!$AD$1:$AG$12,MATCH($F1415,SubsidieTabel!$AD$1:$AD$12,0),IFERROR(MATCH(Methode_Keuze,SubsidieTabel!$AD$1:$AG$1,0),2))&lt;&gt;1=TRUE,"ja",""),"")</f>
        <v/>
      </c>
    </row>
    <row r="1416" spans="1:31" x14ac:dyDescent="0.25">
      <c r="A1416" s="316"/>
      <c r="B1416" s="317" t="str">
        <f>IF(A1416&lt;&gt;"",_xlfn.MAXIFS($B$1:B1415,$A$1:A1415,A1416)+1,"")</f>
        <v/>
      </c>
      <c r="C1416" s="296"/>
      <c r="D1416" s="296"/>
      <c r="E1416" s="296"/>
      <c r="F1416" s="296"/>
      <c r="G1416" s="326"/>
      <c r="H1416" s="324"/>
      <c r="I1416" s="325"/>
      <c r="J1416" s="325"/>
      <c r="K1416" s="318"/>
      <c r="L1416" s="318"/>
      <c r="M1416" s="319" t="str">
        <f>IFERROR(VLOOKUP(H1416,Lijsten!$H$1:$I$100,2,0),"")</f>
        <v/>
      </c>
      <c r="N1416" s="319" t="str">
        <f ca="1">IFERROR(IF(VLOOKUP(F1416,Kostentypen!$A$3:$E$21,3,0)=0,"",IF(OR(F1416="Arbeidskosten",F1416="Vergoeding"),VLOOKUP(G1416,Tb_KostenTypen[],2,0),VLOOKUP(F1416,Kostentypen!$A$3:$E$20,3,0))),"")</f>
        <v/>
      </c>
      <c r="O1416" s="320" t="str" cm="1">
        <f t="array" ref="O1416">_xlfn.IFNA(IF(INDEX(Tb_KostenOptiesDB[],MATCH($F1416,Tb_KostenOptiesDB[KostenOptie],0),IFERROR(MATCH(Methode_Keuze,Tb_KostenOptiesDB[#Headers],0),2))=1,_xlfn.SWITCH($N1416,"Uurtarief",IF(OR(AND(RIGHT($F1416,3)="IKS",VLOOKUP($M1416,DB_Loonkosten,2,0)="Ja"),AND(RIGHT($F1416,3)&lt;&gt;"IKS",VLOOKUP($M1416,DB_Loonkosten,2,0)="Nee")),IFERROR(VLOOKUP($M1416,DB_Loonkosten,24,0),""),0),"Vast tarief",IF(LEFT(F1416,8)="Bijdrage",VLOOKUP($F1416,Tb_KostenTypen[],MATCH(Lijsten!$P$1,Tb_KostenTypen[#Headers],0),0),VLOOKUP($G1416,Lijsten!L:P,MATCH(Lijsten!$P$1,Kop_Tarief_Vast,0),0))),""),"")</f>
        <v/>
      </c>
      <c r="P1416" s="320" t="str" cm="1">
        <f t="array" ref="P1416">_xlfn.IFNA(IF(INDEX(Tb_KostenOptiesDB[],MATCH($F1416,Tb_KostenOptiesDB[KostenOptie],0),IFERROR(MATCH(Methode_Keuze,Tb_KostenOptiesDB[#Headers],0),2))=1,_xlfn.SWITCH($N1416,"Uurtarief",IF(OR(AND(RIGHT($F1416,3)="IKS",VLOOKUP($M1416,DB_Loonkosten,2,0)="Ja"),AND(RIGHT($F1416,3)&lt;&gt;"IKS",VLOOKUP($M1416,DB_Loonkosten,2,0)="Nee")),IFERROR(VLOOKUP($M1416,DB_Loonkosten,25,0),""),0),"Vast tarief",IF(LEFT(F1416,8)="Bijdrage",VLOOKUP($F1416,Tb_KostenTypen[],MATCH(Lijsten!$P$1,Tb_KostenTypen[#Headers],0),0),VLOOKUP($G1416,Lijsten!L:P,MATCH(Lijsten!$P$1,Kop_Tarief_Vast,0),0))),""),"")</f>
        <v/>
      </c>
      <c r="Q1416" s="359"/>
      <c r="R1416" s="359"/>
      <c r="S1416" s="321"/>
      <c r="T1416" s="321"/>
      <c r="U1416" s="373" t="str">
        <f t="shared" si="88"/>
        <v/>
      </c>
      <c r="V1416" s="314" t="str">
        <f t="shared" si="89"/>
        <v/>
      </c>
      <c r="W1416" s="314" t="str" cm="1">
        <f t="array" aca="1" ref="W1416" ca="1">IFERROR(IF(AE1416&lt;&gt;"ja",_xlfn.IFNA(_xlfn.IFS(AND(O1416&lt;&gt;"",F1416&lt;&gt;"",RIGHT($N1416,6)="tarief",F1416="Vergoeding"),SUM(O1416)*FLOOR(SUM(Q1416),0.0001),AND(O1416&lt;&gt;"",F1416&lt;&gt;"",RIGHT($N1416,6)="tarief"),SUM(O1416)*FLOOR(SUM(Q1416),0.01),S1416&gt;0,IF(F1416&lt;&gt;"",FLOOR(SUM(S1416),0.01),"")),""),""),"")</f>
        <v/>
      </c>
      <c r="X1416" s="314" t="str" cm="1">
        <f t="array" aca="1" ref="X1416" ca="1">IFERROR(IF(AE1416&lt;&gt;"ja",_xlfn.IFNA(_xlfn.IFS(AND(P1416&lt;&gt;"",R1416&lt;&gt;"",RIGHT($N1416,6)="tarief",F1416="Vergoeding"),SUM(P1416)*FLOOR(SUM(R1416),0.0001),AND(P1416&lt;&gt;"",R1416&lt;&gt;"",RIGHT($N1416,6)="tarief"),P1416*FLOOR(R1416,0.01),T1416&gt;0,FLOOR(SUM(T1416),0.01)),""),""),"")</f>
        <v/>
      </c>
      <c r="Y1416" s="314" t="str">
        <f t="shared" ca="1" si="90"/>
        <v/>
      </c>
      <c r="Z1416" s="314" t="str" cm="1">
        <f t="array" aca="1" ref="Z1416" ca="1">IFERROR(_xlfn.IFS(OR(F1416="",LEFT(Methode_Keuze,4)="Geen",Methode_Keuze=""),"",AND(W1416&lt;&gt;"",F1416&lt;&gt;"Arbeidskosten"),W1416*VLOOKUP(F1416,Tb_ProjectKosten[],MATCH(Tb_ProjectKosten[[#Headers],[Forfait_Percentage]],Tb_ProjectKosten[#Headers],0),0),AND(F1416="Arbeidskosten",G1416&lt;&gt;""),IFERROR(W1416*VLOOKUP(G1416,Tb_KostenTypen[],3,0)*VLOOKUP(F1416,Tb_ProjectKosten[],MATCH(Tb_ProjectKosten[[#Headers],[Forfait_Percentage]],Tb_ProjectKosten[#Headers],0),0),""),W1416 &lt;=0,0),"")</f>
        <v/>
      </c>
      <c r="AA1416" s="314" t="str" cm="1">
        <f t="array" aca="1" ref="AA1416" ca="1">IFERROR(_xlfn.IFS(OR(F1416="",LEFT(Methode_Keuze,4)="Geen",Methode_Keuze=""),"",AND(X1416&lt;&gt;"",F1416&lt;&gt;"Arbeidskosten"),X1416*VLOOKUP(F1416,Tb_ProjectKosten[],MATCH(Tb_ProjectKosten[[#Headers],[Forfait_Percentage]],Tb_ProjectKosten[#Headers],0),0),AND(F1416="Arbeidskosten",G1416&lt;&gt;""),IFERROR(X1416*VLOOKUP(G1416,Tb_KostenTypen[],3,0)*VLOOKUP(F1416,Tb_ProjectKosten[],MATCH(Tb_ProjectKosten[[#Headers],[Forfait_Percentage]],Tb_ProjectKosten[#Headers],0),0),""),X1416 &lt;=0,0),"")</f>
        <v/>
      </c>
      <c r="AB1416" s="314" t="str">
        <f t="shared" ca="1" si="91"/>
        <v/>
      </c>
      <c r="AC1416" s="322"/>
      <c r="AD1416" s="315"/>
      <c r="AE1416" s="32" t="str" cm="1">
        <f t="array" ref="AE1416">IFERROR(IF(INDEX(SubsidieTabel!$AD$1:$AG$12,MATCH($F1416,SubsidieTabel!$AD$1:$AD$12,0),IFERROR(MATCH(Methode_Keuze,SubsidieTabel!$AD$1:$AG$1,0),2))&lt;&gt;1=TRUE,"ja",""),"")</f>
        <v/>
      </c>
    </row>
    <row r="1417" spans="1:31" x14ac:dyDescent="0.25">
      <c r="A1417" s="316"/>
      <c r="B1417" s="317" t="str">
        <f>IF(A1417&lt;&gt;"",_xlfn.MAXIFS($B$1:B1416,$A$1:A1416,A1417)+1,"")</f>
        <v/>
      </c>
      <c r="C1417" s="296"/>
      <c r="D1417" s="296"/>
      <c r="E1417" s="296"/>
      <c r="F1417" s="296"/>
      <c r="G1417" s="326"/>
      <c r="H1417" s="324"/>
      <c r="I1417" s="325"/>
      <c r="J1417" s="325"/>
      <c r="K1417" s="318"/>
      <c r="L1417" s="318"/>
      <c r="M1417" s="319" t="str">
        <f>IFERROR(VLOOKUP(H1417,Lijsten!$H$1:$I$100,2,0),"")</f>
        <v/>
      </c>
      <c r="N1417" s="319" t="str">
        <f ca="1">IFERROR(IF(VLOOKUP(F1417,Kostentypen!$A$3:$E$21,3,0)=0,"",IF(OR(F1417="Arbeidskosten",F1417="Vergoeding"),VLOOKUP(G1417,Tb_KostenTypen[],2,0),VLOOKUP(F1417,Kostentypen!$A$3:$E$20,3,0))),"")</f>
        <v/>
      </c>
      <c r="O1417" s="320" t="str" cm="1">
        <f t="array" ref="O1417">_xlfn.IFNA(IF(INDEX(Tb_KostenOptiesDB[],MATCH($F1417,Tb_KostenOptiesDB[KostenOptie],0),IFERROR(MATCH(Methode_Keuze,Tb_KostenOptiesDB[#Headers],0),2))=1,_xlfn.SWITCH($N1417,"Uurtarief",IF(OR(AND(RIGHT($F1417,3)="IKS",VLOOKUP($M1417,DB_Loonkosten,2,0)="Ja"),AND(RIGHT($F1417,3)&lt;&gt;"IKS",VLOOKUP($M1417,DB_Loonkosten,2,0)="Nee")),IFERROR(VLOOKUP($M1417,DB_Loonkosten,24,0),""),0),"Vast tarief",IF(LEFT(F1417,8)="Bijdrage",VLOOKUP($F1417,Tb_KostenTypen[],MATCH(Lijsten!$P$1,Tb_KostenTypen[#Headers],0),0),VLOOKUP($G1417,Lijsten!L:P,MATCH(Lijsten!$P$1,Kop_Tarief_Vast,0),0))),""),"")</f>
        <v/>
      </c>
      <c r="P1417" s="320" t="str" cm="1">
        <f t="array" ref="P1417">_xlfn.IFNA(IF(INDEX(Tb_KostenOptiesDB[],MATCH($F1417,Tb_KostenOptiesDB[KostenOptie],0),IFERROR(MATCH(Methode_Keuze,Tb_KostenOptiesDB[#Headers],0),2))=1,_xlfn.SWITCH($N1417,"Uurtarief",IF(OR(AND(RIGHT($F1417,3)="IKS",VLOOKUP($M1417,DB_Loonkosten,2,0)="Ja"),AND(RIGHT($F1417,3)&lt;&gt;"IKS",VLOOKUP($M1417,DB_Loonkosten,2,0)="Nee")),IFERROR(VLOOKUP($M1417,DB_Loonkosten,25,0),""),0),"Vast tarief",IF(LEFT(F1417,8)="Bijdrage",VLOOKUP($F1417,Tb_KostenTypen[],MATCH(Lijsten!$P$1,Tb_KostenTypen[#Headers],0),0),VLOOKUP($G1417,Lijsten!L:P,MATCH(Lijsten!$P$1,Kop_Tarief_Vast,0),0))),""),"")</f>
        <v/>
      </c>
      <c r="Q1417" s="359"/>
      <c r="R1417" s="359"/>
      <c r="S1417" s="321"/>
      <c r="T1417" s="321"/>
      <c r="U1417" s="373" t="str">
        <f t="shared" si="88"/>
        <v/>
      </c>
      <c r="V1417" s="314" t="str">
        <f t="shared" si="89"/>
        <v/>
      </c>
      <c r="W1417" s="314" t="str" cm="1">
        <f t="array" aca="1" ref="W1417" ca="1">IFERROR(IF(AE1417&lt;&gt;"ja",_xlfn.IFNA(_xlfn.IFS(AND(O1417&lt;&gt;"",F1417&lt;&gt;"",RIGHT($N1417,6)="tarief",F1417="Vergoeding"),SUM(O1417)*FLOOR(SUM(Q1417),0.0001),AND(O1417&lt;&gt;"",F1417&lt;&gt;"",RIGHT($N1417,6)="tarief"),SUM(O1417)*FLOOR(SUM(Q1417),0.01),S1417&gt;0,IF(F1417&lt;&gt;"",FLOOR(SUM(S1417),0.01),"")),""),""),"")</f>
        <v/>
      </c>
      <c r="X1417" s="314" t="str" cm="1">
        <f t="array" aca="1" ref="X1417" ca="1">IFERROR(IF(AE1417&lt;&gt;"ja",_xlfn.IFNA(_xlfn.IFS(AND(P1417&lt;&gt;"",R1417&lt;&gt;"",RIGHT($N1417,6)="tarief",F1417="Vergoeding"),SUM(P1417)*FLOOR(SUM(R1417),0.0001),AND(P1417&lt;&gt;"",R1417&lt;&gt;"",RIGHT($N1417,6)="tarief"),P1417*FLOOR(R1417,0.01),T1417&gt;0,FLOOR(SUM(T1417),0.01)),""),""),"")</f>
        <v/>
      </c>
      <c r="Y1417" s="314" t="str">
        <f t="shared" ca="1" si="90"/>
        <v/>
      </c>
      <c r="Z1417" s="314" t="str" cm="1">
        <f t="array" aca="1" ref="Z1417" ca="1">IFERROR(_xlfn.IFS(OR(F1417="",LEFT(Methode_Keuze,4)="Geen",Methode_Keuze=""),"",AND(W1417&lt;&gt;"",F1417&lt;&gt;"Arbeidskosten"),W1417*VLOOKUP(F1417,Tb_ProjectKosten[],MATCH(Tb_ProjectKosten[[#Headers],[Forfait_Percentage]],Tb_ProjectKosten[#Headers],0),0),AND(F1417="Arbeidskosten",G1417&lt;&gt;""),IFERROR(W1417*VLOOKUP(G1417,Tb_KostenTypen[],3,0)*VLOOKUP(F1417,Tb_ProjectKosten[],MATCH(Tb_ProjectKosten[[#Headers],[Forfait_Percentage]],Tb_ProjectKosten[#Headers],0),0),""),W1417 &lt;=0,0),"")</f>
        <v/>
      </c>
      <c r="AA1417" s="314" t="str" cm="1">
        <f t="array" aca="1" ref="AA1417" ca="1">IFERROR(_xlfn.IFS(OR(F1417="",LEFT(Methode_Keuze,4)="Geen",Methode_Keuze=""),"",AND(X1417&lt;&gt;"",F1417&lt;&gt;"Arbeidskosten"),X1417*VLOOKUP(F1417,Tb_ProjectKosten[],MATCH(Tb_ProjectKosten[[#Headers],[Forfait_Percentage]],Tb_ProjectKosten[#Headers],0),0),AND(F1417="Arbeidskosten",G1417&lt;&gt;""),IFERROR(X1417*VLOOKUP(G1417,Tb_KostenTypen[],3,0)*VLOOKUP(F1417,Tb_ProjectKosten[],MATCH(Tb_ProjectKosten[[#Headers],[Forfait_Percentage]],Tb_ProjectKosten[#Headers],0),0),""),X1417 &lt;=0,0),"")</f>
        <v/>
      </c>
      <c r="AB1417" s="314" t="str">
        <f t="shared" ca="1" si="91"/>
        <v/>
      </c>
      <c r="AC1417" s="322"/>
      <c r="AD1417" s="315"/>
      <c r="AE1417" s="32" t="str" cm="1">
        <f t="array" ref="AE1417">IFERROR(IF(INDEX(SubsidieTabel!$AD$1:$AG$12,MATCH($F1417,SubsidieTabel!$AD$1:$AD$12,0),IFERROR(MATCH(Methode_Keuze,SubsidieTabel!$AD$1:$AG$1,0),2))&lt;&gt;1=TRUE,"ja",""),"")</f>
        <v/>
      </c>
    </row>
    <row r="1418" spans="1:31" x14ac:dyDescent="0.25">
      <c r="A1418" s="316"/>
      <c r="B1418" s="317" t="str">
        <f>IF(A1418&lt;&gt;"",_xlfn.MAXIFS($B$1:B1417,$A$1:A1417,A1418)+1,"")</f>
        <v/>
      </c>
      <c r="C1418" s="296"/>
      <c r="D1418" s="296"/>
      <c r="E1418" s="296"/>
      <c r="F1418" s="296"/>
      <c r="G1418" s="326"/>
      <c r="H1418" s="324"/>
      <c r="I1418" s="325"/>
      <c r="J1418" s="325"/>
      <c r="K1418" s="318"/>
      <c r="L1418" s="318"/>
      <c r="M1418" s="319" t="str">
        <f>IFERROR(VLOOKUP(H1418,Lijsten!$H$1:$I$100,2,0),"")</f>
        <v/>
      </c>
      <c r="N1418" s="319" t="str">
        <f ca="1">IFERROR(IF(VLOOKUP(F1418,Kostentypen!$A$3:$E$21,3,0)=0,"",IF(OR(F1418="Arbeidskosten",F1418="Vergoeding"),VLOOKUP(G1418,Tb_KostenTypen[],2,0),VLOOKUP(F1418,Kostentypen!$A$3:$E$20,3,0))),"")</f>
        <v/>
      </c>
      <c r="O1418" s="320" t="str" cm="1">
        <f t="array" ref="O1418">_xlfn.IFNA(IF(INDEX(Tb_KostenOptiesDB[],MATCH($F1418,Tb_KostenOptiesDB[KostenOptie],0),IFERROR(MATCH(Methode_Keuze,Tb_KostenOptiesDB[#Headers],0),2))=1,_xlfn.SWITCH($N1418,"Uurtarief",IF(OR(AND(RIGHT($F1418,3)="IKS",VLOOKUP($M1418,DB_Loonkosten,2,0)="Ja"),AND(RIGHT($F1418,3)&lt;&gt;"IKS",VLOOKUP($M1418,DB_Loonkosten,2,0)="Nee")),IFERROR(VLOOKUP($M1418,DB_Loonkosten,24,0),""),0),"Vast tarief",IF(LEFT(F1418,8)="Bijdrage",VLOOKUP($F1418,Tb_KostenTypen[],MATCH(Lijsten!$P$1,Tb_KostenTypen[#Headers],0),0),VLOOKUP($G1418,Lijsten!L:P,MATCH(Lijsten!$P$1,Kop_Tarief_Vast,0),0))),""),"")</f>
        <v/>
      </c>
      <c r="P1418" s="320" t="str" cm="1">
        <f t="array" ref="P1418">_xlfn.IFNA(IF(INDEX(Tb_KostenOptiesDB[],MATCH($F1418,Tb_KostenOptiesDB[KostenOptie],0),IFERROR(MATCH(Methode_Keuze,Tb_KostenOptiesDB[#Headers],0),2))=1,_xlfn.SWITCH($N1418,"Uurtarief",IF(OR(AND(RIGHT($F1418,3)="IKS",VLOOKUP($M1418,DB_Loonkosten,2,0)="Ja"),AND(RIGHT($F1418,3)&lt;&gt;"IKS",VLOOKUP($M1418,DB_Loonkosten,2,0)="Nee")),IFERROR(VLOOKUP($M1418,DB_Loonkosten,25,0),""),0),"Vast tarief",IF(LEFT(F1418,8)="Bijdrage",VLOOKUP($F1418,Tb_KostenTypen[],MATCH(Lijsten!$P$1,Tb_KostenTypen[#Headers],0),0),VLOOKUP($G1418,Lijsten!L:P,MATCH(Lijsten!$P$1,Kop_Tarief_Vast,0),0))),""),"")</f>
        <v/>
      </c>
      <c r="Q1418" s="359"/>
      <c r="R1418" s="359"/>
      <c r="S1418" s="321"/>
      <c r="T1418" s="321"/>
      <c r="U1418" s="373" t="str">
        <f t="shared" si="88"/>
        <v/>
      </c>
      <c r="V1418" s="314" t="str">
        <f t="shared" si="89"/>
        <v/>
      </c>
      <c r="W1418" s="314" t="str" cm="1">
        <f t="array" aca="1" ref="W1418" ca="1">IFERROR(IF(AE1418&lt;&gt;"ja",_xlfn.IFNA(_xlfn.IFS(AND(O1418&lt;&gt;"",F1418&lt;&gt;"",RIGHT($N1418,6)="tarief",F1418="Vergoeding"),SUM(O1418)*FLOOR(SUM(Q1418),0.0001),AND(O1418&lt;&gt;"",F1418&lt;&gt;"",RIGHT($N1418,6)="tarief"),SUM(O1418)*FLOOR(SUM(Q1418),0.01),S1418&gt;0,IF(F1418&lt;&gt;"",FLOOR(SUM(S1418),0.01),"")),""),""),"")</f>
        <v/>
      </c>
      <c r="X1418" s="314" t="str" cm="1">
        <f t="array" aca="1" ref="X1418" ca="1">IFERROR(IF(AE1418&lt;&gt;"ja",_xlfn.IFNA(_xlfn.IFS(AND(P1418&lt;&gt;"",R1418&lt;&gt;"",RIGHT($N1418,6)="tarief",F1418="Vergoeding"),SUM(P1418)*FLOOR(SUM(R1418),0.0001),AND(P1418&lt;&gt;"",R1418&lt;&gt;"",RIGHT($N1418,6)="tarief"),P1418*FLOOR(R1418,0.01),T1418&gt;0,FLOOR(SUM(T1418),0.01)),""),""),"")</f>
        <v/>
      </c>
      <c r="Y1418" s="314" t="str">
        <f t="shared" ca="1" si="90"/>
        <v/>
      </c>
      <c r="Z1418" s="314" t="str" cm="1">
        <f t="array" aca="1" ref="Z1418" ca="1">IFERROR(_xlfn.IFS(OR(F1418="",LEFT(Methode_Keuze,4)="Geen",Methode_Keuze=""),"",AND(W1418&lt;&gt;"",F1418&lt;&gt;"Arbeidskosten"),W1418*VLOOKUP(F1418,Tb_ProjectKosten[],MATCH(Tb_ProjectKosten[[#Headers],[Forfait_Percentage]],Tb_ProjectKosten[#Headers],0),0),AND(F1418="Arbeidskosten",G1418&lt;&gt;""),IFERROR(W1418*VLOOKUP(G1418,Tb_KostenTypen[],3,0)*VLOOKUP(F1418,Tb_ProjectKosten[],MATCH(Tb_ProjectKosten[[#Headers],[Forfait_Percentage]],Tb_ProjectKosten[#Headers],0),0),""),W1418 &lt;=0,0),"")</f>
        <v/>
      </c>
      <c r="AA1418" s="314" t="str" cm="1">
        <f t="array" aca="1" ref="AA1418" ca="1">IFERROR(_xlfn.IFS(OR(F1418="",LEFT(Methode_Keuze,4)="Geen",Methode_Keuze=""),"",AND(X1418&lt;&gt;"",F1418&lt;&gt;"Arbeidskosten"),X1418*VLOOKUP(F1418,Tb_ProjectKosten[],MATCH(Tb_ProjectKosten[[#Headers],[Forfait_Percentage]],Tb_ProjectKosten[#Headers],0),0),AND(F1418="Arbeidskosten",G1418&lt;&gt;""),IFERROR(X1418*VLOOKUP(G1418,Tb_KostenTypen[],3,0)*VLOOKUP(F1418,Tb_ProjectKosten[],MATCH(Tb_ProjectKosten[[#Headers],[Forfait_Percentage]],Tb_ProjectKosten[#Headers],0),0),""),X1418 &lt;=0,0),"")</f>
        <v/>
      </c>
      <c r="AB1418" s="314" t="str">
        <f t="shared" ca="1" si="91"/>
        <v/>
      </c>
      <c r="AC1418" s="322"/>
      <c r="AD1418" s="315"/>
      <c r="AE1418" s="32" t="str" cm="1">
        <f t="array" ref="AE1418">IFERROR(IF(INDEX(SubsidieTabel!$AD$1:$AG$12,MATCH($F1418,SubsidieTabel!$AD$1:$AD$12,0),IFERROR(MATCH(Methode_Keuze,SubsidieTabel!$AD$1:$AG$1,0),2))&lt;&gt;1=TRUE,"ja",""),"")</f>
        <v/>
      </c>
    </row>
    <row r="1419" spans="1:31" x14ac:dyDescent="0.25">
      <c r="A1419" s="316"/>
      <c r="B1419" s="317" t="str">
        <f>IF(A1419&lt;&gt;"",_xlfn.MAXIFS($B$1:B1418,$A$1:A1418,A1419)+1,"")</f>
        <v/>
      </c>
      <c r="C1419" s="296"/>
      <c r="D1419" s="296"/>
      <c r="E1419" s="296"/>
      <c r="F1419" s="296"/>
      <c r="G1419" s="326"/>
      <c r="H1419" s="324"/>
      <c r="I1419" s="325"/>
      <c r="J1419" s="325"/>
      <c r="K1419" s="318"/>
      <c r="L1419" s="318"/>
      <c r="M1419" s="319" t="str">
        <f>IFERROR(VLOOKUP(H1419,Lijsten!$H$1:$I$100,2,0),"")</f>
        <v/>
      </c>
      <c r="N1419" s="319" t="str">
        <f ca="1">IFERROR(IF(VLOOKUP(F1419,Kostentypen!$A$3:$E$21,3,0)=0,"",IF(OR(F1419="Arbeidskosten",F1419="Vergoeding"),VLOOKUP(G1419,Tb_KostenTypen[],2,0),VLOOKUP(F1419,Kostentypen!$A$3:$E$20,3,0))),"")</f>
        <v/>
      </c>
      <c r="O1419" s="320" t="str" cm="1">
        <f t="array" ref="O1419">_xlfn.IFNA(IF(INDEX(Tb_KostenOptiesDB[],MATCH($F1419,Tb_KostenOptiesDB[KostenOptie],0),IFERROR(MATCH(Methode_Keuze,Tb_KostenOptiesDB[#Headers],0),2))=1,_xlfn.SWITCH($N1419,"Uurtarief",IF(OR(AND(RIGHT($F1419,3)="IKS",VLOOKUP($M1419,DB_Loonkosten,2,0)="Ja"),AND(RIGHT($F1419,3)&lt;&gt;"IKS",VLOOKUP($M1419,DB_Loonkosten,2,0)="Nee")),IFERROR(VLOOKUP($M1419,DB_Loonkosten,24,0),""),0),"Vast tarief",IF(LEFT(F1419,8)="Bijdrage",VLOOKUP($F1419,Tb_KostenTypen[],MATCH(Lijsten!$P$1,Tb_KostenTypen[#Headers],0),0),VLOOKUP($G1419,Lijsten!L:P,MATCH(Lijsten!$P$1,Kop_Tarief_Vast,0),0))),""),"")</f>
        <v/>
      </c>
      <c r="P1419" s="320" t="str" cm="1">
        <f t="array" ref="P1419">_xlfn.IFNA(IF(INDEX(Tb_KostenOptiesDB[],MATCH($F1419,Tb_KostenOptiesDB[KostenOptie],0),IFERROR(MATCH(Methode_Keuze,Tb_KostenOptiesDB[#Headers],0),2))=1,_xlfn.SWITCH($N1419,"Uurtarief",IF(OR(AND(RIGHT($F1419,3)="IKS",VLOOKUP($M1419,DB_Loonkosten,2,0)="Ja"),AND(RIGHT($F1419,3)&lt;&gt;"IKS",VLOOKUP($M1419,DB_Loonkosten,2,0)="Nee")),IFERROR(VLOOKUP($M1419,DB_Loonkosten,25,0),""),0),"Vast tarief",IF(LEFT(F1419,8)="Bijdrage",VLOOKUP($F1419,Tb_KostenTypen[],MATCH(Lijsten!$P$1,Tb_KostenTypen[#Headers],0),0),VLOOKUP($G1419,Lijsten!L:P,MATCH(Lijsten!$P$1,Kop_Tarief_Vast,0),0))),""),"")</f>
        <v/>
      </c>
      <c r="Q1419" s="359"/>
      <c r="R1419" s="359"/>
      <c r="S1419" s="321"/>
      <c r="T1419" s="321"/>
      <c r="U1419" s="373" t="str">
        <f t="shared" si="88"/>
        <v/>
      </c>
      <c r="V1419" s="314" t="str">
        <f t="shared" si="89"/>
        <v/>
      </c>
      <c r="W1419" s="314" t="str" cm="1">
        <f t="array" aca="1" ref="W1419" ca="1">IFERROR(IF(AE1419&lt;&gt;"ja",_xlfn.IFNA(_xlfn.IFS(AND(O1419&lt;&gt;"",F1419&lt;&gt;"",RIGHT($N1419,6)="tarief",F1419="Vergoeding"),SUM(O1419)*FLOOR(SUM(Q1419),0.0001),AND(O1419&lt;&gt;"",F1419&lt;&gt;"",RIGHT($N1419,6)="tarief"),SUM(O1419)*FLOOR(SUM(Q1419),0.01),S1419&gt;0,IF(F1419&lt;&gt;"",FLOOR(SUM(S1419),0.01),"")),""),""),"")</f>
        <v/>
      </c>
      <c r="X1419" s="314" t="str" cm="1">
        <f t="array" aca="1" ref="X1419" ca="1">IFERROR(IF(AE1419&lt;&gt;"ja",_xlfn.IFNA(_xlfn.IFS(AND(P1419&lt;&gt;"",R1419&lt;&gt;"",RIGHT($N1419,6)="tarief",F1419="Vergoeding"),SUM(P1419)*FLOOR(SUM(R1419),0.0001),AND(P1419&lt;&gt;"",R1419&lt;&gt;"",RIGHT($N1419,6)="tarief"),P1419*FLOOR(R1419,0.01),T1419&gt;0,FLOOR(SUM(T1419),0.01)),""),""),"")</f>
        <v/>
      </c>
      <c r="Y1419" s="314" t="str">
        <f t="shared" ca="1" si="90"/>
        <v/>
      </c>
      <c r="Z1419" s="314" t="str" cm="1">
        <f t="array" aca="1" ref="Z1419" ca="1">IFERROR(_xlfn.IFS(OR(F1419="",LEFT(Methode_Keuze,4)="Geen",Methode_Keuze=""),"",AND(W1419&lt;&gt;"",F1419&lt;&gt;"Arbeidskosten"),W1419*VLOOKUP(F1419,Tb_ProjectKosten[],MATCH(Tb_ProjectKosten[[#Headers],[Forfait_Percentage]],Tb_ProjectKosten[#Headers],0),0),AND(F1419="Arbeidskosten",G1419&lt;&gt;""),IFERROR(W1419*VLOOKUP(G1419,Tb_KostenTypen[],3,0)*VLOOKUP(F1419,Tb_ProjectKosten[],MATCH(Tb_ProjectKosten[[#Headers],[Forfait_Percentage]],Tb_ProjectKosten[#Headers],0),0),""),W1419 &lt;=0,0),"")</f>
        <v/>
      </c>
      <c r="AA1419" s="314" t="str" cm="1">
        <f t="array" aca="1" ref="AA1419" ca="1">IFERROR(_xlfn.IFS(OR(F1419="",LEFT(Methode_Keuze,4)="Geen",Methode_Keuze=""),"",AND(X1419&lt;&gt;"",F1419&lt;&gt;"Arbeidskosten"),X1419*VLOOKUP(F1419,Tb_ProjectKosten[],MATCH(Tb_ProjectKosten[[#Headers],[Forfait_Percentage]],Tb_ProjectKosten[#Headers],0),0),AND(F1419="Arbeidskosten",G1419&lt;&gt;""),IFERROR(X1419*VLOOKUP(G1419,Tb_KostenTypen[],3,0)*VLOOKUP(F1419,Tb_ProjectKosten[],MATCH(Tb_ProjectKosten[[#Headers],[Forfait_Percentage]],Tb_ProjectKosten[#Headers],0),0),""),X1419 &lt;=0,0),"")</f>
        <v/>
      </c>
      <c r="AB1419" s="314" t="str">
        <f t="shared" ca="1" si="91"/>
        <v/>
      </c>
      <c r="AC1419" s="322"/>
      <c r="AD1419" s="315"/>
      <c r="AE1419" s="32" t="str" cm="1">
        <f t="array" ref="AE1419">IFERROR(IF(INDEX(SubsidieTabel!$AD$1:$AG$12,MATCH($F1419,SubsidieTabel!$AD$1:$AD$12,0),IFERROR(MATCH(Methode_Keuze,SubsidieTabel!$AD$1:$AG$1,0),2))&lt;&gt;1=TRUE,"ja",""),"")</f>
        <v/>
      </c>
    </row>
    <row r="1420" spans="1:31" x14ac:dyDescent="0.25">
      <c r="A1420" s="316"/>
      <c r="B1420" s="317" t="str">
        <f>IF(A1420&lt;&gt;"",_xlfn.MAXIFS($B$1:B1419,$A$1:A1419,A1420)+1,"")</f>
        <v/>
      </c>
      <c r="C1420" s="296"/>
      <c r="D1420" s="296"/>
      <c r="E1420" s="296"/>
      <c r="F1420" s="296"/>
      <c r="G1420" s="326"/>
      <c r="H1420" s="324"/>
      <c r="I1420" s="325"/>
      <c r="J1420" s="325"/>
      <c r="K1420" s="318"/>
      <c r="L1420" s="318"/>
      <c r="M1420" s="319" t="str">
        <f>IFERROR(VLOOKUP(H1420,Lijsten!$H$1:$I$100,2,0),"")</f>
        <v/>
      </c>
      <c r="N1420" s="319" t="str">
        <f ca="1">IFERROR(IF(VLOOKUP(F1420,Kostentypen!$A$3:$E$21,3,0)=0,"",IF(OR(F1420="Arbeidskosten",F1420="Vergoeding"),VLOOKUP(G1420,Tb_KostenTypen[],2,0),VLOOKUP(F1420,Kostentypen!$A$3:$E$20,3,0))),"")</f>
        <v/>
      </c>
      <c r="O1420" s="320" t="str" cm="1">
        <f t="array" ref="O1420">_xlfn.IFNA(IF(INDEX(Tb_KostenOptiesDB[],MATCH($F1420,Tb_KostenOptiesDB[KostenOptie],0),IFERROR(MATCH(Methode_Keuze,Tb_KostenOptiesDB[#Headers],0),2))=1,_xlfn.SWITCH($N1420,"Uurtarief",IF(OR(AND(RIGHT($F1420,3)="IKS",VLOOKUP($M1420,DB_Loonkosten,2,0)="Ja"),AND(RIGHT($F1420,3)&lt;&gt;"IKS",VLOOKUP($M1420,DB_Loonkosten,2,0)="Nee")),IFERROR(VLOOKUP($M1420,DB_Loonkosten,24,0),""),0),"Vast tarief",IF(LEFT(F1420,8)="Bijdrage",VLOOKUP($F1420,Tb_KostenTypen[],MATCH(Lijsten!$P$1,Tb_KostenTypen[#Headers],0),0),VLOOKUP($G1420,Lijsten!L:P,MATCH(Lijsten!$P$1,Kop_Tarief_Vast,0),0))),""),"")</f>
        <v/>
      </c>
      <c r="P1420" s="320" t="str" cm="1">
        <f t="array" ref="P1420">_xlfn.IFNA(IF(INDEX(Tb_KostenOptiesDB[],MATCH($F1420,Tb_KostenOptiesDB[KostenOptie],0),IFERROR(MATCH(Methode_Keuze,Tb_KostenOptiesDB[#Headers],0),2))=1,_xlfn.SWITCH($N1420,"Uurtarief",IF(OR(AND(RIGHT($F1420,3)="IKS",VLOOKUP($M1420,DB_Loonkosten,2,0)="Ja"),AND(RIGHT($F1420,3)&lt;&gt;"IKS",VLOOKUP($M1420,DB_Loonkosten,2,0)="Nee")),IFERROR(VLOOKUP($M1420,DB_Loonkosten,25,0),""),0),"Vast tarief",IF(LEFT(F1420,8)="Bijdrage",VLOOKUP($F1420,Tb_KostenTypen[],MATCH(Lijsten!$P$1,Tb_KostenTypen[#Headers],0),0),VLOOKUP($G1420,Lijsten!L:P,MATCH(Lijsten!$P$1,Kop_Tarief_Vast,0),0))),""),"")</f>
        <v/>
      </c>
      <c r="Q1420" s="359"/>
      <c r="R1420" s="359"/>
      <c r="S1420" s="321"/>
      <c r="T1420" s="321"/>
      <c r="U1420" s="373" t="str">
        <f t="shared" si="88"/>
        <v/>
      </c>
      <c r="V1420" s="314" t="str">
        <f t="shared" si="89"/>
        <v/>
      </c>
      <c r="W1420" s="314" t="str" cm="1">
        <f t="array" aca="1" ref="W1420" ca="1">IFERROR(IF(AE1420&lt;&gt;"ja",_xlfn.IFNA(_xlfn.IFS(AND(O1420&lt;&gt;"",F1420&lt;&gt;"",RIGHT($N1420,6)="tarief",F1420="Vergoeding"),SUM(O1420)*FLOOR(SUM(Q1420),0.0001),AND(O1420&lt;&gt;"",F1420&lt;&gt;"",RIGHT($N1420,6)="tarief"),SUM(O1420)*FLOOR(SUM(Q1420),0.01),S1420&gt;0,IF(F1420&lt;&gt;"",FLOOR(SUM(S1420),0.01),"")),""),""),"")</f>
        <v/>
      </c>
      <c r="X1420" s="314" t="str" cm="1">
        <f t="array" aca="1" ref="X1420" ca="1">IFERROR(IF(AE1420&lt;&gt;"ja",_xlfn.IFNA(_xlfn.IFS(AND(P1420&lt;&gt;"",R1420&lt;&gt;"",RIGHT($N1420,6)="tarief",F1420="Vergoeding"),SUM(P1420)*FLOOR(SUM(R1420),0.0001),AND(P1420&lt;&gt;"",R1420&lt;&gt;"",RIGHT($N1420,6)="tarief"),P1420*FLOOR(R1420,0.01),T1420&gt;0,FLOOR(SUM(T1420),0.01)),""),""),"")</f>
        <v/>
      </c>
      <c r="Y1420" s="314" t="str">
        <f t="shared" ca="1" si="90"/>
        <v/>
      </c>
      <c r="Z1420" s="314" t="str" cm="1">
        <f t="array" aca="1" ref="Z1420" ca="1">IFERROR(_xlfn.IFS(OR(F1420="",LEFT(Methode_Keuze,4)="Geen",Methode_Keuze=""),"",AND(W1420&lt;&gt;"",F1420&lt;&gt;"Arbeidskosten"),W1420*VLOOKUP(F1420,Tb_ProjectKosten[],MATCH(Tb_ProjectKosten[[#Headers],[Forfait_Percentage]],Tb_ProjectKosten[#Headers],0),0),AND(F1420="Arbeidskosten",G1420&lt;&gt;""),IFERROR(W1420*VLOOKUP(G1420,Tb_KostenTypen[],3,0)*VLOOKUP(F1420,Tb_ProjectKosten[],MATCH(Tb_ProjectKosten[[#Headers],[Forfait_Percentage]],Tb_ProjectKosten[#Headers],0),0),""),W1420 &lt;=0,0),"")</f>
        <v/>
      </c>
      <c r="AA1420" s="314" t="str" cm="1">
        <f t="array" aca="1" ref="AA1420" ca="1">IFERROR(_xlfn.IFS(OR(F1420="",LEFT(Methode_Keuze,4)="Geen",Methode_Keuze=""),"",AND(X1420&lt;&gt;"",F1420&lt;&gt;"Arbeidskosten"),X1420*VLOOKUP(F1420,Tb_ProjectKosten[],MATCH(Tb_ProjectKosten[[#Headers],[Forfait_Percentage]],Tb_ProjectKosten[#Headers],0),0),AND(F1420="Arbeidskosten",G1420&lt;&gt;""),IFERROR(X1420*VLOOKUP(G1420,Tb_KostenTypen[],3,0)*VLOOKUP(F1420,Tb_ProjectKosten[],MATCH(Tb_ProjectKosten[[#Headers],[Forfait_Percentage]],Tb_ProjectKosten[#Headers],0),0),""),X1420 &lt;=0,0),"")</f>
        <v/>
      </c>
      <c r="AB1420" s="314" t="str">
        <f t="shared" ca="1" si="91"/>
        <v/>
      </c>
      <c r="AC1420" s="322"/>
      <c r="AD1420" s="315"/>
      <c r="AE1420" s="32" t="str" cm="1">
        <f t="array" ref="AE1420">IFERROR(IF(INDEX(SubsidieTabel!$AD$1:$AG$12,MATCH($F1420,SubsidieTabel!$AD$1:$AD$12,0),IFERROR(MATCH(Methode_Keuze,SubsidieTabel!$AD$1:$AG$1,0),2))&lt;&gt;1=TRUE,"ja",""),"")</f>
        <v/>
      </c>
    </row>
    <row r="1421" spans="1:31" x14ac:dyDescent="0.25">
      <c r="A1421" s="316"/>
      <c r="B1421" s="317" t="str">
        <f>IF(A1421&lt;&gt;"",_xlfn.MAXIFS($B$1:B1420,$A$1:A1420,A1421)+1,"")</f>
        <v/>
      </c>
      <c r="C1421" s="296"/>
      <c r="D1421" s="296"/>
      <c r="E1421" s="296"/>
      <c r="F1421" s="296"/>
      <c r="G1421" s="326"/>
      <c r="H1421" s="324"/>
      <c r="I1421" s="325"/>
      <c r="J1421" s="325"/>
      <c r="K1421" s="318"/>
      <c r="L1421" s="318"/>
      <c r="M1421" s="319" t="str">
        <f>IFERROR(VLOOKUP(H1421,Lijsten!$H$1:$I$100,2,0),"")</f>
        <v/>
      </c>
      <c r="N1421" s="319" t="str">
        <f ca="1">IFERROR(IF(VLOOKUP(F1421,Kostentypen!$A$3:$E$21,3,0)=0,"",IF(OR(F1421="Arbeidskosten",F1421="Vergoeding"),VLOOKUP(G1421,Tb_KostenTypen[],2,0),VLOOKUP(F1421,Kostentypen!$A$3:$E$20,3,0))),"")</f>
        <v/>
      </c>
      <c r="O1421" s="320" t="str" cm="1">
        <f t="array" ref="O1421">_xlfn.IFNA(IF(INDEX(Tb_KostenOptiesDB[],MATCH($F1421,Tb_KostenOptiesDB[KostenOptie],0),IFERROR(MATCH(Methode_Keuze,Tb_KostenOptiesDB[#Headers],0),2))=1,_xlfn.SWITCH($N1421,"Uurtarief",IF(OR(AND(RIGHT($F1421,3)="IKS",VLOOKUP($M1421,DB_Loonkosten,2,0)="Ja"),AND(RIGHT($F1421,3)&lt;&gt;"IKS",VLOOKUP($M1421,DB_Loonkosten,2,0)="Nee")),IFERROR(VLOOKUP($M1421,DB_Loonkosten,24,0),""),0),"Vast tarief",IF(LEFT(F1421,8)="Bijdrage",VLOOKUP($F1421,Tb_KostenTypen[],MATCH(Lijsten!$P$1,Tb_KostenTypen[#Headers],0),0),VLOOKUP($G1421,Lijsten!L:P,MATCH(Lijsten!$P$1,Kop_Tarief_Vast,0),0))),""),"")</f>
        <v/>
      </c>
      <c r="P1421" s="320" t="str" cm="1">
        <f t="array" ref="P1421">_xlfn.IFNA(IF(INDEX(Tb_KostenOptiesDB[],MATCH($F1421,Tb_KostenOptiesDB[KostenOptie],0),IFERROR(MATCH(Methode_Keuze,Tb_KostenOptiesDB[#Headers],0),2))=1,_xlfn.SWITCH($N1421,"Uurtarief",IF(OR(AND(RIGHT($F1421,3)="IKS",VLOOKUP($M1421,DB_Loonkosten,2,0)="Ja"),AND(RIGHT($F1421,3)&lt;&gt;"IKS",VLOOKUP($M1421,DB_Loonkosten,2,0)="Nee")),IFERROR(VLOOKUP($M1421,DB_Loonkosten,25,0),""),0),"Vast tarief",IF(LEFT(F1421,8)="Bijdrage",VLOOKUP($F1421,Tb_KostenTypen[],MATCH(Lijsten!$P$1,Tb_KostenTypen[#Headers],0),0),VLOOKUP($G1421,Lijsten!L:P,MATCH(Lijsten!$P$1,Kop_Tarief_Vast,0),0))),""),"")</f>
        <v/>
      </c>
      <c r="Q1421" s="359"/>
      <c r="R1421" s="359"/>
      <c r="S1421" s="321"/>
      <c r="T1421" s="321"/>
      <c r="U1421" s="373" t="str">
        <f t="shared" si="88"/>
        <v/>
      </c>
      <c r="V1421" s="314" t="str">
        <f t="shared" si="89"/>
        <v/>
      </c>
      <c r="W1421" s="314" t="str" cm="1">
        <f t="array" aca="1" ref="W1421" ca="1">IFERROR(IF(AE1421&lt;&gt;"ja",_xlfn.IFNA(_xlfn.IFS(AND(O1421&lt;&gt;"",F1421&lt;&gt;"",RIGHT($N1421,6)="tarief",F1421="Vergoeding"),SUM(O1421)*FLOOR(SUM(Q1421),0.0001),AND(O1421&lt;&gt;"",F1421&lt;&gt;"",RIGHT($N1421,6)="tarief"),SUM(O1421)*FLOOR(SUM(Q1421),0.01),S1421&gt;0,IF(F1421&lt;&gt;"",FLOOR(SUM(S1421),0.01),"")),""),""),"")</f>
        <v/>
      </c>
      <c r="X1421" s="314" t="str" cm="1">
        <f t="array" aca="1" ref="X1421" ca="1">IFERROR(IF(AE1421&lt;&gt;"ja",_xlfn.IFNA(_xlfn.IFS(AND(P1421&lt;&gt;"",R1421&lt;&gt;"",RIGHT($N1421,6)="tarief",F1421="Vergoeding"),SUM(P1421)*FLOOR(SUM(R1421),0.0001),AND(P1421&lt;&gt;"",R1421&lt;&gt;"",RIGHT($N1421,6)="tarief"),P1421*FLOOR(R1421,0.01),T1421&gt;0,FLOOR(SUM(T1421),0.01)),""),""),"")</f>
        <v/>
      </c>
      <c r="Y1421" s="314" t="str">
        <f t="shared" ca="1" si="90"/>
        <v/>
      </c>
      <c r="Z1421" s="314" t="str" cm="1">
        <f t="array" aca="1" ref="Z1421" ca="1">IFERROR(_xlfn.IFS(OR(F1421="",LEFT(Methode_Keuze,4)="Geen",Methode_Keuze=""),"",AND(W1421&lt;&gt;"",F1421&lt;&gt;"Arbeidskosten"),W1421*VLOOKUP(F1421,Tb_ProjectKosten[],MATCH(Tb_ProjectKosten[[#Headers],[Forfait_Percentage]],Tb_ProjectKosten[#Headers],0),0),AND(F1421="Arbeidskosten",G1421&lt;&gt;""),IFERROR(W1421*VLOOKUP(G1421,Tb_KostenTypen[],3,0)*VLOOKUP(F1421,Tb_ProjectKosten[],MATCH(Tb_ProjectKosten[[#Headers],[Forfait_Percentage]],Tb_ProjectKosten[#Headers],0),0),""),W1421 &lt;=0,0),"")</f>
        <v/>
      </c>
      <c r="AA1421" s="314" t="str" cm="1">
        <f t="array" aca="1" ref="AA1421" ca="1">IFERROR(_xlfn.IFS(OR(F1421="",LEFT(Methode_Keuze,4)="Geen",Methode_Keuze=""),"",AND(X1421&lt;&gt;"",F1421&lt;&gt;"Arbeidskosten"),X1421*VLOOKUP(F1421,Tb_ProjectKosten[],MATCH(Tb_ProjectKosten[[#Headers],[Forfait_Percentage]],Tb_ProjectKosten[#Headers],0),0),AND(F1421="Arbeidskosten",G1421&lt;&gt;""),IFERROR(X1421*VLOOKUP(G1421,Tb_KostenTypen[],3,0)*VLOOKUP(F1421,Tb_ProjectKosten[],MATCH(Tb_ProjectKosten[[#Headers],[Forfait_Percentage]],Tb_ProjectKosten[#Headers],0),0),""),X1421 &lt;=0,0),"")</f>
        <v/>
      </c>
      <c r="AB1421" s="314" t="str">
        <f t="shared" ca="1" si="91"/>
        <v/>
      </c>
      <c r="AC1421" s="322"/>
      <c r="AD1421" s="315"/>
      <c r="AE1421" s="32" t="str" cm="1">
        <f t="array" ref="AE1421">IFERROR(IF(INDEX(SubsidieTabel!$AD$1:$AG$12,MATCH($F1421,SubsidieTabel!$AD$1:$AD$12,0),IFERROR(MATCH(Methode_Keuze,SubsidieTabel!$AD$1:$AG$1,0),2))&lt;&gt;1=TRUE,"ja",""),"")</f>
        <v/>
      </c>
    </row>
    <row r="1422" spans="1:31" x14ac:dyDescent="0.25">
      <c r="A1422" s="316"/>
      <c r="B1422" s="317" t="str">
        <f>IF(A1422&lt;&gt;"",_xlfn.MAXIFS($B$1:B1421,$A$1:A1421,A1422)+1,"")</f>
        <v/>
      </c>
      <c r="C1422" s="296"/>
      <c r="D1422" s="296"/>
      <c r="E1422" s="296"/>
      <c r="F1422" s="296"/>
      <c r="G1422" s="326"/>
      <c r="H1422" s="324"/>
      <c r="I1422" s="325"/>
      <c r="J1422" s="325"/>
      <c r="K1422" s="318"/>
      <c r="L1422" s="318"/>
      <c r="M1422" s="319" t="str">
        <f>IFERROR(VLOOKUP(H1422,Lijsten!$H$1:$I$100,2,0),"")</f>
        <v/>
      </c>
      <c r="N1422" s="319" t="str">
        <f ca="1">IFERROR(IF(VLOOKUP(F1422,Kostentypen!$A$3:$E$21,3,0)=0,"",IF(OR(F1422="Arbeidskosten",F1422="Vergoeding"),VLOOKUP(G1422,Tb_KostenTypen[],2,0),VLOOKUP(F1422,Kostentypen!$A$3:$E$20,3,0))),"")</f>
        <v/>
      </c>
      <c r="O1422" s="320" t="str" cm="1">
        <f t="array" ref="O1422">_xlfn.IFNA(IF(INDEX(Tb_KostenOptiesDB[],MATCH($F1422,Tb_KostenOptiesDB[KostenOptie],0),IFERROR(MATCH(Methode_Keuze,Tb_KostenOptiesDB[#Headers],0),2))=1,_xlfn.SWITCH($N1422,"Uurtarief",IF(OR(AND(RIGHT($F1422,3)="IKS",VLOOKUP($M1422,DB_Loonkosten,2,0)="Ja"),AND(RIGHT($F1422,3)&lt;&gt;"IKS",VLOOKUP($M1422,DB_Loonkosten,2,0)="Nee")),IFERROR(VLOOKUP($M1422,DB_Loonkosten,24,0),""),0),"Vast tarief",IF(LEFT(F1422,8)="Bijdrage",VLOOKUP($F1422,Tb_KostenTypen[],MATCH(Lijsten!$P$1,Tb_KostenTypen[#Headers],0),0),VLOOKUP($G1422,Lijsten!L:P,MATCH(Lijsten!$P$1,Kop_Tarief_Vast,0),0))),""),"")</f>
        <v/>
      </c>
      <c r="P1422" s="320" t="str" cm="1">
        <f t="array" ref="P1422">_xlfn.IFNA(IF(INDEX(Tb_KostenOptiesDB[],MATCH($F1422,Tb_KostenOptiesDB[KostenOptie],0),IFERROR(MATCH(Methode_Keuze,Tb_KostenOptiesDB[#Headers],0),2))=1,_xlfn.SWITCH($N1422,"Uurtarief",IF(OR(AND(RIGHT($F1422,3)="IKS",VLOOKUP($M1422,DB_Loonkosten,2,0)="Ja"),AND(RIGHT($F1422,3)&lt;&gt;"IKS",VLOOKUP($M1422,DB_Loonkosten,2,0)="Nee")),IFERROR(VLOOKUP($M1422,DB_Loonkosten,25,0),""),0),"Vast tarief",IF(LEFT(F1422,8)="Bijdrage",VLOOKUP($F1422,Tb_KostenTypen[],MATCH(Lijsten!$P$1,Tb_KostenTypen[#Headers],0),0),VLOOKUP($G1422,Lijsten!L:P,MATCH(Lijsten!$P$1,Kop_Tarief_Vast,0),0))),""),"")</f>
        <v/>
      </c>
      <c r="Q1422" s="359"/>
      <c r="R1422" s="359"/>
      <c r="S1422" s="321"/>
      <c r="T1422" s="321"/>
      <c r="U1422" s="373" t="str">
        <f t="shared" si="88"/>
        <v/>
      </c>
      <c r="V1422" s="314" t="str">
        <f t="shared" si="89"/>
        <v/>
      </c>
      <c r="W1422" s="314" t="str" cm="1">
        <f t="array" aca="1" ref="W1422" ca="1">IFERROR(IF(AE1422&lt;&gt;"ja",_xlfn.IFNA(_xlfn.IFS(AND(O1422&lt;&gt;"",F1422&lt;&gt;"",RIGHT($N1422,6)="tarief",F1422="Vergoeding"),SUM(O1422)*FLOOR(SUM(Q1422),0.0001),AND(O1422&lt;&gt;"",F1422&lt;&gt;"",RIGHT($N1422,6)="tarief"),SUM(O1422)*FLOOR(SUM(Q1422),0.01),S1422&gt;0,IF(F1422&lt;&gt;"",FLOOR(SUM(S1422),0.01),"")),""),""),"")</f>
        <v/>
      </c>
      <c r="X1422" s="314" t="str" cm="1">
        <f t="array" aca="1" ref="X1422" ca="1">IFERROR(IF(AE1422&lt;&gt;"ja",_xlfn.IFNA(_xlfn.IFS(AND(P1422&lt;&gt;"",R1422&lt;&gt;"",RIGHT($N1422,6)="tarief",F1422="Vergoeding"),SUM(P1422)*FLOOR(SUM(R1422),0.0001),AND(P1422&lt;&gt;"",R1422&lt;&gt;"",RIGHT($N1422,6)="tarief"),P1422*FLOOR(R1422,0.01),T1422&gt;0,FLOOR(SUM(T1422),0.01)),""),""),"")</f>
        <v/>
      </c>
      <c r="Y1422" s="314" t="str">
        <f t="shared" ca="1" si="90"/>
        <v/>
      </c>
      <c r="Z1422" s="314" t="str" cm="1">
        <f t="array" aca="1" ref="Z1422" ca="1">IFERROR(_xlfn.IFS(OR(F1422="",LEFT(Methode_Keuze,4)="Geen",Methode_Keuze=""),"",AND(W1422&lt;&gt;"",F1422&lt;&gt;"Arbeidskosten"),W1422*VLOOKUP(F1422,Tb_ProjectKosten[],MATCH(Tb_ProjectKosten[[#Headers],[Forfait_Percentage]],Tb_ProjectKosten[#Headers],0),0),AND(F1422="Arbeidskosten",G1422&lt;&gt;""),IFERROR(W1422*VLOOKUP(G1422,Tb_KostenTypen[],3,0)*VLOOKUP(F1422,Tb_ProjectKosten[],MATCH(Tb_ProjectKosten[[#Headers],[Forfait_Percentage]],Tb_ProjectKosten[#Headers],0),0),""),W1422 &lt;=0,0),"")</f>
        <v/>
      </c>
      <c r="AA1422" s="314" t="str" cm="1">
        <f t="array" aca="1" ref="AA1422" ca="1">IFERROR(_xlfn.IFS(OR(F1422="",LEFT(Methode_Keuze,4)="Geen",Methode_Keuze=""),"",AND(X1422&lt;&gt;"",F1422&lt;&gt;"Arbeidskosten"),X1422*VLOOKUP(F1422,Tb_ProjectKosten[],MATCH(Tb_ProjectKosten[[#Headers],[Forfait_Percentage]],Tb_ProjectKosten[#Headers],0),0),AND(F1422="Arbeidskosten",G1422&lt;&gt;""),IFERROR(X1422*VLOOKUP(G1422,Tb_KostenTypen[],3,0)*VLOOKUP(F1422,Tb_ProjectKosten[],MATCH(Tb_ProjectKosten[[#Headers],[Forfait_Percentage]],Tb_ProjectKosten[#Headers],0),0),""),X1422 &lt;=0,0),"")</f>
        <v/>
      </c>
      <c r="AB1422" s="314" t="str">
        <f t="shared" ca="1" si="91"/>
        <v/>
      </c>
      <c r="AC1422" s="322"/>
      <c r="AD1422" s="315"/>
      <c r="AE1422" s="32" t="str" cm="1">
        <f t="array" ref="AE1422">IFERROR(IF(INDEX(SubsidieTabel!$AD$1:$AG$12,MATCH($F1422,SubsidieTabel!$AD$1:$AD$12,0),IFERROR(MATCH(Methode_Keuze,SubsidieTabel!$AD$1:$AG$1,0),2))&lt;&gt;1=TRUE,"ja",""),"")</f>
        <v/>
      </c>
    </row>
    <row r="1423" spans="1:31" x14ac:dyDescent="0.25">
      <c r="A1423" s="316"/>
      <c r="B1423" s="317" t="str">
        <f>IF(A1423&lt;&gt;"",_xlfn.MAXIFS($B$1:B1422,$A$1:A1422,A1423)+1,"")</f>
        <v/>
      </c>
      <c r="C1423" s="296"/>
      <c r="D1423" s="296"/>
      <c r="E1423" s="296"/>
      <c r="F1423" s="296"/>
      <c r="G1423" s="326"/>
      <c r="H1423" s="324"/>
      <c r="I1423" s="325"/>
      <c r="J1423" s="325"/>
      <c r="K1423" s="318"/>
      <c r="L1423" s="318"/>
      <c r="M1423" s="319" t="str">
        <f>IFERROR(VLOOKUP(H1423,Lijsten!$H$1:$I$100,2,0),"")</f>
        <v/>
      </c>
      <c r="N1423" s="319" t="str">
        <f ca="1">IFERROR(IF(VLOOKUP(F1423,Kostentypen!$A$3:$E$21,3,0)=0,"",IF(OR(F1423="Arbeidskosten",F1423="Vergoeding"),VLOOKUP(G1423,Tb_KostenTypen[],2,0),VLOOKUP(F1423,Kostentypen!$A$3:$E$20,3,0))),"")</f>
        <v/>
      </c>
      <c r="O1423" s="320" t="str" cm="1">
        <f t="array" ref="O1423">_xlfn.IFNA(IF(INDEX(Tb_KostenOptiesDB[],MATCH($F1423,Tb_KostenOptiesDB[KostenOptie],0),IFERROR(MATCH(Methode_Keuze,Tb_KostenOptiesDB[#Headers],0),2))=1,_xlfn.SWITCH($N1423,"Uurtarief",IF(OR(AND(RIGHT($F1423,3)="IKS",VLOOKUP($M1423,DB_Loonkosten,2,0)="Ja"),AND(RIGHT($F1423,3)&lt;&gt;"IKS",VLOOKUP($M1423,DB_Loonkosten,2,0)="Nee")),IFERROR(VLOOKUP($M1423,DB_Loonkosten,24,0),""),0),"Vast tarief",IF(LEFT(F1423,8)="Bijdrage",VLOOKUP($F1423,Tb_KostenTypen[],MATCH(Lijsten!$P$1,Tb_KostenTypen[#Headers],0),0),VLOOKUP($G1423,Lijsten!L:P,MATCH(Lijsten!$P$1,Kop_Tarief_Vast,0),0))),""),"")</f>
        <v/>
      </c>
      <c r="P1423" s="320" t="str" cm="1">
        <f t="array" ref="P1423">_xlfn.IFNA(IF(INDEX(Tb_KostenOptiesDB[],MATCH($F1423,Tb_KostenOptiesDB[KostenOptie],0),IFERROR(MATCH(Methode_Keuze,Tb_KostenOptiesDB[#Headers],0),2))=1,_xlfn.SWITCH($N1423,"Uurtarief",IF(OR(AND(RIGHT($F1423,3)="IKS",VLOOKUP($M1423,DB_Loonkosten,2,0)="Ja"),AND(RIGHT($F1423,3)&lt;&gt;"IKS",VLOOKUP($M1423,DB_Loonkosten,2,0)="Nee")),IFERROR(VLOOKUP($M1423,DB_Loonkosten,25,0),""),0),"Vast tarief",IF(LEFT(F1423,8)="Bijdrage",VLOOKUP($F1423,Tb_KostenTypen[],MATCH(Lijsten!$P$1,Tb_KostenTypen[#Headers],0),0),VLOOKUP($G1423,Lijsten!L:P,MATCH(Lijsten!$P$1,Kop_Tarief_Vast,0),0))),""),"")</f>
        <v/>
      </c>
      <c r="Q1423" s="359"/>
      <c r="R1423" s="359"/>
      <c r="S1423" s="321"/>
      <c r="T1423" s="321"/>
      <c r="U1423" s="373" t="str">
        <f t="shared" si="88"/>
        <v/>
      </c>
      <c r="V1423" s="314" t="str">
        <f t="shared" si="89"/>
        <v/>
      </c>
      <c r="W1423" s="314" t="str" cm="1">
        <f t="array" aca="1" ref="W1423" ca="1">IFERROR(IF(AE1423&lt;&gt;"ja",_xlfn.IFNA(_xlfn.IFS(AND(O1423&lt;&gt;"",F1423&lt;&gt;"",RIGHT($N1423,6)="tarief",F1423="Vergoeding"),SUM(O1423)*FLOOR(SUM(Q1423),0.0001),AND(O1423&lt;&gt;"",F1423&lt;&gt;"",RIGHT($N1423,6)="tarief"),SUM(O1423)*FLOOR(SUM(Q1423),0.01),S1423&gt;0,IF(F1423&lt;&gt;"",FLOOR(SUM(S1423),0.01),"")),""),""),"")</f>
        <v/>
      </c>
      <c r="X1423" s="314" t="str" cm="1">
        <f t="array" aca="1" ref="X1423" ca="1">IFERROR(IF(AE1423&lt;&gt;"ja",_xlfn.IFNA(_xlfn.IFS(AND(P1423&lt;&gt;"",R1423&lt;&gt;"",RIGHT($N1423,6)="tarief",F1423="Vergoeding"),SUM(P1423)*FLOOR(SUM(R1423),0.0001),AND(P1423&lt;&gt;"",R1423&lt;&gt;"",RIGHT($N1423,6)="tarief"),P1423*FLOOR(R1423,0.01),T1423&gt;0,FLOOR(SUM(T1423),0.01)),""),""),"")</f>
        <v/>
      </c>
      <c r="Y1423" s="314" t="str">
        <f t="shared" ca="1" si="90"/>
        <v/>
      </c>
      <c r="Z1423" s="314" t="str" cm="1">
        <f t="array" aca="1" ref="Z1423" ca="1">IFERROR(_xlfn.IFS(OR(F1423="",LEFT(Methode_Keuze,4)="Geen",Methode_Keuze=""),"",AND(W1423&lt;&gt;"",F1423&lt;&gt;"Arbeidskosten"),W1423*VLOOKUP(F1423,Tb_ProjectKosten[],MATCH(Tb_ProjectKosten[[#Headers],[Forfait_Percentage]],Tb_ProjectKosten[#Headers],0),0),AND(F1423="Arbeidskosten",G1423&lt;&gt;""),IFERROR(W1423*VLOOKUP(G1423,Tb_KostenTypen[],3,0)*VLOOKUP(F1423,Tb_ProjectKosten[],MATCH(Tb_ProjectKosten[[#Headers],[Forfait_Percentage]],Tb_ProjectKosten[#Headers],0),0),""),W1423 &lt;=0,0),"")</f>
        <v/>
      </c>
      <c r="AA1423" s="314" t="str" cm="1">
        <f t="array" aca="1" ref="AA1423" ca="1">IFERROR(_xlfn.IFS(OR(F1423="",LEFT(Methode_Keuze,4)="Geen",Methode_Keuze=""),"",AND(X1423&lt;&gt;"",F1423&lt;&gt;"Arbeidskosten"),X1423*VLOOKUP(F1423,Tb_ProjectKosten[],MATCH(Tb_ProjectKosten[[#Headers],[Forfait_Percentage]],Tb_ProjectKosten[#Headers],0),0),AND(F1423="Arbeidskosten",G1423&lt;&gt;""),IFERROR(X1423*VLOOKUP(G1423,Tb_KostenTypen[],3,0)*VLOOKUP(F1423,Tb_ProjectKosten[],MATCH(Tb_ProjectKosten[[#Headers],[Forfait_Percentage]],Tb_ProjectKosten[#Headers],0),0),""),X1423 &lt;=0,0),"")</f>
        <v/>
      </c>
      <c r="AB1423" s="314" t="str">
        <f t="shared" ca="1" si="91"/>
        <v/>
      </c>
      <c r="AC1423" s="322"/>
      <c r="AD1423" s="315"/>
      <c r="AE1423" s="32" t="str" cm="1">
        <f t="array" ref="AE1423">IFERROR(IF(INDEX(SubsidieTabel!$AD$1:$AG$12,MATCH($F1423,SubsidieTabel!$AD$1:$AD$12,0),IFERROR(MATCH(Methode_Keuze,SubsidieTabel!$AD$1:$AG$1,0),2))&lt;&gt;1=TRUE,"ja",""),"")</f>
        <v/>
      </c>
    </row>
    <row r="1424" spans="1:31" x14ac:dyDescent="0.25">
      <c r="A1424" s="316"/>
      <c r="B1424" s="317" t="str">
        <f>IF(A1424&lt;&gt;"",_xlfn.MAXIFS($B$1:B1423,$A$1:A1423,A1424)+1,"")</f>
        <v/>
      </c>
      <c r="C1424" s="296"/>
      <c r="D1424" s="296"/>
      <c r="E1424" s="296"/>
      <c r="F1424" s="296"/>
      <c r="G1424" s="326"/>
      <c r="H1424" s="324"/>
      <c r="I1424" s="325"/>
      <c r="J1424" s="325"/>
      <c r="K1424" s="318"/>
      <c r="L1424" s="318"/>
      <c r="M1424" s="319" t="str">
        <f>IFERROR(VLOOKUP(H1424,Lijsten!$H$1:$I$100,2,0),"")</f>
        <v/>
      </c>
      <c r="N1424" s="319" t="str">
        <f ca="1">IFERROR(IF(VLOOKUP(F1424,Kostentypen!$A$3:$E$21,3,0)=0,"",IF(OR(F1424="Arbeidskosten",F1424="Vergoeding"),VLOOKUP(G1424,Tb_KostenTypen[],2,0),VLOOKUP(F1424,Kostentypen!$A$3:$E$20,3,0))),"")</f>
        <v/>
      </c>
      <c r="O1424" s="320" t="str" cm="1">
        <f t="array" ref="O1424">_xlfn.IFNA(IF(INDEX(Tb_KostenOptiesDB[],MATCH($F1424,Tb_KostenOptiesDB[KostenOptie],0),IFERROR(MATCH(Methode_Keuze,Tb_KostenOptiesDB[#Headers],0),2))=1,_xlfn.SWITCH($N1424,"Uurtarief",IF(OR(AND(RIGHT($F1424,3)="IKS",VLOOKUP($M1424,DB_Loonkosten,2,0)="Ja"),AND(RIGHT($F1424,3)&lt;&gt;"IKS",VLOOKUP($M1424,DB_Loonkosten,2,0)="Nee")),IFERROR(VLOOKUP($M1424,DB_Loonkosten,24,0),""),0),"Vast tarief",IF(LEFT(F1424,8)="Bijdrage",VLOOKUP($F1424,Tb_KostenTypen[],MATCH(Lijsten!$P$1,Tb_KostenTypen[#Headers],0),0),VLOOKUP($G1424,Lijsten!L:P,MATCH(Lijsten!$P$1,Kop_Tarief_Vast,0),0))),""),"")</f>
        <v/>
      </c>
      <c r="P1424" s="320" t="str" cm="1">
        <f t="array" ref="P1424">_xlfn.IFNA(IF(INDEX(Tb_KostenOptiesDB[],MATCH($F1424,Tb_KostenOptiesDB[KostenOptie],0),IFERROR(MATCH(Methode_Keuze,Tb_KostenOptiesDB[#Headers],0),2))=1,_xlfn.SWITCH($N1424,"Uurtarief",IF(OR(AND(RIGHT($F1424,3)="IKS",VLOOKUP($M1424,DB_Loonkosten,2,0)="Ja"),AND(RIGHT($F1424,3)&lt;&gt;"IKS",VLOOKUP($M1424,DB_Loonkosten,2,0)="Nee")),IFERROR(VLOOKUP($M1424,DB_Loonkosten,25,0),""),0),"Vast tarief",IF(LEFT(F1424,8)="Bijdrage",VLOOKUP($F1424,Tb_KostenTypen[],MATCH(Lijsten!$P$1,Tb_KostenTypen[#Headers],0),0),VLOOKUP($G1424,Lijsten!L:P,MATCH(Lijsten!$P$1,Kop_Tarief_Vast,0),0))),""),"")</f>
        <v/>
      </c>
      <c r="Q1424" s="359"/>
      <c r="R1424" s="359"/>
      <c r="S1424" s="321"/>
      <c r="T1424" s="321"/>
      <c r="U1424" s="373" t="str">
        <f t="shared" si="88"/>
        <v/>
      </c>
      <c r="V1424" s="314" t="str">
        <f t="shared" si="89"/>
        <v/>
      </c>
      <c r="W1424" s="314" t="str" cm="1">
        <f t="array" aca="1" ref="W1424" ca="1">IFERROR(IF(AE1424&lt;&gt;"ja",_xlfn.IFNA(_xlfn.IFS(AND(O1424&lt;&gt;"",F1424&lt;&gt;"",RIGHT($N1424,6)="tarief",F1424="Vergoeding"),SUM(O1424)*FLOOR(SUM(Q1424),0.0001),AND(O1424&lt;&gt;"",F1424&lt;&gt;"",RIGHT($N1424,6)="tarief"),SUM(O1424)*FLOOR(SUM(Q1424),0.01),S1424&gt;0,IF(F1424&lt;&gt;"",FLOOR(SUM(S1424),0.01),"")),""),""),"")</f>
        <v/>
      </c>
      <c r="X1424" s="314" t="str" cm="1">
        <f t="array" aca="1" ref="X1424" ca="1">IFERROR(IF(AE1424&lt;&gt;"ja",_xlfn.IFNA(_xlfn.IFS(AND(P1424&lt;&gt;"",R1424&lt;&gt;"",RIGHT($N1424,6)="tarief",F1424="Vergoeding"),SUM(P1424)*FLOOR(SUM(R1424),0.0001),AND(P1424&lt;&gt;"",R1424&lt;&gt;"",RIGHT($N1424,6)="tarief"),P1424*FLOOR(R1424,0.01),T1424&gt;0,FLOOR(SUM(T1424),0.01)),""),""),"")</f>
        <v/>
      </c>
      <c r="Y1424" s="314" t="str">
        <f t="shared" ca="1" si="90"/>
        <v/>
      </c>
      <c r="Z1424" s="314" t="str" cm="1">
        <f t="array" aca="1" ref="Z1424" ca="1">IFERROR(_xlfn.IFS(OR(F1424="",LEFT(Methode_Keuze,4)="Geen",Methode_Keuze=""),"",AND(W1424&lt;&gt;"",F1424&lt;&gt;"Arbeidskosten"),W1424*VLOOKUP(F1424,Tb_ProjectKosten[],MATCH(Tb_ProjectKosten[[#Headers],[Forfait_Percentage]],Tb_ProjectKosten[#Headers],0),0),AND(F1424="Arbeidskosten",G1424&lt;&gt;""),IFERROR(W1424*VLOOKUP(G1424,Tb_KostenTypen[],3,0)*VLOOKUP(F1424,Tb_ProjectKosten[],MATCH(Tb_ProjectKosten[[#Headers],[Forfait_Percentage]],Tb_ProjectKosten[#Headers],0),0),""),W1424 &lt;=0,0),"")</f>
        <v/>
      </c>
      <c r="AA1424" s="314" t="str" cm="1">
        <f t="array" aca="1" ref="AA1424" ca="1">IFERROR(_xlfn.IFS(OR(F1424="",LEFT(Methode_Keuze,4)="Geen",Methode_Keuze=""),"",AND(X1424&lt;&gt;"",F1424&lt;&gt;"Arbeidskosten"),X1424*VLOOKUP(F1424,Tb_ProjectKosten[],MATCH(Tb_ProjectKosten[[#Headers],[Forfait_Percentage]],Tb_ProjectKosten[#Headers],0),0),AND(F1424="Arbeidskosten",G1424&lt;&gt;""),IFERROR(X1424*VLOOKUP(G1424,Tb_KostenTypen[],3,0)*VLOOKUP(F1424,Tb_ProjectKosten[],MATCH(Tb_ProjectKosten[[#Headers],[Forfait_Percentage]],Tb_ProjectKosten[#Headers],0),0),""),X1424 &lt;=0,0),"")</f>
        <v/>
      </c>
      <c r="AB1424" s="314" t="str">
        <f t="shared" ca="1" si="91"/>
        <v/>
      </c>
      <c r="AC1424" s="322"/>
      <c r="AD1424" s="315"/>
      <c r="AE1424" s="32" t="str" cm="1">
        <f t="array" ref="AE1424">IFERROR(IF(INDEX(SubsidieTabel!$AD$1:$AG$12,MATCH($F1424,SubsidieTabel!$AD$1:$AD$12,0),IFERROR(MATCH(Methode_Keuze,SubsidieTabel!$AD$1:$AG$1,0),2))&lt;&gt;1=TRUE,"ja",""),"")</f>
        <v/>
      </c>
    </row>
    <row r="1425" spans="1:31" x14ac:dyDescent="0.25">
      <c r="A1425" s="316"/>
      <c r="B1425" s="317" t="str">
        <f>IF(A1425&lt;&gt;"",_xlfn.MAXIFS($B$1:B1424,$A$1:A1424,A1425)+1,"")</f>
        <v/>
      </c>
      <c r="C1425" s="296"/>
      <c r="D1425" s="296"/>
      <c r="E1425" s="296"/>
      <c r="F1425" s="296"/>
      <c r="G1425" s="326"/>
      <c r="H1425" s="324"/>
      <c r="I1425" s="325"/>
      <c r="J1425" s="325"/>
      <c r="K1425" s="318"/>
      <c r="L1425" s="318"/>
      <c r="M1425" s="319" t="str">
        <f>IFERROR(VLOOKUP(H1425,Lijsten!$H$1:$I$100,2,0),"")</f>
        <v/>
      </c>
      <c r="N1425" s="319" t="str">
        <f ca="1">IFERROR(IF(VLOOKUP(F1425,Kostentypen!$A$3:$E$21,3,0)=0,"",IF(OR(F1425="Arbeidskosten",F1425="Vergoeding"),VLOOKUP(G1425,Tb_KostenTypen[],2,0),VLOOKUP(F1425,Kostentypen!$A$3:$E$20,3,0))),"")</f>
        <v/>
      </c>
      <c r="O1425" s="320" t="str" cm="1">
        <f t="array" ref="O1425">_xlfn.IFNA(IF(INDEX(Tb_KostenOptiesDB[],MATCH($F1425,Tb_KostenOptiesDB[KostenOptie],0),IFERROR(MATCH(Methode_Keuze,Tb_KostenOptiesDB[#Headers],0),2))=1,_xlfn.SWITCH($N1425,"Uurtarief",IF(OR(AND(RIGHT($F1425,3)="IKS",VLOOKUP($M1425,DB_Loonkosten,2,0)="Ja"),AND(RIGHT($F1425,3)&lt;&gt;"IKS",VLOOKUP($M1425,DB_Loonkosten,2,0)="Nee")),IFERROR(VLOOKUP($M1425,DB_Loonkosten,24,0),""),0),"Vast tarief",IF(LEFT(F1425,8)="Bijdrage",VLOOKUP($F1425,Tb_KostenTypen[],MATCH(Lijsten!$P$1,Tb_KostenTypen[#Headers],0),0),VLOOKUP($G1425,Lijsten!L:P,MATCH(Lijsten!$P$1,Kop_Tarief_Vast,0),0))),""),"")</f>
        <v/>
      </c>
      <c r="P1425" s="320" t="str" cm="1">
        <f t="array" ref="P1425">_xlfn.IFNA(IF(INDEX(Tb_KostenOptiesDB[],MATCH($F1425,Tb_KostenOptiesDB[KostenOptie],0),IFERROR(MATCH(Methode_Keuze,Tb_KostenOptiesDB[#Headers],0),2))=1,_xlfn.SWITCH($N1425,"Uurtarief",IF(OR(AND(RIGHT($F1425,3)="IKS",VLOOKUP($M1425,DB_Loonkosten,2,0)="Ja"),AND(RIGHT($F1425,3)&lt;&gt;"IKS",VLOOKUP($M1425,DB_Loonkosten,2,0)="Nee")),IFERROR(VLOOKUP($M1425,DB_Loonkosten,25,0),""),0),"Vast tarief",IF(LEFT(F1425,8)="Bijdrage",VLOOKUP($F1425,Tb_KostenTypen[],MATCH(Lijsten!$P$1,Tb_KostenTypen[#Headers],0),0),VLOOKUP($G1425,Lijsten!L:P,MATCH(Lijsten!$P$1,Kop_Tarief_Vast,0),0))),""),"")</f>
        <v/>
      </c>
      <c r="Q1425" s="359"/>
      <c r="R1425" s="359"/>
      <c r="S1425" s="321"/>
      <c r="T1425" s="321"/>
      <c r="U1425" s="373" t="str">
        <f t="shared" si="88"/>
        <v/>
      </c>
      <c r="V1425" s="314" t="str">
        <f t="shared" si="89"/>
        <v/>
      </c>
      <c r="W1425" s="314" t="str" cm="1">
        <f t="array" aca="1" ref="W1425" ca="1">IFERROR(IF(AE1425&lt;&gt;"ja",_xlfn.IFNA(_xlfn.IFS(AND(O1425&lt;&gt;"",F1425&lt;&gt;"",RIGHT($N1425,6)="tarief",F1425="Vergoeding"),SUM(O1425)*FLOOR(SUM(Q1425),0.0001),AND(O1425&lt;&gt;"",F1425&lt;&gt;"",RIGHT($N1425,6)="tarief"),SUM(O1425)*FLOOR(SUM(Q1425),0.01),S1425&gt;0,IF(F1425&lt;&gt;"",FLOOR(SUM(S1425),0.01),"")),""),""),"")</f>
        <v/>
      </c>
      <c r="X1425" s="314" t="str" cm="1">
        <f t="array" aca="1" ref="X1425" ca="1">IFERROR(IF(AE1425&lt;&gt;"ja",_xlfn.IFNA(_xlfn.IFS(AND(P1425&lt;&gt;"",R1425&lt;&gt;"",RIGHT($N1425,6)="tarief",F1425="Vergoeding"),SUM(P1425)*FLOOR(SUM(R1425),0.0001),AND(P1425&lt;&gt;"",R1425&lt;&gt;"",RIGHT($N1425,6)="tarief"),P1425*FLOOR(R1425,0.01),T1425&gt;0,FLOOR(SUM(T1425),0.01)),""),""),"")</f>
        <v/>
      </c>
      <c r="Y1425" s="314" t="str">
        <f t="shared" ca="1" si="90"/>
        <v/>
      </c>
      <c r="Z1425" s="314" t="str" cm="1">
        <f t="array" aca="1" ref="Z1425" ca="1">IFERROR(_xlfn.IFS(OR(F1425="",LEFT(Methode_Keuze,4)="Geen",Methode_Keuze=""),"",AND(W1425&lt;&gt;"",F1425&lt;&gt;"Arbeidskosten"),W1425*VLOOKUP(F1425,Tb_ProjectKosten[],MATCH(Tb_ProjectKosten[[#Headers],[Forfait_Percentage]],Tb_ProjectKosten[#Headers],0),0),AND(F1425="Arbeidskosten",G1425&lt;&gt;""),IFERROR(W1425*VLOOKUP(G1425,Tb_KostenTypen[],3,0)*VLOOKUP(F1425,Tb_ProjectKosten[],MATCH(Tb_ProjectKosten[[#Headers],[Forfait_Percentage]],Tb_ProjectKosten[#Headers],0),0),""),W1425 &lt;=0,0),"")</f>
        <v/>
      </c>
      <c r="AA1425" s="314" t="str" cm="1">
        <f t="array" aca="1" ref="AA1425" ca="1">IFERROR(_xlfn.IFS(OR(F1425="",LEFT(Methode_Keuze,4)="Geen",Methode_Keuze=""),"",AND(X1425&lt;&gt;"",F1425&lt;&gt;"Arbeidskosten"),X1425*VLOOKUP(F1425,Tb_ProjectKosten[],MATCH(Tb_ProjectKosten[[#Headers],[Forfait_Percentage]],Tb_ProjectKosten[#Headers],0),0),AND(F1425="Arbeidskosten",G1425&lt;&gt;""),IFERROR(X1425*VLOOKUP(G1425,Tb_KostenTypen[],3,0)*VLOOKUP(F1425,Tb_ProjectKosten[],MATCH(Tb_ProjectKosten[[#Headers],[Forfait_Percentage]],Tb_ProjectKosten[#Headers],0),0),""),X1425 &lt;=0,0),"")</f>
        <v/>
      </c>
      <c r="AB1425" s="314" t="str">
        <f t="shared" ca="1" si="91"/>
        <v/>
      </c>
      <c r="AC1425" s="322"/>
      <c r="AD1425" s="315"/>
      <c r="AE1425" s="32" t="str" cm="1">
        <f t="array" ref="AE1425">IFERROR(IF(INDEX(SubsidieTabel!$AD$1:$AG$12,MATCH($F1425,SubsidieTabel!$AD$1:$AD$12,0),IFERROR(MATCH(Methode_Keuze,SubsidieTabel!$AD$1:$AG$1,0),2))&lt;&gt;1=TRUE,"ja",""),"")</f>
        <v/>
      </c>
    </row>
    <row r="1426" spans="1:31" x14ac:dyDescent="0.25">
      <c r="A1426" s="316"/>
      <c r="B1426" s="317" t="str">
        <f>IF(A1426&lt;&gt;"",_xlfn.MAXIFS($B$1:B1425,$A$1:A1425,A1426)+1,"")</f>
        <v/>
      </c>
      <c r="C1426" s="296"/>
      <c r="D1426" s="296"/>
      <c r="E1426" s="296"/>
      <c r="F1426" s="296"/>
      <c r="G1426" s="326"/>
      <c r="H1426" s="324"/>
      <c r="I1426" s="325"/>
      <c r="J1426" s="325"/>
      <c r="K1426" s="318"/>
      <c r="L1426" s="318"/>
      <c r="M1426" s="319" t="str">
        <f>IFERROR(VLOOKUP(H1426,Lijsten!$H$1:$I$100,2,0),"")</f>
        <v/>
      </c>
      <c r="N1426" s="319" t="str">
        <f ca="1">IFERROR(IF(VLOOKUP(F1426,Kostentypen!$A$3:$E$21,3,0)=0,"",IF(OR(F1426="Arbeidskosten",F1426="Vergoeding"),VLOOKUP(G1426,Tb_KostenTypen[],2,0),VLOOKUP(F1426,Kostentypen!$A$3:$E$20,3,0))),"")</f>
        <v/>
      </c>
      <c r="O1426" s="320" t="str" cm="1">
        <f t="array" ref="O1426">_xlfn.IFNA(IF(INDEX(Tb_KostenOptiesDB[],MATCH($F1426,Tb_KostenOptiesDB[KostenOptie],0),IFERROR(MATCH(Methode_Keuze,Tb_KostenOptiesDB[#Headers],0),2))=1,_xlfn.SWITCH($N1426,"Uurtarief",IF(OR(AND(RIGHT($F1426,3)="IKS",VLOOKUP($M1426,DB_Loonkosten,2,0)="Ja"),AND(RIGHT($F1426,3)&lt;&gt;"IKS",VLOOKUP($M1426,DB_Loonkosten,2,0)="Nee")),IFERROR(VLOOKUP($M1426,DB_Loonkosten,24,0),""),0),"Vast tarief",IF(LEFT(F1426,8)="Bijdrage",VLOOKUP($F1426,Tb_KostenTypen[],MATCH(Lijsten!$P$1,Tb_KostenTypen[#Headers],0),0),VLOOKUP($G1426,Lijsten!L:P,MATCH(Lijsten!$P$1,Kop_Tarief_Vast,0),0))),""),"")</f>
        <v/>
      </c>
      <c r="P1426" s="320" t="str" cm="1">
        <f t="array" ref="P1426">_xlfn.IFNA(IF(INDEX(Tb_KostenOptiesDB[],MATCH($F1426,Tb_KostenOptiesDB[KostenOptie],0),IFERROR(MATCH(Methode_Keuze,Tb_KostenOptiesDB[#Headers],0),2))=1,_xlfn.SWITCH($N1426,"Uurtarief",IF(OR(AND(RIGHT($F1426,3)="IKS",VLOOKUP($M1426,DB_Loonkosten,2,0)="Ja"),AND(RIGHT($F1426,3)&lt;&gt;"IKS",VLOOKUP($M1426,DB_Loonkosten,2,0)="Nee")),IFERROR(VLOOKUP($M1426,DB_Loonkosten,25,0),""),0),"Vast tarief",IF(LEFT(F1426,8)="Bijdrage",VLOOKUP($F1426,Tb_KostenTypen[],MATCH(Lijsten!$P$1,Tb_KostenTypen[#Headers],0),0),VLOOKUP($G1426,Lijsten!L:P,MATCH(Lijsten!$P$1,Kop_Tarief_Vast,0),0))),""),"")</f>
        <v/>
      </c>
      <c r="Q1426" s="359"/>
      <c r="R1426" s="359"/>
      <c r="S1426" s="321"/>
      <c r="T1426" s="321"/>
      <c r="U1426" s="373" t="str">
        <f t="shared" si="88"/>
        <v/>
      </c>
      <c r="V1426" s="314" t="str">
        <f t="shared" si="89"/>
        <v/>
      </c>
      <c r="W1426" s="314" t="str" cm="1">
        <f t="array" aca="1" ref="W1426" ca="1">IFERROR(IF(AE1426&lt;&gt;"ja",_xlfn.IFNA(_xlfn.IFS(AND(O1426&lt;&gt;"",F1426&lt;&gt;"",RIGHT($N1426,6)="tarief",F1426="Vergoeding"),SUM(O1426)*FLOOR(SUM(Q1426),0.0001),AND(O1426&lt;&gt;"",F1426&lt;&gt;"",RIGHT($N1426,6)="tarief"),SUM(O1426)*FLOOR(SUM(Q1426),0.01),S1426&gt;0,IF(F1426&lt;&gt;"",FLOOR(SUM(S1426),0.01),"")),""),""),"")</f>
        <v/>
      </c>
      <c r="X1426" s="314" t="str" cm="1">
        <f t="array" aca="1" ref="X1426" ca="1">IFERROR(IF(AE1426&lt;&gt;"ja",_xlfn.IFNA(_xlfn.IFS(AND(P1426&lt;&gt;"",R1426&lt;&gt;"",RIGHT($N1426,6)="tarief",F1426="Vergoeding"),SUM(P1426)*FLOOR(SUM(R1426),0.0001),AND(P1426&lt;&gt;"",R1426&lt;&gt;"",RIGHT($N1426,6)="tarief"),P1426*FLOOR(R1426,0.01),T1426&gt;0,FLOOR(SUM(T1426),0.01)),""),""),"")</f>
        <v/>
      </c>
      <c r="Y1426" s="314" t="str">
        <f t="shared" ca="1" si="90"/>
        <v/>
      </c>
      <c r="Z1426" s="314" t="str" cm="1">
        <f t="array" aca="1" ref="Z1426" ca="1">IFERROR(_xlfn.IFS(OR(F1426="",LEFT(Methode_Keuze,4)="Geen",Methode_Keuze=""),"",AND(W1426&lt;&gt;"",F1426&lt;&gt;"Arbeidskosten"),W1426*VLOOKUP(F1426,Tb_ProjectKosten[],MATCH(Tb_ProjectKosten[[#Headers],[Forfait_Percentage]],Tb_ProjectKosten[#Headers],0),0),AND(F1426="Arbeidskosten",G1426&lt;&gt;""),IFERROR(W1426*VLOOKUP(G1426,Tb_KostenTypen[],3,0)*VLOOKUP(F1426,Tb_ProjectKosten[],MATCH(Tb_ProjectKosten[[#Headers],[Forfait_Percentage]],Tb_ProjectKosten[#Headers],0),0),""),W1426 &lt;=0,0),"")</f>
        <v/>
      </c>
      <c r="AA1426" s="314" t="str" cm="1">
        <f t="array" aca="1" ref="AA1426" ca="1">IFERROR(_xlfn.IFS(OR(F1426="",LEFT(Methode_Keuze,4)="Geen",Methode_Keuze=""),"",AND(X1426&lt;&gt;"",F1426&lt;&gt;"Arbeidskosten"),X1426*VLOOKUP(F1426,Tb_ProjectKosten[],MATCH(Tb_ProjectKosten[[#Headers],[Forfait_Percentage]],Tb_ProjectKosten[#Headers],0),0),AND(F1426="Arbeidskosten",G1426&lt;&gt;""),IFERROR(X1426*VLOOKUP(G1426,Tb_KostenTypen[],3,0)*VLOOKUP(F1426,Tb_ProjectKosten[],MATCH(Tb_ProjectKosten[[#Headers],[Forfait_Percentage]],Tb_ProjectKosten[#Headers],0),0),""),X1426 &lt;=0,0),"")</f>
        <v/>
      </c>
      <c r="AB1426" s="314" t="str">
        <f t="shared" ca="1" si="91"/>
        <v/>
      </c>
      <c r="AC1426" s="322"/>
      <c r="AD1426" s="315"/>
      <c r="AE1426" s="32" t="str" cm="1">
        <f t="array" ref="AE1426">IFERROR(IF(INDEX(SubsidieTabel!$AD$1:$AG$12,MATCH($F1426,SubsidieTabel!$AD$1:$AD$12,0),IFERROR(MATCH(Methode_Keuze,SubsidieTabel!$AD$1:$AG$1,0),2))&lt;&gt;1=TRUE,"ja",""),"")</f>
        <v/>
      </c>
    </row>
    <row r="1427" spans="1:31" x14ac:dyDescent="0.25">
      <c r="A1427" s="316"/>
      <c r="B1427" s="317" t="str">
        <f>IF(A1427&lt;&gt;"",_xlfn.MAXIFS($B$1:B1426,$A$1:A1426,A1427)+1,"")</f>
        <v/>
      </c>
      <c r="C1427" s="296"/>
      <c r="D1427" s="296"/>
      <c r="E1427" s="296"/>
      <c r="F1427" s="296"/>
      <c r="G1427" s="326"/>
      <c r="H1427" s="324"/>
      <c r="I1427" s="325"/>
      <c r="J1427" s="325"/>
      <c r="K1427" s="318"/>
      <c r="L1427" s="318"/>
      <c r="M1427" s="319" t="str">
        <f>IFERROR(VLOOKUP(H1427,Lijsten!$H$1:$I$100,2,0),"")</f>
        <v/>
      </c>
      <c r="N1427" s="319" t="str">
        <f ca="1">IFERROR(IF(VLOOKUP(F1427,Kostentypen!$A$3:$E$21,3,0)=0,"",IF(OR(F1427="Arbeidskosten",F1427="Vergoeding"),VLOOKUP(G1427,Tb_KostenTypen[],2,0),VLOOKUP(F1427,Kostentypen!$A$3:$E$20,3,0))),"")</f>
        <v/>
      </c>
      <c r="O1427" s="320" t="str" cm="1">
        <f t="array" ref="O1427">_xlfn.IFNA(IF(INDEX(Tb_KostenOptiesDB[],MATCH($F1427,Tb_KostenOptiesDB[KostenOptie],0),IFERROR(MATCH(Methode_Keuze,Tb_KostenOptiesDB[#Headers],0),2))=1,_xlfn.SWITCH($N1427,"Uurtarief",IF(OR(AND(RIGHT($F1427,3)="IKS",VLOOKUP($M1427,DB_Loonkosten,2,0)="Ja"),AND(RIGHT($F1427,3)&lt;&gt;"IKS",VLOOKUP($M1427,DB_Loonkosten,2,0)="Nee")),IFERROR(VLOOKUP($M1427,DB_Loonkosten,24,0),""),0),"Vast tarief",IF(LEFT(F1427,8)="Bijdrage",VLOOKUP($F1427,Tb_KostenTypen[],MATCH(Lijsten!$P$1,Tb_KostenTypen[#Headers],0),0),VLOOKUP($G1427,Lijsten!L:P,MATCH(Lijsten!$P$1,Kop_Tarief_Vast,0),0))),""),"")</f>
        <v/>
      </c>
      <c r="P1427" s="320" t="str" cm="1">
        <f t="array" ref="P1427">_xlfn.IFNA(IF(INDEX(Tb_KostenOptiesDB[],MATCH($F1427,Tb_KostenOptiesDB[KostenOptie],0),IFERROR(MATCH(Methode_Keuze,Tb_KostenOptiesDB[#Headers],0),2))=1,_xlfn.SWITCH($N1427,"Uurtarief",IF(OR(AND(RIGHT($F1427,3)="IKS",VLOOKUP($M1427,DB_Loonkosten,2,0)="Ja"),AND(RIGHT($F1427,3)&lt;&gt;"IKS",VLOOKUP($M1427,DB_Loonkosten,2,0)="Nee")),IFERROR(VLOOKUP($M1427,DB_Loonkosten,25,0),""),0),"Vast tarief",IF(LEFT(F1427,8)="Bijdrage",VLOOKUP($F1427,Tb_KostenTypen[],MATCH(Lijsten!$P$1,Tb_KostenTypen[#Headers],0),0),VLOOKUP($G1427,Lijsten!L:P,MATCH(Lijsten!$P$1,Kop_Tarief_Vast,0),0))),""),"")</f>
        <v/>
      </c>
      <c r="Q1427" s="359"/>
      <c r="R1427" s="359"/>
      <c r="S1427" s="321"/>
      <c r="T1427" s="321"/>
      <c r="U1427" s="373" t="str">
        <f t="shared" si="88"/>
        <v/>
      </c>
      <c r="V1427" s="314" t="str">
        <f t="shared" si="89"/>
        <v/>
      </c>
      <c r="W1427" s="314" t="str" cm="1">
        <f t="array" aca="1" ref="W1427" ca="1">IFERROR(IF(AE1427&lt;&gt;"ja",_xlfn.IFNA(_xlfn.IFS(AND(O1427&lt;&gt;"",F1427&lt;&gt;"",RIGHT($N1427,6)="tarief",F1427="Vergoeding"),SUM(O1427)*FLOOR(SUM(Q1427),0.0001),AND(O1427&lt;&gt;"",F1427&lt;&gt;"",RIGHT($N1427,6)="tarief"),SUM(O1427)*FLOOR(SUM(Q1427),0.01),S1427&gt;0,IF(F1427&lt;&gt;"",FLOOR(SUM(S1427),0.01),"")),""),""),"")</f>
        <v/>
      </c>
      <c r="X1427" s="314" t="str" cm="1">
        <f t="array" aca="1" ref="X1427" ca="1">IFERROR(IF(AE1427&lt;&gt;"ja",_xlfn.IFNA(_xlfn.IFS(AND(P1427&lt;&gt;"",R1427&lt;&gt;"",RIGHT($N1427,6)="tarief",F1427="Vergoeding"),SUM(P1427)*FLOOR(SUM(R1427),0.0001),AND(P1427&lt;&gt;"",R1427&lt;&gt;"",RIGHT($N1427,6)="tarief"),P1427*FLOOR(R1427,0.01),T1427&gt;0,FLOOR(SUM(T1427),0.01)),""),""),"")</f>
        <v/>
      </c>
      <c r="Y1427" s="314" t="str">
        <f t="shared" ca="1" si="90"/>
        <v/>
      </c>
      <c r="Z1427" s="314" t="str" cm="1">
        <f t="array" aca="1" ref="Z1427" ca="1">IFERROR(_xlfn.IFS(OR(F1427="",LEFT(Methode_Keuze,4)="Geen",Methode_Keuze=""),"",AND(W1427&lt;&gt;"",F1427&lt;&gt;"Arbeidskosten"),W1427*VLOOKUP(F1427,Tb_ProjectKosten[],MATCH(Tb_ProjectKosten[[#Headers],[Forfait_Percentage]],Tb_ProjectKosten[#Headers],0),0),AND(F1427="Arbeidskosten",G1427&lt;&gt;""),IFERROR(W1427*VLOOKUP(G1427,Tb_KostenTypen[],3,0)*VLOOKUP(F1427,Tb_ProjectKosten[],MATCH(Tb_ProjectKosten[[#Headers],[Forfait_Percentage]],Tb_ProjectKosten[#Headers],0),0),""),W1427 &lt;=0,0),"")</f>
        <v/>
      </c>
      <c r="AA1427" s="314" t="str" cm="1">
        <f t="array" aca="1" ref="AA1427" ca="1">IFERROR(_xlfn.IFS(OR(F1427="",LEFT(Methode_Keuze,4)="Geen",Methode_Keuze=""),"",AND(X1427&lt;&gt;"",F1427&lt;&gt;"Arbeidskosten"),X1427*VLOOKUP(F1427,Tb_ProjectKosten[],MATCH(Tb_ProjectKosten[[#Headers],[Forfait_Percentage]],Tb_ProjectKosten[#Headers],0),0),AND(F1427="Arbeidskosten",G1427&lt;&gt;""),IFERROR(X1427*VLOOKUP(G1427,Tb_KostenTypen[],3,0)*VLOOKUP(F1427,Tb_ProjectKosten[],MATCH(Tb_ProjectKosten[[#Headers],[Forfait_Percentage]],Tb_ProjectKosten[#Headers],0),0),""),X1427 &lt;=0,0),"")</f>
        <v/>
      </c>
      <c r="AB1427" s="314" t="str">
        <f t="shared" ca="1" si="91"/>
        <v/>
      </c>
      <c r="AC1427" s="322"/>
      <c r="AD1427" s="315"/>
      <c r="AE1427" s="32" t="str" cm="1">
        <f t="array" ref="AE1427">IFERROR(IF(INDEX(SubsidieTabel!$AD$1:$AG$12,MATCH($F1427,SubsidieTabel!$AD$1:$AD$12,0),IFERROR(MATCH(Methode_Keuze,SubsidieTabel!$AD$1:$AG$1,0),2))&lt;&gt;1=TRUE,"ja",""),"")</f>
        <v/>
      </c>
    </row>
    <row r="1428" spans="1:31" x14ac:dyDescent="0.25">
      <c r="A1428" s="316"/>
      <c r="B1428" s="317" t="str">
        <f>IF(A1428&lt;&gt;"",_xlfn.MAXIFS($B$1:B1427,$A$1:A1427,A1428)+1,"")</f>
        <v/>
      </c>
      <c r="C1428" s="296"/>
      <c r="D1428" s="296"/>
      <c r="E1428" s="296"/>
      <c r="F1428" s="296"/>
      <c r="G1428" s="326"/>
      <c r="H1428" s="324"/>
      <c r="I1428" s="325"/>
      <c r="J1428" s="325"/>
      <c r="K1428" s="318"/>
      <c r="L1428" s="318"/>
      <c r="M1428" s="319" t="str">
        <f>IFERROR(VLOOKUP(H1428,Lijsten!$H$1:$I$100,2,0),"")</f>
        <v/>
      </c>
      <c r="N1428" s="319" t="str">
        <f ca="1">IFERROR(IF(VLOOKUP(F1428,Kostentypen!$A$3:$E$21,3,0)=0,"",IF(OR(F1428="Arbeidskosten",F1428="Vergoeding"),VLOOKUP(G1428,Tb_KostenTypen[],2,0),VLOOKUP(F1428,Kostentypen!$A$3:$E$20,3,0))),"")</f>
        <v/>
      </c>
      <c r="O1428" s="320" t="str" cm="1">
        <f t="array" ref="O1428">_xlfn.IFNA(IF(INDEX(Tb_KostenOptiesDB[],MATCH($F1428,Tb_KostenOptiesDB[KostenOptie],0),IFERROR(MATCH(Methode_Keuze,Tb_KostenOptiesDB[#Headers],0),2))=1,_xlfn.SWITCH($N1428,"Uurtarief",IF(OR(AND(RIGHT($F1428,3)="IKS",VLOOKUP($M1428,DB_Loonkosten,2,0)="Ja"),AND(RIGHT($F1428,3)&lt;&gt;"IKS",VLOOKUP($M1428,DB_Loonkosten,2,0)="Nee")),IFERROR(VLOOKUP($M1428,DB_Loonkosten,24,0),""),0),"Vast tarief",IF(LEFT(F1428,8)="Bijdrage",VLOOKUP($F1428,Tb_KostenTypen[],MATCH(Lijsten!$P$1,Tb_KostenTypen[#Headers],0),0),VLOOKUP($G1428,Lijsten!L:P,MATCH(Lijsten!$P$1,Kop_Tarief_Vast,0),0))),""),"")</f>
        <v/>
      </c>
      <c r="P1428" s="320" t="str" cm="1">
        <f t="array" ref="P1428">_xlfn.IFNA(IF(INDEX(Tb_KostenOptiesDB[],MATCH($F1428,Tb_KostenOptiesDB[KostenOptie],0),IFERROR(MATCH(Methode_Keuze,Tb_KostenOptiesDB[#Headers],0),2))=1,_xlfn.SWITCH($N1428,"Uurtarief",IF(OR(AND(RIGHT($F1428,3)="IKS",VLOOKUP($M1428,DB_Loonkosten,2,0)="Ja"),AND(RIGHT($F1428,3)&lt;&gt;"IKS",VLOOKUP($M1428,DB_Loonkosten,2,0)="Nee")),IFERROR(VLOOKUP($M1428,DB_Loonkosten,25,0),""),0),"Vast tarief",IF(LEFT(F1428,8)="Bijdrage",VLOOKUP($F1428,Tb_KostenTypen[],MATCH(Lijsten!$P$1,Tb_KostenTypen[#Headers],0),0),VLOOKUP($G1428,Lijsten!L:P,MATCH(Lijsten!$P$1,Kop_Tarief_Vast,0),0))),""),"")</f>
        <v/>
      </c>
      <c r="Q1428" s="359"/>
      <c r="R1428" s="359"/>
      <c r="S1428" s="321"/>
      <c r="T1428" s="321"/>
      <c r="U1428" s="373" t="str">
        <f t="shared" si="88"/>
        <v/>
      </c>
      <c r="V1428" s="314" t="str">
        <f t="shared" si="89"/>
        <v/>
      </c>
      <c r="W1428" s="314" t="str" cm="1">
        <f t="array" aca="1" ref="W1428" ca="1">IFERROR(IF(AE1428&lt;&gt;"ja",_xlfn.IFNA(_xlfn.IFS(AND(O1428&lt;&gt;"",F1428&lt;&gt;"",RIGHT($N1428,6)="tarief",F1428="Vergoeding"),SUM(O1428)*FLOOR(SUM(Q1428),0.0001),AND(O1428&lt;&gt;"",F1428&lt;&gt;"",RIGHT($N1428,6)="tarief"),SUM(O1428)*FLOOR(SUM(Q1428),0.01),S1428&gt;0,IF(F1428&lt;&gt;"",FLOOR(SUM(S1428),0.01),"")),""),""),"")</f>
        <v/>
      </c>
      <c r="X1428" s="314" t="str" cm="1">
        <f t="array" aca="1" ref="X1428" ca="1">IFERROR(IF(AE1428&lt;&gt;"ja",_xlfn.IFNA(_xlfn.IFS(AND(P1428&lt;&gt;"",R1428&lt;&gt;"",RIGHT($N1428,6)="tarief",F1428="Vergoeding"),SUM(P1428)*FLOOR(SUM(R1428),0.0001),AND(P1428&lt;&gt;"",R1428&lt;&gt;"",RIGHT($N1428,6)="tarief"),P1428*FLOOR(R1428,0.01),T1428&gt;0,FLOOR(SUM(T1428),0.01)),""),""),"")</f>
        <v/>
      </c>
      <c r="Y1428" s="314" t="str">
        <f t="shared" ca="1" si="90"/>
        <v/>
      </c>
      <c r="Z1428" s="314" t="str" cm="1">
        <f t="array" aca="1" ref="Z1428" ca="1">IFERROR(_xlfn.IFS(OR(F1428="",LEFT(Methode_Keuze,4)="Geen",Methode_Keuze=""),"",AND(W1428&lt;&gt;"",F1428&lt;&gt;"Arbeidskosten"),W1428*VLOOKUP(F1428,Tb_ProjectKosten[],MATCH(Tb_ProjectKosten[[#Headers],[Forfait_Percentage]],Tb_ProjectKosten[#Headers],0),0),AND(F1428="Arbeidskosten",G1428&lt;&gt;""),IFERROR(W1428*VLOOKUP(G1428,Tb_KostenTypen[],3,0)*VLOOKUP(F1428,Tb_ProjectKosten[],MATCH(Tb_ProjectKosten[[#Headers],[Forfait_Percentage]],Tb_ProjectKosten[#Headers],0),0),""),W1428 &lt;=0,0),"")</f>
        <v/>
      </c>
      <c r="AA1428" s="314" t="str" cm="1">
        <f t="array" aca="1" ref="AA1428" ca="1">IFERROR(_xlfn.IFS(OR(F1428="",LEFT(Methode_Keuze,4)="Geen",Methode_Keuze=""),"",AND(X1428&lt;&gt;"",F1428&lt;&gt;"Arbeidskosten"),X1428*VLOOKUP(F1428,Tb_ProjectKosten[],MATCH(Tb_ProjectKosten[[#Headers],[Forfait_Percentage]],Tb_ProjectKosten[#Headers],0),0),AND(F1428="Arbeidskosten",G1428&lt;&gt;""),IFERROR(X1428*VLOOKUP(G1428,Tb_KostenTypen[],3,0)*VLOOKUP(F1428,Tb_ProjectKosten[],MATCH(Tb_ProjectKosten[[#Headers],[Forfait_Percentage]],Tb_ProjectKosten[#Headers],0),0),""),X1428 &lt;=0,0),"")</f>
        <v/>
      </c>
      <c r="AB1428" s="314" t="str">
        <f t="shared" ca="1" si="91"/>
        <v/>
      </c>
      <c r="AC1428" s="322"/>
      <c r="AD1428" s="315"/>
      <c r="AE1428" s="32" t="str" cm="1">
        <f t="array" ref="AE1428">IFERROR(IF(INDEX(SubsidieTabel!$AD$1:$AG$12,MATCH($F1428,SubsidieTabel!$AD$1:$AD$12,0),IFERROR(MATCH(Methode_Keuze,SubsidieTabel!$AD$1:$AG$1,0),2))&lt;&gt;1=TRUE,"ja",""),"")</f>
        <v/>
      </c>
    </row>
    <row r="1429" spans="1:31" x14ac:dyDescent="0.25">
      <c r="A1429" s="316"/>
      <c r="B1429" s="317" t="str">
        <f>IF(A1429&lt;&gt;"",_xlfn.MAXIFS($B$1:B1428,$A$1:A1428,A1429)+1,"")</f>
        <v/>
      </c>
      <c r="C1429" s="296"/>
      <c r="D1429" s="296"/>
      <c r="E1429" s="296"/>
      <c r="F1429" s="296"/>
      <c r="G1429" s="326"/>
      <c r="H1429" s="324"/>
      <c r="I1429" s="325"/>
      <c r="J1429" s="325"/>
      <c r="K1429" s="318"/>
      <c r="L1429" s="318"/>
      <c r="M1429" s="319" t="str">
        <f>IFERROR(VLOOKUP(H1429,Lijsten!$H$1:$I$100,2,0),"")</f>
        <v/>
      </c>
      <c r="N1429" s="319" t="str">
        <f ca="1">IFERROR(IF(VLOOKUP(F1429,Kostentypen!$A$3:$E$21,3,0)=0,"",IF(OR(F1429="Arbeidskosten",F1429="Vergoeding"),VLOOKUP(G1429,Tb_KostenTypen[],2,0),VLOOKUP(F1429,Kostentypen!$A$3:$E$20,3,0))),"")</f>
        <v/>
      </c>
      <c r="O1429" s="320" t="str" cm="1">
        <f t="array" ref="O1429">_xlfn.IFNA(IF(INDEX(Tb_KostenOptiesDB[],MATCH($F1429,Tb_KostenOptiesDB[KostenOptie],0),IFERROR(MATCH(Methode_Keuze,Tb_KostenOptiesDB[#Headers],0),2))=1,_xlfn.SWITCH($N1429,"Uurtarief",IF(OR(AND(RIGHT($F1429,3)="IKS",VLOOKUP($M1429,DB_Loonkosten,2,0)="Ja"),AND(RIGHT($F1429,3)&lt;&gt;"IKS",VLOOKUP($M1429,DB_Loonkosten,2,0)="Nee")),IFERROR(VLOOKUP($M1429,DB_Loonkosten,24,0),""),0),"Vast tarief",IF(LEFT(F1429,8)="Bijdrage",VLOOKUP($F1429,Tb_KostenTypen[],MATCH(Lijsten!$P$1,Tb_KostenTypen[#Headers],0),0),VLOOKUP($G1429,Lijsten!L:P,MATCH(Lijsten!$P$1,Kop_Tarief_Vast,0),0))),""),"")</f>
        <v/>
      </c>
      <c r="P1429" s="320" t="str" cm="1">
        <f t="array" ref="P1429">_xlfn.IFNA(IF(INDEX(Tb_KostenOptiesDB[],MATCH($F1429,Tb_KostenOptiesDB[KostenOptie],0),IFERROR(MATCH(Methode_Keuze,Tb_KostenOptiesDB[#Headers],0),2))=1,_xlfn.SWITCH($N1429,"Uurtarief",IF(OR(AND(RIGHT($F1429,3)="IKS",VLOOKUP($M1429,DB_Loonkosten,2,0)="Ja"),AND(RIGHT($F1429,3)&lt;&gt;"IKS",VLOOKUP($M1429,DB_Loonkosten,2,0)="Nee")),IFERROR(VLOOKUP($M1429,DB_Loonkosten,25,0),""),0),"Vast tarief",IF(LEFT(F1429,8)="Bijdrage",VLOOKUP($F1429,Tb_KostenTypen[],MATCH(Lijsten!$P$1,Tb_KostenTypen[#Headers],0),0),VLOOKUP($G1429,Lijsten!L:P,MATCH(Lijsten!$P$1,Kop_Tarief_Vast,0),0))),""),"")</f>
        <v/>
      </c>
      <c r="Q1429" s="359"/>
      <c r="R1429" s="359"/>
      <c r="S1429" s="321"/>
      <c r="T1429" s="321"/>
      <c r="U1429" s="373" t="str">
        <f t="shared" si="88"/>
        <v/>
      </c>
      <c r="V1429" s="314" t="str">
        <f t="shared" si="89"/>
        <v/>
      </c>
      <c r="W1429" s="314" t="str" cm="1">
        <f t="array" aca="1" ref="W1429" ca="1">IFERROR(IF(AE1429&lt;&gt;"ja",_xlfn.IFNA(_xlfn.IFS(AND(O1429&lt;&gt;"",F1429&lt;&gt;"",RIGHT($N1429,6)="tarief",F1429="Vergoeding"),SUM(O1429)*FLOOR(SUM(Q1429),0.0001),AND(O1429&lt;&gt;"",F1429&lt;&gt;"",RIGHT($N1429,6)="tarief"),SUM(O1429)*FLOOR(SUM(Q1429),0.01),S1429&gt;0,IF(F1429&lt;&gt;"",FLOOR(SUM(S1429),0.01),"")),""),""),"")</f>
        <v/>
      </c>
      <c r="X1429" s="314" t="str" cm="1">
        <f t="array" aca="1" ref="X1429" ca="1">IFERROR(IF(AE1429&lt;&gt;"ja",_xlfn.IFNA(_xlfn.IFS(AND(P1429&lt;&gt;"",R1429&lt;&gt;"",RIGHT($N1429,6)="tarief",F1429="Vergoeding"),SUM(P1429)*FLOOR(SUM(R1429),0.0001),AND(P1429&lt;&gt;"",R1429&lt;&gt;"",RIGHT($N1429,6)="tarief"),P1429*FLOOR(R1429,0.01),T1429&gt;0,FLOOR(SUM(T1429),0.01)),""),""),"")</f>
        <v/>
      </c>
      <c r="Y1429" s="314" t="str">
        <f t="shared" ca="1" si="90"/>
        <v/>
      </c>
      <c r="Z1429" s="314" t="str" cm="1">
        <f t="array" aca="1" ref="Z1429" ca="1">IFERROR(_xlfn.IFS(OR(F1429="",LEFT(Methode_Keuze,4)="Geen",Methode_Keuze=""),"",AND(W1429&lt;&gt;"",F1429&lt;&gt;"Arbeidskosten"),W1429*VLOOKUP(F1429,Tb_ProjectKosten[],MATCH(Tb_ProjectKosten[[#Headers],[Forfait_Percentage]],Tb_ProjectKosten[#Headers],0),0),AND(F1429="Arbeidskosten",G1429&lt;&gt;""),IFERROR(W1429*VLOOKUP(G1429,Tb_KostenTypen[],3,0)*VLOOKUP(F1429,Tb_ProjectKosten[],MATCH(Tb_ProjectKosten[[#Headers],[Forfait_Percentage]],Tb_ProjectKosten[#Headers],0),0),""),W1429 &lt;=0,0),"")</f>
        <v/>
      </c>
      <c r="AA1429" s="314" t="str" cm="1">
        <f t="array" aca="1" ref="AA1429" ca="1">IFERROR(_xlfn.IFS(OR(F1429="",LEFT(Methode_Keuze,4)="Geen",Methode_Keuze=""),"",AND(X1429&lt;&gt;"",F1429&lt;&gt;"Arbeidskosten"),X1429*VLOOKUP(F1429,Tb_ProjectKosten[],MATCH(Tb_ProjectKosten[[#Headers],[Forfait_Percentage]],Tb_ProjectKosten[#Headers],0),0),AND(F1429="Arbeidskosten",G1429&lt;&gt;""),IFERROR(X1429*VLOOKUP(G1429,Tb_KostenTypen[],3,0)*VLOOKUP(F1429,Tb_ProjectKosten[],MATCH(Tb_ProjectKosten[[#Headers],[Forfait_Percentage]],Tb_ProjectKosten[#Headers],0),0),""),X1429 &lt;=0,0),"")</f>
        <v/>
      </c>
      <c r="AB1429" s="314" t="str">
        <f t="shared" ca="1" si="91"/>
        <v/>
      </c>
      <c r="AC1429" s="322"/>
      <c r="AD1429" s="315"/>
      <c r="AE1429" s="32" t="str" cm="1">
        <f t="array" ref="AE1429">IFERROR(IF(INDEX(SubsidieTabel!$AD$1:$AG$12,MATCH($F1429,SubsidieTabel!$AD$1:$AD$12,0),IFERROR(MATCH(Methode_Keuze,SubsidieTabel!$AD$1:$AG$1,0),2))&lt;&gt;1=TRUE,"ja",""),"")</f>
        <v/>
      </c>
    </row>
    <row r="1430" spans="1:31" x14ac:dyDescent="0.25">
      <c r="A1430" s="316"/>
      <c r="B1430" s="317" t="str">
        <f>IF(A1430&lt;&gt;"",_xlfn.MAXIFS($B$1:B1429,$A$1:A1429,A1430)+1,"")</f>
        <v/>
      </c>
      <c r="C1430" s="296"/>
      <c r="D1430" s="296"/>
      <c r="E1430" s="296"/>
      <c r="F1430" s="296"/>
      <c r="G1430" s="326"/>
      <c r="H1430" s="324"/>
      <c r="I1430" s="325"/>
      <c r="J1430" s="325"/>
      <c r="K1430" s="318"/>
      <c r="L1430" s="318"/>
      <c r="M1430" s="319" t="str">
        <f>IFERROR(VLOOKUP(H1430,Lijsten!$H$1:$I$100,2,0),"")</f>
        <v/>
      </c>
      <c r="N1430" s="319" t="str">
        <f ca="1">IFERROR(IF(VLOOKUP(F1430,Kostentypen!$A$3:$E$21,3,0)=0,"",IF(OR(F1430="Arbeidskosten",F1430="Vergoeding"),VLOOKUP(G1430,Tb_KostenTypen[],2,0),VLOOKUP(F1430,Kostentypen!$A$3:$E$20,3,0))),"")</f>
        <v/>
      </c>
      <c r="O1430" s="320" t="str" cm="1">
        <f t="array" ref="O1430">_xlfn.IFNA(IF(INDEX(Tb_KostenOptiesDB[],MATCH($F1430,Tb_KostenOptiesDB[KostenOptie],0),IFERROR(MATCH(Methode_Keuze,Tb_KostenOptiesDB[#Headers],0),2))=1,_xlfn.SWITCH($N1430,"Uurtarief",IF(OR(AND(RIGHT($F1430,3)="IKS",VLOOKUP($M1430,DB_Loonkosten,2,0)="Ja"),AND(RIGHT($F1430,3)&lt;&gt;"IKS",VLOOKUP($M1430,DB_Loonkosten,2,0)="Nee")),IFERROR(VLOOKUP($M1430,DB_Loonkosten,24,0),""),0),"Vast tarief",IF(LEFT(F1430,8)="Bijdrage",VLOOKUP($F1430,Tb_KostenTypen[],MATCH(Lijsten!$P$1,Tb_KostenTypen[#Headers],0),0),VLOOKUP($G1430,Lijsten!L:P,MATCH(Lijsten!$P$1,Kop_Tarief_Vast,0),0))),""),"")</f>
        <v/>
      </c>
      <c r="P1430" s="320" t="str" cm="1">
        <f t="array" ref="P1430">_xlfn.IFNA(IF(INDEX(Tb_KostenOptiesDB[],MATCH($F1430,Tb_KostenOptiesDB[KostenOptie],0),IFERROR(MATCH(Methode_Keuze,Tb_KostenOptiesDB[#Headers],0),2))=1,_xlfn.SWITCH($N1430,"Uurtarief",IF(OR(AND(RIGHT($F1430,3)="IKS",VLOOKUP($M1430,DB_Loonkosten,2,0)="Ja"),AND(RIGHT($F1430,3)&lt;&gt;"IKS",VLOOKUP($M1430,DB_Loonkosten,2,0)="Nee")),IFERROR(VLOOKUP($M1430,DB_Loonkosten,25,0),""),0),"Vast tarief",IF(LEFT(F1430,8)="Bijdrage",VLOOKUP($F1430,Tb_KostenTypen[],MATCH(Lijsten!$P$1,Tb_KostenTypen[#Headers],0),0),VLOOKUP($G1430,Lijsten!L:P,MATCH(Lijsten!$P$1,Kop_Tarief_Vast,0),0))),""),"")</f>
        <v/>
      </c>
      <c r="Q1430" s="359"/>
      <c r="R1430" s="359"/>
      <c r="S1430" s="321"/>
      <c r="T1430" s="321"/>
      <c r="U1430" s="373" t="str">
        <f t="shared" si="88"/>
        <v/>
      </c>
      <c r="V1430" s="314" t="str">
        <f t="shared" si="89"/>
        <v/>
      </c>
      <c r="W1430" s="314" t="str" cm="1">
        <f t="array" aca="1" ref="W1430" ca="1">IFERROR(IF(AE1430&lt;&gt;"ja",_xlfn.IFNA(_xlfn.IFS(AND(O1430&lt;&gt;"",F1430&lt;&gt;"",RIGHT($N1430,6)="tarief",F1430="Vergoeding"),SUM(O1430)*FLOOR(SUM(Q1430),0.0001),AND(O1430&lt;&gt;"",F1430&lt;&gt;"",RIGHT($N1430,6)="tarief"),SUM(O1430)*FLOOR(SUM(Q1430),0.01),S1430&gt;0,IF(F1430&lt;&gt;"",FLOOR(SUM(S1430),0.01),"")),""),""),"")</f>
        <v/>
      </c>
      <c r="X1430" s="314" t="str" cm="1">
        <f t="array" aca="1" ref="X1430" ca="1">IFERROR(IF(AE1430&lt;&gt;"ja",_xlfn.IFNA(_xlfn.IFS(AND(P1430&lt;&gt;"",R1430&lt;&gt;"",RIGHT($N1430,6)="tarief",F1430="Vergoeding"),SUM(P1430)*FLOOR(SUM(R1430),0.0001),AND(P1430&lt;&gt;"",R1430&lt;&gt;"",RIGHT($N1430,6)="tarief"),P1430*FLOOR(R1430,0.01),T1430&gt;0,FLOOR(SUM(T1430),0.01)),""),""),"")</f>
        <v/>
      </c>
      <c r="Y1430" s="314" t="str">
        <f t="shared" ca="1" si="90"/>
        <v/>
      </c>
      <c r="Z1430" s="314" t="str" cm="1">
        <f t="array" aca="1" ref="Z1430" ca="1">IFERROR(_xlfn.IFS(OR(F1430="",LEFT(Methode_Keuze,4)="Geen",Methode_Keuze=""),"",AND(W1430&lt;&gt;"",F1430&lt;&gt;"Arbeidskosten"),W1430*VLOOKUP(F1430,Tb_ProjectKosten[],MATCH(Tb_ProjectKosten[[#Headers],[Forfait_Percentage]],Tb_ProjectKosten[#Headers],0),0),AND(F1430="Arbeidskosten",G1430&lt;&gt;""),IFERROR(W1430*VLOOKUP(G1430,Tb_KostenTypen[],3,0)*VLOOKUP(F1430,Tb_ProjectKosten[],MATCH(Tb_ProjectKosten[[#Headers],[Forfait_Percentage]],Tb_ProjectKosten[#Headers],0),0),""),W1430 &lt;=0,0),"")</f>
        <v/>
      </c>
      <c r="AA1430" s="314" t="str" cm="1">
        <f t="array" aca="1" ref="AA1430" ca="1">IFERROR(_xlfn.IFS(OR(F1430="",LEFT(Methode_Keuze,4)="Geen",Methode_Keuze=""),"",AND(X1430&lt;&gt;"",F1430&lt;&gt;"Arbeidskosten"),X1430*VLOOKUP(F1430,Tb_ProjectKosten[],MATCH(Tb_ProjectKosten[[#Headers],[Forfait_Percentage]],Tb_ProjectKosten[#Headers],0),0),AND(F1430="Arbeidskosten",G1430&lt;&gt;""),IFERROR(X1430*VLOOKUP(G1430,Tb_KostenTypen[],3,0)*VLOOKUP(F1430,Tb_ProjectKosten[],MATCH(Tb_ProjectKosten[[#Headers],[Forfait_Percentage]],Tb_ProjectKosten[#Headers],0),0),""),X1430 &lt;=0,0),"")</f>
        <v/>
      </c>
      <c r="AB1430" s="314" t="str">
        <f t="shared" ca="1" si="91"/>
        <v/>
      </c>
      <c r="AC1430" s="322"/>
      <c r="AD1430" s="315"/>
      <c r="AE1430" s="32" t="str" cm="1">
        <f t="array" ref="AE1430">IFERROR(IF(INDEX(SubsidieTabel!$AD$1:$AG$12,MATCH($F1430,SubsidieTabel!$AD$1:$AD$12,0),IFERROR(MATCH(Methode_Keuze,SubsidieTabel!$AD$1:$AG$1,0),2))&lt;&gt;1=TRUE,"ja",""),"")</f>
        <v/>
      </c>
    </row>
    <row r="1431" spans="1:31" x14ac:dyDescent="0.25">
      <c r="A1431" s="316"/>
      <c r="B1431" s="317" t="str">
        <f>IF(A1431&lt;&gt;"",_xlfn.MAXIFS($B$1:B1430,$A$1:A1430,A1431)+1,"")</f>
        <v/>
      </c>
      <c r="C1431" s="296"/>
      <c r="D1431" s="296"/>
      <c r="E1431" s="296"/>
      <c r="F1431" s="296"/>
      <c r="G1431" s="326"/>
      <c r="H1431" s="324"/>
      <c r="I1431" s="325"/>
      <c r="J1431" s="325"/>
      <c r="K1431" s="318"/>
      <c r="L1431" s="318"/>
      <c r="M1431" s="319" t="str">
        <f>IFERROR(VLOOKUP(H1431,Lijsten!$H$1:$I$100,2,0),"")</f>
        <v/>
      </c>
      <c r="N1431" s="319" t="str">
        <f ca="1">IFERROR(IF(VLOOKUP(F1431,Kostentypen!$A$3:$E$21,3,0)=0,"",IF(OR(F1431="Arbeidskosten",F1431="Vergoeding"),VLOOKUP(G1431,Tb_KostenTypen[],2,0),VLOOKUP(F1431,Kostentypen!$A$3:$E$20,3,0))),"")</f>
        <v/>
      </c>
      <c r="O1431" s="320" t="str" cm="1">
        <f t="array" ref="O1431">_xlfn.IFNA(IF(INDEX(Tb_KostenOptiesDB[],MATCH($F1431,Tb_KostenOptiesDB[KostenOptie],0),IFERROR(MATCH(Methode_Keuze,Tb_KostenOptiesDB[#Headers],0),2))=1,_xlfn.SWITCH($N1431,"Uurtarief",IF(OR(AND(RIGHT($F1431,3)="IKS",VLOOKUP($M1431,DB_Loonkosten,2,0)="Ja"),AND(RIGHT($F1431,3)&lt;&gt;"IKS",VLOOKUP($M1431,DB_Loonkosten,2,0)="Nee")),IFERROR(VLOOKUP($M1431,DB_Loonkosten,24,0),""),0),"Vast tarief",IF(LEFT(F1431,8)="Bijdrage",VLOOKUP($F1431,Tb_KostenTypen[],MATCH(Lijsten!$P$1,Tb_KostenTypen[#Headers],0),0),VLOOKUP($G1431,Lijsten!L:P,MATCH(Lijsten!$P$1,Kop_Tarief_Vast,0),0))),""),"")</f>
        <v/>
      </c>
      <c r="P1431" s="320" t="str" cm="1">
        <f t="array" ref="P1431">_xlfn.IFNA(IF(INDEX(Tb_KostenOptiesDB[],MATCH($F1431,Tb_KostenOptiesDB[KostenOptie],0),IFERROR(MATCH(Methode_Keuze,Tb_KostenOptiesDB[#Headers],0),2))=1,_xlfn.SWITCH($N1431,"Uurtarief",IF(OR(AND(RIGHT($F1431,3)="IKS",VLOOKUP($M1431,DB_Loonkosten,2,0)="Ja"),AND(RIGHT($F1431,3)&lt;&gt;"IKS",VLOOKUP($M1431,DB_Loonkosten,2,0)="Nee")),IFERROR(VLOOKUP($M1431,DB_Loonkosten,25,0),""),0),"Vast tarief",IF(LEFT(F1431,8)="Bijdrage",VLOOKUP($F1431,Tb_KostenTypen[],MATCH(Lijsten!$P$1,Tb_KostenTypen[#Headers],0),0),VLOOKUP($G1431,Lijsten!L:P,MATCH(Lijsten!$P$1,Kop_Tarief_Vast,0),0))),""),"")</f>
        <v/>
      </c>
      <c r="Q1431" s="359"/>
      <c r="R1431" s="359"/>
      <c r="S1431" s="321"/>
      <c r="T1431" s="321"/>
      <c r="U1431" s="373" t="str">
        <f t="shared" si="88"/>
        <v/>
      </c>
      <c r="V1431" s="314" t="str">
        <f t="shared" si="89"/>
        <v/>
      </c>
      <c r="W1431" s="314" t="str" cm="1">
        <f t="array" aca="1" ref="W1431" ca="1">IFERROR(IF(AE1431&lt;&gt;"ja",_xlfn.IFNA(_xlfn.IFS(AND(O1431&lt;&gt;"",F1431&lt;&gt;"",RIGHT($N1431,6)="tarief",F1431="Vergoeding"),SUM(O1431)*FLOOR(SUM(Q1431),0.0001),AND(O1431&lt;&gt;"",F1431&lt;&gt;"",RIGHT($N1431,6)="tarief"),SUM(O1431)*FLOOR(SUM(Q1431),0.01),S1431&gt;0,IF(F1431&lt;&gt;"",FLOOR(SUM(S1431),0.01),"")),""),""),"")</f>
        <v/>
      </c>
      <c r="X1431" s="314" t="str" cm="1">
        <f t="array" aca="1" ref="X1431" ca="1">IFERROR(IF(AE1431&lt;&gt;"ja",_xlfn.IFNA(_xlfn.IFS(AND(P1431&lt;&gt;"",R1431&lt;&gt;"",RIGHT($N1431,6)="tarief",F1431="Vergoeding"),SUM(P1431)*FLOOR(SUM(R1431),0.0001),AND(P1431&lt;&gt;"",R1431&lt;&gt;"",RIGHT($N1431,6)="tarief"),P1431*FLOOR(R1431,0.01),T1431&gt;0,FLOOR(SUM(T1431),0.01)),""),""),"")</f>
        <v/>
      </c>
      <c r="Y1431" s="314" t="str">
        <f t="shared" ca="1" si="90"/>
        <v/>
      </c>
      <c r="Z1431" s="314" t="str" cm="1">
        <f t="array" aca="1" ref="Z1431" ca="1">IFERROR(_xlfn.IFS(OR(F1431="",LEFT(Methode_Keuze,4)="Geen",Methode_Keuze=""),"",AND(W1431&lt;&gt;"",F1431&lt;&gt;"Arbeidskosten"),W1431*VLOOKUP(F1431,Tb_ProjectKosten[],MATCH(Tb_ProjectKosten[[#Headers],[Forfait_Percentage]],Tb_ProjectKosten[#Headers],0),0),AND(F1431="Arbeidskosten",G1431&lt;&gt;""),IFERROR(W1431*VLOOKUP(G1431,Tb_KostenTypen[],3,0)*VLOOKUP(F1431,Tb_ProjectKosten[],MATCH(Tb_ProjectKosten[[#Headers],[Forfait_Percentage]],Tb_ProjectKosten[#Headers],0),0),""),W1431 &lt;=0,0),"")</f>
        <v/>
      </c>
      <c r="AA1431" s="314" t="str" cm="1">
        <f t="array" aca="1" ref="AA1431" ca="1">IFERROR(_xlfn.IFS(OR(F1431="",LEFT(Methode_Keuze,4)="Geen",Methode_Keuze=""),"",AND(X1431&lt;&gt;"",F1431&lt;&gt;"Arbeidskosten"),X1431*VLOOKUP(F1431,Tb_ProjectKosten[],MATCH(Tb_ProjectKosten[[#Headers],[Forfait_Percentage]],Tb_ProjectKosten[#Headers],0),0),AND(F1431="Arbeidskosten",G1431&lt;&gt;""),IFERROR(X1431*VLOOKUP(G1431,Tb_KostenTypen[],3,0)*VLOOKUP(F1431,Tb_ProjectKosten[],MATCH(Tb_ProjectKosten[[#Headers],[Forfait_Percentage]],Tb_ProjectKosten[#Headers],0),0),""),X1431 &lt;=0,0),"")</f>
        <v/>
      </c>
      <c r="AB1431" s="314" t="str">
        <f t="shared" ca="1" si="91"/>
        <v/>
      </c>
      <c r="AC1431" s="322"/>
      <c r="AD1431" s="315"/>
      <c r="AE1431" s="32" t="str" cm="1">
        <f t="array" ref="AE1431">IFERROR(IF(INDEX(SubsidieTabel!$AD$1:$AG$12,MATCH($F1431,SubsidieTabel!$AD$1:$AD$12,0),IFERROR(MATCH(Methode_Keuze,SubsidieTabel!$AD$1:$AG$1,0),2))&lt;&gt;1=TRUE,"ja",""),"")</f>
        <v/>
      </c>
    </row>
    <row r="1432" spans="1:31" x14ac:dyDescent="0.25">
      <c r="A1432" s="316"/>
      <c r="B1432" s="317" t="str">
        <f>IF(A1432&lt;&gt;"",_xlfn.MAXIFS($B$1:B1431,$A$1:A1431,A1432)+1,"")</f>
        <v/>
      </c>
      <c r="C1432" s="296"/>
      <c r="D1432" s="296"/>
      <c r="E1432" s="296"/>
      <c r="F1432" s="296"/>
      <c r="G1432" s="326"/>
      <c r="H1432" s="324"/>
      <c r="I1432" s="325"/>
      <c r="J1432" s="325"/>
      <c r="K1432" s="318"/>
      <c r="L1432" s="318"/>
      <c r="M1432" s="319" t="str">
        <f>IFERROR(VLOOKUP(H1432,Lijsten!$H$1:$I$100,2,0),"")</f>
        <v/>
      </c>
      <c r="N1432" s="319" t="str">
        <f ca="1">IFERROR(IF(VLOOKUP(F1432,Kostentypen!$A$3:$E$21,3,0)=0,"",IF(OR(F1432="Arbeidskosten",F1432="Vergoeding"),VLOOKUP(G1432,Tb_KostenTypen[],2,0),VLOOKUP(F1432,Kostentypen!$A$3:$E$20,3,0))),"")</f>
        <v/>
      </c>
      <c r="O1432" s="320" t="str" cm="1">
        <f t="array" ref="O1432">_xlfn.IFNA(IF(INDEX(Tb_KostenOptiesDB[],MATCH($F1432,Tb_KostenOptiesDB[KostenOptie],0),IFERROR(MATCH(Methode_Keuze,Tb_KostenOptiesDB[#Headers],0),2))=1,_xlfn.SWITCH($N1432,"Uurtarief",IF(OR(AND(RIGHT($F1432,3)="IKS",VLOOKUP($M1432,DB_Loonkosten,2,0)="Ja"),AND(RIGHT($F1432,3)&lt;&gt;"IKS",VLOOKUP($M1432,DB_Loonkosten,2,0)="Nee")),IFERROR(VLOOKUP($M1432,DB_Loonkosten,24,0),""),0),"Vast tarief",IF(LEFT(F1432,8)="Bijdrage",VLOOKUP($F1432,Tb_KostenTypen[],MATCH(Lijsten!$P$1,Tb_KostenTypen[#Headers],0),0),VLOOKUP($G1432,Lijsten!L:P,MATCH(Lijsten!$P$1,Kop_Tarief_Vast,0),0))),""),"")</f>
        <v/>
      </c>
      <c r="P1432" s="320" t="str" cm="1">
        <f t="array" ref="P1432">_xlfn.IFNA(IF(INDEX(Tb_KostenOptiesDB[],MATCH($F1432,Tb_KostenOptiesDB[KostenOptie],0),IFERROR(MATCH(Methode_Keuze,Tb_KostenOptiesDB[#Headers],0),2))=1,_xlfn.SWITCH($N1432,"Uurtarief",IF(OR(AND(RIGHT($F1432,3)="IKS",VLOOKUP($M1432,DB_Loonkosten,2,0)="Ja"),AND(RIGHT($F1432,3)&lt;&gt;"IKS",VLOOKUP($M1432,DB_Loonkosten,2,0)="Nee")),IFERROR(VLOOKUP($M1432,DB_Loonkosten,25,0),""),0),"Vast tarief",IF(LEFT(F1432,8)="Bijdrage",VLOOKUP($F1432,Tb_KostenTypen[],MATCH(Lijsten!$P$1,Tb_KostenTypen[#Headers],0),0),VLOOKUP($G1432,Lijsten!L:P,MATCH(Lijsten!$P$1,Kop_Tarief_Vast,0),0))),""),"")</f>
        <v/>
      </c>
      <c r="Q1432" s="359"/>
      <c r="R1432" s="359"/>
      <c r="S1432" s="321"/>
      <c r="T1432" s="321"/>
      <c r="U1432" s="373" t="str">
        <f t="shared" si="88"/>
        <v/>
      </c>
      <c r="V1432" s="314" t="str">
        <f t="shared" si="89"/>
        <v/>
      </c>
      <c r="W1432" s="314" t="str" cm="1">
        <f t="array" aca="1" ref="W1432" ca="1">IFERROR(IF(AE1432&lt;&gt;"ja",_xlfn.IFNA(_xlfn.IFS(AND(O1432&lt;&gt;"",F1432&lt;&gt;"",RIGHT($N1432,6)="tarief",F1432="Vergoeding"),SUM(O1432)*FLOOR(SUM(Q1432),0.0001),AND(O1432&lt;&gt;"",F1432&lt;&gt;"",RIGHT($N1432,6)="tarief"),SUM(O1432)*FLOOR(SUM(Q1432),0.01),S1432&gt;0,IF(F1432&lt;&gt;"",FLOOR(SUM(S1432),0.01),"")),""),""),"")</f>
        <v/>
      </c>
      <c r="X1432" s="314" t="str" cm="1">
        <f t="array" aca="1" ref="X1432" ca="1">IFERROR(IF(AE1432&lt;&gt;"ja",_xlfn.IFNA(_xlfn.IFS(AND(P1432&lt;&gt;"",R1432&lt;&gt;"",RIGHT($N1432,6)="tarief",F1432="Vergoeding"),SUM(P1432)*FLOOR(SUM(R1432),0.0001),AND(P1432&lt;&gt;"",R1432&lt;&gt;"",RIGHT($N1432,6)="tarief"),P1432*FLOOR(R1432,0.01),T1432&gt;0,FLOOR(SUM(T1432),0.01)),""),""),"")</f>
        <v/>
      </c>
      <c r="Y1432" s="314" t="str">
        <f t="shared" ca="1" si="90"/>
        <v/>
      </c>
      <c r="Z1432" s="314" t="str" cm="1">
        <f t="array" aca="1" ref="Z1432" ca="1">IFERROR(_xlfn.IFS(OR(F1432="",LEFT(Methode_Keuze,4)="Geen",Methode_Keuze=""),"",AND(W1432&lt;&gt;"",F1432&lt;&gt;"Arbeidskosten"),W1432*VLOOKUP(F1432,Tb_ProjectKosten[],MATCH(Tb_ProjectKosten[[#Headers],[Forfait_Percentage]],Tb_ProjectKosten[#Headers],0),0),AND(F1432="Arbeidskosten",G1432&lt;&gt;""),IFERROR(W1432*VLOOKUP(G1432,Tb_KostenTypen[],3,0)*VLOOKUP(F1432,Tb_ProjectKosten[],MATCH(Tb_ProjectKosten[[#Headers],[Forfait_Percentage]],Tb_ProjectKosten[#Headers],0),0),""),W1432 &lt;=0,0),"")</f>
        <v/>
      </c>
      <c r="AA1432" s="314" t="str" cm="1">
        <f t="array" aca="1" ref="AA1432" ca="1">IFERROR(_xlfn.IFS(OR(F1432="",LEFT(Methode_Keuze,4)="Geen",Methode_Keuze=""),"",AND(X1432&lt;&gt;"",F1432&lt;&gt;"Arbeidskosten"),X1432*VLOOKUP(F1432,Tb_ProjectKosten[],MATCH(Tb_ProjectKosten[[#Headers],[Forfait_Percentage]],Tb_ProjectKosten[#Headers],0),0),AND(F1432="Arbeidskosten",G1432&lt;&gt;""),IFERROR(X1432*VLOOKUP(G1432,Tb_KostenTypen[],3,0)*VLOOKUP(F1432,Tb_ProjectKosten[],MATCH(Tb_ProjectKosten[[#Headers],[Forfait_Percentage]],Tb_ProjectKosten[#Headers],0),0),""),X1432 &lt;=0,0),"")</f>
        <v/>
      </c>
      <c r="AB1432" s="314" t="str">
        <f t="shared" ca="1" si="91"/>
        <v/>
      </c>
      <c r="AC1432" s="322"/>
      <c r="AD1432" s="315"/>
      <c r="AE1432" s="32" t="str" cm="1">
        <f t="array" ref="AE1432">IFERROR(IF(INDEX(SubsidieTabel!$AD$1:$AG$12,MATCH($F1432,SubsidieTabel!$AD$1:$AD$12,0),IFERROR(MATCH(Methode_Keuze,SubsidieTabel!$AD$1:$AG$1,0),2))&lt;&gt;1=TRUE,"ja",""),"")</f>
        <v/>
      </c>
    </row>
    <row r="1433" spans="1:31" x14ac:dyDescent="0.25">
      <c r="A1433" s="316"/>
      <c r="B1433" s="317" t="str">
        <f>IF(A1433&lt;&gt;"",_xlfn.MAXIFS($B$1:B1432,$A$1:A1432,A1433)+1,"")</f>
        <v/>
      </c>
      <c r="C1433" s="296"/>
      <c r="D1433" s="296"/>
      <c r="E1433" s="296"/>
      <c r="F1433" s="296"/>
      <c r="G1433" s="326"/>
      <c r="H1433" s="324"/>
      <c r="I1433" s="325"/>
      <c r="J1433" s="325"/>
      <c r="K1433" s="318"/>
      <c r="L1433" s="318"/>
      <c r="M1433" s="319" t="str">
        <f>IFERROR(VLOOKUP(H1433,Lijsten!$H$1:$I$100,2,0),"")</f>
        <v/>
      </c>
      <c r="N1433" s="319" t="str">
        <f ca="1">IFERROR(IF(VLOOKUP(F1433,Kostentypen!$A$3:$E$21,3,0)=0,"",IF(OR(F1433="Arbeidskosten",F1433="Vergoeding"),VLOOKUP(G1433,Tb_KostenTypen[],2,0),VLOOKUP(F1433,Kostentypen!$A$3:$E$20,3,0))),"")</f>
        <v/>
      </c>
      <c r="O1433" s="320" t="str" cm="1">
        <f t="array" ref="O1433">_xlfn.IFNA(IF(INDEX(Tb_KostenOptiesDB[],MATCH($F1433,Tb_KostenOptiesDB[KostenOptie],0),IFERROR(MATCH(Methode_Keuze,Tb_KostenOptiesDB[#Headers],0),2))=1,_xlfn.SWITCH($N1433,"Uurtarief",IF(OR(AND(RIGHT($F1433,3)="IKS",VLOOKUP($M1433,DB_Loonkosten,2,0)="Ja"),AND(RIGHT($F1433,3)&lt;&gt;"IKS",VLOOKUP($M1433,DB_Loonkosten,2,0)="Nee")),IFERROR(VLOOKUP($M1433,DB_Loonkosten,24,0),""),0),"Vast tarief",IF(LEFT(F1433,8)="Bijdrage",VLOOKUP($F1433,Tb_KostenTypen[],MATCH(Lijsten!$P$1,Tb_KostenTypen[#Headers],0),0),VLOOKUP($G1433,Lijsten!L:P,MATCH(Lijsten!$P$1,Kop_Tarief_Vast,0),0))),""),"")</f>
        <v/>
      </c>
      <c r="P1433" s="320" t="str" cm="1">
        <f t="array" ref="P1433">_xlfn.IFNA(IF(INDEX(Tb_KostenOptiesDB[],MATCH($F1433,Tb_KostenOptiesDB[KostenOptie],0),IFERROR(MATCH(Methode_Keuze,Tb_KostenOptiesDB[#Headers],0),2))=1,_xlfn.SWITCH($N1433,"Uurtarief",IF(OR(AND(RIGHT($F1433,3)="IKS",VLOOKUP($M1433,DB_Loonkosten,2,0)="Ja"),AND(RIGHT($F1433,3)&lt;&gt;"IKS",VLOOKUP($M1433,DB_Loonkosten,2,0)="Nee")),IFERROR(VLOOKUP($M1433,DB_Loonkosten,25,0),""),0),"Vast tarief",IF(LEFT(F1433,8)="Bijdrage",VLOOKUP($F1433,Tb_KostenTypen[],MATCH(Lijsten!$P$1,Tb_KostenTypen[#Headers],0),0),VLOOKUP($G1433,Lijsten!L:P,MATCH(Lijsten!$P$1,Kop_Tarief_Vast,0),0))),""),"")</f>
        <v/>
      </c>
      <c r="Q1433" s="359"/>
      <c r="R1433" s="359"/>
      <c r="S1433" s="321"/>
      <c r="T1433" s="321"/>
      <c r="U1433" s="373" t="str">
        <f t="shared" si="88"/>
        <v/>
      </c>
      <c r="V1433" s="314" t="str">
        <f t="shared" si="89"/>
        <v/>
      </c>
      <c r="W1433" s="314" t="str" cm="1">
        <f t="array" aca="1" ref="W1433" ca="1">IFERROR(IF(AE1433&lt;&gt;"ja",_xlfn.IFNA(_xlfn.IFS(AND(O1433&lt;&gt;"",F1433&lt;&gt;"",RIGHT($N1433,6)="tarief",F1433="Vergoeding"),SUM(O1433)*FLOOR(SUM(Q1433),0.0001),AND(O1433&lt;&gt;"",F1433&lt;&gt;"",RIGHT($N1433,6)="tarief"),SUM(O1433)*FLOOR(SUM(Q1433),0.01),S1433&gt;0,IF(F1433&lt;&gt;"",FLOOR(SUM(S1433),0.01),"")),""),""),"")</f>
        <v/>
      </c>
      <c r="X1433" s="314" t="str" cm="1">
        <f t="array" aca="1" ref="X1433" ca="1">IFERROR(IF(AE1433&lt;&gt;"ja",_xlfn.IFNA(_xlfn.IFS(AND(P1433&lt;&gt;"",R1433&lt;&gt;"",RIGHT($N1433,6)="tarief",F1433="Vergoeding"),SUM(P1433)*FLOOR(SUM(R1433),0.0001),AND(P1433&lt;&gt;"",R1433&lt;&gt;"",RIGHT($N1433,6)="tarief"),P1433*FLOOR(R1433,0.01),T1433&gt;0,FLOOR(SUM(T1433),0.01)),""),""),"")</f>
        <v/>
      </c>
      <c r="Y1433" s="314" t="str">
        <f t="shared" ca="1" si="90"/>
        <v/>
      </c>
      <c r="Z1433" s="314" t="str" cm="1">
        <f t="array" aca="1" ref="Z1433" ca="1">IFERROR(_xlfn.IFS(OR(F1433="",LEFT(Methode_Keuze,4)="Geen",Methode_Keuze=""),"",AND(W1433&lt;&gt;"",F1433&lt;&gt;"Arbeidskosten"),W1433*VLOOKUP(F1433,Tb_ProjectKosten[],MATCH(Tb_ProjectKosten[[#Headers],[Forfait_Percentage]],Tb_ProjectKosten[#Headers],0),0),AND(F1433="Arbeidskosten",G1433&lt;&gt;""),IFERROR(W1433*VLOOKUP(G1433,Tb_KostenTypen[],3,0)*VLOOKUP(F1433,Tb_ProjectKosten[],MATCH(Tb_ProjectKosten[[#Headers],[Forfait_Percentage]],Tb_ProjectKosten[#Headers],0),0),""),W1433 &lt;=0,0),"")</f>
        <v/>
      </c>
      <c r="AA1433" s="314" t="str" cm="1">
        <f t="array" aca="1" ref="AA1433" ca="1">IFERROR(_xlfn.IFS(OR(F1433="",LEFT(Methode_Keuze,4)="Geen",Methode_Keuze=""),"",AND(X1433&lt;&gt;"",F1433&lt;&gt;"Arbeidskosten"),X1433*VLOOKUP(F1433,Tb_ProjectKosten[],MATCH(Tb_ProjectKosten[[#Headers],[Forfait_Percentage]],Tb_ProjectKosten[#Headers],0),0),AND(F1433="Arbeidskosten",G1433&lt;&gt;""),IFERROR(X1433*VLOOKUP(G1433,Tb_KostenTypen[],3,0)*VLOOKUP(F1433,Tb_ProjectKosten[],MATCH(Tb_ProjectKosten[[#Headers],[Forfait_Percentage]],Tb_ProjectKosten[#Headers],0),0),""),X1433 &lt;=0,0),"")</f>
        <v/>
      </c>
      <c r="AB1433" s="314" t="str">
        <f t="shared" ca="1" si="91"/>
        <v/>
      </c>
      <c r="AC1433" s="322"/>
      <c r="AD1433" s="315"/>
      <c r="AE1433" s="32" t="str" cm="1">
        <f t="array" ref="AE1433">IFERROR(IF(INDEX(SubsidieTabel!$AD$1:$AG$12,MATCH($F1433,SubsidieTabel!$AD$1:$AD$12,0),IFERROR(MATCH(Methode_Keuze,SubsidieTabel!$AD$1:$AG$1,0),2))&lt;&gt;1=TRUE,"ja",""),"")</f>
        <v/>
      </c>
    </row>
    <row r="1434" spans="1:31" x14ac:dyDescent="0.25">
      <c r="A1434" s="316"/>
      <c r="B1434" s="317" t="str">
        <f>IF(A1434&lt;&gt;"",_xlfn.MAXIFS($B$1:B1433,$A$1:A1433,A1434)+1,"")</f>
        <v/>
      </c>
      <c r="C1434" s="296"/>
      <c r="D1434" s="296"/>
      <c r="E1434" s="296"/>
      <c r="F1434" s="296"/>
      <c r="G1434" s="326"/>
      <c r="H1434" s="324"/>
      <c r="I1434" s="325"/>
      <c r="J1434" s="325"/>
      <c r="K1434" s="318"/>
      <c r="L1434" s="318"/>
      <c r="M1434" s="319" t="str">
        <f>IFERROR(VLOOKUP(H1434,Lijsten!$H$1:$I$100,2,0),"")</f>
        <v/>
      </c>
      <c r="N1434" s="319" t="str">
        <f ca="1">IFERROR(IF(VLOOKUP(F1434,Kostentypen!$A$3:$E$21,3,0)=0,"",IF(OR(F1434="Arbeidskosten",F1434="Vergoeding"),VLOOKUP(G1434,Tb_KostenTypen[],2,0),VLOOKUP(F1434,Kostentypen!$A$3:$E$20,3,0))),"")</f>
        <v/>
      </c>
      <c r="O1434" s="320" t="str" cm="1">
        <f t="array" ref="O1434">_xlfn.IFNA(IF(INDEX(Tb_KostenOptiesDB[],MATCH($F1434,Tb_KostenOptiesDB[KostenOptie],0),IFERROR(MATCH(Methode_Keuze,Tb_KostenOptiesDB[#Headers],0),2))=1,_xlfn.SWITCH($N1434,"Uurtarief",IF(OR(AND(RIGHT($F1434,3)="IKS",VLOOKUP($M1434,DB_Loonkosten,2,0)="Ja"),AND(RIGHT($F1434,3)&lt;&gt;"IKS",VLOOKUP($M1434,DB_Loonkosten,2,0)="Nee")),IFERROR(VLOOKUP($M1434,DB_Loonkosten,24,0),""),0),"Vast tarief",IF(LEFT(F1434,8)="Bijdrage",VLOOKUP($F1434,Tb_KostenTypen[],MATCH(Lijsten!$P$1,Tb_KostenTypen[#Headers],0),0),VLOOKUP($G1434,Lijsten!L:P,MATCH(Lijsten!$P$1,Kop_Tarief_Vast,0),0))),""),"")</f>
        <v/>
      </c>
      <c r="P1434" s="320" t="str" cm="1">
        <f t="array" ref="P1434">_xlfn.IFNA(IF(INDEX(Tb_KostenOptiesDB[],MATCH($F1434,Tb_KostenOptiesDB[KostenOptie],0),IFERROR(MATCH(Methode_Keuze,Tb_KostenOptiesDB[#Headers],0),2))=1,_xlfn.SWITCH($N1434,"Uurtarief",IF(OR(AND(RIGHT($F1434,3)="IKS",VLOOKUP($M1434,DB_Loonkosten,2,0)="Ja"),AND(RIGHT($F1434,3)&lt;&gt;"IKS",VLOOKUP($M1434,DB_Loonkosten,2,0)="Nee")),IFERROR(VLOOKUP($M1434,DB_Loonkosten,25,0),""),0),"Vast tarief",IF(LEFT(F1434,8)="Bijdrage",VLOOKUP($F1434,Tb_KostenTypen[],MATCH(Lijsten!$P$1,Tb_KostenTypen[#Headers],0),0),VLOOKUP($G1434,Lijsten!L:P,MATCH(Lijsten!$P$1,Kop_Tarief_Vast,0),0))),""),"")</f>
        <v/>
      </c>
      <c r="Q1434" s="359"/>
      <c r="R1434" s="359"/>
      <c r="S1434" s="321"/>
      <c r="T1434" s="321"/>
      <c r="U1434" s="373" t="str">
        <f t="shared" si="88"/>
        <v/>
      </c>
      <c r="V1434" s="314" t="str">
        <f t="shared" si="89"/>
        <v/>
      </c>
      <c r="W1434" s="314" t="str" cm="1">
        <f t="array" aca="1" ref="W1434" ca="1">IFERROR(IF(AE1434&lt;&gt;"ja",_xlfn.IFNA(_xlfn.IFS(AND(O1434&lt;&gt;"",F1434&lt;&gt;"",RIGHT($N1434,6)="tarief",F1434="Vergoeding"),SUM(O1434)*FLOOR(SUM(Q1434),0.0001),AND(O1434&lt;&gt;"",F1434&lt;&gt;"",RIGHT($N1434,6)="tarief"),SUM(O1434)*FLOOR(SUM(Q1434),0.01),S1434&gt;0,IF(F1434&lt;&gt;"",FLOOR(SUM(S1434),0.01),"")),""),""),"")</f>
        <v/>
      </c>
      <c r="X1434" s="314" t="str" cm="1">
        <f t="array" aca="1" ref="X1434" ca="1">IFERROR(IF(AE1434&lt;&gt;"ja",_xlfn.IFNA(_xlfn.IFS(AND(P1434&lt;&gt;"",R1434&lt;&gt;"",RIGHT($N1434,6)="tarief",F1434="Vergoeding"),SUM(P1434)*FLOOR(SUM(R1434),0.0001),AND(P1434&lt;&gt;"",R1434&lt;&gt;"",RIGHT($N1434,6)="tarief"),P1434*FLOOR(R1434,0.01),T1434&gt;0,FLOOR(SUM(T1434),0.01)),""),""),"")</f>
        <v/>
      </c>
      <c r="Y1434" s="314" t="str">
        <f t="shared" ca="1" si="90"/>
        <v/>
      </c>
      <c r="Z1434" s="314" t="str" cm="1">
        <f t="array" aca="1" ref="Z1434" ca="1">IFERROR(_xlfn.IFS(OR(F1434="",LEFT(Methode_Keuze,4)="Geen",Methode_Keuze=""),"",AND(W1434&lt;&gt;"",F1434&lt;&gt;"Arbeidskosten"),W1434*VLOOKUP(F1434,Tb_ProjectKosten[],MATCH(Tb_ProjectKosten[[#Headers],[Forfait_Percentage]],Tb_ProjectKosten[#Headers],0),0),AND(F1434="Arbeidskosten",G1434&lt;&gt;""),IFERROR(W1434*VLOOKUP(G1434,Tb_KostenTypen[],3,0)*VLOOKUP(F1434,Tb_ProjectKosten[],MATCH(Tb_ProjectKosten[[#Headers],[Forfait_Percentage]],Tb_ProjectKosten[#Headers],0),0),""),W1434 &lt;=0,0),"")</f>
        <v/>
      </c>
      <c r="AA1434" s="314" t="str" cm="1">
        <f t="array" aca="1" ref="AA1434" ca="1">IFERROR(_xlfn.IFS(OR(F1434="",LEFT(Methode_Keuze,4)="Geen",Methode_Keuze=""),"",AND(X1434&lt;&gt;"",F1434&lt;&gt;"Arbeidskosten"),X1434*VLOOKUP(F1434,Tb_ProjectKosten[],MATCH(Tb_ProjectKosten[[#Headers],[Forfait_Percentage]],Tb_ProjectKosten[#Headers],0),0),AND(F1434="Arbeidskosten",G1434&lt;&gt;""),IFERROR(X1434*VLOOKUP(G1434,Tb_KostenTypen[],3,0)*VLOOKUP(F1434,Tb_ProjectKosten[],MATCH(Tb_ProjectKosten[[#Headers],[Forfait_Percentage]],Tb_ProjectKosten[#Headers],0),0),""),X1434 &lt;=0,0),"")</f>
        <v/>
      </c>
      <c r="AB1434" s="314" t="str">
        <f t="shared" ca="1" si="91"/>
        <v/>
      </c>
      <c r="AC1434" s="322"/>
      <c r="AD1434" s="315"/>
      <c r="AE1434" s="32" t="str" cm="1">
        <f t="array" ref="AE1434">IFERROR(IF(INDEX(SubsidieTabel!$AD$1:$AG$12,MATCH($F1434,SubsidieTabel!$AD$1:$AD$12,0),IFERROR(MATCH(Methode_Keuze,SubsidieTabel!$AD$1:$AG$1,0),2))&lt;&gt;1=TRUE,"ja",""),"")</f>
        <v/>
      </c>
    </row>
    <row r="1435" spans="1:31" x14ac:dyDescent="0.25">
      <c r="A1435" s="316"/>
      <c r="B1435" s="317" t="str">
        <f>IF(A1435&lt;&gt;"",_xlfn.MAXIFS($B$1:B1434,$A$1:A1434,A1435)+1,"")</f>
        <v/>
      </c>
      <c r="C1435" s="296"/>
      <c r="D1435" s="296"/>
      <c r="E1435" s="296"/>
      <c r="F1435" s="296"/>
      <c r="G1435" s="326"/>
      <c r="H1435" s="324"/>
      <c r="I1435" s="325"/>
      <c r="J1435" s="325"/>
      <c r="K1435" s="318"/>
      <c r="L1435" s="318"/>
      <c r="M1435" s="319" t="str">
        <f>IFERROR(VLOOKUP(H1435,Lijsten!$H$1:$I$100,2,0),"")</f>
        <v/>
      </c>
      <c r="N1435" s="319" t="str">
        <f ca="1">IFERROR(IF(VLOOKUP(F1435,Kostentypen!$A$3:$E$21,3,0)=0,"",IF(OR(F1435="Arbeidskosten",F1435="Vergoeding"),VLOOKUP(G1435,Tb_KostenTypen[],2,0),VLOOKUP(F1435,Kostentypen!$A$3:$E$20,3,0))),"")</f>
        <v/>
      </c>
      <c r="O1435" s="320" t="str" cm="1">
        <f t="array" ref="O1435">_xlfn.IFNA(IF(INDEX(Tb_KostenOptiesDB[],MATCH($F1435,Tb_KostenOptiesDB[KostenOptie],0),IFERROR(MATCH(Methode_Keuze,Tb_KostenOptiesDB[#Headers],0),2))=1,_xlfn.SWITCH($N1435,"Uurtarief",IF(OR(AND(RIGHT($F1435,3)="IKS",VLOOKUP($M1435,DB_Loonkosten,2,0)="Ja"),AND(RIGHT($F1435,3)&lt;&gt;"IKS",VLOOKUP($M1435,DB_Loonkosten,2,0)="Nee")),IFERROR(VLOOKUP($M1435,DB_Loonkosten,24,0),""),0),"Vast tarief",IF(LEFT(F1435,8)="Bijdrage",VLOOKUP($F1435,Tb_KostenTypen[],MATCH(Lijsten!$P$1,Tb_KostenTypen[#Headers],0),0),VLOOKUP($G1435,Lijsten!L:P,MATCH(Lijsten!$P$1,Kop_Tarief_Vast,0),0))),""),"")</f>
        <v/>
      </c>
      <c r="P1435" s="320" t="str" cm="1">
        <f t="array" ref="P1435">_xlfn.IFNA(IF(INDEX(Tb_KostenOptiesDB[],MATCH($F1435,Tb_KostenOptiesDB[KostenOptie],0),IFERROR(MATCH(Methode_Keuze,Tb_KostenOptiesDB[#Headers],0),2))=1,_xlfn.SWITCH($N1435,"Uurtarief",IF(OR(AND(RIGHT($F1435,3)="IKS",VLOOKUP($M1435,DB_Loonkosten,2,0)="Ja"),AND(RIGHT($F1435,3)&lt;&gt;"IKS",VLOOKUP($M1435,DB_Loonkosten,2,0)="Nee")),IFERROR(VLOOKUP($M1435,DB_Loonkosten,25,0),""),0),"Vast tarief",IF(LEFT(F1435,8)="Bijdrage",VLOOKUP($F1435,Tb_KostenTypen[],MATCH(Lijsten!$P$1,Tb_KostenTypen[#Headers],0),0),VLOOKUP($G1435,Lijsten!L:P,MATCH(Lijsten!$P$1,Kop_Tarief_Vast,0),0))),""),"")</f>
        <v/>
      </c>
      <c r="Q1435" s="359"/>
      <c r="R1435" s="359"/>
      <c r="S1435" s="321"/>
      <c r="T1435" s="321"/>
      <c r="U1435" s="373" t="str">
        <f t="shared" si="88"/>
        <v/>
      </c>
      <c r="V1435" s="314" t="str">
        <f t="shared" si="89"/>
        <v/>
      </c>
      <c r="W1435" s="314" t="str" cm="1">
        <f t="array" aca="1" ref="W1435" ca="1">IFERROR(IF(AE1435&lt;&gt;"ja",_xlfn.IFNA(_xlfn.IFS(AND(O1435&lt;&gt;"",F1435&lt;&gt;"",RIGHT($N1435,6)="tarief",F1435="Vergoeding"),SUM(O1435)*FLOOR(SUM(Q1435),0.0001),AND(O1435&lt;&gt;"",F1435&lt;&gt;"",RIGHT($N1435,6)="tarief"),SUM(O1435)*FLOOR(SUM(Q1435),0.01),S1435&gt;0,IF(F1435&lt;&gt;"",FLOOR(SUM(S1435),0.01),"")),""),""),"")</f>
        <v/>
      </c>
      <c r="X1435" s="314" t="str" cm="1">
        <f t="array" aca="1" ref="X1435" ca="1">IFERROR(IF(AE1435&lt;&gt;"ja",_xlfn.IFNA(_xlfn.IFS(AND(P1435&lt;&gt;"",R1435&lt;&gt;"",RIGHT($N1435,6)="tarief",F1435="Vergoeding"),SUM(P1435)*FLOOR(SUM(R1435),0.0001),AND(P1435&lt;&gt;"",R1435&lt;&gt;"",RIGHT($N1435,6)="tarief"),P1435*FLOOR(R1435,0.01),T1435&gt;0,FLOOR(SUM(T1435),0.01)),""),""),"")</f>
        <v/>
      </c>
      <c r="Y1435" s="314" t="str">
        <f t="shared" ca="1" si="90"/>
        <v/>
      </c>
      <c r="Z1435" s="314" t="str" cm="1">
        <f t="array" aca="1" ref="Z1435" ca="1">IFERROR(_xlfn.IFS(OR(F1435="",LEFT(Methode_Keuze,4)="Geen",Methode_Keuze=""),"",AND(W1435&lt;&gt;"",F1435&lt;&gt;"Arbeidskosten"),W1435*VLOOKUP(F1435,Tb_ProjectKosten[],MATCH(Tb_ProjectKosten[[#Headers],[Forfait_Percentage]],Tb_ProjectKosten[#Headers],0),0),AND(F1435="Arbeidskosten",G1435&lt;&gt;""),IFERROR(W1435*VLOOKUP(G1435,Tb_KostenTypen[],3,0)*VLOOKUP(F1435,Tb_ProjectKosten[],MATCH(Tb_ProjectKosten[[#Headers],[Forfait_Percentage]],Tb_ProjectKosten[#Headers],0),0),""),W1435 &lt;=0,0),"")</f>
        <v/>
      </c>
      <c r="AA1435" s="314" t="str" cm="1">
        <f t="array" aca="1" ref="AA1435" ca="1">IFERROR(_xlfn.IFS(OR(F1435="",LEFT(Methode_Keuze,4)="Geen",Methode_Keuze=""),"",AND(X1435&lt;&gt;"",F1435&lt;&gt;"Arbeidskosten"),X1435*VLOOKUP(F1435,Tb_ProjectKosten[],MATCH(Tb_ProjectKosten[[#Headers],[Forfait_Percentage]],Tb_ProjectKosten[#Headers],0),0),AND(F1435="Arbeidskosten",G1435&lt;&gt;""),IFERROR(X1435*VLOOKUP(G1435,Tb_KostenTypen[],3,0)*VLOOKUP(F1435,Tb_ProjectKosten[],MATCH(Tb_ProjectKosten[[#Headers],[Forfait_Percentage]],Tb_ProjectKosten[#Headers],0),0),""),X1435 &lt;=0,0),"")</f>
        <v/>
      </c>
      <c r="AB1435" s="314" t="str">
        <f t="shared" ca="1" si="91"/>
        <v/>
      </c>
      <c r="AC1435" s="322"/>
      <c r="AD1435" s="315"/>
      <c r="AE1435" s="32" t="str" cm="1">
        <f t="array" ref="AE1435">IFERROR(IF(INDEX(SubsidieTabel!$AD$1:$AG$12,MATCH($F1435,SubsidieTabel!$AD$1:$AD$12,0),IFERROR(MATCH(Methode_Keuze,SubsidieTabel!$AD$1:$AG$1,0),2))&lt;&gt;1=TRUE,"ja",""),"")</f>
        <v/>
      </c>
    </row>
    <row r="1436" spans="1:31" x14ac:dyDescent="0.25">
      <c r="A1436" s="316"/>
      <c r="B1436" s="317" t="str">
        <f>IF(A1436&lt;&gt;"",_xlfn.MAXIFS($B$1:B1435,$A$1:A1435,A1436)+1,"")</f>
        <v/>
      </c>
      <c r="C1436" s="296"/>
      <c r="D1436" s="296"/>
      <c r="E1436" s="296"/>
      <c r="F1436" s="296"/>
      <c r="G1436" s="326"/>
      <c r="H1436" s="324"/>
      <c r="I1436" s="325"/>
      <c r="J1436" s="325"/>
      <c r="K1436" s="318"/>
      <c r="L1436" s="318"/>
      <c r="M1436" s="319" t="str">
        <f>IFERROR(VLOOKUP(H1436,Lijsten!$H$1:$I$100,2,0),"")</f>
        <v/>
      </c>
      <c r="N1436" s="319" t="str">
        <f ca="1">IFERROR(IF(VLOOKUP(F1436,Kostentypen!$A$3:$E$21,3,0)=0,"",IF(OR(F1436="Arbeidskosten",F1436="Vergoeding"),VLOOKUP(G1436,Tb_KostenTypen[],2,0),VLOOKUP(F1436,Kostentypen!$A$3:$E$20,3,0))),"")</f>
        <v/>
      </c>
      <c r="O1436" s="320" t="str" cm="1">
        <f t="array" ref="O1436">_xlfn.IFNA(IF(INDEX(Tb_KostenOptiesDB[],MATCH($F1436,Tb_KostenOptiesDB[KostenOptie],0),IFERROR(MATCH(Methode_Keuze,Tb_KostenOptiesDB[#Headers],0),2))=1,_xlfn.SWITCH($N1436,"Uurtarief",IF(OR(AND(RIGHT($F1436,3)="IKS",VLOOKUP($M1436,DB_Loonkosten,2,0)="Ja"),AND(RIGHT($F1436,3)&lt;&gt;"IKS",VLOOKUP($M1436,DB_Loonkosten,2,0)="Nee")),IFERROR(VLOOKUP($M1436,DB_Loonkosten,24,0),""),0),"Vast tarief",IF(LEFT(F1436,8)="Bijdrage",VLOOKUP($F1436,Tb_KostenTypen[],MATCH(Lijsten!$P$1,Tb_KostenTypen[#Headers],0),0),VLOOKUP($G1436,Lijsten!L:P,MATCH(Lijsten!$P$1,Kop_Tarief_Vast,0),0))),""),"")</f>
        <v/>
      </c>
      <c r="P1436" s="320" t="str" cm="1">
        <f t="array" ref="P1436">_xlfn.IFNA(IF(INDEX(Tb_KostenOptiesDB[],MATCH($F1436,Tb_KostenOptiesDB[KostenOptie],0),IFERROR(MATCH(Methode_Keuze,Tb_KostenOptiesDB[#Headers],0),2))=1,_xlfn.SWITCH($N1436,"Uurtarief",IF(OR(AND(RIGHT($F1436,3)="IKS",VLOOKUP($M1436,DB_Loonkosten,2,0)="Ja"),AND(RIGHT($F1436,3)&lt;&gt;"IKS",VLOOKUP($M1436,DB_Loonkosten,2,0)="Nee")),IFERROR(VLOOKUP($M1436,DB_Loonkosten,25,0),""),0),"Vast tarief",IF(LEFT(F1436,8)="Bijdrage",VLOOKUP($F1436,Tb_KostenTypen[],MATCH(Lijsten!$P$1,Tb_KostenTypen[#Headers],0),0),VLOOKUP($G1436,Lijsten!L:P,MATCH(Lijsten!$P$1,Kop_Tarief_Vast,0),0))),""),"")</f>
        <v/>
      </c>
      <c r="Q1436" s="359"/>
      <c r="R1436" s="359"/>
      <c r="S1436" s="321"/>
      <c r="T1436" s="321"/>
      <c r="U1436" s="373" t="str">
        <f t="shared" si="88"/>
        <v/>
      </c>
      <c r="V1436" s="314" t="str">
        <f t="shared" si="89"/>
        <v/>
      </c>
      <c r="W1436" s="314" t="str" cm="1">
        <f t="array" aca="1" ref="W1436" ca="1">IFERROR(IF(AE1436&lt;&gt;"ja",_xlfn.IFNA(_xlfn.IFS(AND(O1436&lt;&gt;"",F1436&lt;&gt;"",RIGHT($N1436,6)="tarief",F1436="Vergoeding"),SUM(O1436)*FLOOR(SUM(Q1436),0.0001),AND(O1436&lt;&gt;"",F1436&lt;&gt;"",RIGHT($N1436,6)="tarief"),SUM(O1436)*FLOOR(SUM(Q1436),0.01),S1436&gt;0,IF(F1436&lt;&gt;"",FLOOR(SUM(S1436),0.01),"")),""),""),"")</f>
        <v/>
      </c>
      <c r="X1436" s="314" t="str" cm="1">
        <f t="array" aca="1" ref="X1436" ca="1">IFERROR(IF(AE1436&lt;&gt;"ja",_xlfn.IFNA(_xlfn.IFS(AND(P1436&lt;&gt;"",R1436&lt;&gt;"",RIGHT($N1436,6)="tarief",F1436="Vergoeding"),SUM(P1436)*FLOOR(SUM(R1436),0.0001),AND(P1436&lt;&gt;"",R1436&lt;&gt;"",RIGHT($N1436,6)="tarief"),P1436*FLOOR(R1436,0.01),T1436&gt;0,FLOOR(SUM(T1436),0.01)),""),""),"")</f>
        <v/>
      </c>
      <c r="Y1436" s="314" t="str">
        <f t="shared" ca="1" si="90"/>
        <v/>
      </c>
      <c r="Z1436" s="314" t="str" cm="1">
        <f t="array" aca="1" ref="Z1436" ca="1">IFERROR(_xlfn.IFS(OR(F1436="",LEFT(Methode_Keuze,4)="Geen",Methode_Keuze=""),"",AND(W1436&lt;&gt;"",F1436&lt;&gt;"Arbeidskosten"),W1436*VLOOKUP(F1436,Tb_ProjectKosten[],MATCH(Tb_ProjectKosten[[#Headers],[Forfait_Percentage]],Tb_ProjectKosten[#Headers],0),0),AND(F1436="Arbeidskosten",G1436&lt;&gt;""),IFERROR(W1436*VLOOKUP(G1436,Tb_KostenTypen[],3,0)*VLOOKUP(F1436,Tb_ProjectKosten[],MATCH(Tb_ProjectKosten[[#Headers],[Forfait_Percentage]],Tb_ProjectKosten[#Headers],0),0),""),W1436 &lt;=0,0),"")</f>
        <v/>
      </c>
      <c r="AA1436" s="314" t="str" cm="1">
        <f t="array" aca="1" ref="AA1436" ca="1">IFERROR(_xlfn.IFS(OR(F1436="",LEFT(Methode_Keuze,4)="Geen",Methode_Keuze=""),"",AND(X1436&lt;&gt;"",F1436&lt;&gt;"Arbeidskosten"),X1436*VLOOKUP(F1436,Tb_ProjectKosten[],MATCH(Tb_ProjectKosten[[#Headers],[Forfait_Percentage]],Tb_ProjectKosten[#Headers],0),0),AND(F1436="Arbeidskosten",G1436&lt;&gt;""),IFERROR(X1436*VLOOKUP(G1436,Tb_KostenTypen[],3,0)*VLOOKUP(F1436,Tb_ProjectKosten[],MATCH(Tb_ProjectKosten[[#Headers],[Forfait_Percentage]],Tb_ProjectKosten[#Headers],0),0),""),X1436 &lt;=0,0),"")</f>
        <v/>
      </c>
      <c r="AB1436" s="314" t="str">
        <f t="shared" ca="1" si="91"/>
        <v/>
      </c>
      <c r="AC1436" s="322"/>
      <c r="AD1436" s="315"/>
      <c r="AE1436" s="32" t="str" cm="1">
        <f t="array" ref="AE1436">IFERROR(IF(INDEX(SubsidieTabel!$AD$1:$AG$12,MATCH($F1436,SubsidieTabel!$AD$1:$AD$12,0),IFERROR(MATCH(Methode_Keuze,SubsidieTabel!$AD$1:$AG$1,0),2))&lt;&gt;1=TRUE,"ja",""),"")</f>
        <v/>
      </c>
    </row>
    <row r="1437" spans="1:31" x14ac:dyDescent="0.25">
      <c r="A1437" s="316"/>
      <c r="B1437" s="317" t="str">
        <f>IF(A1437&lt;&gt;"",_xlfn.MAXIFS($B$1:B1436,$A$1:A1436,A1437)+1,"")</f>
        <v/>
      </c>
      <c r="C1437" s="296"/>
      <c r="D1437" s="296"/>
      <c r="E1437" s="296"/>
      <c r="F1437" s="296"/>
      <c r="G1437" s="326"/>
      <c r="H1437" s="324"/>
      <c r="I1437" s="325"/>
      <c r="J1437" s="325"/>
      <c r="K1437" s="318"/>
      <c r="L1437" s="318"/>
      <c r="M1437" s="319" t="str">
        <f>IFERROR(VLOOKUP(H1437,Lijsten!$H$1:$I$100,2,0),"")</f>
        <v/>
      </c>
      <c r="N1437" s="319" t="str">
        <f ca="1">IFERROR(IF(VLOOKUP(F1437,Kostentypen!$A$3:$E$21,3,0)=0,"",IF(OR(F1437="Arbeidskosten",F1437="Vergoeding"),VLOOKUP(G1437,Tb_KostenTypen[],2,0),VLOOKUP(F1437,Kostentypen!$A$3:$E$20,3,0))),"")</f>
        <v/>
      </c>
      <c r="O1437" s="320" t="str" cm="1">
        <f t="array" ref="O1437">_xlfn.IFNA(IF(INDEX(Tb_KostenOptiesDB[],MATCH($F1437,Tb_KostenOptiesDB[KostenOptie],0),IFERROR(MATCH(Methode_Keuze,Tb_KostenOptiesDB[#Headers],0),2))=1,_xlfn.SWITCH($N1437,"Uurtarief",IF(OR(AND(RIGHT($F1437,3)="IKS",VLOOKUP($M1437,DB_Loonkosten,2,0)="Ja"),AND(RIGHT($F1437,3)&lt;&gt;"IKS",VLOOKUP($M1437,DB_Loonkosten,2,0)="Nee")),IFERROR(VLOOKUP($M1437,DB_Loonkosten,24,0),""),0),"Vast tarief",IF(LEFT(F1437,8)="Bijdrage",VLOOKUP($F1437,Tb_KostenTypen[],MATCH(Lijsten!$P$1,Tb_KostenTypen[#Headers],0),0),VLOOKUP($G1437,Lijsten!L:P,MATCH(Lijsten!$P$1,Kop_Tarief_Vast,0),0))),""),"")</f>
        <v/>
      </c>
      <c r="P1437" s="320" t="str" cm="1">
        <f t="array" ref="P1437">_xlfn.IFNA(IF(INDEX(Tb_KostenOptiesDB[],MATCH($F1437,Tb_KostenOptiesDB[KostenOptie],0),IFERROR(MATCH(Methode_Keuze,Tb_KostenOptiesDB[#Headers],0),2))=1,_xlfn.SWITCH($N1437,"Uurtarief",IF(OR(AND(RIGHT($F1437,3)="IKS",VLOOKUP($M1437,DB_Loonkosten,2,0)="Ja"),AND(RIGHT($F1437,3)&lt;&gt;"IKS",VLOOKUP($M1437,DB_Loonkosten,2,0)="Nee")),IFERROR(VLOOKUP($M1437,DB_Loonkosten,25,0),""),0),"Vast tarief",IF(LEFT(F1437,8)="Bijdrage",VLOOKUP($F1437,Tb_KostenTypen[],MATCH(Lijsten!$P$1,Tb_KostenTypen[#Headers],0),0),VLOOKUP($G1437,Lijsten!L:P,MATCH(Lijsten!$P$1,Kop_Tarief_Vast,0),0))),""),"")</f>
        <v/>
      </c>
      <c r="Q1437" s="359"/>
      <c r="R1437" s="359"/>
      <c r="S1437" s="321"/>
      <c r="T1437" s="321"/>
      <c r="U1437" s="373" t="str">
        <f t="shared" si="88"/>
        <v/>
      </c>
      <c r="V1437" s="314" t="str">
        <f t="shared" si="89"/>
        <v/>
      </c>
      <c r="W1437" s="314" t="str" cm="1">
        <f t="array" aca="1" ref="W1437" ca="1">IFERROR(IF(AE1437&lt;&gt;"ja",_xlfn.IFNA(_xlfn.IFS(AND(O1437&lt;&gt;"",F1437&lt;&gt;"",RIGHT($N1437,6)="tarief",F1437="Vergoeding"),SUM(O1437)*FLOOR(SUM(Q1437),0.0001),AND(O1437&lt;&gt;"",F1437&lt;&gt;"",RIGHT($N1437,6)="tarief"),SUM(O1437)*FLOOR(SUM(Q1437),0.01),S1437&gt;0,IF(F1437&lt;&gt;"",FLOOR(SUM(S1437),0.01),"")),""),""),"")</f>
        <v/>
      </c>
      <c r="X1437" s="314" t="str" cm="1">
        <f t="array" aca="1" ref="X1437" ca="1">IFERROR(IF(AE1437&lt;&gt;"ja",_xlfn.IFNA(_xlfn.IFS(AND(P1437&lt;&gt;"",R1437&lt;&gt;"",RIGHT($N1437,6)="tarief",F1437="Vergoeding"),SUM(P1437)*FLOOR(SUM(R1437),0.0001),AND(P1437&lt;&gt;"",R1437&lt;&gt;"",RIGHT($N1437,6)="tarief"),P1437*FLOOR(R1437,0.01),T1437&gt;0,FLOOR(SUM(T1437),0.01)),""),""),"")</f>
        <v/>
      </c>
      <c r="Y1437" s="314" t="str">
        <f t="shared" ca="1" si="90"/>
        <v/>
      </c>
      <c r="Z1437" s="314" t="str" cm="1">
        <f t="array" aca="1" ref="Z1437" ca="1">IFERROR(_xlfn.IFS(OR(F1437="",LEFT(Methode_Keuze,4)="Geen",Methode_Keuze=""),"",AND(W1437&lt;&gt;"",F1437&lt;&gt;"Arbeidskosten"),W1437*VLOOKUP(F1437,Tb_ProjectKosten[],MATCH(Tb_ProjectKosten[[#Headers],[Forfait_Percentage]],Tb_ProjectKosten[#Headers],0),0),AND(F1437="Arbeidskosten",G1437&lt;&gt;""),IFERROR(W1437*VLOOKUP(G1437,Tb_KostenTypen[],3,0)*VLOOKUP(F1437,Tb_ProjectKosten[],MATCH(Tb_ProjectKosten[[#Headers],[Forfait_Percentage]],Tb_ProjectKosten[#Headers],0),0),""),W1437 &lt;=0,0),"")</f>
        <v/>
      </c>
      <c r="AA1437" s="314" t="str" cm="1">
        <f t="array" aca="1" ref="AA1437" ca="1">IFERROR(_xlfn.IFS(OR(F1437="",LEFT(Methode_Keuze,4)="Geen",Methode_Keuze=""),"",AND(X1437&lt;&gt;"",F1437&lt;&gt;"Arbeidskosten"),X1437*VLOOKUP(F1437,Tb_ProjectKosten[],MATCH(Tb_ProjectKosten[[#Headers],[Forfait_Percentage]],Tb_ProjectKosten[#Headers],0),0),AND(F1437="Arbeidskosten",G1437&lt;&gt;""),IFERROR(X1437*VLOOKUP(G1437,Tb_KostenTypen[],3,0)*VLOOKUP(F1437,Tb_ProjectKosten[],MATCH(Tb_ProjectKosten[[#Headers],[Forfait_Percentage]],Tb_ProjectKosten[#Headers],0),0),""),X1437 &lt;=0,0),"")</f>
        <v/>
      </c>
      <c r="AB1437" s="314" t="str">
        <f t="shared" ca="1" si="91"/>
        <v/>
      </c>
      <c r="AC1437" s="322"/>
      <c r="AD1437" s="315"/>
      <c r="AE1437" s="32" t="str" cm="1">
        <f t="array" ref="AE1437">IFERROR(IF(INDEX(SubsidieTabel!$AD$1:$AG$12,MATCH($F1437,SubsidieTabel!$AD$1:$AD$12,0),IFERROR(MATCH(Methode_Keuze,SubsidieTabel!$AD$1:$AG$1,0),2))&lt;&gt;1=TRUE,"ja",""),"")</f>
        <v/>
      </c>
    </row>
    <row r="1438" spans="1:31" x14ac:dyDescent="0.25">
      <c r="A1438" s="316"/>
      <c r="B1438" s="317" t="str">
        <f>IF(A1438&lt;&gt;"",_xlfn.MAXIFS($B$1:B1437,$A$1:A1437,A1438)+1,"")</f>
        <v/>
      </c>
      <c r="C1438" s="296"/>
      <c r="D1438" s="296"/>
      <c r="E1438" s="296"/>
      <c r="F1438" s="296"/>
      <c r="G1438" s="326"/>
      <c r="H1438" s="324"/>
      <c r="I1438" s="325"/>
      <c r="J1438" s="325"/>
      <c r="K1438" s="318"/>
      <c r="L1438" s="318"/>
      <c r="M1438" s="319" t="str">
        <f>IFERROR(VLOOKUP(H1438,Lijsten!$H$1:$I$100,2,0),"")</f>
        <v/>
      </c>
      <c r="N1438" s="319" t="str">
        <f ca="1">IFERROR(IF(VLOOKUP(F1438,Kostentypen!$A$3:$E$21,3,0)=0,"",IF(OR(F1438="Arbeidskosten",F1438="Vergoeding"),VLOOKUP(G1438,Tb_KostenTypen[],2,0),VLOOKUP(F1438,Kostentypen!$A$3:$E$20,3,0))),"")</f>
        <v/>
      </c>
      <c r="O1438" s="320" t="str" cm="1">
        <f t="array" ref="O1438">_xlfn.IFNA(IF(INDEX(Tb_KostenOptiesDB[],MATCH($F1438,Tb_KostenOptiesDB[KostenOptie],0),IFERROR(MATCH(Methode_Keuze,Tb_KostenOptiesDB[#Headers],0),2))=1,_xlfn.SWITCH($N1438,"Uurtarief",IF(OR(AND(RIGHT($F1438,3)="IKS",VLOOKUP($M1438,DB_Loonkosten,2,0)="Ja"),AND(RIGHT($F1438,3)&lt;&gt;"IKS",VLOOKUP($M1438,DB_Loonkosten,2,0)="Nee")),IFERROR(VLOOKUP($M1438,DB_Loonkosten,24,0),""),0),"Vast tarief",IF(LEFT(F1438,8)="Bijdrage",VLOOKUP($F1438,Tb_KostenTypen[],MATCH(Lijsten!$P$1,Tb_KostenTypen[#Headers],0),0),VLOOKUP($G1438,Lijsten!L:P,MATCH(Lijsten!$P$1,Kop_Tarief_Vast,0),0))),""),"")</f>
        <v/>
      </c>
      <c r="P1438" s="320" t="str" cm="1">
        <f t="array" ref="P1438">_xlfn.IFNA(IF(INDEX(Tb_KostenOptiesDB[],MATCH($F1438,Tb_KostenOptiesDB[KostenOptie],0),IFERROR(MATCH(Methode_Keuze,Tb_KostenOptiesDB[#Headers],0),2))=1,_xlfn.SWITCH($N1438,"Uurtarief",IF(OR(AND(RIGHT($F1438,3)="IKS",VLOOKUP($M1438,DB_Loonkosten,2,0)="Ja"),AND(RIGHT($F1438,3)&lt;&gt;"IKS",VLOOKUP($M1438,DB_Loonkosten,2,0)="Nee")),IFERROR(VLOOKUP($M1438,DB_Loonkosten,25,0),""),0),"Vast tarief",IF(LEFT(F1438,8)="Bijdrage",VLOOKUP($F1438,Tb_KostenTypen[],MATCH(Lijsten!$P$1,Tb_KostenTypen[#Headers],0),0),VLOOKUP($G1438,Lijsten!L:P,MATCH(Lijsten!$P$1,Kop_Tarief_Vast,0),0))),""),"")</f>
        <v/>
      </c>
      <c r="Q1438" s="359"/>
      <c r="R1438" s="359"/>
      <c r="S1438" s="321"/>
      <c r="T1438" s="321"/>
      <c r="U1438" s="373" t="str">
        <f t="shared" si="88"/>
        <v/>
      </c>
      <c r="V1438" s="314" t="str">
        <f t="shared" si="89"/>
        <v/>
      </c>
      <c r="W1438" s="314" t="str" cm="1">
        <f t="array" aca="1" ref="W1438" ca="1">IFERROR(IF(AE1438&lt;&gt;"ja",_xlfn.IFNA(_xlfn.IFS(AND(O1438&lt;&gt;"",F1438&lt;&gt;"",RIGHT($N1438,6)="tarief",F1438="Vergoeding"),SUM(O1438)*FLOOR(SUM(Q1438),0.0001),AND(O1438&lt;&gt;"",F1438&lt;&gt;"",RIGHT($N1438,6)="tarief"),SUM(O1438)*FLOOR(SUM(Q1438),0.01),S1438&gt;0,IF(F1438&lt;&gt;"",FLOOR(SUM(S1438),0.01),"")),""),""),"")</f>
        <v/>
      </c>
      <c r="X1438" s="314" t="str" cm="1">
        <f t="array" aca="1" ref="X1438" ca="1">IFERROR(IF(AE1438&lt;&gt;"ja",_xlfn.IFNA(_xlfn.IFS(AND(P1438&lt;&gt;"",R1438&lt;&gt;"",RIGHT($N1438,6)="tarief",F1438="Vergoeding"),SUM(P1438)*FLOOR(SUM(R1438),0.0001),AND(P1438&lt;&gt;"",R1438&lt;&gt;"",RIGHT($N1438,6)="tarief"),P1438*FLOOR(R1438,0.01),T1438&gt;0,FLOOR(SUM(T1438),0.01)),""),""),"")</f>
        <v/>
      </c>
      <c r="Y1438" s="314" t="str">
        <f t="shared" ca="1" si="90"/>
        <v/>
      </c>
      <c r="Z1438" s="314" t="str" cm="1">
        <f t="array" aca="1" ref="Z1438" ca="1">IFERROR(_xlfn.IFS(OR(F1438="",LEFT(Methode_Keuze,4)="Geen",Methode_Keuze=""),"",AND(W1438&lt;&gt;"",F1438&lt;&gt;"Arbeidskosten"),W1438*VLOOKUP(F1438,Tb_ProjectKosten[],MATCH(Tb_ProjectKosten[[#Headers],[Forfait_Percentage]],Tb_ProjectKosten[#Headers],0),0),AND(F1438="Arbeidskosten",G1438&lt;&gt;""),IFERROR(W1438*VLOOKUP(G1438,Tb_KostenTypen[],3,0)*VLOOKUP(F1438,Tb_ProjectKosten[],MATCH(Tb_ProjectKosten[[#Headers],[Forfait_Percentage]],Tb_ProjectKosten[#Headers],0),0),""),W1438 &lt;=0,0),"")</f>
        <v/>
      </c>
      <c r="AA1438" s="314" t="str" cm="1">
        <f t="array" aca="1" ref="AA1438" ca="1">IFERROR(_xlfn.IFS(OR(F1438="",LEFT(Methode_Keuze,4)="Geen",Methode_Keuze=""),"",AND(X1438&lt;&gt;"",F1438&lt;&gt;"Arbeidskosten"),X1438*VLOOKUP(F1438,Tb_ProjectKosten[],MATCH(Tb_ProjectKosten[[#Headers],[Forfait_Percentage]],Tb_ProjectKosten[#Headers],0),0),AND(F1438="Arbeidskosten",G1438&lt;&gt;""),IFERROR(X1438*VLOOKUP(G1438,Tb_KostenTypen[],3,0)*VLOOKUP(F1438,Tb_ProjectKosten[],MATCH(Tb_ProjectKosten[[#Headers],[Forfait_Percentage]],Tb_ProjectKosten[#Headers],0),0),""),X1438 &lt;=0,0),"")</f>
        <v/>
      </c>
      <c r="AB1438" s="314" t="str">
        <f t="shared" ca="1" si="91"/>
        <v/>
      </c>
      <c r="AC1438" s="322"/>
      <c r="AD1438" s="315"/>
      <c r="AE1438" s="32" t="str" cm="1">
        <f t="array" ref="AE1438">IFERROR(IF(INDEX(SubsidieTabel!$AD$1:$AG$12,MATCH($F1438,SubsidieTabel!$AD$1:$AD$12,0),IFERROR(MATCH(Methode_Keuze,SubsidieTabel!$AD$1:$AG$1,0),2))&lt;&gt;1=TRUE,"ja",""),"")</f>
        <v/>
      </c>
    </row>
    <row r="1439" spans="1:31" x14ac:dyDescent="0.25">
      <c r="A1439" s="316"/>
      <c r="B1439" s="317" t="str">
        <f>IF(A1439&lt;&gt;"",_xlfn.MAXIFS($B$1:B1438,$A$1:A1438,A1439)+1,"")</f>
        <v/>
      </c>
      <c r="C1439" s="296"/>
      <c r="D1439" s="296"/>
      <c r="E1439" s="296"/>
      <c r="F1439" s="296"/>
      <c r="G1439" s="326"/>
      <c r="H1439" s="324"/>
      <c r="I1439" s="325"/>
      <c r="J1439" s="325"/>
      <c r="K1439" s="318"/>
      <c r="L1439" s="318"/>
      <c r="M1439" s="319" t="str">
        <f>IFERROR(VLOOKUP(H1439,Lijsten!$H$1:$I$100,2,0),"")</f>
        <v/>
      </c>
      <c r="N1439" s="319" t="str">
        <f ca="1">IFERROR(IF(VLOOKUP(F1439,Kostentypen!$A$3:$E$21,3,0)=0,"",IF(OR(F1439="Arbeidskosten",F1439="Vergoeding"),VLOOKUP(G1439,Tb_KostenTypen[],2,0),VLOOKUP(F1439,Kostentypen!$A$3:$E$20,3,0))),"")</f>
        <v/>
      </c>
      <c r="O1439" s="320" t="str" cm="1">
        <f t="array" ref="O1439">_xlfn.IFNA(IF(INDEX(Tb_KostenOptiesDB[],MATCH($F1439,Tb_KostenOptiesDB[KostenOptie],0),IFERROR(MATCH(Methode_Keuze,Tb_KostenOptiesDB[#Headers],0),2))=1,_xlfn.SWITCH($N1439,"Uurtarief",IF(OR(AND(RIGHT($F1439,3)="IKS",VLOOKUP($M1439,DB_Loonkosten,2,0)="Ja"),AND(RIGHT($F1439,3)&lt;&gt;"IKS",VLOOKUP($M1439,DB_Loonkosten,2,0)="Nee")),IFERROR(VLOOKUP($M1439,DB_Loonkosten,24,0),""),0),"Vast tarief",IF(LEFT(F1439,8)="Bijdrage",VLOOKUP($F1439,Tb_KostenTypen[],MATCH(Lijsten!$P$1,Tb_KostenTypen[#Headers],0),0),VLOOKUP($G1439,Lijsten!L:P,MATCH(Lijsten!$P$1,Kop_Tarief_Vast,0),0))),""),"")</f>
        <v/>
      </c>
      <c r="P1439" s="320" t="str" cm="1">
        <f t="array" ref="P1439">_xlfn.IFNA(IF(INDEX(Tb_KostenOptiesDB[],MATCH($F1439,Tb_KostenOptiesDB[KostenOptie],0),IFERROR(MATCH(Methode_Keuze,Tb_KostenOptiesDB[#Headers],0),2))=1,_xlfn.SWITCH($N1439,"Uurtarief",IF(OR(AND(RIGHT($F1439,3)="IKS",VLOOKUP($M1439,DB_Loonkosten,2,0)="Ja"),AND(RIGHT($F1439,3)&lt;&gt;"IKS",VLOOKUP($M1439,DB_Loonkosten,2,0)="Nee")),IFERROR(VLOOKUP($M1439,DB_Loonkosten,25,0),""),0),"Vast tarief",IF(LEFT(F1439,8)="Bijdrage",VLOOKUP($F1439,Tb_KostenTypen[],MATCH(Lijsten!$P$1,Tb_KostenTypen[#Headers],0),0),VLOOKUP($G1439,Lijsten!L:P,MATCH(Lijsten!$P$1,Kop_Tarief_Vast,0),0))),""),"")</f>
        <v/>
      </c>
      <c r="Q1439" s="359"/>
      <c r="R1439" s="359"/>
      <c r="S1439" s="321"/>
      <c r="T1439" s="321"/>
      <c r="U1439" s="373" t="str">
        <f t="shared" si="88"/>
        <v/>
      </c>
      <c r="V1439" s="314" t="str">
        <f t="shared" si="89"/>
        <v/>
      </c>
      <c r="W1439" s="314" t="str" cm="1">
        <f t="array" aca="1" ref="W1439" ca="1">IFERROR(IF(AE1439&lt;&gt;"ja",_xlfn.IFNA(_xlfn.IFS(AND(O1439&lt;&gt;"",F1439&lt;&gt;"",RIGHT($N1439,6)="tarief",F1439="Vergoeding"),SUM(O1439)*FLOOR(SUM(Q1439),0.0001),AND(O1439&lt;&gt;"",F1439&lt;&gt;"",RIGHT($N1439,6)="tarief"),SUM(O1439)*FLOOR(SUM(Q1439),0.01),S1439&gt;0,IF(F1439&lt;&gt;"",FLOOR(SUM(S1439),0.01),"")),""),""),"")</f>
        <v/>
      </c>
      <c r="X1439" s="314" t="str" cm="1">
        <f t="array" aca="1" ref="X1439" ca="1">IFERROR(IF(AE1439&lt;&gt;"ja",_xlfn.IFNA(_xlfn.IFS(AND(P1439&lt;&gt;"",R1439&lt;&gt;"",RIGHT($N1439,6)="tarief",F1439="Vergoeding"),SUM(P1439)*FLOOR(SUM(R1439),0.0001),AND(P1439&lt;&gt;"",R1439&lt;&gt;"",RIGHT($N1439,6)="tarief"),P1439*FLOOR(R1439,0.01),T1439&gt;0,FLOOR(SUM(T1439),0.01)),""),""),"")</f>
        <v/>
      </c>
      <c r="Y1439" s="314" t="str">
        <f t="shared" ca="1" si="90"/>
        <v/>
      </c>
      <c r="Z1439" s="314" t="str" cm="1">
        <f t="array" aca="1" ref="Z1439" ca="1">IFERROR(_xlfn.IFS(OR(F1439="",LEFT(Methode_Keuze,4)="Geen",Methode_Keuze=""),"",AND(W1439&lt;&gt;"",F1439&lt;&gt;"Arbeidskosten"),W1439*VLOOKUP(F1439,Tb_ProjectKosten[],MATCH(Tb_ProjectKosten[[#Headers],[Forfait_Percentage]],Tb_ProjectKosten[#Headers],0),0),AND(F1439="Arbeidskosten",G1439&lt;&gt;""),IFERROR(W1439*VLOOKUP(G1439,Tb_KostenTypen[],3,0)*VLOOKUP(F1439,Tb_ProjectKosten[],MATCH(Tb_ProjectKosten[[#Headers],[Forfait_Percentage]],Tb_ProjectKosten[#Headers],0),0),""),W1439 &lt;=0,0),"")</f>
        <v/>
      </c>
      <c r="AA1439" s="314" t="str" cm="1">
        <f t="array" aca="1" ref="AA1439" ca="1">IFERROR(_xlfn.IFS(OR(F1439="",LEFT(Methode_Keuze,4)="Geen",Methode_Keuze=""),"",AND(X1439&lt;&gt;"",F1439&lt;&gt;"Arbeidskosten"),X1439*VLOOKUP(F1439,Tb_ProjectKosten[],MATCH(Tb_ProjectKosten[[#Headers],[Forfait_Percentage]],Tb_ProjectKosten[#Headers],0),0),AND(F1439="Arbeidskosten",G1439&lt;&gt;""),IFERROR(X1439*VLOOKUP(G1439,Tb_KostenTypen[],3,0)*VLOOKUP(F1439,Tb_ProjectKosten[],MATCH(Tb_ProjectKosten[[#Headers],[Forfait_Percentage]],Tb_ProjectKosten[#Headers],0),0),""),X1439 &lt;=0,0),"")</f>
        <v/>
      </c>
      <c r="AB1439" s="314" t="str">
        <f t="shared" ca="1" si="91"/>
        <v/>
      </c>
      <c r="AC1439" s="322"/>
      <c r="AD1439" s="315"/>
      <c r="AE1439" s="32" t="str" cm="1">
        <f t="array" ref="AE1439">IFERROR(IF(INDEX(SubsidieTabel!$AD$1:$AG$12,MATCH($F1439,SubsidieTabel!$AD$1:$AD$12,0),IFERROR(MATCH(Methode_Keuze,SubsidieTabel!$AD$1:$AG$1,0),2))&lt;&gt;1=TRUE,"ja",""),"")</f>
        <v/>
      </c>
    </row>
    <row r="1440" spans="1:31" x14ac:dyDescent="0.25">
      <c r="A1440" s="316"/>
      <c r="B1440" s="317" t="str">
        <f>IF(A1440&lt;&gt;"",_xlfn.MAXIFS($B$1:B1439,$A$1:A1439,A1440)+1,"")</f>
        <v/>
      </c>
      <c r="C1440" s="296"/>
      <c r="D1440" s="296"/>
      <c r="E1440" s="296"/>
      <c r="F1440" s="296"/>
      <c r="G1440" s="326"/>
      <c r="H1440" s="324"/>
      <c r="I1440" s="325"/>
      <c r="J1440" s="325"/>
      <c r="K1440" s="318"/>
      <c r="L1440" s="318"/>
      <c r="M1440" s="319" t="str">
        <f>IFERROR(VLOOKUP(H1440,Lijsten!$H$1:$I$100,2,0),"")</f>
        <v/>
      </c>
      <c r="N1440" s="319" t="str">
        <f ca="1">IFERROR(IF(VLOOKUP(F1440,Kostentypen!$A$3:$E$21,3,0)=0,"",IF(OR(F1440="Arbeidskosten",F1440="Vergoeding"),VLOOKUP(G1440,Tb_KostenTypen[],2,0),VLOOKUP(F1440,Kostentypen!$A$3:$E$20,3,0))),"")</f>
        <v/>
      </c>
      <c r="O1440" s="320" t="str" cm="1">
        <f t="array" ref="O1440">_xlfn.IFNA(IF(INDEX(Tb_KostenOptiesDB[],MATCH($F1440,Tb_KostenOptiesDB[KostenOptie],0),IFERROR(MATCH(Methode_Keuze,Tb_KostenOptiesDB[#Headers],0),2))=1,_xlfn.SWITCH($N1440,"Uurtarief",IF(OR(AND(RIGHT($F1440,3)="IKS",VLOOKUP($M1440,DB_Loonkosten,2,0)="Ja"),AND(RIGHT($F1440,3)&lt;&gt;"IKS",VLOOKUP($M1440,DB_Loonkosten,2,0)="Nee")),IFERROR(VLOOKUP($M1440,DB_Loonkosten,24,0),""),0),"Vast tarief",IF(LEFT(F1440,8)="Bijdrage",VLOOKUP($F1440,Tb_KostenTypen[],MATCH(Lijsten!$P$1,Tb_KostenTypen[#Headers],0),0),VLOOKUP($G1440,Lijsten!L:P,MATCH(Lijsten!$P$1,Kop_Tarief_Vast,0),0))),""),"")</f>
        <v/>
      </c>
      <c r="P1440" s="320" t="str" cm="1">
        <f t="array" ref="P1440">_xlfn.IFNA(IF(INDEX(Tb_KostenOptiesDB[],MATCH($F1440,Tb_KostenOptiesDB[KostenOptie],0),IFERROR(MATCH(Methode_Keuze,Tb_KostenOptiesDB[#Headers],0),2))=1,_xlfn.SWITCH($N1440,"Uurtarief",IF(OR(AND(RIGHT($F1440,3)="IKS",VLOOKUP($M1440,DB_Loonkosten,2,0)="Ja"),AND(RIGHT($F1440,3)&lt;&gt;"IKS",VLOOKUP($M1440,DB_Loonkosten,2,0)="Nee")),IFERROR(VLOOKUP($M1440,DB_Loonkosten,25,0),""),0),"Vast tarief",IF(LEFT(F1440,8)="Bijdrage",VLOOKUP($F1440,Tb_KostenTypen[],MATCH(Lijsten!$P$1,Tb_KostenTypen[#Headers],0),0),VLOOKUP($G1440,Lijsten!L:P,MATCH(Lijsten!$P$1,Kop_Tarief_Vast,0),0))),""),"")</f>
        <v/>
      </c>
      <c r="Q1440" s="359"/>
      <c r="R1440" s="359"/>
      <c r="S1440" s="321"/>
      <c r="T1440" s="321"/>
      <c r="U1440" s="373" t="str">
        <f t="shared" si="88"/>
        <v/>
      </c>
      <c r="V1440" s="314" t="str">
        <f t="shared" si="89"/>
        <v/>
      </c>
      <c r="W1440" s="314" t="str" cm="1">
        <f t="array" aca="1" ref="W1440" ca="1">IFERROR(IF(AE1440&lt;&gt;"ja",_xlfn.IFNA(_xlfn.IFS(AND(O1440&lt;&gt;"",F1440&lt;&gt;"",RIGHT($N1440,6)="tarief",F1440="Vergoeding"),SUM(O1440)*FLOOR(SUM(Q1440),0.0001),AND(O1440&lt;&gt;"",F1440&lt;&gt;"",RIGHT($N1440,6)="tarief"),SUM(O1440)*FLOOR(SUM(Q1440),0.01),S1440&gt;0,IF(F1440&lt;&gt;"",FLOOR(SUM(S1440),0.01),"")),""),""),"")</f>
        <v/>
      </c>
      <c r="X1440" s="314" t="str" cm="1">
        <f t="array" aca="1" ref="X1440" ca="1">IFERROR(IF(AE1440&lt;&gt;"ja",_xlfn.IFNA(_xlfn.IFS(AND(P1440&lt;&gt;"",R1440&lt;&gt;"",RIGHT($N1440,6)="tarief",F1440="Vergoeding"),SUM(P1440)*FLOOR(SUM(R1440),0.0001),AND(P1440&lt;&gt;"",R1440&lt;&gt;"",RIGHT($N1440,6)="tarief"),P1440*FLOOR(R1440,0.01),T1440&gt;0,FLOOR(SUM(T1440),0.01)),""),""),"")</f>
        <v/>
      </c>
      <c r="Y1440" s="314" t="str">
        <f t="shared" ca="1" si="90"/>
        <v/>
      </c>
      <c r="Z1440" s="314" t="str" cm="1">
        <f t="array" aca="1" ref="Z1440" ca="1">IFERROR(_xlfn.IFS(OR(F1440="",LEFT(Methode_Keuze,4)="Geen",Methode_Keuze=""),"",AND(W1440&lt;&gt;"",F1440&lt;&gt;"Arbeidskosten"),W1440*VLOOKUP(F1440,Tb_ProjectKosten[],MATCH(Tb_ProjectKosten[[#Headers],[Forfait_Percentage]],Tb_ProjectKosten[#Headers],0),0),AND(F1440="Arbeidskosten",G1440&lt;&gt;""),IFERROR(W1440*VLOOKUP(G1440,Tb_KostenTypen[],3,0)*VLOOKUP(F1440,Tb_ProjectKosten[],MATCH(Tb_ProjectKosten[[#Headers],[Forfait_Percentage]],Tb_ProjectKosten[#Headers],0),0),""),W1440 &lt;=0,0),"")</f>
        <v/>
      </c>
      <c r="AA1440" s="314" t="str" cm="1">
        <f t="array" aca="1" ref="AA1440" ca="1">IFERROR(_xlfn.IFS(OR(F1440="",LEFT(Methode_Keuze,4)="Geen",Methode_Keuze=""),"",AND(X1440&lt;&gt;"",F1440&lt;&gt;"Arbeidskosten"),X1440*VLOOKUP(F1440,Tb_ProjectKosten[],MATCH(Tb_ProjectKosten[[#Headers],[Forfait_Percentage]],Tb_ProjectKosten[#Headers],0),0),AND(F1440="Arbeidskosten",G1440&lt;&gt;""),IFERROR(X1440*VLOOKUP(G1440,Tb_KostenTypen[],3,0)*VLOOKUP(F1440,Tb_ProjectKosten[],MATCH(Tb_ProjectKosten[[#Headers],[Forfait_Percentage]],Tb_ProjectKosten[#Headers],0),0),""),X1440 &lt;=0,0),"")</f>
        <v/>
      </c>
      <c r="AB1440" s="314" t="str">
        <f t="shared" ca="1" si="91"/>
        <v/>
      </c>
      <c r="AC1440" s="322"/>
      <c r="AD1440" s="315"/>
      <c r="AE1440" s="32" t="str" cm="1">
        <f t="array" ref="AE1440">IFERROR(IF(INDEX(SubsidieTabel!$AD$1:$AG$12,MATCH($F1440,SubsidieTabel!$AD$1:$AD$12,0),IFERROR(MATCH(Methode_Keuze,SubsidieTabel!$AD$1:$AG$1,0),2))&lt;&gt;1=TRUE,"ja",""),"")</f>
        <v/>
      </c>
    </row>
    <row r="1441" spans="1:31" x14ac:dyDescent="0.25">
      <c r="A1441" s="316"/>
      <c r="B1441" s="317" t="str">
        <f>IF(A1441&lt;&gt;"",_xlfn.MAXIFS($B$1:B1440,$A$1:A1440,A1441)+1,"")</f>
        <v/>
      </c>
      <c r="C1441" s="296"/>
      <c r="D1441" s="296"/>
      <c r="E1441" s="296"/>
      <c r="F1441" s="296"/>
      <c r="G1441" s="326"/>
      <c r="H1441" s="324"/>
      <c r="I1441" s="325"/>
      <c r="J1441" s="325"/>
      <c r="K1441" s="318"/>
      <c r="L1441" s="318"/>
      <c r="M1441" s="319" t="str">
        <f>IFERROR(VLOOKUP(H1441,Lijsten!$H$1:$I$100,2,0),"")</f>
        <v/>
      </c>
      <c r="N1441" s="319" t="str">
        <f ca="1">IFERROR(IF(VLOOKUP(F1441,Kostentypen!$A$3:$E$21,3,0)=0,"",IF(OR(F1441="Arbeidskosten",F1441="Vergoeding"),VLOOKUP(G1441,Tb_KostenTypen[],2,0),VLOOKUP(F1441,Kostentypen!$A$3:$E$20,3,0))),"")</f>
        <v/>
      </c>
      <c r="O1441" s="320" t="str" cm="1">
        <f t="array" ref="O1441">_xlfn.IFNA(IF(INDEX(Tb_KostenOptiesDB[],MATCH($F1441,Tb_KostenOptiesDB[KostenOptie],0),IFERROR(MATCH(Methode_Keuze,Tb_KostenOptiesDB[#Headers],0),2))=1,_xlfn.SWITCH($N1441,"Uurtarief",IF(OR(AND(RIGHT($F1441,3)="IKS",VLOOKUP($M1441,DB_Loonkosten,2,0)="Ja"),AND(RIGHT($F1441,3)&lt;&gt;"IKS",VLOOKUP($M1441,DB_Loonkosten,2,0)="Nee")),IFERROR(VLOOKUP($M1441,DB_Loonkosten,24,0),""),0),"Vast tarief",IF(LEFT(F1441,8)="Bijdrage",VLOOKUP($F1441,Tb_KostenTypen[],MATCH(Lijsten!$P$1,Tb_KostenTypen[#Headers],0),0),VLOOKUP($G1441,Lijsten!L:P,MATCH(Lijsten!$P$1,Kop_Tarief_Vast,0),0))),""),"")</f>
        <v/>
      </c>
      <c r="P1441" s="320" t="str" cm="1">
        <f t="array" ref="P1441">_xlfn.IFNA(IF(INDEX(Tb_KostenOptiesDB[],MATCH($F1441,Tb_KostenOptiesDB[KostenOptie],0),IFERROR(MATCH(Methode_Keuze,Tb_KostenOptiesDB[#Headers],0),2))=1,_xlfn.SWITCH($N1441,"Uurtarief",IF(OR(AND(RIGHT($F1441,3)="IKS",VLOOKUP($M1441,DB_Loonkosten,2,0)="Ja"),AND(RIGHT($F1441,3)&lt;&gt;"IKS",VLOOKUP($M1441,DB_Loonkosten,2,0)="Nee")),IFERROR(VLOOKUP($M1441,DB_Loonkosten,25,0),""),0),"Vast tarief",IF(LEFT(F1441,8)="Bijdrage",VLOOKUP($F1441,Tb_KostenTypen[],MATCH(Lijsten!$P$1,Tb_KostenTypen[#Headers],0),0),VLOOKUP($G1441,Lijsten!L:P,MATCH(Lijsten!$P$1,Kop_Tarief_Vast,0),0))),""),"")</f>
        <v/>
      </c>
      <c r="Q1441" s="359"/>
      <c r="R1441" s="359"/>
      <c r="S1441" s="321"/>
      <c r="T1441" s="321"/>
      <c r="U1441" s="373" t="str">
        <f t="shared" si="88"/>
        <v/>
      </c>
      <c r="V1441" s="314" t="str">
        <f t="shared" si="89"/>
        <v/>
      </c>
      <c r="W1441" s="314" t="str" cm="1">
        <f t="array" aca="1" ref="W1441" ca="1">IFERROR(IF(AE1441&lt;&gt;"ja",_xlfn.IFNA(_xlfn.IFS(AND(O1441&lt;&gt;"",F1441&lt;&gt;"",RIGHT($N1441,6)="tarief",F1441="Vergoeding"),SUM(O1441)*FLOOR(SUM(Q1441),0.0001),AND(O1441&lt;&gt;"",F1441&lt;&gt;"",RIGHT($N1441,6)="tarief"),SUM(O1441)*FLOOR(SUM(Q1441),0.01),S1441&gt;0,IF(F1441&lt;&gt;"",FLOOR(SUM(S1441),0.01),"")),""),""),"")</f>
        <v/>
      </c>
      <c r="X1441" s="314" t="str" cm="1">
        <f t="array" aca="1" ref="X1441" ca="1">IFERROR(IF(AE1441&lt;&gt;"ja",_xlfn.IFNA(_xlfn.IFS(AND(P1441&lt;&gt;"",R1441&lt;&gt;"",RIGHT($N1441,6)="tarief",F1441="Vergoeding"),SUM(P1441)*FLOOR(SUM(R1441),0.0001),AND(P1441&lt;&gt;"",R1441&lt;&gt;"",RIGHT($N1441,6)="tarief"),P1441*FLOOR(R1441,0.01),T1441&gt;0,FLOOR(SUM(T1441),0.01)),""),""),"")</f>
        <v/>
      </c>
      <c r="Y1441" s="314" t="str">
        <f t="shared" ca="1" si="90"/>
        <v/>
      </c>
      <c r="Z1441" s="314" t="str" cm="1">
        <f t="array" aca="1" ref="Z1441" ca="1">IFERROR(_xlfn.IFS(OR(F1441="",LEFT(Methode_Keuze,4)="Geen",Methode_Keuze=""),"",AND(W1441&lt;&gt;"",F1441&lt;&gt;"Arbeidskosten"),W1441*VLOOKUP(F1441,Tb_ProjectKosten[],MATCH(Tb_ProjectKosten[[#Headers],[Forfait_Percentage]],Tb_ProjectKosten[#Headers],0),0),AND(F1441="Arbeidskosten",G1441&lt;&gt;""),IFERROR(W1441*VLOOKUP(G1441,Tb_KostenTypen[],3,0)*VLOOKUP(F1441,Tb_ProjectKosten[],MATCH(Tb_ProjectKosten[[#Headers],[Forfait_Percentage]],Tb_ProjectKosten[#Headers],0),0),""),W1441 &lt;=0,0),"")</f>
        <v/>
      </c>
      <c r="AA1441" s="314" t="str" cm="1">
        <f t="array" aca="1" ref="AA1441" ca="1">IFERROR(_xlfn.IFS(OR(F1441="",LEFT(Methode_Keuze,4)="Geen",Methode_Keuze=""),"",AND(X1441&lt;&gt;"",F1441&lt;&gt;"Arbeidskosten"),X1441*VLOOKUP(F1441,Tb_ProjectKosten[],MATCH(Tb_ProjectKosten[[#Headers],[Forfait_Percentage]],Tb_ProjectKosten[#Headers],0),0),AND(F1441="Arbeidskosten",G1441&lt;&gt;""),IFERROR(X1441*VLOOKUP(G1441,Tb_KostenTypen[],3,0)*VLOOKUP(F1441,Tb_ProjectKosten[],MATCH(Tb_ProjectKosten[[#Headers],[Forfait_Percentage]],Tb_ProjectKosten[#Headers],0),0),""),X1441 &lt;=0,0),"")</f>
        <v/>
      </c>
      <c r="AB1441" s="314" t="str">
        <f t="shared" ca="1" si="91"/>
        <v/>
      </c>
      <c r="AC1441" s="322"/>
      <c r="AD1441" s="315"/>
      <c r="AE1441" s="32" t="str" cm="1">
        <f t="array" ref="AE1441">IFERROR(IF(INDEX(SubsidieTabel!$AD$1:$AG$12,MATCH($F1441,SubsidieTabel!$AD$1:$AD$12,0),IFERROR(MATCH(Methode_Keuze,SubsidieTabel!$AD$1:$AG$1,0),2))&lt;&gt;1=TRUE,"ja",""),"")</f>
        <v/>
      </c>
    </row>
    <row r="1442" spans="1:31" x14ac:dyDescent="0.25">
      <c r="A1442" s="316"/>
      <c r="B1442" s="317" t="str">
        <f>IF(A1442&lt;&gt;"",_xlfn.MAXIFS($B$1:B1441,$A$1:A1441,A1442)+1,"")</f>
        <v/>
      </c>
      <c r="C1442" s="296"/>
      <c r="D1442" s="296"/>
      <c r="E1442" s="296"/>
      <c r="F1442" s="296"/>
      <c r="G1442" s="326"/>
      <c r="H1442" s="324"/>
      <c r="I1442" s="325"/>
      <c r="J1442" s="325"/>
      <c r="K1442" s="318"/>
      <c r="L1442" s="318"/>
      <c r="M1442" s="319" t="str">
        <f>IFERROR(VLOOKUP(H1442,Lijsten!$H$1:$I$100,2,0),"")</f>
        <v/>
      </c>
      <c r="N1442" s="319" t="str">
        <f ca="1">IFERROR(IF(VLOOKUP(F1442,Kostentypen!$A$3:$E$21,3,0)=0,"",IF(OR(F1442="Arbeidskosten",F1442="Vergoeding"),VLOOKUP(G1442,Tb_KostenTypen[],2,0),VLOOKUP(F1442,Kostentypen!$A$3:$E$20,3,0))),"")</f>
        <v/>
      </c>
      <c r="O1442" s="320" t="str" cm="1">
        <f t="array" ref="O1442">_xlfn.IFNA(IF(INDEX(Tb_KostenOptiesDB[],MATCH($F1442,Tb_KostenOptiesDB[KostenOptie],0),IFERROR(MATCH(Methode_Keuze,Tb_KostenOptiesDB[#Headers],0),2))=1,_xlfn.SWITCH($N1442,"Uurtarief",IF(OR(AND(RIGHT($F1442,3)="IKS",VLOOKUP($M1442,DB_Loonkosten,2,0)="Ja"),AND(RIGHT($F1442,3)&lt;&gt;"IKS",VLOOKUP($M1442,DB_Loonkosten,2,0)="Nee")),IFERROR(VLOOKUP($M1442,DB_Loonkosten,24,0),""),0),"Vast tarief",IF(LEFT(F1442,8)="Bijdrage",VLOOKUP($F1442,Tb_KostenTypen[],MATCH(Lijsten!$P$1,Tb_KostenTypen[#Headers],0),0),VLOOKUP($G1442,Lijsten!L:P,MATCH(Lijsten!$P$1,Kop_Tarief_Vast,0),0))),""),"")</f>
        <v/>
      </c>
      <c r="P1442" s="320" t="str" cm="1">
        <f t="array" ref="P1442">_xlfn.IFNA(IF(INDEX(Tb_KostenOptiesDB[],MATCH($F1442,Tb_KostenOptiesDB[KostenOptie],0),IFERROR(MATCH(Methode_Keuze,Tb_KostenOptiesDB[#Headers],0),2))=1,_xlfn.SWITCH($N1442,"Uurtarief",IF(OR(AND(RIGHT($F1442,3)="IKS",VLOOKUP($M1442,DB_Loonkosten,2,0)="Ja"),AND(RIGHT($F1442,3)&lt;&gt;"IKS",VLOOKUP($M1442,DB_Loonkosten,2,0)="Nee")),IFERROR(VLOOKUP($M1442,DB_Loonkosten,25,0),""),0),"Vast tarief",IF(LEFT(F1442,8)="Bijdrage",VLOOKUP($F1442,Tb_KostenTypen[],MATCH(Lijsten!$P$1,Tb_KostenTypen[#Headers],0),0),VLOOKUP($G1442,Lijsten!L:P,MATCH(Lijsten!$P$1,Kop_Tarief_Vast,0),0))),""),"")</f>
        <v/>
      </c>
      <c r="Q1442" s="359"/>
      <c r="R1442" s="359"/>
      <c r="S1442" s="321"/>
      <c r="T1442" s="321"/>
      <c r="U1442" s="373" t="str">
        <f t="shared" si="88"/>
        <v/>
      </c>
      <c r="V1442" s="314" t="str">
        <f t="shared" si="89"/>
        <v/>
      </c>
      <c r="W1442" s="314" t="str" cm="1">
        <f t="array" aca="1" ref="W1442" ca="1">IFERROR(IF(AE1442&lt;&gt;"ja",_xlfn.IFNA(_xlfn.IFS(AND(O1442&lt;&gt;"",F1442&lt;&gt;"",RIGHT($N1442,6)="tarief",F1442="Vergoeding"),SUM(O1442)*FLOOR(SUM(Q1442),0.0001),AND(O1442&lt;&gt;"",F1442&lt;&gt;"",RIGHT($N1442,6)="tarief"),SUM(O1442)*FLOOR(SUM(Q1442),0.01),S1442&gt;0,IF(F1442&lt;&gt;"",FLOOR(SUM(S1442),0.01),"")),""),""),"")</f>
        <v/>
      </c>
      <c r="X1442" s="314" t="str" cm="1">
        <f t="array" aca="1" ref="X1442" ca="1">IFERROR(IF(AE1442&lt;&gt;"ja",_xlfn.IFNA(_xlfn.IFS(AND(P1442&lt;&gt;"",R1442&lt;&gt;"",RIGHT($N1442,6)="tarief",F1442="Vergoeding"),SUM(P1442)*FLOOR(SUM(R1442),0.0001),AND(P1442&lt;&gt;"",R1442&lt;&gt;"",RIGHT($N1442,6)="tarief"),P1442*FLOOR(R1442,0.01),T1442&gt;0,FLOOR(SUM(T1442),0.01)),""),""),"")</f>
        <v/>
      </c>
      <c r="Y1442" s="314" t="str">
        <f t="shared" ca="1" si="90"/>
        <v/>
      </c>
      <c r="Z1442" s="314" t="str" cm="1">
        <f t="array" aca="1" ref="Z1442" ca="1">IFERROR(_xlfn.IFS(OR(F1442="",LEFT(Methode_Keuze,4)="Geen",Methode_Keuze=""),"",AND(W1442&lt;&gt;"",F1442&lt;&gt;"Arbeidskosten"),W1442*VLOOKUP(F1442,Tb_ProjectKosten[],MATCH(Tb_ProjectKosten[[#Headers],[Forfait_Percentage]],Tb_ProjectKosten[#Headers],0),0),AND(F1442="Arbeidskosten",G1442&lt;&gt;""),IFERROR(W1442*VLOOKUP(G1442,Tb_KostenTypen[],3,0)*VLOOKUP(F1442,Tb_ProjectKosten[],MATCH(Tb_ProjectKosten[[#Headers],[Forfait_Percentage]],Tb_ProjectKosten[#Headers],0),0),""),W1442 &lt;=0,0),"")</f>
        <v/>
      </c>
      <c r="AA1442" s="314" t="str" cm="1">
        <f t="array" aca="1" ref="AA1442" ca="1">IFERROR(_xlfn.IFS(OR(F1442="",LEFT(Methode_Keuze,4)="Geen",Methode_Keuze=""),"",AND(X1442&lt;&gt;"",F1442&lt;&gt;"Arbeidskosten"),X1442*VLOOKUP(F1442,Tb_ProjectKosten[],MATCH(Tb_ProjectKosten[[#Headers],[Forfait_Percentage]],Tb_ProjectKosten[#Headers],0),0),AND(F1442="Arbeidskosten",G1442&lt;&gt;""),IFERROR(X1442*VLOOKUP(G1442,Tb_KostenTypen[],3,0)*VLOOKUP(F1442,Tb_ProjectKosten[],MATCH(Tb_ProjectKosten[[#Headers],[Forfait_Percentage]],Tb_ProjectKosten[#Headers],0),0),""),X1442 &lt;=0,0),"")</f>
        <v/>
      </c>
      <c r="AB1442" s="314" t="str">
        <f t="shared" ca="1" si="91"/>
        <v/>
      </c>
      <c r="AC1442" s="322"/>
      <c r="AD1442" s="315"/>
      <c r="AE1442" s="32" t="str" cm="1">
        <f t="array" ref="AE1442">IFERROR(IF(INDEX(SubsidieTabel!$AD$1:$AG$12,MATCH($F1442,SubsidieTabel!$AD$1:$AD$12,0),IFERROR(MATCH(Methode_Keuze,SubsidieTabel!$AD$1:$AG$1,0),2))&lt;&gt;1=TRUE,"ja",""),"")</f>
        <v/>
      </c>
    </row>
    <row r="1443" spans="1:31" x14ac:dyDescent="0.25">
      <c r="A1443" s="316"/>
      <c r="B1443" s="317" t="str">
        <f>IF(A1443&lt;&gt;"",_xlfn.MAXIFS($B$1:B1442,$A$1:A1442,A1443)+1,"")</f>
        <v/>
      </c>
      <c r="C1443" s="296"/>
      <c r="D1443" s="296"/>
      <c r="E1443" s="296"/>
      <c r="F1443" s="296"/>
      <c r="G1443" s="326"/>
      <c r="H1443" s="324"/>
      <c r="I1443" s="325"/>
      <c r="J1443" s="325"/>
      <c r="K1443" s="318"/>
      <c r="L1443" s="318"/>
      <c r="M1443" s="319" t="str">
        <f>IFERROR(VLOOKUP(H1443,Lijsten!$H$1:$I$100,2,0),"")</f>
        <v/>
      </c>
      <c r="N1443" s="319" t="str">
        <f ca="1">IFERROR(IF(VLOOKUP(F1443,Kostentypen!$A$3:$E$21,3,0)=0,"",IF(OR(F1443="Arbeidskosten",F1443="Vergoeding"),VLOOKUP(G1443,Tb_KostenTypen[],2,0),VLOOKUP(F1443,Kostentypen!$A$3:$E$20,3,0))),"")</f>
        <v/>
      </c>
      <c r="O1443" s="320" t="str" cm="1">
        <f t="array" ref="O1443">_xlfn.IFNA(IF(INDEX(Tb_KostenOptiesDB[],MATCH($F1443,Tb_KostenOptiesDB[KostenOptie],0),IFERROR(MATCH(Methode_Keuze,Tb_KostenOptiesDB[#Headers],0),2))=1,_xlfn.SWITCH($N1443,"Uurtarief",IF(OR(AND(RIGHT($F1443,3)="IKS",VLOOKUP($M1443,DB_Loonkosten,2,0)="Ja"),AND(RIGHT($F1443,3)&lt;&gt;"IKS",VLOOKUP($M1443,DB_Loonkosten,2,0)="Nee")),IFERROR(VLOOKUP($M1443,DB_Loonkosten,24,0),""),0),"Vast tarief",IF(LEFT(F1443,8)="Bijdrage",VLOOKUP($F1443,Tb_KostenTypen[],MATCH(Lijsten!$P$1,Tb_KostenTypen[#Headers],0),0),VLOOKUP($G1443,Lijsten!L:P,MATCH(Lijsten!$P$1,Kop_Tarief_Vast,0),0))),""),"")</f>
        <v/>
      </c>
      <c r="P1443" s="320" t="str" cm="1">
        <f t="array" ref="P1443">_xlfn.IFNA(IF(INDEX(Tb_KostenOptiesDB[],MATCH($F1443,Tb_KostenOptiesDB[KostenOptie],0),IFERROR(MATCH(Methode_Keuze,Tb_KostenOptiesDB[#Headers],0),2))=1,_xlfn.SWITCH($N1443,"Uurtarief",IF(OR(AND(RIGHT($F1443,3)="IKS",VLOOKUP($M1443,DB_Loonkosten,2,0)="Ja"),AND(RIGHT($F1443,3)&lt;&gt;"IKS",VLOOKUP($M1443,DB_Loonkosten,2,0)="Nee")),IFERROR(VLOOKUP($M1443,DB_Loonkosten,25,0),""),0),"Vast tarief",IF(LEFT(F1443,8)="Bijdrage",VLOOKUP($F1443,Tb_KostenTypen[],MATCH(Lijsten!$P$1,Tb_KostenTypen[#Headers],0),0),VLOOKUP($G1443,Lijsten!L:P,MATCH(Lijsten!$P$1,Kop_Tarief_Vast,0),0))),""),"")</f>
        <v/>
      </c>
      <c r="Q1443" s="359"/>
      <c r="R1443" s="359"/>
      <c r="S1443" s="321"/>
      <c r="T1443" s="321"/>
      <c r="U1443" s="373" t="str">
        <f t="shared" si="88"/>
        <v/>
      </c>
      <c r="V1443" s="314" t="str">
        <f t="shared" si="89"/>
        <v/>
      </c>
      <c r="W1443" s="314" t="str" cm="1">
        <f t="array" aca="1" ref="W1443" ca="1">IFERROR(IF(AE1443&lt;&gt;"ja",_xlfn.IFNA(_xlfn.IFS(AND(O1443&lt;&gt;"",F1443&lt;&gt;"",RIGHT($N1443,6)="tarief",F1443="Vergoeding"),SUM(O1443)*FLOOR(SUM(Q1443),0.0001),AND(O1443&lt;&gt;"",F1443&lt;&gt;"",RIGHT($N1443,6)="tarief"),SUM(O1443)*FLOOR(SUM(Q1443),0.01),S1443&gt;0,IF(F1443&lt;&gt;"",FLOOR(SUM(S1443),0.01),"")),""),""),"")</f>
        <v/>
      </c>
      <c r="X1443" s="314" t="str" cm="1">
        <f t="array" aca="1" ref="X1443" ca="1">IFERROR(IF(AE1443&lt;&gt;"ja",_xlfn.IFNA(_xlfn.IFS(AND(P1443&lt;&gt;"",R1443&lt;&gt;"",RIGHT($N1443,6)="tarief",F1443="Vergoeding"),SUM(P1443)*FLOOR(SUM(R1443),0.0001),AND(P1443&lt;&gt;"",R1443&lt;&gt;"",RIGHT($N1443,6)="tarief"),P1443*FLOOR(R1443,0.01),T1443&gt;0,FLOOR(SUM(T1443),0.01)),""),""),"")</f>
        <v/>
      </c>
      <c r="Y1443" s="314" t="str">
        <f t="shared" ca="1" si="90"/>
        <v/>
      </c>
      <c r="Z1443" s="314" t="str" cm="1">
        <f t="array" aca="1" ref="Z1443" ca="1">IFERROR(_xlfn.IFS(OR(F1443="",LEFT(Methode_Keuze,4)="Geen",Methode_Keuze=""),"",AND(W1443&lt;&gt;"",F1443&lt;&gt;"Arbeidskosten"),W1443*VLOOKUP(F1443,Tb_ProjectKosten[],MATCH(Tb_ProjectKosten[[#Headers],[Forfait_Percentage]],Tb_ProjectKosten[#Headers],0),0),AND(F1443="Arbeidskosten",G1443&lt;&gt;""),IFERROR(W1443*VLOOKUP(G1443,Tb_KostenTypen[],3,0)*VLOOKUP(F1443,Tb_ProjectKosten[],MATCH(Tb_ProjectKosten[[#Headers],[Forfait_Percentage]],Tb_ProjectKosten[#Headers],0),0),""),W1443 &lt;=0,0),"")</f>
        <v/>
      </c>
      <c r="AA1443" s="314" t="str" cm="1">
        <f t="array" aca="1" ref="AA1443" ca="1">IFERROR(_xlfn.IFS(OR(F1443="",LEFT(Methode_Keuze,4)="Geen",Methode_Keuze=""),"",AND(X1443&lt;&gt;"",F1443&lt;&gt;"Arbeidskosten"),X1443*VLOOKUP(F1443,Tb_ProjectKosten[],MATCH(Tb_ProjectKosten[[#Headers],[Forfait_Percentage]],Tb_ProjectKosten[#Headers],0),0),AND(F1443="Arbeidskosten",G1443&lt;&gt;""),IFERROR(X1443*VLOOKUP(G1443,Tb_KostenTypen[],3,0)*VLOOKUP(F1443,Tb_ProjectKosten[],MATCH(Tb_ProjectKosten[[#Headers],[Forfait_Percentage]],Tb_ProjectKosten[#Headers],0),0),""),X1443 &lt;=0,0),"")</f>
        <v/>
      </c>
      <c r="AB1443" s="314" t="str">
        <f t="shared" ca="1" si="91"/>
        <v/>
      </c>
      <c r="AC1443" s="322"/>
      <c r="AD1443" s="315"/>
      <c r="AE1443" s="32" t="str" cm="1">
        <f t="array" ref="AE1443">IFERROR(IF(INDEX(SubsidieTabel!$AD$1:$AG$12,MATCH($F1443,SubsidieTabel!$AD$1:$AD$12,0),IFERROR(MATCH(Methode_Keuze,SubsidieTabel!$AD$1:$AG$1,0),2))&lt;&gt;1=TRUE,"ja",""),"")</f>
        <v/>
      </c>
    </row>
    <row r="1444" spans="1:31" x14ac:dyDescent="0.25">
      <c r="A1444" s="316"/>
      <c r="B1444" s="317" t="str">
        <f>IF(A1444&lt;&gt;"",_xlfn.MAXIFS($B$1:B1443,$A$1:A1443,A1444)+1,"")</f>
        <v/>
      </c>
      <c r="C1444" s="296"/>
      <c r="D1444" s="296"/>
      <c r="E1444" s="296"/>
      <c r="F1444" s="296"/>
      <c r="G1444" s="326"/>
      <c r="H1444" s="324"/>
      <c r="I1444" s="325"/>
      <c r="J1444" s="325"/>
      <c r="K1444" s="318"/>
      <c r="L1444" s="318"/>
      <c r="M1444" s="319" t="str">
        <f>IFERROR(VLOOKUP(H1444,Lijsten!$H$1:$I$100,2,0),"")</f>
        <v/>
      </c>
      <c r="N1444" s="319" t="str">
        <f ca="1">IFERROR(IF(VLOOKUP(F1444,Kostentypen!$A$3:$E$21,3,0)=0,"",IF(OR(F1444="Arbeidskosten",F1444="Vergoeding"),VLOOKUP(G1444,Tb_KostenTypen[],2,0),VLOOKUP(F1444,Kostentypen!$A$3:$E$20,3,0))),"")</f>
        <v/>
      </c>
      <c r="O1444" s="320" t="str" cm="1">
        <f t="array" ref="O1444">_xlfn.IFNA(IF(INDEX(Tb_KostenOptiesDB[],MATCH($F1444,Tb_KostenOptiesDB[KostenOptie],0),IFERROR(MATCH(Methode_Keuze,Tb_KostenOptiesDB[#Headers],0),2))=1,_xlfn.SWITCH($N1444,"Uurtarief",IF(OR(AND(RIGHT($F1444,3)="IKS",VLOOKUP($M1444,DB_Loonkosten,2,0)="Ja"),AND(RIGHT($F1444,3)&lt;&gt;"IKS",VLOOKUP($M1444,DB_Loonkosten,2,0)="Nee")),IFERROR(VLOOKUP($M1444,DB_Loonkosten,24,0),""),0),"Vast tarief",IF(LEFT(F1444,8)="Bijdrage",VLOOKUP($F1444,Tb_KostenTypen[],MATCH(Lijsten!$P$1,Tb_KostenTypen[#Headers],0),0),VLOOKUP($G1444,Lijsten!L:P,MATCH(Lijsten!$P$1,Kop_Tarief_Vast,0),0))),""),"")</f>
        <v/>
      </c>
      <c r="P1444" s="320" t="str" cm="1">
        <f t="array" ref="P1444">_xlfn.IFNA(IF(INDEX(Tb_KostenOptiesDB[],MATCH($F1444,Tb_KostenOptiesDB[KostenOptie],0),IFERROR(MATCH(Methode_Keuze,Tb_KostenOptiesDB[#Headers],0),2))=1,_xlfn.SWITCH($N1444,"Uurtarief",IF(OR(AND(RIGHT($F1444,3)="IKS",VLOOKUP($M1444,DB_Loonkosten,2,0)="Ja"),AND(RIGHT($F1444,3)&lt;&gt;"IKS",VLOOKUP($M1444,DB_Loonkosten,2,0)="Nee")),IFERROR(VLOOKUP($M1444,DB_Loonkosten,25,0),""),0),"Vast tarief",IF(LEFT(F1444,8)="Bijdrage",VLOOKUP($F1444,Tb_KostenTypen[],MATCH(Lijsten!$P$1,Tb_KostenTypen[#Headers],0),0),VLOOKUP($G1444,Lijsten!L:P,MATCH(Lijsten!$P$1,Kop_Tarief_Vast,0),0))),""),"")</f>
        <v/>
      </c>
      <c r="Q1444" s="359"/>
      <c r="R1444" s="359"/>
      <c r="S1444" s="321"/>
      <c r="T1444" s="321"/>
      <c r="U1444" s="373" t="str">
        <f t="shared" si="88"/>
        <v/>
      </c>
      <c r="V1444" s="314" t="str">
        <f t="shared" si="89"/>
        <v/>
      </c>
      <c r="W1444" s="314" t="str" cm="1">
        <f t="array" aca="1" ref="W1444" ca="1">IFERROR(IF(AE1444&lt;&gt;"ja",_xlfn.IFNA(_xlfn.IFS(AND(O1444&lt;&gt;"",F1444&lt;&gt;"",RIGHT($N1444,6)="tarief",F1444="Vergoeding"),SUM(O1444)*FLOOR(SUM(Q1444),0.0001),AND(O1444&lt;&gt;"",F1444&lt;&gt;"",RIGHT($N1444,6)="tarief"),SUM(O1444)*FLOOR(SUM(Q1444),0.01),S1444&gt;0,IF(F1444&lt;&gt;"",FLOOR(SUM(S1444),0.01),"")),""),""),"")</f>
        <v/>
      </c>
      <c r="X1444" s="314" t="str" cm="1">
        <f t="array" aca="1" ref="X1444" ca="1">IFERROR(IF(AE1444&lt;&gt;"ja",_xlfn.IFNA(_xlfn.IFS(AND(P1444&lt;&gt;"",R1444&lt;&gt;"",RIGHT($N1444,6)="tarief",F1444="Vergoeding"),SUM(P1444)*FLOOR(SUM(R1444),0.0001),AND(P1444&lt;&gt;"",R1444&lt;&gt;"",RIGHT($N1444,6)="tarief"),P1444*FLOOR(R1444,0.01),T1444&gt;0,FLOOR(SUM(T1444),0.01)),""),""),"")</f>
        <v/>
      </c>
      <c r="Y1444" s="314" t="str">
        <f t="shared" ca="1" si="90"/>
        <v/>
      </c>
      <c r="Z1444" s="314" t="str" cm="1">
        <f t="array" aca="1" ref="Z1444" ca="1">IFERROR(_xlfn.IFS(OR(F1444="",LEFT(Methode_Keuze,4)="Geen",Methode_Keuze=""),"",AND(W1444&lt;&gt;"",F1444&lt;&gt;"Arbeidskosten"),W1444*VLOOKUP(F1444,Tb_ProjectKosten[],MATCH(Tb_ProjectKosten[[#Headers],[Forfait_Percentage]],Tb_ProjectKosten[#Headers],0),0),AND(F1444="Arbeidskosten",G1444&lt;&gt;""),IFERROR(W1444*VLOOKUP(G1444,Tb_KostenTypen[],3,0)*VLOOKUP(F1444,Tb_ProjectKosten[],MATCH(Tb_ProjectKosten[[#Headers],[Forfait_Percentage]],Tb_ProjectKosten[#Headers],0),0),""),W1444 &lt;=0,0),"")</f>
        <v/>
      </c>
      <c r="AA1444" s="314" t="str" cm="1">
        <f t="array" aca="1" ref="AA1444" ca="1">IFERROR(_xlfn.IFS(OR(F1444="",LEFT(Methode_Keuze,4)="Geen",Methode_Keuze=""),"",AND(X1444&lt;&gt;"",F1444&lt;&gt;"Arbeidskosten"),X1444*VLOOKUP(F1444,Tb_ProjectKosten[],MATCH(Tb_ProjectKosten[[#Headers],[Forfait_Percentage]],Tb_ProjectKosten[#Headers],0),0),AND(F1444="Arbeidskosten",G1444&lt;&gt;""),IFERROR(X1444*VLOOKUP(G1444,Tb_KostenTypen[],3,0)*VLOOKUP(F1444,Tb_ProjectKosten[],MATCH(Tb_ProjectKosten[[#Headers],[Forfait_Percentage]],Tb_ProjectKosten[#Headers],0),0),""),X1444 &lt;=0,0),"")</f>
        <v/>
      </c>
      <c r="AB1444" s="314" t="str">
        <f t="shared" ca="1" si="91"/>
        <v/>
      </c>
      <c r="AC1444" s="322"/>
      <c r="AD1444" s="315"/>
      <c r="AE1444" s="32" t="str" cm="1">
        <f t="array" ref="AE1444">IFERROR(IF(INDEX(SubsidieTabel!$AD$1:$AG$12,MATCH($F1444,SubsidieTabel!$AD$1:$AD$12,0),IFERROR(MATCH(Methode_Keuze,SubsidieTabel!$AD$1:$AG$1,0),2))&lt;&gt;1=TRUE,"ja",""),"")</f>
        <v/>
      </c>
    </row>
    <row r="1445" spans="1:31" x14ac:dyDescent="0.25">
      <c r="A1445" s="316"/>
      <c r="B1445" s="317" t="str">
        <f>IF(A1445&lt;&gt;"",_xlfn.MAXIFS($B$1:B1444,$A$1:A1444,A1445)+1,"")</f>
        <v/>
      </c>
      <c r="C1445" s="296"/>
      <c r="D1445" s="296"/>
      <c r="E1445" s="296"/>
      <c r="F1445" s="296"/>
      <c r="G1445" s="326"/>
      <c r="H1445" s="324"/>
      <c r="I1445" s="325"/>
      <c r="J1445" s="325"/>
      <c r="K1445" s="318"/>
      <c r="L1445" s="318"/>
      <c r="M1445" s="319" t="str">
        <f>IFERROR(VLOOKUP(H1445,Lijsten!$H$1:$I$100,2,0),"")</f>
        <v/>
      </c>
      <c r="N1445" s="319" t="str">
        <f ca="1">IFERROR(IF(VLOOKUP(F1445,Kostentypen!$A$3:$E$21,3,0)=0,"",IF(OR(F1445="Arbeidskosten",F1445="Vergoeding"),VLOOKUP(G1445,Tb_KostenTypen[],2,0),VLOOKUP(F1445,Kostentypen!$A$3:$E$20,3,0))),"")</f>
        <v/>
      </c>
      <c r="O1445" s="320" t="str" cm="1">
        <f t="array" ref="O1445">_xlfn.IFNA(IF(INDEX(Tb_KostenOptiesDB[],MATCH($F1445,Tb_KostenOptiesDB[KostenOptie],0),IFERROR(MATCH(Methode_Keuze,Tb_KostenOptiesDB[#Headers],0),2))=1,_xlfn.SWITCH($N1445,"Uurtarief",IF(OR(AND(RIGHT($F1445,3)="IKS",VLOOKUP($M1445,DB_Loonkosten,2,0)="Ja"),AND(RIGHT($F1445,3)&lt;&gt;"IKS",VLOOKUP($M1445,DB_Loonkosten,2,0)="Nee")),IFERROR(VLOOKUP($M1445,DB_Loonkosten,24,0),""),0),"Vast tarief",IF(LEFT(F1445,8)="Bijdrage",VLOOKUP($F1445,Tb_KostenTypen[],MATCH(Lijsten!$P$1,Tb_KostenTypen[#Headers],0),0),VLOOKUP($G1445,Lijsten!L:P,MATCH(Lijsten!$P$1,Kop_Tarief_Vast,0),0))),""),"")</f>
        <v/>
      </c>
      <c r="P1445" s="320" t="str" cm="1">
        <f t="array" ref="P1445">_xlfn.IFNA(IF(INDEX(Tb_KostenOptiesDB[],MATCH($F1445,Tb_KostenOptiesDB[KostenOptie],0),IFERROR(MATCH(Methode_Keuze,Tb_KostenOptiesDB[#Headers],0),2))=1,_xlfn.SWITCH($N1445,"Uurtarief",IF(OR(AND(RIGHT($F1445,3)="IKS",VLOOKUP($M1445,DB_Loonkosten,2,0)="Ja"),AND(RIGHT($F1445,3)&lt;&gt;"IKS",VLOOKUP($M1445,DB_Loonkosten,2,0)="Nee")),IFERROR(VLOOKUP($M1445,DB_Loonkosten,25,0),""),0),"Vast tarief",IF(LEFT(F1445,8)="Bijdrage",VLOOKUP($F1445,Tb_KostenTypen[],MATCH(Lijsten!$P$1,Tb_KostenTypen[#Headers],0),0),VLOOKUP($G1445,Lijsten!L:P,MATCH(Lijsten!$P$1,Kop_Tarief_Vast,0),0))),""),"")</f>
        <v/>
      </c>
      <c r="Q1445" s="359"/>
      <c r="R1445" s="359"/>
      <c r="S1445" s="321"/>
      <c r="T1445" s="321"/>
      <c r="U1445" s="373" t="str">
        <f t="shared" si="88"/>
        <v/>
      </c>
      <c r="V1445" s="314" t="str">
        <f t="shared" si="89"/>
        <v/>
      </c>
      <c r="W1445" s="314" t="str" cm="1">
        <f t="array" aca="1" ref="W1445" ca="1">IFERROR(IF(AE1445&lt;&gt;"ja",_xlfn.IFNA(_xlfn.IFS(AND(O1445&lt;&gt;"",F1445&lt;&gt;"",RIGHT($N1445,6)="tarief",F1445="Vergoeding"),SUM(O1445)*FLOOR(SUM(Q1445),0.0001),AND(O1445&lt;&gt;"",F1445&lt;&gt;"",RIGHT($N1445,6)="tarief"),SUM(O1445)*FLOOR(SUM(Q1445),0.01),S1445&gt;0,IF(F1445&lt;&gt;"",FLOOR(SUM(S1445),0.01),"")),""),""),"")</f>
        <v/>
      </c>
      <c r="X1445" s="314" t="str" cm="1">
        <f t="array" aca="1" ref="X1445" ca="1">IFERROR(IF(AE1445&lt;&gt;"ja",_xlfn.IFNA(_xlfn.IFS(AND(P1445&lt;&gt;"",R1445&lt;&gt;"",RIGHT($N1445,6)="tarief",F1445="Vergoeding"),SUM(P1445)*FLOOR(SUM(R1445),0.0001),AND(P1445&lt;&gt;"",R1445&lt;&gt;"",RIGHT($N1445,6)="tarief"),P1445*FLOOR(R1445,0.01),T1445&gt;0,FLOOR(SUM(T1445),0.01)),""),""),"")</f>
        <v/>
      </c>
      <c r="Y1445" s="314" t="str">
        <f t="shared" ca="1" si="90"/>
        <v/>
      </c>
      <c r="Z1445" s="314" t="str" cm="1">
        <f t="array" aca="1" ref="Z1445" ca="1">IFERROR(_xlfn.IFS(OR(F1445="",LEFT(Methode_Keuze,4)="Geen",Methode_Keuze=""),"",AND(W1445&lt;&gt;"",F1445&lt;&gt;"Arbeidskosten"),W1445*VLOOKUP(F1445,Tb_ProjectKosten[],MATCH(Tb_ProjectKosten[[#Headers],[Forfait_Percentage]],Tb_ProjectKosten[#Headers],0),0),AND(F1445="Arbeidskosten",G1445&lt;&gt;""),IFERROR(W1445*VLOOKUP(G1445,Tb_KostenTypen[],3,0)*VLOOKUP(F1445,Tb_ProjectKosten[],MATCH(Tb_ProjectKosten[[#Headers],[Forfait_Percentage]],Tb_ProjectKosten[#Headers],0),0),""),W1445 &lt;=0,0),"")</f>
        <v/>
      </c>
      <c r="AA1445" s="314" t="str" cm="1">
        <f t="array" aca="1" ref="AA1445" ca="1">IFERROR(_xlfn.IFS(OR(F1445="",LEFT(Methode_Keuze,4)="Geen",Methode_Keuze=""),"",AND(X1445&lt;&gt;"",F1445&lt;&gt;"Arbeidskosten"),X1445*VLOOKUP(F1445,Tb_ProjectKosten[],MATCH(Tb_ProjectKosten[[#Headers],[Forfait_Percentage]],Tb_ProjectKosten[#Headers],0),0),AND(F1445="Arbeidskosten",G1445&lt;&gt;""),IFERROR(X1445*VLOOKUP(G1445,Tb_KostenTypen[],3,0)*VLOOKUP(F1445,Tb_ProjectKosten[],MATCH(Tb_ProjectKosten[[#Headers],[Forfait_Percentage]],Tb_ProjectKosten[#Headers],0),0),""),X1445 &lt;=0,0),"")</f>
        <v/>
      </c>
      <c r="AB1445" s="314" t="str">
        <f t="shared" ca="1" si="91"/>
        <v/>
      </c>
      <c r="AC1445" s="322"/>
      <c r="AD1445" s="315"/>
      <c r="AE1445" s="32" t="str" cm="1">
        <f t="array" ref="AE1445">IFERROR(IF(INDEX(SubsidieTabel!$AD$1:$AG$12,MATCH($F1445,SubsidieTabel!$AD$1:$AD$12,0),IFERROR(MATCH(Methode_Keuze,SubsidieTabel!$AD$1:$AG$1,0),2))&lt;&gt;1=TRUE,"ja",""),"")</f>
        <v/>
      </c>
    </row>
    <row r="1446" spans="1:31" x14ac:dyDescent="0.25">
      <c r="A1446" s="316"/>
      <c r="B1446" s="317" t="str">
        <f>IF(A1446&lt;&gt;"",_xlfn.MAXIFS($B$1:B1445,$A$1:A1445,A1446)+1,"")</f>
        <v/>
      </c>
      <c r="C1446" s="296"/>
      <c r="D1446" s="296"/>
      <c r="E1446" s="296"/>
      <c r="F1446" s="296"/>
      <c r="G1446" s="326"/>
      <c r="H1446" s="324"/>
      <c r="I1446" s="325"/>
      <c r="J1446" s="325"/>
      <c r="K1446" s="318"/>
      <c r="L1446" s="318"/>
      <c r="M1446" s="319" t="str">
        <f>IFERROR(VLOOKUP(H1446,Lijsten!$H$1:$I$100,2,0),"")</f>
        <v/>
      </c>
      <c r="N1446" s="319" t="str">
        <f ca="1">IFERROR(IF(VLOOKUP(F1446,Kostentypen!$A$3:$E$21,3,0)=0,"",IF(OR(F1446="Arbeidskosten",F1446="Vergoeding"),VLOOKUP(G1446,Tb_KostenTypen[],2,0),VLOOKUP(F1446,Kostentypen!$A$3:$E$20,3,0))),"")</f>
        <v/>
      </c>
      <c r="O1446" s="320" t="str" cm="1">
        <f t="array" ref="O1446">_xlfn.IFNA(IF(INDEX(Tb_KostenOptiesDB[],MATCH($F1446,Tb_KostenOptiesDB[KostenOptie],0),IFERROR(MATCH(Methode_Keuze,Tb_KostenOptiesDB[#Headers],0),2))=1,_xlfn.SWITCH($N1446,"Uurtarief",IF(OR(AND(RIGHT($F1446,3)="IKS",VLOOKUP($M1446,DB_Loonkosten,2,0)="Ja"),AND(RIGHT($F1446,3)&lt;&gt;"IKS",VLOOKUP($M1446,DB_Loonkosten,2,0)="Nee")),IFERROR(VLOOKUP($M1446,DB_Loonkosten,24,0),""),0),"Vast tarief",IF(LEFT(F1446,8)="Bijdrage",VLOOKUP($F1446,Tb_KostenTypen[],MATCH(Lijsten!$P$1,Tb_KostenTypen[#Headers],0),0),VLOOKUP($G1446,Lijsten!L:P,MATCH(Lijsten!$P$1,Kop_Tarief_Vast,0),0))),""),"")</f>
        <v/>
      </c>
      <c r="P1446" s="320" t="str" cm="1">
        <f t="array" ref="P1446">_xlfn.IFNA(IF(INDEX(Tb_KostenOptiesDB[],MATCH($F1446,Tb_KostenOptiesDB[KostenOptie],0),IFERROR(MATCH(Methode_Keuze,Tb_KostenOptiesDB[#Headers],0),2))=1,_xlfn.SWITCH($N1446,"Uurtarief",IF(OR(AND(RIGHT($F1446,3)="IKS",VLOOKUP($M1446,DB_Loonkosten,2,0)="Ja"),AND(RIGHT($F1446,3)&lt;&gt;"IKS",VLOOKUP($M1446,DB_Loonkosten,2,0)="Nee")),IFERROR(VLOOKUP($M1446,DB_Loonkosten,25,0),""),0),"Vast tarief",IF(LEFT(F1446,8)="Bijdrage",VLOOKUP($F1446,Tb_KostenTypen[],MATCH(Lijsten!$P$1,Tb_KostenTypen[#Headers],0),0),VLOOKUP($G1446,Lijsten!L:P,MATCH(Lijsten!$P$1,Kop_Tarief_Vast,0),0))),""),"")</f>
        <v/>
      </c>
      <c r="Q1446" s="359"/>
      <c r="R1446" s="359"/>
      <c r="S1446" s="321"/>
      <c r="T1446" s="321"/>
      <c r="U1446" s="373" t="str">
        <f t="shared" si="88"/>
        <v/>
      </c>
      <c r="V1446" s="314" t="str">
        <f t="shared" si="89"/>
        <v/>
      </c>
      <c r="W1446" s="314" t="str" cm="1">
        <f t="array" aca="1" ref="W1446" ca="1">IFERROR(IF(AE1446&lt;&gt;"ja",_xlfn.IFNA(_xlfn.IFS(AND(O1446&lt;&gt;"",F1446&lt;&gt;"",RIGHT($N1446,6)="tarief",F1446="Vergoeding"),SUM(O1446)*FLOOR(SUM(Q1446),0.0001),AND(O1446&lt;&gt;"",F1446&lt;&gt;"",RIGHT($N1446,6)="tarief"),SUM(O1446)*FLOOR(SUM(Q1446),0.01),S1446&gt;0,IF(F1446&lt;&gt;"",FLOOR(SUM(S1446),0.01),"")),""),""),"")</f>
        <v/>
      </c>
      <c r="X1446" s="314" t="str" cm="1">
        <f t="array" aca="1" ref="X1446" ca="1">IFERROR(IF(AE1446&lt;&gt;"ja",_xlfn.IFNA(_xlfn.IFS(AND(P1446&lt;&gt;"",R1446&lt;&gt;"",RIGHT($N1446,6)="tarief",F1446="Vergoeding"),SUM(P1446)*FLOOR(SUM(R1446),0.0001),AND(P1446&lt;&gt;"",R1446&lt;&gt;"",RIGHT($N1446,6)="tarief"),P1446*FLOOR(R1446,0.01),T1446&gt;0,FLOOR(SUM(T1446),0.01)),""),""),"")</f>
        <v/>
      </c>
      <c r="Y1446" s="314" t="str">
        <f t="shared" ca="1" si="90"/>
        <v/>
      </c>
      <c r="Z1446" s="314" t="str" cm="1">
        <f t="array" aca="1" ref="Z1446" ca="1">IFERROR(_xlfn.IFS(OR(F1446="",LEFT(Methode_Keuze,4)="Geen",Methode_Keuze=""),"",AND(W1446&lt;&gt;"",F1446&lt;&gt;"Arbeidskosten"),W1446*VLOOKUP(F1446,Tb_ProjectKosten[],MATCH(Tb_ProjectKosten[[#Headers],[Forfait_Percentage]],Tb_ProjectKosten[#Headers],0),0),AND(F1446="Arbeidskosten",G1446&lt;&gt;""),IFERROR(W1446*VLOOKUP(G1446,Tb_KostenTypen[],3,0)*VLOOKUP(F1446,Tb_ProjectKosten[],MATCH(Tb_ProjectKosten[[#Headers],[Forfait_Percentage]],Tb_ProjectKosten[#Headers],0),0),""),W1446 &lt;=0,0),"")</f>
        <v/>
      </c>
      <c r="AA1446" s="314" t="str" cm="1">
        <f t="array" aca="1" ref="AA1446" ca="1">IFERROR(_xlfn.IFS(OR(F1446="",LEFT(Methode_Keuze,4)="Geen",Methode_Keuze=""),"",AND(X1446&lt;&gt;"",F1446&lt;&gt;"Arbeidskosten"),X1446*VLOOKUP(F1446,Tb_ProjectKosten[],MATCH(Tb_ProjectKosten[[#Headers],[Forfait_Percentage]],Tb_ProjectKosten[#Headers],0),0),AND(F1446="Arbeidskosten",G1446&lt;&gt;""),IFERROR(X1446*VLOOKUP(G1446,Tb_KostenTypen[],3,0)*VLOOKUP(F1446,Tb_ProjectKosten[],MATCH(Tb_ProjectKosten[[#Headers],[Forfait_Percentage]],Tb_ProjectKosten[#Headers],0),0),""),X1446 &lt;=0,0),"")</f>
        <v/>
      </c>
      <c r="AB1446" s="314" t="str">
        <f t="shared" ca="1" si="91"/>
        <v/>
      </c>
      <c r="AC1446" s="322"/>
      <c r="AD1446" s="315"/>
      <c r="AE1446" s="32" t="str" cm="1">
        <f t="array" ref="AE1446">IFERROR(IF(INDEX(SubsidieTabel!$AD$1:$AG$12,MATCH($F1446,SubsidieTabel!$AD$1:$AD$12,0),IFERROR(MATCH(Methode_Keuze,SubsidieTabel!$AD$1:$AG$1,0),2))&lt;&gt;1=TRUE,"ja",""),"")</f>
        <v/>
      </c>
    </row>
    <row r="1447" spans="1:31" x14ac:dyDescent="0.25">
      <c r="A1447" s="316"/>
      <c r="B1447" s="317" t="str">
        <f>IF(A1447&lt;&gt;"",_xlfn.MAXIFS($B$1:B1446,$A$1:A1446,A1447)+1,"")</f>
        <v/>
      </c>
      <c r="C1447" s="296"/>
      <c r="D1447" s="296"/>
      <c r="E1447" s="296"/>
      <c r="F1447" s="296"/>
      <c r="G1447" s="326"/>
      <c r="H1447" s="324"/>
      <c r="I1447" s="325"/>
      <c r="J1447" s="325"/>
      <c r="K1447" s="318"/>
      <c r="L1447" s="318"/>
      <c r="M1447" s="319" t="str">
        <f>IFERROR(VLOOKUP(H1447,Lijsten!$H$1:$I$100,2,0),"")</f>
        <v/>
      </c>
      <c r="N1447" s="319" t="str">
        <f ca="1">IFERROR(IF(VLOOKUP(F1447,Kostentypen!$A$3:$E$21,3,0)=0,"",IF(OR(F1447="Arbeidskosten",F1447="Vergoeding"),VLOOKUP(G1447,Tb_KostenTypen[],2,0),VLOOKUP(F1447,Kostentypen!$A$3:$E$20,3,0))),"")</f>
        <v/>
      </c>
      <c r="O1447" s="320" t="str" cm="1">
        <f t="array" ref="O1447">_xlfn.IFNA(IF(INDEX(Tb_KostenOptiesDB[],MATCH($F1447,Tb_KostenOptiesDB[KostenOptie],0),IFERROR(MATCH(Methode_Keuze,Tb_KostenOptiesDB[#Headers],0),2))=1,_xlfn.SWITCH($N1447,"Uurtarief",IF(OR(AND(RIGHT($F1447,3)="IKS",VLOOKUP($M1447,DB_Loonkosten,2,0)="Ja"),AND(RIGHT($F1447,3)&lt;&gt;"IKS",VLOOKUP($M1447,DB_Loonkosten,2,0)="Nee")),IFERROR(VLOOKUP($M1447,DB_Loonkosten,24,0),""),0),"Vast tarief",IF(LEFT(F1447,8)="Bijdrage",VLOOKUP($F1447,Tb_KostenTypen[],MATCH(Lijsten!$P$1,Tb_KostenTypen[#Headers],0),0),VLOOKUP($G1447,Lijsten!L:P,MATCH(Lijsten!$P$1,Kop_Tarief_Vast,0),0))),""),"")</f>
        <v/>
      </c>
      <c r="P1447" s="320" t="str" cm="1">
        <f t="array" ref="P1447">_xlfn.IFNA(IF(INDEX(Tb_KostenOptiesDB[],MATCH($F1447,Tb_KostenOptiesDB[KostenOptie],0),IFERROR(MATCH(Methode_Keuze,Tb_KostenOptiesDB[#Headers],0),2))=1,_xlfn.SWITCH($N1447,"Uurtarief",IF(OR(AND(RIGHT($F1447,3)="IKS",VLOOKUP($M1447,DB_Loonkosten,2,0)="Ja"),AND(RIGHT($F1447,3)&lt;&gt;"IKS",VLOOKUP($M1447,DB_Loonkosten,2,0)="Nee")),IFERROR(VLOOKUP($M1447,DB_Loonkosten,25,0),""),0),"Vast tarief",IF(LEFT(F1447,8)="Bijdrage",VLOOKUP($F1447,Tb_KostenTypen[],MATCH(Lijsten!$P$1,Tb_KostenTypen[#Headers],0),0),VLOOKUP($G1447,Lijsten!L:P,MATCH(Lijsten!$P$1,Kop_Tarief_Vast,0),0))),""),"")</f>
        <v/>
      </c>
      <c r="Q1447" s="359"/>
      <c r="R1447" s="359"/>
      <c r="S1447" s="321"/>
      <c r="T1447" s="321"/>
      <c r="U1447" s="373" t="str">
        <f t="shared" si="88"/>
        <v/>
      </c>
      <c r="V1447" s="314" t="str">
        <f t="shared" si="89"/>
        <v/>
      </c>
      <c r="W1447" s="314" t="str" cm="1">
        <f t="array" aca="1" ref="W1447" ca="1">IFERROR(IF(AE1447&lt;&gt;"ja",_xlfn.IFNA(_xlfn.IFS(AND(O1447&lt;&gt;"",F1447&lt;&gt;"",RIGHT($N1447,6)="tarief",F1447="Vergoeding"),SUM(O1447)*FLOOR(SUM(Q1447),0.0001),AND(O1447&lt;&gt;"",F1447&lt;&gt;"",RIGHT($N1447,6)="tarief"),SUM(O1447)*FLOOR(SUM(Q1447),0.01),S1447&gt;0,IF(F1447&lt;&gt;"",FLOOR(SUM(S1447),0.01),"")),""),""),"")</f>
        <v/>
      </c>
      <c r="X1447" s="314" t="str" cm="1">
        <f t="array" aca="1" ref="X1447" ca="1">IFERROR(IF(AE1447&lt;&gt;"ja",_xlfn.IFNA(_xlfn.IFS(AND(P1447&lt;&gt;"",R1447&lt;&gt;"",RIGHT($N1447,6)="tarief",F1447="Vergoeding"),SUM(P1447)*FLOOR(SUM(R1447),0.0001),AND(P1447&lt;&gt;"",R1447&lt;&gt;"",RIGHT($N1447,6)="tarief"),P1447*FLOOR(R1447,0.01),T1447&gt;0,FLOOR(SUM(T1447),0.01)),""),""),"")</f>
        <v/>
      </c>
      <c r="Y1447" s="314" t="str">
        <f t="shared" ca="1" si="90"/>
        <v/>
      </c>
      <c r="Z1447" s="314" t="str" cm="1">
        <f t="array" aca="1" ref="Z1447" ca="1">IFERROR(_xlfn.IFS(OR(F1447="",LEFT(Methode_Keuze,4)="Geen",Methode_Keuze=""),"",AND(W1447&lt;&gt;"",F1447&lt;&gt;"Arbeidskosten"),W1447*VLOOKUP(F1447,Tb_ProjectKosten[],MATCH(Tb_ProjectKosten[[#Headers],[Forfait_Percentage]],Tb_ProjectKosten[#Headers],0),0),AND(F1447="Arbeidskosten",G1447&lt;&gt;""),IFERROR(W1447*VLOOKUP(G1447,Tb_KostenTypen[],3,0)*VLOOKUP(F1447,Tb_ProjectKosten[],MATCH(Tb_ProjectKosten[[#Headers],[Forfait_Percentage]],Tb_ProjectKosten[#Headers],0),0),""),W1447 &lt;=0,0),"")</f>
        <v/>
      </c>
      <c r="AA1447" s="314" t="str" cm="1">
        <f t="array" aca="1" ref="AA1447" ca="1">IFERROR(_xlfn.IFS(OR(F1447="",LEFT(Methode_Keuze,4)="Geen",Methode_Keuze=""),"",AND(X1447&lt;&gt;"",F1447&lt;&gt;"Arbeidskosten"),X1447*VLOOKUP(F1447,Tb_ProjectKosten[],MATCH(Tb_ProjectKosten[[#Headers],[Forfait_Percentage]],Tb_ProjectKosten[#Headers],0),0),AND(F1447="Arbeidskosten",G1447&lt;&gt;""),IFERROR(X1447*VLOOKUP(G1447,Tb_KostenTypen[],3,0)*VLOOKUP(F1447,Tb_ProjectKosten[],MATCH(Tb_ProjectKosten[[#Headers],[Forfait_Percentage]],Tb_ProjectKosten[#Headers],0),0),""),X1447 &lt;=0,0),"")</f>
        <v/>
      </c>
      <c r="AB1447" s="314" t="str">
        <f t="shared" ca="1" si="91"/>
        <v/>
      </c>
      <c r="AC1447" s="322"/>
      <c r="AD1447" s="315"/>
      <c r="AE1447" s="32" t="str" cm="1">
        <f t="array" ref="AE1447">IFERROR(IF(INDEX(SubsidieTabel!$AD$1:$AG$12,MATCH($F1447,SubsidieTabel!$AD$1:$AD$12,0),IFERROR(MATCH(Methode_Keuze,SubsidieTabel!$AD$1:$AG$1,0),2))&lt;&gt;1=TRUE,"ja",""),"")</f>
        <v/>
      </c>
    </row>
    <row r="1448" spans="1:31" x14ac:dyDescent="0.25">
      <c r="A1448" s="316"/>
      <c r="B1448" s="317" t="str">
        <f>IF(A1448&lt;&gt;"",_xlfn.MAXIFS($B$1:B1447,$A$1:A1447,A1448)+1,"")</f>
        <v/>
      </c>
      <c r="C1448" s="296"/>
      <c r="D1448" s="296"/>
      <c r="E1448" s="296"/>
      <c r="F1448" s="296"/>
      <c r="G1448" s="326"/>
      <c r="H1448" s="324"/>
      <c r="I1448" s="325"/>
      <c r="J1448" s="325"/>
      <c r="K1448" s="318"/>
      <c r="L1448" s="318"/>
      <c r="M1448" s="319" t="str">
        <f>IFERROR(VLOOKUP(H1448,Lijsten!$H$1:$I$100,2,0),"")</f>
        <v/>
      </c>
      <c r="N1448" s="319" t="str">
        <f ca="1">IFERROR(IF(VLOOKUP(F1448,Kostentypen!$A$3:$E$21,3,0)=0,"",IF(OR(F1448="Arbeidskosten",F1448="Vergoeding"),VLOOKUP(G1448,Tb_KostenTypen[],2,0),VLOOKUP(F1448,Kostentypen!$A$3:$E$20,3,0))),"")</f>
        <v/>
      </c>
      <c r="O1448" s="320" t="str" cm="1">
        <f t="array" ref="O1448">_xlfn.IFNA(IF(INDEX(Tb_KostenOptiesDB[],MATCH($F1448,Tb_KostenOptiesDB[KostenOptie],0),IFERROR(MATCH(Methode_Keuze,Tb_KostenOptiesDB[#Headers],0),2))=1,_xlfn.SWITCH($N1448,"Uurtarief",IF(OR(AND(RIGHT($F1448,3)="IKS",VLOOKUP($M1448,DB_Loonkosten,2,0)="Ja"),AND(RIGHT($F1448,3)&lt;&gt;"IKS",VLOOKUP($M1448,DB_Loonkosten,2,0)="Nee")),IFERROR(VLOOKUP($M1448,DB_Loonkosten,24,0),""),0),"Vast tarief",IF(LEFT(F1448,8)="Bijdrage",VLOOKUP($F1448,Tb_KostenTypen[],MATCH(Lijsten!$P$1,Tb_KostenTypen[#Headers],0),0),VLOOKUP($G1448,Lijsten!L:P,MATCH(Lijsten!$P$1,Kop_Tarief_Vast,0),0))),""),"")</f>
        <v/>
      </c>
      <c r="P1448" s="320" t="str" cm="1">
        <f t="array" ref="P1448">_xlfn.IFNA(IF(INDEX(Tb_KostenOptiesDB[],MATCH($F1448,Tb_KostenOptiesDB[KostenOptie],0),IFERROR(MATCH(Methode_Keuze,Tb_KostenOptiesDB[#Headers],0),2))=1,_xlfn.SWITCH($N1448,"Uurtarief",IF(OR(AND(RIGHT($F1448,3)="IKS",VLOOKUP($M1448,DB_Loonkosten,2,0)="Ja"),AND(RIGHT($F1448,3)&lt;&gt;"IKS",VLOOKUP($M1448,DB_Loonkosten,2,0)="Nee")),IFERROR(VLOOKUP($M1448,DB_Loonkosten,25,0),""),0),"Vast tarief",IF(LEFT(F1448,8)="Bijdrage",VLOOKUP($F1448,Tb_KostenTypen[],MATCH(Lijsten!$P$1,Tb_KostenTypen[#Headers],0),0),VLOOKUP($G1448,Lijsten!L:P,MATCH(Lijsten!$P$1,Kop_Tarief_Vast,0),0))),""),"")</f>
        <v/>
      </c>
      <c r="Q1448" s="359"/>
      <c r="R1448" s="359"/>
      <c r="S1448" s="321"/>
      <c r="T1448" s="321"/>
      <c r="U1448" s="373" t="str">
        <f t="shared" si="88"/>
        <v/>
      </c>
      <c r="V1448" s="314" t="str">
        <f t="shared" si="89"/>
        <v/>
      </c>
      <c r="W1448" s="314" t="str" cm="1">
        <f t="array" aca="1" ref="W1448" ca="1">IFERROR(IF(AE1448&lt;&gt;"ja",_xlfn.IFNA(_xlfn.IFS(AND(O1448&lt;&gt;"",F1448&lt;&gt;"",RIGHT($N1448,6)="tarief",F1448="Vergoeding"),SUM(O1448)*FLOOR(SUM(Q1448),0.0001),AND(O1448&lt;&gt;"",F1448&lt;&gt;"",RIGHT($N1448,6)="tarief"),SUM(O1448)*FLOOR(SUM(Q1448),0.01),S1448&gt;0,IF(F1448&lt;&gt;"",FLOOR(SUM(S1448),0.01),"")),""),""),"")</f>
        <v/>
      </c>
      <c r="X1448" s="314" t="str" cm="1">
        <f t="array" aca="1" ref="X1448" ca="1">IFERROR(IF(AE1448&lt;&gt;"ja",_xlfn.IFNA(_xlfn.IFS(AND(P1448&lt;&gt;"",R1448&lt;&gt;"",RIGHT($N1448,6)="tarief",F1448="Vergoeding"),SUM(P1448)*FLOOR(SUM(R1448),0.0001),AND(P1448&lt;&gt;"",R1448&lt;&gt;"",RIGHT($N1448,6)="tarief"),P1448*FLOOR(R1448,0.01),T1448&gt;0,FLOOR(SUM(T1448),0.01)),""),""),"")</f>
        <v/>
      </c>
      <c r="Y1448" s="314" t="str">
        <f t="shared" ca="1" si="90"/>
        <v/>
      </c>
      <c r="Z1448" s="314" t="str" cm="1">
        <f t="array" aca="1" ref="Z1448" ca="1">IFERROR(_xlfn.IFS(OR(F1448="",LEFT(Methode_Keuze,4)="Geen",Methode_Keuze=""),"",AND(W1448&lt;&gt;"",F1448&lt;&gt;"Arbeidskosten"),W1448*VLOOKUP(F1448,Tb_ProjectKosten[],MATCH(Tb_ProjectKosten[[#Headers],[Forfait_Percentage]],Tb_ProjectKosten[#Headers],0),0),AND(F1448="Arbeidskosten",G1448&lt;&gt;""),IFERROR(W1448*VLOOKUP(G1448,Tb_KostenTypen[],3,0)*VLOOKUP(F1448,Tb_ProjectKosten[],MATCH(Tb_ProjectKosten[[#Headers],[Forfait_Percentage]],Tb_ProjectKosten[#Headers],0),0),""),W1448 &lt;=0,0),"")</f>
        <v/>
      </c>
      <c r="AA1448" s="314" t="str" cm="1">
        <f t="array" aca="1" ref="AA1448" ca="1">IFERROR(_xlfn.IFS(OR(F1448="",LEFT(Methode_Keuze,4)="Geen",Methode_Keuze=""),"",AND(X1448&lt;&gt;"",F1448&lt;&gt;"Arbeidskosten"),X1448*VLOOKUP(F1448,Tb_ProjectKosten[],MATCH(Tb_ProjectKosten[[#Headers],[Forfait_Percentage]],Tb_ProjectKosten[#Headers],0),0),AND(F1448="Arbeidskosten",G1448&lt;&gt;""),IFERROR(X1448*VLOOKUP(G1448,Tb_KostenTypen[],3,0)*VLOOKUP(F1448,Tb_ProjectKosten[],MATCH(Tb_ProjectKosten[[#Headers],[Forfait_Percentage]],Tb_ProjectKosten[#Headers],0),0),""),X1448 &lt;=0,0),"")</f>
        <v/>
      </c>
      <c r="AB1448" s="314" t="str">
        <f t="shared" ca="1" si="91"/>
        <v/>
      </c>
      <c r="AC1448" s="322"/>
      <c r="AD1448" s="315"/>
      <c r="AE1448" s="32" t="str" cm="1">
        <f t="array" ref="AE1448">IFERROR(IF(INDEX(SubsidieTabel!$AD$1:$AG$12,MATCH($F1448,SubsidieTabel!$AD$1:$AD$12,0),IFERROR(MATCH(Methode_Keuze,SubsidieTabel!$AD$1:$AG$1,0),2))&lt;&gt;1=TRUE,"ja",""),"")</f>
        <v/>
      </c>
    </row>
    <row r="1449" spans="1:31" x14ac:dyDescent="0.25">
      <c r="A1449" s="316"/>
      <c r="B1449" s="317" t="str">
        <f>IF(A1449&lt;&gt;"",_xlfn.MAXIFS($B$1:B1448,$A$1:A1448,A1449)+1,"")</f>
        <v/>
      </c>
      <c r="C1449" s="296"/>
      <c r="D1449" s="296"/>
      <c r="E1449" s="296"/>
      <c r="F1449" s="296"/>
      <c r="G1449" s="326"/>
      <c r="H1449" s="324"/>
      <c r="I1449" s="325"/>
      <c r="J1449" s="325"/>
      <c r="K1449" s="318"/>
      <c r="L1449" s="318"/>
      <c r="M1449" s="319" t="str">
        <f>IFERROR(VLOOKUP(H1449,Lijsten!$H$1:$I$100,2,0),"")</f>
        <v/>
      </c>
      <c r="N1449" s="319" t="str">
        <f ca="1">IFERROR(IF(VLOOKUP(F1449,Kostentypen!$A$3:$E$21,3,0)=0,"",IF(OR(F1449="Arbeidskosten",F1449="Vergoeding"),VLOOKUP(G1449,Tb_KostenTypen[],2,0),VLOOKUP(F1449,Kostentypen!$A$3:$E$20,3,0))),"")</f>
        <v/>
      </c>
      <c r="O1449" s="320" t="str" cm="1">
        <f t="array" ref="O1449">_xlfn.IFNA(IF(INDEX(Tb_KostenOptiesDB[],MATCH($F1449,Tb_KostenOptiesDB[KostenOptie],0),IFERROR(MATCH(Methode_Keuze,Tb_KostenOptiesDB[#Headers],0),2))=1,_xlfn.SWITCH($N1449,"Uurtarief",IF(OR(AND(RIGHT($F1449,3)="IKS",VLOOKUP($M1449,DB_Loonkosten,2,0)="Ja"),AND(RIGHT($F1449,3)&lt;&gt;"IKS",VLOOKUP($M1449,DB_Loonkosten,2,0)="Nee")),IFERROR(VLOOKUP($M1449,DB_Loonkosten,24,0),""),0),"Vast tarief",IF(LEFT(F1449,8)="Bijdrage",VLOOKUP($F1449,Tb_KostenTypen[],MATCH(Lijsten!$P$1,Tb_KostenTypen[#Headers],0),0),VLOOKUP($G1449,Lijsten!L:P,MATCH(Lijsten!$P$1,Kop_Tarief_Vast,0),0))),""),"")</f>
        <v/>
      </c>
      <c r="P1449" s="320" t="str" cm="1">
        <f t="array" ref="P1449">_xlfn.IFNA(IF(INDEX(Tb_KostenOptiesDB[],MATCH($F1449,Tb_KostenOptiesDB[KostenOptie],0),IFERROR(MATCH(Methode_Keuze,Tb_KostenOptiesDB[#Headers],0),2))=1,_xlfn.SWITCH($N1449,"Uurtarief",IF(OR(AND(RIGHT($F1449,3)="IKS",VLOOKUP($M1449,DB_Loonkosten,2,0)="Ja"),AND(RIGHT($F1449,3)&lt;&gt;"IKS",VLOOKUP($M1449,DB_Loonkosten,2,0)="Nee")),IFERROR(VLOOKUP($M1449,DB_Loonkosten,25,0),""),0),"Vast tarief",IF(LEFT(F1449,8)="Bijdrage",VLOOKUP($F1449,Tb_KostenTypen[],MATCH(Lijsten!$P$1,Tb_KostenTypen[#Headers],0),0),VLOOKUP($G1449,Lijsten!L:P,MATCH(Lijsten!$P$1,Kop_Tarief_Vast,0),0))),""),"")</f>
        <v/>
      </c>
      <c r="Q1449" s="359"/>
      <c r="R1449" s="359"/>
      <c r="S1449" s="321"/>
      <c r="T1449" s="321"/>
      <c r="U1449" s="373" t="str">
        <f t="shared" si="88"/>
        <v/>
      </c>
      <c r="V1449" s="314" t="str">
        <f t="shared" si="89"/>
        <v/>
      </c>
      <c r="W1449" s="314" t="str" cm="1">
        <f t="array" aca="1" ref="W1449" ca="1">IFERROR(IF(AE1449&lt;&gt;"ja",_xlfn.IFNA(_xlfn.IFS(AND(O1449&lt;&gt;"",F1449&lt;&gt;"",RIGHT($N1449,6)="tarief",F1449="Vergoeding"),SUM(O1449)*FLOOR(SUM(Q1449),0.0001),AND(O1449&lt;&gt;"",F1449&lt;&gt;"",RIGHT($N1449,6)="tarief"),SUM(O1449)*FLOOR(SUM(Q1449),0.01),S1449&gt;0,IF(F1449&lt;&gt;"",FLOOR(SUM(S1449),0.01),"")),""),""),"")</f>
        <v/>
      </c>
      <c r="X1449" s="314" t="str" cm="1">
        <f t="array" aca="1" ref="X1449" ca="1">IFERROR(IF(AE1449&lt;&gt;"ja",_xlfn.IFNA(_xlfn.IFS(AND(P1449&lt;&gt;"",R1449&lt;&gt;"",RIGHT($N1449,6)="tarief",F1449="Vergoeding"),SUM(P1449)*FLOOR(SUM(R1449),0.0001),AND(P1449&lt;&gt;"",R1449&lt;&gt;"",RIGHT($N1449,6)="tarief"),P1449*FLOOR(R1449,0.01),T1449&gt;0,FLOOR(SUM(T1449),0.01)),""),""),"")</f>
        <v/>
      </c>
      <c r="Y1449" s="314" t="str">
        <f t="shared" ca="1" si="90"/>
        <v/>
      </c>
      <c r="Z1449" s="314" t="str" cm="1">
        <f t="array" aca="1" ref="Z1449" ca="1">IFERROR(_xlfn.IFS(OR(F1449="",LEFT(Methode_Keuze,4)="Geen",Methode_Keuze=""),"",AND(W1449&lt;&gt;"",F1449&lt;&gt;"Arbeidskosten"),W1449*VLOOKUP(F1449,Tb_ProjectKosten[],MATCH(Tb_ProjectKosten[[#Headers],[Forfait_Percentage]],Tb_ProjectKosten[#Headers],0),0),AND(F1449="Arbeidskosten",G1449&lt;&gt;""),IFERROR(W1449*VLOOKUP(G1449,Tb_KostenTypen[],3,0)*VLOOKUP(F1449,Tb_ProjectKosten[],MATCH(Tb_ProjectKosten[[#Headers],[Forfait_Percentage]],Tb_ProjectKosten[#Headers],0),0),""),W1449 &lt;=0,0),"")</f>
        <v/>
      </c>
      <c r="AA1449" s="314" t="str" cm="1">
        <f t="array" aca="1" ref="AA1449" ca="1">IFERROR(_xlfn.IFS(OR(F1449="",LEFT(Methode_Keuze,4)="Geen",Methode_Keuze=""),"",AND(X1449&lt;&gt;"",F1449&lt;&gt;"Arbeidskosten"),X1449*VLOOKUP(F1449,Tb_ProjectKosten[],MATCH(Tb_ProjectKosten[[#Headers],[Forfait_Percentage]],Tb_ProjectKosten[#Headers],0),0),AND(F1449="Arbeidskosten",G1449&lt;&gt;""),IFERROR(X1449*VLOOKUP(G1449,Tb_KostenTypen[],3,0)*VLOOKUP(F1449,Tb_ProjectKosten[],MATCH(Tb_ProjectKosten[[#Headers],[Forfait_Percentage]],Tb_ProjectKosten[#Headers],0),0),""),X1449 &lt;=0,0),"")</f>
        <v/>
      </c>
      <c r="AB1449" s="314" t="str">
        <f t="shared" ca="1" si="91"/>
        <v/>
      </c>
      <c r="AC1449" s="322"/>
      <c r="AD1449" s="315"/>
      <c r="AE1449" s="32" t="str" cm="1">
        <f t="array" ref="AE1449">IFERROR(IF(INDEX(SubsidieTabel!$AD$1:$AG$12,MATCH($F1449,SubsidieTabel!$AD$1:$AD$12,0),IFERROR(MATCH(Methode_Keuze,SubsidieTabel!$AD$1:$AG$1,0),2))&lt;&gt;1=TRUE,"ja",""),"")</f>
        <v/>
      </c>
    </row>
    <row r="1450" spans="1:31" x14ac:dyDescent="0.25">
      <c r="A1450" s="316"/>
      <c r="B1450" s="317" t="str">
        <f>IF(A1450&lt;&gt;"",_xlfn.MAXIFS($B$1:B1449,$A$1:A1449,A1450)+1,"")</f>
        <v/>
      </c>
      <c r="C1450" s="296"/>
      <c r="D1450" s="296"/>
      <c r="E1450" s="296"/>
      <c r="F1450" s="296"/>
      <c r="G1450" s="326"/>
      <c r="H1450" s="324"/>
      <c r="I1450" s="325"/>
      <c r="J1450" s="325"/>
      <c r="K1450" s="318"/>
      <c r="L1450" s="318"/>
      <c r="M1450" s="319" t="str">
        <f>IFERROR(VLOOKUP(H1450,Lijsten!$H$1:$I$100,2,0),"")</f>
        <v/>
      </c>
      <c r="N1450" s="319" t="str">
        <f ca="1">IFERROR(IF(VLOOKUP(F1450,Kostentypen!$A$3:$E$21,3,0)=0,"",IF(OR(F1450="Arbeidskosten",F1450="Vergoeding"),VLOOKUP(G1450,Tb_KostenTypen[],2,0),VLOOKUP(F1450,Kostentypen!$A$3:$E$20,3,0))),"")</f>
        <v/>
      </c>
      <c r="O1450" s="320" t="str" cm="1">
        <f t="array" ref="O1450">_xlfn.IFNA(IF(INDEX(Tb_KostenOptiesDB[],MATCH($F1450,Tb_KostenOptiesDB[KostenOptie],0),IFERROR(MATCH(Methode_Keuze,Tb_KostenOptiesDB[#Headers],0),2))=1,_xlfn.SWITCH($N1450,"Uurtarief",IF(OR(AND(RIGHT($F1450,3)="IKS",VLOOKUP($M1450,DB_Loonkosten,2,0)="Ja"),AND(RIGHT($F1450,3)&lt;&gt;"IKS",VLOOKUP($M1450,DB_Loonkosten,2,0)="Nee")),IFERROR(VLOOKUP($M1450,DB_Loonkosten,24,0),""),0),"Vast tarief",IF(LEFT(F1450,8)="Bijdrage",VLOOKUP($F1450,Tb_KostenTypen[],MATCH(Lijsten!$P$1,Tb_KostenTypen[#Headers],0),0),VLOOKUP($G1450,Lijsten!L:P,MATCH(Lijsten!$P$1,Kop_Tarief_Vast,0),0))),""),"")</f>
        <v/>
      </c>
      <c r="P1450" s="320" t="str" cm="1">
        <f t="array" ref="P1450">_xlfn.IFNA(IF(INDEX(Tb_KostenOptiesDB[],MATCH($F1450,Tb_KostenOptiesDB[KostenOptie],0),IFERROR(MATCH(Methode_Keuze,Tb_KostenOptiesDB[#Headers],0),2))=1,_xlfn.SWITCH($N1450,"Uurtarief",IF(OR(AND(RIGHT($F1450,3)="IKS",VLOOKUP($M1450,DB_Loonkosten,2,0)="Ja"),AND(RIGHT($F1450,3)&lt;&gt;"IKS",VLOOKUP($M1450,DB_Loonkosten,2,0)="Nee")),IFERROR(VLOOKUP($M1450,DB_Loonkosten,25,0),""),0),"Vast tarief",IF(LEFT(F1450,8)="Bijdrage",VLOOKUP($F1450,Tb_KostenTypen[],MATCH(Lijsten!$P$1,Tb_KostenTypen[#Headers],0),0),VLOOKUP($G1450,Lijsten!L:P,MATCH(Lijsten!$P$1,Kop_Tarief_Vast,0),0))),""),"")</f>
        <v/>
      </c>
      <c r="Q1450" s="359"/>
      <c r="R1450" s="359"/>
      <c r="S1450" s="321"/>
      <c r="T1450" s="321"/>
      <c r="U1450" s="373" t="str">
        <f t="shared" si="88"/>
        <v/>
      </c>
      <c r="V1450" s="314" t="str">
        <f t="shared" si="89"/>
        <v/>
      </c>
      <c r="W1450" s="314" t="str" cm="1">
        <f t="array" aca="1" ref="W1450" ca="1">IFERROR(IF(AE1450&lt;&gt;"ja",_xlfn.IFNA(_xlfn.IFS(AND(O1450&lt;&gt;"",F1450&lt;&gt;"",RIGHT($N1450,6)="tarief",F1450="Vergoeding"),SUM(O1450)*FLOOR(SUM(Q1450),0.0001),AND(O1450&lt;&gt;"",F1450&lt;&gt;"",RIGHT($N1450,6)="tarief"),SUM(O1450)*FLOOR(SUM(Q1450),0.01),S1450&gt;0,IF(F1450&lt;&gt;"",FLOOR(SUM(S1450),0.01),"")),""),""),"")</f>
        <v/>
      </c>
      <c r="X1450" s="314" t="str" cm="1">
        <f t="array" aca="1" ref="X1450" ca="1">IFERROR(IF(AE1450&lt;&gt;"ja",_xlfn.IFNA(_xlfn.IFS(AND(P1450&lt;&gt;"",R1450&lt;&gt;"",RIGHT($N1450,6)="tarief",F1450="Vergoeding"),SUM(P1450)*FLOOR(SUM(R1450),0.0001),AND(P1450&lt;&gt;"",R1450&lt;&gt;"",RIGHT($N1450,6)="tarief"),P1450*FLOOR(R1450,0.01),T1450&gt;0,FLOOR(SUM(T1450),0.01)),""),""),"")</f>
        <v/>
      </c>
      <c r="Y1450" s="314" t="str">
        <f t="shared" ca="1" si="90"/>
        <v/>
      </c>
      <c r="Z1450" s="314" t="str" cm="1">
        <f t="array" aca="1" ref="Z1450" ca="1">IFERROR(_xlfn.IFS(OR(F1450="",LEFT(Methode_Keuze,4)="Geen",Methode_Keuze=""),"",AND(W1450&lt;&gt;"",F1450&lt;&gt;"Arbeidskosten"),W1450*VLOOKUP(F1450,Tb_ProjectKosten[],MATCH(Tb_ProjectKosten[[#Headers],[Forfait_Percentage]],Tb_ProjectKosten[#Headers],0),0),AND(F1450="Arbeidskosten",G1450&lt;&gt;""),IFERROR(W1450*VLOOKUP(G1450,Tb_KostenTypen[],3,0)*VLOOKUP(F1450,Tb_ProjectKosten[],MATCH(Tb_ProjectKosten[[#Headers],[Forfait_Percentage]],Tb_ProjectKosten[#Headers],0),0),""),W1450 &lt;=0,0),"")</f>
        <v/>
      </c>
      <c r="AA1450" s="314" t="str" cm="1">
        <f t="array" aca="1" ref="AA1450" ca="1">IFERROR(_xlfn.IFS(OR(F1450="",LEFT(Methode_Keuze,4)="Geen",Methode_Keuze=""),"",AND(X1450&lt;&gt;"",F1450&lt;&gt;"Arbeidskosten"),X1450*VLOOKUP(F1450,Tb_ProjectKosten[],MATCH(Tb_ProjectKosten[[#Headers],[Forfait_Percentage]],Tb_ProjectKosten[#Headers],0),0),AND(F1450="Arbeidskosten",G1450&lt;&gt;""),IFERROR(X1450*VLOOKUP(G1450,Tb_KostenTypen[],3,0)*VLOOKUP(F1450,Tb_ProjectKosten[],MATCH(Tb_ProjectKosten[[#Headers],[Forfait_Percentage]],Tb_ProjectKosten[#Headers],0),0),""),X1450 &lt;=0,0),"")</f>
        <v/>
      </c>
      <c r="AB1450" s="314" t="str">
        <f t="shared" ca="1" si="91"/>
        <v/>
      </c>
      <c r="AC1450" s="322"/>
      <c r="AD1450" s="315"/>
      <c r="AE1450" s="32" t="str" cm="1">
        <f t="array" ref="AE1450">IFERROR(IF(INDEX(SubsidieTabel!$AD$1:$AG$12,MATCH($F1450,SubsidieTabel!$AD$1:$AD$12,0),IFERROR(MATCH(Methode_Keuze,SubsidieTabel!$AD$1:$AG$1,0),2))&lt;&gt;1=TRUE,"ja",""),"")</f>
        <v/>
      </c>
    </row>
    <row r="1451" spans="1:31" x14ac:dyDescent="0.25">
      <c r="A1451" s="316"/>
      <c r="B1451" s="317" t="str">
        <f>IF(A1451&lt;&gt;"",_xlfn.MAXIFS($B$1:B1450,$A$1:A1450,A1451)+1,"")</f>
        <v/>
      </c>
      <c r="C1451" s="296"/>
      <c r="D1451" s="296"/>
      <c r="E1451" s="296"/>
      <c r="F1451" s="296"/>
      <c r="G1451" s="326"/>
      <c r="H1451" s="324"/>
      <c r="I1451" s="325"/>
      <c r="J1451" s="325"/>
      <c r="K1451" s="318"/>
      <c r="L1451" s="318"/>
      <c r="M1451" s="319" t="str">
        <f>IFERROR(VLOOKUP(H1451,Lijsten!$H$1:$I$100,2,0),"")</f>
        <v/>
      </c>
      <c r="N1451" s="319" t="str">
        <f ca="1">IFERROR(IF(VLOOKUP(F1451,Kostentypen!$A$3:$E$21,3,0)=0,"",IF(OR(F1451="Arbeidskosten",F1451="Vergoeding"),VLOOKUP(G1451,Tb_KostenTypen[],2,0),VLOOKUP(F1451,Kostentypen!$A$3:$E$20,3,0))),"")</f>
        <v/>
      </c>
      <c r="O1451" s="320" t="str" cm="1">
        <f t="array" ref="O1451">_xlfn.IFNA(IF(INDEX(Tb_KostenOptiesDB[],MATCH($F1451,Tb_KostenOptiesDB[KostenOptie],0),IFERROR(MATCH(Methode_Keuze,Tb_KostenOptiesDB[#Headers],0),2))=1,_xlfn.SWITCH($N1451,"Uurtarief",IF(OR(AND(RIGHT($F1451,3)="IKS",VLOOKUP($M1451,DB_Loonkosten,2,0)="Ja"),AND(RIGHT($F1451,3)&lt;&gt;"IKS",VLOOKUP($M1451,DB_Loonkosten,2,0)="Nee")),IFERROR(VLOOKUP($M1451,DB_Loonkosten,24,0),""),0),"Vast tarief",IF(LEFT(F1451,8)="Bijdrage",VLOOKUP($F1451,Tb_KostenTypen[],MATCH(Lijsten!$P$1,Tb_KostenTypen[#Headers],0),0),VLOOKUP($G1451,Lijsten!L:P,MATCH(Lijsten!$P$1,Kop_Tarief_Vast,0),0))),""),"")</f>
        <v/>
      </c>
      <c r="P1451" s="320" t="str" cm="1">
        <f t="array" ref="P1451">_xlfn.IFNA(IF(INDEX(Tb_KostenOptiesDB[],MATCH($F1451,Tb_KostenOptiesDB[KostenOptie],0),IFERROR(MATCH(Methode_Keuze,Tb_KostenOptiesDB[#Headers],0),2))=1,_xlfn.SWITCH($N1451,"Uurtarief",IF(OR(AND(RIGHT($F1451,3)="IKS",VLOOKUP($M1451,DB_Loonkosten,2,0)="Ja"),AND(RIGHT($F1451,3)&lt;&gt;"IKS",VLOOKUP($M1451,DB_Loonkosten,2,0)="Nee")),IFERROR(VLOOKUP($M1451,DB_Loonkosten,25,0),""),0),"Vast tarief",IF(LEFT(F1451,8)="Bijdrage",VLOOKUP($F1451,Tb_KostenTypen[],MATCH(Lijsten!$P$1,Tb_KostenTypen[#Headers],0),0),VLOOKUP($G1451,Lijsten!L:P,MATCH(Lijsten!$P$1,Kop_Tarief_Vast,0),0))),""),"")</f>
        <v/>
      </c>
      <c r="Q1451" s="359"/>
      <c r="R1451" s="359"/>
      <c r="S1451" s="321"/>
      <c r="T1451" s="321"/>
      <c r="U1451" s="373" t="str">
        <f t="shared" si="88"/>
        <v/>
      </c>
      <c r="V1451" s="314" t="str">
        <f t="shared" si="89"/>
        <v/>
      </c>
      <c r="W1451" s="314" t="str" cm="1">
        <f t="array" aca="1" ref="W1451" ca="1">IFERROR(IF(AE1451&lt;&gt;"ja",_xlfn.IFNA(_xlfn.IFS(AND(O1451&lt;&gt;"",F1451&lt;&gt;"",RIGHT($N1451,6)="tarief",F1451="Vergoeding"),SUM(O1451)*FLOOR(SUM(Q1451),0.0001),AND(O1451&lt;&gt;"",F1451&lt;&gt;"",RIGHT($N1451,6)="tarief"),SUM(O1451)*FLOOR(SUM(Q1451),0.01),S1451&gt;0,IF(F1451&lt;&gt;"",FLOOR(SUM(S1451),0.01),"")),""),""),"")</f>
        <v/>
      </c>
      <c r="X1451" s="314" t="str" cm="1">
        <f t="array" aca="1" ref="X1451" ca="1">IFERROR(IF(AE1451&lt;&gt;"ja",_xlfn.IFNA(_xlfn.IFS(AND(P1451&lt;&gt;"",R1451&lt;&gt;"",RIGHT($N1451,6)="tarief",F1451="Vergoeding"),SUM(P1451)*FLOOR(SUM(R1451),0.0001),AND(P1451&lt;&gt;"",R1451&lt;&gt;"",RIGHT($N1451,6)="tarief"),P1451*FLOOR(R1451,0.01),T1451&gt;0,FLOOR(SUM(T1451),0.01)),""),""),"")</f>
        <v/>
      </c>
      <c r="Y1451" s="314" t="str">
        <f t="shared" ca="1" si="90"/>
        <v/>
      </c>
      <c r="Z1451" s="314" t="str" cm="1">
        <f t="array" aca="1" ref="Z1451" ca="1">IFERROR(_xlfn.IFS(OR(F1451="",LEFT(Methode_Keuze,4)="Geen",Methode_Keuze=""),"",AND(W1451&lt;&gt;"",F1451&lt;&gt;"Arbeidskosten"),W1451*VLOOKUP(F1451,Tb_ProjectKosten[],MATCH(Tb_ProjectKosten[[#Headers],[Forfait_Percentage]],Tb_ProjectKosten[#Headers],0),0),AND(F1451="Arbeidskosten",G1451&lt;&gt;""),IFERROR(W1451*VLOOKUP(G1451,Tb_KostenTypen[],3,0)*VLOOKUP(F1451,Tb_ProjectKosten[],MATCH(Tb_ProjectKosten[[#Headers],[Forfait_Percentage]],Tb_ProjectKosten[#Headers],0),0),""),W1451 &lt;=0,0),"")</f>
        <v/>
      </c>
      <c r="AA1451" s="314" t="str" cm="1">
        <f t="array" aca="1" ref="AA1451" ca="1">IFERROR(_xlfn.IFS(OR(F1451="",LEFT(Methode_Keuze,4)="Geen",Methode_Keuze=""),"",AND(X1451&lt;&gt;"",F1451&lt;&gt;"Arbeidskosten"),X1451*VLOOKUP(F1451,Tb_ProjectKosten[],MATCH(Tb_ProjectKosten[[#Headers],[Forfait_Percentage]],Tb_ProjectKosten[#Headers],0),0),AND(F1451="Arbeidskosten",G1451&lt;&gt;""),IFERROR(X1451*VLOOKUP(G1451,Tb_KostenTypen[],3,0)*VLOOKUP(F1451,Tb_ProjectKosten[],MATCH(Tb_ProjectKosten[[#Headers],[Forfait_Percentage]],Tb_ProjectKosten[#Headers],0),0),""),X1451 &lt;=0,0),"")</f>
        <v/>
      </c>
      <c r="AB1451" s="314" t="str">
        <f t="shared" ca="1" si="91"/>
        <v/>
      </c>
      <c r="AC1451" s="322"/>
      <c r="AD1451" s="315"/>
      <c r="AE1451" s="32" t="str" cm="1">
        <f t="array" ref="AE1451">IFERROR(IF(INDEX(SubsidieTabel!$AD$1:$AG$12,MATCH($F1451,SubsidieTabel!$AD$1:$AD$12,0),IFERROR(MATCH(Methode_Keuze,SubsidieTabel!$AD$1:$AG$1,0),2))&lt;&gt;1=TRUE,"ja",""),"")</f>
        <v/>
      </c>
    </row>
    <row r="1452" spans="1:31" x14ac:dyDescent="0.25">
      <c r="A1452" s="316"/>
      <c r="B1452" s="317" t="str">
        <f>IF(A1452&lt;&gt;"",_xlfn.MAXIFS($B$1:B1451,$A$1:A1451,A1452)+1,"")</f>
        <v/>
      </c>
      <c r="C1452" s="296"/>
      <c r="D1452" s="296"/>
      <c r="E1452" s="296"/>
      <c r="F1452" s="296"/>
      <c r="G1452" s="326"/>
      <c r="H1452" s="324"/>
      <c r="I1452" s="325"/>
      <c r="J1452" s="325"/>
      <c r="K1452" s="318"/>
      <c r="L1452" s="318"/>
      <c r="M1452" s="319" t="str">
        <f>IFERROR(VLOOKUP(H1452,Lijsten!$H$1:$I$100,2,0),"")</f>
        <v/>
      </c>
      <c r="N1452" s="319" t="str">
        <f ca="1">IFERROR(IF(VLOOKUP(F1452,Kostentypen!$A$3:$E$21,3,0)=0,"",IF(OR(F1452="Arbeidskosten",F1452="Vergoeding"),VLOOKUP(G1452,Tb_KostenTypen[],2,0),VLOOKUP(F1452,Kostentypen!$A$3:$E$20,3,0))),"")</f>
        <v/>
      </c>
      <c r="O1452" s="320" t="str" cm="1">
        <f t="array" ref="O1452">_xlfn.IFNA(IF(INDEX(Tb_KostenOptiesDB[],MATCH($F1452,Tb_KostenOptiesDB[KostenOptie],0),IFERROR(MATCH(Methode_Keuze,Tb_KostenOptiesDB[#Headers],0),2))=1,_xlfn.SWITCH($N1452,"Uurtarief",IF(OR(AND(RIGHT($F1452,3)="IKS",VLOOKUP($M1452,DB_Loonkosten,2,0)="Ja"),AND(RIGHT($F1452,3)&lt;&gt;"IKS",VLOOKUP($M1452,DB_Loonkosten,2,0)="Nee")),IFERROR(VLOOKUP($M1452,DB_Loonkosten,24,0),""),0),"Vast tarief",IF(LEFT(F1452,8)="Bijdrage",VLOOKUP($F1452,Tb_KostenTypen[],MATCH(Lijsten!$P$1,Tb_KostenTypen[#Headers],0),0),VLOOKUP($G1452,Lijsten!L:P,MATCH(Lijsten!$P$1,Kop_Tarief_Vast,0),0))),""),"")</f>
        <v/>
      </c>
      <c r="P1452" s="320" t="str" cm="1">
        <f t="array" ref="P1452">_xlfn.IFNA(IF(INDEX(Tb_KostenOptiesDB[],MATCH($F1452,Tb_KostenOptiesDB[KostenOptie],0),IFERROR(MATCH(Methode_Keuze,Tb_KostenOptiesDB[#Headers],0),2))=1,_xlfn.SWITCH($N1452,"Uurtarief",IF(OR(AND(RIGHT($F1452,3)="IKS",VLOOKUP($M1452,DB_Loonkosten,2,0)="Ja"),AND(RIGHT($F1452,3)&lt;&gt;"IKS",VLOOKUP($M1452,DB_Loonkosten,2,0)="Nee")),IFERROR(VLOOKUP($M1452,DB_Loonkosten,25,0),""),0),"Vast tarief",IF(LEFT(F1452,8)="Bijdrage",VLOOKUP($F1452,Tb_KostenTypen[],MATCH(Lijsten!$P$1,Tb_KostenTypen[#Headers],0),0),VLOOKUP($G1452,Lijsten!L:P,MATCH(Lijsten!$P$1,Kop_Tarief_Vast,0),0))),""),"")</f>
        <v/>
      </c>
      <c r="Q1452" s="359"/>
      <c r="R1452" s="359"/>
      <c r="S1452" s="321"/>
      <c r="T1452" s="321"/>
      <c r="U1452" s="373" t="str">
        <f t="shared" si="88"/>
        <v/>
      </c>
      <c r="V1452" s="314" t="str">
        <f t="shared" si="89"/>
        <v/>
      </c>
      <c r="W1452" s="314" t="str" cm="1">
        <f t="array" aca="1" ref="W1452" ca="1">IFERROR(IF(AE1452&lt;&gt;"ja",_xlfn.IFNA(_xlfn.IFS(AND(O1452&lt;&gt;"",F1452&lt;&gt;"",RIGHT($N1452,6)="tarief",F1452="Vergoeding"),SUM(O1452)*FLOOR(SUM(Q1452),0.0001),AND(O1452&lt;&gt;"",F1452&lt;&gt;"",RIGHT($N1452,6)="tarief"),SUM(O1452)*FLOOR(SUM(Q1452),0.01),S1452&gt;0,IF(F1452&lt;&gt;"",FLOOR(SUM(S1452),0.01),"")),""),""),"")</f>
        <v/>
      </c>
      <c r="X1452" s="314" t="str" cm="1">
        <f t="array" aca="1" ref="X1452" ca="1">IFERROR(IF(AE1452&lt;&gt;"ja",_xlfn.IFNA(_xlfn.IFS(AND(P1452&lt;&gt;"",R1452&lt;&gt;"",RIGHT($N1452,6)="tarief",F1452="Vergoeding"),SUM(P1452)*FLOOR(SUM(R1452),0.0001),AND(P1452&lt;&gt;"",R1452&lt;&gt;"",RIGHT($N1452,6)="tarief"),P1452*FLOOR(R1452,0.01),T1452&gt;0,FLOOR(SUM(T1452),0.01)),""),""),"")</f>
        <v/>
      </c>
      <c r="Y1452" s="314" t="str">
        <f t="shared" ca="1" si="90"/>
        <v/>
      </c>
      <c r="Z1452" s="314" t="str" cm="1">
        <f t="array" aca="1" ref="Z1452" ca="1">IFERROR(_xlfn.IFS(OR(F1452="",LEFT(Methode_Keuze,4)="Geen",Methode_Keuze=""),"",AND(W1452&lt;&gt;"",F1452&lt;&gt;"Arbeidskosten"),W1452*VLOOKUP(F1452,Tb_ProjectKosten[],MATCH(Tb_ProjectKosten[[#Headers],[Forfait_Percentage]],Tb_ProjectKosten[#Headers],0),0),AND(F1452="Arbeidskosten",G1452&lt;&gt;""),IFERROR(W1452*VLOOKUP(G1452,Tb_KostenTypen[],3,0)*VLOOKUP(F1452,Tb_ProjectKosten[],MATCH(Tb_ProjectKosten[[#Headers],[Forfait_Percentage]],Tb_ProjectKosten[#Headers],0),0),""),W1452 &lt;=0,0),"")</f>
        <v/>
      </c>
      <c r="AA1452" s="314" t="str" cm="1">
        <f t="array" aca="1" ref="AA1452" ca="1">IFERROR(_xlfn.IFS(OR(F1452="",LEFT(Methode_Keuze,4)="Geen",Methode_Keuze=""),"",AND(X1452&lt;&gt;"",F1452&lt;&gt;"Arbeidskosten"),X1452*VLOOKUP(F1452,Tb_ProjectKosten[],MATCH(Tb_ProjectKosten[[#Headers],[Forfait_Percentage]],Tb_ProjectKosten[#Headers],0),0),AND(F1452="Arbeidskosten",G1452&lt;&gt;""),IFERROR(X1452*VLOOKUP(G1452,Tb_KostenTypen[],3,0)*VLOOKUP(F1452,Tb_ProjectKosten[],MATCH(Tb_ProjectKosten[[#Headers],[Forfait_Percentage]],Tb_ProjectKosten[#Headers],0),0),""),X1452 &lt;=0,0),"")</f>
        <v/>
      </c>
      <c r="AB1452" s="314" t="str">
        <f t="shared" ca="1" si="91"/>
        <v/>
      </c>
      <c r="AC1452" s="322"/>
      <c r="AD1452" s="315"/>
      <c r="AE1452" s="32" t="str" cm="1">
        <f t="array" ref="AE1452">IFERROR(IF(INDEX(SubsidieTabel!$AD$1:$AG$12,MATCH($F1452,SubsidieTabel!$AD$1:$AD$12,0),IFERROR(MATCH(Methode_Keuze,SubsidieTabel!$AD$1:$AG$1,0),2))&lt;&gt;1=TRUE,"ja",""),"")</f>
        <v/>
      </c>
    </row>
    <row r="1453" spans="1:31" x14ac:dyDescent="0.25">
      <c r="A1453" s="316"/>
      <c r="B1453" s="317" t="str">
        <f>IF(A1453&lt;&gt;"",_xlfn.MAXIFS($B$1:B1452,$A$1:A1452,A1453)+1,"")</f>
        <v/>
      </c>
      <c r="C1453" s="296"/>
      <c r="D1453" s="296"/>
      <c r="E1453" s="296"/>
      <c r="F1453" s="296"/>
      <c r="G1453" s="326"/>
      <c r="H1453" s="324"/>
      <c r="I1453" s="325"/>
      <c r="J1453" s="325"/>
      <c r="K1453" s="318"/>
      <c r="L1453" s="318"/>
      <c r="M1453" s="319" t="str">
        <f>IFERROR(VLOOKUP(H1453,Lijsten!$H$1:$I$100,2,0),"")</f>
        <v/>
      </c>
      <c r="N1453" s="319" t="str">
        <f ca="1">IFERROR(IF(VLOOKUP(F1453,Kostentypen!$A$3:$E$21,3,0)=0,"",IF(OR(F1453="Arbeidskosten",F1453="Vergoeding"),VLOOKUP(G1453,Tb_KostenTypen[],2,0),VLOOKUP(F1453,Kostentypen!$A$3:$E$20,3,0))),"")</f>
        <v/>
      </c>
      <c r="O1453" s="320" t="str" cm="1">
        <f t="array" ref="O1453">_xlfn.IFNA(IF(INDEX(Tb_KostenOptiesDB[],MATCH($F1453,Tb_KostenOptiesDB[KostenOptie],0),IFERROR(MATCH(Methode_Keuze,Tb_KostenOptiesDB[#Headers],0),2))=1,_xlfn.SWITCH($N1453,"Uurtarief",IF(OR(AND(RIGHT($F1453,3)="IKS",VLOOKUP($M1453,DB_Loonkosten,2,0)="Ja"),AND(RIGHT($F1453,3)&lt;&gt;"IKS",VLOOKUP($M1453,DB_Loonkosten,2,0)="Nee")),IFERROR(VLOOKUP($M1453,DB_Loonkosten,24,0),""),0),"Vast tarief",IF(LEFT(F1453,8)="Bijdrage",VLOOKUP($F1453,Tb_KostenTypen[],MATCH(Lijsten!$P$1,Tb_KostenTypen[#Headers],0),0),VLOOKUP($G1453,Lijsten!L:P,MATCH(Lijsten!$P$1,Kop_Tarief_Vast,0),0))),""),"")</f>
        <v/>
      </c>
      <c r="P1453" s="320" t="str" cm="1">
        <f t="array" ref="P1453">_xlfn.IFNA(IF(INDEX(Tb_KostenOptiesDB[],MATCH($F1453,Tb_KostenOptiesDB[KostenOptie],0),IFERROR(MATCH(Methode_Keuze,Tb_KostenOptiesDB[#Headers],0),2))=1,_xlfn.SWITCH($N1453,"Uurtarief",IF(OR(AND(RIGHT($F1453,3)="IKS",VLOOKUP($M1453,DB_Loonkosten,2,0)="Ja"),AND(RIGHT($F1453,3)&lt;&gt;"IKS",VLOOKUP($M1453,DB_Loonkosten,2,0)="Nee")),IFERROR(VLOOKUP($M1453,DB_Loonkosten,25,0),""),0),"Vast tarief",IF(LEFT(F1453,8)="Bijdrage",VLOOKUP($F1453,Tb_KostenTypen[],MATCH(Lijsten!$P$1,Tb_KostenTypen[#Headers],0),0),VLOOKUP($G1453,Lijsten!L:P,MATCH(Lijsten!$P$1,Kop_Tarief_Vast,0),0))),""),"")</f>
        <v/>
      </c>
      <c r="Q1453" s="359"/>
      <c r="R1453" s="359"/>
      <c r="S1453" s="321"/>
      <c r="T1453" s="321"/>
      <c r="U1453" s="373" t="str">
        <f t="shared" si="88"/>
        <v/>
      </c>
      <c r="V1453" s="314" t="str">
        <f t="shared" si="89"/>
        <v/>
      </c>
      <c r="W1453" s="314" t="str" cm="1">
        <f t="array" aca="1" ref="W1453" ca="1">IFERROR(IF(AE1453&lt;&gt;"ja",_xlfn.IFNA(_xlfn.IFS(AND(O1453&lt;&gt;"",F1453&lt;&gt;"",RIGHT($N1453,6)="tarief",F1453="Vergoeding"),SUM(O1453)*FLOOR(SUM(Q1453),0.0001),AND(O1453&lt;&gt;"",F1453&lt;&gt;"",RIGHT($N1453,6)="tarief"),SUM(O1453)*FLOOR(SUM(Q1453),0.01),S1453&gt;0,IF(F1453&lt;&gt;"",FLOOR(SUM(S1453),0.01),"")),""),""),"")</f>
        <v/>
      </c>
      <c r="X1453" s="314" t="str" cm="1">
        <f t="array" aca="1" ref="X1453" ca="1">IFERROR(IF(AE1453&lt;&gt;"ja",_xlfn.IFNA(_xlfn.IFS(AND(P1453&lt;&gt;"",R1453&lt;&gt;"",RIGHT($N1453,6)="tarief",F1453="Vergoeding"),SUM(P1453)*FLOOR(SUM(R1453),0.0001),AND(P1453&lt;&gt;"",R1453&lt;&gt;"",RIGHT($N1453,6)="tarief"),P1453*FLOOR(R1453,0.01),T1453&gt;0,FLOOR(SUM(T1453),0.01)),""),""),"")</f>
        <v/>
      </c>
      <c r="Y1453" s="314" t="str">
        <f t="shared" ca="1" si="90"/>
        <v/>
      </c>
      <c r="Z1453" s="314" t="str" cm="1">
        <f t="array" aca="1" ref="Z1453" ca="1">IFERROR(_xlfn.IFS(OR(F1453="",LEFT(Methode_Keuze,4)="Geen",Methode_Keuze=""),"",AND(W1453&lt;&gt;"",F1453&lt;&gt;"Arbeidskosten"),W1453*VLOOKUP(F1453,Tb_ProjectKosten[],MATCH(Tb_ProjectKosten[[#Headers],[Forfait_Percentage]],Tb_ProjectKosten[#Headers],0),0),AND(F1453="Arbeidskosten",G1453&lt;&gt;""),IFERROR(W1453*VLOOKUP(G1453,Tb_KostenTypen[],3,0)*VLOOKUP(F1453,Tb_ProjectKosten[],MATCH(Tb_ProjectKosten[[#Headers],[Forfait_Percentage]],Tb_ProjectKosten[#Headers],0),0),""),W1453 &lt;=0,0),"")</f>
        <v/>
      </c>
      <c r="AA1453" s="314" t="str" cm="1">
        <f t="array" aca="1" ref="AA1453" ca="1">IFERROR(_xlfn.IFS(OR(F1453="",LEFT(Methode_Keuze,4)="Geen",Methode_Keuze=""),"",AND(X1453&lt;&gt;"",F1453&lt;&gt;"Arbeidskosten"),X1453*VLOOKUP(F1453,Tb_ProjectKosten[],MATCH(Tb_ProjectKosten[[#Headers],[Forfait_Percentage]],Tb_ProjectKosten[#Headers],0),0),AND(F1453="Arbeidskosten",G1453&lt;&gt;""),IFERROR(X1453*VLOOKUP(G1453,Tb_KostenTypen[],3,0)*VLOOKUP(F1453,Tb_ProjectKosten[],MATCH(Tb_ProjectKosten[[#Headers],[Forfait_Percentage]],Tb_ProjectKosten[#Headers],0),0),""),X1453 &lt;=0,0),"")</f>
        <v/>
      </c>
      <c r="AB1453" s="314" t="str">
        <f t="shared" ca="1" si="91"/>
        <v/>
      </c>
      <c r="AC1453" s="322"/>
      <c r="AD1453" s="315"/>
      <c r="AE1453" s="32" t="str" cm="1">
        <f t="array" ref="AE1453">IFERROR(IF(INDEX(SubsidieTabel!$AD$1:$AG$12,MATCH($F1453,SubsidieTabel!$AD$1:$AD$12,0),IFERROR(MATCH(Methode_Keuze,SubsidieTabel!$AD$1:$AG$1,0),2))&lt;&gt;1=TRUE,"ja",""),"")</f>
        <v/>
      </c>
    </row>
    <row r="1454" spans="1:31" x14ac:dyDescent="0.25">
      <c r="A1454" s="316"/>
      <c r="B1454" s="317" t="str">
        <f>IF(A1454&lt;&gt;"",_xlfn.MAXIFS($B$1:B1453,$A$1:A1453,A1454)+1,"")</f>
        <v/>
      </c>
      <c r="C1454" s="296"/>
      <c r="D1454" s="296"/>
      <c r="E1454" s="296"/>
      <c r="F1454" s="296"/>
      <c r="G1454" s="326"/>
      <c r="H1454" s="324"/>
      <c r="I1454" s="325"/>
      <c r="J1454" s="325"/>
      <c r="K1454" s="318"/>
      <c r="L1454" s="318"/>
      <c r="M1454" s="319" t="str">
        <f>IFERROR(VLOOKUP(H1454,Lijsten!$H$1:$I$100,2,0),"")</f>
        <v/>
      </c>
      <c r="N1454" s="319" t="str">
        <f ca="1">IFERROR(IF(VLOOKUP(F1454,Kostentypen!$A$3:$E$21,3,0)=0,"",IF(OR(F1454="Arbeidskosten",F1454="Vergoeding"),VLOOKUP(G1454,Tb_KostenTypen[],2,0),VLOOKUP(F1454,Kostentypen!$A$3:$E$20,3,0))),"")</f>
        <v/>
      </c>
      <c r="O1454" s="320" t="str" cm="1">
        <f t="array" ref="O1454">_xlfn.IFNA(IF(INDEX(Tb_KostenOptiesDB[],MATCH($F1454,Tb_KostenOptiesDB[KostenOptie],0),IFERROR(MATCH(Methode_Keuze,Tb_KostenOptiesDB[#Headers],0),2))=1,_xlfn.SWITCH($N1454,"Uurtarief",IF(OR(AND(RIGHT($F1454,3)="IKS",VLOOKUP($M1454,DB_Loonkosten,2,0)="Ja"),AND(RIGHT($F1454,3)&lt;&gt;"IKS",VLOOKUP($M1454,DB_Loonkosten,2,0)="Nee")),IFERROR(VLOOKUP($M1454,DB_Loonkosten,24,0),""),0),"Vast tarief",IF(LEFT(F1454,8)="Bijdrage",VLOOKUP($F1454,Tb_KostenTypen[],MATCH(Lijsten!$P$1,Tb_KostenTypen[#Headers],0),0),VLOOKUP($G1454,Lijsten!L:P,MATCH(Lijsten!$P$1,Kop_Tarief_Vast,0),0))),""),"")</f>
        <v/>
      </c>
      <c r="P1454" s="320" t="str" cm="1">
        <f t="array" ref="P1454">_xlfn.IFNA(IF(INDEX(Tb_KostenOptiesDB[],MATCH($F1454,Tb_KostenOptiesDB[KostenOptie],0),IFERROR(MATCH(Methode_Keuze,Tb_KostenOptiesDB[#Headers],0),2))=1,_xlfn.SWITCH($N1454,"Uurtarief",IF(OR(AND(RIGHT($F1454,3)="IKS",VLOOKUP($M1454,DB_Loonkosten,2,0)="Ja"),AND(RIGHT($F1454,3)&lt;&gt;"IKS",VLOOKUP($M1454,DB_Loonkosten,2,0)="Nee")),IFERROR(VLOOKUP($M1454,DB_Loonkosten,25,0),""),0),"Vast tarief",IF(LEFT(F1454,8)="Bijdrage",VLOOKUP($F1454,Tb_KostenTypen[],MATCH(Lijsten!$P$1,Tb_KostenTypen[#Headers],0),0),VLOOKUP($G1454,Lijsten!L:P,MATCH(Lijsten!$P$1,Kop_Tarief_Vast,0),0))),""),"")</f>
        <v/>
      </c>
      <c r="Q1454" s="359"/>
      <c r="R1454" s="359"/>
      <c r="S1454" s="321"/>
      <c r="T1454" s="321"/>
      <c r="U1454" s="373" t="str">
        <f t="shared" si="88"/>
        <v/>
      </c>
      <c r="V1454" s="314" t="str">
        <f t="shared" si="89"/>
        <v/>
      </c>
      <c r="W1454" s="314" t="str" cm="1">
        <f t="array" aca="1" ref="W1454" ca="1">IFERROR(IF(AE1454&lt;&gt;"ja",_xlfn.IFNA(_xlfn.IFS(AND(O1454&lt;&gt;"",F1454&lt;&gt;"",RIGHT($N1454,6)="tarief",F1454="Vergoeding"),SUM(O1454)*FLOOR(SUM(Q1454),0.0001),AND(O1454&lt;&gt;"",F1454&lt;&gt;"",RIGHT($N1454,6)="tarief"),SUM(O1454)*FLOOR(SUM(Q1454),0.01),S1454&gt;0,IF(F1454&lt;&gt;"",FLOOR(SUM(S1454),0.01),"")),""),""),"")</f>
        <v/>
      </c>
      <c r="X1454" s="314" t="str" cm="1">
        <f t="array" aca="1" ref="X1454" ca="1">IFERROR(IF(AE1454&lt;&gt;"ja",_xlfn.IFNA(_xlfn.IFS(AND(P1454&lt;&gt;"",R1454&lt;&gt;"",RIGHT($N1454,6)="tarief",F1454="Vergoeding"),SUM(P1454)*FLOOR(SUM(R1454),0.0001),AND(P1454&lt;&gt;"",R1454&lt;&gt;"",RIGHT($N1454,6)="tarief"),P1454*FLOOR(R1454,0.01),T1454&gt;0,FLOOR(SUM(T1454),0.01)),""),""),"")</f>
        <v/>
      </c>
      <c r="Y1454" s="314" t="str">
        <f t="shared" ca="1" si="90"/>
        <v/>
      </c>
      <c r="Z1454" s="314" t="str" cm="1">
        <f t="array" aca="1" ref="Z1454" ca="1">IFERROR(_xlfn.IFS(OR(F1454="",LEFT(Methode_Keuze,4)="Geen",Methode_Keuze=""),"",AND(W1454&lt;&gt;"",F1454&lt;&gt;"Arbeidskosten"),W1454*VLOOKUP(F1454,Tb_ProjectKosten[],MATCH(Tb_ProjectKosten[[#Headers],[Forfait_Percentage]],Tb_ProjectKosten[#Headers],0),0),AND(F1454="Arbeidskosten",G1454&lt;&gt;""),IFERROR(W1454*VLOOKUP(G1454,Tb_KostenTypen[],3,0)*VLOOKUP(F1454,Tb_ProjectKosten[],MATCH(Tb_ProjectKosten[[#Headers],[Forfait_Percentage]],Tb_ProjectKosten[#Headers],0),0),""),W1454 &lt;=0,0),"")</f>
        <v/>
      </c>
      <c r="AA1454" s="314" t="str" cm="1">
        <f t="array" aca="1" ref="AA1454" ca="1">IFERROR(_xlfn.IFS(OR(F1454="",LEFT(Methode_Keuze,4)="Geen",Methode_Keuze=""),"",AND(X1454&lt;&gt;"",F1454&lt;&gt;"Arbeidskosten"),X1454*VLOOKUP(F1454,Tb_ProjectKosten[],MATCH(Tb_ProjectKosten[[#Headers],[Forfait_Percentage]],Tb_ProjectKosten[#Headers],0),0),AND(F1454="Arbeidskosten",G1454&lt;&gt;""),IFERROR(X1454*VLOOKUP(G1454,Tb_KostenTypen[],3,0)*VLOOKUP(F1454,Tb_ProjectKosten[],MATCH(Tb_ProjectKosten[[#Headers],[Forfait_Percentage]],Tb_ProjectKosten[#Headers],0),0),""),X1454 &lt;=0,0),"")</f>
        <v/>
      </c>
      <c r="AB1454" s="314" t="str">
        <f t="shared" ca="1" si="91"/>
        <v/>
      </c>
      <c r="AC1454" s="322"/>
      <c r="AD1454" s="315"/>
      <c r="AE1454" s="32" t="str" cm="1">
        <f t="array" ref="AE1454">IFERROR(IF(INDEX(SubsidieTabel!$AD$1:$AG$12,MATCH($F1454,SubsidieTabel!$AD$1:$AD$12,0),IFERROR(MATCH(Methode_Keuze,SubsidieTabel!$AD$1:$AG$1,0),2))&lt;&gt;1=TRUE,"ja",""),"")</f>
        <v/>
      </c>
    </row>
    <row r="1455" spans="1:31" x14ac:dyDescent="0.25">
      <c r="A1455" s="316"/>
      <c r="B1455" s="317" t="str">
        <f>IF(A1455&lt;&gt;"",_xlfn.MAXIFS($B$1:B1454,$A$1:A1454,A1455)+1,"")</f>
        <v/>
      </c>
      <c r="C1455" s="296"/>
      <c r="D1455" s="296"/>
      <c r="E1455" s="296"/>
      <c r="F1455" s="296"/>
      <c r="G1455" s="326"/>
      <c r="H1455" s="324"/>
      <c r="I1455" s="325"/>
      <c r="J1455" s="325"/>
      <c r="K1455" s="318"/>
      <c r="L1455" s="318"/>
      <c r="M1455" s="319" t="str">
        <f>IFERROR(VLOOKUP(H1455,Lijsten!$H$1:$I$100,2,0),"")</f>
        <v/>
      </c>
      <c r="N1455" s="319" t="str">
        <f ca="1">IFERROR(IF(VLOOKUP(F1455,Kostentypen!$A$3:$E$21,3,0)=0,"",IF(OR(F1455="Arbeidskosten",F1455="Vergoeding"),VLOOKUP(G1455,Tb_KostenTypen[],2,0),VLOOKUP(F1455,Kostentypen!$A$3:$E$20,3,0))),"")</f>
        <v/>
      </c>
      <c r="O1455" s="320" t="str" cm="1">
        <f t="array" ref="O1455">_xlfn.IFNA(IF(INDEX(Tb_KostenOptiesDB[],MATCH($F1455,Tb_KostenOptiesDB[KostenOptie],0),IFERROR(MATCH(Methode_Keuze,Tb_KostenOptiesDB[#Headers],0),2))=1,_xlfn.SWITCH($N1455,"Uurtarief",IF(OR(AND(RIGHT($F1455,3)="IKS",VLOOKUP($M1455,DB_Loonkosten,2,0)="Ja"),AND(RIGHT($F1455,3)&lt;&gt;"IKS",VLOOKUP($M1455,DB_Loonkosten,2,0)="Nee")),IFERROR(VLOOKUP($M1455,DB_Loonkosten,24,0),""),0),"Vast tarief",IF(LEFT(F1455,8)="Bijdrage",VLOOKUP($F1455,Tb_KostenTypen[],MATCH(Lijsten!$P$1,Tb_KostenTypen[#Headers],0),0),VLOOKUP($G1455,Lijsten!L:P,MATCH(Lijsten!$P$1,Kop_Tarief_Vast,0),0))),""),"")</f>
        <v/>
      </c>
      <c r="P1455" s="320" t="str" cm="1">
        <f t="array" ref="P1455">_xlfn.IFNA(IF(INDEX(Tb_KostenOptiesDB[],MATCH($F1455,Tb_KostenOptiesDB[KostenOptie],0),IFERROR(MATCH(Methode_Keuze,Tb_KostenOptiesDB[#Headers],0),2))=1,_xlfn.SWITCH($N1455,"Uurtarief",IF(OR(AND(RIGHT($F1455,3)="IKS",VLOOKUP($M1455,DB_Loonkosten,2,0)="Ja"),AND(RIGHT($F1455,3)&lt;&gt;"IKS",VLOOKUP($M1455,DB_Loonkosten,2,0)="Nee")),IFERROR(VLOOKUP($M1455,DB_Loonkosten,25,0),""),0),"Vast tarief",IF(LEFT(F1455,8)="Bijdrage",VLOOKUP($F1455,Tb_KostenTypen[],MATCH(Lijsten!$P$1,Tb_KostenTypen[#Headers],0),0),VLOOKUP($G1455,Lijsten!L:P,MATCH(Lijsten!$P$1,Kop_Tarief_Vast,0),0))),""),"")</f>
        <v/>
      </c>
      <c r="Q1455" s="359"/>
      <c r="R1455" s="359"/>
      <c r="S1455" s="321"/>
      <c r="T1455" s="321"/>
      <c r="U1455" s="373" t="str">
        <f t="shared" si="88"/>
        <v/>
      </c>
      <c r="V1455" s="314" t="str">
        <f t="shared" si="89"/>
        <v/>
      </c>
      <c r="W1455" s="314" t="str" cm="1">
        <f t="array" aca="1" ref="W1455" ca="1">IFERROR(IF(AE1455&lt;&gt;"ja",_xlfn.IFNA(_xlfn.IFS(AND(O1455&lt;&gt;"",F1455&lt;&gt;"",RIGHT($N1455,6)="tarief",F1455="Vergoeding"),SUM(O1455)*FLOOR(SUM(Q1455),0.0001),AND(O1455&lt;&gt;"",F1455&lt;&gt;"",RIGHT($N1455,6)="tarief"),SUM(O1455)*FLOOR(SUM(Q1455),0.01),S1455&gt;0,IF(F1455&lt;&gt;"",FLOOR(SUM(S1455),0.01),"")),""),""),"")</f>
        <v/>
      </c>
      <c r="X1455" s="314" t="str" cm="1">
        <f t="array" aca="1" ref="X1455" ca="1">IFERROR(IF(AE1455&lt;&gt;"ja",_xlfn.IFNA(_xlfn.IFS(AND(P1455&lt;&gt;"",R1455&lt;&gt;"",RIGHT($N1455,6)="tarief",F1455="Vergoeding"),SUM(P1455)*FLOOR(SUM(R1455),0.0001),AND(P1455&lt;&gt;"",R1455&lt;&gt;"",RIGHT($N1455,6)="tarief"),P1455*FLOOR(R1455,0.01),T1455&gt;0,FLOOR(SUM(T1455),0.01)),""),""),"")</f>
        <v/>
      </c>
      <c r="Y1455" s="314" t="str">
        <f t="shared" ca="1" si="90"/>
        <v/>
      </c>
      <c r="Z1455" s="314" t="str" cm="1">
        <f t="array" aca="1" ref="Z1455" ca="1">IFERROR(_xlfn.IFS(OR(F1455="",LEFT(Methode_Keuze,4)="Geen",Methode_Keuze=""),"",AND(W1455&lt;&gt;"",F1455&lt;&gt;"Arbeidskosten"),W1455*VLOOKUP(F1455,Tb_ProjectKosten[],MATCH(Tb_ProjectKosten[[#Headers],[Forfait_Percentage]],Tb_ProjectKosten[#Headers],0),0),AND(F1455="Arbeidskosten",G1455&lt;&gt;""),IFERROR(W1455*VLOOKUP(G1455,Tb_KostenTypen[],3,0)*VLOOKUP(F1455,Tb_ProjectKosten[],MATCH(Tb_ProjectKosten[[#Headers],[Forfait_Percentage]],Tb_ProjectKosten[#Headers],0),0),""),W1455 &lt;=0,0),"")</f>
        <v/>
      </c>
      <c r="AA1455" s="314" t="str" cm="1">
        <f t="array" aca="1" ref="AA1455" ca="1">IFERROR(_xlfn.IFS(OR(F1455="",LEFT(Methode_Keuze,4)="Geen",Methode_Keuze=""),"",AND(X1455&lt;&gt;"",F1455&lt;&gt;"Arbeidskosten"),X1455*VLOOKUP(F1455,Tb_ProjectKosten[],MATCH(Tb_ProjectKosten[[#Headers],[Forfait_Percentage]],Tb_ProjectKosten[#Headers],0),0),AND(F1455="Arbeidskosten",G1455&lt;&gt;""),IFERROR(X1455*VLOOKUP(G1455,Tb_KostenTypen[],3,0)*VLOOKUP(F1455,Tb_ProjectKosten[],MATCH(Tb_ProjectKosten[[#Headers],[Forfait_Percentage]],Tb_ProjectKosten[#Headers],0),0),""),X1455 &lt;=0,0),"")</f>
        <v/>
      </c>
      <c r="AB1455" s="314" t="str">
        <f t="shared" ca="1" si="91"/>
        <v/>
      </c>
      <c r="AC1455" s="322"/>
      <c r="AD1455" s="315"/>
      <c r="AE1455" s="32" t="str" cm="1">
        <f t="array" ref="AE1455">IFERROR(IF(INDEX(SubsidieTabel!$AD$1:$AG$12,MATCH($F1455,SubsidieTabel!$AD$1:$AD$12,0),IFERROR(MATCH(Methode_Keuze,SubsidieTabel!$AD$1:$AG$1,0),2))&lt;&gt;1=TRUE,"ja",""),"")</f>
        <v/>
      </c>
    </row>
    <row r="1456" spans="1:31" x14ac:dyDescent="0.25">
      <c r="A1456" s="316"/>
      <c r="B1456" s="317" t="str">
        <f>IF(A1456&lt;&gt;"",_xlfn.MAXIFS($B$1:B1455,$A$1:A1455,A1456)+1,"")</f>
        <v/>
      </c>
      <c r="C1456" s="296"/>
      <c r="D1456" s="296"/>
      <c r="E1456" s="296"/>
      <c r="F1456" s="296"/>
      <c r="G1456" s="326"/>
      <c r="H1456" s="324"/>
      <c r="I1456" s="325"/>
      <c r="J1456" s="325"/>
      <c r="K1456" s="318"/>
      <c r="L1456" s="318"/>
      <c r="M1456" s="319" t="str">
        <f>IFERROR(VLOOKUP(H1456,Lijsten!$H$1:$I$100,2,0),"")</f>
        <v/>
      </c>
      <c r="N1456" s="319" t="str">
        <f ca="1">IFERROR(IF(VLOOKUP(F1456,Kostentypen!$A$3:$E$21,3,0)=0,"",IF(OR(F1456="Arbeidskosten",F1456="Vergoeding"),VLOOKUP(G1456,Tb_KostenTypen[],2,0),VLOOKUP(F1456,Kostentypen!$A$3:$E$20,3,0))),"")</f>
        <v/>
      </c>
      <c r="O1456" s="320" t="str" cm="1">
        <f t="array" ref="O1456">_xlfn.IFNA(IF(INDEX(Tb_KostenOptiesDB[],MATCH($F1456,Tb_KostenOptiesDB[KostenOptie],0),IFERROR(MATCH(Methode_Keuze,Tb_KostenOptiesDB[#Headers],0),2))=1,_xlfn.SWITCH($N1456,"Uurtarief",IF(OR(AND(RIGHT($F1456,3)="IKS",VLOOKUP($M1456,DB_Loonkosten,2,0)="Ja"),AND(RIGHT($F1456,3)&lt;&gt;"IKS",VLOOKUP($M1456,DB_Loonkosten,2,0)="Nee")),IFERROR(VLOOKUP($M1456,DB_Loonkosten,24,0),""),0),"Vast tarief",IF(LEFT(F1456,8)="Bijdrage",VLOOKUP($F1456,Tb_KostenTypen[],MATCH(Lijsten!$P$1,Tb_KostenTypen[#Headers],0),0),VLOOKUP($G1456,Lijsten!L:P,MATCH(Lijsten!$P$1,Kop_Tarief_Vast,0),0))),""),"")</f>
        <v/>
      </c>
      <c r="P1456" s="320" t="str" cm="1">
        <f t="array" ref="P1456">_xlfn.IFNA(IF(INDEX(Tb_KostenOptiesDB[],MATCH($F1456,Tb_KostenOptiesDB[KostenOptie],0),IFERROR(MATCH(Methode_Keuze,Tb_KostenOptiesDB[#Headers],0),2))=1,_xlfn.SWITCH($N1456,"Uurtarief",IF(OR(AND(RIGHT($F1456,3)="IKS",VLOOKUP($M1456,DB_Loonkosten,2,0)="Ja"),AND(RIGHT($F1456,3)&lt;&gt;"IKS",VLOOKUP($M1456,DB_Loonkosten,2,0)="Nee")),IFERROR(VLOOKUP($M1456,DB_Loonkosten,25,0),""),0),"Vast tarief",IF(LEFT(F1456,8)="Bijdrage",VLOOKUP($F1456,Tb_KostenTypen[],MATCH(Lijsten!$P$1,Tb_KostenTypen[#Headers],0),0),VLOOKUP($G1456,Lijsten!L:P,MATCH(Lijsten!$P$1,Kop_Tarief_Vast,0),0))),""),"")</f>
        <v/>
      </c>
      <c r="Q1456" s="359"/>
      <c r="R1456" s="359"/>
      <c r="S1456" s="321"/>
      <c r="T1456" s="321"/>
      <c r="U1456" s="373" t="str">
        <f t="shared" si="88"/>
        <v/>
      </c>
      <c r="V1456" s="314" t="str">
        <f t="shared" si="89"/>
        <v/>
      </c>
      <c r="W1456" s="314" t="str" cm="1">
        <f t="array" aca="1" ref="W1456" ca="1">IFERROR(IF(AE1456&lt;&gt;"ja",_xlfn.IFNA(_xlfn.IFS(AND(O1456&lt;&gt;"",F1456&lt;&gt;"",RIGHT($N1456,6)="tarief",F1456="Vergoeding"),SUM(O1456)*FLOOR(SUM(Q1456),0.0001),AND(O1456&lt;&gt;"",F1456&lt;&gt;"",RIGHT($N1456,6)="tarief"),SUM(O1456)*FLOOR(SUM(Q1456),0.01),S1456&gt;0,IF(F1456&lt;&gt;"",FLOOR(SUM(S1456),0.01),"")),""),""),"")</f>
        <v/>
      </c>
      <c r="X1456" s="314" t="str" cm="1">
        <f t="array" aca="1" ref="X1456" ca="1">IFERROR(IF(AE1456&lt;&gt;"ja",_xlfn.IFNA(_xlfn.IFS(AND(P1456&lt;&gt;"",R1456&lt;&gt;"",RIGHT($N1456,6)="tarief",F1456="Vergoeding"),SUM(P1456)*FLOOR(SUM(R1456),0.0001),AND(P1456&lt;&gt;"",R1456&lt;&gt;"",RIGHT($N1456,6)="tarief"),P1456*FLOOR(R1456,0.01),T1456&gt;0,FLOOR(SUM(T1456),0.01)),""),""),"")</f>
        <v/>
      </c>
      <c r="Y1456" s="314" t="str">
        <f t="shared" ca="1" si="90"/>
        <v/>
      </c>
      <c r="Z1456" s="314" t="str" cm="1">
        <f t="array" aca="1" ref="Z1456" ca="1">IFERROR(_xlfn.IFS(OR(F1456="",LEFT(Methode_Keuze,4)="Geen",Methode_Keuze=""),"",AND(W1456&lt;&gt;"",F1456&lt;&gt;"Arbeidskosten"),W1456*VLOOKUP(F1456,Tb_ProjectKosten[],MATCH(Tb_ProjectKosten[[#Headers],[Forfait_Percentage]],Tb_ProjectKosten[#Headers],0),0),AND(F1456="Arbeidskosten",G1456&lt;&gt;""),IFERROR(W1456*VLOOKUP(G1456,Tb_KostenTypen[],3,0)*VLOOKUP(F1456,Tb_ProjectKosten[],MATCH(Tb_ProjectKosten[[#Headers],[Forfait_Percentage]],Tb_ProjectKosten[#Headers],0),0),""),W1456 &lt;=0,0),"")</f>
        <v/>
      </c>
      <c r="AA1456" s="314" t="str" cm="1">
        <f t="array" aca="1" ref="AA1456" ca="1">IFERROR(_xlfn.IFS(OR(F1456="",LEFT(Methode_Keuze,4)="Geen",Methode_Keuze=""),"",AND(X1456&lt;&gt;"",F1456&lt;&gt;"Arbeidskosten"),X1456*VLOOKUP(F1456,Tb_ProjectKosten[],MATCH(Tb_ProjectKosten[[#Headers],[Forfait_Percentage]],Tb_ProjectKosten[#Headers],0),0),AND(F1456="Arbeidskosten",G1456&lt;&gt;""),IFERROR(X1456*VLOOKUP(G1456,Tb_KostenTypen[],3,0)*VLOOKUP(F1456,Tb_ProjectKosten[],MATCH(Tb_ProjectKosten[[#Headers],[Forfait_Percentage]],Tb_ProjectKosten[#Headers],0),0),""),X1456 &lt;=0,0),"")</f>
        <v/>
      </c>
      <c r="AB1456" s="314" t="str">
        <f t="shared" ca="1" si="91"/>
        <v/>
      </c>
      <c r="AC1456" s="322"/>
      <c r="AD1456" s="315"/>
      <c r="AE1456" s="32" t="str" cm="1">
        <f t="array" ref="AE1456">IFERROR(IF(INDEX(SubsidieTabel!$AD$1:$AG$12,MATCH($F1456,SubsidieTabel!$AD$1:$AD$12,0),IFERROR(MATCH(Methode_Keuze,SubsidieTabel!$AD$1:$AG$1,0),2))&lt;&gt;1=TRUE,"ja",""),"")</f>
        <v/>
      </c>
    </row>
    <row r="1457" spans="1:31" x14ac:dyDescent="0.25">
      <c r="A1457" s="316"/>
      <c r="B1457" s="317" t="str">
        <f>IF(A1457&lt;&gt;"",_xlfn.MAXIFS($B$1:B1456,$A$1:A1456,A1457)+1,"")</f>
        <v/>
      </c>
      <c r="C1457" s="296"/>
      <c r="D1457" s="296"/>
      <c r="E1457" s="296"/>
      <c r="F1457" s="296"/>
      <c r="G1457" s="326"/>
      <c r="H1457" s="324"/>
      <c r="I1457" s="325"/>
      <c r="J1457" s="325"/>
      <c r="K1457" s="318"/>
      <c r="L1457" s="318"/>
      <c r="M1457" s="319" t="str">
        <f>IFERROR(VLOOKUP(H1457,Lijsten!$H$1:$I$100,2,0),"")</f>
        <v/>
      </c>
      <c r="N1457" s="319" t="str">
        <f ca="1">IFERROR(IF(VLOOKUP(F1457,Kostentypen!$A$3:$E$21,3,0)=0,"",IF(OR(F1457="Arbeidskosten",F1457="Vergoeding"),VLOOKUP(G1457,Tb_KostenTypen[],2,0),VLOOKUP(F1457,Kostentypen!$A$3:$E$20,3,0))),"")</f>
        <v/>
      </c>
      <c r="O1457" s="320" t="str" cm="1">
        <f t="array" ref="O1457">_xlfn.IFNA(IF(INDEX(Tb_KostenOptiesDB[],MATCH($F1457,Tb_KostenOptiesDB[KostenOptie],0),IFERROR(MATCH(Methode_Keuze,Tb_KostenOptiesDB[#Headers],0),2))=1,_xlfn.SWITCH($N1457,"Uurtarief",IF(OR(AND(RIGHT($F1457,3)="IKS",VLOOKUP($M1457,DB_Loonkosten,2,0)="Ja"),AND(RIGHT($F1457,3)&lt;&gt;"IKS",VLOOKUP($M1457,DB_Loonkosten,2,0)="Nee")),IFERROR(VLOOKUP($M1457,DB_Loonkosten,24,0),""),0),"Vast tarief",IF(LEFT(F1457,8)="Bijdrage",VLOOKUP($F1457,Tb_KostenTypen[],MATCH(Lijsten!$P$1,Tb_KostenTypen[#Headers],0),0),VLOOKUP($G1457,Lijsten!L:P,MATCH(Lijsten!$P$1,Kop_Tarief_Vast,0),0))),""),"")</f>
        <v/>
      </c>
      <c r="P1457" s="320" t="str" cm="1">
        <f t="array" ref="P1457">_xlfn.IFNA(IF(INDEX(Tb_KostenOptiesDB[],MATCH($F1457,Tb_KostenOptiesDB[KostenOptie],0),IFERROR(MATCH(Methode_Keuze,Tb_KostenOptiesDB[#Headers],0),2))=1,_xlfn.SWITCH($N1457,"Uurtarief",IF(OR(AND(RIGHT($F1457,3)="IKS",VLOOKUP($M1457,DB_Loonkosten,2,0)="Ja"),AND(RIGHT($F1457,3)&lt;&gt;"IKS",VLOOKUP($M1457,DB_Loonkosten,2,0)="Nee")),IFERROR(VLOOKUP($M1457,DB_Loonkosten,25,0),""),0),"Vast tarief",IF(LEFT(F1457,8)="Bijdrage",VLOOKUP($F1457,Tb_KostenTypen[],MATCH(Lijsten!$P$1,Tb_KostenTypen[#Headers],0),0),VLOOKUP($G1457,Lijsten!L:P,MATCH(Lijsten!$P$1,Kop_Tarief_Vast,0),0))),""),"")</f>
        <v/>
      </c>
      <c r="Q1457" s="359"/>
      <c r="R1457" s="359"/>
      <c r="S1457" s="321"/>
      <c r="T1457" s="321"/>
      <c r="U1457" s="373" t="str">
        <f t="shared" si="88"/>
        <v/>
      </c>
      <c r="V1457" s="314" t="str">
        <f t="shared" si="89"/>
        <v/>
      </c>
      <c r="W1457" s="314" t="str" cm="1">
        <f t="array" aca="1" ref="W1457" ca="1">IFERROR(IF(AE1457&lt;&gt;"ja",_xlfn.IFNA(_xlfn.IFS(AND(O1457&lt;&gt;"",F1457&lt;&gt;"",RIGHT($N1457,6)="tarief",F1457="Vergoeding"),SUM(O1457)*FLOOR(SUM(Q1457),0.0001),AND(O1457&lt;&gt;"",F1457&lt;&gt;"",RIGHT($N1457,6)="tarief"),SUM(O1457)*FLOOR(SUM(Q1457),0.01),S1457&gt;0,IF(F1457&lt;&gt;"",FLOOR(SUM(S1457),0.01),"")),""),""),"")</f>
        <v/>
      </c>
      <c r="X1457" s="314" t="str" cm="1">
        <f t="array" aca="1" ref="X1457" ca="1">IFERROR(IF(AE1457&lt;&gt;"ja",_xlfn.IFNA(_xlfn.IFS(AND(P1457&lt;&gt;"",R1457&lt;&gt;"",RIGHT($N1457,6)="tarief",F1457="Vergoeding"),SUM(P1457)*FLOOR(SUM(R1457),0.0001),AND(P1457&lt;&gt;"",R1457&lt;&gt;"",RIGHT($N1457,6)="tarief"),P1457*FLOOR(R1457,0.01),T1457&gt;0,FLOOR(SUM(T1457),0.01)),""),""),"")</f>
        <v/>
      </c>
      <c r="Y1457" s="314" t="str">
        <f t="shared" ca="1" si="90"/>
        <v/>
      </c>
      <c r="Z1457" s="314" t="str" cm="1">
        <f t="array" aca="1" ref="Z1457" ca="1">IFERROR(_xlfn.IFS(OR(F1457="",LEFT(Methode_Keuze,4)="Geen",Methode_Keuze=""),"",AND(W1457&lt;&gt;"",F1457&lt;&gt;"Arbeidskosten"),W1457*VLOOKUP(F1457,Tb_ProjectKosten[],MATCH(Tb_ProjectKosten[[#Headers],[Forfait_Percentage]],Tb_ProjectKosten[#Headers],0),0),AND(F1457="Arbeidskosten",G1457&lt;&gt;""),IFERROR(W1457*VLOOKUP(G1457,Tb_KostenTypen[],3,0)*VLOOKUP(F1457,Tb_ProjectKosten[],MATCH(Tb_ProjectKosten[[#Headers],[Forfait_Percentage]],Tb_ProjectKosten[#Headers],0),0),""),W1457 &lt;=0,0),"")</f>
        <v/>
      </c>
      <c r="AA1457" s="314" t="str" cm="1">
        <f t="array" aca="1" ref="AA1457" ca="1">IFERROR(_xlfn.IFS(OR(F1457="",LEFT(Methode_Keuze,4)="Geen",Methode_Keuze=""),"",AND(X1457&lt;&gt;"",F1457&lt;&gt;"Arbeidskosten"),X1457*VLOOKUP(F1457,Tb_ProjectKosten[],MATCH(Tb_ProjectKosten[[#Headers],[Forfait_Percentage]],Tb_ProjectKosten[#Headers],0),0),AND(F1457="Arbeidskosten",G1457&lt;&gt;""),IFERROR(X1457*VLOOKUP(G1457,Tb_KostenTypen[],3,0)*VLOOKUP(F1457,Tb_ProjectKosten[],MATCH(Tb_ProjectKosten[[#Headers],[Forfait_Percentage]],Tb_ProjectKosten[#Headers],0),0),""),X1457 &lt;=0,0),"")</f>
        <v/>
      </c>
      <c r="AB1457" s="314" t="str">
        <f t="shared" ca="1" si="91"/>
        <v/>
      </c>
      <c r="AC1457" s="322"/>
      <c r="AD1457" s="315"/>
      <c r="AE1457" s="32" t="str" cm="1">
        <f t="array" ref="AE1457">IFERROR(IF(INDEX(SubsidieTabel!$AD$1:$AG$12,MATCH($F1457,SubsidieTabel!$AD$1:$AD$12,0),IFERROR(MATCH(Methode_Keuze,SubsidieTabel!$AD$1:$AG$1,0),2))&lt;&gt;1=TRUE,"ja",""),"")</f>
        <v/>
      </c>
    </row>
    <row r="1458" spans="1:31" x14ac:dyDescent="0.25">
      <c r="A1458" s="316"/>
      <c r="B1458" s="317" t="str">
        <f>IF(A1458&lt;&gt;"",_xlfn.MAXIFS($B$1:B1457,$A$1:A1457,A1458)+1,"")</f>
        <v/>
      </c>
      <c r="C1458" s="296"/>
      <c r="D1458" s="296"/>
      <c r="E1458" s="296"/>
      <c r="F1458" s="296"/>
      <c r="G1458" s="326"/>
      <c r="H1458" s="324"/>
      <c r="I1458" s="325"/>
      <c r="J1458" s="325"/>
      <c r="K1458" s="318"/>
      <c r="L1458" s="318"/>
      <c r="M1458" s="319" t="str">
        <f>IFERROR(VLOOKUP(H1458,Lijsten!$H$1:$I$100,2,0),"")</f>
        <v/>
      </c>
      <c r="N1458" s="319" t="str">
        <f ca="1">IFERROR(IF(VLOOKUP(F1458,Kostentypen!$A$3:$E$21,3,0)=0,"",IF(OR(F1458="Arbeidskosten",F1458="Vergoeding"),VLOOKUP(G1458,Tb_KostenTypen[],2,0),VLOOKUP(F1458,Kostentypen!$A$3:$E$20,3,0))),"")</f>
        <v/>
      </c>
      <c r="O1458" s="320" t="str" cm="1">
        <f t="array" ref="O1458">_xlfn.IFNA(IF(INDEX(Tb_KostenOptiesDB[],MATCH($F1458,Tb_KostenOptiesDB[KostenOptie],0),IFERROR(MATCH(Methode_Keuze,Tb_KostenOptiesDB[#Headers],0),2))=1,_xlfn.SWITCH($N1458,"Uurtarief",IF(OR(AND(RIGHT($F1458,3)="IKS",VLOOKUP($M1458,DB_Loonkosten,2,0)="Ja"),AND(RIGHT($F1458,3)&lt;&gt;"IKS",VLOOKUP($M1458,DB_Loonkosten,2,0)="Nee")),IFERROR(VLOOKUP($M1458,DB_Loonkosten,24,0),""),0),"Vast tarief",IF(LEFT(F1458,8)="Bijdrage",VLOOKUP($F1458,Tb_KostenTypen[],MATCH(Lijsten!$P$1,Tb_KostenTypen[#Headers],0),0),VLOOKUP($G1458,Lijsten!L:P,MATCH(Lijsten!$P$1,Kop_Tarief_Vast,0),0))),""),"")</f>
        <v/>
      </c>
      <c r="P1458" s="320" t="str" cm="1">
        <f t="array" ref="P1458">_xlfn.IFNA(IF(INDEX(Tb_KostenOptiesDB[],MATCH($F1458,Tb_KostenOptiesDB[KostenOptie],0),IFERROR(MATCH(Methode_Keuze,Tb_KostenOptiesDB[#Headers],0),2))=1,_xlfn.SWITCH($N1458,"Uurtarief",IF(OR(AND(RIGHT($F1458,3)="IKS",VLOOKUP($M1458,DB_Loonkosten,2,0)="Ja"),AND(RIGHT($F1458,3)&lt;&gt;"IKS",VLOOKUP($M1458,DB_Loonkosten,2,0)="Nee")),IFERROR(VLOOKUP($M1458,DB_Loonkosten,25,0),""),0),"Vast tarief",IF(LEFT(F1458,8)="Bijdrage",VLOOKUP($F1458,Tb_KostenTypen[],MATCH(Lijsten!$P$1,Tb_KostenTypen[#Headers],0),0),VLOOKUP($G1458,Lijsten!L:P,MATCH(Lijsten!$P$1,Kop_Tarief_Vast,0),0))),""),"")</f>
        <v/>
      </c>
      <c r="Q1458" s="359"/>
      <c r="R1458" s="359"/>
      <c r="S1458" s="321"/>
      <c r="T1458" s="321"/>
      <c r="U1458" s="373" t="str">
        <f t="shared" si="88"/>
        <v/>
      </c>
      <c r="V1458" s="314" t="str">
        <f t="shared" si="89"/>
        <v/>
      </c>
      <c r="W1458" s="314" t="str" cm="1">
        <f t="array" aca="1" ref="W1458" ca="1">IFERROR(IF(AE1458&lt;&gt;"ja",_xlfn.IFNA(_xlfn.IFS(AND(O1458&lt;&gt;"",F1458&lt;&gt;"",RIGHT($N1458,6)="tarief",F1458="Vergoeding"),SUM(O1458)*FLOOR(SUM(Q1458),0.0001),AND(O1458&lt;&gt;"",F1458&lt;&gt;"",RIGHT($N1458,6)="tarief"),SUM(O1458)*FLOOR(SUM(Q1458),0.01),S1458&gt;0,IF(F1458&lt;&gt;"",FLOOR(SUM(S1458),0.01),"")),""),""),"")</f>
        <v/>
      </c>
      <c r="X1458" s="314" t="str" cm="1">
        <f t="array" aca="1" ref="X1458" ca="1">IFERROR(IF(AE1458&lt;&gt;"ja",_xlfn.IFNA(_xlfn.IFS(AND(P1458&lt;&gt;"",R1458&lt;&gt;"",RIGHT($N1458,6)="tarief",F1458="Vergoeding"),SUM(P1458)*FLOOR(SUM(R1458),0.0001),AND(P1458&lt;&gt;"",R1458&lt;&gt;"",RIGHT($N1458,6)="tarief"),P1458*FLOOR(R1458,0.01),T1458&gt;0,FLOOR(SUM(T1458),0.01)),""),""),"")</f>
        <v/>
      </c>
      <c r="Y1458" s="314" t="str">
        <f t="shared" ca="1" si="90"/>
        <v/>
      </c>
      <c r="Z1458" s="314" t="str" cm="1">
        <f t="array" aca="1" ref="Z1458" ca="1">IFERROR(_xlfn.IFS(OR(F1458="",LEFT(Methode_Keuze,4)="Geen",Methode_Keuze=""),"",AND(W1458&lt;&gt;"",F1458&lt;&gt;"Arbeidskosten"),W1458*VLOOKUP(F1458,Tb_ProjectKosten[],MATCH(Tb_ProjectKosten[[#Headers],[Forfait_Percentage]],Tb_ProjectKosten[#Headers],0),0),AND(F1458="Arbeidskosten",G1458&lt;&gt;""),IFERROR(W1458*VLOOKUP(G1458,Tb_KostenTypen[],3,0)*VLOOKUP(F1458,Tb_ProjectKosten[],MATCH(Tb_ProjectKosten[[#Headers],[Forfait_Percentage]],Tb_ProjectKosten[#Headers],0),0),""),W1458 &lt;=0,0),"")</f>
        <v/>
      </c>
      <c r="AA1458" s="314" t="str" cm="1">
        <f t="array" aca="1" ref="AA1458" ca="1">IFERROR(_xlfn.IFS(OR(F1458="",LEFT(Methode_Keuze,4)="Geen",Methode_Keuze=""),"",AND(X1458&lt;&gt;"",F1458&lt;&gt;"Arbeidskosten"),X1458*VLOOKUP(F1458,Tb_ProjectKosten[],MATCH(Tb_ProjectKosten[[#Headers],[Forfait_Percentage]],Tb_ProjectKosten[#Headers],0),0),AND(F1458="Arbeidskosten",G1458&lt;&gt;""),IFERROR(X1458*VLOOKUP(G1458,Tb_KostenTypen[],3,0)*VLOOKUP(F1458,Tb_ProjectKosten[],MATCH(Tb_ProjectKosten[[#Headers],[Forfait_Percentage]],Tb_ProjectKosten[#Headers],0),0),""),X1458 &lt;=0,0),"")</f>
        <v/>
      </c>
      <c r="AB1458" s="314" t="str">
        <f t="shared" ca="1" si="91"/>
        <v/>
      </c>
      <c r="AC1458" s="322"/>
      <c r="AD1458" s="315"/>
      <c r="AE1458" s="32" t="str" cm="1">
        <f t="array" ref="AE1458">IFERROR(IF(INDEX(SubsidieTabel!$AD$1:$AG$12,MATCH($F1458,SubsidieTabel!$AD$1:$AD$12,0),IFERROR(MATCH(Methode_Keuze,SubsidieTabel!$AD$1:$AG$1,0),2))&lt;&gt;1=TRUE,"ja",""),"")</f>
        <v/>
      </c>
    </row>
    <row r="1459" spans="1:31" x14ac:dyDescent="0.25">
      <c r="A1459" s="316"/>
      <c r="B1459" s="317" t="str">
        <f>IF(A1459&lt;&gt;"",_xlfn.MAXIFS($B$1:B1458,$A$1:A1458,A1459)+1,"")</f>
        <v/>
      </c>
      <c r="C1459" s="296"/>
      <c r="D1459" s="296"/>
      <c r="E1459" s="296"/>
      <c r="F1459" s="296"/>
      <c r="G1459" s="326"/>
      <c r="H1459" s="324"/>
      <c r="I1459" s="325"/>
      <c r="J1459" s="325"/>
      <c r="K1459" s="318"/>
      <c r="L1459" s="318"/>
      <c r="M1459" s="319" t="str">
        <f>IFERROR(VLOOKUP(H1459,Lijsten!$H$1:$I$100,2,0),"")</f>
        <v/>
      </c>
      <c r="N1459" s="319" t="str">
        <f ca="1">IFERROR(IF(VLOOKUP(F1459,Kostentypen!$A$3:$E$21,3,0)=0,"",IF(OR(F1459="Arbeidskosten",F1459="Vergoeding"),VLOOKUP(G1459,Tb_KostenTypen[],2,0),VLOOKUP(F1459,Kostentypen!$A$3:$E$20,3,0))),"")</f>
        <v/>
      </c>
      <c r="O1459" s="320" t="str" cm="1">
        <f t="array" ref="O1459">_xlfn.IFNA(IF(INDEX(Tb_KostenOptiesDB[],MATCH($F1459,Tb_KostenOptiesDB[KostenOptie],0),IFERROR(MATCH(Methode_Keuze,Tb_KostenOptiesDB[#Headers],0),2))=1,_xlfn.SWITCH($N1459,"Uurtarief",IF(OR(AND(RIGHT($F1459,3)="IKS",VLOOKUP($M1459,DB_Loonkosten,2,0)="Ja"),AND(RIGHT($F1459,3)&lt;&gt;"IKS",VLOOKUP($M1459,DB_Loonkosten,2,0)="Nee")),IFERROR(VLOOKUP($M1459,DB_Loonkosten,24,0),""),0),"Vast tarief",IF(LEFT(F1459,8)="Bijdrage",VLOOKUP($F1459,Tb_KostenTypen[],MATCH(Lijsten!$P$1,Tb_KostenTypen[#Headers],0),0),VLOOKUP($G1459,Lijsten!L:P,MATCH(Lijsten!$P$1,Kop_Tarief_Vast,0),0))),""),"")</f>
        <v/>
      </c>
      <c r="P1459" s="320" t="str" cm="1">
        <f t="array" ref="P1459">_xlfn.IFNA(IF(INDEX(Tb_KostenOptiesDB[],MATCH($F1459,Tb_KostenOptiesDB[KostenOptie],0),IFERROR(MATCH(Methode_Keuze,Tb_KostenOptiesDB[#Headers],0),2))=1,_xlfn.SWITCH($N1459,"Uurtarief",IF(OR(AND(RIGHT($F1459,3)="IKS",VLOOKUP($M1459,DB_Loonkosten,2,0)="Ja"),AND(RIGHT($F1459,3)&lt;&gt;"IKS",VLOOKUP($M1459,DB_Loonkosten,2,0)="Nee")),IFERROR(VLOOKUP($M1459,DB_Loonkosten,25,0),""),0),"Vast tarief",IF(LEFT(F1459,8)="Bijdrage",VLOOKUP($F1459,Tb_KostenTypen[],MATCH(Lijsten!$P$1,Tb_KostenTypen[#Headers],0),0),VLOOKUP($G1459,Lijsten!L:P,MATCH(Lijsten!$P$1,Kop_Tarief_Vast,0),0))),""),"")</f>
        <v/>
      </c>
      <c r="Q1459" s="359"/>
      <c r="R1459" s="359"/>
      <c r="S1459" s="321"/>
      <c r="T1459" s="321"/>
      <c r="U1459" s="373" t="str">
        <f t="shared" si="88"/>
        <v/>
      </c>
      <c r="V1459" s="314" t="str">
        <f t="shared" si="89"/>
        <v/>
      </c>
      <c r="W1459" s="314" t="str" cm="1">
        <f t="array" aca="1" ref="W1459" ca="1">IFERROR(IF(AE1459&lt;&gt;"ja",_xlfn.IFNA(_xlfn.IFS(AND(O1459&lt;&gt;"",F1459&lt;&gt;"",RIGHT($N1459,6)="tarief",F1459="Vergoeding"),SUM(O1459)*FLOOR(SUM(Q1459),0.0001),AND(O1459&lt;&gt;"",F1459&lt;&gt;"",RIGHT($N1459,6)="tarief"),SUM(O1459)*FLOOR(SUM(Q1459),0.01),S1459&gt;0,IF(F1459&lt;&gt;"",FLOOR(SUM(S1459),0.01),"")),""),""),"")</f>
        <v/>
      </c>
      <c r="X1459" s="314" t="str" cm="1">
        <f t="array" aca="1" ref="X1459" ca="1">IFERROR(IF(AE1459&lt;&gt;"ja",_xlfn.IFNA(_xlfn.IFS(AND(P1459&lt;&gt;"",R1459&lt;&gt;"",RIGHT($N1459,6)="tarief",F1459="Vergoeding"),SUM(P1459)*FLOOR(SUM(R1459),0.0001),AND(P1459&lt;&gt;"",R1459&lt;&gt;"",RIGHT($N1459,6)="tarief"),P1459*FLOOR(R1459,0.01),T1459&gt;0,FLOOR(SUM(T1459),0.01)),""),""),"")</f>
        <v/>
      </c>
      <c r="Y1459" s="314" t="str">
        <f t="shared" ca="1" si="90"/>
        <v/>
      </c>
      <c r="Z1459" s="314" t="str" cm="1">
        <f t="array" aca="1" ref="Z1459" ca="1">IFERROR(_xlfn.IFS(OR(F1459="",LEFT(Methode_Keuze,4)="Geen",Methode_Keuze=""),"",AND(W1459&lt;&gt;"",F1459&lt;&gt;"Arbeidskosten"),W1459*VLOOKUP(F1459,Tb_ProjectKosten[],MATCH(Tb_ProjectKosten[[#Headers],[Forfait_Percentage]],Tb_ProjectKosten[#Headers],0),0),AND(F1459="Arbeidskosten",G1459&lt;&gt;""),IFERROR(W1459*VLOOKUP(G1459,Tb_KostenTypen[],3,0)*VLOOKUP(F1459,Tb_ProjectKosten[],MATCH(Tb_ProjectKosten[[#Headers],[Forfait_Percentage]],Tb_ProjectKosten[#Headers],0),0),""),W1459 &lt;=0,0),"")</f>
        <v/>
      </c>
      <c r="AA1459" s="314" t="str" cm="1">
        <f t="array" aca="1" ref="AA1459" ca="1">IFERROR(_xlfn.IFS(OR(F1459="",LEFT(Methode_Keuze,4)="Geen",Methode_Keuze=""),"",AND(X1459&lt;&gt;"",F1459&lt;&gt;"Arbeidskosten"),X1459*VLOOKUP(F1459,Tb_ProjectKosten[],MATCH(Tb_ProjectKosten[[#Headers],[Forfait_Percentage]],Tb_ProjectKosten[#Headers],0),0),AND(F1459="Arbeidskosten",G1459&lt;&gt;""),IFERROR(X1459*VLOOKUP(G1459,Tb_KostenTypen[],3,0)*VLOOKUP(F1459,Tb_ProjectKosten[],MATCH(Tb_ProjectKosten[[#Headers],[Forfait_Percentage]],Tb_ProjectKosten[#Headers],0),0),""),X1459 &lt;=0,0),"")</f>
        <v/>
      </c>
      <c r="AB1459" s="314" t="str">
        <f t="shared" ca="1" si="91"/>
        <v/>
      </c>
      <c r="AC1459" s="322"/>
      <c r="AD1459" s="315"/>
      <c r="AE1459" s="32" t="str" cm="1">
        <f t="array" ref="AE1459">IFERROR(IF(INDEX(SubsidieTabel!$AD$1:$AG$12,MATCH($F1459,SubsidieTabel!$AD$1:$AD$12,0),IFERROR(MATCH(Methode_Keuze,SubsidieTabel!$AD$1:$AG$1,0),2))&lt;&gt;1=TRUE,"ja",""),"")</f>
        <v/>
      </c>
    </row>
    <row r="1460" spans="1:31" x14ac:dyDescent="0.25">
      <c r="A1460" s="316"/>
      <c r="B1460" s="317" t="str">
        <f>IF(A1460&lt;&gt;"",_xlfn.MAXIFS($B$1:B1459,$A$1:A1459,A1460)+1,"")</f>
        <v/>
      </c>
      <c r="C1460" s="296"/>
      <c r="D1460" s="296"/>
      <c r="E1460" s="296"/>
      <c r="F1460" s="296"/>
      <c r="G1460" s="326"/>
      <c r="H1460" s="324"/>
      <c r="I1460" s="325"/>
      <c r="J1460" s="325"/>
      <c r="K1460" s="318"/>
      <c r="L1460" s="318"/>
      <c r="M1460" s="319" t="str">
        <f>IFERROR(VLOOKUP(H1460,Lijsten!$H$1:$I$100,2,0),"")</f>
        <v/>
      </c>
      <c r="N1460" s="319" t="str">
        <f ca="1">IFERROR(IF(VLOOKUP(F1460,Kostentypen!$A$3:$E$21,3,0)=0,"",IF(OR(F1460="Arbeidskosten",F1460="Vergoeding"),VLOOKUP(G1460,Tb_KostenTypen[],2,0),VLOOKUP(F1460,Kostentypen!$A$3:$E$20,3,0))),"")</f>
        <v/>
      </c>
      <c r="O1460" s="320" t="str" cm="1">
        <f t="array" ref="O1460">_xlfn.IFNA(IF(INDEX(Tb_KostenOptiesDB[],MATCH($F1460,Tb_KostenOptiesDB[KostenOptie],0),IFERROR(MATCH(Methode_Keuze,Tb_KostenOptiesDB[#Headers],0),2))=1,_xlfn.SWITCH($N1460,"Uurtarief",IF(OR(AND(RIGHT($F1460,3)="IKS",VLOOKUP($M1460,DB_Loonkosten,2,0)="Ja"),AND(RIGHT($F1460,3)&lt;&gt;"IKS",VLOOKUP($M1460,DB_Loonkosten,2,0)="Nee")),IFERROR(VLOOKUP($M1460,DB_Loonkosten,24,0),""),0),"Vast tarief",IF(LEFT(F1460,8)="Bijdrage",VLOOKUP($F1460,Tb_KostenTypen[],MATCH(Lijsten!$P$1,Tb_KostenTypen[#Headers],0),0),VLOOKUP($G1460,Lijsten!L:P,MATCH(Lijsten!$P$1,Kop_Tarief_Vast,0),0))),""),"")</f>
        <v/>
      </c>
      <c r="P1460" s="320" t="str" cm="1">
        <f t="array" ref="P1460">_xlfn.IFNA(IF(INDEX(Tb_KostenOptiesDB[],MATCH($F1460,Tb_KostenOptiesDB[KostenOptie],0),IFERROR(MATCH(Methode_Keuze,Tb_KostenOptiesDB[#Headers],0),2))=1,_xlfn.SWITCH($N1460,"Uurtarief",IF(OR(AND(RIGHT($F1460,3)="IKS",VLOOKUP($M1460,DB_Loonkosten,2,0)="Ja"),AND(RIGHT($F1460,3)&lt;&gt;"IKS",VLOOKUP($M1460,DB_Loonkosten,2,0)="Nee")),IFERROR(VLOOKUP($M1460,DB_Loonkosten,25,0),""),0),"Vast tarief",IF(LEFT(F1460,8)="Bijdrage",VLOOKUP($F1460,Tb_KostenTypen[],MATCH(Lijsten!$P$1,Tb_KostenTypen[#Headers],0),0),VLOOKUP($G1460,Lijsten!L:P,MATCH(Lijsten!$P$1,Kop_Tarief_Vast,0),0))),""),"")</f>
        <v/>
      </c>
      <c r="Q1460" s="359"/>
      <c r="R1460" s="359"/>
      <c r="S1460" s="321"/>
      <c r="T1460" s="321"/>
      <c r="U1460" s="373" t="str">
        <f t="shared" si="88"/>
        <v/>
      </c>
      <c r="V1460" s="314" t="str">
        <f t="shared" si="89"/>
        <v/>
      </c>
      <c r="W1460" s="314" t="str" cm="1">
        <f t="array" aca="1" ref="W1460" ca="1">IFERROR(IF(AE1460&lt;&gt;"ja",_xlfn.IFNA(_xlfn.IFS(AND(O1460&lt;&gt;"",F1460&lt;&gt;"",RIGHT($N1460,6)="tarief",F1460="Vergoeding"),SUM(O1460)*FLOOR(SUM(Q1460),0.0001),AND(O1460&lt;&gt;"",F1460&lt;&gt;"",RIGHT($N1460,6)="tarief"),SUM(O1460)*FLOOR(SUM(Q1460),0.01),S1460&gt;0,IF(F1460&lt;&gt;"",FLOOR(SUM(S1460),0.01),"")),""),""),"")</f>
        <v/>
      </c>
      <c r="X1460" s="314" t="str" cm="1">
        <f t="array" aca="1" ref="X1460" ca="1">IFERROR(IF(AE1460&lt;&gt;"ja",_xlfn.IFNA(_xlfn.IFS(AND(P1460&lt;&gt;"",R1460&lt;&gt;"",RIGHT($N1460,6)="tarief",F1460="Vergoeding"),SUM(P1460)*FLOOR(SUM(R1460),0.0001),AND(P1460&lt;&gt;"",R1460&lt;&gt;"",RIGHT($N1460,6)="tarief"),P1460*FLOOR(R1460,0.01),T1460&gt;0,FLOOR(SUM(T1460),0.01)),""),""),"")</f>
        <v/>
      </c>
      <c r="Y1460" s="314" t="str">
        <f t="shared" ca="1" si="90"/>
        <v/>
      </c>
      <c r="Z1460" s="314" t="str" cm="1">
        <f t="array" aca="1" ref="Z1460" ca="1">IFERROR(_xlfn.IFS(OR(F1460="",LEFT(Methode_Keuze,4)="Geen",Methode_Keuze=""),"",AND(W1460&lt;&gt;"",F1460&lt;&gt;"Arbeidskosten"),W1460*VLOOKUP(F1460,Tb_ProjectKosten[],MATCH(Tb_ProjectKosten[[#Headers],[Forfait_Percentage]],Tb_ProjectKosten[#Headers],0),0),AND(F1460="Arbeidskosten",G1460&lt;&gt;""),IFERROR(W1460*VLOOKUP(G1460,Tb_KostenTypen[],3,0)*VLOOKUP(F1460,Tb_ProjectKosten[],MATCH(Tb_ProjectKosten[[#Headers],[Forfait_Percentage]],Tb_ProjectKosten[#Headers],0),0),""),W1460 &lt;=0,0),"")</f>
        <v/>
      </c>
      <c r="AA1460" s="314" t="str" cm="1">
        <f t="array" aca="1" ref="AA1460" ca="1">IFERROR(_xlfn.IFS(OR(F1460="",LEFT(Methode_Keuze,4)="Geen",Methode_Keuze=""),"",AND(X1460&lt;&gt;"",F1460&lt;&gt;"Arbeidskosten"),X1460*VLOOKUP(F1460,Tb_ProjectKosten[],MATCH(Tb_ProjectKosten[[#Headers],[Forfait_Percentage]],Tb_ProjectKosten[#Headers],0),0),AND(F1460="Arbeidskosten",G1460&lt;&gt;""),IFERROR(X1460*VLOOKUP(G1460,Tb_KostenTypen[],3,0)*VLOOKUP(F1460,Tb_ProjectKosten[],MATCH(Tb_ProjectKosten[[#Headers],[Forfait_Percentage]],Tb_ProjectKosten[#Headers],0),0),""),X1460 &lt;=0,0),"")</f>
        <v/>
      </c>
      <c r="AB1460" s="314" t="str">
        <f t="shared" ca="1" si="91"/>
        <v/>
      </c>
      <c r="AC1460" s="322"/>
      <c r="AD1460" s="315"/>
      <c r="AE1460" s="32" t="str" cm="1">
        <f t="array" ref="AE1460">IFERROR(IF(INDEX(SubsidieTabel!$AD$1:$AG$12,MATCH($F1460,SubsidieTabel!$AD$1:$AD$12,0),IFERROR(MATCH(Methode_Keuze,SubsidieTabel!$AD$1:$AG$1,0),2))&lt;&gt;1=TRUE,"ja",""),"")</f>
        <v/>
      </c>
    </row>
    <row r="1461" spans="1:31" x14ac:dyDescent="0.25">
      <c r="A1461" s="316"/>
      <c r="B1461" s="317" t="str">
        <f>IF(A1461&lt;&gt;"",_xlfn.MAXIFS($B$1:B1460,$A$1:A1460,A1461)+1,"")</f>
        <v/>
      </c>
      <c r="C1461" s="296"/>
      <c r="D1461" s="296"/>
      <c r="E1461" s="296"/>
      <c r="F1461" s="296"/>
      <c r="G1461" s="326"/>
      <c r="H1461" s="324"/>
      <c r="I1461" s="325"/>
      <c r="J1461" s="325"/>
      <c r="K1461" s="318"/>
      <c r="L1461" s="318"/>
      <c r="M1461" s="319" t="str">
        <f>IFERROR(VLOOKUP(H1461,Lijsten!$H$1:$I$100,2,0),"")</f>
        <v/>
      </c>
      <c r="N1461" s="319" t="str">
        <f ca="1">IFERROR(IF(VLOOKUP(F1461,Kostentypen!$A$3:$E$21,3,0)=0,"",IF(OR(F1461="Arbeidskosten",F1461="Vergoeding"),VLOOKUP(G1461,Tb_KostenTypen[],2,0),VLOOKUP(F1461,Kostentypen!$A$3:$E$20,3,0))),"")</f>
        <v/>
      </c>
      <c r="O1461" s="320" t="str" cm="1">
        <f t="array" ref="O1461">_xlfn.IFNA(IF(INDEX(Tb_KostenOptiesDB[],MATCH($F1461,Tb_KostenOptiesDB[KostenOptie],0),IFERROR(MATCH(Methode_Keuze,Tb_KostenOptiesDB[#Headers],0),2))=1,_xlfn.SWITCH($N1461,"Uurtarief",IF(OR(AND(RIGHT($F1461,3)="IKS",VLOOKUP($M1461,DB_Loonkosten,2,0)="Ja"),AND(RIGHT($F1461,3)&lt;&gt;"IKS",VLOOKUP($M1461,DB_Loonkosten,2,0)="Nee")),IFERROR(VLOOKUP($M1461,DB_Loonkosten,24,0),""),0),"Vast tarief",IF(LEFT(F1461,8)="Bijdrage",VLOOKUP($F1461,Tb_KostenTypen[],MATCH(Lijsten!$P$1,Tb_KostenTypen[#Headers],0),0),VLOOKUP($G1461,Lijsten!L:P,MATCH(Lijsten!$P$1,Kop_Tarief_Vast,0),0))),""),"")</f>
        <v/>
      </c>
      <c r="P1461" s="320" t="str" cm="1">
        <f t="array" ref="P1461">_xlfn.IFNA(IF(INDEX(Tb_KostenOptiesDB[],MATCH($F1461,Tb_KostenOptiesDB[KostenOptie],0),IFERROR(MATCH(Methode_Keuze,Tb_KostenOptiesDB[#Headers],0),2))=1,_xlfn.SWITCH($N1461,"Uurtarief",IF(OR(AND(RIGHT($F1461,3)="IKS",VLOOKUP($M1461,DB_Loonkosten,2,0)="Ja"),AND(RIGHT($F1461,3)&lt;&gt;"IKS",VLOOKUP($M1461,DB_Loonkosten,2,0)="Nee")),IFERROR(VLOOKUP($M1461,DB_Loonkosten,25,0),""),0),"Vast tarief",IF(LEFT(F1461,8)="Bijdrage",VLOOKUP($F1461,Tb_KostenTypen[],MATCH(Lijsten!$P$1,Tb_KostenTypen[#Headers],0),0),VLOOKUP($G1461,Lijsten!L:P,MATCH(Lijsten!$P$1,Kop_Tarief_Vast,0),0))),""),"")</f>
        <v/>
      </c>
      <c r="Q1461" s="359"/>
      <c r="R1461" s="359"/>
      <c r="S1461" s="321"/>
      <c r="T1461" s="321"/>
      <c r="U1461" s="373" t="str">
        <f t="shared" si="88"/>
        <v/>
      </c>
      <c r="V1461" s="314" t="str">
        <f t="shared" si="89"/>
        <v/>
      </c>
      <c r="W1461" s="314" t="str" cm="1">
        <f t="array" aca="1" ref="W1461" ca="1">IFERROR(IF(AE1461&lt;&gt;"ja",_xlfn.IFNA(_xlfn.IFS(AND(O1461&lt;&gt;"",F1461&lt;&gt;"",RIGHT($N1461,6)="tarief",F1461="Vergoeding"),SUM(O1461)*FLOOR(SUM(Q1461),0.0001),AND(O1461&lt;&gt;"",F1461&lt;&gt;"",RIGHT($N1461,6)="tarief"),SUM(O1461)*FLOOR(SUM(Q1461),0.01),S1461&gt;0,IF(F1461&lt;&gt;"",FLOOR(SUM(S1461),0.01),"")),""),""),"")</f>
        <v/>
      </c>
      <c r="X1461" s="314" t="str" cm="1">
        <f t="array" aca="1" ref="X1461" ca="1">IFERROR(IF(AE1461&lt;&gt;"ja",_xlfn.IFNA(_xlfn.IFS(AND(P1461&lt;&gt;"",R1461&lt;&gt;"",RIGHT($N1461,6)="tarief",F1461="Vergoeding"),SUM(P1461)*FLOOR(SUM(R1461),0.0001),AND(P1461&lt;&gt;"",R1461&lt;&gt;"",RIGHT($N1461,6)="tarief"),P1461*FLOOR(R1461,0.01),T1461&gt;0,FLOOR(SUM(T1461),0.01)),""),""),"")</f>
        <v/>
      </c>
      <c r="Y1461" s="314" t="str">
        <f t="shared" ca="1" si="90"/>
        <v/>
      </c>
      <c r="Z1461" s="314" t="str" cm="1">
        <f t="array" aca="1" ref="Z1461" ca="1">IFERROR(_xlfn.IFS(OR(F1461="",LEFT(Methode_Keuze,4)="Geen",Methode_Keuze=""),"",AND(W1461&lt;&gt;"",F1461&lt;&gt;"Arbeidskosten"),W1461*VLOOKUP(F1461,Tb_ProjectKosten[],MATCH(Tb_ProjectKosten[[#Headers],[Forfait_Percentage]],Tb_ProjectKosten[#Headers],0),0),AND(F1461="Arbeidskosten",G1461&lt;&gt;""),IFERROR(W1461*VLOOKUP(G1461,Tb_KostenTypen[],3,0)*VLOOKUP(F1461,Tb_ProjectKosten[],MATCH(Tb_ProjectKosten[[#Headers],[Forfait_Percentage]],Tb_ProjectKosten[#Headers],0),0),""),W1461 &lt;=0,0),"")</f>
        <v/>
      </c>
      <c r="AA1461" s="314" t="str" cm="1">
        <f t="array" aca="1" ref="AA1461" ca="1">IFERROR(_xlfn.IFS(OR(F1461="",LEFT(Methode_Keuze,4)="Geen",Methode_Keuze=""),"",AND(X1461&lt;&gt;"",F1461&lt;&gt;"Arbeidskosten"),X1461*VLOOKUP(F1461,Tb_ProjectKosten[],MATCH(Tb_ProjectKosten[[#Headers],[Forfait_Percentage]],Tb_ProjectKosten[#Headers],0),0),AND(F1461="Arbeidskosten",G1461&lt;&gt;""),IFERROR(X1461*VLOOKUP(G1461,Tb_KostenTypen[],3,0)*VLOOKUP(F1461,Tb_ProjectKosten[],MATCH(Tb_ProjectKosten[[#Headers],[Forfait_Percentage]],Tb_ProjectKosten[#Headers],0),0),""),X1461 &lt;=0,0),"")</f>
        <v/>
      </c>
      <c r="AB1461" s="314" t="str">
        <f t="shared" ca="1" si="91"/>
        <v/>
      </c>
      <c r="AC1461" s="322"/>
      <c r="AD1461" s="315"/>
      <c r="AE1461" s="32" t="str" cm="1">
        <f t="array" ref="AE1461">IFERROR(IF(INDEX(SubsidieTabel!$AD$1:$AG$12,MATCH($F1461,SubsidieTabel!$AD$1:$AD$12,0),IFERROR(MATCH(Methode_Keuze,SubsidieTabel!$AD$1:$AG$1,0),2))&lt;&gt;1=TRUE,"ja",""),"")</f>
        <v/>
      </c>
    </row>
    <row r="1462" spans="1:31" x14ac:dyDescent="0.25">
      <c r="A1462" s="316"/>
      <c r="B1462" s="317" t="str">
        <f>IF(A1462&lt;&gt;"",_xlfn.MAXIFS($B$1:B1461,$A$1:A1461,A1462)+1,"")</f>
        <v/>
      </c>
      <c r="C1462" s="296"/>
      <c r="D1462" s="296"/>
      <c r="E1462" s="296"/>
      <c r="F1462" s="296"/>
      <c r="G1462" s="326"/>
      <c r="H1462" s="324"/>
      <c r="I1462" s="325"/>
      <c r="J1462" s="325"/>
      <c r="K1462" s="318"/>
      <c r="L1462" s="318"/>
      <c r="M1462" s="319" t="str">
        <f>IFERROR(VLOOKUP(H1462,Lijsten!$H$1:$I$100,2,0),"")</f>
        <v/>
      </c>
      <c r="N1462" s="319" t="str">
        <f ca="1">IFERROR(IF(VLOOKUP(F1462,Kostentypen!$A$3:$E$21,3,0)=0,"",IF(OR(F1462="Arbeidskosten",F1462="Vergoeding"),VLOOKUP(G1462,Tb_KostenTypen[],2,0),VLOOKUP(F1462,Kostentypen!$A$3:$E$20,3,0))),"")</f>
        <v/>
      </c>
      <c r="O1462" s="320" t="str" cm="1">
        <f t="array" ref="O1462">_xlfn.IFNA(IF(INDEX(Tb_KostenOptiesDB[],MATCH($F1462,Tb_KostenOptiesDB[KostenOptie],0),IFERROR(MATCH(Methode_Keuze,Tb_KostenOptiesDB[#Headers],0),2))=1,_xlfn.SWITCH($N1462,"Uurtarief",IF(OR(AND(RIGHT($F1462,3)="IKS",VLOOKUP($M1462,DB_Loonkosten,2,0)="Ja"),AND(RIGHT($F1462,3)&lt;&gt;"IKS",VLOOKUP($M1462,DB_Loonkosten,2,0)="Nee")),IFERROR(VLOOKUP($M1462,DB_Loonkosten,24,0),""),0),"Vast tarief",IF(LEFT(F1462,8)="Bijdrage",VLOOKUP($F1462,Tb_KostenTypen[],MATCH(Lijsten!$P$1,Tb_KostenTypen[#Headers],0),0),VLOOKUP($G1462,Lijsten!L:P,MATCH(Lijsten!$P$1,Kop_Tarief_Vast,0),0))),""),"")</f>
        <v/>
      </c>
      <c r="P1462" s="320" t="str" cm="1">
        <f t="array" ref="P1462">_xlfn.IFNA(IF(INDEX(Tb_KostenOptiesDB[],MATCH($F1462,Tb_KostenOptiesDB[KostenOptie],0),IFERROR(MATCH(Methode_Keuze,Tb_KostenOptiesDB[#Headers],0),2))=1,_xlfn.SWITCH($N1462,"Uurtarief",IF(OR(AND(RIGHT($F1462,3)="IKS",VLOOKUP($M1462,DB_Loonkosten,2,0)="Ja"),AND(RIGHT($F1462,3)&lt;&gt;"IKS",VLOOKUP($M1462,DB_Loonkosten,2,0)="Nee")),IFERROR(VLOOKUP($M1462,DB_Loonkosten,25,0),""),0),"Vast tarief",IF(LEFT(F1462,8)="Bijdrage",VLOOKUP($F1462,Tb_KostenTypen[],MATCH(Lijsten!$P$1,Tb_KostenTypen[#Headers],0),0),VLOOKUP($G1462,Lijsten!L:P,MATCH(Lijsten!$P$1,Kop_Tarief_Vast,0),0))),""),"")</f>
        <v/>
      </c>
      <c r="Q1462" s="359"/>
      <c r="R1462" s="359"/>
      <c r="S1462" s="321"/>
      <c r="T1462" s="321"/>
      <c r="U1462" s="373" t="str">
        <f t="shared" si="88"/>
        <v/>
      </c>
      <c r="V1462" s="314" t="str">
        <f t="shared" si="89"/>
        <v/>
      </c>
      <c r="W1462" s="314" t="str" cm="1">
        <f t="array" aca="1" ref="W1462" ca="1">IFERROR(IF(AE1462&lt;&gt;"ja",_xlfn.IFNA(_xlfn.IFS(AND(O1462&lt;&gt;"",F1462&lt;&gt;"",RIGHT($N1462,6)="tarief",F1462="Vergoeding"),SUM(O1462)*FLOOR(SUM(Q1462),0.0001),AND(O1462&lt;&gt;"",F1462&lt;&gt;"",RIGHT($N1462,6)="tarief"),SUM(O1462)*FLOOR(SUM(Q1462),0.01),S1462&gt;0,IF(F1462&lt;&gt;"",FLOOR(SUM(S1462),0.01),"")),""),""),"")</f>
        <v/>
      </c>
      <c r="X1462" s="314" t="str" cm="1">
        <f t="array" aca="1" ref="X1462" ca="1">IFERROR(IF(AE1462&lt;&gt;"ja",_xlfn.IFNA(_xlfn.IFS(AND(P1462&lt;&gt;"",R1462&lt;&gt;"",RIGHT($N1462,6)="tarief",F1462="Vergoeding"),SUM(P1462)*FLOOR(SUM(R1462),0.0001),AND(P1462&lt;&gt;"",R1462&lt;&gt;"",RIGHT($N1462,6)="tarief"),P1462*FLOOR(R1462,0.01),T1462&gt;0,FLOOR(SUM(T1462),0.01)),""),""),"")</f>
        <v/>
      </c>
      <c r="Y1462" s="314" t="str">
        <f t="shared" ca="1" si="90"/>
        <v/>
      </c>
      <c r="Z1462" s="314" t="str" cm="1">
        <f t="array" aca="1" ref="Z1462" ca="1">IFERROR(_xlfn.IFS(OR(F1462="",LEFT(Methode_Keuze,4)="Geen",Methode_Keuze=""),"",AND(W1462&lt;&gt;"",F1462&lt;&gt;"Arbeidskosten"),W1462*VLOOKUP(F1462,Tb_ProjectKosten[],MATCH(Tb_ProjectKosten[[#Headers],[Forfait_Percentage]],Tb_ProjectKosten[#Headers],0),0),AND(F1462="Arbeidskosten",G1462&lt;&gt;""),IFERROR(W1462*VLOOKUP(G1462,Tb_KostenTypen[],3,0)*VLOOKUP(F1462,Tb_ProjectKosten[],MATCH(Tb_ProjectKosten[[#Headers],[Forfait_Percentage]],Tb_ProjectKosten[#Headers],0),0),""),W1462 &lt;=0,0),"")</f>
        <v/>
      </c>
      <c r="AA1462" s="314" t="str" cm="1">
        <f t="array" aca="1" ref="AA1462" ca="1">IFERROR(_xlfn.IFS(OR(F1462="",LEFT(Methode_Keuze,4)="Geen",Methode_Keuze=""),"",AND(X1462&lt;&gt;"",F1462&lt;&gt;"Arbeidskosten"),X1462*VLOOKUP(F1462,Tb_ProjectKosten[],MATCH(Tb_ProjectKosten[[#Headers],[Forfait_Percentage]],Tb_ProjectKosten[#Headers],0),0),AND(F1462="Arbeidskosten",G1462&lt;&gt;""),IFERROR(X1462*VLOOKUP(G1462,Tb_KostenTypen[],3,0)*VLOOKUP(F1462,Tb_ProjectKosten[],MATCH(Tb_ProjectKosten[[#Headers],[Forfait_Percentage]],Tb_ProjectKosten[#Headers],0),0),""),X1462 &lt;=0,0),"")</f>
        <v/>
      </c>
      <c r="AB1462" s="314" t="str">
        <f t="shared" ca="1" si="91"/>
        <v/>
      </c>
      <c r="AC1462" s="322"/>
      <c r="AD1462" s="315"/>
      <c r="AE1462" s="32" t="str" cm="1">
        <f t="array" ref="AE1462">IFERROR(IF(INDEX(SubsidieTabel!$AD$1:$AG$12,MATCH($F1462,SubsidieTabel!$AD$1:$AD$12,0),IFERROR(MATCH(Methode_Keuze,SubsidieTabel!$AD$1:$AG$1,0),2))&lt;&gt;1=TRUE,"ja",""),"")</f>
        <v/>
      </c>
    </row>
    <row r="1463" spans="1:31" x14ac:dyDescent="0.25">
      <c r="A1463" s="316"/>
      <c r="B1463" s="317" t="str">
        <f>IF(A1463&lt;&gt;"",_xlfn.MAXIFS($B$1:B1462,$A$1:A1462,A1463)+1,"")</f>
        <v/>
      </c>
      <c r="C1463" s="296"/>
      <c r="D1463" s="296"/>
      <c r="E1463" s="296"/>
      <c r="F1463" s="296"/>
      <c r="G1463" s="326"/>
      <c r="H1463" s="324"/>
      <c r="I1463" s="325"/>
      <c r="J1463" s="325"/>
      <c r="K1463" s="318"/>
      <c r="L1463" s="318"/>
      <c r="M1463" s="319" t="str">
        <f>IFERROR(VLOOKUP(H1463,Lijsten!$H$1:$I$100,2,0),"")</f>
        <v/>
      </c>
      <c r="N1463" s="319" t="str">
        <f ca="1">IFERROR(IF(VLOOKUP(F1463,Kostentypen!$A$3:$E$21,3,0)=0,"",IF(OR(F1463="Arbeidskosten",F1463="Vergoeding"),VLOOKUP(G1463,Tb_KostenTypen[],2,0),VLOOKUP(F1463,Kostentypen!$A$3:$E$20,3,0))),"")</f>
        <v/>
      </c>
      <c r="O1463" s="320" t="str" cm="1">
        <f t="array" ref="O1463">_xlfn.IFNA(IF(INDEX(Tb_KostenOptiesDB[],MATCH($F1463,Tb_KostenOptiesDB[KostenOptie],0),IFERROR(MATCH(Methode_Keuze,Tb_KostenOptiesDB[#Headers],0),2))=1,_xlfn.SWITCH($N1463,"Uurtarief",IF(OR(AND(RIGHT($F1463,3)="IKS",VLOOKUP($M1463,DB_Loonkosten,2,0)="Ja"),AND(RIGHT($F1463,3)&lt;&gt;"IKS",VLOOKUP($M1463,DB_Loonkosten,2,0)="Nee")),IFERROR(VLOOKUP($M1463,DB_Loonkosten,24,0),""),0),"Vast tarief",IF(LEFT(F1463,8)="Bijdrage",VLOOKUP($F1463,Tb_KostenTypen[],MATCH(Lijsten!$P$1,Tb_KostenTypen[#Headers],0),0),VLOOKUP($G1463,Lijsten!L:P,MATCH(Lijsten!$P$1,Kop_Tarief_Vast,0),0))),""),"")</f>
        <v/>
      </c>
      <c r="P1463" s="320" t="str" cm="1">
        <f t="array" ref="P1463">_xlfn.IFNA(IF(INDEX(Tb_KostenOptiesDB[],MATCH($F1463,Tb_KostenOptiesDB[KostenOptie],0),IFERROR(MATCH(Methode_Keuze,Tb_KostenOptiesDB[#Headers],0),2))=1,_xlfn.SWITCH($N1463,"Uurtarief",IF(OR(AND(RIGHT($F1463,3)="IKS",VLOOKUP($M1463,DB_Loonkosten,2,0)="Ja"),AND(RIGHT($F1463,3)&lt;&gt;"IKS",VLOOKUP($M1463,DB_Loonkosten,2,0)="Nee")),IFERROR(VLOOKUP($M1463,DB_Loonkosten,25,0),""),0),"Vast tarief",IF(LEFT(F1463,8)="Bijdrage",VLOOKUP($F1463,Tb_KostenTypen[],MATCH(Lijsten!$P$1,Tb_KostenTypen[#Headers],0),0),VLOOKUP($G1463,Lijsten!L:P,MATCH(Lijsten!$P$1,Kop_Tarief_Vast,0),0))),""),"")</f>
        <v/>
      </c>
      <c r="Q1463" s="359"/>
      <c r="R1463" s="359"/>
      <c r="S1463" s="321"/>
      <c r="T1463" s="321"/>
      <c r="U1463" s="373" t="str">
        <f t="shared" si="88"/>
        <v/>
      </c>
      <c r="V1463" s="314" t="str">
        <f t="shared" si="89"/>
        <v/>
      </c>
      <c r="W1463" s="314" t="str" cm="1">
        <f t="array" aca="1" ref="W1463" ca="1">IFERROR(IF(AE1463&lt;&gt;"ja",_xlfn.IFNA(_xlfn.IFS(AND(O1463&lt;&gt;"",F1463&lt;&gt;"",RIGHT($N1463,6)="tarief",F1463="Vergoeding"),SUM(O1463)*FLOOR(SUM(Q1463),0.0001),AND(O1463&lt;&gt;"",F1463&lt;&gt;"",RIGHT($N1463,6)="tarief"),SUM(O1463)*FLOOR(SUM(Q1463),0.01),S1463&gt;0,IF(F1463&lt;&gt;"",FLOOR(SUM(S1463),0.01),"")),""),""),"")</f>
        <v/>
      </c>
      <c r="X1463" s="314" t="str" cm="1">
        <f t="array" aca="1" ref="X1463" ca="1">IFERROR(IF(AE1463&lt;&gt;"ja",_xlfn.IFNA(_xlfn.IFS(AND(P1463&lt;&gt;"",R1463&lt;&gt;"",RIGHT($N1463,6)="tarief",F1463="Vergoeding"),SUM(P1463)*FLOOR(SUM(R1463),0.0001),AND(P1463&lt;&gt;"",R1463&lt;&gt;"",RIGHT($N1463,6)="tarief"),P1463*FLOOR(R1463,0.01),T1463&gt;0,FLOOR(SUM(T1463),0.01)),""),""),"")</f>
        <v/>
      </c>
      <c r="Y1463" s="314" t="str">
        <f t="shared" ca="1" si="90"/>
        <v/>
      </c>
      <c r="Z1463" s="314" t="str" cm="1">
        <f t="array" aca="1" ref="Z1463" ca="1">IFERROR(_xlfn.IFS(OR(F1463="",LEFT(Methode_Keuze,4)="Geen",Methode_Keuze=""),"",AND(W1463&lt;&gt;"",F1463&lt;&gt;"Arbeidskosten"),W1463*VLOOKUP(F1463,Tb_ProjectKosten[],MATCH(Tb_ProjectKosten[[#Headers],[Forfait_Percentage]],Tb_ProjectKosten[#Headers],0),0),AND(F1463="Arbeidskosten",G1463&lt;&gt;""),IFERROR(W1463*VLOOKUP(G1463,Tb_KostenTypen[],3,0)*VLOOKUP(F1463,Tb_ProjectKosten[],MATCH(Tb_ProjectKosten[[#Headers],[Forfait_Percentage]],Tb_ProjectKosten[#Headers],0),0),""),W1463 &lt;=0,0),"")</f>
        <v/>
      </c>
      <c r="AA1463" s="314" t="str" cm="1">
        <f t="array" aca="1" ref="AA1463" ca="1">IFERROR(_xlfn.IFS(OR(F1463="",LEFT(Methode_Keuze,4)="Geen",Methode_Keuze=""),"",AND(X1463&lt;&gt;"",F1463&lt;&gt;"Arbeidskosten"),X1463*VLOOKUP(F1463,Tb_ProjectKosten[],MATCH(Tb_ProjectKosten[[#Headers],[Forfait_Percentage]],Tb_ProjectKosten[#Headers],0),0),AND(F1463="Arbeidskosten",G1463&lt;&gt;""),IFERROR(X1463*VLOOKUP(G1463,Tb_KostenTypen[],3,0)*VLOOKUP(F1463,Tb_ProjectKosten[],MATCH(Tb_ProjectKosten[[#Headers],[Forfait_Percentage]],Tb_ProjectKosten[#Headers],0),0),""),X1463 &lt;=0,0),"")</f>
        <v/>
      </c>
      <c r="AB1463" s="314" t="str">
        <f t="shared" ca="1" si="91"/>
        <v/>
      </c>
      <c r="AC1463" s="322"/>
      <c r="AD1463" s="315"/>
      <c r="AE1463" s="32" t="str" cm="1">
        <f t="array" ref="AE1463">IFERROR(IF(INDEX(SubsidieTabel!$AD$1:$AG$12,MATCH($F1463,SubsidieTabel!$AD$1:$AD$12,0),IFERROR(MATCH(Methode_Keuze,SubsidieTabel!$AD$1:$AG$1,0),2))&lt;&gt;1=TRUE,"ja",""),"")</f>
        <v/>
      </c>
    </row>
    <row r="1464" spans="1:31" x14ac:dyDescent="0.25">
      <c r="A1464" s="316"/>
      <c r="B1464" s="317" t="str">
        <f>IF(A1464&lt;&gt;"",_xlfn.MAXIFS($B$1:B1463,$A$1:A1463,A1464)+1,"")</f>
        <v/>
      </c>
      <c r="C1464" s="296"/>
      <c r="D1464" s="296"/>
      <c r="E1464" s="296"/>
      <c r="F1464" s="296"/>
      <c r="G1464" s="326"/>
      <c r="H1464" s="324"/>
      <c r="I1464" s="325"/>
      <c r="J1464" s="325"/>
      <c r="K1464" s="318"/>
      <c r="L1464" s="318"/>
      <c r="M1464" s="319" t="str">
        <f>IFERROR(VLOOKUP(H1464,Lijsten!$H$1:$I$100,2,0),"")</f>
        <v/>
      </c>
      <c r="N1464" s="319" t="str">
        <f ca="1">IFERROR(IF(VLOOKUP(F1464,Kostentypen!$A$3:$E$21,3,0)=0,"",IF(OR(F1464="Arbeidskosten",F1464="Vergoeding"),VLOOKUP(G1464,Tb_KostenTypen[],2,0),VLOOKUP(F1464,Kostentypen!$A$3:$E$20,3,0))),"")</f>
        <v/>
      </c>
      <c r="O1464" s="320" t="str" cm="1">
        <f t="array" ref="O1464">_xlfn.IFNA(IF(INDEX(Tb_KostenOptiesDB[],MATCH($F1464,Tb_KostenOptiesDB[KostenOptie],0),IFERROR(MATCH(Methode_Keuze,Tb_KostenOptiesDB[#Headers],0),2))=1,_xlfn.SWITCH($N1464,"Uurtarief",IF(OR(AND(RIGHT($F1464,3)="IKS",VLOOKUP($M1464,DB_Loonkosten,2,0)="Ja"),AND(RIGHT($F1464,3)&lt;&gt;"IKS",VLOOKUP($M1464,DB_Loonkosten,2,0)="Nee")),IFERROR(VLOOKUP($M1464,DB_Loonkosten,24,0),""),0),"Vast tarief",IF(LEFT(F1464,8)="Bijdrage",VLOOKUP($F1464,Tb_KostenTypen[],MATCH(Lijsten!$P$1,Tb_KostenTypen[#Headers],0),0),VLOOKUP($G1464,Lijsten!L:P,MATCH(Lijsten!$P$1,Kop_Tarief_Vast,0),0))),""),"")</f>
        <v/>
      </c>
      <c r="P1464" s="320" t="str" cm="1">
        <f t="array" ref="P1464">_xlfn.IFNA(IF(INDEX(Tb_KostenOptiesDB[],MATCH($F1464,Tb_KostenOptiesDB[KostenOptie],0),IFERROR(MATCH(Methode_Keuze,Tb_KostenOptiesDB[#Headers],0),2))=1,_xlfn.SWITCH($N1464,"Uurtarief",IF(OR(AND(RIGHT($F1464,3)="IKS",VLOOKUP($M1464,DB_Loonkosten,2,0)="Ja"),AND(RIGHT($F1464,3)&lt;&gt;"IKS",VLOOKUP($M1464,DB_Loonkosten,2,0)="Nee")),IFERROR(VLOOKUP($M1464,DB_Loonkosten,25,0),""),0),"Vast tarief",IF(LEFT(F1464,8)="Bijdrage",VLOOKUP($F1464,Tb_KostenTypen[],MATCH(Lijsten!$P$1,Tb_KostenTypen[#Headers],0),0),VLOOKUP($G1464,Lijsten!L:P,MATCH(Lijsten!$P$1,Kop_Tarief_Vast,0),0))),""),"")</f>
        <v/>
      </c>
      <c r="Q1464" s="359"/>
      <c r="R1464" s="359"/>
      <c r="S1464" s="321"/>
      <c r="T1464" s="321"/>
      <c r="U1464" s="373" t="str">
        <f t="shared" si="88"/>
        <v/>
      </c>
      <c r="V1464" s="314" t="str">
        <f t="shared" si="89"/>
        <v/>
      </c>
      <c r="W1464" s="314" t="str" cm="1">
        <f t="array" aca="1" ref="W1464" ca="1">IFERROR(IF(AE1464&lt;&gt;"ja",_xlfn.IFNA(_xlfn.IFS(AND(O1464&lt;&gt;"",F1464&lt;&gt;"",RIGHT($N1464,6)="tarief",F1464="Vergoeding"),SUM(O1464)*FLOOR(SUM(Q1464),0.0001),AND(O1464&lt;&gt;"",F1464&lt;&gt;"",RIGHT($N1464,6)="tarief"),SUM(O1464)*FLOOR(SUM(Q1464),0.01),S1464&gt;0,IF(F1464&lt;&gt;"",FLOOR(SUM(S1464),0.01),"")),""),""),"")</f>
        <v/>
      </c>
      <c r="X1464" s="314" t="str" cm="1">
        <f t="array" aca="1" ref="X1464" ca="1">IFERROR(IF(AE1464&lt;&gt;"ja",_xlfn.IFNA(_xlfn.IFS(AND(P1464&lt;&gt;"",R1464&lt;&gt;"",RIGHT($N1464,6)="tarief",F1464="Vergoeding"),SUM(P1464)*FLOOR(SUM(R1464),0.0001),AND(P1464&lt;&gt;"",R1464&lt;&gt;"",RIGHT($N1464,6)="tarief"),P1464*FLOOR(R1464,0.01),T1464&gt;0,FLOOR(SUM(T1464),0.01)),""),""),"")</f>
        <v/>
      </c>
      <c r="Y1464" s="314" t="str">
        <f t="shared" ca="1" si="90"/>
        <v/>
      </c>
      <c r="Z1464" s="314" t="str" cm="1">
        <f t="array" aca="1" ref="Z1464" ca="1">IFERROR(_xlfn.IFS(OR(F1464="",LEFT(Methode_Keuze,4)="Geen",Methode_Keuze=""),"",AND(W1464&lt;&gt;"",F1464&lt;&gt;"Arbeidskosten"),W1464*VLOOKUP(F1464,Tb_ProjectKosten[],MATCH(Tb_ProjectKosten[[#Headers],[Forfait_Percentage]],Tb_ProjectKosten[#Headers],0),0),AND(F1464="Arbeidskosten",G1464&lt;&gt;""),IFERROR(W1464*VLOOKUP(G1464,Tb_KostenTypen[],3,0)*VLOOKUP(F1464,Tb_ProjectKosten[],MATCH(Tb_ProjectKosten[[#Headers],[Forfait_Percentage]],Tb_ProjectKosten[#Headers],0),0),""),W1464 &lt;=0,0),"")</f>
        <v/>
      </c>
      <c r="AA1464" s="314" t="str" cm="1">
        <f t="array" aca="1" ref="AA1464" ca="1">IFERROR(_xlfn.IFS(OR(F1464="",LEFT(Methode_Keuze,4)="Geen",Methode_Keuze=""),"",AND(X1464&lt;&gt;"",F1464&lt;&gt;"Arbeidskosten"),X1464*VLOOKUP(F1464,Tb_ProjectKosten[],MATCH(Tb_ProjectKosten[[#Headers],[Forfait_Percentage]],Tb_ProjectKosten[#Headers],0),0),AND(F1464="Arbeidskosten",G1464&lt;&gt;""),IFERROR(X1464*VLOOKUP(G1464,Tb_KostenTypen[],3,0)*VLOOKUP(F1464,Tb_ProjectKosten[],MATCH(Tb_ProjectKosten[[#Headers],[Forfait_Percentage]],Tb_ProjectKosten[#Headers],0),0),""),X1464 &lt;=0,0),"")</f>
        <v/>
      </c>
      <c r="AB1464" s="314" t="str">
        <f t="shared" ca="1" si="91"/>
        <v/>
      </c>
      <c r="AC1464" s="322"/>
      <c r="AD1464" s="315"/>
      <c r="AE1464" s="32" t="str" cm="1">
        <f t="array" ref="AE1464">IFERROR(IF(INDEX(SubsidieTabel!$AD$1:$AG$12,MATCH($F1464,SubsidieTabel!$AD$1:$AD$12,0),IFERROR(MATCH(Methode_Keuze,SubsidieTabel!$AD$1:$AG$1,0),2))&lt;&gt;1=TRUE,"ja",""),"")</f>
        <v/>
      </c>
    </row>
    <row r="1465" spans="1:31" x14ac:dyDescent="0.25">
      <c r="A1465" s="316"/>
      <c r="B1465" s="317" t="str">
        <f>IF(A1465&lt;&gt;"",_xlfn.MAXIFS($B$1:B1464,$A$1:A1464,A1465)+1,"")</f>
        <v/>
      </c>
      <c r="C1465" s="296"/>
      <c r="D1465" s="296"/>
      <c r="E1465" s="296"/>
      <c r="F1465" s="296"/>
      <c r="G1465" s="326"/>
      <c r="H1465" s="324"/>
      <c r="I1465" s="325"/>
      <c r="J1465" s="325"/>
      <c r="K1465" s="318"/>
      <c r="L1465" s="318"/>
      <c r="M1465" s="319" t="str">
        <f>IFERROR(VLOOKUP(H1465,Lijsten!$H$1:$I$100,2,0),"")</f>
        <v/>
      </c>
      <c r="N1465" s="319" t="str">
        <f ca="1">IFERROR(IF(VLOOKUP(F1465,Kostentypen!$A$3:$E$21,3,0)=0,"",IF(OR(F1465="Arbeidskosten",F1465="Vergoeding"),VLOOKUP(G1465,Tb_KostenTypen[],2,0),VLOOKUP(F1465,Kostentypen!$A$3:$E$20,3,0))),"")</f>
        <v/>
      </c>
      <c r="O1465" s="320" t="str" cm="1">
        <f t="array" ref="O1465">_xlfn.IFNA(IF(INDEX(Tb_KostenOptiesDB[],MATCH($F1465,Tb_KostenOptiesDB[KostenOptie],0),IFERROR(MATCH(Methode_Keuze,Tb_KostenOptiesDB[#Headers],0),2))=1,_xlfn.SWITCH($N1465,"Uurtarief",IF(OR(AND(RIGHT($F1465,3)="IKS",VLOOKUP($M1465,DB_Loonkosten,2,0)="Ja"),AND(RIGHT($F1465,3)&lt;&gt;"IKS",VLOOKUP($M1465,DB_Loonkosten,2,0)="Nee")),IFERROR(VLOOKUP($M1465,DB_Loonkosten,24,0),""),0),"Vast tarief",IF(LEFT(F1465,8)="Bijdrage",VLOOKUP($F1465,Tb_KostenTypen[],MATCH(Lijsten!$P$1,Tb_KostenTypen[#Headers],0),0),VLOOKUP($G1465,Lijsten!L:P,MATCH(Lijsten!$P$1,Kop_Tarief_Vast,0),0))),""),"")</f>
        <v/>
      </c>
      <c r="P1465" s="320" t="str" cm="1">
        <f t="array" ref="P1465">_xlfn.IFNA(IF(INDEX(Tb_KostenOptiesDB[],MATCH($F1465,Tb_KostenOptiesDB[KostenOptie],0),IFERROR(MATCH(Methode_Keuze,Tb_KostenOptiesDB[#Headers],0),2))=1,_xlfn.SWITCH($N1465,"Uurtarief",IF(OR(AND(RIGHT($F1465,3)="IKS",VLOOKUP($M1465,DB_Loonkosten,2,0)="Ja"),AND(RIGHT($F1465,3)&lt;&gt;"IKS",VLOOKUP($M1465,DB_Loonkosten,2,0)="Nee")),IFERROR(VLOOKUP($M1465,DB_Loonkosten,25,0),""),0),"Vast tarief",IF(LEFT(F1465,8)="Bijdrage",VLOOKUP($F1465,Tb_KostenTypen[],MATCH(Lijsten!$P$1,Tb_KostenTypen[#Headers],0),0),VLOOKUP($G1465,Lijsten!L:P,MATCH(Lijsten!$P$1,Kop_Tarief_Vast,0),0))),""),"")</f>
        <v/>
      </c>
      <c r="Q1465" s="359"/>
      <c r="R1465" s="359"/>
      <c r="S1465" s="321"/>
      <c r="T1465" s="321"/>
      <c r="U1465" s="373" t="str">
        <f t="shared" si="88"/>
        <v/>
      </c>
      <c r="V1465" s="314" t="str">
        <f t="shared" si="89"/>
        <v/>
      </c>
      <c r="W1465" s="314" t="str" cm="1">
        <f t="array" aca="1" ref="W1465" ca="1">IFERROR(IF(AE1465&lt;&gt;"ja",_xlfn.IFNA(_xlfn.IFS(AND(O1465&lt;&gt;"",F1465&lt;&gt;"",RIGHT($N1465,6)="tarief",F1465="Vergoeding"),SUM(O1465)*FLOOR(SUM(Q1465),0.0001),AND(O1465&lt;&gt;"",F1465&lt;&gt;"",RIGHT($N1465,6)="tarief"),SUM(O1465)*FLOOR(SUM(Q1465),0.01),S1465&gt;0,IF(F1465&lt;&gt;"",FLOOR(SUM(S1465),0.01),"")),""),""),"")</f>
        <v/>
      </c>
      <c r="X1465" s="314" t="str" cm="1">
        <f t="array" aca="1" ref="X1465" ca="1">IFERROR(IF(AE1465&lt;&gt;"ja",_xlfn.IFNA(_xlfn.IFS(AND(P1465&lt;&gt;"",R1465&lt;&gt;"",RIGHT($N1465,6)="tarief",F1465="Vergoeding"),SUM(P1465)*FLOOR(SUM(R1465),0.0001),AND(P1465&lt;&gt;"",R1465&lt;&gt;"",RIGHT($N1465,6)="tarief"),P1465*FLOOR(R1465,0.01),T1465&gt;0,FLOOR(SUM(T1465),0.01)),""),""),"")</f>
        <v/>
      </c>
      <c r="Y1465" s="314" t="str">
        <f t="shared" ca="1" si="90"/>
        <v/>
      </c>
      <c r="Z1465" s="314" t="str" cm="1">
        <f t="array" aca="1" ref="Z1465" ca="1">IFERROR(_xlfn.IFS(OR(F1465="",LEFT(Methode_Keuze,4)="Geen",Methode_Keuze=""),"",AND(W1465&lt;&gt;"",F1465&lt;&gt;"Arbeidskosten"),W1465*VLOOKUP(F1465,Tb_ProjectKosten[],MATCH(Tb_ProjectKosten[[#Headers],[Forfait_Percentage]],Tb_ProjectKosten[#Headers],0),0),AND(F1465="Arbeidskosten",G1465&lt;&gt;""),IFERROR(W1465*VLOOKUP(G1465,Tb_KostenTypen[],3,0)*VLOOKUP(F1465,Tb_ProjectKosten[],MATCH(Tb_ProjectKosten[[#Headers],[Forfait_Percentage]],Tb_ProjectKosten[#Headers],0),0),""),W1465 &lt;=0,0),"")</f>
        <v/>
      </c>
      <c r="AA1465" s="314" t="str" cm="1">
        <f t="array" aca="1" ref="AA1465" ca="1">IFERROR(_xlfn.IFS(OR(F1465="",LEFT(Methode_Keuze,4)="Geen",Methode_Keuze=""),"",AND(X1465&lt;&gt;"",F1465&lt;&gt;"Arbeidskosten"),X1465*VLOOKUP(F1465,Tb_ProjectKosten[],MATCH(Tb_ProjectKosten[[#Headers],[Forfait_Percentage]],Tb_ProjectKosten[#Headers],0),0),AND(F1465="Arbeidskosten",G1465&lt;&gt;""),IFERROR(X1465*VLOOKUP(G1465,Tb_KostenTypen[],3,0)*VLOOKUP(F1465,Tb_ProjectKosten[],MATCH(Tb_ProjectKosten[[#Headers],[Forfait_Percentage]],Tb_ProjectKosten[#Headers],0),0),""),X1465 &lt;=0,0),"")</f>
        <v/>
      </c>
      <c r="AB1465" s="314" t="str">
        <f t="shared" ca="1" si="91"/>
        <v/>
      </c>
      <c r="AC1465" s="322"/>
      <c r="AD1465" s="315"/>
      <c r="AE1465" s="32" t="str" cm="1">
        <f t="array" ref="AE1465">IFERROR(IF(INDEX(SubsidieTabel!$AD$1:$AG$12,MATCH($F1465,SubsidieTabel!$AD$1:$AD$12,0),IFERROR(MATCH(Methode_Keuze,SubsidieTabel!$AD$1:$AG$1,0),2))&lt;&gt;1=TRUE,"ja",""),"")</f>
        <v/>
      </c>
    </row>
    <row r="1466" spans="1:31" x14ac:dyDescent="0.25">
      <c r="A1466" s="316"/>
      <c r="B1466" s="317" t="str">
        <f>IF(A1466&lt;&gt;"",_xlfn.MAXIFS($B$1:B1465,$A$1:A1465,A1466)+1,"")</f>
        <v/>
      </c>
      <c r="C1466" s="296"/>
      <c r="D1466" s="296"/>
      <c r="E1466" s="296"/>
      <c r="F1466" s="296"/>
      <c r="G1466" s="326"/>
      <c r="H1466" s="324"/>
      <c r="I1466" s="325"/>
      <c r="J1466" s="325"/>
      <c r="K1466" s="318"/>
      <c r="L1466" s="318"/>
      <c r="M1466" s="319" t="str">
        <f>IFERROR(VLOOKUP(H1466,Lijsten!$H$1:$I$100,2,0),"")</f>
        <v/>
      </c>
      <c r="N1466" s="319" t="str">
        <f ca="1">IFERROR(IF(VLOOKUP(F1466,Kostentypen!$A$3:$E$21,3,0)=0,"",IF(OR(F1466="Arbeidskosten",F1466="Vergoeding"),VLOOKUP(G1466,Tb_KostenTypen[],2,0),VLOOKUP(F1466,Kostentypen!$A$3:$E$20,3,0))),"")</f>
        <v/>
      </c>
      <c r="O1466" s="320" t="str" cm="1">
        <f t="array" ref="O1466">_xlfn.IFNA(IF(INDEX(Tb_KostenOptiesDB[],MATCH($F1466,Tb_KostenOptiesDB[KostenOptie],0),IFERROR(MATCH(Methode_Keuze,Tb_KostenOptiesDB[#Headers],0),2))=1,_xlfn.SWITCH($N1466,"Uurtarief",IF(OR(AND(RIGHT($F1466,3)="IKS",VLOOKUP($M1466,DB_Loonkosten,2,0)="Ja"),AND(RIGHT($F1466,3)&lt;&gt;"IKS",VLOOKUP($M1466,DB_Loonkosten,2,0)="Nee")),IFERROR(VLOOKUP($M1466,DB_Loonkosten,24,0),""),0),"Vast tarief",IF(LEFT(F1466,8)="Bijdrage",VLOOKUP($F1466,Tb_KostenTypen[],MATCH(Lijsten!$P$1,Tb_KostenTypen[#Headers],0),0),VLOOKUP($G1466,Lijsten!L:P,MATCH(Lijsten!$P$1,Kop_Tarief_Vast,0),0))),""),"")</f>
        <v/>
      </c>
      <c r="P1466" s="320" t="str" cm="1">
        <f t="array" ref="P1466">_xlfn.IFNA(IF(INDEX(Tb_KostenOptiesDB[],MATCH($F1466,Tb_KostenOptiesDB[KostenOptie],0),IFERROR(MATCH(Methode_Keuze,Tb_KostenOptiesDB[#Headers],0),2))=1,_xlfn.SWITCH($N1466,"Uurtarief",IF(OR(AND(RIGHT($F1466,3)="IKS",VLOOKUP($M1466,DB_Loonkosten,2,0)="Ja"),AND(RIGHT($F1466,3)&lt;&gt;"IKS",VLOOKUP($M1466,DB_Loonkosten,2,0)="Nee")),IFERROR(VLOOKUP($M1466,DB_Loonkosten,25,0),""),0),"Vast tarief",IF(LEFT(F1466,8)="Bijdrage",VLOOKUP($F1466,Tb_KostenTypen[],MATCH(Lijsten!$P$1,Tb_KostenTypen[#Headers],0),0),VLOOKUP($G1466,Lijsten!L:P,MATCH(Lijsten!$P$1,Kop_Tarief_Vast,0),0))),""),"")</f>
        <v/>
      </c>
      <c r="Q1466" s="359"/>
      <c r="R1466" s="359"/>
      <c r="S1466" s="321"/>
      <c r="T1466" s="321"/>
      <c r="U1466" s="373" t="str">
        <f t="shared" si="88"/>
        <v/>
      </c>
      <c r="V1466" s="314" t="str">
        <f t="shared" si="89"/>
        <v/>
      </c>
      <c r="W1466" s="314" t="str" cm="1">
        <f t="array" aca="1" ref="W1466" ca="1">IFERROR(IF(AE1466&lt;&gt;"ja",_xlfn.IFNA(_xlfn.IFS(AND(O1466&lt;&gt;"",F1466&lt;&gt;"",RIGHT($N1466,6)="tarief",F1466="Vergoeding"),SUM(O1466)*FLOOR(SUM(Q1466),0.0001),AND(O1466&lt;&gt;"",F1466&lt;&gt;"",RIGHT($N1466,6)="tarief"),SUM(O1466)*FLOOR(SUM(Q1466),0.01),S1466&gt;0,IF(F1466&lt;&gt;"",FLOOR(SUM(S1466),0.01),"")),""),""),"")</f>
        <v/>
      </c>
      <c r="X1466" s="314" t="str" cm="1">
        <f t="array" aca="1" ref="X1466" ca="1">IFERROR(IF(AE1466&lt;&gt;"ja",_xlfn.IFNA(_xlfn.IFS(AND(P1466&lt;&gt;"",R1466&lt;&gt;"",RIGHT($N1466,6)="tarief",F1466="Vergoeding"),SUM(P1466)*FLOOR(SUM(R1466),0.0001),AND(P1466&lt;&gt;"",R1466&lt;&gt;"",RIGHT($N1466,6)="tarief"),P1466*FLOOR(R1466,0.01),T1466&gt;0,FLOOR(SUM(T1466),0.01)),""),""),"")</f>
        <v/>
      </c>
      <c r="Y1466" s="314" t="str">
        <f t="shared" ca="1" si="90"/>
        <v/>
      </c>
      <c r="Z1466" s="314" t="str" cm="1">
        <f t="array" aca="1" ref="Z1466" ca="1">IFERROR(_xlfn.IFS(OR(F1466="",LEFT(Methode_Keuze,4)="Geen",Methode_Keuze=""),"",AND(W1466&lt;&gt;"",F1466&lt;&gt;"Arbeidskosten"),W1466*VLOOKUP(F1466,Tb_ProjectKosten[],MATCH(Tb_ProjectKosten[[#Headers],[Forfait_Percentage]],Tb_ProjectKosten[#Headers],0),0),AND(F1466="Arbeidskosten",G1466&lt;&gt;""),IFERROR(W1466*VLOOKUP(G1466,Tb_KostenTypen[],3,0)*VLOOKUP(F1466,Tb_ProjectKosten[],MATCH(Tb_ProjectKosten[[#Headers],[Forfait_Percentage]],Tb_ProjectKosten[#Headers],0),0),""),W1466 &lt;=0,0),"")</f>
        <v/>
      </c>
      <c r="AA1466" s="314" t="str" cm="1">
        <f t="array" aca="1" ref="AA1466" ca="1">IFERROR(_xlfn.IFS(OR(F1466="",LEFT(Methode_Keuze,4)="Geen",Methode_Keuze=""),"",AND(X1466&lt;&gt;"",F1466&lt;&gt;"Arbeidskosten"),X1466*VLOOKUP(F1466,Tb_ProjectKosten[],MATCH(Tb_ProjectKosten[[#Headers],[Forfait_Percentage]],Tb_ProjectKosten[#Headers],0),0),AND(F1466="Arbeidskosten",G1466&lt;&gt;""),IFERROR(X1466*VLOOKUP(G1466,Tb_KostenTypen[],3,0)*VLOOKUP(F1466,Tb_ProjectKosten[],MATCH(Tb_ProjectKosten[[#Headers],[Forfait_Percentage]],Tb_ProjectKosten[#Headers],0),0),""),X1466 &lt;=0,0),"")</f>
        <v/>
      </c>
      <c r="AB1466" s="314" t="str">
        <f t="shared" ca="1" si="91"/>
        <v/>
      </c>
      <c r="AC1466" s="322"/>
      <c r="AD1466" s="315"/>
      <c r="AE1466" s="32" t="str" cm="1">
        <f t="array" ref="AE1466">IFERROR(IF(INDEX(SubsidieTabel!$AD$1:$AG$12,MATCH($F1466,SubsidieTabel!$AD$1:$AD$12,0),IFERROR(MATCH(Methode_Keuze,SubsidieTabel!$AD$1:$AG$1,0),2))&lt;&gt;1=TRUE,"ja",""),"")</f>
        <v/>
      </c>
    </row>
    <row r="1467" spans="1:31" x14ac:dyDescent="0.25">
      <c r="A1467" s="316"/>
      <c r="B1467" s="317" t="str">
        <f>IF(A1467&lt;&gt;"",_xlfn.MAXIFS($B$1:B1466,$A$1:A1466,A1467)+1,"")</f>
        <v/>
      </c>
      <c r="C1467" s="296"/>
      <c r="D1467" s="296"/>
      <c r="E1467" s="296"/>
      <c r="F1467" s="296"/>
      <c r="G1467" s="326"/>
      <c r="H1467" s="324"/>
      <c r="I1467" s="325"/>
      <c r="J1467" s="325"/>
      <c r="K1467" s="318"/>
      <c r="L1467" s="318"/>
      <c r="M1467" s="319" t="str">
        <f>IFERROR(VLOOKUP(H1467,Lijsten!$H$1:$I$100,2,0),"")</f>
        <v/>
      </c>
      <c r="N1467" s="319" t="str">
        <f ca="1">IFERROR(IF(VLOOKUP(F1467,Kostentypen!$A$3:$E$21,3,0)=0,"",IF(OR(F1467="Arbeidskosten",F1467="Vergoeding"),VLOOKUP(G1467,Tb_KostenTypen[],2,0),VLOOKUP(F1467,Kostentypen!$A$3:$E$20,3,0))),"")</f>
        <v/>
      </c>
      <c r="O1467" s="320" t="str" cm="1">
        <f t="array" ref="O1467">_xlfn.IFNA(IF(INDEX(Tb_KostenOptiesDB[],MATCH($F1467,Tb_KostenOptiesDB[KostenOptie],0),IFERROR(MATCH(Methode_Keuze,Tb_KostenOptiesDB[#Headers],0),2))=1,_xlfn.SWITCH($N1467,"Uurtarief",IF(OR(AND(RIGHT($F1467,3)="IKS",VLOOKUP($M1467,DB_Loonkosten,2,0)="Ja"),AND(RIGHT($F1467,3)&lt;&gt;"IKS",VLOOKUP($M1467,DB_Loonkosten,2,0)="Nee")),IFERROR(VLOOKUP($M1467,DB_Loonkosten,24,0),""),0),"Vast tarief",IF(LEFT(F1467,8)="Bijdrage",VLOOKUP($F1467,Tb_KostenTypen[],MATCH(Lijsten!$P$1,Tb_KostenTypen[#Headers],0),0),VLOOKUP($G1467,Lijsten!L:P,MATCH(Lijsten!$P$1,Kop_Tarief_Vast,0),0))),""),"")</f>
        <v/>
      </c>
      <c r="P1467" s="320" t="str" cm="1">
        <f t="array" ref="P1467">_xlfn.IFNA(IF(INDEX(Tb_KostenOptiesDB[],MATCH($F1467,Tb_KostenOptiesDB[KostenOptie],0),IFERROR(MATCH(Methode_Keuze,Tb_KostenOptiesDB[#Headers],0),2))=1,_xlfn.SWITCH($N1467,"Uurtarief",IF(OR(AND(RIGHT($F1467,3)="IKS",VLOOKUP($M1467,DB_Loonkosten,2,0)="Ja"),AND(RIGHT($F1467,3)&lt;&gt;"IKS",VLOOKUP($M1467,DB_Loonkosten,2,0)="Nee")),IFERROR(VLOOKUP($M1467,DB_Loonkosten,25,0),""),0),"Vast tarief",IF(LEFT(F1467,8)="Bijdrage",VLOOKUP($F1467,Tb_KostenTypen[],MATCH(Lijsten!$P$1,Tb_KostenTypen[#Headers],0),0),VLOOKUP($G1467,Lijsten!L:P,MATCH(Lijsten!$P$1,Kop_Tarief_Vast,0),0))),""),"")</f>
        <v/>
      </c>
      <c r="Q1467" s="359"/>
      <c r="R1467" s="359"/>
      <c r="S1467" s="321"/>
      <c r="T1467" s="321"/>
      <c r="U1467" s="373" t="str">
        <f t="shared" si="88"/>
        <v/>
      </c>
      <c r="V1467" s="314" t="str">
        <f t="shared" si="89"/>
        <v/>
      </c>
      <c r="W1467" s="314" t="str" cm="1">
        <f t="array" aca="1" ref="W1467" ca="1">IFERROR(IF(AE1467&lt;&gt;"ja",_xlfn.IFNA(_xlfn.IFS(AND(O1467&lt;&gt;"",F1467&lt;&gt;"",RIGHT($N1467,6)="tarief",F1467="Vergoeding"),SUM(O1467)*FLOOR(SUM(Q1467),0.0001),AND(O1467&lt;&gt;"",F1467&lt;&gt;"",RIGHT($N1467,6)="tarief"),SUM(O1467)*FLOOR(SUM(Q1467),0.01),S1467&gt;0,IF(F1467&lt;&gt;"",FLOOR(SUM(S1467),0.01),"")),""),""),"")</f>
        <v/>
      </c>
      <c r="X1467" s="314" t="str" cm="1">
        <f t="array" aca="1" ref="X1467" ca="1">IFERROR(IF(AE1467&lt;&gt;"ja",_xlfn.IFNA(_xlfn.IFS(AND(P1467&lt;&gt;"",R1467&lt;&gt;"",RIGHT($N1467,6)="tarief",F1467="Vergoeding"),SUM(P1467)*FLOOR(SUM(R1467),0.0001),AND(P1467&lt;&gt;"",R1467&lt;&gt;"",RIGHT($N1467,6)="tarief"),P1467*FLOOR(R1467,0.01),T1467&gt;0,FLOOR(SUM(T1467),0.01)),""),""),"")</f>
        <v/>
      </c>
      <c r="Y1467" s="314" t="str">
        <f t="shared" ca="1" si="90"/>
        <v/>
      </c>
      <c r="Z1467" s="314" t="str" cm="1">
        <f t="array" aca="1" ref="Z1467" ca="1">IFERROR(_xlfn.IFS(OR(F1467="",LEFT(Methode_Keuze,4)="Geen",Methode_Keuze=""),"",AND(W1467&lt;&gt;"",F1467&lt;&gt;"Arbeidskosten"),W1467*VLOOKUP(F1467,Tb_ProjectKosten[],MATCH(Tb_ProjectKosten[[#Headers],[Forfait_Percentage]],Tb_ProjectKosten[#Headers],0),0),AND(F1467="Arbeidskosten",G1467&lt;&gt;""),IFERROR(W1467*VLOOKUP(G1467,Tb_KostenTypen[],3,0)*VLOOKUP(F1467,Tb_ProjectKosten[],MATCH(Tb_ProjectKosten[[#Headers],[Forfait_Percentage]],Tb_ProjectKosten[#Headers],0),0),""),W1467 &lt;=0,0),"")</f>
        <v/>
      </c>
      <c r="AA1467" s="314" t="str" cm="1">
        <f t="array" aca="1" ref="AA1467" ca="1">IFERROR(_xlfn.IFS(OR(F1467="",LEFT(Methode_Keuze,4)="Geen",Methode_Keuze=""),"",AND(X1467&lt;&gt;"",F1467&lt;&gt;"Arbeidskosten"),X1467*VLOOKUP(F1467,Tb_ProjectKosten[],MATCH(Tb_ProjectKosten[[#Headers],[Forfait_Percentage]],Tb_ProjectKosten[#Headers],0),0),AND(F1467="Arbeidskosten",G1467&lt;&gt;""),IFERROR(X1467*VLOOKUP(G1467,Tb_KostenTypen[],3,0)*VLOOKUP(F1467,Tb_ProjectKosten[],MATCH(Tb_ProjectKosten[[#Headers],[Forfait_Percentage]],Tb_ProjectKosten[#Headers],0),0),""),X1467 &lt;=0,0),"")</f>
        <v/>
      </c>
      <c r="AB1467" s="314" t="str">
        <f t="shared" ca="1" si="91"/>
        <v/>
      </c>
      <c r="AC1467" s="322"/>
      <c r="AD1467" s="315"/>
      <c r="AE1467" s="32" t="str" cm="1">
        <f t="array" ref="AE1467">IFERROR(IF(INDEX(SubsidieTabel!$AD$1:$AG$12,MATCH($F1467,SubsidieTabel!$AD$1:$AD$12,0),IFERROR(MATCH(Methode_Keuze,SubsidieTabel!$AD$1:$AG$1,0),2))&lt;&gt;1=TRUE,"ja",""),"")</f>
        <v/>
      </c>
    </row>
    <row r="1468" spans="1:31" x14ac:dyDescent="0.25">
      <c r="A1468" s="316"/>
      <c r="B1468" s="317" t="str">
        <f>IF(A1468&lt;&gt;"",_xlfn.MAXIFS($B$1:B1467,$A$1:A1467,A1468)+1,"")</f>
        <v/>
      </c>
      <c r="C1468" s="296"/>
      <c r="D1468" s="296"/>
      <c r="E1468" s="296"/>
      <c r="F1468" s="296"/>
      <c r="G1468" s="326"/>
      <c r="H1468" s="324"/>
      <c r="I1468" s="325"/>
      <c r="J1468" s="325"/>
      <c r="K1468" s="318"/>
      <c r="L1468" s="318"/>
      <c r="M1468" s="319" t="str">
        <f>IFERROR(VLOOKUP(H1468,Lijsten!$H$1:$I$100,2,0),"")</f>
        <v/>
      </c>
      <c r="N1468" s="319" t="str">
        <f ca="1">IFERROR(IF(VLOOKUP(F1468,Kostentypen!$A$3:$E$21,3,0)=0,"",IF(OR(F1468="Arbeidskosten",F1468="Vergoeding"),VLOOKUP(G1468,Tb_KostenTypen[],2,0),VLOOKUP(F1468,Kostentypen!$A$3:$E$20,3,0))),"")</f>
        <v/>
      </c>
      <c r="O1468" s="320" t="str" cm="1">
        <f t="array" ref="O1468">_xlfn.IFNA(IF(INDEX(Tb_KostenOptiesDB[],MATCH($F1468,Tb_KostenOptiesDB[KostenOptie],0),IFERROR(MATCH(Methode_Keuze,Tb_KostenOptiesDB[#Headers],0),2))=1,_xlfn.SWITCH($N1468,"Uurtarief",IF(OR(AND(RIGHT($F1468,3)="IKS",VLOOKUP($M1468,DB_Loonkosten,2,0)="Ja"),AND(RIGHT($F1468,3)&lt;&gt;"IKS",VLOOKUP($M1468,DB_Loonkosten,2,0)="Nee")),IFERROR(VLOOKUP($M1468,DB_Loonkosten,24,0),""),0),"Vast tarief",IF(LEFT(F1468,8)="Bijdrage",VLOOKUP($F1468,Tb_KostenTypen[],MATCH(Lijsten!$P$1,Tb_KostenTypen[#Headers],0),0),VLOOKUP($G1468,Lijsten!L:P,MATCH(Lijsten!$P$1,Kop_Tarief_Vast,0),0))),""),"")</f>
        <v/>
      </c>
      <c r="P1468" s="320" t="str" cm="1">
        <f t="array" ref="P1468">_xlfn.IFNA(IF(INDEX(Tb_KostenOptiesDB[],MATCH($F1468,Tb_KostenOptiesDB[KostenOptie],0),IFERROR(MATCH(Methode_Keuze,Tb_KostenOptiesDB[#Headers],0),2))=1,_xlfn.SWITCH($N1468,"Uurtarief",IF(OR(AND(RIGHT($F1468,3)="IKS",VLOOKUP($M1468,DB_Loonkosten,2,0)="Ja"),AND(RIGHT($F1468,3)&lt;&gt;"IKS",VLOOKUP($M1468,DB_Loonkosten,2,0)="Nee")),IFERROR(VLOOKUP($M1468,DB_Loonkosten,25,0),""),0),"Vast tarief",IF(LEFT(F1468,8)="Bijdrage",VLOOKUP($F1468,Tb_KostenTypen[],MATCH(Lijsten!$P$1,Tb_KostenTypen[#Headers],0),0),VLOOKUP($G1468,Lijsten!L:P,MATCH(Lijsten!$P$1,Kop_Tarief_Vast,0),0))),""),"")</f>
        <v/>
      </c>
      <c r="Q1468" s="359"/>
      <c r="R1468" s="359"/>
      <c r="S1468" s="321"/>
      <c r="T1468" s="321"/>
      <c r="U1468" s="373" t="str">
        <f t="shared" si="88"/>
        <v/>
      </c>
      <c r="V1468" s="314" t="str">
        <f t="shared" si="89"/>
        <v/>
      </c>
      <c r="W1468" s="314" t="str" cm="1">
        <f t="array" aca="1" ref="W1468" ca="1">IFERROR(IF(AE1468&lt;&gt;"ja",_xlfn.IFNA(_xlfn.IFS(AND(O1468&lt;&gt;"",F1468&lt;&gt;"",RIGHT($N1468,6)="tarief",F1468="Vergoeding"),SUM(O1468)*FLOOR(SUM(Q1468),0.0001),AND(O1468&lt;&gt;"",F1468&lt;&gt;"",RIGHT($N1468,6)="tarief"),SUM(O1468)*FLOOR(SUM(Q1468),0.01),S1468&gt;0,IF(F1468&lt;&gt;"",FLOOR(SUM(S1468),0.01),"")),""),""),"")</f>
        <v/>
      </c>
      <c r="X1468" s="314" t="str" cm="1">
        <f t="array" aca="1" ref="X1468" ca="1">IFERROR(IF(AE1468&lt;&gt;"ja",_xlfn.IFNA(_xlfn.IFS(AND(P1468&lt;&gt;"",R1468&lt;&gt;"",RIGHT($N1468,6)="tarief",F1468="Vergoeding"),SUM(P1468)*FLOOR(SUM(R1468),0.0001),AND(P1468&lt;&gt;"",R1468&lt;&gt;"",RIGHT($N1468,6)="tarief"),P1468*FLOOR(R1468,0.01),T1468&gt;0,FLOOR(SUM(T1468),0.01)),""),""),"")</f>
        <v/>
      </c>
      <c r="Y1468" s="314" t="str">
        <f t="shared" ca="1" si="90"/>
        <v/>
      </c>
      <c r="Z1468" s="314" t="str" cm="1">
        <f t="array" aca="1" ref="Z1468" ca="1">IFERROR(_xlfn.IFS(OR(F1468="",LEFT(Methode_Keuze,4)="Geen",Methode_Keuze=""),"",AND(W1468&lt;&gt;"",F1468&lt;&gt;"Arbeidskosten"),W1468*VLOOKUP(F1468,Tb_ProjectKosten[],MATCH(Tb_ProjectKosten[[#Headers],[Forfait_Percentage]],Tb_ProjectKosten[#Headers],0),0),AND(F1468="Arbeidskosten",G1468&lt;&gt;""),IFERROR(W1468*VLOOKUP(G1468,Tb_KostenTypen[],3,0)*VLOOKUP(F1468,Tb_ProjectKosten[],MATCH(Tb_ProjectKosten[[#Headers],[Forfait_Percentage]],Tb_ProjectKosten[#Headers],0),0),""),W1468 &lt;=0,0),"")</f>
        <v/>
      </c>
      <c r="AA1468" s="314" t="str" cm="1">
        <f t="array" aca="1" ref="AA1468" ca="1">IFERROR(_xlfn.IFS(OR(F1468="",LEFT(Methode_Keuze,4)="Geen",Methode_Keuze=""),"",AND(X1468&lt;&gt;"",F1468&lt;&gt;"Arbeidskosten"),X1468*VLOOKUP(F1468,Tb_ProjectKosten[],MATCH(Tb_ProjectKosten[[#Headers],[Forfait_Percentage]],Tb_ProjectKosten[#Headers],0),0),AND(F1468="Arbeidskosten",G1468&lt;&gt;""),IFERROR(X1468*VLOOKUP(G1468,Tb_KostenTypen[],3,0)*VLOOKUP(F1468,Tb_ProjectKosten[],MATCH(Tb_ProjectKosten[[#Headers],[Forfait_Percentage]],Tb_ProjectKosten[#Headers],0),0),""),X1468 &lt;=0,0),"")</f>
        <v/>
      </c>
      <c r="AB1468" s="314" t="str">
        <f t="shared" ca="1" si="91"/>
        <v/>
      </c>
      <c r="AC1468" s="322"/>
      <c r="AD1468" s="315"/>
      <c r="AE1468" s="32" t="str" cm="1">
        <f t="array" ref="AE1468">IFERROR(IF(INDEX(SubsidieTabel!$AD$1:$AG$12,MATCH($F1468,SubsidieTabel!$AD$1:$AD$12,0),IFERROR(MATCH(Methode_Keuze,SubsidieTabel!$AD$1:$AG$1,0),2))&lt;&gt;1=TRUE,"ja",""),"")</f>
        <v/>
      </c>
    </row>
    <row r="1469" spans="1:31" x14ac:dyDescent="0.25">
      <c r="A1469" s="316"/>
      <c r="B1469" s="317" t="str">
        <f>IF(A1469&lt;&gt;"",_xlfn.MAXIFS($B$1:B1468,$A$1:A1468,A1469)+1,"")</f>
        <v/>
      </c>
      <c r="C1469" s="296"/>
      <c r="D1469" s="296"/>
      <c r="E1469" s="296"/>
      <c r="F1469" s="296"/>
      <c r="G1469" s="326"/>
      <c r="H1469" s="324"/>
      <c r="I1469" s="325"/>
      <c r="J1469" s="325"/>
      <c r="K1469" s="318"/>
      <c r="L1469" s="318"/>
      <c r="M1469" s="319" t="str">
        <f>IFERROR(VLOOKUP(H1469,Lijsten!$H$1:$I$100,2,0),"")</f>
        <v/>
      </c>
      <c r="N1469" s="319" t="str">
        <f ca="1">IFERROR(IF(VLOOKUP(F1469,Kostentypen!$A$3:$E$21,3,0)=0,"",IF(OR(F1469="Arbeidskosten",F1469="Vergoeding"),VLOOKUP(G1469,Tb_KostenTypen[],2,0),VLOOKUP(F1469,Kostentypen!$A$3:$E$20,3,0))),"")</f>
        <v/>
      </c>
      <c r="O1469" s="320" t="str" cm="1">
        <f t="array" ref="O1469">_xlfn.IFNA(IF(INDEX(Tb_KostenOptiesDB[],MATCH($F1469,Tb_KostenOptiesDB[KostenOptie],0),IFERROR(MATCH(Methode_Keuze,Tb_KostenOptiesDB[#Headers],0),2))=1,_xlfn.SWITCH($N1469,"Uurtarief",IF(OR(AND(RIGHT($F1469,3)="IKS",VLOOKUP($M1469,DB_Loonkosten,2,0)="Ja"),AND(RIGHT($F1469,3)&lt;&gt;"IKS",VLOOKUP($M1469,DB_Loonkosten,2,0)="Nee")),IFERROR(VLOOKUP($M1469,DB_Loonkosten,24,0),""),0),"Vast tarief",IF(LEFT(F1469,8)="Bijdrage",VLOOKUP($F1469,Tb_KostenTypen[],MATCH(Lijsten!$P$1,Tb_KostenTypen[#Headers],0),0),VLOOKUP($G1469,Lijsten!L:P,MATCH(Lijsten!$P$1,Kop_Tarief_Vast,0),0))),""),"")</f>
        <v/>
      </c>
      <c r="P1469" s="320" t="str" cm="1">
        <f t="array" ref="P1469">_xlfn.IFNA(IF(INDEX(Tb_KostenOptiesDB[],MATCH($F1469,Tb_KostenOptiesDB[KostenOptie],0),IFERROR(MATCH(Methode_Keuze,Tb_KostenOptiesDB[#Headers],0),2))=1,_xlfn.SWITCH($N1469,"Uurtarief",IF(OR(AND(RIGHT($F1469,3)="IKS",VLOOKUP($M1469,DB_Loonkosten,2,0)="Ja"),AND(RIGHT($F1469,3)&lt;&gt;"IKS",VLOOKUP($M1469,DB_Loonkosten,2,0)="Nee")),IFERROR(VLOOKUP($M1469,DB_Loonkosten,25,0),""),0),"Vast tarief",IF(LEFT(F1469,8)="Bijdrage",VLOOKUP($F1469,Tb_KostenTypen[],MATCH(Lijsten!$P$1,Tb_KostenTypen[#Headers],0),0),VLOOKUP($G1469,Lijsten!L:P,MATCH(Lijsten!$P$1,Kop_Tarief_Vast,0),0))),""),"")</f>
        <v/>
      </c>
      <c r="Q1469" s="359"/>
      <c r="R1469" s="359"/>
      <c r="S1469" s="321"/>
      <c r="T1469" s="321"/>
      <c r="U1469" s="373" t="str">
        <f t="shared" si="88"/>
        <v/>
      </c>
      <c r="V1469" s="314" t="str">
        <f t="shared" si="89"/>
        <v/>
      </c>
      <c r="W1469" s="314" t="str" cm="1">
        <f t="array" aca="1" ref="W1469" ca="1">IFERROR(IF(AE1469&lt;&gt;"ja",_xlfn.IFNA(_xlfn.IFS(AND(O1469&lt;&gt;"",F1469&lt;&gt;"",RIGHT($N1469,6)="tarief",F1469="Vergoeding"),SUM(O1469)*FLOOR(SUM(Q1469),0.0001),AND(O1469&lt;&gt;"",F1469&lt;&gt;"",RIGHT($N1469,6)="tarief"),SUM(O1469)*FLOOR(SUM(Q1469),0.01),S1469&gt;0,IF(F1469&lt;&gt;"",FLOOR(SUM(S1469),0.01),"")),""),""),"")</f>
        <v/>
      </c>
      <c r="X1469" s="314" t="str" cm="1">
        <f t="array" aca="1" ref="X1469" ca="1">IFERROR(IF(AE1469&lt;&gt;"ja",_xlfn.IFNA(_xlfn.IFS(AND(P1469&lt;&gt;"",R1469&lt;&gt;"",RIGHT($N1469,6)="tarief",F1469="Vergoeding"),SUM(P1469)*FLOOR(SUM(R1469),0.0001),AND(P1469&lt;&gt;"",R1469&lt;&gt;"",RIGHT($N1469,6)="tarief"),P1469*FLOOR(R1469,0.01),T1469&gt;0,FLOOR(SUM(T1469),0.01)),""),""),"")</f>
        <v/>
      </c>
      <c r="Y1469" s="314" t="str">
        <f t="shared" ca="1" si="90"/>
        <v/>
      </c>
      <c r="Z1469" s="314" t="str" cm="1">
        <f t="array" aca="1" ref="Z1469" ca="1">IFERROR(_xlfn.IFS(OR(F1469="",LEFT(Methode_Keuze,4)="Geen",Methode_Keuze=""),"",AND(W1469&lt;&gt;"",F1469&lt;&gt;"Arbeidskosten"),W1469*VLOOKUP(F1469,Tb_ProjectKosten[],MATCH(Tb_ProjectKosten[[#Headers],[Forfait_Percentage]],Tb_ProjectKosten[#Headers],0),0),AND(F1469="Arbeidskosten",G1469&lt;&gt;""),IFERROR(W1469*VLOOKUP(G1469,Tb_KostenTypen[],3,0)*VLOOKUP(F1469,Tb_ProjectKosten[],MATCH(Tb_ProjectKosten[[#Headers],[Forfait_Percentage]],Tb_ProjectKosten[#Headers],0),0),""),W1469 &lt;=0,0),"")</f>
        <v/>
      </c>
      <c r="AA1469" s="314" t="str" cm="1">
        <f t="array" aca="1" ref="AA1469" ca="1">IFERROR(_xlfn.IFS(OR(F1469="",LEFT(Methode_Keuze,4)="Geen",Methode_Keuze=""),"",AND(X1469&lt;&gt;"",F1469&lt;&gt;"Arbeidskosten"),X1469*VLOOKUP(F1469,Tb_ProjectKosten[],MATCH(Tb_ProjectKosten[[#Headers],[Forfait_Percentage]],Tb_ProjectKosten[#Headers],0),0),AND(F1469="Arbeidskosten",G1469&lt;&gt;""),IFERROR(X1469*VLOOKUP(G1469,Tb_KostenTypen[],3,0)*VLOOKUP(F1469,Tb_ProjectKosten[],MATCH(Tb_ProjectKosten[[#Headers],[Forfait_Percentage]],Tb_ProjectKosten[#Headers],0),0),""),X1469 &lt;=0,0),"")</f>
        <v/>
      </c>
      <c r="AB1469" s="314" t="str">
        <f t="shared" ca="1" si="91"/>
        <v/>
      </c>
      <c r="AC1469" s="322"/>
      <c r="AD1469" s="315"/>
      <c r="AE1469" s="32" t="str" cm="1">
        <f t="array" ref="AE1469">IFERROR(IF(INDEX(SubsidieTabel!$AD$1:$AG$12,MATCH($F1469,SubsidieTabel!$AD$1:$AD$12,0),IFERROR(MATCH(Methode_Keuze,SubsidieTabel!$AD$1:$AG$1,0),2))&lt;&gt;1=TRUE,"ja",""),"")</f>
        <v/>
      </c>
    </row>
    <row r="1470" spans="1:31" x14ac:dyDescent="0.25">
      <c r="A1470" s="316"/>
      <c r="B1470" s="317" t="str">
        <f>IF(A1470&lt;&gt;"",_xlfn.MAXIFS($B$1:B1469,$A$1:A1469,A1470)+1,"")</f>
        <v/>
      </c>
      <c r="C1470" s="296"/>
      <c r="D1470" s="296"/>
      <c r="E1470" s="296"/>
      <c r="F1470" s="296"/>
      <c r="G1470" s="326"/>
      <c r="H1470" s="324"/>
      <c r="I1470" s="325"/>
      <c r="J1470" s="325"/>
      <c r="K1470" s="318"/>
      <c r="L1470" s="318"/>
      <c r="M1470" s="319" t="str">
        <f>IFERROR(VLOOKUP(H1470,Lijsten!$H$1:$I$100,2,0),"")</f>
        <v/>
      </c>
      <c r="N1470" s="319" t="str">
        <f ca="1">IFERROR(IF(VLOOKUP(F1470,Kostentypen!$A$3:$E$21,3,0)=0,"",IF(OR(F1470="Arbeidskosten",F1470="Vergoeding"),VLOOKUP(G1470,Tb_KostenTypen[],2,0),VLOOKUP(F1470,Kostentypen!$A$3:$E$20,3,0))),"")</f>
        <v/>
      </c>
      <c r="O1470" s="320" t="str" cm="1">
        <f t="array" ref="O1470">_xlfn.IFNA(IF(INDEX(Tb_KostenOptiesDB[],MATCH($F1470,Tb_KostenOptiesDB[KostenOptie],0),IFERROR(MATCH(Methode_Keuze,Tb_KostenOptiesDB[#Headers],0),2))=1,_xlfn.SWITCH($N1470,"Uurtarief",IF(OR(AND(RIGHT($F1470,3)="IKS",VLOOKUP($M1470,DB_Loonkosten,2,0)="Ja"),AND(RIGHT($F1470,3)&lt;&gt;"IKS",VLOOKUP($M1470,DB_Loonkosten,2,0)="Nee")),IFERROR(VLOOKUP($M1470,DB_Loonkosten,24,0),""),0),"Vast tarief",IF(LEFT(F1470,8)="Bijdrage",VLOOKUP($F1470,Tb_KostenTypen[],MATCH(Lijsten!$P$1,Tb_KostenTypen[#Headers],0),0),VLOOKUP($G1470,Lijsten!L:P,MATCH(Lijsten!$P$1,Kop_Tarief_Vast,0),0))),""),"")</f>
        <v/>
      </c>
      <c r="P1470" s="320" t="str" cm="1">
        <f t="array" ref="P1470">_xlfn.IFNA(IF(INDEX(Tb_KostenOptiesDB[],MATCH($F1470,Tb_KostenOptiesDB[KostenOptie],0),IFERROR(MATCH(Methode_Keuze,Tb_KostenOptiesDB[#Headers],0),2))=1,_xlfn.SWITCH($N1470,"Uurtarief",IF(OR(AND(RIGHT($F1470,3)="IKS",VLOOKUP($M1470,DB_Loonkosten,2,0)="Ja"),AND(RIGHT($F1470,3)&lt;&gt;"IKS",VLOOKUP($M1470,DB_Loonkosten,2,0)="Nee")),IFERROR(VLOOKUP($M1470,DB_Loonkosten,25,0),""),0),"Vast tarief",IF(LEFT(F1470,8)="Bijdrage",VLOOKUP($F1470,Tb_KostenTypen[],MATCH(Lijsten!$P$1,Tb_KostenTypen[#Headers],0),0),VLOOKUP($G1470,Lijsten!L:P,MATCH(Lijsten!$P$1,Kop_Tarief_Vast,0),0))),""),"")</f>
        <v/>
      </c>
      <c r="Q1470" s="359"/>
      <c r="R1470" s="359"/>
      <c r="S1470" s="321"/>
      <c r="T1470" s="321"/>
      <c r="U1470" s="373" t="str">
        <f t="shared" si="88"/>
        <v/>
      </c>
      <c r="V1470" s="314" t="str">
        <f t="shared" si="89"/>
        <v/>
      </c>
      <c r="W1470" s="314" t="str" cm="1">
        <f t="array" aca="1" ref="W1470" ca="1">IFERROR(IF(AE1470&lt;&gt;"ja",_xlfn.IFNA(_xlfn.IFS(AND(O1470&lt;&gt;"",F1470&lt;&gt;"",RIGHT($N1470,6)="tarief",F1470="Vergoeding"),SUM(O1470)*FLOOR(SUM(Q1470),0.0001),AND(O1470&lt;&gt;"",F1470&lt;&gt;"",RIGHT($N1470,6)="tarief"),SUM(O1470)*FLOOR(SUM(Q1470),0.01),S1470&gt;0,IF(F1470&lt;&gt;"",FLOOR(SUM(S1470),0.01),"")),""),""),"")</f>
        <v/>
      </c>
      <c r="X1470" s="314" t="str" cm="1">
        <f t="array" aca="1" ref="X1470" ca="1">IFERROR(IF(AE1470&lt;&gt;"ja",_xlfn.IFNA(_xlfn.IFS(AND(P1470&lt;&gt;"",R1470&lt;&gt;"",RIGHT($N1470,6)="tarief",F1470="Vergoeding"),SUM(P1470)*FLOOR(SUM(R1470),0.0001),AND(P1470&lt;&gt;"",R1470&lt;&gt;"",RIGHT($N1470,6)="tarief"),P1470*FLOOR(R1470,0.01),T1470&gt;0,FLOOR(SUM(T1470),0.01)),""),""),"")</f>
        <v/>
      </c>
      <c r="Y1470" s="314" t="str">
        <f t="shared" ca="1" si="90"/>
        <v/>
      </c>
      <c r="Z1470" s="314" t="str" cm="1">
        <f t="array" aca="1" ref="Z1470" ca="1">IFERROR(_xlfn.IFS(OR(F1470="",LEFT(Methode_Keuze,4)="Geen",Methode_Keuze=""),"",AND(W1470&lt;&gt;"",F1470&lt;&gt;"Arbeidskosten"),W1470*VLOOKUP(F1470,Tb_ProjectKosten[],MATCH(Tb_ProjectKosten[[#Headers],[Forfait_Percentage]],Tb_ProjectKosten[#Headers],0),0),AND(F1470="Arbeidskosten",G1470&lt;&gt;""),IFERROR(W1470*VLOOKUP(G1470,Tb_KostenTypen[],3,0)*VLOOKUP(F1470,Tb_ProjectKosten[],MATCH(Tb_ProjectKosten[[#Headers],[Forfait_Percentage]],Tb_ProjectKosten[#Headers],0),0),""),W1470 &lt;=0,0),"")</f>
        <v/>
      </c>
      <c r="AA1470" s="314" t="str" cm="1">
        <f t="array" aca="1" ref="AA1470" ca="1">IFERROR(_xlfn.IFS(OR(F1470="",LEFT(Methode_Keuze,4)="Geen",Methode_Keuze=""),"",AND(X1470&lt;&gt;"",F1470&lt;&gt;"Arbeidskosten"),X1470*VLOOKUP(F1470,Tb_ProjectKosten[],MATCH(Tb_ProjectKosten[[#Headers],[Forfait_Percentage]],Tb_ProjectKosten[#Headers],0),0),AND(F1470="Arbeidskosten",G1470&lt;&gt;""),IFERROR(X1470*VLOOKUP(G1470,Tb_KostenTypen[],3,0)*VLOOKUP(F1470,Tb_ProjectKosten[],MATCH(Tb_ProjectKosten[[#Headers],[Forfait_Percentage]],Tb_ProjectKosten[#Headers],0),0),""),X1470 &lt;=0,0),"")</f>
        <v/>
      </c>
      <c r="AB1470" s="314" t="str">
        <f t="shared" ca="1" si="91"/>
        <v/>
      </c>
      <c r="AC1470" s="322"/>
      <c r="AD1470" s="315"/>
      <c r="AE1470" s="32" t="str" cm="1">
        <f t="array" ref="AE1470">IFERROR(IF(INDEX(SubsidieTabel!$AD$1:$AG$12,MATCH($F1470,SubsidieTabel!$AD$1:$AD$12,0),IFERROR(MATCH(Methode_Keuze,SubsidieTabel!$AD$1:$AG$1,0),2))&lt;&gt;1=TRUE,"ja",""),"")</f>
        <v/>
      </c>
    </row>
    <row r="1471" spans="1:31" x14ac:dyDescent="0.25">
      <c r="A1471" s="316"/>
      <c r="B1471" s="317" t="str">
        <f>IF(A1471&lt;&gt;"",_xlfn.MAXIFS($B$1:B1470,$A$1:A1470,A1471)+1,"")</f>
        <v/>
      </c>
      <c r="C1471" s="296"/>
      <c r="D1471" s="296"/>
      <c r="E1471" s="296"/>
      <c r="F1471" s="296"/>
      <c r="G1471" s="326"/>
      <c r="H1471" s="324"/>
      <c r="I1471" s="325"/>
      <c r="J1471" s="325"/>
      <c r="K1471" s="318"/>
      <c r="L1471" s="318"/>
      <c r="M1471" s="319" t="str">
        <f>IFERROR(VLOOKUP(H1471,Lijsten!$H$1:$I$100,2,0),"")</f>
        <v/>
      </c>
      <c r="N1471" s="319" t="str">
        <f ca="1">IFERROR(IF(VLOOKUP(F1471,Kostentypen!$A$3:$E$21,3,0)=0,"",IF(OR(F1471="Arbeidskosten",F1471="Vergoeding"),VLOOKUP(G1471,Tb_KostenTypen[],2,0),VLOOKUP(F1471,Kostentypen!$A$3:$E$20,3,0))),"")</f>
        <v/>
      </c>
      <c r="O1471" s="320" t="str" cm="1">
        <f t="array" ref="O1471">_xlfn.IFNA(IF(INDEX(Tb_KostenOptiesDB[],MATCH($F1471,Tb_KostenOptiesDB[KostenOptie],0),IFERROR(MATCH(Methode_Keuze,Tb_KostenOptiesDB[#Headers],0),2))=1,_xlfn.SWITCH($N1471,"Uurtarief",IF(OR(AND(RIGHT($F1471,3)="IKS",VLOOKUP($M1471,DB_Loonkosten,2,0)="Ja"),AND(RIGHT($F1471,3)&lt;&gt;"IKS",VLOOKUP($M1471,DB_Loonkosten,2,0)="Nee")),IFERROR(VLOOKUP($M1471,DB_Loonkosten,24,0),""),0),"Vast tarief",IF(LEFT(F1471,8)="Bijdrage",VLOOKUP($F1471,Tb_KostenTypen[],MATCH(Lijsten!$P$1,Tb_KostenTypen[#Headers],0),0),VLOOKUP($G1471,Lijsten!L:P,MATCH(Lijsten!$P$1,Kop_Tarief_Vast,0),0))),""),"")</f>
        <v/>
      </c>
      <c r="P1471" s="320" t="str" cm="1">
        <f t="array" ref="P1471">_xlfn.IFNA(IF(INDEX(Tb_KostenOptiesDB[],MATCH($F1471,Tb_KostenOptiesDB[KostenOptie],0),IFERROR(MATCH(Methode_Keuze,Tb_KostenOptiesDB[#Headers],0),2))=1,_xlfn.SWITCH($N1471,"Uurtarief",IF(OR(AND(RIGHT($F1471,3)="IKS",VLOOKUP($M1471,DB_Loonkosten,2,0)="Ja"),AND(RIGHT($F1471,3)&lt;&gt;"IKS",VLOOKUP($M1471,DB_Loonkosten,2,0)="Nee")),IFERROR(VLOOKUP($M1471,DB_Loonkosten,25,0),""),0),"Vast tarief",IF(LEFT(F1471,8)="Bijdrage",VLOOKUP($F1471,Tb_KostenTypen[],MATCH(Lijsten!$P$1,Tb_KostenTypen[#Headers],0),0),VLOOKUP($G1471,Lijsten!L:P,MATCH(Lijsten!$P$1,Kop_Tarief_Vast,0),0))),""),"")</f>
        <v/>
      </c>
      <c r="Q1471" s="359"/>
      <c r="R1471" s="359"/>
      <c r="S1471" s="321"/>
      <c r="T1471" s="321"/>
      <c r="U1471" s="373" t="str">
        <f t="shared" si="88"/>
        <v/>
      </c>
      <c r="V1471" s="314" t="str">
        <f t="shared" si="89"/>
        <v/>
      </c>
      <c r="W1471" s="314" t="str" cm="1">
        <f t="array" aca="1" ref="W1471" ca="1">IFERROR(IF(AE1471&lt;&gt;"ja",_xlfn.IFNA(_xlfn.IFS(AND(O1471&lt;&gt;"",F1471&lt;&gt;"",RIGHT($N1471,6)="tarief",F1471="Vergoeding"),SUM(O1471)*FLOOR(SUM(Q1471),0.0001),AND(O1471&lt;&gt;"",F1471&lt;&gt;"",RIGHT($N1471,6)="tarief"),SUM(O1471)*FLOOR(SUM(Q1471),0.01),S1471&gt;0,IF(F1471&lt;&gt;"",FLOOR(SUM(S1471),0.01),"")),""),""),"")</f>
        <v/>
      </c>
      <c r="X1471" s="314" t="str" cm="1">
        <f t="array" aca="1" ref="X1471" ca="1">IFERROR(IF(AE1471&lt;&gt;"ja",_xlfn.IFNA(_xlfn.IFS(AND(P1471&lt;&gt;"",R1471&lt;&gt;"",RIGHT($N1471,6)="tarief",F1471="Vergoeding"),SUM(P1471)*FLOOR(SUM(R1471),0.0001),AND(P1471&lt;&gt;"",R1471&lt;&gt;"",RIGHT($N1471,6)="tarief"),P1471*FLOOR(R1471,0.01),T1471&gt;0,FLOOR(SUM(T1471),0.01)),""),""),"")</f>
        <v/>
      </c>
      <c r="Y1471" s="314" t="str">
        <f t="shared" ca="1" si="90"/>
        <v/>
      </c>
      <c r="Z1471" s="314" t="str" cm="1">
        <f t="array" aca="1" ref="Z1471" ca="1">IFERROR(_xlfn.IFS(OR(F1471="",LEFT(Methode_Keuze,4)="Geen",Methode_Keuze=""),"",AND(W1471&lt;&gt;"",F1471&lt;&gt;"Arbeidskosten"),W1471*VLOOKUP(F1471,Tb_ProjectKosten[],MATCH(Tb_ProjectKosten[[#Headers],[Forfait_Percentage]],Tb_ProjectKosten[#Headers],0),0),AND(F1471="Arbeidskosten",G1471&lt;&gt;""),IFERROR(W1471*VLOOKUP(G1471,Tb_KostenTypen[],3,0)*VLOOKUP(F1471,Tb_ProjectKosten[],MATCH(Tb_ProjectKosten[[#Headers],[Forfait_Percentage]],Tb_ProjectKosten[#Headers],0),0),""),W1471 &lt;=0,0),"")</f>
        <v/>
      </c>
      <c r="AA1471" s="314" t="str" cm="1">
        <f t="array" aca="1" ref="AA1471" ca="1">IFERROR(_xlfn.IFS(OR(F1471="",LEFT(Methode_Keuze,4)="Geen",Methode_Keuze=""),"",AND(X1471&lt;&gt;"",F1471&lt;&gt;"Arbeidskosten"),X1471*VLOOKUP(F1471,Tb_ProjectKosten[],MATCH(Tb_ProjectKosten[[#Headers],[Forfait_Percentage]],Tb_ProjectKosten[#Headers],0),0),AND(F1471="Arbeidskosten",G1471&lt;&gt;""),IFERROR(X1471*VLOOKUP(G1471,Tb_KostenTypen[],3,0)*VLOOKUP(F1471,Tb_ProjectKosten[],MATCH(Tb_ProjectKosten[[#Headers],[Forfait_Percentage]],Tb_ProjectKosten[#Headers],0),0),""),X1471 &lt;=0,0),"")</f>
        <v/>
      </c>
      <c r="AB1471" s="314" t="str">
        <f t="shared" ca="1" si="91"/>
        <v/>
      </c>
      <c r="AC1471" s="322"/>
      <c r="AD1471" s="315"/>
      <c r="AE1471" s="32" t="str" cm="1">
        <f t="array" ref="AE1471">IFERROR(IF(INDEX(SubsidieTabel!$AD$1:$AG$12,MATCH($F1471,SubsidieTabel!$AD$1:$AD$12,0),IFERROR(MATCH(Methode_Keuze,SubsidieTabel!$AD$1:$AG$1,0),2))&lt;&gt;1=TRUE,"ja",""),"")</f>
        <v/>
      </c>
    </row>
    <row r="1472" spans="1:31" x14ac:dyDescent="0.25">
      <c r="A1472" s="316"/>
      <c r="B1472" s="317" t="str">
        <f>IF(A1472&lt;&gt;"",_xlfn.MAXIFS($B$1:B1471,$A$1:A1471,A1472)+1,"")</f>
        <v/>
      </c>
      <c r="C1472" s="296"/>
      <c r="D1472" s="296"/>
      <c r="E1472" s="296"/>
      <c r="F1472" s="296"/>
      <c r="G1472" s="326"/>
      <c r="H1472" s="324"/>
      <c r="I1472" s="325"/>
      <c r="J1472" s="325"/>
      <c r="K1472" s="318"/>
      <c r="L1472" s="318"/>
      <c r="M1472" s="319" t="str">
        <f>IFERROR(VLOOKUP(H1472,Lijsten!$H$1:$I$100,2,0),"")</f>
        <v/>
      </c>
      <c r="N1472" s="319" t="str">
        <f ca="1">IFERROR(IF(VLOOKUP(F1472,Kostentypen!$A$3:$E$21,3,0)=0,"",IF(OR(F1472="Arbeidskosten",F1472="Vergoeding"),VLOOKUP(G1472,Tb_KostenTypen[],2,0),VLOOKUP(F1472,Kostentypen!$A$3:$E$20,3,0))),"")</f>
        <v/>
      </c>
      <c r="O1472" s="320" t="str" cm="1">
        <f t="array" ref="O1472">_xlfn.IFNA(IF(INDEX(Tb_KostenOptiesDB[],MATCH($F1472,Tb_KostenOptiesDB[KostenOptie],0),IFERROR(MATCH(Methode_Keuze,Tb_KostenOptiesDB[#Headers],0),2))=1,_xlfn.SWITCH($N1472,"Uurtarief",IF(OR(AND(RIGHT($F1472,3)="IKS",VLOOKUP($M1472,DB_Loonkosten,2,0)="Ja"),AND(RIGHT($F1472,3)&lt;&gt;"IKS",VLOOKUP($M1472,DB_Loonkosten,2,0)="Nee")),IFERROR(VLOOKUP($M1472,DB_Loonkosten,24,0),""),0),"Vast tarief",IF(LEFT(F1472,8)="Bijdrage",VLOOKUP($F1472,Tb_KostenTypen[],MATCH(Lijsten!$P$1,Tb_KostenTypen[#Headers],0),0),VLOOKUP($G1472,Lijsten!L:P,MATCH(Lijsten!$P$1,Kop_Tarief_Vast,0),0))),""),"")</f>
        <v/>
      </c>
      <c r="P1472" s="320" t="str" cm="1">
        <f t="array" ref="P1472">_xlfn.IFNA(IF(INDEX(Tb_KostenOptiesDB[],MATCH($F1472,Tb_KostenOptiesDB[KostenOptie],0),IFERROR(MATCH(Methode_Keuze,Tb_KostenOptiesDB[#Headers],0),2))=1,_xlfn.SWITCH($N1472,"Uurtarief",IF(OR(AND(RIGHT($F1472,3)="IKS",VLOOKUP($M1472,DB_Loonkosten,2,0)="Ja"),AND(RIGHT($F1472,3)&lt;&gt;"IKS",VLOOKUP($M1472,DB_Loonkosten,2,0)="Nee")),IFERROR(VLOOKUP($M1472,DB_Loonkosten,25,0),""),0),"Vast tarief",IF(LEFT(F1472,8)="Bijdrage",VLOOKUP($F1472,Tb_KostenTypen[],MATCH(Lijsten!$P$1,Tb_KostenTypen[#Headers],0),0),VLOOKUP($G1472,Lijsten!L:P,MATCH(Lijsten!$P$1,Kop_Tarief_Vast,0),0))),""),"")</f>
        <v/>
      </c>
      <c r="Q1472" s="359"/>
      <c r="R1472" s="359"/>
      <c r="S1472" s="321"/>
      <c r="T1472" s="321"/>
      <c r="U1472" s="373" t="str">
        <f t="shared" si="88"/>
        <v/>
      </c>
      <c r="V1472" s="314" t="str">
        <f t="shared" si="89"/>
        <v/>
      </c>
      <c r="W1472" s="314" t="str" cm="1">
        <f t="array" aca="1" ref="W1472" ca="1">IFERROR(IF(AE1472&lt;&gt;"ja",_xlfn.IFNA(_xlfn.IFS(AND(O1472&lt;&gt;"",F1472&lt;&gt;"",RIGHT($N1472,6)="tarief",F1472="Vergoeding"),SUM(O1472)*FLOOR(SUM(Q1472),0.0001),AND(O1472&lt;&gt;"",F1472&lt;&gt;"",RIGHT($N1472,6)="tarief"),SUM(O1472)*FLOOR(SUM(Q1472),0.01),S1472&gt;0,IF(F1472&lt;&gt;"",FLOOR(SUM(S1472),0.01),"")),""),""),"")</f>
        <v/>
      </c>
      <c r="X1472" s="314" t="str" cm="1">
        <f t="array" aca="1" ref="X1472" ca="1">IFERROR(IF(AE1472&lt;&gt;"ja",_xlfn.IFNA(_xlfn.IFS(AND(P1472&lt;&gt;"",R1472&lt;&gt;"",RIGHT($N1472,6)="tarief",F1472="Vergoeding"),SUM(P1472)*FLOOR(SUM(R1472),0.0001),AND(P1472&lt;&gt;"",R1472&lt;&gt;"",RIGHT($N1472,6)="tarief"),P1472*FLOOR(R1472,0.01),T1472&gt;0,FLOOR(SUM(T1472),0.01)),""),""),"")</f>
        <v/>
      </c>
      <c r="Y1472" s="314" t="str">
        <f t="shared" ca="1" si="90"/>
        <v/>
      </c>
      <c r="Z1472" s="314" t="str" cm="1">
        <f t="array" aca="1" ref="Z1472" ca="1">IFERROR(_xlfn.IFS(OR(F1472="",LEFT(Methode_Keuze,4)="Geen",Methode_Keuze=""),"",AND(W1472&lt;&gt;"",F1472&lt;&gt;"Arbeidskosten"),W1472*VLOOKUP(F1472,Tb_ProjectKosten[],MATCH(Tb_ProjectKosten[[#Headers],[Forfait_Percentage]],Tb_ProjectKosten[#Headers],0),0),AND(F1472="Arbeidskosten",G1472&lt;&gt;""),IFERROR(W1472*VLOOKUP(G1472,Tb_KostenTypen[],3,0)*VLOOKUP(F1472,Tb_ProjectKosten[],MATCH(Tb_ProjectKosten[[#Headers],[Forfait_Percentage]],Tb_ProjectKosten[#Headers],0),0),""),W1472 &lt;=0,0),"")</f>
        <v/>
      </c>
      <c r="AA1472" s="314" t="str" cm="1">
        <f t="array" aca="1" ref="AA1472" ca="1">IFERROR(_xlfn.IFS(OR(F1472="",LEFT(Methode_Keuze,4)="Geen",Methode_Keuze=""),"",AND(X1472&lt;&gt;"",F1472&lt;&gt;"Arbeidskosten"),X1472*VLOOKUP(F1472,Tb_ProjectKosten[],MATCH(Tb_ProjectKosten[[#Headers],[Forfait_Percentage]],Tb_ProjectKosten[#Headers],0),0),AND(F1472="Arbeidskosten",G1472&lt;&gt;""),IFERROR(X1472*VLOOKUP(G1472,Tb_KostenTypen[],3,0)*VLOOKUP(F1472,Tb_ProjectKosten[],MATCH(Tb_ProjectKosten[[#Headers],[Forfait_Percentage]],Tb_ProjectKosten[#Headers],0),0),""),X1472 &lt;=0,0),"")</f>
        <v/>
      </c>
      <c r="AB1472" s="314" t="str">
        <f t="shared" ca="1" si="91"/>
        <v/>
      </c>
      <c r="AC1472" s="322"/>
      <c r="AD1472" s="315"/>
      <c r="AE1472" s="32" t="str" cm="1">
        <f t="array" ref="AE1472">IFERROR(IF(INDEX(SubsidieTabel!$AD$1:$AG$12,MATCH($F1472,SubsidieTabel!$AD$1:$AD$12,0),IFERROR(MATCH(Methode_Keuze,SubsidieTabel!$AD$1:$AG$1,0),2))&lt;&gt;1=TRUE,"ja",""),"")</f>
        <v/>
      </c>
    </row>
    <row r="1473" spans="1:31" x14ac:dyDescent="0.25">
      <c r="A1473" s="316"/>
      <c r="B1473" s="317" t="str">
        <f>IF(A1473&lt;&gt;"",_xlfn.MAXIFS($B$1:B1472,$A$1:A1472,A1473)+1,"")</f>
        <v/>
      </c>
      <c r="C1473" s="296"/>
      <c r="D1473" s="296"/>
      <c r="E1473" s="296"/>
      <c r="F1473" s="296"/>
      <c r="G1473" s="326"/>
      <c r="H1473" s="324"/>
      <c r="I1473" s="325"/>
      <c r="J1473" s="325"/>
      <c r="K1473" s="318"/>
      <c r="L1473" s="318"/>
      <c r="M1473" s="319" t="str">
        <f>IFERROR(VLOOKUP(H1473,Lijsten!$H$1:$I$100,2,0),"")</f>
        <v/>
      </c>
      <c r="N1473" s="319" t="str">
        <f ca="1">IFERROR(IF(VLOOKUP(F1473,Kostentypen!$A$3:$E$21,3,0)=0,"",IF(OR(F1473="Arbeidskosten",F1473="Vergoeding"),VLOOKUP(G1473,Tb_KostenTypen[],2,0),VLOOKUP(F1473,Kostentypen!$A$3:$E$20,3,0))),"")</f>
        <v/>
      </c>
      <c r="O1473" s="320" t="str" cm="1">
        <f t="array" ref="O1473">_xlfn.IFNA(IF(INDEX(Tb_KostenOptiesDB[],MATCH($F1473,Tb_KostenOptiesDB[KostenOptie],0),IFERROR(MATCH(Methode_Keuze,Tb_KostenOptiesDB[#Headers],0),2))=1,_xlfn.SWITCH($N1473,"Uurtarief",IF(OR(AND(RIGHT($F1473,3)="IKS",VLOOKUP($M1473,DB_Loonkosten,2,0)="Ja"),AND(RIGHT($F1473,3)&lt;&gt;"IKS",VLOOKUP($M1473,DB_Loonkosten,2,0)="Nee")),IFERROR(VLOOKUP($M1473,DB_Loonkosten,24,0),""),0),"Vast tarief",IF(LEFT(F1473,8)="Bijdrage",VLOOKUP($F1473,Tb_KostenTypen[],MATCH(Lijsten!$P$1,Tb_KostenTypen[#Headers],0),0),VLOOKUP($G1473,Lijsten!L:P,MATCH(Lijsten!$P$1,Kop_Tarief_Vast,0),0))),""),"")</f>
        <v/>
      </c>
      <c r="P1473" s="320" t="str" cm="1">
        <f t="array" ref="P1473">_xlfn.IFNA(IF(INDEX(Tb_KostenOptiesDB[],MATCH($F1473,Tb_KostenOptiesDB[KostenOptie],0),IFERROR(MATCH(Methode_Keuze,Tb_KostenOptiesDB[#Headers],0),2))=1,_xlfn.SWITCH($N1473,"Uurtarief",IF(OR(AND(RIGHT($F1473,3)="IKS",VLOOKUP($M1473,DB_Loonkosten,2,0)="Ja"),AND(RIGHT($F1473,3)&lt;&gt;"IKS",VLOOKUP($M1473,DB_Loonkosten,2,0)="Nee")),IFERROR(VLOOKUP($M1473,DB_Loonkosten,25,0),""),0),"Vast tarief",IF(LEFT(F1473,8)="Bijdrage",VLOOKUP($F1473,Tb_KostenTypen[],MATCH(Lijsten!$P$1,Tb_KostenTypen[#Headers],0),0),VLOOKUP($G1473,Lijsten!L:P,MATCH(Lijsten!$P$1,Kop_Tarief_Vast,0),0))),""),"")</f>
        <v/>
      </c>
      <c r="Q1473" s="359"/>
      <c r="R1473" s="359"/>
      <c r="S1473" s="321"/>
      <c r="T1473" s="321"/>
      <c r="U1473" s="373" t="str">
        <f t="shared" si="88"/>
        <v/>
      </c>
      <c r="V1473" s="314" t="str">
        <f t="shared" si="89"/>
        <v/>
      </c>
      <c r="W1473" s="314" t="str" cm="1">
        <f t="array" aca="1" ref="W1473" ca="1">IFERROR(IF(AE1473&lt;&gt;"ja",_xlfn.IFNA(_xlfn.IFS(AND(O1473&lt;&gt;"",F1473&lt;&gt;"",RIGHT($N1473,6)="tarief",F1473="Vergoeding"),SUM(O1473)*FLOOR(SUM(Q1473),0.0001),AND(O1473&lt;&gt;"",F1473&lt;&gt;"",RIGHT($N1473,6)="tarief"),SUM(O1473)*FLOOR(SUM(Q1473),0.01),S1473&gt;0,IF(F1473&lt;&gt;"",FLOOR(SUM(S1473),0.01),"")),""),""),"")</f>
        <v/>
      </c>
      <c r="X1473" s="314" t="str" cm="1">
        <f t="array" aca="1" ref="X1473" ca="1">IFERROR(IF(AE1473&lt;&gt;"ja",_xlfn.IFNA(_xlfn.IFS(AND(P1473&lt;&gt;"",R1473&lt;&gt;"",RIGHT($N1473,6)="tarief",F1473="Vergoeding"),SUM(P1473)*FLOOR(SUM(R1473),0.0001),AND(P1473&lt;&gt;"",R1473&lt;&gt;"",RIGHT($N1473,6)="tarief"),P1473*FLOOR(R1473,0.01),T1473&gt;0,FLOOR(SUM(T1473),0.01)),""),""),"")</f>
        <v/>
      </c>
      <c r="Y1473" s="314" t="str">
        <f t="shared" ca="1" si="90"/>
        <v/>
      </c>
      <c r="Z1473" s="314" t="str" cm="1">
        <f t="array" aca="1" ref="Z1473" ca="1">IFERROR(_xlfn.IFS(OR(F1473="",LEFT(Methode_Keuze,4)="Geen",Methode_Keuze=""),"",AND(W1473&lt;&gt;"",F1473&lt;&gt;"Arbeidskosten"),W1473*VLOOKUP(F1473,Tb_ProjectKosten[],MATCH(Tb_ProjectKosten[[#Headers],[Forfait_Percentage]],Tb_ProjectKosten[#Headers],0),0),AND(F1473="Arbeidskosten",G1473&lt;&gt;""),IFERROR(W1473*VLOOKUP(G1473,Tb_KostenTypen[],3,0)*VLOOKUP(F1473,Tb_ProjectKosten[],MATCH(Tb_ProjectKosten[[#Headers],[Forfait_Percentage]],Tb_ProjectKosten[#Headers],0),0),""),W1473 &lt;=0,0),"")</f>
        <v/>
      </c>
      <c r="AA1473" s="314" t="str" cm="1">
        <f t="array" aca="1" ref="AA1473" ca="1">IFERROR(_xlfn.IFS(OR(F1473="",LEFT(Methode_Keuze,4)="Geen",Methode_Keuze=""),"",AND(X1473&lt;&gt;"",F1473&lt;&gt;"Arbeidskosten"),X1473*VLOOKUP(F1473,Tb_ProjectKosten[],MATCH(Tb_ProjectKosten[[#Headers],[Forfait_Percentage]],Tb_ProjectKosten[#Headers],0),0),AND(F1473="Arbeidskosten",G1473&lt;&gt;""),IFERROR(X1473*VLOOKUP(G1473,Tb_KostenTypen[],3,0)*VLOOKUP(F1473,Tb_ProjectKosten[],MATCH(Tb_ProjectKosten[[#Headers],[Forfait_Percentage]],Tb_ProjectKosten[#Headers],0),0),""),X1473 &lt;=0,0),"")</f>
        <v/>
      </c>
      <c r="AB1473" s="314" t="str">
        <f t="shared" ca="1" si="91"/>
        <v/>
      </c>
      <c r="AC1473" s="322"/>
      <c r="AD1473" s="315"/>
      <c r="AE1473" s="32" t="str" cm="1">
        <f t="array" ref="AE1473">IFERROR(IF(INDEX(SubsidieTabel!$AD$1:$AG$12,MATCH($F1473,SubsidieTabel!$AD$1:$AD$12,0),IFERROR(MATCH(Methode_Keuze,SubsidieTabel!$AD$1:$AG$1,0),2))&lt;&gt;1=TRUE,"ja",""),"")</f>
        <v/>
      </c>
    </row>
    <row r="1474" spans="1:31" x14ac:dyDescent="0.25">
      <c r="A1474" s="316"/>
      <c r="B1474" s="317" t="str">
        <f>IF(A1474&lt;&gt;"",_xlfn.MAXIFS($B$1:B1473,$A$1:A1473,A1474)+1,"")</f>
        <v/>
      </c>
      <c r="C1474" s="296"/>
      <c r="D1474" s="296"/>
      <c r="E1474" s="296"/>
      <c r="F1474" s="296"/>
      <c r="G1474" s="326"/>
      <c r="H1474" s="324"/>
      <c r="I1474" s="325"/>
      <c r="J1474" s="325"/>
      <c r="K1474" s="318"/>
      <c r="L1474" s="318"/>
      <c r="M1474" s="319" t="str">
        <f>IFERROR(VLOOKUP(H1474,Lijsten!$H$1:$I$100,2,0),"")</f>
        <v/>
      </c>
      <c r="N1474" s="319" t="str">
        <f ca="1">IFERROR(IF(VLOOKUP(F1474,Kostentypen!$A$3:$E$21,3,0)=0,"",IF(OR(F1474="Arbeidskosten",F1474="Vergoeding"),VLOOKUP(G1474,Tb_KostenTypen[],2,0),VLOOKUP(F1474,Kostentypen!$A$3:$E$20,3,0))),"")</f>
        <v/>
      </c>
      <c r="O1474" s="320" t="str" cm="1">
        <f t="array" ref="O1474">_xlfn.IFNA(IF(INDEX(Tb_KostenOptiesDB[],MATCH($F1474,Tb_KostenOptiesDB[KostenOptie],0),IFERROR(MATCH(Methode_Keuze,Tb_KostenOptiesDB[#Headers],0),2))=1,_xlfn.SWITCH($N1474,"Uurtarief",IF(OR(AND(RIGHT($F1474,3)="IKS",VLOOKUP($M1474,DB_Loonkosten,2,0)="Ja"),AND(RIGHT($F1474,3)&lt;&gt;"IKS",VLOOKUP($M1474,DB_Loonkosten,2,0)="Nee")),IFERROR(VLOOKUP($M1474,DB_Loonkosten,24,0),""),0),"Vast tarief",IF(LEFT(F1474,8)="Bijdrage",VLOOKUP($F1474,Tb_KostenTypen[],MATCH(Lijsten!$P$1,Tb_KostenTypen[#Headers],0),0),VLOOKUP($G1474,Lijsten!L:P,MATCH(Lijsten!$P$1,Kop_Tarief_Vast,0),0))),""),"")</f>
        <v/>
      </c>
      <c r="P1474" s="320" t="str" cm="1">
        <f t="array" ref="P1474">_xlfn.IFNA(IF(INDEX(Tb_KostenOptiesDB[],MATCH($F1474,Tb_KostenOptiesDB[KostenOptie],0),IFERROR(MATCH(Methode_Keuze,Tb_KostenOptiesDB[#Headers],0),2))=1,_xlfn.SWITCH($N1474,"Uurtarief",IF(OR(AND(RIGHT($F1474,3)="IKS",VLOOKUP($M1474,DB_Loonkosten,2,0)="Ja"),AND(RIGHT($F1474,3)&lt;&gt;"IKS",VLOOKUP($M1474,DB_Loonkosten,2,0)="Nee")),IFERROR(VLOOKUP($M1474,DB_Loonkosten,25,0),""),0),"Vast tarief",IF(LEFT(F1474,8)="Bijdrage",VLOOKUP($F1474,Tb_KostenTypen[],MATCH(Lijsten!$P$1,Tb_KostenTypen[#Headers],0),0),VLOOKUP($G1474,Lijsten!L:P,MATCH(Lijsten!$P$1,Kop_Tarief_Vast,0),0))),""),"")</f>
        <v/>
      </c>
      <c r="Q1474" s="359"/>
      <c r="R1474" s="359"/>
      <c r="S1474" s="321"/>
      <c r="T1474" s="321"/>
      <c r="U1474" s="373" t="str">
        <f t="shared" si="88"/>
        <v/>
      </c>
      <c r="V1474" s="314" t="str">
        <f t="shared" si="89"/>
        <v/>
      </c>
      <c r="W1474" s="314" t="str" cm="1">
        <f t="array" aca="1" ref="W1474" ca="1">IFERROR(IF(AE1474&lt;&gt;"ja",_xlfn.IFNA(_xlfn.IFS(AND(O1474&lt;&gt;"",F1474&lt;&gt;"",RIGHT($N1474,6)="tarief",F1474="Vergoeding"),SUM(O1474)*FLOOR(SUM(Q1474),0.0001),AND(O1474&lt;&gt;"",F1474&lt;&gt;"",RIGHT($N1474,6)="tarief"),SUM(O1474)*FLOOR(SUM(Q1474),0.01),S1474&gt;0,IF(F1474&lt;&gt;"",FLOOR(SUM(S1474),0.01),"")),""),""),"")</f>
        <v/>
      </c>
      <c r="X1474" s="314" t="str" cm="1">
        <f t="array" aca="1" ref="X1474" ca="1">IFERROR(IF(AE1474&lt;&gt;"ja",_xlfn.IFNA(_xlfn.IFS(AND(P1474&lt;&gt;"",R1474&lt;&gt;"",RIGHT($N1474,6)="tarief",F1474="Vergoeding"),SUM(P1474)*FLOOR(SUM(R1474),0.0001),AND(P1474&lt;&gt;"",R1474&lt;&gt;"",RIGHT($N1474,6)="tarief"),P1474*FLOOR(R1474,0.01),T1474&gt;0,FLOOR(SUM(T1474),0.01)),""),""),"")</f>
        <v/>
      </c>
      <c r="Y1474" s="314" t="str">
        <f t="shared" ca="1" si="90"/>
        <v/>
      </c>
      <c r="Z1474" s="314" t="str" cm="1">
        <f t="array" aca="1" ref="Z1474" ca="1">IFERROR(_xlfn.IFS(OR(F1474="",LEFT(Methode_Keuze,4)="Geen",Methode_Keuze=""),"",AND(W1474&lt;&gt;"",F1474&lt;&gt;"Arbeidskosten"),W1474*VLOOKUP(F1474,Tb_ProjectKosten[],MATCH(Tb_ProjectKosten[[#Headers],[Forfait_Percentage]],Tb_ProjectKosten[#Headers],0),0),AND(F1474="Arbeidskosten",G1474&lt;&gt;""),IFERROR(W1474*VLOOKUP(G1474,Tb_KostenTypen[],3,0)*VLOOKUP(F1474,Tb_ProjectKosten[],MATCH(Tb_ProjectKosten[[#Headers],[Forfait_Percentage]],Tb_ProjectKosten[#Headers],0),0),""),W1474 &lt;=0,0),"")</f>
        <v/>
      </c>
      <c r="AA1474" s="314" t="str" cm="1">
        <f t="array" aca="1" ref="AA1474" ca="1">IFERROR(_xlfn.IFS(OR(F1474="",LEFT(Methode_Keuze,4)="Geen",Methode_Keuze=""),"",AND(X1474&lt;&gt;"",F1474&lt;&gt;"Arbeidskosten"),X1474*VLOOKUP(F1474,Tb_ProjectKosten[],MATCH(Tb_ProjectKosten[[#Headers],[Forfait_Percentage]],Tb_ProjectKosten[#Headers],0),0),AND(F1474="Arbeidskosten",G1474&lt;&gt;""),IFERROR(X1474*VLOOKUP(G1474,Tb_KostenTypen[],3,0)*VLOOKUP(F1474,Tb_ProjectKosten[],MATCH(Tb_ProjectKosten[[#Headers],[Forfait_Percentage]],Tb_ProjectKosten[#Headers],0),0),""),X1474 &lt;=0,0),"")</f>
        <v/>
      </c>
      <c r="AB1474" s="314" t="str">
        <f t="shared" ca="1" si="91"/>
        <v/>
      </c>
      <c r="AC1474" s="322"/>
      <c r="AD1474" s="315"/>
      <c r="AE1474" s="32" t="str" cm="1">
        <f t="array" ref="AE1474">IFERROR(IF(INDEX(SubsidieTabel!$AD$1:$AG$12,MATCH($F1474,SubsidieTabel!$AD$1:$AD$12,0),IFERROR(MATCH(Methode_Keuze,SubsidieTabel!$AD$1:$AG$1,0),2))&lt;&gt;1=TRUE,"ja",""),"")</f>
        <v/>
      </c>
    </row>
    <row r="1475" spans="1:31" x14ac:dyDescent="0.25">
      <c r="A1475" s="316"/>
      <c r="B1475" s="317" t="str">
        <f>IF(A1475&lt;&gt;"",_xlfn.MAXIFS($B$1:B1474,$A$1:A1474,A1475)+1,"")</f>
        <v/>
      </c>
      <c r="C1475" s="296"/>
      <c r="D1475" s="296"/>
      <c r="E1475" s="296"/>
      <c r="F1475" s="296"/>
      <c r="G1475" s="326"/>
      <c r="H1475" s="324"/>
      <c r="I1475" s="325"/>
      <c r="J1475" s="325"/>
      <c r="K1475" s="318"/>
      <c r="L1475" s="318"/>
      <c r="M1475" s="319" t="str">
        <f>IFERROR(VLOOKUP(H1475,Lijsten!$H$1:$I$100,2,0),"")</f>
        <v/>
      </c>
      <c r="N1475" s="319" t="str">
        <f ca="1">IFERROR(IF(VLOOKUP(F1475,Kostentypen!$A$3:$E$21,3,0)=0,"",IF(OR(F1475="Arbeidskosten",F1475="Vergoeding"),VLOOKUP(G1475,Tb_KostenTypen[],2,0),VLOOKUP(F1475,Kostentypen!$A$3:$E$20,3,0))),"")</f>
        <v/>
      </c>
      <c r="O1475" s="320" t="str" cm="1">
        <f t="array" ref="O1475">_xlfn.IFNA(IF(INDEX(Tb_KostenOptiesDB[],MATCH($F1475,Tb_KostenOptiesDB[KostenOptie],0),IFERROR(MATCH(Methode_Keuze,Tb_KostenOptiesDB[#Headers],0),2))=1,_xlfn.SWITCH($N1475,"Uurtarief",IF(OR(AND(RIGHT($F1475,3)="IKS",VLOOKUP($M1475,DB_Loonkosten,2,0)="Ja"),AND(RIGHT($F1475,3)&lt;&gt;"IKS",VLOOKUP($M1475,DB_Loonkosten,2,0)="Nee")),IFERROR(VLOOKUP($M1475,DB_Loonkosten,24,0),""),0),"Vast tarief",IF(LEFT(F1475,8)="Bijdrage",VLOOKUP($F1475,Tb_KostenTypen[],MATCH(Lijsten!$P$1,Tb_KostenTypen[#Headers],0),0),VLOOKUP($G1475,Lijsten!L:P,MATCH(Lijsten!$P$1,Kop_Tarief_Vast,0),0))),""),"")</f>
        <v/>
      </c>
      <c r="P1475" s="320" t="str" cm="1">
        <f t="array" ref="P1475">_xlfn.IFNA(IF(INDEX(Tb_KostenOptiesDB[],MATCH($F1475,Tb_KostenOptiesDB[KostenOptie],0),IFERROR(MATCH(Methode_Keuze,Tb_KostenOptiesDB[#Headers],0),2))=1,_xlfn.SWITCH($N1475,"Uurtarief",IF(OR(AND(RIGHT($F1475,3)="IKS",VLOOKUP($M1475,DB_Loonkosten,2,0)="Ja"),AND(RIGHT($F1475,3)&lt;&gt;"IKS",VLOOKUP($M1475,DB_Loonkosten,2,0)="Nee")),IFERROR(VLOOKUP($M1475,DB_Loonkosten,25,0),""),0),"Vast tarief",IF(LEFT(F1475,8)="Bijdrage",VLOOKUP($F1475,Tb_KostenTypen[],MATCH(Lijsten!$P$1,Tb_KostenTypen[#Headers],0),0),VLOOKUP($G1475,Lijsten!L:P,MATCH(Lijsten!$P$1,Kop_Tarief_Vast,0),0))),""),"")</f>
        <v/>
      </c>
      <c r="Q1475" s="359"/>
      <c r="R1475" s="359"/>
      <c r="S1475" s="321"/>
      <c r="T1475" s="321"/>
      <c r="U1475" s="373" t="str">
        <f t="shared" ref="U1475:U1538" si="92">IFERROR(IF(AND(R1475&lt;&gt;"",R1475&lt;&gt;Q1475),-1*(R1475-Q1475),""),"")</f>
        <v/>
      </c>
      <c r="V1475" s="314" t="str">
        <f t="shared" ref="V1475:V1538" si="93">IFERROR(IF(AND(T1475&lt;&gt;"",T1475&lt;&gt;S1475),-1*(T1475-S1475),""),"")</f>
        <v/>
      </c>
      <c r="W1475" s="314" t="str" cm="1">
        <f t="array" aca="1" ref="W1475" ca="1">IFERROR(IF(AE1475&lt;&gt;"ja",_xlfn.IFNA(_xlfn.IFS(AND(O1475&lt;&gt;"",F1475&lt;&gt;"",RIGHT($N1475,6)="tarief",F1475="Vergoeding"),SUM(O1475)*FLOOR(SUM(Q1475),0.0001),AND(O1475&lt;&gt;"",F1475&lt;&gt;"",RIGHT($N1475,6)="tarief"),SUM(O1475)*FLOOR(SUM(Q1475),0.01),S1475&gt;0,IF(F1475&lt;&gt;"",FLOOR(SUM(S1475),0.01),"")),""),""),"")</f>
        <v/>
      </c>
      <c r="X1475" s="314" t="str" cm="1">
        <f t="array" aca="1" ref="X1475" ca="1">IFERROR(IF(AE1475&lt;&gt;"ja",_xlfn.IFNA(_xlfn.IFS(AND(P1475&lt;&gt;"",R1475&lt;&gt;"",RIGHT($N1475,6)="tarief",F1475="Vergoeding"),SUM(P1475)*FLOOR(SUM(R1475),0.0001),AND(P1475&lt;&gt;"",R1475&lt;&gt;"",RIGHT($N1475,6)="tarief"),P1475*FLOOR(R1475,0.01),T1475&gt;0,FLOOR(SUM(T1475),0.01)),""),""),"")</f>
        <v/>
      </c>
      <c r="Y1475" s="314" t="str">
        <f t="shared" ref="Y1475:Y1538" ca="1" si="94">IFERROR(IF(AND(X1475&lt;&gt;"",X1475&lt;&gt;W1475),-1*(X1475-W1475),""),"")</f>
        <v/>
      </c>
      <c r="Z1475" s="314" t="str" cm="1">
        <f t="array" aca="1" ref="Z1475" ca="1">IFERROR(_xlfn.IFS(OR(F1475="",LEFT(Methode_Keuze,4)="Geen",Methode_Keuze=""),"",AND(W1475&lt;&gt;"",F1475&lt;&gt;"Arbeidskosten"),W1475*VLOOKUP(F1475,Tb_ProjectKosten[],MATCH(Tb_ProjectKosten[[#Headers],[Forfait_Percentage]],Tb_ProjectKosten[#Headers],0),0),AND(F1475="Arbeidskosten",G1475&lt;&gt;""),IFERROR(W1475*VLOOKUP(G1475,Tb_KostenTypen[],3,0)*VLOOKUP(F1475,Tb_ProjectKosten[],MATCH(Tb_ProjectKosten[[#Headers],[Forfait_Percentage]],Tb_ProjectKosten[#Headers],0),0),""),W1475 &lt;=0,0),"")</f>
        <v/>
      </c>
      <c r="AA1475" s="314" t="str" cm="1">
        <f t="array" aca="1" ref="AA1475" ca="1">IFERROR(_xlfn.IFS(OR(F1475="",LEFT(Methode_Keuze,4)="Geen",Methode_Keuze=""),"",AND(X1475&lt;&gt;"",F1475&lt;&gt;"Arbeidskosten"),X1475*VLOOKUP(F1475,Tb_ProjectKosten[],MATCH(Tb_ProjectKosten[[#Headers],[Forfait_Percentage]],Tb_ProjectKosten[#Headers],0),0),AND(F1475="Arbeidskosten",G1475&lt;&gt;""),IFERROR(X1475*VLOOKUP(G1475,Tb_KostenTypen[],3,0)*VLOOKUP(F1475,Tb_ProjectKosten[],MATCH(Tb_ProjectKosten[[#Headers],[Forfait_Percentage]],Tb_ProjectKosten[#Headers],0),0),""),X1475 &lt;=0,0),"")</f>
        <v/>
      </c>
      <c r="AB1475" s="314" t="str">
        <f t="shared" ref="AB1475:AB1538" ca="1" si="95">IFERROR(IF(AND(AA1475&lt;&gt;"",AA1475&lt;&gt;Z1475),-1*(AA1475-Z1475),""),"")</f>
        <v/>
      </c>
      <c r="AC1475" s="322"/>
      <c r="AD1475" s="315"/>
      <c r="AE1475" s="32" t="str" cm="1">
        <f t="array" ref="AE1475">IFERROR(IF(INDEX(SubsidieTabel!$AD$1:$AG$12,MATCH($F1475,SubsidieTabel!$AD$1:$AD$12,0),IFERROR(MATCH(Methode_Keuze,SubsidieTabel!$AD$1:$AG$1,0),2))&lt;&gt;1=TRUE,"ja",""),"")</f>
        <v/>
      </c>
    </row>
    <row r="1476" spans="1:31" x14ac:dyDescent="0.25">
      <c r="A1476" s="316"/>
      <c r="B1476" s="317" t="str">
        <f>IF(A1476&lt;&gt;"",_xlfn.MAXIFS($B$1:B1475,$A$1:A1475,A1476)+1,"")</f>
        <v/>
      </c>
      <c r="C1476" s="296"/>
      <c r="D1476" s="296"/>
      <c r="E1476" s="296"/>
      <c r="F1476" s="296"/>
      <c r="G1476" s="326"/>
      <c r="H1476" s="324"/>
      <c r="I1476" s="325"/>
      <c r="J1476" s="325"/>
      <c r="K1476" s="318"/>
      <c r="L1476" s="318"/>
      <c r="M1476" s="319" t="str">
        <f>IFERROR(VLOOKUP(H1476,Lijsten!$H$1:$I$100,2,0),"")</f>
        <v/>
      </c>
      <c r="N1476" s="319" t="str">
        <f ca="1">IFERROR(IF(VLOOKUP(F1476,Kostentypen!$A$3:$E$21,3,0)=0,"",IF(OR(F1476="Arbeidskosten",F1476="Vergoeding"),VLOOKUP(G1476,Tb_KostenTypen[],2,0),VLOOKUP(F1476,Kostentypen!$A$3:$E$20,3,0))),"")</f>
        <v/>
      </c>
      <c r="O1476" s="320" t="str" cm="1">
        <f t="array" ref="O1476">_xlfn.IFNA(IF(INDEX(Tb_KostenOptiesDB[],MATCH($F1476,Tb_KostenOptiesDB[KostenOptie],0),IFERROR(MATCH(Methode_Keuze,Tb_KostenOptiesDB[#Headers],0),2))=1,_xlfn.SWITCH($N1476,"Uurtarief",IF(OR(AND(RIGHT($F1476,3)="IKS",VLOOKUP($M1476,DB_Loonkosten,2,0)="Ja"),AND(RIGHT($F1476,3)&lt;&gt;"IKS",VLOOKUP($M1476,DB_Loonkosten,2,0)="Nee")),IFERROR(VLOOKUP($M1476,DB_Loonkosten,24,0),""),0),"Vast tarief",IF(LEFT(F1476,8)="Bijdrage",VLOOKUP($F1476,Tb_KostenTypen[],MATCH(Lijsten!$P$1,Tb_KostenTypen[#Headers],0),0),VLOOKUP($G1476,Lijsten!L:P,MATCH(Lijsten!$P$1,Kop_Tarief_Vast,0),0))),""),"")</f>
        <v/>
      </c>
      <c r="P1476" s="320" t="str" cm="1">
        <f t="array" ref="P1476">_xlfn.IFNA(IF(INDEX(Tb_KostenOptiesDB[],MATCH($F1476,Tb_KostenOptiesDB[KostenOptie],0),IFERROR(MATCH(Methode_Keuze,Tb_KostenOptiesDB[#Headers],0),2))=1,_xlfn.SWITCH($N1476,"Uurtarief",IF(OR(AND(RIGHT($F1476,3)="IKS",VLOOKUP($M1476,DB_Loonkosten,2,0)="Ja"),AND(RIGHT($F1476,3)&lt;&gt;"IKS",VLOOKUP($M1476,DB_Loonkosten,2,0)="Nee")),IFERROR(VLOOKUP($M1476,DB_Loonkosten,25,0),""),0),"Vast tarief",IF(LEFT(F1476,8)="Bijdrage",VLOOKUP($F1476,Tb_KostenTypen[],MATCH(Lijsten!$P$1,Tb_KostenTypen[#Headers],0),0),VLOOKUP($G1476,Lijsten!L:P,MATCH(Lijsten!$P$1,Kop_Tarief_Vast,0),0))),""),"")</f>
        <v/>
      </c>
      <c r="Q1476" s="359"/>
      <c r="R1476" s="359"/>
      <c r="S1476" s="321"/>
      <c r="T1476" s="321"/>
      <c r="U1476" s="373" t="str">
        <f t="shared" si="92"/>
        <v/>
      </c>
      <c r="V1476" s="314" t="str">
        <f t="shared" si="93"/>
        <v/>
      </c>
      <c r="W1476" s="314" t="str" cm="1">
        <f t="array" aca="1" ref="W1476" ca="1">IFERROR(IF(AE1476&lt;&gt;"ja",_xlfn.IFNA(_xlfn.IFS(AND(O1476&lt;&gt;"",F1476&lt;&gt;"",RIGHT($N1476,6)="tarief",F1476="Vergoeding"),SUM(O1476)*FLOOR(SUM(Q1476),0.0001),AND(O1476&lt;&gt;"",F1476&lt;&gt;"",RIGHT($N1476,6)="tarief"),SUM(O1476)*FLOOR(SUM(Q1476),0.01),S1476&gt;0,IF(F1476&lt;&gt;"",FLOOR(SUM(S1476),0.01),"")),""),""),"")</f>
        <v/>
      </c>
      <c r="X1476" s="314" t="str" cm="1">
        <f t="array" aca="1" ref="X1476" ca="1">IFERROR(IF(AE1476&lt;&gt;"ja",_xlfn.IFNA(_xlfn.IFS(AND(P1476&lt;&gt;"",R1476&lt;&gt;"",RIGHT($N1476,6)="tarief",F1476="Vergoeding"),SUM(P1476)*FLOOR(SUM(R1476),0.0001),AND(P1476&lt;&gt;"",R1476&lt;&gt;"",RIGHT($N1476,6)="tarief"),P1476*FLOOR(R1476,0.01),T1476&gt;0,FLOOR(SUM(T1476),0.01)),""),""),"")</f>
        <v/>
      </c>
      <c r="Y1476" s="314" t="str">
        <f t="shared" ca="1" si="94"/>
        <v/>
      </c>
      <c r="Z1476" s="314" t="str" cm="1">
        <f t="array" aca="1" ref="Z1476" ca="1">IFERROR(_xlfn.IFS(OR(F1476="",LEFT(Methode_Keuze,4)="Geen",Methode_Keuze=""),"",AND(W1476&lt;&gt;"",F1476&lt;&gt;"Arbeidskosten"),W1476*VLOOKUP(F1476,Tb_ProjectKosten[],MATCH(Tb_ProjectKosten[[#Headers],[Forfait_Percentage]],Tb_ProjectKosten[#Headers],0),0),AND(F1476="Arbeidskosten",G1476&lt;&gt;""),IFERROR(W1476*VLOOKUP(G1476,Tb_KostenTypen[],3,0)*VLOOKUP(F1476,Tb_ProjectKosten[],MATCH(Tb_ProjectKosten[[#Headers],[Forfait_Percentage]],Tb_ProjectKosten[#Headers],0),0),""),W1476 &lt;=0,0),"")</f>
        <v/>
      </c>
      <c r="AA1476" s="314" t="str" cm="1">
        <f t="array" aca="1" ref="AA1476" ca="1">IFERROR(_xlfn.IFS(OR(F1476="",LEFT(Methode_Keuze,4)="Geen",Methode_Keuze=""),"",AND(X1476&lt;&gt;"",F1476&lt;&gt;"Arbeidskosten"),X1476*VLOOKUP(F1476,Tb_ProjectKosten[],MATCH(Tb_ProjectKosten[[#Headers],[Forfait_Percentage]],Tb_ProjectKosten[#Headers],0),0),AND(F1476="Arbeidskosten",G1476&lt;&gt;""),IFERROR(X1476*VLOOKUP(G1476,Tb_KostenTypen[],3,0)*VLOOKUP(F1476,Tb_ProjectKosten[],MATCH(Tb_ProjectKosten[[#Headers],[Forfait_Percentage]],Tb_ProjectKosten[#Headers],0),0),""),X1476 &lt;=0,0),"")</f>
        <v/>
      </c>
      <c r="AB1476" s="314" t="str">
        <f t="shared" ca="1" si="95"/>
        <v/>
      </c>
      <c r="AC1476" s="322"/>
      <c r="AD1476" s="315"/>
      <c r="AE1476" s="32" t="str" cm="1">
        <f t="array" ref="AE1476">IFERROR(IF(INDEX(SubsidieTabel!$AD$1:$AG$12,MATCH($F1476,SubsidieTabel!$AD$1:$AD$12,0),IFERROR(MATCH(Methode_Keuze,SubsidieTabel!$AD$1:$AG$1,0),2))&lt;&gt;1=TRUE,"ja",""),"")</f>
        <v/>
      </c>
    </row>
    <row r="1477" spans="1:31" x14ac:dyDescent="0.25">
      <c r="A1477" s="316"/>
      <c r="B1477" s="317" t="str">
        <f>IF(A1477&lt;&gt;"",_xlfn.MAXIFS($B$1:B1476,$A$1:A1476,A1477)+1,"")</f>
        <v/>
      </c>
      <c r="C1477" s="296"/>
      <c r="D1477" s="296"/>
      <c r="E1477" s="296"/>
      <c r="F1477" s="296"/>
      <c r="G1477" s="326"/>
      <c r="H1477" s="324"/>
      <c r="I1477" s="325"/>
      <c r="J1477" s="325"/>
      <c r="K1477" s="318"/>
      <c r="L1477" s="318"/>
      <c r="M1477" s="319" t="str">
        <f>IFERROR(VLOOKUP(H1477,Lijsten!$H$1:$I$100,2,0),"")</f>
        <v/>
      </c>
      <c r="N1477" s="319" t="str">
        <f ca="1">IFERROR(IF(VLOOKUP(F1477,Kostentypen!$A$3:$E$21,3,0)=0,"",IF(OR(F1477="Arbeidskosten",F1477="Vergoeding"),VLOOKUP(G1477,Tb_KostenTypen[],2,0),VLOOKUP(F1477,Kostentypen!$A$3:$E$20,3,0))),"")</f>
        <v/>
      </c>
      <c r="O1477" s="320" t="str" cm="1">
        <f t="array" ref="O1477">_xlfn.IFNA(IF(INDEX(Tb_KostenOptiesDB[],MATCH($F1477,Tb_KostenOptiesDB[KostenOptie],0),IFERROR(MATCH(Methode_Keuze,Tb_KostenOptiesDB[#Headers],0),2))=1,_xlfn.SWITCH($N1477,"Uurtarief",IF(OR(AND(RIGHT($F1477,3)="IKS",VLOOKUP($M1477,DB_Loonkosten,2,0)="Ja"),AND(RIGHT($F1477,3)&lt;&gt;"IKS",VLOOKUP($M1477,DB_Loonkosten,2,0)="Nee")),IFERROR(VLOOKUP($M1477,DB_Loonkosten,24,0),""),0),"Vast tarief",IF(LEFT(F1477,8)="Bijdrage",VLOOKUP($F1477,Tb_KostenTypen[],MATCH(Lijsten!$P$1,Tb_KostenTypen[#Headers],0),0),VLOOKUP($G1477,Lijsten!L:P,MATCH(Lijsten!$P$1,Kop_Tarief_Vast,0),0))),""),"")</f>
        <v/>
      </c>
      <c r="P1477" s="320" t="str" cm="1">
        <f t="array" ref="P1477">_xlfn.IFNA(IF(INDEX(Tb_KostenOptiesDB[],MATCH($F1477,Tb_KostenOptiesDB[KostenOptie],0),IFERROR(MATCH(Methode_Keuze,Tb_KostenOptiesDB[#Headers],0),2))=1,_xlfn.SWITCH($N1477,"Uurtarief",IF(OR(AND(RIGHT($F1477,3)="IKS",VLOOKUP($M1477,DB_Loonkosten,2,0)="Ja"),AND(RIGHT($F1477,3)&lt;&gt;"IKS",VLOOKUP($M1477,DB_Loonkosten,2,0)="Nee")),IFERROR(VLOOKUP($M1477,DB_Loonkosten,25,0),""),0),"Vast tarief",IF(LEFT(F1477,8)="Bijdrage",VLOOKUP($F1477,Tb_KostenTypen[],MATCH(Lijsten!$P$1,Tb_KostenTypen[#Headers],0),0),VLOOKUP($G1477,Lijsten!L:P,MATCH(Lijsten!$P$1,Kop_Tarief_Vast,0),0))),""),"")</f>
        <v/>
      </c>
      <c r="Q1477" s="359"/>
      <c r="R1477" s="359"/>
      <c r="S1477" s="321"/>
      <c r="T1477" s="321"/>
      <c r="U1477" s="373" t="str">
        <f t="shared" si="92"/>
        <v/>
      </c>
      <c r="V1477" s="314" t="str">
        <f t="shared" si="93"/>
        <v/>
      </c>
      <c r="W1477" s="314" t="str" cm="1">
        <f t="array" aca="1" ref="W1477" ca="1">IFERROR(IF(AE1477&lt;&gt;"ja",_xlfn.IFNA(_xlfn.IFS(AND(O1477&lt;&gt;"",F1477&lt;&gt;"",RIGHT($N1477,6)="tarief",F1477="Vergoeding"),SUM(O1477)*FLOOR(SUM(Q1477),0.0001),AND(O1477&lt;&gt;"",F1477&lt;&gt;"",RIGHT($N1477,6)="tarief"),SUM(O1477)*FLOOR(SUM(Q1477),0.01),S1477&gt;0,IF(F1477&lt;&gt;"",FLOOR(SUM(S1477),0.01),"")),""),""),"")</f>
        <v/>
      </c>
      <c r="X1477" s="314" t="str" cm="1">
        <f t="array" aca="1" ref="X1477" ca="1">IFERROR(IF(AE1477&lt;&gt;"ja",_xlfn.IFNA(_xlfn.IFS(AND(P1477&lt;&gt;"",R1477&lt;&gt;"",RIGHT($N1477,6)="tarief",F1477="Vergoeding"),SUM(P1477)*FLOOR(SUM(R1477),0.0001),AND(P1477&lt;&gt;"",R1477&lt;&gt;"",RIGHT($N1477,6)="tarief"),P1477*FLOOR(R1477,0.01),T1477&gt;0,FLOOR(SUM(T1477),0.01)),""),""),"")</f>
        <v/>
      </c>
      <c r="Y1477" s="314" t="str">
        <f t="shared" ca="1" si="94"/>
        <v/>
      </c>
      <c r="Z1477" s="314" t="str" cm="1">
        <f t="array" aca="1" ref="Z1477" ca="1">IFERROR(_xlfn.IFS(OR(F1477="",LEFT(Methode_Keuze,4)="Geen",Methode_Keuze=""),"",AND(W1477&lt;&gt;"",F1477&lt;&gt;"Arbeidskosten"),W1477*VLOOKUP(F1477,Tb_ProjectKosten[],MATCH(Tb_ProjectKosten[[#Headers],[Forfait_Percentage]],Tb_ProjectKosten[#Headers],0),0),AND(F1477="Arbeidskosten",G1477&lt;&gt;""),IFERROR(W1477*VLOOKUP(G1477,Tb_KostenTypen[],3,0)*VLOOKUP(F1477,Tb_ProjectKosten[],MATCH(Tb_ProjectKosten[[#Headers],[Forfait_Percentage]],Tb_ProjectKosten[#Headers],0),0),""),W1477 &lt;=0,0),"")</f>
        <v/>
      </c>
      <c r="AA1477" s="314" t="str" cm="1">
        <f t="array" aca="1" ref="AA1477" ca="1">IFERROR(_xlfn.IFS(OR(F1477="",LEFT(Methode_Keuze,4)="Geen",Methode_Keuze=""),"",AND(X1477&lt;&gt;"",F1477&lt;&gt;"Arbeidskosten"),X1477*VLOOKUP(F1477,Tb_ProjectKosten[],MATCH(Tb_ProjectKosten[[#Headers],[Forfait_Percentage]],Tb_ProjectKosten[#Headers],0),0),AND(F1477="Arbeidskosten",G1477&lt;&gt;""),IFERROR(X1477*VLOOKUP(G1477,Tb_KostenTypen[],3,0)*VLOOKUP(F1477,Tb_ProjectKosten[],MATCH(Tb_ProjectKosten[[#Headers],[Forfait_Percentage]],Tb_ProjectKosten[#Headers],0),0),""),X1477 &lt;=0,0),"")</f>
        <v/>
      </c>
      <c r="AB1477" s="314" t="str">
        <f t="shared" ca="1" si="95"/>
        <v/>
      </c>
      <c r="AC1477" s="322"/>
      <c r="AD1477" s="315"/>
      <c r="AE1477" s="32" t="str" cm="1">
        <f t="array" ref="AE1477">IFERROR(IF(INDEX(SubsidieTabel!$AD$1:$AG$12,MATCH($F1477,SubsidieTabel!$AD$1:$AD$12,0),IFERROR(MATCH(Methode_Keuze,SubsidieTabel!$AD$1:$AG$1,0),2))&lt;&gt;1=TRUE,"ja",""),"")</f>
        <v/>
      </c>
    </row>
    <row r="1478" spans="1:31" x14ac:dyDescent="0.25">
      <c r="A1478" s="316"/>
      <c r="B1478" s="317" t="str">
        <f>IF(A1478&lt;&gt;"",_xlfn.MAXIFS($B$1:B1477,$A$1:A1477,A1478)+1,"")</f>
        <v/>
      </c>
      <c r="C1478" s="296"/>
      <c r="D1478" s="296"/>
      <c r="E1478" s="296"/>
      <c r="F1478" s="296"/>
      <c r="G1478" s="326"/>
      <c r="H1478" s="324"/>
      <c r="I1478" s="325"/>
      <c r="J1478" s="325"/>
      <c r="K1478" s="318"/>
      <c r="L1478" s="318"/>
      <c r="M1478" s="319" t="str">
        <f>IFERROR(VLOOKUP(H1478,Lijsten!$H$1:$I$100,2,0),"")</f>
        <v/>
      </c>
      <c r="N1478" s="319" t="str">
        <f ca="1">IFERROR(IF(VLOOKUP(F1478,Kostentypen!$A$3:$E$21,3,0)=0,"",IF(OR(F1478="Arbeidskosten",F1478="Vergoeding"),VLOOKUP(G1478,Tb_KostenTypen[],2,0),VLOOKUP(F1478,Kostentypen!$A$3:$E$20,3,0))),"")</f>
        <v/>
      </c>
      <c r="O1478" s="320" t="str" cm="1">
        <f t="array" ref="O1478">_xlfn.IFNA(IF(INDEX(Tb_KostenOptiesDB[],MATCH($F1478,Tb_KostenOptiesDB[KostenOptie],0),IFERROR(MATCH(Methode_Keuze,Tb_KostenOptiesDB[#Headers],0),2))=1,_xlfn.SWITCH($N1478,"Uurtarief",IF(OR(AND(RIGHT($F1478,3)="IKS",VLOOKUP($M1478,DB_Loonkosten,2,0)="Ja"),AND(RIGHT($F1478,3)&lt;&gt;"IKS",VLOOKUP($M1478,DB_Loonkosten,2,0)="Nee")),IFERROR(VLOOKUP($M1478,DB_Loonkosten,24,0),""),0),"Vast tarief",IF(LEFT(F1478,8)="Bijdrage",VLOOKUP($F1478,Tb_KostenTypen[],MATCH(Lijsten!$P$1,Tb_KostenTypen[#Headers],0),0),VLOOKUP($G1478,Lijsten!L:P,MATCH(Lijsten!$P$1,Kop_Tarief_Vast,0),0))),""),"")</f>
        <v/>
      </c>
      <c r="P1478" s="320" t="str" cm="1">
        <f t="array" ref="P1478">_xlfn.IFNA(IF(INDEX(Tb_KostenOptiesDB[],MATCH($F1478,Tb_KostenOptiesDB[KostenOptie],0),IFERROR(MATCH(Methode_Keuze,Tb_KostenOptiesDB[#Headers],0),2))=1,_xlfn.SWITCH($N1478,"Uurtarief",IF(OR(AND(RIGHT($F1478,3)="IKS",VLOOKUP($M1478,DB_Loonkosten,2,0)="Ja"),AND(RIGHT($F1478,3)&lt;&gt;"IKS",VLOOKUP($M1478,DB_Loonkosten,2,0)="Nee")),IFERROR(VLOOKUP($M1478,DB_Loonkosten,25,0),""),0),"Vast tarief",IF(LEFT(F1478,8)="Bijdrage",VLOOKUP($F1478,Tb_KostenTypen[],MATCH(Lijsten!$P$1,Tb_KostenTypen[#Headers],0),0),VLOOKUP($G1478,Lijsten!L:P,MATCH(Lijsten!$P$1,Kop_Tarief_Vast,0),0))),""),"")</f>
        <v/>
      </c>
      <c r="Q1478" s="359"/>
      <c r="R1478" s="359"/>
      <c r="S1478" s="321"/>
      <c r="T1478" s="321"/>
      <c r="U1478" s="373" t="str">
        <f t="shared" si="92"/>
        <v/>
      </c>
      <c r="V1478" s="314" t="str">
        <f t="shared" si="93"/>
        <v/>
      </c>
      <c r="W1478" s="314" t="str" cm="1">
        <f t="array" aca="1" ref="W1478" ca="1">IFERROR(IF(AE1478&lt;&gt;"ja",_xlfn.IFNA(_xlfn.IFS(AND(O1478&lt;&gt;"",F1478&lt;&gt;"",RIGHT($N1478,6)="tarief",F1478="Vergoeding"),SUM(O1478)*FLOOR(SUM(Q1478),0.0001),AND(O1478&lt;&gt;"",F1478&lt;&gt;"",RIGHT($N1478,6)="tarief"),SUM(O1478)*FLOOR(SUM(Q1478),0.01),S1478&gt;0,IF(F1478&lt;&gt;"",FLOOR(SUM(S1478),0.01),"")),""),""),"")</f>
        <v/>
      </c>
      <c r="X1478" s="314" t="str" cm="1">
        <f t="array" aca="1" ref="X1478" ca="1">IFERROR(IF(AE1478&lt;&gt;"ja",_xlfn.IFNA(_xlfn.IFS(AND(P1478&lt;&gt;"",R1478&lt;&gt;"",RIGHT($N1478,6)="tarief",F1478="Vergoeding"),SUM(P1478)*FLOOR(SUM(R1478),0.0001),AND(P1478&lt;&gt;"",R1478&lt;&gt;"",RIGHT($N1478,6)="tarief"),P1478*FLOOR(R1478,0.01),T1478&gt;0,FLOOR(SUM(T1478),0.01)),""),""),"")</f>
        <v/>
      </c>
      <c r="Y1478" s="314" t="str">
        <f t="shared" ca="1" si="94"/>
        <v/>
      </c>
      <c r="Z1478" s="314" t="str" cm="1">
        <f t="array" aca="1" ref="Z1478" ca="1">IFERROR(_xlfn.IFS(OR(F1478="",LEFT(Methode_Keuze,4)="Geen",Methode_Keuze=""),"",AND(W1478&lt;&gt;"",F1478&lt;&gt;"Arbeidskosten"),W1478*VLOOKUP(F1478,Tb_ProjectKosten[],MATCH(Tb_ProjectKosten[[#Headers],[Forfait_Percentage]],Tb_ProjectKosten[#Headers],0),0),AND(F1478="Arbeidskosten",G1478&lt;&gt;""),IFERROR(W1478*VLOOKUP(G1478,Tb_KostenTypen[],3,0)*VLOOKUP(F1478,Tb_ProjectKosten[],MATCH(Tb_ProjectKosten[[#Headers],[Forfait_Percentage]],Tb_ProjectKosten[#Headers],0),0),""),W1478 &lt;=0,0),"")</f>
        <v/>
      </c>
      <c r="AA1478" s="314" t="str" cm="1">
        <f t="array" aca="1" ref="AA1478" ca="1">IFERROR(_xlfn.IFS(OR(F1478="",LEFT(Methode_Keuze,4)="Geen",Methode_Keuze=""),"",AND(X1478&lt;&gt;"",F1478&lt;&gt;"Arbeidskosten"),X1478*VLOOKUP(F1478,Tb_ProjectKosten[],MATCH(Tb_ProjectKosten[[#Headers],[Forfait_Percentage]],Tb_ProjectKosten[#Headers],0),0),AND(F1478="Arbeidskosten",G1478&lt;&gt;""),IFERROR(X1478*VLOOKUP(G1478,Tb_KostenTypen[],3,0)*VLOOKUP(F1478,Tb_ProjectKosten[],MATCH(Tb_ProjectKosten[[#Headers],[Forfait_Percentage]],Tb_ProjectKosten[#Headers],0),0),""),X1478 &lt;=0,0),"")</f>
        <v/>
      </c>
      <c r="AB1478" s="314" t="str">
        <f t="shared" ca="1" si="95"/>
        <v/>
      </c>
      <c r="AC1478" s="322"/>
      <c r="AD1478" s="315"/>
      <c r="AE1478" s="32" t="str" cm="1">
        <f t="array" ref="AE1478">IFERROR(IF(INDEX(SubsidieTabel!$AD$1:$AG$12,MATCH($F1478,SubsidieTabel!$AD$1:$AD$12,0),IFERROR(MATCH(Methode_Keuze,SubsidieTabel!$AD$1:$AG$1,0),2))&lt;&gt;1=TRUE,"ja",""),"")</f>
        <v/>
      </c>
    </row>
    <row r="1479" spans="1:31" x14ac:dyDescent="0.25">
      <c r="A1479" s="316"/>
      <c r="B1479" s="317" t="str">
        <f>IF(A1479&lt;&gt;"",_xlfn.MAXIFS($B$1:B1478,$A$1:A1478,A1479)+1,"")</f>
        <v/>
      </c>
      <c r="C1479" s="296"/>
      <c r="D1479" s="296"/>
      <c r="E1479" s="296"/>
      <c r="F1479" s="296"/>
      <c r="G1479" s="326"/>
      <c r="H1479" s="324"/>
      <c r="I1479" s="325"/>
      <c r="J1479" s="325"/>
      <c r="K1479" s="318"/>
      <c r="L1479" s="318"/>
      <c r="M1479" s="319" t="str">
        <f>IFERROR(VLOOKUP(H1479,Lijsten!$H$1:$I$100,2,0),"")</f>
        <v/>
      </c>
      <c r="N1479" s="319" t="str">
        <f ca="1">IFERROR(IF(VLOOKUP(F1479,Kostentypen!$A$3:$E$21,3,0)=0,"",IF(OR(F1479="Arbeidskosten",F1479="Vergoeding"),VLOOKUP(G1479,Tb_KostenTypen[],2,0),VLOOKUP(F1479,Kostentypen!$A$3:$E$20,3,0))),"")</f>
        <v/>
      </c>
      <c r="O1479" s="320" t="str" cm="1">
        <f t="array" ref="O1479">_xlfn.IFNA(IF(INDEX(Tb_KostenOptiesDB[],MATCH($F1479,Tb_KostenOptiesDB[KostenOptie],0),IFERROR(MATCH(Methode_Keuze,Tb_KostenOptiesDB[#Headers],0),2))=1,_xlfn.SWITCH($N1479,"Uurtarief",IF(OR(AND(RIGHT($F1479,3)="IKS",VLOOKUP($M1479,DB_Loonkosten,2,0)="Ja"),AND(RIGHT($F1479,3)&lt;&gt;"IKS",VLOOKUP($M1479,DB_Loonkosten,2,0)="Nee")),IFERROR(VLOOKUP($M1479,DB_Loonkosten,24,0),""),0),"Vast tarief",IF(LEFT(F1479,8)="Bijdrage",VLOOKUP($F1479,Tb_KostenTypen[],MATCH(Lijsten!$P$1,Tb_KostenTypen[#Headers],0),0),VLOOKUP($G1479,Lijsten!L:P,MATCH(Lijsten!$P$1,Kop_Tarief_Vast,0),0))),""),"")</f>
        <v/>
      </c>
      <c r="P1479" s="320" t="str" cm="1">
        <f t="array" ref="P1479">_xlfn.IFNA(IF(INDEX(Tb_KostenOptiesDB[],MATCH($F1479,Tb_KostenOptiesDB[KostenOptie],0),IFERROR(MATCH(Methode_Keuze,Tb_KostenOptiesDB[#Headers],0),2))=1,_xlfn.SWITCH($N1479,"Uurtarief",IF(OR(AND(RIGHT($F1479,3)="IKS",VLOOKUP($M1479,DB_Loonkosten,2,0)="Ja"),AND(RIGHT($F1479,3)&lt;&gt;"IKS",VLOOKUP($M1479,DB_Loonkosten,2,0)="Nee")),IFERROR(VLOOKUP($M1479,DB_Loonkosten,25,0),""),0),"Vast tarief",IF(LEFT(F1479,8)="Bijdrage",VLOOKUP($F1479,Tb_KostenTypen[],MATCH(Lijsten!$P$1,Tb_KostenTypen[#Headers],0),0),VLOOKUP($G1479,Lijsten!L:P,MATCH(Lijsten!$P$1,Kop_Tarief_Vast,0),0))),""),"")</f>
        <v/>
      </c>
      <c r="Q1479" s="359"/>
      <c r="R1479" s="359"/>
      <c r="S1479" s="321"/>
      <c r="T1479" s="321"/>
      <c r="U1479" s="373" t="str">
        <f t="shared" si="92"/>
        <v/>
      </c>
      <c r="V1479" s="314" t="str">
        <f t="shared" si="93"/>
        <v/>
      </c>
      <c r="W1479" s="314" t="str" cm="1">
        <f t="array" aca="1" ref="W1479" ca="1">IFERROR(IF(AE1479&lt;&gt;"ja",_xlfn.IFNA(_xlfn.IFS(AND(O1479&lt;&gt;"",F1479&lt;&gt;"",RIGHT($N1479,6)="tarief",F1479="Vergoeding"),SUM(O1479)*FLOOR(SUM(Q1479),0.0001),AND(O1479&lt;&gt;"",F1479&lt;&gt;"",RIGHT($N1479,6)="tarief"),SUM(O1479)*FLOOR(SUM(Q1479),0.01),S1479&gt;0,IF(F1479&lt;&gt;"",FLOOR(SUM(S1479),0.01),"")),""),""),"")</f>
        <v/>
      </c>
      <c r="X1479" s="314" t="str" cm="1">
        <f t="array" aca="1" ref="X1479" ca="1">IFERROR(IF(AE1479&lt;&gt;"ja",_xlfn.IFNA(_xlfn.IFS(AND(P1479&lt;&gt;"",R1479&lt;&gt;"",RIGHT($N1479,6)="tarief",F1479="Vergoeding"),SUM(P1479)*FLOOR(SUM(R1479),0.0001),AND(P1479&lt;&gt;"",R1479&lt;&gt;"",RIGHT($N1479,6)="tarief"),P1479*FLOOR(R1479,0.01),T1479&gt;0,FLOOR(SUM(T1479),0.01)),""),""),"")</f>
        <v/>
      </c>
      <c r="Y1479" s="314" t="str">
        <f t="shared" ca="1" si="94"/>
        <v/>
      </c>
      <c r="Z1479" s="314" t="str" cm="1">
        <f t="array" aca="1" ref="Z1479" ca="1">IFERROR(_xlfn.IFS(OR(F1479="",LEFT(Methode_Keuze,4)="Geen",Methode_Keuze=""),"",AND(W1479&lt;&gt;"",F1479&lt;&gt;"Arbeidskosten"),W1479*VLOOKUP(F1479,Tb_ProjectKosten[],MATCH(Tb_ProjectKosten[[#Headers],[Forfait_Percentage]],Tb_ProjectKosten[#Headers],0),0),AND(F1479="Arbeidskosten",G1479&lt;&gt;""),IFERROR(W1479*VLOOKUP(G1479,Tb_KostenTypen[],3,0)*VLOOKUP(F1479,Tb_ProjectKosten[],MATCH(Tb_ProjectKosten[[#Headers],[Forfait_Percentage]],Tb_ProjectKosten[#Headers],0),0),""),W1479 &lt;=0,0),"")</f>
        <v/>
      </c>
      <c r="AA1479" s="314" t="str" cm="1">
        <f t="array" aca="1" ref="AA1479" ca="1">IFERROR(_xlfn.IFS(OR(F1479="",LEFT(Methode_Keuze,4)="Geen",Methode_Keuze=""),"",AND(X1479&lt;&gt;"",F1479&lt;&gt;"Arbeidskosten"),X1479*VLOOKUP(F1479,Tb_ProjectKosten[],MATCH(Tb_ProjectKosten[[#Headers],[Forfait_Percentage]],Tb_ProjectKosten[#Headers],0),0),AND(F1479="Arbeidskosten",G1479&lt;&gt;""),IFERROR(X1479*VLOOKUP(G1479,Tb_KostenTypen[],3,0)*VLOOKUP(F1479,Tb_ProjectKosten[],MATCH(Tb_ProjectKosten[[#Headers],[Forfait_Percentage]],Tb_ProjectKosten[#Headers],0),0),""),X1479 &lt;=0,0),"")</f>
        <v/>
      </c>
      <c r="AB1479" s="314" t="str">
        <f t="shared" ca="1" si="95"/>
        <v/>
      </c>
      <c r="AC1479" s="322"/>
      <c r="AD1479" s="315"/>
      <c r="AE1479" s="32" t="str" cm="1">
        <f t="array" ref="AE1479">IFERROR(IF(INDEX(SubsidieTabel!$AD$1:$AG$12,MATCH($F1479,SubsidieTabel!$AD$1:$AD$12,0),IFERROR(MATCH(Methode_Keuze,SubsidieTabel!$AD$1:$AG$1,0),2))&lt;&gt;1=TRUE,"ja",""),"")</f>
        <v/>
      </c>
    </row>
    <row r="1480" spans="1:31" x14ac:dyDescent="0.25">
      <c r="A1480" s="316"/>
      <c r="B1480" s="317" t="str">
        <f>IF(A1480&lt;&gt;"",_xlfn.MAXIFS($B$1:B1479,$A$1:A1479,A1480)+1,"")</f>
        <v/>
      </c>
      <c r="C1480" s="296"/>
      <c r="D1480" s="296"/>
      <c r="E1480" s="296"/>
      <c r="F1480" s="296"/>
      <c r="G1480" s="326"/>
      <c r="H1480" s="324"/>
      <c r="I1480" s="325"/>
      <c r="J1480" s="325"/>
      <c r="K1480" s="318"/>
      <c r="L1480" s="318"/>
      <c r="M1480" s="319" t="str">
        <f>IFERROR(VLOOKUP(H1480,Lijsten!$H$1:$I$100,2,0),"")</f>
        <v/>
      </c>
      <c r="N1480" s="319" t="str">
        <f ca="1">IFERROR(IF(VLOOKUP(F1480,Kostentypen!$A$3:$E$21,3,0)=0,"",IF(OR(F1480="Arbeidskosten",F1480="Vergoeding"),VLOOKUP(G1480,Tb_KostenTypen[],2,0),VLOOKUP(F1480,Kostentypen!$A$3:$E$20,3,0))),"")</f>
        <v/>
      </c>
      <c r="O1480" s="320" t="str" cm="1">
        <f t="array" ref="O1480">_xlfn.IFNA(IF(INDEX(Tb_KostenOptiesDB[],MATCH($F1480,Tb_KostenOptiesDB[KostenOptie],0),IFERROR(MATCH(Methode_Keuze,Tb_KostenOptiesDB[#Headers],0),2))=1,_xlfn.SWITCH($N1480,"Uurtarief",IF(OR(AND(RIGHT($F1480,3)="IKS",VLOOKUP($M1480,DB_Loonkosten,2,0)="Ja"),AND(RIGHT($F1480,3)&lt;&gt;"IKS",VLOOKUP($M1480,DB_Loonkosten,2,0)="Nee")),IFERROR(VLOOKUP($M1480,DB_Loonkosten,24,0),""),0),"Vast tarief",IF(LEFT(F1480,8)="Bijdrage",VLOOKUP($F1480,Tb_KostenTypen[],MATCH(Lijsten!$P$1,Tb_KostenTypen[#Headers],0),0),VLOOKUP($G1480,Lijsten!L:P,MATCH(Lijsten!$P$1,Kop_Tarief_Vast,0),0))),""),"")</f>
        <v/>
      </c>
      <c r="P1480" s="320" t="str" cm="1">
        <f t="array" ref="P1480">_xlfn.IFNA(IF(INDEX(Tb_KostenOptiesDB[],MATCH($F1480,Tb_KostenOptiesDB[KostenOptie],0),IFERROR(MATCH(Methode_Keuze,Tb_KostenOptiesDB[#Headers],0),2))=1,_xlfn.SWITCH($N1480,"Uurtarief",IF(OR(AND(RIGHT($F1480,3)="IKS",VLOOKUP($M1480,DB_Loonkosten,2,0)="Ja"),AND(RIGHT($F1480,3)&lt;&gt;"IKS",VLOOKUP($M1480,DB_Loonkosten,2,0)="Nee")),IFERROR(VLOOKUP($M1480,DB_Loonkosten,25,0),""),0),"Vast tarief",IF(LEFT(F1480,8)="Bijdrage",VLOOKUP($F1480,Tb_KostenTypen[],MATCH(Lijsten!$P$1,Tb_KostenTypen[#Headers],0),0),VLOOKUP($G1480,Lijsten!L:P,MATCH(Lijsten!$P$1,Kop_Tarief_Vast,0),0))),""),"")</f>
        <v/>
      </c>
      <c r="Q1480" s="359"/>
      <c r="R1480" s="359"/>
      <c r="S1480" s="321"/>
      <c r="T1480" s="321"/>
      <c r="U1480" s="373" t="str">
        <f t="shared" si="92"/>
        <v/>
      </c>
      <c r="V1480" s="314" t="str">
        <f t="shared" si="93"/>
        <v/>
      </c>
      <c r="W1480" s="314" t="str" cm="1">
        <f t="array" aca="1" ref="W1480" ca="1">IFERROR(IF(AE1480&lt;&gt;"ja",_xlfn.IFNA(_xlfn.IFS(AND(O1480&lt;&gt;"",F1480&lt;&gt;"",RIGHT($N1480,6)="tarief",F1480="Vergoeding"),SUM(O1480)*FLOOR(SUM(Q1480),0.0001),AND(O1480&lt;&gt;"",F1480&lt;&gt;"",RIGHT($N1480,6)="tarief"),SUM(O1480)*FLOOR(SUM(Q1480),0.01),S1480&gt;0,IF(F1480&lt;&gt;"",FLOOR(SUM(S1480),0.01),"")),""),""),"")</f>
        <v/>
      </c>
      <c r="X1480" s="314" t="str" cm="1">
        <f t="array" aca="1" ref="X1480" ca="1">IFERROR(IF(AE1480&lt;&gt;"ja",_xlfn.IFNA(_xlfn.IFS(AND(P1480&lt;&gt;"",R1480&lt;&gt;"",RIGHT($N1480,6)="tarief",F1480="Vergoeding"),SUM(P1480)*FLOOR(SUM(R1480),0.0001),AND(P1480&lt;&gt;"",R1480&lt;&gt;"",RIGHT($N1480,6)="tarief"),P1480*FLOOR(R1480,0.01),T1480&gt;0,FLOOR(SUM(T1480),0.01)),""),""),"")</f>
        <v/>
      </c>
      <c r="Y1480" s="314" t="str">
        <f t="shared" ca="1" si="94"/>
        <v/>
      </c>
      <c r="Z1480" s="314" t="str" cm="1">
        <f t="array" aca="1" ref="Z1480" ca="1">IFERROR(_xlfn.IFS(OR(F1480="",LEFT(Methode_Keuze,4)="Geen",Methode_Keuze=""),"",AND(W1480&lt;&gt;"",F1480&lt;&gt;"Arbeidskosten"),W1480*VLOOKUP(F1480,Tb_ProjectKosten[],MATCH(Tb_ProjectKosten[[#Headers],[Forfait_Percentage]],Tb_ProjectKosten[#Headers],0),0),AND(F1480="Arbeidskosten",G1480&lt;&gt;""),IFERROR(W1480*VLOOKUP(G1480,Tb_KostenTypen[],3,0)*VLOOKUP(F1480,Tb_ProjectKosten[],MATCH(Tb_ProjectKosten[[#Headers],[Forfait_Percentage]],Tb_ProjectKosten[#Headers],0),0),""),W1480 &lt;=0,0),"")</f>
        <v/>
      </c>
      <c r="AA1480" s="314" t="str" cm="1">
        <f t="array" aca="1" ref="AA1480" ca="1">IFERROR(_xlfn.IFS(OR(F1480="",LEFT(Methode_Keuze,4)="Geen",Methode_Keuze=""),"",AND(X1480&lt;&gt;"",F1480&lt;&gt;"Arbeidskosten"),X1480*VLOOKUP(F1480,Tb_ProjectKosten[],MATCH(Tb_ProjectKosten[[#Headers],[Forfait_Percentage]],Tb_ProjectKosten[#Headers],0),0),AND(F1480="Arbeidskosten",G1480&lt;&gt;""),IFERROR(X1480*VLOOKUP(G1480,Tb_KostenTypen[],3,0)*VLOOKUP(F1480,Tb_ProjectKosten[],MATCH(Tb_ProjectKosten[[#Headers],[Forfait_Percentage]],Tb_ProjectKosten[#Headers],0),0),""),X1480 &lt;=0,0),"")</f>
        <v/>
      </c>
      <c r="AB1480" s="314" t="str">
        <f t="shared" ca="1" si="95"/>
        <v/>
      </c>
      <c r="AC1480" s="322"/>
      <c r="AD1480" s="315"/>
      <c r="AE1480" s="32" t="str" cm="1">
        <f t="array" ref="AE1480">IFERROR(IF(INDEX(SubsidieTabel!$AD$1:$AG$12,MATCH($F1480,SubsidieTabel!$AD$1:$AD$12,0),IFERROR(MATCH(Methode_Keuze,SubsidieTabel!$AD$1:$AG$1,0),2))&lt;&gt;1=TRUE,"ja",""),"")</f>
        <v/>
      </c>
    </row>
    <row r="1481" spans="1:31" x14ac:dyDescent="0.25">
      <c r="A1481" s="316"/>
      <c r="B1481" s="317" t="str">
        <f>IF(A1481&lt;&gt;"",_xlfn.MAXIFS($B$1:B1480,$A$1:A1480,A1481)+1,"")</f>
        <v/>
      </c>
      <c r="C1481" s="296"/>
      <c r="D1481" s="296"/>
      <c r="E1481" s="296"/>
      <c r="F1481" s="296"/>
      <c r="G1481" s="326"/>
      <c r="H1481" s="324"/>
      <c r="I1481" s="325"/>
      <c r="J1481" s="325"/>
      <c r="K1481" s="318"/>
      <c r="L1481" s="318"/>
      <c r="M1481" s="319" t="str">
        <f>IFERROR(VLOOKUP(H1481,Lijsten!$H$1:$I$100,2,0),"")</f>
        <v/>
      </c>
      <c r="N1481" s="319" t="str">
        <f ca="1">IFERROR(IF(VLOOKUP(F1481,Kostentypen!$A$3:$E$21,3,0)=0,"",IF(OR(F1481="Arbeidskosten",F1481="Vergoeding"),VLOOKUP(G1481,Tb_KostenTypen[],2,0),VLOOKUP(F1481,Kostentypen!$A$3:$E$20,3,0))),"")</f>
        <v/>
      </c>
      <c r="O1481" s="320" t="str" cm="1">
        <f t="array" ref="O1481">_xlfn.IFNA(IF(INDEX(Tb_KostenOptiesDB[],MATCH($F1481,Tb_KostenOptiesDB[KostenOptie],0),IFERROR(MATCH(Methode_Keuze,Tb_KostenOptiesDB[#Headers],0),2))=1,_xlfn.SWITCH($N1481,"Uurtarief",IF(OR(AND(RIGHT($F1481,3)="IKS",VLOOKUP($M1481,DB_Loonkosten,2,0)="Ja"),AND(RIGHT($F1481,3)&lt;&gt;"IKS",VLOOKUP($M1481,DB_Loonkosten,2,0)="Nee")),IFERROR(VLOOKUP($M1481,DB_Loonkosten,24,0),""),0),"Vast tarief",IF(LEFT(F1481,8)="Bijdrage",VLOOKUP($F1481,Tb_KostenTypen[],MATCH(Lijsten!$P$1,Tb_KostenTypen[#Headers],0),0),VLOOKUP($G1481,Lijsten!L:P,MATCH(Lijsten!$P$1,Kop_Tarief_Vast,0),0))),""),"")</f>
        <v/>
      </c>
      <c r="P1481" s="320" t="str" cm="1">
        <f t="array" ref="P1481">_xlfn.IFNA(IF(INDEX(Tb_KostenOptiesDB[],MATCH($F1481,Tb_KostenOptiesDB[KostenOptie],0),IFERROR(MATCH(Methode_Keuze,Tb_KostenOptiesDB[#Headers],0),2))=1,_xlfn.SWITCH($N1481,"Uurtarief",IF(OR(AND(RIGHT($F1481,3)="IKS",VLOOKUP($M1481,DB_Loonkosten,2,0)="Ja"),AND(RIGHT($F1481,3)&lt;&gt;"IKS",VLOOKUP($M1481,DB_Loonkosten,2,0)="Nee")),IFERROR(VLOOKUP($M1481,DB_Loonkosten,25,0),""),0),"Vast tarief",IF(LEFT(F1481,8)="Bijdrage",VLOOKUP($F1481,Tb_KostenTypen[],MATCH(Lijsten!$P$1,Tb_KostenTypen[#Headers],0),0),VLOOKUP($G1481,Lijsten!L:P,MATCH(Lijsten!$P$1,Kop_Tarief_Vast,0),0))),""),"")</f>
        <v/>
      </c>
      <c r="Q1481" s="359"/>
      <c r="R1481" s="359"/>
      <c r="S1481" s="321"/>
      <c r="T1481" s="321"/>
      <c r="U1481" s="373" t="str">
        <f t="shared" si="92"/>
        <v/>
      </c>
      <c r="V1481" s="314" t="str">
        <f t="shared" si="93"/>
        <v/>
      </c>
      <c r="W1481" s="314" t="str" cm="1">
        <f t="array" aca="1" ref="W1481" ca="1">IFERROR(IF(AE1481&lt;&gt;"ja",_xlfn.IFNA(_xlfn.IFS(AND(O1481&lt;&gt;"",F1481&lt;&gt;"",RIGHT($N1481,6)="tarief",F1481="Vergoeding"),SUM(O1481)*FLOOR(SUM(Q1481),0.0001),AND(O1481&lt;&gt;"",F1481&lt;&gt;"",RIGHT($N1481,6)="tarief"),SUM(O1481)*FLOOR(SUM(Q1481),0.01),S1481&gt;0,IF(F1481&lt;&gt;"",FLOOR(SUM(S1481),0.01),"")),""),""),"")</f>
        <v/>
      </c>
      <c r="X1481" s="314" t="str" cm="1">
        <f t="array" aca="1" ref="X1481" ca="1">IFERROR(IF(AE1481&lt;&gt;"ja",_xlfn.IFNA(_xlfn.IFS(AND(P1481&lt;&gt;"",R1481&lt;&gt;"",RIGHT($N1481,6)="tarief",F1481="Vergoeding"),SUM(P1481)*FLOOR(SUM(R1481),0.0001),AND(P1481&lt;&gt;"",R1481&lt;&gt;"",RIGHT($N1481,6)="tarief"),P1481*FLOOR(R1481,0.01),T1481&gt;0,FLOOR(SUM(T1481),0.01)),""),""),"")</f>
        <v/>
      </c>
      <c r="Y1481" s="314" t="str">
        <f t="shared" ca="1" si="94"/>
        <v/>
      </c>
      <c r="Z1481" s="314" t="str" cm="1">
        <f t="array" aca="1" ref="Z1481" ca="1">IFERROR(_xlfn.IFS(OR(F1481="",LEFT(Methode_Keuze,4)="Geen",Methode_Keuze=""),"",AND(W1481&lt;&gt;"",F1481&lt;&gt;"Arbeidskosten"),W1481*VLOOKUP(F1481,Tb_ProjectKosten[],MATCH(Tb_ProjectKosten[[#Headers],[Forfait_Percentage]],Tb_ProjectKosten[#Headers],0),0),AND(F1481="Arbeidskosten",G1481&lt;&gt;""),IFERROR(W1481*VLOOKUP(G1481,Tb_KostenTypen[],3,0)*VLOOKUP(F1481,Tb_ProjectKosten[],MATCH(Tb_ProjectKosten[[#Headers],[Forfait_Percentage]],Tb_ProjectKosten[#Headers],0),0),""),W1481 &lt;=0,0),"")</f>
        <v/>
      </c>
      <c r="AA1481" s="314" t="str" cm="1">
        <f t="array" aca="1" ref="AA1481" ca="1">IFERROR(_xlfn.IFS(OR(F1481="",LEFT(Methode_Keuze,4)="Geen",Methode_Keuze=""),"",AND(X1481&lt;&gt;"",F1481&lt;&gt;"Arbeidskosten"),X1481*VLOOKUP(F1481,Tb_ProjectKosten[],MATCH(Tb_ProjectKosten[[#Headers],[Forfait_Percentage]],Tb_ProjectKosten[#Headers],0),0),AND(F1481="Arbeidskosten",G1481&lt;&gt;""),IFERROR(X1481*VLOOKUP(G1481,Tb_KostenTypen[],3,0)*VLOOKUP(F1481,Tb_ProjectKosten[],MATCH(Tb_ProjectKosten[[#Headers],[Forfait_Percentage]],Tb_ProjectKosten[#Headers],0),0),""),X1481 &lt;=0,0),"")</f>
        <v/>
      </c>
      <c r="AB1481" s="314" t="str">
        <f t="shared" ca="1" si="95"/>
        <v/>
      </c>
      <c r="AC1481" s="322"/>
      <c r="AD1481" s="315"/>
      <c r="AE1481" s="32" t="str" cm="1">
        <f t="array" ref="AE1481">IFERROR(IF(INDEX(SubsidieTabel!$AD$1:$AG$12,MATCH($F1481,SubsidieTabel!$AD$1:$AD$12,0),IFERROR(MATCH(Methode_Keuze,SubsidieTabel!$AD$1:$AG$1,0),2))&lt;&gt;1=TRUE,"ja",""),"")</f>
        <v/>
      </c>
    </row>
    <row r="1482" spans="1:31" x14ac:dyDescent="0.25">
      <c r="A1482" s="316"/>
      <c r="B1482" s="317" t="str">
        <f>IF(A1482&lt;&gt;"",_xlfn.MAXIFS($B$1:B1481,$A$1:A1481,A1482)+1,"")</f>
        <v/>
      </c>
      <c r="C1482" s="296"/>
      <c r="D1482" s="296"/>
      <c r="E1482" s="296"/>
      <c r="F1482" s="296"/>
      <c r="G1482" s="326"/>
      <c r="H1482" s="324"/>
      <c r="I1482" s="325"/>
      <c r="J1482" s="325"/>
      <c r="K1482" s="318"/>
      <c r="L1482" s="318"/>
      <c r="M1482" s="319" t="str">
        <f>IFERROR(VLOOKUP(H1482,Lijsten!$H$1:$I$100,2,0),"")</f>
        <v/>
      </c>
      <c r="N1482" s="319" t="str">
        <f ca="1">IFERROR(IF(VLOOKUP(F1482,Kostentypen!$A$3:$E$21,3,0)=0,"",IF(OR(F1482="Arbeidskosten",F1482="Vergoeding"),VLOOKUP(G1482,Tb_KostenTypen[],2,0),VLOOKUP(F1482,Kostentypen!$A$3:$E$20,3,0))),"")</f>
        <v/>
      </c>
      <c r="O1482" s="320" t="str" cm="1">
        <f t="array" ref="O1482">_xlfn.IFNA(IF(INDEX(Tb_KostenOptiesDB[],MATCH($F1482,Tb_KostenOptiesDB[KostenOptie],0),IFERROR(MATCH(Methode_Keuze,Tb_KostenOptiesDB[#Headers],0),2))=1,_xlfn.SWITCH($N1482,"Uurtarief",IF(OR(AND(RIGHT($F1482,3)="IKS",VLOOKUP($M1482,DB_Loonkosten,2,0)="Ja"),AND(RIGHT($F1482,3)&lt;&gt;"IKS",VLOOKUP($M1482,DB_Loonkosten,2,0)="Nee")),IFERROR(VLOOKUP($M1482,DB_Loonkosten,24,0),""),0),"Vast tarief",IF(LEFT(F1482,8)="Bijdrage",VLOOKUP($F1482,Tb_KostenTypen[],MATCH(Lijsten!$P$1,Tb_KostenTypen[#Headers],0),0),VLOOKUP($G1482,Lijsten!L:P,MATCH(Lijsten!$P$1,Kop_Tarief_Vast,0),0))),""),"")</f>
        <v/>
      </c>
      <c r="P1482" s="320" t="str" cm="1">
        <f t="array" ref="P1482">_xlfn.IFNA(IF(INDEX(Tb_KostenOptiesDB[],MATCH($F1482,Tb_KostenOptiesDB[KostenOptie],0),IFERROR(MATCH(Methode_Keuze,Tb_KostenOptiesDB[#Headers],0),2))=1,_xlfn.SWITCH($N1482,"Uurtarief",IF(OR(AND(RIGHT($F1482,3)="IKS",VLOOKUP($M1482,DB_Loonkosten,2,0)="Ja"),AND(RIGHT($F1482,3)&lt;&gt;"IKS",VLOOKUP($M1482,DB_Loonkosten,2,0)="Nee")),IFERROR(VLOOKUP($M1482,DB_Loonkosten,25,0),""),0),"Vast tarief",IF(LEFT(F1482,8)="Bijdrage",VLOOKUP($F1482,Tb_KostenTypen[],MATCH(Lijsten!$P$1,Tb_KostenTypen[#Headers],0),0),VLOOKUP($G1482,Lijsten!L:P,MATCH(Lijsten!$P$1,Kop_Tarief_Vast,0),0))),""),"")</f>
        <v/>
      </c>
      <c r="Q1482" s="359"/>
      <c r="R1482" s="359"/>
      <c r="S1482" s="321"/>
      <c r="T1482" s="321"/>
      <c r="U1482" s="373" t="str">
        <f t="shared" si="92"/>
        <v/>
      </c>
      <c r="V1482" s="314" t="str">
        <f t="shared" si="93"/>
        <v/>
      </c>
      <c r="W1482" s="314" t="str" cm="1">
        <f t="array" aca="1" ref="W1482" ca="1">IFERROR(IF(AE1482&lt;&gt;"ja",_xlfn.IFNA(_xlfn.IFS(AND(O1482&lt;&gt;"",F1482&lt;&gt;"",RIGHT($N1482,6)="tarief",F1482="Vergoeding"),SUM(O1482)*FLOOR(SUM(Q1482),0.0001),AND(O1482&lt;&gt;"",F1482&lt;&gt;"",RIGHT($N1482,6)="tarief"),SUM(O1482)*FLOOR(SUM(Q1482),0.01),S1482&gt;0,IF(F1482&lt;&gt;"",FLOOR(SUM(S1482),0.01),"")),""),""),"")</f>
        <v/>
      </c>
      <c r="X1482" s="314" t="str" cm="1">
        <f t="array" aca="1" ref="X1482" ca="1">IFERROR(IF(AE1482&lt;&gt;"ja",_xlfn.IFNA(_xlfn.IFS(AND(P1482&lt;&gt;"",R1482&lt;&gt;"",RIGHT($N1482,6)="tarief",F1482="Vergoeding"),SUM(P1482)*FLOOR(SUM(R1482),0.0001),AND(P1482&lt;&gt;"",R1482&lt;&gt;"",RIGHT($N1482,6)="tarief"),P1482*FLOOR(R1482,0.01),T1482&gt;0,FLOOR(SUM(T1482),0.01)),""),""),"")</f>
        <v/>
      </c>
      <c r="Y1482" s="314" t="str">
        <f t="shared" ca="1" si="94"/>
        <v/>
      </c>
      <c r="Z1482" s="314" t="str" cm="1">
        <f t="array" aca="1" ref="Z1482" ca="1">IFERROR(_xlfn.IFS(OR(F1482="",LEFT(Methode_Keuze,4)="Geen",Methode_Keuze=""),"",AND(W1482&lt;&gt;"",F1482&lt;&gt;"Arbeidskosten"),W1482*VLOOKUP(F1482,Tb_ProjectKosten[],MATCH(Tb_ProjectKosten[[#Headers],[Forfait_Percentage]],Tb_ProjectKosten[#Headers],0),0),AND(F1482="Arbeidskosten",G1482&lt;&gt;""),IFERROR(W1482*VLOOKUP(G1482,Tb_KostenTypen[],3,0)*VLOOKUP(F1482,Tb_ProjectKosten[],MATCH(Tb_ProjectKosten[[#Headers],[Forfait_Percentage]],Tb_ProjectKosten[#Headers],0),0),""),W1482 &lt;=0,0),"")</f>
        <v/>
      </c>
      <c r="AA1482" s="314" t="str" cm="1">
        <f t="array" aca="1" ref="AA1482" ca="1">IFERROR(_xlfn.IFS(OR(F1482="",LEFT(Methode_Keuze,4)="Geen",Methode_Keuze=""),"",AND(X1482&lt;&gt;"",F1482&lt;&gt;"Arbeidskosten"),X1482*VLOOKUP(F1482,Tb_ProjectKosten[],MATCH(Tb_ProjectKosten[[#Headers],[Forfait_Percentage]],Tb_ProjectKosten[#Headers],0),0),AND(F1482="Arbeidskosten",G1482&lt;&gt;""),IFERROR(X1482*VLOOKUP(G1482,Tb_KostenTypen[],3,0)*VLOOKUP(F1482,Tb_ProjectKosten[],MATCH(Tb_ProjectKosten[[#Headers],[Forfait_Percentage]],Tb_ProjectKosten[#Headers],0),0),""),X1482 &lt;=0,0),"")</f>
        <v/>
      </c>
      <c r="AB1482" s="314" t="str">
        <f t="shared" ca="1" si="95"/>
        <v/>
      </c>
      <c r="AC1482" s="322"/>
      <c r="AD1482" s="315"/>
      <c r="AE1482" s="32" t="str" cm="1">
        <f t="array" ref="AE1482">IFERROR(IF(INDEX(SubsidieTabel!$AD$1:$AG$12,MATCH($F1482,SubsidieTabel!$AD$1:$AD$12,0),IFERROR(MATCH(Methode_Keuze,SubsidieTabel!$AD$1:$AG$1,0),2))&lt;&gt;1=TRUE,"ja",""),"")</f>
        <v/>
      </c>
    </row>
    <row r="1483" spans="1:31" x14ac:dyDescent="0.25">
      <c r="A1483" s="316"/>
      <c r="B1483" s="317" t="str">
        <f>IF(A1483&lt;&gt;"",_xlfn.MAXIFS($B$1:B1482,$A$1:A1482,A1483)+1,"")</f>
        <v/>
      </c>
      <c r="C1483" s="296"/>
      <c r="D1483" s="296"/>
      <c r="E1483" s="296"/>
      <c r="F1483" s="296"/>
      <c r="G1483" s="326"/>
      <c r="H1483" s="324"/>
      <c r="I1483" s="325"/>
      <c r="J1483" s="325"/>
      <c r="K1483" s="318"/>
      <c r="L1483" s="318"/>
      <c r="M1483" s="319" t="str">
        <f>IFERROR(VLOOKUP(H1483,Lijsten!$H$1:$I$100,2,0),"")</f>
        <v/>
      </c>
      <c r="N1483" s="319" t="str">
        <f ca="1">IFERROR(IF(VLOOKUP(F1483,Kostentypen!$A$3:$E$21,3,0)=0,"",IF(OR(F1483="Arbeidskosten",F1483="Vergoeding"),VLOOKUP(G1483,Tb_KostenTypen[],2,0),VLOOKUP(F1483,Kostentypen!$A$3:$E$20,3,0))),"")</f>
        <v/>
      </c>
      <c r="O1483" s="320" t="str" cm="1">
        <f t="array" ref="O1483">_xlfn.IFNA(IF(INDEX(Tb_KostenOptiesDB[],MATCH($F1483,Tb_KostenOptiesDB[KostenOptie],0),IFERROR(MATCH(Methode_Keuze,Tb_KostenOptiesDB[#Headers],0),2))=1,_xlfn.SWITCH($N1483,"Uurtarief",IF(OR(AND(RIGHT($F1483,3)="IKS",VLOOKUP($M1483,DB_Loonkosten,2,0)="Ja"),AND(RIGHT($F1483,3)&lt;&gt;"IKS",VLOOKUP($M1483,DB_Loonkosten,2,0)="Nee")),IFERROR(VLOOKUP($M1483,DB_Loonkosten,24,0),""),0),"Vast tarief",IF(LEFT(F1483,8)="Bijdrage",VLOOKUP($F1483,Tb_KostenTypen[],MATCH(Lijsten!$P$1,Tb_KostenTypen[#Headers],0),0),VLOOKUP($G1483,Lijsten!L:P,MATCH(Lijsten!$P$1,Kop_Tarief_Vast,0),0))),""),"")</f>
        <v/>
      </c>
      <c r="P1483" s="320" t="str" cm="1">
        <f t="array" ref="P1483">_xlfn.IFNA(IF(INDEX(Tb_KostenOptiesDB[],MATCH($F1483,Tb_KostenOptiesDB[KostenOptie],0),IFERROR(MATCH(Methode_Keuze,Tb_KostenOptiesDB[#Headers],0),2))=1,_xlfn.SWITCH($N1483,"Uurtarief",IF(OR(AND(RIGHT($F1483,3)="IKS",VLOOKUP($M1483,DB_Loonkosten,2,0)="Ja"),AND(RIGHT($F1483,3)&lt;&gt;"IKS",VLOOKUP($M1483,DB_Loonkosten,2,0)="Nee")),IFERROR(VLOOKUP($M1483,DB_Loonkosten,25,0),""),0),"Vast tarief",IF(LEFT(F1483,8)="Bijdrage",VLOOKUP($F1483,Tb_KostenTypen[],MATCH(Lijsten!$P$1,Tb_KostenTypen[#Headers],0),0),VLOOKUP($G1483,Lijsten!L:P,MATCH(Lijsten!$P$1,Kop_Tarief_Vast,0),0))),""),"")</f>
        <v/>
      </c>
      <c r="Q1483" s="359"/>
      <c r="R1483" s="359"/>
      <c r="S1483" s="321"/>
      <c r="T1483" s="321"/>
      <c r="U1483" s="373" t="str">
        <f t="shared" si="92"/>
        <v/>
      </c>
      <c r="V1483" s="314" t="str">
        <f t="shared" si="93"/>
        <v/>
      </c>
      <c r="W1483" s="314" t="str" cm="1">
        <f t="array" aca="1" ref="W1483" ca="1">IFERROR(IF(AE1483&lt;&gt;"ja",_xlfn.IFNA(_xlfn.IFS(AND(O1483&lt;&gt;"",F1483&lt;&gt;"",RIGHT($N1483,6)="tarief",F1483="Vergoeding"),SUM(O1483)*FLOOR(SUM(Q1483),0.0001),AND(O1483&lt;&gt;"",F1483&lt;&gt;"",RIGHT($N1483,6)="tarief"),SUM(O1483)*FLOOR(SUM(Q1483),0.01),S1483&gt;0,IF(F1483&lt;&gt;"",FLOOR(SUM(S1483),0.01),"")),""),""),"")</f>
        <v/>
      </c>
      <c r="X1483" s="314" t="str" cm="1">
        <f t="array" aca="1" ref="X1483" ca="1">IFERROR(IF(AE1483&lt;&gt;"ja",_xlfn.IFNA(_xlfn.IFS(AND(P1483&lt;&gt;"",R1483&lt;&gt;"",RIGHT($N1483,6)="tarief",F1483="Vergoeding"),SUM(P1483)*FLOOR(SUM(R1483),0.0001),AND(P1483&lt;&gt;"",R1483&lt;&gt;"",RIGHT($N1483,6)="tarief"),P1483*FLOOR(R1483,0.01),T1483&gt;0,FLOOR(SUM(T1483),0.01)),""),""),"")</f>
        <v/>
      </c>
      <c r="Y1483" s="314" t="str">
        <f t="shared" ca="1" si="94"/>
        <v/>
      </c>
      <c r="Z1483" s="314" t="str" cm="1">
        <f t="array" aca="1" ref="Z1483" ca="1">IFERROR(_xlfn.IFS(OR(F1483="",LEFT(Methode_Keuze,4)="Geen",Methode_Keuze=""),"",AND(W1483&lt;&gt;"",F1483&lt;&gt;"Arbeidskosten"),W1483*VLOOKUP(F1483,Tb_ProjectKosten[],MATCH(Tb_ProjectKosten[[#Headers],[Forfait_Percentage]],Tb_ProjectKosten[#Headers],0),0),AND(F1483="Arbeidskosten",G1483&lt;&gt;""),IFERROR(W1483*VLOOKUP(G1483,Tb_KostenTypen[],3,0)*VLOOKUP(F1483,Tb_ProjectKosten[],MATCH(Tb_ProjectKosten[[#Headers],[Forfait_Percentage]],Tb_ProjectKosten[#Headers],0),0),""),W1483 &lt;=0,0),"")</f>
        <v/>
      </c>
      <c r="AA1483" s="314" t="str" cm="1">
        <f t="array" aca="1" ref="AA1483" ca="1">IFERROR(_xlfn.IFS(OR(F1483="",LEFT(Methode_Keuze,4)="Geen",Methode_Keuze=""),"",AND(X1483&lt;&gt;"",F1483&lt;&gt;"Arbeidskosten"),X1483*VLOOKUP(F1483,Tb_ProjectKosten[],MATCH(Tb_ProjectKosten[[#Headers],[Forfait_Percentage]],Tb_ProjectKosten[#Headers],0),0),AND(F1483="Arbeidskosten",G1483&lt;&gt;""),IFERROR(X1483*VLOOKUP(G1483,Tb_KostenTypen[],3,0)*VLOOKUP(F1483,Tb_ProjectKosten[],MATCH(Tb_ProjectKosten[[#Headers],[Forfait_Percentage]],Tb_ProjectKosten[#Headers],0),0),""),X1483 &lt;=0,0),"")</f>
        <v/>
      </c>
      <c r="AB1483" s="314" t="str">
        <f t="shared" ca="1" si="95"/>
        <v/>
      </c>
      <c r="AC1483" s="322"/>
      <c r="AD1483" s="315"/>
      <c r="AE1483" s="32" t="str" cm="1">
        <f t="array" ref="AE1483">IFERROR(IF(INDEX(SubsidieTabel!$AD$1:$AG$12,MATCH($F1483,SubsidieTabel!$AD$1:$AD$12,0),IFERROR(MATCH(Methode_Keuze,SubsidieTabel!$AD$1:$AG$1,0),2))&lt;&gt;1=TRUE,"ja",""),"")</f>
        <v/>
      </c>
    </row>
    <row r="1484" spans="1:31" x14ac:dyDescent="0.25">
      <c r="A1484" s="316"/>
      <c r="B1484" s="317" t="str">
        <f>IF(A1484&lt;&gt;"",_xlfn.MAXIFS($B$1:B1483,$A$1:A1483,A1484)+1,"")</f>
        <v/>
      </c>
      <c r="C1484" s="296"/>
      <c r="D1484" s="296"/>
      <c r="E1484" s="296"/>
      <c r="F1484" s="296"/>
      <c r="G1484" s="326"/>
      <c r="H1484" s="324"/>
      <c r="I1484" s="325"/>
      <c r="J1484" s="325"/>
      <c r="K1484" s="318"/>
      <c r="L1484" s="318"/>
      <c r="M1484" s="319" t="str">
        <f>IFERROR(VLOOKUP(H1484,Lijsten!$H$1:$I$100,2,0),"")</f>
        <v/>
      </c>
      <c r="N1484" s="319" t="str">
        <f ca="1">IFERROR(IF(VLOOKUP(F1484,Kostentypen!$A$3:$E$21,3,0)=0,"",IF(OR(F1484="Arbeidskosten",F1484="Vergoeding"),VLOOKUP(G1484,Tb_KostenTypen[],2,0),VLOOKUP(F1484,Kostentypen!$A$3:$E$20,3,0))),"")</f>
        <v/>
      </c>
      <c r="O1484" s="320" t="str" cm="1">
        <f t="array" ref="O1484">_xlfn.IFNA(IF(INDEX(Tb_KostenOptiesDB[],MATCH($F1484,Tb_KostenOptiesDB[KostenOptie],0),IFERROR(MATCH(Methode_Keuze,Tb_KostenOptiesDB[#Headers],0),2))=1,_xlfn.SWITCH($N1484,"Uurtarief",IF(OR(AND(RIGHT($F1484,3)="IKS",VLOOKUP($M1484,DB_Loonkosten,2,0)="Ja"),AND(RIGHT($F1484,3)&lt;&gt;"IKS",VLOOKUP($M1484,DB_Loonkosten,2,0)="Nee")),IFERROR(VLOOKUP($M1484,DB_Loonkosten,24,0),""),0),"Vast tarief",IF(LEFT(F1484,8)="Bijdrage",VLOOKUP($F1484,Tb_KostenTypen[],MATCH(Lijsten!$P$1,Tb_KostenTypen[#Headers],0),0),VLOOKUP($G1484,Lijsten!L:P,MATCH(Lijsten!$P$1,Kop_Tarief_Vast,0),0))),""),"")</f>
        <v/>
      </c>
      <c r="P1484" s="320" t="str" cm="1">
        <f t="array" ref="P1484">_xlfn.IFNA(IF(INDEX(Tb_KostenOptiesDB[],MATCH($F1484,Tb_KostenOptiesDB[KostenOptie],0),IFERROR(MATCH(Methode_Keuze,Tb_KostenOptiesDB[#Headers],0),2))=1,_xlfn.SWITCH($N1484,"Uurtarief",IF(OR(AND(RIGHT($F1484,3)="IKS",VLOOKUP($M1484,DB_Loonkosten,2,0)="Ja"),AND(RIGHT($F1484,3)&lt;&gt;"IKS",VLOOKUP($M1484,DB_Loonkosten,2,0)="Nee")),IFERROR(VLOOKUP($M1484,DB_Loonkosten,25,0),""),0),"Vast tarief",IF(LEFT(F1484,8)="Bijdrage",VLOOKUP($F1484,Tb_KostenTypen[],MATCH(Lijsten!$P$1,Tb_KostenTypen[#Headers],0),0),VLOOKUP($G1484,Lijsten!L:P,MATCH(Lijsten!$P$1,Kop_Tarief_Vast,0),0))),""),"")</f>
        <v/>
      </c>
      <c r="Q1484" s="359"/>
      <c r="R1484" s="359"/>
      <c r="S1484" s="321"/>
      <c r="T1484" s="321"/>
      <c r="U1484" s="373" t="str">
        <f t="shared" si="92"/>
        <v/>
      </c>
      <c r="V1484" s="314" t="str">
        <f t="shared" si="93"/>
        <v/>
      </c>
      <c r="W1484" s="314" t="str" cm="1">
        <f t="array" aca="1" ref="W1484" ca="1">IFERROR(IF(AE1484&lt;&gt;"ja",_xlfn.IFNA(_xlfn.IFS(AND(O1484&lt;&gt;"",F1484&lt;&gt;"",RIGHT($N1484,6)="tarief",F1484="Vergoeding"),SUM(O1484)*FLOOR(SUM(Q1484),0.0001),AND(O1484&lt;&gt;"",F1484&lt;&gt;"",RIGHT($N1484,6)="tarief"),SUM(O1484)*FLOOR(SUM(Q1484),0.01),S1484&gt;0,IF(F1484&lt;&gt;"",FLOOR(SUM(S1484),0.01),"")),""),""),"")</f>
        <v/>
      </c>
      <c r="X1484" s="314" t="str" cm="1">
        <f t="array" aca="1" ref="X1484" ca="1">IFERROR(IF(AE1484&lt;&gt;"ja",_xlfn.IFNA(_xlfn.IFS(AND(P1484&lt;&gt;"",R1484&lt;&gt;"",RIGHT($N1484,6)="tarief",F1484="Vergoeding"),SUM(P1484)*FLOOR(SUM(R1484),0.0001),AND(P1484&lt;&gt;"",R1484&lt;&gt;"",RIGHT($N1484,6)="tarief"),P1484*FLOOR(R1484,0.01),T1484&gt;0,FLOOR(SUM(T1484),0.01)),""),""),"")</f>
        <v/>
      </c>
      <c r="Y1484" s="314" t="str">
        <f t="shared" ca="1" si="94"/>
        <v/>
      </c>
      <c r="Z1484" s="314" t="str" cm="1">
        <f t="array" aca="1" ref="Z1484" ca="1">IFERROR(_xlfn.IFS(OR(F1484="",LEFT(Methode_Keuze,4)="Geen",Methode_Keuze=""),"",AND(W1484&lt;&gt;"",F1484&lt;&gt;"Arbeidskosten"),W1484*VLOOKUP(F1484,Tb_ProjectKosten[],MATCH(Tb_ProjectKosten[[#Headers],[Forfait_Percentage]],Tb_ProjectKosten[#Headers],0),0),AND(F1484="Arbeidskosten",G1484&lt;&gt;""),IFERROR(W1484*VLOOKUP(G1484,Tb_KostenTypen[],3,0)*VLOOKUP(F1484,Tb_ProjectKosten[],MATCH(Tb_ProjectKosten[[#Headers],[Forfait_Percentage]],Tb_ProjectKosten[#Headers],0),0),""),W1484 &lt;=0,0),"")</f>
        <v/>
      </c>
      <c r="AA1484" s="314" t="str" cm="1">
        <f t="array" aca="1" ref="AA1484" ca="1">IFERROR(_xlfn.IFS(OR(F1484="",LEFT(Methode_Keuze,4)="Geen",Methode_Keuze=""),"",AND(X1484&lt;&gt;"",F1484&lt;&gt;"Arbeidskosten"),X1484*VLOOKUP(F1484,Tb_ProjectKosten[],MATCH(Tb_ProjectKosten[[#Headers],[Forfait_Percentage]],Tb_ProjectKosten[#Headers],0),0),AND(F1484="Arbeidskosten",G1484&lt;&gt;""),IFERROR(X1484*VLOOKUP(G1484,Tb_KostenTypen[],3,0)*VLOOKUP(F1484,Tb_ProjectKosten[],MATCH(Tb_ProjectKosten[[#Headers],[Forfait_Percentage]],Tb_ProjectKosten[#Headers],0),0),""),X1484 &lt;=0,0),"")</f>
        <v/>
      </c>
      <c r="AB1484" s="314" t="str">
        <f t="shared" ca="1" si="95"/>
        <v/>
      </c>
      <c r="AC1484" s="322"/>
      <c r="AD1484" s="315"/>
      <c r="AE1484" s="32" t="str" cm="1">
        <f t="array" ref="AE1484">IFERROR(IF(INDEX(SubsidieTabel!$AD$1:$AG$12,MATCH($F1484,SubsidieTabel!$AD$1:$AD$12,0),IFERROR(MATCH(Methode_Keuze,SubsidieTabel!$AD$1:$AG$1,0),2))&lt;&gt;1=TRUE,"ja",""),"")</f>
        <v/>
      </c>
    </row>
    <row r="1485" spans="1:31" x14ac:dyDescent="0.25">
      <c r="A1485" s="316"/>
      <c r="B1485" s="317" t="str">
        <f>IF(A1485&lt;&gt;"",_xlfn.MAXIFS($B$1:B1484,$A$1:A1484,A1485)+1,"")</f>
        <v/>
      </c>
      <c r="C1485" s="296"/>
      <c r="D1485" s="296"/>
      <c r="E1485" s="296"/>
      <c r="F1485" s="296"/>
      <c r="G1485" s="326"/>
      <c r="H1485" s="324"/>
      <c r="I1485" s="325"/>
      <c r="J1485" s="325"/>
      <c r="K1485" s="318"/>
      <c r="L1485" s="318"/>
      <c r="M1485" s="319" t="str">
        <f>IFERROR(VLOOKUP(H1485,Lijsten!$H$1:$I$100,2,0),"")</f>
        <v/>
      </c>
      <c r="N1485" s="319" t="str">
        <f ca="1">IFERROR(IF(VLOOKUP(F1485,Kostentypen!$A$3:$E$21,3,0)=0,"",IF(OR(F1485="Arbeidskosten",F1485="Vergoeding"),VLOOKUP(G1485,Tb_KostenTypen[],2,0),VLOOKUP(F1485,Kostentypen!$A$3:$E$20,3,0))),"")</f>
        <v/>
      </c>
      <c r="O1485" s="320" t="str" cm="1">
        <f t="array" ref="O1485">_xlfn.IFNA(IF(INDEX(Tb_KostenOptiesDB[],MATCH($F1485,Tb_KostenOptiesDB[KostenOptie],0),IFERROR(MATCH(Methode_Keuze,Tb_KostenOptiesDB[#Headers],0),2))=1,_xlfn.SWITCH($N1485,"Uurtarief",IF(OR(AND(RIGHT($F1485,3)="IKS",VLOOKUP($M1485,DB_Loonkosten,2,0)="Ja"),AND(RIGHT($F1485,3)&lt;&gt;"IKS",VLOOKUP($M1485,DB_Loonkosten,2,0)="Nee")),IFERROR(VLOOKUP($M1485,DB_Loonkosten,24,0),""),0),"Vast tarief",IF(LEFT(F1485,8)="Bijdrage",VLOOKUP($F1485,Tb_KostenTypen[],MATCH(Lijsten!$P$1,Tb_KostenTypen[#Headers],0),0),VLOOKUP($G1485,Lijsten!L:P,MATCH(Lijsten!$P$1,Kop_Tarief_Vast,0),0))),""),"")</f>
        <v/>
      </c>
      <c r="P1485" s="320" t="str" cm="1">
        <f t="array" ref="P1485">_xlfn.IFNA(IF(INDEX(Tb_KostenOptiesDB[],MATCH($F1485,Tb_KostenOptiesDB[KostenOptie],0),IFERROR(MATCH(Methode_Keuze,Tb_KostenOptiesDB[#Headers],0),2))=1,_xlfn.SWITCH($N1485,"Uurtarief",IF(OR(AND(RIGHT($F1485,3)="IKS",VLOOKUP($M1485,DB_Loonkosten,2,0)="Ja"),AND(RIGHT($F1485,3)&lt;&gt;"IKS",VLOOKUP($M1485,DB_Loonkosten,2,0)="Nee")),IFERROR(VLOOKUP($M1485,DB_Loonkosten,25,0),""),0),"Vast tarief",IF(LEFT(F1485,8)="Bijdrage",VLOOKUP($F1485,Tb_KostenTypen[],MATCH(Lijsten!$P$1,Tb_KostenTypen[#Headers],0),0),VLOOKUP($G1485,Lijsten!L:P,MATCH(Lijsten!$P$1,Kop_Tarief_Vast,0),0))),""),"")</f>
        <v/>
      </c>
      <c r="Q1485" s="359"/>
      <c r="R1485" s="359"/>
      <c r="S1485" s="321"/>
      <c r="T1485" s="321"/>
      <c r="U1485" s="373" t="str">
        <f t="shared" si="92"/>
        <v/>
      </c>
      <c r="V1485" s="314" t="str">
        <f t="shared" si="93"/>
        <v/>
      </c>
      <c r="W1485" s="314" t="str" cm="1">
        <f t="array" aca="1" ref="W1485" ca="1">IFERROR(IF(AE1485&lt;&gt;"ja",_xlfn.IFNA(_xlfn.IFS(AND(O1485&lt;&gt;"",F1485&lt;&gt;"",RIGHT($N1485,6)="tarief",F1485="Vergoeding"),SUM(O1485)*FLOOR(SUM(Q1485),0.0001),AND(O1485&lt;&gt;"",F1485&lt;&gt;"",RIGHT($N1485,6)="tarief"),SUM(O1485)*FLOOR(SUM(Q1485),0.01),S1485&gt;0,IF(F1485&lt;&gt;"",FLOOR(SUM(S1485),0.01),"")),""),""),"")</f>
        <v/>
      </c>
      <c r="X1485" s="314" t="str" cm="1">
        <f t="array" aca="1" ref="X1485" ca="1">IFERROR(IF(AE1485&lt;&gt;"ja",_xlfn.IFNA(_xlfn.IFS(AND(P1485&lt;&gt;"",R1485&lt;&gt;"",RIGHT($N1485,6)="tarief",F1485="Vergoeding"),SUM(P1485)*FLOOR(SUM(R1485),0.0001),AND(P1485&lt;&gt;"",R1485&lt;&gt;"",RIGHT($N1485,6)="tarief"),P1485*FLOOR(R1485,0.01),T1485&gt;0,FLOOR(SUM(T1485),0.01)),""),""),"")</f>
        <v/>
      </c>
      <c r="Y1485" s="314" t="str">
        <f t="shared" ca="1" si="94"/>
        <v/>
      </c>
      <c r="Z1485" s="314" t="str" cm="1">
        <f t="array" aca="1" ref="Z1485" ca="1">IFERROR(_xlfn.IFS(OR(F1485="",LEFT(Methode_Keuze,4)="Geen",Methode_Keuze=""),"",AND(W1485&lt;&gt;"",F1485&lt;&gt;"Arbeidskosten"),W1485*VLOOKUP(F1485,Tb_ProjectKosten[],MATCH(Tb_ProjectKosten[[#Headers],[Forfait_Percentage]],Tb_ProjectKosten[#Headers],0),0),AND(F1485="Arbeidskosten",G1485&lt;&gt;""),IFERROR(W1485*VLOOKUP(G1485,Tb_KostenTypen[],3,0)*VLOOKUP(F1485,Tb_ProjectKosten[],MATCH(Tb_ProjectKosten[[#Headers],[Forfait_Percentage]],Tb_ProjectKosten[#Headers],0),0),""),W1485 &lt;=0,0),"")</f>
        <v/>
      </c>
      <c r="AA1485" s="314" t="str" cm="1">
        <f t="array" aca="1" ref="AA1485" ca="1">IFERROR(_xlfn.IFS(OR(F1485="",LEFT(Methode_Keuze,4)="Geen",Methode_Keuze=""),"",AND(X1485&lt;&gt;"",F1485&lt;&gt;"Arbeidskosten"),X1485*VLOOKUP(F1485,Tb_ProjectKosten[],MATCH(Tb_ProjectKosten[[#Headers],[Forfait_Percentage]],Tb_ProjectKosten[#Headers],0),0),AND(F1485="Arbeidskosten",G1485&lt;&gt;""),IFERROR(X1485*VLOOKUP(G1485,Tb_KostenTypen[],3,0)*VLOOKUP(F1485,Tb_ProjectKosten[],MATCH(Tb_ProjectKosten[[#Headers],[Forfait_Percentage]],Tb_ProjectKosten[#Headers],0),0),""),X1485 &lt;=0,0),"")</f>
        <v/>
      </c>
      <c r="AB1485" s="314" t="str">
        <f t="shared" ca="1" si="95"/>
        <v/>
      </c>
      <c r="AC1485" s="322"/>
      <c r="AD1485" s="315"/>
      <c r="AE1485" s="32" t="str" cm="1">
        <f t="array" ref="AE1485">IFERROR(IF(INDEX(SubsidieTabel!$AD$1:$AG$12,MATCH($F1485,SubsidieTabel!$AD$1:$AD$12,0),IFERROR(MATCH(Methode_Keuze,SubsidieTabel!$AD$1:$AG$1,0),2))&lt;&gt;1=TRUE,"ja",""),"")</f>
        <v/>
      </c>
    </row>
    <row r="1486" spans="1:31" x14ac:dyDescent="0.25">
      <c r="A1486" s="316"/>
      <c r="B1486" s="317" t="str">
        <f>IF(A1486&lt;&gt;"",_xlfn.MAXIFS($B$1:B1485,$A$1:A1485,A1486)+1,"")</f>
        <v/>
      </c>
      <c r="C1486" s="296"/>
      <c r="D1486" s="296"/>
      <c r="E1486" s="296"/>
      <c r="F1486" s="296"/>
      <c r="G1486" s="326"/>
      <c r="H1486" s="324"/>
      <c r="I1486" s="325"/>
      <c r="J1486" s="325"/>
      <c r="K1486" s="318"/>
      <c r="L1486" s="318"/>
      <c r="M1486" s="319" t="str">
        <f>IFERROR(VLOOKUP(H1486,Lijsten!$H$1:$I$100,2,0),"")</f>
        <v/>
      </c>
      <c r="N1486" s="319" t="str">
        <f ca="1">IFERROR(IF(VLOOKUP(F1486,Kostentypen!$A$3:$E$21,3,0)=0,"",IF(OR(F1486="Arbeidskosten",F1486="Vergoeding"),VLOOKUP(G1486,Tb_KostenTypen[],2,0),VLOOKUP(F1486,Kostentypen!$A$3:$E$20,3,0))),"")</f>
        <v/>
      </c>
      <c r="O1486" s="320" t="str" cm="1">
        <f t="array" ref="O1486">_xlfn.IFNA(IF(INDEX(Tb_KostenOptiesDB[],MATCH($F1486,Tb_KostenOptiesDB[KostenOptie],0),IFERROR(MATCH(Methode_Keuze,Tb_KostenOptiesDB[#Headers],0),2))=1,_xlfn.SWITCH($N1486,"Uurtarief",IF(OR(AND(RIGHT($F1486,3)="IKS",VLOOKUP($M1486,DB_Loonkosten,2,0)="Ja"),AND(RIGHT($F1486,3)&lt;&gt;"IKS",VLOOKUP($M1486,DB_Loonkosten,2,0)="Nee")),IFERROR(VLOOKUP($M1486,DB_Loonkosten,24,0),""),0),"Vast tarief",IF(LEFT(F1486,8)="Bijdrage",VLOOKUP($F1486,Tb_KostenTypen[],MATCH(Lijsten!$P$1,Tb_KostenTypen[#Headers],0),0),VLOOKUP($G1486,Lijsten!L:P,MATCH(Lijsten!$P$1,Kop_Tarief_Vast,0),0))),""),"")</f>
        <v/>
      </c>
      <c r="P1486" s="320" t="str" cm="1">
        <f t="array" ref="P1486">_xlfn.IFNA(IF(INDEX(Tb_KostenOptiesDB[],MATCH($F1486,Tb_KostenOptiesDB[KostenOptie],0),IFERROR(MATCH(Methode_Keuze,Tb_KostenOptiesDB[#Headers],0),2))=1,_xlfn.SWITCH($N1486,"Uurtarief",IF(OR(AND(RIGHT($F1486,3)="IKS",VLOOKUP($M1486,DB_Loonkosten,2,0)="Ja"),AND(RIGHT($F1486,3)&lt;&gt;"IKS",VLOOKUP($M1486,DB_Loonkosten,2,0)="Nee")),IFERROR(VLOOKUP($M1486,DB_Loonkosten,25,0),""),0),"Vast tarief",IF(LEFT(F1486,8)="Bijdrage",VLOOKUP($F1486,Tb_KostenTypen[],MATCH(Lijsten!$P$1,Tb_KostenTypen[#Headers],0),0),VLOOKUP($G1486,Lijsten!L:P,MATCH(Lijsten!$P$1,Kop_Tarief_Vast,0),0))),""),"")</f>
        <v/>
      </c>
      <c r="Q1486" s="359"/>
      <c r="R1486" s="359"/>
      <c r="S1486" s="321"/>
      <c r="T1486" s="321"/>
      <c r="U1486" s="373" t="str">
        <f t="shared" si="92"/>
        <v/>
      </c>
      <c r="V1486" s="314" t="str">
        <f t="shared" si="93"/>
        <v/>
      </c>
      <c r="W1486" s="314" t="str" cm="1">
        <f t="array" aca="1" ref="W1486" ca="1">IFERROR(IF(AE1486&lt;&gt;"ja",_xlfn.IFNA(_xlfn.IFS(AND(O1486&lt;&gt;"",F1486&lt;&gt;"",RIGHT($N1486,6)="tarief",F1486="Vergoeding"),SUM(O1486)*FLOOR(SUM(Q1486),0.0001),AND(O1486&lt;&gt;"",F1486&lt;&gt;"",RIGHT($N1486,6)="tarief"),SUM(O1486)*FLOOR(SUM(Q1486),0.01),S1486&gt;0,IF(F1486&lt;&gt;"",FLOOR(SUM(S1486),0.01),"")),""),""),"")</f>
        <v/>
      </c>
      <c r="X1486" s="314" t="str" cm="1">
        <f t="array" aca="1" ref="X1486" ca="1">IFERROR(IF(AE1486&lt;&gt;"ja",_xlfn.IFNA(_xlfn.IFS(AND(P1486&lt;&gt;"",R1486&lt;&gt;"",RIGHT($N1486,6)="tarief",F1486="Vergoeding"),SUM(P1486)*FLOOR(SUM(R1486),0.0001),AND(P1486&lt;&gt;"",R1486&lt;&gt;"",RIGHT($N1486,6)="tarief"),P1486*FLOOR(R1486,0.01),T1486&gt;0,FLOOR(SUM(T1486),0.01)),""),""),"")</f>
        <v/>
      </c>
      <c r="Y1486" s="314" t="str">
        <f t="shared" ca="1" si="94"/>
        <v/>
      </c>
      <c r="Z1486" s="314" t="str" cm="1">
        <f t="array" aca="1" ref="Z1486" ca="1">IFERROR(_xlfn.IFS(OR(F1486="",LEFT(Methode_Keuze,4)="Geen",Methode_Keuze=""),"",AND(W1486&lt;&gt;"",F1486&lt;&gt;"Arbeidskosten"),W1486*VLOOKUP(F1486,Tb_ProjectKosten[],MATCH(Tb_ProjectKosten[[#Headers],[Forfait_Percentage]],Tb_ProjectKosten[#Headers],0),0),AND(F1486="Arbeidskosten",G1486&lt;&gt;""),IFERROR(W1486*VLOOKUP(G1486,Tb_KostenTypen[],3,0)*VLOOKUP(F1486,Tb_ProjectKosten[],MATCH(Tb_ProjectKosten[[#Headers],[Forfait_Percentage]],Tb_ProjectKosten[#Headers],0),0),""),W1486 &lt;=0,0),"")</f>
        <v/>
      </c>
      <c r="AA1486" s="314" t="str" cm="1">
        <f t="array" aca="1" ref="AA1486" ca="1">IFERROR(_xlfn.IFS(OR(F1486="",LEFT(Methode_Keuze,4)="Geen",Methode_Keuze=""),"",AND(X1486&lt;&gt;"",F1486&lt;&gt;"Arbeidskosten"),X1486*VLOOKUP(F1486,Tb_ProjectKosten[],MATCH(Tb_ProjectKosten[[#Headers],[Forfait_Percentage]],Tb_ProjectKosten[#Headers],0),0),AND(F1486="Arbeidskosten",G1486&lt;&gt;""),IFERROR(X1486*VLOOKUP(G1486,Tb_KostenTypen[],3,0)*VLOOKUP(F1486,Tb_ProjectKosten[],MATCH(Tb_ProjectKosten[[#Headers],[Forfait_Percentage]],Tb_ProjectKosten[#Headers],0),0),""),X1486 &lt;=0,0),"")</f>
        <v/>
      </c>
      <c r="AB1486" s="314" t="str">
        <f t="shared" ca="1" si="95"/>
        <v/>
      </c>
      <c r="AC1486" s="322"/>
      <c r="AD1486" s="315"/>
      <c r="AE1486" s="32" t="str" cm="1">
        <f t="array" ref="AE1486">IFERROR(IF(INDEX(SubsidieTabel!$AD$1:$AG$12,MATCH($F1486,SubsidieTabel!$AD$1:$AD$12,0),IFERROR(MATCH(Methode_Keuze,SubsidieTabel!$AD$1:$AG$1,0),2))&lt;&gt;1=TRUE,"ja",""),"")</f>
        <v/>
      </c>
    </row>
    <row r="1487" spans="1:31" x14ac:dyDescent="0.25">
      <c r="A1487" s="316"/>
      <c r="B1487" s="317" t="str">
        <f>IF(A1487&lt;&gt;"",_xlfn.MAXIFS($B$1:B1486,$A$1:A1486,A1487)+1,"")</f>
        <v/>
      </c>
      <c r="C1487" s="296"/>
      <c r="D1487" s="296"/>
      <c r="E1487" s="296"/>
      <c r="F1487" s="296"/>
      <c r="G1487" s="326"/>
      <c r="H1487" s="324"/>
      <c r="I1487" s="325"/>
      <c r="J1487" s="325"/>
      <c r="K1487" s="318"/>
      <c r="L1487" s="318"/>
      <c r="M1487" s="319" t="str">
        <f>IFERROR(VLOOKUP(H1487,Lijsten!$H$1:$I$100,2,0),"")</f>
        <v/>
      </c>
      <c r="N1487" s="319" t="str">
        <f ca="1">IFERROR(IF(VLOOKUP(F1487,Kostentypen!$A$3:$E$21,3,0)=0,"",IF(OR(F1487="Arbeidskosten",F1487="Vergoeding"),VLOOKUP(G1487,Tb_KostenTypen[],2,0),VLOOKUP(F1487,Kostentypen!$A$3:$E$20,3,0))),"")</f>
        <v/>
      </c>
      <c r="O1487" s="320" t="str" cm="1">
        <f t="array" ref="O1487">_xlfn.IFNA(IF(INDEX(Tb_KostenOptiesDB[],MATCH($F1487,Tb_KostenOptiesDB[KostenOptie],0),IFERROR(MATCH(Methode_Keuze,Tb_KostenOptiesDB[#Headers],0),2))=1,_xlfn.SWITCH($N1487,"Uurtarief",IF(OR(AND(RIGHT($F1487,3)="IKS",VLOOKUP($M1487,DB_Loonkosten,2,0)="Ja"),AND(RIGHT($F1487,3)&lt;&gt;"IKS",VLOOKUP($M1487,DB_Loonkosten,2,0)="Nee")),IFERROR(VLOOKUP($M1487,DB_Loonkosten,24,0),""),0),"Vast tarief",IF(LEFT(F1487,8)="Bijdrage",VLOOKUP($F1487,Tb_KostenTypen[],MATCH(Lijsten!$P$1,Tb_KostenTypen[#Headers],0),0),VLOOKUP($G1487,Lijsten!L:P,MATCH(Lijsten!$P$1,Kop_Tarief_Vast,0),0))),""),"")</f>
        <v/>
      </c>
      <c r="P1487" s="320" t="str" cm="1">
        <f t="array" ref="P1487">_xlfn.IFNA(IF(INDEX(Tb_KostenOptiesDB[],MATCH($F1487,Tb_KostenOptiesDB[KostenOptie],0),IFERROR(MATCH(Methode_Keuze,Tb_KostenOptiesDB[#Headers],0),2))=1,_xlfn.SWITCH($N1487,"Uurtarief",IF(OR(AND(RIGHT($F1487,3)="IKS",VLOOKUP($M1487,DB_Loonkosten,2,0)="Ja"),AND(RIGHT($F1487,3)&lt;&gt;"IKS",VLOOKUP($M1487,DB_Loonkosten,2,0)="Nee")),IFERROR(VLOOKUP($M1487,DB_Loonkosten,25,0),""),0),"Vast tarief",IF(LEFT(F1487,8)="Bijdrage",VLOOKUP($F1487,Tb_KostenTypen[],MATCH(Lijsten!$P$1,Tb_KostenTypen[#Headers],0),0),VLOOKUP($G1487,Lijsten!L:P,MATCH(Lijsten!$P$1,Kop_Tarief_Vast,0),0))),""),"")</f>
        <v/>
      </c>
      <c r="Q1487" s="359"/>
      <c r="R1487" s="359"/>
      <c r="S1487" s="321"/>
      <c r="T1487" s="321"/>
      <c r="U1487" s="373" t="str">
        <f t="shared" si="92"/>
        <v/>
      </c>
      <c r="V1487" s="314" t="str">
        <f t="shared" si="93"/>
        <v/>
      </c>
      <c r="W1487" s="314" t="str" cm="1">
        <f t="array" aca="1" ref="W1487" ca="1">IFERROR(IF(AE1487&lt;&gt;"ja",_xlfn.IFNA(_xlfn.IFS(AND(O1487&lt;&gt;"",F1487&lt;&gt;"",RIGHT($N1487,6)="tarief",F1487="Vergoeding"),SUM(O1487)*FLOOR(SUM(Q1487),0.0001),AND(O1487&lt;&gt;"",F1487&lt;&gt;"",RIGHT($N1487,6)="tarief"),SUM(O1487)*FLOOR(SUM(Q1487),0.01),S1487&gt;0,IF(F1487&lt;&gt;"",FLOOR(SUM(S1487),0.01),"")),""),""),"")</f>
        <v/>
      </c>
      <c r="X1487" s="314" t="str" cm="1">
        <f t="array" aca="1" ref="X1487" ca="1">IFERROR(IF(AE1487&lt;&gt;"ja",_xlfn.IFNA(_xlfn.IFS(AND(P1487&lt;&gt;"",R1487&lt;&gt;"",RIGHT($N1487,6)="tarief",F1487="Vergoeding"),SUM(P1487)*FLOOR(SUM(R1487),0.0001),AND(P1487&lt;&gt;"",R1487&lt;&gt;"",RIGHT($N1487,6)="tarief"),P1487*FLOOR(R1487,0.01),T1487&gt;0,FLOOR(SUM(T1487),0.01)),""),""),"")</f>
        <v/>
      </c>
      <c r="Y1487" s="314" t="str">
        <f t="shared" ca="1" si="94"/>
        <v/>
      </c>
      <c r="Z1487" s="314" t="str" cm="1">
        <f t="array" aca="1" ref="Z1487" ca="1">IFERROR(_xlfn.IFS(OR(F1487="",LEFT(Methode_Keuze,4)="Geen",Methode_Keuze=""),"",AND(W1487&lt;&gt;"",F1487&lt;&gt;"Arbeidskosten"),W1487*VLOOKUP(F1487,Tb_ProjectKosten[],MATCH(Tb_ProjectKosten[[#Headers],[Forfait_Percentage]],Tb_ProjectKosten[#Headers],0),0),AND(F1487="Arbeidskosten",G1487&lt;&gt;""),IFERROR(W1487*VLOOKUP(G1487,Tb_KostenTypen[],3,0)*VLOOKUP(F1487,Tb_ProjectKosten[],MATCH(Tb_ProjectKosten[[#Headers],[Forfait_Percentage]],Tb_ProjectKosten[#Headers],0),0),""),W1487 &lt;=0,0),"")</f>
        <v/>
      </c>
      <c r="AA1487" s="314" t="str" cm="1">
        <f t="array" aca="1" ref="AA1487" ca="1">IFERROR(_xlfn.IFS(OR(F1487="",LEFT(Methode_Keuze,4)="Geen",Methode_Keuze=""),"",AND(X1487&lt;&gt;"",F1487&lt;&gt;"Arbeidskosten"),X1487*VLOOKUP(F1487,Tb_ProjectKosten[],MATCH(Tb_ProjectKosten[[#Headers],[Forfait_Percentage]],Tb_ProjectKosten[#Headers],0),0),AND(F1487="Arbeidskosten",G1487&lt;&gt;""),IFERROR(X1487*VLOOKUP(G1487,Tb_KostenTypen[],3,0)*VLOOKUP(F1487,Tb_ProjectKosten[],MATCH(Tb_ProjectKosten[[#Headers],[Forfait_Percentage]],Tb_ProjectKosten[#Headers],0),0),""),X1487 &lt;=0,0),"")</f>
        <v/>
      </c>
      <c r="AB1487" s="314" t="str">
        <f t="shared" ca="1" si="95"/>
        <v/>
      </c>
      <c r="AC1487" s="322"/>
      <c r="AD1487" s="315"/>
      <c r="AE1487" s="32" t="str" cm="1">
        <f t="array" ref="AE1487">IFERROR(IF(INDEX(SubsidieTabel!$AD$1:$AG$12,MATCH($F1487,SubsidieTabel!$AD$1:$AD$12,0),IFERROR(MATCH(Methode_Keuze,SubsidieTabel!$AD$1:$AG$1,0),2))&lt;&gt;1=TRUE,"ja",""),"")</f>
        <v/>
      </c>
    </row>
    <row r="1488" spans="1:31" x14ac:dyDescent="0.25">
      <c r="A1488" s="316"/>
      <c r="B1488" s="317" t="str">
        <f>IF(A1488&lt;&gt;"",_xlfn.MAXIFS($B$1:B1487,$A$1:A1487,A1488)+1,"")</f>
        <v/>
      </c>
      <c r="C1488" s="296"/>
      <c r="D1488" s="296"/>
      <c r="E1488" s="296"/>
      <c r="F1488" s="296"/>
      <c r="G1488" s="326"/>
      <c r="H1488" s="324"/>
      <c r="I1488" s="325"/>
      <c r="J1488" s="325"/>
      <c r="K1488" s="318"/>
      <c r="L1488" s="318"/>
      <c r="M1488" s="319" t="str">
        <f>IFERROR(VLOOKUP(H1488,Lijsten!$H$1:$I$100,2,0),"")</f>
        <v/>
      </c>
      <c r="N1488" s="319" t="str">
        <f ca="1">IFERROR(IF(VLOOKUP(F1488,Kostentypen!$A$3:$E$21,3,0)=0,"",IF(OR(F1488="Arbeidskosten",F1488="Vergoeding"),VLOOKUP(G1488,Tb_KostenTypen[],2,0),VLOOKUP(F1488,Kostentypen!$A$3:$E$20,3,0))),"")</f>
        <v/>
      </c>
      <c r="O1488" s="320" t="str" cm="1">
        <f t="array" ref="O1488">_xlfn.IFNA(IF(INDEX(Tb_KostenOptiesDB[],MATCH($F1488,Tb_KostenOptiesDB[KostenOptie],0),IFERROR(MATCH(Methode_Keuze,Tb_KostenOptiesDB[#Headers],0),2))=1,_xlfn.SWITCH($N1488,"Uurtarief",IF(OR(AND(RIGHT($F1488,3)="IKS",VLOOKUP($M1488,DB_Loonkosten,2,0)="Ja"),AND(RIGHT($F1488,3)&lt;&gt;"IKS",VLOOKUP($M1488,DB_Loonkosten,2,0)="Nee")),IFERROR(VLOOKUP($M1488,DB_Loonkosten,24,0),""),0),"Vast tarief",IF(LEFT(F1488,8)="Bijdrage",VLOOKUP($F1488,Tb_KostenTypen[],MATCH(Lijsten!$P$1,Tb_KostenTypen[#Headers],0),0),VLOOKUP($G1488,Lijsten!L:P,MATCH(Lijsten!$P$1,Kop_Tarief_Vast,0),0))),""),"")</f>
        <v/>
      </c>
      <c r="P1488" s="320" t="str" cm="1">
        <f t="array" ref="P1488">_xlfn.IFNA(IF(INDEX(Tb_KostenOptiesDB[],MATCH($F1488,Tb_KostenOptiesDB[KostenOptie],0),IFERROR(MATCH(Methode_Keuze,Tb_KostenOptiesDB[#Headers],0),2))=1,_xlfn.SWITCH($N1488,"Uurtarief",IF(OR(AND(RIGHT($F1488,3)="IKS",VLOOKUP($M1488,DB_Loonkosten,2,0)="Ja"),AND(RIGHT($F1488,3)&lt;&gt;"IKS",VLOOKUP($M1488,DB_Loonkosten,2,0)="Nee")),IFERROR(VLOOKUP($M1488,DB_Loonkosten,25,0),""),0),"Vast tarief",IF(LEFT(F1488,8)="Bijdrage",VLOOKUP($F1488,Tb_KostenTypen[],MATCH(Lijsten!$P$1,Tb_KostenTypen[#Headers],0),0),VLOOKUP($G1488,Lijsten!L:P,MATCH(Lijsten!$P$1,Kop_Tarief_Vast,0),0))),""),"")</f>
        <v/>
      </c>
      <c r="Q1488" s="359"/>
      <c r="R1488" s="359"/>
      <c r="S1488" s="321"/>
      <c r="T1488" s="321"/>
      <c r="U1488" s="373" t="str">
        <f t="shared" si="92"/>
        <v/>
      </c>
      <c r="V1488" s="314" t="str">
        <f t="shared" si="93"/>
        <v/>
      </c>
      <c r="W1488" s="314" t="str" cm="1">
        <f t="array" aca="1" ref="W1488" ca="1">IFERROR(IF(AE1488&lt;&gt;"ja",_xlfn.IFNA(_xlfn.IFS(AND(O1488&lt;&gt;"",F1488&lt;&gt;"",RIGHT($N1488,6)="tarief",F1488="Vergoeding"),SUM(O1488)*FLOOR(SUM(Q1488),0.0001),AND(O1488&lt;&gt;"",F1488&lt;&gt;"",RIGHT($N1488,6)="tarief"),SUM(O1488)*FLOOR(SUM(Q1488),0.01),S1488&gt;0,IF(F1488&lt;&gt;"",FLOOR(SUM(S1488),0.01),"")),""),""),"")</f>
        <v/>
      </c>
      <c r="X1488" s="314" t="str" cm="1">
        <f t="array" aca="1" ref="X1488" ca="1">IFERROR(IF(AE1488&lt;&gt;"ja",_xlfn.IFNA(_xlfn.IFS(AND(P1488&lt;&gt;"",R1488&lt;&gt;"",RIGHT($N1488,6)="tarief",F1488="Vergoeding"),SUM(P1488)*FLOOR(SUM(R1488),0.0001),AND(P1488&lt;&gt;"",R1488&lt;&gt;"",RIGHT($N1488,6)="tarief"),P1488*FLOOR(R1488,0.01),T1488&gt;0,FLOOR(SUM(T1488),0.01)),""),""),"")</f>
        <v/>
      </c>
      <c r="Y1488" s="314" t="str">
        <f t="shared" ca="1" si="94"/>
        <v/>
      </c>
      <c r="Z1488" s="314" t="str" cm="1">
        <f t="array" aca="1" ref="Z1488" ca="1">IFERROR(_xlfn.IFS(OR(F1488="",LEFT(Methode_Keuze,4)="Geen",Methode_Keuze=""),"",AND(W1488&lt;&gt;"",F1488&lt;&gt;"Arbeidskosten"),W1488*VLOOKUP(F1488,Tb_ProjectKosten[],MATCH(Tb_ProjectKosten[[#Headers],[Forfait_Percentage]],Tb_ProjectKosten[#Headers],0),0),AND(F1488="Arbeidskosten",G1488&lt;&gt;""),IFERROR(W1488*VLOOKUP(G1488,Tb_KostenTypen[],3,0)*VLOOKUP(F1488,Tb_ProjectKosten[],MATCH(Tb_ProjectKosten[[#Headers],[Forfait_Percentage]],Tb_ProjectKosten[#Headers],0),0),""),W1488 &lt;=0,0),"")</f>
        <v/>
      </c>
      <c r="AA1488" s="314" t="str" cm="1">
        <f t="array" aca="1" ref="AA1488" ca="1">IFERROR(_xlfn.IFS(OR(F1488="",LEFT(Methode_Keuze,4)="Geen",Methode_Keuze=""),"",AND(X1488&lt;&gt;"",F1488&lt;&gt;"Arbeidskosten"),X1488*VLOOKUP(F1488,Tb_ProjectKosten[],MATCH(Tb_ProjectKosten[[#Headers],[Forfait_Percentage]],Tb_ProjectKosten[#Headers],0),0),AND(F1488="Arbeidskosten",G1488&lt;&gt;""),IFERROR(X1488*VLOOKUP(G1488,Tb_KostenTypen[],3,0)*VLOOKUP(F1488,Tb_ProjectKosten[],MATCH(Tb_ProjectKosten[[#Headers],[Forfait_Percentage]],Tb_ProjectKosten[#Headers],0),0),""),X1488 &lt;=0,0),"")</f>
        <v/>
      </c>
      <c r="AB1488" s="314" t="str">
        <f t="shared" ca="1" si="95"/>
        <v/>
      </c>
      <c r="AC1488" s="322"/>
      <c r="AD1488" s="315"/>
      <c r="AE1488" s="32" t="str" cm="1">
        <f t="array" ref="AE1488">IFERROR(IF(INDEX(SubsidieTabel!$AD$1:$AG$12,MATCH($F1488,SubsidieTabel!$AD$1:$AD$12,0),IFERROR(MATCH(Methode_Keuze,SubsidieTabel!$AD$1:$AG$1,0),2))&lt;&gt;1=TRUE,"ja",""),"")</f>
        <v/>
      </c>
    </row>
    <row r="1489" spans="1:31" x14ac:dyDescent="0.25">
      <c r="A1489" s="316"/>
      <c r="B1489" s="317" t="str">
        <f>IF(A1489&lt;&gt;"",_xlfn.MAXIFS($B$1:B1488,$A$1:A1488,A1489)+1,"")</f>
        <v/>
      </c>
      <c r="C1489" s="296"/>
      <c r="D1489" s="296"/>
      <c r="E1489" s="296"/>
      <c r="F1489" s="296"/>
      <c r="G1489" s="326"/>
      <c r="H1489" s="324"/>
      <c r="I1489" s="325"/>
      <c r="J1489" s="325"/>
      <c r="K1489" s="318"/>
      <c r="L1489" s="318"/>
      <c r="M1489" s="319" t="str">
        <f>IFERROR(VLOOKUP(H1489,Lijsten!$H$1:$I$100,2,0),"")</f>
        <v/>
      </c>
      <c r="N1489" s="319" t="str">
        <f ca="1">IFERROR(IF(VLOOKUP(F1489,Kostentypen!$A$3:$E$21,3,0)=0,"",IF(OR(F1489="Arbeidskosten",F1489="Vergoeding"),VLOOKUP(G1489,Tb_KostenTypen[],2,0),VLOOKUP(F1489,Kostentypen!$A$3:$E$20,3,0))),"")</f>
        <v/>
      </c>
      <c r="O1489" s="320" t="str" cm="1">
        <f t="array" ref="O1489">_xlfn.IFNA(IF(INDEX(Tb_KostenOptiesDB[],MATCH($F1489,Tb_KostenOptiesDB[KostenOptie],0),IFERROR(MATCH(Methode_Keuze,Tb_KostenOptiesDB[#Headers],0),2))=1,_xlfn.SWITCH($N1489,"Uurtarief",IF(OR(AND(RIGHT($F1489,3)="IKS",VLOOKUP($M1489,DB_Loonkosten,2,0)="Ja"),AND(RIGHT($F1489,3)&lt;&gt;"IKS",VLOOKUP($M1489,DB_Loonkosten,2,0)="Nee")),IFERROR(VLOOKUP($M1489,DB_Loonkosten,24,0),""),0),"Vast tarief",IF(LEFT(F1489,8)="Bijdrage",VLOOKUP($F1489,Tb_KostenTypen[],MATCH(Lijsten!$P$1,Tb_KostenTypen[#Headers],0),0),VLOOKUP($G1489,Lijsten!L:P,MATCH(Lijsten!$P$1,Kop_Tarief_Vast,0),0))),""),"")</f>
        <v/>
      </c>
      <c r="P1489" s="320" t="str" cm="1">
        <f t="array" ref="P1489">_xlfn.IFNA(IF(INDEX(Tb_KostenOptiesDB[],MATCH($F1489,Tb_KostenOptiesDB[KostenOptie],0),IFERROR(MATCH(Methode_Keuze,Tb_KostenOptiesDB[#Headers],0),2))=1,_xlfn.SWITCH($N1489,"Uurtarief",IF(OR(AND(RIGHT($F1489,3)="IKS",VLOOKUP($M1489,DB_Loonkosten,2,0)="Ja"),AND(RIGHT($F1489,3)&lt;&gt;"IKS",VLOOKUP($M1489,DB_Loonkosten,2,0)="Nee")),IFERROR(VLOOKUP($M1489,DB_Loonkosten,25,0),""),0),"Vast tarief",IF(LEFT(F1489,8)="Bijdrage",VLOOKUP($F1489,Tb_KostenTypen[],MATCH(Lijsten!$P$1,Tb_KostenTypen[#Headers],0),0),VLOOKUP($G1489,Lijsten!L:P,MATCH(Lijsten!$P$1,Kop_Tarief_Vast,0),0))),""),"")</f>
        <v/>
      </c>
      <c r="Q1489" s="359"/>
      <c r="R1489" s="359"/>
      <c r="S1489" s="321"/>
      <c r="T1489" s="321"/>
      <c r="U1489" s="373" t="str">
        <f t="shared" si="92"/>
        <v/>
      </c>
      <c r="V1489" s="314" t="str">
        <f t="shared" si="93"/>
        <v/>
      </c>
      <c r="W1489" s="314" t="str" cm="1">
        <f t="array" aca="1" ref="W1489" ca="1">IFERROR(IF(AE1489&lt;&gt;"ja",_xlfn.IFNA(_xlfn.IFS(AND(O1489&lt;&gt;"",F1489&lt;&gt;"",RIGHT($N1489,6)="tarief",F1489="Vergoeding"),SUM(O1489)*FLOOR(SUM(Q1489),0.0001),AND(O1489&lt;&gt;"",F1489&lt;&gt;"",RIGHT($N1489,6)="tarief"),SUM(O1489)*FLOOR(SUM(Q1489),0.01),S1489&gt;0,IF(F1489&lt;&gt;"",FLOOR(SUM(S1489),0.01),"")),""),""),"")</f>
        <v/>
      </c>
      <c r="X1489" s="314" t="str" cm="1">
        <f t="array" aca="1" ref="X1489" ca="1">IFERROR(IF(AE1489&lt;&gt;"ja",_xlfn.IFNA(_xlfn.IFS(AND(P1489&lt;&gt;"",R1489&lt;&gt;"",RIGHT($N1489,6)="tarief",F1489="Vergoeding"),SUM(P1489)*FLOOR(SUM(R1489),0.0001),AND(P1489&lt;&gt;"",R1489&lt;&gt;"",RIGHT($N1489,6)="tarief"),P1489*FLOOR(R1489,0.01),T1489&gt;0,FLOOR(SUM(T1489),0.01)),""),""),"")</f>
        <v/>
      </c>
      <c r="Y1489" s="314" t="str">
        <f t="shared" ca="1" si="94"/>
        <v/>
      </c>
      <c r="Z1489" s="314" t="str" cm="1">
        <f t="array" aca="1" ref="Z1489" ca="1">IFERROR(_xlfn.IFS(OR(F1489="",LEFT(Methode_Keuze,4)="Geen",Methode_Keuze=""),"",AND(W1489&lt;&gt;"",F1489&lt;&gt;"Arbeidskosten"),W1489*VLOOKUP(F1489,Tb_ProjectKosten[],MATCH(Tb_ProjectKosten[[#Headers],[Forfait_Percentage]],Tb_ProjectKosten[#Headers],0),0),AND(F1489="Arbeidskosten",G1489&lt;&gt;""),IFERROR(W1489*VLOOKUP(G1489,Tb_KostenTypen[],3,0)*VLOOKUP(F1489,Tb_ProjectKosten[],MATCH(Tb_ProjectKosten[[#Headers],[Forfait_Percentage]],Tb_ProjectKosten[#Headers],0),0),""),W1489 &lt;=0,0),"")</f>
        <v/>
      </c>
      <c r="AA1489" s="314" t="str" cm="1">
        <f t="array" aca="1" ref="AA1489" ca="1">IFERROR(_xlfn.IFS(OR(F1489="",LEFT(Methode_Keuze,4)="Geen",Methode_Keuze=""),"",AND(X1489&lt;&gt;"",F1489&lt;&gt;"Arbeidskosten"),X1489*VLOOKUP(F1489,Tb_ProjectKosten[],MATCH(Tb_ProjectKosten[[#Headers],[Forfait_Percentage]],Tb_ProjectKosten[#Headers],0),0),AND(F1489="Arbeidskosten",G1489&lt;&gt;""),IFERROR(X1489*VLOOKUP(G1489,Tb_KostenTypen[],3,0)*VLOOKUP(F1489,Tb_ProjectKosten[],MATCH(Tb_ProjectKosten[[#Headers],[Forfait_Percentage]],Tb_ProjectKosten[#Headers],0),0),""),X1489 &lt;=0,0),"")</f>
        <v/>
      </c>
      <c r="AB1489" s="314" t="str">
        <f t="shared" ca="1" si="95"/>
        <v/>
      </c>
      <c r="AC1489" s="322"/>
      <c r="AD1489" s="315"/>
      <c r="AE1489" s="32" t="str" cm="1">
        <f t="array" ref="AE1489">IFERROR(IF(INDEX(SubsidieTabel!$AD$1:$AG$12,MATCH($F1489,SubsidieTabel!$AD$1:$AD$12,0),IFERROR(MATCH(Methode_Keuze,SubsidieTabel!$AD$1:$AG$1,0),2))&lt;&gt;1=TRUE,"ja",""),"")</f>
        <v/>
      </c>
    </row>
    <row r="1490" spans="1:31" x14ac:dyDescent="0.25">
      <c r="A1490" s="316"/>
      <c r="B1490" s="317" t="str">
        <f>IF(A1490&lt;&gt;"",_xlfn.MAXIFS($B$1:B1489,$A$1:A1489,A1490)+1,"")</f>
        <v/>
      </c>
      <c r="C1490" s="296"/>
      <c r="D1490" s="296"/>
      <c r="E1490" s="296"/>
      <c r="F1490" s="296"/>
      <c r="G1490" s="326"/>
      <c r="H1490" s="324"/>
      <c r="I1490" s="325"/>
      <c r="J1490" s="325"/>
      <c r="K1490" s="318"/>
      <c r="L1490" s="318"/>
      <c r="M1490" s="319" t="str">
        <f>IFERROR(VLOOKUP(H1490,Lijsten!$H$1:$I$100,2,0),"")</f>
        <v/>
      </c>
      <c r="N1490" s="319" t="str">
        <f ca="1">IFERROR(IF(VLOOKUP(F1490,Kostentypen!$A$3:$E$21,3,0)=0,"",IF(OR(F1490="Arbeidskosten",F1490="Vergoeding"),VLOOKUP(G1490,Tb_KostenTypen[],2,0),VLOOKUP(F1490,Kostentypen!$A$3:$E$20,3,0))),"")</f>
        <v/>
      </c>
      <c r="O1490" s="320" t="str" cm="1">
        <f t="array" ref="O1490">_xlfn.IFNA(IF(INDEX(Tb_KostenOptiesDB[],MATCH($F1490,Tb_KostenOptiesDB[KostenOptie],0),IFERROR(MATCH(Methode_Keuze,Tb_KostenOptiesDB[#Headers],0),2))=1,_xlfn.SWITCH($N1490,"Uurtarief",IF(OR(AND(RIGHT($F1490,3)="IKS",VLOOKUP($M1490,DB_Loonkosten,2,0)="Ja"),AND(RIGHT($F1490,3)&lt;&gt;"IKS",VLOOKUP($M1490,DB_Loonkosten,2,0)="Nee")),IFERROR(VLOOKUP($M1490,DB_Loonkosten,24,0),""),0),"Vast tarief",IF(LEFT(F1490,8)="Bijdrage",VLOOKUP($F1490,Tb_KostenTypen[],MATCH(Lijsten!$P$1,Tb_KostenTypen[#Headers],0),0),VLOOKUP($G1490,Lijsten!L:P,MATCH(Lijsten!$P$1,Kop_Tarief_Vast,0),0))),""),"")</f>
        <v/>
      </c>
      <c r="P1490" s="320" t="str" cm="1">
        <f t="array" ref="P1490">_xlfn.IFNA(IF(INDEX(Tb_KostenOptiesDB[],MATCH($F1490,Tb_KostenOptiesDB[KostenOptie],0),IFERROR(MATCH(Methode_Keuze,Tb_KostenOptiesDB[#Headers],0),2))=1,_xlfn.SWITCH($N1490,"Uurtarief",IF(OR(AND(RIGHT($F1490,3)="IKS",VLOOKUP($M1490,DB_Loonkosten,2,0)="Ja"),AND(RIGHT($F1490,3)&lt;&gt;"IKS",VLOOKUP($M1490,DB_Loonkosten,2,0)="Nee")),IFERROR(VLOOKUP($M1490,DB_Loonkosten,25,0),""),0),"Vast tarief",IF(LEFT(F1490,8)="Bijdrage",VLOOKUP($F1490,Tb_KostenTypen[],MATCH(Lijsten!$P$1,Tb_KostenTypen[#Headers],0),0),VLOOKUP($G1490,Lijsten!L:P,MATCH(Lijsten!$P$1,Kop_Tarief_Vast,0),0))),""),"")</f>
        <v/>
      </c>
      <c r="Q1490" s="359"/>
      <c r="R1490" s="359"/>
      <c r="S1490" s="321"/>
      <c r="T1490" s="321"/>
      <c r="U1490" s="373" t="str">
        <f t="shared" si="92"/>
        <v/>
      </c>
      <c r="V1490" s="314" t="str">
        <f t="shared" si="93"/>
        <v/>
      </c>
      <c r="W1490" s="314" t="str" cm="1">
        <f t="array" aca="1" ref="W1490" ca="1">IFERROR(IF(AE1490&lt;&gt;"ja",_xlfn.IFNA(_xlfn.IFS(AND(O1490&lt;&gt;"",F1490&lt;&gt;"",RIGHT($N1490,6)="tarief",F1490="Vergoeding"),SUM(O1490)*FLOOR(SUM(Q1490),0.0001),AND(O1490&lt;&gt;"",F1490&lt;&gt;"",RIGHT($N1490,6)="tarief"),SUM(O1490)*FLOOR(SUM(Q1490),0.01),S1490&gt;0,IF(F1490&lt;&gt;"",FLOOR(SUM(S1490),0.01),"")),""),""),"")</f>
        <v/>
      </c>
      <c r="X1490" s="314" t="str" cm="1">
        <f t="array" aca="1" ref="X1490" ca="1">IFERROR(IF(AE1490&lt;&gt;"ja",_xlfn.IFNA(_xlfn.IFS(AND(P1490&lt;&gt;"",R1490&lt;&gt;"",RIGHT($N1490,6)="tarief",F1490="Vergoeding"),SUM(P1490)*FLOOR(SUM(R1490),0.0001),AND(P1490&lt;&gt;"",R1490&lt;&gt;"",RIGHT($N1490,6)="tarief"),P1490*FLOOR(R1490,0.01),T1490&gt;0,FLOOR(SUM(T1490),0.01)),""),""),"")</f>
        <v/>
      </c>
      <c r="Y1490" s="314" t="str">
        <f t="shared" ca="1" si="94"/>
        <v/>
      </c>
      <c r="Z1490" s="314" t="str" cm="1">
        <f t="array" aca="1" ref="Z1490" ca="1">IFERROR(_xlfn.IFS(OR(F1490="",LEFT(Methode_Keuze,4)="Geen",Methode_Keuze=""),"",AND(W1490&lt;&gt;"",F1490&lt;&gt;"Arbeidskosten"),W1490*VLOOKUP(F1490,Tb_ProjectKosten[],MATCH(Tb_ProjectKosten[[#Headers],[Forfait_Percentage]],Tb_ProjectKosten[#Headers],0),0),AND(F1490="Arbeidskosten",G1490&lt;&gt;""),IFERROR(W1490*VLOOKUP(G1490,Tb_KostenTypen[],3,0)*VLOOKUP(F1490,Tb_ProjectKosten[],MATCH(Tb_ProjectKosten[[#Headers],[Forfait_Percentage]],Tb_ProjectKosten[#Headers],0),0),""),W1490 &lt;=0,0),"")</f>
        <v/>
      </c>
      <c r="AA1490" s="314" t="str" cm="1">
        <f t="array" aca="1" ref="AA1490" ca="1">IFERROR(_xlfn.IFS(OR(F1490="",LEFT(Methode_Keuze,4)="Geen",Methode_Keuze=""),"",AND(X1490&lt;&gt;"",F1490&lt;&gt;"Arbeidskosten"),X1490*VLOOKUP(F1490,Tb_ProjectKosten[],MATCH(Tb_ProjectKosten[[#Headers],[Forfait_Percentage]],Tb_ProjectKosten[#Headers],0),0),AND(F1490="Arbeidskosten",G1490&lt;&gt;""),IFERROR(X1490*VLOOKUP(G1490,Tb_KostenTypen[],3,0)*VLOOKUP(F1490,Tb_ProjectKosten[],MATCH(Tb_ProjectKosten[[#Headers],[Forfait_Percentage]],Tb_ProjectKosten[#Headers],0),0),""),X1490 &lt;=0,0),"")</f>
        <v/>
      </c>
      <c r="AB1490" s="314" t="str">
        <f t="shared" ca="1" si="95"/>
        <v/>
      </c>
      <c r="AC1490" s="322"/>
      <c r="AD1490" s="315"/>
      <c r="AE1490" s="32" t="str" cm="1">
        <f t="array" ref="AE1490">IFERROR(IF(INDEX(SubsidieTabel!$AD$1:$AG$12,MATCH($F1490,SubsidieTabel!$AD$1:$AD$12,0),IFERROR(MATCH(Methode_Keuze,SubsidieTabel!$AD$1:$AG$1,0),2))&lt;&gt;1=TRUE,"ja",""),"")</f>
        <v/>
      </c>
    </row>
    <row r="1491" spans="1:31" x14ac:dyDescent="0.25">
      <c r="A1491" s="316"/>
      <c r="B1491" s="317" t="str">
        <f>IF(A1491&lt;&gt;"",_xlfn.MAXIFS($B$1:B1490,$A$1:A1490,A1491)+1,"")</f>
        <v/>
      </c>
      <c r="C1491" s="296"/>
      <c r="D1491" s="296"/>
      <c r="E1491" s="296"/>
      <c r="F1491" s="296"/>
      <c r="G1491" s="326"/>
      <c r="H1491" s="324"/>
      <c r="I1491" s="325"/>
      <c r="J1491" s="325"/>
      <c r="K1491" s="318"/>
      <c r="L1491" s="318"/>
      <c r="M1491" s="319" t="str">
        <f>IFERROR(VLOOKUP(H1491,Lijsten!$H$1:$I$100,2,0),"")</f>
        <v/>
      </c>
      <c r="N1491" s="319" t="str">
        <f ca="1">IFERROR(IF(VLOOKUP(F1491,Kostentypen!$A$3:$E$21,3,0)=0,"",IF(OR(F1491="Arbeidskosten",F1491="Vergoeding"),VLOOKUP(G1491,Tb_KostenTypen[],2,0),VLOOKUP(F1491,Kostentypen!$A$3:$E$20,3,0))),"")</f>
        <v/>
      </c>
      <c r="O1491" s="320" t="str" cm="1">
        <f t="array" ref="O1491">_xlfn.IFNA(IF(INDEX(Tb_KostenOptiesDB[],MATCH($F1491,Tb_KostenOptiesDB[KostenOptie],0),IFERROR(MATCH(Methode_Keuze,Tb_KostenOptiesDB[#Headers],0),2))=1,_xlfn.SWITCH($N1491,"Uurtarief",IF(OR(AND(RIGHT($F1491,3)="IKS",VLOOKUP($M1491,DB_Loonkosten,2,0)="Ja"),AND(RIGHT($F1491,3)&lt;&gt;"IKS",VLOOKUP($M1491,DB_Loonkosten,2,0)="Nee")),IFERROR(VLOOKUP($M1491,DB_Loonkosten,24,0),""),0),"Vast tarief",IF(LEFT(F1491,8)="Bijdrage",VLOOKUP($F1491,Tb_KostenTypen[],MATCH(Lijsten!$P$1,Tb_KostenTypen[#Headers],0),0),VLOOKUP($G1491,Lijsten!L:P,MATCH(Lijsten!$P$1,Kop_Tarief_Vast,0),0))),""),"")</f>
        <v/>
      </c>
      <c r="P1491" s="320" t="str" cm="1">
        <f t="array" ref="P1491">_xlfn.IFNA(IF(INDEX(Tb_KostenOptiesDB[],MATCH($F1491,Tb_KostenOptiesDB[KostenOptie],0),IFERROR(MATCH(Methode_Keuze,Tb_KostenOptiesDB[#Headers],0),2))=1,_xlfn.SWITCH($N1491,"Uurtarief",IF(OR(AND(RIGHT($F1491,3)="IKS",VLOOKUP($M1491,DB_Loonkosten,2,0)="Ja"),AND(RIGHT($F1491,3)&lt;&gt;"IKS",VLOOKUP($M1491,DB_Loonkosten,2,0)="Nee")),IFERROR(VLOOKUP($M1491,DB_Loonkosten,25,0),""),0),"Vast tarief",IF(LEFT(F1491,8)="Bijdrage",VLOOKUP($F1491,Tb_KostenTypen[],MATCH(Lijsten!$P$1,Tb_KostenTypen[#Headers],0),0),VLOOKUP($G1491,Lijsten!L:P,MATCH(Lijsten!$P$1,Kop_Tarief_Vast,0),0))),""),"")</f>
        <v/>
      </c>
      <c r="Q1491" s="359"/>
      <c r="R1491" s="359"/>
      <c r="S1491" s="321"/>
      <c r="T1491" s="321"/>
      <c r="U1491" s="373" t="str">
        <f t="shared" si="92"/>
        <v/>
      </c>
      <c r="V1491" s="314" t="str">
        <f t="shared" si="93"/>
        <v/>
      </c>
      <c r="W1491" s="314" t="str" cm="1">
        <f t="array" aca="1" ref="W1491" ca="1">IFERROR(IF(AE1491&lt;&gt;"ja",_xlfn.IFNA(_xlfn.IFS(AND(O1491&lt;&gt;"",F1491&lt;&gt;"",RIGHT($N1491,6)="tarief",F1491="Vergoeding"),SUM(O1491)*FLOOR(SUM(Q1491),0.0001),AND(O1491&lt;&gt;"",F1491&lt;&gt;"",RIGHT($N1491,6)="tarief"),SUM(O1491)*FLOOR(SUM(Q1491),0.01),S1491&gt;0,IF(F1491&lt;&gt;"",FLOOR(SUM(S1491),0.01),"")),""),""),"")</f>
        <v/>
      </c>
      <c r="X1491" s="314" t="str" cm="1">
        <f t="array" aca="1" ref="X1491" ca="1">IFERROR(IF(AE1491&lt;&gt;"ja",_xlfn.IFNA(_xlfn.IFS(AND(P1491&lt;&gt;"",R1491&lt;&gt;"",RIGHT($N1491,6)="tarief",F1491="Vergoeding"),SUM(P1491)*FLOOR(SUM(R1491),0.0001),AND(P1491&lt;&gt;"",R1491&lt;&gt;"",RIGHT($N1491,6)="tarief"),P1491*FLOOR(R1491,0.01),T1491&gt;0,FLOOR(SUM(T1491),0.01)),""),""),"")</f>
        <v/>
      </c>
      <c r="Y1491" s="314" t="str">
        <f t="shared" ca="1" si="94"/>
        <v/>
      </c>
      <c r="Z1491" s="314" t="str" cm="1">
        <f t="array" aca="1" ref="Z1491" ca="1">IFERROR(_xlfn.IFS(OR(F1491="",LEFT(Methode_Keuze,4)="Geen",Methode_Keuze=""),"",AND(W1491&lt;&gt;"",F1491&lt;&gt;"Arbeidskosten"),W1491*VLOOKUP(F1491,Tb_ProjectKosten[],MATCH(Tb_ProjectKosten[[#Headers],[Forfait_Percentage]],Tb_ProjectKosten[#Headers],0),0),AND(F1491="Arbeidskosten",G1491&lt;&gt;""),IFERROR(W1491*VLOOKUP(G1491,Tb_KostenTypen[],3,0)*VLOOKUP(F1491,Tb_ProjectKosten[],MATCH(Tb_ProjectKosten[[#Headers],[Forfait_Percentage]],Tb_ProjectKosten[#Headers],0),0),""),W1491 &lt;=0,0),"")</f>
        <v/>
      </c>
      <c r="AA1491" s="314" t="str" cm="1">
        <f t="array" aca="1" ref="AA1491" ca="1">IFERROR(_xlfn.IFS(OR(F1491="",LEFT(Methode_Keuze,4)="Geen",Methode_Keuze=""),"",AND(X1491&lt;&gt;"",F1491&lt;&gt;"Arbeidskosten"),X1491*VLOOKUP(F1491,Tb_ProjectKosten[],MATCH(Tb_ProjectKosten[[#Headers],[Forfait_Percentage]],Tb_ProjectKosten[#Headers],0),0),AND(F1491="Arbeidskosten",G1491&lt;&gt;""),IFERROR(X1491*VLOOKUP(G1491,Tb_KostenTypen[],3,0)*VLOOKUP(F1491,Tb_ProjectKosten[],MATCH(Tb_ProjectKosten[[#Headers],[Forfait_Percentage]],Tb_ProjectKosten[#Headers],0),0),""),X1491 &lt;=0,0),"")</f>
        <v/>
      </c>
      <c r="AB1491" s="314" t="str">
        <f t="shared" ca="1" si="95"/>
        <v/>
      </c>
      <c r="AC1491" s="322"/>
      <c r="AD1491" s="315"/>
      <c r="AE1491" s="32" t="str" cm="1">
        <f t="array" ref="AE1491">IFERROR(IF(INDEX(SubsidieTabel!$AD$1:$AG$12,MATCH($F1491,SubsidieTabel!$AD$1:$AD$12,0),IFERROR(MATCH(Methode_Keuze,SubsidieTabel!$AD$1:$AG$1,0),2))&lt;&gt;1=TRUE,"ja",""),"")</f>
        <v/>
      </c>
    </row>
    <row r="1492" spans="1:31" x14ac:dyDescent="0.25">
      <c r="A1492" s="316"/>
      <c r="B1492" s="317" t="str">
        <f>IF(A1492&lt;&gt;"",_xlfn.MAXIFS($B$1:B1491,$A$1:A1491,A1492)+1,"")</f>
        <v/>
      </c>
      <c r="C1492" s="296"/>
      <c r="D1492" s="296"/>
      <c r="E1492" s="296"/>
      <c r="F1492" s="296"/>
      <c r="G1492" s="326"/>
      <c r="H1492" s="324"/>
      <c r="I1492" s="325"/>
      <c r="J1492" s="325"/>
      <c r="K1492" s="318"/>
      <c r="L1492" s="318"/>
      <c r="M1492" s="319" t="str">
        <f>IFERROR(VLOOKUP(H1492,Lijsten!$H$1:$I$100,2,0),"")</f>
        <v/>
      </c>
      <c r="N1492" s="319" t="str">
        <f ca="1">IFERROR(IF(VLOOKUP(F1492,Kostentypen!$A$3:$E$21,3,0)=0,"",IF(OR(F1492="Arbeidskosten",F1492="Vergoeding"),VLOOKUP(G1492,Tb_KostenTypen[],2,0),VLOOKUP(F1492,Kostentypen!$A$3:$E$20,3,0))),"")</f>
        <v/>
      </c>
      <c r="O1492" s="320" t="str" cm="1">
        <f t="array" ref="O1492">_xlfn.IFNA(IF(INDEX(Tb_KostenOptiesDB[],MATCH($F1492,Tb_KostenOptiesDB[KostenOptie],0),IFERROR(MATCH(Methode_Keuze,Tb_KostenOptiesDB[#Headers],0),2))=1,_xlfn.SWITCH($N1492,"Uurtarief",IF(OR(AND(RIGHT($F1492,3)="IKS",VLOOKUP($M1492,DB_Loonkosten,2,0)="Ja"),AND(RIGHT($F1492,3)&lt;&gt;"IKS",VLOOKUP($M1492,DB_Loonkosten,2,0)="Nee")),IFERROR(VLOOKUP($M1492,DB_Loonkosten,24,0),""),0),"Vast tarief",IF(LEFT(F1492,8)="Bijdrage",VLOOKUP($F1492,Tb_KostenTypen[],MATCH(Lijsten!$P$1,Tb_KostenTypen[#Headers],0),0),VLOOKUP($G1492,Lijsten!L:P,MATCH(Lijsten!$P$1,Kop_Tarief_Vast,0),0))),""),"")</f>
        <v/>
      </c>
      <c r="P1492" s="320" t="str" cm="1">
        <f t="array" ref="P1492">_xlfn.IFNA(IF(INDEX(Tb_KostenOptiesDB[],MATCH($F1492,Tb_KostenOptiesDB[KostenOptie],0),IFERROR(MATCH(Methode_Keuze,Tb_KostenOptiesDB[#Headers],0),2))=1,_xlfn.SWITCH($N1492,"Uurtarief",IF(OR(AND(RIGHT($F1492,3)="IKS",VLOOKUP($M1492,DB_Loonkosten,2,0)="Ja"),AND(RIGHT($F1492,3)&lt;&gt;"IKS",VLOOKUP($M1492,DB_Loonkosten,2,0)="Nee")),IFERROR(VLOOKUP($M1492,DB_Loonkosten,25,0),""),0),"Vast tarief",IF(LEFT(F1492,8)="Bijdrage",VLOOKUP($F1492,Tb_KostenTypen[],MATCH(Lijsten!$P$1,Tb_KostenTypen[#Headers],0),0),VLOOKUP($G1492,Lijsten!L:P,MATCH(Lijsten!$P$1,Kop_Tarief_Vast,0),0))),""),"")</f>
        <v/>
      </c>
      <c r="Q1492" s="359"/>
      <c r="R1492" s="359"/>
      <c r="S1492" s="321"/>
      <c r="T1492" s="321"/>
      <c r="U1492" s="373" t="str">
        <f t="shared" si="92"/>
        <v/>
      </c>
      <c r="V1492" s="314" t="str">
        <f t="shared" si="93"/>
        <v/>
      </c>
      <c r="W1492" s="314" t="str" cm="1">
        <f t="array" aca="1" ref="W1492" ca="1">IFERROR(IF(AE1492&lt;&gt;"ja",_xlfn.IFNA(_xlfn.IFS(AND(O1492&lt;&gt;"",F1492&lt;&gt;"",RIGHT($N1492,6)="tarief",F1492="Vergoeding"),SUM(O1492)*FLOOR(SUM(Q1492),0.0001),AND(O1492&lt;&gt;"",F1492&lt;&gt;"",RIGHT($N1492,6)="tarief"),SUM(O1492)*FLOOR(SUM(Q1492),0.01),S1492&gt;0,IF(F1492&lt;&gt;"",FLOOR(SUM(S1492),0.01),"")),""),""),"")</f>
        <v/>
      </c>
      <c r="X1492" s="314" t="str" cm="1">
        <f t="array" aca="1" ref="X1492" ca="1">IFERROR(IF(AE1492&lt;&gt;"ja",_xlfn.IFNA(_xlfn.IFS(AND(P1492&lt;&gt;"",R1492&lt;&gt;"",RIGHT($N1492,6)="tarief",F1492="Vergoeding"),SUM(P1492)*FLOOR(SUM(R1492),0.0001),AND(P1492&lt;&gt;"",R1492&lt;&gt;"",RIGHT($N1492,6)="tarief"),P1492*FLOOR(R1492,0.01),T1492&gt;0,FLOOR(SUM(T1492),0.01)),""),""),"")</f>
        <v/>
      </c>
      <c r="Y1492" s="314" t="str">
        <f t="shared" ca="1" si="94"/>
        <v/>
      </c>
      <c r="Z1492" s="314" t="str" cm="1">
        <f t="array" aca="1" ref="Z1492" ca="1">IFERROR(_xlfn.IFS(OR(F1492="",LEFT(Methode_Keuze,4)="Geen",Methode_Keuze=""),"",AND(W1492&lt;&gt;"",F1492&lt;&gt;"Arbeidskosten"),W1492*VLOOKUP(F1492,Tb_ProjectKosten[],MATCH(Tb_ProjectKosten[[#Headers],[Forfait_Percentage]],Tb_ProjectKosten[#Headers],0),0),AND(F1492="Arbeidskosten",G1492&lt;&gt;""),IFERROR(W1492*VLOOKUP(G1492,Tb_KostenTypen[],3,0)*VLOOKUP(F1492,Tb_ProjectKosten[],MATCH(Tb_ProjectKosten[[#Headers],[Forfait_Percentage]],Tb_ProjectKosten[#Headers],0),0),""),W1492 &lt;=0,0),"")</f>
        <v/>
      </c>
      <c r="AA1492" s="314" t="str" cm="1">
        <f t="array" aca="1" ref="AA1492" ca="1">IFERROR(_xlfn.IFS(OR(F1492="",LEFT(Methode_Keuze,4)="Geen",Methode_Keuze=""),"",AND(X1492&lt;&gt;"",F1492&lt;&gt;"Arbeidskosten"),X1492*VLOOKUP(F1492,Tb_ProjectKosten[],MATCH(Tb_ProjectKosten[[#Headers],[Forfait_Percentage]],Tb_ProjectKosten[#Headers],0),0),AND(F1492="Arbeidskosten",G1492&lt;&gt;""),IFERROR(X1492*VLOOKUP(G1492,Tb_KostenTypen[],3,0)*VLOOKUP(F1492,Tb_ProjectKosten[],MATCH(Tb_ProjectKosten[[#Headers],[Forfait_Percentage]],Tb_ProjectKosten[#Headers],0),0),""),X1492 &lt;=0,0),"")</f>
        <v/>
      </c>
      <c r="AB1492" s="314" t="str">
        <f t="shared" ca="1" si="95"/>
        <v/>
      </c>
      <c r="AC1492" s="322"/>
      <c r="AD1492" s="315"/>
      <c r="AE1492" s="32" t="str" cm="1">
        <f t="array" ref="AE1492">IFERROR(IF(INDEX(SubsidieTabel!$AD$1:$AG$12,MATCH($F1492,SubsidieTabel!$AD$1:$AD$12,0),IFERROR(MATCH(Methode_Keuze,SubsidieTabel!$AD$1:$AG$1,0),2))&lt;&gt;1=TRUE,"ja",""),"")</f>
        <v/>
      </c>
    </row>
    <row r="1493" spans="1:31" x14ac:dyDescent="0.25">
      <c r="A1493" s="316"/>
      <c r="B1493" s="317" t="str">
        <f>IF(A1493&lt;&gt;"",_xlfn.MAXIFS($B$1:B1492,$A$1:A1492,A1493)+1,"")</f>
        <v/>
      </c>
      <c r="C1493" s="296"/>
      <c r="D1493" s="296"/>
      <c r="E1493" s="296"/>
      <c r="F1493" s="296"/>
      <c r="G1493" s="326"/>
      <c r="H1493" s="324"/>
      <c r="I1493" s="325"/>
      <c r="J1493" s="325"/>
      <c r="K1493" s="318"/>
      <c r="L1493" s="318"/>
      <c r="M1493" s="319" t="str">
        <f>IFERROR(VLOOKUP(H1493,Lijsten!$H$1:$I$100,2,0),"")</f>
        <v/>
      </c>
      <c r="N1493" s="319" t="str">
        <f ca="1">IFERROR(IF(VLOOKUP(F1493,Kostentypen!$A$3:$E$21,3,0)=0,"",IF(OR(F1493="Arbeidskosten",F1493="Vergoeding"),VLOOKUP(G1493,Tb_KostenTypen[],2,0),VLOOKUP(F1493,Kostentypen!$A$3:$E$20,3,0))),"")</f>
        <v/>
      </c>
      <c r="O1493" s="320" t="str" cm="1">
        <f t="array" ref="O1493">_xlfn.IFNA(IF(INDEX(Tb_KostenOptiesDB[],MATCH($F1493,Tb_KostenOptiesDB[KostenOptie],0),IFERROR(MATCH(Methode_Keuze,Tb_KostenOptiesDB[#Headers],0),2))=1,_xlfn.SWITCH($N1493,"Uurtarief",IF(OR(AND(RIGHT($F1493,3)="IKS",VLOOKUP($M1493,DB_Loonkosten,2,0)="Ja"),AND(RIGHT($F1493,3)&lt;&gt;"IKS",VLOOKUP($M1493,DB_Loonkosten,2,0)="Nee")),IFERROR(VLOOKUP($M1493,DB_Loonkosten,24,0),""),0),"Vast tarief",IF(LEFT(F1493,8)="Bijdrage",VLOOKUP($F1493,Tb_KostenTypen[],MATCH(Lijsten!$P$1,Tb_KostenTypen[#Headers],0),0),VLOOKUP($G1493,Lijsten!L:P,MATCH(Lijsten!$P$1,Kop_Tarief_Vast,0),0))),""),"")</f>
        <v/>
      </c>
      <c r="P1493" s="320" t="str" cm="1">
        <f t="array" ref="P1493">_xlfn.IFNA(IF(INDEX(Tb_KostenOptiesDB[],MATCH($F1493,Tb_KostenOptiesDB[KostenOptie],0),IFERROR(MATCH(Methode_Keuze,Tb_KostenOptiesDB[#Headers],0),2))=1,_xlfn.SWITCH($N1493,"Uurtarief",IF(OR(AND(RIGHT($F1493,3)="IKS",VLOOKUP($M1493,DB_Loonkosten,2,0)="Ja"),AND(RIGHT($F1493,3)&lt;&gt;"IKS",VLOOKUP($M1493,DB_Loonkosten,2,0)="Nee")),IFERROR(VLOOKUP($M1493,DB_Loonkosten,25,0),""),0),"Vast tarief",IF(LEFT(F1493,8)="Bijdrage",VLOOKUP($F1493,Tb_KostenTypen[],MATCH(Lijsten!$P$1,Tb_KostenTypen[#Headers],0),0),VLOOKUP($G1493,Lijsten!L:P,MATCH(Lijsten!$P$1,Kop_Tarief_Vast,0),0))),""),"")</f>
        <v/>
      </c>
      <c r="Q1493" s="359"/>
      <c r="R1493" s="359"/>
      <c r="S1493" s="321"/>
      <c r="T1493" s="321"/>
      <c r="U1493" s="373" t="str">
        <f t="shared" si="92"/>
        <v/>
      </c>
      <c r="V1493" s="314" t="str">
        <f t="shared" si="93"/>
        <v/>
      </c>
      <c r="W1493" s="314" t="str" cm="1">
        <f t="array" aca="1" ref="W1493" ca="1">IFERROR(IF(AE1493&lt;&gt;"ja",_xlfn.IFNA(_xlfn.IFS(AND(O1493&lt;&gt;"",F1493&lt;&gt;"",RIGHT($N1493,6)="tarief",F1493="Vergoeding"),SUM(O1493)*FLOOR(SUM(Q1493),0.0001),AND(O1493&lt;&gt;"",F1493&lt;&gt;"",RIGHT($N1493,6)="tarief"),SUM(O1493)*FLOOR(SUM(Q1493),0.01),S1493&gt;0,IF(F1493&lt;&gt;"",FLOOR(SUM(S1493),0.01),"")),""),""),"")</f>
        <v/>
      </c>
      <c r="X1493" s="314" t="str" cm="1">
        <f t="array" aca="1" ref="X1493" ca="1">IFERROR(IF(AE1493&lt;&gt;"ja",_xlfn.IFNA(_xlfn.IFS(AND(P1493&lt;&gt;"",R1493&lt;&gt;"",RIGHT($N1493,6)="tarief",F1493="Vergoeding"),SUM(P1493)*FLOOR(SUM(R1493),0.0001),AND(P1493&lt;&gt;"",R1493&lt;&gt;"",RIGHT($N1493,6)="tarief"),P1493*FLOOR(R1493,0.01),T1493&gt;0,FLOOR(SUM(T1493),0.01)),""),""),"")</f>
        <v/>
      </c>
      <c r="Y1493" s="314" t="str">
        <f t="shared" ca="1" si="94"/>
        <v/>
      </c>
      <c r="Z1493" s="314" t="str" cm="1">
        <f t="array" aca="1" ref="Z1493" ca="1">IFERROR(_xlfn.IFS(OR(F1493="",LEFT(Methode_Keuze,4)="Geen",Methode_Keuze=""),"",AND(W1493&lt;&gt;"",F1493&lt;&gt;"Arbeidskosten"),W1493*VLOOKUP(F1493,Tb_ProjectKosten[],MATCH(Tb_ProjectKosten[[#Headers],[Forfait_Percentage]],Tb_ProjectKosten[#Headers],0),0),AND(F1493="Arbeidskosten",G1493&lt;&gt;""),IFERROR(W1493*VLOOKUP(G1493,Tb_KostenTypen[],3,0)*VLOOKUP(F1493,Tb_ProjectKosten[],MATCH(Tb_ProjectKosten[[#Headers],[Forfait_Percentage]],Tb_ProjectKosten[#Headers],0),0),""),W1493 &lt;=0,0),"")</f>
        <v/>
      </c>
      <c r="AA1493" s="314" t="str" cm="1">
        <f t="array" aca="1" ref="AA1493" ca="1">IFERROR(_xlfn.IFS(OR(F1493="",LEFT(Methode_Keuze,4)="Geen",Methode_Keuze=""),"",AND(X1493&lt;&gt;"",F1493&lt;&gt;"Arbeidskosten"),X1493*VLOOKUP(F1493,Tb_ProjectKosten[],MATCH(Tb_ProjectKosten[[#Headers],[Forfait_Percentage]],Tb_ProjectKosten[#Headers],0),0),AND(F1493="Arbeidskosten",G1493&lt;&gt;""),IFERROR(X1493*VLOOKUP(G1493,Tb_KostenTypen[],3,0)*VLOOKUP(F1493,Tb_ProjectKosten[],MATCH(Tb_ProjectKosten[[#Headers],[Forfait_Percentage]],Tb_ProjectKosten[#Headers],0),0),""),X1493 &lt;=0,0),"")</f>
        <v/>
      </c>
      <c r="AB1493" s="314" t="str">
        <f t="shared" ca="1" si="95"/>
        <v/>
      </c>
      <c r="AC1493" s="322"/>
      <c r="AD1493" s="315"/>
      <c r="AE1493" s="32" t="str" cm="1">
        <f t="array" ref="AE1493">IFERROR(IF(INDEX(SubsidieTabel!$AD$1:$AG$12,MATCH($F1493,SubsidieTabel!$AD$1:$AD$12,0),IFERROR(MATCH(Methode_Keuze,SubsidieTabel!$AD$1:$AG$1,0),2))&lt;&gt;1=TRUE,"ja",""),"")</f>
        <v/>
      </c>
    </row>
    <row r="1494" spans="1:31" x14ac:dyDescent="0.25">
      <c r="A1494" s="316"/>
      <c r="B1494" s="317" t="str">
        <f>IF(A1494&lt;&gt;"",_xlfn.MAXIFS($B$1:B1493,$A$1:A1493,A1494)+1,"")</f>
        <v/>
      </c>
      <c r="C1494" s="296"/>
      <c r="D1494" s="296"/>
      <c r="E1494" s="296"/>
      <c r="F1494" s="296"/>
      <c r="G1494" s="326"/>
      <c r="H1494" s="324"/>
      <c r="I1494" s="325"/>
      <c r="J1494" s="325"/>
      <c r="K1494" s="318"/>
      <c r="L1494" s="318"/>
      <c r="M1494" s="319" t="str">
        <f>IFERROR(VLOOKUP(H1494,Lijsten!$H$1:$I$100,2,0),"")</f>
        <v/>
      </c>
      <c r="N1494" s="319" t="str">
        <f ca="1">IFERROR(IF(VLOOKUP(F1494,Kostentypen!$A$3:$E$21,3,0)=0,"",IF(OR(F1494="Arbeidskosten",F1494="Vergoeding"),VLOOKUP(G1494,Tb_KostenTypen[],2,0),VLOOKUP(F1494,Kostentypen!$A$3:$E$20,3,0))),"")</f>
        <v/>
      </c>
      <c r="O1494" s="320" t="str" cm="1">
        <f t="array" ref="O1494">_xlfn.IFNA(IF(INDEX(Tb_KostenOptiesDB[],MATCH($F1494,Tb_KostenOptiesDB[KostenOptie],0),IFERROR(MATCH(Methode_Keuze,Tb_KostenOptiesDB[#Headers],0),2))=1,_xlfn.SWITCH($N1494,"Uurtarief",IF(OR(AND(RIGHT($F1494,3)="IKS",VLOOKUP($M1494,DB_Loonkosten,2,0)="Ja"),AND(RIGHT($F1494,3)&lt;&gt;"IKS",VLOOKUP($M1494,DB_Loonkosten,2,0)="Nee")),IFERROR(VLOOKUP($M1494,DB_Loonkosten,24,0),""),0),"Vast tarief",IF(LEFT(F1494,8)="Bijdrage",VLOOKUP($F1494,Tb_KostenTypen[],MATCH(Lijsten!$P$1,Tb_KostenTypen[#Headers],0),0),VLOOKUP($G1494,Lijsten!L:P,MATCH(Lijsten!$P$1,Kop_Tarief_Vast,0),0))),""),"")</f>
        <v/>
      </c>
      <c r="P1494" s="320" t="str" cm="1">
        <f t="array" ref="P1494">_xlfn.IFNA(IF(INDEX(Tb_KostenOptiesDB[],MATCH($F1494,Tb_KostenOptiesDB[KostenOptie],0),IFERROR(MATCH(Methode_Keuze,Tb_KostenOptiesDB[#Headers],0),2))=1,_xlfn.SWITCH($N1494,"Uurtarief",IF(OR(AND(RIGHT($F1494,3)="IKS",VLOOKUP($M1494,DB_Loonkosten,2,0)="Ja"),AND(RIGHT($F1494,3)&lt;&gt;"IKS",VLOOKUP($M1494,DB_Loonkosten,2,0)="Nee")),IFERROR(VLOOKUP($M1494,DB_Loonkosten,25,0),""),0),"Vast tarief",IF(LEFT(F1494,8)="Bijdrage",VLOOKUP($F1494,Tb_KostenTypen[],MATCH(Lijsten!$P$1,Tb_KostenTypen[#Headers],0),0),VLOOKUP($G1494,Lijsten!L:P,MATCH(Lijsten!$P$1,Kop_Tarief_Vast,0),0))),""),"")</f>
        <v/>
      </c>
      <c r="Q1494" s="359"/>
      <c r="R1494" s="359"/>
      <c r="S1494" s="321"/>
      <c r="T1494" s="321"/>
      <c r="U1494" s="373" t="str">
        <f t="shared" si="92"/>
        <v/>
      </c>
      <c r="V1494" s="314" t="str">
        <f t="shared" si="93"/>
        <v/>
      </c>
      <c r="W1494" s="314" t="str" cm="1">
        <f t="array" aca="1" ref="W1494" ca="1">IFERROR(IF(AE1494&lt;&gt;"ja",_xlfn.IFNA(_xlfn.IFS(AND(O1494&lt;&gt;"",F1494&lt;&gt;"",RIGHT($N1494,6)="tarief",F1494="Vergoeding"),SUM(O1494)*FLOOR(SUM(Q1494),0.0001),AND(O1494&lt;&gt;"",F1494&lt;&gt;"",RIGHT($N1494,6)="tarief"),SUM(O1494)*FLOOR(SUM(Q1494),0.01),S1494&gt;0,IF(F1494&lt;&gt;"",FLOOR(SUM(S1494),0.01),"")),""),""),"")</f>
        <v/>
      </c>
      <c r="X1494" s="314" t="str" cm="1">
        <f t="array" aca="1" ref="X1494" ca="1">IFERROR(IF(AE1494&lt;&gt;"ja",_xlfn.IFNA(_xlfn.IFS(AND(P1494&lt;&gt;"",R1494&lt;&gt;"",RIGHT($N1494,6)="tarief",F1494="Vergoeding"),SUM(P1494)*FLOOR(SUM(R1494),0.0001),AND(P1494&lt;&gt;"",R1494&lt;&gt;"",RIGHT($N1494,6)="tarief"),P1494*FLOOR(R1494,0.01),T1494&gt;0,FLOOR(SUM(T1494),0.01)),""),""),"")</f>
        <v/>
      </c>
      <c r="Y1494" s="314" t="str">
        <f t="shared" ca="1" si="94"/>
        <v/>
      </c>
      <c r="Z1494" s="314" t="str" cm="1">
        <f t="array" aca="1" ref="Z1494" ca="1">IFERROR(_xlfn.IFS(OR(F1494="",LEFT(Methode_Keuze,4)="Geen",Methode_Keuze=""),"",AND(W1494&lt;&gt;"",F1494&lt;&gt;"Arbeidskosten"),W1494*VLOOKUP(F1494,Tb_ProjectKosten[],MATCH(Tb_ProjectKosten[[#Headers],[Forfait_Percentage]],Tb_ProjectKosten[#Headers],0),0),AND(F1494="Arbeidskosten",G1494&lt;&gt;""),IFERROR(W1494*VLOOKUP(G1494,Tb_KostenTypen[],3,0)*VLOOKUP(F1494,Tb_ProjectKosten[],MATCH(Tb_ProjectKosten[[#Headers],[Forfait_Percentage]],Tb_ProjectKosten[#Headers],0),0),""),W1494 &lt;=0,0),"")</f>
        <v/>
      </c>
      <c r="AA1494" s="314" t="str" cm="1">
        <f t="array" aca="1" ref="AA1494" ca="1">IFERROR(_xlfn.IFS(OR(F1494="",LEFT(Methode_Keuze,4)="Geen",Methode_Keuze=""),"",AND(X1494&lt;&gt;"",F1494&lt;&gt;"Arbeidskosten"),X1494*VLOOKUP(F1494,Tb_ProjectKosten[],MATCH(Tb_ProjectKosten[[#Headers],[Forfait_Percentage]],Tb_ProjectKosten[#Headers],0),0),AND(F1494="Arbeidskosten",G1494&lt;&gt;""),IFERROR(X1494*VLOOKUP(G1494,Tb_KostenTypen[],3,0)*VLOOKUP(F1494,Tb_ProjectKosten[],MATCH(Tb_ProjectKosten[[#Headers],[Forfait_Percentage]],Tb_ProjectKosten[#Headers],0),0),""),X1494 &lt;=0,0),"")</f>
        <v/>
      </c>
      <c r="AB1494" s="314" t="str">
        <f t="shared" ca="1" si="95"/>
        <v/>
      </c>
      <c r="AC1494" s="322"/>
      <c r="AD1494" s="315"/>
      <c r="AE1494" s="32" t="str" cm="1">
        <f t="array" ref="AE1494">IFERROR(IF(INDEX(SubsidieTabel!$AD$1:$AG$12,MATCH($F1494,SubsidieTabel!$AD$1:$AD$12,0),IFERROR(MATCH(Methode_Keuze,SubsidieTabel!$AD$1:$AG$1,0),2))&lt;&gt;1=TRUE,"ja",""),"")</f>
        <v/>
      </c>
    </row>
    <row r="1495" spans="1:31" x14ac:dyDescent="0.25">
      <c r="A1495" s="316"/>
      <c r="B1495" s="317" t="str">
        <f>IF(A1495&lt;&gt;"",_xlfn.MAXIFS($B$1:B1494,$A$1:A1494,A1495)+1,"")</f>
        <v/>
      </c>
      <c r="C1495" s="296"/>
      <c r="D1495" s="296"/>
      <c r="E1495" s="296"/>
      <c r="F1495" s="296"/>
      <c r="G1495" s="326"/>
      <c r="H1495" s="324"/>
      <c r="I1495" s="325"/>
      <c r="J1495" s="325"/>
      <c r="K1495" s="318"/>
      <c r="L1495" s="318"/>
      <c r="M1495" s="319" t="str">
        <f>IFERROR(VLOOKUP(H1495,Lijsten!$H$1:$I$100,2,0),"")</f>
        <v/>
      </c>
      <c r="N1495" s="319" t="str">
        <f ca="1">IFERROR(IF(VLOOKUP(F1495,Kostentypen!$A$3:$E$21,3,0)=0,"",IF(OR(F1495="Arbeidskosten",F1495="Vergoeding"),VLOOKUP(G1495,Tb_KostenTypen[],2,0),VLOOKUP(F1495,Kostentypen!$A$3:$E$20,3,0))),"")</f>
        <v/>
      </c>
      <c r="O1495" s="320" t="str" cm="1">
        <f t="array" ref="O1495">_xlfn.IFNA(IF(INDEX(Tb_KostenOptiesDB[],MATCH($F1495,Tb_KostenOptiesDB[KostenOptie],0),IFERROR(MATCH(Methode_Keuze,Tb_KostenOptiesDB[#Headers],0),2))=1,_xlfn.SWITCH($N1495,"Uurtarief",IF(OR(AND(RIGHT($F1495,3)="IKS",VLOOKUP($M1495,DB_Loonkosten,2,0)="Ja"),AND(RIGHT($F1495,3)&lt;&gt;"IKS",VLOOKUP($M1495,DB_Loonkosten,2,0)="Nee")),IFERROR(VLOOKUP($M1495,DB_Loonkosten,24,0),""),0),"Vast tarief",IF(LEFT(F1495,8)="Bijdrage",VLOOKUP($F1495,Tb_KostenTypen[],MATCH(Lijsten!$P$1,Tb_KostenTypen[#Headers],0),0),VLOOKUP($G1495,Lijsten!L:P,MATCH(Lijsten!$P$1,Kop_Tarief_Vast,0),0))),""),"")</f>
        <v/>
      </c>
      <c r="P1495" s="320" t="str" cm="1">
        <f t="array" ref="P1495">_xlfn.IFNA(IF(INDEX(Tb_KostenOptiesDB[],MATCH($F1495,Tb_KostenOptiesDB[KostenOptie],0),IFERROR(MATCH(Methode_Keuze,Tb_KostenOptiesDB[#Headers],0),2))=1,_xlfn.SWITCH($N1495,"Uurtarief",IF(OR(AND(RIGHT($F1495,3)="IKS",VLOOKUP($M1495,DB_Loonkosten,2,0)="Ja"),AND(RIGHT($F1495,3)&lt;&gt;"IKS",VLOOKUP($M1495,DB_Loonkosten,2,0)="Nee")),IFERROR(VLOOKUP($M1495,DB_Loonkosten,25,0),""),0),"Vast tarief",IF(LEFT(F1495,8)="Bijdrage",VLOOKUP($F1495,Tb_KostenTypen[],MATCH(Lijsten!$P$1,Tb_KostenTypen[#Headers],0),0),VLOOKUP($G1495,Lijsten!L:P,MATCH(Lijsten!$P$1,Kop_Tarief_Vast,0),0))),""),"")</f>
        <v/>
      </c>
      <c r="Q1495" s="359"/>
      <c r="R1495" s="359"/>
      <c r="S1495" s="321"/>
      <c r="T1495" s="321"/>
      <c r="U1495" s="373" t="str">
        <f t="shared" si="92"/>
        <v/>
      </c>
      <c r="V1495" s="314" t="str">
        <f t="shared" si="93"/>
        <v/>
      </c>
      <c r="W1495" s="314" t="str" cm="1">
        <f t="array" aca="1" ref="W1495" ca="1">IFERROR(IF(AE1495&lt;&gt;"ja",_xlfn.IFNA(_xlfn.IFS(AND(O1495&lt;&gt;"",F1495&lt;&gt;"",RIGHT($N1495,6)="tarief",F1495="Vergoeding"),SUM(O1495)*FLOOR(SUM(Q1495),0.0001),AND(O1495&lt;&gt;"",F1495&lt;&gt;"",RIGHT($N1495,6)="tarief"),SUM(O1495)*FLOOR(SUM(Q1495),0.01),S1495&gt;0,IF(F1495&lt;&gt;"",FLOOR(SUM(S1495),0.01),"")),""),""),"")</f>
        <v/>
      </c>
      <c r="X1495" s="314" t="str" cm="1">
        <f t="array" aca="1" ref="X1495" ca="1">IFERROR(IF(AE1495&lt;&gt;"ja",_xlfn.IFNA(_xlfn.IFS(AND(P1495&lt;&gt;"",R1495&lt;&gt;"",RIGHT($N1495,6)="tarief",F1495="Vergoeding"),SUM(P1495)*FLOOR(SUM(R1495),0.0001),AND(P1495&lt;&gt;"",R1495&lt;&gt;"",RIGHT($N1495,6)="tarief"),P1495*FLOOR(R1495,0.01),T1495&gt;0,FLOOR(SUM(T1495),0.01)),""),""),"")</f>
        <v/>
      </c>
      <c r="Y1495" s="314" t="str">
        <f t="shared" ca="1" si="94"/>
        <v/>
      </c>
      <c r="Z1495" s="314" t="str" cm="1">
        <f t="array" aca="1" ref="Z1495" ca="1">IFERROR(_xlfn.IFS(OR(F1495="",LEFT(Methode_Keuze,4)="Geen",Methode_Keuze=""),"",AND(W1495&lt;&gt;"",F1495&lt;&gt;"Arbeidskosten"),W1495*VLOOKUP(F1495,Tb_ProjectKosten[],MATCH(Tb_ProjectKosten[[#Headers],[Forfait_Percentage]],Tb_ProjectKosten[#Headers],0),0),AND(F1495="Arbeidskosten",G1495&lt;&gt;""),IFERROR(W1495*VLOOKUP(G1495,Tb_KostenTypen[],3,0)*VLOOKUP(F1495,Tb_ProjectKosten[],MATCH(Tb_ProjectKosten[[#Headers],[Forfait_Percentage]],Tb_ProjectKosten[#Headers],0),0),""),W1495 &lt;=0,0),"")</f>
        <v/>
      </c>
      <c r="AA1495" s="314" t="str" cm="1">
        <f t="array" aca="1" ref="AA1495" ca="1">IFERROR(_xlfn.IFS(OR(F1495="",LEFT(Methode_Keuze,4)="Geen",Methode_Keuze=""),"",AND(X1495&lt;&gt;"",F1495&lt;&gt;"Arbeidskosten"),X1495*VLOOKUP(F1495,Tb_ProjectKosten[],MATCH(Tb_ProjectKosten[[#Headers],[Forfait_Percentage]],Tb_ProjectKosten[#Headers],0),0),AND(F1495="Arbeidskosten",G1495&lt;&gt;""),IFERROR(X1495*VLOOKUP(G1495,Tb_KostenTypen[],3,0)*VLOOKUP(F1495,Tb_ProjectKosten[],MATCH(Tb_ProjectKosten[[#Headers],[Forfait_Percentage]],Tb_ProjectKosten[#Headers],0),0),""),X1495 &lt;=0,0),"")</f>
        <v/>
      </c>
      <c r="AB1495" s="314" t="str">
        <f t="shared" ca="1" si="95"/>
        <v/>
      </c>
      <c r="AC1495" s="322"/>
      <c r="AD1495" s="315"/>
      <c r="AE1495" s="32" t="str" cm="1">
        <f t="array" ref="AE1495">IFERROR(IF(INDEX(SubsidieTabel!$AD$1:$AG$12,MATCH($F1495,SubsidieTabel!$AD$1:$AD$12,0),IFERROR(MATCH(Methode_Keuze,SubsidieTabel!$AD$1:$AG$1,0),2))&lt;&gt;1=TRUE,"ja",""),"")</f>
        <v/>
      </c>
    </row>
    <row r="1496" spans="1:31" x14ac:dyDescent="0.25">
      <c r="A1496" s="316"/>
      <c r="B1496" s="317" t="str">
        <f>IF(A1496&lt;&gt;"",_xlfn.MAXIFS($B$1:B1495,$A$1:A1495,A1496)+1,"")</f>
        <v/>
      </c>
      <c r="C1496" s="296"/>
      <c r="D1496" s="296"/>
      <c r="E1496" s="296"/>
      <c r="F1496" s="296"/>
      <c r="G1496" s="326"/>
      <c r="H1496" s="324"/>
      <c r="I1496" s="325"/>
      <c r="J1496" s="325"/>
      <c r="K1496" s="318"/>
      <c r="L1496" s="318"/>
      <c r="M1496" s="319" t="str">
        <f>IFERROR(VLOOKUP(H1496,Lijsten!$H$1:$I$100,2,0),"")</f>
        <v/>
      </c>
      <c r="N1496" s="319" t="str">
        <f ca="1">IFERROR(IF(VLOOKUP(F1496,Kostentypen!$A$3:$E$21,3,0)=0,"",IF(OR(F1496="Arbeidskosten",F1496="Vergoeding"),VLOOKUP(G1496,Tb_KostenTypen[],2,0),VLOOKUP(F1496,Kostentypen!$A$3:$E$20,3,0))),"")</f>
        <v/>
      </c>
      <c r="O1496" s="320" t="str" cm="1">
        <f t="array" ref="O1496">_xlfn.IFNA(IF(INDEX(Tb_KostenOptiesDB[],MATCH($F1496,Tb_KostenOptiesDB[KostenOptie],0),IFERROR(MATCH(Methode_Keuze,Tb_KostenOptiesDB[#Headers],0),2))=1,_xlfn.SWITCH($N1496,"Uurtarief",IF(OR(AND(RIGHT($F1496,3)="IKS",VLOOKUP($M1496,DB_Loonkosten,2,0)="Ja"),AND(RIGHT($F1496,3)&lt;&gt;"IKS",VLOOKUP($M1496,DB_Loonkosten,2,0)="Nee")),IFERROR(VLOOKUP($M1496,DB_Loonkosten,24,0),""),0),"Vast tarief",IF(LEFT(F1496,8)="Bijdrage",VLOOKUP($F1496,Tb_KostenTypen[],MATCH(Lijsten!$P$1,Tb_KostenTypen[#Headers],0),0),VLOOKUP($G1496,Lijsten!L:P,MATCH(Lijsten!$P$1,Kop_Tarief_Vast,0),0))),""),"")</f>
        <v/>
      </c>
      <c r="P1496" s="320" t="str" cm="1">
        <f t="array" ref="P1496">_xlfn.IFNA(IF(INDEX(Tb_KostenOptiesDB[],MATCH($F1496,Tb_KostenOptiesDB[KostenOptie],0),IFERROR(MATCH(Methode_Keuze,Tb_KostenOptiesDB[#Headers],0),2))=1,_xlfn.SWITCH($N1496,"Uurtarief",IF(OR(AND(RIGHT($F1496,3)="IKS",VLOOKUP($M1496,DB_Loonkosten,2,0)="Ja"),AND(RIGHT($F1496,3)&lt;&gt;"IKS",VLOOKUP($M1496,DB_Loonkosten,2,0)="Nee")),IFERROR(VLOOKUP($M1496,DB_Loonkosten,25,0),""),0),"Vast tarief",IF(LEFT(F1496,8)="Bijdrage",VLOOKUP($F1496,Tb_KostenTypen[],MATCH(Lijsten!$P$1,Tb_KostenTypen[#Headers],0),0),VLOOKUP($G1496,Lijsten!L:P,MATCH(Lijsten!$P$1,Kop_Tarief_Vast,0),0))),""),"")</f>
        <v/>
      </c>
      <c r="Q1496" s="359"/>
      <c r="R1496" s="359"/>
      <c r="S1496" s="321"/>
      <c r="T1496" s="321"/>
      <c r="U1496" s="373" t="str">
        <f t="shared" si="92"/>
        <v/>
      </c>
      <c r="V1496" s="314" t="str">
        <f t="shared" si="93"/>
        <v/>
      </c>
      <c r="W1496" s="314" t="str" cm="1">
        <f t="array" aca="1" ref="W1496" ca="1">IFERROR(IF(AE1496&lt;&gt;"ja",_xlfn.IFNA(_xlfn.IFS(AND(O1496&lt;&gt;"",F1496&lt;&gt;"",RIGHT($N1496,6)="tarief",F1496="Vergoeding"),SUM(O1496)*FLOOR(SUM(Q1496),0.0001),AND(O1496&lt;&gt;"",F1496&lt;&gt;"",RIGHT($N1496,6)="tarief"),SUM(O1496)*FLOOR(SUM(Q1496),0.01),S1496&gt;0,IF(F1496&lt;&gt;"",FLOOR(SUM(S1496),0.01),"")),""),""),"")</f>
        <v/>
      </c>
      <c r="X1496" s="314" t="str" cm="1">
        <f t="array" aca="1" ref="X1496" ca="1">IFERROR(IF(AE1496&lt;&gt;"ja",_xlfn.IFNA(_xlfn.IFS(AND(P1496&lt;&gt;"",R1496&lt;&gt;"",RIGHT($N1496,6)="tarief",F1496="Vergoeding"),SUM(P1496)*FLOOR(SUM(R1496),0.0001),AND(P1496&lt;&gt;"",R1496&lt;&gt;"",RIGHT($N1496,6)="tarief"),P1496*FLOOR(R1496,0.01),T1496&gt;0,FLOOR(SUM(T1496),0.01)),""),""),"")</f>
        <v/>
      </c>
      <c r="Y1496" s="314" t="str">
        <f t="shared" ca="1" si="94"/>
        <v/>
      </c>
      <c r="Z1496" s="314" t="str" cm="1">
        <f t="array" aca="1" ref="Z1496" ca="1">IFERROR(_xlfn.IFS(OR(F1496="",LEFT(Methode_Keuze,4)="Geen",Methode_Keuze=""),"",AND(W1496&lt;&gt;"",F1496&lt;&gt;"Arbeidskosten"),W1496*VLOOKUP(F1496,Tb_ProjectKosten[],MATCH(Tb_ProjectKosten[[#Headers],[Forfait_Percentage]],Tb_ProjectKosten[#Headers],0),0),AND(F1496="Arbeidskosten",G1496&lt;&gt;""),IFERROR(W1496*VLOOKUP(G1496,Tb_KostenTypen[],3,0)*VLOOKUP(F1496,Tb_ProjectKosten[],MATCH(Tb_ProjectKosten[[#Headers],[Forfait_Percentage]],Tb_ProjectKosten[#Headers],0),0),""),W1496 &lt;=0,0),"")</f>
        <v/>
      </c>
      <c r="AA1496" s="314" t="str" cm="1">
        <f t="array" aca="1" ref="AA1496" ca="1">IFERROR(_xlfn.IFS(OR(F1496="",LEFT(Methode_Keuze,4)="Geen",Methode_Keuze=""),"",AND(X1496&lt;&gt;"",F1496&lt;&gt;"Arbeidskosten"),X1496*VLOOKUP(F1496,Tb_ProjectKosten[],MATCH(Tb_ProjectKosten[[#Headers],[Forfait_Percentage]],Tb_ProjectKosten[#Headers],0),0),AND(F1496="Arbeidskosten",G1496&lt;&gt;""),IFERROR(X1496*VLOOKUP(G1496,Tb_KostenTypen[],3,0)*VLOOKUP(F1496,Tb_ProjectKosten[],MATCH(Tb_ProjectKosten[[#Headers],[Forfait_Percentage]],Tb_ProjectKosten[#Headers],0),0),""),X1496 &lt;=0,0),"")</f>
        <v/>
      </c>
      <c r="AB1496" s="314" t="str">
        <f t="shared" ca="1" si="95"/>
        <v/>
      </c>
      <c r="AC1496" s="322"/>
      <c r="AD1496" s="315"/>
      <c r="AE1496" s="32" t="str" cm="1">
        <f t="array" ref="AE1496">IFERROR(IF(INDEX(SubsidieTabel!$AD$1:$AG$12,MATCH($F1496,SubsidieTabel!$AD$1:$AD$12,0),IFERROR(MATCH(Methode_Keuze,SubsidieTabel!$AD$1:$AG$1,0),2))&lt;&gt;1=TRUE,"ja",""),"")</f>
        <v/>
      </c>
    </row>
    <row r="1497" spans="1:31" x14ac:dyDescent="0.25">
      <c r="A1497" s="316"/>
      <c r="B1497" s="317" t="str">
        <f>IF(A1497&lt;&gt;"",_xlfn.MAXIFS($B$1:B1496,$A$1:A1496,A1497)+1,"")</f>
        <v/>
      </c>
      <c r="C1497" s="296"/>
      <c r="D1497" s="296"/>
      <c r="E1497" s="296"/>
      <c r="F1497" s="296"/>
      <c r="G1497" s="326"/>
      <c r="H1497" s="324"/>
      <c r="I1497" s="325"/>
      <c r="J1497" s="325"/>
      <c r="K1497" s="318"/>
      <c r="L1497" s="318"/>
      <c r="M1497" s="319" t="str">
        <f>IFERROR(VLOOKUP(H1497,Lijsten!$H$1:$I$100,2,0),"")</f>
        <v/>
      </c>
      <c r="N1497" s="319" t="str">
        <f ca="1">IFERROR(IF(VLOOKUP(F1497,Kostentypen!$A$3:$E$21,3,0)=0,"",IF(OR(F1497="Arbeidskosten",F1497="Vergoeding"),VLOOKUP(G1497,Tb_KostenTypen[],2,0),VLOOKUP(F1497,Kostentypen!$A$3:$E$20,3,0))),"")</f>
        <v/>
      </c>
      <c r="O1497" s="320" t="str" cm="1">
        <f t="array" ref="O1497">_xlfn.IFNA(IF(INDEX(Tb_KostenOptiesDB[],MATCH($F1497,Tb_KostenOptiesDB[KostenOptie],0),IFERROR(MATCH(Methode_Keuze,Tb_KostenOptiesDB[#Headers],0),2))=1,_xlfn.SWITCH($N1497,"Uurtarief",IF(OR(AND(RIGHT($F1497,3)="IKS",VLOOKUP($M1497,DB_Loonkosten,2,0)="Ja"),AND(RIGHT($F1497,3)&lt;&gt;"IKS",VLOOKUP($M1497,DB_Loonkosten,2,0)="Nee")),IFERROR(VLOOKUP($M1497,DB_Loonkosten,24,0),""),0),"Vast tarief",IF(LEFT(F1497,8)="Bijdrage",VLOOKUP($F1497,Tb_KostenTypen[],MATCH(Lijsten!$P$1,Tb_KostenTypen[#Headers],0),0),VLOOKUP($G1497,Lijsten!L:P,MATCH(Lijsten!$P$1,Kop_Tarief_Vast,0),0))),""),"")</f>
        <v/>
      </c>
      <c r="P1497" s="320" t="str" cm="1">
        <f t="array" ref="P1497">_xlfn.IFNA(IF(INDEX(Tb_KostenOptiesDB[],MATCH($F1497,Tb_KostenOptiesDB[KostenOptie],0),IFERROR(MATCH(Methode_Keuze,Tb_KostenOptiesDB[#Headers],0),2))=1,_xlfn.SWITCH($N1497,"Uurtarief",IF(OR(AND(RIGHT($F1497,3)="IKS",VLOOKUP($M1497,DB_Loonkosten,2,0)="Ja"),AND(RIGHT($F1497,3)&lt;&gt;"IKS",VLOOKUP($M1497,DB_Loonkosten,2,0)="Nee")),IFERROR(VLOOKUP($M1497,DB_Loonkosten,25,0),""),0),"Vast tarief",IF(LEFT(F1497,8)="Bijdrage",VLOOKUP($F1497,Tb_KostenTypen[],MATCH(Lijsten!$P$1,Tb_KostenTypen[#Headers],0),0),VLOOKUP($G1497,Lijsten!L:P,MATCH(Lijsten!$P$1,Kop_Tarief_Vast,0),0))),""),"")</f>
        <v/>
      </c>
      <c r="Q1497" s="359"/>
      <c r="R1497" s="359"/>
      <c r="S1497" s="321"/>
      <c r="T1497" s="321"/>
      <c r="U1497" s="373" t="str">
        <f t="shared" si="92"/>
        <v/>
      </c>
      <c r="V1497" s="314" t="str">
        <f t="shared" si="93"/>
        <v/>
      </c>
      <c r="W1497" s="314" t="str" cm="1">
        <f t="array" aca="1" ref="W1497" ca="1">IFERROR(IF(AE1497&lt;&gt;"ja",_xlfn.IFNA(_xlfn.IFS(AND(O1497&lt;&gt;"",F1497&lt;&gt;"",RIGHT($N1497,6)="tarief",F1497="Vergoeding"),SUM(O1497)*FLOOR(SUM(Q1497),0.0001),AND(O1497&lt;&gt;"",F1497&lt;&gt;"",RIGHT($N1497,6)="tarief"),SUM(O1497)*FLOOR(SUM(Q1497),0.01),S1497&gt;0,IF(F1497&lt;&gt;"",FLOOR(SUM(S1497),0.01),"")),""),""),"")</f>
        <v/>
      </c>
      <c r="X1497" s="314" t="str" cm="1">
        <f t="array" aca="1" ref="X1497" ca="1">IFERROR(IF(AE1497&lt;&gt;"ja",_xlfn.IFNA(_xlfn.IFS(AND(P1497&lt;&gt;"",R1497&lt;&gt;"",RIGHT($N1497,6)="tarief",F1497="Vergoeding"),SUM(P1497)*FLOOR(SUM(R1497),0.0001),AND(P1497&lt;&gt;"",R1497&lt;&gt;"",RIGHT($N1497,6)="tarief"),P1497*FLOOR(R1497,0.01),T1497&gt;0,FLOOR(SUM(T1497),0.01)),""),""),"")</f>
        <v/>
      </c>
      <c r="Y1497" s="314" t="str">
        <f t="shared" ca="1" si="94"/>
        <v/>
      </c>
      <c r="Z1497" s="314" t="str" cm="1">
        <f t="array" aca="1" ref="Z1497" ca="1">IFERROR(_xlfn.IFS(OR(F1497="",LEFT(Methode_Keuze,4)="Geen",Methode_Keuze=""),"",AND(W1497&lt;&gt;"",F1497&lt;&gt;"Arbeidskosten"),W1497*VLOOKUP(F1497,Tb_ProjectKosten[],MATCH(Tb_ProjectKosten[[#Headers],[Forfait_Percentage]],Tb_ProjectKosten[#Headers],0),0),AND(F1497="Arbeidskosten",G1497&lt;&gt;""),IFERROR(W1497*VLOOKUP(G1497,Tb_KostenTypen[],3,0)*VLOOKUP(F1497,Tb_ProjectKosten[],MATCH(Tb_ProjectKosten[[#Headers],[Forfait_Percentage]],Tb_ProjectKosten[#Headers],0),0),""),W1497 &lt;=0,0),"")</f>
        <v/>
      </c>
      <c r="AA1497" s="314" t="str" cm="1">
        <f t="array" aca="1" ref="AA1497" ca="1">IFERROR(_xlfn.IFS(OR(F1497="",LEFT(Methode_Keuze,4)="Geen",Methode_Keuze=""),"",AND(X1497&lt;&gt;"",F1497&lt;&gt;"Arbeidskosten"),X1497*VLOOKUP(F1497,Tb_ProjectKosten[],MATCH(Tb_ProjectKosten[[#Headers],[Forfait_Percentage]],Tb_ProjectKosten[#Headers],0),0),AND(F1497="Arbeidskosten",G1497&lt;&gt;""),IFERROR(X1497*VLOOKUP(G1497,Tb_KostenTypen[],3,0)*VLOOKUP(F1497,Tb_ProjectKosten[],MATCH(Tb_ProjectKosten[[#Headers],[Forfait_Percentage]],Tb_ProjectKosten[#Headers],0),0),""),X1497 &lt;=0,0),"")</f>
        <v/>
      </c>
      <c r="AB1497" s="314" t="str">
        <f t="shared" ca="1" si="95"/>
        <v/>
      </c>
      <c r="AC1497" s="322"/>
      <c r="AD1497" s="315"/>
      <c r="AE1497" s="32" t="str" cm="1">
        <f t="array" ref="AE1497">IFERROR(IF(INDEX(SubsidieTabel!$AD$1:$AG$12,MATCH($F1497,SubsidieTabel!$AD$1:$AD$12,0),IFERROR(MATCH(Methode_Keuze,SubsidieTabel!$AD$1:$AG$1,0),2))&lt;&gt;1=TRUE,"ja",""),"")</f>
        <v/>
      </c>
    </row>
    <row r="1498" spans="1:31" x14ac:dyDescent="0.25">
      <c r="A1498" s="316"/>
      <c r="B1498" s="317" t="str">
        <f>IF(A1498&lt;&gt;"",_xlfn.MAXIFS($B$1:B1497,$A$1:A1497,A1498)+1,"")</f>
        <v/>
      </c>
      <c r="C1498" s="296"/>
      <c r="D1498" s="296"/>
      <c r="E1498" s="296"/>
      <c r="F1498" s="296"/>
      <c r="G1498" s="326"/>
      <c r="H1498" s="324"/>
      <c r="I1498" s="325"/>
      <c r="J1498" s="325"/>
      <c r="K1498" s="318"/>
      <c r="L1498" s="318"/>
      <c r="M1498" s="319" t="str">
        <f>IFERROR(VLOOKUP(H1498,Lijsten!$H$1:$I$100,2,0),"")</f>
        <v/>
      </c>
      <c r="N1498" s="319" t="str">
        <f ca="1">IFERROR(IF(VLOOKUP(F1498,Kostentypen!$A$3:$E$21,3,0)=0,"",IF(OR(F1498="Arbeidskosten",F1498="Vergoeding"),VLOOKUP(G1498,Tb_KostenTypen[],2,0),VLOOKUP(F1498,Kostentypen!$A$3:$E$20,3,0))),"")</f>
        <v/>
      </c>
      <c r="O1498" s="320" t="str" cm="1">
        <f t="array" ref="O1498">_xlfn.IFNA(IF(INDEX(Tb_KostenOptiesDB[],MATCH($F1498,Tb_KostenOptiesDB[KostenOptie],0),IFERROR(MATCH(Methode_Keuze,Tb_KostenOptiesDB[#Headers],0),2))=1,_xlfn.SWITCH($N1498,"Uurtarief",IF(OR(AND(RIGHT($F1498,3)="IKS",VLOOKUP($M1498,DB_Loonkosten,2,0)="Ja"),AND(RIGHT($F1498,3)&lt;&gt;"IKS",VLOOKUP($M1498,DB_Loonkosten,2,0)="Nee")),IFERROR(VLOOKUP($M1498,DB_Loonkosten,24,0),""),0),"Vast tarief",IF(LEFT(F1498,8)="Bijdrage",VLOOKUP($F1498,Tb_KostenTypen[],MATCH(Lijsten!$P$1,Tb_KostenTypen[#Headers],0),0),VLOOKUP($G1498,Lijsten!L:P,MATCH(Lijsten!$P$1,Kop_Tarief_Vast,0),0))),""),"")</f>
        <v/>
      </c>
      <c r="P1498" s="320" t="str" cm="1">
        <f t="array" ref="P1498">_xlfn.IFNA(IF(INDEX(Tb_KostenOptiesDB[],MATCH($F1498,Tb_KostenOptiesDB[KostenOptie],0),IFERROR(MATCH(Methode_Keuze,Tb_KostenOptiesDB[#Headers],0),2))=1,_xlfn.SWITCH($N1498,"Uurtarief",IF(OR(AND(RIGHT($F1498,3)="IKS",VLOOKUP($M1498,DB_Loonkosten,2,0)="Ja"),AND(RIGHT($F1498,3)&lt;&gt;"IKS",VLOOKUP($M1498,DB_Loonkosten,2,0)="Nee")),IFERROR(VLOOKUP($M1498,DB_Loonkosten,25,0),""),0),"Vast tarief",IF(LEFT(F1498,8)="Bijdrage",VLOOKUP($F1498,Tb_KostenTypen[],MATCH(Lijsten!$P$1,Tb_KostenTypen[#Headers],0),0),VLOOKUP($G1498,Lijsten!L:P,MATCH(Lijsten!$P$1,Kop_Tarief_Vast,0),0))),""),"")</f>
        <v/>
      </c>
      <c r="Q1498" s="359"/>
      <c r="R1498" s="359"/>
      <c r="S1498" s="321"/>
      <c r="T1498" s="321"/>
      <c r="U1498" s="373" t="str">
        <f t="shared" si="92"/>
        <v/>
      </c>
      <c r="V1498" s="314" t="str">
        <f t="shared" si="93"/>
        <v/>
      </c>
      <c r="W1498" s="314" t="str" cm="1">
        <f t="array" aca="1" ref="W1498" ca="1">IFERROR(IF(AE1498&lt;&gt;"ja",_xlfn.IFNA(_xlfn.IFS(AND(O1498&lt;&gt;"",F1498&lt;&gt;"",RIGHT($N1498,6)="tarief",F1498="Vergoeding"),SUM(O1498)*FLOOR(SUM(Q1498),0.0001),AND(O1498&lt;&gt;"",F1498&lt;&gt;"",RIGHT($N1498,6)="tarief"),SUM(O1498)*FLOOR(SUM(Q1498),0.01),S1498&gt;0,IF(F1498&lt;&gt;"",FLOOR(SUM(S1498),0.01),"")),""),""),"")</f>
        <v/>
      </c>
      <c r="X1498" s="314" t="str" cm="1">
        <f t="array" aca="1" ref="X1498" ca="1">IFERROR(IF(AE1498&lt;&gt;"ja",_xlfn.IFNA(_xlfn.IFS(AND(P1498&lt;&gt;"",R1498&lt;&gt;"",RIGHT($N1498,6)="tarief",F1498="Vergoeding"),SUM(P1498)*FLOOR(SUM(R1498),0.0001),AND(P1498&lt;&gt;"",R1498&lt;&gt;"",RIGHT($N1498,6)="tarief"),P1498*FLOOR(R1498,0.01),T1498&gt;0,FLOOR(SUM(T1498),0.01)),""),""),"")</f>
        <v/>
      </c>
      <c r="Y1498" s="314" t="str">
        <f t="shared" ca="1" si="94"/>
        <v/>
      </c>
      <c r="Z1498" s="314" t="str" cm="1">
        <f t="array" aca="1" ref="Z1498" ca="1">IFERROR(_xlfn.IFS(OR(F1498="",LEFT(Methode_Keuze,4)="Geen",Methode_Keuze=""),"",AND(W1498&lt;&gt;"",F1498&lt;&gt;"Arbeidskosten"),W1498*VLOOKUP(F1498,Tb_ProjectKosten[],MATCH(Tb_ProjectKosten[[#Headers],[Forfait_Percentage]],Tb_ProjectKosten[#Headers],0),0),AND(F1498="Arbeidskosten",G1498&lt;&gt;""),IFERROR(W1498*VLOOKUP(G1498,Tb_KostenTypen[],3,0)*VLOOKUP(F1498,Tb_ProjectKosten[],MATCH(Tb_ProjectKosten[[#Headers],[Forfait_Percentage]],Tb_ProjectKosten[#Headers],0),0),""),W1498 &lt;=0,0),"")</f>
        <v/>
      </c>
      <c r="AA1498" s="314" t="str" cm="1">
        <f t="array" aca="1" ref="AA1498" ca="1">IFERROR(_xlfn.IFS(OR(F1498="",LEFT(Methode_Keuze,4)="Geen",Methode_Keuze=""),"",AND(X1498&lt;&gt;"",F1498&lt;&gt;"Arbeidskosten"),X1498*VLOOKUP(F1498,Tb_ProjectKosten[],MATCH(Tb_ProjectKosten[[#Headers],[Forfait_Percentage]],Tb_ProjectKosten[#Headers],0),0),AND(F1498="Arbeidskosten",G1498&lt;&gt;""),IFERROR(X1498*VLOOKUP(G1498,Tb_KostenTypen[],3,0)*VLOOKUP(F1498,Tb_ProjectKosten[],MATCH(Tb_ProjectKosten[[#Headers],[Forfait_Percentage]],Tb_ProjectKosten[#Headers],0),0),""),X1498 &lt;=0,0),"")</f>
        <v/>
      </c>
      <c r="AB1498" s="314" t="str">
        <f t="shared" ca="1" si="95"/>
        <v/>
      </c>
      <c r="AC1498" s="322"/>
      <c r="AD1498" s="315"/>
      <c r="AE1498" s="32" t="str" cm="1">
        <f t="array" ref="AE1498">IFERROR(IF(INDEX(SubsidieTabel!$AD$1:$AG$12,MATCH($F1498,SubsidieTabel!$AD$1:$AD$12,0),IFERROR(MATCH(Methode_Keuze,SubsidieTabel!$AD$1:$AG$1,0),2))&lt;&gt;1=TRUE,"ja",""),"")</f>
        <v/>
      </c>
    </row>
    <row r="1499" spans="1:31" x14ac:dyDescent="0.25">
      <c r="A1499" s="316"/>
      <c r="B1499" s="317" t="str">
        <f>IF(A1499&lt;&gt;"",_xlfn.MAXIFS($B$1:B1498,$A$1:A1498,A1499)+1,"")</f>
        <v/>
      </c>
      <c r="C1499" s="296"/>
      <c r="D1499" s="296"/>
      <c r="E1499" s="296"/>
      <c r="F1499" s="296"/>
      <c r="G1499" s="326"/>
      <c r="H1499" s="324"/>
      <c r="I1499" s="325"/>
      <c r="J1499" s="325"/>
      <c r="K1499" s="318"/>
      <c r="L1499" s="318"/>
      <c r="M1499" s="319" t="str">
        <f>IFERROR(VLOOKUP(H1499,Lijsten!$H$1:$I$100,2,0),"")</f>
        <v/>
      </c>
      <c r="N1499" s="319" t="str">
        <f ca="1">IFERROR(IF(VLOOKUP(F1499,Kostentypen!$A$3:$E$21,3,0)=0,"",IF(OR(F1499="Arbeidskosten",F1499="Vergoeding"),VLOOKUP(G1499,Tb_KostenTypen[],2,0),VLOOKUP(F1499,Kostentypen!$A$3:$E$20,3,0))),"")</f>
        <v/>
      </c>
      <c r="O1499" s="320" t="str" cm="1">
        <f t="array" ref="O1499">_xlfn.IFNA(IF(INDEX(Tb_KostenOptiesDB[],MATCH($F1499,Tb_KostenOptiesDB[KostenOptie],0),IFERROR(MATCH(Methode_Keuze,Tb_KostenOptiesDB[#Headers],0),2))=1,_xlfn.SWITCH($N1499,"Uurtarief",IF(OR(AND(RIGHT($F1499,3)="IKS",VLOOKUP($M1499,DB_Loonkosten,2,0)="Ja"),AND(RIGHT($F1499,3)&lt;&gt;"IKS",VLOOKUP($M1499,DB_Loonkosten,2,0)="Nee")),IFERROR(VLOOKUP($M1499,DB_Loonkosten,24,0),""),0),"Vast tarief",IF(LEFT(F1499,8)="Bijdrage",VLOOKUP($F1499,Tb_KostenTypen[],MATCH(Lijsten!$P$1,Tb_KostenTypen[#Headers],0),0),VLOOKUP($G1499,Lijsten!L:P,MATCH(Lijsten!$P$1,Kop_Tarief_Vast,0),0))),""),"")</f>
        <v/>
      </c>
      <c r="P1499" s="320" t="str" cm="1">
        <f t="array" ref="P1499">_xlfn.IFNA(IF(INDEX(Tb_KostenOptiesDB[],MATCH($F1499,Tb_KostenOptiesDB[KostenOptie],0),IFERROR(MATCH(Methode_Keuze,Tb_KostenOptiesDB[#Headers],0),2))=1,_xlfn.SWITCH($N1499,"Uurtarief",IF(OR(AND(RIGHT($F1499,3)="IKS",VLOOKUP($M1499,DB_Loonkosten,2,0)="Ja"),AND(RIGHT($F1499,3)&lt;&gt;"IKS",VLOOKUP($M1499,DB_Loonkosten,2,0)="Nee")),IFERROR(VLOOKUP($M1499,DB_Loonkosten,25,0),""),0),"Vast tarief",IF(LEFT(F1499,8)="Bijdrage",VLOOKUP($F1499,Tb_KostenTypen[],MATCH(Lijsten!$P$1,Tb_KostenTypen[#Headers],0),0),VLOOKUP($G1499,Lijsten!L:P,MATCH(Lijsten!$P$1,Kop_Tarief_Vast,0),0))),""),"")</f>
        <v/>
      </c>
      <c r="Q1499" s="359"/>
      <c r="R1499" s="359"/>
      <c r="S1499" s="321"/>
      <c r="T1499" s="321"/>
      <c r="U1499" s="373" t="str">
        <f t="shared" si="92"/>
        <v/>
      </c>
      <c r="V1499" s="314" t="str">
        <f t="shared" si="93"/>
        <v/>
      </c>
      <c r="W1499" s="314" t="str" cm="1">
        <f t="array" aca="1" ref="W1499" ca="1">IFERROR(IF(AE1499&lt;&gt;"ja",_xlfn.IFNA(_xlfn.IFS(AND(O1499&lt;&gt;"",F1499&lt;&gt;"",RIGHT($N1499,6)="tarief",F1499="Vergoeding"),SUM(O1499)*FLOOR(SUM(Q1499),0.0001),AND(O1499&lt;&gt;"",F1499&lt;&gt;"",RIGHT($N1499,6)="tarief"),SUM(O1499)*FLOOR(SUM(Q1499),0.01),S1499&gt;0,IF(F1499&lt;&gt;"",FLOOR(SUM(S1499),0.01),"")),""),""),"")</f>
        <v/>
      </c>
      <c r="X1499" s="314" t="str" cm="1">
        <f t="array" aca="1" ref="X1499" ca="1">IFERROR(IF(AE1499&lt;&gt;"ja",_xlfn.IFNA(_xlfn.IFS(AND(P1499&lt;&gt;"",R1499&lt;&gt;"",RIGHT($N1499,6)="tarief",F1499="Vergoeding"),SUM(P1499)*FLOOR(SUM(R1499),0.0001),AND(P1499&lt;&gt;"",R1499&lt;&gt;"",RIGHT($N1499,6)="tarief"),P1499*FLOOR(R1499,0.01),T1499&gt;0,FLOOR(SUM(T1499),0.01)),""),""),"")</f>
        <v/>
      </c>
      <c r="Y1499" s="314" t="str">
        <f t="shared" ca="1" si="94"/>
        <v/>
      </c>
      <c r="Z1499" s="314" t="str" cm="1">
        <f t="array" aca="1" ref="Z1499" ca="1">IFERROR(_xlfn.IFS(OR(F1499="",LEFT(Methode_Keuze,4)="Geen",Methode_Keuze=""),"",AND(W1499&lt;&gt;"",F1499&lt;&gt;"Arbeidskosten"),W1499*VLOOKUP(F1499,Tb_ProjectKosten[],MATCH(Tb_ProjectKosten[[#Headers],[Forfait_Percentage]],Tb_ProjectKosten[#Headers],0),0),AND(F1499="Arbeidskosten",G1499&lt;&gt;""),IFERROR(W1499*VLOOKUP(G1499,Tb_KostenTypen[],3,0)*VLOOKUP(F1499,Tb_ProjectKosten[],MATCH(Tb_ProjectKosten[[#Headers],[Forfait_Percentage]],Tb_ProjectKosten[#Headers],0),0),""),W1499 &lt;=0,0),"")</f>
        <v/>
      </c>
      <c r="AA1499" s="314" t="str" cm="1">
        <f t="array" aca="1" ref="AA1499" ca="1">IFERROR(_xlfn.IFS(OR(F1499="",LEFT(Methode_Keuze,4)="Geen",Methode_Keuze=""),"",AND(X1499&lt;&gt;"",F1499&lt;&gt;"Arbeidskosten"),X1499*VLOOKUP(F1499,Tb_ProjectKosten[],MATCH(Tb_ProjectKosten[[#Headers],[Forfait_Percentage]],Tb_ProjectKosten[#Headers],0),0),AND(F1499="Arbeidskosten",G1499&lt;&gt;""),IFERROR(X1499*VLOOKUP(G1499,Tb_KostenTypen[],3,0)*VLOOKUP(F1499,Tb_ProjectKosten[],MATCH(Tb_ProjectKosten[[#Headers],[Forfait_Percentage]],Tb_ProjectKosten[#Headers],0),0),""),X1499 &lt;=0,0),"")</f>
        <v/>
      </c>
      <c r="AB1499" s="314" t="str">
        <f t="shared" ca="1" si="95"/>
        <v/>
      </c>
      <c r="AC1499" s="322"/>
      <c r="AD1499" s="315"/>
      <c r="AE1499" s="32" t="str" cm="1">
        <f t="array" ref="AE1499">IFERROR(IF(INDEX(SubsidieTabel!$AD$1:$AG$12,MATCH($F1499,SubsidieTabel!$AD$1:$AD$12,0),IFERROR(MATCH(Methode_Keuze,SubsidieTabel!$AD$1:$AG$1,0),2))&lt;&gt;1=TRUE,"ja",""),"")</f>
        <v/>
      </c>
    </row>
    <row r="1500" spans="1:31" x14ac:dyDescent="0.25">
      <c r="A1500" s="316"/>
      <c r="B1500" s="317" t="str">
        <f>IF(A1500&lt;&gt;"",_xlfn.MAXIFS($B$1:B1499,$A$1:A1499,A1500)+1,"")</f>
        <v/>
      </c>
      <c r="C1500" s="296"/>
      <c r="D1500" s="296"/>
      <c r="E1500" s="296"/>
      <c r="F1500" s="296"/>
      <c r="G1500" s="326"/>
      <c r="H1500" s="324"/>
      <c r="I1500" s="325"/>
      <c r="J1500" s="325"/>
      <c r="K1500" s="318"/>
      <c r="L1500" s="318"/>
      <c r="M1500" s="319" t="str">
        <f>IFERROR(VLOOKUP(H1500,Lijsten!$H$1:$I$100,2,0),"")</f>
        <v/>
      </c>
      <c r="N1500" s="319" t="str">
        <f ca="1">IFERROR(IF(VLOOKUP(F1500,Kostentypen!$A$3:$E$21,3,0)=0,"",IF(OR(F1500="Arbeidskosten",F1500="Vergoeding"),VLOOKUP(G1500,Tb_KostenTypen[],2,0),VLOOKUP(F1500,Kostentypen!$A$3:$E$20,3,0))),"")</f>
        <v/>
      </c>
      <c r="O1500" s="320" t="str" cm="1">
        <f t="array" ref="O1500">_xlfn.IFNA(IF(INDEX(Tb_KostenOptiesDB[],MATCH($F1500,Tb_KostenOptiesDB[KostenOptie],0),IFERROR(MATCH(Methode_Keuze,Tb_KostenOptiesDB[#Headers],0),2))=1,_xlfn.SWITCH($N1500,"Uurtarief",IF(OR(AND(RIGHT($F1500,3)="IKS",VLOOKUP($M1500,DB_Loonkosten,2,0)="Ja"),AND(RIGHT($F1500,3)&lt;&gt;"IKS",VLOOKUP($M1500,DB_Loonkosten,2,0)="Nee")),IFERROR(VLOOKUP($M1500,DB_Loonkosten,24,0),""),0),"Vast tarief",IF(LEFT(F1500,8)="Bijdrage",VLOOKUP($F1500,Tb_KostenTypen[],MATCH(Lijsten!$P$1,Tb_KostenTypen[#Headers],0),0),VLOOKUP($G1500,Lijsten!L:P,MATCH(Lijsten!$P$1,Kop_Tarief_Vast,0),0))),""),"")</f>
        <v/>
      </c>
      <c r="P1500" s="320" t="str" cm="1">
        <f t="array" ref="P1500">_xlfn.IFNA(IF(INDEX(Tb_KostenOptiesDB[],MATCH($F1500,Tb_KostenOptiesDB[KostenOptie],0),IFERROR(MATCH(Methode_Keuze,Tb_KostenOptiesDB[#Headers],0),2))=1,_xlfn.SWITCH($N1500,"Uurtarief",IF(OR(AND(RIGHT($F1500,3)="IKS",VLOOKUP($M1500,DB_Loonkosten,2,0)="Ja"),AND(RIGHT($F1500,3)&lt;&gt;"IKS",VLOOKUP($M1500,DB_Loonkosten,2,0)="Nee")),IFERROR(VLOOKUP($M1500,DB_Loonkosten,25,0),""),0),"Vast tarief",IF(LEFT(F1500,8)="Bijdrage",VLOOKUP($F1500,Tb_KostenTypen[],MATCH(Lijsten!$P$1,Tb_KostenTypen[#Headers],0),0),VLOOKUP($G1500,Lijsten!L:P,MATCH(Lijsten!$P$1,Kop_Tarief_Vast,0),0))),""),"")</f>
        <v/>
      </c>
      <c r="Q1500" s="359"/>
      <c r="R1500" s="359"/>
      <c r="S1500" s="321"/>
      <c r="T1500" s="321"/>
      <c r="U1500" s="373" t="str">
        <f t="shared" si="92"/>
        <v/>
      </c>
      <c r="V1500" s="314" t="str">
        <f t="shared" si="93"/>
        <v/>
      </c>
      <c r="W1500" s="314" t="str" cm="1">
        <f t="array" aca="1" ref="W1500" ca="1">IFERROR(IF(AE1500&lt;&gt;"ja",_xlfn.IFNA(_xlfn.IFS(AND(O1500&lt;&gt;"",F1500&lt;&gt;"",RIGHT($N1500,6)="tarief",F1500="Vergoeding"),SUM(O1500)*FLOOR(SUM(Q1500),0.0001),AND(O1500&lt;&gt;"",F1500&lt;&gt;"",RIGHT($N1500,6)="tarief"),SUM(O1500)*FLOOR(SUM(Q1500),0.01),S1500&gt;0,IF(F1500&lt;&gt;"",FLOOR(SUM(S1500),0.01),"")),""),""),"")</f>
        <v/>
      </c>
      <c r="X1500" s="314" t="str" cm="1">
        <f t="array" aca="1" ref="X1500" ca="1">IFERROR(IF(AE1500&lt;&gt;"ja",_xlfn.IFNA(_xlfn.IFS(AND(P1500&lt;&gt;"",R1500&lt;&gt;"",RIGHT($N1500,6)="tarief",F1500="Vergoeding"),SUM(P1500)*FLOOR(SUM(R1500),0.0001),AND(P1500&lt;&gt;"",R1500&lt;&gt;"",RIGHT($N1500,6)="tarief"),P1500*FLOOR(R1500,0.01),T1500&gt;0,FLOOR(SUM(T1500),0.01)),""),""),"")</f>
        <v/>
      </c>
      <c r="Y1500" s="314" t="str">
        <f t="shared" ca="1" si="94"/>
        <v/>
      </c>
      <c r="Z1500" s="314" t="str" cm="1">
        <f t="array" aca="1" ref="Z1500" ca="1">IFERROR(_xlfn.IFS(OR(F1500="",LEFT(Methode_Keuze,4)="Geen",Methode_Keuze=""),"",AND(W1500&lt;&gt;"",F1500&lt;&gt;"Arbeidskosten"),W1500*VLOOKUP(F1500,Tb_ProjectKosten[],MATCH(Tb_ProjectKosten[[#Headers],[Forfait_Percentage]],Tb_ProjectKosten[#Headers],0),0),AND(F1500="Arbeidskosten",G1500&lt;&gt;""),IFERROR(W1500*VLOOKUP(G1500,Tb_KostenTypen[],3,0)*VLOOKUP(F1500,Tb_ProjectKosten[],MATCH(Tb_ProjectKosten[[#Headers],[Forfait_Percentage]],Tb_ProjectKosten[#Headers],0),0),""),W1500 &lt;=0,0),"")</f>
        <v/>
      </c>
      <c r="AA1500" s="314" t="str" cm="1">
        <f t="array" aca="1" ref="AA1500" ca="1">IFERROR(_xlfn.IFS(OR(F1500="",LEFT(Methode_Keuze,4)="Geen",Methode_Keuze=""),"",AND(X1500&lt;&gt;"",F1500&lt;&gt;"Arbeidskosten"),X1500*VLOOKUP(F1500,Tb_ProjectKosten[],MATCH(Tb_ProjectKosten[[#Headers],[Forfait_Percentage]],Tb_ProjectKosten[#Headers],0),0),AND(F1500="Arbeidskosten",G1500&lt;&gt;""),IFERROR(X1500*VLOOKUP(G1500,Tb_KostenTypen[],3,0)*VLOOKUP(F1500,Tb_ProjectKosten[],MATCH(Tb_ProjectKosten[[#Headers],[Forfait_Percentage]],Tb_ProjectKosten[#Headers],0),0),""),X1500 &lt;=0,0),"")</f>
        <v/>
      </c>
      <c r="AB1500" s="314" t="str">
        <f t="shared" ca="1" si="95"/>
        <v/>
      </c>
      <c r="AC1500" s="322"/>
      <c r="AD1500" s="315"/>
      <c r="AE1500" s="32" t="str" cm="1">
        <f t="array" ref="AE1500">IFERROR(IF(INDEX(SubsidieTabel!$AD$1:$AG$12,MATCH($F1500,SubsidieTabel!$AD$1:$AD$12,0),IFERROR(MATCH(Methode_Keuze,SubsidieTabel!$AD$1:$AG$1,0),2))&lt;&gt;1=TRUE,"ja",""),"")</f>
        <v/>
      </c>
    </row>
    <row r="1501" spans="1:31" x14ac:dyDescent="0.25">
      <c r="A1501" s="316"/>
      <c r="B1501" s="317" t="str">
        <f>IF(A1501&lt;&gt;"",_xlfn.MAXIFS($B$1:B1500,$A$1:A1500,A1501)+1,"")</f>
        <v/>
      </c>
      <c r="C1501" s="296"/>
      <c r="D1501" s="296"/>
      <c r="E1501" s="296"/>
      <c r="F1501" s="296"/>
      <c r="G1501" s="326"/>
      <c r="H1501" s="324"/>
      <c r="I1501" s="325"/>
      <c r="J1501" s="325"/>
      <c r="K1501" s="318"/>
      <c r="L1501" s="318"/>
      <c r="M1501" s="319" t="str">
        <f>IFERROR(VLOOKUP(H1501,Lijsten!$H$1:$I$100,2,0),"")</f>
        <v/>
      </c>
      <c r="N1501" s="319" t="str">
        <f ca="1">IFERROR(IF(VLOOKUP(F1501,Kostentypen!$A$3:$E$21,3,0)=0,"",IF(OR(F1501="Arbeidskosten",F1501="Vergoeding"),VLOOKUP(G1501,Tb_KostenTypen[],2,0),VLOOKUP(F1501,Kostentypen!$A$3:$E$20,3,0))),"")</f>
        <v/>
      </c>
      <c r="O1501" s="320" t="str" cm="1">
        <f t="array" ref="O1501">_xlfn.IFNA(IF(INDEX(Tb_KostenOptiesDB[],MATCH($F1501,Tb_KostenOptiesDB[KostenOptie],0),IFERROR(MATCH(Methode_Keuze,Tb_KostenOptiesDB[#Headers],0),2))=1,_xlfn.SWITCH($N1501,"Uurtarief",IF(OR(AND(RIGHT($F1501,3)="IKS",VLOOKUP($M1501,DB_Loonkosten,2,0)="Ja"),AND(RIGHT($F1501,3)&lt;&gt;"IKS",VLOOKUP($M1501,DB_Loonkosten,2,0)="Nee")),IFERROR(VLOOKUP($M1501,DB_Loonkosten,24,0),""),0),"Vast tarief",IF(LEFT(F1501,8)="Bijdrage",VLOOKUP($F1501,Tb_KostenTypen[],MATCH(Lijsten!$P$1,Tb_KostenTypen[#Headers],0),0),VLOOKUP($G1501,Lijsten!L:P,MATCH(Lijsten!$P$1,Kop_Tarief_Vast,0),0))),""),"")</f>
        <v/>
      </c>
      <c r="P1501" s="320" t="str" cm="1">
        <f t="array" ref="P1501">_xlfn.IFNA(IF(INDEX(Tb_KostenOptiesDB[],MATCH($F1501,Tb_KostenOptiesDB[KostenOptie],0),IFERROR(MATCH(Methode_Keuze,Tb_KostenOptiesDB[#Headers],0),2))=1,_xlfn.SWITCH($N1501,"Uurtarief",IF(OR(AND(RIGHT($F1501,3)="IKS",VLOOKUP($M1501,DB_Loonkosten,2,0)="Ja"),AND(RIGHT($F1501,3)&lt;&gt;"IKS",VLOOKUP($M1501,DB_Loonkosten,2,0)="Nee")),IFERROR(VLOOKUP($M1501,DB_Loonkosten,25,0),""),0),"Vast tarief",IF(LEFT(F1501,8)="Bijdrage",VLOOKUP($F1501,Tb_KostenTypen[],MATCH(Lijsten!$P$1,Tb_KostenTypen[#Headers],0),0),VLOOKUP($G1501,Lijsten!L:P,MATCH(Lijsten!$P$1,Kop_Tarief_Vast,0),0))),""),"")</f>
        <v/>
      </c>
      <c r="Q1501" s="359"/>
      <c r="R1501" s="359"/>
      <c r="S1501" s="321"/>
      <c r="T1501" s="321"/>
      <c r="U1501" s="373" t="str">
        <f t="shared" si="92"/>
        <v/>
      </c>
      <c r="V1501" s="314" t="str">
        <f t="shared" si="93"/>
        <v/>
      </c>
      <c r="W1501" s="314" t="str" cm="1">
        <f t="array" aca="1" ref="W1501" ca="1">IFERROR(IF(AE1501&lt;&gt;"ja",_xlfn.IFNA(_xlfn.IFS(AND(O1501&lt;&gt;"",F1501&lt;&gt;"",RIGHT($N1501,6)="tarief",F1501="Vergoeding"),SUM(O1501)*FLOOR(SUM(Q1501),0.0001),AND(O1501&lt;&gt;"",F1501&lt;&gt;"",RIGHT($N1501,6)="tarief"),SUM(O1501)*FLOOR(SUM(Q1501),0.01),S1501&gt;0,IF(F1501&lt;&gt;"",FLOOR(SUM(S1501),0.01),"")),""),""),"")</f>
        <v/>
      </c>
      <c r="X1501" s="314" t="str" cm="1">
        <f t="array" aca="1" ref="X1501" ca="1">IFERROR(IF(AE1501&lt;&gt;"ja",_xlfn.IFNA(_xlfn.IFS(AND(P1501&lt;&gt;"",R1501&lt;&gt;"",RIGHT($N1501,6)="tarief",F1501="Vergoeding"),SUM(P1501)*FLOOR(SUM(R1501),0.0001),AND(P1501&lt;&gt;"",R1501&lt;&gt;"",RIGHT($N1501,6)="tarief"),P1501*FLOOR(R1501,0.01),T1501&gt;0,FLOOR(SUM(T1501),0.01)),""),""),"")</f>
        <v/>
      </c>
      <c r="Y1501" s="314" t="str">
        <f t="shared" ca="1" si="94"/>
        <v/>
      </c>
      <c r="Z1501" s="314" t="str" cm="1">
        <f t="array" aca="1" ref="Z1501" ca="1">IFERROR(_xlfn.IFS(OR(F1501="",LEFT(Methode_Keuze,4)="Geen",Methode_Keuze=""),"",AND(W1501&lt;&gt;"",F1501&lt;&gt;"Arbeidskosten"),W1501*VLOOKUP(F1501,Tb_ProjectKosten[],MATCH(Tb_ProjectKosten[[#Headers],[Forfait_Percentage]],Tb_ProjectKosten[#Headers],0),0),AND(F1501="Arbeidskosten",G1501&lt;&gt;""),IFERROR(W1501*VLOOKUP(G1501,Tb_KostenTypen[],3,0)*VLOOKUP(F1501,Tb_ProjectKosten[],MATCH(Tb_ProjectKosten[[#Headers],[Forfait_Percentage]],Tb_ProjectKosten[#Headers],0),0),""),W1501 &lt;=0,0),"")</f>
        <v/>
      </c>
      <c r="AA1501" s="314" t="str" cm="1">
        <f t="array" aca="1" ref="AA1501" ca="1">IFERROR(_xlfn.IFS(OR(F1501="",LEFT(Methode_Keuze,4)="Geen",Methode_Keuze=""),"",AND(X1501&lt;&gt;"",F1501&lt;&gt;"Arbeidskosten"),X1501*VLOOKUP(F1501,Tb_ProjectKosten[],MATCH(Tb_ProjectKosten[[#Headers],[Forfait_Percentage]],Tb_ProjectKosten[#Headers],0),0),AND(F1501="Arbeidskosten",G1501&lt;&gt;""),IFERROR(X1501*VLOOKUP(G1501,Tb_KostenTypen[],3,0)*VLOOKUP(F1501,Tb_ProjectKosten[],MATCH(Tb_ProjectKosten[[#Headers],[Forfait_Percentage]],Tb_ProjectKosten[#Headers],0),0),""),X1501 &lt;=0,0),"")</f>
        <v/>
      </c>
      <c r="AB1501" s="314" t="str">
        <f t="shared" ca="1" si="95"/>
        <v/>
      </c>
      <c r="AC1501" s="322"/>
      <c r="AD1501" s="315"/>
      <c r="AE1501" s="32" t="str" cm="1">
        <f t="array" ref="AE1501">IFERROR(IF(INDEX(SubsidieTabel!$AD$1:$AG$12,MATCH($F1501,SubsidieTabel!$AD$1:$AD$12,0),IFERROR(MATCH(Methode_Keuze,SubsidieTabel!$AD$1:$AG$1,0),2))&lt;&gt;1=TRUE,"ja",""),"")</f>
        <v/>
      </c>
    </row>
    <row r="1502" spans="1:31" x14ac:dyDescent="0.25">
      <c r="A1502" s="316"/>
      <c r="B1502" s="317" t="str">
        <f>IF(A1502&lt;&gt;"",_xlfn.MAXIFS($B$1:B1501,$A$1:A1501,A1502)+1,"")</f>
        <v/>
      </c>
      <c r="C1502" s="296"/>
      <c r="D1502" s="296"/>
      <c r="E1502" s="296"/>
      <c r="F1502" s="296"/>
      <c r="G1502" s="326"/>
      <c r="H1502" s="324"/>
      <c r="I1502" s="325"/>
      <c r="J1502" s="325"/>
      <c r="K1502" s="318"/>
      <c r="L1502" s="318"/>
      <c r="M1502" s="319" t="str">
        <f>IFERROR(VLOOKUP(H1502,Lijsten!$H$1:$I$100,2,0),"")</f>
        <v/>
      </c>
      <c r="N1502" s="319" t="str">
        <f ca="1">IFERROR(IF(VLOOKUP(F1502,Kostentypen!$A$3:$E$21,3,0)=0,"",IF(OR(F1502="Arbeidskosten",F1502="Vergoeding"),VLOOKUP(G1502,Tb_KostenTypen[],2,0),VLOOKUP(F1502,Kostentypen!$A$3:$E$20,3,0))),"")</f>
        <v/>
      </c>
      <c r="O1502" s="320" t="str" cm="1">
        <f t="array" ref="O1502">_xlfn.IFNA(IF(INDEX(Tb_KostenOptiesDB[],MATCH($F1502,Tb_KostenOptiesDB[KostenOptie],0),IFERROR(MATCH(Methode_Keuze,Tb_KostenOptiesDB[#Headers],0),2))=1,_xlfn.SWITCH($N1502,"Uurtarief",IF(OR(AND(RIGHT($F1502,3)="IKS",VLOOKUP($M1502,DB_Loonkosten,2,0)="Ja"),AND(RIGHT($F1502,3)&lt;&gt;"IKS",VLOOKUP($M1502,DB_Loonkosten,2,0)="Nee")),IFERROR(VLOOKUP($M1502,DB_Loonkosten,24,0),""),0),"Vast tarief",IF(LEFT(F1502,8)="Bijdrage",VLOOKUP($F1502,Tb_KostenTypen[],MATCH(Lijsten!$P$1,Tb_KostenTypen[#Headers],0),0),VLOOKUP($G1502,Lijsten!L:P,MATCH(Lijsten!$P$1,Kop_Tarief_Vast,0),0))),""),"")</f>
        <v/>
      </c>
      <c r="P1502" s="320" t="str" cm="1">
        <f t="array" ref="P1502">_xlfn.IFNA(IF(INDEX(Tb_KostenOptiesDB[],MATCH($F1502,Tb_KostenOptiesDB[KostenOptie],0),IFERROR(MATCH(Methode_Keuze,Tb_KostenOptiesDB[#Headers],0),2))=1,_xlfn.SWITCH($N1502,"Uurtarief",IF(OR(AND(RIGHT($F1502,3)="IKS",VLOOKUP($M1502,DB_Loonkosten,2,0)="Ja"),AND(RIGHT($F1502,3)&lt;&gt;"IKS",VLOOKUP($M1502,DB_Loonkosten,2,0)="Nee")),IFERROR(VLOOKUP($M1502,DB_Loonkosten,25,0),""),0),"Vast tarief",IF(LEFT(F1502,8)="Bijdrage",VLOOKUP($F1502,Tb_KostenTypen[],MATCH(Lijsten!$P$1,Tb_KostenTypen[#Headers],0),0),VLOOKUP($G1502,Lijsten!L:P,MATCH(Lijsten!$P$1,Kop_Tarief_Vast,0),0))),""),"")</f>
        <v/>
      </c>
      <c r="Q1502" s="359"/>
      <c r="R1502" s="359"/>
      <c r="S1502" s="321"/>
      <c r="T1502" s="321"/>
      <c r="U1502" s="373" t="str">
        <f t="shared" si="92"/>
        <v/>
      </c>
      <c r="V1502" s="314" t="str">
        <f t="shared" si="93"/>
        <v/>
      </c>
      <c r="W1502" s="314" t="str" cm="1">
        <f t="array" aca="1" ref="W1502" ca="1">IFERROR(IF(AE1502&lt;&gt;"ja",_xlfn.IFNA(_xlfn.IFS(AND(O1502&lt;&gt;"",F1502&lt;&gt;"",RIGHT($N1502,6)="tarief",F1502="Vergoeding"),SUM(O1502)*FLOOR(SUM(Q1502),0.0001),AND(O1502&lt;&gt;"",F1502&lt;&gt;"",RIGHT($N1502,6)="tarief"),SUM(O1502)*FLOOR(SUM(Q1502),0.01),S1502&gt;0,IF(F1502&lt;&gt;"",FLOOR(SUM(S1502),0.01),"")),""),""),"")</f>
        <v/>
      </c>
      <c r="X1502" s="314" t="str" cm="1">
        <f t="array" aca="1" ref="X1502" ca="1">IFERROR(IF(AE1502&lt;&gt;"ja",_xlfn.IFNA(_xlfn.IFS(AND(P1502&lt;&gt;"",R1502&lt;&gt;"",RIGHT($N1502,6)="tarief",F1502="Vergoeding"),SUM(P1502)*FLOOR(SUM(R1502),0.0001),AND(P1502&lt;&gt;"",R1502&lt;&gt;"",RIGHT($N1502,6)="tarief"),P1502*FLOOR(R1502,0.01),T1502&gt;0,FLOOR(SUM(T1502),0.01)),""),""),"")</f>
        <v/>
      </c>
      <c r="Y1502" s="314" t="str">
        <f t="shared" ca="1" si="94"/>
        <v/>
      </c>
      <c r="Z1502" s="314" t="str" cm="1">
        <f t="array" aca="1" ref="Z1502" ca="1">IFERROR(_xlfn.IFS(OR(F1502="",LEFT(Methode_Keuze,4)="Geen",Methode_Keuze=""),"",AND(W1502&lt;&gt;"",F1502&lt;&gt;"Arbeidskosten"),W1502*VLOOKUP(F1502,Tb_ProjectKosten[],MATCH(Tb_ProjectKosten[[#Headers],[Forfait_Percentage]],Tb_ProjectKosten[#Headers],0),0),AND(F1502="Arbeidskosten",G1502&lt;&gt;""),IFERROR(W1502*VLOOKUP(G1502,Tb_KostenTypen[],3,0)*VLOOKUP(F1502,Tb_ProjectKosten[],MATCH(Tb_ProjectKosten[[#Headers],[Forfait_Percentage]],Tb_ProjectKosten[#Headers],0),0),""),W1502 &lt;=0,0),"")</f>
        <v/>
      </c>
      <c r="AA1502" s="314" t="str" cm="1">
        <f t="array" aca="1" ref="AA1502" ca="1">IFERROR(_xlfn.IFS(OR(F1502="",LEFT(Methode_Keuze,4)="Geen",Methode_Keuze=""),"",AND(X1502&lt;&gt;"",F1502&lt;&gt;"Arbeidskosten"),X1502*VLOOKUP(F1502,Tb_ProjectKosten[],MATCH(Tb_ProjectKosten[[#Headers],[Forfait_Percentage]],Tb_ProjectKosten[#Headers],0),0),AND(F1502="Arbeidskosten",G1502&lt;&gt;""),IFERROR(X1502*VLOOKUP(G1502,Tb_KostenTypen[],3,0)*VLOOKUP(F1502,Tb_ProjectKosten[],MATCH(Tb_ProjectKosten[[#Headers],[Forfait_Percentage]],Tb_ProjectKosten[#Headers],0),0),""),X1502 &lt;=0,0),"")</f>
        <v/>
      </c>
      <c r="AB1502" s="314" t="str">
        <f t="shared" ca="1" si="95"/>
        <v/>
      </c>
      <c r="AC1502" s="322"/>
      <c r="AD1502" s="315"/>
      <c r="AE1502" s="32" t="str" cm="1">
        <f t="array" ref="AE1502">IFERROR(IF(INDEX(SubsidieTabel!$AD$1:$AG$12,MATCH($F1502,SubsidieTabel!$AD$1:$AD$12,0),IFERROR(MATCH(Methode_Keuze,SubsidieTabel!$AD$1:$AG$1,0),2))&lt;&gt;1=TRUE,"ja",""),"")</f>
        <v/>
      </c>
    </row>
    <row r="1503" spans="1:31" x14ac:dyDescent="0.25">
      <c r="A1503" s="316"/>
      <c r="B1503" s="317" t="str">
        <f>IF(A1503&lt;&gt;"",_xlfn.MAXIFS($B$1:B1502,$A$1:A1502,A1503)+1,"")</f>
        <v/>
      </c>
      <c r="C1503" s="296"/>
      <c r="D1503" s="296"/>
      <c r="E1503" s="296"/>
      <c r="F1503" s="296"/>
      <c r="G1503" s="326"/>
      <c r="H1503" s="324"/>
      <c r="I1503" s="325"/>
      <c r="J1503" s="325"/>
      <c r="K1503" s="318"/>
      <c r="L1503" s="318"/>
      <c r="M1503" s="319" t="str">
        <f>IFERROR(VLOOKUP(H1503,Lijsten!$H$1:$I$100,2,0),"")</f>
        <v/>
      </c>
      <c r="N1503" s="319" t="str">
        <f ca="1">IFERROR(IF(VLOOKUP(F1503,Kostentypen!$A$3:$E$21,3,0)=0,"",IF(OR(F1503="Arbeidskosten",F1503="Vergoeding"),VLOOKUP(G1503,Tb_KostenTypen[],2,0),VLOOKUP(F1503,Kostentypen!$A$3:$E$20,3,0))),"")</f>
        <v/>
      </c>
      <c r="O1503" s="320" t="str" cm="1">
        <f t="array" ref="O1503">_xlfn.IFNA(IF(INDEX(Tb_KostenOptiesDB[],MATCH($F1503,Tb_KostenOptiesDB[KostenOptie],0),IFERROR(MATCH(Methode_Keuze,Tb_KostenOptiesDB[#Headers],0),2))=1,_xlfn.SWITCH($N1503,"Uurtarief",IF(OR(AND(RIGHT($F1503,3)="IKS",VLOOKUP($M1503,DB_Loonkosten,2,0)="Ja"),AND(RIGHT($F1503,3)&lt;&gt;"IKS",VLOOKUP($M1503,DB_Loonkosten,2,0)="Nee")),IFERROR(VLOOKUP($M1503,DB_Loonkosten,24,0),""),0),"Vast tarief",IF(LEFT(F1503,8)="Bijdrage",VLOOKUP($F1503,Tb_KostenTypen[],MATCH(Lijsten!$P$1,Tb_KostenTypen[#Headers],0),0),VLOOKUP($G1503,Lijsten!L:P,MATCH(Lijsten!$P$1,Kop_Tarief_Vast,0),0))),""),"")</f>
        <v/>
      </c>
      <c r="P1503" s="320" t="str" cm="1">
        <f t="array" ref="P1503">_xlfn.IFNA(IF(INDEX(Tb_KostenOptiesDB[],MATCH($F1503,Tb_KostenOptiesDB[KostenOptie],0),IFERROR(MATCH(Methode_Keuze,Tb_KostenOptiesDB[#Headers],0),2))=1,_xlfn.SWITCH($N1503,"Uurtarief",IF(OR(AND(RIGHT($F1503,3)="IKS",VLOOKUP($M1503,DB_Loonkosten,2,0)="Ja"),AND(RIGHT($F1503,3)&lt;&gt;"IKS",VLOOKUP($M1503,DB_Loonkosten,2,0)="Nee")),IFERROR(VLOOKUP($M1503,DB_Loonkosten,25,0),""),0),"Vast tarief",IF(LEFT(F1503,8)="Bijdrage",VLOOKUP($F1503,Tb_KostenTypen[],MATCH(Lijsten!$P$1,Tb_KostenTypen[#Headers],0),0),VLOOKUP($G1503,Lijsten!L:P,MATCH(Lijsten!$P$1,Kop_Tarief_Vast,0),0))),""),"")</f>
        <v/>
      </c>
      <c r="Q1503" s="359"/>
      <c r="R1503" s="359"/>
      <c r="S1503" s="321"/>
      <c r="T1503" s="321"/>
      <c r="U1503" s="373" t="str">
        <f t="shared" si="92"/>
        <v/>
      </c>
      <c r="V1503" s="314" t="str">
        <f t="shared" si="93"/>
        <v/>
      </c>
      <c r="W1503" s="314" t="str" cm="1">
        <f t="array" aca="1" ref="W1503" ca="1">IFERROR(IF(AE1503&lt;&gt;"ja",_xlfn.IFNA(_xlfn.IFS(AND(O1503&lt;&gt;"",F1503&lt;&gt;"",RIGHT($N1503,6)="tarief",F1503="Vergoeding"),SUM(O1503)*FLOOR(SUM(Q1503),0.0001),AND(O1503&lt;&gt;"",F1503&lt;&gt;"",RIGHT($N1503,6)="tarief"),SUM(O1503)*FLOOR(SUM(Q1503),0.01),S1503&gt;0,IF(F1503&lt;&gt;"",FLOOR(SUM(S1503),0.01),"")),""),""),"")</f>
        <v/>
      </c>
      <c r="X1503" s="314" t="str" cm="1">
        <f t="array" aca="1" ref="X1503" ca="1">IFERROR(IF(AE1503&lt;&gt;"ja",_xlfn.IFNA(_xlfn.IFS(AND(P1503&lt;&gt;"",R1503&lt;&gt;"",RIGHT($N1503,6)="tarief",F1503="Vergoeding"),SUM(P1503)*FLOOR(SUM(R1503),0.0001),AND(P1503&lt;&gt;"",R1503&lt;&gt;"",RIGHT($N1503,6)="tarief"),P1503*FLOOR(R1503,0.01),T1503&gt;0,FLOOR(SUM(T1503),0.01)),""),""),"")</f>
        <v/>
      </c>
      <c r="Y1503" s="314" t="str">
        <f t="shared" ca="1" si="94"/>
        <v/>
      </c>
      <c r="Z1503" s="314" t="str" cm="1">
        <f t="array" aca="1" ref="Z1503" ca="1">IFERROR(_xlfn.IFS(OR(F1503="",LEFT(Methode_Keuze,4)="Geen",Methode_Keuze=""),"",AND(W1503&lt;&gt;"",F1503&lt;&gt;"Arbeidskosten"),W1503*VLOOKUP(F1503,Tb_ProjectKosten[],MATCH(Tb_ProjectKosten[[#Headers],[Forfait_Percentage]],Tb_ProjectKosten[#Headers],0),0),AND(F1503="Arbeidskosten",G1503&lt;&gt;""),IFERROR(W1503*VLOOKUP(G1503,Tb_KostenTypen[],3,0)*VLOOKUP(F1503,Tb_ProjectKosten[],MATCH(Tb_ProjectKosten[[#Headers],[Forfait_Percentage]],Tb_ProjectKosten[#Headers],0),0),""),W1503 &lt;=0,0),"")</f>
        <v/>
      </c>
      <c r="AA1503" s="314" t="str" cm="1">
        <f t="array" aca="1" ref="AA1503" ca="1">IFERROR(_xlfn.IFS(OR(F1503="",LEFT(Methode_Keuze,4)="Geen",Methode_Keuze=""),"",AND(X1503&lt;&gt;"",F1503&lt;&gt;"Arbeidskosten"),X1503*VLOOKUP(F1503,Tb_ProjectKosten[],MATCH(Tb_ProjectKosten[[#Headers],[Forfait_Percentage]],Tb_ProjectKosten[#Headers],0),0),AND(F1503="Arbeidskosten",G1503&lt;&gt;""),IFERROR(X1503*VLOOKUP(G1503,Tb_KostenTypen[],3,0)*VLOOKUP(F1503,Tb_ProjectKosten[],MATCH(Tb_ProjectKosten[[#Headers],[Forfait_Percentage]],Tb_ProjectKosten[#Headers],0),0),""),X1503 &lt;=0,0),"")</f>
        <v/>
      </c>
      <c r="AB1503" s="314" t="str">
        <f t="shared" ca="1" si="95"/>
        <v/>
      </c>
      <c r="AC1503" s="322"/>
      <c r="AD1503" s="315"/>
      <c r="AE1503" s="32" t="str" cm="1">
        <f t="array" ref="AE1503">IFERROR(IF(INDEX(SubsidieTabel!$AD$1:$AG$12,MATCH($F1503,SubsidieTabel!$AD$1:$AD$12,0),IFERROR(MATCH(Methode_Keuze,SubsidieTabel!$AD$1:$AG$1,0),2))&lt;&gt;1=TRUE,"ja",""),"")</f>
        <v/>
      </c>
    </row>
    <row r="1504" spans="1:31" x14ac:dyDescent="0.25">
      <c r="A1504" s="316"/>
      <c r="B1504" s="317" t="str">
        <f>IF(A1504&lt;&gt;"",_xlfn.MAXIFS($B$1:B1503,$A$1:A1503,A1504)+1,"")</f>
        <v/>
      </c>
      <c r="C1504" s="296"/>
      <c r="D1504" s="296"/>
      <c r="E1504" s="296"/>
      <c r="F1504" s="296"/>
      <c r="G1504" s="326"/>
      <c r="H1504" s="324"/>
      <c r="I1504" s="325"/>
      <c r="J1504" s="325"/>
      <c r="K1504" s="318"/>
      <c r="L1504" s="318"/>
      <c r="M1504" s="319" t="str">
        <f>IFERROR(VLOOKUP(H1504,Lijsten!$H$1:$I$100,2,0),"")</f>
        <v/>
      </c>
      <c r="N1504" s="319" t="str">
        <f ca="1">IFERROR(IF(VLOOKUP(F1504,Kostentypen!$A$3:$E$21,3,0)=0,"",IF(OR(F1504="Arbeidskosten",F1504="Vergoeding"),VLOOKUP(G1504,Tb_KostenTypen[],2,0),VLOOKUP(F1504,Kostentypen!$A$3:$E$20,3,0))),"")</f>
        <v/>
      </c>
      <c r="O1504" s="320" t="str" cm="1">
        <f t="array" ref="O1504">_xlfn.IFNA(IF(INDEX(Tb_KostenOptiesDB[],MATCH($F1504,Tb_KostenOptiesDB[KostenOptie],0),IFERROR(MATCH(Methode_Keuze,Tb_KostenOptiesDB[#Headers],0),2))=1,_xlfn.SWITCH($N1504,"Uurtarief",IF(OR(AND(RIGHT($F1504,3)="IKS",VLOOKUP($M1504,DB_Loonkosten,2,0)="Ja"),AND(RIGHT($F1504,3)&lt;&gt;"IKS",VLOOKUP($M1504,DB_Loonkosten,2,0)="Nee")),IFERROR(VLOOKUP($M1504,DB_Loonkosten,24,0),""),0),"Vast tarief",IF(LEFT(F1504,8)="Bijdrage",VLOOKUP($F1504,Tb_KostenTypen[],MATCH(Lijsten!$P$1,Tb_KostenTypen[#Headers],0),0),VLOOKUP($G1504,Lijsten!L:P,MATCH(Lijsten!$P$1,Kop_Tarief_Vast,0),0))),""),"")</f>
        <v/>
      </c>
      <c r="P1504" s="320" t="str" cm="1">
        <f t="array" ref="P1504">_xlfn.IFNA(IF(INDEX(Tb_KostenOptiesDB[],MATCH($F1504,Tb_KostenOptiesDB[KostenOptie],0),IFERROR(MATCH(Methode_Keuze,Tb_KostenOptiesDB[#Headers],0),2))=1,_xlfn.SWITCH($N1504,"Uurtarief",IF(OR(AND(RIGHT($F1504,3)="IKS",VLOOKUP($M1504,DB_Loonkosten,2,0)="Ja"),AND(RIGHT($F1504,3)&lt;&gt;"IKS",VLOOKUP($M1504,DB_Loonkosten,2,0)="Nee")),IFERROR(VLOOKUP($M1504,DB_Loonkosten,25,0),""),0),"Vast tarief",IF(LEFT(F1504,8)="Bijdrage",VLOOKUP($F1504,Tb_KostenTypen[],MATCH(Lijsten!$P$1,Tb_KostenTypen[#Headers],0),0),VLOOKUP($G1504,Lijsten!L:P,MATCH(Lijsten!$P$1,Kop_Tarief_Vast,0),0))),""),"")</f>
        <v/>
      </c>
      <c r="Q1504" s="359"/>
      <c r="R1504" s="359"/>
      <c r="S1504" s="321"/>
      <c r="T1504" s="321"/>
      <c r="U1504" s="373" t="str">
        <f t="shared" si="92"/>
        <v/>
      </c>
      <c r="V1504" s="314" t="str">
        <f t="shared" si="93"/>
        <v/>
      </c>
      <c r="W1504" s="314" t="str" cm="1">
        <f t="array" aca="1" ref="W1504" ca="1">IFERROR(IF(AE1504&lt;&gt;"ja",_xlfn.IFNA(_xlfn.IFS(AND(O1504&lt;&gt;"",F1504&lt;&gt;"",RIGHT($N1504,6)="tarief",F1504="Vergoeding"),SUM(O1504)*FLOOR(SUM(Q1504),0.0001),AND(O1504&lt;&gt;"",F1504&lt;&gt;"",RIGHT($N1504,6)="tarief"),SUM(O1504)*FLOOR(SUM(Q1504),0.01),S1504&gt;0,IF(F1504&lt;&gt;"",FLOOR(SUM(S1504),0.01),"")),""),""),"")</f>
        <v/>
      </c>
      <c r="X1504" s="314" t="str" cm="1">
        <f t="array" aca="1" ref="X1504" ca="1">IFERROR(IF(AE1504&lt;&gt;"ja",_xlfn.IFNA(_xlfn.IFS(AND(P1504&lt;&gt;"",R1504&lt;&gt;"",RIGHT($N1504,6)="tarief",F1504="Vergoeding"),SUM(P1504)*FLOOR(SUM(R1504),0.0001),AND(P1504&lt;&gt;"",R1504&lt;&gt;"",RIGHT($N1504,6)="tarief"),P1504*FLOOR(R1504,0.01),T1504&gt;0,FLOOR(SUM(T1504),0.01)),""),""),"")</f>
        <v/>
      </c>
      <c r="Y1504" s="314" t="str">
        <f t="shared" ca="1" si="94"/>
        <v/>
      </c>
      <c r="Z1504" s="314" t="str" cm="1">
        <f t="array" aca="1" ref="Z1504" ca="1">IFERROR(_xlfn.IFS(OR(F1504="",LEFT(Methode_Keuze,4)="Geen",Methode_Keuze=""),"",AND(W1504&lt;&gt;"",F1504&lt;&gt;"Arbeidskosten"),W1504*VLOOKUP(F1504,Tb_ProjectKosten[],MATCH(Tb_ProjectKosten[[#Headers],[Forfait_Percentage]],Tb_ProjectKosten[#Headers],0),0),AND(F1504="Arbeidskosten",G1504&lt;&gt;""),IFERROR(W1504*VLOOKUP(G1504,Tb_KostenTypen[],3,0)*VLOOKUP(F1504,Tb_ProjectKosten[],MATCH(Tb_ProjectKosten[[#Headers],[Forfait_Percentage]],Tb_ProjectKosten[#Headers],0),0),""),W1504 &lt;=0,0),"")</f>
        <v/>
      </c>
      <c r="AA1504" s="314" t="str" cm="1">
        <f t="array" aca="1" ref="AA1504" ca="1">IFERROR(_xlfn.IFS(OR(F1504="",LEFT(Methode_Keuze,4)="Geen",Methode_Keuze=""),"",AND(X1504&lt;&gt;"",F1504&lt;&gt;"Arbeidskosten"),X1504*VLOOKUP(F1504,Tb_ProjectKosten[],MATCH(Tb_ProjectKosten[[#Headers],[Forfait_Percentage]],Tb_ProjectKosten[#Headers],0),0),AND(F1504="Arbeidskosten",G1504&lt;&gt;""),IFERROR(X1504*VLOOKUP(G1504,Tb_KostenTypen[],3,0)*VLOOKUP(F1504,Tb_ProjectKosten[],MATCH(Tb_ProjectKosten[[#Headers],[Forfait_Percentage]],Tb_ProjectKosten[#Headers],0),0),""),X1504 &lt;=0,0),"")</f>
        <v/>
      </c>
      <c r="AB1504" s="314" t="str">
        <f t="shared" ca="1" si="95"/>
        <v/>
      </c>
      <c r="AC1504" s="322"/>
      <c r="AD1504" s="315"/>
      <c r="AE1504" s="32" t="str" cm="1">
        <f t="array" ref="AE1504">IFERROR(IF(INDEX(SubsidieTabel!$AD$1:$AG$12,MATCH($F1504,SubsidieTabel!$AD$1:$AD$12,0),IFERROR(MATCH(Methode_Keuze,SubsidieTabel!$AD$1:$AG$1,0),2))&lt;&gt;1=TRUE,"ja",""),"")</f>
        <v/>
      </c>
    </row>
    <row r="1505" spans="1:31" x14ac:dyDescent="0.25">
      <c r="A1505" s="316"/>
      <c r="B1505" s="317" t="str">
        <f>IF(A1505&lt;&gt;"",_xlfn.MAXIFS($B$1:B1504,$A$1:A1504,A1505)+1,"")</f>
        <v/>
      </c>
      <c r="C1505" s="296"/>
      <c r="D1505" s="296"/>
      <c r="E1505" s="296"/>
      <c r="F1505" s="296"/>
      <c r="G1505" s="326"/>
      <c r="H1505" s="324"/>
      <c r="I1505" s="325"/>
      <c r="J1505" s="325"/>
      <c r="K1505" s="318"/>
      <c r="L1505" s="318"/>
      <c r="M1505" s="319" t="str">
        <f>IFERROR(VLOOKUP(H1505,Lijsten!$H$1:$I$100,2,0),"")</f>
        <v/>
      </c>
      <c r="N1505" s="319" t="str">
        <f ca="1">IFERROR(IF(VLOOKUP(F1505,Kostentypen!$A$3:$E$21,3,0)=0,"",IF(OR(F1505="Arbeidskosten",F1505="Vergoeding"),VLOOKUP(G1505,Tb_KostenTypen[],2,0),VLOOKUP(F1505,Kostentypen!$A$3:$E$20,3,0))),"")</f>
        <v/>
      </c>
      <c r="O1505" s="320" t="str" cm="1">
        <f t="array" ref="O1505">_xlfn.IFNA(IF(INDEX(Tb_KostenOptiesDB[],MATCH($F1505,Tb_KostenOptiesDB[KostenOptie],0),IFERROR(MATCH(Methode_Keuze,Tb_KostenOptiesDB[#Headers],0),2))=1,_xlfn.SWITCH($N1505,"Uurtarief",IF(OR(AND(RIGHT($F1505,3)="IKS",VLOOKUP($M1505,DB_Loonkosten,2,0)="Ja"),AND(RIGHT($F1505,3)&lt;&gt;"IKS",VLOOKUP($M1505,DB_Loonkosten,2,0)="Nee")),IFERROR(VLOOKUP($M1505,DB_Loonkosten,24,0),""),0),"Vast tarief",IF(LEFT(F1505,8)="Bijdrage",VLOOKUP($F1505,Tb_KostenTypen[],MATCH(Lijsten!$P$1,Tb_KostenTypen[#Headers],0),0),VLOOKUP($G1505,Lijsten!L:P,MATCH(Lijsten!$P$1,Kop_Tarief_Vast,0),0))),""),"")</f>
        <v/>
      </c>
      <c r="P1505" s="320" t="str" cm="1">
        <f t="array" ref="P1505">_xlfn.IFNA(IF(INDEX(Tb_KostenOptiesDB[],MATCH($F1505,Tb_KostenOptiesDB[KostenOptie],0),IFERROR(MATCH(Methode_Keuze,Tb_KostenOptiesDB[#Headers],0),2))=1,_xlfn.SWITCH($N1505,"Uurtarief",IF(OR(AND(RIGHT($F1505,3)="IKS",VLOOKUP($M1505,DB_Loonkosten,2,0)="Ja"),AND(RIGHT($F1505,3)&lt;&gt;"IKS",VLOOKUP($M1505,DB_Loonkosten,2,0)="Nee")),IFERROR(VLOOKUP($M1505,DB_Loonkosten,25,0),""),0),"Vast tarief",IF(LEFT(F1505,8)="Bijdrage",VLOOKUP($F1505,Tb_KostenTypen[],MATCH(Lijsten!$P$1,Tb_KostenTypen[#Headers],0),0),VLOOKUP($G1505,Lijsten!L:P,MATCH(Lijsten!$P$1,Kop_Tarief_Vast,0),0))),""),"")</f>
        <v/>
      </c>
      <c r="Q1505" s="359"/>
      <c r="R1505" s="359"/>
      <c r="S1505" s="321"/>
      <c r="T1505" s="321"/>
      <c r="U1505" s="373" t="str">
        <f t="shared" si="92"/>
        <v/>
      </c>
      <c r="V1505" s="314" t="str">
        <f t="shared" si="93"/>
        <v/>
      </c>
      <c r="W1505" s="314" t="str" cm="1">
        <f t="array" aca="1" ref="W1505" ca="1">IFERROR(IF(AE1505&lt;&gt;"ja",_xlfn.IFNA(_xlfn.IFS(AND(O1505&lt;&gt;"",F1505&lt;&gt;"",RIGHT($N1505,6)="tarief",F1505="Vergoeding"),SUM(O1505)*FLOOR(SUM(Q1505),0.0001),AND(O1505&lt;&gt;"",F1505&lt;&gt;"",RIGHT($N1505,6)="tarief"),SUM(O1505)*FLOOR(SUM(Q1505),0.01),S1505&gt;0,IF(F1505&lt;&gt;"",FLOOR(SUM(S1505),0.01),"")),""),""),"")</f>
        <v/>
      </c>
      <c r="X1505" s="314" t="str" cm="1">
        <f t="array" aca="1" ref="X1505" ca="1">IFERROR(IF(AE1505&lt;&gt;"ja",_xlfn.IFNA(_xlfn.IFS(AND(P1505&lt;&gt;"",R1505&lt;&gt;"",RIGHT($N1505,6)="tarief",F1505="Vergoeding"),SUM(P1505)*FLOOR(SUM(R1505),0.0001),AND(P1505&lt;&gt;"",R1505&lt;&gt;"",RIGHT($N1505,6)="tarief"),P1505*FLOOR(R1505,0.01),T1505&gt;0,FLOOR(SUM(T1505),0.01)),""),""),"")</f>
        <v/>
      </c>
      <c r="Y1505" s="314" t="str">
        <f t="shared" ca="1" si="94"/>
        <v/>
      </c>
      <c r="Z1505" s="314" t="str" cm="1">
        <f t="array" aca="1" ref="Z1505" ca="1">IFERROR(_xlfn.IFS(OR(F1505="",LEFT(Methode_Keuze,4)="Geen",Methode_Keuze=""),"",AND(W1505&lt;&gt;"",F1505&lt;&gt;"Arbeidskosten"),W1505*VLOOKUP(F1505,Tb_ProjectKosten[],MATCH(Tb_ProjectKosten[[#Headers],[Forfait_Percentage]],Tb_ProjectKosten[#Headers],0),0),AND(F1505="Arbeidskosten",G1505&lt;&gt;""),IFERROR(W1505*VLOOKUP(G1505,Tb_KostenTypen[],3,0)*VLOOKUP(F1505,Tb_ProjectKosten[],MATCH(Tb_ProjectKosten[[#Headers],[Forfait_Percentage]],Tb_ProjectKosten[#Headers],0),0),""),W1505 &lt;=0,0),"")</f>
        <v/>
      </c>
      <c r="AA1505" s="314" t="str" cm="1">
        <f t="array" aca="1" ref="AA1505" ca="1">IFERROR(_xlfn.IFS(OR(F1505="",LEFT(Methode_Keuze,4)="Geen",Methode_Keuze=""),"",AND(X1505&lt;&gt;"",F1505&lt;&gt;"Arbeidskosten"),X1505*VLOOKUP(F1505,Tb_ProjectKosten[],MATCH(Tb_ProjectKosten[[#Headers],[Forfait_Percentage]],Tb_ProjectKosten[#Headers],0),0),AND(F1505="Arbeidskosten",G1505&lt;&gt;""),IFERROR(X1505*VLOOKUP(G1505,Tb_KostenTypen[],3,0)*VLOOKUP(F1505,Tb_ProjectKosten[],MATCH(Tb_ProjectKosten[[#Headers],[Forfait_Percentage]],Tb_ProjectKosten[#Headers],0),0),""),X1505 &lt;=0,0),"")</f>
        <v/>
      </c>
      <c r="AB1505" s="314" t="str">
        <f t="shared" ca="1" si="95"/>
        <v/>
      </c>
      <c r="AC1505" s="322"/>
      <c r="AD1505" s="315"/>
      <c r="AE1505" s="32" t="str" cm="1">
        <f t="array" ref="AE1505">IFERROR(IF(INDEX(SubsidieTabel!$AD$1:$AG$12,MATCH($F1505,SubsidieTabel!$AD$1:$AD$12,0),IFERROR(MATCH(Methode_Keuze,SubsidieTabel!$AD$1:$AG$1,0),2))&lt;&gt;1=TRUE,"ja",""),"")</f>
        <v/>
      </c>
    </row>
    <row r="1506" spans="1:31" x14ac:dyDescent="0.25">
      <c r="A1506" s="316"/>
      <c r="B1506" s="317" t="str">
        <f>IF(A1506&lt;&gt;"",_xlfn.MAXIFS($B$1:B1505,$A$1:A1505,A1506)+1,"")</f>
        <v/>
      </c>
      <c r="C1506" s="296"/>
      <c r="D1506" s="296"/>
      <c r="E1506" s="296"/>
      <c r="F1506" s="296"/>
      <c r="G1506" s="326"/>
      <c r="H1506" s="324"/>
      <c r="I1506" s="325"/>
      <c r="J1506" s="325"/>
      <c r="K1506" s="318"/>
      <c r="L1506" s="318"/>
      <c r="M1506" s="319" t="str">
        <f>IFERROR(VLOOKUP(H1506,Lijsten!$H$1:$I$100,2,0),"")</f>
        <v/>
      </c>
      <c r="N1506" s="319" t="str">
        <f ca="1">IFERROR(IF(VLOOKUP(F1506,Kostentypen!$A$3:$E$21,3,0)=0,"",IF(OR(F1506="Arbeidskosten",F1506="Vergoeding"),VLOOKUP(G1506,Tb_KostenTypen[],2,0),VLOOKUP(F1506,Kostentypen!$A$3:$E$20,3,0))),"")</f>
        <v/>
      </c>
      <c r="O1506" s="320" t="str" cm="1">
        <f t="array" ref="O1506">_xlfn.IFNA(IF(INDEX(Tb_KostenOptiesDB[],MATCH($F1506,Tb_KostenOptiesDB[KostenOptie],0),IFERROR(MATCH(Methode_Keuze,Tb_KostenOptiesDB[#Headers],0),2))=1,_xlfn.SWITCH($N1506,"Uurtarief",IF(OR(AND(RIGHT($F1506,3)="IKS",VLOOKUP($M1506,DB_Loonkosten,2,0)="Ja"),AND(RIGHT($F1506,3)&lt;&gt;"IKS",VLOOKUP($M1506,DB_Loonkosten,2,0)="Nee")),IFERROR(VLOOKUP($M1506,DB_Loonkosten,24,0),""),0),"Vast tarief",IF(LEFT(F1506,8)="Bijdrage",VLOOKUP($F1506,Tb_KostenTypen[],MATCH(Lijsten!$P$1,Tb_KostenTypen[#Headers],0),0),VLOOKUP($G1506,Lijsten!L:P,MATCH(Lijsten!$P$1,Kop_Tarief_Vast,0),0))),""),"")</f>
        <v/>
      </c>
      <c r="P1506" s="320" t="str" cm="1">
        <f t="array" ref="P1506">_xlfn.IFNA(IF(INDEX(Tb_KostenOptiesDB[],MATCH($F1506,Tb_KostenOptiesDB[KostenOptie],0),IFERROR(MATCH(Methode_Keuze,Tb_KostenOptiesDB[#Headers],0),2))=1,_xlfn.SWITCH($N1506,"Uurtarief",IF(OR(AND(RIGHT($F1506,3)="IKS",VLOOKUP($M1506,DB_Loonkosten,2,0)="Ja"),AND(RIGHT($F1506,3)&lt;&gt;"IKS",VLOOKUP($M1506,DB_Loonkosten,2,0)="Nee")),IFERROR(VLOOKUP($M1506,DB_Loonkosten,25,0),""),0),"Vast tarief",IF(LEFT(F1506,8)="Bijdrage",VLOOKUP($F1506,Tb_KostenTypen[],MATCH(Lijsten!$P$1,Tb_KostenTypen[#Headers],0),0),VLOOKUP($G1506,Lijsten!L:P,MATCH(Lijsten!$P$1,Kop_Tarief_Vast,0),0))),""),"")</f>
        <v/>
      </c>
      <c r="Q1506" s="359"/>
      <c r="R1506" s="359"/>
      <c r="S1506" s="321"/>
      <c r="T1506" s="321"/>
      <c r="U1506" s="373" t="str">
        <f t="shared" si="92"/>
        <v/>
      </c>
      <c r="V1506" s="314" t="str">
        <f t="shared" si="93"/>
        <v/>
      </c>
      <c r="W1506" s="314" t="str" cm="1">
        <f t="array" aca="1" ref="W1506" ca="1">IFERROR(IF(AE1506&lt;&gt;"ja",_xlfn.IFNA(_xlfn.IFS(AND(O1506&lt;&gt;"",F1506&lt;&gt;"",RIGHT($N1506,6)="tarief",F1506="Vergoeding"),SUM(O1506)*FLOOR(SUM(Q1506),0.0001),AND(O1506&lt;&gt;"",F1506&lt;&gt;"",RIGHT($N1506,6)="tarief"),SUM(O1506)*FLOOR(SUM(Q1506),0.01),S1506&gt;0,IF(F1506&lt;&gt;"",FLOOR(SUM(S1506),0.01),"")),""),""),"")</f>
        <v/>
      </c>
      <c r="X1506" s="314" t="str" cm="1">
        <f t="array" aca="1" ref="X1506" ca="1">IFERROR(IF(AE1506&lt;&gt;"ja",_xlfn.IFNA(_xlfn.IFS(AND(P1506&lt;&gt;"",R1506&lt;&gt;"",RIGHT($N1506,6)="tarief",F1506="Vergoeding"),SUM(P1506)*FLOOR(SUM(R1506),0.0001),AND(P1506&lt;&gt;"",R1506&lt;&gt;"",RIGHT($N1506,6)="tarief"),P1506*FLOOR(R1506,0.01),T1506&gt;0,FLOOR(SUM(T1506),0.01)),""),""),"")</f>
        <v/>
      </c>
      <c r="Y1506" s="314" t="str">
        <f t="shared" ca="1" si="94"/>
        <v/>
      </c>
      <c r="Z1506" s="314" t="str" cm="1">
        <f t="array" aca="1" ref="Z1506" ca="1">IFERROR(_xlfn.IFS(OR(F1506="",LEFT(Methode_Keuze,4)="Geen",Methode_Keuze=""),"",AND(W1506&lt;&gt;"",F1506&lt;&gt;"Arbeidskosten"),W1506*VLOOKUP(F1506,Tb_ProjectKosten[],MATCH(Tb_ProjectKosten[[#Headers],[Forfait_Percentage]],Tb_ProjectKosten[#Headers],0),0),AND(F1506="Arbeidskosten",G1506&lt;&gt;""),IFERROR(W1506*VLOOKUP(G1506,Tb_KostenTypen[],3,0)*VLOOKUP(F1506,Tb_ProjectKosten[],MATCH(Tb_ProjectKosten[[#Headers],[Forfait_Percentage]],Tb_ProjectKosten[#Headers],0),0),""),W1506 &lt;=0,0),"")</f>
        <v/>
      </c>
      <c r="AA1506" s="314" t="str" cm="1">
        <f t="array" aca="1" ref="AA1506" ca="1">IFERROR(_xlfn.IFS(OR(F1506="",LEFT(Methode_Keuze,4)="Geen",Methode_Keuze=""),"",AND(X1506&lt;&gt;"",F1506&lt;&gt;"Arbeidskosten"),X1506*VLOOKUP(F1506,Tb_ProjectKosten[],MATCH(Tb_ProjectKosten[[#Headers],[Forfait_Percentage]],Tb_ProjectKosten[#Headers],0),0),AND(F1506="Arbeidskosten",G1506&lt;&gt;""),IFERROR(X1506*VLOOKUP(G1506,Tb_KostenTypen[],3,0)*VLOOKUP(F1506,Tb_ProjectKosten[],MATCH(Tb_ProjectKosten[[#Headers],[Forfait_Percentage]],Tb_ProjectKosten[#Headers],0),0),""),X1506 &lt;=0,0),"")</f>
        <v/>
      </c>
      <c r="AB1506" s="314" t="str">
        <f t="shared" ca="1" si="95"/>
        <v/>
      </c>
      <c r="AC1506" s="322"/>
      <c r="AD1506" s="315"/>
      <c r="AE1506" s="32" t="str" cm="1">
        <f t="array" ref="AE1506">IFERROR(IF(INDEX(SubsidieTabel!$AD$1:$AG$12,MATCH($F1506,SubsidieTabel!$AD$1:$AD$12,0),IFERROR(MATCH(Methode_Keuze,SubsidieTabel!$AD$1:$AG$1,0),2))&lt;&gt;1=TRUE,"ja",""),"")</f>
        <v/>
      </c>
    </row>
    <row r="1507" spans="1:31" x14ac:dyDescent="0.25">
      <c r="A1507" s="316"/>
      <c r="B1507" s="317" t="str">
        <f>IF(A1507&lt;&gt;"",_xlfn.MAXIFS($B$1:B1506,$A$1:A1506,A1507)+1,"")</f>
        <v/>
      </c>
      <c r="C1507" s="296"/>
      <c r="D1507" s="296"/>
      <c r="E1507" s="296"/>
      <c r="F1507" s="296"/>
      <c r="G1507" s="326"/>
      <c r="H1507" s="324"/>
      <c r="I1507" s="325"/>
      <c r="J1507" s="325"/>
      <c r="K1507" s="318"/>
      <c r="L1507" s="318"/>
      <c r="M1507" s="319" t="str">
        <f>IFERROR(VLOOKUP(H1507,Lijsten!$H$1:$I$100,2,0),"")</f>
        <v/>
      </c>
      <c r="N1507" s="319" t="str">
        <f ca="1">IFERROR(IF(VLOOKUP(F1507,Kostentypen!$A$3:$E$21,3,0)=0,"",IF(OR(F1507="Arbeidskosten",F1507="Vergoeding"),VLOOKUP(G1507,Tb_KostenTypen[],2,0),VLOOKUP(F1507,Kostentypen!$A$3:$E$20,3,0))),"")</f>
        <v/>
      </c>
      <c r="O1507" s="320" t="str" cm="1">
        <f t="array" ref="O1507">_xlfn.IFNA(IF(INDEX(Tb_KostenOptiesDB[],MATCH($F1507,Tb_KostenOptiesDB[KostenOptie],0),IFERROR(MATCH(Methode_Keuze,Tb_KostenOptiesDB[#Headers],0),2))=1,_xlfn.SWITCH($N1507,"Uurtarief",IF(OR(AND(RIGHT($F1507,3)="IKS",VLOOKUP($M1507,DB_Loonkosten,2,0)="Ja"),AND(RIGHT($F1507,3)&lt;&gt;"IKS",VLOOKUP($M1507,DB_Loonkosten,2,0)="Nee")),IFERROR(VLOOKUP($M1507,DB_Loonkosten,24,0),""),0),"Vast tarief",IF(LEFT(F1507,8)="Bijdrage",VLOOKUP($F1507,Tb_KostenTypen[],MATCH(Lijsten!$P$1,Tb_KostenTypen[#Headers],0),0),VLOOKUP($G1507,Lijsten!L:P,MATCH(Lijsten!$P$1,Kop_Tarief_Vast,0),0))),""),"")</f>
        <v/>
      </c>
      <c r="P1507" s="320" t="str" cm="1">
        <f t="array" ref="P1507">_xlfn.IFNA(IF(INDEX(Tb_KostenOptiesDB[],MATCH($F1507,Tb_KostenOptiesDB[KostenOptie],0),IFERROR(MATCH(Methode_Keuze,Tb_KostenOptiesDB[#Headers],0),2))=1,_xlfn.SWITCH($N1507,"Uurtarief",IF(OR(AND(RIGHT($F1507,3)="IKS",VLOOKUP($M1507,DB_Loonkosten,2,0)="Ja"),AND(RIGHT($F1507,3)&lt;&gt;"IKS",VLOOKUP($M1507,DB_Loonkosten,2,0)="Nee")),IFERROR(VLOOKUP($M1507,DB_Loonkosten,25,0),""),0),"Vast tarief",IF(LEFT(F1507,8)="Bijdrage",VLOOKUP($F1507,Tb_KostenTypen[],MATCH(Lijsten!$P$1,Tb_KostenTypen[#Headers],0),0),VLOOKUP($G1507,Lijsten!L:P,MATCH(Lijsten!$P$1,Kop_Tarief_Vast,0),0))),""),"")</f>
        <v/>
      </c>
      <c r="Q1507" s="359"/>
      <c r="R1507" s="359"/>
      <c r="S1507" s="321"/>
      <c r="T1507" s="321"/>
      <c r="U1507" s="373" t="str">
        <f t="shared" si="92"/>
        <v/>
      </c>
      <c r="V1507" s="314" t="str">
        <f t="shared" si="93"/>
        <v/>
      </c>
      <c r="W1507" s="314" t="str" cm="1">
        <f t="array" aca="1" ref="W1507" ca="1">IFERROR(IF(AE1507&lt;&gt;"ja",_xlfn.IFNA(_xlfn.IFS(AND(O1507&lt;&gt;"",F1507&lt;&gt;"",RIGHT($N1507,6)="tarief",F1507="Vergoeding"),SUM(O1507)*FLOOR(SUM(Q1507),0.0001),AND(O1507&lt;&gt;"",F1507&lt;&gt;"",RIGHT($N1507,6)="tarief"),SUM(O1507)*FLOOR(SUM(Q1507),0.01),S1507&gt;0,IF(F1507&lt;&gt;"",FLOOR(SUM(S1507),0.01),"")),""),""),"")</f>
        <v/>
      </c>
      <c r="X1507" s="314" t="str" cm="1">
        <f t="array" aca="1" ref="X1507" ca="1">IFERROR(IF(AE1507&lt;&gt;"ja",_xlfn.IFNA(_xlfn.IFS(AND(P1507&lt;&gt;"",R1507&lt;&gt;"",RIGHT($N1507,6)="tarief",F1507="Vergoeding"),SUM(P1507)*FLOOR(SUM(R1507),0.0001),AND(P1507&lt;&gt;"",R1507&lt;&gt;"",RIGHT($N1507,6)="tarief"),P1507*FLOOR(R1507,0.01),T1507&gt;0,FLOOR(SUM(T1507),0.01)),""),""),"")</f>
        <v/>
      </c>
      <c r="Y1507" s="314" t="str">
        <f t="shared" ca="1" si="94"/>
        <v/>
      </c>
      <c r="Z1507" s="314" t="str" cm="1">
        <f t="array" aca="1" ref="Z1507" ca="1">IFERROR(_xlfn.IFS(OR(F1507="",LEFT(Methode_Keuze,4)="Geen",Methode_Keuze=""),"",AND(W1507&lt;&gt;"",F1507&lt;&gt;"Arbeidskosten"),W1507*VLOOKUP(F1507,Tb_ProjectKosten[],MATCH(Tb_ProjectKosten[[#Headers],[Forfait_Percentage]],Tb_ProjectKosten[#Headers],0),0),AND(F1507="Arbeidskosten",G1507&lt;&gt;""),IFERROR(W1507*VLOOKUP(G1507,Tb_KostenTypen[],3,0)*VLOOKUP(F1507,Tb_ProjectKosten[],MATCH(Tb_ProjectKosten[[#Headers],[Forfait_Percentage]],Tb_ProjectKosten[#Headers],0),0),""),W1507 &lt;=0,0),"")</f>
        <v/>
      </c>
      <c r="AA1507" s="314" t="str" cm="1">
        <f t="array" aca="1" ref="AA1507" ca="1">IFERROR(_xlfn.IFS(OR(F1507="",LEFT(Methode_Keuze,4)="Geen",Methode_Keuze=""),"",AND(X1507&lt;&gt;"",F1507&lt;&gt;"Arbeidskosten"),X1507*VLOOKUP(F1507,Tb_ProjectKosten[],MATCH(Tb_ProjectKosten[[#Headers],[Forfait_Percentage]],Tb_ProjectKosten[#Headers],0),0),AND(F1507="Arbeidskosten",G1507&lt;&gt;""),IFERROR(X1507*VLOOKUP(G1507,Tb_KostenTypen[],3,0)*VLOOKUP(F1507,Tb_ProjectKosten[],MATCH(Tb_ProjectKosten[[#Headers],[Forfait_Percentage]],Tb_ProjectKosten[#Headers],0),0),""),X1507 &lt;=0,0),"")</f>
        <v/>
      </c>
      <c r="AB1507" s="314" t="str">
        <f t="shared" ca="1" si="95"/>
        <v/>
      </c>
      <c r="AC1507" s="322"/>
      <c r="AD1507" s="315"/>
      <c r="AE1507" s="32" t="str" cm="1">
        <f t="array" ref="AE1507">IFERROR(IF(INDEX(SubsidieTabel!$AD$1:$AG$12,MATCH($F1507,SubsidieTabel!$AD$1:$AD$12,0),IFERROR(MATCH(Methode_Keuze,SubsidieTabel!$AD$1:$AG$1,0),2))&lt;&gt;1=TRUE,"ja",""),"")</f>
        <v/>
      </c>
    </row>
    <row r="1508" spans="1:31" x14ac:dyDescent="0.25">
      <c r="A1508" s="316"/>
      <c r="B1508" s="317" t="str">
        <f>IF(A1508&lt;&gt;"",_xlfn.MAXIFS($B$1:B1507,$A$1:A1507,A1508)+1,"")</f>
        <v/>
      </c>
      <c r="C1508" s="296"/>
      <c r="D1508" s="296"/>
      <c r="E1508" s="296"/>
      <c r="F1508" s="296"/>
      <c r="G1508" s="326"/>
      <c r="H1508" s="324"/>
      <c r="I1508" s="325"/>
      <c r="J1508" s="325"/>
      <c r="K1508" s="318"/>
      <c r="L1508" s="318"/>
      <c r="M1508" s="319" t="str">
        <f>IFERROR(VLOOKUP(H1508,Lijsten!$H$1:$I$100,2,0),"")</f>
        <v/>
      </c>
      <c r="N1508" s="319" t="str">
        <f ca="1">IFERROR(IF(VLOOKUP(F1508,Kostentypen!$A$3:$E$21,3,0)=0,"",IF(OR(F1508="Arbeidskosten",F1508="Vergoeding"),VLOOKUP(G1508,Tb_KostenTypen[],2,0),VLOOKUP(F1508,Kostentypen!$A$3:$E$20,3,0))),"")</f>
        <v/>
      </c>
      <c r="O1508" s="320" t="str" cm="1">
        <f t="array" ref="O1508">_xlfn.IFNA(IF(INDEX(Tb_KostenOptiesDB[],MATCH($F1508,Tb_KostenOptiesDB[KostenOptie],0),IFERROR(MATCH(Methode_Keuze,Tb_KostenOptiesDB[#Headers],0),2))=1,_xlfn.SWITCH($N1508,"Uurtarief",IF(OR(AND(RIGHT($F1508,3)="IKS",VLOOKUP($M1508,DB_Loonkosten,2,0)="Ja"),AND(RIGHT($F1508,3)&lt;&gt;"IKS",VLOOKUP($M1508,DB_Loonkosten,2,0)="Nee")),IFERROR(VLOOKUP($M1508,DB_Loonkosten,24,0),""),0),"Vast tarief",IF(LEFT(F1508,8)="Bijdrage",VLOOKUP($F1508,Tb_KostenTypen[],MATCH(Lijsten!$P$1,Tb_KostenTypen[#Headers],0),0),VLOOKUP($G1508,Lijsten!L:P,MATCH(Lijsten!$P$1,Kop_Tarief_Vast,0),0))),""),"")</f>
        <v/>
      </c>
      <c r="P1508" s="320" t="str" cm="1">
        <f t="array" ref="P1508">_xlfn.IFNA(IF(INDEX(Tb_KostenOptiesDB[],MATCH($F1508,Tb_KostenOptiesDB[KostenOptie],0),IFERROR(MATCH(Methode_Keuze,Tb_KostenOptiesDB[#Headers],0),2))=1,_xlfn.SWITCH($N1508,"Uurtarief",IF(OR(AND(RIGHT($F1508,3)="IKS",VLOOKUP($M1508,DB_Loonkosten,2,0)="Ja"),AND(RIGHT($F1508,3)&lt;&gt;"IKS",VLOOKUP($M1508,DB_Loonkosten,2,0)="Nee")),IFERROR(VLOOKUP($M1508,DB_Loonkosten,25,0),""),0),"Vast tarief",IF(LEFT(F1508,8)="Bijdrage",VLOOKUP($F1508,Tb_KostenTypen[],MATCH(Lijsten!$P$1,Tb_KostenTypen[#Headers],0),0),VLOOKUP($G1508,Lijsten!L:P,MATCH(Lijsten!$P$1,Kop_Tarief_Vast,0),0))),""),"")</f>
        <v/>
      </c>
      <c r="Q1508" s="359"/>
      <c r="R1508" s="359"/>
      <c r="S1508" s="321"/>
      <c r="T1508" s="321"/>
      <c r="U1508" s="373" t="str">
        <f t="shared" si="92"/>
        <v/>
      </c>
      <c r="V1508" s="314" t="str">
        <f t="shared" si="93"/>
        <v/>
      </c>
      <c r="W1508" s="314" t="str" cm="1">
        <f t="array" aca="1" ref="W1508" ca="1">IFERROR(IF(AE1508&lt;&gt;"ja",_xlfn.IFNA(_xlfn.IFS(AND(O1508&lt;&gt;"",F1508&lt;&gt;"",RIGHT($N1508,6)="tarief",F1508="Vergoeding"),SUM(O1508)*FLOOR(SUM(Q1508),0.0001),AND(O1508&lt;&gt;"",F1508&lt;&gt;"",RIGHT($N1508,6)="tarief"),SUM(O1508)*FLOOR(SUM(Q1508),0.01),S1508&gt;0,IF(F1508&lt;&gt;"",FLOOR(SUM(S1508),0.01),"")),""),""),"")</f>
        <v/>
      </c>
      <c r="X1508" s="314" t="str" cm="1">
        <f t="array" aca="1" ref="X1508" ca="1">IFERROR(IF(AE1508&lt;&gt;"ja",_xlfn.IFNA(_xlfn.IFS(AND(P1508&lt;&gt;"",R1508&lt;&gt;"",RIGHT($N1508,6)="tarief",F1508="Vergoeding"),SUM(P1508)*FLOOR(SUM(R1508),0.0001),AND(P1508&lt;&gt;"",R1508&lt;&gt;"",RIGHT($N1508,6)="tarief"),P1508*FLOOR(R1508,0.01),T1508&gt;0,FLOOR(SUM(T1508),0.01)),""),""),"")</f>
        <v/>
      </c>
      <c r="Y1508" s="314" t="str">
        <f t="shared" ca="1" si="94"/>
        <v/>
      </c>
      <c r="Z1508" s="314" t="str" cm="1">
        <f t="array" aca="1" ref="Z1508" ca="1">IFERROR(_xlfn.IFS(OR(F1508="",LEFT(Methode_Keuze,4)="Geen",Methode_Keuze=""),"",AND(W1508&lt;&gt;"",F1508&lt;&gt;"Arbeidskosten"),W1508*VLOOKUP(F1508,Tb_ProjectKosten[],MATCH(Tb_ProjectKosten[[#Headers],[Forfait_Percentage]],Tb_ProjectKosten[#Headers],0),0),AND(F1508="Arbeidskosten",G1508&lt;&gt;""),IFERROR(W1508*VLOOKUP(G1508,Tb_KostenTypen[],3,0)*VLOOKUP(F1508,Tb_ProjectKosten[],MATCH(Tb_ProjectKosten[[#Headers],[Forfait_Percentage]],Tb_ProjectKosten[#Headers],0),0),""),W1508 &lt;=0,0),"")</f>
        <v/>
      </c>
      <c r="AA1508" s="314" t="str" cm="1">
        <f t="array" aca="1" ref="AA1508" ca="1">IFERROR(_xlfn.IFS(OR(F1508="",LEFT(Methode_Keuze,4)="Geen",Methode_Keuze=""),"",AND(X1508&lt;&gt;"",F1508&lt;&gt;"Arbeidskosten"),X1508*VLOOKUP(F1508,Tb_ProjectKosten[],MATCH(Tb_ProjectKosten[[#Headers],[Forfait_Percentage]],Tb_ProjectKosten[#Headers],0),0),AND(F1508="Arbeidskosten",G1508&lt;&gt;""),IFERROR(X1508*VLOOKUP(G1508,Tb_KostenTypen[],3,0)*VLOOKUP(F1508,Tb_ProjectKosten[],MATCH(Tb_ProjectKosten[[#Headers],[Forfait_Percentage]],Tb_ProjectKosten[#Headers],0),0),""),X1508 &lt;=0,0),"")</f>
        <v/>
      </c>
      <c r="AB1508" s="314" t="str">
        <f t="shared" ca="1" si="95"/>
        <v/>
      </c>
      <c r="AC1508" s="322"/>
      <c r="AD1508" s="315"/>
      <c r="AE1508" s="32" t="str" cm="1">
        <f t="array" ref="AE1508">IFERROR(IF(INDEX(SubsidieTabel!$AD$1:$AG$12,MATCH($F1508,SubsidieTabel!$AD$1:$AD$12,0),IFERROR(MATCH(Methode_Keuze,SubsidieTabel!$AD$1:$AG$1,0),2))&lt;&gt;1=TRUE,"ja",""),"")</f>
        <v/>
      </c>
    </row>
    <row r="1509" spans="1:31" x14ac:dyDescent="0.25">
      <c r="A1509" s="316"/>
      <c r="B1509" s="317" t="str">
        <f>IF(A1509&lt;&gt;"",_xlfn.MAXIFS($B$1:B1508,$A$1:A1508,A1509)+1,"")</f>
        <v/>
      </c>
      <c r="C1509" s="296"/>
      <c r="D1509" s="296"/>
      <c r="E1509" s="296"/>
      <c r="F1509" s="296"/>
      <c r="G1509" s="326"/>
      <c r="H1509" s="324"/>
      <c r="I1509" s="325"/>
      <c r="J1509" s="325"/>
      <c r="K1509" s="318"/>
      <c r="L1509" s="318"/>
      <c r="M1509" s="319" t="str">
        <f>IFERROR(VLOOKUP(H1509,Lijsten!$H$1:$I$100,2,0),"")</f>
        <v/>
      </c>
      <c r="N1509" s="319" t="str">
        <f ca="1">IFERROR(IF(VLOOKUP(F1509,Kostentypen!$A$3:$E$21,3,0)=0,"",IF(OR(F1509="Arbeidskosten",F1509="Vergoeding"),VLOOKUP(G1509,Tb_KostenTypen[],2,0),VLOOKUP(F1509,Kostentypen!$A$3:$E$20,3,0))),"")</f>
        <v/>
      </c>
      <c r="O1509" s="320" t="str" cm="1">
        <f t="array" ref="O1509">_xlfn.IFNA(IF(INDEX(Tb_KostenOptiesDB[],MATCH($F1509,Tb_KostenOptiesDB[KostenOptie],0),IFERROR(MATCH(Methode_Keuze,Tb_KostenOptiesDB[#Headers],0),2))=1,_xlfn.SWITCH($N1509,"Uurtarief",IF(OR(AND(RIGHT($F1509,3)="IKS",VLOOKUP($M1509,DB_Loonkosten,2,0)="Ja"),AND(RIGHT($F1509,3)&lt;&gt;"IKS",VLOOKUP($M1509,DB_Loonkosten,2,0)="Nee")),IFERROR(VLOOKUP($M1509,DB_Loonkosten,24,0),""),0),"Vast tarief",IF(LEFT(F1509,8)="Bijdrage",VLOOKUP($F1509,Tb_KostenTypen[],MATCH(Lijsten!$P$1,Tb_KostenTypen[#Headers],0),0),VLOOKUP($G1509,Lijsten!L:P,MATCH(Lijsten!$P$1,Kop_Tarief_Vast,0),0))),""),"")</f>
        <v/>
      </c>
      <c r="P1509" s="320" t="str" cm="1">
        <f t="array" ref="P1509">_xlfn.IFNA(IF(INDEX(Tb_KostenOptiesDB[],MATCH($F1509,Tb_KostenOptiesDB[KostenOptie],0),IFERROR(MATCH(Methode_Keuze,Tb_KostenOptiesDB[#Headers],0),2))=1,_xlfn.SWITCH($N1509,"Uurtarief",IF(OR(AND(RIGHT($F1509,3)="IKS",VLOOKUP($M1509,DB_Loonkosten,2,0)="Ja"),AND(RIGHT($F1509,3)&lt;&gt;"IKS",VLOOKUP($M1509,DB_Loonkosten,2,0)="Nee")),IFERROR(VLOOKUP($M1509,DB_Loonkosten,25,0),""),0),"Vast tarief",IF(LEFT(F1509,8)="Bijdrage",VLOOKUP($F1509,Tb_KostenTypen[],MATCH(Lijsten!$P$1,Tb_KostenTypen[#Headers],0),0),VLOOKUP($G1509,Lijsten!L:P,MATCH(Lijsten!$P$1,Kop_Tarief_Vast,0),0))),""),"")</f>
        <v/>
      </c>
      <c r="Q1509" s="359"/>
      <c r="R1509" s="359"/>
      <c r="S1509" s="321"/>
      <c r="T1509" s="321"/>
      <c r="U1509" s="373" t="str">
        <f t="shared" si="92"/>
        <v/>
      </c>
      <c r="V1509" s="314" t="str">
        <f t="shared" si="93"/>
        <v/>
      </c>
      <c r="W1509" s="314" t="str" cm="1">
        <f t="array" aca="1" ref="W1509" ca="1">IFERROR(IF(AE1509&lt;&gt;"ja",_xlfn.IFNA(_xlfn.IFS(AND(O1509&lt;&gt;"",F1509&lt;&gt;"",RIGHT($N1509,6)="tarief",F1509="Vergoeding"),SUM(O1509)*FLOOR(SUM(Q1509),0.0001),AND(O1509&lt;&gt;"",F1509&lt;&gt;"",RIGHT($N1509,6)="tarief"),SUM(O1509)*FLOOR(SUM(Q1509),0.01),S1509&gt;0,IF(F1509&lt;&gt;"",FLOOR(SUM(S1509),0.01),"")),""),""),"")</f>
        <v/>
      </c>
      <c r="X1509" s="314" t="str" cm="1">
        <f t="array" aca="1" ref="X1509" ca="1">IFERROR(IF(AE1509&lt;&gt;"ja",_xlfn.IFNA(_xlfn.IFS(AND(P1509&lt;&gt;"",R1509&lt;&gt;"",RIGHT($N1509,6)="tarief",F1509="Vergoeding"),SUM(P1509)*FLOOR(SUM(R1509),0.0001),AND(P1509&lt;&gt;"",R1509&lt;&gt;"",RIGHT($N1509,6)="tarief"),P1509*FLOOR(R1509,0.01),T1509&gt;0,FLOOR(SUM(T1509),0.01)),""),""),"")</f>
        <v/>
      </c>
      <c r="Y1509" s="314" t="str">
        <f t="shared" ca="1" si="94"/>
        <v/>
      </c>
      <c r="Z1509" s="314" t="str" cm="1">
        <f t="array" aca="1" ref="Z1509" ca="1">IFERROR(_xlfn.IFS(OR(F1509="",LEFT(Methode_Keuze,4)="Geen",Methode_Keuze=""),"",AND(W1509&lt;&gt;"",F1509&lt;&gt;"Arbeidskosten"),W1509*VLOOKUP(F1509,Tb_ProjectKosten[],MATCH(Tb_ProjectKosten[[#Headers],[Forfait_Percentage]],Tb_ProjectKosten[#Headers],0),0),AND(F1509="Arbeidskosten",G1509&lt;&gt;""),IFERROR(W1509*VLOOKUP(G1509,Tb_KostenTypen[],3,0)*VLOOKUP(F1509,Tb_ProjectKosten[],MATCH(Tb_ProjectKosten[[#Headers],[Forfait_Percentage]],Tb_ProjectKosten[#Headers],0),0),""),W1509 &lt;=0,0),"")</f>
        <v/>
      </c>
      <c r="AA1509" s="314" t="str" cm="1">
        <f t="array" aca="1" ref="AA1509" ca="1">IFERROR(_xlfn.IFS(OR(F1509="",LEFT(Methode_Keuze,4)="Geen",Methode_Keuze=""),"",AND(X1509&lt;&gt;"",F1509&lt;&gt;"Arbeidskosten"),X1509*VLOOKUP(F1509,Tb_ProjectKosten[],MATCH(Tb_ProjectKosten[[#Headers],[Forfait_Percentage]],Tb_ProjectKosten[#Headers],0),0),AND(F1509="Arbeidskosten",G1509&lt;&gt;""),IFERROR(X1509*VLOOKUP(G1509,Tb_KostenTypen[],3,0)*VLOOKUP(F1509,Tb_ProjectKosten[],MATCH(Tb_ProjectKosten[[#Headers],[Forfait_Percentage]],Tb_ProjectKosten[#Headers],0),0),""),X1509 &lt;=0,0),"")</f>
        <v/>
      </c>
      <c r="AB1509" s="314" t="str">
        <f t="shared" ca="1" si="95"/>
        <v/>
      </c>
      <c r="AC1509" s="322"/>
      <c r="AD1509" s="315"/>
      <c r="AE1509" s="32" t="str" cm="1">
        <f t="array" ref="AE1509">IFERROR(IF(INDEX(SubsidieTabel!$AD$1:$AG$12,MATCH($F1509,SubsidieTabel!$AD$1:$AD$12,0),IFERROR(MATCH(Methode_Keuze,SubsidieTabel!$AD$1:$AG$1,0),2))&lt;&gt;1=TRUE,"ja",""),"")</f>
        <v/>
      </c>
    </row>
    <row r="1510" spans="1:31" x14ac:dyDescent="0.25">
      <c r="A1510" s="316"/>
      <c r="B1510" s="317" t="str">
        <f>IF(A1510&lt;&gt;"",_xlfn.MAXIFS($B$1:B1509,$A$1:A1509,A1510)+1,"")</f>
        <v/>
      </c>
      <c r="C1510" s="296"/>
      <c r="D1510" s="296"/>
      <c r="E1510" s="296"/>
      <c r="F1510" s="296"/>
      <c r="G1510" s="326"/>
      <c r="H1510" s="324"/>
      <c r="I1510" s="325"/>
      <c r="J1510" s="325"/>
      <c r="K1510" s="318"/>
      <c r="L1510" s="318"/>
      <c r="M1510" s="319" t="str">
        <f>IFERROR(VLOOKUP(H1510,Lijsten!$H$1:$I$100,2,0),"")</f>
        <v/>
      </c>
      <c r="N1510" s="319" t="str">
        <f ca="1">IFERROR(IF(VLOOKUP(F1510,Kostentypen!$A$3:$E$21,3,0)=0,"",IF(OR(F1510="Arbeidskosten",F1510="Vergoeding"),VLOOKUP(G1510,Tb_KostenTypen[],2,0),VLOOKUP(F1510,Kostentypen!$A$3:$E$20,3,0))),"")</f>
        <v/>
      </c>
      <c r="O1510" s="320" t="str" cm="1">
        <f t="array" ref="O1510">_xlfn.IFNA(IF(INDEX(Tb_KostenOptiesDB[],MATCH($F1510,Tb_KostenOptiesDB[KostenOptie],0),IFERROR(MATCH(Methode_Keuze,Tb_KostenOptiesDB[#Headers],0),2))=1,_xlfn.SWITCH($N1510,"Uurtarief",IF(OR(AND(RIGHT($F1510,3)="IKS",VLOOKUP($M1510,DB_Loonkosten,2,0)="Ja"),AND(RIGHT($F1510,3)&lt;&gt;"IKS",VLOOKUP($M1510,DB_Loonkosten,2,0)="Nee")),IFERROR(VLOOKUP($M1510,DB_Loonkosten,24,0),""),0),"Vast tarief",IF(LEFT(F1510,8)="Bijdrage",VLOOKUP($F1510,Tb_KostenTypen[],MATCH(Lijsten!$P$1,Tb_KostenTypen[#Headers],0),0),VLOOKUP($G1510,Lijsten!L:P,MATCH(Lijsten!$P$1,Kop_Tarief_Vast,0),0))),""),"")</f>
        <v/>
      </c>
      <c r="P1510" s="320" t="str" cm="1">
        <f t="array" ref="P1510">_xlfn.IFNA(IF(INDEX(Tb_KostenOptiesDB[],MATCH($F1510,Tb_KostenOptiesDB[KostenOptie],0),IFERROR(MATCH(Methode_Keuze,Tb_KostenOptiesDB[#Headers],0),2))=1,_xlfn.SWITCH($N1510,"Uurtarief",IF(OR(AND(RIGHT($F1510,3)="IKS",VLOOKUP($M1510,DB_Loonkosten,2,0)="Ja"),AND(RIGHT($F1510,3)&lt;&gt;"IKS",VLOOKUP($M1510,DB_Loonkosten,2,0)="Nee")),IFERROR(VLOOKUP($M1510,DB_Loonkosten,25,0),""),0),"Vast tarief",IF(LEFT(F1510,8)="Bijdrage",VLOOKUP($F1510,Tb_KostenTypen[],MATCH(Lijsten!$P$1,Tb_KostenTypen[#Headers],0),0),VLOOKUP($G1510,Lijsten!L:P,MATCH(Lijsten!$P$1,Kop_Tarief_Vast,0),0))),""),"")</f>
        <v/>
      </c>
      <c r="Q1510" s="359"/>
      <c r="R1510" s="359"/>
      <c r="S1510" s="321"/>
      <c r="T1510" s="321"/>
      <c r="U1510" s="373" t="str">
        <f t="shared" si="92"/>
        <v/>
      </c>
      <c r="V1510" s="314" t="str">
        <f t="shared" si="93"/>
        <v/>
      </c>
      <c r="W1510" s="314" t="str" cm="1">
        <f t="array" aca="1" ref="W1510" ca="1">IFERROR(IF(AE1510&lt;&gt;"ja",_xlfn.IFNA(_xlfn.IFS(AND(O1510&lt;&gt;"",F1510&lt;&gt;"",RIGHT($N1510,6)="tarief",F1510="Vergoeding"),SUM(O1510)*FLOOR(SUM(Q1510),0.0001),AND(O1510&lt;&gt;"",F1510&lt;&gt;"",RIGHT($N1510,6)="tarief"),SUM(O1510)*FLOOR(SUM(Q1510),0.01),S1510&gt;0,IF(F1510&lt;&gt;"",FLOOR(SUM(S1510),0.01),"")),""),""),"")</f>
        <v/>
      </c>
      <c r="X1510" s="314" t="str" cm="1">
        <f t="array" aca="1" ref="X1510" ca="1">IFERROR(IF(AE1510&lt;&gt;"ja",_xlfn.IFNA(_xlfn.IFS(AND(P1510&lt;&gt;"",R1510&lt;&gt;"",RIGHT($N1510,6)="tarief",F1510="Vergoeding"),SUM(P1510)*FLOOR(SUM(R1510),0.0001),AND(P1510&lt;&gt;"",R1510&lt;&gt;"",RIGHT($N1510,6)="tarief"),P1510*FLOOR(R1510,0.01),T1510&gt;0,FLOOR(SUM(T1510),0.01)),""),""),"")</f>
        <v/>
      </c>
      <c r="Y1510" s="314" t="str">
        <f t="shared" ca="1" si="94"/>
        <v/>
      </c>
      <c r="Z1510" s="314" t="str" cm="1">
        <f t="array" aca="1" ref="Z1510" ca="1">IFERROR(_xlfn.IFS(OR(F1510="",LEFT(Methode_Keuze,4)="Geen",Methode_Keuze=""),"",AND(W1510&lt;&gt;"",F1510&lt;&gt;"Arbeidskosten"),W1510*VLOOKUP(F1510,Tb_ProjectKosten[],MATCH(Tb_ProjectKosten[[#Headers],[Forfait_Percentage]],Tb_ProjectKosten[#Headers],0),0),AND(F1510="Arbeidskosten",G1510&lt;&gt;""),IFERROR(W1510*VLOOKUP(G1510,Tb_KostenTypen[],3,0)*VLOOKUP(F1510,Tb_ProjectKosten[],MATCH(Tb_ProjectKosten[[#Headers],[Forfait_Percentage]],Tb_ProjectKosten[#Headers],0),0),""),W1510 &lt;=0,0),"")</f>
        <v/>
      </c>
      <c r="AA1510" s="314" t="str" cm="1">
        <f t="array" aca="1" ref="AA1510" ca="1">IFERROR(_xlfn.IFS(OR(F1510="",LEFT(Methode_Keuze,4)="Geen",Methode_Keuze=""),"",AND(X1510&lt;&gt;"",F1510&lt;&gt;"Arbeidskosten"),X1510*VLOOKUP(F1510,Tb_ProjectKosten[],MATCH(Tb_ProjectKosten[[#Headers],[Forfait_Percentage]],Tb_ProjectKosten[#Headers],0),0),AND(F1510="Arbeidskosten",G1510&lt;&gt;""),IFERROR(X1510*VLOOKUP(G1510,Tb_KostenTypen[],3,0)*VLOOKUP(F1510,Tb_ProjectKosten[],MATCH(Tb_ProjectKosten[[#Headers],[Forfait_Percentage]],Tb_ProjectKosten[#Headers],0),0),""),X1510 &lt;=0,0),"")</f>
        <v/>
      </c>
      <c r="AB1510" s="314" t="str">
        <f t="shared" ca="1" si="95"/>
        <v/>
      </c>
      <c r="AC1510" s="322"/>
      <c r="AD1510" s="315"/>
      <c r="AE1510" s="32" t="str" cm="1">
        <f t="array" ref="AE1510">IFERROR(IF(INDEX(SubsidieTabel!$AD$1:$AG$12,MATCH($F1510,SubsidieTabel!$AD$1:$AD$12,0),IFERROR(MATCH(Methode_Keuze,SubsidieTabel!$AD$1:$AG$1,0),2))&lt;&gt;1=TRUE,"ja",""),"")</f>
        <v/>
      </c>
    </row>
    <row r="1511" spans="1:31" x14ac:dyDescent="0.25">
      <c r="A1511" s="316"/>
      <c r="B1511" s="317" t="str">
        <f>IF(A1511&lt;&gt;"",_xlfn.MAXIFS($B$1:B1510,$A$1:A1510,A1511)+1,"")</f>
        <v/>
      </c>
      <c r="C1511" s="296"/>
      <c r="D1511" s="296"/>
      <c r="E1511" s="296"/>
      <c r="F1511" s="296"/>
      <c r="G1511" s="326"/>
      <c r="H1511" s="324"/>
      <c r="I1511" s="325"/>
      <c r="J1511" s="325"/>
      <c r="K1511" s="318"/>
      <c r="L1511" s="318"/>
      <c r="M1511" s="319" t="str">
        <f>IFERROR(VLOOKUP(H1511,Lijsten!$H$1:$I$100,2,0),"")</f>
        <v/>
      </c>
      <c r="N1511" s="319" t="str">
        <f ca="1">IFERROR(IF(VLOOKUP(F1511,Kostentypen!$A$3:$E$21,3,0)=0,"",IF(OR(F1511="Arbeidskosten",F1511="Vergoeding"),VLOOKUP(G1511,Tb_KostenTypen[],2,0),VLOOKUP(F1511,Kostentypen!$A$3:$E$20,3,0))),"")</f>
        <v/>
      </c>
      <c r="O1511" s="320" t="str" cm="1">
        <f t="array" ref="O1511">_xlfn.IFNA(IF(INDEX(Tb_KostenOptiesDB[],MATCH($F1511,Tb_KostenOptiesDB[KostenOptie],0),IFERROR(MATCH(Methode_Keuze,Tb_KostenOptiesDB[#Headers],0),2))=1,_xlfn.SWITCH($N1511,"Uurtarief",IF(OR(AND(RIGHT($F1511,3)="IKS",VLOOKUP($M1511,DB_Loonkosten,2,0)="Ja"),AND(RIGHT($F1511,3)&lt;&gt;"IKS",VLOOKUP($M1511,DB_Loonkosten,2,0)="Nee")),IFERROR(VLOOKUP($M1511,DB_Loonkosten,24,0),""),0),"Vast tarief",IF(LEFT(F1511,8)="Bijdrage",VLOOKUP($F1511,Tb_KostenTypen[],MATCH(Lijsten!$P$1,Tb_KostenTypen[#Headers],0),0),VLOOKUP($G1511,Lijsten!L:P,MATCH(Lijsten!$P$1,Kop_Tarief_Vast,0),0))),""),"")</f>
        <v/>
      </c>
      <c r="P1511" s="320" t="str" cm="1">
        <f t="array" ref="P1511">_xlfn.IFNA(IF(INDEX(Tb_KostenOptiesDB[],MATCH($F1511,Tb_KostenOptiesDB[KostenOptie],0),IFERROR(MATCH(Methode_Keuze,Tb_KostenOptiesDB[#Headers],0),2))=1,_xlfn.SWITCH($N1511,"Uurtarief",IF(OR(AND(RIGHT($F1511,3)="IKS",VLOOKUP($M1511,DB_Loonkosten,2,0)="Ja"),AND(RIGHT($F1511,3)&lt;&gt;"IKS",VLOOKUP($M1511,DB_Loonkosten,2,0)="Nee")),IFERROR(VLOOKUP($M1511,DB_Loonkosten,25,0),""),0),"Vast tarief",IF(LEFT(F1511,8)="Bijdrage",VLOOKUP($F1511,Tb_KostenTypen[],MATCH(Lijsten!$P$1,Tb_KostenTypen[#Headers],0),0),VLOOKUP($G1511,Lijsten!L:P,MATCH(Lijsten!$P$1,Kop_Tarief_Vast,0),0))),""),"")</f>
        <v/>
      </c>
      <c r="Q1511" s="359"/>
      <c r="R1511" s="359"/>
      <c r="S1511" s="321"/>
      <c r="T1511" s="321"/>
      <c r="U1511" s="373" t="str">
        <f t="shared" si="92"/>
        <v/>
      </c>
      <c r="V1511" s="314" t="str">
        <f t="shared" si="93"/>
        <v/>
      </c>
      <c r="W1511" s="314" t="str" cm="1">
        <f t="array" aca="1" ref="W1511" ca="1">IFERROR(IF(AE1511&lt;&gt;"ja",_xlfn.IFNA(_xlfn.IFS(AND(O1511&lt;&gt;"",F1511&lt;&gt;"",RIGHT($N1511,6)="tarief",F1511="Vergoeding"),SUM(O1511)*FLOOR(SUM(Q1511),0.0001),AND(O1511&lt;&gt;"",F1511&lt;&gt;"",RIGHT($N1511,6)="tarief"),SUM(O1511)*FLOOR(SUM(Q1511),0.01),S1511&gt;0,IF(F1511&lt;&gt;"",FLOOR(SUM(S1511),0.01),"")),""),""),"")</f>
        <v/>
      </c>
      <c r="X1511" s="314" t="str" cm="1">
        <f t="array" aca="1" ref="X1511" ca="1">IFERROR(IF(AE1511&lt;&gt;"ja",_xlfn.IFNA(_xlfn.IFS(AND(P1511&lt;&gt;"",R1511&lt;&gt;"",RIGHT($N1511,6)="tarief",F1511="Vergoeding"),SUM(P1511)*FLOOR(SUM(R1511),0.0001),AND(P1511&lt;&gt;"",R1511&lt;&gt;"",RIGHT($N1511,6)="tarief"),P1511*FLOOR(R1511,0.01),T1511&gt;0,FLOOR(SUM(T1511),0.01)),""),""),"")</f>
        <v/>
      </c>
      <c r="Y1511" s="314" t="str">
        <f t="shared" ca="1" si="94"/>
        <v/>
      </c>
      <c r="Z1511" s="314" t="str" cm="1">
        <f t="array" aca="1" ref="Z1511" ca="1">IFERROR(_xlfn.IFS(OR(F1511="",LEFT(Methode_Keuze,4)="Geen",Methode_Keuze=""),"",AND(W1511&lt;&gt;"",F1511&lt;&gt;"Arbeidskosten"),W1511*VLOOKUP(F1511,Tb_ProjectKosten[],MATCH(Tb_ProjectKosten[[#Headers],[Forfait_Percentage]],Tb_ProjectKosten[#Headers],0),0),AND(F1511="Arbeidskosten",G1511&lt;&gt;""),IFERROR(W1511*VLOOKUP(G1511,Tb_KostenTypen[],3,0)*VLOOKUP(F1511,Tb_ProjectKosten[],MATCH(Tb_ProjectKosten[[#Headers],[Forfait_Percentage]],Tb_ProjectKosten[#Headers],0),0),""),W1511 &lt;=0,0),"")</f>
        <v/>
      </c>
      <c r="AA1511" s="314" t="str" cm="1">
        <f t="array" aca="1" ref="AA1511" ca="1">IFERROR(_xlfn.IFS(OR(F1511="",LEFT(Methode_Keuze,4)="Geen",Methode_Keuze=""),"",AND(X1511&lt;&gt;"",F1511&lt;&gt;"Arbeidskosten"),X1511*VLOOKUP(F1511,Tb_ProjectKosten[],MATCH(Tb_ProjectKosten[[#Headers],[Forfait_Percentage]],Tb_ProjectKosten[#Headers],0),0),AND(F1511="Arbeidskosten",G1511&lt;&gt;""),IFERROR(X1511*VLOOKUP(G1511,Tb_KostenTypen[],3,0)*VLOOKUP(F1511,Tb_ProjectKosten[],MATCH(Tb_ProjectKosten[[#Headers],[Forfait_Percentage]],Tb_ProjectKosten[#Headers],0),0),""),X1511 &lt;=0,0),"")</f>
        <v/>
      </c>
      <c r="AB1511" s="314" t="str">
        <f t="shared" ca="1" si="95"/>
        <v/>
      </c>
      <c r="AC1511" s="322"/>
      <c r="AD1511" s="315"/>
      <c r="AE1511" s="32" t="str" cm="1">
        <f t="array" ref="AE1511">IFERROR(IF(INDEX(SubsidieTabel!$AD$1:$AG$12,MATCH($F1511,SubsidieTabel!$AD$1:$AD$12,0),IFERROR(MATCH(Methode_Keuze,SubsidieTabel!$AD$1:$AG$1,0),2))&lt;&gt;1=TRUE,"ja",""),"")</f>
        <v/>
      </c>
    </row>
    <row r="1512" spans="1:31" x14ac:dyDescent="0.25">
      <c r="A1512" s="316"/>
      <c r="B1512" s="317" t="str">
        <f>IF(A1512&lt;&gt;"",_xlfn.MAXIFS($B$1:B1511,$A$1:A1511,A1512)+1,"")</f>
        <v/>
      </c>
      <c r="C1512" s="296"/>
      <c r="D1512" s="296"/>
      <c r="E1512" s="296"/>
      <c r="F1512" s="296"/>
      <c r="G1512" s="326"/>
      <c r="H1512" s="324"/>
      <c r="I1512" s="325"/>
      <c r="J1512" s="325"/>
      <c r="K1512" s="318"/>
      <c r="L1512" s="318"/>
      <c r="M1512" s="319" t="str">
        <f>IFERROR(VLOOKUP(H1512,Lijsten!$H$1:$I$100,2,0),"")</f>
        <v/>
      </c>
      <c r="N1512" s="319" t="str">
        <f ca="1">IFERROR(IF(VLOOKUP(F1512,Kostentypen!$A$3:$E$21,3,0)=0,"",IF(OR(F1512="Arbeidskosten",F1512="Vergoeding"),VLOOKUP(G1512,Tb_KostenTypen[],2,0),VLOOKUP(F1512,Kostentypen!$A$3:$E$20,3,0))),"")</f>
        <v/>
      </c>
      <c r="O1512" s="320" t="str" cm="1">
        <f t="array" ref="O1512">_xlfn.IFNA(IF(INDEX(Tb_KostenOptiesDB[],MATCH($F1512,Tb_KostenOptiesDB[KostenOptie],0),IFERROR(MATCH(Methode_Keuze,Tb_KostenOptiesDB[#Headers],0),2))=1,_xlfn.SWITCH($N1512,"Uurtarief",IF(OR(AND(RIGHT($F1512,3)="IKS",VLOOKUP($M1512,DB_Loonkosten,2,0)="Ja"),AND(RIGHT($F1512,3)&lt;&gt;"IKS",VLOOKUP($M1512,DB_Loonkosten,2,0)="Nee")),IFERROR(VLOOKUP($M1512,DB_Loonkosten,24,0),""),0),"Vast tarief",IF(LEFT(F1512,8)="Bijdrage",VLOOKUP($F1512,Tb_KostenTypen[],MATCH(Lijsten!$P$1,Tb_KostenTypen[#Headers],0),0),VLOOKUP($G1512,Lijsten!L:P,MATCH(Lijsten!$P$1,Kop_Tarief_Vast,0),0))),""),"")</f>
        <v/>
      </c>
      <c r="P1512" s="320" t="str" cm="1">
        <f t="array" ref="P1512">_xlfn.IFNA(IF(INDEX(Tb_KostenOptiesDB[],MATCH($F1512,Tb_KostenOptiesDB[KostenOptie],0),IFERROR(MATCH(Methode_Keuze,Tb_KostenOptiesDB[#Headers],0),2))=1,_xlfn.SWITCH($N1512,"Uurtarief",IF(OR(AND(RIGHT($F1512,3)="IKS",VLOOKUP($M1512,DB_Loonkosten,2,0)="Ja"),AND(RIGHT($F1512,3)&lt;&gt;"IKS",VLOOKUP($M1512,DB_Loonkosten,2,0)="Nee")),IFERROR(VLOOKUP($M1512,DB_Loonkosten,25,0),""),0),"Vast tarief",IF(LEFT(F1512,8)="Bijdrage",VLOOKUP($F1512,Tb_KostenTypen[],MATCH(Lijsten!$P$1,Tb_KostenTypen[#Headers],0),0),VLOOKUP($G1512,Lijsten!L:P,MATCH(Lijsten!$P$1,Kop_Tarief_Vast,0),0))),""),"")</f>
        <v/>
      </c>
      <c r="Q1512" s="359"/>
      <c r="R1512" s="359"/>
      <c r="S1512" s="321"/>
      <c r="T1512" s="321"/>
      <c r="U1512" s="373" t="str">
        <f t="shared" si="92"/>
        <v/>
      </c>
      <c r="V1512" s="314" t="str">
        <f t="shared" si="93"/>
        <v/>
      </c>
      <c r="W1512" s="314" t="str" cm="1">
        <f t="array" aca="1" ref="W1512" ca="1">IFERROR(IF(AE1512&lt;&gt;"ja",_xlfn.IFNA(_xlfn.IFS(AND(O1512&lt;&gt;"",F1512&lt;&gt;"",RIGHT($N1512,6)="tarief",F1512="Vergoeding"),SUM(O1512)*FLOOR(SUM(Q1512),0.0001),AND(O1512&lt;&gt;"",F1512&lt;&gt;"",RIGHT($N1512,6)="tarief"),SUM(O1512)*FLOOR(SUM(Q1512),0.01),S1512&gt;0,IF(F1512&lt;&gt;"",FLOOR(SUM(S1512),0.01),"")),""),""),"")</f>
        <v/>
      </c>
      <c r="X1512" s="314" t="str" cm="1">
        <f t="array" aca="1" ref="X1512" ca="1">IFERROR(IF(AE1512&lt;&gt;"ja",_xlfn.IFNA(_xlfn.IFS(AND(P1512&lt;&gt;"",R1512&lt;&gt;"",RIGHT($N1512,6)="tarief",F1512="Vergoeding"),SUM(P1512)*FLOOR(SUM(R1512),0.0001),AND(P1512&lt;&gt;"",R1512&lt;&gt;"",RIGHT($N1512,6)="tarief"),P1512*FLOOR(R1512,0.01),T1512&gt;0,FLOOR(SUM(T1512),0.01)),""),""),"")</f>
        <v/>
      </c>
      <c r="Y1512" s="314" t="str">
        <f t="shared" ca="1" si="94"/>
        <v/>
      </c>
      <c r="Z1512" s="314" t="str" cm="1">
        <f t="array" aca="1" ref="Z1512" ca="1">IFERROR(_xlfn.IFS(OR(F1512="",LEFT(Methode_Keuze,4)="Geen",Methode_Keuze=""),"",AND(W1512&lt;&gt;"",F1512&lt;&gt;"Arbeidskosten"),W1512*VLOOKUP(F1512,Tb_ProjectKosten[],MATCH(Tb_ProjectKosten[[#Headers],[Forfait_Percentage]],Tb_ProjectKosten[#Headers],0),0),AND(F1512="Arbeidskosten",G1512&lt;&gt;""),IFERROR(W1512*VLOOKUP(G1512,Tb_KostenTypen[],3,0)*VLOOKUP(F1512,Tb_ProjectKosten[],MATCH(Tb_ProjectKosten[[#Headers],[Forfait_Percentage]],Tb_ProjectKosten[#Headers],0),0),""),W1512 &lt;=0,0),"")</f>
        <v/>
      </c>
      <c r="AA1512" s="314" t="str" cm="1">
        <f t="array" aca="1" ref="AA1512" ca="1">IFERROR(_xlfn.IFS(OR(F1512="",LEFT(Methode_Keuze,4)="Geen",Methode_Keuze=""),"",AND(X1512&lt;&gt;"",F1512&lt;&gt;"Arbeidskosten"),X1512*VLOOKUP(F1512,Tb_ProjectKosten[],MATCH(Tb_ProjectKosten[[#Headers],[Forfait_Percentage]],Tb_ProjectKosten[#Headers],0),0),AND(F1512="Arbeidskosten",G1512&lt;&gt;""),IFERROR(X1512*VLOOKUP(G1512,Tb_KostenTypen[],3,0)*VLOOKUP(F1512,Tb_ProjectKosten[],MATCH(Tb_ProjectKosten[[#Headers],[Forfait_Percentage]],Tb_ProjectKosten[#Headers],0),0),""),X1512 &lt;=0,0),"")</f>
        <v/>
      </c>
      <c r="AB1512" s="314" t="str">
        <f t="shared" ca="1" si="95"/>
        <v/>
      </c>
      <c r="AC1512" s="322"/>
      <c r="AD1512" s="315"/>
      <c r="AE1512" s="32" t="str" cm="1">
        <f t="array" ref="AE1512">IFERROR(IF(INDEX(SubsidieTabel!$AD$1:$AG$12,MATCH($F1512,SubsidieTabel!$AD$1:$AD$12,0),IFERROR(MATCH(Methode_Keuze,SubsidieTabel!$AD$1:$AG$1,0),2))&lt;&gt;1=TRUE,"ja",""),"")</f>
        <v/>
      </c>
    </row>
    <row r="1513" spans="1:31" x14ac:dyDescent="0.25">
      <c r="A1513" s="316"/>
      <c r="B1513" s="317" t="str">
        <f>IF(A1513&lt;&gt;"",_xlfn.MAXIFS($B$1:B1512,$A$1:A1512,A1513)+1,"")</f>
        <v/>
      </c>
      <c r="C1513" s="296"/>
      <c r="D1513" s="296"/>
      <c r="E1513" s="296"/>
      <c r="F1513" s="296"/>
      <c r="G1513" s="326"/>
      <c r="H1513" s="324"/>
      <c r="I1513" s="325"/>
      <c r="J1513" s="325"/>
      <c r="K1513" s="318"/>
      <c r="L1513" s="318"/>
      <c r="M1513" s="319" t="str">
        <f>IFERROR(VLOOKUP(H1513,Lijsten!$H$1:$I$100,2,0),"")</f>
        <v/>
      </c>
      <c r="N1513" s="319" t="str">
        <f ca="1">IFERROR(IF(VLOOKUP(F1513,Kostentypen!$A$3:$E$21,3,0)=0,"",IF(OR(F1513="Arbeidskosten",F1513="Vergoeding"),VLOOKUP(G1513,Tb_KostenTypen[],2,0),VLOOKUP(F1513,Kostentypen!$A$3:$E$20,3,0))),"")</f>
        <v/>
      </c>
      <c r="O1513" s="320" t="str" cm="1">
        <f t="array" ref="O1513">_xlfn.IFNA(IF(INDEX(Tb_KostenOptiesDB[],MATCH($F1513,Tb_KostenOptiesDB[KostenOptie],0),IFERROR(MATCH(Methode_Keuze,Tb_KostenOptiesDB[#Headers],0),2))=1,_xlfn.SWITCH($N1513,"Uurtarief",IF(OR(AND(RIGHT($F1513,3)="IKS",VLOOKUP($M1513,DB_Loonkosten,2,0)="Ja"),AND(RIGHT($F1513,3)&lt;&gt;"IKS",VLOOKUP($M1513,DB_Loonkosten,2,0)="Nee")),IFERROR(VLOOKUP($M1513,DB_Loonkosten,24,0),""),0),"Vast tarief",IF(LEFT(F1513,8)="Bijdrage",VLOOKUP($F1513,Tb_KostenTypen[],MATCH(Lijsten!$P$1,Tb_KostenTypen[#Headers],0),0),VLOOKUP($G1513,Lijsten!L:P,MATCH(Lijsten!$P$1,Kop_Tarief_Vast,0),0))),""),"")</f>
        <v/>
      </c>
      <c r="P1513" s="320" t="str" cm="1">
        <f t="array" ref="P1513">_xlfn.IFNA(IF(INDEX(Tb_KostenOptiesDB[],MATCH($F1513,Tb_KostenOptiesDB[KostenOptie],0),IFERROR(MATCH(Methode_Keuze,Tb_KostenOptiesDB[#Headers],0),2))=1,_xlfn.SWITCH($N1513,"Uurtarief",IF(OR(AND(RIGHT($F1513,3)="IKS",VLOOKUP($M1513,DB_Loonkosten,2,0)="Ja"),AND(RIGHT($F1513,3)&lt;&gt;"IKS",VLOOKUP($M1513,DB_Loonkosten,2,0)="Nee")),IFERROR(VLOOKUP($M1513,DB_Loonkosten,25,0),""),0),"Vast tarief",IF(LEFT(F1513,8)="Bijdrage",VLOOKUP($F1513,Tb_KostenTypen[],MATCH(Lijsten!$P$1,Tb_KostenTypen[#Headers],0),0),VLOOKUP($G1513,Lijsten!L:P,MATCH(Lijsten!$P$1,Kop_Tarief_Vast,0),0))),""),"")</f>
        <v/>
      </c>
      <c r="Q1513" s="359"/>
      <c r="R1513" s="359"/>
      <c r="S1513" s="321"/>
      <c r="T1513" s="321"/>
      <c r="U1513" s="373" t="str">
        <f t="shared" si="92"/>
        <v/>
      </c>
      <c r="V1513" s="314" t="str">
        <f t="shared" si="93"/>
        <v/>
      </c>
      <c r="W1513" s="314" t="str" cm="1">
        <f t="array" aca="1" ref="W1513" ca="1">IFERROR(IF(AE1513&lt;&gt;"ja",_xlfn.IFNA(_xlfn.IFS(AND(O1513&lt;&gt;"",F1513&lt;&gt;"",RIGHT($N1513,6)="tarief",F1513="Vergoeding"),SUM(O1513)*FLOOR(SUM(Q1513),0.0001),AND(O1513&lt;&gt;"",F1513&lt;&gt;"",RIGHT($N1513,6)="tarief"),SUM(O1513)*FLOOR(SUM(Q1513),0.01),S1513&gt;0,IF(F1513&lt;&gt;"",FLOOR(SUM(S1513),0.01),"")),""),""),"")</f>
        <v/>
      </c>
      <c r="X1513" s="314" t="str" cm="1">
        <f t="array" aca="1" ref="X1513" ca="1">IFERROR(IF(AE1513&lt;&gt;"ja",_xlfn.IFNA(_xlfn.IFS(AND(P1513&lt;&gt;"",R1513&lt;&gt;"",RIGHT($N1513,6)="tarief",F1513="Vergoeding"),SUM(P1513)*FLOOR(SUM(R1513),0.0001),AND(P1513&lt;&gt;"",R1513&lt;&gt;"",RIGHT($N1513,6)="tarief"),P1513*FLOOR(R1513,0.01),T1513&gt;0,FLOOR(SUM(T1513),0.01)),""),""),"")</f>
        <v/>
      </c>
      <c r="Y1513" s="314" t="str">
        <f t="shared" ca="1" si="94"/>
        <v/>
      </c>
      <c r="Z1513" s="314" t="str" cm="1">
        <f t="array" aca="1" ref="Z1513" ca="1">IFERROR(_xlfn.IFS(OR(F1513="",LEFT(Methode_Keuze,4)="Geen",Methode_Keuze=""),"",AND(W1513&lt;&gt;"",F1513&lt;&gt;"Arbeidskosten"),W1513*VLOOKUP(F1513,Tb_ProjectKosten[],MATCH(Tb_ProjectKosten[[#Headers],[Forfait_Percentage]],Tb_ProjectKosten[#Headers],0),0),AND(F1513="Arbeidskosten",G1513&lt;&gt;""),IFERROR(W1513*VLOOKUP(G1513,Tb_KostenTypen[],3,0)*VLOOKUP(F1513,Tb_ProjectKosten[],MATCH(Tb_ProjectKosten[[#Headers],[Forfait_Percentage]],Tb_ProjectKosten[#Headers],0),0),""),W1513 &lt;=0,0),"")</f>
        <v/>
      </c>
      <c r="AA1513" s="314" t="str" cm="1">
        <f t="array" aca="1" ref="AA1513" ca="1">IFERROR(_xlfn.IFS(OR(F1513="",LEFT(Methode_Keuze,4)="Geen",Methode_Keuze=""),"",AND(X1513&lt;&gt;"",F1513&lt;&gt;"Arbeidskosten"),X1513*VLOOKUP(F1513,Tb_ProjectKosten[],MATCH(Tb_ProjectKosten[[#Headers],[Forfait_Percentage]],Tb_ProjectKosten[#Headers],0),0),AND(F1513="Arbeidskosten",G1513&lt;&gt;""),IFERROR(X1513*VLOOKUP(G1513,Tb_KostenTypen[],3,0)*VLOOKUP(F1513,Tb_ProjectKosten[],MATCH(Tb_ProjectKosten[[#Headers],[Forfait_Percentage]],Tb_ProjectKosten[#Headers],0),0),""),X1513 &lt;=0,0),"")</f>
        <v/>
      </c>
      <c r="AB1513" s="314" t="str">
        <f t="shared" ca="1" si="95"/>
        <v/>
      </c>
      <c r="AC1513" s="322"/>
      <c r="AD1513" s="315"/>
      <c r="AE1513" s="32" t="str" cm="1">
        <f t="array" ref="AE1513">IFERROR(IF(INDEX(SubsidieTabel!$AD$1:$AG$12,MATCH($F1513,SubsidieTabel!$AD$1:$AD$12,0),IFERROR(MATCH(Methode_Keuze,SubsidieTabel!$AD$1:$AG$1,0),2))&lt;&gt;1=TRUE,"ja",""),"")</f>
        <v/>
      </c>
    </row>
    <row r="1514" spans="1:31" x14ac:dyDescent="0.25">
      <c r="A1514" s="316"/>
      <c r="B1514" s="317" t="str">
        <f>IF(A1514&lt;&gt;"",_xlfn.MAXIFS($B$1:B1513,$A$1:A1513,A1514)+1,"")</f>
        <v/>
      </c>
      <c r="C1514" s="296"/>
      <c r="D1514" s="296"/>
      <c r="E1514" s="296"/>
      <c r="F1514" s="296"/>
      <c r="G1514" s="326"/>
      <c r="H1514" s="324"/>
      <c r="I1514" s="325"/>
      <c r="J1514" s="325"/>
      <c r="K1514" s="318"/>
      <c r="L1514" s="318"/>
      <c r="M1514" s="319" t="str">
        <f>IFERROR(VLOOKUP(H1514,Lijsten!$H$1:$I$100,2,0),"")</f>
        <v/>
      </c>
      <c r="N1514" s="319" t="str">
        <f ca="1">IFERROR(IF(VLOOKUP(F1514,Kostentypen!$A$3:$E$21,3,0)=0,"",IF(OR(F1514="Arbeidskosten",F1514="Vergoeding"),VLOOKUP(G1514,Tb_KostenTypen[],2,0),VLOOKUP(F1514,Kostentypen!$A$3:$E$20,3,0))),"")</f>
        <v/>
      </c>
      <c r="O1514" s="320" t="str" cm="1">
        <f t="array" ref="O1514">_xlfn.IFNA(IF(INDEX(Tb_KostenOptiesDB[],MATCH($F1514,Tb_KostenOptiesDB[KostenOptie],0),IFERROR(MATCH(Methode_Keuze,Tb_KostenOptiesDB[#Headers],0),2))=1,_xlfn.SWITCH($N1514,"Uurtarief",IF(OR(AND(RIGHT($F1514,3)="IKS",VLOOKUP($M1514,DB_Loonkosten,2,0)="Ja"),AND(RIGHT($F1514,3)&lt;&gt;"IKS",VLOOKUP($M1514,DB_Loonkosten,2,0)="Nee")),IFERROR(VLOOKUP($M1514,DB_Loonkosten,24,0),""),0),"Vast tarief",IF(LEFT(F1514,8)="Bijdrage",VLOOKUP($F1514,Tb_KostenTypen[],MATCH(Lijsten!$P$1,Tb_KostenTypen[#Headers],0),0),VLOOKUP($G1514,Lijsten!L:P,MATCH(Lijsten!$P$1,Kop_Tarief_Vast,0),0))),""),"")</f>
        <v/>
      </c>
      <c r="P1514" s="320" t="str" cm="1">
        <f t="array" ref="P1514">_xlfn.IFNA(IF(INDEX(Tb_KostenOptiesDB[],MATCH($F1514,Tb_KostenOptiesDB[KostenOptie],0),IFERROR(MATCH(Methode_Keuze,Tb_KostenOptiesDB[#Headers],0),2))=1,_xlfn.SWITCH($N1514,"Uurtarief",IF(OR(AND(RIGHT($F1514,3)="IKS",VLOOKUP($M1514,DB_Loonkosten,2,0)="Ja"),AND(RIGHT($F1514,3)&lt;&gt;"IKS",VLOOKUP($M1514,DB_Loonkosten,2,0)="Nee")),IFERROR(VLOOKUP($M1514,DB_Loonkosten,25,0),""),0),"Vast tarief",IF(LEFT(F1514,8)="Bijdrage",VLOOKUP($F1514,Tb_KostenTypen[],MATCH(Lijsten!$P$1,Tb_KostenTypen[#Headers],0),0),VLOOKUP($G1514,Lijsten!L:P,MATCH(Lijsten!$P$1,Kop_Tarief_Vast,0),0))),""),"")</f>
        <v/>
      </c>
      <c r="Q1514" s="359"/>
      <c r="R1514" s="359"/>
      <c r="S1514" s="321"/>
      <c r="T1514" s="321"/>
      <c r="U1514" s="373" t="str">
        <f t="shared" si="92"/>
        <v/>
      </c>
      <c r="V1514" s="314" t="str">
        <f t="shared" si="93"/>
        <v/>
      </c>
      <c r="W1514" s="314" t="str" cm="1">
        <f t="array" aca="1" ref="W1514" ca="1">IFERROR(IF(AE1514&lt;&gt;"ja",_xlfn.IFNA(_xlfn.IFS(AND(O1514&lt;&gt;"",F1514&lt;&gt;"",RIGHT($N1514,6)="tarief",F1514="Vergoeding"),SUM(O1514)*FLOOR(SUM(Q1514),0.0001),AND(O1514&lt;&gt;"",F1514&lt;&gt;"",RIGHT($N1514,6)="tarief"),SUM(O1514)*FLOOR(SUM(Q1514),0.01),S1514&gt;0,IF(F1514&lt;&gt;"",FLOOR(SUM(S1514),0.01),"")),""),""),"")</f>
        <v/>
      </c>
      <c r="X1514" s="314" t="str" cm="1">
        <f t="array" aca="1" ref="X1514" ca="1">IFERROR(IF(AE1514&lt;&gt;"ja",_xlfn.IFNA(_xlfn.IFS(AND(P1514&lt;&gt;"",R1514&lt;&gt;"",RIGHT($N1514,6)="tarief",F1514="Vergoeding"),SUM(P1514)*FLOOR(SUM(R1514),0.0001),AND(P1514&lt;&gt;"",R1514&lt;&gt;"",RIGHT($N1514,6)="tarief"),P1514*FLOOR(R1514,0.01),T1514&gt;0,FLOOR(SUM(T1514),0.01)),""),""),"")</f>
        <v/>
      </c>
      <c r="Y1514" s="314" t="str">
        <f t="shared" ca="1" si="94"/>
        <v/>
      </c>
      <c r="Z1514" s="314" t="str" cm="1">
        <f t="array" aca="1" ref="Z1514" ca="1">IFERROR(_xlfn.IFS(OR(F1514="",LEFT(Methode_Keuze,4)="Geen",Methode_Keuze=""),"",AND(W1514&lt;&gt;"",F1514&lt;&gt;"Arbeidskosten"),W1514*VLOOKUP(F1514,Tb_ProjectKosten[],MATCH(Tb_ProjectKosten[[#Headers],[Forfait_Percentage]],Tb_ProjectKosten[#Headers],0),0),AND(F1514="Arbeidskosten",G1514&lt;&gt;""),IFERROR(W1514*VLOOKUP(G1514,Tb_KostenTypen[],3,0)*VLOOKUP(F1514,Tb_ProjectKosten[],MATCH(Tb_ProjectKosten[[#Headers],[Forfait_Percentage]],Tb_ProjectKosten[#Headers],0),0),""),W1514 &lt;=0,0),"")</f>
        <v/>
      </c>
      <c r="AA1514" s="314" t="str" cm="1">
        <f t="array" aca="1" ref="AA1514" ca="1">IFERROR(_xlfn.IFS(OR(F1514="",LEFT(Methode_Keuze,4)="Geen",Methode_Keuze=""),"",AND(X1514&lt;&gt;"",F1514&lt;&gt;"Arbeidskosten"),X1514*VLOOKUP(F1514,Tb_ProjectKosten[],MATCH(Tb_ProjectKosten[[#Headers],[Forfait_Percentage]],Tb_ProjectKosten[#Headers],0),0),AND(F1514="Arbeidskosten",G1514&lt;&gt;""),IFERROR(X1514*VLOOKUP(G1514,Tb_KostenTypen[],3,0)*VLOOKUP(F1514,Tb_ProjectKosten[],MATCH(Tb_ProjectKosten[[#Headers],[Forfait_Percentage]],Tb_ProjectKosten[#Headers],0),0),""),X1514 &lt;=0,0),"")</f>
        <v/>
      </c>
      <c r="AB1514" s="314" t="str">
        <f t="shared" ca="1" si="95"/>
        <v/>
      </c>
      <c r="AC1514" s="322"/>
      <c r="AD1514" s="315"/>
      <c r="AE1514" s="32" t="str" cm="1">
        <f t="array" ref="AE1514">IFERROR(IF(INDEX(SubsidieTabel!$AD$1:$AG$12,MATCH($F1514,SubsidieTabel!$AD$1:$AD$12,0),IFERROR(MATCH(Methode_Keuze,SubsidieTabel!$AD$1:$AG$1,0),2))&lt;&gt;1=TRUE,"ja",""),"")</f>
        <v/>
      </c>
    </row>
    <row r="1515" spans="1:31" x14ac:dyDescent="0.25">
      <c r="A1515" s="316"/>
      <c r="B1515" s="317" t="str">
        <f>IF(A1515&lt;&gt;"",_xlfn.MAXIFS($B$1:B1514,$A$1:A1514,A1515)+1,"")</f>
        <v/>
      </c>
      <c r="C1515" s="296"/>
      <c r="D1515" s="296"/>
      <c r="E1515" s="296"/>
      <c r="F1515" s="296"/>
      <c r="G1515" s="326"/>
      <c r="H1515" s="324"/>
      <c r="I1515" s="325"/>
      <c r="J1515" s="325"/>
      <c r="K1515" s="318"/>
      <c r="L1515" s="318"/>
      <c r="M1515" s="319" t="str">
        <f>IFERROR(VLOOKUP(H1515,Lijsten!$H$1:$I$100,2,0),"")</f>
        <v/>
      </c>
      <c r="N1515" s="319" t="str">
        <f ca="1">IFERROR(IF(VLOOKUP(F1515,Kostentypen!$A$3:$E$21,3,0)=0,"",IF(OR(F1515="Arbeidskosten",F1515="Vergoeding"),VLOOKUP(G1515,Tb_KostenTypen[],2,0),VLOOKUP(F1515,Kostentypen!$A$3:$E$20,3,0))),"")</f>
        <v/>
      </c>
      <c r="O1515" s="320" t="str" cm="1">
        <f t="array" ref="O1515">_xlfn.IFNA(IF(INDEX(Tb_KostenOptiesDB[],MATCH($F1515,Tb_KostenOptiesDB[KostenOptie],0),IFERROR(MATCH(Methode_Keuze,Tb_KostenOptiesDB[#Headers],0),2))=1,_xlfn.SWITCH($N1515,"Uurtarief",IF(OR(AND(RIGHT($F1515,3)="IKS",VLOOKUP($M1515,DB_Loonkosten,2,0)="Ja"),AND(RIGHT($F1515,3)&lt;&gt;"IKS",VLOOKUP($M1515,DB_Loonkosten,2,0)="Nee")),IFERROR(VLOOKUP($M1515,DB_Loonkosten,24,0),""),0),"Vast tarief",IF(LEFT(F1515,8)="Bijdrage",VLOOKUP($F1515,Tb_KostenTypen[],MATCH(Lijsten!$P$1,Tb_KostenTypen[#Headers],0),0),VLOOKUP($G1515,Lijsten!L:P,MATCH(Lijsten!$P$1,Kop_Tarief_Vast,0),0))),""),"")</f>
        <v/>
      </c>
      <c r="P1515" s="320" t="str" cm="1">
        <f t="array" ref="P1515">_xlfn.IFNA(IF(INDEX(Tb_KostenOptiesDB[],MATCH($F1515,Tb_KostenOptiesDB[KostenOptie],0),IFERROR(MATCH(Methode_Keuze,Tb_KostenOptiesDB[#Headers],0),2))=1,_xlfn.SWITCH($N1515,"Uurtarief",IF(OR(AND(RIGHT($F1515,3)="IKS",VLOOKUP($M1515,DB_Loonkosten,2,0)="Ja"),AND(RIGHT($F1515,3)&lt;&gt;"IKS",VLOOKUP($M1515,DB_Loonkosten,2,0)="Nee")),IFERROR(VLOOKUP($M1515,DB_Loonkosten,25,0),""),0),"Vast tarief",IF(LEFT(F1515,8)="Bijdrage",VLOOKUP($F1515,Tb_KostenTypen[],MATCH(Lijsten!$P$1,Tb_KostenTypen[#Headers],0),0),VLOOKUP($G1515,Lijsten!L:P,MATCH(Lijsten!$P$1,Kop_Tarief_Vast,0),0))),""),"")</f>
        <v/>
      </c>
      <c r="Q1515" s="359"/>
      <c r="R1515" s="359"/>
      <c r="S1515" s="321"/>
      <c r="T1515" s="321"/>
      <c r="U1515" s="373" t="str">
        <f t="shared" si="92"/>
        <v/>
      </c>
      <c r="V1515" s="314" t="str">
        <f t="shared" si="93"/>
        <v/>
      </c>
      <c r="W1515" s="314" t="str" cm="1">
        <f t="array" aca="1" ref="W1515" ca="1">IFERROR(IF(AE1515&lt;&gt;"ja",_xlfn.IFNA(_xlfn.IFS(AND(O1515&lt;&gt;"",F1515&lt;&gt;"",RIGHT($N1515,6)="tarief",F1515="Vergoeding"),SUM(O1515)*FLOOR(SUM(Q1515),0.0001),AND(O1515&lt;&gt;"",F1515&lt;&gt;"",RIGHT($N1515,6)="tarief"),SUM(O1515)*FLOOR(SUM(Q1515),0.01),S1515&gt;0,IF(F1515&lt;&gt;"",FLOOR(SUM(S1515),0.01),"")),""),""),"")</f>
        <v/>
      </c>
      <c r="X1515" s="314" t="str" cm="1">
        <f t="array" aca="1" ref="X1515" ca="1">IFERROR(IF(AE1515&lt;&gt;"ja",_xlfn.IFNA(_xlfn.IFS(AND(P1515&lt;&gt;"",R1515&lt;&gt;"",RIGHT($N1515,6)="tarief",F1515="Vergoeding"),SUM(P1515)*FLOOR(SUM(R1515),0.0001),AND(P1515&lt;&gt;"",R1515&lt;&gt;"",RIGHT($N1515,6)="tarief"),P1515*FLOOR(R1515,0.01),T1515&gt;0,FLOOR(SUM(T1515),0.01)),""),""),"")</f>
        <v/>
      </c>
      <c r="Y1515" s="314" t="str">
        <f t="shared" ca="1" si="94"/>
        <v/>
      </c>
      <c r="Z1515" s="314" t="str" cm="1">
        <f t="array" aca="1" ref="Z1515" ca="1">IFERROR(_xlfn.IFS(OR(F1515="",LEFT(Methode_Keuze,4)="Geen",Methode_Keuze=""),"",AND(W1515&lt;&gt;"",F1515&lt;&gt;"Arbeidskosten"),W1515*VLOOKUP(F1515,Tb_ProjectKosten[],MATCH(Tb_ProjectKosten[[#Headers],[Forfait_Percentage]],Tb_ProjectKosten[#Headers],0),0),AND(F1515="Arbeidskosten",G1515&lt;&gt;""),IFERROR(W1515*VLOOKUP(G1515,Tb_KostenTypen[],3,0)*VLOOKUP(F1515,Tb_ProjectKosten[],MATCH(Tb_ProjectKosten[[#Headers],[Forfait_Percentage]],Tb_ProjectKosten[#Headers],0),0),""),W1515 &lt;=0,0),"")</f>
        <v/>
      </c>
      <c r="AA1515" s="314" t="str" cm="1">
        <f t="array" aca="1" ref="AA1515" ca="1">IFERROR(_xlfn.IFS(OR(F1515="",LEFT(Methode_Keuze,4)="Geen",Methode_Keuze=""),"",AND(X1515&lt;&gt;"",F1515&lt;&gt;"Arbeidskosten"),X1515*VLOOKUP(F1515,Tb_ProjectKosten[],MATCH(Tb_ProjectKosten[[#Headers],[Forfait_Percentage]],Tb_ProjectKosten[#Headers],0),0),AND(F1515="Arbeidskosten",G1515&lt;&gt;""),IFERROR(X1515*VLOOKUP(G1515,Tb_KostenTypen[],3,0)*VLOOKUP(F1515,Tb_ProjectKosten[],MATCH(Tb_ProjectKosten[[#Headers],[Forfait_Percentage]],Tb_ProjectKosten[#Headers],0),0),""),X1515 &lt;=0,0),"")</f>
        <v/>
      </c>
      <c r="AB1515" s="314" t="str">
        <f t="shared" ca="1" si="95"/>
        <v/>
      </c>
      <c r="AC1515" s="322"/>
      <c r="AD1515" s="315"/>
      <c r="AE1515" s="32" t="str" cm="1">
        <f t="array" ref="AE1515">IFERROR(IF(INDEX(SubsidieTabel!$AD$1:$AG$12,MATCH($F1515,SubsidieTabel!$AD$1:$AD$12,0),IFERROR(MATCH(Methode_Keuze,SubsidieTabel!$AD$1:$AG$1,0),2))&lt;&gt;1=TRUE,"ja",""),"")</f>
        <v/>
      </c>
    </row>
    <row r="1516" spans="1:31" x14ac:dyDescent="0.25">
      <c r="A1516" s="316"/>
      <c r="B1516" s="317" t="str">
        <f>IF(A1516&lt;&gt;"",_xlfn.MAXIFS($B$1:B1515,$A$1:A1515,A1516)+1,"")</f>
        <v/>
      </c>
      <c r="C1516" s="296"/>
      <c r="D1516" s="296"/>
      <c r="E1516" s="296"/>
      <c r="F1516" s="296"/>
      <c r="G1516" s="326"/>
      <c r="H1516" s="324"/>
      <c r="I1516" s="325"/>
      <c r="J1516" s="325"/>
      <c r="K1516" s="318"/>
      <c r="L1516" s="318"/>
      <c r="M1516" s="319" t="str">
        <f>IFERROR(VLOOKUP(H1516,Lijsten!$H$1:$I$100,2,0),"")</f>
        <v/>
      </c>
      <c r="N1516" s="319" t="str">
        <f ca="1">IFERROR(IF(VLOOKUP(F1516,Kostentypen!$A$3:$E$21,3,0)=0,"",IF(OR(F1516="Arbeidskosten",F1516="Vergoeding"),VLOOKUP(G1516,Tb_KostenTypen[],2,0),VLOOKUP(F1516,Kostentypen!$A$3:$E$20,3,0))),"")</f>
        <v/>
      </c>
      <c r="O1516" s="320" t="str" cm="1">
        <f t="array" ref="O1516">_xlfn.IFNA(IF(INDEX(Tb_KostenOptiesDB[],MATCH($F1516,Tb_KostenOptiesDB[KostenOptie],0),IFERROR(MATCH(Methode_Keuze,Tb_KostenOptiesDB[#Headers],0),2))=1,_xlfn.SWITCH($N1516,"Uurtarief",IF(OR(AND(RIGHT($F1516,3)="IKS",VLOOKUP($M1516,DB_Loonkosten,2,0)="Ja"),AND(RIGHT($F1516,3)&lt;&gt;"IKS",VLOOKUP($M1516,DB_Loonkosten,2,0)="Nee")),IFERROR(VLOOKUP($M1516,DB_Loonkosten,24,0),""),0),"Vast tarief",IF(LEFT(F1516,8)="Bijdrage",VLOOKUP($F1516,Tb_KostenTypen[],MATCH(Lijsten!$P$1,Tb_KostenTypen[#Headers],0),0),VLOOKUP($G1516,Lijsten!L:P,MATCH(Lijsten!$P$1,Kop_Tarief_Vast,0),0))),""),"")</f>
        <v/>
      </c>
      <c r="P1516" s="320" t="str" cm="1">
        <f t="array" ref="P1516">_xlfn.IFNA(IF(INDEX(Tb_KostenOptiesDB[],MATCH($F1516,Tb_KostenOptiesDB[KostenOptie],0),IFERROR(MATCH(Methode_Keuze,Tb_KostenOptiesDB[#Headers],0),2))=1,_xlfn.SWITCH($N1516,"Uurtarief",IF(OR(AND(RIGHT($F1516,3)="IKS",VLOOKUP($M1516,DB_Loonkosten,2,0)="Ja"),AND(RIGHT($F1516,3)&lt;&gt;"IKS",VLOOKUP($M1516,DB_Loonkosten,2,0)="Nee")),IFERROR(VLOOKUP($M1516,DB_Loonkosten,25,0),""),0),"Vast tarief",IF(LEFT(F1516,8)="Bijdrage",VLOOKUP($F1516,Tb_KostenTypen[],MATCH(Lijsten!$P$1,Tb_KostenTypen[#Headers],0),0),VLOOKUP($G1516,Lijsten!L:P,MATCH(Lijsten!$P$1,Kop_Tarief_Vast,0),0))),""),"")</f>
        <v/>
      </c>
      <c r="Q1516" s="359"/>
      <c r="R1516" s="359"/>
      <c r="S1516" s="321"/>
      <c r="T1516" s="321"/>
      <c r="U1516" s="373" t="str">
        <f t="shared" si="92"/>
        <v/>
      </c>
      <c r="V1516" s="314" t="str">
        <f t="shared" si="93"/>
        <v/>
      </c>
      <c r="W1516" s="314" t="str" cm="1">
        <f t="array" aca="1" ref="W1516" ca="1">IFERROR(IF(AE1516&lt;&gt;"ja",_xlfn.IFNA(_xlfn.IFS(AND(O1516&lt;&gt;"",F1516&lt;&gt;"",RIGHT($N1516,6)="tarief",F1516="Vergoeding"),SUM(O1516)*FLOOR(SUM(Q1516),0.0001),AND(O1516&lt;&gt;"",F1516&lt;&gt;"",RIGHT($N1516,6)="tarief"),SUM(O1516)*FLOOR(SUM(Q1516),0.01),S1516&gt;0,IF(F1516&lt;&gt;"",FLOOR(SUM(S1516),0.01),"")),""),""),"")</f>
        <v/>
      </c>
      <c r="X1516" s="314" t="str" cm="1">
        <f t="array" aca="1" ref="X1516" ca="1">IFERROR(IF(AE1516&lt;&gt;"ja",_xlfn.IFNA(_xlfn.IFS(AND(P1516&lt;&gt;"",R1516&lt;&gt;"",RIGHT($N1516,6)="tarief",F1516="Vergoeding"),SUM(P1516)*FLOOR(SUM(R1516),0.0001),AND(P1516&lt;&gt;"",R1516&lt;&gt;"",RIGHT($N1516,6)="tarief"),P1516*FLOOR(R1516,0.01),T1516&gt;0,FLOOR(SUM(T1516),0.01)),""),""),"")</f>
        <v/>
      </c>
      <c r="Y1516" s="314" t="str">
        <f t="shared" ca="1" si="94"/>
        <v/>
      </c>
      <c r="Z1516" s="314" t="str" cm="1">
        <f t="array" aca="1" ref="Z1516" ca="1">IFERROR(_xlfn.IFS(OR(F1516="",LEFT(Methode_Keuze,4)="Geen",Methode_Keuze=""),"",AND(W1516&lt;&gt;"",F1516&lt;&gt;"Arbeidskosten"),W1516*VLOOKUP(F1516,Tb_ProjectKosten[],MATCH(Tb_ProjectKosten[[#Headers],[Forfait_Percentage]],Tb_ProjectKosten[#Headers],0),0),AND(F1516="Arbeidskosten",G1516&lt;&gt;""),IFERROR(W1516*VLOOKUP(G1516,Tb_KostenTypen[],3,0)*VLOOKUP(F1516,Tb_ProjectKosten[],MATCH(Tb_ProjectKosten[[#Headers],[Forfait_Percentage]],Tb_ProjectKosten[#Headers],0),0),""),W1516 &lt;=0,0),"")</f>
        <v/>
      </c>
      <c r="AA1516" s="314" t="str" cm="1">
        <f t="array" aca="1" ref="AA1516" ca="1">IFERROR(_xlfn.IFS(OR(F1516="",LEFT(Methode_Keuze,4)="Geen",Methode_Keuze=""),"",AND(X1516&lt;&gt;"",F1516&lt;&gt;"Arbeidskosten"),X1516*VLOOKUP(F1516,Tb_ProjectKosten[],MATCH(Tb_ProjectKosten[[#Headers],[Forfait_Percentage]],Tb_ProjectKosten[#Headers],0),0),AND(F1516="Arbeidskosten",G1516&lt;&gt;""),IFERROR(X1516*VLOOKUP(G1516,Tb_KostenTypen[],3,0)*VLOOKUP(F1516,Tb_ProjectKosten[],MATCH(Tb_ProjectKosten[[#Headers],[Forfait_Percentage]],Tb_ProjectKosten[#Headers],0),0),""),X1516 &lt;=0,0),"")</f>
        <v/>
      </c>
      <c r="AB1516" s="314" t="str">
        <f t="shared" ca="1" si="95"/>
        <v/>
      </c>
      <c r="AC1516" s="322"/>
      <c r="AD1516" s="315"/>
      <c r="AE1516" s="32" t="str" cm="1">
        <f t="array" ref="AE1516">IFERROR(IF(INDEX(SubsidieTabel!$AD$1:$AG$12,MATCH($F1516,SubsidieTabel!$AD$1:$AD$12,0),IFERROR(MATCH(Methode_Keuze,SubsidieTabel!$AD$1:$AG$1,0),2))&lt;&gt;1=TRUE,"ja",""),"")</f>
        <v/>
      </c>
    </row>
    <row r="1517" spans="1:31" x14ac:dyDescent="0.25">
      <c r="A1517" s="316"/>
      <c r="B1517" s="317" t="str">
        <f>IF(A1517&lt;&gt;"",_xlfn.MAXIFS($B$1:B1516,$A$1:A1516,A1517)+1,"")</f>
        <v/>
      </c>
      <c r="C1517" s="296"/>
      <c r="D1517" s="296"/>
      <c r="E1517" s="296"/>
      <c r="F1517" s="296"/>
      <c r="G1517" s="326"/>
      <c r="H1517" s="324"/>
      <c r="I1517" s="325"/>
      <c r="J1517" s="325"/>
      <c r="K1517" s="318"/>
      <c r="L1517" s="318"/>
      <c r="M1517" s="319" t="str">
        <f>IFERROR(VLOOKUP(H1517,Lijsten!$H$1:$I$100,2,0),"")</f>
        <v/>
      </c>
      <c r="N1517" s="319" t="str">
        <f ca="1">IFERROR(IF(VLOOKUP(F1517,Kostentypen!$A$3:$E$21,3,0)=0,"",IF(OR(F1517="Arbeidskosten",F1517="Vergoeding"),VLOOKUP(G1517,Tb_KostenTypen[],2,0),VLOOKUP(F1517,Kostentypen!$A$3:$E$20,3,0))),"")</f>
        <v/>
      </c>
      <c r="O1517" s="320" t="str" cm="1">
        <f t="array" ref="O1517">_xlfn.IFNA(IF(INDEX(Tb_KostenOptiesDB[],MATCH($F1517,Tb_KostenOptiesDB[KostenOptie],0),IFERROR(MATCH(Methode_Keuze,Tb_KostenOptiesDB[#Headers],0),2))=1,_xlfn.SWITCH($N1517,"Uurtarief",IF(OR(AND(RIGHT($F1517,3)="IKS",VLOOKUP($M1517,DB_Loonkosten,2,0)="Ja"),AND(RIGHT($F1517,3)&lt;&gt;"IKS",VLOOKUP($M1517,DB_Loonkosten,2,0)="Nee")),IFERROR(VLOOKUP($M1517,DB_Loonkosten,24,0),""),0),"Vast tarief",IF(LEFT(F1517,8)="Bijdrage",VLOOKUP($F1517,Tb_KostenTypen[],MATCH(Lijsten!$P$1,Tb_KostenTypen[#Headers],0),0),VLOOKUP($G1517,Lijsten!L:P,MATCH(Lijsten!$P$1,Kop_Tarief_Vast,0),0))),""),"")</f>
        <v/>
      </c>
      <c r="P1517" s="320" t="str" cm="1">
        <f t="array" ref="P1517">_xlfn.IFNA(IF(INDEX(Tb_KostenOptiesDB[],MATCH($F1517,Tb_KostenOptiesDB[KostenOptie],0),IFERROR(MATCH(Methode_Keuze,Tb_KostenOptiesDB[#Headers],0),2))=1,_xlfn.SWITCH($N1517,"Uurtarief",IF(OR(AND(RIGHT($F1517,3)="IKS",VLOOKUP($M1517,DB_Loonkosten,2,0)="Ja"),AND(RIGHT($F1517,3)&lt;&gt;"IKS",VLOOKUP($M1517,DB_Loonkosten,2,0)="Nee")),IFERROR(VLOOKUP($M1517,DB_Loonkosten,25,0),""),0),"Vast tarief",IF(LEFT(F1517,8)="Bijdrage",VLOOKUP($F1517,Tb_KostenTypen[],MATCH(Lijsten!$P$1,Tb_KostenTypen[#Headers],0),0),VLOOKUP($G1517,Lijsten!L:P,MATCH(Lijsten!$P$1,Kop_Tarief_Vast,0),0))),""),"")</f>
        <v/>
      </c>
      <c r="Q1517" s="359"/>
      <c r="R1517" s="359"/>
      <c r="S1517" s="321"/>
      <c r="T1517" s="321"/>
      <c r="U1517" s="373" t="str">
        <f t="shared" si="92"/>
        <v/>
      </c>
      <c r="V1517" s="314" t="str">
        <f t="shared" si="93"/>
        <v/>
      </c>
      <c r="W1517" s="314" t="str" cm="1">
        <f t="array" aca="1" ref="W1517" ca="1">IFERROR(IF(AE1517&lt;&gt;"ja",_xlfn.IFNA(_xlfn.IFS(AND(O1517&lt;&gt;"",F1517&lt;&gt;"",RIGHT($N1517,6)="tarief",F1517="Vergoeding"),SUM(O1517)*FLOOR(SUM(Q1517),0.0001),AND(O1517&lt;&gt;"",F1517&lt;&gt;"",RIGHT($N1517,6)="tarief"),SUM(O1517)*FLOOR(SUM(Q1517),0.01),S1517&gt;0,IF(F1517&lt;&gt;"",FLOOR(SUM(S1517),0.01),"")),""),""),"")</f>
        <v/>
      </c>
      <c r="X1517" s="314" t="str" cm="1">
        <f t="array" aca="1" ref="X1517" ca="1">IFERROR(IF(AE1517&lt;&gt;"ja",_xlfn.IFNA(_xlfn.IFS(AND(P1517&lt;&gt;"",R1517&lt;&gt;"",RIGHT($N1517,6)="tarief",F1517="Vergoeding"),SUM(P1517)*FLOOR(SUM(R1517),0.0001),AND(P1517&lt;&gt;"",R1517&lt;&gt;"",RIGHT($N1517,6)="tarief"),P1517*FLOOR(R1517,0.01),T1517&gt;0,FLOOR(SUM(T1517),0.01)),""),""),"")</f>
        <v/>
      </c>
      <c r="Y1517" s="314" t="str">
        <f t="shared" ca="1" si="94"/>
        <v/>
      </c>
      <c r="Z1517" s="314" t="str" cm="1">
        <f t="array" aca="1" ref="Z1517" ca="1">IFERROR(_xlfn.IFS(OR(F1517="",LEFT(Methode_Keuze,4)="Geen",Methode_Keuze=""),"",AND(W1517&lt;&gt;"",F1517&lt;&gt;"Arbeidskosten"),W1517*VLOOKUP(F1517,Tb_ProjectKosten[],MATCH(Tb_ProjectKosten[[#Headers],[Forfait_Percentage]],Tb_ProjectKosten[#Headers],0),0),AND(F1517="Arbeidskosten",G1517&lt;&gt;""),IFERROR(W1517*VLOOKUP(G1517,Tb_KostenTypen[],3,0)*VLOOKUP(F1517,Tb_ProjectKosten[],MATCH(Tb_ProjectKosten[[#Headers],[Forfait_Percentage]],Tb_ProjectKosten[#Headers],0),0),""),W1517 &lt;=0,0),"")</f>
        <v/>
      </c>
      <c r="AA1517" s="314" t="str" cm="1">
        <f t="array" aca="1" ref="AA1517" ca="1">IFERROR(_xlfn.IFS(OR(F1517="",LEFT(Methode_Keuze,4)="Geen",Methode_Keuze=""),"",AND(X1517&lt;&gt;"",F1517&lt;&gt;"Arbeidskosten"),X1517*VLOOKUP(F1517,Tb_ProjectKosten[],MATCH(Tb_ProjectKosten[[#Headers],[Forfait_Percentage]],Tb_ProjectKosten[#Headers],0),0),AND(F1517="Arbeidskosten",G1517&lt;&gt;""),IFERROR(X1517*VLOOKUP(G1517,Tb_KostenTypen[],3,0)*VLOOKUP(F1517,Tb_ProjectKosten[],MATCH(Tb_ProjectKosten[[#Headers],[Forfait_Percentage]],Tb_ProjectKosten[#Headers],0),0),""),X1517 &lt;=0,0),"")</f>
        <v/>
      </c>
      <c r="AB1517" s="314" t="str">
        <f t="shared" ca="1" si="95"/>
        <v/>
      </c>
      <c r="AC1517" s="322"/>
      <c r="AD1517" s="315"/>
      <c r="AE1517" s="32" t="str" cm="1">
        <f t="array" ref="AE1517">IFERROR(IF(INDEX(SubsidieTabel!$AD$1:$AG$12,MATCH($F1517,SubsidieTabel!$AD$1:$AD$12,0),IFERROR(MATCH(Methode_Keuze,SubsidieTabel!$AD$1:$AG$1,0),2))&lt;&gt;1=TRUE,"ja",""),"")</f>
        <v/>
      </c>
    </row>
    <row r="1518" spans="1:31" x14ac:dyDescent="0.25">
      <c r="A1518" s="316"/>
      <c r="B1518" s="317" t="str">
        <f>IF(A1518&lt;&gt;"",_xlfn.MAXIFS($B$1:B1517,$A$1:A1517,A1518)+1,"")</f>
        <v/>
      </c>
      <c r="C1518" s="296"/>
      <c r="D1518" s="296"/>
      <c r="E1518" s="296"/>
      <c r="F1518" s="296"/>
      <c r="G1518" s="326"/>
      <c r="H1518" s="324"/>
      <c r="I1518" s="325"/>
      <c r="J1518" s="325"/>
      <c r="K1518" s="318"/>
      <c r="L1518" s="318"/>
      <c r="M1518" s="319" t="str">
        <f>IFERROR(VLOOKUP(H1518,Lijsten!$H$1:$I$100,2,0),"")</f>
        <v/>
      </c>
      <c r="N1518" s="319" t="str">
        <f ca="1">IFERROR(IF(VLOOKUP(F1518,Kostentypen!$A$3:$E$21,3,0)=0,"",IF(OR(F1518="Arbeidskosten",F1518="Vergoeding"),VLOOKUP(G1518,Tb_KostenTypen[],2,0),VLOOKUP(F1518,Kostentypen!$A$3:$E$20,3,0))),"")</f>
        <v/>
      </c>
      <c r="O1518" s="320" t="str" cm="1">
        <f t="array" ref="O1518">_xlfn.IFNA(IF(INDEX(Tb_KostenOptiesDB[],MATCH($F1518,Tb_KostenOptiesDB[KostenOptie],0),IFERROR(MATCH(Methode_Keuze,Tb_KostenOptiesDB[#Headers],0),2))=1,_xlfn.SWITCH($N1518,"Uurtarief",IF(OR(AND(RIGHT($F1518,3)="IKS",VLOOKUP($M1518,DB_Loonkosten,2,0)="Ja"),AND(RIGHT($F1518,3)&lt;&gt;"IKS",VLOOKUP($M1518,DB_Loonkosten,2,0)="Nee")),IFERROR(VLOOKUP($M1518,DB_Loonkosten,24,0),""),0),"Vast tarief",IF(LEFT(F1518,8)="Bijdrage",VLOOKUP($F1518,Tb_KostenTypen[],MATCH(Lijsten!$P$1,Tb_KostenTypen[#Headers],0),0),VLOOKUP($G1518,Lijsten!L:P,MATCH(Lijsten!$P$1,Kop_Tarief_Vast,0),0))),""),"")</f>
        <v/>
      </c>
      <c r="P1518" s="320" t="str" cm="1">
        <f t="array" ref="P1518">_xlfn.IFNA(IF(INDEX(Tb_KostenOptiesDB[],MATCH($F1518,Tb_KostenOptiesDB[KostenOptie],0),IFERROR(MATCH(Methode_Keuze,Tb_KostenOptiesDB[#Headers],0),2))=1,_xlfn.SWITCH($N1518,"Uurtarief",IF(OR(AND(RIGHT($F1518,3)="IKS",VLOOKUP($M1518,DB_Loonkosten,2,0)="Ja"),AND(RIGHT($F1518,3)&lt;&gt;"IKS",VLOOKUP($M1518,DB_Loonkosten,2,0)="Nee")),IFERROR(VLOOKUP($M1518,DB_Loonkosten,25,0),""),0),"Vast tarief",IF(LEFT(F1518,8)="Bijdrage",VLOOKUP($F1518,Tb_KostenTypen[],MATCH(Lijsten!$P$1,Tb_KostenTypen[#Headers],0),0),VLOOKUP($G1518,Lijsten!L:P,MATCH(Lijsten!$P$1,Kop_Tarief_Vast,0),0))),""),"")</f>
        <v/>
      </c>
      <c r="Q1518" s="359"/>
      <c r="R1518" s="359"/>
      <c r="S1518" s="321"/>
      <c r="T1518" s="321"/>
      <c r="U1518" s="373" t="str">
        <f t="shared" si="92"/>
        <v/>
      </c>
      <c r="V1518" s="314" t="str">
        <f t="shared" si="93"/>
        <v/>
      </c>
      <c r="W1518" s="314" t="str" cm="1">
        <f t="array" aca="1" ref="W1518" ca="1">IFERROR(IF(AE1518&lt;&gt;"ja",_xlfn.IFNA(_xlfn.IFS(AND(O1518&lt;&gt;"",F1518&lt;&gt;"",RIGHT($N1518,6)="tarief",F1518="Vergoeding"),SUM(O1518)*FLOOR(SUM(Q1518),0.0001),AND(O1518&lt;&gt;"",F1518&lt;&gt;"",RIGHT($N1518,6)="tarief"),SUM(O1518)*FLOOR(SUM(Q1518),0.01),S1518&gt;0,IF(F1518&lt;&gt;"",FLOOR(SUM(S1518),0.01),"")),""),""),"")</f>
        <v/>
      </c>
      <c r="X1518" s="314" t="str" cm="1">
        <f t="array" aca="1" ref="X1518" ca="1">IFERROR(IF(AE1518&lt;&gt;"ja",_xlfn.IFNA(_xlfn.IFS(AND(P1518&lt;&gt;"",R1518&lt;&gt;"",RIGHT($N1518,6)="tarief",F1518="Vergoeding"),SUM(P1518)*FLOOR(SUM(R1518),0.0001),AND(P1518&lt;&gt;"",R1518&lt;&gt;"",RIGHT($N1518,6)="tarief"),P1518*FLOOR(R1518,0.01),T1518&gt;0,FLOOR(SUM(T1518),0.01)),""),""),"")</f>
        <v/>
      </c>
      <c r="Y1518" s="314" t="str">
        <f t="shared" ca="1" si="94"/>
        <v/>
      </c>
      <c r="Z1518" s="314" t="str" cm="1">
        <f t="array" aca="1" ref="Z1518" ca="1">IFERROR(_xlfn.IFS(OR(F1518="",LEFT(Methode_Keuze,4)="Geen",Methode_Keuze=""),"",AND(W1518&lt;&gt;"",F1518&lt;&gt;"Arbeidskosten"),W1518*VLOOKUP(F1518,Tb_ProjectKosten[],MATCH(Tb_ProjectKosten[[#Headers],[Forfait_Percentage]],Tb_ProjectKosten[#Headers],0),0),AND(F1518="Arbeidskosten",G1518&lt;&gt;""),IFERROR(W1518*VLOOKUP(G1518,Tb_KostenTypen[],3,0)*VLOOKUP(F1518,Tb_ProjectKosten[],MATCH(Tb_ProjectKosten[[#Headers],[Forfait_Percentage]],Tb_ProjectKosten[#Headers],0),0),""),W1518 &lt;=0,0),"")</f>
        <v/>
      </c>
      <c r="AA1518" s="314" t="str" cm="1">
        <f t="array" aca="1" ref="AA1518" ca="1">IFERROR(_xlfn.IFS(OR(F1518="",LEFT(Methode_Keuze,4)="Geen",Methode_Keuze=""),"",AND(X1518&lt;&gt;"",F1518&lt;&gt;"Arbeidskosten"),X1518*VLOOKUP(F1518,Tb_ProjectKosten[],MATCH(Tb_ProjectKosten[[#Headers],[Forfait_Percentage]],Tb_ProjectKosten[#Headers],0),0),AND(F1518="Arbeidskosten",G1518&lt;&gt;""),IFERROR(X1518*VLOOKUP(G1518,Tb_KostenTypen[],3,0)*VLOOKUP(F1518,Tb_ProjectKosten[],MATCH(Tb_ProjectKosten[[#Headers],[Forfait_Percentage]],Tb_ProjectKosten[#Headers],0),0),""),X1518 &lt;=0,0),"")</f>
        <v/>
      </c>
      <c r="AB1518" s="314" t="str">
        <f t="shared" ca="1" si="95"/>
        <v/>
      </c>
      <c r="AC1518" s="322"/>
      <c r="AD1518" s="315"/>
      <c r="AE1518" s="32" t="str" cm="1">
        <f t="array" ref="AE1518">IFERROR(IF(INDEX(SubsidieTabel!$AD$1:$AG$12,MATCH($F1518,SubsidieTabel!$AD$1:$AD$12,0),IFERROR(MATCH(Methode_Keuze,SubsidieTabel!$AD$1:$AG$1,0),2))&lt;&gt;1=TRUE,"ja",""),"")</f>
        <v/>
      </c>
    </row>
    <row r="1519" spans="1:31" x14ac:dyDescent="0.25">
      <c r="A1519" s="316"/>
      <c r="B1519" s="317" t="str">
        <f>IF(A1519&lt;&gt;"",_xlfn.MAXIFS($B$1:B1518,$A$1:A1518,A1519)+1,"")</f>
        <v/>
      </c>
      <c r="C1519" s="296"/>
      <c r="D1519" s="296"/>
      <c r="E1519" s="296"/>
      <c r="F1519" s="296"/>
      <c r="G1519" s="326"/>
      <c r="H1519" s="324"/>
      <c r="I1519" s="325"/>
      <c r="J1519" s="325"/>
      <c r="K1519" s="318"/>
      <c r="L1519" s="318"/>
      <c r="M1519" s="319" t="str">
        <f>IFERROR(VLOOKUP(H1519,Lijsten!$H$1:$I$100,2,0),"")</f>
        <v/>
      </c>
      <c r="N1519" s="319" t="str">
        <f ca="1">IFERROR(IF(VLOOKUP(F1519,Kostentypen!$A$3:$E$21,3,0)=0,"",IF(OR(F1519="Arbeidskosten",F1519="Vergoeding"),VLOOKUP(G1519,Tb_KostenTypen[],2,0),VLOOKUP(F1519,Kostentypen!$A$3:$E$20,3,0))),"")</f>
        <v/>
      </c>
      <c r="O1519" s="320" t="str" cm="1">
        <f t="array" ref="O1519">_xlfn.IFNA(IF(INDEX(Tb_KostenOptiesDB[],MATCH($F1519,Tb_KostenOptiesDB[KostenOptie],0),IFERROR(MATCH(Methode_Keuze,Tb_KostenOptiesDB[#Headers],0),2))=1,_xlfn.SWITCH($N1519,"Uurtarief",IF(OR(AND(RIGHT($F1519,3)="IKS",VLOOKUP($M1519,DB_Loonkosten,2,0)="Ja"),AND(RIGHT($F1519,3)&lt;&gt;"IKS",VLOOKUP($M1519,DB_Loonkosten,2,0)="Nee")),IFERROR(VLOOKUP($M1519,DB_Loonkosten,24,0),""),0),"Vast tarief",IF(LEFT(F1519,8)="Bijdrage",VLOOKUP($F1519,Tb_KostenTypen[],MATCH(Lijsten!$P$1,Tb_KostenTypen[#Headers],0),0),VLOOKUP($G1519,Lijsten!L:P,MATCH(Lijsten!$P$1,Kop_Tarief_Vast,0),0))),""),"")</f>
        <v/>
      </c>
      <c r="P1519" s="320" t="str" cm="1">
        <f t="array" ref="P1519">_xlfn.IFNA(IF(INDEX(Tb_KostenOptiesDB[],MATCH($F1519,Tb_KostenOptiesDB[KostenOptie],0),IFERROR(MATCH(Methode_Keuze,Tb_KostenOptiesDB[#Headers],0),2))=1,_xlfn.SWITCH($N1519,"Uurtarief",IF(OR(AND(RIGHT($F1519,3)="IKS",VLOOKUP($M1519,DB_Loonkosten,2,0)="Ja"),AND(RIGHT($F1519,3)&lt;&gt;"IKS",VLOOKUP($M1519,DB_Loonkosten,2,0)="Nee")),IFERROR(VLOOKUP($M1519,DB_Loonkosten,25,0),""),0),"Vast tarief",IF(LEFT(F1519,8)="Bijdrage",VLOOKUP($F1519,Tb_KostenTypen[],MATCH(Lijsten!$P$1,Tb_KostenTypen[#Headers],0),0),VLOOKUP($G1519,Lijsten!L:P,MATCH(Lijsten!$P$1,Kop_Tarief_Vast,0),0))),""),"")</f>
        <v/>
      </c>
      <c r="Q1519" s="359"/>
      <c r="R1519" s="359"/>
      <c r="S1519" s="321"/>
      <c r="T1519" s="321"/>
      <c r="U1519" s="373" t="str">
        <f t="shared" si="92"/>
        <v/>
      </c>
      <c r="V1519" s="314" t="str">
        <f t="shared" si="93"/>
        <v/>
      </c>
      <c r="W1519" s="314" t="str" cm="1">
        <f t="array" aca="1" ref="W1519" ca="1">IFERROR(IF(AE1519&lt;&gt;"ja",_xlfn.IFNA(_xlfn.IFS(AND(O1519&lt;&gt;"",F1519&lt;&gt;"",RIGHT($N1519,6)="tarief",F1519="Vergoeding"),SUM(O1519)*FLOOR(SUM(Q1519),0.0001),AND(O1519&lt;&gt;"",F1519&lt;&gt;"",RIGHT($N1519,6)="tarief"),SUM(O1519)*FLOOR(SUM(Q1519),0.01),S1519&gt;0,IF(F1519&lt;&gt;"",FLOOR(SUM(S1519),0.01),"")),""),""),"")</f>
        <v/>
      </c>
      <c r="X1519" s="314" t="str" cm="1">
        <f t="array" aca="1" ref="X1519" ca="1">IFERROR(IF(AE1519&lt;&gt;"ja",_xlfn.IFNA(_xlfn.IFS(AND(P1519&lt;&gt;"",R1519&lt;&gt;"",RIGHT($N1519,6)="tarief",F1519="Vergoeding"),SUM(P1519)*FLOOR(SUM(R1519),0.0001),AND(P1519&lt;&gt;"",R1519&lt;&gt;"",RIGHT($N1519,6)="tarief"),P1519*FLOOR(R1519,0.01),T1519&gt;0,FLOOR(SUM(T1519),0.01)),""),""),"")</f>
        <v/>
      </c>
      <c r="Y1519" s="314" t="str">
        <f t="shared" ca="1" si="94"/>
        <v/>
      </c>
      <c r="Z1519" s="314" t="str" cm="1">
        <f t="array" aca="1" ref="Z1519" ca="1">IFERROR(_xlfn.IFS(OR(F1519="",LEFT(Methode_Keuze,4)="Geen",Methode_Keuze=""),"",AND(W1519&lt;&gt;"",F1519&lt;&gt;"Arbeidskosten"),W1519*VLOOKUP(F1519,Tb_ProjectKosten[],MATCH(Tb_ProjectKosten[[#Headers],[Forfait_Percentage]],Tb_ProjectKosten[#Headers],0),0),AND(F1519="Arbeidskosten",G1519&lt;&gt;""),IFERROR(W1519*VLOOKUP(G1519,Tb_KostenTypen[],3,0)*VLOOKUP(F1519,Tb_ProjectKosten[],MATCH(Tb_ProjectKosten[[#Headers],[Forfait_Percentage]],Tb_ProjectKosten[#Headers],0),0),""),W1519 &lt;=0,0),"")</f>
        <v/>
      </c>
      <c r="AA1519" s="314" t="str" cm="1">
        <f t="array" aca="1" ref="AA1519" ca="1">IFERROR(_xlfn.IFS(OR(F1519="",LEFT(Methode_Keuze,4)="Geen",Methode_Keuze=""),"",AND(X1519&lt;&gt;"",F1519&lt;&gt;"Arbeidskosten"),X1519*VLOOKUP(F1519,Tb_ProjectKosten[],MATCH(Tb_ProjectKosten[[#Headers],[Forfait_Percentage]],Tb_ProjectKosten[#Headers],0),0),AND(F1519="Arbeidskosten",G1519&lt;&gt;""),IFERROR(X1519*VLOOKUP(G1519,Tb_KostenTypen[],3,0)*VLOOKUP(F1519,Tb_ProjectKosten[],MATCH(Tb_ProjectKosten[[#Headers],[Forfait_Percentage]],Tb_ProjectKosten[#Headers],0),0),""),X1519 &lt;=0,0),"")</f>
        <v/>
      </c>
      <c r="AB1519" s="314" t="str">
        <f t="shared" ca="1" si="95"/>
        <v/>
      </c>
      <c r="AC1519" s="322"/>
      <c r="AD1519" s="315"/>
      <c r="AE1519" s="32" t="str" cm="1">
        <f t="array" ref="AE1519">IFERROR(IF(INDEX(SubsidieTabel!$AD$1:$AG$12,MATCH($F1519,SubsidieTabel!$AD$1:$AD$12,0),IFERROR(MATCH(Methode_Keuze,SubsidieTabel!$AD$1:$AG$1,0),2))&lt;&gt;1=TRUE,"ja",""),"")</f>
        <v/>
      </c>
    </row>
    <row r="1520" spans="1:31" x14ac:dyDescent="0.25">
      <c r="A1520" s="316"/>
      <c r="B1520" s="317" t="str">
        <f>IF(A1520&lt;&gt;"",_xlfn.MAXIFS($B$1:B1519,$A$1:A1519,A1520)+1,"")</f>
        <v/>
      </c>
      <c r="C1520" s="296"/>
      <c r="D1520" s="296"/>
      <c r="E1520" s="296"/>
      <c r="F1520" s="296"/>
      <c r="G1520" s="326"/>
      <c r="H1520" s="324"/>
      <c r="I1520" s="325"/>
      <c r="J1520" s="325"/>
      <c r="K1520" s="318"/>
      <c r="L1520" s="318"/>
      <c r="M1520" s="319" t="str">
        <f>IFERROR(VLOOKUP(H1520,Lijsten!$H$1:$I$100,2,0),"")</f>
        <v/>
      </c>
      <c r="N1520" s="319" t="str">
        <f ca="1">IFERROR(IF(VLOOKUP(F1520,Kostentypen!$A$3:$E$21,3,0)=0,"",IF(OR(F1520="Arbeidskosten",F1520="Vergoeding"),VLOOKUP(G1520,Tb_KostenTypen[],2,0),VLOOKUP(F1520,Kostentypen!$A$3:$E$20,3,0))),"")</f>
        <v/>
      </c>
      <c r="O1520" s="320" t="str" cm="1">
        <f t="array" ref="O1520">_xlfn.IFNA(IF(INDEX(Tb_KostenOptiesDB[],MATCH($F1520,Tb_KostenOptiesDB[KostenOptie],0),IFERROR(MATCH(Methode_Keuze,Tb_KostenOptiesDB[#Headers],0),2))=1,_xlfn.SWITCH($N1520,"Uurtarief",IF(OR(AND(RIGHT($F1520,3)="IKS",VLOOKUP($M1520,DB_Loonkosten,2,0)="Ja"),AND(RIGHT($F1520,3)&lt;&gt;"IKS",VLOOKUP($M1520,DB_Loonkosten,2,0)="Nee")),IFERROR(VLOOKUP($M1520,DB_Loonkosten,24,0),""),0),"Vast tarief",IF(LEFT(F1520,8)="Bijdrage",VLOOKUP($F1520,Tb_KostenTypen[],MATCH(Lijsten!$P$1,Tb_KostenTypen[#Headers],0),0),VLOOKUP($G1520,Lijsten!L:P,MATCH(Lijsten!$P$1,Kop_Tarief_Vast,0),0))),""),"")</f>
        <v/>
      </c>
      <c r="P1520" s="320" t="str" cm="1">
        <f t="array" ref="P1520">_xlfn.IFNA(IF(INDEX(Tb_KostenOptiesDB[],MATCH($F1520,Tb_KostenOptiesDB[KostenOptie],0),IFERROR(MATCH(Methode_Keuze,Tb_KostenOptiesDB[#Headers],0),2))=1,_xlfn.SWITCH($N1520,"Uurtarief",IF(OR(AND(RIGHT($F1520,3)="IKS",VLOOKUP($M1520,DB_Loonkosten,2,0)="Ja"),AND(RIGHT($F1520,3)&lt;&gt;"IKS",VLOOKUP($M1520,DB_Loonkosten,2,0)="Nee")),IFERROR(VLOOKUP($M1520,DB_Loonkosten,25,0),""),0),"Vast tarief",IF(LEFT(F1520,8)="Bijdrage",VLOOKUP($F1520,Tb_KostenTypen[],MATCH(Lijsten!$P$1,Tb_KostenTypen[#Headers],0),0),VLOOKUP($G1520,Lijsten!L:P,MATCH(Lijsten!$P$1,Kop_Tarief_Vast,0),0))),""),"")</f>
        <v/>
      </c>
      <c r="Q1520" s="359"/>
      <c r="R1520" s="359"/>
      <c r="S1520" s="321"/>
      <c r="T1520" s="321"/>
      <c r="U1520" s="373" t="str">
        <f t="shared" si="92"/>
        <v/>
      </c>
      <c r="V1520" s="314" t="str">
        <f t="shared" si="93"/>
        <v/>
      </c>
      <c r="W1520" s="314" t="str" cm="1">
        <f t="array" aca="1" ref="W1520" ca="1">IFERROR(IF(AE1520&lt;&gt;"ja",_xlfn.IFNA(_xlfn.IFS(AND(O1520&lt;&gt;"",F1520&lt;&gt;"",RIGHT($N1520,6)="tarief",F1520="Vergoeding"),SUM(O1520)*FLOOR(SUM(Q1520),0.0001),AND(O1520&lt;&gt;"",F1520&lt;&gt;"",RIGHT($N1520,6)="tarief"),SUM(O1520)*FLOOR(SUM(Q1520),0.01),S1520&gt;0,IF(F1520&lt;&gt;"",FLOOR(SUM(S1520),0.01),"")),""),""),"")</f>
        <v/>
      </c>
      <c r="X1520" s="314" t="str" cm="1">
        <f t="array" aca="1" ref="X1520" ca="1">IFERROR(IF(AE1520&lt;&gt;"ja",_xlfn.IFNA(_xlfn.IFS(AND(P1520&lt;&gt;"",R1520&lt;&gt;"",RIGHT($N1520,6)="tarief",F1520="Vergoeding"),SUM(P1520)*FLOOR(SUM(R1520),0.0001),AND(P1520&lt;&gt;"",R1520&lt;&gt;"",RIGHT($N1520,6)="tarief"),P1520*FLOOR(R1520,0.01),T1520&gt;0,FLOOR(SUM(T1520),0.01)),""),""),"")</f>
        <v/>
      </c>
      <c r="Y1520" s="314" t="str">
        <f t="shared" ca="1" si="94"/>
        <v/>
      </c>
      <c r="Z1520" s="314" t="str" cm="1">
        <f t="array" aca="1" ref="Z1520" ca="1">IFERROR(_xlfn.IFS(OR(F1520="",LEFT(Methode_Keuze,4)="Geen",Methode_Keuze=""),"",AND(W1520&lt;&gt;"",F1520&lt;&gt;"Arbeidskosten"),W1520*VLOOKUP(F1520,Tb_ProjectKosten[],MATCH(Tb_ProjectKosten[[#Headers],[Forfait_Percentage]],Tb_ProjectKosten[#Headers],0),0),AND(F1520="Arbeidskosten",G1520&lt;&gt;""),IFERROR(W1520*VLOOKUP(G1520,Tb_KostenTypen[],3,0)*VLOOKUP(F1520,Tb_ProjectKosten[],MATCH(Tb_ProjectKosten[[#Headers],[Forfait_Percentage]],Tb_ProjectKosten[#Headers],0),0),""),W1520 &lt;=0,0),"")</f>
        <v/>
      </c>
      <c r="AA1520" s="314" t="str" cm="1">
        <f t="array" aca="1" ref="AA1520" ca="1">IFERROR(_xlfn.IFS(OR(F1520="",LEFT(Methode_Keuze,4)="Geen",Methode_Keuze=""),"",AND(X1520&lt;&gt;"",F1520&lt;&gt;"Arbeidskosten"),X1520*VLOOKUP(F1520,Tb_ProjectKosten[],MATCH(Tb_ProjectKosten[[#Headers],[Forfait_Percentage]],Tb_ProjectKosten[#Headers],0),0),AND(F1520="Arbeidskosten",G1520&lt;&gt;""),IFERROR(X1520*VLOOKUP(G1520,Tb_KostenTypen[],3,0)*VLOOKUP(F1520,Tb_ProjectKosten[],MATCH(Tb_ProjectKosten[[#Headers],[Forfait_Percentage]],Tb_ProjectKosten[#Headers],0),0),""),X1520 &lt;=0,0),"")</f>
        <v/>
      </c>
      <c r="AB1520" s="314" t="str">
        <f t="shared" ca="1" si="95"/>
        <v/>
      </c>
      <c r="AC1520" s="322"/>
      <c r="AD1520" s="315"/>
      <c r="AE1520" s="32" t="str" cm="1">
        <f t="array" ref="AE1520">IFERROR(IF(INDEX(SubsidieTabel!$AD$1:$AG$12,MATCH($F1520,SubsidieTabel!$AD$1:$AD$12,0),IFERROR(MATCH(Methode_Keuze,SubsidieTabel!$AD$1:$AG$1,0),2))&lt;&gt;1=TRUE,"ja",""),"")</f>
        <v/>
      </c>
    </row>
    <row r="1521" spans="1:31" x14ac:dyDescent="0.25">
      <c r="A1521" s="316"/>
      <c r="B1521" s="317" t="str">
        <f>IF(A1521&lt;&gt;"",_xlfn.MAXIFS($B$1:B1520,$A$1:A1520,A1521)+1,"")</f>
        <v/>
      </c>
      <c r="C1521" s="296"/>
      <c r="D1521" s="296"/>
      <c r="E1521" s="296"/>
      <c r="F1521" s="296"/>
      <c r="G1521" s="326"/>
      <c r="H1521" s="324"/>
      <c r="I1521" s="325"/>
      <c r="J1521" s="325"/>
      <c r="K1521" s="318"/>
      <c r="L1521" s="318"/>
      <c r="M1521" s="319" t="str">
        <f>IFERROR(VLOOKUP(H1521,Lijsten!$H$1:$I$100,2,0),"")</f>
        <v/>
      </c>
      <c r="N1521" s="319" t="str">
        <f ca="1">IFERROR(IF(VLOOKUP(F1521,Kostentypen!$A$3:$E$21,3,0)=0,"",IF(OR(F1521="Arbeidskosten",F1521="Vergoeding"),VLOOKUP(G1521,Tb_KostenTypen[],2,0),VLOOKUP(F1521,Kostentypen!$A$3:$E$20,3,0))),"")</f>
        <v/>
      </c>
      <c r="O1521" s="320" t="str" cm="1">
        <f t="array" ref="O1521">_xlfn.IFNA(IF(INDEX(Tb_KostenOptiesDB[],MATCH($F1521,Tb_KostenOptiesDB[KostenOptie],0),IFERROR(MATCH(Methode_Keuze,Tb_KostenOptiesDB[#Headers],0),2))=1,_xlfn.SWITCH($N1521,"Uurtarief",IF(OR(AND(RIGHT($F1521,3)="IKS",VLOOKUP($M1521,DB_Loonkosten,2,0)="Ja"),AND(RIGHT($F1521,3)&lt;&gt;"IKS",VLOOKUP($M1521,DB_Loonkosten,2,0)="Nee")),IFERROR(VLOOKUP($M1521,DB_Loonkosten,24,0),""),0),"Vast tarief",IF(LEFT(F1521,8)="Bijdrage",VLOOKUP($F1521,Tb_KostenTypen[],MATCH(Lijsten!$P$1,Tb_KostenTypen[#Headers],0),0),VLOOKUP($G1521,Lijsten!L:P,MATCH(Lijsten!$P$1,Kop_Tarief_Vast,0),0))),""),"")</f>
        <v/>
      </c>
      <c r="P1521" s="320" t="str" cm="1">
        <f t="array" ref="P1521">_xlfn.IFNA(IF(INDEX(Tb_KostenOptiesDB[],MATCH($F1521,Tb_KostenOptiesDB[KostenOptie],0),IFERROR(MATCH(Methode_Keuze,Tb_KostenOptiesDB[#Headers],0),2))=1,_xlfn.SWITCH($N1521,"Uurtarief",IF(OR(AND(RIGHT($F1521,3)="IKS",VLOOKUP($M1521,DB_Loonkosten,2,0)="Ja"),AND(RIGHT($F1521,3)&lt;&gt;"IKS",VLOOKUP($M1521,DB_Loonkosten,2,0)="Nee")),IFERROR(VLOOKUP($M1521,DB_Loonkosten,25,0),""),0),"Vast tarief",IF(LEFT(F1521,8)="Bijdrage",VLOOKUP($F1521,Tb_KostenTypen[],MATCH(Lijsten!$P$1,Tb_KostenTypen[#Headers],0),0),VLOOKUP($G1521,Lijsten!L:P,MATCH(Lijsten!$P$1,Kop_Tarief_Vast,0),0))),""),"")</f>
        <v/>
      </c>
      <c r="Q1521" s="359"/>
      <c r="R1521" s="359"/>
      <c r="S1521" s="321"/>
      <c r="T1521" s="321"/>
      <c r="U1521" s="373" t="str">
        <f t="shared" si="92"/>
        <v/>
      </c>
      <c r="V1521" s="314" t="str">
        <f t="shared" si="93"/>
        <v/>
      </c>
      <c r="W1521" s="314" t="str" cm="1">
        <f t="array" aca="1" ref="W1521" ca="1">IFERROR(IF(AE1521&lt;&gt;"ja",_xlfn.IFNA(_xlfn.IFS(AND(O1521&lt;&gt;"",F1521&lt;&gt;"",RIGHT($N1521,6)="tarief",F1521="Vergoeding"),SUM(O1521)*FLOOR(SUM(Q1521),0.0001),AND(O1521&lt;&gt;"",F1521&lt;&gt;"",RIGHT($N1521,6)="tarief"),SUM(O1521)*FLOOR(SUM(Q1521),0.01),S1521&gt;0,IF(F1521&lt;&gt;"",FLOOR(SUM(S1521),0.01),"")),""),""),"")</f>
        <v/>
      </c>
      <c r="X1521" s="314" t="str" cm="1">
        <f t="array" aca="1" ref="X1521" ca="1">IFERROR(IF(AE1521&lt;&gt;"ja",_xlfn.IFNA(_xlfn.IFS(AND(P1521&lt;&gt;"",R1521&lt;&gt;"",RIGHT($N1521,6)="tarief",F1521="Vergoeding"),SUM(P1521)*FLOOR(SUM(R1521),0.0001),AND(P1521&lt;&gt;"",R1521&lt;&gt;"",RIGHT($N1521,6)="tarief"),P1521*FLOOR(R1521,0.01),T1521&gt;0,FLOOR(SUM(T1521),0.01)),""),""),"")</f>
        <v/>
      </c>
      <c r="Y1521" s="314" t="str">
        <f t="shared" ca="1" si="94"/>
        <v/>
      </c>
      <c r="Z1521" s="314" t="str" cm="1">
        <f t="array" aca="1" ref="Z1521" ca="1">IFERROR(_xlfn.IFS(OR(F1521="",LEFT(Methode_Keuze,4)="Geen",Methode_Keuze=""),"",AND(W1521&lt;&gt;"",F1521&lt;&gt;"Arbeidskosten"),W1521*VLOOKUP(F1521,Tb_ProjectKosten[],MATCH(Tb_ProjectKosten[[#Headers],[Forfait_Percentage]],Tb_ProjectKosten[#Headers],0),0),AND(F1521="Arbeidskosten",G1521&lt;&gt;""),IFERROR(W1521*VLOOKUP(G1521,Tb_KostenTypen[],3,0)*VLOOKUP(F1521,Tb_ProjectKosten[],MATCH(Tb_ProjectKosten[[#Headers],[Forfait_Percentage]],Tb_ProjectKosten[#Headers],0),0),""),W1521 &lt;=0,0),"")</f>
        <v/>
      </c>
      <c r="AA1521" s="314" t="str" cm="1">
        <f t="array" aca="1" ref="AA1521" ca="1">IFERROR(_xlfn.IFS(OR(F1521="",LEFT(Methode_Keuze,4)="Geen",Methode_Keuze=""),"",AND(X1521&lt;&gt;"",F1521&lt;&gt;"Arbeidskosten"),X1521*VLOOKUP(F1521,Tb_ProjectKosten[],MATCH(Tb_ProjectKosten[[#Headers],[Forfait_Percentage]],Tb_ProjectKosten[#Headers],0),0),AND(F1521="Arbeidskosten",G1521&lt;&gt;""),IFERROR(X1521*VLOOKUP(G1521,Tb_KostenTypen[],3,0)*VLOOKUP(F1521,Tb_ProjectKosten[],MATCH(Tb_ProjectKosten[[#Headers],[Forfait_Percentage]],Tb_ProjectKosten[#Headers],0),0),""),X1521 &lt;=0,0),"")</f>
        <v/>
      </c>
      <c r="AB1521" s="314" t="str">
        <f t="shared" ca="1" si="95"/>
        <v/>
      </c>
      <c r="AC1521" s="322"/>
      <c r="AD1521" s="315"/>
      <c r="AE1521" s="32" t="str" cm="1">
        <f t="array" ref="AE1521">IFERROR(IF(INDEX(SubsidieTabel!$AD$1:$AG$12,MATCH($F1521,SubsidieTabel!$AD$1:$AD$12,0),IFERROR(MATCH(Methode_Keuze,SubsidieTabel!$AD$1:$AG$1,0),2))&lt;&gt;1=TRUE,"ja",""),"")</f>
        <v/>
      </c>
    </row>
    <row r="1522" spans="1:31" x14ac:dyDescent="0.25">
      <c r="A1522" s="316"/>
      <c r="B1522" s="317" t="str">
        <f>IF(A1522&lt;&gt;"",_xlfn.MAXIFS($B$1:B1521,$A$1:A1521,A1522)+1,"")</f>
        <v/>
      </c>
      <c r="C1522" s="296"/>
      <c r="D1522" s="296"/>
      <c r="E1522" s="296"/>
      <c r="F1522" s="296"/>
      <c r="G1522" s="326"/>
      <c r="H1522" s="324"/>
      <c r="I1522" s="325"/>
      <c r="J1522" s="325"/>
      <c r="K1522" s="318"/>
      <c r="L1522" s="318"/>
      <c r="M1522" s="319" t="str">
        <f>IFERROR(VLOOKUP(H1522,Lijsten!$H$1:$I$100,2,0),"")</f>
        <v/>
      </c>
      <c r="N1522" s="319" t="str">
        <f ca="1">IFERROR(IF(VLOOKUP(F1522,Kostentypen!$A$3:$E$21,3,0)=0,"",IF(OR(F1522="Arbeidskosten",F1522="Vergoeding"),VLOOKUP(G1522,Tb_KostenTypen[],2,0),VLOOKUP(F1522,Kostentypen!$A$3:$E$20,3,0))),"")</f>
        <v/>
      </c>
      <c r="O1522" s="320" t="str" cm="1">
        <f t="array" ref="O1522">_xlfn.IFNA(IF(INDEX(Tb_KostenOptiesDB[],MATCH($F1522,Tb_KostenOptiesDB[KostenOptie],0),IFERROR(MATCH(Methode_Keuze,Tb_KostenOptiesDB[#Headers],0),2))=1,_xlfn.SWITCH($N1522,"Uurtarief",IF(OR(AND(RIGHT($F1522,3)="IKS",VLOOKUP($M1522,DB_Loonkosten,2,0)="Ja"),AND(RIGHT($F1522,3)&lt;&gt;"IKS",VLOOKUP($M1522,DB_Loonkosten,2,0)="Nee")),IFERROR(VLOOKUP($M1522,DB_Loonkosten,24,0),""),0),"Vast tarief",IF(LEFT(F1522,8)="Bijdrage",VLOOKUP($F1522,Tb_KostenTypen[],MATCH(Lijsten!$P$1,Tb_KostenTypen[#Headers],0),0),VLOOKUP($G1522,Lijsten!L:P,MATCH(Lijsten!$P$1,Kop_Tarief_Vast,0),0))),""),"")</f>
        <v/>
      </c>
      <c r="P1522" s="320" t="str" cm="1">
        <f t="array" ref="P1522">_xlfn.IFNA(IF(INDEX(Tb_KostenOptiesDB[],MATCH($F1522,Tb_KostenOptiesDB[KostenOptie],0),IFERROR(MATCH(Methode_Keuze,Tb_KostenOptiesDB[#Headers],0),2))=1,_xlfn.SWITCH($N1522,"Uurtarief",IF(OR(AND(RIGHT($F1522,3)="IKS",VLOOKUP($M1522,DB_Loonkosten,2,0)="Ja"),AND(RIGHT($F1522,3)&lt;&gt;"IKS",VLOOKUP($M1522,DB_Loonkosten,2,0)="Nee")),IFERROR(VLOOKUP($M1522,DB_Loonkosten,25,0),""),0),"Vast tarief",IF(LEFT(F1522,8)="Bijdrage",VLOOKUP($F1522,Tb_KostenTypen[],MATCH(Lijsten!$P$1,Tb_KostenTypen[#Headers],0),0),VLOOKUP($G1522,Lijsten!L:P,MATCH(Lijsten!$P$1,Kop_Tarief_Vast,0),0))),""),"")</f>
        <v/>
      </c>
      <c r="Q1522" s="359"/>
      <c r="R1522" s="359"/>
      <c r="S1522" s="321"/>
      <c r="T1522" s="321"/>
      <c r="U1522" s="373" t="str">
        <f t="shared" si="92"/>
        <v/>
      </c>
      <c r="V1522" s="314" t="str">
        <f t="shared" si="93"/>
        <v/>
      </c>
      <c r="W1522" s="314" t="str" cm="1">
        <f t="array" aca="1" ref="W1522" ca="1">IFERROR(IF(AE1522&lt;&gt;"ja",_xlfn.IFNA(_xlfn.IFS(AND(O1522&lt;&gt;"",F1522&lt;&gt;"",RIGHT($N1522,6)="tarief",F1522="Vergoeding"),SUM(O1522)*FLOOR(SUM(Q1522),0.0001),AND(O1522&lt;&gt;"",F1522&lt;&gt;"",RIGHT($N1522,6)="tarief"),SUM(O1522)*FLOOR(SUM(Q1522),0.01),S1522&gt;0,IF(F1522&lt;&gt;"",FLOOR(SUM(S1522),0.01),"")),""),""),"")</f>
        <v/>
      </c>
      <c r="X1522" s="314" t="str" cm="1">
        <f t="array" aca="1" ref="X1522" ca="1">IFERROR(IF(AE1522&lt;&gt;"ja",_xlfn.IFNA(_xlfn.IFS(AND(P1522&lt;&gt;"",R1522&lt;&gt;"",RIGHT($N1522,6)="tarief",F1522="Vergoeding"),SUM(P1522)*FLOOR(SUM(R1522),0.0001),AND(P1522&lt;&gt;"",R1522&lt;&gt;"",RIGHT($N1522,6)="tarief"),P1522*FLOOR(R1522,0.01),T1522&gt;0,FLOOR(SUM(T1522),0.01)),""),""),"")</f>
        <v/>
      </c>
      <c r="Y1522" s="314" t="str">
        <f t="shared" ca="1" si="94"/>
        <v/>
      </c>
      <c r="Z1522" s="314" t="str" cm="1">
        <f t="array" aca="1" ref="Z1522" ca="1">IFERROR(_xlfn.IFS(OR(F1522="",LEFT(Methode_Keuze,4)="Geen",Methode_Keuze=""),"",AND(W1522&lt;&gt;"",F1522&lt;&gt;"Arbeidskosten"),W1522*VLOOKUP(F1522,Tb_ProjectKosten[],MATCH(Tb_ProjectKosten[[#Headers],[Forfait_Percentage]],Tb_ProjectKosten[#Headers],0),0),AND(F1522="Arbeidskosten",G1522&lt;&gt;""),IFERROR(W1522*VLOOKUP(G1522,Tb_KostenTypen[],3,0)*VLOOKUP(F1522,Tb_ProjectKosten[],MATCH(Tb_ProjectKosten[[#Headers],[Forfait_Percentage]],Tb_ProjectKosten[#Headers],0),0),""),W1522 &lt;=0,0),"")</f>
        <v/>
      </c>
      <c r="AA1522" s="314" t="str" cm="1">
        <f t="array" aca="1" ref="AA1522" ca="1">IFERROR(_xlfn.IFS(OR(F1522="",LEFT(Methode_Keuze,4)="Geen",Methode_Keuze=""),"",AND(X1522&lt;&gt;"",F1522&lt;&gt;"Arbeidskosten"),X1522*VLOOKUP(F1522,Tb_ProjectKosten[],MATCH(Tb_ProjectKosten[[#Headers],[Forfait_Percentage]],Tb_ProjectKosten[#Headers],0),0),AND(F1522="Arbeidskosten",G1522&lt;&gt;""),IFERROR(X1522*VLOOKUP(G1522,Tb_KostenTypen[],3,0)*VLOOKUP(F1522,Tb_ProjectKosten[],MATCH(Tb_ProjectKosten[[#Headers],[Forfait_Percentage]],Tb_ProjectKosten[#Headers],0),0),""),X1522 &lt;=0,0),"")</f>
        <v/>
      </c>
      <c r="AB1522" s="314" t="str">
        <f t="shared" ca="1" si="95"/>
        <v/>
      </c>
      <c r="AC1522" s="322"/>
      <c r="AD1522" s="315"/>
      <c r="AE1522" s="32" t="str" cm="1">
        <f t="array" ref="AE1522">IFERROR(IF(INDEX(SubsidieTabel!$AD$1:$AG$12,MATCH($F1522,SubsidieTabel!$AD$1:$AD$12,0),IFERROR(MATCH(Methode_Keuze,SubsidieTabel!$AD$1:$AG$1,0),2))&lt;&gt;1=TRUE,"ja",""),"")</f>
        <v/>
      </c>
    </row>
    <row r="1523" spans="1:31" x14ac:dyDescent="0.25">
      <c r="A1523" s="316"/>
      <c r="B1523" s="317" t="str">
        <f>IF(A1523&lt;&gt;"",_xlfn.MAXIFS($B$1:B1522,$A$1:A1522,A1523)+1,"")</f>
        <v/>
      </c>
      <c r="C1523" s="296"/>
      <c r="D1523" s="296"/>
      <c r="E1523" s="296"/>
      <c r="F1523" s="296"/>
      <c r="G1523" s="326"/>
      <c r="H1523" s="324"/>
      <c r="I1523" s="325"/>
      <c r="J1523" s="325"/>
      <c r="K1523" s="318"/>
      <c r="L1523" s="318"/>
      <c r="M1523" s="319" t="str">
        <f>IFERROR(VLOOKUP(H1523,Lijsten!$H$1:$I$100,2,0),"")</f>
        <v/>
      </c>
      <c r="N1523" s="319" t="str">
        <f ca="1">IFERROR(IF(VLOOKUP(F1523,Kostentypen!$A$3:$E$21,3,0)=0,"",IF(OR(F1523="Arbeidskosten",F1523="Vergoeding"),VLOOKUP(G1523,Tb_KostenTypen[],2,0),VLOOKUP(F1523,Kostentypen!$A$3:$E$20,3,0))),"")</f>
        <v/>
      </c>
      <c r="O1523" s="320" t="str" cm="1">
        <f t="array" ref="O1523">_xlfn.IFNA(IF(INDEX(Tb_KostenOptiesDB[],MATCH($F1523,Tb_KostenOptiesDB[KostenOptie],0),IFERROR(MATCH(Methode_Keuze,Tb_KostenOptiesDB[#Headers],0),2))=1,_xlfn.SWITCH($N1523,"Uurtarief",IF(OR(AND(RIGHT($F1523,3)="IKS",VLOOKUP($M1523,DB_Loonkosten,2,0)="Ja"),AND(RIGHT($F1523,3)&lt;&gt;"IKS",VLOOKUP($M1523,DB_Loonkosten,2,0)="Nee")),IFERROR(VLOOKUP($M1523,DB_Loonkosten,24,0),""),0),"Vast tarief",IF(LEFT(F1523,8)="Bijdrage",VLOOKUP($F1523,Tb_KostenTypen[],MATCH(Lijsten!$P$1,Tb_KostenTypen[#Headers],0),0),VLOOKUP($G1523,Lijsten!L:P,MATCH(Lijsten!$P$1,Kop_Tarief_Vast,0),0))),""),"")</f>
        <v/>
      </c>
      <c r="P1523" s="320" t="str" cm="1">
        <f t="array" ref="P1523">_xlfn.IFNA(IF(INDEX(Tb_KostenOptiesDB[],MATCH($F1523,Tb_KostenOptiesDB[KostenOptie],0),IFERROR(MATCH(Methode_Keuze,Tb_KostenOptiesDB[#Headers],0),2))=1,_xlfn.SWITCH($N1523,"Uurtarief",IF(OR(AND(RIGHT($F1523,3)="IKS",VLOOKUP($M1523,DB_Loonkosten,2,0)="Ja"),AND(RIGHT($F1523,3)&lt;&gt;"IKS",VLOOKUP($M1523,DB_Loonkosten,2,0)="Nee")),IFERROR(VLOOKUP($M1523,DB_Loonkosten,25,0),""),0),"Vast tarief",IF(LEFT(F1523,8)="Bijdrage",VLOOKUP($F1523,Tb_KostenTypen[],MATCH(Lijsten!$P$1,Tb_KostenTypen[#Headers],0),0),VLOOKUP($G1523,Lijsten!L:P,MATCH(Lijsten!$P$1,Kop_Tarief_Vast,0),0))),""),"")</f>
        <v/>
      </c>
      <c r="Q1523" s="359"/>
      <c r="R1523" s="359"/>
      <c r="S1523" s="321"/>
      <c r="T1523" s="321"/>
      <c r="U1523" s="373" t="str">
        <f t="shared" si="92"/>
        <v/>
      </c>
      <c r="V1523" s="314" t="str">
        <f t="shared" si="93"/>
        <v/>
      </c>
      <c r="W1523" s="314" t="str" cm="1">
        <f t="array" aca="1" ref="W1523" ca="1">IFERROR(IF(AE1523&lt;&gt;"ja",_xlfn.IFNA(_xlfn.IFS(AND(O1523&lt;&gt;"",F1523&lt;&gt;"",RIGHT($N1523,6)="tarief",F1523="Vergoeding"),SUM(O1523)*FLOOR(SUM(Q1523),0.0001),AND(O1523&lt;&gt;"",F1523&lt;&gt;"",RIGHT($N1523,6)="tarief"),SUM(O1523)*FLOOR(SUM(Q1523),0.01),S1523&gt;0,IF(F1523&lt;&gt;"",FLOOR(SUM(S1523),0.01),"")),""),""),"")</f>
        <v/>
      </c>
      <c r="X1523" s="314" t="str" cm="1">
        <f t="array" aca="1" ref="X1523" ca="1">IFERROR(IF(AE1523&lt;&gt;"ja",_xlfn.IFNA(_xlfn.IFS(AND(P1523&lt;&gt;"",R1523&lt;&gt;"",RIGHT($N1523,6)="tarief",F1523="Vergoeding"),SUM(P1523)*FLOOR(SUM(R1523),0.0001),AND(P1523&lt;&gt;"",R1523&lt;&gt;"",RIGHT($N1523,6)="tarief"),P1523*FLOOR(R1523,0.01),T1523&gt;0,FLOOR(SUM(T1523),0.01)),""),""),"")</f>
        <v/>
      </c>
      <c r="Y1523" s="314" t="str">
        <f t="shared" ca="1" si="94"/>
        <v/>
      </c>
      <c r="Z1523" s="314" t="str" cm="1">
        <f t="array" aca="1" ref="Z1523" ca="1">IFERROR(_xlfn.IFS(OR(F1523="",LEFT(Methode_Keuze,4)="Geen",Methode_Keuze=""),"",AND(W1523&lt;&gt;"",F1523&lt;&gt;"Arbeidskosten"),W1523*VLOOKUP(F1523,Tb_ProjectKosten[],MATCH(Tb_ProjectKosten[[#Headers],[Forfait_Percentage]],Tb_ProjectKosten[#Headers],0),0),AND(F1523="Arbeidskosten",G1523&lt;&gt;""),IFERROR(W1523*VLOOKUP(G1523,Tb_KostenTypen[],3,0)*VLOOKUP(F1523,Tb_ProjectKosten[],MATCH(Tb_ProjectKosten[[#Headers],[Forfait_Percentage]],Tb_ProjectKosten[#Headers],0),0),""),W1523 &lt;=0,0),"")</f>
        <v/>
      </c>
      <c r="AA1523" s="314" t="str" cm="1">
        <f t="array" aca="1" ref="AA1523" ca="1">IFERROR(_xlfn.IFS(OR(F1523="",LEFT(Methode_Keuze,4)="Geen",Methode_Keuze=""),"",AND(X1523&lt;&gt;"",F1523&lt;&gt;"Arbeidskosten"),X1523*VLOOKUP(F1523,Tb_ProjectKosten[],MATCH(Tb_ProjectKosten[[#Headers],[Forfait_Percentage]],Tb_ProjectKosten[#Headers],0),0),AND(F1523="Arbeidskosten",G1523&lt;&gt;""),IFERROR(X1523*VLOOKUP(G1523,Tb_KostenTypen[],3,0)*VLOOKUP(F1523,Tb_ProjectKosten[],MATCH(Tb_ProjectKosten[[#Headers],[Forfait_Percentage]],Tb_ProjectKosten[#Headers],0),0),""),X1523 &lt;=0,0),"")</f>
        <v/>
      </c>
      <c r="AB1523" s="314" t="str">
        <f t="shared" ca="1" si="95"/>
        <v/>
      </c>
      <c r="AC1523" s="322"/>
      <c r="AD1523" s="315"/>
      <c r="AE1523" s="32" t="str" cm="1">
        <f t="array" ref="AE1523">IFERROR(IF(INDEX(SubsidieTabel!$AD$1:$AG$12,MATCH($F1523,SubsidieTabel!$AD$1:$AD$12,0),IFERROR(MATCH(Methode_Keuze,SubsidieTabel!$AD$1:$AG$1,0),2))&lt;&gt;1=TRUE,"ja",""),"")</f>
        <v/>
      </c>
    </row>
    <row r="1524" spans="1:31" x14ac:dyDescent="0.25">
      <c r="A1524" s="316"/>
      <c r="B1524" s="317" t="str">
        <f>IF(A1524&lt;&gt;"",_xlfn.MAXIFS($B$1:B1523,$A$1:A1523,A1524)+1,"")</f>
        <v/>
      </c>
      <c r="C1524" s="296"/>
      <c r="D1524" s="296"/>
      <c r="E1524" s="296"/>
      <c r="F1524" s="296"/>
      <c r="G1524" s="326"/>
      <c r="H1524" s="324"/>
      <c r="I1524" s="325"/>
      <c r="J1524" s="325"/>
      <c r="K1524" s="318"/>
      <c r="L1524" s="318"/>
      <c r="M1524" s="319" t="str">
        <f>IFERROR(VLOOKUP(H1524,Lijsten!$H$1:$I$100,2,0),"")</f>
        <v/>
      </c>
      <c r="N1524" s="319" t="str">
        <f ca="1">IFERROR(IF(VLOOKUP(F1524,Kostentypen!$A$3:$E$21,3,0)=0,"",IF(OR(F1524="Arbeidskosten",F1524="Vergoeding"),VLOOKUP(G1524,Tb_KostenTypen[],2,0),VLOOKUP(F1524,Kostentypen!$A$3:$E$20,3,0))),"")</f>
        <v/>
      </c>
      <c r="O1524" s="320" t="str" cm="1">
        <f t="array" ref="O1524">_xlfn.IFNA(IF(INDEX(Tb_KostenOptiesDB[],MATCH($F1524,Tb_KostenOptiesDB[KostenOptie],0),IFERROR(MATCH(Methode_Keuze,Tb_KostenOptiesDB[#Headers],0),2))=1,_xlfn.SWITCH($N1524,"Uurtarief",IF(OR(AND(RIGHT($F1524,3)="IKS",VLOOKUP($M1524,DB_Loonkosten,2,0)="Ja"),AND(RIGHT($F1524,3)&lt;&gt;"IKS",VLOOKUP($M1524,DB_Loonkosten,2,0)="Nee")),IFERROR(VLOOKUP($M1524,DB_Loonkosten,24,0),""),0),"Vast tarief",IF(LEFT(F1524,8)="Bijdrage",VLOOKUP($F1524,Tb_KostenTypen[],MATCH(Lijsten!$P$1,Tb_KostenTypen[#Headers],0),0),VLOOKUP($G1524,Lijsten!L:P,MATCH(Lijsten!$P$1,Kop_Tarief_Vast,0),0))),""),"")</f>
        <v/>
      </c>
      <c r="P1524" s="320" t="str" cm="1">
        <f t="array" ref="P1524">_xlfn.IFNA(IF(INDEX(Tb_KostenOptiesDB[],MATCH($F1524,Tb_KostenOptiesDB[KostenOptie],0),IFERROR(MATCH(Methode_Keuze,Tb_KostenOptiesDB[#Headers],0),2))=1,_xlfn.SWITCH($N1524,"Uurtarief",IF(OR(AND(RIGHT($F1524,3)="IKS",VLOOKUP($M1524,DB_Loonkosten,2,0)="Ja"),AND(RIGHT($F1524,3)&lt;&gt;"IKS",VLOOKUP($M1524,DB_Loonkosten,2,0)="Nee")),IFERROR(VLOOKUP($M1524,DB_Loonkosten,25,0),""),0),"Vast tarief",IF(LEFT(F1524,8)="Bijdrage",VLOOKUP($F1524,Tb_KostenTypen[],MATCH(Lijsten!$P$1,Tb_KostenTypen[#Headers],0),0),VLOOKUP($G1524,Lijsten!L:P,MATCH(Lijsten!$P$1,Kop_Tarief_Vast,0),0))),""),"")</f>
        <v/>
      </c>
      <c r="Q1524" s="359"/>
      <c r="R1524" s="359"/>
      <c r="S1524" s="321"/>
      <c r="T1524" s="321"/>
      <c r="U1524" s="373" t="str">
        <f t="shared" si="92"/>
        <v/>
      </c>
      <c r="V1524" s="314" t="str">
        <f t="shared" si="93"/>
        <v/>
      </c>
      <c r="W1524" s="314" t="str" cm="1">
        <f t="array" aca="1" ref="W1524" ca="1">IFERROR(IF(AE1524&lt;&gt;"ja",_xlfn.IFNA(_xlfn.IFS(AND(O1524&lt;&gt;"",F1524&lt;&gt;"",RIGHT($N1524,6)="tarief",F1524="Vergoeding"),SUM(O1524)*FLOOR(SUM(Q1524),0.0001),AND(O1524&lt;&gt;"",F1524&lt;&gt;"",RIGHT($N1524,6)="tarief"),SUM(O1524)*FLOOR(SUM(Q1524),0.01),S1524&gt;0,IF(F1524&lt;&gt;"",FLOOR(SUM(S1524),0.01),"")),""),""),"")</f>
        <v/>
      </c>
      <c r="X1524" s="314" t="str" cm="1">
        <f t="array" aca="1" ref="X1524" ca="1">IFERROR(IF(AE1524&lt;&gt;"ja",_xlfn.IFNA(_xlfn.IFS(AND(P1524&lt;&gt;"",R1524&lt;&gt;"",RIGHT($N1524,6)="tarief",F1524="Vergoeding"),SUM(P1524)*FLOOR(SUM(R1524),0.0001),AND(P1524&lt;&gt;"",R1524&lt;&gt;"",RIGHT($N1524,6)="tarief"),P1524*FLOOR(R1524,0.01),T1524&gt;0,FLOOR(SUM(T1524),0.01)),""),""),"")</f>
        <v/>
      </c>
      <c r="Y1524" s="314" t="str">
        <f t="shared" ca="1" si="94"/>
        <v/>
      </c>
      <c r="Z1524" s="314" t="str" cm="1">
        <f t="array" aca="1" ref="Z1524" ca="1">IFERROR(_xlfn.IFS(OR(F1524="",LEFT(Methode_Keuze,4)="Geen",Methode_Keuze=""),"",AND(W1524&lt;&gt;"",F1524&lt;&gt;"Arbeidskosten"),W1524*VLOOKUP(F1524,Tb_ProjectKosten[],MATCH(Tb_ProjectKosten[[#Headers],[Forfait_Percentage]],Tb_ProjectKosten[#Headers],0),0),AND(F1524="Arbeidskosten",G1524&lt;&gt;""),IFERROR(W1524*VLOOKUP(G1524,Tb_KostenTypen[],3,0)*VLOOKUP(F1524,Tb_ProjectKosten[],MATCH(Tb_ProjectKosten[[#Headers],[Forfait_Percentage]],Tb_ProjectKosten[#Headers],0),0),""),W1524 &lt;=0,0),"")</f>
        <v/>
      </c>
      <c r="AA1524" s="314" t="str" cm="1">
        <f t="array" aca="1" ref="AA1524" ca="1">IFERROR(_xlfn.IFS(OR(F1524="",LEFT(Methode_Keuze,4)="Geen",Methode_Keuze=""),"",AND(X1524&lt;&gt;"",F1524&lt;&gt;"Arbeidskosten"),X1524*VLOOKUP(F1524,Tb_ProjectKosten[],MATCH(Tb_ProjectKosten[[#Headers],[Forfait_Percentage]],Tb_ProjectKosten[#Headers],0),0),AND(F1524="Arbeidskosten",G1524&lt;&gt;""),IFERROR(X1524*VLOOKUP(G1524,Tb_KostenTypen[],3,0)*VLOOKUP(F1524,Tb_ProjectKosten[],MATCH(Tb_ProjectKosten[[#Headers],[Forfait_Percentage]],Tb_ProjectKosten[#Headers],0),0),""),X1524 &lt;=0,0),"")</f>
        <v/>
      </c>
      <c r="AB1524" s="314" t="str">
        <f t="shared" ca="1" si="95"/>
        <v/>
      </c>
      <c r="AC1524" s="322"/>
      <c r="AD1524" s="315"/>
      <c r="AE1524" s="32" t="str" cm="1">
        <f t="array" ref="AE1524">IFERROR(IF(INDEX(SubsidieTabel!$AD$1:$AG$12,MATCH($F1524,SubsidieTabel!$AD$1:$AD$12,0),IFERROR(MATCH(Methode_Keuze,SubsidieTabel!$AD$1:$AG$1,0),2))&lt;&gt;1=TRUE,"ja",""),"")</f>
        <v/>
      </c>
    </row>
    <row r="1525" spans="1:31" x14ac:dyDescent="0.25">
      <c r="A1525" s="316"/>
      <c r="B1525" s="317" t="str">
        <f>IF(A1525&lt;&gt;"",_xlfn.MAXIFS($B$1:B1524,$A$1:A1524,A1525)+1,"")</f>
        <v/>
      </c>
      <c r="C1525" s="296"/>
      <c r="D1525" s="296"/>
      <c r="E1525" s="296"/>
      <c r="F1525" s="296"/>
      <c r="G1525" s="326"/>
      <c r="H1525" s="324"/>
      <c r="I1525" s="325"/>
      <c r="J1525" s="325"/>
      <c r="K1525" s="318"/>
      <c r="L1525" s="318"/>
      <c r="M1525" s="319" t="str">
        <f>IFERROR(VLOOKUP(H1525,Lijsten!$H$1:$I$100,2,0),"")</f>
        <v/>
      </c>
      <c r="N1525" s="319" t="str">
        <f ca="1">IFERROR(IF(VLOOKUP(F1525,Kostentypen!$A$3:$E$21,3,0)=0,"",IF(OR(F1525="Arbeidskosten",F1525="Vergoeding"),VLOOKUP(G1525,Tb_KostenTypen[],2,0),VLOOKUP(F1525,Kostentypen!$A$3:$E$20,3,0))),"")</f>
        <v/>
      </c>
      <c r="O1525" s="320" t="str" cm="1">
        <f t="array" ref="O1525">_xlfn.IFNA(IF(INDEX(Tb_KostenOptiesDB[],MATCH($F1525,Tb_KostenOptiesDB[KostenOptie],0),IFERROR(MATCH(Methode_Keuze,Tb_KostenOptiesDB[#Headers],0),2))=1,_xlfn.SWITCH($N1525,"Uurtarief",IF(OR(AND(RIGHT($F1525,3)="IKS",VLOOKUP($M1525,DB_Loonkosten,2,0)="Ja"),AND(RIGHT($F1525,3)&lt;&gt;"IKS",VLOOKUP($M1525,DB_Loonkosten,2,0)="Nee")),IFERROR(VLOOKUP($M1525,DB_Loonkosten,24,0),""),0),"Vast tarief",IF(LEFT(F1525,8)="Bijdrage",VLOOKUP($F1525,Tb_KostenTypen[],MATCH(Lijsten!$P$1,Tb_KostenTypen[#Headers],0),0),VLOOKUP($G1525,Lijsten!L:P,MATCH(Lijsten!$P$1,Kop_Tarief_Vast,0),0))),""),"")</f>
        <v/>
      </c>
      <c r="P1525" s="320" t="str" cm="1">
        <f t="array" ref="P1525">_xlfn.IFNA(IF(INDEX(Tb_KostenOptiesDB[],MATCH($F1525,Tb_KostenOptiesDB[KostenOptie],0),IFERROR(MATCH(Methode_Keuze,Tb_KostenOptiesDB[#Headers],0),2))=1,_xlfn.SWITCH($N1525,"Uurtarief",IF(OR(AND(RIGHT($F1525,3)="IKS",VLOOKUP($M1525,DB_Loonkosten,2,0)="Ja"),AND(RIGHT($F1525,3)&lt;&gt;"IKS",VLOOKUP($M1525,DB_Loonkosten,2,0)="Nee")),IFERROR(VLOOKUP($M1525,DB_Loonkosten,25,0),""),0),"Vast tarief",IF(LEFT(F1525,8)="Bijdrage",VLOOKUP($F1525,Tb_KostenTypen[],MATCH(Lijsten!$P$1,Tb_KostenTypen[#Headers],0),0),VLOOKUP($G1525,Lijsten!L:P,MATCH(Lijsten!$P$1,Kop_Tarief_Vast,0),0))),""),"")</f>
        <v/>
      </c>
      <c r="Q1525" s="359"/>
      <c r="R1525" s="359"/>
      <c r="S1525" s="321"/>
      <c r="T1525" s="321"/>
      <c r="U1525" s="373" t="str">
        <f t="shared" si="92"/>
        <v/>
      </c>
      <c r="V1525" s="314" t="str">
        <f t="shared" si="93"/>
        <v/>
      </c>
      <c r="W1525" s="314" t="str" cm="1">
        <f t="array" aca="1" ref="W1525" ca="1">IFERROR(IF(AE1525&lt;&gt;"ja",_xlfn.IFNA(_xlfn.IFS(AND(O1525&lt;&gt;"",F1525&lt;&gt;"",RIGHT($N1525,6)="tarief",F1525="Vergoeding"),SUM(O1525)*FLOOR(SUM(Q1525),0.0001),AND(O1525&lt;&gt;"",F1525&lt;&gt;"",RIGHT($N1525,6)="tarief"),SUM(O1525)*FLOOR(SUM(Q1525),0.01),S1525&gt;0,IF(F1525&lt;&gt;"",FLOOR(SUM(S1525),0.01),"")),""),""),"")</f>
        <v/>
      </c>
      <c r="X1525" s="314" t="str" cm="1">
        <f t="array" aca="1" ref="X1525" ca="1">IFERROR(IF(AE1525&lt;&gt;"ja",_xlfn.IFNA(_xlfn.IFS(AND(P1525&lt;&gt;"",R1525&lt;&gt;"",RIGHT($N1525,6)="tarief",F1525="Vergoeding"),SUM(P1525)*FLOOR(SUM(R1525),0.0001),AND(P1525&lt;&gt;"",R1525&lt;&gt;"",RIGHT($N1525,6)="tarief"),P1525*FLOOR(R1525,0.01),T1525&gt;0,FLOOR(SUM(T1525),0.01)),""),""),"")</f>
        <v/>
      </c>
      <c r="Y1525" s="314" t="str">
        <f t="shared" ca="1" si="94"/>
        <v/>
      </c>
      <c r="Z1525" s="314" t="str" cm="1">
        <f t="array" aca="1" ref="Z1525" ca="1">IFERROR(_xlfn.IFS(OR(F1525="",LEFT(Methode_Keuze,4)="Geen",Methode_Keuze=""),"",AND(W1525&lt;&gt;"",F1525&lt;&gt;"Arbeidskosten"),W1525*VLOOKUP(F1525,Tb_ProjectKosten[],MATCH(Tb_ProjectKosten[[#Headers],[Forfait_Percentage]],Tb_ProjectKosten[#Headers],0),0),AND(F1525="Arbeidskosten",G1525&lt;&gt;""),IFERROR(W1525*VLOOKUP(G1525,Tb_KostenTypen[],3,0)*VLOOKUP(F1525,Tb_ProjectKosten[],MATCH(Tb_ProjectKosten[[#Headers],[Forfait_Percentage]],Tb_ProjectKosten[#Headers],0),0),""),W1525 &lt;=0,0),"")</f>
        <v/>
      </c>
      <c r="AA1525" s="314" t="str" cm="1">
        <f t="array" aca="1" ref="AA1525" ca="1">IFERROR(_xlfn.IFS(OR(F1525="",LEFT(Methode_Keuze,4)="Geen",Methode_Keuze=""),"",AND(X1525&lt;&gt;"",F1525&lt;&gt;"Arbeidskosten"),X1525*VLOOKUP(F1525,Tb_ProjectKosten[],MATCH(Tb_ProjectKosten[[#Headers],[Forfait_Percentage]],Tb_ProjectKosten[#Headers],0),0),AND(F1525="Arbeidskosten",G1525&lt;&gt;""),IFERROR(X1525*VLOOKUP(G1525,Tb_KostenTypen[],3,0)*VLOOKUP(F1525,Tb_ProjectKosten[],MATCH(Tb_ProjectKosten[[#Headers],[Forfait_Percentage]],Tb_ProjectKosten[#Headers],0),0),""),X1525 &lt;=0,0),"")</f>
        <v/>
      </c>
      <c r="AB1525" s="314" t="str">
        <f t="shared" ca="1" si="95"/>
        <v/>
      </c>
      <c r="AC1525" s="322"/>
      <c r="AD1525" s="315"/>
      <c r="AE1525" s="32" t="str" cm="1">
        <f t="array" ref="AE1525">IFERROR(IF(INDEX(SubsidieTabel!$AD$1:$AG$12,MATCH($F1525,SubsidieTabel!$AD$1:$AD$12,0),IFERROR(MATCH(Methode_Keuze,SubsidieTabel!$AD$1:$AG$1,0),2))&lt;&gt;1=TRUE,"ja",""),"")</f>
        <v/>
      </c>
    </row>
    <row r="1526" spans="1:31" x14ac:dyDescent="0.25">
      <c r="A1526" s="316"/>
      <c r="B1526" s="317" t="str">
        <f>IF(A1526&lt;&gt;"",_xlfn.MAXIFS($B$1:B1525,$A$1:A1525,A1526)+1,"")</f>
        <v/>
      </c>
      <c r="C1526" s="296"/>
      <c r="D1526" s="296"/>
      <c r="E1526" s="296"/>
      <c r="F1526" s="296"/>
      <c r="G1526" s="326"/>
      <c r="H1526" s="324"/>
      <c r="I1526" s="325"/>
      <c r="J1526" s="325"/>
      <c r="K1526" s="318"/>
      <c r="L1526" s="318"/>
      <c r="M1526" s="319" t="str">
        <f>IFERROR(VLOOKUP(H1526,Lijsten!$H$1:$I$100,2,0),"")</f>
        <v/>
      </c>
      <c r="N1526" s="319" t="str">
        <f ca="1">IFERROR(IF(VLOOKUP(F1526,Kostentypen!$A$3:$E$21,3,0)=0,"",IF(OR(F1526="Arbeidskosten",F1526="Vergoeding"),VLOOKUP(G1526,Tb_KostenTypen[],2,0),VLOOKUP(F1526,Kostentypen!$A$3:$E$20,3,0))),"")</f>
        <v/>
      </c>
      <c r="O1526" s="320" t="str" cm="1">
        <f t="array" ref="O1526">_xlfn.IFNA(IF(INDEX(Tb_KostenOptiesDB[],MATCH($F1526,Tb_KostenOptiesDB[KostenOptie],0),IFERROR(MATCH(Methode_Keuze,Tb_KostenOptiesDB[#Headers],0),2))=1,_xlfn.SWITCH($N1526,"Uurtarief",IF(OR(AND(RIGHT($F1526,3)="IKS",VLOOKUP($M1526,DB_Loonkosten,2,0)="Ja"),AND(RIGHT($F1526,3)&lt;&gt;"IKS",VLOOKUP($M1526,DB_Loonkosten,2,0)="Nee")),IFERROR(VLOOKUP($M1526,DB_Loonkosten,24,0),""),0),"Vast tarief",IF(LEFT(F1526,8)="Bijdrage",VLOOKUP($F1526,Tb_KostenTypen[],MATCH(Lijsten!$P$1,Tb_KostenTypen[#Headers],0),0),VLOOKUP($G1526,Lijsten!L:P,MATCH(Lijsten!$P$1,Kop_Tarief_Vast,0),0))),""),"")</f>
        <v/>
      </c>
      <c r="P1526" s="320" t="str" cm="1">
        <f t="array" ref="P1526">_xlfn.IFNA(IF(INDEX(Tb_KostenOptiesDB[],MATCH($F1526,Tb_KostenOptiesDB[KostenOptie],0),IFERROR(MATCH(Methode_Keuze,Tb_KostenOptiesDB[#Headers],0),2))=1,_xlfn.SWITCH($N1526,"Uurtarief",IF(OR(AND(RIGHT($F1526,3)="IKS",VLOOKUP($M1526,DB_Loonkosten,2,0)="Ja"),AND(RIGHT($F1526,3)&lt;&gt;"IKS",VLOOKUP($M1526,DB_Loonkosten,2,0)="Nee")),IFERROR(VLOOKUP($M1526,DB_Loonkosten,25,0),""),0),"Vast tarief",IF(LEFT(F1526,8)="Bijdrage",VLOOKUP($F1526,Tb_KostenTypen[],MATCH(Lijsten!$P$1,Tb_KostenTypen[#Headers],0),0),VLOOKUP($G1526,Lijsten!L:P,MATCH(Lijsten!$P$1,Kop_Tarief_Vast,0),0))),""),"")</f>
        <v/>
      </c>
      <c r="Q1526" s="359"/>
      <c r="R1526" s="359"/>
      <c r="S1526" s="321"/>
      <c r="T1526" s="321"/>
      <c r="U1526" s="373" t="str">
        <f t="shared" si="92"/>
        <v/>
      </c>
      <c r="V1526" s="314" t="str">
        <f t="shared" si="93"/>
        <v/>
      </c>
      <c r="W1526" s="314" t="str" cm="1">
        <f t="array" aca="1" ref="W1526" ca="1">IFERROR(IF(AE1526&lt;&gt;"ja",_xlfn.IFNA(_xlfn.IFS(AND(O1526&lt;&gt;"",F1526&lt;&gt;"",RIGHT($N1526,6)="tarief",F1526="Vergoeding"),SUM(O1526)*FLOOR(SUM(Q1526),0.0001),AND(O1526&lt;&gt;"",F1526&lt;&gt;"",RIGHT($N1526,6)="tarief"),SUM(O1526)*FLOOR(SUM(Q1526),0.01),S1526&gt;0,IF(F1526&lt;&gt;"",FLOOR(SUM(S1526),0.01),"")),""),""),"")</f>
        <v/>
      </c>
      <c r="X1526" s="314" t="str" cm="1">
        <f t="array" aca="1" ref="X1526" ca="1">IFERROR(IF(AE1526&lt;&gt;"ja",_xlfn.IFNA(_xlfn.IFS(AND(P1526&lt;&gt;"",R1526&lt;&gt;"",RIGHT($N1526,6)="tarief",F1526="Vergoeding"),SUM(P1526)*FLOOR(SUM(R1526),0.0001),AND(P1526&lt;&gt;"",R1526&lt;&gt;"",RIGHT($N1526,6)="tarief"),P1526*FLOOR(R1526,0.01),T1526&gt;0,FLOOR(SUM(T1526),0.01)),""),""),"")</f>
        <v/>
      </c>
      <c r="Y1526" s="314" t="str">
        <f t="shared" ca="1" si="94"/>
        <v/>
      </c>
      <c r="Z1526" s="314" t="str" cm="1">
        <f t="array" aca="1" ref="Z1526" ca="1">IFERROR(_xlfn.IFS(OR(F1526="",LEFT(Methode_Keuze,4)="Geen",Methode_Keuze=""),"",AND(W1526&lt;&gt;"",F1526&lt;&gt;"Arbeidskosten"),W1526*VLOOKUP(F1526,Tb_ProjectKosten[],MATCH(Tb_ProjectKosten[[#Headers],[Forfait_Percentage]],Tb_ProjectKosten[#Headers],0),0),AND(F1526="Arbeidskosten",G1526&lt;&gt;""),IFERROR(W1526*VLOOKUP(G1526,Tb_KostenTypen[],3,0)*VLOOKUP(F1526,Tb_ProjectKosten[],MATCH(Tb_ProjectKosten[[#Headers],[Forfait_Percentage]],Tb_ProjectKosten[#Headers],0),0),""),W1526 &lt;=0,0),"")</f>
        <v/>
      </c>
      <c r="AA1526" s="314" t="str" cm="1">
        <f t="array" aca="1" ref="AA1526" ca="1">IFERROR(_xlfn.IFS(OR(F1526="",LEFT(Methode_Keuze,4)="Geen",Methode_Keuze=""),"",AND(X1526&lt;&gt;"",F1526&lt;&gt;"Arbeidskosten"),X1526*VLOOKUP(F1526,Tb_ProjectKosten[],MATCH(Tb_ProjectKosten[[#Headers],[Forfait_Percentage]],Tb_ProjectKosten[#Headers],0),0),AND(F1526="Arbeidskosten",G1526&lt;&gt;""),IFERROR(X1526*VLOOKUP(G1526,Tb_KostenTypen[],3,0)*VLOOKUP(F1526,Tb_ProjectKosten[],MATCH(Tb_ProjectKosten[[#Headers],[Forfait_Percentage]],Tb_ProjectKosten[#Headers],0),0),""),X1526 &lt;=0,0),"")</f>
        <v/>
      </c>
      <c r="AB1526" s="314" t="str">
        <f t="shared" ca="1" si="95"/>
        <v/>
      </c>
      <c r="AC1526" s="322"/>
      <c r="AD1526" s="315"/>
      <c r="AE1526" s="32" t="str" cm="1">
        <f t="array" ref="AE1526">IFERROR(IF(INDEX(SubsidieTabel!$AD$1:$AG$12,MATCH($F1526,SubsidieTabel!$AD$1:$AD$12,0),IFERROR(MATCH(Methode_Keuze,SubsidieTabel!$AD$1:$AG$1,0),2))&lt;&gt;1=TRUE,"ja",""),"")</f>
        <v/>
      </c>
    </row>
    <row r="1527" spans="1:31" x14ac:dyDescent="0.25">
      <c r="A1527" s="316"/>
      <c r="B1527" s="317" t="str">
        <f>IF(A1527&lt;&gt;"",_xlfn.MAXIFS($B$1:B1526,$A$1:A1526,A1527)+1,"")</f>
        <v/>
      </c>
      <c r="C1527" s="296"/>
      <c r="D1527" s="296"/>
      <c r="E1527" s="296"/>
      <c r="F1527" s="296"/>
      <c r="G1527" s="326"/>
      <c r="H1527" s="324"/>
      <c r="I1527" s="325"/>
      <c r="J1527" s="325"/>
      <c r="K1527" s="318"/>
      <c r="L1527" s="318"/>
      <c r="M1527" s="319" t="str">
        <f>IFERROR(VLOOKUP(H1527,Lijsten!$H$1:$I$100,2,0),"")</f>
        <v/>
      </c>
      <c r="N1527" s="319" t="str">
        <f ca="1">IFERROR(IF(VLOOKUP(F1527,Kostentypen!$A$3:$E$21,3,0)=0,"",IF(OR(F1527="Arbeidskosten",F1527="Vergoeding"),VLOOKUP(G1527,Tb_KostenTypen[],2,0),VLOOKUP(F1527,Kostentypen!$A$3:$E$20,3,0))),"")</f>
        <v/>
      </c>
      <c r="O1527" s="320" t="str" cm="1">
        <f t="array" ref="O1527">_xlfn.IFNA(IF(INDEX(Tb_KostenOptiesDB[],MATCH($F1527,Tb_KostenOptiesDB[KostenOptie],0),IFERROR(MATCH(Methode_Keuze,Tb_KostenOptiesDB[#Headers],0),2))=1,_xlfn.SWITCH($N1527,"Uurtarief",IF(OR(AND(RIGHT($F1527,3)="IKS",VLOOKUP($M1527,DB_Loonkosten,2,0)="Ja"),AND(RIGHT($F1527,3)&lt;&gt;"IKS",VLOOKUP($M1527,DB_Loonkosten,2,0)="Nee")),IFERROR(VLOOKUP($M1527,DB_Loonkosten,24,0),""),0),"Vast tarief",IF(LEFT(F1527,8)="Bijdrage",VLOOKUP($F1527,Tb_KostenTypen[],MATCH(Lijsten!$P$1,Tb_KostenTypen[#Headers],0),0),VLOOKUP($G1527,Lijsten!L:P,MATCH(Lijsten!$P$1,Kop_Tarief_Vast,0),0))),""),"")</f>
        <v/>
      </c>
      <c r="P1527" s="320" t="str" cm="1">
        <f t="array" ref="P1527">_xlfn.IFNA(IF(INDEX(Tb_KostenOptiesDB[],MATCH($F1527,Tb_KostenOptiesDB[KostenOptie],0),IFERROR(MATCH(Methode_Keuze,Tb_KostenOptiesDB[#Headers],0),2))=1,_xlfn.SWITCH($N1527,"Uurtarief",IF(OR(AND(RIGHT($F1527,3)="IKS",VLOOKUP($M1527,DB_Loonkosten,2,0)="Ja"),AND(RIGHT($F1527,3)&lt;&gt;"IKS",VLOOKUP($M1527,DB_Loonkosten,2,0)="Nee")),IFERROR(VLOOKUP($M1527,DB_Loonkosten,25,0),""),0),"Vast tarief",IF(LEFT(F1527,8)="Bijdrage",VLOOKUP($F1527,Tb_KostenTypen[],MATCH(Lijsten!$P$1,Tb_KostenTypen[#Headers],0),0),VLOOKUP($G1527,Lijsten!L:P,MATCH(Lijsten!$P$1,Kop_Tarief_Vast,0),0))),""),"")</f>
        <v/>
      </c>
      <c r="Q1527" s="359"/>
      <c r="R1527" s="359"/>
      <c r="S1527" s="321"/>
      <c r="T1527" s="321"/>
      <c r="U1527" s="373" t="str">
        <f t="shared" si="92"/>
        <v/>
      </c>
      <c r="V1527" s="314" t="str">
        <f t="shared" si="93"/>
        <v/>
      </c>
      <c r="W1527" s="314" t="str" cm="1">
        <f t="array" aca="1" ref="W1527" ca="1">IFERROR(IF(AE1527&lt;&gt;"ja",_xlfn.IFNA(_xlfn.IFS(AND(O1527&lt;&gt;"",F1527&lt;&gt;"",RIGHT($N1527,6)="tarief",F1527="Vergoeding"),SUM(O1527)*FLOOR(SUM(Q1527),0.0001),AND(O1527&lt;&gt;"",F1527&lt;&gt;"",RIGHT($N1527,6)="tarief"),SUM(O1527)*FLOOR(SUM(Q1527),0.01),S1527&gt;0,IF(F1527&lt;&gt;"",FLOOR(SUM(S1527),0.01),"")),""),""),"")</f>
        <v/>
      </c>
      <c r="X1527" s="314" t="str" cm="1">
        <f t="array" aca="1" ref="X1527" ca="1">IFERROR(IF(AE1527&lt;&gt;"ja",_xlfn.IFNA(_xlfn.IFS(AND(P1527&lt;&gt;"",R1527&lt;&gt;"",RIGHT($N1527,6)="tarief",F1527="Vergoeding"),SUM(P1527)*FLOOR(SUM(R1527),0.0001),AND(P1527&lt;&gt;"",R1527&lt;&gt;"",RIGHT($N1527,6)="tarief"),P1527*FLOOR(R1527,0.01),T1527&gt;0,FLOOR(SUM(T1527),0.01)),""),""),"")</f>
        <v/>
      </c>
      <c r="Y1527" s="314" t="str">
        <f t="shared" ca="1" si="94"/>
        <v/>
      </c>
      <c r="Z1527" s="314" t="str" cm="1">
        <f t="array" aca="1" ref="Z1527" ca="1">IFERROR(_xlfn.IFS(OR(F1527="",LEFT(Methode_Keuze,4)="Geen",Methode_Keuze=""),"",AND(W1527&lt;&gt;"",F1527&lt;&gt;"Arbeidskosten"),W1527*VLOOKUP(F1527,Tb_ProjectKosten[],MATCH(Tb_ProjectKosten[[#Headers],[Forfait_Percentage]],Tb_ProjectKosten[#Headers],0),0),AND(F1527="Arbeidskosten",G1527&lt;&gt;""),IFERROR(W1527*VLOOKUP(G1527,Tb_KostenTypen[],3,0)*VLOOKUP(F1527,Tb_ProjectKosten[],MATCH(Tb_ProjectKosten[[#Headers],[Forfait_Percentage]],Tb_ProjectKosten[#Headers],0),0),""),W1527 &lt;=0,0),"")</f>
        <v/>
      </c>
      <c r="AA1527" s="314" t="str" cm="1">
        <f t="array" aca="1" ref="AA1527" ca="1">IFERROR(_xlfn.IFS(OR(F1527="",LEFT(Methode_Keuze,4)="Geen",Methode_Keuze=""),"",AND(X1527&lt;&gt;"",F1527&lt;&gt;"Arbeidskosten"),X1527*VLOOKUP(F1527,Tb_ProjectKosten[],MATCH(Tb_ProjectKosten[[#Headers],[Forfait_Percentage]],Tb_ProjectKosten[#Headers],0),0),AND(F1527="Arbeidskosten",G1527&lt;&gt;""),IFERROR(X1527*VLOOKUP(G1527,Tb_KostenTypen[],3,0)*VLOOKUP(F1527,Tb_ProjectKosten[],MATCH(Tb_ProjectKosten[[#Headers],[Forfait_Percentage]],Tb_ProjectKosten[#Headers],0),0),""),X1527 &lt;=0,0),"")</f>
        <v/>
      </c>
      <c r="AB1527" s="314" t="str">
        <f t="shared" ca="1" si="95"/>
        <v/>
      </c>
      <c r="AC1527" s="322"/>
      <c r="AD1527" s="315"/>
      <c r="AE1527" s="32" t="str" cm="1">
        <f t="array" ref="AE1527">IFERROR(IF(INDEX(SubsidieTabel!$AD$1:$AG$12,MATCH($F1527,SubsidieTabel!$AD$1:$AD$12,0),IFERROR(MATCH(Methode_Keuze,SubsidieTabel!$AD$1:$AG$1,0),2))&lt;&gt;1=TRUE,"ja",""),"")</f>
        <v/>
      </c>
    </row>
    <row r="1528" spans="1:31" x14ac:dyDescent="0.25">
      <c r="A1528" s="316"/>
      <c r="B1528" s="317" t="str">
        <f>IF(A1528&lt;&gt;"",_xlfn.MAXIFS($B$1:B1527,$A$1:A1527,A1528)+1,"")</f>
        <v/>
      </c>
      <c r="C1528" s="296"/>
      <c r="D1528" s="296"/>
      <c r="E1528" s="296"/>
      <c r="F1528" s="296"/>
      <c r="G1528" s="326"/>
      <c r="H1528" s="324"/>
      <c r="I1528" s="325"/>
      <c r="J1528" s="325"/>
      <c r="K1528" s="318"/>
      <c r="L1528" s="318"/>
      <c r="M1528" s="319" t="str">
        <f>IFERROR(VLOOKUP(H1528,Lijsten!$H$1:$I$100,2,0),"")</f>
        <v/>
      </c>
      <c r="N1528" s="319" t="str">
        <f ca="1">IFERROR(IF(VLOOKUP(F1528,Kostentypen!$A$3:$E$21,3,0)=0,"",IF(OR(F1528="Arbeidskosten",F1528="Vergoeding"),VLOOKUP(G1528,Tb_KostenTypen[],2,0),VLOOKUP(F1528,Kostentypen!$A$3:$E$20,3,0))),"")</f>
        <v/>
      </c>
      <c r="O1528" s="320" t="str" cm="1">
        <f t="array" ref="O1528">_xlfn.IFNA(IF(INDEX(Tb_KostenOptiesDB[],MATCH($F1528,Tb_KostenOptiesDB[KostenOptie],0),IFERROR(MATCH(Methode_Keuze,Tb_KostenOptiesDB[#Headers],0),2))=1,_xlfn.SWITCH($N1528,"Uurtarief",IF(OR(AND(RIGHT($F1528,3)="IKS",VLOOKUP($M1528,DB_Loonkosten,2,0)="Ja"),AND(RIGHT($F1528,3)&lt;&gt;"IKS",VLOOKUP($M1528,DB_Loonkosten,2,0)="Nee")),IFERROR(VLOOKUP($M1528,DB_Loonkosten,24,0),""),0),"Vast tarief",IF(LEFT(F1528,8)="Bijdrage",VLOOKUP($F1528,Tb_KostenTypen[],MATCH(Lijsten!$P$1,Tb_KostenTypen[#Headers],0),0),VLOOKUP($G1528,Lijsten!L:P,MATCH(Lijsten!$P$1,Kop_Tarief_Vast,0),0))),""),"")</f>
        <v/>
      </c>
      <c r="P1528" s="320" t="str" cm="1">
        <f t="array" ref="P1528">_xlfn.IFNA(IF(INDEX(Tb_KostenOptiesDB[],MATCH($F1528,Tb_KostenOptiesDB[KostenOptie],0),IFERROR(MATCH(Methode_Keuze,Tb_KostenOptiesDB[#Headers],0),2))=1,_xlfn.SWITCH($N1528,"Uurtarief",IF(OR(AND(RIGHT($F1528,3)="IKS",VLOOKUP($M1528,DB_Loonkosten,2,0)="Ja"),AND(RIGHT($F1528,3)&lt;&gt;"IKS",VLOOKUP($M1528,DB_Loonkosten,2,0)="Nee")),IFERROR(VLOOKUP($M1528,DB_Loonkosten,25,0),""),0),"Vast tarief",IF(LEFT(F1528,8)="Bijdrage",VLOOKUP($F1528,Tb_KostenTypen[],MATCH(Lijsten!$P$1,Tb_KostenTypen[#Headers],0),0),VLOOKUP($G1528,Lijsten!L:P,MATCH(Lijsten!$P$1,Kop_Tarief_Vast,0),0))),""),"")</f>
        <v/>
      </c>
      <c r="Q1528" s="359"/>
      <c r="R1528" s="359"/>
      <c r="S1528" s="321"/>
      <c r="T1528" s="321"/>
      <c r="U1528" s="373" t="str">
        <f t="shared" si="92"/>
        <v/>
      </c>
      <c r="V1528" s="314" t="str">
        <f t="shared" si="93"/>
        <v/>
      </c>
      <c r="W1528" s="314" t="str" cm="1">
        <f t="array" aca="1" ref="W1528" ca="1">IFERROR(IF(AE1528&lt;&gt;"ja",_xlfn.IFNA(_xlfn.IFS(AND(O1528&lt;&gt;"",F1528&lt;&gt;"",RIGHT($N1528,6)="tarief",F1528="Vergoeding"),SUM(O1528)*FLOOR(SUM(Q1528),0.0001),AND(O1528&lt;&gt;"",F1528&lt;&gt;"",RIGHT($N1528,6)="tarief"),SUM(O1528)*FLOOR(SUM(Q1528),0.01),S1528&gt;0,IF(F1528&lt;&gt;"",FLOOR(SUM(S1528),0.01),"")),""),""),"")</f>
        <v/>
      </c>
      <c r="X1528" s="314" t="str" cm="1">
        <f t="array" aca="1" ref="X1528" ca="1">IFERROR(IF(AE1528&lt;&gt;"ja",_xlfn.IFNA(_xlfn.IFS(AND(P1528&lt;&gt;"",R1528&lt;&gt;"",RIGHT($N1528,6)="tarief",F1528="Vergoeding"),SUM(P1528)*FLOOR(SUM(R1528),0.0001),AND(P1528&lt;&gt;"",R1528&lt;&gt;"",RIGHT($N1528,6)="tarief"),P1528*FLOOR(R1528,0.01),T1528&gt;0,FLOOR(SUM(T1528),0.01)),""),""),"")</f>
        <v/>
      </c>
      <c r="Y1528" s="314" t="str">
        <f t="shared" ca="1" si="94"/>
        <v/>
      </c>
      <c r="Z1528" s="314" t="str" cm="1">
        <f t="array" aca="1" ref="Z1528" ca="1">IFERROR(_xlfn.IFS(OR(F1528="",LEFT(Methode_Keuze,4)="Geen",Methode_Keuze=""),"",AND(W1528&lt;&gt;"",F1528&lt;&gt;"Arbeidskosten"),W1528*VLOOKUP(F1528,Tb_ProjectKosten[],MATCH(Tb_ProjectKosten[[#Headers],[Forfait_Percentage]],Tb_ProjectKosten[#Headers],0),0),AND(F1528="Arbeidskosten",G1528&lt;&gt;""),IFERROR(W1528*VLOOKUP(G1528,Tb_KostenTypen[],3,0)*VLOOKUP(F1528,Tb_ProjectKosten[],MATCH(Tb_ProjectKosten[[#Headers],[Forfait_Percentage]],Tb_ProjectKosten[#Headers],0),0),""),W1528 &lt;=0,0),"")</f>
        <v/>
      </c>
      <c r="AA1528" s="314" t="str" cm="1">
        <f t="array" aca="1" ref="AA1528" ca="1">IFERROR(_xlfn.IFS(OR(F1528="",LEFT(Methode_Keuze,4)="Geen",Methode_Keuze=""),"",AND(X1528&lt;&gt;"",F1528&lt;&gt;"Arbeidskosten"),X1528*VLOOKUP(F1528,Tb_ProjectKosten[],MATCH(Tb_ProjectKosten[[#Headers],[Forfait_Percentage]],Tb_ProjectKosten[#Headers],0),0),AND(F1528="Arbeidskosten",G1528&lt;&gt;""),IFERROR(X1528*VLOOKUP(G1528,Tb_KostenTypen[],3,0)*VLOOKUP(F1528,Tb_ProjectKosten[],MATCH(Tb_ProjectKosten[[#Headers],[Forfait_Percentage]],Tb_ProjectKosten[#Headers],0),0),""),X1528 &lt;=0,0),"")</f>
        <v/>
      </c>
      <c r="AB1528" s="314" t="str">
        <f t="shared" ca="1" si="95"/>
        <v/>
      </c>
      <c r="AC1528" s="322"/>
      <c r="AD1528" s="315"/>
      <c r="AE1528" s="32" t="str" cm="1">
        <f t="array" ref="AE1528">IFERROR(IF(INDEX(SubsidieTabel!$AD$1:$AG$12,MATCH($F1528,SubsidieTabel!$AD$1:$AD$12,0),IFERROR(MATCH(Methode_Keuze,SubsidieTabel!$AD$1:$AG$1,0),2))&lt;&gt;1=TRUE,"ja",""),"")</f>
        <v/>
      </c>
    </row>
    <row r="1529" spans="1:31" x14ac:dyDescent="0.25">
      <c r="A1529" s="316"/>
      <c r="B1529" s="317" t="str">
        <f>IF(A1529&lt;&gt;"",_xlfn.MAXIFS($B$1:B1528,$A$1:A1528,A1529)+1,"")</f>
        <v/>
      </c>
      <c r="C1529" s="296"/>
      <c r="D1529" s="296"/>
      <c r="E1529" s="296"/>
      <c r="F1529" s="296"/>
      <c r="G1529" s="326"/>
      <c r="H1529" s="324"/>
      <c r="I1529" s="325"/>
      <c r="J1529" s="325"/>
      <c r="K1529" s="318"/>
      <c r="L1529" s="318"/>
      <c r="M1529" s="319" t="str">
        <f>IFERROR(VLOOKUP(H1529,Lijsten!$H$1:$I$100,2,0),"")</f>
        <v/>
      </c>
      <c r="N1529" s="319" t="str">
        <f ca="1">IFERROR(IF(VLOOKUP(F1529,Kostentypen!$A$3:$E$21,3,0)=0,"",IF(OR(F1529="Arbeidskosten",F1529="Vergoeding"),VLOOKUP(G1529,Tb_KostenTypen[],2,0),VLOOKUP(F1529,Kostentypen!$A$3:$E$20,3,0))),"")</f>
        <v/>
      </c>
      <c r="O1529" s="320" t="str" cm="1">
        <f t="array" ref="O1529">_xlfn.IFNA(IF(INDEX(Tb_KostenOptiesDB[],MATCH($F1529,Tb_KostenOptiesDB[KostenOptie],0),IFERROR(MATCH(Methode_Keuze,Tb_KostenOptiesDB[#Headers],0),2))=1,_xlfn.SWITCH($N1529,"Uurtarief",IF(OR(AND(RIGHT($F1529,3)="IKS",VLOOKUP($M1529,DB_Loonkosten,2,0)="Ja"),AND(RIGHT($F1529,3)&lt;&gt;"IKS",VLOOKUP($M1529,DB_Loonkosten,2,0)="Nee")),IFERROR(VLOOKUP($M1529,DB_Loonkosten,24,0),""),0),"Vast tarief",IF(LEFT(F1529,8)="Bijdrage",VLOOKUP($F1529,Tb_KostenTypen[],MATCH(Lijsten!$P$1,Tb_KostenTypen[#Headers],0),0),VLOOKUP($G1529,Lijsten!L:P,MATCH(Lijsten!$P$1,Kop_Tarief_Vast,0),0))),""),"")</f>
        <v/>
      </c>
      <c r="P1529" s="320" t="str" cm="1">
        <f t="array" ref="P1529">_xlfn.IFNA(IF(INDEX(Tb_KostenOptiesDB[],MATCH($F1529,Tb_KostenOptiesDB[KostenOptie],0),IFERROR(MATCH(Methode_Keuze,Tb_KostenOptiesDB[#Headers],0),2))=1,_xlfn.SWITCH($N1529,"Uurtarief",IF(OR(AND(RIGHT($F1529,3)="IKS",VLOOKUP($M1529,DB_Loonkosten,2,0)="Ja"),AND(RIGHT($F1529,3)&lt;&gt;"IKS",VLOOKUP($M1529,DB_Loonkosten,2,0)="Nee")),IFERROR(VLOOKUP($M1529,DB_Loonkosten,25,0),""),0),"Vast tarief",IF(LEFT(F1529,8)="Bijdrage",VLOOKUP($F1529,Tb_KostenTypen[],MATCH(Lijsten!$P$1,Tb_KostenTypen[#Headers],0),0),VLOOKUP($G1529,Lijsten!L:P,MATCH(Lijsten!$P$1,Kop_Tarief_Vast,0),0))),""),"")</f>
        <v/>
      </c>
      <c r="Q1529" s="359"/>
      <c r="R1529" s="359"/>
      <c r="S1529" s="321"/>
      <c r="T1529" s="321"/>
      <c r="U1529" s="373" t="str">
        <f t="shared" si="92"/>
        <v/>
      </c>
      <c r="V1529" s="314" t="str">
        <f t="shared" si="93"/>
        <v/>
      </c>
      <c r="W1529" s="314" t="str" cm="1">
        <f t="array" aca="1" ref="W1529" ca="1">IFERROR(IF(AE1529&lt;&gt;"ja",_xlfn.IFNA(_xlfn.IFS(AND(O1529&lt;&gt;"",F1529&lt;&gt;"",RIGHT($N1529,6)="tarief",F1529="Vergoeding"),SUM(O1529)*FLOOR(SUM(Q1529),0.0001),AND(O1529&lt;&gt;"",F1529&lt;&gt;"",RIGHT($N1529,6)="tarief"),SUM(O1529)*FLOOR(SUM(Q1529),0.01),S1529&gt;0,IF(F1529&lt;&gt;"",FLOOR(SUM(S1529),0.01),"")),""),""),"")</f>
        <v/>
      </c>
      <c r="X1529" s="314" t="str" cm="1">
        <f t="array" aca="1" ref="X1529" ca="1">IFERROR(IF(AE1529&lt;&gt;"ja",_xlfn.IFNA(_xlfn.IFS(AND(P1529&lt;&gt;"",R1529&lt;&gt;"",RIGHT($N1529,6)="tarief",F1529="Vergoeding"),SUM(P1529)*FLOOR(SUM(R1529),0.0001),AND(P1529&lt;&gt;"",R1529&lt;&gt;"",RIGHT($N1529,6)="tarief"),P1529*FLOOR(R1529,0.01),T1529&gt;0,FLOOR(SUM(T1529),0.01)),""),""),"")</f>
        <v/>
      </c>
      <c r="Y1529" s="314" t="str">
        <f t="shared" ca="1" si="94"/>
        <v/>
      </c>
      <c r="Z1529" s="314" t="str" cm="1">
        <f t="array" aca="1" ref="Z1529" ca="1">IFERROR(_xlfn.IFS(OR(F1529="",LEFT(Methode_Keuze,4)="Geen",Methode_Keuze=""),"",AND(W1529&lt;&gt;"",F1529&lt;&gt;"Arbeidskosten"),W1529*VLOOKUP(F1529,Tb_ProjectKosten[],MATCH(Tb_ProjectKosten[[#Headers],[Forfait_Percentage]],Tb_ProjectKosten[#Headers],0),0),AND(F1529="Arbeidskosten",G1529&lt;&gt;""),IFERROR(W1529*VLOOKUP(G1529,Tb_KostenTypen[],3,0)*VLOOKUP(F1529,Tb_ProjectKosten[],MATCH(Tb_ProjectKosten[[#Headers],[Forfait_Percentage]],Tb_ProjectKosten[#Headers],0),0),""),W1529 &lt;=0,0),"")</f>
        <v/>
      </c>
      <c r="AA1529" s="314" t="str" cm="1">
        <f t="array" aca="1" ref="AA1529" ca="1">IFERROR(_xlfn.IFS(OR(F1529="",LEFT(Methode_Keuze,4)="Geen",Methode_Keuze=""),"",AND(X1529&lt;&gt;"",F1529&lt;&gt;"Arbeidskosten"),X1529*VLOOKUP(F1529,Tb_ProjectKosten[],MATCH(Tb_ProjectKosten[[#Headers],[Forfait_Percentage]],Tb_ProjectKosten[#Headers],0),0),AND(F1529="Arbeidskosten",G1529&lt;&gt;""),IFERROR(X1529*VLOOKUP(G1529,Tb_KostenTypen[],3,0)*VLOOKUP(F1529,Tb_ProjectKosten[],MATCH(Tb_ProjectKosten[[#Headers],[Forfait_Percentage]],Tb_ProjectKosten[#Headers],0),0),""),X1529 &lt;=0,0),"")</f>
        <v/>
      </c>
      <c r="AB1529" s="314" t="str">
        <f t="shared" ca="1" si="95"/>
        <v/>
      </c>
      <c r="AC1529" s="322"/>
      <c r="AD1529" s="315"/>
      <c r="AE1529" s="32" t="str" cm="1">
        <f t="array" ref="AE1529">IFERROR(IF(INDEX(SubsidieTabel!$AD$1:$AG$12,MATCH($F1529,SubsidieTabel!$AD$1:$AD$12,0),IFERROR(MATCH(Methode_Keuze,SubsidieTabel!$AD$1:$AG$1,0),2))&lt;&gt;1=TRUE,"ja",""),"")</f>
        <v/>
      </c>
    </row>
    <row r="1530" spans="1:31" x14ac:dyDescent="0.25">
      <c r="A1530" s="316"/>
      <c r="B1530" s="317" t="str">
        <f>IF(A1530&lt;&gt;"",_xlfn.MAXIFS($B$1:B1529,$A$1:A1529,A1530)+1,"")</f>
        <v/>
      </c>
      <c r="C1530" s="296"/>
      <c r="D1530" s="296"/>
      <c r="E1530" s="296"/>
      <c r="F1530" s="296"/>
      <c r="G1530" s="326"/>
      <c r="H1530" s="324"/>
      <c r="I1530" s="325"/>
      <c r="J1530" s="325"/>
      <c r="K1530" s="318"/>
      <c r="L1530" s="318"/>
      <c r="M1530" s="319" t="str">
        <f>IFERROR(VLOOKUP(H1530,Lijsten!$H$1:$I$100,2,0),"")</f>
        <v/>
      </c>
      <c r="N1530" s="319" t="str">
        <f ca="1">IFERROR(IF(VLOOKUP(F1530,Kostentypen!$A$3:$E$21,3,0)=0,"",IF(OR(F1530="Arbeidskosten",F1530="Vergoeding"),VLOOKUP(G1530,Tb_KostenTypen[],2,0),VLOOKUP(F1530,Kostentypen!$A$3:$E$20,3,0))),"")</f>
        <v/>
      </c>
      <c r="O1530" s="320" t="str" cm="1">
        <f t="array" ref="O1530">_xlfn.IFNA(IF(INDEX(Tb_KostenOptiesDB[],MATCH($F1530,Tb_KostenOptiesDB[KostenOptie],0),IFERROR(MATCH(Methode_Keuze,Tb_KostenOptiesDB[#Headers],0),2))=1,_xlfn.SWITCH($N1530,"Uurtarief",IF(OR(AND(RIGHT($F1530,3)="IKS",VLOOKUP($M1530,DB_Loonkosten,2,0)="Ja"),AND(RIGHT($F1530,3)&lt;&gt;"IKS",VLOOKUP($M1530,DB_Loonkosten,2,0)="Nee")),IFERROR(VLOOKUP($M1530,DB_Loonkosten,24,0),""),0),"Vast tarief",IF(LEFT(F1530,8)="Bijdrage",VLOOKUP($F1530,Tb_KostenTypen[],MATCH(Lijsten!$P$1,Tb_KostenTypen[#Headers],0),0),VLOOKUP($G1530,Lijsten!L:P,MATCH(Lijsten!$P$1,Kop_Tarief_Vast,0),0))),""),"")</f>
        <v/>
      </c>
      <c r="P1530" s="320" t="str" cm="1">
        <f t="array" ref="P1530">_xlfn.IFNA(IF(INDEX(Tb_KostenOptiesDB[],MATCH($F1530,Tb_KostenOptiesDB[KostenOptie],0),IFERROR(MATCH(Methode_Keuze,Tb_KostenOptiesDB[#Headers],0),2))=1,_xlfn.SWITCH($N1530,"Uurtarief",IF(OR(AND(RIGHT($F1530,3)="IKS",VLOOKUP($M1530,DB_Loonkosten,2,0)="Ja"),AND(RIGHT($F1530,3)&lt;&gt;"IKS",VLOOKUP($M1530,DB_Loonkosten,2,0)="Nee")),IFERROR(VLOOKUP($M1530,DB_Loonkosten,25,0),""),0),"Vast tarief",IF(LEFT(F1530,8)="Bijdrage",VLOOKUP($F1530,Tb_KostenTypen[],MATCH(Lijsten!$P$1,Tb_KostenTypen[#Headers],0),0),VLOOKUP($G1530,Lijsten!L:P,MATCH(Lijsten!$P$1,Kop_Tarief_Vast,0),0))),""),"")</f>
        <v/>
      </c>
      <c r="Q1530" s="359"/>
      <c r="R1530" s="359"/>
      <c r="S1530" s="321"/>
      <c r="T1530" s="321"/>
      <c r="U1530" s="373" t="str">
        <f t="shared" si="92"/>
        <v/>
      </c>
      <c r="V1530" s="314" t="str">
        <f t="shared" si="93"/>
        <v/>
      </c>
      <c r="W1530" s="314" t="str" cm="1">
        <f t="array" aca="1" ref="W1530" ca="1">IFERROR(IF(AE1530&lt;&gt;"ja",_xlfn.IFNA(_xlfn.IFS(AND(O1530&lt;&gt;"",F1530&lt;&gt;"",RIGHT($N1530,6)="tarief",F1530="Vergoeding"),SUM(O1530)*FLOOR(SUM(Q1530),0.0001),AND(O1530&lt;&gt;"",F1530&lt;&gt;"",RIGHT($N1530,6)="tarief"),SUM(O1530)*FLOOR(SUM(Q1530),0.01),S1530&gt;0,IF(F1530&lt;&gt;"",FLOOR(SUM(S1530),0.01),"")),""),""),"")</f>
        <v/>
      </c>
      <c r="X1530" s="314" t="str" cm="1">
        <f t="array" aca="1" ref="X1530" ca="1">IFERROR(IF(AE1530&lt;&gt;"ja",_xlfn.IFNA(_xlfn.IFS(AND(P1530&lt;&gt;"",R1530&lt;&gt;"",RIGHT($N1530,6)="tarief",F1530="Vergoeding"),SUM(P1530)*FLOOR(SUM(R1530),0.0001),AND(P1530&lt;&gt;"",R1530&lt;&gt;"",RIGHT($N1530,6)="tarief"),P1530*FLOOR(R1530,0.01),T1530&gt;0,FLOOR(SUM(T1530),0.01)),""),""),"")</f>
        <v/>
      </c>
      <c r="Y1530" s="314" t="str">
        <f t="shared" ca="1" si="94"/>
        <v/>
      </c>
      <c r="Z1530" s="314" t="str" cm="1">
        <f t="array" aca="1" ref="Z1530" ca="1">IFERROR(_xlfn.IFS(OR(F1530="",LEFT(Methode_Keuze,4)="Geen",Methode_Keuze=""),"",AND(W1530&lt;&gt;"",F1530&lt;&gt;"Arbeidskosten"),W1530*VLOOKUP(F1530,Tb_ProjectKosten[],MATCH(Tb_ProjectKosten[[#Headers],[Forfait_Percentage]],Tb_ProjectKosten[#Headers],0),0),AND(F1530="Arbeidskosten",G1530&lt;&gt;""),IFERROR(W1530*VLOOKUP(G1530,Tb_KostenTypen[],3,0)*VLOOKUP(F1530,Tb_ProjectKosten[],MATCH(Tb_ProjectKosten[[#Headers],[Forfait_Percentage]],Tb_ProjectKosten[#Headers],0),0),""),W1530 &lt;=0,0),"")</f>
        <v/>
      </c>
      <c r="AA1530" s="314" t="str" cm="1">
        <f t="array" aca="1" ref="AA1530" ca="1">IFERROR(_xlfn.IFS(OR(F1530="",LEFT(Methode_Keuze,4)="Geen",Methode_Keuze=""),"",AND(X1530&lt;&gt;"",F1530&lt;&gt;"Arbeidskosten"),X1530*VLOOKUP(F1530,Tb_ProjectKosten[],MATCH(Tb_ProjectKosten[[#Headers],[Forfait_Percentage]],Tb_ProjectKosten[#Headers],0),0),AND(F1530="Arbeidskosten",G1530&lt;&gt;""),IFERROR(X1530*VLOOKUP(G1530,Tb_KostenTypen[],3,0)*VLOOKUP(F1530,Tb_ProjectKosten[],MATCH(Tb_ProjectKosten[[#Headers],[Forfait_Percentage]],Tb_ProjectKosten[#Headers],0),0),""),X1530 &lt;=0,0),"")</f>
        <v/>
      </c>
      <c r="AB1530" s="314" t="str">
        <f t="shared" ca="1" si="95"/>
        <v/>
      </c>
      <c r="AC1530" s="322"/>
      <c r="AD1530" s="315"/>
      <c r="AE1530" s="32" t="str" cm="1">
        <f t="array" ref="AE1530">IFERROR(IF(INDEX(SubsidieTabel!$AD$1:$AG$12,MATCH($F1530,SubsidieTabel!$AD$1:$AD$12,0),IFERROR(MATCH(Methode_Keuze,SubsidieTabel!$AD$1:$AG$1,0),2))&lt;&gt;1=TRUE,"ja",""),"")</f>
        <v/>
      </c>
    </row>
    <row r="1531" spans="1:31" x14ac:dyDescent="0.25">
      <c r="A1531" s="316"/>
      <c r="B1531" s="317" t="str">
        <f>IF(A1531&lt;&gt;"",_xlfn.MAXIFS($B$1:B1530,$A$1:A1530,A1531)+1,"")</f>
        <v/>
      </c>
      <c r="C1531" s="296"/>
      <c r="D1531" s="296"/>
      <c r="E1531" s="296"/>
      <c r="F1531" s="296"/>
      <c r="G1531" s="326"/>
      <c r="H1531" s="324"/>
      <c r="I1531" s="325"/>
      <c r="J1531" s="325"/>
      <c r="K1531" s="318"/>
      <c r="L1531" s="318"/>
      <c r="M1531" s="319" t="str">
        <f>IFERROR(VLOOKUP(H1531,Lijsten!$H$1:$I$100,2,0),"")</f>
        <v/>
      </c>
      <c r="N1531" s="319" t="str">
        <f ca="1">IFERROR(IF(VLOOKUP(F1531,Kostentypen!$A$3:$E$21,3,0)=0,"",IF(OR(F1531="Arbeidskosten",F1531="Vergoeding"),VLOOKUP(G1531,Tb_KostenTypen[],2,0),VLOOKUP(F1531,Kostentypen!$A$3:$E$20,3,0))),"")</f>
        <v/>
      </c>
      <c r="O1531" s="320" t="str" cm="1">
        <f t="array" ref="O1531">_xlfn.IFNA(IF(INDEX(Tb_KostenOptiesDB[],MATCH($F1531,Tb_KostenOptiesDB[KostenOptie],0),IFERROR(MATCH(Methode_Keuze,Tb_KostenOptiesDB[#Headers],0),2))=1,_xlfn.SWITCH($N1531,"Uurtarief",IF(OR(AND(RIGHT($F1531,3)="IKS",VLOOKUP($M1531,DB_Loonkosten,2,0)="Ja"),AND(RIGHT($F1531,3)&lt;&gt;"IKS",VLOOKUP($M1531,DB_Loonkosten,2,0)="Nee")),IFERROR(VLOOKUP($M1531,DB_Loonkosten,24,0),""),0),"Vast tarief",IF(LEFT(F1531,8)="Bijdrage",VLOOKUP($F1531,Tb_KostenTypen[],MATCH(Lijsten!$P$1,Tb_KostenTypen[#Headers],0),0),VLOOKUP($G1531,Lijsten!L:P,MATCH(Lijsten!$P$1,Kop_Tarief_Vast,0),0))),""),"")</f>
        <v/>
      </c>
      <c r="P1531" s="320" t="str" cm="1">
        <f t="array" ref="P1531">_xlfn.IFNA(IF(INDEX(Tb_KostenOptiesDB[],MATCH($F1531,Tb_KostenOptiesDB[KostenOptie],0),IFERROR(MATCH(Methode_Keuze,Tb_KostenOptiesDB[#Headers],0),2))=1,_xlfn.SWITCH($N1531,"Uurtarief",IF(OR(AND(RIGHT($F1531,3)="IKS",VLOOKUP($M1531,DB_Loonkosten,2,0)="Ja"),AND(RIGHT($F1531,3)&lt;&gt;"IKS",VLOOKUP($M1531,DB_Loonkosten,2,0)="Nee")),IFERROR(VLOOKUP($M1531,DB_Loonkosten,25,0),""),0),"Vast tarief",IF(LEFT(F1531,8)="Bijdrage",VLOOKUP($F1531,Tb_KostenTypen[],MATCH(Lijsten!$P$1,Tb_KostenTypen[#Headers],0),0),VLOOKUP($G1531,Lijsten!L:P,MATCH(Lijsten!$P$1,Kop_Tarief_Vast,0),0))),""),"")</f>
        <v/>
      </c>
      <c r="Q1531" s="359"/>
      <c r="R1531" s="359"/>
      <c r="S1531" s="321"/>
      <c r="T1531" s="321"/>
      <c r="U1531" s="373" t="str">
        <f t="shared" si="92"/>
        <v/>
      </c>
      <c r="V1531" s="314" t="str">
        <f t="shared" si="93"/>
        <v/>
      </c>
      <c r="W1531" s="314" t="str" cm="1">
        <f t="array" aca="1" ref="W1531" ca="1">IFERROR(IF(AE1531&lt;&gt;"ja",_xlfn.IFNA(_xlfn.IFS(AND(O1531&lt;&gt;"",F1531&lt;&gt;"",RIGHT($N1531,6)="tarief",F1531="Vergoeding"),SUM(O1531)*FLOOR(SUM(Q1531),0.0001),AND(O1531&lt;&gt;"",F1531&lt;&gt;"",RIGHT($N1531,6)="tarief"),SUM(O1531)*FLOOR(SUM(Q1531),0.01),S1531&gt;0,IF(F1531&lt;&gt;"",FLOOR(SUM(S1531),0.01),"")),""),""),"")</f>
        <v/>
      </c>
      <c r="X1531" s="314" t="str" cm="1">
        <f t="array" aca="1" ref="X1531" ca="1">IFERROR(IF(AE1531&lt;&gt;"ja",_xlfn.IFNA(_xlfn.IFS(AND(P1531&lt;&gt;"",R1531&lt;&gt;"",RIGHT($N1531,6)="tarief",F1531="Vergoeding"),SUM(P1531)*FLOOR(SUM(R1531),0.0001),AND(P1531&lt;&gt;"",R1531&lt;&gt;"",RIGHT($N1531,6)="tarief"),P1531*FLOOR(R1531,0.01),T1531&gt;0,FLOOR(SUM(T1531),0.01)),""),""),"")</f>
        <v/>
      </c>
      <c r="Y1531" s="314" t="str">
        <f t="shared" ca="1" si="94"/>
        <v/>
      </c>
      <c r="Z1531" s="314" t="str" cm="1">
        <f t="array" aca="1" ref="Z1531" ca="1">IFERROR(_xlfn.IFS(OR(F1531="",LEFT(Methode_Keuze,4)="Geen",Methode_Keuze=""),"",AND(W1531&lt;&gt;"",F1531&lt;&gt;"Arbeidskosten"),W1531*VLOOKUP(F1531,Tb_ProjectKosten[],MATCH(Tb_ProjectKosten[[#Headers],[Forfait_Percentage]],Tb_ProjectKosten[#Headers],0),0),AND(F1531="Arbeidskosten",G1531&lt;&gt;""),IFERROR(W1531*VLOOKUP(G1531,Tb_KostenTypen[],3,0)*VLOOKUP(F1531,Tb_ProjectKosten[],MATCH(Tb_ProjectKosten[[#Headers],[Forfait_Percentage]],Tb_ProjectKosten[#Headers],0),0),""),W1531 &lt;=0,0),"")</f>
        <v/>
      </c>
      <c r="AA1531" s="314" t="str" cm="1">
        <f t="array" aca="1" ref="AA1531" ca="1">IFERROR(_xlfn.IFS(OR(F1531="",LEFT(Methode_Keuze,4)="Geen",Methode_Keuze=""),"",AND(X1531&lt;&gt;"",F1531&lt;&gt;"Arbeidskosten"),X1531*VLOOKUP(F1531,Tb_ProjectKosten[],MATCH(Tb_ProjectKosten[[#Headers],[Forfait_Percentage]],Tb_ProjectKosten[#Headers],0),0),AND(F1531="Arbeidskosten",G1531&lt;&gt;""),IFERROR(X1531*VLOOKUP(G1531,Tb_KostenTypen[],3,0)*VLOOKUP(F1531,Tb_ProjectKosten[],MATCH(Tb_ProjectKosten[[#Headers],[Forfait_Percentage]],Tb_ProjectKosten[#Headers],0),0),""),X1531 &lt;=0,0),"")</f>
        <v/>
      </c>
      <c r="AB1531" s="314" t="str">
        <f t="shared" ca="1" si="95"/>
        <v/>
      </c>
      <c r="AC1531" s="322"/>
      <c r="AD1531" s="315"/>
      <c r="AE1531" s="32" t="str" cm="1">
        <f t="array" ref="AE1531">IFERROR(IF(INDEX(SubsidieTabel!$AD$1:$AG$12,MATCH($F1531,SubsidieTabel!$AD$1:$AD$12,0),IFERROR(MATCH(Methode_Keuze,SubsidieTabel!$AD$1:$AG$1,0),2))&lt;&gt;1=TRUE,"ja",""),"")</f>
        <v/>
      </c>
    </row>
    <row r="1532" spans="1:31" x14ac:dyDescent="0.25">
      <c r="A1532" s="316"/>
      <c r="B1532" s="317" t="str">
        <f>IF(A1532&lt;&gt;"",_xlfn.MAXIFS($B$1:B1531,$A$1:A1531,A1532)+1,"")</f>
        <v/>
      </c>
      <c r="C1532" s="296"/>
      <c r="D1532" s="296"/>
      <c r="E1532" s="296"/>
      <c r="F1532" s="296"/>
      <c r="G1532" s="326"/>
      <c r="H1532" s="324"/>
      <c r="I1532" s="325"/>
      <c r="J1532" s="325"/>
      <c r="K1532" s="318"/>
      <c r="L1532" s="318"/>
      <c r="M1532" s="319" t="str">
        <f>IFERROR(VLOOKUP(H1532,Lijsten!$H$1:$I$100,2,0),"")</f>
        <v/>
      </c>
      <c r="N1532" s="319" t="str">
        <f ca="1">IFERROR(IF(VLOOKUP(F1532,Kostentypen!$A$3:$E$21,3,0)=0,"",IF(OR(F1532="Arbeidskosten",F1532="Vergoeding"),VLOOKUP(G1532,Tb_KostenTypen[],2,0),VLOOKUP(F1532,Kostentypen!$A$3:$E$20,3,0))),"")</f>
        <v/>
      </c>
      <c r="O1532" s="320" t="str" cm="1">
        <f t="array" ref="O1532">_xlfn.IFNA(IF(INDEX(Tb_KostenOptiesDB[],MATCH($F1532,Tb_KostenOptiesDB[KostenOptie],0),IFERROR(MATCH(Methode_Keuze,Tb_KostenOptiesDB[#Headers],0),2))=1,_xlfn.SWITCH($N1532,"Uurtarief",IF(OR(AND(RIGHT($F1532,3)="IKS",VLOOKUP($M1532,DB_Loonkosten,2,0)="Ja"),AND(RIGHT($F1532,3)&lt;&gt;"IKS",VLOOKUP($M1532,DB_Loonkosten,2,0)="Nee")),IFERROR(VLOOKUP($M1532,DB_Loonkosten,24,0),""),0),"Vast tarief",IF(LEFT(F1532,8)="Bijdrage",VLOOKUP($F1532,Tb_KostenTypen[],MATCH(Lijsten!$P$1,Tb_KostenTypen[#Headers],0),0),VLOOKUP($G1532,Lijsten!L:P,MATCH(Lijsten!$P$1,Kop_Tarief_Vast,0),0))),""),"")</f>
        <v/>
      </c>
      <c r="P1532" s="320" t="str" cm="1">
        <f t="array" ref="P1532">_xlfn.IFNA(IF(INDEX(Tb_KostenOptiesDB[],MATCH($F1532,Tb_KostenOptiesDB[KostenOptie],0),IFERROR(MATCH(Methode_Keuze,Tb_KostenOptiesDB[#Headers],0),2))=1,_xlfn.SWITCH($N1532,"Uurtarief",IF(OR(AND(RIGHT($F1532,3)="IKS",VLOOKUP($M1532,DB_Loonkosten,2,0)="Ja"),AND(RIGHT($F1532,3)&lt;&gt;"IKS",VLOOKUP($M1532,DB_Loonkosten,2,0)="Nee")),IFERROR(VLOOKUP($M1532,DB_Loonkosten,25,0),""),0),"Vast tarief",IF(LEFT(F1532,8)="Bijdrage",VLOOKUP($F1532,Tb_KostenTypen[],MATCH(Lijsten!$P$1,Tb_KostenTypen[#Headers],0),0),VLOOKUP($G1532,Lijsten!L:P,MATCH(Lijsten!$P$1,Kop_Tarief_Vast,0),0))),""),"")</f>
        <v/>
      </c>
      <c r="Q1532" s="359"/>
      <c r="R1532" s="359"/>
      <c r="S1532" s="321"/>
      <c r="T1532" s="321"/>
      <c r="U1532" s="373" t="str">
        <f t="shared" si="92"/>
        <v/>
      </c>
      <c r="V1532" s="314" t="str">
        <f t="shared" si="93"/>
        <v/>
      </c>
      <c r="W1532" s="314" t="str" cm="1">
        <f t="array" aca="1" ref="W1532" ca="1">IFERROR(IF(AE1532&lt;&gt;"ja",_xlfn.IFNA(_xlfn.IFS(AND(O1532&lt;&gt;"",F1532&lt;&gt;"",RIGHT($N1532,6)="tarief",F1532="Vergoeding"),SUM(O1532)*FLOOR(SUM(Q1532),0.0001),AND(O1532&lt;&gt;"",F1532&lt;&gt;"",RIGHT($N1532,6)="tarief"),SUM(O1532)*FLOOR(SUM(Q1532),0.01),S1532&gt;0,IF(F1532&lt;&gt;"",FLOOR(SUM(S1532),0.01),"")),""),""),"")</f>
        <v/>
      </c>
      <c r="X1532" s="314" t="str" cm="1">
        <f t="array" aca="1" ref="X1532" ca="1">IFERROR(IF(AE1532&lt;&gt;"ja",_xlfn.IFNA(_xlfn.IFS(AND(P1532&lt;&gt;"",R1532&lt;&gt;"",RIGHT($N1532,6)="tarief",F1532="Vergoeding"),SUM(P1532)*FLOOR(SUM(R1532),0.0001),AND(P1532&lt;&gt;"",R1532&lt;&gt;"",RIGHT($N1532,6)="tarief"),P1532*FLOOR(R1532,0.01),T1532&gt;0,FLOOR(SUM(T1532),0.01)),""),""),"")</f>
        <v/>
      </c>
      <c r="Y1532" s="314" t="str">
        <f t="shared" ca="1" si="94"/>
        <v/>
      </c>
      <c r="Z1532" s="314" t="str" cm="1">
        <f t="array" aca="1" ref="Z1532" ca="1">IFERROR(_xlfn.IFS(OR(F1532="",LEFT(Methode_Keuze,4)="Geen",Methode_Keuze=""),"",AND(W1532&lt;&gt;"",F1532&lt;&gt;"Arbeidskosten"),W1532*VLOOKUP(F1532,Tb_ProjectKosten[],MATCH(Tb_ProjectKosten[[#Headers],[Forfait_Percentage]],Tb_ProjectKosten[#Headers],0),0),AND(F1532="Arbeidskosten",G1532&lt;&gt;""),IFERROR(W1532*VLOOKUP(G1532,Tb_KostenTypen[],3,0)*VLOOKUP(F1532,Tb_ProjectKosten[],MATCH(Tb_ProjectKosten[[#Headers],[Forfait_Percentage]],Tb_ProjectKosten[#Headers],0),0),""),W1532 &lt;=0,0),"")</f>
        <v/>
      </c>
      <c r="AA1532" s="314" t="str" cm="1">
        <f t="array" aca="1" ref="AA1532" ca="1">IFERROR(_xlfn.IFS(OR(F1532="",LEFT(Methode_Keuze,4)="Geen",Methode_Keuze=""),"",AND(X1532&lt;&gt;"",F1532&lt;&gt;"Arbeidskosten"),X1532*VLOOKUP(F1532,Tb_ProjectKosten[],MATCH(Tb_ProjectKosten[[#Headers],[Forfait_Percentage]],Tb_ProjectKosten[#Headers],0),0),AND(F1532="Arbeidskosten",G1532&lt;&gt;""),IFERROR(X1532*VLOOKUP(G1532,Tb_KostenTypen[],3,0)*VLOOKUP(F1532,Tb_ProjectKosten[],MATCH(Tb_ProjectKosten[[#Headers],[Forfait_Percentage]],Tb_ProjectKosten[#Headers],0),0),""),X1532 &lt;=0,0),"")</f>
        <v/>
      </c>
      <c r="AB1532" s="314" t="str">
        <f t="shared" ca="1" si="95"/>
        <v/>
      </c>
      <c r="AC1532" s="322"/>
      <c r="AD1532" s="315"/>
      <c r="AE1532" s="32" t="str" cm="1">
        <f t="array" ref="AE1532">IFERROR(IF(INDEX(SubsidieTabel!$AD$1:$AG$12,MATCH($F1532,SubsidieTabel!$AD$1:$AD$12,0),IFERROR(MATCH(Methode_Keuze,SubsidieTabel!$AD$1:$AG$1,0),2))&lt;&gt;1=TRUE,"ja",""),"")</f>
        <v/>
      </c>
    </row>
    <row r="1533" spans="1:31" x14ac:dyDescent="0.25">
      <c r="A1533" s="316"/>
      <c r="B1533" s="317" t="str">
        <f>IF(A1533&lt;&gt;"",_xlfn.MAXIFS($B$1:B1532,$A$1:A1532,A1533)+1,"")</f>
        <v/>
      </c>
      <c r="C1533" s="296"/>
      <c r="D1533" s="296"/>
      <c r="E1533" s="296"/>
      <c r="F1533" s="296"/>
      <c r="G1533" s="326"/>
      <c r="H1533" s="324"/>
      <c r="I1533" s="325"/>
      <c r="J1533" s="325"/>
      <c r="K1533" s="318"/>
      <c r="L1533" s="318"/>
      <c r="M1533" s="319" t="str">
        <f>IFERROR(VLOOKUP(H1533,Lijsten!$H$1:$I$100,2,0),"")</f>
        <v/>
      </c>
      <c r="N1533" s="319" t="str">
        <f ca="1">IFERROR(IF(VLOOKUP(F1533,Kostentypen!$A$3:$E$21,3,0)=0,"",IF(OR(F1533="Arbeidskosten",F1533="Vergoeding"),VLOOKUP(G1533,Tb_KostenTypen[],2,0),VLOOKUP(F1533,Kostentypen!$A$3:$E$20,3,0))),"")</f>
        <v/>
      </c>
      <c r="O1533" s="320" t="str" cm="1">
        <f t="array" ref="O1533">_xlfn.IFNA(IF(INDEX(Tb_KostenOptiesDB[],MATCH($F1533,Tb_KostenOptiesDB[KostenOptie],0),IFERROR(MATCH(Methode_Keuze,Tb_KostenOptiesDB[#Headers],0),2))=1,_xlfn.SWITCH($N1533,"Uurtarief",IF(OR(AND(RIGHT($F1533,3)="IKS",VLOOKUP($M1533,DB_Loonkosten,2,0)="Ja"),AND(RIGHT($F1533,3)&lt;&gt;"IKS",VLOOKUP($M1533,DB_Loonkosten,2,0)="Nee")),IFERROR(VLOOKUP($M1533,DB_Loonkosten,24,0),""),0),"Vast tarief",IF(LEFT(F1533,8)="Bijdrage",VLOOKUP($F1533,Tb_KostenTypen[],MATCH(Lijsten!$P$1,Tb_KostenTypen[#Headers],0),0),VLOOKUP($G1533,Lijsten!L:P,MATCH(Lijsten!$P$1,Kop_Tarief_Vast,0),0))),""),"")</f>
        <v/>
      </c>
      <c r="P1533" s="320" t="str" cm="1">
        <f t="array" ref="P1533">_xlfn.IFNA(IF(INDEX(Tb_KostenOptiesDB[],MATCH($F1533,Tb_KostenOptiesDB[KostenOptie],0),IFERROR(MATCH(Methode_Keuze,Tb_KostenOptiesDB[#Headers],0),2))=1,_xlfn.SWITCH($N1533,"Uurtarief",IF(OR(AND(RIGHT($F1533,3)="IKS",VLOOKUP($M1533,DB_Loonkosten,2,0)="Ja"),AND(RIGHT($F1533,3)&lt;&gt;"IKS",VLOOKUP($M1533,DB_Loonkosten,2,0)="Nee")),IFERROR(VLOOKUP($M1533,DB_Loonkosten,25,0),""),0),"Vast tarief",IF(LEFT(F1533,8)="Bijdrage",VLOOKUP($F1533,Tb_KostenTypen[],MATCH(Lijsten!$P$1,Tb_KostenTypen[#Headers],0),0),VLOOKUP($G1533,Lijsten!L:P,MATCH(Lijsten!$P$1,Kop_Tarief_Vast,0),0))),""),"")</f>
        <v/>
      </c>
      <c r="Q1533" s="359"/>
      <c r="R1533" s="359"/>
      <c r="S1533" s="321"/>
      <c r="T1533" s="321"/>
      <c r="U1533" s="373" t="str">
        <f t="shared" si="92"/>
        <v/>
      </c>
      <c r="V1533" s="314" t="str">
        <f t="shared" si="93"/>
        <v/>
      </c>
      <c r="W1533" s="314" t="str" cm="1">
        <f t="array" aca="1" ref="W1533" ca="1">IFERROR(IF(AE1533&lt;&gt;"ja",_xlfn.IFNA(_xlfn.IFS(AND(O1533&lt;&gt;"",F1533&lt;&gt;"",RIGHT($N1533,6)="tarief",F1533="Vergoeding"),SUM(O1533)*FLOOR(SUM(Q1533),0.0001),AND(O1533&lt;&gt;"",F1533&lt;&gt;"",RIGHT($N1533,6)="tarief"),SUM(O1533)*FLOOR(SUM(Q1533),0.01),S1533&gt;0,IF(F1533&lt;&gt;"",FLOOR(SUM(S1533),0.01),"")),""),""),"")</f>
        <v/>
      </c>
      <c r="X1533" s="314" t="str" cm="1">
        <f t="array" aca="1" ref="X1533" ca="1">IFERROR(IF(AE1533&lt;&gt;"ja",_xlfn.IFNA(_xlfn.IFS(AND(P1533&lt;&gt;"",R1533&lt;&gt;"",RIGHT($N1533,6)="tarief",F1533="Vergoeding"),SUM(P1533)*FLOOR(SUM(R1533),0.0001),AND(P1533&lt;&gt;"",R1533&lt;&gt;"",RIGHT($N1533,6)="tarief"),P1533*FLOOR(R1533,0.01),T1533&gt;0,FLOOR(SUM(T1533),0.01)),""),""),"")</f>
        <v/>
      </c>
      <c r="Y1533" s="314" t="str">
        <f t="shared" ca="1" si="94"/>
        <v/>
      </c>
      <c r="Z1533" s="314" t="str" cm="1">
        <f t="array" aca="1" ref="Z1533" ca="1">IFERROR(_xlfn.IFS(OR(F1533="",LEFT(Methode_Keuze,4)="Geen",Methode_Keuze=""),"",AND(W1533&lt;&gt;"",F1533&lt;&gt;"Arbeidskosten"),W1533*VLOOKUP(F1533,Tb_ProjectKosten[],MATCH(Tb_ProjectKosten[[#Headers],[Forfait_Percentage]],Tb_ProjectKosten[#Headers],0),0),AND(F1533="Arbeidskosten",G1533&lt;&gt;""),IFERROR(W1533*VLOOKUP(G1533,Tb_KostenTypen[],3,0)*VLOOKUP(F1533,Tb_ProjectKosten[],MATCH(Tb_ProjectKosten[[#Headers],[Forfait_Percentage]],Tb_ProjectKosten[#Headers],0),0),""),W1533 &lt;=0,0),"")</f>
        <v/>
      </c>
      <c r="AA1533" s="314" t="str" cm="1">
        <f t="array" aca="1" ref="AA1533" ca="1">IFERROR(_xlfn.IFS(OR(F1533="",LEFT(Methode_Keuze,4)="Geen",Methode_Keuze=""),"",AND(X1533&lt;&gt;"",F1533&lt;&gt;"Arbeidskosten"),X1533*VLOOKUP(F1533,Tb_ProjectKosten[],MATCH(Tb_ProjectKosten[[#Headers],[Forfait_Percentage]],Tb_ProjectKosten[#Headers],0),0),AND(F1533="Arbeidskosten",G1533&lt;&gt;""),IFERROR(X1533*VLOOKUP(G1533,Tb_KostenTypen[],3,0)*VLOOKUP(F1533,Tb_ProjectKosten[],MATCH(Tb_ProjectKosten[[#Headers],[Forfait_Percentage]],Tb_ProjectKosten[#Headers],0),0),""),X1533 &lt;=0,0),"")</f>
        <v/>
      </c>
      <c r="AB1533" s="314" t="str">
        <f t="shared" ca="1" si="95"/>
        <v/>
      </c>
      <c r="AC1533" s="322"/>
      <c r="AD1533" s="315"/>
      <c r="AE1533" s="32" t="str" cm="1">
        <f t="array" ref="AE1533">IFERROR(IF(INDEX(SubsidieTabel!$AD$1:$AG$12,MATCH($F1533,SubsidieTabel!$AD$1:$AD$12,0),IFERROR(MATCH(Methode_Keuze,SubsidieTabel!$AD$1:$AG$1,0),2))&lt;&gt;1=TRUE,"ja",""),"")</f>
        <v/>
      </c>
    </row>
    <row r="1534" spans="1:31" x14ac:dyDescent="0.25">
      <c r="A1534" s="316"/>
      <c r="B1534" s="317" t="str">
        <f>IF(A1534&lt;&gt;"",_xlfn.MAXIFS($B$1:B1533,$A$1:A1533,A1534)+1,"")</f>
        <v/>
      </c>
      <c r="C1534" s="296"/>
      <c r="D1534" s="296"/>
      <c r="E1534" s="296"/>
      <c r="F1534" s="296"/>
      <c r="G1534" s="326"/>
      <c r="H1534" s="324"/>
      <c r="I1534" s="325"/>
      <c r="J1534" s="325"/>
      <c r="K1534" s="318"/>
      <c r="L1534" s="318"/>
      <c r="M1534" s="319" t="str">
        <f>IFERROR(VLOOKUP(H1534,Lijsten!$H$1:$I$100,2,0),"")</f>
        <v/>
      </c>
      <c r="N1534" s="319" t="str">
        <f ca="1">IFERROR(IF(VLOOKUP(F1534,Kostentypen!$A$3:$E$21,3,0)=0,"",IF(OR(F1534="Arbeidskosten",F1534="Vergoeding"),VLOOKUP(G1534,Tb_KostenTypen[],2,0),VLOOKUP(F1534,Kostentypen!$A$3:$E$20,3,0))),"")</f>
        <v/>
      </c>
      <c r="O1534" s="320" t="str" cm="1">
        <f t="array" ref="O1534">_xlfn.IFNA(IF(INDEX(Tb_KostenOptiesDB[],MATCH($F1534,Tb_KostenOptiesDB[KostenOptie],0),IFERROR(MATCH(Methode_Keuze,Tb_KostenOptiesDB[#Headers],0),2))=1,_xlfn.SWITCH($N1534,"Uurtarief",IF(OR(AND(RIGHT($F1534,3)="IKS",VLOOKUP($M1534,DB_Loonkosten,2,0)="Ja"),AND(RIGHT($F1534,3)&lt;&gt;"IKS",VLOOKUP($M1534,DB_Loonkosten,2,0)="Nee")),IFERROR(VLOOKUP($M1534,DB_Loonkosten,24,0),""),0),"Vast tarief",IF(LEFT(F1534,8)="Bijdrage",VLOOKUP($F1534,Tb_KostenTypen[],MATCH(Lijsten!$P$1,Tb_KostenTypen[#Headers],0),0),VLOOKUP($G1534,Lijsten!L:P,MATCH(Lijsten!$P$1,Kop_Tarief_Vast,0),0))),""),"")</f>
        <v/>
      </c>
      <c r="P1534" s="320" t="str" cm="1">
        <f t="array" ref="P1534">_xlfn.IFNA(IF(INDEX(Tb_KostenOptiesDB[],MATCH($F1534,Tb_KostenOptiesDB[KostenOptie],0),IFERROR(MATCH(Methode_Keuze,Tb_KostenOptiesDB[#Headers],0),2))=1,_xlfn.SWITCH($N1534,"Uurtarief",IF(OR(AND(RIGHT($F1534,3)="IKS",VLOOKUP($M1534,DB_Loonkosten,2,0)="Ja"),AND(RIGHT($F1534,3)&lt;&gt;"IKS",VLOOKUP($M1534,DB_Loonkosten,2,0)="Nee")),IFERROR(VLOOKUP($M1534,DB_Loonkosten,25,0),""),0),"Vast tarief",IF(LEFT(F1534,8)="Bijdrage",VLOOKUP($F1534,Tb_KostenTypen[],MATCH(Lijsten!$P$1,Tb_KostenTypen[#Headers],0),0),VLOOKUP($G1534,Lijsten!L:P,MATCH(Lijsten!$P$1,Kop_Tarief_Vast,0),0))),""),"")</f>
        <v/>
      </c>
      <c r="Q1534" s="359"/>
      <c r="R1534" s="359"/>
      <c r="S1534" s="321"/>
      <c r="T1534" s="321"/>
      <c r="U1534" s="373" t="str">
        <f t="shared" si="92"/>
        <v/>
      </c>
      <c r="V1534" s="314" t="str">
        <f t="shared" si="93"/>
        <v/>
      </c>
      <c r="W1534" s="314" t="str" cm="1">
        <f t="array" aca="1" ref="W1534" ca="1">IFERROR(IF(AE1534&lt;&gt;"ja",_xlfn.IFNA(_xlfn.IFS(AND(O1534&lt;&gt;"",F1534&lt;&gt;"",RIGHT($N1534,6)="tarief",F1534="Vergoeding"),SUM(O1534)*FLOOR(SUM(Q1534),0.0001),AND(O1534&lt;&gt;"",F1534&lt;&gt;"",RIGHT($N1534,6)="tarief"),SUM(O1534)*FLOOR(SUM(Q1534),0.01),S1534&gt;0,IF(F1534&lt;&gt;"",FLOOR(SUM(S1534),0.01),"")),""),""),"")</f>
        <v/>
      </c>
      <c r="X1534" s="314" t="str" cm="1">
        <f t="array" aca="1" ref="X1534" ca="1">IFERROR(IF(AE1534&lt;&gt;"ja",_xlfn.IFNA(_xlfn.IFS(AND(P1534&lt;&gt;"",R1534&lt;&gt;"",RIGHT($N1534,6)="tarief",F1534="Vergoeding"),SUM(P1534)*FLOOR(SUM(R1534),0.0001),AND(P1534&lt;&gt;"",R1534&lt;&gt;"",RIGHT($N1534,6)="tarief"),P1534*FLOOR(R1534,0.01),T1534&gt;0,FLOOR(SUM(T1534),0.01)),""),""),"")</f>
        <v/>
      </c>
      <c r="Y1534" s="314" t="str">
        <f t="shared" ca="1" si="94"/>
        <v/>
      </c>
      <c r="Z1534" s="314" t="str" cm="1">
        <f t="array" aca="1" ref="Z1534" ca="1">IFERROR(_xlfn.IFS(OR(F1534="",LEFT(Methode_Keuze,4)="Geen",Methode_Keuze=""),"",AND(W1534&lt;&gt;"",F1534&lt;&gt;"Arbeidskosten"),W1534*VLOOKUP(F1534,Tb_ProjectKosten[],MATCH(Tb_ProjectKosten[[#Headers],[Forfait_Percentage]],Tb_ProjectKosten[#Headers],0),0),AND(F1534="Arbeidskosten",G1534&lt;&gt;""),IFERROR(W1534*VLOOKUP(G1534,Tb_KostenTypen[],3,0)*VLOOKUP(F1534,Tb_ProjectKosten[],MATCH(Tb_ProjectKosten[[#Headers],[Forfait_Percentage]],Tb_ProjectKosten[#Headers],0),0),""),W1534 &lt;=0,0),"")</f>
        <v/>
      </c>
      <c r="AA1534" s="314" t="str" cm="1">
        <f t="array" aca="1" ref="AA1534" ca="1">IFERROR(_xlfn.IFS(OR(F1534="",LEFT(Methode_Keuze,4)="Geen",Methode_Keuze=""),"",AND(X1534&lt;&gt;"",F1534&lt;&gt;"Arbeidskosten"),X1534*VLOOKUP(F1534,Tb_ProjectKosten[],MATCH(Tb_ProjectKosten[[#Headers],[Forfait_Percentage]],Tb_ProjectKosten[#Headers],0),0),AND(F1534="Arbeidskosten",G1534&lt;&gt;""),IFERROR(X1534*VLOOKUP(G1534,Tb_KostenTypen[],3,0)*VLOOKUP(F1534,Tb_ProjectKosten[],MATCH(Tb_ProjectKosten[[#Headers],[Forfait_Percentage]],Tb_ProjectKosten[#Headers],0),0),""),X1534 &lt;=0,0),"")</f>
        <v/>
      </c>
      <c r="AB1534" s="314" t="str">
        <f t="shared" ca="1" si="95"/>
        <v/>
      </c>
      <c r="AC1534" s="322"/>
      <c r="AD1534" s="315"/>
      <c r="AE1534" s="32" t="str" cm="1">
        <f t="array" ref="AE1534">IFERROR(IF(INDEX(SubsidieTabel!$AD$1:$AG$12,MATCH($F1534,SubsidieTabel!$AD$1:$AD$12,0),IFERROR(MATCH(Methode_Keuze,SubsidieTabel!$AD$1:$AG$1,0),2))&lt;&gt;1=TRUE,"ja",""),"")</f>
        <v/>
      </c>
    </row>
    <row r="1535" spans="1:31" x14ac:dyDescent="0.25">
      <c r="A1535" s="316"/>
      <c r="B1535" s="317" t="str">
        <f>IF(A1535&lt;&gt;"",_xlfn.MAXIFS($B$1:B1534,$A$1:A1534,A1535)+1,"")</f>
        <v/>
      </c>
      <c r="C1535" s="296"/>
      <c r="D1535" s="296"/>
      <c r="E1535" s="296"/>
      <c r="F1535" s="296"/>
      <c r="G1535" s="326"/>
      <c r="H1535" s="324"/>
      <c r="I1535" s="325"/>
      <c r="J1535" s="325"/>
      <c r="K1535" s="318"/>
      <c r="L1535" s="318"/>
      <c r="M1535" s="319" t="str">
        <f>IFERROR(VLOOKUP(H1535,Lijsten!$H$1:$I$100,2,0),"")</f>
        <v/>
      </c>
      <c r="N1535" s="319" t="str">
        <f ca="1">IFERROR(IF(VLOOKUP(F1535,Kostentypen!$A$3:$E$21,3,0)=0,"",IF(OR(F1535="Arbeidskosten",F1535="Vergoeding"),VLOOKUP(G1535,Tb_KostenTypen[],2,0),VLOOKUP(F1535,Kostentypen!$A$3:$E$20,3,0))),"")</f>
        <v/>
      </c>
      <c r="O1535" s="320" t="str" cm="1">
        <f t="array" ref="O1535">_xlfn.IFNA(IF(INDEX(Tb_KostenOptiesDB[],MATCH($F1535,Tb_KostenOptiesDB[KostenOptie],0),IFERROR(MATCH(Methode_Keuze,Tb_KostenOptiesDB[#Headers],0),2))=1,_xlfn.SWITCH($N1535,"Uurtarief",IF(OR(AND(RIGHT($F1535,3)="IKS",VLOOKUP($M1535,DB_Loonkosten,2,0)="Ja"),AND(RIGHT($F1535,3)&lt;&gt;"IKS",VLOOKUP($M1535,DB_Loonkosten,2,0)="Nee")),IFERROR(VLOOKUP($M1535,DB_Loonkosten,24,0),""),0),"Vast tarief",IF(LEFT(F1535,8)="Bijdrage",VLOOKUP($F1535,Tb_KostenTypen[],MATCH(Lijsten!$P$1,Tb_KostenTypen[#Headers],0),0),VLOOKUP($G1535,Lijsten!L:P,MATCH(Lijsten!$P$1,Kop_Tarief_Vast,0),0))),""),"")</f>
        <v/>
      </c>
      <c r="P1535" s="320" t="str" cm="1">
        <f t="array" ref="P1535">_xlfn.IFNA(IF(INDEX(Tb_KostenOptiesDB[],MATCH($F1535,Tb_KostenOptiesDB[KostenOptie],0),IFERROR(MATCH(Methode_Keuze,Tb_KostenOptiesDB[#Headers],0),2))=1,_xlfn.SWITCH($N1535,"Uurtarief",IF(OR(AND(RIGHT($F1535,3)="IKS",VLOOKUP($M1535,DB_Loonkosten,2,0)="Ja"),AND(RIGHT($F1535,3)&lt;&gt;"IKS",VLOOKUP($M1535,DB_Loonkosten,2,0)="Nee")),IFERROR(VLOOKUP($M1535,DB_Loonkosten,25,0),""),0),"Vast tarief",IF(LEFT(F1535,8)="Bijdrage",VLOOKUP($F1535,Tb_KostenTypen[],MATCH(Lijsten!$P$1,Tb_KostenTypen[#Headers],0),0),VLOOKUP($G1535,Lijsten!L:P,MATCH(Lijsten!$P$1,Kop_Tarief_Vast,0),0))),""),"")</f>
        <v/>
      </c>
      <c r="Q1535" s="359"/>
      <c r="R1535" s="359"/>
      <c r="S1535" s="321"/>
      <c r="T1535" s="321"/>
      <c r="U1535" s="373" t="str">
        <f t="shared" si="92"/>
        <v/>
      </c>
      <c r="V1535" s="314" t="str">
        <f t="shared" si="93"/>
        <v/>
      </c>
      <c r="W1535" s="314" t="str" cm="1">
        <f t="array" aca="1" ref="W1535" ca="1">IFERROR(IF(AE1535&lt;&gt;"ja",_xlfn.IFNA(_xlfn.IFS(AND(O1535&lt;&gt;"",F1535&lt;&gt;"",RIGHT($N1535,6)="tarief",F1535="Vergoeding"),SUM(O1535)*FLOOR(SUM(Q1535),0.0001),AND(O1535&lt;&gt;"",F1535&lt;&gt;"",RIGHT($N1535,6)="tarief"),SUM(O1535)*FLOOR(SUM(Q1535),0.01),S1535&gt;0,IF(F1535&lt;&gt;"",FLOOR(SUM(S1535),0.01),"")),""),""),"")</f>
        <v/>
      </c>
      <c r="X1535" s="314" t="str" cm="1">
        <f t="array" aca="1" ref="X1535" ca="1">IFERROR(IF(AE1535&lt;&gt;"ja",_xlfn.IFNA(_xlfn.IFS(AND(P1535&lt;&gt;"",R1535&lt;&gt;"",RIGHT($N1535,6)="tarief",F1535="Vergoeding"),SUM(P1535)*FLOOR(SUM(R1535),0.0001),AND(P1535&lt;&gt;"",R1535&lt;&gt;"",RIGHT($N1535,6)="tarief"),P1535*FLOOR(R1535,0.01),T1535&gt;0,FLOOR(SUM(T1535),0.01)),""),""),"")</f>
        <v/>
      </c>
      <c r="Y1535" s="314" t="str">
        <f t="shared" ca="1" si="94"/>
        <v/>
      </c>
      <c r="Z1535" s="314" t="str" cm="1">
        <f t="array" aca="1" ref="Z1535" ca="1">IFERROR(_xlfn.IFS(OR(F1535="",LEFT(Methode_Keuze,4)="Geen",Methode_Keuze=""),"",AND(W1535&lt;&gt;"",F1535&lt;&gt;"Arbeidskosten"),W1535*VLOOKUP(F1535,Tb_ProjectKosten[],MATCH(Tb_ProjectKosten[[#Headers],[Forfait_Percentage]],Tb_ProjectKosten[#Headers],0),0),AND(F1535="Arbeidskosten",G1535&lt;&gt;""),IFERROR(W1535*VLOOKUP(G1535,Tb_KostenTypen[],3,0)*VLOOKUP(F1535,Tb_ProjectKosten[],MATCH(Tb_ProjectKosten[[#Headers],[Forfait_Percentage]],Tb_ProjectKosten[#Headers],0),0),""),W1535 &lt;=0,0),"")</f>
        <v/>
      </c>
      <c r="AA1535" s="314" t="str" cm="1">
        <f t="array" aca="1" ref="AA1535" ca="1">IFERROR(_xlfn.IFS(OR(F1535="",LEFT(Methode_Keuze,4)="Geen",Methode_Keuze=""),"",AND(X1535&lt;&gt;"",F1535&lt;&gt;"Arbeidskosten"),X1535*VLOOKUP(F1535,Tb_ProjectKosten[],MATCH(Tb_ProjectKosten[[#Headers],[Forfait_Percentage]],Tb_ProjectKosten[#Headers],0),0),AND(F1535="Arbeidskosten",G1535&lt;&gt;""),IFERROR(X1535*VLOOKUP(G1535,Tb_KostenTypen[],3,0)*VLOOKUP(F1535,Tb_ProjectKosten[],MATCH(Tb_ProjectKosten[[#Headers],[Forfait_Percentage]],Tb_ProjectKosten[#Headers],0),0),""),X1535 &lt;=0,0),"")</f>
        <v/>
      </c>
      <c r="AB1535" s="314" t="str">
        <f t="shared" ca="1" si="95"/>
        <v/>
      </c>
      <c r="AC1535" s="322"/>
      <c r="AD1535" s="315"/>
      <c r="AE1535" s="32" t="str" cm="1">
        <f t="array" ref="AE1535">IFERROR(IF(INDEX(SubsidieTabel!$AD$1:$AG$12,MATCH($F1535,SubsidieTabel!$AD$1:$AD$12,0),IFERROR(MATCH(Methode_Keuze,SubsidieTabel!$AD$1:$AG$1,0),2))&lt;&gt;1=TRUE,"ja",""),"")</f>
        <v/>
      </c>
    </row>
    <row r="1536" spans="1:31" x14ac:dyDescent="0.25">
      <c r="A1536" s="316"/>
      <c r="B1536" s="317" t="str">
        <f>IF(A1536&lt;&gt;"",_xlfn.MAXIFS($B$1:B1535,$A$1:A1535,A1536)+1,"")</f>
        <v/>
      </c>
      <c r="C1536" s="296"/>
      <c r="D1536" s="296"/>
      <c r="E1536" s="296"/>
      <c r="F1536" s="296"/>
      <c r="G1536" s="326"/>
      <c r="H1536" s="324"/>
      <c r="I1536" s="325"/>
      <c r="J1536" s="325"/>
      <c r="K1536" s="318"/>
      <c r="L1536" s="318"/>
      <c r="M1536" s="319" t="str">
        <f>IFERROR(VLOOKUP(H1536,Lijsten!$H$1:$I$100,2,0),"")</f>
        <v/>
      </c>
      <c r="N1536" s="319" t="str">
        <f ca="1">IFERROR(IF(VLOOKUP(F1536,Kostentypen!$A$3:$E$21,3,0)=0,"",IF(OR(F1536="Arbeidskosten",F1536="Vergoeding"),VLOOKUP(G1536,Tb_KostenTypen[],2,0),VLOOKUP(F1536,Kostentypen!$A$3:$E$20,3,0))),"")</f>
        <v/>
      </c>
      <c r="O1536" s="320" t="str" cm="1">
        <f t="array" ref="O1536">_xlfn.IFNA(IF(INDEX(Tb_KostenOptiesDB[],MATCH($F1536,Tb_KostenOptiesDB[KostenOptie],0),IFERROR(MATCH(Methode_Keuze,Tb_KostenOptiesDB[#Headers],0),2))=1,_xlfn.SWITCH($N1536,"Uurtarief",IF(OR(AND(RIGHT($F1536,3)="IKS",VLOOKUP($M1536,DB_Loonkosten,2,0)="Ja"),AND(RIGHT($F1536,3)&lt;&gt;"IKS",VLOOKUP($M1536,DB_Loonkosten,2,0)="Nee")),IFERROR(VLOOKUP($M1536,DB_Loonkosten,24,0),""),0),"Vast tarief",IF(LEFT(F1536,8)="Bijdrage",VLOOKUP($F1536,Tb_KostenTypen[],MATCH(Lijsten!$P$1,Tb_KostenTypen[#Headers],0),0),VLOOKUP($G1536,Lijsten!L:P,MATCH(Lijsten!$P$1,Kop_Tarief_Vast,0),0))),""),"")</f>
        <v/>
      </c>
      <c r="P1536" s="320" t="str" cm="1">
        <f t="array" ref="P1536">_xlfn.IFNA(IF(INDEX(Tb_KostenOptiesDB[],MATCH($F1536,Tb_KostenOptiesDB[KostenOptie],0),IFERROR(MATCH(Methode_Keuze,Tb_KostenOptiesDB[#Headers],0),2))=1,_xlfn.SWITCH($N1536,"Uurtarief",IF(OR(AND(RIGHT($F1536,3)="IKS",VLOOKUP($M1536,DB_Loonkosten,2,0)="Ja"),AND(RIGHT($F1536,3)&lt;&gt;"IKS",VLOOKUP($M1536,DB_Loonkosten,2,0)="Nee")),IFERROR(VLOOKUP($M1536,DB_Loonkosten,25,0),""),0),"Vast tarief",IF(LEFT(F1536,8)="Bijdrage",VLOOKUP($F1536,Tb_KostenTypen[],MATCH(Lijsten!$P$1,Tb_KostenTypen[#Headers],0),0),VLOOKUP($G1536,Lijsten!L:P,MATCH(Lijsten!$P$1,Kop_Tarief_Vast,0),0))),""),"")</f>
        <v/>
      </c>
      <c r="Q1536" s="359"/>
      <c r="R1536" s="359"/>
      <c r="S1536" s="321"/>
      <c r="T1536" s="321"/>
      <c r="U1536" s="373" t="str">
        <f t="shared" si="92"/>
        <v/>
      </c>
      <c r="V1536" s="314" t="str">
        <f t="shared" si="93"/>
        <v/>
      </c>
      <c r="W1536" s="314" t="str" cm="1">
        <f t="array" aca="1" ref="W1536" ca="1">IFERROR(IF(AE1536&lt;&gt;"ja",_xlfn.IFNA(_xlfn.IFS(AND(O1536&lt;&gt;"",F1536&lt;&gt;"",RIGHT($N1536,6)="tarief",F1536="Vergoeding"),SUM(O1536)*FLOOR(SUM(Q1536),0.0001),AND(O1536&lt;&gt;"",F1536&lt;&gt;"",RIGHT($N1536,6)="tarief"),SUM(O1536)*FLOOR(SUM(Q1536),0.01),S1536&gt;0,IF(F1536&lt;&gt;"",FLOOR(SUM(S1536),0.01),"")),""),""),"")</f>
        <v/>
      </c>
      <c r="X1536" s="314" t="str" cm="1">
        <f t="array" aca="1" ref="X1536" ca="1">IFERROR(IF(AE1536&lt;&gt;"ja",_xlfn.IFNA(_xlfn.IFS(AND(P1536&lt;&gt;"",R1536&lt;&gt;"",RIGHT($N1536,6)="tarief",F1536="Vergoeding"),SUM(P1536)*FLOOR(SUM(R1536),0.0001),AND(P1536&lt;&gt;"",R1536&lt;&gt;"",RIGHT($N1536,6)="tarief"),P1536*FLOOR(R1536,0.01),T1536&gt;0,FLOOR(SUM(T1536),0.01)),""),""),"")</f>
        <v/>
      </c>
      <c r="Y1536" s="314" t="str">
        <f t="shared" ca="1" si="94"/>
        <v/>
      </c>
      <c r="Z1536" s="314" t="str" cm="1">
        <f t="array" aca="1" ref="Z1536" ca="1">IFERROR(_xlfn.IFS(OR(F1536="",LEFT(Methode_Keuze,4)="Geen",Methode_Keuze=""),"",AND(W1536&lt;&gt;"",F1536&lt;&gt;"Arbeidskosten"),W1536*VLOOKUP(F1536,Tb_ProjectKosten[],MATCH(Tb_ProjectKosten[[#Headers],[Forfait_Percentage]],Tb_ProjectKosten[#Headers],0),0),AND(F1536="Arbeidskosten",G1536&lt;&gt;""),IFERROR(W1536*VLOOKUP(G1536,Tb_KostenTypen[],3,0)*VLOOKUP(F1536,Tb_ProjectKosten[],MATCH(Tb_ProjectKosten[[#Headers],[Forfait_Percentage]],Tb_ProjectKosten[#Headers],0),0),""),W1536 &lt;=0,0),"")</f>
        <v/>
      </c>
      <c r="AA1536" s="314" t="str" cm="1">
        <f t="array" aca="1" ref="AA1536" ca="1">IFERROR(_xlfn.IFS(OR(F1536="",LEFT(Methode_Keuze,4)="Geen",Methode_Keuze=""),"",AND(X1536&lt;&gt;"",F1536&lt;&gt;"Arbeidskosten"),X1536*VLOOKUP(F1536,Tb_ProjectKosten[],MATCH(Tb_ProjectKosten[[#Headers],[Forfait_Percentage]],Tb_ProjectKosten[#Headers],0),0),AND(F1536="Arbeidskosten",G1536&lt;&gt;""),IFERROR(X1536*VLOOKUP(G1536,Tb_KostenTypen[],3,0)*VLOOKUP(F1536,Tb_ProjectKosten[],MATCH(Tb_ProjectKosten[[#Headers],[Forfait_Percentage]],Tb_ProjectKosten[#Headers],0),0),""),X1536 &lt;=0,0),"")</f>
        <v/>
      </c>
      <c r="AB1536" s="314" t="str">
        <f t="shared" ca="1" si="95"/>
        <v/>
      </c>
      <c r="AC1536" s="322"/>
      <c r="AD1536" s="315"/>
      <c r="AE1536" s="32" t="str" cm="1">
        <f t="array" ref="AE1536">IFERROR(IF(INDEX(SubsidieTabel!$AD$1:$AG$12,MATCH($F1536,SubsidieTabel!$AD$1:$AD$12,0),IFERROR(MATCH(Methode_Keuze,SubsidieTabel!$AD$1:$AG$1,0),2))&lt;&gt;1=TRUE,"ja",""),"")</f>
        <v/>
      </c>
    </row>
    <row r="1537" spans="1:31" x14ac:dyDescent="0.25">
      <c r="A1537" s="316"/>
      <c r="B1537" s="317" t="str">
        <f>IF(A1537&lt;&gt;"",_xlfn.MAXIFS($B$1:B1536,$A$1:A1536,A1537)+1,"")</f>
        <v/>
      </c>
      <c r="C1537" s="296"/>
      <c r="D1537" s="296"/>
      <c r="E1537" s="296"/>
      <c r="F1537" s="296"/>
      <c r="G1537" s="326"/>
      <c r="H1537" s="324"/>
      <c r="I1537" s="325"/>
      <c r="J1537" s="325"/>
      <c r="K1537" s="318"/>
      <c r="L1537" s="318"/>
      <c r="M1537" s="319" t="str">
        <f>IFERROR(VLOOKUP(H1537,Lijsten!$H$1:$I$100,2,0),"")</f>
        <v/>
      </c>
      <c r="N1537" s="319" t="str">
        <f ca="1">IFERROR(IF(VLOOKUP(F1537,Kostentypen!$A$3:$E$21,3,0)=0,"",IF(OR(F1537="Arbeidskosten",F1537="Vergoeding"),VLOOKUP(G1537,Tb_KostenTypen[],2,0),VLOOKUP(F1537,Kostentypen!$A$3:$E$20,3,0))),"")</f>
        <v/>
      </c>
      <c r="O1537" s="320" t="str" cm="1">
        <f t="array" ref="O1537">_xlfn.IFNA(IF(INDEX(Tb_KostenOptiesDB[],MATCH($F1537,Tb_KostenOptiesDB[KostenOptie],0),IFERROR(MATCH(Methode_Keuze,Tb_KostenOptiesDB[#Headers],0),2))=1,_xlfn.SWITCH($N1537,"Uurtarief",IF(OR(AND(RIGHT($F1537,3)="IKS",VLOOKUP($M1537,DB_Loonkosten,2,0)="Ja"),AND(RIGHT($F1537,3)&lt;&gt;"IKS",VLOOKUP($M1537,DB_Loonkosten,2,0)="Nee")),IFERROR(VLOOKUP($M1537,DB_Loonkosten,24,0),""),0),"Vast tarief",IF(LEFT(F1537,8)="Bijdrage",VLOOKUP($F1537,Tb_KostenTypen[],MATCH(Lijsten!$P$1,Tb_KostenTypen[#Headers],0),0),VLOOKUP($G1537,Lijsten!L:P,MATCH(Lijsten!$P$1,Kop_Tarief_Vast,0),0))),""),"")</f>
        <v/>
      </c>
      <c r="P1537" s="320" t="str" cm="1">
        <f t="array" ref="P1537">_xlfn.IFNA(IF(INDEX(Tb_KostenOptiesDB[],MATCH($F1537,Tb_KostenOptiesDB[KostenOptie],0),IFERROR(MATCH(Methode_Keuze,Tb_KostenOptiesDB[#Headers],0),2))=1,_xlfn.SWITCH($N1537,"Uurtarief",IF(OR(AND(RIGHT($F1537,3)="IKS",VLOOKUP($M1537,DB_Loonkosten,2,0)="Ja"),AND(RIGHT($F1537,3)&lt;&gt;"IKS",VLOOKUP($M1537,DB_Loonkosten,2,0)="Nee")),IFERROR(VLOOKUP($M1537,DB_Loonkosten,25,0),""),0),"Vast tarief",IF(LEFT(F1537,8)="Bijdrage",VLOOKUP($F1537,Tb_KostenTypen[],MATCH(Lijsten!$P$1,Tb_KostenTypen[#Headers],0),0),VLOOKUP($G1537,Lijsten!L:P,MATCH(Lijsten!$P$1,Kop_Tarief_Vast,0),0))),""),"")</f>
        <v/>
      </c>
      <c r="Q1537" s="359"/>
      <c r="R1537" s="359"/>
      <c r="S1537" s="321"/>
      <c r="T1537" s="321"/>
      <c r="U1537" s="373" t="str">
        <f t="shared" si="92"/>
        <v/>
      </c>
      <c r="V1537" s="314" t="str">
        <f t="shared" si="93"/>
        <v/>
      </c>
      <c r="W1537" s="314" t="str" cm="1">
        <f t="array" aca="1" ref="W1537" ca="1">IFERROR(IF(AE1537&lt;&gt;"ja",_xlfn.IFNA(_xlfn.IFS(AND(O1537&lt;&gt;"",F1537&lt;&gt;"",RIGHT($N1537,6)="tarief",F1537="Vergoeding"),SUM(O1537)*FLOOR(SUM(Q1537),0.0001),AND(O1537&lt;&gt;"",F1537&lt;&gt;"",RIGHT($N1537,6)="tarief"),SUM(O1537)*FLOOR(SUM(Q1537),0.01),S1537&gt;0,IF(F1537&lt;&gt;"",FLOOR(SUM(S1537),0.01),"")),""),""),"")</f>
        <v/>
      </c>
      <c r="X1537" s="314" t="str" cm="1">
        <f t="array" aca="1" ref="X1537" ca="1">IFERROR(IF(AE1537&lt;&gt;"ja",_xlfn.IFNA(_xlfn.IFS(AND(P1537&lt;&gt;"",R1537&lt;&gt;"",RIGHT($N1537,6)="tarief",F1537="Vergoeding"),SUM(P1537)*FLOOR(SUM(R1537),0.0001),AND(P1537&lt;&gt;"",R1537&lt;&gt;"",RIGHT($N1537,6)="tarief"),P1537*FLOOR(R1537,0.01),T1537&gt;0,FLOOR(SUM(T1537),0.01)),""),""),"")</f>
        <v/>
      </c>
      <c r="Y1537" s="314" t="str">
        <f t="shared" ca="1" si="94"/>
        <v/>
      </c>
      <c r="Z1537" s="314" t="str" cm="1">
        <f t="array" aca="1" ref="Z1537" ca="1">IFERROR(_xlfn.IFS(OR(F1537="",LEFT(Methode_Keuze,4)="Geen",Methode_Keuze=""),"",AND(W1537&lt;&gt;"",F1537&lt;&gt;"Arbeidskosten"),W1537*VLOOKUP(F1537,Tb_ProjectKosten[],MATCH(Tb_ProjectKosten[[#Headers],[Forfait_Percentage]],Tb_ProjectKosten[#Headers],0),0),AND(F1537="Arbeidskosten",G1537&lt;&gt;""),IFERROR(W1537*VLOOKUP(G1537,Tb_KostenTypen[],3,0)*VLOOKUP(F1537,Tb_ProjectKosten[],MATCH(Tb_ProjectKosten[[#Headers],[Forfait_Percentage]],Tb_ProjectKosten[#Headers],0),0),""),W1537 &lt;=0,0),"")</f>
        <v/>
      </c>
      <c r="AA1537" s="314" t="str" cm="1">
        <f t="array" aca="1" ref="AA1537" ca="1">IFERROR(_xlfn.IFS(OR(F1537="",LEFT(Methode_Keuze,4)="Geen",Methode_Keuze=""),"",AND(X1537&lt;&gt;"",F1537&lt;&gt;"Arbeidskosten"),X1537*VLOOKUP(F1537,Tb_ProjectKosten[],MATCH(Tb_ProjectKosten[[#Headers],[Forfait_Percentage]],Tb_ProjectKosten[#Headers],0),0),AND(F1537="Arbeidskosten",G1537&lt;&gt;""),IFERROR(X1537*VLOOKUP(G1537,Tb_KostenTypen[],3,0)*VLOOKUP(F1537,Tb_ProjectKosten[],MATCH(Tb_ProjectKosten[[#Headers],[Forfait_Percentage]],Tb_ProjectKosten[#Headers],0),0),""),X1537 &lt;=0,0),"")</f>
        <v/>
      </c>
      <c r="AB1537" s="314" t="str">
        <f t="shared" ca="1" si="95"/>
        <v/>
      </c>
      <c r="AC1537" s="322"/>
      <c r="AD1537" s="315"/>
      <c r="AE1537" s="32" t="str" cm="1">
        <f t="array" ref="AE1537">IFERROR(IF(INDEX(SubsidieTabel!$AD$1:$AG$12,MATCH($F1537,SubsidieTabel!$AD$1:$AD$12,0),IFERROR(MATCH(Methode_Keuze,SubsidieTabel!$AD$1:$AG$1,0),2))&lt;&gt;1=TRUE,"ja",""),"")</f>
        <v/>
      </c>
    </row>
    <row r="1538" spans="1:31" x14ac:dyDescent="0.25">
      <c r="A1538" s="316"/>
      <c r="B1538" s="317" t="str">
        <f>IF(A1538&lt;&gt;"",_xlfn.MAXIFS($B$1:B1537,$A$1:A1537,A1538)+1,"")</f>
        <v/>
      </c>
      <c r="C1538" s="296"/>
      <c r="D1538" s="296"/>
      <c r="E1538" s="296"/>
      <c r="F1538" s="296"/>
      <c r="G1538" s="326"/>
      <c r="H1538" s="324"/>
      <c r="I1538" s="325"/>
      <c r="J1538" s="325"/>
      <c r="K1538" s="318"/>
      <c r="L1538" s="318"/>
      <c r="M1538" s="319" t="str">
        <f>IFERROR(VLOOKUP(H1538,Lijsten!$H$1:$I$100,2,0),"")</f>
        <v/>
      </c>
      <c r="N1538" s="319" t="str">
        <f ca="1">IFERROR(IF(VLOOKUP(F1538,Kostentypen!$A$3:$E$21,3,0)=0,"",IF(OR(F1538="Arbeidskosten",F1538="Vergoeding"),VLOOKUP(G1538,Tb_KostenTypen[],2,0),VLOOKUP(F1538,Kostentypen!$A$3:$E$20,3,0))),"")</f>
        <v/>
      </c>
      <c r="O1538" s="320" t="str" cm="1">
        <f t="array" ref="O1538">_xlfn.IFNA(IF(INDEX(Tb_KostenOptiesDB[],MATCH($F1538,Tb_KostenOptiesDB[KostenOptie],0),IFERROR(MATCH(Methode_Keuze,Tb_KostenOptiesDB[#Headers],0),2))=1,_xlfn.SWITCH($N1538,"Uurtarief",IF(OR(AND(RIGHT($F1538,3)="IKS",VLOOKUP($M1538,DB_Loonkosten,2,0)="Ja"),AND(RIGHT($F1538,3)&lt;&gt;"IKS",VLOOKUP($M1538,DB_Loonkosten,2,0)="Nee")),IFERROR(VLOOKUP($M1538,DB_Loonkosten,24,0),""),0),"Vast tarief",IF(LEFT(F1538,8)="Bijdrage",VLOOKUP($F1538,Tb_KostenTypen[],MATCH(Lijsten!$P$1,Tb_KostenTypen[#Headers],0),0),VLOOKUP($G1538,Lijsten!L:P,MATCH(Lijsten!$P$1,Kop_Tarief_Vast,0),0))),""),"")</f>
        <v/>
      </c>
      <c r="P1538" s="320" t="str" cm="1">
        <f t="array" ref="P1538">_xlfn.IFNA(IF(INDEX(Tb_KostenOptiesDB[],MATCH($F1538,Tb_KostenOptiesDB[KostenOptie],0),IFERROR(MATCH(Methode_Keuze,Tb_KostenOptiesDB[#Headers],0),2))=1,_xlfn.SWITCH($N1538,"Uurtarief",IF(OR(AND(RIGHT($F1538,3)="IKS",VLOOKUP($M1538,DB_Loonkosten,2,0)="Ja"),AND(RIGHT($F1538,3)&lt;&gt;"IKS",VLOOKUP($M1538,DB_Loonkosten,2,0)="Nee")),IFERROR(VLOOKUP($M1538,DB_Loonkosten,25,0),""),0),"Vast tarief",IF(LEFT(F1538,8)="Bijdrage",VLOOKUP($F1538,Tb_KostenTypen[],MATCH(Lijsten!$P$1,Tb_KostenTypen[#Headers],0),0),VLOOKUP($G1538,Lijsten!L:P,MATCH(Lijsten!$P$1,Kop_Tarief_Vast,0),0))),""),"")</f>
        <v/>
      </c>
      <c r="Q1538" s="359"/>
      <c r="R1538" s="359"/>
      <c r="S1538" s="321"/>
      <c r="T1538" s="321"/>
      <c r="U1538" s="373" t="str">
        <f t="shared" si="92"/>
        <v/>
      </c>
      <c r="V1538" s="314" t="str">
        <f t="shared" si="93"/>
        <v/>
      </c>
      <c r="W1538" s="314" t="str" cm="1">
        <f t="array" aca="1" ref="W1538" ca="1">IFERROR(IF(AE1538&lt;&gt;"ja",_xlfn.IFNA(_xlfn.IFS(AND(O1538&lt;&gt;"",F1538&lt;&gt;"",RIGHT($N1538,6)="tarief",F1538="Vergoeding"),SUM(O1538)*FLOOR(SUM(Q1538),0.0001),AND(O1538&lt;&gt;"",F1538&lt;&gt;"",RIGHT($N1538,6)="tarief"),SUM(O1538)*FLOOR(SUM(Q1538),0.01),S1538&gt;0,IF(F1538&lt;&gt;"",FLOOR(SUM(S1538),0.01),"")),""),""),"")</f>
        <v/>
      </c>
      <c r="X1538" s="314" t="str" cm="1">
        <f t="array" aca="1" ref="X1538" ca="1">IFERROR(IF(AE1538&lt;&gt;"ja",_xlfn.IFNA(_xlfn.IFS(AND(P1538&lt;&gt;"",R1538&lt;&gt;"",RIGHT($N1538,6)="tarief",F1538="Vergoeding"),SUM(P1538)*FLOOR(SUM(R1538),0.0001),AND(P1538&lt;&gt;"",R1538&lt;&gt;"",RIGHT($N1538,6)="tarief"),P1538*FLOOR(R1538,0.01),T1538&gt;0,FLOOR(SUM(T1538),0.01)),""),""),"")</f>
        <v/>
      </c>
      <c r="Y1538" s="314" t="str">
        <f t="shared" ca="1" si="94"/>
        <v/>
      </c>
      <c r="Z1538" s="314" t="str" cm="1">
        <f t="array" aca="1" ref="Z1538" ca="1">IFERROR(_xlfn.IFS(OR(F1538="",LEFT(Methode_Keuze,4)="Geen",Methode_Keuze=""),"",AND(W1538&lt;&gt;"",F1538&lt;&gt;"Arbeidskosten"),W1538*VLOOKUP(F1538,Tb_ProjectKosten[],MATCH(Tb_ProjectKosten[[#Headers],[Forfait_Percentage]],Tb_ProjectKosten[#Headers],0),0),AND(F1538="Arbeidskosten",G1538&lt;&gt;""),IFERROR(W1538*VLOOKUP(G1538,Tb_KostenTypen[],3,0)*VLOOKUP(F1538,Tb_ProjectKosten[],MATCH(Tb_ProjectKosten[[#Headers],[Forfait_Percentage]],Tb_ProjectKosten[#Headers],0),0),""),W1538 &lt;=0,0),"")</f>
        <v/>
      </c>
      <c r="AA1538" s="314" t="str" cm="1">
        <f t="array" aca="1" ref="AA1538" ca="1">IFERROR(_xlfn.IFS(OR(F1538="",LEFT(Methode_Keuze,4)="Geen",Methode_Keuze=""),"",AND(X1538&lt;&gt;"",F1538&lt;&gt;"Arbeidskosten"),X1538*VLOOKUP(F1538,Tb_ProjectKosten[],MATCH(Tb_ProjectKosten[[#Headers],[Forfait_Percentage]],Tb_ProjectKosten[#Headers],0),0),AND(F1538="Arbeidskosten",G1538&lt;&gt;""),IFERROR(X1538*VLOOKUP(G1538,Tb_KostenTypen[],3,0)*VLOOKUP(F1538,Tb_ProjectKosten[],MATCH(Tb_ProjectKosten[[#Headers],[Forfait_Percentage]],Tb_ProjectKosten[#Headers],0),0),""),X1538 &lt;=0,0),"")</f>
        <v/>
      </c>
      <c r="AB1538" s="314" t="str">
        <f t="shared" ca="1" si="95"/>
        <v/>
      </c>
      <c r="AC1538" s="322"/>
      <c r="AD1538" s="315"/>
      <c r="AE1538" s="32" t="str" cm="1">
        <f t="array" ref="AE1538">IFERROR(IF(INDEX(SubsidieTabel!$AD$1:$AG$12,MATCH($F1538,SubsidieTabel!$AD$1:$AD$12,0),IFERROR(MATCH(Methode_Keuze,SubsidieTabel!$AD$1:$AG$1,0),2))&lt;&gt;1=TRUE,"ja",""),"")</f>
        <v/>
      </c>
    </row>
    <row r="1539" spans="1:31" x14ac:dyDescent="0.25">
      <c r="A1539" s="316"/>
      <c r="B1539" s="317" t="str">
        <f>IF(A1539&lt;&gt;"",_xlfn.MAXIFS($B$1:B1538,$A$1:A1538,A1539)+1,"")</f>
        <v/>
      </c>
      <c r="C1539" s="296"/>
      <c r="D1539" s="296"/>
      <c r="E1539" s="296"/>
      <c r="F1539" s="296"/>
      <c r="G1539" s="326"/>
      <c r="H1539" s="324"/>
      <c r="I1539" s="325"/>
      <c r="J1539" s="325"/>
      <c r="K1539" s="318"/>
      <c r="L1539" s="318"/>
      <c r="M1539" s="319" t="str">
        <f>IFERROR(VLOOKUP(H1539,Lijsten!$H$1:$I$100,2,0),"")</f>
        <v/>
      </c>
      <c r="N1539" s="319" t="str">
        <f ca="1">IFERROR(IF(VLOOKUP(F1539,Kostentypen!$A$3:$E$21,3,0)=0,"",IF(OR(F1539="Arbeidskosten",F1539="Vergoeding"),VLOOKUP(G1539,Tb_KostenTypen[],2,0),VLOOKUP(F1539,Kostentypen!$A$3:$E$20,3,0))),"")</f>
        <v/>
      </c>
      <c r="O1539" s="320" t="str" cm="1">
        <f t="array" ref="O1539">_xlfn.IFNA(IF(INDEX(Tb_KostenOptiesDB[],MATCH($F1539,Tb_KostenOptiesDB[KostenOptie],0),IFERROR(MATCH(Methode_Keuze,Tb_KostenOptiesDB[#Headers],0),2))=1,_xlfn.SWITCH($N1539,"Uurtarief",IF(OR(AND(RIGHT($F1539,3)="IKS",VLOOKUP($M1539,DB_Loonkosten,2,0)="Ja"),AND(RIGHT($F1539,3)&lt;&gt;"IKS",VLOOKUP($M1539,DB_Loonkosten,2,0)="Nee")),IFERROR(VLOOKUP($M1539,DB_Loonkosten,24,0),""),0),"Vast tarief",IF(LEFT(F1539,8)="Bijdrage",VLOOKUP($F1539,Tb_KostenTypen[],MATCH(Lijsten!$P$1,Tb_KostenTypen[#Headers],0),0),VLOOKUP($G1539,Lijsten!L:P,MATCH(Lijsten!$P$1,Kop_Tarief_Vast,0),0))),""),"")</f>
        <v/>
      </c>
      <c r="P1539" s="320" t="str" cm="1">
        <f t="array" ref="P1539">_xlfn.IFNA(IF(INDEX(Tb_KostenOptiesDB[],MATCH($F1539,Tb_KostenOptiesDB[KostenOptie],0),IFERROR(MATCH(Methode_Keuze,Tb_KostenOptiesDB[#Headers],0),2))=1,_xlfn.SWITCH($N1539,"Uurtarief",IF(OR(AND(RIGHT($F1539,3)="IKS",VLOOKUP($M1539,DB_Loonkosten,2,0)="Ja"),AND(RIGHT($F1539,3)&lt;&gt;"IKS",VLOOKUP($M1539,DB_Loonkosten,2,0)="Nee")),IFERROR(VLOOKUP($M1539,DB_Loonkosten,25,0),""),0),"Vast tarief",IF(LEFT(F1539,8)="Bijdrage",VLOOKUP($F1539,Tb_KostenTypen[],MATCH(Lijsten!$P$1,Tb_KostenTypen[#Headers],0),0),VLOOKUP($G1539,Lijsten!L:P,MATCH(Lijsten!$P$1,Kop_Tarief_Vast,0),0))),""),"")</f>
        <v/>
      </c>
      <c r="Q1539" s="359"/>
      <c r="R1539" s="359"/>
      <c r="S1539" s="321"/>
      <c r="T1539" s="321"/>
      <c r="U1539" s="373" t="str">
        <f t="shared" ref="U1539:U1602" si="96">IFERROR(IF(AND(R1539&lt;&gt;"",R1539&lt;&gt;Q1539),-1*(R1539-Q1539),""),"")</f>
        <v/>
      </c>
      <c r="V1539" s="314" t="str">
        <f t="shared" ref="V1539:V1602" si="97">IFERROR(IF(AND(T1539&lt;&gt;"",T1539&lt;&gt;S1539),-1*(T1539-S1539),""),"")</f>
        <v/>
      </c>
      <c r="W1539" s="314" t="str" cm="1">
        <f t="array" aca="1" ref="W1539" ca="1">IFERROR(IF(AE1539&lt;&gt;"ja",_xlfn.IFNA(_xlfn.IFS(AND(O1539&lt;&gt;"",F1539&lt;&gt;"",RIGHT($N1539,6)="tarief",F1539="Vergoeding"),SUM(O1539)*FLOOR(SUM(Q1539),0.0001),AND(O1539&lt;&gt;"",F1539&lt;&gt;"",RIGHT($N1539,6)="tarief"),SUM(O1539)*FLOOR(SUM(Q1539),0.01),S1539&gt;0,IF(F1539&lt;&gt;"",FLOOR(SUM(S1539),0.01),"")),""),""),"")</f>
        <v/>
      </c>
      <c r="X1539" s="314" t="str" cm="1">
        <f t="array" aca="1" ref="X1539" ca="1">IFERROR(IF(AE1539&lt;&gt;"ja",_xlfn.IFNA(_xlfn.IFS(AND(P1539&lt;&gt;"",R1539&lt;&gt;"",RIGHT($N1539,6)="tarief",F1539="Vergoeding"),SUM(P1539)*FLOOR(SUM(R1539),0.0001),AND(P1539&lt;&gt;"",R1539&lt;&gt;"",RIGHT($N1539,6)="tarief"),P1539*FLOOR(R1539,0.01),T1539&gt;0,FLOOR(SUM(T1539),0.01)),""),""),"")</f>
        <v/>
      </c>
      <c r="Y1539" s="314" t="str">
        <f t="shared" ref="Y1539:Y1602" ca="1" si="98">IFERROR(IF(AND(X1539&lt;&gt;"",X1539&lt;&gt;W1539),-1*(X1539-W1539),""),"")</f>
        <v/>
      </c>
      <c r="Z1539" s="314" t="str" cm="1">
        <f t="array" aca="1" ref="Z1539" ca="1">IFERROR(_xlfn.IFS(OR(F1539="",LEFT(Methode_Keuze,4)="Geen",Methode_Keuze=""),"",AND(W1539&lt;&gt;"",F1539&lt;&gt;"Arbeidskosten"),W1539*VLOOKUP(F1539,Tb_ProjectKosten[],MATCH(Tb_ProjectKosten[[#Headers],[Forfait_Percentage]],Tb_ProjectKosten[#Headers],0),0),AND(F1539="Arbeidskosten",G1539&lt;&gt;""),IFERROR(W1539*VLOOKUP(G1539,Tb_KostenTypen[],3,0)*VLOOKUP(F1539,Tb_ProjectKosten[],MATCH(Tb_ProjectKosten[[#Headers],[Forfait_Percentage]],Tb_ProjectKosten[#Headers],0),0),""),W1539 &lt;=0,0),"")</f>
        <v/>
      </c>
      <c r="AA1539" s="314" t="str" cm="1">
        <f t="array" aca="1" ref="AA1539" ca="1">IFERROR(_xlfn.IFS(OR(F1539="",LEFT(Methode_Keuze,4)="Geen",Methode_Keuze=""),"",AND(X1539&lt;&gt;"",F1539&lt;&gt;"Arbeidskosten"),X1539*VLOOKUP(F1539,Tb_ProjectKosten[],MATCH(Tb_ProjectKosten[[#Headers],[Forfait_Percentage]],Tb_ProjectKosten[#Headers],0),0),AND(F1539="Arbeidskosten",G1539&lt;&gt;""),IFERROR(X1539*VLOOKUP(G1539,Tb_KostenTypen[],3,0)*VLOOKUP(F1539,Tb_ProjectKosten[],MATCH(Tb_ProjectKosten[[#Headers],[Forfait_Percentage]],Tb_ProjectKosten[#Headers],0),0),""),X1539 &lt;=0,0),"")</f>
        <v/>
      </c>
      <c r="AB1539" s="314" t="str">
        <f t="shared" ref="AB1539:AB1602" ca="1" si="99">IFERROR(IF(AND(AA1539&lt;&gt;"",AA1539&lt;&gt;Z1539),-1*(AA1539-Z1539),""),"")</f>
        <v/>
      </c>
      <c r="AC1539" s="322"/>
      <c r="AD1539" s="315"/>
      <c r="AE1539" s="32" t="str" cm="1">
        <f t="array" ref="AE1539">IFERROR(IF(INDEX(SubsidieTabel!$AD$1:$AG$12,MATCH($F1539,SubsidieTabel!$AD$1:$AD$12,0),IFERROR(MATCH(Methode_Keuze,SubsidieTabel!$AD$1:$AG$1,0),2))&lt;&gt;1=TRUE,"ja",""),"")</f>
        <v/>
      </c>
    </row>
    <row r="1540" spans="1:31" x14ac:dyDescent="0.25">
      <c r="A1540" s="316"/>
      <c r="B1540" s="317" t="str">
        <f>IF(A1540&lt;&gt;"",_xlfn.MAXIFS($B$1:B1539,$A$1:A1539,A1540)+1,"")</f>
        <v/>
      </c>
      <c r="C1540" s="296"/>
      <c r="D1540" s="296"/>
      <c r="E1540" s="296"/>
      <c r="F1540" s="296"/>
      <c r="G1540" s="326"/>
      <c r="H1540" s="324"/>
      <c r="I1540" s="325"/>
      <c r="J1540" s="325"/>
      <c r="K1540" s="318"/>
      <c r="L1540" s="318"/>
      <c r="M1540" s="319" t="str">
        <f>IFERROR(VLOOKUP(H1540,Lijsten!$H$1:$I$100,2,0),"")</f>
        <v/>
      </c>
      <c r="N1540" s="319" t="str">
        <f ca="1">IFERROR(IF(VLOOKUP(F1540,Kostentypen!$A$3:$E$21,3,0)=0,"",IF(OR(F1540="Arbeidskosten",F1540="Vergoeding"),VLOOKUP(G1540,Tb_KostenTypen[],2,0),VLOOKUP(F1540,Kostentypen!$A$3:$E$20,3,0))),"")</f>
        <v/>
      </c>
      <c r="O1540" s="320" t="str" cm="1">
        <f t="array" ref="O1540">_xlfn.IFNA(IF(INDEX(Tb_KostenOptiesDB[],MATCH($F1540,Tb_KostenOptiesDB[KostenOptie],0),IFERROR(MATCH(Methode_Keuze,Tb_KostenOptiesDB[#Headers],0),2))=1,_xlfn.SWITCH($N1540,"Uurtarief",IF(OR(AND(RIGHT($F1540,3)="IKS",VLOOKUP($M1540,DB_Loonkosten,2,0)="Ja"),AND(RIGHT($F1540,3)&lt;&gt;"IKS",VLOOKUP($M1540,DB_Loonkosten,2,0)="Nee")),IFERROR(VLOOKUP($M1540,DB_Loonkosten,24,0),""),0),"Vast tarief",IF(LEFT(F1540,8)="Bijdrage",VLOOKUP($F1540,Tb_KostenTypen[],MATCH(Lijsten!$P$1,Tb_KostenTypen[#Headers],0),0),VLOOKUP($G1540,Lijsten!L:P,MATCH(Lijsten!$P$1,Kop_Tarief_Vast,0),0))),""),"")</f>
        <v/>
      </c>
      <c r="P1540" s="320" t="str" cm="1">
        <f t="array" ref="P1540">_xlfn.IFNA(IF(INDEX(Tb_KostenOptiesDB[],MATCH($F1540,Tb_KostenOptiesDB[KostenOptie],0),IFERROR(MATCH(Methode_Keuze,Tb_KostenOptiesDB[#Headers],0),2))=1,_xlfn.SWITCH($N1540,"Uurtarief",IF(OR(AND(RIGHT($F1540,3)="IKS",VLOOKUP($M1540,DB_Loonkosten,2,0)="Ja"),AND(RIGHT($F1540,3)&lt;&gt;"IKS",VLOOKUP($M1540,DB_Loonkosten,2,0)="Nee")),IFERROR(VLOOKUP($M1540,DB_Loonkosten,25,0),""),0),"Vast tarief",IF(LEFT(F1540,8)="Bijdrage",VLOOKUP($F1540,Tb_KostenTypen[],MATCH(Lijsten!$P$1,Tb_KostenTypen[#Headers],0),0),VLOOKUP($G1540,Lijsten!L:P,MATCH(Lijsten!$P$1,Kop_Tarief_Vast,0),0))),""),"")</f>
        <v/>
      </c>
      <c r="Q1540" s="359"/>
      <c r="R1540" s="359"/>
      <c r="S1540" s="321"/>
      <c r="T1540" s="321"/>
      <c r="U1540" s="373" t="str">
        <f t="shared" si="96"/>
        <v/>
      </c>
      <c r="V1540" s="314" t="str">
        <f t="shared" si="97"/>
        <v/>
      </c>
      <c r="W1540" s="314" t="str" cm="1">
        <f t="array" aca="1" ref="W1540" ca="1">IFERROR(IF(AE1540&lt;&gt;"ja",_xlfn.IFNA(_xlfn.IFS(AND(O1540&lt;&gt;"",F1540&lt;&gt;"",RIGHT($N1540,6)="tarief",F1540="Vergoeding"),SUM(O1540)*FLOOR(SUM(Q1540),0.0001),AND(O1540&lt;&gt;"",F1540&lt;&gt;"",RIGHT($N1540,6)="tarief"),SUM(O1540)*FLOOR(SUM(Q1540),0.01),S1540&gt;0,IF(F1540&lt;&gt;"",FLOOR(SUM(S1540),0.01),"")),""),""),"")</f>
        <v/>
      </c>
      <c r="X1540" s="314" t="str" cm="1">
        <f t="array" aca="1" ref="X1540" ca="1">IFERROR(IF(AE1540&lt;&gt;"ja",_xlfn.IFNA(_xlfn.IFS(AND(P1540&lt;&gt;"",R1540&lt;&gt;"",RIGHT($N1540,6)="tarief",F1540="Vergoeding"),SUM(P1540)*FLOOR(SUM(R1540),0.0001),AND(P1540&lt;&gt;"",R1540&lt;&gt;"",RIGHT($N1540,6)="tarief"),P1540*FLOOR(R1540,0.01),T1540&gt;0,FLOOR(SUM(T1540),0.01)),""),""),"")</f>
        <v/>
      </c>
      <c r="Y1540" s="314" t="str">
        <f t="shared" ca="1" si="98"/>
        <v/>
      </c>
      <c r="Z1540" s="314" t="str" cm="1">
        <f t="array" aca="1" ref="Z1540" ca="1">IFERROR(_xlfn.IFS(OR(F1540="",LEFT(Methode_Keuze,4)="Geen",Methode_Keuze=""),"",AND(W1540&lt;&gt;"",F1540&lt;&gt;"Arbeidskosten"),W1540*VLOOKUP(F1540,Tb_ProjectKosten[],MATCH(Tb_ProjectKosten[[#Headers],[Forfait_Percentage]],Tb_ProjectKosten[#Headers],0),0),AND(F1540="Arbeidskosten",G1540&lt;&gt;""),IFERROR(W1540*VLOOKUP(G1540,Tb_KostenTypen[],3,0)*VLOOKUP(F1540,Tb_ProjectKosten[],MATCH(Tb_ProjectKosten[[#Headers],[Forfait_Percentage]],Tb_ProjectKosten[#Headers],0),0),""),W1540 &lt;=0,0),"")</f>
        <v/>
      </c>
      <c r="AA1540" s="314" t="str" cm="1">
        <f t="array" aca="1" ref="AA1540" ca="1">IFERROR(_xlfn.IFS(OR(F1540="",LEFT(Methode_Keuze,4)="Geen",Methode_Keuze=""),"",AND(X1540&lt;&gt;"",F1540&lt;&gt;"Arbeidskosten"),X1540*VLOOKUP(F1540,Tb_ProjectKosten[],MATCH(Tb_ProjectKosten[[#Headers],[Forfait_Percentage]],Tb_ProjectKosten[#Headers],0),0),AND(F1540="Arbeidskosten",G1540&lt;&gt;""),IFERROR(X1540*VLOOKUP(G1540,Tb_KostenTypen[],3,0)*VLOOKUP(F1540,Tb_ProjectKosten[],MATCH(Tb_ProjectKosten[[#Headers],[Forfait_Percentage]],Tb_ProjectKosten[#Headers],0),0),""),X1540 &lt;=0,0),"")</f>
        <v/>
      </c>
      <c r="AB1540" s="314" t="str">
        <f t="shared" ca="1" si="99"/>
        <v/>
      </c>
      <c r="AC1540" s="322"/>
      <c r="AD1540" s="315"/>
      <c r="AE1540" s="32" t="str" cm="1">
        <f t="array" ref="AE1540">IFERROR(IF(INDEX(SubsidieTabel!$AD$1:$AG$12,MATCH($F1540,SubsidieTabel!$AD$1:$AD$12,0),IFERROR(MATCH(Methode_Keuze,SubsidieTabel!$AD$1:$AG$1,0),2))&lt;&gt;1=TRUE,"ja",""),"")</f>
        <v/>
      </c>
    </row>
    <row r="1541" spans="1:31" x14ac:dyDescent="0.25">
      <c r="A1541" s="316"/>
      <c r="B1541" s="317" t="str">
        <f>IF(A1541&lt;&gt;"",_xlfn.MAXIFS($B$1:B1540,$A$1:A1540,A1541)+1,"")</f>
        <v/>
      </c>
      <c r="C1541" s="296"/>
      <c r="D1541" s="296"/>
      <c r="E1541" s="296"/>
      <c r="F1541" s="296"/>
      <c r="G1541" s="326"/>
      <c r="H1541" s="324"/>
      <c r="I1541" s="325"/>
      <c r="J1541" s="325"/>
      <c r="K1541" s="318"/>
      <c r="L1541" s="318"/>
      <c r="M1541" s="319" t="str">
        <f>IFERROR(VLOOKUP(H1541,Lijsten!$H$1:$I$100,2,0),"")</f>
        <v/>
      </c>
      <c r="N1541" s="319" t="str">
        <f ca="1">IFERROR(IF(VLOOKUP(F1541,Kostentypen!$A$3:$E$21,3,0)=0,"",IF(OR(F1541="Arbeidskosten",F1541="Vergoeding"),VLOOKUP(G1541,Tb_KostenTypen[],2,0),VLOOKUP(F1541,Kostentypen!$A$3:$E$20,3,0))),"")</f>
        <v/>
      </c>
      <c r="O1541" s="320" t="str" cm="1">
        <f t="array" ref="O1541">_xlfn.IFNA(IF(INDEX(Tb_KostenOptiesDB[],MATCH($F1541,Tb_KostenOptiesDB[KostenOptie],0),IFERROR(MATCH(Methode_Keuze,Tb_KostenOptiesDB[#Headers],0),2))=1,_xlfn.SWITCH($N1541,"Uurtarief",IF(OR(AND(RIGHT($F1541,3)="IKS",VLOOKUP($M1541,DB_Loonkosten,2,0)="Ja"),AND(RIGHT($F1541,3)&lt;&gt;"IKS",VLOOKUP($M1541,DB_Loonkosten,2,0)="Nee")),IFERROR(VLOOKUP($M1541,DB_Loonkosten,24,0),""),0),"Vast tarief",IF(LEFT(F1541,8)="Bijdrage",VLOOKUP($F1541,Tb_KostenTypen[],MATCH(Lijsten!$P$1,Tb_KostenTypen[#Headers],0),0),VLOOKUP($G1541,Lijsten!L:P,MATCH(Lijsten!$P$1,Kop_Tarief_Vast,0),0))),""),"")</f>
        <v/>
      </c>
      <c r="P1541" s="320" t="str" cm="1">
        <f t="array" ref="P1541">_xlfn.IFNA(IF(INDEX(Tb_KostenOptiesDB[],MATCH($F1541,Tb_KostenOptiesDB[KostenOptie],0),IFERROR(MATCH(Methode_Keuze,Tb_KostenOptiesDB[#Headers],0),2))=1,_xlfn.SWITCH($N1541,"Uurtarief",IF(OR(AND(RIGHT($F1541,3)="IKS",VLOOKUP($M1541,DB_Loonkosten,2,0)="Ja"),AND(RIGHT($F1541,3)&lt;&gt;"IKS",VLOOKUP($M1541,DB_Loonkosten,2,0)="Nee")),IFERROR(VLOOKUP($M1541,DB_Loonkosten,25,0),""),0),"Vast tarief",IF(LEFT(F1541,8)="Bijdrage",VLOOKUP($F1541,Tb_KostenTypen[],MATCH(Lijsten!$P$1,Tb_KostenTypen[#Headers],0),0),VLOOKUP($G1541,Lijsten!L:P,MATCH(Lijsten!$P$1,Kop_Tarief_Vast,0),0))),""),"")</f>
        <v/>
      </c>
      <c r="Q1541" s="359"/>
      <c r="R1541" s="359"/>
      <c r="S1541" s="321"/>
      <c r="T1541" s="321"/>
      <c r="U1541" s="373" t="str">
        <f t="shared" si="96"/>
        <v/>
      </c>
      <c r="V1541" s="314" t="str">
        <f t="shared" si="97"/>
        <v/>
      </c>
      <c r="W1541" s="314" t="str" cm="1">
        <f t="array" aca="1" ref="W1541" ca="1">IFERROR(IF(AE1541&lt;&gt;"ja",_xlfn.IFNA(_xlfn.IFS(AND(O1541&lt;&gt;"",F1541&lt;&gt;"",RIGHT($N1541,6)="tarief",F1541="Vergoeding"),SUM(O1541)*FLOOR(SUM(Q1541),0.0001),AND(O1541&lt;&gt;"",F1541&lt;&gt;"",RIGHT($N1541,6)="tarief"),SUM(O1541)*FLOOR(SUM(Q1541),0.01),S1541&gt;0,IF(F1541&lt;&gt;"",FLOOR(SUM(S1541),0.01),"")),""),""),"")</f>
        <v/>
      </c>
      <c r="X1541" s="314" t="str" cm="1">
        <f t="array" aca="1" ref="X1541" ca="1">IFERROR(IF(AE1541&lt;&gt;"ja",_xlfn.IFNA(_xlfn.IFS(AND(P1541&lt;&gt;"",R1541&lt;&gt;"",RIGHT($N1541,6)="tarief",F1541="Vergoeding"),SUM(P1541)*FLOOR(SUM(R1541),0.0001),AND(P1541&lt;&gt;"",R1541&lt;&gt;"",RIGHT($N1541,6)="tarief"),P1541*FLOOR(R1541,0.01),T1541&gt;0,FLOOR(SUM(T1541),0.01)),""),""),"")</f>
        <v/>
      </c>
      <c r="Y1541" s="314" t="str">
        <f t="shared" ca="1" si="98"/>
        <v/>
      </c>
      <c r="Z1541" s="314" t="str" cm="1">
        <f t="array" aca="1" ref="Z1541" ca="1">IFERROR(_xlfn.IFS(OR(F1541="",LEFT(Methode_Keuze,4)="Geen",Methode_Keuze=""),"",AND(W1541&lt;&gt;"",F1541&lt;&gt;"Arbeidskosten"),W1541*VLOOKUP(F1541,Tb_ProjectKosten[],MATCH(Tb_ProjectKosten[[#Headers],[Forfait_Percentage]],Tb_ProjectKosten[#Headers],0),0),AND(F1541="Arbeidskosten",G1541&lt;&gt;""),IFERROR(W1541*VLOOKUP(G1541,Tb_KostenTypen[],3,0)*VLOOKUP(F1541,Tb_ProjectKosten[],MATCH(Tb_ProjectKosten[[#Headers],[Forfait_Percentage]],Tb_ProjectKosten[#Headers],0),0),""),W1541 &lt;=0,0),"")</f>
        <v/>
      </c>
      <c r="AA1541" s="314" t="str" cm="1">
        <f t="array" aca="1" ref="AA1541" ca="1">IFERROR(_xlfn.IFS(OR(F1541="",LEFT(Methode_Keuze,4)="Geen",Methode_Keuze=""),"",AND(X1541&lt;&gt;"",F1541&lt;&gt;"Arbeidskosten"),X1541*VLOOKUP(F1541,Tb_ProjectKosten[],MATCH(Tb_ProjectKosten[[#Headers],[Forfait_Percentage]],Tb_ProjectKosten[#Headers],0),0),AND(F1541="Arbeidskosten",G1541&lt;&gt;""),IFERROR(X1541*VLOOKUP(G1541,Tb_KostenTypen[],3,0)*VLOOKUP(F1541,Tb_ProjectKosten[],MATCH(Tb_ProjectKosten[[#Headers],[Forfait_Percentage]],Tb_ProjectKosten[#Headers],0),0),""),X1541 &lt;=0,0),"")</f>
        <v/>
      </c>
      <c r="AB1541" s="314" t="str">
        <f t="shared" ca="1" si="99"/>
        <v/>
      </c>
      <c r="AC1541" s="322"/>
      <c r="AD1541" s="315"/>
      <c r="AE1541" s="32" t="str" cm="1">
        <f t="array" ref="AE1541">IFERROR(IF(INDEX(SubsidieTabel!$AD$1:$AG$12,MATCH($F1541,SubsidieTabel!$AD$1:$AD$12,0),IFERROR(MATCH(Methode_Keuze,SubsidieTabel!$AD$1:$AG$1,0),2))&lt;&gt;1=TRUE,"ja",""),"")</f>
        <v/>
      </c>
    </row>
    <row r="1542" spans="1:31" x14ac:dyDescent="0.25">
      <c r="A1542" s="316"/>
      <c r="B1542" s="317" t="str">
        <f>IF(A1542&lt;&gt;"",_xlfn.MAXIFS($B$1:B1541,$A$1:A1541,A1542)+1,"")</f>
        <v/>
      </c>
      <c r="C1542" s="296"/>
      <c r="D1542" s="296"/>
      <c r="E1542" s="296"/>
      <c r="F1542" s="296"/>
      <c r="G1542" s="326"/>
      <c r="H1542" s="324"/>
      <c r="I1542" s="325"/>
      <c r="J1542" s="325"/>
      <c r="K1542" s="318"/>
      <c r="L1542" s="318"/>
      <c r="M1542" s="319" t="str">
        <f>IFERROR(VLOOKUP(H1542,Lijsten!$H$1:$I$100,2,0),"")</f>
        <v/>
      </c>
      <c r="N1542" s="319" t="str">
        <f ca="1">IFERROR(IF(VLOOKUP(F1542,Kostentypen!$A$3:$E$21,3,0)=0,"",IF(OR(F1542="Arbeidskosten",F1542="Vergoeding"),VLOOKUP(G1542,Tb_KostenTypen[],2,0),VLOOKUP(F1542,Kostentypen!$A$3:$E$20,3,0))),"")</f>
        <v/>
      </c>
      <c r="O1542" s="320" t="str" cm="1">
        <f t="array" ref="O1542">_xlfn.IFNA(IF(INDEX(Tb_KostenOptiesDB[],MATCH($F1542,Tb_KostenOptiesDB[KostenOptie],0),IFERROR(MATCH(Methode_Keuze,Tb_KostenOptiesDB[#Headers],0),2))=1,_xlfn.SWITCH($N1542,"Uurtarief",IF(OR(AND(RIGHT($F1542,3)="IKS",VLOOKUP($M1542,DB_Loonkosten,2,0)="Ja"),AND(RIGHT($F1542,3)&lt;&gt;"IKS",VLOOKUP($M1542,DB_Loonkosten,2,0)="Nee")),IFERROR(VLOOKUP($M1542,DB_Loonkosten,24,0),""),0),"Vast tarief",IF(LEFT(F1542,8)="Bijdrage",VLOOKUP($F1542,Tb_KostenTypen[],MATCH(Lijsten!$P$1,Tb_KostenTypen[#Headers],0),0),VLOOKUP($G1542,Lijsten!L:P,MATCH(Lijsten!$P$1,Kop_Tarief_Vast,0),0))),""),"")</f>
        <v/>
      </c>
      <c r="P1542" s="320" t="str" cm="1">
        <f t="array" ref="P1542">_xlfn.IFNA(IF(INDEX(Tb_KostenOptiesDB[],MATCH($F1542,Tb_KostenOptiesDB[KostenOptie],0),IFERROR(MATCH(Methode_Keuze,Tb_KostenOptiesDB[#Headers],0),2))=1,_xlfn.SWITCH($N1542,"Uurtarief",IF(OR(AND(RIGHT($F1542,3)="IKS",VLOOKUP($M1542,DB_Loonkosten,2,0)="Ja"),AND(RIGHT($F1542,3)&lt;&gt;"IKS",VLOOKUP($M1542,DB_Loonkosten,2,0)="Nee")),IFERROR(VLOOKUP($M1542,DB_Loonkosten,25,0),""),0),"Vast tarief",IF(LEFT(F1542,8)="Bijdrage",VLOOKUP($F1542,Tb_KostenTypen[],MATCH(Lijsten!$P$1,Tb_KostenTypen[#Headers],0),0),VLOOKUP($G1542,Lijsten!L:P,MATCH(Lijsten!$P$1,Kop_Tarief_Vast,0),0))),""),"")</f>
        <v/>
      </c>
      <c r="Q1542" s="359"/>
      <c r="R1542" s="359"/>
      <c r="S1542" s="321"/>
      <c r="T1542" s="321"/>
      <c r="U1542" s="373" t="str">
        <f t="shared" si="96"/>
        <v/>
      </c>
      <c r="V1542" s="314" t="str">
        <f t="shared" si="97"/>
        <v/>
      </c>
      <c r="W1542" s="314" t="str" cm="1">
        <f t="array" aca="1" ref="W1542" ca="1">IFERROR(IF(AE1542&lt;&gt;"ja",_xlfn.IFNA(_xlfn.IFS(AND(O1542&lt;&gt;"",F1542&lt;&gt;"",RIGHT($N1542,6)="tarief",F1542="Vergoeding"),SUM(O1542)*FLOOR(SUM(Q1542),0.0001),AND(O1542&lt;&gt;"",F1542&lt;&gt;"",RIGHT($N1542,6)="tarief"),SUM(O1542)*FLOOR(SUM(Q1542),0.01),S1542&gt;0,IF(F1542&lt;&gt;"",FLOOR(SUM(S1542),0.01),"")),""),""),"")</f>
        <v/>
      </c>
      <c r="X1542" s="314" t="str" cm="1">
        <f t="array" aca="1" ref="X1542" ca="1">IFERROR(IF(AE1542&lt;&gt;"ja",_xlfn.IFNA(_xlfn.IFS(AND(P1542&lt;&gt;"",R1542&lt;&gt;"",RIGHT($N1542,6)="tarief",F1542="Vergoeding"),SUM(P1542)*FLOOR(SUM(R1542),0.0001),AND(P1542&lt;&gt;"",R1542&lt;&gt;"",RIGHT($N1542,6)="tarief"),P1542*FLOOR(R1542,0.01),T1542&gt;0,FLOOR(SUM(T1542),0.01)),""),""),"")</f>
        <v/>
      </c>
      <c r="Y1542" s="314" t="str">
        <f t="shared" ca="1" si="98"/>
        <v/>
      </c>
      <c r="Z1542" s="314" t="str" cm="1">
        <f t="array" aca="1" ref="Z1542" ca="1">IFERROR(_xlfn.IFS(OR(F1542="",LEFT(Methode_Keuze,4)="Geen",Methode_Keuze=""),"",AND(W1542&lt;&gt;"",F1542&lt;&gt;"Arbeidskosten"),W1542*VLOOKUP(F1542,Tb_ProjectKosten[],MATCH(Tb_ProjectKosten[[#Headers],[Forfait_Percentage]],Tb_ProjectKosten[#Headers],0),0),AND(F1542="Arbeidskosten",G1542&lt;&gt;""),IFERROR(W1542*VLOOKUP(G1542,Tb_KostenTypen[],3,0)*VLOOKUP(F1542,Tb_ProjectKosten[],MATCH(Tb_ProjectKosten[[#Headers],[Forfait_Percentage]],Tb_ProjectKosten[#Headers],0),0),""),W1542 &lt;=0,0),"")</f>
        <v/>
      </c>
      <c r="AA1542" s="314" t="str" cm="1">
        <f t="array" aca="1" ref="AA1542" ca="1">IFERROR(_xlfn.IFS(OR(F1542="",LEFT(Methode_Keuze,4)="Geen",Methode_Keuze=""),"",AND(X1542&lt;&gt;"",F1542&lt;&gt;"Arbeidskosten"),X1542*VLOOKUP(F1542,Tb_ProjectKosten[],MATCH(Tb_ProjectKosten[[#Headers],[Forfait_Percentage]],Tb_ProjectKosten[#Headers],0),0),AND(F1542="Arbeidskosten",G1542&lt;&gt;""),IFERROR(X1542*VLOOKUP(G1542,Tb_KostenTypen[],3,0)*VLOOKUP(F1542,Tb_ProjectKosten[],MATCH(Tb_ProjectKosten[[#Headers],[Forfait_Percentage]],Tb_ProjectKosten[#Headers],0),0),""),X1542 &lt;=0,0),"")</f>
        <v/>
      </c>
      <c r="AB1542" s="314" t="str">
        <f t="shared" ca="1" si="99"/>
        <v/>
      </c>
      <c r="AC1542" s="322"/>
      <c r="AD1542" s="315"/>
      <c r="AE1542" s="32" t="str" cm="1">
        <f t="array" ref="AE1542">IFERROR(IF(INDEX(SubsidieTabel!$AD$1:$AG$12,MATCH($F1542,SubsidieTabel!$AD$1:$AD$12,0),IFERROR(MATCH(Methode_Keuze,SubsidieTabel!$AD$1:$AG$1,0),2))&lt;&gt;1=TRUE,"ja",""),"")</f>
        <v/>
      </c>
    </row>
    <row r="1543" spans="1:31" x14ac:dyDescent="0.25">
      <c r="A1543" s="316"/>
      <c r="B1543" s="317" t="str">
        <f>IF(A1543&lt;&gt;"",_xlfn.MAXIFS($B$1:B1542,$A$1:A1542,A1543)+1,"")</f>
        <v/>
      </c>
      <c r="C1543" s="296"/>
      <c r="D1543" s="296"/>
      <c r="E1543" s="296"/>
      <c r="F1543" s="296"/>
      <c r="G1543" s="326"/>
      <c r="H1543" s="324"/>
      <c r="I1543" s="325"/>
      <c r="J1543" s="325"/>
      <c r="K1543" s="318"/>
      <c r="L1543" s="318"/>
      <c r="M1543" s="319" t="str">
        <f>IFERROR(VLOOKUP(H1543,Lijsten!$H$1:$I$100,2,0),"")</f>
        <v/>
      </c>
      <c r="N1543" s="319" t="str">
        <f ca="1">IFERROR(IF(VLOOKUP(F1543,Kostentypen!$A$3:$E$21,3,0)=0,"",IF(OR(F1543="Arbeidskosten",F1543="Vergoeding"),VLOOKUP(G1543,Tb_KostenTypen[],2,0),VLOOKUP(F1543,Kostentypen!$A$3:$E$20,3,0))),"")</f>
        <v/>
      </c>
      <c r="O1543" s="320" t="str" cm="1">
        <f t="array" ref="O1543">_xlfn.IFNA(IF(INDEX(Tb_KostenOptiesDB[],MATCH($F1543,Tb_KostenOptiesDB[KostenOptie],0),IFERROR(MATCH(Methode_Keuze,Tb_KostenOptiesDB[#Headers],0),2))=1,_xlfn.SWITCH($N1543,"Uurtarief",IF(OR(AND(RIGHT($F1543,3)="IKS",VLOOKUP($M1543,DB_Loonkosten,2,0)="Ja"),AND(RIGHT($F1543,3)&lt;&gt;"IKS",VLOOKUP($M1543,DB_Loonkosten,2,0)="Nee")),IFERROR(VLOOKUP($M1543,DB_Loonkosten,24,0),""),0),"Vast tarief",IF(LEFT(F1543,8)="Bijdrage",VLOOKUP($F1543,Tb_KostenTypen[],MATCH(Lijsten!$P$1,Tb_KostenTypen[#Headers],0),0),VLOOKUP($G1543,Lijsten!L:P,MATCH(Lijsten!$P$1,Kop_Tarief_Vast,0),0))),""),"")</f>
        <v/>
      </c>
      <c r="P1543" s="320" t="str" cm="1">
        <f t="array" ref="P1543">_xlfn.IFNA(IF(INDEX(Tb_KostenOptiesDB[],MATCH($F1543,Tb_KostenOptiesDB[KostenOptie],0),IFERROR(MATCH(Methode_Keuze,Tb_KostenOptiesDB[#Headers],0),2))=1,_xlfn.SWITCH($N1543,"Uurtarief",IF(OR(AND(RIGHT($F1543,3)="IKS",VLOOKUP($M1543,DB_Loonkosten,2,0)="Ja"),AND(RIGHT($F1543,3)&lt;&gt;"IKS",VLOOKUP($M1543,DB_Loonkosten,2,0)="Nee")),IFERROR(VLOOKUP($M1543,DB_Loonkosten,25,0),""),0),"Vast tarief",IF(LEFT(F1543,8)="Bijdrage",VLOOKUP($F1543,Tb_KostenTypen[],MATCH(Lijsten!$P$1,Tb_KostenTypen[#Headers],0),0),VLOOKUP($G1543,Lijsten!L:P,MATCH(Lijsten!$P$1,Kop_Tarief_Vast,0),0))),""),"")</f>
        <v/>
      </c>
      <c r="Q1543" s="359"/>
      <c r="R1543" s="359"/>
      <c r="S1543" s="321"/>
      <c r="T1543" s="321"/>
      <c r="U1543" s="373" t="str">
        <f t="shared" si="96"/>
        <v/>
      </c>
      <c r="V1543" s="314" t="str">
        <f t="shared" si="97"/>
        <v/>
      </c>
      <c r="W1543" s="314" t="str" cm="1">
        <f t="array" aca="1" ref="W1543" ca="1">IFERROR(IF(AE1543&lt;&gt;"ja",_xlfn.IFNA(_xlfn.IFS(AND(O1543&lt;&gt;"",F1543&lt;&gt;"",RIGHT($N1543,6)="tarief",F1543="Vergoeding"),SUM(O1543)*FLOOR(SUM(Q1543),0.0001),AND(O1543&lt;&gt;"",F1543&lt;&gt;"",RIGHT($N1543,6)="tarief"),SUM(O1543)*FLOOR(SUM(Q1543),0.01),S1543&gt;0,IF(F1543&lt;&gt;"",FLOOR(SUM(S1543),0.01),"")),""),""),"")</f>
        <v/>
      </c>
      <c r="X1543" s="314" t="str" cm="1">
        <f t="array" aca="1" ref="X1543" ca="1">IFERROR(IF(AE1543&lt;&gt;"ja",_xlfn.IFNA(_xlfn.IFS(AND(P1543&lt;&gt;"",R1543&lt;&gt;"",RIGHT($N1543,6)="tarief",F1543="Vergoeding"),SUM(P1543)*FLOOR(SUM(R1543),0.0001),AND(P1543&lt;&gt;"",R1543&lt;&gt;"",RIGHT($N1543,6)="tarief"),P1543*FLOOR(R1543,0.01),T1543&gt;0,FLOOR(SUM(T1543),0.01)),""),""),"")</f>
        <v/>
      </c>
      <c r="Y1543" s="314" t="str">
        <f t="shared" ca="1" si="98"/>
        <v/>
      </c>
      <c r="Z1543" s="314" t="str" cm="1">
        <f t="array" aca="1" ref="Z1543" ca="1">IFERROR(_xlfn.IFS(OR(F1543="",LEFT(Methode_Keuze,4)="Geen",Methode_Keuze=""),"",AND(W1543&lt;&gt;"",F1543&lt;&gt;"Arbeidskosten"),W1543*VLOOKUP(F1543,Tb_ProjectKosten[],MATCH(Tb_ProjectKosten[[#Headers],[Forfait_Percentage]],Tb_ProjectKosten[#Headers],0),0),AND(F1543="Arbeidskosten",G1543&lt;&gt;""),IFERROR(W1543*VLOOKUP(G1543,Tb_KostenTypen[],3,0)*VLOOKUP(F1543,Tb_ProjectKosten[],MATCH(Tb_ProjectKosten[[#Headers],[Forfait_Percentage]],Tb_ProjectKosten[#Headers],0),0),""),W1543 &lt;=0,0),"")</f>
        <v/>
      </c>
      <c r="AA1543" s="314" t="str" cm="1">
        <f t="array" aca="1" ref="AA1543" ca="1">IFERROR(_xlfn.IFS(OR(F1543="",LEFT(Methode_Keuze,4)="Geen",Methode_Keuze=""),"",AND(X1543&lt;&gt;"",F1543&lt;&gt;"Arbeidskosten"),X1543*VLOOKUP(F1543,Tb_ProjectKosten[],MATCH(Tb_ProjectKosten[[#Headers],[Forfait_Percentage]],Tb_ProjectKosten[#Headers],0),0),AND(F1543="Arbeidskosten",G1543&lt;&gt;""),IFERROR(X1543*VLOOKUP(G1543,Tb_KostenTypen[],3,0)*VLOOKUP(F1543,Tb_ProjectKosten[],MATCH(Tb_ProjectKosten[[#Headers],[Forfait_Percentage]],Tb_ProjectKosten[#Headers],0),0),""),X1543 &lt;=0,0),"")</f>
        <v/>
      </c>
      <c r="AB1543" s="314" t="str">
        <f t="shared" ca="1" si="99"/>
        <v/>
      </c>
      <c r="AC1543" s="322"/>
      <c r="AD1543" s="315"/>
      <c r="AE1543" s="32" t="str" cm="1">
        <f t="array" ref="AE1543">IFERROR(IF(INDEX(SubsidieTabel!$AD$1:$AG$12,MATCH($F1543,SubsidieTabel!$AD$1:$AD$12,0),IFERROR(MATCH(Methode_Keuze,SubsidieTabel!$AD$1:$AG$1,0),2))&lt;&gt;1=TRUE,"ja",""),"")</f>
        <v/>
      </c>
    </row>
    <row r="1544" spans="1:31" x14ac:dyDescent="0.25">
      <c r="A1544" s="316"/>
      <c r="B1544" s="317" t="str">
        <f>IF(A1544&lt;&gt;"",_xlfn.MAXIFS($B$1:B1543,$A$1:A1543,A1544)+1,"")</f>
        <v/>
      </c>
      <c r="C1544" s="296"/>
      <c r="D1544" s="296"/>
      <c r="E1544" s="296"/>
      <c r="F1544" s="296"/>
      <c r="G1544" s="326"/>
      <c r="H1544" s="324"/>
      <c r="I1544" s="325"/>
      <c r="J1544" s="325"/>
      <c r="K1544" s="318"/>
      <c r="L1544" s="318"/>
      <c r="M1544" s="319" t="str">
        <f>IFERROR(VLOOKUP(H1544,Lijsten!$H$1:$I$100,2,0),"")</f>
        <v/>
      </c>
      <c r="N1544" s="319" t="str">
        <f ca="1">IFERROR(IF(VLOOKUP(F1544,Kostentypen!$A$3:$E$21,3,0)=0,"",IF(OR(F1544="Arbeidskosten",F1544="Vergoeding"),VLOOKUP(G1544,Tb_KostenTypen[],2,0),VLOOKUP(F1544,Kostentypen!$A$3:$E$20,3,0))),"")</f>
        <v/>
      </c>
      <c r="O1544" s="320" t="str" cm="1">
        <f t="array" ref="O1544">_xlfn.IFNA(IF(INDEX(Tb_KostenOptiesDB[],MATCH($F1544,Tb_KostenOptiesDB[KostenOptie],0),IFERROR(MATCH(Methode_Keuze,Tb_KostenOptiesDB[#Headers],0),2))=1,_xlfn.SWITCH($N1544,"Uurtarief",IF(OR(AND(RIGHT($F1544,3)="IKS",VLOOKUP($M1544,DB_Loonkosten,2,0)="Ja"),AND(RIGHT($F1544,3)&lt;&gt;"IKS",VLOOKUP($M1544,DB_Loonkosten,2,0)="Nee")),IFERROR(VLOOKUP($M1544,DB_Loonkosten,24,0),""),0),"Vast tarief",IF(LEFT(F1544,8)="Bijdrage",VLOOKUP($F1544,Tb_KostenTypen[],MATCH(Lijsten!$P$1,Tb_KostenTypen[#Headers],0),0),VLOOKUP($G1544,Lijsten!L:P,MATCH(Lijsten!$P$1,Kop_Tarief_Vast,0),0))),""),"")</f>
        <v/>
      </c>
      <c r="P1544" s="320" t="str" cm="1">
        <f t="array" ref="P1544">_xlfn.IFNA(IF(INDEX(Tb_KostenOptiesDB[],MATCH($F1544,Tb_KostenOptiesDB[KostenOptie],0),IFERROR(MATCH(Methode_Keuze,Tb_KostenOptiesDB[#Headers],0),2))=1,_xlfn.SWITCH($N1544,"Uurtarief",IF(OR(AND(RIGHT($F1544,3)="IKS",VLOOKUP($M1544,DB_Loonkosten,2,0)="Ja"),AND(RIGHT($F1544,3)&lt;&gt;"IKS",VLOOKUP($M1544,DB_Loonkosten,2,0)="Nee")),IFERROR(VLOOKUP($M1544,DB_Loonkosten,25,0),""),0),"Vast tarief",IF(LEFT(F1544,8)="Bijdrage",VLOOKUP($F1544,Tb_KostenTypen[],MATCH(Lijsten!$P$1,Tb_KostenTypen[#Headers],0),0),VLOOKUP($G1544,Lijsten!L:P,MATCH(Lijsten!$P$1,Kop_Tarief_Vast,0),0))),""),"")</f>
        <v/>
      </c>
      <c r="Q1544" s="359"/>
      <c r="R1544" s="359"/>
      <c r="S1544" s="321"/>
      <c r="T1544" s="321"/>
      <c r="U1544" s="373" t="str">
        <f t="shared" si="96"/>
        <v/>
      </c>
      <c r="V1544" s="314" t="str">
        <f t="shared" si="97"/>
        <v/>
      </c>
      <c r="W1544" s="314" t="str" cm="1">
        <f t="array" aca="1" ref="W1544" ca="1">IFERROR(IF(AE1544&lt;&gt;"ja",_xlfn.IFNA(_xlfn.IFS(AND(O1544&lt;&gt;"",F1544&lt;&gt;"",RIGHT($N1544,6)="tarief",F1544="Vergoeding"),SUM(O1544)*FLOOR(SUM(Q1544),0.0001),AND(O1544&lt;&gt;"",F1544&lt;&gt;"",RIGHT($N1544,6)="tarief"),SUM(O1544)*FLOOR(SUM(Q1544),0.01),S1544&gt;0,IF(F1544&lt;&gt;"",FLOOR(SUM(S1544),0.01),"")),""),""),"")</f>
        <v/>
      </c>
      <c r="X1544" s="314" t="str" cm="1">
        <f t="array" aca="1" ref="X1544" ca="1">IFERROR(IF(AE1544&lt;&gt;"ja",_xlfn.IFNA(_xlfn.IFS(AND(P1544&lt;&gt;"",R1544&lt;&gt;"",RIGHT($N1544,6)="tarief",F1544="Vergoeding"),SUM(P1544)*FLOOR(SUM(R1544),0.0001),AND(P1544&lt;&gt;"",R1544&lt;&gt;"",RIGHT($N1544,6)="tarief"),P1544*FLOOR(R1544,0.01),T1544&gt;0,FLOOR(SUM(T1544),0.01)),""),""),"")</f>
        <v/>
      </c>
      <c r="Y1544" s="314" t="str">
        <f t="shared" ca="1" si="98"/>
        <v/>
      </c>
      <c r="Z1544" s="314" t="str" cm="1">
        <f t="array" aca="1" ref="Z1544" ca="1">IFERROR(_xlfn.IFS(OR(F1544="",LEFT(Methode_Keuze,4)="Geen",Methode_Keuze=""),"",AND(W1544&lt;&gt;"",F1544&lt;&gt;"Arbeidskosten"),W1544*VLOOKUP(F1544,Tb_ProjectKosten[],MATCH(Tb_ProjectKosten[[#Headers],[Forfait_Percentage]],Tb_ProjectKosten[#Headers],0),0),AND(F1544="Arbeidskosten",G1544&lt;&gt;""),IFERROR(W1544*VLOOKUP(G1544,Tb_KostenTypen[],3,0)*VLOOKUP(F1544,Tb_ProjectKosten[],MATCH(Tb_ProjectKosten[[#Headers],[Forfait_Percentage]],Tb_ProjectKosten[#Headers],0),0),""),W1544 &lt;=0,0),"")</f>
        <v/>
      </c>
      <c r="AA1544" s="314" t="str" cm="1">
        <f t="array" aca="1" ref="AA1544" ca="1">IFERROR(_xlfn.IFS(OR(F1544="",LEFT(Methode_Keuze,4)="Geen",Methode_Keuze=""),"",AND(X1544&lt;&gt;"",F1544&lt;&gt;"Arbeidskosten"),X1544*VLOOKUP(F1544,Tb_ProjectKosten[],MATCH(Tb_ProjectKosten[[#Headers],[Forfait_Percentage]],Tb_ProjectKosten[#Headers],0),0),AND(F1544="Arbeidskosten",G1544&lt;&gt;""),IFERROR(X1544*VLOOKUP(G1544,Tb_KostenTypen[],3,0)*VLOOKUP(F1544,Tb_ProjectKosten[],MATCH(Tb_ProjectKosten[[#Headers],[Forfait_Percentage]],Tb_ProjectKosten[#Headers],0),0),""),X1544 &lt;=0,0),"")</f>
        <v/>
      </c>
      <c r="AB1544" s="314" t="str">
        <f t="shared" ca="1" si="99"/>
        <v/>
      </c>
      <c r="AC1544" s="322"/>
      <c r="AD1544" s="315"/>
      <c r="AE1544" s="32" t="str" cm="1">
        <f t="array" ref="AE1544">IFERROR(IF(INDEX(SubsidieTabel!$AD$1:$AG$12,MATCH($F1544,SubsidieTabel!$AD$1:$AD$12,0),IFERROR(MATCH(Methode_Keuze,SubsidieTabel!$AD$1:$AG$1,0),2))&lt;&gt;1=TRUE,"ja",""),"")</f>
        <v/>
      </c>
    </row>
    <row r="1545" spans="1:31" x14ac:dyDescent="0.25">
      <c r="A1545" s="316"/>
      <c r="B1545" s="317" t="str">
        <f>IF(A1545&lt;&gt;"",_xlfn.MAXIFS($B$1:B1544,$A$1:A1544,A1545)+1,"")</f>
        <v/>
      </c>
      <c r="C1545" s="296"/>
      <c r="D1545" s="296"/>
      <c r="E1545" s="296"/>
      <c r="F1545" s="296"/>
      <c r="G1545" s="326"/>
      <c r="H1545" s="324"/>
      <c r="I1545" s="325"/>
      <c r="J1545" s="325"/>
      <c r="K1545" s="318"/>
      <c r="L1545" s="318"/>
      <c r="M1545" s="319" t="str">
        <f>IFERROR(VLOOKUP(H1545,Lijsten!$H$1:$I$100,2,0),"")</f>
        <v/>
      </c>
      <c r="N1545" s="319" t="str">
        <f ca="1">IFERROR(IF(VLOOKUP(F1545,Kostentypen!$A$3:$E$21,3,0)=0,"",IF(OR(F1545="Arbeidskosten",F1545="Vergoeding"),VLOOKUP(G1545,Tb_KostenTypen[],2,0),VLOOKUP(F1545,Kostentypen!$A$3:$E$20,3,0))),"")</f>
        <v/>
      </c>
      <c r="O1545" s="320" t="str" cm="1">
        <f t="array" ref="O1545">_xlfn.IFNA(IF(INDEX(Tb_KostenOptiesDB[],MATCH($F1545,Tb_KostenOptiesDB[KostenOptie],0),IFERROR(MATCH(Methode_Keuze,Tb_KostenOptiesDB[#Headers],0),2))=1,_xlfn.SWITCH($N1545,"Uurtarief",IF(OR(AND(RIGHT($F1545,3)="IKS",VLOOKUP($M1545,DB_Loonkosten,2,0)="Ja"),AND(RIGHT($F1545,3)&lt;&gt;"IKS",VLOOKUP($M1545,DB_Loonkosten,2,0)="Nee")),IFERROR(VLOOKUP($M1545,DB_Loonkosten,24,0),""),0),"Vast tarief",IF(LEFT(F1545,8)="Bijdrage",VLOOKUP($F1545,Tb_KostenTypen[],MATCH(Lijsten!$P$1,Tb_KostenTypen[#Headers],0),0),VLOOKUP($G1545,Lijsten!L:P,MATCH(Lijsten!$P$1,Kop_Tarief_Vast,0),0))),""),"")</f>
        <v/>
      </c>
      <c r="P1545" s="320" t="str" cm="1">
        <f t="array" ref="P1545">_xlfn.IFNA(IF(INDEX(Tb_KostenOptiesDB[],MATCH($F1545,Tb_KostenOptiesDB[KostenOptie],0),IFERROR(MATCH(Methode_Keuze,Tb_KostenOptiesDB[#Headers],0),2))=1,_xlfn.SWITCH($N1545,"Uurtarief",IF(OR(AND(RIGHT($F1545,3)="IKS",VLOOKUP($M1545,DB_Loonkosten,2,0)="Ja"),AND(RIGHT($F1545,3)&lt;&gt;"IKS",VLOOKUP($M1545,DB_Loonkosten,2,0)="Nee")),IFERROR(VLOOKUP($M1545,DB_Loonkosten,25,0),""),0),"Vast tarief",IF(LEFT(F1545,8)="Bijdrage",VLOOKUP($F1545,Tb_KostenTypen[],MATCH(Lijsten!$P$1,Tb_KostenTypen[#Headers],0),0),VLOOKUP($G1545,Lijsten!L:P,MATCH(Lijsten!$P$1,Kop_Tarief_Vast,0),0))),""),"")</f>
        <v/>
      </c>
      <c r="Q1545" s="359"/>
      <c r="R1545" s="359"/>
      <c r="S1545" s="321"/>
      <c r="T1545" s="321"/>
      <c r="U1545" s="373" t="str">
        <f t="shared" si="96"/>
        <v/>
      </c>
      <c r="V1545" s="314" t="str">
        <f t="shared" si="97"/>
        <v/>
      </c>
      <c r="W1545" s="314" t="str" cm="1">
        <f t="array" aca="1" ref="W1545" ca="1">IFERROR(IF(AE1545&lt;&gt;"ja",_xlfn.IFNA(_xlfn.IFS(AND(O1545&lt;&gt;"",F1545&lt;&gt;"",RIGHT($N1545,6)="tarief",F1545="Vergoeding"),SUM(O1545)*FLOOR(SUM(Q1545),0.0001),AND(O1545&lt;&gt;"",F1545&lt;&gt;"",RIGHT($N1545,6)="tarief"),SUM(O1545)*FLOOR(SUM(Q1545),0.01),S1545&gt;0,IF(F1545&lt;&gt;"",FLOOR(SUM(S1545),0.01),"")),""),""),"")</f>
        <v/>
      </c>
      <c r="X1545" s="314" t="str" cm="1">
        <f t="array" aca="1" ref="X1545" ca="1">IFERROR(IF(AE1545&lt;&gt;"ja",_xlfn.IFNA(_xlfn.IFS(AND(P1545&lt;&gt;"",R1545&lt;&gt;"",RIGHT($N1545,6)="tarief",F1545="Vergoeding"),SUM(P1545)*FLOOR(SUM(R1545),0.0001),AND(P1545&lt;&gt;"",R1545&lt;&gt;"",RIGHT($N1545,6)="tarief"),P1545*FLOOR(R1545,0.01),T1545&gt;0,FLOOR(SUM(T1545),0.01)),""),""),"")</f>
        <v/>
      </c>
      <c r="Y1545" s="314" t="str">
        <f t="shared" ca="1" si="98"/>
        <v/>
      </c>
      <c r="Z1545" s="314" t="str" cm="1">
        <f t="array" aca="1" ref="Z1545" ca="1">IFERROR(_xlfn.IFS(OR(F1545="",LEFT(Methode_Keuze,4)="Geen",Methode_Keuze=""),"",AND(W1545&lt;&gt;"",F1545&lt;&gt;"Arbeidskosten"),W1545*VLOOKUP(F1545,Tb_ProjectKosten[],MATCH(Tb_ProjectKosten[[#Headers],[Forfait_Percentage]],Tb_ProjectKosten[#Headers],0),0),AND(F1545="Arbeidskosten",G1545&lt;&gt;""),IFERROR(W1545*VLOOKUP(G1545,Tb_KostenTypen[],3,0)*VLOOKUP(F1545,Tb_ProjectKosten[],MATCH(Tb_ProjectKosten[[#Headers],[Forfait_Percentage]],Tb_ProjectKosten[#Headers],0),0),""),W1545 &lt;=0,0),"")</f>
        <v/>
      </c>
      <c r="AA1545" s="314" t="str" cm="1">
        <f t="array" aca="1" ref="AA1545" ca="1">IFERROR(_xlfn.IFS(OR(F1545="",LEFT(Methode_Keuze,4)="Geen",Methode_Keuze=""),"",AND(X1545&lt;&gt;"",F1545&lt;&gt;"Arbeidskosten"),X1545*VLOOKUP(F1545,Tb_ProjectKosten[],MATCH(Tb_ProjectKosten[[#Headers],[Forfait_Percentage]],Tb_ProjectKosten[#Headers],0),0),AND(F1545="Arbeidskosten",G1545&lt;&gt;""),IFERROR(X1545*VLOOKUP(G1545,Tb_KostenTypen[],3,0)*VLOOKUP(F1545,Tb_ProjectKosten[],MATCH(Tb_ProjectKosten[[#Headers],[Forfait_Percentage]],Tb_ProjectKosten[#Headers],0),0),""),X1545 &lt;=0,0),"")</f>
        <v/>
      </c>
      <c r="AB1545" s="314" t="str">
        <f t="shared" ca="1" si="99"/>
        <v/>
      </c>
      <c r="AC1545" s="322"/>
      <c r="AD1545" s="315"/>
      <c r="AE1545" s="32" t="str" cm="1">
        <f t="array" ref="AE1545">IFERROR(IF(INDEX(SubsidieTabel!$AD$1:$AG$12,MATCH($F1545,SubsidieTabel!$AD$1:$AD$12,0),IFERROR(MATCH(Methode_Keuze,SubsidieTabel!$AD$1:$AG$1,0),2))&lt;&gt;1=TRUE,"ja",""),"")</f>
        <v/>
      </c>
    </row>
    <row r="1546" spans="1:31" x14ac:dyDescent="0.25">
      <c r="A1546" s="316"/>
      <c r="B1546" s="317" t="str">
        <f>IF(A1546&lt;&gt;"",_xlfn.MAXIFS($B$1:B1545,$A$1:A1545,A1546)+1,"")</f>
        <v/>
      </c>
      <c r="C1546" s="296"/>
      <c r="D1546" s="296"/>
      <c r="E1546" s="296"/>
      <c r="F1546" s="296"/>
      <c r="G1546" s="326"/>
      <c r="H1546" s="324"/>
      <c r="I1546" s="325"/>
      <c r="J1546" s="325"/>
      <c r="K1546" s="318"/>
      <c r="L1546" s="318"/>
      <c r="M1546" s="319" t="str">
        <f>IFERROR(VLOOKUP(H1546,Lijsten!$H$1:$I$100,2,0),"")</f>
        <v/>
      </c>
      <c r="N1546" s="319" t="str">
        <f ca="1">IFERROR(IF(VLOOKUP(F1546,Kostentypen!$A$3:$E$21,3,0)=0,"",IF(OR(F1546="Arbeidskosten",F1546="Vergoeding"),VLOOKUP(G1546,Tb_KostenTypen[],2,0),VLOOKUP(F1546,Kostentypen!$A$3:$E$20,3,0))),"")</f>
        <v/>
      </c>
      <c r="O1546" s="320" t="str" cm="1">
        <f t="array" ref="O1546">_xlfn.IFNA(IF(INDEX(Tb_KostenOptiesDB[],MATCH($F1546,Tb_KostenOptiesDB[KostenOptie],0),IFERROR(MATCH(Methode_Keuze,Tb_KostenOptiesDB[#Headers],0),2))=1,_xlfn.SWITCH($N1546,"Uurtarief",IF(OR(AND(RIGHT($F1546,3)="IKS",VLOOKUP($M1546,DB_Loonkosten,2,0)="Ja"),AND(RIGHT($F1546,3)&lt;&gt;"IKS",VLOOKUP($M1546,DB_Loonkosten,2,0)="Nee")),IFERROR(VLOOKUP($M1546,DB_Loonkosten,24,0),""),0),"Vast tarief",IF(LEFT(F1546,8)="Bijdrage",VLOOKUP($F1546,Tb_KostenTypen[],MATCH(Lijsten!$P$1,Tb_KostenTypen[#Headers],0),0),VLOOKUP($G1546,Lijsten!L:P,MATCH(Lijsten!$P$1,Kop_Tarief_Vast,0),0))),""),"")</f>
        <v/>
      </c>
      <c r="P1546" s="320" t="str" cm="1">
        <f t="array" ref="P1546">_xlfn.IFNA(IF(INDEX(Tb_KostenOptiesDB[],MATCH($F1546,Tb_KostenOptiesDB[KostenOptie],0),IFERROR(MATCH(Methode_Keuze,Tb_KostenOptiesDB[#Headers],0),2))=1,_xlfn.SWITCH($N1546,"Uurtarief",IF(OR(AND(RIGHT($F1546,3)="IKS",VLOOKUP($M1546,DB_Loonkosten,2,0)="Ja"),AND(RIGHT($F1546,3)&lt;&gt;"IKS",VLOOKUP($M1546,DB_Loonkosten,2,0)="Nee")),IFERROR(VLOOKUP($M1546,DB_Loonkosten,25,0),""),0),"Vast tarief",IF(LEFT(F1546,8)="Bijdrage",VLOOKUP($F1546,Tb_KostenTypen[],MATCH(Lijsten!$P$1,Tb_KostenTypen[#Headers],0),0),VLOOKUP($G1546,Lijsten!L:P,MATCH(Lijsten!$P$1,Kop_Tarief_Vast,0),0))),""),"")</f>
        <v/>
      </c>
      <c r="Q1546" s="359"/>
      <c r="R1546" s="359"/>
      <c r="S1546" s="321"/>
      <c r="T1546" s="321"/>
      <c r="U1546" s="373" t="str">
        <f t="shared" si="96"/>
        <v/>
      </c>
      <c r="V1546" s="314" t="str">
        <f t="shared" si="97"/>
        <v/>
      </c>
      <c r="W1546" s="314" t="str" cm="1">
        <f t="array" aca="1" ref="W1546" ca="1">IFERROR(IF(AE1546&lt;&gt;"ja",_xlfn.IFNA(_xlfn.IFS(AND(O1546&lt;&gt;"",F1546&lt;&gt;"",RIGHT($N1546,6)="tarief",F1546="Vergoeding"),SUM(O1546)*FLOOR(SUM(Q1546),0.0001),AND(O1546&lt;&gt;"",F1546&lt;&gt;"",RIGHT($N1546,6)="tarief"),SUM(O1546)*FLOOR(SUM(Q1546),0.01),S1546&gt;0,IF(F1546&lt;&gt;"",FLOOR(SUM(S1546),0.01),"")),""),""),"")</f>
        <v/>
      </c>
      <c r="X1546" s="314" t="str" cm="1">
        <f t="array" aca="1" ref="X1546" ca="1">IFERROR(IF(AE1546&lt;&gt;"ja",_xlfn.IFNA(_xlfn.IFS(AND(P1546&lt;&gt;"",R1546&lt;&gt;"",RIGHT($N1546,6)="tarief",F1546="Vergoeding"),SUM(P1546)*FLOOR(SUM(R1546),0.0001),AND(P1546&lt;&gt;"",R1546&lt;&gt;"",RIGHT($N1546,6)="tarief"),P1546*FLOOR(R1546,0.01),T1546&gt;0,FLOOR(SUM(T1546),0.01)),""),""),"")</f>
        <v/>
      </c>
      <c r="Y1546" s="314" t="str">
        <f t="shared" ca="1" si="98"/>
        <v/>
      </c>
      <c r="Z1546" s="314" t="str" cm="1">
        <f t="array" aca="1" ref="Z1546" ca="1">IFERROR(_xlfn.IFS(OR(F1546="",LEFT(Methode_Keuze,4)="Geen",Methode_Keuze=""),"",AND(W1546&lt;&gt;"",F1546&lt;&gt;"Arbeidskosten"),W1546*VLOOKUP(F1546,Tb_ProjectKosten[],MATCH(Tb_ProjectKosten[[#Headers],[Forfait_Percentage]],Tb_ProjectKosten[#Headers],0),0),AND(F1546="Arbeidskosten",G1546&lt;&gt;""),IFERROR(W1546*VLOOKUP(G1546,Tb_KostenTypen[],3,0)*VLOOKUP(F1546,Tb_ProjectKosten[],MATCH(Tb_ProjectKosten[[#Headers],[Forfait_Percentage]],Tb_ProjectKosten[#Headers],0),0),""),W1546 &lt;=0,0),"")</f>
        <v/>
      </c>
      <c r="AA1546" s="314" t="str" cm="1">
        <f t="array" aca="1" ref="AA1546" ca="1">IFERROR(_xlfn.IFS(OR(F1546="",LEFT(Methode_Keuze,4)="Geen",Methode_Keuze=""),"",AND(X1546&lt;&gt;"",F1546&lt;&gt;"Arbeidskosten"),X1546*VLOOKUP(F1546,Tb_ProjectKosten[],MATCH(Tb_ProjectKosten[[#Headers],[Forfait_Percentage]],Tb_ProjectKosten[#Headers],0),0),AND(F1546="Arbeidskosten",G1546&lt;&gt;""),IFERROR(X1546*VLOOKUP(G1546,Tb_KostenTypen[],3,0)*VLOOKUP(F1546,Tb_ProjectKosten[],MATCH(Tb_ProjectKosten[[#Headers],[Forfait_Percentage]],Tb_ProjectKosten[#Headers],0),0),""),X1546 &lt;=0,0),"")</f>
        <v/>
      </c>
      <c r="AB1546" s="314" t="str">
        <f t="shared" ca="1" si="99"/>
        <v/>
      </c>
      <c r="AC1546" s="322"/>
      <c r="AD1546" s="315"/>
      <c r="AE1546" s="32" t="str" cm="1">
        <f t="array" ref="AE1546">IFERROR(IF(INDEX(SubsidieTabel!$AD$1:$AG$12,MATCH($F1546,SubsidieTabel!$AD$1:$AD$12,0),IFERROR(MATCH(Methode_Keuze,SubsidieTabel!$AD$1:$AG$1,0),2))&lt;&gt;1=TRUE,"ja",""),"")</f>
        <v/>
      </c>
    </row>
    <row r="1547" spans="1:31" x14ac:dyDescent="0.25">
      <c r="A1547" s="316"/>
      <c r="B1547" s="317" t="str">
        <f>IF(A1547&lt;&gt;"",_xlfn.MAXIFS($B$1:B1546,$A$1:A1546,A1547)+1,"")</f>
        <v/>
      </c>
      <c r="C1547" s="296"/>
      <c r="D1547" s="296"/>
      <c r="E1547" s="296"/>
      <c r="F1547" s="296"/>
      <c r="G1547" s="326"/>
      <c r="H1547" s="324"/>
      <c r="I1547" s="325"/>
      <c r="J1547" s="325"/>
      <c r="K1547" s="318"/>
      <c r="L1547" s="318"/>
      <c r="M1547" s="319" t="str">
        <f>IFERROR(VLOOKUP(H1547,Lijsten!$H$1:$I$100,2,0),"")</f>
        <v/>
      </c>
      <c r="N1547" s="319" t="str">
        <f ca="1">IFERROR(IF(VLOOKUP(F1547,Kostentypen!$A$3:$E$21,3,0)=0,"",IF(OR(F1547="Arbeidskosten",F1547="Vergoeding"),VLOOKUP(G1547,Tb_KostenTypen[],2,0),VLOOKUP(F1547,Kostentypen!$A$3:$E$20,3,0))),"")</f>
        <v/>
      </c>
      <c r="O1547" s="320" t="str" cm="1">
        <f t="array" ref="O1547">_xlfn.IFNA(IF(INDEX(Tb_KostenOptiesDB[],MATCH($F1547,Tb_KostenOptiesDB[KostenOptie],0),IFERROR(MATCH(Methode_Keuze,Tb_KostenOptiesDB[#Headers],0),2))=1,_xlfn.SWITCH($N1547,"Uurtarief",IF(OR(AND(RIGHT($F1547,3)="IKS",VLOOKUP($M1547,DB_Loonkosten,2,0)="Ja"),AND(RIGHT($F1547,3)&lt;&gt;"IKS",VLOOKUP($M1547,DB_Loonkosten,2,0)="Nee")),IFERROR(VLOOKUP($M1547,DB_Loonkosten,24,0),""),0),"Vast tarief",IF(LEFT(F1547,8)="Bijdrage",VLOOKUP($F1547,Tb_KostenTypen[],MATCH(Lijsten!$P$1,Tb_KostenTypen[#Headers],0),0),VLOOKUP($G1547,Lijsten!L:P,MATCH(Lijsten!$P$1,Kop_Tarief_Vast,0),0))),""),"")</f>
        <v/>
      </c>
      <c r="P1547" s="320" t="str" cm="1">
        <f t="array" ref="P1547">_xlfn.IFNA(IF(INDEX(Tb_KostenOptiesDB[],MATCH($F1547,Tb_KostenOptiesDB[KostenOptie],0),IFERROR(MATCH(Methode_Keuze,Tb_KostenOptiesDB[#Headers],0),2))=1,_xlfn.SWITCH($N1547,"Uurtarief",IF(OR(AND(RIGHT($F1547,3)="IKS",VLOOKUP($M1547,DB_Loonkosten,2,0)="Ja"),AND(RIGHT($F1547,3)&lt;&gt;"IKS",VLOOKUP($M1547,DB_Loonkosten,2,0)="Nee")),IFERROR(VLOOKUP($M1547,DB_Loonkosten,25,0),""),0),"Vast tarief",IF(LEFT(F1547,8)="Bijdrage",VLOOKUP($F1547,Tb_KostenTypen[],MATCH(Lijsten!$P$1,Tb_KostenTypen[#Headers],0),0),VLOOKUP($G1547,Lijsten!L:P,MATCH(Lijsten!$P$1,Kop_Tarief_Vast,0),0))),""),"")</f>
        <v/>
      </c>
      <c r="Q1547" s="359"/>
      <c r="R1547" s="359"/>
      <c r="S1547" s="321"/>
      <c r="T1547" s="321"/>
      <c r="U1547" s="373" t="str">
        <f t="shared" si="96"/>
        <v/>
      </c>
      <c r="V1547" s="314" t="str">
        <f t="shared" si="97"/>
        <v/>
      </c>
      <c r="W1547" s="314" t="str" cm="1">
        <f t="array" aca="1" ref="W1547" ca="1">IFERROR(IF(AE1547&lt;&gt;"ja",_xlfn.IFNA(_xlfn.IFS(AND(O1547&lt;&gt;"",F1547&lt;&gt;"",RIGHT($N1547,6)="tarief",F1547="Vergoeding"),SUM(O1547)*FLOOR(SUM(Q1547),0.0001),AND(O1547&lt;&gt;"",F1547&lt;&gt;"",RIGHT($N1547,6)="tarief"),SUM(O1547)*FLOOR(SUM(Q1547),0.01),S1547&gt;0,IF(F1547&lt;&gt;"",FLOOR(SUM(S1547),0.01),"")),""),""),"")</f>
        <v/>
      </c>
      <c r="X1547" s="314" t="str" cm="1">
        <f t="array" aca="1" ref="X1547" ca="1">IFERROR(IF(AE1547&lt;&gt;"ja",_xlfn.IFNA(_xlfn.IFS(AND(P1547&lt;&gt;"",R1547&lt;&gt;"",RIGHT($N1547,6)="tarief",F1547="Vergoeding"),SUM(P1547)*FLOOR(SUM(R1547),0.0001),AND(P1547&lt;&gt;"",R1547&lt;&gt;"",RIGHT($N1547,6)="tarief"),P1547*FLOOR(R1547,0.01),T1547&gt;0,FLOOR(SUM(T1547),0.01)),""),""),"")</f>
        <v/>
      </c>
      <c r="Y1547" s="314" t="str">
        <f t="shared" ca="1" si="98"/>
        <v/>
      </c>
      <c r="Z1547" s="314" t="str" cm="1">
        <f t="array" aca="1" ref="Z1547" ca="1">IFERROR(_xlfn.IFS(OR(F1547="",LEFT(Methode_Keuze,4)="Geen",Methode_Keuze=""),"",AND(W1547&lt;&gt;"",F1547&lt;&gt;"Arbeidskosten"),W1547*VLOOKUP(F1547,Tb_ProjectKosten[],MATCH(Tb_ProjectKosten[[#Headers],[Forfait_Percentage]],Tb_ProjectKosten[#Headers],0),0),AND(F1547="Arbeidskosten",G1547&lt;&gt;""),IFERROR(W1547*VLOOKUP(G1547,Tb_KostenTypen[],3,0)*VLOOKUP(F1547,Tb_ProjectKosten[],MATCH(Tb_ProjectKosten[[#Headers],[Forfait_Percentage]],Tb_ProjectKosten[#Headers],0),0),""),W1547 &lt;=0,0),"")</f>
        <v/>
      </c>
      <c r="AA1547" s="314" t="str" cm="1">
        <f t="array" aca="1" ref="AA1547" ca="1">IFERROR(_xlfn.IFS(OR(F1547="",LEFT(Methode_Keuze,4)="Geen",Methode_Keuze=""),"",AND(X1547&lt;&gt;"",F1547&lt;&gt;"Arbeidskosten"),X1547*VLOOKUP(F1547,Tb_ProjectKosten[],MATCH(Tb_ProjectKosten[[#Headers],[Forfait_Percentage]],Tb_ProjectKosten[#Headers],0),0),AND(F1547="Arbeidskosten",G1547&lt;&gt;""),IFERROR(X1547*VLOOKUP(G1547,Tb_KostenTypen[],3,0)*VLOOKUP(F1547,Tb_ProjectKosten[],MATCH(Tb_ProjectKosten[[#Headers],[Forfait_Percentage]],Tb_ProjectKosten[#Headers],0),0),""),X1547 &lt;=0,0),"")</f>
        <v/>
      </c>
      <c r="AB1547" s="314" t="str">
        <f t="shared" ca="1" si="99"/>
        <v/>
      </c>
      <c r="AC1547" s="322"/>
      <c r="AD1547" s="315"/>
      <c r="AE1547" s="32" t="str" cm="1">
        <f t="array" ref="AE1547">IFERROR(IF(INDEX(SubsidieTabel!$AD$1:$AG$12,MATCH($F1547,SubsidieTabel!$AD$1:$AD$12,0),IFERROR(MATCH(Methode_Keuze,SubsidieTabel!$AD$1:$AG$1,0),2))&lt;&gt;1=TRUE,"ja",""),"")</f>
        <v/>
      </c>
    </row>
    <row r="1548" spans="1:31" x14ac:dyDescent="0.25">
      <c r="A1548" s="316"/>
      <c r="B1548" s="317" t="str">
        <f>IF(A1548&lt;&gt;"",_xlfn.MAXIFS($B$1:B1547,$A$1:A1547,A1548)+1,"")</f>
        <v/>
      </c>
      <c r="C1548" s="296"/>
      <c r="D1548" s="296"/>
      <c r="E1548" s="296"/>
      <c r="F1548" s="296"/>
      <c r="G1548" s="326"/>
      <c r="H1548" s="324"/>
      <c r="I1548" s="325"/>
      <c r="J1548" s="325"/>
      <c r="K1548" s="318"/>
      <c r="L1548" s="318"/>
      <c r="M1548" s="319" t="str">
        <f>IFERROR(VLOOKUP(H1548,Lijsten!$H$1:$I$100,2,0),"")</f>
        <v/>
      </c>
      <c r="N1548" s="319" t="str">
        <f ca="1">IFERROR(IF(VLOOKUP(F1548,Kostentypen!$A$3:$E$21,3,0)=0,"",IF(OR(F1548="Arbeidskosten",F1548="Vergoeding"),VLOOKUP(G1548,Tb_KostenTypen[],2,0),VLOOKUP(F1548,Kostentypen!$A$3:$E$20,3,0))),"")</f>
        <v/>
      </c>
      <c r="O1548" s="320" t="str" cm="1">
        <f t="array" ref="O1548">_xlfn.IFNA(IF(INDEX(Tb_KostenOptiesDB[],MATCH($F1548,Tb_KostenOptiesDB[KostenOptie],0),IFERROR(MATCH(Methode_Keuze,Tb_KostenOptiesDB[#Headers],0),2))=1,_xlfn.SWITCH($N1548,"Uurtarief",IF(OR(AND(RIGHT($F1548,3)="IKS",VLOOKUP($M1548,DB_Loonkosten,2,0)="Ja"),AND(RIGHT($F1548,3)&lt;&gt;"IKS",VLOOKUP($M1548,DB_Loonkosten,2,0)="Nee")),IFERROR(VLOOKUP($M1548,DB_Loonkosten,24,0),""),0),"Vast tarief",IF(LEFT(F1548,8)="Bijdrage",VLOOKUP($F1548,Tb_KostenTypen[],MATCH(Lijsten!$P$1,Tb_KostenTypen[#Headers],0),0),VLOOKUP($G1548,Lijsten!L:P,MATCH(Lijsten!$P$1,Kop_Tarief_Vast,0),0))),""),"")</f>
        <v/>
      </c>
      <c r="P1548" s="320" t="str" cm="1">
        <f t="array" ref="P1548">_xlfn.IFNA(IF(INDEX(Tb_KostenOptiesDB[],MATCH($F1548,Tb_KostenOptiesDB[KostenOptie],0),IFERROR(MATCH(Methode_Keuze,Tb_KostenOptiesDB[#Headers],0),2))=1,_xlfn.SWITCH($N1548,"Uurtarief",IF(OR(AND(RIGHT($F1548,3)="IKS",VLOOKUP($M1548,DB_Loonkosten,2,0)="Ja"),AND(RIGHT($F1548,3)&lt;&gt;"IKS",VLOOKUP($M1548,DB_Loonkosten,2,0)="Nee")),IFERROR(VLOOKUP($M1548,DB_Loonkosten,25,0),""),0),"Vast tarief",IF(LEFT(F1548,8)="Bijdrage",VLOOKUP($F1548,Tb_KostenTypen[],MATCH(Lijsten!$P$1,Tb_KostenTypen[#Headers],0),0),VLOOKUP($G1548,Lijsten!L:P,MATCH(Lijsten!$P$1,Kop_Tarief_Vast,0),0))),""),"")</f>
        <v/>
      </c>
      <c r="Q1548" s="359"/>
      <c r="R1548" s="359"/>
      <c r="S1548" s="321"/>
      <c r="T1548" s="321"/>
      <c r="U1548" s="373" t="str">
        <f t="shared" si="96"/>
        <v/>
      </c>
      <c r="V1548" s="314" t="str">
        <f t="shared" si="97"/>
        <v/>
      </c>
      <c r="W1548" s="314" t="str" cm="1">
        <f t="array" aca="1" ref="W1548" ca="1">IFERROR(IF(AE1548&lt;&gt;"ja",_xlfn.IFNA(_xlfn.IFS(AND(O1548&lt;&gt;"",F1548&lt;&gt;"",RIGHT($N1548,6)="tarief",F1548="Vergoeding"),SUM(O1548)*FLOOR(SUM(Q1548),0.0001),AND(O1548&lt;&gt;"",F1548&lt;&gt;"",RIGHT($N1548,6)="tarief"),SUM(O1548)*FLOOR(SUM(Q1548),0.01),S1548&gt;0,IF(F1548&lt;&gt;"",FLOOR(SUM(S1548),0.01),"")),""),""),"")</f>
        <v/>
      </c>
      <c r="X1548" s="314" t="str" cm="1">
        <f t="array" aca="1" ref="X1548" ca="1">IFERROR(IF(AE1548&lt;&gt;"ja",_xlfn.IFNA(_xlfn.IFS(AND(P1548&lt;&gt;"",R1548&lt;&gt;"",RIGHT($N1548,6)="tarief",F1548="Vergoeding"),SUM(P1548)*FLOOR(SUM(R1548),0.0001),AND(P1548&lt;&gt;"",R1548&lt;&gt;"",RIGHT($N1548,6)="tarief"),P1548*FLOOR(R1548,0.01),T1548&gt;0,FLOOR(SUM(T1548),0.01)),""),""),"")</f>
        <v/>
      </c>
      <c r="Y1548" s="314" t="str">
        <f t="shared" ca="1" si="98"/>
        <v/>
      </c>
      <c r="Z1548" s="314" t="str" cm="1">
        <f t="array" aca="1" ref="Z1548" ca="1">IFERROR(_xlfn.IFS(OR(F1548="",LEFT(Methode_Keuze,4)="Geen",Methode_Keuze=""),"",AND(W1548&lt;&gt;"",F1548&lt;&gt;"Arbeidskosten"),W1548*VLOOKUP(F1548,Tb_ProjectKosten[],MATCH(Tb_ProjectKosten[[#Headers],[Forfait_Percentage]],Tb_ProjectKosten[#Headers],0),0),AND(F1548="Arbeidskosten",G1548&lt;&gt;""),IFERROR(W1548*VLOOKUP(G1548,Tb_KostenTypen[],3,0)*VLOOKUP(F1548,Tb_ProjectKosten[],MATCH(Tb_ProjectKosten[[#Headers],[Forfait_Percentage]],Tb_ProjectKosten[#Headers],0),0),""),W1548 &lt;=0,0),"")</f>
        <v/>
      </c>
      <c r="AA1548" s="314" t="str" cm="1">
        <f t="array" aca="1" ref="AA1548" ca="1">IFERROR(_xlfn.IFS(OR(F1548="",LEFT(Methode_Keuze,4)="Geen",Methode_Keuze=""),"",AND(X1548&lt;&gt;"",F1548&lt;&gt;"Arbeidskosten"),X1548*VLOOKUP(F1548,Tb_ProjectKosten[],MATCH(Tb_ProjectKosten[[#Headers],[Forfait_Percentage]],Tb_ProjectKosten[#Headers],0),0),AND(F1548="Arbeidskosten",G1548&lt;&gt;""),IFERROR(X1548*VLOOKUP(G1548,Tb_KostenTypen[],3,0)*VLOOKUP(F1548,Tb_ProjectKosten[],MATCH(Tb_ProjectKosten[[#Headers],[Forfait_Percentage]],Tb_ProjectKosten[#Headers],0),0),""),X1548 &lt;=0,0),"")</f>
        <v/>
      </c>
      <c r="AB1548" s="314" t="str">
        <f t="shared" ca="1" si="99"/>
        <v/>
      </c>
      <c r="AC1548" s="322"/>
      <c r="AD1548" s="315"/>
      <c r="AE1548" s="32" t="str" cm="1">
        <f t="array" ref="AE1548">IFERROR(IF(INDEX(SubsidieTabel!$AD$1:$AG$12,MATCH($F1548,SubsidieTabel!$AD$1:$AD$12,0),IFERROR(MATCH(Methode_Keuze,SubsidieTabel!$AD$1:$AG$1,0),2))&lt;&gt;1=TRUE,"ja",""),"")</f>
        <v/>
      </c>
    </row>
    <row r="1549" spans="1:31" x14ac:dyDescent="0.25">
      <c r="A1549" s="316"/>
      <c r="B1549" s="317" t="str">
        <f>IF(A1549&lt;&gt;"",_xlfn.MAXIFS($B$1:B1548,$A$1:A1548,A1549)+1,"")</f>
        <v/>
      </c>
      <c r="C1549" s="296"/>
      <c r="D1549" s="296"/>
      <c r="E1549" s="296"/>
      <c r="F1549" s="296"/>
      <c r="G1549" s="326"/>
      <c r="H1549" s="324"/>
      <c r="I1549" s="325"/>
      <c r="J1549" s="325"/>
      <c r="K1549" s="318"/>
      <c r="L1549" s="318"/>
      <c r="M1549" s="319" t="str">
        <f>IFERROR(VLOOKUP(H1549,Lijsten!$H$1:$I$100,2,0),"")</f>
        <v/>
      </c>
      <c r="N1549" s="319" t="str">
        <f ca="1">IFERROR(IF(VLOOKUP(F1549,Kostentypen!$A$3:$E$21,3,0)=0,"",IF(OR(F1549="Arbeidskosten",F1549="Vergoeding"),VLOOKUP(G1549,Tb_KostenTypen[],2,0),VLOOKUP(F1549,Kostentypen!$A$3:$E$20,3,0))),"")</f>
        <v/>
      </c>
      <c r="O1549" s="320" t="str" cm="1">
        <f t="array" ref="O1549">_xlfn.IFNA(IF(INDEX(Tb_KostenOptiesDB[],MATCH($F1549,Tb_KostenOptiesDB[KostenOptie],0),IFERROR(MATCH(Methode_Keuze,Tb_KostenOptiesDB[#Headers],0),2))=1,_xlfn.SWITCH($N1549,"Uurtarief",IF(OR(AND(RIGHT($F1549,3)="IKS",VLOOKUP($M1549,DB_Loonkosten,2,0)="Ja"),AND(RIGHT($F1549,3)&lt;&gt;"IKS",VLOOKUP($M1549,DB_Loonkosten,2,0)="Nee")),IFERROR(VLOOKUP($M1549,DB_Loonkosten,24,0),""),0),"Vast tarief",IF(LEFT(F1549,8)="Bijdrage",VLOOKUP($F1549,Tb_KostenTypen[],MATCH(Lijsten!$P$1,Tb_KostenTypen[#Headers],0),0),VLOOKUP($G1549,Lijsten!L:P,MATCH(Lijsten!$P$1,Kop_Tarief_Vast,0),0))),""),"")</f>
        <v/>
      </c>
      <c r="P1549" s="320" t="str" cm="1">
        <f t="array" ref="P1549">_xlfn.IFNA(IF(INDEX(Tb_KostenOptiesDB[],MATCH($F1549,Tb_KostenOptiesDB[KostenOptie],0),IFERROR(MATCH(Methode_Keuze,Tb_KostenOptiesDB[#Headers],0),2))=1,_xlfn.SWITCH($N1549,"Uurtarief",IF(OR(AND(RIGHT($F1549,3)="IKS",VLOOKUP($M1549,DB_Loonkosten,2,0)="Ja"),AND(RIGHT($F1549,3)&lt;&gt;"IKS",VLOOKUP($M1549,DB_Loonkosten,2,0)="Nee")),IFERROR(VLOOKUP($M1549,DB_Loonkosten,25,0),""),0),"Vast tarief",IF(LEFT(F1549,8)="Bijdrage",VLOOKUP($F1549,Tb_KostenTypen[],MATCH(Lijsten!$P$1,Tb_KostenTypen[#Headers],0),0),VLOOKUP($G1549,Lijsten!L:P,MATCH(Lijsten!$P$1,Kop_Tarief_Vast,0),0))),""),"")</f>
        <v/>
      </c>
      <c r="Q1549" s="359"/>
      <c r="R1549" s="359"/>
      <c r="S1549" s="321"/>
      <c r="T1549" s="321"/>
      <c r="U1549" s="373" t="str">
        <f t="shared" si="96"/>
        <v/>
      </c>
      <c r="V1549" s="314" t="str">
        <f t="shared" si="97"/>
        <v/>
      </c>
      <c r="W1549" s="314" t="str" cm="1">
        <f t="array" aca="1" ref="W1549" ca="1">IFERROR(IF(AE1549&lt;&gt;"ja",_xlfn.IFNA(_xlfn.IFS(AND(O1549&lt;&gt;"",F1549&lt;&gt;"",RIGHT($N1549,6)="tarief",F1549="Vergoeding"),SUM(O1549)*FLOOR(SUM(Q1549),0.0001),AND(O1549&lt;&gt;"",F1549&lt;&gt;"",RIGHT($N1549,6)="tarief"),SUM(O1549)*FLOOR(SUM(Q1549),0.01),S1549&gt;0,IF(F1549&lt;&gt;"",FLOOR(SUM(S1549),0.01),"")),""),""),"")</f>
        <v/>
      </c>
      <c r="X1549" s="314" t="str" cm="1">
        <f t="array" aca="1" ref="X1549" ca="1">IFERROR(IF(AE1549&lt;&gt;"ja",_xlfn.IFNA(_xlfn.IFS(AND(P1549&lt;&gt;"",R1549&lt;&gt;"",RIGHT($N1549,6)="tarief",F1549="Vergoeding"),SUM(P1549)*FLOOR(SUM(R1549),0.0001),AND(P1549&lt;&gt;"",R1549&lt;&gt;"",RIGHT($N1549,6)="tarief"),P1549*FLOOR(R1549,0.01),T1549&gt;0,FLOOR(SUM(T1549),0.01)),""),""),"")</f>
        <v/>
      </c>
      <c r="Y1549" s="314" t="str">
        <f t="shared" ca="1" si="98"/>
        <v/>
      </c>
      <c r="Z1549" s="314" t="str" cm="1">
        <f t="array" aca="1" ref="Z1549" ca="1">IFERROR(_xlfn.IFS(OR(F1549="",LEFT(Methode_Keuze,4)="Geen",Methode_Keuze=""),"",AND(W1549&lt;&gt;"",F1549&lt;&gt;"Arbeidskosten"),W1549*VLOOKUP(F1549,Tb_ProjectKosten[],MATCH(Tb_ProjectKosten[[#Headers],[Forfait_Percentage]],Tb_ProjectKosten[#Headers],0),0),AND(F1549="Arbeidskosten",G1549&lt;&gt;""),IFERROR(W1549*VLOOKUP(G1549,Tb_KostenTypen[],3,0)*VLOOKUP(F1549,Tb_ProjectKosten[],MATCH(Tb_ProjectKosten[[#Headers],[Forfait_Percentage]],Tb_ProjectKosten[#Headers],0),0),""),W1549 &lt;=0,0),"")</f>
        <v/>
      </c>
      <c r="AA1549" s="314" t="str" cm="1">
        <f t="array" aca="1" ref="AA1549" ca="1">IFERROR(_xlfn.IFS(OR(F1549="",LEFT(Methode_Keuze,4)="Geen",Methode_Keuze=""),"",AND(X1549&lt;&gt;"",F1549&lt;&gt;"Arbeidskosten"),X1549*VLOOKUP(F1549,Tb_ProjectKosten[],MATCH(Tb_ProjectKosten[[#Headers],[Forfait_Percentage]],Tb_ProjectKosten[#Headers],0),0),AND(F1549="Arbeidskosten",G1549&lt;&gt;""),IFERROR(X1549*VLOOKUP(G1549,Tb_KostenTypen[],3,0)*VLOOKUP(F1549,Tb_ProjectKosten[],MATCH(Tb_ProjectKosten[[#Headers],[Forfait_Percentage]],Tb_ProjectKosten[#Headers],0),0),""),X1549 &lt;=0,0),"")</f>
        <v/>
      </c>
      <c r="AB1549" s="314" t="str">
        <f t="shared" ca="1" si="99"/>
        <v/>
      </c>
      <c r="AC1549" s="322"/>
      <c r="AD1549" s="315"/>
      <c r="AE1549" s="32" t="str" cm="1">
        <f t="array" ref="AE1549">IFERROR(IF(INDEX(SubsidieTabel!$AD$1:$AG$12,MATCH($F1549,SubsidieTabel!$AD$1:$AD$12,0),IFERROR(MATCH(Methode_Keuze,SubsidieTabel!$AD$1:$AG$1,0),2))&lt;&gt;1=TRUE,"ja",""),"")</f>
        <v/>
      </c>
    </row>
    <row r="1550" spans="1:31" x14ac:dyDescent="0.25">
      <c r="A1550" s="316"/>
      <c r="B1550" s="317" t="str">
        <f>IF(A1550&lt;&gt;"",_xlfn.MAXIFS($B$1:B1549,$A$1:A1549,A1550)+1,"")</f>
        <v/>
      </c>
      <c r="C1550" s="296"/>
      <c r="D1550" s="296"/>
      <c r="E1550" s="296"/>
      <c r="F1550" s="296"/>
      <c r="G1550" s="326"/>
      <c r="H1550" s="324"/>
      <c r="I1550" s="325"/>
      <c r="J1550" s="325"/>
      <c r="K1550" s="318"/>
      <c r="L1550" s="318"/>
      <c r="M1550" s="319" t="str">
        <f>IFERROR(VLOOKUP(H1550,Lijsten!$H$1:$I$100,2,0),"")</f>
        <v/>
      </c>
      <c r="N1550" s="319" t="str">
        <f ca="1">IFERROR(IF(VLOOKUP(F1550,Kostentypen!$A$3:$E$21,3,0)=0,"",IF(OR(F1550="Arbeidskosten",F1550="Vergoeding"),VLOOKUP(G1550,Tb_KostenTypen[],2,0),VLOOKUP(F1550,Kostentypen!$A$3:$E$20,3,0))),"")</f>
        <v/>
      </c>
      <c r="O1550" s="320" t="str" cm="1">
        <f t="array" ref="O1550">_xlfn.IFNA(IF(INDEX(Tb_KostenOptiesDB[],MATCH($F1550,Tb_KostenOptiesDB[KostenOptie],0),IFERROR(MATCH(Methode_Keuze,Tb_KostenOptiesDB[#Headers],0),2))=1,_xlfn.SWITCH($N1550,"Uurtarief",IF(OR(AND(RIGHT($F1550,3)="IKS",VLOOKUP($M1550,DB_Loonkosten,2,0)="Ja"),AND(RIGHT($F1550,3)&lt;&gt;"IKS",VLOOKUP($M1550,DB_Loonkosten,2,0)="Nee")),IFERROR(VLOOKUP($M1550,DB_Loonkosten,24,0),""),0),"Vast tarief",IF(LEFT(F1550,8)="Bijdrage",VLOOKUP($F1550,Tb_KostenTypen[],MATCH(Lijsten!$P$1,Tb_KostenTypen[#Headers],0),0),VLOOKUP($G1550,Lijsten!L:P,MATCH(Lijsten!$P$1,Kop_Tarief_Vast,0),0))),""),"")</f>
        <v/>
      </c>
      <c r="P1550" s="320" t="str" cm="1">
        <f t="array" ref="P1550">_xlfn.IFNA(IF(INDEX(Tb_KostenOptiesDB[],MATCH($F1550,Tb_KostenOptiesDB[KostenOptie],0),IFERROR(MATCH(Methode_Keuze,Tb_KostenOptiesDB[#Headers],0),2))=1,_xlfn.SWITCH($N1550,"Uurtarief",IF(OR(AND(RIGHT($F1550,3)="IKS",VLOOKUP($M1550,DB_Loonkosten,2,0)="Ja"),AND(RIGHT($F1550,3)&lt;&gt;"IKS",VLOOKUP($M1550,DB_Loonkosten,2,0)="Nee")),IFERROR(VLOOKUP($M1550,DB_Loonkosten,25,0),""),0),"Vast tarief",IF(LEFT(F1550,8)="Bijdrage",VLOOKUP($F1550,Tb_KostenTypen[],MATCH(Lijsten!$P$1,Tb_KostenTypen[#Headers],0),0),VLOOKUP($G1550,Lijsten!L:P,MATCH(Lijsten!$P$1,Kop_Tarief_Vast,0),0))),""),"")</f>
        <v/>
      </c>
      <c r="Q1550" s="359"/>
      <c r="R1550" s="359"/>
      <c r="S1550" s="321"/>
      <c r="T1550" s="321"/>
      <c r="U1550" s="373" t="str">
        <f t="shared" si="96"/>
        <v/>
      </c>
      <c r="V1550" s="314" t="str">
        <f t="shared" si="97"/>
        <v/>
      </c>
      <c r="W1550" s="314" t="str" cm="1">
        <f t="array" aca="1" ref="W1550" ca="1">IFERROR(IF(AE1550&lt;&gt;"ja",_xlfn.IFNA(_xlfn.IFS(AND(O1550&lt;&gt;"",F1550&lt;&gt;"",RIGHT($N1550,6)="tarief",F1550="Vergoeding"),SUM(O1550)*FLOOR(SUM(Q1550),0.0001),AND(O1550&lt;&gt;"",F1550&lt;&gt;"",RIGHT($N1550,6)="tarief"),SUM(O1550)*FLOOR(SUM(Q1550),0.01),S1550&gt;0,IF(F1550&lt;&gt;"",FLOOR(SUM(S1550),0.01),"")),""),""),"")</f>
        <v/>
      </c>
      <c r="X1550" s="314" t="str" cm="1">
        <f t="array" aca="1" ref="X1550" ca="1">IFERROR(IF(AE1550&lt;&gt;"ja",_xlfn.IFNA(_xlfn.IFS(AND(P1550&lt;&gt;"",R1550&lt;&gt;"",RIGHT($N1550,6)="tarief",F1550="Vergoeding"),SUM(P1550)*FLOOR(SUM(R1550),0.0001),AND(P1550&lt;&gt;"",R1550&lt;&gt;"",RIGHT($N1550,6)="tarief"),P1550*FLOOR(R1550,0.01),T1550&gt;0,FLOOR(SUM(T1550),0.01)),""),""),"")</f>
        <v/>
      </c>
      <c r="Y1550" s="314" t="str">
        <f t="shared" ca="1" si="98"/>
        <v/>
      </c>
      <c r="Z1550" s="314" t="str" cm="1">
        <f t="array" aca="1" ref="Z1550" ca="1">IFERROR(_xlfn.IFS(OR(F1550="",LEFT(Methode_Keuze,4)="Geen",Methode_Keuze=""),"",AND(W1550&lt;&gt;"",F1550&lt;&gt;"Arbeidskosten"),W1550*VLOOKUP(F1550,Tb_ProjectKosten[],MATCH(Tb_ProjectKosten[[#Headers],[Forfait_Percentage]],Tb_ProjectKosten[#Headers],0),0),AND(F1550="Arbeidskosten",G1550&lt;&gt;""),IFERROR(W1550*VLOOKUP(G1550,Tb_KostenTypen[],3,0)*VLOOKUP(F1550,Tb_ProjectKosten[],MATCH(Tb_ProjectKosten[[#Headers],[Forfait_Percentage]],Tb_ProjectKosten[#Headers],0),0),""),W1550 &lt;=0,0),"")</f>
        <v/>
      </c>
      <c r="AA1550" s="314" t="str" cm="1">
        <f t="array" aca="1" ref="AA1550" ca="1">IFERROR(_xlfn.IFS(OR(F1550="",LEFT(Methode_Keuze,4)="Geen",Methode_Keuze=""),"",AND(X1550&lt;&gt;"",F1550&lt;&gt;"Arbeidskosten"),X1550*VLOOKUP(F1550,Tb_ProjectKosten[],MATCH(Tb_ProjectKosten[[#Headers],[Forfait_Percentage]],Tb_ProjectKosten[#Headers],0),0),AND(F1550="Arbeidskosten",G1550&lt;&gt;""),IFERROR(X1550*VLOOKUP(G1550,Tb_KostenTypen[],3,0)*VLOOKUP(F1550,Tb_ProjectKosten[],MATCH(Tb_ProjectKosten[[#Headers],[Forfait_Percentage]],Tb_ProjectKosten[#Headers],0),0),""),X1550 &lt;=0,0),"")</f>
        <v/>
      </c>
      <c r="AB1550" s="314" t="str">
        <f t="shared" ca="1" si="99"/>
        <v/>
      </c>
      <c r="AC1550" s="322"/>
      <c r="AD1550" s="315"/>
      <c r="AE1550" s="32" t="str" cm="1">
        <f t="array" ref="AE1550">IFERROR(IF(INDEX(SubsidieTabel!$AD$1:$AG$12,MATCH($F1550,SubsidieTabel!$AD$1:$AD$12,0),IFERROR(MATCH(Methode_Keuze,SubsidieTabel!$AD$1:$AG$1,0),2))&lt;&gt;1=TRUE,"ja",""),"")</f>
        <v/>
      </c>
    </row>
    <row r="1551" spans="1:31" x14ac:dyDescent="0.25">
      <c r="A1551" s="316"/>
      <c r="B1551" s="317" t="str">
        <f>IF(A1551&lt;&gt;"",_xlfn.MAXIFS($B$1:B1550,$A$1:A1550,A1551)+1,"")</f>
        <v/>
      </c>
      <c r="C1551" s="296"/>
      <c r="D1551" s="296"/>
      <c r="E1551" s="296"/>
      <c r="F1551" s="296"/>
      <c r="G1551" s="326"/>
      <c r="H1551" s="324"/>
      <c r="I1551" s="325"/>
      <c r="J1551" s="325"/>
      <c r="K1551" s="318"/>
      <c r="L1551" s="318"/>
      <c r="M1551" s="319" t="str">
        <f>IFERROR(VLOOKUP(H1551,Lijsten!$H$1:$I$100,2,0),"")</f>
        <v/>
      </c>
      <c r="N1551" s="319" t="str">
        <f ca="1">IFERROR(IF(VLOOKUP(F1551,Kostentypen!$A$3:$E$21,3,0)=0,"",IF(OR(F1551="Arbeidskosten",F1551="Vergoeding"),VLOOKUP(G1551,Tb_KostenTypen[],2,0),VLOOKUP(F1551,Kostentypen!$A$3:$E$20,3,0))),"")</f>
        <v/>
      </c>
      <c r="O1551" s="320" t="str" cm="1">
        <f t="array" ref="O1551">_xlfn.IFNA(IF(INDEX(Tb_KostenOptiesDB[],MATCH($F1551,Tb_KostenOptiesDB[KostenOptie],0),IFERROR(MATCH(Methode_Keuze,Tb_KostenOptiesDB[#Headers],0),2))=1,_xlfn.SWITCH($N1551,"Uurtarief",IF(OR(AND(RIGHT($F1551,3)="IKS",VLOOKUP($M1551,DB_Loonkosten,2,0)="Ja"),AND(RIGHT($F1551,3)&lt;&gt;"IKS",VLOOKUP($M1551,DB_Loonkosten,2,0)="Nee")),IFERROR(VLOOKUP($M1551,DB_Loonkosten,24,0),""),0),"Vast tarief",IF(LEFT(F1551,8)="Bijdrage",VLOOKUP($F1551,Tb_KostenTypen[],MATCH(Lijsten!$P$1,Tb_KostenTypen[#Headers],0),0),VLOOKUP($G1551,Lijsten!L:P,MATCH(Lijsten!$P$1,Kop_Tarief_Vast,0),0))),""),"")</f>
        <v/>
      </c>
      <c r="P1551" s="320" t="str" cm="1">
        <f t="array" ref="P1551">_xlfn.IFNA(IF(INDEX(Tb_KostenOptiesDB[],MATCH($F1551,Tb_KostenOptiesDB[KostenOptie],0),IFERROR(MATCH(Methode_Keuze,Tb_KostenOptiesDB[#Headers],0),2))=1,_xlfn.SWITCH($N1551,"Uurtarief",IF(OR(AND(RIGHT($F1551,3)="IKS",VLOOKUP($M1551,DB_Loonkosten,2,0)="Ja"),AND(RIGHT($F1551,3)&lt;&gt;"IKS",VLOOKUP($M1551,DB_Loonkosten,2,0)="Nee")),IFERROR(VLOOKUP($M1551,DB_Loonkosten,25,0),""),0),"Vast tarief",IF(LEFT(F1551,8)="Bijdrage",VLOOKUP($F1551,Tb_KostenTypen[],MATCH(Lijsten!$P$1,Tb_KostenTypen[#Headers],0),0),VLOOKUP($G1551,Lijsten!L:P,MATCH(Lijsten!$P$1,Kop_Tarief_Vast,0),0))),""),"")</f>
        <v/>
      </c>
      <c r="Q1551" s="359"/>
      <c r="R1551" s="359"/>
      <c r="S1551" s="321"/>
      <c r="T1551" s="321"/>
      <c r="U1551" s="373" t="str">
        <f t="shared" si="96"/>
        <v/>
      </c>
      <c r="V1551" s="314" t="str">
        <f t="shared" si="97"/>
        <v/>
      </c>
      <c r="W1551" s="314" t="str" cm="1">
        <f t="array" aca="1" ref="W1551" ca="1">IFERROR(IF(AE1551&lt;&gt;"ja",_xlfn.IFNA(_xlfn.IFS(AND(O1551&lt;&gt;"",F1551&lt;&gt;"",RIGHT($N1551,6)="tarief",F1551="Vergoeding"),SUM(O1551)*FLOOR(SUM(Q1551),0.0001),AND(O1551&lt;&gt;"",F1551&lt;&gt;"",RIGHT($N1551,6)="tarief"),SUM(O1551)*FLOOR(SUM(Q1551),0.01),S1551&gt;0,IF(F1551&lt;&gt;"",FLOOR(SUM(S1551),0.01),"")),""),""),"")</f>
        <v/>
      </c>
      <c r="X1551" s="314" t="str" cm="1">
        <f t="array" aca="1" ref="X1551" ca="1">IFERROR(IF(AE1551&lt;&gt;"ja",_xlfn.IFNA(_xlfn.IFS(AND(P1551&lt;&gt;"",R1551&lt;&gt;"",RIGHT($N1551,6)="tarief",F1551="Vergoeding"),SUM(P1551)*FLOOR(SUM(R1551),0.0001),AND(P1551&lt;&gt;"",R1551&lt;&gt;"",RIGHT($N1551,6)="tarief"),P1551*FLOOR(R1551,0.01),T1551&gt;0,FLOOR(SUM(T1551),0.01)),""),""),"")</f>
        <v/>
      </c>
      <c r="Y1551" s="314" t="str">
        <f t="shared" ca="1" si="98"/>
        <v/>
      </c>
      <c r="Z1551" s="314" t="str" cm="1">
        <f t="array" aca="1" ref="Z1551" ca="1">IFERROR(_xlfn.IFS(OR(F1551="",LEFT(Methode_Keuze,4)="Geen",Methode_Keuze=""),"",AND(W1551&lt;&gt;"",F1551&lt;&gt;"Arbeidskosten"),W1551*VLOOKUP(F1551,Tb_ProjectKosten[],MATCH(Tb_ProjectKosten[[#Headers],[Forfait_Percentage]],Tb_ProjectKosten[#Headers],0),0),AND(F1551="Arbeidskosten",G1551&lt;&gt;""),IFERROR(W1551*VLOOKUP(G1551,Tb_KostenTypen[],3,0)*VLOOKUP(F1551,Tb_ProjectKosten[],MATCH(Tb_ProjectKosten[[#Headers],[Forfait_Percentage]],Tb_ProjectKosten[#Headers],0),0),""),W1551 &lt;=0,0),"")</f>
        <v/>
      </c>
      <c r="AA1551" s="314" t="str" cm="1">
        <f t="array" aca="1" ref="AA1551" ca="1">IFERROR(_xlfn.IFS(OR(F1551="",LEFT(Methode_Keuze,4)="Geen",Methode_Keuze=""),"",AND(X1551&lt;&gt;"",F1551&lt;&gt;"Arbeidskosten"),X1551*VLOOKUP(F1551,Tb_ProjectKosten[],MATCH(Tb_ProjectKosten[[#Headers],[Forfait_Percentage]],Tb_ProjectKosten[#Headers],0),0),AND(F1551="Arbeidskosten",G1551&lt;&gt;""),IFERROR(X1551*VLOOKUP(G1551,Tb_KostenTypen[],3,0)*VLOOKUP(F1551,Tb_ProjectKosten[],MATCH(Tb_ProjectKosten[[#Headers],[Forfait_Percentage]],Tb_ProjectKosten[#Headers],0),0),""),X1551 &lt;=0,0),"")</f>
        <v/>
      </c>
      <c r="AB1551" s="314" t="str">
        <f t="shared" ca="1" si="99"/>
        <v/>
      </c>
      <c r="AC1551" s="322"/>
      <c r="AD1551" s="315"/>
      <c r="AE1551" s="32" t="str" cm="1">
        <f t="array" ref="AE1551">IFERROR(IF(INDEX(SubsidieTabel!$AD$1:$AG$12,MATCH($F1551,SubsidieTabel!$AD$1:$AD$12,0),IFERROR(MATCH(Methode_Keuze,SubsidieTabel!$AD$1:$AG$1,0),2))&lt;&gt;1=TRUE,"ja",""),"")</f>
        <v/>
      </c>
    </row>
    <row r="1552" spans="1:31" x14ac:dyDescent="0.25">
      <c r="A1552" s="316"/>
      <c r="B1552" s="317" t="str">
        <f>IF(A1552&lt;&gt;"",_xlfn.MAXIFS($B$1:B1551,$A$1:A1551,A1552)+1,"")</f>
        <v/>
      </c>
      <c r="C1552" s="296"/>
      <c r="D1552" s="296"/>
      <c r="E1552" s="296"/>
      <c r="F1552" s="296"/>
      <c r="G1552" s="326"/>
      <c r="H1552" s="324"/>
      <c r="I1552" s="325"/>
      <c r="J1552" s="325"/>
      <c r="K1552" s="318"/>
      <c r="L1552" s="318"/>
      <c r="M1552" s="319" t="str">
        <f>IFERROR(VLOOKUP(H1552,Lijsten!$H$1:$I$100,2,0),"")</f>
        <v/>
      </c>
      <c r="N1552" s="319" t="str">
        <f ca="1">IFERROR(IF(VLOOKUP(F1552,Kostentypen!$A$3:$E$21,3,0)=0,"",IF(OR(F1552="Arbeidskosten",F1552="Vergoeding"),VLOOKUP(G1552,Tb_KostenTypen[],2,0),VLOOKUP(F1552,Kostentypen!$A$3:$E$20,3,0))),"")</f>
        <v/>
      </c>
      <c r="O1552" s="320" t="str" cm="1">
        <f t="array" ref="O1552">_xlfn.IFNA(IF(INDEX(Tb_KostenOptiesDB[],MATCH($F1552,Tb_KostenOptiesDB[KostenOptie],0),IFERROR(MATCH(Methode_Keuze,Tb_KostenOptiesDB[#Headers],0),2))=1,_xlfn.SWITCH($N1552,"Uurtarief",IF(OR(AND(RIGHT($F1552,3)="IKS",VLOOKUP($M1552,DB_Loonkosten,2,0)="Ja"),AND(RIGHT($F1552,3)&lt;&gt;"IKS",VLOOKUP($M1552,DB_Loonkosten,2,0)="Nee")),IFERROR(VLOOKUP($M1552,DB_Loonkosten,24,0),""),0),"Vast tarief",IF(LEFT(F1552,8)="Bijdrage",VLOOKUP($F1552,Tb_KostenTypen[],MATCH(Lijsten!$P$1,Tb_KostenTypen[#Headers],0),0),VLOOKUP($G1552,Lijsten!L:P,MATCH(Lijsten!$P$1,Kop_Tarief_Vast,0),0))),""),"")</f>
        <v/>
      </c>
      <c r="P1552" s="320" t="str" cm="1">
        <f t="array" ref="P1552">_xlfn.IFNA(IF(INDEX(Tb_KostenOptiesDB[],MATCH($F1552,Tb_KostenOptiesDB[KostenOptie],0),IFERROR(MATCH(Methode_Keuze,Tb_KostenOptiesDB[#Headers],0),2))=1,_xlfn.SWITCH($N1552,"Uurtarief",IF(OR(AND(RIGHT($F1552,3)="IKS",VLOOKUP($M1552,DB_Loonkosten,2,0)="Ja"),AND(RIGHT($F1552,3)&lt;&gt;"IKS",VLOOKUP($M1552,DB_Loonkosten,2,0)="Nee")),IFERROR(VLOOKUP($M1552,DB_Loonkosten,25,0),""),0),"Vast tarief",IF(LEFT(F1552,8)="Bijdrage",VLOOKUP($F1552,Tb_KostenTypen[],MATCH(Lijsten!$P$1,Tb_KostenTypen[#Headers],0),0),VLOOKUP($G1552,Lijsten!L:P,MATCH(Lijsten!$P$1,Kop_Tarief_Vast,0),0))),""),"")</f>
        <v/>
      </c>
      <c r="Q1552" s="359"/>
      <c r="R1552" s="359"/>
      <c r="S1552" s="321"/>
      <c r="T1552" s="321"/>
      <c r="U1552" s="373" t="str">
        <f t="shared" si="96"/>
        <v/>
      </c>
      <c r="V1552" s="314" t="str">
        <f t="shared" si="97"/>
        <v/>
      </c>
      <c r="W1552" s="314" t="str" cm="1">
        <f t="array" aca="1" ref="W1552" ca="1">IFERROR(IF(AE1552&lt;&gt;"ja",_xlfn.IFNA(_xlfn.IFS(AND(O1552&lt;&gt;"",F1552&lt;&gt;"",RIGHT($N1552,6)="tarief",F1552="Vergoeding"),SUM(O1552)*FLOOR(SUM(Q1552),0.0001),AND(O1552&lt;&gt;"",F1552&lt;&gt;"",RIGHT($N1552,6)="tarief"),SUM(O1552)*FLOOR(SUM(Q1552),0.01),S1552&gt;0,IF(F1552&lt;&gt;"",FLOOR(SUM(S1552),0.01),"")),""),""),"")</f>
        <v/>
      </c>
      <c r="X1552" s="314" t="str" cm="1">
        <f t="array" aca="1" ref="X1552" ca="1">IFERROR(IF(AE1552&lt;&gt;"ja",_xlfn.IFNA(_xlfn.IFS(AND(P1552&lt;&gt;"",R1552&lt;&gt;"",RIGHT($N1552,6)="tarief",F1552="Vergoeding"),SUM(P1552)*FLOOR(SUM(R1552),0.0001),AND(P1552&lt;&gt;"",R1552&lt;&gt;"",RIGHT($N1552,6)="tarief"),P1552*FLOOR(R1552,0.01),T1552&gt;0,FLOOR(SUM(T1552),0.01)),""),""),"")</f>
        <v/>
      </c>
      <c r="Y1552" s="314" t="str">
        <f t="shared" ca="1" si="98"/>
        <v/>
      </c>
      <c r="Z1552" s="314" t="str" cm="1">
        <f t="array" aca="1" ref="Z1552" ca="1">IFERROR(_xlfn.IFS(OR(F1552="",LEFT(Methode_Keuze,4)="Geen",Methode_Keuze=""),"",AND(W1552&lt;&gt;"",F1552&lt;&gt;"Arbeidskosten"),W1552*VLOOKUP(F1552,Tb_ProjectKosten[],MATCH(Tb_ProjectKosten[[#Headers],[Forfait_Percentage]],Tb_ProjectKosten[#Headers],0),0),AND(F1552="Arbeidskosten",G1552&lt;&gt;""),IFERROR(W1552*VLOOKUP(G1552,Tb_KostenTypen[],3,0)*VLOOKUP(F1552,Tb_ProjectKosten[],MATCH(Tb_ProjectKosten[[#Headers],[Forfait_Percentage]],Tb_ProjectKosten[#Headers],0),0),""),W1552 &lt;=0,0),"")</f>
        <v/>
      </c>
      <c r="AA1552" s="314" t="str" cm="1">
        <f t="array" aca="1" ref="AA1552" ca="1">IFERROR(_xlfn.IFS(OR(F1552="",LEFT(Methode_Keuze,4)="Geen",Methode_Keuze=""),"",AND(X1552&lt;&gt;"",F1552&lt;&gt;"Arbeidskosten"),X1552*VLOOKUP(F1552,Tb_ProjectKosten[],MATCH(Tb_ProjectKosten[[#Headers],[Forfait_Percentage]],Tb_ProjectKosten[#Headers],0),0),AND(F1552="Arbeidskosten",G1552&lt;&gt;""),IFERROR(X1552*VLOOKUP(G1552,Tb_KostenTypen[],3,0)*VLOOKUP(F1552,Tb_ProjectKosten[],MATCH(Tb_ProjectKosten[[#Headers],[Forfait_Percentage]],Tb_ProjectKosten[#Headers],0),0),""),X1552 &lt;=0,0),"")</f>
        <v/>
      </c>
      <c r="AB1552" s="314" t="str">
        <f t="shared" ca="1" si="99"/>
        <v/>
      </c>
      <c r="AC1552" s="322"/>
      <c r="AD1552" s="315"/>
      <c r="AE1552" s="32" t="str" cm="1">
        <f t="array" ref="AE1552">IFERROR(IF(INDEX(SubsidieTabel!$AD$1:$AG$12,MATCH($F1552,SubsidieTabel!$AD$1:$AD$12,0),IFERROR(MATCH(Methode_Keuze,SubsidieTabel!$AD$1:$AG$1,0),2))&lt;&gt;1=TRUE,"ja",""),"")</f>
        <v/>
      </c>
    </row>
    <row r="1553" spans="1:31" x14ac:dyDescent="0.25">
      <c r="A1553" s="316"/>
      <c r="B1553" s="317" t="str">
        <f>IF(A1553&lt;&gt;"",_xlfn.MAXIFS($B$1:B1552,$A$1:A1552,A1553)+1,"")</f>
        <v/>
      </c>
      <c r="C1553" s="296"/>
      <c r="D1553" s="296"/>
      <c r="E1553" s="296"/>
      <c r="F1553" s="296"/>
      <c r="G1553" s="326"/>
      <c r="H1553" s="324"/>
      <c r="I1553" s="325"/>
      <c r="J1553" s="325"/>
      <c r="K1553" s="318"/>
      <c r="L1553" s="318"/>
      <c r="M1553" s="319" t="str">
        <f>IFERROR(VLOOKUP(H1553,Lijsten!$H$1:$I$100,2,0),"")</f>
        <v/>
      </c>
      <c r="N1553" s="319" t="str">
        <f ca="1">IFERROR(IF(VLOOKUP(F1553,Kostentypen!$A$3:$E$21,3,0)=0,"",IF(OR(F1553="Arbeidskosten",F1553="Vergoeding"),VLOOKUP(G1553,Tb_KostenTypen[],2,0),VLOOKUP(F1553,Kostentypen!$A$3:$E$20,3,0))),"")</f>
        <v/>
      </c>
      <c r="O1553" s="320" t="str" cm="1">
        <f t="array" ref="O1553">_xlfn.IFNA(IF(INDEX(Tb_KostenOptiesDB[],MATCH($F1553,Tb_KostenOptiesDB[KostenOptie],0),IFERROR(MATCH(Methode_Keuze,Tb_KostenOptiesDB[#Headers],0),2))=1,_xlfn.SWITCH($N1553,"Uurtarief",IF(OR(AND(RIGHT($F1553,3)="IKS",VLOOKUP($M1553,DB_Loonkosten,2,0)="Ja"),AND(RIGHT($F1553,3)&lt;&gt;"IKS",VLOOKUP($M1553,DB_Loonkosten,2,0)="Nee")),IFERROR(VLOOKUP($M1553,DB_Loonkosten,24,0),""),0),"Vast tarief",IF(LEFT(F1553,8)="Bijdrage",VLOOKUP($F1553,Tb_KostenTypen[],MATCH(Lijsten!$P$1,Tb_KostenTypen[#Headers],0),0),VLOOKUP($G1553,Lijsten!L:P,MATCH(Lijsten!$P$1,Kop_Tarief_Vast,0),0))),""),"")</f>
        <v/>
      </c>
      <c r="P1553" s="320" t="str" cm="1">
        <f t="array" ref="P1553">_xlfn.IFNA(IF(INDEX(Tb_KostenOptiesDB[],MATCH($F1553,Tb_KostenOptiesDB[KostenOptie],0),IFERROR(MATCH(Methode_Keuze,Tb_KostenOptiesDB[#Headers],0),2))=1,_xlfn.SWITCH($N1553,"Uurtarief",IF(OR(AND(RIGHT($F1553,3)="IKS",VLOOKUP($M1553,DB_Loonkosten,2,0)="Ja"),AND(RIGHT($F1553,3)&lt;&gt;"IKS",VLOOKUP($M1553,DB_Loonkosten,2,0)="Nee")),IFERROR(VLOOKUP($M1553,DB_Loonkosten,25,0),""),0),"Vast tarief",IF(LEFT(F1553,8)="Bijdrage",VLOOKUP($F1553,Tb_KostenTypen[],MATCH(Lijsten!$P$1,Tb_KostenTypen[#Headers],0),0),VLOOKUP($G1553,Lijsten!L:P,MATCH(Lijsten!$P$1,Kop_Tarief_Vast,0),0))),""),"")</f>
        <v/>
      </c>
      <c r="Q1553" s="359"/>
      <c r="R1553" s="359"/>
      <c r="S1553" s="321"/>
      <c r="T1553" s="321"/>
      <c r="U1553" s="373" t="str">
        <f t="shared" si="96"/>
        <v/>
      </c>
      <c r="V1553" s="314" t="str">
        <f t="shared" si="97"/>
        <v/>
      </c>
      <c r="W1553" s="314" t="str" cm="1">
        <f t="array" aca="1" ref="W1553" ca="1">IFERROR(IF(AE1553&lt;&gt;"ja",_xlfn.IFNA(_xlfn.IFS(AND(O1553&lt;&gt;"",F1553&lt;&gt;"",RIGHT($N1553,6)="tarief",F1553="Vergoeding"),SUM(O1553)*FLOOR(SUM(Q1553),0.0001),AND(O1553&lt;&gt;"",F1553&lt;&gt;"",RIGHT($N1553,6)="tarief"),SUM(O1553)*FLOOR(SUM(Q1553),0.01),S1553&gt;0,IF(F1553&lt;&gt;"",FLOOR(SUM(S1553),0.01),"")),""),""),"")</f>
        <v/>
      </c>
      <c r="X1553" s="314" t="str" cm="1">
        <f t="array" aca="1" ref="X1553" ca="1">IFERROR(IF(AE1553&lt;&gt;"ja",_xlfn.IFNA(_xlfn.IFS(AND(P1553&lt;&gt;"",R1553&lt;&gt;"",RIGHT($N1553,6)="tarief",F1553="Vergoeding"),SUM(P1553)*FLOOR(SUM(R1553),0.0001),AND(P1553&lt;&gt;"",R1553&lt;&gt;"",RIGHT($N1553,6)="tarief"),P1553*FLOOR(R1553,0.01),T1553&gt;0,FLOOR(SUM(T1553),0.01)),""),""),"")</f>
        <v/>
      </c>
      <c r="Y1553" s="314" t="str">
        <f t="shared" ca="1" si="98"/>
        <v/>
      </c>
      <c r="Z1553" s="314" t="str" cm="1">
        <f t="array" aca="1" ref="Z1553" ca="1">IFERROR(_xlfn.IFS(OR(F1553="",LEFT(Methode_Keuze,4)="Geen",Methode_Keuze=""),"",AND(W1553&lt;&gt;"",F1553&lt;&gt;"Arbeidskosten"),W1553*VLOOKUP(F1553,Tb_ProjectKosten[],MATCH(Tb_ProjectKosten[[#Headers],[Forfait_Percentage]],Tb_ProjectKosten[#Headers],0),0),AND(F1553="Arbeidskosten",G1553&lt;&gt;""),IFERROR(W1553*VLOOKUP(G1553,Tb_KostenTypen[],3,0)*VLOOKUP(F1553,Tb_ProjectKosten[],MATCH(Tb_ProjectKosten[[#Headers],[Forfait_Percentage]],Tb_ProjectKosten[#Headers],0),0),""),W1553 &lt;=0,0),"")</f>
        <v/>
      </c>
      <c r="AA1553" s="314" t="str" cm="1">
        <f t="array" aca="1" ref="AA1553" ca="1">IFERROR(_xlfn.IFS(OR(F1553="",LEFT(Methode_Keuze,4)="Geen",Methode_Keuze=""),"",AND(X1553&lt;&gt;"",F1553&lt;&gt;"Arbeidskosten"),X1553*VLOOKUP(F1553,Tb_ProjectKosten[],MATCH(Tb_ProjectKosten[[#Headers],[Forfait_Percentage]],Tb_ProjectKosten[#Headers],0),0),AND(F1553="Arbeidskosten",G1553&lt;&gt;""),IFERROR(X1553*VLOOKUP(G1553,Tb_KostenTypen[],3,0)*VLOOKUP(F1553,Tb_ProjectKosten[],MATCH(Tb_ProjectKosten[[#Headers],[Forfait_Percentage]],Tb_ProjectKosten[#Headers],0),0),""),X1553 &lt;=0,0),"")</f>
        <v/>
      </c>
      <c r="AB1553" s="314" t="str">
        <f t="shared" ca="1" si="99"/>
        <v/>
      </c>
      <c r="AC1553" s="322"/>
      <c r="AD1553" s="315"/>
      <c r="AE1553" s="32" t="str" cm="1">
        <f t="array" ref="AE1553">IFERROR(IF(INDEX(SubsidieTabel!$AD$1:$AG$12,MATCH($F1553,SubsidieTabel!$AD$1:$AD$12,0),IFERROR(MATCH(Methode_Keuze,SubsidieTabel!$AD$1:$AG$1,0),2))&lt;&gt;1=TRUE,"ja",""),"")</f>
        <v/>
      </c>
    </row>
    <row r="1554" spans="1:31" x14ac:dyDescent="0.25">
      <c r="A1554" s="316"/>
      <c r="B1554" s="317" t="str">
        <f>IF(A1554&lt;&gt;"",_xlfn.MAXIFS($B$1:B1553,$A$1:A1553,A1554)+1,"")</f>
        <v/>
      </c>
      <c r="C1554" s="296"/>
      <c r="D1554" s="296"/>
      <c r="E1554" s="296"/>
      <c r="F1554" s="296"/>
      <c r="G1554" s="326"/>
      <c r="H1554" s="324"/>
      <c r="I1554" s="325"/>
      <c r="J1554" s="325"/>
      <c r="K1554" s="318"/>
      <c r="L1554" s="318"/>
      <c r="M1554" s="319" t="str">
        <f>IFERROR(VLOOKUP(H1554,Lijsten!$H$1:$I$100,2,0),"")</f>
        <v/>
      </c>
      <c r="N1554" s="319" t="str">
        <f ca="1">IFERROR(IF(VLOOKUP(F1554,Kostentypen!$A$3:$E$21,3,0)=0,"",IF(OR(F1554="Arbeidskosten",F1554="Vergoeding"),VLOOKUP(G1554,Tb_KostenTypen[],2,0),VLOOKUP(F1554,Kostentypen!$A$3:$E$20,3,0))),"")</f>
        <v/>
      </c>
      <c r="O1554" s="320" t="str" cm="1">
        <f t="array" ref="O1554">_xlfn.IFNA(IF(INDEX(Tb_KostenOptiesDB[],MATCH($F1554,Tb_KostenOptiesDB[KostenOptie],0),IFERROR(MATCH(Methode_Keuze,Tb_KostenOptiesDB[#Headers],0),2))=1,_xlfn.SWITCH($N1554,"Uurtarief",IF(OR(AND(RIGHT($F1554,3)="IKS",VLOOKUP($M1554,DB_Loonkosten,2,0)="Ja"),AND(RIGHT($F1554,3)&lt;&gt;"IKS",VLOOKUP($M1554,DB_Loonkosten,2,0)="Nee")),IFERROR(VLOOKUP($M1554,DB_Loonkosten,24,0),""),0),"Vast tarief",IF(LEFT(F1554,8)="Bijdrage",VLOOKUP($F1554,Tb_KostenTypen[],MATCH(Lijsten!$P$1,Tb_KostenTypen[#Headers],0),0),VLOOKUP($G1554,Lijsten!L:P,MATCH(Lijsten!$P$1,Kop_Tarief_Vast,0),0))),""),"")</f>
        <v/>
      </c>
      <c r="P1554" s="320" t="str" cm="1">
        <f t="array" ref="P1554">_xlfn.IFNA(IF(INDEX(Tb_KostenOptiesDB[],MATCH($F1554,Tb_KostenOptiesDB[KostenOptie],0),IFERROR(MATCH(Methode_Keuze,Tb_KostenOptiesDB[#Headers],0),2))=1,_xlfn.SWITCH($N1554,"Uurtarief",IF(OR(AND(RIGHT($F1554,3)="IKS",VLOOKUP($M1554,DB_Loonkosten,2,0)="Ja"),AND(RIGHT($F1554,3)&lt;&gt;"IKS",VLOOKUP($M1554,DB_Loonkosten,2,0)="Nee")),IFERROR(VLOOKUP($M1554,DB_Loonkosten,25,0),""),0),"Vast tarief",IF(LEFT(F1554,8)="Bijdrage",VLOOKUP($F1554,Tb_KostenTypen[],MATCH(Lijsten!$P$1,Tb_KostenTypen[#Headers],0),0),VLOOKUP($G1554,Lijsten!L:P,MATCH(Lijsten!$P$1,Kop_Tarief_Vast,0),0))),""),"")</f>
        <v/>
      </c>
      <c r="Q1554" s="359"/>
      <c r="R1554" s="359"/>
      <c r="S1554" s="321"/>
      <c r="T1554" s="321"/>
      <c r="U1554" s="373" t="str">
        <f t="shared" si="96"/>
        <v/>
      </c>
      <c r="V1554" s="314" t="str">
        <f t="shared" si="97"/>
        <v/>
      </c>
      <c r="W1554" s="314" t="str" cm="1">
        <f t="array" aca="1" ref="W1554" ca="1">IFERROR(IF(AE1554&lt;&gt;"ja",_xlfn.IFNA(_xlfn.IFS(AND(O1554&lt;&gt;"",F1554&lt;&gt;"",RIGHT($N1554,6)="tarief",F1554="Vergoeding"),SUM(O1554)*FLOOR(SUM(Q1554),0.0001),AND(O1554&lt;&gt;"",F1554&lt;&gt;"",RIGHT($N1554,6)="tarief"),SUM(O1554)*FLOOR(SUM(Q1554),0.01),S1554&gt;0,IF(F1554&lt;&gt;"",FLOOR(SUM(S1554),0.01),"")),""),""),"")</f>
        <v/>
      </c>
      <c r="X1554" s="314" t="str" cm="1">
        <f t="array" aca="1" ref="X1554" ca="1">IFERROR(IF(AE1554&lt;&gt;"ja",_xlfn.IFNA(_xlfn.IFS(AND(P1554&lt;&gt;"",R1554&lt;&gt;"",RIGHT($N1554,6)="tarief",F1554="Vergoeding"),SUM(P1554)*FLOOR(SUM(R1554),0.0001),AND(P1554&lt;&gt;"",R1554&lt;&gt;"",RIGHT($N1554,6)="tarief"),P1554*FLOOR(R1554,0.01),T1554&gt;0,FLOOR(SUM(T1554),0.01)),""),""),"")</f>
        <v/>
      </c>
      <c r="Y1554" s="314" t="str">
        <f t="shared" ca="1" si="98"/>
        <v/>
      </c>
      <c r="Z1554" s="314" t="str" cm="1">
        <f t="array" aca="1" ref="Z1554" ca="1">IFERROR(_xlfn.IFS(OR(F1554="",LEFT(Methode_Keuze,4)="Geen",Methode_Keuze=""),"",AND(W1554&lt;&gt;"",F1554&lt;&gt;"Arbeidskosten"),W1554*VLOOKUP(F1554,Tb_ProjectKosten[],MATCH(Tb_ProjectKosten[[#Headers],[Forfait_Percentage]],Tb_ProjectKosten[#Headers],0),0),AND(F1554="Arbeidskosten",G1554&lt;&gt;""),IFERROR(W1554*VLOOKUP(G1554,Tb_KostenTypen[],3,0)*VLOOKUP(F1554,Tb_ProjectKosten[],MATCH(Tb_ProjectKosten[[#Headers],[Forfait_Percentage]],Tb_ProjectKosten[#Headers],0),0),""),W1554 &lt;=0,0),"")</f>
        <v/>
      </c>
      <c r="AA1554" s="314" t="str" cm="1">
        <f t="array" aca="1" ref="AA1554" ca="1">IFERROR(_xlfn.IFS(OR(F1554="",LEFT(Methode_Keuze,4)="Geen",Methode_Keuze=""),"",AND(X1554&lt;&gt;"",F1554&lt;&gt;"Arbeidskosten"),X1554*VLOOKUP(F1554,Tb_ProjectKosten[],MATCH(Tb_ProjectKosten[[#Headers],[Forfait_Percentage]],Tb_ProjectKosten[#Headers],0),0),AND(F1554="Arbeidskosten",G1554&lt;&gt;""),IFERROR(X1554*VLOOKUP(G1554,Tb_KostenTypen[],3,0)*VLOOKUP(F1554,Tb_ProjectKosten[],MATCH(Tb_ProjectKosten[[#Headers],[Forfait_Percentage]],Tb_ProjectKosten[#Headers],0),0),""),X1554 &lt;=0,0),"")</f>
        <v/>
      </c>
      <c r="AB1554" s="314" t="str">
        <f t="shared" ca="1" si="99"/>
        <v/>
      </c>
      <c r="AC1554" s="322"/>
      <c r="AD1554" s="315"/>
      <c r="AE1554" s="32" t="str" cm="1">
        <f t="array" ref="AE1554">IFERROR(IF(INDEX(SubsidieTabel!$AD$1:$AG$12,MATCH($F1554,SubsidieTabel!$AD$1:$AD$12,0),IFERROR(MATCH(Methode_Keuze,SubsidieTabel!$AD$1:$AG$1,0),2))&lt;&gt;1=TRUE,"ja",""),"")</f>
        <v/>
      </c>
    </row>
    <row r="1555" spans="1:31" x14ac:dyDescent="0.25">
      <c r="A1555" s="316"/>
      <c r="B1555" s="317" t="str">
        <f>IF(A1555&lt;&gt;"",_xlfn.MAXIFS($B$1:B1554,$A$1:A1554,A1555)+1,"")</f>
        <v/>
      </c>
      <c r="C1555" s="296"/>
      <c r="D1555" s="296"/>
      <c r="E1555" s="296"/>
      <c r="F1555" s="296"/>
      <c r="G1555" s="326"/>
      <c r="H1555" s="324"/>
      <c r="I1555" s="325"/>
      <c r="J1555" s="325"/>
      <c r="K1555" s="318"/>
      <c r="L1555" s="318"/>
      <c r="M1555" s="319" t="str">
        <f>IFERROR(VLOOKUP(H1555,Lijsten!$H$1:$I$100,2,0),"")</f>
        <v/>
      </c>
      <c r="N1555" s="319" t="str">
        <f ca="1">IFERROR(IF(VLOOKUP(F1555,Kostentypen!$A$3:$E$21,3,0)=0,"",IF(OR(F1555="Arbeidskosten",F1555="Vergoeding"),VLOOKUP(G1555,Tb_KostenTypen[],2,0),VLOOKUP(F1555,Kostentypen!$A$3:$E$20,3,0))),"")</f>
        <v/>
      </c>
      <c r="O1555" s="320" t="str" cm="1">
        <f t="array" ref="O1555">_xlfn.IFNA(IF(INDEX(Tb_KostenOptiesDB[],MATCH($F1555,Tb_KostenOptiesDB[KostenOptie],0),IFERROR(MATCH(Methode_Keuze,Tb_KostenOptiesDB[#Headers],0),2))=1,_xlfn.SWITCH($N1555,"Uurtarief",IF(OR(AND(RIGHT($F1555,3)="IKS",VLOOKUP($M1555,DB_Loonkosten,2,0)="Ja"),AND(RIGHT($F1555,3)&lt;&gt;"IKS",VLOOKUP($M1555,DB_Loonkosten,2,0)="Nee")),IFERROR(VLOOKUP($M1555,DB_Loonkosten,24,0),""),0),"Vast tarief",IF(LEFT(F1555,8)="Bijdrage",VLOOKUP($F1555,Tb_KostenTypen[],MATCH(Lijsten!$P$1,Tb_KostenTypen[#Headers],0),0),VLOOKUP($G1555,Lijsten!L:P,MATCH(Lijsten!$P$1,Kop_Tarief_Vast,0),0))),""),"")</f>
        <v/>
      </c>
      <c r="P1555" s="320" t="str" cm="1">
        <f t="array" ref="P1555">_xlfn.IFNA(IF(INDEX(Tb_KostenOptiesDB[],MATCH($F1555,Tb_KostenOptiesDB[KostenOptie],0),IFERROR(MATCH(Methode_Keuze,Tb_KostenOptiesDB[#Headers],0),2))=1,_xlfn.SWITCH($N1555,"Uurtarief",IF(OR(AND(RIGHT($F1555,3)="IKS",VLOOKUP($M1555,DB_Loonkosten,2,0)="Ja"),AND(RIGHT($F1555,3)&lt;&gt;"IKS",VLOOKUP($M1555,DB_Loonkosten,2,0)="Nee")),IFERROR(VLOOKUP($M1555,DB_Loonkosten,25,0),""),0),"Vast tarief",IF(LEFT(F1555,8)="Bijdrage",VLOOKUP($F1555,Tb_KostenTypen[],MATCH(Lijsten!$P$1,Tb_KostenTypen[#Headers],0),0),VLOOKUP($G1555,Lijsten!L:P,MATCH(Lijsten!$P$1,Kop_Tarief_Vast,0),0))),""),"")</f>
        <v/>
      </c>
      <c r="Q1555" s="359"/>
      <c r="R1555" s="359"/>
      <c r="S1555" s="321"/>
      <c r="T1555" s="321"/>
      <c r="U1555" s="373" t="str">
        <f t="shared" si="96"/>
        <v/>
      </c>
      <c r="V1555" s="314" t="str">
        <f t="shared" si="97"/>
        <v/>
      </c>
      <c r="W1555" s="314" t="str" cm="1">
        <f t="array" aca="1" ref="W1555" ca="1">IFERROR(IF(AE1555&lt;&gt;"ja",_xlfn.IFNA(_xlfn.IFS(AND(O1555&lt;&gt;"",F1555&lt;&gt;"",RIGHT($N1555,6)="tarief",F1555="Vergoeding"),SUM(O1555)*FLOOR(SUM(Q1555),0.0001),AND(O1555&lt;&gt;"",F1555&lt;&gt;"",RIGHT($N1555,6)="tarief"),SUM(O1555)*FLOOR(SUM(Q1555),0.01),S1555&gt;0,IF(F1555&lt;&gt;"",FLOOR(SUM(S1555),0.01),"")),""),""),"")</f>
        <v/>
      </c>
      <c r="X1555" s="314" t="str" cm="1">
        <f t="array" aca="1" ref="X1555" ca="1">IFERROR(IF(AE1555&lt;&gt;"ja",_xlfn.IFNA(_xlfn.IFS(AND(P1555&lt;&gt;"",R1555&lt;&gt;"",RIGHT($N1555,6)="tarief",F1555="Vergoeding"),SUM(P1555)*FLOOR(SUM(R1555),0.0001),AND(P1555&lt;&gt;"",R1555&lt;&gt;"",RIGHT($N1555,6)="tarief"),P1555*FLOOR(R1555,0.01),T1555&gt;0,FLOOR(SUM(T1555),0.01)),""),""),"")</f>
        <v/>
      </c>
      <c r="Y1555" s="314" t="str">
        <f t="shared" ca="1" si="98"/>
        <v/>
      </c>
      <c r="Z1555" s="314" t="str" cm="1">
        <f t="array" aca="1" ref="Z1555" ca="1">IFERROR(_xlfn.IFS(OR(F1555="",LEFT(Methode_Keuze,4)="Geen",Methode_Keuze=""),"",AND(W1555&lt;&gt;"",F1555&lt;&gt;"Arbeidskosten"),W1555*VLOOKUP(F1555,Tb_ProjectKosten[],MATCH(Tb_ProjectKosten[[#Headers],[Forfait_Percentage]],Tb_ProjectKosten[#Headers],0),0),AND(F1555="Arbeidskosten",G1555&lt;&gt;""),IFERROR(W1555*VLOOKUP(G1555,Tb_KostenTypen[],3,0)*VLOOKUP(F1555,Tb_ProjectKosten[],MATCH(Tb_ProjectKosten[[#Headers],[Forfait_Percentage]],Tb_ProjectKosten[#Headers],0),0),""),W1555 &lt;=0,0),"")</f>
        <v/>
      </c>
      <c r="AA1555" s="314" t="str" cm="1">
        <f t="array" aca="1" ref="AA1555" ca="1">IFERROR(_xlfn.IFS(OR(F1555="",LEFT(Methode_Keuze,4)="Geen",Methode_Keuze=""),"",AND(X1555&lt;&gt;"",F1555&lt;&gt;"Arbeidskosten"),X1555*VLOOKUP(F1555,Tb_ProjectKosten[],MATCH(Tb_ProjectKosten[[#Headers],[Forfait_Percentage]],Tb_ProjectKosten[#Headers],0),0),AND(F1555="Arbeidskosten",G1555&lt;&gt;""),IFERROR(X1555*VLOOKUP(G1555,Tb_KostenTypen[],3,0)*VLOOKUP(F1555,Tb_ProjectKosten[],MATCH(Tb_ProjectKosten[[#Headers],[Forfait_Percentage]],Tb_ProjectKosten[#Headers],0),0),""),X1555 &lt;=0,0),"")</f>
        <v/>
      </c>
      <c r="AB1555" s="314" t="str">
        <f t="shared" ca="1" si="99"/>
        <v/>
      </c>
      <c r="AC1555" s="322"/>
      <c r="AD1555" s="315"/>
      <c r="AE1555" s="32" t="str" cm="1">
        <f t="array" ref="AE1555">IFERROR(IF(INDEX(SubsidieTabel!$AD$1:$AG$12,MATCH($F1555,SubsidieTabel!$AD$1:$AD$12,0),IFERROR(MATCH(Methode_Keuze,SubsidieTabel!$AD$1:$AG$1,0),2))&lt;&gt;1=TRUE,"ja",""),"")</f>
        <v/>
      </c>
    </row>
    <row r="1556" spans="1:31" x14ac:dyDescent="0.25">
      <c r="A1556" s="316"/>
      <c r="B1556" s="317" t="str">
        <f>IF(A1556&lt;&gt;"",_xlfn.MAXIFS($B$1:B1555,$A$1:A1555,A1556)+1,"")</f>
        <v/>
      </c>
      <c r="C1556" s="296"/>
      <c r="D1556" s="296"/>
      <c r="E1556" s="296"/>
      <c r="F1556" s="296"/>
      <c r="G1556" s="326"/>
      <c r="H1556" s="324"/>
      <c r="I1556" s="325"/>
      <c r="J1556" s="325"/>
      <c r="K1556" s="318"/>
      <c r="L1556" s="318"/>
      <c r="M1556" s="319" t="str">
        <f>IFERROR(VLOOKUP(H1556,Lijsten!$H$1:$I$100,2,0),"")</f>
        <v/>
      </c>
      <c r="N1556" s="319" t="str">
        <f ca="1">IFERROR(IF(VLOOKUP(F1556,Kostentypen!$A$3:$E$21,3,0)=0,"",IF(OR(F1556="Arbeidskosten",F1556="Vergoeding"),VLOOKUP(G1556,Tb_KostenTypen[],2,0),VLOOKUP(F1556,Kostentypen!$A$3:$E$20,3,0))),"")</f>
        <v/>
      </c>
      <c r="O1556" s="320" t="str" cm="1">
        <f t="array" ref="O1556">_xlfn.IFNA(IF(INDEX(Tb_KostenOptiesDB[],MATCH($F1556,Tb_KostenOptiesDB[KostenOptie],0),IFERROR(MATCH(Methode_Keuze,Tb_KostenOptiesDB[#Headers],0),2))=1,_xlfn.SWITCH($N1556,"Uurtarief",IF(OR(AND(RIGHT($F1556,3)="IKS",VLOOKUP($M1556,DB_Loonkosten,2,0)="Ja"),AND(RIGHT($F1556,3)&lt;&gt;"IKS",VLOOKUP($M1556,DB_Loonkosten,2,0)="Nee")),IFERROR(VLOOKUP($M1556,DB_Loonkosten,24,0),""),0),"Vast tarief",IF(LEFT(F1556,8)="Bijdrage",VLOOKUP($F1556,Tb_KostenTypen[],MATCH(Lijsten!$P$1,Tb_KostenTypen[#Headers],0),0),VLOOKUP($G1556,Lijsten!L:P,MATCH(Lijsten!$P$1,Kop_Tarief_Vast,0),0))),""),"")</f>
        <v/>
      </c>
      <c r="P1556" s="320" t="str" cm="1">
        <f t="array" ref="P1556">_xlfn.IFNA(IF(INDEX(Tb_KostenOptiesDB[],MATCH($F1556,Tb_KostenOptiesDB[KostenOptie],0),IFERROR(MATCH(Methode_Keuze,Tb_KostenOptiesDB[#Headers],0),2))=1,_xlfn.SWITCH($N1556,"Uurtarief",IF(OR(AND(RIGHT($F1556,3)="IKS",VLOOKUP($M1556,DB_Loonkosten,2,0)="Ja"),AND(RIGHT($F1556,3)&lt;&gt;"IKS",VLOOKUP($M1556,DB_Loonkosten,2,0)="Nee")),IFERROR(VLOOKUP($M1556,DB_Loonkosten,25,0),""),0),"Vast tarief",IF(LEFT(F1556,8)="Bijdrage",VLOOKUP($F1556,Tb_KostenTypen[],MATCH(Lijsten!$P$1,Tb_KostenTypen[#Headers],0),0),VLOOKUP($G1556,Lijsten!L:P,MATCH(Lijsten!$P$1,Kop_Tarief_Vast,0),0))),""),"")</f>
        <v/>
      </c>
      <c r="Q1556" s="359"/>
      <c r="R1556" s="359"/>
      <c r="S1556" s="321"/>
      <c r="T1556" s="321"/>
      <c r="U1556" s="373" t="str">
        <f t="shared" si="96"/>
        <v/>
      </c>
      <c r="V1556" s="314" t="str">
        <f t="shared" si="97"/>
        <v/>
      </c>
      <c r="W1556" s="314" t="str" cm="1">
        <f t="array" aca="1" ref="W1556" ca="1">IFERROR(IF(AE1556&lt;&gt;"ja",_xlfn.IFNA(_xlfn.IFS(AND(O1556&lt;&gt;"",F1556&lt;&gt;"",RIGHT($N1556,6)="tarief",F1556="Vergoeding"),SUM(O1556)*FLOOR(SUM(Q1556),0.0001),AND(O1556&lt;&gt;"",F1556&lt;&gt;"",RIGHT($N1556,6)="tarief"),SUM(O1556)*FLOOR(SUM(Q1556),0.01),S1556&gt;0,IF(F1556&lt;&gt;"",FLOOR(SUM(S1556),0.01),"")),""),""),"")</f>
        <v/>
      </c>
      <c r="X1556" s="314" t="str" cm="1">
        <f t="array" aca="1" ref="X1556" ca="1">IFERROR(IF(AE1556&lt;&gt;"ja",_xlfn.IFNA(_xlfn.IFS(AND(P1556&lt;&gt;"",R1556&lt;&gt;"",RIGHT($N1556,6)="tarief",F1556="Vergoeding"),SUM(P1556)*FLOOR(SUM(R1556),0.0001),AND(P1556&lt;&gt;"",R1556&lt;&gt;"",RIGHT($N1556,6)="tarief"),P1556*FLOOR(R1556,0.01),T1556&gt;0,FLOOR(SUM(T1556),0.01)),""),""),"")</f>
        <v/>
      </c>
      <c r="Y1556" s="314" t="str">
        <f t="shared" ca="1" si="98"/>
        <v/>
      </c>
      <c r="Z1556" s="314" t="str" cm="1">
        <f t="array" aca="1" ref="Z1556" ca="1">IFERROR(_xlfn.IFS(OR(F1556="",LEFT(Methode_Keuze,4)="Geen",Methode_Keuze=""),"",AND(W1556&lt;&gt;"",F1556&lt;&gt;"Arbeidskosten"),W1556*VLOOKUP(F1556,Tb_ProjectKosten[],MATCH(Tb_ProjectKosten[[#Headers],[Forfait_Percentage]],Tb_ProjectKosten[#Headers],0),0),AND(F1556="Arbeidskosten",G1556&lt;&gt;""),IFERROR(W1556*VLOOKUP(G1556,Tb_KostenTypen[],3,0)*VLOOKUP(F1556,Tb_ProjectKosten[],MATCH(Tb_ProjectKosten[[#Headers],[Forfait_Percentage]],Tb_ProjectKosten[#Headers],0),0),""),W1556 &lt;=0,0),"")</f>
        <v/>
      </c>
      <c r="AA1556" s="314" t="str" cm="1">
        <f t="array" aca="1" ref="AA1556" ca="1">IFERROR(_xlfn.IFS(OR(F1556="",LEFT(Methode_Keuze,4)="Geen",Methode_Keuze=""),"",AND(X1556&lt;&gt;"",F1556&lt;&gt;"Arbeidskosten"),X1556*VLOOKUP(F1556,Tb_ProjectKosten[],MATCH(Tb_ProjectKosten[[#Headers],[Forfait_Percentage]],Tb_ProjectKosten[#Headers],0),0),AND(F1556="Arbeidskosten",G1556&lt;&gt;""),IFERROR(X1556*VLOOKUP(G1556,Tb_KostenTypen[],3,0)*VLOOKUP(F1556,Tb_ProjectKosten[],MATCH(Tb_ProjectKosten[[#Headers],[Forfait_Percentage]],Tb_ProjectKosten[#Headers],0),0),""),X1556 &lt;=0,0),"")</f>
        <v/>
      </c>
      <c r="AB1556" s="314" t="str">
        <f t="shared" ca="1" si="99"/>
        <v/>
      </c>
      <c r="AC1556" s="322"/>
      <c r="AD1556" s="315"/>
      <c r="AE1556" s="32" t="str" cm="1">
        <f t="array" ref="AE1556">IFERROR(IF(INDEX(SubsidieTabel!$AD$1:$AG$12,MATCH($F1556,SubsidieTabel!$AD$1:$AD$12,0),IFERROR(MATCH(Methode_Keuze,SubsidieTabel!$AD$1:$AG$1,0),2))&lt;&gt;1=TRUE,"ja",""),"")</f>
        <v/>
      </c>
    </row>
    <row r="1557" spans="1:31" x14ac:dyDescent="0.25">
      <c r="A1557" s="316"/>
      <c r="B1557" s="317" t="str">
        <f>IF(A1557&lt;&gt;"",_xlfn.MAXIFS($B$1:B1556,$A$1:A1556,A1557)+1,"")</f>
        <v/>
      </c>
      <c r="C1557" s="296"/>
      <c r="D1557" s="296"/>
      <c r="E1557" s="296"/>
      <c r="F1557" s="296"/>
      <c r="G1557" s="326"/>
      <c r="H1557" s="324"/>
      <c r="I1557" s="325"/>
      <c r="J1557" s="325"/>
      <c r="K1557" s="318"/>
      <c r="L1557" s="318"/>
      <c r="M1557" s="319" t="str">
        <f>IFERROR(VLOOKUP(H1557,Lijsten!$H$1:$I$100,2,0),"")</f>
        <v/>
      </c>
      <c r="N1557" s="319" t="str">
        <f ca="1">IFERROR(IF(VLOOKUP(F1557,Kostentypen!$A$3:$E$21,3,0)=0,"",IF(OR(F1557="Arbeidskosten",F1557="Vergoeding"),VLOOKUP(G1557,Tb_KostenTypen[],2,0),VLOOKUP(F1557,Kostentypen!$A$3:$E$20,3,0))),"")</f>
        <v/>
      </c>
      <c r="O1557" s="320" t="str" cm="1">
        <f t="array" ref="O1557">_xlfn.IFNA(IF(INDEX(Tb_KostenOptiesDB[],MATCH($F1557,Tb_KostenOptiesDB[KostenOptie],0),IFERROR(MATCH(Methode_Keuze,Tb_KostenOptiesDB[#Headers],0),2))=1,_xlfn.SWITCH($N1557,"Uurtarief",IF(OR(AND(RIGHT($F1557,3)="IKS",VLOOKUP($M1557,DB_Loonkosten,2,0)="Ja"),AND(RIGHT($F1557,3)&lt;&gt;"IKS",VLOOKUP($M1557,DB_Loonkosten,2,0)="Nee")),IFERROR(VLOOKUP($M1557,DB_Loonkosten,24,0),""),0),"Vast tarief",IF(LEFT(F1557,8)="Bijdrage",VLOOKUP($F1557,Tb_KostenTypen[],MATCH(Lijsten!$P$1,Tb_KostenTypen[#Headers],0),0),VLOOKUP($G1557,Lijsten!L:P,MATCH(Lijsten!$P$1,Kop_Tarief_Vast,0),0))),""),"")</f>
        <v/>
      </c>
      <c r="P1557" s="320" t="str" cm="1">
        <f t="array" ref="P1557">_xlfn.IFNA(IF(INDEX(Tb_KostenOptiesDB[],MATCH($F1557,Tb_KostenOptiesDB[KostenOptie],0),IFERROR(MATCH(Methode_Keuze,Tb_KostenOptiesDB[#Headers],0),2))=1,_xlfn.SWITCH($N1557,"Uurtarief",IF(OR(AND(RIGHT($F1557,3)="IKS",VLOOKUP($M1557,DB_Loonkosten,2,0)="Ja"),AND(RIGHT($F1557,3)&lt;&gt;"IKS",VLOOKUP($M1557,DB_Loonkosten,2,0)="Nee")),IFERROR(VLOOKUP($M1557,DB_Loonkosten,25,0),""),0),"Vast tarief",IF(LEFT(F1557,8)="Bijdrage",VLOOKUP($F1557,Tb_KostenTypen[],MATCH(Lijsten!$P$1,Tb_KostenTypen[#Headers],0),0),VLOOKUP($G1557,Lijsten!L:P,MATCH(Lijsten!$P$1,Kop_Tarief_Vast,0),0))),""),"")</f>
        <v/>
      </c>
      <c r="Q1557" s="359"/>
      <c r="R1557" s="359"/>
      <c r="S1557" s="321"/>
      <c r="T1557" s="321"/>
      <c r="U1557" s="373" t="str">
        <f t="shared" si="96"/>
        <v/>
      </c>
      <c r="V1557" s="314" t="str">
        <f t="shared" si="97"/>
        <v/>
      </c>
      <c r="W1557" s="314" t="str" cm="1">
        <f t="array" aca="1" ref="W1557" ca="1">IFERROR(IF(AE1557&lt;&gt;"ja",_xlfn.IFNA(_xlfn.IFS(AND(O1557&lt;&gt;"",F1557&lt;&gt;"",RIGHT($N1557,6)="tarief",F1557="Vergoeding"),SUM(O1557)*FLOOR(SUM(Q1557),0.0001),AND(O1557&lt;&gt;"",F1557&lt;&gt;"",RIGHT($N1557,6)="tarief"),SUM(O1557)*FLOOR(SUM(Q1557),0.01),S1557&gt;0,IF(F1557&lt;&gt;"",FLOOR(SUM(S1557),0.01),"")),""),""),"")</f>
        <v/>
      </c>
      <c r="X1557" s="314" t="str" cm="1">
        <f t="array" aca="1" ref="X1557" ca="1">IFERROR(IF(AE1557&lt;&gt;"ja",_xlfn.IFNA(_xlfn.IFS(AND(P1557&lt;&gt;"",R1557&lt;&gt;"",RIGHT($N1557,6)="tarief",F1557="Vergoeding"),SUM(P1557)*FLOOR(SUM(R1557),0.0001),AND(P1557&lt;&gt;"",R1557&lt;&gt;"",RIGHT($N1557,6)="tarief"),P1557*FLOOR(R1557,0.01),T1557&gt;0,FLOOR(SUM(T1557),0.01)),""),""),"")</f>
        <v/>
      </c>
      <c r="Y1557" s="314" t="str">
        <f t="shared" ca="1" si="98"/>
        <v/>
      </c>
      <c r="Z1557" s="314" t="str" cm="1">
        <f t="array" aca="1" ref="Z1557" ca="1">IFERROR(_xlfn.IFS(OR(F1557="",LEFT(Methode_Keuze,4)="Geen",Methode_Keuze=""),"",AND(W1557&lt;&gt;"",F1557&lt;&gt;"Arbeidskosten"),W1557*VLOOKUP(F1557,Tb_ProjectKosten[],MATCH(Tb_ProjectKosten[[#Headers],[Forfait_Percentage]],Tb_ProjectKosten[#Headers],0),0),AND(F1557="Arbeidskosten",G1557&lt;&gt;""),IFERROR(W1557*VLOOKUP(G1557,Tb_KostenTypen[],3,0)*VLOOKUP(F1557,Tb_ProjectKosten[],MATCH(Tb_ProjectKosten[[#Headers],[Forfait_Percentage]],Tb_ProjectKosten[#Headers],0),0),""),W1557 &lt;=0,0),"")</f>
        <v/>
      </c>
      <c r="AA1557" s="314" t="str" cm="1">
        <f t="array" aca="1" ref="AA1557" ca="1">IFERROR(_xlfn.IFS(OR(F1557="",LEFT(Methode_Keuze,4)="Geen",Methode_Keuze=""),"",AND(X1557&lt;&gt;"",F1557&lt;&gt;"Arbeidskosten"),X1557*VLOOKUP(F1557,Tb_ProjectKosten[],MATCH(Tb_ProjectKosten[[#Headers],[Forfait_Percentage]],Tb_ProjectKosten[#Headers],0),0),AND(F1557="Arbeidskosten",G1557&lt;&gt;""),IFERROR(X1557*VLOOKUP(G1557,Tb_KostenTypen[],3,0)*VLOOKUP(F1557,Tb_ProjectKosten[],MATCH(Tb_ProjectKosten[[#Headers],[Forfait_Percentage]],Tb_ProjectKosten[#Headers],0),0),""),X1557 &lt;=0,0),"")</f>
        <v/>
      </c>
      <c r="AB1557" s="314" t="str">
        <f t="shared" ca="1" si="99"/>
        <v/>
      </c>
      <c r="AC1557" s="322"/>
      <c r="AD1557" s="315"/>
      <c r="AE1557" s="32" t="str" cm="1">
        <f t="array" ref="AE1557">IFERROR(IF(INDEX(SubsidieTabel!$AD$1:$AG$12,MATCH($F1557,SubsidieTabel!$AD$1:$AD$12,0),IFERROR(MATCH(Methode_Keuze,SubsidieTabel!$AD$1:$AG$1,0),2))&lt;&gt;1=TRUE,"ja",""),"")</f>
        <v/>
      </c>
    </row>
    <row r="1558" spans="1:31" x14ac:dyDescent="0.25">
      <c r="A1558" s="316"/>
      <c r="B1558" s="317" t="str">
        <f>IF(A1558&lt;&gt;"",_xlfn.MAXIFS($B$1:B1557,$A$1:A1557,A1558)+1,"")</f>
        <v/>
      </c>
      <c r="C1558" s="296"/>
      <c r="D1558" s="296"/>
      <c r="E1558" s="296"/>
      <c r="F1558" s="296"/>
      <c r="G1558" s="326"/>
      <c r="H1558" s="324"/>
      <c r="I1558" s="325"/>
      <c r="J1558" s="325"/>
      <c r="K1558" s="318"/>
      <c r="L1558" s="318"/>
      <c r="M1558" s="319" t="str">
        <f>IFERROR(VLOOKUP(H1558,Lijsten!$H$1:$I$100,2,0),"")</f>
        <v/>
      </c>
      <c r="N1558" s="319" t="str">
        <f ca="1">IFERROR(IF(VLOOKUP(F1558,Kostentypen!$A$3:$E$21,3,0)=0,"",IF(OR(F1558="Arbeidskosten",F1558="Vergoeding"),VLOOKUP(G1558,Tb_KostenTypen[],2,0),VLOOKUP(F1558,Kostentypen!$A$3:$E$20,3,0))),"")</f>
        <v/>
      </c>
      <c r="O1558" s="320" t="str" cm="1">
        <f t="array" ref="O1558">_xlfn.IFNA(IF(INDEX(Tb_KostenOptiesDB[],MATCH($F1558,Tb_KostenOptiesDB[KostenOptie],0),IFERROR(MATCH(Methode_Keuze,Tb_KostenOptiesDB[#Headers],0),2))=1,_xlfn.SWITCH($N1558,"Uurtarief",IF(OR(AND(RIGHT($F1558,3)="IKS",VLOOKUP($M1558,DB_Loonkosten,2,0)="Ja"),AND(RIGHT($F1558,3)&lt;&gt;"IKS",VLOOKUP($M1558,DB_Loonkosten,2,0)="Nee")),IFERROR(VLOOKUP($M1558,DB_Loonkosten,24,0),""),0),"Vast tarief",IF(LEFT(F1558,8)="Bijdrage",VLOOKUP($F1558,Tb_KostenTypen[],MATCH(Lijsten!$P$1,Tb_KostenTypen[#Headers],0),0),VLOOKUP($G1558,Lijsten!L:P,MATCH(Lijsten!$P$1,Kop_Tarief_Vast,0),0))),""),"")</f>
        <v/>
      </c>
      <c r="P1558" s="320" t="str" cm="1">
        <f t="array" ref="P1558">_xlfn.IFNA(IF(INDEX(Tb_KostenOptiesDB[],MATCH($F1558,Tb_KostenOptiesDB[KostenOptie],0),IFERROR(MATCH(Methode_Keuze,Tb_KostenOptiesDB[#Headers],0),2))=1,_xlfn.SWITCH($N1558,"Uurtarief",IF(OR(AND(RIGHT($F1558,3)="IKS",VLOOKUP($M1558,DB_Loonkosten,2,0)="Ja"),AND(RIGHT($F1558,3)&lt;&gt;"IKS",VLOOKUP($M1558,DB_Loonkosten,2,0)="Nee")),IFERROR(VLOOKUP($M1558,DB_Loonkosten,25,0),""),0),"Vast tarief",IF(LEFT(F1558,8)="Bijdrage",VLOOKUP($F1558,Tb_KostenTypen[],MATCH(Lijsten!$P$1,Tb_KostenTypen[#Headers],0),0),VLOOKUP($G1558,Lijsten!L:P,MATCH(Lijsten!$P$1,Kop_Tarief_Vast,0),0))),""),"")</f>
        <v/>
      </c>
      <c r="Q1558" s="359"/>
      <c r="R1558" s="359"/>
      <c r="S1558" s="321"/>
      <c r="T1558" s="321"/>
      <c r="U1558" s="373" t="str">
        <f t="shared" si="96"/>
        <v/>
      </c>
      <c r="V1558" s="314" t="str">
        <f t="shared" si="97"/>
        <v/>
      </c>
      <c r="W1558" s="314" t="str" cm="1">
        <f t="array" aca="1" ref="W1558" ca="1">IFERROR(IF(AE1558&lt;&gt;"ja",_xlfn.IFNA(_xlfn.IFS(AND(O1558&lt;&gt;"",F1558&lt;&gt;"",RIGHT($N1558,6)="tarief",F1558="Vergoeding"),SUM(O1558)*FLOOR(SUM(Q1558),0.0001),AND(O1558&lt;&gt;"",F1558&lt;&gt;"",RIGHT($N1558,6)="tarief"),SUM(O1558)*FLOOR(SUM(Q1558),0.01),S1558&gt;0,IF(F1558&lt;&gt;"",FLOOR(SUM(S1558),0.01),"")),""),""),"")</f>
        <v/>
      </c>
      <c r="X1558" s="314" t="str" cm="1">
        <f t="array" aca="1" ref="X1558" ca="1">IFERROR(IF(AE1558&lt;&gt;"ja",_xlfn.IFNA(_xlfn.IFS(AND(P1558&lt;&gt;"",R1558&lt;&gt;"",RIGHT($N1558,6)="tarief",F1558="Vergoeding"),SUM(P1558)*FLOOR(SUM(R1558),0.0001),AND(P1558&lt;&gt;"",R1558&lt;&gt;"",RIGHT($N1558,6)="tarief"),P1558*FLOOR(R1558,0.01),T1558&gt;0,FLOOR(SUM(T1558),0.01)),""),""),"")</f>
        <v/>
      </c>
      <c r="Y1558" s="314" t="str">
        <f t="shared" ca="1" si="98"/>
        <v/>
      </c>
      <c r="Z1558" s="314" t="str" cm="1">
        <f t="array" aca="1" ref="Z1558" ca="1">IFERROR(_xlfn.IFS(OR(F1558="",LEFT(Methode_Keuze,4)="Geen",Methode_Keuze=""),"",AND(W1558&lt;&gt;"",F1558&lt;&gt;"Arbeidskosten"),W1558*VLOOKUP(F1558,Tb_ProjectKosten[],MATCH(Tb_ProjectKosten[[#Headers],[Forfait_Percentage]],Tb_ProjectKosten[#Headers],0),0),AND(F1558="Arbeidskosten",G1558&lt;&gt;""),IFERROR(W1558*VLOOKUP(G1558,Tb_KostenTypen[],3,0)*VLOOKUP(F1558,Tb_ProjectKosten[],MATCH(Tb_ProjectKosten[[#Headers],[Forfait_Percentage]],Tb_ProjectKosten[#Headers],0),0),""),W1558 &lt;=0,0),"")</f>
        <v/>
      </c>
      <c r="AA1558" s="314" t="str" cm="1">
        <f t="array" aca="1" ref="AA1558" ca="1">IFERROR(_xlfn.IFS(OR(F1558="",LEFT(Methode_Keuze,4)="Geen",Methode_Keuze=""),"",AND(X1558&lt;&gt;"",F1558&lt;&gt;"Arbeidskosten"),X1558*VLOOKUP(F1558,Tb_ProjectKosten[],MATCH(Tb_ProjectKosten[[#Headers],[Forfait_Percentage]],Tb_ProjectKosten[#Headers],0),0),AND(F1558="Arbeidskosten",G1558&lt;&gt;""),IFERROR(X1558*VLOOKUP(G1558,Tb_KostenTypen[],3,0)*VLOOKUP(F1558,Tb_ProjectKosten[],MATCH(Tb_ProjectKosten[[#Headers],[Forfait_Percentage]],Tb_ProjectKosten[#Headers],0),0),""),X1558 &lt;=0,0),"")</f>
        <v/>
      </c>
      <c r="AB1558" s="314" t="str">
        <f t="shared" ca="1" si="99"/>
        <v/>
      </c>
      <c r="AC1558" s="322"/>
      <c r="AD1558" s="315"/>
      <c r="AE1558" s="32" t="str" cm="1">
        <f t="array" ref="AE1558">IFERROR(IF(INDEX(SubsidieTabel!$AD$1:$AG$12,MATCH($F1558,SubsidieTabel!$AD$1:$AD$12,0),IFERROR(MATCH(Methode_Keuze,SubsidieTabel!$AD$1:$AG$1,0),2))&lt;&gt;1=TRUE,"ja",""),"")</f>
        <v/>
      </c>
    </row>
    <row r="1559" spans="1:31" x14ac:dyDescent="0.25">
      <c r="A1559" s="316"/>
      <c r="B1559" s="317" t="str">
        <f>IF(A1559&lt;&gt;"",_xlfn.MAXIFS($B$1:B1558,$A$1:A1558,A1559)+1,"")</f>
        <v/>
      </c>
      <c r="C1559" s="296"/>
      <c r="D1559" s="296"/>
      <c r="E1559" s="296"/>
      <c r="F1559" s="296"/>
      <c r="G1559" s="326"/>
      <c r="H1559" s="324"/>
      <c r="I1559" s="325"/>
      <c r="J1559" s="325"/>
      <c r="K1559" s="318"/>
      <c r="L1559" s="318"/>
      <c r="M1559" s="319" t="str">
        <f>IFERROR(VLOOKUP(H1559,Lijsten!$H$1:$I$100,2,0),"")</f>
        <v/>
      </c>
      <c r="N1559" s="319" t="str">
        <f ca="1">IFERROR(IF(VLOOKUP(F1559,Kostentypen!$A$3:$E$21,3,0)=0,"",IF(OR(F1559="Arbeidskosten",F1559="Vergoeding"),VLOOKUP(G1559,Tb_KostenTypen[],2,0),VLOOKUP(F1559,Kostentypen!$A$3:$E$20,3,0))),"")</f>
        <v/>
      </c>
      <c r="O1559" s="320" t="str" cm="1">
        <f t="array" ref="O1559">_xlfn.IFNA(IF(INDEX(Tb_KostenOptiesDB[],MATCH($F1559,Tb_KostenOptiesDB[KostenOptie],0),IFERROR(MATCH(Methode_Keuze,Tb_KostenOptiesDB[#Headers],0),2))=1,_xlfn.SWITCH($N1559,"Uurtarief",IF(OR(AND(RIGHT($F1559,3)="IKS",VLOOKUP($M1559,DB_Loonkosten,2,0)="Ja"),AND(RIGHT($F1559,3)&lt;&gt;"IKS",VLOOKUP($M1559,DB_Loonkosten,2,0)="Nee")),IFERROR(VLOOKUP($M1559,DB_Loonkosten,24,0),""),0),"Vast tarief",IF(LEFT(F1559,8)="Bijdrage",VLOOKUP($F1559,Tb_KostenTypen[],MATCH(Lijsten!$P$1,Tb_KostenTypen[#Headers],0),0),VLOOKUP($G1559,Lijsten!L:P,MATCH(Lijsten!$P$1,Kop_Tarief_Vast,0),0))),""),"")</f>
        <v/>
      </c>
      <c r="P1559" s="320" t="str" cm="1">
        <f t="array" ref="P1559">_xlfn.IFNA(IF(INDEX(Tb_KostenOptiesDB[],MATCH($F1559,Tb_KostenOptiesDB[KostenOptie],0),IFERROR(MATCH(Methode_Keuze,Tb_KostenOptiesDB[#Headers],0),2))=1,_xlfn.SWITCH($N1559,"Uurtarief",IF(OR(AND(RIGHT($F1559,3)="IKS",VLOOKUP($M1559,DB_Loonkosten,2,0)="Ja"),AND(RIGHT($F1559,3)&lt;&gt;"IKS",VLOOKUP($M1559,DB_Loonkosten,2,0)="Nee")),IFERROR(VLOOKUP($M1559,DB_Loonkosten,25,0),""),0),"Vast tarief",IF(LEFT(F1559,8)="Bijdrage",VLOOKUP($F1559,Tb_KostenTypen[],MATCH(Lijsten!$P$1,Tb_KostenTypen[#Headers],0),0),VLOOKUP($G1559,Lijsten!L:P,MATCH(Lijsten!$P$1,Kop_Tarief_Vast,0),0))),""),"")</f>
        <v/>
      </c>
      <c r="Q1559" s="359"/>
      <c r="R1559" s="359"/>
      <c r="S1559" s="321"/>
      <c r="T1559" s="321"/>
      <c r="U1559" s="373" t="str">
        <f t="shared" si="96"/>
        <v/>
      </c>
      <c r="V1559" s="314" t="str">
        <f t="shared" si="97"/>
        <v/>
      </c>
      <c r="W1559" s="314" t="str" cm="1">
        <f t="array" aca="1" ref="W1559" ca="1">IFERROR(IF(AE1559&lt;&gt;"ja",_xlfn.IFNA(_xlfn.IFS(AND(O1559&lt;&gt;"",F1559&lt;&gt;"",RIGHT($N1559,6)="tarief",F1559="Vergoeding"),SUM(O1559)*FLOOR(SUM(Q1559),0.0001),AND(O1559&lt;&gt;"",F1559&lt;&gt;"",RIGHT($N1559,6)="tarief"),SUM(O1559)*FLOOR(SUM(Q1559),0.01),S1559&gt;0,IF(F1559&lt;&gt;"",FLOOR(SUM(S1559),0.01),"")),""),""),"")</f>
        <v/>
      </c>
      <c r="X1559" s="314" t="str" cm="1">
        <f t="array" aca="1" ref="X1559" ca="1">IFERROR(IF(AE1559&lt;&gt;"ja",_xlfn.IFNA(_xlfn.IFS(AND(P1559&lt;&gt;"",R1559&lt;&gt;"",RIGHT($N1559,6)="tarief",F1559="Vergoeding"),SUM(P1559)*FLOOR(SUM(R1559),0.0001),AND(P1559&lt;&gt;"",R1559&lt;&gt;"",RIGHT($N1559,6)="tarief"),P1559*FLOOR(R1559,0.01),T1559&gt;0,FLOOR(SUM(T1559),0.01)),""),""),"")</f>
        <v/>
      </c>
      <c r="Y1559" s="314" t="str">
        <f t="shared" ca="1" si="98"/>
        <v/>
      </c>
      <c r="Z1559" s="314" t="str" cm="1">
        <f t="array" aca="1" ref="Z1559" ca="1">IFERROR(_xlfn.IFS(OR(F1559="",LEFT(Methode_Keuze,4)="Geen",Methode_Keuze=""),"",AND(W1559&lt;&gt;"",F1559&lt;&gt;"Arbeidskosten"),W1559*VLOOKUP(F1559,Tb_ProjectKosten[],MATCH(Tb_ProjectKosten[[#Headers],[Forfait_Percentage]],Tb_ProjectKosten[#Headers],0),0),AND(F1559="Arbeidskosten",G1559&lt;&gt;""),IFERROR(W1559*VLOOKUP(G1559,Tb_KostenTypen[],3,0)*VLOOKUP(F1559,Tb_ProjectKosten[],MATCH(Tb_ProjectKosten[[#Headers],[Forfait_Percentage]],Tb_ProjectKosten[#Headers],0),0),""),W1559 &lt;=0,0),"")</f>
        <v/>
      </c>
      <c r="AA1559" s="314" t="str" cm="1">
        <f t="array" aca="1" ref="AA1559" ca="1">IFERROR(_xlfn.IFS(OR(F1559="",LEFT(Methode_Keuze,4)="Geen",Methode_Keuze=""),"",AND(X1559&lt;&gt;"",F1559&lt;&gt;"Arbeidskosten"),X1559*VLOOKUP(F1559,Tb_ProjectKosten[],MATCH(Tb_ProjectKosten[[#Headers],[Forfait_Percentage]],Tb_ProjectKosten[#Headers],0),0),AND(F1559="Arbeidskosten",G1559&lt;&gt;""),IFERROR(X1559*VLOOKUP(G1559,Tb_KostenTypen[],3,0)*VLOOKUP(F1559,Tb_ProjectKosten[],MATCH(Tb_ProjectKosten[[#Headers],[Forfait_Percentage]],Tb_ProjectKosten[#Headers],0),0),""),X1559 &lt;=0,0),"")</f>
        <v/>
      </c>
      <c r="AB1559" s="314" t="str">
        <f t="shared" ca="1" si="99"/>
        <v/>
      </c>
      <c r="AC1559" s="322"/>
      <c r="AD1559" s="315"/>
      <c r="AE1559" s="32" t="str" cm="1">
        <f t="array" ref="AE1559">IFERROR(IF(INDEX(SubsidieTabel!$AD$1:$AG$12,MATCH($F1559,SubsidieTabel!$AD$1:$AD$12,0),IFERROR(MATCH(Methode_Keuze,SubsidieTabel!$AD$1:$AG$1,0),2))&lt;&gt;1=TRUE,"ja",""),"")</f>
        <v/>
      </c>
    </row>
    <row r="1560" spans="1:31" x14ac:dyDescent="0.25">
      <c r="A1560" s="316"/>
      <c r="B1560" s="317" t="str">
        <f>IF(A1560&lt;&gt;"",_xlfn.MAXIFS($B$1:B1559,$A$1:A1559,A1560)+1,"")</f>
        <v/>
      </c>
      <c r="C1560" s="296"/>
      <c r="D1560" s="296"/>
      <c r="E1560" s="296"/>
      <c r="F1560" s="296"/>
      <c r="G1560" s="326"/>
      <c r="H1560" s="324"/>
      <c r="I1560" s="325"/>
      <c r="J1560" s="325"/>
      <c r="K1560" s="318"/>
      <c r="L1560" s="318"/>
      <c r="M1560" s="319" t="str">
        <f>IFERROR(VLOOKUP(H1560,Lijsten!$H$1:$I$100,2,0),"")</f>
        <v/>
      </c>
      <c r="N1560" s="319" t="str">
        <f ca="1">IFERROR(IF(VLOOKUP(F1560,Kostentypen!$A$3:$E$21,3,0)=0,"",IF(OR(F1560="Arbeidskosten",F1560="Vergoeding"),VLOOKUP(G1560,Tb_KostenTypen[],2,0),VLOOKUP(F1560,Kostentypen!$A$3:$E$20,3,0))),"")</f>
        <v/>
      </c>
      <c r="O1560" s="320" t="str" cm="1">
        <f t="array" ref="O1560">_xlfn.IFNA(IF(INDEX(Tb_KostenOptiesDB[],MATCH($F1560,Tb_KostenOptiesDB[KostenOptie],0),IFERROR(MATCH(Methode_Keuze,Tb_KostenOptiesDB[#Headers],0),2))=1,_xlfn.SWITCH($N1560,"Uurtarief",IF(OR(AND(RIGHT($F1560,3)="IKS",VLOOKUP($M1560,DB_Loonkosten,2,0)="Ja"),AND(RIGHT($F1560,3)&lt;&gt;"IKS",VLOOKUP($M1560,DB_Loonkosten,2,0)="Nee")),IFERROR(VLOOKUP($M1560,DB_Loonkosten,24,0),""),0),"Vast tarief",IF(LEFT(F1560,8)="Bijdrage",VLOOKUP($F1560,Tb_KostenTypen[],MATCH(Lijsten!$P$1,Tb_KostenTypen[#Headers],0),0),VLOOKUP($G1560,Lijsten!L:P,MATCH(Lijsten!$P$1,Kop_Tarief_Vast,0),0))),""),"")</f>
        <v/>
      </c>
      <c r="P1560" s="320" t="str" cm="1">
        <f t="array" ref="P1560">_xlfn.IFNA(IF(INDEX(Tb_KostenOptiesDB[],MATCH($F1560,Tb_KostenOptiesDB[KostenOptie],0),IFERROR(MATCH(Methode_Keuze,Tb_KostenOptiesDB[#Headers],0),2))=1,_xlfn.SWITCH($N1560,"Uurtarief",IF(OR(AND(RIGHT($F1560,3)="IKS",VLOOKUP($M1560,DB_Loonkosten,2,0)="Ja"),AND(RIGHT($F1560,3)&lt;&gt;"IKS",VLOOKUP($M1560,DB_Loonkosten,2,0)="Nee")),IFERROR(VLOOKUP($M1560,DB_Loonkosten,25,0),""),0),"Vast tarief",IF(LEFT(F1560,8)="Bijdrage",VLOOKUP($F1560,Tb_KostenTypen[],MATCH(Lijsten!$P$1,Tb_KostenTypen[#Headers],0),0),VLOOKUP($G1560,Lijsten!L:P,MATCH(Lijsten!$P$1,Kop_Tarief_Vast,0),0))),""),"")</f>
        <v/>
      </c>
      <c r="Q1560" s="359"/>
      <c r="R1560" s="359"/>
      <c r="S1560" s="321"/>
      <c r="T1560" s="321"/>
      <c r="U1560" s="373" t="str">
        <f t="shared" si="96"/>
        <v/>
      </c>
      <c r="V1560" s="314" t="str">
        <f t="shared" si="97"/>
        <v/>
      </c>
      <c r="W1560" s="314" t="str" cm="1">
        <f t="array" aca="1" ref="W1560" ca="1">IFERROR(IF(AE1560&lt;&gt;"ja",_xlfn.IFNA(_xlfn.IFS(AND(O1560&lt;&gt;"",F1560&lt;&gt;"",RIGHT($N1560,6)="tarief",F1560="Vergoeding"),SUM(O1560)*FLOOR(SUM(Q1560),0.0001),AND(O1560&lt;&gt;"",F1560&lt;&gt;"",RIGHT($N1560,6)="tarief"),SUM(O1560)*FLOOR(SUM(Q1560),0.01),S1560&gt;0,IF(F1560&lt;&gt;"",FLOOR(SUM(S1560),0.01),"")),""),""),"")</f>
        <v/>
      </c>
      <c r="X1560" s="314" t="str" cm="1">
        <f t="array" aca="1" ref="X1560" ca="1">IFERROR(IF(AE1560&lt;&gt;"ja",_xlfn.IFNA(_xlfn.IFS(AND(P1560&lt;&gt;"",R1560&lt;&gt;"",RIGHT($N1560,6)="tarief",F1560="Vergoeding"),SUM(P1560)*FLOOR(SUM(R1560),0.0001),AND(P1560&lt;&gt;"",R1560&lt;&gt;"",RIGHT($N1560,6)="tarief"),P1560*FLOOR(R1560,0.01),T1560&gt;0,FLOOR(SUM(T1560),0.01)),""),""),"")</f>
        <v/>
      </c>
      <c r="Y1560" s="314" t="str">
        <f t="shared" ca="1" si="98"/>
        <v/>
      </c>
      <c r="Z1560" s="314" t="str" cm="1">
        <f t="array" aca="1" ref="Z1560" ca="1">IFERROR(_xlfn.IFS(OR(F1560="",LEFT(Methode_Keuze,4)="Geen",Methode_Keuze=""),"",AND(W1560&lt;&gt;"",F1560&lt;&gt;"Arbeidskosten"),W1560*VLOOKUP(F1560,Tb_ProjectKosten[],MATCH(Tb_ProjectKosten[[#Headers],[Forfait_Percentage]],Tb_ProjectKosten[#Headers],0),0),AND(F1560="Arbeidskosten",G1560&lt;&gt;""),IFERROR(W1560*VLOOKUP(G1560,Tb_KostenTypen[],3,0)*VLOOKUP(F1560,Tb_ProjectKosten[],MATCH(Tb_ProjectKosten[[#Headers],[Forfait_Percentage]],Tb_ProjectKosten[#Headers],0),0),""),W1560 &lt;=0,0),"")</f>
        <v/>
      </c>
      <c r="AA1560" s="314" t="str" cm="1">
        <f t="array" aca="1" ref="AA1560" ca="1">IFERROR(_xlfn.IFS(OR(F1560="",LEFT(Methode_Keuze,4)="Geen",Methode_Keuze=""),"",AND(X1560&lt;&gt;"",F1560&lt;&gt;"Arbeidskosten"),X1560*VLOOKUP(F1560,Tb_ProjectKosten[],MATCH(Tb_ProjectKosten[[#Headers],[Forfait_Percentage]],Tb_ProjectKosten[#Headers],0),0),AND(F1560="Arbeidskosten",G1560&lt;&gt;""),IFERROR(X1560*VLOOKUP(G1560,Tb_KostenTypen[],3,0)*VLOOKUP(F1560,Tb_ProjectKosten[],MATCH(Tb_ProjectKosten[[#Headers],[Forfait_Percentage]],Tb_ProjectKosten[#Headers],0),0),""),X1560 &lt;=0,0),"")</f>
        <v/>
      </c>
      <c r="AB1560" s="314" t="str">
        <f t="shared" ca="1" si="99"/>
        <v/>
      </c>
      <c r="AC1560" s="322"/>
      <c r="AD1560" s="315"/>
      <c r="AE1560" s="32" t="str" cm="1">
        <f t="array" ref="AE1560">IFERROR(IF(INDEX(SubsidieTabel!$AD$1:$AG$12,MATCH($F1560,SubsidieTabel!$AD$1:$AD$12,0),IFERROR(MATCH(Methode_Keuze,SubsidieTabel!$AD$1:$AG$1,0),2))&lt;&gt;1=TRUE,"ja",""),"")</f>
        <v/>
      </c>
    </row>
    <row r="1561" spans="1:31" x14ac:dyDescent="0.25">
      <c r="A1561" s="316"/>
      <c r="B1561" s="317" t="str">
        <f>IF(A1561&lt;&gt;"",_xlfn.MAXIFS($B$1:B1560,$A$1:A1560,A1561)+1,"")</f>
        <v/>
      </c>
      <c r="C1561" s="296"/>
      <c r="D1561" s="296"/>
      <c r="E1561" s="296"/>
      <c r="F1561" s="296"/>
      <c r="G1561" s="326"/>
      <c r="H1561" s="324"/>
      <c r="I1561" s="325"/>
      <c r="J1561" s="325"/>
      <c r="K1561" s="318"/>
      <c r="L1561" s="318"/>
      <c r="M1561" s="319" t="str">
        <f>IFERROR(VLOOKUP(H1561,Lijsten!$H$1:$I$100,2,0),"")</f>
        <v/>
      </c>
      <c r="N1561" s="319" t="str">
        <f ca="1">IFERROR(IF(VLOOKUP(F1561,Kostentypen!$A$3:$E$21,3,0)=0,"",IF(OR(F1561="Arbeidskosten",F1561="Vergoeding"),VLOOKUP(G1561,Tb_KostenTypen[],2,0),VLOOKUP(F1561,Kostentypen!$A$3:$E$20,3,0))),"")</f>
        <v/>
      </c>
      <c r="O1561" s="320" t="str" cm="1">
        <f t="array" ref="O1561">_xlfn.IFNA(IF(INDEX(Tb_KostenOptiesDB[],MATCH($F1561,Tb_KostenOptiesDB[KostenOptie],0),IFERROR(MATCH(Methode_Keuze,Tb_KostenOptiesDB[#Headers],0),2))=1,_xlfn.SWITCH($N1561,"Uurtarief",IF(OR(AND(RIGHT($F1561,3)="IKS",VLOOKUP($M1561,DB_Loonkosten,2,0)="Ja"),AND(RIGHT($F1561,3)&lt;&gt;"IKS",VLOOKUP($M1561,DB_Loonkosten,2,0)="Nee")),IFERROR(VLOOKUP($M1561,DB_Loonkosten,24,0),""),0),"Vast tarief",IF(LEFT(F1561,8)="Bijdrage",VLOOKUP($F1561,Tb_KostenTypen[],MATCH(Lijsten!$P$1,Tb_KostenTypen[#Headers],0),0),VLOOKUP($G1561,Lijsten!L:P,MATCH(Lijsten!$P$1,Kop_Tarief_Vast,0),0))),""),"")</f>
        <v/>
      </c>
      <c r="P1561" s="320" t="str" cm="1">
        <f t="array" ref="P1561">_xlfn.IFNA(IF(INDEX(Tb_KostenOptiesDB[],MATCH($F1561,Tb_KostenOptiesDB[KostenOptie],0),IFERROR(MATCH(Methode_Keuze,Tb_KostenOptiesDB[#Headers],0),2))=1,_xlfn.SWITCH($N1561,"Uurtarief",IF(OR(AND(RIGHT($F1561,3)="IKS",VLOOKUP($M1561,DB_Loonkosten,2,0)="Ja"),AND(RIGHT($F1561,3)&lt;&gt;"IKS",VLOOKUP($M1561,DB_Loonkosten,2,0)="Nee")),IFERROR(VLOOKUP($M1561,DB_Loonkosten,25,0),""),0),"Vast tarief",IF(LEFT(F1561,8)="Bijdrage",VLOOKUP($F1561,Tb_KostenTypen[],MATCH(Lijsten!$P$1,Tb_KostenTypen[#Headers],0),0),VLOOKUP($G1561,Lijsten!L:P,MATCH(Lijsten!$P$1,Kop_Tarief_Vast,0),0))),""),"")</f>
        <v/>
      </c>
      <c r="Q1561" s="359"/>
      <c r="R1561" s="359"/>
      <c r="S1561" s="321"/>
      <c r="T1561" s="321"/>
      <c r="U1561" s="373" t="str">
        <f t="shared" si="96"/>
        <v/>
      </c>
      <c r="V1561" s="314" t="str">
        <f t="shared" si="97"/>
        <v/>
      </c>
      <c r="W1561" s="314" t="str" cm="1">
        <f t="array" aca="1" ref="W1561" ca="1">IFERROR(IF(AE1561&lt;&gt;"ja",_xlfn.IFNA(_xlfn.IFS(AND(O1561&lt;&gt;"",F1561&lt;&gt;"",RIGHT($N1561,6)="tarief",F1561="Vergoeding"),SUM(O1561)*FLOOR(SUM(Q1561),0.0001),AND(O1561&lt;&gt;"",F1561&lt;&gt;"",RIGHT($N1561,6)="tarief"),SUM(O1561)*FLOOR(SUM(Q1561),0.01),S1561&gt;0,IF(F1561&lt;&gt;"",FLOOR(SUM(S1561),0.01),"")),""),""),"")</f>
        <v/>
      </c>
      <c r="X1561" s="314" t="str" cm="1">
        <f t="array" aca="1" ref="X1561" ca="1">IFERROR(IF(AE1561&lt;&gt;"ja",_xlfn.IFNA(_xlfn.IFS(AND(P1561&lt;&gt;"",R1561&lt;&gt;"",RIGHT($N1561,6)="tarief",F1561="Vergoeding"),SUM(P1561)*FLOOR(SUM(R1561),0.0001),AND(P1561&lt;&gt;"",R1561&lt;&gt;"",RIGHT($N1561,6)="tarief"),P1561*FLOOR(R1561,0.01),T1561&gt;0,FLOOR(SUM(T1561),0.01)),""),""),"")</f>
        <v/>
      </c>
      <c r="Y1561" s="314" t="str">
        <f t="shared" ca="1" si="98"/>
        <v/>
      </c>
      <c r="Z1561" s="314" t="str" cm="1">
        <f t="array" aca="1" ref="Z1561" ca="1">IFERROR(_xlfn.IFS(OR(F1561="",LEFT(Methode_Keuze,4)="Geen",Methode_Keuze=""),"",AND(W1561&lt;&gt;"",F1561&lt;&gt;"Arbeidskosten"),W1561*VLOOKUP(F1561,Tb_ProjectKosten[],MATCH(Tb_ProjectKosten[[#Headers],[Forfait_Percentage]],Tb_ProjectKosten[#Headers],0),0),AND(F1561="Arbeidskosten",G1561&lt;&gt;""),IFERROR(W1561*VLOOKUP(G1561,Tb_KostenTypen[],3,0)*VLOOKUP(F1561,Tb_ProjectKosten[],MATCH(Tb_ProjectKosten[[#Headers],[Forfait_Percentage]],Tb_ProjectKosten[#Headers],0),0),""),W1561 &lt;=0,0),"")</f>
        <v/>
      </c>
      <c r="AA1561" s="314" t="str" cm="1">
        <f t="array" aca="1" ref="AA1561" ca="1">IFERROR(_xlfn.IFS(OR(F1561="",LEFT(Methode_Keuze,4)="Geen",Methode_Keuze=""),"",AND(X1561&lt;&gt;"",F1561&lt;&gt;"Arbeidskosten"),X1561*VLOOKUP(F1561,Tb_ProjectKosten[],MATCH(Tb_ProjectKosten[[#Headers],[Forfait_Percentage]],Tb_ProjectKosten[#Headers],0),0),AND(F1561="Arbeidskosten",G1561&lt;&gt;""),IFERROR(X1561*VLOOKUP(G1561,Tb_KostenTypen[],3,0)*VLOOKUP(F1561,Tb_ProjectKosten[],MATCH(Tb_ProjectKosten[[#Headers],[Forfait_Percentage]],Tb_ProjectKosten[#Headers],0),0),""),X1561 &lt;=0,0),"")</f>
        <v/>
      </c>
      <c r="AB1561" s="314" t="str">
        <f t="shared" ca="1" si="99"/>
        <v/>
      </c>
      <c r="AC1561" s="322"/>
      <c r="AD1561" s="315"/>
      <c r="AE1561" s="32" t="str" cm="1">
        <f t="array" ref="AE1561">IFERROR(IF(INDEX(SubsidieTabel!$AD$1:$AG$12,MATCH($F1561,SubsidieTabel!$AD$1:$AD$12,0),IFERROR(MATCH(Methode_Keuze,SubsidieTabel!$AD$1:$AG$1,0),2))&lt;&gt;1=TRUE,"ja",""),"")</f>
        <v/>
      </c>
    </row>
    <row r="1562" spans="1:31" x14ac:dyDescent="0.25">
      <c r="A1562" s="316"/>
      <c r="B1562" s="317" t="str">
        <f>IF(A1562&lt;&gt;"",_xlfn.MAXIFS($B$1:B1561,$A$1:A1561,A1562)+1,"")</f>
        <v/>
      </c>
      <c r="C1562" s="296"/>
      <c r="D1562" s="296"/>
      <c r="E1562" s="296"/>
      <c r="F1562" s="296"/>
      <c r="G1562" s="326"/>
      <c r="H1562" s="324"/>
      <c r="I1562" s="325"/>
      <c r="J1562" s="325"/>
      <c r="K1562" s="318"/>
      <c r="L1562" s="318"/>
      <c r="M1562" s="319" t="str">
        <f>IFERROR(VLOOKUP(H1562,Lijsten!$H$1:$I$100,2,0),"")</f>
        <v/>
      </c>
      <c r="N1562" s="319" t="str">
        <f ca="1">IFERROR(IF(VLOOKUP(F1562,Kostentypen!$A$3:$E$21,3,0)=0,"",IF(OR(F1562="Arbeidskosten",F1562="Vergoeding"),VLOOKUP(G1562,Tb_KostenTypen[],2,0),VLOOKUP(F1562,Kostentypen!$A$3:$E$20,3,0))),"")</f>
        <v/>
      </c>
      <c r="O1562" s="320" t="str" cm="1">
        <f t="array" ref="O1562">_xlfn.IFNA(IF(INDEX(Tb_KostenOptiesDB[],MATCH($F1562,Tb_KostenOptiesDB[KostenOptie],0),IFERROR(MATCH(Methode_Keuze,Tb_KostenOptiesDB[#Headers],0),2))=1,_xlfn.SWITCH($N1562,"Uurtarief",IF(OR(AND(RIGHT($F1562,3)="IKS",VLOOKUP($M1562,DB_Loonkosten,2,0)="Ja"),AND(RIGHT($F1562,3)&lt;&gt;"IKS",VLOOKUP($M1562,DB_Loonkosten,2,0)="Nee")),IFERROR(VLOOKUP($M1562,DB_Loonkosten,24,0),""),0),"Vast tarief",IF(LEFT(F1562,8)="Bijdrage",VLOOKUP($F1562,Tb_KostenTypen[],MATCH(Lijsten!$P$1,Tb_KostenTypen[#Headers],0),0),VLOOKUP($G1562,Lijsten!L:P,MATCH(Lijsten!$P$1,Kop_Tarief_Vast,0),0))),""),"")</f>
        <v/>
      </c>
      <c r="P1562" s="320" t="str" cm="1">
        <f t="array" ref="P1562">_xlfn.IFNA(IF(INDEX(Tb_KostenOptiesDB[],MATCH($F1562,Tb_KostenOptiesDB[KostenOptie],0),IFERROR(MATCH(Methode_Keuze,Tb_KostenOptiesDB[#Headers],0),2))=1,_xlfn.SWITCH($N1562,"Uurtarief",IF(OR(AND(RIGHT($F1562,3)="IKS",VLOOKUP($M1562,DB_Loonkosten,2,0)="Ja"),AND(RIGHT($F1562,3)&lt;&gt;"IKS",VLOOKUP($M1562,DB_Loonkosten,2,0)="Nee")),IFERROR(VLOOKUP($M1562,DB_Loonkosten,25,0),""),0),"Vast tarief",IF(LEFT(F1562,8)="Bijdrage",VLOOKUP($F1562,Tb_KostenTypen[],MATCH(Lijsten!$P$1,Tb_KostenTypen[#Headers],0),0),VLOOKUP($G1562,Lijsten!L:P,MATCH(Lijsten!$P$1,Kop_Tarief_Vast,0),0))),""),"")</f>
        <v/>
      </c>
      <c r="Q1562" s="359"/>
      <c r="R1562" s="359"/>
      <c r="S1562" s="321"/>
      <c r="T1562" s="321"/>
      <c r="U1562" s="373" t="str">
        <f t="shared" si="96"/>
        <v/>
      </c>
      <c r="V1562" s="314" t="str">
        <f t="shared" si="97"/>
        <v/>
      </c>
      <c r="W1562" s="314" t="str" cm="1">
        <f t="array" aca="1" ref="W1562" ca="1">IFERROR(IF(AE1562&lt;&gt;"ja",_xlfn.IFNA(_xlfn.IFS(AND(O1562&lt;&gt;"",F1562&lt;&gt;"",RIGHT($N1562,6)="tarief",F1562="Vergoeding"),SUM(O1562)*FLOOR(SUM(Q1562),0.0001),AND(O1562&lt;&gt;"",F1562&lt;&gt;"",RIGHT($N1562,6)="tarief"),SUM(O1562)*FLOOR(SUM(Q1562),0.01),S1562&gt;0,IF(F1562&lt;&gt;"",FLOOR(SUM(S1562),0.01),"")),""),""),"")</f>
        <v/>
      </c>
      <c r="X1562" s="314" t="str" cm="1">
        <f t="array" aca="1" ref="X1562" ca="1">IFERROR(IF(AE1562&lt;&gt;"ja",_xlfn.IFNA(_xlfn.IFS(AND(P1562&lt;&gt;"",R1562&lt;&gt;"",RIGHT($N1562,6)="tarief",F1562="Vergoeding"),SUM(P1562)*FLOOR(SUM(R1562),0.0001),AND(P1562&lt;&gt;"",R1562&lt;&gt;"",RIGHT($N1562,6)="tarief"),P1562*FLOOR(R1562,0.01),T1562&gt;0,FLOOR(SUM(T1562),0.01)),""),""),"")</f>
        <v/>
      </c>
      <c r="Y1562" s="314" t="str">
        <f t="shared" ca="1" si="98"/>
        <v/>
      </c>
      <c r="Z1562" s="314" t="str" cm="1">
        <f t="array" aca="1" ref="Z1562" ca="1">IFERROR(_xlfn.IFS(OR(F1562="",LEFT(Methode_Keuze,4)="Geen",Methode_Keuze=""),"",AND(W1562&lt;&gt;"",F1562&lt;&gt;"Arbeidskosten"),W1562*VLOOKUP(F1562,Tb_ProjectKosten[],MATCH(Tb_ProjectKosten[[#Headers],[Forfait_Percentage]],Tb_ProjectKosten[#Headers],0),0),AND(F1562="Arbeidskosten",G1562&lt;&gt;""),IFERROR(W1562*VLOOKUP(G1562,Tb_KostenTypen[],3,0)*VLOOKUP(F1562,Tb_ProjectKosten[],MATCH(Tb_ProjectKosten[[#Headers],[Forfait_Percentage]],Tb_ProjectKosten[#Headers],0),0),""),W1562 &lt;=0,0),"")</f>
        <v/>
      </c>
      <c r="AA1562" s="314" t="str" cm="1">
        <f t="array" aca="1" ref="AA1562" ca="1">IFERROR(_xlfn.IFS(OR(F1562="",LEFT(Methode_Keuze,4)="Geen",Methode_Keuze=""),"",AND(X1562&lt;&gt;"",F1562&lt;&gt;"Arbeidskosten"),X1562*VLOOKUP(F1562,Tb_ProjectKosten[],MATCH(Tb_ProjectKosten[[#Headers],[Forfait_Percentage]],Tb_ProjectKosten[#Headers],0),0),AND(F1562="Arbeidskosten",G1562&lt;&gt;""),IFERROR(X1562*VLOOKUP(G1562,Tb_KostenTypen[],3,0)*VLOOKUP(F1562,Tb_ProjectKosten[],MATCH(Tb_ProjectKosten[[#Headers],[Forfait_Percentage]],Tb_ProjectKosten[#Headers],0),0),""),X1562 &lt;=0,0),"")</f>
        <v/>
      </c>
      <c r="AB1562" s="314" t="str">
        <f t="shared" ca="1" si="99"/>
        <v/>
      </c>
      <c r="AC1562" s="322"/>
      <c r="AD1562" s="315"/>
      <c r="AE1562" s="32" t="str" cm="1">
        <f t="array" ref="AE1562">IFERROR(IF(INDEX(SubsidieTabel!$AD$1:$AG$12,MATCH($F1562,SubsidieTabel!$AD$1:$AD$12,0),IFERROR(MATCH(Methode_Keuze,SubsidieTabel!$AD$1:$AG$1,0),2))&lt;&gt;1=TRUE,"ja",""),"")</f>
        <v/>
      </c>
    </row>
    <row r="1563" spans="1:31" x14ac:dyDescent="0.25">
      <c r="A1563" s="316"/>
      <c r="B1563" s="317" t="str">
        <f>IF(A1563&lt;&gt;"",_xlfn.MAXIFS($B$1:B1562,$A$1:A1562,A1563)+1,"")</f>
        <v/>
      </c>
      <c r="C1563" s="296"/>
      <c r="D1563" s="296"/>
      <c r="E1563" s="296"/>
      <c r="F1563" s="296"/>
      <c r="G1563" s="326"/>
      <c r="H1563" s="324"/>
      <c r="I1563" s="325"/>
      <c r="J1563" s="325"/>
      <c r="K1563" s="318"/>
      <c r="L1563" s="318"/>
      <c r="M1563" s="319" t="str">
        <f>IFERROR(VLOOKUP(H1563,Lijsten!$H$1:$I$100,2,0),"")</f>
        <v/>
      </c>
      <c r="N1563" s="319" t="str">
        <f ca="1">IFERROR(IF(VLOOKUP(F1563,Kostentypen!$A$3:$E$21,3,0)=0,"",IF(OR(F1563="Arbeidskosten",F1563="Vergoeding"),VLOOKUP(G1563,Tb_KostenTypen[],2,0),VLOOKUP(F1563,Kostentypen!$A$3:$E$20,3,0))),"")</f>
        <v/>
      </c>
      <c r="O1563" s="320" t="str" cm="1">
        <f t="array" ref="O1563">_xlfn.IFNA(IF(INDEX(Tb_KostenOptiesDB[],MATCH($F1563,Tb_KostenOptiesDB[KostenOptie],0),IFERROR(MATCH(Methode_Keuze,Tb_KostenOptiesDB[#Headers],0),2))=1,_xlfn.SWITCH($N1563,"Uurtarief",IF(OR(AND(RIGHT($F1563,3)="IKS",VLOOKUP($M1563,DB_Loonkosten,2,0)="Ja"),AND(RIGHT($F1563,3)&lt;&gt;"IKS",VLOOKUP($M1563,DB_Loonkosten,2,0)="Nee")),IFERROR(VLOOKUP($M1563,DB_Loonkosten,24,0),""),0),"Vast tarief",IF(LEFT(F1563,8)="Bijdrage",VLOOKUP($F1563,Tb_KostenTypen[],MATCH(Lijsten!$P$1,Tb_KostenTypen[#Headers],0),0),VLOOKUP($G1563,Lijsten!L:P,MATCH(Lijsten!$P$1,Kop_Tarief_Vast,0),0))),""),"")</f>
        <v/>
      </c>
      <c r="P1563" s="320" t="str" cm="1">
        <f t="array" ref="P1563">_xlfn.IFNA(IF(INDEX(Tb_KostenOptiesDB[],MATCH($F1563,Tb_KostenOptiesDB[KostenOptie],0),IFERROR(MATCH(Methode_Keuze,Tb_KostenOptiesDB[#Headers],0),2))=1,_xlfn.SWITCH($N1563,"Uurtarief",IF(OR(AND(RIGHT($F1563,3)="IKS",VLOOKUP($M1563,DB_Loonkosten,2,0)="Ja"),AND(RIGHT($F1563,3)&lt;&gt;"IKS",VLOOKUP($M1563,DB_Loonkosten,2,0)="Nee")),IFERROR(VLOOKUP($M1563,DB_Loonkosten,25,0),""),0),"Vast tarief",IF(LEFT(F1563,8)="Bijdrage",VLOOKUP($F1563,Tb_KostenTypen[],MATCH(Lijsten!$P$1,Tb_KostenTypen[#Headers],0),0),VLOOKUP($G1563,Lijsten!L:P,MATCH(Lijsten!$P$1,Kop_Tarief_Vast,0),0))),""),"")</f>
        <v/>
      </c>
      <c r="Q1563" s="359"/>
      <c r="R1563" s="359"/>
      <c r="S1563" s="321"/>
      <c r="T1563" s="321"/>
      <c r="U1563" s="373" t="str">
        <f t="shared" si="96"/>
        <v/>
      </c>
      <c r="V1563" s="314" t="str">
        <f t="shared" si="97"/>
        <v/>
      </c>
      <c r="W1563" s="314" t="str" cm="1">
        <f t="array" aca="1" ref="W1563" ca="1">IFERROR(IF(AE1563&lt;&gt;"ja",_xlfn.IFNA(_xlfn.IFS(AND(O1563&lt;&gt;"",F1563&lt;&gt;"",RIGHT($N1563,6)="tarief",F1563="Vergoeding"),SUM(O1563)*FLOOR(SUM(Q1563),0.0001),AND(O1563&lt;&gt;"",F1563&lt;&gt;"",RIGHT($N1563,6)="tarief"),SUM(O1563)*FLOOR(SUM(Q1563),0.01),S1563&gt;0,IF(F1563&lt;&gt;"",FLOOR(SUM(S1563),0.01),"")),""),""),"")</f>
        <v/>
      </c>
      <c r="X1563" s="314" t="str" cm="1">
        <f t="array" aca="1" ref="X1563" ca="1">IFERROR(IF(AE1563&lt;&gt;"ja",_xlfn.IFNA(_xlfn.IFS(AND(P1563&lt;&gt;"",R1563&lt;&gt;"",RIGHT($N1563,6)="tarief",F1563="Vergoeding"),SUM(P1563)*FLOOR(SUM(R1563),0.0001),AND(P1563&lt;&gt;"",R1563&lt;&gt;"",RIGHT($N1563,6)="tarief"),P1563*FLOOR(R1563,0.01),T1563&gt;0,FLOOR(SUM(T1563),0.01)),""),""),"")</f>
        <v/>
      </c>
      <c r="Y1563" s="314" t="str">
        <f t="shared" ca="1" si="98"/>
        <v/>
      </c>
      <c r="Z1563" s="314" t="str" cm="1">
        <f t="array" aca="1" ref="Z1563" ca="1">IFERROR(_xlfn.IFS(OR(F1563="",LEFT(Methode_Keuze,4)="Geen",Methode_Keuze=""),"",AND(W1563&lt;&gt;"",F1563&lt;&gt;"Arbeidskosten"),W1563*VLOOKUP(F1563,Tb_ProjectKosten[],MATCH(Tb_ProjectKosten[[#Headers],[Forfait_Percentage]],Tb_ProjectKosten[#Headers],0),0),AND(F1563="Arbeidskosten",G1563&lt;&gt;""),IFERROR(W1563*VLOOKUP(G1563,Tb_KostenTypen[],3,0)*VLOOKUP(F1563,Tb_ProjectKosten[],MATCH(Tb_ProjectKosten[[#Headers],[Forfait_Percentage]],Tb_ProjectKosten[#Headers],0),0),""),W1563 &lt;=0,0),"")</f>
        <v/>
      </c>
      <c r="AA1563" s="314" t="str" cm="1">
        <f t="array" aca="1" ref="AA1563" ca="1">IFERROR(_xlfn.IFS(OR(F1563="",LEFT(Methode_Keuze,4)="Geen",Methode_Keuze=""),"",AND(X1563&lt;&gt;"",F1563&lt;&gt;"Arbeidskosten"),X1563*VLOOKUP(F1563,Tb_ProjectKosten[],MATCH(Tb_ProjectKosten[[#Headers],[Forfait_Percentage]],Tb_ProjectKosten[#Headers],0),0),AND(F1563="Arbeidskosten",G1563&lt;&gt;""),IFERROR(X1563*VLOOKUP(G1563,Tb_KostenTypen[],3,0)*VLOOKUP(F1563,Tb_ProjectKosten[],MATCH(Tb_ProjectKosten[[#Headers],[Forfait_Percentage]],Tb_ProjectKosten[#Headers],0),0),""),X1563 &lt;=0,0),"")</f>
        <v/>
      </c>
      <c r="AB1563" s="314" t="str">
        <f t="shared" ca="1" si="99"/>
        <v/>
      </c>
      <c r="AC1563" s="322"/>
      <c r="AD1563" s="315"/>
      <c r="AE1563" s="32" t="str" cm="1">
        <f t="array" ref="AE1563">IFERROR(IF(INDEX(SubsidieTabel!$AD$1:$AG$12,MATCH($F1563,SubsidieTabel!$AD$1:$AD$12,0),IFERROR(MATCH(Methode_Keuze,SubsidieTabel!$AD$1:$AG$1,0),2))&lt;&gt;1=TRUE,"ja",""),"")</f>
        <v/>
      </c>
    </row>
    <row r="1564" spans="1:31" x14ac:dyDescent="0.25">
      <c r="A1564" s="316"/>
      <c r="B1564" s="317" t="str">
        <f>IF(A1564&lt;&gt;"",_xlfn.MAXIFS($B$1:B1563,$A$1:A1563,A1564)+1,"")</f>
        <v/>
      </c>
      <c r="C1564" s="296"/>
      <c r="D1564" s="296"/>
      <c r="E1564" s="296"/>
      <c r="F1564" s="296"/>
      <c r="G1564" s="326"/>
      <c r="H1564" s="324"/>
      <c r="I1564" s="325"/>
      <c r="J1564" s="325"/>
      <c r="K1564" s="318"/>
      <c r="L1564" s="318"/>
      <c r="M1564" s="319" t="str">
        <f>IFERROR(VLOOKUP(H1564,Lijsten!$H$1:$I$100,2,0),"")</f>
        <v/>
      </c>
      <c r="N1564" s="319" t="str">
        <f ca="1">IFERROR(IF(VLOOKUP(F1564,Kostentypen!$A$3:$E$21,3,0)=0,"",IF(OR(F1564="Arbeidskosten",F1564="Vergoeding"),VLOOKUP(G1564,Tb_KostenTypen[],2,0),VLOOKUP(F1564,Kostentypen!$A$3:$E$20,3,0))),"")</f>
        <v/>
      </c>
      <c r="O1564" s="320" t="str" cm="1">
        <f t="array" ref="O1564">_xlfn.IFNA(IF(INDEX(Tb_KostenOptiesDB[],MATCH($F1564,Tb_KostenOptiesDB[KostenOptie],0),IFERROR(MATCH(Methode_Keuze,Tb_KostenOptiesDB[#Headers],0),2))=1,_xlfn.SWITCH($N1564,"Uurtarief",IF(OR(AND(RIGHT($F1564,3)="IKS",VLOOKUP($M1564,DB_Loonkosten,2,0)="Ja"),AND(RIGHT($F1564,3)&lt;&gt;"IKS",VLOOKUP($M1564,DB_Loonkosten,2,0)="Nee")),IFERROR(VLOOKUP($M1564,DB_Loonkosten,24,0),""),0),"Vast tarief",IF(LEFT(F1564,8)="Bijdrage",VLOOKUP($F1564,Tb_KostenTypen[],MATCH(Lijsten!$P$1,Tb_KostenTypen[#Headers],0),0),VLOOKUP($G1564,Lijsten!L:P,MATCH(Lijsten!$P$1,Kop_Tarief_Vast,0),0))),""),"")</f>
        <v/>
      </c>
      <c r="P1564" s="320" t="str" cm="1">
        <f t="array" ref="P1564">_xlfn.IFNA(IF(INDEX(Tb_KostenOptiesDB[],MATCH($F1564,Tb_KostenOptiesDB[KostenOptie],0),IFERROR(MATCH(Methode_Keuze,Tb_KostenOptiesDB[#Headers],0),2))=1,_xlfn.SWITCH($N1564,"Uurtarief",IF(OR(AND(RIGHT($F1564,3)="IKS",VLOOKUP($M1564,DB_Loonkosten,2,0)="Ja"),AND(RIGHT($F1564,3)&lt;&gt;"IKS",VLOOKUP($M1564,DB_Loonkosten,2,0)="Nee")),IFERROR(VLOOKUP($M1564,DB_Loonkosten,25,0),""),0),"Vast tarief",IF(LEFT(F1564,8)="Bijdrage",VLOOKUP($F1564,Tb_KostenTypen[],MATCH(Lijsten!$P$1,Tb_KostenTypen[#Headers],0),0),VLOOKUP($G1564,Lijsten!L:P,MATCH(Lijsten!$P$1,Kop_Tarief_Vast,0),0))),""),"")</f>
        <v/>
      </c>
      <c r="Q1564" s="359"/>
      <c r="R1564" s="359"/>
      <c r="S1564" s="321"/>
      <c r="T1564" s="321"/>
      <c r="U1564" s="373" t="str">
        <f t="shared" si="96"/>
        <v/>
      </c>
      <c r="V1564" s="314" t="str">
        <f t="shared" si="97"/>
        <v/>
      </c>
      <c r="W1564" s="314" t="str" cm="1">
        <f t="array" aca="1" ref="W1564" ca="1">IFERROR(IF(AE1564&lt;&gt;"ja",_xlfn.IFNA(_xlfn.IFS(AND(O1564&lt;&gt;"",F1564&lt;&gt;"",RIGHT($N1564,6)="tarief",F1564="Vergoeding"),SUM(O1564)*FLOOR(SUM(Q1564),0.0001),AND(O1564&lt;&gt;"",F1564&lt;&gt;"",RIGHT($N1564,6)="tarief"),SUM(O1564)*FLOOR(SUM(Q1564),0.01),S1564&gt;0,IF(F1564&lt;&gt;"",FLOOR(SUM(S1564),0.01),"")),""),""),"")</f>
        <v/>
      </c>
      <c r="X1564" s="314" t="str" cm="1">
        <f t="array" aca="1" ref="X1564" ca="1">IFERROR(IF(AE1564&lt;&gt;"ja",_xlfn.IFNA(_xlfn.IFS(AND(P1564&lt;&gt;"",R1564&lt;&gt;"",RIGHT($N1564,6)="tarief",F1564="Vergoeding"),SUM(P1564)*FLOOR(SUM(R1564),0.0001),AND(P1564&lt;&gt;"",R1564&lt;&gt;"",RIGHT($N1564,6)="tarief"),P1564*FLOOR(R1564,0.01),T1564&gt;0,FLOOR(SUM(T1564),0.01)),""),""),"")</f>
        <v/>
      </c>
      <c r="Y1564" s="314" t="str">
        <f t="shared" ca="1" si="98"/>
        <v/>
      </c>
      <c r="Z1564" s="314" t="str" cm="1">
        <f t="array" aca="1" ref="Z1564" ca="1">IFERROR(_xlfn.IFS(OR(F1564="",LEFT(Methode_Keuze,4)="Geen",Methode_Keuze=""),"",AND(W1564&lt;&gt;"",F1564&lt;&gt;"Arbeidskosten"),W1564*VLOOKUP(F1564,Tb_ProjectKosten[],MATCH(Tb_ProjectKosten[[#Headers],[Forfait_Percentage]],Tb_ProjectKosten[#Headers],0),0),AND(F1564="Arbeidskosten",G1564&lt;&gt;""),IFERROR(W1564*VLOOKUP(G1564,Tb_KostenTypen[],3,0)*VLOOKUP(F1564,Tb_ProjectKosten[],MATCH(Tb_ProjectKosten[[#Headers],[Forfait_Percentage]],Tb_ProjectKosten[#Headers],0),0),""),W1564 &lt;=0,0),"")</f>
        <v/>
      </c>
      <c r="AA1564" s="314" t="str" cm="1">
        <f t="array" aca="1" ref="AA1564" ca="1">IFERROR(_xlfn.IFS(OR(F1564="",LEFT(Methode_Keuze,4)="Geen",Methode_Keuze=""),"",AND(X1564&lt;&gt;"",F1564&lt;&gt;"Arbeidskosten"),X1564*VLOOKUP(F1564,Tb_ProjectKosten[],MATCH(Tb_ProjectKosten[[#Headers],[Forfait_Percentage]],Tb_ProjectKosten[#Headers],0),0),AND(F1564="Arbeidskosten",G1564&lt;&gt;""),IFERROR(X1564*VLOOKUP(G1564,Tb_KostenTypen[],3,0)*VLOOKUP(F1564,Tb_ProjectKosten[],MATCH(Tb_ProjectKosten[[#Headers],[Forfait_Percentage]],Tb_ProjectKosten[#Headers],0),0),""),X1564 &lt;=0,0),"")</f>
        <v/>
      </c>
      <c r="AB1564" s="314" t="str">
        <f t="shared" ca="1" si="99"/>
        <v/>
      </c>
      <c r="AC1564" s="322"/>
      <c r="AD1564" s="315"/>
      <c r="AE1564" s="32" t="str" cm="1">
        <f t="array" ref="AE1564">IFERROR(IF(INDEX(SubsidieTabel!$AD$1:$AG$12,MATCH($F1564,SubsidieTabel!$AD$1:$AD$12,0),IFERROR(MATCH(Methode_Keuze,SubsidieTabel!$AD$1:$AG$1,0),2))&lt;&gt;1=TRUE,"ja",""),"")</f>
        <v/>
      </c>
    </row>
    <row r="1565" spans="1:31" x14ac:dyDescent="0.25">
      <c r="A1565" s="316"/>
      <c r="B1565" s="317" t="str">
        <f>IF(A1565&lt;&gt;"",_xlfn.MAXIFS($B$1:B1564,$A$1:A1564,A1565)+1,"")</f>
        <v/>
      </c>
      <c r="C1565" s="296"/>
      <c r="D1565" s="296"/>
      <c r="E1565" s="296"/>
      <c r="F1565" s="296"/>
      <c r="G1565" s="326"/>
      <c r="H1565" s="324"/>
      <c r="I1565" s="325"/>
      <c r="J1565" s="325"/>
      <c r="K1565" s="318"/>
      <c r="L1565" s="318"/>
      <c r="M1565" s="319" t="str">
        <f>IFERROR(VLOOKUP(H1565,Lijsten!$H$1:$I$100,2,0),"")</f>
        <v/>
      </c>
      <c r="N1565" s="319" t="str">
        <f ca="1">IFERROR(IF(VLOOKUP(F1565,Kostentypen!$A$3:$E$21,3,0)=0,"",IF(OR(F1565="Arbeidskosten",F1565="Vergoeding"),VLOOKUP(G1565,Tb_KostenTypen[],2,0),VLOOKUP(F1565,Kostentypen!$A$3:$E$20,3,0))),"")</f>
        <v/>
      </c>
      <c r="O1565" s="320" t="str" cm="1">
        <f t="array" ref="O1565">_xlfn.IFNA(IF(INDEX(Tb_KostenOptiesDB[],MATCH($F1565,Tb_KostenOptiesDB[KostenOptie],0),IFERROR(MATCH(Methode_Keuze,Tb_KostenOptiesDB[#Headers],0),2))=1,_xlfn.SWITCH($N1565,"Uurtarief",IF(OR(AND(RIGHT($F1565,3)="IKS",VLOOKUP($M1565,DB_Loonkosten,2,0)="Ja"),AND(RIGHT($F1565,3)&lt;&gt;"IKS",VLOOKUP($M1565,DB_Loonkosten,2,0)="Nee")),IFERROR(VLOOKUP($M1565,DB_Loonkosten,24,0),""),0),"Vast tarief",IF(LEFT(F1565,8)="Bijdrage",VLOOKUP($F1565,Tb_KostenTypen[],MATCH(Lijsten!$P$1,Tb_KostenTypen[#Headers],0),0),VLOOKUP($G1565,Lijsten!L:P,MATCH(Lijsten!$P$1,Kop_Tarief_Vast,0),0))),""),"")</f>
        <v/>
      </c>
      <c r="P1565" s="320" t="str" cm="1">
        <f t="array" ref="P1565">_xlfn.IFNA(IF(INDEX(Tb_KostenOptiesDB[],MATCH($F1565,Tb_KostenOptiesDB[KostenOptie],0),IFERROR(MATCH(Methode_Keuze,Tb_KostenOptiesDB[#Headers],0),2))=1,_xlfn.SWITCH($N1565,"Uurtarief",IF(OR(AND(RIGHT($F1565,3)="IKS",VLOOKUP($M1565,DB_Loonkosten,2,0)="Ja"),AND(RIGHT($F1565,3)&lt;&gt;"IKS",VLOOKUP($M1565,DB_Loonkosten,2,0)="Nee")),IFERROR(VLOOKUP($M1565,DB_Loonkosten,25,0),""),0),"Vast tarief",IF(LEFT(F1565,8)="Bijdrage",VLOOKUP($F1565,Tb_KostenTypen[],MATCH(Lijsten!$P$1,Tb_KostenTypen[#Headers],0),0),VLOOKUP($G1565,Lijsten!L:P,MATCH(Lijsten!$P$1,Kop_Tarief_Vast,0),0))),""),"")</f>
        <v/>
      </c>
      <c r="Q1565" s="359"/>
      <c r="R1565" s="359"/>
      <c r="S1565" s="321"/>
      <c r="T1565" s="321"/>
      <c r="U1565" s="373" t="str">
        <f t="shared" si="96"/>
        <v/>
      </c>
      <c r="V1565" s="314" t="str">
        <f t="shared" si="97"/>
        <v/>
      </c>
      <c r="W1565" s="314" t="str" cm="1">
        <f t="array" aca="1" ref="W1565" ca="1">IFERROR(IF(AE1565&lt;&gt;"ja",_xlfn.IFNA(_xlfn.IFS(AND(O1565&lt;&gt;"",F1565&lt;&gt;"",RIGHT($N1565,6)="tarief",F1565="Vergoeding"),SUM(O1565)*FLOOR(SUM(Q1565),0.0001),AND(O1565&lt;&gt;"",F1565&lt;&gt;"",RIGHT($N1565,6)="tarief"),SUM(O1565)*FLOOR(SUM(Q1565),0.01),S1565&gt;0,IF(F1565&lt;&gt;"",FLOOR(SUM(S1565),0.01),"")),""),""),"")</f>
        <v/>
      </c>
      <c r="X1565" s="314" t="str" cm="1">
        <f t="array" aca="1" ref="X1565" ca="1">IFERROR(IF(AE1565&lt;&gt;"ja",_xlfn.IFNA(_xlfn.IFS(AND(P1565&lt;&gt;"",R1565&lt;&gt;"",RIGHT($N1565,6)="tarief",F1565="Vergoeding"),SUM(P1565)*FLOOR(SUM(R1565),0.0001),AND(P1565&lt;&gt;"",R1565&lt;&gt;"",RIGHT($N1565,6)="tarief"),P1565*FLOOR(R1565,0.01),T1565&gt;0,FLOOR(SUM(T1565),0.01)),""),""),"")</f>
        <v/>
      </c>
      <c r="Y1565" s="314" t="str">
        <f t="shared" ca="1" si="98"/>
        <v/>
      </c>
      <c r="Z1565" s="314" t="str" cm="1">
        <f t="array" aca="1" ref="Z1565" ca="1">IFERROR(_xlfn.IFS(OR(F1565="",LEFT(Methode_Keuze,4)="Geen",Methode_Keuze=""),"",AND(W1565&lt;&gt;"",F1565&lt;&gt;"Arbeidskosten"),W1565*VLOOKUP(F1565,Tb_ProjectKosten[],MATCH(Tb_ProjectKosten[[#Headers],[Forfait_Percentage]],Tb_ProjectKosten[#Headers],0),0),AND(F1565="Arbeidskosten",G1565&lt;&gt;""),IFERROR(W1565*VLOOKUP(G1565,Tb_KostenTypen[],3,0)*VLOOKUP(F1565,Tb_ProjectKosten[],MATCH(Tb_ProjectKosten[[#Headers],[Forfait_Percentage]],Tb_ProjectKosten[#Headers],0),0),""),W1565 &lt;=0,0),"")</f>
        <v/>
      </c>
      <c r="AA1565" s="314" t="str" cm="1">
        <f t="array" aca="1" ref="AA1565" ca="1">IFERROR(_xlfn.IFS(OR(F1565="",LEFT(Methode_Keuze,4)="Geen",Methode_Keuze=""),"",AND(X1565&lt;&gt;"",F1565&lt;&gt;"Arbeidskosten"),X1565*VLOOKUP(F1565,Tb_ProjectKosten[],MATCH(Tb_ProjectKosten[[#Headers],[Forfait_Percentage]],Tb_ProjectKosten[#Headers],0),0),AND(F1565="Arbeidskosten",G1565&lt;&gt;""),IFERROR(X1565*VLOOKUP(G1565,Tb_KostenTypen[],3,0)*VLOOKUP(F1565,Tb_ProjectKosten[],MATCH(Tb_ProjectKosten[[#Headers],[Forfait_Percentage]],Tb_ProjectKosten[#Headers],0),0),""),X1565 &lt;=0,0),"")</f>
        <v/>
      </c>
      <c r="AB1565" s="314" t="str">
        <f t="shared" ca="1" si="99"/>
        <v/>
      </c>
      <c r="AC1565" s="322"/>
      <c r="AD1565" s="315"/>
      <c r="AE1565" s="32" t="str" cm="1">
        <f t="array" ref="AE1565">IFERROR(IF(INDEX(SubsidieTabel!$AD$1:$AG$12,MATCH($F1565,SubsidieTabel!$AD$1:$AD$12,0),IFERROR(MATCH(Methode_Keuze,SubsidieTabel!$AD$1:$AG$1,0),2))&lt;&gt;1=TRUE,"ja",""),"")</f>
        <v/>
      </c>
    </row>
    <row r="1566" spans="1:31" x14ac:dyDescent="0.25">
      <c r="A1566" s="316"/>
      <c r="B1566" s="317" t="str">
        <f>IF(A1566&lt;&gt;"",_xlfn.MAXIFS($B$1:B1565,$A$1:A1565,A1566)+1,"")</f>
        <v/>
      </c>
      <c r="C1566" s="296"/>
      <c r="D1566" s="296"/>
      <c r="E1566" s="296"/>
      <c r="F1566" s="296"/>
      <c r="G1566" s="326"/>
      <c r="H1566" s="324"/>
      <c r="I1566" s="325"/>
      <c r="J1566" s="325"/>
      <c r="K1566" s="318"/>
      <c r="L1566" s="318"/>
      <c r="M1566" s="319" t="str">
        <f>IFERROR(VLOOKUP(H1566,Lijsten!$H$1:$I$100,2,0),"")</f>
        <v/>
      </c>
      <c r="N1566" s="319" t="str">
        <f ca="1">IFERROR(IF(VLOOKUP(F1566,Kostentypen!$A$3:$E$21,3,0)=0,"",IF(OR(F1566="Arbeidskosten",F1566="Vergoeding"),VLOOKUP(G1566,Tb_KostenTypen[],2,0),VLOOKUP(F1566,Kostentypen!$A$3:$E$20,3,0))),"")</f>
        <v/>
      </c>
      <c r="O1566" s="320" t="str" cm="1">
        <f t="array" ref="O1566">_xlfn.IFNA(IF(INDEX(Tb_KostenOptiesDB[],MATCH($F1566,Tb_KostenOptiesDB[KostenOptie],0),IFERROR(MATCH(Methode_Keuze,Tb_KostenOptiesDB[#Headers],0),2))=1,_xlfn.SWITCH($N1566,"Uurtarief",IF(OR(AND(RIGHT($F1566,3)="IKS",VLOOKUP($M1566,DB_Loonkosten,2,0)="Ja"),AND(RIGHT($F1566,3)&lt;&gt;"IKS",VLOOKUP($M1566,DB_Loonkosten,2,0)="Nee")),IFERROR(VLOOKUP($M1566,DB_Loonkosten,24,0),""),0),"Vast tarief",IF(LEFT(F1566,8)="Bijdrage",VLOOKUP($F1566,Tb_KostenTypen[],MATCH(Lijsten!$P$1,Tb_KostenTypen[#Headers],0),0),VLOOKUP($G1566,Lijsten!L:P,MATCH(Lijsten!$P$1,Kop_Tarief_Vast,0),0))),""),"")</f>
        <v/>
      </c>
      <c r="P1566" s="320" t="str" cm="1">
        <f t="array" ref="P1566">_xlfn.IFNA(IF(INDEX(Tb_KostenOptiesDB[],MATCH($F1566,Tb_KostenOptiesDB[KostenOptie],0),IFERROR(MATCH(Methode_Keuze,Tb_KostenOptiesDB[#Headers],0),2))=1,_xlfn.SWITCH($N1566,"Uurtarief",IF(OR(AND(RIGHT($F1566,3)="IKS",VLOOKUP($M1566,DB_Loonkosten,2,0)="Ja"),AND(RIGHT($F1566,3)&lt;&gt;"IKS",VLOOKUP($M1566,DB_Loonkosten,2,0)="Nee")),IFERROR(VLOOKUP($M1566,DB_Loonkosten,25,0),""),0),"Vast tarief",IF(LEFT(F1566,8)="Bijdrage",VLOOKUP($F1566,Tb_KostenTypen[],MATCH(Lijsten!$P$1,Tb_KostenTypen[#Headers],0),0),VLOOKUP($G1566,Lijsten!L:P,MATCH(Lijsten!$P$1,Kop_Tarief_Vast,0),0))),""),"")</f>
        <v/>
      </c>
      <c r="Q1566" s="359"/>
      <c r="R1566" s="359"/>
      <c r="S1566" s="321"/>
      <c r="T1566" s="321"/>
      <c r="U1566" s="373" t="str">
        <f t="shared" si="96"/>
        <v/>
      </c>
      <c r="V1566" s="314" t="str">
        <f t="shared" si="97"/>
        <v/>
      </c>
      <c r="W1566" s="314" t="str" cm="1">
        <f t="array" aca="1" ref="W1566" ca="1">IFERROR(IF(AE1566&lt;&gt;"ja",_xlfn.IFNA(_xlfn.IFS(AND(O1566&lt;&gt;"",F1566&lt;&gt;"",RIGHT($N1566,6)="tarief",F1566="Vergoeding"),SUM(O1566)*FLOOR(SUM(Q1566),0.0001),AND(O1566&lt;&gt;"",F1566&lt;&gt;"",RIGHT($N1566,6)="tarief"),SUM(O1566)*FLOOR(SUM(Q1566),0.01),S1566&gt;0,IF(F1566&lt;&gt;"",FLOOR(SUM(S1566),0.01),"")),""),""),"")</f>
        <v/>
      </c>
      <c r="X1566" s="314" t="str" cm="1">
        <f t="array" aca="1" ref="X1566" ca="1">IFERROR(IF(AE1566&lt;&gt;"ja",_xlfn.IFNA(_xlfn.IFS(AND(P1566&lt;&gt;"",R1566&lt;&gt;"",RIGHT($N1566,6)="tarief",F1566="Vergoeding"),SUM(P1566)*FLOOR(SUM(R1566),0.0001),AND(P1566&lt;&gt;"",R1566&lt;&gt;"",RIGHT($N1566,6)="tarief"),P1566*FLOOR(R1566,0.01),T1566&gt;0,FLOOR(SUM(T1566),0.01)),""),""),"")</f>
        <v/>
      </c>
      <c r="Y1566" s="314" t="str">
        <f t="shared" ca="1" si="98"/>
        <v/>
      </c>
      <c r="Z1566" s="314" t="str" cm="1">
        <f t="array" aca="1" ref="Z1566" ca="1">IFERROR(_xlfn.IFS(OR(F1566="",LEFT(Methode_Keuze,4)="Geen",Methode_Keuze=""),"",AND(W1566&lt;&gt;"",F1566&lt;&gt;"Arbeidskosten"),W1566*VLOOKUP(F1566,Tb_ProjectKosten[],MATCH(Tb_ProjectKosten[[#Headers],[Forfait_Percentage]],Tb_ProjectKosten[#Headers],0),0),AND(F1566="Arbeidskosten",G1566&lt;&gt;""),IFERROR(W1566*VLOOKUP(G1566,Tb_KostenTypen[],3,0)*VLOOKUP(F1566,Tb_ProjectKosten[],MATCH(Tb_ProjectKosten[[#Headers],[Forfait_Percentage]],Tb_ProjectKosten[#Headers],0),0),""),W1566 &lt;=0,0),"")</f>
        <v/>
      </c>
      <c r="AA1566" s="314" t="str" cm="1">
        <f t="array" aca="1" ref="AA1566" ca="1">IFERROR(_xlfn.IFS(OR(F1566="",LEFT(Methode_Keuze,4)="Geen",Methode_Keuze=""),"",AND(X1566&lt;&gt;"",F1566&lt;&gt;"Arbeidskosten"),X1566*VLOOKUP(F1566,Tb_ProjectKosten[],MATCH(Tb_ProjectKosten[[#Headers],[Forfait_Percentage]],Tb_ProjectKosten[#Headers],0),0),AND(F1566="Arbeidskosten",G1566&lt;&gt;""),IFERROR(X1566*VLOOKUP(G1566,Tb_KostenTypen[],3,0)*VLOOKUP(F1566,Tb_ProjectKosten[],MATCH(Tb_ProjectKosten[[#Headers],[Forfait_Percentage]],Tb_ProjectKosten[#Headers],0),0),""),X1566 &lt;=0,0),"")</f>
        <v/>
      </c>
      <c r="AB1566" s="314" t="str">
        <f t="shared" ca="1" si="99"/>
        <v/>
      </c>
      <c r="AC1566" s="322"/>
      <c r="AD1566" s="315"/>
      <c r="AE1566" s="32" t="str" cm="1">
        <f t="array" ref="AE1566">IFERROR(IF(INDEX(SubsidieTabel!$AD$1:$AG$12,MATCH($F1566,SubsidieTabel!$AD$1:$AD$12,0),IFERROR(MATCH(Methode_Keuze,SubsidieTabel!$AD$1:$AG$1,0),2))&lt;&gt;1=TRUE,"ja",""),"")</f>
        <v/>
      </c>
    </row>
    <row r="1567" spans="1:31" x14ac:dyDescent="0.25">
      <c r="A1567" s="316"/>
      <c r="B1567" s="317" t="str">
        <f>IF(A1567&lt;&gt;"",_xlfn.MAXIFS($B$1:B1566,$A$1:A1566,A1567)+1,"")</f>
        <v/>
      </c>
      <c r="C1567" s="296"/>
      <c r="D1567" s="296"/>
      <c r="E1567" s="296"/>
      <c r="F1567" s="296"/>
      <c r="G1567" s="326"/>
      <c r="H1567" s="324"/>
      <c r="I1567" s="325"/>
      <c r="J1567" s="325"/>
      <c r="K1567" s="318"/>
      <c r="L1567" s="318"/>
      <c r="M1567" s="319" t="str">
        <f>IFERROR(VLOOKUP(H1567,Lijsten!$H$1:$I$100,2,0),"")</f>
        <v/>
      </c>
      <c r="N1567" s="319" t="str">
        <f ca="1">IFERROR(IF(VLOOKUP(F1567,Kostentypen!$A$3:$E$21,3,0)=0,"",IF(OR(F1567="Arbeidskosten",F1567="Vergoeding"),VLOOKUP(G1567,Tb_KostenTypen[],2,0),VLOOKUP(F1567,Kostentypen!$A$3:$E$20,3,0))),"")</f>
        <v/>
      </c>
      <c r="O1567" s="320" t="str" cm="1">
        <f t="array" ref="O1567">_xlfn.IFNA(IF(INDEX(Tb_KostenOptiesDB[],MATCH($F1567,Tb_KostenOptiesDB[KostenOptie],0),IFERROR(MATCH(Methode_Keuze,Tb_KostenOptiesDB[#Headers],0),2))=1,_xlfn.SWITCH($N1567,"Uurtarief",IF(OR(AND(RIGHT($F1567,3)="IKS",VLOOKUP($M1567,DB_Loonkosten,2,0)="Ja"),AND(RIGHT($F1567,3)&lt;&gt;"IKS",VLOOKUP($M1567,DB_Loonkosten,2,0)="Nee")),IFERROR(VLOOKUP($M1567,DB_Loonkosten,24,0),""),0),"Vast tarief",IF(LEFT(F1567,8)="Bijdrage",VLOOKUP($F1567,Tb_KostenTypen[],MATCH(Lijsten!$P$1,Tb_KostenTypen[#Headers],0),0),VLOOKUP($G1567,Lijsten!L:P,MATCH(Lijsten!$P$1,Kop_Tarief_Vast,0),0))),""),"")</f>
        <v/>
      </c>
      <c r="P1567" s="320" t="str" cm="1">
        <f t="array" ref="P1567">_xlfn.IFNA(IF(INDEX(Tb_KostenOptiesDB[],MATCH($F1567,Tb_KostenOptiesDB[KostenOptie],0),IFERROR(MATCH(Methode_Keuze,Tb_KostenOptiesDB[#Headers],0),2))=1,_xlfn.SWITCH($N1567,"Uurtarief",IF(OR(AND(RIGHT($F1567,3)="IKS",VLOOKUP($M1567,DB_Loonkosten,2,0)="Ja"),AND(RIGHT($F1567,3)&lt;&gt;"IKS",VLOOKUP($M1567,DB_Loonkosten,2,0)="Nee")),IFERROR(VLOOKUP($M1567,DB_Loonkosten,25,0),""),0),"Vast tarief",IF(LEFT(F1567,8)="Bijdrage",VLOOKUP($F1567,Tb_KostenTypen[],MATCH(Lijsten!$P$1,Tb_KostenTypen[#Headers],0),0),VLOOKUP($G1567,Lijsten!L:P,MATCH(Lijsten!$P$1,Kop_Tarief_Vast,0),0))),""),"")</f>
        <v/>
      </c>
      <c r="Q1567" s="359"/>
      <c r="R1567" s="359"/>
      <c r="S1567" s="321"/>
      <c r="T1567" s="321"/>
      <c r="U1567" s="373" t="str">
        <f t="shared" si="96"/>
        <v/>
      </c>
      <c r="V1567" s="314" t="str">
        <f t="shared" si="97"/>
        <v/>
      </c>
      <c r="W1567" s="314" t="str" cm="1">
        <f t="array" aca="1" ref="W1567" ca="1">IFERROR(IF(AE1567&lt;&gt;"ja",_xlfn.IFNA(_xlfn.IFS(AND(O1567&lt;&gt;"",F1567&lt;&gt;"",RIGHT($N1567,6)="tarief",F1567="Vergoeding"),SUM(O1567)*FLOOR(SUM(Q1567),0.0001),AND(O1567&lt;&gt;"",F1567&lt;&gt;"",RIGHT($N1567,6)="tarief"),SUM(O1567)*FLOOR(SUM(Q1567),0.01),S1567&gt;0,IF(F1567&lt;&gt;"",FLOOR(SUM(S1567),0.01),"")),""),""),"")</f>
        <v/>
      </c>
      <c r="X1567" s="314" t="str" cm="1">
        <f t="array" aca="1" ref="X1567" ca="1">IFERROR(IF(AE1567&lt;&gt;"ja",_xlfn.IFNA(_xlfn.IFS(AND(P1567&lt;&gt;"",R1567&lt;&gt;"",RIGHT($N1567,6)="tarief",F1567="Vergoeding"),SUM(P1567)*FLOOR(SUM(R1567),0.0001),AND(P1567&lt;&gt;"",R1567&lt;&gt;"",RIGHT($N1567,6)="tarief"),P1567*FLOOR(R1567,0.01),T1567&gt;0,FLOOR(SUM(T1567),0.01)),""),""),"")</f>
        <v/>
      </c>
      <c r="Y1567" s="314" t="str">
        <f t="shared" ca="1" si="98"/>
        <v/>
      </c>
      <c r="Z1567" s="314" t="str" cm="1">
        <f t="array" aca="1" ref="Z1567" ca="1">IFERROR(_xlfn.IFS(OR(F1567="",LEFT(Methode_Keuze,4)="Geen",Methode_Keuze=""),"",AND(W1567&lt;&gt;"",F1567&lt;&gt;"Arbeidskosten"),W1567*VLOOKUP(F1567,Tb_ProjectKosten[],MATCH(Tb_ProjectKosten[[#Headers],[Forfait_Percentage]],Tb_ProjectKosten[#Headers],0),0),AND(F1567="Arbeidskosten",G1567&lt;&gt;""),IFERROR(W1567*VLOOKUP(G1567,Tb_KostenTypen[],3,0)*VLOOKUP(F1567,Tb_ProjectKosten[],MATCH(Tb_ProjectKosten[[#Headers],[Forfait_Percentage]],Tb_ProjectKosten[#Headers],0),0),""),W1567 &lt;=0,0),"")</f>
        <v/>
      </c>
      <c r="AA1567" s="314" t="str" cm="1">
        <f t="array" aca="1" ref="AA1567" ca="1">IFERROR(_xlfn.IFS(OR(F1567="",LEFT(Methode_Keuze,4)="Geen",Methode_Keuze=""),"",AND(X1567&lt;&gt;"",F1567&lt;&gt;"Arbeidskosten"),X1567*VLOOKUP(F1567,Tb_ProjectKosten[],MATCH(Tb_ProjectKosten[[#Headers],[Forfait_Percentage]],Tb_ProjectKosten[#Headers],0),0),AND(F1567="Arbeidskosten",G1567&lt;&gt;""),IFERROR(X1567*VLOOKUP(G1567,Tb_KostenTypen[],3,0)*VLOOKUP(F1567,Tb_ProjectKosten[],MATCH(Tb_ProjectKosten[[#Headers],[Forfait_Percentage]],Tb_ProjectKosten[#Headers],0),0),""),X1567 &lt;=0,0),"")</f>
        <v/>
      </c>
      <c r="AB1567" s="314" t="str">
        <f t="shared" ca="1" si="99"/>
        <v/>
      </c>
      <c r="AC1567" s="322"/>
      <c r="AD1567" s="315"/>
      <c r="AE1567" s="32" t="str" cm="1">
        <f t="array" ref="AE1567">IFERROR(IF(INDEX(SubsidieTabel!$AD$1:$AG$12,MATCH($F1567,SubsidieTabel!$AD$1:$AD$12,0),IFERROR(MATCH(Methode_Keuze,SubsidieTabel!$AD$1:$AG$1,0),2))&lt;&gt;1=TRUE,"ja",""),"")</f>
        <v/>
      </c>
    </row>
    <row r="1568" spans="1:31" x14ac:dyDescent="0.25">
      <c r="A1568" s="316"/>
      <c r="B1568" s="317" t="str">
        <f>IF(A1568&lt;&gt;"",_xlfn.MAXIFS($B$1:B1567,$A$1:A1567,A1568)+1,"")</f>
        <v/>
      </c>
      <c r="C1568" s="296"/>
      <c r="D1568" s="296"/>
      <c r="E1568" s="296"/>
      <c r="F1568" s="296"/>
      <c r="G1568" s="326"/>
      <c r="H1568" s="324"/>
      <c r="I1568" s="325"/>
      <c r="J1568" s="325"/>
      <c r="K1568" s="318"/>
      <c r="L1568" s="318"/>
      <c r="M1568" s="319" t="str">
        <f>IFERROR(VLOOKUP(H1568,Lijsten!$H$1:$I$100,2,0),"")</f>
        <v/>
      </c>
      <c r="N1568" s="319" t="str">
        <f ca="1">IFERROR(IF(VLOOKUP(F1568,Kostentypen!$A$3:$E$21,3,0)=0,"",IF(OR(F1568="Arbeidskosten",F1568="Vergoeding"),VLOOKUP(G1568,Tb_KostenTypen[],2,0),VLOOKUP(F1568,Kostentypen!$A$3:$E$20,3,0))),"")</f>
        <v/>
      </c>
      <c r="O1568" s="320" t="str" cm="1">
        <f t="array" ref="O1568">_xlfn.IFNA(IF(INDEX(Tb_KostenOptiesDB[],MATCH($F1568,Tb_KostenOptiesDB[KostenOptie],0),IFERROR(MATCH(Methode_Keuze,Tb_KostenOptiesDB[#Headers],0),2))=1,_xlfn.SWITCH($N1568,"Uurtarief",IF(OR(AND(RIGHT($F1568,3)="IKS",VLOOKUP($M1568,DB_Loonkosten,2,0)="Ja"),AND(RIGHT($F1568,3)&lt;&gt;"IKS",VLOOKUP($M1568,DB_Loonkosten,2,0)="Nee")),IFERROR(VLOOKUP($M1568,DB_Loonkosten,24,0),""),0),"Vast tarief",IF(LEFT(F1568,8)="Bijdrage",VLOOKUP($F1568,Tb_KostenTypen[],MATCH(Lijsten!$P$1,Tb_KostenTypen[#Headers],0),0),VLOOKUP($G1568,Lijsten!L:P,MATCH(Lijsten!$P$1,Kop_Tarief_Vast,0),0))),""),"")</f>
        <v/>
      </c>
      <c r="P1568" s="320" t="str" cm="1">
        <f t="array" ref="P1568">_xlfn.IFNA(IF(INDEX(Tb_KostenOptiesDB[],MATCH($F1568,Tb_KostenOptiesDB[KostenOptie],0),IFERROR(MATCH(Methode_Keuze,Tb_KostenOptiesDB[#Headers],0),2))=1,_xlfn.SWITCH($N1568,"Uurtarief",IF(OR(AND(RIGHT($F1568,3)="IKS",VLOOKUP($M1568,DB_Loonkosten,2,0)="Ja"),AND(RIGHT($F1568,3)&lt;&gt;"IKS",VLOOKUP($M1568,DB_Loonkosten,2,0)="Nee")),IFERROR(VLOOKUP($M1568,DB_Loonkosten,25,0),""),0),"Vast tarief",IF(LEFT(F1568,8)="Bijdrage",VLOOKUP($F1568,Tb_KostenTypen[],MATCH(Lijsten!$P$1,Tb_KostenTypen[#Headers],0),0),VLOOKUP($G1568,Lijsten!L:P,MATCH(Lijsten!$P$1,Kop_Tarief_Vast,0),0))),""),"")</f>
        <v/>
      </c>
      <c r="Q1568" s="359"/>
      <c r="R1568" s="359"/>
      <c r="S1568" s="321"/>
      <c r="T1568" s="321"/>
      <c r="U1568" s="373" t="str">
        <f t="shared" si="96"/>
        <v/>
      </c>
      <c r="V1568" s="314" t="str">
        <f t="shared" si="97"/>
        <v/>
      </c>
      <c r="W1568" s="314" t="str" cm="1">
        <f t="array" aca="1" ref="W1568" ca="1">IFERROR(IF(AE1568&lt;&gt;"ja",_xlfn.IFNA(_xlfn.IFS(AND(O1568&lt;&gt;"",F1568&lt;&gt;"",RIGHT($N1568,6)="tarief",F1568="Vergoeding"),SUM(O1568)*FLOOR(SUM(Q1568),0.0001),AND(O1568&lt;&gt;"",F1568&lt;&gt;"",RIGHT($N1568,6)="tarief"),SUM(O1568)*FLOOR(SUM(Q1568),0.01),S1568&gt;0,IF(F1568&lt;&gt;"",FLOOR(SUM(S1568),0.01),"")),""),""),"")</f>
        <v/>
      </c>
      <c r="X1568" s="314" t="str" cm="1">
        <f t="array" aca="1" ref="X1568" ca="1">IFERROR(IF(AE1568&lt;&gt;"ja",_xlfn.IFNA(_xlfn.IFS(AND(P1568&lt;&gt;"",R1568&lt;&gt;"",RIGHT($N1568,6)="tarief",F1568="Vergoeding"),SUM(P1568)*FLOOR(SUM(R1568),0.0001),AND(P1568&lt;&gt;"",R1568&lt;&gt;"",RIGHT($N1568,6)="tarief"),P1568*FLOOR(R1568,0.01),T1568&gt;0,FLOOR(SUM(T1568),0.01)),""),""),"")</f>
        <v/>
      </c>
      <c r="Y1568" s="314" t="str">
        <f t="shared" ca="1" si="98"/>
        <v/>
      </c>
      <c r="Z1568" s="314" t="str" cm="1">
        <f t="array" aca="1" ref="Z1568" ca="1">IFERROR(_xlfn.IFS(OR(F1568="",LEFT(Methode_Keuze,4)="Geen",Methode_Keuze=""),"",AND(W1568&lt;&gt;"",F1568&lt;&gt;"Arbeidskosten"),W1568*VLOOKUP(F1568,Tb_ProjectKosten[],MATCH(Tb_ProjectKosten[[#Headers],[Forfait_Percentage]],Tb_ProjectKosten[#Headers],0),0),AND(F1568="Arbeidskosten",G1568&lt;&gt;""),IFERROR(W1568*VLOOKUP(G1568,Tb_KostenTypen[],3,0)*VLOOKUP(F1568,Tb_ProjectKosten[],MATCH(Tb_ProjectKosten[[#Headers],[Forfait_Percentage]],Tb_ProjectKosten[#Headers],0),0),""),W1568 &lt;=0,0),"")</f>
        <v/>
      </c>
      <c r="AA1568" s="314" t="str" cm="1">
        <f t="array" aca="1" ref="AA1568" ca="1">IFERROR(_xlfn.IFS(OR(F1568="",LEFT(Methode_Keuze,4)="Geen",Methode_Keuze=""),"",AND(X1568&lt;&gt;"",F1568&lt;&gt;"Arbeidskosten"),X1568*VLOOKUP(F1568,Tb_ProjectKosten[],MATCH(Tb_ProjectKosten[[#Headers],[Forfait_Percentage]],Tb_ProjectKosten[#Headers],0),0),AND(F1568="Arbeidskosten",G1568&lt;&gt;""),IFERROR(X1568*VLOOKUP(G1568,Tb_KostenTypen[],3,0)*VLOOKUP(F1568,Tb_ProjectKosten[],MATCH(Tb_ProjectKosten[[#Headers],[Forfait_Percentage]],Tb_ProjectKosten[#Headers],0),0),""),X1568 &lt;=0,0),"")</f>
        <v/>
      </c>
      <c r="AB1568" s="314" t="str">
        <f t="shared" ca="1" si="99"/>
        <v/>
      </c>
      <c r="AC1568" s="322"/>
      <c r="AD1568" s="315"/>
      <c r="AE1568" s="32" t="str" cm="1">
        <f t="array" ref="AE1568">IFERROR(IF(INDEX(SubsidieTabel!$AD$1:$AG$12,MATCH($F1568,SubsidieTabel!$AD$1:$AD$12,0),IFERROR(MATCH(Methode_Keuze,SubsidieTabel!$AD$1:$AG$1,0),2))&lt;&gt;1=TRUE,"ja",""),"")</f>
        <v/>
      </c>
    </row>
    <row r="1569" spans="1:31" x14ac:dyDescent="0.25">
      <c r="A1569" s="316"/>
      <c r="B1569" s="317" t="str">
        <f>IF(A1569&lt;&gt;"",_xlfn.MAXIFS($B$1:B1568,$A$1:A1568,A1569)+1,"")</f>
        <v/>
      </c>
      <c r="C1569" s="296"/>
      <c r="D1569" s="296"/>
      <c r="E1569" s="296"/>
      <c r="F1569" s="296"/>
      <c r="G1569" s="326"/>
      <c r="H1569" s="324"/>
      <c r="I1569" s="325"/>
      <c r="J1569" s="325"/>
      <c r="K1569" s="318"/>
      <c r="L1569" s="318"/>
      <c r="M1569" s="319" t="str">
        <f>IFERROR(VLOOKUP(H1569,Lijsten!$H$1:$I$100,2,0),"")</f>
        <v/>
      </c>
      <c r="N1569" s="319" t="str">
        <f ca="1">IFERROR(IF(VLOOKUP(F1569,Kostentypen!$A$3:$E$21,3,0)=0,"",IF(OR(F1569="Arbeidskosten",F1569="Vergoeding"),VLOOKUP(G1569,Tb_KostenTypen[],2,0),VLOOKUP(F1569,Kostentypen!$A$3:$E$20,3,0))),"")</f>
        <v/>
      </c>
      <c r="O1569" s="320" t="str" cm="1">
        <f t="array" ref="O1569">_xlfn.IFNA(IF(INDEX(Tb_KostenOptiesDB[],MATCH($F1569,Tb_KostenOptiesDB[KostenOptie],0),IFERROR(MATCH(Methode_Keuze,Tb_KostenOptiesDB[#Headers],0),2))=1,_xlfn.SWITCH($N1569,"Uurtarief",IF(OR(AND(RIGHT($F1569,3)="IKS",VLOOKUP($M1569,DB_Loonkosten,2,0)="Ja"),AND(RIGHT($F1569,3)&lt;&gt;"IKS",VLOOKUP($M1569,DB_Loonkosten,2,0)="Nee")),IFERROR(VLOOKUP($M1569,DB_Loonkosten,24,0),""),0),"Vast tarief",IF(LEFT(F1569,8)="Bijdrage",VLOOKUP($F1569,Tb_KostenTypen[],MATCH(Lijsten!$P$1,Tb_KostenTypen[#Headers],0),0),VLOOKUP($G1569,Lijsten!L:P,MATCH(Lijsten!$P$1,Kop_Tarief_Vast,0),0))),""),"")</f>
        <v/>
      </c>
      <c r="P1569" s="320" t="str" cm="1">
        <f t="array" ref="P1569">_xlfn.IFNA(IF(INDEX(Tb_KostenOptiesDB[],MATCH($F1569,Tb_KostenOptiesDB[KostenOptie],0),IFERROR(MATCH(Methode_Keuze,Tb_KostenOptiesDB[#Headers],0),2))=1,_xlfn.SWITCH($N1569,"Uurtarief",IF(OR(AND(RIGHT($F1569,3)="IKS",VLOOKUP($M1569,DB_Loonkosten,2,0)="Ja"),AND(RIGHT($F1569,3)&lt;&gt;"IKS",VLOOKUP($M1569,DB_Loonkosten,2,0)="Nee")),IFERROR(VLOOKUP($M1569,DB_Loonkosten,25,0),""),0),"Vast tarief",IF(LEFT(F1569,8)="Bijdrage",VLOOKUP($F1569,Tb_KostenTypen[],MATCH(Lijsten!$P$1,Tb_KostenTypen[#Headers],0),0),VLOOKUP($G1569,Lijsten!L:P,MATCH(Lijsten!$P$1,Kop_Tarief_Vast,0),0))),""),"")</f>
        <v/>
      </c>
      <c r="Q1569" s="359"/>
      <c r="R1569" s="359"/>
      <c r="S1569" s="321"/>
      <c r="T1569" s="321"/>
      <c r="U1569" s="373" t="str">
        <f t="shared" si="96"/>
        <v/>
      </c>
      <c r="V1569" s="314" t="str">
        <f t="shared" si="97"/>
        <v/>
      </c>
      <c r="W1569" s="314" t="str" cm="1">
        <f t="array" aca="1" ref="W1569" ca="1">IFERROR(IF(AE1569&lt;&gt;"ja",_xlfn.IFNA(_xlfn.IFS(AND(O1569&lt;&gt;"",F1569&lt;&gt;"",RIGHT($N1569,6)="tarief",F1569="Vergoeding"),SUM(O1569)*FLOOR(SUM(Q1569),0.0001),AND(O1569&lt;&gt;"",F1569&lt;&gt;"",RIGHT($N1569,6)="tarief"),SUM(O1569)*FLOOR(SUM(Q1569),0.01),S1569&gt;0,IF(F1569&lt;&gt;"",FLOOR(SUM(S1569),0.01),"")),""),""),"")</f>
        <v/>
      </c>
      <c r="X1569" s="314" t="str" cm="1">
        <f t="array" aca="1" ref="X1569" ca="1">IFERROR(IF(AE1569&lt;&gt;"ja",_xlfn.IFNA(_xlfn.IFS(AND(P1569&lt;&gt;"",R1569&lt;&gt;"",RIGHT($N1569,6)="tarief",F1569="Vergoeding"),SUM(P1569)*FLOOR(SUM(R1569),0.0001),AND(P1569&lt;&gt;"",R1569&lt;&gt;"",RIGHT($N1569,6)="tarief"),P1569*FLOOR(R1569,0.01),T1569&gt;0,FLOOR(SUM(T1569),0.01)),""),""),"")</f>
        <v/>
      </c>
      <c r="Y1569" s="314" t="str">
        <f t="shared" ca="1" si="98"/>
        <v/>
      </c>
      <c r="Z1569" s="314" t="str" cm="1">
        <f t="array" aca="1" ref="Z1569" ca="1">IFERROR(_xlfn.IFS(OR(F1569="",LEFT(Methode_Keuze,4)="Geen",Methode_Keuze=""),"",AND(W1569&lt;&gt;"",F1569&lt;&gt;"Arbeidskosten"),W1569*VLOOKUP(F1569,Tb_ProjectKosten[],MATCH(Tb_ProjectKosten[[#Headers],[Forfait_Percentage]],Tb_ProjectKosten[#Headers],0),0),AND(F1569="Arbeidskosten",G1569&lt;&gt;""),IFERROR(W1569*VLOOKUP(G1569,Tb_KostenTypen[],3,0)*VLOOKUP(F1569,Tb_ProjectKosten[],MATCH(Tb_ProjectKosten[[#Headers],[Forfait_Percentage]],Tb_ProjectKosten[#Headers],0),0),""),W1569 &lt;=0,0),"")</f>
        <v/>
      </c>
      <c r="AA1569" s="314" t="str" cm="1">
        <f t="array" aca="1" ref="AA1569" ca="1">IFERROR(_xlfn.IFS(OR(F1569="",LEFT(Methode_Keuze,4)="Geen",Methode_Keuze=""),"",AND(X1569&lt;&gt;"",F1569&lt;&gt;"Arbeidskosten"),X1569*VLOOKUP(F1569,Tb_ProjectKosten[],MATCH(Tb_ProjectKosten[[#Headers],[Forfait_Percentage]],Tb_ProjectKosten[#Headers],0),0),AND(F1569="Arbeidskosten",G1569&lt;&gt;""),IFERROR(X1569*VLOOKUP(G1569,Tb_KostenTypen[],3,0)*VLOOKUP(F1569,Tb_ProjectKosten[],MATCH(Tb_ProjectKosten[[#Headers],[Forfait_Percentage]],Tb_ProjectKosten[#Headers],0),0),""),X1569 &lt;=0,0),"")</f>
        <v/>
      </c>
      <c r="AB1569" s="314" t="str">
        <f t="shared" ca="1" si="99"/>
        <v/>
      </c>
      <c r="AC1569" s="322"/>
      <c r="AD1569" s="315"/>
      <c r="AE1569" s="32" t="str" cm="1">
        <f t="array" ref="AE1569">IFERROR(IF(INDEX(SubsidieTabel!$AD$1:$AG$12,MATCH($F1569,SubsidieTabel!$AD$1:$AD$12,0),IFERROR(MATCH(Methode_Keuze,SubsidieTabel!$AD$1:$AG$1,0),2))&lt;&gt;1=TRUE,"ja",""),"")</f>
        <v/>
      </c>
    </row>
    <row r="1570" spans="1:31" x14ac:dyDescent="0.25">
      <c r="A1570" s="316"/>
      <c r="B1570" s="317" t="str">
        <f>IF(A1570&lt;&gt;"",_xlfn.MAXIFS($B$1:B1569,$A$1:A1569,A1570)+1,"")</f>
        <v/>
      </c>
      <c r="C1570" s="296"/>
      <c r="D1570" s="296"/>
      <c r="E1570" s="296"/>
      <c r="F1570" s="296"/>
      <c r="G1570" s="326"/>
      <c r="H1570" s="324"/>
      <c r="I1570" s="325"/>
      <c r="J1570" s="325"/>
      <c r="K1570" s="318"/>
      <c r="L1570" s="318"/>
      <c r="M1570" s="319" t="str">
        <f>IFERROR(VLOOKUP(H1570,Lijsten!$H$1:$I$100,2,0),"")</f>
        <v/>
      </c>
      <c r="N1570" s="319" t="str">
        <f ca="1">IFERROR(IF(VLOOKUP(F1570,Kostentypen!$A$3:$E$21,3,0)=0,"",IF(OR(F1570="Arbeidskosten",F1570="Vergoeding"),VLOOKUP(G1570,Tb_KostenTypen[],2,0),VLOOKUP(F1570,Kostentypen!$A$3:$E$20,3,0))),"")</f>
        <v/>
      </c>
      <c r="O1570" s="320" t="str" cm="1">
        <f t="array" ref="O1570">_xlfn.IFNA(IF(INDEX(Tb_KostenOptiesDB[],MATCH($F1570,Tb_KostenOptiesDB[KostenOptie],0),IFERROR(MATCH(Methode_Keuze,Tb_KostenOptiesDB[#Headers],0),2))=1,_xlfn.SWITCH($N1570,"Uurtarief",IF(OR(AND(RIGHT($F1570,3)="IKS",VLOOKUP($M1570,DB_Loonkosten,2,0)="Ja"),AND(RIGHT($F1570,3)&lt;&gt;"IKS",VLOOKUP($M1570,DB_Loonkosten,2,0)="Nee")),IFERROR(VLOOKUP($M1570,DB_Loonkosten,24,0),""),0),"Vast tarief",IF(LEFT(F1570,8)="Bijdrage",VLOOKUP($F1570,Tb_KostenTypen[],MATCH(Lijsten!$P$1,Tb_KostenTypen[#Headers],0),0),VLOOKUP($G1570,Lijsten!L:P,MATCH(Lijsten!$P$1,Kop_Tarief_Vast,0),0))),""),"")</f>
        <v/>
      </c>
      <c r="P1570" s="320" t="str" cm="1">
        <f t="array" ref="P1570">_xlfn.IFNA(IF(INDEX(Tb_KostenOptiesDB[],MATCH($F1570,Tb_KostenOptiesDB[KostenOptie],0),IFERROR(MATCH(Methode_Keuze,Tb_KostenOptiesDB[#Headers],0),2))=1,_xlfn.SWITCH($N1570,"Uurtarief",IF(OR(AND(RIGHT($F1570,3)="IKS",VLOOKUP($M1570,DB_Loonkosten,2,0)="Ja"),AND(RIGHT($F1570,3)&lt;&gt;"IKS",VLOOKUP($M1570,DB_Loonkosten,2,0)="Nee")),IFERROR(VLOOKUP($M1570,DB_Loonkosten,25,0),""),0),"Vast tarief",IF(LEFT(F1570,8)="Bijdrage",VLOOKUP($F1570,Tb_KostenTypen[],MATCH(Lijsten!$P$1,Tb_KostenTypen[#Headers],0),0),VLOOKUP($G1570,Lijsten!L:P,MATCH(Lijsten!$P$1,Kop_Tarief_Vast,0),0))),""),"")</f>
        <v/>
      </c>
      <c r="Q1570" s="359"/>
      <c r="R1570" s="359"/>
      <c r="S1570" s="321"/>
      <c r="T1570" s="321"/>
      <c r="U1570" s="373" t="str">
        <f t="shared" si="96"/>
        <v/>
      </c>
      <c r="V1570" s="314" t="str">
        <f t="shared" si="97"/>
        <v/>
      </c>
      <c r="W1570" s="314" t="str" cm="1">
        <f t="array" aca="1" ref="W1570" ca="1">IFERROR(IF(AE1570&lt;&gt;"ja",_xlfn.IFNA(_xlfn.IFS(AND(O1570&lt;&gt;"",F1570&lt;&gt;"",RIGHT($N1570,6)="tarief",F1570="Vergoeding"),SUM(O1570)*FLOOR(SUM(Q1570),0.0001),AND(O1570&lt;&gt;"",F1570&lt;&gt;"",RIGHT($N1570,6)="tarief"),SUM(O1570)*FLOOR(SUM(Q1570),0.01),S1570&gt;0,IF(F1570&lt;&gt;"",FLOOR(SUM(S1570),0.01),"")),""),""),"")</f>
        <v/>
      </c>
      <c r="X1570" s="314" t="str" cm="1">
        <f t="array" aca="1" ref="X1570" ca="1">IFERROR(IF(AE1570&lt;&gt;"ja",_xlfn.IFNA(_xlfn.IFS(AND(P1570&lt;&gt;"",R1570&lt;&gt;"",RIGHT($N1570,6)="tarief",F1570="Vergoeding"),SUM(P1570)*FLOOR(SUM(R1570),0.0001),AND(P1570&lt;&gt;"",R1570&lt;&gt;"",RIGHT($N1570,6)="tarief"),P1570*FLOOR(R1570,0.01),T1570&gt;0,FLOOR(SUM(T1570),0.01)),""),""),"")</f>
        <v/>
      </c>
      <c r="Y1570" s="314" t="str">
        <f t="shared" ca="1" si="98"/>
        <v/>
      </c>
      <c r="Z1570" s="314" t="str" cm="1">
        <f t="array" aca="1" ref="Z1570" ca="1">IFERROR(_xlfn.IFS(OR(F1570="",LEFT(Methode_Keuze,4)="Geen",Methode_Keuze=""),"",AND(W1570&lt;&gt;"",F1570&lt;&gt;"Arbeidskosten"),W1570*VLOOKUP(F1570,Tb_ProjectKosten[],MATCH(Tb_ProjectKosten[[#Headers],[Forfait_Percentage]],Tb_ProjectKosten[#Headers],0),0),AND(F1570="Arbeidskosten",G1570&lt;&gt;""),IFERROR(W1570*VLOOKUP(G1570,Tb_KostenTypen[],3,0)*VLOOKUP(F1570,Tb_ProjectKosten[],MATCH(Tb_ProjectKosten[[#Headers],[Forfait_Percentage]],Tb_ProjectKosten[#Headers],0),0),""),W1570 &lt;=0,0),"")</f>
        <v/>
      </c>
      <c r="AA1570" s="314" t="str" cm="1">
        <f t="array" aca="1" ref="AA1570" ca="1">IFERROR(_xlfn.IFS(OR(F1570="",LEFT(Methode_Keuze,4)="Geen",Methode_Keuze=""),"",AND(X1570&lt;&gt;"",F1570&lt;&gt;"Arbeidskosten"),X1570*VLOOKUP(F1570,Tb_ProjectKosten[],MATCH(Tb_ProjectKosten[[#Headers],[Forfait_Percentage]],Tb_ProjectKosten[#Headers],0),0),AND(F1570="Arbeidskosten",G1570&lt;&gt;""),IFERROR(X1570*VLOOKUP(G1570,Tb_KostenTypen[],3,0)*VLOOKUP(F1570,Tb_ProjectKosten[],MATCH(Tb_ProjectKosten[[#Headers],[Forfait_Percentage]],Tb_ProjectKosten[#Headers],0),0),""),X1570 &lt;=0,0),"")</f>
        <v/>
      </c>
      <c r="AB1570" s="314" t="str">
        <f t="shared" ca="1" si="99"/>
        <v/>
      </c>
      <c r="AC1570" s="322"/>
      <c r="AD1570" s="315"/>
      <c r="AE1570" s="32" t="str" cm="1">
        <f t="array" ref="AE1570">IFERROR(IF(INDEX(SubsidieTabel!$AD$1:$AG$12,MATCH($F1570,SubsidieTabel!$AD$1:$AD$12,0),IFERROR(MATCH(Methode_Keuze,SubsidieTabel!$AD$1:$AG$1,0),2))&lt;&gt;1=TRUE,"ja",""),"")</f>
        <v/>
      </c>
    </row>
    <row r="1571" spans="1:31" x14ac:dyDescent="0.25">
      <c r="A1571" s="316"/>
      <c r="B1571" s="317" t="str">
        <f>IF(A1571&lt;&gt;"",_xlfn.MAXIFS($B$1:B1570,$A$1:A1570,A1571)+1,"")</f>
        <v/>
      </c>
      <c r="C1571" s="296"/>
      <c r="D1571" s="296"/>
      <c r="E1571" s="296"/>
      <c r="F1571" s="296"/>
      <c r="G1571" s="326"/>
      <c r="H1571" s="324"/>
      <c r="I1571" s="325"/>
      <c r="J1571" s="325"/>
      <c r="K1571" s="318"/>
      <c r="L1571" s="318"/>
      <c r="M1571" s="319" t="str">
        <f>IFERROR(VLOOKUP(H1571,Lijsten!$H$1:$I$100,2,0),"")</f>
        <v/>
      </c>
      <c r="N1571" s="319" t="str">
        <f ca="1">IFERROR(IF(VLOOKUP(F1571,Kostentypen!$A$3:$E$21,3,0)=0,"",IF(OR(F1571="Arbeidskosten",F1571="Vergoeding"),VLOOKUP(G1571,Tb_KostenTypen[],2,0),VLOOKUP(F1571,Kostentypen!$A$3:$E$20,3,0))),"")</f>
        <v/>
      </c>
      <c r="O1571" s="320" t="str" cm="1">
        <f t="array" ref="O1571">_xlfn.IFNA(IF(INDEX(Tb_KostenOptiesDB[],MATCH($F1571,Tb_KostenOptiesDB[KostenOptie],0),IFERROR(MATCH(Methode_Keuze,Tb_KostenOptiesDB[#Headers],0),2))=1,_xlfn.SWITCH($N1571,"Uurtarief",IF(OR(AND(RIGHT($F1571,3)="IKS",VLOOKUP($M1571,DB_Loonkosten,2,0)="Ja"),AND(RIGHT($F1571,3)&lt;&gt;"IKS",VLOOKUP($M1571,DB_Loonkosten,2,0)="Nee")),IFERROR(VLOOKUP($M1571,DB_Loonkosten,24,0),""),0),"Vast tarief",IF(LEFT(F1571,8)="Bijdrage",VLOOKUP($F1571,Tb_KostenTypen[],MATCH(Lijsten!$P$1,Tb_KostenTypen[#Headers],0),0),VLOOKUP($G1571,Lijsten!L:P,MATCH(Lijsten!$P$1,Kop_Tarief_Vast,0),0))),""),"")</f>
        <v/>
      </c>
      <c r="P1571" s="320" t="str" cm="1">
        <f t="array" ref="P1571">_xlfn.IFNA(IF(INDEX(Tb_KostenOptiesDB[],MATCH($F1571,Tb_KostenOptiesDB[KostenOptie],0),IFERROR(MATCH(Methode_Keuze,Tb_KostenOptiesDB[#Headers],0),2))=1,_xlfn.SWITCH($N1571,"Uurtarief",IF(OR(AND(RIGHT($F1571,3)="IKS",VLOOKUP($M1571,DB_Loonkosten,2,0)="Ja"),AND(RIGHT($F1571,3)&lt;&gt;"IKS",VLOOKUP($M1571,DB_Loonkosten,2,0)="Nee")),IFERROR(VLOOKUP($M1571,DB_Loonkosten,25,0),""),0),"Vast tarief",IF(LEFT(F1571,8)="Bijdrage",VLOOKUP($F1571,Tb_KostenTypen[],MATCH(Lijsten!$P$1,Tb_KostenTypen[#Headers],0),0),VLOOKUP($G1571,Lijsten!L:P,MATCH(Lijsten!$P$1,Kop_Tarief_Vast,0),0))),""),"")</f>
        <v/>
      </c>
      <c r="Q1571" s="359"/>
      <c r="R1571" s="359"/>
      <c r="S1571" s="321"/>
      <c r="T1571" s="321"/>
      <c r="U1571" s="373" t="str">
        <f t="shared" si="96"/>
        <v/>
      </c>
      <c r="V1571" s="314" t="str">
        <f t="shared" si="97"/>
        <v/>
      </c>
      <c r="W1571" s="314" t="str" cm="1">
        <f t="array" aca="1" ref="W1571" ca="1">IFERROR(IF(AE1571&lt;&gt;"ja",_xlfn.IFNA(_xlfn.IFS(AND(O1571&lt;&gt;"",F1571&lt;&gt;"",RIGHT($N1571,6)="tarief",F1571="Vergoeding"),SUM(O1571)*FLOOR(SUM(Q1571),0.0001),AND(O1571&lt;&gt;"",F1571&lt;&gt;"",RIGHT($N1571,6)="tarief"),SUM(O1571)*FLOOR(SUM(Q1571),0.01),S1571&gt;0,IF(F1571&lt;&gt;"",FLOOR(SUM(S1571),0.01),"")),""),""),"")</f>
        <v/>
      </c>
      <c r="X1571" s="314" t="str" cm="1">
        <f t="array" aca="1" ref="X1571" ca="1">IFERROR(IF(AE1571&lt;&gt;"ja",_xlfn.IFNA(_xlfn.IFS(AND(P1571&lt;&gt;"",R1571&lt;&gt;"",RIGHT($N1571,6)="tarief",F1571="Vergoeding"),SUM(P1571)*FLOOR(SUM(R1571),0.0001),AND(P1571&lt;&gt;"",R1571&lt;&gt;"",RIGHT($N1571,6)="tarief"),P1571*FLOOR(R1571,0.01),T1571&gt;0,FLOOR(SUM(T1571),0.01)),""),""),"")</f>
        <v/>
      </c>
      <c r="Y1571" s="314" t="str">
        <f t="shared" ca="1" si="98"/>
        <v/>
      </c>
      <c r="Z1571" s="314" t="str" cm="1">
        <f t="array" aca="1" ref="Z1571" ca="1">IFERROR(_xlfn.IFS(OR(F1571="",LEFT(Methode_Keuze,4)="Geen",Methode_Keuze=""),"",AND(W1571&lt;&gt;"",F1571&lt;&gt;"Arbeidskosten"),W1571*VLOOKUP(F1571,Tb_ProjectKosten[],MATCH(Tb_ProjectKosten[[#Headers],[Forfait_Percentage]],Tb_ProjectKosten[#Headers],0),0),AND(F1571="Arbeidskosten",G1571&lt;&gt;""),IFERROR(W1571*VLOOKUP(G1571,Tb_KostenTypen[],3,0)*VLOOKUP(F1571,Tb_ProjectKosten[],MATCH(Tb_ProjectKosten[[#Headers],[Forfait_Percentage]],Tb_ProjectKosten[#Headers],0),0),""),W1571 &lt;=0,0),"")</f>
        <v/>
      </c>
      <c r="AA1571" s="314" t="str" cm="1">
        <f t="array" aca="1" ref="AA1571" ca="1">IFERROR(_xlfn.IFS(OR(F1571="",LEFT(Methode_Keuze,4)="Geen",Methode_Keuze=""),"",AND(X1571&lt;&gt;"",F1571&lt;&gt;"Arbeidskosten"),X1571*VLOOKUP(F1571,Tb_ProjectKosten[],MATCH(Tb_ProjectKosten[[#Headers],[Forfait_Percentage]],Tb_ProjectKosten[#Headers],0),0),AND(F1571="Arbeidskosten",G1571&lt;&gt;""),IFERROR(X1571*VLOOKUP(G1571,Tb_KostenTypen[],3,0)*VLOOKUP(F1571,Tb_ProjectKosten[],MATCH(Tb_ProjectKosten[[#Headers],[Forfait_Percentage]],Tb_ProjectKosten[#Headers],0),0),""),X1571 &lt;=0,0),"")</f>
        <v/>
      </c>
      <c r="AB1571" s="314" t="str">
        <f t="shared" ca="1" si="99"/>
        <v/>
      </c>
      <c r="AC1571" s="322"/>
      <c r="AD1571" s="315"/>
      <c r="AE1571" s="32" t="str" cm="1">
        <f t="array" ref="AE1571">IFERROR(IF(INDEX(SubsidieTabel!$AD$1:$AG$12,MATCH($F1571,SubsidieTabel!$AD$1:$AD$12,0),IFERROR(MATCH(Methode_Keuze,SubsidieTabel!$AD$1:$AG$1,0),2))&lt;&gt;1=TRUE,"ja",""),"")</f>
        <v/>
      </c>
    </row>
    <row r="1572" spans="1:31" x14ac:dyDescent="0.25">
      <c r="A1572" s="316"/>
      <c r="B1572" s="317" t="str">
        <f>IF(A1572&lt;&gt;"",_xlfn.MAXIFS($B$1:B1571,$A$1:A1571,A1572)+1,"")</f>
        <v/>
      </c>
      <c r="C1572" s="296"/>
      <c r="D1572" s="296"/>
      <c r="E1572" s="296"/>
      <c r="F1572" s="296"/>
      <c r="G1572" s="326"/>
      <c r="H1572" s="324"/>
      <c r="I1572" s="325"/>
      <c r="J1572" s="325"/>
      <c r="K1572" s="318"/>
      <c r="L1572" s="318"/>
      <c r="M1572" s="319" t="str">
        <f>IFERROR(VLOOKUP(H1572,Lijsten!$H$1:$I$100,2,0),"")</f>
        <v/>
      </c>
      <c r="N1572" s="319" t="str">
        <f ca="1">IFERROR(IF(VLOOKUP(F1572,Kostentypen!$A$3:$E$21,3,0)=0,"",IF(OR(F1572="Arbeidskosten",F1572="Vergoeding"),VLOOKUP(G1572,Tb_KostenTypen[],2,0),VLOOKUP(F1572,Kostentypen!$A$3:$E$20,3,0))),"")</f>
        <v/>
      </c>
      <c r="O1572" s="320" t="str" cm="1">
        <f t="array" ref="O1572">_xlfn.IFNA(IF(INDEX(Tb_KostenOptiesDB[],MATCH($F1572,Tb_KostenOptiesDB[KostenOptie],0),IFERROR(MATCH(Methode_Keuze,Tb_KostenOptiesDB[#Headers],0),2))=1,_xlfn.SWITCH($N1572,"Uurtarief",IF(OR(AND(RIGHT($F1572,3)="IKS",VLOOKUP($M1572,DB_Loonkosten,2,0)="Ja"),AND(RIGHT($F1572,3)&lt;&gt;"IKS",VLOOKUP($M1572,DB_Loonkosten,2,0)="Nee")),IFERROR(VLOOKUP($M1572,DB_Loonkosten,24,0),""),0),"Vast tarief",IF(LEFT(F1572,8)="Bijdrage",VLOOKUP($F1572,Tb_KostenTypen[],MATCH(Lijsten!$P$1,Tb_KostenTypen[#Headers],0),0),VLOOKUP($G1572,Lijsten!L:P,MATCH(Lijsten!$P$1,Kop_Tarief_Vast,0),0))),""),"")</f>
        <v/>
      </c>
      <c r="P1572" s="320" t="str" cm="1">
        <f t="array" ref="P1572">_xlfn.IFNA(IF(INDEX(Tb_KostenOptiesDB[],MATCH($F1572,Tb_KostenOptiesDB[KostenOptie],0),IFERROR(MATCH(Methode_Keuze,Tb_KostenOptiesDB[#Headers],0),2))=1,_xlfn.SWITCH($N1572,"Uurtarief",IF(OR(AND(RIGHT($F1572,3)="IKS",VLOOKUP($M1572,DB_Loonkosten,2,0)="Ja"),AND(RIGHT($F1572,3)&lt;&gt;"IKS",VLOOKUP($M1572,DB_Loonkosten,2,0)="Nee")),IFERROR(VLOOKUP($M1572,DB_Loonkosten,25,0),""),0),"Vast tarief",IF(LEFT(F1572,8)="Bijdrage",VLOOKUP($F1572,Tb_KostenTypen[],MATCH(Lijsten!$P$1,Tb_KostenTypen[#Headers],0),0),VLOOKUP($G1572,Lijsten!L:P,MATCH(Lijsten!$P$1,Kop_Tarief_Vast,0),0))),""),"")</f>
        <v/>
      </c>
      <c r="Q1572" s="359"/>
      <c r="R1572" s="359"/>
      <c r="S1572" s="321"/>
      <c r="T1572" s="321"/>
      <c r="U1572" s="373" t="str">
        <f t="shared" si="96"/>
        <v/>
      </c>
      <c r="V1572" s="314" t="str">
        <f t="shared" si="97"/>
        <v/>
      </c>
      <c r="W1572" s="314" t="str" cm="1">
        <f t="array" aca="1" ref="W1572" ca="1">IFERROR(IF(AE1572&lt;&gt;"ja",_xlfn.IFNA(_xlfn.IFS(AND(O1572&lt;&gt;"",F1572&lt;&gt;"",RIGHT($N1572,6)="tarief",F1572="Vergoeding"),SUM(O1572)*FLOOR(SUM(Q1572),0.0001),AND(O1572&lt;&gt;"",F1572&lt;&gt;"",RIGHT($N1572,6)="tarief"),SUM(O1572)*FLOOR(SUM(Q1572),0.01),S1572&gt;0,IF(F1572&lt;&gt;"",FLOOR(SUM(S1572),0.01),"")),""),""),"")</f>
        <v/>
      </c>
      <c r="X1572" s="314" t="str" cm="1">
        <f t="array" aca="1" ref="X1572" ca="1">IFERROR(IF(AE1572&lt;&gt;"ja",_xlfn.IFNA(_xlfn.IFS(AND(P1572&lt;&gt;"",R1572&lt;&gt;"",RIGHT($N1572,6)="tarief",F1572="Vergoeding"),SUM(P1572)*FLOOR(SUM(R1572),0.0001),AND(P1572&lt;&gt;"",R1572&lt;&gt;"",RIGHT($N1572,6)="tarief"),P1572*FLOOR(R1572,0.01),T1572&gt;0,FLOOR(SUM(T1572),0.01)),""),""),"")</f>
        <v/>
      </c>
      <c r="Y1572" s="314" t="str">
        <f t="shared" ca="1" si="98"/>
        <v/>
      </c>
      <c r="Z1572" s="314" t="str" cm="1">
        <f t="array" aca="1" ref="Z1572" ca="1">IFERROR(_xlfn.IFS(OR(F1572="",LEFT(Methode_Keuze,4)="Geen",Methode_Keuze=""),"",AND(W1572&lt;&gt;"",F1572&lt;&gt;"Arbeidskosten"),W1572*VLOOKUP(F1572,Tb_ProjectKosten[],MATCH(Tb_ProjectKosten[[#Headers],[Forfait_Percentage]],Tb_ProjectKosten[#Headers],0),0),AND(F1572="Arbeidskosten",G1572&lt;&gt;""),IFERROR(W1572*VLOOKUP(G1572,Tb_KostenTypen[],3,0)*VLOOKUP(F1572,Tb_ProjectKosten[],MATCH(Tb_ProjectKosten[[#Headers],[Forfait_Percentage]],Tb_ProjectKosten[#Headers],0),0),""),W1572 &lt;=0,0),"")</f>
        <v/>
      </c>
      <c r="AA1572" s="314" t="str" cm="1">
        <f t="array" aca="1" ref="AA1572" ca="1">IFERROR(_xlfn.IFS(OR(F1572="",LEFT(Methode_Keuze,4)="Geen",Methode_Keuze=""),"",AND(X1572&lt;&gt;"",F1572&lt;&gt;"Arbeidskosten"),X1572*VLOOKUP(F1572,Tb_ProjectKosten[],MATCH(Tb_ProjectKosten[[#Headers],[Forfait_Percentage]],Tb_ProjectKosten[#Headers],0),0),AND(F1572="Arbeidskosten",G1572&lt;&gt;""),IFERROR(X1572*VLOOKUP(G1572,Tb_KostenTypen[],3,0)*VLOOKUP(F1572,Tb_ProjectKosten[],MATCH(Tb_ProjectKosten[[#Headers],[Forfait_Percentage]],Tb_ProjectKosten[#Headers],0),0),""),X1572 &lt;=0,0),"")</f>
        <v/>
      </c>
      <c r="AB1572" s="314" t="str">
        <f t="shared" ca="1" si="99"/>
        <v/>
      </c>
      <c r="AC1572" s="322"/>
      <c r="AD1572" s="315"/>
      <c r="AE1572" s="32" t="str" cm="1">
        <f t="array" ref="AE1572">IFERROR(IF(INDEX(SubsidieTabel!$AD$1:$AG$12,MATCH($F1572,SubsidieTabel!$AD$1:$AD$12,0),IFERROR(MATCH(Methode_Keuze,SubsidieTabel!$AD$1:$AG$1,0),2))&lt;&gt;1=TRUE,"ja",""),"")</f>
        <v/>
      </c>
    </row>
    <row r="1573" spans="1:31" x14ac:dyDescent="0.25">
      <c r="A1573" s="316"/>
      <c r="B1573" s="317" t="str">
        <f>IF(A1573&lt;&gt;"",_xlfn.MAXIFS($B$1:B1572,$A$1:A1572,A1573)+1,"")</f>
        <v/>
      </c>
      <c r="C1573" s="296"/>
      <c r="D1573" s="296"/>
      <c r="E1573" s="296"/>
      <c r="F1573" s="296"/>
      <c r="G1573" s="326"/>
      <c r="H1573" s="324"/>
      <c r="I1573" s="325"/>
      <c r="J1573" s="325"/>
      <c r="K1573" s="318"/>
      <c r="L1573" s="318"/>
      <c r="M1573" s="319" t="str">
        <f>IFERROR(VLOOKUP(H1573,Lijsten!$H$1:$I$100,2,0),"")</f>
        <v/>
      </c>
      <c r="N1573" s="319" t="str">
        <f ca="1">IFERROR(IF(VLOOKUP(F1573,Kostentypen!$A$3:$E$21,3,0)=0,"",IF(OR(F1573="Arbeidskosten",F1573="Vergoeding"),VLOOKUP(G1573,Tb_KostenTypen[],2,0),VLOOKUP(F1573,Kostentypen!$A$3:$E$20,3,0))),"")</f>
        <v/>
      </c>
      <c r="O1573" s="320" t="str" cm="1">
        <f t="array" ref="O1573">_xlfn.IFNA(IF(INDEX(Tb_KostenOptiesDB[],MATCH($F1573,Tb_KostenOptiesDB[KostenOptie],0),IFERROR(MATCH(Methode_Keuze,Tb_KostenOptiesDB[#Headers],0),2))=1,_xlfn.SWITCH($N1573,"Uurtarief",IF(OR(AND(RIGHT($F1573,3)="IKS",VLOOKUP($M1573,DB_Loonkosten,2,0)="Ja"),AND(RIGHT($F1573,3)&lt;&gt;"IKS",VLOOKUP($M1573,DB_Loonkosten,2,0)="Nee")),IFERROR(VLOOKUP($M1573,DB_Loonkosten,24,0),""),0),"Vast tarief",IF(LEFT(F1573,8)="Bijdrage",VLOOKUP($F1573,Tb_KostenTypen[],MATCH(Lijsten!$P$1,Tb_KostenTypen[#Headers],0),0),VLOOKUP($G1573,Lijsten!L:P,MATCH(Lijsten!$P$1,Kop_Tarief_Vast,0),0))),""),"")</f>
        <v/>
      </c>
      <c r="P1573" s="320" t="str" cm="1">
        <f t="array" ref="P1573">_xlfn.IFNA(IF(INDEX(Tb_KostenOptiesDB[],MATCH($F1573,Tb_KostenOptiesDB[KostenOptie],0),IFERROR(MATCH(Methode_Keuze,Tb_KostenOptiesDB[#Headers],0),2))=1,_xlfn.SWITCH($N1573,"Uurtarief",IF(OR(AND(RIGHT($F1573,3)="IKS",VLOOKUP($M1573,DB_Loonkosten,2,0)="Ja"),AND(RIGHT($F1573,3)&lt;&gt;"IKS",VLOOKUP($M1573,DB_Loonkosten,2,0)="Nee")),IFERROR(VLOOKUP($M1573,DB_Loonkosten,25,0),""),0),"Vast tarief",IF(LEFT(F1573,8)="Bijdrage",VLOOKUP($F1573,Tb_KostenTypen[],MATCH(Lijsten!$P$1,Tb_KostenTypen[#Headers],0),0),VLOOKUP($G1573,Lijsten!L:P,MATCH(Lijsten!$P$1,Kop_Tarief_Vast,0),0))),""),"")</f>
        <v/>
      </c>
      <c r="Q1573" s="359"/>
      <c r="R1573" s="359"/>
      <c r="S1573" s="321"/>
      <c r="T1573" s="321"/>
      <c r="U1573" s="373" t="str">
        <f t="shared" si="96"/>
        <v/>
      </c>
      <c r="V1573" s="314" t="str">
        <f t="shared" si="97"/>
        <v/>
      </c>
      <c r="W1573" s="314" t="str" cm="1">
        <f t="array" aca="1" ref="W1573" ca="1">IFERROR(IF(AE1573&lt;&gt;"ja",_xlfn.IFNA(_xlfn.IFS(AND(O1573&lt;&gt;"",F1573&lt;&gt;"",RIGHT($N1573,6)="tarief",F1573="Vergoeding"),SUM(O1573)*FLOOR(SUM(Q1573),0.0001),AND(O1573&lt;&gt;"",F1573&lt;&gt;"",RIGHT($N1573,6)="tarief"),SUM(O1573)*FLOOR(SUM(Q1573),0.01),S1573&gt;0,IF(F1573&lt;&gt;"",FLOOR(SUM(S1573),0.01),"")),""),""),"")</f>
        <v/>
      </c>
      <c r="X1573" s="314" t="str" cm="1">
        <f t="array" aca="1" ref="X1573" ca="1">IFERROR(IF(AE1573&lt;&gt;"ja",_xlfn.IFNA(_xlfn.IFS(AND(P1573&lt;&gt;"",R1573&lt;&gt;"",RIGHT($N1573,6)="tarief",F1573="Vergoeding"),SUM(P1573)*FLOOR(SUM(R1573),0.0001),AND(P1573&lt;&gt;"",R1573&lt;&gt;"",RIGHT($N1573,6)="tarief"),P1573*FLOOR(R1573,0.01),T1573&gt;0,FLOOR(SUM(T1573),0.01)),""),""),"")</f>
        <v/>
      </c>
      <c r="Y1573" s="314" t="str">
        <f t="shared" ca="1" si="98"/>
        <v/>
      </c>
      <c r="Z1573" s="314" t="str" cm="1">
        <f t="array" aca="1" ref="Z1573" ca="1">IFERROR(_xlfn.IFS(OR(F1573="",LEFT(Methode_Keuze,4)="Geen",Methode_Keuze=""),"",AND(W1573&lt;&gt;"",F1573&lt;&gt;"Arbeidskosten"),W1573*VLOOKUP(F1573,Tb_ProjectKosten[],MATCH(Tb_ProjectKosten[[#Headers],[Forfait_Percentage]],Tb_ProjectKosten[#Headers],0),0),AND(F1573="Arbeidskosten",G1573&lt;&gt;""),IFERROR(W1573*VLOOKUP(G1573,Tb_KostenTypen[],3,0)*VLOOKUP(F1573,Tb_ProjectKosten[],MATCH(Tb_ProjectKosten[[#Headers],[Forfait_Percentage]],Tb_ProjectKosten[#Headers],0),0),""),W1573 &lt;=0,0),"")</f>
        <v/>
      </c>
      <c r="AA1573" s="314" t="str" cm="1">
        <f t="array" aca="1" ref="AA1573" ca="1">IFERROR(_xlfn.IFS(OR(F1573="",LEFT(Methode_Keuze,4)="Geen",Methode_Keuze=""),"",AND(X1573&lt;&gt;"",F1573&lt;&gt;"Arbeidskosten"),X1573*VLOOKUP(F1573,Tb_ProjectKosten[],MATCH(Tb_ProjectKosten[[#Headers],[Forfait_Percentage]],Tb_ProjectKosten[#Headers],0),0),AND(F1573="Arbeidskosten",G1573&lt;&gt;""),IFERROR(X1573*VLOOKUP(G1573,Tb_KostenTypen[],3,0)*VLOOKUP(F1573,Tb_ProjectKosten[],MATCH(Tb_ProjectKosten[[#Headers],[Forfait_Percentage]],Tb_ProjectKosten[#Headers],0),0),""),X1573 &lt;=0,0),"")</f>
        <v/>
      </c>
      <c r="AB1573" s="314" t="str">
        <f t="shared" ca="1" si="99"/>
        <v/>
      </c>
      <c r="AC1573" s="322"/>
      <c r="AD1573" s="315"/>
      <c r="AE1573" s="32" t="str" cm="1">
        <f t="array" ref="AE1573">IFERROR(IF(INDEX(SubsidieTabel!$AD$1:$AG$12,MATCH($F1573,SubsidieTabel!$AD$1:$AD$12,0),IFERROR(MATCH(Methode_Keuze,SubsidieTabel!$AD$1:$AG$1,0),2))&lt;&gt;1=TRUE,"ja",""),"")</f>
        <v/>
      </c>
    </row>
    <row r="1574" spans="1:31" x14ac:dyDescent="0.25">
      <c r="A1574" s="316"/>
      <c r="B1574" s="317" t="str">
        <f>IF(A1574&lt;&gt;"",_xlfn.MAXIFS($B$1:B1573,$A$1:A1573,A1574)+1,"")</f>
        <v/>
      </c>
      <c r="C1574" s="296"/>
      <c r="D1574" s="296"/>
      <c r="E1574" s="296"/>
      <c r="F1574" s="296"/>
      <c r="G1574" s="326"/>
      <c r="H1574" s="324"/>
      <c r="I1574" s="325"/>
      <c r="J1574" s="325"/>
      <c r="K1574" s="318"/>
      <c r="L1574" s="318"/>
      <c r="M1574" s="319" t="str">
        <f>IFERROR(VLOOKUP(H1574,Lijsten!$H$1:$I$100,2,0),"")</f>
        <v/>
      </c>
      <c r="N1574" s="319" t="str">
        <f ca="1">IFERROR(IF(VLOOKUP(F1574,Kostentypen!$A$3:$E$21,3,0)=0,"",IF(OR(F1574="Arbeidskosten",F1574="Vergoeding"),VLOOKUP(G1574,Tb_KostenTypen[],2,0),VLOOKUP(F1574,Kostentypen!$A$3:$E$20,3,0))),"")</f>
        <v/>
      </c>
      <c r="O1574" s="320" t="str" cm="1">
        <f t="array" ref="O1574">_xlfn.IFNA(IF(INDEX(Tb_KostenOptiesDB[],MATCH($F1574,Tb_KostenOptiesDB[KostenOptie],0),IFERROR(MATCH(Methode_Keuze,Tb_KostenOptiesDB[#Headers],0),2))=1,_xlfn.SWITCH($N1574,"Uurtarief",IF(OR(AND(RIGHT($F1574,3)="IKS",VLOOKUP($M1574,DB_Loonkosten,2,0)="Ja"),AND(RIGHT($F1574,3)&lt;&gt;"IKS",VLOOKUP($M1574,DB_Loonkosten,2,0)="Nee")),IFERROR(VLOOKUP($M1574,DB_Loonkosten,24,0),""),0),"Vast tarief",IF(LEFT(F1574,8)="Bijdrage",VLOOKUP($F1574,Tb_KostenTypen[],MATCH(Lijsten!$P$1,Tb_KostenTypen[#Headers],0),0),VLOOKUP($G1574,Lijsten!L:P,MATCH(Lijsten!$P$1,Kop_Tarief_Vast,0),0))),""),"")</f>
        <v/>
      </c>
      <c r="P1574" s="320" t="str" cm="1">
        <f t="array" ref="P1574">_xlfn.IFNA(IF(INDEX(Tb_KostenOptiesDB[],MATCH($F1574,Tb_KostenOptiesDB[KostenOptie],0),IFERROR(MATCH(Methode_Keuze,Tb_KostenOptiesDB[#Headers],0),2))=1,_xlfn.SWITCH($N1574,"Uurtarief",IF(OR(AND(RIGHT($F1574,3)="IKS",VLOOKUP($M1574,DB_Loonkosten,2,0)="Ja"),AND(RIGHT($F1574,3)&lt;&gt;"IKS",VLOOKUP($M1574,DB_Loonkosten,2,0)="Nee")),IFERROR(VLOOKUP($M1574,DB_Loonkosten,25,0),""),0),"Vast tarief",IF(LEFT(F1574,8)="Bijdrage",VLOOKUP($F1574,Tb_KostenTypen[],MATCH(Lijsten!$P$1,Tb_KostenTypen[#Headers],0),0),VLOOKUP($G1574,Lijsten!L:P,MATCH(Lijsten!$P$1,Kop_Tarief_Vast,0),0))),""),"")</f>
        <v/>
      </c>
      <c r="Q1574" s="359"/>
      <c r="R1574" s="359"/>
      <c r="S1574" s="321"/>
      <c r="T1574" s="321"/>
      <c r="U1574" s="373" t="str">
        <f t="shared" si="96"/>
        <v/>
      </c>
      <c r="V1574" s="314" t="str">
        <f t="shared" si="97"/>
        <v/>
      </c>
      <c r="W1574" s="314" t="str" cm="1">
        <f t="array" aca="1" ref="W1574" ca="1">IFERROR(IF(AE1574&lt;&gt;"ja",_xlfn.IFNA(_xlfn.IFS(AND(O1574&lt;&gt;"",F1574&lt;&gt;"",RIGHT($N1574,6)="tarief",F1574="Vergoeding"),SUM(O1574)*FLOOR(SUM(Q1574),0.0001),AND(O1574&lt;&gt;"",F1574&lt;&gt;"",RIGHT($N1574,6)="tarief"),SUM(O1574)*FLOOR(SUM(Q1574),0.01),S1574&gt;0,IF(F1574&lt;&gt;"",FLOOR(SUM(S1574),0.01),"")),""),""),"")</f>
        <v/>
      </c>
      <c r="X1574" s="314" t="str" cm="1">
        <f t="array" aca="1" ref="X1574" ca="1">IFERROR(IF(AE1574&lt;&gt;"ja",_xlfn.IFNA(_xlfn.IFS(AND(P1574&lt;&gt;"",R1574&lt;&gt;"",RIGHT($N1574,6)="tarief",F1574="Vergoeding"),SUM(P1574)*FLOOR(SUM(R1574),0.0001),AND(P1574&lt;&gt;"",R1574&lt;&gt;"",RIGHT($N1574,6)="tarief"),P1574*FLOOR(R1574,0.01),T1574&gt;0,FLOOR(SUM(T1574),0.01)),""),""),"")</f>
        <v/>
      </c>
      <c r="Y1574" s="314" t="str">
        <f t="shared" ca="1" si="98"/>
        <v/>
      </c>
      <c r="Z1574" s="314" t="str" cm="1">
        <f t="array" aca="1" ref="Z1574" ca="1">IFERROR(_xlfn.IFS(OR(F1574="",LEFT(Methode_Keuze,4)="Geen",Methode_Keuze=""),"",AND(W1574&lt;&gt;"",F1574&lt;&gt;"Arbeidskosten"),W1574*VLOOKUP(F1574,Tb_ProjectKosten[],MATCH(Tb_ProjectKosten[[#Headers],[Forfait_Percentage]],Tb_ProjectKosten[#Headers],0),0),AND(F1574="Arbeidskosten",G1574&lt;&gt;""),IFERROR(W1574*VLOOKUP(G1574,Tb_KostenTypen[],3,0)*VLOOKUP(F1574,Tb_ProjectKosten[],MATCH(Tb_ProjectKosten[[#Headers],[Forfait_Percentage]],Tb_ProjectKosten[#Headers],0),0),""),W1574 &lt;=0,0),"")</f>
        <v/>
      </c>
      <c r="AA1574" s="314" t="str" cm="1">
        <f t="array" aca="1" ref="AA1574" ca="1">IFERROR(_xlfn.IFS(OR(F1574="",LEFT(Methode_Keuze,4)="Geen",Methode_Keuze=""),"",AND(X1574&lt;&gt;"",F1574&lt;&gt;"Arbeidskosten"),X1574*VLOOKUP(F1574,Tb_ProjectKosten[],MATCH(Tb_ProjectKosten[[#Headers],[Forfait_Percentage]],Tb_ProjectKosten[#Headers],0),0),AND(F1574="Arbeidskosten",G1574&lt;&gt;""),IFERROR(X1574*VLOOKUP(G1574,Tb_KostenTypen[],3,0)*VLOOKUP(F1574,Tb_ProjectKosten[],MATCH(Tb_ProjectKosten[[#Headers],[Forfait_Percentage]],Tb_ProjectKosten[#Headers],0),0),""),X1574 &lt;=0,0),"")</f>
        <v/>
      </c>
      <c r="AB1574" s="314" t="str">
        <f t="shared" ca="1" si="99"/>
        <v/>
      </c>
      <c r="AC1574" s="322"/>
      <c r="AD1574" s="315"/>
      <c r="AE1574" s="32" t="str" cm="1">
        <f t="array" ref="AE1574">IFERROR(IF(INDEX(SubsidieTabel!$AD$1:$AG$12,MATCH($F1574,SubsidieTabel!$AD$1:$AD$12,0),IFERROR(MATCH(Methode_Keuze,SubsidieTabel!$AD$1:$AG$1,0),2))&lt;&gt;1=TRUE,"ja",""),"")</f>
        <v/>
      </c>
    </row>
    <row r="1575" spans="1:31" x14ac:dyDescent="0.25">
      <c r="A1575" s="316"/>
      <c r="B1575" s="317" t="str">
        <f>IF(A1575&lt;&gt;"",_xlfn.MAXIFS($B$1:B1574,$A$1:A1574,A1575)+1,"")</f>
        <v/>
      </c>
      <c r="C1575" s="296"/>
      <c r="D1575" s="296"/>
      <c r="E1575" s="296"/>
      <c r="F1575" s="296"/>
      <c r="G1575" s="326"/>
      <c r="H1575" s="324"/>
      <c r="I1575" s="325"/>
      <c r="J1575" s="325"/>
      <c r="K1575" s="318"/>
      <c r="L1575" s="318"/>
      <c r="M1575" s="319" t="str">
        <f>IFERROR(VLOOKUP(H1575,Lijsten!$H$1:$I$100,2,0),"")</f>
        <v/>
      </c>
      <c r="N1575" s="319" t="str">
        <f ca="1">IFERROR(IF(VLOOKUP(F1575,Kostentypen!$A$3:$E$21,3,0)=0,"",IF(OR(F1575="Arbeidskosten",F1575="Vergoeding"),VLOOKUP(G1575,Tb_KostenTypen[],2,0),VLOOKUP(F1575,Kostentypen!$A$3:$E$20,3,0))),"")</f>
        <v/>
      </c>
      <c r="O1575" s="320" t="str" cm="1">
        <f t="array" ref="O1575">_xlfn.IFNA(IF(INDEX(Tb_KostenOptiesDB[],MATCH($F1575,Tb_KostenOptiesDB[KostenOptie],0),IFERROR(MATCH(Methode_Keuze,Tb_KostenOptiesDB[#Headers],0),2))=1,_xlfn.SWITCH($N1575,"Uurtarief",IF(OR(AND(RIGHT($F1575,3)="IKS",VLOOKUP($M1575,DB_Loonkosten,2,0)="Ja"),AND(RIGHT($F1575,3)&lt;&gt;"IKS",VLOOKUP($M1575,DB_Loonkosten,2,0)="Nee")),IFERROR(VLOOKUP($M1575,DB_Loonkosten,24,0),""),0),"Vast tarief",IF(LEFT(F1575,8)="Bijdrage",VLOOKUP($F1575,Tb_KostenTypen[],MATCH(Lijsten!$P$1,Tb_KostenTypen[#Headers],0),0),VLOOKUP($G1575,Lijsten!L:P,MATCH(Lijsten!$P$1,Kop_Tarief_Vast,0),0))),""),"")</f>
        <v/>
      </c>
      <c r="P1575" s="320" t="str" cm="1">
        <f t="array" ref="P1575">_xlfn.IFNA(IF(INDEX(Tb_KostenOptiesDB[],MATCH($F1575,Tb_KostenOptiesDB[KostenOptie],0),IFERROR(MATCH(Methode_Keuze,Tb_KostenOptiesDB[#Headers],0),2))=1,_xlfn.SWITCH($N1575,"Uurtarief",IF(OR(AND(RIGHT($F1575,3)="IKS",VLOOKUP($M1575,DB_Loonkosten,2,0)="Ja"),AND(RIGHT($F1575,3)&lt;&gt;"IKS",VLOOKUP($M1575,DB_Loonkosten,2,0)="Nee")),IFERROR(VLOOKUP($M1575,DB_Loonkosten,25,0),""),0),"Vast tarief",IF(LEFT(F1575,8)="Bijdrage",VLOOKUP($F1575,Tb_KostenTypen[],MATCH(Lijsten!$P$1,Tb_KostenTypen[#Headers],0),0),VLOOKUP($G1575,Lijsten!L:P,MATCH(Lijsten!$P$1,Kop_Tarief_Vast,0),0))),""),"")</f>
        <v/>
      </c>
      <c r="Q1575" s="359"/>
      <c r="R1575" s="359"/>
      <c r="S1575" s="321"/>
      <c r="T1575" s="321"/>
      <c r="U1575" s="373" t="str">
        <f t="shared" si="96"/>
        <v/>
      </c>
      <c r="V1575" s="314" t="str">
        <f t="shared" si="97"/>
        <v/>
      </c>
      <c r="W1575" s="314" t="str" cm="1">
        <f t="array" aca="1" ref="W1575" ca="1">IFERROR(IF(AE1575&lt;&gt;"ja",_xlfn.IFNA(_xlfn.IFS(AND(O1575&lt;&gt;"",F1575&lt;&gt;"",RIGHT($N1575,6)="tarief",F1575="Vergoeding"),SUM(O1575)*FLOOR(SUM(Q1575),0.0001),AND(O1575&lt;&gt;"",F1575&lt;&gt;"",RIGHT($N1575,6)="tarief"),SUM(O1575)*FLOOR(SUM(Q1575),0.01),S1575&gt;0,IF(F1575&lt;&gt;"",FLOOR(SUM(S1575),0.01),"")),""),""),"")</f>
        <v/>
      </c>
      <c r="X1575" s="314" t="str" cm="1">
        <f t="array" aca="1" ref="X1575" ca="1">IFERROR(IF(AE1575&lt;&gt;"ja",_xlfn.IFNA(_xlfn.IFS(AND(P1575&lt;&gt;"",R1575&lt;&gt;"",RIGHT($N1575,6)="tarief",F1575="Vergoeding"),SUM(P1575)*FLOOR(SUM(R1575),0.0001),AND(P1575&lt;&gt;"",R1575&lt;&gt;"",RIGHT($N1575,6)="tarief"),P1575*FLOOR(R1575,0.01),T1575&gt;0,FLOOR(SUM(T1575),0.01)),""),""),"")</f>
        <v/>
      </c>
      <c r="Y1575" s="314" t="str">
        <f t="shared" ca="1" si="98"/>
        <v/>
      </c>
      <c r="Z1575" s="314" t="str" cm="1">
        <f t="array" aca="1" ref="Z1575" ca="1">IFERROR(_xlfn.IFS(OR(F1575="",LEFT(Methode_Keuze,4)="Geen",Methode_Keuze=""),"",AND(W1575&lt;&gt;"",F1575&lt;&gt;"Arbeidskosten"),W1575*VLOOKUP(F1575,Tb_ProjectKosten[],MATCH(Tb_ProjectKosten[[#Headers],[Forfait_Percentage]],Tb_ProjectKosten[#Headers],0),0),AND(F1575="Arbeidskosten",G1575&lt;&gt;""),IFERROR(W1575*VLOOKUP(G1575,Tb_KostenTypen[],3,0)*VLOOKUP(F1575,Tb_ProjectKosten[],MATCH(Tb_ProjectKosten[[#Headers],[Forfait_Percentage]],Tb_ProjectKosten[#Headers],0),0),""),W1575 &lt;=0,0),"")</f>
        <v/>
      </c>
      <c r="AA1575" s="314" t="str" cm="1">
        <f t="array" aca="1" ref="AA1575" ca="1">IFERROR(_xlfn.IFS(OR(F1575="",LEFT(Methode_Keuze,4)="Geen",Methode_Keuze=""),"",AND(X1575&lt;&gt;"",F1575&lt;&gt;"Arbeidskosten"),X1575*VLOOKUP(F1575,Tb_ProjectKosten[],MATCH(Tb_ProjectKosten[[#Headers],[Forfait_Percentage]],Tb_ProjectKosten[#Headers],0),0),AND(F1575="Arbeidskosten",G1575&lt;&gt;""),IFERROR(X1575*VLOOKUP(G1575,Tb_KostenTypen[],3,0)*VLOOKUP(F1575,Tb_ProjectKosten[],MATCH(Tb_ProjectKosten[[#Headers],[Forfait_Percentage]],Tb_ProjectKosten[#Headers],0),0),""),X1575 &lt;=0,0),"")</f>
        <v/>
      </c>
      <c r="AB1575" s="314" t="str">
        <f t="shared" ca="1" si="99"/>
        <v/>
      </c>
      <c r="AC1575" s="322"/>
      <c r="AD1575" s="315"/>
      <c r="AE1575" s="32" t="str" cm="1">
        <f t="array" ref="AE1575">IFERROR(IF(INDEX(SubsidieTabel!$AD$1:$AG$12,MATCH($F1575,SubsidieTabel!$AD$1:$AD$12,0),IFERROR(MATCH(Methode_Keuze,SubsidieTabel!$AD$1:$AG$1,0),2))&lt;&gt;1=TRUE,"ja",""),"")</f>
        <v/>
      </c>
    </row>
    <row r="1576" spans="1:31" x14ac:dyDescent="0.25">
      <c r="A1576" s="316"/>
      <c r="B1576" s="317" t="str">
        <f>IF(A1576&lt;&gt;"",_xlfn.MAXIFS($B$1:B1575,$A$1:A1575,A1576)+1,"")</f>
        <v/>
      </c>
      <c r="C1576" s="296"/>
      <c r="D1576" s="296"/>
      <c r="E1576" s="296"/>
      <c r="F1576" s="296"/>
      <c r="G1576" s="326"/>
      <c r="H1576" s="324"/>
      <c r="I1576" s="325"/>
      <c r="J1576" s="325"/>
      <c r="K1576" s="318"/>
      <c r="L1576" s="318"/>
      <c r="M1576" s="319" t="str">
        <f>IFERROR(VLOOKUP(H1576,Lijsten!$H$1:$I$100,2,0),"")</f>
        <v/>
      </c>
      <c r="N1576" s="319" t="str">
        <f ca="1">IFERROR(IF(VLOOKUP(F1576,Kostentypen!$A$3:$E$21,3,0)=0,"",IF(OR(F1576="Arbeidskosten",F1576="Vergoeding"),VLOOKUP(G1576,Tb_KostenTypen[],2,0),VLOOKUP(F1576,Kostentypen!$A$3:$E$20,3,0))),"")</f>
        <v/>
      </c>
      <c r="O1576" s="320" t="str" cm="1">
        <f t="array" ref="O1576">_xlfn.IFNA(IF(INDEX(Tb_KostenOptiesDB[],MATCH($F1576,Tb_KostenOptiesDB[KostenOptie],0),IFERROR(MATCH(Methode_Keuze,Tb_KostenOptiesDB[#Headers],0),2))=1,_xlfn.SWITCH($N1576,"Uurtarief",IF(OR(AND(RIGHT($F1576,3)="IKS",VLOOKUP($M1576,DB_Loonkosten,2,0)="Ja"),AND(RIGHT($F1576,3)&lt;&gt;"IKS",VLOOKUP($M1576,DB_Loonkosten,2,0)="Nee")),IFERROR(VLOOKUP($M1576,DB_Loonkosten,24,0),""),0),"Vast tarief",IF(LEFT(F1576,8)="Bijdrage",VLOOKUP($F1576,Tb_KostenTypen[],MATCH(Lijsten!$P$1,Tb_KostenTypen[#Headers],0),0),VLOOKUP($G1576,Lijsten!L:P,MATCH(Lijsten!$P$1,Kop_Tarief_Vast,0),0))),""),"")</f>
        <v/>
      </c>
      <c r="P1576" s="320" t="str" cm="1">
        <f t="array" ref="P1576">_xlfn.IFNA(IF(INDEX(Tb_KostenOptiesDB[],MATCH($F1576,Tb_KostenOptiesDB[KostenOptie],0),IFERROR(MATCH(Methode_Keuze,Tb_KostenOptiesDB[#Headers],0),2))=1,_xlfn.SWITCH($N1576,"Uurtarief",IF(OR(AND(RIGHT($F1576,3)="IKS",VLOOKUP($M1576,DB_Loonkosten,2,0)="Ja"),AND(RIGHT($F1576,3)&lt;&gt;"IKS",VLOOKUP($M1576,DB_Loonkosten,2,0)="Nee")),IFERROR(VLOOKUP($M1576,DB_Loonkosten,25,0),""),0),"Vast tarief",IF(LEFT(F1576,8)="Bijdrage",VLOOKUP($F1576,Tb_KostenTypen[],MATCH(Lijsten!$P$1,Tb_KostenTypen[#Headers],0),0),VLOOKUP($G1576,Lijsten!L:P,MATCH(Lijsten!$P$1,Kop_Tarief_Vast,0),0))),""),"")</f>
        <v/>
      </c>
      <c r="Q1576" s="359"/>
      <c r="R1576" s="359"/>
      <c r="S1576" s="321"/>
      <c r="T1576" s="321"/>
      <c r="U1576" s="373" t="str">
        <f t="shared" si="96"/>
        <v/>
      </c>
      <c r="V1576" s="314" t="str">
        <f t="shared" si="97"/>
        <v/>
      </c>
      <c r="W1576" s="314" t="str" cm="1">
        <f t="array" aca="1" ref="W1576" ca="1">IFERROR(IF(AE1576&lt;&gt;"ja",_xlfn.IFNA(_xlfn.IFS(AND(O1576&lt;&gt;"",F1576&lt;&gt;"",RIGHT($N1576,6)="tarief",F1576="Vergoeding"),SUM(O1576)*FLOOR(SUM(Q1576),0.0001),AND(O1576&lt;&gt;"",F1576&lt;&gt;"",RIGHT($N1576,6)="tarief"),SUM(O1576)*FLOOR(SUM(Q1576),0.01),S1576&gt;0,IF(F1576&lt;&gt;"",FLOOR(SUM(S1576),0.01),"")),""),""),"")</f>
        <v/>
      </c>
      <c r="X1576" s="314" t="str" cm="1">
        <f t="array" aca="1" ref="X1576" ca="1">IFERROR(IF(AE1576&lt;&gt;"ja",_xlfn.IFNA(_xlfn.IFS(AND(P1576&lt;&gt;"",R1576&lt;&gt;"",RIGHT($N1576,6)="tarief",F1576="Vergoeding"),SUM(P1576)*FLOOR(SUM(R1576),0.0001),AND(P1576&lt;&gt;"",R1576&lt;&gt;"",RIGHT($N1576,6)="tarief"),P1576*FLOOR(R1576,0.01),T1576&gt;0,FLOOR(SUM(T1576),0.01)),""),""),"")</f>
        <v/>
      </c>
      <c r="Y1576" s="314" t="str">
        <f t="shared" ca="1" si="98"/>
        <v/>
      </c>
      <c r="Z1576" s="314" t="str" cm="1">
        <f t="array" aca="1" ref="Z1576" ca="1">IFERROR(_xlfn.IFS(OR(F1576="",LEFT(Methode_Keuze,4)="Geen",Methode_Keuze=""),"",AND(W1576&lt;&gt;"",F1576&lt;&gt;"Arbeidskosten"),W1576*VLOOKUP(F1576,Tb_ProjectKosten[],MATCH(Tb_ProjectKosten[[#Headers],[Forfait_Percentage]],Tb_ProjectKosten[#Headers],0),0),AND(F1576="Arbeidskosten",G1576&lt;&gt;""),IFERROR(W1576*VLOOKUP(G1576,Tb_KostenTypen[],3,0)*VLOOKUP(F1576,Tb_ProjectKosten[],MATCH(Tb_ProjectKosten[[#Headers],[Forfait_Percentage]],Tb_ProjectKosten[#Headers],0),0),""),W1576 &lt;=0,0),"")</f>
        <v/>
      </c>
      <c r="AA1576" s="314" t="str" cm="1">
        <f t="array" aca="1" ref="AA1576" ca="1">IFERROR(_xlfn.IFS(OR(F1576="",LEFT(Methode_Keuze,4)="Geen",Methode_Keuze=""),"",AND(X1576&lt;&gt;"",F1576&lt;&gt;"Arbeidskosten"),X1576*VLOOKUP(F1576,Tb_ProjectKosten[],MATCH(Tb_ProjectKosten[[#Headers],[Forfait_Percentage]],Tb_ProjectKosten[#Headers],0),0),AND(F1576="Arbeidskosten",G1576&lt;&gt;""),IFERROR(X1576*VLOOKUP(G1576,Tb_KostenTypen[],3,0)*VLOOKUP(F1576,Tb_ProjectKosten[],MATCH(Tb_ProjectKosten[[#Headers],[Forfait_Percentage]],Tb_ProjectKosten[#Headers],0),0),""),X1576 &lt;=0,0),"")</f>
        <v/>
      </c>
      <c r="AB1576" s="314" t="str">
        <f t="shared" ca="1" si="99"/>
        <v/>
      </c>
      <c r="AC1576" s="322"/>
      <c r="AD1576" s="315"/>
      <c r="AE1576" s="32" t="str" cm="1">
        <f t="array" ref="AE1576">IFERROR(IF(INDEX(SubsidieTabel!$AD$1:$AG$12,MATCH($F1576,SubsidieTabel!$AD$1:$AD$12,0),IFERROR(MATCH(Methode_Keuze,SubsidieTabel!$AD$1:$AG$1,0),2))&lt;&gt;1=TRUE,"ja",""),"")</f>
        <v/>
      </c>
    </row>
    <row r="1577" spans="1:31" x14ac:dyDescent="0.25">
      <c r="A1577" s="316"/>
      <c r="B1577" s="317" t="str">
        <f>IF(A1577&lt;&gt;"",_xlfn.MAXIFS($B$1:B1576,$A$1:A1576,A1577)+1,"")</f>
        <v/>
      </c>
      <c r="C1577" s="296"/>
      <c r="D1577" s="296"/>
      <c r="E1577" s="296"/>
      <c r="F1577" s="296"/>
      <c r="G1577" s="326"/>
      <c r="H1577" s="324"/>
      <c r="I1577" s="325"/>
      <c r="J1577" s="325"/>
      <c r="K1577" s="318"/>
      <c r="L1577" s="318"/>
      <c r="M1577" s="319" t="str">
        <f>IFERROR(VLOOKUP(H1577,Lijsten!$H$1:$I$100,2,0),"")</f>
        <v/>
      </c>
      <c r="N1577" s="319" t="str">
        <f ca="1">IFERROR(IF(VLOOKUP(F1577,Kostentypen!$A$3:$E$21,3,0)=0,"",IF(OR(F1577="Arbeidskosten",F1577="Vergoeding"),VLOOKUP(G1577,Tb_KostenTypen[],2,0),VLOOKUP(F1577,Kostentypen!$A$3:$E$20,3,0))),"")</f>
        <v/>
      </c>
      <c r="O1577" s="320" t="str" cm="1">
        <f t="array" ref="O1577">_xlfn.IFNA(IF(INDEX(Tb_KostenOptiesDB[],MATCH($F1577,Tb_KostenOptiesDB[KostenOptie],0),IFERROR(MATCH(Methode_Keuze,Tb_KostenOptiesDB[#Headers],0),2))=1,_xlfn.SWITCH($N1577,"Uurtarief",IF(OR(AND(RIGHT($F1577,3)="IKS",VLOOKUP($M1577,DB_Loonkosten,2,0)="Ja"),AND(RIGHT($F1577,3)&lt;&gt;"IKS",VLOOKUP($M1577,DB_Loonkosten,2,0)="Nee")),IFERROR(VLOOKUP($M1577,DB_Loonkosten,24,0),""),0),"Vast tarief",IF(LEFT(F1577,8)="Bijdrage",VLOOKUP($F1577,Tb_KostenTypen[],MATCH(Lijsten!$P$1,Tb_KostenTypen[#Headers],0),0),VLOOKUP($G1577,Lijsten!L:P,MATCH(Lijsten!$P$1,Kop_Tarief_Vast,0),0))),""),"")</f>
        <v/>
      </c>
      <c r="P1577" s="320" t="str" cm="1">
        <f t="array" ref="P1577">_xlfn.IFNA(IF(INDEX(Tb_KostenOptiesDB[],MATCH($F1577,Tb_KostenOptiesDB[KostenOptie],0),IFERROR(MATCH(Methode_Keuze,Tb_KostenOptiesDB[#Headers],0),2))=1,_xlfn.SWITCH($N1577,"Uurtarief",IF(OR(AND(RIGHT($F1577,3)="IKS",VLOOKUP($M1577,DB_Loonkosten,2,0)="Ja"),AND(RIGHT($F1577,3)&lt;&gt;"IKS",VLOOKUP($M1577,DB_Loonkosten,2,0)="Nee")),IFERROR(VLOOKUP($M1577,DB_Loonkosten,25,0),""),0),"Vast tarief",IF(LEFT(F1577,8)="Bijdrage",VLOOKUP($F1577,Tb_KostenTypen[],MATCH(Lijsten!$P$1,Tb_KostenTypen[#Headers],0),0),VLOOKUP($G1577,Lijsten!L:P,MATCH(Lijsten!$P$1,Kop_Tarief_Vast,0),0))),""),"")</f>
        <v/>
      </c>
      <c r="Q1577" s="359"/>
      <c r="R1577" s="359"/>
      <c r="S1577" s="321"/>
      <c r="T1577" s="321"/>
      <c r="U1577" s="373" t="str">
        <f t="shared" si="96"/>
        <v/>
      </c>
      <c r="V1577" s="314" t="str">
        <f t="shared" si="97"/>
        <v/>
      </c>
      <c r="W1577" s="314" t="str" cm="1">
        <f t="array" aca="1" ref="W1577" ca="1">IFERROR(IF(AE1577&lt;&gt;"ja",_xlfn.IFNA(_xlfn.IFS(AND(O1577&lt;&gt;"",F1577&lt;&gt;"",RIGHT($N1577,6)="tarief",F1577="Vergoeding"),SUM(O1577)*FLOOR(SUM(Q1577),0.0001),AND(O1577&lt;&gt;"",F1577&lt;&gt;"",RIGHT($N1577,6)="tarief"),SUM(O1577)*FLOOR(SUM(Q1577),0.01),S1577&gt;0,IF(F1577&lt;&gt;"",FLOOR(SUM(S1577),0.01),"")),""),""),"")</f>
        <v/>
      </c>
      <c r="X1577" s="314" t="str" cm="1">
        <f t="array" aca="1" ref="X1577" ca="1">IFERROR(IF(AE1577&lt;&gt;"ja",_xlfn.IFNA(_xlfn.IFS(AND(P1577&lt;&gt;"",R1577&lt;&gt;"",RIGHT($N1577,6)="tarief",F1577="Vergoeding"),SUM(P1577)*FLOOR(SUM(R1577),0.0001),AND(P1577&lt;&gt;"",R1577&lt;&gt;"",RIGHT($N1577,6)="tarief"),P1577*FLOOR(R1577,0.01),T1577&gt;0,FLOOR(SUM(T1577),0.01)),""),""),"")</f>
        <v/>
      </c>
      <c r="Y1577" s="314" t="str">
        <f t="shared" ca="1" si="98"/>
        <v/>
      </c>
      <c r="Z1577" s="314" t="str" cm="1">
        <f t="array" aca="1" ref="Z1577" ca="1">IFERROR(_xlfn.IFS(OR(F1577="",LEFT(Methode_Keuze,4)="Geen",Methode_Keuze=""),"",AND(W1577&lt;&gt;"",F1577&lt;&gt;"Arbeidskosten"),W1577*VLOOKUP(F1577,Tb_ProjectKosten[],MATCH(Tb_ProjectKosten[[#Headers],[Forfait_Percentage]],Tb_ProjectKosten[#Headers],0),0),AND(F1577="Arbeidskosten",G1577&lt;&gt;""),IFERROR(W1577*VLOOKUP(G1577,Tb_KostenTypen[],3,0)*VLOOKUP(F1577,Tb_ProjectKosten[],MATCH(Tb_ProjectKosten[[#Headers],[Forfait_Percentage]],Tb_ProjectKosten[#Headers],0),0),""),W1577 &lt;=0,0),"")</f>
        <v/>
      </c>
      <c r="AA1577" s="314" t="str" cm="1">
        <f t="array" aca="1" ref="AA1577" ca="1">IFERROR(_xlfn.IFS(OR(F1577="",LEFT(Methode_Keuze,4)="Geen",Methode_Keuze=""),"",AND(X1577&lt;&gt;"",F1577&lt;&gt;"Arbeidskosten"),X1577*VLOOKUP(F1577,Tb_ProjectKosten[],MATCH(Tb_ProjectKosten[[#Headers],[Forfait_Percentage]],Tb_ProjectKosten[#Headers],0),0),AND(F1577="Arbeidskosten",G1577&lt;&gt;""),IFERROR(X1577*VLOOKUP(G1577,Tb_KostenTypen[],3,0)*VLOOKUP(F1577,Tb_ProjectKosten[],MATCH(Tb_ProjectKosten[[#Headers],[Forfait_Percentage]],Tb_ProjectKosten[#Headers],0),0),""),X1577 &lt;=0,0),"")</f>
        <v/>
      </c>
      <c r="AB1577" s="314" t="str">
        <f t="shared" ca="1" si="99"/>
        <v/>
      </c>
      <c r="AC1577" s="322"/>
      <c r="AD1577" s="315"/>
      <c r="AE1577" s="32" t="str" cm="1">
        <f t="array" ref="AE1577">IFERROR(IF(INDEX(SubsidieTabel!$AD$1:$AG$12,MATCH($F1577,SubsidieTabel!$AD$1:$AD$12,0),IFERROR(MATCH(Methode_Keuze,SubsidieTabel!$AD$1:$AG$1,0),2))&lt;&gt;1=TRUE,"ja",""),"")</f>
        <v/>
      </c>
    </row>
    <row r="1578" spans="1:31" x14ac:dyDescent="0.25">
      <c r="A1578" s="316"/>
      <c r="B1578" s="317" t="str">
        <f>IF(A1578&lt;&gt;"",_xlfn.MAXIFS($B$1:B1577,$A$1:A1577,A1578)+1,"")</f>
        <v/>
      </c>
      <c r="C1578" s="296"/>
      <c r="D1578" s="296"/>
      <c r="E1578" s="296"/>
      <c r="F1578" s="296"/>
      <c r="G1578" s="326"/>
      <c r="H1578" s="324"/>
      <c r="I1578" s="325"/>
      <c r="J1578" s="325"/>
      <c r="K1578" s="318"/>
      <c r="L1578" s="318"/>
      <c r="M1578" s="319" t="str">
        <f>IFERROR(VLOOKUP(H1578,Lijsten!$H$1:$I$100,2,0),"")</f>
        <v/>
      </c>
      <c r="N1578" s="319" t="str">
        <f ca="1">IFERROR(IF(VLOOKUP(F1578,Kostentypen!$A$3:$E$21,3,0)=0,"",IF(OR(F1578="Arbeidskosten",F1578="Vergoeding"),VLOOKUP(G1578,Tb_KostenTypen[],2,0),VLOOKUP(F1578,Kostentypen!$A$3:$E$20,3,0))),"")</f>
        <v/>
      </c>
      <c r="O1578" s="320" t="str" cm="1">
        <f t="array" ref="O1578">_xlfn.IFNA(IF(INDEX(Tb_KostenOptiesDB[],MATCH($F1578,Tb_KostenOptiesDB[KostenOptie],0),IFERROR(MATCH(Methode_Keuze,Tb_KostenOptiesDB[#Headers],0),2))=1,_xlfn.SWITCH($N1578,"Uurtarief",IF(OR(AND(RIGHT($F1578,3)="IKS",VLOOKUP($M1578,DB_Loonkosten,2,0)="Ja"),AND(RIGHT($F1578,3)&lt;&gt;"IKS",VLOOKUP($M1578,DB_Loonkosten,2,0)="Nee")),IFERROR(VLOOKUP($M1578,DB_Loonkosten,24,0),""),0),"Vast tarief",IF(LEFT(F1578,8)="Bijdrage",VLOOKUP($F1578,Tb_KostenTypen[],MATCH(Lijsten!$P$1,Tb_KostenTypen[#Headers],0),0),VLOOKUP($G1578,Lijsten!L:P,MATCH(Lijsten!$P$1,Kop_Tarief_Vast,0),0))),""),"")</f>
        <v/>
      </c>
      <c r="P1578" s="320" t="str" cm="1">
        <f t="array" ref="P1578">_xlfn.IFNA(IF(INDEX(Tb_KostenOptiesDB[],MATCH($F1578,Tb_KostenOptiesDB[KostenOptie],0),IFERROR(MATCH(Methode_Keuze,Tb_KostenOptiesDB[#Headers],0),2))=1,_xlfn.SWITCH($N1578,"Uurtarief",IF(OR(AND(RIGHT($F1578,3)="IKS",VLOOKUP($M1578,DB_Loonkosten,2,0)="Ja"),AND(RIGHT($F1578,3)&lt;&gt;"IKS",VLOOKUP($M1578,DB_Loonkosten,2,0)="Nee")),IFERROR(VLOOKUP($M1578,DB_Loonkosten,25,0),""),0),"Vast tarief",IF(LEFT(F1578,8)="Bijdrage",VLOOKUP($F1578,Tb_KostenTypen[],MATCH(Lijsten!$P$1,Tb_KostenTypen[#Headers],0),0),VLOOKUP($G1578,Lijsten!L:P,MATCH(Lijsten!$P$1,Kop_Tarief_Vast,0),0))),""),"")</f>
        <v/>
      </c>
      <c r="Q1578" s="359"/>
      <c r="R1578" s="359"/>
      <c r="S1578" s="321"/>
      <c r="T1578" s="321"/>
      <c r="U1578" s="373" t="str">
        <f t="shared" si="96"/>
        <v/>
      </c>
      <c r="V1578" s="314" t="str">
        <f t="shared" si="97"/>
        <v/>
      </c>
      <c r="W1578" s="314" t="str" cm="1">
        <f t="array" aca="1" ref="W1578" ca="1">IFERROR(IF(AE1578&lt;&gt;"ja",_xlfn.IFNA(_xlfn.IFS(AND(O1578&lt;&gt;"",F1578&lt;&gt;"",RIGHT($N1578,6)="tarief",F1578="Vergoeding"),SUM(O1578)*FLOOR(SUM(Q1578),0.0001),AND(O1578&lt;&gt;"",F1578&lt;&gt;"",RIGHT($N1578,6)="tarief"),SUM(O1578)*FLOOR(SUM(Q1578),0.01),S1578&gt;0,IF(F1578&lt;&gt;"",FLOOR(SUM(S1578),0.01),"")),""),""),"")</f>
        <v/>
      </c>
      <c r="X1578" s="314" t="str" cm="1">
        <f t="array" aca="1" ref="X1578" ca="1">IFERROR(IF(AE1578&lt;&gt;"ja",_xlfn.IFNA(_xlfn.IFS(AND(P1578&lt;&gt;"",R1578&lt;&gt;"",RIGHT($N1578,6)="tarief",F1578="Vergoeding"),SUM(P1578)*FLOOR(SUM(R1578),0.0001),AND(P1578&lt;&gt;"",R1578&lt;&gt;"",RIGHT($N1578,6)="tarief"),P1578*FLOOR(R1578,0.01),T1578&gt;0,FLOOR(SUM(T1578),0.01)),""),""),"")</f>
        <v/>
      </c>
      <c r="Y1578" s="314" t="str">
        <f t="shared" ca="1" si="98"/>
        <v/>
      </c>
      <c r="Z1578" s="314" t="str" cm="1">
        <f t="array" aca="1" ref="Z1578" ca="1">IFERROR(_xlfn.IFS(OR(F1578="",LEFT(Methode_Keuze,4)="Geen",Methode_Keuze=""),"",AND(W1578&lt;&gt;"",F1578&lt;&gt;"Arbeidskosten"),W1578*VLOOKUP(F1578,Tb_ProjectKosten[],MATCH(Tb_ProjectKosten[[#Headers],[Forfait_Percentage]],Tb_ProjectKosten[#Headers],0),0),AND(F1578="Arbeidskosten",G1578&lt;&gt;""),IFERROR(W1578*VLOOKUP(G1578,Tb_KostenTypen[],3,0)*VLOOKUP(F1578,Tb_ProjectKosten[],MATCH(Tb_ProjectKosten[[#Headers],[Forfait_Percentage]],Tb_ProjectKosten[#Headers],0),0),""),W1578 &lt;=0,0),"")</f>
        <v/>
      </c>
      <c r="AA1578" s="314" t="str" cm="1">
        <f t="array" aca="1" ref="AA1578" ca="1">IFERROR(_xlfn.IFS(OR(F1578="",LEFT(Methode_Keuze,4)="Geen",Methode_Keuze=""),"",AND(X1578&lt;&gt;"",F1578&lt;&gt;"Arbeidskosten"),X1578*VLOOKUP(F1578,Tb_ProjectKosten[],MATCH(Tb_ProjectKosten[[#Headers],[Forfait_Percentage]],Tb_ProjectKosten[#Headers],0),0),AND(F1578="Arbeidskosten",G1578&lt;&gt;""),IFERROR(X1578*VLOOKUP(G1578,Tb_KostenTypen[],3,0)*VLOOKUP(F1578,Tb_ProjectKosten[],MATCH(Tb_ProjectKosten[[#Headers],[Forfait_Percentage]],Tb_ProjectKosten[#Headers],0),0),""),X1578 &lt;=0,0),"")</f>
        <v/>
      </c>
      <c r="AB1578" s="314" t="str">
        <f t="shared" ca="1" si="99"/>
        <v/>
      </c>
      <c r="AC1578" s="322"/>
      <c r="AD1578" s="315"/>
      <c r="AE1578" s="32" t="str" cm="1">
        <f t="array" ref="AE1578">IFERROR(IF(INDEX(SubsidieTabel!$AD$1:$AG$12,MATCH($F1578,SubsidieTabel!$AD$1:$AD$12,0),IFERROR(MATCH(Methode_Keuze,SubsidieTabel!$AD$1:$AG$1,0),2))&lt;&gt;1=TRUE,"ja",""),"")</f>
        <v/>
      </c>
    </row>
    <row r="1579" spans="1:31" x14ac:dyDescent="0.25">
      <c r="A1579" s="316"/>
      <c r="B1579" s="317" t="str">
        <f>IF(A1579&lt;&gt;"",_xlfn.MAXIFS($B$1:B1578,$A$1:A1578,A1579)+1,"")</f>
        <v/>
      </c>
      <c r="C1579" s="296"/>
      <c r="D1579" s="296"/>
      <c r="E1579" s="296"/>
      <c r="F1579" s="296"/>
      <c r="G1579" s="326"/>
      <c r="H1579" s="324"/>
      <c r="I1579" s="325"/>
      <c r="J1579" s="325"/>
      <c r="K1579" s="318"/>
      <c r="L1579" s="318"/>
      <c r="M1579" s="319" t="str">
        <f>IFERROR(VLOOKUP(H1579,Lijsten!$H$1:$I$100,2,0),"")</f>
        <v/>
      </c>
      <c r="N1579" s="319" t="str">
        <f ca="1">IFERROR(IF(VLOOKUP(F1579,Kostentypen!$A$3:$E$21,3,0)=0,"",IF(OR(F1579="Arbeidskosten",F1579="Vergoeding"),VLOOKUP(G1579,Tb_KostenTypen[],2,0),VLOOKUP(F1579,Kostentypen!$A$3:$E$20,3,0))),"")</f>
        <v/>
      </c>
      <c r="O1579" s="320" t="str" cm="1">
        <f t="array" ref="O1579">_xlfn.IFNA(IF(INDEX(Tb_KostenOptiesDB[],MATCH($F1579,Tb_KostenOptiesDB[KostenOptie],0),IFERROR(MATCH(Methode_Keuze,Tb_KostenOptiesDB[#Headers],0),2))=1,_xlfn.SWITCH($N1579,"Uurtarief",IF(OR(AND(RIGHT($F1579,3)="IKS",VLOOKUP($M1579,DB_Loonkosten,2,0)="Ja"),AND(RIGHT($F1579,3)&lt;&gt;"IKS",VLOOKUP($M1579,DB_Loonkosten,2,0)="Nee")),IFERROR(VLOOKUP($M1579,DB_Loonkosten,24,0),""),0),"Vast tarief",IF(LEFT(F1579,8)="Bijdrage",VLOOKUP($F1579,Tb_KostenTypen[],MATCH(Lijsten!$P$1,Tb_KostenTypen[#Headers],0),0),VLOOKUP($G1579,Lijsten!L:P,MATCH(Lijsten!$P$1,Kop_Tarief_Vast,0),0))),""),"")</f>
        <v/>
      </c>
      <c r="P1579" s="320" t="str" cm="1">
        <f t="array" ref="P1579">_xlfn.IFNA(IF(INDEX(Tb_KostenOptiesDB[],MATCH($F1579,Tb_KostenOptiesDB[KostenOptie],0),IFERROR(MATCH(Methode_Keuze,Tb_KostenOptiesDB[#Headers],0),2))=1,_xlfn.SWITCH($N1579,"Uurtarief",IF(OR(AND(RIGHT($F1579,3)="IKS",VLOOKUP($M1579,DB_Loonkosten,2,0)="Ja"),AND(RIGHT($F1579,3)&lt;&gt;"IKS",VLOOKUP($M1579,DB_Loonkosten,2,0)="Nee")),IFERROR(VLOOKUP($M1579,DB_Loonkosten,25,0),""),0),"Vast tarief",IF(LEFT(F1579,8)="Bijdrage",VLOOKUP($F1579,Tb_KostenTypen[],MATCH(Lijsten!$P$1,Tb_KostenTypen[#Headers],0),0),VLOOKUP($G1579,Lijsten!L:P,MATCH(Lijsten!$P$1,Kop_Tarief_Vast,0),0))),""),"")</f>
        <v/>
      </c>
      <c r="Q1579" s="359"/>
      <c r="R1579" s="359"/>
      <c r="S1579" s="321"/>
      <c r="T1579" s="321"/>
      <c r="U1579" s="373" t="str">
        <f t="shared" si="96"/>
        <v/>
      </c>
      <c r="V1579" s="314" t="str">
        <f t="shared" si="97"/>
        <v/>
      </c>
      <c r="W1579" s="314" t="str" cm="1">
        <f t="array" aca="1" ref="W1579" ca="1">IFERROR(IF(AE1579&lt;&gt;"ja",_xlfn.IFNA(_xlfn.IFS(AND(O1579&lt;&gt;"",F1579&lt;&gt;"",RIGHT($N1579,6)="tarief",F1579="Vergoeding"),SUM(O1579)*FLOOR(SUM(Q1579),0.0001),AND(O1579&lt;&gt;"",F1579&lt;&gt;"",RIGHT($N1579,6)="tarief"),SUM(O1579)*FLOOR(SUM(Q1579),0.01),S1579&gt;0,IF(F1579&lt;&gt;"",FLOOR(SUM(S1579),0.01),"")),""),""),"")</f>
        <v/>
      </c>
      <c r="X1579" s="314" t="str" cm="1">
        <f t="array" aca="1" ref="X1579" ca="1">IFERROR(IF(AE1579&lt;&gt;"ja",_xlfn.IFNA(_xlfn.IFS(AND(P1579&lt;&gt;"",R1579&lt;&gt;"",RIGHT($N1579,6)="tarief",F1579="Vergoeding"),SUM(P1579)*FLOOR(SUM(R1579),0.0001),AND(P1579&lt;&gt;"",R1579&lt;&gt;"",RIGHT($N1579,6)="tarief"),P1579*FLOOR(R1579,0.01),T1579&gt;0,FLOOR(SUM(T1579),0.01)),""),""),"")</f>
        <v/>
      </c>
      <c r="Y1579" s="314" t="str">
        <f t="shared" ca="1" si="98"/>
        <v/>
      </c>
      <c r="Z1579" s="314" t="str" cm="1">
        <f t="array" aca="1" ref="Z1579" ca="1">IFERROR(_xlfn.IFS(OR(F1579="",LEFT(Methode_Keuze,4)="Geen",Methode_Keuze=""),"",AND(W1579&lt;&gt;"",F1579&lt;&gt;"Arbeidskosten"),W1579*VLOOKUP(F1579,Tb_ProjectKosten[],MATCH(Tb_ProjectKosten[[#Headers],[Forfait_Percentage]],Tb_ProjectKosten[#Headers],0),0),AND(F1579="Arbeidskosten",G1579&lt;&gt;""),IFERROR(W1579*VLOOKUP(G1579,Tb_KostenTypen[],3,0)*VLOOKUP(F1579,Tb_ProjectKosten[],MATCH(Tb_ProjectKosten[[#Headers],[Forfait_Percentage]],Tb_ProjectKosten[#Headers],0),0),""),W1579 &lt;=0,0),"")</f>
        <v/>
      </c>
      <c r="AA1579" s="314" t="str" cm="1">
        <f t="array" aca="1" ref="AA1579" ca="1">IFERROR(_xlfn.IFS(OR(F1579="",LEFT(Methode_Keuze,4)="Geen",Methode_Keuze=""),"",AND(X1579&lt;&gt;"",F1579&lt;&gt;"Arbeidskosten"),X1579*VLOOKUP(F1579,Tb_ProjectKosten[],MATCH(Tb_ProjectKosten[[#Headers],[Forfait_Percentage]],Tb_ProjectKosten[#Headers],0),0),AND(F1579="Arbeidskosten",G1579&lt;&gt;""),IFERROR(X1579*VLOOKUP(G1579,Tb_KostenTypen[],3,0)*VLOOKUP(F1579,Tb_ProjectKosten[],MATCH(Tb_ProjectKosten[[#Headers],[Forfait_Percentage]],Tb_ProjectKosten[#Headers],0),0),""),X1579 &lt;=0,0),"")</f>
        <v/>
      </c>
      <c r="AB1579" s="314" t="str">
        <f t="shared" ca="1" si="99"/>
        <v/>
      </c>
      <c r="AC1579" s="322"/>
      <c r="AD1579" s="315"/>
      <c r="AE1579" s="32" t="str" cm="1">
        <f t="array" ref="AE1579">IFERROR(IF(INDEX(SubsidieTabel!$AD$1:$AG$12,MATCH($F1579,SubsidieTabel!$AD$1:$AD$12,0),IFERROR(MATCH(Methode_Keuze,SubsidieTabel!$AD$1:$AG$1,0),2))&lt;&gt;1=TRUE,"ja",""),"")</f>
        <v/>
      </c>
    </row>
    <row r="1580" spans="1:31" x14ac:dyDescent="0.25">
      <c r="A1580" s="316"/>
      <c r="B1580" s="317" t="str">
        <f>IF(A1580&lt;&gt;"",_xlfn.MAXIFS($B$1:B1579,$A$1:A1579,A1580)+1,"")</f>
        <v/>
      </c>
      <c r="C1580" s="296"/>
      <c r="D1580" s="296"/>
      <c r="E1580" s="296"/>
      <c r="F1580" s="296"/>
      <c r="G1580" s="326"/>
      <c r="H1580" s="324"/>
      <c r="I1580" s="325"/>
      <c r="J1580" s="325"/>
      <c r="K1580" s="318"/>
      <c r="L1580" s="318"/>
      <c r="M1580" s="319" t="str">
        <f>IFERROR(VLOOKUP(H1580,Lijsten!$H$1:$I$100,2,0),"")</f>
        <v/>
      </c>
      <c r="N1580" s="319" t="str">
        <f ca="1">IFERROR(IF(VLOOKUP(F1580,Kostentypen!$A$3:$E$21,3,0)=0,"",IF(OR(F1580="Arbeidskosten",F1580="Vergoeding"),VLOOKUP(G1580,Tb_KostenTypen[],2,0),VLOOKUP(F1580,Kostentypen!$A$3:$E$20,3,0))),"")</f>
        <v/>
      </c>
      <c r="O1580" s="320" t="str" cm="1">
        <f t="array" ref="O1580">_xlfn.IFNA(IF(INDEX(Tb_KostenOptiesDB[],MATCH($F1580,Tb_KostenOptiesDB[KostenOptie],0),IFERROR(MATCH(Methode_Keuze,Tb_KostenOptiesDB[#Headers],0),2))=1,_xlfn.SWITCH($N1580,"Uurtarief",IF(OR(AND(RIGHT($F1580,3)="IKS",VLOOKUP($M1580,DB_Loonkosten,2,0)="Ja"),AND(RIGHT($F1580,3)&lt;&gt;"IKS",VLOOKUP($M1580,DB_Loonkosten,2,0)="Nee")),IFERROR(VLOOKUP($M1580,DB_Loonkosten,24,0),""),0),"Vast tarief",IF(LEFT(F1580,8)="Bijdrage",VLOOKUP($F1580,Tb_KostenTypen[],MATCH(Lijsten!$P$1,Tb_KostenTypen[#Headers],0),0),VLOOKUP($G1580,Lijsten!L:P,MATCH(Lijsten!$P$1,Kop_Tarief_Vast,0),0))),""),"")</f>
        <v/>
      </c>
      <c r="P1580" s="320" t="str" cm="1">
        <f t="array" ref="P1580">_xlfn.IFNA(IF(INDEX(Tb_KostenOptiesDB[],MATCH($F1580,Tb_KostenOptiesDB[KostenOptie],0),IFERROR(MATCH(Methode_Keuze,Tb_KostenOptiesDB[#Headers],0),2))=1,_xlfn.SWITCH($N1580,"Uurtarief",IF(OR(AND(RIGHT($F1580,3)="IKS",VLOOKUP($M1580,DB_Loonkosten,2,0)="Ja"),AND(RIGHT($F1580,3)&lt;&gt;"IKS",VLOOKUP($M1580,DB_Loonkosten,2,0)="Nee")),IFERROR(VLOOKUP($M1580,DB_Loonkosten,25,0),""),0),"Vast tarief",IF(LEFT(F1580,8)="Bijdrage",VLOOKUP($F1580,Tb_KostenTypen[],MATCH(Lijsten!$P$1,Tb_KostenTypen[#Headers],0),0),VLOOKUP($G1580,Lijsten!L:P,MATCH(Lijsten!$P$1,Kop_Tarief_Vast,0),0))),""),"")</f>
        <v/>
      </c>
      <c r="Q1580" s="359"/>
      <c r="R1580" s="359"/>
      <c r="S1580" s="321"/>
      <c r="T1580" s="321"/>
      <c r="U1580" s="373" t="str">
        <f t="shared" si="96"/>
        <v/>
      </c>
      <c r="V1580" s="314" t="str">
        <f t="shared" si="97"/>
        <v/>
      </c>
      <c r="W1580" s="314" t="str" cm="1">
        <f t="array" aca="1" ref="W1580" ca="1">IFERROR(IF(AE1580&lt;&gt;"ja",_xlfn.IFNA(_xlfn.IFS(AND(O1580&lt;&gt;"",F1580&lt;&gt;"",RIGHT($N1580,6)="tarief",F1580="Vergoeding"),SUM(O1580)*FLOOR(SUM(Q1580),0.0001),AND(O1580&lt;&gt;"",F1580&lt;&gt;"",RIGHT($N1580,6)="tarief"),SUM(O1580)*FLOOR(SUM(Q1580),0.01),S1580&gt;0,IF(F1580&lt;&gt;"",FLOOR(SUM(S1580),0.01),"")),""),""),"")</f>
        <v/>
      </c>
      <c r="X1580" s="314" t="str" cm="1">
        <f t="array" aca="1" ref="X1580" ca="1">IFERROR(IF(AE1580&lt;&gt;"ja",_xlfn.IFNA(_xlfn.IFS(AND(P1580&lt;&gt;"",R1580&lt;&gt;"",RIGHT($N1580,6)="tarief",F1580="Vergoeding"),SUM(P1580)*FLOOR(SUM(R1580),0.0001),AND(P1580&lt;&gt;"",R1580&lt;&gt;"",RIGHT($N1580,6)="tarief"),P1580*FLOOR(R1580,0.01),T1580&gt;0,FLOOR(SUM(T1580),0.01)),""),""),"")</f>
        <v/>
      </c>
      <c r="Y1580" s="314" t="str">
        <f t="shared" ca="1" si="98"/>
        <v/>
      </c>
      <c r="Z1580" s="314" t="str" cm="1">
        <f t="array" aca="1" ref="Z1580" ca="1">IFERROR(_xlfn.IFS(OR(F1580="",LEFT(Methode_Keuze,4)="Geen",Methode_Keuze=""),"",AND(W1580&lt;&gt;"",F1580&lt;&gt;"Arbeidskosten"),W1580*VLOOKUP(F1580,Tb_ProjectKosten[],MATCH(Tb_ProjectKosten[[#Headers],[Forfait_Percentage]],Tb_ProjectKosten[#Headers],0),0),AND(F1580="Arbeidskosten",G1580&lt;&gt;""),IFERROR(W1580*VLOOKUP(G1580,Tb_KostenTypen[],3,0)*VLOOKUP(F1580,Tb_ProjectKosten[],MATCH(Tb_ProjectKosten[[#Headers],[Forfait_Percentage]],Tb_ProjectKosten[#Headers],0),0),""),W1580 &lt;=0,0),"")</f>
        <v/>
      </c>
      <c r="AA1580" s="314" t="str" cm="1">
        <f t="array" aca="1" ref="AA1580" ca="1">IFERROR(_xlfn.IFS(OR(F1580="",LEFT(Methode_Keuze,4)="Geen",Methode_Keuze=""),"",AND(X1580&lt;&gt;"",F1580&lt;&gt;"Arbeidskosten"),X1580*VLOOKUP(F1580,Tb_ProjectKosten[],MATCH(Tb_ProjectKosten[[#Headers],[Forfait_Percentage]],Tb_ProjectKosten[#Headers],0),0),AND(F1580="Arbeidskosten",G1580&lt;&gt;""),IFERROR(X1580*VLOOKUP(G1580,Tb_KostenTypen[],3,0)*VLOOKUP(F1580,Tb_ProjectKosten[],MATCH(Tb_ProjectKosten[[#Headers],[Forfait_Percentage]],Tb_ProjectKosten[#Headers],0),0),""),X1580 &lt;=0,0),"")</f>
        <v/>
      </c>
      <c r="AB1580" s="314" t="str">
        <f t="shared" ca="1" si="99"/>
        <v/>
      </c>
      <c r="AC1580" s="322"/>
      <c r="AD1580" s="315"/>
      <c r="AE1580" s="32" t="str" cm="1">
        <f t="array" ref="AE1580">IFERROR(IF(INDEX(SubsidieTabel!$AD$1:$AG$12,MATCH($F1580,SubsidieTabel!$AD$1:$AD$12,0),IFERROR(MATCH(Methode_Keuze,SubsidieTabel!$AD$1:$AG$1,0),2))&lt;&gt;1=TRUE,"ja",""),"")</f>
        <v/>
      </c>
    </row>
    <row r="1581" spans="1:31" x14ac:dyDescent="0.25">
      <c r="A1581" s="316"/>
      <c r="B1581" s="317" t="str">
        <f>IF(A1581&lt;&gt;"",_xlfn.MAXIFS($B$1:B1580,$A$1:A1580,A1581)+1,"")</f>
        <v/>
      </c>
      <c r="C1581" s="296"/>
      <c r="D1581" s="296"/>
      <c r="E1581" s="296"/>
      <c r="F1581" s="296"/>
      <c r="G1581" s="326"/>
      <c r="H1581" s="324"/>
      <c r="I1581" s="325"/>
      <c r="J1581" s="325"/>
      <c r="K1581" s="318"/>
      <c r="L1581" s="318"/>
      <c r="M1581" s="319" t="str">
        <f>IFERROR(VLOOKUP(H1581,Lijsten!$H$1:$I$100,2,0),"")</f>
        <v/>
      </c>
      <c r="N1581" s="319" t="str">
        <f ca="1">IFERROR(IF(VLOOKUP(F1581,Kostentypen!$A$3:$E$21,3,0)=0,"",IF(OR(F1581="Arbeidskosten",F1581="Vergoeding"),VLOOKUP(G1581,Tb_KostenTypen[],2,0),VLOOKUP(F1581,Kostentypen!$A$3:$E$20,3,0))),"")</f>
        <v/>
      </c>
      <c r="O1581" s="320" t="str" cm="1">
        <f t="array" ref="O1581">_xlfn.IFNA(IF(INDEX(Tb_KostenOptiesDB[],MATCH($F1581,Tb_KostenOptiesDB[KostenOptie],0),IFERROR(MATCH(Methode_Keuze,Tb_KostenOptiesDB[#Headers],0),2))=1,_xlfn.SWITCH($N1581,"Uurtarief",IF(OR(AND(RIGHT($F1581,3)="IKS",VLOOKUP($M1581,DB_Loonkosten,2,0)="Ja"),AND(RIGHT($F1581,3)&lt;&gt;"IKS",VLOOKUP($M1581,DB_Loonkosten,2,0)="Nee")),IFERROR(VLOOKUP($M1581,DB_Loonkosten,24,0),""),0),"Vast tarief",IF(LEFT(F1581,8)="Bijdrage",VLOOKUP($F1581,Tb_KostenTypen[],MATCH(Lijsten!$P$1,Tb_KostenTypen[#Headers],0),0),VLOOKUP($G1581,Lijsten!L:P,MATCH(Lijsten!$P$1,Kop_Tarief_Vast,0),0))),""),"")</f>
        <v/>
      </c>
      <c r="P1581" s="320" t="str" cm="1">
        <f t="array" ref="P1581">_xlfn.IFNA(IF(INDEX(Tb_KostenOptiesDB[],MATCH($F1581,Tb_KostenOptiesDB[KostenOptie],0),IFERROR(MATCH(Methode_Keuze,Tb_KostenOptiesDB[#Headers],0),2))=1,_xlfn.SWITCH($N1581,"Uurtarief",IF(OR(AND(RIGHT($F1581,3)="IKS",VLOOKUP($M1581,DB_Loonkosten,2,0)="Ja"),AND(RIGHT($F1581,3)&lt;&gt;"IKS",VLOOKUP($M1581,DB_Loonkosten,2,0)="Nee")),IFERROR(VLOOKUP($M1581,DB_Loonkosten,25,0),""),0),"Vast tarief",IF(LEFT(F1581,8)="Bijdrage",VLOOKUP($F1581,Tb_KostenTypen[],MATCH(Lijsten!$P$1,Tb_KostenTypen[#Headers],0),0),VLOOKUP($G1581,Lijsten!L:P,MATCH(Lijsten!$P$1,Kop_Tarief_Vast,0),0))),""),"")</f>
        <v/>
      </c>
      <c r="Q1581" s="359"/>
      <c r="R1581" s="359"/>
      <c r="S1581" s="321"/>
      <c r="T1581" s="321"/>
      <c r="U1581" s="373" t="str">
        <f t="shared" si="96"/>
        <v/>
      </c>
      <c r="V1581" s="314" t="str">
        <f t="shared" si="97"/>
        <v/>
      </c>
      <c r="W1581" s="314" t="str" cm="1">
        <f t="array" aca="1" ref="W1581" ca="1">IFERROR(IF(AE1581&lt;&gt;"ja",_xlfn.IFNA(_xlfn.IFS(AND(O1581&lt;&gt;"",F1581&lt;&gt;"",RIGHT($N1581,6)="tarief",F1581="Vergoeding"),SUM(O1581)*FLOOR(SUM(Q1581),0.0001),AND(O1581&lt;&gt;"",F1581&lt;&gt;"",RIGHT($N1581,6)="tarief"),SUM(O1581)*FLOOR(SUM(Q1581),0.01),S1581&gt;0,IF(F1581&lt;&gt;"",FLOOR(SUM(S1581),0.01),"")),""),""),"")</f>
        <v/>
      </c>
      <c r="X1581" s="314" t="str" cm="1">
        <f t="array" aca="1" ref="X1581" ca="1">IFERROR(IF(AE1581&lt;&gt;"ja",_xlfn.IFNA(_xlfn.IFS(AND(P1581&lt;&gt;"",R1581&lt;&gt;"",RIGHT($N1581,6)="tarief",F1581="Vergoeding"),SUM(P1581)*FLOOR(SUM(R1581),0.0001),AND(P1581&lt;&gt;"",R1581&lt;&gt;"",RIGHT($N1581,6)="tarief"),P1581*FLOOR(R1581,0.01),T1581&gt;0,FLOOR(SUM(T1581),0.01)),""),""),"")</f>
        <v/>
      </c>
      <c r="Y1581" s="314" t="str">
        <f t="shared" ca="1" si="98"/>
        <v/>
      </c>
      <c r="Z1581" s="314" t="str" cm="1">
        <f t="array" aca="1" ref="Z1581" ca="1">IFERROR(_xlfn.IFS(OR(F1581="",LEFT(Methode_Keuze,4)="Geen",Methode_Keuze=""),"",AND(W1581&lt;&gt;"",F1581&lt;&gt;"Arbeidskosten"),W1581*VLOOKUP(F1581,Tb_ProjectKosten[],MATCH(Tb_ProjectKosten[[#Headers],[Forfait_Percentage]],Tb_ProjectKosten[#Headers],0),0),AND(F1581="Arbeidskosten",G1581&lt;&gt;""),IFERROR(W1581*VLOOKUP(G1581,Tb_KostenTypen[],3,0)*VLOOKUP(F1581,Tb_ProjectKosten[],MATCH(Tb_ProjectKosten[[#Headers],[Forfait_Percentage]],Tb_ProjectKosten[#Headers],0),0),""),W1581 &lt;=0,0),"")</f>
        <v/>
      </c>
      <c r="AA1581" s="314" t="str" cm="1">
        <f t="array" aca="1" ref="AA1581" ca="1">IFERROR(_xlfn.IFS(OR(F1581="",LEFT(Methode_Keuze,4)="Geen",Methode_Keuze=""),"",AND(X1581&lt;&gt;"",F1581&lt;&gt;"Arbeidskosten"),X1581*VLOOKUP(F1581,Tb_ProjectKosten[],MATCH(Tb_ProjectKosten[[#Headers],[Forfait_Percentage]],Tb_ProjectKosten[#Headers],0),0),AND(F1581="Arbeidskosten",G1581&lt;&gt;""),IFERROR(X1581*VLOOKUP(G1581,Tb_KostenTypen[],3,0)*VLOOKUP(F1581,Tb_ProjectKosten[],MATCH(Tb_ProjectKosten[[#Headers],[Forfait_Percentage]],Tb_ProjectKosten[#Headers],0),0),""),X1581 &lt;=0,0),"")</f>
        <v/>
      </c>
      <c r="AB1581" s="314" t="str">
        <f t="shared" ca="1" si="99"/>
        <v/>
      </c>
      <c r="AC1581" s="322"/>
      <c r="AD1581" s="315"/>
      <c r="AE1581" s="32" t="str" cm="1">
        <f t="array" ref="AE1581">IFERROR(IF(INDEX(SubsidieTabel!$AD$1:$AG$12,MATCH($F1581,SubsidieTabel!$AD$1:$AD$12,0),IFERROR(MATCH(Methode_Keuze,SubsidieTabel!$AD$1:$AG$1,0),2))&lt;&gt;1=TRUE,"ja",""),"")</f>
        <v/>
      </c>
    </row>
    <row r="1582" spans="1:31" x14ac:dyDescent="0.25">
      <c r="A1582" s="316"/>
      <c r="B1582" s="317" t="str">
        <f>IF(A1582&lt;&gt;"",_xlfn.MAXIFS($B$1:B1581,$A$1:A1581,A1582)+1,"")</f>
        <v/>
      </c>
      <c r="C1582" s="296"/>
      <c r="D1582" s="296"/>
      <c r="E1582" s="296"/>
      <c r="F1582" s="296"/>
      <c r="G1582" s="326"/>
      <c r="H1582" s="324"/>
      <c r="I1582" s="325"/>
      <c r="J1582" s="325"/>
      <c r="K1582" s="318"/>
      <c r="L1582" s="318"/>
      <c r="M1582" s="319" t="str">
        <f>IFERROR(VLOOKUP(H1582,Lijsten!$H$1:$I$100,2,0),"")</f>
        <v/>
      </c>
      <c r="N1582" s="319" t="str">
        <f ca="1">IFERROR(IF(VLOOKUP(F1582,Kostentypen!$A$3:$E$21,3,0)=0,"",IF(OR(F1582="Arbeidskosten",F1582="Vergoeding"),VLOOKUP(G1582,Tb_KostenTypen[],2,0),VLOOKUP(F1582,Kostentypen!$A$3:$E$20,3,0))),"")</f>
        <v/>
      </c>
      <c r="O1582" s="320" t="str" cm="1">
        <f t="array" ref="O1582">_xlfn.IFNA(IF(INDEX(Tb_KostenOptiesDB[],MATCH($F1582,Tb_KostenOptiesDB[KostenOptie],0),IFERROR(MATCH(Methode_Keuze,Tb_KostenOptiesDB[#Headers],0),2))=1,_xlfn.SWITCH($N1582,"Uurtarief",IF(OR(AND(RIGHT($F1582,3)="IKS",VLOOKUP($M1582,DB_Loonkosten,2,0)="Ja"),AND(RIGHT($F1582,3)&lt;&gt;"IKS",VLOOKUP($M1582,DB_Loonkosten,2,0)="Nee")),IFERROR(VLOOKUP($M1582,DB_Loonkosten,24,0),""),0),"Vast tarief",IF(LEFT(F1582,8)="Bijdrage",VLOOKUP($F1582,Tb_KostenTypen[],MATCH(Lijsten!$P$1,Tb_KostenTypen[#Headers],0),0),VLOOKUP($G1582,Lijsten!L:P,MATCH(Lijsten!$P$1,Kop_Tarief_Vast,0),0))),""),"")</f>
        <v/>
      </c>
      <c r="P1582" s="320" t="str" cm="1">
        <f t="array" ref="P1582">_xlfn.IFNA(IF(INDEX(Tb_KostenOptiesDB[],MATCH($F1582,Tb_KostenOptiesDB[KostenOptie],0),IFERROR(MATCH(Methode_Keuze,Tb_KostenOptiesDB[#Headers],0),2))=1,_xlfn.SWITCH($N1582,"Uurtarief",IF(OR(AND(RIGHT($F1582,3)="IKS",VLOOKUP($M1582,DB_Loonkosten,2,0)="Ja"),AND(RIGHT($F1582,3)&lt;&gt;"IKS",VLOOKUP($M1582,DB_Loonkosten,2,0)="Nee")),IFERROR(VLOOKUP($M1582,DB_Loonkosten,25,0),""),0),"Vast tarief",IF(LEFT(F1582,8)="Bijdrage",VLOOKUP($F1582,Tb_KostenTypen[],MATCH(Lijsten!$P$1,Tb_KostenTypen[#Headers],0),0),VLOOKUP($G1582,Lijsten!L:P,MATCH(Lijsten!$P$1,Kop_Tarief_Vast,0),0))),""),"")</f>
        <v/>
      </c>
      <c r="Q1582" s="359"/>
      <c r="R1582" s="359"/>
      <c r="S1582" s="321"/>
      <c r="T1582" s="321"/>
      <c r="U1582" s="373" t="str">
        <f t="shared" si="96"/>
        <v/>
      </c>
      <c r="V1582" s="314" t="str">
        <f t="shared" si="97"/>
        <v/>
      </c>
      <c r="W1582" s="314" t="str" cm="1">
        <f t="array" aca="1" ref="W1582" ca="1">IFERROR(IF(AE1582&lt;&gt;"ja",_xlfn.IFNA(_xlfn.IFS(AND(O1582&lt;&gt;"",F1582&lt;&gt;"",RIGHT($N1582,6)="tarief",F1582="Vergoeding"),SUM(O1582)*FLOOR(SUM(Q1582),0.0001),AND(O1582&lt;&gt;"",F1582&lt;&gt;"",RIGHT($N1582,6)="tarief"),SUM(O1582)*FLOOR(SUM(Q1582),0.01),S1582&gt;0,IF(F1582&lt;&gt;"",FLOOR(SUM(S1582),0.01),"")),""),""),"")</f>
        <v/>
      </c>
      <c r="X1582" s="314" t="str" cm="1">
        <f t="array" aca="1" ref="X1582" ca="1">IFERROR(IF(AE1582&lt;&gt;"ja",_xlfn.IFNA(_xlfn.IFS(AND(P1582&lt;&gt;"",R1582&lt;&gt;"",RIGHT($N1582,6)="tarief",F1582="Vergoeding"),SUM(P1582)*FLOOR(SUM(R1582),0.0001),AND(P1582&lt;&gt;"",R1582&lt;&gt;"",RIGHT($N1582,6)="tarief"),P1582*FLOOR(R1582,0.01),T1582&gt;0,FLOOR(SUM(T1582),0.01)),""),""),"")</f>
        <v/>
      </c>
      <c r="Y1582" s="314" t="str">
        <f t="shared" ca="1" si="98"/>
        <v/>
      </c>
      <c r="Z1582" s="314" t="str" cm="1">
        <f t="array" aca="1" ref="Z1582" ca="1">IFERROR(_xlfn.IFS(OR(F1582="",LEFT(Methode_Keuze,4)="Geen",Methode_Keuze=""),"",AND(W1582&lt;&gt;"",F1582&lt;&gt;"Arbeidskosten"),W1582*VLOOKUP(F1582,Tb_ProjectKosten[],MATCH(Tb_ProjectKosten[[#Headers],[Forfait_Percentage]],Tb_ProjectKosten[#Headers],0),0),AND(F1582="Arbeidskosten",G1582&lt;&gt;""),IFERROR(W1582*VLOOKUP(G1582,Tb_KostenTypen[],3,0)*VLOOKUP(F1582,Tb_ProjectKosten[],MATCH(Tb_ProjectKosten[[#Headers],[Forfait_Percentage]],Tb_ProjectKosten[#Headers],0),0),""),W1582 &lt;=0,0),"")</f>
        <v/>
      </c>
      <c r="AA1582" s="314" t="str" cm="1">
        <f t="array" aca="1" ref="AA1582" ca="1">IFERROR(_xlfn.IFS(OR(F1582="",LEFT(Methode_Keuze,4)="Geen",Methode_Keuze=""),"",AND(X1582&lt;&gt;"",F1582&lt;&gt;"Arbeidskosten"),X1582*VLOOKUP(F1582,Tb_ProjectKosten[],MATCH(Tb_ProjectKosten[[#Headers],[Forfait_Percentage]],Tb_ProjectKosten[#Headers],0),0),AND(F1582="Arbeidskosten",G1582&lt;&gt;""),IFERROR(X1582*VLOOKUP(G1582,Tb_KostenTypen[],3,0)*VLOOKUP(F1582,Tb_ProjectKosten[],MATCH(Tb_ProjectKosten[[#Headers],[Forfait_Percentage]],Tb_ProjectKosten[#Headers],0),0),""),X1582 &lt;=0,0),"")</f>
        <v/>
      </c>
      <c r="AB1582" s="314" t="str">
        <f t="shared" ca="1" si="99"/>
        <v/>
      </c>
      <c r="AC1582" s="322"/>
      <c r="AD1582" s="315"/>
      <c r="AE1582" s="32" t="str" cm="1">
        <f t="array" ref="AE1582">IFERROR(IF(INDEX(SubsidieTabel!$AD$1:$AG$12,MATCH($F1582,SubsidieTabel!$AD$1:$AD$12,0),IFERROR(MATCH(Methode_Keuze,SubsidieTabel!$AD$1:$AG$1,0),2))&lt;&gt;1=TRUE,"ja",""),"")</f>
        <v/>
      </c>
    </row>
    <row r="1583" spans="1:31" x14ac:dyDescent="0.25">
      <c r="A1583" s="316"/>
      <c r="B1583" s="317" t="str">
        <f>IF(A1583&lt;&gt;"",_xlfn.MAXIFS($B$1:B1582,$A$1:A1582,A1583)+1,"")</f>
        <v/>
      </c>
      <c r="C1583" s="296"/>
      <c r="D1583" s="296"/>
      <c r="E1583" s="296"/>
      <c r="F1583" s="296"/>
      <c r="G1583" s="326"/>
      <c r="H1583" s="324"/>
      <c r="I1583" s="325"/>
      <c r="J1583" s="325"/>
      <c r="K1583" s="318"/>
      <c r="L1583" s="318"/>
      <c r="M1583" s="319" t="str">
        <f>IFERROR(VLOOKUP(H1583,Lijsten!$H$1:$I$100,2,0),"")</f>
        <v/>
      </c>
      <c r="N1583" s="319" t="str">
        <f ca="1">IFERROR(IF(VLOOKUP(F1583,Kostentypen!$A$3:$E$21,3,0)=0,"",IF(OR(F1583="Arbeidskosten",F1583="Vergoeding"),VLOOKUP(G1583,Tb_KostenTypen[],2,0),VLOOKUP(F1583,Kostentypen!$A$3:$E$20,3,0))),"")</f>
        <v/>
      </c>
      <c r="O1583" s="320" t="str" cm="1">
        <f t="array" ref="O1583">_xlfn.IFNA(IF(INDEX(Tb_KostenOptiesDB[],MATCH($F1583,Tb_KostenOptiesDB[KostenOptie],0),IFERROR(MATCH(Methode_Keuze,Tb_KostenOptiesDB[#Headers],0),2))=1,_xlfn.SWITCH($N1583,"Uurtarief",IF(OR(AND(RIGHT($F1583,3)="IKS",VLOOKUP($M1583,DB_Loonkosten,2,0)="Ja"),AND(RIGHT($F1583,3)&lt;&gt;"IKS",VLOOKUP($M1583,DB_Loonkosten,2,0)="Nee")),IFERROR(VLOOKUP($M1583,DB_Loonkosten,24,0),""),0),"Vast tarief",IF(LEFT(F1583,8)="Bijdrage",VLOOKUP($F1583,Tb_KostenTypen[],MATCH(Lijsten!$P$1,Tb_KostenTypen[#Headers],0),0),VLOOKUP($G1583,Lijsten!L:P,MATCH(Lijsten!$P$1,Kop_Tarief_Vast,0),0))),""),"")</f>
        <v/>
      </c>
      <c r="P1583" s="320" t="str" cm="1">
        <f t="array" ref="P1583">_xlfn.IFNA(IF(INDEX(Tb_KostenOptiesDB[],MATCH($F1583,Tb_KostenOptiesDB[KostenOptie],0),IFERROR(MATCH(Methode_Keuze,Tb_KostenOptiesDB[#Headers],0),2))=1,_xlfn.SWITCH($N1583,"Uurtarief",IF(OR(AND(RIGHT($F1583,3)="IKS",VLOOKUP($M1583,DB_Loonkosten,2,0)="Ja"),AND(RIGHT($F1583,3)&lt;&gt;"IKS",VLOOKUP($M1583,DB_Loonkosten,2,0)="Nee")),IFERROR(VLOOKUP($M1583,DB_Loonkosten,25,0),""),0),"Vast tarief",IF(LEFT(F1583,8)="Bijdrage",VLOOKUP($F1583,Tb_KostenTypen[],MATCH(Lijsten!$P$1,Tb_KostenTypen[#Headers],0),0),VLOOKUP($G1583,Lijsten!L:P,MATCH(Lijsten!$P$1,Kop_Tarief_Vast,0),0))),""),"")</f>
        <v/>
      </c>
      <c r="Q1583" s="359"/>
      <c r="R1583" s="359"/>
      <c r="S1583" s="321"/>
      <c r="T1583" s="321"/>
      <c r="U1583" s="373" t="str">
        <f t="shared" si="96"/>
        <v/>
      </c>
      <c r="V1583" s="314" t="str">
        <f t="shared" si="97"/>
        <v/>
      </c>
      <c r="W1583" s="314" t="str" cm="1">
        <f t="array" aca="1" ref="W1583" ca="1">IFERROR(IF(AE1583&lt;&gt;"ja",_xlfn.IFNA(_xlfn.IFS(AND(O1583&lt;&gt;"",F1583&lt;&gt;"",RIGHT($N1583,6)="tarief",F1583="Vergoeding"),SUM(O1583)*FLOOR(SUM(Q1583),0.0001),AND(O1583&lt;&gt;"",F1583&lt;&gt;"",RIGHT($N1583,6)="tarief"),SUM(O1583)*FLOOR(SUM(Q1583),0.01),S1583&gt;0,IF(F1583&lt;&gt;"",FLOOR(SUM(S1583),0.01),"")),""),""),"")</f>
        <v/>
      </c>
      <c r="X1583" s="314" t="str" cm="1">
        <f t="array" aca="1" ref="X1583" ca="1">IFERROR(IF(AE1583&lt;&gt;"ja",_xlfn.IFNA(_xlfn.IFS(AND(P1583&lt;&gt;"",R1583&lt;&gt;"",RIGHT($N1583,6)="tarief",F1583="Vergoeding"),SUM(P1583)*FLOOR(SUM(R1583),0.0001),AND(P1583&lt;&gt;"",R1583&lt;&gt;"",RIGHT($N1583,6)="tarief"),P1583*FLOOR(R1583,0.01),T1583&gt;0,FLOOR(SUM(T1583),0.01)),""),""),"")</f>
        <v/>
      </c>
      <c r="Y1583" s="314" t="str">
        <f t="shared" ca="1" si="98"/>
        <v/>
      </c>
      <c r="Z1583" s="314" t="str" cm="1">
        <f t="array" aca="1" ref="Z1583" ca="1">IFERROR(_xlfn.IFS(OR(F1583="",LEFT(Methode_Keuze,4)="Geen",Methode_Keuze=""),"",AND(W1583&lt;&gt;"",F1583&lt;&gt;"Arbeidskosten"),W1583*VLOOKUP(F1583,Tb_ProjectKosten[],MATCH(Tb_ProjectKosten[[#Headers],[Forfait_Percentage]],Tb_ProjectKosten[#Headers],0),0),AND(F1583="Arbeidskosten",G1583&lt;&gt;""),IFERROR(W1583*VLOOKUP(G1583,Tb_KostenTypen[],3,0)*VLOOKUP(F1583,Tb_ProjectKosten[],MATCH(Tb_ProjectKosten[[#Headers],[Forfait_Percentage]],Tb_ProjectKosten[#Headers],0),0),""),W1583 &lt;=0,0),"")</f>
        <v/>
      </c>
      <c r="AA1583" s="314" t="str" cm="1">
        <f t="array" aca="1" ref="AA1583" ca="1">IFERROR(_xlfn.IFS(OR(F1583="",LEFT(Methode_Keuze,4)="Geen",Methode_Keuze=""),"",AND(X1583&lt;&gt;"",F1583&lt;&gt;"Arbeidskosten"),X1583*VLOOKUP(F1583,Tb_ProjectKosten[],MATCH(Tb_ProjectKosten[[#Headers],[Forfait_Percentage]],Tb_ProjectKosten[#Headers],0),0),AND(F1583="Arbeidskosten",G1583&lt;&gt;""),IFERROR(X1583*VLOOKUP(G1583,Tb_KostenTypen[],3,0)*VLOOKUP(F1583,Tb_ProjectKosten[],MATCH(Tb_ProjectKosten[[#Headers],[Forfait_Percentage]],Tb_ProjectKosten[#Headers],0),0),""),X1583 &lt;=0,0),"")</f>
        <v/>
      </c>
      <c r="AB1583" s="314" t="str">
        <f t="shared" ca="1" si="99"/>
        <v/>
      </c>
      <c r="AC1583" s="322"/>
      <c r="AD1583" s="315"/>
      <c r="AE1583" s="32" t="str" cm="1">
        <f t="array" ref="AE1583">IFERROR(IF(INDEX(SubsidieTabel!$AD$1:$AG$12,MATCH($F1583,SubsidieTabel!$AD$1:$AD$12,0),IFERROR(MATCH(Methode_Keuze,SubsidieTabel!$AD$1:$AG$1,0),2))&lt;&gt;1=TRUE,"ja",""),"")</f>
        <v/>
      </c>
    </row>
    <row r="1584" spans="1:31" x14ac:dyDescent="0.25">
      <c r="A1584" s="316"/>
      <c r="B1584" s="317" t="str">
        <f>IF(A1584&lt;&gt;"",_xlfn.MAXIFS($B$1:B1583,$A$1:A1583,A1584)+1,"")</f>
        <v/>
      </c>
      <c r="C1584" s="296"/>
      <c r="D1584" s="296"/>
      <c r="E1584" s="296"/>
      <c r="F1584" s="296"/>
      <c r="G1584" s="326"/>
      <c r="H1584" s="324"/>
      <c r="I1584" s="325"/>
      <c r="J1584" s="325"/>
      <c r="K1584" s="318"/>
      <c r="L1584" s="318"/>
      <c r="M1584" s="319" t="str">
        <f>IFERROR(VLOOKUP(H1584,Lijsten!$H$1:$I$100,2,0),"")</f>
        <v/>
      </c>
      <c r="N1584" s="319" t="str">
        <f ca="1">IFERROR(IF(VLOOKUP(F1584,Kostentypen!$A$3:$E$21,3,0)=0,"",IF(OR(F1584="Arbeidskosten",F1584="Vergoeding"),VLOOKUP(G1584,Tb_KostenTypen[],2,0),VLOOKUP(F1584,Kostentypen!$A$3:$E$20,3,0))),"")</f>
        <v/>
      </c>
      <c r="O1584" s="320" t="str" cm="1">
        <f t="array" ref="O1584">_xlfn.IFNA(IF(INDEX(Tb_KostenOptiesDB[],MATCH($F1584,Tb_KostenOptiesDB[KostenOptie],0),IFERROR(MATCH(Methode_Keuze,Tb_KostenOptiesDB[#Headers],0),2))=1,_xlfn.SWITCH($N1584,"Uurtarief",IF(OR(AND(RIGHT($F1584,3)="IKS",VLOOKUP($M1584,DB_Loonkosten,2,0)="Ja"),AND(RIGHT($F1584,3)&lt;&gt;"IKS",VLOOKUP($M1584,DB_Loonkosten,2,0)="Nee")),IFERROR(VLOOKUP($M1584,DB_Loonkosten,24,0),""),0),"Vast tarief",IF(LEFT(F1584,8)="Bijdrage",VLOOKUP($F1584,Tb_KostenTypen[],MATCH(Lijsten!$P$1,Tb_KostenTypen[#Headers],0),0),VLOOKUP($G1584,Lijsten!L:P,MATCH(Lijsten!$P$1,Kop_Tarief_Vast,0),0))),""),"")</f>
        <v/>
      </c>
      <c r="P1584" s="320" t="str" cm="1">
        <f t="array" ref="P1584">_xlfn.IFNA(IF(INDEX(Tb_KostenOptiesDB[],MATCH($F1584,Tb_KostenOptiesDB[KostenOptie],0),IFERROR(MATCH(Methode_Keuze,Tb_KostenOptiesDB[#Headers],0),2))=1,_xlfn.SWITCH($N1584,"Uurtarief",IF(OR(AND(RIGHT($F1584,3)="IKS",VLOOKUP($M1584,DB_Loonkosten,2,0)="Ja"),AND(RIGHT($F1584,3)&lt;&gt;"IKS",VLOOKUP($M1584,DB_Loonkosten,2,0)="Nee")),IFERROR(VLOOKUP($M1584,DB_Loonkosten,25,0),""),0),"Vast tarief",IF(LEFT(F1584,8)="Bijdrage",VLOOKUP($F1584,Tb_KostenTypen[],MATCH(Lijsten!$P$1,Tb_KostenTypen[#Headers],0),0),VLOOKUP($G1584,Lijsten!L:P,MATCH(Lijsten!$P$1,Kop_Tarief_Vast,0),0))),""),"")</f>
        <v/>
      </c>
      <c r="Q1584" s="359"/>
      <c r="R1584" s="359"/>
      <c r="S1584" s="321"/>
      <c r="T1584" s="321"/>
      <c r="U1584" s="373" t="str">
        <f t="shared" si="96"/>
        <v/>
      </c>
      <c r="V1584" s="314" t="str">
        <f t="shared" si="97"/>
        <v/>
      </c>
      <c r="W1584" s="314" t="str" cm="1">
        <f t="array" aca="1" ref="W1584" ca="1">IFERROR(IF(AE1584&lt;&gt;"ja",_xlfn.IFNA(_xlfn.IFS(AND(O1584&lt;&gt;"",F1584&lt;&gt;"",RIGHT($N1584,6)="tarief",F1584="Vergoeding"),SUM(O1584)*FLOOR(SUM(Q1584),0.0001),AND(O1584&lt;&gt;"",F1584&lt;&gt;"",RIGHT($N1584,6)="tarief"),SUM(O1584)*FLOOR(SUM(Q1584),0.01),S1584&gt;0,IF(F1584&lt;&gt;"",FLOOR(SUM(S1584),0.01),"")),""),""),"")</f>
        <v/>
      </c>
      <c r="X1584" s="314" t="str" cm="1">
        <f t="array" aca="1" ref="X1584" ca="1">IFERROR(IF(AE1584&lt;&gt;"ja",_xlfn.IFNA(_xlfn.IFS(AND(P1584&lt;&gt;"",R1584&lt;&gt;"",RIGHT($N1584,6)="tarief",F1584="Vergoeding"),SUM(P1584)*FLOOR(SUM(R1584),0.0001),AND(P1584&lt;&gt;"",R1584&lt;&gt;"",RIGHT($N1584,6)="tarief"),P1584*FLOOR(R1584,0.01),T1584&gt;0,FLOOR(SUM(T1584),0.01)),""),""),"")</f>
        <v/>
      </c>
      <c r="Y1584" s="314" t="str">
        <f t="shared" ca="1" si="98"/>
        <v/>
      </c>
      <c r="Z1584" s="314" t="str" cm="1">
        <f t="array" aca="1" ref="Z1584" ca="1">IFERROR(_xlfn.IFS(OR(F1584="",LEFT(Methode_Keuze,4)="Geen",Methode_Keuze=""),"",AND(W1584&lt;&gt;"",F1584&lt;&gt;"Arbeidskosten"),W1584*VLOOKUP(F1584,Tb_ProjectKosten[],MATCH(Tb_ProjectKosten[[#Headers],[Forfait_Percentage]],Tb_ProjectKosten[#Headers],0),0),AND(F1584="Arbeidskosten",G1584&lt;&gt;""),IFERROR(W1584*VLOOKUP(G1584,Tb_KostenTypen[],3,0)*VLOOKUP(F1584,Tb_ProjectKosten[],MATCH(Tb_ProjectKosten[[#Headers],[Forfait_Percentage]],Tb_ProjectKosten[#Headers],0),0),""),W1584 &lt;=0,0),"")</f>
        <v/>
      </c>
      <c r="AA1584" s="314" t="str" cm="1">
        <f t="array" aca="1" ref="AA1584" ca="1">IFERROR(_xlfn.IFS(OR(F1584="",LEFT(Methode_Keuze,4)="Geen",Methode_Keuze=""),"",AND(X1584&lt;&gt;"",F1584&lt;&gt;"Arbeidskosten"),X1584*VLOOKUP(F1584,Tb_ProjectKosten[],MATCH(Tb_ProjectKosten[[#Headers],[Forfait_Percentage]],Tb_ProjectKosten[#Headers],0),0),AND(F1584="Arbeidskosten",G1584&lt;&gt;""),IFERROR(X1584*VLOOKUP(G1584,Tb_KostenTypen[],3,0)*VLOOKUP(F1584,Tb_ProjectKosten[],MATCH(Tb_ProjectKosten[[#Headers],[Forfait_Percentage]],Tb_ProjectKosten[#Headers],0),0),""),X1584 &lt;=0,0),"")</f>
        <v/>
      </c>
      <c r="AB1584" s="314" t="str">
        <f t="shared" ca="1" si="99"/>
        <v/>
      </c>
      <c r="AC1584" s="322"/>
      <c r="AD1584" s="315"/>
      <c r="AE1584" s="32" t="str" cm="1">
        <f t="array" ref="AE1584">IFERROR(IF(INDEX(SubsidieTabel!$AD$1:$AG$12,MATCH($F1584,SubsidieTabel!$AD$1:$AD$12,0),IFERROR(MATCH(Methode_Keuze,SubsidieTabel!$AD$1:$AG$1,0),2))&lt;&gt;1=TRUE,"ja",""),"")</f>
        <v/>
      </c>
    </row>
    <row r="1585" spans="1:31" x14ac:dyDescent="0.25">
      <c r="A1585" s="316"/>
      <c r="B1585" s="317" t="str">
        <f>IF(A1585&lt;&gt;"",_xlfn.MAXIFS($B$1:B1584,$A$1:A1584,A1585)+1,"")</f>
        <v/>
      </c>
      <c r="C1585" s="296"/>
      <c r="D1585" s="296"/>
      <c r="E1585" s="296"/>
      <c r="F1585" s="296"/>
      <c r="G1585" s="326"/>
      <c r="H1585" s="324"/>
      <c r="I1585" s="325"/>
      <c r="J1585" s="325"/>
      <c r="K1585" s="318"/>
      <c r="L1585" s="318"/>
      <c r="M1585" s="319" t="str">
        <f>IFERROR(VLOOKUP(H1585,Lijsten!$H$1:$I$100,2,0),"")</f>
        <v/>
      </c>
      <c r="N1585" s="319" t="str">
        <f ca="1">IFERROR(IF(VLOOKUP(F1585,Kostentypen!$A$3:$E$21,3,0)=0,"",IF(OR(F1585="Arbeidskosten",F1585="Vergoeding"),VLOOKUP(G1585,Tb_KostenTypen[],2,0),VLOOKUP(F1585,Kostentypen!$A$3:$E$20,3,0))),"")</f>
        <v/>
      </c>
      <c r="O1585" s="320" t="str" cm="1">
        <f t="array" ref="O1585">_xlfn.IFNA(IF(INDEX(Tb_KostenOptiesDB[],MATCH($F1585,Tb_KostenOptiesDB[KostenOptie],0),IFERROR(MATCH(Methode_Keuze,Tb_KostenOptiesDB[#Headers],0),2))=1,_xlfn.SWITCH($N1585,"Uurtarief",IF(OR(AND(RIGHT($F1585,3)="IKS",VLOOKUP($M1585,DB_Loonkosten,2,0)="Ja"),AND(RIGHT($F1585,3)&lt;&gt;"IKS",VLOOKUP($M1585,DB_Loonkosten,2,0)="Nee")),IFERROR(VLOOKUP($M1585,DB_Loonkosten,24,0),""),0),"Vast tarief",IF(LEFT(F1585,8)="Bijdrage",VLOOKUP($F1585,Tb_KostenTypen[],MATCH(Lijsten!$P$1,Tb_KostenTypen[#Headers],0),0),VLOOKUP($G1585,Lijsten!L:P,MATCH(Lijsten!$P$1,Kop_Tarief_Vast,0),0))),""),"")</f>
        <v/>
      </c>
      <c r="P1585" s="320" t="str" cm="1">
        <f t="array" ref="P1585">_xlfn.IFNA(IF(INDEX(Tb_KostenOptiesDB[],MATCH($F1585,Tb_KostenOptiesDB[KostenOptie],0),IFERROR(MATCH(Methode_Keuze,Tb_KostenOptiesDB[#Headers],0),2))=1,_xlfn.SWITCH($N1585,"Uurtarief",IF(OR(AND(RIGHT($F1585,3)="IKS",VLOOKUP($M1585,DB_Loonkosten,2,0)="Ja"),AND(RIGHT($F1585,3)&lt;&gt;"IKS",VLOOKUP($M1585,DB_Loonkosten,2,0)="Nee")),IFERROR(VLOOKUP($M1585,DB_Loonkosten,25,0),""),0),"Vast tarief",IF(LEFT(F1585,8)="Bijdrage",VLOOKUP($F1585,Tb_KostenTypen[],MATCH(Lijsten!$P$1,Tb_KostenTypen[#Headers],0),0),VLOOKUP($G1585,Lijsten!L:P,MATCH(Lijsten!$P$1,Kop_Tarief_Vast,0),0))),""),"")</f>
        <v/>
      </c>
      <c r="Q1585" s="359"/>
      <c r="R1585" s="359"/>
      <c r="S1585" s="321"/>
      <c r="T1585" s="321"/>
      <c r="U1585" s="373" t="str">
        <f t="shared" si="96"/>
        <v/>
      </c>
      <c r="V1585" s="314" t="str">
        <f t="shared" si="97"/>
        <v/>
      </c>
      <c r="W1585" s="314" t="str" cm="1">
        <f t="array" aca="1" ref="W1585" ca="1">IFERROR(IF(AE1585&lt;&gt;"ja",_xlfn.IFNA(_xlfn.IFS(AND(O1585&lt;&gt;"",F1585&lt;&gt;"",RIGHT($N1585,6)="tarief",F1585="Vergoeding"),SUM(O1585)*FLOOR(SUM(Q1585),0.0001),AND(O1585&lt;&gt;"",F1585&lt;&gt;"",RIGHT($N1585,6)="tarief"),SUM(O1585)*FLOOR(SUM(Q1585),0.01),S1585&gt;0,IF(F1585&lt;&gt;"",FLOOR(SUM(S1585),0.01),"")),""),""),"")</f>
        <v/>
      </c>
      <c r="X1585" s="314" t="str" cm="1">
        <f t="array" aca="1" ref="X1585" ca="1">IFERROR(IF(AE1585&lt;&gt;"ja",_xlfn.IFNA(_xlfn.IFS(AND(P1585&lt;&gt;"",R1585&lt;&gt;"",RIGHT($N1585,6)="tarief",F1585="Vergoeding"),SUM(P1585)*FLOOR(SUM(R1585),0.0001),AND(P1585&lt;&gt;"",R1585&lt;&gt;"",RIGHT($N1585,6)="tarief"),P1585*FLOOR(R1585,0.01),T1585&gt;0,FLOOR(SUM(T1585),0.01)),""),""),"")</f>
        <v/>
      </c>
      <c r="Y1585" s="314" t="str">
        <f t="shared" ca="1" si="98"/>
        <v/>
      </c>
      <c r="Z1585" s="314" t="str" cm="1">
        <f t="array" aca="1" ref="Z1585" ca="1">IFERROR(_xlfn.IFS(OR(F1585="",LEFT(Methode_Keuze,4)="Geen",Methode_Keuze=""),"",AND(W1585&lt;&gt;"",F1585&lt;&gt;"Arbeidskosten"),W1585*VLOOKUP(F1585,Tb_ProjectKosten[],MATCH(Tb_ProjectKosten[[#Headers],[Forfait_Percentage]],Tb_ProjectKosten[#Headers],0),0),AND(F1585="Arbeidskosten",G1585&lt;&gt;""),IFERROR(W1585*VLOOKUP(G1585,Tb_KostenTypen[],3,0)*VLOOKUP(F1585,Tb_ProjectKosten[],MATCH(Tb_ProjectKosten[[#Headers],[Forfait_Percentage]],Tb_ProjectKosten[#Headers],0),0),""),W1585 &lt;=0,0),"")</f>
        <v/>
      </c>
      <c r="AA1585" s="314" t="str" cm="1">
        <f t="array" aca="1" ref="AA1585" ca="1">IFERROR(_xlfn.IFS(OR(F1585="",LEFT(Methode_Keuze,4)="Geen",Methode_Keuze=""),"",AND(X1585&lt;&gt;"",F1585&lt;&gt;"Arbeidskosten"),X1585*VLOOKUP(F1585,Tb_ProjectKosten[],MATCH(Tb_ProjectKosten[[#Headers],[Forfait_Percentage]],Tb_ProjectKosten[#Headers],0),0),AND(F1585="Arbeidskosten",G1585&lt;&gt;""),IFERROR(X1585*VLOOKUP(G1585,Tb_KostenTypen[],3,0)*VLOOKUP(F1585,Tb_ProjectKosten[],MATCH(Tb_ProjectKosten[[#Headers],[Forfait_Percentage]],Tb_ProjectKosten[#Headers],0),0),""),X1585 &lt;=0,0),"")</f>
        <v/>
      </c>
      <c r="AB1585" s="314" t="str">
        <f t="shared" ca="1" si="99"/>
        <v/>
      </c>
      <c r="AC1585" s="322"/>
      <c r="AD1585" s="315"/>
      <c r="AE1585" s="32" t="str" cm="1">
        <f t="array" ref="AE1585">IFERROR(IF(INDEX(SubsidieTabel!$AD$1:$AG$12,MATCH($F1585,SubsidieTabel!$AD$1:$AD$12,0),IFERROR(MATCH(Methode_Keuze,SubsidieTabel!$AD$1:$AG$1,0),2))&lt;&gt;1=TRUE,"ja",""),"")</f>
        <v/>
      </c>
    </row>
    <row r="1586" spans="1:31" x14ac:dyDescent="0.25">
      <c r="A1586" s="316"/>
      <c r="B1586" s="317" t="str">
        <f>IF(A1586&lt;&gt;"",_xlfn.MAXIFS($B$1:B1585,$A$1:A1585,A1586)+1,"")</f>
        <v/>
      </c>
      <c r="C1586" s="296"/>
      <c r="D1586" s="296"/>
      <c r="E1586" s="296"/>
      <c r="F1586" s="296"/>
      <c r="G1586" s="326"/>
      <c r="H1586" s="324"/>
      <c r="I1586" s="325"/>
      <c r="J1586" s="325"/>
      <c r="K1586" s="318"/>
      <c r="L1586" s="318"/>
      <c r="M1586" s="319" t="str">
        <f>IFERROR(VLOOKUP(H1586,Lijsten!$H$1:$I$100,2,0),"")</f>
        <v/>
      </c>
      <c r="N1586" s="319" t="str">
        <f ca="1">IFERROR(IF(VLOOKUP(F1586,Kostentypen!$A$3:$E$21,3,0)=0,"",IF(OR(F1586="Arbeidskosten",F1586="Vergoeding"),VLOOKUP(G1586,Tb_KostenTypen[],2,0),VLOOKUP(F1586,Kostentypen!$A$3:$E$20,3,0))),"")</f>
        <v/>
      </c>
      <c r="O1586" s="320" t="str" cm="1">
        <f t="array" ref="O1586">_xlfn.IFNA(IF(INDEX(Tb_KostenOptiesDB[],MATCH($F1586,Tb_KostenOptiesDB[KostenOptie],0),IFERROR(MATCH(Methode_Keuze,Tb_KostenOptiesDB[#Headers],0),2))=1,_xlfn.SWITCH($N1586,"Uurtarief",IF(OR(AND(RIGHT($F1586,3)="IKS",VLOOKUP($M1586,DB_Loonkosten,2,0)="Ja"),AND(RIGHT($F1586,3)&lt;&gt;"IKS",VLOOKUP($M1586,DB_Loonkosten,2,0)="Nee")),IFERROR(VLOOKUP($M1586,DB_Loonkosten,24,0),""),0),"Vast tarief",IF(LEFT(F1586,8)="Bijdrage",VLOOKUP($F1586,Tb_KostenTypen[],MATCH(Lijsten!$P$1,Tb_KostenTypen[#Headers],0),0),VLOOKUP($G1586,Lijsten!L:P,MATCH(Lijsten!$P$1,Kop_Tarief_Vast,0),0))),""),"")</f>
        <v/>
      </c>
      <c r="P1586" s="320" t="str" cm="1">
        <f t="array" ref="P1586">_xlfn.IFNA(IF(INDEX(Tb_KostenOptiesDB[],MATCH($F1586,Tb_KostenOptiesDB[KostenOptie],0),IFERROR(MATCH(Methode_Keuze,Tb_KostenOptiesDB[#Headers],0),2))=1,_xlfn.SWITCH($N1586,"Uurtarief",IF(OR(AND(RIGHT($F1586,3)="IKS",VLOOKUP($M1586,DB_Loonkosten,2,0)="Ja"),AND(RIGHT($F1586,3)&lt;&gt;"IKS",VLOOKUP($M1586,DB_Loonkosten,2,0)="Nee")),IFERROR(VLOOKUP($M1586,DB_Loonkosten,25,0),""),0),"Vast tarief",IF(LEFT(F1586,8)="Bijdrage",VLOOKUP($F1586,Tb_KostenTypen[],MATCH(Lijsten!$P$1,Tb_KostenTypen[#Headers],0),0),VLOOKUP($G1586,Lijsten!L:P,MATCH(Lijsten!$P$1,Kop_Tarief_Vast,0),0))),""),"")</f>
        <v/>
      </c>
      <c r="Q1586" s="359"/>
      <c r="R1586" s="359"/>
      <c r="S1586" s="321"/>
      <c r="T1586" s="321"/>
      <c r="U1586" s="373" t="str">
        <f t="shared" si="96"/>
        <v/>
      </c>
      <c r="V1586" s="314" t="str">
        <f t="shared" si="97"/>
        <v/>
      </c>
      <c r="W1586" s="314" t="str" cm="1">
        <f t="array" aca="1" ref="W1586" ca="1">IFERROR(IF(AE1586&lt;&gt;"ja",_xlfn.IFNA(_xlfn.IFS(AND(O1586&lt;&gt;"",F1586&lt;&gt;"",RIGHT($N1586,6)="tarief",F1586="Vergoeding"),SUM(O1586)*FLOOR(SUM(Q1586),0.0001),AND(O1586&lt;&gt;"",F1586&lt;&gt;"",RIGHT($N1586,6)="tarief"),SUM(O1586)*FLOOR(SUM(Q1586),0.01),S1586&gt;0,IF(F1586&lt;&gt;"",FLOOR(SUM(S1586),0.01),"")),""),""),"")</f>
        <v/>
      </c>
      <c r="X1586" s="314" t="str" cm="1">
        <f t="array" aca="1" ref="X1586" ca="1">IFERROR(IF(AE1586&lt;&gt;"ja",_xlfn.IFNA(_xlfn.IFS(AND(P1586&lt;&gt;"",R1586&lt;&gt;"",RIGHT($N1586,6)="tarief",F1586="Vergoeding"),SUM(P1586)*FLOOR(SUM(R1586),0.0001),AND(P1586&lt;&gt;"",R1586&lt;&gt;"",RIGHT($N1586,6)="tarief"),P1586*FLOOR(R1586,0.01),T1586&gt;0,FLOOR(SUM(T1586),0.01)),""),""),"")</f>
        <v/>
      </c>
      <c r="Y1586" s="314" t="str">
        <f t="shared" ca="1" si="98"/>
        <v/>
      </c>
      <c r="Z1586" s="314" t="str" cm="1">
        <f t="array" aca="1" ref="Z1586" ca="1">IFERROR(_xlfn.IFS(OR(F1586="",LEFT(Methode_Keuze,4)="Geen",Methode_Keuze=""),"",AND(W1586&lt;&gt;"",F1586&lt;&gt;"Arbeidskosten"),W1586*VLOOKUP(F1586,Tb_ProjectKosten[],MATCH(Tb_ProjectKosten[[#Headers],[Forfait_Percentage]],Tb_ProjectKosten[#Headers],0),0),AND(F1586="Arbeidskosten",G1586&lt;&gt;""),IFERROR(W1586*VLOOKUP(G1586,Tb_KostenTypen[],3,0)*VLOOKUP(F1586,Tb_ProjectKosten[],MATCH(Tb_ProjectKosten[[#Headers],[Forfait_Percentage]],Tb_ProjectKosten[#Headers],0),0),""),W1586 &lt;=0,0),"")</f>
        <v/>
      </c>
      <c r="AA1586" s="314" t="str" cm="1">
        <f t="array" aca="1" ref="AA1586" ca="1">IFERROR(_xlfn.IFS(OR(F1586="",LEFT(Methode_Keuze,4)="Geen",Methode_Keuze=""),"",AND(X1586&lt;&gt;"",F1586&lt;&gt;"Arbeidskosten"),X1586*VLOOKUP(F1586,Tb_ProjectKosten[],MATCH(Tb_ProjectKosten[[#Headers],[Forfait_Percentage]],Tb_ProjectKosten[#Headers],0),0),AND(F1586="Arbeidskosten",G1586&lt;&gt;""),IFERROR(X1586*VLOOKUP(G1586,Tb_KostenTypen[],3,0)*VLOOKUP(F1586,Tb_ProjectKosten[],MATCH(Tb_ProjectKosten[[#Headers],[Forfait_Percentage]],Tb_ProjectKosten[#Headers],0),0),""),X1586 &lt;=0,0),"")</f>
        <v/>
      </c>
      <c r="AB1586" s="314" t="str">
        <f t="shared" ca="1" si="99"/>
        <v/>
      </c>
      <c r="AC1586" s="322"/>
      <c r="AD1586" s="315"/>
      <c r="AE1586" s="32" t="str" cm="1">
        <f t="array" ref="AE1586">IFERROR(IF(INDEX(SubsidieTabel!$AD$1:$AG$12,MATCH($F1586,SubsidieTabel!$AD$1:$AD$12,0),IFERROR(MATCH(Methode_Keuze,SubsidieTabel!$AD$1:$AG$1,0),2))&lt;&gt;1=TRUE,"ja",""),"")</f>
        <v/>
      </c>
    </row>
    <row r="1587" spans="1:31" x14ac:dyDescent="0.25">
      <c r="A1587" s="316"/>
      <c r="B1587" s="317" t="str">
        <f>IF(A1587&lt;&gt;"",_xlfn.MAXIFS($B$1:B1586,$A$1:A1586,A1587)+1,"")</f>
        <v/>
      </c>
      <c r="C1587" s="296"/>
      <c r="D1587" s="296"/>
      <c r="E1587" s="296"/>
      <c r="F1587" s="296"/>
      <c r="G1587" s="326"/>
      <c r="H1587" s="324"/>
      <c r="I1587" s="325"/>
      <c r="J1587" s="325"/>
      <c r="K1587" s="318"/>
      <c r="L1587" s="318"/>
      <c r="M1587" s="319" t="str">
        <f>IFERROR(VLOOKUP(H1587,Lijsten!$H$1:$I$100,2,0),"")</f>
        <v/>
      </c>
      <c r="N1587" s="319" t="str">
        <f ca="1">IFERROR(IF(VLOOKUP(F1587,Kostentypen!$A$3:$E$21,3,0)=0,"",IF(OR(F1587="Arbeidskosten",F1587="Vergoeding"),VLOOKUP(G1587,Tb_KostenTypen[],2,0),VLOOKUP(F1587,Kostentypen!$A$3:$E$20,3,0))),"")</f>
        <v/>
      </c>
      <c r="O1587" s="320" t="str" cm="1">
        <f t="array" ref="O1587">_xlfn.IFNA(IF(INDEX(Tb_KostenOptiesDB[],MATCH($F1587,Tb_KostenOptiesDB[KostenOptie],0),IFERROR(MATCH(Methode_Keuze,Tb_KostenOptiesDB[#Headers],0),2))=1,_xlfn.SWITCH($N1587,"Uurtarief",IF(OR(AND(RIGHT($F1587,3)="IKS",VLOOKUP($M1587,DB_Loonkosten,2,0)="Ja"),AND(RIGHT($F1587,3)&lt;&gt;"IKS",VLOOKUP($M1587,DB_Loonkosten,2,0)="Nee")),IFERROR(VLOOKUP($M1587,DB_Loonkosten,24,0),""),0),"Vast tarief",IF(LEFT(F1587,8)="Bijdrage",VLOOKUP($F1587,Tb_KostenTypen[],MATCH(Lijsten!$P$1,Tb_KostenTypen[#Headers],0),0),VLOOKUP($G1587,Lijsten!L:P,MATCH(Lijsten!$P$1,Kop_Tarief_Vast,0),0))),""),"")</f>
        <v/>
      </c>
      <c r="P1587" s="320" t="str" cm="1">
        <f t="array" ref="P1587">_xlfn.IFNA(IF(INDEX(Tb_KostenOptiesDB[],MATCH($F1587,Tb_KostenOptiesDB[KostenOptie],0),IFERROR(MATCH(Methode_Keuze,Tb_KostenOptiesDB[#Headers],0),2))=1,_xlfn.SWITCH($N1587,"Uurtarief",IF(OR(AND(RIGHT($F1587,3)="IKS",VLOOKUP($M1587,DB_Loonkosten,2,0)="Ja"),AND(RIGHT($F1587,3)&lt;&gt;"IKS",VLOOKUP($M1587,DB_Loonkosten,2,0)="Nee")),IFERROR(VLOOKUP($M1587,DB_Loonkosten,25,0),""),0),"Vast tarief",IF(LEFT(F1587,8)="Bijdrage",VLOOKUP($F1587,Tb_KostenTypen[],MATCH(Lijsten!$P$1,Tb_KostenTypen[#Headers],0),0),VLOOKUP($G1587,Lijsten!L:P,MATCH(Lijsten!$P$1,Kop_Tarief_Vast,0),0))),""),"")</f>
        <v/>
      </c>
      <c r="Q1587" s="359"/>
      <c r="R1587" s="359"/>
      <c r="S1587" s="321"/>
      <c r="T1587" s="321"/>
      <c r="U1587" s="373" t="str">
        <f t="shared" si="96"/>
        <v/>
      </c>
      <c r="V1587" s="314" t="str">
        <f t="shared" si="97"/>
        <v/>
      </c>
      <c r="W1587" s="314" t="str" cm="1">
        <f t="array" aca="1" ref="W1587" ca="1">IFERROR(IF(AE1587&lt;&gt;"ja",_xlfn.IFNA(_xlfn.IFS(AND(O1587&lt;&gt;"",F1587&lt;&gt;"",RIGHT($N1587,6)="tarief",F1587="Vergoeding"),SUM(O1587)*FLOOR(SUM(Q1587),0.0001),AND(O1587&lt;&gt;"",F1587&lt;&gt;"",RIGHT($N1587,6)="tarief"),SUM(O1587)*FLOOR(SUM(Q1587),0.01),S1587&gt;0,IF(F1587&lt;&gt;"",FLOOR(SUM(S1587),0.01),"")),""),""),"")</f>
        <v/>
      </c>
      <c r="X1587" s="314" t="str" cm="1">
        <f t="array" aca="1" ref="X1587" ca="1">IFERROR(IF(AE1587&lt;&gt;"ja",_xlfn.IFNA(_xlfn.IFS(AND(P1587&lt;&gt;"",R1587&lt;&gt;"",RIGHT($N1587,6)="tarief",F1587="Vergoeding"),SUM(P1587)*FLOOR(SUM(R1587),0.0001),AND(P1587&lt;&gt;"",R1587&lt;&gt;"",RIGHT($N1587,6)="tarief"),P1587*FLOOR(R1587,0.01),T1587&gt;0,FLOOR(SUM(T1587),0.01)),""),""),"")</f>
        <v/>
      </c>
      <c r="Y1587" s="314" t="str">
        <f t="shared" ca="1" si="98"/>
        <v/>
      </c>
      <c r="Z1587" s="314" t="str" cm="1">
        <f t="array" aca="1" ref="Z1587" ca="1">IFERROR(_xlfn.IFS(OR(F1587="",LEFT(Methode_Keuze,4)="Geen",Methode_Keuze=""),"",AND(W1587&lt;&gt;"",F1587&lt;&gt;"Arbeidskosten"),W1587*VLOOKUP(F1587,Tb_ProjectKosten[],MATCH(Tb_ProjectKosten[[#Headers],[Forfait_Percentage]],Tb_ProjectKosten[#Headers],0),0),AND(F1587="Arbeidskosten",G1587&lt;&gt;""),IFERROR(W1587*VLOOKUP(G1587,Tb_KostenTypen[],3,0)*VLOOKUP(F1587,Tb_ProjectKosten[],MATCH(Tb_ProjectKosten[[#Headers],[Forfait_Percentage]],Tb_ProjectKosten[#Headers],0),0),""),W1587 &lt;=0,0),"")</f>
        <v/>
      </c>
      <c r="AA1587" s="314" t="str" cm="1">
        <f t="array" aca="1" ref="AA1587" ca="1">IFERROR(_xlfn.IFS(OR(F1587="",LEFT(Methode_Keuze,4)="Geen",Methode_Keuze=""),"",AND(X1587&lt;&gt;"",F1587&lt;&gt;"Arbeidskosten"),X1587*VLOOKUP(F1587,Tb_ProjectKosten[],MATCH(Tb_ProjectKosten[[#Headers],[Forfait_Percentage]],Tb_ProjectKosten[#Headers],0),0),AND(F1587="Arbeidskosten",G1587&lt;&gt;""),IFERROR(X1587*VLOOKUP(G1587,Tb_KostenTypen[],3,0)*VLOOKUP(F1587,Tb_ProjectKosten[],MATCH(Tb_ProjectKosten[[#Headers],[Forfait_Percentage]],Tb_ProjectKosten[#Headers],0),0),""),X1587 &lt;=0,0),"")</f>
        <v/>
      </c>
      <c r="AB1587" s="314" t="str">
        <f t="shared" ca="1" si="99"/>
        <v/>
      </c>
      <c r="AC1587" s="322"/>
      <c r="AD1587" s="315"/>
      <c r="AE1587" s="32" t="str" cm="1">
        <f t="array" ref="AE1587">IFERROR(IF(INDEX(SubsidieTabel!$AD$1:$AG$12,MATCH($F1587,SubsidieTabel!$AD$1:$AD$12,0),IFERROR(MATCH(Methode_Keuze,SubsidieTabel!$AD$1:$AG$1,0),2))&lt;&gt;1=TRUE,"ja",""),"")</f>
        <v/>
      </c>
    </row>
    <row r="1588" spans="1:31" x14ac:dyDescent="0.25">
      <c r="A1588" s="316"/>
      <c r="B1588" s="317" t="str">
        <f>IF(A1588&lt;&gt;"",_xlfn.MAXIFS($B$1:B1587,$A$1:A1587,A1588)+1,"")</f>
        <v/>
      </c>
      <c r="C1588" s="296"/>
      <c r="D1588" s="296"/>
      <c r="E1588" s="296"/>
      <c r="F1588" s="296"/>
      <c r="G1588" s="326"/>
      <c r="H1588" s="324"/>
      <c r="I1588" s="325"/>
      <c r="J1588" s="325"/>
      <c r="K1588" s="318"/>
      <c r="L1588" s="318"/>
      <c r="M1588" s="319" t="str">
        <f>IFERROR(VLOOKUP(H1588,Lijsten!$H$1:$I$100,2,0),"")</f>
        <v/>
      </c>
      <c r="N1588" s="319" t="str">
        <f ca="1">IFERROR(IF(VLOOKUP(F1588,Kostentypen!$A$3:$E$21,3,0)=0,"",IF(OR(F1588="Arbeidskosten",F1588="Vergoeding"),VLOOKUP(G1588,Tb_KostenTypen[],2,0),VLOOKUP(F1588,Kostentypen!$A$3:$E$20,3,0))),"")</f>
        <v/>
      </c>
      <c r="O1588" s="320" t="str" cm="1">
        <f t="array" ref="O1588">_xlfn.IFNA(IF(INDEX(Tb_KostenOptiesDB[],MATCH($F1588,Tb_KostenOptiesDB[KostenOptie],0),IFERROR(MATCH(Methode_Keuze,Tb_KostenOptiesDB[#Headers],0),2))=1,_xlfn.SWITCH($N1588,"Uurtarief",IF(OR(AND(RIGHT($F1588,3)="IKS",VLOOKUP($M1588,DB_Loonkosten,2,0)="Ja"),AND(RIGHT($F1588,3)&lt;&gt;"IKS",VLOOKUP($M1588,DB_Loonkosten,2,0)="Nee")),IFERROR(VLOOKUP($M1588,DB_Loonkosten,24,0),""),0),"Vast tarief",IF(LEFT(F1588,8)="Bijdrage",VLOOKUP($F1588,Tb_KostenTypen[],MATCH(Lijsten!$P$1,Tb_KostenTypen[#Headers],0),0),VLOOKUP($G1588,Lijsten!L:P,MATCH(Lijsten!$P$1,Kop_Tarief_Vast,0),0))),""),"")</f>
        <v/>
      </c>
      <c r="P1588" s="320" t="str" cm="1">
        <f t="array" ref="P1588">_xlfn.IFNA(IF(INDEX(Tb_KostenOptiesDB[],MATCH($F1588,Tb_KostenOptiesDB[KostenOptie],0),IFERROR(MATCH(Methode_Keuze,Tb_KostenOptiesDB[#Headers],0),2))=1,_xlfn.SWITCH($N1588,"Uurtarief",IF(OR(AND(RIGHT($F1588,3)="IKS",VLOOKUP($M1588,DB_Loonkosten,2,0)="Ja"),AND(RIGHT($F1588,3)&lt;&gt;"IKS",VLOOKUP($M1588,DB_Loonkosten,2,0)="Nee")),IFERROR(VLOOKUP($M1588,DB_Loonkosten,25,0),""),0),"Vast tarief",IF(LEFT(F1588,8)="Bijdrage",VLOOKUP($F1588,Tb_KostenTypen[],MATCH(Lijsten!$P$1,Tb_KostenTypen[#Headers],0),0),VLOOKUP($G1588,Lijsten!L:P,MATCH(Lijsten!$P$1,Kop_Tarief_Vast,0),0))),""),"")</f>
        <v/>
      </c>
      <c r="Q1588" s="359"/>
      <c r="R1588" s="359"/>
      <c r="S1588" s="321"/>
      <c r="T1588" s="321"/>
      <c r="U1588" s="373" t="str">
        <f t="shared" si="96"/>
        <v/>
      </c>
      <c r="V1588" s="314" t="str">
        <f t="shared" si="97"/>
        <v/>
      </c>
      <c r="W1588" s="314" t="str" cm="1">
        <f t="array" aca="1" ref="W1588" ca="1">IFERROR(IF(AE1588&lt;&gt;"ja",_xlfn.IFNA(_xlfn.IFS(AND(O1588&lt;&gt;"",F1588&lt;&gt;"",RIGHT($N1588,6)="tarief",F1588="Vergoeding"),SUM(O1588)*FLOOR(SUM(Q1588),0.0001),AND(O1588&lt;&gt;"",F1588&lt;&gt;"",RIGHT($N1588,6)="tarief"),SUM(O1588)*FLOOR(SUM(Q1588),0.01),S1588&gt;0,IF(F1588&lt;&gt;"",FLOOR(SUM(S1588),0.01),"")),""),""),"")</f>
        <v/>
      </c>
      <c r="X1588" s="314" t="str" cm="1">
        <f t="array" aca="1" ref="X1588" ca="1">IFERROR(IF(AE1588&lt;&gt;"ja",_xlfn.IFNA(_xlfn.IFS(AND(P1588&lt;&gt;"",R1588&lt;&gt;"",RIGHT($N1588,6)="tarief",F1588="Vergoeding"),SUM(P1588)*FLOOR(SUM(R1588),0.0001),AND(P1588&lt;&gt;"",R1588&lt;&gt;"",RIGHT($N1588,6)="tarief"),P1588*FLOOR(R1588,0.01),T1588&gt;0,FLOOR(SUM(T1588),0.01)),""),""),"")</f>
        <v/>
      </c>
      <c r="Y1588" s="314" t="str">
        <f t="shared" ca="1" si="98"/>
        <v/>
      </c>
      <c r="Z1588" s="314" t="str" cm="1">
        <f t="array" aca="1" ref="Z1588" ca="1">IFERROR(_xlfn.IFS(OR(F1588="",LEFT(Methode_Keuze,4)="Geen",Methode_Keuze=""),"",AND(W1588&lt;&gt;"",F1588&lt;&gt;"Arbeidskosten"),W1588*VLOOKUP(F1588,Tb_ProjectKosten[],MATCH(Tb_ProjectKosten[[#Headers],[Forfait_Percentage]],Tb_ProjectKosten[#Headers],0),0),AND(F1588="Arbeidskosten",G1588&lt;&gt;""),IFERROR(W1588*VLOOKUP(G1588,Tb_KostenTypen[],3,0)*VLOOKUP(F1588,Tb_ProjectKosten[],MATCH(Tb_ProjectKosten[[#Headers],[Forfait_Percentage]],Tb_ProjectKosten[#Headers],0),0),""),W1588 &lt;=0,0),"")</f>
        <v/>
      </c>
      <c r="AA1588" s="314" t="str" cm="1">
        <f t="array" aca="1" ref="AA1588" ca="1">IFERROR(_xlfn.IFS(OR(F1588="",LEFT(Methode_Keuze,4)="Geen",Methode_Keuze=""),"",AND(X1588&lt;&gt;"",F1588&lt;&gt;"Arbeidskosten"),X1588*VLOOKUP(F1588,Tb_ProjectKosten[],MATCH(Tb_ProjectKosten[[#Headers],[Forfait_Percentage]],Tb_ProjectKosten[#Headers],0),0),AND(F1588="Arbeidskosten",G1588&lt;&gt;""),IFERROR(X1588*VLOOKUP(G1588,Tb_KostenTypen[],3,0)*VLOOKUP(F1588,Tb_ProjectKosten[],MATCH(Tb_ProjectKosten[[#Headers],[Forfait_Percentage]],Tb_ProjectKosten[#Headers],0),0),""),X1588 &lt;=0,0),"")</f>
        <v/>
      </c>
      <c r="AB1588" s="314" t="str">
        <f t="shared" ca="1" si="99"/>
        <v/>
      </c>
      <c r="AC1588" s="322"/>
      <c r="AD1588" s="315"/>
      <c r="AE1588" s="32" t="str" cm="1">
        <f t="array" ref="AE1588">IFERROR(IF(INDEX(SubsidieTabel!$AD$1:$AG$12,MATCH($F1588,SubsidieTabel!$AD$1:$AD$12,0),IFERROR(MATCH(Methode_Keuze,SubsidieTabel!$AD$1:$AG$1,0),2))&lt;&gt;1=TRUE,"ja",""),"")</f>
        <v/>
      </c>
    </row>
    <row r="1589" spans="1:31" x14ac:dyDescent="0.25">
      <c r="A1589" s="316"/>
      <c r="B1589" s="317" t="str">
        <f>IF(A1589&lt;&gt;"",_xlfn.MAXIFS($B$1:B1588,$A$1:A1588,A1589)+1,"")</f>
        <v/>
      </c>
      <c r="C1589" s="296"/>
      <c r="D1589" s="296"/>
      <c r="E1589" s="296"/>
      <c r="F1589" s="296"/>
      <c r="G1589" s="326"/>
      <c r="H1589" s="324"/>
      <c r="I1589" s="325"/>
      <c r="J1589" s="325"/>
      <c r="K1589" s="318"/>
      <c r="L1589" s="318"/>
      <c r="M1589" s="319" t="str">
        <f>IFERROR(VLOOKUP(H1589,Lijsten!$H$1:$I$100,2,0),"")</f>
        <v/>
      </c>
      <c r="N1589" s="319" t="str">
        <f ca="1">IFERROR(IF(VLOOKUP(F1589,Kostentypen!$A$3:$E$21,3,0)=0,"",IF(OR(F1589="Arbeidskosten",F1589="Vergoeding"),VLOOKUP(G1589,Tb_KostenTypen[],2,0),VLOOKUP(F1589,Kostentypen!$A$3:$E$20,3,0))),"")</f>
        <v/>
      </c>
      <c r="O1589" s="320" t="str" cm="1">
        <f t="array" ref="O1589">_xlfn.IFNA(IF(INDEX(Tb_KostenOptiesDB[],MATCH($F1589,Tb_KostenOptiesDB[KostenOptie],0),IFERROR(MATCH(Methode_Keuze,Tb_KostenOptiesDB[#Headers],0),2))=1,_xlfn.SWITCH($N1589,"Uurtarief",IF(OR(AND(RIGHT($F1589,3)="IKS",VLOOKUP($M1589,DB_Loonkosten,2,0)="Ja"),AND(RIGHT($F1589,3)&lt;&gt;"IKS",VLOOKUP($M1589,DB_Loonkosten,2,0)="Nee")),IFERROR(VLOOKUP($M1589,DB_Loonkosten,24,0),""),0),"Vast tarief",IF(LEFT(F1589,8)="Bijdrage",VLOOKUP($F1589,Tb_KostenTypen[],MATCH(Lijsten!$P$1,Tb_KostenTypen[#Headers],0),0),VLOOKUP($G1589,Lijsten!L:P,MATCH(Lijsten!$P$1,Kop_Tarief_Vast,0),0))),""),"")</f>
        <v/>
      </c>
      <c r="P1589" s="320" t="str" cm="1">
        <f t="array" ref="P1589">_xlfn.IFNA(IF(INDEX(Tb_KostenOptiesDB[],MATCH($F1589,Tb_KostenOptiesDB[KostenOptie],0),IFERROR(MATCH(Methode_Keuze,Tb_KostenOptiesDB[#Headers],0),2))=1,_xlfn.SWITCH($N1589,"Uurtarief",IF(OR(AND(RIGHT($F1589,3)="IKS",VLOOKUP($M1589,DB_Loonkosten,2,0)="Ja"),AND(RIGHT($F1589,3)&lt;&gt;"IKS",VLOOKUP($M1589,DB_Loonkosten,2,0)="Nee")),IFERROR(VLOOKUP($M1589,DB_Loonkosten,25,0),""),0),"Vast tarief",IF(LEFT(F1589,8)="Bijdrage",VLOOKUP($F1589,Tb_KostenTypen[],MATCH(Lijsten!$P$1,Tb_KostenTypen[#Headers],0),0),VLOOKUP($G1589,Lijsten!L:P,MATCH(Lijsten!$P$1,Kop_Tarief_Vast,0),0))),""),"")</f>
        <v/>
      </c>
      <c r="Q1589" s="359"/>
      <c r="R1589" s="359"/>
      <c r="S1589" s="321"/>
      <c r="T1589" s="321"/>
      <c r="U1589" s="373" t="str">
        <f t="shared" si="96"/>
        <v/>
      </c>
      <c r="V1589" s="314" t="str">
        <f t="shared" si="97"/>
        <v/>
      </c>
      <c r="W1589" s="314" t="str" cm="1">
        <f t="array" aca="1" ref="W1589" ca="1">IFERROR(IF(AE1589&lt;&gt;"ja",_xlfn.IFNA(_xlfn.IFS(AND(O1589&lt;&gt;"",F1589&lt;&gt;"",RIGHT($N1589,6)="tarief",F1589="Vergoeding"),SUM(O1589)*FLOOR(SUM(Q1589),0.0001),AND(O1589&lt;&gt;"",F1589&lt;&gt;"",RIGHT($N1589,6)="tarief"),SUM(O1589)*FLOOR(SUM(Q1589),0.01),S1589&gt;0,IF(F1589&lt;&gt;"",FLOOR(SUM(S1589),0.01),"")),""),""),"")</f>
        <v/>
      </c>
      <c r="X1589" s="314" t="str" cm="1">
        <f t="array" aca="1" ref="X1589" ca="1">IFERROR(IF(AE1589&lt;&gt;"ja",_xlfn.IFNA(_xlfn.IFS(AND(P1589&lt;&gt;"",R1589&lt;&gt;"",RIGHT($N1589,6)="tarief",F1589="Vergoeding"),SUM(P1589)*FLOOR(SUM(R1589),0.0001),AND(P1589&lt;&gt;"",R1589&lt;&gt;"",RIGHT($N1589,6)="tarief"),P1589*FLOOR(R1589,0.01),T1589&gt;0,FLOOR(SUM(T1589),0.01)),""),""),"")</f>
        <v/>
      </c>
      <c r="Y1589" s="314" t="str">
        <f t="shared" ca="1" si="98"/>
        <v/>
      </c>
      <c r="Z1589" s="314" t="str" cm="1">
        <f t="array" aca="1" ref="Z1589" ca="1">IFERROR(_xlfn.IFS(OR(F1589="",LEFT(Methode_Keuze,4)="Geen",Methode_Keuze=""),"",AND(W1589&lt;&gt;"",F1589&lt;&gt;"Arbeidskosten"),W1589*VLOOKUP(F1589,Tb_ProjectKosten[],MATCH(Tb_ProjectKosten[[#Headers],[Forfait_Percentage]],Tb_ProjectKosten[#Headers],0),0),AND(F1589="Arbeidskosten",G1589&lt;&gt;""),IFERROR(W1589*VLOOKUP(G1589,Tb_KostenTypen[],3,0)*VLOOKUP(F1589,Tb_ProjectKosten[],MATCH(Tb_ProjectKosten[[#Headers],[Forfait_Percentage]],Tb_ProjectKosten[#Headers],0),0),""),W1589 &lt;=0,0),"")</f>
        <v/>
      </c>
      <c r="AA1589" s="314" t="str" cm="1">
        <f t="array" aca="1" ref="AA1589" ca="1">IFERROR(_xlfn.IFS(OR(F1589="",LEFT(Methode_Keuze,4)="Geen",Methode_Keuze=""),"",AND(X1589&lt;&gt;"",F1589&lt;&gt;"Arbeidskosten"),X1589*VLOOKUP(F1589,Tb_ProjectKosten[],MATCH(Tb_ProjectKosten[[#Headers],[Forfait_Percentage]],Tb_ProjectKosten[#Headers],0),0),AND(F1589="Arbeidskosten",G1589&lt;&gt;""),IFERROR(X1589*VLOOKUP(G1589,Tb_KostenTypen[],3,0)*VLOOKUP(F1589,Tb_ProjectKosten[],MATCH(Tb_ProjectKosten[[#Headers],[Forfait_Percentage]],Tb_ProjectKosten[#Headers],0),0),""),X1589 &lt;=0,0),"")</f>
        <v/>
      </c>
      <c r="AB1589" s="314" t="str">
        <f t="shared" ca="1" si="99"/>
        <v/>
      </c>
      <c r="AC1589" s="322"/>
      <c r="AD1589" s="315"/>
      <c r="AE1589" s="32" t="str" cm="1">
        <f t="array" ref="AE1589">IFERROR(IF(INDEX(SubsidieTabel!$AD$1:$AG$12,MATCH($F1589,SubsidieTabel!$AD$1:$AD$12,0),IFERROR(MATCH(Methode_Keuze,SubsidieTabel!$AD$1:$AG$1,0),2))&lt;&gt;1=TRUE,"ja",""),"")</f>
        <v/>
      </c>
    </row>
    <row r="1590" spans="1:31" x14ac:dyDescent="0.25">
      <c r="A1590" s="316"/>
      <c r="B1590" s="317" t="str">
        <f>IF(A1590&lt;&gt;"",_xlfn.MAXIFS($B$1:B1589,$A$1:A1589,A1590)+1,"")</f>
        <v/>
      </c>
      <c r="C1590" s="296"/>
      <c r="D1590" s="296"/>
      <c r="E1590" s="296"/>
      <c r="F1590" s="296"/>
      <c r="G1590" s="326"/>
      <c r="H1590" s="324"/>
      <c r="I1590" s="325"/>
      <c r="J1590" s="325"/>
      <c r="K1590" s="318"/>
      <c r="L1590" s="318"/>
      <c r="M1590" s="319" t="str">
        <f>IFERROR(VLOOKUP(H1590,Lijsten!$H$1:$I$100,2,0),"")</f>
        <v/>
      </c>
      <c r="N1590" s="319" t="str">
        <f ca="1">IFERROR(IF(VLOOKUP(F1590,Kostentypen!$A$3:$E$21,3,0)=0,"",IF(OR(F1590="Arbeidskosten",F1590="Vergoeding"),VLOOKUP(G1590,Tb_KostenTypen[],2,0),VLOOKUP(F1590,Kostentypen!$A$3:$E$20,3,0))),"")</f>
        <v/>
      </c>
      <c r="O1590" s="320" t="str" cm="1">
        <f t="array" ref="O1590">_xlfn.IFNA(IF(INDEX(Tb_KostenOptiesDB[],MATCH($F1590,Tb_KostenOptiesDB[KostenOptie],0),IFERROR(MATCH(Methode_Keuze,Tb_KostenOptiesDB[#Headers],0),2))=1,_xlfn.SWITCH($N1590,"Uurtarief",IF(OR(AND(RIGHT($F1590,3)="IKS",VLOOKUP($M1590,DB_Loonkosten,2,0)="Ja"),AND(RIGHT($F1590,3)&lt;&gt;"IKS",VLOOKUP($M1590,DB_Loonkosten,2,0)="Nee")),IFERROR(VLOOKUP($M1590,DB_Loonkosten,24,0),""),0),"Vast tarief",IF(LEFT(F1590,8)="Bijdrage",VLOOKUP($F1590,Tb_KostenTypen[],MATCH(Lijsten!$P$1,Tb_KostenTypen[#Headers],0),0),VLOOKUP($G1590,Lijsten!L:P,MATCH(Lijsten!$P$1,Kop_Tarief_Vast,0),0))),""),"")</f>
        <v/>
      </c>
      <c r="P1590" s="320" t="str" cm="1">
        <f t="array" ref="P1590">_xlfn.IFNA(IF(INDEX(Tb_KostenOptiesDB[],MATCH($F1590,Tb_KostenOptiesDB[KostenOptie],0),IFERROR(MATCH(Methode_Keuze,Tb_KostenOptiesDB[#Headers],0),2))=1,_xlfn.SWITCH($N1590,"Uurtarief",IF(OR(AND(RIGHT($F1590,3)="IKS",VLOOKUP($M1590,DB_Loonkosten,2,0)="Ja"),AND(RIGHT($F1590,3)&lt;&gt;"IKS",VLOOKUP($M1590,DB_Loonkosten,2,0)="Nee")),IFERROR(VLOOKUP($M1590,DB_Loonkosten,25,0),""),0),"Vast tarief",IF(LEFT(F1590,8)="Bijdrage",VLOOKUP($F1590,Tb_KostenTypen[],MATCH(Lijsten!$P$1,Tb_KostenTypen[#Headers],0),0),VLOOKUP($G1590,Lijsten!L:P,MATCH(Lijsten!$P$1,Kop_Tarief_Vast,0),0))),""),"")</f>
        <v/>
      </c>
      <c r="Q1590" s="359"/>
      <c r="R1590" s="359"/>
      <c r="S1590" s="321"/>
      <c r="T1590" s="321"/>
      <c r="U1590" s="373" t="str">
        <f t="shared" si="96"/>
        <v/>
      </c>
      <c r="V1590" s="314" t="str">
        <f t="shared" si="97"/>
        <v/>
      </c>
      <c r="W1590" s="314" t="str" cm="1">
        <f t="array" aca="1" ref="W1590" ca="1">IFERROR(IF(AE1590&lt;&gt;"ja",_xlfn.IFNA(_xlfn.IFS(AND(O1590&lt;&gt;"",F1590&lt;&gt;"",RIGHT($N1590,6)="tarief",F1590="Vergoeding"),SUM(O1590)*FLOOR(SUM(Q1590),0.0001),AND(O1590&lt;&gt;"",F1590&lt;&gt;"",RIGHT($N1590,6)="tarief"),SUM(O1590)*FLOOR(SUM(Q1590),0.01),S1590&gt;0,IF(F1590&lt;&gt;"",FLOOR(SUM(S1590),0.01),"")),""),""),"")</f>
        <v/>
      </c>
      <c r="X1590" s="314" t="str" cm="1">
        <f t="array" aca="1" ref="X1590" ca="1">IFERROR(IF(AE1590&lt;&gt;"ja",_xlfn.IFNA(_xlfn.IFS(AND(P1590&lt;&gt;"",R1590&lt;&gt;"",RIGHT($N1590,6)="tarief",F1590="Vergoeding"),SUM(P1590)*FLOOR(SUM(R1590),0.0001),AND(P1590&lt;&gt;"",R1590&lt;&gt;"",RIGHT($N1590,6)="tarief"),P1590*FLOOR(R1590,0.01),T1590&gt;0,FLOOR(SUM(T1590),0.01)),""),""),"")</f>
        <v/>
      </c>
      <c r="Y1590" s="314" t="str">
        <f t="shared" ca="1" si="98"/>
        <v/>
      </c>
      <c r="Z1590" s="314" t="str" cm="1">
        <f t="array" aca="1" ref="Z1590" ca="1">IFERROR(_xlfn.IFS(OR(F1590="",LEFT(Methode_Keuze,4)="Geen",Methode_Keuze=""),"",AND(W1590&lt;&gt;"",F1590&lt;&gt;"Arbeidskosten"),W1590*VLOOKUP(F1590,Tb_ProjectKosten[],MATCH(Tb_ProjectKosten[[#Headers],[Forfait_Percentage]],Tb_ProjectKosten[#Headers],0),0),AND(F1590="Arbeidskosten",G1590&lt;&gt;""),IFERROR(W1590*VLOOKUP(G1590,Tb_KostenTypen[],3,0)*VLOOKUP(F1590,Tb_ProjectKosten[],MATCH(Tb_ProjectKosten[[#Headers],[Forfait_Percentage]],Tb_ProjectKosten[#Headers],0),0),""),W1590 &lt;=0,0),"")</f>
        <v/>
      </c>
      <c r="AA1590" s="314" t="str" cm="1">
        <f t="array" aca="1" ref="AA1590" ca="1">IFERROR(_xlfn.IFS(OR(F1590="",LEFT(Methode_Keuze,4)="Geen",Methode_Keuze=""),"",AND(X1590&lt;&gt;"",F1590&lt;&gt;"Arbeidskosten"),X1590*VLOOKUP(F1590,Tb_ProjectKosten[],MATCH(Tb_ProjectKosten[[#Headers],[Forfait_Percentage]],Tb_ProjectKosten[#Headers],0),0),AND(F1590="Arbeidskosten",G1590&lt;&gt;""),IFERROR(X1590*VLOOKUP(G1590,Tb_KostenTypen[],3,0)*VLOOKUP(F1590,Tb_ProjectKosten[],MATCH(Tb_ProjectKosten[[#Headers],[Forfait_Percentage]],Tb_ProjectKosten[#Headers],0),0),""),X1590 &lt;=0,0),"")</f>
        <v/>
      </c>
      <c r="AB1590" s="314" t="str">
        <f t="shared" ca="1" si="99"/>
        <v/>
      </c>
      <c r="AC1590" s="322"/>
      <c r="AD1590" s="315"/>
      <c r="AE1590" s="32" t="str" cm="1">
        <f t="array" ref="AE1590">IFERROR(IF(INDEX(SubsidieTabel!$AD$1:$AG$12,MATCH($F1590,SubsidieTabel!$AD$1:$AD$12,0),IFERROR(MATCH(Methode_Keuze,SubsidieTabel!$AD$1:$AG$1,0),2))&lt;&gt;1=TRUE,"ja",""),"")</f>
        <v/>
      </c>
    </row>
    <row r="1591" spans="1:31" x14ac:dyDescent="0.25">
      <c r="A1591" s="316"/>
      <c r="B1591" s="317" t="str">
        <f>IF(A1591&lt;&gt;"",_xlfn.MAXIFS($B$1:B1590,$A$1:A1590,A1591)+1,"")</f>
        <v/>
      </c>
      <c r="C1591" s="296"/>
      <c r="D1591" s="296"/>
      <c r="E1591" s="296"/>
      <c r="F1591" s="296"/>
      <c r="G1591" s="326"/>
      <c r="H1591" s="324"/>
      <c r="I1591" s="325"/>
      <c r="J1591" s="325"/>
      <c r="K1591" s="318"/>
      <c r="L1591" s="318"/>
      <c r="M1591" s="319" t="str">
        <f>IFERROR(VLOOKUP(H1591,Lijsten!$H$1:$I$100,2,0),"")</f>
        <v/>
      </c>
      <c r="N1591" s="319" t="str">
        <f ca="1">IFERROR(IF(VLOOKUP(F1591,Kostentypen!$A$3:$E$21,3,0)=0,"",IF(OR(F1591="Arbeidskosten",F1591="Vergoeding"),VLOOKUP(G1591,Tb_KostenTypen[],2,0),VLOOKUP(F1591,Kostentypen!$A$3:$E$20,3,0))),"")</f>
        <v/>
      </c>
      <c r="O1591" s="320" t="str" cm="1">
        <f t="array" ref="O1591">_xlfn.IFNA(IF(INDEX(Tb_KostenOptiesDB[],MATCH($F1591,Tb_KostenOptiesDB[KostenOptie],0),IFERROR(MATCH(Methode_Keuze,Tb_KostenOptiesDB[#Headers],0),2))=1,_xlfn.SWITCH($N1591,"Uurtarief",IF(OR(AND(RIGHT($F1591,3)="IKS",VLOOKUP($M1591,DB_Loonkosten,2,0)="Ja"),AND(RIGHT($F1591,3)&lt;&gt;"IKS",VLOOKUP($M1591,DB_Loonkosten,2,0)="Nee")),IFERROR(VLOOKUP($M1591,DB_Loonkosten,24,0),""),0),"Vast tarief",IF(LEFT(F1591,8)="Bijdrage",VLOOKUP($F1591,Tb_KostenTypen[],MATCH(Lijsten!$P$1,Tb_KostenTypen[#Headers],0),0),VLOOKUP($G1591,Lijsten!L:P,MATCH(Lijsten!$P$1,Kop_Tarief_Vast,0),0))),""),"")</f>
        <v/>
      </c>
      <c r="P1591" s="320" t="str" cm="1">
        <f t="array" ref="P1591">_xlfn.IFNA(IF(INDEX(Tb_KostenOptiesDB[],MATCH($F1591,Tb_KostenOptiesDB[KostenOptie],0),IFERROR(MATCH(Methode_Keuze,Tb_KostenOptiesDB[#Headers],0),2))=1,_xlfn.SWITCH($N1591,"Uurtarief",IF(OR(AND(RIGHT($F1591,3)="IKS",VLOOKUP($M1591,DB_Loonkosten,2,0)="Ja"),AND(RIGHT($F1591,3)&lt;&gt;"IKS",VLOOKUP($M1591,DB_Loonkosten,2,0)="Nee")),IFERROR(VLOOKUP($M1591,DB_Loonkosten,25,0),""),0),"Vast tarief",IF(LEFT(F1591,8)="Bijdrage",VLOOKUP($F1591,Tb_KostenTypen[],MATCH(Lijsten!$P$1,Tb_KostenTypen[#Headers],0),0),VLOOKUP($G1591,Lijsten!L:P,MATCH(Lijsten!$P$1,Kop_Tarief_Vast,0),0))),""),"")</f>
        <v/>
      </c>
      <c r="Q1591" s="359"/>
      <c r="R1591" s="359"/>
      <c r="S1591" s="321"/>
      <c r="T1591" s="321"/>
      <c r="U1591" s="373" t="str">
        <f t="shared" si="96"/>
        <v/>
      </c>
      <c r="V1591" s="314" t="str">
        <f t="shared" si="97"/>
        <v/>
      </c>
      <c r="W1591" s="314" t="str" cm="1">
        <f t="array" aca="1" ref="W1591" ca="1">IFERROR(IF(AE1591&lt;&gt;"ja",_xlfn.IFNA(_xlfn.IFS(AND(O1591&lt;&gt;"",F1591&lt;&gt;"",RIGHT($N1591,6)="tarief",F1591="Vergoeding"),SUM(O1591)*FLOOR(SUM(Q1591),0.0001),AND(O1591&lt;&gt;"",F1591&lt;&gt;"",RIGHT($N1591,6)="tarief"),SUM(O1591)*FLOOR(SUM(Q1591),0.01),S1591&gt;0,IF(F1591&lt;&gt;"",FLOOR(SUM(S1591),0.01),"")),""),""),"")</f>
        <v/>
      </c>
      <c r="X1591" s="314" t="str" cm="1">
        <f t="array" aca="1" ref="X1591" ca="1">IFERROR(IF(AE1591&lt;&gt;"ja",_xlfn.IFNA(_xlfn.IFS(AND(P1591&lt;&gt;"",R1591&lt;&gt;"",RIGHT($N1591,6)="tarief",F1591="Vergoeding"),SUM(P1591)*FLOOR(SUM(R1591),0.0001),AND(P1591&lt;&gt;"",R1591&lt;&gt;"",RIGHT($N1591,6)="tarief"),P1591*FLOOR(R1591,0.01),T1591&gt;0,FLOOR(SUM(T1591),0.01)),""),""),"")</f>
        <v/>
      </c>
      <c r="Y1591" s="314" t="str">
        <f t="shared" ca="1" si="98"/>
        <v/>
      </c>
      <c r="Z1591" s="314" t="str" cm="1">
        <f t="array" aca="1" ref="Z1591" ca="1">IFERROR(_xlfn.IFS(OR(F1591="",LEFT(Methode_Keuze,4)="Geen",Methode_Keuze=""),"",AND(W1591&lt;&gt;"",F1591&lt;&gt;"Arbeidskosten"),W1591*VLOOKUP(F1591,Tb_ProjectKosten[],MATCH(Tb_ProjectKosten[[#Headers],[Forfait_Percentage]],Tb_ProjectKosten[#Headers],0),0),AND(F1591="Arbeidskosten",G1591&lt;&gt;""),IFERROR(W1591*VLOOKUP(G1591,Tb_KostenTypen[],3,0)*VLOOKUP(F1591,Tb_ProjectKosten[],MATCH(Tb_ProjectKosten[[#Headers],[Forfait_Percentage]],Tb_ProjectKosten[#Headers],0),0),""),W1591 &lt;=0,0),"")</f>
        <v/>
      </c>
      <c r="AA1591" s="314" t="str" cm="1">
        <f t="array" aca="1" ref="AA1591" ca="1">IFERROR(_xlfn.IFS(OR(F1591="",LEFT(Methode_Keuze,4)="Geen",Methode_Keuze=""),"",AND(X1591&lt;&gt;"",F1591&lt;&gt;"Arbeidskosten"),X1591*VLOOKUP(F1591,Tb_ProjectKosten[],MATCH(Tb_ProjectKosten[[#Headers],[Forfait_Percentage]],Tb_ProjectKosten[#Headers],0),0),AND(F1591="Arbeidskosten",G1591&lt;&gt;""),IFERROR(X1591*VLOOKUP(G1591,Tb_KostenTypen[],3,0)*VLOOKUP(F1591,Tb_ProjectKosten[],MATCH(Tb_ProjectKosten[[#Headers],[Forfait_Percentage]],Tb_ProjectKosten[#Headers],0),0),""),X1591 &lt;=0,0),"")</f>
        <v/>
      </c>
      <c r="AB1591" s="314" t="str">
        <f t="shared" ca="1" si="99"/>
        <v/>
      </c>
      <c r="AC1591" s="322"/>
      <c r="AD1591" s="315"/>
      <c r="AE1591" s="32" t="str" cm="1">
        <f t="array" ref="AE1591">IFERROR(IF(INDEX(SubsidieTabel!$AD$1:$AG$12,MATCH($F1591,SubsidieTabel!$AD$1:$AD$12,0),IFERROR(MATCH(Methode_Keuze,SubsidieTabel!$AD$1:$AG$1,0),2))&lt;&gt;1=TRUE,"ja",""),"")</f>
        <v/>
      </c>
    </row>
    <row r="1592" spans="1:31" x14ac:dyDescent="0.25">
      <c r="A1592" s="316"/>
      <c r="B1592" s="317" t="str">
        <f>IF(A1592&lt;&gt;"",_xlfn.MAXIFS($B$1:B1591,$A$1:A1591,A1592)+1,"")</f>
        <v/>
      </c>
      <c r="C1592" s="296"/>
      <c r="D1592" s="296"/>
      <c r="E1592" s="296"/>
      <c r="F1592" s="296"/>
      <c r="G1592" s="326"/>
      <c r="H1592" s="324"/>
      <c r="I1592" s="325"/>
      <c r="J1592" s="325"/>
      <c r="K1592" s="318"/>
      <c r="L1592" s="318"/>
      <c r="M1592" s="319" t="str">
        <f>IFERROR(VLOOKUP(H1592,Lijsten!$H$1:$I$100,2,0),"")</f>
        <v/>
      </c>
      <c r="N1592" s="319" t="str">
        <f ca="1">IFERROR(IF(VLOOKUP(F1592,Kostentypen!$A$3:$E$21,3,0)=0,"",IF(OR(F1592="Arbeidskosten",F1592="Vergoeding"),VLOOKUP(G1592,Tb_KostenTypen[],2,0),VLOOKUP(F1592,Kostentypen!$A$3:$E$20,3,0))),"")</f>
        <v/>
      </c>
      <c r="O1592" s="320" t="str" cm="1">
        <f t="array" ref="O1592">_xlfn.IFNA(IF(INDEX(Tb_KostenOptiesDB[],MATCH($F1592,Tb_KostenOptiesDB[KostenOptie],0),IFERROR(MATCH(Methode_Keuze,Tb_KostenOptiesDB[#Headers],0),2))=1,_xlfn.SWITCH($N1592,"Uurtarief",IF(OR(AND(RIGHT($F1592,3)="IKS",VLOOKUP($M1592,DB_Loonkosten,2,0)="Ja"),AND(RIGHT($F1592,3)&lt;&gt;"IKS",VLOOKUP($M1592,DB_Loonkosten,2,0)="Nee")),IFERROR(VLOOKUP($M1592,DB_Loonkosten,24,0),""),0),"Vast tarief",IF(LEFT(F1592,8)="Bijdrage",VLOOKUP($F1592,Tb_KostenTypen[],MATCH(Lijsten!$P$1,Tb_KostenTypen[#Headers],0),0),VLOOKUP($G1592,Lijsten!L:P,MATCH(Lijsten!$P$1,Kop_Tarief_Vast,0),0))),""),"")</f>
        <v/>
      </c>
      <c r="P1592" s="320" t="str" cm="1">
        <f t="array" ref="P1592">_xlfn.IFNA(IF(INDEX(Tb_KostenOptiesDB[],MATCH($F1592,Tb_KostenOptiesDB[KostenOptie],0),IFERROR(MATCH(Methode_Keuze,Tb_KostenOptiesDB[#Headers],0),2))=1,_xlfn.SWITCH($N1592,"Uurtarief",IF(OR(AND(RIGHT($F1592,3)="IKS",VLOOKUP($M1592,DB_Loonkosten,2,0)="Ja"),AND(RIGHT($F1592,3)&lt;&gt;"IKS",VLOOKUP($M1592,DB_Loonkosten,2,0)="Nee")),IFERROR(VLOOKUP($M1592,DB_Loonkosten,25,0),""),0),"Vast tarief",IF(LEFT(F1592,8)="Bijdrage",VLOOKUP($F1592,Tb_KostenTypen[],MATCH(Lijsten!$P$1,Tb_KostenTypen[#Headers],0),0),VLOOKUP($G1592,Lijsten!L:P,MATCH(Lijsten!$P$1,Kop_Tarief_Vast,0),0))),""),"")</f>
        <v/>
      </c>
      <c r="Q1592" s="359"/>
      <c r="R1592" s="359"/>
      <c r="S1592" s="321"/>
      <c r="T1592" s="321"/>
      <c r="U1592" s="373" t="str">
        <f t="shared" si="96"/>
        <v/>
      </c>
      <c r="V1592" s="314" t="str">
        <f t="shared" si="97"/>
        <v/>
      </c>
      <c r="W1592" s="314" t="str" cm="1">
        <f t="array" aca="1" ref="W1592" ca="1">IFERROR(IF(AE1592&lt;&gt;"ja",_xlfn.IFNA(_xlfn.IFS(AND(O1592&lt;&gt;"",F1592&lt;&gt;"",RIGHT($N1592,6)="tarief",F1592="Vergoeding"),SUM(O1592)*FLOOR(SUM(Q1592),0.0001),AND(O1592&lt;&gt;"",F1592&lt;&gt;"",RIGHT($N1592,6)="tarief"),SUM(O1592)*FLOOR(SUM(Q1592),0.01),S1592&gt;0,IF(F1592&lt;&gt;"",FLOOR(SUM(S1592),0.01),"")),""),""),"")</f>
        <v/>
      </c>
      <c r="X1592" s="314" t="str" cm="1">
        <f t="array" aca="1" ref="X1592" ca="1">IFERROR(IF(AE1592&lt;&gt;"ja",_xlfn.IFNA(_xlfn.IFS(AND(P1592&lt;&gt;"",R1592&lt;&gt;"",RIGHT($N1592,6)="tarief",F1592="Vergoeding"),SUM(P1592)*FLOOR(SUM(R1592),0.0001),AND(P1592&lt;&gt;"",R1592&lt;&gt;"",RIGHT($N1592,6)="tarief"),P1592*FLOOR(R1592,0.01),T1592&gt;0,FLOOR(SUM(T1592),0.01)),""),""),"")</f>
        <v/>
      </c>
      <c r="Y1592" s="314" t="str">
        <f t="shared" ca="1" si="98"/>
        <v/>
      </c>
      <c r="Z1592" s="314" t="str" cm="1">
        <f t="array" aca="1" ref="Z1592" ca="1">IFERROR(_xlfn.IFS(OR(F1592="",LEFT(Methode_Keuze,4)="Geen",Methode_Keuze=""),"",AND(W1592&lt;&gt;"",F1592&lt;&gt;"Arbeidskosten"),W1592*VLOOKUP(F1592,Tb_ProjectKosten[],MATCH(Tb_ProjectKosten[[#Headers],[Forfait_Percentage]],Tb_ProjectKosten[#Headers],0),0),AND(F1592="Arbeidskosten",G1592&lt;&gt;""),IFERROR(W1592*VLOOKUP(G1592,Tb_KostenTypen[],3,0)*VLOOKUP(F1592,Tb_ProjectKosten[],MATCH(Tb_ProjectKosten[[#Headers],[Forfait_Percentage]],Tb_ProjectKosten[#Headers],0),0),""),W1592 &lt;=0,0),"")</f>
        <v/>
      </c>
      <c r="AA1592" s="314" t="str" cm="1">
        <f t="array" aca="1" ref="AA1592" ca="1">IFERROR(_xlfn.IFS(OR(F1592="",LEFT(Methode_Keuze,4)="Geen",Methode_Keuze=""),"",AND(X1592&lt;&gt;"",F1592&lt;&gt;"Arbeidskosten"),X1592*VLOOKUP(F1592,Tb_ProjectKosten[],MATCH(Tb_ProjectKosten[[#Headers],[Forfait_Percentage]],Tb_ProjectKosten[#Headers],0),0),AND(F1592="Arbeidskosten",G1592&lt;&gt;""),IFERROR(X1592*VLOOKUP(G1592,Tb_KostenTypen[],3,0)*VLOOKUP(F1592,Tb_ProjectKosten[],MATCH(Tb_ProjectKosten[[#Headers],[Forfait_Percentage]],Tb_ProjectKosten[#Headers],0),0),""),X1592 &lt;=0,0),"")</f>
        <v/>
      </c>
      <c r="AB1592" s="314" t="str">
        <f t="shared" ca="1" si="99"/>
        <v/>
      </c>
      <c r="AC1592" s="322"/>
      <c r="AD1592" s="315"/>
      <c r="AE1592" s="32" t="str" cm="1">
        <f t="array" ref="AE1592">IFERROR(IF(INDEX(SubsidieTabel!$AD$1:$AG$12,MATCH($F1592,SubsidieTabel!$AD$1:$AD$12,0),IFERROR(MATCH(Methode_Keuze,SubsidieTabel!$AD$1:$AG$1,0),2))&lt;&gt;1=TRUE,"ja",""),"")</f>
        <v/>
      </c>
    </row>
    <row r="1593" spans="1:31" x14ac:dyDescent="0.25">
      <c r="A1593" s="316"/>
      <c r="B1593" s="317" t="str">
        <f>IF(A1593&lt;&gt;"",_xlfn.MAXIFS($B$1:B1592,$A$1:A1592,A1593)+1,"")</f>
        <v/>
      </c>
      <c r="C1593" s="296"/>
      <c r="D1593" s="296"/>
      <c r="E1593" s="296"/>
      <c r="F1593" s="296"/>
      <c r="G1593" s="326"/>
      <c r="H1593" s="324"/>
      <c r="I1593" s="325"/>
      <c r="J1593" s="325"/>
      <c r="K1593" s="318"/>
      <c r="L1593" s="318"/>
      <c r="M1593" s="319" t="str">
        <f>IFERROR(VLOOKUP(H1593,Lijsten!$H$1:$I$100,2,0),"")</f>
        <v/>
      </c>
      <c r="N1593" s="319" t="str">
        <f ca="1">IFERROR(IF(VLOOKUP(F1593,Kostentypen!$A$3:$E$21,3,0)=0,"",IF(OR(F1593="Arbeidskosten",F1593="Vergoeding"),VLOOKUP(G1593,Tb_KostenTypen[],2,0),VLOOKUP(F1593,Kostentypen!$A$3:$E$20,3,0))),"")</f>
        <v/>
      </c>
      <c r="O1593" s="320" t="str" cm="1">
        <f t="array" ref="O1593">_xlfn.IFNA(IF(INDEX(Tb_KostenOptiesDB[],MATCH($F1593,Tb_KostenOptiesDB[KostenOptie],0),IFERROR(MATCH(Methode_Keuze,Tb_KostenOptiesDB[#Headers],0),2))=1,_xlfn.SWITCH($N1593,"Uurtarief",IF(OR(AND(RIGHT($F1593,3)="IKS",VLOOKUP($M1593,DB_Loonkosten,2,0)="Ja"),AND(RIGHT($F1593,3)&lt;&gt;"IKS",VLOOKUP($M1593,DB_Loonkosten,2,0)="Nee")),IFERROR(VLOOKUP($M1593,DB_Loonkosten,24,0),""),0),"Vast tarief",IF(LEFT(F1593,8)="Bijdrage",VLOOKUP($F1593,Tb_KostenTypen[],MATCH(Lijsten!$P$1,Tb_KostenTypen[#Headers],0),0),VLOOKUP($G1593,Lijsten!L:P,MATCH(Lijsten!$P$1,Kop_Tarief_Vast,0),0))),""),"")</f>
        <v/>
      </c>
      <c r="P1593" s="320" t="str" cm="1">
        <f t="array" ref="P1593">_xlfn.IFNA(IF(INDEX(Tb_KostenOptiesDB[],MATCH($F1593,Tb_KostenOptiesDB[KostenOptie],0),IFERROR(MATCH(Methode_Keuze,Tb_KostenOptiesDB[#Headers],0),2))=1,_xlfn.SWITCH($N1593,"Uurtarief",IF(OR(AND(RIGHT($F1593,3)="IKS",VLOOKUP($M1593,DB_Loonkosten,2,0)="Ja"),AND(RIGHT($F1593,3)&lt;&gt;"IKS",VLOOKUP($M1593,DB_Loonkosten,2,0)="Nee")),IFERROR(VLOOKUP($M1593,DB_Loonkosten,25,0),""),0),"Vast tarief",IF(LEFT(F1593,8)="Bijdrage",VLOOKUP($F1593,Tb_KostenTypen[],MATCH(Lijsten!$P$1,Tb_KostenTypen[#Headers],0),0),VLOOKUP($G1593,Lijsten!L:P,MATCH(Lijsten!$P$1,Kop_Tarief_Vast,0),0))),""),"")</f>
        <v/>
      </c>
      <c r="Q1593" s="359"/>
      <c r="R1593" s="359"/>
      <c r="S1593" s="321"/>
      <c r="T1593" s="321"/>
      <c r="U1593" s="373" t="str">
        <f t="shared" si="96"/>
        <v/>
      </c>
      <c r="V1593" s="314" t="str">
        <f t="shared" si="97"/>
        <v/>
      </c>
      <c r="W1593" s="314" t="str" cm="1">
        <f t="array" aca="1" ref="W1593" ca="1">IFERROR(IF(AE1593&lt;&gt;"ja",_xlfn.IFNA(_xlfn.IFS(AND(O1593&lt;&gt;"",F1593&lt;&gt;"",RIGHT($N1593,6)="tarief",F1593="Vergoeding"),SUM(O1593)*FLOOR(SUM(Q1593),0.0001),AND(O1593&lt;&gt;"",F1593&lt;&gt;"",RIGHT($N1593,6)="tarief"),SUM(O1593)*FLOOR(SUM(Q1593),0.01),S1593&gt;0,IF(F1593&lt;&gt;"",FLOOR(SUM(S1593),0.01),"")),""),""),"")</f>
        <v/>
      </c>
      <c r="X1593" s="314" t="str" cm="1">
        <f t="array" aca="1" ref="X1593" ca="1">IFERROR(IF(AE1593&lt;&gt;"ja",_xlfn.IFNA(_xlfn.IFS(AND(P1593&lt;&gt;"",R1593&lt;&gt;"",RIGHT($N1593,6)="tarief",F1593="Vergoeding"),SUM(P1593)*FLOOR(SUM(R1593),0.0001),AND(P1593&lt;&gt;"",R1593&lt;&gt;"",RIGHT($N1593,6)="tarief"),P1593*FLOOR(R1593,0.01),T1593&gt;0,FLOOR(SUM(T1593),0.01)),""),""),"")</f>
        <v/>
      </c>
      <c r="Y1593" s="314" t="str">
        <f t="shared" ca="1" si="98"/>
        <v/>
      </c>
      <c r="Z1593" s="314" t="str" cm="1">
        <f t="array" aca="1" ref="Z1593" ca="1">IFERROR(_xlfn.IFS(OR(F1593="",LEFT(Methode_Keuze,4)="Geen",Methode_Keuze=""),"",AND(W1593&lt;&gt;"",F1593&lt;&gt;"Arbeidskosten"),W1593*VLOOKUP(F1593,Tb_ProjectKosten[],MATCH(Tb_ProjectKosten[[#Headers],[Forfait_Percentage]],Tb_ProjectKosten[#Headers],0),0),AND(F1593="Arbeidskosten",G1593&lt;&gt;""),IFERROR(W1593*VLOOKUP(G1593,Tb_KostenTypen[],3,0)*VLOOKUP(F1593,Tb_ProjectKosten[],MATCH(Tb_ProjectKosten[[#Headers],[Forfait_Percentage]],Tb_ProjectKosten[#Headers],0),0),""),W1593 &lt;=0,0),"")</f>
        <v/>
      </c>
      <c r="AA1593" s="314" t="str" cm="1">
        <f t="array" aca="1" ref="AA1593" ca="1">IFERROR(_xlfn.IFS(OR(F1593="",LEFT(Methode_Keuze,4)="Geen",Methode_Keuze=""),"",AND(X1593&lt;&gt;"",F1593&lt;&gt;"Arbeidskosten"),X1593*VLOOKUP(F1593,Tb_ProjectKosten[],MATCH(Tb_ProjectKosten[[#Headers],[Forfait_Percentage]],Tb_ProjectKosten[#Headers],0),0),AND(F1593="Arbeidskosten",G1593&lt;&gt;""),IFERROR(X1593*VLOOKUP(G1593,Tb_KostenTypen[],3,0)*VLOOKUP(F1593,Tb_ProjectKosten[],MATCH(Tb_ProjectKosten[[#Headers],[Forfait_Percentage]],Tb_ProjectKosten[#Headers],0),0),""),X1593 &lt;=0,0),"")</f>
        <v/>
      </c>
      <c r="AB1593" s="314" t="str">
        <f t="shared" ca="1" si="99"/>
        <v/>
      </c>
      <c r="AC1593" s="322"/>
      <c r="AD1593" s="315"/>
      <c r="AE1593" s="32" t="str" cm="1">
        <f t="array" ref="AE1593">IFERROR(IF(INDEX(SubsidieTabel!$AD$1:$AG$12,MATCH($F1593,SubsidieTabel!$AD$1:$AD$12,0),IFERROR(MATCH(Methode_Keuze,SubsidieTabel!$AD$1:$AG$1,0),2))&lt;&gt;1=TRUE,"ja",""),"")</f>
        <v/>
      </c>
    </row>
    <row r="1594" spans="1:31" x14ac:dyDescent="0.25">
      <c r="A1594" s="316"/>
      <c r="B1594" s="317" t="str">
        <f>IF(A1594&lt;&gt;"",_xlfn.MAXIFS($B$1:B1593,$A$1:A1593,A1594)+1,"")</f>
        <v/>
      </c>
      <c r="C1594" s="296"/>
      <c r="D1594" s="296"/>
      <c r="E1594" s="296"/>
      <c r="F1594" s="296"/>
      <c r="G1594" s="326"/>
      <c r="H1594" s="324"/>
      <c r="I1594" s="325"/>
      <c r="J1594" s="325"/>
      <c r="K1594" s="318"/>
      <c r="L1594" s="318"/>
      <c r="M1594" s="319" t="str">
        <f>IFERROR(VLOOKUP(H1594,Lijsten!$H$1:$I$100,2,0),"")</f>
        <v/>
      </c>
      <c r="N1594" s="319" t="str">
        <f ca="1">IFERROR(IF(VLOOKUP(F1594,Kostentypen!$A$3:$E$21,3,0)=0,"",IF(OR(F1594="Arbeidskosten",F1594="Vergoeding"),VLOOKUP(G1594,Tb_KostenTypen[],2,0),VLOOKUP(F1594,Kostentypen!$A$3:$E$20,3,0))),"")</f>
        <v/>
      </c>
      <c r="O1594" s="320" t="str" cm="1">
        <f t="array" ref="O1594">_xlfn.IFNA(IF(INDEX(Tb_KostenOptiesDB[],MATCH($F1594,Tb_KostenOptiesDB[KostenOptie],0),IFERROR(MATCH(Methode_Keuze,Tb_KostenOptiesDB[#Headers],0),2))=1,_xlfn.SWITCH($N1594,"Uurtarief",IF(OR(AND(RIGHT($F1594,3)="IKS",VLOOKUP($M1594,DB_Loonkosten,2,0)="Ja"),AND(RIGHT($F1594,3)&lt;&gt;"IKS",VLOOKUP($M1594,DB_Loonkosten,2,0)="Nee")),IFERROR(VLOOKUP($M1594,DB_Loonkosten,24,0),""),0),"Vast tarief",IF(LEFT(F1594,8)="Bijdrage",VLOOKUP($F1594,Tb_KostenTypen[],MATCH(Lijsten!$P$1,Tb_KostenTypen[#Headers],0),0),VLOOKUP($G1594,Lijsten!L:P,MATCH(Lijsten!$P$1,Kop_Tarief_Vast,0),0))),""),"")</f>
        <v/>
      </c>
      <c r="P1594" s="320" t="str" cm="1">
        <f t="array" ref="P1594">_xlfn.IFNA(IF(INDEX(Tb_KostenOptiesDB[],MATCH($F1594,Tb_KostenOptiesDB[KostenOptie],0),IFERROR(MATCH(Methode_Keuze,Tb_KostenOptiesDB[#Headers],0),2))=1,_xlfn.SWITCH($N1594,"Uurtarief",IF(OR(AND(RIGHT($F1594,3)="IKS",VLOOKUP($M1594,DB_Loonkosten,2,0)="Ja"),AND(RIGHT($F1594,3)&lt;&gt;"IKS",VLOOKUP($M1594,DB_Loonkosten,2,0)="Nee")),IFERROR(VLOOKUP($M1594,DB_Loonkosten,25,0),""),0),"Vast tarief",IF(LEFT(F1594,8)="Bijdrage",VLOOKUP($F1594,Tb_KostenTypen[],MATCH(Lijsten!$P$1,Tb_KostenTypen[#Headers],0),0),VLOOKUP($G1594,Lijsten!L:P,MATCH(Lijsten!$P$1,Kop_Tarief_Vast,0),0))),""),"")</f>
        <v/>
      </c>
      <c r="Q1594" s="359"/>
      <c r="R1594" s="359"/>
      <c r="S1594" s="321"/>
      <c r="T1594" s="321"/>
      <c r="U1594" s="373" t="str">
        <f t="shared" si="96"/>
        <v/>
      </c>
      <c r="V1594" s="314" t="str">
        <f t="shared" si="97"/>
        <v/>
      </c>
      <c r="W1594" s="314" t="str" cm="1">
        <f t="array" aca="1" ref="W1594" ca="1">IFERROR(IF(AE1594&lt;&gt;"ja",_xlfn.IFNA(_xlfn.IFS(AND(O1594&lt;&gt;"",F1594&lt;&gt;"",RIGHT($N1594,6)="tarief",F1594="Vergoeding"),SUM(O1594)*FLOOR(SUM(Q1594),0.0001),AND(O1594&lt;&gt;"",F1594&lt;&gt;"",RIGHT($N1594,6)="tarief"),SUM(O1594)*FLOOR(SUM(Q1594),0.01),S1594&gt;0,IF(F1594&lt;&gt;"",FLOOR(SUM(S1594),0.01),"")),""),""),"")</f>
        <v/>
      </c>
      <c r="X1594" s="314" t="str" cm="1">
        <f t="array" aca="1" ref="X1594" ca="1">IFERROR(IF(AE1594&lt;&gt;"ja",_xlfn.IFNA(_xlfn.IFS(AND(P1594&lt;&gt;"",R1594&lt;&gt;"",RIGHT($N1594,6)="tarief",F1594="Vergoeding"),SUM(P1594)*FLOOR(SUM(R1594),0.0001),AND(P1594&lt;&gt;"",R1594&lt;&gt;"",RIGHT($N1594,6)="tarief"),P1594*FLOOR(R1594,0.01),T1594&gt;0,FLOOR(SUM(T1594),0.01)),""),""),"")</f>
        <v/>
      </c>
      <c r="Y1594" s="314" t="str">
        <f t="shared" ca="1" si="98"/>
        <v/>
      </c>
      <c r="Z1594" s="314" t="str" cm="1">
        <f t="array" aca="1" ref="Z1594" ca="1">IFERROR(_xlfn.IFS(OR(F1594="",LEFT(Methode_Keuze,4)="Geen",Methode_Keuze=""),"",AND(W1594&lt;&gt;"",F1594&lt;&gt;"Arbeidskosten"),W1594*VLOOKUP(F1594,Tb_ProjectKosten[],MATCH(Tb_ProjectKosten[[#Headers],[Forfait_Percentage]],Tb_ProjectKosten[#Headers],0),0),AND(F1594="Arbeidskosten",G1594&lt;&gt;""),IFERROR(W1594*VLOOKUP(G1594,Tb_KostenTypen[],3,0)*VLOOKUP(F1594,Tb_ProjectKosten[],MATCH(Tb_ProjectKosten[[#Headers],[Forfait_Percentage]],Tb_ProjectKosten[#Headers],0),0),""),W1594 &lt;=0,0),"")</f>
        <v/>
      </c>
      <c r="AA1594" s="314" t="str" cm="1">
        <f t="array" aca="1" ref="AA1594" ca="1">IFERROR(_xlfn.IFS(OR(F1594="",LEFT(Methode_Keuze,4)="Geen",Methode_Keuze=""),"",AND(X1594&lt;&gt;"",F1594&lt;&gt;"Arbeidskosten"),X1594*VLOOKUP(F1594,Tb_ProjectKosten[],MATCH(Tb_ProjectKosten[[#Headers],[Forfait_Percentage]],Tb_ProjectKosten[#Headers],0),0),AND(F1594="Arbeidskosten",G1594&lt;&gt;""),IFERROR(X1594*VLOOKUP(G1594,Tb_KostenTypen[],3,0)*VLOOKUP(F1594,Tb_ProjectKosten[],MATCH(Tb_ProjectKosten[[#Headers],[Forfait_Percentage]],Tb_ProjectKosten[#Headers],0),0),""),X1594 &lt;=0,0),"")</f>
        <v/>
      </c>
      <c r="AB1594" s="314" t="str">
        <f t="shared" ca="1" si="99"/>
        <v/>
      </c>
      <c r="AC1594" s="322"/>
      <c r="AD1594" s="315"/>
      <c r="AE1594" s="32" t="str" cm="1">
        <f t="array" ref="AE1594">IFERROR(IF(INDEX(SubsidieTabel!$AD$1:$AG$12,MATCH($F1594,SubsidieTabel!$AD$1:$AD$12,0),IFERROR(MATCH(Methode_Keuze,SubsidieTabel!$AD$1:$AG$1,0),2))&lt;&gt;1=TRUE,"ja",""),"")</f>
        <v/>
      </c>
    </row>
    <row r="1595" spans="1:31" x14ac:dyDescent="0.25">
      <c r="A1595" s="316"/>
      <c r="B1595" s="317" t="str">
        <f>IF(A1595&lt;&gt;"",_xlfn.MAXIFS($B$1:B1594,$A$1:A1594,A1595)+1,"")</f>
        <v/>
      </c>
      <c r="C1595" s="296"/>
      <c r="D1595" s="296"/>
      <c r="E1595" s="296"/>
      <c r="F1595" s="296"/>
      <c r="G1595" s="326"/>
      <c r="H1595" s="324"/>
      <c r="I1595" s="325"/>
      <c r="J1595" s="325"/>
      <c r="K1595" s="318"/>
      <c r="L1595" s="318"/>
      <c r="M1595" s="319" t="str">
        <f>IFERROR(VLOOKUP(H1595,Lijsten!$H$1:$I$100,2,0),"")</f>
        <v/>
      </c>
      <c r="N1595" s="319" t="str">
        <f ca="1">IFERROR(IF(VLOOKUP(F1595,Kostentypen!$A$3:$E$21,3,0)=0,"",IF(OR(F1595="Arbeidskosten",F1595="Vergoeding"),VLOOKUP(G1595,Tb_KostenTypen[],2,0),VLOOKUP(F1595,Kostentypen!$A$3:$E$20,3,0))),"")</f>
        <v/>
      </c>
      <c r="O1595" s="320" t="str" cm="1">
        <f t="array" ref="O1595">_xlfn.IFNA(IF(INDEX(Tb_KostenOptiesDB[],MATCH($F1595,Tb_KostenOptiesDB[KostenOptie],0),IFERROR(MATCH(Methode_Keuze,Tb_KostenOptiesDB[#Headers],0),2))=1,_xlfn.SWITCH($N1595,"Uurtarief",IF(OR(AND(RIGHT($F1595,3)="IKS",VLOOKUP($M1595,DB_Loonkosten,2,0)="Ja"),AND(RIGHT($F1595,3)&lt;&gt;"IKS",VLOOKUP($M1595,DB_Loonkosten,2,0)="Nee")),IFERROR(VLOOKUP($M1595,DB_Loonkosten,24,0),""),0),"Vast tarief",IF(LEFT(F1595,8)="Bijdrage",VLOOKUP($F1595,Tb_KostenTypen[],MATCH(Lijsten!$P$1,Tb_KostenTypen[#Headers],0),0),VLOOKUP($G1595,Lijsten!L:P,MATCH(Lijsten!$P$1,Kop_Tarief_Vast,0),0))),""),"")</f>
        <v/>
      </c>
      <c r="P1595" s="320" t="str" cm="1">
        <f t="array" ref="P1595">_xlfn.IFNA(IF(INDEX(Tb_KostenOptiesDB[],MATCH($F1595,Tb_KostenOptiesDB[KostenOptie],0),IFERROR(MATCH(Methode_Keuze,Tb_KostenOptiesDB[#Headers],0),2))=1,_xlfn.SWITCH($N1595,"Uurtarief",IF(OR(AND(RIGHT($F1595,3)="IKS",VLOOKUP($M1595,DB_Loonkosten,2,0)="Ja"),AND(RIGHT($F1595,3)&lt;&gt;"IKS",VLOOKUP($M1595,DB_Loonkosten,2,0)="Nee")),IFERROR(VLOOKUP($M1595,DB_Loonkosten,25,0),""),0),"Vast tarief",IF(LEFT(F1595,8)="Bijdrage",VLOOKUP($F1595,Tb_KostenTypen[],MATCH(Lijsten!$P$1,Tb_KostenTypen[#Headers],0),0),VLOOKUP($G1595,Lijsten!L:P,MATCH(Lijsten!$P$1,Kop_Tarief_Vast,0),0))),""),"")</f>
        <v/>
      </c>
      <c r="Q1595" s="359"/>
      <c r="R1595" s="359"/>
      <c r="S1595" s="321"/>
      <c r="T1595" s="321"/>
      <c r="U1595" s="373" t="str">
        <f t="shared" si="96"/>
        <v/>
      </c>
      <c r="V1595" s="314" t="str">
        <f t="shared" si="97"/>
        <v/>
      </c>
      <c r="W1595" s="314" t="str" cm="1">
        <f t="array" aca="1" ref="W1595" ca="1">IFERROR(IF(AE1595&lt;&gt;"ja",_xlfn.IFNA(_xlfn.IFS(AND(O1595&lt;&gt;"",F1595&lt;&gt;"",RIGHT($N1595,6)="tarief",F1595="Vergoeding"),SUM(O1595)*FLOOR(SUM(Q1595),0.0001),AND(O1595&lt;&gt;"",F1595&lt;&gt;"",RIGHT($N1595,6)="tarief"),SUM(O1595)*FLOOR(SUM(Q1595),0.01),S1595&gt;0,IF(F1595&lt;&gt;"",FLOOR(SUM(S1595),0.01),"")),""),""),"")</f>
        <v/>
      </c>
      <c r="X1595" s="314" t="str" cm="1">
        <f t="array" aca="1" ref="X1595" ca="1">IFERROR(IF(AE1595&lt;&gt;"ja",_xlfn.IFNA(_xlfn.IFS(AND(P1595&lt;&gt;"",R1595&lt;&gt;"",RIGHT($N1595,6)="tarief",F1595="Vergoeding"),SUM(P1595)*FLOOR(SUM(R1595),0.0001),AND(P1595&lt;&gt;"",R1595&lt;&gt;"",RIGHT($N1595,6)="tarief"),P1595*FLOOR(R1595,0.01),T1595&gt;0,FLOOR(SUM(T1595),0.01)),""),""),"")</f>
        <v/>
      </c>
      <c r="Y1595" s="314" t="str">
        <f t="shared" ca="1" si="98"/>
        <v/>
      </c>
      <c r="Z1595" s="314" t="str" cm="1">
        <f t="array" aca="1" ref="Z1595" ca="1">IFERROR(_xlfn.IFS(OR(F1595="",LEFT(Methode_Keuze,4)="Geen",Methode_Keuze=""),"",AND(W1595&lt;&gt;"",F1595&lt;&gt;"Arbeidskosten"),W1595*VLOOKUP(F1595,Tb_ProjectKosten[],MATCH(Tb_ProjectKosten[[#Headers],[Forfait_Percentage]],Tb_ProjectKosten[#Headers],0),0),AND(F1595="Arbeidskosten",G1595&lt;&gt;""),IFERROR(W1595*VLOOKUP(G1595,Tb_KostenTypen[],3,0)*VLOOKUP(F1595,Tb_ProjectKosten[],MATCH(Tb_ProjectKosten[[#Headers],[Forfait_Percentage]],Tb_ProjectKosten[#Headers],0),0),""),W1595 &lt;=0,0),"")</f>
        <v/>
      </c>
      <c r="AA1595" s="314" t="str" cm="1">
        <f t="array" aca="1" ref="AA1595" ca="1">IFERROR(_xlfn.IFS(OR(F1595="",LEFT(Methode_Keuze,4)="Geen",Methode_Keuze=""),"",AND(X1595&lt;&gt;"",F1595&lt;&gt;"Arbeidskosten"),X1595*VLOOKUP(F1595,Tb_ProjectKosten[],MATCH(Tb_ProjectKosten[[#Headers],[Forfait_Percentage]],Tb_ProjectKosten[#Headers],0),0),AND(F1595="Arbeidskosten",G1595&lt;&gt;""),IFERROR(X1595*VLOOKUP(G1595,Tb_KostenTypen[],3,0)*VLOOKUP(F1595,Tb_ProjectKosten[],MATCH(Tb_ProjectKosten[[#Headers],[Forfait_Percentage]],Tb_ProjectKosten[#Headers],0),0),""),X1595 &lt;=0,0),"")</f>
        <v/>
      </c>
      <c r="AB1595" s="314" t="str">
        <f t="shared" ca="1" si="99"/>
        <v/>
      </c>
      <c r="AC1595" s="322"/>
      <c r="AD1595" s="315"/>
      <c r="AE1595" s="32" t="str" cm="1">
        <f t="array" ref="AE1595">IFERROR(IF(INDEX(SubsidieTabel!$AD$1:$AG$12,MATCH($F1595,SubsidieTabel!$AD$1:$AD$12,0),IFERROR(MATCH(Methode_Keuze,SubsidieTabel!$AD$1:$AG$1,0),2))&lt;&gt;1=TRUE,"ja",""),"")</f>
        <v/>
      </c>
    </row>
    <row r="1596" spans="1:31" x14ac:dyDescent="0.25">
      <c r="A1596" s="316"/>
      <c r="B1596" s="317" t="str">
        <f>IF(A1596&lt;&gt;"",_xlfn.MAXIFS($B$1:B1595,$A$1:A1595,A1596)+1,"")</f>
        <v/>
      </c>
      <c r="C1596" s="296"/>
      <c r="D1596" s="296"/>
      <c r="E1596" s="296"/>
      <c r="F1596" s="296"/>
      <c r="G1596" s="326"/>
      <c r="H1596" s="324"/>
      <c r="I1596" s="325"/>
      <c r="J1596" s="325"/>
      <c r="K1596" s="318"/>
      <c r="L1596" s="318"/>
      <c r="M1596" s="319" t="str">
        <f>IFERROR(VLOOKUP(H1596,Lijsten!$H$1:$I$100,2,0),"")</f>
        <v/>
      </c>
      <c r="N1596" s="319" t="str">
        <f ca="1">IFERROR(IF(VLOOKUP(F1596,Kostentypen!$A$3:$E$21,3,0)=0,"",IF(OR(F1596="Arbeidskosten",F1596="Vergoeding"),VLOOKUP(G1596,Tb_KostenTypen[],2,0),VLOOKUP(F1596,Kostentypen!$A$3:$E$20,3,0))),"")</f>
        <v/>
      </c>
      <c r="O1596" s="320" t="str" cm="1">
        <f t="array" ref="O1596">_xlfn.IFNA(IF(INDEX(Tb_KostenOptiesDB[],MATCH($F1596,Tb_KostenOptiesDB[KostenOptie],0),IFERROR(MATCH(Methode_Keuze,Tb_KostenOptiesDB[#Headers],0),2))=1,_xlfn.SWITCH($N1596,"Uurtarief",IF(OR(AND(RIGHT($F1596,3)="IKS",VLOOKUP($M1596,DB_Loonkosten,2,0)="Ja"),AND(RIGHT($F1596,3)&lt;&gt;"IKS",VLOOKUP($M1596,DB_Loonkosten,2,0)="Nee")),IFERROR(VLOOKUP($M1596,DB_Loonkosten,24,0),""),0),"Vast tarief",IF(LEFT(F1596,8)="Bijdrage",VLOOKUP($F1596,Tb_KostenTypen[],MATCH(Lijsten!$P$1,Tb_KostenTypen[#Headers],0),0),VLOOKUP($G1596,Lijsten!L:P,MATCH(Lijsten!$P$1,Kop_Tarief_Vast,0),0))),""),"")</f>
        <v/>
      </c>
      <c r="P1596" s="320" t="str" cm="1">
        <f t="array" ref="P1596">_xlfn.IFNA(IF(INDEX(Tb_KostenOptiesDB[],MATCH($F1596,Tb_KostenOptiesDB[KostenOptie],0),IFERROR(MATCH(Methode_Keuze,Tb_KostenOptiesDB[#Headers],0),2))=1,_xlfn.SWITCH($N1596,"Uurtarief",IF(OR(AND(RIGHT($F1596,3)="IKS",VLOOKUP($M1596,DB_Loonkosten,2,0)="Ja"),AND(RIGHT($F1596,3)&lt;&gt;"IKS",VLOOKUP($M1596,DB_Loonkosten,2,0)="Nee")),IFERROR(VLOOKUP($M1596,DB_Loonkosten,25,0),""),0),"Vast tarief",IF(LEFT(F1596,8)="Bijdrage",VLOOKUP($F1596,Tb_KostenTypen[],MATCH(Lijsten!$P$1,Tb_KostenTypen[#Headers],0),0),VLOOKUP($G1596,Lijsten!L:P,MATCH(Lijsten!$P$1,Kop_Tarief_Vast,0),0))),""),"")</f>
        <v/>
      </c>
      <c r="Q1596" s="359"/>
      <c r="R1596" s="359"/>
      <c r="S1596" s="321"/>
      <c r="T1596" s="321"/>
      <c r="U1596" s="373" t="str">
        <f t="shared" si="96"/>
        <v/>
      </c>
      <c r="V1596" s="314" t="str">
        <f t="shared" si="97"/>
        <v/>
      </c>
      <c r="W1596" s="314" t="str" cm="1">
        <f t="array" aca="1" ref="W1596" ca="1">IFERROR(IF(AE1596&lt;&gt;"ja",_xlfn.IFNA(_xlfn.IFS(AND(O1596&lt;&gt;"",F1596&lt;&gt;"",RIGHT($N1596,6)="tarief",F1596="Vergoeding"),SUM(O1596)*FLOOR(SUM(Q1596),0.0001),AND(O1596&lt;&gt;"",F1596&lt;&gt;"",RIGHT($N1596,6)="tarief"),SUM(O1596)*FLOOR(SUM(Q1596),0.01),S1596&gt;0,IF(F1596&lt;&gt;"",FLOOR(SUM(S1596),0.01),"")),""),""),"")</f>
        <v/>
      </c>
      <c r="X1596" s="314" t="str" cm="1">
        <f t="array" aca="1" ref="X1596" ca="1">IFERROR(IF(AE1596&lt;&gt;"ja",_xlfn.IFNA(_xlfn.IFS(AND(P1596&lt;&gt;"",R1596&lt;&gt;"",RIGHT($N1596,6)="tarief",F1596="Vergoeding"),SUM(P1596)*FLOOR(SUM(R1596),0.0001),AND(P1596&lt;&gt;"",R1596&lt;&gt;"",RIGHT($N1596,6)="tarief"),P1596*FLOOR(R1596,0.01),T1596&gt;0,FLOOR(SUM(T1596),0.01)),""),""),"")</f>
        <v/>
      </c>
      <c r="Y1596" s="314" t="str">
        <f t="shared" ca="1" si="98"/>
        <v/>
      </c>
      <c r="Z1596" s="314" t="str" cm="1">
        <f t="array" aca="1" ref="Z1596" ca="1">IFERROR(_xlfn.IFS(OR(F1596="",LEFT(Methode_Keuze,4)="Geen",Methode_Keuze=""),"",AND(W1596&lt;&gt;"",F1596&lt;&gt;"Arbeidskosten"),W1596*VLOOKUP(F1596,Tb_ProjectKosten[],MATCH(Tb_ProjectKosten[[#Headers],[Forfait_Percentage]],Tb_ProjectKosten[#Headers],0),0),AND(F1596="Arbeidskosten",G1596&lt;&gt;""),IFERROR(W1596*VLOOKUP(G1596,Tb_KostenTypen[],3,0)*VLOOKUP(F1596,Tb_ProjectKosten[],MATCH(Tb_ProjectKosten[[#Headers],[Forfait_Percentage]],Tb_ProjectKosten[#Headers],0),0),""),W1596 &lt;=0,0),"")</f>
        <v/>
      </c>
      <c r="AA1596" s="314" t="str" cm="1">
        <f t="array" aca="1" ref="AA1596" ca="1">IFERROR(_xlfn.IFS(OR(F1596="",LEFT(Methode_Keuze,4)="Geen",Methode_Keuze=""),"",AND(X1596&lt;&gt;"",F1596&lt;&gt;"Arbeidskosten"),X1596*VLOOKUP(F1596,Tb_ProjectKosten[],MATCH(Tb_ProjectKosten[[#Headers],[Forfait_Percentage]],Tb_ProjectKosten[#Headers],0),0),AND(F1596="Arbeidskosten",G1596&lt;&gt;""),IFERROR(X1596*VLOOKUP(G1596,Tb_KostenTypen[],3,0)*VLOOKUP(F1596,Tb_ProjectKosten[],MATCH(Tb_ProjectKosten[[#Headers],[Forfait_Percentage]],Tb_ProjectKosten[#Headers],0),0),""),X1596 &lt;=0,0),"")</f>
        <v/>
      </c>
      <c r="AB1596" s="314" t="str">
        <f t="shared" ca="1" si="99"/>
        <v/>
      </c>
      <c r="AC1596" s="322"/>
      <c r="AD1596" s="315"/>
      <c r="AE1596" s="32" t="str" cm="1">
        <f t="array" ref="AE1596">IFERROR(IF(INDEX(SubsidieTabel!$AD$1:$AG$12,MATCH($F1596,SubsidieTabel!$AD$1:$AD$12,0),IFERROR(MATCH(Methode_Keuze,SubsidieTabel!$AD$1:$AG$1,0),2))&lt;&gt;1=TRUE,"ja",""),"")</f>
        <v/>
      </c>
    </row>
    <row r="1597" spans="1:31" x14ac:dyDescent="0.25">
      <c r="A1597" s="316"/>
      <c r="B1597" s="317" t="str">
        <f>IF(A1597&lt;&gt;"",_xlfn.MAXIFS($B$1:B1596,$A$1:A1596,A1597)+1,"")</f>
        <v/>
      </c>
      <c r="C1597" s="296"/>
      <c r="D1597" s="296"/>
      <c r="E1597" s="296"/>
      <c r="F1597" s="296"/>
      <c r="G1597" s="326"/>
      <c r="H1597" s="324"/>
      <c r="I1597" s="325"/>
      <c r="J1597" s="325"/>
      <c r="K1597" s="318"/>
      <c r="L1597" s="318"/>
      <c r="M1597" s="319" t="str">
        <f>IFERROR(VLOOKUP(H1597,Lijsten!$H$1:$I$100,2,0),"")</f>
        <v/>
      </c>
      <c r="N1597" s="319" t="str">
        <f ca="1">IFERROR(IF(VLOOKUP(F1597,Kostentypen!$A$3:$E$21,3,0)=0,"",IF(OR(F1597="Arbeidskosten",F1597="Vergoeding"),VLOOKUP(G1597,Tb_KostenTypen[],2,0),VLOOKUP(F1597,Kostentypen!$A$3:$E$20,3,0))),"")</f>
        <v/>
      </c>
      <c r="O1597" s="320" t="str" cm="1">
        <f t="array" ref="O1597">_xlfn.IFNA(IF(INDEX(Tb_KostenOptiesDB[],MATCH($F1597,Tb_KostenOptiesDB[KostenOptie],0),IFERROR(MATCH(Methode_Keuze,Tb_KostenOptiesDB[#Headers],0),2))=1,_xlfn.SWITCH($N1597,"Uurtarief",IF(OR(AND(RIGHT($F1597,3)="IKS",VLOOKUP($M1597,DB_Loonkosten,2,0)="Ja"),AND(RIGHT($F1597,3)&lt;&gt;"IKS",VLOOKUP($M1597,DB_Loonkosten,2,0)="Nee")),IFERROR(VLOOKUP($M1597,DB_Loonkosten,24,0),""),0),"Vast tarief",IF(LEFT(F1597,8)="Bijdrage",VLOOKUP($F1597,Tb_KostenTypen[],MATCH(Lijsten!$P$1,Tb_KostenTypen[#Headers],0),0),VLOOKUP($G1597,Lijsten!L:P,MATCH(Lijsten!$P$1,Kop_Tarief_Vast,0),0))),""),"")</f>
        <v/>
      </c>
      <c r="P1597" s="320" t="str" cm="1">
        <f t="array" ref="P1597">_xlfn.IFNA(IF(INDEX(Tb_KostenOptiesDB[],MATCH($F1597,Tb_KostenOptiesDB[KostenOptie],0),IFERROR(MATCH(Methode_Keuze,Tb_KostenOptiesDB[#Headers],0),2))=1,_xlfn.SWITCH($N1597,"Uurtarief",IF(OR(AND(RIGHT($F1597,3)="IKS",VLOOKUP($M1597,DB_Loonkosten,2,0)="Ja"),AND(RIGHT($F1597,3)&lt;&gt;"IKS",VLOOKUP($M1597,DB_Loonkosten,2,0)="Nee")),IFERROR(VLOOKUP($M1597,DB_Loonkosten,25,0),""),0),"Vast tarief",IF(LEFT(F1597,8)="Bijdrage",VLOOKUP($F1597,Tb_KostenTypen[],MATCH(Lijsten!$P$1,Tb_KostenTypen[#Headers],0),0),VLOOKUP($G1597,Lijsten!L:P,MATCH(Lijsten!$P$1,Kop_Tarief_Vast,0),0))),""),"")</f>
        <v/>
      </c>
      <c r="Q1597" s="359"/>
      <c r="R1597" s="359"/>
      <c r="S1597" s="321"/>
      <c r="T1597" s="321"/>
      <c r="U1597" s="373" t="str">
        <f t="shared" si="96"/>
        <v/>
      </c>
      <c r="V1597" s="314" t="str">
        <f t="shared" si="97"/>
        <v/>
      </c>
      <c r="W1597" s="314" t="str" cm="1">
        <f t="array" aca="1" ref="W1597" ca="1">IFERROR(IF(AE1597&lt;&gt;"ja",_xlfn.IFNA(_xlfn.IFS(AND(O1597&lt;&gt;"",F1597&lt;&gt;"",RIGHT($N1597,6)="tarief",F1597="Vergoeding"),SUM(O1597)*FLOOR(SUM(Q1597),0.0001),AND(O1597&lt;&gt;"",F1597&lt;&gt;"",RIGHT($N1597,6)="tarief"),SUM(O1597)*FLOOR(SUM(Q1597),0.01),S1597&gt;0,IF(F1597&lt;&gt;"",FLOOR(SUM(S1597),0.01),"")),""),""),"")</f>
        <v/>
      </c>
      <c r="X1597" s="314" t="str" cm="1">
        <f t="array" aca="1" ref="X1597" ca="1">IFERROR(IF(AE1597&lt;&gt;"ja",_xlfn.IFNA(_xlfn.IFS(AND(P1597&lt;&gt;"",R1597&lt;&gt;"",RIGHT($N1597,6)="tarief",F1597="Vergoeding"),SUM(P1597)*FLOOR(SUM(R1597),0.0001),AND(P1597&lt;&gt;"",R1597&lt;&gt;"",RIGHT($N1597,6)="tarief"),P1597*FLOOR(R1597,0.01),T1597&gt;0,FLOOR(SUM(T1597),0.01)),""),""),"")</f>
        <v/>
      </c>
      <c r="Y1597" s="314" t="str">
        <f t="shared" ca="1" si="98"/>
        <v/>
      </c>
      <c r="Z1597" s="314" t="str" cm="1">
        <f t="array" aca="1" ref="Z1597" ca="1">IFERROR(_xlfn.IFS(OR(F1597="",LEFT(Methode_Keuze,4)="Geen",Methode_Keuze=""),"",AND(W1597&lt;&gt;"",F1597&lt;&gt;"Arbeidskosten"),W1597*VLOOKUP(F1597,Tb_ProjectKosten[],MATCH(Tb_ProjectKosten[[#Headers],[Forfait_Percentage]],Tb_ProjectKosten[#Headers],0),0),AND(F1597="Arbeidskosten",G1597&lt;&gt;""),IFERROR(W1597*VLOOKUP(G1597,Tb_KostenTypen[],3,0)*VLOOKUP(F1597,Tb_ProjectKosten[],MATCH(Tb_ProjectKosten[[#Headers],[Forfait_Percentage]],Tb_ProjectKosten[#Headers],0),0),""),W1597 &lt;=0,0),"")</f>
        <v/>
      </c>
      <c r="AA1597" s="314" t="str" cm="1">
        <f t="array" aca="1" ref="AA1597" ca="1">IFERROR(_xlfn.IFS(OR(F1597="",LEFT(Methode_Keuze,4)="Geen",Methode_Keuze=""),"",AND(X1597&lt;&gt;"",F1597&lt;&gt;"Arbeidskosten"),X1597*VLOOKUP(F1597,Tb_ProjectKosten[],MATCH(Tb_ProjectKosten[[#Headers],[Forfait_Percentage]],Tb_ProjectKosten[#Headers],0),0),AND(F1597="Arbeidskosten",G1597&lt;&gt;""),IFERROR(X1597*VLOOKUP(G1597,Tb_KostenTypen[],3,0)*VLOOKUP(F1597,Tb_ProjectKosten[],MATCH(Tb_ProjectKosten[[#Headers],[Forfait_Percentage]],Tb_ProjectKosten[#Headers],0),0),""),X1597 &lt;=0,0),"")</f>
        <v/>
      </c>
      <c r="AB1597" s="314" t="str">
        <f t="shared" ca="1" si="99"/>
        <v/>
      </c>
      <c r="AC1597" s="322"/>
      <c r="AD1597" s="315"/>
      <c r="AE1597" s="32" t="str" cm="1">
        <f t="array" ref="AE1597">IFERROR(IF(INDEX(SubsidieTabel!$AD$1:$AG$12,MATCH($F1597,SubsidieTabel!$AD$1:$AD$12,0),IFERROR(MATCH(Methode_Keuze,SubsidieTabel!$AD$1:$AG$1,0),2))&lt;&gt;1=TRUE,"ja",""),"")</f>
        <v/>
      </c>
    </row>
    <row r="1598" spans="1:31" x14ac:dyDescent="0.25">
      <c r="A1598" s="316"/>
      <c r="B1598" s="317" t="str">
        <f>IF(A1598&lt;&gt;"",_xlfn.MAXIFS($B$1:B1597,$A$1:A1597,A1598)+1,"")</f>
        <v/>
      </c>
      <c r="C1598" s="296"/>
      <c r="D1598" s="296"/>
      <c r="E1598" s="296"/>
      <c r="F1598" s="296"/>
      <c r="G1598" s="326"/>
      <c r="H1598" s="324"/>
      <c r="I1598" s="325"/>
      <c r="J1598" s="325"/>
      <c r="K1598" s="318"/>
      <c r="L1598" s="318"/>
      <c r="M1598" s="319" t="str">
        <f>IFERROR(VLOOKUP(H1598,Lijsten!$H$1:$I$100,2,0),"")</f>
        <v/>
      </c>
      <c r="N1598" s="319" t="str">
        <f ca="1">IFERROR(IF(VLOOKUP(F1598,Kostentypen!$A$3:$E$21,3,0)=0,"",IF(OR(F1598="Arbeidskosten",F1598="Vergoeding"),VLOOKUP(G1598,Tb_KostenTypen[],2,0),VLOOKUP(F1598,Kostentypen!$A$3:$E$20,3,0))),"")</f>
        <v/>
      </c>
      <c r="O1598" s="320" t="str" cm="1">
        <f t="array" ref="O1598">_xlfn.IFNA(IF(INDEX(Tb_KostenOptiesDB[],MATCH($F1598,Tb_KostenOptiesDB[KostenOptie],0),IFERROR(MATCH(Methode_Keuze,Tb_KostenOptiesDB[#Headers],0),2))=1,_xlfn.SWITCH($N1598,"Uurtarief",IF(OR(AND(RIGHT($F1598,3)="IKS",VLOOKUP($M1598,DB_Loonkosten,2,0)="Ja"),AND(RIGHT($F1598,3)&lt;&gt;"IKS",VLOOKUP($M1598,DB_Loonkosten,2,0)="Nee")),IFERROR(VLOOKUP($M1598,DB_Loonkosten,24,0),""),0),"Vast tarief",IF(LEFT(F1598,8)="Bijdrage",VLOOKUP($F1598,Tb_KostenTypen[],MATCH(Lijsten!$P$1,Tb_KostenTypen[#Headers],0),0),VLOOKUP($G1598,Lijsten!L:P,MATCH(Lijsten!$P$1,Kop_Tarief_Vast,0),0))),""),"")</f>
        <v/>
      </c>
      <c r="P1598" s="320" t="str" cm="1">
        <f t="array" ref="P1598">_xlfn.IFNA(IF(INDEX(Tb_KostenOptiesDB[],MATCH($F1598,Tb_KostenOptiesDB[KostenOptie],0),IFERROR(MATCH(Methode_Keuze,Tb_KostenOptiesDB[#Headers],0),2))=1,_xlfn.SWITCH($N1598,"Uurtarief",IF(OR(AND(RIGHT($F1598,3)="IKS",VLOOKUP($M1598,DB_Loonkosten,2,0)="Ja"),AND(RIGHT($F1598,3)&lt;&gt;"IKS",VLOOKUP($M1598,DB_Loonkosten,2,0)="Nee")),IFERROR(VLOOKUP($M1598,DB_Loonkosten,25,0),""),0),"Vast tarief",IF(LEFT(F1598,8)="Bijdrage",VLOOKUP($F1598,Tb_KostenTypen[],MATCH(Lijsten!$P$1,Tb_KostenTypen[#Headers],0),0),VLOOKUP($G1598,Lijsten!L:P,MATCH(Lijsten!$P$1,Kop_Tarief_Vast,0),0))),""),"")</f>
        <v/>
      </c>
      <c r="Q1598" s="359"/>
      <c r="R1598" s="359"/>
      <c r="S1598" s="321"/>
      <c r="T1598" s="321"/>
      <c r="U1598" s="373" t="str">
        <f t="shared" si="96"/>
        <v/>
      </c>
      <c r="V1598" s="314" t="str">
        <f t="shared" si="97"/>
        <v/>
      </c>
      <c r="W1598" s="314" t="str" cm="1">
        <f t="array" aca="1" ref="W1598" ca="1">IFERROR(IF(AE1598&lt;&gt;"ja",_xlfn.IFNA(_xlfn.IFS(AND(O1598&lt;&gt;"",F1598&lt;&gt;"",RIGHT($N1598,6)="tarief",F1598="Vergoeding"),SUM(O1598)*FLOOR(SUM(Q1598),0.0001),AND(O1598&lt;&gt;"",F1598&lt;&gt;"",RIGHT($N1598,6)="tarief"),SUM(O1598)*FLOOR(SUM(Q1598),0.01),S1598&gt;0,IF(F1598&lt;&gt;"",FLOOR(SUM(S1598),0.01),"")),""),""),"")</f>
        <v/>
      </c>
      <c r="X1598" s="314" t="str" cm="1">
        <f t="array" aca="1" ref="X1598" ca="1">IFERROR(IF(AE1598&lt;&gt;"ja",_xlfn.IFNA(_xlfn.IFS(AND(P1598&lt;&gt;"",R1598&lt;&gt;"",RIGHT($N1598,6)="tarief",F1598="Vergoeding"),SUM(P1598)*FLOOR(SUM(R1598),0.0001),AND(P1598&lt;&gt;"",R1598&lt;&gt;"",RIGHT($N1598,6)="tarief"),P1598*FLOOR(R1598,0.01),T1598&gt;0,FLOOR(SUM(T1598),0.01)),""),""),"")</f>
        <v/>
      </c>
      <c r="Y1598" s="314" t="str">
        <f t="shared" ca="1" si="98"/>
        <v/>
      </c>
      <c r="Z1598" s="314" t="str" cm="1">
        <f t="array" aca="1" ref="Z1598" ca="1">IFERROR(_xlfn.IFS(OR(F1598="",LEFT(Methode_Keuze,4)="Geen",Methode_Keuze=""),"",AND(W1598&lt;&gt;"",F1598&lt;&gt;"Arbeidskosten"),W1598*VLOOKUP(F1598,Tb_ProjectKosten[],MATCH(Tb_ProjectKosten[[#Headers],[Forfait_Percentage]],Tb_ProjectKosten[#Headers],0),0),AND(F1598="Arbeidskosten",G1598&lt;&gt;""),IFERROR(W1598*VLOOKUP(G1598,Tb_KostenTypen[],3,0)*VLOOKUP(F1598,Tb_ProjectKosten[],MATCH(Tb_ProjectKosten[[#Headers],[Forfait_Percentage]],Tb_ProjectKosten[#Headers],0),0),""),W1598 &lt;=0,0),"")</f>
        <v/>
      </c>
      <c r="AA1598" s="314" t="str" cm="1">
        <f t="array" aca="1" ref="AA1598" ca="1">IFERROR(_xlfn.IFS(OR(F1598="",LEFT(Methode_Keuze,4)="Geen",Methode_Keuze=""),"",AND(X1598&lt;&gt;"",F1598&lt;&gt;"Arbeidskosten"),X1598*VLOOKUP(F1598,Tb_ProjectKosten[],MATCH(Tb_ProjectKosten[[#Headers],[Forfait_Percentage]],Tb_ProjectKosten[#Headers],0),0),AND(F1598="Arbeidskosten",G1598&lt;&gt;""),IFERROR(X1598*VLOOKUP(G1598,Tb_KostenTypen[],3,0)*VLOOKUP(F1598,Tb_ProjectKosten[],MATCH(Tb_ProjectKosten[[#Headers],[Forfait_Percentage]],Tb_ProjectKosten[#Headers],0),0),""),X1598 &lt;=0,0),"")</f>
        <v/>
      </c>
      <c r="AB1598" s="314" t="str">
        <f t="shared" ca="1" si="99"/>
        <v/>
      </c>
      <c r="AC1598" s="322"/>
      <c r="AD1598" s="315"/>
      <c r="AE1598" s="32" t="str" cm="1">
        <f t="array" ref="AE1598">IFERROR(IF(INDEX(SubsidieTabel!$AD$1:$AG$12,MATCH($F1598,SubsidieTabel!$AD$1:$AD$12,0),IFERROR(MATCH(Methode_Keuze,SubsidieTabel!$AD$1:$AG$1,0),2))&lt;&gt;1=TRUE,"ja",""),"")</f>
        <v/>
      </c>
    </row>
    <row r="1599" spans="1:31" x14ac:dyDescent="0.25">
      <c r="A1599" s="316"/>
      <c r="B1599" s="317" t="str">
        <f>IF(A1599&lt;&gt;"",_xlfn.MAXIFS($B$1:B1598,$A$1:A1598,A1599)+1,"")</f>
        <v/>
      </c>
      <c r="C1599" s="296"/>
      <c r="D1599" s="296"/>
      <c r="E1599" s="296"/>
      <c r="F1599" s="296"/>
      <c r="G1599" s="326"/>
      <c r="H1599" s="324"/>
      <c r="I1599" s="325"/>
      <c r="J1599" s="325"/>
      <c r="K1599" s="318"/>
      <c r="L1599" s="318"/>
      <c r="M1599" s="319" t="str">
        <f>IFERROR(VLOOKUP(H1599,Lijsten!$H$1:$I$100,2,0),"")</f>
        <v/>
      </c>
      <c r="N1599" s="319" t="str">
        <f ca="1">IFERROR(IF(VLOOKUP(F1599,Kostentypen!$A$3:$E$21,3,0)=0,"",IF(OR(F1599="Arbeidskosten",F1599="Vergoeding"),VLOOKUP(G1599,Tb_KostenTypen[],2,0),VLOOKUP(F1599,Kostentypen!$A$3:$E$20,3,0))),"")</f>
        <v/>
      </c>
      <c r="O1599" s="320" t="str" cm="1">
        <f t="array" ref="O1599">_xlfn.IFNA(IF(INDEX(Tb_KostenOptiesDB[],MATCH($F1599,Tb_KostenOptiesDB[KostenOptie],0),IFERROR(MATCH(Methode_Keuze,Tb_KostenOptiesDB[#Headers],0),2))=1,_xlfn.SWITCH($N1599,"Uurtarief",IF(OR(AND(RIGHT($F1599,3)="IKS",VLOOKUP($M1599,DB_Loonkosten,2,0)="Ja"),AND(RIGHT($F1599,3)&lt;&gt;"IKS",VLOOKUP($M1599,DB_Loonkosten,2,0)="Nee")),IFERROR(VLOOKUP($M1599,DB_Loonkosten,24,0),""),0),"Vast tarief",IF(LEFT(F1599,8)="Bijdrage",VLOOKUP($F1599,Tb_KostenTypen[],MATCH(Lijsten!$P$1,Tb_KostenTypen[#Headers],0),0),VLOOKUP($G1599,Lijsten!L:P,MATCH(Lijsten!$P$1,Kop_Tarief_Vast,0),0))),""),"")</f>
        <v/>
      </c>
      <c r="P1599" s="320" t="str" cm="1">
        <f t="array" ref="P1599">_xlfn.IFNA(IF(INDEX(Tb_KostenOptiesDB[],MATCH($F1599,Tb_KostenOptiesDB[KostenOptie],0),IFERROR(MATCH(Methode_Keuze,Tb_KostenOptiesDB[#Headers],0),2))=1,_xlfn.SWITCH($N1599,"Uurtarief",IF(OR(AND(RIGHT($F1599,3)="IKS",VLOOKUP($M1599,DB_Loonkosten,2,0)="Ja"),AND(RIGHT($F1599,3)&lt;&gt;"IKS",VLOOKUP($M1599,DB_Loonkosten,2,0)="Nee")),IFERROR(VLOOKUP($M1599,DB_Loonkosten,25,0),""),0),"Vast tarief",IF(LEFT(F1599,8)="Bijdrage",VLOOKUP($F1599,Tb_KostenTypen[],MATCH(Lijsten!$P$1,Tb_KostenTypen[#Headers],0),0),VLOOKUP($G1599,Lijsten!L:P,MATCH(Lijsten!$P$1,Kop_Tarief_Vast,0),0))),""),"")</f>
        <v/>
      </c>
      <c r="Q1599" s="359"/>
      <c r="R1599" s="359"/>
      <c r="S1599" s="321"/>
      <c r="T1599" s="321"/>
      <c r="U1599" s="373" t="str">
        <f t="shared" si="96"/>
        <v/>
      </c>
      <c r="V1599" s="314" t="str">
        <f t="shared" si="97"/>
        <v/>
      </c>
      <c r="W1599" s="314" t="str" cm="1">
        <f t="array" aca="1" ref="W1599" ca="1">IFERROR(IF(AE1599&lt;&gt;"ja",_xlfn.IFNA(_xlfn.IFS(AND(O1599&lt;&gt;"",F1599&lt;&gt;"",RIGHT($N1599,6)="tarief",F1599="Vergoeding"),SUM(O1599)*FLOOR(SUM(Q1599),0.0001),AND(O1599&lt;&gt;"",F1599&lt;&gt;"",RIGHT($N1599,6)="tarief"),SUM(O1599)*FLOOR(SUM(Q1599),0.01),S1599&gt;0,IF(F1599&lt;&gt;"",FLOOR(SUM(S1599),0.01),"")),""),""),"")</f>
        <v/>
      </c>
      <c r="X1599" s="314" t="str" cm="1">
        <f t="array" aca="1" ref="X1599" ca="1">IFERROR(IF(AE1599&lt;&gt;"ja",_xlfn.IFNA(_xlfn.IFS(AND(P1599&lt;&gt;"",R1599&lt;&gt;"",RIGHT($N1599,6)="tarief",F1599="Vergoeding"),SUM(P1599)*FLOOR(SUM(R1599),0.0001),AND(P1599&lt;&gt;"",R1599&lt;&gt;"",RIGHT($N1599,6)="tarief"),P1599*FLOOR(R1599,0.01),T1599&gt;0,FLOOR(SUM(T1599),0.01)),""),""),"")</f>
        <v/>
      </c>
      <c r="Y1599" s="314" t="str">
        <f t="shared" ca="1" si="98"/>
        <v/>
      </c>
      <c r="Z1599" s="314" t="str" cm="1">
        <f t="array" aca="1" ref="Z1599" ca="1">IFERROR(_xlfn.IFS(OR(F1599="",LEFT(Methode_Keuze,4)="Geen",Methode_Keuze=""),"",AND(W1599&lt;&gt;"",F1599&lt;&gt;"Arbeidskosten"),W1599*VLOOKUP(F1599,Tb_ProjectKosten[],MATCH(Tb_ProjectKosten[[#Headers],[Forfait_Percentage]],Tb_ProjectKosten[#Headers],0),0),AND(F1599="Arbeidskosten",G1599&lt;&gt;""),IFERROR(W1599*VLOOKUP(G1599,Tb_KostenTypen[],3,0)*VLOOKUP(F1599,Tb_ProjectKosten[],MATCH(Tb_ProjectKosten[[#Headers],[Forfait_Percentage]],Tb_ProjectKosten[#Headers],0),0),""),W1599 &lt;=0,0),"")</f>
        <v/>
      </c>
      <c r="AA1599" s="314" t="str" cm="1">
        <f t="array" aca="1" ref="AA1599" ca="1">IFERROR(_xlfn.IFS(OR(F1599="",LEFT(Methode_Keuze,4)="Geen",Methode_Keuze=""),"",AND(X1599&lt;&gt;"",F1599&lt;&gt;"Arbeidskosten"),X1599*VLOOKUP(F1599,Tb_ProjectKosten[],MATCH(Tb_ProjectKosten[[#Headers],[Forfait_Percentage]],Tb_ProjectKosten[#Headers],0),0),AND(F1599="Arbeidskosten",G1599&lt;&gt;""),IFERROR(X1599*VLOOKUP(G1599,Tb_KostenTypen[],3,0)*VLOOKUP(F1599,Tb_ProjectKosten[],MATCH(Tb_ProjectKosten[[#Headers],[Forfait_Percentage]],Tb_ProjectKosten[#Headers],0),0),""),X1599 &lt;=0,0),"")</f>
        <v/>
      </c>
      <c r="AB1599" s="314" t="str">
        <f t="shared" ca="1" si="99"/>
        <v/>
      </c>
      <c r="AC1599" s="322"/>
      <c r="AD1599" s="315"/>
      <c r="AE1599" s="32" t="str" cm="1">
        <f t="array" ref="AE1599">IFERROR(IF(INDEX(SubsidieTabel!$AD$1:$AG$12,MATCH($F1599,SubsidieTabel!$AD$1:$AD$12,0),IFERROR(MATCH(Methode_Keuze,SubsidieTabel!$AD$1:$AG$1,0),2))&lt;&gt;1=TRUE,"ja",""),"")</f>
        <v/>
      </c>
    </row>
    <row r="1600" spans="1:31" x14ac:dyDescent="0.25">
      <c r="A1600" s="316"/>
      <c r="B1600" s="317" t="str">
        <f>IF(A1600&lt;&gt;"",_xlfn.MAXIFS($B$1:B1599,$A$1:A1599,A1600)+1,"")</f>
        <v/>
      </c>
      <c r="C1600" s="296"/>
      <c r="D1600" s="296"/>
      <c r="E1600" s="296"/>
      <c r="F1600" s="296"/>
      <c r="G1600" s="326"/>
      <c r="H1600" s="324"/>
      <c r="I1600" s="325"/>
      <c r="J1600" s="325"/>
      <c r="K1600" s="318"/>
      <c r="L1600" s="318"/>
      <c r="M1600" s="319" t="str">
        <f>IFERROR(VLOOKUP(H1600,Lijsten!$H$1:$I$100,2,0),"")</f>
        <v/>
      </c>
      <c r="N1600" s="319" t="str">
        <f ca="1">IFERROR(IF(VLOOKUP(F1600,Kostentypen!$A$3:$E$21,3,0)=0,"",IF(OR(F1600="Arbeidskosten",F1600="Vergoeding"),VLOOKUP(G1600,Tb_KostenTypen[],2,0),VLOOKUP(F1600,Kostentypen!$A$3:$E$20,3,0))),"")</f>
        <v/>
      </c>
      <c r="O1600" s="320" t="str" cm="1">
        <f t="array" ref="O1600">_xlfn.IFNA(IF(INDEX(Tb_KostenOptiesDB[],MATCH($F1600,Tb_KostenOptiesDB[KostenOptie],0),IFERROR(MATCH(Methode_Keuze,Tb_KostenOptiesDB[#Headers],0),2))=1,_xlfn.SWITCH($N1600,"Uurtarief",IF(OR(AND(RIGHT($F1600,3)="IKS",VLOOKUP($M1600,DB_Loonkosten,2,0)="Ja"),AND(RIGHT($F1600,3)&lt;&gt;"IKS",VLOOKUP($M1600,DB_Loonkosten,2,0)="Nee")),IFERROR(VLOOKUP($M1600,DB_Loonkosten,24,0),""),0),"Vast tarief",IF(LEFT(F1600,8)="Bijdrage",VLOOKUP($F1600,Tb_KostenTypen[],MATCH(Lijsten!$P$1,Tb_KostenTypen[#Headers],0),0),VLOOKUP($G1600,Lijsten!L:P,MATCH(Lijsten!$P$1,Kop_Tarief_Vast,0),0))),""),"")</f>
        <v/>
      </c>
      <c r="P1600" s="320" t="str" cm="1">
        <f t="array" ref="P1600">_xlfn.IFNA(IF(INDEX(Tb_KostenOptiesDB[],MATCH($F1600,Tb_KostenOptiesDB[KostenOptie],0),IFERROR(MATCH(Methode_Keuze,Tb_KostenOptiesDB[#Headers],0),2))=1,_xlfn.SWITCH($N1600,"Uurtarief",IF(OR(AND(RIGHT($F1600,3)="IKS",VLOOKUP($M1600,DB_Loonkosten,2,0)="Ja"),AND(RIGHT($F1600,3)&lt;&gt;"IKS",VLOOKUP($M1600,DB_Loonkosten,2,0)="Nee")),IFERROR(VLOOKUP($M1600,DB_Loonkosten,25,0),""),0),"Vast tarief",IF(LEFT(F1600,8)="Bijdrage",VLOOKUP($F1600,Tb_KostenTypen[],MATCH(Lijsten!$P$1,Tb_KostenTypen[#Headers],0),0),VLOOKUP($G1600,Lijsten!L:P,MATCH(Lijsten!$P$1,Kop_Tarief_Vast,0),0))),""),"")</f>
        <v/>
      </c>
      <c r="Q1600" s="359"/>
      <c r="R1600" s="359"/>
      <c r="S1600" s="321"/>
      <c r="T1600" s="321"/>
      <c r="U1600" s="373" t="str">
        <f t="shared" si="96"/>
        <v/>
      </c>
      <c r="V1600" s="314" t="str">
        <f t="shared" si="97"/>
        <v/>
      </c>
      <c r="W1600" s="314" t="str" cm="1">
        <f t="array" aca="1" ref="W1600" ca="1">IFERROR(IF(AE1600&lt;&gt;"ja",_xlfn.IFNA(_xlfn.IFS(AND(O1600&lt;&gt;"",F1600&lt;&gt;"",RIGHT($N1600,6)="tarief",F1600="Vergoeding"),SUM(O1600)*FLOOR(SUM(Q1600),0.0001),AND(O1600&lt;&gt;"",F1600&lt;&gt;"",RIGHT($N1600,6)="tarief"),SUM(O1600)*FLOOR(SUM(Q1600),0.01),S1600&gt;0,IF(F1600&lt;&gt;"",FLOOR(SUM(S1600),0.01),"")),""),""),"")</f>
        <v/>
      </c>
      <c r="X1600" s="314" t="str" cm="1">
        <f t="array" aca="1" ref="X1600" ca="1">IFERROR(IF(AE1600&lt;&gt;"ja",_xlfn.IFNA(_xlfn.IFS(AND(P1600&lt;&gt;"",R1600&lt;&gt;"",RIGHT($N1600,6)="tarief",F1600="Vergoeding"),SUM(P1600)*FLOOR(SUM(R1600),0.0001),AND(P1600&lt;&gt;"",R1600&lt;&gt;"",RIGHT($N1600,6)="tarief"),P1600*FLOOR(R1600,0.01),T1600&gt;0,FLOOR(SUM(T1600),0.01)),""),""),"")</f>
        <v/>
      </c>
      <c r="Y1600" s="314" t="str">
        <f t="shared" ca="1" si="98"/>
        <v/>
      </c>
      <c r="Z1600" s="314" t="str" cm="1">
        <f t="array" aca="1" ref="Z1600" ca="1">IFERROR(_xlfn.IFS(OR(F1600="",LEFT(Methode_Keuze,4)="Geen",Methode_Keuze=""),"",AND(W1600&lt;&gt;"",F1600&lt;&gt;"Arbeidskosten"),W1600*VLOOKUP(F1600,Tb_ProjectKosten[],MATCH(Tb_ProjectKosten[[#Headers],[Forfait_Percentage]],Tb_ProjectKosten[#Headers],0),0),AND(F1600="Arbeidskosten",G1600&lt;&gt;""),IFERROR(W1600*VLOOKUP(G1600,Tb_KostenTypen[],3,0)*VLOOKUP(F1600,Tb_ProjectKosten[],MATCH(Tb_ProjectKosten[[#Headers],[Forfait_Percentage]],Tb_ProjectKosten[#Headers],0),0),""),W1600 &lt;=0,0),"")</f>
        <v/>
      </c>
      <c r="AA1600" s="314" t="str" cm="1">
        <f t="array" aca="1" ref="AA1600" ca="1">IFERROR(_xlfn.IFS(OR(F1600="",LEFT(Methode_Keuze,4)="Geen",Methode_Keuze=""),"",AND(X1600&lt;&gt;"",F1600&lt;&gt;"Arbeidskosten"),X1600*VLOOKUP(F1600,Tb_ProjectKosten[],MATCH(Tb_ProjectKosten[[#Headers],[Forfait_Percentage]],Tb_ProjectKosten[#Headers],0),0),AND(F1600="Arbeidskosten",G1600&lt;&gt;""),IFERROR(X1600*VLOOKUP(G1600,Tb_KostenTypen[],3,0)*VLOOKUP(F1600,Tb_ProjectKosten[],MATCH(Tb_ProjectKosten[[#Headers],[Forfait_Percentage]],Tb_ProjectKosten[#Headers],0),0),""),X1600 &lt;=0,0),"")</f>
        <v/>
      </c>
      <c r="AB1600" s="314" t="str">
        <f t="shared" ca="1" si="99"/>
        <v/>
      </c>
      <c r="AC1600" s="322"/>
      <c r="AD1600" s="315"/>
      <c r="AE1600" s="32" t="str" cm="1">
        <f t="array" ref="AE1600">IFERROR(IF(INDEX(SubsidieTabel!$AD$1:$AG$12,MATCH($F1600,SubsidieTabel!$AD$1:$AD$12,0),IFERROR(MATCH(Methode_Keuze,SubsidieTabel!$AD$1:$AG$1,0),2))&lt;&gt;1=TRUE,"ja",""),"")</f>
        <v/>
      </c>
    </row>
    <row r="1601" spans="1:31" x14ac:dyDescent="0.25">
      <c r="A1601" s="316"/>
      <c r="B1601" s="317" t="str">
        <f>IF(A1601&lt;&gt;"",_xlfn.MAXIFS($B$1:B1600,$A$1:A1600,A1601)+1,"")</f>
        <v/>
      </c>
      <c r="C1601" s="296"/>
      <c r="D1601" s="296"/>
      <c r="E1601" s="296"/>
      <c r="F1601" s="296"/>
      <c r="G1601" s="326"/>
      <c r="H1601" s="324"/>
      <c r="I1601" s="325"/>
      <c r="J1601" s="325"/>
      <c r="K1601" s="318"/>
      <c r="L1601" s="318"/>
      <c r="M1601" s="319" t="str">
        <f>IFERROR(VLOOKUP(H1601,Lijsten!$H$1:$I$100,2,0),"")</f>
        <v/>
      </c>
      <c r="N1601" s="319" t="str">
        <f ca="1">IFERROR(IF(VLOOKUP(F1601,Kostentypen!$A$3:$E$21,3,0)=0,"",IF(OR(F1601="Arbeidskosten",F1601="Vergoeding"),VLOOKUP(G1601,Tb_KostenTypen[],2,0),VLOOKUP(F1601,Kostentypen!$A$3:$E$20,3,0))),"")</f>
        <v/>
      </c>
      <c r="O1601" s="320" t="str" cm="1">
        <f t="array" ref="O1601">_xlfn.IFNA(IF(INDEX(Tb_KostenOptiesDB[],MATCH($F1601,Tb_KostenOptiesDB[KostenOptie],0),IFERROR(MATCH(Methode_Keuze,Tb_KostenOptiesDB[#Headers],0),2))=1,_xlfn.SWITCH($N1601,"Uurtarief",IF(OR(AND(RIGHT($F1601,3)="IKS",VLOOKUP($M1601,DB_Loonkosten,2,0)="Ja"),AND(RIGHT($F1601,3)&lt;&gt;"IKS",VLOOKUP($M1601,DB_Loonkosten,2,0)="Nee")),IFERROR(VLOOKUP($M1601,DB_Loonkosten,24,0),""),0),"Vast tarief",IF(LEFT(F1601,8)="Bijdrage",VLOOKUP($F1601,Tb_KostenTypen[],MATCH(Lijsten!$P$1,Tb_KostenTypen[#Headers],0),0),VLOOKUP($G1601,Lijsten!L:P,MATCH(Lijsten!$P$1,Kop_Tarief_Vast,0),0))),""),"")</f>
        <v/>
      </c>
      <c r="P1601" s="320" t="str" cm="1">
        <f t="array" ref="P1601">_xlfn.IFNA(IF(INDEX(Tb_KostenOptiesDB[],MATCH($F1601,Tb_KostenOptiesDB[KostenOptie],0),IFERROR(MATCH(Methode_Keuze,Tb_KostenOptiesDB[#Headers],0),2))=1,_xlfn.SWITCH($N1601,"Uurtarief",IF(OR(AND(RIGHT($F1601,3)="IKS",VLOOKUP($M1601,DB_Loonkosten,2,0)="Ja"),AND(RIGHT($F1601,3)&lt;&gt;"IKS",VLOOKUP($M1601,DB_Loonkosten,2,0)="Nee")),IFERROR(VLOOKUP($M1601,DB_Loonkosten,25,0),""),0),"Vast tarief",IF(LEFT(F1601,8)="Bijdrage",VLOOKUP($F1601,Tb_KostenTypen[],MATCH(Lijsten!$P$1,Tb_KostenTypen[#Headers],0),0),VLOOKUP($G1601,Lijsten!L:P,MATCH(Lijsten!$P$1,Kop_Tarief_Vast,0),0))),""),"")</f>
        <v/>
      </c>
      <c r="Q1601" s="359"/>
      <c r="R1601" s="359"/>
      <c r="S1601" s="321"/>
      <c r="T1601" s="321"/>
      <c r="U1601" s="373" t="str">
        <f t="shared" si="96"/>
        <v/>
      </c>
      <c r="V1601" s="314" t="str">
        <f t="shared" si="97"/>
        <v/>
      </c>
      <c r="W1601" s="314" t="str" cm="1">
        <f t="array" aca="1" ref="W1601" ca="1">IFERROR(IF(AE1601&lt;&gt;"ja",_xlfn.IFNA(_xlfn.IFS(AND(O1601&lt;&gt;"",F1601&lt;&gt;"",RIGHT($N1601,6)="tarief",F1601="Vergoeding"),SUM(O1601)*FLOOR(SUM(Q1601),0.0001),AND(O1601&lt;&gt;"",F1601&lt;&gt;"",RIGHT($N1601,6)="tarief"),SUM(O1601)*FLOOR(SUM(Q1601),0.01),S1601&gt;0,IF(F1601&lt;&gt;"",FLOOR(SUM(S1601),0.01),"")),""),""),"")</f>
        <v/>
      </c>
      <c r="X1601" s="314" t="str" cm="1">
        <f t="array" aca="1" ref="X1601" ca="1">IFERROR(IF(AE1601&lt;&gt;"ja",_xlfn.IFNA(_xlfn.IFS(AND(P1601&lt;&gt;"",R1601&lt;&gt;"",RIGHT($N1601,6)="tarief",F1601="Vergoeding"),SUM(P1601)*FLOOR(SUM(R1601),0.0001),AND(P1601&lt;&gt;"",R1601&lt;&gt;"",RIGHT($N1601,6)="tarief"),P1601*FLOOR(R1601,0.01),T1601&gt;0,FLOOR(SUM(T1601),0.01)),""),""),"")</f>
        <v/>
      </c>
      <c r="Y1601" s="314" t="str">
        <f t="shared" ca="1" si="98"/>
        <v/>
      </c>
      <c r="Z1601" s="314" t="str" cm="1">
        <f t="array" aca="1" ref="Z1601" ca="1">IFERROR(_xlfn.IFS(OR(F1601="",LEFT(Methode_Keuze,4)="Geen",Methode_Keuze=""),"",AND(W1601&lt;&gt;"",F1601&lt;&gt;"Arbeidskosten"),W1601*VLOOKUP(F1601,Tb_ProjectKosten[],MATCH(Tb_ProjectKosten[[#Headers],[Forfait_Percentage]],Tb_ProjectKosten[#Headers],0),0),AND(F1601="Arbeidskosten",G1601&lt;&gt;""),IFERROR(W1601*VLOOKUP(G1601,Tb_KostenTypen[],3,0)*VLOOKUP(F1601,Tb_ProjectKosten[],MATCH(Tb_ProjectKosten[[#Headers],[Forfait_Percentage]],Tb_ProjectKosten[#Headers],0),0),""),W1601 &lt;=0,0),"")</f>
        <v/>
      </c>
      <c r="AA1601" s="314" t="str" cm="1">
        <f t="array" aca="1" ref="AA1601" ca="1">IFERROR(_xlfn.IFS(OR(F1601="",LEFT(Methode_Keuze,4)="Geen",Methode_Keuze=""),"",AND(X1601&lt;&gt;"",F1601&lt;&gt;"Arbeidskosten"),X1601*VLOOKUP(F1601,Tb_ProjectKosten[],MATCH(Tb_ProjectKosten[[#Headers],[Forfait_Percentage]],Tb_ProjectKosten[#Headers],0),0),AND(F1601="Arbeidskosten",G1601&lt;&gt;""),IFERROR(X1601*VLOOKUP(G1601,Tb_KostenTypen[],3,0)*VLOOKUP(F1601,Tb_ProjectKosten[],MATCH(Tb_ProjectKosten[[#Headers],[Forfait_Percentage]],Tb_ProjectKosten[#Headers],0),0),""),X1601 &lt;=0,0),"")</f>
        <v/>
      </c>
      <c r="AB1601" s="314" t="str">
        <f t="shared" ca="1" si="99"/>
        <v/>
      </c>
      <c r="AC1601" s="322"/>
      <c r="AD1601" s="315"/>
      <c r="AE1601" s="32" t="str" cm="1">
        <f t="array" ref="AE1601">IFERROR(IF(INDEX(SubsidieTabel!$AD$1:$AG$12,MATCH($F1601,SubsidieTabel!$AD$1:$AD$12,0),IFERROR(MATCH(Methode_Keuze,SubsidieTabel!$AD$1:$AG$1,0),2))&lt;&gt;1=TRUE,"ja",""),"")</f>
        <v/>
      </c>
    </row>
    <row r="1602" spans="1:31" x14ac:dyDescent="0.25">
      <c r="A1602" s="316"/>
      <c r="B1602" s="317" t="str">
        <f>IF(A1602&lt;&gt;"",_xlfn.MAXIFS($B$1:B1601,$A$1:A1601,A1602)+1,"")</f>
        <v/>
      </c>
      <c r="C1602" s="296"/>
      <c r="D1602" s="296"/>
      <c r="E1602" s="296"/>
      <c r="F1602" s="296"/>
      <c r="G1602" s="326"/>
      <c r="H1602" s="324"/>
      <c r="I1602" s="325"/>
      <c r="J1602" s="325"/>
      <c r="K1602" s="318"/>
      <c r="L1602" s="318"/>
      <c r="M1602" s="319" t="str">
        <f>IFERROR(VLOOKUP(H1602,Lijsten!$H$1:$I$100,2,0),"")</f>
        <v/>
      </c>
      <c r="N1602" s="319" t="str">
        <f ca="1">IFERROR(IF(VLOOKUP(F1602,Kostentypen!$A$3:$E$21,3,0)=0,"",IF(OR(F1602="Arbeidskosten",F1602="Vergoeding"),VLOOKUP(G1602,Tb_KostenTypen[],2,0),VLOOKUP(F1602,Kostentypen!$A$3:$E$20,3,0))),"")</f>
        <v/>
      </c>
      <c r="O1602" s="320" t="str" cm="1">
        <f t="array" ref="O1602">_xlfn.IFNA(IF(INDEX(Tb_KostenOptiesDB[],MATCH($F1602,Tb_KostenOptiesDB[KostenOptie],0),IFERROR(MATCH(Methode_Keuze,Tb_KostenOptiesDB[#Headers],0),2))=1,_xlfn.SWITCH($N1602,"Uurtarief",IF(OR(AND(RIGHT($F1602,3)="IKS",VLOOKUP($M1602,DB_Loonkosten,2,0)="Ja"),AND(RIGHT($F1602,3)&lt;&gt;"IKS",VLOOKUP($M1602,DB_Loonkosten,2,0)="Nee")),IFERROR(VLOOKUP($M1602,DB_Loonkosten,24,0),""),0),"Vast tarief",IF(LEFT(F1602,8)="Bijdrage",VLOOKUP($F1602,Tb_KostenTypen[],MATCH(Lijsten!$P$1,Tb_KostenTypen[#Headers],0),0),VLOOKUP($G1602,Lijsten!L:P,MATCH(Lijsten!$P$1,Kop_Tarief_Vast,0),0))),""),"")</f>
        <v/>
      </c>
      <c r="P1602" s="320" t="str" cm="1">
        <f t="array" ref="P1602">_xlfn.IFNA(IF(INDEX(Tb_KostenOptiesDB[],MATCH($F1602,Tb_KostenOptiesDB[KostenOptie],0),IFERROR(MATCH(Methode_Keuze,Tb_KostenOptiesDB[#Headers],0),2))=1,_xlfn.SWITCH($N1602,"Uurtarief",IF(OR(AND(RIGHT($F1602,3)="IKS",VLOOKUP($M1602,DB_Loonkosten,2,0)="Ja"),AND(RIGHT($F1602,3)&lt;&gt;"IKS",VLOOKUP($M1602,DB_Loonkosten,2,0)="Nee")),IFERROR(VLOOKUP($M1602,DB_Loonkosten,25,0),""),0),"Vast tarief",IF(LEFT(F1602,8)="Bijdrage",VLOOKUP($F1602,Tb_KostenTypen[],MATCH(Lijsten!$P$1,Tb_KostenTypen[#Headers],0),0),VLOOKUP($G1602,Lijsten!L:P,MATCH(Lijsten!$P$1,Kop_Tarief_Vast,0),0))),""),"")</f>
        <v/>
      </c>
      <c r="Q1602" s="359"/>
      <c r="R1602" s="359"/>
      <c r="S1602" s="321"/>
      <c r="T1602" s="321"/>
      <c r="U1602" s="373" t="str">
        <f t="shared" si="96"/>
        <v/>
      </c>
      <c r="V1602" s="314" t="str">
        <f t="shared" si="97"/>
        <v/>
      </c>
      <c r="W1602" s="314" t="str" cm="1">
        <f t="array" aca="1" ref="W1602" ca="1">IFERROR(IF(AE1602&lt;&gt;"ja",_xlfn.IFNA(_xlfn.IFS(AND(O1602&lt;&gt;"",F1602&lt;&gt;"",RIGHT($N1602,6)="tarief",F1602="Vergoeding"),SUM(O1602)*FLOOR(SUM(Q1602),0.0001),AND(O1602&lt;&gt;"",F1602&lt;&gt;"",RIGHT($N1602,6)="tarief"),SUM(O1602)*FLOOR(SUM(Q1602),0.01),S1602&gt;0,IF(F1602&lt;&gt;"",FLOOR(SUM(S1602),0.01),"")),""),""),"")</f>
        <v/>
      </c>
      <c r="X1602" s="314" t="str" cm="1">
        <f t="array" aca="1" ref="X1602" ca="1">IFERROR(IF(AE1602&lt;&gt;"ja",_xlfn.IFNA(_xlfn.IFS(AND(P1602&lt;&gt;"",R1602&lt;&gt;"",RIGHT($N1602,6)="tarief",F1602="Vergoeding"),SUM(P1602)*FLOOR(SUM(R1602),0.0001),AND(P1602&lt;&gt;"",R1602&lt;&gt;"",RIGHT($N1602,6)="tarief"),P1602*FLOOR(R1602,0.01),T1602&gt;0,FLOOR(SUM(T1602),0.01)),""),""),"")</f>
        <v/>
      </c>
      <c r="Y1602" s="314" t="str">
        <f t="shared" ca="1" si="98"/>
        <v/>
      </c>
      <c r="Z1602" s="314" t="str" cm="1">
        <f t="array" aca="1" ref="Z1602" ca="1">IFERROR(_xlfn.IFS(OR(F1602="",LEFT(Methode_Keuze,4)="Geen",Methode_Keuze=""),"",AND(W1602&lt;&gt;"",F1602&lt;&gt;"Arbeidskosten"),W1602*VLOOKUP(F1602,Tb_ProjectKosten[],MATCH(Tb_ProjectKosten[[#Headers],[Forfait_Percentage]],Tb_ProjectKosten[#Headers],0),0),AND(F1602="Arbeidskosten",G1602&lt;&gt;""),IFERROR(W1602*VLOOKUP(G1602,Tb_KostenTypen[],3,0)*VLOOKUP(F1602,Tb_ProjectKosten[],MATCH(Tb_ProjectKosten[[#Headers],[Forfait_Percentage]],Tb_ProjectKosten[#Headers],0),0),""),W1602 &lt;=0,0),"")</f>
        <v/>
      </c>
      <c r="AA1602" s="314" t="str" cm="1">
        <f t="array" aca="1" ref="AA1602" ca="1">IFERROR(_xlfn.IFS(OR(F1602="",LEFT(Methode_Keuze,4)="Geen",Methode_Keuze=""),"",AND(X1602&lt;&gt;"",F1602&lt;&gt;"Arbeidskosten"),X1602*VLOOKUP(F1602,Tb_ProjectKosten[],MATCH(Tb_ProjectKosten[[#Headers],[Forfait_Percentage]],Tb_ProjectKosten[#Headers],0),0),AND(F1602="Arbeidskosten",G1602&lt;&gt;""),IFERROR(X1602*VLOOKUP(G1602,Tb_KostenTypen[],3,0)*VLOOKUP(F1602,Tb_ProjectKosten[],MATCH(Tb_ProjectKosten[[#Headers],[Forfait_Percentage]],Tb_ProjectKosten[#Headers],0),0),""),X1602 &lt;=0,0),"")</f>
        <v/>
      </c>
      <c r="AB1602" s="314" t="str">
        <f t="shared" ca="1" si="99"/>
        <v/>
      </c>
      <c r="AC1602" s="322"/>
      <c r="AD1602" s="315"/>
      <c r="AE1602" s="32" t="str" cm="1">
        <f t="array" ref="AE1602">IFERROR(IF(INDEX(SubsidieTabel!$AD$1:$AG$12,MATCH($F1602,SubsidieTabel!$AD$1:$AD$12,0),IFERROR(MATCH(Methode_Keuze,SubsidieTabel!$AD$1:$AG$1,0),2))&lt;&gt;1=TRUE,"ja",""),"")</f>
        <v/>
      </c>
    </row>
    <row r="1603" spans="1:31" x14ac:dyDescent="0.25">
      <c r="A1603" s="316"/>
      <c r="B1603" s="317" t="str">
        <f>IF(A1603&lt;&gt;"",_xlfn.MAXIFS($B$1:B1602,$A$1:A1602,A1603)+1,"")</f>
        <v/>
      </c>
      <c r="C1603" s="296"/>
      <c r="D1603" s="296"/>
      <c r="E1603" s="296"/>
      <c r="F1603" s="296"/>
      <c r="G1603" s="326"/>
      <c r="H1603" s="324"/>
      <c r="I1603" s="325"/>
      <c r="J1603" s="325"/>
      <c r="K1603" s="318"/>
      <c r="L1603" s="318"/>
      <c r="M1603" s="319" t="str">
        <f>IFERROR(VLOOKUP(H1603,Lijsten!$H$1:$I$100,2,0),"")</f>
        <v/>
      </c>
      <c r="N1603" s="319" t="str">
        <f ca="1">IFERROR(IF(VLOOKUP(F1603,Kostentypen!$A$3:$E$21,3,0)=0,"",IF(OR(F1603="Arbeidskosten",F1603="Vergoeding"),VLOOKUP(G1603,Tb_KostenTypen[],2,0),VLOOKUP(F1603,Kostentypen!$A$3:$E$20,3,0))),"")</f>
        <v/>
      </c>
      <c r="O1603" s="320" t="str" cm="1">
        <f t="array" ref="O1603">_xlfn.IFNA(IF(INDEX(Tb_KostenOptiesDB[],MATCH($F1603,Tb_KostenOptiesDB[KostenOptie],0),IFERROR(MATCH(Methode_Keuze,Tb_KostenOptiesDB[#Headers],0),2))=1,_xlfn.SWITCH($N1603,"Uurtarief",IF(OR(AND(RIGHT($F1603,3)="IKS",VLOOKUP($M1603,DB_Loonkosten,2,0)="Ja"),AND(RIGHT($F1603,3)&lt;&gt;"IKS",VLOOKUP($M1603,DB_Loonkosten,2,0)="Nee")),IFERROR(VLOOKUP($M1603,DB_Loonkosten,24,0),""),0),"Vast tarief",IF(LEFT(F1603,8)="Bijdrage",VLOOKUP($F1603,Tb_KostenTypen[],MATCH(Lijsten!$P$1,Tb_KostenTypen[#Headers],0),0),VLOOKUP($G1603,Lijsten!L:P,MATCH(Lijsten!$P$1,Kop_Tarief_Vast,0),0))),""),"")</f>
        <v/>
      </c>
      <c r="P1603" s="320" t="str" cm="1">
        <f t="array" ref="P1603">_xlfn.IFNA(IF(INDEX(Tb_KostenOptiesDB[],MATCH($F1603,Tb_KostenOptiesDB[KostenOptie],0),IFERROR(MATCH(Methode_Keuze,Tb_KostenOptiesDB[#Headers],0),2))=1,_xlfn.SWITCH($N1603,"Uurtarief",IF(OR(AND(RIGHT($F1603,3)="IKS",VLOOKUP($M1603,DB_Loonkosten,2,0)="Ja"),AND(RIGHT($F1603,3)&lt;&gt;"IKS",VLOOKUP($M1603,DB_Loonkosten,2,0)="Nee")),IFERROR(VLOOKUP($M1603,DB_Loonkosten,25,0),""),0),"Vast tarief",IF(LEFT(F1603,8)="Bijdrage",VLOOKUP($F1603,Tb_KostenTypen[],MATCH(Lijsten!$P$1,Tb_KostenTypen[#Headers],0),0),VLOOKUP($G1603,Lijsten!L:P,MATCH(Lijsten!$P$1,Kop_Tarief_Vast,0),0))),""),"")</f>
        <v/>
      </c>
      <c r="Q1603" s="359"/>
      <c r="R1603" s="359"/>
      <c r="S1603" s="321"/>
      <c r="T1603" s="321"/>
      <c r="U1603" s="373" t="str">
        <f t="shared" ref="U1603:U1666" si="100">IFERROR(IF(AND(R1603&lt;&gt;"",R1603&lt;&gt;Q1603),-1*(R1603-Q1603),""),"")</f>
        <v/>
      </c>
      <c r="V1603" s="314" t="str">
        <f t="shared" ref="V1603:V1666" si="101">IFERROR(IF(AND(T1603&lt;&gt;"",T1603&lt;&gt;S1603),-1*(T1603-S1603),""),"")</f>
        <v/>
      </c>
      <c r="W1603" s="314" t="str" cm="1">
        <f t="array" aca="1" ref="W1603" ca="1">IFERROR(IF(AE1603&lt;&gt;"ja",_xlfn.IFNA(_xlfn.IFS(AND(O1603&lt;&gt;"",F1603&lt;&gt;"",RIGHT($N1603,6)="tarief",F1603="Vergoeding"),SUM(O1603)*FLOOR(SUM(Q1603),0.0001),AND(O1603&lt;&gt;"",F1603&lt;&gt;"",RIGHT($N1603,6)="tarief"),SUM(O1603)*FLOOR(SUM(Q1603),0.01),S1603&gt;0,IF(F1603&lt;&gt;"",FLOOR(SUM(S1603),0.01),"")),""),""),"")</f>
        <v/>
      </c>
      <c r="X1603" s="314" t="str" cm="1">
        <f t="array" aca="1" ref="X1603" ca="1">IFERROR(IF(AE1603&lt;&gt;"ja",_xlfn.IFNA(_xlfn.IFS(AND(P1603&lt;&gt;"",R1603&lt;&gt;"",RIGHT($N1603,6)="tarief",F1603="Vergoeding"),SUM(P1603)*FLOOR(SUM(R1603),0.0001),AND(P1603&lt;&gt;"",R1603&lt;&gt;"",RIGHT($N1603,6)="tarief"),P1603*FLOOR(R1603,0.01),T1603&gt;0,FLOOR(SUM(T1603),0.01)),""),""),"")</f>
        <v/>
      </c>
      <c r="Y1603" s="314" t="str">
        <f t="shared" ref="Y1603:Y1666" ca="1" si="102">IFERROR(IF(AND(X1603&lt;&gt;"",X1603&lt;&gt;W1603),-1*(X1603-W1603),""),"")</f>
        <v/>
      </c>
      <c r="Z1603" s="314" t="str" cm="1">
        <f t="array" aca="1" ref="Z1603" ca="1">IFERROR(_xlfn.IFS(OR(F1603="",LEFT(Methode_Keuze,4)="Geen",Methode_Keuze=""),"",AND(W1603&lt;&gt;"",F1603&lt;&gt;"Arbeidskosten"),W1603*VLOOKUP(F1603,Tb_ProjectKosten[],MATCH(Tb_ProjectKosten[[#Headers],[Forfait_Percentage]],Tb_ProjectKosten[#Headers],0),0),AND(F1603="Arbeidskosten",G1603&lt;&gt;""),IFERROR(W1603*VLOOKUP(G1603,Tb_KostenTypen[],3,0)*VLOOKUP(F1603,Tb_ProjectKosten[],MATCH(Tb_ProjectKosten[[#Headers],[Forfait_Percentage]],Tb_ProjectKosten[#Headers],0),0),""),W1603 &lt;=0,0),"")</f>
        <v/>
      </c>
      <c r="AA1603" s="314" t="str" cm="1">
        <f t="array" aca="1" ref="AA1603" ca="1">IFERROR(_xlfn.IFS(OR(F1603="",LEFT(Methode_Keuze,4)="Geen",Methode_Keuze=""),"",AND(X1603&lt;&gt;"",F1603&lt;&gt;"Arbeidskosten"),X1603*VLOOKUP(F1603,Tb_ProjectKosten[],MATCH(Tb_ProjectKosten[[#Headers],[Forfait_Percentage]],Tb_ProjectKosten[#Headers],0),0),AND(F1603="Arbeidskosten",G1603&lt;&gt;""),IFERROR(X1603*VLOOKUP(G1603,Tb_KostenTypen[],3,0)*VLOOKUP(F1603,Tb_ProjectKosten[],MATCH(Tb_ProjectKosten[[#Headers],[Forfait_Percentage]],Tb_ProjectKosten[#Headers],0),0),""),X1603 &lt;=0,0),"")</f>
        <v/>
      </c>
      <c r="AB1603" s="314" t="str">
        <f t="shared" ref="AB1603:AB1666" ca="1" si="103">IFERROR(IF(AND(AA1603&lt;&gt;"",AA1603&lt;&gt;Z1603),-1*(AA1603-Z1603),""),"")</f>
        <v/>
      </c>
      <c r="AC1603" s="322"/>
      <c r="AD1603" s="315"/>
      <c r="AE1603" s="32" t="str" cm="1">
        <f t="array" ref="AE1603">IFERROR(IF(INDEX(SubsidieTabel!$AD$1:$AG$12,MATCH($F1603,SubsidieTabel!$AD$1:$AD$12,0),IFERROR(MATCH(Methode_Keuze,SubsidieTabel!$AD$1:$AG$1,0),2))&lt;&gt;1=TRUE,"ja",""),"")</f>
        <v/>
      </c>
    </row>
    <row r="1604" spans="1:31" x14ac:dyDescent="0.25">
      <c r="A1604" s="316"/>
      <c r="B1604" s="317" t="str">
        <f>IF(A1604&lt;&gt;"",_xlfn.MAXIFS($B$1:B1603,$A$1:A1603,A1604)+1,"")</f>
        <v/>
      </c>
      <c r="C1604" s="296"/>
      <c r="D1604" s="296"/>
      <c r="E1604" s="296"/>
      <c r="F1604" s="296"/>
      <c r="G1604" s="326"/>
      <c r="H1604" s="324"/>
      <c r="I1604" s="325"/>
      <c r="J1604" s="325"/>
      <c r="K1604" s="318"/>
      <c r="L1604" s="318"/>
      <c r="M1604" s="319" t="str">
        <f>IFERROR(VLOOKUP(H1604,Lijsten!$H$1:$I$100,2,0),"")</f>
        <v/>
      </c>
      <c r="N1604" s="319" t="str">
        <f ca="1">IFERROR(IF(VLOOKUP(F1604,Kostentypen!$A$3:$E$21,3,0)=0,"",IF(OR(F1604="Arbeidskosten",F1604="Vergoeding"),VLOOKUP(G1604,Tb_KostenTypen[],2,0),VLOOKUP(F1604,Kostentypen!$A$3:$E$20,3,0))),"")</f>
        <v/>
      </c>
      <c r="O1604" s="320" t="str" cm="1">
        <f t="array" ref="O1604">_xlfn.IFNA(IF(INDEX(Tb_KostenOptiesDB[],MATCH($F1604,Tb_KostenOptiesDB[KostenOptie],0),IFERROR(MATCH(Methode_Keuze,Tb_KostenOptiesDB[#Headers],0),2))=1,_xlfn.SWITCH($N1604,"Uurtarief",IF(OR(AND(RIGHT($F1604,3)="IKS",VLOOKUP($M1604,DB_Loonkosten,2,0)="Ja"),AND(RIGHT($F1604,3)&lt;&gt;"IKS",VLOOKUP($M1604,DB_Loonkosten,2,0)="Nee")),IFERROR(VLOOKUP($M1604,DB_Loonkosten,24,0),""),0),"Vast tarief",IF(LEFT(F1604,8)="Bijdrage",VLOOKUP($F1604,Tb_KostenTypen[],MATCH(Lijsten!$P$1,Tb_KostenTypen[#Headers],0),0),VLOOKUP($G1604,Lijsten!L:P,MATCH(Lijsten!$P$1,Kop_Tarief_Vast,0),0))),""),"")</f>
        <v/>
      </c>
      <c r="P1604" s="320" t="str" cm="1">
        <f t="array" ref="P1604">_xlfn.IFNA(IF(INDEX(Tb_KostenOptiesDB[],MATCH($F1604,Tb_KostenOptiesDB[KostenOptie],0),IFERROR(MATCH(Methode_Keuze,Tb_KostenOptiesDB[#Headers],0),2))=1,_xlfn.SWITCH($N1604,"Uurtarief",IF(OR(AND(RIGHT($F1604,3)="IKS",VLOOKUP($M1604,DB_Loonkosten,2,0)="Ja"),AND(RIGHT($F1604,3)&lt;&gt;"IKS",VLOOKUP($M1604,DB_Loonkosten,2,0)="Nee")),IFERROR(VLOOKUP($M1604,DB_Loonkosten,25,0),""),0),"Vast tarief",IF(LEFT(F1604,8)="Bijdrage",VLOOKUP($F1604,Tb_KostenTypen[],MATCH(Lijsten!$P$1,Tb_KostenTypen[#Headers],0),0),VLOOKUP($G1604,Lijsten!L:P,MATCH(Lijsten!$P$1,Kop_Tarief_Vast,0),0))),""),"")</f>
        <v/>
      </c>
      <c r="Q1604" s="359"/>
      <c r="R1604" s="359"/>
      <c r="S1604" s="321"/>
      <c r="T1604" s="321"/>
      <c r="U1604" s="373" t="str">
        <f t="shared" si="100"/>
        <v/>
      </c>
      <c r="V1604" s="314" t="str">
        <f t="shared" si="101"/>
        <v/>
      </c>
      <c r="W1604" s="314" t="str" cm="1">
        <f t="array" aca="1" ref="W1604" ca="1">IFERROR(IF(AE1604&lt;&gt;"ja",_xlfn.IFNA(_xlfn.IFS(AND(O1604&lt;&gt;"",F1604&lt;&gt;"",RIGHT($N1604,6)="tarief",F1604="Vergoeding"),SUM(O1604)*FLOOR(SUM(Q1604),0.0001),AND(O1604&lt;&gt;"",F1604&lt;&gt;"",RIGHT($N1604,6)="tarief"),SUM(O1604)*FLOOR(SUM(Q1604),0.01),S1604&gt;0,IF(F1604&lt;&gt;"",FLOOR(SUM(S1604),0.01),"")),""),""),"")</f>
        <v/>
      </c>
      <c r="X1604" s="314" t="str" cm="1">
        <f t="array" aca="1" ref="X1604" ca="1">IFERROR(IF(AE1604&lt;&gt;"ja",_xlfn.IFNA(_xlfn.IFS(AND(P1604&lt;&gt;"",R1604&lt;&gt;"",RIGHT($N1604,6)="tarief",F1604="Vergoeding"),SUM(P1604)*FLOOR(SUM(R1604),0.0001),AND(P1604&lt;&gt;"",R1604&lt;&gt;"",RIGHT($N1604,6)="tarief"),P1604*FLOOR(R1604,0.01),T1604&gt;0,FLOOR(SUM(T1604),0.01)),""),""),"")</f>
        <v/>
      </c>
      <c r="Y1604" s="314" t="str">
        <f t="shared" ca="1" si="102"/>
        <v/>
      </c>
      <c r="Z1604" s="314" t="str" cm="1">
        <f t="array" aca="1" ref="Z1604" ca="1">IFERROR(_xlfn.IFS(OR(F1604="",LEFT(Methode_Keuze,4)="Geen",Methode_Keuze=""),"",AND(W1604&lt;&gt;"",F1604&lt;&gt;"Arbeidskosten"),W1604*VLOOKUP(F1604,Tb_ProjectKosten[],MATCH(Tb_ProjectKosten[[#Headers],[Forfait_Percentage]],Tb_ProjectKosten[#Headers],0),0),AND(F1604="Arbeidskosten",G1604&lt;&gt;""),IFERROR(W1604*VLOOKUP(G1604,Tb_KostenTypen[],3,0)*VLOOKUP(F1604,Tb_ProjectKosten[],MATCH(Tb_ProjectKosten[[#Headers],[Forfait_Percentage]],Tb_ProjectKosten[#Headers],0),0),""),W1604 &lt;=0,0),"")</f>
        <v/>
      </c>
      <c r="AA1604" s="314" t="str" cm="1">
        <f t="array" aca="1" ref="AA1604" ca="1">IFERROR(_xlfn.IFS(OR(F1604="",LEFT(Methode_Keuze,4)="Geen",Methode_Keuze=""),"",AND(X1604&lt;&gt;"",F1604&lt;&gt;"Arbeidskosten"),X1604*VLOOKUP(F1604,Tb_ProjectKosten[],MATCH(Tb_ProjectKosten[[#Headers],[Forfait_Percentage]],Tb_ProjectKosten[#Headers],0),0),AND(F1604="Arbeidskosten",G1604&lt;&gt;""),IFERROR(X1604*VLOOKUP(G1604,Tb_KostenTypen[],3,0)*VLOOKUP(F1604,Tb_ProjectKosten[],MATCH(Tb_ProjectKosten[[#Headers],[Forfait_Percentage]],Tb_ProjectKosten[#Headers],0),0),""),X1604 &lt;=0,0),"")</f>
        <v/>
      </c>
      <c r="AB1604" s="314" t="str">
        <f t="shared" ca="1" si="103"/>
        <v/>
      </c>
      <c r="AC1604" s="322"/>
      <c r="AD1604" s="315"/>
      <c r="AE1604" s="32" t="str" cm="1">
        <f t="array" ref="AE1604">IFERROR(IF(INDEX(SubsidieTabel!$AD$1:$AG$12,MATCH($F1604,SubsidieTabel!$AD$1:$AD$12,0),IFERROR(MATCH(Methode_Keuze,SubsidieTabel!$AD$1:$AG$1,0),2))&lt;&gt;1=TRUE,"ja",""),"")</f>
        <v/>
      </c>
    </row>
    <row r="1605" spans="1:31" x14ac:dyDescent="0.25">
      <c r="A1605" s="316"/>
      <c r="B1605" s="317" t="str">
        <f>IF(A1605&lt;&gt;"",_xlfn.MAXIFS($B$1:B1604,$A$1:A1604,A1605)+1,"")</f>
        <v/>
      </c>
      <c r="C1605" s="296"/>
      <c r="D1605" s="296"/>
      <c r="E1605" s="296"/>
      <c r="F1605" s="296"/>
      <c r="G1605" s="326"/>
      <c r="H1605" s="324"/>
      <c r="I1605" s="325"/>
      <c r="J1605" s="325"/>
      <c r="K1605" s="318"/>
      <c r="L1605" s="318"/>
      <c r="M1605" s="319" t="str">
        <f>IFERROR(VLOOKUP(H1605,Lijsten!$H$1:$I$100,2,0),"")</f>
        <v/>
      </c>
      <c r="N1605" s="319" t="str">
        <f ca="1">IFERROR(IF(VLOOKUP(F1605,Kostentypen!$A$3:$E$21,3,0)=0,"",IF(OR(F1605="Arbeidskosten",F1605="Vergoeding"),VLOOKUP(G1605,Tb_KostenTypen[],2,0),VLOOKUP(F1605,Kostentypen!$A$3:$E$20,3,0))),"")</f>
        <v/>
      </c>
      <c r="O1605" s="320" t="str" cm="1">
        <f t="array" ref="O1605">_xlfn.IFNA(IF(INDEX(Tb_KostenOptiesDB[],MATCH($F1605,Tb_KostenOptiesDB[KostenOptie],0),IFERROR(MATCH(Methode_Keuze,Tb_KostenOptiesDB[#Headers],0),2))=1,_xlfn.SWITCH($N1605,"Uurtarief",IF(OR(AND(RIGHT($F1605,3)="IKS",VLOOKUP($M1605,DB_Loonkosten,2,0)="Ja"),AND(RIGHT($F1605,3)&lt;&gt;"IKS",VLOOKUP($M1605,DB_Loonkosten,2,0)="Nee")),IFERROR(VLOOKUP($M1605,DB_Loonkosten,24,0),""),0),"Vast tarief",IF(LEFT(F1605,8)="Bijdrage",VLOOKUP($F1605,Tb_KostenTypen[],MATCH(Lijsten!$P$1,Tb_KostenTypen[#Headers],0),0),VLOOKUP($G1605,Lijsten!L:P,MATCH(Lijsten!$P$1,Kop_Tarief_Vast,0),0))),""),"")</f>
        <v/>
      </c>
      <c r="P1605" s="320" t="str" cm="1">
        <f t="array" ref="P1605">_xlfn.IFNA(IF(INDEX(Tb_KostenOptiesDB[],MATCH($F1605,Tb_KostenOptiesDB[KostenOptie],0),IFERROR(MATCH(Methode_Keuze,Tb_KostenOptiesDB[#Headers],0),2))=1,_xlfn.SWITCH($N1605,"Uurtarief",IF(OR(AND(RIGHT($F1605,3)="IKS",VLOOKUP($M1605,DB_Loonkosten,2,0)="Ja"),AND(RIGHT($F1605,3)&lt;&gt;"IKS",VLOOKUP($M1605,DB_Loonkosten,2,0)="Nee")),IFERROR(VLOOKUP($M1605,DB_Loonkosten,25,0),""),0),"Vast tarief",IF(LEFT(F1605,8)="Bijdrage",VLOOKUP($F1605,Tb_KostenTypen[],MATCH(Lijsten!$P$1,Tb_KostenTypen[#Headers],0),0),VLOOKUP($G1605,Lijsten!L:P,MATCH(Lijsten!$P$1,Kop_Tarief_Vast,0),0))),""),"")</f>
        <v/>
      </c>
      <c r="Q1605" s="359"/>
      <c r="R1605" s="359"/>
      <c r="S1605" s="321"/>
      <c r="T1605" s="321"/>
      <c r="U1605" s="373" t="str">
        <f t="shared" si="100"/>
        <v/>
      </c>
      <c r="V1605" s="314" t="str">
        <f t="shared" si="101"/>
        <v/>
      </c>
      <c r="W1605" s="314" t="str" cm="1">
        <f t="array" aca="1" ref="W1605" ca="1">IFERROR(IF(AE1605&lt;&gt;"ja",_xlfn.IFNA(_xlfn.IFS(AND(O1605&lt;&gt;"",F1605&lt;&gt;"",RIGHT($N1605,6)="tarief",F1605="Vergoeding"),SUM(O1605)*FLOOR(SUM(Q1605),0.0001),AND(O1605&lt;&gt;"",F1605&lt;&gt;"",RIGHT($N1605,6)="tarief"),SUM(O1605)*FLOOR(SUM(Q1605),0.01),S1605&gt;0,IF(F1605&lt;&gt;"",FLOOR(SUM(S1605),0.01),"")),""),""),"")</f>
        <v/>
      </c>
      <c r="X1605" s="314" t="str" cm="1">
        <f t="array" aca="1" ref="X1605" ca="1">IFERROR(IF(AE1605&lt;&gt;"ja",_xlfn.IFNA(_xlfn.IFS(AND(P1605&lt;&gt;"",R1605&lt;&gt;"",RIGHT($N1605,6)="tarief",F1605="Vergoeding"),SUM(P1605)*FLOOR(SUM(R1605),0.0001),AND(P1605&lt;&gt;"",R1605&lt;&gt;"",RIGHT($N1605,6)="tarief"),P1605*FLOOR(R1605,0.01),T1605&gt;0,FLOOR(SUM(T1605),0.01)),""),""),"")</f>
        <v/>
      </c>
      <c r="Y1605" s="314" t="str">
        <f t="shared" ca="1" si="102"/>
        <v/>
      </c>
      <c r="Z1605" s="314" t="str" cm="1">
        <f t="array" aca="1" ref="Z1605" ca="1">IFERROR(_xlfn.IFS(OR(F1605="",LEFT(Methode_Keuze,4)="Geen",Methode_Keuze=""),"",AND(W1605&lt;&gt;"",F1605&lt;&gt;"Arbeidskosten"),W1605*VLOOKUP(F1605,Tb_ProjectKosten[],MATCH(Tb_ProjectKosten[[#Headers],[Forfait_Percentage]],Tb_ProjectKosten[#Headers],0),0),AND(F1605="Arbeidskosten",G1605&lt;&gt;""),IFERROR(W1605*VLOOKUP(G1605,Tb_KostenTypen[],3,0)*VLOOKUP(F1605,Tb_ProjectKosten[],MATCH(Tb_ProjectKosten[[#Headers],[Forfait_Percentage]],Tb_ProjectKosten[#Headers],0),0),""),W1605 &lt;=0,0),"")</f>
        <v/>
      </c>
      <c r="AA1605" s="314" t="str" cm="1">
        <f t="array" aca="1" ref="AA1605" ca="1">IFERROR(_xlfn.IFS(OR(F1605="",LEFT(Methode_Keuze,4)="Geen",Methode_Keuze=""),"",AND(X1605&lt;&gt;"",F1605&lt;&gt;"Arbeidskosten"),X1605*VLOOKUP(F1605,Tb_ProjectKosten[],MATCH(Tb_ProjectKosten[[#Headers],[Forfait_Percentage]],Tb_ProjectKosten[#Headers],0),0),AND(F1605="Arbeidskosten",G1605&lt;&gt;""),IFERROR(X1605*VLOOKUP(G1605,Tb_KostenTypen[],3,0)*VLOOKUP(F1605,Tb_ProjectKosten[],MATCH(Tb_ProjectKosten[[#Headers],[Forfait_Percentage]],Tb_ProjectKosten[#Headers],0),0),""),X1605 &lt;=0,0),"")</f>
        <v/>
      </c>
      <c r="AB1605" s="314" t="str">
        <f t="shared" ca="1" si="103"/>
        <v/>
      </c>
      <c r="AC1605" s="322"/>
      <c r="AD1605" s="315"/>
      <c r="AE1605" s="32" t="str" cm="1">
        <f t="array" ref="AE1605">IFERROR(IF(INDEX(SubsidieTabel!$AD$1:$AG$12,MATCH($F1605,SubsidieTabel!$AD$1:$AD$12,0),IFERROR(MATCH(Methode_Keuze,SubsidieTabel!$AD$1:$AG$1,0),2))&lt;&gt;1=TRUE,"ja",""),"")</f>
        <v/>
      </c>
    </row>
    <row r="1606" spans="1:31" x14ac:dyDescent="0.25">
      <c r="A1606" s="316"/>
      <c r="B1606" s="317" t="str">
        <f>IF(A1606&lt;&gt;"",_xlfn.MAXIFS($B$1:B1605,$A$1:A1605,A1606)+1,"")</f>
        <v/>
      </c>
      <c r="C1606" s="296"/>
      <c r="D1606" s="296"/>
      <c r="E1606" s="296"/>
      <c r="F1606" s="296"/>
      <c r="G1606" s="326"/>
      <c r="H1606" s="324"/>
      <c r="I1606" s="325"/>
      <c r="J1606" s="325"/>
      <c r="K1606" s="318"/>
      <c r="L1606" s="318"/>
      <c r="M1606" s="319" t="str">
        <f>IFERROR(VLOOKUP(H1606,Lijsten!$H$1:$I$100,2,0),"")</f>
        <v/>
      </c>
      <c r="N1606" s="319" t="str">
        <f ca="1">IFERROR(IF(VLOOKUP(F1606,Kostentypen!$A$3:$E$21,3,0)=0,"",IF(OR(F1606="Arbeidskosten",F1606="Vergoeding"),VLOOKUP(G1606,Tb_KostenTypen[],2,0),VLOOKUP(F1606,Kostentypen!$A$3:$E$20,3,0))),"")</f>
        <v/>
      </c>
      <c r="O1606" s="320" t="str" cm="1">
        <f t="array" ref="O1606">_xlfn.IFNA(IF(INDEX(Tb_KostenOptiesDB[],MATCH($F1606,Tb_KostenOptiesDB[KostenOptie],0),IFERROR(MATCH(Methode_Keuze,Tb_KostenOptiesDB[#Headers],0),2))=1,_xlfn.SWITCH($N1606,"Uurtarief",IF(OR(AND(RIGHT($F1606,3)="IKS",VLOOKUP($M1606,DB_Loonkosten,2,0)="Ja"),AND(RIGHT($F1606,3)&lt;&gt;"IKS",VLOOKUP($M1606,DB_Loonkosten,2,0)="Nee")),IFERROR(VLOOKUP($M1606,DB_Loonkosten,24,0),""),0),"Vast tarief",IF(LEFT(F1606,8)="Bijdrage",VLOOKUP($F1606,Tb_KostenTypen[],MATCH(Lijsten!$P$1,Tb_KostenTypen[#Headers],0),0),VLOOKUP($G1606,Lijsten!L:P,MATCH(Lijsten!$P$1,Kop_Tarief_Vast,0),0))),""),"")</f>
        <v/>
      </c>
      <c r="P1606" s="320" t="str" cm="1">
        <f t="array" ref="P1606">_xlfn.IFNA(IF(INDEX(Tb_KostenOptiesDB[],MATCH($F1606,Tb_KostenOptiesDB[KostenOptie],0),IFERROR(MATCH(Methode_Keuze,Tb_KostenOptiesDB[#Headers],0),2))=1,_xlfn.SWITCH($N1606,"Uurtarief",IF(OR(AND(RIGHT($F1606,3)="IKS",VLOOKUP($M1606,DB_Loonkosten,2,0)="Ja"),AND(RIGHT($F1606,3)&lt;&gt;"IKS",VLOOKUP($M1606,DB_Loonkosten,2,0)="Nee")),IFERROR(VLOOKUP($M1606,DB_Loonkosten,25,0),""),0),"Vast tarief",IF(LEFT(F1606,8)="Bijdrage",VLOOKUP($F1606,Tb_KostenTypen[],MATCH(Lijsten!$P$1,Tb_KostenTypen[#Headers],0),0),VLOOKUP($G1606,Lijsten!L:P,MATCH(Lijsten!$P$1,Kop_Tarief_Vast,0),0))),""),"")</f>
        <v/>
      </c>
      <c r="Q1606" s="359"/>
      <c r="R1606" s="359"/>
      <c r="S1606" s="321"/>
      <c r="T1606" s="321"/>
      <c r="U1606" s="373" t="str">
        <f t="shared" si="100"/>
        <v/>
      </c>
      <c r="V1606" s="314" t="str">
        <f t="shared" si="101"/>
        <v/>
      </c>
      <c r="W1606" s="314" t="str" cm="1">
        <f t="array" aca="1" ref="W1606" ca="1">IFERROR(IF(AE1606&lt;&gt;"ja",_xlfn.IFNA(_xlfn.IFS(AND(O1606&lt;&gt;"",F1606&lt;&gt;"",RIGHT($N1606,6)="tarief",F1606="Vergoeding"),SUM(O1606)*FLOOR(SUM(Q1606),0.0001),AND(O1606&lt;&gt;"",F1606&lt;&gt;"",RIGHT($N1606,6)="tarief"),SUM(O1606)*FLOOR(SUM(Q1606),0.01),S1606&gt;0,IF(F1606&lt;&gt;"",FLOOR(SUM(S1606),0.01),"")),""),""),"")</f>
        <v/>
      </c>
      <c r="X1606" s="314" t="str" cm="1">
        <f t="array" aca="1" ref="X1606" ca="1">IFERROR(IF(AE1606&lt;&gt;"ja",_xlfn.IFNA(_xlfn.IFS(AND(P1606&lt;&gt;"",R1606&lt;&gt;"",RIGHT($N1606,6)="tarief",F1606="Vergoeding"),SUM(P1606)*FLOOR(SUM(R1606),0.0001),AND(P1606&lt;&gt;"",R1606&lt;&gt;"",RIGHT($N1606,6)="tarief"),P1606*FLOOR(R1606,0.01),T1606&gt;0,FLOOR(SUM(T1606),0.01)),""),""),"")</f>
        <v/>
      </c>
      <c r="Y1606" s="314" t="str">
        <f t="shared" ca="1" si="102"/>
        <v/>
      </c>
      <c r="Z1606" s="314" t="str" cm="1">
        <f t="array" aca="1" ref="Z1606" ca="1">IFERROR(_xlfn.IFS(OR(F1606="",LEFT(Methode_Keuze,4)="Geen",Methode_Keuze=""),"",AND(W1606&lt;&gt;"",F1606&lt;&gt;"Arbeidskosten"),W1606*VLOOKUP(F1606,Tb_ProjectKosten[],MATCH(Tb_ProjectKosten[[#Headers],[Forfait_Percentage]],Tb_ProjectKosten[#Headers],0),0),AND(F1606="Arbeidskosten",G1606&lt;&gt;""),IFERROR(W1606*VLOOKUP(G1606,Tb_KostenTypen[],3,0)*VLOOKUP(F1606,Tb_ProjectKosten[],MATCH(Tb_ProjectKosten[[#Headers],[Forfait_Percentage]],Tb_ProjectKosten[#Headers],0),0),""),W1606 &lt;=0,0),"")</f>
        <v/>
      </c>
      <c r="AA1606" s="314" t="str" cm="1">
        <f t="array" aca="1" ref="AA1606" ca="1">IFERROR(_xlfn.IFS(OR(F1606="",LEFT(Methode_Keuze,4)="Geen",Methode_Keuze=""),"",AND(X1606&lt;&gt;"",F1606&lt;&gt;"Arbeidskosten"),X1606*VLOOKUP(F1606,Tb_ProjectKosten[],MATCH(Tb_ProjectKosten[[#Headers],[Forfait_Percentage]],Tb_ProjectKosten[#Headers],0),0),AND(F1606="Arbeidskosten",G1606&lt;&gt;""),IFERROR(X1606*VLOOKUP(G1606,Tb_KostenTypen[],3,0)*VLOOKUP(F1606,Tb_ProjectKosten[],MATCH(Tb_ProjectKosten[[#Headers],[Forfait_Percentage]],Tb_ProjectKosten[#Headers],0),0),""),X1606 &lt;=0,0),"")</f>
        <v/>
      </c>
      <c r="AB1606" s="314" t="str">
        <f t="shared" ca="1" si="103"/>
        <v/>
      </c>
      <c r="AC1606" s="322"/>
      <c r="AD1606" s="315"/>
      <c r="AE1606" s="32" t="str" cm="1">
        <f t="array" ref="AE1606">IFERROR(IF(INDEX(SubsidieTabel!$AD$1:$AG$12,MATCH($F1606,SubsidieTabel!$AD$1:$AD$12,0),IFERROR(MATCH(Methode_Keuze,SubsidieTabel!$AD$1:$AG$1,0),2))&lt;&gt;1=TRUE,"ja",""),"")</f>
        <v/>
      </c>
    </row>
    <row r="1607" spans="1:31" x14ac:dyDescent="0.25">
      <c r="A1607" s="316"/>
      <c r="B1607" s="317" t="str">
        <f>IF(A1607&lt;&gt;"",_xlfn.MAXIFS($B$1:B1606,$A$1:A1606,A1607)+1,"")</f>
        <v/>
      </c>
      <c r="C1607" s="296"/>
      <c r="D1607" s="296"/>
      <c r="E1607" s="296"/>
      <c r="F1607" s="296"/>
      <c r="G1607" s="326"/>
      <c r="H1607" s="324"/>
      <c r="I1607" s="325"/>
      <c r="J1607" s="325"/>
      <c r="K1607" s="318"/>
      <c r="L1607" s="318"/>
      <c r="M1607" s="319" t="str">
        <f>IFERROR(VLOOKUP(H1607,Lijsten!$H$1:$I$100,2,0),"")</f>
        <v/>
      </c>
      <c r="N1607" s="319" t="str">
        <f ca="1">IFERROR(IF(VLOOKUP(F1607,Kostentypen!$A$3:$E$21,3,0)=0,"",IF(OR(F1607="Arbeidskosten",F1607="Vergoeding"),VLOOKUP(G1607,Tb_KostenTypen[],2,0),VLOOKUP(F1607,Kostentypen!$A$3:$E$20,3,0))),"")</f>
        <v/>
      </c>
      <c r="O1607" s="320" t="str" cm="1">
        <f t="array" ref="O1607">_xlfn.IFNA(IF(INDEX(Tb_KostenOptiesDB[],MATCH($F1607,Tb_KostenOptiesDB[KostenOptie],0),IFERROR(MATCH(Methode_Keuze,Tb_KostenOptiesDB[#Headers],0),2))=1,_xlfn.SWITCH($N1607,"Uurtarief",IF(OR(AND(RIGHT($F1607,3)="IKS",VLOOKUP($M1607,DB_Loonkosten,2,0)="Ja"),AND(RIGHT($F1607,3)&lt;&gt;"IKS",VLOOKUP($M1607,DB_Loonkosten,2,0)="Nee")),IFERROR(VLOOKUP($M1607,DB_Loonkosten,24,0),""),0),"Vast tarief",IF(LEFT(F1607,8)="Bijdrage",VLOOKUP($F1607,Tb_KostenTypen[],MATCH(Lijsten!$P$1,Tb_KostenTypen[#Headers],0),0),VLOOKUP($G1607,Lijsten!L:P,MATCH(Lijsten!$P$1,Kop_Tarief_Vast,0),0))),""),"")</f>
        <v/>
      </c>
      <c r="P1607" s="320" t="str" cm="1">
        <f t="array" ref="P1607">_xlfn.IFNA(IF(INDEX(Tb_KostenOptiesDB[],MATCH($F1607,Tb_KostenOptiesDB[KostenOptie],0),IFERROR(MATCH(Methode_Keuze,Tb_KostenOptiesDB[#Headers],0),2))=1,_xlfn.SWITCH($N1607,"Uurtarief",IF(OR(AND(RIGHT($F1607,3)="IKS",VLOOKUP($M1607,DB_Loonkosten,2,0)="Ja"),AND(RIGHT($F1607,3)&lt;&gt;"IKS",VLOOKUP($M1607,DB_Loonkosten,2,0)="Nee")),IFERROR(VLOOKUP($M1607,DB_Loonkosten,25,0),""),0),"Vast tarief",IF(LEFT(F1607,8)="Bijdrage",VLOOKUP($F1607,Tb_KostenTypen[],MATCH(Lijsten!$P$1,Tb_KostenTypen[#Headers],0),0),VLOOKUP($G1607,Lijsten!L:P,MATCH(Lijsten!$P$1,Kop_Tarief_Vast,0),0))),""),"")</f>
        <v/>
      </c>
      <c r="Q1607" s="359"/>
      <c r="R1607" s="359"/>
      <c r="S1607" s="321"/>
      <c r="T1607" s="321"/>
      <c r="U1607" s="373" t="str">
        <f t="shared" si="100"/>
        <v/>
      </c>
      <c r="V1607" s="314" t="str">
        <f t="shared" si="101"/>
        <v/>
      </c>
      <c r="W1607" s="314" t="str" cm="1">
        <f t="array" aca="1" ref="W1607" ca="1">IFERROR(IF(AE1607&lt;&gt;"ja",_xlfn.IFNA(_xlfn.IFS(AND(O1607&lt;&gt;"",F1607&lt;&gt;"",RIGHT($N1607,6)="tarief",F1607="Vergoeding"),SUM(O1607)*FLOOR(SUM(Q1607),0.0001),AND(O1607&lt;&gt;"",F1607&lt;&gt;"",RIGHT($N1607,6)="tarief"),SUM(O1607)*FLOOR(SUM(Q1607),0.01),S1607&gt;0,IF(F1607&lt;&gt;"",FLOOR(SUM(S1607),0.01),"")),""),""),"")</f>
        <v/>
      </c>
      <c r="X1607" s="314" t="str" cm="1">
        <f t="array" aca="1" ref="X1607" ca="1">IFERROR(IF(AE1607&lt;&gt;"ja",_xlfn.IFNA(_xlfn.IFS(AND(P1607&lt;&gt;"",R1607&lt;&gt;"",RIGHT($N1607,6)="tarief",F1607="Vergoeding"),SUM(P1607)*FLOOR(SUM(R1607),0.0001),AND(P1607&lt;&gt;"",R1607&lt;&gt;"",RIGHT($N1607,6)="tarief"),P1607*FLOOR(R1607,0.01),T1607&gt;0,FLOOR(SUM(T1607),0.01)),""),""),"")</f>
        <v/>
      </c>
      <c r="Y1607" s="314" t="str">
        <f t="shared" ca="1" si="102"/>
        <v/>
      </c>
      <c r="Z1607" s="314" t="str" cm="1">
        <f t="array" aca="1" ref="Z1607" ca="1">IFERROR(_xlfn.IFS(OR(F1607="",LEFT(Methode_Keuze,4)="Geen",Methode_Keuze=""),"",AND(W1607&lt;&gt;"",F1607&lt;&gt;"Arbeidskosten"),W1607*VLOOKUP(F1607,Tb_ProjectKosten[],MATCH(Tb_ProjectKosten[[#Headers],[Forfait_Percentage]],Tb_ProjectKosten[#Headers],0),0),AND(F1607="Arbeidskosten",G1607&lt;&gt;""),IFERROR(W1607*VLOOKUP(G1607,Tb_KostenTypen[],3,0)*VLOOKUP(F1607,Tb_ProjectKosten[],MATCH(Tb_ProjectKosten[[#Headers],[Forfait_Percentage]],Tb_ProjectKosten[#Headers],0),0),""),W1607 &lt;=0,0),"")</f>
        <v/>
      </c>
      <c r="AA1607" s="314" t="str" cm="1">
        <f t="array" aca="1" ref="AA1607" ca="1">IFERROR(_xlfn.IFS(OR(F1607="",LEFT(Methode_Keuze,4)="Geen",Methode_Keuze=""),"",AND(X1607&lt;&gt;"",F1607&lt;&gt;"Arbeidskosten"),X1607*VLOOKUP(F1607,Tb_ProjectKosten[],MATCH(Tb_ProjectKosten[[#Headers],[Forfait_Percentage]],Tb_ProjectKosten[#Headers],0),0),AND(F1607="Arbeidskosten",G1607&lt;&gt;""),IFERROR(X1607*VLOOKUP(G1607,Tb_KostenTypen[],3,0)*VLOOKUP(F1607,Tb_ProjectKosten[],MATCH(Tb_ProjectKosten[[#Headers],[Forfait_Percentage]],Tb_ProjectKosten[#Headers],0),0),""),X1607 &lt;=0,0),"")</f>
        <v/>
      </c>
      <c r="AB1607" s="314" t="str">
        <f t="shared" ca="1" si="103"/>
        <v/>
      </c>
      <c r="AC1607" s="322"/>
      <c r="AD1607" s="315"/>
      <c r="AE1607" s="32" t="str" cm="1">
        <f t="array" ref="AE1607">IFERROR(IF(INDEX(SubsidieTabel!$AD$1:$AG$12,MATCH($F1607,SubsidieTabel!$AD$1:$AD$12,0),IFERROR(MATCH(Methode_Keuze,SubsidieTabel!$AD$1:$AG$1,0),2))&lt;&gt;1=TRUE,"ja",""),"")</f>
        <v/>
      </c>
    </row>
    <row r="1608" spans="1:31" x14ac:dyDescent="0.25">
      <c r="A1608" s="316"/>
      <c r="B1608" s="317" t="str">
        <f>IF(A1608&lt;&gt;"",_xlfn.MAXIFS($B$1:B1607,$A$1:A1607,A1608)+1,"")</f>
        <v/>
      </c>
      <c r="C1608" s="296"/>
      <c r="D1608" s="296"/>
      <c r="E1608" s="296"/>
      <c r="F1608" s="296"/>
      <c r="G1608" s="326"/>
      <c r="H1608" s="324"/>
      <c r="I1608" s="325"/>
      <c r="J1608" s="325"/>
      <c r="K1608" s="318"/>
      <c r="L1608" s="318"/>
      <c r="M1608" s="319" t="str">
        <f>IFERROR(VLOOKUP(H1608,Lijsten!$H$1:$I$100,2,0),"")</f>
        <v/>
      </c>
      <c r="N1608" s="319" t="str">
        <f ca="1">IFERROR(IF(VLOOKUP(F1608,Kostentypen!$A$3:$E$21,3,0)=0,"",IF(OR(F1608="Arbeidskosten",F1608="Vergoeding"),VLOOKUP(G1608,Tb_KostenTypen[],2,0),VLOOKUP(F1608,Kostentypen!$A$3:$E$20,3,0))),"")</f>
        <v/>
      </c>
      <c r="O1608" s="320" t="str" cm="1">
        <f t="array" ref="O1608">_xlfn.IFNA(IF(INDEX(Tb_KostenOptiesDB[],MATCH($F1608,Tb_KostenOptiesDB[KostenOptie],0),IFERROR(MATCH(Methode_Keuze,Tb_KostenOptiesDB[#Headers],0),2))=1,_xlfn.SWITCH($N1608,"Uurtarief",IF(OR(AND(RIGHT($F1608,3)="IKS",VLOOKUP($M1608,DB_Loonkosten,2,0)="Ja"),AND(RIGHT($F1608,3)&lt;&gt;"IKS",VLOOKUP($M1608,DB_Loonkosten,2,0)="Nee")),IFERROR(VLOOKUP($M1608,DB_Loonkosten,24,0),""),0),"Vast tarief",IF(LEFT(F1608,8)="Bijdrage",VLOOKUP($F1608,Tb_KostenTypen[],MATCH(Lijsten!$P$1,Tb_KostenTypen[#Headers],0),0),VLOOKUP($G1608,Lijsten!L:P,MATCH(Lijsten!$P$1,Kop_Tarief_Vast,0),0))),""),"")</f>
        <v/>
      </c>
      <c r="P1608" s="320" t="str" cm="1">
        <f t="array" ref="P1608">_xlfn.IFNA(IF(INDEX(Tb_KostenOptiesDB[],MATCH($F1608,Tb_KostenOptiesDB[KostenOptie],0),IFERROR(MATCH(Methode_Keuze,Tb_KostenOptiesDB[#Headers],0),2))=1,_xlfn.SWITCH($N1608,"Uurtarief",IF(OR(AND(RIGHT($F1608,3)="IKS",VLOOKUP($M1608,DB_Loonkosten,2,0)="Ja"),AND(RIGHT($F1608,3)&lt;&gt;"IKS",VLOOKUP($M1608,DB_Loonkosten,2,0)="Nee")),IFERROR(VLOOKUP($M1608,DB_Loonkosten,25,0),""),0),"Vast tarief",IF(LEFT(F1608,8)="Bijdrage",VLOOKUP($F1608,Tb_KostenTypen[],MATCH(Lijsten!$P$1,Tb_KostenTypen[#Headers],0),0),VLOOKUP($G1608,Lijsten!L:P,MATCH(Lijsten!$P$1,Kop_Tarief_Vast,0),0))),""),"")</f>
        <v/>
      </c>
      <c r="Q1608" s="359"/>
      <c r="R1608" s="359"/>
      <c r="S1608" s="321"/>
      <c r="T1608" s="321"/>
      <c r="U1608" s="373" t="str">
        <f t="shared" si="100"/>
        <v/>
      </c>
      <c r="V1608" s="314" t="str">
        <f t="shared" si="101"/>
        <v/>
      </c>
      <c r="W1608" s="314" t="str" cm="1">
        <f t="array" aca="1" ref="W1608" ca="1">IFERROR(IF(AE1608&lt;&gt;"ja",_xlfn.IFNA(_xlfn.IFS(AND(O1608&lt;&gt;"",F1608&lt;&gt;"",RIGHT($N1608,6)="tarief",F1608="Vergoeding"),SUM(O1608)*FLOOR(SUM(Q1608),0.0001),AND(O1608&lt;&gt;"",F1608&lt;&gt;"",RIGHT($N1608,6)="tarief"),SUM(O1608)*FLOOR(SUM(Q1608),0.01),S1608&gt;0,IF(F1608&lt;&gt;"",FLOOR(SUM(S1608),0.01),"")),""),""),"")</f>
        <v/>
      </c>
      <c r="X1608" s="314" t="str" cm="1">
        <f t="array" aca="1" ref="X1608" ca="1">IFERROR(IF(AE1608&lt;&gt;"ja",_xlfn.IFNA(_xlfn.IFS(AND(P1608&lt;&gt;"",R1608&lt;&gt;"",RIGHT($N1608,6)="tarief",F1608="Vergoeding"),SUM(P1608)*FLOOR(SUM(R1608),0.0001),AND(P1608&lt;&gt;"",R1608&lt;&gt;"",RIGHT($N1608,6)="tarief"),P1608*FLOOR(R1608,0.01),T1608&gt;0,FLOOR(SUM(T1608),0.01)),""),""),"")</f>
        <v/>
      </c>
      <c r="Y1608" s="314" t="str">
        <f t="shared" ca="1" si="102"/>
        <v/>
      </c>
      <c r="Z1608" s="314" t="str" cm="1">
        <f t="array" aca="1" ref="Z1608" ca="1">IFERROR(_xlfn.IFS(OR(F1608="",LEFT(Methode_Keuze,4)="Geen",Methode_Keuze=""),"",AND(W1608&lt;&gt;"",F1608&lt;&gt;"Arbeidskosten"),W1608*VLOOKUP(F1608,Tb_ProjectKosten[],MATCH(Tb_ProjectKosten[[#Headers],[Forfait_Percentage]],Tb_ProjectKosten[#Headers],0),0),AND(F1608="Arbeidskosten",G1608&lt;&gt;""),IFERROR(W1608*VLOOKUP(G1608,Tb_KostenTypen[],3,0)*VLOOKUP(F1608,Tb_ProjectKosten[],MATCH(Tb_ProjectKosten[[#Headers],[Forfait_Percentage]],Tb_ProjectKosten[#Headers],0),0),""),W1608 &lt;=0,0),"")</f>
        <v/>
      </c>
      <c r="AA1608" s="314" t="str" cm="1">
        <f t="array" aca="1" ref="AA1608" ca="1">IFERROR(_xlfn.IFS(OR(F1608="",LEFT(Methode_Keuze,4)="Geen",Methode_Keuze=""),"",AND(X1608&lt;&gt;"",F1608&lt;&gt;"Arbeidskosten"),X1608*VLOOKUP(F1608,Tb_ProjectKosten[],MATCH(Tb_ProjectKosten[[#Headers],[Forfait_Percentage]],Tb_ProjectKosten[#Headers],0),0),AND(F1608="Arbeidskosten",G1608&lt;&gt;""),IFERROR(X1608*VLOOKUP(G1608,Tb_KostenTypen[],3,0)*VLOOKUP(F1608,Tb_ProjectKosten[],MATCH(Tb_ProjectKosten[[#Headers],[Forfait_Percentage]],Tb_ProjectKosten[#Headers],0),0),""),X1608 &lt;=0,0),"")</f>
        <v/>
      </c>
      <c r="AB1608" s="314" t="str">
        <f t="shared" ca="1" si="103"/>
        <v/>
      </c>
      <c r="AC1608" s="322"/>
      <c r="AD1608" s="315"/>
      <c r="AE1608" s="32" t="str" cm="1">
        <f t="array" ref="AE1608">IFERROR(IF(INDEX(SubsidieTabel!$AD$1:$AG$12,MATCH($F1608,SubsidieTabel!$AD$1:$AD$12,0),IFERROR(MATCH(Methode_Keuze,SubsidieTabel!$AD$1:$AG$1,0),2))&lt;&gt;1=TRUE,"ja",""),"")</f>
        <v/>
      </c>
    </row>
    <row r="1609" spans="1:31" x14ac:dyDescent="0.25">
      <c r="A1609" s="316"/>
      <c r="B1609" s="317" t="str">
        <f>IF(A1609&lt;&gt;"",_xlfn.MAXIFS($B$1:B1608,$A$1:A1608,A1609)+1,"")</f>
        <v/>
      </c>
      <c r="C1609" s="296"/>
      <c r="D1609" s="296"/>
      <c r="E1609" s="296"/>
      <c r="F1609" s="296"/>
      <c r="G1609" s="326"/>
      <c r="H1609" s="324"/>
      <c r="I1609" s="325"/>
      <c r="J1609" s="325"/>
      <c r="K1609" s="318"/>
      <c r="L1609" s="318"/>
      <c r="M1609" s="319" t="str">
        <f>IFERROR(VLOOKUP(H1609,Lijsten!$H$1:$I$100,2,0),"")</f>
        <v/>
      </c>
      <c r="N1609" s="319" t="str">
        <f ca="1">IFERROR(IF(VLOOKUP(F1609,Kostentypen!$A$3:$E$21,3,0)=0,"",IF(OR(F1609="Arbeidskosten",F1609="Vergoeding"),VLOOKUP(G1609,Tb_KostenTypen[],2,0),VLOOKUP(F1609,Kostentypen!$A$3:$E$20,3,0))),"")</f>
        <v/>
      </c>
      <c r="O1609" s="320" t="str" cm="1">
        <f t="array" ref="O1609">_xlfn.IFNA(IF(INDEX(Tb_KostenOptiesDB[],MATCH($F1609,Tb_KostenOptiesDB[KostenOptie],0),IFERROR(MATCH(Methode_Keuze,Tb_KostenOptiesDB[#Headers],0),2))=1,_xlfn.SWITCH($N1609,"Uurtarief",IF(OR(AND(RIGHT($F1609,3)="IKS",VLOOKUP($M1609,DB_Loonkosten,2,0)="Ja"),AND(RIGHT($F1609,3)&lt;&gt;"IKS",VLOOKUP($M1609,DB_Loonkosten,2,0)="Nee")),IFERROR(VLOOKUP($M1609,DB_Loonkosten,24,0),""),0),"Vast tarief",IF(LEFT(F1609,8)="Bijdrage",VLOOKUP($F1609,Tb_KostenTypen[],MATCH(Lijsten!$P$1,Tb_KostenTypen[#Headers],0),0),VLOOKUP($G1609,Lijsten!L:P,MATCH(Lijsten!$P$1,Kop_Tarief_Vast,0),0))),""),"")</f>
        <v/>
      </c>
      <c r="P1609" s="320" t="str" cm="1">
        <f t="array" ref="P1609">_xlfn.IFNA(IF(INDEX(Tb_KostenOptiesDB[],MATCH($F1609,Tb_KostenOptiesDB[KostenOptie],0),IFERROR(MATCH(Methode_Keuze,Tb_KostenOptiesDB[#Headers],0),2))=1,_xlfn.SWITCH($N1609,"Uurtarief",IF(OR(AND(RIGHT($F1609,3)="IKS",VLOOKUP($M1609,DB_Loonkosten,2,0)="Ja"),AND(RIGHT($F1609,3)&lt;&gt;"IKS",VLOOKUP($M1609,DB_Loonkosten,2,0)="Nee")),IFERROR(VLOOKUP($M1609,DB_Loonkosten,25,0),""),0),"Vast tarief",IF(LEFT(F1609,8)="Bijdrage",VLOOKUP($F1609,Tb_KostenTypen[],MATCH(Lijsten!$P$1,Tb_KostenTypen[#Headers],0),0),VLOOKUP($G1609,Lijsten!L:P,MATCH(Lijsten!$P$1,Kop_Tarief_Vast,0),0))),""),"")</f>
        <v/>
      </c>
      <c r="Q1609" s="359"/>
      <c r="R1609" s="359"/>
      <c r="S1609" s="321"/>
      <c r="T1609" s="321"/>
      <c r="U1609" s="373" t="str">
        <f t="shared" si="100"/>
        <v/>
      </c>
      <c r="V1609" s="314" t="str">
        <f t="shared" si="101"/>
        <v/>
      </c>
      <c r="W1609" s="314" t="str" cm="1">
        <f t="array" aca="1" ref="W1609" ca="1">IFERROR(IF(AE1609&lt;&gt;"ja",_xlfn.IFNA(_xlfn.IFS(AND(O1609&lt;&gt;"",F1609&lt;&gt;"",RIGHT($N1609,6)="tarief",F1609="Vergoeding"),SUM(O1609)*FLOOR(SUM(Q1609),0.0001),AND(O1609&lt;&gt;"",F1609&lt;&gt;"",RIGHT($N1609,6)="tarief"),SUM(O1609)*FLOOR(SUM(Q1609),0.01),S1609&gt;0,IF(F1609&lt;&gt;"",FLOOR(SUM(S1609),0.01),"")),""),""),"")</f>
        <v/>
      </c>
      <c r="X1609" s="314" t="str" cm="1">
        <f t="array" aca="1" ref="X1609" ca="1">IFERROR(IF(AE1609&lt;&gt;"ja",_xlfn.IFNA(_xlfn.IFS(AND(P1609&lt;&gt;"",R1609&lt;&gt;"",RIGHT($N1609,6)="tarief",F1609="Vergoeding"),SUM(P1609)*FLOOR(SUM(R1609),0.0001),AND(P1609&lt;&gt;"",R1609&lt;&gt;"",RIGHT($N1609,6)="tarief"),P1609*FLOOR(R1609,0.01),T1609&gt;0,FLOOR(SUM(T1609),0.01)),""),""),"")</f>
        <v/>
      </c>
      <c r="Y1609" s="314" t="str">
        <f t="shared" ca="1" si="102"/>
        <v/>
      </c>
      <c r="Z1609" s="314" t="str" cm="1">
        <f t="array" aca="1" ref="Z1609" ca="1">IFERROR(_xlfn.IFS(OR(F1609="",LEFT(Methode_Keuze,4)="Geen",Methode_Keuze=""),"",AND(W1609&lt;&gt;"",F1609&lt;&gt;"Arbeidskosten"),W1609*VLOOKUP(F1609,Tb_ProjectKosten[],MATCH(Tb_ProjectKosten[[#Headers],[Forfait_Percentage]],Tb_ProjectKosten[#Headers],0),0),AND(F1609="Arbeidskosten",G1609&lt;&gt;""),IFERROR(W1609*VLOOKUP(G1609,Tb_KostenTypen[],3,0)*VLOOKUP(F1609,Tb_ProjectKosten[],MATCH(Tb_ProjectKosten[[#Headers],[Forfait_Percentage]],Tb_ProjectKosten[#Headers],0),0),""),W1609 &lt;=0,0),"")</f>
        <v/>
      </c>
      <c r="AA1609" s="314" t="str" cm="1">
        <f t="array" aca="1" ref="AA1609" ca="1">IFERROR(_xlfn.IFS(OR(F1609="",LEFT(Methode_Keuze,4)="Geen",Methode_Keuze=""),"",AND(X1609&lt;&gt;"",F1609&lt;&gt;"Arbeidskosten"),X1609*VLOOKUP(F1609,Tb_ProjectKosten[],MATCH(Tb_ProjectKosten[[#Headers],[Forfait_Percentage]],Tb_ProjectKosten[#Headers],0),0),AND(F1609="Arbeidskosten",G1609&lt;&gt;""),IFERROR(X1609*VLOOKUP(G1609,Tb_KostenTypen[],3,0)*VLOOKUP(F1609,Tb_ProjectKosten[],MATCH(Tb_ProjectKosten[[#Headers],[Forfait_Percentage]],Tb_ProjectKosten[#Headers],0),0),""),X1609 &lt;=0,0),"")</f>
        <v/>
      </c>
      <c r="AB1609" s="314" t="str">
        <f t="shared" ca="1" si="103"/>
        <v/>
      </c>
      <c r="AC1609" s="322"/>
      <c r="AD1609" s="315"/>
      <c r="AE1609" s="32" t="str" cm="1">
        <f t="array" ref="AE1609">IFERROR(IF(INDEX(SubsidieTabel!$AD$1:$AG$12,MATCH($F1609,SubsidieTabel!$AD$1:$AD$12,0),IFERROR(MATCH(Methode_Keuze,SubsidieTabel!$AD$1:$AG$1,0),2))&lt;&gt;1=TRUE,"ja",""),"")</f>
        <v/>
      </c>
    </row>
    <row r="1610" spans="1:31" x14ac:dyDescent="0.25">
      <c r="A1610" s="316"/>
      <c r="B1610" s="317" t="str">
        <f>IF(A1610&lt;&gt;"",_xlfn.MAXIFS($B$1:B1609,$A$1:A1609,A1610)+1,"")</f>
        <v/>
      </c>
      <c r="C1610" s="296"/>
      <c r="D1610" s="296"/>
      <c r="E1610" s="296"/>
      <c r="F1610" s="296"/>
      <c r="G1610" s="326"/>
      <c r="H1610" s="324"/>
      <c r="I1610" s="325"/>
      <c r="J1610" s="325"/>
      <c r="K1610" s="318"/>
      <c r="L1610" s="318"/>
      <c r="M1610" s="319" t="str">
        <f>IFERROR(VLOOKUP(H1610,Lijsten!$H$1:$I$100,2,0),"")</f>
        <v/>
      </c>
      <c r="N1610" s="319" t="str">
        <f ca="1">IFERROR(IF(VLOOKUP(F1610,Kostentypen!$A$3:$E$21,3,0)=0,"",IF(OR(F1610="Arbeidskosten",F1610="Vergoeding"),VLOOKUP(G1610,Tb_KostenTypen[],2,0),VLOOKUP(F1610,Kostentypen!$A$3:$E$20,3,0))),"")</f>
        <v/>
      </c>
      <c r="O1610" s="320" t="str" cm="1">
        <f t="array" ref="O1610">_xlfn.IFNA(IF(INDEX(Tb_KostenOptiesDB[],MATCH($F1610,Tb_KostenOptiesDB[KostenOptie],0),IFERROR(MATCH(Methode_Keuze,Tb_KostenOptiesDB[#Headers],0),2))=1,_xlfn.SWITCH($N1610,"Uurtarief",IF(OR(AND(RIGHT($F1610,3)="IKS",VLOOKUP($M1610,DB_Loonkosten,2,0)="Ja"),AND(RIGHT($F1610,3)&lt;&gt;"IKS",VLOOKUP($M1610,DB_Loonkosten,2,0)="Nee")),IFERROR(VLOOKUP($M1610,DB_Loonkosten,24,0),""),0),"Vast tarief",IF(LEFT(F1610,8)="Bijdrage",VLOOKUP($F1610,Tb_KostenTypen[],MATCH(Lijsten!$P$1,Tb_KostenTypen[#Headers],0),0),VLOOKUP($G1610,Lijsten!L:P,MATCH(Lijsten!$P$1,Kop_Tarief_Vast,0),0))),""),"")</f>
        <v/>
      </c>
      <c r="P1610" s="320" t="str" cm="1">
        <f t="array" ref="P1610">_xlfn.IFNA(IF(INDEX(Tb_KostenOptiesDB[],MATCH($F1610,Tb_KostenOptiesDB[KostenOptie],0),IFERROR(MATCH(Methode_Keuze,Tb_KostenOptiesDB[#Headers],0),2))=1,_xlfn.SWITCH($N1610,"Uurtarief",IF(OR(AND(RIGHT($F1610,3)="IKS",VLOOKUP($M1610,DB_Loonkosten,2,0)="Ja"),AND(RIGHT($F1610,3)&lt;&gt;"IKS",VLOOKUP($M1610,DB_Loonkosten,2,0)="Nee")),IFERROR(VLOOKUP($M1610,DB_Loonkosten,25,0),""),0),"Vast tarief",IF(LEFT(F1610,8)="Bijdrage",VLOOKUP($F1610,Tb_KostenTypen[],MATCH(Lijsten!$P$1,Tb_KostenTypen[#Headers],0),0),VLOOKUP($G1610,Lijsten!L:P,MATCH(Lijsten!$P$1,Kop_Tarief_Vast,0),0))),""),"")</f>
        <v/>
      </c>
      <c r="Q1610" s="359"/>
      <c r="R1610" s="359"/>
      <c r="S1610" s="321"/>
      <c r="T1610" s="321"/>
      <c r="U1610" s="373" t="str">
        <f t="shared" si="100"/>
        <v/>
      </c>
      <c r="V1610" s="314" t="str">
        <f t="shared" si="101"/>
        <v/>
      </c>
      <c r="W1610" s="314" t="str" cm="1">
        <f t="array" aca="1" ref="W1610" ca="1">IFERROR(IF(AE1610&lt;&gt;"ja",_xlfn.IFNA(_xlfn.IFS(AND(O1610&lt;&gt;"",F1610&lt;&gt;"",RIGHT($N1610,6)="tarief",F1610="Vergoeding"),SUM(O1610)*FLOOR(SUM(Q1610),0.0001),AND(O1610&lt;&gt;"",F1610&lt;&gt;"",RIGHT($N1610,6)="tarief"),SUM(O1610)*FLOOR(SUM(Q1610),0.01),S1610&gt;0,IF(F1610&lt;&gt;"",FLOOR(SUM(S1610),0.01),"")),""),""),"")</f>
        <v/>
      </c>
      <c r="X1610" s="314" t="str" cm="1">
        <f t="array" aca="1" ref="X1610" ca="1">IFERROR(IF(AE1610&lt;&gt;"ja",_xlfn.IFNA(_xlfn.IFS(AND(P1610&lt;&gt;"",R1610&lt;&gt;"",RIGHT($N1610,6)="tarief",F1610="Vergoeding"),SUM(P1610)*FLOOR(SUM(R1610),0.0001),AND(P1610&lt;&gt;"",R1610&lt;&gt;"",RIGHT($N1610,6)="tarief"),P1610*FLOOR(R1610,0.01),T1610&gt;0,FLOOR(SUM(T1610),0.01)),""),""),"")</f>
        <v/>
      </c>
      <c r="Y1610" s="314" t="str">
        <f t="shared" ca="1" si="102"/>
        <v/>
      </c>
      <c r="Z1610" s="314" t="str" cm="1">
        <f t="array" aca="1" ref="Z1610" ca="1">IFERROR(_xlfn.IFS(OR(F1610="",LEFT(Methode_Keuze,4)="Geen",Methode_Keuze=""),"",AND(W1610&lt;&gt;"",F1610&lt;&gt;"Arbeidskosten"),W1610*VLOOKUP(F1610,Tb_ProjectKosten[],MATCH(Tb_ProjectKosten[[#Headers],[Forfait_Percentage]],Tb_ProjectKosten[#Headers],0),0),AND(F1610="Arbeidskosten",G1610&lt;&gt;""),IFERROR(W1610*VLOOKUP(G1610,Tb_KostenTypen[],3,0)*VLOOKUP(F1610,Tb_ProjectKosten[],MATCH(Tb_ProjectKosten[[#Headers],[Forfait_Percentage]],Tb_ProjectKosten[#Headers],0),0),""),W1610 &lt;=0,0),"")</f>
        <v/>
      </c>
      <c r="AA1610" s="314" t="str" cm="1">
        <f t="array" aca="1" ref="AA1610" ca="1">IFERROR(_xlfn.IFS(OR(F1610="",LEFT(Methode_Keuze,4)="Geen",Methode_Keuze=""),"",AND(X1610&lt;&gt;"",F1610&lt;&gt;"Arbeidskosten"),X1610*VLOOKUP(F1610,Tb_ProjectKosten[],MATCH(Tb_ProjectKosten[[#Headers],[Forfait_Percentage]],Tb_ProjectKosten[#Headers],0),0),AND(F1610="Arbeidskosten",G1610&lt;&gt;""),IFERROR(X1610*VLOOKUP(G1610,Tb_KostenTypen[],3,0)*VLOOKUP(F1610,Tb_ProjectKosten[],MATCH(Tb_ProjectKosten[[#Headers],[Forfait_Percentage]],Tb_ProjectKosten[#Headers],0),0),""),X1610 &lt;=0,0),"")</f>
        <v/>
      </c>
      <c r="AB1610" s="314" t="str">
        <f t="shared" ca="1" si="103"/>
        <v/>
      </c>
      <c r="AC1610" s="322"/>
      <c r="AD1610" s="315"/>
      <c r="AE1610" s="32" t="str" cm="1">
        <f t="array" ref="AE1610">IFERROR(IF(INDEX(SubsidieTabel!$AD$1:$AG$12,MATCH($F1610,SubsidieTabel!$AD$1:$AD$12,0),IFERROR(MATCH(Methode_Keuze,SubsidieTabel!$AD$1:$AG$1,0),2))&lt;&gt;1=TRUE,"ja",""),"")</f>
        <v/>
      </c>
    </row>
    <row r="1611" spans="1:31" x14ac:dyDescent="0.25">
      <c r="A1611" s="316"/>
      <c r="B1611" s="317" t="str">
        <f>IF(A1611&lt;&gt;"",_xlfn.MAXIFS($B$1:B1610,$A$1:A1610,A1611)+1,"")</f>
        <v/>
      </c>
      <c r="C1611" s="296"/>
      <c r="D1611" s="296"/>
      <c r="E1611" s="296"/>
      <c r="F1611" s="296"/>
      <c r="G1611" s="326"/>
      <c r="H1611" s="324"/>
      <c r="I1611" s="325"/>
      <c r="J1611" s="325"/>
      <c r="K1611" s="318"/>
      <c r="L1611" s="318"/>
      <c r="M1611" s="319" t="str">
        <f>IFERROR(VLOOKUP(H1611,Lijsten!$H$1:$I$100,2,0),"")</f>
        <v/>
      </c>
      <c r="N1611" s="319" t="str">
        <f ca="1">IFERROR(IF(VLOOKUP(F1611,Kostentypen!$A$3:$E$21,3,0)=0,"",IF(OR(F1611="Arbeidskosten",F1611="Vergoeding"),VLOOKUP(G1611,Tb_KostenTypen[],2,0),VLOOKUP(F1611,Kostentypen!$A$3:$E$20,3,0))),"")</f>
        <v/>
      </c>
      <c r="O1611" s="320" t="str" cm="1">
        <f t="array" ref="O1611">_xlfn.IFNA(IF(INDEX(Tb_KostenOptiesDB[],MATCH($F1611,Tb_KostenOptiesDB[KostenOptie],0),IFERROR(MATCH(Methode_Keuze,Tb_KostenOptiesDB[#Headers],0),2))=1,_xlfn.SWITCH($N1611,"Uurtarief",IF(OR(AND(RIGHT($F1611,3)="IKS",VLOOKUP($M1611,DB_Loonkosten,2,0)="Ja"),AND(RIGHT($F1611,3)&lt;&gt;"IKS",VLOOKUP($M1611,DB_Loonkosten,2,0)="Nee")),IFERROR(VLOOKUP($M1611,DB_Loonkosten,24,0),""),0),"Vast tarief",IF(LEFT(F1611,8)="Bijdrage",VLOOKUP($F1611,Tb_KostenTypen[],MATCH(Lijsten!$P$1,Tb_KostenTypen[#Headers],0),0),VLOOKUP($G1611,Lijsten!L:P,MATCH(Lijsten!$P$1,Kop_Tarief_Vast,0),0))),""),"")</f>
        <v/>
      </c>
      <c r="P1611" s="320" t="str" cm="1">
        <f t="array" ref="P1611">_xlfn.IFNA(IF(INDEX(Tb_KostenOptiesDB[],MATCH($F1611,Tb_KostenOptiesDB[KostenOptie],0),IFERROR(MATCH(Methode_Keuze,Tb_KostenOptiesDB[#Headers],0),2))=1,_xlfn.SWITCH($N1611,"Uurtarief",IF(OR(AND(RIGHT($F1611,3)="IKS",VLOOKUP($M1611,DB_Loonkosten,2,0)="Ja"),AND(RIGHT($F1611,3)&lt;&gt;"IKS",VLOOKUP($M1611,DB_Loonkosten,2,0)="Nee")),IFERROR(VLOOKUP($M1611,DB_Loonkosten,25,0),""),0),"Vast tarief",IF(LEFT(F1611,8)="Bijdrage",VLOOKUP($F1611,Tb_KostenTypen[],MATCH(Lijsten!$P$1,Tb_KostenTypen[#Headers],0),0),VLOOKUP($G1611,Lijsten!L:P,MATCH(Lijsten!$P$1,Kop_Tarief_Vast,0),0))),""),"")</f>
        <v/>
      </c>
      <c r="Q1611" s="359"/>
      <c r="R1611" s="359"/>
      <c r="S1611" s="321"/>
      <c r="T1611" s="321"/>
      <c r="U1611" s="373" t="str">
        <f t="shared" si="100"/>
        <v/>
      </c>
      <c r="V1611" s="314" t="str">
        <f t="shared" si="101"/>
        <v/>
      </c>
      <c r="W1611" s="314" t="str" cm="1">
        <f t="array" aca="1" ref="W1611" ca="1">IFERROR(IF(AE1611&lt;&gt;"ja",_xlfn.IFNA(_xlfn.IFS(AND(O1611&lt;&gt;"",F1611&lt;&gt;"",RIGHT($N1611,6)="tarief",F1611="Vergoeding"),SUM(O1611)*FLOOR(SUM(Q1611),0.0001),AND(O1611&lt;&gt;"",F1611&lt;&gt;"",RIGHT($N1611,6)="tarief"),SUM(O1611)*FLOOR(SUM(Q1611),0.01),S1611&gt;0,IF(F1611&lt;&gt;"",FLOOR(SUM(S1611),0.01),"")),""),""),"")</f>
        <v/>
      </c>
      <c r="X1611" s="314" t="str" cm="1">
        <f t="array" aca="1" ref="X1611" ca="1">IFERROR(IF(AE1611&lt;&gt;"ja",_xlfn.IFNA(_xlfn.IFS(AND(P1611&lt;&gt;"",R1611&lt;&gt;"",RIGHT($N1611,6)="tarief",F1611="Vergoeding"),SUM(P1611)*FLOOR(SUM(R1611),0.0001),AND(P1611&lt;&gt;"",R1611&lt;&gt;"",RIGHT($N1611,6)="tarief"),P1611*FLOOR(R1611,0.01),T1611&gt;0,FLOOR(SUM(T1611),0.01)),""),""),"")</f>
        <v/>
      </c>
      <c r="Y1611" s="314" t="str">
        <f t="shared" ca="1" si="102"/>
        <v/>
      </c>
      <c r="Z1611" s="314" t="str" cm="1">
        <f t="array" aca="1" ref="Z1611" ca="1">IFERROR(_xlfn.IFS(OR(F1611="",LEFT(Methode_Keuze,4)="Geen",Methode_Keuze=""),"",AND(W1611&lt;&gt;"",F1611&lt;&gt;"Arbeidskosten"),W1611*VLOOKUP(F1611,Tb_ProjectKosten[],MATCH(Tb_ProjectKosten[[#Headers],[Forfait_Percentage]],Tb_ProjectKosten[#Headers],0),0),AND(F1611="Arbeidskosten",G1611&lt;&gt;""),IFERROR(W1611*VLOOKUP(G1611,Tb_KostenTypen[],3,0)*VLOOKUP(F1611,Tb_ProjectKosten[],MATCH(Tb_ProjectKosten[[#Headers],[Forfait_Percentage]],Tb_ProjectKosten[#Headers],0),0),""),W1611 &lt;=0,0),"")</f>
        <v/>
      </c>
      <c r="AA1611" s="314" t="str" cm="1">
        <f t="array" aca="1" ref="AA1611" ca="1">IFERROR(_xlfn.IFS(OR(F1611="",LEFT(Methode_Keuze,4)="Geen",Methode_Keuze=""),"",AND(X1611&lt;&gt;"",F1611&lt;&gt;"Arbeidskosten"),X1611*VLOOKUP(F1611,Tb_ProjectKosten[],MATCH(Tb_ProjectKosten[[#Headers],[Forfait_Percentage]],Tb_ProjectKosten[#Headers],0),0),AND(F1611="Arbeidskosten",G1611&lt;&gt;""),IFERROR(X1611*VLOOKUP(G1611,Tb_KostenTypen[],3,0)*VLOOKUP(F1611,Tb_ProjectKosten[],MATCH(Tb_ProjectKosten[[#Headers],[Forfait_Percentage]],Tb_ProjectKosten[#Headers],0),0),""),X1611 &lt;=0,0),"")</f>
        <v/>
      </c>
      <c r="AB1611" s="314" t="str">
        <f t="shared" ca="1" si="103"/>
        <v/>
      </c>
      <c r="AC1611" s="322"/>
      <c r="AD1611" s="315"/>
      <c r="AE1611" s="32" t="str" cm="1">
        <f t="array" ref="AE1611">IFERROR(IF(INDEX(SubsidieTabel!$AD$1:$AG$12,MATCH($F1611,SubsidieTabel!$AD$1:$AD$12,0),IFERROR(MATCH(Methode_Keuze,SubsidieTabel!$AD$1:$AG$1,0),2))&lt;&gt;1=TRUE,"ja",""),"")</f>
        <v/>
      </c>
    </row>
    <row r="1612" spans="1:31" x14ac:dyDescent="0.25">
      <c r="A1612" s="316"/>
      <c r="B1612" s="317" t="str">
        <f>IF(A1612&lt;&gt;"",_xlfn.MAXIFS($B$1:B1611,$A$1:A1611,A1612)+1,"")</f>
        <v/>
      </c>
      <c r="C1612" s="296"/>
      <c r="D1612" s="296"/>
      <c r="E1612" s="296"/>
      <c r="F1612" s="296"/>
      <c r="G1612" s="326"/>
      <c r="H1612" s="324"/>
      <c r="I1612" s="325"/>
      <c r="J1612" s="325"/>
      <c r="K1612" s="318"/>
      <c r="L1612" s="318"/>
      <c r="M1612" s="319" t="str">
        <f>IFERROR(VLOOKUP(H1612,Lijsten!$H$1:$I$100,2,0),"")</f>
        <v/>
      </c>
      <c r="N1612" s="319" t="str">
        <f ca="1">IFERROR(IF(VLOOKUP(F1612,Kostentypen!$A$3:$E$21,3,0)=0,"",IF(OR(F1612="Arbeidskosten",F1612="Vergoeding"),VLOOKUP(G1612,Tb_KostenTypen[],2,0),VLOOKUP(F1612,Kostentypen!$A$3:$E$20,3,0))),"")</f>
        <v/>
      </c>
      <c r="O1612" s="320" t="str" cm="1">
        <f t="array" ref="O1612">_xlfn.IFNA(IF(INDEX(Tb_KostenOptiesDB[],MATCH($F1612,Tb_KostenOptiesDB[KostenOptie],0),IFERROR(MATCH(Methode_Keuze,Tb_KostenOptiesDB[#Headers],0),2))=1,_xlfn.SWITCH($N1612,"Uurtarief",IF(OR(AND(RIGHT($F1612,3)="IKS",VLOOKUP($M1612,DB_Loonkosten,2,0)="Ja"),AND(RIGHT($F1612,3)&lt;&gt;"IKS",VLOOKUP($M1612,DB_Loonkosten,2,0)="Nee")),IFERROR(VLOOKUP($M1612,DB_Loonkosten,24,0),""),0),"Vast tarief",IF(LEFT(F1612,8)="Bijdrage",VLOOKUP($F1612,Tb_KostenTypen[],MATCH(Lijsten!$P$1,Tb_KostenTypen[#Headers],0),0),VLOOKUP($G1612,Lijsten!L:P,MATCH(Lijsten!$P$1,Kop_Tarief_Vast,0),0))),""),"")</f>
        <v/>
      </c>
      <c r="P1612" s="320" t="str" cm="1">
        <f t="array" ref="P1612">_xlfn.IFNA(IF(INDEX(Tb_KostenOptiesDB[],MATCH($F1612,Tb_KostenOptiesDB[KostenOptie],0),IFERROR(MATCH(Methode_Keuze,Tb_KostenOptiesDB[#Headers],0),2))=1,_xlfn.SWITCH($N1612,"Uurtarief",IF(OR(AND(RIGHT($F1612,3)="IKS",VLOOKUP($M1612,DB_Loonkosten,2,0)="Ja"),AND(RIGHT($F1612,3)&lt;&gt;"IKS",VLOOKUP($M1612,DB_Loonkosten,2,0)="Nee")),IFERROR(VLOOKUP($M1612,DB_Loonkosten,25,0),""),0),"Vast tarief",IF(LEFT(F1612,8)="Bijdrage",VLOOKUP($F1612,Tb_KostenTypen[],MATCH(Lijsten!$P$1,Tb_KostenTypen[#Headers],0),0),VLOOKUP($G1612,Lijsten!L:P,MATCH(Lijsten!$P$1,Kop_Tarief_Vast,0),0))),""),"")</f>
        <v/>
      </c>
      <c r="Q1612" s="359"/>
      <c r="R1612" s="359"/>
      <c r="S1612" s="321"/>
      <c r="T1612" s="321"/>
      <c r="U1612" s="373" t="str">
        <f t="shared" si="100"/>
        <v/>
      </c>
      <c r="V1612" s="314" t="str">
        <f t="shared" si="101"/>
        <v/>
      </c>
      <c r="W1612" s="314" t="str" cm="1">
        <f t="array" aca="1" ref="W1612" ca="1">IFERROR(IF(AE1612&lt;&gt;"ja",_xlfn.IFNA(_xlfn.IFS(AND(O1612&lt;&gt;"",F1612&lt;&gt;"",RIGHT($N1612,6)="tarief",F1612="Vergoeding"),SUM(O1612)*FLOOR(SUM(Q1612),0.0001),AND(O1612&lt;&gt;"",F1612&lt;&gt;"",RIGHT($N1612,6)="tarief"),SUM(O1612)*FLOOR(SUM(Q1612),0.01),S1612&gt;0,IF(F1612&lt;&gt;"",FLOOR(SUM(S1612),0.01),"")),""),""),"")</f>
        <v/>
      </c>
      <c r="X1612" s="314" t="str" cm="1">
        <f t="array" aca="1" ref="X1612" ca="1">IFERROR(IF(AE1612&lt;&gt;"ja",_xlfn.IFNA(_xlfn.IFS(AND(P1612&lt;&gt;"",R1612&lt;&gt;"",RIGHT($N1612,6)="tarief",F1612="Vergoeding"),SUM(P1612)*FLOOR(SUM(R1612),0.0001),AND(P1612&lt;&gt;"",R1612&lt;&gt;"",RIGHT($N1612,6)="tarief"),P1612*FLOOR(R1612,0.01),T1612&gt;0,FLOOR(SUM(T1612),0.01)),""),""),"")</f>
        <v/>
      </c>
      <c r="Y1612" s="314" t="str">
        <f t="shared" ca="1" si="102"/>
        <v/>
      </c>
      <c r="Z1612" s="314" t="str" cm="1">
        <f t="array" aca="1" ref="Z1612" ca="1">IFERROR(_xlfn.IFS(OR(F1612="",LEFT(Methode_Keuze,4)="Geen",Methode_Keuze=""),"",AND(W1612&lt;&gt;"",F1612&lt;&gt;"Arbeidskosten"),W1612*VLOOKUP(F1612,Tb_ProjectKosten[],MATCH(Tb_ProjectKosten[[#Headers],[Forfait_Percentage]],Tb_ProjectKosten[#Headers],0),0),AND(F1612="Arbeidskosten",G1612&lt;&gt;""),IFERROR(W1612*VLOOKUP(G1612,Tb_KostenTypen[],3,0)*VLOOKUP(F1612,Tb_ProjectKosten[],MATCH(Tb_ProjectKosten[[#Headers],[Forfait_Percentage]],Tb_ProjectKosten[#Headers],0),0),""),W1612 &lt;=0,0),"")</f>
        <v/>
      </c>
      <c r="AA1612" s="314" t="str" cm="1">
        <f t="array" aca="1" ref="AA1612" ca="1">IFERROR(_xlfn.IFS(OR(F1612="",LEFT(Methode_Keuze,4)="Geen",Methode_Keuze=""),"",AND(X1612&lt;&gt;"",F1612&lt;&gt;"Arbeidskosten"),X1612*VLOOKUP(F1612,Tb_ProjectKosten[],MATCH(Tb_ProjectKosten[[#Headers],[Forfait_Percentage]],Tb_ProjectKosten[#Headers],0),0),AND(F1612="Arbeidskosten",G1612&lt;&gt;""),IFERROR(X1612*VLOOKUP(G1612,Tb_KostenTypen[],3,0)*VLOOKUP(F1612,Tb_ProjectKosten[],MATCH(Tb_ProjectKosten[[#Headers],[Forfait_Percentage]],Tb_ProjectKosten[#Headers],0),0),""),X1612 &lt;=0,0),"")</f>
        <v/>
      </c>
      <c r="AB1612" s="314" t="str">
        <f t="shared" ca="1" si="103"/>
        <v/>
      </c>
      <c r="AC1612" s="322"/>
      <c r="AD1612" s="315"/>
      <c r="AE1612" s="32" t="str" cm="1">
        <f t="array" ref="AE1612">IFERROR(IF(INDEX(SubsidieTabel!$AD$1:$AG$12,MATCH($F1612,SubsidieTabel!$AD$1:$AD$12,0),IFERROR(MATCH(Methode_Keuze,SubsidieTabel!$AD$1:$AG$1,0),2))&lt;&gt;1=TRUE,"ja",""),"")</f>
        <v/>
      </c>
    </row>
    <row r="1613" spans="1:31" x14ac:dyDescent="0.25">
      <c r="A1613" s="316"/>
      <c r="B1613" s="317" t="str">
        <f>IF(A1613&lt;&gt;"",_xlfn.MAXIFS($B$1:B1612,$A$1:A1612,A1613)+1,"")</f>
        <v/>
      </c>
      <c r="C1613" s="296"/>
      <c r="D1613" s="296"/>
      <c r="E1613" s="296"/>
      <c r="F1613" s="296"/>
      <c r="G1613" s="326"/>
      <c r="H1613" s="324"/>
      <c r="I1613" s="325"/>
      <c r="J1613" s="325"/>
      <c r="K1613" s="318"/>
      <c r="L1613" s="318"/>
      <c r="M1613" s="319" t="str">
        <f>IFERROR(VLOOKUP(H1613,Lijsten!$H$1:$I$100,2,0),"")</f>
        <v/>
      </c>
      <c r="N1613" s="319" t="str">
        <f ca="1">IFERROR(IF(VLOOKUP(F1613,Kostentypen!$A$3:$E$21,3,0)=0,"",IF(OR(F1613="Arbeidskosten",F1613="Vergoeding"),VLOOKUP(G1613,Tb_KostenTypen[],2,0),VLOOKUP(F1613,Kostentypen!$A$3:$E$20,3,0))),"")</f>
        <v/>
      </c>
      <c r="O1613" s="320" t="str" cm="1">
        <f t="array" ref="O1613">_xlfn.IFNA(IF(INDEX(Tb_KostenOptiesDB[],MATCH($F1613,Tb_KostenOptiesDB[KostenOptie],0),IFERROR(MATCH(Methode_Keuze,Tb_KostenOptiesDB[#Headers],0),2))=1,_xlfn.SWITCH($N1613,"Uurtarief",IF(OR(AND(RIGHT($F1613,3)="IKS",VLOOKUP($M1613,DB_Loonkosten,2,0)="Ja"),AND(RIGHT($F1613,3)&lt;&gt;"IKS",VLOOKUP($M1613,DB_Loonkosten,2,0)="Nee")),IFERROR(VLOOKUP($M1613,DB_Loonkosten,24,0),""),0),"Vast tarief",IF(LEFT(F1613,8)="Bijdrage",VLOOKUP($F1613,Tb_KostenTypen[],MATCH(Lijsten!$P$1,Tb_KostenTypen[#Headers],0),0),VLOOKUP($G1613,Lijsten!L:P,MATCH(Lijsten!$P$1,Kop_Tarief_Vast,0),0))),""),"")</f>
        <v/>
      </c>
      <c r="P1613" s="320" t="str" cm="1">
        <f t="array" ref="P1613">_xlfn.IFNA(IF(INDEX(Tb_KostenOptiesDB[],MATCH($F1613,Tb_KostenOptiesDB[KostenOptie],0),IFERROR(MATCH(Methode_Keuze,Tb_KostenOptiesDB[#Headers],0),2))=1,_xlfn.SWITCH($N1613,"Uurtarief",IF(OR(AND(RIGHT($F1613,3)="IKS",VLOOKUP($M1613,DB_Loonkosten,2,0)="Ja"),AND(RIGHT($F1613,3)&lt;&gt;"IKS",VLOOKUP($M1613,DB_Loonkosten,2,0)="Nee")),IFERROR(VLOOKUP($M1613,DB_Loonkosten,25,0),""),0),"Vast tarief",IF(LEFT(F1613,8)="Bijdrage",VLOOKUP($F1613,Tb_KostenTypen[],MATCH(Lijsten!$P$1,Tb_KostenTypen[#Headers],0),0),VLOOKUP($G1613,Lijsten!L:P,MATCH(Lijsten!$P$1,Kop_Tarief_Vast,0),0))),""),"")</f>
        <v/>
      </c>
      <c r="Q1613" s="359"/>
      <c r="R1613" s="359"/>
      <c r="S1613" s="321"/>
      <c r="T1613" s="321"/>
      <c r="U1613" s="373" t="str">
        <f t="shared" si="100"/>
        <v/>
      </c>
      <c r="V1613" s="314" t="str">
        <f t="shared" si="101"/>
        <v/>
      </c>
      <c r="W1613" s="314" t="str" cm="1">
        <f t="array" aca="1" ref="W1613" ca="1">IFERROR(IF(AE1613&lt;&gt;"ja",_xlfn.IFNA(_xlfn.IFS(AND(O1613&lt;&gt;"",F1613&lt;&gt;"",RIGHT($N1613,6)="tarief",F1613="Vergoeding"),SUM(O1613)*FLOOR(SUM(Q1613),0.0001),AND(O1613&lt;&gt;"",F1613&lt;&gt;"",RIGHT($N1613,6)="tarief"),SUM(O1613)*FLOOR(SUM(Q1613),0.01),S1613&gt;0,IF(F1613&lt;&gt;"",FLOOR(SUM(S1613),0.01),"")),""),""),"")</f>
        <v/>
      </c>
      <c r="X1613" s="314" t="str" cm="1">
        <f t="array" aca="1" ref="X1613" ca="1">IFERROR(IF(AE1613&lt;&gt;"ja",_xlfn.IFNA(_xlfn.IFS(AND(P1613&lt;&gt;"",R1613&lt;&gt;"",RIGHT($N1613,6)="tarief",F1613="Vergoeding"),SUM(P1613)*FLOOR(SUM(R1613),0.0001),AND(P1613&lt;&gt;"",R1613&lt;&gt;"",RIGHT($N1613,6)="tarief"),P1613*FLOOR(R1613,0.01),T1613&gt;0,FLOOR(SUM(T1613),0.01)),""),""),"")</f>
        <v/>
      </c>
      <c r="Y1613" s="314" t="str">
        <f t="shared" ca="1" si="102"/>
        <v/>
      </c>
      <c r="Z1613" s="314" t="str" cm="1">
        <f t="array" aca="1" ref="Z1613" ca="1">IFERROR(_xlfn.IFS(OR(F1613="",LEFT(Methode_Keuze,4)="Geen",Methode_Keuze=""),"",AND(W1613&lt;&gt;"",F1613&lt;&gt;"Arbeidskosten"),W1613*VLOOKUP(F1613,Tb_ProjectKosten[],MATCH(Tb_ProjectKosten[[#Headers],[Forfait_Percentage]],Tb_ProjectKosten[#Headers],0),0),AND(F1613="Arbeidskosten",G1613&lt;&gt;""),IFERROR(W1613*VLOOKUP(G1613,Tb_KostenTypen[],3,0)*VLOOKUP(F1613,Tb_ProjectKosten[],MATCH(Tb_ProjectKosten[[#Headers],[Forfait_Percentage]],Tb_ProjectKosten[#Headers],0),0),""),W1613 &lt;=0,0),"")</f>
        <v/>
      </c>
      <c r="AA1613" s="314" t="str" cm="1">
        <f t="array" aca="1" ref="AA1613" ca="1">IFERROR(_xlfn.IFS(OR(F1613="",LEFT(Methode_Keuze,4)="Geen",Methode_Keuze=""),"",AND(X1613&lt;&gt;"",F1613&lt;&gt;"Arbeidskosten"),X1613*VLOOKUP(F1613,Tb_ProjectKosten[],MATCH(Tb_ProjectKosten[[#Headers],[Forfait_Percentage]],Tb_ProjectKosten[#Headers],0),0),AND(F1613="Arbeidskosten",G1613&lt;&gt;""),IFERROR(X1613*VLOOKUP(G1613,Tb_KostenTypen[],3,0)*VLOOKUP(F1613,Tb_ProjectKosten[],MATCH(Tb_ProjectKosten[[#Headers],[Forfait_Percentage]],Tb_ProjectKosten[#Headers],0),0),""),X1613 &lt;=0,0),"")</f>
        <v/>
      </c>
      <c r="AB1613" s="314" t="str">
        <f t="shared" ca="1" si="103"/>
        <v/>
      </c>
      <c r="AC1613" s="322"/>
      <c r="AD1613" s="315"/>
      <c r="AE1613" s="32" t="str" cm="1">
        <f t="array" ref="AE1613">IFERROR(IF(INDEX(SubsidieTabel!$AD$1:$AG$12,MATCH($F1613,SubsidieTabel!$AD$1:$AD$12,0),IFERROR(MATCH(Methode_Keuze,SubsidieTabel!$AD$1:$AG$1,0),2))&lt;&gt;1=TRUE,"ja",""),"")</f>
        <v/>
      </c>
    </row>
    <row r="1614" spans="1:31" x14ac:dyDescent="0.25">
      <c r="A1614" s="316"/>
      <c r="B1614" s="317" t="str">
        <f>IF(A1614&lt;&gt;"",_xlfn.MAXIFS($B$1:B1613,$A$1:A1613,A1614)+1,"")</f>
        <v/>
      </c>
      <c r="C1614" s="296"/>
      <c r="D1614" s="296"/>
      <c r="E1614" s="296"/>
      <c r="F1614" s="296"/>
      <c r="G1614" s="326"/>
      <c r="H1614" s="324"/>
      <c r="I1614" s="325"/>
      <c r="J1614" s="325"/>
      <c r="K1614" s="318"/>
      <c r="L1614" s="318"/>
      <c r="M1614" s="319" t="str">
        <f>IFERROR(VLOOKUP(H1614,Lijsten!$H$1:$I$100,2,0),"")</f>
        <v/>
      </c>
      <c r="N1614" s="319" t="str">
        <f ca="1">IFERROR(IF(VLOOKUP(F1614,Kostentypen!$A$3:$E$21,3,0)=0,"",IF(OR(F1614="Arbeidskosten",F1614="Vergoeding"),VLOOKUP(G1614,Tb_KostenTypen[],2,0),VLOOKUP(F1614,Kostentypen!$A$3:$E$20,3,0))),"")</f>
        <v/>
      </c>
      <c r="O1614" s="320" t="str" cm="1">
        <f t="array" ref="O1614">_xlfn.IFNA(IF(INDEX(Tb_KostenOptiesDB[],MATCH($F1614,Tb_KostenOptiesDB[KostenOptie],0),IFERROR(MATCH(Methode_Keuze,Tb_KostenOptiesDB[#Headers],0),2))=1,_xlfn.SWITCH($N1614,"Uurtarief",IF(OR(AND(RIGHT($F1614,3)="IKS",VLOOKUP($M1614,DB_Loonkosten,2,0)="Ja"),AND(RIGHT($F1614,3)&lt;&gt;"IKS",VLOOKUP($M1614,DB_Loonkosten,2,0)="Nee")),IFERROR(VLOOKUP($M1614,DB_Loonkosten,24,0),""),0),"Vast tarief",IF(LEFT(F1614,8)="Bijdrage",VLOOKUP($F1614,Tb_KostenTypen[],MATCH(Lijsten!$P$1,Tb_KostenTypen[#Headers],0),0),VLOOKUP($G1614,Lijsten!L:P,MATCH(Lijsten!$P$1,Kop_Tarief_Vast,0),0))),""),"")</f>
        <v/>
      </c>
      <c r="P1614" s="320" t="str" cm="1">
        <f t="array" ref="P1614">_xlfn.IFNA(IF(INDEX(Tb_KostenOptiesDB[],MATCH($F1614,Tb_KostenOptiesDB[KostenOptie],0),IFERROR(MATCH(Methode_Keuze,Tb_KostenOptiesDB[#Headers],0),2))=1,_xlfn.SWITCH($N1614,"Uurtarief",IF(OR(AND(RIGHT($F1614,3)="IKS",VLOOKUP($M1614,DB_Loonkosten,2,0)="Ja"),AND(RIGHT($F1614,3)&lt;&gt;"IKS",VLOOKUP($M1614,DB_Loonkosten,2,0)="Nee")),IFERROR(VLOOKUP($M1614,DB_Loonkosten,25,0),""),0),"Vast tarief",IF(LEFT(F1614,8)="Bijdrage",VLOOKUP($F1614,Tb_KostenTypen[],MATCH(Lijsten!$P$1,Tb_KostenTypen[#Headers],0),0),VLOOKUP($G1614,Lijsten!L:P,MATCH(Lijsten!$P$1,Kop_Tarief_Vast,0),0))),""),"")</f>
        <v/>
      </c>
      <c r="Q1614" s="359"/>
      <c r="R1614" s="359"/>
      <c r="S1614" s="321"/>
      <c r="T1614" s="321"/>
      <c r="U1614" s="373" t="str">
        <f t="shared" si="100"/>
        <v/>
      </c>
      <c r="V1614" s="314" t="str">
        <f t="shared" si="101"/>
        <v/>
      </c>
      <c r="W1614" s="314" t="str" cm="1">
        <f t="array" aca="1" ref="W1614" ca="1">IFERROR(IF(AE1614&lt;&gt;"ja",_xlfn.IFNA(_xlfn.IFS(AND(O1614&lt;&gt;"",F1614&lt;&gt;"",RIGHT($N1614,6)="tarief",F1614="Vergoeding"),SUM(O1614)*FLOOR(SUM(Q1614),0.0001),AND(O1614&lt;&gt;"",F1614&lt;&gt;"",RIGHT($N1614,6)="tarief"),SUM(O1614)*FLOOR(SUM(Q1614),0.01),S1614&gt;0,IF(F1614&lt;&gt;"",FLOOR(SUM(S1614),0.01),"")),""),""),"")</f>
        <v/>
      </c>
      <c r="X1614" s="314" t="str" cm="1">
        <f t="array" aca="1" ref="X1614" ca="1">IFERROR(IF(AE1614&lt;&gt;"ja",_xlfn.IFNA(_xlfn.IFS(AND(P1614&lt;&gt;"",R1614&lt;&gt;"",RIGHT($N1614,6)="tarief",F1614="Vergoeding"),SUM(P1614)*FLOOR(SUM(R1614),0.0001),AND(P1614&lt;&gt;"",R1614&lt;&gt;"",RIGHT($N1614,6)="tarief"),P1614*FLOOR(R1614,0.01),T1614&gt;0,FLOOR(SUM(T1614),0.01)),""),""),"")</f>
        <v/>
      </c>
      <c r="Y1614" s="314" t="str">
        <f t="shared" ca="1" si="102"/>
        <v/>
      </c>
      <c r="Z1614" s="314" t="str" cm="1">
        <f t="array" aca="1" ref="Z1614" ca="1">IFERROR(_xlfn.IFS(OR(F1614="",LEFT(Methode_Keuze,4)="Geen",Methode_Keuze=""),"",AND(W1614&lt;&gt;"",F1614&lt;&gt;"Arbeidskosten"),W1614*VLOOKUP(F1614,Tb_ProjectKosten[],MATCH(Tb_ProjectKosten[[#Headers],[Forfait_Percentage]],Tb_ProjectKosten[#Headers],0),0),AND(F1614="Arbeidskosten",G1614&lt;&gt;""),IFERROR(W1614*VLOOKUP(G1614,Tb_KostenTypen[],3,0)*VLOOKUP(F1614,Tb_ProjectKosten[],MATCH(Tb_ProjectKosten[[#Headers],[Forfait_Percentage]],Tb_ProjectKosten[#Headers],0),0),""),W1614 &lt;=0,0),"")</f>
        <v/>
      </c>
      <c r="AA1614" s="314" t="str" cm="1">
        <f t="array" aca="1" ref="AA1614" ca="1">IFERROR(_xlfn.IFS(OR(F1614="",LEFT(Methode_Keuze,4)="Geen",Methode_Keuze=""),"",AND(X1614&lt;&gt;"",F1614&lt;&gt;"Arbeidskosten"),X1614*VLOOKUP(F1614,Tb_ProjectKosten[],MATCH(Tb_ProjectKosten[[#Headers],[Forfait_Percentage]],Tb_ProjectKosten[#Headers],0),0),AND(F1614="Arbeidskosten",G1614&lt;&gt;""),IFERROR(X1614*VLOOKUP(G1614,Tb_KostenTypen[],3,0)*VLOOKUP(F1614,Tb_ProjectKosten[],MATCH(Tb_ProjectKosten[[#Headers],[Forfait_Percentage]],Tb_ProjectKosten[#Headers],0),0),""),X1614 &lt;=0,0),"")</f>
        <v/>
      </c>
      <c r="AB1614" s="314" t="str">
        <f t="shared" ca="1" si="103"/>
        <v/>
      </c>
      <c r="AC1614" s="322"/>
      <c r="AD1614" s="315"/>
      <c r="AE1614" s="32" t="str" cm="1">
        <f t="array" ref="AE1614">IFERROR(IF(INDEX(SubsidieTabel!$AD$1:$AG$12,MATCH($F1614,SubsidieTabel!$AD$1:$AD$12,0),IFERROR(MATCH(Methode_Keuze,SubsidieTabel!$AD$1:$AG$1,0),2))&lt;&gt;1=TRUE,"ja",""),"")</f>
        <v/>
      </c>
    </row>
    <row r="1615" spans="1:31" x14ac:dyDescent="0.25">
      <c r="A1615" s="316"/>
      <c r="B1615" s="317" t="str">
        <f>IF(A1615&lt;&gt;"",_xlfn.MAXIFS($B$1:B1614,$A$1:A1614,A1615)+1,"")</f>
        <v/>
      </c>
      <c r="C1615" s="296"/>
      <c r="D1615" s="296"/>
      <c r="E1615" s="296"/>
      <c r="F1615" s="296"/>
      <c r="G1615" s="326"/>
      <c r="H1615" s="324"/>
      <c r="I1615" s="325"/>
      <c r="J1615" s="325"/>
      <c r="K1615" s="318"/>
      <c r="L1615" s="318"/>
      <c r="M1615" s="319" t="str">
        <f>IFERROR(VLOOKUP(H1615,Lijsten!$H$1:$I$100,2,0),"")</f>
        <v/>
      </c>
      <c r="N1615" s="319" t="str">
        <f ca="1">IFERROR(IF(VLOOKUP(F1615,Kostentypen!$A$3:$E$21,3,0)=0,"",IF(OR(F1615="Arbeidskosten",F1615="Vergoeding"),VLOOKUP(G1615,Tb_KostenTypen[],2,0),VLOOKUP(F1615,Kostentypen!$A$3:$E$20,3,0))),"")</f>
        <v/>
      </c>
      <c r="O1615" s="320" t="str" cm="1">
        <f t="array" ref="O1615">_xlfn.IFNA(IF(INDEX(Tb_KostenOptiesDB[],MATCH($F1615,Tb_KostenOptiesDB[KostenOptie],0),IFERROR(MATCH(Methode_Keuze,Tb_KostenOptiesDB[#Headers],0),2))=1,_xlfn.SWITCH($N1615,"Uurtarief",IF(OR(AND(RIGHT($F1615,3)="IKS",VLOOKUP($M1615,DB_Loonkosten,2,0)="Ja"),AND(RIGHT($F1615,3)&lt;&gt;"IKS",VLOOKUP($M1615,DB_Loonkosten,2,0)="Nee")),IFERROR(VLOOKUP($M1615,DB_Loonkosten,24,0),""),0),"Vast tarief",IF(LEFT(F1615,8)="Bijdrage",VLOOKUP($F1615,Tb_KostenTypen[],MATCH(Lijsten!$P$1,Tb_KostenTypen[#Headers],0),0),VLOOKUP($G1615,Lijsten!L:P,MATCH(Lijsten!$P$1,Kop_Tarief_Vast,0),0))),""),"")</f>
        <v/>
      </c>
      <c r="P1615" s="320" t="str" cm="1">
        <f t="array" ref="P1615">_xlfn.IFNA(IF(INDEX(Tb_KostenOptiesDB[],MATCH($F1615,Tb_KostenOptiesDB[KostenOptie],0),IFERROR(MATCH(Methode_Keuze,Tb_KostenOptiesDB[#Headers],0),2))=1,_xlfn.SWITCH($N1615,"Uurtarief",IF(OR(AND(RIGHT($F1615,3)="IKS",VLOOKUP($M1615,DB_Loonkosten,2,0)="Ja"),AND(RIGHT($F1615,3)&lt;&gt;"IKS",VLOOKUP($M1615,DB_Loonkosten,2,0)="Nee")),IFERROR(VLOOKUP($M1615,DB_Loonkosten,25,0),""),0),"Vast tarief",IF(LEFT(F1615,8)="Bijdrage",VLOOKUP($F1615,Tb_KostenTypen[],MATCH(Lijsten!$P$1,Tb_KostenTypen[#Headers],0),0),VLOOKUP($G1615,Lijsten!L:P,MATCH(Lijsten!$P$1,Kop_Tarief_Vast,0),0))),""),"")</f>
        <v/>
      </c>
      <c r="Q1615" s="359"/>
      <c r="R1615" s="359"/>
      <c r="S1615" s="321"/>
      <c r="T1615" s="321"/>
      <c r="U1615" s="373" t="str">
        <f t="shared" si="100"/>
        <v/>
      </c>
      <c r="V1615" s="314" t="str">
        <f t="shared" si="101"/>
        <v/>
      </c>
      <c r="W1615" s="314" t="str" cm="1">
        <f t="array" aca="1" ref="W1615" ca="1">IFERROR(IF(AE1615&lt;&gt;"ja",_xlfn.IFNA(_xlfn.IFS(AND(O1615&lt;&gt;"",F1615&lt;&gt;"",RIGHT($N1615,6)="tarief",F1615="Vergoeding"),SUM(O1615)*FLOOR(SUM(Q1615),0.0001),AND(O1615&lt;&gt;"",F1615&lt;&gt;"",RIGHT($N1615,6)="tarief"),SUM(O1615)*FLOOR(SUM(Q1615),0.01),S1615&gt;0,IF(F1615&lt;&gt;"",FLOOR(SUM(S1615),0.01),"")),""),""),"")</f>
        <v/>
      </c>
      <c r="X1615" s="314" t="str" cm="1">
        <f t="array" aca="1" ref="X1615" ca="1">IFERROR(IF(AE1615&lt;&gt;"ja",_xlfn.IFNA(_xlfn.IFS(AND(P1615&lt;&gt;"",R1615&lt;&gt;"",RIGHT($N1615,6)="tarief",F1615="Vergoeding"),SUM(P1615)*FLOOR(SUM(R1615),0.0001),AND(P1615&lt;&gt;"",R1615&lt;&gt;"",RIGHT($N1615,6)="tarief"),P1615*FLOOR(R1615,0.01),T1615&gt;0,FLOOR(SUM(T1615),0.01)),""),""),"")</f>
        <v/>
      </c>
      <c r="Y1615" s="314" t="str">
        <f t="shared" ca="1" si="102"/>
        <v/>
      </c>
      <c r="Z1615" s="314" t="str" cm="1">
        <f t="array" aca="1" ref="Z1615" ca="1">IFERROR(_xlfn.IFS(OR(F1615="",LEFT(Methode_Keuze,4)="Geen",Methode_Keuze=""),"",AND(W1615&lt;&gt;"",F1615&lt;&gt;"Arbeidskosten"),W1615*VLOOKUP(F1615,Tb_ProjectKosten[],MATCH(Tb_ProjectKosten[[#Headers],[Forfait_Percentage]],Tb_ProjectKosten[#Headers],0),0),AND(F1615="Arbeidskosten",G1615&lt;&gt;""),IFERROR(W1615*VLOOKUP(G1615,Tb_KostenTypen[],3,0)*VLOOKUP(F1615,Tb_ProjectKosten[],MATCH(Tb_ProjectKosten[[#Headers],[Forfait_Percentage]],Tb_ProjectKosten[#Headers],0),0),""),W1615 &lt;=0,0),"")</f>
        <v/>
      </c>
      <c r="AA1615" s="314" t="str" cm="1">
        <f t="array" aca="1" ref="AA1615" ca="1">IFERROR(_xlfn.IFS(OR(F1615="",LEFT(Methode_Keuze,4)="Geen",Methode_Keuze=""),"",AND(X1615&lt;&gt;"",F1615&lt;&gt;"Arbeidskosten"),X1615*VLOOKUP(F1615,Tb_ProjectKosten[],MATCH(Tb_ProjectKosten[[#Headers],[Forfait_Percentage]],Tb_ProjectKosten[#Headers],0),0),AND(F1615="Arbeidskosten",G1615&lt;&gt;""),IFERROR(X1615*VLOOKUP(G1615,Tb_KostenTypen[],3,0)*VLOOKUP(F1615,Tb_ProjectKosten[],MATCH(Tb_ProjectKosten[[#Headers],[Forfait_Percentage]],Tb_ProjectKosten[#Headers],0),0),""),X1615 &lt;=0,0),"")</f>
        <v/>
      </c>
      <c r="AB1615" s="314" t="str">
        <f t="shared" ca="1" si="103"/>
        <v/>
      </c>
      <c r="AC1615" s="322"/>
      <c r="AD1615" s="315"/>
      <c r="AE1615" s="32" t="str" cm="1">
        <f t="array" ref="AE1615">IFERROR(IF(INDEX(SubsidieTabel!$AD$1:$AG$12,MATCH($F1615,SubsidieTabel!$AD$1:$AD$12,0),IFERROR(MATCH(Methode_Keuze,SubsidieTabel!$AD$1:$AG$1,0),2))&lt;&gt;1=TRUE,"ja",""),"")</f>
        <v/>
      </c>
    </row>
    <row r="1616" spans="1:31" x14ac:dyDescent="0.25">
      <c r="A1616" s="316"/>
      <c r="B1616" s="317" t="str">
        <f>IF(A1616&lt;&gt;"",_xlfn.MAXIFS($B$1:B1615,$A$1:A1615,A1616)+1,"")</f>
        <v/>
      </c>
      <c r="C1616" s="296"/>
      <c r="D1616" s="296"/>
      <c r="E1616" s="296"/>
      <c r="F1616" s="296"/>
      <c r="G1616" s="326"/>
      <c r="H1616" s="324"/>
      <c r="I1616" s="325"/>
      <c r="J1616" s="325"/>
      <c r="K1616" s="318"/>
      <c r="L1616" s="318"/>
      <c r="M1616" s="319" t="str">
        <f>IFERROR(VLOOKUP(H1616,Lijsten!$H$1:$I$100,2,0),"")</f>
        <v/>
      </c>
      <c r="N1616" s="319" t="str">
        <f ca="1">IFERROR(IF(VLOOKUP(F1616,Kostentypen!$A$3:$E$21,3,0)=0,"",IF(OR(F1616="Arbeidskosten",F1616="Vergoeding"),VLOOKUP(G1616,Tb_KostenTypen[],2,0),VLOOKUP(F1616,Kostentypen!$A$3:$E$20,3,0))),"")</f>
        <v/>
      </c>
      <c r="O1616" s="320" t="str" cm="1">
        <f t="array" ref="O1616">_xlfn.IFNA(IF(INDEX(Tb_KostenOptiesDB[],MATCH($F1616,Tb_KostenOptiesDB[KostenOptie],0),IFERROR(MATCH(Methode_Keuze,Tb_KostenOptiesDB[#Headers],0),2))=1,_xlfn.SWITCH($N1616,"Uurtarief",IF(OR(AND(RIGHT($F1616,3)="IKS",VLOOKUP($M1616,DB_Loonkosten,2,0)="Ja"),AND(RIGHT($F1616,3)&lt;&gt;"IKS",VLOOKUP($M1616,DB_Loonkosten,2,0)="Nee")),IFERROR(VLOOKUP($M1616,DB_Loonkosten,24,0),""),0),"Vast tarief",IF(LEFT(F1616,8)="Bijdrage",VLOOKUP($F1616,Tb_KostenTypen[],MATCH(Lijsten!$P$1,Tb_KostenTypen[#Headers],0),0),VLOOKUP($G1616,Lijsten!L:P,MATCH(Lijsten!$P$1,Kop_Tarief_Vast,0),0))),""),"")</f>
        <v/>
      </c>
      <c r="P1616" s="320" t="str" cm="1">
        <f t="array" ref="P1616">_xlfn.IFNA(IF(INDEX(Tb_KostenOptiesDB[],MATCH($F1616,Tb_KostenOptiesDB[KostenOptie],0),IFERROR(MATCH(Methode_Keuze,Tb_KostenOptiesDB[#Headers],0),2))=1,_xlfn.SWITCH($N1616,"Uurtarief",IF(OR(AND(RIGHT($F1616,3)="IKS",VLOOKUP($M1616,DB_Loonkosten,2,0)="Ja"),AND(RIGHT($F1616,3)&lt;&gt;"IKS",VLOOKUP($M1616,DB_Loonkosten,2,0)="Nee")),IFERROR(VLOOKUP($M1616,DB_Loonkosten,25,0),""),0),"Vast tarief",IF(LEFT(F1616,8)="Bijdrage",VLOOKUP($F1616,Tb_KostenTypen[],MATCH(Lijsten!$P$1,Tb_KostenTypen[#Headers],0),0),VLOOKUP($G1616,Lijsten!L:P,MATCH(Lijsten!$P$1,Kop_Tarief_Vast,0),0))),""),"")</f>
        <v/>
      </c>
      <c r="Q1616" s="359"/>
      <c r="R1616" s="359"/>
      <c r="S1616" s="321"/>
      <c r="T1616" s="321"/>
      <c r="U1616" s="373" t="str">
        <f t="shared" si="100"/>
        <v/>
      </c>
      <c r="V1616" s="314" t="str">
        <f t="shared" si="101"/>
        <v/>
      </c>
      <c r="W1616" s="314" t="str" cm="1">
        <f t="array" aca="1" ref="W1616" ca="1">IFERROR(IF(AE1616&lt;&gt;"ja",_xlfn.IFNA(_xlfn.IFS(AND(O1616&lt;&gt;"",F1616&lt;&gt;"",RIGHT($N1616,6)="tarief",F1616="Vergoeding"),SUM(O1616)*FLOOR(SUM(Q1616),0.0001),AND(O1616&lt;&gt;"",F1616&lt;&gt;"",RIGHT($N1616,6)="tarief"),SUM(O1616)*FLOOR(SUM(Q1616),0.01),S1616&gt;0,IF(F1616&lt;&gt;"",FLOOR(SUM(S1616),0.01),"")),""),""),"")</f>
        <v/>
      </c>
      <c r="X1616" s="314" t="str" cm="1">
        <f t="array" aca="1" ref="X1616" ca="1">IFERROR(IF(AE1616&lt;&gt;"ja",_xlfn.IFNA(_xlfn.IFS(AND(P1616&lt;&gt;"",R1616&lt;&gt;"",RIGHT($N1616,6)="tarief",F1616="Vergoeding"),SUM(P1616)*FLOOR(SUM(R1616),0.0001),AND(P1616&lt;&gt;"",R1616&lt;&gt;"",RIGHT($N1616,6)="tarief"),P1616*FLOOR(R1616,0.01),T1616&gt;0,FLOOR(SUM(T1616),0.01)),""),""),"")</f>
        <v/>
      </c>
      <c r="Y1616" s="314" t="str">
        <f t="shared" ca="1" si="102"/>
        <v/>
      </c>
      <c r="Z1616" s="314" t="str" cm="1">
        <f t="array" aca="1" ref="Z1616" ca="1">IFERROR(_xlfn.IFS(OR(F1616="",LEFT(Methode_Keuze,4)="Geen",Methode_Keuze=""),"",AND(W1616&lt;&gt;"",F1616&lt;&gt;"Arbeidskosten"),W1616*VLOOKUP(F1616,Tb_ProjectKosten[],MATCH(Tb_ProjectKosten[[#Headers],[Forfait_Percentage]],Tb_ProjectKosten[#Headers],0),0),AND(F1616="Arbeidskosten",G1616&lt;&gt;""),IFERROR(W1616*VLOOKUP(G1616,Tb_KostenTypen[],3,0)*VLOOKUP(F1616,Tb_ProjectKosten[],MATCH(Tb_ProjectKosten[[#Headers],[Forfait_Percentage]],Tb_ProjectKosten[#Headers],0),0),""),W1616 &lt;=0,0),"")</f>
        <v/>
      </c>
      <c r="AA1616" s="314" t="str" cm="1">
        <f t="array" aca="1" ref="AA1616" ca="1">IFERROR(_xlfn.IFS(OR(F1616="",LEFT(Methode_Keuze,4)="Geen",Methode_Keuze=""),"",AND(X1616&lt;&gt;"",F1616&lt;&gt;"Arbeidskosten"),X1616*VLOOKUP(F1616,Tb_ProjectKosten[],MATCH(Tb_ProjectKosten[[#Headers],[Forfait_Percentage]],Tb_ProjectKosten[#Headers],0),0),AND(F1616="Arbeidskosten",G1616&lt;&gt;""),IFERROR(X1616*VLOOKUP(G1616,Tb_KostenTypen[],3,0)*VLOOKUP(F1616,Tb_ProjectKosten[],MATCH(Tb_ProjectKosten[[#Headers],[Forfait_Percentage]],Tb_ProjectKosten[#Headers],0),0),""),X1616 &lt;=0,0),"")</f>
        <v/>
      </c>
      <c r="AB1616" s="314" t="str">
        <f t="shared" ca="1" si="103"/>
        <v/>
      </c>
      <c r="AC1616" s="322"/>
      <c r="AD1616" s="315"/>
      <c r="AE1616" s="32" t="str" cm="1">
        <f t="array" ref="AE1616">IFERROR(IF(INDEX(SubsidieTabel!$AD$1:$AG$12,MATCH($F1616,SubsidieTabel!$AD$1:$AD$12,0),IFERROR(MATCH(Methode_Keuze,SubsidieTabel!$AD$1:$AG$1,0),2))&lt;&gt;1=TRUE,"ja",""),"")</f>
        <v/>
      </c>
    </row>
    <row r="1617" spans="1:31" x14ac:dyDescent="0.25">
      <c r="A1617" s="316"/>
      <c r="B1617" s="317" t="str">
        <f>IF(A1617&lt;&gt;"",_xlfn.MAXIFS($B$1:B1616,$A$1:A1616,A1617)+1,"")</f>
        <v/>
      </c>
      <c r="C1617" s="296"/>
      <c r="D1617" s="296"/>
      <c r="E1617" s="296"/>
      <c r="F1617" s="296"/>
      <c r="G1617" s="326"/>
      <c r="H1617" s="324"/>
      <c r="I1617" s="325"/>
      <c r="J1617" s="325"/>
      <c r="K1617" s="318"/>
      <c r="L1617" s="318"/>
      <c r="M1617" s="319" t="str">
        <f>IFERROR(VLOOKUP(H1617,Lijsten!$H$1:$I$100,2,0),"")</f>
        <v/>
      </c>
      <c r="N1617" s="319" t="str">
        <f ca="1">IFERROR(IF(VLOOKUP(F1617,Kostentypen!$A$3:$E$21,3,0)=0,"",IF(OR(F1617="Arbeidskosten",F1617="Vergoeding"),VLOOKUP(G1617,Tb_KostenTypen[],2,0),VLOOKUP(F1617,Kostentypen!$A$3:$E$20,3,0))),"")</f>
        <v/>
      </c>
      <c r="O1617" s="320" t="str" cm="1">
        <f t="array" ref="O1617">_xlfn.IFNA(IF(INDEX(Tb_KostenOptiesDB[],MATCH($F1617,Tb_KostenOptiesDB[KostenOptie],0),IFERROR(MATCH(Methode_Keuze,Tb_KostenOptiesDB[#Headers],0),2))=1,_xlfn.SWITCH($N1617,"Uurtarief",IF(OR(AND(RIGHT($F1617,3)="IKS",VLOOKUP($M1617,DB_Loonkosten,2,0)="Ja"),AND(RIGHT($F1617,3)&lt;&gt;"IKS",VLOOKUP($M1617,DB_Loonkosten,2,0)="Nee")),IFERROR(VLOOKUP($M1617,DB_Loonkosten,24,0),""),0),"Vast tarief",IF(LEFT(F1617,8)="Bijdrage",VLOOKUP($F1617,Tb_KostenTypen[],MATCH(Lijsten!$P$1,Tb_KostenTypen[#Headers],0),0),VLOOKUP($G1617,Lijsten!L:P,MATCH(Lijsten!$P$1,Kop_Tarief_Vast,0),0))),""),"")</f>
        <v/>
      </c>
      <c r="P1617" s="320" t="str" cm="1">
        <f t="array" ref="P1617">_xlfn.IFNA(IF(INDEX(Tb_KostenOptiesDB[],MATCH($F1617,Tb_KostenOptiesDB[KostenOptie],0),IFERROR(MATCH(Methode_Keuze,Tb_KostenOptiesDB[#Headers],0),2))=1,_xlfn.SWITCH($N1617,"Uurtarief",IF(OR(AND(RIGHT($F1617,3)="IKS",VLOOKUP($M1617,DB_Loonkosten,2,0)="Ja"),AND(RIGHT($F1617,3)&lt;&gt;"IKS",VLOOKUP($M1617,DB_Loonkosten,2,0)="Nee")),IFERROR(VLOOKUP($M1617,DB_Loonkosten,25,0),""),0),"Vast tarief",IF(LEFT(F1617,8)="Bijdrage",VLOOKUP($F1617,Tb_KostenTypen[],MATCH(Lijsten!$P$1,Tb_KostenTypen[#Headers],0),0),VLOOKUP($G1617,Lijsten!L:P,MATCH(Lijsten!$P$1,Kop_Tarief_Vast,0),0))),""),"")</f>
        <v/>
      </c>
      <c r="Q1617" s="359"/>
      <c r="R1617" s="359"/>
      <c r="S1617" s="321"/>
      <c r="T1617" s="321"/>
      <c r="U1617" s="373" t="str">
        <f t="shared" si="100"/>
        <v/>
      </c>
      <c r="V1617" s="314" t="str">
        <f t="shared" si="101"/>
        <v/>
      </c>
      <c r="W1617" s="314" t="str" cm="1">
        <f t="array" aca="1" ref="W1617" ca="1">IFERROR(IF(AE1617&lt;&gt;"ja",_xlfn.IFNA(_xlfn.IFS(AND(O1617&lt;&gt;"",F1617&lt;&gt;"",RIGHT($N1617,6)="tarief",F1617="Vergoeding"),SUM(O1617)*FLOOR(SUM(Q1617),0.0001),AND(O1617&lt;&gt;"",F1617&lt;&gt;"",RIGHT($N1617,6)="tarief"),SUM(O1617)*FLOOR(SUM(Q1617),0.01),S1617&gt;0,IF(F1617&lt;&gt;"",FLOOR(SUM(S1617),0.01),"")),""),""),"")</f>
        <v/>
      </c>
      <c r="X1617" s="314" t="str" cm="1">
        <f t="array" aca="1" ref="X1617" ca="1">IFERROR(IF(AE1617&lt;&gt;"ja",_xlfn.IFNA(_xlfn.IFS(AND(P1617&lt;&gt;"",R1617&lt;&gt;"",RIGHT($N1617,6)="tarief",F1617="Vergoeding"),SUM(P1617)*FLOOR(SUM(R1617),0.0001),AND(P1617&lt;&gt;"",R1617&lt;&gt;"",RIGHT($N1617,6)="tarief"),P1617*FLOOR(R1617,0.01),T1617&gt;0,FLOOR(SUM(T1617),0.01)),""),""),"")</f>
        <v/>
      </c>
      <c r="Y1617" s="314" t="str">
        <f t="shared" ca="1" si="102"/>
        <v/>
      </c>
      <c r="Z1617" s="314" t="str" cm="1">
        <f t="array" aca="1" ref="Z1617" ca="1">IFERROR(_xlfn.IFS(OR(F1617="",LEFT(Methode_Keuze,4)="Geen",Methode_Keuze=""),"",AND(W1617&lt;&gt;"",F1617&lt;&gt;"Arbeidskosten"),W1617*VLOOKUP(F1617,Tb_ProjectKosten[],MATCH(Tb_ProjectKosten[[#Headers],[Forfait_Percentage]],Tb_ProjectKosten[#Headers],0),0),AND(F1617="Arbeidskosten",G1617&lt;&gt;""),IFERROR(W1617*VLOOKUP(G1617,Tb_KostenTypen[],3,0)*VLOOKUP(F1617,Tb_ProjectKosten[],MATCH(Tb_ProjectKosten[[#Headers],[Forfait_Percentage]],Tb_ProjectKosten[#Headers],0),0),""),W1617 &lt;=0,0),"")</f>
        <v/>
      </c>
      <c r="AA1617" s="314" t="str" cm="1">
        <f t="array" aca="1" ref="AA1617" ca="1">IFERROR(_xlfn.IFS(OR(F1617="",LEFT(Methode_Keuze,4)="Geen",Methode_Keuze=""),"",AND(X1617&lt;&gt;"",F1617&lt;&gt;"Arbeidskosten"),X1617*VLOOKUP(F1617,Tb_ProjectKosten[],MATCH(Tb_ProjectKosten[[#Headers],[Forfait_Percentage]],Tb_ProjectKosten[#Headers],0),0),AND(F1617="Arbeidskosten",G1617&lt;&gt;""),IFERROR(X1617*VLOOKUP(G1617,Tb_KostenTypen[],3,0)*VLOOKUP(F1617,Tb_ProjectKosten[],MATCH(Tb_ProjectKosten[[#Headers],[Forfait_Percentage]],Tb_ProjectKosten[#Headers],0),0),""),X1617 &lt;=0,0),"")</f>
        <v/>
      </c>
      <c r="AB1617" s="314" t="str">
        <f t="shared" ca="1" si="103"/>
        <v/>
      </c>
      <c r="AC1617" s="322"/>
      <c r="AD1617" s="315"/>
      <c r="AE1617" s="32" t="str" cm="1">
        <f t="array" ref="AE1617">IFERROR(IF(INDEX(SubsidieTabel!$AD$1:$AG$12,MATCH($F1617,SubsidieTabel!$AD$1:$AD$12,0),IFERROR(MATCH(Methode_Keuze,SubsidieTabel!$AD$1:$AG$1,0),2))&lt;&gt;1=TRUE,"ja",""),"")</f>
        <v/>
      </c>
    </row>
    <row r="1618" spans="1:31" x14ac:dyDescent="0.25">
      <c r="A1618" s="316"/>
      <c r="B1618" s="317" t="str">
        <f>IF(A1618&lt;&gt;"",_xlfn.MAXIFS($B$1:B1617,$A$1:A1617,A1618)+1,"")</f>
        <v/>
      </c>
      <c r="C1618" s="296"/>
      <c r="D1618" s="296"/>
      <c r="E1618" s="296"/>
      <c r="F1618" s="296"/>
      <c r="G1618" s="326"/>
      <c r="H1618" s="324"/>
      <c r="I1618" s="325"/>
      <c r="J1618" s="325"/>
      <c r="K1618" s="318"/>
      <c r="L1618" s="318"/>
      <c r="M1618" s="319" t="str">
        <f>IFERROR(VLOOKUP(H1618,Lijsten!$H$1:$I$100,2,0),"")</f>
        <v/>
      </c>
      <c r="N1618" s="319" t="str">
        <f ca="1">IFERROR(IF(VLOOKUP(F1618,Kostentypen!$A$3:$E$21,3,0)=0,"",IF(OR(F1618="Arbeidskosten",F1618="Vergoeding"),VLOOKUP(G1618,Tb_KostenTypen[],2,0),VLOOKUP(F1618,Kostentypen!$A$3:$E$20,3,0))),"")</f>
        <v/>
      </c>
      <c r="O1618" s="320" t="str" cm="1">
        <f t="array" ref="O1618">_xlfn.IFNA(IF(INDEX(Tb_KostenOptiesDB[],MATCH($F1618,Tb_KostenOptiesDB[KostenOptie],0),IFERROR(MATCH(Methode_Keuze,Tb_KostenOptiesDB[#Headers],0),2))=1,_xlfn.SWITCH($N1618,"Uurtarief",IF(OR(AND(RIGHT($F1618,3)="IKS",VLOOKUP($M1618,DB_Loonkosten,2,0)="Ja"),AND(RIGHT($F1618,3)&lt;&gt;"IKS",VLOOKUP($M1618,DB_Loonkosten,2,0)="Nee")),IFERROR(VLOOKUP($M1618,DB_Loonkosten,24,0),""),0),"Vast tarief",IF(LEFT(F1618,8)="Bijdrage",VLOOKUP($F1618,Tb_KostenTypen[],MATCH(Lijsten!$P$1,Tb_KostenTypen[#Headers],0),0),VLOOKUP($G1618,Lijsten!L:P,MATCH(Lijsten!$P$1,Kop_Tarief_Vast,0),0))),""),"")</f>
        <v/>
      </c>
      <c r="P1618" s="320" t="str" cm="1">
        <f t="array" ref="P1618">_xlfn.IFNA(IF(INDEX(Tb_KostenOptiesDB[],MATCH($F1618,Tb_KostenOptiesDB[KostenOptie],0),IFERROR(MATCH(Methode_Keuze,Tb_KostenOptiesDB[#Headers],0),2))=1,_xlfn.SWITCH($N1618,"Uurtarief",IF(OR(AND(RIGHT($F1618,3)="IKS",VLOOKUP($M1618,DB_Loonkosten,2,0)="Ja"),AND(RIGHT($F1618,3)&lt;&gt;"IKS",VLOOKUP($M1618,DB_Loonkosten,2,0)="Nee")),IFERROR(VLOOKUP($M1618,DB_Loonkosten,25,0),""),0),"Vast tarief",IF(LEFT(F1618,8)="Bijdrage",VLOOKUP($F1618,Tb_KostenTypen[],MATCH(Lijsten!$P$1,Tb_KostenTypen[#Headers],0),0),VLOOKUP($G1618,Lijsten!L:P,MATCH(Lijsten!$P$1,Kop_Tarief_Vast,0),0))),""),"")</f>
        <v/>
      </c>
      <c r="Q1618" s="359"/>
      <c r="R1618" s="359"/>
      <c r="S1618" s="321"/>
      <c r="T1618" s="321"/>
      <c r="U1618" s="373" t="str">
        <f t="shared" si="100"/>
        <v/>
      </c>
      <c r="V1618" s="314" t="str">
        <f t="shared" si="101"/>
        <v/>
      </c>
      <c r="W1618" s="314" t="str" cm="1">
        <f t="array" aca="1" ref="W1618" ca="1">IFERROR(IF(AE1618&lt;&gt;"ja",_xlfn.IFNA(_xlfn.IFS(AND(O1618&lt;&gt;"",F1618&lt;&gt;"",RIGHT($N1618,6)="tarief",F1618="Vergoeding"),SUM(O1618)*FLOOR(SUM(Q1618),0.0001),AND(O1618&lt;&gt;"",F1618&lt;&gt;"",RIGHT($N1618,6)="tarief"),SUM(O1618)*FLOOR(SUM(Q1618),0.01),S1618&gt;0,IF(F1618&lt;&gt;"",FLOOR(SUM(S1618),0.01),"")),""),""),"")</f>
        <v/>
      </c>
      <c r="X1618" s="314" t="str" cm="1">
        <f t="array" aca="1" ref="X1618" ca="1">IFERROR(IF(AE1618&lt;&gt;"ja",_xlfn.IFNA(_xlfn.IFS(AND(P1618&lt;&gt;"",R1618&lt;&gt;"",RIGHT($N1618,6)="tarief",F1618="Vergoeding"),SUM(P1618)*FLOOR(SUM(R1618),0.0001),AND(P1618&lt;&gt;"",R1618&lt;&gt;"",RIGHT($N1618,6)="tarief"),P1618*FLOOR(R1618,0.01),T1618&gt;0,FLOOR(SUM(T1618),0.01)),""),""),"")</f>
        <v/>
      </c>
      <c r="Y1618" s="314" t="str">
        <f t="shared" ca="1" si="102"/>
        <v/>
      </c>
      <c r="Z1618" s="314" t="str" cm="1">
        <f t="array" aca="1" ref="Z1618" ca="1">IFERROR(_xlfn.IFS(OR(F1618="",LEFT(Methode_Keuze,4)="Geen",Methode_Keuze=""),"",AND(W1618&lt;&gt;"",F1618&lt;&gt;"Arbeidskosten"),W1618*VLOOKUP(F1618,Tb_ProjectKosten[],MATCH(Tb_ProjectKosten[[#Headers],[Forfait_Percentage]],Tb_ProjectKosten[#Headers],0),0),AND(F1618="Arbeidskosten",G1618&lt;&gt;""),IFERROR(W1618*VLOOKUP(G1618,Tb_KostenTypen[],3,0)*VLOOKUP(F1618,Tb_ProjectKosten[],MATCH(Tb_ProjectKosten[[#Headers],[Forfait_Percentage]],Tb_ProjectKosten[#Headers],0),0),""),W1618 &lt;=0,0),"")</f>
        <v/>
      </c>
      <c r="AA1618" s="314" t="str" cm="1">
        <f t="array" aca="1" ref="AA1618" ca="1">IFERROR(_xlfn.IFS(OR(F1618="",LEFT(Methode_Keuze,4)="Geen",Methode_Keuze=""),"",AND(X1618&lt;&gt;"",F1618&lt;&gt;"Arbeidskosten"),X1618*VLOOKUP(F1618,Tb_ProjectKosten[],MATCH(Tb_ProjectKosten[[#Headers],[Forfait_Percentage]],Tb_ProjectKosten[#Headers],0),0),AND(F1618="Arbeidskosten",G1618&lt;&gt;""),IFERROR(X1618*VLOOKUP(G1618,Tb_KostenTypen[],3,0)*VLOOKUP(F1618,Tb_ProjectKosten[],MATCH(Tb_ProjectKosten[[#Headers],[Forfait_Percentage]],Tb_ProjectKosten[#Headers],0),0),""),X1618 &lt;=0,0),"")</f>
        <v/>
      </c>
      <c r="AB1618" s="314" t="str">
        <f t="shared" ca="1" si="103"/>
        <v/>
      </c>
      <c r="AC1618" s="322"/>
      <c r="AD1618" s="315"/>
      <c r="AE1618" s="32" t="str" cm="1">
        <f t="array" ref="AE1618">IFERROR(IF(INDEX(SubsidieTabel!$AD$1:$AG$12,MATCH($F1618,SubsidieTabel!$AD$1:$AD$12,0),IFERROR(MATCH(Methode_Keuze,SubsidieTabel!$AD$1:$AG$1,0),2))&lt;&gt;1=TRUE,"ja",""),"")</f>
        <v/>
      </c>
    </row>
    <row r="1619" spans="1:31" x14ac:dyDescent="0.25">
      <c r="A1619" s="316"/>
      <c r="B1619" s="317" t="str">
        <f>IF(A1619&lt;&gt;"",_xlfn.MAXIFS($B$1:B1618,$A$1:A1618,A1619)+1,"")</f>
        <v/>
      </c>
      <c r="C1619" s="296"/>
      <c r="D1619" s="296"/>
      <c r="E1619" s="296"/>
      <c r="F1619" s="296"/>
      <c r="G1619" s="326"/>
      <c r="H1619" s="324"/>
      <c r="I1619" s="325"/>
      <c r="J1619" s="325"/>
      <c r="K1619" s="318"/>
      <c r="L1619" s="318"/>
      <c r="M1619" s="319" t="str">
        <f>IFERROR(VLOOKUP(H1619,Lijsten!$H$1:$I$100,2,0),"")</f>
        <v/>
      </c>
      <c r="N1619" s="319" t="str">
        <f ca="1">IFERROR(IF(VLOOKUP(F1619,Kostentypen!$A$3:$E$21,3,0)=0,"",IF(OR(F1619="Arbeidskosten",F1619="Vergoeding"),VLOOKUP(G1619,Tb_KostenTypen[],2,0),VLOOKUP(F1619,Kostentypen!$A$3:$E$20,3,0))),"")</f>
        <v/>
      </c>
      <c r="O1619" s="320" t="str" cm="1">
        <f t="array" ref="O1619">_xlfn.IFNA(IF(INDEX(Tb_KostenOptiesDB[],MATCH($F1619,Tb_KostenOptiesDB[KostenOptie],0),IFERROR(MATCH(Methode_Keuze,Tb_KostenOptiesDB[#Headers],0),2))=1,_xlfn.SWITCH($N1619,"Uurtarief",IF(OR(AND(RIGHT($F1619,3)="IKS",VLOOKUP($M1619,DB_Loonkosten,2,0)="Ja"),AND(RIGHT($F1619,3)&lt;&gt;"IKS",VLOOKUP($M1619,DB_Loonkosten,2,0)="Nee")),IFERROR(VLOOKUP($M1619,DB_Loonkosten,24,0),""),0),"Vast tarief",IF(LEFT(F1619,8)="Bijdrage",VLOOKUP($F1619,Tb_KostenTypen[],MATCH(Lijsten!$P$1,Tb_KostenTypen[#Headers],0),0),VLOOKUP($G1619,Lijsten!L:P,MATCH(Lijsten!$P$1,Kop_Tarief_Vast,0),0))),""),"")</f>
        <v/>
      </c>
      <c r="P1619" s="320" t="str" cm="1">
        <f t="array" ref="P1619">_xlfn.IFNA(IF(INDEX(Tb_KostenOptiesDB[],MATCH($F1619,Tb_KostenOptiesDB[KostenOptie],0),IFERROR(MATCH(Methode_Keuze,Tb_KostenOptiesDB[#Headers],0),2))=1,_xlfn.SWITCH($N1619,"Uurtarief",IF(OR(AND(RIGHT($F1619,3)="IKS",VLOOKUP($M1619,DB_Loonkosten,2,0)="Ja"),AND(RIGHT($F1619,3)&lt;&gt;"IKS",VLOOKUP($M1619,DB_Loonkosten,2,0)="Nee")),IFERROR(VLOOKUP($M1619,DB_Loonkosten,25,0),""),0),"Vast tarief",IF(LEFT(F1619,8)="Bijdrage",VLOOKUP($F1619,Tb_KostenTypen[],MATCH(Lijsten!$P$1,Tb_KostenTypen[#Headers],0),0),VLOOKUP($G1619,Lijsten!L:P,MATCH(Lijsten!$P$1,Kop_Tarief_Vast,0),0))),""),"")</f>
        <v/>
      </c>
      <c r="Q1619" s="359"/>
      <c r="R1619" s="359"/>
      <c r="S1619" s="321"/>
      <c r="T1619" s="321"/>
      <c r="U1619" s="373" t="str">
        <f t="shared" si="100"/>
        <v/>
      </c>
      <c r="V1619" s="314" t="str">
        <f t="shared" si="101"/>
        <v/>
      </c>
      <c r="W1619" s="314" t="str" cm="1">
        <f t="array" aca="1" ref="W1619" ca="1">IFERROR(IF(AE1619&lt;&gt;"ja",_xlfn.IFNA(_xlfn.IFS(AND(O1619&lt;&gt;"",F1619&lt;&gt;"",RIGHT($N1619,6)="tarief",F1619="Vergoeding"),SUM(O1619)*FLOOR(SUM(Q1619),0.0001),AND(O1619&lt;&gt;"",F1619&lt;&gt;"",RIGHT($N1619,6)="tarief"),SUM(O1619)*FLOOR(SUM(Q1619),0.01),S1619&gt;0,IF(F1619&lt;&gt;"",FLOOR(SUM(S1619),0.01),"")),""),""),"")</f>
        <v/>
      </c>
      <c r="X1619" s="314" t="str" cm="1">
        <f t="array" aca="1" ref="X1619" ca="1">IFERROR(IF(AE1619&lt;&gt;"ja",_xlfn.IFNA(_xlfn.IFS(AND(P1619&lt;&gt;"",R1619&lt;&gt;"",RIGHT($N1619,6)="tarief",F1619="Vergoeding"),SUM(P1619)*FLOOR(SUM(R1619),0.0001),AND(P1619&lt;&gt;"",R1619&lt;&gt;"",RIGHT($N1619,6)="tarief"),P1619*FLOOR(R1619,0.01),T1619&gt;0,FLOOR(SUM(T1619),0.01)),""),""),"")</f>
        <v/>
      </c>
      <c r="Y1619" s="314" t="str">
        <f t="shared" ca="1" si="102"/>
        <v/>
      </c>
      <c r="Z1619" s="314" t="str" cm="1">
        <f t="array" aca="1" ref="Z1619" ca="1">IFERROR(_xlfn.IFS(OR(F1619="",LEFT(Methode_Keuze,4)="Geen",Methode_Keuze=""),"",AND(W1619&lt;&gt;"",F1619&lt;&gt;"Arbeidskosten"),W1619*VLOOKUP(F1619,Tb_ProjectKosten[],MATCH(Tb_ProjectKosten[[#Headers],[Forfait_Percentage]],Tb_ProjectKosten[#Headers],0),0),AND(F1619="Arbeidskosten",G1619&lt;&gt;""),IFERROR(W1619*VLOOKUP(G1619,Tb_KostenTypen[],3,0)*VLOOKUP(F1619,Tb_ProjectKosten[],MATCH(Tb_ProjectKosten[[#Headers],[Forfait_Percentage]],Tb_ProjectKosten[#Headers],0),0),""),W1619 &lt;=0,0),"")</f>
        <v/>
      </c>
      <c r="AA1619" s="314" t="str" cm="1">
        <f t="array" aca="1" ref="AA1619" ca="1">IFERROR(_xlfn.IFS(OR(F1619="",LEFT(Methode_Keuze,4)="Geen",Methode_Keuze=""),"",AND(X1619&lt;&gt;"",F1619&lt;&gt;"Arbeidskosten"),X1619*VLOOKUP(F1619,Tb_ProjectKosten[],MATCH(Tb_ProjectKosten[[#Headers],[Forfait_Percentage]],Tb_ProjectKosten[#Headers],0),0),AND(F1619="Arbeidskosten",G1619&lt;&gt;""),IFERROR(X1619*VLOOKUP(G1619,Tb_KostenTypen[],3,0)*VLOOKUP(F1619,Tb_ProjectKosten[],MATCH(Tb_ProjectKosten[[#Headers],[Forfait_Percentage]],Tb_ProjectKosten[#Headers],0),0),""),X1619 &lt;=0,0),"")</f>
        <v/>
      </c>
      <c r="AB1619" s="314" t="str">
        <f t="shared" ca="1" si="103"/>
        <v/>
      </c>
      <c r="AC1619" s="322"/>
      <c r="AD1619" s="315"/>
      <c r="AE1619" s="32" t="str" cm="1">
        <f t="array" ref="AE1619">IFERROR(IF(INDEX(SubsidieTabel!$AD$1:$AG$12,MATCH($F1619,SubsidieTabel!$AD$1:$AD$12,0),IFERROR(MATCH(Methode_Keuze,SubsidieTabel!$AD$1:$AG$1,0),2))&lt;&gt;1=TRUE,"ja",""),"")</f>
        <v/>
      </c>
    </row>
    <row r="1620" spans="1:31" x14ac:dyDescent="0.25">
      <c r="A1620" s="316"/>
      <c r="B1620" s="317" t="str">
        <f>IF(A1620&lt;&gt;"",_xlfn.MAXIFS($B$1:B1619,$A$1:A1619,A1620)+1,"")</f>
        <v/>
      </c>
      <c r="C1620" s="296"/>
      <c r="D1620" s="296"/>
      <c r="E1620" s="296"/>
      <c r="F1620" s="296"/>
      <c r="G1620" s="326"/>
      <c r="H1620" s="324"/>
      <c r="I1620" s="325"/>
      <c r="J1620" s="325"/>
      <c r="K1620" s="318"/>
      <c r="L1620" s="318"/>
      <c r="M1620" s="319" t="str">
        <f>IFERROR(VLOOKUP(H1620,Lijsten!$H$1:$I$100,2,0),"")</f>
        <v/>
      </c>
      <c r="N1620" s="319" t="str">
        <f ca="1">IFERROR(IF(VLOOKUP(F1620,Kostentypen!$A$3:$E$21,3,0)=0,"",IF(OR(F1620="Arbeidskosten",F1620="Vergoeding"),VLOOKUP(G1620,Tb_KostenTypen[],2,0),VLOOKUP(F1620,Kostentypen!$A$3:$E$20,3,0))),"")</f>
        <v/>
      </c>
      <c r="O1620" s="320" t="str" cm="1">
        <f t="array" ref="O1620">_xlfn.IFNA(IF(INDEX(Tb_KostenOptiesDB[],MATCH($F1620,Tb_KostenOptiesDB[KostenOptie],0),IFERROR(MATCH(Methode_Keuze,Tb_KostenOptiesDB[#Headers],0),2))=1,_xlfn.SWITCH($N1620,"Uurtarief",IF(OR(AND(RIGHT($F1620,3)="IKS",VLOOKUP($M1620,DB_Loonkosten,2,0)="Ja"),AND(RIGHT($F1620,3)&lt;&gt;"IKS",VLOOKUP($M1620,DB_Loonkosten,2,0)="Nee")),IFERROR(VLOOKUP($M1620,DB_Loonkosten,24,0),""),0),"Vast tarief",IF(LEFT(F1620,8)="Bijdrage",VLOOKUP($F1620,Tb_KostenTypen[],MATCH(Lijsten!$P$1,Tb_KostenTypen[#Headers],0),0),VLOOKUP($G1620,Lijsten!L:P,MATCH(Lijsten!$P$1,Kop_Tarief_Vast,0),0))),""),"")</f>
        <v/>
      </c>
      <c r="P1620" s="320" t="str" cm="1">
        <f t="array" ref="P1620">_xlfn.IFNA(IF(INDEX(Tb_KostenOptiesDB[],MATCH($F1620,Tb_KostenOptiesDB[KostenOptie],0),IFERROR(MATCH(Methode_Keuze,Tb_KostenOptiesDB[#Headers],0),2))=1,_xlfn.SWITCH($N1620,"Uurtarief",IF(OR(AND(RIGHT($F1620,3)="IKS",VLOOKUP($M1620,DB_Loonkosten,2,0)="Ja"),AND(RIGHT($F1620,3)&lt;&gt;"IKS",VLOOKUP($M1620,DB_Loonkosten,2,0)="Nee")),IFERROR(VLOOKUP($M1620,DB_Loonkosten,25,0),""),0),"Vast tarief",IF(LEFT(F1620,8)="Bijdrage",VLOOKUP($F1620,Tb_KostenTypen[],MATCH(Lijsten!$P$1,Tb_KostenTypen[#Headers],0),0),VLOOKUP($G1620,Lijsten!L:P,MATCH(Lijsten!$P$1,Kop_Tarief_Vast,0),0))),""),"")</f>
        <v/>
      </c>
      <c r="Q1620" s="359"/>
      <c r="R1620" s="359"/>
      <c r="S1620" s="321"/>
      <c r="T1620" s="321"/>
      <c r="U1620" s="373" t="str">
        <f t="shared" si="100"/>
        <v/>
      </c>
      <c r="V1620" s="314" t="str">
        <f t="shared" si="101"/>
        <v/>
      </c>
      <c r="W1620" s="314" t="str" cm="1">
        <f t="array" aca="1" ref="W1620" ca="1">IFERROR(IF(AE1620&lt;&gt;"ja",_xlfn.IFNA(_xlfn.IFS(AND(O1620&lt;&gt;"",F1620&lt;&gt;"",RIGHT($N1620,6)="tarief",F1620="Vergoeding"),SUM(O1620)*FLOOR(SUM(Q1620),0.0001),AND(O1620&lt;&gt;"",F1620&lt;&gt;"",RIGHT($N1620,6)="tarief"),SUM(O1620)*FLOOR(SUM(Q1620),0.01),S1620&gt;0,IF(F1620&lt;&gt;"",FLOOR(SUM(S1620),0.01),"")),""),""),"")</f>
        <v/>
      </c>
      <c r="X1620" s="314" t="str" cm="1">
        <f t="array" aca="1" ref="X1620" ca="1">IFERROR(IF(AE1620&lt;&gt;"ja",_xlfn.IFNA(_xlfn.IFS(AND(P1620&lt;&gt;"",R1620&lt;&gt;"",RIGHT($N1620,6)="tarief",F1620="Vergoeding"),SUM(P1620)*FLOOR(SUM(R1620),0.0001),AND(P1620&lt;&gt;"",R1620&lt;&gt;"",RIGHT($N1620,6)="tarief"),P1620*FLOOR(R1620,0.01),T1620&gt;0,FLOOR(SUM(T1620),0.01)),""),""),"")</f>
        <v/>
      </c>
      <c r="Y1620" s="314" t="str">
        <f t="shared" ca="1" si="102"/>
        <v/>
      </c>
      <c r="Z1620" s="314" t="str" cm="1">
        <f t="array" aca="1" ref="Z1620" ca="1">IFERROR(_xlfn.IFS(OR(F1620="",LEFT(Methode_Keuze,4)="Geen",Methode_Keuze=""),"",AND(W1620&lt;&gt;"",F1620&lt;&gt;"Arbeidskosten"),W1620*VLOOKUP(F1620,Tb_ProjectKosten[],MATCH(Tb_ProjectKosten[[#Headers],[Forfait_Percentage]],Tb_ProjectKosten[#Headers],0),0),AND(F1620="Arbeidskosten",G1620&lt;&gt;""),IFERROR(W1620*VLOOKUP(G1620,Tb_KostenTypen[],3,0)*VLOOKUP(F1620,Tb_ProjectKosten[],MATCH(Tb_ProjectKosten[[#Headers],[Forfait_Percentage]],Tb_ProjectKosten[#Headers],0),0),""),W1620 &lt;=0,0),"")</f>
        <v/>
      </c>
      <c r="AA1620" s="314" t="str" cm="1">
        <f t="array" aca="1" ref="AA1620" ca="1">IFERROR(_xlfn.IFS(OR(F1620="",LEFT(Methode_Keuze,4)="Geen",Methode_Keuze=""),"",AND(X1620&lt;&gt;"",F1620&lt;&gt;"Arbeidskosten"),X1620*VLOOKUP(F1620,Tb_ProjectKosten[],MATCH(Tb_ProjectKosten[[#Headers],[Forfait_Percentage]],Tb_ProjectKosten[#Headers],0),0),AND(F1620="Arbeidskosten",G1620&lt;&gt;""),IFERROR(X1620*VLOOKUP(G1620,Tb_KostenTypen[],3,0)*VLOOKUP(F1620,Tb_ProjectKosten[],MATCH(Tb_ProjectKosten[[#Headers],[Forfait_Percentage]],Tb_ProjectKosten[#Headers],0),0),""),X1620 &lt;=0,0),"")</f>
        <v/>
      </c>
      <c r="AB1620" s="314" t="str">
        <f t="shared" ca="1" si="103"/>
        <v/>
      </c>
      <c r="AC1620" s="322"/>
      <c r="AD1620" s="315"/>
      <c r="AE1620" s="32" t="str" cm="1">
        <f t="array" ref="AE1620">IFERROR(IF(INDEX(SubsidieTabel!$AD$1:$AG$12,MATCH($F1620,SubsidieTabel!$AD$1:$AD$12,0),IFERROR(MATCH(Methode_Keuze,SubsidieTabel!$AD$1:$AG$1,0),2))&lt;&gt;1=TRUE,"ja",""),"")</f>
        <v/>
      </c>
    </row>
    <row r="1621" spans="1:31" x14ac:dyDescent="0.25">
      <c r="A1621" s="316"/>
      <c r="B1621" s="317" t="str">
        <f>IF(A1621&lt;&gt;"",_xlfn.MAXIFS($B$1:B1620,$A$1:A1620,A1621)+1,"")</f>
        <v/>
      </c>
      <c r="C1621" s="296"/>
      <c r="D1621" s="296"/>
      <c r="E1621" s="296"/>
      <c r="F1621" s="296"/>
      <c r="G1621" s="326"/>
      <c r="H1621" s="324"/>
      <c r="I1621" s="325"/>
      <c r="J1621" s="325"/>
      <c r="K1621" s="318"/>
      <c r="L1621" s="318"/>
      <c r="M1621" s="319" t="str">
        <f>IFERROR(VLOOKUP(H1621,Lijsten!$H$1:$I$100,2,0),"")</f>
        <v/>
      </c>
      <c r="N1621" s="319" t="str">
        <f ca="1">IFERROR(IF(VLOOKUP(F1621,Kostentypen!$A$3:$E$21,3,0)=0,"",IF(OR(F1621="Arbeidskosten",F1621="Vergoeding"),VLOOKUP(G1621,Tb_KostenTypen[],2,0),VLOOKUP(F1621,Kostentypen!$A$3:$E$20,3,0))),"")</f>
        <v/>
      </c>
      <c r="O1621" s="320" t="str" cm="1">
        <f t="array" ref="O1621">_xlfn.IFNA(IF(INDEX(Tb_KostenOptiesDB[],MATCH($F1621,Tb_KostenOptiesDB[KostenOptie],0),IFERROR(MATCH(Methode_Keuze,Tb_KostenOptiesDB[#Headers],0),2))=1,_xlfn.SWITCH($N1621,"Uurtarief",IF(OR(AND(RIGHT($F1621,3)="IKS",VLOOKUP($M1621,DB_Loonkosten,2,0)="Ja"),AND(RIGHT($F1621,3)&lt;&gt;"IKS",VLOOKUP($M1621,DB_Loonkosten,2,0)="Nee")),IFERROR(VLOOKUP($M1621,DB_Loonkosten,24,0),""),0),"Vast tarief",IF(LEFT(F1621,8)="Bijdrage",VLOOKUP($F1621,Tb_KostenTypen[],MATCH(Lijsten!$P$1,Tb_KostenTypen[#Headers],0),0),VLOOKUP($G1621,Lijsten!L:P,MATCH(Lijsten!$P$1,Kop_Tarief_Vast,0),0))),""),"")</f>
        <v/>
      </c>
      <c r="P1621" s="320" t="str" cm="1">
        <f t="array" ref="P1621">_xlfn.IFNA(IF(INDEX(Tb_KostenOptiesDB[],MATCH($F1621,Tb_KostenOptiesDB[KostenOptie],0),IFERROR(MATCH(Methode_Keuze,Tb_KostenOptiesDB[#Headers],0),2))=1,_xlfn.SWITCH($N1621,"Uurtarief",IF(OR(AND(RIGHT($F1621,3)="IKS",VLOOKUP($M1621,DB_Loonkosten,2,0)="Ja"),AND(RIGHT($F1621,3)&lt;&gt;"IKS",VLOOKUP($M1621,DB_Loonkosten,2,0)="Nee")),IFERROR(VLOOKUP($M1621,DB_Loonkosten,25,0),""),0),"Vast tarief",IF(LEFT(F1621,8)="Bijdrage",VLOOKUP($F1621,Tb_KostenTypen[],MATCH(Lijsten!$P$1,Tb_KostenTypen[#Headers],0),0),VLOOKUP($G1621,Lijsten!L:P,MATCH(Lijsten!$P$1,Kop_Tarief_Vast,0),0))),""),"")</f>
        <v/>
      </c>
      <c r="Q1621" s="359"/>
      <c r="R1621" s="359"/>
      <c r="S1621" s="321"/>
      <c r="T1621" s="321"/>
      <c r="U1621" s="373" t="str">
        <f t="shared" si="100"/>
        <v/>
      </c>
      <c r="V1621" s="314" t="str">
        <f t="shared" si="101"/>
        <v/>
      </c>
      <c r="W1621" s="314" t="str" cm="1">
        <f t="array" aca="1" ref="W1621" ca="1">IFERROR(IF(AE1621&lt;&gt;"ja",_xlfn.IFNA(_xlfn.IFS(AND(O1621&lt;&gt;"",F1621&lt;&gt;"",RIGHT($N1621,6)="tarief",F1621="Vergoeding"),SUM(O1621)*FLOOR(SUM(Q1621),0.0001),AND(O1621&lt;&gt;"",F1621&lt;&gt;"",RIGHT($N1621,6)="tarief"),SUM(O1621)*FLOOR(SUM(Q1621),0.01),S1621&gt;0,IF(F1621&lt;&gt;"",FLOOR(SUM(S1621),0.01),"")),""),""),"")</f>
        <v/>
      </c>
      <c r="X1621" s="314" t="str" cm="1">
        <f t="array" aca="1" ref="X1621" ca="1">IFERROR(IF(AE1621&lt;&gt;"ja",_xlfn.IFNA(_xlfn.IFS(AND(P1621&lt;&gt;"",R1621&lt;&gt;"",RIGHT($N1621,6)="tarief",F1621="Vergoeding"),SUM(P1621)*FLOOR(SUM(R1621),0.0001),AND(P1621&lt;&gt;"",R1621&lt;&gt;"",RIGHT($N1621,6)="tarief"),P1621*FLOOR(R1621,0.01),T1621&gt;0,FLOOR(SUM(T1621),0.01)),""),""),"")</f>
        <v/>
      </c>
      <c r="Y1621" s="314" t="str">
        <f t="shared" ca="1" si="102"/>
        <v/>
      </c>
      <c r="Z1621" s="314" t="str" cm="1">
        <f t="array" aca="1" ref="Z1621" ca="1">IFERROR(_xlfn.IFS(OR(F1621="",LEFT(Methode_Keuze,4)="Geen",Methode_Keuze=""),"",AND(W1621&lt;&gt;"",F1621&lt;&gt;"Arbeidskosten"),W1621*VLOOKUP(F1621,Tb_ProjectKosten[],MATCH(Tb_ProjectKosten[[#Headers],[Forfait_Percentage]],Tb_ProjectKosten[#Headers],0),0),AND(F1621="Arbeidskosten",G1621&lt;&gt;""),IFERROR(W1621*VLOOKUP(G1621,Tb_KostenTypen[],3,0)*VLOOKUP(F1621,Tb_ProjectKosten[],MATCH(Tb_ProjectKosten[[#Headers],[Forfait_Percentage]],Tb_ProjectKosten[#Headers],0),0),""),W1621 &lt;=0,0),"")</f>
        <v/>
      </c>
      <c r="AA1621" s="314" t="str" cm="1">
        <f t="array" aca="1" ref="AA1621" ca="1">IFERROR(_xlfn.IFS(OR(F1621="",LEFT(Methode_Keuze,4)="Geen",Methode_Keuze=""),"",AND(X1621&lt;&gt;"",F1621&lt;&gt;"Arbeidskosten"),X1621*VLOOKUP(F1621,Tb_ProjectKosten[],MATCH(Tb_ProjectKosten[[#Headers],[Forfait_Percentage]],Tb_ProjectKosten[#Headers],0),0),AND(F1621="Arbeidskosten",G1621&lt;&gt;""),IFERROR(X1621*VLOOKUP(G1621,Tb_KostenTypen[],3,0)*VLOOKUP(F1621,Tb_ProjectKosten[],MATCH(Tb_ProjectKosten[[#Headers],[Forfait_Percentage]],Tb_ProjectKosten[#Headers],0),0),""),X1621 &lt;=0,0),"")</f>
        <v/>
      </c>
      <c r="AB1621" s="314" t="str">
        <f t="shared" ca="1" si="103"/>
        <v/>
      </c>
      <c r="AC1621" s="322"/>
      <c r="AD1621" s="315"/>
      <c r="AE1621" s="32" t="str" cm="1">
        <f t="array" ref="AE1621">IFERROR(IF(INDEX(SubsidieTabel!$AD$1:$AG$12,MATCH($F1621,SubsidieTabel!$AD$1:$AD$12,0),IFERROR(MATCH(Methode_Keuze,SubsidieTabel!$AD$1:$AG$1,0),2))&lt;&gt;1=TRUE,"ja",""),"")</f>
        <v/>
      </c>
    </row>
    <row r="1622" spans="1:31" x14ac:dyDescent="0.25">
      <c r="A1622" s="316"/>
      <c r="B1622" s="317" t="str">
        <f>IF(A1622&lt;&gt;"",_xlfn.MAXIFS($B$1:B1621,$A$1:A1621,A1622)+1,"")</f>
        <v/>
      </c>
      <c r="C1622" s="296"/>
      <c r="D1622" s="296"/>
      <c r="E1622" s="296"/>
      <c r="F1622" s="296"/>
      <c r="G1622" s="326"/>
      <c r="H1622" s="324"/>
      <c r="I1622" s="325"/>
      <c r="J1622" s="325"/>
      <c r="K1622" s="318"/>
      <c r="L1622" s="318"/>
      <c r="M1622" s="319" t="str">
        <f>IFERROR(VLOOKUP(H1622,Lijsten!$H$1:$I$100,2,0),"")</f>
        <v/>
      </c>
      <c r="N1622" s="319" t="str">
        <f ca="1">IFERROR(IF(VLOOKUP(F1622,Kostentypen!$A$3:$E$21,3,0)=0,"",IF(OR(F1622="Arbeidskosten",F1622="Vergoeding"),VLOOKUP(G1622,Tb_KostenTypen[],2,0),VLOOKUP(F1622,Kostentypen!$A$3:$E$20,3,0))),"")</f>
        <v/>
      </c>
      <c r="O1622" s="320" t="str" cm="1">
        <f t="array" ref="O1622">_xlfn.IFNA(IF(INDEX(Tb_KostenOptiesDB[],MATCH($F1622,Tb_KostenOptiesDB[KostenOptie],0),IFERROR(MATCH(Methode_Keuze,Tb_KostenOptiesDB[#Headers],0),2))=1,_xlfn.SWITCH($N1622,"Uurtarief",IF(OR(AND(RIGHT($F1622,3)="IKS",VLOOKUP($M1622,DB_Loonkosten,2,0)="Ja"),AND(RIGHT($F1622,3)&lt;&gt;"IKS",VLOOKUP($M1622,DB_Loonkosten,2,0)="Nee")),IFERROR(VLOOKUP($M1622,DB_Loonkosten,24,0),""),0),"Vast tarief",IF(LEFT(F1622,8)="Bijdrage",VLOOKUP($F1622,Tb_KostenTypen[],MATCH(Lijsten!$P$1,Tb_KostenTypen[#Headers],0),0),VLOOKUP($G1622,Lijsten!L:P,MATCH(Lijsten!$P$1,Kop_Tarief_Vast,0),0))),""),"")</f>
        <v/>
      </c>
      <c r="P1622" s="320" t="str" cm="1">
        <f t="array" ref="P1622">_xlfn.IFNA(IF(INDEX(Tb_KostenOptiesDB[],MATCH($F1622,Tb_KostenOptiesDB[KostenOptie],0),IFERROR(MATCH(Methode_Keuze,Tb_KostenOptiesDB[#Headers],0),2))=1,_xlfn.SWITCH($N1622,"Uurtarief",IF(OR(AND(RIGHT($F1622,3)="IKS",VLOOKUP($M1622,DB_Loonkosten,2,0)="Ja"),AND(RIGHT($F1622,3)&lt;&gt;"IKS",VLOOKUP($M1622,DB_Loonkosten,2,0)="Nee")),IFERROR(VLOOKUP($M1622,DB_Loonkosten,25,0),""),0),"Vast tarief",IF(LEFT(F1622,8)="Bijdrage",VLOOKUP($F1622,Tb_KostenTypen[],MATCH(Lijsten!$P$1,Tb_KostenTypen[#Headers],0),0),VLOOKUP($G1622,Lijsten!L:P,MATCH(Lijsten!$P$1,Kop_Tarief_Vast,0),0))),""),"")</f>
        <v/>
      </c>
      <c r="Q1622" s="359"/>
      <c r="R1622" s="359"/>
      <c r="S1622" s="321"/>
      <c r="T1622" s="321"/>
      <c r="U1622" s="373" t="str">
        <f t="shared" si="100"/>
        <v/>
      </c>
      <c r="V1622" s="314" t="str">
        <f t="shared" si="101"/>
        <v/>
      </c>
      <c r="W1622" s="314" t="str" cm="1">
        <f t="array" aca="1" ref="W1622" ca="1">IFERROR(IF(AE1622&lt;&gt;"ja",_xlfn.IFNA(_xlfn.IFS(AND(O1622&lt;&gt;"",F1622&lt;&gt;"",RIGHT($N1622,6)="tarief",F1622="Vergoeding"),SUM(O1622)*FLOOR(SUM(Q1622),0.0001),AND(O1622&lt;&gt;"",F1622&lt;&gt;"",RIGHT($N1622,6)="tarief"),SUM(O1622)*FLOOR(SUM(Q1622),0.01),S1622&gt;0,IF(F1622&lt;&gt;"",FLOOR(SUM(S1622),0.01),"")),""),""),"")</f>
        <v/>
      </c>
      <c r="X1622" s="314" t="str" cm="1">
        <f t="array" aca="1" ref="X1622" ca="1">IFERROR(IF(AE1622&lt;&gt;"ja",_xlfn.IFNA(_xlfn.IFS(AND(P1622&lt;&gt;"",R1622&lt;&gt;"",RIGHT($N1622,6)="tarief",F1622="Vergoeding"),SUM(P1622)*FLOOR(SUM(R1622),0.0001),AND(P1622&lt;&gt;"",R1622&lt;&gt;"",RIGHT($N1622,6)="tarief"),P1622*FLOOR(R1622,0.01),T1622&gt;0,FLOOR(SUM(T1622),0.01)),""),""),"")</f>
        <v/>
      </c>
      <c r="Y1622" s="314" t="str">
        <f t="shared" ca="1" si="102"/>
        <v/>
      </c>
      <c r="Z1622" s="314" t="str" cm="1">
        <f t="array" aca="1" ref="Z1622" ca="1">IFERROR(_xlfn.IFS(OR(F1622="",LEFT(Methode_Keuze,4)="Geen",Methode_Keuze=""),"",AND(W1622&lt;&gt;"",F1622&lt;&gt;"Arbeidskosten"),W1622*VLOOKUP(F1622,Tb_ProjectKosten[],MATCH(Tb_ProjectKosten[[#Headers],[Forfait_Percentage]],Tb_ProjectKosten[#Headers],0),0),AND(F1622="Arbeidskosten",G1622&lt;&gt;""),IFERROR(W1622*VLOOKUP(G1622,Tb_KostenTypen[],3,0)*VLOOKUP(F1622,Tb_ProjectKosten[],MATCH(Tb_ProjectKosten[[#Headers],[Forfait_Percentage]],Tb_ProjectKosten[#Headers],0),0),""),W1622 &lt;=0,0),"")</f>
        <v/>
      </c>
      <c r="AA1622" s="314" t="str" cm="1">
        <f t="array" aca="1" ref="AA1622" ca="1">IFERROR(_xlfn.IFS(OR(F1622="",LEFT(Methode_Keuze,4)="Geen",Methode_Keuze=""),"",AND(X1622&lt;&gt;"",F1622&lt;&gt;"Arbeidskosten"),X1622*VLOOKUP(F1622,Tb_ProjectKosten[],MATCH(Tb_ProjectKosten[[#Headers],[Forfait_Percentage]],Tb_ProjectKosten[#Headers],0),0),AND(F1622="Arbeidskosten",G1622&lt;&gt;""),IFERROR(X1622*VLOOKUP(G1622,Tb_KostenTypen[],3,0)*VLOOKUP(F1622,Tb_ProjectKosten[],MATCH(Tb_ProjectKosten[[#Headers],[Forfait_Percentage]],Tb_ProjectKosten[#Headers],0),0),""),X1622 &lt;=0,0),"")</f>
        <v/>
      </c>
      <c r="AB1622" s="314" t="str">
        <f t="shared" ca="1" si="103"/>
        <v/>
      </c>
      <c r="AC1622" s="322"/>
      <c r="AD1622" s="315"/>
      <c r="AE1622" s="32" t="str" cm="1">
        <f t="array" ref="AE1622">IFERROR(IF(INDEX(SubsidieTabel!$AD$1:$AG$12,MATCH($F1622,SubsidieTabel!$AD$1:$AD$12,0),IFERROR(MATCH(Methode_Keuze,SubsidieTabel!$AD$1:$AG$1,0),2))&lt;&gt;1=TRUE,"ja",""),"")</f>
        <v/>
      </c>
    </row>
    <row r="1623" spans="1:31" x14ac:dyDescent="0.25">
      <c r="A1623" s="316"/>
      <c r="B1623" s="317" t="str">
        <f>IF(A1623&lt;&gt;"",_xlfn.MAXIFS($B$1:B1622,$A$1:A1622,A1623)+1,"")</f>
        <v/>
      </c>
      <c r="C1623" s="296"/>
      <c r="D1623" s="296"/>
      <c r="E1623" s="296"/>
      <c r="F1623" s="296"/>
      <c r="G1623" s="326"/>
      <c r="H1623" s="324"/>
      <c r="I1623" s="325"/>
      <c r="J1623" s="325"/>
      <c r="K1623" s="318"/>
      <c r="L1623" s="318"/>
      <c r="M1623" s="319" t="str">
        <f>IFERROR(VLOOKUP(H1623,Lijsten!$H$1:$I$100,2,0),"")</f>
        <v/>
      </c>
      <c r="N1623" s="319" t="str">
        <f ca="1">IFERROR(IF(VLOOKUP(F1623,Kostentypen!$A$3:$E$21,3,0)=0,"",IF(OR(F1623="Arbeidskosten",F1623="Vergoeding"),VLOOKUP(G1623,Tb_KostenTypen[],2,0),VLOOKUP(F1623,Kostentypen!$A$3:$E$20,3,0))),"")</f>
        <v/>
      </c>
      <c r="O1623" s="320" t="str" cm="1">
        <f t="array" ref="O1623">_xlfn.IFNA(IF(INDEX(Tb_KostenOptiesDB[],MATCH($F1623,Tb_KostenOptiesDB[KostenOptie],0),IFERROR(MATCH(Methode_Keuze,Tb_KostenOptiesDB[#Headers],0),2))=1,_xlfn.SWITCH($N1623,"Uurtarief",IF(OR(AND(RIGHT($F1623,3)="IKS",VLOOKUP($M1623,DB_Loonkosten,2,0)="Ja"),AND(RIGHT($F1623,3)&lt;&gt;"IKS",VLOOKUP($M1623,DB_Loonkosten,2,0)="Nee")),IFERROR(VLOOKUP($M1623,DB_Loonkosten,24,0),""),0),"Vast tarief",IF(LEFT(F1623,8)="Bijdrage",VLOOKUP($F1623,Tb_KostenTypen[],MATCH(Lijsten!$P$1,Tb_KostenTypen[#Headers],0),0),VLOOKUP($G1623,Lijsten!L:P,MATCH(Lijsten!$P$1,Kop_Tarief_Vast,0),0))),""),"")</f>
        <v/>
      </c>
      <c r="P1623" s="320" t="str" cm="1">
        <f t="array" ref="P1623">_xlfn.IFNA(IF(INDEX(Tb_KostenOptiesDB[],MATCH($F1623,Tb_KostenOptiesDB[KostenOptie],0),IFERROR(MATCH(Methode_Keuze,Tb_KostenOptiesDB[#Headers],0),2))=1,_xlfn.SWITCH($N1623,"Uurtarief",IF(OR(AND(RIGHT($F1623,3)="IKS",VLOOKUP($M1623,DB_Loonkosten,2,0)="Ja"),AND(RIGHT($F1623,3)&lt;&gt;"IKS",VLOOKUP($M1623,DB_Loonkosten,2,0)="Nee")),IFERROR(VLOOKUP($M1623,DB_Loonkosten,25,0),""),0),"Vast tarief",IF(LEFT(F1623,8)="Bijdrage",VLOOKUP($F1623,Tb_KostenTypen[],MATCH(Lijsten!$P$1,Tb_KostenTypen[#Headers],0),0),VLOOKUP($G1623,Lijsten!L:P,MATCH(Lijsten!$P$1,Kop_Tarief_Vast,0),0))),""),"")</f>
        <v/>
      </c>
      <c r="Q1623" s="359"/>
      <c r="R1623" s="359"/>
      <c r="S1623" s="321"/>
      <c r="T1623" s="321"/>
      <c r="U1623" s="373" t="str">
        <f t="shared" si="100"/>
        <v/>
      </c>
      <c r="V1623" s="314" t="str">
        <f t="shared" si="101"/>
        <v/>
      </c>
      <c r="W1623" s="314" t="str" cm="1">
        <f t="array" aca="1" ref="W1623" ca="1">IFERROR(IF(AE1623&lt;&gt;"ja",_xlfn.IFNA(_xlfn.IFS(AND(O1623&lt;&gt;"",F1623&lt;&gt;"",RIGHT($N1623,6)="tarief",F1623="Vergoeding"),SUM(O1623)*FLOOR(SUM(Q1623),0.0001),AND(O1623&lt;&gt;"",F1623&lt;&gt;"",RIGHT($N1623,6)="tarief"),SUM(O1623)*FLOOR(SUM(Q1623),0.01),S1623&gt;0,IF(F1623&lt;&gt;"",FLOOR(SUM(S1623),0.01),"")),""),""),"")</f>
        <v/>
      </c>
      <c r="X1623" s="314" t="str" cm="1">
        <f t="array" aca="1" ref="X1623" ca="1">IFERROR(IF(AE1623&lt;&gt;"ja",_xlfn.IFNA(_xlfn.IFS(AND(P1623&lt;&gt;"",R1623&lt;&gt;"",RIGHT($N1623,6)="tarief",F1623="Vergoeding"),SUM(P1623)*FLOOR(SUM(R1623),0.0001),AND(P1623&lt;&gt;"",R1623&lt;&gt;"",RIGHT($N1623,6)="tarief"),P1623*FLOOR(R1623,0.01),T1623&gt;0,FLOOR(SUM(T1623),0.01)),""),""),"")</f>
        <v/>
      </c>
      <c r="Y1623" s="314" t="str">
        <f t="shared" ca="1" si="102"/>
        <v/>
      </c>
      <c r="Z1623" s="314" t="str" cm="1">
        <f t="array" aca="1" ref="Z1623" ca="1">IFERROR(_xlfn.IFS(OR(F1623="",LEFT(Methode_Keuze,4)="Geen",Methode_Keuze=""),"",AND(W1623&lt;&gt;"",F1623&lt;&gt;"Arbeidskosten"),W1623*VLOOKUP(F1623,Tb_ProjectKosten[],MATCH(Tb_ProjectKosten[[#Headers],[Forfait_Percentage]],Tb_ProjectKosten[#Headers],0),0),AND(F1623="Arbeidskosten",G1623&lt;&gt;""),IFERROR(W1623*VLOOKUP(G1623,Tb_KostenTypen[],3,0)*VLOOKUP(F1623,Tb_ProjectKosten[],MATCH(Tb_ProjectKosten[[#Headers],[Forfait_Percentage]],Tb_ProjectKosten[#Headers],0),0),""),W1623 &lt;=0,0),"")</f>
        <v/>
      </c>
      <c r="AA1623" s="314" t="str" cm="1">
        <f t="array" aca="1" ref="AA1623" ca="1">IFERROR(_xlfn.IFS(OR(F1623="",LEFT(Methode_Keuze,4)="Geen",Methode_Keuze=""),"",AND(X1623&lt;&gt;"",F1623&lt;&gt;"Arbeidskosten"),X1623*VLOOKUP(F1623,Tb_ProjectKosten[],MATCH(Tb_ProjectKosten[[#Headers],[Forfait_Percentage]],Tb_ProjectKosten[#Headers],0),0),AND(F1623="Arbeidskosten",G1623&lt;&gt;""),IFERROR(X1623*VLOOKUP(G1623,Tb_KostenTypen[],3,0)*VLOOKUP(F1623,Tb_ProjectKosten[],MATCH(Tb_ProjectKosten[[#Headers],[Forfait_Percentage]],Tb_ProjectKosten[#Headers],0),0),""),X1623 &lt;=0,0),"")</f>
        <v/>
      </c>
      <c r="AB1623" s="314" t="str">
        <f t="shared" ca="1" si="103"/>
        <v/>
      </c>
      <c r="AC1623" s="322"/>
      <c r="AD1623" s="315"/>
      <c r="AE1623" s="32" t="str" cm="1">
        <f t="array" ref="AE1623">IFERROR(IF(INDEX(SubsidieTabel!$AD$1:$AG$12,MATCH($F1623,SubsidieTabel!$AD$1:$AD$12,0),IFERROR(MATCH(Methode_Keuze,SubsidieTabel!$AD$1:$AG$1,0),2))&lt;&gt;1=TRUE,"ja",""),"")</f>
        <v/>
      </c>
    </row>
    <row r="1624" spans="1:31" x14ac:dyDescent="0.25">
      <c r="A1624" s="316"/>
      <c r="B1624" s="317" t="str">
        <f>IF(A1624&lt;&gt;"",_xlfn.MAXIFS($B$1:B1623,$A$1:A1623,A1624)+1,"")</f>
        <v/>
      </c>
      <c r="C1624" s="296"/>
      <c r="D1624" s="296"/>
      <c r="E1624" s="296"/>
      <c r="F1624" s="296"/>
      <c r="G1624" s="326"/>
      <c r="H1624" s="324"/>
      <c r="I1624" s="325"/>
      <c r="J1624" s="325"/>
      <c r="K1624" s="318"/>
      <c r="L1624" s="318"/>
      <c r="M1624" s="319" t="str">
        <f>IFERROR(VLOOKUP(H1624,Lijsten!$H$1:$I$100,2,0),"")</f>
        <v/>
      </c>
      <c r="N1624" s="319" t="str">
        <f ca="1">IFERROR(IF(VLOOKUP(F1624,Kostentypen!$A$3:$E$21,3,0)=0,"",IF(OR(F1624="Arbeidskosten",F1624="Vergoeding"),VLOOKUP(G1624,Tb_KostenTypen[],2,0),VLOOKUP(F1624,Kostentypen!$A$3:$E$20,3,0))),"")</f>
        <v/>
      </c>
      <c r="O1624" s="320" t="str" cm="1">
        <f t="array" ref="O1624">_xlfn.IFNA(IF(INDEX(Tb_KostenOptiesDB[],MATCH($F1624,Tb_KostenOptiesDB[KostenOptie],0),IFERROR(MATCH(Methode_Keuze,Tb_KostenOptiesDB[#Headers],0),2))=1,_xlfn.SWITCH($N1624,"Uurtarief",IF(OR(AND(RIGHT($F1624,3)="IKS",VLOOKUP($M1624,DB_Loonkosten,2,0)="Ja"),AND(RIGHT($F1624,3)&lt;&gt;"IKS",VLOOKUP($M1624,DB_Loonkosten,2,0)="Nee")),IFERROR(VLOOKUP($M1624,DB_Loonkosten,24,0),""),0),"Vast tarief",IF(LEFT(F1624,8)="Bijdrage",VLOOKUP($F1624,Tb_KostenTypen[],MATCH(Lijsten!$P$1,Tb_KostenTypen[#Headers],0),0),VLOOKUP($G1624,Lijsten!L:P,MATCH(Lijsten!$P$1,Kop_Tarief_Vast,0),0))),""),"")</f>
        <v/>
      </c>
      <c r="P1624" s="320" t="str" cm="1">
        <f t="array" ref="P1624">_xlfn.IFNA(IF(INDEX(Tb_KostenOptiesDB[],MATCH($F1624,Tb_KostenOptiesDB[KostenOptie],0),IFERROR(MATCH(Methode_Keuze,Tb_KostenOptiesDB[#Headers],0),2))=1,_xlfn.SWITCH($N1624,"Uurtarief",IF(OR(AND(RIGHT($F1624,3)="IKS",VLOOKUP($M1624,DB_Loonkosten,2,0)="Ja"),AND(RIGHT($F1624,3)&lt;&gt;"IKS",VLOOKUP($M1624,DB_Loonkosten,2,0)="Nee")),IFERROR(VLOOKUP($M1624,DB_Loonkosten,25,0),""),0),"Vast tarief",IF(LEFT(F1624,8)="Bijdrage",VLOOKUP($F1624,Tb_KostenTypen[],MATCH(Lijsten!$P$1,Tb_KostenTypen[#Headers],0),0),VLOOKUP($G1624,Lijsten!L:P,MATCH(Lijsten!$P$1,Kop_Tarief_Vast,0),0))),""),"")</f>
        <v/>
      </c>
      <c r="Q1624" s="359"/>
      <c r="R1624" s="359"/>
      <c r="S1624" s="321"/>
      <c r="T1624" s="321"/>
      <c r="U1624" s="373" t="str">
        <f t="shared" si="100"/>
        <v/>
      </c>
      <c r="V1624" s="314" t="str">
        <f t="shared" si="101"/>
        <v/>
      </c>
      <c r="W1624" s="314" t="str" cm="1">
        <f t="array" aca="1" ref="W1624" ca="1">IFERROR(IF(AE1624&lt;&gt;"ja",_xlfn.IFNA(_xlfn.IFS(AND(O1624&lt;&gt;"",F1624&lt;&gt;"",RIGHT($N1624,6)="tarief",F1624="Vergoeding"),SUM(O1624)*FLOOR(SUM(Q1624),0.0001),AND(O1624&lt;&gt;"",F1624&lt;&gt;"",RIGHT($N1624,6)="tarief"),SUM(O1624)*FLOOR(SUM(Q1624),0.01),S1624&gt;0,IF(F1624&lt;&gt;"",FLOOR(SUM(S1624),0.01),"")),""),""),"")</f>
        <v/>
      </c>
      <c r="X1624" s="314" t="str" cm="1">
        <f t="array" aca="1" ref="X1624" ca="1">IFERROR(IF(AE1624&lt;&gt;"ja",_xlfn.IFNA(_xlfn.IFS(AND(P1624&lt;&gt;"",R1624&lt;&gt;"",RIGHT($N1624,6)="tarief",F1624="Vergoeding"),SUM(P1624)*FLOOR(SUM(R1624),0.0001),AND(P1624&lt;&gt;"",R1624&lt;&gt;"",RIGHT($N1624,6)="tarief"),P1624*FLOOR(R1624,0.01),T1624&gt;0,FLOOR(SUM(T1624),0.01)),""),""),"")</f>
        <v/>
      </c>
      <c r="Y1624" s="314" t="str">
        <f t="shared" ca="1" si="102"/>
        <v/>
      </c>
      <c r="Z1624" s="314" t="str" cm="1">
        <f t="array" aca="1" ref="Z1624" ca="1">IFERROR(_xlfn.IFS(OR(F1624="",LEFT(Methode_Keuze,4)="Geen",Methode_Keuze=""),"",AND(W1624&lt;&gt;"",F1624&lt;&gt;"Arbeidskosten"),W1624*VLOOKUP(F1624,Tb_ProjectKosten[],MATCH(Tb_ProjectKosten[[#Headers],[Forfait_Percentage]],Tb_ProjectKosten[#Headers],0),0),AND(F1624="Arbeidskosten",G1624&lt;&gt;""),IFERROR(W1624*VLOOKUP(G1624,Tb_KostenTypen[],3,0)*VLOOKUP(F1624,Tb_ProjectKosten[],MATCH(Tb_ProjectKosten[[#Headers],[Forfait_Percentage]],Tb_ProjectKosten[#Headers],0),0),""),W1624 &lt;=0,0),"")</f>
        <v/>
      </c>
      <c r="AA1624" s="314" t="str" cm="1">
        <f t="array" aca="1" ref="AA1624" ca="1">IFERROR(_xlfn.IFS(OR(F1624="",LEFT(Methode_Keuze,4)="Geen",Methode_Keuze=""),"",AND(X1624&lt;&gt;"",F1624&lt;&gt;"Arbeidskosten"),X1624*VLOOKUP(F1624,Tb_ProjectKosten[],MATCH(Tb_ProjectKosten[[#Headers],[Forfait_Percentage]],Tb_ProjectKosten[#Headers],0),0),AND(F1624="Arbeidskosten",G1624&lt;&gt;""),IFERROR(X1624*VLOOKUP(G1624,Tb_KostenTypen[],3,0)*VLOOKUP(F1624,Tb_ProjectKosten[],MATCH(Tb_ProjectKosten[[#Headers],[Forfait_Percentage]],Tb_ProjectKosten[#Headers],0),0),""),X1624 &lt;=0,0),"")</f>
        <v/>
      </c>
      <c r="AB1624" s="314" t="str">
        <f t="shared" ca="1" si="103"/>
        <v/>
      </c>
      <c r="AC1624" s="322"/>
      <c r="AD1624" s="315"/>
      <c r="AE1624" s="32" t="str" cm="1">
        <f t="array" ref="AE1624">IFERROR(IF(INDEX(SubsidieTabel!$AD$1:$AG$12,MATCH($F1624,SubsidieTabel!$AD$1:$AD$12,0),IFERROR(MATCH(Methode_Keuze,SubsidieTabel!$AD$1:$AG$1,0),2))&lt;&gt;1=TRUE,"ja",""),"")</f>
        <v/>
      </c>
    </row>
    <row r="1625" spans="1:31" x14ac:dyDescent="0.25">
      <c r="A1625" s="316"/>
      <c r="B1625" s="317" t="str">
        <f>IF(A1625&lt;&gt;"",_xlfn.MAXIFS($B$1:B1624,$A$1:A1624,A1625)+1,"")</f>
        <v/>
      </c>
      <c r="C1625" s="296"/>
      <c r="D1625" s="296"/>
      <c r="E1625" s="296"/>
      <c r="F1625" s="296"/>
      <c r="G1625" s="326"/>
      <c r="H1625" s="324"/>
      <c r="I1625" s="325"/>
      <c r="J1625" s="325"/>
      <c r="K1625" s="318"/>
      <c r="L1625" s="318"/>
      <c r="M1625" s="319" t="str">
        <f>IFERROR(VLOOKUP(H1625,Lijsten!$H$1:$I$100,2,0),"")</f>
        <v/>
      </c>
      <c r="N1625" s="319" t="str">
        <f ca="1">IFERROR(IF(VLOOKUP(F1625,Kostentypen!$A$3:$E$21,3,0)=0,"",IF(OR(F1625="Arbeidskosten",F1625="Vergoeding"),VLOOKUP(G1625,Tb_KostenTypen[],2,0),VLOOKUP(F1625,Kostentypen!$A$3:$E$20,3,0))),"")</f>
        <v/>
      </c>
      <c r="O1625" s="320" t="str" cm="1">
        <f t="array" ref="O1625">_xlfn.IFNA(IF(INDEX(Tb_KostenOptiesDB[],MATCH($F1625,Tb_KostenOptiesDB[KostenOptie],0),IFERROR(MATCH(Methode_Keuze,Tb_KostenOptiesDB[#Headers],0),2))=1,_xlfn.SWITCH($N1625,"Uurtarief",IF(OR(AND(RIGHT($F1625,3)="IKS",VLOOKUP($M1625,DB_Loonkosten,2,0)="Ja"),AND(RIGHT($F1625,3)&lt;&gt;"IKS",VLOOKUP($M1625,DB_Loonkosten,2,0)="Nee")),IFERROR(VLOOKUP($M1625,DB_Loonkosten,24,0),""),0),"Vast tarief",IF(LEFT(F1625,8)="Bijdrage",VLOOKUP($F1625,Tb_KostenTypen[],MATCH(Lijsten!$P$1,Tb_KostenTypen[#Headers],0),0),VLOOKUP($G1625,Lijsten!L:P,MATCH(Lijsten!$P$1,Kop_Tarief_Vast,0),0))),""),"")</f>
        <v/>
      </c>
      <c r="P1625" s="320" t="str" cm="1">
        <f t="array" ref="P1625">_xlfn.IFNA(IF(INDEX(Tb_KostenOptiesDB[],MATCH($F1625,Tb_KostenOptiesDB[KostenOptie],0),IFERROR(MATCH(Methode_Keuze,Tb_KostenOptiesDB[#Headers],0),2))=1,_xlfn.SWITCH($N1625,"Uurtarief",IF(OR(AND(RIGHT($F1625,3)="IKS",VLOOKUP($M1625,DB_Loonkosten,2,0)="Ja"),AND(RIGHT($F1625,3)&lt;&gt;"IKS",VLOOKUP($M1625,DB_Loonkosten,2,0)="Nee")),IFERROR(VLOOKUP($M1625,DB_Loonkosten,25,0),""),0),"Vast tarief",IF(LEFT(F1625,8)="Bijdrage",VLOOKUP($F1625,Tb_KostenTypen[],MATCH(Lijsten!$P$1,Tb_KostenTypen[#Headers],0),0),VLOOKUP($G1625,Lijsten!L:P,MATCH(Lijsten!$P$1,Kop_Tarief_Vast,0),0))),""),"")</f>
        <v/>
      </c>
      <c r="Q1625" s="359"/>
      <c r="R1625" s="359"/>
      <c r="S1625" s="321"/>
      <c r="T1625" s="321"/>
      <c r="U1625" s="373" t="str">
        <f t="shared" si="100"/>
        <v/>
      </c>
      <c r="V1625" s="314" t="str">
        <f t="shared" si="101"/>
        <v/>
      </c>
      <c r="W1625" s="314" t="str" cm="1">
        <f t="array" aca="1" ref="W1625" ca="1">IFERROR(IF(AE1625&lt;&gt;"ja",_xlfn.IFNA(_xlfn.IFS(AND(O1625&lt;&gt;"",F1625&lt;&gt;"",RIGHT($N1625,6)="tarief",F1625="Vergoeding"),SUM(O1625)*FLOOR(SUM(Q1625),0.0001),AND(O1625&lt;&gt;"",F1625&lt;&gt;"",RIGHT($N1625,6)="tarief"),SUM(O1625)*FLOOR(SUM(Q1625),0.01),S1625&gt;0,IF(F1625&lt;&gt;"",FLOOR(SUM(S1625),0.01),"")),""),""),"")</f>
        <v/>
      </c>
      <c r="X1625" s="314" t="str" cm="1">
        <f t="array" aca="1" ref="X1625" ca="1">IFERROR(IF(AE1625&lt;&gt;"ja",_xlfn.IFNA(_xlfn.IFS(AND(P1625&lt;&gt;"",R1625&lt;&gt;"",RIGHT($N1625,6)="tarief",F1625="Vergoeding"),SUM(P1625)*FLOOR(SUM(R1625),0.0001),AND(P1625&lt;&gt;"",R1625&lt;&gt;"",RIGHT($N1625,6)="tarief"),P1625*FLOOR(R1625,0.01),T1625&gt;0,FLOOR(SUM(T1625),0.01)),""),""),"")</f>
        <v/>
      </c>
      <c r="Y1625" s="314" t="str">
        <f t="shared" ca="1" si="102"/>
        <v/>
      </c>
      <c r="Z1625" s="314" t="str" cm="1">
        <f t="array" aca="1" ref="Z1625" ca="1">IFERROR(_xlfn.IFS(OR(F1625="",LEFT(Methode_Keuze,4)="Geen",Methode_Keuze=""),"",AND(W1625&lt;&gt;"",F1625&lt;&gt;"Arbeidskosten"),W1625*VLOOKUP(F1625,Tb_ProjectKosten[],MATCH(Tb_ProjectKosten[[#Headers],[Forfait_Percentage]],Tb_ProjectKosten[#Headers],0),0),AND(F1625="Arbeidskosten",G1625&lt;&gt;""),IFERROR(W1625*VLOOKUP(G1625,Tb_KostenTypen[],3,0)*VLOOKUP(F1625,Tb_ProjectKosten[],MATCH(Tb_ProjectKosten[[#Headers],[Forfait_Percentage]],Tb_ProjectKosten[#Headers],0),0),""),W1625 &lt;=0,0),"")</f>
        <v/>
      </c>
      <c r="AA1625" s="314" t="str" cm="1">
        <f t="array" aca="1" ref="AA1625" ca="1">IFERROR(_xlfn.IFS(OR(F1625="",LEFT(Methode_Keuze,4)="Geen",Methode_Keuze=""),"",AND(X1625&lt;&gt;"",F1625&lt;&gt;"Arbeidskosten"),X1625*VLOOKUP(F1625,Tb_ProjectKosten[],MATCH(Tb_ProjectKosten[[#Headers],[Forfait_Percentage]],Tb_ProjectKosten[#Headers],0),0),AND(F1625="Arbeidskosten",G1625&lt;&gt;""),IFERROR(X1625*VLOOKUP(G1625,Tb_KostenTypen[],3,0)*VLOOKUP(F1625,Tb_ProjectKosten[],MATCH(Tb_ProjectKosten[[#Headers],[Forfait_Percentage]],Tb_ProjectKosten[#Headers],0),0),""),X1625 &lt;=0,0),"")</f>
        <v/>
      </c>
      <c r="AB1625" s="314" t="str">
        <f t="shared" ca="1" si="103"/>
        <v/>
      </c>
      <c r="AC1625" s="322"/>
      <c r="AD1625" s="315"/>
      <c r="AE1625" s="32" t="str" cm="1">
        <f t="array" ref="AE1625">IFERROR(IF(INDEX(SubsidieTabel!$AD$1:$AG$12,MATCH($F1625,SubsidieTabel!$AD$1:$AD$12,0),IFERROR(MATCH(Methode_Keuze,SubsidieTabel!$AD$1:$AG$1,0),2))&lt;&gt;1=TRUE,"ja",""),"")</f>
        <v/>
      </c>
    </row>
    <row r="1626" spans="1:31" x14ac:dyDescent="0.25">
      <c r="A1626" s="316"/>
      <c r="B1626" s="317" t="str">
        <f>IF(A1626&lt;&gt;"",_xlfn.MAXIFS($B$1:B1625,$A$1:A1625,A1626)+1,"")</f>
        <v/>
      </c>
      <c r="C1626" s="296"/>
      <c r="D1626" s="296"/>
      <c r="E1626" s="296"/>
      <c r="F1626" s="296"/>
      <c r="G1626" s="326"/>
      <c r="H1626" s="324"/>
      <c r="I1626" s="325"/>
      <c r="J1626" s="325"/>
      <c r="K1626" s="318"/>
      <c r="L1626" s="318"/>
      <c r="M1626" s="319" t="str">
        <f>IFERROR(VLOOKUP(H1626,Lijsten!$H$1:$I$100,2,0),"")</f>
        <v/>
      </c>
      <c r="N1626" s="319" t="str">
        <f ca="1">IFERROR(IF(VLOOKUP(F1626,Kostentypen!$A$3:$E$21,3,0)=0,"",IF(OR(F1626="Arbeidskosten",F1626="Vergoeding"),VLOOKUP(G1626,Tb_KostenTypen[],2,0),VLOOKUP(F1626,Kostentypen!$A$3:$E$20,3,0))),"")</f>
        <v/>
      </c>
      <c r="O1626" s="320" t="str" cm="1">
        <f t="array" ref="O1626">_xlfn.IFNA(IF(INDEX(Tb_KostenOptiesDB[],MATCH($F1626,Tb_KostenOptiesDB[KostenOptie],0),IFERROR(MATCH(Methode_Keuze,Tb_KostenOptiesDB[#Headers],0),2))=1,_xlfn.SWITCH($N1626,"Uurtarief",IF(OR(AND(RIGHT($F1626,3)="IKS",VLOOKUP($M1626,DB_Loonkosten,2,0)="Ja"),AND(RIGHT($F1626,3)&lt;&gt;"IKS",VLOOKUP($M1626,DB_Loonkosten,2,0)="Nee")),IFERROR(VLOOKUP($M1626,DB_Loonkosten,24,0),""),0),"Vast tarief",IF(LEFT(F1626,8)="Bijdrage",VLOOKUP($F1626,Tb_KostenTypen[],MATCH(Lijsten!$P$1,Tb_KostenTypen[#Headers],0),0),VLOOKUP($G1626,Lijsten!L:P,MATCH(Lijsten!$P$1,Kop_Tarief_Vast,0),0))),""),"")</f>
        <v/>
      </c>
      <c r="P1626" s="320" t="str" cm="1">
        <f t="array" ref="P1626">_xlfn.IFNA(IF(INDEX(Tb_KostenOptiesDB[],MATCH($F1626,Tb_KostenOptiesDB[KostenOptie],0),IFERROR(MATCH(Methode_Keuze,Tb_KostenOptiesDB[#Headers],0),2))=1,_xlfn.SWITCH($N1626,"Uurtarief",IF(OR(AND(RIGHT($F1626,3)="IKS",VLOOKUP($M1626,DB_Loonkosten,2,0)="Ja"),AND(RIGHT($F1626,3)&lt;&gt;"IKS",VLOOKUP($M1626,DB_Loonkosten,2,0)="Nee")),IFERROR(VLOOKUP($M1626,DB_Loonkosten,25,0),""),0),"Vast tarief",IF(LEFT(F1626,8)="Bijdrage",VLOOKUP($F1626,Tb_KostenTypen[],MATCH(Lijsten!$P$1,Tb_KostenTypen[#Headers],0),0),VLOOKUP($G1626,Lijsten!L:P,MATCH(Lijsten!$P$1,Kop_Tarief_Vast,0),0))),""),"")</f>
        <v/>
      </c>
      <c r="Q1626" s="359"/>
      <c r="R1626" s="359"/>
      <c r="S1626" s="321"/>
      <c r="T1626" s="321"/>
      <c r="U1626" s="373" t="str">
        <f t="shared" si="100"/>
        <v/>
      </c>
      <c r="V1626" s="314" t="str">
        <f t="shared" si="101"/>
        <v/>
      </c>
      <c r="W1626" s="314" t="str" cm="1">
        <f t="array" aca="1" ref="W1626" ca="1">IFERROR(IF(AE1626&lt;&gt;"ja",_xlfn.IFNA(_xlfn.IFS(AND(O1626&lt;&gt;"",F1626&lt;&gt;"",RIGHT($N1626,6)="tarief",F1626="Vergoeding"),SUM(O1626)*FLOOR(SUM(Q1626),0.0001),AND(O1626&lt;&gt;"",F1626&lt;&gt;"",RIGHT($N1626,6)="tarief"),SUM(O1626)*FLOOR(SUM(Q1626),0.01),S1626&gt;0,IF(F1626&lt;&gt;"",FLOOR(SUM(S1626),0.01),"")),""),""),"")</f>
        <v/>
      </c>
      <c r="X1626" s="314" t="str" cm="1">
        <f t="array" aca="1" ref="X1626" ca="1">IFERROR(IF(AE1626&lt;&gt;"ja",_xlfn.IFNA(_xlfn.IFS(AND(P1626&lt;&gt;"",R1626&lt;&gt;"",RIGHT($N1626,6)="tarief",F1626="Vergoeding"),SUM(P1626)*FLOOR(SUM(R1626),0.0001),AND(P1626&lt;&gt;"",R1626&lt;&gt;"",RIGHT($N1626,6)="tarief"),P1626*FLOOR(R1626,0.01),T1626&gt;0,FLOOR(SUM(T1626),0.01)),""),""),"")</f>
        <v/>
      </c>
      <c r="Y1626" s="314" t="str">
        <f t="shared" ca="1" si="102"/>
        <v/>
      </c>
      <c r="Z1626" s="314" t="str" cm="1">
        <f t="array" aca="1" ref="Z1626" ca="1">IFERROR(_xlfn.IFS(OR(F1626="",LEFT(Methode_Keuze,4)="Geen",Methode_Keuze=""),"",AND(W1626&lt;&gt;"",F1626&lt;&gt;"Arbeidskosten"),W1626*VLOOKUP(F1626,Tb_ProjectKosten[],MATCH(Tb_ProjectKosten[[#Headers],[Forfait_Percentage]],Tb_ProjectKosten[#Headers],0),0),AND(F1626="Arbeidskosten",G1626&lt;&gt;""),IFERROR(W1626*VLOOKUP(G1626,Tb_KostenTypen[],3,0)*VLOOKUP(F1626,Tb_ProjectKosten[],MATCH(Tb_ProjectKosten[[#Headers],[Forfait_Percentage]],Tb_ProjectKosten[#Headers],0),0),""),W1626 &lt;=0,0),"")</f>
        <v/>
      </c>
      <c r="AA1626" s="314" t="str" cm="1">
        <f t="array" aca="1" ref="AA1626" ca="1">IFERROR(_xlfn.IFS(OR(F1626="",LEFT(Methode_Keuze,4)="Geen",Methode_Keuze=""),"",AND(X1626&lt;&gt;"",F1626&lt;&gt;"Arbeidskosten"),X1626*VLOOKUP(F1626,Tb_ProjectKosten[],MATCH(Tb_ProjectKosten[[#Headers],[Forfait_Percentage]],Tb_ProjectKosten[#Headers],0),0),AND(F1626="Arbeidskosten",G1626&lt;&gt;""),IFERROR(X1626*VLOOKUP(G1626,Tb_KostenTypen[],3,0)*VLOOKUP(F1626,Tb_ProjectKosten[],MATCH(Tb_ProjectKosten[[#Headers],[Forfait_Percentage]],Tb_ProjectKosten[#Headers],0),0),""),X1626 &lt;=0,0),"")</f>
        <v/>
      </c>
      <c r="AB1626" s="314" t="str">
        <f t="shared" ca="1" si="103"/>
        <v/>
      </c>
      <c r="AC1626" s="322"/>
      <c r="AD1626" s="315"/>
      <c r="AE1626" s="32" t="str" cm="1">
        <f t="array" ref="AE1626">IFERROR(IF(INDEX(SubsidieTabel!$AD$1:$AG$12,MATCH($F1626,SubsidieTabel!$AD$1:$AD$12,0),IFERROR(MATCH(Methode_Keuze,SubsidieTabel!$AD$1:$AG$1,0),2))&lt;&gt;1=TRUE,"ja",""),"")</f>
        <v/>
      </c>
    </row>
    <row r="1627" spans="1:31" x14ac:dyDescent="0.25">
      <c r="A1627" s="316"/>
      <c r="B1627" s="317" t="str">
        <f>IF(A1627&lt;&gt;"",_xlfn.MAXIFS($B$1:B1626,$A$1:A1626,A1627)+1,"")</f>
        <v/>
      </c>
      <c r="C1627" s="296"/>
      <c r="D1627" s="296"/>
      <c r="E1627" s="296"/>
      <c r="F1627" s="296"/>
      <c r="G1627" s="326"/>
      <c r="H1627" s="324"/>
      <c r="I1627" s="325"/>
      <c r="J1627" s="325"/>
      <c r="K1627" s="318"/>
      <c r="L1627" s="318"/>
      <c r="M1627" s="319" t="str">
        <f>IFERROR(VLOOKUP(H1627,Lijsten!$H$1:$I$100,2,0),"")</f>
        <v/>
      </c>
      <c r="N1627" s="319" t="str">
        <f ca="1">IFERROR(IF(VLOOKUP(F1627,Kostentypen!$A$3:$E$21,3,0)=0,"",IF(OR(F1627="Arbeidskosten",F1627="Vergoeding"),VLOOKUP(G1627,Tb_KostenTypen[],2,0),VLOOKUP(F1627,Kostentypen!$A$3:$E$20,3,0))),"")</f>
        <v/>
      </c>
      <c r="O1627" s="320" t="str" cm="1">
        <f t="array" ref="O1627">_xlfn.IFNA(IF(INDEX(Tb_KostenOptiesDB[],MATCH($F1627,Tb_KostenOptiesDB[KostenOptie],0),IFERROR(MATCH(Methode_Keuze,Tb_KostenOptiesDB[#Headers],0),2))=1,_xlfn.SWITCH($N1627,"Uurtarief",IF(OR(AND(RIGHT($F1627,3)="IKS",VLOOKUP($M1627,DB_Loonkosten,2,0)="Ja"),AND(RIGHT($F1627,3)&lt;&gt;"IKS",VLOOKUP($M1627,DB_Loonkosten,2,0)="Nee")),IFERROR(VLOOKUP($M1627,DB_Loonkosten,24,0),""),0),"Vast tarief",IF(LEFT(F1627,8)="Bijdrage",VLOOKUP($F1627,Tb_KostenTypen[],MATCH(Lijsten!$P$1,Tb_KostenTypen[#Headers],0),0),VLOOKUP($G1627,Lijsten!L:P,MATCH(Lijsten!$P$1,Kop_Tarief_Vast,0),0))),""),"")</f>
        <v/>
      </c>
      <c r="P1627" s="320" t="str" cm="1">
        <f t="array" ref="P1627">_xlfn.IFNA(IF(INDEX(Tb_KostenOptiesDB[],MATCH($F1627,Tb_KostenOptiesDB[KostenOptie],0),IFERROR(MATCH(Methode_Keuze,Tb_KostenOptiesDB[#Headers],0),2))=1,_xlfn.SWITCH($N1627,"Uurtarief",IF(OR(AND(RIGHT($F1627,3)="IKS",VLOOKUP($M1627,DB_Loonkosten,2,0)="Ja"),AND(RIGHT($F1627,3)&lt;&gt;"IKS",VLOOKUP($M1627,DB_Loonkosten,2,0)="Nee")),IFERROR(VLOOKUP($M1627,DB_Loonkosten,25,0),""),0),"Vast tarief",IF(LEFT(F1627,8)="Bijdrage",VLOOKUP($F1627,Tb_KostenTypen[],MATCH(Lijsten!$P$1,Tb_KostenTypen[#Headers],0),0),VLOOKUP($G1627,Lijsten!L:P,MATCH(Lijsten!$P$1,Kop_Tarief_Vast,0),0))),""),"")</f>
        <v/>
      </c>
      <c r="Q1627" s="359"/>
      <c r="R1627" s="359"/>
      <c r="S1627" s="321"/>
      <c r="T1627" s="321"/>
      <c r="U1627" s="373" t="str">
        <f t="shared" si="100"/>
        <v/>
      </c>
      <c r="V1627" s="314" t="str">
        <f t="shared" si="101"/>
        <v/>
      </c>
      <c r="W1627" s="314" t="str" cm="1">
        <f t="array" aca="1" ref="W1627" ca="1">IFERROR(IF(AE1627&lt;&gt;"ja",_xlfn.IFNA(_xlfn.IFS(AND(O1627&lt;&gt;"",F1627&lt;&gt;"",RIGHT($N1627,6)="tarief",F1627="Vergoeding"),SUM(O1627)*FLOOR(SUM(Q1627),0.0001),AND(O1627&lt;&gt;"",F1627&lt;&gt;"",RIGHT($N1627,6)="tarief"),SUM(O1627)*FLOOR(SUM(Q1627),0.01),S1627&gt;0,IF(F1627&lt;&gt;"",FLOOR(SUM(S1627),0.01),"")),""),""),"")</f>
        <v/>
      </c>
      <c r="X1627" s="314" t="str" cm="1">
        <f t="array" aca="1" ref="X1627" ca="1">IFERROR(IF(AE1627&lt;&gt;"ja",_xlfn.IFNA(_xlfn.IFS(AND(P1627&lt;&gt;"",R1627&lt;&gt;"",RIGHT($N1627,6)="tarief",F1627="Vergoeding"),SUM(P1627)*FLOOR(SUM(R1627),0.0001),AND(P1627&lt;&gt;"",R1627&lt;&gt;"",RIGHT($N1627,6)="tarief"),P1627*FLOOR(R1627,0.01),T1627&gt;0,FLOOR(SUM(T1627),0.01)),""),""),"")</f>
        <v/>
      </c>
      <c r="Y1627" s="314" t="str">
        <f t="shared" ca="1" si="102"/>
        <v/>
      </c>
      <c r="Z1627" s="314" t="str" cm="1">
        <f t="array" aca="1" ref="Z1627" ca="1">IFERROR(_xlfn.IFS(OR(F1627="",LEFT(Methode_Keuze,4)="Geen",Methode_Keuze=""),"",AND(W1627&lt;&gt;"",F1627&lt;&gt;"Arbeidskosten"),W1627*VLOOKUP(F1627,Tb_ProjectKosten[],MATCH(Tb_ProjectKosten[[#Headers],[Forfait_Percentage]],Tb_ProjectKosten[#Headers],0),0),AND(F1627="Arbeidskosten",G1627&lt;&gt;""),IFERROR(W1627*VLOOKUP(G1627,Tb_KostenTypen[],3,0)*VLOOKUP(F1627,Tb_ProjectKosten[],MATCH(Tb_ProjectKosten[[#Headers],[Forfait_Percentage]],Tb_ProjectKosten[#Headers],0),0),""),W1627 &lt;=0,0),"")</f>
        <v/>
      </c>
      <c r="AA1627" s="314" t="str" cm="1">
        <f t="array" aca="1" ref="AA1627" ca="1">IFERROR(_xlfn.IFS(OR(F1627="",LEFT(Methode_Keuze,4)="Geen",Methode_Keuze=""),"",AND(X1627&lt;&gt;"",F1627&lt;&gt;"Arbeidskosten"),X1627*VLOOKUP(F1627,Tb_ProjectKosten[],MATCH(Tb_ProjectKosten[[#Headers],[Forfait_Percentage]],Tb_ProjectKosten[#Headers],0),0),AND(F1627="Arbeidskosten",G1627&lt;&gt;""),IFERROR(X1627*VLOOKUP(G1627,Tb_KostenTypen[],3,0)*VLOOKUP(F1627,Tb_ProjectKosten[],MATCH(Tb_ProjectKosten[[#Headers],[Forfait_Percentage]],Tb_ProjectKosten[#Headers],0),0),""),X1627 &lt;=0,0),"")</f>
        <v/>
      </c>
      <c r="AB1627" s="314" t="str">
        <f t="shared" ca="1" si="103"/>
        <v/>
      </c>
      <c r="AC1627" s="322"/>
      <c r="AD1627" s="315"/>
      <c r="AE1627" s="32" t="str" cm="1">
        <f t="array" ref="AE1627">IFERROR(IF(INDEX(SubsidieTabel!$AD$1:$AG$12,MATCH($F1627,SubsidieTabel!$AD$1:$AD$12,0),IFERROR(MATCH(Methode_Keuze,SubsidieTabel!$AD$1:$AG$1,0),2))&lt;&gt;1=TRUE,"ja",""),"")</f>
        <v/>
      </c>
    </row>
    <row r="1628" spans="1:31" x14ac:dyDescent="0.25">
      <c r="A1628" s="316"/>
      <c r="B1628" s="317" t="str">
        <f>IF(A1628&lt;&gt;"",_xlfn.MAXIFS($B$1:B1627,$A$1:A1627,A1628)+1,"")</f>
        <v/>
      </c>
      <c r="C1628" s="296"/>
      <c r="D1628" s="296"/>
      <c r="E1628" s="296"/>
      <c r="F1628" s="296"/>
      <c r="G1628" s="326"/>
      <c r="H1628" s="324"/>
      <c r="I1628" s="325"/>
      <c r="J1628" s="325"/>
      <c r="K1628" s="318"/>
      <c r="L1628" s="318"/>
      <c r="M1628" s="319" t="str">
        <f>IFERROR(VLOOKUP(H1628,Lijsten!$H$1:$I$100,2,0),"")</f>
        <v/>
      </c>
      <c r="N1628" s="319" t="str">
        <f ca="1">IFERROR(IF(VLOOKUP(F1628,Kostentypen!$A$3:$E$21,3,0)=0,"",IF(OR(F1628="Arbeidskosten",F1628="Vergoeding"),VLOOKUP(G1628,Tb_KostenTypen[],2,0),VLOOKUP(F1628,Kostentypen!$A$3:$E$20,3,0))),"")</f>
        <v/>
      </c>
      <c r="O1628" s="320" t="str" cm="1">
        <f t="array" ref="O1628">_xlfn.IFNA(IF(INDEX(Tb_KostenOptiesDB[],MATCH($F1628,Tb_KostenOptiesDB[KostenOptie],0),IFERROR(MATCH(Methode_Keuze,Tb_KostenOptiesDB[#Headers],0),2))=1,_xlfn.SWITCH($N1628,"Uurtarief",IF(OR(AND(RIGHT($F1628,3)="IKS",VLOOKUP($M1628,DB_Loonkosten,2,0)="Ja"),AND(RIGHT($F1628,3)&lt;&gt;"IKS",VLOOKUP($M1628,DB_Loonkosten,2,0)="Nee")),IFERROR(VLOOKUP($M1628,DB_Loonkosten,24,0),""),0),"Vast tarief",IF(LEFT(F1628,8)="Bijdrage",VLOOKUP($F1628,Tb_KostenTypen[],MATCH(Lijsten!$P$1,Tb_KostenTypen[#Headers],0),0),VLOOKUP($G1628,Lijsten!L:P,MATCH(Lijsten!$P$1,Kop_Tarief_Vast,0),0))),""),"")</f>
        <v/>
      </c>
      <c r="P1628" s="320" t="str" cm="1">
        <f t="array" ref="P1628">_xlfn.IFNA(IF(INDEX(Tb_KostenOptiesDB[],MATCH($F1628,Tb_KostenOptiesDB[KostenOptie],0),IFERROR(MATCH(Methode_Keuze,Tb_KostenOptiesDB[#Headers],0),2))=1,_xlfn.SWITCH($N1628,"Uurtarief",IF(OR(AND(RIGHT($F1628,3)="IKS",VLOOKUP($M1628,DB_Loonkosten,2,0)="Ja"),AND(RIGHT($F1628,3)&lt;&gt;"IKS",VLOOKUP($M1628,DB_Loonkosten,2,0)="Nee")),IFERROR(VLOOKUP($M1628,DB_Loonkosten,25,0),""),0),"Vast tarief",IF(LEFT(F1628,8)="Bijdrage",VLOOKUP($F1628,Tb_KostenTypen[],MATCH(Lijsten!$P$1,Tb_KostenTypen[#Headers],0),0),VLOOKUP($G1628,Lijsten!L:P,MATCH(Lijsten!$P$1,Kop_Tarief_Vast,0),0))),""),"")</f>
        <v/>
      </c>
      <c r="Q1628" s="359"/>
      <c r="R1628" s="359"/>
      <c r="S1628" s="321"/>
      <c r="T1628" s="321"/>
      <c r="U1628" s="373" t="str">
        <f t="shared" si="100"/>
        <v/>
      </c>
      <c r="V1628" s="314" t="str">
        <f t="shared" si="101"/>
        <v/>
      </c>
      <c r="W1628" s="314" t="str" cm="1">
        <f t="array" aca="1" ref="W1628" ca="1">IFERROR(IF(AE1628&lt;&gt;"ja",_xlfn.IFNA(_xlfn.IFS(AND(O1628&lt;&gt;"",F1628&lt;&gt;"",RIGHT($N1628,6)="tarief",F1628="Vergoeding"),SUM(O1628)*FLOOR(SUM(Q1628),0.0001),AND(O1628&lt;&gt;"",F1628&lt;&gt;"",RIGHT($N1628,6)="tarief"),SUM(O1628)*FLOOR(SUM(Q1628),0.01),S1628&gt;0,IF(F1628&lt;&gt;"",FLOOR(SUM(S1628),0.01),"")),""),""),"")</f>
        <v/>
      </c>
      <c r="X1628" s="314" t="str" cm="1">
        <f t="array" aca="1" ref="X1628" ca="1">IFERROR(IF(AE1628&lt;&gt;"ja",_xlfn.IFNA(_xlfn.IFS(AND(P1628&lt;&gt;"",R1628&lt;&gt;"",RIGHT($N1628,6)="tarief",F1628="Vergoeding"),SUM(P1628)*FLOOR(SUM(R1628),0.0001),AND(P1628&lt;&gt;"",R1628&lt;&gt;"",RIGHT($N1628,6)="tarief"),P1628*FLOOR(R1628,0.01),T1628&gt;0,FLOOR(SUM(T1628),0.01)),""),""),"")</f>
        <v/>
      </c>
      <c r="Y1628" s="314" t="str">
        <f t="shared" ca="1" si="102"/>
        <v/>
      </c>
      <c r="Z1628" s="314" t="str" cm="1">
        <f t="array" aca="1" ref="Z1628" ca="1">IFERROR(_xlfn.IFS(OR(F1628="",LEFT(Methode_Keuze,4)="Geen",Methode_Keuze=""),"",AND(W1628&lt;&gt;"",F1628&lt;&gt;"Arbeidskosten"),W1628*VLOOKUP(F1628,Tb_ProjectKosten[],MATCH(Tb_ProjectKosten[[#Headers],[Forfait_Percentage]],Tb_ProjectKosten[#Headers],0),0),AND(F1628="Arbeidskosten",G1628&lt;&gt;""),IFERROR(W1628*VLOOKUP(G1628,Tb_KostenTypen[],3,0)*VLOOKUP(F1628,Tb_ProjectKosten[],MATCH(Tb_ProjectKosten[[#Headers],[Forfait_Percentage]],Tb_ProjectKosten[#Headers],0),0),""),W1628 &lt;=0,0),"")</f>
        <v/>
      </c>
      <c r="AA1628" s="314" t="str" cm="1">
        <f t="array" aca="1" ref="AA1628" ca="1">IFERROR(_xlfn.IFS(OR(F1628="",LEFT(Methode_Keuze,4)="Geen",Methode_Keuze=""),"",AND(X1628&lt;&gt;"",F1628&lt;&gt;"Arbeidskosten"),X1628*VLOOKUP(F1628,Tb_ProjectKosten[],MATCH(Tb_ProjectKosten[[#Headers],[Forfait_Percentage]],Tb_ProjectKosten[#Headers],0),0),AND(F1628="Arbeidskosten",G1628&lt;&gt;""),IFERROR(X1628*VLOOKUP(G1628,Tb_KostenTypen[],3,0)*VLOOKUP(F1628,Tb_ProjectKosten[],MATCH(Tb_ProjectKosten[[#Headers],[Forfait_Percentage]],Tb_ProjectKosten[#Headers],0),0),""),X1628 &lt;=0,0),"")</f>
        <v/>
      </c>
      <c r="AB1628" s="314" t="str">
        <f t="shared" ca="1" si="103"/>
        <v/>
      </c>
      <c r="AC1628" s="322"/>
      <c r="AD1628" s="315"/>
      <c r="AE1628" s="32" t="str" cm="1">
        <f t="array" ref="AE1628">IFERROR(IF(INDEX(SubsidieTabel!$AD$1:$AG$12,MATCH($F1628,SubsidieTabel!$AD$1:$AD$12,0),IFERROR(MATCH(Methode_Keuze,SubsidieTabel!$AD$1:$AG$1,0),2))&lt;&gt;1=TRUE,"ja",""),"")</f>
        <v/>
      </c>
    </row>
    <row r="1629" spans="1:31" x14ac:dyDescent="0.25">
      <c r="A1629" s="316"/>
      <c r="B1629" s="317" t="str">
        <f>IF(A1629&lt;&gt;"",_xlfn.MAXIFS($B$1:B1628,$A$1:A1628,A1629)+1,"")</f>
        <v/>
      </c>
      <c r="C1629" s="296"/>
      <c r="D1629" s="296"/>
      <c r="E1629" s="296"/>
      <c r="F1629" s="296"/>
      <c r="G1629" s="326"/>
      <c r="H1629" s="324"/>
      <c r="I1629" s="325"/>
      <c r="J1629" s="325"/>
      <c r="K1629" s="318"/>
      <c r="L1629" s="318"/>
      <c r="M1629" s="319" t="str">
        <f>IFERROR(VLOOKUP(H1629,Lijsten!$H$1:$I$100,2,0),"")</f>
        <v/>
      </c>
      <c r="N1629" s="319" t="str">
        <f ca="1">IFERROR(IF(VLOOKUP(F1629,Kostentypen!$A$3:$E$21,3,0)=0,"",IF(OR(F1629="Arbeidskosten",F1629="Vergoeding"),VLOOKUP(G1629,Tb_KostenTypen[],2,0),VLOOKUP(F1629,Kostentypen!$A$3:$E$20,3,0))),"")</f>
        <v/>
      </c>
      <c r="O1629" s="320" t="str" cm="1">
        <f t="array" ref="O1629">_xlfn.IFNA(IF(INDEX(Tb_KostenOptiesDB[],MATCH($F1629,Tb_KostenOptiesDB[KostenOptie],0),IFERROR(MATCH(Methode_Keuze,Tb_KostenOptiesDB[#Headers],0),2))=1,_xlfn.SWITCH($N1629,"Uurtarief",IF(OR(AND(RIGHT($F1629,3)="IKS",VLOOKUP($M1629,DB_Loonkosten,2,0)="Ja"),AND(RIGHT($F1629,3)&lt;&gt;"IKS",VLOOKUP($M1629,DB_Loonkosten,2,0)="Nee")),IFERROR(VLOOKUP($M1629,DB_Loonkosten,24,0),""),0),"Vast tarief",IF(LEFT(F1629,8)="Bijdrage",VLOOKUP($F1629,Tb_KostenTypen[],MATCH(Lijsten!$P$1,Tb_KostenTypen[#Headers],0),0),VLOOKUP($G1629,Lijsten!L:P,MATCH(Lijsten!$P$1,Kop_Tarief_Vast,0),0))),""),"")</f>
        <v/>
      </c>
      <c r="P1629" s="320" t="str" cm="1">
        <f t="array" ref="P1629">_xlfn.IFNA(IF(INDEX(Tb_KostenOptiesDB[],MATCH($F1629,Tb_KostenOptiesDB[KostenOptie],0),IFERROR(MATCH(Methode_Keuze,Tb_KostenOptiesDB[#Headers],0),2))=1,_xlfn.SWITCH($N1629,"Uurtarief",IF(OR(AND(RIGHT($F1629,3)="IKS",VLOOKUP($M1629,DB_Loonkosten,2,0)="Ja"),AND(RIGHT($F1629,3)&lt;&gt;"IKS",VLOOKUP($M1629,DB_Loonkosten,2,0)="Nee")),IFERROR(VLOOKUP($M1629,DB_Loonkosten,25,0),""),0),"Vast tarief",IF(LEFT(F1629,8)="Bijdrage",VLOOKUP($F1629,Tb_KostenTypen[],MATCH(Lijsten!$P$1,Tb_KostenTypen[#Headers],0),0),VLOOKUP($G1629,Lijsten!L:P,MATCH(Lijsten!$P$1,Kop_Tarief_Vast,0),0))),""),"")</f>
        <v/>
      </c>
      <c r="Q1629" s="359"/>
      <c r="R1629" s="359"/>
      <c r="S1629" s="321"/>
      <c r="T1629" s="321"/>
      <c r="U1629" s="373" t="str">
        <f t="shared" si="100"/>
        <v/>
      </c>
      <c r="V1629" s="314" t="str">
        <f t="shared" si="101"/>
        <v/>
      </c>
      <c r="W1629" s="314" t="str" cm="1">
        <f t="array" aca="1" ref="W1629" ca="1">IFERROR(IF(AE1629&lt;&gt;"ja",_xlfn.IFNA(_xlfn.IFS(AND(O1629&lt;&gt;"",F1629&lt;&gt;"",RIGHT($N1629,6)="tarief",F1629="Vergoeding"),SUM(O1629)*FLOOR(SUM(Q1629),0.0001),AND(O1629&lt;&gt;"",F1629&lt;&gt;"",RIGHT($N1629,6)="tarief"),SUM(O1629)*FLOOR(SUM(Q1629),0.01),S1629&gt;0,IF(F1629&lt;&gt;"",FLOOR(SUM(S1629),0.01),"")),""),""),"")</f>
        <v/>
      </c>
      <c r="X1629" s="314" t="str" cm="1">
        <f t="array" aca="1" ref="X1629" ca="1">IFERROR(IF(AE1629&lt;&gt;"ja",_xlfn.IFNA(_xlfn.IFS(AND(P1629&lt;&gt;"",R1629&lt;&gt;"",RIGHT($N1629,6)="tarief",F1629="Vergoeding"),SUM(P1629)*FLOOR(SUM(R1629),0.0001),AND(P1629&lt;&gt;"",R1629&lt;&gt;"",RIGHT($N1629,6)="tarief"),P1629*FLOOR(R1629,0.01),T1629&gt;0,FLOOR(SUM(T1629),0.01)),""),""),"")</f>
        <v/>
      </c>
      <c r="Y1629" s="314" t="str">
        <f t="shared" ca="1" si="102"/>
        <v/>
      </c>
      <c r="Z1629" s="314" t="str" cm="1">
        <f t="array" aca="1" ref="Z1629" ca="1">IFERROR(_xlfn.IFS(OR(F1629="",LEFT(Methode_Keuze,4)="Geen",Methode_Keuze=""),"",AND(W1629&lt;&gt;"",F1629&lt;&gt;"Arbeidskosten"),W1629*VLOOKUP(F1629,Tb_ProjectKosten[],MATCH(Tb_ProjectKosten[[#Headers],[Forfait_Percentage]],Tb_ProjectKosten[#Headers],0),0),AND(F1629="Arbeidskosten",G1629&lt;&gt;""),IFERROR(W1629*VLOOKUP(G1629,Tb_KostenTypen[],3,0)*VLOOKUP(F1629,Tb_ProjectKosten[],MATCH(Tb_ProjectKosten[[#Headers],[Forfait_Percentage]],Tb_ProjectKosten[#Headers],0),0),""),W1629 &lt;=0,0),"")</f>
        <v/>
      </c>
      <c r="AA1629" s="314" t="str" cm="1">
        <f t="array" aca="1" ref="AA1629" ca="1">IFERROR(_xlfn.IFS(OR(F1629="",LEFT(Methode_Keuze,4)="Geen",Methode_Keuze=""),"",AND(X1629&lt;&gt;"",F1629&lt;&gt;"Arbeidskosten"),X1629*VLOOKUP(F1629,Tb_ProjectKosten[],MATCH(Tb_ProjectKosten[[#Headers],[Forfait_Percentage]],Tb_ProjectKosten[#Headers],0),0),AND(F1629="Arbeidskosten",G1629&lt;&gt;""),IFERROR(X1629*VLOOKUP(G1629,Tb_KostenTypen[],3,0)*VLOOKUP(F1629,Tb_ProjectKosten[],MATCH(Tb_ProjectKosten[[#Headers],[Forfait_Percentage]],Tb_ProjectKosten[#Headers],0),0),""),X1629 &lt;=0,0),"")</f>
        <v/>
      </c>
      <c r="AB1629" s="314" t="str">
        <f t="shared" ca="1" si="103"/>
        <v/>
      </c>
      <c r="AC1629" s="322"/>
      <c r="AD1629" s="315"/>
      <c r="AE1629" s="32" t="str" cm="1">
        <f t="array" ref="AE1629">IFERROR(IF(INDEX(SubsidieTabel!$AD$1:$AG$12,MATCH($F1629,SubsidieTabel!$AD$1:$AD$12,0),IFERROR(MATCH(Methode_Keuze,SubsidieTabel!$AD$1:$AG$1,0),2))&lt;&gt;1=TRUE,"ja",""),"")</f>
        <v/>
      </c>
    </row>
    <row r="1630" spans="1:31" x14ac:dyDescent="0.25">
      <c r="A1630" s="316"/>
      <c r="B1630" s="317" t="str">
        <f>IF(A1630&lt;&gt;"",_xlfn.MAXIFS($B$1:B1629,$A$1:A1629,A1630)+1,"")</f>
        <v/>
      </c>
      <c r="C1630" s="296"/>
      <c r="D1630" s="296"/>
      <c r="E1630" s="296"/>
      <c r="F1630" s="296"/>
      <c r="G1630" s="326"/>
      <c r="H1630" s="324"/>
      <c r="I1630" s="325"/>
      <c r="J1630" s="325"/>
      <c r="K1630" s="318"/>
      <c r="L1630" s="318"/>
      <c r="M1630" s="319" t="str">
        <f>IFERROR(VLOOKUP(H1630,Lijsten!$H$1:$I$100,2,0),"")</f>
        <v/>
      </c>
      <c r="N1630" s="319" t="str">
        <f ca="1">IFERROR(IF(VLOOKUP(F1630,Kostentypen!$A$3:$E$21,3,0)=0,"",IF(OR(F1630="Arbeidskosten",F1630="Vergoeding"),VLOOKUP(G1630,Tb_KostenTypen[],2,0),VLOOKUP(F1630,Kostentypen!$A$3:$E$20,3,0))),"")</f>
        <v/>
      </c>
      <c r="O1630" s="320" t="str" cm="1">
        <f t="array" ref="O1630">_xlfn.IFNA(IF(INDEX(Tb_KostenOptiesDB[],MATCH($F1630,Tb_KostenOptiesDB[KostenOptie],0),IFERROR(MATCH(Methode_Keuze,Tb_KostenOptiesDB[#Headers],0),2))=1,_xlfn.SWITCH($N1630,"Uurtarief",IF(OR(AND(RIGHT($F1630,3)="IKS",VLOOKUP($M1630,DB_Loonkosten,2,0)="Ja"),AND(RIGHT($F1630,3)&lt;&gt;"IKS",VLOOKUP($M1630,DB_Loonkosten,2,0)="Nee")),IFERROR(VLOOKUP($M1630,DB_Loonkosten,24,0),""),0),"Vast tarief",IF(LEFT(F1630,8)="Bijdrage",VLOOKUP($F1630,Tb_KostenTypen[],MATCH(Lijsten!$P$1,Tb_KostenTypen[#Headers],0),0),VLOOKUP($G1630,Lijsten!L:P,MATCH(Lijsten!$P$1,Kop_Tarief_Vast,0),0))),""),"")</f>
        <v/>
      </c>
      <c r="P1630" s="320" t="str" cm="1">
        <f t="array" ref="P1630">_xlfn.IFNA(IF(INDEX(Tb_KostenOptiesDB[],MATCH($F1630,Tb_KostenOptiesDB[KostenOptie],0),IFERROR(MATCH(Methode_Keuze,Tb_KostenOptiesDB[#Headers],0),2))=1,_xlfn.SWITCH($N1630,"Uurtarief",IF(OR(AND(RIGHT($F1630,3)="IKS",VLOOKUP($M1630,DB_Loonkosten,2,0)="Ja"),AND(RIGHT($F1630,3)&lt;&gt;"IKS",VLOOKUP($M1630,DB_Loonkosten,2,0)="Nee")),IFERROR(VLOOKUP($M1630,DB_Loonkosten,25,0),""),0),"Vast tarief",IF(LEFT(F1630,8)="Bijdrage",VLOOKUP($F1630,Tb_KostenTypen[],MATCH(Lijsten!$P$1,Tb_KostenTypen[#Headers],0),0),VLOOKUP($G1630,Lijsten!L:P,MATCH(Lijsten!$P$1,Kop_Tarief_Vast,0),0))),""),"")</f>
        <v/>
      </c>
      <c r="Q1630" s="359"/>
      <c r="R1630" s="359"/>
      <c r="S1630" s="321"/>
      <c r="T1630" s="321"/>
      <c r="U1630" s="373" t="str">
        <f t="shared" si="100"/>
        <v/>
      </c>
      <c r="V1630" s="314" t="str">
        <f t="shared" si="101"/>
        <v/>
      </c>
      <c r="W1630" s="314" t="str" cm="1">
        <f t="array" aca="1" ref="W1630" ca="1">IFERROR(IF(AE1630&lt;&gt;"ja",_xlfn.IFNA(_xlfn.IFS(AND(O1630&lt;&gt;"",F1630&lt;&gt;"",RIGHT($N1630,6)="tarief",F1630="Vergoeding"),SUM(O1630)*FLOOR(SUM(Q1630),0.0001),AND(O1630&lt;&gt;"",F1630&lt;&gt;"",RIGHT($N1630,6)="tarief"),SUM(O1630)*FLOOR(SUM(Q1630),0.01),S1630&gt;0,IF(F1630&lt;&gt;"",FLOOR(SUM(S1630),0.01),"")),""),""),"")</f>
        <v/>
      </c>
      <c r="X1630" s="314" t="str" cm="1">
        <f t="array" aca="1" ref="X1630" ca="1">IFERROR(IF(AE1630&lt;&gt;"ja",_xlfn.IFNA(_xlfn.IFS(AND(P1630&lt;&gt;"",R1630&lt;&gt;"",RIGHT($N1630,6)="tarief",F1630="Vergoeding"),SUM(P1630)*FLOOR(SUM(R1630),0.0001),AND(P1630&lt;&gt;"",R1630&lt;&gt;"",RIGHT($N1630,6)="tarief"),P1630*FLOOR(R1630,0.01),T1630&gt;0,FLOOR(SUM(T1630),0.01)),""),""),"")</f>
        <v/>
      </c>
      <c r="Y1630" s="314" t="str">
        <f t="shared" ca="1" si="102"/>
        <v/>
      </c>
      <c r="Z1630" s="314" t="str" cm="1">
        <f t="array" aca="1" ref="Z1630" ca="1">IFERROR(_xlfn.IFS(OR(F1630="",LEFT(Methode_Keuze,4)="Geen",Methode_Keuze=""),"",AND(W1630&lt;&gt;"",F1630&lt;&gt;"Arbeidskosten"),W1630*VLOOKUP(F1630,Tb_ProjectKosten[],MATCH(Tb_ProjectKosten[[#Headers],[Forfait_Percentage]],Tb_ProjectKosten[#Headers],0),0),AND(F1630="Arbeidskosten",G1630&lt;&gt;""),IFERROR(W1630*VLOOKUP(G1630,Tb_KostenTypen[],3,0)*VLOOKUP(F1630,Tb_ProjectKosten[],MATCH(Tb_ProjectKosten[[#Headers],[Forfait_Percentage]],Tb_ProjectKosten[#Headers],0),0),""),W1630 &lt;=0,0),"")</f>
        <v/>
      </c>
      <c r="AA1630" s="314" t="str" cm="1">
        <f t="array" aca="1" ref="AA1630" ca="1">IFERROR(_xlfn.IFS(OR(F1630="",LEFT(Methode_Keuze,4)="Geen",Methode_Keuze=""),"",AND(X1630&lt;&gt;"",F1630&lt;&gt;"Arbeidskosten"),X1630*VLOOKUP(F1630,Tb_ProjectKosten[],MATCH(Tb_ProjectKosten[[#Headers],[Forfait_Percentage]],Tb_ProjectKosten[#Headers],0),0),AND(F1630="Arbeidskosten",G1630&lt;&gt;""),IFERROR(X1630*VLOOKUP(G1630,Tb_KostenTypen[],3,0)*VLOOKUP(F1630,Tb_ProjectKosten[],MATCH(Tb_ProjectKosten[[#Headers],[Forfait_Percentage]],Tb_ProjectKosten[#Headers],0),0),""),X1630 &lt;=0,0),"")</f>
        <v/>
      </c>
      <c r="AB1630" s="314" t="str">
        <f t="shared" ca="1" si="103"/>
        <v/>
      </c>
      <c r="AC1630" s="322"/>
      <c r="AD1630" s="315"/>
      <c r="AE1630" s="32" t="str" cm="1">
        <f t="array" ref="AE1630">IFERROR(IF(INDEX(SubsidieTabel!$AD$1:$AG$12,MATCH($F1630,SubsidieTabel!$AD$1:$AD$12,0),IFERROR(MATCH(Methode_Keuze,SubsidieTabel!$AD$1:$AG$1,0),2))&lt;&gt;1=TRUE,"ja",""),"")</f>
        <v/>
      </c>
    </row>
    <row r="1631" spans="1:31" x14ac:dyDescent="0.25">
      <c r="A1631" s="316"/>
      <c r="B1631" s="317" t="str">
        <f>IF(A1631&lt;&gt;"",_xlfn.MAXIFS($B$1:B1630,$A$1:A1630,A1631)+1,"")</f>
        <v/>
      </c>
      <c r="C1631" s="296"/>
      <c r="D1631" s="296"/>
      <c r="E1631" s="296"/>
      <c r="F1631" s="296"/>
      <c r="G1631" s="326"/>
      <c r="H1631" s="324"/>
      <c r="I1631" s="325"/>
      <c r="J1631" s="325"/>
      <c r="K1631" s="318"/>
      <c r="L1631" s="318"/>
      <c r="M1631" s="319" t="str">
        <f>IFERROR(VLOOKUP(H1631,Lijsten!$H$1:$I$100,2,0),"")</f>
        <v/>
      </c>
      <c r="N1631" s="319" t="str">
        <f ca="1">IFERROR(IF(VLOOKUP(F1631,Kostentypen!$A$3:$E$21,3,0)=0,"",IF(OR(F1631="Arbeidskosten",F1631="Vergoeding"),VLOOKUP(G1631,Tb_KostenTypen[],2,0),VLOOKUP(F1631,Kostentypen!$A$3:$E$20,3,0))),"")</f>
        <v/>
      </c>
      <c r="O1631" s="320" t="str" cm="1">
        <f t="array" ref="O1631">_xlfn.IFNA(IF(INDEX(Tb_KostenOptiesDB[],MATCH($F1631,Tb_KostenOptiesDB[KostenOptie],0),IFERROR(MATCH(Methode_Keuze,Tb_KostenOptiesDB[#Headers],0),2))=1,_xlfn.SWITCH($N1631,"Uurtarief",IF(OR(AND(RIGHT($F1631,3)="IKS",VLOOKUP($M1631,DB_Loonkosten,2,0)="Ja"),AND(RIGHT($F1631,3)&lt;&gt;"IKS",VLOOKUP($M1631,DB_Loonkosten,2,0)="Nee")),IFERROR(VLOOKUP($M1631,DB_Loonkosten,24,0),""),0),"Vast tarief",IF(LEFT(F1631,8)="Bijdrage",VLOOKUP($F1631,Tb_KostenTypen[],MATCH(Lijsten!$P$1,Tb_KostenTypen[#Headers],0),0),VLOOKUP($G1631,Lijsten!L:P,MATCH(Lijsten!$P$1,Kop_Tarief_Vast,0),0))),""),"")</f>
        <v/>
      </c>
      <c r="P1631" s="320" t="str" cm="1">
        <f t="array" ref="P1631">_xlfn.IFNA(IF(INDEX(Tb_KostenOptiesDB[],MATCH($F1631,Tb_KostenOptiesDB[KostenOptie],0),IFERROR(MATCH(Methode_Keuze,Tb_KostenOptiesDB[#Headers],0),2))=1,_xlfn.SWITCH($N1631,"Uurtarief",IF(OR(AND(RIGHT($F1631,3)="IKS",VLOOKUP($M1631,DB_Loonkosten,2,0)="Ja"),AND(RIGHT($F1631,3)&lt;&gt;"IKS",VLOOKUP($M1631,DB_Loonkosten,2,0)="Nee")),IFERROR(VLOOKUP($M1631,DB_Loonkosten,25,0),""),0),"Vast tarief",IF(LEFT(F1631,8)="Bijdrage",VLOOKUP($F1631,Tb_KostenTypen[],MATCH(Lijsten!$P$1,Tb_KostenTypen[#Headers],0),0),VLOOKUP($G1631,Lijsten!L:P,MATCH(Lijsten!$P$1,Kop_Tarief_Vast,0),0))),""),"")</f>
        <v/>
      </c>
      <c r="Q1631" s="359"/>
      <c r="R1631" s="359"/>
      <c r="S1631" s="321"/>
      <c r="T1631" s="321"/>
      <c r="U1631" s="373" t="str">
        <f t="shared" si="100"/>
        <v/>
      </c>
      <c r="V1631" s="314" t="str">
        <f t="shared" si="101"/>
        <v/>
      </c>
      <c r="W1631" s="314" t="str" cm="1">
        <f t="array" aca="1" ref="W1631" ca="1">IFERROR(IF(AE1631&lt;&gt;"ja",_xlfn.IFNA(_xlfn.IFS(AND(O1631&lt;&gt;"",F1631&lt;&gt;"",RIGHT($N1631,6)="tarief",F1631="Vergoeding"),SUM(O1631)*FLOOR(SUM(Q1631),0.0001),AND(O1631&lt;&gt;"",F1631&lt;&gt;"",RIGHT($N1631,6)="tarief"),SUM(O1631)*FLOOR(SUM(Q1631),0.01),S1631&gt;0,IF(F1631&lt;&gt;"",FLOOR(SUM(S1631),0.01),"")),""),""),"")</f>
        <v/>
      </c>
      <c r="X1631" s="314" t="str" cm="1">
        <f t="array" aca="1" ref="X1631" ca="1">IFERROR(IF(AE1631&lt;&gt;"ja",_xlfn.IFNA(_xlfn.IFS(AND(P1631&lt;&gt;"",R1631&lt;&gt;"",RIGHT($N1631,6)="tarief",F1631="Vergoeding"),SUM(P1631)*FLOOR(SUM(R1631),0.0001),AND(P1631&lt;&gt;"",R1631&lt;&gt;"",RIGHT($N1631,6)="tarief"),P1631*FLOOR(R1631,0.01),T1631&gt;0,FLOOR(SUM(T1631),0.01)),""),""),"")</f>
        <v/>
      </c>
      <c r="Y1631" s="314" t="str">
        <f t="shared" ca="1" si="102"/>
        <v/>
      </c>
      <c r="Z1631" s="314" t="str" cm="1">
        <f t="array" aca="1" ref="Z1631" ca="1">IFERROR(_xlfn.IFS(OR(F1631="",LEFT(Methode_Keuze,4)="Geen",Methode_Keuze=""),"",AND(W1631&lt;&gt;"",F1631&lt;&gt;"Arbeidskosten"),W1631*VLOOKUP(F1631,Tb_ProjectKosten[],MATCH(Tb_ProjectKosten[[#Headers],[Forfait_Percentage]],Tb_ProjectKosten[#Headers],0),0),AND(F1631="Arbeidskosten",G1631&lt;&gt;""),IFERROR(W1631*VLOOKUP(G1631,Tb_KostenTypen[],3,0)*VLOOKUP(F1631,Tb_ProjectKosten[],MATCH(Tb_ProjectKosten[[#Headers],[Forfait_Percentage]],Tb_ProjectKosten[#Headers],0),0),""),W1631 &lt;=0,0),"")</f>
        <v/>
      </c>
      <c r="AA1631" s="314" t="str" cm="1">
        <f t="array" aca="1" ref="AA1631" ca="1">IFERROR(_xlfn.IFS(OR(F1631="",LEFT(Methode_Keuze,4)="Geen",Methode_Keuze=""),"",AND(X1631&lt;&gt;"",F1631&lt;&gt;"Arbeidskosten"),X1631*VLOOKUP(F1631,Tb_ProjectKosten[],MATCH(Tb_ProjectKosten[[#Headers],[Forfait_Percentage]],Tb_ProjectKosten[#Headers],0),0),AND(F1631="Arbeidskosten",G1631&lt;&gt;""),IFERROR(X1631*VLOOKUP(G1631,Tb_KostenTypen[],3,0)*VLOOKUP(F1631,Tb_ProjectKosten[],MATCH(Tb_ProjectKosten[[#Headers],[Forfait_Percentage]],Tb_ProjectKosten[#Headers],0),0),""),X1631 &lt;=0,0),"")</f>
        <v/>
      </c>
      <c r="AB1631" s="314" t="str">
        <f t="shared" ca="1" si="103"/>
        <v/>
      </c>
      <c r="AC1631" s="322"/>
      <c r="AD1631" s="315"/>
      <c r="AE1631" s="32" t="str" cm="1">
        <f t="array" ref="AE1631">IFERROR(IF(INDEX(SubsidieTabel!$AD$1:$AG$12,MATCH($F1631,SubsidieTabel!$AD$1:$AD$12,0),IFERROR(MATCH(Methode_Keuze,SubsidieTabel!$AD$1:$AG$1,0),2))&lt;&gt;1=TRUE,"ja",""),"")</f>
        <v/>
      </c>
    </row>
    <row r="1632" spans="1:31" x14ac:dyDescent="0.25">
      <c r="A1632" s="316"/>
      <c r="B1632" s="317" t="str">
        <f>IF(A1632&lt;&gt;"",_xlfn.MAXIFS($B$1:B1631,$A$1:A1631,A1632)+1,"")</f>
        <v/>
      </c>
      <c r="C1632" s="296"/>
      <c r="D1632" s="296"/>
      <c r="E1632" s="296"/>
      <c r="F1632" s="296"/>
      <c r="G1632" s="326"/>
      <c r="H1632" s="324"/>
      <c r="I1632" s="325"/>
      <c r="J1632" s="325"/>
      <c r="K1632" s="318"/>
      <c r="L1632" s="318"/>
      <c r="M1632" s="319" t="str">
        <f>IFERROR(VLOOKUP(H1632,Lijsten!$H$1:$I$100,2,0),"")</f>
        <v/>
      </c>
      <c r="N1632" s="319" t="str">
        <f ca="1">IFERROR(IF(VLOOKUP(F1632,Kostentypen!$A$3:$E$21,3,0)=0,"",IF(OR(F1632="Arbeidskosten",F1632="Vergoeding"),VLOOKUP(G1632,Tb_KostenTypen[],2,0),VLOOKUP(F1632,Kostentypen!$A$3:$E$20,3,0))),"")</f>
        <v/>
      </c>
      <c r="O1632" s="320" t="str" cm="1">
        <f t="array" ref="O1632">_xlfn.IFNA(IF(INDEX(Tb_KostenOptiesDB[],MATCH($F1632,Tb_KostenOptiesDB[KostenOptie],0),IFERROR(MATCH(Methode_Keuze,Tb_KostenOptiesDB[#Headers],0),2))=1,_xlfn.SWITCH($N1632,"Uurtarief",IF(OR(AND(RIGHT($F1632,3)="IKS",VLOOKUP($M1632,DB_Loonkosten,2,0)="Ja"),AND(RIGHT($F1632,3)&lt;&gt;"IKS",VLOOKUP($M1632,DB_Loonkosten,2,0)="Nee")),IFERROR(VLOOKUP($M1632,DB_Loonkosten,24,0),""),0),"Vast tarief",IF(LEFT(F1632,8)="Bijdrage",VLOOKUP($F1632,Tb_KostenTypen[],MATCH(Lijsten!$P$1,Tb_KostenTypen[#Headers],0),0),VLOOKUP($G1632,Lijsten!L:P,MATCH(Lijsten!$P$1,Kop_Tarief_Vast,0),0))),""),"")</f>
        <v/>
      </c>
      <c r="P1632" s="320" t="str" cm="1">
        <f t="array" ref="P1632">_xlfn.IFNA(IF(INDEX(Tb_KostenOptiesDB[],MATCH($F1632,Tb_KostenOptiesDB[KostenOptie],0),IFERROR(MATCH(Methode_Keuze,Tb_KostenOptiesDB[#Headers],0),2))=1,_xlfn.SWITCH($N1632,"Uurtarief",IF(OR(AND(RIGHT($F1632,3)="IKS",VLOOKUP($M1632,DB_Loonkosten,2,0)="Ja"),AND(RIGHT($F1632,3)&lt;&gt;"IKS",VLOOKUP($M1632,DB_Loonkosten,2,0)="Nee")),IFERROR(VLOOKUP($M1632,DB_Loonkosten,25,0),""),0),"Vast tarief",IF(LEFT(F1632,8)="Bijdrage",VLOOKUP($F1632,Tb_KostenTypen[],MATCH(Lijsten!$P$1,Tb_KostenTypen[#Headers],0),0),VLOOKUP($G1632,Lijsten!L:P,MATCH(Lijsten!$P$1,Kop_Tarief_Vast,0),0))),""),"")</f>
        <v/>
      </c>
      <c r="Q1632" s="359"/>
      <c r="R1632" s="359"/>
      <c r="S1632" s="321"/>
      <c r="T1632" s="321"/>
      <c r="U1632" s="373" t="str">
        <f t="shared" si="100"/>
        <v/>
      </c>
      <c r="V1632" s="314" t="str">
        <f t="shared" si="101"/>
        <v/>
      </c>
      <c r="W1632" s="314" t="str" cm="1">
        <f t="array" aca="1" ref="W1632" ca="1">IFERROR(IF(AE1632&lt;&gt;"ja",_xlfn.IFNA(_xlfn.IFS(AND(O1632&lt;&gt;"",F1632&lt;&gt;"",RIGHT($N1632,6)="tarief",F1632="Vergoeding"),SUM(O1632)*FLOOR(SUM(Q1632),0.0001),AND(O1632&lt;&gt;"",F1632&lt;&gt;"",RIGHT($N1632,6)="tarief"),SUM(O1632)*FLOOR(SUM(Q1632),0.01),S1632&gt;0,IF(F1632&lt;&gt;"",FLOOR(SUM(S1632),0.01),"")),""),""),"")</f>
        <v/>
      </c>
      <c r="X1632" s="314" t="str" cm="1">
        <f t="array" aca="1" ref="X1632" ca="1">IFERROR(IF(AE1632&lt;&gt;"ja",_xlfn.IFNA(_xlfn.IFS(AND(P1632&lt;&gt;"",R1632&lt;&gt;"",RIGHT($N1632,6)="tarief",F1632="Vergoeding"),SUM(P1632)*FLOOR(SUM(R1632),0.0001),AND(P1632&lt;&gt;"",R1632&lt;&gt;"",RIGHT($N1632,6)="tarief"),P1632*FLOOR(R1632,0.01),T1632&gt;0,FLOOR(SUM(T1632),0.01)),""),""),"")</f>
        <v/>
      </c>
      <c r="Y1632" s="314" t="str">
        <f t="shared" ca="1" si="102"/>
        <v/>
      </c>
      <c r="Z1632" s="314" t="str" cm="1">
        <f t="array" aca="1" ref="Z1632" ca="1">IFERROR(_xlfn.IFS(OR(F1632="",LEFT(Methode_Keuze,4)="Geen",Methode_Keuze=""),"",AND(W1632&lt;&gt;"",F1632&lt;&gt;"Arbeidskosten"),W1632*VLOOKUP(F1632,Tb_ProjectKosten[],MATCH(Tb_ProjectKosten[[#Headers],[Forfait_Percentage]],Tb_ProjectKosten[#Headers],0),0),AND(F1632="Arbeidskosten",G1632&lt;&gt;""),IFERROR(W1632*VLOOKUP(G1632,Tb_KostenTypen[],3,0)*VLOOKUP(F1632,Tb_ProjectKosten[],MATCH(Tb_ProjectKosten[[#Headers],[Forfait_Percentage]],Tb_ProjectKosten[#Headers],0),0),""),W1632 &lt;=0,0),"")</f>
        <v/>
      </c>
      <c r="AA1632" s="314" t="str" cm="1">
        <f t="array" aca="1" ref="AA1632" ca="1">IFERROR(_xlfn.IFS(OR(F1632="",LEFT(Methode_Keuze,4)="Geen",Methode_Keuze=""),"",AND(X1632&lt;&gt;"",F1632&lt;&gt;"Arbeidskosten"),X1632*VLOOKUP(F1632,Tb_ProjectKosten[],MATCH(Tb_ProjectKosten[[#Headers],[Forfait_Percentage]],Tb_ProjectKosten[#Headers],0),0),AND(F1632="Arbeidskosten",G1632&lt;&gt;""),IFERROR(X1632*VLOOKUP(G1632,Tb_KostenTypen[],3,0)*VLOOKUP(F1632,Tb_ProjectKosten[],MATCH(Tb_ProjectKosten[[#Headers],[Forfait_Percentage]],Tb_ProjectKosten[#Headers],0),0),""),X1632 &lt;=0,0),"")</f>
        <v/>
      </c>
      <c r="AB1632" s="314" t="str">
        <f t="shared" ca="1" si="103"/>
        <v/>
      </c>
      <c r="AC1632" s="322"/>
      <c r="AD1632" s="315"/>
      <c r="AE1632" s="32" t="str" cm="1">
        <f t="array" ref="AE1632">IFERROR(IF(INDEX(SubsidieTabel!$AD$1:$AG$12,MATCH($F1632,SubsidieTabel!$AD$1:$AD$12,0),IFERROR(MATCH(Methode_Keuze,SubsidieTabel!$AD$1:$AG$1,0),2))&lt;&gt;1=TRUE,"ja",""),"")</f>
        <v/>
      </c>
    </row>
    <row r="1633" spans="1:31" x14ac:dyDescent="0.25">
      <c r="A1633" s="316"/>
      <c r="B1633" s="317" t="str">
        <f>IF(A1633&lt;&gt;"",_xlfn.MAXIFS($B$1:B1632,$A$1:A1632,A1633)+1,"")</f>
        <v/>
      </c>
      <c r="C1633" s="296"/>
      <c r="D1633" s="296"/>
      <c r="E1633" s="296"/>
      <c r="F1633" s="296"/>
      <c r="G1633" s="326"/>
      <c r="H1633" s="324"/>
      <c r="I1633" s="325"/>
      <c r="J1633" s="325"/>
      <c r="K1633" s="318"/>
      <c r="L1633" s="318"/>
      <c r="M1633" s="319" t="str">
        <f>IFERROR(VLOOKUP(H1633,Lijsten!$H$1:$I$100,2,0),"")</f>
        <v/>
      </c>
      <c r="N1633" s="319" t="str">
        <f ca="1">IFERROR(IF(VLOOKUP(F1633,Kostentypen!$A$3:$E$21,3,0)=0,"",IF(OR(F1633="Arbeidskosten",F1633="Vergoeding"),VLOOKUP(G1633,Tb_KostenTypen[],2,0),VLOOKUP(F1633,Kostentypen!$A$3:$E$20,3,0))),"")</f>
        <v/>
      </c>
      <c r="O1633" s="320" t="str" cm="1">
        <f t="array" ref="O1633">_xlfn.IFNA(IF(INDEX(Tb_KostenOptiesDB[],MATCH($F1633,Tb_KostenOptiesDB[KostenOptie],0),IFERROR(MATCH(Methode_Keuze,Tb_KostenOptiesDB[#Headers],0),2))=1,_xlfn.SWITCH($N1633,"Uurtarief",IF(OR(AND(RIGHT($F1633,3)="IKS",VLOOKUP($M1633,DB_Loonkosten,2,0)="Ja"),AND(RIGHT($F1633,3)&lt;&gt;"IKS",VLOOKUP($M1633,DB_Loonkosten,2,0)="Nee")),IFERROR(VLOOKUP($M1633,DB_Loonkosten,24,0),""),0),"Vast tarief",IF(LEFT(F1633,8)="Bijdrage",VLOOKUP($F1633,Tb_KostenTypen[],MATCH(Lijsten!$P$1,Tb_KostenTypen[#Headers],0),0),VLOOKUP($G1633,Lijsten!L:P,MATCH(Lijsten!$P$1,Kop_Tarief_Vast,0),0))),""),"")</f>
        <v/>
      </c>
      <c r="P1633" s="320" t="str" cm="1">
        <f t="array" ref="P1633">_xlfn.IFNA(IF(INDEX(Tb_KostenOptiesDB[],MATCH($F1633,Tb_KostenOptiesDB[KostenOptie],0),IFERROR(MATCH(Methode_Keuze,Tb_KostenOptiesDB[#Headers],0),2))=1,_xlfn.SWITCH($N1633,"Uurtarief",IF(OR(AND(RIGHT($F1633,3)="IKS",VLOOKUP($M1633,DB_Loonkosten,2,0)="Ja"),AND(RIGHT($F1633,3)&lt;&gt;"IKS",VLOOKUP($M1633,DB_Loonkosten,2,0)="Nee")),IFERROR(VLOOKUP($M1633,DB_Loonkosten,25,0),""),0),"Vast tarief",IF(LEFT(F1633,8)="Bijdrage",VLOOKUP($F1633,Tb_KostenTypen[],MATCH(Lijsten!$P$1,Tb_KostenTypen[#Headers],0),0),VLOOKUP($G1633,Lijsten!L:P,MATCH(Lijsten!$P$1,Kop_Tarief_Vast,0),0))),""),"")</f>
        <v/>
      </c>
      <c r="Q1633" s="359"/>
      <c r="R1633" s="359"/>
      <c r="S1633" s="321"/>
      <c r="T1633" s="321"/>
      <c r="U1633" s="373" t="str">
        <f t="shared" si="100"/>
        <v/>
      </c>
      <c r="V1633" s="314" t="str">
        <f t="shared" si="101"/>
        <v/>
      </c>
      <c r="W1633" s="314" t="str" cm="1">
        <f t="array" aca="1" ref="W1633" ca="1">IFERROR(IF(AE1633&lt;&gt;"ja",_xlfn.IFNA(_xlfn.IFS(AND(O1633&lt;&gt;"",F1633&lt;&gt;"",RIGHT($N1633,6)="tarief",F1633="Vergoeding"),SUM(O1633)*FLOOR(SUM(Q1633),0.0001),AND(O1633&lt;&gt;"",F1633&lt;&gt;"",RIGHT($N1633,6)="tarief"),SUM(O1633)*FLOOR(SUM(Q1633),0.01),S1633&gt;0,IF(F1633&lt;&gt;"",FLOOR(SUM(S1633),0.01),"")),""),""),"")</f>
        <v/>
      </c>
      <c r="X1633" s="314" t="str" cm="1">
        <f t="array" aca="1" ref="X1633" ca="1">IFERROR(IF(AE1633&lt;&gt;"ja",_xlfn.IFNA(_xlfn.IFS(AND(P1633&lt;&gt;"",R1633&lt;&gt;"",RIGHT($N1633,6)="tarief",F1633="Vergoeding"),SUM(P1633)*FLOOR(SUM(R1633),0.0001),AND(P1633&lt;&gt;"",R1633&lt;&gt;"",RIGHT($N1633,6)="tarief"),P1633*FLOOR(R1633,0.01),T1633&gt;0,FLOOR(SUM(T1633),0.01)),""),""),"")</f>
        <v/>
      </c>
      <c r="Y1633" s="314" t="str">
        <f t="shared" ca="1" si="102"/>
        <v/>
      </c>
      <c r="Z1633" s="314" t="str" cm="1">
        <f t="array" aca="1" ref="Z1633" ca="1">IFERROR(_xlfn.IFS(OR(F1633="",LEFT(Methode_Keuze,4)="Geen",Methode_Keuze=""),"",AND(W1633&lt;&gt;"",F1633&lt;&gt;"Arbeidskosten"),W1633*VLOOKUP(F1633,Tb_ProjectKosten[],MATCH(Tb_ProjectKosten[[#Headers],[Forfait_Percentage]],Tb_ProjectKosten[#Headers],0),0),AND(F1633="Arbeidskosten",G1633&lt;&gt;""),IFERROR(W1633*VLOOKUP(G1633,Tb_KostenTypen[],3,0)*VLOOKUP(F1633,Tb_ProjectKosten[],MATCH(Tb_ProjectKosten[[#Headers],[Forfait_Percentage]],Tb_ProjectKosten[#Headers],0),0),""),W1633 &lt;=0,0),"")</f>
        <v/>
      </c>
      <c r="AA1633" s="314" t="str" cm="1">
        <f t="array" aca="1" ref="AA1633" ca="1">IFERROR(_xlfn.IFS(OR(F1633="",LEFT(Methode_Keuze,4)="Geen",Methode_Keuze=""),"",AND(X1633&lt;&gt;"",F1633&lt;&gt;"Arbeidskosten"),X1633*VLOOKUP(F1633,Tb_ProjectKosten[],MATCH(Tb_ProjectKosten[[#Headers],[Forfait_Percentage]],Tb_ProjectKosten[#Headers],0),0),AND(F1633="Arbeidskosten",G1633&lt;&gt;""),IFERROR(X1633*VLOOKUP(G1633,Tb_KostenTypen[],3,0)*VLOOKUP(F1633,Tb_ProjectKosten[],MATCH(Tb_ProjectKosten[[#Headers],[Forfait_Percentage]],Tb_ProjectKosten[#Headers],0),0),""),X1633 &lt;=0,0),"")</f>
        <v/>
      </c>
      <c r="AB1633" s="314" t="str">
        <f t="shared" ca="1" si="103"/>
        <v/>
      </c>
      <c r="AC1633" s="322"/>
      <c r="AD1633" s="315"/>
      <c r="AE1633" s="32" t="str" cm="1">
        <f t="array" ref="AE1633">IFERROR(IF(INDEX(SubsidieTabel!$AD$1:$AG$12,MATCH($F1633,SubsidieTabel!$AD$1:$AD$12,0),IFERROR(MATCH(Methode_Keuze,SubsidieTabel!$AD$1:$AG$1,0),2))&lt;&gt;1=TRUE,"ja",""),"")</f>
        <v/>
      </c>
    </row>
    <row r="1634" spans="1:31" x14ac:dyDescent="0.25">
      <c r="A1634" s="316"/>
      <c r="B1634" s="317" t="str">
        <f>IF(A1634&lt;&gt;"",_xlfn.MAXIFS($B$1:B1633,$A$1:A1633,A1634)+1,"")</f>
        <v/>
      </c>
      <c r="C1634" s="296"/>
      <c r="D1634" s="296"/>
      <c r="E1634" s="296"/>
      <c r="F1634" s="296"/>
      <c r="G1634" s="326"/>
      <c r="H1634" s="324"/>
      <c r="I1634" s="325"/>
      <c r="J1634" s="325"/>
      <c r="K1634" s="318"/>
      <c r="L1634" s="318"/>
      <c r="M1634" s="319" t="str">
        <f>IFERROR(VLOOKUP(H1634,Lijsten!$H$1:$I$100,2,0),"")</f>
        <v/>
      </c>
      <c r="N1634" s="319" t="str">
        <f ca="1">IFERROR(IF(VLOOKUP(F1634,Kostentypen!$A$3:$E$21,3,0)=0,"",IF(OR(F1634="Arbeidskosten",F1634="Vergoeding"),VLOOKUP(G1634,Tb_KostenTypen[],2,0),VLOOKUP(F1634,Kostentypen!$A$3:$E$20,3,0))),"")</f>
        <v/>
      </c>
      <c r="O1634" s="320" t="str" cm="1">
        <f t="array" ref="O1634">_xlfn.IFNA(IF(INDEX(Tb_KostenOptiesDB[],MATCH($F1634,Tb_KostenOptiesDB[KostenOptie],0),IFERROR(MATCH(Methode_Keuze,Tb_KostenOptiesDB[#Headers],0),2))=1,_xlfn.SWITCH($N1634,"Uurtarief",IF(OR(AND(RIGHT($F1634,3)="IKS",VLOOKUP($M1634,DB_Loonkosten,2,0)="Ja"),AND(RIGHT($F1634,3)&lt;&gt;"IKS",VLOOKUP($M1634,DB_Loonkosten,2,0)="Nee")),IFERROR(VLOOKUP($M1634,DB_Loonkosten,24,0),""),0),"Vast tarief",IF(LEFT(F1634,8)="Bijdrage",VLOOKUP($F1634,Tb_KostenTypen[],MATCH(Lijsten!$P$1,Tb_KostenTypen[#Headers],0),0),VLOOKUP($G1634,Lijsten!L:P,MATCH(Lijsten!$P$1,Kop_Tarief_Vast,0),0))),""),"")</f>
        <v/>
      </c>
      <c r="P1634" s="320" t="str" cm="1">
        <f t="array" ref="P1634">_xlfn.IFNA(IF(INDEX(Tb_KostenOptiesDB[],MATCH($F1634,Tb_KostenOptiesDB[KostenOptie],0),IFERROR(MATCH(Methode_Keuze,Tb_KostenOptiesDB[#Headers],0),2))=1,_xlfn.SWITCH($N1634,"Uurtarief",IF(OR(AND(RIGHT($F1634,3)="IKS",VLOOKUP($M1634,DB_Loonkosten,2,0)="Ja"),AND(RIGHT($F1634,3)&lt;&gt;"IKS",VLOOKUP($M1634,DB_Loonkosten,2,0)="Nee")),IFERROR(VLOOKUP($M1634,DB_Loonkosten,25,0),""),0),"Vast tarief",IF(LEFT(F1634,8)="Bijdrage",VLOOKUP($F1634,Tb_KostenTypen[],MATCH(Lijsten!$P$1,Tb_KostenTypen[#Headers],0),0),VLOOKUP($G1634,Lijsten!L:P,MATCH(Lijsten!$P$1,Kop_Tarief_Vast,0),0))),""),"")</f>
        <v/>
      </c>
      <c r="Q1634" s="359"/>
      <c r="R1634" s="359"/>
      <c r="S1634" s="321"/>
      <c r="T1634" s="321"/>
      <c r="U1634" s="373" t="str">
        <f t="shared" si="100"/>
        <v/>
      </c>
      <c r="V1634" s="314" t="str">
        <f t="shared" si="101"/>
        <v/>
      </c>
      <c r="W1634" s="314" t="str" cm="1">
        <f t="array" aca="1" ref="W1634" ca="1">IFERROR(IF(AE1634&lt;&gt;"ja",_xlfn.IFNA(_xlfn.IFS(AND(O1634&lt;&gt;"",F1634&lt;&gt;"",RIGHT($N1634,6)="tarief",F1634="Vergoeding"),SUM(O1634)*FLOOR(SUM(Q1634),0.0001),AND(O1634&lt;&gt;"",F1634&lt;&gt;"",RIGHT($N1634,6)="tarief"),SUM(O1634)*FLOOR(SUM(Q1634),0.01),S1634&gt;0,IF(F1634&lt;&gt;"",FLOOR(SUM(S1634),0.01),"")),""),""),"")</f>
        <v/>
      </c>
      <c r="X1634" s="314" t="str" cm="1">
        <f t="array" aca="1" ref="X1634" ca="1">IFERROR(IF(AE1634&lt;&gt;"ja",_xlfn.IFNA(_xlfn.IFS(AND(P1634&lt;&gt;"",R1634&lt;&gt;"",RIGHT($N1634,6)="tarief",F1634="Vergoeding"),SUM(P1634)*FLOOR(SUM(R1634),0.0001),AND(P1634&lt;&gt;"",R1634&lt;&gt;"",RIGHT($N1634,6)="tarief"),P1634*FLOOR(R1634,0.01),T1634&gt;0,FLOOR(SUM(T1634),0.01)),""),""),"")</f>
        <v/>
      </c>
      <c r="Y1634" s="314" t="str">
        <f t="shared" ca="1" si="102"/>
        <v/>
      </c>
      <c r="Z1634" s="314" t="str" cm="1">
        <f t="array" aca="1" ref="Z1634" ca="1">IFERROR(_xlfn.IFS(OR(F1634="",LEFT(Methode_Keuze,4)="Geen",Methode_Keuze=""),"",AND(W1634&lt;&gt;"",F1634&lt;&gt;"Arbeidskosten"),W1634*VLOOKUP(F1634,Tb_ProjectKosten[],MATCH(Tb_ProjectKosten[[#Headers],[Forfait_Percentage]],Tb_ProjectKosten[#Headers],0),0),AND(F1634="Arbeidskosten",G1634&lt;&gt;""),IFERROR(W1634*VLOOKUP(G1634,Tb_KostenTypen[],3,0)*VLOOKUP(F1634,Tb_ProjectKosten[],MATCH(Tb_ProjectKosten[[#Headers],[Forfait_Percentage]],Tb_ProjectKosten[#Headers],0),0),""),W1634 &lt;=0,0),"")</f>
        <v/>
      </c>
      <c r="AA1634" s="314" t="str" cm="1">
        <f t="array" aca="1" ref="AA1634" ca="1">IFERROR(_xlfn.IFS(OR(F1634="",LEFT(Methode_Keuze,4)="Geen",Methode_Keuze=""),"",AND(X1634&lt;&gt;"",F1634&lt;&gt;"Arbeidskosten"),X1634*VLOOKUP(F1634,Tb_ProjectKosten[],MATCH(Tb_ProjectKosten[[#Headers],[Forfait_Percentage]],Tb_ProjectKosten[#Headers],0),0),AND(F1634="Arbeidskosten",G1634&lt;&gt;""),IFERROR(X1634*VLOOKUP(G1634,Tb_KostenTypen[],3,0)*VLOOKUP(F1634,Tb_ProjectKosten[],MATCH(Tb_ProjectKosten[[#Headers],[Forfait_Percentage]],Tb_ProjectKosten[#Headers],0),0),""),X1634 &lt;=0,0),"")</f>
        <v/>
      </c>
      <c r="AB1634" s="314" t="str">
        <f t="shared" ca="1" si="103"/>
        <v/>
      </c>
      <c r="AC1634" s="322"/>
      <c r="AD1634" s="315"/>
      <c r="AE1634" s="32" t="str" cm="1">
        <f t="array" ref="AE1634">IFERROR(IF(INDEX(SubsidieTabel!$AD$1:$AG$12,MATCH($F1634,SubsidieTabel!$AD$1:$AD$12,0),IFERROR(MATCH(Methode_Keuze,SubsidieTabel!$AD$1:$AG$1,0),2))&lt;&gt;1=TRUE,"ja",""),"")</f>
        <v/>
      </c>
    </row>
    <row r="1635" spans="1:31" x14ac:dyDescent="0.25">
      <c r="A1635" s="316"/>
      <c r="B1635" s="317" t="str">
        <f>IF(A1635&lt;&gt;"",_xlfn.MAXIFS($B$1:B1634,$A$1:A1634,A1635)+1,"")</f>
        <v/>
      </c>
      <c r="C1635" s="296"/>
      <c r="D1635" s="296"/>
      <c r="E1635" s="296"/>
      <c r="F1635" s="296"/>
      <c r="G1635" s="326"/>
      <c r="H1635" s="324"/>
      <c r="I1635" s="325"/>
      <c r="J1635" s="325"/>
      <c r="K1635" s="318"/>
      <c r="L1635" s="318"/>
      <c r="M1635" s="319" t="str">
        <f>IFERROR(VLOOKUP(H1635,Lijsten!$H$1:$I$100,2,0),"")</f>
        <v/>
      </c>
      <c r="N1635" s="319" t="str">
        <f ca="1">IFERROR(IF(VLOOKUP(F1635,Kostentypen!$A$3:$E$21,3,0)=0,"",IF(OR(F1635="Arbeidskosten",F1635="Vergoeding"),VLOOKUP(G1635,Tb_KostenTypen[],2,0),VLOOKUP(F1635,Kostentypen!$A$3:$E$20,3,0))),"")</f>
        <v/>
      </c>
      <c r="O1635" s="320" t="str" cm="1">
        <f t="array" ref="O1635">_xlfn.IFNA(IF(INDEX(Tb_KostenOptiesDB[],MATCH($F1635,Tb_KostenOptiesDB[KostenOptie],0),IFERROR(MATCH(Methode_Keuze,Tb_KostenOptiesDB[#Headers],0),2))=1,_xlfn.SWITCH($N1635,"Uurtarief",IF(OR(AND(RIGHT($F1635,3)="IKS",VLOOKUP($M1635,DB_Loonkosten,2,0)="Ja"),AND(RIGHT($F1635,3)&lt;&gt;"IKS",VLOOKUP($M1635,DB_Loonkosten,2,0)="Nee")),IFERROR(VLOOKUP($M1635,DB_Loonkosten,24,0),""),0),"Vast tarief",IF(LEFT(F1635,8)="Bijdrage",VLOOKUP($F1635,Tb_KostenTypen[],MATCH(Lijsten!$P$1,Tb_KostenTypen[#Headers],0),0),VLOOKUP($G1635,Lijsten!L:P,MATCH(Lijsten!$P$1,Kop_Tarief_Vast,0),0))),""),"")</f>
        <v/>
      </c>
      <c r="P1635" s="320" t="str" cm="1">
        <f t="array" ref="P1635">_xlfn.IFNA(IF(INDEX(Tb_KostenOptiesDB[],MATCH($F1635,Tb_KostenOptiesDB[KostenOptie],0),IFERROR(MATCH(Methode_Keuze,Tb_KostenOptiesDB[#Headers],0),2))=1,_xlfn.SWITCH($N1635,"Uurtarief",IF(OR(AND(RIGHT($F1635,3)="IKS",VLOOKUP($M1635,DB_Loonkosten,2,0)="Ja"),AND(RIGHT($F1635,3)&lt;&gt;"IKS",VLOOKUP($M1635,DB_Loonkosten,2,0)="Nee")),IFERROR(VLOOKUP($M1635,DB_Loonkosten,25,0),""),0),"Vast tarief",IF(LEFT(F1635,8)="Bijdrage",VLOOKUP($F1635,Tb_KostenTypen[],MATCH(Lijsten!$P$1,Tb_KostenTypen[#Headers],0),0),VLOOKUP($G1635,Lijsten!L:P,MATCH(Lijsten!$P$1,Kop_Tarief_Vast,0),0))),""),"")</f>
        <v/>
      </c>
      <c r="Q1635" s="359"/>
      <c r="R1635" s="359"/>
      <c r="S1635" s="321"/>
      <c r="T1635" s="321"/>
      <c r="U1635" s="373" t="str">
        <f t="shared" si="100"/>
        <v/>
      </c>
      <c r="V1635" s="314" t="str">
        <f t="shared" si="101"/>
        <v/>
      </c>
      <c r="W1635" s="314" t="str" cm="1">
        <f t="array" aca="1" ref="W1635" ca="1">IFERROR(IF(AE1635&lt;&gt;"ja",_xlfn.IFNA(_xlfn.IFS(AND(O1635&lt;&gt;"",F1635&lt;&gt;"",RIGHT($N1635,6)="tarief",F1635="Vergoeding"),SUM(O1635)*FLOOR(SUM(Q1635),0.0001),AND(O1635&lt;&gt;"",F1635&lt;&gt;"",RIGHT($N1635,6)="tarief"),SUM(O1635)*FLOOR(SUM(Q1635),0.01),S1635&gt;0,IF(F1635&lt;&gt;"",FLOOR(SUM(S1635),0.01),"")),""),""),"")</f>
        <v/>
      </c>
      <c r="X1635" s="314" t="str" cm="1">
        <f t="array" aca="1" ref="X1635" ca="1">IFERROR(IF(AE1635&lt;&gt;"ja",_xlfn.IFNA(_xlfn.IFS(AND(P1635&lt;&gt;"",R1635&lt;&gt;"",RIGHT($N1635,6)="tarief",F1635="Vergoeding"),SUM(P1635)*FLOOR(SUM(R1635),0.0001),AND(P1635&lt;&gt;"",R1635&lt;&gt;"",RIGHT($N1635,6)="tarief"),P1635*FLOOR(R1635,0.01),T1635&gt;0,FLOOR(SUM(T1635),0.01)),""),""),"")</f>
        <v/>
      </c>
      <c r="Y1635" s="314" t="str">
        <f t="shared" ca="1" si="102"/>
        <v/>
      </c>
      <c r="Z1635" s="314" t="str" cm="1">
        <f t="array" aca="1" ref="Z1635" ca="1">IFERROR(_xlfn.IFS(OR(F1635="",LEFT(Methode_Keuze,4)="Geen",Methode_Keuze=""),"",AND(W1635&lt;&gt;"",F1635&lt;&gt;"Arbeidskosten"),W1635*VLOOKUP(F1635,Tb_ProjectKosten[],MATCH(Tb_ProjectKosten[[#Headers],[Forfait_Percentage]],Tb_ProjectKosten[#Headers],0),0),AND(F1635="Arbeidskosten",G1635&lt;&gt;""),IFERROR(W1635*VLOOKUP(G1635,Tb_KostenTypen[],3,0)*VLOOKUP(F1635,Tb_ProjectKosten[],MATCH(Tb_ProjectKosten[[#Headers],[Forfait_Percentage]],Tb_ProjectKosten[#Headers],0),0),""),W1635 &lt;=0,0),"")</f>
        <v/>
      </c>
      <c r="AA1635" s="314" t="str" cm="1">
        <f t="array" aca="1" ref="AA1635" ca="1">IFERROR(_xlfn.IFS(OR(F1635="",LEFT(Methode_Keuze,4)="Geen",Methode_Keuze=""),"",AND(X1635&lt;&gt;"",F1635&lt;&gt;"Arbeidskosten"),X1635*VLOOKUP(F1635,Tb_ProjectKosten[],MATCH(Tb_ProjectKosten[[#Headers],[Forfait_Percentage]],Tb_ProjectKosten[#Headers],0),0),AND(F1635="Arbeidskosten",G1635&lt;&gt;""),IFERROR(X1635*VLOOKUP(G1635,Tb_KostenTypen[],3,0)*VLOOKUP(F1635,Tb_ProjectKosten[],MATCH(Tb_ProjectKosten[[#Headers],[Forfait_Percentage]],Tb_ProjectKosten[#Headers],0),0),""),X1635 &lt;=0,0),"")</f>
        <v/>
      </c>
      <c r="AB1635" s="314" t="str">
        <f t="shared" ca="1" si="103"/>
        <v/>
      </c>
      <c r="AC1635" s="322"/>
      <c r="AD1635" s="315"/>
      <c r="AE1635" s="32" t="str" cm="1">
        <f t="array" ref="AE1635">IFERROR(IF(INDEX(SubsidieTabel!$AD$1:$AG$12,MATCH($F1635,SubsidieTabel!$AD$1:$AD$12,0),IFERROR(MATCH(Methode_Keuze,SubsidieTabel!$AD$1:$AG$1,0),2))&lt;&gt;1=TRUE,"ja",""),"")</f>
        <v/>
      </c>
    </row>
    <row r="1636" spans="1:31" x14ac:dyDescent="0.25">
      <c r="A1636" s="316"/>
      <c r="B1636" s="317" t="str">
        <f>IF(A1636&lt;&gt;"",_xlfn.MAXIFS($B$1:B1635,$A$1:A1635,A1636)+1,"")</f>
        <v/>
      </c>
      <c r="C1636" s="296"/>
      <c r="D1636" s="296"/>
      <c r="E1636" s="296"/>
      <c r="F1636" s="296"/>
      <c r="G1636" s="326"/>
      <c r="H1636" s="324"/>
      <c r="I1636" s="325"/>
      <c r="J1636" s="325"/>
      <c r="K1636" s="318"/>
      <c r="L1636" s="318"/>
      <c r="M1636" s="319" t="str">
        <f>IFERROR(VLOOKUP(H1636,Lijsten!$H$1:$I$100,2,0),"")</f>
        <v/>
      </c>
      <c r="N1636" s="319" t="str">
        <f ca="1">IFERROR(IF(VLOOKUP(F1636,Kostentypen!$A$3:$E$21,3,0)=0,"",IF(OR(F1636="Arbeidskosten",F1636="Vergoeding"),VLOOKUP(G1636,Tb_KostenTypen[],2,0),VLOOKUP(F1636,Kostentypen!$A$3:$E$20,3,0))),"")</f>
        <v/>
      </c>
      <c r="O1636" s="320" t="str" cm="1">
        <f t="array" ref="O1636">_xlfn.IFNA(IF(INDEX(Tb_KostenOptiesDB[],MATCH($F1636,Tb_KostenOptiesDB[KostenOptie],0),IFERROR(MATCH(Methode_Keuze,Tb_KostenOptiesDB[#Headers],0),2))=1,_xlfn.SWITCH($N1636,"Uurtarief",IF(OR(AND(RIGHT($F1636,3)="IKS",VLOOKUP($M1636,DB_Loonkosten,2,0)="Ja"),AND(RIGHT($F1636,3)&lt;&gt;"IKS",VLOOKUP($M1636,DB_Loonkosten,2,0)="Nee")),IFERROR(VLOOKUP($M1636,DB_Loonkosten,24,0),""),0),"Vast tarief",IF(LEFT(F1636,8)="Bijdrage",VLOOKUP($F1636,Tb_KostenTypen[],MATCH(Lijsten!$P$1,Tb_KostenTypen[#Headers],0),0),VLOOKUP($G1636,Lijsten!L:P,MATCH(Lijsten!$P$1,Kop_Tarief_Vast,0),0))),""),"")</f>
        <v/>
      </c>
      <c r="P1636" s="320" t="str" cm="1">
        <f t="array" ref="P1636">_xlfn.IFNA(IF(INDEX(Tb_KostenOptiesDB[],MATCH($F1636,Tb_KostenOptiesDB[KostenOptie],0),IFERROR(MATCH(Methode_Keuze,Tb_KostenOptiesDB[#Headers],0),2))=1,_xlfn.SWITCH($N1636,"Uurtarief",IF(OR(AND(RIGHT($F1636,3)="IKS",VLOOKUP($M1636,DB_Loonkosten,2,0)="Ja"),AND(RIGHT($F1636,3)&lt;&gt;"IKS",VLOOKUP($M1636,DB_Loonkosten,2,0)="Nee")),IFERROR(VLOOKUP($M1636,DB_Loonkosten,25,0),""),0),"Vast tarief",IF(LEFT(F1636,8)="Bijdrage",VLOOKUP($F1636,Tb_KostenTypen[],MATCH(Lijsten!$P$1,Tb_KostenTypen[#Headers],0),0),VLOOKUP($G1636,Lijsten!L:P,MATCH(Lijsten!$P$1,Kop_Tarief_Vast,0),0))),""),"")</f>
        <v/>
      </c>
      <c r="Q1636" s="359"/>
      <c r="R1636" s="359"/>
      <c r="S1636" s="321"/>
      <c r="T1636" s="321"/>
      <c r="U1636" s="373" t="str">
        <f t="shared" si="100"/>
        <v/>
      </c>
      <c r="V1636" s="314" t="str">
        <f t="shared" si="101"/>
        <v/>
      </c>
      <c r="W1636" s="314" t="str" cm="1">
        <f t="array" aca="1" ref="W1636" ca="1">IFERROR(IF(AE1636&lt;&gt;"ja",_xlfn.IFNA(_xlfn.IFS(AND(O1636&lt;&gt;"",F1636&lt;&gt;"",RIGHT($N1636,6)="tarief",F1636="Vergoeding"),SUM(O1636)*FLOOR(SUM(Q1636),0.0001),AND(O1636&lt;&gt;"",F1636&lt;&gt;"",RIGHT($N1636,6)="tarief"),SUM(O1636)*FLOOR(SUM(Q1636),0.01),S1636&gt;0,IF(F1636&lt;&gt;"",FLOOR(SUM(S1636),0.01),"")),""),""),"")</f>
        <v/>
      </c>
      <c r="X1636" s="314" t="str" cm="1">
        <f t="array" aca="1" ref="X1636" ca="1">IFERROR(IF(AE1636&lt;&gt;"ja",_xlfn.IFNA(_xlfn.IFS(AND(P1636&lt;&gt;"",R1636&lt;&gt;"",RIGHT($N1636,6)="tarief",F1636="Vergoeding"),SUM(P1636)*FLOOR(SUM(R1636),0.0001),AND(P1636&lt;&gt;"",R1636&lt;&gt;"",RIGHT($N1636,6)="tarief"),P1636*FLOOR(R1636,0.01),T1636&gt;0,FLOOR(SUM(T1636),0.01)),""),""),"")</f>
        <v/>
      </c>
      <c r="Y1636" s="314" t="str">
        <f t="shared" ca="1" si="102"/>
        <v/>
      </c>
      <c r="Z1636" s="314" t="str" cm="1">
        <f t="array" aca="1" ref="Z1636" ca="1">IFERROR(_xlfn.IFS(OR(F1636="",LEFT(Methode_Keuze,4)="Geen",Methode_Keuze=""),"",AND(W1636&lt;&gt;"",F1636&lt;&gt;"Arbeidskosten"),W1636*VLOOKUP(F1636,Tb_ProjectKosten[],MATCH(Tb_ProjectKosten[[#Headers],[Forfait_Percentage]],Tb_ProjectKosten[#Headers],0),0),AND(F1636="Arbeidskosten",G1636&lt;&gt;""),IFERROR(W1636*VLOOKUP(G1636,Tb_KostenTypen[],3,0)*VLOOKUP(F1636,Tb_ProjectKosten[],MATCH(Tb_ProjectKosten[[#Headers],[Forfait_Percentage]],Tb_ProjectKosten[#Headers],0),0),""),W1636 &lt;=0,0),"")</f>
        <v/>
      </c>
      <c r="AA1636" s="314" t="str" cm="1">
        <f t="array" aca="1" ref="AA1636" ca="1">IFERROR(_xlfn.IFS(OR(F1636="",LEFT(Methode_Keuze,4)="Geen",Methode_Keuze=""),"",AND(X1636&lt;&gt;"",F1636&lt;&gt;"Arbeidskosten"),X1636*VLOOKUP(F1636,Tb_ProjectKosten[],MATCH(Tb_ProjectKosten[[#Headers],[Forfait_Percentage]],Tb_ProjectKosten[#Headers],0),0),AND(F1636="Arbeidskosten",G1636&lt;&gt;""),IFERROR(X1636*VLOOKUP(G1636,Tb_KostenTypen[],3,0)*VLOOKUP(F1636,Tb_ProjectKosten[],MATCH(Tb_ProjectKosten[[#Headers],[Forfait_Percentage]],Tb_ProjectKosten[#Headers],0),0),""),X1636 &lt;=0,0),"")</f>
        <v/>
      </c>
      <c r="AB1636" s="314" t="str">
        <f t="shared" ca="1" si="103"/>
        <v/>
      </c>
      <c r="AC1636" s="322"/>
      <c r="AD1636" s="315"/>
      <c r="AE1636" s="32" t="str" cm="1">
        <f t="array" ref="AE1636">IFERROR(IF(INDEX(SubsidieTabel!$AD$1:$AG$12,MATCH($F1636,SubsidieTabel!$AD$1:$AD$12,0),IFERROR(MATCH(Methode_Keuze,SubsidieTabel!$AD$1:$AG$1,0),2))&lt;&gt;1=TRUE,"ja",""),"")</f>
        <v/>
      </c>
    </row>
    <row r="1637" spans="1:31" x14ac:dyDescent="0.25">
      <c r="A1637" s="316"/>
      <c r="B1637" s="317" t="str">
        <f>IF(A1637&lt;&gt;"",_xlfn.MAXIFS($B$1:B1636,$A$1:A1636,A1637)+1,"")</f>
        <v/>
      </c>
      <c r="C1637" s="296"/>
      <c r="D1637" s="296"/>
      <c r="E1637" s="296"/>
      <c r="F1637" s="296"/>
      <c r="G1637" s="326"/>
      <c r="H1637" s="324"/>
      <c r="I1637" s="325"/>
      <c r="J1637" s="325"/>
      <c r="K1637" s="318"/>
      <c r="L1637" s="318"/>
      <c r="M1637" s="319" t="str">
        <f>IFERROR(VLOOKUP(H1637,Lijsten!$H$1:$I$100,2,0),"")</f>
        <v/>
      </c>
      <c r="N1637" s="319" t="str">
        <f ca="1">IFERROR(IF(VLOOKUP(F1637,Kostentypen!$A$3:$E$21,3,0)=0,"",IF(OR(F1637="Arbeidskosten",F1637="Vergoeding"),VLOOKUP(G1637,Tb_KostenTypen[],2,0),VLOOKUP(F1637,Kostentypen!$A$3:$E$20,3,0))),"")</f>
        <v/>
      </c>
      <c r="O1637" s="320" t="str" cm="1">
        <f t="array" ref="O1637">_xlfn.IFNA(IF(INDEX(Tb_KostenOptiesDB[],MATCH($F1637,Tb_KostenOptiesDB[KostenOptie],0),IFERROR(MATCH(Methode_Keuze,Tb_KostenOptiesDB[#Headers],0),2))=1,_xlfn.SWITCH($N1637,"Uurtarief",IF(OR(AND(RIGHT($F1637,3)="IKS",VLOOKUP($M1637,DB_Loonkosten,2,0)="Ja"),AND(RIGHT($F1637,3)&lt;&gt;"IKS",VLOOKUP($M1637,DB_Loonkosten,2,0)="Nee")),IFERROR(VLOOKUP($M1637,DB_Loonkosten,24,0),""),0),"Vast tarief",IF(LEFT(F1637,8)="Bijdrage",VLOOKUP($F1637,Tb_KostenTypen[],MATCH(Lijsten!$P$1,Tb_KostenTypen[#Headers],0),0),VLOOKUP($G1637,Lijsten!L:P,MATCH(Lijsten!$P$1,Kop_Tarief_Vast,0),0))),""),"")</f>
        <v/>
      </c>
      <c r="P1637" s="320" t="str" cm="1">
        <f t="array" ref="P1637">_xlfn.IFNA(IF(INDEX(Tb_KostenOptiesDB[],MATCH($F1637,Tb_KostenOptiesDB[KostenOptie],0),IFERROR(MATCH(Methode_Keuze,Tb_KostenOptiesDB[#Headers],0),2))=1,_xlfn.SWITCH($N1637,"Uurtarief",IF(OR(AND(RIGHT($F1637,3)="IKS",VLOOKUP($M1637,DB_Loonkosten,2,0)="Ja"),AND(RIGHT($F1637,3)&lt;&gt;"IKS",VLOOKUP($M1637,DB_Loonkosten,2,0)="Nee")),IFERROR(VLOOKUP($M1637,DB_Loonkosten,25,0),""),0),"Vast tarief",IF(LEFT(F1637,8)="Bijdrage",VLOOKUP($F1637,Tb_KostenTypen[],MATCH(Lijsten!$P$1,Tb_KostenTypen[#Headers],0),0),VLOOKUP($G1637,Lijsten!L:P,MATCH(Lijsten!$P$1,Kop_Tarief_Vast,0),0))),""),"")</f>
        <v/>
      </c>
      <c r="Q1637" s="359"/>
      <c r="R1637" s="359"/>
      <c r="S1637" s="321"/>
      <c r="T1637" s="321"/>
      <c r="U1637" s="373" t="str">
        <f t="shared" si="100"/>
        <v/>
      </c>
      <c r="V1637" s="314" t="str">
        <f t="shared" si="101"/>
        <v/>
      </c>
      <c r="W1637" s="314" t="str" cm="1">
        <f t="array" aca="1" ref="W1637" ca="1">IFERROR(IF(AE1637&lt;&gt;"ja",_xlfn.IFNA(_xlfn.IFS(AND(O1637&lt;&gt;"",F1637&lt;&gt;"",RIGHT($N1637,6)="tarief",F1637="Vergoeding"),SUM(O1637)*FLOOR(SUM(Q1637),0.0001),AND(O1637&lt;&gt;"",F1637&lt;&gt;"",RIGHT($N1637,6)="tarief"),SUM(O1637)*FLOOR(SUM(Q1637),0.01),S1637&gt;0,IF(F1637&lt;&gt;"",FLOOR(SUM(S1637),0.01),"")),""),""),"")</f>
        <v/>
      </c>
      <c r="X1637" s="314" t="str" cm="1">
        <f t="array" aca="1" ref="X1637" ca="1">IFERROR(IF(AE1637&lt;&gt;"ja",_xlfn.IFNA(_xlfn.IFS(AND(P1637&lt;&gt;"",R1637&lt;&gt;"",RIGHT($N1637,6)="tarief",F1637="Vergoeding"),SUM(P1637)*FLOOR(SUM(R1637),0.0001),AND(P1637&lt;&gt;"",R1637&lt;&gt;"",RIGHT($N1637,6)="tarief"),P1637*FLOOR(R1637,0.01),T1637&gt;0,FLOOR(SUM(T1637),0.01)),""),""),"")</f>
        <v/>
      </c>
      <c r="Y1637" s="314" t="str">
        <f t="shared" ca="1" si="102"/>
        <v/>
      </c>
      <c r="Z1637" s="314" t="str" cm="1">
        <f t="array" aca="1" ref="Z1637" ca="1">IFERROR(_xlfn.IFS(OR(F1637="",LEFT(Methode_Keuze,4)="Geen",Methode_Keuze=""),"",AND(W1637&lt;&gt;"",F1637&lt;&gt;"Arbeidskosten"),W1637*VLOOKUP(F1637,Tb_ProjectKosten[],MATCH(Tb_ProjectKosten[[#Headers],[Forfait_Percentage]],Tb_ProjectKosten[#Headers],0),0),AND(F1637="Arbeidskosten",G1637&lt;&gt;""),IFERROR(W1637*VLOOKUP(G1637,Tb_KostenTypen[],3,0)*VLOOKUP(F1637,Tb_ProjectKosten[],MATCH(Tb_ProjectKosten[[#Headers],[Forfait_Percentage]],Tb_ProjectKosten[#Headers],0),0),""),W1637 &lt;=0,0),"")</f>
        <v/>
      </c>
      <c r="AA1637" s="314" t="str" cm="1">
        <f t="array" aca="1" ref="AA1637" ca="1">IFERROR(_xlfn.IFS(OR(F1637="",LEFT(Methode_Keuze,4)="Geen",Methode_Keuze=""),"",AND(X1637&lt;&gt;"",F1637&lt;&gt;"Arbeidskosten"),X1637*VLOOKUP(F1637,Tb_ProjectKosten[],MATCH(Tb_ProjectKosten[[#Headers],[Forfait_Percentage]],Tb_ProjectKosten[#Headers],0),0),AND(F1637="Arbeidskosten",G1637&lt;&gt;""),IFERROR(X1637*VLOOKUP(G1637,Tb_KostenTypen[],3,0)*VLOOKUP(F1637,Tb_ProjectKosten[],MATCH(Tb_ProjectKosten[[#Headers],[Forfait_Percentage]],Tb_ProjectKosten[#Headers],0),0),""),X1637 &lt;=0,0),"")</f>
        <v/>
      </c>
      <c r="AB1637" s="314" t="str">
        <f t="shared" ca="1" si="103"/>
        <v/>
      </c>
      <c r="AC1637" s="322"/>
      <c r="AD1637" s="315"/>
      <c r="AE1637" s="32" t="str" cm="1">
        <f t="array" ref="AE1637">IFERROR(IF(INDEX(SubsidieTabel!$AD$1:$AG$12,MATCH($F1637,SubsidieTabel!$AD$1:$AD$12,0),IFERROR(MATCH(Methode_Keuze,SubsidieTabel!$AD$1:$AG$1,0),2))&lt;&gt;1=TRUE,"ja",""),"")</f>
        <v/>
      </c>
    </row>
    <row r="1638" spans="1:31" x14ac:dyDescent="0.25">
      <c r="A1638" s="316"/>
      <c r="B1638" s="317" t="str">
        <f>IF(A1638&lt;&gt;"",_xlfn.MAXIFS($B$1:B1637,$A$1:A1637,A1638)+1,"")</f>
        <v/>
      </c>
      <c r="C1638" s="296"/>
      <c r="D1638" s="296"/>
      <c r="E1638" s="296"/>
      <c r="F1638" s="296"/>
      <c r="G1638" s="326"/>
      <c r="H1638" s="324"/>
      <c r="I1638" s="325"/>
      <c r="J1638" s="325"/>
      <c r="K1638" s="318"/>
      <c r="L1638" s="318"/>
      <c r="M1638" s="319" t="str">
        <f>IFERROR(VLOOKUP(H1638,Lijsten!$H$1:$I$100,2,0),"")</f>
        <v/>
      </c>
      <c r="N1638" s="319" t="str">
        <f ca="1">IFERROR(IF(VLOOKUP(F1638,Kostentypen!$A$3:$E$21,3,0)=0,"",IF(OR(F1638="Arbeidskosten",F1638="Vergoeding"),VLOOKUP(G1638,Tb_KostenTypen[],2,0),VLOOKUP(F1638,Kostentypen!$A$3:$E$20,3,0))),"")</f>
        <v/>
      </c>
      <c r="O1638" s="320" t="str" cm="1">
        <f t="array" ref="O1638">_xlfn.IFNA(IF(INDEX(Tb_KostenOptiesDB[],MATCH($F1638,Tb_KostenOptiesDB[KostenOptie],0),IFERROR(MATCH(Methode_Keuze,Tb_KostenOptiesDB[#Headers],0),2))=1,_xlfn.SWITCH($N1638,"Uurtarief",IF(OR(AND(RIGHT($F1638,3)="IKS",VLOOKUP($M1638,DB_Loonkosten,2,0)="Ja"),AND(RIGHT($F1638,3)&lt;&gt;"IKS",VLOOKUP($M1638,DB_Loonkosten,2,0)="Nee")),IFERROR(VLOOKUP($M1638,DB_Loonkosten,24,0),""),0),"Vast tarief",IF(LEFT(F1638,8)="Bijdrage",VLOOKUP($F1638,Tb_KostenTypen[],MATCH(Lijsten!$P$1,Tb_KostenTypen[#Headers],0),0),VLOOKUP($G1638,Lijsten!L:P,MATCH(Lijsten!$P$1,Kop_Tarief_Vast,0),0))),""),"")</f>
        <v/>
      </c>
      <c r="P1638" s="320" t="str" cm="1">
        <f t="array" ref="P1638">_xlfn.IFNA(IF(INDEX(Tb_KostenOptiesDB[],MATCH($F1638,Tb_KostenOptiesDB[KostenOptie],0),IFERROR(MATCH(Methode_Keuze,Tb_KostenOptiesDB[#Headers],0),2))=1,_xlfn.SWITCH($N1638,"Uurtarief",IF(OR(AND(RIGHT($F1638,3)="IKS",VLOOKUP($M1638,DB_Loonkosten,2,0)="Ja"),AND(RIGHT($F1638,3)&lt;&gt;"IKS",VLOOKUP($M1638,DB_Loonkosten,2,0)="Nee")),IFERROR(VLOOKUP($M1638,DB_Loonkosten,25,0),""),0),"Vast tarief",IF(LEFT(F1638,8)="Bijdrage",VLOOKUP($F1638,Tb_KostenTypen[],MATCH(Lijsten!$P$1,Tb_KostenTypen[#Headers],0),0),VLOOKUP($G1638,Lijsten!L:P,MATCH(Lijsten!$P$1,Kop_Tarief_Vast,0),0))),""),"")</f>
        <v/>
      </c>
      <c r="Q1638" s="359"/>
      <c r="R1638" s="359"/>
      <c r="S1638" s="321"/>
      <c r="T1638" s="321"/>
      <c r="U1638" s="373" t="str">
        <f t="shared" si="100"/>
        <v/>
      </c>
      <c r="V1638" s="314" t="str">
        <f t="shared" si="101"/>
        <v/>
      </c>
      <c r="W1638" s="314" t="str" cm="1">
        <f t="array" aca="1" ref="W1638" ca="1">IFERROR(IF(AE1638&lt;&gt;"ja",_xlfn.IFNA(_xlfn.IFS(AND(O1638&lt;&gt;"",F1638&lt;&gt;"",RIGHT($N1638,6)="tarief",F1638="Vergoeding"),SUM(O1638)*FLOOR(SUM(Q1638),0.0001),AND(O1638&lt;&gt;"",F1638&lt;&gt;"",RIGHT($N1638,6)="tarief"),SUM(O1638)*FLOOR(SUM(Q1638),0.01),S1638&gt;0,IF(F1638&lt;&gt;"",FLOOR(SUM(S1638),0.01),"")),""),""),"")</f>
        <v/>
      </c>
      <c r="X1638" s="314" t="str" cm="1">
        <f t="array" aca="1" ref="X1638" ca="1">IFERROR(IF(AE1638&lt;&gt;"ja",_xlfn.IFNA(_xlfn.IFS(AND(P1638&lt;&gt;"",R1638&lt;&gt;"",RIGHT($N1638,6)="tarief",F1638="Vergoeding"),SUM(P1638)*FLOOR(SUM(R1638),0.0001),AND(P1638&lt;&gt;"",R1638&lt;&gt;"",RIGHT($N1638,6)="tarief"),P1638*FLOOR(R1638,0.01),T1638&gt;0,FLOOR(SUM(T1638),0.01)),""),""),"")</f>
        <v/>
      </c>
      <c r="Y1638" s="314" t="str">
        <f t="shared" ca="1" si="102"/>
        <v/>
      </c>
      <c r="Z1638" s="314" t="str" cm="1">
        <f t="array" aca="1" ref="Z1638" ca="1">IFERROR(_xlfn.IFS(OR(F1638="",LEFT(Methode_Keuze,4)="Geen",Methode_Keuze=""),"",AND(W1638&lt;&gt;"",F1638&lt;&gt;"Arbeidskosten"),W1638*VLOOKUP(F1638,Tb_ProjectKosten[],MATCH(Tb_ProjectKosten[[#Headers],[Forfait_Percentage]],Tb_ProjectKosten[#Headers],0),0),AND(F1638="Arbeidskosten",G1638&lt;&gt;""),IFERROR(W1638*VLOOKUP(G1638,Tb_KostenTypen[],3,0)*VLOOKUP(F1638,Tb_ProjectKosten[],MATCH(Tb_ProjectKosten[[#Headers],[Forfait_Percentage]],Tb_ProjectKosten[#Headers],0),0),""),W1638 &lt;=0,0),"")</f>
        <v/>
      </c>
      <c r="AA1638" s="314" t="str" cm="1">
        <f t="array" aca="1" ref="AA1638" ca="1">IFERROR(_xlfn.IFS(OR(F1638="",LEFT(Methode_Keuze,4)="Geen",Methode_Keuze=""),"",AND(X1638&lt;&gt;"",F1638&lt;&gt;"Arbeidskosten"),X1638*VLOOKUP(F1638,Tb_ProjectKosten[],MATCH(Tb_ProjectKosten[[#Headers],[Forfait_Percentage]],Tb_ProjectKosten[#Headers],0),0),AND(F1638="Arbeidskosten",G1638&lt;&gt;""),IFERROR(X1638*VLOOKUP(G1638,Tb_KostenTypen[],3,0)*VLOOKUP(F1638,Tb_ProjectKosten[],MATCH(Tb_ProjectKosten[[#Headers],[Forfait_Percentage]],Tb_ProjectKosten[#Headers],0),0),""),X1638 &lt;=0,0),"")</f>
        <v/>
      </c>
      <c r="AB1638" s="314" t="str">
        <f t="shared" ca="1" si="103"/>
        <v/>
      </c>
      <c r="AC1638" s="322"/>
      <c r="AD1638" s="315"/>
      <c r="AE1638" s="32" t="str" cm="1">
        <f t="array" ref="AE1638">IFERROR(IF(INDEX(SubsidieTabel!$AD$1:$AG$12,MATCH($F1638,SubsidieTabel!$AD$1:$AD$12,0),IFERROR(MATCH(Methode_Keuze,SubsidieTabel!$AD$1:$AG$1,0),2))&lt;&gt;1=TRUE,"ja",""),"")</f>
        <v/>
      </c>
    </row>
    <row r="1639" spans="1:31" x14ac:dyDescent="0.25">
      <c r="A1639" s="316"/>
      <c r="B1639" s="317" t="str">
        <f>IF(A1639&lt;&gt;"",_xlfn.MAXIFS($B$1:B1638,$A$1:A1638,A1639)+1,"")</f>
        <v/>
      </c>
      <c r="C1639" s="296"/>
      <c r="D1639" s="296"/>
      <c r="E1639" s="296"/>
      <c r="F1639" s="296"/>
      <c r="G1639" s="326"/>
      <c r="H1639" s="324"/>
      <c r="I1639" s="325"/>
      <c r="J1639" s="325"/>
      <c r="K1639" s="318"/>
      <c r="L1639" s="318"/>
      <c r="M1639" s="319" t="str">
        <f>IFERROR(VLOOKUP(H1639,Lijsten!$H$1:$I$100,2,0),"")</f>
        <v/>
      </c>
      <c r="N1639" s="319" t="str">
        <f ca="1">IFERROR(IF(VLOOKUP(F1639,Kostentypen!$A$3:$E$21,3,0)=0,"",IF(OR(F1639="Arbeidskosten",F1639="Vergoeding"),VLOOKUP(G1639,Tb_KostenTypen[],2,0),VLOOKUP(F1639,Kostentypen!$A$3:$E$20,3,0))),"")</f>
        <v/>
      </c>
      <c r="O1639" s="320" t="str" cm="1">
        <f t="array" ref="O1639">_xlfn.IFNA(IF(INDEX(Tb_KostenOptiesDB[],MATCH($F1639,Tb_KostenOptiesDB[KostenOptie],0),IFERROR(MATCH(Methode_Keuze,Tb_KostenOptiesDB[#Headers],0),2))=1,_xlfn.SWITCH($N1639,"Uurtarief",IF(OR(AND(RIGHT($F1639,3)="IKS",VLOOKUP($M1639,DB_Loonkosten,2,0)="Ja"),AND(RIGHT($F1639,3)&lt;&gt;"IKS",VLOOKUP($M1639,DB_Loonkosten,2,0)="Nee")),IFERROR(VLOOKUP($M1639,DB_Loonkosten,24,0),""),0),"Vast tarief",IF(LEFT(F1639,8)="Bijdrage",VLOOKUP($F1639,Tb_KostenTypen[],MATCH(Lijsten!$P$1,Tb_KostenTypen[#Headers],0),0),VLOOKUP($G1639,Lijsten!L:P,MATCH(Lijsten!$P$1,Kop_Tarief_Vast,0),0))),""),"")</f>
        <v/>
      </c>
      <c r="P1639" s="320" t="str" cm="1">
        <f t="array" ref="P1639">_xlfn.IFNA(IF(INDEX(Tb_KostenOptiesDB[],MATCH($F1639,Tb_KostenOptiesDB[KostenOptie],0),IFERROR(MATCH(Methode_Keuze,Tb_KostenOptiesDB[#Headers],0),2))=1,_xlfn.SWITCH($N1639,"Uurtarief",IF(OR(AND(RIGHT($F1639,3)="IKS",VLOOKUP($M1639,DB_Loonkosten,2,0)="Ja"),AND(RIGHT($F1639,3)&lt;&gt;"IKS",VLOOKUP($M1639,DB_Loonkosten,2,0)="Nee")),IFERROR(VLOOKUP($M1639,DB_Loonkosten,25,0),""),0),"Vast tarief",IF(LEFT(F1639,8)="Bijdrage",VLOOKUP($F1639,Tb_KostenTypen[],MATCH(Lijsten!$P$1,Tb_KostenTypen[#Headers],0),0),VLOOKUP($G1639,Lijsten!L:P,MATCH(Lijsten!$P$1,Kop_Tarief_Vast,0),0))),""),"")</f>
        <v/>
      </c>
      <c r="Q1639" s="359"/>
      <c r="R1639" s="359"/>
      <c r="S1639" s="321"/>
      <c r="T1639" s="321"/>
      <c r="U1639" s="373" t="str">
        <f t="shared" si="100"/>
        <v/>
      </c>
      <c r="V1639" s="314" t="str">
        <f t="shared" si="101"/>
        <v/>
      </c>
      <c r="W1639" s="314" t="str" cm="1">
        <f t="array" aca="1" ref="W1639" ca="1">IFERROR(IF(AE1639&lt;&gt;"ja",_xlfn.IFNA(_xlfn.IFS(AND(O1639&lt;&gt;"",F1639&lt;&gt;"",RIGHT($N1639,6)="tarief",F1639="Vergoeding"),SUM(O1639)*FLOOR(SUM(Q1639),0.0001),AND(O1639&lt;&gt;"",F1639&lt;&gt;"",RIGHT($N1639,6)="tarief"),SUM(O1639)*FLOOR(SUM(Q1639),0.01),S1639&gt;0,IF(F1639&lt;&gt;"",FLOOR(SUM(S1639),0.01),"")),""),""),"")</f>
        <v/>
      </c>
      <c r="X1639" s="314" t="str" cm="1">
        <f t="array" aca="1" ref="X1639" ca="1">IFERROR(IF(AE1639&lt;&gt;"ja",_xlfn.IFNA(_xlfn.IFS(AND(P1639&lt;&gt;"",R1639&lt;&gt;"",RIGHT($N1639,6)="tarief",F1639="Vergoeding"),SUM(P1639)*FLOOR(SUM(R1639),0.0001),AND(P1639&lt;&gt;"",R1639&lt;&gt;"",RIGHT($N1639,6)="tarief"),P1639*FLOOR(R1639,0.01),T1639&gt;0,FLOOR(SUM(T1639),0.01)),""),""),"")</f>
        <v/>
      </c>
      <c r="Y1639" s="314" t="str">
        <f t="shared" ca="1" si="102"/>
        <v/>
      </c>
      <c r="Z1639" s="314" t="str" cm="1">
        <f t="array" aca="1" ref="Z1639" ca="1">IFERROR(_xlfn.IFS(OR(F1639="",LEFT(Methode_Keuze,4)="Geen",Methode_Keuze=""),"",AND(W1639&lt;&gt;"",F1639&lt;&gt;"Arbeidskosten"),W1639*VLOOKUP(F1639,Tb_ProjectKosten[],MATCH(Tb_ProjectKosten[[#Headers],[Forfait_Percentage]],Tb_ProjectKosten[#Headers],0),0),AND(F1639="Arbeidskosten",G1639&lt;&gt;""),IFERROR(W1639*VLOOKUP(G1639,Tb_KostenTypen[],3,0)*VLOOKUP(F1639,Tb_ProjectKosten[],MATCH(Tb_ProjectKosten[[#Headers],[Forfait_Percentage]],Tb_ProjectKosten[#Headers],0),0),""),W1639 &lt;=0,0),"")</f>
        <v/>
      </c>
      <c r="AA1639" s="314" t="str" cm="1">
        <f t="array" aca="1" ref="AA1639" ca="1">IFERROR(_xlfn.IFS(OR(F1639="",LEFT(Methode_Keuze,4)="Geen",Methode_Keuze=""),"",AND(X1639&lt;&gt;"",F1639&lt;&gt;"Arbeidskosten"),X1639*VLOOKUP(F1639,Tb_ProjectKosten[],MATCH(Tb_ProjectKosten[[#Headers],[Forfait_Percentage]],Tb_ProjectKosten[#Headers],0),0),AND(F1639="Arbeidskosten",G1639&lt;&gt;""),IFERROR(X1639*VLOOKUP(G1639,Tb_KostenTypen[],3,0)*VLOOKUP(F1639,Tb_ProjectKosten[],MATCH(Tb_ProjectKosten[[#Headers],[Forfait_Percentage]],Tb_ProjectKosten[#Headers],0),0),""),X1639 &lt;=0,0),"")</f>
        <v/>
      </c>
      <c r="AB1639" s="314" t="str">
        <f t="shared" ca="1" si="103"/>
        <v/>
      </c>
      <c r="AC1639" s="322"/>
      <c r="AD1639" s="315"/>
      <c r="AE1639" s="32" t="str" cm="1">
        <f t="array" ref="AE1639">IFERROR(IF(INDEX(SubsidieTabel!$AD$1:$AG$12,MATCH($F1639,SubsidieTabel!$AD$1:$AD$12,0),IFERROR(MATCH(Methode_Keuze,SubsidieTabel!$AD$1:$AG$1,0),2))&lt;&gt;1=TRUE,"ja",""),"")</f>
        <v/>
      </c>
    </row>
    <row r="1640" spans="1:31" x14ac:dyDescent="0.25">
      <c r="A1640" s="316"/>
      <c r="B1640" s="317" t="str">
        <f>IF(A1640&lt;&gt;"",_xlfn.MAXIFS($B$1:B1639,$A$1:A1639,A1640)+1,"")</f>
        <v/>
      </c>
      <c r="C1640" s="296"/>
      <c r="D1640" s="296"/>
      <c r="E1640" s="296"/>
      <c r="F1640" s="296"/>
      <c r="G1640" s="326"/>
      <c r="H1640" s="324"/>
      <c r="I1640" s="325"/>
      <c r="J1640" s="325"/>
      <c r="K1640" s="318"/>
      <c r="L1640" s="318"/>
      <c r="M1640" s="319" t="str">
        <f>IFERROR(VLOOKUP(H1640,Lijsten!$H$1:$I$100,2,0),"")</f>
        <v/>
      </c>
      <c r="N1640" s="319" t="str">
        <f ca="1">IFERROR(IF(VLOOKUP(F1640,Kostentypen!$A$3:$E$21,3,0)=0,"",IF(OR(F1640="Arbeidskosten",F1640="Vergoeding"),VLOOKUP(G1640,Tb_KostenTypen[],2,0),VLOOKUP(F1640,Kostentypen!$A$3:$E$20,3,0))),"")</f>
        <v/>
      </c>
      <c r="O1640" s="320" t="str" cm="1">
        <f t="array" ref="O1640">_xlfn.IFNA(IF(INDEX(Tb_KostenOptiesDB[],MATCH($F1640,Tb_KostenOptiesDB[KostenOptie],0),IFERROR(MATCH(Methode_Keuze,Tb_KostenOptiesDB[#Headers],0),2))=1,_xlfn.SWITCH($N1640,"Uurtarief",IF(OR(AND(RIGHT($F1640,3)="IKS",VLOOKUP($M1640,DB_Loonkosten,2,0)="Ja"),AND(RIGHT($F1640,3)&lt;&gt;"IKS",VLOOKUP($M1640,DB_Loonkosten,2,0)="Nee")),IFERROR(VLOOKUP($M1640,DB_Loonkosten,24,0),""),0),"Vast tarief",IF(LEFT(F1640,8)="Bijdrage",VLOOKUP($F1640,Tb_KostenTypen[],MATCH(Lijsten!$P$1,Tb_KostenTypen[#Headers],0),0),VLOOKUP($G1640,Lijsten!L:P,MATCH(Lijsten!$P$1,Kop_Tarief_Vast,0),0))),""),"")</f>
        <v/>
      </c>
      <c r="P1640" s="320" t="str" cm="1">
        <f t="array" ref="P1640">_xlfn.IFNA(IF(INDEX(Tb_KostenOptiesDB[],MATCH($F1640,Tb_KostenOptiesDB[KostenOptie],0),IFERROR(MATCH(Methode_Keuze,Tb_KostenOptiesDB[#Headers],0),2))=1,_xlfn.SWITCH($N1640,"Uurtarief",IF(OR(AND(RIGHT($F1640,3)="IKS",VLOOKUP($M1640,DB_Loonkosten,2,0)="Ja"),AND(RIGHT($F1640,3)&lt;&gt;"IKS",VLOOKUP($M1640,DB_Loonkosten,2,0)="Nee")),IFERROR(VLOOKUP($M1640,DB_Loonkosten,25,0),""),0),"Vast tarief",IF(LEFT(F1640,8)="Bijdrage",VLOOKUP($F1640,Tb_KostenTypen[],MATCH(Lijsten!$P$1,Tb_KostenTypen[#Headers],0),0),VLOOKUP($G1640,Lijsten!L:P,MATCH(Lijsten!$P$1,Kop_Tarief_Vast,0),0))),""),"")</f>
        <v/>
      </c>
      <c r="Q1640" s="359"/>
      <c r="R1640" s="359"/>
      <c r="S1640" s="321"/>
      <c r="T1640" s="321"/>
      <c r="U1640" s="373" t="str">
        <f t="shared" si="100"/>
        <v/>
      </c>
      <c r="V1640" s="314" t="str">
        <f t="shared" si="101"/>
        <v/>
      </c>
      <c r="W1640" s="314" t="str" cm="1">
        <f t="array" aca="1" ref="W1640" ca="1">IFERROR(IF(AE1640&lt;&gt;"ja",_xlfn.IFNA(_xlfn.IFS(AND(O1640&lt;&gt;"",F1640&lt;&gt;"",RIGHT($N1640,6)="tarief",F1640="Vergoeding"),SUM(O1640)*FLOOR(SUM(Q1640),0.0001),AND(O1640&lt;&gt;"",F1640&lt;&gt;"",RIGHT($N1640,6)="tarief"),SUM(O1640)*FLOOR(SUM(Q1640),0.01),S1640&gt;0,IF(F1640&lt;&gt;"",FLOOR(SUM(S1640),0.01),"")),""),""),"")</f>
        <v/>
      </c>
      <c r="X1640" s="314" t="str" cm="1">
        <f t="array" aca="1" ref="X1640" ca="1">IFERROR(IF(AE1640&lt;&gt;"ja",_xlfn.IFNA(_xlfn.IFS(AND(P1640&lt;&gt;"",R1640&lt;&gt;"",RIGHT($N1640,6)="tarief",F1640="Vergoeding"),SUM(P1640)*FLOOR(SUM(R1640),0.0001),AND(P1640&lt;&gt;"",R1640&lt;&gt;"",RIGHT($N1640,6)="tarief"),P1640*FLOOR(R1640,0.01),T1640&gt;0,FLOOR(SUM(T1640),0.01)),""),""),"")</f>
        <v/>
      </c>
      <c r="Y1640" s="314" t="str">
        <f t="shared" ca="1" si="102"/>
        <v/>
      </c>
      <c r="Z1640" s="314" t="str" cm="1">
        <f t="array" aca="1" ref="Z1640" ca="1">IFERROR(_xlfn.IFS(OR(F1640="",LEFT(Methode_Keuze,4)="Geen",Methode_Keuze=""),"",AND(W1640&lt;&gt;"",F1640&lt;&gt;"Arbeidskosten"),W1640*VLOOKUP(F1640,Tb_ProjectKosten[],MATCH(Tb_ProjectKosten[[#Headers],[Forfait_Percentage]],Tb_ProjectKosten[#Headers],0),0),AND(F1640="Arbeidskosten",G1640&lt;&gt;""),IFERROR(W1640*VLOOKUP(G1640,Tb_KostenTypen[],3,0)*VLOOKUP(F1640,Tb_ProjectKosten[],MATCH(Tb_ProjectKosten[[#Headers],[Forfait_Percentage]],Tb_ProjectKosten[#Headers],0),0),""),W1640 &lt;=0,0),"")</f>
        <v/>
      </c>
      <c r="AA1640" s="314" t="str" cm="1">
        <f t="array" aca="1" ref="AA1640" ca="1">IFERROR(_xlfn.IFS(OR(F1640="",LEFT(Methode_Keuze,4)="Geen",Methode_Keuze=""),"",AND(X1640&lt;&gt;"",F1640&lt;&gt;"Arbeidskosten"),X1640*VLOOKUP(F1640,Tb_ProjectKosten[],MATCH(Tb_ProjectKosten[[#Headers],[Forfait_Percentage]],Tb_ProjectKosten[#Headers],0),0),AND(F1640="Arbeidskosten",G1640&lt;&gt;""),IFERROR(X1640*VLOOKUP(G1640,Tb_KostenTypen[],3,0)*VLOOKUP(F1640,Tb_ProjectKosten[],MATCH(Tb_ProjectKosten[[#Headers],[Forfait_Percentage]],Tb_ProjectKosten[#Headers],0),0),""),X1640 &lt;=0,0),"")</f>
        <v/>
      </c>
      <c r="AB1640" s="314" t="str">
        <f t="shared" ca="1" si="103"/>
        <v/>
      </c>
      <c r="AC1640" s="322"/>
      <c r="AD1640" s="315"/>
      <c r="AE1640" s="32" t="str" cm="1">
        <f t="array" ref="AE1640">IFERROR(IF(INDEX(SubsidieTabel!$AD$1:$AG$12,MATCH($F1640,SubsidieTabel!$AD$1:$AD$12,0),IFERROR(MATCH(Methode_Keuze,SubsidieTabel!$AD$1:$AG$1,0),2))&lt;&gt;1=TRUE,"ja",""),"")</f>
        <v/>
      </c>
    </row>
    <row r="1641" spans="1:31" x14ac:dyDescent="0.25">
      <c r="A1641" s="316"/>
      <c r="B1641" s="317" t="str">
        <f>IF(A1641&lt;&gt;"",_xlfn.MAXIFS($B$1:B1640,$A$1:A1640,A1641)+1,"")</f>
        <v/>
      </c>
      <c r="C1641" s="296"/>
      <c r="D1641" s="296"/>
      <c r="E1641" s="296"/>
      <c r="F1641" s="296"/>
      <c r="G1641" s="326"/>
      <c r="H1641" s="324"/>
      <c r="I1641" s="325"/>
      <c r="J1641" s="325"/>
      <c r="K1641" s="318"/>
      <c r="L1641" s="318"/>
      <c r="M1641" s="319" t="str">
        <f>IFERROR(VLOOKUP(H1641,Lijsten!$H$1:$I$100,2,0),"")</f>
        <v/>
      </c>
      <c r="N1641" s="319" t="str">
        <f ca="1">IFERROR(IF(VLOOKUP(F1641,Kostentypen!$A$3:$E$21,3,0)=0,"",IF(OR(F1641="Arbeidskosten",F1641="Vergoeding"),VLOOKUP(G1641,Tb_KostenTypen[],2,0),VLOOKUP(F1641,Kostentypen!$A$3:$E$20,3,0))),"")</f>
        <v/>
      </c>
      <c r="O1641" s="320" t="str" cm="1">
        <f t="array" ref="O1641">_xlfn.IFNA(IF(INDEX(Tb_KostenOptiesDB[],MATCH($F1641,Tb_KostenOptiesDB[KostenOptie],0),IFERROR(MATCH(Methode_Keuze,Tb_KostenOptiesDB[#Headers],0),2))=1,_xlfn.SWITCH($N1641,"Uurtarief",IF(OR(AND(RIGHT($F1641,3)="IKS",VLOOKUP($M1641,DB_Loonkosten,2,0)="Ja"),AND(RIGHT($F1641,3)&lt;&gt;"IKS",VLOOKUP($M1641,DB_Loonkosten,2,0)="Nee")),IFERROR(VLOOKUP($M1641,DB_Loonkosten,24,0),""),0),"Vast tarief",IF(LEFT(F1641,8)="Bijdrage",VLOOKUP($F1641,Tb_KostenTypen[],MATCH(Lijsten!$P$1,Tb_KostenTypen[#Headers],0),0),VLOOKUP($G1641,Lijsten!L:P,MATCH(Lijsten!$P$1,Kop_Tarief_Vast,0),0))),""),"")</f>
        <v/>
      </c>
      <c r="P1641" s="320" t="str" cm="1">
        <f t="array" ref="P1641">_xlfn.IFNA(IF(INDEX(Tb_KostenOptiesDB[],MATCH($F1641,Tb_KostenOptiesDB[KostenOptie],0),IFERROR(MATCH(Methode_Keuze,Tb_KostenOptiesDB[#Headers],0),2))=1,_xlfn.SWITCH($N1641,"Uurtarief",IF(OR(AND(RIGHT($F1641,3)="IKS",VLOOKUP($M1641,DB_Loonkosten,2,0)="Ja"),AND(RIGHT($F1641,3)&lt;&gt;"IKS",VLOOKUP($M1641,DB_Loonkosten,2,0)="Nee")),IFERROR(VLOOKUP($M1641,DB_Loonkosten,25,0),""),0),"Vast tarief",IF(LEFT(F1641,8)="Bijdrage",VLOOKUP($F1641,Tb_KostenTypen[],MATCH(Lijsten!$P$1,Tb_KostenTypen[#Headers],0),0),VLOOKUP($G1641,Lijsten!L:P,MATCH(Lijsten!$P$1,Kop_Tarief_Vast,0),0))),""),"")</f>
        <v/>
      </c>
      <c r="Q1641" s="359"/>
      <c r="R1641" s="359"/>
      <c r="S1641" s="321"/>
      <c r="T1641" s="321"/>
      <c r="U1641" s="373" t="str">
        <f t="shared" si="100"/>
        <v/>
      </c>
      <c r="V1641" s="314" t="str">
        <f t="shared" si="101"/>
        <v/>
      </c>
      <c r="W1641" s="314" t="str" cm="1">
        <f t="array" aca="1" ref="W1641" ca="1">IFERROR(IF(AE1641&lt;&gt;"ja",_xlfn.IFNA(_xlfn.IFS(AND(O1641&lt;&gt;"",F1641&lt;&gt;"",RIGHT($N1641,6)="tarief",F1641="Vergoeding"),SUM(O1641)*FLOOR(SUM(Q1641),0.0001),AND(O1641&lt;&gt;"",F1641&lt;&gt;"",RIGHT($N1641,6)="tarief"),SUM(O1641)*FLOOR(SUM(Q1641),0.01),S1641&gt;0,IF(F1641&lt;&gt;"",FLOOR(SUM(S1641),0.01),"")),""),""),"")</f>
        <v/>
      </c>
      <c r="X1641" s="314" t="str" cm="1">
        <f t="array" aca="1" ref="X1641" ca="1">IFERROR(IF(AE1641&lt;&gt;"ja",_xlfn.IFNA(_xlfn.IFS(AND(P1641&lt;&gt;"",R1641&lt;&gt;"",RIGHT($N1641,6)="tarief",F1641="Vergoeding"),SUM(P1641)*FLOOR(SUM(R1641),0.0001),AND(P1641&lt;&gt;"",R1641&lt;&gt;"",RIGHT($N1641,6)="tarief"),P1641*FLOOR(R1641,0.01),T1641&gt;0,FLOOR(SUM(T1641),0.01)),""),""),"")</f>
        <v/>
      </c>
      <c r="Y1641" s="314" t="str">
        <f t="shared" ca="1" si="102"/>
        <v/>
      </c>
      <c r="Z1641" s="314" t="str" cm="1">
        <f t="array" aca="1" ref="Z1641" ca="1">IFERROR(_xlfn.IFS(OR(F1641="",LEFT(Methode_Keuze,4)="Geen",Methode_Keuze=""),"",AND(W1641&lt;&gt;"",F1641&lt;&gt;"Arbeidskosten"),W1641*VLOOKUP(F1641,Tb_ProjectKosten[],MATCH(Tb_ProjectKosten[[#Headers],[Forfait_Percentage]],Tb_ProjectKosten[#Headers],0),0),AND(F1641="Arbeidskosten",G1641&lt;&gt;""),IFERROR(W1641*VLOOKUP(G1641,Tb_KostenTypen[],3,0)*VLOOKUP(F1641,Tb_ProjectKosten[],MATCH(Tb_ProjectKosten[[#Headers],[Forfait_Percentage]],Tb_ProjectKosten[#Headers],0),0),""),W1641 &lt;=0,0),"")</f>
        <v/>
      </c>
      <c r="AA1641" s="314" t="str" cm="1">
        <f t="array" aca="1" ref="AA1641" ca="1">IFERROR(_xlfn.IFS(OR(F1641="",LEFT(Methode_Keuze,4)="Geen",Methode_Keuze=""),"",AND(X1641&lt;&gt;"",F1641&lt;&gt;"Arbeidskosten"),X1641*VLOOKUP(F1641,Tb_ProjectKosten[],MATCH(Tb_ProjectKosten[[#Headers],[Forfait_Percentage]],Tb_ProjectKosten[#Headers],0),0),AND(F1641="Arbeidskosten",G1641&lt;&gt;""),IFERROR(X1641*VLOOKUP(G1641,Tb_KostenTypen[],3,0)*VLOOKUP(F1641,Tb_ProjectKosten[],MATCH(Tb_ProjectKosten[[#Headers],[Forfait_Percentage]],Tb_ProjectKosten[#Headers],0),0),""),X1641 &lt;=0,0),"")</f>
        <v/>
      </c>
      <c r="AB1641" s="314" t="str">
        <f t="shared" ca="1" si="103"/>
        <v/>
      </c>
      <c r="AC1641" s="322"/>
      <c r="AD1641" s="315"/>
      <c r="AE1641" s="32" t="str" cm="1">
        <f t="array" ref="AE1641">IFERROR(IF(INDEX(SubsidieTabel!$AD$1:$AG$12,MATCH($F1641,SubsidieTabel!$AD$1:$AD$12,0),IFERROR(MATCH(Methode_Keuze,SubsidieTabel!$AD$1:$AG$1,0),2))&lt;&gt;1=TRUE,"ja",""),"")</f>
        <v/>
      </c>
    </row>
    <row r="1642" spans="1:31" x14ac:dyDescent="0.25">
      <c r="A1642" s="316"/>
      <c r="B1642" s="317" t="str">
        <f>IF(A1642&lt;&gt;"",_xlfn.MAXIFS($B$1:B1641,$A$1:A1641,A1642)+1,"")</f>
        <v/>
      </c>
      <c r="C1642" s="296"/>
      <c r="D1642" s="296"/>
      <c r="E1642" s="296"/>
      <c r="F1642" s="296"/>
      <c r="G1642" s="326"/>
      <c r="H1642" s="324"/>
      <c r="I1642" s="325"/>
      <c r="J1642" s="325"/>
      <c r="K1642" s="318"/>
      <c r="L1642" s="318"/>
      <c r="M1642" s="319" t="str">
        <f>IFERROR(VLOOKUP(H1642,Lijsten!$H$1:$I$100,2,0),"")</f>
        <v/>
      </c>
      <c r="N1642" s="319" t="str">
        <f ca="1">IFERROR(IF(VLOOKUP(F1642,Kostentypen!$A$3:$E$21,3,0)=0,"",IF(OR(F1642="Arbeidskosten",F1642="Vergoeding"),VLOOKUP(G1642,Tb_KostenTypen[],2,0),VLOOKUP(F1642,Kostentypen!$A$3:$E$20,3,0))),"")</f>
        <v/>
      </c>
      <c r="O1642" s="320" t="str" cm="1">
        <f t="array" ref="O1642">_xlfn.IFNA(IF(INDEX(Tb_KostenOptiesDB[],MATCH($F1642,Tb_KostenOptiesDB[KostenOptie],0),IFERROR(MATCH(Methode_Keuze,Tb_KostenOptiesDB[#Headers],0),2))=1,_xlfn.SWITCH($N1642,"Uurtarief",IF(OR(AND(RIGHT($F1642,3)="IKS",VLOOKUP($M1642,DB_Loonkosten,2,0)="Ja"),AND(RIGHT($F1642,3)&lt;&gt;"IKS",VLOOKUP($M1642,DB_Loonkosten,2,0)="Nee")),IFERROR(VLOOKUP($M1642,DB_Loonkosten,24,0),""),0),"Vast tarief",IF(LEFT(F1642,8)="Bijdrage",VLOOKUP($F1642,Tb_KostenTypen[],MATCH(Lijsten!$P$1,Tb_KostenTypen[#Headers],0),0),VLOOKUP($G1642,Lijsten!L:P,MATCH(Lijsten!$P$1,Kop_Tarief_Vast,0),0))),""),"")</f>
        <v/>
      </c>
      <c r="P1642" s="320" t="str" cm="1">
        <f t="array" ref="P1642">_xlfn.IFNA(IF(INDEX(Tb_KostenOptiesDB[],MATCH($F1642,Tb_KostenOptiesDB[KostenOptie],0),IFERROR(MATCH(Methode_Keuze,Tb_KostenOptiesDB[#Headers],0),2))=1,_xlfn.SWITCH($N1642,"Uurtarief",IF(OR(AND(RIGHT($F1642,3)="IKS",VLOOKUP($M1642,DB_Loonkosten,2,0)="Ja"),AND(RIGHT($F1642,3)&lt;&gt;"IKS",VLOOKUP($M1642,DB_Loonkosten,2,0)="Nee")),IFERROR(VLOOKUP($M1642,DB_Loonkosten,25,0),""),0),"Vast tarief",IF(LEFT(F1642,8)="Bijdrage",VLOOKUP($F1642,Tb_KostenTypen[],MATCH(Lijsten!$P$1,Tb_KostenTypen[#Headers],0),0),VLOOKUP($G1642,Lijsten!L:P,MATCH(Lijsten!$P$1,Kop_Tarief_Vast,0),0))),""),"")</f>
        <v/>
      </c>
      <c r="Q1642" s="359"/>
      <c r="R1642" s="359"/>
      <c r="S1642" s="321"/>
      <c r="T1642" s="321"/>
      <c r="U1642" s="373" t="str">
        <f t="shared" si="100"/>
        <v/>
      </c>
      <c r="V1642" s="314" t="str">
        <f t="shared" si="101"/>
        <v/>
      </c>
      <c r="W1642" s="314" t="str" cm="1">
        <f t="array" aca="1" ref="W1642" ca="1">IFERROR(IF(AE1642&lt;&gt;"ja",_xlfn.IFNA(_xlfn.IFS(AND(O1642&lt;&gt;"",F1642&lt;&gt;"",RIGHT($N1642,6)="tarief",F1642="Vergoeding"),SUM(O1642)*FLOOR(SUM(Q1642),0.0001),AND(O1642&lt;&gt;"",F1642&lt;&gt;"",RIGHT($N1642,6)="tarief"),SUM(O1642)*FLOOR(SUM(Q1642),0.01),S1642&gt;0,IF(F1642&lt;&gt;"",FLOOR(SUM(S1642),0.01),"")),""),""),"")</f>
        <v/>
      </c>
      <c r="X1642" s="314" t="str" cm="1">
        <f t="array" aca="1" ref="X1642" ca="1">IFERROR(IF(AE1642&lt;&gt;"ja",_xlfn.IFNA(_xlfn.IFS(AND(P1642&lt;&gt;"",R1642&lt;&gt;"",RIGHT($N1642,6)="tarief",F1642="Vergoeding"),SUM(P1642)*FLOOR(SUM(R1642),0.0001),AND(P1642&lt;&gt;"",R1642&lt;&gt;"",RIGHT($N1642,6)="tarief"),P1642*FLOOR(R1642,0.01),T1642&gt;0,FLOOR(SUM(T1642),0.01)),""),""),"")</f>
        <v/>
      </c>
      <c r="Y1642" s="314" t="str">
        <f t="shared" ca="1" si="102"/>
        <v/>
      </c>
      <c r="Z1642" s="314" t="str" cm="1">
        <f t="array" aca="1" ref="Z1642" ca="1">IFERROR(_xlfn.IFS(OR(F1642="",LEFT(Methode_Keuze,4)="Geen",Methode_Keuze=""),"",AND(W1642&lt;&gt;"",F1642&lt;&gt;"Arbeidskosten"),W1642*VLOOKUP(F1642,Tb_ProjectKosten[],MATCH(Tb_ProjectKosten[[#Headers],[Forfait_Percentage]],Tb_ProjectKosten[#Headers],0),0),AND(F1642="Arbeidskosten",G1642&lt;&gt;""),IFERROR(W1642*VLOOKUP(G1642,Tb_KostenTypen[],3,0)*VLOOKUP(F1642,Tb_ProjectKosten[],MATCH(Tb_ProjectKosten[[#Headers],[Forfait_Percentage]],Tb_ProjectKosten[#Headers],0),0),""),W1642 &lt;=0,0),"")</f>
        <v/>
      </c>
      <c r="AA1642" s="314" t="str" cm="1">
        <f t="array" aca="1" ref="AA1642" ca="1">IFERROR(_xlfn.IFS(OR(F1642="",LEFT(Methode_Keuze,4)="Geen",Methode_Keuze=""),"",AND(X1642&lt;&gt;"",F1642&lt;&gt;"Arbeidskosten"),X1642*VLOOKUP(F1642,Tb_ProjectKosten[],MATCH(Tb_ProjectKosten[[#Headers],[Forfait_Percentage]],Tb_ProjectKosten[#Headers],0),0),AND(F1642="Arbeidskosten",G1642&lt;&gt;""),IFERROR(X1642*VLOOKUP(G1642,Tb_KostenTypen[],3,0)*VLOOKUP(F1642,Tb_ProjectKosten[],MATCH(Tb_ProjectKosten[[#Headers],[Forfait_Percentage]],Tb_ProjectKosten[#Headers],0),0),""),X1642 &lt;=0,0),"")</f>
        <v/>
      </c>
      <c r="AB1642" s="314" t="str">
        <f t="shared" ca="1" si="103"/>
        <v/>
      </c>
      <c r="AC1642" s="322"/>
      <c r="AD1642" s="315"/>
      <c r="AE1642" s="32" t="str" cm="1">
        <f t="array" ref="AE1642">IFERROR(IF(INDEX(SubsidieTabel!$AD$1:$AG$12,MATCH($F1642,SubsidieTabel!$AD$1:$AD$12,0),IFERROR(MATCH(Methode_Keuze,SubsidieTabel!$AD$1:$AG$1,0),2))&lt;&gt;1=TRUE,"ja",""),"")</f>
        <v/>
      </c>
    </row>
    <row r="1643" spans="1:31" x14ac:dyDescent="0.25">
      <c r="A1643" s="316"/>
      <c r="B1643" s="317" t="str">
        <f>IF(A1643&lt;&gt;"",_xlfn.MAXIFS($B$1:B1642,$A$1:A1642,A1643)+1,"")</f>
        <v/>
      </c>
      <c r="C1643" s="296"/>
      <c r="D1643" s="296"/>
      <c r="E1643" s="296"/>
      <c r="F1643" s="296"/>
      <c r="G1643" s="326"/>
      <c r="H1643" s="324"/>
      <c r="I1643" s="325"/>
      <c r="J1643" s="325"/>
      <c r="K1643" s="318"/>
      <c r="L1643" s="318"/>
      <c r="M1643" s="319" t="str">
        <f>IFERROR(VLOOKUP(H1643,Lijsten!$H$1:$I$100,2,0),"")</f>
        <v/>
      </c>
      <c r="N1643" s="319" t="str">
        <f ca="1">IFERROR(IF(VLOOKUP(F1643,Kostentypen!$A$3:$E$21,3,0)=0,"",IF(OR(F1643="Arbeidskosten",F1643="Vergoeding"),VLOOKUP(G1643,Tb_KostenTypen[],2,0),VLOOKUP(F1643,Kostentypen!$A$3:$E$20,3,0))),"")</f>
        <v/>
      </c>
      <c r="O1643" s="320" t="str" cm="1">
        <f t="array" ref="O1643">_xlfn.IFNA(IF(INDEX(Tb_KostenOptiesDB[],MATCH($F1643,Tb_KostenOptiesDB[KostenOptie],0),IFERROR(MATCH(Methode_Keuze,Tb_KostenOptiesDB[#Headers],0),2))=1,_xlfn.SWITCH($N1643,"Uurtarief",IF(OR(AND(RIGHT($F1643,3)="IKS",VLOOKUP($M1643,DB_Loonkosten,2,0)="Ja"),AND(RIGHT($F1643,3)&lt;&gt;"IKS",VLOOKUP($M1643,DB_Loonkosten,2,0)="Nee")),IFERROR(VLOOKUP($M1643,DB_Loonkosten,24,0),""),0),"Vast tarief",IF(LEFT(F1643,8)="Bijdrage",VLOOKUP($F1643,Tb_KostenTypen[],MATCH(Lijsten!$P$1,Tb_KostenTypen[#Headers],0),0),VLOOKUP($G1643,Lijsten!L:P,MATCH(Lijsten!$P$1,Kop_Tarief_Vast,0),0))),""),"")</f>
        <v/>
      </c>
      <c r="P1643" s="320" t="str" cm="1">
        <f t="array" ref="P1643">_xlfn.IFNA(IF(INDEX(Tb_KostenOptiesDB[],MATCH($F1643,Tb_KostenOptiesDB[KostenOptie],0),IFERROR(MATCH(Methode_Keuze,Tb_KostenOptiesDB[#Headers],0),2))=1,_xlfn.SWITCH($N1643,"Uurtarief",IF(OR(AND(RIGHT($F1643,3)="IKS",VLOOKUP($M1643,DB_Loonkosten,2,0)="Ja"),AND(RIGHT($F1643,3)&lt;&gt;"IKS",VLOOKUP($M1643,DB_Loonkosten,2,0)="Nee")),IFERROR(VLOOKUP($M1643,DB_Loonkosten,25,0),""),0),"Vast tarief",IF(LEFT(F1643,8)="Bijdrage",VLOOKUP($F1643,Tb_KostenTypen[],MATCH(Lijsten!$P$1,Tb_KostenTypen[#Headers],0),0),VLOOKUP($G1643,Lijsten!L:P,MATCH(Lijsten!$P$1,Kop_Tarief_Vast,0),0))),""),"")</f>
        <v/>
      </c>
      <c r="Q1643" s="359"/>
      <c r="R1643" s="359"/>
      <c r="S1643" s="321"/>
      <c r="T1643" s="321"/>
      <c r="U1643" s="373" t="str">
        <f t="shared" si="100"/>
        <v/>
      </c>
      <c r="V1643" s="314" t="str">
        <f t="shared" si="101"/>
        <v/>
      </c>
      <c r="W1643" s="314" t="str" cm="1">
        <f t="array" aca="1" ref="W1643" ca="1">IFERROR(IF(AE1643&lt;&gt;"ja",_xlfn.IFNA(_xlfn.IFS(AND(O1643&lt;&gt;"",F1643&lt;&gt;"",RIGHT($N1643,6)="tarief",F1643="Vergoeding"),SUM(O1643)*FLOOR(SUM(Q1643),0.0001),AND(O1643&lt;&gt;"",F1643&lt;&gt;"",RIGHT($N1643,6)="tarief"),SUM(O1643)*FLOOR(SUM(Q1643),0.01),S1643&gt;0,IF(F1643&lt;&gt;"",FLOOR(SUM(S1643),0.01),"")),""),""),"")</f>
        <v/>
      </c>
      <c r="X1643" s="314" t="str" cm="1">
        <f t="array" aca="1" ref="X1643" ca="1">IFERROR(IF(AE1643&lt;&gt;"ja",_xlfn.IFNA(_xlfn.IFS(AND(P1643&lt;&gt;"",R1643&lt;&gt;"",RIGHT($N1643,6)="tarief",F1643="Vergoeding"),SUM(P1643)*FLOOR(SUM(R1643),0.0001),AND(P1643&lt;&gt;"",R1643&lt;&gt;"",RIGHT($N1643,6)="tarief"),P1643*FLOOR(R1643,0.01),T1643&gt;0,FLOOR(SUM(T1643),0.01)),""),""),"")</f>
        <v/>
      </c>
      <c r="Y1643" s="314" t="str">
        <f t="shared" ca="1" si="102"/>
        <v/>
      </c>
      <c r="Z1643" s="314" t="str" cm="1">
        <f t="array" aca="1" ref="Z1643" ca="1">IFERROR(_xlfn.IFS(OR(F1643="",LEFT(Methode_Keuze,4)="Geen",Methode_Keuze=""),"",AND(W1643&lt;&gt;"",F1643&lt;&gt;"Arbeidskosten"),W1643*VLOOKUP(F1643,Tb_ProjectKosten[],MATCH(Tb_ProjectKosten[[#Headers],[Forfait_Percentage]],Tb_ProjectKosten[#Headers],0),0),AND(F1643="Arbeidskosten",G1643&lt;&gt;""),IFERROR(W1643*VLOOKUP(G1643,Tb_KostenTypen[],3,0)*VLOOKUP(F1643,Tb_ProjectKosten[],MATCH(Tb_ProjectKosten[[#Headers],[Forfait_Percentage]],Tb_ProjectKosten[#Headers],0),0),""),W1643 &lt;=0,0),"")</f>
        <v/>
      </c>
      <c r="AA1643" s="314" t="str" cm="1">
        <f t="array" aca="1" ref="AA1643" ca="1">IFERROR(_xlfn.IFS(OR(F1643="",LEFT(Methode_Keuze,4)="Geen",Methode_Keuze=""),"",AND(X1643&lt;&gt;"",F1643&lt;&gt;"Arbeidskosten"),X1643*VLOOKUP(F1643,Tb_ProjectKosten[],MATCH(Tb_ProjectKosten[[#Headers],[Forfait_Percentage]],Tb_ProjectKosten[#Headers],0),0),AND(F1643="Arbeidskosten",G1643&lt;&gt;""),IFERROR(X1643*VLOOKUP(G1643,Tb_KostenTypen[],3,0)*VLOOKUP(F1643,Tb_ProjectKosten[],MATCH(Tb_ProjectKosten[[#Headers],[Forfait_Percentage]],Tb_ProjectKosten[#Headers],0),0),""),X1643 &lt;=0,0),"")</f>
        <v/>
      </c>
      <c r="AB1643" s="314" t="str">
        <f t="shared" ca="1" si="103"/>
        <v/>
      </c>
      <c r="AC1643" s="322"/>
      <c r="AD1643" s="315"/>
      <c r="AE1643" s="32" t="str" cm="1">
        <f t="array" ref="AE1643">IFERROR(IF(INDEX(SubsidieTabel!$AD$1:$AG$12,MATCH($F1643,SubsidieTabel!$AD$1:$AD$12,0),IFERROR(MATCH(Methode_Keuze,SubsidieTabel!$AD$1:$AG$1,0),2))&lt;&gt;1=TRUE,"ja",""),"")</f>
        <v/>
      </c>
    </row>
    <row r="1644" spans="1:31" x14ac:dyDescent="0.25">
      <c r="A1644" s="316"/>
      <c r="B1644" s="317" t="str">
        <f>IF(A1644&lt;&gt;"",_xlfn.MAXIFS($B$1:B1643,$A$1:A1643,A1644)+1,"")</f>
        <v/>
      </c>
      <c r="C1644" s="296"/>
      <c r="D1644" s="296"/>
      <c r="E1644" s="296"/>
      <c r="F1644" s="296"/>
      <c r="G1644" s="326"/>
      <c r="H1644" s="324"/>
      <c r="I1644" s="325"/>
      <c r="J1644" s="325"/>
      <c r="K1644" s="318"/>
      <c r="L1644" s="318"/>
      <c r="M1644" s="319" t="str">
        <f>IFERROR(VLOOKUP(H1644,Lijsten!$H$1:$I$100,2,0),"")</f>
        <v/>
      </c>
      <c r="N1644" s="319" t="str">
        <f ca="1">IFERROR(IF(VLOOKUP(F1644,Kostentypen!$A$3:$E$21,3,0)=0,"",IF(OR(F1644="Arbeidskosten",F1644="Vergoeding"),VLOOKUP(G1644,Tb_KostenTypen[],2,0),VLOOKUP(F1644,Kostentypen!$A$3:$E$20,3,0))),"")</f>
        <v/>
      </c>
      <c r="O1644" s="320" t="str" cm="1">
        <f t="array" ref="O1644">_xlfn.IFNA(IF(INDEX(Tb_KostenOptiesDB[],MATCH($F1644,Tb_KostenOptiesDB[KostenOptie],0),IFERROR(MATCH(Methode_Keuze,Tb_KostenOptiesDB[#Headers],0),2))=1,_xlfn.SWITCH($N1644,"Uurtarief",IF(OR(AND(RIGHT($F1644,3)="IKS",VLOOKUP($M1644,DB_Loonkosten,2,0)="Ja"),AND(RIGHT($F1644,3)&lt;&gt;"IKS",VLOOKUP($M1644,DB_Loonkosten,2,0)="Nee")),IFERROR(VLOOKUP($M1644,DB_Loonkosten,24,0),""),0),"Vast tarief",IF(LEFT(F1644,8)="Bijdrage",VLOOKUP($F1644,Tb_KostenTypen[],MATCH(Lijsten!$P$1,Tb_KostenTypen[#Headers],0),0),VLOOKUP($G1644,Lijsten!L:P,MATCH(Lijsten!$P$1,Kop_Tarief_Vast,0),0))),""),"")</f>
        <v/>
      </c>
      <c r="P1644" s="320" t="str" cm="1">
        <f t="array" ref="P1644">_xlfn.IFNA(IF(INDEX(Tb_KostenOptiesDB[],MATCH($F1644,Tb_KostenOptiesDB[KostenOptie],0),IFERROR(MATCH(Methode_Keuze,Tb_KostenOptiesDB[#Headers],0),2))=1,_xlfn.SWITCH($N1644,"Uurtarief",IF(OR(AND(RIGHT($F1644,3)="IKS",VLOOKUP($M1644,DB_Loonkosten,2,0)="Ja"),AND(RIGHT($F1644,3)&lt;&gt;"IKS",VLOOKUP($M1644,DB_Loonkosten,2,0)="Nee")),IFERROR(VLOOKUP($M1644,DB_Loonkosten,25,0),""),0),"Vast tarief",IF(LEFT(F1644,8)="Bijdrage",VLOOKUP($F1644,Tb_KostenTypen[],MATCH(Lijsten!$P$1,Tb_KostenTypen[#Headers],0),0),VLOOKUP($G1644,Lijsten!L:P,MATCH(Lijsten!$P$1,Kop_Tarief_Vast,0),0))),""),"")</f>
        <v/>
      </c>
      <c r="Q1644" s="359"/>
      <c r="R1644" s="359"/>
      <c r="S1644" s="321"/>
      <c r="T1644" s="321"/>
      <c r="U1644" s="373" t="str">
        <f t="shared" si="100"/>
        <v/>
      </c>
      <c r="V1644" s="314" t="str">
        <f t="shared" si="101"/>
        <v/>
      </c>
      <c r="W1644" s="314" t="str" cm="1">
        <f t="array" aca="1" ref="W1644" ca="1">IFERROR(IF(AE1644&lt;&gt;"ja",_xlfn.IFNA(_xlfn.IFS(AND(O1644&lt;&gt;"",F1644&lt;&gt;"",RIGHT($N1644,6)="tarief",F1644="Vergoeding"),SUM(O1644)*FLOOR(SUM(Q1644),0.0001),AND(O1644&lt;&gt;"",F1644&lt;&gt;"",RIGHT($N1644,6)="tarief"),SUM(O1644)*FLOOR(SUM(Q1644),0.01),S1644&gt;0,IF(F1644&lt;&gt;"",FLOOR(SUM(S1644),0.01),"")),""),""),"")</f>
        <v/>
      </c>
      <c r="X1644" s="314" t="str" cm="1">
        <f t="array" aca="1" ref="X1644" ca="1">IFERROR(IF(AE1644&lt;&gt;"ja",_xlfn.IFNA(_xlfn.IFS(AND(P1644&lt;&gt;"",R1644&lt;&gt;"",RIGHT($N1644,6)="tarief",F1644="Vergoeding"),SUM(P1644)*FLOOR(SUM(R1644),0.0001),AND(P1644&lt;&gt;"",R1644&lt;&gt;"",RIGHT($N1644,6)="tarief"),P1644*FLOOR(R1644,0.01),T1644&gt;0,FLOOR(SUM(T1644),0.01)),""),""),"")</f>
        <v/>
      </c>
      <c r="Y1644" s="314" t="str">
        <f t="shared" ca="1" si="102"/>
        <v/>
      </c>
      <c r="Z1644" s="314" t="str" cm="1">
        <f t="array" aca="1" ref="Z1644" ca="1">IFERROR(_xlfn.IFS(OR(F1644="",LEFT(Methode_Keuze,4)="Geen",Methode_Keuze=""),"",AND(W1644&lt;&gt;"",F1644&lt;&gt;"Arbeidskosten"),W1644*VLOOKUP(F1644,Tb_ProjectKosten[],MATCH(Tb_ProjectKosten[[#Headers],[Forfait_Percentage]],Tb_ProjectKosten[#Headers],0),0),AND(F1644="Arbeidskosten",G1644&lt;&gt;""),IFERROR(W1644*VLOOKUP(G1644,Tb_KostenTypen[],3,0)*VLOOKUP(F1644,Tb_ProjectKosten[],MATCH(Tb_ProjectKosten[[#Headers],[Forfait_Percentage]],Tb_ProjectKosten[#Headers],0),0),""),W1644 &lt;=0,0),"")</f>
        <v/>
      </c>
      <c r="AA1644" s="314" t="str" cm="1">
        <f t="array" aca="1" ref="AA1644" ca="1">IFERROR(_xlfn.IFS(OR(F1644="",LEFT(Methode_Keuze,4)="Geen",Methode_Keuze=""),"",AND(X1644&lt;&gt;"",F1644&lt;&gt;"Arbeidskosten"),X1644*VLOOKUP(F1644,Tb_ProjectKosten[],MATCH(Tb_ProjectKosten[[#Headers],[Forfait_Percentage]],Tb_ProjectKosten[#Headers],0),0),AND(F1644="Arbeidskosten",G1644&lt;&gt;""),IFERROR(X1644*VLOOKUP(G1644,Tb_KostenTypen[],3,0)*VLOOKUP(F1644,Tb_ProjectKosten[],MATCH(Tb_ProjectKosten[[#Headers],[Forfait_Percentage]],Tb_ProjectKosten[#Headers],0),0),""),X1644 &lt;=0,0),"")</f>
        <v/>
      </c>
      <c r="AB1644" s="314" t="str">
        <f t="shared" ca="1" si="103"/>
        <v/>
      </c>
      <c r="AC1644" s="322"/>
      <c r="AD1644" s="315"/>
      <c r="AE1644" s="32" t="str" cm="1">
        <f t="array" ref="AE1644">IFERROR(IF(INDEX(SubsidieTabel!$AD$1:$AG$12,MATCH($F1644,SubsidieTabel!$AD$1:$AD$12,0),IFERROR(MATCH(Methode_Keuze,SubsidieTabel!$AD$1:$AG$1,0),2))&lt;&gt;1=TRUE,"ja",""),"")</f>
        <v/>
      </c>
    </row>
    <row r="1645" spans="1:31" x14ac:dyDescent="0.25">
      <c r="A1645" s="316"/>
      <c r="B1645" s="317" t="str">
        <f>IF(A1645&lt;&gt;"",_xlfn.MAXIFS($B$1:B1644,$A$1:A1644,A1645)+1,"")</f>
        <v/>
      </c>
      <c r="C1645" s="296"/>
      <c r="D1645" s="296"/>
      <c r="E1645" s="296"/>
      <c r="F1645" s="296"/>
      <c r="G1645" s="326"/>
      <c r="H1645" s="324"/>
      <c r="I1645" s="325"/>
      <c r="J1645" s="325"/>
      <c r="K1645" s="318"/>
      <c r="L1645" s="318"/>
      <c r="M1645" s="319" t="str">
        <f>IFERROR(VLOOKUP(H1645,Lijsten!$H$1:$I$100,2,0),"")</f>
        <v/>
      </c>
      <c r="N1645" s="319" t="str">
        <f ca="1">IFERROR(IF(VLOOKUP(F1645,Kostentypen!$A$3:$E$21,3,0)=0,"",IF(OR(F1645="Arbeidskosten",F1645="Vergoeding"),VLOOKUP(G1645,Tb_KostenTypen[],2,0),VLOOKUP(F1645,Kostentypen!$A$3:$E$20,3,0))),"")</f>
        <v/>
      </c>
      <c r="O1645" s="320" t="str" cm="1">
        <f t="array" ref="O1645">_xlfn.IFNA(IF(INDEX(Tb_KostenOptiesDB[],MATCH($F1645,Tb_KostenOptiesDB[KostenOptie],0),IFERROR(MATCH(Methode_Keuze,Tb_KostenOptiesDB[#Headers],0),2))=1,_xlfn.SWITCH($N1645,"Uurtarief",IF(OR(AND(RIGHT($F1645,3)="IKS",VLOOKUP($M1645,DB_Loonkosten,2,0)="Ja"),AND(RIGHT($F1645,3)&lt;&gt;"IKS",VLOOKUP($M1645,DB_Loonkosten,2,0)="Nee")),IFERROR(VLOOKUP($M1645,DB_Loonkosten,24,0),""),0),"Vast tarief",IF(LEFT(F1645,8)="Bijdrage",VLOOKUP($F1645,Tb_KostenTypen[],MATCH(Lijsten!$P$1,Tb_KostenTypen[#Headers],0),0),VLOOKUP($G1645,Lijsten!L:P,MATCH(Lijsten!$P$1,Kop_Tarief_Vast,0),0))),""),"")</f>
        <v/>
      </c>
      <c r="P1645" s="320" t="str" cm="1">
        <f t="array" ref="P1645">_xlfn.IFNA(IF(INDEX(Tb_KostenOptiesDB[],MATCH($F1645,Tb_KostenOptiesDB[KostenOptie],0),IFERROR(MATCH(Methode_Keuze,Tb_KostenOptiesDB[#Headers],0),2))=1,_xlfn.SWITCH($N1645,"Uurtarief",IF(OR(AND(RIGHT($F1645,3)="IKS",VLOOKUP($M1645,DB_Loonkosten,2,0)="Ja"),AND(RIGHT($F1645,3)&lt;&gt;"IKS",VLOOKUP($M1645,DB_Loonkosten,2,0)="Nee")),IFERROR(VLOOKUP($M1645,DB_Loonkosten,25,0),""),0),"Vast tarief",IF(LEFT(F1645,8)="Bijdrage",VLOOKUP($F1645,Tb_KostenTypen[],MATCH(Lijsten!$P$1,Tb_KostenTypen[#Headers],0),0),VLOOKUP($G1645,Lijsten!L:P,MATCH(Lijsten!$P$1,Kop_Tarief_Vast,0),0))),""),"")</f>
        <v/>
      </c>
      <c r="Q1645" s="359"/>
      <c r="R1645" s="359"/>
      <c r="S1645" s="321"/>
      <c r="T1645" s="321"/>
      <c r="U1645" s="373" t="str">
        <f t="shared" si="100"/>
        <v/>
      </c>
      <c r="V1645" s="314" t="str">
        <f t="shared" si="101"/>
        <v/>
      </c>
      <c r="W1645" s="314" t="str" cm="1">
        <f t="array" aca="1" ref="W1645" ca="1">IFERROR(IF(AE1645&lt;&gt;"ja",_xlfn.IFNA(_xlfn.IFS(AND(O1645&lt;&gt;"",F1645&lt;&gt;"",RIGHT($N1645,6)="tarief",F1645="Vergoeding"),SUM(O1645)*FLOOR(SUM(Q1645),0.0001),AND(O1645&lt;&gt;"",F1645&lt;&gt;"",RIGHT($N1645,6)="tarief"),SUM(O1645)*FLOOR(SUM(Q1645),0.01),S1645&gt;0,IF(F1645&lt;&gt;"",FLOOR(SUM(S1645),0.01),"")),""),""),"")</f>
        <v/>
      </c>
      <c r="X1645" s="314" t="str" cm="1">
        <f t="array" aca="1" ref="X1645" ca="1">IFERROR(IF(AE1645&lt;&gt;"ja",_xlfn.IFNA(_xlfn.IFS(AND(P1645&lt;&gt;"",R1645&lt;&gt;"",RIGHT($N1645,6)="tarief",F1645="Vergoeding"),SUM(P1645)*FLOOR(SUM(R1645),0.0001),AND(P1645&lt;&gt;"",R1645&lt;&gt;"",RIGHT($N1645,6)="tarief"),P1645*FLOOR(R1645,0.01),T1645&gt;0,FLOOR(SUM(T1645),0.01)),""),""),"")</f>
        <v/>
      </c>
      <c r="Y1645" s="314" t="str">
        <f t="shared" ca="1" si="102"/>
        <v/>
      </c>
      <c r="Z1645" s="314" t="str" cm="1">
        <f t="array" aca="1" ref="Z1645" ca="1">IFERROR(_xlfn.IFS(OR(F1645="",LEFT(Methode_Keuze,4)="Geen",Methode_Keuze=""),"",AND(W1645&lt;&gt;"",F1645&lt;&gt;"Arbeidskosten"),W1645*VLOOKUP(F1645,Tb_ProjectKosten[],MATCH(Tb_ProjectKosten[[#Headers],[Forfait_Percentage]],Tb_ProjectKosten[#Headers],0),0),AND(F1645="Arbeidskosten",G1645&lt;&gt;""),IFERROR(W1645*VLOOKUP(G1645,Tb_KostenTypen[],3,0)*VLOOKUP(F1645,Tb_ProjectKosten[],MATCH(Tb_ProjectKosten[[#Headers],[Forfait_Percentage]],Tb_ProjectKosten[#Headers],0),0),""),W1645 &lt;=0,0),"")</f>
        <v/>
      </c>
      <c r="AA1645" s="314" t="str" cm="1">
        <f t="array" aca="1" ref="AA1645" ca="1">IFERROR(_xlfn.IFS(OR(F1645="",LEFT(Methode_Keuze,4)="Geen",Methode_Keuze=""),"",AND(X1645&lt;&gt;"",F1645&lt;&gt;"Arbeidskosten"),X1645*VLOOKUP(F1645,Tb_ProjectKosten[],MATCH(Tb_ProjectKosten[[#Headers],[Forfait_Percentage]],Tb_ProjectKosten[#Headers],0),0),AND(F1645="Arbeidskosten",G1645&lt;&gt;""),IFERROR(X1645*VLOOKUP(G1645,Tb_KostenTypen[],3,0)*VLOOKUP(F1645,Tb_ProjectKosten[],MATCH(Tb_ProjectKosten[[#Headers],[Forfait_Percentage]],Tb_ProjectKosten[#Headers],0),0),""),X1645 &lt;=0,0),"")</f>
        <v/>
      </c>
      <c r="AB1645" s="314" t="str">
        <f t="shared" ca="1" si="103"/>
        <v/>
      </c>
      <c r="AC1645" s="322"/>
      <c r="AD1645" s="315"/>
      <c r="AE1645" s="32" t="str" cm="1">
        <f t="array" ref="AE1645">IFERROR(IF(INDEX(SubsidieTabel!$AD$1:$AG$12,MATCH($F1645,SubsidieTabel!$AD$1:$AD$12,0),IFERROR(MATCH(Methode_Keuze,SubsidieTabel!$AD$1:$AG$1,0),2))&lt;&gt;1=TRUE,"ja",""),"")</f>
        <v/>
      </c>
    </row>
    <row r="1646" spans="1:31" x14ac:dyDescent="0.25">
      <c r="A1646" s="316"/>
      <c r="B1646" s="317" t="str">
        <f>IF(A1646&lt;&gt;"",_xlfn.MAXIFS($B$1:B1645,$A$1:A1645,A1646)+1,"")</f>
        <v/>
      </c>
      <c r="C1646" s="296"/>
      <c r="D1646" s="296"/>
      <c r="E1646" s="296"/>
      <c r="F1646" s="296"/>
      <c r="G1646" s="326"/>
      <c r="H1646" s="324"/>
      <c r="I1646" s="325"/>
      <c r="J1646" s="325"/>
      <c r="K1646" s="318"/>
      <c r="L1646" s="318"/>
      <c r="M1646" s="319" t="str">
        <f>IFERROR(VLOOKUP(H1646,Lijsten!$H$1:$I$100,2,0),"")</f>
        <v/>
      </c>
      <c r="N1646" s="319" t="str">
        <f ca="1">IFERROR(IF(VLOOKUP(F1646,Kostentypen!$A$3:$E$21,3,0)=0,"",IF(OR(F1646="Arbeidskosten",F1646="Vergoeding"),VLOOKUP(G1646,Tb_KostenTypen[],2,0),VLOOKUP(F1646,Kostentypen!$A$3:$E$20,3,0))),"")</f>
        <v/>
      </c>
      <c r="O1646" s="320" t="str" cm="1">
        <f t="array" ref="O1646">_xlfn.IFNA(IF(INDEX(Tb_KostenOptiesDB[],MATCH($F1646,Tb_KostenOptiesDB[KostenOptie],0),IFERROR(MATCH(Methode_Keuze,Tb_KostenOptiesDB[#Headers],0),2))=1,_xlfn.SWITCH($N1646,"Uurtarief",IF(OR(AND(RIGHT($F1646,3)="IKS",VLOOKUP($M1646,DB_Loonkosten,2,0)="Ja"),AND(RIGHT($F1646,3)&lt;&gt;"IKS",VLOOKUP($M1646,DB_Loonkosten,2,0)="Nee")),IFERROR(VLOOKUP($M1646,DB_Loonkosten,24,0),""),0),"Vast tarief",IF(LEFT(F1646,8)="Bijdrage",VLOOKUP($F1646,Tb_KostenTypen[],MATCH(Lijsten!$P$1,Tb_KostenTypen[#Headers],0),0),VLOOKUP($G1646,Lijsten!L:P,MATCH(Lijsten!$P$1,Kop_Tarief_Vast,0),0))),""),"")</f>
        <v/>
      </c>
      <c r="P1646" s="320" t="str" cm="1">
        <f t="array" ref="P1646">_xlfn.IFNA(IF(INDEX(Tb_KostenOptiesDB[],MATCH($F1646,Tb_KostenOptiesDB[KostenOptie],0),IFERROR(MATCH(Methode_Keuze,Tb_KostenOptiesDB[#Headers],0),2))=1,_xlfn.SWITCH($N1646,"Uurtarief",IF(OR(AND(RIGHT($F1646,3)="IKS",VLOOKUP($M1646,DB_Loonkosten,2,0)="Ja"),AND(RIGHT($F1646,3)&lt;&gt;"IKS",VLOOKUP($M1646,DB_Loonkosten,2,0)="Nee")),IFERROR(VLOOKUP($M1646,DB_Loonkosten,25,0),""),0),"Vast tarief",IF(LEFT(F1646,8)="Bijdrage",VLOOKUP($F1646,Tb_KostenTypen[],MATCH(Lijsten!$P$1,Tb_KostenTypen[#Headers],0),0),VLOOKUP($G1646,Lijsten!L:P,MATCH(Lijsten!$P$1,Kop_Tarief_Vast,0),0))),""),"")</f>
        <v/>
      </c>
      <c r="Q1646" s="359"/>
      <c r="R1646" s="359"/>
      <c r="S1646" s="321"/>
      <c r="T1646" s="321"/>
      <c r="U1646" s="373" t="str">
        <f t="shared" si="100"/>
        <v/>
      </c>
      <c r="V1646" s="314" t="str">
        <f t="shared" si="101"/>
        <v/>
      </c>
      <c r="W1646" s="314" t="str" cm="1">
        <f t="array" aca="1" ref="W1646" ca="1">IFERROR(IF(AE1646&lt;&gt;"ja",_xlfn.IFNA(_xlfn.IFS(AND(O1646&lt;&gt;"",F1646&lt;&gt;"",RIGHT($N1646,6)="tarief",F1646="Vergoeding"),SUM(O1646)*FLOOR(SUM(Q1646),0.0001),AND(O1646&lt;&gt;"",F1646&lt;&gt;"",RIGHT($N1646,6)="tarief"),SUM(O1646)*FLOOR(SUM(Q1646),0.01),S1646&gt;0,IF(F1646&lt;&gt;"",FLOOR(SUM(S1646),0.01),"")),""),""),"")</f>
        <v/>
      </c>
      <c r="X1646" s="314" t="str" cm="1">
        <f t="array" aca="1" ref="X1646" ca="1">IFERROR(IF(AE1646&lt;&gt;"ja",_xlfn.IFNA(_xlfn.IFS(AND(P1646&lt;&gt;"",R1646&lt;&gt;"",RIGHT($N1646,6)="tarief",F1646="Vergoeding"),SUM(P1646)*FLOOR(SUM(R1646),0.0001),AND(P1646&lt;&gt;"",R1646&lt;&gt;"",RIGHT($N1646,6)="tarief"),P1646*FLOOR(R1646,0.01),T1646&gt;0,FLOOR(SUM(T1646),0.01)),""),""),"")</f>
        <v/>
      </c>
      <c r="Y1646" s="314" t="str">
        <f t="shared" ca="1" si="102"/>
        <v/>
      </c>
      <c r="Z1646" s="314" t="str" cm="1">
        <f t="array" aca="1" ref="Z1646" ca="1">IFERROR(_xlfn.IFS(OR(F1646="",LEFT(Methode_Keuze,4)="Geen",Methode_Keuze=""),"",AND(W1646&lt;&gt;"",F1646&lt;&gt;"Arbeidskosten"),W1646*VLOOKUP(F1646,Tb_ProjectKosten[],MATCH(Tb_ProjectKosten[[#Headers],[Forfait_Percentage]],Tb_ProjectKosten[#Headers],0),0),AND(F1646="Arbeidskosten",G1646&lt;&gt;""),IFERROR(W1646*VLOOKUP(G1646,Tb_KostenTypen[],3,0)*VLOOKUP(F1646,Tb_ProjectKosten[],MATCH(Tb_ProjectKosten[[#Headers],[Forfait_Percentage]],Tb_ProjectKosten[#Headers],0),0),""),W1646 &lt;=0,0),"")</f>
        <v/>
      </c>
      <c r="AA1646" s="314" t="str" cm="1">
        <f t="array" aca="1" ref="AA1646" ca="1">IFERROR(_xlfn.IFS(OR(F1646="",LEFT(Methode_Keuze,4)="Geen",Methode_Keuze=""),"",AND(X1646&lt;&gt;"",F1646&lt;&gt;"Arbeidskosten"),X1646*VLOOKUP(F1646,Tb_ProjectKosten[],MATCH(Tb_ProjectKosten[[#Headers],[Forfait_Percentage]],Tb_ProjectKosten[#Headers],0),0),AND(F1646="Arbeidskosten",G1646&lt;&gt;""),IFERROR(X1646*VLOOKUP(G1646,Tb_KostenTypen[],3,0)*VLOOKUP(F1646,Tb_ProjectKosten[],MATCH(Tb_ProjectKosten[[#Headers],[Forfait_Percentage]],Tb_ProjectKosten[#Headers],0),0),""),X1646 &lt;=0,0),"")</f>
        <v/>
      </c>
      <c r="AB1646" s="314" t="str">
        <f t="shared" ca="1" si="103"/>
        <v/>
      </c>
      <c r="AC1646" s="322"/>
      <c r="AD1646" s="315"/>
      <c r="AE1646" s="32" t="str" cm="1">
        <f t="array" ref="AE1646">IFERROR(IF(INDEX(SubsidieTabel!$AD$1:$AG$12,MATCH($F1646,SubsidieTabel!$AD$1:$AD$12,0),IFERROR(MATCH(Methode_Keuze,SubsidieTabel!$AD$1:$AG$1,0),2))&lt;&gt;1=TRUE,"ja",""),"")</f>
        <v/>
      </c>
    </row>
    <row r="1647" spans="1:31" x14ac:dyDescent="0.25">
      <c r="A1647" s="316"/>
      <c r="B1647" s="317" t="str">
        <f>IF(A1647&lt;&gt;"",_xlfn.MAXIFS($B$1:B1646,$A$1:A1646,A1647)+1,"")</f>
        <v/>
      </c>
      <c r="C1647" s="296"/>
      <c r="D1647" s="296"/>
      <c r="E1647" s="296"/>
      <c r="F1647" s="296"/>
      <c r="G1647" s="326"/>
      <c r="H1647" s="324"/>
      <c r="I1647" s="325"/>
      <c r="J1647" s="325"/>
      <c r="K1647" s="318"/>
      <c r="L1647" s="318"/>
      <c r="M1647" s="319" t="str">
        <f>IFERROR(VLOOKUP(H1647,Lijsten!$H$1:$I$100,2,0),"")</f>
        <v/>
      </c>
      <c r="N1647" s="319" t="str">
        <f ca="1">IFERROR(IF(VLOOKUP(F1647,Kostentypen!$A$3:$E$21,3,0)=0,"",IF(OR(F1647="Arbeidskosten",F1647="Vergoeding"),VLOOKUP(G1647,Tb_KostenTypen[],2,0),VLOOKUP(F1647,Kostentypen!$A$3:$E$20,3,0))),"")</f>
        <v/>
      </c>
      <c r="O1647" s="320" t="str" cm="1">
        <f t="array" ref="O1647">_xlfn.IFNA(IF(INDEX(Tb_KostenOptiesDB[],MATCH($F1647,Tb_KostenOptiesDB[KostenOptie],0),IFERROR(MATCH(Methode_Keuze,Tb_KostenOptiesDB[#Headers],0),2))=1,_xlfn.SWITCH($N1647,"Uurtarief",IF(OR(AND(RIGHT($F1647,3)="IKS",VLOOKUP($M1647,DB_Loonkosten,2,0)="Ja"),AND(RIGHT($F1647,3)&lt;&gt;"IKS",VLOOKUP($M1647,DB_Loonkosten,2,0)="Nee")),IFERROR(VLOOKUP($M1647,DB_Loonkosten,24,0),""),0),"Vast tarief",IF(LEFT(F1647,8)="Bijdrage",VLOOKUP($F1647,Tb_KostenTypen[],MATCH(Lijsten!$P$1,Tb_KostenTypen[#Headers],0),0),VLOOKUP($G1647,Lijsten!L:P,MATCH(Lijsten!$P$1,Kop_Tarief_Vast,0),0))),""),"")</f>
        <v/>
      </c>
      <c r="P1647" s="320" t="str" cm="1">
        <f t="array" ref="P1647">_xlfn.IFNA(IF(INDEX(Tb_KostenOptiesDB[],MATCH($F1647,Tb_KostenOptiesDB[KostenOptie],0),IFERROR(MATCH(Methode_Keuze,Tb_KostenOptiesDB[#Headers],0),2))=1,_xlfn.SWITCH($N1647,"Uurtarief",IF(OR(AND(RIGHT($F1647,3)="IKS",VLOOKUP($M1647,DB_Loonkosten,2,0)="Ja"),AND(RIGHT($F1647,3)&lt;&gt;"IKS",VLOOKUP($M1647,DB_Loonkosten,2,0)="Nee")),IFERROR(VLOOKUP($M1647,DB_Loonkosten,25,0),""),0),"Vast tarief",IF(LEFT(F1647,8)="Bijdrage",VLOOKUP($F1647,Tb_KostenTypen[],MATCH(Lijsten!$P$1,Tb_KostenTypen[#Headers],0),0),VLOOKUP($G1647,Lijsten!L:P,MATCH(Lijsten!$P$1,Kop_Tarief_Vast,0),0))),""),"")</f>
        <v/>
      </c>
      <c r="Q1647" s="359"/>
      <c r="R1647" s="359"/>
      <c r="S1647" s="321"/>
      <c r="T1647" s="321"/>
      <c r="U1647" s="373" t="str">
        <f t="shared" si="100"/>
        <v/>
      </c>
      <c r="V1647" s="314" t="str">
        <f t="shared" si="101"/>
        <v/>
      </c>
      <c r="W1647" s="314" t="str" cm="1">
        <f t="array" aca="1" ref="W1647" ca="1">IFERROR(IF(AE1647&lt;&gt;"ja",_xlfn.IFNA(_xlfn.IFS(AND(O1647&lt;&gt;"",F1647&lt;&gt;"",RIGHT($N1647,6)="tarief",F1647="Vergoeding"),SUM(O1647)*FLOOR(SUM(Q1647),0.0001),AND(O1647&lt;&gt;"",F1647&lt;&gt;"",RIGHT($N1647,6)="tarief"),SUM(O1647)*FLOOR(SUM(Q1647),0.01),S1647&gt;0,IF(F1647&lt;&gt;"",FLOOR(SUM(S1647),0.01),"")),""),""),"")</f>
        <v/>
      </c>
      <c r="X1647" s="314" t="str" cm="1">
        <f t="array" aca="1" ref="X1647" ca="1">IFERROR(IF(AE1647&lt;&gt;"ja",_xlfn.IFNA(_xlfn.IFS(AND(P1647&lt;&gt;"",R1647&lt;&gt;"",RIGHT($N1647,6)="tarief",F1647="Vergoeding"),SUM(P1647)*FLOOR(SUM(R1647),0.0001),AND(P1647&lt;&gt;"",R1647&lt;&gt;"",RIGHT($N1647,6)="tarief"),P1647*FLOOR(R1647,0.01),T1647&gt;0,FLOOR(SUM(T1647),0.01)),""),""),"")</f>
        <v/>
      </c>
      <c r="Y1647" s="314" t="str">
        <f t="shared" ca="1" si="102"/>
        <v/>
      </c>
      <c r="Z1647" s="314" t="str" cm="1">
        <f t="array" aca="1" ref="Z1647" ca="1">IFERROR(_xlfn.IFS(OR(F1647="",LEFT(Methode_Keuze,4)="Geen",Methode_Keuze=""),"",AND(W1647&lt;&gt;"",F1647&lt;&gt;"Arbeidskosten"),W1647*VLOOKUP(F1647,Tb_ProjectKosten[],MATCH(Tb_ProjectKosten[[#Headers],[Forfait_Percentage]],Tb_ProjectKosten[#Headers],0),0),AND(F1647="Arbeidskosten",G1647&lt;&gt;""),IFERROR(W1647*VLOOKUP(G1647,Tb_KostenTypen[],3,0)*VLOOKUP(F1647,Tb_ProjectKosten[],MATCH(Tb_ProjectKosten[[#Headers],[Forfait_Percentage]],Tb_ProjectKosten[#Headers],0),0),""),W1647 &lt;=0,0),"")</f>
        <v/>
      </c>
      <c r="AA1647" s="314" t="str" cm="1">
        <f t="array" aca="1" ref="AA1647" ca="1">IFERROR(_xlfn.IFS(OR(F1647="",LEFT(Methode_Keuze,4)="Geen",Methode_Keuze=""),"",AND(X1647&lt;&gt;"",F1647&lt;&gt;"Arbeidskosten"),X1647*VLOOKUP(F1647,Tb_ProjectKosten[],MATCH(Tb_ProjectKosten[[#Headers],[Forfait_Percentage]],Tb_ProjectKosten[#Headers],0),0),AND(F1647="Arbeidskosten",G1647&lt;&gt;""),IFERROR(X1647*VLOOKUP(G1647,Tb_KostenTypen[],3,0)*VLOOKUP(F1647,Tb_ProjectKosten[],MATCH(Tb_ProjectKosten[[#Headers],[Forfait_Percentage]],Tb_ProjectKosten[#Headers],0),0),""),X1647 &lt;=0,0),"")</f>
        <v/>
      </c>
      <c r="AB1647" s="314" t="str">
        <f t="shared" ca="1" si="103"/>
        <v/>
      </c>
      <c r="AC1647" s="322"/>
      <c r="AD1647" s="315"/>
      <c r="AE1647" s="32" t="str" cm="1">
        <f t="array" ref="AE1647">IFERROR(IF(INDEX(SubsidieTabel!$AD$1:$AG$12,MATCH($F1647,SubsidieTabel!$AD$1:$AD$12,0),IFERROR(MATCH(Methode_Keuze,SubsidieTabel!$AD$1:$AG$1,0),2))&lt;&gt;1=TRUE,"ja",""),"")</f>
        <v/>
      </c>
    </row>
    <row r="1648" spans="1:31" x14ac:dyDescent="0.25">
      <c r="A1648" s="316"/>
      <c r="B1648" s="317" t="str">
        <f>IF(A1648&lt;&gt;"",_xlfn.MAXIFS($B$1:B1647,$A$1:A1647,A1648)+1,"")</f>
        <v/>
      </c>
      <c r="C1648" s="296"/>
      <c r="D1648" s="296"/>
      <c r="E1648" s="296"/>
      <c r="F1648" s="296"/>
      <c r="G1648" s="326"/>
      <c r="H1648" s="324"/>
      <c r="I1648" s="325"/>
      <c r="J1648" s="325"/>
      <c r="K1648" s="318"/>
      <c r="L1648" s="318"/>
      <c r="M1648" s="319" t="str">
        <f>IFERROR(VLOOKUP(H1648,Lijsten!$H$1:$I$100,2,0),"")</f>
        <v/>
      </c>
      <c r="N1648" s="319" t="str">
        <f ca="1">IFERROR(IF(VLOOKUP(F1648,Kostentypen!$A$3:$E$21,3,0)=0,"",IF(OR(F1648="Arbeidskosten",F1648="Vergoeding"),VLOOKUP(G1648,Tb_KostenTypen[],2,0),VLOOKUP(F1648,Kostentypen!$A$3:$E$20,3,0))),"")</f>
        <v/>
      </c>
      <c r="O1648" s="320" t="str" cm="1">
        <f t="array" ref="O1648">_xlfn.IFNA(IF(INDEX(Tb_KostenOptiesDB[],MATCH($F1648,Tb_KostenOptiesDB[KostenOptie],0),IFERROR(MATCH(Methode_Keuze,Tb_KostenOptiesDB[#Headers],0),2))=1,_xlfn.SWITCH($N1648,"Uurtarief",IF(OR(AND(RIGHT($F1648,3)="IKS",VLOOKUP($M1648,DB_Loonkosten,2,0)="Ja"),AND(RIGHT($F1648,3)&lt;&gt;"IKS",VLOOKUP($M1648,DB_Loonkosten,2,0)="Nee")),IFERROR(VLOOKUP($M1648,DB_Loonkosten,24,0),""),0),"Vast tarief",IF(LEFT(F1648,8)="Bijdrage",VLOOKUP($F1648,Tb_KostenTypen[],MATCH(Lijsten!$P$1,Tb_KostenTypen[#Headers],0),0),VLOOKUP($G1648,Lijsten!L:P,MATCH(Lijsten!$P$1,Kop_Tarief_Vast,0),0))),""),"")</f>
        <v/>
      </c>
      <c r="P1648" s="320" t="str" cm="1">
        <f t="array" ref="P1648">_xlfn.IFNA(IF(INDEX(Tb_KostenOptiesDB[],MATCH($F1648,Tb_KostenOptiesDB[KostenOptie],0),IFERROR(MATCH(Methode_Keuze,Tb_KostenOptiesDB[#Headers],0),2))=1,_xlfn.SWITCH($N1648,"Uurtarief",IF(OR(AND(RIGHT($F1648,3)="IKS",VLOOKUP($M1648,DB_Loonkosten,2,0)="Ja"),AND(RIGHT($F1648,3)&lt;&gt;"IKS",VLOOKUP($M1648,DB_Loonkosten,2,0)="Nee")),IFERROR(VLOOKUP($M1648,DB_Loonkosten,25,0),""),0),"Vast tarief",IF(LEFT(F1648,8)="Bijdrage",VLOOKUP($F1648,Tb_KostenTypen[],MATCH(Lijsten!$P$1,Tb_KostenTypen[#Headers],0),0),VLOOKUP($G1648,Lijsten!L:P,MATCH(Lijsten!$P$1,Kop_Tarief_Vast,0),0))),""),"")</f>
        <v/>
      </c>
      <c r="Q1648" s="359"/>
      <c r="R1648" s="359"/>
      <c r="S1648" s="321"/>
      <c r="T1648" s="321"/>
      <c r="U1648" s="373" t="str">
        <f t="shared" si="100"/>
        <v/>
      </c>
      <c r="V1648" s="314" t="str">
        <f t="shared" si="101"/>
        <v/>
      </c>
      <c r="W1648" s="314" t="str" cm="1">
        <f t="array" aca="1" ref="W1648" ca="1">IFERROR(IF(AE1648&lt;&gt;"ja",_xlfn.IFNA(_xlfn.IFS(AND(O1648&lt;&gt;"",F1648&lt;&gt;"",RIGHT($N1648,6)="tarief",F1648="Vergoeding"),SUM(O1648)*FLOOR(SUM(Q1648),0.0001),AND(O1648&lt;&gt;"",F1648&lt;&gt;"",RIGHT($N1648,6)="tarief"),SUM(O1648)*FLOOR(SUM(Q1648),0.01),S1648&gt;0,IF(F1648&lt;&gt;"",FLOOR(SUM(S1648),0.01),"")),""),""),"")</f>
        <v/>
      </c>
      <c r="X1648" s="314" t="str" cm="1">
        <f t="array" aca="1" ref="X1648" ca="1">IFERROR(IF(AE1648&lt;&gt;"ja",_xlfn.IFNA(_xlfn.IFS(AND(P1648&lt;&gt;"",R1648&lt;&gt;"",RIGHT($N1648,6)="tarief",F1648="Vergoeding"),SUM(P1648)*FLOOR(SUM(R1648),0.0001),AND(P1648&lt;&gt;"",R1648&lt;&gt;"",RIGHT($N1648,6)="tarief"),P1648*FLOOR(R1648,0.01),T1648&gt;0,FLOOR(SUM(T1648),0.01)),""),""),"")</f>
        <v/>
      </c>
      <c r="Y1648" s="314" t="str">
        <f t="shared" ca="1" si="102"/>
        <v/>
      </c>
      <c r="Z1648" s="314" t="str" cm="1">
        <f t="array" aca="1" ref="Z1648" ca="1">IFERROR(_xlfn.IFS(OR(F1648="",LEFT(Methode_Keuze,4)="Geen",Methode_Keuze=""),"",AND(W1648&lt;&gt;"",F1648&lt;&gt;"Arbeidskosten"),W1648*VLOOKUP(F1648,Tb_ProjectKosten[],MATCH(Tb_ProjectKosten[[#Headers],[Forfait_Percentage]],Tb_ProjectKosten[#Headers],0),0),AND(F1648="Arbeidskosten",G1648&lt;&gt;""),IFERROR(W1648*VLOOKUP(G1648,Tb_KostenTypen[],3,0)*VLOOKUP(F1648,Tb_ProjectKosten[],MATCH(Tb_ProjectKosten[[#Headers],[Forfait_Percentage]],Tb_ProjectKosten[#Headers],0),0),""),W1648 &lt;=0,0),"")</f>
        <v/>
      </c>
      <c r="AA1648" s="314" t="str" cm="1">
        <f t="array" aca="1" ref="AA1648" ca="1">IFERROR(_xlfn.IFS(OR(F1648="",LEFT(Methode_Keuze,4)="Geen",Methode_Keuze=""),"",AND(X1648&lt;&gt;"",F1648&lt;&gt;"Arbeidskosten"),X1648*VLOOKUP(F1648,Tb_ProjectKosten[],MATCH(Tb_ProjectKosten[[#Headers],[Forfait_Percentage]],Tb_ProjectKosten[#Headers],0),0),AND(F1648="Arbeidskosten",G1648&lt;&gt;""),IFERROR(X1648*VLOOKUP(G1648,Tb_KostenTypen[],3,0)*VLOOKUP(F1648,Tb_ProjectKosten[],MATCH(Tb_ProjectKosten[[#Headers],[Forfait_Percentage]],Tb_ProjectKosten[#Headers],0),0),""),X1648 &lt;=0,0),"")</f>
        <v/>
      </c>
      <c r="AB1648" s="314" t="str">
        <f t="shared" ca="1" si="103"/>
        <v/>
      </c>
      <c r="AC1648" s="322"/>
      <c r="AD1648" s="315"/>
      <c r="AE1648" s="32" t="str" cm="1">
        <f t="array" ref="AE1648">IFERROR(IF(INDEX(SubsidieTabel!$AD$1:$AG$12,MATCH($F1648,SubsidieTabel!$AD$1:$AD$12,0),IFERROR(MATCH(Methode_Keuze,SubsidieTabel!$AD$1:$AG$1,0),2))&lt;&gt;1=TRUE,"ja",""),"")</f>
        <v/>
      </c>
    </row>
    <row r="1649" spans="1:31" x14ac:dyDescent="0.25">
      <c r="A1649" s="316"/>
      <c r="B1649" s="317" t="str">
        <f>IF(A1649&lt;&gt;"",_xlfn.MAXIFS($B$1:B1648,$A$1:A1648,A1649)+1,"")</f>
        <v/>
      </c>
      <c r="C1649" s="296"/>
      <c r="D1649" s="296"/>
      <c r="E1649" s="296"/>
      <c r="F1649" s="296"/>
      <c r="G1649" s="326"/>
      <c r="H1649" s="324"/>
      <c r="I1649" s="325"/>
      <c r="J1649" s="325"/>
      <c r="K1649" s="318"/>
      <c r="L1649" s="318"/>
      <c r="M1649" s="319" t="str">
        <f>IFERROR(VLOOKUP(H1649,Lijsten!$H$1:$I$100,2,0),"")</f>
        <v/>
      </c>
      <c r="N1649" s="319" t="str">
        <f ca="1">IFERROR(IF(VLOOKUP(F1649,Kostentypen!$A$3:$E$21,3,0)=0,"",IF(OR(F1649="Arbeidskosten",F1649="Vergoeding"),VLOOKUP(G1649,Tb_KostenTypen[],2,0),VLOOKUP(F1649,Kostentypen!$A$3:$E$20,3,0))),"")</f>
        <v/>
      </c>
      <c r="O1649" s="320" t="str" cm="1">
        <f t="array" ref="O1649">_xlfn.IFNA(IF(INDEX(Tb_KostenOptiesDB[],MATCH($F1649,Tb_KostenOptiesDB[KostenOptie],0),IFERROR(MATCH(Methode_Keuze,Tb_KostenOptiesDB[#Headers],0),2))=1,_xlfn.SWITCH($N1649,"Uurtarief",IF(OR(AND(RIGHT($F1649,3)="IKS",VLOOKUP($M1649,DB_Loonkosten,2,0)="Ja"),AND(RIGHT($F1649,3)&lt;&gt;"IKS",VLOOKUP($M1649,DB_Loonkosten,2,0)="Nee")),IFERROR(VLOOKUP($M1649,DB_Loonkosten,24,0),""),0),"Vast tarief",IF(LEFT(F1649,8)="Bijdrage",VLOOKUP($F1649,Tb_KostenTypen[],MATCH(Lijsten!$P$1,Tb_KostenTypen[#Headers],0),0),VLOOKUP($G1649,Lijsten!L:P,MATCH(Lijsten!$P$1,Kop_Tarief_Vast,0),0))),""),"")</f>
        <v/>
      </c>
      <c r="P1649" s="320" t="str" cm="1">
        <f t="array" ref="P1649">_xlfn.IFNA(IF(INDEX(Tb_KostenOptiesDB[],MATCH($F1649,Tb_KostenOptiesDB[KostenOptie],0),IFERROR(MATCH(Methode_Keuze,Tb_KostenOptiesDB[#Headers],0),2))=1,_xlfn.SWITCH($N1649,"Uurtarief",IF(OR(AND(RIGHT($F1649,3)="IKS",VLOOKUP($M1649,DB_Loonkosten,2,0)="Ja"),AND(RIGHT($F1649,3)&lt;&gt;"IKS",VLOOKUP($M1649,DB_Loonkosten,2,0)="Nee")),IFERROR(VLOOKUP($M1649,DB_Loonkosten,25,0),""),0),"Vast tarief",IF(LEFT(F1649,8)="Bijdrage",VLOOKUP($F1649,Tb_KostenTypen[],MATCH(Lijsten!$P$1,Tb_KostenTypen[#Headers],0),0),VLOOKUP($G1649,Lijsten!L:P,MATCH(Lijsten!$P$1,Kop_Tarief_Vast,0),0))),""),"")</f>
        <v/>
      </c>
      <c r="Q1649" s="359"/>
      <c r="R1649" s="359"/>
      <c r="S1649" s="321"/>
      <c r="T1649" s="321"/>
      <c r="U1649" s="373" t="str">
        <f t="shared" si="100"/>
        <v/>
      </c>
      <c r="V1649" s="314" t="str">
        <f t="shared" si="101"/>
        <v/>
      </c>
      <c r="W1649" s="314" t="str" cm="1">
        <f t="array" aca="1" ref="W1649" ca="1">IFERROR(IF(AE1649&lt;&gt;"ja",_xlfn.IFNA(_xlfn.IFS(AND(O1649&lt;&gt;"",F1649&lt;&gt;"",RIGHT($N1649,6)="tarief",F1649="Vergoeding"),SUM(O1649)*FLOOR(SUM(Q1649),0.0001),AND(O1649&lt;&gt;"",F1649&lt;&gt;"",RIGHT($N1649,6)="tarief"),SUM(O1649)*FLOOR(SUM(Q1649),0.01),S1649&gt;0,IF(F1649&lt;&gt;"",FLOOR(SUM(S1649),0.01),"")),""),""),"")</f>
        <v/>
      </c>
      <c r="X1649" s="314" t="str" cm="1">
        <f t="array" aca="1" ref="X1649" ca="1">IFERROR(IF(AE1649&lt;&gt;"ja",_xlfn.IFNA(_xlfn.IFS(AND(P1649&lt;&gt;"",R1649&lt;&gt;"",RIGHT($N1649,6)="tarief",F1649="Vergoeding"),SUM(P1649)*FLOOR(SUM(R1649),0.0001),AND(P1649&lt;&gt;"",R1649&lt;&gt;"",RIGHT($N1649,6)="tarief"),P1649*FLOOR(R1649,0.01),T1649&gt;0,FLOOR(SUM(T1649),0.01)),""),""),"")</f>
        <v/>
      </c>
      <c r="Y1649" s="314" t="str">
        <f t="shared" ca="1" si="102"/>
        <v/>
      </c>
      <c r="Z1649" s="314" t="str" cm="1">
        <f t="array" aca="1" ref="Z1649" ca="1">IFERROR(_xlfn.IFS(OR(F1649="",LEFT(Methode_Keuze,4)="Geen",Methode_Keuze=""),"",AND(W1649&lt;&gt;"",F1649&lt;&gt;"Arbeidskosten"),W1649*VLOOKUP(F1649,Tb_ProjectKosten[],MATCH(Tb_ProjectKosten[[#Headers],[Forfait_Percentage]],Tb_ProjectKosten[#Headers],0),0),AND(F1649="Arbeidskosten",G1649&lt;&gt;""),IFERROR(W1649*VLOOKUP(G1649,Tb_KostenTypen[],3,0)*VLOOKUP(F1649,Tb_ProjectKosten[],MATCH(Tb_ProjectKosten[[#Headers],[Forfait_Percentage]],Tb_ProjectKosten[#Headers],0),0),""),W1649 &lt;=0,0),"")</f>
        <v/>
      </c>
      <c r="AA1649" s="314" t="str" cm="1">
        <f t="array" aca="1" ref="AA1649" ca="1">IFERROR(_xlfn.IFS(OR(F1649="",LEFT(Methode_Keuze,4)="Geen",Methode_Keuze=""),"",AND(X1649&lt;&gt;"",F1649&lt;&gt;"Arbeidskosten"),X1649*VLOOKUP(F1649,Tb_ProjectKosten[],MATCH(Tb_ProjectKosten[[#Headers],[Forfait_Percentage]],Tb_ProjectKosten[#Headers],0),0),AND(F1649="Arbeidskosten",G1649&lt;&gt;""),IFERROR(X1649*VLOOKUP(G1649,Tb_KostenTypen[],3,0)*VLOOKUP(F1649,Tb_ProjectKosten[],MATCH(Tb_ProjectKosten[[#Headers],[Forfait_Percentage]],Tb_ProjectKosten[#Headers],0),0),""),X1649 &lt;=0,0),"")</f>
        <v/>
      </c>
      <c r="AB1649" s="314" t="str">
        <f t="shared" ca="1" si="103"/>
        <v/>
      </c>
      <c r="AC1649" s="322"/>
      <c r="AD1649" s="315"/>
      <c r="AE1649" s="32" t="str" cm="1">
        <f t="array" ref="AE1649">IFERROR(IF(INDEX(SubsidieTabel!$AD$1:$AG$12,MATCH($F1649,SubsidieTabel!$AD$1:$AD$12,0),IFERROR(MATCH(Methode_Keuze,SubsidieTabel!$AD$1:$AG$1,0),2))&lt;&gt;1=TRUE,"ja",""),"")</f>
        <v/>
      </c>
    </row>
    <row r="1650" spans="1:31" x14ac:dyDescent="0.25">
      <c r="A1650" s="316"/>
      <c r="B1650" s="317" t="str">
        <f>IF(A1650&lt;&gt;"",_xlfn.MAXIFS($B$1:B1649,$A$1:A1649,A1650)+1,"")</f>
        <v/>
      </c>
      <c r="C1650" s="296"/>
      <c r="D1650" s="296"/>
      <c r="E1650" s="296"/>
      <c r="F1650" s="296"/>
      <c r="G1650" s="326"/>
      <c r="H1650" s="324"/>
      <c r="I1650" s="325"/>
      <c r="J1650" s="325"/>
      <c r="K1650" s="318"/>
      <c r="L1650" s="318"/>
      <c r="M1650" s="319" t="str">
        <f>IFERROR(VLOOKUP(H1650,Lijsten!$H$1:$I$100,2,0),"")</f>
        <v/>
      </c>
      <c r="N1650" s="319" t="str">
        <f ca="1">IFERROR(IF(VLOOKUP(F1650,Kostentypen!$A$3:$E$21,3,0)=0,"",IF(OR(F1650="Arbeidskosten",F1650="Vergoeding"),VLOOKUP(G1650,Tb_KostenTypen[],2,0),VLOOKUP(F1650,Kostentypen!$A$3:$E$20,3,0))),"")</f>
        <v/>
      </c>
      <c r="O1650" s="320" t="str" cm="1">
        <f t="array" ref="O1650">_xlfn.IFNA(IF(INDEX(Tb_KostenOptiesDB[],MATCH($F1650,Tb_KostenOptiesDB[KostenOptie],0),IFERROR(MATCH(Methode_Keuze,Tb_KostenOptiesDB[#Headers],0),2))=1,_xlfn.SWITCH($N1650,"Uurtarief",IF(OR(AND(RIGHT($F1650,3)="IKS",VLOOKUP($M1650,DB_Loonkosten,2,0)="Ja"),AND(RIGHT($F1650,3)&lt;&gt;"IKS",VLOOKUP($M1650,DB_Loonkosten,2,0)="Nee")),IFERROR(VLOOKUP($M1650,DB_Loonkosten,24,0),""),0),"Vast tarief",IF(LEFT(F1650,8)="Bijdrage",VLOOKUP($F1650,Tb_KostenTypen[],MATCH(Lijsten!$P$1,Tb_KostenTypen[#Headers],0),0),VLOOKUP($G1650,Lijsten!L:P,MATCH(Lijsten!$P$1,Kop_Tarief_Vast,0),0))),""),"")</f>
        <v/>
      </c>
      <c r="P1650" s="320" t="str" cm="1">
        <f t="array" ref="P1650">_xlfn.IFNA(IF(INDEX(Tb_KostenOptiesDB[],MATCH($F1650,Tb_KostenOptiesDB[KostenOptie],0),IFERROR(MATCH(Methode_Keuze,Tb_KostenOptiesDB[#Headers],0),2))=1,_xlfn.SWITCH($N1650,"Uurtarief",IF(OR(AND(RIGHT($F1650,3)="IKS",VLOOKUP($M1650,DB_Loonkosten,2,0)="Ja"),AND(RIGHT($F1650,3)&lt;&gt;"IKS",VLOOKUP($M1650,DB_Loonkosten,2,0)="Nee")),IFERROR(VLOOKUP($M1650,DB_Loonkosten,25,0),""),0),"Vast tarief",IF(LEFT(F1650,8)="Bijdrage",VLOOKUP($F1650,Tb_KostenTypen[],MATCH(Lijsten!$P$1,Tb_KostenTypen[#Headers],0),0),VLOOKUP($G1650,Lijsten!L:P,MATCH(Lijsten!$P$1,Kop_Tarief_Vast,0),0))),""),"")</f>
        <v/>
      </c>
      <c r="Q1650" s="359"/>
      <c r="R1650" s="359"/>
      <c r="S1650" s="321"/>
      <c r="T1650" s="321"/>
      <c r="U1650" s="373" t="str">
        <f t="shared" si="100"/>
        <v/>
      </c>
      <c r="V1650" s="314" t="str">
        <f t="shared" si="101"/>
        <v/>
      </c>
      <c r="W1650" s="314" t="str" cm="1">
        <f t="array" aca="1" ref="W1650" ca="1">IFERROR(IF(AE1650&lt;&gt;"ja",_xlfn.IFNA(_xlfn.IFS(AND(O1650&lt;&gt;"",F1650&lt;&gt;"",RIGHT($N1650,6)="tarief",F1650="Vergoeding"),SUM(O1650)*FLOOR(SUM(Q1650),0.0001),AND(O1650&lt;&gt;"",F1650&lt;&gt;"",RIGHT($N1650,6)="tarief"),SUM(O1650)*FLOOR(SUM(Q1650),0.01),S1650&gt;0,IF(F1650&lt;&gt;"",FLOOR(SUM(S1650),0.01),"")),""),""),"")</f>
        <v/>
      </c>
      <c r="X1650" s="314" t="str" cm="1">
        <f t="array" aca="1" ref="X1650" ca="1">IFERROR(IF(AE1650&lt;&gt;"ja",_xlfn.IFNA(_xlfn.IFS(AND(P1650&lt;&gt;"",R1650&lt;&gt;"",RIGHT($N1650,6)="tarief",F1650="Vergoeding"),SUM(P1650)*FLOOR(SUM(R1650),0.0001),AND(P1650&lt;&gt;"",R1650&lt;&gt;"",RIGHT($N1650,6)="tarief"),P1650*FLOOR(R1650,0.01),T1650&gt;0,FLOOR(SUM(T1650),0.01)),""),""),"")</f>
        <v/>
      </c>
      <c r="Y1650" s="314" t="str">
        <f t="shared" ca="1" si="102"/>
        <v/>
      </c>
      <c r="Z1650" s="314" t="str" cm="1">
        <f t="array" aca="1" ref="Z1650" ca="1">IFERROR(_xlfn.IFS(OR(F1650="",LEFT(Methode_Keuze,4)="Geen",Methode_Keuze=""),"",AND(W1650&lt;&gt;"",F1650&lt;&gt;"Arbeidskosten"),W1650*VLOOKUP(F1650,Tb_ProjectKosten[],MATCH(Tb_ProjectKosten[[#Headers],[Forfait_Percentage]],Tb_ProjectKosten[#Headers],0),0),AND(F1650="Arbeidskosten",G1650&lt;&gt;""),IFERROR(W1650*VLOOKUP(G1650,Tb_KostenTypen[],3,0)*VLOOKUP(F1650,Tb_ProjectKosten[],MATCH(Tb_ProjectKosten[[#Headers],[Forfait_Percentage]],Tb_ProjectKosten[#Headers],0),0),""),W1650 &lt;=0,0),"")</f>
        <v/>
      </c>
      <c r="AA1650" s="314" t="str" cm="1">
        <f t="array" aca="1" ref="AA1650" ca="1">IFERROR(_xlfn.IFS(OR(F1650="",LEFT(Methode_Keuze,4)="Geen",Methode_Keuze=""),"",AND(X1650&lt;&gt;"",F1650&lt;&gt;"Arbeidskosten"),X1650*VLOOKUP(F1650,Tb_ProjectKosten[],MATCH(Tb_ProjectKosten[[#Headers],[Forfait_Percentage]],Tb_ProjectKosten[#Headers],0),0),AND(F1650="Arbeidskosten",G1650&lt;&gt;""),IFERROR(X1650*VLOOKUP(G1650,Tb_KostenTypen[],3,0)*VLOOKUP(F1650,Tb_ProjectKosten[],MATCH(Tb_ProjectKosten[[#Headers],[Forfait_Percentage]],Tb_ProjectKosten[#Headers],0),0),""),X1650 &lt;=0,0),"")</f>
        <v/>
      </c>
      <c r="AB1650" s="314" t="str">
        <f t="shared" ca="1" si="103"/>
        <v/>
      </c>
      <c r="AC1650" s="322"/>
      <c r="AD1650" s="315"/>
      <c r="AE1650" s="32" t="str" cm="1">
        <f t="array" ref="AE1650">IFERROR(IF(INDEX(SubsidieTabel!$AD$1:$AG$12,MATCH($F1650,SubsidieTabel!$AD$1:$AD$12,0),IFERROR(MATCH(Methode_Keuze,SubsidieTabel!$AD$1:$AG$1,0),2))&lt;&gt;1=TRUE,"ja",""),"")</f>
        <v/>
      </c>
    </row>
    <row r="1651" spans="1:31" x14ac:dyDescent="0.25">
      <c r="A1651" s="316"/>
      <c r="B1651" s="317" t="str">
        <f>IF(A1651&lt;&gt;"",_xlfn.MAXIFS($B$1:B1650,$A$1:A1650,A1651)+1,"")</f>
        <v/>
      </c>
      <c r="C1651" s="296"/>
      <c r="D1651" s="296"/>
      <c r="E1651" s="296"/>
      <c r="F1651" s="296"/>
      <c r="G1651" s="326"/>
      <c r="H1651" s="324"/>
      <c r="I1651" s="325"/>
      <c r="J1651" s="325"/>
      <c r="K1651" s="318"/>
      <c r="L1651" s="318"/>
      <c r="M1651" s="319" t="str">
        <f>IFERROR(VLOOKUP(H1651,Lijsten!$H$1:$I$100,2,0),"")</f>
        <v/>
      </c>
      <c r="N1651" s="319" t="str">
        <f ca="1">IFERROR(IF(VLOOKUP(F1651,Kostentypen!$A$3:$E$21,3,0)=0,"",IF(OR(F1651="Arbeidskosten",F1651="Vergoeding"),VLOOKUP(G1651,Tb_KostenTypen[],2,0),VLOOKUP(F1651,Kostentypen!$A$3:$E$20,3,0))),"")</f>
        <v/>
      </c>
      <c r="O1651" s="320" t="str" cm="1">
        <f t="array" ref="O1651">_xlfn.IFNA(IF(INDEX(Tb_KostenOptiesDB[],MATCH($F1651,Tb_KostenOptiesDB[KostenOptie],0),IFERROR(MATCH(Methode_Keuze,Tb_KostenOptiesDB[#Headers],0),2))=1,_xlfn.SWITCH($N1651,"Uurtarief",IF(OR(AND(RIGHT($F1651,3)="IKS",VLOOKUP($M1651,DB_Loonkosten,2,0)="Ja"),AND(RIGHT($F1651,3)&lt;&gt;"IKS",VLOOKUP($M1651,DB_Loonkosten,2,0)="Nee")),IFERROR(VLOOKUP($M1651,DB_Loonkosten,24,0),""),0),"Vast tarief",IF(LEFT(F1651,8)="Bijdrage",VLOOKUP($F1651,Tb_KostenTypen[],MATCH(Lijsten!$P$1,Tb_KostenTypen[#Headers],0),0),VLOOKUP($G1651,Lijsten!L:P,MATCH(Lijsten!$P$1,Kop_Tarief_Vast,0),0))),""),"")</f>
        <v/>
      </c>
      <c r="P1651" s="320" t="str" cm="1">
        <f t="array" ref="P1651">_xlfn.IFNA(IF(INDEX(Tb_KostenOptiesDB[],MATCH($F1651,Tb_KostenOptiesDB[KostenOptie],0),IFERROR(MATCH(Methode_Keuze,Tb_KostenOptiesDB[#Headers],0),2))=1,_xlfn.SWITCH($N1651,"Uurtarief",IF(OR(AND(RIGHT($F1651,3)="IKS",VLOOKUP($M1651,DB_Loonkosten,2,0)="Ja"),AND(RIGHT($F1651,3)&lt;&gt;"IKS",VLOOKUP($M1651,DB_Loonkosten,2,0)="Nee")),IFERROR(VLOOKUP($M1651,DB_Loonkosten,25,0),""),0),"Vast tarief",IF(LEFT(F1651,8)="Bijdrage",VLOOKUP($F1651,Tb_KostenTypen[],MATCH(Lijsten!$P$1,Tb_KostenTypen[#Headers],0),0),VLOOKUP($G1651,Lijsten!L:P,MATCH(Lijsten!$P$1,Kop_Tarief_Vast,0),0))),""),"")</f>
        <v/>
      </c>
      <c r="Q1651" s="359"/>
      <c r="R1651" s="359"/>
      <c r="S1651" s="321"/>
      <c r="T1651" s="321"/>
      <c r="U1651" s="373" t="str">
        <f t="shared" si="100"/>
        <v/>
      </c>
      <c r="V1651" s="314" t="str">
        <f t="shared" si="101"/>
        <v/>
      </c>
      <c r="W1651" s="314" t="str" cm="1">
        <f t="array" aca="1" ref="W1651" ca="1">IFERROR(IF(AE1651&lt;&gt;"ja",_xlfn.IFNA(_xlfn.IFS(AND(O1651&lt;&gt;"",F1651&lt;&gt;"",RIGHT($N1651,6)="tarief",F1651="Vergoeding"),SUM(O1651)*FLOOR(SUM(Q1651),0.0001),AND(O1651&lt;&gt;"",F1651&lt;&gt;"",RIGHT($N1651,6)="tarief"),SUM(O1651)*FLOOR(SUM(Q1651),0.01),S1651&gt;0,IF(F1651&lt;&gt;"",FLOOR(SUM(S1651),0.01),"")),""),""),"")</f>
        <v/>
      </c>
      <c r="X1651" s="314" t="str" cm="1">
        <f t="array" aca="1" ref="X1651" ca="1">IFERROR(IF(AE1651&lt;&gt;"ja",_xlfn.IFNA(_xlfn.IFS(AND(P1651&lt;&gt;"",R1651&lt;&gt;"",RIGHT($N1651,6)="tarief",F1651="Vergoeding"),SUM(P1651)*FLOOR(SUM(R1651),0.0001),AND(P1651&lt;&gt;"",R1651&lt;&gt;"",RIGHT($N1651,6)="tarief"),P1651*FLOOR(R1651,0.01),T1651&gt;0,FLOOR(SUM(T1651),0.01)),""),""),"")</f>
        <v/>
      </c>
      <c r="Y1651" s="314" t="str">
        <f t="shared" ca="1" si="102"/>
        <v/>
      </c>
      <c r="Z1651" s="314" t="str" cm="1">
        <f t="array" aca="1" ref="Z1651" ca="1">IFERROR(_xlfn.IFS(OR(F1651="",LEFT(Methode_Keuze,4)="Geen",Methode_Keuze=""),"",AND(W1651&lt;&gt;"",F1651&lt;&gt;"Arbeidskosten"),W1651*VLOOKUP(F1651,Tb_ProjectKosten[],MATCH(Tb_ProjectKosten[[#Headers],[Forfait_Percentage]],Tb_ProjectKosten[#Headers],0),0),AND(F1651="Arbeidskosten",G1651&lt;&gt;""),IFERROR(W1651*VLOOKUP(G1651,Tb_KostenTypen[],3,0)*VLOOKUP(F1651,Tb_ProjectKosten[],MATCH(Tb_ProjectKosten[[#Headers],[Forfait_Percentage]],Tb_ProjectKosten[#Headers],0),0),""),W1651 &lt;=0,0),"")</f>
        <v/>
      </c>
      <c r="AA1651" s="314" t="str" cm="1">
        <f t="array" aca="1" ref="AA1651" ca="1">IFERROR(_xlfn.IFS(OR(F1651="",LEFT(Methode_Keuze,4)="Geen",Methode_Keuze=""),"",AND(X1651&lt;&gt;"",F1651&lt;&gt;"Arbeidskosten"),X1651*VLOOKUP(F1651,Tb_ProjectKosten[],MATCH(Tb_ProjectKosten[[#Headers],[Forfait_Percentage]],Tb_ProjectKosten[#Headers],0),0),AND(F1651="Arbeidskosten",G1651&lt;&gt;""),IFERROR(X1651*VLOOKUP(G1651,Tb_KostenTypen[],3,0)*VLOOKUP(F1651,Tb_ProjectKosten[],MATCH(Tb_ProjectKosten[[#Headers],[Forfait_Percentage]],Tb_ProjectKosten[#Headers],0),0),""),X1651 &lt;=0,0),"")</f>
        <v/>
      </c>
      <c r="AB1651" s="314" t="str">
        <f t="shared" ca="1" si="103"/>
        <v/>
      </c>
      <c r="AC1651" s="322"/>
      <c r="AD1651" s="315"/>
      <c r="AE1651" s="32" t="str" cm="1">
        <f t="array" ref="AE1651">IFERROR(IF(INDEX(SubsidieTabel!$AD$1:$AG$12,MATCH($F1651,SubsidieTabel!$AD$1:$AD$12,0),IFERROR(MATCH(Methode_Keuze,SubsidieTabel!$AD$1:$AG$1,0),2))&lt;&gt;1=TRUE,"ja",""),"")</f>
        <v/>
      </c>
    </row>
    <row r="1652" spans="1:31" x14ac:dyDescent="0.25">
      <c r="A1652" s="316"/>
      <c r="B1652" s="317" t="str">
        <f>IF(A1652&lt;&gt;"",_xlfn.MAXIFS($B$1:B1651,$A$1:A1651,A1652)+1,"")</f>
        <v/>
      </c>
      <c r="C1652" s="296"/>
      <c r="D1652" s="296"/>
      <c r="E1652" s="296"/>
      <c r="F1652" s="296"/>
      <c r="G1652" s="326"/>
      <c r="H1652" s="324"/>
      <c r="I1652" s="325"/>
      <c r="J1652" s="325"/>
      <c r="K1652" s="318"/>
      <c r="L1652" s="318"/>
      <c r="M1652" s="319" t="str">
        <f>IFERROR(VLOOKUP(H1652,Lijsten!$H$1:$I$100,2,0),"")</f>
        <v/>
      </c>
      <c r="N1652" s="319" t="str">
        <f ca="1">IFERROR(IF(VLOOKUP(F1652,Kostentypen!$A$3:$E$21,3,0)=0,"",IF(OR(F1652="Arbeidskosten",F1652="Vergoeding"),VLOOKUP(G1652,Tb_KostenTypen[],2,0),VLOOKUP(F1652,Kostentypen!$A$3:$E$20,3,0))),"")</f>
        <v/>
      </c>
      <c r="O1652" s="320" t="str" cm="1">
        <f t="array" ref="O1652">_xlfn.IFNA(IF(INDEX(Tb_KostenOptiesDB[],MATCH($F1652,Tb_KostenOptiesDB[KostenOptie],0),IFERROR(MATCH(Methode_Keuze,Tb_KostenOptiesDB[#Headers],0),2))=1,_xlfn.SWITCH($N1652,"Uurtarief",IF(OR(AND(RIGHT($F1652,3)="IKS",VLOOKUP($M1652,DB_Loonkosten,2,0)="Ja"),AND(RIGHT($F1652,3)&lt;&gt;"IKS",VLOOKUP($M1652,DB_Loonkosten,2,0)="Nee")),IFERROR(VLOOKUP($M1652,DB_Loonkosten,24,0),""),0),"Vast tarief",IF(LEFT(F1652,8)="Bijdrage",VLOOKUP($F1652,Tb_KostenTypen[],MATCH(Lijsten!$P$1,Tb_KostenTypen[#Headers],0),0),VLOOKUP($G1652,Lijsten!L:P,MATCH(Lijsten!$P$1,Kop_Tarief_Vast,0),0))),""),"")</f>
        <v/>
      </c>
      <c r="P1652" s="320" t="str" cm="1">
        <f t="array" ref="P1652">_xlfn.IFNA(IF(INDEX(Tb_KostenOptiesDB[],MATCH($F1652,Tb_KostenOptiesDB[KostenOptie],0),IFERROR(MATCH(Methode_Keuze,Tb_KostenOptiesDB[#Headers],0),2))=1,_xlfn.SWITCH($N1652,"Uurtarief",IF(OR(AND(RIGHT($F1652,3)="IKS",VLOOKUP($M1652,DB_Loonkosten,2,0)="Ja"),AND(RIGHT($F1652,3)&lt;&gt;"IKS",VLOOKUP($M1652,DB_Loonkosten,2,0)="Nee")),IFERROR(VLOOKUP($M1652,DB_Loonkosten,25,0),""),0),"Vast tarief",IF(LEFT(F1652,8)="Bijdrage",VLOOKUP($F1652,Tb_KostenTypen[],MATCH(Lijsten!$P$1,Tb_KostenTypen[#Headers],0),0),VLOOKUP($G1652,Lijsten!L:P,MATCH(Lijsten!$P$1,Kop_Tarief_Vast,0),0))),""),"")</f>
        <v/>
      </c>
      <c r="Q1652" s="359"/>
      <c r="R1652" s="359"/>
      <c r="S1652" s="321"/>
      <c r="T1652" s="321"/>
      <c r="U1652" s="373" t="str">
        <f t="shared" si="100"/>
        <v/>
      </c>
      <c r="V1652" s="314" t="str">
        <f t="shared" si="101"/>
        <v/>
      </c>
      <c r="W1652" s="314" t="str" cm="1">
        <f t="array" aca="1" ref="W1652" ca="1">IFERROR(IF(AE1652&lt;&gt;"ja",_xlfn.IFNA(_xlfn.IFS(AND(O1652&lt;&gt;"",F1652&lt;&gt;"",RIGHT($N1652,6)="tarief",F1652="Vergoeding"),SUM(O1652)*FLOOR(SUM(Q1652),0.0001),AND(O1652&lt;&gt;"",F1652&lt;&gt;"",RIGHT($N1652,6)="tarief"),SUM(O1652)*FLOOR(SUM(Q1652),0.01),S1652&gt;0,IF(F1652&lt;&gt;"",FLOOR(SUM(S1652),0.01),"")),""),""),"")</f>
        <v/>
      </c>
      <c r="X1652" s="314" t="str" cm="1">
        <f t="array" aca="1" ref="X1652" ca="1">IFERROR(IF(AE1652&lt;&gt;"ja",_xlfn.IFNA(_xlfn.IFS(AND(P1652&lt;&gt;"",R1652&lt;&gt;"",RIGHT($N1652,6)="tarief",F1652="Vergoeding"),SUM(P1652)*FLOOR(SUM(R1652),0.0001),AND(P1652&lt;&gt;"",R1652&lt;&gt;"",RIGHT($N1652,6)="tarief"),P1652*FLOOR(R1652,0.01),T1652&gt;0,FLOOR(SUM(T1652),0.01)),""),""),"")</f>
        <v/>
      </c>
      <c r="Y1652" s="314" t="str">
        <f t="shared" ca="1" si="102"/>
        <v/>
      </c>
      <c r="Z1652" s="314" t="str" cm="1">
        <f t="array" aca="1" ref="Z1652" ca="1">IFERROR(_xlfn.IFS(OR(F1652="",LEFT(Methode_Keuze,4)="Geen",Methode_Keuze=""),"",AND(W1652&lt;&gt;"",F1652&lt;&gt;"Arbeidskosten"),W1652*VLOOKUP(F1652,Tb_ProjectKosten[],MATCH(Tb_ProjectKosten[[#Headers],[Forfait_Percentage]],Tb_ProjectKosten[#Headers],0),0),AND(F1652="Arbeidskosten",G1652&lt;&gt;""),IFERROR(W1652*VLOOKUP(G1652,Tb_KostenTypen[],3,0)*VLOOKUP(F1652,Tb_ProjectKosten[],MATCH(Tb_ProjectKosten[[#Headers],[Forfait_Percentage]],Tb_ProjectKosten[#Headers],0),0),""),W1652 &lt;=0,0),"")</f>
        <v/>
      </c>
      <c r="AA1652" s="314" t="str" cm="1">
        <f t="array" aca="1" ref="AA1652" ca="1">IFERROR(_xlfn.IFS(OR(F1652="",LEFT(Methode_Keuze,4)="Geen",Methode_Keuze=""),"",AND(X1652&lt;&gt;"",F1652&lt;&gt;"Arbeidskosten"),X1652*VLOOKUP(F1652,Tb_ProjectKosten[],MATCH(Tb_ProjectKosten[[#Headers],[Forfait_Percentage]],Tb_ProjectKosten[#Headers],0),0),AND(F1652="Arbeidskosten",G1652&lt;&gt;""),IFERROR(X1652*VLOOKUP(G1652,Tb_KostenTypen[],3,0)*VLOOKUP(F1652,Tb_ProjectKosten[],MATCH(Tb_ProjectKosten[[#Headers],[Forfait_Percentage]],Tb_ProjectKosten[#Headers],0),0),""),X1652 &lt;=0,0),"")</f>
        <v/>
      </c>
      <c r="AB1652" s="314" t="str">
        <f t="shared" ca="1" si="103"/>
        <v/>
      </c>
      <c r="AC1652" s="322"/>
      <c r="AD1652" s="315"/>
      <c r="AE1652" s="32" t="str" cm="1">
        <f t="array" ref="AE1652">IFERROR(IF(INDEX(SubsidieTabel!$AD$1:$AG$12,MATCH($F1652,SubsidieTabel!$AD$1:$AD$12,0),IFERROR(MATCH(Methode_Keuze,SubsidieTabel!$AD$1:$AG$1,0),2))&lt;&gt;1=TRUE,"ja",""),"")</f>
        <v/>
      </c>
    </row>
    <row r="1653" spans="1:31" x14ac:dyDescent="0.25">
      <c r="A1653" s="316"/>
      <c r="B1653" s="317" t="str">
        <f>IF(A1653&lt;&gt;"",_xlfn.MAXIFS($B$1:B1652,$A$1:A1652,A1653)+1,"")</f>
        <v/>
      </c>
      <c r="C1653" s="296"/>
      <c r="D1653" s="296"/>
      <c r="E1653" s="296"/>
      <c r="F1653" s="296"/>
      <c r="G1653" s="326"/>
      <c r="H1653" s="324"/>
      <c r="I1653" s="325"/>
      <c r="J1653" s="325"/>
      <c r="K1653" s="318"/>
      <c r="L1653" s="318"/>
      <c r="M1653" s="319" t="str">
        <f>IFERROR(VLOOKUP(H1653,Lijsten!$H$1:$I$100,2,0),"")</f>
        <v/>
      </c>
      <c r="N1653" s="319" t="str">
        <f ca="1">IFERROR(IF(VLOOKUP(F1653,Kostentypen!$A$3:$E$21,3,0)=0,"",IF(OR(F1653="Arbeidskosten",F1653="Vergoeding"),VLOOKUP(G1653,Tb_KostenTypen[],2,0),VLOOKUP(F1653,Kostentypen!$A$3:$E$20,3,0))),"")</f>
        <v/>
      </c>
      <c r="O1653" s="320" t="str" cm="1">
        <f t="array" ref="O1653">_xlfn.IFNA(IF(INDEX(Tb_KostenOptiesDB[],MATCH($F1653,Tb_KostenOptiesDB[KostenOptie],0),IFERROR(MATCH(Methode_Keuze,Tb_KostenOptiesDB[#Headers],0),2))=1,_xlfn.SWITCH($N1653,"Uurtarief",IF(OR(AND(RIGHT($F1653,3)="IKS",VLOOKUP($M1653,DB_Loonkosten,2,0)="Ja"),AND(RIGHT($F1653,3)&lt;&gt;"IKS",VLOOKUP($M1653,DB_Loonkosten,2,0)="Nee")),IFERROR(VLOOKUP($M1653,DB_Loonkosten,24,0),""),0),"Vast tarief",IF(LEFT(F1653,8)="Bijdrage",VLOOKUP($F1653,Tb_KostenTypen[],MATCH(Lijsten!$P$1,Tb_KostenTypen[#Headers],0),0),VLOOKUP($G1653,Lijsten!L:P,MATCH(Lijsten!$P$1,Kop_Tarief_Vast,0),0))),""),"")</f>
        <v/>
      </c>
      <c r="P1653" s="320" t="str" cm="1">
        <f t="array" ref="P1653">_xlfn.IFNA(IF(INDEX(Tb_KostenOptiesDB[],MATCH($F1653,Tb_KostenOptiesDB[KostenOptie],0),IFERROR(MATCH(Methode_Keuze,Tb_KostenOptiesDB[#Headers],0),2))=1,_xlfn.SWITCH($N1653,"Uurtarief",IF(OR(AND(RIGHT($F1653,3)="IKS",VLOOKUP($M1653,DB_Loonkosten,2,0)="Ja"),AND(RIGHT($F1653,3)&lt;&gt;"IKS",VLOOKUP($M1653,DB_Loonkosten,2,0)="Nee")),IFERROR(VLOOKUP($M1653,DB_Loonkosten,25,0),""),0),"Vast tarief",IF(LEFT(F1653,8)="Bijdrage",VLOOKUP($F1653,Tb_KostenTypen[],MATCH(Lijsten!$P$1,Tb_KostenTypen[#Headers],0),0),VLOOKUP($G1653,Lijsten!L:P,MATCH(Lijsten!$P$1,Kop_Tarief_Vast,0),0))),""),"")</f>
        <v/>
      </c>
      <c r="Q1653" s="359"/>
      <c r="R1653" s="359"/>
      <c r="S1653" s="321"/>
      <c r="T1653" s="321"/>
      <c r="U1653" s="373" t="str">
        <f t="shared" si="100"/>
        <v/>
      </c>
      <c r="V1653" s="314" t="str">
        <f t="shared" si="101"/>
        <v/>
      </c>
      <c r="W1653" s="314" t="str" cm="1">
        <f t="array" aca="1" ref="W1653" ca="1">IFERROR(IF(AE1653&lt;&gt;"ja",_xlfn.IFNA(_xlfn.IFS(AND(O1653&lt;&gt;"",F1653&lt;&gt;"",RIGHT($N1653,6)="tarief",F1653="Vergoeding"),SUM(O1653)*FLOOR(SUM(Q1653),0.0001),AND(O1653&lt;&gt;"",F1653&lt;&gt;"",RIGHT($N1653,6)="tarief"),SUM(O1653)*FLOOR(SUM(Q1653),0.01),S1653&gt;0,IF(F1653&lt;&gt;"",FLOOR(SUM(S1653),0.01),"")),""),""),"")</f>
        <v/>
      </c>
      <c r="X1653" s="314" t="str" cm="1">
        <f t="array" aca="1" ref="X1653" ca="1">IFERROR(IF(AE1653&lt;&gt;"ja",_xlfn.IFNA(_xlfn.IFS(AND(P1653&lt;&gt;"",R1653&lt;&gt;"",RIGHT($N1653,6)="tarief",F1653="Vergoeding"),SUM(P1653)*FLOOR(SUM(R1653),0.0001),AND(P1653&lt;&gt;"",R1653&lt;&gt;"",RIGHT($N1653,6)="tarief"),P1653*FLOOR(R1653,0.01),T1653&gt;0,FLOOR(SUM(T1653),0.01)),""),""),"")</f>
        <v/>
      </c>
      <c r="Y1653" s="314" t="str">
        <f t="shared" ca="1" si="102"/>
        <v/>
      </c>
      <c r="Z1653" s="314" t="str" cm="1">
        <f t="array" aca="1" ref="Z1653" ca="1">IFERROR(_xlfn.IFS(OR(F1653="",LEFT(Methode_Keuze,4)="Geen",Methode_Keuze=""),"",AND(W1653&lt;&gt;"",F1653&lt;&gt;"Arbeidskosten"),W1653*VLOOKUP(F1653,Tb_ProjectKosten[],MATCH(Tb_ProjectKosten[[#Headers],[Forfait_Percentage]],Tb_ProjectKosten[#Headers],0),0),AND(F1653="Arbeidskosten",G1653&lt;&gt;""),IFERROR(W1653*VLOOKUP(G1653,Tb_KostenTypen[],3,0)*VLOOKUP(F1653,Tb_ProjectKosten[],MATCH(Tb_ProjectKosten[[#Headers],[Forfait_Percentage]],Tb_ProjectKosten[#Headers],0),0),""),W1653 &lt;=0,0),"")</f>
        <v/>
      </c>
      <c r="AA1653" s="314" t="str" cm="1">
        <f t="array" aca="1" ref="AA1653" ca="1">IFERROR(_xlfn.IFS(OR(F1653="",LEFT(Methode_Keuze,4)="Geen",Methode_Keuze=""),"",AND(X1653&lt;&gt;"",F1653&lt;&gt;"Arbeidskosten"),X1653*VLOOKUP(F1653,Tb_ProjectKosten[],MATCH(Tb_ProjectKosten[[#Headers],[Forfait_Percentage]],Tb_ProjectKosten[#Headers],0),0),AND(F1653="Arbeidskosten",G1653&lt;&gt;""),IFERROR(X1653*VLOOKUP(G1653,Tb_KostenTypen[],3,0)*VLOOKUP(F1653,Tb_ProjectKosten[],MATCH(Tb_ProjectKosten[[#Headers],[Forfait_Percentage]],Tb_ProjectKosten[#Headers],0),0),""),X1653 &lt;=0,0),"")</f>
        <v/>
      </c>
      <c r="AB1653" s="314" t="str">
        <f t="shared" ca="1" si="103"/>
        <v/>
      </c>
      <c r="AC1653" s="322"/>
      <c r="AD1653" s="315"/>
      <c r="AE1653" s="32" t="str" cm="1">
        <f t="array" ref="AE1653">IFERROR(IF(INDEX(SubsidieTabel!$AD$1:$AG$12,MATCH($F1653,SubsidieTabel!$AD$1:$AD$12,0),IFERROR(MATCH(Methode_Keuze,SubsidieTabel!$AD$1:$AG$1,0),2))&lt;&gt;1=TRUE,"ja",""),"")</f>
        <v/>
      </c>
    </row>
    <row r="1654" spans="1:31" x14ac:dyDescent="0.25">
      <c r="A1654" s="316"/>
      <c r="B1654" s="317" t="str">
        <f>IF(A1654&lt;&gt;"",_xlfn.MAXIFS($B$1:B1653,$A$1:A1653,A1654)+1,"")</f>
        <v/>
      </c>
      <c r="C1654" s="296"/>
      <c r="D1654" s="296"/>
      <c r="E1654" s="296"/>
      <c r="F1654" s="296"/>
      <c r="G1654" s="326"/>
      <c r="H1654" s="324"/>
      <c r="I1654" s="325"/>
      <c r="J1654" s="325"/>
      <c r="K1654" s="318"/>
      <c r="L1654" s="318"/>
      <c r="M1654" s="319" t="str">
        <f>IFERROR(VLOOKUP(H1654,Lijsten!$H$1:$I$100,2,0),"")</f>
        <v/>
      </c>
      <c r="N1654" s="319" t="str">
        <f ca="1">IFERROR(IF(VLOOKUP(F1654,Kostentypen!$A$3:$E$21,3,0)=0,"",IF(OR(F1654="Arbeidskosten",F1654="Vergoeding"),VLOOKUP(G1654,Tb_KostenTypen[],2,0),VLOOKUP(F1654,Kostentypen!$A$3:$E$20,3,0))),"")</f>
        <v/>
      </c>
      <c r="O1654" s="320" t="str" cm="1">
        <f t="array" ref="O1654">_xlfn.IFNA(IF(INDEX(Tb_KostenOptiesDB[],MATCH($F1654,Tb_KostenOptiesDB[KostenOptie],0),IFERROR(MATCH(Methode_Keuze,Tb_KostenOptiesDB[#Headers],0),2))=1,_xlfn.SWITCH($N1654,"Uurtarief",IF(OR(AND(RIGHT($F1654,3)="IKS",VLOOKUP($M1654,DB_Loonkosten,2,0)="Ja"),AND(RIGHT($F1654,3)&lt;&gt;"IKS",VLOOKUP($M1654,DB_Loonkosten,2,0)="Nee")),IFERROR(VLOOKUP($M1654,DB_Loonkosten,24,0),""),0),"Vast tarief",IF(LEFT(F1654,8)="Bijdrage",VLOOKUP($F1654,Tb_KostenTypen[],MATCH(Lijsten!$P$1,Tb_KostenTypen[#Headers],0),0),VLOOKUP($G1654,Lijsten!L:P,MATCH(Lijsten!$P$1,Kop_Tarief_Vast,0),0))),""),"")</f>
        <v/>
      </c>
      <c r="P1654" s="320" t="str" cm="1">
        <f t="array" ref="P1654">_xlfn.IFNA(IF(INDEX(Tb_KostenOptiesDB[],MATCH($F1654,Tb_KostenOptiesDB[KostenOptie],0),IFERROR(MATCH(Methode_Keuze,Tb_KostenOptiesDB[#Headers],0),2))=1,_xlfn.SWITCH($N1654,"Uurtarief",IF(OR(AND(RIGHT($F1654,3)="IKS",VLOOKUP($M1654,DB_Loonkosten,2,0)="Ja"),AND(RIGHT($F1654,3)&lt;&gt;"IKS",VLOOKUP($M1654,DB_Loonkosten,2,0)="Nee")),IFERROR(VLOOKUP($M1654,DB_Loonkosten,25,0),""),0),"Vast tarief",IF(LEFT(F1654,8)="Bijdrage",VLOOKUP($F1654,Tb_KostenTypen[],MATCH(Lijsten!$P$1,Tb_KostenTypen[#Headers],0),0),VLOOKUP($G1654,Lijsten!L:P,MATCH(Lijsten!$P$1,Kop_Tarief_Vast,0),0))),""),"")</f>
        <v/>
      </c>
      <c r="Q1654" s="359"/>
      <c r="R1654" s="359"/>
      <c r="S1654" s="321"/>
      <c r="T1654" s="321"/>
      <c r="U1654" s="373" t="str">
        <f t="shared" si="100"/>
        <v/>
      </c>
      <c r="V1654" s="314" t="str">
        <f t="shared" si="101"/>
        <v/>
      </c>
      <c r="W1654" s="314" t="str" cm="1">
        <f t="array" aca="1" ref="W1654" ca="1">IFERROR(IF(AE1654&lt;&gt;"ja",_xlfn.IFNA(_xlfn.IFS(AND(O1654&lt;&gt;"",F1654&lt;&gt;"",RIGHT($N1654,6)="tarief",F1654="Vergoeding"),SUM(O1654)*FLOOR(SUM(Q1654),0.0001),AND(O1654&lt;&gt;"",F1654&lt;&gt;"",RIGHT($N1654,6)="tarief"),SUM(O1654)*FLOOR(SUM(Q1654),0.01),S1654&gt;0,IF(F1654&lt;&gt;"",FLOOR(SUM(S1654),0.01),"")),""),""),"")</f>
        <v/>
      </c>
      <c r="X1654" s="314" t="str" cm="1">
        <f t="array" aca="1" ref="X1654" ca="1">IFERROR(IF(AE1654&lt;&gt;"ja",_xlfn.IFNA(_xlfn.IFS(AND(P1654&lt;&gt;"",R1654&lt;&gt;"",RIGHT($N1654,6)="tarief",F1654="Vergoeding"),SUM(P1654)*FLOOR(SUM(R1654),0.0001),AND(P1654&lt;&gt;"",R1654&lt;&gt;"",RIGHT($N1654,6)="tarief"),P1654*FLOOR(R1654,0.01),T1654&gt;0,FLOOR(SUM(T1654),0.01)),""),""),"")</f>
        <v/>
      </c>
      <c r="Y1654" s="314" t="str">
        <f t="shared" ca="1" si="102"/>
        <v/>
      </c>
      <c r="Z1654" s="314" t="str" cm="1">
        <f t="array" aca="1" ref="Z1654" ca="1">IFERROR(_xlfn.IFS(OR(F1654="",LEFT(Methode_Keuze,4)="Geen",Methode_Keuze=""),"",AND(W1654&lt;&gt;"",F1654&lt;&gt;"Arbeidskosten"),W1654*VLOOKUP(F1654,Tb_ProjectKosten[],MATCH(Tb_ProjectKosten[[#Headers],[Forfait_Percentage]],Tb_ProjectKosten[#Headers],0),0),AND(F1654="Arbeidskosten",G1654&lt;&gt;""),IFERROR(W1654*VLOOKUP(G1654,Tb_KostenTypen[],3,0)*VLOOKUP(F1654,Tb_ProjectKosten[],MATCH(Tb_ProjectKosten[[#Headers],[Forfait_Percentage]],Tb_ProjectKosten[#Headers],0),0),""),W1654 &lt;=0,0),"")</f>
        <v/>
      </c>
      <c r="AA1654" s="314" t="str" cm="1">
        <f t="array" aca="1" ref="AA1654" ca="1">IFERROR(_xlfn.IFS(OR(F1654="",LEFT(Methode_Keuze,4)="Geen",Methode_Keuze=""),"",AND(X1654&lt;&gt;"",F1654&lt;&gt;"Arbeidskosten"),X1654*VLOOKUP(F1654,Tb_ProjectKosten[],MATCH(Tb_ProjectKosten[[#Headers],[Forfait_Percentage]],Tb_ProjectKosten[#Headers],0),0),AND(F1654="Arbeidskosten",G1654&lt;&gt;""),IFERROR(X1654*VLOOKUP(G1654,Tb_KostenTypen[],3,0)*VLOOKUP(F1654,Tb_ProjectKosten[],MATCH(Tb_ProjectKosten[[#Headers],[Forfait_Percentage]],Tb_ProjectKosten[#Headers],0),0),""),X1654 &lt;=0,0),"")</f>
        <v/>
      </c>
      <c r="AB1654" s="314" t="str">
        <f t="shared" ca="1" si="103"/>
        <v/>
      </c>
      <c r="AC1654" s="322"/>
      <c r="AD1654" s="315"/>
      <c r="AE1654" s="32" t="str" cm="1">
        <f t="array" ref="AE1654">IFERROR(IF(INDEX(SubsidieTabel!$AD$1:$AG$12,MATCH($F1654,SubsidieTabel!$AD$1:$AD$12,0),IFERROR(MATCH(Methode_Keuze,SubsidieTabel!$AD$1:$AG$1,0),2))&lt;&gt;1=TRUE,"ja",""),"")</f>
        <v/>
      </c>
    </row>
    <row r="1655" spans="1:31" x14ac:dyDescent="0.25">
      <c r="A1655" s="316"/>
      <c r="B1655" s="317" t="str">
        <f>IF(A1655&lt;&gt;"",_xlfn.MAXIFS($B$1:B1654,$A$1:A1654,A1655)+1,"")</f>
        <v/>
      </c>
      <c r="C1655" s="296"/>
      <c r="D1655" s="296"/>
      <c r="E1655" s="296"/>
      <c r="F1655" s="296"/>
      <c r="G1655" s="326"/>
      <c r="H1655" s="324"/>
      <c r="I1655" s="325"/>
      <c r="J1655" s="325"/>
      <c r="K1655" s="318"/>
      <c r="L1655" s="318"/>
      <c r="M1655" s="319" t="str">
        <f>IFERROR(VLOOKUP(H1655,Lijsten!$H$1:$I$100,2,0),"")</f>
        <v/>
      </c>
      <c r="N1655" s="319" t="str">
        <f ca="1">IFERROR(IF(VLOOKUP(F1655,Kostentypen!$A$3:$E$21,3,0)=0,"",IF(OR(F1655="Arbeidskosten",F1655="Vergoeding"),VLOOKUP(G1655,Tb_KostenTypen[],2,0),VLOOKUP(F1655,Kostentypen!$A$3:$E$20,3,0))),"")</f>
        <v/>
      </c>
      <c r="O1655" s="320" t="str" cm="1">
        <f t="array" ref="O1655">_xlfn.IFNA(IF(INDEX(Tb_KostenOptiesDB[],MATCH($F1655,Tb_KostenOptiesDB[KostenOptie],0),IFERROR(MATCH(Methode_Keuze,Tb_KostenOptiesDB[#Headers],0),2))=1,_xlfn.SWITCH($N1655,"Uurtarief",IF(OR(AND(RIGHT($F1655,3)="IKS",VLOOKUP($M1655,DB_Loonkosten,2,0)="Ja"),AND(RIGHT($F1655,3)&lt;&gt;"IKS",VLOOKUP($M1655,DB_Loonkosten,2,0)="Nee")),IFERROR(VLOOKUP($M1655,DB_Loonkosten,24,0),""),0),"Vast tarief",IF(LEFT(F1655,8)="Bijdrage",VLOOKUP($F1655,Tb_KostenTypen[],MATCH(Lijsten!$P$1,Tb_KostenTypen[#Headers],0),0),VLOOKUP($G1655,Lijsten!L:P,MATCH(Lijsten!$P$1,Kop_Tarief_Vast,0),0))),""),"")</f>
        <v/>
      </c>
      <c r="P1655" s="320" t="str" cm="1">
        <f t="array" ref="P1655">_xlfn.IFNA(IF(INDEX(Tb_KostenOptiesDB[],MATCH($F1655,Tb_KostenOptiesDB[KostenOptie],0),IFERROR(MATCH(Methode_Keuze,Tb_KostenOptiesDB[#Headers],0),2))=1,_xlfn.SWITCH($N1655,"Uurtarief",IF(OR(AND(RIGHT($F1655,3)="IKS",VLOOKUP($M1655,DB_Loonkosten,2,0)="Ja"),AND(RIGHT($F1655,3)&lt;&gt;"IKS",VLOOKUP($M1655,DB_Loonkosten,2,0)="Nee")),IFERROR(VLOOKUP($M1655,DB_Loonkosten,25,0),""),0),"Vast tarief",IF(LEFT(F1655,8)="Bijdrage",VLOOKUP($F1655,Tb_KostenTypen[],MATCH(Lijsten!$P$1,Tb_KostenTypen[#Headers],0),0),VLOOKUP($G1655,Lijsten!L:P,MATCH(Lijsten!$P$1,Kop_Tarief_Vast,0),0))),""),"")</f>
        <v/>
      </c>
      <c r="Q1655" s="359"/>
      <c r="R1655" s="359"/>
      <c r="S1655" s="321"/>
      <c r="T1655" s="321"/>
      <c r="U1655" s="373" t="str">
        <f t="shared" si="100"/>
        <v/>
      </c>
      <c r="V1655" s="314" t="str">
        <f t="shared" si="101"/>
        <v/>
      </c>
      <c r="W1655" s="314" t="str" cm="1">
        <f t="array" aca="1" ref="W1655" ca="1">IFERROR(IF(AE1655&lt;&gt;"ja",_xlfn.IFNA(_xlfn.IFS(AND(O1655&lt;&gt;"",F1655&lt;&gt;"",RIGHT($N1655,6)="tarief",F1655="Vergoeding"),SUM(O1655)*FLOOR(SUM(Q1655),0.0001),AND(O1655&lt;&gt;"",F1655&lt;&gt;"",RIGHT($N1655,6)="tarief"),SUM(O1655)*FLOOR(SUM(Q1655),0.01),S1655&gt;0,IF(F1655&lt;&gt;"",FLOOR(SUM(S1655),0.01),"")),""),""),"")</f>
        <v/>
      </c>
      <c r="X1655" s="314" t="str" cm="1">
        <f t="array" aca="1" ref="X1655" ca="1">IFERROR(IF(AE1655&lt;&gt;"ja",_xlfn.IFNA(_xlfn.IFS(AND(P1655&lt;&gt;"",R1655&lt;&gt;"",RIGHT($N1655,6)="tarief",F1655="Vergoeding"),SUM(P1655)*FLOOR(SUM(R1655),0.0001),AND(P1655&lt;&gt;"",R1655&lt;&gt;"",RIGHT($N1655,6)="tarief"),P1655*FLOOR(R1655,0.01),T1655&gt;0,FLOOR(SUM(T1655),0.01)),""),""),"")</f>
        <v/>
      </c>
      <c r="Y1655" s="314" t="str">
        <f t="shared" ca="1" si="102"/>
        <v/>
      </c>
      <c r="Z1655" s="314" t="str" cm="1">
        <f t="array" aca="1" ref="Z1655" ca="1">IFERROR(_xlfn.IFS(OR(F1655="",LEFT(Methode_Keuze,4)="Geen",Methode_Keuze=""),"",AND(W1655&lt;&gt;"",F1655&lt;&gt;"Arbeidskosten"),W1655*VLOOKUP(F1655,Tb_ProjectKosten[],MATCH(Tb_ProjectKosten[[#Headers],[Forfait_Percentage]],Tb_ProjectKosten[#Headers],0),0),AND(F1655="Arbeidskosten",G1655&lt;&gt;""),IFERROR(W1655*VLOOKUP(G1655,Tb_KostenTypen[],3,0)*VLOOKUP(F1655,Tb_ProjectKosten[],MATCH(Tb_ProjectKosten[[#Headers],[Forfait_Percentage]],Tb_ProjectKosten[#Headers],0),0),""),W1655 &lt;=0,0),"")</f>
        <v/>
      </c>
      <c r="AA1655" s="314" t="str" cm="1">
        <f t="array" aca="1" ref="AA1655" ca="1">IFERROR(_xlfn.IFS(OR(F1655="",LEFT(Methode_Keuze,4)="Geen",Methode_Keuze=""),"",AND(X1655&lt;&gt;"",F1655&lt;&gt;"Arbeidskosten"),X1655*VLOOKUP(F1655,Tb_ProjectKosten[],MATCH(Tb_ProjectKosten[[#Headers],[Forfait_Percentage]],Tb_ProjectKosten[#Headers],0),0),AND(F1655="Arbeidskosten",G1655&lt;&gt;""),IFERROR(X1655*VLOOKUP(G1655,Tb_KostenTypen[],3,0)*VLOOKUP(F1655,Tb_ProjectKosten[],MATCH(Tb_ProjectKosten[[#Headers],[Forfait_Percentage]],Tb_ProjectKosten[#Headers],0),0),""),X1655 &lt;=0,0),"")</f>
        <v/>
      </c>
      <c r="AB1655" s="314" t="str">
        <f t="shared" ca="1" si="103"/>
        <v/>
      </c>
      <c r="AC1655" s="322"/>
      <c r="AD1655" s="315"/>
      <c r="AE1655" s="32" t="str" cm="1">
        <f t="array" ref="AE1655">IFERROR(IF(INDEX(SubsidieTabel!$AD$1:$AG$12,MATCH($F1655,SubsidieTabel!$AD$1:$AD$12,0),IFERROR(MATCH(Methode_Keuze,SubsidieTabel!$AD$1:$AG$1,0),2))&lt;&gt;1=TRUE,"ja",""),"")</f>
        <v/>
      </c>
    </row>
    <row r="1656" spans="1:31" x14ac:dyDescent="0.25">
      <c r="A1656" s="316"/>
      <c r="B1656" s="317" t="str">
        <f>IF(A1656&lt;&gt;"",_xlfn.MAXIFS($B$1:B1655,$A$1:A1655,A1656)+1,"")</f>
        <v/>
      </c>
      <c r="C1656" s="296"/>
      <c r="D1656" s="296"/>
      <c r="E1656" s="296"/>
      <c r="F1656" s="296"/>
      <c r="G1656" s="326"/>
      <c r="H1656" s="324"/>
      <c r="I1656" s="325"/>
      <c r="J1656" s="325"/>
      <c r="K1656" s="318"/>
      <c r="L1656" s="318"/>
      <c r="M1656" s="319" t="str">
        <f>IFERROR(VLOOKUP(H1656,Lijsten!$H$1:$I$100,2,0),"")</f>
        <v/>
      </c>
      <c r="N1656" s="319" t="str">
        <f ca="1">IFERROR(IF(VLOOKUP(F1656,Kostentypen!$A$3:$E$21,3,0)=0,"",IF(OR(F1656="Arbeidskosten",F1656="Vergoeding"),VLOOKUP(G1656,Tb_KostenTypen[],2,0),VLOOKUP(F1656,Kostentypen!$A$3:$E$20,3,0))),"")</f>
        <v/>
      </c>
      <c r="O1656" s="320" t="str" cm="1">
        <f t="array" ref="O1656">_xlfn.IFNA(IF(INDEX(Tb_KostenOptiesDB[],MATCH($F1656,Tb_KostenOptiesDB[KostenOptie],0),IFERROR(MATCH(Methode_Keuze,Tb_KostenOptiesDB[#Headers],0),2))=1,_xlfn.SWITCH($N1656,"Uurtarief",IF(OR(AND(RIGHT($F1656,3)="IKS",VLOOKUP($M1656,DB_Loonkosten,2,0)="Ja"),AND(RIGHT($F1656,3)&lt;&gt;"IKS",VLOOKUP($M1656,DB_Loonkosten,2,0)="Nee")),IFERROR(VLOOKUP($M1656,DB_Loonkosten,24,0),""),0),"Vast tarief",IF(LEFT(F1656,8)="Bijdrage",VLOOKUP($F1656,Tb_KostenTypen[],MATCH(Lijsten!$P$1,Tb_KostenTypen[#Headers],0),0),VLOOKUP($G1656,Lijsten!L:P,MATCH(Lijsten!$P$1,Kop_Tarief_Vast,0),0))),""),"")</f>
        <v/>
      </c>
      <c r="P1656" s="320" t="str" cm="1">
        <f t="array" ref="P1656">_xlfn.IFNA(IF(INDEX(Tb_KostenOptiesDB[],MATCH($F1656,Tb_KostenOptiesDB[KostenOptie],0),IFERROR(MATCH(Methode_Keuze,Tb_KostenOptiesDB[#Headers],0),2))=1,_xlfn.SWITCH($N1656,"Uurtarief",IF(OR(AND(RIGHT($F1656,3)="IKS",VLOOKUP($M1656,DB_Loonkosten,2,0)="Ja"),AND(RIGHT($F1656,3)&lt;&gt;"IKS",VLOOKUP($M1656,DB_Loonkosten,2,0)="Nee")),IFERROR(VLOOKUP($M1656,DB_Loonkosten,25,0),""),0),"Vast tarief",IF(LEFT(F1656,8)="Bijdrage",VLOOKUP($F1656,Tb_KostenTypen[],MATCH(Lijsten!$P$1,Tb_KostenTypen[#Headers],0),0),VLOOKUP($G1656,Lijsten!L:P,MATCH(Lijsten!$P$1,Kop_Tarief_Vast,0),0))),""),"")</f>
        <v/>
      </c>
      <c r="Q1656" s="359"/>
      <c r="R1656" s="359"/>
      <c r="S1656" s="321"/>
      <c r="T1656" s="321"/>
      <c r="U1656" s="373" t="str">
        <f t="shared" si="100"/>
        <v/>
      </c>
      <c r="V1656" s="314" t="str">
        <f t="shared" si="101"/>
        <v/>
      </c>
      <c r="W1656" s="314" t="str" cm="1">
        <f t="array" aca="1" ref="W1656" ca="1">IFERROR(IF(AE1656&lt;&gt;"ja",_xlfn.IFNA(_xlfn.IFS(AND(O1656&lt;&gt;"",F1656&lt;&gt;"",RIGHT($N1656,6)="tarief",F1656="Vergoeding"),SUM(O1656)*FLOOR(SUM(Q1656),0.0001),AND(O1656&lt;&gt;"",F1656&lt;&gt;"",RIGHT($N1656,6)="tarief"),SUM(O1656)*FLOOR(SUM(Q1656),0.01),S1656&gt;0,IF(F1656&lt;&gt;"",FLOOR(SUM(S1656),0.01),"")),""),""),"")</f>
        <v/>
      </c>
      <c r="X1656" s="314" t="str" cm="1">
        <f t="array" aca="1" ref="X1656" ca="1">IFERROR(IF(AE1656&lt;&gt;"ja",_xlfn.IFNA(_xlfn.IFS(AND(P1656&lt;&gt;"",R1656&lt;&gt;"",RIGHT($N1656,6)="tarief",F1656="Vergoeding"),SUM(P1656)*FLOOR(SUM(R1656),0.0001),AND(P1656&lt;&gt;"",R1656&lt;&gt;"",RIGHT($N1656,6)="tarief"),P1656*FLOOR(R1656,0.01),T1656&gt;0,FLOOR(SUM(T1656),0.01)),""),""),"")</f>
        <v/>
      </c>
      <c r="Y1656" s="314" t="str">
        <f t="shared" ca="1" si="102"/>
        <v/>
      </c>
      <c r="Z1656" s="314" t="str" cm="1">
        <f t="array" aca="1" ref="Z1656" ca="1">IFERROR(_xlfn.IFS(OR(F1656="",LEFT(Methode_Keuze,4)="Geen",Methode_Keuze=""),"",AND(W1656&lt;&gt;"",F1656&lt;&gt;"Arbeidskosten"),W1656*VLOOKUP(F1656,Tb_ProjectKosten[],MATCH(Tb_ProjectKosten[[#Headers],[Forfait_Percentage]],Tb_ProjectKosten[#Headers],0),0),AND(F1656="Arbeidskosten",G1656&lt;&gt;""),IFERROR(W1656*VLOOKUP(G1656,Tb_KostenTypen[],3,0)*VLOOKUP(F1656,Tb_ProjectKosten[],MATCH(Tb_ProjectKosten[[#Headers],[Forfait_Percentage]],Tb_ProjectKosten[#Headers],0),0),""),W1656 &lt;=0,0),"")</f>
        <v/>
      </c>
      <c r="AA1656" s="314" t="str" cm="1">
        <f t="array" aca="1" ref="AA1656" ca="1">IFERROR(_xlfn.IFS(OR(F1656="",LEFT(Methode_Keuze,4)="Geen",Methode_Keuze=""),"",AND(X1656&lt;&gt;"",F1656&lt;&gt;"Arbeidskosten"),X1656*VLOOKUP(F1656,Tb_ProjectKosten[],MATCH(Tb_ProjectKosten[[#Headers],[Forfait_Percentage]],Tb_ProjectKosten[#Headers],0),0),AND(F1656="Arbeidskosten",G1656&lt;&gt;""),IFERROR(X1656*VLOOKUP(G1656,Tb_KostenTypen[],3,0)*VLOOKUP(F1656,Tb_ProjectKosten[],MATCH(Tb_ProjectKosten[[#Headers],[Forfait_Percentage]],Tb_ProjectKosten[#Headers],0),0),""),X1656 &lt;=0,0),"")</f>
        <v/>
      </c>
      <c r="AB1656" s="314" t="str">
        <f t="shared" ca="1" si="103"/>
        <v/>
      </c>
      <c r="AC1656" s="322"/>
      <c r="AD1656" s="315"/>
      <c r="AE1656" s="32" t="str" cm="1">
        <f t="array" ref="AE1656">IFERROR(IF(INDEX(SubsidieTabel!$AD$1:$AG$12,MATCH($F1656,SubsidieTabel!$AD$1:$AD$12,0),IFERROR(MATCH(Methode_Keuze,SubsidieTabel!$AD$1:$AG$1,0),2))&lt;&gt;1=TRUE,"ja",""),"")</f>
        <v/>
      </c>
    </row>
    <row r="1657" spans="1:31" x14ac:dyDescent="0.25">
      <c r="A1657" s="316"/>
      <c r="B1657" s="317" t="str">
        <f>IF(A1657&lt;&gt;"",_xlfn.MAXIFS($B$1:B1656,$A$1:A1656,A1657)+1,"")</f>
        <v/>
      </c>
      <c r="C1657" s="296"/>
      <c r="D1657" s="296"/>
      <c r="E1657" s="296"/>
      <c r="F1657" s="296"/>
      <c r="G1657" s="326"/>
      <c r="H1657" s="324"/>
      <c r="I1657" s="325"/>
      <c r="J1657" s="325"/>
      <c r="K1657" s="318"/>
      <c r="L1657" s="318"/>
      <c r="M1657" s="319" t="str">
        <f>IFERROR(VLOOKUP(H1657,Lijsten!$H$1:$I$100,2,0),"")</f>
        <v/>
      </c>
      <c r="N1657" s="319" t="str">
        <f ca="1">IFERROR(IF(VLOOKUP(F1657,Kostentypen!$A$3:$E$21,3,0)=0,"",IF(OR(F1657="Arbeidskosten",F1657="Vergoeding"),VLOOKUP(G1657,Tb_KostenTypen[],2,0),VLOOKUP(F1657,Kostentypen!$A$3:$E$20,3,0))),"")</f>
        <v/>
      </c>
      <c r="O1657" s="320" t="str" cm="1">
        <f t="array" ref="O1657">_xlfn.IFNA(IF(INDEX(Tb_KostenOptiesDB[],MATCH($F1657,Tb_KostenOptiesDB[KostenOptie],0),IFERROR(MATCH(Methode_Keuze,Tb_KostenOptiesDB[#Headers],0),2))=1,_xlfn.SWITCH($N1657,"Uurtarief",IF(OR(AND(RIGHT($F1657,3)="IKS",VLOOKUP($M1657,DB_Loonkosten,2,0)="Ja"),AND(RIGHT($F1657,3)&lt;&gt;"IKS",VLOOKUP($M1657,DB_Loonkosten,2,0)="Nee")),IFERROR(VLOOKUP($M1657,DB_Loonkosten,24,0),""),0),"Vast tarief",IF(LEFT(F1657,8)="Bijdrage",VLOOKUP($F1657,Tb_KostenTypen[],MATCH(Lijsten!$P$1,Tb_KostenTypen[#Headers],0),0),VLOOKUP($G1657,Lijsten!L:P,MATCH(Lijsten!$P$1,Kop_Tarief_Vast,0),0))),""),"")</f>
        <v/>
      </c>
      <c r="P1657" s="320" t="str" cm="1">
        <f t="array" ref="P1657">_xlfn.IFNA(IF(INDEX(Tb_KostenOptiesDB[],MATCH($F1657,Tb_KostenOptiesDB[KostenOptie],0),IFERROR(MATCH(Methode_Keuze,Tb_KostenOptiesDB[#Headers],0),2))=1,_xlfn.SWITCH($N1657,"Uurtarief",IF(OR(AND(RIGHT($F1657,3)="IKS",VLOOKUP($M1657,DB_Loonkosten,2,0)="Ja"),AND(RIGHT($F1657,3)&lt;&gt;"IKS",VLOOKUP($M1657,DB_Loonkosten,2,0)="Nee")),IFERROR(VLOOKUP($M1657,DB_Loonkosten,25,0),""),0),"Vast tarief",IF(LEFT(F1657,8)="Bijdrage",VLOOKUP($F1657,Tb_KostenTypen[],MATCH(Lijsten!$P$1,Tb_KostenTypen[#Headers],0),0),VLOOKUP($G1657,Lijsten!L:P,MATCH(Lijsten!$P$1,Kop_Tarief_Vast,0),0))),""),"")</f>
        <v/>
      </c>
      <c r="Q1657" s="359"/>
      <c r="R1657" s="359"/>
      <c r="S1657" s="321"/>
      <c r="T1657" s="321"/>
      <c r="U1657" s="373" t="str">
        <f t="shared" si="100"/>
        <v/>
      </c>
      <c r="V1657" s="314" t="str">
        <f t="shared" si="101"/>
        <v/>
      </c>
      <c r="W1657" s="314" t="str" cm="1">
        <f t="array" aca="1" ref="W1657" ca="1">IFERROR(IF(AE1657&lt;&gt;"ja",_xlfn.IFNA(_xlfn.IFS(AND(O1657&lt;&gt;"",F1657&lt;&gt;"",RIGHT($N1657,6)="tarief",F1657="Vergoeding"),SUM(O1657)*FLOOR(SUM(Q1657),0.0001),AND(O1657&lt;&gt;"",F1657&lt;&gt;"",RIGHT($N1657,6)="tarief"),SUM(O1657)*FLOOR(SUM(Q1657),0.01),S1657&gt;0,IF(F1657&lt;&gt;"",FLOOR(SUM(S1657),0.01),"")),""),""),"")</f>
        <v/>
      </c>
      <c r="X1657" s="314" t="str" cm="1">
        <f t="array" aca="1" ref="X1657" ca="1">IFERROR(IF(AE1657&lt;&gt;"ja",_xlfn.IFNA(_xlfn.IFS(AND(P1657&lt;&gt;"",R1657&lt;&gt;"",RIGHT($N1657,6)="tarief",F1657="Vergoeding"),SUM(P1657)*FLOOR(SUM(R1657),0.0001),AND(P1657&lt;&gt;"",R1657&lt;&gt;"",RIGHT($N1657,6)="tarief"),P1657*FLOOR(R1657,0.01),T1657&gt;0,FLOOR(SUM(T1657),0.01)),""),""),"")</f>
        <v/>
      </c>
      <c r="Y1657" s="314" t="str">
        <f t="shared" ca="1" si="102"/>
        <v/>
      </c>
      <c r="Z1657" s="314" t="str" cm="1">
        <f t="array" aca="1" ref="Z1657" ca="1">IFERROR(_xlfn.IFS(OR(F1657="",LEFT(Methode_Keuze,4)="Geen",Methode_Keuze=""),"",AND(W1657&lt;&gt;"",F1657&lt;&gt;"Arbeidskosten"),W1657*VLOOKUP(F1657,Tb_ProjectKosten[],MATCH(Tb_ProjectKosten[[#Headers],[Forfait_Percentage]],Tb_ProjectKosten[#Headers],0),0),AND(F1657="Arbeidskosten",G1657&lt;&gt;""),IFERROR(W1657*VLOOKUP(G1657,Tb_KostenTypen[],3,0)*VLOOKUP(F1657,Tb_ProjectKosten[],MATCH(Tb_ProjectKosten[[#Headers],[Forfait_Percentage]],Tb_ProjectKosten[#Headers],0),0),""),W1657 &lt;=0,0),"")</f>
        <v/>
      </c>
      <c r="AA1657" s="314" t="str" cm="1">
        <f t="array" aca="1" ref="AA1657" ca="1">IFERROR(_xlfn.IFS(OR(F1657="",LEFT(Methode_Keuze,4)="Geen",Methode_Keuze=""),"",AND(X1657&lt;&gt;"",F1657&lt;&gt;"Arbeidskosten"),X1657*VLOOKUP(F1657,Tb_ProjectKosten[],MATCH(Tb_ProjectKosten[[#Headers],[Forfait_Percentage]],Tb_ProjectKosten[#Headers],0),0),AND(F1657="Arbeidskosten",G1657&lt;&gt;""),IFERROR(X1657*VLOOKUP(G1657,Tb_KostenTypen[],3,0)*VLOOKUP(F1657,Tb_ProjectKosten[],MATCH(Tb_ProjectKosten[[#Headers],[Forfait_Percentage]],Tb_ProjectKosten[#Headers],0),0),""),X1657 &lt;=0,0),"")</f>
        <v/>
      </c>
      <c r="AB1657" s="314" t="str">
        <f t="shared" ca="1" si="103"/>
        <v/>
      </c>
      <c r="AC1657" s="322"/>
      <c r="AD1657" s="315"/>
      <c r="AE1657" s="32" t="str" cm="1">
        <f t="array" ref="AE1657">IFERROR(IF(INDEX(SubsidieTabel!$AD$1:$AG$12,MATCH($F1657,SubsidieTabel!$AD$1:$AD$12,0),IFERROR(MATCH(Methode_Keuze,SubsidieTabel!$AD$1:$AG$1,0),2))&lt;&gt;1=TRUE,"ja",""),"")</f>
        <v/>
      </c>
    </row>
    <row r="1658" spans="1:31" x14ac:dyDescent="0.25">
      <c r="A1658" s="316"/>
      <c r="B1658" s="317" t="str">
        <f>IF(A1658&lt;&gt;"",_xlfn.MAXIFS($B$1:B1657,$A$1:A1657,A1658)+1,"")</f>
        <v/>
      </c>
      <c r="C1658" s="296"/>
      <c r="D1658" s="296"/>
      <c r="E1658" s="296"/>
      <c r="F1658" s="296"/>
      <c r="G1658" s="326"/>
      <c r="H1658" s="324"/>
      <c r="I1658" s="325"/>
      <c r="J1658" s="325"/>
      <c r="K1658" s="318"/>
      <c r="L1658" s="318"/>
      <c r="M1658" s="319" t="str">
        <f>IFERROR(VLOOKUP(H1658,Lijsten!$H$1:$I$100,2,0),"")</f>
        <v/>
      </c>
      <c r="N1658" s="319" t="str">
        <f ca="1">IFERROR(IF(VLOOKUP(F1658,Kostentypen!$A$3:$E$21,3,0)=0,"",IF(OR(F1658="Arbeidskosten",F1658="Vergoeding"),VLOOKUP(G1658,Tb_KostenTypen[],2,0),VLOOKUP(F1658,Kostentypen!$A$3:$E$20,3,0))),"")</f>
        <v/>
      </c>
      <c r="O1658" s="320" t="str" cm="1">
        <f t="array" ref="O1658">_xlfn.IFNA(IF(INDEX(Tb_KostenOptiesDB[],MATCH($F1658,Tb_KostenOptiesDB[KostenOptie],0),IFERROR(MATCH(Methode_Keuze,Tb_KostenOptiesDB[#Headers],0),2))=1,_xlfn.SWITCH($N1658,"Uurtarief",IF(OR(AND(RIGHT($F1658,3)="IKS",VLOOKUP($M1658,DB_Loonkosten,2,0)="Ja"),AND(RIGHT($F1658,3)&lt;&gt;"IKS",VLOOKUP($M1658,DB_Loonkosten,2,0)="Nee")),IFERROR(VLOOKUP($M1658,DB_Loonkosten,24,0),""),0),"Vast tarief",IF(LEFT(F1658,8)="Bijdrage",VLOOKUP($F1658,Tb_KostenTypen[],MATCH(Lijsten!$P$1,Tb_KostenTypen[#Headers],0),0),VLOOKUP($G1658,Lijsten!L:P,MATCH(Lijsten!$P$1,Kop_Tarief_Vast,0),0))),""),"")</f>
        <v/>
      </c>
      <c r="P1658" s="320" t="str" cm="1">
        <f t="array" ref="P1658">_xlfn.IFNA(IF(INDEX(Tb_KostenOptiesDB[],MATCH($F1658,Tb_KostenOptiesDB[KostenOptie],0),IFERROR(MATCH(Methode_Keuze,Tb_KostenOptiesDB[#Headers],0),2))=1,_xlfn.SWITCH($N1658,"Uurtarief",IF(OR(AND(RIGHT($F1658,3)="IKS",VLOOKUP($M1658,DB_Loonkosten,2,0)="Ja"),AND(RIGHT($F1658,3)&lt;&gt;"IKS",VLOOKUP($M1658,DB_Loonkosten,2,0)="Nee")),IFERROR(VLOOKUP($M1658,DB_Loonkosten,25,0),""),0),"Vast tarief",IF(LEFT(F1658,8)="Bijdrage",VLOOKUP($F1658,Tb_KostenTypen[],MATCH(Lijsten!$P$1,Tb_KostenTypen[#Headers],0),0),VLOOKUP($G1658,Lijsten!L:P,MATCH(Lijsten!$P$1,Kop_Tarief_Vast,0),0))),""),"")</f>
        <v/>
      </c>
      <c r="Q1658" s="359"/>
      <c r="R1658" s="359"/>
      <c r="S1658" s="321"/>
      <c r="T1658" s="321"/>
      <c r="U1658" s="373" t="str">
        <f t="shared" si="100"/>
        <v/>
      </c>
      <c r="V1658" s="314" t="str">
        <f t="shared" si="101"/>
        <v/>
      </c>
      <c r="W1658" s="314" t="str" cm="1">
        <f t="array" aca="1" ref="W1658" ca="1">IFERROR(IF(AE1658&lt;&gt;"ja",_xlfn.IFNA(_xlfn.IFS(AND(O1658&lt;&gt;"",F1658&lt;&gt;"",RIGHT($N1658,6)="tarief",F1658="Vergoeding"),SUM(O1658)*FLOOR(SUM(Q1658),0.0001),AND(O1658&lt;&gt;"",F1658&lt;&gt;"",RIGHT($N1658,6)="tarief"),SUM(O1658)*FLOOR(SUM(Q1658),0.01),S1658&gt;0,IF(F1658&lt;&gt;"",FLOOR(SUM(S1658),0.01),"")),""),""),"")</f>
        <v/>
      </c>
      <c r="X1658" s="314" t="str" cm="1">
        <f t="array" aca="1" ref="X1658" ca="1">IFERROR(IF(AE1658&lt;&gt;"ja",_xlfn.IFNA(_xlfn.IFS(AND(P1658&lt;&gt;"",R1658&lt;&gt;"",RIGHT($N1658,6)="tarief",F1658="Vergoeding"),SUM(P1658)*FLOOR(SUM(R1658),0.0001),AND(P1658&lt;&gt;"",R1658&lt;&gt;"",RIGHT($N1658,6)="tarief"),P1658*FLOOR(R1658,0.01),T1658&gt;0,FLOOR(SUM(T1658),0.01)),""),""),"")</f>
        <v/>
      </c>
      <c r="Y1658" s="314" t="str">
        <f t="shared" ca="1" si="102"/>
        <v/>
      </c>
      <c r="Z1658" s="314" t="str" cm="1">
        <f t="array" aca="1" ref="Z1658" ca="1">IFERROR(_xlfn.IFS(OR(F1658="",LEFT(Methode_Keuze,4)="Geen",Methode_Keuze=""),"",AND(W1658&lt;&gt;"",F1658&lt;&gt;"Arbeidskosten"),W1658*VLOOKUP(F1658,Tb_ProjectKosten[],MATCH(Tb_ProjectKosten[[#Headers],[Forfait_Percentage]],Tb_ProjectKosten[#Headers],0),0),AND(F1658="Arbeidskosten",G1658&lt;&gt;""),IFERROR(W1658*VLOOKUP(G1658,Tb_KostenTypen[],3,0)*VLOOKUP(F1658,Tb_ProjectKosten[],MATCH(Tb_ProjectKosten[[#Headers],[Forfait_Percentage]],Tb_ProjectKosten[#Headers],0),0),""),W1658 &lt;=0,0),"")</f>
        <v/>
      </c>
      <c r="AA1658" s="314" t="str" cm="1">
        <f t="array" aca="1" ref="AA1658" ca="1">IFERROR(_xlfn.IFS(OR(F1658="",LEFT(Methode_Keuze,4)="Geen",Methode_Keuze=""),"",AND(X1658&lt;&gt;"",F1658&lt;&gt;"Arbeidskosten"),X1658*VLOOKUP(F1658,Tb_ProjectKosten[],MATCH(Tb_ProjectKosten[[#Headers],[Forfait_Percentage]],Tb_ProjectKosten[#Headers],0),0),AND(F1658="Arbeidskosten",G1658&lt;&gt;""),IFERROR(X1658*VLOOKUP(G1658,Tb_KostenTypen[],3,0)*VLOOKUP(F1658,Tb_ProjectKosten[],MATCH(Tb_ProjectKosten[[#Headers],[Forfait_Percentage]],Tb_ProjectKosten[#Headers],0),0),""),X1658 &lt;=0,0),"")</f>
        <v/>
      </c>
      <c r="AB1658" s="314" t="str">
        <f t="shared" ca="1" si="103"/>
        <v/>
      </c>
      <c r="AC1658" s="322"/>
      <c r="AD1658" s="315"/>
      <c r="AE1658" s="32" t="str" cm="1">
        <f t="array" ref="AE1658">IFERROR(IF(INDEX(SubsidieTabel!$AD$1:$AG$12,MATCH($F1658,SubsidieTabel!$AD$1:$AD$12,0),IFERROR(MATCH(Methode_Keuze,SubsidieTabel!$AD$1:$AG$1,0),2))&lt;&gt;1=TRUE,"ja",""),"")</f>
        <v/>
      </c>
    </row>
    <row r="1659" spans="1:31" x14ac:dyDescent="0.25">
      <c r="A1659" s="316"/>
      <c r="B1659" s="317" t="str">
        <f>IF(A1659&lt;&gt;"",_xlfn.MAXIFS($B$1:B1658,$A$1:A1658,A1659)+1,"")</f>
        <v/>
      </c>
      <c r="C1659" s="296"/>
      <c r="D1659" s="296"/>
      <c r="E1659" s="296"/>
      <c r="F1659" s="296"/>
      <c r="G1659" s="326"/>
      <c r="H1659" s="324"/>
      <c r="I1659" s="325"/>
      <c r="J1659" s="325"/>
      <c r="K1659" s="318"/>
      <c r="L1659" s="318"/>
      <c r="M1659" s="319" t="str">
        <f>IFERROR(VLOOKUP(H1659,Lijsten!$H$1:$I$100,2,0),"")</f>
        <v/>
      </c>
      <c r="N1659" s="319" t="str">
        <f ca="1">IFERROR(IF(VLOOKUP(F1659,Kostentypen!$A$3:$E$21,3,0)=0,"",IF(OR(F1659="Arbeidskosten",F1659="Vergoeding"),VLOOKUP(G1659,Tb_KostenTypen[],2,0),VLOOKUP(F1659,Kostentypen!$A$3:$E$20,3,0))),"")</f>
        <v/>
      </c>
      <c r="O1659" s="320" t="str" cm="1">
        <f t="array" ref="O1659">_xlfn.IFNA(IF(INDEX(Tb_KostenOptiesDB[],MATCH($F1659,Tb_KostenOptiesDB[KostenOptie],0),IFERROR(MATCH(Methode_Keuze,Tb_KostenOptiesDB[#Headers],0),2))=1,_xlfn.SWITCH($N1659,"Uurtarief",IF(OR(AND(RIGHT($F1659,3)="IKS",VLOOKUP($M1659,DB_Loonkosten,2,0)="Ja"),AND(RIGHT($F1659,3)&lt;&gt;"IKS",VLOOKUP($M1659,DB_Loonkosten,2,0)="Nee")),IFERROR(VLOOKUP($M1659,DB_Loonkosten,24,0),""),0),"Vast tarief",IF(LEFT(F1659,8)="Bijdrage",VLOOKUP($F1659,Tb_KostenTypen[],MATCH(Lijsten!$P$1,Tb_KostenTypen[#Headers],0),0),VLOOKUP($G1659,Lijsten!L:P,MATCH(Lijsten!$P$1,Kop_Tarief_Vast,0),0))),""),"")</f>
        <v/>
      </c>
      <c r="P1659" s="320" t="str" cm="1">
        <f t="array" ref="P1659">_xlfn.IFNA(IF(INDEX(Tb_KostenOptiesDB[],MATCH($F1659,Tb_KostenOptiesDB[KostenOptie],0),IFERROR(MATCH(Methode_Keuze,Tb_KostenOptiesDB[#Headers],0),2))=1,_xlfn.SWITCH($N1659,"Uurtarief",IF(OR(AND(RIGHT($F1659,3)="IKS",VLOOKUP($M1659,DB_Loonkosten,2,0)="Ja"),AND(RIGHT($F1659,3)&lt;&gt;"IKS",VLOOKUP($M1659,DB_Loonkosten,2,0)="Nee")),IFERROR(VLOOKUP($M1659,DB_Loonkosten,25,0),""),0),"Vast tarief",IF(LEFT(F1659,8)="Bijdrage",VLOOKUP($F1659,Tb_KostenTypen[],MATCH(Lijsten!$P$1,Tb_KostenTypen[#Headers],0),0),VLOOKUP($G1659,Lijsten!L:P,MATCH(Lijsten!$P$1,Kop_Tarief_Vast,0),0))),""),"")</f>
        <v/>
      </c>
      <c r="Q1659" s="359"/>
      <c r="R1659" s="359"/>
      <c r="S1659" s="321"/>
      <c r="T1659" s="321"/>
      <c r="U1659" s="373" t="str">
        <f t="shared" si="100"/>
        <v/>
      </c>
      <c r="V1659" s="314" t="str">
        <f t="shared" si="101"/>
        <v/>
      </c>
      <c r="W1659" s="314" t="str" cm="1">
        <f t="array" aca="1" ref="W1659" ca="1">IFERROR(IF(AE1659&lt;&gt;"ja",_xlfn.IFNA(_xlfn.IFS(AND(O1659&lt;&gt;"",F1659&lt;&gt;"",RIGHT($N1659,6)="tarief",F1659="Vergoeding"),SUM(O1659)*FLOOR(SUM(Q1659),0.0001),AND(O1659&lt;&gt;"",F1659&lt;&gt;"",RIGHT($N1659,6)="tarief"),SUM(O1659)*FLOOR(SUM(Q1659),0.01),S1659&gt;0,IF(F1659&lt;&gt;"",FLOOR(SUM(S1659),0.01),"")),""),""),"")</f>
        <v/>
      </c>
      <c r="X1659" s="314" t="str" cm="1">
        <f t="array" aca="1" ref="X1659" ca="1">IFERROR(IF(AE1659&lt;&gt;"ja",_xlfn.IFNA(_xlfn.IFS(AND(P1659&lt;&gt;"",R1659&lt;&gt;"",RIGHT($N1659,6)="tarief",F1659="Vergoeding"),SUM(P1659)*FLOOR(SUM(R1659),0.0001),AND(P1659&lt;&gt;"",R1659&lt;&gt;"",RIGHT($N1659,6)="tarief"),P1659*FLOOR(R1659,0.01),T1659&gt;0,FLOOR(SUM(T1659),0.01)),""),""),"")</f>
        <v/>
      </c>
      <c r="Y1659" s="314" t="str">
        <f t="shared" ca="1" si="102"/>
        <v/>
      </c>
      <c r="Z1659" s="314" t="str" cm="1">
        <f t="array" aca="1" ref="Z1659" ca="1">IFERROR(_xlfn.IFS(OR(F1659="",LEFT(Methode_Keuze,4)="Geen",Methode_Keuze=""),"",AND(W1659&lt;&gt;"",F1659&lt;&gt;"Arbeidskosten"),W1659*VLOOKUP(F1659,Tb_ProjectKosten[],MATCH(Tb_ProjectKosten[[#Headers],[Forfait_Percentage]],Tb_ProjectKosten[#Headers],0),0),AND(F1659="Arbeidskosten",G1659&lt;&gt;""),IFERROR(W1659*VLOOKUP(G1659,Tb_KostenTypen[],3,0)*VLOOKUP(F1659,Tb_ProjectKosten[],MATCH(Tb_ProjectKosten[[#Headers],[Forfait_Percentage]],Tb_ProjectKosten[#Headers],0),0),""),W1659 &lt;=0,0),"")</f>
        <v/>
      </c>
      <c r="AA1659" s="314" t="str" cm="1">
        <f t="array" aca="1" ref="AA1659" ca="1">IFERROR(_xlfn.IFS(OR(F1659="",LEFT(Methode_Keuze,4)="Geen",Methode_Keuze=""),"",AND(X1659&lt;&gt;"",F1659&lt;&gt;"Arbeidskosten"),X1659*VLOOKUP(F1659,Tb_ProjectKosten[],MATCH(Tb_ProjectKosten[[#Headers],[Forfait_Percentage]],Tb_ProjectKosten[#Headers],0),0),AND(F1659="Arbeidskosten",G1659&lt;&gt;""),IFERROR(X1659*VLOOKUP(G1659,Tb_KostenTypen[],3,0)*VLOOKUP(F1659,Tb_ProjectKosten[],MATCH(Tb_ProjectKosten[[#Headers],[Forfait_Percentage]],Tb_ProjectKosten[#Headers],0),0),""),X1659 &lt;=0,0),"")</f>
        <v/>
      </c>
      <c r="AB1659" s="314" t="str">
        <f t="shared" ca="1" si="103"/>
        <v/>
      </c>
      <c r="AC1659" s="322"/>
      <c r="AD1659" s="315"/>
      <c r="AE1659" s="32" t="str" cm="1">
        <f t="array" ref="AE1659">IFERROR(IF(INDEX(SubsidieTabel!$AD$1:$AG$12,MATCH($F1659,SubsidieTabel!$AD$1:$AD$12,0),IFERROR(MATCH(Methode_Keuze,SubsidieTabel!$AD$1:$AG$1,0),2))&lt;&gt;1=TRUE,"ja",""),"")</f>
        <v/>
      </c>
    </row>
    <row r="1660" spans="1:31" x14ac:dyDescent="0.25">
      <c r="A1660" s="316"/>
      <c r="B1660" s="317" t="str">
        <f>IF(A1660&lt;&gt;"",_xlfn.MAXIFS($B$1:B1659,$A$1:A1659,A1660)+1,"")</f>
        <v/>
      </c>
      <c r="C1660" s="296"/>
      <c r="D1660" s="296"/>
      <c r="E1660" s="296"/>
      <c r="F1660" s="296"/>
      <c r="G1660" s="326"/>
      <c r="H1660" s="324"/>
      <c r="I1660" s="325"/>
      <c r="J1660" s="325"/>
      <c r="K1660" s="318"/>
      <c r="L1660" s="318"/>
      <c r="M1660" s="319" t="str">
        <f>IFERROR(VLOOKUP(H1660,Lijsten!$H$1:$I$100,2,0),"")</f>
        <v/>
      </c>
      <c r="N1660" s="319" t="str">
        <f ca="1">IFERROR(IF(VLOOKUP(F1660,Kostentypen!$A$3:$E$21,3,0)=0,"",IF(OR(F1660="Arbeidskosten",F1660="Vergoeding"),VLOOKUP(G1660,Tb_KostenTypen[],2,0),VLOOKUP(F1660,Kostentypen!$A$3:$E$20,3,0))),"")</f>
        <v/>
      </c>
      <c r="O1660" s="320" t="str" cm="1">
        <f t="array" ref="O1660">_xlfn.IFNA(IF(INDEX(Tb_KostenOptiesDB[],MATCH($F1660,Tb_KostenOptiesDB[KostenOptie],0),IFERROR(MATCH(Methode_Keuze,Tb_KostenOptiesDB[#Headers],0),2))=1,_xlfn.SWITCH($N1660,"Uurtarief",IF(OR(AND(RIGHT($F1660,3)="IKS",VLOOKUP($M1660,DB_Loonkosten,2,0)="Ja"),AND(RIGHT($F1660,3)&lt;&gt;"IKS",VLOOKUP($M1660,DB_Loonkosten,2,0)="Nee")),IFERROR(VLOOKUP($M1660,DB_Loonkosten,24,0),""),0),"Vast tarief",IF(LEFT(F1660,8)="Bijdrage",VLOOKUP($F1660,Tb_KostenTypen[],MATCH(Lijsten!$P$1,Tb_KostenTypen[#Headers],0),0),VLOOKUP($G1660,Lijsten!L:P,MATCH(Lijsten!$P$1,Kop_Tarief_Vast,0),0))),""),"")</f>
        <v/>
      </c>
      <c r="P1660" s="320" t="str" cm="1">
        <f t="array" ref="P1660">_xlfn.IFNA(IF(INDEX(Tb_KostenOptiesDB[],MATCH($F1660,Tb_KostenOptiesDB[KostenOptie],0),IFERROR(MATCH(Methode_Keuze,Tb_KostenOptiesDB[#Headers],0),2))=1,_xlfn.SWITCH($N1660,"Uurtarief",IF(OR(AND(RIGHT($F1660,3)="IKS",VLOOKUP($M1660,DB_Loonkosten,2,0)="Ja"),AND(RIGHT($F1660,3)&lt;&gt;"IKS",VLOOKUP($M1660,DB_Loonkosten,2,0)="Nee")),IFERROR(VLOOKUP($M1660,DB_Loonkosten,25,0),""),0),"Vast tarief",IF(LEFT(F1660,8)="Bijdrage",VLOOKUP($F1660,Tb_KostenTypen[],MATCH(Lijsten!$P$1,Tb_KostenTypen[#Headers],0),0),VLOOKUP($G1660,Lijsten!L:P,MATCH(Lijsten!$P$1,Kop_Tarief_Vast,0),0))),""),"")</f>
        <v/>
      </c>
      <c r="Q1660" s="359"/>
      <c r="R1660" s="359"/>
      <c r="S1660" s="321"/>
      <c r="T1660" s="321"/>
      <c r="U1660" s="373" t="str">
        <f t="shared" si="100"/>
        <v/>
      </c>
      <c r="V1660" s="314" t="str">
        <f t="shared" si="101"/>
        <v/>
      </c>
      <c r="W1660" s="314" t="str" cm="1">
        <f t="array" aca="1" ref="W1660" ca="1">IFERROR(IF(AE1660&lt;&gt;"ja",_xlfn.IFNA(_xlfn.IFS(AND(O1660&lt;&gt;"",F1660&lt;&gt;"",RIGHT($N1660,6)="tarief",F1660="Vergoeding"),SUM(O1660)*FLOOR(SUM(Q1660),0.0001),AND(O1660&lt;&gt;"",F1660&lt;&gt;"",RIGHT($N1660,6)="tarief"),SUM(O1660)*FLOOR(SUM(Q1660),0.01),S1660&gt;0,IF(F1660&lt;&gt;"",FLOOR(SUM(S1660),0.01),"")),""),""),"")</f>
        <v/>
      </c>
      <c r="X1660" s="314" t="str" cm="1">
        <f t="array" aca="1" ref="X1660" ca="1">IFERROR(IF(AE1660&lt;&gt;"ja",_xlfn.IFNA(_xlfn.IFS(AND(P1660&lt;&gt;"",R1660&lt;&gt;"",RIGHT($N1660,6)="tarief",F1660="Vergoeding"),SUM(P1660)*FLOOR(SUM(R1660),0.0001),AND(P1660&lt;&gt;"",R1660&lt;&gt;"",RIGHT($N1660,6)="tarief"),P1660*FLOOR(R1660,0.01),T1660&gt;0,FLOOR(SUM(T1660),0.01)),""),""),"")</f>
        <v/>
      </c>
      <c r="Y1660" s="314" t="str">
        <f t="shared" ca="1" si="102"/>
        <v/>
      </c>
      <c r="Z1660" s="314" t="str" cm="1">
        <f t="array" aca="1" ref="Z1660" ca="1">IFERROR(_xlfn.IFS(OR(F1660="",LEFT(Methode_Keuze,4)="Geen",Methode_Keuze=""),"",AND(W1660&lt;&gt;"",F1660&lt;&gt;"Arbeidskosten"),W1660*VLOOKUP(F1660,Tb_ProjectKosten[],MATCH(Tb_ProjectKosten[[#Headers],[Forfait_Percentage]],Tb_ProjectKosten[#Headers],0),0),AND(F1660="Arbeidskosten",G1660&lt;&gt;""),IFERROR(W1660*VLOOKUP(G1660,Tb_KostenTypen[],3,0)*VLOOKUP(F1660,Tb_ProjectKosten[],MATCH(Tb_ProjectKosten[[#Headers],[Forfait_Percentage]],Tb_ProjectKosten[#Headers],0),0),""),W1660 &lt;=0,0),"")</f>
        <v/>
      </c>
      <c r="AA1660" s="314" t="str" cm="1">
        <f t="array" aca="1" ref="AA1660" ca="1">IFERROR(_xlfn.IFS(OR(F1660="",LEFT(Methode_Keuze,4)="Geen",Methode_Keuze=""),"",AND(X1660&lt;&gt;"",F1660&lt;&gt;"Arbeidskosten"),X1660*VLOOKUP(F1660,Tb_ProjectKosten[],MATCH(Tb_ProjectKosten[[#Headers],[Forfait_Percentage]],Tb_ProjectKosten[#Headers],0),0),AND(F1660="Arbeidskosten",G1660&lt;&gt;""),IFERROR(X1660*VLOOKUP(G1660,Tb_KostenTypen[],3,0)*VLOOKUP(F1660,Tb_ProjectKosten[],MATCH(Tb_ProjectKosten[[#Headers],[Forfait_Percentage]],Tb_ProjectKosten[#Headers],0),0),""),X1660 &lt;=0,0),"")</f>
        <v/>
      </c>
      <c r="AB1660" s="314" t="str">
        <f t="shared" ca="1" si="103"/>
        <v/>
      </c>
      <c r="AC1660" s="322"/>
      <c r="AD1660" s="315"/>
      <c r="AE1660" s="32" t="str" cm="1">
        <f t="array" ref="AE1660">IFERROR(IF(INDEX(SubsidieTabel!$AD$1:$AG$12,MATCH($F1660,SubsidieTabel!$AD$1:$AD$12,0),IFERROR(MATCH(Methode_Keuze,SubsidieTabel!$AD$1:$AG$1,0),2))&lt;&gt;1=TRUE,"ja",""),"")</f>
        <v/>
      </c>
    </row>
    <row r="1661" spans="1:31" x14ac:dyDescent="0.25">
      <c r="A1661" s="316"/>
      <c r="B1661" s="317" t="str">
        <f>IF(A1661&lt;&gt;"",_xlfn.MAXIFS($B$1:B1660,$A$1:A1660,A1661)+1,"")</f>
        <v/>
      </c>
      <c r="C1661" s="296"/>
      <c r="D1661" s="296"/>
      <c r="E1661" s="296"/>
      <c r="F1661" s="296"/>
      <c r="G1661" s="326"/>
      <c r="H1661" s="324"/>
      <c r="I1661" s="325"/>
      <c r="J1661" s="325"/>
      <c r="K1661" s="318"/>
      <c r="L1661" s="318"/>
      <c r="M1661" s="319" t="str">
        <f>IFERROR(VLOOKUP(H1661,Lijsten!$H$1:$I$100,2,0),"")</f>
        <v/>
      </c>
      <c r="N1661" s="319" t="str">
        <f ca="1">IFERROR(IF(VLOOKUP(F1661,Kostentypen!$A$3:$E$21,3,0)=0,"",IF(OR(F1661="Arbeidskosten",F1661="Vergoeding"),VLOOKUP(G1661,Tb_KostenTypen[],2,0),VLOOKUP(F1661,Kostentypen!$A$3:$E$20,3,0))),"")</f>
        <v/>
      </c>
      <c r="O1661" s="320" t="str" cm="1">
        <f t="array" ref="O1661">_xlfn.IFNA(IF(INDEX(Tb_KostenOptiesDB[],MATCH($F1661,Tb_KostenOptiesDB[KostenOptie],0),IFERROR(MATCH(Methode_Keuze,Tb_KostenOptiesDB[#Headers],0),2))=1,_xlfn.SWITCH($N1661,"Uurtarief",IF(OR(AND(RIGHT($F1661,3)="IKS",VLOOKUP($M1661,DB_Loonkosten,2,0)="Ja"),AND(RIGHT($F1661,3)&lt;&gt;"IKS",VLOOKUP($M1661,DB_Loonkosten,2,0)="Nee")),IFERROR(VLOOKUP($M1661,DB_Loonkosten,24,0),""),0),"Vast tarief",IF(LEFT(F1661,8)="Bijdrage",VLOOKUP($F1661,Tb_KostenTypen[],MATCH(Lijsten!$P$1,Tb_KostenTypen[#Headers],0),0),VLOOKUP($G1661,Lijsten!L:P,MATCH(Lijsten!$P$1,Kop_Tarief_Vast,0),0))),""),"")</f>
        <v/>
      </c>
      <c r="P1661" s="320" t="str" cm="1">
        <f t="array" ref="P1661">_xlfn.IFNA(IF(INDEX(Tb_KostenOptiesDB[],MATCH($F1661,Tb_KostenOptiesDB[KostenOptie],0),IFERROR(MATCH(Methode_Keuze,Tb_KostenOptiesDB[#Headers],0),2))=1,_xlfn.SWITCH($N1661,"Uurtarief",IF(OR(AND(RIGHT($F1661,3)="IKS",VLOOKUP($M1661,DB_Loonkosten,2,0)="Ja"),AND(RIGHT($F1661,3)&lt;&gt;"IKS",VLOOKUP($M1661,DB_Loonkosten,2,0)="Nee")),IFERROR(VLOOKUP($M1661,DB_Loonkosten,25,0),""),0),"Vast tarief",IF(LEFT(F1661,8)="Bijdrage",VLOOKUP($F1661,Tb_KostenTypen[],MATCH(Lijsten!$P$1,Tb_KostenTypen[#Headers],0),0),VLOOKUP($G1661,Lijsten!L:P,MATCH(Lijsten!$P$1,Kop_Tarief_Vast,0),0))),""),"")</f>
        <v/>
      </c>
      <c r="Q1661" s="359"/>
      <c r="R1661" s="359"/>
      <c r="S1661" s="321"/>
      <c r="T1661" s="321"/>
      <c r="U1661" s="373" t="str">
        <f t="shared" si="100"/>
        <v/>
      </c>
      <c r="V1661" s="314" t="str">
        <f t="shared" si="101"/>
        <v/>
      </c>
      <c r="W1661" s="314" t="str" cm="1">
        <f t="array" aca="1" ref="W1661" ca="1">IFERROR(IF(AE1661&lt;&gt;"ja",_xlfn.IFNA(_xlfn.IFS(AND(O1661&lt;&gt;"",F1661&lt;&gt;"",RIGHT($N1661,6)="tarief",F1661="Vergoeding"),SUM(O1661)*FLOOR(SUM(Q1661),0.0001),AND(O1661&lt;&gt;"",F1661&lt;&gt;"",RIGHT($N1661,6)="tarief"),SUM(O1661)*FLOOR(SUM(Q1661),0.01),S1661&gt;0,IF(F1661&lt;&gt;"",FLOOR(SUM(S1661),0.01),"")),""),""),"")</f>
        <v/>
      </c>
      <c r="X1661" s="314" t="str" cm="1">
        <f t="array" aca="1" ref="X1661" ca="1">IFERROR(IF(AE1661&lt;&gt;"ja",_xlfn.IFNA(_xlfn.IFS(AND(P1661&lt;&gt;"",R1661&lt;&gt;"",RIGHT($N1661,6)="tarief",F1661="Vergoeding"),SUM(P1661)*FLOOR(SUM(R1661),0.0001),AND(P1661&lt;&gt;"",R1661&lt;&gt;"",RIGHT($N1661,6)="tarief"),P1661*FLOOR(R1661,0.01),T1661&gt;0,FLOOR(SUM(T1661),0.01)),""),""),"")</f>
        <v/>
      </c>
      <c r="Y1661" s="314" t="str">
        <f t="shared" ca="1" si="102"/>
        <v/>
      </c>
      <c r="Z1661" s="314" t="str" cm="1">
        <f t="array" aca="1" ref="Z1661" ca="1">IFERROR(_xlfn.IFS(OR(F1661="",LEFT(Methode_Keuze,4)="Geen",Methode_Keuze=""),"",AND(W1661&lt;&gt;"",F1661&lt;&gt;"Arbeidskosten"),W1661*VLOOKUP(F1661,Tb_ProjectKosten[],MATCH(Tb_ProjectKosten[[#Headers],[Forfait_Percentage]],Tb_ProjectKosten[#Headers],0),0),AND(F1661="Arbeidskosten",G1661&lt;&gt;""),IFERROR(W1661*VLOOKUP(G1661,Tb_KostenTypen[],3,0)*VLOOKUP(F1661,Tb_ProjectKosten[],MATCH(Tb_ProjectKosten[[#Headers],[Forfait_Percentage]],Tb_ProjectKosten[#Headers],0),0),""),W1661 &lt;=0,0),"")</f>
        <v/>
      </c>
      <c r="AA1661" s="314" t="str" cm="1">
        <f t="array" aca="1" ref="AA1661" ca="1">IFERROR(_xlfn.IFS(OR(F1661="",LEFT(Methode_Keuze,4)="Geen",Methode_Keuze=""),"",AND(X1661&lt;&gt;"",F1661&lt;&gt;"Arbeidskosten"),X1661*VLOOKUP(F1661,Tb_ProjectKosten[],MATCH(Tb_ProjectKosten[[#Headers],[Forfait_Percentage]],Tb_ProjectKosten[#Headers],0),0),AND(F1661="Arbeidskosten",G1661&lt;&gt;""),IFERROR(X1661*VLOOKUP(G1661,Tb_KostenTypen[],3,0)*VLOOKUP(F1661,Tb_ProjectKosten[],MATCH(Tb_ProjectKosten[[#Headers],[Forfait_Percentage]],Tb_ProjectKosten[#Headers],0),0),""),X1661 &lt;=0,0),"")</f>
        <v/>
      </c>
      <c r="AB1661" s="314" t="str">
        <f t="shared" ca="1" si="103"/>
        <v/>
      </c>
      <c r="AC1661" s="322"/>
      <c r="AD1661" s="315"/>
      <c r="AE1661" s="32" t="str" cm="1">
        <f t="array" ref="AE1661">IFERROR(IF(INDEX(SubsidieTabel!$AD$1:$AG$12,MATCH($F1661,SubsidieTabel!$AD$1:$AD$12,0),IFERROR(MATCH(Methode_Keuze,SubsidieTabel!$AD$1:$AG$1,0),2))&lt;&gt;1=TRUE,"ja",""),"")</f>
        <v/>
      </c>
    </row>
    <row r="1662" spans="1:31" x14ac:dyDescent="0.25">
      <c r="A1662" s="316"/>
      <c r="B1662" s="317" t="str">
        <f>IF(A1662&lt;&gt;"",_xlfn.MAXIFS($B$1:B1661,$A$1:A1661,A1662)+1,"")</f>
        <v/>
      </c>
      <c r="C1662" s="296"/>
      <c r="D1662" s="296"/>
      <c r="E1662" s="296"/>
      <c r="F1662" s="296"/>
      <c r="G1662" s="326"/>
      <c r="H1662" s="324"/>
      <c r="I1662" s="325"/>
      <c r="J1662" s="325"/>
      <c r="K1662" s="318"/>
      <c r="L1662" s="318"/>
      <c r="M1662" s="319" t="str">
        <f>IFERROR(VLOOKUP(H1662,Lijsten!$H$1:$I$100,2,0),"")</f>
        <v/>
      </c>
      <c r="N1662" s="319" t="str">
        <f ca="1">IFERROR(IF(VLOOKUP(F1662,Kostentypen!$A$3:$E$21,3,0)=0,"",IF(OR(F1662="Arbeidskosten",F1662="Vergoeding"),VLOOKUP(G1662,Tb_KostenTypen[],2,0),VLOOKUP(F1662,Kostentypen!$A$3:$E$20,3,0))),"")</f>
        <v/>
      </c>
      <c r="O1662" s="320" t="str" cm="1">
        <f t="array" ref="O1662">_xlfn.IFNA(IF(INDEX(Tb_KostenOptiesDB[],MATCH($F1662,Tb_KostenOptiesDB[KostenOptie],0),IFERROR(MATCH(Methode_Keuze,Tb_KostenOptiesDB[#Headers],0),2))=1,_xlfn.SWITCH($N1662,"Uurtarief",IF(OR(AND(RIGHT($F1662,3)="IKS",VLOOKUP($M1662,DB_Loonkosten,2,0)="Ja"),AND(RIGHT($F1662,3)&lt;&gt;"IKS",VLOOKUP($M1662,DB_Loonkosten,2,0)="Nee")),IFERROR(VLOOKUP($M1662,DB_Loonkosten,24,0),""),0),"Vast tarief",IF(LEFT(F1662,8)="Bijdrage",VLOOKUP($F1662,Tb_KostenTypen[],MATCH(Lijsten!$P$1,Tb_KostenTypen[#Headers],0),0),VLOOKUP($G1662,Lijsten!L:P,MATCH(Lijsten!$P$1,Kop_Tarief_Vast,0),0))),""),"")</f>
        <v/>
      </c>
      <c r="P1662" s="320" t="str" cm="1">
        <f t="array" ref="P1662">_xlfn.IFNA(IF(INDEX(Tb_KostenOptiesDB[],MATCH($F1662,Tb_KostenOptiesDB[KostenOptie],0),IFERROR(MATCH(Methode_Keuze,Tb_KostenOptiesDB[#Headers],0),2))=1,_xlfn.SWITCH($N1662,"Uurtarief",IF(OR(AND(RIGHT($F1662,3)="IKS",VLOOKUP($M1662,DB_Loonkosten,2,0)="Ja"),AND(RIGHT($F1662,3)&lt;&gt;"IKS",VLOOKUP($M1662,DB_Loonkosten,2,0)="Nee")),IFERROR(VLOOKUP($M1662,DB_Loonkosten,25,0),""),0),"Vast tarief",IF(LEFT(F1662,8)="Bijdrage",VLOOKUP($F1662,Tb_KostenTypen[],MATCH(Lijsten!$P$1,Tb_KostenTypen[#Headers],0),0),VLOOKUP($G1662,Lijsten!L:P,MATCH(Lijsten!$P$1,Kop_Tarief_Vast,0),0))),""),"")</f>
        <v/>
      </c>
      <c r="Q1662" s="359"/>
      <c r="R1662" s="359"/>
      <c r="S1662" s="321"/>
      <c r="T1662" s="321"/>
      <c r="U1662" s="373" t="str">
        <f t="shared" si="100"/>
        <v/>
      </c>
      <c r="V1662" s="314" t="str">
        <f t="shared" si="101"/>
        <v/>
      </c>
      <c r="W1662" s="314" t="str" cm="1">
        <f t="array" aca="1" ref="W1662" ca="1">IFERROR(IF(AE1662&lt;&gt;"ja",_xlfn.IFNA(_xlfn.IFS(AND(O1662&lt;&gt;"",F1662&lt;&gt;"",RIGHT($N1662,6)="tarief",F1662="Vergoeding"),SUM(O1662)*FLOOR(SUM(Q1662),0.0001),AND(O1662&lt;&gt;"",F1662&lt;&gt;"",RIGHT($N1662,6)="tarief"),SUM(O1662)*FLOOR(SUM(Q1662),0.01),S1662&gt;0,IF(F1662&lt;&gt;"",FLOOR(SUM(S1662),0.01),"")),""),""),"")</f>
        <v/>
      </c>
      <c r="X1662" s="314" t="str" cm="1">
        <f t="array" aca="1" ref="X1662" ca="1">IFERROR(IF(AE1662&lt;&gt;"ja",_xlfn.IFNA(_xlfn.IFS(AND(P1662&lt;&gt;"",R1662&lt;&gt;"",RIGHT($N1662,6)="tarief",F1662="Vergoeding"),SUM(P1662)*FLOOR(SUM(R1662),0.0001),AND(P1662&lt;&gt;"",R1662&lt;&gt;"",RIGHT($N1662,6)="tarief"),P1662*FLOOR(R1662,0.01),T1662&gt;0,FLOOR(SUM(T1662),0.01)),""),""),"")</f>
        <v/>
      </c>
      <c r="Y1662" s="314" t="str">
        <f t="shared" ca="1" si="102"/>
        <v/>
      </c>
      <c r="Z1662" s="314" t="str" cm="1">
        <f t="array" aca="1" ref="Z1662" ca="1">IFERROR(_xlfn.IFS(OR(F1662="",LEFT(Methode_Keuze,4)="Geen",Methode_Keuze=""),"",AND(W1662&lt;&gt;"",F1662&lt;&gt;"Arbeidskosten"),W1662*VLOOKUP(F1662,Tb_ProjectKosten[],MATCH(Tb_ProjectKosten[[#Headers],[Forfait_Percentage]],Tb_ProjectKosten[#Headers],0),0),AND(F1662="Arbeidskosten",G1662&lt;&gt;""),IFERROR(W1662*VLOOKUP(G1662,Tb_KostenTypen[],3,0)*VLOOKUP(F1662,Tb_ProjectKosten[],MATCH(Tb_ProjectKosten[[#Headers],[Forfait_Percentage]],Tb_ProjectKosten[#Headers],0),0),""),W1662 &lt;=0,0),"")</f>
        <v/>
      </c>
      <c r="AA1662" s="314" t="str" cm="1">
        <f t="array" aca="1" ref="AA1662" ca="1">IFERROR(_xlfn.IFS(OR(F1662="",LEFT(Methode_Keuze,4)="Geen",Methode_Keuze=""),"",AND(X1662&lt;&gt;"",F1662&lt;&gt;"Arbeidskosten"),X1662*VLOOKUP(F1662,Tb_ProjectKosten[],MATCH(Tb_ProjectKosten[[#Headers],[Forfait_Percentage]],Tb_ProjectKosten[#Headers],0),0),AND(F1662="Arbeidskosten",G1662&lt;&gt;""),IFERROR(X1662*VLOOKUP(G1662,Tb_KostenTypen[],3,0)*VLOOKUP(F1662,Tb_ProjectKosten[],MATCH(Tb_ProjectKosten[[#Headers],[Forfait_Percentage]],Tb_ProjectKosten[#Headers],0),0),""),X1662 &lt;=0,0),"")</f>
        <v/>
      </c>
      <c r="AB1662" s="314" t="str">
        <f t="shared" ca="1" si="103"/>
        <v/>
      </c>
      <c r="AC1662" s="322"/>
      <c r="AD1662" s="315"/>
      <c r="AE1662" s="32" t="str" cm="1">
        <f t="array" ref="AE1662">IFERROR(IF(INDEX(SubsidieTabel!$AD$1:$AG$12,MATCH($F1662,SubsidieTabel!$AD$1:$AD$12,0),IFERROR(MATCH(Methode_Keuze,SubsidieTabel!$AD$1:$AG$1,0),2))&lt;&gt;1=TRUE,"ja",""),"")</f>
        <v/>
      </c>
    </row>
    <row r="1663" spans="1:31" x14ac:dyDescent="0.25">
      <c r="A1663" s="316"/>
      <c r="B1663" s="317" t="str">
        <f>IF(A1663&lt;&gt;"",_xlfn.MAXIFS($B$1:B1662,$A$1:A1662,A1663)+1,"")</f>
        <v/>
      </c>
      <c r="C1663" s="296"/>
      <c r="D1663" s="296"/>
      <c r="E1663" s="296"/>
      <c r="F1663" s="296"/>
      <c r="G1663" s="326"/>
      <c r="H1663" s="324"/>
      <c r="I1663" s="325"/>
      <c r="J1663" s="325"/>
      <c r="K1663" s="318"/>
      <c r="L1663" s="318"/>
      <c r="M1663" s="319" t="str">
        <f>IFERROR(VLOOKUP(H1663,Lijsten!$H$1:$I$100,2,0),"")</f>
        <v/>
      </c>
      <c r="N1663" s="319" t="str">
        <f ca="1">IFERROR(IF(VLOOKUP(F1663,Kostentypen!$A$3:$E$21,3,0)=0,"",IF(OR(F1663="Arbeidskosten",F1663="Vergoeding"),VLOOKUP(G1663,Tb_KostenTypen[],2,0),VLOOKUP(F1663,Kostentypen!$A$3:$E$20,3,0))),"")</f>
        <v/>
      </c>
      <c r="O1663" s="320" t="str" cm="1">
        <f t="array" ref="O1663">_xlfn.IFNA(IF(INDEX(Tb_KostenOptiesDB[],MATCH($F1663,Tb_KostenOptiesDB[KostenOptie],0),IFERROR(MATCH(Methode_Keuze,Tb_KostenOptiesDB[#Headers],0),2))=1,_xlfn.SWITCH($N1663,"Uurtarief",IF(OR(AND(RIGHT($F1663,3)="IKS",VLOOKUP($M1663,DB_Loonkosten,2,0)="Ja"),AND(RIGHT($F1663,3)&lt;&gt;"IKS",VLOOKUP($M1663,DB_Loonkosten,2,0)="Nee")),IFERROR(VLOOKUP($M1663,DB_Loonkosten,24,0),""),0),"Vast tarief",IF(LEFT(F1663,8)="Bijdrage",VLOOKUP($F1663,Tb_KostenTypen[],MATCH(Lijsten!$P$1,Tb_KostenTypen[#Headers],0),0),VLOOKUP($G1663,Lijsten!L:P,MATCH(Lijsten!$P$1,Kop_Tarief_Vast,0),0))),""),"")</f>
        <v/>
      </c>
      <c r="P1663" s="320" t="str" cm="1">
        <f t="array" ref="P1663">_xlfn.IFNA(IF(INDEX(Tb_KostenOptiesDB[],MATCH($F1663,Tb_KostenOptiesDB[KostenOptie],0),IFERROR(MATCH(Methode_Keuze,Tb_KostenOptiesDB[#Headers],0),2))=1,_xlfn.SWITCH($N1663,"Uurtarief",IF(OR(AND(RIGHT($F1663,3)="IKS",VLOOKUP($M1663,DB_Loonkosten,2,0)="Ja"),AND(RIGHT($F1663,3)&lt;&gt;"IKS",VLOOKUP($M1663,DB_Loonkosten,2,0)="Nee")),IFERROR(VLOOKUP($M1663,DB_Loonkosten,25,0),""),0),"Vast tarief",IF(LEFT(F1663,8)="Bijdrage",VLOOKUP($F1663,Tb_KostenTypen[],MATCH(Lijsten!$P$1,Tb_KostenTypen[#Headers],0),0),VLOOKUP($G1663,Lijsten!L:P,MATCH(Lijsten!$P$1,Kop_Tarief_Vast,0),0))),""),"")</f>
        <v/>
      </c>
      <c r="Q1663" s="359"/>
      <c r="R1663" s="359"/>
      <c r="S1663" s="321"/>
      <c r="T1663" s="321"/>
      <c r="U1663" s="373" t="str">
        <f t="shared" si="100"/>
        <v/>
      </c>
      <c r="V1663" s="314" t="str">
        <f t="shared" si="101"/>
        <v/>
      </c>
      <c r="W1663" s="314" t="str" cm="1">
        <f t="array" aca="1" ref="W1663" ca="1">IFERROR(IF(AE1663&lt;&gt;"ja",_xlfn.IFNA(_xlfn.IFS(AND(O1663&lt;&gt;"",F1663&lt;&gt;"",RIGHT($N1663,6)="tarief",F1663="Vergoeding"),SUM(O1663)*FLOOR(SUM(Q1663),0.0001),AND(O1663&lt;&gt;"",F1663&lt;&gt;"",RIGHT($N1663,6)="tarief"),SUM(O1663)*FLOOR(SUM(Q1663),0.01),S1663&gt;0,IF(F1663&lt;&gt;"",FLOOR(SUM(S1663),0.01),"")),""),""),"")</f>
        <v/>
      </c>
      <c r="X1663" s="314" t="str" cm="1">
        <f t="array" aca="1" ref="X1663" ca="1">IFERROR(IF(AE1663&lt;&gt;"ja",_xlfn.IFNA(_xlfn.IFS(AND(P1663&lt;&gt;"",R1663&lt;&gt;"",RIGHT($N1663,6)="tarief",F1663="Vergoeding"),SUM(P1663)*FLOOR(SUM(R1663),0.0001),AND(P1663&lt;&gt;"",R1663&lt;&gt;"",RIGHT($N1663,6)="tarief"),P1663*FLOOR(R1663,0.01),T1663&gt;0,FLOOR(SUM(T1663),0.01)),""),""),"")</f>
        <v/>
      </c>
      <c r="Y1663" s="314" t="str">
        <f t="shared" ca="1" si="102"/>
        <v/>
      </c>
      <c r="Z1663" s="314" t="str" cm="1">
        <f t="array" aca="1" ref="Z1663" ca="1">IFERROR(_xlfn.IFS(OR(F1663="",LEFT(Methode_Keuze,4)="Geen",Methode_Keuze=""),"",AND(W1663&lt;&gt;"",F1663&lt;&gt;"Arbeidskosten"),W1663*VLOOKUP(F1663,Tb_ProjectKosten[],MATCH(Tb_ProjectKosten[[#Headers],[Forfait_Percentage]],Tb_ProjectKosten[#Headers],0),0),AND(F1663="Arbeidskosten",G1663&lt;&gt;""),IFERROR(W1663*VLOOKUP(G1663,Tb_KostenTypen[],3,0)*VLOOKUP(F1663,Tb_ProjectKosten[],MATCH(Tb_ProjectKosten[[#Headers],[Forfait_Percentage]],Tb_ProjectKosten[#Headers],0),0),""),W1663 &lt;=0,0),"")</f>
        <v/>
      </c>
      <c r="AA1663" s="314" t="str" cm="1">
        <f t="array" aca="1" ref="AA1663" ca="1">IFERROR(_xlfn.IFS(OR(F1663="",LEFT(Methode_Keuze,4)="Geen",Methode_Keuze=""),"",AND(X1663&lt;&gt;"",F1663&lt;&gt;"Arbeidskosten"),X1663*VLOOKUP(F1663,Tb_ProjectKosten[],MATCH(Tb_ProjectKosten[[#Headers],[Forfait_Percentage]],Tb_ProjectKosten[#Headers],0),0),AND(F1663="Arbeidskosten",G1663&lt;&gt;""),IFERROR(X1663*VLOOKUP(G1663,Tb_KostenTypen[],3,0)*VLOOKUP(F1663,Tb_ProjectKosten[],MATCH(Tb_ProjectKosten[[#Headers],[Forfait_Percentage]],Tb_ProjectKosten[#Headers],0),0),""),X1663 &lt;=0,0),"")</f>
        <v/>
      </c>
      <c r="AB1663" s="314" t="str">
        <f t="shared" ca="1" si="103"/>
        <v/>
      </c>
      <c r="AC1663" s="322"/>
      <c r="AD1663" s="315"/>
      <c r="AE1663" s="32" t="str" cm="1">
        <f t="array" ref="AE1663">IFERROR(IF(INDEX(SubsidieTabel!$AD$1:$AG$12,MATCH($F1663,SubsidieTabel!$AD$1:$AD$12,0),IFERROR(MATCH(Methode_Keuze,SubsidieTabel!$AD$1:$AG$1,0),2))&lt;&gt;1=TRUE,"ja",""),"")</f>
        <v/>
      </c>
    </row>
    <row r="1664" spans="1:31" x14ac:dyDescent="0.25">
      <c r="A1664" s="316"/>
      <c r="B1664" s="317" t="str">
        <f>IF(A1664&lt;&gt;"",_xlfn.MAXIFS($B$1:B1663,$A$1:A1663,A1664)+1,"")</f>
        <v/>
      </c>
      <c r="C1664" s="296"/>
      <c r="D1664" s="296"/>
      <c r="E1664" s="296"/>
      <c r="F1664" s="296"/>
      <c r="G1664" s="326"/>
      <c r="H1664" s="324"/>
      <c r="I1664" s="325"/>
      <c r="J1664" s="325"/>
      <c r="K1664" s="318"/>
      <c r="L1664" s="318"/>
      <c r="M1664" s="319" t="str">
        <f>IFERROR(VLOOKUP(H1664,Lijsten!$H$1:$I$100,2,0),"")</f>
        <v/>
      </c>
      <c r="N1664" s="319" t="str">
        <f ca="1">IFERROR(IF(VLOOKUP(F1664,Kostentypen!$A$3:$E$21,3,0)=0,"",IF(OR(F1664="Arbeidskosten",F1664="Vergoeding"),VLOOKUP(G1664,Tb_KostenTypen[],2,0),VLOOKUP(F1664,Kostentypen!$A$3:$E$20,3,0))),"")</f>
        <v/>
      </c>
      <c r="O1664" s="320" t="str" cm="1">
        <f t="array" ref="O1664">_xlfn.IFNA(IF(INDEX(Tb_KostenOptiesDB[],MATCH($F1664,Tb_KostenOptiesDB[KostenOptie],0),IFERROR(MATCH(Methode_Keuze,Tb_KostenOptiesDB[#Headers],0),2))=1,_xlfn.SWITCH($N1664,"Uurtarief",IF(OR(AND(RIGHT($F1664,3)="IKS",VLOOKUP($M1664,DB_Loonkosten,2,0)="Ja"),AND(RIGHT($F1664,3)&lt;&gt;"IKS",VLOOKUP($M1664,DB_Loonkosten,2,0)="Nee")),IFERROR(VLOOKUP($M1664,DB_Loonkosten,24,0),""),0),"Vast tarief",IF(LEFT(F1664,8)="Bijdrage",VLOOKUP($F1664,Tb_KostenTypen[],MATCH(Lijsten!$P$1,Tb_KostenTypen[#Headers],0),0),VLOOKUP($G1664,Lijsten!L:P,MATCH(Lijsten!$P$1,Kop_Tarief_Vast,0),0))),""),"")</f>
        <v/>
      </c>
      <c r="P1664" s="320" t="str" cm="1">
        <f t="array" ref="P1664">_xlfn.IFNA(IF(INDEX(Tb_KostenOptiesDB[],MATCH($F1664,Tb_KostenOptiesDB[KostenOptie],0),IFERROR(MATCH(Methode_Keuze,Tb_KostenOptiesDB[#Headers],0),2))=1,_xlfn.SWITCH($N1664,"Uurtarief",IF(OR(AND(RIGHT($F1664,3)="IKS",VLOOKUP($M1664,DB_Loonkosten,2,0)="Ja"),AND(RIGHT($F1664,3)&lt;&gt;"IKS",VLOOKUP($M1664,DB_Loonkosten,2,0)="Nee")),IFERROR(VLOOKUP($M1664,DB_Loonkosten,25,0),""),0),"Vast tarief",IF(LEFT(F1664,8)="Bijdrage",VLOOKUP($F1664,Tb_KostenTypen[],MATCH(Lijsten!$P$1,Tb_KostenTypen[#Headers],0),0),VLOOKUP($G1664,Lijsten!L:P,MATCH(Lijsten!$P$1,Kop_Tarief_Vast,0),0))),""),"")</f>
        <v/>
      </c>
      <c r="Q1664" s="359"/>
      <c r="R1664" s="359"/>
      <c r="S1664" s="321"/>
      <c r="T1664" s="321"/>
      <c r="U1664" s="373" t="str">
        <f t="shared" si="100"/>
        <v/>
      </c>
      <c r="V1664" s="314" t="str">
        <f t="shared" si="101"/>
        <v/>
      </c>
      <c r="W1664" s="314" t="str" cm="1">
        <f t="array" aca="1" ref="W1664" ca="1">IFERROR(IF(AE1664&lt;&gt;"ja",_xlfn.IFNA(_xlfn.IFS(AND(O1664&lt;&gt;"",F1664&lt;&gt;"",RIGHT($N1664,6)="tarief",F1664="Vergoeding"),SUM(O1664)*FLOOR(SUM(Q1664),0.0001),AND(O1664&lt;&gt;"",F1664&lt;&gt;"",RIGHT($N1664,6)="tarief"),SUM(O1664)*FLOOR(SUM(Q1664),0.01),S1664&gt;0,IF(F1664&lt;&gt;"",FLOOR(SUM(S1664),0.01),"")),""),""),"")</f>
        <v/>
      </c>
      <c r="X1664" s="314" t="str" cm="1">
        <f t="array" aca="1" ref="X1664" ca="1">IFERROR(IF(AE1664&lt;&gt;"ja",_xlfn.IFNA(_xlfn.IFS(AND(P1664&lt;&gt;"",R1664&lt;&gt;"",RIGHT($N1664,6)="tarief",F1664="Vergoeding"),SUM(P1664)*FLOOR(SUM(R1664),0.0001),AND(P1664&lt;&gt;"",R1664&lt;&gt;"",RIGHT($N1664,6)="tarief"),P1664*FLOOR(R1664,0.01),T1664&gt;0,FLOOR(SUM(T1664),0.01)),""),""),"")</f>
        <v/>
      </c>
      <c r="Y1664" s="314" t="str">
        <f t="shared" ca="1" si="102"/>
        <v/>
      </c>
      <c r="Z1664" s="314" t="str" cm="1">
        <f t="array" aca="1" ref="Z1664" ca="1">IFERROR(_xlfn.IFS(OR(F1664="",LEFT(Methode_Keuze,4)="Geen",Methode_Keuze=""),"",AND(W1664&lt;&gt;"",F1664&lt;&gt;"Arbeidskosten"),W1664*VLOOKUP(F1664,Tb_ProjectKosten[],MATCH(Tb_ProjectKosten[[#Headers],[Forfait_Percentage]],Tb_ProjectKosten[#Headers],0),0),AND(F1664="Arbeidskosten",G1664&lt;&gt;""),IFERROR(W1664*VLOOKUP(G1664,Tb_KostenTypen[],3,0)*VLOOKUP(F1664,Tb_ProjectKosten[],MATCH(Tb_ProjectKosten[[#Headers],[Forfait_Percentage]],Tb_ProjectKosten[#Headers],0),0),""),W1664 &lt;=0,0),"")</f>
        <v/>
      </c>
      <c r="AA1664" s="314" t="str" cm="1">
        <f t="array" aca="1" ref="AA1664" ca="1">IFERROR(_xlfn.IFS(OR(F1664="",LEFT(Methode_Keuze,4)="Geen",Methode_Keuze=""),"",AND(X1664&lt;&gt;"",F1664&lt;&gt;"Arbeidskosten"),X1664*VLOOKUP(F1664,Tb_ProjectKosten[],MATCH(Tb_ProjectKosten[[#Headers],[Forfait_Percentage]],Tb_ProjectKosten[#Headers],0),0),AND(F1664="Arbeidskosten",G1664&lt;&gt;""),IFERROR(X1664*VLOOKUP(G1664,Tb_KostenTypen[],3,0)*VLOOKUP(F1664,Tb_ProjectKosten[],MATCH(Tb_ProjectKosten[[#Headers],[Forfait_Percentage]],Tb_ProjectKosten[#Headers],0),0),""),X1664 &lt;=0,0),"")</f>
        <v/>
      </c>
      <c r="AB1664" s="314" t="str">
        <f t="shared" ca="1" si="103"/>
        <v/>
      </c>
      <c r="AC1664" s="322"/>
      <c r="AD1664" s="315"/>
      <c r="AE1664" s="32" t="str" cm="1">
        <f t="array" ref="AE1664">IFERROR(IF(INDEX(SubsidieTabel!$AD$1:$AG$12,MATCH($F1664,SubsidieTabel!$AD$1:$AD$12,0),IFERROR(MATCH(Methode_Keuze,SubsidieTabel!$AD$1:$AG$1,0),2))&lt;&gt;1=TRUE,"ja",""),"")</f>
        <v/>
      </c>
    </row>
    <row r="1665" spans="1:31" x14ac:dyDescent="0.25">
      <c r="A1665" s="316"/>
      <c r="B1665" s="317" t="str">
        <f>IF(A1665&lt;&gt;"",_xlfn.MAXIFS($B$1:B1664,$A$1:A1664,A1665)+1,"")</f>
        <v/>
      </c>
      <c r="C1665" s="296"/>
      <c r="D1665" s="296"/>
      <c r="E1665" s="296"/>
      <c r="F1665" s="296"/>
      <c r="G1665" s="326"/>
      <c r="H1665" s="324"/>
      <c r="I1665" s="325"/>
      <c r="J1665" s="325"/>
      <c r="K1665" s="318"/>
      <c r="L1665" s="318"/>
      <c r="M1665" s="319" t="str">
        <f>IFERROR(VLOOKUP(H1665,Lijsten!$H$1:$I$100,2,0),"")</f>
        <v/>
      </c>
      <c r="N1665" s="319" t="str">
        <f ca="1">IFERROR(IF(VLOOKUP(F1665,Kostentypen!$A$3:$E$21,3,0)=0,"",IF(OR(F1665="Arbeidskosten",F1665="Vergoeding"),VLOOKUP(G1665,Tb_KostenTypen[],2,0),VLOOKUP(F1665,Kostentypen!$A$3:$E$20,3,0))),"")</f>
        <v/>
      </c>
      <c r="O1665" s="320" t="str" cm="1">
        <f t="array" ref="O1665">_xlfn.IFNA(IF(INDEX(Tb_KostenOptiesDB[],MATCH($F1665,Tb_KostenOptiesDB[KostenOptie],0),IFERROR(MATCH(Methode_Keuze,Tb_KostenOptiesDB[#Headers],0),2))=1,_xlfn.SWITCH($N1665,"Uurtarief",IF(OR(AND(RIGHT($F1665,3)="IKS",VLOOKUP($M1665,DB_Loonkosten,2,0)="Ja"),AND(RIGHT($F1665,3)&lt;&gt;"IKS",VLOOKUP($M1665,DB_Loonkosten,2,0)="Nee")),IFERROR(VLOOKUP($M1665,DB_Loonkosten,24,0),""),0),"Vast tarief",IF(LEFT(F1665,8)="Bijdrage",VLOOKUP($F1665,Tb_KostenTypen[],MATCH(Lijsten!$P$1,Tb_KostenTypen[#Headers],0),0),VLOOKUP($G1665,Lijsten!L:P,MATCH(Lijsten!$P$1,Kop_Tarief_Vast,0),0))),""),"")</f>
        <v/>
      </c>
      <c r="P1665" s="320" t="str" cm="1">
        <f t="array" ref="P1665">_xlfn.IFNA(IF(INDEX(Tb_KostenOptiesDB[],MATCH($F1665,Tb_KostenOptiesDB[KostenOptie],0),IFERROR(MATCH(Methode_Keuze,Tb_KostenOptiesDB[#Headers],0),2))=1,_xlfn.SWITCH($N1665,"Uurtarief",IF(OR(AND(RIGHT($F1665,3)="IKS",VLOOKUP($M1665,DB_Loonkosten,2,0)="Ja"),AND(RIGHT($F1665,3)&lt;&gt;"IKS",VLOOKUP($M1665,DB_Loonkosten,2,0)="Nee")),IFERROR(VLOOKUP($M1665,DB_Loonkosten,25,0),""),0),"Vast tarief",IF(LEFT(F1665,8)="Bijdrage",VLOOKUP($F1665,Tb_KostenTypen[],MATCH(Lijsten!$P$1,Tb_KostenTypen[#Headers],0),0),VLOOKUP($G1665,Lijsten!L:P,MATCH(Lijsten!$P$1,Kop_Tarief_Vast,0),0))),""),"")</f>
        <v/>
      </c>
      <c r="Q1665" s="359"/>
      <c r="R1665" s="359"/>
      <c r="S1665" s="321"/>
      <c r="T1665" s="321"/>
      <c r="U1665" s="373" t="str">
        <f t="shared" si="100"/>
        <v/>
      </c>
      <c r="V1665" s="314" t="str">
        <f t="shared" si="101"/>
        <v/>
      </c>
      <c r="W1665" s="314" t="str" cm="1">
        <f t="array" aca="1" ref="W1665" ca="1">IFERROR(IF(AE1665&lt;&gt;"ja",_xlfn.IFNA(_xlfn.IFS(AND(O1665&lt;&gt;"",F1665&lt;&gt;"",RIGHT($N1665,6)="tarief",F1665="Vergoeding"),SUM(O1665)*FLOOR(SUM(Q1665),0.0001),AND(O1665&lt;&gt;"",F1665&lt;&gt;"",RIGHT($N1665,6)="tarief"),SUM(O1665)*FLOOR(SUM(Q1665),0.01),S1665&gt;0,IF(F1665&lt;&gt;"",FLOOR(SUM(S1665),0.01),"")),""),""),"")</f>
        <v/>
      </c>
      <c r="X1665" s="314" t="str" cm="1">
        <f t="array" aca="1" ref="X1665" ca="1">IFERROR(IF(AE1665&lt;&gt;"ja",_xlfn.IFNA(_xlfn.IFS(AND(P1665&lt;&gt;"",R1665&lt;&gt;"",RIGHT($N1665,6)="tarief",F1665="Vergoeding"),SUM(P1665)*FLOOR(SUM(R1665),0.0001),AND(P1665&lt;&gt;"",R1665&lt;&gt;"",RIGHT($N1665,6)="tarief"),P1665*FLOOR(R1665,0.01),T1665&gt;0,FLOOR(SUM(T1665),0.01)),""),""),"")</f>
        <v/>
      </c>
      <c r="Y1665" s="314" t="str">
        <f t="shared" ca="1" si="102"/>
        <v/>
      </c>
      <c r="Z1665" s="314" t="str" cm="1">
        <f t="array" aca="1" ref="Z1665" ca="1">IFERROR(_xlfn.IFS(OR(F1665="",LEFT(Methode_Keuze,4)="Geen",Methode_Keuze=""),"",AND(W1665&lt;&gt;"",F1665&lt;&gt;"Arbeidskosten"),W1665*VLOOKUP(F1665,Tb_ProjectKosten[],MATCH(Tb_ProjectKosten[[#Headers],[Forfait_Percentage]],Tb_ProjectKosten[#Headers],0),0),AND(F1665="Arbeidskosten",G1665&lt;&gt;""),IFERROR(W1665*VLOOKUP(G1665,Tb_KostenTypen[],3,0)*VLOOKUP(F1665,Tb_ProjectKosten[],MATCH(Tb_ProjectKosten[[#Headers],[Forfait_Percentage]],Tb_ProjectKosten[#Headers],0),0),""),W1665 &lt;=0,0),"")</f>
        <v/>
      </c>
      <c r="AA1665" s="314" t="str" cm="1">
        <f t="array" aca="1" ref="AA1665" ca="1">IFERROR(_xlfn.IFS(OR(F1665="",LEFT(Methode_Keuze,4)="Geen",Methode_Keuze=""),"",AND(X1665&lt;&gt;"",F1665&lt;&gt;"Arbeidskosten"),X1665*VLOOKUP(F1665,Tb_ProjectKosten[],MATCH(Tb_ProjectKosten[[#Headers],[Forfait_Percentage]],Tb_ProjectKosten[#Headers],0),0),AND(F1665="Arbeidskosten",G1665&lt;&gt;""),IFERROR(X1665*VLOOKUP(G1665,Tb_KostenTypen[],3,0)*VLOOKUP(F1665,Tb_ProjectKosten[],MATCH(Tb_ProjectKosten[[#Headers],[Forfait_Percentage]],Tb_ProjectKosten[#Headers],0),0),""),X1665 &lt;=0,0),"")</f>
        <v/>
      </c>
      <c r="AB1665" s="314" t="str">
        <f t="shared" ca="1" si="103"/>
        <v/>
      </c>
      <c r="AC1665" s="322"/>
      <c r="AD1665" s="315"/>
      <c r="AE1665" s="32" t="str" cm="1">
        <f t="array" ref="AE1665">IFERROR(IF(INDEX(SubsidieTabel!$AD$1:$AG$12,MATCH($F1665,SubsidieTabel!$AD$1:$AD$12,0),IFERROR(MATCH(Methode_Keuze,SubsidieTabel!$AD$1:$AG$1,0),2))&lt;&gt;1=TRUE,"ja",""),"")</f>
        <v/>
      </c>
    </row>
    <row r="1666" spans="1:31" x14ac:dyDescent="0.25">
      <c r="A1666" s="316"/>
      <c r="B1666" s="317" t="str">
        <f>IF(A1666&lt;&gt;"",_xlfn.MAXIFS($B$1:B1665,$A$1:A1665,A1666)+1,"")</f>
        <v/>
      </c>
      <c r="C1666" s="296"/>
      <c r="D1666" s="296"/>
      <c r="E1666" s="296"/>
      <c r="F1666" s="296"/>
      <c r="G1666" s="326"/>
      <c r="H1666" s="324"/>
      <c r="I1666" s="325"/>
      <c r="J1666" s="325"/>
      <c r="K1666" s="318"/>
      <c r="L1666" s="318"/>
      <c r="M1666" s="319" t="str">
        <f>IFERROR(VLOOKUP(H1666,Lijsten!$H$1:$I$100,2,0),"")</f>
        <v/>
      </c>
      <c r="N1666" s="319" t="str">
        <f ca="1">IFERROR(IF(VLOOKUP(F1666,Kostentypen!$A$3:$E$21,3,0)=0,"",IF(OR(F1666="Arbeidskosten",F1666="Vergoeding"),VLOOKUP(G1666,Tb_KostenTypen[],2,0),VLOOKUP(F1666,Kostentypen!$A$3:$E$20,3,0))),"")</f>
        <v/>
      </c>
      <c r="O1666" s="320" t="str" cm="1">
        <f t="array" ref="O1666">_xlfn.IFNA(IF(INDEX(Tb_KostenOptiesDB[],MATCH($F1666,Tb_KostenOptiesDB[KostenOptie],0),IFERROR(MATCH(Methode_Keuze,Tb_KostenOptiesDB[#Headers],0),2))=1,_xlfn.SWITCH($N1666,"Uurtarief",IF(OR(AND(RIGHT($F1666,3)="IKS",VLOOKUP($M1666,DB_Loonkosten,2,0)="Ja"),AND(RIGHT($F1666,3)&lt;&gt;"IKS",VLOOKUP($M1666,DB_Loonkosten,2,0)="Nee")),IFERROR(VLOOKUP($M1666,DB_Loonkosten,24,0),""),0),"Vast tarief",IF(LEFT(F1666,8)="Bijdrage",VLOOKUP($F1666,Tb_KostenTypen[],MATCH(Lijsten!$P$1,Tb_KostenTypen[#Headers],0),0),VLOOKUP($G1666,Lijsten!L:P,MATCH(Lijsten!$P$1,Kop_Tarief_Vast,0),0))),""),"")</f>
        <v/>
      </c>
      <c r="P1666" s="320" t="str" cm="1">
        <f t="array" ref="P1666">_xlfn.IFNA(IF(INDEX(Tb_KostenOptiesDB[],MATCH($F1666,Tb_KostenOptiesDB[KostenOptie],0),IFERROR(MATCH(Methode_Keuze,Tb_KostenOptiesDB[#Headers],0),2))=1,_xlfn.SWITCH($N1666,"Uurtarief",IF(OR(AND(RIGHT($F1666,3)="IKS",VLOOKUP($M1666,DB_Loonkosten,2,0)="Ja"),AND(RIGHT($F1666,3)&lt;&gt;"IKS",VLOOKUP($M1666,DB_Loonkosten,2,0)="Nee")),IFERROR(VLOOKUP($M1666,DB_Loonkosten,25,0),""),0),"Vast tarief",IF(LEFT(F1666,8)="Bijdrage",VLOOKUP($F1666,Tb_KostenTypen[],MATCH(Lijsten!$P$1,Tb_KostenTypen[#Headers],0),0),VLOOKUP($G1666,Lijsten!L:P,MATCH(Lijsten!$P$1,Kop_Tarief_Vast,0),0))),""),"")</f>
        <v/>
      </c>
      <c r="Q1666" s="359"/>
      <c r="R1666" s="359"/>
      <c r="S1666" s="321"/>
      <c r="T1666" s="321"/>
      <c r="U1666" s="373" t="str">
        <f t="shared" si="100"/>
        <v/>
      </c>
      <c r="V1666" s="314" t="str">
        <f t="shared" si="101"/>
        <v/>
      </c>
      <c r="W1666" s="314" t="str" cm="1">
        <f t="array" aca="1" ref="W1666" ca="1">IFERROR(IF(AE1666&lt;&gt;"ja",_xlfn.IFNA(_xlfn.IFS(AND(O1666&lt;&gt;"",F1666&lt;&gt;"",RIGHT($N1666,6)="tarief",F1666="Vergoeding"),SUM(O1666)*FLOOR(SUM(Q1666),0.0001),AND(O1666&lt;&gt;"",F1666&lt;&gt;"",RIGHT($N1666,6)="tarief"),SUM(O1666)*FLOOR(SUM(Q1666),0.01),S1666&gt;0,IF(F1666&lt;&gt;"",FLOOR(SUM(S1666),0.01),"")),""),""),"")</f>
        <v/>
      </c>
      <c r="X1666" s="314" t="str" cm="1">
        <f t="array" aca="1" ref="X1666" ca="1">IFERROR(IF(AE1666&lt;&gt;"ja",_xlfn.IFNA(_xlfn.IFS(AND(P1666&lt;&gt;"",R1666&lt;&gt;"",RIGHT($N1666,6)="tarief",F1666="Vergoeding"),SUM(P1666)*FLOOR(SUM(R1666),0.0001),AND(P1666&lt;&gt;"",R1666&lt;&gt;"",RIGHT($N1666,6)="tarief"),P1666*FLOOR(R1666,0.01),T1666&gt;0,FLOOR(SUM(T1666),0.01)),""),""),"")</f>
        <v/>
      </c>
      <c r="Y1666" s="314" t="str">
        <f t="shared" ca="1" si="102"/>
        <v/>
      </c>
      <c r="Z1666" s="314" t="str" cm="1">
        <f t="array" aca="1" ref="Z1666" ca="1">IFERROR(_xlfn.IFS(OR(F1666="",LEFT(Methode_Keuze,4)="Geen",Methode_Keuze=""),"",AND(W1666&lt;&gt;"",F1666&lt;&gt;"Arbeidskosten"),W1666*VLOOKUP(F1666,Tb_ProjectKosten[],MATCH(Tb_ProjectKosten[[#Headers],[Forfait_Percentage]],Tb_ProjectKosten[#Headers],0),0),AND(F1666="Arbeidskosten",G1666&lt;&gt;""),IFERROR(W1666*VLOOKUP(G1666,Tb_KostenTypen[],3,0)*VLOOKUP(F1666,Tb_ProjectKosten[],MATCH(Tb_ProjectKosten[[#Headers],[Forfait_Percentage]],Tb_ProjectKosten[#Headers],0),0),""),W1666 &lt;=0,0),"")</f>
        <v/>
      </c>
      <c r="AA1666" s="314" t="str" cm="1">
        <f t="array" aca="1" ref="AA1666" ca="1">IFERROR(_xlfn.IFS(OR(F1666="",LEFT(Methode_Keuze,4)="Geen",Methode_Keuze=""),"",AND(X1666&lt;&gt;"",F1666&lt;&gt;"Arbeidskosten"),X1666*VLOOKUP(F1666,Tb_ProjectKosten[],MATCH(Tb_ProjectKosten[[#Headers],[Forfait_Percentage]],Tb_ProjectKosten[#Headers],0),0),AND(F1666="Arbeidskosten",G1666&lt;&gt;""),IFERROR(X1666*VLOOKUP(G1666,Tb_KostenTypen[],3,0)*VLOOKUP(F1666,Tb_ProjectKosten[],MATCH(Tb_ProjectKosten[[#Headers],[Forfait_Percentage]],Tb_ProjectKosten[#Headers],0),0),""),X1666 &lt;=0,0),"")</f>
        <v/>
      </c>
      <c r="AB1666" s="314" t="str">
        <f t="shared" ca="1" si="103"/>
        <v/>
      </c>
      <c r="AC1666" s="322"/>
      <c r="AD1666" s="315"/>
      <c r="AE1666" s="32" t="str" cm="1">
        <f t="array" ref="AE1666">IFERROR(IF(INDEX(SubsidieTabel!$AD$1:$AG$12,MATCH($F1666,SubsidieTabel!$AD$1:$AD$12,0),IFERROR(MATCH(Methode_Keuze,SubsidieTabel!$AD$1:$AG$1,0),2))&lt;&gt;1=TRUE,"ja",""),"")</f>
        <v/>
      </c>
    </row>
    <row r="1667" spans="1:31" x14ac:dyDescent="0.25">
      <c r="A1667" s="316"/>
      <c r="B1667" s="317" t="str">
        <f>IF(A1667&lt;&gt;"",_xlfn.MAXIFS($B$1:B1666,$A$1:A1666,A1667)+1,"")</f>
        <v/>
      </c>
      <c r="C1667" s="296"/>
      <c r="D1667" s="296"/>
      <c r="E1667" s="296"/>
      <c r="F1667" s="296"/>
      <c r="G1667" s="326"/>
      <c r="H1667" s="324"/>
      <c r="I1667" s="325"/>
      <c r="J1667" s="325"/>
      <c r="K1667" s="318"/>
      <c r="L1667" s="318"/>
      <c r="M1667" s="319" t="str">
        <f>IFERROR(VLOOKUP(H1667,Lijsten!$H$1:$I$100,2,0),"")</f>
        <v/>
      </c>
      <c r="N1667" s="319" t="str">
        <f ca="1">IFERROR(IF(VLOOKUP(F1667,Kostentypen!$A$3:$E$21,3,0)=0,"",IF(OR(F1667="Arbeidskosten",F1667="Vergoeding"),VLOOKUP(G1667,Tb_KostenTypen[],2,0),VLOOKUP(F1667,Kostentypen!$A$3:$E$20,3,0))),"")</f>
        <v/>
      </c>
      <c r="O1667" s="320" t="str" cm="1">
        <f t="array" ref="O1667">_xlfn.IFNA(IF(INDEX(Tb_KostenOptiesDB[],MATCH($F1667,Tb_KostenOptiesDB[KostenOptie],0),IFERROR(MATCH(Methode_Keuze,Tb_KostenOptiesDB[#Headers],0),2))=1,_xlfn.SWITCH($N1667,"Uurtarief",IF(OR(AND(RIGHT($F1667,3)="IKS",VLOOKUP($M1667,DB_Loonkosten,2,0)="Ja"),AND(RIGHT($F1667,3)&lt;&gt;"IKS",VLOOKUP($M1667,DB_Loonkosten,2,0)="Nee")),IFERROR(VLOOKUP($M1667,DB_Loonkosten,24,0),""),0),"Vast tarief",IF(LEFT(F1667,8)="Bijdrage",VLOOKUP($F1667,Tb_KostenTypen[],MATCH(Lijsten!$P$1,Tb_KostenTypen[#Headers],0),0),VLOOKUP($G1667,Lijsten!L:P,MATCH(Lijsten!$P$1,Kop_Tarief_Vast,0),0))),""),"")</f>
        <v/>
      </c>
      <c r="P1667" s="320" t="str" cm="1">
        <f t="array" ref="P1667">_xlfn.IFNA(IF(INDEX(Tb_KostenOptiesDB[],MATCH($F1667,Tb_KostenOptiesDB[KostenOptie],0),IFERROR(MATCH(Methode_Keuze,Tb_KostenOptiesDB[#Headers],0),2))=1,_xlfn.SWITCH($N1667,"Uurtarief",IF(OR(AND(RIGHT($F1667,3)="IKS",VLOOKUP($M1667,DB_Loonkosten,2,0)="Ja"),AND(RIGHT($F1667,3)&lt;&gt;"IKS",VLOOKUP($M1667,DB_Loonkosten,2,0)="Nee")),IFERROR(VLOOKUP($M1667,DB_Loonkosten,25,0),""),0),"Vast tarief",IF(LEFT(F1667,8)="Bijdrage",VLOOKUP($F1667,Tb_KostenTypen[],MATCH(Lijsten!$P$1,Tb_KostenTypen[#Headers],0),0),VLOOKUP($G1667,Lijsten!L:P,MATCH(Lijsten!$P$1,Kop_Tarief_Vast,0),0))),""),"")</f>
        <v/>
      </c>
      <c r="Q1667" s="359"/>
      <c r="R1667" s="359"/>
      <c r="S1667" s="321"/>
      <c r="T1667" s="321"/>
      <c r="U1667" s="373" t="str">
        <f t="shared" ref="U1667:U1730" si="104">IFERROR(IF(AND(R1667&lt;&gt;"",R1667&lt;&gt;Q1667),-1*(R1667-Q1667),""),"")</f>
        <v/>
      </c>
      <c r="V1667" s="314" t="str">
        <f t="shared" ref="V1667:V1730" si="105">IFERROR(IF(AND(T1667&lt;&gt;"",T1667&lt;&gt;S1667),-1*(T1667-S1667),""),"")</f>
        <v/>
      </c>
      <c r="W1667" s="314" t="str" cm="1">
        <f t="array" aca="1" ref="W1667" ca="1">IFERROR(IF(AE1667&lt;&gt;"ja",_xlfn.IFNA(_xlfn.IFS(AND(O1667&lt;&gt;"",F1667&lt;&gt;"",RIGHT($N1667,6)="tarief",F1667="Vergoeding"),SUM(O1667)*FLOOR(SUM(Q1667),0.0001),AND(O1667&lt;&gt;"",F1667&lt;&gt;"",RIGHT($N1667,6)="tarief"),SUM(O1667)*FLOOR(SUM(Q1667),0.01),S1667&gt;0,IF(F1667&lt;&gt;"",FLOOR(SUM(S1667),0.01),"")),""),""),"")</f>
        <v/>
      </c>
      <c r="X1667" s="314" t="str" cm="1">
        <f t="array" aca="1" ref="X1667" ca="1">IFERROR(IF(AE1667&lt;&gt;"ja",_xlfn.IFNA(_xlfn.IFS(AND(P1667&lt;&gt;"",R1667&lt;&gt;"",RIGHT($N1667,6)="tarief",F1667="Vergoeding"),SUM(P1667)*FLOOR(SUM(R1667),0.0001),AND(P1667&lt;&gt;"",R1667&lt;&gt;"",RIGHT($N1667,6)="tarief"),P1667*FLOOR(R1667,0.01),T1667&gt;0,FLOOR(SUM(T1667),0.01)),""),""),"")</f>
        <v/>
      </c>
      <c r="Y1667" s="314" t="str">
        <f t="shared" ref="Y1667:Y1730" ca="1" si="106">IFERROR(IF(AND(X1667&lt;&gt;"",X1667&lt;&gt;W1667),-1*(X1667-W1667),""),"")</f>
        <v/>
      </c>
      <c r="Z1667" s="314" t="str" cm="1">
        <f t="array" aca="1" ref="Z1667" ca="1">IFERROR(_xlfn.IFS(OR(F1667="",LEFT(Methode_Keuze,4)="Geen",Methode_Keuze=""),"",AND(W1667&lt;&gt;"",F1667&lt;&gt;"Arbeidskosten"),W1667*VLOOKUP(F1667,Tb_ProjectKosten[],MATCH(Tb_ProjectKosten[[#Headers],[Forfait_Percentage]],Tb_ProjectKosten[#Headers],0),0),AND(F1667="Arbeidskosten",G1667&lt;&gt;""),IFERROR(W1667*VLOOKUP(G1667,Tb_KostenTypen[],3,0)*VLOOKUP(F1667,Tb_ProjectKosten[],MATCH(Tb_ProjectKosten[[#Headers],[Forfait_Percentage]],Tb_ProjectKosten[#Headers],0),0),""),W1667 &lt;=0,0),"")</f>
        <v/>
      </c>
      <c r="AA1667" s="314" t="str" cm="1">
        <f t="array" aca="1" ref="AA1667" ca="1">IFERROR(_xlfn.IFS(OR(F1667="",LEFT(Methode_Keuze,4)="Geen",Methode_Keuze=""),"",AND(X1667&lt;&gt;"",F1667&lt;&gt;"Arbeidskosten"),X1667*VLOOKUP(F1667,Tb_ProjectKosten[],MATCH(Tb_ProjectKosten[[#Headers],[Forfait_Percentage]],Tb_ProjectKosten[#Headers],0),0),AND(F1667="Arbeidskosten",G1667&lt;&gt;""),IFERROR(X1667*VLOOKUP(G1667,Tb_KostenTypen[],3,0)*VLOOKUP(F1667,Tb_ProjectKosten[],MATCH(Tb_ProjectKosten[[#Headers],[Forfait_Percentage]],Tb_ProjectKosten[#Headers],0),0),""),X1667 &lt;=0,0),"")</f>
        <v/>
      </c>
      <c r="AB1667" s="314" t="str">
        <f t="shared" ref="AB1667:AB1730" ca="1" si="107">IFERROR(IF(AND(AA1667&lt;&gt;"",AA1667&lt;&gt;Z1667),-1*(AA1667-Z1667),""),"")</f>
        <v/>
      </c>
      <c r="AC1667" s="322"/>
      <c r="AD1667" s="315"/>
      <c r="AE1667" s="32" t="str" cm="1">
        <f t="array" ref="AE1667">IFERROR(IF(INDEX(SubsidieTabel!$AD$1:$AG$12,MATCH($F1667,SubsidieTabel!$AD$1:$AD$12,0),IFERROR(MATCH(Methode_Keuze,SubsidieTabel!$AD$1:$AG$1,0),2))&lt;&gt;1=TRUE,"ja",""),"")</f>
        <v/>
      </c>
    </row>
    <row r="1668" spans="1:31" x14ac:dyDescent="0.25">
      <c r="A1668" s="316"/>
      <c r="B1668" s="317" t="str">
        <f>IF(A1668&lt;&gt;"",_xlfn.MAXIFS($B$1:B1667,$A$1:A1667,A1668)+1,"")</f>
        <v/>
      </c>
      <c r="C1668" s="296"/>
      <c r="D1668" s="296"/>
      <c r="E1668" s="296"/>
      <c r="F1668" s="296"/>
      <c r="G1668" s="326"/>
      <c r="H1668" s="324"/>
      <c r="I1668" s="325"/>
      <c r="J1668" s="325"/>
      <c r="K1668" s="318"/>
      <c r="L1668" s="318"/>
      <c r="M1668" s="319" t="str">
        <f>IFERROR(VLOOKUP(H1668,Lijsten!$H$1:$I$100,2,0),"")</f>
        <v/>
      </c>
      <c r="N1668" s="319" t="str">
        <f ca="1">IFERROR(IF(VLOOKUP(F1668,Kostentypen!$A$3:$E$21,3,0)=0,"",IF(OR(F1668="Arbeidskosten",F1668="Vergoeding"),VLOOKUP(G1668,Tb_KostenTypen[],2,0),VLOOKUP(F1668,Kostentypen!$A$3:$E$20,3,0))),"")</f>
        <v/>
      </c>
      <c r="O1668" s="320" t="str" cm="1">
        <f t="array" ref="O1668">_xlfn.IFNA(IF(INDEX(Tb_KostenOptiesDB[],MATCH($F1668,Tb_KostenOptiesDB[KostenOptie],0),IFERROR(MATCH(Methode_Keuze,Tb_KostenOptiesDB[#Headers],0),2))=1,_xlfn.SWITCH($N1668,"Uurtarief",IF(OR(AND(RIGHT($F1668,3)="IKS",VLOOKUP($M1668,DB_Loonkosten,2,0)="Ja"),AND(RIGHT($F1668,3)&lt;&gt;"IKS",VLOOKUP($M1668,DB_Loonkosten,2,0)="Nee")),IFERROR(VLOOKUP($M1668,DB_Loonkosten,24,0),""),0),"Vast tarief",IF(LEFT(F1668,8)="Bijdrage",VLOOKUP($F1668,Tb_KostenTypen[],MATCH(Lijsten!$P$1,Tb_KostenTypen[#Headers],0),0),VLOOKUP($G1668,Lijsten!L:P,MATCH(Lijsten!$P$1,Kop_Tarief_Vast,0),0))),""),"")</f>
        <v/>
      </c>
      <c r="P1668" s="320" t="str" cm="1">
        <f t="array" ref="P1668">_xlfn.IFNA(IF(INDEX(Tb_KostenOptiesDB[],MATCH($F1668,Tb_KostenOptiesDB[KostenOptie],0),IFERROR(MATCH(Methode_Keuze,Tb_KostenOptiesDB[#Headers],0),2))=1,_xlfn.SWITCH($N1668,"Uurtarief",IF(OR(AND(RIGHT($F1668,3)="IKS",VLOOKUP($M1668,DB_Loonkosten,2,0)="Ja"),AND(RIGHT($F1668,3)&lt;&gt;"IKS",VLOOKUP($M1668,DB_Loonkosten,2,0)="Nee")),IFERROR(VLOOKUP($M1668,DB_Loonkosten,25,0),""),0),"Vast tarief",IF(LEFT(F1668,8)="Bijdrage",VLOOKUP($F1668,Tb_KostenTypen[],MATCH(Lijsten!$P$1,Tb_KostenTypen[#Headers],0),0),VLOOKUP($G1668,Lijsten!L:P,MATCH(Lijsten!$P$1,Kop_Tarief_Vast,0),0))),""),"")</f>
        <v/>
      </c>
      <c r="Q1668" s="359"/>
      <c r="R1668" s="359"/>
      <c r="S1668" s="321"/>
      <c r="T1668" s="321"/>
      <c r="U1668" s="373" t="str">
        <f t="shared" si="104"/>
        <v/>
      </c>
      <c r="V1668" s="314" t="str">
        <f t="shared" si="105"/>
        <v/>
      </c>
      <c r="W1668" s="314" t="str" cm="1">
        <f t="array" aca="1" ref="W1668" ca="1">IFERROR(IF(AE1668&lt;&gt;"ja",_xlfn.IFNA(_xlfn.IFS(AND(O1668&lt;&gt;"",F1668&lt;&gt;"",RIGHT($N1668,6)="tarief",F1668="Vergoeding"),SUM(O1668)*FLOOR(SUM(Q1668),0.0001),AND(O1668&lt;&gt;"",F1668&lt;&gt;"",RIGHT($N1668,6)="tarief"),SUM(O1668)*FLOOR(SUM(Q1668),0.01),S1668&gt;0,IF(F1668&lt;&gt;"",FLOOR(SUM(S1668),0.01),"")),""),""),"")</f>
        <v/>
      </c>
      <c r="X1668" s="314" t="str" cm="1">
        <f t="array" aca="1" ref="X1668" ca="1">IFERROR(IF(AE1668&lt;&gt;"ja",_xlfn.IFNA(_xlfn.IFS(AND(P1668&lt;&gt;"",R1668&lt;&gt;"",RIGHT($N1668,6)="tarief",F1668="Vergoeding"),SUM(P1668)*FLOOR(SUM(R1668),0.0001),AND(P1668&lt;&gt;"",R1668&lt;&gt;"",RIGHT($N1668,6)="tarief"),P1668*FLOOR(R1668,0.01),T1668&gt;0,FLOOR(SUM(T1668),0.01)),""),""),"")</f>
        <v/>
      </c>
      <c r="Y1668" s="314" t="str">
        <f t="shared" ca="1" si="106"/>
        <v/>
      </c>
      <c r="Z1668" s="314" t="str" cm="1">
        <f t="array" aca="1" ref="Z1668" ca="1">IFERROR(_xlfn.IFS(OR(F1668="",LEFT(Methode_Keuze,4)="Geen",Methode_Keuze=""),"",AND(W1668&lt;&gt;"",F1668&lt;&gt;"Arbeidskosten"),W1668*VLOOKUP(F1668,Tb_ProjectKosten[],MATCH(Tb_ProjectKosten[[#Headers],[Forfait_Percentage]],Tb_ProjectKosten[#Headers],0),0),AND(F1668="Arbeidskosten",G1668&lt;&gt;""),IFERROR(W1668*VLOOKUP(G1668,Tb_KostenTypen[],3,0)*VLOOKUP(F1668,Tb_ProjectKosten[],MATCH(Tb_ProjectKosten[[#Headers],[Forfait_Percentage]],Tb_ProjectKosten[#Headers],0),0),""),W1668 &lt;=0,0),"")</f>
        <v/>
      </c>
      <c r="AA1668" s="314" t="str" cm="1">
        <f t="array" aca="1" ref="AA1668" ca="1">IFERROR(_xlfn.IFS(OR(F1668="",LEFT(Methode_Keuze,4)="Geen",Methode_Keuze=""),"",AND(X1668&lt;&gt;"",F1668&lt;&gt;"Arbeidskosten"),X1668*VLOOKUP(F1668,Tb_ProjectKosten[],MATCH(Tb_ProjectKosten[[#Headers],[Forfait_Percentage]],Tb_ProjectKosten[#Headers],0),0),AND(F1668="Arbeidskosten",G1668&lt;&gt;""),IFERROR(X1668*VLOOKUP(G1668,Tb_KostenTypen[],3,0)*VLOOKUP(F1668,Tb_ProjectKosten[],MATCH(Tb_ProjectKosten[[#Headers],[Forfait_Percentage]],Tb_ProjectKosten[#Headers],0),0),""),X1668 &lt;=0,0),"")</f>
        <v/>
      </c>
      <c r="AB1668" s="314" t="str">
        <f t="shared" ca="1" si="107"/>
        <v/>
      </c>
      <c r="AC1668" s="322"/>
      <c r="AD1668" s="315"/>
      <c r="AE1668" s="32" t="str" cm="1">
        <f t="array" ref="AE1668">IFERROR(IF(INDEX(SubsidieTabel!$AD$1:$AG$12,MATCH($F1668,SubsidieTabel!$AD$1:$AD$12,0),IFERROR(MATCH(Methode_Keuze,SubsidieTabel!$AD$1:$AG$1,0),2))&lt;&gt;1=TRUE,"ja",""),"")</f>
        <v/>
      </c>
    </row>
    <row r="1669" spans="1:31" x14ac:dyDescent="0.25">
      <c r="A1669" s="316"/>
      <c r="B1669" s="317" t="str">
        <f>IF(A1669&lt;&gt;"",_xlfn.MAXIFS($B$1:B1668,$A$1:A1668,A1669)+1,"")</f>
        <v/>
      </c>
      <c r="C1669" s="296"/>
      <c r="D1669" s="296"/>
      <c r="E1669" s="296"/>
      <c r="F1669" s="296"/>
      <c r="G1669" s="326"/>
      <c r="H1669" s="324"/>
      <c r="I1669" s="325"/>
      <c r="J1669" s="325"/>
      <c r="K1669" s="318"/>
      <c r="L1669" s="318"/>
      <c r="M1669" s="319" t="str">
        <f>IFERROR(VLOOKUP(H1669,Lijsten!$H$1:$I$100,2,0),"")</f>
        <v/>
      </c>
      <c r="N1669" s="319" t="str">
        <f ca="1">IFERROR(IF(VLOOKUP(F1669,Kostentypen!$A$3:$E$21,3,0)=0,"",IF(OR(F1669="Arbeidskosten",F1669="Vergoeding"),VLOOKUP(G1669,Tb_KostenTypen[],2,0),VLOOKUP(F1669,Kostentypen!$A$3:$E$20,3,0))),"")</f>
        <v/>
      </c>
      <c r="O1669" s="320" t="str" cm="1">
        <f t="array" ref="O1669">_xlfn.IFNA(IF(INDEX(Tb_KostenOptiesDB[],MATCH($F1669,Tb_KostenOptiesDB[KostenOptie],0),IFERROR(MATCH(Methode_Keuze,Tb_KostenOptiesDB[#Headers],0),2))=1,_xlfn.SWITCH($N1669,"Uurtarief",IF(OR(AND(RIGHT($F1669,3)="IKS",VLOOKUP($M1669,DB_Loonkosten,2,0)="Ja"),AND(RIGHT($F1669,3)&lt;&gt;"IKS",VLOOKUP($M1669,DB_Loonkosten,2,0)="Nee")),IFERROR(VLOOKUP($M1669,DB_Loonkosten,24,0),""),0),"Vast tarief",IF(LEFT(F1669,8)="Bijdrage",VLOOKUP($F1669,Tb_KostenTypen[],MATCH(Lijsten!$P$1,Tb_KostenTypen[#Headers],0),0),VLOOKUP($G1669,Lijsten!L:P,MATCH(Lijsten!$P$1,Kop_Tarief_Vast,0),0))),""),"")</f>
        <v/>
      </c>
      <c r="P1669" s="320" t="str" cm="1">
        <f t="array" ref="P1669">_xlfn.IFNA(IF(INDEX(Tb_KostenOptiesDB[],MATCH($F1669,Tb_KostenOptiesDB[KostenOptie],0),IFERROR(MATCH(Methode_Keuze,Tb_KostenOptiesDB[#Headers],0),2))=1,_xlfn.SWITCH($N1669,"Uurtarief",IF(OR(AND(RIGHT($F1669,3)="IKS",VLOOKUP($M1669,DB_Loonkosten,2,0)="Ja"),AND(RIGHT($F1669,3)&lt;&gt;"IKS",VLOOKUP($M1669,DB_Loonkosten,2,0)="Nee")),IFERROR(VLOOKUP($M1669,DB_Loonkosten,25,0),""),0),"Vast tarief",IF(LEFT(F1669,8)="Bijdrage",VLOOKUP($F1669,Tb_KostenTypen[],MATCH(Lijsten!$P$1,Tb_KostenTypen[#Headers],0),0),VLOOKUP($G1669,Lijsten!L:P,MATCH(Lijsten!$P$1,Kop_Tarief_Vast,0),0))),""),"")</f>
        <v/>
      </c>
      <c r="Q1669" s="359"/>
      <c r="R1669" s="359"/>
      <c r="S1669" s="321"/>
      <c r="T1669" s="321"/>
      <c r="U1669" s="373" t="str">
        <f t="shared" si="104"/>
        <v/>
      </c>
      <c r="V1669" s="314" t="str">
        <f t="shared" si="105"/>
        <v/>
      </c>
      <c r="W1669" s="314" t="str" cm="1">
        <f t="array" aca="1" ref="W1669" ca="1">IFERROR(IF(AE1669&lt;&gt;"ja",_xlfn.IFNA(_xlfn.IFS(AND(O1669&lt;&gt;"",F1669&lt;&gt;"",RIGHT($N1669,6)="tarief",F1669="Vergoeding"),SUM(O1669)*FLOOR(SUM(Q1669),0.0001),AND(O1669&lt;&gt;"",F1669&lt;&gt;"",RIGHT($N1669,6)="tarief"),SUM(O1669)*FLOOR(SUM(Q1669),0.01),S1669&gt;0,IF(F1669&lt;&gt;"",FLOOR(SUM(S1669),0.01),"")),""),""),"")</f>
        <v/>
      </c>
      <c r="X1669" s="314" t="str" cm="1">
        <f t="array" aca="1" ref="X1669" ca="1">IFERROR(IF(AE1669&lt;&gt;"ja",_xlfn.IFNA(_xlfn.IFS(AND(P1669&lt;&gt;"",R1669&lt;&gt;"",RIGHT($N1669,6)="tarief",F1669="Vergoeding"),SUM(P1669)*FLOOR(SUM(R1669),0.0001),AND(P1669&lt;&gt;"",R1669&lt;&gt;"",RIGHT($N1669,6)="tarief"),P1669*FLOOR(R1669,0.01),T1669&gt;0,FLOOR(SUM(T1669),0.01)),""),""),"")</f>
        <v/>
      </c>
      <c r="Y1669" s="314" t="str">
        <f t="shared" ca="1" si="106"/>
        <v/>
      </c>
      <c r="Z1669" s="314" t="str" cm="1">
        <f t="array" aca="1" ref="Z1669" ca="1">IFERROR(_xlfn.IFS(OR(F1669="",LEFT(Methode_Keuze,4)="Geen",Methode_Keuze=""),"",AND(W1669&lt;&gt;"",F1669&lt;&gt;"Arbeidskosten"),W1669*VLOOKUP(F1669,Tb_ProjectKosten[],MATCH(Tb_ProjectKosten[[#Headers],[Forfait_Percentage]],Tb_ProjectKosten[#Headers],0),0),AND(F1669="Arbeidskosten",G1669&lt;&gt;""),IFERROR(W1669*VLOOKUP(G1669,Tb_KostenTypen[],3,0)*VLOOKUP(F1669,Tb_ProjectKosten[],MATCH(Tb_ProjectKosten[[#Headers],[Forfait_Percentage]],Tb_ProjectKosten[#Headers],0),0),""),W1669 &lt;=0,0),"")</f>
        <v/>
      </c>
      <c r="AA1669" s="314" t="str" cm="1">
        <f t="array" aca="1" ref="AA1669" ca="1">IFERROR(_xlfn.IFS(OR(F1669="",LEFT(Methode_Keuze,4)="Geen",Methode_Keuze=""),"",AND(X1669&lt;&gt;"",F1669&lt;&gt;"Arbeidskosten"),X1669*VLOOKUP(F1669,Tb_ProjectKosten[],MATCH(Tb_ProjectKosten[[#Headers],[Forfait_Percentage]],Tb_ProjectKosten[#Headers],0),0),AND(F1669="Arbeidskosten",G1669&lt;&gt;""),IFERROR(X1669*VLOOKUP(G1669,Tb_KostenTypen[],3,0)*VLOOKUP(F1669,Tb_ProjectKosten[],MATCH(Tb_ProjectKosten[[#Headers],[Forfait_Percentage]],Tb_ProjectKosten[#Headers],0),0),""),X1669 &lt;=0,0),"")</f>
        <v/>
      </c>
      <c r="AB1669" s="314" t="str">
        <f t="shared" ca="1" si="107"/>
        <v/>
      </c>
      <c r="AC1669" s="322"/>
      <c r="AD1669" s="315"/>
      <c r="AE1669" s="32" t="str" cm="1">
        <f t="array" ref="AE1669">IFERROR(IF(INDEX(SubsidieTabel!$AD$1:$AG$12,MATCH($F1669,SubsidieTabel!$AD$1:$AD$12,0),IFERROR(MATCH(Methode_Keuze,SubsidieTabel!$AD$1:$AG$1,0),2))&lt;&gt;1=TRUE,"ja",""),"")</f>
        <v/>
      </c>
    </row>
    <row r="1670" spans="1:31" x14ac:dyDescent="0.25">
      <c r="A1670" s="316"/>
      <c r="B1670" s="317" t="str">
        <f>IF(A1670&lt;&gt;"",_xlfn.MAXIFS($B$1:B1669,$A$1:A1669,A1670)+1,"")</f>
        <v/>
      </c>
      <c r="C1670" s="296"/>
      <c r="D1670" s="296"/>
      <c r="E1670" s="296"/>
      <c r="F1670" s="296"/>
      <c r="G1670" s="326"/>
      <c r="H1670" s="324"/>
      <c r="I1670" s="325"/>
      <c r="J1670" s="325"/>
      <c r="K1670" s="318"/>
      <c r="L1670" s="318"/>
      <c r="M1670" s="319" t="str">
        <f>IFERROR(VLOOKUP(H1670,Lijsten!$H$1:$I$100,2,0),"")</f>
        <v/>
      </c>
      <c r="N1670" s="319" t="str">
        <f ca="1">IFERROR(IF(VLOOKUP(F1670,Kostentypen!$A$3:$E$21,3,0)=0,"",IF(OR(F1670="Arbeidskosten",F1670="Vergoeding"),VLOOKUP(G1670,Tb_KostenTypen[],2,0),VLOOKUP(F1670,Kostentypen!$A$3:$E$20,3,0))),"")</f>
        <v/>
      </c>
      <c r="O1670" s="320" t="str" cm="1">
        <f t="array" ref="O1670">_xlfn.IFNA(IF(INDEX(Tb_KostenOptiesDB[],MATCH($F1670,Tb_KostenOptiesDB[KostenOptie],0),IFERROR(MATCH(Methode_Keuze,Tb_KostenOptiesDB[#Headers],0),2))=1,_xlfn.SWITCH($N1670,"Uurtarief",IF(OR(AND(RIGHT($F1670,3)="IKS",VLOOKUP($M1670,DB_Loonkosten,2,0)="Ja"),AND(RIGHT($F1670,3)&lt;&gt;"IKS",VLOOKUP($M1670,DB_Loonkosten,2,0)="Nee")),IFERROR(VLOOKUP($M1670,DB_Loonkosten,24,0),""),0),"Vast tarief",IF(LEFT(F1670,8)="Bijdrage",VLOOKUP($F1670,Tb_KostenTypen[],MATCH(Lijsten!$P$1,Tb_KostenTypen[#Headers],0),0),VLOOKUP($G1670,Lijsten!L:P,MATCH(Lijsten!$P$1,Kop_Tarief_Vast,0),0))),""),"")</f>
        <v/>
      </c>
      <c r="P1670" s="320" t="str" cm="1">
        <f t="array" ref="P1670">_xlfn.IFNA(IF(INDEX(Tb_KostenOptiesDB[],MATCH($F1670,Tb_KostenOptiesDB[KostenOptie],0),IFERROR(MATCH(Methode_Keuze,Tb_KostenOptiesDB[#Headers],0),2))=1,_xlfn.SWITCH($N1670,"Uurtarief",IF(OR(AND(RIGHT($F1670,3)="IKS",VLOOKUP($M1670,DB_Loonkosten,2,0)="Ja"),AND(RIGHT($F1670,3)&lt;&gt;"IKS",VLOOKUP($M1670,DB_Loonkosten,2,0)="Nee")),IFERROR(VLOOKUP($M1670,DB_Loonkosten,25,0),""),0),"Vast tarief",IF(LEFT(F1670,8)="Bijdrage",VLOOKUP($F1670,Tb_KostenTypen[],MATCH(Lijsten!$P$1,Tb_KostenTypen[#Headers],0),0),VLOOKUP($G1670,Lijsten!L:P,MATCH(Lijsten!$P$1,Kop_Tarief_Vast,0),0))),""),"")</f>
        <v/>
      </c>
      <c r="Q1670" s="359"/>
      <c r="R1670" s="359"/>
      <c r="S1670" s="321"/>
      <c r="T1670" s="321"/>
      <c r="U1670" s="373" t="str">
        <f t="shared" si="104"/>
        <v/>
      </c>
      <c r="V1670" s="314" t="str">
        <f t="shared" si="105"/>
        <v/>
      </c>
      <c r="W1670" s="314" t="str" cm="1">
        <f t="array" aca="1" ref="W1670" ca="1">IFERROR(IF(AE1670&lt;&gt;"ja",_xlfn.IFNA(_xlfn.IFS(AND(O1670&lt;&gt;"",F1670&lt;&gt;"",RIGHT($N1670,6)="tarief",F1670="Vergoeding"),SUM(O1670)*FLOOR(SUM(Q1670),0.0001),AND(O1670&lt;&gt;"",F1670&lt;&gt;"",RIGHT($N1670,6)="tarief"),SUM(O1670)*FLOOR(SUM(Q1670),0.01),S1670&gt;0,IF(F1670&lt;&gt;"",FLOOR(SUM(S1670),0.01),"")),""),""),"")</f>
        <v/>
      </c>
      <c r="X1670" s="314" t="str" cm="1">
        <f t="array" aca="1" ref="X1670" ca="1">IFERROR(IF(AE1670&lt;&gt;"ja",_xlfn.IFNA(_xlfn.IFS(AND(P1670&lt;&gt;"",R1670&lt;&gt;"",RIGHT($N1670,6)="tarief",F1670="Vergoeding"),SUM(P1670)*FLOOR(SUM(R1670),0.0001),AND(P1670&lt;&gt;"",R1670&lt;&gt;"",RIGHT($N1670,6)="tarief"),P1670*FLOOR(R1670,0.01),T1670&gt;0,FLOOR(SUM(T1670),0.01)),""),""),"")</f>
        <v/>
      </c>
      <c r="Y1670" s="314" t="str">
        <f t="shared" ca="1" si="106"/>
        <v/>
      </c>
      <c r="Z1670" s="314" t="str" cm="1">
        <f t="array" aca="1" ref="Z1670" ca="1">IFERROR(_xlfn.IFS(OR(F1670="",LEFT(Methode_Keuze,4)="Geen",Methode_Keuze=""),"",AND(W1670&lt;&gt;"",F1670&lt;&gt;"Arbeidskosten"),W1670*VLOOKUP(F1670,Tb_ProjectKosten[],MATCH(Tb_ProjectKosten[[#Headers],[Forfait_Percentage]],Tb_ProjectKosten[#Headers],0),0),AND(F1670="Arbeidskosten",G1670&lt;&gt;""),IFERROR(W1670*VLOOKUP(G1670,Tb_KostenTypen[],3,0)*VLOOKUP(F1670,Tb_ProjectKosten[],MATCH(Tb_ProjectKosten[[#Headers],[Forfait_Percentage]],Tb_ProjectKosten[#Headers],0),0),""),W1670 &lt;=0,0),"")</f>
        <v/>
      </c>
      <c r="AA1670" s="314" t="str" cm="1">
        <f t="array" aca="1" ref="AA1670" ca="1">IFERROR(_xlfn.IFS(OR(F1670="",LEFT(Methode_Keuze,4)="Geen",Methode_Keuze=""),"",AND(X1670&lt;&gt;"",F1670&lt;&gt;"Arbeidskosten"),X1670*VLOOKUP(F1670,Tb_ProjectKosten[],MATCH(Tb_ProjectKosten[[#Headers],[Forfait_Percentage]],Tb_ProjectKosten[#Headers],0),0),AND(F1670="Arbeidskosten",G1670&lt;&gt;""),IFERROR(X1670*VLOOKUP(G1670,Tb_KostenTypen[],3,0)*VLOOKUP(F1670,Tb_ProjectKosten[],MATCH(Tb_ProjectKosten[[#Headers],[Forfait_Percentage]],Tb_ProjectKosten[#Headers],0),0),""),X1670 &lt;=0,0),"")</f>
        <v/>
      </c>
      <c r="AB1670" s="314" t="str">
        <f t="shared" ca="1" si="107"/>
        <v/>
      </c>
      <c r="AC1670" s="322"/>
      <c r="AD1670" s="315"/>
      <c r="AE1670" s="32" t="str" cm="1">
        <f t="array" ref="AE1670">IFERROR(IF(INDEX(SubsidieTabel!$AD$1:$AG$12,MATCH($F1670,SubsidieTabel!$AD$1:$AD$12,0),IFERROR(MATCH(Methode_Keuze,SubsidieTabel!$AD$1:$AG$1,0),2))&lt;&gt;1=TRUE,"ja",""),"")</f>
        <v/>
      </c>
    </row>
    <row r="1671" spans="1:31" x14ac:dyDescent="0.25">
      <c r="A1671" s="316"/>
      <c r="B1671" s="317" t="str">
        <f>IF(A1671&lt;&gt;"",_xlfn.MAXIFS($B$1:B1670,$A$1:A1670,A1671)+1,"")</f>
        <v/>
      </c>
      <c r="C1671" s="296"/>
      <c r="D1671" s="296"/>
      <c r="E1671" s="296"/>
      <c r="F1671" s="296"/>
      <c r="G1671" s="326"/>
      <c r="H1671" s="324"/>
      <c r="I1671" s="325"/>
      <c r="J1671" s="325"/>
      <c r="K1671" s="318"/>
      <c r="L1671" s="318"/>
      <c r="M1671" s="319" t="str">
        <f>IFERROR(VLOOKUP(H1671,Lijsten!$H$1:$I$100,2,0),"")</f>
        <v/>
      </c>
      <c r="N1671" s="319" t="str">
        <f ca="1">IFERROR(IF(VLOOKUP(F1671,Kostentypen!$A$3:$E$21,3,0)=0,"",IF(OR(F1671="Arbeidskosten",F1671="Vergoeding"),VLOOKUP(G1671,Tb_KostenTypen[],2,0),VLOOKUP(F1671,Kostentypen!$A$3:$E$20,3,0))),"")</f>
        <v/>
      </c>
      <c r="O1671" s="320" t="str" cm="1">
        <f t="array" ref="O1671">_xlfn.IFNA(IF(INDEX(Tb_KostenOptiesDB[],MATCH($F1671,Tb_KostenOptiesDB[KostenOptie],0),IFERROR(MATCH(Methode_Keuze,Tb_KostenOptiesDB[#Headers],0),2))=1,_xlfn.SWITCH($N1671,"Uurtarief",IF(OR(AND(RIGHT($F1671,3)="IKS",VLOOKUP($M1671,DB_Loonkosten,2,0)="Ja"),AND(RIGHT($F1671,3)&lt;&gt;"IKS",VLOOKUP($M1671,DB_Loonkosten,2,0)="Nee")),IFERROR(VLOOKUP($M1671,DB_Loonkosten,24,0),""),0),"Vast tarief",IF(LEFT(F1671,8)="Bijdrage",VLOOKUP($F1671,Tb_KostenTypen[],MATCH(Lijsten!$P$1,Tb_KostenTypen[#Headers],0),0),VLOOKUP($G1671,Lijsten!L:P,MATCH(Lijsten!$P$1,Kop_Tarief_Vast,0),0))),""),"")</f>
        <v/>
      </c>
      <c r="P1671" s="320" t="str" cm="1">
        <f t="array" ref="P1671">_xlfn.IFNA(IF(INDEX(Tb_KostenOptiesDB[],MATCH($F1671,Tb_KostenOptiesDB[KostenOptie],0),IFERROR(MATCH(Methode_Keuze,Tb_KostenOptiesDB[#Headers],0),2))=1,_xlfn.SWITCH($N1671,"Uurtarief",IF(OR(AND(RIGHT($F1671,3)="IKS",VLOOKUP($M1671,DB_Loonkosten,2,0)="Ja"),AND(RIGHT($F1671,3)&lt;&gt;"IKS",VLOOKUP($M1671,DB_Loonkosten,2,0)="Nee")),IFERROR(VLOOKUP($M1671,DB_Loonkosten,25,0),""),0),"Vast tarief",IF(LEFT(F1671,8)="Bijdrage",VLOOKUP($F1671,Tb_KostenTypen[],MATCH(Lijsten!$P$1,Tb_KostenTypen[#Headers],0),0),VLOOKUP($G1671,Lijsten!L:P,MATCH(Lijsten!$P$1,Kop_Tarief_Vast,0),0))),""),"")</f>
        <v/>
      </c>
      <c r="Q1671" s="359"/>
      <c r="R1671" s="359"/>
      <c r="S1671" s="321"/>
      <c r="T1671" s="321"/>
      <c r="U1671" s="373" t="str">
        <f t="shared" si="104"/>
        <v/>
      </c>
      <c r="V1671" s="314" t="str">
        <f t="shared" si="105"/>
        <v/>
      </c>
      <c r="W1671" s="314" t="str" cm="1">
        <f t="array" aca="1" ref="W1671" ca="1">IFERROR(IF(AE1671&lt;&gt;"ja",_xlfn.IFNA(_xlfn.IFS(AND(O1671&lt;&gt;"",F1671&lt;&gt;"",RIGHT($N1671,6)="tarief",F1671="Vergoeding"),SUM(O1671)*FLOOR(SUM(Q1671),0.0001),AND(O1671&lt;&gt;"",F1671&lt;&gt;"",RIGHT($N1671,6)="tarief"),SUM(O1671)*FLOOR(SUM(Q1671),0.01),S1671&gt;0,IF(F1671&lt;&gt;"",FLOOR(SUM(S1671),0.01),"")),""),""),"")</f>
        <v/>
      </c>
      <c r="X1671" s="314" t="str" cm="1">
        <f t="array" aca="1" ref="X1671" ca="1">IFERROR(IF(AE1671&lt;&gt;"ja",_xlfn.IFNA(_xlfn.IFS(AND(P1671&lt;&gt;"",R1671&lt;&gt;"",RIGHT($N1671,6)="tarief",F1671="Vergoeding"),SUM(P1671)*FLOOR(SUM(R1671),0.0001),AND(P1671&lt;&gt;"",R1671&lt;&gt;"",RIGHT($N1671,6)="tarief"),P1671*FLOOR(R1671,0.01),T1671&gt;0,FLOOR(SUM(T1671),0.01)),""),""),"")</f>
        <v/>
      </c>
      <c r="Y1671" s="314" t="str">
        <f t="shared" ca="1" si="106"/>
        <v/>
      </c>
      <c r="Z1671" s="314" t="str" cm="1">
        <f t="array" aca="1" ref="Z1671" ca="1">IFERROR(_xlfn.IFS(OR(F1671="",LEFT(Methode_Keuze,4)="Geen",Methode_Keuze=""),"",AND(W1671&lt;&gt;"",F1671&lt;&gt;"Arbeidskosten"),W1671*VLOOKUP(F1671,Tb_ProjectKosten[],MATCH(Tb_ProjectKosten[[#Headers],[Forfait_Percentage]],Tb_ProjectKosten[#Headers],0),0),AND(F1671="Arbeidskosten",G1671&lt;&gt;""),IFERROR(W1671*VLOOKUP(G1671,Tb_KostenTypen[],3,0)*VLOOKUP(F1671,Tb_ProjectKosten[],MATCH(Tb_ProjectKosten[[#Headers],[Forfait_Percentage]],Tb_ProjectKosten[#Headers],0),0),""),W1671 &lt;=0,0),"")</f>
        <v/>
      </c>
      <c r="AA1671" s="314" t="str" cm="1">
        <f t="array" aca="1" ref="AA1671" ca="1">IFERROR(_xlfn.IFS(OR(F1671="",LEFT(Methode_Keuze,4)="Geen",Methode_Keuze=""),"",AND(X1671&lt;&gt;"",F1671&lt;&gt;"Arbeidskosten"),X1671*VLOOKUP(F1671,Tb_ProjectKosten[],MATCH(Tb_ProjectKosten[[#Headers],[Forfait_Percentage]],Tb_ProjectKosten[#Headers],0),0),AND(F1671="Arbeidskosten",G1671&lt;&gt;""),IFERROR(X1671*VLOOKUP(G1671,Tb_KostenTypen[],3,0)*VLOOKUP(F1671,Tb_ProjectKosten[],MATCH(Tb_ProjectKosten[[#Headers],[Forfait_Percentage]],Tb_ProjectKosten[#Headers],0),0),""),X1671 &lt;=0,0),"")</f>
        <v/>
      </c>
      <c r="AB1671" s="314" t="str">
        <f t="shared" ca="1" si="107"/>
        <v/>
      </c>
      <c r="AC1671" s="322"/>
      <c r="AD1671" s="315"/>
      <c r="AE1671" s="32" t="str" cm="1">
        <f t="array" ref="AE1671">IFERROR(IF(INDEX(SubsidieTabel!$AD$1:$AG$12,MATCH($F1671,SubsidieTabel!$AD$1:$AD$12,0),IFERROR(MATCH(Methode_Keuze,SubsidieTabel!$AD$1:$AG$1,0),2))&lt;&gt;1=TRUE,"ja",""),"")</f>
        <v/>
      </c>
    </row>
    <row r="1672" spans="1:31" x14ac:dyDescent="0.25">
      <c r="A1672" s="316"/>
      <c r="B1672" s="317" t="str">
        <f>IF(A1672&lt;&gt;"",_xlfn.MAXIFS($B$1:B1671,$A$1:A1671,A1672)+1,"")</f>
        <v/>
      </c>
      <c r="C1672" s="296"/>
      <c r="D1672" s="296"/>
      <c r="E1672" s="296"/>
      <c r="F1672" s="296"/>
      <c r="G1672" s="326"/>
      <c r="H1672" s="324"/>
      <c r="I1672" s="325"/>
      <c r="J1672" s="325"/>
      <c r="K1672" s="318"/>
      <c r="L1672" s="318"/>
      <c r="M1672" s="319" t="str">
        <f>IFERROR(VLOOKUP(H1672,Lijsten!$H$1:$I$100,2,0),"")</f>
        <v/>
      </c>
      <c r="N1672" s="319" t="str">
        <f ca="1">IFERROR(IF(VLOOKUP(F1672,Kostentypen!$A$3:$E$21,3,0)=0,"",IF(OR(F1672="Arbeidskosten",F1672="Vergoeding"),VLOOKUP(G1672,Tb_KostenTypen[],2,0),VLOOKUP(F1672,Kostentypen!$A$3:$E$20,3,0))),"")</f>
        <v/>
      </c>
      <c r="O1672" s="320" t="str" cm="1">
        <f t="array" ref="O1672">_xlfn.IFNA(IF(INDEX(Tb_KostenOptiesDB[],MATCH($F1672,Tb_KostenOptiesDB[KostenOptie],0),IFERROR(MATCH(Methode_Keuze,Tb_KostenOptiesDB[#Headers],0),2))=1,_xlfn.SWITCH($N1672,"Uurtarief",IF(OR(AND(RIGHT($F1672,3)="IKS",VLOOKUP($M1672,DB_Loonkosten,2,0)="Ja"),AND(RIGHT($F1672,3)&lt;&gt;"IKS",VLOOKUP($M1672,DB_Loonkosten,2,0)="Nee")),IFERROR(VLOOKUP($M1672,DB_Loonkosten,24,0),""),0),"Vast tarief",IF(LEFT(F1672,8)="Bijdrage",VLOOKUP($F1672,Tb_KostenTypen[],MATCH(Lijsten!$P$1,Tb_KostenTypen[#Headers],0),0),VLOOKUP($G1672,Lijsten!L:P,MATCH(Lijsten!$P$1,Kop_Tarief_Vast,0),0))),""),"")</f>
        <v/>
      </c>
      <c r="P1672" s="320" t="str" cm="1">
        <f t="array" ref="P1672">_xlfn.IFNA(IF(INDEX(Tb_KostenOptiesDB[],MATCH($F1672,Tb_KostenOptiesDB[KostenOptie],0),IFERROR(MATCH(Methode_Keuze,Tb_KostenOptiesDB[#Headers],0),2))=1,_xlfn.SWITCH($N1672,"Uurtarief",IF(OR(AND(RIGHT($F1672,3)="IKS",VLOOKUP($M1672,DB_Loonkosten,2,0)="Ja"),AND(RIGHT($F1672,3)&lt;&gt;"IKS",VLOOKUP($M1672,DB_Loonkosten,2,0)="Nee")),IFERROR(VLOOKUP($M1672,DB_Loonkosten,25,0),""),0),"Vast tarief",IF(LEFT(F1672,8)="Bijdrage",VLOOKUP($F1672,Tb_KostenTypen[],MATCH(Lijsten!$P$1,Tb_KostenTypen[#Headers],0),0),VLOOKUP($G1672,Lijsten!L:P,MATCH(Lijsten!$P$1,Kop_Tarief_Vast,0),0))),""),"")</f>
        <v/>
      </c>
      <c r="Q1672" s="359"/>
      <c r="R1672" s="359"/>
      <c r="S1672" s="321"/>
      <c r="T1672" s="321"/>
      <c r="U1672" s="373" t="str">
        <f t="shared" si="104"/>
        <v/>
      </c>
      <c r="V1672" s="314" t="str">
        <f t="shared" si="105"/>
        <v/>
      </c>
      <c r="W1672" s="314" t="str" cm="1">
        <f t="array" aca="1" ref="W1672" ca="1">IFERROR(IF(AE1672&lt;&gt;"ja",_xlfn.IFNA(_xlfn.IFS(AND(O1672&lt;&gt;"",F1672&lt;&gt;"",RIGHT($N1672,6)="tarief",F1672="Vergoeding"),SUM(O1672)*FLOOR(SUM(Q1672),0.0001),AND(O1672&lt;&gt;"",F1672&lt;&gt;"",RIGHT($N1672,6)="tarief"),SUM(O1672)*FLOOR(SUM(Q1672),0.01),S1672&gt;0,IF(F1672&lt;&gt;"",FLOOR(SUM(S1672),0.01),"")),""),""),"")</f>
        <v/>
      </c>
      <c r="X1672" s="314" t="str" cm="1">
        <f t="array" aca="1" ref="X1672" ca="1">IFERROR(IF(AE1672&lt;&gt;"ja",_xlfn.IFNA(_xlfn.IFS(AND(P1672&lt;&gt;"",R1672&lt;&gt;"",RIGHT($N1672,6)="tarief",F1672="Vergoeding"),SUM(P1672)*FLOOR(SUM(R1672),0.0001),AND(P1672&lt;&gt;"",R1672&lt;&gt;"",RIGHT($N1672,6)="tarief"),P1672*FLOOR(R1672,0.01),T1672&gt;0,FLOOR(SUM(T1672),0.01)),""),""),"")</f>
        <v/>
      </c>
      <c r="Y1672" s="314" t="str">
        <f t="shared" ca="1" si="106"/>
        <v/>
      </c>
      <c r="Z1672" s="314" t="str" cm="1">
        <f t="array" aca="1" ref="Z1672" ca="1">IFERROR(_xlfn.IFS(OR(F1672="",LEFT(Methode_Keuze,4)="Geen",Methode_Keuze=""),"",AND(W1672&lt;&gt;"",F1672&lt;&gt;"Arbeidskosten"),W1672*VLOOKUP(F1672,Tb_ProjectKosten[],MATCH(Tb_ProjectKosten[[#Headers],[Forfait_Percentage]],Tb_ProjectKosten[#Headers],0),0),AND(F1672="Arbeidskosten",G1672&lt;&gt;""),IFERROR(W1672*VLOOKUP(G1672,Tb_KostenTypen[],3,0)*VLOOKUP(F1672,Tb_ProjectKosten[],MATCH(Tb_ProjectKosten[[#Headers],[Forfait_Percentage]],Tb_ProjectKosten[#Headers],0),0),""),W1672 &lt;=0,0),"")</f>
        <v/>
      </c>
      <c r="AA1672" s="314" t="str" cm="1">
        <f t="array" aca="1" ref="AA1672" ca="1">IFERROR(_xlfn.IFS(OR(F1672="",LEFT(Methode_Keuze,4)="Geen",Methode_Keuze=""),"",AND(X1672&lt;&gt;"",F1672&lt;&gt;"Arbeidskosten"),X1672*VLOOKUP(F1672,Tb_ProjectKosten[],MATCH(Tb_ProjectKosten[[#Headers],[Forfait_Percentage]],Tb_ProjectKosten[#Headers],0),0),AND(F1672="Arbeidskosten",G1672&lt;&gt;""),IFERROR(X1672*VLOOKUP(G1672,Tb_KostenTypen[],3,0)*VLOOKUP(F1672,Tb_ProjectKosten[],MATCH(Tb_ProjectKosten[[#Headers],[Forfait_Percentage]],Tb_ProjectKosten[#Headers],0),0),""),X1672 &lt;=0,0),"")</f>
        <v/>
      </c>
      <c r="AB1672" s="314" t="str">
        <f t="shared" ca="1" si="107"/>
        <v/>
      </c>
      <c r="AC1672" s="322"/>
      <c r="AD1672" s="315"/>
      <c r="AE1672" s="32" t="str" cm="1">
        <f t="array" ref="AE1672">IFERROR(IF(INDEX(SubsidieTabel!$AD$1:$AG$12,MATCH($F1672,SubsidieTabel!$AD$1:$AD$12,0),IFERROR(MATCH(Methode_Keuze,SubsidieTabel!$AD$1:$AG$1,0),2))&lt;&gt;1=TRUE,"ja",""),"")</f>
        <v/>
      </c>
    </row>
    <row r="1673" spans="1:31" x14ac:dyDescent="0.25">
      <c r="A1673" s="316"/>
      <c r="B1673" s="317" t="str">
        <f>IF(A1673&lt;&gt;"",_xlfn.MAXIFS($B$1:B1672,$A$1:A1672,A1673)+1,"")</f>
        <v/>
      </c>
      <c r="C1673" s="296"/>
      <c r="D1673" s="296"/>
      <c r="E1673" s="296"/>
      <c r="F1673" s="296"/>
      <c r="G1673" s="326"/>
      <c r="H1673" s="324"/>
      <c r="I1673" s="325"/>
      <c r="J1673" s="325"/>
      <c r="K1673" s="318"/>
      <c r="L1673" s="318"/>
      <c r="M1673" s="319" t="str">
        <f>IFERROR(VLOOKUP(H1673,Lijsten!$H$1:$I$100,2,0),"")</f>
        <v/>
      </c>
      <c r="N1673" s="319" t="str">
        <f ca="1">IFERROR(IF(VLOOKUP(F1673,Kostentypen!$A$3:$E$21,3,0)=0,"",IF(OR(F1673="Arbeidskosten",F1673="Vergoeding"),VLOOKUP(G1673,Tb_KostenTypen[],2,0),VLOOKUP(F1673,Kostentypen!$A$3:$E$20,3,0))),"")</f>
        <v/>
      </c>
      <c r="O1673" s="320" t="str" cm="1">
        <f t="array" ref="O1673">_xlfn.IFNA(IF(INDEX(Tb_KostenOptiesDB[],MATCH($F1673,Tb_KostenOptiesDB[KostenOptie],0),IFERROR(MATCH(Methode_Keuze,Tb_KostenOptiesDB[#Headers],0),2))=1,_xlfn.SWITCH($N1673,"Uurtarief",IF(OR(AND(RIGHT($F1673,3)="IKS",VLOOKUP($M1673,DB_Loonkosten,2,0)="Ja"),AND(RIGHT($F1673,3)&lt;&gt;"IKS",VLOOKUP($M1673,DB_Loonkosten,2,0)="Nee")),IFERROR(VLOOKUP($M1673,DB_Loonkosten,24,0),""),0),"Vast tarief",IF(LEFT(F1673,8)="Bijdrage",VLOOKUP($F1673,Tb_KostenTypen[],MATCH(Lijsten!$P$1,Tb_KostenTypen[#Headers],0),0),VLOOKUP($G1673,Lijsten!L:P,MATCH(Lijsten!$P$1,Kop_Tarief_Vast,0),0))),""),"")</f>
        <v/>
      </c>
      <c r="P1673" s="320" t="str" cm="1">
        <f t="array" ref="P1673">_xlfn.IFNA(IF(INDEX(Tb_KostenOptiesDB[],MATCH($F1673,Tb_KostenOptiesDB[KostenOptie],0),IFERROR(MATCH(Methode_Keuze,Tb_KostenOptiesDB[#Headers],0),2))=1,_xlfn.SWITCH($N1673,"Uurtarief",IF(OR(AND(RIGHT($F1673,3)="IKS",VLOOKUP($M1673,DB_Loonkosten,2,0)="Ja"),AND(RIGHT($F1673,3)&lt;&gt;"IKS",VLOOKUP($M1673,DB_Loonkosten,2,0)="Nee")),IFERROR(VLOOKUP($M1673,DB_Loonkosten,25,0),""),0),"Vast tarief",IF(LEFT(F1673,8)="Bijdrage",VLOOKUP($F1673,Tb_KostenTypen[],MATCH(Lijsten!$P$1,Tb_KostenTypen[#Headers],0),0),VLOOKUP($G1673,Lijsten!L:P,MATCH(Lijsten!$P$1,Kop_Tarief_Vast,0),0))),""),"")</f>
        <v/>
      </c>
      <c r="Q1673" s="359"/>
      <c r="R1673" s="359"/>
      <c r="S1673" s="321"/>
      <c r="T1673" s="321"/>
      <c r="U1673" s="373" t="str">
        <f t="shared" si="104"/>
        <v/>
      </c>
      <c r="V1673" s="314" t="str">
        <f t="shared" si="105"/>
        <v/>
      </c>
      <c r="W1673" s="314" t="str" cm="1">
        <f t="array" aca="1" ref="W1673" ca="1">IFERROR(IF(AE1673&lt;&gt;"ja",_xlfn.IFNA(_xlfn.IFS(AND(O1673&lt;&gt;"",F1673&lt;&gt;"",RIGHT($N1673,6)="tarief",F1673="Vergoeding"),SUM(O1673)*FLOOR(SUM(Q1673),0.0001),AND(O1673&lt;&gt;"",F1673&lt;&gt;"",RIGHT($N1673,6)="tarief"),SUM(O1673)*FLOOR(SUM(Q1673),0.01),S1673&gt;0,IF(F1673&lt;&gt;"",FLOOR(SUM(S1673),0.01),"")),""),""),"")</f>
        <v/>
      </c>
      <c r="X1673" s="314" t="str" cm="1">
        <f t="array" aca="1" ref="X1673" ca="1">IFERROR(IF(AE1673&lt;&gt;"ja",_xlfn.IFNA(_xlfn.IFS(AND(P1673&lt;&gt;"",R1673&lt;&gt;"",RIGHT($N1673,6)="tarief",F1673="Vergoeding"),SUM(P1673)*FLOOR(SUM(R1673),0.0001),AND(P1673&lt;&gt;"",R1673&lt;&gt;"",RIGHT($N1673,6)="tarief"),P1673*FLOOR(R1673,0.01),T1673&gt;0,FLOOR(SUM(T1673),0.01)),""),""),"")</f>
        <v/>
      </c>
      <c r="Y1673" s="314" t="str">
        <f t="shared" ca="1" si="106"/>
        <v/>
      </c>
      <c r="Z1673" s="314" t="str" cm="1">
        <f t="array" aca="1" ref="Z1673" ca="1">IFERROR(_xlfn.IFS(OR(F1673="",LEFT(Methode_Keuze,4)="Geen",Methode_Keuze=""),"",AND(W1673&lt;&gt;"",F1673&lt;&gt;"Arbeidskosten"),W1673*VLOOKUP(F1673,Tb_ProjectKosten[],MATCH(Tb_ProjectKosten[[#Headers],[Forfait_Percentage]],Tb_ProjectKosten[#Headers],0),0),AND(F1673="Arbeidskosten",G1673&lt;&gt;""),IFERROR(W1673*VLOOKUP(G1673,Tb_KostenTypen[],3,0)*VLOOKUP(F1673,Tb_ProjectKosten[],MATCH(Tb_ProjectKosten[[#Headers],[Forfait_Percentage]],Tb_ProjectKosten[#Headers],0),0),""),W1673 &lt;=0,0),"")</f>
        <v/>
      </c>
      <c r="AA1673" s="314" t="str" cm="1">
        <f t="array" aca="1" ref="AA1673" ca="1">IFERROR(_xlfn.IFS(OR(F1673="",LEFT(Methode_Keuze,4)="Geen",Methode_Keuze=""),"",AND(X1673&lt;&gt;"",F1673&lt;&gt;"Arbeidskosten"),X1673*VLOOKUP(F1673,Tb_ProjectKosten[],MATCH(Tb_ProjectKosten[[#Headers],[Forfait_Percentage]],Tb_ProjectKosten[#Headers],0),0),AND(F1673="Arbeidskosten",G1673&lt;&gt;""),IFERROR(X1673*VLOOKUP(G1673,Tb_KostenTypen[],3,0)*VLOOKUP(F1673,Tb_ProjectKosten[],MATCH(Tb_ProjectKosten[[#Headers],[Forfait_Percentage]],Tb_ProjectKosten[#Headers],0),0),""),X1673 &lt;=0,0),"")</f>
        <v/>
      </c>
      <c r="AB1673" s="314" t="str">
        <f t="shared" ca="1" si="107"/>
        <v/>
      </c>
      <c r="AC1673" s="322"/>
      <c r="AD1673" s="315"/>
      <c r="AE1673" s="32" t="str" cm="1">
        <f t="array" ref="AE1673">IFERROR(IF(INDEX(SubsidieTabel!$AD$1:$AG$12,MATCH($F1673,SubsidieTabel!$AD$1:$AD$12,0),IFERROR(MATCH(Methode_Keuze,SubsidieTabel!$AD$1:$AG$1,0),2))&lt;&gt;1=TRUE,"ja",""),"")</f>
        <v/>
      </c>
    </row>
    <row r="1674" spans="1:31" x14ac:dyDescent="0.25">
      <c r="A1674" s="316"/>
      <c r="B1674" s="317" t="str">
        <f>IF(A1674&lt;&gt;"",_xlfn.MAXIFS($B$1:B1673,$A$1:A1673,A1674)+1,"")</f>
        <v/>
      </c>
      <c r="C1674" s="296"/>
      <c r="D1674" s="296"/>
      <c r="E1674" s="296"/>
      <c r="F1674" s="296"/>
      <c r="G1674" s="326"/>
      <c r="H1674" s="324"/>
      <c r="I1674" s="325"/>
      <c r="J1674" s="325"/>
      <c r="K1674" s="318"/>
      <c r="L1674" s="318"/>
      <c r="M1674" s="319" t="str">
        <f>IFERROR(VLOOKUP(H1674,Lijsten!$H$1:$I$100,2,0),"")</f>
        <v/>
      </c>
      <c r="N1674" s="319" t="str">
        <f ca="1">IFERROR(IF(VLOOKUP(F1674,Kostentypen!$A$3:$E$21,3,0)=0,"",IF(OR(F1674="Arbeidskosten",F1674="Vergoeding"),VLOOKUP(G1674,Tb_KostenTypen[],2,0),VLOOKUP(F1674,Kostentypen!$A$3:$E$20,3,0))),"")</f>
        <v/>
      </c>
      <c r="O1674" s="320" t="str" cm="1">
        <f t="array" ref="O1674">_xlfn.IFNA(IF(INDEX(Tb_KostenOptiesDB[],MATCH($F1674,Tb_KostenOptiesDB[KostenOptie],0),IFERROR(MATCH(Methode_Keuze,Tb_KostenOptiesDB[#Headers],0),2))=1,_xlfn.SWITCH($N1674,"Uurtarief",IF(OR(AND(RIGHT($F1674,3)="IKS",VLOOKUP($M1674,DB_Loonkosten,2,0)="Ja"),AND(RIGHT($F1674,3)&lt;&gt;"IKS",VLOOKUP($M1674,DB_Loonkosten,2,0)="Nee")),IFERROR(VLOOKUP($M1674,DB_Loonkosten,24,0),""),0),"Vast tarief",IF(LEFT(F1674,8)="Bijdrage",VLOOKUP($F1674,Tb_KostenTypen[],MATCH(Lijsten!$P$1,Tb_KostenTypen[#Headers],0),0),VLOOKUP($G1674,Lijsten!L:P,MATCH(Lijsten!$P$1,Kop_Tarief_Vast,0),0))),""),"")</f>
        <v/>
      </c>
      <c r="P1674" s="320" t="str" cm="1">
        <f t="array" ref="P1674">_xlfn.IFNA(IF(INDEX(Tb_KostenOptiesDB[],MATCH($F1674,Tb_KostenOptiesDB[KostenOptie],0),IFERROR(MATCH(Methode_Keuze,Tb_KostenOptiesDB[#Headers],0),2))=1,_xlfn.SWITCH($N1674,"Uurtarief",IF(OR(AND(RIGHT($F1674,3)="IKS",VLOOKUP($M1674,DB_Loonkosten,2,0)="Ja"),AND(RIGHT($F1674,3)&lt;&gt;"IKS",VLOOKUP($M1674,DB_Loonkosten,2,0)="Nee")),IFERROR(VLOOKUP($M1674,DB_Loonkosten,25,0),""),0),"Vast tarief",IF(LEFT(F1674,8)="Bijdrage",VLOOKUP($F1674,Tb_KostenTypen[],MATCH(Lijsten!$P$1,Tb_KostenTypen[#Headers],0),0),VLOOKUP($G1674,Lijsten!L:P,MATCH(Lijsten!$P$1,Kop_Tarief_Vast,0),0))),""),"")</f>
        <v/>
      </c>
      <c r="Q1674" s="359"/>
      <c r="R1674" s="359"/>
      <c r="S1674" s="321"/>
      <c r="T1674" s="321"/>
      <c r="U1674" s="373" t="str">
        <f t="shared" si="104"/>
        <v/>
      </c>
      <c r="V1674" s="314" t="str">
        <f t="shared" si="105"/>
        <v/>
      </c>
      <c r="W1674" s="314" t="str" cm="1">
        <f t="array" aca="1" ref="W1674" ca="1">IFERROR(IF(AE1674&lt;&gt;"ja",_xlfn.IFNA(_xlfn.IFS(AND(O1674&lt;&gt;"",F1674&lt;&gt;"",RIGHT($N1674,6)="tarief",F1674="Vergoeding"),SUM(O1674)*FLOOR(SUM(Q1674),0.0001),AND(O1674&lt;&gt;"",F1674&lt;&gt;"",RIGHT($N1674,6)="tarief"),SUM(O1674)*FLOOR(SUM(Q1674),0.01),S1674&gt;0,IF(F1674&lt;&gt;"",FLOOR(SUM(S1674),0.01),"")),""),""),"")</f>
        <v/>
      </c>
      <c r="X1674" s="314" t="str" cm="1">
        <f t="array" aca="1" ref="X1674" ca="1">IFERROR(IF(AE1674&lt;&gt;"ja",_xlfn.IFNA(_xlfn.IFS(AND(P1674&lt;&gt;"",R1674&lt;&gt;"",RIGHT($N1674,6)="tarief",F1674="Vergoeding"),SUM(P1674)*FLOOR(SUM(R1674),0.0001),AND(P1674&lt;&gt;"",R1674&lt;&gt;"",RIGHT($N1674,6)="tarief"),P1674*FLOOR(R1674,0.01),T1674&gt;0,FLOOR(SUM(T1674),0.01)),""),""),"")</f>
        <v/>
      </c>
      <c r="Y1674" s="314" t="str">
        <f t="shared" ca="1" si="106"/>
        <v/>
      </c>
      <c r="Z1674" s="314" t="str" cm="1">
        <f t="array" aca="1" ref="Z1674" ca="1">IFERROR(_xlfn.IFS(OR(F1674="",LEFT(Methode_Keuze,4)="Geen",Methode_Keuze=""),"",AND(W1674&lt;&gt;"",F1674&lt;&gt;"Arbeidskosten"),W1674*VLOOKUP(F1674,Tb_ProjectKosten[],MATCH(Tb_ProjectKosten[[#Headers],[Forfait_Percentage]],Tb_ProjectKosten[#Headers],0),0),AND(F1674="Arbeidskosten",G1674&lt;&gt;""),IFERROR(W1674*VLOOKUP(G1674,Tb_KostenTypen[],3,0)*VLOOKUP(F1674,Tb_ProjectKosten[],MATCH(Tb_ProjectKosten[[#Headers],[Forfait_Percentage]],Tb_ProjectKosten[#Headers],0),0),""),W1674 &lt;=0,0),"")</f>
        <v/>
      </c>
      <c r="AA1674" s="314" t="str" cm="1">
        <f t="array" aca="1" ref="AA1674" ca="1">IFERROR(_xlfn.IFS(OR(F1674="",LEFT(Methode_Keuze,4)="Geen",Methode_Keuze=""),"",AND(X1674&lt;&gt;"",F1674&lt;&gt;"Arbeidskosten"),X1674*VLOOKUP(F1674,Tb_ProjectKosten[],MATCH(Tb_ProjectKosten[[#Headers],[Forfait_Percentage]],Tb_ProjectKosten[#Headers],0),0),AND(F1674="Arbeidskosten",G1674&lt;&gt;""),IFERROR(X1674*VLOOKUP(G1674,Tb_KostenTypen[],3,0)*VLOOKUP(F1674,Tb_ProjectKosten[],MATCH(Tb_ProjectKosten[[#Headers],[Forfait_Percentage]],Tb_ProjectKosten[#Headers],0),0),""),X1674 &lt;=0,0),"")</f>
        <v/>
      </c>
      <c r="AB1674" s="314" t="str">
        <f t="shared" ca="1" si="107"/>
        <v/>
      </c>
      <c r="AC1674" s="322"/>
      <c r="AD1674" s="315"/>
      <c r="AE1674" s="32" t="str" cm="1">
        <f t="array" ref="AE1674">IFERROR(IF(INDEX(SubsidieTabel!$AD$1:$AG$12,MATCH($F1674,SubsidieTabel!$AD$1:$AD$12,0),IFERROR(MATCH(Methode_Keuze,SubsidieTabel!$AD$1:$AG$1,0),2))&lt;&gt;1=TRUE,"ja",""),"")</f>
        <v/>
      </c>
    </row>
    <row r="1675" spans="1:31" x14ac:dyDescent="0.25">
      <c r="A1675" s="316"/>
      <c r="B1675" s="317" t="str">
        <f>IF(A1675&lt;&gt;"",_xlfn.MAXIFS($B$1:B1674,$A$1:A1674,A1675)+1,"")</f>
        <v/>
      </c>
      <c r="C1675" s="296"/>
      <c r="D1675" s="296"/>
      <c r="E1675" s="296"/>
      <c r="F1675" s="296"/>
      <c r="G1675" s="326"/>
      <c r="H1675" s="324"/>
      <c r="I1675" s="325"/>
      <c r="J1675" s="325"/>
      <c r="K1675" s="318"/>
      <c r="L1675" s="318"/>
      <c r="M1675" s="319" t="str">
        <f>IFERROR(VLOOKUP(H1675,Lijsten!$H$1:$I$100,2,0),"")</f>
        <v/>
      </c>
      <c r="N1675" s="319" t="str">
        <f ca="1">IFERROR(IF(VLOOKUP(F1675,Kostentypen!$A$3:$E$21,3,0)=0,"",IF(OR(F1675="Arbeidskosten",F1675="Vergoeding"),VLOOKUP(G1675,Tb_KostenTypen[],2,0),VLOOKUP(F1675,Kostentypen!$A$3:$E$20,3,0))),"")</f>
        <v/>
      </c>
      <c r="O1675" s="320" t="str" cm="1">
        <f t="array" ref="O1675">_xlfn.IFNA(IF(INDEX(Tb_KostenOptiesDB[],MATCH($F1675,Tb_KostenOptiesDB[KostenOptie],0),IFERROR(MATCH(Methode_Keuze,Tb_KostenOptiesDB[#Headers],0),2))=1,_xlfn.SWITCH($N1675,"Uurtarief",IF(OR(AND(RIGHT($F1675,3)="IKS",VLOOKUP($M1675,DB_Loonkosten,2,0)="Ja"),AND(RIGHT($F1675,3)&lt;&gt;"IKS",VLOOKUP($M1675,DB_Loonkosten,2,0)="Nee")),IFERROR(VLOOKUP($M1675,DB_Loonkosten,24,0),""),0),"Vast tarief",IF(LEFT(F1675,8)="Bijdrage",VLOOKUP($F1675,Tb_KostenTypen[],MATCH(Lijsten!$P$1,Tb_KostenTypen[#Headers],0),0),VLOOKUP($G1675,Lijsten!L:P,MATCH(Lijsten!$P$1,Kop_Tarief_Vast,0),0))),""),"")</f>
        <v/>
      </c>
      <c r="P1675" s="320" t="str" cm="1">
        <f t="array" ref="P1675">_xlfn.IFNA(IF(INDEX(Tb_KostenOptiesDB[],MATCH($F1675,Tb_KostenOptiesDB[KostenOptie],0),IFERROR(MATCH(Methode_Keuze,Tb_KostenOptiesDB[#Headers],0),2))=1,_xlfn.SWITCH($N1675,"Uurtarief",IF(OR(AND(RIGHT($F1675,3)="IKS",VLOOKUP($M1675,DB_Loonkosten,2,0)="Ja"),AND(RIGHT($F1675,3)&lt;&gt;"IKS",VLOOKUP($M1675,DB_Loonkosten,2,0)="Nee")),IFERROR(VLOOKUP($M1675,DB_Loonkosten,25,0),""),0),"Vast tarief",IF(LEFT(F1675,8)="Bijdrage",VLOOKUP($F1675,Tb_KostenTypen[],MATCH(Lijsten!$P$1,Tb_KostenTypen[#Headers],0),0),VLOOKUP($G1675,Lijsten!L:P,MATCH(Lijsten!$P$1,Kop_Tarief_Vast,0),0))),""),"")</f>
        <v/>
      </c>
      <c r="Q1675" s="359"/>
      <c r="R1675" s="359"/>
      <c r="S1675" s="321"/>
      <c r="T1675" s="321"/>
      <c r="U1675" s="373" t="str">
        <f t="shared" si="104"/>
        <v/>
      </c>
      <c r="V1675" s="314" t="str">
        <f t="shared" si="105"/>
        <v/>
      </c>
      <c r="W1675" s="314" t="str" cm="1">
        <f t="array" aca="1" ref="W1675" ca="1">IFERROR(IF(AE1675&lt;&gt;"ja",_xlfn.IFNA(_xlfn.IFS(AND(O1675&lt;&gt;"",F1675&lt;&gt;"",RIGHT($N1675,6)="tarief",F1675="Vergoeding"),SUM(O1675)*FLOOR(SUM(Q1675),0.0001),AND(O1675&lt;&gt;"",F1675&lt;&gt;"",RIGHT($N1675,6)="tarief"),SUM(O1675)*FLOOR(SUM(Q1675),0.01),S1675&gt;0,IF(F1675&lt;&gt;"",FLOOR(SUM(S1675),0.01),"")),""),""),"")</f>
        <v/>
      </c>
      <c r="X1675" s="314" t="str" cm="1">
        <f t="array" aca="1" ref="X1675" ca="1">IFERROR(IF(AE1675&lt;&gt;"ja",_xlfn.IFNA(_xlfn.IFS(AND(P1675&lt;&gt;"",R1675&lt;&gt;"",RIGHT($N1675,6)="tarief",F1675="Vergoeding"),SUM(P1675)*FLOOR(SUM(R1675),0.0001),AND(P1675&lt;&gt;"",R1675&lt;&gt;"",RIGHT($N1675,6)="tarief"),P1675*FLOOR(R1675,0.01),T1675&gt;0,FLOOR(SUM(T1675),0.01)),""),""),"")</f>
        <v/>
      </c>
      <c r="Y1675" s="314" t="str">
        <f t="shared" ca="1" si="106"/>
        <v/>
      </c>
      <c r="Z1675" s="314" t="str" cm="1">
        <f t="array" aca="1" ref="Z1675" ca="1">IFERROR(_xlfn.IFS(OR(F1675="",LEFT(Methode_Keuze,4)="Geen",Methode_Keuze=""),"",AND(W1675&lt;&gt;"",F1675&lt;&gt;"Arbeidskosten"),W1675*VLOOKUP(F1675,Tb_ProjectKosten[],MATCH(Tb_ProjectKosten[[#Headers],[Forfait_Percentage]],Tb_ProjectKosten[#Headers],0),0),AND(F1675="Arbeidskosten",G1675&lt;&gt;""),IFERROR(W1675*VLOOKUP(G1675,Tb_KostenTypen[],3,0)*VLOOKUP(F1675,Tb_ProjectKosten[],MATCH(Tb_ProjectKosten[[#Headers],[Forfait_Percentage]],Tb_ProjectKosten[#Headers],0),0),""),W1675 &lt;=0,0),"")</f>
        <v/>
      </c>
      <c r="AA1675" s="314" t="str" cm="1">
        <f t="array" aca="1" ref="AA1675" ca="1">IFERROR(_xlfn.IFS(OR(F1675="",LEFT(Methode_Keuze,4)="Geen",Methode_Keuze=""),"",AND(X1675&lt;&gt;"",F1675&lt;&gt;"Arbeidskosten"),X1675*VLOOKUP(F1675,Tb_ProjectKosten[],MATCH(Tb_ProjectKosten[[#Headers],[Forfait_Percentage]],Tb_ProjectKosten[#Headers],0),0),AND(F1675="Arbeidskosten",G1675&lt;&gt;""),IFERROR(X1675*VLOOKUP(G1675,Tb_KostenTypen[],3,0)*VLOOKUP(F1675,Tb_ProjectKosten[],MATCH(Tb_ProjectKosten[[#Headers],[Forfait_Percentage]],Tb_ProjectKosten[#Headers],0),0),""),X1675 &lt;=0,0),"")</f>
        <v/>
      </c>
      <c r="AB1675" s="314" t="str">
        <f t="shared" ca="1" si="107"/>
        <v/>
      </c>
      <c r="AC1675" s="322"/>
      <c r="AD1675" s="315"/>
      <c r="AE1675" s="32" t="str" cm="1">
        <f t="array" ref="AE1675">IFERROR(IF(INDEX(SubsidieTabel!$AD$1:$AG$12,MATCH($F1675,SubsidieTabel!$AD$1:$AD$12,0),IFERROR(MATCH(Methode_Keuze,SubsidieTabel!$AD$1:$AG$1,0),2))&lt;&gt;1=TRUE,"ja",""),"")</f>
        <v/>
      </c>
    </row>
    <row r="1676" spans="1:31" x14ac:dyDescent="0.25">
      <c r="A1676" s="316"/>
      <c r="B1676" s="317" t="str">
        <f>IF(A1676&lt;&gt;"",_xlfn.MAXIFS($B$1:B1675,$A$1:A1675,A1676)+1,"")</f>
        <v/>
      </c>
      <c r="C1676" s="296"/>
      <c r="D1676" s="296"/>
      <c r="E1676" s="296"/>
      <c r="F1676" s="296"/>
      <c r="G1676" s="326"/>
      <c r="H1676" s="324"/>
      <c r="I1676" s="325"/>
      <c r="J1676" s="325"/>
      <c r="K1676" s="318"/>
      <c r="L1676" s="318"/>
      <c r="M1676" s="319" t="str">
        <f>IFERROR(VLOOKUP(H1676,Lijsten!$H$1:$I$100,2,0),"")</f>
        <v/>
      </c>
      <c r="N1676" s="319" t="str">
        <f ca="1">IFERROR(IF(VLOOKUP(F1676,Kostentypen!$A$3:$E$21,3,0)=0,"",IF(OR(F1676="Arbeidskosten",F1676="Vergoeding"),VLOOKUP(G1676,Tb_KostenTypen[],2,0),VLOOKUP(F1676,Kostentypen!$A$3:$E$20,3,0))),"")</f>
        <v/>
      </c>
      <c r="O1676" s="320" t="str" cm="1">
        <f t="array" ref="O1676">_xlfn.IFNA(IF(INDEX(Tb_KostenOptiesDB[],MATCH($F1676,Tb_KostenOptiesDB[KostenOptie],0),IFERROR(MATCH(Methode_Keuze,Tb_KostenOptiesDB[#Headers],0),2))=1,_xlfn.SWITCH($N1676,"Uurtarief",IF(OR(AND(RIGHT($F1676,3)="IKS",VLOOKUP($M1676,DB_Loonkosten,2,0)="Ja"),AND(RIGHT($F1676,3)&lt;&gt;"IKS",VLOOKUP($M1676,DB_Loonkosten,2,0)="Nee")),IFERROR(VLOOKUP($M1676,DB_Loonkosten,24,0),""),0),"Vast tarief",IF(LEFT(F1676,8)="Bijdrage",VLOOKUP($F1676,Tb_KostenTypen[],MATCH(Lijsten!$P$1,Tb_KostenTypen[#Headers],0),0),VLOOKUP($G1676,Lijsten!L:P,MATCH(Lijsten!$P$1,Kop_Tarief_Vast,0),0))),""),"")</f>
        <v/>
      </c>
      <c r="P1676" s="320" t="str" cm="1">
        <f t="array" ref="P1676">_xlfn.IFNA(IF(INDEX(Tb_KostenOptiesDB[],MATCH($F1676,Tb_KostenOptiesDB[KostenOptie],0),IFERROR(MATCH(Methode_Keuze,Tb_KostenOptiesDB[#Headers],0),2))=1,_xlfn.SWITCH($N1676,"Uurtarief",IF(OR(AND(RIGHT($F1676,3)="IKS",VLOOKUP($M1676,DB_Loonkosten,2,0)="Ja"),AND(RIGHT($F1676,3)&lt;&gt;"IKS",VLOOKUP($M1676,DB_Loonkosten,2,0)="Nee")),IFERROR(VLOOKUP($M1676,DB_Loonkosten,25,0),""),0),"Vast tarief",IF(LEFT(F1676,8)="Bijdrage",VLOOKUP($F1676,Tb_KostenTypen[],MATCH(Lijsten!$P$1,Tb_KostenTypen[#Headers],0),0),VLOOKUP($G1676,Lijsten!L:P,MATCH(Lijsten!$P$1,Kop_Tarief_Vast,0),0))),""),"")</f>
        <v/>
      </c>
      <c r="Q1676" s="359"/>
      <c r="R1676" s="359"/>
      <c r="S1676" s="321"/>
      <c r="T1676" s="321"/>
      <c r="U1676" s="373" t="str">
        <f t="shared" si="104"/>
        <v/>
      </c>
      <c r="V1676" s="314" t="str">
        <f t="shared" si="105"/>
        <v/>
      </c>
      <c r="W1676" s="314" t="str" cm="1">
        <f t="array" aca="1" ref="W1676" ca="1">IFERROR(IF(AE1676&lt;&gt;"ja",_xlfn.IFNA(_xlfn.IFS(AND(O1676&lt;&gt;"",F1676&lt;&gt;"",RIGHT($N1676,6)="tarief",F1676="Vergoeding"),SUM(O1676)*FLOOR(SUM(Q1676),0.0001),AND(O1676&lt;&gt;"",F1676&lt;&gt;"",RIGHT($N1676,6)="tarief"),SUM(O1676)*FLOOR(SUM(Q1676),0.01),S1676&gt;0,IF(F1676&lt;&gt;"",FLOOR(SUM(S1676),0.01),"")),""),""),"")</f>
        <v/>
      </c>
      <c r="X1676" s="314" t="str" cm="1">
        <f t="array" aca="1" ref="X1676" ca="1">IFERROR(IF(AE1676&lt;&gt;"ja",_xlfn.IFNA(_xlfn.IFS(AND(P1676&lt;&gt;"",R1676&lt;&gt;"",RIGHT($N1676,6)="tarief",F1676="Vergoeding"),SUM(P1676)*FLOOR(SUM(R1676),0.0001),AND(P1676&lt;&gt;"",R1676&lt;&gt;"",RIGHT($N1676,6)="tarief"),P1676*FLOOR(R1676,0.01),T1676&gt;0,FLOOR(SUM(T1676),0.01)),""),""),"")</f>
        <v/>
      </c>
      <c r="Y1676" s="314" t="str">
        <f t="shared" ca="1" si="106"/>
        <v/>
      </c>
      <c r="Z1676" s="314" t="str" cm="1">
        <f t="array" aca="1" ref="Z1676" ca="1">IFERROR(_xlfn.IFS(OR(F1676="",LEFT(Methode_Keuze,4)="Geen",Methode_Keuze=""),"",AND(W1676&lt;&gt;"",F1676&lt;&gt;"Arbeidskosten"),W1676*VLOOKUP(F1676,Tb_ProjectKosten[],MATCH(Tb_ProjectKosten[[#Headers],[Forfait_Percentage]],Tb_ProjectKosten[#Headers],0),0),AND(F1676="Arbeidskosten",G1676&lt;&gt;""),IFERROR(W1676*VLOOKUP(G1676,Tb_KostenTypen[],3,0)*VLOOKUP(F1676,Tb_ProjectKosten[],MATCH(Tb_ProjectKosten[[#Headers],[Forfait_Percentage]],Tb_ProjectKosten[#Headers],0),0),""),W1676 &lt;=0,0),"")</f>
        <v/>
      </c>
      <c r="AA1676" s="314" t="str" cm="1">
        <f t="array" aca="1" ref="AA1676" ca="1">IFERROR(_xlfn.IFS(OR(F1676="",LEFT(Methode_Keuze,4)="Geen",Methode_Keuze=""),"",AND(X1676&lt;&gt;"",F1676&lt;&gt;"Arbeidskosten"),X1676*VLOOKUP(F1676,Tb_ProjectKosten[],MATCH(Tb_ProjectKosten[[#Headers],[Forfait_Percentage]],Tb_ProjectKosten[#Headers],0),0),AND(F1676="Arbeidskosten",G1676&lt;&gt;""),IFERROR(X1676*VLOOKUP(G1676,Tb_KostenTypen[],3,0)*VLOOKUP(F1676,Tb_ProjectKosten[],MATCH(Tb_ProjectKosten[[#Headers],[Forfait_Percentage]],Tb_ProjectKosten[#Headers],0),0),""),X1676 &lt;=0,0),"")</f>
        <v/>
      </c>
      <c r="AB1676" s="314" t="str">
        <f t="shared" ca="1" si="107"/>
        <v/>
      </c>
      <c r="AC1676" s="322"/>
      <c r="AD1676" s="315"/>
      <c r="AE1676" s="32" t="str" cm="1">
        <f t="array" ref="AE1676">IFERROR(IF(INDEX(SubsidieTabel!$AD$1:$AG$12,MATCH($F1676,SubsidieTabel!$AD$1:$AD$12,0),IFERROR(MATCH(Methode_Keuze,SubsidieTabel!$AD$1:$AG$1,0),2))&lt;&gt;1=TRUE,"ja",""),"")</f>
        <v/>
      </c>
    </row>
    <row r="1677" spans="1:31" x14ac:dyDescent="0.25">
      <c r="A1677" s="316"/>
      <c r="B1677" s="317" t="str">
        <f>IF(A1677&lt;&gt;"",_xlfn.MAXIFS($B$1:B1676,$A$1:A1676,A1677)+1,"")</f>
        <v/>
      </c>
      <c r="C1677" s="296"/>
      <c r="D1677" s="296"/>
      <c r="E1677" s="296"/>
      <c r="F1677" s="296"/>
      <c r="G1677" s="326"/>
      <c r="H1677" s="324"/>
      <c r="I1677" s="325"/>
      <c r="J1677" s="325"/>
      <c r="K1677" s="318"/>
      <c r="L1677" s="318"/>
      <c r="M1677" s="319" t="str">
        <f>IFERROR(VLOOKUP(H1677,Lijsten!$H$1:$I$100,2,0),"")</f>
        <v/>
      </c>
      <c r="N1677" s="319" t="str">
        <f ca="1">IFERROR(IF(VLOOKUP(F1677,Kostentypen!$A$3:$E$21,3,0)=0,"",IF(OR(F1677="Arbeidskosten",F1677="Vergoeding"),VLOOKUP(G1677,Tb_KostenTypen[],2,0),VLOOKUP(F1677,Kostentypen!$A$3:$E$20,3,0))),"")</f>
        <v/>
      </c>
      <c r="O1677" s="320" t="str" cm="1">
        <f t="array" ref="O1677">_xlfn.IFNA(IF(INDEX(Tb_KostenOptiesDB[],MATCH($F1677,Tb_KostenOptiesDB[KostenOptie],0),IFERROR(MATCH(Methode_Keuze,Tb_KostenOptiesDB[#Headers],0),2))=1,_xlfn.SWITCH($N1677,"Uurtarief",IF(OR(AND(RIGHT($F1677,3)="IKS",VLOOKUP($M1677,DB_Loonkosten,2,0)="Ja"),AND(RIGHT($F1677,3)&lt;&gt;"IKS",VLOOKUP($M1677,DB_Loonkosten,2,0)="Nee")),IFERROR(VLOOKUP($M1677,DB_Loonkosten,24,0),""),0),"Vast tarief",IF(LEFT(F1677,8)="Bijdrage",VLOOKUP($F1677,Tb_KostenTypen[],MATCH(Lijsten!$P$1,Tb_KostenTypen[#Headers],0),0),VLOOKUP($G1677,Lijsten!L:P,MATCH(Lijsten!$P$1,Kop_Tarief_Vast,0),0))),""),"")</f>
        <v/>
      </c>
      <c r="P1677" s="320" t="str" cm="1">
        <f t="array" ref="P1677">_xlfn.IFNA(IF(INDEX(Tb_KostenOptiesDB[],MATCH($F1677,Tb_KostenOptiesDB[KostenOptie],0),IFERROR(MATCH(Methode_Keuze,Tb_KostenOptiesDB[#Headers],0),2))=1,_xlfn.SWITCH($N1677,"Uurtarief",IF(OR(AND(RIGHT($F1677,3)="IKS",VLOOKUP($M1677,DB_Loonkosten,2,0)="Ja"),AND(RIGHT($F1677,3)&lt;&gt;"IKS",VLOOKUP($M1677,DB_Loonkosten,2,0)="Nee")),IFERROR(VLOOKUP($M1677,DB_Loonkosten,25,0),""),0),"Vast tarief",IF(LEFT(F1677,8)="Bijdrage",VLOOKUP($F1677,Tb_KostenTypen[],MATCH(Lijsten!$P$1,Tb_KostenTypen[#Headers],0),0),VLOOKUP($G1677,Lijsten!L:P,MATCH(Lijsten!$P$1,Kop_Tarief_Vast,0),0))),""),"")</f>
        <v/>
      </c>
      <c r="Q1677" s="359"/>
      <c r="R1677" s="359"/>
      <c r="S1677" s="321"/>
      <c r="T1677" s="321"/>
      <c r="U1677" s="373" t="str">
        <f t="shared" si="104"/>
        <v/>
      </c>
      <c r="V1677" s="314" t="str">
        <f t="shared" si="105"/>
        <v/>
      </c>
      <c r="W1677" s="314" t="str" cm="1">
        <f t="array" aca="1" ref="W1677" ca="1">IFERROR(IF(AE1677&lt;&gt;"ja",_xlfn.IFNA(_xlfn.IFS(AND(O1677&lt;&gt;"",F1677&lt;&gt;"",RIGHT($N1677,6)="tarief",F1677="Vergoeding"),SUM(O1677)*FLOOR(SUM(Q1677),0.0001),AND(O1677&lt;&gt;"",F1677&lt;&gt;"",RIGHT($N1677,6)="tarief"),SUM(O1677)*FLOOR(SUM(Q1677),0.01),S1677&gt;0,IF(F1677&lt;&gt;"",FLOOR(SUM(S1677),0.01),"")),""),""),"")</f>
        <v/>
      </c>
      <c r="X1677" s="314" t="str" cm="1">
        <f t="array" aca="1" ref="X1677" ca="1">IFERROR(IF(AE1677&lt;&gt;"ja",_xlfn.IFNA(_xlfn.IFS(AND(P1677&lt;&gt;"",R1677&lt;&gt;"",RIGHT($N1677,6)="tarief",F1677="Vergoeding"),SUM(P1677)*FLOOR(SUM(R1677),0.0001),AND(P1677&lt;&gt;"",R1677&lt;&gt;"",RIGHT($N1677,6)="tarief"),P1677*FLOOR(R1677,0.01),T1677&gt;0,FLOOR(SUM(T1677),0.01)),""),""),"")</f>
        <v/>
      </c>
      <c r="Y1677" s="314" t="str">
        <f t="shared" ca="1" si="106"/>
        <v/>
      </c>
      <c r="Z1677" s="314" t="str" cm="1">
        <f t="array" aca="1" ref="Z1677" ca="1">IFERROR(_xlfn.IFS(OR(F1677="",LEFT(Methode_Keuze,4)="Geen",Methode_Keuze=""),"",AND(W1677&lt;&gt;"",F1677&lt;&gt;"Arbeidskosten"),W1677*VLOOKUP(F1677,Tb_ProjectKosten[],MATCH(Tb_ProjectKosten[[#Headers],[Forfait_Percentage]],Tb_ProjectKosten[#Headers],0),0),AND(F1677="Arbeidskosten",G1677&lt;&gt;""),IFERROR(W1677*VLOOKUP(G1677,Tb_KostenTypen[],3,0)*VLOOKUP(F1677,Tb_ProjectKosten[],MATCH(Tb_ProjectKosten[[#Headers],[Forfait_Percentage]],Tb_ProjectKosten[#Headers],0),0),""),W1677 &lt;=0,0),"")</f>
        <v/>
      </c>
      <c r="AA1677" s="314" t="str" cm="1">
        <f t="array" aca="1" ref="AA1677" ca="1">IFERROR(_xlfn.IFS(OR(F1677="",LEFT(Methode_Keuze,4)="Geen",Methode_Keuze=""),"",AND(X1677&lt;&gt;"",F1677&lt;&gt;"Arbeidskosten"),X1677*VLOOKUP(F1677,Tb_ProjectKosten[],MATCH(Tb_ProjectKosten[[#Headers],[Forfait_Percentage]],Tb_ProjectKosten[#Headers],0),0),AND(F1677="Arbeidskosten",G1677&lt;&gt;""),IFERROR(X1677*VLOOKUP(G1677,Tb_KostenTypen[],3,0)*VLOOKUP(F1677,Tb_ProjectKosten[],MATCH(Tb_ProjectKosten[[#Headers],[Forfait_Percentage]],Tb_ProjectKosten[#Headers],0),0),""),X1677 &lt;=0,0),"")</f>
        <v/>
      </c>
      <c r="AB1677" s="314" t="str">
        <f t="shared" ca="1" si="107"/>
        <v/>
      </c>
      <c r="AC1677" s="322"/>
      <c r="AD1677" s="315"/>
      <c r="AE1677" s="32" t="str" cm="1">
        <f t="array" ref="AE1677">IFERROR(IF(INDEX(SubsidieTabel!$AD$1:$AG$12,MATCH($F1677,SubsidieTabel!$AD$1:$AD$12,0),IFERROR(MATCH(Methode_Keuze,SubsidieTabel!$AD$1:$AG$1,0),2))&lt;&gt;1=TRUE,"ja",""),"")</f>
        <v/>
      </c>
    </row>
    <row r="1678" spans="1:31" x14ac:dyDescent="0.25">
      <c r="A1678" s="316"/>
      <c r="B1678" s="317" t="str">
        <f>IF(A1678&lt;&gt;"",_xlfn.MAXIFS($B$1:B1677,$A$1:A1677,A1678)+1,"")</f>
        <v/>
      </c>
      <c r="C1678" s="296"/>
      <c r="D1678" s="296"/>
      <c r="E1678" s="296"/>
      <c r="F1678" s="296"/>
      <c r="G1678" s="326"/>
      <c r="H1678" s="324"/>
      <c r="I1678" s="325"/>
      <c r="J1678" s="325"/>
      <c r="K1678" s="318"/>
      <c r="L1678" s="318"/>
      <c r="M1678" s="319" t="str">
        <f>IFERROR(VLOOKUP(H1678,Lijsten!$H$1:$I$100,2,0),"")</f>
        <v/>
      </c>
      <c r="N1678" s="319" t="str">
        <f ca="1">IFERROR(IF(VLOOKUP(F1678,Kostentypen!$A$3:$E$21,3,0)=0,"",IF(OR(F1678="Arbeidskosten",F1678="Vergoeding"),VLOOKUP(G1678,Tb_KostenTypen[],2,0),VLOOKUP(F1678,Kostentypen!$A$3:$E$20,3,0))),"")</f>
        <v/>
      </c>
      <c r="O1678" s="320" t="str" cm="1">
        <f t="array" ref="O1678">_xlfn.IFNA(IF(INDEX(Tb_KostenOptiesDB[],MATCH($F1678,Tb_KostenOptiesDB[KostenOptie],0),IFERROR(MATCH(Methode_Keuze,Tb_KostenOptiesDB[#Headers],0),2))=1,_xlfn.SWITCH($N1678,"Uurtarief",IF(OR(AND(RIGHT($F1678,3)="IKS",VLOOKUP($M1678,DB_Loonkosten,2,0)="Ja"),AND(RIGHT($F1678,3)&lt;&gt;"IKS",VLOOKUP($M1678,DB_Loonkosten,2,0)="Nee")),IFERROR(VLOOKUP($M1678,DB_Loonkosten,24,0),""),0),"Vast tarief",IF(LEFT(F1678,8)="Bijdrage",VLOOKUP($F1678,Tb_KostenTypen[],MATCH(Lijsten!$P$1,Tb_KostenTypen[#Headers],0),0),VLOOKUP($G1678,Lijsten!L:P,MATCH(Lijsten!$P$1,Kop_Tarief_Vast,0),0))),""),"")</f>
        <v/>
      </c>
      <c r="P1678" s="320" t="str" cm="1">
        <f t="array" ref="P1678">_xlfn.IFNA(IF(INDEX(Tb_KostenOptiesDB[],MATCH($F1678,Tb_KostenOptiesDB[KostenOptie],0),IFERROR(MATCH(Methode_Keuze,Tb_KostenOptiesDB[#Headers],0),2))=1,_xlfn.SWITCH($N1678,"Uurtarief",IF(OR(AND(RIGHT($F1678,3)="IKS",VLOOKUP($M1678,DB_Loonkosten,2,0)="Ja"),AND(RIGHT($F1678,3)&lt;&gt;"IKS",VLOOKUP($M1678,DB_Loonkosten,2,0)="Nee")),IFERROR(VLOOKUP($M1678,DB_Loonkosten,25,0),""),0),"Vast tarief",IF(LEFT(F1678,8)="Bijdrage",VLOOKUP($F1678,Tb_KostenTypen[],MATCH(Lijsten!$P$1,Tb_KostenTypen[#Headers],0),0),VLOOKUP($G1678,Lijsten!L:P,MATCH(Lijsten!$P$1,Kop_Tarief_Vast,0),0))),""),"")</f>
        <v/>
      </c>
      <c r="Q1678" s="359"/>
      <c r="R1678" s="359"/>
      <c r="S1678" s="321"/>
      <c r="T1678" s="321"/>
      <c r="U1678" s="373" t="str">
        <f t="shared" si="104"/>
        <v/>
      </c>
      <c r="V1678" s="314" t="str">
        <f t="shared" si="105"/>
        <v/>
      </c>
      <c r="W1678" s="314" t="str" cm="1">
        <f t="array" aca="1" ref="W1678" ca="1">IFERROR(IF(AE1678&lt;&gt;"ja",_xlfn.IFNA(_xlfn.IFS(AND(O1678&lt;&gt;"",F1678&lt;&gt;"",RIGHT($N1678,6)="tarief",F1678="Vergoeding"),SUM(O1678)*FLOOR(SUM(Q1678),0.0001),AND(O1678&lt;&gt;"",F1678&lt;&gt;"",RIGHT($N1678,6)="tarief"),SUM(O1678)*FLOOR(SUM(Q1678),0.01),S1678&gt;0,IF(F1678&lt;&gt;"",FLOOR(SUM(S1678),0.01),"")),""),""),"")</f>
        <v/>
      </c>
      <c r="X1678" s="314" t="str" cm="1">
        <f t="array" aca="1" ref="X1678" ca="1">IFERROR(IF(AE1678&lt;&gt;"ja",_xlfn.IFNA(_xlfn.IFS(AND(P1678&lt;&gt;"",R1678&lt;&gt;"",RIGHT($N1678,6)="tarief",F1678="Vergoeding"),SUM(P1678)*FLOOR(SUM(R1678),0.0001),AND(P1678&lt;&gt;"",R1678&lt;&gt;"",RIGHT($N1678,6)="tarief"),P1678*FLOOR(R1678,0.01),T1678&gt;0,FLOOR(SUM(T1678),0.01)),""),""),"")</f>
        <v/>
      </c>
      <c r="Y1678" s="314" t="str">
        <f t="shared" ca="1" si="106"/>
        <v/>
      </c>
      <c r="Z1678" s="314" t="str" cm="1">
        <f t="array" aca="1" ref="Z1678" ca="1">IFERROR(_xlfn.IFS(OR(F1678="",LEFT(Methode_Keuze,4)="Geen",Methode_Keuze=""),"",AND(W1678&lt;&gt;"",F1678&lt;&gt;"Arbeidskosten"),W1678*VLOOKUP(F1678,Tb_ProjectKosten[],MATCH(Tb_ProjectKosten[[#Headers],[Forfait_Percentage]],Tb_ProjectKosten[#Headers],0),0),AND(F1678="Arbeidskosten",G1678&lt;&gt;""),IFERROR(W1678*VLOOKUP(G1678,Tb_KostenTypen[],3,0)*VLOOKUP(F1678,Tb_ProjectKosten[],MATCH(Tb_ProjectKosten[[#Headers],[Forfait_Percentage]],Tb_ProjectKosten[#Headers],0),0),""),W1678 &lt;=0,0),"")</f>
        <v/>
      </c>
      <c r="AA1678" s="314" t="str" cm="1">
        <f t="array" aca="1" ref="AA1678" ca="1">IFERROR(_xlfn.IFS(OR(F1678="",LEFT(Methode_Keuze,4)="Geen",Methode_Keuze=""),"",AND(X1678&lt;&gt;"",F1678&lt;&gt;"Arbeidskosten"),X1678*VLOOKUP(F1678,Tb_ProjectKosten[],MATCH(Tb_ProjectKosten[[#Headers],[Forfait_Percentage]],Tb_ProjectKosten[#Headers],0),0),AND(F1678="Arbeidskosten",G1678&lt;&gt;""),IFERROR(X1678*VLOOKUP(G1678,Tb_KostenTypen[],3,0)*VLOOKUP(F1678,Tb_ProjectKosten[],MATCH(Tb_ProjectKosten[[#Headers],[Forfait_Percentage]],Tb_ProjectKosten[#Headers],0),0),""),X1678 &lt;=0,0),"")</f>
        <v/>
      </c>
      <c r="AB1678" s="314" t="str">
        <f t="shared" ca="1" si="107"/>
        <v/>
      </c>
      <c r="AC1678" s="322"/>
      <c r="AD1678" s="315"/>
      <c r="AE1678" s="32" t="str" cm="1">
        <f t="array" ref="AE1678">IFERROR(IF(INDEX(SubsidieTabel!$AD$1:$AG$12,MATCH($F1678,SubsidieTabel!$AD$1:$AD$12,0),IFERROR(MATCH(Methode_Keuze,SubsidieTabel!$AD$1:$AG$1,0),2))&lt;&gt;1=TRUE,"ja",""),"")</f>
        <v/>
      </c>
    </row>
    <row r="1679" spans="1:31" x14ac:dyDescent="0.25">
      <c r="A1679" s="316"/>
      <c r="B1679" s="317" t="str">
        <f>IF(A1679&lt;&gt;"",_xlfn.MAXIFS($B$1:B1678,$A$1:A1678,A1679)+1,"")</f>
        <v/>
      </c>
      <c r="C1679" s="296"/>
      <c r="D1679" s="296"/>
      <c r="E1679" s="296"/>
      <c r="F1679" s="296"/>
      <c r="G1679" s="326"/>
      <c r="H1679" s="324"/>
      <c r="I1679" s="325"/>
      <c r="J1679" s="325"/>
      <c r="K1679" s="318"/>
      <c r="L1679" s="318"/>
      <c r="M1679" s="319" t="str">
        <f>IFERROR(VLOOKUP(H1679,Lijsten!$H$1:$I$100,2,0),"")</f>
        <v/>
      </c>
      <c r="N1679" s="319" t="str">
        <f ca="1">IFERROR(IF(VLOOKUP(F1679,Kostentypen!$A$3:$E$21,3,0)=0,"",IF(OR(F1679="Arbeidskosten",F1679="Vergoeding"),VLOOKUP(G1679,Tb_KostenTypen[],2,0),VLOOKUP(F1679,Kostentypen!$A$3:$E$20,3,0))),"")</f>
        <v/>
      </c>
      <c r="O1679" s="320" t="str" cm="1">
        <f t="array" ref="O1679">_xlfn.IFNA(IF(INDEX(Tb_KostenOptiesDB[],MATCH($F1679,Tb_KostenOptiesDB[KostenOptie],0),IFERROR(MATCH(Methode_Keuze,Tb_KostenOptiesDB[#Headers],0),2))=1,_xlfn.SWITCH($N1679,"Uurtarief",IF(OR(AND(RIGHT($F1679,3)="IKS",VLOOKUP($M1679,DB_Loonkosten,2,0)="Ja"),AND(RIGHT($F1679,3)&lt;&gt;"IKS",VLOOKUP($M1679,DB_Loonkosten,2,0)="Nee")),IFERROR(VLOOKUP($M1679,DB_Loonkosten,24,0),""),0),"Vast tarief",IF(LEFT(F1679,8)="Bijdrage",VLOOKUP($F1679,Tb_KostenTypen[],MATCH(Lijsten!$P$1,Tb_KostenTypen[#Headers],0),0),VLOOKUP($G1679,Lijsten!L:P,MATCH(Lijsten!$P$1,Kop_Tarief_Vast,0),0))),""),"")</f>
        <v/>
      </c>
      <c r="P1679" s="320" t="str" cm="1">
        <f t="array" ref="P1679">_xlfn.IFNA(IF(INDEX(Tb_KostenOptiesDB[],MATCH($F1679,Tb_KostenOptiesDB[KostenOptie],0),IFERROR(MATCH(Methode_Keuze,Tb_KostenOptiesDB[#Headers],0),2))=1,_xlfn.SWITCH($N1679,"Uurtarief",IF(OR(AND(RIGHT($F1679,3)="IKS",VLOOKUP($M1679,DB_Loonkosten,2,0)="Ja"),AND(RIGHT($F1679,3)&lt;&gt;"IKS",VLOOKUP($M1679,DB_Loonkosten,2,0)="Nee")),IFERROR(VLOOKUP($M1679,DB_Loonkosten,25,0),""),0),"Vast tarief",IF(LEFT(F1679,8)="Bijdrage",VLOOKUP($F1679,Tb_KostenTypen[],MATCH(Lijsten!$P$1,Tb_KostenTypen[#Headers],0),0),VLOOKUP($G1679,Lijsten!L:P,MATCH(Lijsten!$P$1,Kop_Tarief_Vast,0),0))),""),"")</f>
        <v/>
      </c>
      <c r="Q1679" s="359"/>
      <c r="R1679" s="359"/>
      <c r="S1679" s="321"/>
      <c r="T1679" s="321"/>
      <c r="U1679" s="373" t="str">
        <f t="shared" si="104"/>
        <v/>
      </c>
      <c r="V1679" s="314" t="str">
        <f t="shared" si="105"/>
        <v/>
      </c>
      <c r="W1679" s="314" t="str" cm="1">
        <f t="array" aca="1" ref="W1679" ca="1">IFERROR(IF(AE1679&lt;&gt;"ja",_xlfn.IFNA(_xlfn.IFS(AND(O1679&lt;&gt;"",F1679&lt;&gt;"",RIGHT($N1679,6)="tarief",F1679="Vergoeding"),SUM(O1679)*FLOOR(SUM(Q1679),0.0001),AND(O1679&lt;&gt;"",F1679&lt;&gt;"",RIGHT($N1679,6)="tarief"),SUM(O1679)*FLOOR(SUM(Q1679),0.01),S1679&gt;0,IF(F1679&lt;&gt;"",FLOOR(SUM(S1679),0.01),"")),""),""),"")</f>
        <v/>
      </c>
      <c r="X1679" s="314" t="str" cm="1">
        <f t="array" aca="1" ref="X1679" ca="1">IFERROR(IF(AE1679&lt;&gt;"ja",_xlfn.IFNA(_xlfn.IFS(AND(P1679&lt;&gt;"",R1679&lt;&gt;"",RIGHT($N1679,6)="tarief",F1679="Vergoeding"),SUM(P1679)*FLOOR(SUM(R1679),0.0001),AND(P1679&lt;&gt;"",R1679&lt;&gt;"",RIGHT($N1679,6)="tarief"),P1679*FLOOR(R1679,0.01),T1679&gt;0,FLOOR(SUM(T1679),0.01)),""),""),"")</f>
        <v/>
      </c>
      <c r="Y1679" s="314" t="str">
        <f t="shared" ca="1" si="106"/>
        <v/>
      </c>
      <c r="Z1679" s="314" t="str" cm="1">
        <f t="array" aca="1" ref="Z1679" ca="1">IFERROR(_xlfn.IFS(OR(F1679="",LEFT(Methode_Keuze,4)="Geen",Methode_Keuze=""),"",AND(W1679&lt;&gt;"",F1679&lt;&gt;"Arbeidskosten"),W1679*VLOOKUP(F1679,Tb_ProjectKosten[],MATCH(Tb_ProjectKosten[[#Headers],[Forfait_Percentage]],Tb_ProjectKosten[#Headers],0),0),AND(F1679="Arbeidskosten",G1679&lt;&gt;""),IFERROR(W1679*VLOOKUP(G1679,Tb_KostenTypen[],3,0)*VLOOKUP(F1679,Tb_ProjectKosten[],MATCH(Tb_ProjectKosten[[#Headers],[Forfait_Percentage]],Tb_ProjectKosten[#Headers],0),0),""),W1679 &lt;=0,0),"")</f>
        <v/>
      </c>
      <c r="AA1679" s="314" t="str" cm="1">
        <f t="array" aca="1" ref="AA1679" ca="1">IFERROR(_xlfn.IFS(OR(F1679="",LEFT(Methode_Keuze,4)="Geen",Methode_Keuze=""),"",AND(X1679&lt;&gt;"",F1679&lt;&gt;"Arbeidskosten"),X1679*VLOOKUP(F1679,Tb_ProjectKosten[],MATCH(Tb_ProjectKosten[[#Headers],[Forfait_Percentage]],Tb_ProjectKosten[#Headers],0),0),AND(F1679="Arbeidskosten",G1679&lt;&gt;""),IFERROR(X1679*VLOOKUP(G1679,Tb_KostenTypen[],3,0)*VLOOKUP(F1679,Tb_ProjectKosten[],MATCH(Tb_ProjectKosten[[#Headers],[Forfait_Percentage]],Tb_ProjectKosten[#Headers],0),0),""),X1679 &lt;=0,0),"")</f>
        <v/>
      </c>
      <c r="AB1679" s="314" t="str">
        <f t="shared" ca="1" si="107"/>
        <v/>
      </c>
      <c r="AC1679" s="322"/>
      <c r="AD1679" s="315"/>
      <c r="AE1679" s="32" t="str" cm="1">
        <f t="array" ref="AE1679">IFERROR(IF(INDEX(SubsidieTabel!$AD$1:$AG$12,MATCH($F1679,SubsidieTabel!$AD$1:$AD$12,0),IFERROR(MATCH(Methode_Keuze,SubsidieTabel!$AD$1:$AG$1,0),2))&lt;&gt;1=TRUE,"ja",""),"")</f>
        <v/>
      </c>
    </row>
    <row r="1680" spans="1:31" x14ac:dyDescent="0.25">
      <c r="A1680" s="316"/>
      <c r="B1680" s="317" t="str">
        <f>IF(A1680&lt;&gt;"",_xlfn.MAXIFS($B$1:B1679,$A$1:A1679,A1680)+1,"")</f>
        <v/>
      </c>
      <c r="C1680" s="296"/>
      <c r="D1680" s="296"/>
      <c r="E1680" s="296"/>
      <c r="F1680" s="296"/>
      <c r="G1680" s="326"/>
      <c r="H1680" s="324"/>
      <c r="I1680" s="325"/>
      <c r="J1680" s="325"/>
      <c r="K1680" s="318"/>
      <c r="L1680" s="318"/>
      <c r="M1680" s="319" t="str">
        <f>IFERROR(VLOOKUP(H1680,Lijsten!$H$1:$I$100,2,0),"")</f>
        <v/>
      </c>
      <c r="N1680" s="319" t="str">
        <f ca="1">IFERROR(IF(VLOOKUP(F1680,Kostentypen!$A$3:$E$21,3,0)=0,"",IF(OR(F1680="Arbeidskosten",F1680="Vergoeding"),VLOOKUP(G1680,Tb_KostenTypen[],2,0),VLOOKUP(F1680,Kostentypen!$A$3:$E$20,3,0))),"")</f>
        <v/>
      </c>
      <c r="O1680" s="320" t="str" cm="1">
        <f t="array" ref="O1680">_xlfn.IFNA(IF(INDEX(Tb_KostenOptiesDB[],MATCH($F1680,Tb_KostenOptiesDB[KostenOptie],0),IFERROR(MATCH(Methode_Keuze,Tb_KostenOptiesDB[#Headers],0),2))=1,_xlfn.SWITCH($N1680,"Uurtarief",IF(OR(AND(RIGHT($F1680,3)="IKS",VLOOKUP($M1680,DB_Loonkosten,2,0)="Ja"),AND(RIGHT($F1680,3)&lt;&gt;"IKS",VLOOKUP($M1680,DB_Loonkosten,2,0)="Nee")),IFERROR(VLOOKUP($M1680,DB_Loonkosten,24,0),""),0),"Vast tarief",IF(LEFT(F1680,8)="Bijdrage",VLOOKUP($F1680,Tb_KostenTypen[],MATCH(Lijsten!$P$1,Tb_KostenTypen[#Headers],0),0),VLOOKUP($G1680,Lijsten!L:P,MATCH(Lijsten!$P$1,Kop_Tarief_Vast,0),0))),""),"")</f>
        <v/>
      </c>
      <c r="P1680" s="320" t="str" cm="1">
        <f t="array" ref="P1680">_xlfn.IFNA(IF(INDEX(Tb_KostenOptiesDB[],MATCH($F1680,Tb_KostenOptiesDB[KostenOptie],0),IFERROR(MATCH(Methode_Keuze,Tb_KostenOptiesDB[#Headers],0),2))=1,_xlfn.SWITCH($N1680,"Uurtarief",IF(OR(AND(RIGHT($F1680,3)="IKS",VLOOKUP($M1680,DB_Loonkosten,2,0)="Ja"),AND(RIGHT($F1680,3)&lt;&gt;"IKS",VLOOKUP($M1680,DB_Loonkosten,2,0)="Nee")),IFERROR(VLOOKUP($M1680,DB_Loonkosten,25,0),""),0),"Vast tarief",IF(LEFT(F1680,8)="Bijdrage",VLOOKUP($F1680,Tb_KostenTypen[],MATCH(Lijsten!$P$1,Tb_KostenTypen[#Headers],0),0),VLOOKUP($G1680,Lijsten!L:P,MATCH(Lijsten!$P$1,Kop_Tarief_Vast,0),0))),""),"")</f>
        <v/>
      </c>
      <c r="Q1680" s="359"/>
      <c r="R1680" s="359"/>
      <c r="S1680" s="321"/>
      <c r="T1680" s="321"/>
      <c r="U1680" s="373" t="str">
        <f t="shared" si="104"/>
        <v/>
      </c>
      <c r="V1680" s="314" t="str">
        <f t="shared" si="105"/>
        <v/>
      </c>
      <c r="W1680" s="314" t="str" cm="1">
        <f t="array" aca="1" ref="W1680" ca="1">IFERROR(IF(AE1680&lt;&gt;"ja",_xlfn.IFNA(_xlfn.IFS(AND(O1680&lt;&gt;"",F1680&lt;&gt;"",RIGHT($N1680,6)="tarief",F1680="Vergoeding"),SUM(O1680)*FLOOR(SUM(Q1680),0.0001),AND(O1680&lt;&gt;"",F1680&lt;&gt;"",RIGHT($N1680,6)="tarief"),SUM(O1680)*FLOOR(SUM(Q1680),0.01),S1680&gt;0,IF(F1680&lt;&gt;"",FLOOR(SUM(S1680),0.01),"")),""),""),"")</f>
        <v/>
      </c>
      <c r="X1680" s="314" t="str" cm="1">
        <f t="array" aca="1" ref="X1680" ca="1">IFERROR(IF(AE1680&lt;&gt;"ja",_xlfn.IFNA(_xlfn.IFS(AND(P1680&lt;&gt;"",R1680&lt;&gt;"",RIGHT($N1680,6)="tarief",F1680="Vergoeding"),SUM(P1680)*FLOOR(SUM(R1680),0.0001),AND(P1680&lt;&gt;"",R1680&lt;&gt;"",RIGHT($N1680,6)="tarief"),P1680*FLOOR(R1680,0.01),T1680&gt;0,FLOOR(SUM(T1680),0.01)),""),""),"")</f>
        <v/>
      </c>
      <c r="Y1680" s="314" t="str">
        <f t="shared" ca="1" si="106"/>
        <v/>
      </c>
      <c r="Z1680" s="314" t="str" cm="1">
        <f t="array" aca="1" ref="Z1680" ca="1">IFERROR(_xlfn.IFS(OR(F1680="",LEFT(Methode_Keuze,4)="Geen",Methode_Keuze=""),"",AND(W1680&lt;&gt;"",F1680&lt;&gt;"Arbeidskosten"),W1680*VLOOKUP(F1680,Tb_ProjectKosten[],MATCH(Tb_ProjectKosten[[#Headers],[Forfait_Percentage]],Tb_ProjectKosten[#Headers],0),0),AND(F1680="Arbeidskosten",G1680&lt;&gt;""),IFERROR(W1680*VLOOKUP(G1680,Tb_KostenTypen[],3,0)*VLOOKUP(F1680,Tb_ProjectKosten[],MATCH(Tb_ProjectKosten[[#Headers],[Forfait_Percentage]],Tb_ProjectKosten[#Headers],0),0),""),W1680 &lt;=0,0),"")</f>
        <v/>
      </c>
      <c r="AA1680" s="314" t="str" cm="1">
        <f t="array" aca="1" ref="AA1680" ca="1">IFERROR(_xlfn.IFS(OR(F1680="",LEFT(Methode_Keuze,4)="Geen",Methode_Keuze=""),"",AND(X1680&lt;&gt;"",F1680&lt;&gt;"Arbeidskosten"),X1680*VLOOKUP(F1680,Tb_ProjectKosten[],MATCH(Tb_ProjectKosten[[#Headers],[Forfait_Percentage]],Tb_ProjectKosten[#Headers],0),0),AND(F1680="Arbeidskosten",G1680&lt;&gt;""),IFERROR(X1680*VLOOKUP(G1680,Tb_KostenTypen[],3,0)*VLOOKUP(F1680,Tb_ProjectKosten[],MATCH(Tb_ProjectKosten[[#Headers],[Forfait_Percentage]],Tb_ProjectKosten[#Headers],0),0),""),X1680 &lt;=0,0),"")</f>
        <v/>
      </c>
      <c r="AB1680" s="314" t="str">
        <f t="shared" ca="1" si="107"/>
        <v/>
      </c>
      <c r="AC1680" s="322"/>
      <c r="AD1680" s="315"/>
      <c r="AE1680" s="32" t="str" cm="1">
        <f t="array" ref="AE1680">IFERROR(IF(INDEX(SubsidieTabel!$AD$1:$AG$12,MATCH($F1680,SubsidieTabel!$AD$1:$AD$12,0),IFERROR(MATCH(Methode_Keuze,SubsidieTabel!$AD$1:$AG$1,0),2))&lt;&gt;1=TRUE,"ja",""),"")</f>
        <v/>
      </c>
    </row>
    <row r="1681" spans="1:31" x14ac:dyDescent="0.25">
      <c r="A1681" s="316"/>
      <c r="B1681" s="317" t="str">
        <f>IF(A1681&lt;&gt;"",_xlfn.MAXIFS($B$1:B1680,$A$1:A1680,A1681)+1,"")</f>
        <v/>
      </c>
      <c r="C1681" s="296"/>
      <c r="D1681" s="296"/>
      <c r="E1681" s="296"/>
      <c r="F1681" s="296"/>
      <c r="G1681" s="326"/>
      <c r="H1681" s="324"/>
      <c r="I1681" s="325"/>
      <c r="J1681" s="325"/>
      <c r="K1681" s="318"/>
      <c r="L1681" s="318"/>
      <c r="M1681" s="319" t="str">
        <f>IFERROR(VLOOKUP(H1681,Lijsten!$H$1:$I$100,2,0),"")</f>
        <v/>
      </c>
      <c r="N1681" s="319" t="str">
        <f ca="1">IFERROR(IF(VLOOKUP(F1681,Kostentypen!$A$3:$E$21,3,0)=0,"",IF(OR(F1681="Arbeidskosten",F1681="Vergoeding"),VLOOKUP(G1681,Tb_KostenTypen[],2,0),VLOOKUP(F1681,Kostentypen!$A$3:$E$20,3,0))),"")</f>
        <v/>
      </c>
      <c r="O1681" s="320" t="str" cm="1">
        <f t="array" ref="O1681">_xlfn.IFNA(IF(INDEX(Tb_KostenOptiesDB[],MATCH($F1681,Tb_KostenOptiesDB[KostenOptie],0),IFERROR(MATCH(Methode_Keuze,Tb_KostenOptiesDB[#Headers],0),2))=1,_xlfn.SWITCH($N1681,"Uurtarief",IF(OR(AND(RIGHT($F1681,3)="IKS",VLOOKUP($M1681,DB_Loonkosten,2,0)="Ja"),AND(RIGHT($F1681,3)&lt;&gt;"IKS",VLOOKUP($M1681,DB_Loonkosten,2,0)="Nee")),IFERROR(VLOOKUP($M1681,DB_Loonkosten,24,0),""),0),"Vast tarief",IF(LEFT(F1681,8)="Bijdrage",VLOOKUP($F1681,Tb_KostenTypen[],MATCH(Lijsten!$P$1,Tb_KostenTypen[#Headers],0),0),VLOOKUP($G1681,Lijsten!L:P,MATCH(Lijsten!$P$1,Kop_Tarief_Vast,0),0))),""),"")</f>
        <v/>
      </c>
      <c r="P1681" s="320" t="str" cm="1">
        <f t="array" ref="P1681">_xlfn.IFNA(IF(INDEX(Tb_KostenOptiesDB[],MATCH($F1681,Tb_KostenOptiesDB[KostenOptie],0),IFERROR(MATCH(Methode_Keuze,Tb_KostenOptiesDB[#Headers],0),2))=1,_xlfn.SWITCH($N1681,"Uurtarief",IF(OR(AND(RIGHT($F1681,3)="IKS",VLOOKUP($M1681,DB_Loonkosten,2,0)="Ja"),AND(RIGHT($F1681,3)&lt;&gt;"IKS",VLOOKUP($M1681,DB_Loonkosten,2,0)="Nee")),IFERROR(VLOOKUP($M1681,DB_Loonkosten,25,0),""),0),"Vast tarief",IF(LEFT(F1681,8)="Bijdrage",VLOOKUP($F1681,Tb_KostenTypen[],MATCH(Lijsten!$P$1,Tb_KostenTypen[#Headers],0),0),VLOOKUP($G1681,Lijsten!L:P,MATCH(Lijsten!$P$1,Kop_Tarief_Vast,0),0))),""),"")</f>
        <v/>
      </c>
      <c r="Q1681" s="359"/>
      <c r="R1681" s="359"/>
      <c r="S1681" s="321"/>
      <c r="T1681" s="321"/>
      <c r="U1681" s="373" t="str">
        <f t="shared" si="104"/>
        <v/>
      </c>
      <c r="V1681" s="314" t="str">
        <f t="shared" si="105"/>
        <v/>
      </c>
      <c r="W1681" s="314" t="str" cm="1">
        <f t="array" aca="1" ref="W1681" ca="1">IFERROR(IF(AE1681&lt;&gt;"ja",_xlfn.IFNA(_xlfn.IFS(AND(O1681&lt;&gt;"",F1681&lt;&gt;"",RIGHT($N1681,6)="tarief",F1681="Vergoeding"),SUM(O1681)*FLOOR(SUM(Q1681),0.0001),AND(O1681&lt;&gt;"",F1681&lt;&gt;"",RIGHT($N1681,6)="tarief"),SUM(O1681)*FLOOR(SUM(Q1681),0.01),S1681&gt;0,IF(F1681&lt;&gt;"",FLOOR(SUM(S1681),0.01),"")),""),""),"")</f>
        <v/>
      </c>
      <c r="X1681" s="314" t="str" cm="1">
        <f t="array" aca="1" ref="X1681" ca="1">IFERROR(IF(AE1681&lt;&gt;"ja",_xlfn.IFNA(_xlfn.IFS(AND(P1681&lt;&gt;"",R1681&lt;&gt;"",RIGHT($N1681,6)="tarief",F1681="Vergoeding"),SUM(P1681)*FLOOR(SUM(R1681),0.0001),AND(P1681&lt;&gt;"",R1681&lt;&gt;"",RIGHT($N1681,6)="tarief"),P1681*FLOOR(R1681,0.01),T1681&gt;0,FLOOR(SUM(T1681),0.01)),""),""),"")</f>
        <v/>
      </c>
      <c r="Y1681" s="314" t="str">
        <f t="shared" ca="1" si="106"/>
        <v/>
      </c>
      <c r="Z1681" s="314" t="str" cm="1">
        <f t="array" aca="1" ref="Z1681" ca="1">IFERROR(_xlfn.IFS(OR(F1681="",LEFT(Methode_Keuze,4)="Geen",Methode_Keuze=""),"",AND(W1681&lt;&gt;"",F1681&lt;&gt;"Arbeidskosten"),W1681*VLOOKUP(F1681,Tb_ProjectKosten[],MATCH(Tb_ProjectKosten[[#Headers],[Forfait_Percentage]],Tb_ProjectKosten[#Headers],0),0),AND(F1681="Arbeidskosten",G1681&lt;&gt;""),IFERROR(W1681*VLOOKUP(G1681,Tb_KostenTypen[],3,0)*VLOOKUP(F1681,Tb_ProjectKosten[],MATCH(Tb_ProjectKosten[[#Headers],[Forfait_Percentage]],Tb_ProjectKosten[#Headers],0),0),""),W1681 &lt;=0,0),"")</f>
        <v/>
      </c>
      <c r="AA1681" s="314" t="str" cm="1">
        <f t="array" aca="1" ref="AA1681" ca="1">IFERROR(_xlfn.IFS(OR(F1681="",LEFT(Methode_Keuze,4)="Geen",Methode_Keuze=""),"",AND(X1681&lt;&gt;"",F1681&lt;&gt;"Arbeidskosten"),X1681*VLOOKUP(F1681,Tb_ProjectKosten[],MATCH(Tb_ProjectKosten[[#Headers],[Forfait_Percentage]],Tb_ProjectKosten[#Headers],0),0),AND(F1681="Arbeidskosten",G1681&lt;&gt;""),IFERROR(X1681*VLOOKUP(G1681,Tb_KostenTypen[],3,0)*VLOOKUP(F1681,Tb_ProjectKosten[],MATCH(Tb_ProjectKosten[[#Headers],[Forfait_Percentage]],Tb_ProjectKosten[#Headers],0),0),""),X1681 &lt;=0,0),"")</f>
        <v/>
      </c>
      <c r="AB1681" s="314" t="str">
        <f t="shared" ca="1" si="107"/>
        <v/>
      </c>
      <c r="AC1681" s="322"/>
      <c r="AD1681" s="315"/>
      <c r="AE1681" s="32" t="str" cm="1">
        <f t="array" ref="AE1681">IFERROR(IF(INDEX(SubsidieTabel!$AD$1:$AG$12,MATCH($F1681,SubsidieTabel!$AD$1:$AD$12,0),IFERROR(MATCH(Methode_Keuze,SubsidieTabel!$AD$1:$AG$1,0),2))&lt;&gt;1=TRUE,"ja",""),"")</f>
        <v/>
      </c>
    </row>
    <row r="1682" spans="1:31" x14ac:dyDescent="0.25">
      <c r="A1682" s="316"/>
      <c r="B1682" s="317" t="str">
        <f>IF(A1682&lt;&gt;"",_xlfn.MAXIFS($B$1:B1681,$A$1:A1681,A1682)+1,"")</f>
        <v/>
      </c>
      <c r="C1682" s="296"/>
      <c r="D1682" s="296"/>
      <c r="E1682" s="296"/>
      <c r="F1682" s="296"/>
      <c r="G1682" s="326"/>
      <c r="H1682" s="324"/>
      <c r="I1682" s="325"/>
      <c r="J1682" s="325"/>
      <c r="K1682" s="318"/>
      <c r="L1682" s="318"/>
      <c r="M1682" s="319" t="str">
        <f>IFERROR(VLOOKUP(H1682,Lijsten!$H$1:$I$100,2,0),"")</f>
        <v/>
      </c>
      <c r="N1682" s="319" t="str">
        <f ca="1">IFERROR(IF(VLOOKUP(F1682,Kostentypen!$A$3:$E$21,3,0)=0,"",IF(OR(F1682="Arbeidskosten",F1682="Vergoeding"),VLOOKUP(G1682,Tb_KostenTypen[],2,0),VLOOKUP(F1682,Kostentypen!$A$3:$E$20,3,0))),"")</f>
        <v/>
      </c>
      <c r="O1682" s="320" t="str" cm="1">
        <f t="array" ref="O1682">_xlfn.IFNA(IF(INDEX(Tb_KostenOptiesDB[],MATCH($F1682,Tb_KostenOptiesDB[KostenOptie],0),IFERROR(MATCH(Methode_Keuze,Tb_KostenOptiesDB[#Headers],0),2))=1,_xlfn.SWITCH($N1682,"Uurtarief",IF(OR(AND(RIGHT($F1682,3)="IKS",VLOOKUP($M1682,DB_Loonkosten,2,0)="Ja"),AND(RIGHT($F1682,3)&lt;&gt;"IKS",VLOOKUP($M1682,DB_Loonkosten,2,0)="Nee")),IFERROR(VLOOKUP($M1682,DB_Loonkosten,24,0),""),0),"Vast tarief",IF(LEFT(F1682,8)="Bijdrage",VLOOKUP($F1682,Tb_KostenTypen[],MATCH(Lijsten!$P$1,Tb_KostenTypen[#Headers],0),0),VLOOKUP($G1682,Lijsten!L:P,MATCH(Lijsten!$P$1,Kop_Tarief_Vast,0),0))),""),"")</f>
        <v/>
      </c>
      <c r="P1682" s="320" t="str" cm="1">
        <f t="array" ref="P1682">_xlfn.IFNA(IF(INDEX(Tb_KostenOptiesDB[],MATCH($F1682,Tb_KostenOptiesDB[KostenOptie],0),IFERROR(MATCH(Methode_Keuze,Tb_KostenOptiesDB[#Headers],0),2))=1,_xlfn.SWITCH($N1682,"Uurtarief",IF(OR(AND(RIGHT($F1682,3)="IKS",VLOOKUP($M1682,DB_Loonkosten,2,0)="Ja"),AND(RIGHT($F1682,3)&lt;&gt;"IKS",VLOOKUP($M1682,DB_Loonkosten,2,0)="Nee")),IFERROR(VLOOKUP($M1682,DB_Loonkosten,25,0),""),0),"Vast tarief",IF(LEFT(F1682,8)="Bijdrage",VLOOKUP($F1682,Tb_KostenTypen[],MATCH(Lijsten!$P$1,Tb_KostenTypen[#Headers],0),0),VLOOKUP($G1682,Lijsten!L:P,MATCH(Lijsten!$P$1,Kop_Tarief_Vast,0),0))),""),"")</f>
        <v/>
      </c>
      <c r="Q1682" s="359"/>
      <c r="R1682" s="359"/>
      <c r="S1682" s="321"/>
      <c r="T1682" s="321"/>
      <c r="U1682" s="373" t="str">
        <f t="shared" si="104"/>
        <v/>
      </c>
      <c r="V1682" s="314" t="str">
        <f t="shared" si="105"/>
        <v/>
      </c>
      <c r="W1682" s="314" t="str" cm="1">
        <f t="array" aca="1" ref="W1682" ca="1">IFERROR(IF(AE1682&lt;&gt;"ja",_xlfn.IFNA(_xlfn.IFS(AND(O1682&lt;&gt;"",F1682&lt;&gt;"",RIGHT($N1682,6)="tarief",F1682="Vergoeding"),SUM(O1682)*FLOOR(SUM(Q1682),0.0001),AND(O1682&lt;&gt;"",F1682&lt;&gt;"",RIGHT($N1682,6)="tarief"),SUM(O1682)*FLOOR(SUM(Q1682),0.01),S1682&gt;0,IF(F1682&lt;&gt;"",FLOOR(SUM(S1682),0.01),"")),""),""),"")</f>
        <v/>
      </c>
      <c r="X1682" s="314" t="str" cm="1">
        <f t="array" aca="1" ref="X1682" ca="1">IFERROR(IF(AE1682&lt;&gt;"ja",_xlfn.IFNA(_xlfn.IFS(AND(P1682&lt;&gt;"",R1682&lt;&gt;"",RIGHT($N1682,6)="tarief",F1682="Vergoeding"),SUM(P1682)*FLOOR(SUM(R1682),0.0001),AND(P1682&lt;&gt;"",R1682&lt;&gt;"",RIGHT($N1682,6)="tarief"),P1682*FLOOR(R1682,0.01),T1682&gt;0,FLOOR(SUM(T1682),0.01)),""),""),"")</f>
        <v/>
      </c>
      <c r="Y1682" s="314" t="str">
        <f t="shared" ca="1" si="106"/>
        <v/>
      </c>
      <c r="Z1682" s="314" t="str" cm="1">
        <f t="array" aca="1" ref="Z1682" ca="1">IFERROR(_xlfn.IFS(OR(F1682="",LEFT(Methode_Keuze,4)="Geen",Methode_Keuze=""),"",AND(W1682&lt;&gt;"",F1682&lt;&gt;"Arbeidskosten"),W1682*VLOOKUP(F1682,Tb_ProjectKosten[],MATCH(Tb_ProjectKosten[[#Headers],[Forfait_Percentage]],Tb_ProjectKosten[#Headers],0),0),AND(F1682="Arbeidskosten",G1682&lt;&gt;""),IFERROR(W1682*VLOOKUP(G1682,Tb_KostenTypen[],3,0)*VLOOKUP(F1682,Tb_ProjectKosten[],MATCH(Tb_ProjectKosten[[#Headers],[Forfait_Percentage]],Tb_ProjectKosten[#Headers],0),0),""),W1682 &lt;=0,0),"")</f>
        <v/>
      </c>
      <c r="AA1682" s="314" t="str" cm="1">
        <f t="array" aca="1" ref="AA1682" ca="1">IFERROR(_xlfn.IFS(OR(F1682="",LEFT(Methode_Keuze,4)="Geen",Methode_Keuze=""),"",AND(X1682&lt;&gt;"",F1682&lt;&gt;"Arbeidskosten"),X1682*VLOOKUP(F1682,Tb_ProjectKosten[],MATCH(Tb_ProjectKosten[[#Headers],[Forfait_Percentage]],Tb_ProjectKosten[#Headers],0),0),AND(F1682="Arbeidskosten",G1682&lt;&gt;""),IFERROR(X1682*VLOOKUP(G1682,Tb_KostenTypen[],3,0)*VLOOKUP(F1682,Tb_ProjectKosten[],MATCH(Tb_ProjectKosten[[#Headers],[Forfait_Percentage]],Tb_ProjectKosten[#Headers],0),0),""),X1682 &lt;=0,0),"")</f>
        <v/>
      </c>
      <c r="AB1682" s="314" t="str">
        <f t="shared" ca="1" si="107"/>
        <v/>
      </c>
      <c r="AC1682" s="322"/>
      <c r="AD1682" s="315"/>
      <c r="AE1682" s="32" t="str" cm="1">
        <f t="array" ref="AE1682">IFERROR(IF(INDEX(SubsidieTabel!$AD$1:$AG$12,MATCH($F1682,SubsidieTabel!$AD$1:$AD$12,0),IFERROR(MATCH(Methode_Keuze,SubsidieTabel!$AD$1:$AG$1,0),2))&lt;&gt;1=TRUE,"ja",""),"")</f>
        <v/>
      </c>
    </row>
    <row r="1683" spans="1:31" x14ac:dyDescent="0.25">
      <c r="A1683" s="316"/>
      <c r="B1683" s="317" t="str">
        <f>IF(A1683&lt;&gt;"",_xlfn.MAXIFS($B$1:B1682,$A$1:A1682,A1683)+1,"")</f>
        <v/>
      </c>
      <c r="C1683" s="296"/>
      <c r="D1683" s="296"/>
      <c r="E1683" s="296"/>
      <c r="F1683" s="296"/>
      <c r="G1683" s="326"/>
      <c r="H1683" s="324"/>
      <c r="I1683" s="325"/>
      <c r="J1683" s="325"/>
      <c r="K1683" s="318"/>
      <c r="L1683" s="318"/>
      <c r="M1683" s="319" t="str">
        <f>IFERROR(VLOOKUP(H1683,Lijsten!$H$1:$I$100,2,0),"")</f>
        <v/>
      </c>
      <c r="N1683" s="319" t="str">
        <f ca="1">IFERROR(IF(VLOOKUP(F1683,Kostentypen!$A$3:$E$21,3,0)=0,"",IF(OR(F1683="Arbeidskosten",F1683="Vergoeding"),VLOOKUP(G1683,Tb_KostenTypen[],2,0),VLOOKUP(F1683,Kostentypen!$A$3:$E$20,3,0))),"")</f>
        <v/>
      </c>
      <c r="O1683" s="320" t="str" cm="1">
        <f t="array" ref="O1683">_xlfn.IFNA(IF(INDEX(Tb_KostenOptiesDB[],MATCH($F1683,Tb_KostenOptiesDB[KostenOptie],0),IFERROR(MATCH(Methode_Keuze,Tb_KostenOptiesDB[#Headers],0),2))=1,_xlfn.SWITCH($N1683,"Uurtarief",IF(OR(AND(RIGHT($F1683,3)="IKS",VLOOKUP($M1683,DB_Loonkosten,2,0)="Ja"),AND(RIGHT($F1683,3)&lt;&gt;"IKS",VLOOKUP($M1683,DB_Loonkosten,2,0)="Nee")),IFERROR(VLOOKUP($M1683,DB_Loonkosten,24,0),""),0),"Vast tarief",IF(LEFT(F1683,8)="Bijdrage",VLOOKUP($F1683,Tb_KostenTypen[],MATCH(Lijsten!$P$1,Tb_KostenTypen[#Headers],0),0),VLOOKUP($G1683,Lijsten!L:P,MATCH(Lijsten!$P$1,Kop_Tarief_Vast,0),0))),""),"")</f>
        <v/>
      </c>
      <c r="P1683" s="320" t="str" cm="1">
        <f t="array" ref="P1683">_xlfn.IFNA(IF(INDEX(Tb_KostenOptiesDB[],MATCH($F1683,Tb_KostenOptiesDB[KostenOptie],0),IFERROR(MATCH(Methode_Keuze,Tb_KostenOptiesDB[#Headers],0),2))=1,_xlfn.SWITCH($N1683,"Uurtarief",IF(OR(AND(RIGHT($F1683,3)="IKS",VLOOKUP($M1683,DB_Loonkosten,2,0)="Ja"),AND(RIGHT($F1683,3)&lt;&gt;"IKS",VLOOKUP($M1683,DB_Loonkosten,2,0)="Nee")),IFERROR(VLOOKUP($M1683,DB_Loonkosten,25,0),""),0),"Vast tarief",IF(LEFT(F1683,8)="Bijdrage",VLOOKUP($F1683,Tb_KostenTypen[],MATCH(Lijsten!$P$1,Tb_KostenTypen[#Headers],0),0),VLOOKUP($G1683,Lijsten!L:P,MATCH(Lijsten!$P$1,Kop_Tarief_Vast,0),0))),""),"")</f>
        <v/>
      </c>
      <c r="Q1683" s="359"/>
      <c r="R1683" s="359"/>
      <c r="S1683" s="321"/>
      <c r="T1683" s="321"/>
      <c r="U1683" s="373" t="str">
        <f t="shared" si="104"/>
        <v/>
      </c>
      <c r="V1683" s="314" t="str">
        <f t="shared" si="105"/>
        <v/>
      </c>
      <c r="W1683" s="314" t="str" cm="1">
        <f t="array" aca="1" ref="W1683" ca="1">IFERROR(IF(AE1683&lt;&gt;"ja",_xlfn.IFNA(_xlfn.IFS(AND(O1683&lt;&gt;"",F1683&lt;&gt;"",RIGHT($N1683,6)="tarief",F1683="Vergoeding"),SUM(O1683)*FLOOR(SUM(Q1683),0.0001),AND(O1683&lt;&gt;"",F1683&lt;&gt;"",RIGHT($N1683,6)="tarief"),SUM(O1683)*FLOOR(SUM(Q1683),0.01),S1683&gt;0,IF(F1683&lt;&gt;"",FLOOR(SUM(S1683),0.01),"")),""),""),"")</f>
        <v/>
      </c>
      <c r="X1683" s="314" t="str" cm="1">
        <f t="array" aca="1" ref="X1683" ca="1">IFERROR(IF(AE1683&lt;&gt;"ja",_xlfn.IFNA(_xlfn.IFS(AND(P1683&lt;&gt;"",R1683&lt;&gt;"",RIGHT($N1683,6)="tarief",F1683="Vergoeding"),SUM(P1683)*FLOOR(SUM(R1683),0.0001),AND(P1683&lt;&gt;"",R1683&lt;&gt;"",RIGHT($N1683,6)="tarief"),P1683*FLOOR(R1683,0.01),T1683&gt;0,FLOOR(SUM(T1683),0.01)),""),""),"")</f>
        <v/>
      </c>
      <c r="Y1683" s="314" t="str">
        <f t="shared" ca="1" si="106"/>
        <v/>
      </c>
      <c r="Z1683" s="314" t="str" cm="1">
        <f t="array" aca="1" ref="Z1683" ca="1">IFERROR(_xlfn.IFS(OR(F1683="",LEFT(Methode_Keuze,4)="Geen",Methode_Keuze=""),"",AND(W1683&lt;&gt;"",F1683&lt;&gt;"Arbeidskosten"),W1683*VLOOKUP(F1683,Tb_ProjectKosten[],MATCH(Tb_ProjectKosten[[#Headers],[Forfait_Percentage]],Tb_ProjectKosten[#Headers],0),0),AND(F1683="Arbeidskosten",G1683&lt;&gt;""),IFERROR(W1683*VLOOKUP(G1683,Tb_KostenTypen[],3,0)*VLOOKUP(F1683,Tb_ProjectKosten[],MATCH(Tb_ProjectKosten[[#Headers],[Forfait_Percentage]],Tb_ProjectKosten[#Headers],0),0),""),W1683 &lt;=0,0),"")</f>
        <v/>
      </c>
      <c r="AA1683" s="314" t="str" cm="1">
        <f t="array" aca="1" ref="AA1683" ca="1">IFERROR(_xlfn.IFS(OR(F1683="",LEFT(Methode_Keuze,4)="Geen",Methode_Keuze=""),"",AND(X1683&lt;&gt;"",F1683&lt;&gt;"Arbeidskosten"),X1683*VLOOKUP(F1683,Tb_ProjectKosten[],MATCH(Tb_ProjectKosten[[#Headers],[Forfait_Percentage]],Tb_ProjectKosten[#Headers],0),0),AND(F1683="Arbeidskosten",G1683&lt;&gt;""),IFERROR(X1683*VLOOKUP(G1683,Tb_KostenTypen[],3,0)*VLOOKUP(F1683,Tb_ProjectKosten[],MATCH(Tb_ProjectKosten[[#Headers],[Forfait_Percentage]],Tb_ProjectKosten[#Headers],0),0),""),X1683 &lt;=0,0),"")</f>
        <v/>
      </c>
      <c r="AB1683" s="314" t="str">
        <f t="shared" ca="1" si="107"/>
        <v/>
      </c>
      <c r="AC1683" s="322"/>
      <c r="AD1683" s="315"/>
      <c r="AE1683" s="32" t="str" cm="1">
        <f t="array" ref="AE1683">IFERROR(IF(INDEX(SubsidieTabel!$AD$1:$AG$12,MATCH($F1683,SubsidieTabel!$AD$1:$AD$12,0),IFERROR(MATCH(Methode_Keuze,SubsidieTabel!$AD$1:$AG$1,0),2))&lt;&gt;1=TRUE,"ja",""),"")</f>
        <v/>
      </c>
    </row>
    <row r="1684" spans="1:31" x14ac:dyDescent="0.25">
      <c r="A1684" s="316"/>
      <c r="B1684" s="317" t="str">
        <f>IF(A1684&lt;&gt;"",_xlfn.MAXIFS($B$1:B1683,$A$1:A1683,A1684)+1,"")</f>
        <v/>
      </c>
      <c r="C1684" s="296"/>
      <c r="D1684" s="296"/>
      <c r="E1684" s="296"/>
      <c r="F1684" s="296"/>
      <c r="G1684" s="326"/>
      <c r="H1684" s="324"/>
      <c r="I1684" s="325"/>
      <c r="J1684" s="325"/>
      <c r="K1684" s="318"/>
      <c r="L1684" s="318"/>
      <c r="M1684" s="319" t="str">
        <f>IFERROR(VLOOKUP(H1684,Lijsten!$H$1:$I$100,2,0),"")</f>
        <v/>
      </c>
      <c r="N1684" s="319" t="str">
        <f ca="1">IFERROR(IF(VLOOKUP(F1684,Kostentypen!$A$3:$E$21,3,0)=0,"",IF(OR(F1684="Arbeidskosten",F1684="Vergoeding"),VLOOKUP(G1684,Tb_KostenTypen[],2,0),VLOOKUP(F1684,Kostentypen!$A$3:$E$20,3,0))),"")</f>
        <v/>
      </c>
      <c r="O1684" s="320" t="str" cm="1">
        <f t="array" ref="O1684">_xlfn.IFNA(IF(INDEX(Tb_KostenOptiesDB[],MATCH($F1684,Tb_KostenOptiesDB[KostenOptie],0),IFERROR(MATCH(Methode_Keuze,Tb_KostenOptiesDB[#Headers],0),2))=1,_xlfn.SWITCH($N1684,"Uurtarief",IF(OR(AND(RIGHT($F1684,3)="IKS",VLOOKUP($M1684,DB_Loonkosten,2,0)="Ja"),AND(RIGHT($F1684,3)&lt;&gt;"IKS",VLOOKUP($M1684,DB_Loonkosten,2,0)="Nee")),IFERROR(VLOOKUP($M1684,DB_Loonkosten,24,0),""),0),"Vast tarief",IF(LEFT(F1684,8)="Bijdrage",VLOOKUP($F1684,Tb_KostenTypen[],MATCH(Lijsten!$P$1,Tb_KostenTypen[#Headers],0),0),VLOOKUP($G1684,Lijsten!L:P,MATCH(Lijsten!$P$1,Kop_Tarief_Vast,0),0))),""),"")</f>
        <v/>
      </c>
      <c r="P1684" s="320" t="str" cm="1">
        <f t="array" ref="P1684">_xlfn.IFNA(IF(INDEX(Tb_KostenOptiesDB[],MATCH($F1684,Tb_KostenOptiesDB[KostenOptie],0),IFERROR(MATCH(Methode_Keuze,Tb_KostenOptiesDB[#Headers],0),2))=1,_xlfn.SWITCH($N1684,"Uurtarief",IF(OR(AND(RIGHT($F1684,3)="IKS",VLOOKUP($M1684,DB_Loonkosten,2,0)="Ja"),AND(RIGHT($F1684,3)&lt;&gt;"IKS",VLOOKUP($M1684,DB_Loonkosten,2,0)="Nee")),IFERROR(VLOOKUP($M1684,DB_Loonkosten,25,0),""),0),"Vast tarief",IF(LEFT(F1684,8)="Bijdrage",VLOOKUP($F1684,Tb_KostenTypen[],MATCH(Lijsten!$P$1,Tb_KostenTypen[#Headers],0),0),VLOOKUP($G1684,Lijsten!L:P,MATCH(Lijsten!$P$1,Kop_Tarief_Vast,0),0))),""),"")</f>
        <v/>
      </c>
      <c r="Q1684" s="359"/>
      <c r="R1684" s="359"/>
      <c r="S1684" s="321"/>
      <c r="T1684" s="321"/>
      <c r="U1684" s="373" t="str">
        <f t="shared" si="104"/>
        <v/>
      </c>
      <c r="V1684" s="314" t="str">
        <f t="shared" si="105"/>
        <v/>
      </c>
      <c r="W1684" s="314" t="str" cm="1">
        <f t="array" aca="1" ref="W1684" ca="1">IFERROR(IF(AE1684&lt;&gt;"ja",_xlfn.IFNA(_xlfn.IFS(AND(O1684&lt;&gt;"",F1684&lt;&gt;"",RIGHT($N1684,6)="tarief",F1684="Vergoeding"),SUM(O1684)*FLOOR(SUM(Q1684),0.0001),AND(O1684&lt;&gt;"",F1684&lt;&gt;"",RIGHT($N1684,6)="tarief"),SUM(O1684)*FLOOR(SUM(Q1684),0.01),S1684&gt;0,IF(F1684&lt;&gt;"",FLOOR(SUM(S1684),0.01),"")),""),""),"")</f>
        <v/>
      </c>
      <c r="X1684" s="314" t="str" cm="1">
        <f t="array" aca="1" ref="X1684" ca="1">IFERROR(IF(AE1684&lt;&gt;"ja",_xlfn.IFNA(_xlfn.IFS(AND(P1684&lt;&gt;"",R1684&lt;&gt;"",RIGHT($N1684,6)="tarief",F1684="Vergoeding"),SUM(P1684)*FLOOR(SUM(R1684),0.0001),AND(P1684&lt;&gt;"",R1684&lt;&gt;"",RIGHT($N1684,6)="tarief"),P1684*FLOOR(R1684,0.01),T1684&gt;0,FLOOR(SUM(T1684),0.01)),""),""),"")</f>
        <v/>
      </c>
      <c r="Y1684" s="314" t="str">
        <f t="shared" ca="1" si="106"/>
        <v/>
      </c>
      <c r="Z1684" s="314" t="str" cm="1">
        <f t="array" aca="1" ref="Z1684" ca="1">IFERROR(_xlfn.IFS(OR(F1684="",LEFT(Methode_Keuze,4)="Geen",Methode_Keuze=""),"",AND(W1684&lt;&gt;"",F1684&lt;&gt;"Arbeidskosten"),W1684*VLOOKUP(F1684,Tb_ProjectKosten[],MATCH(Tb_ProjectKosten[[#Headers],[Forfait_Percentage]],Tb_ProjectKosten[#Headers],0),0),AND(F1684="Arbeidskosten",G1684&lt;&gt;""),IFERROR(W1684*VLOOKUP(G1684,Tb_KostenTypen[],3,0)*VLOOKUP(F1684,Tb_ProjectKosten[],MATCH(Tb_ProjectKosten[[#Headers],[Forfait_Percentage]],Tb_ProjectKosten[#Headers],0),0),""),W1684 &lt;=0,0),"")</f>
        <v/>
      </c>
      <c r="AA1684" s="314" t="str" cm="1">
        <f t="array" aca="1" ref="AA1684" ca="1">IFERROR(_xlfn.IFS(OR(F1684="",LEFT(Methode_Keuze,4)="Geen",Methode_Keuze=""),"",AND(X1684&lt;&gt;"",F1684&lt;&gt;"Arbeidskosten"),X1684*VLOOKUP(F1684,Tb_ProjectKosten[],MATCH(Tb_ProjectKosten[[#Headers],[Forfait_Percentage]],Tb_ProjectKosten[#Headers],0),0),AND(F1684="Arbeidskosten",G1684&lt;&gt;""),IFERROR(X1684*VLOOKUP(G1684,Tb_KostenTypen[],3,0)*VLOOKUP(F1684,Tb_ProjectKosten[],MATCH(Tb_ProjectKosten[[#Headers],[Forfait_Percentage]],Tb_ProjectKosten[#Headers],0),0),""),X1684 &lt;=0,0),"")</f>
        <v/>
      </c>
      <c r="AB1684" s="314" t="str">
        <f t="shared" ca="1" si="107"/>
        <v/>
      </c>
      <c r="AC1684" s="322"/>
      <c r="AD1684" s="315"/>
      <c r="AE1684" s="32" t="str" cm="1">
        <f t="array" ref="AE1684">IFERROR(IF(INDEX(SubsidieTabel!$AD$1:$AG$12,MATCH($F1684,SubsidieTabel!$AD$1:$AD$12,0),IFERROR(MATCH(Methode_Keuze,SubsidieTabel!$AD$1:$AG$1,0),2))&lt;&gt;1=TRUE,"ja",""),"")</f>
        <v/>
      </c>
    </row>
    <row r="1685" spans="1:31" x14ac:dyDescent="0.25">
      <c r="A1685" s="316"/>
      <c r="B1685" s="317" t="str">
        <f>IF(A1685&lt;&gt;"",_xlfn.MAXIFS($B$1:B1684,$A$1:A1684,A1685)+1,"")</f>
        <v/>
      </c>
      <c r="C1685" s="296"/>
      <c r="D1685" s="296"/>
      <c r="E1685" s="296"/>
      <c r="F1685" s="296"/>
      <c r="G1685" s="326"/>
      <c r="H1685" s="324"/>
      <c r="I1685" s="325"/>
      <c r="J1685" s="325"/>
      <c r="K1685" s="318"/>
      <c r="L1685" s="318"/>
      <c r="M1685" s="319" t="str">
        <f>IFERROR(VLOOKUP(H1685,Lijsten!$H$1:$I$100,2,0),"")</f>
        <v/>
      </c>
      <c r="N1685" s="319" t="str">
        <f ca="1">IFERROR(IF(VLOOKUP(F1685,Kostentypen!$A$3:$E$21,3,0)=0,"",IF(OR(F1685="Arbeidskosten",F1685="Vergoeding"),VLOOKUP(G1685,Tb_KostenTypen[],2,0),VLOOKUP(F1685,Kostentypen!$A$3:$E$20,3,0))),"")</f>
        <v/>
      </c>
      <c r="O1685" s="320" t="str" cm="1">
        <f t="array" ref="O1685">_xlfn.IFNA(IF(INDEX(Tb_KostenOptiesDB[],MATCH($F1685,Tb_KostenOptiesDB[KostenOptie],0),IFERROR(MATCH(Methode_Keuze,Tb_KostenOptiesDB[#Headers],0),2))=1,_xlfn.SWITCH($N1685,"Uurtarief",IF(OR(AND(RIGHT($F1685,3)="IKS",VLOOKUP($M1685,DB_Loonkosten,2,0)="Ja"),AND(RIGHT($F1685,3)&lt;&gt;"IKS",VLOOKUP($M1685,DB_Loonkosten,2,0)="Nee")),IFERROR(VLOOKUP($M1685,DB_Loonkosten,24,0),""),0),"Vast tarief",IF(LEFT(F1685,8)="Bijdrage",VLOOKUP($F1685,Tb_KostenTypen[],MATCH(Lijsten!$P$1,Tb_KostenTypen[#Headers],0),0),VLOOKUP($G1685,Lijsten!L:P,MATCH(Lijsten!$P$1,Kop_Tarief_Vast,0),0))),""),"")</f>
        <v/>
      </c>
      <c r="P1685" s="320" t="str" cm="1">
        <f t="array" ref="P1685">_xlfn.IFNA(IF(INDEX(Tb_KostenOptiesDB[],MATCH($F1685,Tb_KostenOptiesDB[KostenOptie],0),IFERROR(MATCH(Methode_Keuze,Tb_KostenOptiesDB[#Headers],0),2))=1,_xlfn.SWITCH($N1685,"Uurtarief",IF(OR(AND(RIGHT($F1685,3)="IKS",VLOOKUP($M1685,DB_Loonkosten,2,0)="Ja"),AND(RIGHT($F1685,3)&lt;&gt;"IKS",VLOOKUP($M1685,DB_Loonkosten,2,0)="Nee")),IFERROR(VLOOKUP($M1685,DB_Loonkosten,25,0),""),0),"Vast tarief",IF(LEFT(F1685,8)="Bijdrage",VLOOKUP($F1685,Tb_KostenTypen[],MATCH(Lijsten!$P$1,Tb_KostenTypen[#Headers],0),0),VLOOKUP($G1685,Lijsten!L:P,MATCH(Lijsten!$P$1,Kop_Tarief_Vast,0),0))),""),"")</f>
        <v/>
      </c>
      <c r="Q1685" s="359"/>
      <c r="R1685" s="359"/>
      <c r="S1685" s="321"/>
      <c r="T1685" s="321"/>
      <c r="U1685" s="373" t="str">
        <f t="shared" si="104"/>
        <v/>
      </c>
      <c r="V1685" s="314" t="str">
        <f t="shared" si="105"/>
        <v/>
      </c>
      <c r="W1685" s="314" t="str" cm="1">
        <f t="array" aca="1" ref="W1685" ca="1">IFERROR(IF(AE1685&lt;&gt;"ja",_xlfn.IFNA(_xlfn.IFS(AND(O1685&lt;&gt;"",F1685&lt;&gt;"",RIGHT($N1685,6)="tarief",F1685="Vergoeding"),SUM(O1685)*FLOOR(SUM(Q1685),0.0001),AND(O1685&lt;&gt;"",F1685&lt;&gt;"",RIGHT($N1685,6)="tarief"),SUM(O1685)*FLOOR(SUM(Q1685),0.01),S1685&gt;0,IF(F1685&lt;&gt;"",FLOOR(SUM(S1685),0.01),"")),""),""),"")</f>
        <v/>
      </c>
      <c r="X1685" s="314" t="str" cm="1">
        <f t="array" aca="1" ref="X1685" ca="1">IFERROR(IF(AE1685&lt;&gt;"ja",_xlfn.IFNA(_xlfn.IFS(AND(P1685&lt;&gt;"",R1685&lt;&gt;"",RIGHT($N1685,6)="tarief",F1685="Vergoeding"),SUM(P1685)*FLOOR(SUM(R1685),0.0001),AND(P1685&lt;&gt;"",R1685&lt;&gt;"",RIGHT($N1685,6)="tarief"),P1685*FLOOR(R1685,0.01),T1685&gt;0,FLOOR(SUM(T1685),0.01)),""),""),"")</f>
        <v/>
      </c>
      <c r="Y1685" s="314" t="str">
        <f t="shared" ca="1" si="106"/>
        <v/>
      </c>
      <c r="Z1685" s="314" t="str" cm="1">
        <f t="array" aca="1" ref="Z1685" ca="1">IFERROR(_xlfn.IFS(OR(F1685="",LEFT(Methode_Keuze,4)="Geen",Methode_Keuze=""),"",AND(W1685&lt;&gt;"",F1685&lt;&gt;"Arbeidskosten"),W1685*VLOOKUP(F1685,Tb_ProjectKosten[],MATCH(Tb_ProjectKosten[[#Headers],[Forfait_Percentage]],Tb_ProjectKosten[#Headers],0),0),AND(F1685="Arbeidskosten",G1685&lt;&gt;""),IFERROR(W1685*VLOOKUP(G1685,Tb_KostenTypen[],3,0)*VLOOKUP(F1685,Tb_ProjectKosten[],MATCH(Tb_ProjectKosten[[#Headers],[Forfait_Percentage]],Tb_ProjectKosten[#Headers],0),0),""),W1685 &lt;=0,0),"")</f>
        <v/>
      </c>
      <c r="AA1685" s="314" t="str" cm="1">
        <f t="array" aca="1" ref="AA1685" ca="1">IFERROR(_xlfn.IFS(OR(F1685="",LEFT(Methode_Keuze,4)="Geen",Methode_Keuze=""),"",AND(X1685&lt;&gt;"",F1685&lt;&gt;"Arbeidskosten"),X1685*VLOOKUP(F1685,Tb_ProjectKosten[],MATCH(Tb_ProjectKosten[[#Headers],[Forfait_Percentage]],Tb_ProjectKosten[#Headers],0),0),AND(F1685="Arbeidskosten",G1685&lt;&gt;""),IFERROR(X1685*VLOOKUP(G1685,Tb_KostenTypen[],3,0)*VLOOKUP(F1685,Tb_ProjectKosten[],MATCH(Tb_ProjectKosten[[#Headers],[Forfait_Percentage]],Tb_ProjectKosten[#Headers],0),0),""),X1685 &lt;=0,0),"")</f>
        <v/>
      </c>
      <c r="AB1685" s="314" t="str">
        <f t="shared" ca="1" si="107"/>
        <v/>
      </c>
      <c r="AC1685" s="322"/>
      <c r="AD1685" s="315"/>
      <c r="AE1685" s="32" t="str" cm="1">
        <f t="array" ref="AE1685">IFERROR(IF(INDEX(SubsidieTabel!$AD$1:$AG$12,MATCH($F1685,SubsidieTabel!$AD$1:$AD$12,0),IFERROR(MATCH(Methode_Keuze,SubsidieTabel!$AD$1:$AG$1,0),2))&lt;&gt;1=TRUE,"ja",""),"")</f>
        <v/>
      </c>
    </row>
    <row r="1686" spans="1:31" x14ac:dyDescent="0.25">
      <c r="A1686" s="316"/>
      <c r="B1686" s="317" t="str">
        <f>IF(A1686&lt;&gt;"",_xlfn.MAXIFS($B$1:B1685,$A$1:A1685,A1686)+1,"")</f>
        <v/>
      </c>
      <c r="C1686" s="296"/>
      <c r="D1686" s="296"/>
      <c r="E1686" s="296"/>
      <c r="F1686" s="296"/>
      <c r="G1686" s="326"/>
      <c r="H1686" s="324"/>
      <c r="I1686" s="325"/>
      <c r="J1686" s="325"/>
      <c r="K1686" s="318"/>
      <c r="L1686" s="318"/>
      <c r="M1686" s="319" t="str">
        <f>IFERROR(VLOOKUP(H1686,Lijsten!$H$1:$I$100,2,0),"")</f>
        <v/>
      </c>
      <c r="N1686" s="319" t="str">
        <f ca="1">IFERROR(IF(VLOOKUP(F1686,Kostentypen!$A$3:$E$21,3,0)=0,"",IF(OR(F1686="Arbeidskosten",F1686="Vergoeding"),VLOOKUP(G1686,Tb_KostenTypen[],2,0),VLOOKUP(F1686,Kostentypen!$A$3:$E$20,3,0))),"")</f>
        <v/>
      </c>
      <c r="O1686" s="320" t="str" cm="1">
        <f t="array" ref="O1686">_xlfn.IFNA(IF(INDEX(Tb_KostenOptiesDB[],MATCH($F1686,Tb_KostenOptiesDB[KostenOptie],0),IFERROR(MATCH(Methode_Keuze,Tb_KostenOptiesDB[#Headers],0),2))=1,_xlfn.SWITCH($N1686,"Uurtarief",IF(OR(AND(RIGHT($F1686,3)="IKS",VLOOKUP($M1686,DB_Loonkosten,2,0)="Ja"),AND(RIGHT($F1686,3)&lt;&gt;"IKS",VLOOKUP($M1686,DB_Loonkosten,2,0)="Nee")),IFERROR(VLOOKUP($M1686,DB_Loonkosten,24,0),""),0),"Vast tarief",IF(LEFT(F1686,8)="Bijdrage",VLOOKUP($F1686,Tb_KostenTypen[],MATCH(Lijsten!$P$1,Tb_KostenTypen[#Headers],0),0),VLOOKUP($G1686,Lijsten!L:P,MATCH(Lijsten!$P$1,Kop_Tarief_Vast,0),0))),""),"")</f>
        <v/>
      </c>
      <c r="P1686" s="320" t="str" cm="1">
        <f t="array" ref="P1686">_xlfn.IFNA(IF(INDEX(Tb_KostenOptiesDB[],MATCH($F1686,Tb_KostenOptiesDB[KostenOptie],0),IFERROR(MATCH(Methode_Keuze,Tb_KostenOptiesDB[#Headers],0),2))=1,_xlfn.SWITCH($N1686,"Uurtarief",IF(OR(AND(RIGHT($F1686,3)="IKS",VLOOKUP($M1686,DB_Loonkosten,2,0)="Ja"),AND(RIGHT($F1686,3)&lt;&gt;"IKS",VLOOKUP($M1686,DB_Loonkosten,2,0)="Nee")),IFERROR(VLOOKUP($M1686,DB_Loonkosten,25,0),""),0),"Vast tarief",IF(LEFT(F1686,8)="Bijdrage",VLOOKUP($F1686,Tb_KostenTypen[],MATCH(Lijsten!$P$1,Tb_KostenTypen[#Headers],0),0),VLOOKUP($G1686,Lijsten!L:P,MATCH(Lijsten!$P$1,Kop_Tarief_Vast,0),0))),""),"")</f>
        <v/>
      </c>
      <c r="Q1686" s="359"/>
      <c r="R1686" s="359"/>
      <c r="S1686" s="321"/>
      <c r="T1686" s="321"/>
      <c r="U1686" s="373" t="str">
        <f t="shared" si="104"/>
        <v/>
      </c>
      <c r="V1686" s="314" t="str">
        <f t="shared" si="105"/>
        <v/>
      </c>
      <c r="W1686" s="314" t="str" cm="1">
        <f t="array" aca="1" ref="W1686" ca="1">IFERROR(IF(AE1686&lt;&gt;"ja",_xlfn.IFNA(_xlfn.IFS(AND(O1686&lt;&gt;"",F1686&lt;&gt;"",RIGHT($N1686,6)="tarief",F1686="Vergoeding"),SUM(O1686)*FLOOR(SUM(Q1686),0.0001),AND(O1686&lt;&gt;"",F1686&lt;&gt;"",RIGHT($N1686,6)="tarief"),SUM(O1686)*FLOOR(SUM(Q1686),0.01),S1686&gt;0,IF(F1686&lt;&gt;"",FLOOR(SUM(S1686),0.01),"")),""),""),"")</f>
        <v/>
      </c>
      <c r="X1686" s="314" t="str" cm="1">
        <f t="array" aca="1" ref="X1686" ca="1">IFERROR(IF(AE1686&lt;&gt;"ja",_xlfn.IFNA(_xlfn.IFS(AND(P1686&lt;&gt;"",R1686&lt;&gt;"",RIGHT($N1686,6)="tarief",F1686="Vergoeding"),SUM(P1686)*FLOOR(SUM(R1686),0.0001),AND(P1686&lt;&gt;"",R1686&lt;&gt;"",RIGHT($N1686,6)="tarief"),P1686*FLOOR(R1686,0.01),T1686&gt;0,FLOOR(SUM(T1686),0.01)),""),""),"")</f>
        <v/>
      </c>
      <c r="Y1686" s="314" t="str">
        <f t="shared" ca="1" si="106"/>
        <v/>
      </c>
      <c r="Z1686" s="314" t="str" cm="1">
        <f t="array" aca="1" ref="Z1686" ca="1">IFERROR(_xlfn.IFS(OR(F1686="",LEFT(Methode_Keuze,4)="Geen",Methode_Keuze=""),"",AND(W1686&lt;&gt;"",F1686&lt;&gt;"Arbeidskosten"),W1686*VLOOKUP(F1686,Tb_ProjectKosten[],MATCH(Tb_ProjectKosten[[#Headers],[Forfait_Percentage]],Tb_ProjectKosten[#Headers],0),0),AND(F1686="Arbeidskosten",G1686&lt;&gt;""),IFERROR(W1686*VLOOKUP(G1686,Tb_KostenTypen[],3,0)*VLOOKUP(F1686,Tb_ProjectKosten[],MATCH(Tb_ProjectKosten[[#Headers],[Forfait_Percentage]],Tb_ProjectKosten[#Headers],0),0),""),W1686 &lt;=0,0),"")</f>
        <v/>
      </c>
      <c r="AA1686" s="314" t="str" cm="1">
        <f t="array" aca="1" ref="AA1686" ca="1">IFERROR(_xlfn.IFS(OR(F1686="",LEFT(Methode_Keuze,4)="Geen",Methode_Keuze=""),"",AND(X1686&lt;&gt;"",F1686&lt;&gt;"Arbeidskosten"),X1686*VLOOKUP(F1686,Tb_ProjectKosten[],MATCH(Tb_ProjectKosten[[#Headers],[Forfait_Percentage]],Tb_ProjectKosten[#Headers],0),0),AND(F1686="Arbeidskosten",G1686&lt;&gt;""),IFERROR(X1686*VLOOKUP(G1686,Tb_KostenTypen[],3,0)*VLOOKUP(F1686,Tb_ProjectKosten[],MATCH(Tb_ProjectKosten[[#Headers],[Forfait_Percentage]],Tb_ProjectKosten[#Headers],0),0),""),X1686 &lt;=0,0),"")</f>
        <v/>
      </c>
      <c r="AB1686" s="314" t="str">
        <f t="shared" ca="1" si="107"/>
        <v/>
      </c>
      <c r="AC1686" s="322"/>
      <c r="AD1686" s="315"/>
      <c r="AE1686" s="32" t="str" cm="1">
        <f t="array" ref="AE1686">IFERROR(IF(INDEX(SubsidieTabel!$AD$1:$AG$12,MATCH($F1686,SubsidieTabel!$AD$1:$AD$12,0),IFERROR(MATCH(Methode_Keuze,SubsidieTabel!$AD$1:$AG$1,0),2))&lt;&gt;1=TRUE,"ja",""),"")</f>
        <v/>
      </c>
    </row>
    <row r="1687" spans="1:31" x14ac:dyDescent="0.25">
      <c r="A1687" s="316"/>
      <c r="B1687" s="317" t="str">
        <f>IF(A1687&lt;&gt;"",_xlfn.MAXIFS($B$1:B1686,$A$1:A1686,A1687)+1,"")</f>
        <v/>
      </c>
      <c r="C1687" s="296"/>
      <c r="D1687" s="296"/>
      <c r="E1687" s="296"/>
      <c r="F1687" s="296"/>
      <c r="G1687" s="326"/>
      <c r="H1687" s="324"/>
      <c r="I1687" s="325"/>
      <c r="J1687" s="325"/>
      <c r="K1687" s="318"/>
      <c r="L1687" s="318"/>
      <c r="M1687" s="319" t="str">
        <f>IFERROR(VLOOKUP(H1687,Lijsten!$H$1:$I$100,2,0),"")</f>
        <v/>
      </c>
      <c r="N1687" s="319" t="str">
        <f ca="1">IFERROR(IF(VLOOKUP(F1687,Kostentypen!$A$3:$E$21,3,0)=0,"",IF(OR(F1687="Arbeidskosten",F1687="Vergoeding"),VLOOKUP(G1687,Tb_KostenTypen[],2,0),VLOOKUP(F1687,Kostentypen!$A$3:$E$20,3,0))),"")</f>
        <v/>
      </c>
      <c r="O1687" s="320" t="str" cm="1">
        <f t="array" ref="O1687">_xlfn.IFNA(IF(INDEX(Tb_KostenOptiesDB[],MATCH($F1687,Tb_KostenOptiesDB[KostenOptie],0),IFERROR(MATCH(Methode_Keuze,Tb_KostenOptiesDB[#Headers],0),2))=1,_xlfn.SWITCH($N1687,"Uurtarief",IF(OR(AND(RIGHT($F1687,3)="IKS",VLOOKUP($M1687,DB_Loonkosten,2,0)="Ja"),AND(RIGHT($F1687,3)&lt;&gt;"IKS",VLOOKUP($M1687,DB_Loonkosten,2,0)="Nee")),IFERROR(VLOOKUP($M1687,DB_Loonkosten,24,0),""),0),"Vast tarief",IF(LEFT(F1687,8)="Bijdrage",VLOOKUP($F1687,Tb_KostenTypen[],MATCH(Lijsten!$P$1,Tb_KostenTypen[#Headers],0),0),VLOOKUP($G1687,Lijsten!L:P,MATCH(Lijsten!$P$1,Kop_Tarief_Vast,0),0))),""),"")</f>
        <v/>
      </c>
      <c r="P1687" s="320" t="str" cm="1">
        <f t="array" ref="P1687">_xlfn.IFNA(IF(INDEX(Tb_KostenOptiesDB[],MATCH($F1687,Tb_KostenOptiesDB[KostenOptie],0),IFERROR(MATCH(Methode_Keuze,Tb_KostenOptiesDB[#Headers],0),2))=1,_xlfn.SWITCH($N1687,"Uurtarief",IF(OR(AND(RIGHT($F1687,3)="IKS",VLOOKUP($M1687,DB_Loonkosten,2,0)="Ja"),AND(RIGHT($F1687,3)&lt;&gt;"IKS",VLOOKUP($M1687,DB_Loonkosten,2,0)="Nee")),IFERROR(VLOOKUP($M1687,DB_Loonkosten,25,0),""),0),"Vast tarief",IF(LEFT(F1687,8)="Bijdrage",VLOOKUP($F1687,Tb_KostenTypen[],MATCH(Lijsten!$P$1,Tb_KostenTypen[#Headers],0),0),VLOOKUP($G1687,Lijsten!L:P,MATCH(Lijsten!$P$1,Kop_Tarief_Vast,0),0))),""),"")</f>
        <v/>
      </c>
      <c r="Q1687" s="359"/>
      <c r="R1687" s="359"/>
      <c r="S1687" s="321"/>
      <c r="T1687" s="321"/>
      <c r="U1687" s="373" t="str">
        <f t="shared" si="104"/>
        <v/>
      </c>
      <c r="V1687" s="314" t="str">
        <f t="shared" si="105"/>
        <v/>
      </c>
      <c r="W1687" s="314" t="str" cm="1">
        <f t="array" aca="1" ref="W1687" ca="1">IFERROR(IF(AE1687&lt;&gt;"ja",_xlfn.IFNA(_xlfn.IFS(AND(O1687&lt;&gt;"",F1687&lt;&gt;"",RIGHT($N1687,6)="tarief",F1687="Vergoeding"),SUM(O1687)*FLOOR(SUM(Q1687),0.0001),AND(O1687&lt;&gt;"",F1687&lt;&gt;"",RIGHT($N1687,6)="tarief"),SUM(O1687)*FLOOR(SUM(Q1687),0.01),S1687&gt;0,IF(F1687&lt;&gt;"",FLOOR(SUM(S1687),0.01),"")),""),""),"")</f>
        <v/>
      </c>
      <c r="X1687" s="314" t="str" cm="1">
        <f t="array" aca="1" ref="X1687" ca="1">IFERROR(IF(AE1687&lt;&gt;"ja",_xlfn.IFNA(_xlfn.IFS(AND(P1687&lt;&gt;"",R1687&lt;&gt;"",RIGHT($N1687,6)="tarief",F1687="Vergoeding"),SUM(P1687)*FLOOR(SUM(R1687),0.0001),AND(P1687&lt;&gt;"",R1687&lt;&gt;"",RIGHT($N1687,6)="tarief"),P1687*FLOOR(R1687,0.01),T1687&gt;0,FLOOR(SUM(T1687),0.01)),""),""),"")</f>
        <v/>
      </c>
      <c r="Y1687" s="314" t="str">
        <f t="shared" ca="1" si="106"/>
        <v/>
      </c>
      <c r="Z1687" s="314" t="str" cm="1">
        <f t="array" aca="1" ref="Z1687" ca="1">IFERROR(_xlfn.IFS(OR(F1687="",LEFT(Methode_Keuze,4)="Geen",Methode_Keuze=""),"",AND(W1687&lt;&gt;"",F1687&lt;&gt;"Arbeidskosten"),W1687*VLOOKUP(F1687,Tb_ProjectKosten[],MATCH(Tb_ProjectKosten[[#Headers],[Forfait_Percentage]],Tb_ProjectKosten[#Headers],0),0),AND(F1687="Arbeidskosten",G1687&lt;&gt;""),IFERROR(W1687*VLOOKUP(G1687,Tb_KostenTypen[],3,0)*VLOOKUP(F1687,Tb_ProjectKosten[],MATCH(Tb_ProjectKosten[[#Headers],[Forfait_Percentage]],Tb_ProjectKosten[#Headers],0),0),""),W1687 &lt;=0,0),"")</f>
        <v/>
      </c>
      <c r="AA1687" s="314" t="str" cm="1">
        <f t="array" aca="1" ref="AA1687" ca="1">IFERROR(_xlfn.IFS(OR(F1687="",LEFT(Methode_Keuze,4)="Geen",Methode_Keuze=""),"",AND(X1687&lt;&gt;"",F1687&lt;&gt;"Arbeidskosten"),X1687*VLOOKUP(F1687,Tb_ProjectKosten[],MATCH(Tb_ProjectKosten[[#Headers],[Forfait_Percentage]],Tb_ProjectKosten[#Headers],0),0),AND(F1687="Arbeidskosten",G1687&lt;&gt;""),IFERROR(X1687*VLOOKUP(G1687,Tb_KostenTypen[],3,0)*VLOOKUP(F1687,Tb_ProjectKosten[],MATCH(Tb_ProjectKosten[[#Headers],[Forfait_Percentage]],Tb_ProjectKosten[#Headers],0),0),""),X1687 &lt;=0,0),"")</f>
        <v/>
      </c>
      <c r="AB1687" s="314" t="str">
        <f t="shared" ca="1" si="107"/>
        <v/>
      </c>
      <c r="AC1687" s="322"/>
      <c r="AD1687" s="315"/>
      <c r="AE1687" s="32" t="str" cm="1">
        <f t="array" ref="AE1687">IFERROR(IF(INDEX(SubsidieTabel!$AD$1:$AG$12,MATCH($F1687,SubsidieTabel!$AD$1:$AD$12,0),IFERROR(MATCH(Methode_Keuze,SubsidieTabel!$AD$1:$AG$1,0),2))&lt;&gt;1=TRUE,"ja",""),"")</f>
        <v/>
      </c>
    </row>
    <row r="1688" spans="1:31" x14ac:dyDescent="0.25">
      <c r="A1688" s="316"/>
      <c r="B1688" s="317" t="str">
        <f>IF(A1688&lt;&gt;"",_xlfn.MAXIFS($B$1:B1687,$A$1:A1687,A1688)+1,"")</f>
        <v/>
      </c>
      <c r="C1688" s="296"/>
      <c r="D1688" s="296"/>
      <c r="E1688" s="296"/>
      <c r="F1688" s="296"/>
      <c r="G1688" s="326"/>
      <c r="H1688" s="324"/>
      <c r="I1688" s="325"/>
      <c r="J1688" s="325"/>
      <c r="K1688" s="318"/>
      <c r="L1688" s="318"/>
      <c r="M1688" s="319" t="str">
        <f>IFERROR(VLOOKUP(H1688,Lijsten!$H$1:$I$100,2,0),"")</f>
        <v/>
      </c>
      <c r="N1688" s="319" t="str">
        <f ca="1">IFERROR(IF(VLOOKUP(F1688,Kostentypen!$A$3:$E$21,3,0)=0,"",IF(OR(F1688="Arbeidskosten",F1688="Vergoeding"),VLOOKUP(G1688,Tb_KostenTypen[],2,0),VLOOKUP(F1688,Kostentypen!$A$3:$E$20,3,0))),"")</f>
        <v/>
      </c>
      <c r="O1688" s="320" t="str" cm="1">
        <f t="array" ref="O1688">_xlfn.IFNA(IF(INDEX(Tb_KostenOptiesDB[],MATCH($F1688,Tb_KostenOptiesDB[KostenOptie],0),IFERROR(MATCH(Methode_Keuze,Tb_KostenOptiesDB[#Headers],0),2))=1,_xlfn.SWITCH($N1688,"Uurtarief",IF(OR(AND(RIGHT($F1688,3)="IKS",VLOOKUP($M1688,DB_Loonkosten,2,0)="Ja"),AND(RIGHT($F1688,3)&lt;&gt;"IKS",VLOOKUP($M1688,DB_Loonkosten,2,0)="Nee")),IFERROR(VLOOKUP($M1688,DB_Loonkosten,24,0),""),0),"Vast tarief",IF(LEFT(F1688,8)="Bijdrage",VLOOKUP($F1688,Tb_KostenTypen[],MATCH(Lijsten!$P$1,Tb_KostenTypen[#Headers],0),0),VLOOKUP($G1688,Lijsten!L:P,MATCH(Lijsten!$P$1,Kop_Tarief_Vast,0),0))),""),"")</f>
        <v/>
      </c>
      <c r="P1688" s="320" t="str" cm="1">
        <f t="array" ref="P1688">_xlfn.IFNA(IF(INDEX(Tb_KostenOptiesDB[],MATCH($F1688,Tb_KostenOptiesDB[KostenOptie],0),IFERROR(MATCH(Methode_Keuze,Tb_KostenOptiesDB[#Headers],0),2))=1,_xlfn.SWITCH($N1688,"Uurtarief",IF(OR(AND(RIGHT($F1688,3)="IKS",VLOOKUP($M1688,DB_Loonkosten,2,0)="Ja"),AND(RIGHT($F1688,3)&lt;&gt;"IKS",VLOOKUP($M1688,DB_Loonkosten,2,0)="Nee")),IFERROR(VLOOKUP($M1688,DB_Loonkosten,25,0),""),0),"Vast tarief",IF(LEFT(F1688,8)="Bijdrage",VLOOKUP($F1688,Tb_KostenTypen[],MATCH(Lijsten!$P$1,Tb_KostenTypen[#Headers],0),0),VLOOKUP($G1688,Lijsten!L:P,MATCH(Lijsten!$P$1,Kop_Tarief_Vast,0),0))),""),"")</f>
        <v/>
      </c>
      <c r="Q1688" s="359"/>
      <c r="R1688" s="359"/>
      <c r="S1688" s="321"/>
      <c r="T1688" s="321"/>
      <c r="U1688" s="373" t="str">
        <f t="shared" si="104"/>
        <v/>
      </c>
      <c r="V1688" s="314" t="str">
        <f t="shared" si="105"/>
        <v/>
      </c>
      <c r="W1688" s="314" t="str" cm="1">
        <f t="array" aca="1" ref="W1688" ca="1">IFERROR(IF(AE1688&lt;&gt;"ja",_xlfn.IFNA(_xlfn.IFS(AND(O1688&lt;&gt;"",F1688&lt;&gt;"",RIGHT($N1688,6)="tarief",F1688="Vergoeding"),SUM(O1688)*FLOOR(SUM(Q1688),0.0001),AND(O1688&lt;&gt;"",F1688&lt;&gt;"",RIGHT($N1688,6)="tarief"),SUM(O1688)*FLOOR(SUM(Q1688),0.01),S1688&gt;0,IF(F1688&lt;&gt;"",FLOOR(SUM(S1688),0.01),"")),""),""),"")</f>
        <v/>
      </c>
      <c r="X1688" s="314" t="str" cm="1">
        <f t="array" aca="1" ref="X1688" ca="1">IFERROR(IF(AE1688&lt;&gt;"ja",_xlfn.IFNA(_xlfn.IFS(AND(P1688&lt;&gt;"",R1688&lt;&gt;"",RIGHT($N1688,6)="tarief",F1688="Vergoeding"),SUM(P1688)*FLOOR(SUM(R1688),0.0001),AND(P1688&lt;&gt;"",R1688&lt;&gt;"",RIGHT($N1688,6)="tarief"),P1688*FLOOR(R1688,0.01),T1688&gt;0,FLOOR(SUM(T1688),0.01)),""),""),"")</f>
        <v/>
      </c>
      <c r="Y1688" s="314" t="str">
        <f t="shared" ca="1" si="106"/>
        <v/>
      </c>
      <c r="Z1688" s="314" t="str" cm="1">
        <f t="array" aca="1" ref="Z1688" ca="1">IFERROR(_xlfn.IFS(OR(F1688="",LEFT(Methode_Keuze,4)="Geen",Methode_Keuze=""),"",AND(W1688&lt;&gt;"",F1688&lt;&gt;"Arbeidskosten"),W1688*VLOOKUP(F1688,Tb_ProjectKosten[],MATCH(Tb_ProjectKosten[[#Headers],[Forfait_Percentage]],Tb_ProjectKosten[#Headers],0),0),AND(F1688="Arbeidskosten",G1688&lt;&gt;""),IFERROR(W1688*VLOOKUP(G1688,Tb_KostenTypen[],3,0)*VLOOKUP(F1688,Tb_ProjectKosten[],MATCH(Tb_ProjectKosten[[#Headers],[Forfait_Percentage]],Tb_ProjectKosten[#Headers],0),0),""),W1688 &lt;=0,0),"")</f>
        <v/>
      </c>
      <c r="AA1688" s="314" t="str" cm="1">
        <f t="array" aca="1" ref="AA1688" ca="1">IFERROR(_xlfn.IFS(OR(F1688="",LEFT(Methode_Keuze,4)="Geen",Methode_Keuze=""),"",AND(X1688&lt;&gt;"",F1688&lt;&gt;"Arbeidskosten"),X1688*VLOOKUP(F1688,Tb_ProjectKosten[],MATCH(Tb_ProjectKosten[[#Headers],[Forfait_Percentage]],Tb_ProjectKosten[#Headers],0),0),AND(F1688="Arbeidskosten",G1688&lt;&gt;""),IFERROR(X1688*VLOOKUP(G1688,Tb_KostenTypen[],3,0)*VLOOKUP(F1688,Tb_ProjectKosten[],MATCH(Tb_ProjectKosten[[#Headers],[Forfait_Percentage]],Tb_ProjectKosten[#Headers],0),0),""),X1688 &lt;=0,0),"")</f>
        <v/>
      </c>
      <c r="AB1688" s="314" t="str">
        <f t="shared" ca="1" si="107"/>
        <v/>
      </c>
      <c r="AC1688" s="322"/>
      <c r="AD1688" s="315"/>
      <c r="AE1688" s="32" t="str" cm="1">
        <f t="array" ref="AE1688">IFERROR(IF(INDEX(SubsidieTabel!$AD$1:$AG$12,MATCH($F1688,SubsidieTabel!$AD$1:$AD$12,0),IFERROR(MATCH(Methode_Keuze,SubsidieTabel!$AD$1:$AG$1,0),2))&lt;&gt;1=TRUE,"ja",""),"")</f>
        <v/>
      </c>
    </row>
    <row r="1689" spans="1:31" x14ac:dyDescent="0.25">
      <c r="A1689" s="316"/>
      <c r="B1689" s="317" t="str">
        <f>IF(A1689&lt;&gt;"",_xlfn.MAXIFS($B$1:B1688,$A$1:A1688,A1689)+1,"")</f>
        <v/>
      </c>
      <c r="C1689" s="296"/>
      <c r="D1689" s="296"/>
      <c r="E1689" s="296"/>
      <c r="F1689" s="296"/>
      <c r="G1689" s="326"/>
      <c r="H1689" s="324"/>
      <c r="I1689" s="325"/>
      <c r="J1689" s="325"/>
      <c r="K1689" s="318"/>
      <c r="L1689" s="318"/>
      <c r="M1689" s="319" t="str">
        <f>IFERROR(VLOOKUP(H1689,Lijsten!$H$1:$I$100,2,0),"")</f>
        <v/>
      </c>
      <c r="N1689" s="319" t="str">
        <f ca="1">IFERROR(IF(VLOOKUP(F1689,Kostentypen!$A$3:$E$21,3,0)=0,"",IF(OR(F1689="Arbeidskosten",F1689="Vergoeding"),VLOOKUP(G1689,Tb_KostenTypen[],2,0),VLOOKUP(F1689,Kostentypen!$A$3:$E$20,3,0))),"")</f>
        <v/>
      </c>
      <c r="O1689" s="320" t="str" cm="1">
        <f t="array" ref="O1689">_xlfn.IFNA(IF(INDEX(Tb_KostenOptiesDB[],MATCH($F1689,Tb_KostenOptiesDB[KostenOptie],0),IFERROR(MATCH(Methode_Keuze,Tb_KostenOptiesDB[#Headers],0),2))=1,_xlfn.SWITCH($N1689,"Uurtarief",IF(OR(AND(RIGHT($F1689,3)="IKS",VLOOKUP($M1689,DB_Loonkosten,2,0)="Ja"),AND(RIGHT($F1689,3)&lt;&gt;"IKS",VLOOKUP($M1689,DB_Loonkosten,2,0)="Nee")),IFERROR(VLOOKUP($M1689,DB_Loonkosten,24,0),""),0),"Vast tarief",IF(LEFT(F1689,8)="Bijdrage",VLOOKUP($F1689,Tb_KostenTypen[],MATCH(Lijsten!$P$1,Tb_KostenTypen[#Headers],0),0),VLOOKUP($G1689,Lijsten!L:P,MATCH(Lijsten!$P$1,Kop_Tarief_Vast,0),0))),""),"")</f>
        <v/>
      </c>
      <c r="P1689" s="320" t="str" cm="1">
        <f t="array" ref="P1689">_xlfn.IFNA(IF(INDEX(Tb_KostenOptiesDB[],MATCH($F1689,Tb_KostenOptiesDB[KostenOptie],0),IFERROR(MATCH(Methode_Keuze,Tb_KostenOptiesDB[#Headers],0),2))=1,_xlfn.SWITCH($N1689,"Uurtarief",IF(OR(AND(RIGHT($F1689,3)="IKS",VLOOKUP($M1689,DB_Loonkosten,2,0)="Ja"),AND(RIGHT($F1689,3)&lt;&gt;"IKS",VLOOKUP($M1689,DB_Loonkosten,2,0)="Nee")),IFERROR(VLOOKUP($M1689,DB_Loonkosten,25,0),""),0),"Vast tarief",IF(LEFT(F1689,8)="Bijdrage",VLOOKUP($F1689,Tb_KostenTypen[],MATCH(Lijsten!$P$1,Tb_KostenTypen[#Headers],0),0),VLOOKUP($G1689,Lijsten!L:P,MATCH(Lijsten!$P$1,Kop_Tarief_Vast,0),0))),""),"")</f>
        <v/>
      </c>
      <c r="Q1689" s="359"/>
      <c r="R1689" s="359"/>
      <c r="S1689" s="321"/>
      <c r="T1689" s="321"/>
      <c r="U1689" s="373" t="str">
        <f t="shared" si="104"/>
        <v/>
      </c>
      <c r="V1689" s="314" t="str">
        <f t="shared" si="105"/>
        <v/>
      </c>
      <c r="W1689" s="314" t="str" cm="1">
        <f t="array" aca="1" ref="W1689" ca="1">IFERROR(IF(AE1689&lt;&gt;"ja",_xlfn.IFNA(_xlfn.IFS(AND(O1689&lt;&gt;"",F1689&lt;&gt;"",RIGHT($N1689,6)="tarief",F1689="Vergoeding"),SUM(O1689)*FLOOR(SUM(Q1689),0.0001),AND(O1689&lt;&gt;"",F1689&lt;&gt;"",RIGHT($N1689,6)="tarief"),SUM(O1689)*FLOOR(SUM(Q1689),0.01),S1689&gt;0,IF(F1689&lt;&gt;"",FLOOR(SUM(S1689),0.01),"")),""),""),"")</f>
        <v/>
      </c>
      <c r="X1689" s="314" t="str" cm="1">
        <f t="array" aca="1" ref="X1689" ca="1">IFERROR(IF(AE1689&lt;&gt;"ja",_xlfn.IFNA(_xlfn.IFS(AND(P1689&lt;&gt;"",R1689&lt;&gt;"",RIGHT($N1689,6)="tarief",F1689="Vergoeding"),SUM(P1689)*FLOOR(SUM(R1689),0.0001),AND(P1689&lt;&gt;"",R1689&lt;&gt;"",RIGHT($N1689,6)="tarief"),P1689*FLOOR(R1689,0.01),T1689&gt;0,FLOOR(SUM(T1689),0.01)),""),""),"")</f>
        <v/>
      </c>
      <c r="Y1689" s="314" t="str">
        <f t="shared" ca="1" si="106"/>
        <v/>
      </c>
      <c r="Z1689" s="314" t="str" cm="1">
        <f t="array" aca="1" ref="Z1689" ca="1">IFERROR(_xlfn.IFS(OR(F1689="",LEFT(Methode_Keuze,4)="Geen",Methode_Keuze=""),"",AND(W1689&lt;&gt;"",F1689&lt;&gt;"Arbeidskosten"),W1689*VLOOKUP(F1689,Tb_ProjectKosten[],MATCH(Tb_ProjectKosten[[#Headers],[Forfait_Percentage]],Tb_ProjectKosten[#Headers],0),0),AND(F1689="Arbeidskosten",G1689&lt;&gt;""),IFERROR(W1689*VLOOKUP(G1689,Tb_KostenTypen[],3,0)*VLOOKUP(F1689,Tb_ProjectKosten[],MATCH(Tb_ProjectKosten[[#Headers],[Forfait_Percentage]],Tb_ProjectKosten[#Headers],0),0),""),W1689 &lt;=0,0),"")</f>
        <v/>
      </c>
      <c r="AA1689" s="314" t="str" cm="1">
        <f t="array" aca="1" ref="AA1689" ca="1">IFERROR(_xlfn.IFS(OR(F1689="",LEFT(Methode_Keuze,4)="Geen",Methode_Keuze=""),"",AND(X1689&lt;&gt;"",F1689&lt;&gt;"Arbeidskosten"),X1689*VLOOKUP(F1689,Tb_ProjectKosten[],MATCH(Tb_ProjectKosten[[#Headers],[Forfait_Percentage]],Tb_ProjectKosten[#Headers],0),0),AND(F1689="Arbeidskosten",G1689&lt;&gt;""),IFERROR(X1689*VLOOKUP(G1689,Tb_KostenTypen[],3,0)*VLOOKUP(F1689,Tb_ProjectKosten[],MATCH(Tb_ProjectKosten[[#Headers],[Forfait_Percentage]],Tb_ProjectKosten[#Headers],0),0),""),X1689 &lt;=0,0),"")</f>
        <v/>
      </c>
      <c r="AB1689" s="314" t="str">
        <f t="shared" ca="1" si="107"/>
        <v/>
      </c>
      <c r="AC1689" s="322"/>
      <c r="AD1689" s="315"/>
      <c r="AE1689" s="32" t="str" cm="1">
        <f t="array" ref="AE1689">IFERROR(IF(INDEX(SubsidieTabel!$AD$1:$AG$12,MATCH($F1689,SubsidieTabel!$AD$1:$AD$12,0),IFERROR(MATCH(Methode_Keuze,SubsidieTabel!$AD$1:$AG$1,0),2))&lt;&gt;1=TRUE,"ja",""),"")</f>
        <v/>
      </c>
    </row>
    <row r="1690" spans="1:31" x14ac:dyDescent="0.25">
      <c r="A1690" s="316"/>
      <c r="B1690" s="317" t="str">
        <f>IF(A1690&lt;&gt;"",_xlfn.MAXIFS($B$1:B1689,$A$1:A1689,A1690)+1,"")</f>
        <v/>
      </c>
      <c r="C1690" s="296"/>
      <c r="D1690" s="296"/>
      <c r="E1690" s="296"/>
      <c r="F1690" s="296"/>
      <c r="G1690" s="326"/>
      <c r="H1690" s="324"/>
      <c r="I1690" s="325"/>
      <c r="J1690" s="325"/>
      <c r="K1690" s="318"/>
      <c r="L1690" s="318"/>
      <c r="M1690" s="319" t="str">
        <f>IFERROR(VLOOKUP(H1690,Lijsten!$H$1:$I$100,2,0),"")</f>
        <v/>
      </c>
      <c r="N1690" s="319" t="str">
        <f ca="1">IFERROR(IF(VLOOKUP(F1690,Kostentypen!$A$3:$E$21,3,0)=0,"",IF(OR(F1690="Arbeidskosten",F1690="Vergoeding"),VLOOKUP(G1690,Tb_KostenTypen[],2,0),VLOOKUP(F1690,Kostentypen!$A$3:$E$20,3,0))),"")</f>
        <v/>
      </c>
      <c r="O1690" s="320" t="str" cm="1">
        <f t="array" ref="O1690">_xlfn.IFNA(IF(INDEX(Tb_KostenOptiesDB[],MATCH($F1690,Tb_KostenOptiesDB[KostenOptie],0),IFERROR(MATCH(Methode_Keuze,Tb_KostenOptiesDB[#Headers],0),2))=1,_xlfn.SWITCH($N1690,"Uurtarief",IF(OR(AND(RIGHT($F1690,3)="IKS",VLOOKUP($M1690,DB_Loonkosten,2,0)="Ja"),AND(RIGHT($F1690,3)&lt;&gt;"IKS",VLOOKUP($M1690,DB_Loonkosten,2,0)="Nee")),IFERROR(VLOOKUP($M1690,DB_Loonkosten,24,0),""),0),"Vast tarief",IF(LEFT(F1690,8)="Bijdrage",VLOOKUP($F1690,Tb_KostenTypen[],MATCH(Lijsten!$P$1,Tb_KostenTypen[#Headers],0),0),VLOOKUP($G1690,Lijsten!L:P,MATCH(Lijsten!$P$1,Kop_Tarief_Vast,0),0))),""),"")</f>
        <v/>
      </c>
      <c r="P1690" s="320" t="str" cm="1">
        <f t="array" ref="P1690">_xlfn.IFNA(IF(INDEX(Tb_KostenOptiesDB[],MATCH($F1690,Tb_KostenOptiesDB[KostenOptie],0),IFERROR(MATCH(Methode_Keuze,Tb_KostenOptiesDB[#Headers],0),2))=1,_xlfn.SWITCH($N1690,"Uurtarief",IF(OR(AND(RIGHT($F1690,3)="IKS",VLOOKUP($M1690,DB_Loonkosten,2,0)="Ja"),AND(RIGHT($F1690,3)&lt;&gt;"IKS",VLOOKUP($M1690,DB_Loonkosten,2,0)="Nee")),IFERROR(VLOOKUP($M1690,DB_Loonkosten,25,0),""),0),"Vast tarief",IF(LEFT(F1690,8)="Bijdrage",VLOOKUP($F1690,Tb_KostenTypen[],MATCH(Lijsten!$P$1,Tb_KostenTypen[#Headers],0),0),VLOOKUP($G1690,Lijsten!L:P,MATCH(Lijsten!$P$1,Kop_Tarief_Vast,0),0))),""),"")</f>
        <v/>
      </c>
      <c r="Q1690" s="359"/>
      <c r="R1690" s="359"/>
      <c r="S1690" s="321"/>
      <c r="T1690" s="321"/>
      <c r="U1690" s="373" t="str">
        <f t="shared" si="104"/>
        <v/>
      </c>
      <c r="V1690" s="314" t="str">
        <f t="shared" si="105"/>
        <v/>
      </c>
      <c r="W1690" s="314" t="str" cm="1">
        <f t="array" aca="1" ref="W1690" ca="1">IFERROR(IF(AE1690&lt;&gt;"ja",_xlfn.IFNA(_xlfn.IFS(AND(O1690&lt;&gt;"",F1690&lt;&gt;"",RIGHT($N1690,6)="tarief",F1690="Vergoeding"),SUM(O1690)*FLOOR(SUM(Q1690),0.0001),AND(O1690&lt;&gt;"",F1690&lt;&gt;"",RIGHT($N1690,6)="tarief"),SUM(O1690)*FLOOR(SUM(Q1690),0.01),S1690&gt;0,IF(F1690&lt;&gt;"",FLOOR(SUM(S1690),0.01),"")),""),""),"")</f>
        <v/>
      </c>
      <c r="X1690" s="314" t="str" cm="1">
        <f t="array" aca="1" ref="X1690" ca="1">IFERROR(IF(AE1690&lt;&gt;"ja",_xlfn.IFNA(_xlfn.IFS(AND(P1690&lt;&gt;"",R1690&lt;&gt;"",RIGHT($N1690,6)="tarief",F1690="Vergoeding"),SUM(P1690)*FLOOR(SUM(R1690),0.0001),AND(P1690&lt;&gt;"",R1690&lt;&gt;"",RIGHT($N1690,6)="tarief"),P1690*FLOOR(R1690,0.01),T1690&gt;0,FLOOR(SUM(T1690),0.01)),""),""),"")</f>
        <v/>
      </c>
      <c r="Y1690" s="314" t="str">
        <f t="shared" ca="1" si="106"/>
        <v/>
      </c>
      <c r="Z1690" s="314" t="str" cm="1">
        <f t="array" aca="1" ref="Z1690" ca="1">IFERROR(_xlfn.IFS(OR(F1690="",LEFT(Methode_Keuze,4)="Geen",Methode_Keuze=""),"",AND(W1690&lt;&gt;"",F1690&lt;&gt;"Arbeidskosten"),W1690*VLOOKUP(F1690,Tb_ProjectKosten[],MATCH(Tb_ProjectKosten[[#Headers],[Forfait_Percentage]],Tb_ProjectKosten[#Headers],0),0),AND(F1690="Arbeidskosten",G1690&lt;&gt;""),IFERROR(W1690*VLOOKUP(G1690,Tb_KostenTypen[],3,0)*VLOOKUP(F1690,Tb_ProjectKosten[],MATCH(Tb_ProjectKosten[[#Headers],[Forfait_Percentage]],Tb_ProjectKosten[#Headers],0),0),""),W1690 &lt;=0,0),"")</f>
        <v/>
      </c>
      <c r="AA1690" s="314" t="str" cm="1">
        <f t="array" aca="1" ref="AA1690" ca="1">IFERROR(_xlfn.IFS(OR(F1690="",LEFT(Methode_Keuze,4)="Geen",Methode_Keuze=""),"",AND(X1690&lt;&gt;"",F1690&lt;&gt;"Arbeidskosten"),X1690*VLOOKUP(F1690,Tb_ProjectKosten[],MATCH(Tb_ProjectKosten[[#Headers],[Forfait_Percentage]],Tb_ProjectKosten[#Headers],0),0),AND(F1690="Arbeidskosten",G1690&lt;&gt;""),IFERROR(X1690*VLOOKUP(G1690,Tb_KostenTypen[],3,0)*VLOOKUP(F1690,Tb_ProjectKosten[],MATCH(Tb_ProjectKosten[[#Headers],[Forfait_Percentage]],Tb_ProjectKosten[#Headers],0),0),""),X1690 &lt;=0,0),"")</f>
        <v/>
      </c>
      <c r="AB1690" s="314" t="str">
        <f t="shared" ca="1" si="107"/>
        <v/>
      </c>
      <c r="AC1690" s="322"/>
      <c r="AD1690" s="315"/>
      <c r="AE1690" s="32" t="str" cm="1">
        <f t="array" ref="AE1690">IFERROR(IF(INDEX(SubsidieTabel!$AD$1:$AG$12,MATCH($F1690,SubsidieTabel!$AD$1:$AD$12,0),IFERROR(MATCH(Methode_Keuze,SubsidieTabel!$AD$1:$AG$1,0),2))&lt;&gt;1=TRUE,"ja",""),"")</f>
        <v/>
      </c>
    </row>
    <row r="1691" spans="1:31" x14ac:dyDescent="0.25">
      <c r="A1691" s="316"/>
      <c r="B1691" s="317" t="str">
        <f>IF(A1691&lt;&gt;"",_xlfn.MAXIFS($B$1:B1690,$A$1:A1690,A1691)+1,"")</f>
        <v/>
      </c>
      <c r="C1691" s="296"/>
      <c r="D1691" s="296"/>
      <c r="E1691" s="296"/>
      <c r="F1691" s="296"/>
      <c r="G1691" s="326"/>
      <c r="H1691" s="324"/>
      <c r="I1691" s="325"/>
      <c r="J1691" s="325"/>
      <c r="K1691" s="318"/>
      <c r="L1691" s="318"/>
      <c r="M1691" s="319" t="str">
        <f>IFERROR(VLOOKUP(H1691,Lijsten!$H$1:$I$100,2,0),"")</f>
        <v/>
      </c>
      <c r="N1691" s="319" t="str">
        <f ca="1">IFERROR(IF(VLOOKUP(F1691,Kostentypen!$A$3:$E$21,3,0)=0,"",IF(OR(F1691="Arbeidskosten",F1691="Vergoeding"),VLOOKUP(G1691,Tb_KostenTypen[],2,0),VLOOKUP(F1691,Kostentypen!$A$3:$E$20,3,0))),"")</f>
        <v/>
      </c>
      <c r="O1691" s="320" t="str" cm="1">
        <f t="array" ref="O1691">_xlfn.IFNA(IF(INDEX(Tb_KostenOptiesDB[],MATCH($F1691,Tb_KostenOptiesDB[KostenOptie],0),IFERROR(MATCH(Methode_Keuze,Tb_KostenOptiesDB[#Headers],0),2))=1,_xlfn.SWITCH($N1691,"Uurtarief",IF(OR(AND(RIGHT($F1691,3)="IKS",VLOOKUP($M1691,DB_Loonkosten,2,0)="Ja"),AND(RIGHT($F1691,3)&lt;&gt;"IKS",VLOOKUP($M1691,DB_Loonkosten,2,0)="Nee")),IFERROR(VLOOKUP($M1691,DB_Loonkosten,24,0),""),0),"Vast tarief",IF(LEFT(F1691,8)="Bijdrage",VLOOKUP($F1691,Tb_KostenTypen[],MATCH(Lijsten!$P$1,Tb_KostenTypen[#Headers],0),0),VLOOKUP($G1691,Lijsten!L:P,MATCH(Lijsten!$P$1,Kop_Tarief_Vast,0),0))),""),"")</f>
        <v/>
      </c>
      <c r="P1691" s="320" t="str" cm="1">
        <f t="array" ref="P1691">_xlfn.IFNA(IF(INDEX(Tb_KostenOptiesDB[],MATCH($F1691,Tb_KostenOptiesDB[KostenOptie],0),IFERROR(MATCH(Methode_Keuze,Tb_KostenOptiesDB[#Headers],0),2))=1,_xlfn.SWITCH($N1691,"Uurtarief",IF(OR(AND(RIGHT($F1691,3)="IKS",VLOOKUP($M1691,DB_Loonkosten,2,0)="Ja"),AND(RIGHT($F1691,3)&lt;&gt;"IKS",VLOOKUP($M1691,DB_Loonkosten,2,0)="Nee")),IFERROR(VLOOKUP($M1691,DB_Loonkosten,25,0),""),0),"Vast tarief",IF(LEFT(F1691,8)="Bijdrage",VLOOKUP($F1691,Tb_KostenTypen[],MATCH(Lijsten!$P$1,Tb_KostenTypen[#Headers],0),0),VLOOKUP($G1691,Lijsten!L:P,MATCH(Lijsten!$P$1,Kop_Tarief_Vast,0),0))),""),"")</f>
        <v/>
      </c>
      <c r="Q1691" s="359"/>
      <c r="R1691" s="359"/>
      <c r="S1691" s="321"/>
      <c r="T1691" s="321"/>
      <c r="U1691" s="373" t="str">
        <f t="shared" si="104"/>
        <v/>
      </c>
      <c r="V1691" s="314" t="str">
        <f t="shared" si="105"/>
        <v/>
      </c>
      <c r="W1691" s="314" t="str" cm="1">
        <f t="array" aca="1" ref="W1691" ca="1">IFERROR(IF(AE1691&lt;&gt;"ja",_xlfn.IFNA(_xlfn.IFS(AND(O1691&lt;&gt;"",F1691&lt;&gt;"",RIGHT($N1691,6)="tarief",F1691="Vergoeding"),SUM(O1691)*FLOOR(SUM(Q1691),0.0001),AND(O1691&lt;&gt;"",F1691&lt;&gt;"",RIGHT($N1691,6)="tarief"),SUM(O1691)*FLOOR(SUM(Q1691),0.01),S1691&gt;0,IF(F1691&lt;&gt;"",FLOOR(SUM(S1691),0.01),"")),""),""),"")</f>
        <v/>
      </c>
      <c r="X1691" s="314" t="str" cm="1">
        <f t="array" aca="1" ref="X1691" ca="1">IFERROR(IF(AE1691&lt;&gt;"ja",_xlfn.IFNA(_xlfn.IFS(AND(P1691&lt;&gt;"",R1691&lt;&gt;"",RIGHT($N1691,6)="tarief",F1691="Vergoeding"),SUM(P1691)*FLOOR(SUM(R1691),0.0001),AND(P1691&lt;&gt;"",R1691&lt;&gt;"",RIGHT($N1691,6)="tarief"),P1691*FLOOR(R1691,0.01),T1691&gt;0,FLOOR(SUM(T1691),0.01)),""),""),"")</f>
        <v/>
      </c>
      <c r="Y1691" s="314" t="str">
        <f t="shared" ca="1" si="106"/>
        <v/>
      </c>
      <c r="Z1691" s="314" t="str" cm="1">
        <f t="array" aca="1" ref="Z1691" ca="1">IFERROR(_xlfn.IFS(OR(F1691="",LEFT(Methode_Keuze,4)="Geen",Methode_Keuze=""),"",AND(W1691&lt;&gt;"",F1691&lt;&gt;"Arbeidskosten"),W1691*VLOOKUP(F1691,Tb_ProjectKosten[],MATCH(Tb_ProjectKosten[[#Headers],[Forfait_Percentage]],Tb_ProjectKosten[#Headers],0),0),AND(F1691="Arbeidskosten",G1691&lt;&gt;""),IFERROR(W1691*VLOOKUP(G1691,Tb_KostenTypen[],3,0)*VLOOKUP(F1691,Tb_ProjectKosten[],MATCH(Tb_ProjectKosten[[#Headers],[Forfait_Percentage]],Tb_ProjectKosten[#Headers],0),0),""),W1691 &lt;=0,0),"")</f>
        <v/>
      </c>
      <c r="AA1691" s="314" t="str" cm="1">
        <f t="array" aca="1" ref="AA1691" ca="1">IFERROR(_xlfn.IFS(OR(F1691="",LEFT(Methode_Keuze,4)="Geen",Methode_Keuze=""),"",AND(X1691&lt;&gt;"",F1691&lt;&gt;"Arbeidskosten"),X1691*VLOOKUP(F1691,Tb_ProjectKosten[],MATCH(Tb_ProjectKosten[[#Headers],[Forfait_Percentage]],Tb_ProjectKosten[#Headers],0),0),AND(F1691="Arbeidskosten",G1691&lt;&gt;""),IFERROR(X1691*VLOOKUP(G1691,Tb_KostenTypen[],3,0)*VLOOKUP(F1691,Tb_ProjectKosten[],MATCH(Tb_ProjectKosten[[#Headers],[Forfait_Percentage]],Tb_ProjectKosten[#Headers],0),0),""),X1691 &lt;=0,0),"")</f>
        <v/>
      </c>
      <c r="AB1691" s="314" t="str">
        <f t="shared" ca="1" si="107"/>
        <v/>
      </c>
      <c r="AC1691" s="322"/>
      <c r="AD1691" s="315"/>
      <c r="AE1691" s="32" t="str" cm="1">
        <f t="array" ref="AE1691">IFERROR(IF(INDEX(SubsidieTabel!$AD$1:$AG$12,MATCH($F1691,SubsidieTabel!$AD$1:$AD$12,0),IFERROR(MATCH(Methode_Keuze,SubsidieTabel!$AD$1:$AG$1,0),2))&lt;&gt;1=TRUE,"ja",""),"")</f>
        <v/>
      </c>
    </row>
    <row r="1692" spans="1:31" x14ac:dyDescent="0.25">
      <c r="A1692" s="316"/>
      <c r="B1692" s="317" t="str">
        <f>IF(A1692&lt;&gt;"",_xlfn.MAXIFS($B$1:B1691,$A$1:A1691,A1692)+1,"")</f>
        <v/>
      </c>
      <c r="C1692" s="296"/>
      <c r="D1692" s="296"/>
      <c r="E1692" s="296"/>
      <c r="F1692" s="296"/>
      <c r="G1692" s="326"/>
      <c r="H1692" s="324"/>
      <c r="I1692" s="325"/>
      <c r="J1692" s="325"/>
      <c r="K1692" s="318"/>
      <c r="L1692" s="318"/>
      <c r="M1692" s="319" t="str">
        <f>IFERROR(VLOOKUP(H1692,Lijsten!$H$1:$I$100,2,0),"")</f>
        <v/>
      </c>
      <c r="N1692" s="319" t="str">
        <f ca="1">IFERROR(IF(VLOOKUP(F1692,Kostentypen!$A$3:$E$21,3,0)=0,"",IF(OR(F1692="Arbeidskosten",F1692="Vergoeding"),VLOOKUP(G1692,Tb_KostenTypen[],2,0),VLOOKUP(F1692,Kostentypen!$A$3:$E$20,3,0))),"")</f>
        <v/>
      </c>
      <c r="O1692" s="320" t="str" cm="1">
        <f t="array" ref="O1692">_xlfn.IFNA(IF(INDEX(Tb_KostenOptiesDB[],MATCH($F1692,Tb_KostenOptiesDB[KostenOptie],0),IFERROR(MATCH(Methode_Keuze,Tb_KostenOptiesDB[#Headers],0),2))=1,_xlfn.SWITCH($N1692,"Uurtarief",IF(OR(AND(RIGHT($F1692,3)="IKS",VLOOKUP($M1692,DB_Loonkosten,2,0)="Ja"),AND(RIGHT($F1692,3)&lt;&gt;"IKS",VLOOKUP($M1692,DB_Loonkosten,2,0)="Nee")),IFERROR(VLOOKUP($M1692,DB_Loonkosten,24,0),""),0),"Vast tarief",IF(LEFT(F1692,8)="Bijdrage",VLOOKUP($F1692,Tb_KostenTypen[],MATCH(Lijsten!$P$1,Tb_KostenTypen[#Headers],0),0),VLOOKUP($G1692,Lijsten!L:P,MATCH(Lijsten!$P$1,Kop_Tarief_Vast,0),0))),""),"")</f>
        <v/>
      </c>
      <c r="P1692" s="320" t="str" cm="1">
        <f t="array" ref="P1692">_xlfn.IFNA(IF(INDEX(Tb_KostenOptiesDB[],MATCH($F1692,Tb_KostenOptiesDB[KostenOptie],0),IFERROR(MATCH(Methode_Keuze,Tb_KostenOptiesDB[#Headers],0),2))=1,_xlfn.SWITCH($N1692,"Uurtarief",IF(OR(AND(RIGHT($F1692,3)="IKS",VLOOKUP($M1692,DB_Loonkosten,2,0)="Ja"),AND(RIGHT($F1692,3)&lt;&gt;"IKS",VLOOKUP($M1692,DB_Loonkosten,2,0)="Nee")),IFERROR(VLOOKUP($M1692,DB_Loonkosten,25,0),""),0),"Vast tarief",IF(LEFT(F1692,8)="Bijdrage",VLOOKUP($F1692,Tb_KostenTypen[],MATCH(Lijsten!$P$1,Tb_KostenTypen[#Headers],0),0),VLOOKUP($G1692,Lijsten!L:P,MATCH(Lijsten!$P$1,Kop_Tarief_Vast,0),0))),""),"")</f>
        <v/>
      </c>
      <c r="Q1692" s="359"/>
      <c r="R1692" s="359"/>
      <c r="S1692" s="321"/>
      <c r="T1692" s="321"/>
      <c r="U1692" s="373" t="str">
        <f t="shared" si="104"/>
        <v/>
      </c>
      <c r="V1692" s="314" t="str">
        <f t="shared" si="105"/>
        <v/>
      </c>
      <c r="W1692" s="314" t="str" cm="1">
        <f t="array" aca="1" ref="W1692" ca="1">IFERROR(IF(AE1692&lt;&gt;"ja",_xlfn.IFNA(_xlfn.IFS(AND(O1692&lt;&gt;"",F1692&lt;&gt;"",RIGHT($N1692,6)="tarief",F1692="Vergoeding"),SUM(O1692)*FLOOR(SUM(Q1692),0.0001),AND(O1692&lt;&gt;"",F1692&lt;&gt;"",RIGHT($N1692,6)="tarief"),SUM(O1692)*FLOOR(SUM(Q1692),0.01),S1692&gt;0,IF(F1692&lt;&gt;"",FLOOR(SUM(S1692),0.01),"")),""),""),"")</f>
        <v/>
      </c>
      <c r="X1692" s="314" t="str" cm="1">
        <f t="array" aca="1" ref="X1692" ca="1">IFERROR(IF(AE1692&lt;&gt;"ja",_xlfn.IFNA(_xlfn.IFS(AND(P1692&lt;&gt;"",R1692&lt;&gt;"",RIGHT($N1692,6)="tarief",F1692="Vergoeding"),SUM(P1692)*FLOOR(SUM(R1692),0.0001),AND(P1692&lt;&gt;"",R1692&lt;&gt;"",RIGHT($N1692,6)="tarief"),P1692*FLOOR(R1692,0.01),T1692&gt;0,FLOOR(SUM(T1692),0.01)),""),""),"")</f>
        <v/>
      </c>
      <c r="Y1692" s="314" t="str">
        <f t="shared" ca="1" si="106"/>
        <v/>
      </c>
      <c r="Z1692" s="314" t="str" cm="1">
        <f t="array" aca="1" ref="Z1692" ca="1">IFERROR(_xlfn.IFS(OR(F1692="",LEFT(Methode_Keuze,4)="Geen",Methode_Keuze=""),"",AND(W1692&lt;&gt;"",F1692&lt;&gt;"Arbeidskosten"),W1692*VLOOKUP(F1692,Tb_ProjectKosten[],MATCH(Tb_ProjectKosten[[#Headers],[Forfait_Percentage]],Tb_ProjectKosten[#Headers],0),0),AND(F1692="Arbeidskosten",G1692&lt;&gt;""),IFERROR(W1692*VLOOKUP(G1692,Tb_KostenTypen[],3,0)*VLOOKUP(F1692,Tb_ProjectKosten[],MATCH(Tb_ProjectKosten[[#Headers],[Forfait_Percentage]],Tb_ProjectKosten[#Headers],0),0),""),W1692 &lt;=0,0),"")</f>
        <v/>
      </c>
      <c r="AA1692" s="314" t="str" cm="1">
        <f t="array" aca="1" ref="AA1692" ca="1">IFERROR(_xlfn.IFS(OR(F1692="",LEFT(Methode_Keuze,4)="Geen",Methode_Keuze=""),"",AND(X1692&lt;&gt;"",F1692&lt;&gt;"Arbeidskosten"),X1692*VLOOKUP(F1692,Tb_ProjectKosten[],MATCH(Tb_ProjectKosten[[#Headers],[Forfait_Percentage]],Tb_ProjectKosten[#Headers],0),0),AND(F1692="Arbeidskosten",G1692&lt;&gt;""),IFERROR(X1692*VLOOKUP(G1692,Tb_KostenTypen[],3,0)*VLOOKUP(F1692,Tb_ProjectKosten[],MATCH(Tb_ProjectKosten[[#Headers],[Forfait_Percentage]],Tb_ProjectKosten[#Headers],0),0),""),X1692 &lt;=0,0),"")</f>
        <v/>
      </c>
      <c r="AB1692" s="314" t="str">
        <f t="shared" ca="1" si="107"/>
        <v/>
      </c>
      <c r="AC1692" s="322"/>
      <c r="AD1692" s="315"/>
      <c r="AE1692" s="32" t="str" cm="1">
        <f t="array" ref="AE1692">IFERROR(IF(INDEX(SubsidieTabel!$AD$1:$AG$12,MATCH($F1692,SubsidieTabel!$AD$1:$AD$12,0),IFERROR(MATCH(Methode_Keuze,SubsidieTabel!$AD$1:$AG$1,0),2))&lt;&gt;1=TRUE,"ja",""),"")</f>
        <v/>
      </c>
    </row>
    <row r="1693" spans="1:31" x14ac:dyDescent="0.25">
      <c r="A1693" s="316"/>
      <c r="B1693" s="317" t="str">
        <f>IF(A1693&lt;&gt;"",_xlfn.MAXIFS($B$1:B1692,$A$1:A1692,A1693)+1,"")</f>
        <v/>
      </c>
      <c r="C1693" s="296"/>
      <c r="D1693" s="296"/>
      <c r="E1693" s="296"/>
      <c r="F1693" s="296"/>
      <c r="G1693" s="326"/>
      <c r="H1693" s="324"/>
      <c r="I1693" s="325"/>
      <c r="J1693" s="325"/>
      <c r="K1693" s="318"/>
      <c r="L1693" s="318"/>
      <c r="M1693" s="319" t="str">
        <f>IFERROR(VLOOKUP(H1693,Lijsten!$H$1:$I$100,2,0),"")</f>
        <v/>
      </c>
      <c r="N1693" s="319" t="str">
        <f ca="1">IFERROR(IF(VLOOKUP(F1693,Kostentypen!$A$3:$E$21,3,0)=0,"",IF(OR(F1693="Arbeidskosten",F1693="Vergoeding"),VLOOKUP(G1693,Tb_KostenTypen[],2,0),VLOOKUP(F1693,Kostentypen!$A$3:$E$20,3,0))),"")</f>
        <v/>
      </c>
      <c r="O1693" s="320" t="str" cm="1">
        <f t="array" ref="O1693">_xlfn.IFNA(IF(INDEX(Tb_KostenOptiesDB[],MATCH($F1693,Tb_KostenOptiesDB[KostenOptie],0),IFERROR(MATCH(Methode_Keuze,Tb_KostenOptiesDB[#Headers],0),2))=1,_xlfn.SWITCH($N1693,"Uurtarief",IF(OR(AND(RIGHT($F1693,3)="IKS",VLOOKUP($M1693,DB_Loonkosten,2,0)="Ja"),AND(RIGHT($F1693,3)&lt;&gt;"IKS",VLOOKUP($M1693,DB_Loonkosten,2,0)="Nee")),IFERROR(VLOOKUP($M1693,DB_Loonkosten,24,0),""),0),"Vast tarief",IF(LEFT(F1693,8)="Bijdrage",VLOOKUP($F1693,Tb_KostenTypen[],MATCH(Lijsten!$P$1,Tb_KostenTypen[#Headers],0),0),VLOOKUP($G1693,Lijsten!L:P,MATCH(Lijsten!$P$1,Kop_Tarief_Vast,0),0))),""),"")</f>
        <v/>
      </c>
      <c r="P1693" s="320" t="str" cm="1">
        <f t="array" ref="P1693">_xlfn.IFNA(IF(INDEX(Tb_KostenOptiesDB[],MATCH($F1693,Tb_KostenOptiesDB[KostenOptie],0),IFERROR(MATCH(Methode_Keuze,Tb_KostenOptiesDB[#Headers],0),2))=1,_xlfn.SWITCH($N1693,"Uurtarief",IF(OR(AND(RIGHT($F1693,3)="IKS",VLOOKUP($M1693,DB_Loonkosten,2,0)="Ja"),AND(RIGHT($F1693,3)&lt;&gt;"IKS",VLOOKUP($M1693,DB_Loonkosten,2,0)="Nee")),IFERROR(VLOOKUP($M1693,DB_Loonkosten,25,0),""),0),"Vast tarief",IF(LEFT(F1693,8)="Bijdrage",VLOOKUP($F1693,Tb_KostenTypen[],MATCH(Lijsten!$P$1,Tb_KostenTypen[#Headers],0),0),VLOOKUP($G1693,Lijsten!L:P,MATCH(Lijsten!$P$1,Kop_Tarief_Vast,0),0))),""),"")</f>
        <v/>
      </c>
      <c r="Q1693" s="359"/>
      <c r="R1693" s="359"/>
      <c r="S1693" s="321"/>
      <c r="T1693" s="321"/>
      <c r="U1693" s="373" t="str">
        <f t="shared" si="104"/>
        <v/>
      </c>
      <c r="V1693" s="314" t="str">
        <f t="shared" si="105"/>
        <v/>
      </c>
      <c r="W1693" s="314" t="str" cm="1">
        <f t="array" aca="1" ref="W1693" ca="1">IFERROR(IF(AE1693&lt;&gt;"ja",_xlfn.IFNA(_xlfn.IFS(AND(O1693&lt;&gt;"",F1693&lt;&gt;"",RIGHT($N1693,6)="tarief",F1693="Vergoeding"),SUM(O1693)*FLOOR(SUM(Q1693),0.0001),AND(O1693&lt;&gt;"",F1693&lt;&gt;"",RIGHT($N1693,6)="tarief"),SUM(O1693)*FLOOR(SUM(Q1693),0.01),S1693&gt;0,IF(F1693&lt;&gt;"",FLOOR(SUM(S1693),0.01),"")),""),""),"")</f>
        <v/>
      </c>
      <c r="X1693" s="314" t="str" cm="1">
        <f t="array" aca="1" ref="X1693" ca="1">IFERROR(IF(AE1693&lt;&gt;"ja",_xlfn.IFNA(_xlfn.IFS(AND(P1693&lt;&gt;"",R1693&lt;&gt;"",RIGHT($N1693,6)="tarief",F1693="Vergoeding"),SUM(P1693)*FLOOR(SUM(R1693),0.0001),AND(P1693&lt;&gt;"",R1693&lt;&gt;"",RIGHT($N1693,6)="tarief"),P1693*FLOOR(R1693,0.01),T1693&gt;0,FLOOR(SUM(T1693),0.01)),""),""),"")</f>
        <v/>
      </c>
      <c r="Y1693" s="314" t="str">
        <f t="shared" ca="1" si="106"/>
        <v/>
      </c>
      <c r="Z1693" s="314" t="str" cm="1">
        <f t="array" aca="1" ref="Z1693" ca="1">IFERROR(_xlfn.IFS(OR(F1693="",LEFT(Methode_Keuze,4)="Geen",Methode_Keuze=""),"",AND(W1693&lt;&gt;"",F1693&lt;&gt;"Arbeidskosten"),W1693*VLOOKUP(F1693,Tb_ProjectKosten[],MATCH(Tb_ProjectKosten[[#Headers],[Forfait_Percentage]],Tb_ProjectKosten[#Headers],0),0),AND(F1693="Arbeidskosten",G1693&lt;&gt;""),IFERROR(W1693*VLOOKUP(G1693,Tb_KostenTypen[],3,0)*VLOOKUP(F1693,Tb_ProjectKosten[],MATCH(Tb_ProjectKosten[[#Headers],[Forfait_Percentage]],Tb_ProjectKosten[#Headers],0),0),""),W1693 &lt;=0,0),"")</f>
        <v/>
      </c>
      <c r="AA1693" s="314" t="str" cm="1">
        <f t="array" aca="1" ref="AA1693" ca="1">IFERROR(_xlfn.IFS(OR(F1693="",LEFT(Methode_Keuze,4)="Geen",Methode_Keuze=""),"",AND(X1693&lt;&gt;"",F1693&lt;&gt;"Arbeidskosten"),X1693*VLOOKUP(F1693,Tb_ProjectKosten[],MATCH(Tb_ProjectKosten[[#Headers],[Forfait_Percentage]],Tb_ProjectKosten[#Headers],0),0),AND(F1693="Arbeidskosten",G1693&lt;&gt;""),IFERROR(X1693*VLOOKUP(G1693,Tb_KostenTypen[],3,0)*VLOOKUP(F1693,Tb_ProjectKosten[],MATCH(Tb_ProjectKosten[[#Headers],[Forfait_Percentage]],Tb_ProjectKosten[#Headers],0),0),""),X1693 &lt;=0,0),"")</f>
        <v/>
      </c>
      <c r="AB1693" s="314" t="str">
        <f t="shared" ca="1" si="107"/>
        <v/>
      </c>
      <c r="AC1693" s="322"/>
      <c r="AD1693" s="315"/>
      <c r="AE1693" s="32" t="str" cm="1">
        <f t="array" ref="AE1693">IFERROR(IF(INDEX(SubsidieTabel!$AD$1:$AG$12,MATCH($F1693,SubsidieTabel!$AD$1:$AD$12,0),IFERROR(MATCH(Methode_Keuze,SubsidieTabel!$AD$1:$AG$1,0),2))&lt;&gt;1=TRUE,"ja",""),"")</f>
        <v/>
      </c>
    </row>
    <row r="1694" spans="1:31" x14ac:dyDescent="0.25">
      <c r="A1694" s="316"/>
      <c r="B1694" s="317" t="str">
        <f>IF(A1694&lt;&gt;"",_xlfn.MAXIFS($B$1:B1693,$A$1:A1693,A1694)+1,"")</f>
        <v/>
      </c>
      <c r="C1694" s="296"/>
      <c r="D1694" s="296"/>
      <c r="E1694" s="296"/>
      <c r="F1694" s="296"/>
      <c r="G1694" s="326"/>
      <c r="H1694" s="324"/>
      <c r="I1694" s="325"/>
      <c r="J1694" s="325"/>
      <c r="K1694" s="318"/>
      <c r="L1694" s="318"/>
      <c r="M1694" s="319" t="str">
        <f>IFERROR(VLOOKUP(H1694,Lijsten!$H$1:$I$100,2,0),"")</f>
        <v/>
      </c>
      <c r="N1694" s="319" t="str">
        <f ca="1">IFERROR(IF(VLOOKUP(F1694,Kostentypen!$A$3:$E$21,3,0)=0,"",IF(OR(F1694="Arbeidskosten",F1694="Vergoeding"),VLOOKUP(G1694,Tb_KostenTypen[],2,0),VLOOKUP(F1694,Kostentypen!$A$3:$E$20,3,0))),"")</f>
        <v/>
      </c>
      <c r="O1694" s="320" t="str" cm="1">
        <f t="array" ref="O1694">_xlfn.IFNA(IF(INDEX(Tb_KostenOptiesDB[],MATCH($F1694,Tb_KostenOptiesDB[KostenOptie],0),IFERROR(MATCH(Methode_Keuze,Tb_KostenOptiesDB[#Headers],0),2))=1,_xlfn.SWITCH($N1694,"Uurtarief",IF(OR(AND(RIGHT($F1694,3)="IKS",VLOOKUP($M1694,DB_Loonkosten,2,0)="Ja"),AND(RIGHT($F1694,3)&lt;&gt;"IKS",VLOOKUP($M1694,DB_Loonkosten,2,0)="Nee")),IFERROR(VLOOKUP($M1694,DB_Loonkosten,24,0),""),0),"Vast tarief",IF(LEFT(F1694,8)="Bijdrage",VLOOKUP($F1694,Tb_KostenTypen[],MATCH(Lijsten!$P$1,Tb_KostenTypen[#Headers],0),0),VLOOKUP($G1694,Lijsten!L:P,MATCH(Lijsten!$P$1,Kop_Tarief_Vast,0),0))),""),"")</f>
        <v/>
      </c>
      <c r="P1694" s="320" t="str" cm="1">
        <f t="array" ref="P1694">_xlfn.IFNA(IF(INDEX(Tb_KostenOptiesDB[],MATCH($F1694,Tb_KostenOptiesDB[KostenOptie],0),IFERROR(MATCH(Methode_Keuze,Tb_KostenOptiesDB[#Headers],0),2))=1,_xlfn.SWITCH($N1694,"Uurtarief",IF(OR(AND(RIGHT($F1694,3)="IKS",VLOOKUP($M1694,DB_Loonkosten,2,0)="Ja"),AND(RIGHT($F1694,3)&lt;&gt;"IKS",VLOOKUP($M1694,DB_Loonkosten,2,0)="Nee")),IFERROR(VLOOKUP($M1694,DB_Loonkosten,25,0),""),0),"Vast tarief",IF(LEFT(F1694,8)="Bijdrage",VLOOKUP($F1694,Tb_KostenTypen[],MATCH(Lijsten!$P$1,Tb_KostenTypen[#Headers],0),0),VLOOKUP($G1694,Lijsten!L:P,MATCH(Lijsten!$P$1,Kop_Tarief_Vast,0),0))),""),"")</f>
        <v/>
      </c>
      <c r="Q1694" s="359"/>
      <c r="R1694" s="359"/>
      <c r="S1694" s="321"/>
      <c r="T1694" s="321"/>
      <c r="U1694" s="373" t="str">
        <f t="shared" si="104"/>
        <v/>
      </c>
      <c r="V1694" s="314" t="str">
        <f t="shared" si="105"/>
        <v/>
      </c>
      <c r="W1694" s="314" t="str" cm="1">
        <f t="array" aca="1" ref="W1694" ca="1">IFERROR(IF(AE1694&lt;&gt;"ja",_xlfn.IFNA(_xlfn.IFS(AND(O1694&lt;&gt;"",F1694&lt;&gt;"",RIGHT($N1694,6)="tarief",F1694="Vergoeding"),SUM(O1694)*FLOOR(SUM(Q1694),0.0001),AND(O1694&lt;&gt;"",F1694&lt;&gt;"",RIGHT($N1694,6)="tarief"),SUM(O1694)*FLOOR(SUM(Q1694),0.01),S1694&gt;0,IF(F1694&lt;&gt;"",FLOOR(SUM(S1694),0.01),"")),""),""),"")</f>
        <v/>
      </c>
      <c r="X1694" s="314" t="str" cm="1">
        <f t="array" aca="1" ref="X1694" ca="1">IFERROR(IF(AE1694&lt;&gt;"ja",_xlfn.IFNA(_xlfn.IFS(AND(P1694&lt;&gt;"",R1694&lt;&gt;"",RIGHT($N1694,6)="tarief",F1694="Vergoeding"),SUM(P1694)*FLOOR(SUM(R1694),0.0001),AND(P1694&lt;&gt;"",R1694&lt;&gt;"",RIGHT($N1694,6)="tarief"),P1694*FLOOR(R1694,0.01),T1694&gt;0,FLOOR(SUM(T1694),0.01)),""),""),"")</f>
        <v/>
      </c>
      <c r="Y1694" s="314" t="str">
        <f t="shared" ca="1" si="106"/>
        <v/>
      </c>
      <c r="Z1694" s="314" t="str" cm="1">
        <f t="array" aca="1" ref="Z1694" ca="1">IFERROR(_xlfn.IFS(OR(F1694="",LEFT(Methode_Keuze,4)="Geen",Methode_Keuze=""),"",AND(W1694&lt;&gt;"",F1694&lt;&gt;"Arbeidskosten"),W1694*VLOOKUP(F1694,Tb_ProjectKosten[],MATCH(Tb_ProjectKosten[[#Headers],[Forfait_Percentage]],Tb_ProjectKosten[#Headers],0),0),AND(F1694="Arbeidskosten",G1694&lt;&gt;""),IFERROR(W1694*VLOOKUP(G1694,Tb_KostenTypen[],3,0)*VLOOKUP(F1694,Tb_ProjectKosten[],MATCH(Tb_ProjectKosten[[#Headers],[Forfait_Percentage]],Tb_ProjectKosten[#Headers],0),0),""),W1694 &lt;=0,0),"")</f>
        <v/>
      </c>
      <c r="AA1694" s="314" t="str" cm="1">
        <f t="array" aca="1" ref="AA1694" ca="1">IFERROR(_xlfn.IFS(OR(F1694="",LEFT(Methode_Keuze,4)="Geen",Methode_Keuze=""),"",AND(X1694&lt;&gt;"",F1694&lt;&gt;"Arbeidskosten"),X1694*VLOOKUP(F1694,Tb_ProjectKosten[],MATCH(Tb_ProjectKosten[[#Headers],[Forfait_Percentage]],Tb_ProjectKosten[#Headers],0),0),AND(F1694="Arbeidskosten",G1694&lt;&gt;""),IFERROR(X1694*VLOOKUP(G1694,Tb_KostenTypen[],3,0)*VLOOKUP(F1694,Tb_ProjectKosten[],MATCH(Tb_ProjectKosten[[#Headers],[Forfait_Percentage]],Tb_ProjectKosten[#Headers],0),0),""),X1694 &lt;=0,0),"")</f>
        <v/>
      </c>
      <c r="AB1694" s="314" t="str">
        <f t="shared" ca="1" si="107"/>
        <v/>
      </c>
      <c r="AC1694" s="322"/>
      <c r="AD1694" s="315"/>
      <c r="AE1694" s="32" t="str" cm="1">
        <f t="array" ref="AE1694">IFERROR(IF(INDEX(SubsidieTabel!$AD$1:$AG$12,MATCH($F1694,SubsidieTabel!$AD$1:$AD$12,0),IFERROR(MATCH(Methode_Keuze,SubsidieTabel!$AD$1:$AG$1,0),2))&lt;&gt;1=TRUE,"ja",""),"")</f>
        <v/>
      </c>
    </row>
    <row r="1695" spans="1:31" x14ac:dyDescent="0.25">
      <c r="A1695" s="316"/>
      <c r="B1695" s="317" t="str">
        <f>IF(A1695&lt;&gt;"",_xlfn.MAXIFS($B$1:B1694,$A$1:A1694,A1695)+1,"")</f>
        <v/>
      </c>
      <c r="C1695" s="296"/>
      <c r="D1695" s="296"/>
      <c r="E1695" s="296"/>
      <c r="F1695" s="296"/>
      <c r="G1695" s="326"/>
      <c r="H1695" s="324"/>
      <c r="I1695" s="325"/>
      <c r="J1695" s="325"/>
      <c r="K1695" s="318"/>
      <c r="L1695" s="318"/>
      <c r="M1695" s="319" t="str">
        <f>IFERROR(VLOOKUP(H1695,Lijsten!$H$1:$I$100,2,0),"")</f>
        <v/>
      </c>
      <c r="N1695" s="319" t="str">
        <f ca="1">IFERROR(IF(VLOOKUP(F1695,Kostentypen!$A$3:$E$21,3,0)=0,"",IF(OR(F1695="Arbeidskosten",F1695="Vergoeding"),VLOOKUP(G1695,Tb_KostenTypen[],2,0),VLOOKUP(F1695,Kostentypen!$A$3:$E$20,3,0))),"")</f>
        <v/>
      </c>
      <c r="O1695" s="320" t="str" cm="1">
        <f t="array" ref="O1695">_xlfn.IFNA(IF(INDEX(Tb_KostenOptiesDB[],MATCH($F1695,Tb_KostenOptiesDB[KostenOptie],0),IFERROR(MATCH(Methode_Keuze,Tb_KostenOptiesDB[#Headers],0),2))=1,_xlfn.SWITCH($N1695,"Uurtarief",IF(OR(AND(RIGHT($F1695,3)="IKS",VLOOKUP($M1695,DB_Loonkosten,2,0)="Ja"),AND(RIGHT($F1695,3)&lt;&gt;"IKS",VLOOKUP($M1695,DB_Loonkosten,2,0)="Nee")),IFERROR(VLOOKUP($M1695,DB_Loonkosten,24,0),""),0),"Vast tarief",IF(LEFT(F1695,8)="Bijdrage",VLOOKUP($F1695,Tb_KostenTypen[],MATCH(Lijsten!$P$1,Tb_KostenTypen[#Headers],0),0),VLOOKUP($G1695,Lijsten!L:P,MATCH(Lijsten!$P$1,Kop_Tarief_Vast,0),0))),""),"")</f>
        <v/>
      </c>
      <c r="P1695" s="320" t="str" cm="1">
        <f t="array" ref="P1695">_xlfn.IFNA(IF(INDEX(Tb_KostenOptiesDB[],MATCH($F1695,Tb_KostenOptiesDB[KostenOptie],0),IFERROR(MATCH(Methode_Keuze,Tb_KostenOptiesDB[#Headers],0),2))=1,_xlfn.SWITCH($N1695,"Uurtarief",IF(OR(AND(RIGHT($F1695,3)="IKS",VLOOKUP($M1695,DB_Loonkosten,2,0)="Ja"),AND(RIGHT($F1695,3)&lt;&gt;"IKS",VLOOKUP($M1695,DB_Loonkosten,2,0)="Nee")),IFERROR(VLOOKUP($M1695,DB_Loonkosten,25,0),""),0),"Vast tarief",IF(LEFT(F1695,8)="Bijdrage",VLOOKUP($F1695,Tb_KostenTypen[],MATCH(Lijsten!$P$1,Tb_KostenTypen[#Headers],0),0),VLOOKUP($G1695,Lijsten!L:P,MATCH(Lijsten!$P$1,Kop_Tarief_Vast,0),0))),""),"")</f>
        <v/>
      </c>
      <c r="Q1695" s="359"/>
      <c r="R1695" s="359"/>
      <c r="S1695" s="321"/>
      <c r="T1695" s="321"/>
      <c r="U1695" s="373" t="str">
        <f t="shared" si="104"/>
        <v/>
      </c>
      <c r="V1695" s="314" t="str">
        <f t="shared" si="105"/>
        <v/>
      </c>
      <c r="W1695" s="314" t="str" cm="1">
        <f t="array" aca="1" ref="W1695" ca="1">IFERROR(IF(AE1695&lt;&gt;"ja",_xlfn.IFNA(_xlfn.IFS(AND(O1695&lt;&gt;"",F1695&lt;&gt;"",RIGHT($N1695,6)="tarief",F1695="Vergoeding"),SUM(O1695)*FLOOR(SUM(Q1695),0.0001),AND(O1695&lt;&gt;"",F1695&lt;&gt;"",RIGHT($N1695,6)="tarief"),SUM(O1695)*FLOOR(SUM(Q1695),0.01),S1695&gt;0,IF(F1695&lt;&gt;"",FLOOR(SUM(S1695),0.01),"")),""),""),"")</f>
        <v/>
      </c>
      <c r="X1695" s="314" t="str" cm="1">
        <f t="array" aca="1" ref="X1695" ca="1">IFERROR(IF(AE1695&lt;&gt;"ja",_xlfn.IFNA(_xlfn.IFS(AND(P1695&lt;&gt;"",R1695&lt;&gt;"",RIGHT($N1695,6)="tarief",F1695="Vergoeding"),SUM(P1695)*FLOOR(SUM(R1695),0.0001),AND(P1695&lt;&gt;"",R1695&lt;&gt;"",RIGHT($N1695,6)="tarief"),P1695*FLOOR(R1695,0.01),T1695&gt;0,FLOOR(SUM(T1695),0.01)),""),""),"")</f>
        <v/>
      </c>
      <c r="Y1695" s="314" t="str">
        <f t="shared" ca="1" si="106"/>
        <v/>
      </c>
      <c r="Z1695" s="314" t="str" cm="1">
        <f t="array" aca="1" ref="Z1695" ca="1">IFERROR(_xlfn.IFS(OR(F1695="",LEFT(Methode_Keuze,4)="Geen",Methode_Keuze=""),"",AND(W1695&lt;&gt;"",F1695&lt;&gt;"Arbeidskosten"),W1695*VLOOKUP(F1695,Tb_ProjectKosten[],MATCH(Tb_ProjectKosten[[#Headers],[Forfait_Percentage]],Tb_ProjectKosten[#Headers],0),0),AND(F1695="Arbeidskosten",G1695&lt;&gt;""),IFERROR(W1695*VLOOKUP(G1695,Tb_KostenTypen[],3,0)*VLOOKUP(F1695,Tb_ProjectKosten[],MATCH(Tb_ProjectKosten[[#Headers],[Forfait_Percentage]],Tb_ProjectKosten[#Headers],0),0),""),W1695 &lt;=0,0),"")</f>
        <v/>
      </c>
      <c r="AA1695" s="314" t="str" cm="1">
        <f t="array" aca="1" ref="AA1695" ca="1">IFERROR(_xlfn.IFS(OR(F1695="",LEFT(Methode_Keuze,4)="Geen",Methode_Keuze=""),"",AND(X1695&lt;&gt;"",F1695&lt;&gt;"Arbeidskosten"),X1695*VLOOKUP(F1695,Tb_ProjectKosten[],MATCH(Tb_ProjectKosten[[#Headers],[Forfait_Percentage]],Tb_ProjectKosten[#Headers],0),0),AND(F1695="Arbeidskosten",G1695&lt;&gt;""),IFERROR(X1695*VLOOKUP(G1695,Tb_KostenTypen[],3,0)*VLOOKUP(F1695,Tb_ProjectKosten[],MATCH(Tb_ProjectKosten[[#Headers],[Forfait_Percentage]],Tb_ProjectKosten[#Headers],0),0),""),X1695 &lt;=0,0),"")</f>
        <v/>
      </c>
      <c r="AB1695" s="314" t="str">
        <f t="shared" ca="1" si="107"/>
        <v/>
      </c>
      <c r="AC1695" s="322"/>
      <c r="AD1695" s="315"/>
      <c r="AE1695" s="32" t="str" cm="1">
        <f t="array" ref="AE1695">IFERROR(IF(INDEX(SubsidieTabel!$AD$1:$AG$12,MATCH($F1695,SubsidieTabel!$AD$1:$AD$12,0),IFERROR(MATCH(Methode_Keuze,SubsidieTabel!$AD$1:$AG$1,0),2))&lt;&gt;1=TRUE,"ja",""),"")</f>
        <v/>
      </c>
    </row>
    <row r="1696" spans="1:31" x14ac:dyDescent="0.25">
      <c r="A1696" s="316"/>
      <c r="B1696" s="317" t="str">
        <f>IF(A1696&lt;&gt;"",_xlfn.MAXIFS($B$1:B1695,$A$1:A1695,A1696)+1,"")</f>
        <v/>
      </c>
      <c r="C1696" s="296"/>
      <c r="D1696" s="296"/>
      <c r="E1696" s="296"/>
      <c r="F1696" s="296"/>
      <c r="G1696" s="326"/>
      <c r="H1696" s="324"/>
      <c r="I1696" s="325"/>
      <c r="J1696" s="325"/>
      <c r="K1696" s="318"/>
      <c r="L1696" s="318"/>
      <c r="M1696" s="319" t="str">
        <f>IFERROR(VLOOKUP(H1696,Lijsten!$H$1:$I$100,2,0),"")</f>
        <v/>
      </c>
      <c r="N1696" s="319" t="str">
        <f ca="1">IFERROR(IF(VLOOKUP(F1696,Kostentypen!$A$3:$E$21,3,0)=0,"",IF(OR(F1696="Arbeidskosten",F1696="Vergoeding"),VLOOKUP(G1696,Tb_KostenTypen[],2,0),VLOOKUP(F1696,Kostentypen!$A$3:$E$20,3,0))),"")</f>
        <v/>
      </c>
      <c r="O1696" s="320" t="str" cm="1">
        <f t="array" ref="O1696">_xlfn.IFNA(IF(INDEX(Tb_KostenOptiesDB[],MATCH($F1696,Tb_KostenOptiesDB[KostenOptie],0),IFERROR(MATCH(Methode_Keuze,Tb_KostenOptiesDB[#Headers],0),2))=1,_xlfn.SWITCH($N1696,"Uurtarief",IF(OR(AND(RIGHT($F1696,3)="IKS",VLOOKUP($M1696,DB_Loonkosten,2,0)="Ja"),AND(RIGHT($F1696,3)&lt;&gt;"IKS",VLOOKUP($M1696,DB_Loonkosten,2,0)="Nee")),IFERROR(VLOOKUP($M1696,DB_Loonkosten,24,0),""),0),"Vast tarief",IF(LEFT(F1696,8)="Bijdrage",VLOOKUP($F1696,Tb_KostenTypen[],MATCH(Lijsten!$P$1,Tb_KostenTypen[#Headers],0),0),VLOOKUP($G1696,Lijsten!L:P,MATCH(Lijsten!$P$1,Kop_Tarief_Vast,0),0))),""),"")</f>
        <v/>
      </c>
      <c r="P1696" s="320" t="str" cm="1">
        <f t="array" ref="P1696">_xlfn.IFNA(IF(INDEX(Tb_KostenOptiesDB[],MATCH($F1696,Tb_KostenOptiesDB[KostenOptie],0),IFERROR(MATCH(Methode_Keuze,Tb_KostenOptiesDB[#Headers],0),2))=1,_xlfn.SWITCH($N1696,"Uurtarief",IF(OR(AND(RIGHT($F1696,3)="IKS",VLOOKUP($M1696,DB_Loonkosten,2,0)="Ja"),AND(RIGHT($F1696,3)&lt;&gt;"IKS",VLOOKUP($M1696,DB_Loonkosten,2,0)="Nee")),IFERROR(VLOOKUP($M1696,DB_Loonkosten,25,0),""),0),"Vast tarief",IF(LEFT(F1696,8)="Bijdrage",VLOOKUP($F1696,Tb_KostenTypen[],MATCH(Lijsten!$P$1,Tb_KostenTypen[#Headers],0),0),VLOOKUP($G1696,Lijsten!L:P,MATCH(Lijsten!$P$1,Kop_Tarief_Vast,0),0))),""),"")</f>
        <v/>
      </c>
      <c r="Q1696" s="359"/>
      <c r="R1696" s="359"/>
      <c r="S1696" s="321"/>
      <c r="T1696" s="321"/>
      <c r="U1696" s="373" t="str">
        <f t="shared" si="104"/>
        <v/>
      </c>
      <c r="V1696" s="314" t="str">
        <f t="shared" si="105"/>
        <v/>
      </c>
      <c r="W1696" s="314" t="str" cm="1">
        <f t="array" aca="1" ref="W1696" ca="1">IFERROR(IF(AE1696&lt;&gt;"ja",_xlfn.IFNA(_xlfn.IFS(AND(O1696&lt;&gt;"",F1696&lt;&gt;"",RIGHT($N1696,6)="tarief",F1696="Vergoeding"),SUM(O1696)*FLOOR(SUM(Q1696),0.0001),AND(O1696&lt;&gt;"",F1696&lt;&gt;"",RIGHT($N1696,6)="tarief"),SUM(O1696)*FLOOR(SUM(Q1696),0.01),S1696&gt;0,IF(F1696&lt;&gt;"",FLOOR(SUM(S1696),0.01),"")),""),""),"")</f>
        <v/>
      </c>
      <c r="X1696" s="314" t="str" cm="1">
        <f t="array" aca="1" ref="X1696" ca="1">IFERROR(IF(AE1696&lt;&gt;"ja",_xlfn.IFNA(_xlfn.IFS(AND(P1696&lt;&gt;"",R1696&lt;&gt;"",RIGHT($N1696,6)="tarief",F1696="Vergoeding"),SUM(P1696)*FLOOR(SUM(R1696),0.0001),AND(P1696&lt;&gt;"",R1696&lt;&gt;"",RIGHT($N1696,6)="tarief"),P1696*FLOOR(R1696,0.01),T1696&gt;0,FLOOR(SUM(T1696),0.01)),""),""),"")</f>
        <v/>
      </c>
      <c r="Y1696" s="314" t="str">
        <f t="shared" ca="1" si="106"/>
        <v/>
      </c>
      <c r="Z1696" s="314" t="str" cm="1">
        <f t="array" aca="1" ref="Z1696" ca="1">IFERROR(_xlfn.IFS(OR(F1696="",LEFT(Methode_Keuze,4)="Geen",Methode_Keuze=""),"",AND(W1696&lt;&gt;"",F1696&lt;&gt;"Arbeidskosten"),W1696*VLOOKUP(F1696,Tb_ProjectKosten[],MATCH(Tb_ProjectKosten[[#Headers],[Forfait_Percentage]],Tb_ProjectKosten[#Headers],0),0),AND(F1696="Arbeidskosten",G1696&lt;&gt;""),IFERROR(W1696*VLOOKUP(G1696,Tb_KostenTypen[],3,0)*VLOOKUP(F1696,Tb_ProjectKosten[],MATCH(Tb_ProjectKosten[[#Headers],[Forfait_Percentage]],Tb_ProjectKosten[#Headers],0),0),""),W1696 &lt;=0,0),"")</f>
        <v/>
      </c>
      <c r="AA1696" s="314" t="str" cm="1">
        <f t="array" aca="1" ref="AA1696" ca="1">IFERROR(_xlfn.IFS(OR(F1696="",LEFT(Methode_Keuze,4)="Geen",Methode_Keuze=""),"",AND(X1696&lt;&gt;"",F1696&lt;&gt;"Arbeidskosten"),X1696*VLOOKUP(F1696,Tb_ProjectKosten[],MATCH(Tb_ProjectKosten[[#Headers],[Forfait_Percentage]],Tb_ProjectKosten[#Headers],0),0),AND(F1696="Arbeidskosten",G1696&lt;&gt;""),IFERROR(X1696*VLOOKUP(G1696,Tb_KostenTypen[],3,0)*VLOOKUP(F1696,Tb_ProjectKosten[],MATCH(Tb_ProjectKosten[[#Headers],[Forfait_Percentage]],Tb_ProjectKosten[#Headers],0),0),""),X1696 &lt;=0,0),"")</f>
        <v/>
      </c>
      <c r="AB1696" s="314" t="str">
        <f t="shared" ca="1" si="107"/>
        <v/>
      </c>
      <c r="AC1696" s="322"/>
      <c r="AD1696" s="315"/>
      <c r="AE1696" s="32" t="str" cm="1">
        <f t="array" ref="AE1696">IFERROR(IF(INDEX(SubsidieTabel!$AD$1:$AG$12,MATCH($F1696,SubsidieTabel!$AD$1:$AD$12,0),IFERROR(MATCH(Methode_Keuze,SubsidieTabel!$AD$1:$AG$1,0),2))&lt;&gt;1=TRUE,"ja",""),"")</f>
        <v/>
      </c>
    </row>
    <row r="1697" spans="1:31" x14ac:dyDescent="0.25">
      <c r="A1697" s="316"/>
      <c r="B1697" s="317" t="str">
        <f>IF(A1697&lt;&gt;"",_xlfn.MAXIFS($B$1:B1696,$A$1:A1696,A1697)+1,"")</f>
        <v/>
      </c>
      <c r="C1697" s="296"/>
      <c r="D1697" s="296"/>
      <c r="E1697" s="296"/>
      <c r="F1697" s="296"/>
      <c r="G1697" s="326"/>
      <c r="H1697" s="324"/>
      <c r="I1697" s="325"/>
      <c r="J1697" s="325"/>
      <c r="K1697" s="318"/>
      <c r="L1697" s="318"/>
      <c r="M1697" s="319" t="str">
        <f>IFERROR(VLOOKUP(H1697,Lijsten!$H$1:$I$100,2,0),"")</f>
        <v/>
      </c>
      <c r="N1697" s="319" t="str">
        <f ca="1">IFERROR(IF(VLOOKUP(F1697,Kostentypen!$A$3:$E$21,3,0)=0,"",IF(OR(F1697="Arbeidskosten",F1697="Vergoeding"),VLOOKUP(G1697,Tb_KostenTypen[],2,0),VLOOKUP(F1697,Kostentypen!$A$3:$E$20,3,0))),"")</f>
        <v/>
      </c>
      <c r="O1697" s="320" t="str" cm="1">
        <f t="array" ref="O1697">_xlfn.IFNA(IF(INDEX(Tb_KostenOptiesDB[],MATCH($F1697,Tb_KostenOptiesDB[KostenOptie],0),IFERROR(MATCH(Methode_Keuze,Tb_KostenOptiesDB[#Headers],0),2))=1,_xlfn.SWITCH($N1697,"Uurtarief",IF(OR(AND(RIGHT($F1697,3)="IKS",VLOOKUP($M1697,DB_Loonkosten,2,0)="Ja"),AND(RIGHT($F1697,3)&lt;&gt;"IKS",VLOOKUP($M1697,DB_Loonkosten,2,0)="Nee")),IFERROR(VLOOKUP($M1697,DB_Loonkosten,24,0),""),0),"Vast tarief",IF(LEFT(F1697,8)="Bijdrage",VLOOKUP($F1697,Tb_KostenTypen[],MATCH(Lijsten!$P$1,Tb_KostenTypen[#Headers],0),0),VLOOKUP($G1697,Lijsten!L:P,MATCH(Lijsten!$P$1,Kop_Tarief_Vast,0),0))),""),"")</f>
        <v/>
      </c>
      <c r="P1697" s="320" t="str" cm="1">
        <f t="array" ref="P1697">_xlfn.IFNA(IF(INDEX(Tb_KostenOptiesDB[],MATCH($F1697,Tb_KostenOptiesDB[KostenOptie],0),IFERROR(MATCH(Methode_Keuze,Tb_KostenOptiesDB[#Headers],0),2))=1,_xlfn.SWITCH($N1697,"Uurtarief",IF(OR(AND(RIGHT($F1697,3)="IKS",VLOOKUP($M1697,DB_Loonkosten,2,0)="Ja"),AND(RIGHT($F1697,3)&lt;&gt;"IKS",VLOOKUP($M1697,DB_Loonkosten,2,0)="Nee")),IFERROR(VLOOKUP($M1697,DB_Loonkosten,25,0),""),0),"Vast tarief",IF(LEFT(F1697,8)="Bijdrage",VLOOKUP($F1697,Tb_KostenTypen[],MATCH(Lijsten!$P$1,Tb_KostenTypen[#Headers],0),0),VLOOKUP($G1697,Lijsten!L:P,MATCH(Lijsten!$P$1,Kop_Tarief_Vast,0),0))),""),"")</f>
        <v/>
      </c>
      <c r="Q1697" s="359"/>
      <c r="R1697" s="359"/>
      <c r="S1697" s="321"/>
      <c r="T1697" s="321"/>
      <c r="U1697" s="373" t="str">
        <f t="shared" si="104"/>
        <v/>
      </c>
      <c r="V1697" s="314" t="str">
        <f t="shared" si="105"/>
        <v/>
      </c>
      <c r="W1697" s="314" t="str" cm="1">
        <f t="array" aca="1" ref="W1697" ca="1">IFERROR(IF(AE1697&lt;&gt;"ja",_xlfn.IFNA(_xlfn.IFS(AND(O1697&lt;&gt;"",F1697&lt;&gt;"",RIGHT($N1697,6)="tarief",F1697="Vergoeding"),SUM(O1697)*FLOOR(SUM(Q1697),0.0001),AND(O1697&lt;&gt;"",F1697&lt;&gt;"",RIGHT($N1697,6)="tarief"),SUM(O1697)*FLOOR(SUM(Q1697),0.01),S1697&gt;0,IF(F1697&lt;&gt;"",FLOOR(SUM(S1697),0.01),"")),""),""),"")</f>
        <v/>
      </c>
      <c r="X1697" s="314" t="str" cm="1">
        <f t="array" aca="1" ref="X1697" ca="1">IFERROR(IF(AE1697&lt;&gt;"ja",_xlfn.IFNA(_xlfn.IFS(AND(P1697&lt;&gt;"",R1697&lt;&gt;"",RIGHT($N1697,6)="tarief",F1697="Vergoeding"),SUM(P1697)*FLOOR(SUM(R1697),0.0001),AND(P1697&lt;&gt;"",R1697&lt;&gt;"",RIGHT($N1697,6)="tarief"),P1697*FLOOR(R1697,0.01),T1697&gt;0,FLOOR(SUM(T1697),0.01)),""),""),"")</f>
        <v/>
      </c>
      <c r="Y1697" s="314" t="str">
        <f t="shared" ca="1" si="106"/>
        <v/>
      </c>
      <c r="Z1697" s="314" t="str" cm="1">
        <f t="array" aca="1" ref="Z1697" ca="1">IFERROR(_xlfn.IFS(OR(F1697="",LEFT(Methode_Keuze,4)="Geen",Methode_Keuze=""),"",AND(W1697&lt;&gt;"",F1697&lt;&gt;"Arbeidskosten"),W1697*VLOOKUP(F1697,Tb_ProjectKosten[],MATCH(Tb_ProjectKosten[[#Headers],[Forfait_Percentage]],Tb_ProjectKosten[#Headers],0),0),AND(F1697="Arbeidskosten",G1697&lt;&gt;""),IFERROR(W1697*VLOOKUP(G1697,Tb_KostenTypen[],3,0)*VLOOKUP(F1697,Tb_ProjectKosten[],MATCH(Tb_ProjectKosten[[#Headers],[Forfait_Percentage]],Tb_ProjectKosten[#Headers],0),0),""),W1697 &lt;=0,0),"")</f>
        <v/>
      </c>
      <c r="AA1697" s="314" t="str" cm="1">
        <f t="array" aca="1" ref="AA1697" ca="1">IFERROR(_xlfn.IFS(OR(F1697="",LEFT(Methode_Keuze,4)="Geen",Methode_Keuze=""),"",AND(X1697&lt;&gt;"",F1697&lt;&gt;"Arbeidskosten"),X1697*VLOOKUP(F1697,Tb_ProjectKosten[],MATCH(Tb_ProjectKosten[[#Headers],[Forfait_Percentage]],Tb_ProjectKosten[#Headers],0),0),AND(F1697="Arbeidskosten",G1697&lt;&gt;""),IFERROR(X1697*VLOOKUP(G1697,Tb_KostenTypen[],3,0)*VLOOKUP(F1697,Tb_ProjectKosten[],MATCH(Tb_ProjectKosten[[#Headers],[Forfait_Percentage]],Tb_ProjectKosten[#Headers],0),0),""),X1697 &lt;=0,0),"")</f>
        <v/>
      </c>
      <c r="AB1697" s="314" t="str">
        <f t="shared" ca="1" si="107"/>
        <v/>
      </c>
      <c r="AC1697" s="322"/>
      <c r="AD1697" s="315"/>
      <c r="AE1697" s="32" t="str" cm="1">
        <f t="array" ref="AE1697">IFERROR(IF(INDEX(SubsidieTabel!$AD$1:$AG$12,MATCH($F1697,SubsidieTabel!$AD$1:$AD$12,0),IFERROR(MATCH(Methode_Keuze,SubsidieTabel!$AD$1:$AG$1,0),2))&lt;&gt;1=TRUE,"ja",""),"")</f>
        <v/>
      </c>
    </row>
    <row r="1698" spans="1:31" x14ac:dyDescent="0.25">
      <c r="A1698" s="316"/>
      <c r="B1698" s="317" t="str">
        <f>IF(A1698&lt;&gt;"",_xlfn.MAXIFS($B$1:B1697,$A$1:A1697,A1698)+1,"")</f>
        <v/>
      </c>
      <c r="C1698" s="296"/>
      <c r="D1698" s="296"/>
      <c r="E1698" s="296"/>
      <c r="F1698" s="296"/>
      <c r="G1698" s="326"/>
      <c r="H1698" s="324"/>
      <c r="I1698" s="325"/>
      <c r="J1698" s="325"/>
      <c r="K1698" s="318"/>
      <c r="L1698" s="318"/>
      <c r="M1698" s="319" t="str">
        <f>IFERROR(VLOOKUP(H1698,Lijsten!$H$1:$I$100,2,0),"")</f>
        <v/>
      </c>
      <c r="N1698" s="319" t="str">
        <f ca="1">IFERROR(IF(VLOOKUP(F1698,Kostentypen!$A$3:$E$21,3,0)=0,"",IF(OR(F1698="Arbeidskosten",F1698="Vergoeding"),VLOOKUP(G1698,Tb_KostenTypen[],2,0),VLOOKUP(F1698,Kostentypen!$A$3:$E$20,3,0))),"")</f>
        <v/>
      </c>
      <c r="O1698" s="320" t="str" cm="1">
        <f t="array" ref="O1698">_xlfn.IFNA(IF(INDEX(Tb_KostenOptiesDB[],MATCH($F1698,Tb_KostenOptiesDB[KostenOptie],0),IFERROR(MATCH(Methode_Keuze,Tb_KostenOptiesDB[#Headers],0),2))=1,_xlfn.SWITCH($N1698,"Uurtarief",IF(OR(AND(RIGHT($F1698,3)="IKS",VLOOKUP($M1698,DB_Loonkosten,2,0)="Ja"),AND(RIGHT($F1698,3)&lt;&gt;"IKS",VLOOKUP($M1698,DB_Loonkosten,2,0)="Nee")),IFERROR(VLOOKUP($M1698,DB_Loonkosten,24,0),""),0),"Vast tarief",IF(LEFT(F1698,8)="Bijdrage",VLOOKUP($F1698,Tb_KostenTypen[],MATCH(Lijsten!$P$1,Tb_KostenTypen[#Headers],0),0),VLOOKUP($G1698,Lijsten!L:P,MATCH(Lijsten!$P$1,Kop_Tarief_Vast,0),0))),""),"")</f>
        <v/>
      </c>
      <c r="P1698" s="320" t="str" cm="1">
        <f t="array" ref="P1698">_xlfn.IFNA(IF(INDEX(Tb_KostenOptiesDB[],MATCH($F1698,Tb_KostenOptiesDB[KostenOptie],0),IFERROR(MATCH(Methode_Keuze,Tb_KostenOptiesDB[#Headers],0),2))=1,_xlfn.SWITCH($N1698,"Uurtarief",IF(OR(AND(RIGHT($F1698,3)="IKS",VLOOKUP($M1698,DB_Loonkosten,2,0)="Ja"),AND(RIGHT($F1698,3)&lt;&gt;"IKS",VLOOKUP($M1698,DB_Loonkosten,2,0)="Nee")),IFERROR(VLOOKUP($M1698,DB_Loonkosten,25,0),""),0),"Vast tarief",IF(LEFT(F1698,8)="Bijdrage",VLOOKUP($F1698,Tb_KostenTypen[],MATCH(Lijsten!$P$1,Tb_KostenTypen[#Headers],0),0),VLOOKUP($G1698,Lijsten!L:P,MATCH(Lijsten!$P$1,Kop_Tarief_Vast,0),0))),""),"")</f>
        <v/>
      </c>
      <c r="Q1698" s="359"/>
      <c r="R1698" s="359"/>
      <c r="S1698" s="321"/>
      <c r="T1698" s="321"/>
      <c r="U1698" s="373" t="str">
        <f t="shared" si="104"/>
        <v/>
      </c>
      <c r="V1698" s="314" t="str">
        <f t="shared" si="105"/>
        <v/>
      </c>
      <c r="W1698" s="314" t="str" cm="1">
        <f t="array" aca="1" ref="W1698" ca="1">IFERROR(IF(AE1698&lt;&gt;"ja",_xlfn.IFNA(_xlfn.IFS(AND(O1698&lt;&gt;"",F1698&lt;&gt;"",RIGHT($N1698,6)="tarief",F1698="Vergoeding"),SUM(O1698)*FLOOR(SUM(Q1698),0.0001),AND(O1698&lt;&gt;"",F1698&lt;&gt;"",RIGHT($N1698,6)="tarief"),SUM(O1698)*FLOOR(SUM(Q1698),0.01),S1698&gt;0,IF(F1698&lt;&gt;"",FLOOR(SUM(S1698),0.01),"")),""),""),"")</f>
        <v/>
      </c>
      <c r="X1698" s="314" t="str" cm="1">
        <f t="array" aca="1" ref="X1698" ca="1">IFERROR(IF(AE1698&lt;&gt;"ja",_xlfn.IFNA(_xlfn.IFS(AND(P1698&lt;&gt;"",R1698&lt;&gt;"",RIGHT($N1698,6)="tarief",F1698="Vergoeding"),SUM(P1698)*FLOOR(SUM(R1698),0.0001),AND(P1698&lt;&gt;"",R1698&lt;&gt;"",RIGHT($N1698,6)="tarief"),P1698*FLOOR(R1698,0.01),T1698&gt;0,FLOOR(SUM(T1698),0.01)),""),""),"")</f>
        <v/>
      </c>
      <c r="Y1698" s="314" t="str">
        <f t="shared" ca="1" si="106"/>
        <v/>
      </c>
      <c r="Z1698" s="314" t="str" cm="1">
        <f t="array" aca="1" ref="Z1698" ca="1">IFERROR(_xlfn.IFS(OR(F1698="",LEFT(Methode_Keuze,4)="Geen",Methode_Keuze=""),"",AND(W1698&lt;&gt;"",F1698&lt;&gt;"Arbeidskosten"),W1698*VLOOKUP(F1698,Tb_ProjectKosten[],MATCH(Tb_ProjectKosten[[#Headers],[Forfait_Percentage]],Tb_ProjectKosten[#Headers],0),0),AND(F1698="Arbeidskosten",G1698&lt;&gt;""),IFERROR(W1698*VLOOKUP(G1698,Tb_KostenTypen[],3,0)*VLOOKUP(F1698,Tb_ProjectKosten[],MATCH(Tb_ProjectKosten[[#Headers],[Forfait_Percentage]],Tb_ProjectKosten[#Headers],0),0),""),W1698 &lt;=0,0),"")</f>
        <v/>
      </c>
      <c r="AA1698" s="314" t="str" cm="1">
        <f t="array" aca="1" ref="AA1698" ca="1">IFERROR(_xlfn.IFS(OR(F1698="",LEFT(Methode_Keuze,4)="Geen",Methode_Keuze=""),"",AND(X1698&lt;&gt;"",F1698&lt;&gt;"Arbeidskosten"),X1698*VLOOKUP(F1698,Tb_ProjectKosten[],MATCH(Tb_ProjectKosten[[#Headers],[Forfait_Percentage]],Tb_ProjectKosten[#Headers],0),0),AND(F1698="Arbeidskosten",G1698&lt;&gt;""),IFERROR(X1698*VLOOKUP(G1698,Tb_KostenTypen[],3,0)*VLOOKUP(F1698,Tb_ProjectKosten[],MATCH(Tb_ProjectKosten[[#Headers],[Forfait_Percentage]],Tb_ProjectKosten[#Headers],0),0),""),X1698 &lt;=0,0),"")</f>
        <v/>
      </c>
      <c r="AB1698" s="314" t="str">
        <f t="shared" ca="1" si="107"/>
        <v/>
      </c>
      <c r="AC1698" s="322"/>
      <c r="AD1698" s="315"/>
      <c r="AE1698" s="32" t="str" cm="1">
        <f t="array" ref="AE1698">IFERROR(IF(INDEX(SubsidieTabel!$AD$1:$AG$12,MATCH($F1698,SubsidieTabel!$AD$1:$AD$12,0),IFERROR(MATCH(Methode_Keuze,SubsidieTabel!$AD$1:$AG$1,0),2))&lt;&gt;1=TRUE,"ja",""),"")</f>
        <v/>
      </c>
    </row>
    <row r="1699" spans="1:31" x14ac:dyDescent="0.25">
      <c r="A1699" s="316"/>
      <c r="B1699" s="317" t="str">
        <f>IF(A1699&lt;&gt;"",_xlfn.MAXIFS($B$1:B1698,$A$1:A1698,A1699)+1,"")</f>
        <v/>
      </c>
      <c r="C1699" s="296"/>
      <c r="D1699" s="296"/>
      <c r="E1699" s="296"/>
      <c r="F1699" s="296"/>
      <c r="G1699" s="326"/>
      <c r="H1699" s="324"/>
      <c r="I1699" s="325"/>
      <c r="J1699" s="325"/>
      <c r="K1699" s="318"/>
      <c r="L1699" s="318"/>
      <c r="M1699" s="319" t="str">
        <f>IFERROR(VLOOKUP(H1699,Lijsten!$H$1:$I$100,2,0),"")</f>
        <v/>
      </c>
      <c r="N1699" s="319" t="str">
        <f ca="1">IFERROR(IF(VLOOKUP(F1699,Kostentypen!$A$3:$E$21,3,0)=0,"",IF(OR(F1699="Arbeidskosten",F1699="Vergoeding"),VLOOKUP(G1699,Tb_KostenTypen[],2,0),VLOOKUP(F1699,Kostentypen!$A$3:$E$20,3,0))),"")</f>
        <v/>
      </c>
      <c r="O1699" s="320" t="str" cm="1">
        <f t="array" ref="O1699">_xlfn.IFNA(IF(INDEX(Tb_KostenOptiesDB[],MATCH($F1699,Tb_KostenOptiesDB[KostenOptie],0),IFERROR(MATCH(Methode_Keuze,Tb_KostenOptiesDB[#Headers],0),2))=1,_xlfn.SWITCH($N1699,"Uurtarief",IF(OR(AND(RIGHT($F1699,3)="IKS",VLOOKUP($M1699,DB_Loonkosten,2,0)="Ja"),AND(RIGHT($F1699,3)&lt;&gt;"IKS",VLOOKUP($M1699,DB_Loonkosten,2,0)="Nee")),IFERROR(VLOOKUP($M1699,DB_Loonkosten,24,0),""),0),"Vast tarief",IF(LEFT(F1699,8)="Bijdrage",VLOOKUP($F1699,Tb_KostenTypen[],MATCH(Lijsten!$P$1,Tb_KostenTypen[#Headers],0),0),VLOOKUP($G1699,Lijsten!L:P,MATCH(Lijsten!$P$1,Kop_Tarief_Vast,0),0))),""),"")</f>
        <v/>
      </c>
      <c r="P1699" s="320" t="str" cm="1">
        <f t="array" ref="P1699">_xlfn.IFNA(IF(INDEX(Tb_KostenOptiesDB[],MATCH($F1699,Tb_KostenOptiesDB[KostenOptie],0),IFERROR(MATCH(Methode_Keuze,Tb_KostenOptiesDB[#Headers],0),2))=1,_xlfn.SWITCH($N1699,"Uurtarief",IF(OR(AND(RIGHT($F1699,3)="IKS",VLOOKUP($M1699,DB_Loonkosten,2,0)="Ja"),AND(RIGHT($F1699,3)&lt;&gt;"IKS",VLOOKUP($M1699,DB_Loonkosten,2,0)="Nee")),IFERROR(VLOOKUP($M1699,DB_Loonkosten,25,0),""),0),"Vast tarief",IF(LEFT(F1699,8)="Bijdrage",VLOOKUP($F1699,Tb_KostenTypen[],MATCH(Lijsten!$P$1,Tb_KostenTypen[#Headers],0),0),VLOOKUP($G1699,Lijsten!L:P,MATCH(Lijsten!$P$1,Kop_Tarief_Vast,0),0))),""),"")</f>
        <v/>
      </c>
      <c r="Q1699" s="359"/>
      <c r="R1699" s="359"/>
      <c r="S1699" s="321"/>
      <c r="T1699" s="321"/>
      <c r="U1699" s="373" t="str">
        <f t="shared" si="104"/>
        <v/>
      </c>
      <c r="V1699" s="314" t="str">
        <f t="shared" si="105"/>
        <v/>
      </c>
      <c r="W1699" s="314" t="str" cm="1">
        <f t="array" aca="1" ref="W1699" ca="1">IFERROR(IF(AE1699&lt;&gt;"ja",_xlfn.IFNA(_xlfn.IFS(AND(O1699&lt;&gt;"",F1699&lt;&gt;"",RIGHT($N1699,6)="tarief",F1699="Vergoeding"),SUM(O1699)*FLOOR(SUM(Q1699),0.0001),AND(O1699&lt;&gt;"",F1699&lt;&gt;"",RIGHT($N1699,6)="tarief"),SUM(O1699)*FLOOR(SUM(Q1699),0.01),S1699&gt;0,IF(F1699&lt;&gt;"",FLOOR(SUM(S1699),0.01),"")),""),""),"")</f>
        <v/>
      </c>
      <c r="X1699" s="314" t="str" cm="1">
        <f t="array" aca="1" ref="X1699" ca="1">IFERROR(IF(AE1699&lt;&gt;"ja",_xlfn.IFNA(_xlfn.IFS(AND(P1699&lt;&gt;"",R1699&lt;&gt;"",RIGHT($N1699,6)="tarief",F1699="Vergoeding"),SUM(P1699)*FLOOR(SUM(R1699),0.0001),AND(P1699&lt;&gt;"",R1699&lt;&gt;"",RIGHT($N1699,6)="tarief"),P1699*FLOOR(R1699,0.01),T1699&gt;0,FLOOR(SUM(T1699),0.01)),""),""),"")</f>
        <v/>
      </c>
      <c r="Y1699" s="314" t="str">
        <f t="shared" ca="1" si="106"/>
        <v/>
      </c>
      <c r="Z1699" s="314" t="str" cm="1">
        <f t="array" aca="1" ref="Z1699" ca="1">IFERROR(_xlfn.IFS(OR(F1699="",LEFT(Methode_Keuze,4)="Geen",Methode_Keuze=""),"",AND(W1699&lt;&gt;"",F1699&lt;&gt;"Arbeidskosten"),W1699*VLOOKUP(F1699,Tb_ProjectKosten[],MATCH(Tb_ProjectKosten[[#Headers],[Forfait_Percentage]],Tb_ProjectKosten[#Headers],0),0),AND(F1699="Arbeidskosten",G1699&lt;&gt;""),IFERROR(W1699*VLOOKUP(G1699,Tb_KostenTypen[],3,0)*VLOOKUP(F1699,Tb_ProjectKosten[],MATCH(Tb_ProjectKosten[[#Headers],[Forfait_Percentage]],Tb_ProjectKosten[#Headers],0),0),""),W1699 &lt;=0,0),"")</f>
        <v/>
      </c>
      <c r="AA1699" s="314" t="str" cm="1">
        <f t="array" aca="1" ref="AA1699" ca="1">IFERROR(_xlfn.IFS(OR(F1699="",LEFT(Methode_Keuze,4)="Geen",Methode_Keuze=""),"",AND(X1699&lt;&gt;"",F1699&lt;&gt;"Arbeidskosten"),X1699*VLOOKUP(F1699,Tb_ProjectKosten[],MATCH(Tb_ProjectKosten[[#Headers],[Forfait_Percentage]],Tb_ProjectKosten[#Headers],0),0),AND(F1699="Arbeidskosten",G1699&lt;&gt;""),IFERROR(X1699*VLOOKUP(G1699,Tb_KostenTypen[],3,0)*VLOOKUP(F1699,Tb_ProjectKosten[],MATCH(Tb_ProjectKosten[[#Headers],[Forfait_Percentage]],Tb_ProjectKosten[#Headers],0),0),""),X1699 &lt;=0,0),"")</f>
        <v/>
      </c>
      <c r="AB1699" s="314" t="str">
        <f t="shared" ca="1" si="107"/>
        <v/>
      </c>
      <c r="AC1699" s="322"/>
      <c r="AD1699" s="315"/>
      <c r="AE1699" s="32" t="str" cm="1">
        <f t="array" ref="AE1699">IFERROR(IF(INDEX(SubsidieTabel!$AD$1:$AG$12,MATCH($F1699,SubsidieTabel!$AD$1:$AD$12,0),IFERROR(MATCH(Methode_Keuze,SubsidieTabel!$AD$1:$AG$1,0),2))&lt;&gt;1=TRUE,"ja",""),"")</f>
        <v/>
      </c>
    </row>
    <row r="1700" spans="1:31" x14ac:dyDescent="0.25">
      <c r="A1700" s="316"/>
      <c r="B1700" s="317" t="str">
        <f>IF(A1700&lt;&gt;"",_xlfn.MAXIFS($B$1:B1699,$A$1:A1699,A1700)+1,"")</f>
        <v/>
      </c>
      <c r="C1700" s="296"/>
      <c r="D1700" s="296"/>
      <c r="E1700" s="296"/>
      <c r="F1700" s="296"/>
      <c r="G1700" s="326"/>
      <c r="H1700" s="324"/>
      <c r="I1700" s="325"/>
      <c r="J1700" s="325"/>
      <c r="K1700" s="318"/>
      <c r="L1700" s="318"/>
      <c r="M1700" s="319" t="str">
        <f>IFERROR(VLOOKUP(H1700,Lijsten!$H$1:$I$100,2,0),"")</f>
        <v/>
      </c>
      <c r="N1700" s="319" t="str">
        <f ca="1">IFERROR(IF(VLOOKUP(F1700,Kostentypen!$A$3:$E$21,3,0)=0,"",IF(OR(F1700="Arbeidskosten",F1700="Vergoeding"),VLOOKUP(G1700,Tb_KostenTypen[],2,0),VLOOKUP(F1700,Kostentypen!$A$3:$E$20,3,0))),"")</f>
        <v/>
      </c>
      <c r="O1700" s="320" t="str" cm="1">
        <f t="array" ref="O1700">_xlfn.IFNA(IF(INDEX(Tb_KostenOptiesDB[],MATCH($F1700,Tb_KostenOptiesDB[KostenOptie],0),IFERROR(MATCH(Methode_Keuze,Tb_KostenOptiesDB[#Headers],0),2))=1,_xlfn.SWITCH($N1700,"Uurtarief",IF(OR(AND(RIGHT($F1700,3)="IKS",VLOOKUP($M1700,DB_Loonkosten,2,0)="Ja"),AND(RIGHT($F1700,3)&lt;&gt;"IKS",VLOOKUP($M1700,DB_Loonkosten,2,0)="Nee")),IFERROR(VLOOKUP($M1700,DB_Loonkosten,24,0),""),0),"Vast tarief",IF(LEFT(F1700,8)="Bijdrage",VLOOKUP($F1700,Tb_KostenTypen[],MATCH(Lijsten!$P$1,Tb_KostenTypen[#Headers],0),0),VLOOKUP($G1700,Lijsten!L:P,MATCH(Lijsten!$P$1,Kop_Tarief_Vast,0),0))),""),"")</f>
        <v/>
      </c>
      <c r="P1700" s="320" t="str" cm="1">
        <f t="array" ref="P1700">_xlfn.IFNA(IF(INDEX(Tb_KostenOptiesDB[],MATCH($F1700,Tb_KostenOptiesDB[KostenOptie],0),IFERROR(MATCH(Methode_Keuze,Tb_KostenOptiesDB[#Headers],0),2))=1,_xlfn.SWITCH($N1700,"Uurtarief",IF(OR(AND(RIGHT($F1700,3)="IKS",VLOOKUP($M1700,DB_Loonkosten,2,0)="Ja"),AND(RIGHT($F1700,3)&lt;&gt;"IKS",VLOOKUP($M1700,DB_Loonkosten,2,0)="Nee")),IFERROR(VLOOKUP($M1700,DB_Loonkosten,25,0),""),0),"Vast tarief",IF(LEFT(F1700,8)="Bijdrage",VLOOKUP($F1700,Tb_KostenTypen[],MATCH(Lijsten!$P$1,Tb_KostenTypen[#Headers],0),0),VLOOKUP($G1700,Lijsten!L:P,MATCH(Lijsten!$P$1,Kop_Tarief_Vast,0),0))),""),"")</f>
        <v/>
      </c>
      <c r="Q1700" s="359"/>
      <c r="R1700" s="359"/>
      <c r="S1700" s="321"/>
      <c r="T1700" s="321"/>
      <c r="U1700" s="373" t="str">
        <f t="shared" si="104"/>
        <v/>
      </c>
      <c r="V1700" s="314" t="str">
        <f t="shared" si="105"/>
        <v/>
      </c>
      <c r="W1700" s="314" t="str" cm="1">
        <f t="array" aca="1" ref="W1700" ca="1">IFERROR(IF(AE1700&lt;&gt;"ja",_xlfn.IFNA(_xlfn.IFS(AND(O1700&lt;&gt;"",F1700&lt;&gt;"",RIGHT($N1700,6)="tarief",F1700="Vergoeding"),SUM(O1700)*FLOOR(SUM(Q1700),0.0001),AND(O1700&lt;&gt;"",F1700&lt;&gt;"",RIGHT($N1700,6)="tarief"),SUM(O1700)*FLOOR(SUM(Q1700),0.01),S1700&gt;0,IF(F1700&lt;&gt;"",FLOOR(SUM(S1700),0.01),"")),""),""),"")</f>
        <v/>
      </c>
      <c r="X1700" s="314" t="str" cm="1">
        <f t="array" aca="1" ref="X1700" ca="1">IFERROR(IF(AE1700&lt;&gt;"ja",_xlfn.IFNA(_xlfn.IFS(AND(P1700&lt;&gt;"",R1700&lt;&gt;"",RIGHT($N1700,6)="tarief",F1700="Vergoeding"),SUM(P1700)*FLOOR(SUM(R1700),0.0001),AND(P1700&lt;&gt;"",R1700&lt;&gt;"",RIGHT($N1700,6)="tarief"),P1700*FLOOR(R1700,0.01),T1700&gt;0,FLOOR(SUM(T1700),0.01)),""),""),"")</f>
        <v/>
      </c>
      <c r="Y1700" s="314" t="str">
        <f t="shared" ca="1" si="106"/>
        <v/>
      </c>
      <c r="Z1700" s="314" t="str" cm="1">
        <f t="array" aca="1" ref="Z1700" ca="1">IFERROR(_xlfn.IFS(OR(F1700="",LEFT(Methode_Keuze,4)="Geen",Methode_Keuze=""),"",AND(W1700&lt;&gt;"",F1700&lt;&gt;"Arbeidskosten"),W1700*VLOOKUP(F1700,Tb_ProjectKosten[],MATCH(Tb_ProjectKosten[[#Headers],[Forfait_Percentage]],Tb_ProjectKosten[#Headers],0),0),AND(F1700="Arbeidskosten",G1700&lt;&gt;""),IFERROR(W1700*VLOOKUP(G1700,Tb_KostenTypen[],3,0)*VLOOKUP(F1700,Tb_ProjectKosten[],MATCH(Tb_ProjectKosten[[#Headers],[Forfait_Percentage]],Tb_ProjectKosten[#Headers],0),0),""),W1700 &lt;=0,0),"")</f>
        <v/>
      </c>
      <c r="AA1700" s="314" t="str" cm="1">
        <f t="array" aca="1" ref="AA1700" ca="1">IFERROR(_xlfn.IFS(OR(F1700="",LEFT(Methode_Keuze,4)="Geen",Methode_Keuze=""),"",AND(X1700&lt;&gt;"",F1700&lt;&gt;"Arbeidskosten"),X1700*VLOOKUP(F1700,Tb_ProjectKosten[],MATCH(Tb_ProjectKosten[[#Headers],[Forfait_Percentage]],Tb_ProjectKosten[#Headers],0),0),AND(F1700="Arbeidskosten",G1700&lt;&gt;""),IFERROR(X1700*VLOOKUP(G1700,Tb_KostenTypen[],3,0)*VLOOKUP(F1700,Tb_ProjectKosten[],MATCH(Tb_ProjectKosten[[#Headers],[Forfait_Percentage]],Tb_ProjectKosten[#Headers],0),0),""),X1700 &lt;=0,0),"")</f>
        <v/>
      </c>
      <c r="AB1700" s="314" t="str">
        <f t="shared" ca="1" si="107"/>
        <v/>
      </c>
      <c r="AC1700" s="322"/>
      <c r="AD1700" s="315"/>
      <c r="AE1700" s="32" t="str" cm="1">
        <f t="array" ref="AE1700">IFERROR(IF(INDEX(SubsidieTabel!$AD$1:$AG$12,MATCH($F1700,SubsidieTabel!$AD$1:$AD$12,0),IFERROR(MATCH(Methode_Keuze,SubsidieTabel!$AD$1:$AG$1,0),2))&lt;&gt;1=TRUE,"ja",""),"")</f>
        <v/>
      </c>
    </row>
    <row r="1701" spans="1:31" x14ac:dyDescent="0.25">
      <c r="A1701" s="316"/>
      <c r="B1701" s="317" t="str">
        <f>IF(A1701&lt;&gt;"",_xlfn.MAXIFS($B$1:B1700,$A$1:A1700,A1701)+1,"")</f>
        <v/>
      </c>
      <c r="C1701" s="296"/>
      <c r="D1701" s="296"/>
      <c r="E1701" s="296"/>
      <c r="F1701" s="296"/>
      <c r="G1701" s="326"/>
      <c r="H1701" s="324"/>
      <c r="I1701" s="325"/>
      <c r="J1701" s="325"/>
      <c r="K1701" s="318"/>
      <c r="L1701" s="318"/>
      <c r="M1701" s="319" t="str">
        <f>IFERROR(VLOOKUP(H1701,Lijsten!$H$1:$I$100,2,0),"")</f>
        <v/>
      </c>
      <c r="N1701" s="319" t="str">
        <f ca="1">IFERROR(IF(VLOOKUP(F1701,Kostentypen!$A$3:$E$21,3,0)=0,"",IF(OR(F1701="Arbeidskosten",F1701="Vergoeding"),VLOOKUP(G1701,Tb_KostenTypen[],2,0),VLOOKUP(F1701,Kostentypen!$A$3:$E$20,3,0))),"")</f>
        <v/>
      </c>
      <c r="O1701" s="320" t="str" cm="1">
        <f t="array" ref="O1701">_xlfn.IFNA(IF(INDEX(Tb_KostenOptiesDB[],MATCH($F1701,Tb_KostenOptiesDB[KostenOptie],0),IFERROR(MATCH(Methode_Keuze,Tb_KostenOptiesDB[#Headers],0),2))=1,_xlfn.SWITCH($N1701,"Uurtarief",IF(OR(AND(RIGHT($F1701,3)="IKS",VLOOKUP($M1701,DB_Loonkosten,2,0)="Ja"),AND(RIGHT($F1701,3)&lt;&gt;"IKS",VLOOKUP($M1701,DB_Loonkosten,2,0)="Nee")),IFERROR(VLOOKUP($M1701,DB_Loonkosten,24,0),""),0),"Vast tarief",IF(LEFT(F1701,8)="Bijdrage",VLOOKUP($F1701,Tb_KostenTypen[],MATCH(Lijsten!$P$1,Tb_KostenTypen[#Headers],0),0),VLOOKUP($G1701,Lijsten!L:P,MATCH(Lijsten!$P$1,Kop_Tarief_Vast,0),0))),""),"")</f>
        <v/>
      </c>
      <c r="P1701" s="320" t="str" cm="1">
        <f t="array" ref="P1701">_xlfn.IFNA(IF(INDEX(Tb_KostenOptiesDB[],MATCH($F1701,Tb_KostenOptiesDB[KostenOptie],0),IFERROR(MATCH(Methode_Keuze,Tb_KostenOptiesDB[#Headers],0),2))=1,_xlfn.SWITCH($N1701,"Uurtarief",IF(OR(AND(RIGHT($F1701,3)="IKS",VLOOKUP($M1701,DB_Loonkosten,2,0)="Ja"),AND(RIGHT($F1701,3)&lt;&gt;"IKS",VLOOKUP($M1701,DB_Loonkosten,2,0)="Nee")),IFERROR(VLOOKUP($M1701,DB_Loonkosten,25,0),""),0),"Vast tarief",IF(LEFT(F1701,8)="Bijdrage",VLOOKUP($F1701,Tb_KostenTypen[],MATCH(Lijsten!$P$1,Tb_KostenTypen[#Headers],0),0),VLOOKUP($G1701,Lijsten!L:P,MATCH(Lijsten!$P$1,Kop_Tarief_Vast,0),0))),""),"")</f>
        <v/>
      </c>
      <c r="Q1701" s="359"/>
      <c r="R1701" s="359"/>
      <c r="S1701" s="321"/>
      <c r="T1701" s="321"/>
      <c r="U1701" s="373" t="str">
        <f t="shared" si="104"/>
        <v/>
      </c>
      <c r="V1701" s="314" t="str">
        <f t="shared" si="105"/>
        <v/>
      </c>
      <c r="W1701" s="314" t="str" cm="1">
        <f t="array" aca="1" ref="W1701" ca="1">IFERROR(IF(AE1701&lt;&gt;"ja",_xlfn.IFNA(_xlfn.IFS(AND(O1701&lt;&gt;"",F1701&lt;&gt;"",RIGHT($N1701,6)="tarief",F1701="Vergoeding"),SUM(O1701)*FLOOR(SUM(Q1701),0.0001),AND(O1701&lt;&gt;"",F1701&lt;&gt;"",RIGHT($N1701,6)="tarief"),SUM(O1701)*FLOOR(SUM(Q1701),0.01),S1701&gt;0,IF(F1701&lt;&gt;"",FLOOR(SUM(S1701),0.01),"")),""),""),"")</f>
        <v/>
      </c>
      <c r="X1701" s="314" t="str" cm="1">
        <f t="array" aca="1" ref="X1701" ca="1">IFERROR(IF(AE1701&lt;&gt;"ja",_xlfn.IFNA(_xlfn.IFS(AND(P1701&lt;&gt;"",R1701&lt;&gt;"",RIGHT($N1701,6)="tarief",F1701="Vergoeding"),SUM(P1701)*FLOOR(SUM(R1701),0.0001),AND(P1701&lt;&gt;"",R1701&lt;&gt;"",RIGHT($N1701,6)="tarief"),P1701*FLOOR(R1701,0.01),T1701&gt;0,FLOOR(SUM(T1701),0.01)),""),""),"")</f>
        <v/>
      </c>
      <c r="Y1701" s="314" t="str">
        <f t="shared" ca="1" si="106"/>
        <v/>
      </c>
      <c r="Z1701" s="314" t="str" cm="1">
        <f t="array" aca="1" ref="Z1701" ca="1">IFERROR(_xlfn.IFS(OR(F1701="",LEFT(Methode_Keuze,4)="Geen",Methode_Keuze=""),"",AND(W1701&lt;&gt;"",F1701&lt;&gt;"Arbeidskosten"),W1701*VLOOKUP(F1701,Tb_ProjectKosten[],MATCH(Tb_ProjectKosten[[#Headers],[Forfait_Percentage]],Tb_ProjectKosten[#Headers],0),0),AND(F1701="Arbeidskosten",G1701&lt;&gt;""),IFERROR(W1701*VLOOKUP(G1701,Tb_KostenTypen[],3,0)*VLOOKUP(F1701,Tb_ProjectKosten[],MATCH(Tb_ProjectKosten[[#Headers],[Forfait_Percentage]],Tb_ProjectKosten[#Headers],0),0),""),W1701 &lt;=0,0),"")</f>
        <v/>
      </c>
      <c r="AA1701" s="314" t="str" cm="1">
        <f t="array" aca="1" ref="AA1701" ca="1">IFERROR(_xlfn.IFS(OR(F1701="",LEFT(Methode_Keuze,4)="Geen",Methode_Keuze=""),"",AND(X1701&lt;&gt;"",F1701&lt;&gt;"Arbeidskosten"),X1701*VLOOKUP(F1701,Tb_ProjectKosten[],MATCH(Tb_ProjectKosten[[#Headers],[Forfait_Percentage]],Tb_ProjectKosten[#Headers],0),0),AND(F1701="Arbeidskosten",G1701&lt;&gt;""),IFERROR(X1701*VLOOKUP(G1701,Tb_KostenTypen[],3,0)*VLOOKUP(F1701,Tb_ProjectKosten[],MATCH(Tb_ProjectKosten[[#Headers],[Forfait_Percentage]],Tb_ProjectKosten[#Headers],0),0),""),X1701 &lt;=0,0),"")</f>
        <v/>
      </c>
      <c r="AB1701" s="314" t="str">
        <f t="shared" ca="1" si="107"/>
        <v/>
      </c>
      <c r="AC1701" s="322"/>
      <c r="AD1701" s="315"/>
      <c r="AE1701" s="32" t="str" cm="1">
        <f t="array" ref="AE1701">IFERROR(IF(INDEX(SubsidieTabel!$AD$1:$AG$12,MATCH($F1701,SubsidieTabel!$AD$1:$AD$12,0),IFERROR(MATCH(Methode_Keuze,SubsidieTabel!$AD$1:$AG$1,0),2))&lt;&gt;1=TRUE,"ja",""),"")</f>
        <v/>
      </c>
    </row>
    <row r="1702" spans="1:31" x14ac:dyDescent="0.25">
      <c r="A1702" s="316"/>
      <c r="B1702" s="317" t="str">
        <f>IF(A1702&lt;&gt;"",_xlfn.MAXIFS($B$1:B1701,$A$1:A1701,A1702)+1,"")</f>
        <v/>
      </c>
      <c r="C1702" s="296"/>
      <c r="D1702" s="296"/>
      <c r="E1702" s="296"/>
      <c r="F1702" s="296"/>
      <c r="G1702" s="326"/>
      <c r="H1702" s="324"/>
      <c r="I1702" s="325"/>
      <c r="J1702" s="325"/>
      <c r="K1702" s="318"/>
      <c r="L1702" s="318"/>
      <c r="M1702" s="319" t="str">
        <f>IFERROR(VLOOKUP(H1702,Lijsten!$H$1:$I$100,2,0),"")</f>
        <v/>
      </c>
      <c r="N1702" s="319" t="str">
        <f ca="1">IFERROR(IF(VLOOKUP(F1702,Kostentypen!$A$3:$E$21,3,0)=0,"",IF(OR(F1702="Arbeidskosten",F1702="Vergoeding"),VLOOKUP(G1702,Tb_KostenTypen[],2,0),VLOOKUP(F1702,Kostentypen!$A$3:$E$20,3,0))),"")</f>
        <v/>
      </c>
      <c r="O1702" s="320" t="str" cm="1">
        <f t="array" ref="O1702">_xlfn.IFNA(IF(INDEX(Tb_KostenOptiesDB[],MATCH($F1702,Tb_KostenOptiesDB[KostenOptie],0),IFERROR(MATCH(Methode_Keuze,Tb_KostenOptiesDB[#Headers],0),2))=1,_xlfn.SWITCH($N1702,"Uurtarief",IF(OR(AND(RIGHT($F1702,3)="IKS",VLOOKUP($M1702,DB_Loonkosten,2,0)="Ja"),AND(RIGHT($F1702,3)&lt;&gt;"IKS",VLOOKUP($M1702,DB_Loonkosten,2,0)="Nee")),IFERROR(VLOOKUP($M1702,DB_Loonkosten,24,0),""),0),"Vast tarief",IF(LEFT(F1702,8)="Bijdrage",VLOOKUP($F1702,Tb_KostenTypen[],MATCH(Lijsten!$P$1,Tb_KostenTypen[#Headers],0),0),VLOOKUP($G1702,Lijsten!L:P,MATCH(Lijsten!$P$1,Kop_Tarief_Vast,0),0))),""),"")</f>
        <v/>
      </c>
      <c r="P1702" s="320" t="str" cm="1">
        <f t="array" ref="P1702">_xlfn.IFNA(IF(INDEX(Tb_KostenOptiesDB[],MATCH($F1702,Tb_KostenOptiesDB[KostenOptie],0),IFERROR(MATCH(Methode_Keuze,Tb_KostenOptiesDB[#Headers],0),2))=1,_xlfn.SWITCH($N1702,"Uurtarief",IF(OR(AND(RIGHT($F1702,3)="IKS",VLOOKUP($M1702,DB_Loonkosten,2,0)="Ja"),AND(RIGHT($F1702,3)&lt;&gt;"IKS",VLOOKUP($M1702,DB_Loonkosten,2,0)="Nee")),IFERROR(VLOOKUP($M1702,DB_Loonkosten,25,0),""),0),"Vast tarief",IF(LEFT(F1702,8)="Bijdrage",VLOOKUP($F1702,Tb_KostenTypen[],MATCH(Lijsten!$P$1,Tb_KostenTypen[#Headers],0),0),VLOOKUP($G1702,Lijsten!L:P,MATCH(Lijsten!$P$1,Kop_Tarief_Vast,0),0))),""),"")</f>
        <v/>
      </c>
      <c r="Q1702" s="359"/>
      <c r="R1702" s="359"/>
      <c r="S1702" s="321"/>
      <c r="T1702" s="321"/>
      <c r="U1702" s="373" t="str">
        <f t="shared" si="104"/>
        <v/>
      </c>
      <c r="V1702" s="314" t="str">
        <f t="shared" si="105"/>
        <v/>
      </c>
      <c r="W1702" s="314" t="str" cm="1">
        <f t="array" aca="1" ref="W1702" ca="1">IFERROR(IF(AE1702&lt;&gt;"ja",_xlfn.IFNA(_xlfn.IFS(AND(O1702&lt;&gt;"",F1702&lt;&gt;"",RIGHT($N1702,6)="tarief",F1702="Vergoeding"),SUM(O1702)*FLOOR(SUM(Q1702),0.0001),AND(O1702&lt;&gt;"",F1702&lt;&gt;"",RIGHT($N1702,6)="tarief"),SUM(O1702)*FLOOR(SUM(Q1702),0.01),S1702&gt;0,IF(F1702&lt;&gt;"",FLOOR(SUM(S1702),0.01),"")),""),""),"")</f>
        <v/>
      </c>
      <c r="X1702" s="314" t="str" cm="1">
        <f t="array" aca="1" ref="X1702" ca="1">IFERROR(IF(AE1702&lt;&gt;"ja",_xlfn.IFNA(_xlfn.IFS(AND(P1702&lt;&gt;"",R1702&lt;&gt;"",RIGHT($N1702,6)="tarief",F1702="Vergoeding"),SUM(P1702)*FLOOR(SUM(R1702),0.0001),AND(P1702&lt;&gt;"",R1702&lt;&gt;"",RIGHT($N1702,6)="tarief"),P1702*FLOOR(R1702,0.01),T1702&gt;0,FLOOR(SUM(T1702),0.01)),""),""),"")</f>
        <v/>
      </c>
      <c r="Y1702" s="314" t="str">
        <f t="shared" ca="1" si="106"/>
        <v/>
      </c>
      <c r="Z1702" s="314" t="str" cm="1">
        <f t="array" aca="1" ref="Z1702" ca="1">IFERROR(_xlfn.IFS(OR(F1702="",LEFT(Methode_Keuze,4)="Geen",Methode_Keuze=""),"",AND(W1702&lt;&gt;"",F1702&lt;&gt;"Arbeidskosten"),W1702*VLOOKUP(F1702,Tb_ProjectKosten[],MATCH(Tb_ProjectKosten[[#Headers],[Forfait_Percentage]],Tb_ProjectKosten[#Headers],0),0),AND(F1702="Arbeidskosten",G1702&lt;&gt;""),IFERROR(W1702*VLOOKUP(G1702,Tb_KostenTypen[],3,0)*VLOOKUP(F1702,Tb_ProjectKosten[],MATCH(Tb_ProjectKosten[[#Headers],[Forfait_Percentage]],Tb_ProjectKosten[#Headers],0),0),""),W1702 &lt;=0,0),"")</f>
        <v/>
      </c>
      <c r="AA1702" s="314" t="str" cm="1">
        <f t="array" aca="1" ref="AA1702" ca="1">IFERROR(_xlfn.IFS(OR(F1702="",LEFT(Methode_Keuze,4)="Geen",Methode_Keuze=""),"",AND(X1702&lt;&gt;"",F1702&lt;&gt;"Arbeidskosten"),X1702*VLOOKUP(F1702,Tb_ProjectKosten[],MATCH(Tb_ProjectKosten[[#Headers],[Forfait_Percentage]],Tb_ProjectKosten[#Headers],0),0),AND(F1702="Arbeidskosten",G1702&lt;&gt;""),IFERROR(X1702*VLOOKUP(G1702,Tb_KostenTypen[],3,0)*VLOOKUP(F1702,Tb_ProjectKosten[],MATCH(Tb_ProjectKosten[[#Headers],[Forfait_Percentage]],Tb_ProjectKosten[#Headers],0),0),""),X1702 &lt;=0,0),"")</f>
        <v/>
      </c>
      <c r="AB1702" s="314" t="str">
        <f t="shared" ca="1" si="107"/>
        <v/>
      </c>
      <c r="AC1702" s="322"/>
      <c r="AD1702" s="315"/>
      <c r="AE1702" s="32" t="str" cm="1">
        <f t="array" ref="AE1702">IFERROR(IF(INDEX(SubsidieTabel!$AD$1:$AG$12,MATCH($F1702,SubsidieTabel!$AD$1:$AD$12,0),IFERROR(MATCH(Methode_Keuze,SubsidieTabel!$AD$1:$AG$1,0),2))&lt;&gt;1=TRUE,"ja",""),"")</f>
        <v/>
      </c>
    </row>
    <row r="1703" spans="1:31" x14ac:dyDescent="0.25">
      <c r="A1703" s="316"/>
      <c r="B1703" s="317" t="str">
        <f>IF(A1703&lt;&gt;"",_xlfn.MAXIFS($B$1:B1702,$A$1:A1702,A1703)+1,"")</f>
        <v/>
      </c>
      <c r="C1703" s="296"/>
      <c r="D1703" s="296"/>
      <c r="E1703" s="296"/>
      <c r="F1703" s="296"/>
      <c r="G1703" s="326"/>
      <c r="H1703" s="324"/>
      <c r="I1703" s="325"/>
      <c r="J1703" s="325"/>
      <c r="K1703" s="318"/>
      <c r="L1703" s="318"/>
      <c r="M1703" s="319" t="str">
        <f>IFERROR(VLOOKUP(H1703,Lijsten!$H$1:$I$100,2,0),"")</f>
        <v/>
      </c>
      <c r="N1703" s="319" t="str">
        <f ca="1">IFERROR(IF(VLOOKUP(F1703,Kostentypen!$A$3:$E$21,3,0)=0,"",IF(OR(F1703="Arbeidskosten",F1703="Vergoeding"),VLOOKUP(G1703,Tb_KostenTypen[],2,0),VLOOKUP(F1703,Kostentypen!$A$3:$E$20,3,0))),"")</f>
        <v/>
      </c>
      <c r="O1703" s="320" t="str" cm="1">
        <f t="array" ref="O1703">_xlfn.IFNA(IF(INDEX(Tb_KostenOptiesDB[],MATCH($F1703,Tb_KostenOptiesDB[KostenOptie],0),IFERROR(MATCH(Methode_Keuze,Tb_KostenOptiesDB[#Headers],0),2))=1,_xlfn.SWITCH($N1703,"Uurtarief",IF(OR(AND(RIGHT($F1703,3)="IKS",VLOOKUP($M1703,DB_Loonkosten,2,0)="Ja"),AND(RIGHT($F1703,3)&lt;&gt;"IKS",VLOOKUP($M1703,DB_Loonkosten,2,0)="Nee")),IFERROR(VLOOKUP($M1703,DB_Loonkosten,24,0),""),0),"Vast tarief",IF(LEFT(F1703,8)="Bijdrage",VLOOKUP($F1703,Tb_KostenTypen[],MATCH(Lijsten!$P$1,Tb_KostenTypen[#Headers],0),0),VLOOKUP($G1703,Lijsten!L:P,MATCH(Lijsten!$P$1,Kop_Tarief_Vast,0),0))),""),"")</f>
        <v/>
      </c>
      <c r="P1703" s="320" t="str" cm="1">
        <f t="array" ref="P1703">_xlfn.IFNA(IF(INDEX(Tb_KostenOptiesDB[],MATCH($F1703,Tb_KostenOptiesDB[KostenOptie],0),IFERROR(MATCH(Methode_Keuze,Tb_KostenOptiesDB[#Headers],0),2))=1,_xlfn.SWITCH($N1703,"Uurtarief",IF(OR(AND(RIGHT($F1703,3)="IKS",VLOOKUP($M1703,DB_Loonkosten,2,0)="Ja"),AND(RIGHT($F1703,3)&lt;&gt;"IKS",VLOOKUP($M1703,DB_Loonkosten,2,0)="Nee")),IFERROR(VLOOKUP($M1703,DB_Loonkosten,25,0),""),0),"Vast tarief",IF(LEFT(F1703,8)="Bijdrage",VLOOKUP($F1703,Tb_KostenTypen[],MATCH(Lijsten!$P$1,Tb_KostenTypen[#Headers],0),0),VLOOKUP($G1703,Lijsten!L:P,MATCH(Lijsten!$P$1,Kop_Tarief_Vast,0),0))),""),"")</f>
        <v/>
      </c>
      <c r="Q1703" s="359"/>
      <c r="R1703" s="359"/>
      <c r="S1703" s="321"/>
      <c r="T1703" s="321"/>
      <c r="U1703" s="373" t="str">
        <f t="shared" si="104"/>
        <v/>
      </c>
      <c r="V1703" s="314" t="str">
        <f t="shared" si="105"/>
        <v/>
      </c>
      <c r="W1703" s="314" t="str" cm="1">
        <f t="array" aca="1" ref="W1703" ca="1">IFERROR(IF(AE1703&lt;&gt;"ja",_xlfn.IFNA(_xlfn.IFS(AND(O1703&lt;&gt;"",F1703&lt;&gt;"",RIGHT($N1703,6)="tarief",F1703="Vergoeding"),SUM(O1703)*FLOOR(SUM(Q1703),0.0001),AND(O1703&lt;&gt;"",F1703&lt;&gt;"",RIGHT($N1703,6)="tarief"),SUM(O1703)*FLOOR(SUM(Q1703),0.01),S1703&gt;0,IF(F1703&lt;&gt;"",FLOOR(SUM(S1703),0.01),"")),""),""),"")</f>
        <v/>
      </c>
      <c r="X1703" s="314" t="str" cm="1">
        <f t="array" aca="1" ref="X1703" ca="1">IFERROR(IF(AE1703&lt;&gt;"ja",_xlfn.IFNA(_xlfn.IFS(AND(P1703&lt;&gt;"",R1703&lt;&gt;"",RIGHT($N1703,6)="tarief",F1703="Vergoeding"),SUM(P1703)*FLOOR(SUM(R1703),0.0001),AND(P1703&lt;&gt;"",R1703&lt;&gt;"",RIGHT($N1703,6)="tarief"),P1703*FLOOR(R1703,0.01),T1703&gt;0,FLOOR(SUM(T1703),0.01)),""),""),"")</f>
        <v/>
      </c>
      <c r="Y1703" s="314" t="str">
        <f t="shared" ca="1" si="106"/>
        <v/>
      </c>
      <c r="Z1703" s="314" t="str" cm="1">
        <f t="array" aca="1" ref="Z1703" ca="1">IFERROR(_xlfn.IFS(OR(F1703="",LEFT(Methode_Keuze,4)="Geen",Methode_Keuze=""),"",AND(W1703&lt;&gt;"",F1703&lt;&gt;"Arbeidskosten"),W1703*VLOOKUP(F1703,Tb_ProjectKosten[],MATCH(Tb_ProjectKosten[[#Headers],[Forfait_Percentage]],Tb_ProjectKosten[#Headers],0),0),AND(F1703="Arbeidskosten",G1703&lt;&gt;""),IFERROR(W1703*VLOOKUP(G1703,Tb_KostenTypen[],3,0)*VLOOKUP(F1703,Tb_ProjectKosten[],MATCH(Tb_ProjectKosten[[#Headers],[Forfait_Percentage]],Tb_ProjectKosten[#Headers],0),0),""),W1703 &lt;=0,0),"")</f>
        <v/>
      </c>
      <c r="AA1703" s="314" t="str" cm="1">
        <f t="array" aca="1" ref="AA1703" ca="1">IFERROR(_xlfn.IFS(OR(F1703="",LEFT(Methode_Keuze,4)="Geen",Methode_Keuze=""),"",AND(X1703&lt;&gt;"",F1703&lt;&gt;"Arbeidskosten"),X1703*VLOOKUP(F1703,Tb_ProjectKosten[],MATCH(Tb_ProjectKosten[[#Headers],[Forfait_Percentage]],Tb_ProjectKosten[#Headers],0),0),AND(F1703="Arbeidskosten",G1703&lt;&gt;""),IFERROR(X1703*VLOOKUP(G1703,Tb_KostenTypen[],3,0)*VLOOKUP(F1703,Tb_ProjectKosten[],MATCH(Tb_ProjectKosten[[#Headers],[Forfait_Percentage]],Tb_ProjectKosten[#Headers],0),0),""),X1703 &lt;=0,0),"")</f>
        <v/>
      </c>
      <c r="AB1703" s="314" t="str">
        <f t="shared" ca="1" si="107"/>
        <v/>
      </c>
      <c r="AC1703" s="322"/>
      <c r="AD1703" s="315"/>
      <c r="AE1703" s="32" t="str" cm="1">
        <f t="array" ref="AE1703">IFERROR(IF(INDEX(SubsidieTabel!$AD$1:$AG$12,MATCH($F1703,SubsidieTabel!$AD$1:$AD$12,0),IFERROR(MATCH(Methode_Keuze,SubsidieTabel!$AD$1:$AG$1,0),2))&lt;&gt;1=TRUE,"ja",""),"")</f>
        <v/>
      </c>
    </row>
    <row r="1704" spans="1:31" x14ac:dyDescent="0.25">
      <c r="A1704" s="316"/>
      <c r="B1704" s="317" t="str">
        <f>IF(A1704&lt;&gt;"",_xlfn.MAXIFS($B$1:B1703,$A$1:A1703,A1704)+1,"")</f>
        <v/>
      </c>
      <c r="C1704" s="296"/>
      <c r="D1704" s="296"/>
      <c r="E1704" s="296"/>
      <c r="F1704" s="296"/>
      <c r="G1704" s="326"/>
      <c r="H1704" s="324"/>
      <c r="I1704" s="325"/>
      <c r="J1704" s="325"/>
      <c r="K1704" s="318"/>
      <c r="L1704" s="318"/>
      <c r="M1704" s="319" t="str">
        <f>IFERROR(VLOOKUP(H1704,Lijsten!$H$1:$I$100,2,0),"")</f>
        <v/>
      </c>
      <c r="N1704" s="319" t="str">
        <f ca="1">IFERROR(IF(VLOOKUP(F1704,Kostentypen!$A$3:$E$21,3,0)=0,"",IF(OR(F1704="Arbeidskosten",F1704="Vergoeding"),VLOOKUP(G1704,Tb_KostenTypen[],2,0),VLOOKUP(F1704,Kostentypen!$A$3:$E$20,3,0))),"")</f>
        <v/>
      </c>
      <c r="O1704" s="320" t="str" cm="1">
        <f t="array" ref="O1704">_xlfn.IFNA(IF(INDEX(Tb_KostenOptiesDB[],MATCH($F1704,Tb_KostenOptiesDB[KostenOptie],0),IFERROR(MATCH(Methode_Keuze,Tb_KostenOptiesDB[#Headers],0),2))=1,_xlfn.SWITCH($N1704,"Uurtarief",IF(OR(AND(RIGHT($F1704,3)="IKS",VLOOKUP($M1704,DB_Loonkosten,2,0)="Ja"),AND(RIGHT($F1704,3)&lt;&gt;"IKS",VLOOKUP($M1704,DB_Loonkosten,2,0)="Nee")),IFERROR(VLOOKUP($M1704,DB_Loonkosten,24,0),""),0),"Vast tarief",IF(LEFT(F1704,8)="Bijdrage",VLOOKUP($F1704,Tb_KostenTypen[],MATCH(Lijsten!$P$1,Tb_KostenTypen[#Headers],0),0),VLOOKUP($G1704,Lijsten!L:P,MATCH(Lijsten!$P$1,Kop_Tarief_Vast,0),0))),""),"")</f>
        <v/>
      </c>
      <c r="P1704" s="320" t="str" cm="1">
        <f t="array" ref="P1704">_xlfn.IFNA(IF(INDEX(Tb_KostenOptiesDB[],MATCH($F1704,Tb_KostenOptiesDB[KostenOptie],0),IFERROR(MATCH(Methode_Keuze,Tb_KostenOptiesDB[#Headers],0),2))=1,_xlfn.SWITCH($N1704,"Uurtarief",IF(OR(AND(RIGHT($F1704,3)="IKS",VLOOKUP($M1704,DB_Loonkosten,2,0)="Ja"),AND(RIGHT($F1704,3)&lt;&gt;"IKS",VLOOKUP($M1704,DB_Loonkosten,2,0)="Nee")),IFERROR(VLOOKUP($M1704,DB_Loonkosten,25,0),""),0),"Vast tarief",IF(LEFT(F1704,8)="Bijdrage",VLOOKUP($F1704,Tb_KostenTypen[],MATCH(Lijsten!$P$1,Tb_KostenTypen[#Headers],0),0),VLOOKUP($G1704,Lijsten!L:P,MATCH(Lijsten!$P$1,Kop_Tarief_Vast,0),0))),""),"")</f>
        <v/>
      </c>
      <c r="Q1704" s="359"/>
      <c r="R1704" s="359"/>
      <c r="S1704" s="321"/>
      <c r="T1704" s="321"/>
      <c r="U1704" s="373" t="str">
        <f t="shared" si="104"/>
        <v/>
      </c>
      <c r="V1704" s="314" t="str">
        <f t="shared" si="105"/>
        <v/>
      </c>
      <c r="W1704" s="314" t="str" cm="1">
        <f t="array" aca="1" ref="W1704" ca="1">IFERROR(IF(AE1704&lt;&gt;"ja",_xlfn.IFNA(_xlfn.IFS(AND(O1704&lt;&gt;"",F1704&lt;&gt;"",RIGHT($N1704,6)="tarief",F1704="Vergoeding"),SUM(O1704)*FLOOR(SUM(Q1704),0.0001),AND(O1704&lt;&gt;"",F1704&lt;&gt;"",RIGHT($N1704,6)="tarief"),SUM(O1704)*FLOOR(SUM(Q1704),0.01),S1704&gt;0,IF(F1704&lt;&gt;"",FLOOR(SUM(S1704),0.01),"")),""),""),"")</f>
        <v/>
      </c>
      <c r="X1704" s="314" t="str" cm="1">
        <f t="array" aca="1" ref="X1704" ca="1">IFERROR(IF(AE1704&lt;&gt;"ja",_xlfn.IFNA(_xlfn.IFS(AND(P1704&lt;&gt;"",R1704&lt;&gt;"",RIGHT($N1704,6)="tarief",F1704="Vergoeding"),SUM(P1704)*FLOOR(SUM(R1704),0.0001),AND(P1704&lt;&gt;"",R1704&lt;&gt;"",RIGHT($N1704,6)="tarief"),P1704*FLOOR(R1704,0.01),T1704&gt;0,FLOOR(SUM(T1704),0.01)),""),""),"")</f>
        <v/>
      </c>
      <c r="Y1704" s="314" t="str">
        <f t="shared" ca="1" si="106"/>
        <v/>
      </c>
      <c r="Z1704" s="314" t="str" cm="1">
        <f t="array" aca="1" ref="Z1704" ca="1">IFERROR(_xlfn.IFS(OR(F1704="",LEFT(Methode_Keuze,4)="Geen",Methode_Keuze=""),"",AND(W1704&lt;&gt;"",F1704&lt;&gt;"Arbeidskosten"),W1704*VLOOKUP(F1704,Tb_ProjectKosten[],MATCH(Tb_ProjectKosten[[#Headers],[Forfait_Percentage]],Tb_ProjectKosten[#Headers],0),0),AND(F1704="Arbeidskosten",G1704&lt;&gt;""),IFERROR(W1704*VLOOKUP(G1704,Tb_KostenTypen[],3,0)*VLOOKUP(F1704,Tb_ProjectKosten[],MATCH(Tb_ProjectKosten[[#Headers],[Forfait_Percentage]],Tb_ProjectKosten[#Headers],0),0),""),W1704 &lt;=0,0),"")</f>
        <v/>
      </c>
      <c r="AA1704" s="314" t="str" cm="1">
        <f t="array" aca="1" ref="AA1704" ca="1">IFERROR(_xlfn.IFS(OR(F1704="",LEFT(Methode_Keuze,4)="Geen",Methode_Keuze=""),"",AND(X1704&lt;&gt;"",F1704&lt;&gt;"Arbeidskosten"),X1704*VLOOKUP(F1704,Tb_ProjectKosten[],MATCH(Tb_ProjectKosten[[#Headers],[Forfait_Percentage]],Tb_ProjectKosten[#Headers],0),0),AND(F1704="Arbeidskosten",G1704&lt;&gt;""),IFERROR(X1704*VLOOKUP(G1704,Tb_KostenTypen[],3,0)*VLOOKUP(F1704,Tb_ProjectKosten[],MATCH(Tb_ProjectKosten[[#Headers],[Forfait_Percentage]],Tb_ProjectKosten[#Headers],0),0),""),X1704 &lt;=0,0),"")</f>
        <v/>
      </c>
      <c r="AB1704" s="314" t="str">
        <f t="shared" ca="1" si="107"/>
        <v/>
      </c>
      <c r="AC1704" s="322"/>
      <c r="AD1704" s="315"/>
      <c r="AE1704" s="32" t="str" cm="1">
        <f t="array" ref="AE1704">IFERROR(IF(INDEX(SubsidieTabel!$AD$1:$AG$12,MATCH($F1704,SubsidieTabel!$AD$1:$AD$12,0),IFERROR(MATCH(Methode_Keuze,SubsidieTabel!$AD$1:$AG$1,0),2))&lt;&gt;1=TRUE,"ja",""),"")</f>
        <v/>
      </c>
    </row>
    <row r="1705" spans="1:31" x14ac:dyDescent="0.25">
      <c r="A1705" s="316"/>
      <c r="B1705" s="317" t="str">
        <f>IF(A1705&lt;&gt;"",_xlfn.MAXIFS($B$1:B1704,$A$1:A1704,A1705)+1,"")</f>
        <v/>
      </c>
      <c r="C1705" s="296"/>
      <c r="D1705" s="296"/>
      <c r="E1705" s="296"/>
      <c r="F1705" s="296"/>
      <c r="G1705" s="326"/>
      <c r="H1705" s="324"/>
      <c r="I1705" s="325"/>
      <c r="J1705" s="325"/>
      <c r="K1705" s="318"/>
      <c r="L1705" s="318"/>
      <c r="M1705" s="319" t="str">
        <f>IFERROR(VLOOKUP(H1705,Lijsten!$H$1:$I$100,2,0),"")</f>
        <v/>
      </c>
      <c r="N1705" s="319" t="str">
        <f ca="1">IFERROR(IF(VLOOKUP(F1705,Kostentypen!$A$3:$E$21,3,0)=0,"",IF(OR(F1705="Arbeidskosten",F1705="Vergoeding"),VLOOKUP(G1705,Tb_KostenTypen[],2,0),VLOOKUP(F1705,Kostentypen!$A$3:$E$20,3,0))),"")</f>
        <v/>
      </c>
      <c r="O1705" s="320" t="str" cm="1">
        <f t="array" ref="O1705">_xlfn.IFNA(IF(INDEX(Tb_KostenOptiesDB[],MATCH($F1705,Tb_KostenOptiesDB[KostenOptie],0),IFERROR(MATCH(Methode_Keuze,Tb_KostenOptiesDB[#Headers],0),2))=1,_xlfn.SWITCH($N1705,"Uurtarief",IF(OR(AND(RIGHT($F1705,3)="IKS",VLOOKUP($M1705,DB_Loonkosten,2,0)="Ja"),AND(RIGHT($F1705,3)&lt;&gt;"IKS",VLOOKUP($M1705,DB_Loonkosten,2,0)="Nee")),IFERROR(VLOOKUP($M1705,DB_Loonkosten,24,0),""),0),"Vast tarief",IF(LEFT(F1705,8)="Bijdrage",VLOOKUP($F1705,Tb_KostenTypen[],MATCH(Lijsten!$P$1,Tb_KostenTypen[#Headers],0),0),VLOOKUP($G1705,Lijsten!L:P,MATCH(Lijsten!$P$1,Kop_Tarief_Vast,0),0))),""),"")</f>
        <v/>
      </c>
      <c r="P1705" s="320" t="str" cm="1">
        <f t="array" ref="P1705">_xlfn.IFNA(IF(INDEX(Tb_KostenOptiesDB[],MATCH($F1705,Tb_KostenOptiesDB[KostenOptie],0),IFERROR(MATCH(Methode_Keuze,Tb_KostenOptiesDB[#Headers],0),2))=1,_xlfn.SWITCH($N1705,"Uurtarief",IF(OR(AND(RIGHT($F1705,3)="IKS",VLOOKUP($M1705,DB_Loonkosten,2,0)="Ja"),AND(RIGHT($F1705,3)&lt;&gt;"IKS",VLOOKUP($M1705,DB_Loonkosten,2,0)="Nee")),IFERROR(VLOOKUP($M1705,DB_Loonkosten,25,0),""),0),"Vast tarief",IF(LEFT(F1705,8)="Bijdrage",VLOOKUP($F1705,Tb_KostenTypen[],MATCH(Lijsten!$P$1,Tb_KostenTypen[#Headers],0),0),VLOOKUP($G1705,Lijsten!L:P,MATCH(Lijsten!$P$1,Kop_Tarief_Vast,0),0))),""),"")</f>
        <v/>
      </c>
      <c r="Q1705" s="359"/>
      <c r="R1705" s="359"/>
      <c r="S1705" s="321"/>
      <c r="T1705" s="321"/>
      <c r="U1705" s="373" t="str">
        <f t="shared" si="104"/>
        <v/>
      </c>
      <c r="V1705" s="314" t="str">
        <f t="shared" si="105"/>
        <v/>
      </c>
      <c r="W1705" s="314" t="str" cm="1">
        <f t="array" aca="1" ref="W1705" ca="1">IFERROR(IF(AE1705&lt;&gt;"ja",_xlfn.IFNA(_xlfn.IFS(AND(O1705&lt;&gt;"",F1705&lt;&gt;"",RIGHT($N1705,6)="tarief",F1705="Vergoeding"),SUM(O1705)*FLOOR(SUM(Q1705),0.0001),AND(O1705&lt;&gt;"",F1705&lt;&gt;"",RIGHT($N1705,6)="tarief"),SUM(O1705)*FLOOR(SUM(Q1705),0.01),S1705&gt;0,IF(F1705&lt;&gt;"",FLOOR(SUM(S1705),0.01),"")),""),""),"")</f>
        <v/>
      </c>
      <c r="X1705" s="314" t="str" cm="1">
        <f t="array" aca="1" ref="X1705" ca="1">IFERROR(IF(AE1705&lt;&gt;"ja",_xlfn.IFNA(_xlfn.IFS(AND(P1705&lt;&gt;"",R1705&lt;&gt;"",RIGHT($N1705,6)="tarief",F1705="Vergoeding"),SUM(P1705)*FLOOR(SUM(R1705),0.0001),AND(P1705&lt;&gt;"",R1705&lt;&gt;"",RIGHT($N1705,6)="tarief"),P1705*FLOOR(R1705,0.01),T1705&gt;0,FLOOR(SUM(T1705),0.01)),""),""),"")</f>
        <v/>
      </c>
      <c r="Y1705" s="314" t="str">
        <f t="shared" ca="1" si="106"/>
        <v/>
      </c>
      <c r="Z1705" s="314" t="str" cm="1">
        <f t="array" aca="1" ref="Z1705" ca="1">IFERROR(_xlfn.IFS(OR(F1705="",LEFT(Methode_Keuze,4)="Geen",Methode_Keuze=""),"",AND(W1705&lt;&gt;"",F1705&lt;&gt;"Arbeidskosten"),W1705*VLOOKUP(F1705,Tb_ProjectKosten[],MATCH(Tb_ProjectKosten[[#Headers],[Forfait_Percentage]],Tb_ProjectKosten[#Headers],0),0),AND(F1705="Arbeidskosten",G1705&lt;&gt;""),IFERROR(W1705*VLOOKUP(G1705,Tb_KostenTypen[],3,0)*VLOOKUP(F1705,Tb_ProjectKosten[],MATCH(Tb_ProjectKosten[[#Headers],[Forfait_Percentage]],Tb_ProjectKosten[#Headers],0),0),""),W1705 &lt;=0,0),"")</f>
        <v/>
      </c>
      <c r="AA1705" s="314" t="str" cm="1">
        <f t="array" aca="1" ref="AA1705" ca="1">IFERROR(_xlfn.IFS(OR(F1705="",LEFT(Methode_Keuze,4)="Geen",Methode_Keuze=""),"",AND(X1705&lt;&gt;"",F1705&lt;&gt;"Arbeidskosten"),X1705*VLOOKUP(F1705,Tb_ProjectKosten[],MATCH(Tb_ProjectKosten[[#Headers],[Forfait_Percentage]],Tb_ProjectKosten[#Headers],0),0),AND(F1705="Arbeidskosten",G1705&lt;&gt;""),IFERROR(X1705*VLOOKUP(G1705,Tb_KostenTypen[],3,0)*VLOOKUP(F1705,Tb_ProjectKosten[],MATCH(Tb_ProjectKosten[[#Headers],[Forfait_Percentage]],Tb_ProjectKosten[#Headers],0),0),""),X1705 &lt;=0,0),"")</f>
        <v/>
      </c>
      <c r="AB1705" s="314" t="str">
        <f t="shared" ca="1" si="107"/>
        <v/>
      </c>
      <c r="AC1705" s="322"/>
      <c r="AD1705" s="315"/>
      <c r="AE1705" s="32" t="str" cm="1">
        <f t="array" ref="AE1705">IFERROR(IF(INDEX(SubsidieTabel!$AD$1:$AG$12,MATCH($F1705,SubsidieTabel!$AD$1:$AD$12,0),IFERROR(MATCH(Methode_Keuze,SubsidieTabel!$AD$1:$AG$1,0),2))&lt;&gt;1=TRUE,"ja",""),"")</f>
        <v/>
      </c>
    </row>
    <row r="1706" spans="1:31" x14ac:dyDescent="0.25">
      <c r="A1706" s="316"/>
      <c r="B1706" s="317" t="str">
        <f>IF(A1706&lt;&gt;"",_xlfn.MAXIFS($B$1:B1705,$A$1:A1705,A1706)+1,"")</f>
        <v/>
      </c>
      <c r="C1706" s="296"/>
      <c r="D1706" s="296"/>
      <c r="E1706" s="296"/>
      <c r="F1706" s="296"/>
      <c r="G1706" s="326"/>
      <c r="H1706" s="324"/>
      <c r="I1706" s="325"/>
      <c r="J1706" s="325"/>
      <c r="K1706" s="318"/>
      <c r="L1706" s="318"/>
      <c r="M1706" s="319" t="str">
        <f>IFERROR(VLOOKUP(H1706,Lijsten!$H$1:$I$100,2,0),"")</f>
        <v/>
      </c>
      <c r="N1706" s="319" t="str">
        <f ca="1">IFERROR(IF(VLOOKUP(F1706,Kostentypen!$A$3:$E$21,3,0)=0,"",IF(OR(F1706="Arbeidskosten",F1706="Vergoeding"),VLOOKUP(G1706,Tb_KostenTypen[],2,0),VLOOKUP(F1706,Kostentypen!$A$3:$E$20,3,0))),"")</f>
        <v/>
      </c>
      <c r="O1706" s="320" t="str" cm="1">
        <f t="array" ref="O1706">_xlfn.IFNA(IF(INDEX(Tb_KostenOptiesDB[],MATCH($F1706,Tb_KostenOptiesDB[KostenOptie],0),IFERROR(MATCH(Methode_Keuze,Tb_KostenOptiesDB[#Headers],0),2))=1,_xlfn.SWITCH($N1706,"Uurtarief",IF(OR(AND(RIGHT($F1706,3)="IKS",VLOOKUP($M1706,DB_Loonkosten,2,0)="Ja"),AND(RIGHT($F1706,3)&lt;&gt;"IKS",VLOOKUP($M1706,DB_Loonkosten,2,0)="Nee")),IFERROR(VLOOKUP($M1706,DB_Loonkosten,24,0),""),0),"Vast tarief",IF(LEFT(F1706,8)="Bijdrage",VLOOKUP($F1706,Tb_KostenTypen[],MATCH(Lijsten!$P$1,Tb_KostenTypen[#Headers],0),0),VLOOKUP($G1706,Lijsten!L:P,MATCH(Lijsten!$P$1,Kop_Tarief_Vast,0),0))),""),"")</f>
        <v/>
      </c>
      <c r="P1706" s="320" t="str" cm="1">
        <f t="array" ref="P1706">_xlfn.IFNA(IF(INDEX(Tb_KostenOptiesDB[],MATCH($F1706,Tb_KostenOptiesDB[KostenOptie],0),IFERROR(MATCH(Methode_Keuze,Tb_KostenOptiesDB[#Headers],0),2))=1,_xlfn.SWITCH($N1706,"Uurtarief",IF(OR(AND(RIGHT($F1706,3)="IKS",VLOOKUP($M1706,DB_Loonkosten,2,0)="Ja"),AND(RIGHT($F1706,3)&lt;&gt;"IKS",VLOOKUP($M1706,DB_Loonkosten,2,0)="Nee")),IFERROR(VLOOKUP($M1706,DB_Loonkosten,25,0),""),0),"Vast tarief",IF(LEFT(F1706,8)="Bijdrage",VLOOKUP($F1706,Tb_KostenTypen[],MATCH(Lijsten!$P$1,Tb_KostenTypen[#Headers],0),0),VLOOKUP($G1706,Lijsten!L:P,MATCH(Lijsten!$P$1,Kop_Tarief_Vast,0),0))),""),"")</f>
        <v/>
      </c>
      <c r="Q1706" s="359"/>
      <c r="R1706" s="359"/>
      <c r="S1706" s="321"/>
      <c r="T1706" s="321"/>
      <c r="U1706" s="373" t="str">
        <f t="shared" si="104"/>
        <v/>
      </c>
      <c r="V1706" s="314" t="str">
        <f t="shared" si="105"/>
        <v/>
      </c>
      <c r="W1706" s="314" t="str" cm="1">
        <f t="array" aca="1" ref="W1706" ca="1">IFERROR(IF(AE1706&lt;&gt;"ja",_xlfn.IFNA(_xlfn.IFS(AND(O1706&lt;&gt;"",F1706&lt;&gt;"",RIGHT($N1706,6)="tarief",F1706="Vergoeding"),SUM(O1706)*FLOOR(SUM(Q1706),0.0001),AND(O1706&lt;&gt;"",F1706&lt;&gt;"",RIGHT($N1706,6)="tarief"),SUM(O1706)*FLOOR(SUM(Q1706),0.01),S1706&gt;0,IF(F1706&lt;&gt;"",FLOOR(SUM(S1706),0.01),"")),""),""),"")</f>
        <v/>
      </c>
      <c r="X1706" s="314" t="str" cm="1">
        <f t="array" aca="1" ref="X1706" ca="1">IFERROR(IF(AE1706&lt;&gt;"ja",_xlfn.IFNA(_xlfn.IFS(AND(P1706&lt;&gt;"",R1706&lt;&gt;"",RIGHT($N1706,6)="tarief",F1706="Vergoeding"),SUM(P1706)*FLOOR(SUM(R1706),0.0001),AND(P1706&lt;&gt;"",R1706&lt;&gt;"",RIGHT($N1706,6)="tarief"),P1706*FLOOR(R1706,0.01),T1706&gt;0,FLOOR(SUM(T1706),0.01)),""),""),"")</f>
        <v/>
      </c>
      <c r="Y1706" s="314" t="str">
        <f t="shared" ca="1" si="106"/>
        <v/>
      </c>
      <c r="Z1706" s="314" t="str" cm="1">
        <f t="array" aca="1" ref="Z1706" ca="1">IFERROR(_xlfn.IFS(OR(F1706="",LEFT(Methode_Keuze,4)="Geen",Methode_Keuze=""),"",AND(W1706&lt;&gt;"",F1706&lt;&gt;"Arbeidskosten"),W1706*VLOOKUP(F1706,Tb_ProjectKosten[],MATCH(Tb_ProjectKosten[[#Headers],[Forfait_Percentage]],Tb_ProjectKosten[#Headers],0),0),AND(F1706="Arbeidskosten",G1706&lt;&gt;""),IFERROR(W1706*VLOOKUP(G1706,Tb_KostenTypen[],3,0)*VLOOKUP(F1706,Tb_ProjectKosten[],MATCH(Tb_ProjectKosten[[#Headers],[Forfait_Percentage]],Tb_ProjectKosten[#Headers],0),0),""),W1706 &lt;=0,0),"")</f>
        <v/>
      </c>
      <c r="AA1706" s="314" t="str" cm="1">
        <f t="array" aca="1" ref="AA1706" ca="1">IFERROR(_xlfn.IFS(OR(F1706="",LEFT(Methode_Keuze,4)="Geen",Methode_Keuze=""),"",AND(X1706&lt;&gt;"",F1706&lt;&gt;"Arbeidskosten"),X1706*VLOOKUP(F1706,Tb_ProjectKosten[],MATCH(Tb_ProjectKosten[[#Headers],[Forfait_Percentage]],Tb_ProjectKosten[#Headers],0),0),AND(F1706="Arbeidskosten",G1706&lt;&gt;""),IFERROR(X1706*VLOOKUP(G1706,Tb_KostenTypen[],3,0)*VLOOKUP(F1706,Tb_ProjectKosten[],MATCH(Tb_ProjectKosten[[#Headers],[Forfait_Percentage]],Tb_ProjectKosten[#Headers],0),0),""),X1706 &lt;=0,0),"")</f>
        <v/>
      </c>
      <c r="AB1706" s="314" t="str">
        <f t="shared" ca="1" si="107"/>
        <v/>
      </c>
      <c r="AC1706" s="322"/>
      <c r="AD1706" s="315"/>
      <c r="AE1706" s="32" t="str" cm="1">
        <f t="array" ref="AE1706">IFERROR(IF(INDEX(SubsidieTabel!$AD$1:$AG$12,MATCH($F1706,SubsidieTabel!$AD$1:$AD$12,0),IFERROR(MATCH(Methode_Keuze,SubsidieTabel!$AD$1:$AG$1,0),2))&lt;&gt;1=TRUE,"ja",""),"")</f>
        <v/>
      </c>
    </row>
    <row r="1707" spans="1:31" x14ac:dyDescent="0.25">
      <c r="A1707" s="316"/>
      <c r="B1707" s="317" t="str">
        <f>IF(A1707&lt;&gt;"",_xlfn.MAXIFS($B$1:B1706,$A$1:A1706,A1707)+1,"")</f>
        <v/>
      </c>
      <c r="C1707" s="296"/>
      <c r="D1707" s="296"/>
      <c r="E1707" s="296"/>
      <c r="F1707" s="296"/>
      <c r="G1707" s="326"/>
      <c r="H1707" s="324"/>
      <c r="I1707" s="325"/>
      <c r="J1707" s="325"/>
      <c r="K1707" s="318"/>
      <c r="L1707" s="318"/>
      <c r="M1707" s="319" t="str">
        <f>IFERROR(VLOOKUP(H1707,Lijsten!$H$1:$I$100,2,0),"")</f>
        <v/>
      </c>
      <c r="N1707" s="319" t="str">
        <f ca="1">IFERROR(IF(VLOOKUP(F1707,Kostentypen!$A$3:$E$21,3,0)=0,"",IF(OR(F1707="Arbeidskosten",F1707="Vergoeding"),VLOOKUP(G1707,Tb_KostenTypen[],2,0),VLOOKUP(F1707,Kostentypen!$A$3:$E$20,3,0))),"")</f>
        <v/>
      </c>
      <c r="O1707" s="320" t="str" cm="1">
        <f t="array" ref="O1707">_xlfn.IFNA(IF(INDEX(Tb_KostenOptiesDB[],MATCH($F1707,Tb_KostenOptiesDB[KostenOptie],0),IFERROR(MATCH(Methode_Keuze,Tb_KostenOptiesDB[#Headers],0),2))=1,_xlfn.SWITCH($N1707,"Uurtarief",IF(OR(AND(RIGHT($F1707,3)="IKS",VLOOKUP($M1707,DB_Loonkosten,2,0)="Ja"),AND(RIGHT($F1707,3)&lt;&gt;"IKS",VLOOKUP($M1707,DB_Loonkosten,2,0)="Nee")),IFERROR(VLOOKUP($M1707,DB_Loonkosten,24,0),""),0),"Vast tarief",IF(LEFT(F1707,8)="Bijdrage",VLOOKUP($F1707,Tb_KostenTypen[],MATCH(Lijsten!$P$1,Tb_KostenTypen[#Headers],0),0),VLOOKUP($G1707,Lijsten!L:P,MATCH(Lijsten!$P$1,Kop_Tarief_Vast,0),0))),""),"")</f>
        <v/>
      </c>
      <c r="P1707" s="320" t="str" cm="1">
        <f t="array" ref="P1707">_xlfn.IFNA(IF(INDEX(Tb_KostenOptiesDB[],MATCH($F1707,Tb_KostenOptiesDB[KostenOptie],0),IFERROR(MATCH(Methode_Keuze,Tb_KostenOptiesDB[#Headers],0),2))=1,_xlfn.SWITCH($N1707,"Uurtarief",IF(OR(AND(RIGHT($F1707,3)="IKS",VLOOKUP($M1707,DB_Loonkosten,2,0)="Ja"),AND(RIGHT($F1707,3)&lt;&gt;"IKS",VLOOKUP($M1707,DB_Loonkosten,2,0)="Nee")),IFERROR(VLOOKUP($M1707,DB_Loonkosten,25,0),""),0),"Vast tarief",IF(LEFT(F1707,8)="Bijdrage",VLOOKUP($F1707,Tb_KostenTypen[],MATCH(Lijsten!$P$1,Tb_KostenTypen[#Headers],0),0),VLOOKUP($G1707,Lijsten!L:P,MATCH(Lijsten!$P$1,Kop_Tarief_Vast,0),0))),""),"")</f>
        <v/>
      </c>
      <c r="Q1707" s="359"/>
      <c r="R1707" s="359"/>
      <c r="S1707" s="321"/>
      <c r="T1707" s="321"/>
      <c r="U1707" s="373" t="str">
        <f t="shared" si="104"/>
        <v/>
      </c>
      <c r="V1707" s="314" t="str">
        <f t="shared" si="105"/>
        <v/>
      </c>
      <c r="W1707" s="314" t="str" cm="1">
        <f t="array" aca="1" ref="W1707" ca="1">IFERROR(IF(AE1707&lt;&gt;"ja",_xlfn.IFNA(_xlfn.IFS(AND(O1707&lt;&gt;"",F1707&lt;&gt;"",RIGHT($N1707,6)="tarief",F1707="Vergoeding"),SUM(O1707)*FLOOR(SUM(Q1707),0.0001),AND(O1707&lt;&gt;"",F1707&lt;&gt;"",RIGHT($N1707,6)="tarief"),SUM(O1707)*FLOOR(SUM(Q1707),0.01),S1707&gt;0,IF(F1707&lt;&gt;"",FLOOR(SUM(S1707),0.01),"")),""),""),"")</f>
        <v/>
      </c>
      <c r="X1707" s="314" t="str" cm="1">
        <f t="array" aca="1" ref="X1707" ca="1">IFERROR(IF(AE1707&lt;&gt;"ja",_xlfn.IFNA(_xlfn.IFS(AND(P1707&lt;&gt;"",R1707&lt;&gt;"",RIGHT($N1707,6)="tarief",F1707="Vergoeding"),SUM(P1707)*FLOOR(SUM(R1707),0.0001),AND(P1707&lt;&gt;"",R1707&lt;&gt;"",RIGHT($N1707,6)="tarief"),P1707*FLOOR(R1707,0.01),T1707&gt;0,FLOOR(SUM(T1707),0.01)),""),""),"")</f>
        <v/>
      </c>
      <c r="Y1707" s="314" t="str">
        <f t="shared" ca="1" si="106"/>
        <v/>
      </c>
      <c r="Z1707" s="314" t="str" cm="1">
        <f t="array" aca="1" ref="Z1707" ca="1">IFERROR(_xlfn.IFS(OR(F1707="",LEFT(Methode_Keuze,4)="Geen",Methode_Keuze=""),"",AND(W1707&lt;&gt;"",F1707&lt;&gt;"Arbeidskosten"),W1707*VLOOKUP(F1707,Tb_ProjectKosten[],MATCH(Tb_ProjectKosten[[#Headers],[Forfait_Percentage]],Tb_ProjectKosten[#Headers],0),0),AND(F1707="Arbeidskosten",G1707&lt;&gt;""),IFERROR(W1707*VLOOKUP(G1707,Tb_KostenTypen[],3,0)*VLOOKUP(F1707,Tb_ProjectKosten[],MATCH(Tb_ProjectKosten[[#Headers],[Forfait_Percentage]],Tb_ProjectKosten[#Headers],0),0),""),W1707 &lt;=0,0),"")</f>
        <v/>
      </c>
      <c r="AA1707" s="314" t="str" cm="1">
        <f t="array" aca="1" ref="AA1707" ca="1">IFERROR(_xlfn.IFS(OR(F1707="",LEFT(Methode_Keuze,4)="Geen",Methode_Keuze=""),"",AND(X1707&lt;&gt;"",F1707&lt;&gt;"Arbeidskosten"),X1707*VLOOKUP(F1707,Tb_ProjectKosten[],MATCH(Tb_ProjectKosten[[#Headers],[Forfait_Percentage]],Tb_ProjectKosten[#Headers],0),0),AND(F1707="Arbeidskosten",G1707&lt;&gt;""),IFERROR(X1707*VLOOKUP(G1707,Tb_KostenTypen[],3,0)*VLOOKUP(F1707,Tb_ProjectKosten[],MATCH(Tb_ProjectKosten[[#Headers],[Forfait_Percentage]],Tb_ProjectKosten[#Headers],0),0),""),X1707 &lt;=0,0),"")</f>
        <v/>
      </c>
      <c r="AB1707" s="314" t="str">
        <f t="shared" ca="1" si="107"/>
        <v/>
      </c>
      <c r="AC1707" s="322"/>
      <c r="AD1707" s="315"/>
      <c r="AE1707" s="32" t="str" cm="1">
        <f t="array" ref="AE1707">IFERROR(IF(INDEX(SubsidieTabel!$AD$1:$AG$12,MATCH($F1707,SubsidieTabel!$AD$1:$AD$12,0),IFERROR(MATCH(Methode_Keuze,SubsidieTabel!$AD$1:$AG$1,0),2))&lt;&gt;1=TRUE,"ja",""),"")</f>
        <v/>
      </c>
    </row>
    <row r="1708" spans="1:31" x14ac:dyDescent="0.25">
      <c r="A1708" s="316"/>
      <c r="B1708" s="317" t="str">
        <f>IF(A1708&lt;&gt;"",_xlfn.MAXIFS($B$1:B1707,$A$1:A1707,A1708)+1,"")</f>
        <v/>
      </c>
      <c r="C1708" s="296"/>
      <c r="D1708" s="296"/>
      <c r="E1708" s="296"/>
      <c r="F1708" s="296"/>
      <c r="G1708" s="326"/>
      <c r="H1708" s="324"/>
      <c r="I1708" s="325"/>
      <c r="J1708" s="325"/>
      <c r="K1708" s="318"/>
      <c r="L1708" s="318"/>
      <c r="M1708" s="319" t="str">
        <f>IFERROR(VLOOKUP(H1708,Lijsten!$H$1:$I$100,2,0),"")</f>
        <v/>
      </c>
      <c r="N1708" s="319" t="str">
        <f ca="1">IFERROR(IF(VLOOKUP(F1708,Kostentypen!$A$3:$E$21,3,0)=0,"",IF(OR(F1708="Arbeidskosten",F1708="Vergoeding"),VLOOKUP(G1708,Tb_KostenTypen[],2,0),VLOOKUP(F1708,Kostentypen!$A$3:$E$20,3,0))),"")</f>
        <v/>
      </c>
      <c r="O1708" s="320" t="str" cm="1">
        <f t="array" ref="O1708">_xlfn.IFNA(IF(INDEX(Tb_KostenOptiesDB[],MATCH($F1708,Tb_KostenOptiesDB[KostenOptie],0),IFERROR(MATCH(Methode_Keuze,Tb_KostenOptiesDB[#Headers],0),2))=1,_xlfn.SWITCH($N1708,"Uurtarief",IF(OR(AND(RIGHT($F1708,3)="IKS",VLOOKUP($M1708,DB_Loonkosten,2,0)="Ja"),AND(RIGHT($F1708,3)&lt;&gt;"IKS",VLOOKUP($M1708,DB_Loonkosten,2,0)="Nee")),IFERROR(VLOOKUP($M1708,DB_Loonkosten,24,0),""),0),"Vast tarief",IF(LEFT(F1708,8)="Bijdrage",VLOOKUP($F1708,Tb_KostenTypen[],MATCH(Lijsten!$P$1,Tb_KostenTypen[#Headers],0),0),VLOOKUP($G1708,Lijsten!L:P,MATCH(Lijsten!$P$1,Kop_Tarief_Vast,0),0))),""),"")</f>
        <v/>
      </c>
      <c r="P1708" s="320" t="str" cm="1">
        <f t="array" ref="P1708">_xlfn.IFNA(IF(INDEX(Tb_KostenOptiesDB[],MATCH($F1708,Tb_KostenOptiesDB[KostenOptie],0),IFERROR(MATCH(Methode_Keuze,Tb_KostenOptiesDB[#Headers],0),2))=1,_xlfn.SWITCH($N1708,"Uurtarief",IF(OR(AND(RIGHT($F1708,3)="IKS",VLOOKUP($M1708,DB_Loonkosten,2,0)="Ja"),AND(RIGHT($F1708,3)&lt;&gt;"IKS",VLOOKUP($M1708,DB_Loonkosten,2,0)="Nee")),IFERROR(VLOOKUP($M1708,DB_Loonkosten,25,0),""),0),"Vast tarief",IF(LEFT(F1708,8)="Bijdrage",VLOOKUP($F1708,Tb_KostenTypen[],MATCH(Lijsten!$P$1,Tb_KostenTypen[#Headers],0),0),VLOOKUP($G1708,Lijsten!L:P,MATCH(Lijsten!$P$1,Kop_Tarief_Vast,0),0))),""),"")</f>
        <v/>
      </c>
      <c r="Q1708" s="359"/>
      <c r="R1708" s="359"/>
      <c r="S1708" s="321"/>
      <c r="T1708" s="321"/>
      <c r="U1708" s="373" t="str">
        <f t="shared" si="104"/>
        <v/>
      </c>
      <c r="V1708" s="314" t="str">
        <f t="shared" si="105"/>
        <v/>
      </c>
      <c r="W1708" s="314" t="str" cm="1">
        <f t="array" aca="1" ref="W1708" ca="1">IFERROR(IF(AE1708&lt;&gt;"ja",_xlfn.IFNA(_xlfn.IFS(AND(O1708&lt;&gt;"",F1708&lt;&gt;"",RIGHT($N1708,6)="tarief",F1708="Vergoeding"),SUM(O1708)*FLOOR(SUM(Q1708),0.0001),AND(O1708&lt;&gt;"",F1708&lt;&gt;"",RIGHT($N1708,6)="tarief"),SUM(O1708)*FLOOR(SUM(Q1708),0.01),S1708&gt;0,IF(F1708&lt;&gt;"",FLOOR(SUM(S1708),0.01),"")),""),""),"")</f>
        <v/>
      </c>
      <c r="X1708" s="314" t="str" cm="1">
        <f t="array" aca="1" ref="X1708" ca="1">IFERROR(IF(AE1708&lt;&gt;"ja",_xlfn.IFNA(_xlfn.IFS(AND(P1708&lt;&gt;"",R1708&lt;&gt;"",RIGHT($N1708,6)="tarief",F1708="Vergoeding"),SUM(P1708)*FLOOR(SUM(R1708),0.0001),AND(P1708&lt;&gt;"",R1708&lt;&gt;"",RIGHT($N1708,6)="tarief"),P1708*FLOOR(R1708,0.01),T1708&gt;0,FLOOR(SUM(T1708),0.01)),""),""),"")</f>
        <v/>
      </c>
      <c r="Y1708" s="314" t="str">
        <f t="shared" ca="1" si="106"/>
        <v/>
      </c>
      <c r="Z1708" s="314" t="str" cm="1">
        <f t="array" aca="1" ref="Z1708" ca="1">IFERROR(_xlfn.IFS(OR(F1708="",LEFT(Methode_Keuze,4)="Geen",Methode_Keuze=""),"",AND(W1708&lt;&gt;"",F1708&lt;&gt;"Arbeidskosten"),W1708*VLOOKUP(F1708,Tb_ProjectKosten[],MATCH(Tb_ProjectKosten[[#Headers],[Forfait_Percentage]],Tb_ProjectKosten[#Headers],0),0),AND(F1708="Arbeidskosten",G1708&lt;&gt;""),IFERROR(W1708*VLOOKUP(G1708,Tb_KostenTypen[],3,0)*VLOOKUP(F1708,Tb_ProjectKosten[],MATCH(Tb_ProjectKosten[[#Headers],[Forfait_Percentage]],Tb_ProjectKosten[#Headers],0),0),""),W1708 &lt;=0,0),"")</f>
        <v/>
      </c>
      <c r="AA1708" s="314" t="str" cm="1">
        <f t="array" aca="1" ref="AA1708" ca="1">IFERROR(_xlfn.IFS(OR(F1708="",LEFT(Methode_Keuze,4)="Geen",Methode_Keuze=""),"",AND(X1708&lt;&gt;"",F1708&lt;&gt;"Arbeidskosten"),X1708*VLOOKUP(F1708,Tb_ProjectKosten[],MATCH(Tb_ProjectKosten[[#Headers],[Forfait_Percentage]],Tb_ProjectKosten[#Headers],0),0),AND(F1708="Arbeidskosten",G1708&lt;&gt;""),IFERROR(X1708*VLOOKUP(G1708,Tb_KostenTypen[],3,0)*VLOOKUP(F1708,Tb_ProjectKosten[],MATCH(Tb_ProjectKosten[[#Headers],[Forfait_Percentage]],Tb_ProjectKosten[#Headers],0),0),""),X1708 &lt;=0,0),"")</f>
        <v/>
      </c>
      <c r="AB1708" s="314" t="str">
        <f t="shared" ca="1" si="107"/>
        <v/>
      </c>
      <c r="AC1708" s="322"/>
      <c r="AD1708" s="315"/>
      <c r="AE1708" s="32" t="str" cm="1">
        <f t="array" ref="AE1708">IFERROR(IF(INDEX(SubsidieTabel!$AD$1:$AG$12,MATCH($F1708,SubsidieTabel!$AD$1:$AD$12,0),IFERROR(MATCH(Methode_Keuze,SubsidieTabel!$AD$1:$AG$1,0),2))&lt;&gt;1=TRUE,"ja",""),"")</f>
        <v/>
      </c>
    </row>
    <row r="1709" spans="1:31" x14ac:dyDescent="0.25">
      <c r="A1709" s="316"/>
      <c r="B1709" s="317" t="str">
        <f>IF(A1709&lt;&gt;"",_xlfn.MAXIFS($B$1:B1708,$A$1:A1708,A1709)+1,"")</f>
        <v/>
      </c>
      <c r="C1709" s="296"/>
      <c r="D1709" s="296"/>
      <c r="E1709" s="296"/>
      <c r="F1709" s="296"/>
      <c r="G1709" s="326"/>
      <c r="H1709" s="324"/>
      <c r="I1709" s="325"/>
      <c r="J1709" s="325"/>
      <c r="K1709" s="318"/>
      <c r="L1709" s="318"/>
      <c r="M1709" s="319" t="str">
        <f>IFERROR(VLOOKUP(H1709,Lijsten!$H$1:$I$100,2,0),"")</f>
        <v/>
      </c>
      <c r="N1709" s="319" t="str">
        <f ca="1">IFERROR(IF(VLOOKUP(F1709,Kostentypen!$A$3:$E$21,3,0)=0,"",IF(OR(F1709="Arbeidskosten",F1709="Vergoeding"),VLOOKUP(G1709,Tb_KostenTypen[],2,0),VLOOKUP(F1709,Kostentypen!$A$3:$E$20,3,0))),"")</f>
        <v/>
      </c>
      <c r="O1709" s="320" t="str" cm="1">
        <f t="array" ref="O1709">_xlfn.IFNA(IF(INDEX(Tb_KostenOptiesDB[],MATCH($F1709,Tb_KostenOptiesDB[KostenOptie],0),IFERROR(MATCH(Methode_Keuze,Tb_KostenOptiesDB[#Headers],0),2))=1,_xlfn.SWITCH($N1709,"Uurtarief",IF(OR(AND(RIGHT($F1709,3)="IKS",VLOOKUP($M1709,DB_Loonkosten,2,0)="Ja"),AND(RIGHT($F1709,3)&lt;&gt;"IKS",VLOOKUP($M1709,DB_Loonkosten,2,0)="Nee")),IFERROR(VLOOKUP($M1709,DB_Loonkosten,24,0),""),0),"Vast tarief",IF(LEFT(F1709,8)="Bijdrage",VLOOKUP($F1709,Tb_KostenTypen[],MATCH(Lijsten!$P$1,Tb_KostenTypen[#Headers],0),0),VLOOKUP($G1709,Lijsten!L:P,MATCH(Lijsten!$P$1,Kop_Tarief_Vast,0),0))),""),"")</f>
        <v/>
      </c>
      <c r="P1709" s="320" t="str" cm="1">
        <f t="array" ref="P1709">_xlfn.IFNA(IF(INDEX(Tb_KostenOptiesDB[],MATCH($F1709,Tb_KostenOptiesDB[KostenOptie],0),IFERROR(MATCH(Methode_Keuze,Tb_KostenOptiesDB[#Headers],0),2))=1,_xlfn.SWITCH($N1709,"Uurtarief",IF(OR(AND(RIGHT($F1709,3)="IKS",VLOOKUP($M1709,DB_Loonkosten,2,0)="Ja"),AND(RIGHT($F1709,3)&lt;&gt;"IKS",VLOOKUP($M1709,DB_Loonkosten,2,0)="Nee")),IFERROR(VLOOKUP($M1709,DB_Loonkosten,25,0),""),0),"Vast tarief",IF(LEFT(F1709,8)="Bijdrage",VLOOKUP($F1709,Tb_KostenTypen[],MATCH(Lijsten!$P$1,Tb_KostenTypen[#Headers],0),0),VLOOKUP($G1709,Lijsten!L:P,MATCH(Lijsten!$P$1,Kop_Tarief_Vast,0),0))),""),"")</f>
        <v/>
      </c>
      <c r="Q1709" s="359"/>
      <c r="R1709" s="359"/>
      <c r="S1709" s="321"/>
      <c r="T1709" s="321"/>
      <c r="U1709" s="373" t="str">
        <f t="shared" si="104"/>
        <v/>
      </c>
      <c r="V1709" s="314" t="str">
        <f t="shared" si="105"/>
        <v/>
      </c>
      <c r="W1709" s="314" t="str" cm="1">
        <f t="array" aca="1" ref="W1709" ca="1">IFERROR(IF(AE1709&lt;&gt;"ja",_xlfn.IFNA(_xlfn.IFS(AND(O1709&lt;&gt;"",F1709&lt;&gt;"",RIGHT($N1709,6)="tarief",F1709="Vergoeding"),SUM(O1709)*FLOOR(SUM(Q1709),0.0001),AND(O1709&lt;&gt;"",F1709&lt;&gt;"",RIGHT($N1709,6)="tarief"),SUM(O1709)*FLOOR(SUM(Q1709),0.01),S1709&gt;0,IF(F1709&lt;&gt;"",FLOOR(SUM(S1709),0.01),"")),""),""),"")</f>
        <v/>
      </c>
      <c r="X1709" s="314" t="str" cm="1">
        <f t="array" aca="1" ref="X1709" ca="1">IFERROR(IF(AE1709&lt;&gt;"ja",_xlfn.IFNA(_xlfn.IFS(AND(P1709&lt;&gt;"",R1709&lt;&gt;"",RIGHT($N1709,6)="tarief",F1709="Vergoeding"),SUM(P1709)*FLOOR(SUM(R1709),0.0001),AND(P1709&lt;&gt;"",R1709&lt;&gt;"",RIGHT($N1709,6)="tarief"),P1709*FLOOR(R1709,0.01),T1709&gt;0,FLOOR(SUM(T1709),0.01)),""),""),"")</f>
        <v/>
      </c>
      <c r="Y1709" s="314" t="str">
        <f t="shared" ca="1" si="106"/>
        <v/>
      </c>
      <c r="Z1709" s="314" t="str" cm="1">
        <f t="array" aca="1" ref="Z1709" ca="1">IFERROR(_xlfn.IFS(OR(F1709="",LEFT(Methode_Keuze,4)="Geen",Methode_Keuze=""),"",AND(W1709&lt;&gt;"",F1709&lt;&gt;"Arbeidskosten"),W1709*VLOOKUP(F1709,Tb_ProjectKosten[],MATCH(Tb_ProjectKosten[[#Headers],[Forfait_Percentage]],Tb_ProjectKosten[#Headers],0),0),AND(F1709="Arbeidskosten",G1709&lt;&gt;""),IFERROR(W1709*VLOOKUP(G1709,Tb_KostenTypen[],3,0)*VLOOKUP(F1709,Tb_ProjectKosten[],MATCH(Tb_ProjectKosten[[#Headers],[Forfait_Percentage]],Tb_ProjectKosten[#Headers],0),0),""),W1709 &lt;=0,0),"")</f>
        <v/>
      </c>
      <c r="AA1709" s="314" t="str" cm="1">
        <f t="array" aca="1" ref="AA1709" ca="1">IFERROR(_xlfn.IFS(OR(F1709="",LEFT(Methode_Keuze,4)="Geen",Methode_Keuze=""),"",AND(X1709&lt;&gt;"",F1709&lt;&gt;"Arbeidskosten"),X1709*VLOOKUP(F1709,Tb_ProjectKosten[],MATCH(Tb_ProjectKosten[[#Headers],[Forfait_Percentage]],Tb_ProjectKosten[#Headers],0),0),AND(F1709="Arbeidskosten",G1709&lt;&gt;""),IFERROR(X1709*VLOOKUP(G1709,Tb_KostenTypen[],3,0)*VLOOKUP(F1709,Tb_ProjectKosten[],MATCH(Tb_ProjectKosten[[#Headers],[Forfait_Percentage]],Tb_ProjectKosten[#Headers],0),0),""),X1709 &lt;=0,0),"")</f>
        <v/>
      </c>
      <c r="AB1709" s="314" t="str">
        <f t="shared" ca="1" si="107"/>
        <v/>
      </c>
      <c r="AC1709" s="322"/>
      <c r="AD1709" s="315"/>
      <c r="AE1709" s="32" t="str" cm="1">
        <f t="array" ref="AE1709">IFERROR(IF(INDEX(SubsidieTabel!$AD$1:$AG$12,MATCH($F1709,SubsidieTabel!$AD$1:$AD$12,0),IFERROR(MATCH(Methode_Keuze,SubsidieTabel!$AD$1:$AG$1,0),2))&lt;&gt;1=TRUE,"ja",""),"")</f>
        <v/>
      </c>
    </row>
    <row r="1710" spans="1:31" x14ac:dyDescent="0.25">
      <c r="A1710" s="316"/>
      <c r="B1710" s="317" t="str">
        <f>IF(A1710&lt;&gt;"",_xlfn.MAXIFS($B$1:B1709,$A$1:A1709,A1710)+1,"")</f>
        <v/>
      </c>
      <c r="C1710" s="296"/>
      <c r="D1710" s="296"/>
      <c r="E1710" s="296"/>
      <c r="F1710" s="296"/>
      <c r="G1710" s="326"/>
      <c r="H1710" s="324"/>
      <c r="I1710" s="325"/>
      <c r="J1710" s="325"/>
      <c r="K1710" s="318"/>
      <c r="L1710" s="318"/>
      <c r="M1710" s="319" t="str">
        <f>IFERROR(VLOOKUP(H1710,Lijsten!$H$1:$I$100,2,0),"")</f>
        <v/>
      </c>
      <c r="N1710" s="319" t="str">
        <f ca="1">IFERROR(IF(VLOOKUP(F1710,Kostentypen!$A$3:$E$21,3,0)=0,"",IF(OR(F1710="Arbeidskosten",F1710="Vergoeding"),VLOOKUP(G1710,Tb_KostenTypen[],2,0),VLOOKUP(F1710,Kostentypen!$A$3:$E$20,3,0))),"")</f>
        <v/>
      </c>
      <c r="O1710" s="320" t="str" cm="1">
        <f t="array" ref="O1710">_xlfn.IFNA(IF(INDEX(Tb_KostenOptiesDB[],MATCH($F1710,Tb_KostenOptiesDB[KostenOptie],0),IFERROR(MATCH(Methode_Keuze,Tb_KostenOptiesDB[#Headers],0),2))=1,_xlfn.SWITCH($N1710,"Uurtarief",IF(OR(AND(RIGHT($F1710,3)="IKS",VLOOKUP($M1710,DB_Loonkosten,2,0)="Ja"),AND(RIGHT($F1710,3)&lt;&gt;"IKS",VLOOKUP($M1710,DB_Loonkosten,2,0)="Nee")),IFERROR(VLOOKUP($M1710,DB_Loonkosten,24,0),""),0),"Vast tarief",IF(LEFT(F1710,8)="Bijdrage",VLOOKUP($F1710,Tb_KostenTypen[],MATCH(Lijsten!$P$1,Tb_KostenTypen[#Headers],0),0),VLOOKUP($G1710,Lijsten!L:P,MATCH(Lijsten!$P$1,Kop_Tarief_Vast,0),0))),""),"")</f>
        <v/>
      </c>
      <c r="P1710" s="320" t="str" cm="1">
        <f t="array" ref="P1710">_xlfn.IFNA(IF(INDEX(Tb_KostenOptiesDB[],MATCH($F1710,Tb_KostenOptiesDB[KostenOptie],0),IFERROR(MATCH(Methode_Keuze,Tb_KostenOptiesDB[#Headers],0),2))=1,_xlfn.SWITCH($N1710,"Uurtarief",IF(OR(AND(RIGHT($F1710,3)="IKS",VLOOKUP($M1710,DB_Loonkosten,2,0)="Ja"),AND(RIGHT($F1710,3)&lt;&gt;"IKS",VLOOKUP($M1710,DB_Loonkosten,2,0)="Nee")),IFERROR(VLOOKUP($M1710,DB_Loonkosten,25,0),""),0),"Vast tarief",IF(LEFT(F1710,8)="Bijdrage",VLOOKUP($F1710,Tb_KostenTypen[],MATCH(Lijsten!$P$1,Tb_KostenTypen[#Headers],0),0),VLOOKUP($G1710,Lijsten!L:P,MATCH(Lijsten!$P$1,Kop_Tarief_Vast,0),0))),""),"")</f>
        <v/>
      </c>
      <c r="Q1710" s="359"/>
      <c r="R1710" s="359"/>
      <c r="S1710" s="321"/>
      <c r="T1710" s="321"/>
      <c r="U1710" s="373" t="str">
        <f t="shared" si="104"/>
        <v/>
      </c>
      <c r="V1710" s="314" t="str">
        <f t="shared" si="105"/>
        <v/>
      </c>
      <c r="W1710" s="314" t="str" cm="1">
        <f t="array" aca="1" ref="W1710" ca="1">IFERROR(IF(AE1710&lt;&gt;"ja",_xlfn.IFNA(_xlfn.IFS(AND(O1710&lt;&gt;"",F1710&lt;&gt;"",RIGHT($N1710,6)="tarief",F1710="Vergoeding"),SUM(O1710)*FLOOR(SUM(Q1710),0.0001),AND(O1710&lt;&gt;"",F1710&lt;&gt;"",RIGHT($N1710,6)="tarief"),SUM(O1710)*FLOOR(SUM(Q1710),0.01),S1710&gt;0,IF(F1710&lt;&gt;"",FLOOR(SUM(S1710),0.01),"")),""),""),"")</f>
        <v/>
      </c>
      <c r="X1710" s="314" t="str" cm="1">
        <f t="array" aca="1" ref="X1710" ca="1">IFERROR(IF(AE1710&lt;&gt;"ja",_xlfn.IFNA(_xlfn.IFS(AND(P1710&lt;&gt;"",R1710&lt;&gt;"",RIGHT($N1710,6)="tarief",F1710="Vergoeding"),SUM(P1710)*FLOOR(SUM(R1710),0.0001),AND(P1710&lt;&gt;"",R1710&lt;&gt;"",RIGHT($N1710,6)="tarief"),P1710*FLOOR(R1710,0.01),T1710&gt;0,FLOOR(SUM(T1710),0.01)),""),""),"")</f>
        <v/>
      </c>
      <c r="Y1710" s="314" t="str">
        <f t="shared" ca="1" si="106"/>
        <v/>
      </c>
      <c r="Z1710" s="314" t="str" cm="1">
        <f t="array" aca="1" ref="Z1710" ca="1">IFERROR(_xlfn.IFS(OR(F1710="",LEFT(Methode_Keuze,4)="Geen",Methode_Keuze=""),"",AND(W1710&lt;&gt;"",F1710&lt;&gt;"Arbeidskosten"),W1710*VLOOKUP(F1710,Tb_ProjectKosten[],MATCH(Tb_ProjectKosten[[#Headers],[Forfait_Percentage]],Tb_ProjectKosten[#Headers],0),0),AND(F1710="Arbeidskosten",G1710&lt;&gt;""),IFERROR(W1710*VLOOKUP(G1710,Tb_KostenTypen[],3,0)*VLOOKUP(F1710,Tb_ProjectKosten[],MATCH(Tb_ProjectKosten[[#Headers],[Forfait_Percentage]],Tb_ProjectKosten[#Headers],0),0),""),W1710 &lt;=0,0),"")</f>
        <v/>
      </c>
      <c r="AA1710" s="314" t="str" cm="1">
        <f t="array" aca="1" ref="AA1710" ca="1">IFERROR(_xlfn.IFS(OR(F1710="",LEFT(Methode_Keuze,4)="Geen",Methode_Keuze=""),"",AND(X1710&lt;&gt;"",F1710&lt;&gt;"Arbeidskosten"),X1710*VLOOKUP(F1710,Tb_ProjectKosten[],MATCH(Tb_ProjectKosten[[#Headers],[Forfait_Percentage]],Tb_ProjectKosten[#Headers],0),0),AND(F1710="Arbeidskosten",G1710&lt;&gt;""),IFERROR(X1710*VLOOKUP(G1710,Tb_KostenTypen[],3,0)*VLOOKUP(F1710,Tb_ProjectKosten[],MATCH(Tb_ProjectKosten[[#Headers],[Forfait_Percentage]],Tb_ProjectKosten[#Headers],0),0),""),X1710 &lt;=0,0),"")</f>
        <v/>
      </c>
      <c r="AB1710" s="314" t="str">
        <f t="shared" ca="1" si="107"/>
        <v/>
      </c>
      <c r="AC1710" s="322"/>
      <c r="AD1710" s="315"/>
      <c r="AE1710" s="32" t="str" cm="1">
        <f t="array" ref="AE1710">IFERROR(IF(INDEX(SubsidieTabel!$AD$1:$AG$12,MATCH($F1710,SubsidieTabel!$AD$1:$AD$12,0),IFERROR(MATCH(Methode_Keuze,SubsidieTabel!$AD$1:$AG$1,0),2))&lt;&gt;1=TRUE,"ja",""),"")</f>
        <v/>
      </c>
    </row>
    <row r="1711" spans="1:31" x14ac:dyDescent="0.25">
      <c r="A1711" s="316"/>
      <c r="B1711" s="317" t="str">
        <f>IF(A1711&lt;&gt;"",_xlfn.MAXIFS($B$1:B1710,$A$1:A1710,A1711)+1,"")</f>
        <v/>
      </c>
      <c r="C1711" s="296"/>
      <c r="D1711" s="296"/>
      <c r="E1711" s="296"/>
      <c r="F1711" s="296"/>
      <c r="G1711" s="326"/>
      <c r="H1711" s="324"/>
      <c r="I1711" s="325"/>
      <c r="J1711" s="325"/>
      <c r="K1711" s="318"/>
      <c r="L1711" s="318"/>
      <c r="M1711" s="319" t="str">
        <f>IFERROR(VLOOKUP(H1711,Lijsten!$H$1:$I$100,2,0),"")</f>
        <v/>
      </c>
      <c r="N1711" s="319" t="str">
        <f ca="1">IFERROR(IF(VLOOKUP(F1711,Kostentypen!$A$3:$E$21,3,0)=0,"",IF(OR(F1711="Arbeidskosten",F1711="Vergoeding"),VLOOKUP(G1711,Tb_KostenTypen[],2,0),VLOOKUP(F1711,Kostentypen!$A$3:$E$20,3,0))),"")</f>
        <v/>
      </c>
      <c r="O1711" s="320" t="str" cm="1">
        <f t="array" ref="O1711">_xlfn.IFNA(IF(INDEX(Tb_KostenOptiesDB[],MATCH($F1711,Tb_KostenOptiesDB[KostenOptie],0),IFERROR(MATCH(Methode_Keuze,Tb_KostenOptiesDB[#Headers],0),2))=1,_xlfn.SWITCH($N1711,"Uurtarief",IF(OR(AND(RIGHT($F1711,3)="IKS",VLOOKUP($M1711,DB_Loonkosten,2,0)="Ja"),AND(RIGHT($F1711,3)&lt;&gt;"IKS",VLOOKUP($M1711,DB_Loonkosten,2,0)="Nee")),IFERROR(VLOOKUP($M1711,DB_Loonkosten,24,0),""),0),"Vast tarief",IF(LEFT(F1711,8)="Bijdrage",VLOOKUP($F1711,Tb_KostenTypen[],MATCH(Lijsten!$P$1,Tb_KostenTypen[#Headers],0),0),VLOOKUP($G1711,Lijsten!L:P,MATCH(Lijsten!$P$1,Kop_Tarief_Vast,0),0))),""),"")</f>
        <v/>
      </c>
      <c r="P1711" s="320" t="str" cm="1">
        <f t="array" ref="P1711">_xlfn.IFNA(IF(INDEX(Tb_KostenOptiesDB[],MATCH($F1711,Tb_KostenOptiesDB[KostenOptie],0),IFERROR(MATCH(Methode_Keuze,Tb_KostenOptiesDB[#Headers],0),2))=1,_xlfn.SWITCH($N1711,"Uurtarief",IF(OR(AND(RIGHT($F1711,3)="IKS",VLOOKUP($M1711,DB_Loonkosten,2,0)="Ja"),AND(RIGHT($F1711,3)&lt;&gt;"IKS",VLOOKUP($M1711,DB_Loonkosten,2,0)="Nee")),IFERROR(VLOOKUP($M1711,DB_Loonkosten,25,0),""),0),"Vast tarief",IF(LEFT(F1711,8)="Bijdrage",VLOOKUP($F1711,Tb_KostenTypen[],MATCH(Lijsten!$P$1,Tb_KostenTypen[#Headers],0),0),VLOOKUP($G1711,Lijsten!L:P,MATCH(Lijsten!$P$1,Kop_Tarief_Vast,0),0))),""),"")</f>
        <v/>
      </c>
      <c r="Q1711" s="359"/>
      <c r="R1711" s="359"/>
      <c r="S1711" s="321"/>
      <c r="T1711" s="321"/>
      <c r="U1711" s="373" t="str">
        <f t="shared" si="104"/>
        <v/>
      </c>
      <c r="V1711" s="314" t="str">
        <f t="shared" si="105"/>
        <v/>
      </c>
      <c r="W1711" s="314" t="str" cm="1">
        <f t="array" aca="1" ref="W1711" ca="1">IFERROR(IF(AE1711&lt;&gt;"ja",_xlfn.IFNA(_xlfn.IFS(AND(O1711&lt;&gt;"",F1711&lt;&gt;"",RIGHT($N1711,6)="tarief",F1711="Vergoeding"),SUM(O1711)*FLOOR(SUM(Q1711),0.0001),AND(O1711&lt;&gt;"",F1711&lt;&gt;"",RIGHT($N1711,6)="tarief"),SUM(O1711)*FLOOR(SUM(Q1711),0.01),S1711&gt;0,IF(F1711&lt;&gt;"",FLOOR(SUM(S1711),0.01),"")),""),""),"")</f>
        <v/>
      </c>
      <c r="X1711" s="314" t="str" cm="1">
        <f t="array" aca="1" ref="X1711" ca="1">IFERROR(IF(AE1711&lt;&gt;"ja",_xlfn.IFNA(_xlfn.IFS(AND(P1711&lt;&gt;"",R1711&lt;&gt;"",RIGHT($N1711,6)="tarief",F1711="Vergoeding"),SUM(P1711)*FLOOR(SUM(R1711),0.0001),AND(P1711&lt;&gt;"",R1711&lt;&gt;"",RIGHT($N1711,6)="tarief"),P1711*FLOOR(R1711,0.01),T1711&gt;0,FLOOR(SUM(T1711),0.01)),""),""),"")</f>
        <v/>
      </c>
      <c r="Y1711" s="314" t="str">
        <f t="shared" ca="1" si="106"/>
        <v/>
      </c>
      <c r="Z1711" s="314" t="str" cm="1">
        <f t="array" aca="1" ref="Z1711" ca="1">IFERROR(_xlfn.IFS(OR(F1711="",LEFT(Methode_Keuze,4)="Geen",Methode_Keuze=""),"",AND(W1711&lt;&gt;"",F1711&lt;&gt;"Arbeidskosten"),W1711*VLOOKUP(F1711,Tb_ProjectKosten[],MATCH(Tb_ProjectKosten[[#Headers],[Forfait_Percentage]],Tb_ProjectKosten[#Headers],0),0),AND(F1711="Arbeidskosten",G1711&lt;&gt;""),IFERROR(W1711*VLOOKUP(G1711,Tb_KostenTypen[],3,0)*VLOOKUP(F1711,Tb_ProjectKosten[],MATCH(Tb_ProjectKosten[[#Headers],[Forfait_Percentage]],Tb_ProjectKosten[#Headers],0),0),""),W1711 &lt;=0,0),"")</f>
        <v/>
      </c>
      <c r="AA1711" s="314" t="str" cm="1">
        <f t="array" aca="1" ref="AA1711" ca="1">IFERROR(_xlfn.IFS(OR(F1711="",LEFT(Methode_Keuze,4)="Geen",Methode_Keuze=""),"",AND(X1711&lt;&gt;"",F1711&lt;&gt;"Arbeidskosten"),X1711*VLOOKUP(F1711,Tb_ProjectKosten[],MATCH(Tb_ProjectKosten[[#Headers],[Forfait_Percentage]],Tb_ProjectKosten[#Headers],0),0),AND(F1711="Arbeidskosten",G1711&lt;&gt;""),IFERROR(X1711*VLOOKUP(G1711,Tb_KostenTypen[],3,0)*VLOOKUP(F1711,Tb_ProjectKosten[],MATCH(Tb_ProjectKosten[[#Headers],[Forfait_Percentage]],Tb_ProjectKosten[#Headers],0),0),""),X1711 &lt;=0,0),"")</f>
        <v/>
      </c>
      <c r="AB1711" s="314" t="str">
        <f t="shared" ca="1" si="107"/>
        <v/>
      </c>
      <c r="AC1711" s="322"/>
      <c r="AD1711" s="315"/>
      <c r="AE1711" s="32" t="str" cm="1">
        <f t="array" ref="AE1711">IFERROR(IF(INDEX(SubsidieTabel!$AD$1:$AG$12,MATCH($F1711,SubsidieTabel!$AD$1:$AD$12,0),IFERROR(MATCH(Methode_Keuze,SubsidieTabel!$AD$1:$AG$1,0),2))&lt;&gt;1=TRUE,"ja",""),"")</f>
        <v/>
      </c>
    </row>
    <row r="1712" spans="1:31" x14ac:dyDescent="0.25">
      <c r="A1712" s="316"/>
      <c r="B1712" s="317" t="str">
        <f>IF(A1712&lt;&gt;"",_xlfn.MAXIFS($B$1:B1711,$A$1:A1711,A1712)+1,"")</f>
        <v/>
      </c>
      <c r="C1712" s="296"/>
      <c r="D1712" s="296"/>
      <c r="E1712" s="296"/>
      <c r="F1712" s="296"/>
      <c r="G1712" s="326"/>
      <c r="H1712" s="324"/>
      <c r="I1712" s="325"/>
      <c r="J1712" s="325"/>
      <c r="K1712" s="318"/>
      <c r="L1712" s="318"/>
      <c r="M1712" s="319" t="str">
        <f>IFERROR(VLOOKUP(H1712,Lijsten!$H$1:$I$100,2,0),"")</f>
        <v/>
      </c>
      <c r="N1712" s="319" t="str">
        <f ca="1">IFERROR(IF(VLOOKUP(F1712,Kostentypen!$A$3:$E$21,3,0)=0,"",IF(OR(F1712="Arbeidskosten",F1712="Vergoeding"),VLOOKUP(G1712,Tb_KostenTypen[],2,0),VLOOKUP(F1712,Kostentypen!$A$3:$E$20,3,0))),"")</f>
        <v/>
      </c>
      <c r="O1712" s="320" t="str" cm="1">
        <f t="array" ref="O1712">_xlfn.IFNA(IF(INDEX(Tb_KostenOptiesDB[],MATCH($F1712,Tb_KostenOptiesDB[KostenOptie],0),IFERROR(MATCH(Methode_Keuze,Tb_KostenOptiesDB[#Headers],0),2))=1,_xlfn.SWITCH($N1712,"Uurtarief",IF(OR(AND(RIGHT($F1712,3)="IKS",VLOOKUP($M1712,DB_Loonkosten,2,0)="Ja"),AND(RIGHT($F1712,3)&lt;&gt;"IKS",VLOOKUP($M1712,DB_Loonkosten,2,0)="Nee")),IFERROR(VLOOKUP($M1712,DB_Loonkosten,24,0),""),0),"Vast tarief",IF(LEFT(F1712,8)="Bijdrage",VLOOKUP($F1712,Tb_KostenTypen[],MATCH(Lijsten!$P$1,Tb_KostenTypen[#Headers],0),0),VLOOKUP($G1712,Lijsten!L:P,MATCH(Lijsten!$P$1,Kop_Tarief_Vast,0),0))),""),"")</f>
        <v/>
      </c>
      <c r="P1712" s="320" t="str" cm="1">
        <f t="array" ref="P1712">_xlfn.IFNA(IF(INDEX(Tb_KostenOptiesDB[],MATCH($F1712,Tb_KostenOptiesDB[KostenOptie],0),IFERROR(MATCH(Methode_Keuze,Tb_KostenOptiesDB[#Headers],0),2))=1,_xlfn.SWITCH($N1712,"Uurtarief",IF(OR(AND(RIGHT($F1712,3)="IKS",VLOOKUP($M1712,DB_Loonkosten,2,0)="Ja"),AND(RIGHT($F1712,3)&lt;&gt;"IKS",VLOOKUP($M1712,DB_Loonkosten,2,0)="Nee")),IFERROR(VLOOKUP($M1712,DB_Loonkosten,25,0),""),0),"Vast tarief",IF(LEFT(F1712,8)="Bijdrage",VLOOKUP($F1712,Tb_KostenTypen[],MATCH(Lijsten!$P$1,Tb_KostenTypen[#Headers],0),0),VLOOKUP($G1712,Lijsten!L:P,MATCH(Lijsten!$P$1,Kop_Tarief_Vast,0),0))),""),"")</f>
        <v/>
      </c>
      <c r="Q1712" s="359"/>
      <c r="R1712" s="359"/>
      <c r="S1712" s="321"/>
      <c r="T1712" s="321"/>
      <c r="U1712" s="373" t="str">
        <f t="shared" si="104"/>
        <v/>
      </c>
      <c r="V1712" s="314" t="str">
        <f t="shared" si="105"/>
        <v/>
      </c>
      <c r="W1712" s="314" t="str" cm="1">
        <f t="array" aca="1" ref="W1712" ca="1">IFERROR(IF(AE1712&lt;&gt;"ja",_xlfn.IFNA(_xlfn.IFS(AND(O1712&lt;&gt;"",F1712&lt;&gt;"",RIGHT($N1712,6)="tarief",F1712="Vergoeding"),SUM(O1712)*FLOOR(SUM(Q1712),0.0001),AND(O1712&lt;&gt;"",F1712&lt;&gt;"",RIGHT($N1712,6)="tarief"),SUM(O1712)*FLOOR(SUM(Q1712),0.01),S1712&gt;0,IF(F1712&lt;&gt;"",FLOOR(SUM(S1712),0.01),"")),""),""),"")</f>
        <v/>
      </c>
      <c r="X1712" s="314" t="str" cm="1">
        <f t="array" aca="1" ref="X1712" ca="1">IFERROR(IF(AE1712&lt;&gt;"ja",_xlfn.IFNA(_xlfn.IFS(AND(P1712&lt;&gt;"",R1712&lt;&gt;"",RIGHT($N1712,6)="tarief",F1712="Vergoeding"),SUM(P1712)*FLOOR(SUM(R1712),0.0001),AND(P1712&lt;&gt;"",R1712&lt;&gt;"",RIGHT($N1712,6)="tarief"),P1712*FLOOR(R1712,0.01),T1712&gt;0,FLOOR(SUM(T1712),0.01)),""),""),"")</f>
        <v/>
      </c>
      <c r="Y1712" s="314" t="str">
        <f t="shared" ca="1" si="106"/>
        <v/>
      </c>
      <c r="Z1712" s="314" t="str" cm="1">
        <f t="array" aca="1" ref="Z1712" ca="1">IFERROR(_xlfn.IFS(OR(F1712="",LEFT(Methode_Keuze,4)="Geen",Methode_Keuze=""),"",AND(W1712&lt;&gt;"",F1712&lt;&gt;"Arbeidskosten"),W1712*VLOOKUP(F1712,Tb_ProjectKosten[],MATCH(Tb_ProjectKosten[[#Headers],[Forfait_Percentage]],Tb_ProjectKosten[#Headers],0),0),AND(F1712="Arbeidskosten",G1712&lt;&gt;""),IFERROR(W1712*VLOOKUP(G1712,Tb_KostenTypen[],3,0)*VLOOKUP(F1712,Tb_ProjectKosten[],MATCH(Tb_ProjectKosten[[#Headers],[Forfait_Percentage]],Tb_ProjectKosten[#Headers],0),0),""),W1712 &lt;=0,0),"")</f>
        <v/>
      </c>
      <c r="AA1712" s="314" t="str" cm="1">
        <f t="array" aca="1" ref="AA1712" ca="1">IFERROR(_xlfn.IFS(OR(F1712="",LEFT(Methode_Keuze,4)="Geen",Methode_Keuze=""),"",AND(X1712&lt;&gt;"",F1712&lt;&gt;"Arbeidskosten"),X1712*VLOOKUP(F1712,Tb_ProjectKosten[],MATCH(Tb_ProjectKosten[[#Headers],[Forfait_Percentage]],Tb_ProjectKosten[#Headers],0),0),AND(F1712="Arbeidskosten",G1712&lt;&gt;""),IFERROR(X1712*VLOOKUP(G1712,Tb_KostenTypen[],3,0)*VLOOKUP(F1712,Tb_ProjectKosten[],MATCH(Tb_ProjectKosten[[#Headers],[Forfait_Percentage]],Tb_ProjectKosten[#Headers],0),0),""),X1712 &lt;=0,0),"")</f>
        <v/>
      </c>
      <c r="AB1712" s="314" t="str">
        <f t="shared" ca="1" si="107"/>
        <v/>
      </c>
      <c r="AC1712" s="322"/>
      <c r="AD1712" s="315"/>
      <c r="AE1712" s="32" t="str" cm="1">
        <f t="array" ref="AE1712">IFERROR(IF(INDEX(SubsidieTabel!$AD$1:$AG$12,MATCH($F1712,SubsidieTabel!$AD$1:$AD$12,0),IFERROR(MATCH(Methode_Keuze,SubsidieTabel!$AD$1:$AG$1,0),2))&lt;&gt;1=TRUE,"ja",""),"")</f>
        <v/>
      </c>
    </row>
    <row r="1713" spans="1:31" x14ac:dyDescent="0.25">
      <c r="A1713" s="316"/>
      <c r="B1713" s="317" t="str">
        <f>IF(A1713&lt;&gt;"",_xlfn.MAXIFS($B$1:B1712,$A$1:A1712,A1713)+1,"")</f>
        <v/>
      </c>
      <c r="C1713" s="296"/>
      <c r="D1713" s="296"/>
      <c r="E1713" s="296"/>
      <c r="F1713" s="296"/>
      <c r="G1713" s="326"/>
      <c r="H1713" s="324"/>
      <c r="I1713" s="325"/>
      <c r="J1713" s="325"/>
      <c r="K1713" s="318"/>
      <c r="L1713" s="318"/>
      <c r="M1713" s="319" t="str">
        <f>IFERROR(VLOOKUP(H1713,Lijsten!$H$1:$I$100,2,0),"")</f>
        <v/>
      </c>
      <c r="N1713" s="319" t="str">
        <f ca="1">IFERROR(IF(VLOOKUP(F1713,Kostentypen!$A$3:$E$21,3,0)=0,"",IF(OR(F1713="Arbeidskosten",F1713="Vergoeding"),VLOOKUP(G1713,Tb_KostenTypen[],2,0),VLOOKUP(F1713,Kostentypen!$A$3:$E$20,3,0))),"")</f>
        <v/>
      </c>
      <c r="O1713" s="320" t="str" cm="1">
        <f t="array" ref="O1713">_xlfn.IFNA(IF(INDEX(Tb_KostenOptiesDB[],MATCH($F1713,Tb_KostenOptiesDB[KostenOptie],0),IFERROR(MATCH(Methode_Keuze,Tb_KostenOptiesDB[#Headers],0),2))=1,_xlfn.SWITCH($N1713,"Uurtarief",IF(OR(AND(RIGHT($F1713,3)="IKS",VLOOKUP($M1713,DB_Loonkosten,2,0)="Ja"),AND(RIGHT($F1713,3)&lt;&gt;"IKS",VLOOKUP($M1713,DB_Loonkosten,2,0)="Nee")),IFERROR(VLOOKUP($M1713,DB_Loonkosten,24,0),""),0),"Vast tarief",IF(LEFT(F1713,8)="Bijdrage",VLOOKUP($F1713,Tb_KostenTypen[],MATCH(Lijsten!$P$1,Tb_KostenTypen[#Headers],0),0),VLOOKUP($G1713,Lijsten!L:P,MATCH(Lijsten!$P$1,Kop_Tarief_Vast,0),0))),""),"")</f>
        <v/>
      </c>
      <c r="P1713" s="320" t="str" cm="1">
        <f t="array" ref="P1713">_xlfn.IFNA(IF(INDEX(Tb_KostenOptiesDB[],MATCH($F1713,Tb_KostenOptiesDB[KostenOptie],0),IFERROR(MATCH(Methode_Keuze,Tb_KostenOptiesDB[#Headers],0),2))=1,_xlfn.SWITCH($N1713,"Uurtarief",IF(OR(AND(RIGHT($F1713,3)="IKS",VLOOKUP($M1713,DB_Loonkosten,2,0)="Ja"),AND(RIGHT($F1713,3)&lt;&gt;"IKS",VLOOKUP($M1713,DB_Loonkosten,2,0)="Nee")),IFERROR(VLOOKUP($M1713,DB_Loonkosten,25,0),""),0),"Vast tarief",IF(LEFT(F1713,8)="Bijdrage",VLOOKUP($F1713,Tb_KostenTypen[],MATCH(Lijsten!$P$1,Tb_KostenTypen[#Headers],0),0),VLOOKUP($G1713,Lijsten!L:P,MATCH(Lijsten!$P$1,Kop_Tarief_Vast,0),0))),""),"")</f>
        <v/>
      </c>
      <c r="Q1713" s="359"/>
      <c r="R1713" s="359"/>
      <c r="S1713" s="321"/>
      <c r="T1713" s="321"/>
      <c r="U1713" s="373" t="str">
        <f t="shared" si="104"/>
        <v/>
      </c>
      <c r="V1713" s="314" t="str">
        <f t="shared" si="105"/>
        <v/>
      </c>
      <c r="W1713" s="314" t="str" cm="1">
        <f t="array" aca="1" ref="W1713" ca="1">IFERROR(IF(AE1713&lt;&gt;"ja",_xlfn.IFNA(_xlfn.IFS(AND(O1713&lt;&gt;"",F1713&lt;&gt;"",RIGHT($N1713,6)="tarief",F1713="Vergoeding"),SUM(O1713)*FLOOR(SUM(Q1713),0.0001),AND(O1713&lt;&gt;"",F1713&lt;&gt;"",RIGHT($N1713,6)="tarief"),SUM(O1713)*FLOOR(SUM(Q1713),0.01),S1713&gt;0,IF(F1713&lt;&gt;"",FLOOR(SUM(S1713),0.01),"")),""),""),"")</f>
        <v/>
      </c>
      <c r="X1713" s="314" t="str" cm="1">
        <f t="array" aca="1" ref="X1713" ca="1">IFERROR(IF(AE1713&lt;&gt;"ja",_xlfn.IFNA(_xlfn.IFS(AND(P1713&lt;&gt;"",R1713&lt;&gt;"",RIGHT($N1713,6)="tarief",F1713="Vergoeding"),SUM(P1713)*FLOOR(SUM(R1713),0.0001),AND(P1713&lt;&gt;"",R1713&lt;&gt;"",RIGHT($N1713,6)="tarief"),P1713*FLOOR(R1713,0.01),T1713&gt;0,FLOOR(SUM(T1713),0.01)),""),""),"")</f>
        <v/>
      </c>
      <c r="Y1713" s="314" t="str">
        <f t="shared" ca="1" si="106"/>
        <v/>
      </c>
      <c r="Z1713" s="314" t="str" cm="1">
        <f t="array" aca="1" ref="Z1713" ca="1">IFERROR(_xlfn.IFS(OR(F1713="",LEFT(Methode_Keuze,4)="Geen",Methode_Keuze=""),"",AND(W1713&lt;&gt;"",F1713&lt;&gt;"Arbeidskosten"),W1713*VLOOKUP(F1713,Tb_ProjectKosten[],MATCH(Tb_ProjectKosten[[#Headers],[Forfait_Percentage]],Tb_ProjectKosten[#Headers],0),0),AND(F1713="Arbeidskosten",G1713&lt;&gt;""),IFERROR(W1713*VLOOKUP(G1713,Tb_KostenTypen[],3,0)*VLOOKUP(F1713,Tb_ProjectKosten[],MATCH(Tb_ProjectKosten[[#Headers],[Forfait_Percentage]],Tb_ProjectKosten[#Headers],0),0),""),W1713 &lt;=0,0),"")</f>
        <v/>
      </c>
      <c r="AA1713" s="314" t="str" cm="1">
        <f t="array" aca="1" ref="AA1713" ca="1">IFERROR(_xlfn.IFS(OR(F1713="",LEFT(Methode_Keuze,4)="Geen",Methode_Keuze=""),"",AND(X1713&lt;&gt;"",F1713&lt;&gt;"Arbeidskosten"),X1713*VLOOKUP(F1713,Tb_ProjectKosten[],MATCH(Tb_ProjectKosten[[#Headers],[Forfait_Percentage]],Tb_ProjectKosten[#Headers],0),0),AND(F1713="Arbeidskosten",G1713&lt;&gt;""),IFERROR(X1713*VLOOKUP(G1713,Tb_KostenTypen[],3,0)*VLOOKUP(F1713,Tb_ProjectKosten[],MATCH(Tb_ProjectKosten[[#Headers],[Forfait_Percentage]],Tb_ProjectKosten[#Headers],0),0),""),X1713 &lt;=0,0),"")</f>
        <v/>
      </c>
      <c r="AB1713" s="314" t="str">
        <f t="shared" ca="1" si="107"/>
        <v/>
      </c>
      <c r="AC1713" s="322"/>
      <c r="AD1713" s="315"/>
      <c r="AE1713" s="32" t="str" cm="1">
        <f t="array" ref="AE1713">IFERROR(IF(INDEX(SubsidieTabel!$AD$1:$AG$12,MATCH($F1713,SubsidieTabel!$AD$1:$AD$12,0),IFERROR(MATCH(Methode_Keuze,SubsidieTabel!$AD$1:$AG$1,0),2))&lt;&gt;1=TRUE,"ja",""),"")</f>
        <v/>
      </c>
    </row>
    <row r="1714" spans="1:31" x14ac:dyDescent="0.25">
      <c r="A1714" s="316"/>
      <c r="B1714" s="317" t="str">
        <f>IF(A1714&lt;&gt;"",_xlfn.MAXIFS($B$1:B1713,$A$1:A1713,A1714)+1,"")</f>
        <v/>
      </c>
      <c r="C1714" s="296"/>
      <c r="D1714" s="296"/>
      <c r="E1714" s="296"/>
      <c r="F1714" s="296"/>
      <c r="G1714" s="326"/>
      <c r="H1714" s="324"/>
      <c r="I1714" s="325"/>
      <c r="J1714" s="325"/>
      <c r="K1714" s="318"/>
      <c r="L1714" s="318"/>
      <c r="M1714" s="319" t="str">
        <f>IFERROR(VLOOKUP(H1714,Lijsten!$H$1:$I$100,2,0),"")</f>
        <v/>
      </c>
      <c r="N1714" s="319" t="str">
        <f ca="1">IFERROR(IF(VLOOKUP(F1714,Kostentypen!$A$3:$E$21,3,0)=0,"",IF(OR(F1714="Arbeidskosten",F1714="Vergoeding"),VLOOKUP(G1714,Tb_KostenTypen[],2,0),VLOOKUP(F1714,Kostentypen!$A$3:$E$20,3,0))),"")</f>
        <v/>
      </c>
      <c r="O1714" s="320" t="str" cm="1">
        <f t="array" ref="O1714">_xlfn.IFNA(IF(INDEX(Tb_KostenOptiesDB[],MATCH($F1714,Tb_KostenOptiesDB[KostenOptie],0),IFERROR(MATCH(Methode_Keuze,Tb_KostenOptiesDB[#Headers],0),2))=1,_xlfn.SWITCH($N1714,"Uurtarief",IF(OR(AND(RIGHT($F1714,3)="IKS",VLOOKUP($M1714,DB_Loonkosten,2,0)="Ja"),AND(RIGHT($F1714,3)&lt;&gt;"IKS",VLOOKUP($M1714,DB_Loonkosten,2,0)="Nee")),IFERROR(VLOOKUP($M1714,DB_Loonkosten,24,0),""),0),"Vast tarief",IF(LEFT(F1714,8)="Bijdrage",VLOOKUP($F1714,Tb_KostenTypen[],MATCH(Lijsten!$P$1,Tb_KostenTypen[#Headers],0),0),VLOOKUP($G1714,Lijsten!L:P,MATCH(Lijsten!$P$1,Kop_Tarief_Vast,0),0))),""),"")</f>
        <v/>
      </c>
      <c r="P1714" s="320" t="str" cm="1">
        <f t="array" ref="P1714">_xlfn.IFNA(IF(INDEX(Tb_KostenOptiesDB[],MATCH($F1714,Tb_KostenOptiesDB[KostenOptie],0),IFERROR(MATCH(Methode_Keuze,Tb_KostenOptiesDB[#Headers],0),2))=1,_xlfn.SWITCH($N1714,"Uurtarief",IF(OR(AND(RIGHT($F1714,3)="IKS",VLOOKUP($M1714,DB_Loonkosten,2,0)="Ja"),AND(RIGHT($F1714,3)&lt;&gt;"IKS",VLOOKUP($M1714,DB_Loonkosten,2,0)="Nee")),IFERROR(VLOOKUP($M1714,DB_Loonkosten,25,0),""),0),"Vast tarief",IF(LEFT(F1714,8)="Bijdrage",VLOOKUP($F1714,Tb_KostenTypen[],MATCH(Lijsten!$P$1,Tb_KostenTypen[#Headers],0),0),VLOOKUP($G1714,Lijsten!L:P,MATCH(Lijsten!$P$1,Kop_Tarief_Vast,0),0))),""),"")</f>
        <v/>
      </c>
      <c r="Q1714" s="359"/>
      <c r="R1714" s="359"/>
      <c r="S1714" s="321"/>
      <c r="T1714" s="321"/>
      <c r="U1714" s="373" t="str">
        <f t="shared" si="104"/>
        <v/>
      </c>
      <c r="V1714" s="314" t="str">
        <f t="shared" si="105"/>
        <v/>
      </c>
      <c r="W1714" s="314" t="str" cm="1">
        <f t="array" aca="1" ref="W1714" ca="1">IFERROR(IF(AE1714&lt;&gt;"ja",_xlfn.IFNA(_xlfn.IFS(AND(O1714&lt;&gt;"",F1714&lt;&gt;"",RIGHT($N1714,6)="tarief",F1714="Vergoeding"),SUM(O1714)*FLOOR(SUM(Q1714),0.0001),AND(O1714&lt;&gt;"",F1714&lt;&gt;"",RIGHT($N1714,6)="tarief"),SUM(O1714)*FLOOR(SUM(Q1714),0.01),S1714&gt;0,IF(F1714&lt;&gt;"",FLOOR(SUM(S1714),0.01),"")),""),""),"")</f>
        <v/>
      </c>
      <c r="X1714" s="314" t="str" cm="1">
        <f t="array" aca="1" ref="X1714" ca="1">IFERROR(IF(AE1714&lt;&gt;"ja",_xlfn.IFNA(_xlfn.IFS(AND(P1714&lt;&gt;"",R1714&lt;&gt;"",RIGHT($N1714,6)="tarief",F1714="Vergoeding"),SUM(P1714)*FLOOR(SUM(R1714),0.0001),AND(P1714&lt;&gt;"",R1714&lt;&gt;"",RIGHT($N1714,6)="tarief"),P1714*FLOOR(R1714,0.01),T1714&gt;0,FLOOR(SUM(T1714),0.01)),""),""),"")</f>
        <v/>
      </c>
      <c r="Y1714" s="314" t="str">
        <f t="shared" ca="1" si="106"/>
        <v/>
      </c>
      <c r="Z1714" s="314" t="str" cm="1">
        <f t="array" aca="1" ref="Z1714" ca="1">IFERROR(_xlfn.IFS(OR(F1714="",LEFT(Methode_Keuze,4)="Geen",Methode_Keuze=""),"",AND(W1714&lt;&gt;"",F1714&lt;&gt;"Arbeidskosten"),W1714*VLOOKUP(F1714,Tb_ProjectKosten[],MATCH(Tb_ProjectKosten[[#Headers],[Forfait_Percentage]],Tb_ProjectKosten[#Headers],0),0),AND(F1714="Arbeidskosten",G1714&lt;&gt;""),IFERROR(W1714*VLOOKUP(G1714,Tb_KostenTypen[],3,0)*VLOOKUP(F1714,Tb_ProjectKosten[],MATCH(Tb_ProjectKosten[[#Headers],[Forfait_Percentage]],Tb_ProjectKosten[#Headers],0),0),""),W1714 &lt;=0,0),"")</f>
        <v/>
      </c>
      <c r="AA1714" s="314" t="str" cm="1">
        <f t="array" aca="1" ref="AA1714" ca="1">IFERROR(_xlfn.IFS(OR(F1714="",LEFT(Methode_Keuze,4)="Geen",Methode_Keuze=""),"",AND(X1714&lt;&gt;"",F1714&lt;&gt;"Arbeidskosten"),X1714*VLOOKUP(F1714,Tb_ProjectKosten[],MATCH(Tb_ProjectKosten[[#Headers],[Forfait_Percentage]],Tb_ProjectKosten[#Headers],0),0),AND(F1714="Arbeidskosten",G1714&lt;&gt;""),IFERROR(X1714*VLOOKUP(G1714,Tb_KostenTypen[],3,0)*VLOOKUP(F1714,Tb_ProjectKosten[],MATCH(Tb_ProjectKosten[[#Headers],[Forfait_Percentage]],Tb_ProjectKosten[#Headers],0),0),""),X1714 &lt;=0,0),"")</f>
        <v/>
      </c>
      <c r="AB1714" s="314" t="str">
        <f t="shared" ca="1" si="107"/>
        <v/>
      </c>
      <c r="AC1714" s="322"/>
      <c r="AD1714" s="315"/>
      <c r="AE1714" s="32" t="str" cm="1">
        <f t="array" ref="AE1714">IFERROR(IF(INDEX(SubsidieTabel!$AD$1:$AG$12,MATCH($F1714,SubsidieTabel!$AD$1:$AD$12,0),IFERROR(MATCH(Methode_Keuze,SubsidieTabel!$AD$1:$AG$1,0),2))&lt;&gt;1=TRUE,"ja",""),"")</f>
        <v/>
      </c>
    </row>
    <row r="1715" spans="1:31" x14ac:dyDescent="0.25">
      <c r="A1715" s="316"/>
      <c r="B1715" s="317" t="str">
        <f>IF(A1715&lt;&gt;"",_xlfn.MAXIFS($B$1:B1714,$A$1:A1714,A1715)+1,"")</f>
        <v/>
      </c>
      <c r="C1715" s="296"/>
      <c r="D1715" s="296"/>
      <c r="E1715" s="296"/>
      <c r="F1715" s="296"/>
      <c r="G1715" s="326"/>
      <c r="H1715" s="324"/>
      <c r="I1715" s="325"/>
      <c r="J1715" s="325"/>
      <c r="K1715" s="318"/>
      <c r="L1715" s="318"/>
      <c r="M1715" s="319" t="str">
        <f>IFERROR(VLOOKUP(H1715,Lijsten!$H$1:$I$100,2,0),"")</f>
        <v/>
      </c>
      <c r="N1715" s="319" t="str">
        <f ca="1">IFERROR(IF(VLOOKUP(F1715,Kostentypen!$A$3:$E$21,3,0)=0,"",IF(OR(F1715="Arbeidskosten",F1715="Vergoeding"),VLOOKUP(G1715,Tb_KostenTypen[],2,0),VLOOKUP(F1715,Kostentypen!$A$3:$E$20,3,0))),"")</f>
        <v/>
      </c>
      <c r="O1715" s="320" t="str" cm="1">
        <f t="array" ref="O1715">_xlfn.IFNA(IF(INDEX(Tb_KostenOptiesDB[],MATCH($F1715,Tb_KostenOptiesDB[KostenOptie],0),IFERROR(MATCH(Methode_Keuze,Tb_KostenOptiesDB[#Headers],0),2))=1,_xlfn.SWITCH($N1715,"Uurtarief",IF(OR(AND(RIGHT($F1715,3)="IKS",VLOOKUP($M1715,DB_Loonkosten,2,0)="Ja"),AND(RIGHT($F1715,3)&lt;&gt;"IKS",VLOOKUP($M1715,DB_Loonkosten,2,0)="Nee")),IFERROR(VLOOKUP($M1715,DB_Loonkosten,24,0),""),0),"Vast tarief",IF(LEFT(F1715,8)="Bijdrage",VLOOKUP($F1715,Tb_KostenTypen[],MATCH(Lijsten!$P$1,Tb_KostenTypen[#Headers],0),0),VLOOKUP($G1715,Lijsten!L:P,MATCH(Lijsten!$P$1,Kop_Tarief_Vast,0),0))),""),"")</f>
        <v/>
      </c>
      <c r="P1715" s="320" t="str" cm="1">
        <f t="array" ref="P1715">_xlfn.IFNA(IF(INDEX(Tb_KostenOptiesDB[],MATCH($F1715,Tb_KostenOptiesDB[KostenOptie],0),IFERROR(MATCH(Methode_Keuze,Tb_KostenOptiesDB[#Headers],0),2))=1,_xlfn.SWITCH($N1715,"Uurtarief",IF(OR(AND(RIGHT($F1715,3)="IKS",VLOOKUP($M1715,DB_Loonkosten,2,0)="Ja"),AND(RIGHT($F1715,3)&lt;&gt;"IKS",VLOOKUP($M1715,DB_Loonkosten,2,0)="Nee")),IFERROR(VLOOKUP($M1715,DB_Loonkosten,25,0),""),0),"Vast tarief",IF(LEFT(F1715,8)="Bijdrage",VLOOKUP($F1715,Tb_KostenTypen[],MATCH(Lijsten!$P$1,Tb_KostenTypen[#Headers],0),0),VLOOKUP($G1715,Lijsten!L:P,MATCH(Lijsten!$P$1,Kop_Tarief_Vast,0),0))),""),"")</f>
        <v/>
      </c>
      <c r="Q1715" s="359"/>
      <c r="R1715" s="359"/>
      <c r="S1715" s="321"/>
      <c r="T1715" s="321"/>
      <c r="U1715" s="373" t="str">
        <f t="shared" si="104"/>
        <v/>
      </c>
      <c r="V1715" s="314" t="str">
        <f t="shared" si="105"/>
        <v/>
      </c>
      <c r="W1715" s="314" t="str" cm="1">
        <f t="array" aca="1" ref="W1715" ca="1">IFERROR(IF(AE1715&lt;&gt;"ja",_xlfn.IFNA(_xlfn.IFS(AND(O1715&lt;&gt;"",F1715&lt;&gt;"",RIGHT($N1715,6)="tarief",F1715="Vergoeding"),SUM(O1715)*FLOOR(SUM(Q1715),0.0001),AND(O1715&lt;&gt;"",F1715&lt;&gt;"",RIGHT($N1715,6)="tarief"),SUM(O1715)*FLOOR(SUM(Q1715),0.01),S1715&gt;0,IF(F1715&lt;&gt;"",FLOOR(SUM(S1715),0.01),"")),""),""),"")</f>
        <v/>
      </c>
      <c r="X1715" s="314" t="str" cm="1">
        <f t="array" aca="1" ref="X1715" ca="1">IFERROR(IF(AE1715&lt;&gt;"ja",_xlfn.IFNA(_xlfn.IFS(AND(P1715&lt;&gt;"",R1715&lt;&gt;"",RIGHT($N1715,6)="tarief",F1715="Vergoeding"),SUM(P1715)*FLOOR(SUM(R1715),0.0001),AND(P1715&lt;&gt;"",R1715&lt;&gt;"",RIGHT($N1715,6)="tarief"),P1715*FLOOR(R1715,0.01),T1715&gt;0,FLOOR(SUM(T1715),0.01)),""),""),"")</f>
        <v/>
      </c>
      <c r="Y1715" s="314" t="str">
        <f t="shared" ca="1" si="106"/>
        <v/>
      </c>
      <c r="Z1715" s="314" t="str" cm="1">
        <f t="array" aca="1" ref="Z1715" ca="1">IFERROR(_xlfn.IFS(OR(F1715="",LEFT(Methode_Keuze,4)="Geen",Methode_Keuze=""),"",AND(W1715&lt;&gt;"",F1715&lt;&gt;"Arbeidskosten"),W1715*VLOOKUP(F1715,Tb_ProjectKosten[],MATCH(Tb_ProjectKosten[[#Headers],[Forfait_Percentage]],Tb_ProjectKosten[#Headers],0),0),AND(F1715="Arbeidskosten",G1715&lt;&gt;""),IFERROR(W1715*VLOOKUP(G1715,Tb_KostenTypen[],3,0)*VLOOKUP(F1715,Tb_ProjectKosten[],MATCH(Tb_ProjectKosten[[#Headers],[Forfait_Percentage]],Tb_ProjectKosten[#Headers],0),0),""),W1715 &lt;=0,0),"")</f>
        <v/>
      </c>
      <c r="AA1715" s="314" t="str" cm="1">
        <f t="array" aca="1" ref="AA1715" ca="1">IFERROR(_xlfn.IFS(OR(F1715="",LEFT(Methode_Keuze,4)="Geen",Methode_Keuze=""),"",AND(X1715&lt;&gt;"",F1715&lt;&gt;"Arbeidskosten"),X1715*VLOOKUP(F1715,Tb_ProjectKosten[],MATCH(Tb_ProjectKosten[[#Headers],[Forfait_Percentage]],Tb_ProjectKosten[#Headers],0),0),AND(F1715="Arbeidskosten",G1715&lt;&gt;""),IFERROR(X1715*VLOOKUP(G1715,Tb_KostenTypen[],3,0)*VLOOKUP(F1715,Tb_ProjectKosten[],MATCH(Tb_ProjectKosten[[#Headers],[Forfait_Percentage]],Tb_ProjectKosten[#Headers],0),0),""),X1715 &lt;=0,0),"")</f>
        <v/>
      </c>
      <c r="AB1715" s="314" t="str">
        <f t="shared" ca="1" si="107"/>
        <v/>
      </c>
      <c r="AC1715" s="322"/>
      <c r="AD1715" s="315"/>
      <c r="AE1715" s="32" t="str" cm="1">
        <f t="array" ref="AE1715">IFERROR(IF(INDEX(SubsidieTabel!$AD$1:$AG$12,MATCH($F1715,SubsidieTabel!$AD$1:$AD$12,0),IFERROR(MATCH(Methode_Keuze,SubsidieTabel!$AD$1:$AG$1,0),2))&lt;&gt;1=TRUE,"ja",""),"")</f>
        <v/>
      </c>
    </row>
    <row r="1716" spans="1:31" x14ac:dyDescent="0.25">
      <c r="A1716" s="316"/>
      <c r="B1716" s="317" t="str">
        <f>IF(A1716&lt;&gt;"",_xlfn.MAXIFS($B$1:B1715,$A$1:A1715,A1716)+1,"")</f>
        <v/>
      </c>
      <c r="C1716" s="296"/>
      <c r="D1716" s="296"/>
      <c r="E1716" s="296"/>
      <c r="F1716" s="296"/>
      <c r="G1716" s="326"/>
      <c r="H1716" s="324"/>
      <c r="I1716" s="325"/>
      <c r="J1716" s="325"/>
      <c r="K1716" s="318"/>
      <c r="L1716" s="318"/>
      <c r="M1716" s="319" t="str">
        <f>IFERROR(VLOOKUP(H1716,Lijsten!$H$1:$I$100,2,0),"")</f>
        <v/>
      </c>
      <c r="N1716" s="319" t="str">
        <f ca="1">IFERROR(IF(VLOOKUP(F1716,Kostentypen!$A$3:$E$21,3,0)=0,"",IF(OR(F1716="Arbeidskosten",F1716="Vergoeding"),VLOOKUP(G1716,Tb_KostenTypen[],2,0),VLOOKUP(F1716,Kostentypen!$A$3:$E$20,3,0))),"")</f>
        <v/>
      </c>
      <c r="O1716" s="320" t="str" cm="1">
        <f t="array" ref="O1716">_xlfn.IFNA(IF(INDEX(Tb_KostenOptiesDB[],MATCH($F1716,Tb_KostenOptiesDB[KostenOptie],0),IFERROR(MATCH(Methode_Keuze,Tb_KostenOptiesDB[#Headers],0),2))=1,_xlfn.SWITCH($N1716,"Uurtarief",IF(OR(AND(RIGHT($F1716,3)="IKS",VLOOKUP($M1716,DB_Loonkosten,2,0)="Ja"),AND(RIGHT($F1716,3)&lt;&gt;"IKS",VLOOKUP($M1716,DB_Loonkosten,2,0)="Nee")),IFERROR(VLOOKUP($M1716,DB_Loonkosten,24,0),""),0),"Vast tarief",IF(LEFT(F1716,8)="Bijdrage",VLOOKUP($F1716,Tb_KostenTypen[],MATCH(Lijsten!$P$1,Tb_KostenTypen[#Headers],0),0),VLOOKUP($G1716,Lijsten!L:P,MATCH(Lijsten!$P$1,Kop_Tarief_Vast,0),0))),""),"")</f>
        <v/>
      </c>
      <c r="P1716" s="320" t="str" cm="1">
        <f t="array" ref="P1716">_xlfn.IFNA(IF(INDEX(Tb_KostenOptiesDB[],MATCH($F1716,Tb_KostenOptiesDB[KostenOptie],0),IFERROR(MATCH(Methode_Keuze,Tb_KostenOptiesDB[#Headers],0),2))=1,_xlfn.SWITCH($N1716,"Uurtarief",IF(OR(AND(RIGHT($F1716,3)="IKS",VLOOKUP($M1716,DB_Loonkosten,2,0)="Ja"),AND(RIGHT($F1716,3)&lt;&gt;"IKS",VLOOKUP($M1716,DB_Loonkosten,2,0)="Nee")),IFERROR(VLOOKUP($M1716,DB_Loonkosten,25,0),""),0),"Vast tarief",IF(LEFT(F1716,8)="Bijdrage",VLOOKUP($F1716,Tb_KostenTypen[],MATCH(Lijsten!$P$1,Tb_KostenTypen[#Headers],0),0),VLOOKUP($G1716,Lijsten!L:P,MATCH(Lijsten!$P$1,Kop_Tarief_Vast,0),0))),""),"")</f>
        <v/>
      </c>
      <c r="Q1716" s="359"/>
      <c r="R1716" s="359"/>
      <c r="S1716" s="321"/>
      <c r="T1716" s="321"/>
      <c r="U1716" s="373" t="str">
        <f t="shared" si="104"/>
        <v/>
      </c>
      <c r="V1716" s="314" t="str">
        <f t="shared" si="105"/>
        <v/>
      </c>
      <c r="W1716" s="314" t="str" cm="1">
        <f t="array" aca="1" ref="W1716" ca="1">IFERROR(IF(AE1716&lt;&gt;"ja",_xlfn.IFNA(_xlfn.IFS(AND(O1716&lt;&gt;"",F1716&lt;&gt;"",RIGHT($N1716,6)="tarief",F1716="Vergoeding"),SUM(O1716)*FLOOR(SUM(Q1716),0.0001),AND(O1716&lt;&gt;"",F1716&lt;&gt;"",RIGHT($N1716,6)="tarief"),SUM(O1716)*FLOOR(SUM(Q1716),0.01),S1716&gt;0,IF(F1716&lt;&gt;"",FLOOR(SUM(S1716),0.01),"")),""),""),"")</f>
        <v/>
      </c>
      <c r="X1716" s="314" t="str" cm="1">
        <f t="array" aca="1" ref="X1716" ca="1">IFERROR(IF(AE1716&lt;&gt;"ja",_xlfn.IFNA(_xlfn.IFS(AND(P1716&lt;&gt;"",R1716&lt;&gt;"",RIGHT($N1716,6)="tarief",F1716="Vergoeding"),SUM(P1716)*FLOOR(SUM(R1716),0.0001),AND(P1716&lt;&gt;"",R1716&lt;&gt;"",RIGHT($N1716,6)="tarief"),P1716*FLOOR(R1716,0.01),T1716&gt;0,FLOOR(SUM(T1716),0.01)),""),""),"")</f>
        <v/>
      </c>
      <c r="Y1716" s="314" t="str">
        <f t="shared" ca="1" si="106"/>
        <v/>
      </c>
      <c r="Z1716" s="314" t="str" cm="1">
        <f t="array" aca="1" ref="Z1716" ca="1">IFERROR(_xlfn.IFS(OR(F1716="",LEFT(Methode_Keuze,4)="Geen",Methode_Keuze=""),"",AND(W1716&lt;&gt;"",F1716&lt;&gt;"Arbeidskosten"),W1716*VLOOKUP(F1716,Tb_ProjectKosten[],MATCH(Tb_ProjectKosten[[#Headers],[Forfait_Percentage]],Tb_ProjectKosten[#Headers],0),0),AND(F1716="Arbeidskosten",G1716&lt;&gt;""),IFERROR(W1716*VLOOKUP(G1716,Tb_KostenTypen[],3,0)*VLOOKUP(F1716,Tb_ProjectKosten[],MATCH(Tb_ProjectKosten[[#Headers],[Forfait_Percentage]],Tb_ProjectKosten[#Headers],0),0),""),W1716 &lt;=0,0),"")</f>
        <v/>
      </c>
      <c r="AA1716" s="314" t="str" cm="1">
        <f t="array" aca="1" ref="AA1716" ca="1">IFERROR(_xlfn.IFS(OR(F1716="",LEFT(Methode_Keuze,4)="Geen",Methode_Keuze=""),"",AND(X1716&lt;&gt;"",F1716&lt;&gt;"Arbeidskosten"),X1716*VLOOKUP(F1716,Tb_ProjectKosten[],MATCH(Tb_ProjectKosten[[#Headers],[Forfait_Percentage]],Tb_ProjectKosten[#Headers],0),0),AND(F1716="Arbeidskosten",G1716&lt;&gt;""),IFERROR(X1716*VLOOKUP(G1716,Tb_KostenTypen[],3,0)*VLOOKUP(F1716,Tb_ProjectKosten[],MATCH(Tb_ProjectKosten[[#Headers],[Forfait_Percentage]],Tb_ProjectKosten[#Headers],0),0),""),X1716 &lt;=0,0),"")</f>
        <v/>
      </c>
      <c r="AB1716" s="314" t="str">
        <f t="shared" ca="1" si="107"/>
        <v/>
      </c>
      <c r="AC1716" s="322"/>
      <c r="AD1716" s="315"/>
      <c r="AE1716" s="32" t="str" cm="1">
        <f t="array" ref="AE1716">IFERROR(IF(INDEX(SubsidieTabel!$AD$1:$AG$12,MATCH($F1716,SubsidieTabel!$AD$1:$AD$12,0),IFERROR(MATCH(Methode_Keuze,SubsidieTabel!$AD$1:$AG$1,0),2))&lt;&gt;1=TRUE,"ja",""),"")</f>
        <v/>
      </c>
    </row>
    <row r="1717" spans="1:31" x14ac:dyDescent="0.25">
      <c r="A1717" s="316"/>
      <c r="B1717" s="317" t="str">
        <f>IF(A1717&lt;&gt;"",_xlfn.MAXIFS($B$1:B1716,$A$1:A1716,A1717)+1,"")</f>
        <v/>
      </c>
      <c r="C1717" s="296"/>
      <c r="D1717" s="296"/>
      <c r="E1717" s="296"/>
      <c r="F1717" s="296"/>
      <c r="G1717" s="326"/>
      <c r="H1717" s="324"/>
      <c r="I1717" s="325"/>
      <c r="J1717" s="325"/>
      <c r="K1717" s="318"/>
      <c r="L1717" s="318"/>
      <c r="M1717" s="319" t="str">
        <f>IFERROR(VLOOKUP(H1717,Lijsten!$H$1:$I$100,2,0),"")</f>
        <v/>
      </c>
      <c r="N1717" s="319" t="str">
        <f ca="1">IFERROR(IF(VLOOKUP(F1717,Kostentypen!$A$3:$E$21,3,0)=0,"",IF(OR(F1717="Arbeidskosten",F1717="Vergoeding"),VLOOKUP(G1717,Tb_KostenTypen[],2,0),VLOOKUP(F1717,Kostentypen!$A$3:$E$20,3,0))),"")</f>
        <v/>
      </c>
      <c r="O1717" s="320" t="str" cm="1">
        <f t="array" ref="O1717">_xlfn.IFNA(IF(INDEX(Tb_KostenOptiesDB[],MATCH($F1717,Tb_KostenOptiesDB[KostenOptie],0),IFERROR(MATCH(Methode_Keuze,Tb_KostenOptiesDB[#Headers],0),2))=1,_xlfn.SWITCH($N1717,"Uurtarief",IF(OR(AND(RIGHT($F1717,3)="IKS",VLOOKUP($M1717,DB_Loonkosten,2,0)="Ja"),AND(RIGHT($F1717,3)&lt;&gt;"IKS",VLOOKUP($M1717,DB_Loonkosten,2,0)="Nee")),IFERROR(VLOOKUP($M1717,DB_Loonkosten,24,0),""),0),"Vast tarief",IF(LEFT(F1717,8)="Bijdrage",VLOOKUP($F1717,Tb_KostenTypen[],MATCH(Lijsten!$P$1,Tb_KostenTypen[#Headers],0),0),VLOOKUP($G1717,Lijsten!L:P,MATCH(Lijsten!$P$1,Kop_Tarief_Vast,0),0))),""),"")</f>
        <v/>
      </c>
      <c r="P1717" s="320" t="str" cm="1">
        <f t="array" ref="P1717">_xlfn.IFNA(IF(INDEX(Tb_KostenOptiesDB[],MATCH($F1717,Tb_KostenOptiesDB[KostenOptie],0),IFERROR(MATCH(Methode_Keuze,Tb_KostenOptiesDB[#Headers],0),2))=1,_xlfn.SWITCH($N1717,"Uurtarief",IF(OR(AND(RIGHT($F1717,3)="IKS",VLOOKUP($M1717,DB_Loonkosten,2,0)="Ja"),AND(RIGHT($F1717,3)&lt;&gt;"IKS",VLOOKUP($M1717,DB_Loonkosten,2,0)="Nee")),IFERROR(VLOOKUP($M1717,DB_Loonkosten,25,0),""),0),"Vast tarief",IF(LEFT(F1717,8)="Bijdrage",VLOOKUP($F1717,Tb_KostenTypen[],MATCH(Lijsten!$P$1,Tb_KostenTypen[#Headers],0),0),VLOOKUP($G1717,Lijsten!L:P,MATCH(Lijsten!$P$1,Kop_Tarief_Vast,0),0))),""),"")</f>
        <v/>
      </c>
      <c r="Q1717" s="359"/>
      <c r="R1717" s="359"/>
      <c r="S1717" s="321"/>
      <c r="T1717" s="321"/>
      <c r="U1717" s="373" t="str">
        <f t="shared" si="104"/>
        <v/>
      </c>
      <c r="V1717" s="314" t="str">
        <f t="shared" si="105"/>
        <v/>
      </c>
      <c r="W1717" s="314" t="str" cm="1">
        <f t="array" aca="1" ref="W1717" ca="1">IFERROR(IF(AE1717&lt;&gt;"ja",_xlfn.IFNA(_xlfn.IFS(AND(O1717&lt;&gt;"",F1717&lt;&gt;"",RIGHT($N1717,6)="tarief",F1717="Vergoeding"),SUM(O1717)*FLOOR(SUM(Q1717),0.0001),AND(O1717&lt;&gt;"",F1717&lt;&gt;"",RIGHT($N1717,6)="tarief"),SUM(O1717)*FLOOR(SUM(Q1717),0.01),S1717&gt;0,IF(F1717&lt;&gt;"",FLOOR(SUM(S1717),0.01),"")),""),""),"")</f>
        <v/>
      </c>
      <c r="X1717" s="314" t="str" cm="1">
        <f t="array" aca="1" ref="X1717" ca="1">IFERROR(IF(AE1717&lt;&gt;"ja",_xlfn.IFNA(_xlfn.IFS(AND(P1717&lt;&gt;"",R1717&lt;&gt;"",RIGHT($N1717,6)="tarief",F1717="Vergoeding"),SUM(P1717)*FLOOR(SUM(R1717),0.0001),AND(P1717&lt;&gt;"",R1717&lt;&gt;"",RIGHT($N1717,6)="tarief"),P1717*FLOOR(R1717,0.01),T1717&gt;0,FLOOR(SUM(T1717),0.01)),""),""),"")</f>
        <v/>
      </c>
      <c r="Y1717" s="314" t="str">
        <f t="shared" ca="1" si="106"/>
        <v/>
      </c>
      <c r="Z1717" s="314" t="str" cm="1">
        <f t="array" aca="1" ref="Z1717" ca="1">IFERROR(_xlfn.IFS(OR(F1717="",LEFT(Methode_Keuze,4)="Geen",Methode_Keuze=""),"",AND(W1717&lt;&gt;"",F1717&lt;&gt;"Arbeidskosten"),W1717*VLOOKUP(F1717,Tb_ProjectKosten[],MATCH(Tb_ProjectKosten[[#Headers],[Forfait_Percentage]],Tb_ProjectKosten[#Headers],0),0),AND(F1717="Arbeidskosten",G1717&lt;&gt;""),IFERROR(W1717*VLOOKUP(G1717,Tb_KostenTypen[],3,0)*VLOOKUP(F1717,Tb_ProjectKosten[],MATCH(Tb_ProjectKosten[[#Headers],[Forfait_Percentage]],Tb_ProjectKosten[#Headers],0),0),""),W1717 &lt;=0,0),"")</f>
        <v/>
      </c>
      <c r="AA1717" s="314" t="str" cm="1">
        <f t="array" aca="1" ref="AA1717" ca="1">IFERROR(_xlfn.IFS(OR(F1717="",LEFT(Methode_Keuze,4)="Geen",Methode_Keuze=""),"",AND(X1717&lt;&gt;"",F1717&lt;&gt;"Arbeidskosten"),X1717*VLOOKUP(F1717,Tb_ProjectKosten[],MATCH(Tb_ProjectKosten[[#Headers],[Forfait_Percentage]],Tb_ProjectKosten[#Headers],0),0),AND(F1717="Arbeidskosten",G1717&lt;&gt;""),IFERROR(X1717*VLOOKUP(G1717,Tb_KostenTypen[],3,0)*VLOOKUP(F1717,Tb_ProjectKosten[],MATCH(Tb_ProjectKosten[[#Headers],[Forfait_Percentage]],Tb_ProjectKosten[#Headers],0),0),""),X1717 &lt;=0,0),"")</f>
        <v/>
      </c>
      <c r="AB1717" s="314" t="str">
        <f t="shared" ca="1" si="107"/>
        <v/>
      </c>
      <c r="AC1717" s="322"/>
      <c r="AD1717" s="315"/>
      <c r="AE1717" s="32" t="str" cm="1">
        <f t="array" ref="AE1717">IFERROR(IF(INDEX(SubsidieTabel!$AD$1:$AG$12,MATCH($F1717,SubsidieTabel!$AD$1:$AD$12,0),IFERROR(MATCH(Methode_Keuze,SubsidieTabel!$AD$1:$AG$1,0),2))&lt;&gt;1=TRUE,"ja",""),"")</f>
        <v/>
      </c>
    </row>
    <row r="1718" spans="1:31" x14ac:dyDescent="0.25">
      <c r="A1718" s="316"/>
      <c r="B1718" s="317" t="str">
        <f>IF(A1718&lt;&gt;"",_xlfn.MAXIFS($B$1:B1717,$A$1:A1717,A1718)+1,"")</f>
        <v/>
      </c>
      <c r="C1718" s="296"/>
      <c r="D1718" s="296"/>
      <c r="E1718" s="296"/>
      <c r="F1718" s="296"/>
      <c r="G1718" s="326"/>
      <c r="H1718" s="324"/>
      <c r="I1718" s="325"/>
      <c r="J1718" s="325"/>
      <c r="K1718" s="318"/>
      <c r="L1718" s="318"/>
      <c r="M1718" s="319" t="str">
        <f>IFERROR(VLOOKUP(H1718,Lijsten!$H$1:$I$100,2,0),"")</f>
        <v/>
      </c>
      <c r="N1718" s="319" t="str">
        <f ca="1">IFERROR(IF(VLOOKUP(F1718,Kostentypen!$A$3:$E$21,3,0)=0,"",IF(OR(F1718="Arbeidskosten",F1718="Vergoeding"),VLOOKUP(G1718,Tb_KostenTypen[],2,0),VLOOKUP(F1718,Kostentypen!$A$3:$E$20,3,0))),"")</f>
        <v/>
      </c>
      <c r="O1718" s="320" t="str" cm="1">
        <f t="array" ref="O1718">_xlfn.IFNA(IF(INDEX(Tb_KostenOptiesDB[],MATCH($F1718,Tb_KostenOptiesDB[KostenOptie],0),IFERROR(MATCH(Methode_Keuze,Tb_KostenOptiesDB[#Headers],0),2))=1,_xlfn.SWITCH($N1718,"Uurtarief",IF(OR(AND(RIGHT($F1718,3)="IKS",VLOOKUP($M1718,DB_Loonkosten,2,0)="Ja"),AND(RIGHT($F1718,3)&lt;&gt;"IKS",VLOOKUP($M1718,DB_Loonkosten,2,0)="Nee")),IFERROR(VLOOKUP($M1718,DB_Loonkosten,24,0),""),0),"Vast tarief",IF(LEFT(F1718,8)="Bijdrage",VLOOKUP($F1718,Tb_KostenTypen[],MATCH(Lijsten!$P$1,Tb_KostenTypen[#Headers],0),0),VLOOKUP($G1718,Lijsten!L:P,MATCH(Lijsten!$P$1,Kop_Tarief_Vast,0),0))),""),"")</f>
        <v/>
      </c>
      <c r="P1718" s="320" t="str" cm="1">
        <f t="array" ref="P1718">_xlfn.IFNA(IF(INDEX(Tb_KostenOptiesDB[],MATCH($F1718,Tb_KostenOptiesDB[KostenOptie],0),IFERROR(MATCH(Methode_Keuze,Tb_KostenOptiesDB[#Headers],0),2))=1,_xlfn.SWITCH($N1718,"Uurtarief",IF(OR(AND(RIGHT($F1718,3)="IKS",VLOOKUP($M1718,DB_Loonkosten,2,0)="Ja"),AND(RIGHT($F1718,3)&lt;&gt;"IKS",VLOOKUP($M1718,DB_Loonkosten,2,0)="Nee")),IFERROR(VLOOKUP($M1718,DB_Loonkosten,25,0),""),0),"Vast tarief",IF(LEFT(F1718,8)="Bijdrage",VLOOKUP($F1718,Tb_KostenTypen[],MATCH(Lijsten!$P$1,Tb_KostenTypen[#Headers],0),0),VLOOKUP($G1718,Lijsten!L:P,MATCH(Lijsten!$P$1,Kop_Tarief_Vast,0),0))),""),"")</f>
        <v/>
      </c>
      <c r="Q1718" s="359"/>
      <c r="R1718" s="359"/>
      <c r="S1718" s="321"/>
      <c r="T1718" s="321"/>
      <c r="U1718" s="373" t="str">
        <f t="shared" si="104"/>
        <v/>
      </c>
      <c r="V1718" s="314" t="str">
        <f t="shared" si="105"/>
        <v/>
      </c>
      <c r="W1718" s="314" t="str" cm="1">
        <f t="array" aca="1" ref="W1718" ca="1">IFERROR(IF(AE1718&lt;&gt;"ja",_xlfn.IFNA(_xlfn.IFS(AND(O1718&lt;&gt;"",F1718&lt;&gt;"",RIGHT($N1718,6)="tarief",F1718="Vergoeding"),SUM(O1718)*FLOOR(SUM(Q1718),0.0001),AND(O1718&lt;&gt;"",F1718&lt;&gt;"",RIGHT($N1718,6)="tarief"),SUM(O1718)*FLOOR(SUM(Q1718),0.01),S1718&gt;0,IF(F1718&lt;&gt;"",FLOOR(SUM(S1718),0.01),"")),""),""),"")</f>
        <v/>
      </c>
      <c r="X1718" s="314" t="str" cm="1">
        <f t="array" aca="1" ref="X1718" ca="1">IFERROR(IF(AE1718&lt;&gt;"ja",_xlfn.IFNA(_xlfn.IFS(AND(P1718&lt;&gt;"",R1718&lt;&gt;"",RIGHT($N1718,6)="tarief",F1718="Vergoeding"),SUM(P1718)*FLOOR(SUM(R1718),0.0001),AND(P1718&lt;&gt;"",R1718&lt;&gt;"",RIGHT($N1718,6)="tarief"),P1718*FLOOR(R1718,0.01),T1718&gt;0,FLOOR(SUM(T1718),0.01)),""),""),"")</f>
        <v/>
      </c>
      <c r="Y1718" s="314" t="str">
        <f t="shared" ca="1" si="106"/>
        <v/>
      </c>
      <c r="Z1718" s="314" t="str" cm="1">
        <f t="array" aca="1" ref="Z1718" ca="1">IFERROR(_xlfn.IFS(OR(F1718="",LEFT(Methode_Keuze,4)="Geen",Methode_Keuze=""),"",AND(W1718&lt;&gt;"",F1718&lt;&gt;"Arbeidskosten"),W1718*VLOOKUP(F1718,Tb_ProjectKosten[],MATCH(Tb_ProjectKosten[[#Headers],[Forfait_Percentage]],Tb_ProjectKosten[#Headers],0),0),AND(F1718="Arbeidskosten",G1718&lt;&gt;""),IFERROR(W1718*VLOOKUP(G1718,Tb_KostenTypen[],3,0)*VLOOKUP(F1718,Tb_ProjectKosten[],MATCH(Tb_ProjectKosten[[#Headers],[Forfait_Percentage]],Tb_ProjectKosten[#Headers],0),0),""),W1718 &lt;=0,0),"")</f>
        <v/>
      </c>
      <c r="AA1718" s="314" t="str" cm="1">
        <f t="array" aca="1" ref="AA1718" ca="1">IFERROR(_xlfn.IFS(OR(F1718="",LEFT(Methode_Keuze,4)="Geen",Methode_Keuze=""),"",AND(X1718&lt;&gt;"",F1718&lt;&gt;"Arbeidskosten"),X1718*VLOOKUP(F1718,Tb_ProjectKosten[],MATCH(Tb_ProjectKosten[[#Headers],[Forfait_Percentage]],Tb_ProjectKosten[#Headers],0),0),AND(F1718="Arbeidskosten",G1718&lt;&gt;""),IFERROR(X1718*VLOOKUP(G1718,Tb_KostenTypen[],3,0)*VLOOKUP(F1718,Tb_ProjectKosten[],MATCH(Tb_ProjectKosten[[#Headers],[Forfait_Percentage]],Tb_ProjectKosten[#Headers],0),0),""),X1718 &lt;=0,0),"")</f>
        <v/>
      </c>
      <c r="AB1718" s="314" t="str">
        <f t="shared" ca="1" si="107"/>
        <v/>
      </c>
      <c r="AC1718" s="322"/>
      <c r="AD1718" s="315"/>
      <c r="AE1718" s="32" t="str" cm="1">
        <f t="array" ref="AE1718">IFERROR(IF(INDEX(SubsidieTabel!$AD$1:$AG$12,MATCH($F1718,SubsidieTabel!$AD$1:$AD$12,0),IFERROR(MATCH(Methode_Keuze,SubsidieTabel!$AD$1:$AG$1,0),2))&lt;&gt;1=TRUE,"ja",""),"")</f>
        <v/>
      </c>
    </row>
    <row r="1719" spans="1:31" x14ac:dyDescent="0.25">
      <c r="A1719" s="316"/>
      <c r="B1719" s="317" t="str">
        <f>IF(A1719&lt;&gt;"",_xlfn.MAXIFS($B$1:B1718,$A$1:A1718,A1719)+1,"")</f>
        <v/>
      </c>
      <c r="C1719" s="296"/>
      <c r="D1719" s="296"/>
      <c r="E1719" s="296"/>
      <c r="F1719" s="296"/>
      <c r="G1719" s="326"/>
      <c r="H1719" s="324"/>
      <c r="I1719" s="325"/>
      <c r="J1719" s="325"/>
      <c r="K1719" s="318"/>
      <c r="L1719" s="318"/>
      <c r="M1719" s="319" t="str">
        <f>IFERROR(VLOOKUP(H1719,Lijsten!$H$1:$I$100,2,0),"")</f>
        <v/>
      </c>
      <c r="N1719" s="319" t="str">
        <f ca="1">IFERROR(IF(VLOOKUP(F1719,Kostentypen!$A$3:$E$21,3,0)=0,"",IF(OR(F1719="Arbeidskosten",F1719="Vergoeding"),VLOOKUP(G1719,Tb_KostenTypen[],2,0),VLOOKUP(F1719,Kostentypen!$A$3:$E$20,3,0))),"")</f>
        <v/>
      </c>
      <c r="O1719" s="320" t="str" cm="1">
        <f t="array" ref="O1719">_xlfn.IFNA(IF(INDEX(Tb_KostenOptiesDB[],MATCH($F1719,Tb_KostenOptiesDB[KostenOptie],0),IFERROR(MATCH(Methode_Keuze,Tb_KostenOptiesDB[#Headers],0),2))=1,_xlfn.SWITCH($N1719,"Uurtarief",IF(OR(AND(RIGHT($F1719,3)="IKS",VLOOKUP($M1719,DB_Loonkosten,2,0)="Ja"),AND(RIGHT($F1719,3)&lt;&gt;"IKS",VLOOKUP($M1719,DB_Loonkosten,2,0)="Nee")),IFERROR(VLOOKUP($M1719,DB_Loonkosten,24,0),""),0),"Vast tarief",IF(LEFT(F1719,8)="Bijdrage",VLOOKUP($F1719,Tb_KostenTypen[],MATCH(Lijsten!$P$1,Tb_KostenTypen[#Headers],0),0),VLOOKUP($G1719,Lijsten!L:P,MATCH(Lijsten!$P$1,Kop_Tarief_Vast,0),0))),""),"")</f>
        <v/>
      </c>
      <c r="P1719" s="320" t="str" cm="1">
        <f t="array" ref="P1719">_xlfn.IFNA(IF(INDEX(Tb_KostenOptiesDB[],MATCH($F1719,Tb_KostenOptiesDB[KostenOptie],0),IFERROR(MATCH(Methode_Keuze,Tb_KostenOptiesDB[#Headers],0),2))=1,_xlfn.SWITCH($N1719,"Uurtarief",IF(OR(AND(RIGHT($F1719,3)="IKS",VLOOKUP($M1719,DB_Loonkosten,2,0)="Ja"),AND(RIGHT($F1719,3)&lt;&gt;"IKS",VLOOKUP($M1719,DB_Loonkosten,2,0)="Nee")),IFERROR(VLOOKUP($M1719,DB_Loonkosten,25,0),""),0),"Vast tarief",IF(LEFT(F1719,8)="Bijdrage",VLOOKUP($F1719,Tb_KostenTypen[],MATCH(Lijsten!$P$1,Tb_KostenTypen[#Headers],0),0),VLOOKUP($G1719,Lijsten!L:P,MATCH(Lijsten!$P$1,Kop_Tarief_Vast,0),0))),""),"")</f>
        <v/>
      </c>
      <c r="Q1719" s="359"/>
      <c r="R1719" s="359"/>
      <c r="S1719" s="321"/>
      <c r="T1719" s="321"/>
      <c r="U1719" s="373" t="str">
        <f t="shared" si="104"/>
        <v/>
      </c>
      <c r="V1719" s="314" t="str">
        <f t="shared" si="105"/>
        <v/>
      </c>
      <c r="W1719" s="314" t="str" cm="1">
        <f t="array" aca="1" ref="W1719" ca="1">IFERROR(IF(AE1719&lt;&gt;"ja",_xlfn.IFNA(_xlfn.IFS(AND(O1719&lt;&gt;"",F1719&lt;&gt;"",RIGHT($N1719,6)="tarief",F1719="Vergoeding"),SUM(O1719)*FLOOR(SUM(Q1719),0.0001),AND(O1719&lt;&gt;"",F1719&lt;&gt;"",RIGHT($N1719,6)="tarief"),SUM(O1719)*FLOOR(SUM(Q1719),0.01),S1719&gt;0,IF(F1719&lt;&gt;"",FLOOR(SUM(S1719),0.01),"")),""),""),"")</f>
        <v/>
      </c>
      <c r="X1719" s="314" t="str" cm="1">
        <f t="array" aca="1" ref="X1719" ca="1">IFERROR(IF(AE1719&lt;&gt;"ja",_xlfn.IFNA(_xlfn.IFS(AND(P1719&lt;&gt;"",R1719&lt;&gt;"",RIGHT($N1719,6)="tarief",F1719="Vergoeding"),SUM(P1719)*FLOOR(SUM(R1719),0.0001),AND(P1719&lt;&gt;"",R1719&lt;&gt;"",RIGHT($N1719,6)="tarief"),P1719*FLOOR(R1719,0.01),T1719&gt;0,FLOOR(SUM(T1719),0.01)),""),""),"")</f>
        <v/>
      </c>
      <c r="Y1719" s="314" t="str">
        <f t="shared" ca="1" si="106"/>
        <v/>
      </c>
      <c r="Z1719" s="314" t="str" cm="1">
        <f t="array" aca="1" ref="Z1719" ca="1">IFERROR(_xlfn.IFS(OR(F1719="",LEFT(Methode_Keuze,4)="Geen",Methode_Keuze=""),"",AND(W1719&lt;&gt;"",F1719&lt;&gt;"Arbeidskosten"),W1719*VLOOKUP(F1719,Tb_ProjectKosten[],MATCH(Tb_ProjectKosten[[#Headers],[Forfait_Percentage]],Tb_ProjectKosten[#Headers],0),0),AND(F1719="Arbeidskosten",G1719&lt;&gt;""),IFERROR(W1719*VLOOKUP(G1719,Tb_KostenTypen[],3,0)*VLOOKUP(F1719,Tb_ProjectKosten[],MATCH(Tb_ProjectKosten[[#Headers],[Forfait_Percentage]],Tb_ProjectKosten[#Headers],0),0),""),W1719 &lt;=0,0),"")</f>
        <v/>
      </c>
      <c r="AA1719" s="314" t="str" cm="1">
        <f t="array" aca="1" ref="AA1719" ca="1">IFERROR(_xlfn.IFS(OR(F1719="",LEFT(Methode_Keuze,4)="Geen",Methode_Keuze=""),"",AND(X1719&lt;&gt;"",F1719&lt;&gt;"Arbeidskosten"),X1719*VLOOKUP(F1719,Tb_ProjectKosten[],MATCH(Tb_ProjectKosten[[#Headers],[Forfait_Percentage]],Tb_ProjectKosten[#Headers],0),0),AND(F1719="Arbeidskosten",G1719&lt;&gt;""),IFERROR(X1719*VLOOKUP(G1719,Tb_KostenTypen[],3,0)*VLOOKUP(F1719,Tb_ProjectKosten[],MATCH(Tb_ProjectKosten[[#Headers],[Forfait_Percentage]],Tb_ProjectKosten[#Headers],0),0),""),X1719 &lt;=0,0),"")</f>
        <v/>
      </c>
      <c r="AB1719" s="314" t="str">
        <f t="shared" ca="1" si="107"/>
        <v/>
      </c>
      <c r="AC1719" s="322"/>
      <c r="AD1719" s="315"/>
      <c r="AE1719" s="32" t="str" cm="1">
        <f t="array" ref="AE1719">IFERROR(IF(INDEX(SubsidieTabel!$AD$1:$AG$12,MATCH($F1719,SubsidieTabel!$AD$1:$AD$12,0),IFERROR(MATCH(Methode_Keuze,SubsidieTabel!$AD$1:$AG$1,0),2))&lt;&gt;1=TRUE,"ja",""),"")</f>
        <v/>
      </c>
    </row>
    <row r="1720" spans="1:31" x14ac:dyDescent="0.25">
      <c r="A1720" s="316"/>
      <c r="B1720" s="317" t="str">
        <f>IF(A1720&lt;&gt;"",_xlfn.MAXIFS($B$1:B1719,$A$1:A1719,A1720)+1,"")</f>
        <v/>
      </c>
      <c r="C1720" s="296"/>
      <c r="D1720" s="296"/>
      <c r="E1720" s="296"/>
      <c r="F1720" s="296"/>
      <c r="G1720" s="326"/>
      <c r="H1720" s="324"/>
      <c r="I1720" s="325"/>
      <c r="J1720" s="325"/>
      <c r="K1720" s="318"/>
      <c r="L1720" s="318"/>
      <c r="M1720" s="319" t="str">
        <f>IFERROR(VLOOKUP(H1720,Lijsten!$H$1:$I$100,2,0),"")</f>
        <v/>
      </c>
      <c r="N1720" s="319" t="str">
        <f ca="1">IFERROR(IF(VLOOKUP(F1720,Kostentypen!$A$3:$E$21,3,0)=0,"",IF(OR(F1720="Arbeidskosten",F1720="Vergoeding"),VLOOKUP(G1720,Tb_KostenTypen[],2,0),VLOOKUP(F1720,Kostentypen!$A$3:$E$20,3,0))),"")</f>
        <v/>
      </c>
      <c r="O1720" s="320" t="str" cm="1">
        <f t="array" ref="O1720">_xlfn.IFNA(IF(INDEX(Tb_KostenOptiesDB[],MATCH($F1720,Tb_KostenOptiesDB[KostenOptie],0),IFERROR(MATCH(Methode_Keuze,Tb_KostenOptiesDB[#Headers],0),2))=1,_xlfn.SWITCH($N1720,"Uurtarief",IF(OR(AND(RIGHT($F1720,3)="IKS",VLOOKUP($M1720,DB_Loonkosten,2,0)="Ja"),AND(RIGHT($F1720,3)&lt;&gt;"IKS",VLOOKUP($M1720,DB_Loonkosten,2,0)="Nee")),IFERROR(VLOOKUP($M1720,DB_Loonkosten,24,0),""),0),"Vast tarief",IF(LEFT(F1720,8)="Bijdrage",VLOOKUP($F1720,Tb_KostenTypen[],MATCH(Lijsten!$P$1,Tb_KostenTypen[#Headers],0),0),VLOOKUP($G1720,Lijsten!L:P,MATCH(Lijsten!$P$1,Kop_Tarief_Vast,0),0))),""),"")</f>
        <v/>
      </c>
      <c r="P1720" s="320" t="str" cm="1">
        <f t="array" ref="P1720">_xlfn.IFNA(IF(INDEX(Tb_KostenOptiesDB[],MATCH($F1720,Tb_KostenOptiesDB[KostenOptie],0),IFERROR(MATCH(Methode_Keuze,Tb_KostenOptiesDB[#Headers],0),2))=1,_xlfn.SWITCH($N1720,"Uurtarief",IF(OR(AND(RIGHT($F1720,3)="IKS",VLOOKUP($M1720,DB_Loonkosten,2,0)="Ja"),AND(RIGHT($F1720,3)&lt;&gt;"IKS",VLOOKUP($M1720,DB_Loonkosten,2,0)="Nee")),IFERROR(VLOOKUP($M1720,DB_Loonkosten,25,0),""),0),"Vast tarief",IF(LEFT(F1720,8)="Bijdrage",VLOOKUP($F1720,Tb_KostenTypen[],MATCH(Lijsten!$P$1,Tb_KostenTypen[#Headers],0),0),VLOOKUP($G1720,Lijsten!L:P,MATCH(Lijsten!$P$1,Kop_Tarief_Vast,0),0))),""),"")</f>
        <v/>
      </c>
      <c r="Q1720" s="359"/>
      <c r="R1720" s="359"/>
      <c r="S1720" s="321"/>
      <c r="T1720" s="321"/>
      <c r="U1720" s="373" t="str">
        <f t="shared" si="104"/>
        <v/>
      </c>
      <c r="V1720" s="314" t="str">
        <f t="shared" si="105"/>
        <v/>
      </c>
      <c r="W1720" s="314" t="str" cm="1">
        <f t="array" aca="1" ref="W1720" ca="1">IFERROR(IF(AE1720&lt;&gt;"ja",_xlfn.IFNA(_xlfn.IFS(AND(O1720&lt;&gt;"",F1720&lt;&gt;"",RIGHT($N1720,6)="tarief",F1720="Vergoeding"),SUM(O1720)*FLOOR(SUM(Q1720),0.0001),AND(O1720&lt;&gt;"",F1720&lt;&gt;"",RIGHT($N1720,6)="tarief"),SUM(O1720)*FLOOR(SUM(Q1720),0.01),S1720&gt;0,IF(F1720&lt;&gt;"",FLOOR(SUM(S1720),0.01),"")),""),""),"")</f>
        <v/>
      </c>
      <c r="X1720" s="314" t="str" cm="1">
        <f t="array" aca="1" ref="X1720" ca="1">IFERROR(IF(AE1720&lt;&gt;"ja",_xlfn.IFNA(_xlfn.IFS(AND(P1720&lt;&gt;"",R1720&lt;&gt;"",RIGHT($N1720,6)="tarief",F1720="Vergoeding"),SUM(P1720)*FLOOR(SUM(R1720),0.0001),AND(P1720&lt;&gt;"",R1720&lt;&gt;"",RIGHT($N1720,6)="tarief"),P1720*FLOOR(R1720,0.01),T1720&gt;0,FLOOR(SUM(T1720),0.01)),""),""),"")</f>
        <v/>
      </c>
      <c r="Y1720" s="314" t="str">
        <f t="shared" ca="1" si="106"/>
        <v/>
      </c>
      <c r="Z1720" s="314" t="str" cm="1">
        <f t="array" aca="1" ref="Z1720" ca="1">IFERROR(_xlfn.IFS(OR(F1720="",LEFT(Methode_Keuze,4)="Geen",Methode_Keuze=""),"",AND(W1720&lt;&gt;"",F1720&lt;&gt;"Arbeidskosten"),W1720*VLOOKUP(F1720,Tb_ProjectKosten[],MATCH(Tb_ProjectKosten[[#Headers],[Forfait_Percentage]],Tb_ProjectKosten[#Headers],0),0),AND(F1720="Arbeidskosten",G1720&lt;&gt;""),IFERROR(W1720*VLOOKUP(G1720,Tb_KostenTypen[],3,0)*VLOOKUP(F1720,Tb_ProjectKosten[],MATCH(Tb_ProjectKosten[[#Headers],[Forfait_Percentage]],Tb_ProjectKosten[#Headers],0),0),""),W1720 &lt;=0,0),"")</f>
        <v/>
      </c>
      <c r="AA1720" s="314" t="str" cm="1">
        <f t="array" aca="1" ref="AA1720" ca="1">IFERROR(_xlfn.IFS(OR(F1720="",LEFT(Methode_Keuze,4)="Geen",Methode_Keuze=""),"",AND(X1720&lt;&gt;"",F1720&lt;&gt;"Arbeidskosten"),X1720*VLOOKUP(F1720,Tb_ProjectKosten[],MATCH(Tb_ProjectKosten[[#Headers],[Forfait_Percentage]],Tb_ProjectKosten[#Headers],0),0),AND(F1720="Arbeidskosten",G1720&lt;&gt;""),IFERROR(X1720*VLOOKUP(G1720,Tb_KostenTypen[],3,0)*VLOOKUP(F1720,Tb_ProjectKosten[],MATCH(Tb_ProjectKosten[[#Headers],[Forfait_Percentage]],Tb_ProjectKosten[#Headers],0),0),""),X1720 &lt;=0,0),"")</f>
        <v/>
      </c>
      <c r="AB1720" s="314" t="str">
        <f t="shared" ca="1" si="107"/>
        <v/>
      </c>
      <c r="AC1720" s="322"/>
      <c r="AD1720" s="315"/>
      <c r="AE1720" s="32" t="str" cm="1">
        <f t="array" ref="AE1720">IFERROR(IF(INDEX(SubsidieTabel!$AD$1:$AG$12,MATCH($F1720,SubsidieTabel!$AD$1:$AD$12,0),IFERROR(MATCH(Methode_Keuze,SubsidieTabel!$AD$1:$AG$1,0),2))&lt;&gt;1=TRUE,"ja",""),"")</f>
        <v/>
      </c>
    </row>
    <row r="1721" spans="1:31" x14ac:dyDescent="0.25">
      <c r="A1721" s="316"/>
      <c r="B1721" s="317" t="str">
        <f>IF(A1721&lt;&gt;"",_xlfn.MAXIFS($B$1:B1720,$A$1:A1720,A1721)+1,"")</f>
        <v/>
      </c>
      <c r="C1721" s="296"/>
      <c r="D1721" s="296"/>
      <c r="E1721" s="296"/>
      <c r="F1721" s="296"/>
      <c r="G1721" s="326"/>
      <c r="H1721" s="324"/>
      <c r="I1721" s="325"/>
      <c r="J1721" s="325"/>
      <c r="K1721" s="318"/>
      <c r="L1721" s="318"/>
      <c r="M1721" s="319" t="str">
        <f>IFERROR(VLOOKUP(H1721,Lijsten!$H$1:$I$100,2,0),"")</f>
        <v/>
      </c>
      <c r="N1721" s="319" t="str">
        <f ca="1">IFERROR(IF(VLOOKUP(F1721,Kostentypen!$A$3:$E$21,3,0)=0,"",IF(OR(F1721="Arbeidskosten",F1721="Vergoeding"),VLOOKUP(G1721,Tb_KostenTypen[],2,0),VLOOKUP(F1721,Kostentypen!$A$3:$E$20,3,0))),"")</f>
        <v/>
      </c>
      <c r="O1721" s="320" t="str" cm="1">
        <f t="array" ref="O1721">_xlfn.IFNA(IF(INDEX(Tb_KostenOptiesDB[],MATCH($F1721,Tb_KostenOptiesDB[KostenOptie],0),IFERROR(MATCH(Methode_Keuze,Tb_KostenOptiesDB[#Headers],0),2))=1,_xlfn.SWITCH($N1721,"Uurtarief",IF(OR(AND(RIGHT($F1721,3)="IKS",VLOOKUP($M1721,DB_Loonkosten,2,0)="Ja"),AND(RIGHT($F1721,3)&lt;&gt;"IKS",VLOOKUP($M1721,DB_Loonkosten,2,0)="Nee")),IFERROR(VLOOKUP($M1721,DB_Loonkosten,24,0),""),0),"Vast tarief",IF(LEFT(F1721,8)="Bijdrage",VLOOKUP($F1721,Tb_KostenTypen[],MATCH(Lijsten!$P$1,Tb_KostenTypen[#Headers],0),0),VLOOKUP($G1721,Lijsten!L:P,MATCH(Lijsten!$P$1,Kop_Tarief_Vast,0),0))),""),"")</f>
        <v/>
      </c>
      <c r="P1721" s="320" t="str" cm="1">
        <f t="array" ref="P1721">_xlfn.IFNA(IF(INDEX(Tb_KostenOptiesDB[],MATCH($F1721,Tb_KostenOptiesDB[KostenOptie],0),IFERROR(MATCH(Methode_Keuze,Tb_KostenOptiesDB[#Headers],0),2))=1,_xlfn.SWITCH($N1721,"Uurtarief",IF(OR(AND(RIGHT($F1721,3)="IKS",VLOOKUP($M1721,DB_Loonkosten,2,0)="Ja"),AND(RIGHT($F1721,3)&lt;&gt;"IKS",VLOOKUP($M1721,DB_Loonkosten,2,0)="Nee")),IFERROR(VLOOKUP($M1721,DB_Loonkosten,25,0),""),0),"Vast tarief",IF(LEFT(F1721,8)="Bijdrage",VLOOKUP($F1721,Tb_KostenTypen[],MATCH(Lijsten!$P$1,Tb_KostenTypen[#Headers],0),0),VLOOKUP($G1721,Lijsten!L:P,MATCH(Lijsten!$P$1,Kop_Tarief_Vast,0),0))),""),"")</f>
        <v/>
      </c>
      <c r="Q1721" s="359"/>
      <c r="R1721" s="359"/>
      <c r="S1721" s="321"/>
      <c r="T1721" s="321"/>
      <c r="U1721" s="373" t="str">
        <f t="shared" si="104"/>
        <v/>
      </c>
      <c r="V1721" s="314" t="str">
        <f t="shared" si="105"/>
        <v/>
      </c>
      <c r="W1721" s="314" t="str" cm="1">
        <f t="array" aca="1" ref="W1721" ca="1">IFERROR(IF(AE1721&lt;&gt;"ja",_xlfn.IFNA(_xlfn.IFS(AND(O1721&lt;&gt;"",F1721&lt;&gt;"",RIGHT($N1721,6)="tarief",F1721="Vergoeding"),SUM(O1721)*FLOOR(SUM(Q1721),0.0001),AND(O1721&lt;&gt;"",F1721&lt;&gt;"",RIGHT($N1721,6)="tarief"),SUM(O1721)*FLOOR(SUM(Q1721),0.01),S1721&gt;0,IF(F1721&lt;&gt;"",FLOOR(SUM(S1721),0.01),"")),""),""),"")</f>
        <v/>
      </c>
      <c r="X1721" s="314" t="str" cm="1">
        <f t="array" aca="1" ref="X1721" ca="1">IFERROR(IF(AE1721&lt;&gt;"ja",_xlfn.IFNA(_xlfn.IFS(AND(P1721&lt;&gt;"",R1721&lt;&gt;"",RIGHT($N1721,6)="tarief",F1721="Vergoeding"),SUM(P1721)*FLOOR(SUM(R1721),0.0001),AND(P1721&lt;&gt;"",R1721&lt;&gt;"",RIGHT($N1721,6)="tarief"),P1721*FLOOR(R1721,0.01),T1721&gt;0,FLOOR(SUM(T1721),0.01)),""),""),"")</f>
        <v/>
      </c>
      <c r="Y1721" s="314" t="str">
        <f t="shared" ca="1" si="106"/>
        <v/>
      </c>
      <c r="Z1721" s="314" t="str" cm="1">
        <f t="array" aca="1" ref="Z1721" ca="1">IFERROR(_xlfn.IFS(OR(F1721="",LEFT(Methode_Keuze,4)="Geen",Methode_Keuze=""),"",AND(W1721&lt;&gt;"",F1721&lt;&gt;"Arbeidskosten"),W1721*VLOOKUP(F1721,Tb_ProjectKosten[],MATCH(Tb_ProjectKosten[[#Headers],[Forfait_Percentage]],Tb_ProjectKosten[#Headers],0),0),AND(F1721="Arbeidskosten",G1721&lt;&gt;""),IFERROR(W1721*VLOOKUP(G1721,Tb_KostenTypen[],3,0)*VLOOKUP(F1721,Tb_ProjectKosten[],MATCH(Tb_ProjectKosten[[#Headers],[Forfait_Percentage]],Tb_ProjectKosten[#Headers],0),0),""),W1721 &lt;=0,0),"")</f>
        <v/>
      </c>
      <c r="AA1721" s="314" t="str" cm="1">
        <f t="array" aca="1" ref="AA1721" ca="1">IFERROR(_xlfn.IFS(OR(F1721="",LEFT(Methode_Keuze,4)="Geen",Methode_Keuze=""),"",AND(X1721&lt;&gt;"",F1721&lt;&gt;"Arbeidskosten"),X1721*VLOOKUP(F1721,Tb_ProjectKosten[],MATCH(Tb_ProjectKosten[[#Headers],[Forfait_Percentage]],Tb_ProjectKosten[#Headers],0),0),AND(F1721="Arbeidskosten",G1721&lt;&gt;""),IFERROR(X1721*VLOOKUP(G1721,Tb_KostenTypen[],3,0)*VLOOKUP(F1721,Tb_ProjectKosten[],MATCH(Tb_ProjectKosten[[#Headers],[Forfait_Percentage]],Tb_ProjectKosten[#Headers],0),0),""),X1721 &lt;=0,0),"")</f>
        <v/>
      </c>
      <c r="AB1721" s="314" t="str">
        <f t="shared" ca="1" si="107"/>
        <v/>
      </c>
      <c r="AC1721" s="322"/>
      <c r="AD1721" s="315"/>
      <c r="AE1721" s="32" t="str" cm="1">
        <f t="array" ref="AE1721">IFERROR(IF(INDEX(SubsidieTabel!$AD$1:$AG$12,MATCH($F1721,SubsidieTabel!$AD$1:$AD$12,0),IFERROR(MATCH(Methode_Keuze,SubsidieTabel!$AD$1:$AG$1,0),2))&lt;&gt;1=TRUE,"ja",""),"")</f>
        <v/>
      </c>
    </row>
    <row r="1722" spans="1:31" x14ac:dyDescent="0.25">
      <c r="A1722" s="316"/>
      <c r="B1722" s="317" t="str">
        <f>IF(A1722&lt;&gt;"",_xlfn.MAXIFS($B$1:B1721,$A$1:A1721,A1722)+1,"")</f>
        <v/>
      </c>
      <c r="C1722" s="296"/>
      <c r="D1722" s="296"/>
      <c r="E1722" s="296"/>
      <c r="F1722" s="296"/>
      <c r="G1722" s="326"/>
      <c r="H1722" s="324"/>
      <c r="I1722" s="325"/>
      <c r="J1722" s="325"/>
      <c r="K1722" s="318"/>
      <c r="L1722" s="318"/>
      <c r="M1722" s="319" t="str">
        <f>IFERROR(VLOOKUP(H1722,Lijsten!$H$1:$I$100,2,0),"")</f>
        <v/>
      </c>
      <c r="N1722" s="319" t="str">
        <f ca="1">IFERROR(IF(VLOOKUP(F1722,Kostentypen!$A$3:$E$21,3,0)=0,"",IF(OR(F1722="Arbeidskosten",F1722="Vergoeding"),VLOOKUP(G1722,Tb_KostenTypen[],2,0),VLOOKUP(F1722,Kostentypen!$A$3:$E$20,3,0))),"")</f>
        <v/>
      </c>
      <c r="O1722" s="320" t="str" cm="1">
        <f t="array" ref="O1722">_xlfn.IFNA(IF(INDEX(Tb_KostenOptiesDB[],MATCH($F1722,Tb_KostenOptiesDB[KostenOptie],0),IFERROR(MATCH(Methode_Keuze,Tb_KostenOptiesDB[#Headers],0),2))=1,_xlfn.SWITCH($N1722,"Uurtarief",IF(OR(AND(RIGHT($F1722,3)="IKS",VLOOKUP($M1722,DB_Loonkosten,2,0)="Ja"),AND(RIGHT($F1722,3)&lt;&gt;"IKS",VLOOKUP($M1722,DB_Loonkosten,2,0)="Nee")),IFERROR(VLOOKUP($M1722,DB_Loonkosten,24,0),""),0),"Vast tarief",IF(LEFT(F1722,8)="Bijdrage",VLOOKUP($F1722,Tb_KostenTypen[],MATCH(Lijsten!$P$1,Tb_KostenTypen[#Headers],0),0),VLOOKUP($G1722,Lijsten!L:P,MATCH(Lijsten!$P$1,Kop_Tarief_Vast,0),0))),""),"")</f>
        <v/>
      </c>
      <c r="P1722" s="320" t="str" cm="1">
        <f t="array" ref="P1722">_xlfn.IFNA(IF(INDEX(Tb_KostenOptiesDB[],MATCH($F1722,Tb_KostenOptiesDB[KostenOptie],0),IFERROR(MATCH(Methode_Keuze,Tb_KostenOptiesDB[#Headers],0),2))=1,_xlfn.SWITCH($N1722,"Uurtarief",IF(OR(AND(RIGHT($F1722,3)="IKS",VLOOKUP($M1722,DB_Loonkosten,2,0)="Ja"),AND(RIGHT($F1722,3)&lt;&gt;"IKS",VLOOKUP($M1722,DB_Loonkosten,2,0)="Nee")),IFERROR(VLOOKUP($M1722,DB_Loonkosten,25,0),""),0),"Vast tarief",IF(LEFT(F1722,8)="Bijdrage",VLOOKUP($F1722,Tb_KostenTypen[],MATCH(Lijsten!$P$1,Tb_KostenTypen[#Headers],0),0),VLOOKUP($G1722,Lijsten!L:P,MATCH(Lijsten!$P$1,Kop_Tarief_Vast,0),0))),""),"")</f>
        <v/>
      </c>
      <c r="Q1722" s="359"/>
      <c r="R1722" s="359"/>
      <c r="S1722" s="321"/>
      <c r="T1722" s="321"/>
      <c r="U1722" s="373" t="str">
        <f t="shared" si="104"/>
        <v/>
      </c>
      <c r="V1722" s="314" t="str">
        <f t="shared" si="105"/>
        <v/>
      </c>
      <c r="W1722" s="314" t="str" cm="1">
        <f t="array" aca="1" ref="W1722" ca="1">IFERROR(IF(AE1722&lt;&gt;"ja",_xlfn.IFNA(_xlfn.IFS(AND(O1722&lt;&gt;"",F1722&lt;&gt;"",RIGHT($N1722,6)="tarief",F1722="Vergoeding"),SUM(O1722)*FLOOR(SUM(Q1722),0.0001),AND(O1722&lt;&gt;"",F1722&lt;&gt;"",RIGHT($N1722,6)="tarief"),SUM(O1722)*FLOOR(SUM(Q1722),0.01),S1722&gt;0,IF(F1722&lt;&gt;"",FLOOR(SUM(S1722),0.01),"")),""),""),"")</f>
        <v/>
      </c>
      <c r="X1722" s="314" t="str" cm="1">
        <f t="array" aca="1" ref="X1722" ca="1">IFERROR(IF(AE1722&lt;&gt;"ja",_xlfn.IFNA(_xlfn.IFS(AND(P1722&lt;&gt;"",R1722&lt;&gt;"",RIGHT($N1722,6)="tarief",F1722="Vergoeding"),SUM(P1722)*FLOOR(SUM(R1722),0.0001),AND(P1722&lt;&gt;"",R1722&lt;&gt;"",RIGHT($N1722,6)="tarief"),P1722*FLOOR(R1722,0.01),T1722&gt;0,FLOOR(SUM(T1722),0.01)),""),""),"")</f>
        <v/>
      </c>
      <c r="Y1722" s="314" t="str">
        <f t="shared" ca="1" si="106"/>
        <v/>
      </c>
      <c r="Z1722" s="314" t="str" cm="1">
        <f t="array" aca="1" ref="Z1722" ca="1">IFERROR(_xlfn.IFS(OR(F1722="",LEFT(Methode_Keuze,4)="Geen",Methode_Keuze=""),"",AND(W1722&lt;&gt;"",F1722&lt;&gt;"Arbeidskosten"),W1722*VLOOKUP(F1722,Tb_ProjectKosten[],MATCH(Tb_ProjectKosten[[#Headers],[Forfait_Percentage]],Tb_ProjectKosten[#Headers],0),0),AND(F1722="Arbeidskosten",G1722&lt;&gt;""),IFERROR(W1722*VLOOKUP(G1722,Tb_KostenTypen[],3,0)*VLOOKUP(F1722,Tb_ProjectKosten[],MATCH(Tb_ProjectKosten[[#Headers],[Forfait_Percentage]],Tb_ProjectKosten[#Headers],0),0),""),W1722 &lt;=0,0),"")</f>
        <v/>
      </c>
      <c r="AA1722" s="314" t="str" cm="1">
        <f t="array" aca="1" ref="AA1722" ca="1">IFERROR(_xlfn.IFS(OR(F1722="",LEFT(Methode_Keuze,4)="Geen",Methode_Keuze=""),"",AND(X1722&lt;&gt;"",F1722&lt;&gt;"Arbeidskosten"),X1722*VLOOKUP(F1722,Tb_ProjectKosten[],MATCH(Tb_ProjectKosten[[#Headers],[Forfait_Percentage]],Tb_ProjectKosten[#Headers],0),0),AND(F1722="Arbeidskosten",G1722&lt;&gt;""),IFERROR(X1722*VLOOKUP(G1722,Tb_KostenTypen[],3,0)*VLOOKUP(F1722,Tb_ProjectKosten[],MATCH(Tb_ProjectKosten[[#Headers],[Forfait_Percentage]],Tb_ProjectKosten[#Headers],0),0),""),X1722 &lt;=0,0),"")</f>
        <v/>
      </c>
      <c r="AB1722" s="314" t="str">
        <f t="shared" ca="1" si="107"/>
        <v/>
      </c>
      <c r="AC1722" s="322"/>
      <c r="AD1722" s="315"/>
      <c r="AE1722" s="32" t="str" cm="1">
        <f t="array" ref="AE1722">IFERROR(IF(INDEX(SubsidieTabel!$AD$1:$AG$12,MATCH($F1722,SubsidieTabel!$AD$1:$AD$12,0),IFERROR(MATCH(Methode_Keuze,SubsidieTabel!$AD$1:$AG$1,0),2))&lt;&gt;1=TRUE,"ja",""),"")</f>
        <v/>
      </c>
    </row>
    <row r="1723" spans="1:31" x14ac:dyDescent="0.25">
      <c r="A1723" s="316"/>
      <c r="B1723" s="317" t="str">
        <f>IF(A1723&lt;&gt;"",_xlfn.MAXIFS($B$1:B1722,$A$1:A1722,A1723)+1,"")</f>
        <v/>
      </c>
      <c r="C1723" s="296"/>
      <c r="D1723" s="296"/>
      <c r="E1723" s="296"/>
      <c r="F1723" s="296"/>
      <c r="G1723" s="326"/>
      <c r="H1723" s="324"/>
      <c r="I1723" s="325"/>
      <c r="J1723" s="325"/>
      <c r="K1723" s="318"/>
      <c r="L1723" s="318"/>
      <c r="M1723" s="319" t="str">
        <f>IFERROR(VLOOKUP(H1723,Lijsten!$H$1:$I$100,2,0),"")</f>
        <v/>
      </c>
      <c r="N1723" s="319" t="str">
        <f ca="1">IFERROR(IF(VLOOKUP(F1723,Kostentypen!$A$3:$E$21,3,0)=0,"",IF(OR(F1723="Arbeidskosten",F1723="Vergoeding"),VLOOKUP(G1723,Tb_KostenTypen[],2,0),VLOOKUP(F1723,Kostentypen!$A$3:$E$20,3,0))),"")</f>
        <v/>
      </c>
      <c r="O1723" s="320" t="str" cm="1">
        <f t="array" ref="O1723">_xlfn.IFNA(IF(INDEX(Tb_KostenOptiesDB[],MATCH($F1723,Tb_KostenOptiesDB[KostenOptie],0),IFERROR(MATCH(Methode_Keuze,Tb_KostenOptiesDB[#Headers],0),2))=1,_xlfn.SWITCH($N1723,"Uurtarief",IF(OR(AND(RIGHT($F1723,3)="IKS",VLOOKUP($M1723,DB_Loonkosten,2,0)="Ja"),AND(RIGHT($F1723,3)&lt;&gt;"IKS",VLOOKUP($M1723,DB_Loonkosten,2,0)="Nee")),IFERROR(VLOOKUP($M1723,DB_Loonkosten,24,0),""),0),"Vast tarief",IF(LEFT(F1723,8)="Bijdrage",VLOOKUP($F1723,Tb_KostenTypen[],MATCH(Lijsten!$P$1,Tb_KostenTypen[#Headers],0),0),VLOOKUP($G1723,Lijsten!L:P,MATCH(Lijsten!$P$1,Kop_Tarief_Vast,0),0))),""),"")</f>
        <v/>
      </c>
      <c r="P1723" s="320" t="str" cm="1">
        <f t="array" ref="P1723">_xlfn.IFNA(IF(INDEX(Tb_KostenOptiesDB[],MATCH($F1723,Tb_KostenOptiesDB[KostenOptie],0),IFERROR(MATCH(Methode_Keuze,Tb_KostenOptiesDB[#Headers],0),2))=1,_xlfn.SWITCH($N1723,"Uurtarief",IF(OR(AND(RIGHT($F1723,3)="IKS",VLOOKUP($M1723,DB_Loonkosten,2,0)="Ja"),AND(RIGHT($F1723,3)&lt;&gt;"IKS",VLOOKUP($M1723,DB_Loonkosten,2,0)="Nee")),IFERROR(VLOOKUP($M1723,DB_Loonkosten,25,0),""),0),"Vast tarief",IF(LEFT(F1723,8)="Bijdrage",VLOOKUP($F1723,Tb_KostenTypen[],MATCH(Lijsten!$P$1,Tb_KostenTypen[#Headers],0),0),VLOOKUP($G1723,Lijsten!L:P,MATCH(Lijsten!$P$1,Kop_Tarief_Vast,0),0))),""),"")</f>
        <v/>
      </c>
      <c r="Q1723" s="359"/>
      <c r="R1723" s="359"/>
      <c r="S1723" s="321"/>
      <c r="T1723" s="321"/>
      <c r="U1723" s="373" t="str">
        <f t="shared" si="104"/>
        <v/>
      </c>
      <c r="V1723" s="314" t="str">
        <f t="shared" si="105"/>
        <v/>
      </c>
      <c r="W1723" s="314" t="str" cm="1">
        <f t="array" aca="1" ref="W1723" ca="1">IFERROR(IF(AE1723&lt;&gt;"ja",_xlfn.IFNA(_xlfn.IFS(AND(O1723&lt;&gt;"",F1723&lt;&gt;"",RIGHT($N1723,6)="tarief",F1723="Vergoeding"),SUM(O1723)*FLOOR(SUM(Q1723),0.0001),AND(O1723&lt;&gt;"",F1723&lt;&gt;"",RIGHT($N1723,6)="tarief"),SUM(O1723)*FLOOR(SUM(Q1723),0.01),S1723&gt;0,IF(F1723&lt;&gt;"",FLOOR(SUM(S1723),0.01),"")),""),""),"")</f>
        <v/>
      </c>
      <c r="X1723" s="314" t="str" cm="1">
        <f t="array" aca="1" ref="X1723" ca="1">IFERROR(IF(AE1723&lt;&gt;"ja",_xlfn.IFNA(_xlfn.IFS(AND(P1723&lt;&gt;"",R1723&lt;&gt;"",RIGHT($N1723,6)="tarief",F1723="Vergoeding"),SUM(P1723)*FLOOR(SUM(R1723),0.0001),AND(P1723&lt;&gt;"",R1723&lt;&gt;"",RIGHT($N1723,6)="tarief"),P1723*FLOOR(R1723,0.01),T1723&gt;0,FLOOR(SUM(T1723),0.01)),""),""),"")</f>
        <v/>
      </c>
      <c r="Y1723" s="314" t="str">
        <f t="shared" ca="1" si="106"/>
        <v/>
      </c>
      <c r="Z1723" s="314" t="str" cm="1">
        <f t="array" aca="1" ref="Z1723" ca="1">IFERROR(_xlfn.IFS(OR(F1723="",LEFT(Methode_Keuze,4)="Geen",Methode_Keuze=""),"",AND(W1723&lt;&gt;"",F1723&lt;&gt;"Arbeidskosten"),W1723*VLOOKUP(F1723,Tb_ProjectKosten[],MATCH(Tb_ProjectKosten[[#Headers],[Forfait_Percentage]],Tb_ProjectKosten[#Headers],0),0),AND(F1723="Arbeidskosten",G1723&lt;&gt;""),IFERROR(W1723*VLOOKUP(G1723,Tb_KostenTypen[],3,0)*VLOOKUP(F1723,Tb_ProjectKosten[],MATCH(Tb_ProjectKosten[[#Headers],[Forfait_Percentage]],Tb_ProjectKosten[#Headers],0),0),""),W1723 &lt;=0,0),"")</f>
        <v/>
      </c>
      <c r="AA1723" s="314" t="str" cm="1">
        <f t="array" aca="1" ref="AA1723" ca="1">IFERROR(_xlfn.IFS(OR(F1723="",LEFT(Methode_Keuze,4)="Geen",Methode_Keuze=""),"",AND(X1723&lt;&gt;"",F1723&lt;&gt;"Arbeidskosten"),X1723*VLOOKUP(F1723,Tb_ProjectKosten[],MATCH(Tb_ProjectKosten[[#Headers],[Forfait_Percentage]],Tb_ProjectKosten[#Headers],0),0),AND(F1723="Arbeidskosten",G1723&lt;&gt;""),IFERROR(X1723*VLOOKUP(G1723,Tb_KostenTypen[],3,0)*VLOOKUP(F1723,Tb_ProjectKosten[],MATCH(Tb_ProjectKosten[[#Headers],[Forfait_Percentage]],Tb_ProjectKosten[#Headers],0),0),""),X1723 &lt;=0,0),"")</f>
        <v/>
      </c>
      <c r="AB1723" s="314" t="str">
        <f t="shared" ca="1" si="107"/>
        <v/>
      </c>
      <c r="AC1723" s="322"/>
      <c r="AD1723" s="315"/>
      <c r="AE1723" s="32" t="str" cm="1">
        <f t="array" ref="AE1723">IFERROR(IF(INDEX(SubsidieTabel!$AD$1:$AG$12,MATCH($F1723,SubsidieTabel!$AD$1:$AD$12,0),IFERROR(MATCH(Methode_Keuze,SubsidieTabel!$AD$1:$AG$1,0),2))&lt;&gt;1=TRUE,"ja",""),"")</f>
        <v/>
      </c>
    </row>
    <row r="1724" spans="1:31" x14ac:dyDescent="0.25">
      <c r="A1724" s="316"/>
      <c r="B1724" s="317" t="str">
        <f>IF(A1724&lt;&gt;"",_xlfn.MAXIFS($B$1:B1723,$A$1:A1723,A1724)+1,"")</f>
        <v/>
      </c>
      <c r="C1724" s="296"/>
      <c r="D1724" s="296"/>
      <c r="E1724" s="296"/>
      <c r="F1724" s="296"/>
      <c r="G1724" s="326"/>
      <c r="H1724" s="324"/>
      <c r="I1724" s="325"/>
      <c r="J1724" s="325"/>
      <c r="K1724" s="318"/>
      <c r="L1724" s="318"/>
      <c r="M1724" s="319" t="str">
        <f>IFERROR(VLOOKUP(H1724,Lijsten!$H$1:$I$100,2,0),"")</f>
        <v/>
      </c>
      <c r="N1724" s="319" t="str">
        <f ca="1">IFERROR(IF(VLOOKUP(F1724,Kostentypen!$A$3:$E$21,3,0)=0,"",IF(OR(F1724="Arbeidskosten",F1724="Vergoeding"),VLOOKUP(G1724,Tb_KostenTypen[],2,0),VLOOKUP(F1724,Kostentypen!$A$3:$E$20,3,0))),"")</f>
        <v/>
      </c>
      <c r="O1724" s="320" t="str" cm="1">
        <f t="array" ref="O1724">_xlfn.IFNA(IF(INDEX(Tb_KostenOptiesDB[],MATCH($F1724,Tb_KostenOptiesDB[KostenOptie],0),IFERROR(MATCH(Methode_Keuze,Tb_KostenOptiesDB[#Headers],0),2))=1,_xlfn.SWITCH($N1724,"Uurtarief",IF(OR(AND(RIGHT($F1724,3)="IKS",VLOOKUP($M1724,DB_Loonkosten,2,0)="Ja"),AND(RIGHT($F1724,3)&lt;&gt;"IKS",VLOOKUP($M1724,DB_Loonkosten,2,0)="Nee")),IFERROR(VLOOKUP($M1724,DB_Loonkosten,24,0),""),0),"Vast tarief",IF(LEFT(F1724,8)="Bijdrage",VLOOKUP($F1724,Tb_KostenTypen[],MATCH(Lijsten!$P$1,Tb_KostenTypen[#Headers],0),0),VLOOKUP($G1724,Lijsten!L:P,MATCH(Lijsten!$P$1,Kop_Tarief_Vast,0),0))),""),"")</f>
        <v/>
      </c>
      <c r="P1724" s="320" t="str" cm="1">
        <f t="array" ref="P1724">_xlfn.IFNA(IF(INDEX(Tb_KostenOptiesDB[],MATCH($F1724,Tb_KostenOptiesDB[KostenOptie],0),IFERROR(MATCH(Methode_Keuze,Tb_KostenOptiesDB[#Headers],0),2))=1,_xlfn.SWITCH($N1724,"Uurtarief",IF(OR(AND(RIGHT($F1724,3)="IKS",VLOOKUP($M1724,DB_Loonkosten,2,0)="Ja"),AND(RIGHT($F1724,3)&lt;&gt;"IKS",VLOOKUP($M1724,DB_Loonkosten,2,0)="Nee")),IFERROR(VLOOKUP($M1724,DB_Loonkosten,25,0),""),0),"Vast tarief",IF(LEFT(F1724,8)="Bijdrage",VLOOKUP($F1724,Tb_KostenTypen[],MATCH(Lijsten!$P$1,Tb_KostenTypen[#Headers],0),0),VLOOKUP($G1724,Lijsten!L:P,MATCH(Lijsten!$P$1,Kop_Tarief_Vast,0),0))),""),"")</f>
        <v/>
      </c>
      <c r="Q1724" s="359"/>
      <c r="R1724" s="359"/>
      <c r="S1724" s="321"/>
      <c r="T1724" s="321"/>
      <c r="U1724" s="373" t="str">
        <f t="shared" si="104"/>
        <v/>
      </c>
      <c r="V1724" s="314" t="str">
        <f t="shared" si="105"/>
        <v/>
      </c>
      <c r="W1724" s="314" t="str" cm="1">
        <f t="array" aca="1" ref="W1724" ca="1">IFERROR(IF(AE1724&lt;&gt;"ja",_xlfn.IFNA(_xlfn.IFS(AND(O1724&lt;&gt;"",F1724&lt;&gt;"",RIGHT($N1724,6)="tarief",F1724="Vergoeding"),SUM(O1724)*FLOOR(SUM(Q1724),0.0001),AND(O1724&lt;&gt;"",F1724&lt;&gt;"",RIGHT($N1724,6)="tarief"),SUM(O1724)*FLOOR(SUM(Q1724),0.01),S1724&gt;0,IF(F1724&lt;&gt;"",FLOOR(SUM(S1724),0.01),"")),""),""),"")</f>
        <v/>
      </c>
      <c r="X1724" s="314" t="str" cm="1">
        <f t="array" aca="1" ref="X1724" ca="1">IFERROR(IF(AE1724&lt;&gt;"ja",_xlfn.IFNA(_xlfn.IFS(AND(P1724&lt;&gt;"",R1724&lt;&gt;"",RIGHT($N1724,6)="tarief",F1724="Vergoeding"),SUM(P1724)*FLOOR(SUM(R1724),0.0001),AND(P1724&lt;&gt;"",R1724&lt;&gt;"",RIGHT($N1724,6)="tarief"),P1724*FLOOR(R1724,0.01),T1724&gt;0,FLOOR(SUM(T1724),0.01)),""),""),"")</f>
        <v/>
      </c>
      <c r="Y1724" s="314" t="str">
        <f t="shared" ca="1" si="106"/>
        <v/>
      </c>
      <c r="Z1724" s="314" t="str" cm="1">
        <f t="array" aca="1" ref="Z1724" ca="1">IFERROR(_xlfn.IFS(OR(F1724="",LEFT(Methode_Keuze,4)="Geen",Methode_Keuze=""),"",AND(W1724&lt;&gt;"",F1724&lt;&gt;"Arbeidskosten"),W1724*VLOOKUP(F1724,Tb_ProjectKosten[],MATCH(Tb_ProjectKosten[[#Headers],[Forfait_Percentage]],Tb_ProjectKosten[#Headers],0),0),AND(F1724="Arbeidskosten",G1724&lt;&gt;""),IFERROR(W1724*VLOOKUP(G1724,Tb_KostenTypen[],3,0)*VLOOKUP(F1724,Tb_ProjectKosten[],MATCH(Tb_ProjectKosten[[#Headers],[Forfait_Percentage]],Tb_ProjectKosten[#Headers],0),0),""),W1724 &lt;=0,0),"")</f>
        <v/>
      </c>
      <c r="AA1724" s="314" t="str" cm="1">
        <f t="array" aca="1" ref="AA1724" ca="1">IFERROR(_xlfn.IFS(OR(F1724="",LEFT(Methode_Keuze,4)="Geen",Methode_Keuze=""),"",AND(X1724&lt;&gt;"",F1724&lt;&gt;"Arbeidskosten"),X1724*VLOOKUP(F1724,Tb_ProjectKosten[],MATCH(Tb_ProjectKosten[[#Headers],[Forfait_Percentage]],Tb_ProjectKosten[#Headers],0),0),AND(F1724="Arbeidskosten",G1724&lt;&gt;""),IFERROR(X1724*VLOOKUP(G1724,Tb_KostenTypen[],3,0)*VLOOKUP(F1724,Tb_ProjectKosten[],MATCH(Tb_ProjectKosten[[#Headers],[Forfait_Percentage]],Tb_ProjectKosten[#Headers],0),0),""),X1724 &lt;=0,0),"")</f>
        <v/>
      </c>
      <c r="AB1724" s="314" t="str">
        <f t="shared" ca="1" si="107"/>
        <v/>
      </c>
      <c r="AC1724" s="322"/>
      <c r="AD1724" s="315"/>
      <c r="AE1724" s="32" t="str" cm="1">
        <f t="array" ref="AE1724">IFERROR(IF(INDEX(SubsidieTabel!$AD$1:$AG$12,MATCH($F1724,SubsidieTabel!$AD$1:$AD$12,0),IFERROR(MATCH(Methode_Keuze,SubsidieTabel!$AD$1:$AG$1,0),2))&lt;&gt;1=TRUE,"ja",""),"")</f>
        <v/>
      </c>
    </row>
    <row r="1725" spans="1:31" x14ac:dyDescent="0.25">
      <c r="A1725" s="316"/>
      <c r="B1725" s="317" t="str">
        <f>IF(A1725&lt;&gt;"",_xlfn.MAXIFS($B$1:B1724,$A$1:A1724,A1725)+1,"")</f>
        <v/>
      </c>
      <c r="C1725" s="296"/>
      <c r="D1725" s="296"/>
      <c r="E1725" s="296"/>
      <c r="F1725" s="296"/>
      <c r="G1725" s="326"/>
      <c r="H1725" s="324"/>
      <c r="I1725" s="325"/>
      <c r="J1725" s="325"/>
      <c r="K1725" s="318"/>
      <c r="L1725" s="318"/>
      <c r="M1725" s="319" t="str">
        <f>IFERROR(VLOOKUP(H1725,Lijsten!$H$1:$I$100,2,0),"")</f>
        <v/>
      </c>
      <c r="N1725" s="319" t="str">
        <f ca="1">IFERROR(IF(VLOOKUP(F1725,Kostentypen!$A$3:$E$21,3,0)=0,"",IF(OR(F1725="Arbeidskosten",F1725="Vergoeding"),VLOOKUP(G1725,Tb_KostenTypen[],2,0),VLOOKUP(F1725,Kostentypen!$A$3:$E$20,3,0))),"")</f>
        <v/>
      </c>
      <c r="O1725" s="320" t="str" cm="1">
        <f t="array" ref="O1725">_xlfn.IFNA(IF(INDEX(Tb_KostenOptiesDB[],MATCH($F1725,Tb_KostenOptiesDB[KostenOptie],0),IFERROR(MATCH(Methode_Keuze,Tb_KostenOptiesDB[#Headers],0),2))=1,_xlfn.SWITCH($N1725,"Uurtarief",IF(OR(AND(RIGHT($F1725,3)="IKS",VLOOKUP($M1725,DB_Loonkosten,2,0)="Ja"),AND(RIGHT($F1725,3)&lt;&gt;"IKS",VLOOKUP($M1725,DB_Loonkosten,2,0)="Nee")),IFERROR(VLOOKUP($M1725,DB_Loonkosten,24,0),""),0),"Vast tarief",IF(LEFT(F1725,8)="Bijdrage",VLOOKUP($F1725,Tb_KostenTypen[],MATCH(Lijsten!$P$1,Tb_KostenTypen[#Headers],0),0),VLOOKUP($G1725,Lijsten!L:P,MATCH(Lijsten!$P$1,Kop_Tarief_Vast,0),0))),""),"")</f>
        <v/>
      </c>
      <c r="P1725" s="320" t="str" cm="1">
        <f t="array" ref="P1725">_xlfn.IFNA(IF(INDEX(Tb_KostenOptiesDB[],MATCH($F1725,Tb_KostenOptiesDB[KostenOptie],0),IFERROR(MATCH(Methode_Keuze,Tb_KostenOptiesDB[#Headers],0),2))=1,_xlfn.SWITCH($N1725,"Uurtarief",IF(OR(AND(RIGHT($F1725,3)="IKS",VLOOKUP($M1725,DB_Loonkosten,2,0)="Ja"),AND(RIGHT($F1725,3)&lt;&gt;"IKS",VLOOKUP($M1725,DB_Loonkosten,2,0)="Nee")),IFERROR(VLOOKUP($M1725,DB_Loonkosten,25,0),""),0),"Vast tarief",IF(LEFT(F1725,8)="Bijdrage",VLOOKUP($F1725,Tb_KostenTypen[],MATCH(Lijsten!$P$1,Tb_KostenTypen[#Headers],0),0),VLOOKUP($G1725,Lijsten!L:P,MATCH(Lijsten!$P$1,Kop_Tarief_Vast,0),0))),""),"")</f>
        <v/>
      </c>
      <c r="Q1725" s="359"/>
      <c r="R1725" s="359"/>
      <c r="S1725" s="321"/>
      <c r="T1725" s="321"/>
      <c r="U1725" s="373" t="str">
        <f t="shared" si="104"/>
        <v/>
      </c>
      <c r="V1725" s="314" t="str">
        <f t="shared" si="105"/>
        <v/>
      </c>
      <c r="W1725" s="314" t="str" cm="1">
        <f t="array" aca="1" ref="W1725" ca="1">IFERROR(IF(AE1725&lt;&gt;"ja",_xlfn.IFNA(_xlfn.IFS(AND(O1725&lt;&gt;"",F1725&lt;&gt;"",RIGHT($N1725,6)="tarief",F1725="Vergoeding"),SUM(O1725)*FLOOR(SUM(Q1725),0.0001),AND(O1725&lt;&gt;"",F1725&lt;&gt;"",RIGHT($N1725,6)="tarief"),SUM(O1725)*FLOOR(SUM(Q1725),0.01),S1725&gt;0,IF(F1725&lt;&gt;"",FLOOR(SUM(S1725),0.01),"")),""),""),"")</f>
        <v/>
      </c>
      <c r="X1725" s="314" t="str" cm="1">
        <f t="array" aca="1" ref="X1725" ca="1">IFERROR(IF(AE1725&lt;&gt;"ja",_xlfn.IFNA(_xlfn.IFS(AND(P1725&lt;&gt;"",R1725&lt;&gt;"",RIGHT($N1725,6)="tarief",F1725="Vergoeding"),SUM(P1725)*FLOOR(SUM(R1725),0.0001),AND(P1725&lt;&gt;"",R1725&lt;&gt;"",RIGHT($N1725,6)="tarief"),P1725*FLOOR(R1725,0.01),T1725&gt;0,FLOOR(SUM(T1725),0.01)),""),""),"")</f>
        <v/>
      </c>
      <c r="Y1725" s="314" t="str">
        <f t="shared" ca="1" si="106"/>
        <v/>
      </c>
      <c r="Z1725" s="314" t="str" cm="1">
        <f t="array" aca="1" ref="Z1725" ca="1">IFERROR(_xlfn.IFS(OR(F1725="",LEFT(Methode_Keuze,4)="Geen",Methode_Keuze=""),"",AND(W1725&lt;&gt;"",F1725&lt;&gt;"Arbeidskosten"),W1725*VLOOKUP(F1725,Tb_ProjectKosten[],MATCH(Tb_ProjectKosten[[#Headers],[Forfait_Percentage]],Tb_ProjectKosten[#Headers],0),0),AND(F1725="Arbeidskosten",G1725&lt;&gt;""),IFERROR(W1725*VLOOKUP(G1725,Tb_KostenTypen[],3,0)*VLOOKUP(F1725,Tb_ProjectKosten[],MATCH(Tb_ProjectKosten[[#Headers],[Forfait_Percentage]],Tb_ProjectKosten[#Headers],0),0),""),W1725 &lt;=0,0),"")</f>
        <v/>
      </c>
      <c r="AA1725" s="314" t="str" cm="1">
        <f t="array" aca="1" ref="AA1725" ca="1">IFERROR(_xlfn.IFS(OR(F1725="",LEFT(Methode_Keuze,4)="Geen",Methode_Keuze=""),"",AND(X1725&lt;&gt;"",F1725&lt;&gt;"Arbeidskosten"),X1725*VLOOKUP(F1725,Tb_ProjectKosten[],MATCH(Tb_ProjectKosten[[#Headers],[Forfait_Percentage]],Tb_ProjectKosten[#Headers],0),0),AND(F1725="Arbeidskosten",G1725&lt;&gt;""),IFERROR(X1725*VLOOKUP(G1725,Tb_KostenTypen[],3,0)*VLOOKUP(F1725,Tb_ProjectKosten[],MATCH(Tb_ProjectKosten[[#Headers],[Forfait_Percentage]],Tb_ProjectKosten[#Headers],0),0),""),X1725 &lt;=0,0),"")</f>
        <v/>
      </c>
      <c r="AB1725" s="314" t="str">
        <f t="shared" ca="1" si="107"/>
        <v/>
      </c>
      <c r="AC1725" s="322"/>
      <c r="AD1725" s="315"/>
      <c r="AE1725" s="32" t="str" cm="1">
        <f t="array" ref="AE1725">IFERROR(IF(INDEX(SubsidieTabel!$AD$1:$AG$12,MATCH($F1725,SubsidieTabel!$AD$1:$AD$12,0),IFERROR(MATCH(Methode_Keuze,SubsidieTabel!$AD$1:$AG$1,0),2))&lt;&gt;1=TRUE,"ja",""),"")</f>
        <v/>
      </c>
    </row>
    <row r="1726" spans="1:31" x14ac:dyDescent="0.25">
      <c r="A1726" s="316"/>
      <c r="B1726" s="317" t="str">
        <f>IF(A1726&lt;&gt;"",_xlfn.MAXIFS($B$1:B1725,$A$1:A1725,A1726)+1,"")</f>
        <v/>
      </c>
      <c r="C1726" s="296"/>
      <c r="D1726" s="296"/>
      <c r="E1726" s="296"/>
      <c r="F1726" s="296"/>
      <c r="G1726" s="326"/>
      <c r="H1726" s="324"/>
      <c r="I1726" s="325"/>
      <c r="J1726" s="325"/>
      <c r="K1726" s="318"/>
      <c r="L1726" s="318"/>
      <c r="M1726" s="319" t="str">
        <f>IFERROR(VLOOKUP(H1726,Lijsten!$H$1:$I$100,2,0),"")</f>
        <v/>
      </c>
      <c r="N1726" s="319" t="str">
        <f ca="1">IFERROR(IF(VLOOKUP(F1726,Kostentypen!$A$3:$E$21,3,0)=0,"",IF(OR(F1726="Arbeidskosten",F1726="Vergoeding"),VLOOKUP(G1726,Tb_KostenTypen[],2,0),VLOOKUP(F1726,Kostentypen!$A$3:$E$20,3,0))),"")</f>
        <v/>
      </c>
      <c r="O1726" s="320" t="str" cm="1">
        <f t="array" ref="O1726">_xlfn.IFNA(IF(INDEX(Tb_KostenOptiesDB[],MATCH($F1726,Tb_KostenOptiesDB[KostenOptie],0),IFERROR(MATCH(Methode_Keuze,Tb_KostenOptiesDB[#Headers],0),2))=1,_xlfn.SWITCH($N1726,"Uurtarief",IF(OR(AND(RIGHT($F1726,3)="IKS",VLOOKUP($M1726,DB_Loonkosten,2,0)="Ja"),AND(RIGHT($F1726,3)&lt;&gt;"IKS",VLOOKUP($M1726,DB_Loonkosten,2,0)="Nee")),IFERROR(VLOOKUP($M1726,DB_Loonkosten,24,0),""),0),"Vast tarief",IF(LEFT(F1726,8)="Bijdrage",VLOOKUP($F1726,Tb_KostenTypen[],MATCH(Lijsten!$P$1,Tb_KostenTypen[#Headers],0),0),VLOOKUP($G1726,Lijsten!L:P,MATCH(Lijsten!$P$1,Kop_Tarief_Vast,0),0))),""),"")</f>
        <v/>
      </c>
      <c r="P1726" s="320" t="str" cm="1">
        <f t="array" ref="P1726">_xlfn.IFNA(IF(INDEX(Tb_KostenOptiesDB[],MATCH($F1726,Tb_KostenOptiesDB[KostenOptie],0),IFERROR(MATCH(Methode_Keuze,Tb_KostenOptiesDB[#Headers],0),2))=1,_xlfn.SWITCH($N1726,"Uurtarief",IF(OR(AND(RIGHT($F1726,3)="IKS",VLOOKUP($M1726,DB_Loonkosten,2,0)="Ja"),AND(RIGHT($F1726,3)&lt;&gt;"IKS",VLOOKUP($M1726,DB_Loonkosten,2,0)="Nee")),IFERROR(VLOOKUP($M1726,DB_Loonkosten,25,0),""),0),"Vast tarief",IF(LEFT(F1726,8)="Bijdrage",VLOOKUP($F1726,Tb_KostenTypen[],MATCH(Lijsten!$P$1,Tb_KostenTypen[#Headers],0),0),VLOOKUP($G1726,Lijsten!L:P,MATCH(Lijsten!$P$1,Kop_Tarief_Vast,0),0))),""),"")</f>
        <v/>
      </c>
      <c r="Q1726" s="359"/>
      <c r="R1726" s="359"/>
      <c r="S1726" s="321"/>
      <c r="T1726" s="321"/>
      <c r="U1726" s="373" t="str">
        <f t="shared" si="104"/>
        <v/>
      </c>
      <c r="V1726" s="314" t="str">
        <f t="shared" si="105"/>
        <v/>
      </c>
      <c r="W1726" s="314" t="str" cm="1">
        <f t="array" aca="1" ref="W1726" ca="1">IFERROR(IF(AE1726&lt;&gt;"ja",_xlfn.IFNA(_xlfn.IFS(AND(O1726&lt;&gt;"",F1726&lt;&gt;"",RIGHT($N1726,6)="tarief",F1726="Vergoeding"),SUM(O1726)*FLOOR(SUM(Q1726),0.0001),AND(O1726&lt;&gt;"",F1726&lt;&gt;"",RIGHT($N1726,6)="tarief"),SUM(O1726)*FLOOR(SUM(Q1726),0.01),S1726&gt;0,IF(F1726&lt;&gt;"",FLOOR(SUM(S1726),0.01),"")),""),""),"")</f>
        <v/>
      </c>
      <c r="X1726" s="314" t="str" cm="1">
        <f t="array" aca="1" ref="X1726" ca="1">IFERROR(IF(AE1726&lt;&gt;"ja",_xlfn.IFNA(_xlfn.IFS(AND(P1726&lt;&gt;"",R1726&lt;&gt;"",RIGHT($N1726,6)="tarief",F1726="Vergoeding"),SUM(P1726)*FLOOR(SUM(R1726),0.0001),AND(P1726&lt;&gt;"",R1726&lt;&gt;"",RIGHT($N1726,6)="tarief"),P1726*FLOOR(R1726,0.01),T1726&gt;0,FLOOR(SUM(T1726),0.01)),""),""),"")</f>
        <v/>
      </c>
      <c r="Y1726" s="314" t="str">
        <f t="shared" ca="1" si="106"/>
        <v/>
      </c>
      <c r="Z1726" s="314" t="str" cm="1">
        <f t="array" aca="1" ref="Z1726" ca="1">IFERROR(_xlfn.IFS(OR(F1726="",LEFT(Methode_Keuze,4)="Geen",Methode_Keuze=""),"",AND(W1726&lt;&gt;"",F1726&lt;&gt;"Arbeidskosten"),W1726*VLOOKUP(F1726,Tb_ProjectKosten[],MATCH(Tb_ProjectKosten[[#Headers],[Forfait_Percentage]],Tb_ProjectKosten[#Headers],0),0),AND(F1726="Arbeidskosten",G1726&lt;&gt;""),IFERROR(W1726*VLOOKUP(G1726,Tb_KostenTypen[],3,0)*VLOOKUP(F1726,Tb_ProjectKosten[],MATCH(Tb_ProjectKosten[[#Headers],[Forfait_Percentage]],Tb_ProjectKosten[#Headers],0),0),""),W1726 &lt;=0,0),"")</f>
        <v/>
      </c>
      <c r="AA1726" s="314" t="str" cm="1">
        <f t="array" aca="1" ref="AA1726" ca="1">IFERROR(_xlfn.IFS(OR(F1726="",LEFT(Methode_Keuze,4)="Geen",Methode_Keuze=""),"",AND(X1726&lt;&gt;"",F1726&lt;&gt;"Arbeidskosten"),X1726*VLOOKUP(F1726,Tb_ProjectKosten[],MATCH(Tb_ProjectKosten[[#Headers],[Forfait_Percentage]],Tb_ProjectKosten[#Headers],0),0),AND(F1726="Arbeidskosten",G1726&lt;&gt;""),IFERROR(X1726*VLOOKUP(G1726,Tb_KostenTypen[],3,0)*VLOOKUP(F1726,Tb_ProjectKosten[],MATCH(Tb_ProjectKosten[[#Headers],[Forfait_Percentage]],Tb_ProjectKosten[#Headers],0),0),""),X1726 &lt;=0,0),"")</f>
        <v/>
      </c>
      <c r="AB1726" s="314" t="str">
        <f t="shared" ca="1" si="107"/>
        <v/>
      </c>
      <c r="AC1726" s="322"/>
      <c r="AD1726" s="315"/>
      <c r="AE1726" s="32" t="str" cm="1">
        <f t="array" ref="AE1726">IFERROR(IF(INDEX(SubsidieTabel!$AD$1:$AG$12,MATCH($F1726,SubsidieTabel!$AD$1:$AD$12,0),IFERROR(MATCH(Methode_Keuze,SubsidieTabel!$AD$1:$AG$1,0),2))&lt;&gt;1=TRUE,"ja",""),"")</f>
        <v/>
      </c>
    </row>
    <row r="1727" spans="1:31" x14ac:dyDescent="0.25">
      <c r="A1727" s="316"/>
      <c r="B1727" s="317" t="str">
        <f>IF(A1727&lt;&gt;"",_xlfn.MAXIFS($B$1:B1726,$A$1:A1726,A1727)+1,"")</f>
        <v/>
      </c>
      <c r="C1727" s="296"/>
      <c r="D1727" s="296"/>
      <c r="E1727" s="296"/>
      <c r="F1727" s="296"/>
      <c r="G1727" s="326"/>
      <c r="H1727" s="324"/>
      <c r="I1727" s="325"/>
      <c r="J1727" s="325"/>
      <c r="K1727" s="318"/>
      <c r="L1727" s="318"/>
      <c r="M1727" s="319" t="str">
        <f>IFERROR(VLOOKUP(H1727,Lijsten!$H$1:$I$100,2,0),"")</f>
        <v/>
      </c>
      <c r="N1727" s="319" t="str">
        <f ca="1">IFERROR(IF(VLOOKUP(F1727,Kostentypen!$A$3:$E$21,3,0)=0,"",IF(OR(F1727="Arbeidskosten",F1727="Vergoeding"),VLOOKUP(G1727,Tb_KostenTypen[],2,0),VLOOKUP(F1727,Kostentypen!$A$3:$E$20,3,0))),"")</f>
        <v/>
      </c>
      <c r="O1727" s="320" t="str" cm="1">
        <f t="array" ref="O1727">_xlfn.IFNA(IF(INDEX(Tb_KostenOptiesDB[],MATCH($F1727,Tb_KostenOptiesDB[KostenOptie],0),IFERROR(MATCH(Methode_Keuze,Tb_KostenOptiesDB[#Headers],0),2))=1,_xlfn.SWITCH($N1727,"Uurtarief",IF(OR(AND(RIGHT($F1727,3)="IKS",VLOOKUP($M1727,DB_Loonkosten,2,0)="Ja"),AND(RIGHT($F1727,3)&lt;&gt;"IKS",VLOOKUP($M1727,DB_Loonkosten,2,0)="Nee")),IFERROR(VLOOKUP($M1727,DB_Loonkosten,24,0),""),0),"Vast tarief",IF(LEFT(F1727,8)="Bijdrage",VLOOKUP($F1727,Tb_KostenTypen[],MATCH(Lijsten!$P$1,Tb_KostenTypen[#Headers],0),0),VLOOKUP($G1727,Lijsten!L:P,MATCH(Lijsten!$P$1,Kop_Tarief_Vast,0),0))),""),"")</f>
        <v/>
      </c>
      <c r="P1727" s="320" t="str" cm="1">
        <f t="array" ref="P1727">_xlfn.IFNA(IF(INDEX(Tb_KostenOptiesDB[],MATCH($F1727,Tb_KostenOptiesDB[KostenOptie],0),IFERROR(MATCH(Methode_Keuze,Tb_KostenOptiesDB[#Headers],0),2))=1,_xlfn.SWITCH($N1727,"Uurtarief",IF(OR(AND(RIGHT($F1727,3)="IKS",VLOOKUP($M1727,DB_Loonkosten,2,0)="Ja"),AND(RIGHT($F1727,3)&lt;&gt;"IKS",VLOOKUP($M1727,DB_Loonkosten,2,0)="Nee")),IFERROR(VLOOKUP($M1727,DB_Loonkosten,25,0),""),0),"Vast tarief",IF(LEFT(F1727,8)="Bijdrage",VLOOKUP($F1727,Tb_KostenTypen[],MATCH(Lijsten!$P$1,Tb_KostenTypen[#Headers],0),0),VLOOKUP($G1727,Lijsten!L:P,MATCH(Lijsten!$P$1,Kop_Tarief_Vast,0),0))),""),"")</f>
        <v/>
      </c>
      <c r="Q1727" s="359"/>
      <c r="R1727" s="359"/>
      <c r="S1727" s="321"/>
      <c r="T1727" s="321"/>
      <c r="U1727" s="373" t="str">
        <f t="shared" si="104"/>
        <v/>
      </c>
      <c r="V1727" s="314" t="str">
        <f t="shared" si="105"/>
        <v/>
      </c>
      <c r="W1727" s="314" t="str" cm="1">
        <f t="array" aca="1" ref="W1727" ca="1">IFERROR(IF(AE1727&lt;&gt;"ja",_xlfn.IFNA(_xlfn.IFS(AND(O1727&lt;&gt;"",F1727&lt;&gt;"",RIGHT($N1727,6)="tarief",F1727="Vergoeding"),SUM(O1727)*FLOOR(SUM(Q1727),0.0001),AND(O1727&lt;&gt;"",F1727&lt;&gt;"",RIGHT($N1727,6)="tarief"),SUM(O1727)*FLOOR(SUM(Q1727),0.01),S1727&gt;0,IF(F1727&lt;&gt;"",FLOOR(SUM(S1727),0.01),"")),""),""),"")</f>
        <v/>
      </c>
      <c r="X1727" s="314" t="str" cm="1">
        <f t="array" aca="1" ref="X1727" ca="1">IFERROR(IF(AE1727&lt;&gt;"ja",_xlfn.IFNA(_xlfn.IFS(AND(P1727&lt;&gt;"",R1727&lt;&gt;"",RIGHT($N1727,6)="tarief",F1727="Vergoeding"),SUM(P1727)*FLOOR(SUM(R1727),0.0001),AND(P1727&lt;&gt;"",R1727&lt;&gt;"",RIGHT($N1727,6)="tarief"),P1727*FLOOR(R1727,0.01),T1727&gt;0,FLOOR(SUM(T1727),0.01)),""),""),"")</f>
        <v/>
      </c>
      <c r="Y1727" s="314" t="str">
        <f t="shared" ca="1" si="106"/>
        <v/>
      </c>
      <c r="Z1727" s="314" t="str" cm="1">
        <f t="array" aca="1" ref="Z1727" ca="1">IFERROR(_xlfn.IFS(OR(F1727="",LEFT(Methode_Keuze,4)="Geen",Methode_Keuze=""),"",AND(W1727&lt;&gt;"",F1727&lt;&gt;"Arbeidskosten"),W1727*VLOOKUP(F1727,Tb_ProjectKosten[],MATCH(Tb_ProjectKosten[[#Headers],[Forfait_Percentage]],Tb_ProjectKosten[#Headers],0),0),AND(F1727="Arbeidskosten",G1727&lt;&gt;""),IFERROR(W1727*VLOOKUP(G1727,Tb_KostenTypen[],3,0)*VLOOKUP(F1727,Tb_ProjectKosten[],MATCH(Tb_ProjectKosten[[#Headers],[Forfait_Percentage]],Tb_ProjectKosten[#Headers],0),0),""),W1727 &lt;=0,0),"")</f>
        <v/>
      </c>
      <c r="AA1727" s="314" t="str" cm="1">
        <f t="array" aca="1" ref="AA1727" ca="1">IFERROR(_xlfn.IFS(OR(F1727="",LEFT(Methode_Keuze,4)="Geen",Methode_Keuze=""),"",AND(X1727&lt;&gt;"",F1727&lt;&gt;"Arbeidskosten"),X1727*VLOOKUP(F1727,Tb_ProjectKosten[],MATCH(Tb_ProjectKosten[[#Headers],[Forfait_Percentage]],Tb_ProjectKosten[#Headers],0),0),AND(F1727="Arbeidskosten",G1727&lt;&gt;""),IFERROR(X1727*VLOOKUP(G1727,Tb_KostenTypen[],3,0)*VLOOKUP(F1727,Tb_ProjectKosten[],MATCH(Tb_ProjectKosten[[#Headers],[Forfait_Percentage]],Tb_ProjectKosten[#Headers],0),0),""),X1727 &lt;=0,0),"")</f>
        <v/>
      </c>
      <c r="AB1727" s="314" t="str">
        <f t="shared" ca="1" si="107"/>
        <v/>
      </c>
      <c r="AC1727" s="322"/>
      <c r="AD1727" s="315"/>
      <c r="AE1727" s="32" t="str" cm="1">
        <f t="array" ref="AE1727">IFERROR(IF(INDEX(SubsidieTabel!$AD$1:$AG$12,MATCH($F1727,SubsidieTabel!$AD$1:$AD$12,0),IFERROR(MATCH(Methode_Keuze,SubsidieTabel!$AD$1:$AG$1,0),2))&lt;&gt;1=TRUE,"ja",""),"")</f>
        <v/>
      </c>
    </row>
    <row r="1728" spans="1:31" x14ac:dyDescent="0.25">
      <c r="A1728" s="316"/>
      <c r="B1728" s="317" t="str">
        <f>IF(A1728&lt;&gt;"",_xlfn.MAXIFS($B$1:B1727,$A$1:A1727,A1728)+1,"")</f>
        <v/>
      </c>
      <c r="C1728" s="296"/>
      <c r="D1728" s="296"/>
      <c r="E1728" s="296"/>
      <c r="F1728" s="296"/>
      <c r="G1728" s="326"/>
      <c r="H1728" s="324"/>
      <c r="I1728" s="325"/>
      <c r="J1728" s="325"/>
      <c r="K1728" s="318"/>
      <c r="L1728" s="318"/>
      <c r="M1728" s="319" t="str">
        <f>IFERROR(VLOOKUP(H1728,Lijsten!$H$1:$I$100,2,0),"")</f>
        <v/>
      </c>
      <c r="N1728" s="319" t="str">
        <f ca="1">IFERROR(IF(VLOOKUP(F1728,Kostentypen!$A$3:$E$21,3,0)=0,"",IF(OR(F1728="Arbeidskosten",F1728="Vergoeding"),VLOOKUP(G1728,Tb_KostenTypen[],2,0),VLOOKUP(F1728,Kostentypen!$A$3:$E$20,3,0))),"")</f>
        <v/>
      </c>
      <c r="O1728" s="320" t="str" cm="1">
        <f t="array" ref="O1728">_xlfn.IFNA(IF(INDEX(Tb_KostenOptiesDB[],MATCH($F1728,Tb_KostenOptiesDB[KostenOptie],0),IFERROR(MATCH(Methode_Keuze,Tb_KostenOptiesDB[#Headers],0),2))=1,_xlfn.SWITCH($N1728,"Uurtarief",IF(OR(AND(RIGHT($F1728,3)="IKS",VLOOKUP($M1728,DB_Loonkosten,2,0)="Ja"),AND(RIGHT($F1728,3)&lt;&gt;"IKS",VLOOKUP($M1728,DB_Loonkosten,2,0)="Nee")),IFERROR(VLOOKUP($M1728,DB_Loonkosten,24,0),""),0),"Vast tarief",IF(LEFT(F1728,8)="Bijdrage",VLOOKUP($F1728,Tb_KostenTypen[],MATCH(Lijsten!$P$1,Tb_KostenTypen[#Headers],0),0),VLOOKUP($G1728,Lijsten!L:P,MATCH(Lijsten!$P$1,Kop_Tarief_Vast,0),0))),""),"")</f>
        <v/>
      </c>
      <c r="P1728" s="320" t="str" cm="1">
        <f t="array" ref="P1728">_xlfn.IFNA(IF(INDEX(Tb_KostenOptiesDB[],MATCH($F1728,Tb_KostenOptiesDB[KostenOptie],0),IFERROR(MATCH(Methode_Keuze,Tb_KostenOptiesDB[#Headers],0),2))=1,_xlfn.SWITCH($N1728,"Uurtarief",IF(OR(AND(RIGHT($F1728,3)="IKS",VLOOKUP($M1728,DB_Loonkosten,2,0)="Ja"),AND(RIGHT($F1728,3)&lt;&gt;"IKS",VLOOKUP($M1728,DB_Loonkosten,2,0)="Nee")),IFERROR(VLOOKUP($M1728,DB_Loonkosten,25,0),""),0),"Vast tarief",IF(LEFT(F1728,8)="Bijdrage",VLOOKUP($F1728,Tb_KostenTypen[],MATCH(Lijsten!$P$1,Tb_KostenTypen[#Headers],0),0),VLOOKUP($G1728,Lijsten!L:P,MATCH(Lijsten!$P$1,Kop_Tarief_Vast,0),0))),""),"")</f>
        <v/>
      </c>
      <c r="Q1728" s="359"/>
      <c r="R1728" s="359"/>
      <c r="S1728" s="321"/>
      <c r="T1728" s="321"/>
      <c r="U1728" s="373" t="str">
        <f t="shared" si="104"/>
        <v/>
      </c>
      <c r="V1728" s="314" t="str">
        <f t="shared" si="105"/>
        <v/>
      </c>
      <c r="W1728" s="314" t="str" cm="1">
        <f t="array" aca="1" ref="W1728" ca="1">IFERROR(IF(AE1728&lt;&gt;"ja",_xlfn.IFNA(_xlfn.IFS(AND(O1728&lt;&gt;"",F1728&lt;&gt;"",RIGHT($N1728,6)="tarief",F1728="Vergoeding"),SUM(O1728)*FLOOR(SUM(Q1728),0.0001),AND(O1728&lt;&gt;"",F1728&lt;&gt;"",RIGHT($N1728,6)="tarief"),SUM(O1728)*FLOOR(SUM(Q1728),0.01),S1728&gt;0,IF(F1728&lt;&gt;"",FLOOR(SUM(S1728),0.01),"")),""),""),"")</f>
        <v/>
      </c>
      <c r="X1728" s="314" t="str" cm="1">
        <f t="array" aca="1" ref="X1728" ca="1">IFERROR(IF(AE1728&lt;&gt;"ja",_xlfn.IFNA(_xlfn.IFS(AND(P1728&lt;&gt;"",R1728&lt;&gt;"",RIGHT($N1728,6)="tarief",F1728="Vergoeding"),SUM(P1728)*FLOOR(SUM(R1728),0.0001),AND(P1728&lt;&gt;"",R1728&lt;&gt;"",RIGHT($N1728,6)="tarief"),P1728*FLOOR(R1728,0.01),T1728&gt;0,FLOOR(SUM(T1728),0.01)),""),""),"")</f>
        <v/>
      </c>
      <c r="Y1728" s="314" t="str">
        <f t="shared" ca="1" si="106"/>
        <v/>
      </c>
      <c r="Z1728" s="314" t="str" cm="1">
        <f t="array" aca="1" ref="Z1728" ca="1">IFERROR(_xlfn.IFS(OR(F1728="",LEFT(Methode_Keuze,4)="Geen",Methode_Keuze=""),"",AND(W1728&lt;&gt;"",F1728&lt;&gt;"Arbeidskosten"),W1728*VLOOKUP(F1728,Tb_ProjectKosten[],MATCH(Tb_ProjectKosten[[#Headers],[Forfait_Percentage]],Tb_ProjectKosten[#Headers],0),0),AND(F1728="Arbeidskosten",G1728&lt;&gt;""),IFERROR(W1728*VLOOKUP(G1728,Tb_KostenTypen[],3,0)*VLOOKUP(F1728,Tb_ProjectKosten[],MATCH(Tb_ProjectKosten[[#Headers],[Forfait_Percentage]],Tb_ProjectKosten[#Headers],0),0),""),W1728 &lt;=0,0),"")</f>
        <v/>
      </c>
      <c r="AA1728" s="314" t="str" cm="1">
        <f t="array" aca="1" ref="AA1728" ca="1">IFERROR(_xlfn.IFS(OR(F1728="",LEFT(Methode_Keuze,4)="Geen",Methode_Keuze=""),"",AND(X1728&lt;&gt;"",F1728&lt;&gt;"Arbeidskosten"),X1728*VLOOKUP(F1728,Tb_ProjectKosten[],MATCH(Tb_ProjectKosten[[#Headers],[Forfait_Percentage]],Tb_ProjectKosten[#Headers],0),0),AND(F1728="Arbeidskosten",G1728&lt;&gt;""),IFERROR(X1728*VLOOKUP(G1728,Tb_KostenTypen[],3,0)*VLOOKUP(F1728,Tb_ProjectKosten[],MATCH(Tb_ProjectKosten[[#Headers],[Forfait_Percentage]],Tb_ProjectKosten[#Headers],0),0),""),X1728 &lt;=0,0),"")</f>
        <v/>
      </c>
      <c r="AB1728" s="314" t="str">
        <f t="shared" ca="1" si="107"/>
        <v/>
      </c>
      <c r="AC1728" s="322"/>
      <c r="AD1728" s="315"/>
      <c r="AE1728" s="32" t="str" cm="1">
        <f t="array" ref="AE1728">IFERROR(IF(INDEX(SubsidieTabel!$AD$1:$AG$12,MATCH($F1728,SubsidieTabel!$AD$1:$AD$12,0),IFERROR(MATCH(Methode_Keuze,SubsidieTabel!$AD$1:$AG$1,0),2))&lt;&gt;1=TRUE,"ja",""),"")</f>
        <v/>
      </c>
    </row>
    <row r="1729" spans="1:31" x14ac:dyDescent="0.25">
      <c r="A1729" s="316"/>
      <c r="B1729" s="317" t="str">
        <f>IF(A1729&lt;&gt;"",_xlfn.MAXIFS($B$1:B1728,$A$1:A1728,A1729)+1,"")</f>
        <v/>
      </c>
      <c r="C1729" s="296"/>
      <c r="D1729" s="296"/>
      <c r="E1729" s="296"/>
      <c r="F1729" s="296"/>
      <c r="G1729" s="326"/>
      <c r="H1729" s="324"/>
      <c r="I1729" s="325"/>
      <c r="J1729" s="325"/>
      <c r="K1729" s="318"/>
      <c r="L1729" s="318"/>
      <c r="M1729" s="319" t="str">
        <f>IFERROR(VLOOKUP(H1729,Lijsten!$H$1:$I$100,2,0),"")</f>
        <v/>
      </c>
      <c r="N1729" s="319" t="str">
        <f ca="1">IFERROR(IF(VLOOKUP(F1729,Kostentypen!$A$3:$E$21,3,0)=0,"",IF(OR(F1729="Arbeidskosten",F1729="Vergoeding"),VLOOKUP(G1729,Tb_KostenTypen[],2,0),VLOOKUP(F1729,Kostentypen!$A$3:$E$20,3,0))),"")</f>
        <v/>
      </c>
      <c r="O1729" s="320" t="str" cm="1">
        <f t="array" ref="O1729">_xlfn.IFNA(IF(INDEX(Tb_KostenOptiesDB[],MATCH($F1729,Tb_KostenOptiesDB[KostenOptie],0),IFERROR(MATCH(Methode_Keuze,Tb_KostenOptiesDB[#Headers],0),2))=1,_xlfn.SWITCH($N1729,"Uurtarief",IF(OR(AND(RIGHT($F1729,3)="IKS",VLOOKUP($M1729,DB_Loonkosten,2,0)="Ja"),AND(RIGHT($F1729,3)&lt;&gt;"IKS",VLOOKUP($M1729,DB_Loonkosten,2,0)="Nee")),IFERROR(VLOOKUP($M1729,DB_Loonkosten,24,0),""),0),"Vast tarief",IF(LEFT(F1729,8)="Bijdrage",VLOOKUP($F1729,Tb_KostenTypen[],MATCH(Lijsten!$P$1,Tb_KostenTypen[#Headers],0),0),VLOOKUP($G1729,Lijsten!L:P,MATCH(Lijsten!$P$1,Kop_Tarief_Vast,0),0))),""),"")</f>
        <v/>
      </c>
      <c r="P1729" s="320" t="str" cm="1">
        <f t="array" ref="P1729">_xlfn.IFNA(IF(INDEX(Tb_KostenOptiesDB[],MATCH($F1729,Tb_KostenOptiesDB[KostenOptie],0),IFERROR(MATCH(Methode_Keuze,Tb_KostenOptiesDB[#Headers],0),2))=1,_xlfn.SWITCH($N1729,"Uurtarief",IF(OR(AND(RIGHT($F1729,3)="IKS",VLOOKUP($M1729,DB_Loonkosten,2,0)="Ja"),AND(RIGHT($F1729,3)&lt;&gt;"IKS",VLOOKUP($M1729,DB_Loonkosten,2,0)="Nee")),IFERROR(VLOOKUP($M1729,DB_Loonkosten,25,0),""),0),"Vast tarief",IF(LEFT(F1729,8)="Bijdrage",VLOOKUP($F1729,Tb_KostenTypen[],MATCH(Lijsten!$P$1,Tb_KostenTypen[#Headers],0),0),VLOOKUP($G1729,Lijsten!L:P,MATCH(Lijsten!$P$1,Kop_Tarief_Vast,0),0))),""),"")</f>
        <v/>
      </c>
      <c r="Q1729" s="359"/>
      <c r="R1729" s="359"/>
      <c r="S1729" s="321"/>
      <c r="T1729" s="321"/>
      <c r="U1729" s="373" t="str">
        <f t="shared" si="104"/>
        <v/>
      </c>
      <c r="V1729" s="314" t="str">
        <f t="shared" si="105"/>
        <v/>
      </c>
      <c r="W1729" s="314" t="str" cm="1">
        <f t="array" aca="1" ref="W1729" ca="1">IFERROR(IF(AE1729&lt;&gt;"ja",_xlfn.IFNA(_xlfn.IFS(AND(O1729&lt;&gt;"",F1729&lt;&gt;"",RIGHT($N1729,6)="tarief",F1729="Vergoeding"),SUM(O1729)*FLOOR(SUM(Q1729),0.0001),AND(O1729&lt;&gt;"",F1729&lt;&gt;"",RIGHT($N1729,6)="tarief"),SUM(O1729)*FLOOR(SUM(Q1729),0.01),S1729&gt;0,IF(F1729&lt;&gt;"",FLOOR(SUM(S1729),0.01),"")),""),""),"")</f>
        <v/>
      </c>
      <c r="X1729" s="314" t="str" cm="1">
        <f t="array" aca="1" ref="X1729" ca="1">IFERROR(IF(AE1729&lt;&gt;"ja",_xlfn.IFNA(_xlfn.IFS(AND(P1729&lt;&gt;"",R1729&lt;&gt;"",RIGHT($N1729,6)="tarief",F1729="Vergoeding"),SUM(P1729)*FLOOR(SUM(R1729),0.0001),AND(P1729&lt;&gt;"",R1729&lt;&gt;"",RIGHT($N1729,6)="tarief"),P1729*FLOOR(R1729,0.01),T1729&gt;0,FLOOR(SUM(T1729),0.01)),""),""),"")</f>
        <v/>
      </c>
      <c r="Y1729" s="314" t="str">
        <f t="shared" ca="1" si="106"/>
        <v/>
      </c>
      <c r="Z1729" s="314" t="str" cm="1">
        <f t="array" aca="1" ref="Z1729" ca="1">IFERROR(_xlfn.IFS(OR(F1729="",LEFT(Methode_Keuze,4)="Geen",Methode_Keuze=""),"",AND(W1729&lt;&gt;"",F1729&lt;&gt;"Arbeidskosten"),W1729*VLOOKUP(F1729,Tb_ProjectKosten[],MATCH(Tb_ProjectKosten[[#Headers],[Forfait_Percentage]],Tb_ProjectKosten[#Headers],0),0),AND(F1729="Arbeidskosten",G1729&lt;&gt;""),IFERROR(W1729*VLOOKUP(G1729,Tb_KostenTypen[],3,0)*VLOOKUP(F1729,Tb_ProjectKosten[],MATCH(Tb_ProjectKosten[[#Headers],[Forfait_Percentage]],Tb_ProjectKosten[#Headers],0),0),""),W1729 &lt;=0,0),"")</f>
        <v/>
      </c>
      <c r="AA1729" s="314" t="str" cm="1">
        <f t="array" aca="1" ref="AA1729" ca="1">IFERROR(_xlfn.IFS(OR(F1729="",LEFT(Methode_Keuze,4)="Geen",Methode_Keuze=""),"",AND(X1729&lt;&gt;"",F1729&lt;&gt;"Arbeidskosten"),X1729*VLOOKUP(F1729,Tb_ProjectKosten[],MATCH(Tb_ProjectKosten[[#Headers],[Forfait_Percentage]],Tb_ProjectKosten[#Headers],0),0),AND(F1729="Arbeidskosten",G1729&lt;&gt;""),IFERROR(X1729*VLOOKUP(G1729,Tb_KostenTypen[],3,0)*VLOOKUP(F1729,Tb_ProjectKosten[],MATCH(Tb_ProjectKosten[[#Headers],[Forfait_Percentage]],Tb_ProjectKosten[#Headers],0),0),""),X1729 &lt;=0,0),"")</f>
        <v/>
      </c>
      <c r="AB1729" s="314" t="str">
        <f t="shared" ca="1" si="107"/>
        <v/>
      </c>
      <c r="AC1729" s="322"/>
      <c r="AD1729" s="315"/>
      <c r="AE1729" s="32" t="str" cm="1">
        <f t="array" ref="AE1729">IFERROR(IF(INDEX(SubsidieTabel!$AD$1:$AG$12,MATCH($F1729,SubsidieTabel!$AD$1:$AD$12,0),IFERROR(MATCH(Methode_Keuze,SubsidieTabel!$AD$1:$AG$1,0),2))&lt;&gt;1=TRUE,"ja",""),"")</f>
        <v/>
      </c>
    </row>
    <row r="1730" spans="1:31" x14ac:dyDescent="0.25">
      <c r="A1730" s="316"/>
      <c r="B1730" s="317" t="str">
        <f>IF(A1730&lt;&gt;"",_xlfn.MAXIFS($B$1:B1729,$A$1:A1729,A1730)+1,"")</f>
        <v/>
      </c>
      <c r="C1730" s="296"/>
      <c r="D1730" s="296"/>
      <c r="E1730" s="296"/>
      <c r="F1730" s="296"/>
      <c r="G1730" s="326"/>
      <c r="H1730" s="324"/>
      <c r="I1730" s="325"/>
      <c r="J1730" s="325"/>
      <c r="K1730" s="318"/>
      <c r="L1730" s="318"/>
      <c r="M1730" s="319" t="str">
        <f>IFERROR(VLOOKUP(H1730,Lijsten!$H$1:$I$100,2,0),"")</f>
        <v/>
      </c>
      <c r="N1730" s="319" t="str">
        <f ca="1">IFERROR(IF(VLOOKUP(F1730,Kostentypen!$A$3:$E$21,3,0)=0,"",IF(OR(F1730="Arbeidskosten",F1730="Vergoeding"),VLOOKUP(G1730,Tb_KostenTypen[],2,0),VLOOKUP(F1730,Kostentypen!$A$3:$E$20,3,0))),"")</f>
        <v/>
      </c>
      <c r="O1730" s="320" t="str" cm="1">
        <f t="array" ref="O1730">_xlfn.IFNA(IF(INDEX(Tb_KostenOptiesDB[],MATCH($F1730,Tb_KostenOptiesDB[KostenOptie],0),IFERROR(MATCH(Methode_Keuze,Tb_KostenOptiesDB[#Headers],0),2))=1,_xlfn.SWITCH($N1730,"Uurtarief",IF(OR(AND(RIGHT($F1730,3)="IKS",VLOOKUP($M1730,DB_Loonkosten,2,0)="Ja"),AND(RIGHT($F1730,3)&lt;&gt;"IKS",VLOOKUP($M1730,DB_Loonkosten,2,0)="Nee")),IFERROR(VLOOKUP($M1730,DB_Loonkosten,24,0),""),0),"Vast tarief",IF(LEFT(F1730,8)="Bijdrage",VLOOKUP($F1730,Tb_KostenTypen[],MATCH(Lijsten!$P$1,Tb_KostenTypen[#Headers],0),0),VLOOKUP($G1730,Lijsten!L:P,MATCH(Lijsten!$P$1,Kop_Tarief_Vast,0),0))),""),"")</f>
        <v/>
      </c>
      <c r="P1730" s="320" t="str" cm="1">
        <f t="array" ref="P1730">_xlfn.IFNA(IF(INDEX(Tb_KostenOptiesDB[],MATCH($F1730,Tb_KostenOptiesDB[KostenOptie],0),IFERROR(MATCH(Methode_Keuze,Tb_KostenOptiesDB[#Headers],0),2))=1,_xlfn.SWITCH($N1730,"Uurtarief",IF(OR(AND(RIGHT($F1730,3)="IKS",VLOOKUP($M1730,DB_Loonkosten,2,0)="Ja"),AND(RIGHT($F1730,3)&lt;&gt;"IKS",VLOOKUP($M1730,DB_Loonkosten,2,0)="Nee")),IFERROR(VLOOKUP($M1730,DB_Loonkosten,25,0),""),0),"Vast tarief",IF(LEFT(F1730,8)="Bijdrage",VLOOKUP($F1730,Tb_KostenTypen[],MATCH(Lijsten!$P$1,Tb_KostenTypen[#Headers],0),0),VLOOKUP($G1730,Lijsten!L:P,MATCH(Lijsten!$P$1,Kop_Tarief_Vast,0),0))),""),"")</f>
        <v/>
      </c>
      <c r="Q1730" s="359"/>
      <c r="R1730" s="359"/>
      <c r="S1730" s="321"/>
      <c r="T1730" s="321"/>
      <c r="U1730" s="373" t="str">
        <f t="shared" si="104"/>
        <v/>
      </c>
      <c r="V1730" s="314" t="str">
        <f t="shared" si="105"/>
        <v/>
      </c>
      <c r="W1730" s="314" t="str" cm="1">
        <f t="array" aca="1" ref="W1730" ca="1">IFERROR(IF(AE1730&lt;&gt;"ja",_xlfn.IFNA(_xlfn.IFS(AND(O1730&lt;&gt;"",F1730&lt;&gt;"",RIGHT($N1730,6)="tarief",F1730="Vergoeding"),SUM(O1730)*FLOOR(SUM(Q1730),0.0001),AND(O1730&lt;&gt;"",F1730&lt;&gt;"",RIGHT($N1730,6)="tarief"),SUM(O1730)*FLOOR(SUM(Q1730),0.01),S1730&gt;0,IF(F1730&lt;&gt;"",FLOOR(SUM(S1730),0.01),"")),""),""),"")</f>
        <v/>
      </c>
      <c r="X1730" s="314" t="str" cm="1">
        <f t="array" aca="1" ref="X1730" ca="1">IFERROR(IF(AE1730&lt;&gt;"ja",_xlfn.IFNA(_xlfn.IFS(AND(P1730&lt;&gt;"",R1730&lt;&gt;"",RIGHT($N1730,6)="tarief",F1730="Vergoeding"),SUM(P1730)*FLOOR(SUM(R1730),0.0001),AND(P1730&lt;&gt;"",R1730&lt;&gt;"",RIGHT($N1730,6)="tarief"),P1730*FLOOR(R1730,0.01),T1730&gt;0,FLOOR(SUM(T1730),0.01)),""),""),"")</f>
        <v/>
      </c>
      <c r="Y1730" s="314" t="str">
        <f t="shared" ca="1" si="106"/>
        <v/>
      </c>
      <c r="Z1730" s="314" t="str" cm="1">
        <f t="array" aca="1" ref="Z1730" ca="1">IFERROR(_xlfn.IFS(OR(F1730="",LEFT(Methode_Keuze,4)="Geen",Methode_Keuze=""),"",AND(W1730&lt;&gt;"",F1730&lt;&gt;"Arbeidskosten"),W1730*VLOOKUP(F1730,Tb_ProjectKosten[],MATCH(Tb_ProjectKosten[[#Headers],[Forfait_Percentage]],Tb_ProjectKosten[#Headers],0),0),AND(F1730="Arbeidskosten",G1730&lt;&gt;""),IFERROR(W1730*VLOOKUP(G1730,Tb_KostenTypen[],3,0)*VLOOKUP(F1730,Tb_ProjectKosten[],MATCH(Tb_ProjectKosten[[#Headers],[Forfait_Percentage]],Tb_ProjectKosten[#Headers],0),0),""),W1730 &lt;=0,0),"")</f>
        <v/>
      </c>
      <c r="AA1730" s="314" t="str" cm="1">
        <f t="array" aca="1" ref="AA1730" ca="1">IFERROR(_xlfn.IFS(OR(F1730="",LEFT(Methode_Keuze,4)="Geen",Methode_Keuze=""),"",AND(X1730&lt;&gt;"",F1730&lt;&gt;"Arbeidskosten"),X1730*VLOOKUP(F1730,Tb_ProjectKosten[],MATCH(Tb_ProjectKosten[[#Headers],[Forfait_Percentage]],Tb_ProjectKosten[#Headers],0),0),AND(F1730="Arbeidskosten",G1730&lt;&gt;""),IFERROR(X1730*VLOOKUP(G1730,Tb_KostenTypen[],3,0)*VLOOKUP(F1730,Tb_ProjectKosten[],MATCH(Tb_ProjectKosten[[#Headers],[Forfait_Percentage]],Tb_ProjectKosten[#Headers],0),0),""),X1730 &lt;=0,0),"")</f>
        <v/>
      </c>
      <c r="AB1730" s="314" t="str">
        <f t="shared" ca="1" si="107"/>
        <v/>
      </c>
      <c r="AC1730" s="322"/>
      <c r="AD1730" s="315"/>
      <c r="AE1730" s="32" t="str" cm="1">
        <f t="array" ref="AE1730">IFERROR(IF(INDEX(SubsidieTabel!$AD$1:$AG$12,MATCH($F1730,SubsidieTabel!$AD$1:$AD$12,0),IFERROR(MATCH(Methode_Keuze,SubsidieTabel!$AD$1:$AG$1,0),2))&lt;&gt;1=TRUE,"ja",""),"")</f>
        <v/>
      </c>
    </row>
    <row r="1731" spans="1:31" x14ac:dyDescent="0.25">
      <c r="A1731" s="316"/>
      <c r="B1731" s="317" t="str">
        <f>IF(A1731&lt;&gt;"",_xlfn.MAXIFS($B$1:B1730,$A$1:A1730,A1731)+1,"")</f>
        <v/>
      </c>
      <c r="C1731" s="296"/>
      <c r="D1731" s="296"/>
      <c r="E1731" s="296"/>
      <c r="F1731" s="296"/>
      <c r="G1731" s="326"/>
      <c r="H1731" s="324"/>
      <c r="I1731" s="325"/>
      <c r="J1731" s="325"/>
      <c r="K1731" s="318"/>
      <c r="L1731" s="318"/>
      <c r="M1731" s="319" t="str">
        <f>IFERROR(VLOOKUP(H1731,Lijsten!$H$1:$I$100,2,0),"")</f>
        <v/>
      </c>
      <c r="N1731" s="319" t="str">
        <f ca="1">IFERROR(IF(VLOOKUP(F1731,Kostentypen!$A$3:$E$21,3,0)=0,"",IF(OR(F1731="Arbeidskosten",F1731="Vergoeding"),VLOOKUP(G1731,Tb_KostenTypen[],2,0),VLOOKUP(F1731,Kostentypen!$A$3:$E$20,3,0))),"")</f>
        <v/>
      </c>
      <c r="O1731" s="320" t="str" cm="1">
        <f t="array" ref="O1731">_xlfn.IFNA(IF(INDEX(Tb_KostenOptiesDB[],MATCH($F1731,Tb_KostenOptiesDB[KostenOptie],0),IFERROR(MATCH(Methode_Keuze,Tb_KostenOptiesDB[#Headers],0),2))=1,_xlfn.SWITCH($N1731,"Uurtarief",IF(OR(AND(RIGHT($F1731,3)="IKS",VLOOKUP($M1731,DB_Loonkosten,2,0)="Ja"),AND(RIGHT($F1731,3)&lt;&gt;"IKS",VLOOKUP($M1731,DB_Loonkosten,2,0)="Nee")),IFERROR(VLOOKUP($M1731,DB_Loonkosten,24,0),""),0),"Vast tarief",IF(LEFT(F1731,8)="Bijdrage",VLOOKUP($F1731,Tb_KostenTypen[],MATCH(Lijsten!$P$1,Tb_KostenTypen[#Headers],0),0),VLOOKUP($G1731,Lijsten!L:P,MATCH(Lijsten!$P$1,Kop_Tarief_Vast,0),0))),""),"")</f>
        <v/>
      </c>
      <c r="P1731" s="320" t="str" cm="1">
        <f t="array" ref="P1731">_xlfn.IFNA(IF(INDEX(Tb_KostenOptiesDB[],MATCH($F1731,Tb_KostenOptiesDB[KostenOptie],0),IFERROR(MATCH(Methode_Keuze,Tb_KostenOptiesDB[#Headers],0),2))=1,_xlfn.SWITCH($N1731,"Uurtarief",IF(OR(AND(RIGHT($F1731,3)="IKS",VLOOKUP($M1731,DB_Loonkosten,2,0)="Ja"),AND(RIGHT($F1731,3)&lt;&gt;"IKS",VLOOKUP($M1731,DB_Loonkosten,2,0)="Nee")),IFERROR(VLOOKUP($M1731,DB_Loonkosten,25,0),""),0),"Vast tarief",IF(LEFT(F1731,8)="Bijdrage",VLOOKUP($F1731,Tb_KostenTypen[],MATCH(Lijsten!$P$1,Tb_KostenTypen[#Headers],0),0),VLOOKUP($G1731,Lijsten!L:P,MATCH(Lijsten!$P$1,Kop_Tarief_Vast,0),0))),""),"")</f>
        <v/>
      </c>
      <c r="Q1731" s="359"/>
      <c r="R1731" s="359"/>
      <c r="S1731" s="321"/>
      <c r="T1731" s="321"/>
      <c r="U1731" s="373" t="str">
        <f t="shared" ref="U1731:U1794" si="108">IFERROR(IF(AND(R1731&lt;&gt;"",R1731&lt;&gt;Q1731),-1*(R1731-Q1731),""),"")</f>
        <v/>
      </c>
      <c r="V1731" s="314" t="str">
        <f t="shared" ref="V1731:V1794" si="109">IFERROR(IF(AND(T1731&lt;&gt;"",T1731&lt;&gt;S1731),-1*(T1731-S1731),""),"")</f>
        <v/>
      </c>
      <c r="W1731" s="314" t="str" cm="1">
        <f t="array" aca="1" ref="W1731" ca="1">IFERROR(IF(AE1731&lt;&gt;"ja",_xlfn.IFNA(_xlfn.IFS(AND(O1731&lt;&gt;"",F1731&lt;&gt;"",RIGHT($N1731,6)="tarief",F1731="Vergoeding"),SUM(O1731)*FLOOR(SUM(Q1731),0.0001),AND(O1731&lt;&gt;"",F1731&lt;&gt;"",RIGHT($N1731,6)="tarief"),SUM(O1731)*FLOOR(SUM(Q1731),0.01),S1731&gt;0,IF(F1731&lt;&gt;"",FLOOR(SUM(S1731),0.01),"")),""),""),"")</f>
        <v/>
      </c>
      <c r="X1731" s="314" t="str" cm="1">
        <f t="array" aca="1" ref="X1731" ca="1">IFERROR(IF(AE1731&lt;&gt;"ja",_xlfn.IFNA(_xlfn.IFS(AND(P1731&lt;&gt;"",R1731&lt;&gt;"",RIGHT($N1731,6)="tarief",F1731="Vergoeding"),SUM(P1731)*FLOOR(SUM(R1731),0.0001),AND(P1731&lt;&gt;"",R1731&lt;&gt;"",RIGHT($N1731,6)="tarief"),P1731*FLOOR(R1731,0.01),T1731&gt;0,FLOOR(SUM(T1731),0.01)),""),""),"")</f>
        <v/>
      </c>
      <c r="Y1731" s="314" t="str">
        <f t="shared" ref="Y1731:Y1794" ca="1" si="110">IFERROR(IF(AND(X1731&lt;&gt;"",X1731&lt;&gt;W1731),-1*(X1731-W1731),""),"")</f>
        <v/>
      </c>
      <c r="Z1731" s="314" t="str" cm="1">
        <f t="array" aca="1" ref="Z1731" ca="1">IFERROR(_xlfn.IFS(OR(F1731="",LEFT(Methode_Keuze,4)="Geen",Methode_Keuze=""),"",AND(W1731&lt;&gt;"",F1731&lt;&gt;"Arbeidskosten"),W1731*VLOOKUP(F1731,Tb_ProjectKosten[],MATCH(Tb_ProjectKosten[[#Headers],[Forfait_Percentage]],Tb_ProjectKosten[#Headers],0),0),AND(F1731="Arbeidskosten",G1731&lt;&gt;""),IFERROR(W1731*VLOOKUP(G1731,Tb_KostenTypen[],3,0)*VLOOKUP(F1731,Tb_ProjectKosten[],MATCH(Tb_ProjectKosten[[#Headers],[Forfait_Percentage]],Tb_ProjectKosten[#Headers],0),0),""),W1731 &lt;=0,0),"")</f>
        <v/>
      </c>
      <c r="AA1731" s="314" t="str" cm="1">
        <f t="array" aca="1" ref="AA1731" ca="1">IFERROR(_xlfn.IFS(OR(F1731="",LEFT(Methode_Keuze,4)="Geen",Methode_Keuze=""),"",AND(X1731&lt;&gt;"",F1731&lt;&gt;"Arbeidskosten"),X1731*VLOOKUP(F1731,Tb_ProjectKosten[],MATCH(Tb_ProjectKosten[[#Headers],[Forfait_Percentage]],Tb_ProjectKosten[#Headers],0),0),AND(F1731="Arbeidskosten",G1731&lt;&gt;""),IFERROR(X1731*VLOOKUP(G1731,Tb_KostenTypen[],3,0)*VLOOKUP(F1731,Tb_ProjectKosten[],MATCH(Tb_ProjectKosten[[#Headers],[Forfait_Percentage]],Tb_ProjectKosten[#Headers],0),0),""),X1731 &lt;=0,0),"")</f>
        <v/>
      </c>
      <c r="AB1731" s="314" t="str">
        <f t="shared" ref="AB1731:AB1794" ca="1" si="111">IFERROR(IF(AND(AA1731&lt;&gt;"",AA1731&lt;&gt;Z1731),-1*(AA1731-Z1731),""),"")</f>
        <v/>
      </c>
      <c r="AC1731" s="322"/>
      <c r="AD1731" s="315"/>
      <c r="AE1731" s="32" t="str" cm="1">
        <f t="array" ref="AE1731">IFERROR(IF(INDEX(SubsidieTabel!$AD$1:$AG$12,MATCH($F1731,SubsidieTabel!$AD$1:$AD$12,0),IFERROR(MATCH(Methode_Keuze,SubsidieTabel!$AD$1:$AG$1,0),2))&lt;&gt;1=TRUE,"ja",""),"")</f>
        <v/>
      </c>
    </row>
    <row r="1732" spans="1:31" x14ac:dyDescent="0.25">
      <c r="A1732" s="316"/>
      <c r="B1732" s="317" t="str">
        <f>IF(A1732&lt;&gt;"",_xlfn.MAXIFS($B$1:B1731,$A$1:A1731,A1732)+1,"")</f>
        <v/>
      </c>
      <c r="C1732" s="296"/>
      <c r="D1732" s="296"/>
      <c r="E1732" s="296"/>
      <c r="F1732" s="296"/>
      <c r="G1732" s="326"/>
      <c r="H1732" s="324"/>
      <c r="I1732" s="325"/>
      <c r="J1732" s="325"/>
      <c r="K1732" s="318"/>
      <c r="L1732" s="318"/>
      <c r="M1732" s="319" t="str">
        <f>IFERROR(VLOOKUP(H1732,Lijsten!$H$1:$I$100,2,0),"")</f>
        <v/>
      </c>
      <c r="N1732" s="319" t="str">
        <f ca="1">IFERROR(IF(VLOOKUP(F1732,Kostentypen!$A$3:$E$21,3,0)=0,"",IF(OR(F1732="Arbeidskosten",F1732="Vergoeding"),VLOOKUP(G1732,Tb_KostenTypen[],2,0),VLOOKUP(F1732,Kostentypen!$A$3:$E$20,3,0))),"")</f>
        <v/>
      </c>
      <c r="O1732" s="320" t="str" cm="1">
        <f t="array" ref="O1732">_xlfn.IFNA(IF(INDEX(Tb_KostenOptiesDB[],MATCH($F1732,Tb_KostenOptiesDB[KostenOptie],0),IFERROR(MATCH(Methode_Keuze,Tb_KostenOptiesDB[#Headers],0),2))=1,_xlfn.SWITCH($N1732,"Uurtarief",IF(OR(AND(RIGHT($F1732,3)="IKS",VLOOKUP($M1732,DB_Loonkosten,2,0)="Ja"),AND(RIGHT($F1732,3)&lt;&gt;"IKS",VLOOKUP($M1732,DB_Loonkosten,2,0)="Nee")),IFERROR(VLOOKUP($M1732,DB_Loonkosten,24,0),""),0),"Vast tarief",IF(LEFT(F1732,8)="Bijdrage",VLOOKUP($F1732,Tb_KostenTypen[],MATCH(Lijsten!$P$1,Tb_KostenTypen[#Headers],0),0),VLOOKUP($G1732,Lijsten!L:P,MATCH(Lijsten!$P$1,Kop_Tarief_Vast,0),0))),""),"")</f>
        <v/>
      </c>
      <c r="P1732" s="320" t="str" cm="1">
        <f t="array" ref="P1732">_xlfn.IFNA(IF(INDEX(Tb_KostenOptiesDB[],MATCH($F1732,Tb_KostenOptiesDB[KostenOptie],0),IFERROR(MATCH(Methode_Keuze,Tb_KostenOptiesDB[#Headers],0),2))=1,_xlfn.SWITCH($N1732,"Uurtarief",IF(OR(AND(RIGHT($F1732,3)="IKS",VLOOKUP($M1732,DB_Loonkosten,2,0)="Ja"),AND(RIGHT($F1732,3)&lt;&gt;"IKS",VLOOKUP($M1732,DB_Loonkosten,2,0)="Nee")),IFERROR(VLOOKUP($M1732,DB_Loonkosten,25,0),""),0),"Vast tarief",IF(LEFT(F1732,8)="Bijdrage",VLOOKUP($F1732,Tb_KostenTypen[],MATCH(Lijsten!$P$1,Tb_KostenTypen[#Headers],0),0),VLOOKUP($G1732,Lijsten!L:P,MATCH(Lijsten!$P$1,Kop_Tarief_Vast,0),0))),""),"")</f>
        <v/>
      </c>
      <c r="Q1732" s="359"/>
      <c r="R1732" s="359"/>
      <c r="S1732" s="321"/>
      <c r="T1732" s="321"/>
      <c r="U1732" s="373" t="str">
        <f t="shared" si="108"/>
        <v/>
      </c>
      <c r="V1732" s="314" t="str">
        <f t="shared" si="109"/>
        <v/>
      </c>
      <c r="W1732" s="314" t="str" cm="1">
        <f t="array" aca="1" ref="W1732" ca="1">IFERROR(IF(AE1732&lt;&gt;"ja",_xlfn.IFNA(_xlfn.IFS(AND(O1732&lt;&gt;"",F1732&lt;&gt;"",RIGHT($N1732,6)="tarief",F1732="Vergoeding"),SUM(O1732)*FLOOR(SUM(Q1732),0.0001),AND(O1732&lt;&gt;"",F1732&lt;&gt;"",RIGHT($N1732,6)="tarief"),SUM(O1732)*FLOOR(SUM(Q1732),0.01),S1732&gt;0,IF(F1732&lt;&gt;"",FLOOR(SUM(S1732),0.01),"")),""),""),"")</f>
        <v/>
      </c>
      <c r="X1732" s="314" t="str" cm="1">
        <f t="array" aca="1" ref="X1732" ca="1">IFERROR(IF(AE1732&lt;&gt;"ja",_xlfn.IFNA(_xlfn.IFS(AND(P1732&lt;&gt;"",R1732&lt;&gt;"",RIGHT($N1732,6)="tarief",F1732="Vergoeding"),SUM(P1732)*FLOOR(SUM(R1732),0.0001),AND(P1732&lt;&gt;"",R1732&lt;&gt;"",RIGHT($N1732,6)="tarief"),P1732*FLOOR(R1732,0.01),T1732&gt;0,FLOOR(SUM(T1732),0.01)),""),""),"")</f>
        <v/>
      </c>
      <c r="Y1732" s="314" t="str">
        <f t="shared" ca="1" si="110"/>
        <v/>
      </c>
      <c r="Z1732" s="314" t="str" cm="1">
        <f t="array" aca="1" ref="Z1732" ca="1">IFERROR(_xlfn.IFS(OR(F1732="",LEFT(Methode_Keuze,4)="Geen",Methode_Keuze=""),"",AND(W1732&lt;&gt;"",F1732&lt;&gt;"Arbeidskosten"),W1732*VLOOKUP(F1732,Tb_ProjectKosten[],MATCH(Tb_ProjectKosten[[#Headers],[Forfait_Percentage]],Tb_ProjectKosten[#Headers],0),0),AND(F1732="Arbeidskosten",G1732&lt;&gt;""),IFERROR(W1732*VLOOKUP(G1732,Tb_KostenTypen[],3,0)*VLOOKUP(F1732,Tb_ProjectKosten[],MATCH(Tb_ProjectKosten[[#Headers],[Forfait_Percentage]],Tb_ProjectKosten[#Headers],0),0),""),W1732 &lt;=0,0),"")</f>
        <v/>
      </c>
      <c r="AA1732" s="314" t="str" cm="1">
        <f t="array" aca="1" ref="AA1732" ca="1">IFERROR(_xlfn.IFS(OR(F1732="",LEFT(Methode_Keuze,4)="Geen",Methode_Keuze=""),"",AND(X1732&lt;&gt;"",F1732&lt;&gt;"Arbeidskosten"),X1732*VLOOKUP(F1732,Tb_ProjectKosten[],MATCH(Tb_ProjectKosten[[#Headers],[Forfait_Percentage]],Tb_ProjectKosten[#Headers],0),0),AND(F1732="Arbeidskosten",G1732&lt;&gt;""),IFERROR(X1732*VLOOKUP(G1732,Tb_KostenTypen[],3,0)*VLOOKUP(F1732,Tb_ProjectKosten[],MATCH(Tb_ProjectKosten[[#Headers],[Forfait_Percentage]],Tb_ProjectKosten[#Headers],0),0),""),X1732 &lt;=0,0),"")</f>
        <v/>
      </c>
      <c r="AB1732" s="314" t="str">
        <f t="shared" ca="1" si="111"/>
        <v/>
      </c>
      <c r="AC1732" s="322"/>
      <c r="AD1732" s="315"/>
      <c r="AE1732" s="32" t="str" cm="1">
        <f t="array" ref="AE1732">IFERROR(IF(INDEX(SubsidieTabel!$AD$1:$AG$12,MATCH($F1732,SubsidieTabel!$AD$1:$AD$12,0),IFERROR(MATCH(Methode_Keuze,SubsidieTabel!$AD$1:$AG$1,0),2))&lt;&gt;1=TRUE,"ja",""),"")</f>
        <v/>
      </c>
    </row>
    <row r="1733" spans="1:31" x14ac:dyDescent="0.25">
      <c r="A1733" s="316"/>
      <c r="B1733" s="317" t="str">
        <f>IF(A1733&lt;&gt;"",_xlfn.MAXIFS($B$1:B1732,$A$1:A1732,A1733)+1,"")</f>
        <v/>
      </c>
      <c r="C1733" s="296"/>
      <c r="D1733" s="296"/>
      <c r="E1733" s="296"/>
      <c r="F1733" s="296"/>
      <c r="G1733" s="326"/>
      <c r="H1733" s="324"/>
      <c r="I1733" s="325"/>
      <c r="J1733" s="325"/>
      <c r="K1733" s="318"/>
      <c r="L1733" s="318"/>
      <c r="M1733" s="319" t="str">
        <f>IFERROR(VLOOKUP(H1733,Lijsten!$H$1:$I$100,2,0),"")</f>
        <v/>
      </c>
      <c r="N1733" s="319" t="str">
        <f ca="1">IFERROR(IF(VLOOKUP(F1733,Kostentypen!$A$3:$E$21,3,0)=0,"",IF(OR(F1733="Arbeidskosten",F1733="Vergoeding"),VLOOKUP(G1733,Tb_KostenTypen[],2,0),VLOOKUP(F1733,Kostentypen!$A$3:$E$20,3,0))),"")</f>
        <v/>
      </c>
      <c r="O1733" s="320" t="str" cm="1">
        <f t="array" ref="O1733">_xlfn.IFNA(IF(INDEX(Tb_KostenOptiesDB[],MATCH($F1733,Tb_KostenOptiesDB[KostenOptie],0),IFERROR(MATCH(Methode_Keuze,Tb_KostenOptiesDB[#Headers],0),2))=1,_xlfn.SWITCH($N1733,"Uurtarief",IF(OR(AND(RIGHT($F1733,3)="IKS",VLOOKUP($M1733,DB_Loonkosten,2,0)="Ja"),AND(RIGHT($F1733,3)&lt;&gt;"IKS",VLOOKUP($M1733,DB_Loonkosten,2,0)="Nee")),IFERROR(VLOOKUP($M1733,DB_Loonkosten,24,0),""),0),"Vast tarief",IF(LEFT(F1733,8)="Bijdrage",VLOOKUP($F1733,Tb_KostenTypen[],MATCH(Lijsten!$P$1,Tb_KostenTypen[#Headers],0),0),VLOOKUP($G1733,Lijsten!L:P,MATCH(Lijsten!$P$1,Kop_Tarief_Vast,0),0))),""),"")</f>
        <v/>
      </c>
      <c r="P1733" s="320" t="str" cm="1">
        <f t="array" ref="P1733">_xlfn.IFNA(IF(INDEX(Tb_KostenOptiesDB[],MATCH($F1733,Tb_KostenOptiesDB[KostenOptie],0),IFERROR(MATCH(Methode_Keuze,Tb_KostenOptiesDB[#Headers],0),2))=1,_xlfn.SWITCH($N1733,"Uurtarief",IF(OR(AND(RIGHT($F1733,3)="IKS",VLOOKUP($M1733,DB_Loonkosten,2,0)="Ja"),AND(RIGHT($F1733,3)&lt;&gt;"IKS",VLOOKUP($M1733,DB_Loonkosten,2,0)="Nee")),IFERROR(VLOOKUP($M1733,DB_Loonkosten,25,0),""),0),"Vast tarief",IF(LEFT(F1733,8)="Bijdrage",VLOOKUP($F1733,Tb_KostenTypen[],MATCH(Lijsten!$P$1,Tb_KostenTypen[#Headers],0),0),VLOOKUP($G1733,Lijsten!L:P,MATCH(Lijsten!$P$1,Kop_Tarief_Vast,0),0))),""),"")</f>
        <v/>
      </c>
      <c r="Q1733" s="359"/>
      <c r="R1733" s="359"/>
      <c r="S1733" s="321"/>
      <c r="T1733" s="321"/>
      <c r="U1733" s="373" t="str">
        <f t="shared" si="108"/>
        <v/>
      </c>
      <c r="V1733" s="314" t="str">
        <f t="shared" si="109"/>
        <v/>
      </c>
      <c r="W1733" s="314" t="str" cm="1">
        <f t="array" aca="1" ref="W1733" ca="1">IFERROR(IF(AE1733&lt;&gt;"ja",_xlfn.IFNA(_xlfn.IFS(AND(O1733&lt;&gt;"",F1733&lt;&gt;"",RIGHT($N1733,6)="tarief",F1733="Vergoeding"),SUM(O1733)*FLOOR(SUM(Q1733),0.0001),AND(O1733&lt;&gt;"",F1733&lt;&gt;"",RIGHT($N1733,6)="tarief"),SUM(O1733)*FLOOR(SUM(Q1733),0.01),S1733&gt;0,IF(F1733&lt;&gt;"",FLOOR(SUM(S1733),0.01),"")),""),""),"")</f>
        <v/>
      </c>
      <c r="X1733" s="314" t="str" cm="1">
        <f t="array" aca="1" ref="X1733" ca="1">IFERROR(IF(AE1733&lt;&gt;"ja",_xlfn.IFNA(_xlfn.IFS(AND(P1733&lt;&gt;"",R1733&lt;&gt;"",RIGHT($N1733,6)="tarief",F1733="Vergoeding"),SUM(P1733)*FLOOR(SUM(R1733),0.0001),AND(P1733&lt;&gt;"",R1733&lt;&gt;"",RIGHT($N1733,6)="tarief"),P1733*FLOOR(R1733,0.01),T1733&gt;0,FLOOR(SUM(T1733),0.01)),""),""),"")</f>
        <v/>
      </c>
      <c r="Y1733" s="314" t="str">
        <f t="shared" ca="1" si="110"/>
        <v/>
      </c>
      <c r="Z1733" s="314" t="str" cm="1">
        <f t="array" aca="1" ref="Z1733" ca="1">IFERROR(_xlfn.IFS(OR(F1733="",LEFT(Methode_Keuze,4)="Geen",Methode_Keuze=""),"",AND(W1733&lt;&gt;"",F1733&lt;&gt;"Arbeidskosten"),W1733*VLOOKUP(F1733,Tb_ProjectKosten[],MATCH(Tb_ProjectKosten[[#Headers],[Forfait_Percentage]],Tb_ProjectKosten[#Headers],0),0),AND(F1733="Arbeidskosten",G1733&lt;&gt;""),IFERROR(W1733*VLOOKUP(G1733,Tb_KostenTypen[],3,0)*VLOOKUP(F1733,Tb_ProjectKosten[],MATCH(Tb_ProjectKosten[[#Headers],[Forfait_Percentage]],Tb_ProjectKosten[#Headers],0),0),""),W1733 &lt;=0,0),"")</f>
        <v/>
      </c>
      <c r="AA1733" s="314" t="str" cm="1">
        <f t="array" aca="1" ref="AA1733" ca="1">IFERROR(_xlfn.IFS(OR(F1733="",LEFT(Methode_Keuze,4)="Geen",Methode_Keuze=""),"",AND(X1733&lt;&gt;"",F1733&lt;&gt;"Arbeidskosten"),X1733*VLOOKUP(F1733,Tb_ProjectKosten[],MATCH(Tb_ProjectKosten[[#Headers],[Forfait_Percentage]],Tb_ProjectKosten[#Headers],0),0),AND(F1733="Arbeidskosten",G1733&lt;&gt;""),IFERROR(X1733*VLOOKUP(G1733,Tb_KostenTypen[],3,0)*VLOOKUP(F1733,Tb_ProjectKosten[],MATCH(Tb_ProjectKosten[[#Headers],[Forfait_Percentage]],Tb_ProjectKosten[#Headers],0),0),""),X1733 &lt;=0,0),"")</f>
        <v/>
      </c>
      <c r="AB1733" s="314" t="str">
        <f t="shared" ca="1" si="111"/>
        <v/>
      </c>
      <c r="AC1733" s="322"/>
      <c r="AD1733" s="315"/>
      <c r="AE1733" s="32" t="str" cm="1">
        <f t="array" ref="AE1733">IFERROR(IF(INDEX(SubsidieTabel!$AD$1:$AG$12,MATCH($F1733,SubsidieTabel!$AD$1:$AD$12,0),IFERROR(MATCH(Methode_Keuze,SubsidieTabel!$AD$1:$AG$1,0),2))&lt;&gt;1=TRUE,"ja",""),"")</f>
        <v/>
      </c>
    </row>
    <row r="1734" spans="1:31" x14ac:dyDescent="0.25">
      <c r="A1734" s="316"/>
      <c r="B1734" s="317" t="str">
        <f>IF(A1734&lt;&gt;"",_xlfn.MAXIFS($B$1:B1733,$A$1:A1733,A1734)+1,"")</f>
        <v/>
      </c>
      <c r="C1734" s="296"/>
      <c r="D1734" s="296"/>
      <c r="E1734" s="296"/>
      <c r="F1734" s="296"/>
      <c r="G1734" s="326"/>
      <c r="H1734" s="324"/>
      <c r="I1734" s="325"/>
      <c r="J1734" s="325"/>
      <c r="K1734" s="318"/>
      <c r="L1734" s="318"/>
      <c r="M1734" s="319" t="str">
        <f>IFERROR(VLOOKUP(H1734,Lijsten!$H$1:$I$100,2,0),"")</f>
        <v/>
      </c>
      <c r="N1734" s="319" t="str">
        <f ca="1">IFERROR(IF(VLOOKUP(F1734,Kostentypen!$A$3:$E$21,3,0)=0,"",IF(OR(F1734="Arbeidskosten",F1734="Vergoeding"),VLOOKUP(G1734,Tb_KostenTypen[],2,0),VLOOKUP(F1734,Kostentypen!$A$3:$E$20,3,0))),"")</f>
        <v/>
      </c>
      <c r="O1734" s="320" t="str" cm="1">
        <f t="array" ref="O1734">_xlfn.IFNA(IF(INDEX(Tb_KostenOptiesDB[],MATCH($F1734,Tb_KostenOptiesDB[KostenOptie],0),IFERROR(MATCH(Methode_Keuze,Tb_KostenOptiesDB[#Headers],0),2))=1,_xlfn.SWITCH($N1734,"Uurtarief",IF(OR(AND(RIGHT($F1734,3)="IKS",VLOOKUP($M1734,DB_Loonkosten,2,0)="Ja"),AND(RIGHT($F1734,3)&lt;&gt;"IKS",VLOOKUP($M1734,DB_Loonkosten,2,0)="Nee")),IFERROR(VLOOKUP($M1734,DB_Loonkosten,24,0),""),0),"Vast tarief",IF(LEFT(F1734,8)="Bijdrage",VLOOKUP($F1734,Tb_KostenTypen[],MATCH(Lijsten!$P$1,Tb_KostenTypen[#Headers],0),0),VLOOKUP($G1734,Lijsten!L:P,MATCH(Lijsten!$P$1,Kop_Tarief_Vast,0),0))),""),"")</f>
        <v/>
      </c>
      <c r="P1734" s="320" t="str" cm="1">
        <f t="array" ref="P1734">_xlfn.IFNA(IF(INDEX(Tb_KostenOptiesDB[],MATCH($F1734,Tb_KostenOptiesDB[KostenOptie],0),IFERROR(MATCH(Methode_Keuze,Tb_KostenOptiesDB[#Headers],0),2))=1,_xlfn.SWITCH($N1734,"Uurtarief",IF(OR(AND(RIGHT($F1734,3)="IKS",VLOOKUP($M1734,DB_Loonkosten,2,0)="Ja"),AND(RIGHT($F1734,3)&lt;&gt;"IKS",VLOOKUP($M1734,DB_Loonkosten,2,0)="Nee")),IFERROR(VLOOKUP($M1734,DB_Loonkosten,25,0),""),0),"Vast tarief",IF(LEFT(F1734,8)="Bijdrage",VLOOKUP($F1734,Tb_KostenTypen[],MATCH(Lijsten!$P$1,Tb_KostenTypen[#Headers],0),0),VLOOKUP($G1734,Lijsten!L:P,MATCH(Lijsten!$P$1,Kop_Tarief_Vast,0),0))),""),"")</f>
        <v/>
      </c>
      <c r="Q1734" s="359"/>
      <c r="R1734" s="359"/>
      <c r="S1734" s="321"/>
      <c r="T1734" s="321"/>
      <c r="U1734" s="373" t="str">
        <f t="shared" si="108"/>
        <v/>
      </c>
      <c r="V1734" s="314" t="str">
        <f t="shared" si="109"/>
        <v/>
      </c>
      <c r="W1734" s="314" t="str" cm="1">
        <f t="array" aca="1" ref="W1734" ca="1">IFERROR(IF(AE1734&lt;&gt;"ja",_xlfn.IFNA(_xlfn.IFS(AND(O1734&lt;&gt;"",F1734&lt;&gt;"",RIGHT($N1734,6)="tarief",F1734="Vergoeding"),SUM(O1734)*FLOOR(SUM(Q1734),0.0001),AND(O1734&lt;&gt;"",F1734&lt;&gt;"",RIGHT($N1734,6)="tarief"),SUM(O1734)*FLOOR(SUM(Q1734),0.01),S1734&gt;0,IF(F1734&lt;&gt;"",FLOOR(SUM(S1734),0.01),"")),""),""),"")</f>
        <v/>
      </c>
      <c r="X1734" s="314" t="str" cm="1">
        <f t="array" aca="1" ref="X1734" ca="1">IFERROR(IF(AE1734&lt;&gt;"ja",_xlfn.IFNA(_xlfn.IFS(AND(P1734&lt;&gt;"",R1734&lt;&gt;"",RIGHT($N1734,6)="tarief",F1734="Vergoeding"),SUM(P1734)*FLOOR(SUM(R1734),0.0001),AND(P1734&lt;&gt;"",R1734&lt;&gt;"",RIGHT($N1734,6)="tarief"),P1734*FLOOR(R1734,0.01),T1734&gt;0,FLOOR(SUM(T1734),0.01)),""),""),"")</f>
        <v/>
      </c>
      <c r="Y1734" s="314" t="str">
        <f t="shared" ca="1" si="110"/>
        <v/>
      </c>
      <c r="Z1734" s="314" t="str" cm="1">
        <f t="array" aca="1" ref="Z1734" ca="1">IFERROR(_xlfn.IFS(OR(F1734="",LEFT(Methode_Keuze,4)="Geen",Methode_Keuze=""),"",AND(W1734&lt;&gt;"",F1734&lt;&gt;"Arbeidskosten"),W1734*VLOOKUP(F1734,Tb_ProjectKosten[],MATCH(Tb_ProjectKosten[[#Headers],[Forfait_Percentage]],Tb_ProjectKosten[#Headers],0),0),AND(F1734="Arbeidskosten",G1734&lt;&gt;""),IFERROR(W1734*VLOOKUP(G1734,Tb_KostenTypen[],3,0)*VLOOKUP(F1734,Tb_ProjectKosten[],MATCH(Tb_ProjectKosten[[#Headers],[Forfait_Percentage]],Tb_ProjectKosten[#Headers],0),0),""),W1734 &lt;=0,0),"")</f>
        <v/>
      </c>
      <c r="AA1734" s="314" t="str" cm="1">
        <f t="array" aca="1" ref="AA1734" ca="1">IFERROR(_xlfn.IFS(OR(F1734="",LEFT(Methode_Keuze,4)="Geen",Methode_Keuze=""),"",AND(X1734&lt;&gt;"",F1734&lt;&gt;"Arbeidskosten"),X1734*VLOOKUP(F1734,Tb_ProjectKosten[],MATCH(Tb_ProjectKosten[[#Headers],[Forfait_Percentage]],Tb_ProjectKosten[#Headers],0),0),AND(F1734="Arbeidskosten",G1734&lt;&gt;""),IFERROR(X1734*VLOOKUP(G1734,Tb_KostenTypen[],3,0)*VLOOKUP(F1734,Tb_ProjectKosten[],MATCH(Tb_ProjectKosten[[#Headers],[Forfait_Percentage]],Tb_ProjectKosten[#Headers],0),0),""),X1734 &lt;=0,0),"")</f>
        <v/>
      </c>
      <c r="AB1734" s="314" t="str">
        <f t="shared" ca="1" si="111"/>
        <v/>
      </c>
      <c r="AC1734" s="322"/>
      <c r="AD1734" s="315"/>
      <c r="AE1734" s="32" t="str" cm="1">
        <f t="array" ref="AE1734">IFERROR(IF(INDEX(SubsidieTabel!$AD$1:$AG$12,MATCH($F1734,SubsidieTabel!$AD$1:$AD$12,0),IFERROR(MATCH(Methode_Keuze,SubsidieTabel!$AD$1:$AG$1,0),2))&lt;&gt;1=TRUE,"ja",""),"")</f>
        <v/>
      </c>
    </row>
    <row r="1735" spans="1:31" x14ac:dyDescent="0.25">
      <c r="A1735" s="316"/>
      <c r="B1735" s="317" t="str">
        <f>IF(A1735&lt;&gt;"",_xlfn.MAXIFS($B$1:B1734,$A$1:A1734,A1735)+1,"")</f>
        <v/>
      </c>
      <c r="C1735" s="296"/>
      <c r="D1735" s="296"/>
      <c r="E1735" s="296"/>
      <c r="F1735" s="296"/>
      <c r="G1735" s="326"/>
      <c r="H1735" s="324"/>
      <c r="I1735" s="325"/>
      <c r="J1735" s="325"/>
      <c r="K1735" s="318"/>
      <c r="L1735" s="318"/>
      <c r="M1735" s="319" t="str">
        <f>IFERROR(VLOOKUP(H1735,Lijsten!$H$1:$I$100,2,0),"")</f>
        <v/>
      </c>
      <c r="N1735" s="319" t="str">
        <f ca="1">IFERROR(IF(VLOOKUP(F1735,Kostentypen!$A$3:$E$21,3,0)=0,"",IF(OR(F1735="Arbeidskosten",F1735="Vergoeding"),VLOOKUP(G1735,Tb_KostenTypen[],2,0),VLOOKUP(F1735,Kostentypen!$A$3:$E$20,3,0))),"")</f>
        <v/>
      </c>
      <c r="O1735" s="320" t="str" cm="1">
        <f t="array" ref="O1735">_xlfn.IFNA(IF(INDEX(Tb_KostenOptiesDB[],MATCH($F1735,Tb_KostenOptiesDB[KostenOptie],0),IFERROR(MATCH(Methode_Keuze,Tb_KostenOptiesDB[#Headers],0),2))=1,_xlfn.SWITCH($N1735,"Uurtarief",IF(OR(AND(RIGHT($F1735,3)="IKS",VLOOKUP($M1735,DB_Loonkosten,2,0)="Ja"),AND(RIGHT($F1735,3)&lt;&gt;"IKS",VLOOKUP($M1735,DB_Loonkosten,2,0)="Nee")),IFERROR(VLOOKUP($M1735,DB_Loonkosten,24,0),""),0),"Vast tarief",IF(LEFT(F1735,8)="Bijdrage",VLOOKUP($F1735,Tb_KostenTypen[],MATCH(Lijsten!$P$1,Tb_KostenTypen[#Headers],0),0),VLOOKUP($G1735,Lijsten!L:P,MATCH(Lijsten!$P$1,Kop_Tarief_Vast,0),0))),""),"")</f>
        <v/>
      </c>
      <c r="P1735" s="320" t="str" cm="1">
        <f t="array" ref="P1735">_xlfn.IFNA(IF(INDEX(Tb_KostenOptiesDB[],MATCH($F1735,Tb_KostenOptiesDB[KostenOptie],0),IFERROR(MATCH(Methode_Keuze,Tb_KostenOptiesDB[#Headers],0),2))=1,_xlfn.SWITCH($N1735,"Uurtarief",IF(OR(AND(RIGHT($F1735,3)="IKS",VLOOKUP($M1735,DB_Loonkosten,2,0)="Ja"),AND(RIGHT($F1735,3)&lt;&gt;"IKS",VLOOKUP($M1735,DB_Loonkosten,2,0)="Nee")),IFERROR(VLOOKUP($M1735,DB_Loonkosten,25,0),""),0),"Vast tarief",IF(LEFT(F1735,8)="Bijdrage",VLOOKUP($F1735,Tb_KostenTypen[],MATCH(Lijsten!$P$1,Tb_KostenTypen[#Headers],0),0),VLOOKUP($G1735,Lijsten!L:P,MATCH(Lijsten!$P$1,Kop_Tarief_Vast,0),0))),""),"")</f>
        <v/>
      </c>
      <c r="Q1735" s="359"/>
      <c r="R1735" s="359"/>
      <c r="S1735" s="321"/>
      <c r="T1735" s="321"/>
      <c r="U1735" s="373" t="str">
        <f t="shared" si="108"/>
        <v/>
      </c>
      <c r="V1735" s="314" t="str">
        <f t="shared" si="109"/>
        <v/>
      </c>
      <c r="W1735" s="314" t="str" cm="1">
        <f t="array" aca="1" ref="W1735" ca="1">IFERROR(IF(AE1735&lt;&gt;"ja",_xlfn.IFNA(_xlfn.IFS(AND(O1735&lt;&gt;"",F1735&lt;&gt;"",RIGHT($N1735,6)="tarief",F1735="Vergoeding"),SUM(O1735)*FLOOR(SUM(Q1735),0.0001),AND(O1735&lt;&gt;"",F1735&lt;&gt;"",RIGHT($N1735,6)="tarief"),SUM(O1735)*FLOOR(SUM(Q1735),0.01),S1735&gt;0,IF(F1735&lt;&gt;"",FLOOR(SUM(S1735),0.01),"")),""),""),"")</f>
        <v/>
      </c>
      <c r="X1735" s="314" t="str" cm="1">
        <f t="array" aca="1" ref="X1735" ca="1">IFERROR(IF(AE1735&lt;&gt;"ja",_xlfn.IFNA(_xlfn.IFS(AND(P1735&lt;&gt;"",R1735&lt;&gt;"",RIGHT($N1735,6)="tarief",F1735="Vergoeding"),SUM(P1735)*FLOOR(SUM(R1735),0.0001),AND(P1735&lt;&gt;"",R1735&lt;&gt;"",RIGHT($N1735,6)="tarief"),P1735*FLOOR(R1735,0.01),T1735&gt;0,FLOOR(SUM(T1735),0.01)),""),""),"")</f>
        <v/>
      </c>
      <c r="Y1735" s="314" t="str">
        <f t="shared" ca="1" si="110"/>
        <v/>
      </c>
      <c r="Z1735" s="314" t="str" cm="1">
        <f t="array" aca="1" ref="Z1735" ca="1">IFERROR(_xlfn.IFS(OR(F1735="",LEFT(Methode_Keuze,4)="Geen",Methode_Keuze=""),"",AND(W1735&lt;&gt;"",F1735&lt;&gt;"Arbeidskosten"),W1735*VLOOKUP(F1735,Tb_ProjectKosten[],MATCH(Tb_ProjectKosten[[#Headers],[Forfait_Percentage]],Tb_ProjectKosten[#Headers],0),0),AND(F1735="Arbeidskosten",G1735&lt;&gt;""),IFERROR(W1735*VLOOKUP(G1735,Tb_KostenTypen[],3,0)*VLOOKUP(F1735,Tb_ProjectKosten[],MATCH(Tb_ProjectKosten[[#Headers],[Forfait_Percentage]],Tb_ProjectKosten[#Headers],0),0),""),W1735 &lt;=0,0),"")</f>
        <v/>
      </c>
      <c r="AA1735" s="314" t="str" cm="1">
        <f t="array" aca="1" ref="AA1735" ca="1">IFERROR(_xlfn.IFS(OR(F1735="",LEFT(Methode_Keuze,4)="Geen",Methode_Keuze=""),"",AND(X1735&lt;&gt;"",F1735&lt;&gt;"Arbeidskosten"),X1735*VLOOKUP(F1735,Tb_ProjectKosten[],MATCH(Tb_ProjectKosten[[#Headers],[Forfait_Percentage]],Tb_ProjectKosten[#Headers],0),0),AND(F1735="Arbeidskosten",G1735&lt;&gt;""),IFERROR(X1735*VLOOKUP(G1735,Tb_KostenTypen[],3,0)*VLOOKUP(F1735,Tb_ProjectKosten[],MATCH(Tb_ProjectKosten[[#Headers],[Forfait_Percentage]],Tb_ProjectKosten[#Headers],0),0),""),X1735 &lt;=0,0),"")</f>
        <v/>
      </c>
      <c r="AB1735" s="314" t="str">
        <f t="shared" ca="1" si="111"/>
        <v/>
      </c>
      <c r="AC1735" s="322"/>
      <c r="AD1735" s="315"/>
      <c r="AE1735" s="32" t="str" cm="1">
        <f t="array" ref="AE1735">IFERROR(IF(INDEX(SubsidieTabel!$AD$1:$AG$12,MATCH($F1735,SubsidieTabel!$AD$1:$AD$12,0),IFERROR(MATCH(Methode_Keuze,SubsidieTabel!$AD$1:$AG$1,0),2))&lt;&gt;1=TRUE,"ja",""),"")</f>
        <v/>
      </c>
    </row>
    <row r="1736" spans="1:31" x14ac:dyDescent="0.25">
      <c r="A1736" s="316"/>
      <c r="B1736" s="317" t="str">
        <f>IF(A1736&lt;&gt;"",_xlfn.MAXIFS($B$1:B1735,$A$1:A1735,A1736)+1,"")</f>
        <v/>
      </c>
      <c r="C1736" s="296"/>
      <c r="D1736" s="296"/>
      <c r="E1736" s="296"/>
      <c r="F1736" s="296"/>
      <c r="G1736" s="326"/>
      <c r="H1736" s="324"/>
      <c r="I1736" s="325"/>
      <c r="J1736" s="325"/>
      <c r="K1736" s="318"/>
      <c r="L1736" s="318"/>
      <c r="M1736" s="319" t="str">
        <f>IFERROR(VLOOKUP(H1736,Lijsten!$H$1:$I$100,2,0),"")</f>
        <v/>
      </c>
      <c r="N1736" s="319" t="str">
        <f ca="1">IFERROR(IF(VLOOKUP(F1736,Kostentypen!$A$3:$E$21,3,0)=0,"",IF(OR(F1736="Arbeidskosten",F1736="Vergoeding"),VLOOKUP(G1736,Tb_KostenTypen[],2,0),VLOOKUP(F1736,Kostentypen!$A$3:$E$20,3,0))),"")</f>
        <v/>
      </c>
      <c r="O1736" s="320" t="str" cm="1">
        <f t="array" ref="O1736">_xlfn.IFNA(IF(INDEX(Tb_KostenOptiesDB[],MATCH($F1736,Tb_KostenOptiesDB[KostenOptie],0),IFERROR(MATCH(Methode_Keuze,Tb_KostenOptiesDB[#Headers],0),2))=1,_xlfn.SWITCH($N1736,"Uurtarief",IF(OR(AND(RIGHT($F1736,3)="IKS",VLOOKUP($M1736,DB_Loonkosten,2,0)="Ja"),AND(RIGHT($F1736,3)&lt;&gt;"IKS",VLOOKUP($M1736,DB_Loonkosten,2,0)="Nee")),IFERROR(VLOOKUP($M1736,DB_Loonkosten,24,0),""),0),"Vast tarief",IF(LEFT(F1736,8)="Bijdrage",VLOOKUP($F1736,Tb_KostenTypen[],MATCH(Lijsten!$P$1,Tb_KostenTypen[#Headers],0),0),VLOOKUP($G1736,Lijsten!L:P,MATCH(Lijsten!$P$1,Kop_Tarief_Vast,0),0))),""),"")</f>
        <v/>
      </c>
      <c r="P1736" s="320" t="str" cm="1">
        <f t="array" ref="P1736">_xlfn.IFNA(IF(INDEX(Tb_KostenOptiesDB[],MATCH($F1736,Tb_KostenOptiesDB[KostenOptie],0),IFERROR(MATCH(Methode_Keuze,Tb_KostenOptiesDB[#Headers],0),2))=1,_xlfn.SWITCH($N1736,"Uurtarief",IF(OR(AND(RIGHT($F1736,3)="IKS",VLOOKUP($M1736,DB_Loonkosten,2,0)="Ja"),AND(RIGHT($F1736,3)&lt;&gt;"IKS",VLOOKUP($M1736,DB_Loonkosten,2,0)="Nee")),IFERROR(VLOOKUP($M1736,DB_Loonkosten,25,0),""),0),"Vast tarief",IF(LEFT(F1736,8)="Bijdrage",VLOOKUP($F1736,Tb_KostenTypen[],MATCH(Lijsten!$P$1,Tb_KostenTypen[#Headers],0),0),VLOOKUP($G1736,Lijsten!L:P,MATCH(Lijsten!$P$1,Kop_Tarief_Vast,0),0))),""),"")</f>
        <v/>
      </c>
      <c r="Q1736" s="359"/>
      <c r="R1736" s="359"/>
      <c r="S1736" s="321"/>
      <c r="T1736" s="321"/>
      <c r="U1736" s="373" t="str">
        <f t="shared" si="108"/>
        <v/>
      </c>
      <c r="V1736" s="314" t="str">
        <f t="shared" si="109"/>
        <v/>
      </c>
      <c r="W1736" s="314" t="str" cm="1">
        <f t="array" aca="1" ref="W1736" ca="1">IFERROR(IF(AE1736&lt;&gt;"ja",_xlfn.IFNA(_xlfn.IFS(AND(O1736&lt;&gt;"",F1736&lt;&gt;"",RIGHT($N1736,6)="tarief",F1736="Vergoeding"),SUM(O1736)*FLOOR(SUM(Q1736),0.0001),AND(O1736&lt;&gt;"",F1736&lt;&gt;"",RIGHT($N1736,6)="tarief"),SUM(O1736)*FLOOR(SUM(Q1736),0.01),S1736&gt;0,IF(F1736&lt;&gt;"",FLOOR(SUM(S1736),0.01),"")),""),""),"")</f>
        <v/>
      </c>
      <c r="X1736" s="314" t="str" cm="1">
        <f t="array" aca="1" ref="X1736" ca="1">IFERROR(IF(AE1736&lt;&gt;"ja",_xlfn.IFNA(_xlfn.IFS(AND(P1736&lt;&gt;"",R1736&lt;&gt;"",RIGHT($N1736,6)="tarief",F1736="Vergoeding"),SUM(P1736)*FLOOR(SUM(R1736),0.0001),AND(P1736&lt;&gt;"",R1736&lt;&gt;"",RIGHT($N1736,6)="tarief"),P1736*FLOOR(R1736,0.01),T1736&gt;0,FLOOR(SUM(T1736),0.01)),""),""),"")</f>
        <v/>
      </c>
      <c r="Y1736" s="314" t="str">
        <f t="shared" ca="1" si="110"/>
        <v/>
      </c>
      <c r="Z1736" s="314" t="str" cm="1">
        <f t="array" aca="1" ref="Z1736" ca="1">IFERROR(_xlfn.IFS(OR(F1736="",LEFT(Methode_Keuze,4)="Geen",Methode_Keuze=""),"",AND(W1736&lt;&gt;"",F1736&lt;&gt;"Arbeidskosten"),W1736*VLOOKUP(F1736,Tb_ProjectKosten[],MATCH(Tb_ProjectKosten[[#Headers],[Forfait_Percentage]],Tb_ProjectKosten[#Headers],0),0),AND(F1736="Arbeidskosten",G1736&lt;&gt;""),IFERROR(W1736*VLOOKUP(G1736,Tb_KostenTypen[],3,0)*VLOOKUP(F1736,Tb_ProjectKosten[],MATCH(Tb_ProjectKosten[[#Headers],[Forfait_Percentage]],Tb_ProjectKosten[#Headers],0),0),""),W1736 &lt;=0,0),"")</f>
        <v/>
      </c>
      <c r="AA1736" s="314" t="str" cm="1">
        <f t="array" aca="1" ref="AA1736" ca="1">IFERROR(_xlfn.IFS(OR(F1736="",LEFT(Methode_Keuze,4)="Geen",Methode_Keuze=""),"",AND(X1736&lt;&gt;"",F1736&lt;&gt;"Arbeidskosten"),X1736*VLOOKUP(F1736,Tb_ProjectKosten[],MATCH(Tb_ProjectKosten[[#Headers],[Forfait_Percentage]],Tb_ProjectKosten[#Headers],0),0),AND(F1736="Arbeidskosten",G1736&lt;&gt;""),IFERROR(X1736*VLOOKUP(G1736,Tb_KostenTypen[],3,0)*VLOOKUP(F1736,Tb_ProjectKosten[],MATCH(Tb_ProjectKosten[[#Headers],[Forfait_Percentage]],Tb_ProjectKosten[#Headers],0),0),""),X1736 &lt;=0,0),"")</f>
        <v/>
      </c>
      <c r="AB1736" s="314" t="str">
        <f t="shared" ca="1" si="111"/>
        <v/>
      </c>
      <c r="AC1736" s="322"/>
      <c r="AD1736" s="315"/>
      <c r="AE1736" s="32" t="str" cm="1">
        <f t="array" ref="AE1736">IFERROR(IF(INDEX(SubsidieTabel!$AD$1:$AG$12,MATCH($F1736,SubsidieTabel!$AD$1:$AD$12,0),IFERROR(MATCH(Methode_Keuze,SubsidieTabel!$AD$1:$AG$1,0),2))&lt;&gt;1=TRUE,"ja",""),"")</f>
        <v/>
      </c>
    </row>
    <row r="1737" spans="1:31" x14ac:dyDescent="0.25">
      <c r="A1737" s="316"/>
      <c r="B1737" s="317" t="str">
        <f>IF(A1737&lt;&gt;"",_xlfn.MAXIFS($B$1:B1736,$A$1:A1736,A1737)+1,"")</f>
        <v/>
      </c>
      <c r="C1737" s="296"/>
      <c r="D1737" s="296"/>
      <c r="E1737" s="296"/>
      <c r="F1737" s="296"/>
      <c r="G1737" s="326"/>
      <c r="H1737" s="324"/>
      <c r="I1737" s="325"/>
      <c r="J1737" s="325"/>
      <c r="K1737" s="318"/>
      <c r="L1737" s="318"/>
      <c r="M1737" s="319" t="str">
        <f>IFERROR(VLOOKUP(H1737,Lijsten!$H$1:$I$100,2,0),"")</f>
        <v/>
      </c>
      <c r="N1737" s="319" t="str">
        <f ca="1">IFERROR(IF(VLOOKUP(F1737,Kostentypen!$A$3:$E$21,3,0)=0,"",IF(OR(F1737="Arbeidskosten",F1737="Vergoeding"),VLOOKUP(G1737,Tb_KostenTypen[],2,0),VLOOKUP(F1737,Kostentypen!$A$3:$E$20,3,0))),"")</f>
        <v/>
      </c>
      <c r="O1737" s="320" t="str" cm="1">
        <f t="array" ref="O1737">_xlfn.IFNA(IF(INDEX(Tb_KostenOptiesDB[],MATCH($F1737,Tb_KostenOptiesDB[KostenOptie],0),IFERROR(MATCH(Methode_Keuze,Tb_KostenOptiesDB[#Headers],0),2))=1,_xlfn.SWITCH($N1737,"Uurtarief",IF(OR(AND(RIGHT($F1737,3)="IKS",VLOOKUP($M1737,DB_Loonkosten,2,0)="Ja"),AND(RIGHT($F1737,3)&lt;&gt;"IKS",VLOOKUP($M1737,DB_Loonkosten,2,0)="Nee")),IFERROR(VLOOKUP($M1737,DB_Loonkosten,24,0),""),0),"Vast tarief",IF(LEFT(F1737,8)="Bijdrage",VLOOKUP($F1737,Tb_KostenTypen[],MATCH(Lijsten!$P$1,Tb_KostenTypen[#Headers],0),0),VLOOKUP($G1737,Lijsten!L:P,MATCH(Lijsten!$P$1,Kop_Tarief_Vast,0),0))),""),"")</f>
        <v/>
      </c>
      <c r="P1737" s="320" t="str" cm="1">
        <f t="array" ref="P1737">_xlfn.IFNA(IF(INDEX(Tb_KostenOptiesDB[],MATCH($F1737,Tb_KostenOptiesDB[KostenOptie],0),IFERROR(MATCH(Methode_Keuze,Tb_KostenOptiesDB[#Headers],0),2))=1,_xlfn.SWITCH($N1737,"Uurtarief",IF(OR(AND(RIGHT($F1737,3)="IKS",VLOOKUP($M1737,DB_Loonkosten,2,0)="Ja"),AND(RIGHT($F1737,3)&lt;&gt;"IKS",VLOOKUP($M1737,DB_Loonkosten,2,0)="Nee")),IFERROR(VLOOKUP($M1737,DB_Loonkosten,25,0),""),0),"Vast tarief",IF(LEFT(F1737,8)="Bijdrage",VLOOKUP($F1737,Tb_KostenTypen[],MATCH(Lijsten!$P$1,Tb_KostenTypen[#Headers],0),0),VLOOKUP($G1737,Lijsten!L:P,MATCH(Lijsten!$P$1,Kop_Tarief_Vast,0),0))),""),"")</f>
        <v/>
      </c>
      <c r="Q1737" s="359"/>
      <c r="R1737" s="359"/>
      <c r="S1737" s="321"/>
      <c r="T1737" s="321"/>
      <c r="U1737" s="373" t="str">
        <f t="shared" si="108"/>
        <v/>
      </c>
      <c r="V1737" s="314" t="str">
        <f t="shared" si="109"/>
        <v/>
      </c>
      <c r="W1737" s="314" t="str" cm="1">
        <f t="array" aca="1" ref="W1737" ca="1">IFERROR(IF(AE1737&lt;&gt;"ja",_xlfn.IFNA(_xlfn.IFS(AND(O1737&lt;&gt;"",F1737&lt;&gt;"",RIGHT($N1737,6)="tarief",F1737="Vergoeding"),SUM(O1737)*FLOOR(SUM(Q1737),0.0001),AND(O1737&lt;&gt;"",F1737&lt;&gt;"",RIGHT($N1737,6)="tarief"),SUM(O1737)*FLOOR(SUM(Q1737),0.01),S1737&gt;0,IF(F1737&lt;&gt;"",FLOOR(SUM(S1737),0.01),"")),""),""),"")</f>
        <v/>
      </c>
      <c r="X1737" s="314" t="str" cm="1">
        <f t="array" aca="1" ref="X1737" ca="1">IFERROR(IF(AE1737&lt;&gt;"ja",_xlfn.IFNA(_xlfn.IFS(AND(P1737&lt;&gt;"",R1737&lt;&gt;"",RIGHT($N1737,6)="tarief",F1737="Vergoeding"),SUM(P1737)*FLOOR(SUM(R1737),0.0001),AND(P1737&lt;&gt;"",R1737&lt;&gt;"",RIGHT($N1737,6)="tarief"),P1737*FLOOR(R1737,0.01),T1737&gt;0,FLOOR(SUM(T1737),0.01)),""),""),"")</f>
        <v/>
      </c>
      <c r="Y1737" s="314" t="str">
        <f t="shared" ca="1" si="110"/>
        <v/>
      </c>
      <c r="Z1737" s="314" t="str" cm="1">
        <f t="array" aca="1" ref="Z1737" ca="1">IFERROR(_xlfn.IFS(OR(F1737="",LEFT(Methode_Keuze,4)="Geen",Methode_Keuze=""),"",AND(W1737&lt;&gt;"",F1737&lt;&gt;"Arbeidskosten"),W1737*VLOOKUP(F1737,Tb_ProjectKosten[],MATCH(Tb_ProjectKosten[[#Headers],[Forfait_Percentage]],Tb_ProjectKosten[#Headers],0),0),AND(F1737="Arbeidskosten",G1737&lt;&gt;""),IFERROR(W1737*VLOOKUP(G1737,Tb_KostenTypen[],3,0)*VLOOKUP(F1737,Tb_ProjectKosten[],MATCH(Tb_ProjectKosten[[#Headers],[Forfait_Percentage]],Tb_ProjectKosten[#Headers],0),0),""),W1737 &lt;=0,0),"")</f>
        <v/>
      </c>
      <c r="AA1737" s="314" t="str" cm="1">
        <f t="array" aca="1" ref="AA1737" ca="1">IFERROR(_xlfn.IFS(OR(F1737="",LEFT(Methode_Keuze,4)="Geen",Methode_Keuze=""),"",AND(X1737&lt;&gt;"",F1737&lt;&gt;"Arbeidskosten"),X1737*VLOOKUP(F1737,Tb_ProjectKosten[],MATCH(Tb_ProjectKosten[[#Headers],[Forfait_Percentage]],Tb_ProjectKosten[#Headers],0),0),AND(F1737="Arbeidskosten",G1737&lt;&gt;""),IFERROR(X1737*VLOOKUP(G1737,Tb_KostenTypen[],3,0)*VLOOKUP(F1737,Tb_ProjectKosten[],MATCH(Tb_ProjectKosten[[#Headers],[Forfait_Percentage]],Tb_ProjectKosten[#Headers],0),0),""),X1737 &lt;=0,0),"")</f>
        <v/>
      </c>
      <c r="AB1737" s="314" t="str">
        <f t="shared" ca="1" si="111"/>
        <v/>
      </c>
      <c r="AC1737" s="322"/>
      <c r="AD1737" s="315"/>
      <c r="AE1737" s="32" t="str" cm="1">
        <f t="array" ref="AE1737">IFERROR(IF(INDEX(SubsidieTabel!$AD$1:$AG$12,MATCH($F1737,SubsidieTabel!$AD$1:$AD$12,0),IFERROR(MATCH(Methode_Keuze,SubsidieTabel!$AD$1:$AG$1,0),2))&lt;&gt;1=TRUE,"ja",""),"")</f>
        <v/>
      </c>
    </row>
    <row r="1738" spans="1:31" x14ac:dyDescent="0.25">
      <c r="A1738" s="316"/>
      <c r="B1738" s="317" t="str">
        <f>IF(A1738&lt;&gt;"",_xlfn.MAXIFS($B$1:B1737,$A$1:A1737,A1738)+1,"")</f>
        <v/>
      </c>
      <c r="C1738" s="296"/>
      <c r="D1738" s="296"/>
      <c r="E1738" s="296"/>
      <c r="F1738" s="296"/>
      <c r="G1738" s="326"/>
      <c r="H1738" s="324"/>
      <c r="I1738" s="325"/>
      <c r="J1738" s="325"/>
      <c r="K1738" s="318"/>
      <c r="L1738" s="318"/>
      <c r="M1738" s="319" t="str">
        <f>IFERROR(VLOOKUP(H1738,Lijsten!$H$1:$I$100,2,0),"")</f>
        <v/>
      </c>
      <c r="N1738" s="319" t="str">
        <f ca="1">IFERROR(IF(VLOOKUP(F1738,Kostentypen!$A$3:$E$21,3,0)=0,"",IF(OR(F1738="Arbeidskosten",F1738="Vergoeding"),VLOOKUP(G1738,Tb_KostenTypen[],2,0),VLOOKUP(F1738,Kostentypen!$A$3:$E$20,3,0))),"")</f>
        <v/>
      </c>
      <c r="O1738" s="320" t="str" cm="1">
        <f t="array" ref="O1738">_xlfn.IFNA(IF(INDEX(Tb_KostenOptiesDB[],MATCH($F1738,Tb_KostenOptiesDB[KostenOptie],0),IFERROR(MATCH(Methode_Keuze,Tb_KostenOptiesDB[#Headers],0),2))=1,_xlfn.SWITCH($N1738,"Uurtarief",IF(OR(AND(RIGHT($F1738,3)="IKS",VLOOKUP($M1738,DB_Loonkosten,2,0)="Ja"),AND(RIGHT($F1738,3)&lt;&gt;"IKS",VLOOKUP($M1738,DB_Loonkosten,2,0)="Nee")),IFERROR(VLOOKUP($M1738,DB_Loonkosten,24,0),""),0),"Vast tarief",IF(LEFT(F1738,8)="Bijdrage",VLOOKUP($F1738,Tb_KostenTypen[],MATCH(Lijsten!$P$1,Tb_KostenTypen[#Headers],0),0),VLOOKUP($G1738,Lijsten!L:P,MATCH(Lijsten!$P$1,Kop_Tarief_Vast,0),0))),""),"")</f>
        <v/>
      </c>
      <c r="P1738" s="320" t="str" cm="1">
        <f t="array" ref="P1738">_xlfn.IFNA(IF(INDEX(Tb_KostenOptiesDB[],MATCH($F1738,Tb_KostenOptiesDB[KostenOptie],0),IFERROR(MATCH(Methode_Keuze,Tb_KostenOptiesDB[#Headers],0),2))=1,_xlfn.SWITCH($N1738,"Uurtarief",IF(OR(AND(RIGHT($F1738,3)="IKS",VLOOKUP($M1738,DB_Loonkosten,2,0)="Ja"),AND(RIGHT($F1738,3)&lt;&gt;"IKS",VLOOKUP($M1738,DB_Loonkosten,2,0)="Nee")),IFERROR(VLOOKUP($M1738,DB_Loonkosten,25,0),""),0),"Vast tarief",IF(LEFT(F1738,8)="Bijdrage",VLOOKUP($F1738,Tb_KostenTypen[],MATCH(Lijsten!$P$1,Tb_KostenTypen[#Headers],0),0),VLOOKUP($G1738,Lijsten!L:P,MATCH(Lijsten!$P$1,Kop_Tarief_Vast,0),0))),""),"")</f>
        <v/>
      </c>
      <c r="Q1738" s="359"/>
      <c r="R1738" s="359"/>
      <c r="S1738" s="321"/>
      <c r="T1738" s="321"/>
      <c r="U1738" s="373" t="str">
        <f t="shared" si="108"/>
        <v/>
      </c>
      <c r="V1738" s="314" t="str">
        <f t="shared" si="109"/>
        <v/>
      </c>
      <c r="W1738" s="314" t="str" cm="1">
        <f t="array" aca="1" ref="W1738" ca="1">IFERROR(IF(AE1738&lt;&gt;"ja",_xlfn.IFNA(_xlfn.IFS(AND(O1738&lt;&gt;"",F1738&lt;&gt;"",RIGHT($N1738,6)="tarief",F1738="Vergoeding"),SUM(O1738)*FLOOR(SUM(Q1738),0.0001),AND(O1738&lt;&gt;"",F1738&lt;&gt;"",RIGHT($N1738,6)="tarief"),SUM(O1738)*FLOOR(SUM(Q1738),0.01),S1738&gt;0,IF(F1738&lt;&gt;"",FLOOR(SUM(S1738),0.01),"")),""),""),"")</f>
        <v/>
      </c>
      <c r="X1738" s="314" t="str" cm="1">
        <f t="array" aca="1" ref="X1738" ca="1">IFERROR(IF(AE1738&lt;&gt;"ja",_xlfn.IFNA(_xlfn.IFS(AND(P1738&lt;&gt;"",R1738&lt;&gt;"",RIGHT($N1738,6)="tarief",F1738="Vergoeding"),SUM(P1738)*FLOOR(SUM(R1738),0.0001),AND(P1738&lt;&gt;"",R1738&lt;&gt;"",RIGHT($N1738,6)="tarief"),P1738*FLOOR(R1738,0.01),T1738&gt;0,FLOOR(SUM(T1738),0.01)),""),""),"")</f>
        <v/>
      </c>
      <c r="Y1738" s="314" t="str">
        <f t="shared" ca="1" si="110"/>
        <v/>
      </c>
      <c r="Z1738" s="314" t="str" cm="1">
        <f t="array" aca="1" ref="Z1738" ca="1">IFERROR(_xlfn.IFS(OR(F1738="",LEFT(Methode_Keuze,4)="Geen",Methode_Keuze=""),"",AND(W1738&lt;&gt;"",F1738&lt;&gt;"Arbeidskosten"),W1738*VLOOKUP(F1738,Tb_ProjectKosten[],MATCH(Tb_ProjectKosten[[#Headers],[Forfait_Percentage]],Tb_ProjectKosten[#Headers],0),0),AND(F1738="Arbeidskosten",G1738&lt;&gt;""),IFERROR(W1738*VLOOKUP(G1738,Tb_KostenTypen[],3,0)*VLOOKUP(F1738,Tb_ProjectKosten[],MATCH(Tb_ProjectKosten[[#Headers],[Forfait_Percentage]],Tb_ProjectKosten[#Headers],0),0),""),W1738 &lt;=0,0),"")</f>
        <v/>
      </c>
      <c r="AA1738" s="314" t="str" cm="1">
        <f t="array" aca="1" ref="AA1738" ca="1">IFERROR(_xlfn.IFS(OR(F1738="",LEFT(Methode_Keuze,4)="Geen",Methode_Keuze=""),"",AND(X1738&lt;&gt;"",F1738&lt;&gt;"Arbeidskosten"),X1738*VLOOKUP(F1738,Tb_ProjectKosten[],MATCH(Tb_ProjectKosten[[#Headers],[Forfait_Percentage]],Tb_ProjectKosten[#Headers],0),0),AND(F1738="Arbeidskosten",G1738&lt;&gt;""),IFERROR(X1738*VLOOKUP(G1738,Tb_KostenTypen[],3,0)*VLOOKUP(F1738,Tb_ProjectKosten[],MATCH(Tb_ProjectKosten[[#Headers],[Forfait_Percentage]],Tb_ProjectKosten[#Headers],0),0),""),X1738 &lt;=0,0),"")</f>
        <v/>
      </c>
      <c r="AB1738" s="314" t="str">
        <f t="shared" ca="1" si="111"/>
        <v/>
      </c>
      <c r="AC1738" s="322"/>
      <c r="AD1738" s="315"/>
      <c r="AE1738" s="32" t="str" cm="1">
        <f t="array" ref="AE1738">IFERROR(IF(INDEX(SubsidieTabel!$AD$1:$AG$12,MATCH($F1738,SubsidieTabel!$AD$1:$AD$12,0),IFERROR(MATCH(Methode_Keuze,SubsidieTabel!$AD$1:$AG$1,0),2))&lt;&gt;1=TRUE,"ja",""),"")</f>
        <v/>
      </c>
    </row>
    <row r="1739" spans="1:31" x14ac:dyDescent="0.25">
      <c r="A1739" s="316"/>
      <c r="B1739" s="317" t="str">
        <f>IF(A1739&lt;&gt;"",_xlfn.MAXIFS($B$1:B1738,$A$1:A1738,A1739)+1,"")</f>
        <v/>
      </c>
      <c r="C1739" s="296"/>
      <c r="D1739" s="296"/>
      <c r="E1739" s="296"/>
      <c r="F1739" s="296"/>
      <c r="G1739" s="326"/>
      <c r="H1739" s="324"/>
      <c r="I1739" s="325"/>
      <c r="J1739" s="325"/>
      <c r="K1739" s="318"/>
      <c r="L1739" s="318"/>
      <c r="M1739" s="319" t="str">
        <f>IFERROR(VLOOKUP(H1739,Lijsten!$H$1:$I$100,2,0),"")</f>
        <v/>
      </c>
      <c r="N1739" s="319" t="str">
        <f ca="1">IFERROR(IF(VLOOKUP(F1739,Kostentypen!$A$3:$E$21,3,0)=0,"",IF(OR(F1739="Arbeidskosten",F1739="Vergoeding"),VLOOKUP(G1739,Tb_KostenTypen[],2,0),VLOOKUP(F1739,Kostentypen!$A$3:$E$20,3,0))),"")</f>
        <v/>
      </c>
      <c r="O1739" s="320" t="str" cm="1">
        <f t="array" ref="O1739">_xlfn.IFNA(IF(INDEX(Tb_KostenOptiesDB[],MATCH($F1739,Tb_KostenOptiesDB[KostenOptie],0),IFERROR(MATCH(Methode_Keuze,Tb_KostenOptiesDB[#Headers],0),2))=1,_xlfn.SWITCH($N1739,"Uurtarief",IF(OR(AND(RIGHT($F1739,3)="IKS",VLOOKUP($M1739,DB_Loonkosten,2,0)="Ja"),AND(RIGHT($F1739,3)&lt;&gt;"IKS",VLOOKUP($M1739,DB_Loonkosten,2,0)="Nee")),IFERROR(VLOOKUP($M1739,DB_Loonkosten,24,0),""),0),"Vast tarief",IF(LEFT(F1739,8)="Bijdrage",VLOOKUP($F1739,Tb_KostenTypen[],MATCH(Lijsten!$P$1,Tb_KostenTypen[#Headers],0),0),VLOOKUP($G1739,Lijsten!L:P,MATCH(Lijsten!$P$1,Kop_Tarief_Vast,0),0))),""),"")</f>
        <v/>
      </c>
      <c r="P1739" s="320" t="str" cm="1">
        <f t="array" ref="P1739">_xlfn.IFNA(IF(INDEX(Tb_KostenOptiesDB[],MATCH($F1739,Tb_KostenOptiesDB[KostenOptie],0),IFERROR(MATCH(Methode_Keuze,Tb_KostenOptiesDB[#Headers],0),2))=1,_xlfn.SWITCH($N1739,"Uurtarief",IF(OR(AND(RIGHT($F1739,3)="IKS",VLOOKUP($M1739,DB_Loonkosten,2,0)="Ja"),AND(RIGHT($F1739,3)&lt;&gt;"IKS",VLOOKUP($M1739,DB_Loonkosten,2,0)="Nee")),IFERROR(VLOOKUP($M1739,DB_Loonkosten,25,0),""),0),"Vast tarief",IF(LEFT(F1739,8)="Bijdrage",VLOOKUP($F1739,Tb_KostenTypen[],MATCH(Lijsten!$P$1,Tb_KostenTypen[#Headers],0),0),VLOOKUP($G1739,Lijsten!L:P,MATCH(Lijsten!$P$1,Kop_Tarief_Vast,0),0))),""),"")</f>
        <v/>
      </c>
      <c r="Q1739" s="359"/>
      <c r="R1739" s="359"/>
      <c r="S1739" s="321"/>
      <c r="T1739" s="321"/>
      <c r="U1739" s="373" t="str">
        <f t="shared" si="108"/>
        <v/>
      </c>
      <c r="V1739" s="314" t="str">
        <f t="shared" si="109"/>
        <v/>
      </c>
      <c r="W1739" s="314" t="str" cm="1">
        <f t="array" aca="1" ref="W1739" ca="1">IFERROR(IF(AE1739&lt;&gt;"ja",_xlfn.IFNA(_xlfn.IFS(AND(O1739&lt;&gt;"",F1739&lt;&gt;"",RIGHT($N1739,6)="tarief",F1739="Vergoeding"),SUM(O1739)*FLOOR(SUM(Q1739),0.0001),AND(O1739&lt;&gt;"",F1739&lt;&gt;"",RIGHT($N1739,6)="tarief"),SUM(O1739)*FLOOR(SUM(Q1739),0.01),S1739&gt;0,IF(F1739&lt;&gt;"",FLOOR(SUM(S1739),0.01),"")),""),""),"")</f>
        <v/>
      </c>
      <c r="X1739" s="314" t="str" cm="1">
        <f t="array" aca="1" ref="X1739" ca="1">IFERROR(IF(AE1739&lt;&gt;"ja",_xlfn.IFNA(_xlfn.IFS(AND(P1739&lt;&gt;"",R1739&lt;&gt;"",RIGHT($N1739,6)="tarief",F1739="Vergoeding"),SUM(P1739)*FLOOR(SUM(R1739),0.0001),AND(P1739&lt;&gt;"",R1739&lt;&gt;"",RIGHT($N1739,6)="tarief"),P1739*FLOOR(R1739,0.01),T1739&gt;0,FLOOR(SUM(T1739),0.01)),""),""),"")</f>
        <v/>
      </c>
      <c r="Y1739" s="314" t="str">
        <f t="shared" ca="1" si="110"/>
        <v/>
      </c>
      <c r="Z1739" s="314" t="str" cm="1">
        <f t="array" aca="1" ref="Z1739" ca="1">IFERROR(_xlfn.IFS(OR(F1739="",LEFT(Methode_Keuze,4)="Geen",Methode_Keuze=""),"",AND(W1739&lt;&gt;"",F1739&lt;&gt;"Arbeidskosten"),W1739*VLOOKUP(F1739,Tb_ProjectKosten[],MATCH(Tb_ProjectKosten[[#Headers],[Forfait_Percentage]],Tb_ProjectKosten[#Headers],0),0),AND(F1739="Arbeidskosten",G1739&lt;&gt;""),IFERROR(W1739*VLOOKUP(G1739,Tb_KostenTypen[],3,0)*VLOOKUP(F1739,Tb_ProjectKosten[],MATCH(Tb_ProjectKosten[[#Headers],[Forfait_Percentage]],Tb_ProjectKosten[#Headers],0),0),""),W1739 &lt;=0,0),"")</f>
        <v/>
      </c>
      <c r="AA1739" s="314" t="str" cm="1">
        <f t="array" aca="1" ref="AA1739" ca="1">IFERROR(_xlfn.IFS(OR(F1739="",LEFT(Methode_Keuze,4)="Geen",Methode_Keuze=""),"",AND(X1739&lt;&gt;"",F1739&lt;&gt;"Arbeidskosten"),X1739*VLOOKUP(F1739,Tb_ProjectKosten[],MATCH(Tb_ProjectKosten[[#Headers],[Forfait_Percentage]],Tb_ProjectKosten[#Headers],0),0),AND(F1739="Arbeidskosten",G1739&lt;&gt;""),IFERROR(X1739*VLOOKUP(G1739,Tb_KostenTypen[],3,0)*VLOOKUP(F1739,Tb_ProjectKosten[],MATCH(Tb_ProjectKosten[[#Headers],[Forfait_Percentage]],Tb_ProjectKosten[#Headers],0),0),""),X1739 &lt;=0,0),"")</f>
        <v/>
      </c>
      <c r="AB1739" s="314" t="str">
        <f t="shared" ca="1" si="111"/>
        <v/>
      </c>
      <c r="AC1739" s="322"/>
      <c r="AD1739" s="315"/>
      <c r="AE1739" s="32" t="str" cm="1">
        <f t="array" ref="AE1739">IFERROR(IF(INDEX(SubsidieTabel!$AD$1:$AG$12,MATCH($F1739,SubsidieTabel!$AD$1:$AD$12,0),IFERROR(MATCH(Methode_Keuze,SubsidieTabel!$AD$1:$AG$1,0),2))&lt;&gt;1=TRUE,"ja",""),"")</f>
        <v/>
      </c>
    </row>
    <row r="1740" spans="1:31" x14ac:dyDescent="0.25">
      <c r="A1740" s="316"/>
      <c r="B1740" s="317" t="str">
        <f>IF(A1740&lt;&gt;"",_xlfn.MAXIFS($B$1:B1739,$A$1:A1739,A1740)+1,"")</f>
        <v/>
      </c>
      <c r="C1740" s="296"/>
      <c r="D1740" s="296"/>
      <c r="E1740" s="296"/>
      <c r="F1740" s="296"/>
      <c r="G1740" s="326"/>
      <c r="H1740" s="324"/>
      <c r="I1740" s="325"/>
      <c r="J1740" s="325"/>
      <c r="K1740" s="318"/>
      <c r="L1740" s="318"/>
      <c r="M1740" s="319" t="str">
        <f>IFERROR(VLOOKUP(H1740,Lijsten!$H$1:$I$100,2,0),"")</f>
        <v/>
      </c>
      <c r="N1740" s="319" t="str">
        <f ca="1">IFERROR(IF(VLOOKUP(F1740,Kostentypen!$A$3:$E$21,3,0)=0,"",IF(OR(F1740="Arbeidskosten",F1740="Vergoeding"),VLOOKUP(G1740,Tb_KostenTypen[],2,0),VLOOKUP(F1740,Kostentypen!$A$3:$E$20,3,0))),"")</f>
        <v/>
      </c>
      <c r="O1740" s="320" t="str" cm="1">
        <f t="array" ref="O1740">_xlfn.IFNA(IF(INDEX(Tb_KostenOptiesDB[],MATCH($F1740,Tb_KostenOptiesDB[KostenOptie],0),IFERROR(MATCH(Methode_Keuze,Tb_KostenOptiesDB[#Headers],0),2))=1,_xlfn.SWITCH($N1740,"Uurtarief",IF(OR(AND(RIGHT($F1740,3)="IKS",VLOOKUP($M1740,DB_Loonkosten,2,0)="Ja"),AND(RIGHT($F1740,3)&lt;&gt;"IKS",VLOOKUP($M1740,DB_Loonkosten,2,0)="Nee")),IFERROR(VLOOKUP($M1740,DB_Loonkosten,24,0),""),0),"Vast tarief",IF(LEFT(F1740,8)="Bijdrage",VLOOKUP($F1740,Tb_KostenTypen[],MATCH(Lijsten!$P$1,Tb_KostenTypen[#Headers],0),0),VLOOKUP($G1740,Lijsten!L:P,MATCH(Lijsten!$P$1,Kop_Tarief_Vast,0),0))),""),"")</f>
        <v/>
      </c>
      <c r="P1740" s="320" t="str" cm="1">
        <f t="array" ref="P1740">_xlfn.IFNA(IF(INDEX(Tb_KostenOptiesDB[],MATCH($F1740,Tb_KostenOptiesDB[KostenOptie],0),IFERROR(MATCH(Methode_Keuze,Tb_KostenOptiesDB[#Headers],0),2))=1,_xlfn.SWITCH($N1740,"Uurtarief",IF(OR(AND(RIGHT($F1740,3)="IKS",VLOOKUP($M1740,DB_Loonkosten,2,0)="Ja"),AND(RIGHT($F1740,3)&lt;&gt;"IKS",VLOOKUP($M1740,DB_Loonkosten,2,0)="Nee")),IFERROR(VLOOKUP($M1740,DB_Loonkosten,25,0),""),0),"Vast tarief",IF(LEFT(F1740,8)="Bijdrage",VLOOKUP($F1740,Tb_KostenTypen[],MATCH(Lijsten!$P$1,Tb_KostenTypen[#Headers],0),0),VLOOKUP($G1740,Lijsten!L:P,MATCH(Lijsten!$P$1,Kop_Tarief_Vast,0),0))),""),"")</f>
        <v/>
      </c>
      <c r="Q1740" s="359"/>
      <c r="R1740" s="359"/>
      <c r="S1740" s="321"/>
      <c r="T1740" s="321"/>
      <c r="U1740" s="373" t="str">
        <f t="shared" si="108"/>
        <v/>
      </c>
      <c r="V1740" s="314" t="str">
        <f t="shared" si="109"/>
        <v/>
      </c>
      <c r="W1740" s="314" t="str" cm="1">
        <f t="array" aca="1" ref="W1740" ca="1">IFERROR(IF(AE1740&lt;&gt;"ja",_xlfn.IFNA(_xlfn.IFS(AND(O1740&lt;&gt;"",F1740&lt;&gt;"",RIGHT($N1740,6)="tarief",F1740="Vergoeding"),SUM(O1740)*FLOOR(SUM(Q1740),0.0001),AND(O1740&lt;&gt;"",F1740&lt;&gt;"",RIGHT($N1740,6)="tarief"),SUM(O1740)*FLOOR(SUM(Q1740),0.01),S1740&gt;0,IF(F1740&lt;&gt;"",FLOOR(SUM(S1740),0.01),"")),""),""),"")</f>
        <v/>
      </c>
      <c r="X1740" s="314" t="str" cm="1">
        <f t="array" aca="1" ref="X1740" ca="1">IFERROR(IF(AE1740&lt;&gt;"ja",_xlfn.IFNA(_xlfn.IFS(AND(P1740&lt;&gt;"",R1740&lt;&gt;"",RIGHT($N1740,6)="tarief",F1740="Vergoeding"),SUM(P1740)*FLOOR(SUM(R1740),0.0001),AND(P1740&lt;&gt;"",R1740&lt;&gt;"",RIGHT($N1740,6)="tarief"),P1740*FLOOR(R1740,0.01),T1740&gt;0,FLOOR(SUM(T1740),0.01)),""),""),"")</f>
        <v/>
      </c>
      <c r="Y1740" s="314" t="str">
        <f t="shared" ca="1" si="110"/>
        <v/>
      </c>
      <c r="Z1740" s="314" t="str" cm="1">
        <f t="array" aca="1" ref="Z1740" ca="1">IFERROR(_xlfn.IFS(OR(F1740="",LEFT(Methode_Keuze,4)="Geen",Methode_Keuze=""),"",AND(W1740&lt;&gt;"",F1740&lt;&gt;"Arbeidskosten"),W1740*VLOOKUP(F1740,Tb_ProjectKosten[],MATCH(Tb_ProjectKosten[[#Headers],[Forfait_Percentage]],Tb_ProjectKosten[#Headers],0),0),AND(F1740="Arbeidskosten",G1740&lt;&gt;""),IFERROR(W1740*VLOOKUP(G1740,Tb_KostenTypen[],3,0)*VLOOKUP(F1740,Tb_ProjectKosten[],MATCH(Tb_ProjectKosten[[#Headers],[Forfait_Percentage]],Tb_ProjectKosten[#Headers],0),0),""),W1740 &lt;=0,0),"")</f>
        <v/>
      </c>
      <c r="AA1740" s="314" t="str" cm="1">
        <f t="array" aca="1" ref="AA1740" ca="1">IFERROR(_xlfn.IFS(OR(F1740="",LEFT(Methode_Keuze,4)="Geen",Methode_Keuze=""),"",AND(X1740&lt;&gt;"",F1740&lt;&gt;"Arbeidskosten"),X1740*VLOOKUP(F1740,Tb_ProjectKosten[],MATCH(Tb_ProjectKosten[[#Headers],[Forfait_Percentage]],Tb_ProjectKosten[#Headers],0),0),AND(F1740="Arbeidskosten",G1740&lt;&gt;""),IFERROR(X1740*VLOOKUP(G1740,Tb_KostenTypen[],3,0)*VLOOKUP(F1740,Tb_ProjectKosten[],MATCH(Tb_ProjectKosten[[#Headers],[Forfait_Percentage]],Tb_ProjectKosten[#Headers],0),0),""),X1740 &lt;=0,0),"")</f>
        <v/>
      </c>
      <c r="AB1740" s="314" t="str">
        <f t="shared" ca="1" si="111"/>
        <v/>
      </c>
      <c r="AC1740" s="322"/>
      <c r="AD1740" s="315"/>
      <c r="AE1740" s="32" t="str" cm="1">
        <f t="array" ref="AE1740">IFERROR(IF(INDEX(SubsidieTabel!$AD$1:$AG$12,MATCH($F1740,SubsidieTabel!$AD$1:$AD$12,0),IFERROR(MATCH(Methode_Keuze,SubsidieTabel!$AD$1:$AG$1,0),2))&lt;&gt;1=TRUE,"ja",""),"")</f>
        <v/>
      </c>
    </row>
    <row r="1741" spans="1:31" x14ac:dyDescent="0.25">
      <c r="A1741" s="316"/>
      <c r="B1741" s="317" t="str">
        <f>IF(A1741&lt;&gt;"",_xlfn.MAXIFS($B$1:B1740,$A$1:A1740,A1741)+1,"")</f>
        <v/>
      </c>
      <c r="C1741" s="296"/>
      <c r="D1741" s="296"/>
      <c r="E1741" s="296"/>
      <c r="F1741" s="296"/>
      <c r="G1741" s="326"/>
      <c r="H1741" s="324"/>
      <c r="I1741" s="325"/>
      <c r="J1741" s="325"/>
      <c r="K1741" s="318"/>
      <c r="L1741" s="318"/>
      <c r="M1741" s="319" t="str">
        <f>IFERROR(VLOOKUP(H1741,Lijsten!$H$1:$I$100,2,0),"")</f>
        <v/>
      </c>
      <c r="N1741" s="319" t="str">
        <f ca="1">IFERROR(IF(VLOOKUP(F1741,Kostentypen!$A$3:$E$21,3,0)=0,"",IF(OR(F1741="Arbeidskosten",F1741="Vergoeding"),VLOOKUP(G1741,Tb_KostenTypen[],2,0),VLOOKUP(F1741,Kostentypen!$A$3:$E$20,3,0))),"")</f>
        <v/>
      </c>
      <c r="O1741" s="320" t="str" cm="1">
        <f t="array" ref="O1741">_xlfn.IFNA(IF(INDEX(Tb_KostenOptiesDB[],MATCH($F1741,Tb_KostenOptiesDB[KostenOptie],0),IFERROR(MATCH(Methode_Keuze,Tb_KostenOptiesDB[#Headers],0),2))=1,_xlfn.SWITCH($N1741,"Uurtarief",IF(OR(AND(RIGHT($F1741,3)="IKS",VLOOKUP($M1741,DB_Loonkosten,2,0)="Ja"),AND(RIGHT($F1741,3)&lt;&gt;"IKS",VLOOKUP($M1741,DB_Loonkosten,2,0)="Nee")),IFERROR(VLOOKUP($M1741,DB_Loonkosten,24,0),""),0),"Vast tarief",IF(LEFT(F1741,8)="Bijdrage",VLOOKUP($F1741,Tb_KostenTypen[],MATCH(Lijsten!$P$1,Tb_KostenTypen[#Headers],0),0),VLOOKUP($G1741,Lijsten!L:P,MATCH(Lijsten!$P$1,Kop_Tarief_Vast,0),0))),""),"")</f>
        <v/>
      </c>
      <c r="P1741" s="320" t="str" cm="1">
        <f t="array" ref="P1741">_xlfn.IFNA(IF(INDEX(Tb_KostenOptiesDB[],MATCH($F1741,Tb_KostenOptiesDB[KostenOptie],0),IFERROR(MATCH(Methode_Keuze,Tb_KostenOptiesDB[#Headers],0),2))=1,_xlfn.SWITCH($N1741,"Uurtarief",IF(OR(AND(RIGHT($F1741,3)="IKS",VLOOKUP($M1741,DB_Loonkosten,2,0)="Ja"),AND(RIGHT($F1741,3)&lt;&gt;"IKS",VLOOKUP($M1741,DB_Loonkosten,2,0)="Nee")),IFERROR(VLOOKUP($M1741,DB_Loonkosten,25,0),""),0),"Vast tarief",IF(LEFT(F1741,8)="Bijdrage",VLOOKUP($F1741,Tb_KostenTypen[],MATCH(Lijsten!$P$1,Tb_KostenTypen[#Headers],0),0),VLOOKUP($G1741,Lijsten!L:P,MATCH(Lijsten!$P$1,Kop_Tarief_Vast,0),0))),""),"")</f>
        <v/>
      </c>
      <c r="Q1741" s="359"/>
      <c r="R1741" s="359"/>
      <c r="S1741" s="321"/>
      <c r="T1741" s="321"/>
      <c r="U1741" s="373" t="str">
        <f t="shared" si="108"/>
        <v/>
      </c>
      <c r="V1741" s="314" t="str">
        <f t="shared" si="109"/>
        <v/>
      </c>
      <c r="W1741" s="314" t="str" cm="1">
        <f t="array" aca="1" ref="W1741" ca="1">IFERROR(IF(AE1741&lt;&gt;"ja",_xlfn.IFNA(_xlfn.IFS(AND(O1741&lt;&gt;"",F1741&lt;&gt;"",RIGHT($N1741,6)="tarief",F1741="Vergoeding"),SUM(O1741)*FLOOR(SUM(Q1741),0.0001),AND(O1741&lt;&gt;"",F1741&lt;&gt;"",RIGHT($N1741,6)="tarief"),SUM(O1741)*FLOOR(SUM(Q1741),0.01),S1741&gt;0,IF(F1741&lt;&gt;"",FLOOR(SUM(S1741),0.01),"")),""),""),"")</f>
        <v/>
      </c>
      <c r="X1741" s="314" t="str" cm="1">
        <f t="array" aca="1" ref="X1741" ca="1">IFERROR(IF(AE1741&lt;&gt;"ja",_xlfn.IFNA(_xlfn.IFS(AND(P1741&lt;&gt;"",R1741&lt;&gt;"",RIGHT($N1741,6)="tarief",F1741="Vergoeding"),SUM(P1741)*FLOOR(SUM(R1741),0.0001),AND(P1741&lt;&gt;"",R1741&lt;&gt;"",RIGHT($N1741,6)="tarief"),P1741*FLOOR(R1741,0.01),T1741&gt;0,FLOOR(SUM(T1741),0.01)),""),""),"")</f>
        <v/>
      </c>
      <c r="Y1741" s="314" t="str">
        <f t="shared" ca="1" si="110"/>
        <v/>
      </c>
      <c r="Z1741" s="314" t="str" cm="1">
        <f t="array" aca="1" ref="Z1741" ca="1">IFERROR(_xlfn.IFS(OR(F1741="",LEFT(Methode_Keuze,4)="Geen",Methode_Keuze=""),"",AND(W1741&lt;&gt;"",F1741&lt;&gt;"Arbeidskosten"),W1741*VLOOKUP(F1741,Tb_ProjectKosten[],MATCH(Tb_ProjectKosten[[#Headers],[Forfait_Percentage]],Tb_ProjectKosten[#Headers],0),0),AND(F1741="Arbeidskosten",G1741&lt;&gt;""),IFERROR(W1741*VLOOKUP(G1741,Tb_KostenTypen[],3,0)*VLOOKUP(F1741,Tb_ProjectKosten[],MATCH(Tb_ProjectKosten[[#Headers],[Forfait_Percentage]],Tb_ProjectKosten[#Headers],0),0),""),W1741 &lt;=0,0),"")</f>
        <v/>
      </c>
      <c r="AA1741" s="314" t="str" cm="1">
        <f t="array" aca="1" ref="AA1741" ca="1">IFERROR(_xlfn.IFS(OR(F1741="",LEFT(Methode_Keuze,4)="Geen",Methode_Keuze=""),"",AND(X1741&lt;&gt;"",F1741&lt;&gt;"Arbeidskosten"),X1741*VLOOKUP(F1741,Tb_ProjectKosten[],MATCH(Tb_ProjectKosten[[#Headers],[Forfait_Percentage]],Tb_ProjectKosten[#Headers],0),0),AND(F1741="Arbeidskosten",G1741&lt;&gt;""),IFERROR(X1741*VLOOKUP(G1741,Tb_KostenTypen[],3,0)*VLOOKUP(F1741,Tb_ProjectKosten[],MATCH(Tb_ProjectKosten[[#Headers],[Forfait_Percentage]],Tb_ProjectKosten[#Headers],0),0),""),X1741 &lt;=0,0),"")</f>
        <v/>
      </c>
      <c r="AB1741" s="314" t="str">
        <f t="shared" ca="1" si="111"/>
        <v/>
      </c>
      <c r="AC1741" s="322"/>
      <c r="AD1741" s="315"/>
      <c r="AE1741" s="32" t="str" cm="1">
        <f t="array" ref="AE1741">IFERROR(IF(INDEX(SubsidieTabel!$AD$1:$AG$12,MATCH($F1741,SubsidieTabel!$AD$1:$AD$12,0),IFERROR(MATCH(Methode_Keuze,SubsidieTabel!$AD$1:$AG$1,0),2))&lt;&gt;1=TRUE,"ja",""),"")</f>
        <v/>
      </c>
    </row>
    <row r="1742" spans="1:31" x14ac:dyDescent="0.25">
      <c r="A1742" s="316"/>
      <c r="B1742" s="317" t="str">
        <f>IF(A1742&lt;&gt;"",_xlfn.MAXIFS($B$1:B1741,$A$1:A1741,A1742)+1,"")</f>
        <v/>
      </c>
      <c r="C1742" s="296"/>
      <c r="D1742" s="296"/>
      <c r="E1742" s="296"/>
      <c r="F1742" s="296"/>
      <c r="G1742" s="326"/>
      <c r="H1742" s="324"/>
      <c r="I1742" s="325"/>
      <c r="J1742" s="325"/>
      <c r="K1742" s="318"/>
      <c r="L1742" s="318"/>
      <c r="M1742" s="319" t="str">
        <f>IFERROR(VLOOKUP(H1742,Lijsten!$H$1:$I$100,2,0),"")</f>
        <v/>
      </c>
      <c r="N1742" s="319" t="str">
        <f ca="1">IFERROR(IF(VLOOKUP(F1742,Kostentypen!$A$3:$E$21,3,0)=0,"",IF(OR(F1742="Arbeidskosten",F1742="Vergoeding"),VLOOKUP(G1742,Tb_KostenTypen[],2,0),VLOOKUP(F1742,Kostentypen!$A$3:$E$20,3,0))),"")</f>
        <v/>
      </c>
      <c r="O1742" s="320" t="str" cm="1">
        <f t="array" ref="O1742">_xlfn.IFNA(IF(INDEX(Tb_KostenOptiesDB[],MATCH($F1742,Tb_KostenOptiesDB[KostenOptie],0),IFERROR(MATCH(Methode_Keuze,Tb_KostenOptiesDB[#Headers],0),2))=1,_xlfn.SWITCH($N1742,"Uurtarief",IF(OR(AND(RIGHT($F1742,3)="IKS",VLOOKUP($M1742,DB_Loonkosten,2,0)="Ja"),AND(RIGHT($F1742,3)&lt;&gt;"IKS",VLOOKUP($M1742,DB_Loonkosten,2,0)="Nee")),IFERROR(VLOOKUP($M1742,DB_Loonkosten,24,0),""),0),"Vast tarief",IF(LEFT(F1742,8)="Bijdrage",VLOOKUP($F1742,Tb_KostenTypen[],MATCH(Lijsten!$P$1,Tb_KostenTypen[#Headers],0),0),VLOOKUP($G1742,Lijsten!L:P,MATCH(Lijsten!$P$1,Kop_Tarief_Vast,0),0))),""),"")</f>
        <v/>
      </c>
      <c r="P1742" s="320" t="str" cm="1">
        <f t="array" ref="P1742">_xlfn.IFNA(IF(INDEX(Tb_KostenOptiesDB[],MATCH($F1742,Tb_KostenOptiesDB[KostenOptie],0),IFERROR(MATCH(Methode_Keuze,Tb_KostenOptiesDB[#Headers],0),2))=1,_xlfn.SWITCH($N1742,"Uurtarief",IF(OR(AND(RIGHT($F1742,3)="IKS",VLOOKUP($M1742,DB_Loonkosten,2,0)="Ja"),AND(RIGHT($F1742,3)&lt;&gt;"IKS",VLOOKUP($M1742,DB_Loonkosten,2,0)="Nee")),IFERROR(VLOOKUP($M1742,DB_Loonkosten,25,0),""),0),"Vast tarief",IF(LEFT(F1742,8)="Bijdrage",VLOOKUP($F1742,Tb_KostenTypen[],MATCH(Lijsten!$P$1,Tb_KostenTypen[#Headers],0),0),VLOOKUP($G1742,Lijsten!L:P,MATCH(Lijsten!$P$1,Kop_Tarief_Vast,0),0))),""),"")</f>
        <v/>
      </c>
      <c r="Q1742" s="359"/>
      <c r="R1742" s="359"/>
      <c r="S1742" s="321"/>
      <c r="T1742" s="321"/>
      <c r="U1742" s="373" t="str">
        <f t="shared" si="108"/>
        <v/>
      </c>
      <c r="V1742" s="314" t="str">
        <f t="shared" si="109"/>
        <v/>
      </c>
      <c r="W1742" s="314" t="str" cm="1">
        <f t="array" aca="1" ref="W1742" ca="1">IFERROR(IF(AE1742&lt;&gt;"ja",_xlfn.IFNA(_xlfn.IFS(AND(O1742&lt;&gt;"",F1742&lt;&gt;"",RIGHT($N1742,6)="tarief",F1742="Vergoeding"),SUM(O1742)*FLOOR(SUM(Q1742),0.0001),AND(O1742&lt;&gt;"",F1742&lt;&gt;"",RIGHT($N1742,6)="tarief"),SUM(O1742)*FLOOR(SUM(Q1742),0.01),S1742&gt;0,IF(F1742&lt;&gt;"",FLOOR(SUM(S1742),0.01),"")),""),""),"")</f>
        <v/>
      </c>
      <c r="X1742" s="314" t="str" cm="1">
        <f t="array" aca="1" ref="X1742" ca="1">IFERROR(IF(AE1742&lt;&gt;"ja",_xlfn.IFNA(_xlfn.IFS(AND(P1742&lt;&gt;"",R1742&lt;&gt;"",RIGHT($N1742,6)="tarief",F1742="Vergoeding"),SUM(P1742)*FLOOR(SUM(R1742),0.0001),AND(P1742&lt;&gt;"",R1742&lt;&gt;"",RIGHT($N1742,6)="tarief"),P1742*FLOOR(R1742,0.01),T1742&gt;0,FLOOR(SUM(T1742),0.01)),""),""),"")</f>
        <v/>
      </c>
      <c r="Y1742" s="314" t="str">
        <f t="shared" ca="1" si="110"/>
        <v/>
      </c>
      <c r="Z1742" s="314" t="str" cm="1">
        <f t="array" aca="1" ref="Z1742" ca="1">IFERROR(_xlfn.IFS(OR(F1742="",LEFT(Methode_Keuze,4)="Geen",Methode_Keuze=""),"",AND(W1742&lt;&gt;"",F1742&lt;&gt;"Arbeidskosten"),W1742*VLOOKUP(F1742,Tb_ProjectKosten[],MATCH(Tb_ProjectKosten[[#Headers],[Forfait_Percentage]],Tb_ProjectKosten[#Headers],0),0),AND(F1742="Arbeidskosten",G1742&lt;&gt;""),IFERROR(W1742*VLOOKUP(G1742,Tb_KostenTypen[],3,0)*VLOOKUP(F1742,Tb_ProjectKosten[],MATCH(Tb_ProjectKosten[[#Headers],[Forfait_Percentage]],Tb_ProjectKosten[#Headers],0),0),""),W1742 &lt;=0,0),"")</f>
        <v/>
      </c>
      <c r="AA1742" s="314" t="str" cm="1">
        <f t="array" aca="1" ref="AA1742" ca="1">IFERROR(_xlfn.IFS(OR(F1742="",LEFT(Methode_Keuze,4)="Geen",Methode_Keuze=""),"",AND(X1742&lt;&gt;"",F1742&lt;&gt;"Arbeidskosten"),X1742*VLOOKUP(F1742,Tb_ProjectKosten[],MATCH(Tb_ProjectKosten[[#Headers],[Forfait_Percentage]],Tb_ProjectKosten[#Headers],0),0),AND(F1742="Arbeidskosten",G1742&lt;&gt;""),IFERROR(X1742*VLOOKUP(G1742,Tb_KostenTypen[],3,0)*VLOOKUP(F1742,Tb_ProjectKosten[],MATCH(Tb_ProjectKosten[[#Headers],[Forfait_Percentage]],Tb_ProjectKosten[#Headers],0),0),""),X1742 &lt;=0,0),"")</f>
        <v/>
      </c>
      <c r="AB1742" s="314" t="str">
        <f t="shared" ca="1" si="111"/>
        <v/>
      </c>
      <c r="AC1742" s="322"/>
      <c r="AD1742" s="315"/>
      <c r="AE1742" s="32" t="str" cm="1">
        <f t="array" ref="AE1742">IFERROR(IF(INDEX(SubsidieTabel!$AD$1:$AG$12,MATCH($F1742,SubsidieTabel!$AD$1:$AD$12,0),IFERROR(MATCH(Methode_Keuze,SubsidieTabel!$AD$1:$AG$1,0),2))&lt;&gt;1=TRUE,"ja",""),"")</f>
        <v/>
      </c>
    </row>
    <row r="1743" spans="1:31" x14ac:dyDescent="0.25">
      <c r="A1743" s="316"/>
      <c r="B1743" s="317" t="str">
        <f>IF(A1743&lt;&gt;"",_xlfn.MAXIFS($B$1:B1742,$A$1:A1742,A1743)+1,"")</f>
        <v/>
      </c>
      <c r="C1743" s="296"/>
      <c r="D1743" s="296"/>
      <c r="E1743" s="296"/>
      <c r="F1743" s="296"/>
      <c r="G1743" s="326"/>
      <c r="H1743" s="324"/>
      <c r="I1743" s="325"/>
      <c r="J1743" s="325"/>
      <c r="K1743" s="318"/>
      <c r="L1743" s="318"/>
      <c r="M1743" s="319" t="str">
        <f>IFERROR(VLOOKUP(H1743,Lijsten!$H$1:$I$100,2,0),"")</f>
        <v/>
      </c>
      <c r="N1743" s="319" t="str">
        <f ca="1">IFERROR(IF(VLOOKUP(F1743,Kostentypen!$A$3:$E$21,3,0)=0,"",IF(OR(F1743="Arbeidskosten",F1743="Vergoeding"),VLOOKUP(G1743,Tb_KostenTypen[],2,0),VLOOKUP(F1743,Kostentypen!$A$3:$E$20,3,0))),"")</f>
        <v/>
      </c>
      <c r="O1743" s="320" t="str" cm="1">
        <f t="array" ref="O1743">_xlfn.IFNA(IF(INDEX(Tb_KostenOptiesDB[],MATCH($F1743,Tb_KostenOptiesDB[KostenOptie],0),IFERROR(MATCH(Methode_Keuze,Tb_KostenOptiesDB[#Headers],0),2))=1,_xlfn.SWITCH($N1743,"Uurtarief",IF(OR(AND(RIGHT($F1743,3)="IKS",VLOOKUP($M1743,DB_Loonkosten,2,0)="Ja"),AND(RIGHT($F1743,3)&lt;&gt;"IKS",VLOOKUP($M1743,DB_Loonkosten,2,0)="Nee")),IFERROR(VLOOKUP($M1743,DB_Loonkosten,24,0),""),0),"Vast tarief",IF(LEFT(F1743,8)="Bijdrage",VLOOKUP($F1743,Tb_KostenTypen[],MATCH(Lijsten!$P$1,Tb_KostenTypen[#Headers],0),0),VLOOKUP($G1743,Lijsten!L:P,MATCH(Lijsten!$P$1,Kop_Tarief_Vast,0),0))),""),"")</f>
        <v/>
      </c>
      <c r="P1743" s="320" t="str" cm="1">
        <f t="array" ref="P1743">_xlfn.IFNA(IF(INDEX(Tb_KostenOptiesDB[],MATCH($F1743,Tb_KostenOptiesDB[KostenOptie],0),IFERROR(MATCH(Methode_Keuze,Tb_KostenOptiesDB[#Headers],0),2))=1,_xlfn.SWITCH($N1743,"Uurtarief",IF(OR(AND(RIGHT($F1743,3)="IKS",VLOOKUP($M1743,DB_Loonkosten,2,0)="Ja"),AND(RIGHT($F1743,3)&lt;&gt;"IKS",VLOOKUP($M1743,DB_Loonkosten,2,0)="Nee")),IFERROR(VLOOKUP($M1743,DB_Loonkosten,25,0),""),0),"Vast tarief",IF(LEFT(F1743,8)="Bijdrage",VLOOKUP($F1743,Tb_KostenTypen[],MATCH(Lijsten!$P$1,Tb_KostenTypen[#Headers],0),0),VLOOKUP($G1743,Lijsten!L:P,MATCH(Lijsten!$P$1,Kop_Tarief_Vast,0),0))),""),"")</f>
        <v/>
      </c>
      <c r="Q1743" s="359"/>
      <c r="R1743" s="359"/>
      <c r="S1743" s="321"/>
      <c r="T1743" s="321"/>
      <c r="U1743" s="373" t="str">
        <f t="shared" si="108"/>
        <v/>
      </c>
      <c r="V1743" s="314" t="str">
        <f t="shared" si="109"/>
        <v/>
      </c>
      <c r="W1743" s="314" t="str" cm="1">
        <f t="array" aca="1" ref="W1743" ca="1">IFERROR(IF(AE1743&lt;&gt;"ja",_xlfn.IFNA(_xlfn.IFS(AND(O1743&lt;&gt;"",F1743&lt;&gt;"",RIGHT($N1743,6)="tarief",F1743="Vergoeding"),SUM(O1743)*FLOOR(SUM(Q1743),0.0001),AND(O1743&lt;&gt;"",F1743&lt;&gt;"",RIGHT($N1743,6)="tarief"),SUM(O1743)*FLOOR(SUM(Q1743),0.01),S1743&gt;0,IF(F1743&lt;&gt;"",FLOOR(SUM(S1743),0.01),"")),""),""),"")</f>
        <v/>
      </c>
      <c r="X1743" s="314" t="str" cm="1">
        <f t="array" aca="1" ref="X1743" ca="1">IFERROR(IF(AE1743&lt;&gt;"ja",_xlfn.IFNA(_xlfn.IFS(AND(P1743&lt;&gt;"",R1743&lt;&gt;"",RIGHT($N1743,6)="tarief",F1743="Vergoeding"),SUM(P1743)*FLOOR(SUM(R1743),0.0001),AND(P1743&lt;&gt;"",R1743&lt;&gt;"",RIGHT($N1743,6)="tarief"),P1743*FLOOR(R1743,0.01),T1743&gt;0,FLOOR(SUM(T1743),0.01)),""),""),"")</f>
        <v/>
      </c>
      <c r="Y1743" s="314" t="str">
        <f t="shared" ca="1" si="110"/>
        <v/>
      </c>
      <c r="Z1743" s="314" t="str" cm="1">
        <f t="array" aca="1" ref="Z1743" ca="1">IFERROR(_xlfn.IFS(OR(F1743="",LEFT(Methode_Keuze,4)="Geen",Methode_Keuze=""),"",AND(W1743&lt;&gt;"",F1743&lt;&gt;"Arbeidskosten"),W1743*VLOOKUP(F1743,Tb_ProjectKosten[],MATCH(Tb_ProjectKosten[[#Headers],[Forfait_Percentage]],Tb_ProjectKosten[#Headers],0),0),AND(F1743="Arbeidskosten",G1743&lt;&gt;""),IFERROR(W1743*VLOOKUP(G1743,Tb_KostenTypen[],3,0)*VLOOKUP(F1743,Tb_ProjectKosten[],MATCH(Tb_ProjectKosten[[#Headers],[Forfait_Percentage]],Tb_ProjectKosten[#Headers],0),0),""),W1743 &lt;=0,0),"")</f>
        <v/>
      </c>
      <c r="AA1743" s="314" t="str" cm="1">
        <f t="array" aca="1" ref="AA1743" ca="1">IFERROR(_xlfn.IFS(OR(F1743="",LEFT(Methode_Keuze,4)="Geen",Methode_Keuze=""),"",AND(X1743&lt;&gt;"",F1743&lt;&gt;"Arbeidskosten"),X1743*VLOOKUP(F1743,Tb_ProjectKosten[],MATCH(Tb_ProjectKosten[[#Headers],[Forfait_Percentage]],Tb_ProjectKosten[#Headers],0),0),AND(F1743="Arbeidskosten",G1743&lt;&gt;""),IFERROR(X1743*VLOOKUP(G1743,Tb_KostenTypen[],3,0)*VLOOKUP(F1743,Tb_ProjectKosten[],MATCH(Tb_ProjectKosten[[#Headers],[Forfait_Percentage]],Tb_ProjectKosten[#Headers],0),0),""),X1743 &lt;=0,0),"")</f>
        <v/>
      </c>
      <c r="AB1743" s="314" t="str">
        <f t="shared" ca="1" si="111"/>
        <v/>
      </c>
      <c r="AC1743" s="322"/>
      <c r="AD1743" s="315"/>
      <c r="AE1743" s="32" t="str" cm="1">
        <f t="array" ref="AE1743">IFERROR(IF(INDEX(SubsidieTabel!$AD$1:$AG$12,MATCH($F1743,SubsidieTabel!$AD$1:$AD$12,0),IFERROR(MATCH(Methode_Keuze,SubsidieTabel!$AD$1:$AG$1,0),2))&lt;&gt;1=TRUE,"ja",""),"")</f>
        <v/>
      </c>
    </row>
    <row r="1744" spans="1:31" x14ac:dyDescent="0.25">
      <c r="A1744" s="316"/>
      <c r="B1744" s="317" t="str">
        <f>IF(A1744&lt;&gt;"",_xlfn.MAXIFS($B$1:B1743,$A$1:A1743,A1744)+1,"")</f>
        <v/>
      </c>
      <c r="C1744" s="296"/>
      <c r="D1744" s="296"/>
      <c r="E1744" s="296"/>
      <c r="F1744" s="296"/>
      <c r="G1744" s="326"/>
      <c r="H1744" s="324"/>
      <c r="I1744" s="325"/>
      <c r="J1744" s="325"/>
      <c r="K1744" s="318"/>
      <c r="L1744" s="318"/>
      <c r="M1744" s="319" t="str">
        <f>IFERROR(VLOOKUP(H1744,Lijsten!$H$1:$I$100,2,0),"")</f>
        <v/>
      </c>
      <c r="N1744" s="319" t="str">
        <f ca="1">IFERROR(IF(VLOOKUP(F1744,Kostentypen!$A$3:$E$21,3,0)=0,"",IF(OR(F1744="Arbeidskosten",F1744="Vergoeding"),VLOOKUP(G1744,Tb_KostenTypen[],2,0),VLOOKUP(F1744,Kostentypen!$A$3:$E$20,3,0))),"")</f>
        <v/>
      </c>
      <c r="O1744" s="320" t="str" cm="1">
        <f t="array" ref="O1744">_xlfn.IFNA(IF(INDEX(Tb_KostenOptiesDB[],MATCH($F1744,Tb_KostenOptiesDB[KostenOptie],0),IFERROR(MATCH(Methode_Keuze,Tb_KostenOptiesDB[#Headers],0),2))=1,_xlfn.SWITCH($N1744,"Uurtarief",IF(OR(AND(RIGHT($F1744,3)="IKS",VLOOKUP($M1744,DB_Loonkosten,2,0)="Ja"),AND(RIGHT($F1744,3)&lt;&gt;"IKS",VLOOKUP($M1744,DB_Loonkosten,2,0)="Nee")),IFERROR(VLOOKUP($M1744,DB_Loonkosten,24,0),""),0),"Vast tarief",IF(LEFT(F1744,8)="Bijdrage",VLOOKUP($F1744,Tb_KostenTypen[],MATCH(Lijsten!$P$1,Tb_KostenTypen[#Headers],0),0),VLOOKUP($G1744,Lijsten!L:P,MATCH(Lijsten!$P$1,Kop_Tarief_Vast,0),0))),""),"")</f>
        <v/>
      </c>
      <c r="P1744" s="320" t="str" cm="1">
        <f t="array" ref="P1744">_xlfn.IFNA(IF(INDEX(Tb_KostenOptiesDB[],MATCH($F1744,Tb_KostenOptiesDB[KostenOptie],0),IFERROR(MATCH(Methode_Keuze,Tb_KostenOptiesDB[#Headers],0),2))=1,_xlfn.SWITCH($N1744,"Uurtarief",IF(OR(AND(RIGHT($F1744,3)="IKS",VLOOKUP($M1744,DB_Loonkosten,2,0)="Ja"),AND(RIGHT($F1744,3)&lt;&gt;"IKS",VLOOKUP($M1744,DB_Loonkosten,2,0)="Nee")),IFERROR(VLOOKUP($M1744,DB_Loonkosten,25,0),""),0),"Vast tarief",IF(LEFT(F1744,8)="Bijdrage",VLOOKUP($F1744,Tb_KostenTypen[],MATCH(Lijsten!$P$1,Tb_KostenTypen[#Headers],0),0),VLOOKUP($G1744,Lijsten!L:P,MATCH(Lijsten!$P$1,Kop_Tarief_Vast,0),0))),""),"")</f>
        <v/>
      </c>
      <c r="Q1744" s="359"/>
      <c r="R1744" s="359"/>
      <c r="S1744" s="321"/>
      <c r="T1744" s="321"/>
      <c r="U1744" s="373" t="str">
        <f t="shared" si="108"/>
        <v/>
      </c>
      <c r="V1744" s="314" t="str">
        <f t="shared" si="109"/>
        <v/>
      </c>
      <c r="W1744" s="314" t="str" cm="1">
        <f t="array" aca="1" ref="W1744" ca="1">IFERROR(IF(AE1744&lt;&gt;"ja",_xlfn.IFNA(_xlfn.IFS(AND(O1744&lt;&gt;"",F1744&lt;&gt;"",RIGHT($N1744,6)="tarief",F1744="Vergoeding"),SUM(O1744)*FLOOR(SUM(Q1744),0.0001),AND(O1744&lt;&gt;"",F1744&lt;&gt;"",RIGHT($N1744,6)="tarief"),SUM(O1744)*FLOOR(SUM(Q1744),0.01),S1744&gt;0,IF(F1744&lt;&gt;"",FLOOR(SUM(S1744),0.01),"")),""),""),"")</f>
        <v/>
      </c>
      <c r="X1744" s="314" t="str" cm="1">
        <f t="array" aca="1" ref="X1744" ca="1">IFERROR(IF(AE1744&lt;&gt;"ja",_xlfn.IFNA(_xlfn.IFS(AND(P1744&lt;&gt;"",R1744&lt;&gt;"",RIGHT($N1744,6)="tarief",F1744="Vergoeding"),SUM(P1744)*FLOOR(SUM(R1744),0.0001),AND(P1744&lt;&gt;"",R1744&lt;&gt;"",RIGHT($N1744,6)="tarief"),P1744*FLOOR(R1744,0.01),T1744&gt;0,FLOOR(SUM(T1744),0.01)),""),""),"")</f>
        <v/>
      </c>
      <c r="Y1744" s="314" t="str">
        <f t="shared" ca="1" si="110"/>
        <v/>
      </c>
      <c r="Z1744" s="314" t="str" cm="1">
        <f t="array" aca="1" ref="Z1744" ca="1">IFERROR(_xlfn.IFS(OR(F1744="",LEFT(Methode_Keuze,4)="Geen",Methode_Keuze=""),"",AND(W1744&lt;&gt;"",F1744&lt;&gt;"Arbeidskosten"),W1744*VLOOKUP(F1744,Tb_ProjectKosten[],MATCH(Tb_ProjectKosten[[#Headers],[Forfait_Percentage]],Tb_ProjectKosten[#Headers],0),0),AND(F1744="Arbeidskosten",G1744&lt;&gt;""),IFERROR(W1744*VLOOKUP(G1744,Tb_KostenTypen[],3,0)*VLOOKUP(F1744,Tb_ProjectKosten[],MATCH(Tb_ProjectKosten[[#Headers],[Forfait_Percentage]],Tb_ProjectKosten[#Headers],0),0),""),W1744 &lt;=0,0),"")</f>
        <v/>
      </c>
      <c r="AA1744" s="314" t="str" cm="1">
        <f t="array" aca="1" ref="AA1744" ca="1">IFERROR(_xlfn.IFS(OR(F1744="",LEFT(Methode_Keuze,4)="Geen",Methode_Keuze=""),"",AND(X1744&lt;&gt;"",F1744&lt;&gt;"Arbeidskosten"),X1744*VLOOKUP(F1744,Tb_ProjectKosten[],MATCH(Tb_ProjectKosten[[#Headers],[Forfait_Percentage]],Tb_ProjectKosten[#Headers],0),0),AND(F1744="Arbeidskosten",G1744&lt;&gt;""),IFERROR(X1744*VLOOKUP(G1744,Tb_KostenTypen[],3,0)*VLOOKUP(F1744,Tb_ProjectKosten[],MATCH(Tb_ProjectKosten[[#Headers],[Forfait_Percentage]],Tb_ProjectKosten[#Headers],0),0),""),X1744 &lt;=0,0),"")</f>
        <v/>
      </c>
      <c r="AB1744" s="314" t="str">
        <f t="shared" ca="1" si="111"/>
        <v/>
      </c>
      <c r="AC1744" s="322"/>
      <c r="AD1744" s="315"/>
      <c r="AE1744" s="32" t="str" cm="1">
        <f t="array" ref="AE1744">IFERROR(IF(INDEX(SubsidieTabel!$AD$1:$AG$12,MATCH($F1744,SubsidieTabel!$AD$1:$AD$12,0),IFERROR(MATCH(Methode_Keuze,SubsidieTabel!$AD$1:$AG$1,0),2))&lt;&gt;1=TRUE,"ja",""),"")</f>
        <v/>
      </c>
    </row>
    <row r="1745" spans="1:31" x14ac:dyDescent="0.25">
      <c r="A1745" s="316"/>
      <c r="B1745" s="317" t="str">
        <f>IF(A1745&lt;&gt;"",_xlfn.MAXIFS($B$1:B1744,$A$1:A1744,A1745)+1,"")</f>
        <v/>
      </c>
      <c r="C1745" s="296"/>
      <c r="D1745" s="296"/>
      <c r="E1745" s="296"/>
      <c r="F1745" s="296"/>
      <c r="G1745" s="326"/>
      <c r="H1745" s="324"/>
      <c r="I1745" s="325"/>
      <c r="J1745" s="325"/>
      <c r="K1745" s="318"/>
      <c r="L1745" s="318"/>
      <c r="M1745" s="319" t="str">
        <f>IFERROR(VLOOKUP(H1745,Lijsten!$H$1:$I$100,2,0),"")</f>
        <v/>
      </c>
      <c r="N1745" s="319" t="str">
        <f ca="1">IFERROR(IF(VLOOKUP(F1745,Kostentypen!$A$3:$E$21,3,0)=0,"",IF(OR(F1745="Arbeidskosten",F1745="Vergoeding"),VLOOKUP(G1745,Tb_KostenTypen[],2,0),VLOOKUP(F1745,Kostentypen!$A$3:$E$20,3,0))),"")</f>
        <v/>
      </c>
      <c r="O1745" s="320" t="str" cm="1">
        <f t="array" ref="O1745">_xlfn.IFNA(IF(INDEX(Tb_KostenOptiesDB[],MATCH($F1745,Tb_KostenOptiesDB[KostenOptie],0),IFERROR(MATCH(Methode_Keuze,Tb_KostenOptiesDB[#Headers],0),2))=1,_xlfn.SWITCH($N1745,"Uurtarief",IF(OR(AND(RIGHT($F1745,3)="IKS",VLOOKUP($M1745,DB_Loonkosten,2,0)="Ja"),AND(RIGHT($F1745,3)&lt;&gt;"IKS",VLOOKUP($M1745,DB_Loonkosten,2,0)="Nee")),IFERROR(VLOOKUP($M1745,DB_Loonkosten,24,0),""),0),"Vast tarief",IF(LEFT(F1745,8)="Bijdrage",VLOOKUP($F1745,Tb_KostenTypen[],MATCH(Lijsten!$P$1,Tb_KostenTypen[#Headers],0),0),VLOOKUP($G1745,Lijsten!L:P,MATCH(Lijsten!$P$1,Kop_Tarief_Vast,0),0))),""),"")</f>
        <v/>
      </c>
      <c r="P1745" s="320" t="str" cm="1">
        <f t="array" ref="P1745">_xlfn.IFNA(IF(INDEX(Tb_KostenOptiesDB[],MATCH($F1745,Tb_KostenOptiesDB[KostenOptie],0),IFERROR(MATCH(Methode_Keuze,Tb_KostenOptiesDB[#Headers],0),2))=1,_xlfn.SWITCH($N1745,"Uurtarief",IF(OR(AND(RIGHT($F1745,3)="IKS",VLOOKUP($M1745,DB_Loonkosten,2,0)="Ja"),AND(RIGHT($F1745,3)&lt;&gt;"IKS",VLOOKUP($M1745,DB_Loonkosten,2,0)="Nee")),IFERROR(VLOOKUP($M1745,DB_Loonkosten,25,0),""),0),"Vast tarief",IF(LEFT(F1745,8)="Bijdrage",VLOOKUP($F1745,Tb_KostenTypen[],MATCH(Lijsten!$P$1,Tb_KostenTypen[#Headers],0),0),VLOOKUP($G1745,Lijsten!L:P,MATCH(Lijsten!$P$1,Kop_Tarief_Vast,0),0))),""),"")</f>
        <v/>
      </c>
      <c r="Q1745" s="359"/>
      <c r="R1745" s="359"/>
      <c r="S1745" s="321"/>
      <c r="T1745" s="321"/>
      <c r="U1745" s="373" t="str">
        <f t="shared" si="108"/>
        <v/>
      </c>
      <c r="V1745" s="314" t="str">
        <f t="shared" si="109"/>
        <v/>
      </c>
      <c r="W1745" s="314" t="str" cm="1">
        <f t="array" aca="1" ref="W1745" ca="1">IFERROR(IF(AE1745&lt;&gt;"ja",_xlfn.IFNA(_xlfn.IFS(AND(O1745&lt;&gt;"",F1745&lt;&gt;"",RIGHT($N1745,6)="tarief",F1745="Vergoeding"),SUM(O1745)*FLOOR(SUM(Q1745),0.0001),AND(O1745&lt;&gt;"",F1745&lt;&gt;"",RIGHT($N1745,6)="tarief"),SUM(O1745)*FLOOR(SUM(Q1745),0.01),S1745&gt;0,IF(F1745&lt;&gt;"",FLOOR(SUM(S1745),0.01),"")),""),""),"")</f>
        <v/>
      </c>
      <c r="X1745" s="314" t="str" cm="1">
        <f t="array" aca="1" ref="X1745" ca="1">IFERROR(IF(AE1745&lt;&gt;"ja",_xlfn.IFNA(_xlfn.IFS(AND(P1745&lt;&gt;"",R1745&lt;&gt;"",RIGHT($N1745,6)="tarief",F1745="Vergoeding"),SUM(P1745)*FLOOR(SUM(R1745),0.0001),AND(P1745&lt;&gt;"",R1745&lt;&gt;"",RIGHT($N1745,6)="tarief"),P1745*FLOOR(R1745,0.01),T1745&gt;0,FLOOR(SUM(T1745),0.01)),""),""),"")</f>
        <v/>
      </c>
      <c r="Y1745" s="314" t="str">
        <f t="shared" ca="1" si="110"/>
        <v/>
      </c>
      <c r="Z1745" s="314" t="str" cm="1">
        <f t="array" aca="1" ref="Z1745" ca="1">IFERROR(_xlfn.IFS(OR(F1745="",LEFT(Methode_Keuze,4)="Geen",Methode_Keuze=""),"",AND(W1745&lt;&gt;"",F1745&lt;&gt;"Arbeidskosten"),W1745*VLOOKUP(F1745,Tb_ProjectKosten[],MATCH(Tb_ProjectKosten[[#Headers],[Forfait_Percentage]],Tb_ProjectKosten[#Headers],0),0),AND(F1745="Arbeidskosten",G1745&lt;&gt;""),IFERROR(W1745*VLOOKUP(G1745,Tb_KostenTypen[],3,0)*VLOOKUP(F1745,Tb_ProjectKosten[],MATCH(Tb_ProjectKosten[[#Headers],[Forfait_Percentage]],Tb_ProjectKosten[#Headers],0),0),""),W1745 &lt;=0,0),"")</f>
        <v/>
      </c>
      <c r="AA1745" s="314" t="str" cm="1">
        <f t="array" aca="1" ref="AA1745" ca="1">IFERROR(_xlfn.IFS(OR(F1745="",LEFT(Methode_Keuze,4)="Geen",Methode_Keuze=""),"",AND(X1745&lt;&gt;"",F1745&lt;&gt;"Arbeidskosten"),X1745*VLOOKUP(F1745,Tb_ProjectKosten[],MATCH(Tb_ProjectKosten[[#Headers],[Forfait_Percentage]],Tb_ProjectKosten[#Headers],0),0),AND(F1745="Arbeidskosten",G1745&lt;&gt;""),IFERROR(X1745*VLOOKUP(G1745,Tb_KostenTypen[],3,0)*VLOOKUP(F1745,Tb_ProjectKosten[],MATCH(Tb_ProjectKosten[[#Headers],[Forfait_Percentage]],Tb_ProjectKosten[#Headers],0),0),""),X1745 &lt;=0,0),"")</f>
        <v/>
      </c>
      <c r="AB1745" s="314" t="str">
        <f t="shared" ca="1" si="111"/>
        <v/>
      </c>
      <c r="AC1745" s="322"/>
      <c r="AD1745" s="315"/>
      <c r="AE1745" s="32" t="str" cm="1">
        <f t="array" ref="AE1745">IFERROR(IF(INDEX(SubsidieTabel!$AD$1:$AG$12,MATCH($F1745,SubsidieTabel!$AD$1:$AD$12,0),IFERROR(MATCH(Methode_Keuze,SubsidieTabel!$AD$1:$AG$1,0),2))&lt;&gt;1=TRUE,"ja",""),"")</f>
        <v/>
      </c>
    </row>
    <row r="1746" spans="1:31" x14ac:dyDescent="0.25">
      <c r="A1746" s="316"/>
      <c r="B1746" s="317" t="str">
        <f>IF(A1746&lt;&gt;"",_xlfn.MAXIFS($B$1:B1745,$A$1:A1745,A1746)+1,"")</f>
        <v/>
      </c>
      <c r="C1746" s="296"/>
      <c r="D1746" s="296"/>
      <c r="E1746" s="296"/>
      <c r="F1746" s="296"/>
      <c r="G1746" s="326"/>
      <c r="H1746" s="324"/>
      <c r="I1746" s="325"/>
      <c r="J1746" s="325"/>
      <c r="K1746" s="318"/>
      <c r="L1746" s="318"/>
      <c r="M1746" s="319" t="str">
        <f>IFERROR(VLOOKUP(H1746,Lijsten!$H$1:$I$100,2,0),"")</f>
        <v/>
      </c>
      <c r="N1746" s="319" t="str">
        <f ca="1">IFERROR(IF(VLOOKUP(F1746,Kostentypen!$A$3:$E$21,3,0)=0,"",IF(OR(F1746="Arbeidskosten",F1746="Vergoeding"),VLOOKUP(G1746,Tb_KostenTypen[],2,0),VLOOKUP(F1746,Kostentypen!$A$3:$E$20,3,0))),"")</f>
        <v/>
      </c>
      <c r="O1746" s="320" t="str" cm="1">
        <f t="array" ref="O1746">_xlfn.IFNA(IF(INDEX(Tb_KostenOptiesDB[],MATCH($F1746,Tb_KostenOptiesDB[KostenOptie],0),IFERROR(MATCH(Methode_Keuze,Tb_KostenOptiesDB[#Headers],0),2))=1,_xlfn.SWITCH($N1746,"Uurtarief",IF(OR(AND(RIGHT($F1746,3)="IKS",VLOOKUP($M1746,DB_Loonkosten,2,0)="Ja"),AND(RIGHT($F1746,3)&lt;&gt;"IKS",VLOOKUP($M1746,DB_Loonkosten,2,0)="Nee")),IFERROR(VLOOKUP($M1746,DB_Loonkosten,24,0),""),0),"Vast tarief",IF(LEFT(F1746,8)="Bijdrage",VLOOKUP($F1746,Tb_KostenTypen[],MATCH(Lijsten!$P$1,Tb_KostenTypen[#Headers],0),0),VLOOKUP($G1746,Lijsten!L:P,MATCH(Lijsten!$P$1,Kop_Tarief_Vast,0),0))),""),"")</f>
        <v/>
      </c>
      <c r="P1746" s="320" t="str" cm="1">
        <f t="array" ref="P1746">_xlfn.IFNA(IF(INDEX(Tb_KostenOptiesDB[],MATCH($F1746,Tb_KostenOptiesDB[KostenOptie],0),IFERROR(MATCH(Methode_Keuze,Tb_KostenOptiesDB[#Headers],0),2))=1,_xlfn.SWITCH($N1746,"Uurtarief",IF(OR(AND(RIGHT($F1746,3)="IKS",VLOOKUP($M1746,DB_Loonkosten,2,0)="Ja"),AND(RIGHT($F1746,3)&lt;&gt;"IKS",VLOOKUP($M1746,DB_Loonkosten,2,0)="Nee")),IFERROR(VLOOKUP($M1746,DB_Loonkosten,25,0),""),0),"Vast tarief",IF(LEFT(F1746,8)="Bijdrage",VLOOKUP($F1746,Tb_KostenTypen[],MATCH(Lijsten!$P$1,Tb_KostenTypen[#Headers],0),0),VLOOKUP($G1746,Lijsten!L:P,MATCH(Lijsten!$P$1,Kop_Tarief_Vast,0),0))),""),"")</f>
        <v/>
      </c>
      <c r="Q1746" s="359"/>
      <c r="R1746" s="359"/>
      <c r="S1746" s="321"/>
      <c r="T1746" s="321"/>
      <c r="U1746" s="373" t="str">
        <f t="shared" si="108"/>
        <v/>
      </c>
      <c r="V1746" s="314" t="str">
        <f t="shared" si="109"/>
        <v/>
      </c>
      <c r="W1746" s="314" t="str" cm="1">
        <f t="array" aca="1" ref="W1746" ca="1">IFERROR(IF(AE1746&lt;&gt;"ja",_xlfn.IFNA(_xlfn.IFS(AND(O1746&lt;&gt;"",F1746&lt;&gt;"",RIGHT($N1746,6)="tarief",F1746="Vergoeding"),SUM(O1746)*FLOOR(SUM(Q1746),0.0001),AND(O1746&lt;&gt;"",F1746&lt;&gt;"",RIGHT($N1746,6)="tarief"),SUM(O1746)*FLOOR(SUM(Q1746),0.01),S1746&gt;0,IF(F1746&lt;&gt;"",FLOOR(SUM(S1746),0.01),"")),""),""),"")</f>
        <v/>
      </c>
      <c r="X1746" s="314" t="str" cm="1">
        <f t="array" aca="1" ref="X1746" ca="1">IFERROR(IF(AE1746&lt;&gt;"ja",_xlfn.IFNA(_xlfn.IFS(AND(P1746&lt;&gt;"",R1746&lt;&gt;"",RIGHT($N1746,6)="tarief",F1746="Vergoeding"),SUM(P1746)*FLOOR(SUM(R1746),0.0001),AND(P1746&lt;&gt;"",R1746&lt;&gt;"",RIGHT($N1746,6)="tarief"),P1746*FLOOR(R1746,0.01),T1746&gt;0,FLOOR(SUM(T1746),0.01)),""),""),"")</f>
        <v/>
      </c>
      <c r="Y1746" s="314" t="str">
        <f t="shared" ca="1" si="110"/>
        <v/>
      </c>
      <c r="Z1746" s="314" t="str" cm="1">
        <f t="array" aca="1" ref="Z1746" ca="1">IFERROR(_xlfn.IFS(OR(F1746="",LEFT(Methode_Keuze,4)="Geen",Methode_Keuze=""),"",AND(W1746&lt;&gt;"",F1746&lt;&gt;"Arbeidskosten"),W1746*VLOOKUP(F1746,Tb_ProjectKosten[],MATCH(Tb_ProjectKosten[[#Headers],[Forfait_Percentage]],Tb_ProjectKosten[#Headers],0),0),AND(F1746="Arbeidskosten",G1746&lt;&gt;""),IFERROR(W1746*VLOOKUP(G1746,Tb_KostenTypen[],3,0)*VLOOKUP(F1746,Tb_ProjectKosten[],MATCH(Tb_ProjectKosten[[#Headers],[Forfait_Percentage]],Tb_ProjectKosten[#Headers],0),0),""),W1746 &lt;=0,0),"")</f>
        <v/>
      </c>
      <c r="AA1746" s="314" t="str" cm="1">
        <f t="array" aca="1" ref="AA1746" ca="1">IFERROR(_xlfn.IFS(OR(F1746="",LEFT(Methode_Keuze,4)="Geen",Methode_Keuze=""),"",AND(X1746&lt;&gt;"",F1746&lt;&gt;"Arbeidskosten"),X1746*VLOOKUP(F1746,Tb_ProjectKosten[],MATCH(Tb_ProjectKosten[[#Headers],[Forfait_Percentage]],Tb_ProjectKosten[#Headers],0),0),AND(F1746="Arbeidskosten",G1746&lt;&gt;""),IFERROR(X1746*VLOOKUP(G1746,Tb_KostenTypen[],3,0)*VLOOKUP(F1746,Tb_ProjectKosten[],MATCH(Tb_ProjectKosten[[#Headers],[Forfait_Percentage]],Tb_ProjectKosten[#Headers],0),0),""),X1746 &lt;=0,0),"")</f>
        <v/>
      </c>
      <c r="AB1746" s="314" t="str">
        <f t="shared" ca="1" si="111"/>
        <v/>
      </c>
      <c r="AC1746" s="322"/>
      <c r="AD1746" s="315"/>
      <c r="AE1746" s="32" t="str" cm="1">
        <f t="array" ref="AE1746">IFERROR(IF(INDEX(SubsidieTabel!$AD$1:$AG$12,MATCH($F1746,SubsidieTabel!$AD$1:$AD$12,0),IFERROR(MATCH(Methode_Keuze,SubsidieTabel!$AD$1:$AG$1,0),2))&lt;&gt;1=TRUE,"ja",""),"")</f>
        <v/>
      </c>
    </row>
    <row r="1747" spans="1:31" x14ac:dyDescent="0.25">
      <c r="A1747" s="316"/>
      <c r="B1747" s="317" t="str">
        <f>IF(A1747&lt;&gt;"",_xlfn.MAXIFS($B$1:B1746,$A$1:A1746,A1747)+1,"")</f>
        <v/>
      </c>
      <c r="C1747" s="296"/>
      <c r="D1747" s="296"/>
      <c r="E1747" s="296"/>
      <c r="F1747" s="296"/>
      <c r="G1747" s="326"/>
      <c r="H1747" s="324"/>
      <c r="I1747" s="325"/>
      <c r="J1747" s="325"/>
      <c r="K1747" s="318"/>
      <c r="L1747" s="318"/>
      <c r="M1747" s="319" t="str">
        <f>IFERROR(VLOOKUP(H1747,Lijsten!$H$1:$I$100,2,0),"")</f>
        <v/>
      </c>
      <c r="N1747" s="319" t="str">
        <f ca="1">IFERROR(IF(VLOOKUP(F1747,Kostentypen!$A$3:$E$21,3,0)=0,"",IF(OR(F1747="Arbeidskosten",F1747="Vergoeding"),VLOOKUP(G1747,Tb_KostenTypen[],2,0),VLOOKUP(F1747,Kostentypen!$A$3:$E$20,3,0))),"")</f>
        <v/>
      </c>
      <c r="O1747" s="320" t="str" cm="1">
        <f t="array" ref="O1747">_xlfn.IFNA(IF(INDEX(Tb_KostenOptiesDB[],MATCH($F1747,Tb_KostenOptiesDB[KostenOptie],0),IFERROR(MATCH(Methode_Keuze,Tb_KostenOptiesDB[#Headers],0),2))=1,_xlfn.SWITCH($N1747,"Uurtarief",IF(OR(AND(RIGHT($F1747,3)="IKS",VLOOKUP($M1747,DB_Loonkosten,2,0)="Ja"),AND(RIGHT($F1747,3)&lt;&gt;"IKS",VLOOKUP($M1747,DB_Loonkosten,2,0)="Nee")),IFERROR(VLOOKUP($M1747,DB_Loonkosten,24,0),""),0),"Vast tarief",IF(LEFT(F1747,8)="Bijdrage",VLOOKUP($F1747,Tb_KostenTypen[],MATCH(Lijsten!$P$1,Tb_KostenTypen[#Headers],0),0),VLOOKUP($G1747,Lijsten!L:P,MATCH(Lijsten!$P$1,Kop_Tarief_Vast,0),0))),""),"")</f>
        <v/>
      </c>
      <c r="P1747" s="320" t="str" cm="1">
        <f t="array" ref="P1747">_xlfn.IFNA(IF(INDEX(Tb_KostenOptiesDB[],MATCH($F1747,Tb_KostenOptiesDB[KostenOptie],0),IFERROR(MATCH(Methode_Keuze,Tb_KostenOptiesDB[#Headers],0),2))=1,_xlfn.SWITCH($N1747,"Uurtarief",IF(OR(AND(RIGHT($F1747,3)="IKS",VLOOKUP($M1747,DB_Loonkosten,2,0)="Ja"),AND(RIGHT($F1747,3)&lt;&gt;"IKS",VLOOKUP($M1747,DB_Loonkosten,2,0)="Nee")),IFERROR(VLOOKUP($M1747,DB_Loonkosten,25,0),""),0),"Vast tarief",IF(LEFT(F1747,8)="Bijdrage",VLOOKUP($F1747,Tb_KostenTypen[],MATCH(Lijsten!$P$1,Tb_KostenTypen[#Headers],0),0),VLOOKUP($G1747,Lijsten!L:P,MATCH(Lijsten!$P$1,Kop_Tarief_Vast,0),0))),""),"")</f>
        <v/>
      </c>
      <c r="Q1747" s="359"/>
      <c r="R1747" s="359"/>
      <c r="S1747" s="321"/>
      <c r="T1747" s="321"/>
      <c r="U1747" s="373" t="str">
        <f t="shared" si="108"/>
        <v/>
      </c>
      <c r="V1747" s="314" t="str">
        <f t="shared" si="109"/>
        <v/>
      </c>
      <c r="W1747" s="314" t="str" cm="1">
        <f t="array" aca="1" ref="W1747" ca="1">IFERROR(IF(AE1747&lt;&gt;"ja",_xlfn.IFNA(_xlfn.IFS(AND(O1747&lt;&gt;"",F1747&lt;&gt;"",RIGHT($N1747,6)="tarief",F1747="Vergoeding"),SUM(O1747)*FLOOR(SUM(Q1747),0.0001),AND(O1747&lt;&gt;"",F1747&lt;&gt;"",RIGHT($N1747,6)="tarief"),SUM(O1747)*FLOOR(SUM(Q1747),0.01),S1747&gt;0,IF(F1747&lt;&gt;"",FLOOR(SUM(S1747),0.01),"")),""),""),"")</f>
        <v/>
      </c>
      <c r="X1747" s="314" t="str" cm="1">
        <f t="array" aca="1" ref="X1747" ca="1">IFERROR(IF(AE1747&lt;&gt;"ja",_xlfn.IFNA(_xlfn.IFS(AND(P1747&lt;&gt;"",R1747&lt;&gt;"",RIGHT($N1747,6)="tarief",F1747="Vergoeding"),SUM(P1747)*FLOOR(SUM(R1747),0.0001),AND(P1747&lt;&gt;"",R1747&lt;&gt;"",RIGHT($N1747,6)="tarief"),P1747*FLOOR(R1747,0.01),T1747&gt;0,FLOOR(SUM(T1747),0.01)),""),""),"")</f>
        <v/>
      </c>
      <c r="Y1747" s="314" t="str">
        <f t="shared" ca="1" si="110"/>
        <v/>
      </c>
      <c r="Z1747" s="314" t="str" cm="1">
        <f t="array" aca="1" ref="Z1747" ca="1">IFERROR(_xlfn.IFS(OR(F1747="",LEFT(Methode_Keuze,4)="Geen",Methode_Keuze=""),"",AND(W1747&lt;&gt;"",F1747&lt;&gt;"Arbeidskosten"),W1747*VLOOKUP(F1747,Tb_ProjectKosten[],MATCH(Tb_ProjectKosten[[#Headers],[Forfait_Percentage]],Tb_ProjectKosten[#Headers],0),0),AND(F1747="Arbeidskosten",G1747&lt;&gt;""),IFERROR(W1747*VLOOKUP(G1747,Tb_KostenTypen[],3,0)*VLOOKUP(F1747,Tb_ProjectKosten[],MATCH(Tb_ProjectKosten[[#Headers],[Forfait_Percentage]],Tb_ProjectKosten[#Headers],0),0),""),W1747 &lt;=0,0),"")</f>
        <v/>
      </c>
      <c r="AA1747" s="314" t="str" cm="1">
        <f t="array" aca="1" ref="AA1747" ca="1">IFERROR(_xlfn.IFS(OR(F1747="",LEFT(Methode_Keuze,4)="Geen",Methode_Keuze=""),"",AND(X1747&lt;&gt;"",F1747&lt;&gt;"Arbeidskosten"),X1747*VLOOKUP(F1747,Tb_ProjectKosten[],MATCH(Tb_ProjectKosten[[#Headers],[Forfait_Percentage]],Tb_ProjectKosten[#Headers],0),0),AND(F1747="Arbeidskosten",G1747&lt;&gt;""),IFERROR(X1747*VLOOKUP(G1747,Tb_KostenTypen[],3,0)*VLOOKUP(F1747,Tb_ProjectKosten[],MATCH(Tb_ProjectKosten[[#Headers],[Forfait_Percentage]],Tb_ProjectKosten[#Headers],0),0),""),X1747 &lt;=0,0),"")</f>
        <v/>
      </c>
      <c r="AB1747" s="314" t="str">
        <f t="shared" ca="1" si="111"/>
        <v/>
      </c>
      <c r="AC1747" s="322"/>
      <c r="AD1747" s="315"/>
      <c r="AE1747" s="32" t="str" cm="1">
        <f t="array" ref="AE1747">IFERROR(IF(INDEX(SubsidieTabel!$AD$1:$AG$12,MATCH($F1747,SubsidieTabel!$AD$1:$AD$12,0),IFERROR(MATCH(Methode_Keuze,SubsidieTabel!$AD$1:$AG$1,0),2))&lt;&gt;1=TRUE,"ja",""),"")</f>
        <v/>
      </c>
    </row>
    <row r="1748" spans="1:31" x14ac:dyDescent="0.25">
      <c r="A1748" s="316"/>
      <c r="B1748" s="317" t="str">
        <f>IF(A1748&lt;&gt;"",_xlfn.MAXIFS($B$1:B1747,$A$1:A1747,A1748)+1,"")</f>
        <v/>
      </c>
      <c r="C1748" s="296"/>
      <c r="D1748" s="296"/>
      <c r="E1748" s="296"/>
      <c r="F1748" s="296"/>
      <c r="G1748" s="326"/>
      <c r="H1748" s="324"/>
      <c r="I1748" s="325"/>
      <c r="J1748" s="325"/>
      <c r="K1748" s="318"/>
      <c r="L1748" s="318"/>
      <c r="M1748" s="319" t="str">
        <f>IFERROR(VLOOKUP(H1748,Lijsten!$H$1:$I$100,2,0),"")</f>
        <v/>
      </c>
      <c r="N1748" s="319" t="str">
        <f ca="1">IFERROR(IF(VLOOKUP(F1748,Kostentypen!$A$3:$E$21,3,0)=0,"",IF(OR(F1748="Arbeidskosten",F1748="Vergoeding"),VLOOKUP(G1748,Tb_KostenTypen[],2,0),VLOOKUP(F1748,Kostentypen!$A$3:$E$20,3,0))),"")</f>
        <v/>
      </c>
      <c r="O1748" s="320" t="str" cm="1">
        <f t="array" ref="O1748">_xlfn.IFNA(IF(INDEX(Tb_KostenOptiesDB[],MATCH($F1748,Tb_KostenOptiesDB[KostenOptie],0),IFERROR(MATCH(Methode_Keuze,Tb_KostenOptiesDB[#Headers],0),2))=1,_xlfn.SWITCH($N1748,"Uurtarief",IF(OR(AND(RIGHT($F1748,3)="IKS",VLOOKUP($M1748,DB_Loonkosten,2,0)="Ja"),AND(RIGHT($F1748,3)&lt;&gt;"IKS",VLOOKUP($M1748,DB_Loonkosten,2,0)="Nee")),IFERROR(VLOOKUP($M1748,DB_Loonkosten,24,0),""),0),"Vast tarief",IF(LEFT(F1748,8)="Bijdrage",VLOOKUP($F1748,Tb_KostenTypen[],MATCH(Lijsten!$P$1,Tb_KostenTypen[#Headers],0),0),VLOOKUP($G1748,Lijsten!L:P,MATCH(Lijsten!$P$1,Kop_Tarief_Vast,0),0))),""),"")</f>
        <v/>
      </c>
      <c r="P1748" s="320" t="str" cm="1">
        <f t="array" ref="P1748">_xlfn.IFNA(IF(INDEX(Tb_KostenOptiesDB[],MATCH($F1748,Tb_KostenOptiesDB[KostenOptie],0),IFERROR(MATCH(Methode_Keuze,Tb_KostenOptiesDB[#Headers],0),2))=1,_xlfn.SWITCH($N1748,"Uurtarief",IF(OR(AND(RIGHT($F1748,3)="IKS",VLOOKUP($M1748,DB_Loonkosten,2,0)="Ja"),AND(RIGHT($F1748,3)&lt;&gt;"IKS",VLOOKUP($M1748,DB_Loonkosten,2,0)="Nee")),IFERROR(VLOOKUP($M1748,DB_Loonkosten,25,0),""),0),"Vast tarief",IF(LEFT(F1748,8)="Bijdrage",VLOOKUP($F1748,Tb_KostenTypen[],MATCH(Lijsten!$P$1,Tb_KostenTypen[#Headers],0),0),VLOOKUP($G1748,Lijsten!L:P,MATCH(Lijsten!$P$1,Kop_Tarief_Vast,0),0))),""),"")</f>
        <v/>
      </c>
      <c r="Q1748" s="359"/>
      <c r="R1748" s="359"/>
      <c r="S1748" s="321"/>
      <c r="T1748" s="321"/>
      <c r="U1748" s="373" t="str">
        <f t="shared" si="108"/>
        <v/>
      </c>
      <c r="V1748" s="314" t="str">
        <f t="shared" si="109"/>
        <v/>
      </c>
      <c r="W1748" s="314" t="str" cm="1">
        <f t="array" aca="1" ref="W1748" ca="1">IFERROR(IF(AE1748&lt;&gt;"ja",_xlfn.IFNA(_xlfn.IFS(AND(O1748&lt;&gt;"",F1748&lt;&gt;"",RIGHT($N1748,6)="tarief",F1748="Vergoeding"),SUM(O1748)*FLOOR(SUM(Q1748),0.0001),AND(O1748&lt;&gt;"",F1748&lt;&gt;"",RIGHT($N1748,6)="tarief"),SUM(O1748)*FLOOR(SUM(Q1748),0.01),S1748&gt;0,IF(F1748&lt;&gt;"",FLOOR(SUM(S1748),0.01),"")),""),""),"")</f>
        <v/>
      </c>
      <c r="X1748" s="314" t="str" cm="1">
        <f t="array" aca="1" ref="X1748" ca="1">IFERROR(IF(AE1748&lt;&gt;"ja",_xlfn.IFNA(_xlfn.IFS(AND(P1748&lt;&gt;"",R1748&lt;&gt;"",RIGHT($N1748,6)="tarief",F1748="Vergoeding"),SUM(P1748)*FLOOR(SUM(R1748),0.0001),AND(P1748&lt;&gt;"",R1748&lt;&gt;"",RIGHT($N1748,6)="tarief"),P1748*FLOOR(R1748,0.01),T1748&gt;0,FLOOR(SUM(T1748),0.01)),""),""),"")</f>
        <v/>
      </c>
      <c r="Y1748" s="314" t="str">
        <f t="shared" ca="1" si="110"/>
        <v/>
      </c>
      <c r="Z1748" s="314" t="str" cm="1">
        <f t="array" aca="1" ref="Z1748" ca="1">IFERROR(_xlfn.IFS(OR(F1748="",LEFT(Methode_Keuze,4)="Geen",Methode_Keuze=""),"",AND(W1748&lt;&gt;"",F1748&lt;&gt;"Arbeidskosten"),W1748*VLOOKUP(F1748,Tb_ProjectKosten[],MATCH(Tb_ProjectKosten[[#Headers],[Forfait_Percentage]],Tb_ProjectKosten[#Headers],0),0),AND(F1748="Arbeidskosten",G1748&lt;&gt;""),IFERROR(W1748*VLOOKUP(G1748,Tb_KostenTypen[],3,0)*VLOOKUP(F1748,Tb_ProjectKosten[],MATCH(Tb_ProjectKosten[[#Headers],[Forfait_Percentage]],Tb_ProjectKosten[#Headers],0),0),""),W1748 &lt;=0,0),"")</f>
        <v/>
      </c>
      <c r="AA1748" s="314" t="str" cm="1">
        <f t="array" aca="1" ref="AA1748" ca="1">IFERROR(_xlfn.IFS(OR(F1748="",LEFT(Methode_Keuze,4)="Geen",Methode_Keuze=""),"",AND(X1748&lt;&gt;"",F1748&lt;&gt;"Arbeidskosten"),X1748*VLOOKUP(F1748,Tb_ProjectKosten[],MATCH(Tb_ProjectKosten[[#Headers],[Forfait_Percentage]],Tb_ProjectKosten[#Headers],0),0),AND(F1748="Arbeidskosten",G1748&lt;&gt;""),IFERROR(X1748*VLOOKUP(G1748,Tb_KostenTypen[],3,0)*VLOOKUP(F1748,Tb_ProjectKosten[],MATCH(Tb_ProjectKosten[[#Headers],[Forfait_Percentage]],Tb_ProjectKosten[#Headers],0),0),""),X1748 &lt;=0,0),"")</f>
        <v/>
      </c>
      <c r="AB1748" s="314" t="str">
        <f t="shared" ca="1" si="111"/>
        <v/>
      </c>
      <c r="AC1748" s="322"/>
      <c r="AD1748" s="315"/>
      <c r="AE1748" s="32" t="str" cm="1">
        <f t="array" ref="AE1748">IFERROR(IF(INDEX(SubsidieTabel!$AD$1:$AG$12,MATCH($F1748,SubsidieTabel!$AD$1:$AD$12,0),IFERROR(MATCH(Methode_Keuze,SubsidieTabel!$AD$1:$AG$1,0),2))&lt;&gt;1=TRUE,"ja",""),"")</f>
        <v/>
      </c>
    </row>
    <row r="1749" spans="1:31" x14ac:dyDescent="0.25">
      <c r="A1749" s="316"/>
      <c r="B1749" s="317" t="str">
        <f>IF(A1749&lt;&gt;"",_xlfn.MAXIFS($B$1:B1748,$A$1:A1748,A1749)+1,"")</f>
        <v/>
      </c>
      <c r="C1749" s="296"/>
      <c r="D1749" s="296"/>
      <c r="E1749" s="296"/>
      <c r="F1749" s="296"/>
      <c r="G1749" s="326"/>
      <c r="H1749" s="324"/>
      <c r="I1749" s="325"/>
      <c r="J1749" s="325"/>
      <c r="K1749" s="318"/>
      <c r="L1749" s="318"/>
      <c r="M1749" s="319" t="str">
        <f>IFERROR(VLOOKUP(H1749,Lijsten!$H$1:$I$100,2,0),"")</f>
        <v/>
      </c>
      <c r="N1749" s="319" t="str">
        <f ca="1">IFERROR(IF(VLOOKUP(F1749,Kostentypen!$A$3:$E$21,3,0)=0,"",IF(OR(F1749="Arbeidskosten",F1749="Vergoeding"),VLOOKUP(G1749,Tb_KostenTypen[],2,0),VLOOKUP(F1749,Kostentypen!$A$3:$E$20,3,0))),"")</f>
        <v/>
      </c>
      <c r="O1749" s="320" t="str" cm="1">
        <f t="array" ref="O1749">_xlfn.IFNA(IF(INDEX(Tb_KostenOptiesDB[],MATCH($F1749,Tb_KostenOptiesDB[KostenOptie],0),IFERROR(MATCH(Methode_Keuze,Tb_KostenOptiesDB[#Headers],0),2))=1,_xlfn.SWITCH($N1749,"Uurtarief",IF(OR(AND(RIGHT($F1749,3)="IKS",VLOOKUP($M1749,DB_Loonkosten,2,0)="Ja"),AND(RIGHT($F1749,3)&lt;&gt;"IKS",VLOOKUP($M1749,DB_Loonkosten,2,0)="Nee")),IFERROR(VLOOKUP($M1749,DB_Loonkosten,24,0),""),0),"Vast tarief",IF(LEFT(F1749,8)="Bijdrage",VLOOKUP($F1749,Tb_KostenTypen[],MATCH(Lijsten!$P$1,Tb_KostenTypen[#Headers],0),0),VLOOKUP($G1749,Lijsten!L:P,MATCH(Lijsten!$P$1,Kop_Tarief_Vast,0),0))),""),"")</f>
        <v/>
      </c>
      <c r="P1749" s="320" t="str" cm="1">
        <f t="array" ref="P1749">_xlfn.IFNA(IF(INDEX(Tb_KostenOptiesDB[],MATCH($F1749,Tb_KostenOptiesDB[KostenOptie],0),IFERROR(MATCH(Methode_Keuze,Tb_KostenOptiesDB[#Headers],0),2))=1,_xlfn.SWITCH($N1749,"Uurtarief",IF(OR(AND(RIGHT($F1749,3)="IKS",VLOOKUP($M1749,DB_Loonkosten,2,0)="Ja"),AND(RIGHT($F1749,3)&lt;&gt;"IKS",VLOOKUP($M1749,DB_Loonkosten,2,0)="Nee")),IFERROR(VLOOKUP($M1749,DB_Loonkosten,25,0),""),0),"Vast tarief",IF(LEFT(F1749,8)="Bijdrage",VLOOKUP($F1749,Tb_KostenTypen[],MATCH(Lijsten!$P$1,Tb_KostenTypen[#Headers],0),0),VLOOKUP($G1749,Lijsten!L:P,MATCH(Lijsten!$P$1,Kop_Tarief_Vast,0),0))),""),"")</f>
        <v/>
      </c>
      <c r="Q1749" s="359"/>
      <c r="R1749" s="359"/>
      <c r="S1749" s="321"/>
      <c r="T1749" s="321"/>
      <c r="U1749" s="373" t="str">
        <f t="shared" si="108"/>
        <v/>
      </c>
      <c r="V1749" s="314" t="str">
        <f t="shared" si="109"/>
        <v/>
      </c>
      <c r="W1749" s="314" t="str" cm="1">
        <f t="array" aca="1" ref="W1749" ca="1">IFERROR(IF(AE1749&lt;&gt;"ja",_xlfn.IFNA(_xlfn.IFS(AND(O1749&lt;&gt;"",F1749&lt;&gt;"",RIGHT($N1749,6)="tarief",F1749="Vergoeding"),SUM(O1749)*FLOOR(SUM(Q1749),0.0001),AND(O1749&lt;&gt;"",F1749&lt;&gt;"",RIGHT($N1749,6)="tarief"),SUM(O1749)*FLOOR(SUM(Q1749),0.01),S1749&gt;0,IF(F1749&lt;&gt;"",FLOOR(SUM(S1749),0.01),"")),""),""),"")</f>
        <v/>
      </c>
      <c r="X1749" s="314" t="str" cm="1">
        <f t="array" aca="1" ref="X1749" ca="1">IFERROR(IF(AE1749&lt;&gt;"ja",_xlfn.IFNA(_xlfn.IFS(AND(P1749&lt;&gt;"",R1749&lt;&gt;"",RIGHT($N1749,6)="tarief",F1749="Vergoeding"),SUM(P1749)*FLOOR(SUM(R1749),0.0001),AND(P1749&lt;&gt;"",R1749&lt;&gt;"",RIGHT($N1749,6)="tarief"),P1749*FLOOR(R1749,0.01),T1749&gt;0,FLOOR(SUM(T1749),0.01)),""),""),"")</f>
        <v/>
      </c>
      <c r="Y1749" s="314" t="str">
        <f t="shared" ca="1" si="110"/>
        <v/>
      </c>
      <c r="Z1749" s="314" t="str" cm="1">
        <f t="array" aca="1" ref="Z1749" ca="1">IFERROR(_xlfn.IFS(OR(F1749="",LEFT(Methode_Keuze,4)="Geen",Methode_Keuze=""),"",AND(W1749&lt;&gt;"",F1749&lt;&gt;"Arbeidskosten"),W1749*VLOOKUP(F1749,Tb_ProjectKosten[],MATCH(Tb_ProjectKosten[[#Headers],[Forfait_Percentage]],Tb_ProjectKosten[#Headers],0),0),AND(F1749="Arbeidskosten",G1749&lt;&gt;""),IFERROR(W1749*VLOOKUP(G1749,Tb_KostenTypen[],3,0)*VLOOKUP(F1749,Tb_ProjectKosten[],MATCH(Tb_ProjectKosten[[#Headers],[Forfait_Percentage]],Tb_ProjectKosten[#Headers],0),0),""),W1749 &lt;=0,0),"")</f>
        <v/>
      </c>
      <c r="AA1749" s="314" t="str" cm="1">
        <f t="array" aca="1" ref="AA1749" ca="1">IFERROR(_xlfn.IFS(OR(F1749="",LEFT(Methode_Keuze,4)="Geen",Methode_Keuze=""),"",AND(X1749&lt;&gt;"",F1749&lt;&gt;"Arbeidskosten"),X1749*VLOOKUP(F1749,Tb_ProjectKosten[],MATCH(Tb_ProjectKosten[[#Headers],[Forfait_Percentage]],Tb_ProjectKosten[#Headers],0),0),AND(F1749="Arbeidskosten",G1749&lt;&gt;""),IFERROR(X1749*VLOOKUP(G1749,Tb_KostenTypen[],3,0)*VLOOKUP(F1749,Tb_ProjectKosten[],MATCH(Tb_ProjectKosten[[#Headers],[Forfait_Percentage]],Tb_ProjectKosten[#Headers],0),0),""),X1749 &lt;=0,0),"")</f>
        <v/>
      </c>
      <c r="AB1749" s="314" t="str">
        <f t="shared" ca="1" si="111"/>
        <v/>
      </c>
      <c r="AC1749" s="322"/>
      <c r="AD1749" s="315"/>
      <c r="AE1749" s="32" t="str" cm="1">
        <f t="array" ref="AE1749">IFERROR(IF(INDEX(SubsidieTabel!$AD$1:$AG$12,MATCH($F1749,SubsidieTabel!$AD$1:$AD$12,0),IFERROR(MATCH(Methode_Keuze,SubsidieTabel!$AD$1:$AG$1,0),2))&lt;&gt;1=TRUE,"ja",""),"")</f>
        <v/>
      </c>
    </row>
    <row r="1750" spans="1:31" x14ac:dyDescent="0.25">
      <c r="A1750" s="316"/>
      <c r="B1750" s="317" t="str">
        <f>IF(A1750&lt;&gt;"",_xlfn.MAXIFS($B$1:B1749,$A$1:A1749,A1750)+1,"")</f>
        <v/>
      </c>
      <c r="C1750" s="296"/>
      <c r="D1750" s="296"/>
      <c r="E1750" s="296"/>
      <c r="F1750" s="296"/>
      <c r="G1750" s="326"/>
      <c r="H1750" s="324"/>
      <c r="I1750" s="325"/>
      <c r="J1750" s="325"/>
      <c r="K1750" s="318"/>
      <c r="L1750" s="318"/>
      <c r="M1750" s="319" t="str">
        <f>IFERROR(VLOOKUP(H1750,Lijsten!$H$1:$I$100,2,0),"")</f>
        <v/>
      </c>
      <c r="N1750" s="319" t="str">
        <f ca="1">IFERROR(IF(VLOOKUP(F1750,Kostentypen!$A$3:$E$21,3,0)=0,"",IF(OR(F1750="Arbeidskosten",F1750="Vergoeding"),VLOOKUP(G1750,Tb_KostenTypen[],2,0),VLOOKUP(F1750,Kostentypen!$A$3:$E$20,3,0))),"")</f>
        <v/>
      </c>
      <c r="O1750" s="320" t="str" cm="1">
        <f t="array" ref="O1750">_xlfn.IFNA(IF(INDEX(Tb_KostenOptiesDB[],MATCH($F1750,Tb_KostenOptiesDB[KostenOptie],0),IFERROR(MATCH(Methode_Keuze,Tb_KostenOptiesDB[#Headers],0),2))=1,_xlfn.SWITCH($N1750,"Uurtarief",IF(OR(AND(RIGHT($F1750,3)="IKS",VLOOKUP($M1750,DB_Loonkosten,2,0)="Ja"),AND(RIGHT($F1750,3)&lt;&gt;"IKS",VLOOKUP($M1750,DB_Loonkosten,2,0)="Nee")),IFERROR(VLOOKUP($M1750,DB_Loonkosten,24,0),""),0),"Vast tarief",IF(LEFT(F1750,8)="Bijdrage",VLOOKUP($F1750,Tb_KostenTypen[],MATCH(Lijsten!$P$1,Tb_KostenTypen[#Headers],0),0),VLOOKUP($G1750,Lijsten!L:P,MATCH(Lijsten!$P$1,Kop_Tarief_Vast,0),0))),""),"")</f>
        <v/>
      </c>
      <c r="P1750" s="320" t="str" cm="1">
        <f t="array" ref="P1750">_xlfn.IFNA(IF(INDEX(Tb_KostenOptiesDB[],MATCH($F1750,Tb_KostenOptiesDB[KostenOptie],0),IFERROR(MATCH(Methode_Keuze,Tb_KostenOptiesDB[#Headers],0),2))=1,_xlfn.SWITCH($N1750,"Uurtarief",IF(OR(AND(RIGHT($F1750,3)="IKS",VLOOKUP($M1750,DB_Loonkosten,2,0)="Ja"),AND(RIGHT($F1750,3)&lt;&gt;"IKS",VLOOKUP($M1750,DB_Loonkosten,2,0)="Nee")),IFERROR(VLOOKUP($M1750,DB_Loonkosten,25,0),""),0),"Vast tarief",IF(LEFT(F1750,8)="Bijdrage",VLOOKUP($F1750,Tb_KostenTypen[],MATCH(Lijsten!$P$1,Tb_KostenTypen[#Headers],0),0),VLOOKUP($G1750,Lijsten!L:P,MATCH(Lijsten!$P$1,Kop_Tarief_Vast,0),0))),""),"")</f>
        <v/>
      </c>
      <c r="Q1750" s="359"/>
      <c r="R1750" s="359"/>
      <c r="S1750" s="321"/>
      <c r="T1750" s="321"/>
      <c r="U1750" s="373" t="str">
        <f t="shared" si="108"/>
        <v/>
      </c>
      <c r="V1750" s="314" t="str">
        <f t="shared" si="109"/>
        <v/>
      </c>
      <c r="W1750" s="314" t="str" cm="1">
        <f t="array" aca="1" ref="W1750" ca="1">IFERROR(IF(AE1750&lt;&gt;"ja",_xlfn.IFNA(_xlfn.IFS(AND(O1750&lt;&gt;"",F1750&lt;&gt;"",RIGHT($N1750,6)="tarief",F1750="Vergoeding"),SUM(O1750)*FLOOR(SUM(Q1750),0.0001),AND(O1750&lt;&gt;"",F1750&lt;&gt;"",RIGHT($N1750,6)="tarief"),SUM(O1750)*FLOOR(SUM(Q1750),0.01),S1750&gt;0,IF(F1750&lt;&gt;"",FLOOR(SUM(S1750),0.01),"")),""),""),"")</f>
        <v/>
      </c>
      <c r="X1750" s="314" t="str" cm="1">
        <f t="array" aca="1" ref="X1750" ca="1">IFERROR(IF(AE1750&lt;&gt;"ja",_xlfn.IFNA(_xlfn.IFS(AND(P1750&lt;&gt;"",R1750&lt;&gt;"",RIGHT($N1750,6)="tarief",F1750="Vergoeding"),SUM(P1750)*FLOOR(SUM(R1750),0.0001),AND(P1750&lt;&gt;"",R1750&lt;&gt;"",RIGHT($N1750,6)="tarief"),P1750*FLOOR(R1750,0.01),T1750&gt;0,FLOOR(SUM(T1750),0.01)),""),""),"")</f>
        <v/>
      </c>
      <c r="Y1750" s="314" t="str">
        <f t="shared" ca="1" si="110"/>
        <v/>
      </c>
      <c r="Z1750" s="314" t="str" cm="1">
        <f t="array" aca="1" ref="Z1750" ca="1">IFERROR(_xlfn.IFS(OR(F1750="",LEFT(Methode_Keuze,4)="Geen",Methode_Keuze=""),"",AND(W1750&lt;&gt;"",F1750&lt;&gt;"Arbeidskosten"),W1750*VLOOKUP(F1750,Tb_ProjectKosten[],MATCH(Tb_ProjectKosten[[#Headers],[Forfait_Percentage]],Tb_ProjectKosten[#Headers],0),0),AND(F1750="Arbeidskosten",G1750&lt;&gt;""),IFERROR(W1750*VLOOKUP(G1750,Tb_KostenTypen[],3,0)*VLOOKUP(F1750,Tb_ProjectKosten[],MATCH(Tb_ProjectKosten[[#Headers],[Forfait_Percentage]],Tb_ProjectKosten[#Headers],0),0),""),W1750 &lt;=0,0),"")</f>
        <v/>
      </c>
      <c r="AA1750" s="314" t="str" cm="1">
        <f t="array" aca="1" ref="AA1750" ca="1">IFERROR(_xlfn.IFS(OR(F1750="",LEFT(Methode_Keuze,4)="Geen",Methode_Keuze=""),"",AND(X1750&lt;&gt;"",F1750&lt;&gt;"Arbeidskosten"),X1750*VLOOKUP(F1750,Tb_ProjectKosten[],MATCH(Tb_ProjectKosten[[#Headers],[Forfait_Percentage]],Tb_ProjectKosten[#Headers],0),0),AND(F1750="Arbeidskosten",G1750&lt;&gt;""),IFERROR(X1750*VLOOKUP(G1750,Tb_KostenTypen[],3,0)*VLOOKUP(F1750,Tb_ProjectKosten[],MATCH(Tb_ProjectKosten[[#Headers],[Forfait_Percentage]],Tb_ProjectKosten[#Headers],0),0),""),X1750 &lt;=0,0),"")</f>
        <v/>
      </c>
      <c r="AB1750" s="314" t="str">
        <f t="shared" ca="1" si="111"/>
        <v/>
      </c>
      <c r="AC1750" s="322"/>
      <c r="AD1750" s="315"/>
      <c r="AE1750" s="32" t="str" cm="1">
        <f t="array" ref="AE1750">IFERROR(IF(INDEX(SubsidieTabel!$AD$1:$AG$12,MATCH($F1750,SubsidieTabel!$AD$1:$AD$12,0),IFERROR(MATCH(Methode_Keuze,SubsidieTabel!$AD$1:$AG$1,0),2))&lt;&gt;1=TRUE,"ja",""),"")</f>
        <v/>
      </c>
    </row>
    <row r="1751" spans="1:31" x14ac:dyDescent="0.25">
      <c r="A1751" s="316"/>
      <c r="B1751" s="317" t="str">
        <f>IF(A1751&lt;&gt;"",_xlfn.MAXIFS($B$1:B1750,$A$1:A1750,A1751)+1,"")</f>
        <v/>
      </c>
      <c r="C1751" s="296"/>
      <c r="D1751" s="296"/>
      <c r="E1751" s="296"/>
      <c r="F1751" s="296"/>
      <c r="G1751" s="326"/>
      <c r="H1751" s="324"/>
      <c r="I1751" s="325"/>
      <c r="J1751" s="325"/>
      <c r="K1751" s="318"/>
      <c r="L1751" s="318"/>
      <c r="M1751" s="319" t="str">
        <f>IFERROR(VLOOKUP(H1751,Lijsten!$H$1:$I$100,2,0),"")</f>
        <v/>
      </c>
      <c r="N1751" s="319" t="str">
        <f ca="1">IFERROR(IF(VLOOKUP(F1751,Kostentypen!$A$3:$E$21,3,0)=0,"",IF(OR(F1751="Arbeidskosten",F1751="Vergoeding"),VLOOKUP(G1751,Tb_KostenTypen[],2,0),VLOOKUP(F1751,Kostentypen!$A$3:$E$20,3,0))),"")</f>
        <v/>
      </c>
      <c r="O1751" s="320" t="str" cm="1">
        <f t="array" ref="O1751">_xlfn.IFNA(IF(INDEX(Tb_KostenOptiesDB[],MATCH($F1751,Tb_KostenOptiesDB[KostenOptie],0),IFERROR(MATCH(Methode_Keuze,Tb_KostenOptiesDB[#Headers],0),2))=1,_xlfn.SWITCH($N1751,"Uurtarief",IF(OR(AND(RIGHT($F1751,3)="IKS",VLOOKUP($M1751,DB_Loonkosten,2,0)="Ja"),AND(RIGHT($F1751,3)&lt;&gt;"IKS",VLOOKUP($M1751,DB_Loonkosten,2,0)="Nee")),IFERROR(VLOOKUP($M1751,DB_Loonkosten,24,0),""),0),"Vast tarief",IF(LEFT(F1751,8)="Bijdrage",VLOOKUP($F1751,Tb_KostenTypen[],MATCH(Lijsten!$P$1,Tb_KostenTypen[#Headers],0),0),VLOOKUP($G1751,Lijsten!L:P,MATCH(Lijsten!$P$1,Kop_Tarief_Vast,0),0))),""),"")</f>
        <v/>
      </c>
      <c r="P1751" s="320" t="str" cm="1">
        <f t="array" ref="P1751">_xlfn.IFNA(IF(INDEX(Tb_KostenOptiesDB[],MATCH($F1751,Tb_KostenOptiesDB[KostenOptie],0),IFERROR(MATCH(Methode_Keuze,Tb_KostenOptiesDB[#Headers],0),2))=1,_xlfn.SWITCH($N1751,"Uurtarief",IF(OR(AND(RIGHT($F1751,3)="IKS",VLOOKUP($M1751,DB_Loonkosten,2,0)="Ja"),AND(RIGHT($F1751,3)&lt;&gt;"IKS",VLOOKUP($M1751,DB_Loonkosten,2,0)="Nee")),IFERROR(VLOOKUP($M1751,DB_Loonkosten,25,0),""),0),"Vast tarief",IF(LEFT(F1751,8)="Bijdrage",VLOOKUP($F1751,Tb_KostenTypen[],MATCH(Lijsten!$P$1,Tb_KostenTypen[#Headers],0),0),VLOOKUP($G1751,Lijsten!L:P,MATCH(Lijsten!$P$1,Kop_Tarief_Vast,0),0))),""),"")</f>
        <v/>
      </c>
      <c r="Q1751" s="359"/>
      <c r="R1751" s="359"/>
      <c r="S1751" s="321"/>
      <c r="T1751" s="321"/>
      <c r="U1751" s="373" t="str">
        <f t="shared" si="108"/>
        <v/>
      </c>
      <c r="V1751" s="314" t="str">
        <f t="shared" si="109"/>
        <v/>
      </c>
      <c r="W1751" s="314" t="str" cm="1">
        <f t="array" aca="1" ref="W1751" ca="1">IFERROR(IF(AE1751&lt;&gt;"ja",_xlfn.IFNA(_xlfn.IFS(AND(O1751&lt;&gt;"",F1751&lt;&gt;"",RIGHT($N1751,6)="tarief",F1751="Vergoeding"),SUM(O1751)*FLOOR(SUM(Q1751),0.0001),AND(O1751&lt;&gt;"",F1751&lt;&gt;"",RIGHT($N1751,6)="tarief"),SUM(O1751)*FLOOR(SUM(Q1751),0.01),S1751&gt;0,IF(F1751&lt;&gt;"",FLOOR(SUM(S1751),0.01),"")),""),""),"")</f>
        <v/>
      </c>
      <c r="X1751" s="314" t="str" cm="1">
        <f t="array" aca="1" ref="X1751" ca="1">IFERROR(IF(AE1751&lt;&gt;"ja",_xlfn.IFNA(_xlfn.IFS(AND(P1751&lt;&gt;"",R1751&lt;&gt;"",RIGHT($N1751,6)="tarief",F1751="Vergoeding"),SUM(P1751)*FLOOR(SUM(R1751),0.0001),AND(P1751&lt;&gt;"",R1751&lt;&gt;"",RIGHT($N1751,6)="tarief"),P1751*FLOOR(R1751,0.01),T1751&gt;0,FLOOR(SUM(T1751),0.01)),""),""),"")</f>
        <v/>
      </c>
      <c r="Y1751" s="314" t="str">
        <f t="shared" ca="1" si="110"/>
        <v/>
      </c>
      <c r="Z1751" s="314" t="str" cm="1">
        <f t="array" aca="1" ref="Z1751" ca="1">IFERROR(_xlfn.IFS(OR(F1751="",LEFT(Methode_Keuze,4)="Geen",Methode_Keuze=""),"",AND(W1751&lt;&gt;"",F1751&lt;&gt;"Arbeidskosten"),W1751*VLOOKUP(F1751,Tb_ProjectKosten[],MATCH(Tb_ProjectKosten[[#Headers],[Forfait_Percentage]],Tb_ProjectKosten[#Headers],0),0),AND(F1751="Arbeidskosten",G1751&lt;&gt;""),IFERROR(W1751*VLOOKUP(G1751,Tb_KostenTypen[],3,0)*VLOOKUP(F1751,Tb_ProjectKosten[],MATCH(Tb_ProjectKosten[[#Headers],[Forfait_Percentage]],Tb_ProjectKosten[#Headers],0),0),""),W1751 &lt;=0,0),"")</f>
        <v/>
      </c>
      <c r="AA1751" s="314" t="str" cm="1">
        <f t="array" aca="1" ref="AA1751" ca="1">IFERROR(_xlfn.IFS(OR(F1751="",LEFT(Methode_Keuze,4)="Geen",Methode_Keuze=""),"",AND(X1751&lt;&gt;"",F1751&lt;&gt;"Arbeidskosten"),X1751*VLOOKUP(F1751,Tb_ProjectKosten[],MATCH(Tb_ProjectKosten[[#Headers],[Forfait_Percentage]],Tb_ProjectKosten[#Headers],0),0),AND(F1751="Arbeidskosten",G1751&lt;&gt;""),IFERROR(X1751*VLOOKUP(G1751,Tb_KostenTypen[],3,0)*VLOOKUP(F1751,Tb_ProjectKosten[],MATCH(Tb_ProjectKosten[[#Headers],[Forfait_Percentage]],Tb_ProjectKosten[#Headers],0),0),""),X1751 &lt;=0,0),"")</f>
        <v/>
      </c>
      <c r="AB1751" s="314" t="str">
        <f t="shared" ca="1" si="111"/>
        <v/>
      </c>
      <c r="AC1751" s="322"/>
      <c r="AD1751" s="315"/>
      <c r="AE1751" s="32" t="str" cm="1">
        <f t="array" ref="AE1751">IFERROR(IF(INDEX(SubsidieTabel!$AD$1:$AG$12,MATCH($F1751,SubsidieTabel!$AD$1:$AD$12,0),IFERROR(MATCH(Methode_Keuze,SubsidieTabel!$AD$1:$AG$1,0),2))&lt;&gt;1=TRUE,"ja",""),"")</f>
        <v/>
      </c>
    </row>
    <row r="1752" spans="1:31" x14ac:dyDescent="0.25">
      <c r="A1752" s="316"/>
      <c r="B1752" s="317" t="str">
        <f>IF(A1752&lt;&gt;"",_xlfn.MAXIFS($B$1:B1751,$A$1:A1751,A1752)+1,"")</f>
        <v/>
      </c>
      <c r="C1752" s="296"/>
      <c r="D1752" s="296"/>
      <c r="E1752" s="296"/>
      <c r="F1752" s="296"/>
      <c r="G1752" s="326"/>
      <c r="H1752" s="324"/>
      <c r="I1752" s="325"/>
      <c r="J1752" s="325"/>
      <c r="K1752" s="318"/>
      <c r="L1752" s="318"/>
      <c r="M1752" s="319" t="str">
        <f>IFERROR(VLOOKUP(H1752,Lijsten!$H$1:$I$100,2,0),"")</f>
        <v/>
      </c>
      <c r="N1752" s="319" t="str">
        <f ca="1">IFERROR(IF(VLOOKUP(F1752,Kostentypen!$A$3:$E$21,3,0)=0,"",IF(OR(F1752="Arbeidskosten",F1752="Vergoeding"),VLOOKUP(G1752,Tb_KostenTypen[],2,0),VLOOKUP(F1752,Kostentypen!$A$3:$E$20,3,0))),"")</f>
        <v/>
      </c>
      <c r="O1752" s="320" t="str" cm="1">
        <f t="array" ref="O1752">_xlfn.IFNA(IF(INDEX(Tb_KostenOptiesDB[],MATCH($F1752,Tb_KostenOptiesDB[KostenOptie],0),IFERROR(MATCH(Methode_Keuze,Tb_KostenOptiesDB[#Headers],0),2))=1,_xlfn.SWITCH($N1752,"Uurtarief",IF(OR(AND(RIGHT($F1752,3)="IKS",VLOOKUP($M1752,DB_Loonkosten,2,0)="Ja"),AND(RIGHT($F1752,3)&lt;&gt;"IKS",VLOOKUP($M1752,DB_Loonkosten,2,0)="Nee")),IFERROR(VLOOKUP($M1752,DB_Loonkosten,24,0),""),0),"Vast tarief",IF(LEFT(F1752,8)="Bijdrage",VLOOKUP($F1752,Tb_KostenTypen[],MATCH(Lijsten!$P$1,Tb_KostenTypen[#Headers],0),0),VLOOKUP($G1752,Lijsten!L:P,MATCH(Lijsten!$P$1,Kop_Tarief_Vast,0),0))),""),"")</f>
        <v/>
      </c>
      <c r="P1752" s="320" t="str" cm="1">
        <f t="array" ref="P1752">_xlfn.IFNA(IF(INDEX(Tb_KostenOptiesDB[],MATCH($F1752,Tb_KostenOptiesDB[KostenOptie],0),IFERROR(MATCH(Methode_Keuze,Tb_KostenOptiesDB[#Headers],0),2))=1,_xlfn.SWITCH($N1752,"Uurtarief",IF(OR(AND(RIGHT($F1752,3)="IKS",VLOOKUP($M1752,DB_Loonkosten,2,0)="Ja"),AND(RIGHT($F1752,3)&lt;&gt;"IKS",VLOOKUP($M1752,DB_Loonkosten,2,0)="Nee")),IFERROR(VLOOKUP($M1752,DB_Loonkosten,25,0),""),0),"Vast tarief",IF(LEFT(F1752,8)="Bijdrage",VLOOKUP($F1752,Tb_KostenTypen[],MATCH(Lijsten!$P$1,Tb_KostenTypen[#Headers],0),0),VLOOKUP($G1752,Lijsten!L:P,MATCH(Lijsten!$P$1,Kop_Tarief_Vast,0),0))),""),"")</f>
        <v/>
      </c>
      <c r="Q1752" s="359"/>
      <c r="R1752" s="359"/>
      <c r="S1752" s="321"/>
      <c r="T1752" s="321"/>
      <c r="U1752" s="373" t="str">
        <f t="shared" si="108"/>
        <v/>
      </c>
      <c r="V1752" s="314" t="str">
        <f t="shared" si="109"/>
        <v/>
      </c>
      <c r="W1752" s="314" t="str" cm="1">
        <f t="array" aca="1" ref="W1752" ca="1">IFERROR(IF(AE1752&lt;&gt;"ja",_xlfn.IFNA(_xlfn.IFS(AND(O1752&lt;&gt;"",F1752&lt;&gt;"",RIGHT($N1752,6)="tarief",F1752="Vergoeding"),SUM(O1752)*FLOOR(SUM(Q1752),0.0001),AND(O1752&lt;&gt;"",F1752&lt;&gt;"",RIGHT($N1752,6)="tarief"),SUM(O1752)*FLOOR(SUM(Q1752),0.01),S1752&gt;0,IF(F1752&lt;&gt;"",FLOOR(SUM(S1752),0.01),"")),""),""),"")</f>
        <v/>
      </c>
      <c r="X1752" s="314" t="str" cm="1">
        <f t="array" aca="1" ref="X1752" ca="1">IFERROR(IF(AE1752&lt;&gt;"ja",_xlfn.IFNA(_xlfn.IFS(AND(P1752&lt;&gt;"",R1752&lt;&gt;"",RIGHT($N1752,6)="tarief",F1752="Vergoeding"),SUM(P1752)*FLOOR(SUM(R1752),0.0001),AND(P1752&lt;&gt;"",R1752&lt;&gt;"",RIGHT($N1752,6)="tarief"),P1752*FLOOR(R1752,0.01),T1752&gt;0,FLOOR(SUM(T1752),0.01)),""),""),"")</f>
        <v/>
      </c>
      <c r="Y1752" s="314" t="str">
        <f t="shared" ca="1" si="110"/>
        <v/>
      </c>
      <c r="Z1752" s="314" t="str" cm="1">
        <f t="array" aca="1" ref="Z1752" ca="1">IFERROR(_xlfn.IFS(OR(F1752="",LEFT(Methode_Keuze,4)="Geen",Methode_Keuze=""),"",AND(W1752&lt;&gt;"",F1752&lt;&gt;"Arbeidskosten"),W1752*VLOOKUP(F1752,Tb_ProjectKosten[],MATCH(Tb_ProjectKosten[[#Headers],[Forfait_Percentage]],Tb_ProjectKosten[#Headers],0),0),AND(F1752="Arbeidskosten",G1752&lt;&gt;""),IFERROR(W1752*VLOOKUP(G1752,Tb_KostenTypen[],3,0)*VLOOKUP(F1752,Tb_ProjectKosten[],MATCH(Tb_ProjectKosten[[#Headers],[Forfait_Percentage]],Tb_ProjectKosten[#Headers],0),0),""),W1752 &lt;=0,0),"")</f>
        <v/>
      </c>
      <c r="AA1752" s="314" t="str" cm="1">
        <f t="array" aca="1" ref="AA1752" ca="1">IFERROR(_xlfn.IFS(OR(F1752="",LEFT(Methode_Keuze,4)="Geen",Methode_Keuze=""),"",AND(X1752&lt;&gt;"",F1752&lt;&gt;"Arbeidskosten"),X1752*VLOOKUP(F1752,Tb_ProjectKosten[],MATCH(Tb_ProjectKosten[[#Headers],[Forfait_Percentage]],Tb_ProjectKosten[#Headers],0),0),AND(F1752="Arbeidskosten",G1752&lt;&gt;""),IFERROR(X1752*VLOOKUP(G1752,Tb_KostenTypen[],3,0)*VLOOKUP(F1752,Tb_ProjectKosten[],MATCH(Tb_ProjectKosten[[#Headers],[Forfait_Percentage]],Tb_ProjectKosten[#Headers],0),0),""),X1752 &lt;=0,0),"")</f>
        <v/>
      </c>
      <c r="AB1752" s="314" t="str">
        <f t="shared" ca="1" si="111"/>
        <v/>
      </c>
      <c r="AC1752" s="322"/>
      <c r="AD1752" s="315"/>
      <c r="AE1752" s="32" t="str" cm="1">
        <f t="array" ref="AE1752">IFERROR(IF(INDEX(SubsidieTabel!$AD$1:$AG$12,MATCH($F1752,SubsidieTabel!$AD$1:$AD$12,0),IFERROR(MATCH(Methode_Keuze,SubsidieTabel!$AD$1:$AG$1,0),2))&lt;&gt;1=TRUE,"ja",""),"")</f>
        <v/>
      </c>
    </row>
    <row r="1753" spans="1:31" x14ac:dyDescent="0.25">
      <c r="A1753" s="316"/>
      <c r="B1753" s="317" t="str">
        <f>IF(A1753&lt;&gt;"",_xlfn.MAXIFS($B$1:B1752,$A$1:A1752,A1753)+1,"")</f>
        <v/>
      </c>
      <c r="C1753" s="296"/>
      <c r="D1753" s="296"/>
      <c r="E1753" s="296"/>
      <c r="F1753" s="296"/>
      <c r="G1753" s="326"/>
      <c r="H1753" s="324"/>
      <c r="I1753" s="325"/>
      <c r="J1753" s="325"/>
      <c r="K1753" s="318"/>
      <c r="L1753" s="318"/>
      <c r="M1753" s="319" t="str">
        <f>IFERROR(VLOOKUP(H1753,Lijsten!$H$1:$I$100,2,0),"")</f>
        <v/>
      </c>
      <c r="N1753" s="319" t="str">
        <f ca="1">IFERROR(IF(VLOOKUP(F1753,Kostentypen!$A$3:$E$21,3,0)=0,"",IF(OR(F1753="Arbeidskosten",F1753="Vergoeding"),VLOOKUP(G1753,Tb_KostenTypen[],2,0),VLOOKUP(F1753,Kostentypen!$A$3:$E$20,3,0))),"")</f>
        <v/>
      </c>
      <c r="O1753" s="320" t="str" cm="1">
        <f t="array" ref="O1753">_xlfn.IFNA(IF(INDEX(Tb_KostenOptiesDB[],MATCH($F1753,Tb_KostenOptiesDB[KostenOptie],0),IFERROR(MATCH(Methode_Keuze,Tb_KostenOptiesDB[#Headers],0),2))=1,_xlfn.SWITCH($N1753,"Uurtarief",IF(OR(AND(RIGHT($F1753,3)="IKS",VLOOKUP($M1753,DB_Loonkosten,2,0)="Ja"),AND(RIGHT($F1753,3)&lt;&gt;"IKS",VLOOKUP($M1753,DB_Loonkosten,2,0)="Nee")),IFERROR(VLOOKUP($M1753,DB_Loonkosten,24,0),""),0),"Vast tarief",IF(LEFT(F1753,8)="Bijdrage",VLOOKUP($F1753,Tb_KostenTypen[],MATCH(Lijsten!$P$1,Tb_KostenTypen[#Headers],0),0),VLOOKUP($G1753,Lijsten!L:P,MATCH(Lijsten!$P$1,Kop_Tarief_Vast,0),0))),""),"")</f>
        <v/>
      </c>
      <c r="P1753" s="320" t="str" cm="1">
        <f t="array" ref="P1753">_xlfn.IFNA(IF(INDEX(Tb_KostenOptiesDB[],MATCH($F1753,Tb_KostenOptiesDB[KostenOptie],0),IFERROR(MATCH(Methode_Keuze,Tb_KostenOptiesDB[#Headers],0),2))=1,_xlfn.SWITCH($N1753,"Uurtarief",IF(OR(AND(RIGHT($F1753,3)="IKS",VLOOKUP($M1753,DB_Loonkosten,2,0)="Ja"),AND(RIGHT($F1753,3)&lt;&gt;"IKS",VLOOKUP($M1753,DB_Loonkosten,2,0)="Nee")),IFERROR(VLOOKUP($M1753,DB_Loonkosten,25,0),""),0),"Vast tarief",IF(LEFT(F1753,8)="Bijdrage",VLOOKUP($F1753,Tb_KostenTypen[],MATCH(Lijsten!$P$1,Tb_KostenTypen[#Headers],0),0),VLOOKUP($G1753,Lijsten!L:P,MATCH(Lijsten!$P$1,Kop_Tarief_Vast,0),0))),""),"")</f>
        <v/>
      </c>
      <c r="Q1753" s="359"/>
      <c r="R1753" s="359"/>
      <c r="S1753" s="321"/>
      <c r="T1753" s="321"/>
      <c r="U1753" s="373" t="str">
        <f t="shared" si="108"/>
        <v/>
      </c>
      <c r="V1753" s="314" t="str">
        <f t="shared" si="109"/>
        <v/>
      </c>
      <c r="W1753" s="314" t="str" cm="1">
        <f t="array" aca="1" ref="W1753" ca="1">IFERROR(IF(AE1753&lt;&gt;"ja",_xlfn.IFNA(_xlfn.IFS(AND(O1753&lt;&gt;"",F1753&lt;&gt;"",RIGHT($N1753,6)="tarief",F1753="Vergoeding"),SUM(O1753)*FLOOR(SUM(Q1753),0.0001),AND(O1753&lt;&gt;"",F1753&lt;&gt;"",RIGHT($N1753,6)="tarief"),SUM(O1753)*FLOOR(SUM(Q1753),0.01),S1753&gt;0,IF(F1753&lt;&gt;"",FLOOR(SUM(S1753),0.01),"")),""),""),"")</f>
        <v/>
      </c>
      <c r="X1753" s="314" t="str" cm="1">
        <f t="array" aca="1" ref="X1753" ca="1">IFERROR(IF(AE1753&lt;&gt;"ja",_xlfn.IFNA(_xlfn.IFS(AND(P1753&lt;&gt;"",R1753&lt;&gt;"",RIGHT($N1753,6)="tarief",F1753="Vergoeding"),SUM(P1753)*FLOOR(SUM(R1753),0.0001),AND(P1753&lt;&gt;"",R1753&lt;&gt;"",RIGHT($N1753,6)="tarief"),P1753*FLOOR(R1753,0.01),T1753&gt;0,FLOOR(SUM(T1753),0.01)),""),""),"")</f>
        <v/>
      </c>
      <c r="Y1753" s="314" t="str">
        <f t="shared" ca="1" si="110"/>
        <v/>
      </c>
      <c r="Z1753" s="314" t="str" cm="1">
        <f t="array" aca="1" ref="Z1753" ca="1">IFERROR(_xlfn.IFS(OR(F1753="",LEFT(Methode_Keuze,4)="Geen",Methode_Keuze=""),"",AND(W1753&lt;&gt;"",F1753&lt;&gt;"Arbeidskosten"),W1753*VLOOKUP(F1753,Tb_ProjectKosten[],MATCH(Tb_ProjectKosten[[#Headers],[Forfait_Percentage]],Tb_ProjectKosten[#Headers],0),0),AND(F1753="Arbeidskosten",G1753&lt;&gt;""),IFERROR(W1753*VLOOKUP(G1753,Tb_KostenTypen[],3,0)*VLOOKUP(F1753,Tb_ProjectKosten[],MATCH(Tb_ProjectKosten[[#Headers],[Forfait_Percentage]],Tb_ProjectKosten[#Headers],0),0),""),W1753 &lt;=0,0),"")</f>
        <v/>
      </c>
      <c r="AA1753" s="314" t="str" cm="1">
        <f t="array" aca="1" ref="AA1753" ca="1">IFERROR(_xlfn.IFS(OR(F1753="",LEFT(Methode_Keuze,4)="Geen",Methode_Keuze=""),"",AND(X1753&lt;&gt;"",F1753&lt;&gt;"Arbeidskosten"),X1753*VLOOKUP(F1753,Tb_ProjectKosten[],MATCH(Tb_ProjectKosten[[#Headers],[Forfait_Percentage]],Tb_ProjectKosten[#Headers],0),0),AND(F1753="Arbeidskosten",G1753&lt;&gt;""),IFERROR(X1753*VLOOKUP(G1753,Tb_KostenTypen[],3,0)*VLOOKUP(F1753,Tb_ProjectKosten[],MATCH(Tb_ProjectKosten[[#Headers],[Forfait_Percentage]],Tb_ProjectKosten[#Headers],0),0),""),X1753 &lt;=0,0),"")</f>
        <v/>
      </c>
      <c r="AB1753" s="314" t="str">
        <f t="shared" ca="1" si="111"/>
        <v/>
      </c>
      <c r="AC1753" s="322"/>
      <c r="AD1753" s="315"/>
      <c r="AE1753" s="32" t="str" cm="1">
        <f t="array" ref="AE1753">IFERROR(IF(INDEX(SubsidieTabel!$AD$1:$AG$12,MATCH($F1753,SubsidieTabel!$AD$1:$AD$12,0),IFERROR(MATCH(Methode_Keuze,SubsidieTabel!$AD$1:$AG$1,0),2))&lt;&gt;1=TRUE,"ja",""),"")</f>
        <v/>
      </c>
    </row>
    <row r="1754" spans="1:31" x14ac:dyDescent="0.25">
      <c r="A1754" s="316"/>
      <c r="B1754" s="317" t="str">
        <f>IF(A1754&lt;&gt;"",_xlfn.MAXIFS($B$1:B1753,$A$1:A1753,A1754)+1,"")</f>
        <v/>
      </c>
      <c r="C1754" s="296"/>
      <c r="D1754" s="296"/>
      <c r="E1754" s="296"/>
      <c r="F1754" s="296"/>
      <c r="G1754" s="326"/>
      <c r="H1754" s="324"/>
      <c r="I1754" s="325"/>
      <c r="J1754" s="325"/>
      <c r="K1754" s="318"/>
      <c r="L1754" s="318"/>
      <c r="M1754" s="319" t="str">
        <f>IFERROR(VLOOKUP(H1754,Lijsten!$H$1:$I$100,2,0),"")</f>
        <v/>
      </c>
      <c r="N1754" s="319" t="str">
        <f ca="1">IFERROR(IF(VLOOKUP(F1754,Kostentypen!$A$3:$E$21,3,0)=0,"",IF(OR(F1754="Arbeidskosten",F1754="Vergoeding"),VLOOKUP(G1754,Tb_KostenTypen[],2,0),VLOOKUP(F1754,Kostentypen!$A$3:$E$20,3,0))),"")</f>
        <v/>
      </c>
      <c r="O1754" s="320" t="str" cm="1">
        <f t="array" ref="O1754">_xlfn.IFNA(IF(INDEX(Tb_KostenOptiesDB[],MATCH($F1754,Tb_KostenOptiesDB[KostenOptie],0),IFERROR(MATCH(Methode_Keuze,Tb_KostenOptiesDB[#Headers],0),2))=1,_xlfn.SWITCH($N1754,"Uurtarief",IF(OR(AND(RIGHT($F1754,3)="IKS",VLOOKUP($M1754,DB_Loonkosten,2,0)="Ja"),AND(RIGHT($F1754,3)&lt;&gt;"IKS",VLOOKUP($M1754,DB_Loonkosten,2,0)="Nee")),IFERROR(VLOOKUP($M1754,DB_Loonkosten,24,0),""),0),"Vast tarief",IF(LEFT(F1754,8)="Bijdrage",VLOOKUP($F1754,Tb_KostenTypen[],MATCH(Lijsten!$P$1,Tb_KostenTypen[#Headers],0),0),VLOOKUP($G1754,Lijsten!L:P,MATCH(Lijsten!$P$1,Kop_Tarief_Vast,0),0))),""),"")</f>
        <v/>
      </c>
      <c r="P1754" s="320" t="str" cm="1">
        <f t="array" ref="P1754">_xlfn.IFNA(IF(INDEX(Tb_KostenOptiesDB[],MATCH($F1754,Tb_KostenOptiesDB[KostenOptie],0),IFERROR(MATCH(Methode_Keuze,Tb_KostenOptiesDB[#Headers],0),2))=1,_xlfn.SWITCH($N1754,"Uurtarief",IF(OR(AND(RIGHT($F1754,3)="IKS",VLOOKUP($M1754,DB_Loonkosten,2,0)="Ja"),AND(RIGHT($F1754,3)&lt;&gt;"IKS",VLOOKUP($M1754,DB_Loonkosten,2,0)="Nee")),IFERROR(VLOOKUP($M1754,DB_Loonkosten,25,0),""),0),"Vast tarief",IF(LEFT(F1754,8)="Bijdrage",VLOOKUP($F1754,Tb_KostenTypen[],MATCH(Lijsten!$P$1,Tb_KostenTypen[#Headers],0),0),VLOOKUP($G1754,Lijsten!L:P,MATCH(Lijsten!$P$1,Kop_Tarief_Vast,0),0))),""),"")</f>
        <v/>
      </c>
      <c r="Q1754" s="359"/>
      <c r="R1754" s="359"/>
      <c r="S1754" s="321"/>
      <c r="T1754" s="321"/>
      <c r="U1754" s="373" t="str">
        <f t="shared" si="108"/>
        <v/>
      </c>
      <c r="V1754" s="314" t="str">
        <f t="shared" si="109"/>
        <v/>
      </c>
      <c r="W1754" s="314" t="str" cm="1">
        <f t="array" aca="1" ref="W1754" ca="1">IFERROR(IF(AE1754&lt;&gt;"ja",_xlfn.IFNA(_xlfn.IFS(AND(O1754&lt;&gt;"",F1754&lt;&gt;"",RIGHT($N1754,6)="tarief",F1754="Vergoeding"),SUM(O1754)*FLOOR(SUM(Q1754),0.0001),AND(O1754&lt;&gt;"",F1754&lt;&gt;"",RIGHT($N1754,6)="tarief"),SUM(O1754)*FLOOR(SUM(Q1754),0.01),S1754&gt;0,IF(F1754&lt;&gt;"",FLOOR(SUM(S1754),0.01),"")),""),""),"")</f>
        <v/>
      </c>
      <c r="X1754" s="314" t="str" cm="1">
        <f t="array" aca="1" ref="X1754" ca="1">IFERROR(IF(AE1754&lt;&gt;"ja",_xlfn.IFNA(_xlfn.IFS(AND(P1754&lt;&gt;"",R1754&lt;&gt;"",RIGHT($N1754,6)="tarief",F1754="Vergoeding"),SUM(P1754)*FLOOR(SUM(R1754),0.0001),AND(P1754&lt;&gt;"",R1754&lt;&gt;"",RIGHT($N1754,6)="tarief"),P1754*FLOOR(R1754,0.01),T1754&gt;0,FLOOR(SUM(T1754),0.01)),""),""),"")</f>
        <v/>
      </c>
      <c r="Y1754" s="314" t="str">
        <f t="shared" ca="1" si="110"/>
        <v/>
      </c>
      <c r="Z1754" s="314" t="str" cm="1">
        <f t="array" aca="1" ref="Z1754" ca="1">IFERROR(_xlfn.IFS(OR(F1754="",LEFT(Methode_Keuze,4)="Geen",Methode_Keuze=""),"",AND(W1754&lt;&gt;"",F1754&lt;&gt;"Arbeidskosten"),W1754*VLOOKUP(F1754,Tb_ProjectKosten[],MATCH(Tb_ProjectKosten[[#Headers],[Forfait_Percentage]],Tb_ProjectKosten[#Headers],0),0),AND(F1754="Arbeidskosten",G1754&lt;&gt;""),IFERROR(W1754*VLOOKUP(G1754,Tb_KostenTypen[],3,0)*VLOOKUP(F1754,Tb_ProjectKosten[],MATCH(Tb_ProjectKosten[[#Headers],[Forfait_Percentage]],Tb_ProjectKosten[#Headers],0),0),""),W1754 &lt;=0,0),"")</f>
        <v/>
      </c>
      <c r="AA1754" s="314" t="str" cm="1">
        <f t="array" aca="1" ref="AA1754" ca="1">IFERROR(_xlfn.IFS(OR(F1754="",LEFT(Methode_Keuze,4)="Geen",Methode_Keuze=""),"",AND(X1754&lt;&gt;"",F1754&lt;&gt;"Arbeidskosten"),X1754*VLOOKUP(F1754,Tb_ProjectKosten[],MATCH(Tb_ProjectKosten[[#Headers],[Forfait_Percentage]],Tb_ProjectKosten[#Headers],0),0),AND(F1754="Arbeidskosten",G1754&lt;&gt;""),IFERROR(X1754*VLOOKUP(G1754,Tb_KostenTypen[],3,0)*VLOOKUP(F1754,Tb_ProjectKosten[],MATCH(Tb_ProjectKosten[[#Headers],[Forfait_Percentage]],Tb_ProjectKosten[#Headers],0),0),""),X1754 &lt;=0,0),"")</f>
        <v/>
      </c>
      <c r="AB1754" s="314" t="str">
        <f t="shared" ca="1" si="111"/>
        <v/>
      </c>
      <c r="AC1754" s="322"/>
      <c r="AD1754" s="315"/>
      <c r="AE1754" s="32" t="str" cm="1">
        <f t="array" ref="AE1754">IFERROR(IF(INDEX(SubsidieTabel!$AD$1:$AG$12,MATCH($F1754,SubsidieTabel!$AD$1:$AD$12,0),IFERROR(MATCH(Methode_Keuze,SubsidieTabel!$AD$1:$AG$1,0),2))&lt;&gt;1=TRUE,"ja",""),"")</f>
        <v/>
      </c>
    </row>
    <row r="1755" spans="1:31" x14ac:dyDescent="0.25">
      <c r="A1755" s="316"/>
      <c r="B1755" s="317" t="str">
        <f>IF(A1755&lt;&gt;"",_xlfn.MAXIFS($B$1:B1754,$A$1:A1754,A1755)+1,"")</f>
        <v/>
      </c>
      <c r="C1755" s="296"/>
      <c r="D1755" s="296"/>
      <c r="E1755" s="296"/>
      <c r="F1755" s="296"/>
      <c r="G1755" s="326"/>
      <c r="H1755" s="324"/>
      <c r="I1755" s="325"/>
      <c r="J1755" s="325"/>
      <c r="K1755" s="318"/>
      <c r="L1755" s="318"/>
      <c r="M1755" s="319" t="str">
        <f>IFERROR(VLOOKUP(H1755,Lijsten!$H$1:$I$100,2,0),"")</f>
        <v/>
      </c>
      <c r="N1755" s="319" t="str">
        <f ca="1">IFERROR(IF(VLOOKUP(F1755,Kostentypen!$A$3:$E$21,3,0)=0,"",IF(OR(F1755="Arbeidskosten",F1755="Vergoeding"),VLOOKUP(G1755,Tb_KostenTypen[],2,0),VLOOKUP(F1755,Kostentypen!$A$3:$E$20,3,0))),"")</f>
        <v/>
      </c>
      <c r="O1755" s="320" t="str" cm="1">
        <f t="array" ref="O1755">_xlfn.IFNA(IF(INDEX(Tb_KostenOptiesDB[],MATCH($F1755,Tb_KostenOptiesDB[KostenOptie],0),IFERROR(MATCH(Methode_Keuze,Tb_KostenOptiesDB[#Headers],0),2))=1,_xlfn.SWITCH($N1755,"Uurtarief",IF(OR(AND(RIGHT($F1755,3)="IKS",VLOOKUP($M1755,DB_Loonkosten,2,0)="Ja"),AND(RIGHT($F1755,3)&lt;&gt;"IKS",VLOOKUP($M1755,DB_Loonkosten,2,0)="Nee")),IFERROR(VLOOKUP($M1755,DB_Loonkosten,24,0),""),0),"Vast tarief",IF(LEFT(F1755,8)="Bijdrage",VLOOKUP($F1755,Tb_KostenTypen[],MATCH(Lijsten!$P$1,Tb_KostenTypen[#Headers],0),0),VLOOKUP($G1755,Lijsten!L:P,MATCH(Lijsten!$P$1,Kop_Tarief_Vast,0),0))),""),"")</f>
        <v/>
      </c>
      <c r="P1755" s="320" t="str" cm="1">
        <f t="array" ref="P1755">_xlfn.IFNA(IF(INDEX(Tb_KostenOptiesDB[],MATCH($F1755,Tb_KostenOptiesDB[KostenOptie],0),IFERROR(MATCH(Methode_Keuze,Tb_KostenOptiesDB[#Headers],0),2))=1,_xlfn.SWITCH($N1755,"Uurtarief",IF(OR(AND(RIGHT($F1755,3)="IKS",VLOOKUP($M1755,DB_Loonkosten,2,0)="Ja"),AND(RIGHT($F1755,3)&lt;&gt;"IKS",VLOOKUP($M1755,DB_Loonkosten,2,0)="Nee")),IFERROR(VLOOKUP($M1755,DB_Loonkosten,25,0),""),0),"Vast tarief",IF(LEFT(F1755,8)="Bijdrage",VLOOKUP($F1755,Tb_KostenTypen[],MATCH(Lijsten!$P$1,Tb_KostenTypen[#Headers],0),0),VLOOKUP($G1755,Lijsten!L:P,MATCH(Lijsten!$P$1,Kop_Tarief_Vast,0),0))),""),"")</f>
        <v/>
      </c>
      <c r="Q1755" s="359"/>
      <c r="R1755" s="359"/>
      <c r="S1755" s="321"/>
      <c r="T1755" s="321"/>
      <c r="U1755" s="373" t="str">
        <f t="shared" si="108"/>
        <v/>
      </c>
      <c r="V1755" s="314" t="str">
        <f t="shared" si="109"/>
        <v/>
      </c>
      <c r="W1755" s="314" t="str" cm="1">
        <f t="array" aca="1" ref="W1755" ca="1">IFERROR(IF(AE1755&lt;&gt;"ja",_xlfn.IFNA(_xlfn.IFS(AND(O1755&lt;&gt;"",F1755&lt;&gt;"",RIGHT($N1755,6)="tarief",F1755="Vergoeding"),SUM(O1755)*FLOOR(SUM(Q1755),0.0001),AND(O1755&lt;&gt;"",F1755&lt;&gt;"",RIGHT($N1755,6)="tarief"),SUM(O1755)*FLOOR(SUM(Q1755),0.01),S1755&gt;0,IF(F1755&lt;&gt;"",FLOOR(SUM(S1755),0.01),"")),""),""),"")</f>
        <v/>
      </c>
      <c r="X1755" s="314" t="str" cm="1">
        <f t="array" aca="1" ref="X1755" ca="1">IFERROR(IF(AE1755&lt;&gt;"ja",_xlfn.IFNA(_xlfn.IFS(AND(P1755&lt;&gt;"",R1755&lt;&gt;"",RIGHT($N1755,6)="tarief",F1755="Vergoeding"),SUM(P1755)*FLOOR(SUM(R1755),0.0001),AND(P1755&lt;&gt;"",R1755&lt;&gt;"",RIGHT($N1755,6)="tarief"),P1755*FLOOR(R1755,0.01),T1755&gt;0,FLOOR(SUM(T1755),0.01)),""),""),"")</f>
        <v/>
      </c>
      <c r="Y1755" s="314" t="str">
        <f t="shared" ca="1" si="110"/>
        <v/>
      </c>
      <c r="Z1755" s="314" t="str" cm="1">
        <f t="array" aca="1" ref="Z1755" ca="1">IFERROR(_xlfn.IFS(OR(F1755="",LEFT(Methode_Keuze,4)="Geen",Methode_Keuze=""),"",AND(W1755&lt;&gt;"",F1755&lt;&gt;"Arbeidskosten"),W1755*VLOOKUP(F1755,Tb_ProjectKosten[],MATCH(Tb_ProjectKosten[[#Headers],[Forfait_Percentage]],Tb_ProjectKosten[#Headers],0),0),AND(F1755="Arbeidskosten",G1755&lt;&gt;""),IFERROR(W1755*VLOOKUP(G1755,Tb_KostenTypen[],3,0)*VLOOKUP(F1755,Tb_ProjectKosten[],MATCH(Tb_ProjectKosten[[#Headers],[Forfait_Percentage]],Tb_ProjectKosten[#Headers],0),0),""),W1755 &lt;=0,0),"")</f>
        <v/>
      </c>
      <c r="AA1755" s="314" t="str" cm="1">
        <f t="array" aca="1" ref="AA1755" ca="1">IFERROR(_xlfn.IFS(OR(F1755="",LEFT(Methode_Keuze,4)="Geen",Methode_Keuze=""),"",AND(X1755&lt;&gt;"",F1755&lt;&gt;"Arbeidskosten"),X1755*VLOOKUP(F1755,Tb_ProjectKosten[],MATCH(Tb_ProjectKosten[[#Headers],[Forfait_Percentage]],Tb_ProjectKosten[#Headers],0),0),AND(F1755="Arbeidskosten",G1755&lt;&gt;""),IFERROR(X1755*VLOOKUP(G1755,Tb_KostenTypen[],3,0)*VLOOKUP(F1755,Tb_ProjectKosten[],MATCH(Tb_ProjectKosten[[#Headers],[Forfait_Percentage]],Tb_ProjectKosten[#Headers],0),0),""),X1755 &lt;=0,0),"")</f>
        <v/>
      </c>
      <c r="AB1755" s="314" t="str">
        <f t="shared" ca="1" si="111"/>
        <v/>
      </c>
      <c r="AC1755" s="322"/>
      <c r="AD1755" s="315"/>
      <c r="AE1755" s="32" t="str" cm="1">
        <f t="array" ref="AE1755">IFERROR(IF(INDEX(SubsidieTabel!$AD$1:$AG$12,MATCH($F1755,SubsidieTabel!$AD$1:$AD$12,0),IFERROR(MATCH(Methode_Keuze,SubsidieTabel!$AD$1:$AG$1,0),2))&lt;&gt;1=TRUE,"ja",""),"")</f>
        <v/>
      </c>
    </row>
    <row r="1756" spans="1:31" x14ac:dyDescent="0.25">
      <c r="A1756" s="316"/>
      <c r="B1756" s="317" t="str">
        <f>IF(A1756&lt;&gt;"",_xlfn.MAXIFS($B$1:B1755,$A$1:A1755,A1756)+1,"")</f>
        <v/>
      </c>
      <c r="C1756" s="296"/>
      <c r="D1756" s="296"/>
      <c r="E1756" s="296"/>
      <c r="F1756" s="296"/>
      <c r="G1756" s="326"/>
      <c r="H1756" s="324"/>
      <c r="I1756" s="325"/>
      <c r="J1756" s="325"/>
      <c r="K1756" s="318"/>
      <c r="L1756" s="318"/>
      <c r="M1756" s="319" t="str">
        <f>IFERROR(VLOOKUP(H1756,Lijsten!$H$1:$I$100,2,0),"")</f>
        <v/>
      </c>
      <c r="N1756" s="319" t="str">
        <f ca="1">IFERROR(IF(VLOOKUP(F1756,Kostentypen!$A$3:$E$21,3,0)=0,"",IF(OR(F1756="Arbeidskosten",F1756="Vergoeding"),VLOOKUP(G1756,Tb_KostenTypen[],2,0),VLOOKUP(F1756,Kostentypen!$A$3:$E$20,3,0))),"")</f>
        <v/>
      </c>
      <c r="O1756" s="320" t="str" cm="1">
        <f t="array" ref="O1756">_xlfn.IFNA(IF(INDEX(Tb_KostenOptiesDB[],MATCH($F1756,Tb_KostenOptiesDB[KostenOptie],0),IFERROR(MATCH(Methode_Keuze,Tb_KostenOptiesDB[#Headers],0),2))=1,_xlfn.SWITCH($N1756,"Uurtarief",IF(OR(AND(RIGHT($F1756,3)="IKS",VLOOKUP($M1756,DB_Loonkosten,2,0)="Ja"),AND(RIGHT($F1756,3)&lt;&gt;"IKS",VLOOKUP($M1756,DB_Loonkosten,2,0)="Nee")),IFERROR(VLOOKUP($M1756,DB_Loonkosten,24,0),""),0),"Vast tarief",IF(LEFT(F1756,8)="Bijdrage",VLOOKUP($F1756,Tb_KostenTypen[],MATCH(Lijsten!$P$1,Tb_KostenTypen[#Headers],0),0),VLOOKUP($G1756,Lijsten!L:P,MATCH(Lijsten!$P$1,Kop_Tarief_Vast,0),0))),""),"")</f>
        <v/>
      </c>
      <c r="P1756" s="320" t="str" cm="1">
        <f t="array" ref="P1756">_xlfn.IFNA(IF(INDEX(Tb_KostenOptiesDB[],MATCH($F1756,Tb_KostenOptiesDB[KostenOptie],0),IFERROR(MATCH(Methode_Keuze,Tb_KostenOptiesDB[#Headers],0),2))=1,_xlfn.SWITCH($N1756,"Uurtarief",IF(OR(AND(RIGHT($F1756,3)="IKS",VLOOKUP($M1756,DB_Loonkosten,2,0)="Ja"),AND(RIGHT($F1756,3)&lt;&gt;"IKS",VLOOKUP($M1756,DB_Loonkosten,2,0)="Nee")),IFERROR(VLOOKUP($M1756,DB_Loonkosten,25,0),""),0),"Vast tarief",IF(LEFT(F1756,8)="Bijdrage",VLOOKUP($F1756,Tb_KostenTypen[],MATCH(Lijsten!$P$1,Tb_KostenTypen[#Headers],0),0),VLOOKUP($G1756,Lijsten!L:P,MATCH(Lijsten!$P$1,Kop_Tarief_Vast,0),0))),""),"")</f>
        <v/>
      </c>
      <c r="Q1756" s="359"/>
      <c r="R1756" s="359"/>
      <c r="S1756" s="321"/>
      <c r="T1756" s="321"/>
      <c r="U1756" s="373" t="str">
        <f t="shared" si="108"/>
        <v/>
      </c>
      <c r="V1756" s="314" t="str">
        <f t="shared" si="109"/>
        <v/>
      </c>
      <c r="W1756" s="314" t="str" cm="1">
        <f t="array" aca="1" ref="W1756" ca="1">IFERROR(IF(AE1756&lt;&gt;"ja",_xlfn.IFNA(_xlfn.IFS(AND(O1756&lt;&gt;"",F1756&lt;&gt;"",RIGHT($N1756,6)="tarief",F1756="Vergoeding"),SUM(O1756)*FLOOR(SUM(Q1756),0.0001),AND(O1756&lt;&gt;"",F1756&lt;&gt;"",RIGHT($N1756,6)="tarief"),SUM(O1756)*FLOOR(SUM(Q1756),0.01),S1756&gt;0,IF(F1756&lt;&gt;"",FLOOR(SUM(S1756),0.01),"")),""),""),"")</f>
        <v/>
      </c>
      <c r="X1756" s="314" t="str" cm="1">
        <f t="array" aca="1" ref="X1756" ca="1">IFERROR(IF(AE1756&lt;&gt;"ja",_xlfn.IFNA(_xlfn.IFS(AND(P1756&lt;&gt;"",R1756&lt;&gt;"",RIGHT($N1756,6)="tarief",F1756="Vergoeding"),SUM(P1756)*FLOOR(SUM(R1756),0.0001),AND(P1756&lt;&gt;"",R1756&lt;&gt;"",RIGHT($N1756,6)="tarief"),P1756*FLOOR(R1756,0.01),T1756&gt;0,FLOOR(SUM(T1756),0.01)),""),""),"")</f>
        <v/>
      </c>
      <c r="Y1756" s="314" t="str">
        <f t="shared" ca="1" si="110"/>
        <v/>
      </c>
      <c r="Z1756" s="314" t="str" cm="1">
        <f t="array" aca="1" ref="Z1756" ca="1">IFERROR(_xlfn.IFS(OR(F1756="",LEFT(Methode_Keuze,4)="Geen",Methode_Keuze=""),"",AND(W1756&lt;&gt;"",F1756&lt;&gt;"Arbeidskosten"),W1756*VLOOKUP(F1756,Tb_ProjectKosten[],MATCH(Tb_ProjectKosten[[#Headers],[Forfait_Percentage]],Tb_ProjectKosten[#Headers],0),0),AND(F1756="Arbeidskosten",G1756&lt;&gt;""),IFERROR(W1756*VLOOKUP(G1756,Tb_KostenTypen[],3,0)*VLOOKUP(F1756,Tb_ProjectKosten[],MATCH(Tb_ProjectKosten[[#Headers],[Forfait_Percentage]],Tb_ProjectKosten[#Headers],0),0),""),W1756 &lt;=0,0),"")</f>
        <v/>
      </c>
      <c r="AA1756" s="314" t="str" cm="1">
        <f t="array" aca="1" ref="AA1756" ca="1">IFERROR(_xlfn.IFS(OR(F1756="",LEFT(Methode_Keuze,4)="Geen",Methode_Keuze=""),"",AND(X1756&lt;&gt;"",F1756&lt;&gt;"Arbeidskosten"),X1756*VLOOKUP(F1756,Tb_ProjectKosten[],MATCH(Tb_ProjectKosten[[#Headers],[Forfait_Percentage]],Tb_ProjectKosten[#Headers],0),0),AND(F1756="Arbeidskosten",G1756&lt;&gt;""),IFERROR(X1756*VLOOKUP(G1756,Tb_KostenTypen[],3,0)*VLOOKUP(F1756,Tb_ProjectKosten[],MATCH(Tb_ProjectKosten[[#Headers],[Forfait_Percentage]],Tb_ProjectKosten[#Headers],0),0),""),X1756 &lt;=0,0),"")</f>
        <v/>
      </c>
      <c r="AB1756" s="314" t="str">
        <f t="shared" ca="1" si="111"/>
        <v/>
      </c>
      <c r="AC1756" s="322"/>
      <c r="AD1756" s="315"/>
      <c r="AE1756" s="32" t="str" cm="1">
        <f t="array" ref="AE1756">IFERROR(IF(INDEX(SubsidieTabel!$AD$1:$AG$12,MATCH($F1756,SubsidieTabel!$AD$1:$AD$12,0),IFERROR(MATCH(Methode_Keuze,SubsidieTabel!$AD$1:$AG$1,0),2))&lt;&gt;1=TRUE,"ja",""),"")</f>
        <v/>
      </c>
    </row>
    <row r="1757" spans="1:31" x14ac:dyDescent="0.25">
      <c r="A1757" s="316"/>
      <c r="B1757" s="317" t="str">
        <f>IF(A1757&lt;&gt;"",_xlfn.MAXIFS($B$1:B1756,$A$1:A1756,A1757)+1,"")</f>
        <v/>
      </c>
      <c r="C1757" s="296"/>
      <c r="D1757" s="296"/>
      <c r="E1757" s="296"/>
      <c r="F1757" s="296"/>
      <c r="G1757" s="326"/>
      <c r="H1757" s="324"/>
      <c r="I1757" s="325"/>
      <c r="J1757" s="325"/>
      <c r="K1757" s="318"/>
      <c r="L1757" s="318"/>
      <c r="M1757" s="319" t="str">
        <f>IFERROR(VLOOKUP(H1757,Lijsten!$H$1:$I$100,2,0),"")</f>
        <v/>
      </c>
      <c r="N1757" s="319" t="str">
        <f ca="1">IFERROR(IF(VLOOKUP(F1757,Kostentypen!$A$3:$E$21,3,0)=0,"",IF(OR(F1757="Arbeidskosten",F1757="Vergoeding"),VLOOKUP(G1757,Tb_KostenTypen[],2,0),VLOOKUP(F1757,Kostentypen!$A$3:$E$20,3,0))),"")</f>
        <v/>
      </c>
      <c r="O1757" s="320" t="str" cm="1">
        <f t="array" ref="O1757">_xlfn.IFNA(IF(INDEX(Tb_KostenOptiesDB[],MATCH($F1757,Tb_KostenOptiesDB[KostenOptie],0),IFERROR(MATCH(Methode_Keuze,Tb_KostenOptiesDB[#Headers],0),2))=1,_xlfn.SWITCH($N1757,"Uurtarief",IF(OR(AND(RIGHT($F1757,3)="IKS",VLOOKUP($M1757,DB_Loonkosten,2,0)="Ja"),AND(RIGHT($F1757,3)&lt;&gt;"IKS",VLOOKUP($M1757,DB_Loonkosten,2,0)="Nee")),IFERROR(VLOOKUP($M1757,DB_Loonkosten,24,0),""),0),"Vast tarief",IF(LEFT(F1757,8)="Bijdrage",VLOOKUP($F1757,Tb_KostenTypen[],MATCH(Lijsten!$P$1,Tb_KostenTypen[#Headers],0),0),VLOOKUP($G1757,Lijsten!L:P,MATCH(Lijsten!$P$1,Kop_Tarief_Vast,0),0))),""),"")</f>
        <v/>
      </c>
      <c r="P1757" s="320" t="str" cm="1">
        <f t="array" ref="P1757">_xlfn.IFNA(IF(INDEX(Tb_KostenOptiesDB[],MATCH($F1757,Tb_KostenOptiesDB[KostenOptie],0),IFERROR(MATCH(Methode_Keuze,Tb_KostenOptiesDB[#Headers],0),2))=1,_xlfn.SWITCH($N1757,"Uurtarief",IF(OR(AND(RIGHT($F1757,3)="IKS",VLOOKUP($M1757,DB_Loonkosten,2,0)="Ja"),AND(RIGHT($F1757,3)&lt;&gt;"IKS",VLOOKUP($M1757,DB_Loonkosten,2,0)="Nee")),IFERROR(VLOOKUP($M1757,DB_Loonkosten,25,0),""),0),"Vast tarief",IF(LEFT(F1757,8)="Bijdrage",VLOOKUP($F1757,Tb_KostenTypen[],MATCH(Lijsten!$P$1,Tb_KostenTypen[#Headers],0),0),VLOOKUP($G1757,Lijsten!L:P,MATCH(Lijsten!$P$1,Kop_Tarief_Vast,0),0))),""),"")</f>
        <v/>
      </c>
      <c r="Q1757" s="359"/>
      <c r="R1757" s="359"/>
      <c r="S1757" s="321"/>
      <c r="T1757" s="321"/>
      <c r="U1757" s="373" t="str">
        <f t="shared" si="108"/>
        <v/>
      </c>
      <c r="V1757" s="314" t="str">
        <f t="shared" si="109"/>
        <v/>
      </c>
      <c r="W1757" s="314" t="str" cm="1">
        <f t="array" aca="1" ref="W1757" ca="1">IFERROR(IF(AE1757&lt;&gt;"ja",_xlfn.IFNA(_xlfn.IFS(AND(O1757&lt;&gt;"",F1757&lt;&gt;"",RIGHT($N1757,6)="tarief",F1757="Vergoeding"),SUM(O1757)*FLOOR(SUM(Q1757),0.0001),AND(O1757&lt;&gt;"",F1757&lt;&gt;"",RIGHT($N1757,6)="tarief"),SUM(O1757)*FLOOR(SUM(Q1757),0.01),S1757&gt;0,IF(F1757&lt;&gt;"",FLOOR(SUM(S1757),0.01),"")),""),""),"")</f>
        <v/>
      </c>
      <c r="X1757" s="314" t="str" cm="1">
        <f t="array" aca="1" ref="X1757" ca="1">IFERROR(IF(AE1757&lt;&gt;"ja",_xlfn.IFNA(_xlfn.IFS(AND(P1757&lt;&gt;"",R1757&lt;&gt;"",RIGHT($N1757,6)="tarief",F1757="Vergoeding"),SUM(P1757)*FLOOR(SUM(R1757),0.0001),AND(P1757&lt;&gt;"",R1757&lt;&gt;"",RIGHT($N1757,6)="tarief"),P1757*FLOOR(R1757,0.01),T1757&gt;0,FLOOR(SUM(T1757),0.01)),""),""),"")</f>
        <v/>
      </c>
      <c r="Y1757" s="314" t="str">
        <f t="shared" ca="1" si="110"/>
        <v/>
      </c>
      <c r="Z1757" s="314" t="str" cm="1">
        <f t="array" aca="1" ref="Z1757" ca="1">IFERROR(_xlfn.IFS(OR(F1757="",LEFT(Methode_Keuze,4)="Geen",Methode_Keuze=""),"",AND(W1757&lt;&gt;"",F1757&lt;&gt;"Arbeidskosten"),W1757*VLOOKUP(F1757,Tb_ProjectKosten[],MATCH(Tb_ProjectKosten[[#Headers],[Forfait_Percentage]],Tb_ProjectKosten[#Headers],0),0),AND(F1757="Arbeidskosten",G1757&lt;&gt;""),IFERROR(W1757*VLOOKUP(G1757,Tb_KostenTypen[],3,0)*VLOOKUP(F1757,Tb_ProjectKosten[],MATCH(Tb_ProjectKosten[[#Headers],[Forfait_Percentage]],Tb_ProjectKosten[#Headers],0),0),""),W1757 &lt;=0,0),"")</f>
        <v/>
      </c>
      <c r="AA1757" s="314" t="str" cm="1">
        <f t="array" aca="1" ref="AA1757" ca="1">IFERROR(_xlfn.IFS(OR(F1757="",LEFT(Methode_Keuze,4)="Geen",Methode_Keuze=""),"",AND(X1757&lt;&gt;"",F1757&lt;&gt;"Arbeidskosten"),X1757*VLOOKUP(F1757,Tb_ProjectKosten[],MATCH(Tb_ProjectKosten[[#Headers],[Forfait_Percentage]],Tb_ProjectKosten[#Headers],0),0),AND(F1757="Arbeidskosten",G1757&lt;&gt;""),IFERROR(X1757*VLOOKUP(G1757,Tb_KostenTypen[],3,0)*VLOOKUP(F1757,Tb_ProjectKosten[],MATCH(Tb_ProjectKosten[[#Headers],[Forfait_Percentage]],Tb_ProjectKosten[#Headers],0),0),""),X1757 &lt;=0,0),"")</f>
        <v/>
      </c>
      <c r="AB1757" s="314" t="str">
        <f t="shared" ca="1" si="111"/>
        <v/>
      </c>
      <c r="AC1757" s="322"/>
      <c r="AD1757" s="315"/>
      <c r="AE1757" s="32" t="str" cm="1">
        <f t="array" ref="AE1757">IFERROR(IF(INDEX(SubsidieTabel!$AD$1:$AG$12,MATCH($F1757,SubsidieTabel!$AD$1:$AD$12,0),IFERROR(MATCH(Methode_Keuze,SubsidieTabel!$AD$1:$AG$1,0),2))&lt;&gt;1=TRUE,"ja",""),"")</f>
        <v/>
      </c>
    </row>
    <row r="1758" spans="1:31" x14ac:dyDescent="0.25">
      <c r="A1758" s="316"/>
      <c r="B1758" s="317" t="str">
        <f>IF(A1758&lt;&gt;"",_xlfn.MAXIFS($B$1:B1757,$A$1:A1757,A1758)+1,"")</f>
        <v/>
      </c>
      <c r="C1758" s="296"/>
      <c r="D1758" s="296"/>
      <c r="E1758" s="296"/>
      <c r="F1758" s="296"/>
      <c r="G1758" s="326"/>
      <c r="H1758" s="324"/>
      <c r="I1758" s="325"/>
      <c r="J1758" s="325"/>
      <c r="K1758" s="318"/>
      <c r="L1758" s="318"/>
      <c r="M1758" s="319" t="str">
        <f>IFERROR(VLOOKUP(H1758,Lijsten!$H$1:$I$100,2,0),"")</f>
        <v/>
      </c>
      <c r="N1758" s="319" t="str">
        <f ca="1">IFERROR(IF(VLOOKUP(F1758,Kostentypen!$A$3:$E$21,3,0)=0,"",IF(OR(F1758="Arbeidskosten",F1758="Vergoeding"),VLOOKUP(G1758,Tb_KostenTypen[],2,0),VLOOKUP(F1758,Kostentypen!$A$3:$E$20,3,0))),"")</f>
        <v/>
      </c>
      <c r="O1758" s="320" t="str" cm="1">
        <f t="array" ref="O1758">_xlfn.IFNA(IF(INDEX(Tb_KostenOptiesDB[],MATCH($F1758,Tb_KostenOptiesDB[KostenOptie],0),IFERROR(MATCH(Methode_Keuze,Tb_KostenOptiesDB[#Headers],0),2))=1,_xlfn.SWITCH($N1758,"Uurtarief",IF(OR(AND(RIGHT($F1758,3)="IKS",VLOOKUP($M1758,DB_Loonkosten,2,0)="Ja"),AND(RIGHT($F1758,3)&lt;&gt;"IKS",VLOOKUP($M1758,DB_Loonkosten,2,0)="Nee")),IFERROR(VLOOKUP($M1758,DB_Loonkosten,24,0),""),0),"Vast tarief",IF(LEFT(F1758,8)="Bijdrage",VLOOKUP($F1758,Tb_KostenTypen[],MATCH(Lijsten!$P$1,Tb_KostenTypen[#Headers],0),0),VLOOKUP($G1758,Lijsten!L:P,MATCH(Lijsten!$P$1,Kop_Tarief_Vast,0),0))),""),"")</f>
        <v/>
      </c>
      <c r="P1758" s="320" t="str" cm="1">
        <f t="array" ref="P1758">_xlfn.IFNA(IF(INDEX(Tb_KostenOptiesDB[],MATCH($F1758,Tb_KostenOptiesDB[KostenOptie],0),IFERROR(MATCH(Methode_Keuze,Tb_KostenOptiesDB[#Headers],0),2))=1,_xlfn.SWITCH($N1758,"Uurtarief",IF(OR(AND(RIGHT($F1758,3)="IKS",VLOOKUP($M1758,DB_Loonkosten,2,0)="Ja"),AND(RIGHT($F1758,3)&lt;&gt;"IKS",VLOOKUP($M1758,DB_Loonkosten,2,0)="Nee")),IFERROR(VLOOKUP($M1758,DB_Loonkosten,25,0),""),0),"Vast tarief",IF(LEFT(F1758,8)="Bijdrage",VLOOKUP($F1758,Tb_KostenTypen[],MATCH(Lijsten!$P$1,Tb_KostenTypen[#Headers],0),0),VLOOKUP($G1758,Lijsten!L:P,MATCH(Lijsten!$P$1,Kop_Tarief_Vast,0),0))),""),"")</f>
        <v/>
      </c>
      <c r="Q1758" s="359"/>
      <c r="R1758" s="359"/>
      <c r="S1758" s="321"/>
      <c r="T1758" s="321"/>
      <c r="U1758" s="373" t="str">
        <f t="shared" si="108"/>
        <v/>
      </c>
      <c r="V1758" s="314" t="str">
        <f t="shared" si="109"/>
        <v/>
      </c>
      <c r="W1758" s="314" t="str" cm="1">
        <f t="array" aca="1" ref="W1758" ca="1">IFERROR(IF(AE1758&lt;&gt;"ja",_xlfn.IFNA(_xlfn.IFS(AND(O1758&lt;&gt;"",F1758&lt;&gt;"",RIGHT($N1758,6)="tarief",F1758="Vergoeding"),SUM(O1758)*FLOOR(SUM(Q1758),0.0001),AND(O1758&lt;&gt;"",F1758&lt;&gt;"",RIGHT($N1758,6)="tarief"),SUM(O1758)*FLOOR(SUM(Q1758),0.01),S1758&gt;0,IF(F1758&lt;&gt;"",FLOOR(SUM(S1758),0.01),"")),""),""),"")</f>
        <v/>
      </c>
      <c r="X1758" s="314" t="str" cm="1">
        <f t="array" aca="1" ref="X1758" ca="1">IFERROR(IF(AE1758&lt;&gt;"ja",_xlfn.IFNA(_xlfn.IFS(AND(P1758&lt;&gt;"",R1758&lt;&gt;"",RIGHT($N1758,6)="tarief",F1758="Vergoeding"),SUM(P1758)*FLOOR(SUM(R1758),0.0001),AND(P1758&lt;&gt;"",R1758&lt;&gt;"",RIGHT($N1758,6)="tarief"),P1758*FLOOR(R1758,0.01),T1758&gt;0,FLOOR(SUM(T1758),0.01)),""),""),"")</f>
        <v/>
      </c>
      <c r="Y1758" s="314" t="str">
        <f t="shared" ca="1" si="110"/>
        <v/>
      </c>
      <c r="Z1758" s="314" t="str" cm="1">
        <f t="array" aca="1" ref="Z1758" ca="1">IFERROR(_xlfn.IFS(OR(F1758="",LEFT(Methode_Keuze,4)="Geen",Methode_Keuze=""),"",AND(W1758&lt;&gt;"",F1758&lt;&gt;"Arbeidskosten"),W1758*VLOOKUP(F1758,Tb_ProjectKosten[],MATCH(Tb_ProjectKosten[[#Headers],[Forfait_Percentage]],Tb_ProjectKosten[#Headers],0),0),AND(F1758="Arbeidskosten",G1758&lt;&gt;""),IFERROR(W1758*VLOOKUP(G1758,Tb_KostenTypen[],3,0)*VLOOKUP(F1758,Tb_ProjectKosten[],MATCH(Tb_ProjectKosten[[#Headers],[Forfait_Percentage]],Tb_ProjectKosten[#Headers],0),0),""),W1758 &lt;=0,0),"")</f>
        <v/>
      </c>
      <c r="AA1758" s="314" t="str" cm="1">
        <f t="array" aca="1" ref="AA1758" ca="1">IFERROR(_xlfn.IFS(OR(F1758="",LEFT(Methode_Keuze,4)="Geen",Methode_Keuze=""),"",AND(X1758&lt;&gt;"",F1758&lt;&gt;"Arbeidskosten"),X1758*VLOOKUP(F1758,Tb_ProjectKosten[],MATCH(Tb_ProjectKosten[[#Headers],[Forfait_Percentage]],Tb_ProjectKosten[#Headers],0),0),AND(F1758="Arbeidskosten",G1758&lt;&gt;""),IFERROR(X1758*VLOOKUP(G1758,Tb_KostenTypen[],3,0)*VLOOKUP(F1758,Tb_ProjectKosten[],MATCH(Tb_ProjectKosten[[#Headers],[Forfait_Percentage]],Tb_ProjectKosten[#Headers],0),0),""),X1758 &lt;=0,0),"")</f>
        <v/>
      </c>
      <c r="AB1758" s="314" t="str">
        <f t="shared" ca="1" si="111"/>
        <v/>
      </c>
      <c r="AC1758" s="322"/>
      <c r="AD1758" s="315"/>
      <c r="AE1758" s="32" t="str" cm="1">
        <f t="array" ref="AE1758">IFERROR(IF(INDEX(SubsidieTabel!$AD$1:$AG$12,MATCH($F1758,SubsidieTabel!$AD$1:$AD$12,0),IFERROR(MATCH(Methode_Keuze,SubsidieTabel!$AD$1:$AG$1,0),2))&lt;&gt;1=TRUE,"ja",""),"")</f>
        <v/>
      </c>
    </row>
    <row r="1759" spans="1:31" x14ac:dyDescent="0.25">
      <c r="A1759" s="316"/>
      <c r="B1759" s="317" t="str">
        <f>IF(A1759&lt;&gt;"",_xlfn.MAXIFS($B$1:B1758,$A$1:A1758,A1759)+1,"")</f>
        <v/>
      </c>
      <c r="C1759" s="296"/>
      <c r="D1759" s="296"/>
      <c r="E1759" s="296"/>
      <c r="F1759" s="296"/>
      <c r="G1759" s="326"/>
      <c r="H1759" s="324"/>
      <c r="I1759" s="325"/>
      <c r="J1759" s="325"/>
      <c r="K1759" s="318"/>
      <c r="L1759" s="318"/>
      <c r="M1759" s="319" t="str">
        <f>IFERROR(VLOOKUP(H1759,Lijsten!$H$1:$I$100,2,0),"")</f>
        <v/>
      </c>
      <c r="N1759" s="319" t="str">
        <f ca="1">IFERROR(IF(VLOOKUP(F1759,Kostentypen!$A$3:$E$21,3,0)=0,"",IF(OR(F1759="Arbeidskosten",F1759="Vergoeding"),VLOOKUP(G1759,Tb_KostenTypen[],2,0),VLOOKUP(F1759,Kostentypen!$A$3:$E$20,3,0))),"")</f>
        <v/>
      </c>
      <c r="O1759" s="320" t="str" cm="1">
        <f t="array" ref="O1759">_xlfn.IFNA(IF(INDEX(Tb_KostenOptiesDB[],MATCH($F1759,Tb_KostenOptiesDB[KostenOptie],0),IFERROR(MATCH(Methode_Keuze,Tb_KostenOptiesDB[#Headers],0),2))=1,_xlfn.SWITCH($N1759,"Uurtarief",IF(OR(AND(RIGHT($F1759,3)="IKS",VLOOKUP($M1759,DB_Loonkosten,2,0)="Ja"),AND(RIGHT($F1759,3)&lt;&gt;"IKS",VLOOKUP($M1759,DB_Loonkosten,2,0)="Nee")),IFERROR(VLOOKUP($M1759,DB_Loonkosten,24,0),""),0),"Vast tarief",IF(LEFT(F1759,8)="Bijdrage",VLOOKUP($F1759,Tb_KostenTypen[],MATCH(Lijsten!$P$1,Tb_KostenTypen[#Headers],0),0),VLOOKUP($G1759,Lijsten!L:P,MATCH(Lijsten!$P$1,Kop_Tarief_Vast,0),0))),""),"")</f>
        <v/>
      </c>
      <c r="P1759" s="320" t="str" cm="1">
        <f t="array" ref="P1759">_xlfn.IFNA(IF(INDEX(Tb_KostenOptiesDB[],MATCH($F1759,Tb_KostenOptiesDB[KostenOptie],0),IFERROR(MATCH(Methode_Keuze,Tb_KostenOptiesDB[#Headers],0),2))=1,_xlfn.SWITCH($N1759,"Uurtarief",IF(OR(AND(RIGHT($F1759,3)="IKS",VLOOKUP($M1759,DB_Loonkosten,2,0)="Ja"),AND(RIGHT($F1759,3)&lt;&gt;"IKS",VLOOKUP($M1759,DB_Loonkosten,2,0)="Nee")),IFERROR(VLOOKUP($M1759,DB_Loonkosten,25,0),""),0),"Vast tarief",IF(LEFT(F1759,8)="Bijdrage",VLOOKUP($F1759,Tb_KostenTypen[],MATCH(Lijsten!$P$1,Tb_KostenTypen[#Headers],0),0),VLOOKUP($G1759,Lijsten!L:P,MATCH(Lijsten!$P$1,Kop_Tarief_Vast,0),0))),""),"")</f>
        <v/>
      </c>
      <c r="Q1759" s="359"/>
      <c r="R1759" s="359"/>
      <c r="S1759" s="321"/>
      <c r="T1759" s="321"/>
      <c r="U1759" s="373" t="str">
        <f t="shared" si="108"/>
        <v/>
      </c>
      <c r="V1759" s="314" t="str">
        <f t="shared" si="109"/>
        <v/>
      </c>
      <c r="W1759" s="314" t="str" cm="1">
        <f t="array" aca="1" ref="W1759" ca="1">IFERROR(IF(AE1759&lt;&gt;"ja",_xlfn.IFNA(_xlfn.IFS(AND(O1759&lt;&gt;"",F1759&lt;&gt;"",RIGHT($N1759,6)="tarief",F1759="Vergoeding"),SUM(O1759)*FLOOR(SUM(Q1759),0.0001),AND(O1759&lt;&gt;"",F1759&lt;&gt;"",RIGHT($N1759,6)="tarief"),SUM(O1759)*FLOOR(SUM(Q1759),0.01),S1759&gt;0,IF(F1759&lt;&gt;"",FLOOR(SUM(S1759),0.01),"")),""),""),"")</f>
        <v/>
      </c>
      <c r="X1759" s="314" t="str" cm="1">
        <f t="array" aca="1" ref="X1759" ca="1">IFERROR(IF(AE1759&lt;&gt;"ja",_xlfn.IFNA(_xlfn.IFS(AND(P1759&lt;&gt;"",R1759&lt;&gt;"",RIGHT($N1759,6)="tarief",F1759="Vergoeding"),SUM(P1759)*FLOOR(SUM(R1759),0.0001),AND(P1759&lt;&gt;"",R1759&lt;&gt;"",RIGHT($N1759,6)="tarief"),P1759*FLOOR(R1759,0.01),T1759&gt;0,FLOOR(SUM(T1759),0.01)),""),""),"")</f>
        <v/>
      </c>
      <c r="Y1759" s="314" t="str">
        <f t="shared" ca="1" si="110"/>
        <v/>
      </c>
      <c r="Z1759" s="314" t="str" cm="1">
        <f t="array" aca="1" ref="Z1759" ca="1">IFERROR(_xlfn.IFS(OR(F1759="",LEFT(Methode_Keuze,4)="Geen",Methode_Keuze=""),"",AND(W1759&lt;&gt;"",F1759&lt;&gt;"Arbeidskosten"),W1759*VLOOKUP(F1759,Tb_ProjectKosten[],MATCH(Tb_ProjectKosten[[#Headers],[Forfait_Percentage]],Tb_ProjectKosten[#Headers],0),0),AND(F1759="Arbeidskosten",G1759&lt;&gt;""),IFERROR(W1759*VLOOKUP(G1759,Tb_KostenTypen[],3,0)*VLOOKUP(F1759,Tb_ProjectKosten[],MATCH(Tb_ProjectKosten[[#Headers],[Forfait_Percentage]],Tb_ProjectKosten[#Headers],0),0),""),W1759 &lt;=0,0),"")</f>
        <v/>
      </c>
      <c r="AA1759" s="314" t="str" cm="1">
        <f t="array" aca="1" ref="AA1759" ca="1">IFERROR(_xlfn.IFS(OR(F1759="",LEFT(Methode_Keuze,4)="Geen",Methode_Keuze=""),"",AND(X1759&lt;&gt;"",F1759&lt;&gt;"Arbeidskosten"),X1759*VLOOKUP(F1759,Tb_ProjectKosten[],MATCH(Tb_ProjectKosten[[#Headers],[Forfait_Percentage]],Tb_ProjectKosten[#Headers],0),0),AND(F1759="Arbeidskosten",G1759&lt;&gt;""),IFERROR(X1759*VLOOKUP(G1759,Tb_KostenTypen[],3,0)*VLOOKUP(F1759,Tb_ProjectKosten[],MATCH(Tb_ProjectKosten[[#Headers],[Forfait_Percentage]],Tb_ProjectKosten[#Headers],0),0),""),X1759 &lt;=0,0),"")</f>
        <v/>
      </c>
      <c r="AB1759" s="314" t="str">
        <f t="shared" ca="1" si="111"/>
        <v/>
      </c>
      <c r="AC1759" s="322"/>
      <c r="AD1759" s="315"/>
      <c r="AE1759" s="32" t="str" cm="1">
        <f t="array" ref="AE1759">IFERROR(IF(INDEX(SubsidieTabel!$AD$1:$AG$12,MATCH($F1759,SubsidieTabel!$AD$1:$AD$12,0),IFERROR(MATCH(Methode_Keuze,SubsidieTabel!$AD$1:$AG$1,0),2))&lt;&gt;1=TRUE,"ja",""),"")</f>
        <v/>
      </c>
    </row>
    <row r="1760" spans="1:31" x14ac:dyDescent="0.25">
      <c r="A1760" s="316"/>
      <c r="B1760" s="317" t="str">
        <f>IF(A1760&lt;&gt;"",_xlfn.MAXIFS($B$1:B1759,$A$1:A1759,A1760)+1,"")</f>
        <v/>
      </c>
      <c r="C1760" s="296"/>
      <c r="D1760" s="296"/>
      <c r="E1760" s="296"/>
      <c r="F1760" s="296"/>
      <c r="G1760" s="326"/>
      <c r="H1760" s="324"/>
      <c r="I1760" s="325"/>
      <c r="J1760" s="325"/>
      <c r="K1760" s="318"/>
      <c r="L1760" s="318"/>
      <c r="M1760" s="319" t="str">
        <f>IFERROR(VLOOKUP(H1760,Lijsten!$H$1:$I$100,2,0),"")</f>
        <v/>
      </c>
      <c r="N1760" s="319" t="str">
        <f ca="1">IFERROR(IF(VLOOKUP(F1760,Kostentypen!$A$3:$E$21,3,0)=0,"",IF(OR(F1760="Arbeidskosten",F1760="Vergoeding"),VLOOKUP(G1760,Tb_KostenTypen[],2,0),VLOOKUP(F1760,Kostentypen!$A$3:$E$20,3,0))),"")</f>
        <v/>
      </c>
      <c r="O1760" s="320" t="str" cm="1">
        <f t="array" ref="O1760">_xlfn.IFNA(IF(INDEX(Tb_KostenOptiesDB[],MATCH($F1760,Tb_KostenOptiesDB[KostenOptie],0),IFERROR(MATCH(Methode_Keuze,Tb_KostenOptiesDB[#Headers],0),2))=1,_xlfn.SWITCH($N1760,"Uurtarief",IF(OR(AND(RIGHT($F1760,3)="IKS",VLOOKUP($M1760,DB_Loonkosten,2,0)="Ja"),AND(RIGHT($F1760,3)&lt;&gt;"IKS",VLOOKUP($M1760,DB_Loonkosten,2,0)="Nee")),IFERROR(VLOOKUP($M1760,DB_Loonkosten,24,0),""),0),"Vast tarief",IF(LEFT(F1760,8)="Bijdrage",VLOOKUP($F1760,Tb_KostenTypen[],MATCH(Lijsten!$P$1,Tb_KostenTypen[#Headers],0),0),VLOOKUP($G1760,Lijsten!L:P,MATCH(Lijsten!$P$1,Kop_Tarief_Vast,0),0))),""),"")</f>
        <v/>
      </c>
      <c r="P1760" s="320" t="str" cm="1">
        <f t="array" ref="P1760">_xlfn.IFNA(IF(INDEX(Tb_KostenOptiesDB[],MATCH($F1760,Tb_KostenOptiesDB[KostenOptie],0),IFERROR(MATCH(Methode_Keuze,Tb_KostenOptiesDB[#Headers],0),2))=1,_xlfn.SWITCH($N1760,"Uurtarief",IF(OR(AND(RIGHT($F1760,3)="IKS",VLOOKUP($M1760,DB_Loonkosten,2,0)="Ja"),AND(RIGHT($F1760,3)&lt;&gt;"IKS",VLOOKUP($M1760,DB_Loonkosten,2,0)="Nee")),IFERROR(VLOOKUP($M1760,DB_Loonkosten,25,0),""),0),"Vast tarief",IF(LEFT(F1760,8)="Bijdrage",VLOOKUP($F1760,Tb_KostenTypen[],MATCH(Lijsten!$P$1,Tb_KostenTypen[#Headers],0),0),VLOOKUP($G1760,Lijsten!L:P,MATCH(Lijsten!$P$1,Kop_Tarief_Vast,0),0))),""),"")</f>
        <v/>
      </c>
      <c r="Q1760" s="359"/>
      <c r="R1760" s="359"/>
      <c r="S1760" s="321"/>
      <c r="T1760" s="321"/>
      <c r="U1760" s="373" t="str">
        <f t="shared" si="108"/>
        <v/>
      </c>
      <c r="V1760" s="314" t="str">
        <f t="shared" si="109"/>
        <v/>
      </c>
      <c r="W1760" s="314" t="str" cm="1">
        <f t="array" aca="1" ref="W1760" ca="1">IFERROR(IF(AE1760&lt;&gt;"ja",_xlfn.IFNA(_xlfn.IFS(AND(O1760&lt;&gt;"",F1760&lt;&gt;"",RIGHT($N1760,6)="tarief",F1760="Vergoeding"),SUM(O1760)*FLOOR(SUM(Q1760),0.0001),AND(O1760&lt;&gt;"",F1760&lt;&gt;"",RIGHT($N1760,6)="tarief"),SUM(O1760)*FLOOR(SUM(Q1760),0.01),S1760&gt;0,IF(F1760&lt;&gt;"",FLOOR(SUM(S1760),0.01),"")),""),""),"")</f>
        <v/>
      </c>
      <c r="X1760" s="314" t="str" cm="1">
        <f t="array" aca="1" ref="X1760" ca="1">IFERROR(IF(AE1760&lt;&gt;"ja",_xlfn.IFNA(_xlfn.IFS(AND(P1760&lt;&gt;"",R1760&lt;&gt;"",RIGHT($N1760,6)="tarief",F1760="Vergoeding"),SUM(P1760)*FLOOR(SUM(R1760),0.0001),AND(P1760&lt;&gt;"",R1760&lt;&gt;"",RIGHT($N1760,6)="tarief"),P1760*FLOOR(R1760,0.01),T1760&gt;0,FLOOR(SUM(T1760),0.01)),""),""),"")</f>
        <v/>
      </c>
      <c r="Y1760" s="314" t="str">
        <f t="shared" ca="1" si="110"/>
        <v/>
      </c>
      <c r="Z1760" s="314" t="str" cm="1">
        <f t="array" aca="1" ref="Z1760" ca="1">IFERROR(_xlfn.IFS(OR(F1760="",LEFT(Methode_Keuze,4)="Geen",Methode_Keuze=""),"",AND(W1760&lt;&gt;"",F1760&lt;&gt;"Arbeidskosten"),W1760*VLOOKUP(F1760,Tb_ProjectKosten[],MATCH(Tb_ProjectKosten[[#Headers],[Forfait_Percentage]],Tb_ProjectKosten[#Headers],0),0),AND(F1760="Arbeidskosten",G1760&lt;&gt;""),IFERROR(W1760*VLOOKUP(G1760,Tb_KostenTypen[],3,0)*VLOOKUP(F1760,Tb_ProjectKosten[],MATCH(Tb_ProjectKosten[[#Headers],[Forfait_Percentage]],Tb_ProjectKosten[#Headers],0),0),""),W1760 &lt;=0,0),"")</f>
        <v/>
      </c>
      <c r="AA1760" s="314" t="str" cm="1">
        <f t="array" aca="1" ref="AA1760" ca="1">IFERROR(_xlfn.IFS(OR(F1760="",LEFT(Methode_Keuze,4)="Geen",Methode_Keuze=""),"",AND(X1760&lt;&gt;"",F1760&lt;&gt;"Arbeidskosten"),X1760*VLOOKUP(F1760,Tb_ProjectKosten[],MATCH(Tb_ProjectKosten[[#Headers],[Forfait_Percentage]],Tb_ProjectKosten[#Headers],0),0),AND(F1760="Arbeidskosten",G1760&lt;&gt;""),IFERROR(X1760*VLOOKUP(G1760,Tb_KostenTypen[],3,0)*VLOOKUP(F1760,Tb_ProjectKosten[],MATCH(Tb_ProjectKosten[[#Headers],[Forfait_Percentage]],Tb_ProjectKosten[#Headers],0),0),""),X1760 &lt;=0,0),"")</f>
        <v/>
      </c>
      <c r="AB1760" s="314" t="str">
        <f t="shared" ca="1" si="111"/>
        <v/>
      </c>
      <c r="AC1760" s="322"/>
      <c r="AD1760" s="315"/>
      <c r="AE1760" s="32" t="str" cm="1">
        <f t="array" ref="AE1760">IFERROR(IF(INDEX(SubsidieTabel!$AD$1:$AG$12,MATCH($F1760,SubsidieTabel!$AD$1:$AD$12,0),IFERROR(MATCH(Methode_Keuze,SubsidieTabel!$AD$1:$AG$1,0),2))&lt;&gt;1=TRUE,"ja",""),"")</f>
        <v/>
      </c>
    </row>
    <row r="1761" spans="1:31" x14ac:dyDescent="0.25">
      <c r="A1761" s="316"/>
      <c r="B1761" s="317" t="str">
        <f>IF(A1761&lt;&gt;"",_xlfn.MAXIFS($B$1:B1760,$A$1:A1760,A1761)+1,"")</f>
        <v/>
      </c>
      <c r="C1761" s="296"/>
      <c r="D1761" s="296"/>
      <c r="E1761" s="296"/>
      <c r="F1761" s="296"/>
      <c r="G1761" s="326"/>
      <c r="H1761" s="324"/>
      <c r="I1761" s="325"/>
      <c r="J1761" s="325"/>
      <c r="K1761" s="318"/>
      <c r="L1761" s="318"/>
      <c r="M1761" s="319" t="str">
        <f>IFERROR(VLOOKUP(H1761,Lijsten!$H$1:$I$100,2,0),"")</f>
        <v/>
      </c>
      <c r="N1761" s="319" t="str">
        <f ca="1">IFERROR(IF(VLOOKUP(F1761,Kostentypen!$A$3:$E$21,3,0)=0,"",IF(OR(F1761="Arbeidskosten",F1761="Vergoeding"),VLOOKUP(G1761,Tb_KostenTypen[],2,0),VLOOKUP(F1761,Kostentypen!$A$3:$E$20,3,0))),"")</f>
        <v/>
      </c>
      <c r="O1761" s="320" t="str" cm="1">
        <f t="array" ref="O1761">_xlfn.IFNA(IF(INDEX(Tb_KostenOptiesDB[],MATCH($F1761,Tb_KostenOptiesDB[KostenOptie],0),IFERROR(MATCH(Methode_Keuze,Tb_KostenOptiesDB[#Headers],0),2))=1,_xlfn.SWITCH($N1761,"Uurtarief",IF(OR(AND(RIGHT($F1761,3)="IKS",VLOOKUP($M1761,DB_Loonkosten,2,0)="Ja"),AND(RIGHT($F1761,3)&lt;&gt;"IKS",VLOOKUP($M1761,DB_Loonkosten,2,0)="Nee")),IFERROR(VLOOKUP($M1761,DB_Loonkosten,24,0),""),0),"Vast tarief",IF(LEFT(F1761,8)="Bijdrage",VLOOKUP($F1761,Tb_KostenTypen[],MATCH(Lijsten!$P$1,Tb_KostenTypen[#Headers],0),0),VLOOKUP($G1761,Lijsten!L:P,MATCH(Lijsten!$P$1,Kop_Tarief_Vast,0),0))),""),"")</f>
        <v/>
      </c>
      <c r="P1761" s="320" t="str" cm="1">
        <f t="array" ref="P1761">_xlfn.IFNA(IF(INDEX(Tb_KostenOptiesDB[],MATCH($F1761,Tb_KostenOptiesDB[KostenOptie],0),IFERROR(MATCH(Methode_Keuze,Tb_KostenOptiesDB[#Headers],0),2))=1,_xlfn.SWITCH($N1761,"Uurtarief",IF(OR(AND(RIGHT($F1761,3)="IKS",VLOOKUP($M1761,DB_Loonkosten,2,0)="Ja"),AND(RIGHT($F1761,3)&lt;&gt;"IKS",VLOOKUP($M1761,DB_Loonkosten,2,0)="Nee")),IFERROR(VLOOKUP($M1761,DB_Loonkosten,25,0),""),0),"Vast tarief",IF(LEFT(F1761,8)="Bijdrage",VLOOKUP($F1761,Tb_KostenTypen[],MATCH(Lijsten!$P$1,Tb_KostenTypen[#Headers],0),0),VLOOKUP($G1761,Lijsten!L:P,MATCH(Lijsten!$P$1,Kop_Tarief_Vast,0),0))),""),"")</f>
        <v/>
      </c>
      <c r="Q1761" s="359"/>
      <c r="R1761" s="359"/>
      <c r="S1761" s="321"/>
      <c r="T1761" s="321"/>
      <c r="U1761" s="373" t="str">
        <f t="shared" si="108"/>
        <v/>
      </c>
      <c r="V1761" s="314" t="str">
        <f t="shared" si="109"/>
        <v/>
      </c>
      <c r="W1761" s="314" t="str" cm="1">
        <f t="array" aca="1" ref="W1761" ca="1">IFERROR(IF(AE1761&lt;&gt;"ja",_xlfn.IFNA(_xlfn.IFS(AND(O1761&lt;&gt;"",F1761&lt;&gt;"",RIGHT($N1761,6)="tarief",F1761="Vergoeding"),SUM(O1761)*FLOOR(SUM(Q1761),0.0001),AND(O1761&lt;&gt;"",F1761&lt;&gt;"",RIGHT($N1761,6)="tarief"),SUM(O1761)*FLOOR(SUM(Q1761),0.01),S1761&gt;0,IF(F1761&lt;&gt;"",FLOOR(SUM(S1761),0.01),"")),""),""),"")</f>
        <v/>
      </c>
      <c r="X1761" s="314" t="str" cm="1">
        <f t="array" aca="1" ref="X1761" ca="1">IFERROR(IF(AE1761&lt;&gt;"ja",_xlfn.IFNA(_xlfn.IFS(AND(P1761&lt;&gt;"",R1761&lt;&gt;"",RIGHT($N1761,6)="tarief",F1761="Vergoeding"),SUM(P1761)*FLOOR(SUM(R1761),0.0001),AND(P1761&lt;&gt;"",R1761&lt;&gt;"",RIGHT($N1761,6)="tarief"),P1761*FLOOR(R1761,0.01),T1761&gt;0,FLOOR(SUM(T1761),0.01)),""),""),"")</f>
        <v/>
      </c>
      <c r="Y1761" s="314" t="str">
        <f t="shared" ca="1" si="110"/>
        <v/>
      </c>
      <c r="Z1761" s="314" t="str" cm="1">
        <f t="array" aca="1" ref="Z1761" ca="1">IFERROR(_xlfn.IFS(OR(F1761="",LEFT(Methode_Keuze,4)="Geen",Methode_Keuze=""),"",AND(W1761&lt;&gt;"",F1761&lt;&gt;"Arbeidskosten"),W1761*VLOOKUP(F1761,Tb_ProjectKosten[],MATCH(Tb_ProjectKosten[[#Headers],[Forfait_Percentage]],Tb_ProjectKosten[#Headers],0),0),AND(F1761="Arbeidskosten",G1761&lt;&gt;""),IFERROR(W1761*VLOOKUP(G1761,Tb_KostenTypen[],3,0)*VLOOKUP(F1761,Tb_ProjectKosten[],MATCH(Tb_ProjectKosten[[#Headers],[Forfait_Percentage]],Tb_ProjectKosten[#Headers],0),0),""),W1761 &lt;=0,0),"")</f>
        <v/>
      </c>
      <c r="AA1761" s="314" t="str" cm="1">
        <f t="array" aca="1" ref="AA1761" ca="1">IFERROR(_xlfn.IFS(OR(F1761="",LEFT(Methode_Keuze,4)="Geen",Methode_Keuze=""),"",AND(X1761&lt;&gt;"",F1761&lt;&gt;"Arbeidskosten"),X1761*VLOOKUP(F1761,Tb_ProjectKosten[],MATCH(Tb_ProjectKosten[[#Headers],[Forfait_Percentage]],Tb_ProjectKosten[#Headers],0),0),AND(F1761="Arbeidskosten",G1761&lt;&gt;""),IFERROR(X1761*VLOOKUP(G1761,Tb_KostenTypen[],3,0)*VLOOKUP(F1761,Tb_ProjectKosten[],MATCH(Tb_ProjectKosten[[#Headers],[Forfait_Percentage]],Tb_ProjectKosten[#Headers],0),0),""),X1761 &lt;=0,0),"")</f>
        <v/>
      </c>
      <c r="AB1761" s="314" t="str">
        <f t="shared" ca="1" si="111"/>
        <v/>
      </c>
      <c r="AC1761" s="322"/>
      <c r="AD1761" s="315"/>
      <c r="AE1761" s="32" t="str" cm="1">
        <f t="array" ref="AE1761">IFERROR(IF(INDEX(SubsidieTabel!$AD$1:$AG$12,MATCH($F1761,SubsidieTabel!$AD$1:$AD$12,0),IFERROR(MATCH(Methode_Keuze,SubsidieTabel!$AD$1:$AG$1,0),2))&lt;&gt;1=TRUE,"ja",""),"")</f>
        <v/>
      </c>
    </row>
    <row r="1762" spans="1:31" x14ac:dyDescent="0.25">
      <c r="A1762" s="316"/>
      <c r="B1762" s="317" t="str">
        <f>IF(A1762&lt;&gt;"",_xlfn.MAXIFS($B$1:B1761,$A$1:A1761,A1762)+1,"")</f>
        <v/>
      </c>
      <c r="C1762" s="296"/>
      <c r="D1762" s="296"/>
      <c r="E1762" s="296"/>
      <c r="F1762" s="296"/>
      <c r="G1762" s="326"/>
      <c r="H1762" s="324"/>
      <c r="I1762" s="325"/>
      <c r="J1762" s="325"/>
      <c r="K1762" s="318"/>
      <c r="L1762" s="318"/>
      <c r="M1762" s="319" t="str">
        <f>IFERROR(VLOOKUP(H1762,Lijsten!$H$1:$I$100,2,0),"")</f>
        <v/>
      </c>
      <c r="N1762" s="319" t="str">
        <f ca="1">IFERROR(IF(VLOOKUP(F1762,Kostentypen!$A$3:$E$21,3,0)=0,"",IF(OR(F1762="Arbeidskosten",F1762="Vergoeding"),VLOOKUP(G1762,Tb_KostenTypen[],2,0),VLOOKUP(F1762,Kostentypen!$A$3:$E$20,3,0))),"")</f>
        <v/>
      </c>
      <c r="O1762" s="320" t="str" cm="1">
        <f t="array" ref="O1762">_xlfn.IFNA(IF(INDEX(Tb_KostenOptiesDB[],MATCH($F1762,Tb_KostenOptiesDB[KostenOptie],0),IFERROR(MATCH(Methode_Keuze,Tb_KostenOptiesDB[#Headers],0),2))=1,_xlfn.SWITCH($N1762,"Uurtarief",IF(OR(AND(RIGHT($F1762,3)="IKS",VLOOKUP($M1762,DB_Loonkosten,2,0)="Ja"),AND(RIGHT($F1762,3)&lt;&gt;"IKS",VLOOKUP($M1762,DB_Loonkosten,2,0)="Nee")),IFERROR(VLOOKUP($M1762,DB_Loonkosten,24,0),""),0),"Vast tarief",IF(LEFT(F1762,8)="Bijdrage",VLOOKUP($F1762,Tb_KostenTypen[],MATCH(Lijsten!$P$1,Tb_KostenTypen[#Headers],0),0),VLOOKUP($G1762,Lijsten!L:P,MATCH(Lijsten!$P$1,Kop_Tarief_Vast,0),0))),""),"")</f>
        <v/>
      </c>
      <c r="P1762" s="320" t="str" cm="1">
        <f t="array" ref="P1762">_xlfn.IFNA(IF(INDEX(Tb_KostenOptiesDB[],MATCH($F1762,Tb_KostenOptiesDB[KostenOptie],0),IFERROR(MATCH(Methode_Keuze,Tb_KostenOptiesDB[#Headers],0),2))=1,_xlfn.SWITCH($N1762,"Uurtarief",IF(OR(AND(RIGHT($F1762,3)="IKS",VLOOKUP($M1762,DB_Loonkosten,2,0)="Ja"),AND(RIGHT($F1762,3)&lt;&gt;"IKS",VLOOKUP($M1762,DB_Loonkosten,2,0)="Nee")),IFERROR(VLOOKUP($M1762,DB_Loonkosten,25,0),""),0),"Vast tarief",IF(LEFT(F1762,8)="Bijdrage",VLOOKUP($F1762,Tb_KostenTypen[],MATCH(Lijsten!$P$1,Tb_KostenTypen[#Headers],0),0),VLOOKUP($G1762,Lijsten!L:P,MATCH(Lijsten!$P$1,Kop_Tarief_Vast,0),0))),""),"")</f>
        <v/>
      </c>
      <c r="Q1762" s="359"/>
      <c r="R1762" s="359"/>
      <c r="S1762" s="321"/>
      <c r="T1762" s="321"/>
      <c r="U1762" s="373" t="str">
        <f t="shared" si="108"/>
        <v/>
      </c>
      <c r="V1762" s="314" t="str">
        <f t="shared" si="109"/>
        <v/>
      </c>
      <c r="W1762" s="314" t="str" cm="1">
        <f t="array" aca="1" ref="W1762" ca="1">IFERROR(IF(AE1762&lt;&gt;"ja",_xlfn.IFNA(_xlfn.IFS(AND(O1762&lt;&gt;"",F1762&lt;&gt;"",RIGHT($N1762,6)="tarief",F1762="Vergoeding"),SUM(O1762)*FLOOR(SUM(Q1762),0.0001),AND(O1762&lt;&gt;"",F1762&lt;&gt;"",RIGHT($N1762,6)="tarief"),SUM(O1762)*FLOOR(SUM(Q1762),0.01),S1762&gt;0,IF(F1762&lt;&gt;"",FLOOR(SUM(S1762),0.01),"")),""),""),"")</f>
        <v/>
      </c>
      <c r="X1762" s="314" t="str" cm="1">
        <f t="array" aca="1" ref="X1762" ca="1">IFERROR(IF(AE1762&lt;&gt;"ja",_xlfn.IFNA(_xlfn.IFS(AND(P1762&lt;&gt;"",R1762&lt;&gt;"",RIGHT($N1762,6)="tarief",F1762="Vergoeding"),SUM(P1762)*FLOOR(SUM(R1762),0.0001),AND(P1762&lt;&gt;"",R1762&lt;&gt;"",RIGHT($N1762,6)="tarief"),P1762*FLOOR(R1762,0.01),T1762&gt;0,FLOOR(SUM(T1762),0.01)),""),""),"")</f>
        <v/>
      </c>
      <c r="Y1762" s="314" t="str">
        <f t="shared" ca="1" si="110"/>
        <v/>
      </c>
      <c r="Z1762" s="314" t="str" cm="1">
        <f t="array" aca="1" ref="Z1762" ca="1">IFERROR(_xlfn.IFS(OR(F1762="",LEFT(Methode_Keuze,4)="Geen",Methode_Keuze=""),"",AND(W1762&lt;&gt;"",F1762&lt;&gt;"Arbeidskosten"),W1762*VLOOKUP(F1762,Tb_ProjectKosten[],MATCH(Tb_ProjectKosten[[#Headers],[Forfait_Percentage]],Tb_ProjectKosten[#Headers],0),0),AND(F1762="Arbeidskosten",G1762&lt;&gt;""),IFERROR(W1762*VLOOKUP(G1762,Tb_KostenTypen[],3,0)*VLOOKUP(F1762,Tb_ProjectKosten[],MATCH(Tb_ProjectKosten[[#Headers],[Forfait_Percentage]],Tb_ProjectKosten[#Headers],0),0),""),W1762 &lt;=0,0),"")</f>
        <v/>
      </c>
      <c r="AA1762" s="314" t="str" cm="1">
        <f t="array" aca="1" ref="AA1762" ca="1">IFERROR(_xlfn.IFS(OR(F1762="",LEFT(Methode_Keuze,4)="Geen",Methode_Keuze=""),"",AND(X1762&lt;&gt;"",F1762&lt;&gt;"Arbeidskosten"),X1762*VLOOKUP(F1762,Tb_ProjectKosten[],MATCH(Tb_ProjectKosten[[#Headers],[Forfait_Percentage]],Tb_ProjectKosten[#Headers],0),0),AND(F1762="Arbeidskosten",G1762&lt;&gt;""),IFERROR(X1762*VLOOKUP(G1762,Tb_KostenTypen[],3,0)*VLOOKUP(F1762,Tb_ProjectKosten[],MATCH(Tb_ProjectKosten[[#Headers],[Forfait_Percentage]],Tb_ProjectKosten[#Headers],0),0),""),X1762 &lt;=0,0),"")</f>
        <v/>
      </c>
      <c r="AB1762" s="314" t="str">
        <f t="shared" ca="1" si="111"/>
        <v/>
      </c>
      <c r="AC1762" s="322"/>
      <c r="AD1762" s="315"/>
      <c r="AE1762" s="32" t="str" cm="1">
        <f t="array" ref="AE1762">IFERROR(IF(INDEX(SubsidieTabel!$AD$1:$AG$12,MATCH($F1762,SubsidieTabel!$AD$1:$AD$12,0),IFERROR(MATCH(Methode_Keuze,SubsidieTabel!$AD$1:$AG$1,0),2))&lt;&gt;1=TRUE,"ja",""),"")</f>
        <v/>
      </c>
    </row>
    <row r="1763" spans="1:31" x14ac:dyDescent="0.25">
      <c r="A1763" s="316"/>
      <c r="B1763" s="317" t="str">
        <f>IF(A1763&lt;&gt;"",_xlfn.MAXIFS($B$1:B1762,$A$1:A1762,A1763)+1,"")</f>
        <v/>
      </c>
      <c r="C1763" s="296"/>
      <c r="D1763" s="296"/>
      <c r="E1763" s="296"/>
      <c r="F1763" s="296"/>
      <c r="G1763" s="326"/>
      <c r="H1763" s="324"/>
      <c r="I1763" s="325"/>
      <c r="J1763" s="325"/>
      <c r="K1763" s="318"/>
      <c r="L1763" s="318"/>
      <c r="M1763" s="319" t="str">
        <f>IFERROR(VLOOKUP(H1763,Lijsten!$H$1:$I$100,2,0),"")</f>
        <v/>
      </c>
      <c r="N1763" s="319" t="str">
        <f ca="1">IFERROR(IF(VLOOKUP(F1763,Kostentypen!$A$3:$E$21,3,0)=0,"",IF(OR(F1763="Arbeidskosten",F1763="Vergoeding"),VLOOKUP(G1763,Tb_KostenTypen[],2,0),VLOOKUP(F1763,Kostentypen!$A$3:$E$20,3,0))),"")</f>
        <v/>
      </c>
      <c r="O1763" s="320" t="str" cm="1">
        <f t="array" ref="O1763">_xlfn.IFNA(IF(INDEX(Tb_KostenOptiesDB[],MATCH($F1763,Tb_KostenOptiesDB[KostenOptie],0),IFERROR(MATCH(Methode_Keuze,Tb_KostenOptiesDB[#Headers],0),2))=1,_xlfn.SWITCH($N1763,"Uurtarief",IF(OR(AND(RIGHT($F1763,3)="IKS",VLOOKUP($M1763,DB_Loonkosten,2,0)="Ja"),AND(RIGHT($F1763,3)&lt;&gt;"IKS",VLOOKUP($M1763,DB_Loonkosten,2,0)="Nee")),IFERROR(VLOOKUP($M1763,DB_Loonkosten,24,0),""),0),"Vast tarief",IF(LEFT(F1763,8)="Bijdrage",VLOOKUP($F1763,Tb_KostenTypen[],MATCH(Lijsten!$P$1,Tb_KostenTypen[#Headers],0),0),VLOOKUP($G1763,Lijsten!L:P,MATCH(Lijsten!$P$1,Kop_Tarief_Vast,0),0))),""),"")</f>
        <v/>
      </c>
      <c r="P1763" s="320" t="str" cm="1">
        <f t="array" ref="P1763">_xlfn.IFNA(IF(INDEX(Tb_KostenOptiesDB[],MATCH($F1763,Tb_KostenOptiesDB[KostenOptie],0),IFERROR(MATCH(Methode_Keuze,Tb_KostenOptiesDB[#Headers],0),2))=1,_xlfn.SWITCH($N1763,"Uurtarief",IF(OR(AND(RIGHT($F1763,3)="IKS",VLOOKUP($M1763,DB_Loonkosten,2,0)="Ja"),AND(RIGHT($F1763,3)&lt;&gt;"IKS",VLOOKUP($M1763,DB_Loonkosten,2,0)="Nee")),IFERROR(VLOOKUP($M1763,DB_Loonkosten,25,0),""),0),"Vast tarief",IF(LEFT(F1763,8)="Bijdrage",VLOOKUP($F1763,Tb_KostenTypen[],MATCH(Lijsten!$P$1,Tb_KostenTypen[#Headers],0),0),VLOOKUP($G1763,Lijsten!L:P,MATCH(Lijsten!$P$1,Kop_Tarief_Vast,0),0))),""),"")</f>
        <v/>
      </c>
      <c r="Q1763" s="359"/>
      <c r="R1763" s="359"/>
      <c r="S1763" s="321"/>
      <c r="T1763" s="321"/>
      <c r="U1763" s="373" t="str">
        <f t="shared" si="108"/>
        <v/>
      </c>
      <c r="V1763" s="314" t="str">
        <f t="shared" si="109"/>
        <v/>
      </c>
      <c r="W1763" s="314" t="str" cm="1">
        <f t="array" aca="1" ref="W1763" ca="1">IFERROR(IF(AE1763&lt;&gt;"ja",_xlfn.IFNA(_xlfn.IFS(AND(O1763&lt;&gt;"",F1763&lt;&gt;"",RIGHT($N1763,6)="tarief",F1763="Vergoeding"),SUM(O1763)*FLOOR(SUM(Q1763),0.0001),AND(O1763&lt;&gt;"",F1763&lt;&gt;"",RIGHT($N1763,6)="tarief"),SUM(O1763)*FLOOR(SUM(Q1763),0.01),S1763&gt;0,IF(F1763&lt;&gt;"",FLOOR(SUM(S1763),0.01),"")),""),""),"")</f>
        <v/>
      </c>
      <c r="X1763" s="314" t="str" cm="1">
        <f t="array" aca="1" ref="X1763" ca="1">IFERROR(IF(AE1763&lt;&gt;"ja",_xlfn.IFNA(_xlfn.IFS(AND(P1763&lt;&gt;"",R1763&lt;&gt;"",RIGHT($N1763,6)="tarief",F1763="Vergoeding"),SUM(P1763)*FLOOR(SUM(R1763),0.0001),AND(P1763&lt;&gt;"",R1763&lt;&gt;"",RIGHT($N1763,6)="tarief"),P1763*FLOOR(R1763,0.01),T1763&gt;0,FLOOR(SUM(T1763),0.01)),""),""),"")</f>
        <v/>
      </c>
      <c r="Y1763" s="314" t="str">
        <f t="shared" ca="1" si="110"/>
        <v/>
      </c>
      <c r="Z1763" s="314" t="str" cm="1">
        <f t="array" aca="1" ref="Z1763" ca="1">IFERROR(_xlfn.IFS(OR(F1763="",LEFT(Methode_Keuze,4)="Geen",Methode_Keuze=""),"",AND(W1763&lt;&gt;"",F1763&lt;&gt;"Arbeidskosten"),W1763*VLOOKUP(F1763,Tb_ProjectKosten[],MATCH(Tb_ProjectKosten[[#Headers],[Forfait_Percentage]],Tb_ProjectKosten[#Headers],0),0),AND(F1763="Arbeidskosten",G1763&lt;&gt;""),IFERROR(W1763*VLOOKUP(G1763,Tb_KostenTypen[],3,0)*VLOOKUP(F1763,Tb_ProjectKosten[],MATCH(Tb_ProjectKosten[[#Headers],[Forfait_Percentage]],Tb_ProjectKosten[#Headers],0),0),""),W1763 &lt;=0,0),"")</f>
        <v/>
      </c>
      <c r="AA1763" s="314" t="str" cm="1">
        <f t="array" aca="1" ref="AA1763" ca="1">IFERROR(_xlfn.IFS(OR(F1763="",LEFT(Methode_Keuze,4)="Geen",Methode_Keuze=""),"",AND(X1763&lt;&gt;"",F1763&lt;&gt;"Arbeidskosten"),X1763*VLOOKUP(F1763,Tb_ProjectKosten[],MATCH(Tb_ProjectKosten[[#Headers],[Forfait_Percentage]],Tb_ProjectKosten[#Headers],0),0),AND(F1763="Arbeidskosten",G1763&lt;&gt;""),IFERROR(X1763*VLOOKUP(G1763,Tb_KostenTypen[],3,0)*VLOOKUP(F1763,Tb_ProjectKosten[],MATCH(Tb_ProjectKosten[[#Headers],[Forfait_Percentage]],Tb_ProjectKosten[#Headers],0),0),""),X1763 &lt;=0,0),"")</f>
        <v/>
      </c>
      <c r="AB1763" s="314" t="str">
        <f t="shared" ca="1" si="111"/>
        <v/>
      </c>
      <c r="AC1763" s="322"/>
      <c r="AD1763" s="315"/>
      <c r="AE1763" s="32" t="str" cm="1">
        <f t="array" ref="AE1763">IFERROR(IF(INDEX(SubsidieTabel!$AD$1:$AG$12,MATCH($F1763,SubsidieTabel!$AD$1:$AD$12,0),IFERROR(MATCH(Methode_Keuze,SubsidieTabel!$AD$1:$AG$1,0),2))&lt;&gt;1=TRUE,"ja",""),"")</f>
        <v/>
      </c>
    </row>
    <row r="1764" spans="1:31" x14ac:dyDescent="0.25">
      <c r="A1764" s="316"/>
      <c r="B1764" s="317" t="str">
        <f>IF(A1764&lt;&gt;"",_xlfn.MAXIFS($B$1:B1763,$A$1:A1763,A1764)+1,"")</f>
        <v/>
      </c>
      <c r="C1764" s="296"/>
      <c r="D1764" s="296"/>
      <c r="E1764" s="296"/>
      <c r="F1764" s="296"/>
      <c r="G1764" s="326"/>
      <c r="H1764" s="324"/>
      <c r="I1764" s="325"/>
      <c r="J1764" s="325"/>
      <c r="K1764" s="318"/>
      <c r="L1764" s="318"/>
      <c r="M1764" s="319" t="str">
        <f>IFERROR(VLOOKUP(H1764,Lijsten!$H$1:$I$100,2,0),"")</f>
        <v/>
      </c>
      <c r="N1764" s="319" t="str">
        <f ca="1">IFERROR(IF(VLOOKUP(F1764,Kostentypen!$A$3:$E$21,3,0)=0,"",IF(OR(F1764="Arbeidskosten",F1764="Vergoeding"),VLOOKUP(G1764,Tb_KostenTypen[],2,0),VLOOKUP(F1764,Kostentypen!$A$3:$E$20,3,0))),"")</f>
        <v/>
      </c>
      <c r="O1764" s="320" t="str" cm="1">
        <f t="array" ref="O1764">_xlfn.IFNA(IF(INDEX(Tb_KostenOptiesDB[],MATCH($F1764,Tb_KostenOptiesDB[KostenOptie],0),IFERROR(MATCH(Methode_Keuze,Tb_KostenOptiesDB[#Headers],0),2))=1,_xlfn.SWITCH($N1764,"Uurtarief",IF(OR(AND(RIGHT($F1764,3)="IKS",VLOOKUP($M1764,DB_Loonkosten,2,0)="Ja"),AND(RIGHT($F1764,3)&lt;&gt;"IKS",VLOOKUP($M1764,DB_Loonkosten,2,0)="Nee")),IFERROR(VLOOKUP($M1764,DB_Loonkosten,24,0),""),0),"Vast tarief",IF(LEFT(F1764,8)="Bijdrage",VLOOKUP($F1764,Tb_KostenTypen[],MATCH(Lijsten!$P$1,Tb_KostenTypen[#Headers],0),0),VLOOKUP($G1764,Lijsten!L:P,MATCH(Lijsten!$P$1,Kop_Tarief_Vast,0),0))),""),"")</f>
        <v/>
      </c>
      <c r="P1764" s="320" t="str" cm="1">
        <f t="array" ref="P1764">_xlfn.IFNA(IF(INDEX(Tb_KostenOptiesDB[],MATCH($F1764,Tb_KostenOptiesDB[KostenOptie],0),IFERROR(MATCH(Methode_Keuze,Tb_KostenOptiesDB[#Headers],0),2))=1,_xlfn.SWITCH($N1764,"Uurtarief",IF(OR(AND(RIGHT($F1764,3)="IKS",VLOOKUP($M1764,DB_Loonkosten,2,0)="Ja"),AND(RIGHT($F1764,3)&lt;&gt;"IKS",VLOOKUP($M1764,DB_Loonkosten,2,0)="Nee")),IFERROR(VLOOKUP($M1764,DB_Loonkosten,25,0),""),0),"Vast tarief",IF(LEFT(F1764,8)="Bijdrage",VLOOKUP($F1764,Tb_KostenTypen[],MATCH(Lijsten!$P$1,Tb_KostenTypen[#Headers],0),0),VLOOKUP($G1764,Lijsten!L:P,MATCH(Lijsten!$P$1,Kop_Tarief_Vast,0),0))),""),"")</f>
        <v/>
      </c>
      <c r="Q1764" s="359"/>
      <c r="R1764" s="359"/>
      <c r="S1764" s="321"/>
      <c r="T1764" s="321"/>
      <c r="U1764" s="373" t="str">
        <f t="shared" si="108"/>
        <v/>
      </c>
      <c r="V1764" s="314" t="str">
        <f t="shared" si="109"/>
        <v/>
      </c>
      <c r="W1764" s="314" t="str" cm="1">
        <f t="array" aca="1" ref="W1764" ca="1">IFERROR(IF(AE1764&lt;&gt;"ja",_xlfn.IFNA(_xlfn.IFS(AND(O1764&lt;&gt;"",F1764&lt;&gt;"",RIGHT($N1764,6)="tarief",F1764="Vergoeding"),SUM(O1764)*FLOOR(SUM(Q1764),0.0001),AND(O1764&lt;&gt;"",F1764&lt;&gt;"",RIGHT($N1764,6)="tarief"),SUM(O1764)*FLOOR(SUM(Q1764),0.01),S1764&gt;0,IF(F1764&lt;&gt;"",FLOOR(SUM(S1764),0.01),"")),""),""),"")</f>
        <v/>
      </c>
      <c r="X1764" s="314" t="str" cm="1">
        <f t="array" aca="1" ref="X1764" ca="1">IFERROR(IF(AE1764&lt;&gt;"ja",_xlfn.IFNA(_xlfn.IFS(AND(P1764&lt;&gt;"",R1764&lt;&gt;"",RIGHT($N1764,6)="tarief",F1764="Vergoeding"),SUM(P1764)*FLOOR(SUM(R1764),0.0001),AND(P1764&lt;&gt;"",R1764&lt;&gt;"",RIGHT($N1764,6)="tarief"),P1764*FLOOR(R1764,0.01),T1764&gt;0,FLOOR(SUM(T1764),0.01)),""),""),"")</f>
        <v/>
      </c>
      <c r="Y1764" s="314" t="str">
        <f t="shared" ca="1" si="110"/>
        <v/>
      </c>
      <c r="Z1764" s="314" t="str" cm="1">
        <f t="array" aca="1" ref="Z1764" ca="1">IFERROR(_xlfn.IFS(OR(F1764="",LEFT(Methode_Keuze,4)="Geen",Methode_Keuze=""),"",AND(W1764&lt;&gt;"",F1764&lt;&gt;"Arbeidskosten"),W1764*VLOOKUP(F1764,Tb_ProjectKosten[],MATCH(Tb_ProjectKosten[[#Headers],[Forfait_Percentage]],Tb_ProjectKosten[#Headers],0),0),AND(F1764="Arbeidskosten",G1764&lt;&gt;""),IFERROR(W1764*VLOOKUP(G1764,Tb_KostenTypen[],3,0)*VLOOKUP(F1764,Tb_ProjectKosten[],MATCH(Tb_ProjectKosten[[#Headers],[Forfait_Percentage]],Tb_ProjectKosten[#Headers],0),0),""),W1764 &lt;=0,0),"")</f>
        <v/>
      </c>
      <c r="AA1764" s="314" t="str" cm="1">
        <f t="array" aca="1" ref="AA1764" ca="1">IFERROR(_xlfn.IFS(OR(F1764="",LEFT(Methode_Keuze,4)="Geen",Methode_Keuze=""),"",AND(X1764&lt;&gt;"",F1764&lt;&gt;"Arbeidskosten"),X1764*VLOOKUP(F1764,Tb_ProjectKosten[],MATCH(Tb_ProjectKosten[[#Headers],[Forfait_Percentage]],Tb_ProjectKosten[#Headers],0),0),AND(F1764="Arbeidskosten",G1764&lt;&gt;""),IFERROR(X1764*VLOOKUP(G1764,Tb_KostenTypen[],3,0)*VLOOKUP(F1764,Tb_ProjectKosten[],MATCH(Tb_ProjectKosten[[#Headers],[Forfait_Percentage]],Tb_ProjectKosten[#Headers],0),0),""),X1764 &lt;=0,0),"")</f>
        <v/>
      </c>
      <c r="AB1764" s="314" t="str">
        <f t="shared" ca="1" si="111"/>
        <v/>
      </c>
      <c r="AC1764" s="322"/>
      <c r="AD1764" s="315"/>
      <c r="AE1764" s="32" t="str" cm="1">
        <f t="array" ref="AE1764">IFERROR(IF(INDEX(SubsidieTabel!$AD$1:$AG$12,MATCH($F1764,SubsidieTabel!$AD$1:$AD$12,0),IFERROR(MATCH(Methode_Keuze,SubsidieTabel!$AD$1:$AG$1,0),2))&lt;&gt;1=TRUE,"ja",""),"")</f>
        <v/>
      </c>
    </row>
    <row r="1765" spans="1:31" x14ac:dyDescent="0.25">
      <c r="A1765" s="316"/>
      <c r="B1765" s="317" t="str">
        <f>IF(A1765&lt;&gt;"",_xlfn.MAXIFS($B$1:B1764,$A$1:A1764,A1765)+1,"")</f>
        <v/>
      </c>
      <c r="C1765" s="296"/>
      <c r="D1765" s="296"/>
      <c r="E1765" s="296"/>
      <c r="F1765" s="296"/>
      <c r="G1765" s="326"/>
      <c r="H1765" s="324"/>
      <c r="I1765" s="325"/>
      <c r="J1765" s="325"/>
      <c r="K1765" s="318"/>
      <c r="L1765" s="318"/>
      <c r="M1765" s="319" t="str">
        <f>IFERROR(VLOOKUP(H1765,Lijsten!$H$1:$I$100,2,0),"")</f>
        <v/>
      </c>
      <c r="N1765" s="319" t="str">
        <f ca="1">IFERROR(IF(VLOOKUP(F1765,Kostentypen!$A$3:$E$21,3,0)=0,"",IF(OR(F1765="Arbeidskosten",F1765="Vergoeding"),VLOOKUP(G1765,Tb_KostenTypen[],2,0),VLOOKUP(F1765,Kostentypen!$A$3:$E$20,3,0))),"")</f>
        <v/>
      </c>
      <c r="O1765" s="320" t="str" cm="1">
        <f t="array" ref="O1765">_xlfn.IFNA(IF(INDEX(Tb_KostenOptiesDB[],MATCH($F1765,Tb_KostenOptiesDB[KostenOptie],0),IFERROR(MATCH(Methode_Keuze,Tb_KostenOptiesDB[#Headers],0),2))=1,_xlfn.SWITCH($N1765,"Uurtarief",IF(OR(AND(RIGHT($F1765,3)="IKS",VLOOKUP($M1765,DB_Loonkosten,2,0)="Ja"),AND(RIGHT($F1765,3)&lt;&gt;"IKS",VLOOKUP($M1765,DB_Loonkosten,2,0)="Nee")),IFERROR(VLOOKUP($M1765,DB_Loonkosten,24,0),""),0),"Vast tarief",IF(LEFT(F1765,8)="Bijdrage",VLOOKUP($F1765,Tb_KostenTypen[],MATCH(Lijsten!$P$1,Tb_KostenTypen[#Headers],0),0),VLOOKUP($G1765,Lijsten!L:P,MATCH(Lijsten!$P$1,Kop_Tarief_Vast,0),0))),""),"")</f>
        <v/>
      </c>
      <c r="P1765" s="320" t="str" cm="1">
        <f t="array" ref="P1765">_xlfn.IFNA(IF(INDEX(Tb_KostenOptiesDB[],MATCH($F1765,Tb_KostenOptiesDB[KostenOptie],0),IFERROR(MATCH(Methode_Keuze,Tb_KostenOptiesDB[#Headers],0),2))=1,_xlfn.SWITCH($N1765,"Uurtarief",IF(OR(AND(RIGHT($F1765,3)="IKS",VLOOKUP($M1765,DB_Loonkosten,2,0)="Ja"),AND(RIGHT($F1765,3)&lt;&gt;"IKS",VLOOKUP($M1765,DB_Loonkosten,2,0)="Nee")),IFERROR(VLOOKUP($M1765,DB_Loonkosten,25,0),""),0),"Vast tarief",IF(LEFT(F1765,8)="Bijdrage",VLOOKUP($F1765,Tb_KostenTypen[],MATCH(Lijsten!$P$1,Tb_KostenTypen[#Headers],0),0),VLOOKUP($G1765,Lijsten!L:P,MATCH(Lijsten!$P$1,Kop_Tarief_Vast,0),0))),""),"")</f>
        <v/>
      </c>
      <c r="Q1765" s="359"/>
      <c r="R1765" s="359"/>
      <c r="S1765" s="321"/>
      <c r="T1765" s="321"/>
      <c r="U1765" s="373" t="str">
        <f t="shared" si="108"/>
        <v/>
      </c>
      <c r="V1765" s="314" t="str">
        <f t="shared" si="109"/>
        <v/>
      </c>
      <c r="W1765" s="314" t="str" cm="1">
        <f t="array" aca="1" ref="W1765" ca="1">IFERROR(IF(AE1765&lt;&gt;"ja",_xlfn.IFNA(_xlfn.IFS(AND(O1765&lt;&gt;"",F1765&lt;&gt;"",RIGHT($N1765,6)="tarief",F1765="Vergoeding"),SUM(O1765)*FLOOR(SUM(Q1765),0.0001),AND(O1765&lt;&gt;"",F1765&lt;&gt;"",RIGHT($N1765,6)="tarief"),SUM(O1765)*FLOOR(SUM(Q1765),0.01),S1765&gt;0,IF(F1765&lt;&gt;"",FLOOR(SUM(S1765),0.01),"")),""),""),"")</f>
        <v/>
      </c>
      <c r="X1765" s="314" t="str" cm="1">
        <f t="array" aca="1" ref="X1765" ca="1">IFERROR(IF(AE1765&lt;&gt;"ja",_xlfn.IFNA(_xlfn.IFS(AND(P1765&lt;&gt;"",R1765&lt;&gt;"",RIGHT($N1765,6)="tarief",F1765="Vergoeding"),SUM(P1765)*FLOOR(SUM(R1765),0.0001),AND(P1765&lt;&gt;"",R1765&lt;&gt;"",RIGHT($N1765,6)="tarief"),P1765*FLOOR(R1765,0.01),T1765&gt;0,FLOOR(SUM(T1765),0.01)),""),""),"")</f>
        <v/>
      </c>
      <c r="Y1765" s="314" t="str">
        <f t="shared" ca="1" si="110"/>
        <v/>
      </c>
      <c r="Z1765" s="314" t="str" cm="1">
        <f t="array" aca="1" ref="Z1765" ca="1">IFERROR(_xlfn.IFS(OR(F1765="",LEFT(Methode_Keuze,4)="Geen",Methode_Keuze=""),"",AND(W1765&lt;&gt;"",F1765&lt;&gt;"Arbeidskosten"),W1765*VLOOKUP(F1765,Tb_ProjectKosten[],MATCH(Tb_ProjectKosten[[#Headers],[Forfait_Percentage]],Tb_ProjectKosten[#Headers],0),0),AND(F1765="Arbeidskosten",G1765&lt;&gt;""),IFERROR(W1765*VLOOKUP(G1765,Tb_KostenTypen[],3,0)*VLOOKUP(F1765,Tb_ProjectKosten[],MATCH(Tb_ProjectKosten[[#Headers],[Forfait_Percentage]],Tb_ProjectKosten[#Headers],0),0),""),W1765 &lt;=0,0),"")</f>
        <v/>
      </c>
      <c r="AA1765" s="314" t="str" cm="1">
        <f t="array" aca="1" ref="AA1765" ca="1">IFERROR(_xlfn.IFS(OR(F1765="",LEFT(Methode_Keuze,4)="Geen",Methode_Keuze=""),"",AND(X1765&lt;&gt;"",F1765&lt;&gt;"Arbeidskosten"),X1765*VLOOKUP(F1765,Tb_ProjectKosten[],MATCH(Tb_ProjectKosten[[#Headers],[Forfait_Percentage]],Tb_ProjectKosten[#Headers],0),0),AND(F1765="Arbeidskosten",G1765&lt;&gt;""),IFERROR(X1765*VLOOKUP(G1765,Tb_KostenTypen[],3,0)*VLOOKUP(F1765,Tb_ProjectKosten[],MATCH(Tb_ProjectKosten[[#Headers],[Forfait_Percentage]],Tb_ProjectKosten[#Headers],0),0),""),X1765 &lt;=0,0),"")</f>
        <v/>
      </c>
      <c r="AB1765" s="314" t="str">
        <f t="shared" ca="1" si="111"/>
        <v/>
      </c>
      <c r="AC1765" s="322"/>
      <c r="AD1765" s="315"/>
      <c r="AE1765" s="32" t="str" cm="1">
        <f t="array" ref="AE1765">IFERROR(IF(INDEX(SubsidieTabel!$AD$1:$AG$12,MATCH($F1765,SubsidieTabel!$AD$1:$AD$12,0),IFERROR(MATCH(Methode_Keuze,SubsidieTabel!$AD$1:$AG$1,0),2))&lt;&gt;1=TRUE,"ja",""),"")</f>
        <v/>
      </c>
    </row>
    <row r="1766" spans="1:31" x14ac:dyDescent="0.25">
      <c r="A1766" s="316"/>
      <c r="B1766" s="317" t="str">
        <f>IF(A1766&lt;&gt;"",_xlfn.MAXIFS($B$1:B1765,$A$1:A1765,A1766)+1,"")</f>
        <v/>
      </c>
      <c r="C1766" s="296"/>
      <c r="D1766" s="296"/>
      <c r="E1766" s="296"/>
      <c r="F1766" s="296"/>
      <c r="G1766" s="326"/>
      <c r="H1766" s="324"/>
      <c r="I1766" s="325"/>
      <c r="J1766" s="325"/>
      <c r="K1766" s="318"/>
      <c r="L1766" s="318"/>
      <c r="M1766" s="319" t="str">
        <f>IFERROR(VLOOKUP(H1766,Lijsten!$H$1:$I$100,2,0),"")</f>
        <v/>
      </c>
      <c r="N1766" s="319" t="str">
        <f ca="1">IFERROR(IF(VLOOKUP(F1766,Kostentypen!$A$3:$E$21,3,0)=0,"",IF(OR(F1766="Arbeidskosten",F1766="Vergoeding"),VLOOKUP(G1766,Tb_KostenTypen[],2,0),VLOOKUP(F1766,Kostentypen!$A$3:$E$20,3,0))),"")</f>
        <v/>
      </c>
      <c r="O1766" s="320" t="str" cm="1">
        <f t="array" ref="O1766">_xlfn.IFNA(IF(INDEX(Tb_KostenOptiesDB[],MATCH($F1766,Tb_KostenOptiesDB[KostenOptie],0),IFERROR(MATCH(Methode_Keuze,Tb_KostenOptiesDB[#Headers],0),2))=1,_xlfn.SWITCH($N1766,"Uurtarief",IF(OR(AND(RIGHT($F1766,3)="IKS",VLOOKUP($M1766,DB_Loonkosten,2,0)="Ja"),AND(RIGHT($F1766,3)&lt;&gt;"IKS",VLOOKUP($M1766,DB_Loonkosten,2,0)="Nee")),IFERROR(VLOOKUP($M1766,DB_Loonkosten,24,0),""),0),"Vast tarief",IF(LEFT(F1766,8)="Bijdrage",VLOOKUP($F1766,Tb_KostenTypen[],MATCH(Lijsten!$P$1,Tb_KostenTypen[#Headers],0),0),VLOOKUP($G1766,Lijsten!L:P,MATCH(Lijsten!$P$1,Kop_Tarief_Vast,0),0))),""),"")</f>
        <v/>
      </c>
      <c r="P1766" s="320" t="str" cm="1">
        <f t="array" ref="P1766">_xlfn.IFNA(IF(INDEX(Tb_KostenOptiesDB[],MATCH($F1766,Tb_KostenOptiesDB[KostenOptie],0),IFERROR(MATCH(Methode_Keuze,Tb_KostenOptiesDB[#Headers],0),2))=1,_xlfn.SWITCH($N1766,"Uurtarief",IF(OR(AND(RIGHT($F1766,3)="IKS",VLOOKUP($M1766,DB_Loonkosten,2,0)="Ja"),AND(RIGHT($F1766,3)&lt;&gt;"IKS",VLOOKUP($M1766,DB_Loonkosten,2,0)="Nee")),IFERROR(VLOOKUP($M1766,DB_Loonkosten,25,0),""),0),"Vast tarief",IF(LEFT(F1766,8)="Bijdrage",VLOOKUP($F1766,Tb_KostenTypen[],MATCH(Lijsten!$P$1,Tb_KostenTypen[#Headers],0),0),VLOOKUP($G1766,Lijsten!L:P,MATCH(Lijsten!$P$1,Kop_Tarief_Vast,0),0))),""),"")</f>
        <v/>
      </c>
      <c r="Q1766" s="359"/>
      <c r="R1766" s="359"/>
      <c r="S1766" s="321"/>
      <c r="T1766" s="321"/>
      <c r="U1766" s="373" t="str">
        <f t="shared" si="108"/>
        <v/>
      </c>
      <c r="V1766" s="314" t="str">
        <f t="shared" si="109"/>
        <v/>
      </c>
      <c r="W1766" s="314" t="str" cm="1">
        <f t="array" aca="1" ref="W1766" ca="1">IFERROR(IF(AE1766&lt;&gt;"ja",_xlfn.IFNA(_xlfn.IFS(AND(O1766&lt;&gt;"",F1766&lt;&gt;"",RIGHT($N1766,6)="tarief",F1766="Vergoeding"),SUM(O1766)*FLOOR(SUM(Q1766),0.0001),AND(O1766&lt;&gt;"",F1766&lt;&gt;"",RIGHT($N1766,6)="tarief"),SUM(O1766)*FLOOR(SUM(Q1766),0.01),S1766&gt;0,IF(F1766&lt;&gt;"",FLOOR(SUM(S1766),0.01),"")),""),""),"")</f>
        <v/>
      </c>
      <c r="X1766" s="314" t="str" cm="1">
        <f t="array" aca="1" ref="X1766" ca="1">IFERROR(IF(AE1766&lt;&gt;"ja",_xlfn.IFNA(_xlfn.IFS(AND(P1766&lt;&gt;"",R1766&lt;&gt;"",RIGHT($N1766,6)="tarief",F1766="Vergoeding"),SUM(P1766)*FLOOR(SUM(R1766),0.0001),AND(P1766&lt;&gt;"",R1766&lt;&gt;"",RIGHT($N1766,6)="tarief"),P1766*FLOOR(R1766,0.01),T1766&gt;0,FLOOR(SUM(T1766),0.01)),""),""),"")</f>
        <v/>
      </c>
      <c r="Y1766" s="314" t="str">
        <f t="shared" ca="1" si="110"/>
        <v/>
      </c>
      <c r="Z1766" s="314" t="str" cm="1">
        <f t="array" aca="1" ref="Z1766" ca="1">IFERROR(_xlfn.IFS(OR(F1766="",LEFT(Methode_Keuze,4)="Geen",Methode_Keuze=""),"",AND(W1766&lt;&gt;"",F1766&lt;&gt;"Arbeidskosten"),W1766*VLOOKUP(F1766,Tb_ProjectKosten[],MATCH(Tb_ProjectKosten[[#Headers],[Forfait_Percentage]],Tb_ProjectKosten[#Headers],0),0),AND(F1766="Arbeidskosten",G1766&lt;&gt;""),IFERROR(W1766*VLOOKUP(G1766,Tb_KostenTypen[],3,0)*VLOOKUP(F1766,Tb_ProjectKosten[],MATCH(Tb_ProjectKosten[[#Headers],[Forfait_Percentage]],Tb_ProjectKosten[#Headers],0),0),""),W1766 &lt;=0,0),"")</f>
        <v/>
      </c>
      <c r="AA1766" s="314" t="str" cm="1">
        <f t="array" aca="1" ref="AA1766" ca="1">IFERROR(_xlfn.IFS(OR(F1766="",LEFT(Methode_Keuze,4)="Geen",Methode_Keuze=""),"",AND(X1766&lt;&gt;"",F1766&lt;&gt;"Arbeidskosten"),X1766*VLOOKUP(F1766,Tb_ProjectKosten[],MATCH(Tb_ProjectKosten[[#Headers],[Forfait_Percentage]],Tb_ProjectKosten[#Headers],0),0),AND(F1766="Arbeidskosten",G1766&lt;&gt;""),IFERROR(X1766*VLOOKUP(G1766,Tb_KostenTypen[],3,0)*VLOOKUP(F1766,Tb_ProjectKosten[],MATCH(Tb_ProjectKosten[[#Headers],[Forfait_Percentage]],Tb_ProjectKosten[#Headers],0),0),""),X1766 &lt;=0,0),"")</f>
        <v/>
      </c>
      <c r="AB1766" s="314" t="str">
        <f t="shared" ca="1" si="111"/>
        <v/>
      </c>
      <c r="AC1766" s="322"/>
      <c r="AD1766" s="315"/>
      <c r="AE1766" s="32" t="str" cm="1">
        <f t="array" ref="AE1766">IFERROR(IF(INDEX(SubsidieTabel!$AD$1:$AG$12,MATCH($F1766,SubsidieTabel!$AD$1:$AD$12,0),IFERROR(MATCH(Methode_Keuze,SubsidieTabel!$AD$1:$AG$1,0),2))&lt;&gt;1=TRUE,"ja",""),"")</f>
        <v/>
      </c>
    </row>
    <row r="1767" spans="1:31" x14ac:dyDescent="0.25">
      <c r="A1767" s="316"/>
      <c r="B1767" s="317" t="str">
        <f>IF(A1767&lt;&gt;"",_xlfn.MAXIFS($B$1:B1766,$A$1:A1766,A1767)+1,"")</f>
        <v/>
      </c>
      <c r="C1767" s="296"/>
      <c r="D1767" s="296"/>
      <c r="E1767" s="296"/>
      <c r="F1767" s="296"/>
      <c r="G1767" s="326"/>
      <c r="H1767" s="324"/>
      <c r="I1767" s="325"/>
      <c r="J1767" s="325"/>
      <c r="K1767" s="318"/>
      <c r="L1767" s="318"/>
      <c r="M1767" s="319" t="str">
        <f>IFERROR(VLOOKUP(H1767,Lijsten!$H$1:$I$100,2,0),"")</f>
        <v/>
      </c>
      <c r="N1767" s="319" t="str">
        <f ca="1">IFERROR(IF(VLOOKUP(F1767,Kostentypen!$A$3:$E$21,3,0)=0,"",IF(OR(F1767="Arbeidskosten",F1767="Vergoeding"),VLOOKUP(G1767,Tb_KostenTypen[],2,0),VLOOKUP(F1767,Kostentypen!$A$3:$E$20,3,0))),"")</f>
        <v/>
      </c>
      <c r="O1767" s="320" t="str" cm="1">
        <f t="array" ref="O1767">_xlfn.IFNA(IF(INDEX(Tb_KostenOptiesDB[],MATCH($F1767,Tb_KostenOptiesDB[KostenOptie],0),IFERROR(MATCH(Methode_Keuze,Tb_KostenOptiesDB[#Headers],0),2))=1,_xlfn.SWITCH($N1767,"Uurtarief",IF(OR(AND(RIGHT($F1767,3)="IKS",VLOOKUP($M1767,DB_Loonkosten,2,0)="Ja"),AND(RIGHT($F1767,3)&lt;&gt;"IKS",VLOOKUP($M1767,DB_Loonkosten,2,0)="Nee")),IFERROR(VLOOKUP($M1767,DB_Loonkosten,24,0),""),0),"Vast tarief",IF(LEFT(F1767,8)="Bijdrage",VLOOKUP($F1767,Tb_KostenTypen[],MATCH(Lijsten!$P$1,Tb_KostenTypen[#Headers],0),0),VLOOKUP($G1767,Lijsten!L:P,MATCH(Lijsten!$P$1,Kop_Tarief_Vast,0),0))),""),"")</f>
        <v/>
      </c>
      <c r="P1767" s="320" t="str" cm="1">
        <f t="array" ref="P1767">_xlfn.IFNA(IF(INDEX(Tb_KostenOptiesDB[],MATCH($F1767,Tb_KostenOptiesDB[KostenOptie],0),IFERROR(MATCH(Methode_Keuze,Tb_KostenOptiesDB[#Headers],0),2))=1,_xlfn.SWITCH($N1767,"Uurtarief",IF(OR(AND(RIGHT($F1767,3)="IKS",VLOOKUP($M1767,DB_Loonkosten,2,0)="Ja"),AND(RIGHT($F1767,3)&lt;&gt;"IKS",VLOOKUP($M1767,DB_Loonkosten,2,0)="Nee")),IFERROR(VLOOKUP($M1767,DB_Loonkosten,25,0),""),0),"Vast tarief",IF(LEFT(F1767,8)="Bijdrage",VLOOKUP($F1767,Tb_KostenTypen[],MATCH(Lijsten!$P$1,Tb_KostenTypen[#Headers],0),0),VLOOKUP($G1767,Lijsten!L:P,MATCH(Lijsten!$P$1,Kop_Tarief_Vast,0),0))),""),"")</f>
        <v/>
      </c>
      <c r="Q1767" s="359"/>
      <c r="R1767" s="359"/>
      <c r="S1767" s="321"/>
      <c r="T1767" s="321"/>
      <c r="U1767" s="373" t="str">
        <f t="shared" si="108"/>
        <v/>
      </c>
      <c r="V1767" s="314" t="str">
        <f t="shared" si="109"/>
        <v/>
      </c>
      <c r="W1767" s="314" t="str" cm="1">
        <f t="array" aca="1" ref="W1767" ca="1">IFERROR(IF(AE1767&lt;&gt;"ja",_xlfn.IFNA(_xlfn.IFS(AND(O1767&lt;&gt;"",F1767&lt;&gt;"",RIGHT($N1767,6)="tarief",F1767="Vergoeding"),SUM(O1767)*FLOOR(SUM(Q1767),0.0001),AND(O1767&lt;&gt;"",F1767&lt;&gt;"",RIGHT($N1767,6)="tarief"),SUM(O1767)*FLOOR(SUM(Q1767),0.01),S1767&gt;0,IF(F1767&lt;&gt;"",FLOOR(SUM(S1767),0.01),"")),""),""),"")</f>
        <v/>
      </c>
      <c r="X1767" s="314" t="str" cm="1">
        <f t="array" aca="1" ref="X1767" ca="1">IFERROR(IF(AE1767&lt;&gt;"ja",_xlfn.IFNA(_xlfn.IFS(AND(P1767&lt;&gt;"",R1767&lt;&gt;"",RIGHT($N1767,6)="tarief",F1767="Vergoeding"),SUM(P1767)*FLOOR(SUM(R1767),0.0001),AND(P1767&lt;&gt;"",R1767&lt;&gt;"",RIGHT($N1767,6)="tarief"),P1767*FLOOR(R1767,0.01),T1767&gt;0,FLOOR(SUM(T1767),0.01)),""),""),"")</f>
        <v/>
      </c>
      <c r="Y1767" s="314" t="str">
        <f t="shared" ca="1" si="110"/>
        <v/>
      </c>
      <c r="Z1767" s="314" t="str" cm="1">
        <f t="array" aca="1" ref="Z1767" ca="1">IFERROR(_xlfn.IFS(OR(F1767="",LEFT(Methode_Keuze,4)="Geen",Methode_Keuze=""),"",AND(W1767&lt;&gt;"",F1767&lt;&gt;"Arbeidskosten"),W1767*VLOOKUP(F1767,Tb_ProjectKosten[],MATCH(Tb_ProjectKosten[[#Headers],[Forfait_Percentage]],Tb_ProjectKosten[#Headers],0),0),AND(F1767="Arbeidskosten",G1767&lt;&gt;""),IFERROR(W1767*VLOOKUP(G1767,Tb_KostenTypen[],3,0)*VLOOKUP(F1767,Tb_ProjectKosten[],MATCH(Tb_ProjectKosten[[#Headers],[Forfait_Percentage]],Tb_ProjectKosten[#Headers],0),0),""),W1767 &lt;=0,0),"")</f>
        <v/>
      </c>
      <c r="AA1767" s="314" t="str" cm="1">
        <f t="array" aca="1" ref="AA1767" ca="1">IFERROR(_xlfn.IFS(OR(F1767="",LEFT(Methode_Keuze,4)="Geen",Methode_Keuze=""),"",AND(X1767&lt;&gt;"",F1767&lt;&gt;"Arbeidskosten"),X1767*VLOOKUP(F1767,Tb_ProjectKosten[],MATCH(Tb_ProjectKosten[[#Headers],[Forfait_Percentage]],Tb_ProjectKosten[#Headers],0),0),AND(F1767="Arbeidskosten",G1767&lt;&gt;""),IFERROR(X1767*VLOOKUP(G1767,Tb_KostenTypen[],3,0)*VLOOKUP(F1767,Tb_ProjectKosten[],MATCH(Tb_ProjectKosten[[#Headers],[Forfait_Percentage]],Tb_ProjectKosten[#Headers],0),0),""),X1767 &lt;=0,0),"")</f>
        <v/>
      </c>
      <c r="AB1767" s="314" t="str">
        <f t="shared" ca="1" si="111"/>
        <v/>
      </c>
      <c r="AC1767" s="322"/>
      <c r="AD1767" s="315"/>
      <c r="AE1767" s="32" t="str" cm="1">
        <f t="array" ref="AE1767">IFERROR(IF(INDEX(SubsidieTabel!$AD$1:$AG$12,MATCH($F1767,SubsidieTabel!$AD$1:$AD$12,0),IFERROR(MATCH(Methode_Keuze,SubsidieTabel!$AD$1:$AG$1,0),2))&lt;&gt;1=TRUE,"ja",""),"")</f>
        <v/>
      </c>
    </row>
    <row r="1768" spans="1:31" x14ac:dyDescent="0.25">
      <c r="A1768" s="316"/>
      <c r="B1768" s="317" t="str">
        <f>IF(A1768&lt;&gt;"",_xlfn.MAXIFS($B$1:B1767,$A$1:A1767,A1768)+1,"")</f>
        <v/>
      </c>
      <c r="C1768" s="296"/>
      <c r="D1768" s="296"/>
      <c r="E1768" s="296"/>
      <c r="F1768" s="296"/>
      <c r="G1768" s="326"/>
      <c r="H1768" s="324"/>
      <c r="I1768" s="325"/>
      <c r="J1768" s="325"/>
      <c r="K1768" s="318"/>
      <c r="L1768" s="318"/>
      <c r="M1768" s="319" t="str">
        <f>IFERROR(VLOOKUP(H1768,Lijsten!$H$1:$I$100,2,0),"")</f>
        <v/>
      </c>
      <c r="N1768" s="319" t="str">
        <f ca="1">IFERROR(IF(VLOOKUP(F1768,Kostentypen!$A$3:$E$21,3,0)=0,"",IF(OR(F1768="Arbeidskosten",F1768="Vergoeding"),VLOOKUP(G1768,Tb_KostenTypen[],2,0),VLOOKUP(F1768,Kostentypen!$A$3:$E$20,3,0))),"")</f>
        <v/>
      </c>
      <c r="O1768" s="320" t="str" cm="1">
        <f t="array" ref="O1768">_xlfn.IFNA(IF(INDEX(Tb_KostenOptiesDB[],MATCH($F1768,Tb_KostenOptiesDB[KostenOptie],0),IFERROR(MATCH(Methode_Keuze,Tb_KostenOptiesDB[#Headers],0),2))=1,_xlfn.SWITCH($N1768,"Uurtarief",IF(OR(AND(RIGHT($F1768,3)="IKS",VLOOKUP($M1768,DB_Loonkosten,2,0)="Ja"),AND(RIGHT($F1768,3)&lt;&gt;"IKS",VLOOKUP($M1768,DB_Loonkosten,2,0)="Nee")),IFERROR(VLOOKUP($M1768,DB_Loonkosten,24,0),""),0),"Vast tarief",IF(LEFT(F1768,8)="Bijdrage",VLOOKUP($F1768,Tb_KostenTypen[],MATCH(Lijsten!$P$1,Tb_KostenTypen[#Headers],0),0),VLOOKUP($G1768,Lijsten!L:P,MATCH(Lijsten!$P$1,Kop_Tarief_Vast,0),0))),""),"")</f>
        <v/>
      </c>
      <c r="P1768" s="320" t="str" cm="1">
        <f t="array" ref="P1768">_xlfn.IFNA(IF(INDEX(Tb_KostenOptiesDB[],MATCH($F1768,Tb_KostenOptiesDB[KostenOptie],0),IFERROR(MATCH(Methode_Keuze,Tb_KostenOptiesDB[#Headers],0),2))=1,_xlfn.SWITCH($N1768,"Uurtarief",IF(OR(AND(RIGHT($F1768,3)="IKS",VLOOKUP($M1768,DB_Loonkosten,2,0)="Ja"),AND(RIGHT($F1768,3)&lt;&gt;"IKS",VLOOKUP($M1768,DB_Loonkosten,2,0)="Nee")),IFERROR(VLOOKUP($M1768,DB_Loonkosten,25,0),""),0),"Vast tarief",IF(LEFT(F1768,8)="Bijdrage",VLOOKUP($F1768,Tb_KostenTypen[],MATCH(Lijsten!$P$1,Tb_KostenTypen[#Headers],0),0),VLOOKUP($G1768,Lijsten!L:P,MATCH(Lijsten!$P$1,Kop_Tarief_Vast,0),0))),""),"")</f>
        <v/>
      </c>
      <c r="Q1768" s="359"/>
      <c r="R1768" s="359"/>
      <c r="S1768" s="321"/>
      <c r="T1768" s="321"/>
      <c r="U1768" s="373" t="str">
        <f t="shared" si="108"/>
        <v/>
      </c>
      <c r="V1768" s="314" t="str">
        <f t="shared" si="109"/>
        <v/>
      </c>
      <c r="W1768" s="314" t="str" cm="1">
        <f t="array" aca="1" ref="W1768" ca="1">IFERROR(IF(AE1768&lt;&gt;"ja",_xlfn.IFNA(_xlfn.IFS(AND(O1768&lt;&gt;"",F1768&lt;&gt;"",RIGHT($N1768,6)="tarief",F1768="Vergoeding"),SUM(O1768)*FLOOR(SUM(Q1768),0.0001),AND(O1768&lt;&gt;"",F1768&lt;&gt;"",RIGHT($N1768,6)="tarief"),SUM(O1768)*FLOOR(SUM(Q1768),0.01),S1768&gt;0,IF(F1768&lt;&gt;"",FLOOR(SUM(S1768),0.01),"")),""),""),"")</f>
        <v/>
      </c>
      <c r="X1768" s="314" t="str" cm="1">
        <f t="array" aca="1" ref="X1768" ca="1">IFERROR(IF(AE1768&lt;&gt;"ja",_xlfn.IFNA(_xlfn.IFS(AND(P1768&lt;&gt;"",R1768&lt;&gt;"",RIGHT($N1768,6)="tarief",F1768="Vergoeding"),SUM(P1768)*FLOOR(SUM(R1768),0.0001),AND(P1768&lt;&gt;"",R1768&lt;&gt;"",RIGHT($N1768,6)="tarief"),P1768*FLOOR(R1768,0.01),T1768&gt;0,FLOOR(SUM(T1768),0.01)),""),""),"")</f>
        <v/>
      </c>
      <c r="Y1768" s="314" t="str">
        <f t="shared" ca="1" si="110"/>
        <v/>
      </c>
      <c r="Z1768" s="314" t="str" cm="1">
        <f t="array" aca="1" ref="Z1768" ca="1">IFERROR(_xlfn.IFS(OR(F1768="",LEFT(Methode_Keuze,4)="Geen",Methode_Keuze=""),"",AND(W1768&lt;&gt;"",F1768&lt;&gt;"Arbeidskosten"),W1768*VLOOKUP(F1768,Tb_ProjectKosten[],MATCH(Tb_ProjectKosten[[#Headers],[Forfait_Percentage]],Tb_ProjectKosten[#Headers],0),0),AND(F1768="Arbeidskosten",G1768&lt;&gt;""),IFERROR(W1768*VLOOKUP(G1768,Tb_KostenTypen[],3,0)*VLOOKUP(F1768,Tb_ProjectKosten[],MATCH(Tb_ProjectKosten[[#Headers],[Forfait_Percentage]],Tb_ProjectKosten[#Headers],0),0),""),W1768 &lt;=0,0),"")</f>
        <v/>
      </c>
      <c r="AA1768" s="314" t="str" cm="1">
        <f t="array" aca="1" ref="AA1768" ca="1">IFERROR(_xlfn.IFS(OR(F1768="",LEFT(Methode_Keuze,4)="Geen",Methode_Keuze=""),"",AND(X1768&lt;&gt;"",F1768&lt;&gt;"Arbeidskosten"),X1768*VLOOKUP(F1768,Tb_ProjectKosten[],MATCH(Tb_ProjectKosten[[#Headers],[Forfait_Percentage]],Tb_ProjectKosten[#Headers],0),0),AND(F1768="Arbeidskosten",G1768&lt;&gt;""),IFERROR(X1768*VLOOKUP(G1768,Tb_KostenTypen[],3,0)*VLOOKUP(F1768,Tb_ProjectKosten[],MATCH(Tb_ProjectKosten[[#Headers],[Forfait_Percentage]],Tb_ProjectKosten[#Headers],0),0),""),X1768 &lt;=0,0),"")</f>
        <v/>
      </c>
      <c r="AB1768" s="314" t="str">
        <f t="shared" ca="1" si="111"/>
        <v/>
      </c>
      <c r="AC1768" s="322"/>
      <c r="AD1768" s="315"/>
      <c r="AE1768" s="32" t="str" cm="1">
        <f t="array" ref="AE1768">IFERROR(IF(INDEX(SubsidieTabel!$AD$1:$AG$12,MATCH($F1768,SubsidieTabel!$AD$1:$AD$12,0),IFERROR(MATCH(Methode_Keuze,SubsidieTabel!$AD$1:$AG$1,0),2))&lt;&gt;1=TRUE,"ja",""),"")</f>
        <v/>
      </c>
    </row>
    <row r="1769" spans="1:31" x14ac:dyDescent="0.25">
      <c r="A1769" s="316"/>
      <c r="B1769" s="317" t="str">
        <f>IF(A1769&lt;&gt;"",_xlfn.MAXIFS($B$1:B1768,$A$1:A1768,A1769)+1,"")</f>
        <v/>
      </c>
      <c r="C1769" s="296"/>
      <c r="D1769" s="296"/>
      <c r="E1769" s="296"/>
      <c r="F1769" s="296"/>
      <c r="G1769" s="326"/>
      <c r="H1769" s="324"/>
      <c r="I1769" s="325"/>
      <c r="J1769" s="325"/>
      <c r="K1769" s="318"/>
      <c r="L1769" s="318"/>
      <c r="M1769" s="319" t="str">
        <f>IFERROR(VLOOKUP(H1769,Lijsten!$H$1:$I$100,2,0),"")</f>
        <v/>
      </c>
      <c r="N1769" s="319" t="str">
        <f ca="1">IFERROR(IF(VLOOKUP(F1769,Kostentypen!$A$3:$E$21,3,0)=0,"",IF(OR(F1769="Arbeidskosten",F1769="Vergoeding"),VLOOKUP(G1769,Tb_KostenTypen[],2,0),VLOOKUP(F1769,Kostentypen!$A$3:$E$20,3,0))),"")</f>
        <v/>
      </c>
      <c r="O1769" s="320" t="str" cm="1">
        <f t="array" ref="O1769">_xlfn.IFNA(IF(INDEX(Tb_KostenOptiesDB[],MATCH($F1769,Tb_KostenOptiesDB[KostenOptie],0),IFERROR(MATCH(Methode_Keuze,Tb_KostenOptiesDB[#Headers],0),2))=1,_xlfn.SWITCH($N1769,"Uurtarief",IF(OR(AND(RIGHT($F1769,3)="IKS",VLOOKUP($M1769,DB_Loonkosten,2,0)="Ja"),AND(RIGHT($F1769,3)&lt;&gt;"IKS",VLOOKUP($M1769,DB_Loonkosten,2,0)="Nee")),IFERROR(VLOOKUP($M1769,DB_Loonkosten,24,0),""),0),"Vast tarief",IF(LEFT(F1769,8)="Bijdrage",VLOOKUP($F1769,Tb_KostenTypen[],MATCH(Lijsten!$P$1,Tb_KostenTypen[#Headers],0),0),VLOOKUP($G1769,Lijsten!L:P,MATCH(Lijsten!$P$1,Kop_Tarief_Vast,0),0))),""),"")</f>
        <v/>
      </c>
      <c r="P1769" s="320" t="str" cm="1">
        <f t="array" ref="P1769">_xlfn.IFNA(IF(INDEX(Tb_KostenOptiesDB[],MATCH($F1769,Tb_KostenOptiesDB[KostenOptie],0),IFERROR(MATCH(Methode_Keuze,Tb_KostenOptiesDB[#Headers],0),2))=1,_xlfn.SWITCH($N1769,"Uurtarief",IF(OR(AND(RIGHT($F1769,3)="IKS",VLOOKUP($M1769,DB_Loonkosten,2,0)="Ja"),AND(RIGHT($F1769,3)&lt;&gt;"IKS",VLOOKUP($M1769,DB_Loonkosten,2,0)="Nee")),IFERROR(VLOOKUP($M1769,DB_Loonkosten,25,0),""),0),"Vast tarief",IF(LEFT(F1769,8)="Bijdrage",VLOOKUP($F1769,Tb_KostenTypen[],MATCH(Lijsten!$P$1,Tb_KostenTypen[#Headers],0),0),VLOOKUP($G1769,Lijsten!L:P,MATCH(Lijsten!$P$1,Kop_Tarief_Vast,0),0))),""),"")</f>
        <v/>
      </c>
      <c r="Q1769" s="359"/>
      <c r="R1769" s="359"/>
      <c r="S1769" s="321"/>
      <c r="T1769" s="321"/>
      <c r="U1769" s="373" t="str">
        <f t="shared" si="108"/>
        <v/>
      </c>
      <c r="V1769" s="314" t="str">
        <f t="shared" si="109"/>
        <v/>
      </c>
      <c r="W1769" s="314" t="str" cm="1">
        <f t="array" aca="1" ref="W1769" ca="1">IFERROR(IF(AE1769&lt;&gt;"ja",_xlfn.IFNA(_xlfn.IFS(AND(O1769&lt;&gt;"",F1769&lt;&gt;"",RIGHT($N1769,6)="tarief",F1769="Vergoeding"),SUM(O1769)*FLOOR(SUM(Q1769),0.0001),AND(O1769&lt;&gt;"",F1769&lt;&gt;"",RIGHT($N1769,6)="tarief"),SUM(O1769)*FLOOR(SUM(Q1769),0.01),S1769&gt;0,IF(F1769&lt;&gt;"",FLOOR(SUM(S1769),0.01),"")),""),""),"")</f>
        <v/>
      </c>
      <c r="X1769" s="314" t="str" cm="1">
        <f t="array" aca="1" ref="X1769" ca="1">IFERROR(IF(AE1769&lt;&gt;"ja",_xlfn.IFNA(_xlfn.IFS(AND(P1769&lt;&gt;"",R1769&lt;&gt;"",RIGHT($N1769,6)="tarief",F1769="Vergoeding"),SUM(P1769)*FLOOR(SUM(R1769),0.0001),AND(P1769&lt;&gt;"",R1769&lt;&gt;"",RIGHT($N1769,6)="tarief"),P1769*FLOOR(R1769,0.01),T1769&gt;0,FLOOR(SUM(T1769),0.01)),""),""),"")</f>
        <v/>
      </c>
      <c r="Y1769" s="314" t="str">
        <f t="shared" ca="1" si="110"/>
        <v/>
      </c>
      <c r="Z1769" s="314" t="str" cm="1">
        <f t="array" aca="1" ref="Z1769" ca="1">IFERROR(_xlfn.IFS(OR(F1769="",LEFT(Methode_Keuze,4)="Geen",Methode_Keuze=""),"",AND(W1769&lt;&gt;"",F1769&lt;&gt;"Arbeidskosten"),W1769*VLOOKUP(F1769,Tb_ProjectKosten[],MATCH(Tb_ProjectKosten[[#Headers],[Forfait_Percentage]],Tb_ProjectKosten[#Headers],0),0),AND(F1769="Arbeidskosten",G1769&lt;&gt;""),IFERROR(W1769*VLOOKUP(G1769,Tb_KostenTypen[],3,0)*VLOOKUP(F1769,Tb_ProjectKosten[],MATCH(Tb_ProjectKosten[[#Headers],[Forfait_Percentage]],Tb_ProjectKosten[#Headers],0),0),""),W1769 &lt;=0,0),"")</f>
        <v/>
      </c>
      <c r="AA1769" s="314" t="str" cm="1">
        <f t="array" aca="1" ref="AA1769" ca="1">IFERROR(_xlfn.IFS(OR(F1769="",LEFT(Methode_Keuze,4)="Geen",Methode_Keuze=""),"",AND(X1769&lt;&gt;"",F1769&lt;&gt;"Arbeidskosten"),X1769*VLOOKUP(F1769,Tb_ProjectKosten[],MATCH(Tb_ProjectKosten[[#Headers],[Forfait_Percentage]],Tb_ProjectKosten[#Headers],0),0),AND(F1769="Arbeidskosten",G1769&lt;&gt;""),IFERROR(X1769*VLOOKUP(G1769,Tb_KostenTypen[],3,0)*VLOOKUP(F1769,Tb_ProjectKosten[],MATCH(Tb_ProjectKosten[[#Headers],[Forfait_Percentage]],Tb_ProjectKosten[#Headers],0),0),""),X1769 &lt;=0,0),"")</f>
        <v/>
      </c>
      <c r="AB1769" s="314" t="str">
        <f t="shared" ca="1" si="111"/>
        <v/>
      </c>
      <c r="AC1769" s="322"/>
      <c r="AD1769" s="315"/>
      <c r="AE1769" s="32" t="str" cm="1">
        <f t="array" ref="AE1769">IFERROR(IF(INDEX(SubsidieTabel!$AD$1:$AG$12,MATCH($F1769,SubsidieTabel!$AD$1:$AD$12,0),IFERROR(MATCH(Methode_Keuze,SubsidieTabel!$AD$1:$AG$1,0),2))&lt;&gt;1=TRUE,"ja",""),"")</f>
        <v/>
      </c>
    </row>
    <row r="1770" spans="1:31" x14ac:dyDescent="0.25">
      <c r="A1770" s="316"/>
      <c r="B1770" s="317" t="str">
        <f>IF(A1770&lt;&gt;"",_xlfn.MAXIFS($B$1:B1769,$A$1:A1769,A1770)+1,"")</f>
        <v/>
      </c>
      <c r="C1770" s="296"/>
      <c r="D1770" s="296"/>
      <c r="E1770" s="296"/>
      <c r="F1770" s="296"/>
      <c r="G1770" s="326"/>
      <c r="H1770" s="324"/>
      <c r="I1770" s="325"/>
      <c r="J1770" s="325"/>
      <c r="K1770" s="318"/>
      <c r="L1770" s="318"/>
      <c r="M1770" s="319" t="str">
        <f>IFERROR(VLOOKUP(H1770,Lijsten!$H$1:$I$100,2,0),"")</f>
        <v/>
      </c>
      <c r="N1770" s="319" t="str">
        <f ca="1">IFERROR(IF(VLOOKUP(F1770,Kostentypen!$A$3:$E$21,3,0)=0,"",IF(OR(F1770="Arbeidskosten",F1770="Vergoeding"),VLOOKUP(G1770,Tb_KostenTypen[],2,0),VLOOKUP(F1770,Kostentypen!$A$3:$E$20,3,0))),"")</f>
        <v/>
      </c>
      <c r="O1770" s="320" t="str" cm="1">
        <f t="array" ref="O1770">_xlfn.IFNA(IF(INDEX(Tb_KostenOptiesDB[],MATCH($F1770,Tb_KostenOptiesDB[KostenOptie],0),IFERROR(MATCH(Methode_Keuze,Tb_KostenOptiesDB[#Headers],0),2))=1,_xlfn.SWITCH($N1770,"Uurtarief",IF(OR(AND(RIGHT($F1770,3)="IKS",VLOOKUP($M1770,DB_Loonkosten,2,0)="Ja"),AND(RIGHT($F1770,3)&lt;&gt;"IKS",VLOOKUP($M1770,DB_Loonkosten,2,0)="Nee")),IFERROR(VLOOKUP($M1770,DB_Loonkosten,24,0),""),0),"Vast tarief",IF(LEFT(F1770,8)="Bijdrage",VLOOKUP($F1770,Tb_KostenTypen[],MATCH(Lijsten!$P$1,Tb_KostenTypen[#Headers],0),0),VLOOKUP($G1770,Lijsten!L:P,MATCH(Lijsten!$P$1,Kop_Tarief_Vast,0),0))),""),"")</f>
        <v/>
      </c>
      <c r="P1770" s="320" t="str" cm="1">
        <f t="array" ref="P1770">_xlfn.IFNA(IF(INDEX(Tb_KostenOptiesDB[],MATCH($F1770,Tb_KostenOptiesDB[KostenOptie],0),IFERROR(MATCH(Methode_Keuze,Tb_KostenOptiesDB[#Headers],0),2))=1,_xlfn.SWITCH($N1770,"Uurtarief",IF(OR(AND(RIGHT($F1770,3)="IKS",VLOOKUP($M1770,DB_Loonkosten,2,0)="Ja"),AND(RIGHT($F1770,3)&lt;&gt;"IKS",VLOOKUP($M1770,DB_Loonkosten,2,0)="Nee")),IFERROR(VLOOKUP($M1770,DB_Loonkosten,25,0),""),0),"Vast tarief",IF(LEFT(F1770,8)="Bijdrage",VLOOKUP($F1770,Tb_KostenTypen[],MATCH(Lijsten!$P$1,Tb_KostenTypen[#Headers],0),0),VLOOKUP($G1770,Lijsten!L:P,MATCH(Lijsten!$P$1,Kop_Tarief_Vast,0),0))),""),"")</f>
        <v/>
      </c>
      <c r="Q1770" s="359"/>
      <c r="R1770" s="359"/>
      <c r="S1770" s="321"/>
      <c r="T1770" s="321"/>
      <c r="U1770" s="373" t="str">
        <f t="shared" si="108"/>
        <v/>
      </c>
      <c r="V1770" s="314" t="str">
        <f t="shared" si="109"/>
        <v/>
      </c>
      <c r="W1770" s="314" t="str" cm="1">
        <f t="array" aca="1" ref="W1770" ca="1">IFERROR(IF(AE1770&lt;&gt;"ja",_xlfn.IFNA(_xlfn.IFS(AND(O1770&lt;&gt;"",F1770&lt;&gt;"",RIGHT($N1770,6)="tarief",F1770="Vergoeding"),SUM(O1770)*FLOOR(SUM(Q1770),0.0001),AND(O1770&lt;&gt;"",F1770&lt;&gt;"",RIGHT($N1770,6)="tarief"),SUM(O1770)*FLOOR(SUM(Q1770),0.01),S1770&gt;0,IF(F1770&lt;&gt;"",FLOOR(SUM(S1770),0.01),"")),""),""),"")</f>
        <v/>
      </c>
      <c r="X1770" s="314" t="str" cm="1">
        <f t="array" aca="1" ref="X1770" ca="1">IFERROR(IF(AE1770&lt;&gt;"ja",_xlfn.IFNA(_xlfn.IFS(AND(P1770&lt;&gt;"",R1770&lt;&gt;"",RIGHT($N1770,6)="tarief",F1770="Vergoeding"),SUM(P1770)*FLOOR(SUM(R1770),0.0001),AND(P1770&lt;&gt;"",R1770&lt;&gt;"",RIGHT($N1770,6)="tarief"),P1770*FLOOR(R1770,0.01),T1770&gt;0,FLOOR(SUM(T1770),0.01)),""),""),"")</f>
        <v/>
      </c>
      <c r="Y1770" s="314" t="str">
        <f t="shared" ca="1" si="110"/>
        <v/>
      </c>
      <c r="Z1770" s="314" t="str" cm="1">
        <f t="array" aca="1" ref="Z1770" ca="1">IFERROR(_xlfn.IFS(OR(F1770="",LEFT(Methode_Keuze,4)="Geen",Methode_Keuze=""),"",AND(W1770&lt;&gt;"",F1770&lt;&gt;"Arbeidskosten"),W1770*VLOOKUP(F1770,Tb_ProjectKosten[],MATCH(Tb_ProjectKosten[[#Headers],[Forfait_Percentage]],Tb_ProjectKosten[#Headers],0),0),AND(F1770="Arbeidskosten",G1770&lt;&gt;""),IFERROR(W1770*VLOOKUP(G1770,Tb_KostenTypen[],3,0)*VLOOKUP(F1770,Tb_ProjectKosten[],MATCH(Tb_ProjectKosten[[#Headers],[Forfait_Percentage]],Tb_ProjectKosten[#Headers],0),0),""),W1770 &lt;=0,0),"")</f>
        <v/>
      </c>
      <c r="AA1770" s="314" t="str" cm="1">
        <f t="array" aca="1" ref="AA1770" ca="1">IFERROR(_xlfn.IFS(OR(F1770="",LEFT(Methode_Keuze,4)="Geen",Methode_Keuze=""),"",AND(X1770&lt;&gt;"",F1770&lt;&gt;"Arbeidskosten"),X1770*VLOOKUP(F1770,Tb_ProjectKosten[],MATCH(Tb_ProjectKosten[[#Headers],[Forfait_Percentage]],Tb_ProjectKosten[#Headers],0),0),AND(F1770="Arbeidskosten",G1770&lt;&gt;""),IFERROR(X1770*VLOOKUP(G1770,Tb_KostenTypen[],3,0)*VLOOKUP(F1770,Tb_ProjectKosten[],MATCH(Tb_ProjectKosten[[#Headers],[Forfait_Percentage]],Tb_ProjectKosten[#Headers],0),0),""),X1770 &lt;=0,0),"")</f>
        <v/>
      </c>
      <c r="AB1770" s="314" t="str">
        <f t="shared" ca="1" si="111"/>
        <v/>
      </c>
      <c r="AC1770" s="322"/>
      <c r="AD1770" s="315"/>
      <c r="AE1770" s="32" t="str" cm="1">
        <f t="array" ref="AE1770">IFERROR(IF(INDEX(SubsidieTabel!$AD$1:$AG$12,MATCH($F1770,SubsidieTabel!$AD$1:$AD$12,0),IFERROR(MATCH(Methode_Keuze,SubsidieTabel!$AD$1:$AG$1,0),2))&lt;&gt;1=TRUE,"ja",""),"")</f>
        <v/>
      </c>
    </row>
    <row r="1771" spans="1:31" x14ac:dyDescent="0.25">
      <c r="A1771" s="316"/>
      <c r="B1771" s="317" t="str">
        <f>IF(A1771&lt;&gt;"",_xlfn.MAXIFS($B$1:B1770,$A$1:A1770,A1771)+1,"")</f>
        <v/>
      </c>
      <c r="C1771" s="296"/>
      <c r="D1771" s="296"/>
      <c r="E1771" s="296"/>
      <c r="F1771" s="296"/>
      <c r="G1771" s="326"/>
      <c r="H1771" s="324"/>
      <c r="I1771" s="325"/>
      <c r="J1771" s="325"/>
      <c r="K1771" s="318"/>
      <c r="L1771" s="318"/>
      <c r="M1771" s="319" t="str">
        <f>IFERROR(VLOOKUP(H1771,Lijsten!$H$1:$I$100,2,0),"")</f>
        <v/>
      </c>
      <c r="N1771" s="319" t="str">
        <f ca="1">IFERROR(IF(VLOOKUP(F1771,Kostentypen!$A$3:$E$21,3,0)=0,"",IF(OR(F1771="Arbeidskosten",F1771="Vergoeding"),VLOOKUP(G1771,Tb_KostenTypen[],2,0),VLOOKUP(F1771,Kostentypen!$A$3:$E$20,3,0))),"")</f>
        <v/>
      </c>
      <c r="O1771" s="320" t="str" cm="1">
        <f t="array" ref="O1771">_xlfn.IFNA(IF(INDEX(Tb_KostenOptiesDB[],MATCH($F1771,Tb_KostenOptiesDB[KostenOptie],0),IFERROR(MATCH(Methode_Keuze,Tb_KostenOptiesDB[#Headers],0),2))=1,_xlfn.SWITCH($N1771,"Uurtarief",IF(OR(AND(RIGHT($F1771,3)="IKS",VLOOKUP($M1771,DB_Loonkosten,2,0)="Ja"),AND(RIGHT($F1771,3)&lt;&gt;"IKS",VLOOKUP($M1771,DB_Loonkosten,2,0)="Nee")),IFERROR(VLOOKUP($M1771,DB_Loonkosten,24,0),""),0),"Vast tarief",IF(LEFT(F1771,8)="Bijdrage",VLOOKUP($F1771,Tb_KostenTypen[],MATCH(Lijsten!$P$1,Tb_KostenTypen[#Headers],0),0),VLOOKUP($G1771,Lijsten!L:P,MATCH(Lijsten!$P$1,Kop_Tarief_Vast,0),0))),""),"")</f>
        <v/>
      </c>
      <c r="P1771" s="320" t="str" cm="1">
        <f t="array" ref="P1771">_xlfn.IFNA(IF(INDEX(Tb_KostenOptiesDB[],MATCH($F1771,Tb_KostenOptiesDB[KostenOptie],0),IFERROR(MATCH(Methode_Keuze,Tb_KostenOptiesDB[#Headers],0),2))=1,_xlfn.SWITCH($N1771,"Uurtarief",IF(OR(AND(RIGHT($F1771,3)="IKS",VLOOKUP($M1771,DB_Loonkosten,2,0)="Ja"),AND(RIGHT($F1771,3)&lt;&gt;"IKS",VLOOKUP($M1771,DB_Loonkosten,2,0)="Nee")),IFERROR(VLOOKUP($M1771,DB_Loonkosten,25,0),""),0),"Vast tarief",IF(LEFT(F1771,8)="Bijdrage",VLOOKUP($F1771,Tb_KostenTypen[],MATCH(Lijsten!$P$1,Tb_KostenTypen[#Headers],0),0),VLOOKUP($G1771,Lijsten!L:P,MATCH(Lijsten!$P$1,Kop_Tarief_Vast,0),0))),""),"")</f>
        <v/>
      </c>
      <c r="Q1771" s="359"/>
      <c r="R1771" s="359"/>
      <c r="S1771" s="321"/>
      <c r="T1771" s="321"/>
      <c r="U1771" s="373" t="str">
        <f t="shared" si="108"/>
        <v/>
      </c>
      <c r="V1771" s="314" t="str">
        <f t="shared" si="109"/>
        <v/>
      </c>
      <c r="W1771" s="314" t="str" cm="1">
        <f t="array" aca="1" ref="W1771" ca="1">IFERROR(IF(AE1771&lt;&gt;"ja",_xlfn.IFNA(_xlfn.IFS(AND(O1771&lt;&gt;"",F1771&lt;&gt;"",RIGHT($N1771,6)="tarief",F1771="Vergoeding"),SUM(O1771)*FLOOR(SUM(Q1771),0.0001),AND(O1771&lt;&gt;"",F1771&lt;&gt;"",RIGHT($N1771,6)="tarief"),SUM(O1771)*FLOOR(SUM(Q1771),0.01),S1771&gt;0,IF(F1771&lt;&gt;"",FLOOR(SUM(S1771),0.01),"")),""),""),"")</f>
        <v/>
      </c>
      <c r="X1771" s="314" t="str" cm="1">
        <f t="array" aca="1" ref="X1771" ca="1">IFERROR(IF(AE1771&lt;&gt;"ja",_xlfn.IFNA(_xlfn.IFS(AND(P1771&lt;&gt;"",R1771&lt;&gt;"",RIGHT($N1771,6)="tarief",F1771="Vergoeding"),SUM(P1771)*FLOOR(SUM(R1771),0.0001),AND(P1771&lt;&gt;"",R1771&lt;&gt;"",RIGHT($N1771,6)="tarief"),P1771*FLOOR(R1771,0.01),T1771&gt;0,FLOOR(SUM(T1771),0.01)),""),""),"")</f>
        <v/>
      </c>
      <c r="Y1771" s="314" t="str">
        <f t="shared" ca="1" si="110"/>
        <v/>
      </c>
      <c r="Z1771" s="314" t="str" cm="1">
        <f t="array" aca="1" ref="Z1771" ca="1">IFERROR(_xlfn.IFS(OR(F1771="",LEFT(Methode_Keuze,4)="Geen",Methode_Keuze=""),"",AND(W1771&lt;&gt;"",F1771&lt;&gt;"Arbeidskosten"),W1771*VLOOKUP(F1771,Tb_ProjectKosten[],MATCH(Tb_ProjectKosten[[#Headers],[Forfait_Percentage]],Tb_ProjectKosten[#Headers],0),0),AND(F1771="Arbeidskosten",G1771&lt;&gt;""),IFERROR(W1771*VLOOKUP(G1771,Tb_KostenTypen[],3,0)*VLOOKUP(F1771,Tb_ProjectKosten[],MATCH(Tb_ProjectKosten[[#Headers],[Forfait_Percentage]],Tb_ProjectKosten[#Headers],0),0),""),W1771 &lt;=0,0),"")</f>
        <v/>
      </c>
      <c r="AA1771" s="314" t="str" cm="1">
        <f t="array" aca="1" ref="AA1771" ca="1">IFERROR(_xlfn.IFS(OR(F1771="",LEFT(Methode_Keuze,4)="Geen",Methode_Keuze=""),"",AND(X1771&lt;&gt;"",F1771&lt;&gt;"Arbeidskosten"),X1771*VLOOKUP(F1771,Tb_ProjectKosten[],MATCH(Tb_ProjectKosten[[#Headers],[Forfait_Percentage]],Tb_ProjectKosten[#Headers],0),0),AND(F1771="Arbeidskosten",G1771&lt;&gt;""),IFERROR(X1771*VLOOKUP(G1771,Tb_KostenTypen[],3,0)*VLOOKUP(F1771,Tb_ProjectKosten[],MATCH(Tb_ProjectKosten[[#Headers],[Forfait_Percentage]],Tb_ProjectKosten[#Headers],0),0),""),X1771 &lt;=0,0),"")</f>
        <v/>
      </c>
      <c r="AB1771" s="314" t="str">
        <f t="shared" ca="1" si="111"/>
        <v/>
      </c>
      <c r="AC1771" s="322"/>
      <c r="AD1771" s="315"/>
      <c r="AE1771" s="32" t="str" cm="1">
        <f t="array" ref="AE1771">IFERROR(IF(INDEX(SubsidieTabel!$AD$1:$AG$12,MATCH($F1771,SubsidieTabel!$AD$1:$AD$12,0),IFERROR(MATCH(Methode_Keuze,SubsidieTabel!$AD$1:$AG$1,0),2))&lt;&gt;1=TRUE,"ja",""),"")</f>
        <v/>
      </c>
    </row>
    <row r="1772" spans="1:31" x14ac:dyDescent="0.25">
      <c r="A1772" s="316"/>
      <c r="B1772" s="317" t="str">
        <f>IF(A1772&lt;&gt;"",_xlfn.MAXIFS($B$1:B1771,$A$1:A1771,A1772)+1,"")</f>
        <v/>
      </c>
      <c r="C1772" s="296"/>
      <c r="D1772" s="296"/>
      <c r="E1772" s="296"/>
      <c r="F1772" s="296"/>
      <c r="G1772" s="326"/>
      <c r="H1772" s="324"/>
      <c r="I1772" s="325"/>
      <c r="J1772" s="325"/>
      <c r="K1772" s="318"/>
      <c r="L1772" s="318"/>
      <c r="M1772" s="319" t="str">
        <f>IFERROR(VLOOKUP(H1772,Lijsten!$H$1:$I$100,2,0),"")</f>
        <v/>
      </c>
      <c r="N1772" s="319" t="str">
        <f ca="1">IFERROR(IF(VLOOKUP(F1772,Kostentypen!$A$3:$E$21,3,0)=0,"",IF(OR(F1772="Arbeidskosten",F1772="Vergoeding"),VLOOKUP(G1772,Tb_KostenTypen[],2,0),VLOOKUP(F1772,Kostentypen!$A$3:$E$20,3,0))),"")</f>
        <v/>
      </c>
      <c r="O1772" s="320" t="str" cm="1">
        <f t="array" ref="O1772">_xlfn.IFNA(IF(INDEX(Tb_KostenOptiesDB[],MATCH($F1772,Tb_KostenOptiesDB[KostenOptie],0),IFERROR(MATCH(Methode_Keuze,Tb_KostenOptiesDB[#Headers],0),2))=1,_xlfn.SWITCH($N1772,"Uurtarief",IF(OR(AND(RIGHT($F1772,3)="IKS",VLOOKUP($M1772,DB_Loonkosten,2,0)="Ja"),AND(RIGHT($F1772,3)&lt;&gt;"IKS",VLOOKUP($M1772,DB_Loonkosten,2,0)="Nee")),IFERROR(VLOOKUP($M1772,DB_Loonkosten,24,0),""),0),"Vast tarief",IF(LEFT(F1772,8)="Bijdrage",VLOOKUP($F1772,Tb_KostenTypen[],MATCH(Lijsten!$P$1,Tb_KostenTypen[#Headers],0),0),VLOOKUP($G1772,Lijsten!L:P,MATCH(Lijsten!$P$1,Kop_Tarief_Vast,0),0))),""),"")</f>
        <v/>
      </c>
      <c r="P1772" s="320" t="str" cm="1">
        <f t="array" ref="P1772">_xlfn.IFNA(IF(INDEX(Tb_KostenOptiesDB[],MATCH($F1772,Tb_KostenOptiesDB[KostenOptie],0),IFERROR(MATCH(Methode_Keuze,Tb_KostenOptiesDB[#Headers],0),2))=1,_xlfn.SWITCH($N1772,"Uurtarief",IF(OR(AND(RIGHT($F1772,3)="IKS",VLOOKUP($M1772,DB_Loonkosten,2,0)="Ja"),AND(RIGHT($F1772,3)&lt;&gt;"IKS",VLOOKUP($M1772,DB_Loonkosten,2,0)="Nee")),IFERROR(VLOOKUP($M1772,DB_Loonkosten,25,0),""),0),"Vast tarief",IF(LEFT(F1772,8)="Bijdrage",VLOOKUP($F1772,Tb_KostenTypen[],MATCH(Lijsten!$P$1,Tb_KostenTypen[#Headers],0),0),VLOOKUP($G1772,Lijsten!L:P,MATCH(Lijsten!$P$1,Kop_Tarief_Vast,0),0))),""),"")</f>
        <v/>
      </c>
      <c r="Q1772" s="359"/>
      <c r="R1772" s="359"/>
      <c r="S1772" s="321"/>
      <c r="T1772" s="321"/>
      <c r="U1772" s="373" t="str">
        <f t="shared" si="108"/>
        <v/>
      </c>
      <c r="V1772" s="314" t="str">
        <f t="shared" si="109"/>
        <v/>
      </c>
      <c r="W1772" s="314" t="str" cm="1">
        <f t="array" aca="1" ref="W1772" ca="1">IFERROR(IF(AE1772&lt;&gt;"ja",_xlfn.IFNA(_xlfn.IFS(AND(O1772&lt;&gt;"",F1772&lt;&gt;"",RIGHT($N1772,6)="tarief",F1772="Vergoeding"),SUM(O1772)*FLOOR(SUM(Q1772),0.0001),AND(O1772&lt;&gt;"",F1772&lt;&gt;"",RIGHT($N1772,6)="tarief"),SUM(O1772)*FLOOR(SUM(Q1772),0.01),S1772&gt;0,IF(F1772&lt;&gt;"",FLOOR(SUM(S1772),0.01),"")),""),""),"")</f>
        <v/>
      </c>
      <c r="X1772" s="314" t="str" cm="1">
        <f t="array" aca="1" ref="X1772" ca="1">IFERROR(IF(AE1772&lt;&gt;"ja",_xlfn.IFNA(_xlfn.IFS(AND(P1772&lt;&gt;"",R1772&lt;&gt;"",RIGHT($N1772,6)="tarief",F1772="Vergoeding"),SUM(P1772)*FLOOR(SUM(R1772),0.0001),AND(P1772&lt;&gt;"",R1772&lt;&gt;"",RIGHT($N1772,6)="tarief"),P1772*FLOOR(R1772,0.01),T1772&gt;0,FLOOR(SUM(T1772),0.01)),""),""),"")</f>
        <v/>
      </c>
      <c r="Y1772" s="314" t="str">
        <f t="shared" ca="1" si="110"/>
        <v/>
      </c>
      <c r="Z1772" s="314" t="str" cm="1">
        <f t="array" aca="1" ref="Z1772" ca="1">IFERROR(_xlfn.IFS(OR(F1772="",LEFT(Methode_Keuze,4)="Geen",Methode_Keuze=""),"",AND(W1772&lt;&gt;"",F1772&lt;&gt;"Arbeidskosten"),W1772*VLOOKUP(F1772,Tb_ProjectKosten[],MATCH(Tb_ProjectKosten[[#Headers],[Forfait_Percentage]],Tb_ProjectKosten[#Headers],0),0),AND(F1772="Arbeidskosten",G1772&lt;&gt;""),IFERROR(W1772*VLOOKUP(G1772,Tb_KostenTypen[],3,0)*VLOOKUP(F1772,Tb_ProjectKosten[],MATCH(Tb_ProjectKosten[[#Headers],[Forfait_Percentage]],Tb_ProjectKosten[#Headers],0),0),""),W1772 &lt;=0,0),"")</f>
        <v/>
      </c>
      <c r="AA1772" s="314" t="str" cm="1">
        <f t="array" aca="1" ref="AA1772" ca="1">IFERROR(_xlfn.IFS(OR(F1772="",LEFT(Methode_Keuze,4)="Geen",Methode_Keuze=""),"",AND(X1772&lt;&gt;"",F1772&lt;&gt;"Arbeidskosten"),X1772*VLOOKUP(F1772,Tb_ProjectKosten[],MATCH(Tb_ProjectKosten[[#Headers],[Forfait_Percentage]],Tb_ProjectKosten[#Headers],0),0),AND(F1772="Arbeidskosten",G1772&lt;&gt;""),IFERROR(X1772*VLOOKUP(G1772,Tb_KostenTypen[],3,0)*VLOOKUP(F1772,Tb_ProjectKosten[],MATCH(Tb_ProjectKosten[[#Headers],[Forfait_Percentage]],Tb_ProjectKosten[#Headers],0),0),""),X1772 &lt;=0,0),"")</f>
        <v/>
      </c>
      <c r="AB1772" s="314" t="str">
        <f t="shared" ca="1" si="111"/>
        <v/>
      </c>
      <c r="AC1772" s="322"/>
      <c r="AD1772" s="315"/>
      <c r="AE1772" s="32" t="str" cm="1">
        <f t="array" ref="AE1772">IFERROR(IF(INDEX(SubsidieTabel!$AD$1:$AG$12,MATCH($F1772,SubsidieTabel!$AD$1:$AD$12,0),IFERROR(MATCH(Methode_Keuze,SubsidieTabel!$AD$1:$AG$1,0),2))&lt;&gt;1=TRUE,"ja",""),"")</f>
        <v/>
      </c>
    </row>
    <row r="1773" spans="1:31" x14ac:dyDescent="0.25">
      <c r="A1773" s="316"/>
      <c r="B1773" s="317" t="str">
        <f>IF(A1773&lt;&gt;"",_xlfn.MAXIFS($B$1:B1772,$A$1:A1772,A1773)+1,"")</f>
        <v/>
      </c>
      <c r="C1773" s="296"/>
      <c r="D1773" s="296"/>
      <c r="E1773" s="296"/>
      <c r="F1773" s="296"/>
      <c r="G1773" s="326"/>
      <c r="H1773" s="324"/>
      <c r="I1773" s="325"/>
      <c r="J1773" s="325"/>
      <c r="K1773" s="318"/>
      <c r="L1773" s="318"/>
      <c r="M1773" s="319" t="str">
        <f>IFERROR(VLOOKUP(H1773,Lijsten!$H$1:$I$100,2,0),"")</f>
        <v/>
      </c>
      <c r="N1773" s="319" t="str">
        <f ca="1">IFERROR(IF(VLOOKUP(F1773,Kostentypen!$A$3:$E$21,3,0)=0,"",IF(OR(F1773="Arbeidskosten",F1773="Vergoeding"),VLOOKUP(G1773,Tb_KostenTypen[],2,0),VLOOKUP(F1773,Kostentypen!$A$3:$E$20,3,0))),"")</f>
        <v/>
      </c>
      <c r="O1773" s="320" t="str" cm="1">
        <f t="array" ref="O1773">_xlfn.IFNA(IF(INDEX(Tb_KostenOptiesDB[],MATCH($F1773,Tb_KostenOptiesDB[KostenOptie],0),IFERROR(MATCH(Methode_Keuze,Tb_KostenOptiesDB[#Headers],0),2))=1,_xlfn.SWITCH($N1773,"Uurtarief",IF(OR(AND(RIGHT($F1773,3)="IKS",VLOOKUP($M1773,DB_Loonkosten,2,0)="Ja"),AND(RIGHT($F1773,3)&lt;&gt;"IKS",VLOOKUP($M1773,DB_Loonkosten,2,0)="Nee")),IFERROR(VLOOKUP($M1773,DB_Loonkosten,24,0),""),0),"Vast tarief",IF(LEFT(F1773,8)="Bijdrage",VLOOKUP($F1773,Tb_KostenTypen[],MATCH(Lijsten!$P$1,Tb_KostenTypen[#Headers],0),0),VLOOKUP($G1773,Lijsten!L:P,MATCH(Lijsten!$P$1,Kop_Tarief_Vast,0),0))),""),"")</f>
        <v/>
      </c>
      <c r="P1773" s="320" t="str" cm="1">
        <f t="array" ref="P1773">_xlfn.IFNA(IF(INDEX(Tb_KostenOptiesDB[],MATCH($F1773,Tb_KostenOptiesDB[KostenOptie],0),IFERROR(MATCH(Methode_Keuze,Tb_KostenOptiesDB[#Headers],0),2))=1,_xlfn.SWITCH($N1773,"Uurtarief",IF(OR(AND(RIGHT($F1773,3)="IKS",VLOOKUP($M1773,DB_Loonkosten,2,0)="Ja"),AND(RIGHT($F1773,3)&lt;&gt;"IKS",VLOOKUP($M1773,DB_Loonkosten,2,0)="Nee")),IFERROR(VLOOKUP($M1773,DB_Loonkosten,25,0),""),0),"Vast tarief",IF(LEFT(F1773,8)="Bijdrage",VLOOKUP($F1773,Tb_KostenTypen[],MATCH(Lijsten!$P$1,Tb_KostenTypen[#Headers],0),0),VLOOKUP($G1773,Lijsten!L:P,MATCH(Lijsten!$P$1,Kop_Tarief_Vast,0),0))),""),"")</f>
        <v/>
      </c>
      <c r="Q1773" s="359"/>
      <c r="R1773" s="359"/>
      <c r="S1773" s="321"/>
      <c r="T1773" s="321"/>
      <c r="U1773" s="373" t="str">
        <f t="shared" si="108"/>
        <v/>
      </c>
      <c r="V1773" s="314" t="str">
        <f t="shared" si="109"/>
        <v/>
      </c>
      <c r="W1773" s="314" t="str" cm="1">
        <f t="array" aca="1" ref="W1773" ca="1">IFERROR(IF(AE1773&lt;&gt;"ja",_xlfn.IFNA(_xlfn.IFS(AND(O1773&lt;&gt;"",F1773&lt;&gt;"",RIGHT($N1773,6)="tarief",F1773="Vergoeding"),SUM(O1773)*FLOOR(SUM(Q1773),0.0001),AND(O1773&lt;&gt;"",F1773&lt;&gt;"",RIGHT($N1773,6)="tarief"),SUM(O1773)*FLOOR(SUM(Q1773),0.01),S1773&gt;0,IF(F1773&lt;&gt;"",FLOOR(SUM(S1773),0.01),"")),""),""),"")</f>
        <v/>
      </c>
      <c r="X1773" s="314" t="str" cm="1">
        <f t="array" aca="1" ref="X1773" ca="1">IFERROR(IF(AE1773&lt;&gt;"ja",_xlfn.IFNA(_xlfn.IFS(AND(P1773&lt;&gt;"",R1773&lt;&gt;"",RIGHT($N1773,6)="tarief",F1773="Vergoeding"),SUM(P1773)*FLOOR(SUM(R1773),0.0001),AND(P1773&lt;&gt;"",R1773&lt;&gt;"",RIGHT($N1773,6)="tarief"),P1773*FLOOR(R1773,0.01),T1773&gt;0,FLOOR(SUM(T1773),0.01)),""),""),"")</f>
        <v/>
      </c>
      <c r="Y1773" s="314" t="str">
        <f t="shared" ca="1" si="110"/>
        <v/>
      </c>
      <c r="Z1773" s="314" t="str" cm="1">
        <f t="array" aca="1" ref="Z1773" ca="1">IFERROR(_xlfn.IFS(OR(F1773="",LEFT(Methode_Keuze,4)="Geen",Methode_Keuze=""),"",AND(W1773&lt;&gt;"",F1773&lt;&gt;"Arbeidskosten"),W1773*VLOOKUP(F1773,Tb_ProjectKosten[],MATCH(Tb_ProjectKosten[[#Headers],[Forfait_Percentage]],Tb_ProjectKosten[#Headers],0),0),AND(F1773="Arbeidskosten",G1773&lt;&gt;""),IFERROR(W1773*VLOOKUP(G1773,Tb_KostenTypen[],3,0)*VLOOKUP(F1773,Tb_ProjectKosten[],MATCH(Tb_ProjectKosten[[#Headers],[Forfait_Percentage]],Tb_ProjectKosten[#Headers],0),0),""),W1773 &lt;=0,0),"")</f>
        <v/>
      </c>
      <c r="AA1773" s="314" t="str" cm="1">
        <f t="array" aca="1" ref="AA1773" ca="1">IFERROR(_xlfn.IFS(OR(F1773="",LEFT(Methode_Keuze,4)="Geen",Methode_Keuze=""),"",AND(X1773&lt;&gt;"",F1773&lt;&gt;"Arbeidskosten"),X1773*VLOOKUP(F1773,Tb_ProjectKosten[],MATCH(Tb_ProjectKosten[[#Headers],[Forfait_Percentage]],Tb_ProjectKosten[#Headers],0),0),AND(F1773="Arbeidskosten",G1773&lt;&gt;""),IFERROR(X1773*VLOOKUP(G1773,Tb_KostenTypen[],3,0)*VLOOKUP(F1773,Tb_ProjectKosten[],MATCH(Tb_ProjectKosten[[#Headers],[Forfait_Percentage]],Tb_ProjectKosten[#Headers],0),0),""),X1773 &lt;=0,0),"")</f>
        <v/>
      </c>
      <c r="AB1773" s="314" t="str">
        <f t="shared" ca="1" si="111"/>
        <v/>
      </c>
      <c r="AC1773" s="322"/>
      <c r="AD1773" s="315"/>
      <c r="AE1773" s="32" t="str" cm="1">
        <f t="array" ref="AE1773">IFERROR(IF(INDEX(SubsidieTabel!$AD$1:$AG$12,MATCH($F1773,SubsidieTabel!$AD$1:$AD$12,0),IFERROR(MATCH(Methode_Keuze,SubsidieTabel!$AD$1:$AG$1,0),2))&lt;&gt;1=TRUE,"ja",""),"")</f>
        <v/>
      </c>
    </row>
    <row r="1774" spans="1:31" x14ac:dyDescent="0.25">
      <c r="A1774" s="316"/>
      <c r="B1774" s="317" t="str">
        <f>IF(A1774&lt;&gt;"",_xlfn.MAXIFS($B$1:B1773,$A$1:A1773,A1774)+1,"")</f>
        <v/>
      </c>
      <c r="C1774" s="296"/>
      <c r="D1774" s="296"/>
      <c r="E1774" s="296"/>
      <c r="F1774" s="296"/>
      <c r="G1774" s="326"/>
      <c r="H1774" s="324"/>
      <c r="I1774" s="325"/>
      <c r="J1774" s="325"/>
      <c r="K1774" s="318"/>
      <c r="L1774" s="318"/>
      <c r="M1774" s="319" t="str">
        <f>IFERROR(VLOOKUP(H1774,Lijsten!$H$1:$I$100,2,0),"")</f>
        <v/>
      </c>
      <c r="N1774" s="319" t="str">
        <f ca="1">IFERROR(IF(VLOOKUP(F1774,Kostentypen!$A$3:$E$21,3,0)=0,"",IF(OR(F1774="Arbeidskosten",F1774="Vergoeding"),VLOOKUP(G1774,Tb_KostenTypen[],2,0),VLOOKUP(F1774,Kostentypen!$A$3:$E$20,3,0))),"")</f>
        <v/>
      </c>
      <c r="O1774" s="320" t="str" cm="1">
        <f t="array" ref="O1774">_xlfn.IFNA(IF(INDEX(Tb_KostenOptiesDB[],MATCH($F1774,Tb_KostenOptiesDB[KostenOptie],0),IFERROR(MATCH(Methode_Keuze,Tb_KostenOptiesDB[#Headers],0),2))=1,_xlfn.SWITCH($N1774,"Uurtarief",IF(OR(AND(RIGHT($F1774,3)="IKS",VLOOKUP($M1774,DB_Loonkosten,2,0)="Ja"),AND(RIGHT($F1774,3)&lt;&gt;"IKS",VLOOKUP($M1774,DB_Loonkosten,2,0)="Nee")),IFERROR(VLOOKUP($M1774,DB_Loonkosten,24,0),""),0),"Vast tarief",IF(LEFT(F1774,8)="Bijdrage",VLOOKUP($F1774,Tb_KostenTypen[],MATCH(Lijsten!$P$1,Tb_KostenTypen[#Headers],0),0),VLOOKUP($G1774,Lijsten!L:P,MATCH(Lijsten!$P$1,Kop_Tarief_Vast,0),0))),""),"")</f>
        <v/>
      </c>
      <c r="P1774" s="320" t="str" cm="1">
        <f t="array" ref="P1774">_xlfn.IFNA(IF(INDEX(Tb_KostenOptiesDB[],MATCH($F1774,Tb_KostenOptiesDB[KostenOptie],0),IFERROR(MATCH(Methode_Keuze,Tb_KostenOptiesDB[#Headers],0),2))=1,_xlfn.SWITCH($N1774,"Uurtarief",IF(OR(AND(RIGHT($F1774,3)="IKS",VLOOKUP($M1774,DB_Loonkosten,2,0)="Ja"),AND(RIGHT($F1774,3)&lt;&gt;"IKS",VLOOKUP($M1774,DB_Loonkosten,2,0)="Nee")),IFERROR(VLOOKUP($M1774,DB_Loonkosten,25,0),""),0),"Vast tarief",IF(LEFT(F1774,8)="Bijdrage",VLOOKUP($F1774,Tb_KostenTypen[],MATCH(Lijsten!$P$1,Tb_KostenTypen[#Headers],0),0),VLOOKUP($G1774,Lijsten!L:P,MATCH(Lijsten!$P$1,Kop_Tarief_Vast,0),0))),""),"")</f>
        <v/>
      </c>
      <c r="Q1774" s="359"/>
      <c r="R1774" s="359"/>
      <c r="S1774" s="321"/>
      <c r="T1774" s="321"/>
      <c r="U1774" s="373" t="str">
        <f t="shared" si="108"/>
        <v/>
      </c>
      <c r="V1774" s="314" t="str">
        <f t="shared" si="109"/>
        <v/>
      </c>
      <c r="W1774" s="314" t="str" cm="1">
        <f t="array" aca="1" ref="W1774" ca="1">IFERROR(IF(AE1774&lt;&gt;"ja",_xlfn.IFNA(_xlfn.IFS(AND(O1774&lt;&gt;"",F1774&lt;&gt;"",RIGHT($N1774,6)="tarief",F1774="Vergoeding"),SUM(O1774)*FLOOR(SUM(Q1774),0.0001),AND(O1774&lt;&gt;"",F1774&lt;&gt;"",RIGHT($N1774,6)="tarief"),SUM(O1774)*FLOOR(SUM(Q1774),0.01),S1774&gt;0,IF(F1774&lt;&gt;"",FLOOR(SUM(S1774),0.01),"")),""),""),"")</f>
        <v/>
      </c>
      <c r="X1774" s="314" t="str" cm="1">
        <f t="array" aca="1" ref="X1774" ca="1">IFERROR(IF(AE1774&lt;&gt;"ja",_xlfn.IFNA(_xlfn.IFS(AND(P1774&lt;&gt;"",R1774&lt;&gt;"",RIGHT($N1774,6)="tarief",F1774="Vergoeding"),SUM(P1774)*FLOOR(SUM(R1774),0.0001),AND(P1774&lt;&gt;"",R1774&lt;&gt;"",RIGHT($N1774,6)="tarief"),P1774*FLOOR(R1774,0.01),T1774&gt;0,FLOOR(SUM(T1774),0.01)),""),""),"")</f>
        <v/>
      </c>
      <c r="Y1774" s="314" t="str">
        <f t="shared" ca="1" si="110"/>
        <v/>
      </c>
      <c r="Z1774" s="314" t="str" cm="1">
        <f t="array" aca="1" ref="Z1774" ca="1">IFERROR(_xlfn.IFS(OR(F1774="",LEFT(Methode_Keuze,4)="Geen",Methode_Keuze=""),"",AND(W1774&lt;&gt;"",F1774&lt;&gt;"Arbeidskosten"),W1774*VLOOKUP(F1774,Tb_ProjectKosten[],MATCH(Tb_ProjectKosten[[#Headers],[Forfait_Percentage]],Tb_ProjectKosten[#Headers],0),0),AND(F1774="Arbeidskosten",G1774&lt;&gt;""),IFERROR(W1774*VLOOKUP(G1774,Tb_KostenTypen[],3,0)*VLOOKUP(F1774,Tb_ProjectKosten[],MATCH(Tb_ProjectKosten[[#Headers],[Forfait_Percentage]],Tb_ProjectKosten[#Headers],0),0),""),W1774 &lt;=0,0),"")</f>
        <v/>
      </c>
      <c r="AA1774" s="314" t="str" cm="1">
        <f t="array" aca="1" ref="AA1774" ca="1">IFERROR(_xlfn.IFS(OR(F1774="",LEFT(Methode_Keuze,4)="Geen",Methode_Keuze=""),"",AND(X1774&lt;&gt;"",F1774&lt;&gt;"Arbeidskosten"),X1774*VLOOKUP(F1774,Tb_ProjectKosten[],MATCH(Tb_ProjectKosten[[#Headers],[Forfait_Percentage]],Tb_ProjectKosten[#Headers],0),0),AND(F1774="Arbeidskosten",G1774&lt;&gt;""),IFERROR(X1774*VLOOKUP(G1774,Tb_KostenTypen[],3,0)*VLOOKUP(F1774,Tb_ProjectKosten[],MATCH(Tb_ProjectKosten[[#Headers],[Forfait_Percentage]],Tb_ProjectKosten[#Headers],0),0),""),X1774 &lt;=0,0),"")</f>
        <v/>
      </c>
      <c r="AB1774" s="314" t="str">
        <f t="shared" ca="1" si="111"/>
        <v/>
      </c>
      <c r="AC1774" s="322"/>
      <c r="AD1774" s="315"/>
      <c r="AE1774" s="32" t="str" cm="1">
        <f t="array" ref="AE1774">IFERROR(IF(INDEX(SubsidieTabel!$AD$1:$AG$12,MATCH($F1774,SubsidieTabel!$AD$1:$AD$12,0),IFERROR(MATCH(Methode_Keuze,SubsidieTabel!$AD$1:$AG$1,0),2))&lt;&gt;1=TRUE,"ja",""),"")</f>
        <v/>
      </c>
    </row>
    <row r="1775" spans="1:31" x14ac:dyDescent="0.25">
      <c r="A1775" s="316"/>
      <c r="B1775" s="317" t="str">
        <f>IF(A1775&lt;&gt;"",_xlfn.MAXIFS($B$1:B1774,$A$1:A1774,A1775)+1,"")</f>
        <v/>
      </c>
      <c r="C1775" s="296"/>
      <c r="D1775" s="296"/>
      <c r="E1775" s="296"/>
      <c r="F1775" s="296"/>
      <c r="G1775" s="326"/>
      <c r="H1775" s="324"/>
      <c r="I1775" s="325"/>
      <c r="J1775" s="325"/>
      <c r="K1775" s="318"/>
      <c r="L1775" s="318"/>
      <c r="M1775" s="319" t="str">
        <f>IFERROR(VLOOKUP(H1775,Lijsten!$H$1:$I$100,2,0),"")</f>
        <v/>
      </c>
      <c r="N1775" s="319" t="str">
        <f ca="1">IFERROR(IF(VLOOKUP(F1775,Kostentypen!$A$3:$E$21,3,0)=0,"",IF(OR(F1775="Arbeidskosten",F1775="Vergoeding"),VLOOKUP(G1775,Tb_KostenTypen[],2,0),VLOOKUP(F1775,Kostentypen!$A$3:$E$20,3,0))),"")</f>
        <v/>
      </c>
      <c r="O1775" s="320" t="str" cm="1">
        <f t="array" ref="O1775">_xlfn.IFNA(IF(INDEX(Tb_KostenOptiesDB[],MATCH($F1775,Tb_KostenOptiesDB[KostenOptie],0),IFERROR(MATCH(Methode_Keuze,Tb_KostenOptiesDB[#Headers],0),2))=1,_xlfn.SWITCH($N1775,"Uurtarief",IF(OR(AND(RIGHT($F1775,3)="IKS",VLOOKUP($M1775,DB_Loonkosten,2,0)="Ja"),AND(RIGHT($F1775,3)&lt;&gt;"IKS",VLOOKUP($M1775,DB_Loonkosten,2,0)="Nee")),IFERROR(VLOOKUP($M1775,DB_Loonkosten,24,0),""),0),"Vast tarief",IF(LEFT(F1775,8)="Bijdrage",VLOOKUP($F1775,Tb_KostenTypen[],MATCH(Lijsten!$P$1,Tb_KostenTypen[#Headers],0),0),VLOOKUP($G1775,Lijsten!L:P,MATCH(Lijsten!$P$1,Kop_Tarief_Vast,0),0))),""),"")</f>
        <v/>
      </c>
      <c r="P1775" s="320" t="str" cm="1">
        <f t="array" ref="P1775">_xlfn.IFNA(IF(INDEX(Tb_KostenOptiesDB[],MATCH($F1775,Tb_KostenOptiesDB[KostenOptie],0),IFERROR(MATCH(Methode_Keuze,Tb_KostenOptiesDB[#Headers],0),2))=1,_xlfn.SWITCH($N1775,"Uurtarief",IF(OR(AND(RIGHT($F1775,3)="IKS",VLOOKUP($M1775,DB_Loonkosten,2,0)="Ja"),AND(RIGHT($F1775,3)&lt;&gt;"IKS",VLOOKUP($M1775,DB_Loonkosten,2,0)="Nee")),IFERROR(VLOOKUP($M1775,DB_Loonkosten,25,0),""),0),"Vast tarief",IF(LEFT(F1775,8)="Bijdrage",VLOOKUP($F1775,Tb_KostenTypen[],MATCH(Lijsten!$P$1,Tb_KostenTypen[#Headers],0),0),VLOOKUP($G1775,Lijsten!L:P,MATCH(Lijsten!$P$1,Kop_Tarief_Vast,0),0))),""),"")</f>
        <v/>
      </c>
      <c r="Q1775" s="359"/>
      <c r="R1775" s="359"/>
      <c r="S1775" s="321"/>
      <c r="T1775" s="321"/>
      <c r="U1775" s="373" t="str">
        <f t="shared" si="108"/>
        <v/>
      </c>
      <c r="V1775" s="314" t="str">
        <f t="shared" si="109"/>
        <v/>
      </c>
      <c r="W1775" s="314" t="str" cm="1">
        <f t="array" aca="1" ref="W1775" ca="1">IFERROR(IF(AE1775&lt;&gt;"ja",_xlfn.IFNA(_xlfn.IFS(AND(O1775&lt;&gt;"",F1775&lt;&gt;"",RIGHT($N1775,6)="tarief",F1775="Vergoeding"),SUM(O1775)*FLOOR(SUM(Q1775),0.0001),AND(O1775&lt;&gt;"",F1775&lt;&gt;"",RIGHT($N1775,6)="tarief"),SUM(O1775)*FLOOR(SUM(Q1775),0.01),S1775&gt;0,IF(F1775&lt;&gt;"",FLOOR(SUM(S1775),0.01),"")),""),""),"")</f>
        <v/>
      </c>
      <c r="X1775" s="314" t="str" cm="1">
        <f t="array" aca="1" ref="X1775" ca="1">IFERROR(IF(AE1775&lt;&gt;"ja",_xlfn.IFNA(_xlfn.IFS(AND(P1775&lt;&gt;"",R1775&lt;&gt;"",RIGHT($N1775,6)="tarief",F1775="Vergoeding"),SUM(P1775)*FLOOR(SUM(R1775),0.0001),AND(P1775&lt;&gt;"",R1775&lt;&gt;"",RIGHT($N1775,6)="tarief"),P1775*FLOOR(R1775,0.01),T1775&gt;0,FLOOR(SUM(T1775),0.01)),""),""),"")</f>
        <v/>
      </c>
      <c r="Y1775" s="314" t="str">
        <f t="shared" ca="1" si="110"/>
        <v/>
      </c>
      <c r="Z1775" s="314" t="str" cm="1">
        <f t="array" aca="1" ref="Z1775" ca="1">IFERROR(_xlfn.IFS(OR(F1775="",LEFT(Methode_Keuze,4)="Geen",Methode_Keuze=""),"",AND(W1775&lt;&gt;"",F1775&lt;&gt;"Arbeidskosten"),W1775*VLOOKUP(F1775,Tb_ProjectKosten[],MATCH(Tb_ProjectKosten[[#Headers],[Forfait_Percentage]],Tb_ProjectKosten[#Headers],0),0),AND(F1775="Arbeidskosten",G1775&lt;&gt;""),IFERROR(W1775*VLOOKUP(G1775,Tb_KostenTypen[],3,0)*VLOOKUP(F1775,Tb_ProjectKosten[],MATCH(Tb_ProjectKosten[[#Headers],[Forfait_Percentage]],Tb_ProjectKosten[#Headers],0),0),""),W1775 &lt;=0,0),"")</f>
        <v/>
      </c>
      <c r="AA1775" s="314" t="str" cm="1">
        <f t="array" aca="1" ref="AA1775" ca="1">IFERROR(_xlfn.IFS(OR(F1775="",LEFT(Methode_Keuze,4)="Geen",Methode_Keuze=""),"",AND(X1775&lt;&gt;"",F1775&lt;&gt;"Arbeidskosten"),X1775*VLOOKUP(F1775,Tb_ProjectKosten[],MATCH(Tb_ProjectKosten[[#Headers],[Forfait_Percentage]],Tb_ProjectKosten[#Headers],0),0),AND(F1775="Arbeidskosten",G1775&lt;&gt;""),IFERROR(X1775*VLOOKUP(G1775,Tb_KostenTypen[],3,0)*VLOOKUP(F1775,Tb_ProjectKosten[],MATCH(Tb_ProjectKosten[[#Headers],[Forfait_Percentage]],Tb_ProjectKosten[#Headers],0),0),""),X1775 &lt;=0,0),"")</f>
        <v/>
      </c>
      <c r="AB1775" s="314" t="str">
        <f t="shared" ca="1" si="111"/>
        <v/>
      </c>
      <c r="AC1775" s="322"/>
      <c r="AD1775" s="315"/>
      <c r="AE1775" s="32" t="str" cm="1">
        <f t="array" ref="AE1775">IFERROR(IF(INDEX(SubsidieTabel!$AD$1:$AG$12,MATCH($F1775,SubsidieTabel!$AD$1:$AD$12,0),IFERROR(MATCH(Methode_Keuze,SubsidieTabel!$AD$1:$AG$1,0),2))&lt;&gt;1=TRUE,"ja",""),"")</f>
        <v/>
      </c>
    </row>
    <row r="1776" spans="1:31" x14ac:dyDescent="0.25">
      <c r="A1776" s="316"/>
      <c r="B1776" s="317" t="str">
        <f>IF(A1776&lt;&gt;"",_xlfn.MAXIFS($B$1:B1775,$A$1:A1775,A1776)+1,"")</f>
        <v/>
      </c>
      <c r="C1776" s="296"/>
      <c r="D1776" s="296"/>
      <c r="E1776" s="296"/>
      <c r="F1776" s="296"/>
      <c r="G1776" s="326"/>
      <c r="H1776" s="324"/>
      <c r="I1776" s="325"/>
      <c r="J1776" s="325"/>
      <c r="K1776" s="318"/>
      <c r="L1776" s="318"/>
      <c r="M1776" s="319" t="str">
        <f>IFERROR(VLOOKUP(H1776,Lijsten!$H$1:$I$100,2,0),"")</f>
        <v/>
      </c>
      <c r="N1776" s="319" t="str">
        <f ca="1">IFERROR(IF(VLOOKUP(F1776,Kostentypen!$A$3:$E$21,3,0)=0,"",IF(OR(F1776="Arbeidskosten",F1776="Vergoeding"),VLOOKUP(G1776,Tb_KostenTypen[],2,0),VLOOKUP(F1776,Kostentypen!$A$3:$E$20,3,0))),"")</f>
        <v/>
      </c>
      <c r="O1776" s="320" t="str" cm="1">
        <f t="array" ref="O1776">_xlfn.IFNA(IF(INDEX(Tb_KostenOptiesDB[],MATCH($F1776,Tb_KostenOptiesDB[KostenOptie],0),IFERROR(MATCH(Methode_Keuze,Tb_KostenOptiesDB[#Headers],0),2))=1,_xlfn.SWITCH($N1776,"Uurtarief",IF(OR(AND(RIGHT($F1776,3)="IKS",VLOOKUP($M1776,DB_Loonkosten,2,0)="Ja"),AND(RIGHT($F1776,3)&lt;&gt;"IKS",VLOOKUP($M1776,DB_Loonkosten,2,0)="Nee")),IFERROR(VLOOKUP($M1776,DB_Loonkosten,24,0),""),0),"Vast tarief",IF(LEFT(F1776,8)="Bijdrage",VLOOKUP($F1776,Tb_KostenTypen[],MATCH(Lijsten!$P$1,Tb_KostenTypen[#Headers],0),0),VLOOKUP($G1776,Lijsten!L:P,MATCH(Lijsten!$P$1,Kop_Tarief_Vast,0),0))),""),"")</f>
        <v/>
      </c>
      <c r="P1776" s="320" t="str" cm="1">
        <f t="array" ref="P1776">_xlfn.IFNA(IF(INDEX(Tb_KostenOptiesDB[],MATCH($F1776,Tb_KostenOptiesDB[KostenOptie],0),IFERROR(MATCH(Methode_Keuze,Tb_KostenOptiesDB[#Headers],0),2))=1,_xlfn.SWITCH($N1776,"Uurtarief",IF(OR(AND(RIGHT($F1776,3)="IKS",VLOOKUP($M1776,DB_Loonkosten,2,0)="Ja"),AND(RIGHT($F1776,3)&lt;&gt;"IKS",VLOOKUP($M1776,DB_Loonkosten,2,0)="Nee")),IFERROR(VLOOKUP($M1776,DB_Loonkosten,25,0),""),0),"Vast tarief",IF(LEFT(F1776,8)="Bijdrage",VLOOKUP($F1776,Tb_KostenTypen[],MATCH(Lijsten!$P$1,Tb_KostenTypen[#Headers],0),0),VLOOKUP($G1776,Lijsten!L:P,MATCH(Lijsten!$P$1,Kop_Tarief_Vast,0),0))),""),"")</f>
        <v/>
      </c>
      <c r="Q1776" s="359"/>
      <c r="R1776" s="359"/>
      <c r="S1776" s="321"/>
      <c r="T1776" s="321"/>
      <c r="U1776" s="373" t="str">
        <f t="shared" si="108"/>
        <v/>
      </c>
      <c r="V1776" s="314" t="str">
        <f t="shared" si="109"/>
        <v/>
      </c>
      <c r="W1776" s="314" t="str" cm="1">
        <f t="array" aca="1" ref="W1776" ca="1">IFERROR(IF(AE1776&lt;&gt;"ja",_xlfn.IFNA(_xlfn.IFS(AND(O1776&lt;&gt;"",F1776&lt;&gt;"",RIGHT($N1776,6)="tarief",F1776="Vergoeding"),SUM(O1776)*FLOOR(SUM(Q1776),0.0001),AND(O1776&lt;&gt;"",F1776&lt;&gt;"",RIGHT($N1776,6)="tarief"),SUM(O1776)*FLOOR(SUM(Q1776),0.01),S1776&gt;0,IF(F1776&lt;&gt;"",FLOOR(SUM(S1776),0.01),"")),""),""),"")</f>
        <v/>
      </c>
      <c r="X1776" s="314" t="str" cm="1">
        <f t="array" aca="1" ref="X1776" ca="1">IFERROR(IF(AE1776&lt;&gt;"ja",_xlfn.IFNA(_xlfn.IFS(AND(P1776&lt;&gt;"",R1776&lt;&gt;"",RIGHT($N1776,6)="tarief",F1776="Vergoeding"),SUM(P1776)*FLOOR(SUM(R1776),0.0001),AND(P1776&lt;&gt;"",R1776&lt;&gt;"",RIGHT($N1776,6)="tarief"),P1776*FLOOR(R1776,0.01),T1776&gt;0,FLOOR(SUM(T1776),0.01)),""),""),"")</f>
        <v/>
      </c>
      <c r="Y1776" s="314" t="str">
        <f t="shared" ca="1" si="110"/>
        <v/>
      </c>
      <c r="Z1776" s="314" t="str" cm="1">
        <f t="array" aca="1" ref="Z1776" ca="1">IFERROR(_xlfn.IFS(OR(F1776="",LEFT(Methode_Keuze,4)="Geen",Methode_Keuze=""),"",AND(W1776&lt;&gt;"",F1776&lt;&gt;"Arbeidskosten"),W1776*VLOOKUP(F1776,Tb_ProjectKosten[],MATCH(Tb_ProjectKosten[[#Headers],[Forfait_Percentage]],Tb_ProjectKosten[#Headers],0),0),AND(F1776="Arbeidskosten",G1776&lt;&gt;""),IFERROR(W1776*VLOOKUP(G1776,Tb_KostenTypen[],3,0)*VLOOKUP(F1776,Tb_ProjectKosten[],MATCH(Tb_ProjectKosten[[#Headers],[Forfait_Percentage]],Tb_ProjectKosten[#Headers],0),0),""),W1776 &lt;=0,0),"")</f>
        <v/>
      </c>
      <c r="AA1776" s="314" t="str" cm="1">
        <f t="array" aca="1" ref="AA1776" ca="1">IFERROR(_xlfn.IFS(OR(F1776="",LEFT(Methode_Keuze,4)="Geen",Methode_Keuze=""),"",AND(X1776&lt;&gt;"",F1776&lt;&gt;"Arbeidskosten"),X1776*VLOOKUP(F1776,Tb_ProjectKosten[],MATCH(Tb_ProjectKosten[[#Headers],[Forfait_Percentage]],Tb_ProjectKosten[#Headers],0),0),AND(F1776="Arbeidskosten",G1776&lt;&gt;""),IFERROR(X1776*VLOOKUP(G1776,Tb_KostenTypen[],3,0)*VLOOKUP(F1776,Tb_ProjectKosten[],MATCH(Tb_ProjectKosten[[#Headers],[Forfait_Percentage]],Tb_ProjectKosten[#Headers],0),0),""),X1776 &lt;=0,0),"")</f>
        <v/>
      </c>
      <c r="AB1776" s="314" t="str">
        <f t="shared" ca="1" si="111"/>
        <v/>
      </c>
      <c r="AC1776" s="322"/>
      <c r="AD1776" s="315"/>
      <c r="AE1776" s="32" t="str" cm="1">
        <f t="array" ref="AE1776">IFERROR(IF(INDEX(SubsidieTabel!$AD$1:$AG$12,MATCH($F1776,SubsidieTabel!$AD$1:$AD$12,0),IFERROR(MATCH(Methode_Keuze,SubsidieTabel!$AD$1:$AG$1,0),2))&lt;&gt;1=TRUE,"ja",""),"")</f>
        <v/>
      </c>
    </row>
    <row r="1777" spans="1:31" x14ac:dyDescent="0.25">
      <c r="A1777" s="316"/>
      <c r="B1777" s="317" t="str">
        <f>IF(A1777&lt;&gt;"",_xlfn.MAXIFS($B$1:B1776,$A$1:A1776,A1777)+1,"")</f>
        <v/>
      </c>
      <c r="C1777" s="296"/>
      <c r="D1777" s="296"/>
      <c r="E1777" s="296"/>
      <c r="F1777" s="296"/>
      <c r="G1777" s="326"/>
      <c r="H1777" s="324"/>
      <c r="I1777" s="325"/>
      <c r="J1777" s="325"/>
      <c r="K1777" s="318"/>
      <c r="L1777" s="318"/>
      <c r="M1777" s="319" t="str">
        <f>IFERROR(VLOOKUP(H1777,Lijsten!$H$1:$I$100,2,0),"")</f>
        <v/>
      </c>
      <c r="N1777" s="319" t="str">
        <f ca="1">IFERROR(IF(VLOOKUP(F1777,Kostentypen!$A$3:$E$21,3,0)=0,"",IF(OR(F1777="Arbeidskosten",F1777="Vergoeding"),VLOOKUP(G1777,Tb_KostenTypen[],2,0),VLOOKUP(F1777,Kostentypen!$A$3:$E$20,3,0))),"")</f>
        <v/>
      </c>
      <c r="O1777" s="320" t="str" cm="1">
        <f t="array" ref="O1777">_xlfn.IFNA(IF(INDEX(Tb_KostenOptiesDB[],MATCH($F1777,Tb_KostenOptiesDB[KostenOptie],0),IFERROR(MATCH(Methode_Keuze,Tb_KostenOptiesDB[#Headers],0),2))=1,_xlfn.SWITCH($N1777,"Uurtarief",IF(OR(AND(RIGHT($F1777,3)="IKS",VLOOKUP($M1777,DB_Loonkosten,2,0)="Ja"),AND(RIGHT($F1777,3)&lt;&gt;"IKS",VLOOKUP($M1777,DB_Loonkosten,2,0)="Nee")),IFERROR(VLOOKUP($M1777,DB_Loonkosten,24,0),""),0),"Vast tarief",IF(LEFT(F1777,8)="Bijdrage",VLOOKUP($F1777,Tb_KostenTypen[],MATCH(Lijsten!$P$1,Tb_KostenTypen[#Headers],0),0),VLOOKUP($G1777,Lijsten!L:P,MATCH(Lijsten!$P$1,Kop_Tarief_Vast,0),0))),""),"")</f>
        <v/>
      </c>
      <c r="P1777" s="320" t="str" cm="1">
        <f t="array" ref="P1777">_xlfn.IFNA(IF(INDEX(Tb_KostenOptiesDB[],MATCH($F1777,Tb_KostenOptiesDB[KostenOptie],0),IFERROR(MATCH(Methode_Keuze,Tb_KostenOptiesDB[#Headers],0),2))=1,_xlfn.SWITCH($N1777,"Uurtarief",IF(OR(AND(RIGHT($F1777,3)="IKS",VLOOKUP($M1777,DB_Loonkosten,2,0)="Ja"),AND(RIGHT($F1777,3)&lt;&gt;"IKS",VLOOKUP($M1777,DB_Loonkosten,2,0)="Nee")),IFERROR(VLOOKUP($M1777,DB_Loonkosten,25,0),""),0),"Vast tarief",IF(LEFT(F1777,8)="Bijdrage",VLOOKUP($F1777,Tb_KostenTypen[],MATCH(Lijsten!$P$1,Tb_KostenTypen[#Headers],0),0),VLOOKUP($G1777,Lijsten!L:P,MATCH(Lijsten!$P$1,Kop_Tarief_Vast,0),0))),""),"")</f>
        <v/>
      </c>
      <c r="Q1777" s="359"/>
      <c r="R1777" s="359"/>
      <c r="S1777" s="321"/>
      <c r="T1777" s="321"/>
      <c r="U1777" s="373" t="str">
        <f t="shared" si="108"/>
        <v/>
      </c>
      <c r="V1777" s="314" t="str">
        <f t="shared" si="109"/>
        <v/>
      </c>
      <c r="W1777" s="314" t="str" cm="1">
        <f t="array" aca="1" ref="W1777" ca="1">IFERROR(IF(AE1777&lt;&gt;"ja",_xlfn.IFNA(_xlfn.IFS(AND(O1777&lt;&gt;"",F1777&lt;&gt;"",RIGHT($N1777,6)="tarief",F1777="Vergoeding"),SUM(O1777)*FLOOR(SUM(Q1777),0.0001),AND(O1777&lt;&gt;"",F1777&lt;&gt;"",RIGHT($N1777,6)="tarief"),SUM(O1777)*FLOOR(SUM(Q1777),0.01),S1777&gt;0,IF(F1777&lt;&gt;"",FLOOR(SUM(S1777),0.01),"")),""),""),"")</f>
        <v/>
      </c>
      <c r="X1777" s="314" t="str" cm="1">
        <f t="array" aca="1" ref="X1777" ca="1">IFERROR(IF(AE1777&lt;&gt;"ja",_xlfn.IFNA(_xlfn.IFS(AND(P1777&lt;&gt;"",R1777&lt;&gt;"",RIGHT($N1777,6)="tarief",F1777="Vergoeding"),SUM(P1777)*FLOOR(SUM(R1777),0.0001),AND(P1777&lt;&gt;"",R1777&lt;&gt;"",RIGHT($N1777,6)="tarief"),P1777*FLOOR(R1777,0.01),T1777&gt;0,FLOOR(SUM(T1777),0.01)),""),""),"")</f>
        <v/>
      </c>
      <c r="Y1777" s="314" t="str">
        <f t="shared" ca="1" si="110"/>
        <v/>
      </c>
      <c r="Z1777" s="314" t="str" cm="1">
        <f t="array" aca="1" ref="Z1777" ca="1">IFERROR(_xlfn.IFS(OR(F1777="",LEFT(Methode_Keuze,4)="Geen",Methode_Keuze=""),"",AND(W1777&lt;&gt;"",F1777&lt;&gt;"Arbeidskosten"),W1777*VLOOKUP(F1777,Tb_ProjectKosten[],MATCH(Tb_ProjectKosten[[#Headers],[Forfait_Percentage]],Tb_ProjectKosten[#Headers],0),0),AND(F1777="Arbeidskosten",G1777&lt;&gt;""),IFERROR(W1777*VLOOKUP(G1777,Tb_KostenTypen[],3,0)*VLOOKUP(F1777,Tb_ProjectKosten[],MATCH(Tb_ProjectKosten[[#Headers],[Forfait_Percentage]],Tb_ProjectKosten[#Headers],0),0),""),W1777 &lt;=0,0),"")</f>
        <v/>
      </c>
      <c r="AA1777" s="314" t="str" cm="1">
        <f t="array" aca="1" ref="AA1777" ca="1">IFERROR(_xlfn.IFS(OR(F1777="",LEFT(Methode_Keuze,4)="Geen",Methode_Keuze=""),"",AND(X1777&lt;&gt;"",F1777&lt;&gt;"Arbeidskosten"),X1777*VLOOKUP(F1777,Tb_ProjectKosten[],MATCH(Tb_ProjectKosten[[#Headers],[Forfait_Percentage]],Tb_ProjectKosten[#Headers],0),0),AND(F1777="Arbeidskosten",G1777&lt;&gt;""),IFERROR(X1777*VLOOKUP(G1777,Tb_KostenTypen[],3,0)*VLOOKUP(F1777,Tb_ProjectKosten[],MATCH(Tb_ProjectKosten[[#Headers],[Forfait_Percentage]],Tb_ProjectKosten[#Headers],0),0),""),X1777 &lt;=0,0),"")</f>
        <v/>
      </c>
      <c r="AB1777" s="314" t="str">
        <f t="shared" ca="1" si="111"/>
        <v/>
      </c>
      <c r="AC1777" s="322"/>
      <c r="AD1777" s="315"/>
      <c r="AE1777" s="32" t="str" cm="1">
        <f t="array" ref="AE1777">IFERROR(IF(INDEX(SubsidieTabel!$AD$1:$AG$12,MATCH($F1777,SubsidieTabel!$AD$1:$AD$12,0),IFERROR(MATCH(Methode_Keuze,SubsidieTabel!$AD$1:$AG$1,0),2))&lt;&gt;1=TRUE,"ja",""),"")</f>
        <v/>
      </c>
    </row>
    <row r="1778" spans="1:31" x14ac:dyDescent="0.25">
      <c r="A1778" s="316"/>
      <c r="B1778" s="317" t="str">
        <f>IF(A1778&lt;&gt;"",_xlfn.MAXIFS($B$1:B1777,$A$1:A1777,A1778)+1,"")</f>
        <v/>
      </c>
      <c r="C1778" s="296"/>
      <c r="D1778" s="296"/>
      <c r="E1778" s="296"/>
      <c r="F1778" s="296"/>
      <c r="G1778" s="326"/>
      <c r="H1778" s="324"/>
      <c r="I1778" s="325"/>
      <c r="J1778" s="325"/>
      <c r="K1778" s="318"/>
      <c r="L1778" s="318"/>
      <c r="M1778" s="319" t="str">
        <f>IFERROR(VLOOKUP(H1778,Lijsten!$H$1:$I$100,2,0),"")</f>
        <v/>
      </c>
      <c r="N1778" s="319" t="str">
        <f ca="1">IFERROR(IF(VLOOKUP(F1778,Kostentypen!$A$3:$E$21,3,0)=0,"",IF(OR(F1778="Arbeidskosten",F1778="Vergoeding"),VLOOKUP(G1778,Tb_KostenTypen[],2,0),VLOOKUP(F1778,Kostentypen!$A$3:$E$20,3,0))),"")</f>
        <v/>
      </c>
      <c r="O1778" s="320" t="str" cm="1">
        <f t="array" ref="O1778">_xlfn.IFNA(IF(INDEX(Tb_KostenOptiesDB[],MATCH($F1778,Tb_KostenOptiesDB[KostenOptie],0),IFERROR(MATCH(Methode_Keuze,Tb_KostenOptiesDB[#Headers],0),2))=1,_xlfn.SWITCH($N1778,"Uurtarief",IF(OR(AND(RIGHT($F1778,3)="IKS",VLOOKUP($M1778,DB_Loonkosten,2,0)="Ja"),AND(RIGHT($F1778,3)&lt;&gt;"IKS",VLOOKUP($M1778,DB_Loonkosten,2,0)="Nee")),IFERROR(VLOOKUP($M1778,DB_Loonkosten,24,0),""),0),"Vast tarief",IF(LEFT(F1778,8)="Bijdrage",VLOOKUP($F1778,Tb_KostenTypen[],MATCH(Lijsten!$P$1,Tb_KostenTypen[#Headers],0),0),VLOOKUP($G1778,Lijsten!L:P,MATCH(Lijsten!$P$1,Kop_Tarief_Vast,0),0))),""),"")</f>
        <v/>
      </c>
      <c r="P1778" s="320" t="str" cm="1">
        <f t="array" ref="P1778">_xlfn.IFNA(IF(INDEX(Tb_KostenOptiesDB[],MATCH($F1778,Tb_KostenOptiesDB[KostenOptie],0),IFERROR(MATCH(Methode_Keuze,Tb_KostenOptiesDB[#Headers],0),2))=1,_xlfn.SWITCH($N1778,"Uurtarief",IF(OR(AND(RIGHT($F1778,3)="IKS",VLOOKUP($M1778,DB_Loonkosten,2,0)="Ja"),AND(RIGHT($F1778,3)&lt;&gt;"IKS",VLOOKUP($M1778,DB_Loonkosten,2,0)="Nee")),IFERROR(VLOOKUP($M1778,DB_Loonkosten,25,0),""),0),"Vast tarief",IF(LEFT(F1778,8)="Bijdrage",VLOOKUP($F1778,Tb_KostenTypen[],MATCH(Lijsten!$P$1,Tb_KostenTypen[#Headers],0),0),VLOOKUP($G1778,Lijsten!L:P,MATCH(Lijsten!$P$1,Kop_Tarief_Vast,0),0))),""),"")</f>
        <v/>
      </c>
      <c r="Q1778" s="359"/>
      <c r="R1778" s="359"/>
      <c r="S1778" s="321"/>
      <c r="T1778" s="321"/>
      <c r="U1778" s="373" t="str">
        <f t="shared" si="108"/>
        <v/>
      </c>
      <c r="V1778" s="314" t="str">
        <f t="shared" si="109"/>
        <v/>
      </c>
      <c r="W1778" s="314" t="str" cm="1">
        <f t="array" aca="1" ref="W1778" ca="1">IFERROR(IF(AE1778&lt;&gt;"ja",_xlfn.IFNA(_xlfn.IFS(AND(O1778&lt;&gt;"",F1778&lt;&gt;"",RIGHT($N1778,6)="tarief",F1778="Vergoeding"),SUM(O1778)*FLOOR(SUM(Q1778),0.0001),AND(O1778&lt;&gt;"",F1778&lt;&gt;"",RIGHT($N1778,6)="tarief"),SUM(O1778)*FLOOR(SUM(Q1778),0.01),S1778&gt;0,IF(F1778&lt;&gt;"",FLOOR(SUM(S1778),0.01),"")),""),""),"")</f>
        <v/>
      </c>
      <c r="X1778" s="314" t="str" cm="1">
        <f t="array" aca="1" ref="X1778" ca="1">IFERROR(IF(AE1778&lt;&gt;"ja",_xlfn.IFNA(_xlfn.IFS(AND(P1778&lt;&gt;"",R1778&lt;&gt;"",RIGHT($N1778,6)="tarief",F1778="Vergoeding"),SUM(P1778)*FLOOR(SUM(R1778),0.0001),AND(P1778&lt;&gt;"",R1778&lt;&gt;"",RIGHT($N1778,6)="tarief"),P1778*FLOOR(R1778,0.01),T1778&gt;0,FLOOR(SUM(T1778),0.01)),""),""),"")</f>
        <v/>
      </c>
      <c r="Y1778" s="314" t="str">
        <f t="shared" ca="1" si="110"/>
        <v/>
      </c>
      <c r="Z1778" s="314" t="str" cm="1">
        <f t="array" aca="1" ref="Z1778" ca="1">IFERROR(_xlfn.IFS(OR(F1778="",LEFT(Methode_Keuze,4)="Geen",Methode_Keuze=""),"",AND(W1778&lt;&gt;"",F1778&lt;&gt;"Arbeidskosten"),W1778*VLOOKUP(F1778,Tb_ProjectKosten[],MATCH(Tb_ProjectKosten[[#Headers],[Forfait_Percentage]],Tb_ProjectKosten[#Headers],0),0),AND(F1778="Arbeidskosten",G1778&lt;&gt;""),IFERROR(W1778*VLOOKUP(G1778,Tb_KostenTypen[],3,0)*VLOOKUP(F1778,Tb_ProjectKosten[],MATCH(Tb_ProjectKosten[[#Headers],[Forfait_Percentage]],Tb_ProjectKosten[#Headers],0),0),""),W1778 &lt;=0,0),"")</f>
        <v/>
      </c>
      <c r="AA1778" s="314" t="str" cm="1">
        <f t="array" aca="1" ref="AA1778" ca="1">IFERROR(_xlfn.IFS(OR(F1778="",LEFT(Methode_Keuze,4)="Geen",Methode_Keuze=""),"",AND(X1778&lt;&gt;"",F1778&lt;&gt;"Arbeidskosten"),X1778*VLOOKUP(F1778,Tb_ProjectKosten[],MATCH(Tb_ProjectKosten[[#Headers],[Forfait_Percentage]],Tb_ProjectKosten[#Headers],0),0),AND(F1778="Arbeidskosten",G1778&lt;&gt;""),IFERROR(X1778*VLOOKUP(G1778,Tb_KostenTypen[],3,0)*VLOOKUP(F1778,Tb_ProjectKosten[],MATCH(Tb_ProjectKosten[[#Headers],[Forfait_Percentage]],Tb_ProjectKosten[#Headers],0),0),""),X1778 &lt;=0,0),"")</f>
        <v/>
      </c>
      <c r="AB1778" s="314" t="str">
        <f t="shared" ca="1" si="111"/>
        <v/>
      </c>
      <c r="AC1778" s="322"/>
      <c r="AD1778" s="315"/>
      <c r="AE1778" s="32" t="str" cm="1">
        <f t="array" ref="AE1778">IFERROR(IF(INDEX(SubsidieTabel!$AD$1:$AG$12,MATCH($F1778,SubsidieTabel!$AD$1:$AD$12,0),IFERROR(MATCH(Methode_Keuze,SubsidieTabel!$AD$1:$AG$1,0),2))&lt;&gt;1=TRUE,"ja",""),"")</f>
        <v/>
      </c>
    </row>
    <row r="1779" spans="1:31" x14ac:dyDescent="0.25">
      <c r="A1779" s="316"/>
      <c r="B1779" s="317" t="str">
        <f>IF(A1779&lt;&gt;"",_xlfn.MAXIFS($B$1:B1778,$A$1:A1778,A1779)+1,"")</f>
        <v/>
      </c>
      <c r="C1779" s="296"/>
      <c r="D1779" s="296"/>
      <c r="E1779" s="296"/>
      <c r="F1779" s="296"/>
      <c r="G1779" s="326"/>
      <c r="H1779" s="324"/>
      <c r="I1779" s="325"/>
      <c r="J1779" s="325"/>
      <c r="K1779" s="318"/>
      <c r="L1779" s="318"/>
      <c r="M1779" s="319" t="str">
        <f>IFERROR(VLOOKUP(H1779,Lijsten!$H$1:$I$100,2,0),"")</f>
        <v/>
      </c>
      <c r="N1779" s="319" t="str">
        <f ca="1">IFERROR(IF(VLOOKUP(F1779,Kostentypen!$A$3:$E$21,3,0)=0,"",IF(OR(F1779="Arbeidskosten",F1779="Vergoeding"),VLOOKUP(G1779,Tb_KostenTypen[],2,0),VLOOKUP(F1779,Kostentypen!$A$3:$E$20,3,0))),"")</f>
        <v/>
      </c>
      <c r="O1779" s="320" t="str" cm="1">
        <f t="array" ref="O1779">_xlfn.IFNA(IF(INDEX(Tb_KostenOptiesDB[],MATCH($F1779,Tb_KostenOptiesDB[KostenOptie],0),IFERROR(MATCH(Methode_Keuze,Tb_KostenOptiesDB[#Headers],0),2))=1,_xlfn.SWITCH($N1779,"Uurtarief",IF(OR(AND(RIGHT($F1779,3)="IKS",VLOOKUP($M1779,DB_Loonkosten,2,0)="Ja"),AND(RIGHT($F1779,3)&lt;&gt;"IKS",VLOOKUP($M1779,DB_Loonkosten,2,0)="Nee")),IFERROR(VLOOKUP($M1779,DB_Loonkosten,24,0),""),0),"Vast tarief",IF(LEFT(F1779,8)="Bijdrage",VLOOKUP($F1779,Tb_KostenTypen[],MATCH(Lijsten!$P$1,Tb_KostenTypen[#Headers],0),0),VLOOKUP($G1779,Lijsten!L:P,MATCH(Lijsten!$P$1,Kop_Tarief_Vast,0),0))),""),"")</f>
        <v/>
      </c>
      <c r="P1779" s="320" t="str" cm="1">
        <f t="array" ref="P1779">_xlfn.IFNA(IF(INDEX(Tb_KostenOptiesDB[],MATCH($F1779,Tb_KostenOptiesDB[KostenOptie],0),IFERROR(MATCH(Methode_Keuze,Tb_KostenOptiesDB[#Headers],0),2))=1,_xlfn.SWITCH($N1779,"Uurtarief",IF(OR(AND(RIGHT($F1779,3)="IKS",VLOOKUP($M1779,DB_Loonkosten,2,0)="Ja"),AND(RIGHT($F1779,3)&lt;&gt;"IKS",VLOOKUP($M1779,DB_Loonkosten,2,0)="Nee")),IFERROR(VLOOKUP($M1779,DB_Loonkosten,25,0),""),0),"Vast tarief",IF(LEFT(F1779,8)="Bijdrage",VLOOKUP($F1779,Tb_KostenTypen[],MATCH(Lijsten!$P$1,Tb_KostenTypen[#Headers],0),0),VLOOKUP($G1779,Lijsten!L:P,MATCH(Lijsten!$P$1,Kop_Tarief_Vast,0),0))),""),"")</f>
        <v/>
      </c>
      <c r="Q1779" s="359"/>
      <c r="R1779" s="359"/>
      <c r="S1779" s="321"/>
      <c r="T1779" s="321"/>
      <c r="U1779" s="373" t="str">
        <f t="shared" si="108"/>
        <v/>
      </c>
      <c r="V1779" s="314" t="str">
        <f t="shared" si="109"/>
        <v/>
      </c>
      <c r="W1779" s="314" t="str" cm="1">
        <f t="array" aca="1" ref="W1779" ca="1">IFERROR(IF(AE1779&lt;&gt;"ja",_xlfn.IFNA(_xlfn.IFS(AND(O1779&lt;&gt;"",F1779&lt;&gt;"",RIGHT($N1779,6)="tarief",F1779="Vergoeding"),SUM(O1779)*FLOOR(SUM(Q1779),0.0001),AND(O1779&lt;&gt;"",F1779&lt;&gt;"",RIGHT($N1779,6)="tarief"),SUM(O1779)*FLOOR(SUM(Q1779),0.01),S1779&gt;0,IF(F1779&lt;&gt;"",FLOOR(SUM(S1779),0.01),"")),""),""),"")</f>
        <v/>
      </c>
      <c r="X1779" s="314" t="str" cm="1">
        <f t="array" aca="1" ref="X1779" ca="1">IFERROR(IF(AE1779&lt;&gt;"ja",_xlfn.IFNA(_xlfn.IFS(AND(P1779&lt;&gt;"",R1779&lt;&gt;"",RIGHT($N1779,6)="tarief",F1779="Vergoeding"),SUM(P1779)*FLOOR(SUM(R1779),0.0001),AND(P1779&lt;&gt;"",R1779&lt;&gt;"",RIGHT($N1779,6)="tarief"),P1779*FLOOR(R1779,0.01),T1779&gt;0,FLOOR(SUM(T1779),0.01)),""),""),"")</f>
        <v/>
      </c>
      <c r="Y1779" s="314" t="str">
        <f t="shared" ca="1" si="110"/>
        <v/>
      </c>
      <c r="Z1779" s="314" t="str" cm="1">
        <f t="array" aca="1" ref="Z1779" ca="1">IFERROR(_xlfn.IFS(OR(F1779="",LEFT(Methode_Keuze,4)="Geen",Methode_Keuze=""),"",AND(W1779&lt;&gt;"",F1779&lt;&gt;"Arbeidskosten"),W1779*VLOOKUP(F1779,Tb_ProjectKosten[],MATCH(Tb_ProjectKosten[[#Headers],[Forfait_Percentage]],Tb_ProjectKosten[#Headers],0),0),AND(F1779="Arbeidskosten",G1779&lt;&gt;""),IFERROR(W1779*VLOOKUP(G1779,Tb_KostenTypen[],3,0)*VLOOKUP(F1779,Tb_ProjectKosten[],MATCH(Tb_ProjectKosten[[#Headers],[Forfait_Percentage]],Tb_ProjectKosten[#Headers],0),0),""),W1779 &lt;=0,0),"")</f>
        <v/>
      </c>
      <c r="AA1779" s="314" t="str" cm="1">
        <f t="array" aca="1" ref="AA1779" ca="1">IFERROR(_xlfn.IFS(OR(F1779="",LEFT(Methode_Keuze,4)="Geen",Methode_Keuze=""),"",AND(X1779&lt;&gt;"",F1779&lt;&gt;"Arbeidskosten"),X1779*VLOOKUP(F1779,Tb_ProjectKosten[],MATCH(Tb_ProjectKosten[[#Headers],[Forfait_Percentage]],Tb_ProjectKosten[#Headers],0),0),AND(F1779="Arbeidskosten",G1779&lt;&gt;""),IFERROR(X1779*VLOOKUP(G1779,Tb_KostenTypen[],3,0)*VLOOKUP(F1779,Tb_ProjectKosten[],MATCH(Tb_ProjectKosten[[#Headers],[Forfait_Percentage]],Tb_ProjectKosten[#Headers],0),0),""),X1779 &lt;=0,0),"")</f>
        <v/>
      </c>
      <c r="AB1779" s="314" t="str">
        <f t="shared" ca="1" si="111"/>
        <v/>
      </c>
      <c r="AC1779" s="322"/>
      <c r="AD1779" s="315"/>
      <c r="AE1779" s="32" t="str" cm="1">
        <f t="array" ref="AE1779">IFERROR(IF(INDEX(SubsidieTabel!$AD$1:$AG$12,MATCH($F1779,SubsidieTabel!$AD$1:$AD$12,0),IFERROR(MATCH(Methode_Keuze,SubsidieTabel!$AD$1:$AG$1,0),2))&lt;&gt;1=TRUE,"ja",""),"")</f>
        <v/>
      </c>
    </row>
    <row r="1780" spans="1:31" x14ac:dyDescent="0.25">
      <c r="A1780" s="316"/>
      <c r="B1780" s="317" t="str">
        <f>IF(A1780&lt;&gt;"",_xlfn.MAXIFS($B$1:B1779,$A$1:A1779,A1780)+1,"")</f>
        <v/>
      </c>
      <c r="C1780" s="296"/>
      <c r="D1780" s="296"/>
      <c r="E1780" s="296"/>
      <c r="F1780" s="296"/>
      <c r="G1780" s="326"/>
      <c r="H1780" s="324"/>
      <c r="I1780" s="325"/>
      <c r="J1780" s="325"/>
      <c r="K1780" s="318"/>
      <c r="L1780" s="318"/>
      <c r="M1780" s="319" t="str">
        <f>IFERROR(VLOOKUP(H1780,Lijsten!$H$1:$I$100,2,0),"")</f>
        <v/>
      </c>
      <c r="N1780" s="319" t="str">
        <f ca="1">IFERROR(IF(VLOOKUP(F1780,Kostentypen!$A$3:$E$21,3,0)=0,"",IF(OR(F1780="Arbeidskosten",F1780="Vergoeding"),VLOOKUP(G1780,Tb_KostenTypen[],2,0),VLOOKUP(F1780,Kostentypen!$A$3:$E$20,3,0))),"")</f>
        <v/>
      </c>
      <c r="O1780" s="320" t="str" cm="1">
        <f t="array" ref="O1780">_xlfn.IFNA(IF(INDEX(Tb_KostenOptiesDB[],MATCH($F1780,Tb_KostenOptiesDB[KostenOptie],0),IFERROR(MATCH(Methode_Keuze,Tb_KostenOptiesDB[#Headers],0),2))=1,_xlfn.SWITCH($N1780,"Uurtarief",IF(OR(AND(RIGHT($F1780,3)="IKS",VLOOKUP($M1780,DB_Loonkosten,2,0)="Ja"),AND(RIGHT($F1780,3)&lt;&gt;"IKS",VLOOKUP($M1780,DB_Loonkosten,2,0)="Nee")),IFERROR(VLOOKUP($M1780,DB_Loonkosten,24,0),""),0),"Vast tarief",IF(LEFT(F1780,8)="Bijdrage",VLOOKUP($F1780,Tb_KostenTypen[],MATCH(Lijsten!$P$1,Tb_KostenTypen[#Headers],0),0),VLOOKUP($G1780,Lijsten!L:P,MATCH(Lijsten!$P$1,Kop_Tarief_Vast,0),0))),""),"")</f>
        <v/>
      </c>
      <c r="P1780" s="320" t="str" cm="1">
        <f t="array" ref="P1780">_xlfn.IFNA(IF(INDEX(Tb_KostenOptiesDB[],MATCH($F1780,Tb_KostenOptiesDB[KostenOptie],0),IFERROR(MATCH(Methode_Keuze,Tb_KostenOptiesDB[#Headers],0),2))=1,_xlfn.SWITCH($N1780,"Uurtarief",IF(OR(AND(RIGHT($F1780,3)="IKS",VLOOKUP($M1780,DB_Loonkosten,2,0)="Ja"),AND(RIGHT($F1780,3)&lt;&gt;"IKS",VLOOKUP($M1780,DB_Loonkosten,2,0)="Nee")),IFERROR(VLOOKUP($M1780,DB_Loonkosten,25,0),""),0),"Vast tarief",IF(LEFT(F1780,8)="Bijdrage",VLOOKUP($F1780,Tb_KostenTypen[],MATCH(Lijsten!$P$1,Tb_KostenTypen[#Headers],0),0),VLOOKUP($G1780,Lijsten!L:P,MATCH(Lijsten!$P$1,Kop_Tarief_Vast,0),0))),""),"")</f>
        <v/>
      </c>
      <c r="Q1780" s="359"/>
      <c r="R1780" s="359"/>
      <c r="S1780" s="321"/>
      <c r="T1780" s="321"/>
      <c r="U1780" s="373" t="str">
        <f t="shared" si="108"/>
        <v/>
      </c>
      <c r="V1780" s="314" t="str">
        <f t="shared" si="109"/>
        <v/>
      </c>
      <c r="W1780" s="314" t="str" cm="1">
        <f t="array" aca="1" ref="W1780" ca="1">IFERROR(IF(AE1780&lt;&gt;"ja",_xlfn.IFNA(_xlfn.IFS(AND(O1780&lt;&gt;"",F1780&lt;&gt;"",RIGHT($N1780,6)="tarief",F1780="Vergoeding"),SUM(O1780)*FLOOR(SUM(Q1780),0.0001),AND(O1780&lt;&gt;"",F1780&lt;&gt;"",RIGHT($N1780,6)="tarief"),SUM(O1780)*FLOOR(SUM(Q1780),0.01),S1780&gt;0,IF(F1780&lt;&gt;"",FLOOR(SUM(S1780),0.01),"")),""),""),"")</f>
        <v/>
      </c>
      <c r="X1780" s="314" t="str" cm="1">
        <f t="array" aca="1" ref="X1780" ca="1">IFERROR(IF(AE1780&lt;&gt;"ja",_xlfn.IFNA(_xlfn.IFS(AND(P1780&lt;&gt;"",R1780&lt;&gt;"",RIGHT($N1780,6)="tarief",F1780="Vergoeding"),SUM(P1780)*FLOOR(SUM(R1780),0.0001),AND(P1780&lt;&gt;"",R1780&lt;&gt;"",RIGHT($N1780,6)="tarief"),P1780*FLOOR(R1780,0.01),T1780&gt;0,FLOOR(SUM(T1780),0.01)),""),""),"")</f>
        <v/>
      </c>
      <c r="Y1780" s="314" t="str">
        <f t="shared" ca="1" si="110"/>
        <v/>
      </c>
      <c r="Z1780" s="314" t="str" cm="1">
        <f t="array" aca="1" ref="Z1780" ca="1">IFERROR(_xlfn.IFS(OR(F1780="",LEFT(Methode_Keuze,4)="Geen",Methode_Keuze=""),"",AND(W1780&lt;&gt;"",F1780&lt;&gt;"Arbeidskosten"),W1780*VLOOKUP(F1780,Tb_ProjectKosten[],MATCH(Tb_ProjectKosten[[#Headers],[Forfait_Percentage]],Tb_ProjectKosten[#Headers],0),0),AND(F1780="Arbeidskosten",G1780&lt;&gt;""),IFERROR(W1780*VLOOKUP(G1780,Tb_KostenTypen[],3,0)*VLOOKUP(F1780,Tb_ProjectKosten[],MATCH(Tb_ProjectKosten[[#Headers],[Forfait_Percentage]],Tb_ProjectKosten[#Headers],0),0),""),W1780 &lt;=0,0),"")</f>
        <v/>
      </c>
      <c r="AA1780" s="314" t="str" cm="1">
        <f t="array" aca="1" ref="AA1780" ca="1">IFERROR(_xlfn.IFS(OR(F1780="",LEFT(Methode_Keuze,4)="Geen",Methode_Keuze=""),"",AND(X1780&lt;&gt;"",F1780&lt;&gt;"Arbeidskosten"),X1780*VLOOKUP(F1780,Tb_ProjectKosten[],MATCH(Tb_ProjectKosten[[#Headers],[Forfait_Percentage]],Tb_ProjectKosten[#Headers],0),0),AND(F1780="Arbeidskosten",G1780&lt;&gt;""),IFERROR(X1780*VLOOKUP(G1780,Tb_KostenTypen[],3,0)*VLOOKUP(F1780,Tb_ProjectKosten[],MATCH(Tb_ProjectKosten[[#Headers],[Forfait_Percentage]],Tb_ProjectKosten[#Headers],0),0),""),X1780 &lt;=0,0),"")</f>
        <v/>
      </c>
      <c r="AB1780" s="314" t="str">
        <f t="shared" ca="1" si="111"/>
        <v/>
      </c>
      <c r="AC1780" s="322"/>
      <c r="AD1780" s="315"/>
      <c r="AE1780" s="32" t="str" cm="1">
        <f t="array" ref="AE1780">IFERROR(IF(INDEX(SubsidieTabel!$AD$1:$AG$12,MATCH($F1780,SubsidieTabel!$AD$1:$AD$12,0),IFERROR(MATCH(Methode_Keuze,SubsidieTabel!$AD$1:$AG$1,0),2))&lt;&gt;1=TRUE,"ja",""),"")</f>
        <v/>
      </c>
    </row>
    <row r="1781" spans="1:31" x14ac:dyDescent="0.25">
      <c r="A1781" s="316"/>
      <c r="B1781" s="317" t="str">
        <f>IF(A1781&lt;&gt;"",_xlfn.MAXIFS($B$1:B1780,$A$1:A1780,A1781)+1,"")</f>
        <v/>
      </c>
      <c r="C1781" s="296"/>
      <c r="D1781" s="296"/>
      <c r="E1781" s="296"/>
      <c r="F1781" s="296"/>
      <c r="G1781" s="326"/>
      <c r="H1781" s="324"/>
      <c r="I1781" s="325"/>
      <c r="J1781" s="325"/>
      <c r="K1781" s="318"/>
      <c r="L1781" s="318"/>
      <c r="M1781" s="319" t="str">
        <f>IFERROR(VLOOKUP(H1781,Lijsten!$H$1:$I$100,2,0),"")</f>
        <v/>
      </c>
      <c r="N1781" s="319" t="str">
        <f ca="1">IFERROR(IF(VLOOKUP(F1781,Kostentypen!$A$3:$E$21,3,0)=0,"",IF(OR(F1781="Arbeidskosten",F1781="Vergoeding"),VLOOKUP(G1781,Tb_KostenTypen[],2,0),VLOOKUP(F1781,Kostentypen!$A$3:$E$20,3,0))),"")</f>
        <v/>
      </c>
      <c r="O1781" s="320" t="str" cm="1">
        <f t="array" ref="O1781">_xlfn.IFNA(IF(INDEX(Tb_KostenOptiesDB[],MATCH($F1781,Tb_KostenOptiesDB[KostenOptie],0),IFERROR(MATCH(Methode_Keuze,Tb_KostenOptiesDB[#Headers],0),2))=1,_xlfn.SWITCH($N1781,"Uurtarief",IF(OR(AND(RIGHT($F1781,3)="IKS",VLOOKUP($M1781,DB_Loonkosten,2,0)="Ja"),AND(RIGHT($F1781,3)&lt;&gt;"IKS",VLOOKUP($M1781,DB_Loonkosten,2,0)="Nee")),IFERROR(VLOOKUP($M1781,DB_Loonkosten,24,0),""),0),"Vast tarief",IF(LEFT(F1781,8)="Bijdrage",VLOOKUP($F1781,Tb_KostenTypen[],MATCH(Lijsten!$P$1,Tb_KostenTypen[#Headers],0),0),VLOOKUP($G1781,Lijsten!L:P,MATCH(Lijsten!$P$1,Kop_Tarief_Vast,0),0))),""),"")</f>
        <v/>
      </c>
      <c r="P1781" s="320" t="str" cm="1">
        <f t="array" ref="P1781">_xlfn.IFNA(IF(INDEX(Tb_KostenOptiesDB[],MATCH($F1781,Tb_KostenOptiesDB[KostenOptie],0),IFERROR(MATCH(Methode_Keuze,Tb_KostenOptiesDB[#Headers],0),2))=1,_xlfn.SWITCH($N1781,"Uurtarief",IF(OR(AND(RIGHT($F1781,3)="IKS",VLOOKUP($M1781,DB_Loonkosten,2,0)="Ja"),AND(RIGHT($F1781,3)&lt;&gt;"IKS",VLOOKUP($M1781,DB_Loonkosten,2,0)="Nee")),IFERROR(VLOOKUP($M1781,DB_Loonkosten,25,0),""),0),"Vast tarief",IF(LEFT(F1781,8)="Bijdrage",VLOOKUP($F1781,Tb_KostenTypen[],MATCH(Lijsten!$P$1,Tb_KostenTypen[#Headers],0),0),VLOOKUP($G1781,Lijsten!L:P,MATCH(Lijsten!$P$1,Kop_Tarief_Vast,0),0))),""),"")</f>
        <v/>
      </c>
      <c r="Q1781" s="359"/>
      <c r="R1781" s="359"/>
      <c r="S1781" s="321"/>
      <c r="T1781" s="321"/>
      <c r="U1781" s="373" t="str">
        <f t="shared" si="108"/>
        <v/>
      </c>
      <c r="V1781" s="314" t="str">
        <f t="shared" si="109"/>
        <v/>
      </c>
      <c r="W1781" s="314" t="str" cm="1">
        <f t="array" aca="1" ref="W1781" ca="1">IFERROR(IF(AE1781&lt;&gt;"ja",_xlfn.IFNA(_xlfn.IFS(AND(O1781&lt;&gt;"",F1781&lt;&gt;"",RIGHT($N1781,6)="tarief",F1781="Vergoeding"),SUM(O1781)*FLOOR(SUM(Q1781),0.0001),AND(O1781&lt;&gt;"",F1781&lt;&gt;"",RIGHT($N1781,6)="tarief"),SUM(O1781)*FLOOR(SUM(Q1781),0.01),S1781&gt;0,IF(F1781&lt;&gt;"",FLOOR(SUM(S1781),0.01),"")),""),""),"")</f>
        <v/>
      </c>
      <c r="X1781" s="314" t="str" cm="1">
        <f t="array" aca="1" ref="X1781" ca="1">IFERROR(IF(AE1781&lt;&gt;"ja",_xlfn.IFNA(_xlfn.IFS(AND(P1781&lt;&gt;"",R1781&lt;&gt;"",RIGHT($N1781,6)="tarief",F1781="Vergoeding"),SUM(P1781)*FLOOR(SUM(R1781),0.0001),AND(P1781&lt;&gt;"",R1781&lt;&gt;"",RIGHT($N1781,6)="tarief"),P1781*FLOOR(R1781,0.01),T1781&gt;0,FLOOR(SUM(T1781),0.01)),""),""),"")</f>
        <v/>
      </c>
      <c r="Y1781" s="314" t="str">
        <f t="shared" ca="1" si="110"/>
        <v/>
      </c>
      <c r="Z1781" s="314" t="str" cm="1">
        <f t="array" aca="1" ref="Z1781" ca="1">IFERROR(_xlfn.IFS(OR(F1781="",LEFT(Methode_Keuze,4)="Geen",Methode_Keuze=""),"",AND(W1781&lt;&gt;"",F1781&lt;&gt;"Arbeidskosten"),W1781*VLOOKUP(F1781,Tb_ProjectKosten[],MATCH(Tb_ProjectKosten[[#Headers],[Forfait_Percentage]],Tb_ProjectKosten[#Headers],0),0),AND(F1781="Arbeidskosten",G1781&lt;&gt;""),IFERROR(W1781*VLOOKUP(G1781,Tb_KostenTypen[],3,0)*VLOOKUP(F1781,Tb_ProjectKosten[],MATCH(Tb_ProjectKosten[[#Headers],[Forfait_Percentage]],Tb_ProjectKosten[#Headers],0),0),""),W1781 &lt;=0,0),"")</f>
        <v/>
      </c>
      <c r="AA1781" s="314" t="str" cm="1">
        <f t="array" aca="1" ref="AA1781" ca="1">IFERROR(_xlfn.IFS(OR(F1781="",LEFT(Methode_Keuze,4)="Geen",Methode_Keuze=""),"",AND(X1781&lt;&gt;"",F1781&lt;&gt;"Arbeidskosten"),X1781*VLOOKUP(F1781,Tb_ProjectKosten[],MATCH(Tb_ProjectKosten[[#Headers],[Forfait_Percentage]],Tb_ProjectKosten[#Headers],0),0),AND(F1781="Arbeidskosten",G1781&lt;&gt;""),IFERROR(X1781*VLOOKUP(G1781,Tb_KostenTypen[],3,0)*VLOOKUP(F1781,Tb_ProjectKosten[],MATCH(Tb_ProjectKosten[[#Headers],[Forfait_Percentage]],Tb_ProjectKosten[#Headers],0),0),""),X1781 &lt;=0,0),"")</f>
        <v/>
      </c>
      <c r="AB1781" s="314" t="str">
        <f t="shared" ca="1" si="111"/>
        <v/>
      </c>
      <c r="AC1781" s="322"/>
      <c r="AD1781" s="315"/>
      <c r="AE1781" s="32" t="str" cm="1">
        <f t="array" ref="AE1781">IFERROR(IF(INDEX(SubsidieTabel!$AD$1:$AG$12,MATCH($F1781,SubsidieTabel!$AD$1:$AD$12,0),IFERROR(MATCH(Methode_Keuze,SubsidieTabel!$AD$1:$AG$1,0),2))&lt;&gt;1=TRUE,"ja",""),"")</f>
        <v/>
      </c>
    </row>
    <row r="1782" spans="1:31" x14ac:dyDescent="0.25">
      <c r="A1782" s="316"/>
      <c r="B1782" s="317" t="str">
        <f>IF(A1782&lt;&gt;"",_xlfn.MAXIFS($B$1:B1781,$A$1:A1781,A1782)+1,"")</f>
        <v/>
      </c>
      <c r="C1782" s="296"/>
      <c r="D1782" s="296"/>
      <c r="E1782" s="296"/>
      <c r="F1782" s="296"/>
      <c r="G1782" s="326"/>
      <c r="H1782" s="324"/>
      <c r="I1782" s="325"/>
      <c r="J1782" s="325"/>
      <c r="K1782" s="318"/>
      <c r="L1782" s="318"/>
      <c r="M1782" s="319" t="str">
        <f>IFERROR(VLOOKUP(H1782,Lijsten!$H$1:$I$100,2,0),"")</f>
        <v/>
      </c>
      <c r="N1782" s="319" t="str">
        <f ca="1">IFERROR(IF(VLOOKUP(F1782,Kostentypen!$A$3:$E$21,3,0)=0,"",IF(OR(F1782="Arbeidskosten",F1782="Vergoeding"),VLOOKUP(G1782,Tb_KostenTypen[],2,0),VLOOKUP(F1782,Kostentypen!$A$3:$E$20,3,0))),"")</f>
        <v/>
      </c>
      <c r="O1782" s="320" t="str" cm="1">
        <f t="array" ref="O1782">_xlfn.IFNA(IF(INDEX(Tb_KostenOptiesDB[],MATCH($F1782,Tb_KostenOptiesDB[KostenOptie],0),IFERROR(MATCH(Methode_Keuze,Tb_KostenOptiesDB[#Headers],0),2))=1,_xlfn.SWITCH($N1782,"Uurtarief",IF(OR(AND(RIGHT($F1782,3)="IKS",VLOOKUP($M1782,DB_Loonkosten,2,0)="Ja"),AND(RIGHT($F1782,3)&lt;&gt;"IKS",VLOOKUP($M1782,DB_Loonkosten,2,0)="Nee")),IFERROR(VLOOKUP($M1782,DB_Loonkosten,24,0),""),0),"Vast tarief",IF(LEFT(F1782,8)="Bijdrage",VLOOKUP($F1782,Tb_KostenTypen[],MATCH(Lijsten!$P$1,Tb_KostenTypen[#Headers],0),0),VLOOKUP($G1782,Lijsten!L:P,MATCH(Lijsten!$P$1,Kop_Tarief_Vast,0),0))),""),"")</f>
        <v/>
      </c>
      <c r="P1782" s="320" t="str" cm="1">
        <f t="array" ref="P1782">_xlfn.IFNA(IF(INDEX(Tb_KostenOptiesDB[],MATCH($F1782,Tb_KostenOptiesDB[KostenOptie],0),IFERROR(MATCH(Methode_Keuze,Tb_KostenOptiesDB[#Headers],0),2))=1,_xlfn.SWITCH($N1782,"Uurtarief",IF(OR(AND(RIGHT($F1782,3)="IKS",VLOOKUP($M1782,DB_Loonkosten,2,0)="Ja"),AND(RIGHT($F1782,3)&lt;&gt;"IKS",VLOOKUP($M1782,DB_Loonkosten,2,0)="Nee")),IFERROR(VLOOKUP($M1782,DB_Loonkosten,25,0),""),0),"Vast tarief",IF(LEFT(F1782,8)="Bijdrage",VLOOKUP($F1782,Tb_KostenTypen[],MATCH(Lijsten!$P$1,Tb_KostenTypen[#Headers],0),0),VLOOKUP($G1782,Lijsten!L:P,MATCH(Lijsten!$P$1,Kop_Tarief_Vast,0),0))),""),"")</f>
        <v/>
      </c>
      <c r="Q1782" s="359"/>
      <c r="R1782" s="359"/>
      <c r="S1782" s="321"/>
      <c r="T1782" s="321"/>
      <c r="U1782" s="373" t="str">
        <f t="shared" si="108"/>
        <v/>
      </c>
      <c r="V1782" s="314" t="str">
        <f t="shared" si="109"/>
        <v/>
      </c>
      <c r="W1782" s="314" t="str" cm="1">
        <f t="array" aca="1" ref="W1782" ca="1">IFERROR(IF(AE1782&lt;&gt;"ja",_xlfn.IFNA(_xlfn.IFS(AND(O1782&lt;&gt;"",F1782&lt;&gt;"",RIGHT($N1782,6)="tarief",F1782="Vergoeding"),SUM(O1782)*FLOOR(SUM(Q1782),0.0001),AND(O1782&lt;&gt;"",F1782&lt;&gt;"",RIGHT($N1782,6)="tarief"),SUM(O1782)*FLOOR(SUM(Q1782),0.01),S1782&gt;0,IF(F1782&lt;&gt;"",FLOOR(SUM(S1782),0.01),"")),""),""),"")</f>
        <v/>
      </c>
      <c r="X1782" s="314" t="str" cm="1">
        <f t="array" aca="1" ref="X1782" ca="1">IFERROR(IF(AE1782&lt;&gt;"ja",_xlfn.IFNA(_xlfn.IFS(AND(P1782&lt;&gt;"",R1782&lt;&gt;"",RIGHT($N1782,6)="tarief",F1782="Vergoeding"),SUM(P1782)*FLOOR(SUM(R1782),0.0001),AND(P1782&lt;&gt;"",R1782&lt;&gt;"",RIGHT($N1782,6)="tarief"),P1782*FLOOR(R1782,0.01),T1782&gt;0,FLOOR(SUM(T1782),0.01)),""),""),"")</f>
        <v/>
      </c>
      <c r="Y1782" s="314" t="str">
        <f t="shared" ca="1" si="110"/>
        <v/>
      </c>
      <c r="Z1782" s="314" t="str" cm="1">
        <f t="array" aca="1" ref="Z1782" ca="1">IFERROR(_xlfn.IFS(OR(F1782="",LEFT(Methode_Keuze,4)="Geen",Methode_Keuze=""),"",AND(W1782&lt;&gt;"",F1782&lt;&gt;"Arbeidskosten"),W1782*VLOOKUP(F1782,Tb_ProjectKosten[],MATCH(Tb_ProjectKosten[[#Headers],[Forfait_Percentage]],Tb_ProjectKosten[#Headers],0),0),AND(F1782="Arbeidskosten",G1782&lt;&gt;""),IFERROR(W1782*VLOOKUP(G1782,Tb_KostenTypen[],3,0)*VLOOKUP(F1782,Tb_ProjectKosten[],MATCH(Tb_ProjectKosten[[#Headers],[Forfait_Percentage]],Tb_ProjectKosten[#Headers],0),0),""),W1782 &lt;=0,0),"")</f>
        <v/>
      </c>
      <c r="AA1782" s="314" t="str" cm="1">
        <f t="array" aca="1" ref="AA1782" ca="1">IFERROR(_xlfn.IFS(OR(F1782="",LEFT(Methode_Keuze,4)="Geen",Methode_Keuze=""),"",AND(X1782&lt;&gt;"",F1782&lt;&gt;"Arbeidskosten"),X1782*VLOOKUP(F1782,Tb_ProjectKosten[],MATCH(Tb_ProjectKosten[[#Headers],[Forfait_Percentage]],Tb_ProjectKosten[#Headers],0),0),AND(F1782="Arbeidskosten",G1782&lt;&gt;""),IFERROR(X1782*VLOOKUP(G1782,Tb_KostenTypen[],3,0)*VLOOKUP(F1782,Tb_ProjectKosten[],MATCH(Tb_ProjectKosten[[#Headers],[Forfait_Percentage]],Tb_ProjectKosten[#Headers],0),0),""),X1782 &lt;=0,0),"")</f>
        <v/>
      </c>
      <c r="AB1782" s="314" t="str">
        <f t="shared" ca="1" si="111"/>
        <v/>
      </c>
      <c r="AC1782" s="322"/>
      <c r="AD1782" s="315"/>
      <c r="AE1782" s="32" t="str" cm="1">
        <f t="array" ref="AE1782">IFERROR(IF(INDEX(SubsidieTabel!$AD$1:$AG$12,MATCH($F1782,SubsidieTabel!$AD$1:$AD$12,0),IFERROR(MATCH(Methode_Keuze,SubsidieTabel!$AD$1:$AG$1,0),2))&lt;&gt;1=TRUE,"ja",""),"")</f>
        <v/>
      </c>
    </row>
    <row r="1783" spans="1:31" x14ac:dyDescent="0.25">
      <c r="A1783" s="316"/>
      <c r="B1783" s="317" t="str">
        <f>IF(A1783&lt;&gt;"",_xlfn.MAXIFS($B$1:B1782,$A$1:A1782,A1783)+1,"")</f>
        <v/>
      </c>
      <c r="C1783" s="296"/>
      <c r="D1783" s="296"/>
      <c r="E1783" s="296"/>
      <c r="F1783" s="296"/>
      <c r="G1783" s="326"/>
      <c r="H1783" s="324"/>
      <c r="I1783" s="325"/>
      <c r="J1783" s="325"/>
      <c r="K1783" s="318"/>
      <c r="L1783" s="318"/>
      <c r="M1783" s="319" t="str">
        <f>IFERROR(VLOOKUP(H1783,Lijsten!$H$1:$I$100,2,0),"")</f>
        <v/>
      </c>
      <c r="N1783" s="319" t="str">
        <f ca="1">IFERROR(IF(VLOOKUP(F1783,Kostentypen!$A$3:$E$21,3,0)=0,"",IF(OR(F1783="Arbeidskosten",F1783="Vergoeding"),VLOOKUP(G1783,Tb_KostenTypen[],2,0),VLOOKUP(F1783,Kostentypen!$A$3:$E$20,3,0))),"")</f>
        <v/>
      </c>
      <c r="O1783" s="320" t="str" cm="1">
        <f t="array" ref="O1783">_xlfn.IFNA(IF(INDEX(Tb_KostenOptiesDB[],MATCH($F1783,Tb_KostenOptiesDB[KostenOptie],0),IFERROR(MATCH(Methode_Keuze,Tb_KostenOptiesDB[#Headers],0),2))=1,_xlfn.SWITCH($N1783,"Uurtarief",IF(OR(AND(RIGHT($F1783,3)="IKS",VLOOKUP($M1783,DB_Loonkosten,2,0)="Ja"),AND(RIGHT($F1783,3)&lt;&gt;"IKS",VLOOKUP($M1783,DB_Loonkosten,2,0)="Nee")),IFERROR(VLOOKUP($M1783,DB_Loonkosten,24,0),""),0),"Vast tarief",IF(LEFT(F1783,8)="Bijdrage",VLOOKUP($F1783,Tb_KostenTypen[],MATCH(Lijsten!$P$1,Tb_KostenTypen[#Headers],0),0),VLOOKUP($G1783,Lijsten!L:P,MATCH(Lijsten!$P$1,Kop_Tarief_Vast,0),0))),""),"")</f>
        <v/>
      </c>
      <c r="P1783" s="320" t="str" cm="1">
        <f t="array" ref="P1783">_xlfn.IFNA(IF(INDEX(Tb_KostenOptiesDB[],MATCH($F1783,Tb_KostenOptiesDB[KostenOptie],0),IFERROR(MATCH(Methode_Keuze,Tb_KostenOptiesDB[#Headers],0),2))=1,_xlfn.SWITCH($N1783,"Uurtarief",IF(OR(AND(RIGHT($F1783,3)="IKS",VLOOKUP($M1783,DB_Loonkosten,2,0)="Ja"),AND(RIGHT($F1783,3)&lt;&gt;"IKS",VLOOKUP($M1783,DB_Loonkosten,2,0)="Nee")),IFERROR(VLOOKUP($M1783,DB_Loonkosten,25,0),""),0),"Vast tarief",IF(LEFT(F1783,8)="Bijdrage",VLOOKUP($F1783,Tb_KostenTypen[],MATCH(Lijsten!$P$1,Tb_KostenTypen[#Headers],0),0),VLOOKUP($G1783,Lijsten!L:P,MATCH(Lijsten!$P$1,Kop_Tarief_Vast,0),0))),""),"")</f>
        <v/>
      </c>
      <c r="Q1783" s="359"/>
      <c r="R1783" s="359"/>
      <c r="S1783" s="321"/>
      <c r="T1783" s="321"/>
      <c r="U1783" s="373" t="str">
        <f t="shared" si="108"/>
        <v/>
      </c>
      <c r="V1783" s="314" t="str">
        <f t="shared" si="109"/>
        <v/>
      </c>
      <c r="W1783" s="314" t="str" cm="1">
        <f t="array" aca="1" ref="W1783" ca="1">IFERROR(IF(AE1783&lt;&gt;"ja",_xlfn.IFNA(_xlfn.IFS(AND(O1783&lt;&gt;"",F1783&lt;&gt;"",RIGHT($N1783,6)="tarief",F1783="Vergoeding"),SUM(O1783)*FLOOR(SUM(Q1783),0.0001),AND(O1783&lt;&gt;"",F1783&lt;&gt;"",RIGHT($N1783,6)="tarief"),SUM(O1783)*FLOOR(SUM(Q1783),0.01),S1783&gt;0,IF(F1783&lt;&gt;"",FLOOR(SUM(S1783),0.01),"")),""),""),"")</f>
        <v/>
      </c>
      <c r="X1783" s="314" t="str" cm="1">
        <f t="array" aca="1" ref="X1783" ca="1">IFERROR(IF(AE1783&lt;&gt;"ja",_xlfn.IFNA(_xlfn.IFS(AND(P1783&lt;&gt;"",R1783&lt;&gt;"",RIGHT($N1783,6)="tarief",F1783="Vergoeding"),SUM(P1783)*FLOOR(SUM(R1783),0.0001),AND(P1783&lt;&gt;"",R1783&lt;&gt;"",RIGHT($N1783,6)="tarief"),P1783*FLOOR(R1783,0.01),T1783&gt;0,FLOOR(SUM(T1783),0.01)),""),""),"")</f>
        <v/>
      </c>
      <c r="Y1783" s="314" t="str">
        <f t="shared" ca="1" si="110"/>
        <v/>
      </c>
      <c r="Z1783" s="314" t="str" cm="1">
        <f t="array" aca="1" ref="Z1783" ca="1">IFERROR(_xlfn.IFS(OR(F1783="",LEFT(Methode_Keuze,4)="Geen",Methode_Keuze=""),"",AND(W1783&lt;&gt;"",F1783&lt;&gt;"Arbeidskosten"),W1783*VLOOKUP(F1783,Tb_ProjectKosten[],MATCH(Tb_ProjectKosten[[#Headers],[Forfait_Percentage]],Tb_ProjectKosten[#Headers],0),0),AND(F1783="Arbeidskosten",G1783&lt;&gt;""),IFERROR(W1783*VLOOKUP(G1783,Tb_KostenTypen[],3,0)*VLOOKUP(F1783,Tb_ProjectKosten[],MATCH(Tb_ProjectKosten[[#Headers],[Forfait_Percentage]],Tb_ProjectKosten[#Headers],0),0),""),W1783 &lt;=0,0),"")</f>
        <v/>
      </c>
      <c r="AA1783" s="314" t="str" cm="1">
        <f t="array" aca="1" ref="AA1783" ca="1">IFERROR(_xlfn.IFS(OR(F1783="",LEFT(Methode_Keuze,4)="Geen",Methode_Keuze=""),"",AND(X1783&lt;&gt;"",F1783&lt;&gt;"Arbeidskosten"),X1783*VLOOKUP(F1783,Tb_ProjectKosten[],MATCH(Tb_ProjectKosten[[#Headers],[Forfait_Percentage]],Tb_ProjectKosten[#Headers],0),0),AND(F1783="Arbeidskosten",G1783&lt;&gt;""),IFERROR(X1783*VLOOKUP(G1783,Tb_KostenTypen[],3,0)*VLOOKUP(F1783,Tb_ProjectKosten[],MATCH(Tb_ProjectKosten[[#Headers],[Forfait_Percentage]],Tb_ProjectKosten[#Headers],0),0),""),X1783 &lt;=0,0),"")</f>
        <v/>
      </c>
      <c r="AB1783" s="314" t="str">
        <f t="shared" ca="1" si="111"/>
        <v/>
      </c>
      <c r="AC1783" s="322"/>
      <c r="AD1783" s="315"/>
      <c r="AE1783" s="32" t="str" cm="1">
        <f t="array" ref="AE1783">IFERROR(IF(INDEX(SubsidieTabel!$AD$1:$AG$12,MATCH($F1783,SubsidieTabel!$AD$1:$AD$12,0),IFERROR(MATCH(Methode_Keuze,SubsidieTabel!$AD$1:$AG$1,0),2))&lt;&gt;1=TRUE,"ja",""),"")</f>
        <v/>
      </c>
    </row>
    <row r="1784" spans="1:31" x14ac:dyDescent="0.25">
      <c r="A1784" s="316"/>
      <c r="B1784" s="317" t="str">
        <f>IF(A1784&lt;&gt;"",_xlfn.MAXIFS($B$1:B1783,$A$1:A1783,A1784)+1,"")</f>
        <v/>
      </c>
      <c r="C1784" s="296"/>
      <c r="D1784" s="296"/>
      <c r="E1784" s="296"/>
      <c r="F1784" s="296"/>
      <c r="G1784" s="326"/>
      <c r="H1784" s="324"/>
      <c r="I1784" s="325"/>
      <c r="J1784" s="325"/>
      <c r="K1784" s="318"/>
      <c r="L1784" s="318"/>
      <c r="M1784" s="319" t="str">
        <f>IFERROR(VLOOKUP(H1784,Lijsten!$H$1:$I$100,2,0),"")</f>
        <v/>
      </c>
      <c r="N1784" s="319" t="str">
        <f ca="1">IFERROR(IF(VLOOKUP(F1784,Kostentypen!$A$3:$E$21,3,0)=0,"",IF(OR(F1784="Arbeidskosten",F1784="Vergoeding"),VLOOKUP(G1784,Tb_KostenTypen[],2,0),VLOOKUP(F1784,Kostentypen!$A$3:$E$20,3,0))),"")</f>
        <v/>
      </c>
      <c r="O1784" s="320" t="str" cm="1">
        <f t="array" ref="O1784">_xlfn.IFNA(IF(INDEX(Tb_KostenOptiesDB[],MATCH($F1784,Tb_KostenOptiesDB[KostenOptie],0),IFERROR(MATCH(Methode_Keuze,Tb_KostenOptiesDB[#Headers],0),2))=1,_xlfn.SWITCH($N1784,"Uurtarief",IF(OR(AND(RIGHT($F1784,3)="IKS",VLOOKUP($M1784,DB_Loonkosten,2,0)="Ja"),AND(RIGHT($F1784,3)&lt;&gt;"IKS",VLOOKUP($M1784,DB_Loonkosten,2,0)="Nee")),IFERROR(VLOOKUP($M1784,DB_Loonkosten,24,0),""),0),"Vast tarief",IF(LEFT(F1784,8)="Bijdrage",VLOOKUP($F1784,Tb_KostenTypen[],MATCH(Lijsten!$P$1,Tb_KostenTypen[#Headers],0),0),VLOOKUP($G1784,Lijsten!L:P,MATCH(Lijsten!$P$1,Kop_Tarief_Vast,0),0))),""),"")</f>
        <v/>
      </c>
      <c r="P1784" s="320" t="str" cm="1">
        <f t="array" ref="P1784">_xlfn.IFNA(IF(INDEX(Tb_KostenOptiesDB[],MATCH($F1784,Tb_KostenOptiesDB[KostenOptie],0),IFERROR(MATCH(Methode_Keuze,Tb_KostenOptiesDB[#Headers],0),2))=1,_xlfn.SWITCH($N1784,"Uurtarief",IF(OR(AND(RIGHT($F1784,3)="IKS",VLOOKUP($M1784,DB_Loonkosten,2,0)="Ja"),AND(RIGHT($F1784,3)&lt;&gt;"IKS",VLOOKUP($M1784,DB_Loonkosten,2,0)="Nee")),IFERROR(VLOOKUP($M1784,DB_Loonkosten,25,0),""),0),"Vast tarief",IF(LEFT(F1784,8)="Bijdrage",VLOOKUP($F1784,Tb_KostenTypen[],MATCH(Lijsten!$P$1,Tb_KostenTypen[#Headers],0),0),VLOOKUP($G1784,Lijsten!L:P,MATCH(Lijsten!$P$1,Kop_Tarief_Vast,0),0))),""),"")</f>
        <v/>
      </c>
      <c r="Q1784" s="359"/>
      <c r="R1784" s="359"/>
      <c r="S1784" s="321"/>
      <c r="T1784" s="321"/>
      <c r="U1784" s="373" t="str">
        <f t="shared" si="108"/>
        <v/>
      </c>
      <c r="V1784" s="314" t="str">
        <f t="shared" si="109"/>
        <v/>
      </c>
      <c r="W1784" s="314" t="str" cm="1">
        <f t="array" aca="1" ref="W1784" ca="1">IFERROR(IF(AE1784&lt;&gt;"ja",_xlfn.IFNA(_xlfn.IFS(AND(O1784&lt;&gt;"",F1784&lt;&gt;"",RIGHT($N1784,6)="tarief",F1784="Vergoeding"),SUM(O1784)*FLOOR(SUM(Q1784),0.0001),AND(O1784&lt;&gt;"",F1784&lt;&gt;"",RIGHT($N1784,6)="tarief"),SUM(O1784)*FLOOR(SUM(Q1784),0.01),S1784&gt;0,IF(F1784&lt;&gt;"",FLOOR(SUM(S1784),0.01),"")),""),""),"")</f>
        <v/>
      </c>
      <c r="X1784" s="314" t="str" cm="1">
        <f t="array" aca="1" ref="X1784" ca="1">IFERROR(IF(AE1784&lt;&gt;"ja",_xlfn.IFNA(_xlfn.IFS(AND(P1784&lt;&gt;"",R1784&lt;&gt;"",RIGHT($N1784,6)="tarief",F1784="Vergoeding"),SUM(P1784)*FLOOR(SUM(R1784),0.0001),AND(P1784&lt;&gt;"",R1784&lt;&gt;"",RIGHT($N1784,6)="tarief"),P1784*FLOOR(R1784,0.01),T1784&gt;0,FLOOR(SUM(T1784),0.01)),""),""),"")</f>
        <v/>
      </c>
      <c r="Y1784" s="314" t="str">
        <f t="shared" ca="1" si="110"/>
        <v/>
      </c>
      <c r="Z1784" s="314" t="str" cm="1">
        <f t="array" aca="1" ref="Z1784" ca="1">IFERROR(_xlfn.IFS(OR(F1784="",LEFT(Methode_Keuze,4)="Geen",Methode_Keuze=""),"",AND(W1784&lt;&gt;"",F1784&lt;&gt;"Arbeidskosten"),W1784*VLOOKUP(F1784,Tb_ProjectKosten[],MATCH(Tb_ProjectKosten[[#Headers],[Forfait_Percentage]],Tb_ProjectKosten[#Headers],0),0),AND(F1784="Arbeidskosten",G1784&lt;&gt;""),IFERROR(W1784*VLOOKUP(G1784,Tb_KostenTypen[],3,0)*VLOOKUP(F1784,Tb_ProjectKosten[],MATCH(Tb_ProjectKosten[[#Headers],[Forfait_Percentage]],Tb_ProjectKosten[#Headers],0),0),""),W1784 &lt;=0,0),"")</f>
        <v/>
      </c>
      <c r="AA1784" s="314" t="str" cm="1">
        <f t="array" aca="1" ref="AA1784" ca="1">IFERROR(_xlfn.IFS(OR(F1784="",LEFT(Methode_Keuze,4)="Geen",Methode_Keuze=""),"",AND(X1784&lt;&gt;"",F1784&lt;&gt;"Arbeidskosten"),X1784*VLOOKUP(F1784,Tb_ProjectKosten[],MATCH(Tb_ProjectKosten[[#Headers],[Forfait_Percentage]],Tb_ProjectKosten[#Headers],0),0),AND(F1784="Arbeidskosten",G1784&lt;&gt;""),IFERROR(X1784*VLOOKUP(G1784,Tb_KostenTypen[],3,0)*VLOOKUP(F1784,Tb_ProjectKosten[],MATCH(Tb_ProjectKosten[[#Headers],[Forfait_Percentage]],Tb_ProjectKosten[#Headers],0),0),""),X1784 &lt;=0,0),"")</f>
        <v/>
      </c>
      <c r="AB1784" s="314" t="str">
        <f t="shared" ca="1" si="111"/>
        <v/>
      </c>
      <c r="AC1784" s="322"/>
      <c r="AD1784" s="315"/>
      <c r="AE1784" s="32" t="str" cm="1">
        <f t="array" ref="AE1784">IFERROR(IF(INDEX(SubsidieTabel!$AD$1:$AG$12,MATCH($F1784,SubsidieTabel!$AD$1:$AD$12,0),IFERROR(MATCH(Methode_Keuze,SubsidieTabel!$AD$1:$AG$1,0),2))&lt;&gt;1=TRUE,"ja",""),"")</f>
        <v/>
      </c>
    </row>
    <row r="1785" spans="1:31" x14ac:dyDescent="0.25">
      <c r="A1785" s="316"/>
      <c r="B1785" s="317" t="str">
        <f>IF(A1785&lt;&gt;"",_xlfn.MAXIFS($B$1:B1784,$A$1:A1784,A1785)+1,"")</f>
        <v/>
      </c>
      <c r="C1785" s="296"/>
      <c r="D1785" s="296"/>
      <c r="E1785" s="296"/>
      <c r="F1785" s="296"/>
      <c r="G1785" s="326"/>
      <c r="H1785" s="324"/>
      <c r="I1785" s="325"/>
      <c r="J1785" s="325"/>
      <c r="K1785" s="318"/>
      <c r="L1785" s="318"/>
      <c r="M1785" s="319" t="str">
        <f>IFERROR(VLOOKUP(H1785,Lijsten!$H$1:$I$100,2,0),"")</f>
        <v/>
      </c>
      <c r="N1785" s="319" t="str">
        <f ca="1">IFERROR(IF(VLOOKUP(F1785,Kostentypen!$A$3:$E$21,3,0)=0,"",IF(OR(F1785="Arbeidskosten",F1785="Vergoeding"),VLOOKUP(G1785,Tb_KostenTypen[],2,0),VLOOKUP(F1785,Kostentypen!$A$3:$E$20,3,0))),"")</f>
        <v/>
      </c>
      <c r="O1785" s="320" t="str" cm="1">
        <f t="array" ref="O1785">_xlfn.IFNA(IF(INDEX(Tb_KostenOptiesDB[],MATCH($F1785,Tb_KostenOptiesDB[KostenOptie],0),IFERROR(MATCH(Methode_Keuze,Tb_KostenOptiesDB[#Headers],0),2))=1,_xlfn.SWITCH($N1785,"Uurtarief",IF(OR(AND(RIGHT($F1785,3)="IKS",VLOOKUP($M1785,DB_Loonkosten,2,0)="Ja"),AND(RIGHT($F1785,3)&lt;&gt;"IKS",VLOOKUP($M1785,DB_Loonkosten,2,0)="Nee")),IFERROR(VLOOKUP($M1785,DB_Loonkosten,24,0),""),0),"Vast tarief",IF(LEFT(F1785,8)="Bijdrage",VLOOKUP($F1785,Tb_KostenTypen[],MATCH(Lijsten!$P$1,Tb_KostenTypen[#Headers],0),0),VLOOKUP($G1785,Lijsten!L:P,MATCH(Lijsten!$P$1,Kop_Tarief_Vast,0),0))),""),"")</f>
        <v/>
      </c>
      <c r="P1785" s="320" t="str" cm="1">
        <f t="array" ref="P1785">_xlfn.IFNA(IF(INDEX(Tb_KostenOptiesDB[],MATCH($F1785,Tb_KostenOptiesDB[KostenOptie],0),IFERROR(MATCH(Methode_Keuze,Tb_KostenOptiesDB[#Headers],0),2))=1,_xlfn.SWITCH($N1785,"Uurtarief",IF(OR(AND(RIGHT($F1785,3)="IKS",VLOOKUP($M1785,DB_Loonkosten,2,0)="Ja"),AND(RIGHT($F1785,3)&lt;&gt;"IKS",VLOOKUP($M1785,DB_Loonkosten,2,0)="Nee")),IFERROR(VLOOKUP($M1785,DB_Loonkosten,25,0),""),0),"Vast tarief",IF(LEFT(F1785,8)="Bijdrage",VLOOKUP($F1785,Tb_KostenTypen[],MATCH(Lijsten!$P$1,Tb_KostenTypen[#Headers],0),0),VLOOKUP($G1785,Lijsten!L:P,MATCH(Lijsten!$P$1,Kop_Tarief_Vast,0),0))),""),"")</f>
        <v/>
      </c>
      <c r="Q1785" s="359"/>
      <c r="R1785" s="359"/>
      <c r="S1785" s="321"/>
      <c r="T1785" s="321"/>
      <c r="U1785" s="373" t="str">
        <f t="shared" si="108"/>
        <v/>
      </c>
      <c r="V1785" s="314" t="str">
        <f t="shared" si="109"/>
        <v/>
      </c>
      <c r="W1785" s="314" t="str" cm="1">
        <f t="array" aca="1" ref="W1785" ca="1">IFERROR(IF(AE1785&lt;&gt;"ja",_xlfn.IFNA(_xlfn.IFS(AND(O1785&lt;&gt;"",F1785&lt;&gt;"",RIGHT($N1785,6)="tarief",F1785="Vergoeding"),SUM(O1785)*FLOOR(SUM(Q1785),0.0001),AND(O1785&lt;&gt;"",F1785&lt;&gt;"",RIGHT($N1785,6)="tarief"),SUM(O1785)*FLOOR(SUM(Q1785),0.01),S1785&gt;0,IF(F1785&lt;&gt;"",FLOOR(SUM(S1785),0.01),"")),""),""),"")</f>
        <v/>
      </c>
      <c r="X1785" s="314" t="str" cm="1">
        <f t="array" aca="1" ref="X1785" ca="1">IFERROR(IF(AE1785&lt;&gt;"ja",_xlfn.IFNA(_xlfn.IFS(AND(P1785&lt;&gt;"",R1785&lt;&gt;"",RIGHT($N1785,6)="tarief",F1785="Vergoeding"),SUM(P1785)*FLOOR(SUM(R1785),0.0001),AND(P1785&lt;&gt;"",R1785&lt;&gt;"",RIGHT($N1785,6)="tarief"),P1785*FLOOR(R1785,0.01),T1785&gt;0,FLOOR(SUM(T1785),0.01)),""),""),"")</f>
        <v/>
      </c>
      <c r="Y1785" s="314" t="str">
        <f t="shared" ca="1" si="110"/>
        <v/>
      </c>
      <c r="Z1785" s="314" t="str" cm="1">
        <f t="array" aca="1" ref="Z1785" ca="1">IFERROR(_xlfn.IFS(OR(F1785="",LEFT(Methode_Keuze,4)="Geen",Methode_Keuze=""),"",AND(W1785&lt;&gt;"",F1785&lt;&gt;"Arbeidskosten"),W1785*VLOOKUP(F1785,Tb_ProjectKosten[],MATCH(Tb_ProjectKosten[[#Headers],[Forfait_Percentage]],Tb_ProjectKosten[#Headers],0),0),AND(F1785="Arbeidskosten",G1785&lt;&gt;""),IFERROR(W1785*VLOOKUP(G1785,Tb_KostenTypen[],3,0)*VLOOKUP(F1785,Tb_ProjectKosten[],MATCH(Tb_ProjectKosten[[#Headers],[Forfait_Percentage]],Tb_ProjectKosten[#Headers],0),0),""),W1785 &lt;=0,0),"")</f>
        <v/>
      </c>
      <c r="AA1785" s="314" t="str" cm="1">
        <f t="array" aca="1" ref="AA1785" ca="1">IFERROR(_xlfn.IFS(OR(F1785="",LEFT(Methode_Keuze,4)="Geen",Methode_Keuze=""),"",AND(X1785&lt;&gt;"",F1785&lt;&gt;"Arbeidskosten"),X1785*VLOOKUP(F1785,Tb_ProjectKosten[],MATCH(Tb_ProjectKosten[[#Headers],[Forfait_Percentage]],Tb_ProjectKosten[#Headers],0),0),AND(F1785="Arbeidskosten",G1785&lt;&gt;""),IFERROR(X1785*VLOOKUP(G1785,Tb_KostenTypen[],3,0)*VLOOKUP(F1785,Tb_ProjectKosten[],MATCH(Tb_ProjectKosten[[#Headers],[Forfait_Percentage]],Tb_ProjectKosten[#Headers],0),0),""),X1785 &lt;=0,0),"")</f>
        <v/>
      </c>
      <c r="AB1785" s="314" t="str">
        <f t="shared" ca="1" si="111"/>
        <v/>
      </c>
      <c r="AC1785" s="322"/>
      <c r="AD1785" s="315"/>
      <c r="AE1785" s="32" t="str" cm="1">
        <f t="array" ref="AE1785">IFERROR(IF(INDEX(SubsidieTabel!$AD$1:$AG$12,MATCH($F1785,SubsidieTabel!$AD$1:$AD$12,0),IFERROR(MATCH(Methode_Keuze,SubsidieTabel!$AD$1:$AG$1,0),2))&lt;&gt;1=TRUE,"ja",""),"")</f>
        <v/>
      </c>
    </row>
    <row r="1786" spans="1:31" x14ac:dyDescent="0.25">
      <c r="A1786" s="316"/>
      <c r="B1786" s="317" t="str">
        <f>IF(A1786&lt;&gt;"",_xlfn.MAXIFS($B$1:B1785,$A$1:A1785,A1786)+1,"")</f>
        <v/>
      </c>
      <c r="C1786" s="296"/>
      <c r="D1786" s="296"/>
      <c r="E1786" s="296"/>
      <c r="F1786" s="296"/>
      <c r="G1786" s="326"/>
      <c r="H1786" s="324"/>
      <c r="I1786" s="325"/>
      <c r="J1786" s="325"/>
      <c r="K1786" s="318"/>
      <c r="L1786" s="318"/>
      <c r="M1786" s="319" t="str">
        <f>IFERROR(VLOOKUP(H1786,Lijsten!$H$1:$I$100,2,0),"")</f>
        <v/>
      </c>
      <c r="N1786" s="319" t="str">
        <f ca="1">IFERROR(IF(VLOOKUP(F1786,Kostentypen!$A$3:$E$21,3,0)=0,"",IF(OR(F1786="Arbeidskosten",F1786="Vergoeding"),VLOOKUP(G1786,Tb_KostenTypen[],2,0),VLOOKUP(F1786,Kostentypen!$A$3:$E$20,3,0))),"")</f>
        <v/>
      </c>
      <c r="O1786" s="320" t="str" cm="1">
        <f t="array" ref="O1786">_xlfn.IFNA(IF(INDEX(Tb_KostenOptiesDB[],MATCH($F1786,Tb_KostenOptiesDB[KostenOptie],0),IFERROR(MATCH(Methode_Keuze,Tb_KostenOptiesDB[#Headers],0),2))=1,_xlfn.SWITCH($N1786,"Uurtarief",IF(OR(AND(RIGHT($F1786,3)="IKS",VLOOKUP($M1786,DB_Loonkosten,2,0)="Ja"),AND(RIGHT($F1786,3)&lt;&gt;"IKS",VLOOKUP($M1786,DB_Loonkosten,2,0)="Nee")),IFERROR(VLOOKUP($M1786,DB_Loonkosten,24,0),""),0),"Vast tarief",IF(LEFT(F1786,8)="Bijdrage",VLOOKUP($F1786,Tb_KostenTypen[],MATCH(Lijsten!$P$1,Tb_KostenTypen[#Headers],0),0),VLOOKUP($G1786,Lijsten!L:P,MATCH(Lijsten!$P$1,Kop_Tarief_Vast,0),0))),""),"")</f>
        <v/>
      </c>
      <c r="P1786" s="320" t="str" cm="1">
        <f t="array" ref="P1786">_xlfn.IFNA(IF(INDEX(Tb_KostenOptiesDB[],MATCH($F1786,Tb_KostenOptiesDB[KostenOptie],0),IFERROR(MATCH(Methode_Keuze,Tb_KostenOptiesDB[#Headers],0),2))=1,_xlfn.SWITCH($N1786,"Uurtarief",IF(OR(AND(RIGHT($F1786,3)="IKS",VLOOKUP($M1786,DB_Loonkosten,2,0)="Ja"),AND(RIGHT($F1786,3)&lt;&gt;"IKS",VLOOKUP($M1786,DB_Loonkosten,2,0)="Nee")),IFERROR(VLOOKUP($M1786,DB_Loonkosten,25,0),""),0),"Vast tarief",IF(LEFT(F1786,8)="Bijdrage",VLOOKUP($F1786,Tb_KostenTypen[],MATCH(Lijsten!$P$1,Tb_KostenTypen[#Headers],0),0),VLOOKUP($G1786,Lijsten!L:P,MATCH(Lijsten!$P$1,Kop_Tarief_Vast,0),0))),""),"")</f>
        <v/>
      </c>
      <c r="Q1786" s="359"/>
      <c r="R1786" s="359"/>
      <c r="S1786" s="321"/>
      <c r="T1786" s="321"/>
      <c r="U1786" s="373" t="str">
        <f t="shared" si="108"/>
        <v/>
      </c>
      <c r="V1786" s="314" t="str">
        <f t="shared" si="109"/>
        <v/>
      </c>
      <c r="W1786" s="314" t="str" cm="1">
        <f t="array" aca="1" ref="W1786" ca="1">IFERROR(IF(AE1786&lt;&gt;"ja",_xlfn.IFNA(_xlfn.IFS(AND(O1786&lt;&gt;"",F1786&lt;&gt;"",RIGHT($N1786,6)="tarief",F1786="Vergoeding"),SUM(O1786)*FLOOR(SUM(Q1786),0.0001),AND(O1786&lt;&gt;"",F1786&lt;&gt;"",RIGHT($N1786,6)="tarief"),SUM(O1786)*FLOOR(SUM(Q1786),0.01),S1786&gt;0,IF(F1786&lt;&gt;"",FLOOR(SUM(S1786),0.01),"")),""),""),"")</f>
        <v/>
      </c>
      <c r="X1786" s="314" t="str" cm="1">
        <f t="array" aca="1" ref="X1786" ca="1">IFERROR(IF(AE1786&lt;&gt;"ja",_xlfn.IFNA(_xlfn.IFS(AND(P1786&lt;&gt;"",R1786&lt;&gt;"",RIGHT($N1786,6)="tarief",F1786="Vergoeding"),SUM(P1786)*FLOOR(SUM(R1786),0.0001),AND(P1786&lt;&gt;"",R1786&lt;&gt;"",RIGHT($N1786,6)="tarief"),P1786*FLOOR(R1786,0.01),T1786&gt;0,FLOOR(SUM(T1786),0.01)),""),""),"")</f>
        <v/>
      </c>
      <c r="Y1786" s="314" t="str">
        <f t="shared" ca="1" si="110"/>
        <v/>
      </c>
      <c r="Z1786" s="314" t="str" cm="1">
        <f t="array" aca="1" ref="Z1786" ca="1">IFERROR(_xlfn.IFS(OR(F1786="",LEFT(Methode_Keuze,4)="Geen",Methode_Keuze=""),"",AND(W1786&lt;&gt;"",F1786&lt;&gt;"Arbeidskosten"),W1786*VLOOKUP(F1786,Tb_ProjectKosten[],MATCH(Tb_ProjectKosten[[#Headers],[Forfait_Percentage]],Tb_ProjectKosten[#Headers],0),0),AND(F1786="Arbeidskosten",G1786&lt;&gt;""),IFERROR(W1786*VLOOKUP(G1786,Tb_KostenTypen[],3,0)*VLOOKUP(F1786,Tb_ProjectKosten[],MATCH(Tb_ProjectKosten[[#Headers],[Forfait_Percentage]],Tb_ProjectKosten[#Headers],0),0),""),W1786 &lt;=0,0),"")</f>
        <v/>
      </c>
      <c r="AA1786" s="314" t="str" cm="1">
        <f t="array" aca="1" ref="AA1786" ca="1">IFERROR(_xlfn.IFS(OR(F1786="",LEFT(Methode_Keuze,4)="Geen",Methode_Keuze=""),"",AND(X1786&lt;&gt;"",F1786&lt;&gt;"Arbeidskosten"),X1786*VLOOKUP(F1786,Tb_ProjectKosten[],MATCH(Tb_ProjectKosten[[#Headers],[Forfait_Percentage]],Tb_ProjectKosten[#Headers],0),0),AND(F1786="Arbeidskosten",G1786&lt;&gt;""),IFERROR(X1786*VLOOKUP(G1786,Tb_KostenTypen[],3,0)*VLOOKUP(F1786,Tb_ProjectKosten[],MATCH(Tb_ProjectKosten[[#Headers],[Forfait_Percentage]],Tb_ProjectKosten[#Headers],0),0),""),X1786 &lt;=0,0),"")</f>
        <v/>
      </c>
      <c r="AB1786" s="314" t="str">
        <f t="shared" ca="1" si="111"/>
        <v/>
      </c>
      <c r="AC1786" s="322"/>
      <c r="AD1786" s="315"/>
      <c r="AE1786" s="32" t="str" cm="1">
        <f t="array" ref="AE1786">IFERROR(IF(INDEX(SubsidieTabel!$AD$1:$AG$12,MATCH($F1786,SubsidieTabel!$AD$1:$AD$12,0),IFERROR(MATCH(Methode_Keuze,SubsidieTabel!$AD$1:$AG$1,0),2))&lt;&gt;1=TRUE,"ja",""),"")</f>
        <v/>
      </c>
    </row>
    <row r="1787" spans="1:31" x14ac:dyDescent="0.25">
      <c r="A1787" s="316"/>
      <c r="B1787" s="317" t="str">
        <f>IF(A1787&lt;&gt;"",_xlfn.MAXIFS($B$1:B1786,$A$1:A1786,A1787)+1,"")</f>
        <v/>
      </c>
      <c r="C1787" s="296"/>
      <c r="D1787" s="296"/>
      <c r="E1787" s="296"/>
      <c r="F1787" s="296"/>
      <c r="G1787" s="326"/>
      <c r="H1787" s="324"/>
      <c r="I1787" s="325"/>
      <c r="J1787" s="325"/>
      <c r="K1787" s="318"/>
      <c r="L1787" s="318"/>
      <c r="M1787" s="319" t="str">
        <f>IFERROR(VLOOKUP(H1787,Lijsten!$H$1:$I$100,2,0),"")</f>
        <v/>
      </c>
      <c r="N1787" s="319" t="str">
        <f ca="1">IFERROR(IF(VLOOKUP(F1787,Kostentypen!$A$3:$E$21,3,0)=0,"",IF(OR(F1787="Arbeidskosten",F1787="Vergoeding"),VLOOKUP(G1787,Tb_KostenTypen[],2,0),VLOOKUP(F1787,Kostentypen!$A$3:$E$20,3,0))),"")</f>
        <v/>
      </c>
      <c r="O1787" s="320" t="str" cm="1">
        <f t="array" ref="O1787">_xlfn.IFNA(IF(INDEX(Tb_KostenOptiesDB[],MATCH($F1787,Tb_KostenOptiesDB[KostenOptie],0),IFERROR(MATCH(Methode_Keuze,Tb_KostenOptiesDB[#Headers],0),2))=1,_xlfn.SWITCH($N1787,"Uurtarief",IF(OR(AND(RIGHT($F1787,3)="IKS",VLOOKUP($M1787,DB_Loonkosten,2,0)="Ja"),AND(RIGHT($F1787,3)&lt;&gt;"IKS",VLOOKUP($M1787,DB_Loonkosten,2,0)="Nee")),IFERROR(VLOOKUP($M1787,DB_Loonkosten,24,0),""),0),"Vast tarief",IF(LEFT(F1787,8)="Bijdrage",VLOOKUP($F1787,Tb_KostenTypen[],MATCH(Lijsten!$P$1,Tb_KostenTypen[#Headers],0),0),VLOOKUP($G1787,Lijsten!L:P,MATCH(Lijsten!$P$1,Kop_Tarief_Vast,0),0))),""),"")</f>
        <v/>
      </c>
      <c r="P1787" s="320" t="str" cm="1">
        <f t="array" ref="P1787">_xlfn.IFNA(IF(INDEX(Tb_KostenOptiesDB[],MATCH($F1787,Tb_KostenOptiesDB[KostenOptie],0),IFERROR(MATCH(Methode_Keuze,Tb_KostenOptiesDB[#Headers],0),2))=1,_xlfn.SWITCH($N1787,"Uurtarief",IF(OR(AND(RIGHT($F1787,3)="IKS",VLOOKUP($M1787,DB_Loonkosten,2,0)="Ja"),AND(RIGHT($F1787,3)&lt;&gt;"IKS",VLOOKUP($M1787,DB_Loonkosten,2,0)="Nee")),IFERROR(VLOOKUP($M1787,DB_Loonkosten,25,0),""),0),"Vast tarief",IF(LEFT(F1787,8)="Bijdrage",VLOOKUP($F1787,Tb_KostenTypen[],MATCH(Lijsten!$P$1,Tb_KostenTypen[#Headers],0),0),VLOOKUP($G1787,Lijsten!L:P,MATCH(Lijsten!$P$1,Kop_Tarief_Vast,0),0))),""),"")</f>
        <v/>
      </c>
      <c r="Q1787" s="359"/>
      <c r="R1787" s="359"/>
      <c r="S1787" s="321"/>
      <c r="T1787" s="321"/>
      <c r="U1787" s="373" t="str">
        <f t="shared" si="108"/>
        <v/>
      </c>
      <c r="V1787" s="314" t="str">
        <f t="shared" si="109"/>
        <v/>
      </c>
      <c r="W1787" s="314" t="str" cm="1">
        <f t="array" aca="1" ref="W1787" ca="1">IFERROR(IF(AE1787&lt;&gt;"ja",_xlfn.IFNA(_xlfn.IFS(AND(O1787&lt;&gt;"",F1787&lt;&gt;"",RIGHT($N1787,6)="tarief",F1787="Vergoeding"),SUM(O1787)*FLOOR(SUM(Q1787),0.0001),AND(O1787&lt;&gt;"",F1787&lt;&gt;"",RIGHT($N1787,6)="tarief"),SUM(O1787)*FLOOR(SUM(Q1787),0.01),S1787&gt;0,IF(F1787&lt;&gt;"",FLOOR(SUM(S1787),0.01),"")),""),""),"")</f>
        <v/>
      </c>
      <c r="X1787" s="314" t="str" cm="1">
        <f t="array" aca="1" ref="X1787" ca="1">IFERROR(IF(AE1787&lt;&gt;"ja",_xlfn.IFNA(_xlfn.IFS(AND(P1787&lt;&gt;"",R1787&lt;&gt;"",RIGHT($N1787,6)="tarief",F1787="Vergoeding"),SUM(P1787)*FLOOR(SUM(R1787),0.0001),AND(P1787&lt;&gt;"",R1787&lt;&gt;"",RIGHT($N1787,6)="tarief"),P1787*FLOOR(R1787,0.01),T1787&gt;0,FLOOR(SUM(T1787),0.01)),""),""),"")</f>
        <v/>
      </c>
      <c r="Y1787" s="314" t="str">
        <f t="shared" ca="1" si="110"/>
        <v/>
      </c>
      <c r="Z1787" s="314" t="str" cm="1">
        <f t="array" aca="1" ref="Z1787" ca="1">IFERROR(_xlfn.IFS(OR(F1787="",LEFT(Methode_Keuze,4)="Geen",Methode_Keuze=""),"",AND(W1787&lt;&gt;"",F1787&lt;&gt;"Arbeidskosten"),W1787*VLOOKUP(F1787,Tb_ProjectKosten[],MATCH(Tb_ProjectKosten[[#Headers],[Forfait_Percentage]],Tb_ProjectKosten[#Headers],0),0),AND(F1787="Arbeidskosten",G1787&lt;&gt;""),IFERROR(W1787*VLOOKUP(G1787,Tb_KostenTypen[],3,0)*VLOOKUP(F1787,Tb_ProjectKosten[],MATCH(Tb_ProjectKosten[[#Headers],[Forfait_Percentage]],Tb_ProjectKosten[#Headers],0),0),""),W1787 &lt;=0,0),"")</f>
        <v/>
      </c>
      <c r="AA1787" s="314" t="str" cm="1">
        <f t="array" aca="1" ref="AA1787" ca="1">IFERROR(_xlfn.IFS(OR(F1787="",LEFT(Methode_Keuze,4)="Geen",Methode_Keuze=""),"",AND(X1787&lt;&gt;"",F1787&lt;&gt;"Arbeidskosten"),X1787*VLOOKUP(F1787,Tb_ProjectKosten[],MATCH(Tb_ProjectKosten[[#Headers],[Forfait_Percentage]],Tb_ProjectKosten[#Headers],0),0),AND(F1787="Arbeidskosten",G1787&lt;&gt;""),IFERROR(X1787*VLOOKUP(G1787,Tb_KostenTypen[],3,0)*VLOOKUP(F1787,Tb_ProjectKosten[],MATCH(Tb_ProjectKosten[[#Headers],[Forfait_Percentage]],Tb_ProjectKosten[#Headers],0),0),""),X1787 &lt;=0,0),"")</f>
        <v/>
      </c>
      <c r="AB1787" s="314" t="str">
        <f t="shared" ca="1" si="111"/>
        <v/>
      </c>
      <c r="AC1787" s="322"/>
      <c r="AD1787" s="315"/>
      <c r="AE1787" s="32" t="str" cm="1">
        <f t="array" ref="AE1787">IFERROR(IF(INDEX(SubsidieTabel!$AD$1:$AG$12,MATCH($F1787,SubsidieTabel!$AD$1:$AD$12,0),IFERROR(MATCH(Methode_Keuze,SubsidieTabel!$AD$1:$AG$1,0),2))&lt;&gt;1=TRUE,"ja",""),"")</f>
        <v/>
      </c>
    </row>
    <row r="1788" spans="1:31" x14ac:dyDescent="0.25">
      <c r="A1788" s="316"/>
      <c r="B1788" s="317" t="str">
        <f>IF(A1788&lt;&gt;"",_xlfn.MAXIFS($B$1:B1787,$A$1:A1787,A1788)+1,"")</f>
        <v/>
      </c>
      <c r="C1788" s="296"/>
      <c r="D1788" s="296"/>
      <c r="E1788" s="296"/>
      <c r="F1788" s="296"/>
      <c r="G1788" s="326"/>
      <c r="H1788" s="324"/>
      <c r="I1788" s="325"/>
      <c r="J1788" s="325"/>
      <c r="K1788" s="318"/>
      <c r="L1788" s="318"/>
      <c r="M1788" s="319" t="str">
        <f>IFERROR(VLOOKUP(H1788,Lijsten!$H$1:$I$100,2,0),"")</f>
        <v/>
      </c>
      <c r="N1788" s="319" t="str">
        <f ca="1">IFERROR(IF(VLOOKUP(F1788,Kostentypen!$A$3:$E$21,3,0)=0,"",IF(OR(F1788="Arbeidskosten",F1788="Vergoeding"),VLOOKUP(G1788,Tb_KostenTypen[],2,0),VLOOKUP(F1788,Kostentypen!$A$3:$E$20,3,0))),"")</f>
        <v/>
      </c>
      <c r="O1788" s="320" t="str" cm="1">
        <f t="array" ref="O1788">_xlfn.IFNA(IF(INDEX(Tb_KostenOptiesDB[],MATCH($F1788,Tb_KostenOptiesDB[KostenOptie],0),IFERROR(MATCH(Methode_Keuze,Tb_KostenOptiesDB[#Headers],0),2))=1,_xlfn.SWITCH($N1788,"Uurtarief",IF(OR(AND(RIGHT($F1788,3)="IKS",VLOOKUP($M1788,DB_Loonkosten,2,0)="Ja"),AND(RIGHT($F1788,3)&lt;&gt;"IKS",VLOOKUP($M1788,DB_Loonkosten,2,0)="Nee")),IFERROR(VLOOKUP($M1788,DB_Loonkosten,24,0),""),0),"Vast tarief",IF(LEFT(F1788,8)="Bijdrage",VLOOKUP($F1788,Tb_KostenTypen[],MATCH(Lijsten!$P$1,Tb_KostenTypen[#Headers],0),0),VLOOKUP($G1788,Lijsten!L:P,MATCH(Lijsten!$P$1,Kop_Tarief_Vast,0),0))),""),"")</f>
        <v/>
      </c>
      <c r="P1788" s="320" t="str" cm="1">
        <f t="array" ref="P1788">_xlfn.IFNA(IF(INDEX(Tb_KostenOptiesDB[],MATCH($F1788,Tb_KostenOptiesDB[KostenOptie],0),IFERROR(MATCH(Methode_Keuze,Tb_KostenOptiesDB[#Headers],0),2))=1,_xlfn.SWITCH($N1788,"Uurtarief",IF(OR(AND(RIGHT($F1788,3)="IKS",VLOOKUP($M1788,DB_Loonkosten,2,0)="Ja"),AND(RIGHT($F1788,3)&lt;&gt;"IKS",VLOOKUP($M1788,DB_Loonkosten,2,0)="Nee")),IFERROR(VLOOKUP($M1788,DB_Loonkosten,25,0),""),0),"Vast tarief",IF(LEFT(F1788,8)="Bijdrage",VLOOKUP($F1788,Tb_KostenTypen[],MATCH(Lijsten!$P$1,Tb_KostenTypen[#Headers],0),0),VLOOKUP($G1788,Lijsten!L:P,MATCH(Lijsten!$P$1,Kop_Tarief_Vast,0),0))),""),"")</f>
        <v/>
      </c>
      <c r="Q1788" s="359"/>
      <c r="R1788" s="359"/>
      <c r="S1788" s="321"/>
      <c r="T1788" s="321"/>
      <c r="U1788" s="373" t="str">
        <f t="shared" si="108"/>
        <v/>
      </c>
      <c r="V1788" s="314" t="str">
        <f t="shared" si="109"/>
        <v/>
      </c>
      <c r="W1788" s="314" t="str" cm="1">
        <f t="array" aca="1" ref="W1788" ca="1">IFERROR(IF(AE1788&lt;&gt;"ja",_xlfn.IFNA(_xlfn.IFS(AND(O1788&lt;&gt;"",F1788&lt;&gt;"",RIGHT($N1788,6)="tarief",F1788="Vergoeding"),SUM(O1788)*FLOOR(SUM(Q1788),0.0001),AND(O1788&lt;&gt;"",F1788&lt;&gt;"",RIGHT($N1788,6)="tarief"),SUM(O1788)*FLOOR(SUM(Q1788),0.01),S1788&gt;0,IF(F1788&lt;&gt;"",FLOOR(SUM(S1788),0.01),"")),""),""),"")</f>
        <v/>
      </c>
      <c r="X1788" s="314" t="str" cm="1">
        <f t="array" aca="1" ref="X1788" ca="1">IFERROR(IF(AE1788&lt;&gt;"ja",_xlfn.IFNA(_xlfn.IFS(AND(P1788&lt;&gt;"",R1788&lt;&gt;"",RIGHT($N1788,6)="tarief",F1788="Vergoeding"),SUM(P1788)*FLOOR(SUM(R1788),0.0001),AND(P1788&lt;&gt;"",R1788&lt;&gt;"",RIGHT($N1788,6)="tarief"),P1788*FLOOR(R1788,0.01),T1788&gt;0,FLOOR(SUM(T1788),0.01)),""),""),"")</f>
        <v/>
      </c>
      <c r="Y1788" s="314" t="str">
        <f t="shared" ca="1" si="110"/>
        <v/>
      </c>
      <c r="Z1788" s="314" t="str" cm="1">
        <f t="array" aca="1" ref="Z1788" ca="1">IFERROR(_xlfn.IFS(OR(F1788="",LEFT(Methode_Keuze,4)="Geen",Methode_Keuze=""),"",AND(W1788&lt;&gt;"",F1788&lt;&gt;"Arbeidskosten"),W1788*VLOOKUP(F1788,Tb_ProjectKosten[],MATCH(Tb_ProjectKosten[[#Headers],[Forfait_Percentage]],Tb_ProjectKosten[#Headers],0),0),AND(F1788="Arbeidskosten",G1788&lt;&gt;""),IFERROR(W1788*VLOOKUP(G1788,Tb_KostenTypen[],3,0)*VLOOKUP(F1788,Tb_ProjectKosten[],MATCH(Tb_ProjectKosten[[#Headers],[Forfait_Percentage]],Tb_ProjectKosten[#Headers],0),0),""),W1788 &lt;=0,0),"")</f>
        <v/>
      </c>
      <c r="AA1788" s="314" t="str" cm="1">
        <f t="array" aca="1" ref="AA1788" ca="1">IFERROR(_xlfn.IFS(OR(F1788="",LEFT(Methode_Keuze,4)="Geen",Methode_Keuze=""),"",AND(X1788&lt;&gt;"",F1788&lt;&gt;"Arbeidskosten"),X1788*VLOOKUP(F1788,Tb_ProjectKosten[],MATCH(Tb_ProjectKosten[[#Headers],[Forfait_Percentage]],Tb_ProjectKosten[#Headers],0),0),AND(F1788="Arbeidskosten",G1788&lt;&gt;""),IFERROR(X1788*VLOOKUP(G1788,Tb_KostenTypen[],3,0)*VLOOKUP(F1788,Tb_ProjectKosten[],MATCH(Tb_ProjectKosten[[#Headers],[Forfait_Percentage]],Tb_ProjectKosten[#Headers],0),0),""),X1788 &lt;=0,0),"")</f>
        <v/>
      </c>
      <c r="AB1788" s="314" t="str">
        <f t="shared" ca="1" si="111"/>
        <v/>
      </c>
      <c r="AC1788" s="322"/>
      <c r="AD1788" s="315"/>
      <c r="AE1788" s="32" t="str" cm="1">
        <f t="array" ref="AE1788">IFERROR(IF(INDEX(SubsidieTabel!$AD$1:$AG$12,MATCH($F1788,SubsidieTabel!$AD$1:$AD$12,0),IFERROR(MATCH(Methode_Keuze,SubsidieTabel!$AD$1:$AG$1,0),2))&lt;&gt;1=TRUE,"ja",""),"")</f>
        <v/>
      </c>
    </row>
    <row r="1789" spans="1:31" x14ac:dyDescent="0.25">
      <c r="A1789" s="316"/>
      <c r="B1789" s="317" t="str">
        <f>IF(A1789&lt;&gt;"",_xlfn.MAXIFS($B$1:B1788,$A$1:A1788,A1789)+1,"")</f>
        <v/>
      </c>
      <c r="C1789" s="296"/>
      <c r="D1789" s="296"/>
      <c r="E1789" s="296"/>
      <c r="F1789" s="296"/>
      <c r="G1789" s="326"/>
      <c r="H1789" s="324"/>
      <c r="I1789" s="325"/>
      <c r="J1789" s="325"/>
      <c r="K1789" s="318"/>
      <c r="L1789" s="318"/>
      <c r="M1789" s="319" t="str">
        <f>IFERROR(VLOOKUP(H1789,Lijsten!$H$1:$I$100,2,0),"")</f>
        <v/>
      </c>
      <c r="N1789" s="319" t="str">
        <f ca="1">IFERROR(IF(VLOOKUP(F1789,Kostentypen!$A$3:$E$21,3,0)=0,"",IF(OR(F1789="Arbeidskosten",F1789="Vergoeding"),VLOOKUP(G1789,Tb_KostenTypen[],2,0),VLOOKUP(F1789,Kostentypen!$A$3:$E$20,3,0))),"")</f>
        <v/>
      </c>
      <c r="O1789" s="320" t="str" cm="1">
        <f t="array" ref="O1789">_xlfn.IFNA(IF(INDEX(Tb_KostenOptiesDB[],MATCH($F1789,Tb_KostenOptiesDB[KostenOptie],0),IFERROR(MATCH(Methode_Keuze,Tb_KostenOptiesDB[#Headers],0),2))=1,_xlfn.SWITCH($N1789,"Uurtarief",IF(OR(AND(RIGHT($F1789,3)="IKS",VLOOKUP($M1789,DB_Loonkosten,2,0)="Ja"),AND(RIGHT($F1789,3)&lt;&gt;"IKS",VLOOKUP($M1789,DB_Loonkosten,2,0)="Nee")),IFERROR(VLOOKUP($M1789,DB_Loonkosten,24,0),""),0),"Vast tarief",IF(LEFT(F1789,8)="Bijdrage",VLOOKUP($F1789,Tb_KostenTypen[],MATCH(Lijsten!$P$1,Tb_KostenTypen[#Headers],0),0),VLOOKUP($G1789,Lijsten!L:P,MATCH(Lijsten!$P$1,Kop_Tarief_Vast,0),0))),""),"")</f>
        <v/>
      </c>
      <c r="P1789" s="320" t="str" cm="1">
        <f t="array" ref="P1789">_xlfn.IFNA(IF(INDEX(Tb_KostenOptiesDB[],MATCH($F1789,Tb_KostenOptiesDB[KostenOptie],0),IFERROR(MATCH(Methode_Keuze,Tb_KostenOptiesDB[#Headers],0),2))=1,_xlfn.SWITCH($N1789,"Uurtarief",IF(OR(AND(RIGHT($F1789,3)="IKS",VLOOKUP($M1789,DB_Loonkosten,2,0)="Ja"),AND(RIGHT($F1789,3)&lt;&gt;"IKS",VLOOKUP($M1789,DB_Loonkosten,2,0)="Nee")),IFERROR(VLOOKUP($M1789,DB_Loonkosten,25,0),""),0),"Vast tarief",IF(LEFT(F1789,8)="Bijdrage",VLOOKUP($F1789,Tb_KostenTypen[],MATCH(Lijsten!$P$1,Tb_KostenTypen[#Headers],0),0),VLOOKUP($G1789,Lijsten!L:P,MATCH(Lijsten!$P$1,Kop_Tarief_Vast,0),0))),""),"")</f>
        <v/>
      </c>
      <c r="Q1789" s="359"/>
      <c r="R1789" s="359"/>
      <c r="S1789" s="321"/>
      <c r="T1789" s="321"/>
      <c r="U1789" s="373" t="str">
        <f t="shared" si="108"/>
        <v/>
      </c>
      <c r="V1789" s="314" t="str">
        <f t="shared" si="109"/>
        <v/>
      </c>
      <c r="W1789" s="314" t="str" cm="1">
        <f t="array" aca="1" ref="W1789" ca="1">IFERROR(IF(AE1789&lt;&gt;"ja",_xlfn.IFNA(_xlfn.IFS(AND(O1789&lt;&gt;"",F1789&lt;&gt;"",RIGHT($N1789,6)="tarief",F1789="Vergoeding"),SUM(O1789)*FLOOR(SUM(Q1789),0.0001),AND(O1789&lt;&gt;"",F1789&lt;&gt;"",RIGHT($N1789,6)="tarief"),SUM(O1789)*FLOOR(SUM(Q1789),0.01),S1789&gt;0,IF(F1789&lt;&gt;"",FLOOR(SUM(S1789),0.01),"")),""),""),"")</f>
        <v/>
      </c>
      <c r="X1789" s="314" t="str" cm="1">
        <f t="array" aca="1" ref="X1789" ca="1">IFERROR(IF(AE1789&lt;&gt;"ja",_xlfn.IFNA(_xlfn.IFS(AND(P1789&lt;&gt;"",R1789&lt;&gt;"",RIGHT($N1789,6)="tarief",F1789="Vergoeding"),SUM(P1789)*FLOOR(SUM(R1789),0.0001),AND(P1789&lt;&gt;"",R1789&lt;&gt;"",RIGHT($N1789,6)="tarief"),P1789*FLOOR(R1789,0.01),T1789&gt;0,FLOOR(SUM(T1789),0.01)),""),""),"")</f>
        <v/>
      </c>
      <c r="Y1789" s="314" t="str">
        <f t="shared" ca="1" si="110"/>
        <v/>
      </c>
      <c r="Z1789" s="314" t="str" cm="1">
        <f t="array" aca="1" ref="Z1789" ca="1">IFERROR(_xlfn.IFS(OR(F1789="",LEFT(Methode_Keuze,4)="Geen",Methode_Keuze=""),"",AND(W1789&lt;&gt;"",F1789&lt;&gt;"Arbeidskosten"),W1789*VLOOKUP(F1789,Tb_ProjectKosten[],MATCH(Tb_ProjectKosten[[#Headers],[Forfait_Percentage]],Tb_ProjectKosten[#Headers],0),0),AND(F1789="Arbeidskosten",G1789&lt;&gt;""),IFERROR(W1789*VLOOKUP(G1789,Tb_KostenTypen[],3,0)*VLOOKUP(F1789,Tb_ProjectKosten[],MATCH(Tb_ProjectKosten[[#Headers],[Forfait_Percentage]],Tb_ProjectKosten[#Headers],0),0),""),W1789 &lt;=0,0),"")</f>
        <v/>
      </c>
      <c r="AA1789" s="314" t="str" cm="1">
        <f t="array" aca="1" ref="AA1789" ca="1">IFERROR(_xlfn.IFS(OR(F1789="",LEFT(Methode_Keuze,4)="Geen",Methode_Keuze=""),"",AND(X1789&lt;&gt;"",F1789&lt;&gt;"Arbeidskosten"),X1789*VLOOKUP(F1789,Tb_ProjectKosten[],MATCH(Tb_ProjectKosten[[#Headers],[Forfait_Percentage]],Tb_ProjectKosten[#Headers],0),0),AND(F1789="Arbeidskosten",G1789&lt;&gt;""),IFERROR(X1789*VLOOKUP(G1789,Tb_KostenTypen[],3,0)*VLOOKUP(F1789,Tb_ProjectKosten[],MATCH(Tb_ProjectKosten[[#Headers],[Forfait_Percentage]],Tb_ProjectKosten[#Headers],0),0),""),X1789 &lt;=0,0),"")</f>
        <v/>
      </c>
      <c r="AB1789" s="314" t="str">
        <f t="shared" ca="1" si="111"/>
        <v/>
      </c>
      <c r="AC1789" s="322"/>
      <c r="AD1789" s="315"/>
      <c r="AE1789" s="32" t="str" cm="1">
        <f t="array" ref="AE1789">IFERROR(IF(INDEX(SubsidieTabel!$AD$1:$AG$12,MATCH($F1789,SubsidieTabel!$AD$1:$AD$12,0),IFERROR(MATCH(Methode_Keuze,SubsidieTabel!$AD$1:$AG$1,0),2))&lt;&gt;1=TRUE,"ja",""),"")</f>
        <v/>
      </c>
    </row>
    <row r="1790" spans="1:31" x14ac:dyDescent="0.25">
      <c r="A1790" s="316"/>
      <c r="B1790" s="317" t="str">
        <f>IF(A1790&lt;&gt;"",_xlfn.MAXIFS($B$1:B1789,$A$1:A1789,A1790)+1,"")</f>
        <v/>
      </c>
      <c r="C1790" s="296"/>
      <c r="D1790" s="296"/>
      <c r="E1790" s="296"/>
      <c r="F1790" s="296"/>
      <c r="G1790" s="326"/>
      <c r="H1790" s="324"/>
      <c r="I1790" s="325"/>
      <c r="J1790" s="325"/>
      <c r="K1790" s="318"/>
      <c r="L1790" s="318"/>
      <c r="M1790" s="319" t="str">
        <f>IFERROR(VLOOKUP(H1790,Lijsten!$H$1:$I$100,2,0),"")</f>
        <v/>
      </c>
      <c r="N1790" s="319" t="str">
        <f ca="1">IFERROR(IF(VLOOKUP(F1790,Kostentypen!$A$3:$E$21,3,0)=0,"",IF(OR(F1790="Arbeidskosten",F1790="Vergoeding"),VLOOKUP(G1790,Tb_KostenTypen[],2,0),VLOOKUP(F1790,Kostentypen!$A$3:$E$20,3,0))),"")</f>
        <v/>
      </c>
      <c r="O1790" s="320" t="str" cm="1">
        <f t="array" ref="O1790">_xlfn.IFNA(IF(INDEX(Tb_KostenOptiesDB[],MATCH($F1790,Tb_KostenOptiesDB[KostenOptie],0),IFERROR(MATCH(Methode_Keuze,Tb_KostenOptiesDB[#Headers],0),2))=1,_xlfn.SWITCH($N1790,"Uurtarief",IF(OR(AND(RIGHT($F1790,3)="IKS",VLOOKUP($M1790,DB_Loonkosten,2,0)="Ja"),AND(RIGHT($F1790,3)&lt;&gt;"IKS",VLOOKUP($M1790,DB_Loonkosten,2,0)="Nee")),IFERROR(VLOOKUP($M1790,DB_Loonkosten,24,0),""),0),"Vast tarief",IF(LEFT(F1790,8)="Bijdrage",VLOOKUP($F1790,Tb_KostenTypen[],MATCH(Lijsten!$P$1,Tb_KostenTypen[#Headers],0),0),VLOOKUP($G1790,Lijsten!L:P,MATCH(Lijsten!$P$1,Kop_Tarief_Vast,0),0))),""),"")</f>
        <v/>
      </c>
      <c r="P1790" s="320" t="str" cm="1">
        <f t="array" ref="P1790">_xlfn.IFNA(IF(INDEX(Tb_KostenOptiesDB[],MATCH($F1790,Tb_KostenOptiesDB[KostenOptie],0),IFERROR(MATCH(Methode_Keuze,Tb_KostenOptiesDB[#Headers],0),2))=1,_xlfn.SWITCH($N1790,"Uurtarief",IF(OR(AND(RIGHT($F1790,3)="IKS",VLOOKUP($M1790,DB_Loonkosten,2,0)="Ja"),AND(RIGHT($F1790,3)&lt;&gt;"IKS",VLOOKUP($M1790,DB_Loonkosten,2,0)="Nee")),IFERROR(VLOOKUP($M1790,DB_Loonkosten,25,0),""),0),"Vast tarief",IF(LEFT(F1790,8)="Bijdrage",VLOOKUP($F1790,Tb_KostenTypen[],MATCH(Lijsten!$P$1,Tb_KostenTypen[#Headers],0),0),VLOOKUP($G1790,Lijsten!L:P,MATCH(Lijsten!$P$1,Kop_Tarief_Vast,0),0))),""),"")</f>
        <v/>
      </c>
      <c r="Q1790" s="359"/>
      <c r="R1790" s="359"/>
      <c r="S1790" s="321"/>
      <c r="T1790" s="321"/>
      <c r="U1790" s="373" t="str">
        <f t="shared" si="108"/>
        <v/>
      </c>
      <c r="V1790" s="314" t="str">
        <f t="shared" si="109"/>
        <v/>
      </c>
      <c r="W1790" s="314" t="str" cm="1">
        <f t="array" aca="1" ref="W1790" ca="1">IFERROR(IF(AE1790&lt;&gt;"ja",_xlfn.IFNA(_xlfn.IFS(AND(O1790&lt;&gt;"",F1790&lt;&gt;"",RIGHT($N1790,6)="tarief",F1790="Vergoeding"),SUM(O1790)*FLOOR(SUM(Q1790),0.0001),AND(O1790&lt;&gt;"",F1790&lt;&gt;"",RIGHT($N1790,6)="tarief"),SUM(O1790)*FLOOR(SUM(Q1790),0.01),S1790&gt;0,IF(F1790&lt;&gt;"",FLOOR(SUM(S1790),0.01),"")),""),""),"")</f>
        <v/>
      </c>
      <c r="X1790" s="314" t="str" cm="1">
        <f t="array" aca="1" ref="X1790" ca="1">IFERROR(IF(AE1790&lt;&gt;"ja",_xlfn.IFNA(_xlfn.IFS(AND(P1790&lt;&gt;"",R1790&lt;&gt;"",RIGHT($N1790,6)="tarief",F1790="Vergoeding"),SUM(P1790)*FLOOR(SUM(R1790),0.0001),AND(P1790&lt;&gt;"",R1790&lt;&gt;"",RIGHT($N1790,6)="tarief"),P1790*FLOOR(R1790,0.01),T1790&gt;0,FLOOR(SUM(T1790),0.01)),""),""),"")</f>
        <v/>
      </c>
      <c r="Y1790" s="314" t="str">
        <f t="shared" ca="1" si="110"/>
        <v/>
      </c>
      <c r="Z1790" s="314" t="str" cm="1">
        <f t="array" aca="1" ref="Z1790" ca="1">IFERROR(_xlfn.IFS(OR(F1790="",LEFT(Methode_Keuze,4)="Geen",Methode_Keuze=""),"",AND(W1790&lt;&gt;"",F1790&lt;&gt;"Arbeidskosten"),W1790*VLOOKUP(F1790,Tb_ProjectKosten[],MATCH(Tb_ProjectKosten[[#Headers],[Forfait_Percentage]],Tb_ProjectKosten[#Headers],0),0),AND(F1790="Arbeidskosten",G1790&lt;&gt;""),IFERROR(W1790*VLOOKUP(G1790,Tb_KostenTypen[],3,0)*VLOOKUP(F1790,Tb_ProjectKosten[],MATCH(Tb_ProjectKosten[[#Headers],[Forfait_Percentage]],Tb_ProjectKosten[#Headers],0),0),""),W1790 &lt;=0,0),"")</f>
        <v/>
      </c>
      <c r="AA1790" s="314" t="str" cm="1">
        <f t="array" aca="1" ref="AA1790" ca="1">IFERROR(_xlfn.IFS(OR(F1790="",LEFT(Methode_Keuze,4)="Geen",Methode_Keuze=""),"",AND(X1790&lt;&gt;"",F1790&lt;&gt;"Arbeidskosten"),X1790*VLOOKUP(F1790,Tb_ProjectKosten[],MATCH(Tb_ProjectKosten[[#Headers],[Forfait_Percentage]],Tb_ProjectKosten[#Headers],0),0),AND(F1790="Arbeidskosten",G1790&lt;&gt;""),IFERROR(X1790*VLOOKUP(G1790,Tb_KostenTypen[],3,0)*VLOOKUP(F1790,Tb_ProjectKosten[],MATCH(Tb_ProjectKosten[[#Headers],[Forfait_Percentage]],Tb_ProjectKosten[#Headers],0),0),""),X1790 &lt;=0,0),"")</f>
        <v/>
      </c>
      <c r="AB1790" s="314" t="str">
        <f t="shared" ca="1" si="111"/>
        <v/>
      </c>
      <c r="AC1790" s="322"/>
      <c r="AD1790" s="315"/>
      <c r="AE1790" s="32" t="str" cm="1">
        <f t="array" ref="AE1790">IFERROR(IF(INDEX(SubsidieTabel!$AD$1:$AG$12,MATCH($F1790,SubsidieTabel!$AD$1:$AD$12,0),IFERROR(MATCH(Methode_Keuze,SubsidieTabel!$AD$1:$AG$1,0),2))&lt;&gt;1=TRUE,"ja",""),"")</f>
        <v/>
      </c>
    </row>
    <row r="1791" spans="1:31" x14ac:dyDescent="0.25">
      <c r="A1791" s="316"/>
      <c r="B1791" s="317" t="str">
        <f>IF(A1791&lt;&gt;"",_xlfn.MAXIFS($B$1:B1790,$A$1:A1790,A1791)+1,"")</f>
        <v/>
      </c>
      <c r="C1791" s="296"/>
      <c r="D1791" s="296"/>
      <c r="E1791" s="296"/>
      <c r="F1791" s="296"/>
      <c r="G1791" s="326"/>
      <c r="H1791" s="324"/>
      <c r="I1791" s="325"/>
      <c r="J1791" s="325"/>
      <c r="K1791" s="318"/>
      <c r="L1791" s="318"/>
      <c r="M1791" s="319" t="str">
        <f>IFERROR(VLOOKUP(H1791,Lijsten!$H$1:$I$100,2,0),"")</f>
        <v/>
      </c>
      <c r="N1791" s="319" t="str">
        <f ca="1">IFERROR(IF(VLOOKUP(F1791,Kostentypen!$A$3:$E$21,3,0)=0,"",IF(OR(F1791="Arbeidskosten",F1791="Vergoeding"),VLOOKUP(G1791,Tb_KostenTypen[],2,0),VLOOKUP(F1791,Kostentypen!$A$3:$E$20,3,0))),"")</f>
        <v/>
      </c>
      <c r="O1791" s="320" t="str" cm="1">
        <f t="array" ref="O1791">_xlfn.IFNA(IF(INDEX(Tb_KostenOptiesDB[],MATCH($F1791,Tb_KostenOptiesDB[KostenOptie],0),IFERROR(MATCH(Methode_Keuze,Tb_KostenOptiesDB[#Headers],0),2))=1,_xlfn.SWITCH($N1791,"Uurtarief",IF(OR(AND(RIGHT($F1791,3)="IKS",VLOOKUP($M1791,DB_Loonkosten,2,0)="Ja"),AND(RIGHT($F1791,3)&lt;&gt;"IKS",VLOOKUP($M1791,DB_Loonkosten,2,0)="Nee")),IFERROR(VLOOKUP($M1791,DB_Loonkosten,24,0),""),0),"Vast tarief",IF(LEFT(F1791,8)="Bijdrage",VLOOKUP($F1791,Tb_KostenTypen[],MATCH(Lijsten!$P$1,Tb_KostenTypen[#Headers],0),0),VLOOKUP($G1791,Lijsten!L:P,MATCH(Lijsten!$P$1,Kop_Tarief_Vast,0),0))),""),"")</f>
        <v/>
      </c>
      <c r="P1791" s="320" t="str" cm="1">
        <f t="array" ref="P1791">_xlfn.IFNA(IF(INDEX(Tb_KostenOptiesDB[],MATCH($F1791,Tb_KostenOptiesDB[KostenOptie],0),IFERROR(MATCH(Methode_Keuze,Tb_KostenOptiesDB[#Headers],0),2))=1,_xlfn.SWITCH($N1791,"Uurtarief",IF(OR(AND(RIGHT($F1791,3)="IKS",VLOOKUP($M1791,DB_Loonkosten,2,0)="Ja"),AND(RIGHT($F1791,3)&lt;&gt;"IKS",VLOOKUP($M1791,DB_Loonkosten,2,0)="Nee")),IFERROR(VLOOKUP($M1791,DB_Loonkosten,25,0),""),0),"Vast tarief",IF(LEFT(F1791,8)="Bijdrage",VLOOKUP($F1791,Tb_KostenTypen[],MATCH(Lijsten!$P$1,Tb_KostenTypen[#Headers],0),0),VLOOKUP($G1791,Lijsten!L:P,MATCH(Lijsten!$P$1,Kop_Tarief_Vast,0),0))),""),"")</f>
        <v/>
      </c>
      <c r="Q1791" s="359"/>
      <c r="R1791" s="359"/>
      <c r="S1791" s="321"/>
      <c r="T1791" s="321"/>
      <c r="U1791" s="373" t="str">
        <f t="shared" si="108"/>
        <v/>
      </c>
      <c r="V1791" s="314" t="str">
        <f t="shared" si="109"/>
        <v/>
      </c>
      <c r="W1791" s="314" t="str" cm="1">
        <f t="array" aca="1" ref="W1791" ca="1">IFERROR(IF(AE1791&lt;&gt;"ja",_xlfn.IFNA(_xlfn.IFS(AND(O1791&lt;&gt;"",F1791&lt;&gt;"",RIGHT($N1791,6)="tarief",F1791="Vergoeding"),SUM(O1791)*FLOOR(SUM(Q1791),0.0001),AND(O1791&lt;&gt;"",F1791&lt;&gt;"",RIGHT($N1791,6)="tarief"),SUM(O1791)*FLOOR(SUM(Q1791),0.01),S1791&gt;0,IF(F1791&lt;&gt;"",FLOOR(SUM(S1791),0.01),"")),""),""),"")</f>
        <v/>
      </c>
      <c r="X1791" s="314" t="str" cm="1">
        <f t="array" aca="1" ref="X1791" ca="1">IFERROR(IF(AE1791&lt;&gt;"ja",_xlfn.IFNA(_xlfn.IFS(AND(P1791&lt;&gt;"",R1791&lt;&gt;"",RIGHT($N1791,6)="tarief",F1791="Vergoeding"),SUM(P1791)*FLOOR(SUM(R1791),0.0001),AND(P1791&lt;&gt;"",R1791&lt;&gt;"",RIGHT($N1791,6)="tarief"),P1791*FLOOR(R1791,0.01),T1791&gt;0,FLOOR(SUM(T1791),0.01)),""),""),"")</f>
        <v/>
      </c>
      <c r="Y1791" s="314" t="str">
        <f t="shared" ca="1" si="110"/>
        <v/>
      </c>
      <c r="Z1791" s="314" t="str" cm="1">
        <f t="array" aca="1" ref="Z1791" ca="1">IFERROR(_xlfn.IFS(OR(F1791="",LEFT(Methode_Keuze,4)="Geen",Methode_Keuze=""),"",AND(W1791&lt;&gt;"",F1791&lt;&gt;"Arbeidskosten"),W1791*VLOOKUP(F1791,Tb_ProjectKosten[],MATCH(Tb_ProjectKosten[[#Headers],[Forfait_Percentage]],Tb_ProjectKosten[#Headers],0),0),AND(F1791="Arbeidskosten",G1791&lt;&gt;""),IFERROR(W1791*VLOOKUP(G1791,Tb_KostenTypen[],3,0)*VLOOKUP(F1791,Tb_ProjectKosten[],MATCH(Tb_ProjectKosten[[#Headers],[Forfait_Percentage]],Tb_ProjectKosten[#Headers],0),0),""),W1791 &lt;=0,0),"")</f>
        <v/>
      </c>
      <c r="AA1791" s="314" t="str" cm="1">
        <f t="array" aca="1" ref="AA1791" ca="1">IFERROR(_xlfn.IFS(OR(F1791="",LEFT(Methode_Keuze,4)="Geen",Methode_Keuze=""),"",AND(X1791&lt;&gt;"",F1791&lt;&gt;"Arbeidskosten"),X1791*VLOOKUP(F1791,Tb_ProjectKosten[],MATCH(Tb_ProjectKosten[[#Headers],[Forfait_Percentage]],Tb_ProjectKosten[#Headers],0),0),AND(F1791="Arbeidskosten",G1791&lt;&gt;""),IFERROR(X1791*VLOOKUP(G1791,Tb_KostenTypen[],3,0)*VLOOKUP(F1791,Tb_ProjectKosten[],MATCH(Tb_ProjectKosten[[#Headers],[Forfait_Percentage]],Tb_ProjectKosten[#Headers],0),0),""),X1791 &lt;=0,0),"")</f>
        <v/>
      </c>
      <c r="AB1791" s="314" t="str">
        <f t="shared" ca="1" si="111"/>
        <v/>
      </c>
      <c r="AC1791" s="322"/>
      <c r="AD1791" s="315"/>
      <c r="AE1791" s="32" t="str" cm="1">
        <f t="array" ref="AE1791">IFERROR(IF(INDEX(SubsidieTabel!$AD$1:$AG$12,MATCH($F1791,SubsidieTabel!$AD$1:$AD$12,0),IFERROR(MATCH(Methode_Keuze,SubsidieTabel!$AD$1:$AG$1,0),2))&lt;&gt;1=TRUE,"ja",""),"")</f>
        <v/>
      </c>
    </row>
    <row r="1792" spans="1:31" x14ac:dyDescent="0.25">
      <c r="A1792" s="316"/>
      <c r="B1792" s="317" t="str">
        <f>IF(A1792&lt;&gt;"",_xlfn.MAXIFS($B$1:B1791,$A$1:A1791,A1792)+1,"")</f>
        <v/>
      </c>
      <c r="C1792" s="296"/>
      <c r="D1792" s="296"/>
      <c r="E1792" s="296"/>
      <c r="F1792" s="296"/>
      <c r="G1792" s="326"/>
      <c r="H1792" s="324"/>
      <c r="I1792" s="325"/>
      <c r="J1792" s="325"/>
      <c r="K1792" s="318"/>
      <c r="L1792" s="318"/>
      <c r="M1792" s="319" t="str">
        <f>IFERROR(VLOOKUP(H1792,Lijsten!$H$1:$I$100,2,0),"")</f>
        <v/>
      </c>
      <c r="N1792" s="319" t="str">
        <f ca="1">IFERROR(IF(VLOOKUP(F1792,Kostentypen!$A$3:$E$21,3,0)=0,"",IF(OR(F1792="Arbeidskosten",F1792="Vergoeding"),VLOOKUP(G1792,Tb_KostenTypen[],2,0),VLOOKUP(F1792,Kostentypen!$A$3:$E$20,3,0))),"")</f>
        <v/>
      </c>
      <c r="O1792" s="320" t="str" cm="1">
        <f t="array" ref="O1792">_xlfn.IFNA(IF(INDEX(Tb_KostenOptiesDB[],MATCH($F1792,Tb_KostenOptiesDB[KostenOptie],0),IFERROR(MATCH(Methode_Keuze,Tb_KostenOptiesDB[#Headers],0),2))=1,_xlfn.SWITCH($N1792,"Uurtarief",IF(OR(AND(RIGHT($F1792,3)="IKS",VLOOKUP($M1792,DB_Loonkosten,2,0)="Ja"),AND(RIGHT($F1792,3)&lt;&gt;"IKS",VLOOKUP($M1792,DB_Loonkosten,2,0)="Nee")),IFERROR(VLOOKUP($M1792,DB_Loonkosten,24,0),""),0),"Vast tarief",IF(LEFT(F1792,8)="Bijdrage",VLOOKUP($F1792,Tb_KostenTypen[],MATCH(Lijsten!$P$1,Tb_KostenTypen[#Headers],0),0),VLOOKUP($G1792,Lijsten!L:P,MATCH(Lijsten!$P$1,Kop_Tarief_Vast,0),0))),""),"")</f>
        <v/>
      </c>
      <c r="P1792" s="320" t="str" cm="1">
        <f t="array" ref="P1792">_xlfn.IFNA(IF(INDEX(Tb_KostenOptiesDB[],MATCH($F1792,Tb_KostenOptiesDB[KostenOptie],0),IFERROR(MATCH(Methode_Keuze,Tb_KostenOptiesDB[#Headers],0),2))=1,_xlfn.SWITCH($N1792,"Uurtarief",IF(OR(AND(RIGHT($F1792,3)="IKS",VLOOKUP($M1792,DB_Loonkosten,2,0)="Ja"),AND(RIGHT($F1792,3)&lt;&gt;"IKS",VLOOKUP($M1792,DB_Loonkosten,2,0)="Nee")),IFERROR(VLOOKUP($M1792,DB_Loonkosten,25,0),""),0),"Vast tarief",IF(LEFT(F1792,8)="Bijdrage",VLOOKUP($F1792,Tb_KostenTypen[],MATCH(Lijsten!$P$1,Tb_KostenTypen[#Headers],0),0),VLOOKUP($G1792,Lijsten!L:P,MATCH(Lijsten!$P$1,Kop_Tarief_Vast,0),0))),""),"")</f>
        <v/>
      </c>
      <c r="Q1792" s="359"/>
      <c r="R1792" s="359"/>
      <c r="S1792" s="321"/>
      <c r="T1792" s="321"/>
      <c r="U1792" s="373" t="str">
        <f t="shared" si="108"/>
        <v/>
      </c>
      <c r="V1792" s="314" t="str">
        <f t="shared" si="109"/>
        <v/>
      </c>
      <c r="W1792" s="314" t="str" cm="1">
        <f t="array" aca="1" ref="W1792" ca="1">IFERROR(IF(AE1792&lt;&gt;"ja",_xlfn.IFNA(_xlfn.IFS(AND(O1792&lt;&gt;"",F1792&lt;&gt;"",RIGHT($N1792,6)="tarief",F1792="Vergoeding"),SUM(O1792)*FLOOR(SUM(Q1792),0.0001),AND(O1792&lt;&gt;"",F1792&lt;&gt;"",RIGHT($N1792,6)="tarief"),SUM(O1792)*FLOOR(SUM(Q1792),0.01),S1792&gt;0,IF(F1792&lt;&gt;"",FLOOR(SUM(S1792),0.01),"")),""),""),"")</f>
        <v/>
      </c>
      <c r="X1792" s="314" t="str" cm="1">
        <f t="array" aca="1" ref="X1792" ca="1">IFERROR(IF(AE1792&lt;&gt;"ja",_xlfn.IFNA(_xlfn.IFS(AND(P1792&lt;&gt;"",R1792&lt;&gt;"",RIGHT($N1792,6)="tarief",F1792="Vergoeding"),SUM(P1792)*FLOOR(SUM(R1792),0.0001),AND(P1792&lt;&gt;"",R1792&lt;&gt;"",RIGHT($N1792,6)="tarief"),P1792*FLOOR(R1792,0.01),T1792&gt;0,FLOOR(SUM(T1792),0.01)),""),""),"")</f>
        <v/>
      </c>
      <c r="Y1792" s="314" t="str">
        <f t="shared" ca="1" si="110"/>
        <v/>
      </c>
      <c r="Z1792" s="314" t="str" cm="1">
        <f t="array" aca="1" ref="Z1792" ca="1">IFERROR(_xlfn.IFS(OR(F1792="",LEFT(Methode_Keuze,4)="Geen",Methode_Keuze=""),"",AND(W1792&lt;&gt;"",F1792&lt;&gt;"Arbeidskosten"),W1792*VLOOKUP(F1792,Tb_ProjectKosten[],MATCH(Tb_ProjectKosten[[#Headers],[Forfait_Percentage]],Tb_ProjectKosten[#Headers],0),0),AND(F1792="Arbeidskosten",G1792&lt;&gt;""),IFERROR(W1792*VLOOKUP(G1792,Tb_KostenTypen[],3,0)*VLOOKUP(F1792,Tb_ProjectKosten[],MATCH(Tb_ProjectKosten[[#Headers],[Forfait_Percentage]],Tb_ProjectKosten[#Headers],0),0),""),W1792 &lt;=0,0),"")</f>
        <v/>
      </c>
      <c r="AA1792" s="314" t="str" cm="1">
        <f t="array" aca="1" ref="AA1792" ca="1">IFERROR(_xlfn.IFS(OR(F1792="",LEFT(Methode_Keuze,4)="Geen",Methode_Keuze=""),"",AND(X1792&lt;&gt;"",F1792&lt;&gt;"Arbeidskosten"),X1792*VLOOKUP(F1792,Tb_ProjectKosten[],MATCH(Tb_ProjectKosten[[#Headers],[Forfait_Percentage]],Tb_ProjectKosten[#Headers],0),0),AND(F1792="Arbeidskosten",G1792&lt;&gt;""),IFERROR(X1792*VLOOKUP(G1792,Tb_KostenTypen[],3,0)*VLOOKUP(F1792,Tb_ProjectKosten[],MATCH(Tb_ProjectKosten[[#Headers],[Forfait_Percentage]],Tb_ProjectKosten[#Headers],0),0),""),X1792 &lt;=0,0),"")</f>
        <v/>
      </c>
      <c r="AB1792" s="314" t="str">
        <f t="shared" ca="1" si="111"/>
        <v/>
      </c>
      <c r="AC1792" s="322"/>
      <c r="AD1792" s="315"/>
      <c r="AE1792" s="32" t="str" cm="1">
        <f t="array" ref="AE1792">IFERROR(IF(INDEX(SubsidieTabel!$AD$1:$AG$12,MATCH($F1792,SubsidieTabel!$AD$1:$AD$12,0),IFERROR(MATCH(Methode_Keuze,SubsidieTabel!$AD$1:$AG$1,0),2))&lt;&gt;1=TRUE,"ja",""),"")</f>
        <v/>
      </c>
    </row>
    <row r="1793" spans="1:31" x14ac:dyDescent="0.25">
      <c r="A1793" s="316"/>
      <c r="B1793" s="317" t="str">
        <f>IF(A1793&lt;&gt;"",_xlfn.MAXIFS($B$1:B1792,$A$1:A1792,A1793)+1,"")</f>
        <v/>
      </c>
      <c r="C1793" s="296"/>
      <c r="D1793" s="296"/>
      <c r="E1793" s="296"/>
      <c r="F1793" s="296"/>
      <c r="G1793" s="326"/>
      <c r="H1793" s="324"/>
      <c r="I1793" s="325"/>
      <c r="J1793" s="325"/>
      <c r="K1793" s="318"/>
      <c r="L1793" s="318"/>
      <c r="M1793" s="319" t="str">
        <f>IFERROR(VLOOKUP(H1793,Lijsten!$H$1:$I$100,2,0),"")</f>
        <v/>
      </c>
      <c r="N1793" s="319" t="str">
        <f ca="1">IFERROR(IF(VLOOKUP(F1793,Kostentypen!$A$3:$E$21,3,0)=0,"",IF(OR(F1793="Arbeidskosten",F1793="Vergoeding"),VLOOKUP(G1793,Tb_KostenTypen[],2,0),VLOOKUP(F1793,Kostentypen!$A$3:$E$20,3,0))),"")</f>
        <v/>
      </c>
      <c r="O1793" s="320" t="str" cm="1">
        <f t="array" ref="O1793">_xlfn.IFNA(IF(INDEX(Tb_KostenOptiesDB[],MATCH($F1793,Tb_KostenOptiesDB[KostenOptie],0),IFERROR(MATCH(Methode_Keuze,Tb_KostenOptiesDB[#Headers],0),2))=1,_xlfn.SWITCH($N1793,"Uurtarief",IF(OR(AND(RIGHT($F1793,3)="IKS",VLOOKUP($M1793,DB_Loonkosten,2,0)="Ja"),AND(RIGHT($F1793,3)&lt;&gt;"IKS",VLOOKUP($M1793,DB_Loonkosten,2,0)="Nee")),IFERROR(VLOOKUP($M1793,DB_Loonkosten,24,0),""),0),"Vast tarief",IF(LEFT(F1793,8)="Bijdrage",VLOOKUP($F1793,Tb_KostenTypen[],MATCH(Lijsten!$P$1,Tb_KostenTypen[#Headers],0),0),VLOOKUP($G1793,Lijsten!L:P,MATCH(Lijsten!$P$1,Kop_Tarief_Vast,0),0))),""),"")</f>
        <v/>
      </c>
      <c r="P1793" s="320" t="str" cm="1">
        <f t="array" ref="P1793">_xlfn.IFNA(IF(INDEX(Tb_KostenOptiesDB[],MATCH($F1793,Tb_KostenOptiesDB[KostenOptie],0),IFERROR(MATCH(Methode_Keuze,Tb_KostenOptiesDB[#Headers],0),2))=1,_xlfn.SWITCH($N1793,"Uurtarief",IF(OR(AND(RIGHT($F1793,3)="IKS",VLOOKUP($M1793,DB_Loonkosten,2,0)="Ja"),AND(RIGHT($F1793,3)&lt;&gt;"IKS",VLOOKUP($M1793,DB_Loonkosten,2,0)="Nee")),IFERROR(VLOOKUP($M1793,DB_Loonkosten,25,0),""),0),"Vast tarief",IF(LEFT(F1793,8)="Bijdrage",VLOOKUP($F1793,Tb_KostenTypen[],MATCH(Lijsten!$P$1,Tb_KostenTypen[#Headers],0),0),VLOOKUP($G1793,Lijsten!L:P,MATCH(Lijsten!$P$1,Kop_Tarief_Vast,0),0))),""),"")</f>
        <v/>
      </c>
      <c r="Q1793" s="359"/>
      <c r="R1793" s="359"/>
      <c r="S1793" s="321"/>
      <c r="T1793" s="321"/>
      <c r="U1793" s="373" t="str">
        <f t="shared" si="108"/>
        <v/>
      </c>
      <c r="V1793" s="314" t="str">
        <f t="shared" si="109"/>
        <v/>
      </c>
      <c r="W1793" s="314" t="str" cm="1">
        <f t="array" aca="1" ref="W1793" ca="1">IFERROR(IF(AE1793&lt;&gt;"ja",_xlfn.IFNA(_xlfn.IFS(AND(O1793&lt;&gt;"",F1793&lt;&gt;"",RIGHT($N1793,6)="tarief",F1793="Vergoeding"),SUM(O1793)*FLOOR(SUM(Q1793),0.0001),AND(O1793&lt;&gt;"",F1793&lt;&gt;"",RIGHT($N1793,6)="tarief"),SUM(O1793)*FLOOR(SUM(Q1793),0.01),S1793&gt;0,IF(F1793&lt;&gt;"",FLOOR(SUM(S1793),0.01),"")),""),""),"")</f>
        <v/>
      </c>
      <c r="X1793" s="314" t="str" cm="1">
        <f t="array" aca="1" ref="X1793" ca="1">IFERROR(IF(AE1793&lt;&gt;"ja",_xlfn.IFNA(_xlfn.IFS(AND(P1793&lt;&gt;"",R1793&lt;&gt;"",RIGHT($N1793,6)="tarief",F1793="Vergoeding"),SUM(P1793)*FLOOR(SUM(R1793),0.0001),AND(P1793&lt;&gt;"",R1793&lt;&gt;"",RIGHT($N1793,6)="tarief"),P1793*FLOOR(R1793,0.01),T1793&gt;0,FLOOR(SUM(T1793),0.01)),""),""),"")</f>
        <v/>
      </c>
      <c r="Y1793" s="314" t="str">
        <f t="shared" ca="1" si="110"/>
        <v/>
      </c>
      <c r="Z1793" s="314" t="str" cm="1">
        <f t="array" aca="1" ref="Z1793" ca="1">IFERROR(_xlfn.IFS(OR(F1793="",LEFT(Methode_Keuze,4)="Geen",Methode_Keuze=""),"",AND(W1793&lt;&gt;"",F1793&lt;&gt;"Arbeidskosten"),W1793*VLOOKUP(F1793,Tb_ProjectKosten[],MATCH(Tb_ProjectKosten[[#Headers],[Forfait_Percentage]],Tb_ProjectKosten[#Headers],0),0),AND(F1793="Arbeidskosten",G1793&lt;&gt;""),IFERROR(W1793*VLOOKUP(G1793,Tb_KostenTypen[],3,0)*VLOOKUP(F1793,Tb_ProjectKosten[],MATCH(Tb_ProjectKosten[[#Headers],[Forfait_Percentage]],Tb_ProjectKosten[#Headers],0),0),""),W1793 &lt;=0,0),"")</f>
        <v/>
      </c>
      <c r="AA1793" s="314" t="str" cm="1">
        <f t="array" aca="1" ref="AA1793" ca="1">IFERROR(_xlfn.IFS(OR(F1793="",LEFT(Methode_Keuze,4)="Geen",Methode_Keuze=""),"",AND(X1793&lt;&gt;"",F1793&lt;&gt;"Arbeidskosten"),X1793*VLOOKUP(F1793,Tb_ProjectKosten[],MATCH(Tb_ProjectKosten[[#Headers],[Forfait_Percentage]],Tb_ProjectKosten[#Headers],0),0),AND(F1793="Arbeidskosten",G1793&lt;&gt;""),IFERROR(X1793*VLOOKUP(G1793,Tb_KostenTypen[],3,0)*VLOOKUP(F1793,Tb_ProjectKosten[],MATCH(Tb_ProjectKosten[[#Headers],[Forfait_Percentage]],Tb_ProjectKosten[#Headers],0),0),""),X1793 &lt;=0,0),"")</f>
        <v/>
      </c>
      <c r="AB1793" s="314" t="str">
        <f t="shared" ca="1" si="111"/>
        <v/>
      </c>
      <c r="AC1793" s="322"/>
      <c r="AD1793" s="315"/>
      <c r="AE1793" s="32" t="str" cm="1">
        <f t="array" ref="AE1793">IFERROR(IF(INDEX(SubsidieTabel!$AD$1:$AG$12,MATCH($F1793,SubsidieTabel!$AD$1:$AD$12,0),IFERROR(MATCH(Methode_Keuze,SubsidieTabel!$AD$1:$AG$1,0),2))&lt;&gt;1=TRUE,"ja",""),"")</f>
        <v/>
      </c>
    </row>
    <row r="1794" spans="1:31" x14ac:dyDescent="0.25">
      <c r="A1794" s="316"/>
      <c r="B1794" s="317" t="str">
        <f>IF(A1794&lt;&gt;"",_xlfn.MAXIFS($B$1:B1793,$A$1:A1793,A1794)+1,"")</f>
        <v/>
      </c>
      <c r="C1794" s="296"/>
      <c r="D1794" s="296"/>
      <c r="E1794" s="296"/>
      <c r="F1794" s="296"/>
      <c r="G1794" s="326"/>
      <c r="H1794" s="324"/>
      <c r="I1794" s="325"/>
      <c r="J1794" s="325"/>
      <c r="K1794" s="318"/>
      <c r="L1794" s="318"/>
      <c r="M1794" s="319" t="str">
        <f>IFERROR(VLOOKUP(H1794,Lijsten!$H$1:$I$100,2,0),"")</f>
        <v/>
      </c>
      <c r="N1794" s="319" t="str">
        <f ca="1">IFERROR(IF(VLOOKUP(F1794,Kostentypen!$A$3:$E$21,3,0)=0,"",IF(OR(F1794="Arbeidskosten",F1794="Vergoeding"),VLOOKUP(G1794,Tb_KostenTypen[],2,0),VLOOKUP(F1794,Kostentypen!$A$3:$E$20,3,0))),"")</f>
        <v/>
      </c>
      <c r="O1794" s="320" t="str" cm="1">
        <f t="array" ref="O1794">_xlfn.IFNA(IF(INDEX(Tb_KostenOptiesDB[],MATCH($F1794,Tb_KostenOptiesDB[KostenOptie],0),IFERROR(MATCH(Methode_Keuze,Tb_KostenOptiesDB[#Headers],0),2))=1,_xlfn.SWITCH($N1794,"Uurtarief",IF(OR(AND(RIGHT($F1794,3)="IKS",VLOOKUP($M1794,DB_Loonkosten,2,0)="Ja"),AND(RIGHT($F1794,3)&lt;&gt;"IKS",VLOOKUP($M1794,DB_Loonkosten,2,0)="Nee")),IFERROR(VLOOKUP($M1794,DB_Loonkosten,24,0),""),0),"Vast tarief",IF(LEFT(F1794,8)="Bijdrage",VLOOKUP($F1794,Tb_KostenTypen[],MATCH(Lijsten!$P$1,Tb_KostenTypen[#Headers],0),0),VLOOKUP($G1794,Lijsten!L:P,MATCH(Lijsten!$P$1,Kop_Tarief_Vast,0),0))),""),"")</f>
        <v/>
      </c>
      <c r="P1794" s="320" t="str" cm="1">
        <f t="array" ref="P1794">_xlfn.IFNA(IF(INDEX(Tb_KostenOptiesDB[],MATCH($F1794,Tb_KostenOptiesDB[KostenOptie],0),IFERROR(MATCH(Methode_Keuze,Tb_KostenOptiesDB[#Headers],0),2))=1,_xlfn.SWITCH($N1794,"Uurtarief",IF(OR(AND(RIGHT($F1794,3)="IKS",VLOOKUP($M1794,DB_Loonkosten,2,0)="Ja"),AND(RIGHT($F1794,3)&lt;&gt;"IKS",VLOOKUP($M1794,DB_Loonkosten,2,0)="Nee")),IFERROR(VLOOKUP($M1794,DB_Loonkosten,25,0),""),0),"Vast tarief",IF(LEFT(F1794,8)="Bijdrage",VLOOKUP($F1794,Tb_KostenTypen[],MATCH(Lijsten!$P$1,Tb_KostenTypen[#Headers],0),0),VLOOKUP($G1794,Lijsten!L:P,MATCH(Lijsten!$P$1,Kop_Tarief_Vast,0),0))),""),"")</f>
        <v/>
      </c>
      <c r="Q1794" s="359"/>
      <c r="R1794" s="359"/>
      <c r="S1794" s="321"/>
      <c r="T1794" s="321"/>
      <c r="U1794" s="373" t="str">
        <f t="shared" si="108"/>
        <v/>
      </c>
      <c r="V1794" s="314" t="str">
        <f t="shared" si="109"/>
        <v/>
      </c>
      <c r="W1794" s="314" t="str" cm="1">
        <f t="array" aca="1" ref="W1794" ca="1">IFERROR(IF(AE1794&lt;&gt;"ja",_xlfn.IFNA(_xlfn.IFS(AND(O1794&lt;&gt;"",F1794&lt;&gt;"",RIGHT($N1794,6)="tarief",F1794="Vergoeding"),SUM(O1794)*FLOOR(SUM(Q1794),0.0001),AND(O1794&lt;&gt;"",F1794&lt;&gt;"",RIGHT($N1794,6)="tarief"),SUM(O1794)*FLOOR(SUM(Q1794),0.01),S1794&gt;0,IF(F1794&lt;&gt;"",FLOOR(SUM(S1794),0.01),"")),""),""),"")</f>
        <v/>
      </c>
      <c r="X1794" s="314" t="str" cm="1">
        <f t="array" aca="1" ref="X1794" ca="1">IFERROR(IF(AE1794&lt;&gt;"ja",_xlfn.IFNA(_xlfn.IFS(AND(P1794&lt;&gt;"",R1794&lt;&gt;"",RIGHT($N1794,6)="tarief",F1794="Vergoeding"),SUM(P1794)*FLOOR(SUM(R1794),0.0001),AND(P1794&lt;&gt;"",R1794&lt;&gt;"",RIGHT($N1794,6)="tarief"),P1794*FLOOR(R1794,0.01),T1794&gt;0,FLOOR(SUM(T1794),0.01)),""),""),"")</f>
        <v/>
      </c>
      <c r="Y1794" s="314" t="str">
        <f t="shared" ca="1" si="110"/>
        <v/>
      </c>
      <c r="Z1794" s="314" t="str" cm="1">
        <f t="array" aca="1" ref="Z1794" ca="1">IFERROR(_xlfn.IFS(OR(F1794="",LEFT(Methode_Keuze,4)="Geen",Methode_Keuze=""),"",AND(W1794&lt;&gt;"",F1794&lt;&gt;"Arbeidskosten"),W1794*VLOOKUP(F1794,Tb_ProjectKosten[],MATCH(Tb_ProjectKosten[[#Headers],[Forfait_Percentage]],Tb_ProjectKosten[#Headers],0),0),AND(F1794="Arbeidskosten",G1794&lt;&gt;""),IFERROR(W1794*VLOOKUP(G1794,Tb_KostenTypen[],3,0)*VLOOKUP(F1794,Tb_ProjectKosten[],MATCH(Tb_ProjectKosten[[#Headers],[Forfait_Percentage]],Tb_ProjectKosten[#Headers],0),0),""),W1794 &lt;=0,0),"")</f>
        <v/>
      </c>
      <c r="AA1794" s="314" t="str" cm="1">
        <f t="array" aca="1" ref="AA1794" ca="1">IFERROR(_xlfn.IFS(OR(F1794="",LEFT(Methode_Keuze,4)="Geen",Methode_Keuze=""),"",AND(X1794&lt;&gt;"",F1794&lt;&gt;"Arbeidskosten"),X1794*VLOOKUP(F1794,Tb_ProjectKosten[],MATCH(Tb_ProjectKosten[[#Headers],[Forfait_Percentage]],Tb_ProjectKosten[#Headers],0),0),AND(F1794="Arbeidskosten",G1794&lt;&gt;""),IFERROR(X1794*VLOOKUP(G1794,Tb_KostenTypen[],3,0)*VLOOKUP(F1794,Tb_ProjectKosten[],MATCH(Tb_ProjectKosten[[#Headers],[Forfait_Percentage]],Tb_ProjectKosten[#Headers],0),0),""),X1794 &lt;=0,0),"")</f>
        <v/>
      </c>
      <c r="AB1794" s="314" t="str">
        <f t="shared" ca="1" si="111"/>
        <v/>
      </c>
      <c r="AC1794" s="322"/>
      <c r="AD1794" s="315"/>
      <c r="AE1794" s="32" t="str" cm="1">
        <f t="array" ref="AE1794">IFERROR(IF(INDEX(SubsidieTabel!$AD$1:$AG$12,MATCH($F1794,SubsidieTabel!$AD$1:$AD$12,0),IFERROR(MATCH(Methode_Keuze,SubsidieTabel!$AD$1:$AG$1,0),2))&lt;&gt;1=TRUE,"ja",""),"")</f>
        <v/>
      </c>
    </row>
    <row r="1795" spans="1:31" x14ac:dyDescent="0.25">
      <c r="A1795" s="316"/>
      <c r="B1795" s="317" t="str">
        <f>IF(A1795&lt;&gt;"",_xlfn.MAXIFS($B$1:B1794,$A$1:A1794,A1795)+1,"")</f>
        <v/>
      </c>
      <c r="C1795" s="296"/>
      <c r="D1795" s="296"/>
      <c r="E1795" s="296"/>
      <c r="F1795" s="296"/>
      <c r="G1795" s="326"/>
      <c r="H1795" s="324"/>
      <c r="I1795" s="325"/>
      <c r="J1795" s="325"/>
      <c r="K1795" s="318"/>
      <c r="L1795" s="318"/>
      <c r="M1795" s="319" t="str">
        <f>IFERROR(VLOOKUP(H1795,Lijsten!$H$1:$I$100,2,0),"")</f>
        <v/>
      </c>
      <c r="N1795" s="319" t="str">
        <f ca="1">IFERROR(IF(VLOOKUP(F1795,Kostentypen!$A$3:$E$21,3,0)=0,"",IF(OR(F1795="Arbeidskosten",F1795="Vergoeding"),VLOOKUP(G1795,Tb_KostenTypen[],2,0),VLOOKUP(F1795,Kostentypen!$A$3:$E$20,3,0))),"")</f>
        <v/>
      </c>
      <c r="O1795" s="320" t="str" cm="1">
        <f t="array" ref="O1795">_xlfn.IFNA(IF(INDEX(Tb_KostenOptiesDB[],MATCH($F1795,Tb_KostenOptiesDB[KostenOptie],0),IFERROR(MATCH(Methode_Keuze,Tb_KostenOptiesDB[#Headers],0),2))=1,_xlfn.SWITCH($N1795,"Uurtarief",IF(OR(AND(RIGHT($F1795,3)="IKS",VLOOKUP($M1795,DB_Loonkosten,2,0)="Ja"),AND(RIGHT($F1795,3)&lt;&gt;"IKS",VLOOKUP($M1795,DB_Loonkosten,2,0)="Nee")),IFERROR(VLOOKUP($M1795,DB_Loonkosten,24,0),""),0),"Vast tarief",IF(LEFT(F1795,8)="Bijdrage",VLOOKUP($F1795,Tb_KostenTypen[],MATCH(Lijsten!$P$1,Tb_KostenTypen[#Headers],0),0),VLOOKUP($G1795,Lijsten!L:P,MATCH(Lijsten!$P$1,Kop_Tarief_Vast,0),0))),""),"")</f>
        <v/>
      </c>
      <c r="P1795" s="320" t="str" cm="1">
        <f t="array" ref="P1795">_xlfn.IFNA(IF(INDEX(Tb_KostenOptiesDB[],MATCH($F1795,Tb_KostenOptiesDB[KostenOptie],0),IFERROR(MATCH(Methode_Keuze,Tb_KostenOptiesDB[#Headers],0),2))=1,_xlfn.SWITCH($N1795,"Uurtarief",IF(OR(AND(RIGHT($F1795,3)="IKS",VLOOKUP($M1795,DB_Loonkosten,2,0)="Ja"),AND(RIGHT($F1795,3)&lt;&gt;"IKS",VLOOKUP($M1795,DB_Loonkosten,2,0)="Nee")),IFERROR(VLOOKUP($M1795,DB_Loonkosten,25,0),""),0),"Vast tarief",IF(LEFT(F1795,8)="Bijdrage",VLOOKUP($F1795,Tb_KostenTypen[],MATCH(Lijsten!$P$1,Tb_KostenTypen[#Headers],0),0),VLOOKUP($G1795,Lijsten!L:P,MATCH(Lijsten!$P$1,Kop_Tarief_Vast,0),0))),""),"")</f>
        <v/>
      </c>
      <c r="Q1795" s="359"/>
      <c r="R1795" s="359"/>
      <c r="S1795" s="321"/>
      <c r="T1795" s="321"/>
      <c r="U1795" s="373" t="str">
        <f t="shared" ref="U1795:U1858" si="112">IFERROR(IF(AND(R1795&lt;&gt;"",R1795&lt;&gt;Q1795),-1*(R1795-Q1795),""),"")</f>
        <v/>
      </c>
      <c r="V1795" s="314" t="str">
        <f t="shared" ref="V1795:V1858" si="113">IFERROR(IF(AND(T1795&lt;&gt;"",T1795&lt;&gt;S1795),-1*(T1795-S1795),""),"")</f>
        <v/>
      </c>
      <c r="W1795" s="314" t="str" cm="1">
        <f t="array" aca="1" ref="W1795" ca="1">IFERROR(IF(AE1795&lt;&gt;"ja",_xlfn.IFNA(_xlfn.IFS(AND(O1795&lt;&gt;"",F1795&lt;&gt;"",RIGHT($N1795,6)="tarief",F1795="Vergoeding"),SUM(O1795)*FLOOR(SUM(Q1795),0.0001),AND(O1795&lt;&gt;"",F1795&lt;&gt;"",RIGHT($N1795,6)="tarief"),SUM(O1795)*FLOOR(SUM(Q1795),0.01),S1795&gt;0,IF(F1795&lt;&gt;"",FLOOR(SUM(S1795),0.01),"")),""),""),"")</f>
        <v/>
      </c>
      <c r="X1795" s="314" t="str" cm="1">
        <f t="array" aca="1" ref="X1795" ca="1">IFERROR(IF(AE1795&lt;&gt;"ja",_xlfn.IFNA(_xlfn.IFS(AND(P1795&lt;&gt;"",R1795&lt;&gt;"",RIGHT($N1795,6)="tarief",F1795="Vergoeding"),SUM(P1795)*FLOOR(SUM(R1795),0.0001),AND(P1795&lt;&gt;"",R1795&lt;&gt;"",RIGHT($N1795,6)="tarief"),P1795*FLOOR(R1795,0.01),T1795&gt;0,FLOOR(SUM(T1795),0.01)),""),""),"")</f>
        <v/>
      </c>
      <c r="Y1795" s="314" t="str">
        <f t="shared" ref="Y1795:Y1858" ca="1" si="114">IFERROR(IF(AND(X1795&lt;&gt;"",X1795&lt;&gt;W1795),-1*(X1795-W1795),""),"")</f>
        <v/>
      </c>
      <c r="Z1795" s="314" t="str" cm="1">
        <f t="array" aca="1" ref="Z1795" ca="1">IFERROR(_xlfn.IFS(OR(F1795="",LEFT(Methode_Keuze,4)="Geen",Methode_Keuze=""),"",AND(W1795&lt;&gt;"",F1795&lt;&gt;"Arbeidskosten"),W1795*VLOOKUP(F1795,Tb_ProjectKosten[],MATCH(Tb_ProjectKosten[[#Headers],[Forfait_Percentage]],Tb_ProjectKosten[#Headers],0),0),AND(F1795="Arbeidskosten",G1795&lt;&gt;""),IFERROR(W1795*VLOOKUP(G1795,Tb_KostenTypen[],3,0)*VLOOKUP(F1795,Tb_ProjectKosten[],MATCH(Tb_ProjectKosten[[#Headers],[Forfait_Percentage]],Tb_ProjectKosten[#Headers],0),0),""),W1795 &lt;=0,0),"")</f>
        <v/>
      </c>
      <c r="AA1795" s="314" t="str" cm="1">
        <f t="array" aca="1" ref="AA1795" ca="1">IFERROR(_xlfn.IFS(OR(F1795="",LEFT(Methode_Keuze,4)="Geen",Methode_Keuze=""),"",AND(X1795&lt;&gt;"",F1795&lt;&gt;"Arbeidskosten"),X1795*VLOOKUP(F1795,Tb_ProjectKosten[],MATCH(Tb_ProjectKosten[[#Headers],[Forfait_Percentage]],Tb_ProjectKosten[#Headers],0),0),AND(F1795="Arbeidskosten",G1795&lt;&gt;""),IFERROR(X1795*VLOOKUP(G1795,Tb_KostenTypen[],3,0)*VLOOKUP(F1795,Tb_ProjectKosten[],MATCH(Tb_ProjectKosten[[#Headers],[Forfait_Percentage]],Tb_ProjectKosten[#Headers],0),0),""),X1795 &lt;=0,0),"")</f>
        <v/>
      </c>
      <c r="AB1795" s="314" t="str">
        <f t="shared" ref="AB1795:AB1858" ca="1" si="115">IFERROR(IF(AND(AA1795&lt;&gt;"",AA1795&lt;&gt;Z1795),-1*(AA1795-Z1795),""),"")</f>
        <v/>
      </c>
      <c r="AC1795" s="322"/>
      <c r="AD1795" s="315"/>
      <c r="AE1795" s="32" t="str" cm="1">
        <f t="array" ref="AE1795">IFERROR(IF(INDEX(SubsidieTabel!$AD$1:$AG$12,MATCH($F1795,SubsidieTabel!$AD$1:$AD$12,0),IFERROR(MATCH(Methode_Keuze,SubsidieTabel!$AD$1:$AG$1,0),2))&lt;&gt;1=TRUE,"ja",""),"")</f>
        <v/>
      </c>
    </row>
    <row r="1796" spans="1:31" x14ac:dyDescent="0.25">
      <c r="A1796" s="316"/>
      <c r="B1796" s="317" t="str">
        <f>IF(A1796&lt;&gt;"",_xlfn.MAXIFS($B$1:B1795,$A$1:A1795,A1796)+1,"")</f>
        <v/>
      </c>
      <c r="C1796" s="296"/>
      <c r="D1796" s="296"/>
      <c r="E1796" s="296"/>
      <c r="F1796" s="296"/>
      <c r="G1796" s="326"/>
      <c r="H1796" s="324"/>
      <c r="I1796" s="325"/>
      <c r="J1796" s="325"/>
      <c r="K1796" s="318"/>
      <c r="L1796" s="318"/>
      <c r="M1796" s="319" t="str">
        <f>IFERROR(VLOOKUP(H1796,Lijsten!$H$1:$I$100,2,0),"")</f>
        <v/>
      </c>
      <c r="N1796" s="319" t="str">
        <f ca="1">IFERROR(IF(VLOOKUP(F1796,Kostentypen!$A$3:$E$21,3,0)=0,"",IF(OR(F1796="Arbeidskosten",F1796="Vergoeding"),VLOOKUP(G1796,Tb_KostenTypen[],2,0),VLOOKUP(F1796,Kostentypen!$A$3:$E$20,3,0))),"")</f>
        <v/>
      </c>
      <c r="O1796" s="320" t="str" cm="1">
        <f t="array" ref="O1796">_xlfn.IFNA(IF(INDEX(Tb_KostenOptiesDB[],MATCH($F1796,Tb_KostenOptiesDB[KostenOptie],0),IFERROR(MATCH(Methode_Keuze,Tb_KostenOptiesDB[#Headers],0),2))=1,_xlfn.SWITCH($N1796,"Uurtarief",IF(OR(AND(RIGHT($F1796,3)="IKS",VLOOKUP($M1796,DB_Loonkosten,2,0)="Ja"),AND(RIGHT($F1796,3)&lt;&gt;"IKS",VLOOKUP($M1796,DB_Loonkosten,2,0)="Nee")),IFERROR(VLOOKUP($M1796,DB_Loonkosten,24,0),""),0),"Vast tarief",IF(LEFT(F1796,8)="Bijdrage",VLOOKUP($F1796,Tb_KostenTypen[],MATCH(Lijsten!$P$1,Tb_KostenTypen[#Headers],0),0),VLOOKUP($G1796,Lijsten!L:P,MATCH(Lijsten!$P$1,Kop_Tarief_Vast,0),0))),""),"")</f>
        <v/>
      </c>
      <c r="P1796" s="320" t="str" cm="1">
        <f t="array" ref="P1796">_xlfn.IFNA(IF(INDEX(Tb_KostenOptiesDB[],MATCH($F1796,Tb_KostenOptiesDB[KostenOptie],0),IFERROR(MATCH(Methode_Keuze,Tb_KostenOptiesDB[#Headers],0),2))=1,_xlfn.SWITCH($N1796,"Uurtarief",IF(OR(AND(RIGHT($F1796,3)="IKS",VLOOKUP($M1796,DB_Loonkosten,2,0)="Ja"),AND(RIGHT($F1796,3)&lt;&gt;"IKS",VLOOKUP($M1796,DB_Loonkosten,2,0)="Nee")),IFERROR(VLOOKUP($M1796,DB_Loonkosten,25,0),""),0),"Vast tarief",IF(LEFT(F1796,8)="Bijdrage",VLOOKUP($F1796,Tb_KostenTypen[],MATCH(Lijsten!$P$1,Tb_KostenTypen[#Headers],0),0),VLOOKUP($G1796,Lijsten!L:P,MATCH(Lijsten!$P$1,Kop_Tarief_Vast,0),0))),""),"")</f>
        <v/>
      </c>
      <c r="Q1796" s="359"/>
      <c r="R1796" s="359"/>
      <c r="S1796" s="321"/>
      <c r="T1796" s="321"/>
      <c r="U1796" s="373" t="str">
        <f t="shared" si="112"/>
        <v/>
      </c>
      <c r="V1796" s="314" t="str">
        <f t="shared" si="113"/>
        <v/>
      </c>
      <c r="W1796" s="314" t="str" cm="1">
        <f t="array" aca="1" ref="W1796" ca="1">IFERROR(IF(AE1796&lt;&gt;"ja",_xlfn.IFNA(_xlfn.IFS(AND(O1796&lt;&gt;"",F1796&lt;&gt;"",RIGHT($N1796,6)="tarief",F1796="Vergoeding"),SUM(O1796)*FLOOR(SUM(Q1796),0.0001),AND(O1796&lt;&gt;"",F1796&lt;&gt;"",RIGHT($N1796,6)="tarief"),SUM(O1796)*FLOOR(SUM(Q1796),0.01),S1796&gt;0,IF(F1796&lt;&gt;"",FLOOR(SUM(S1796),0.01),"")),""),""),"")</f>
        <v/>
      </c>
      <c r="X1796" s="314" t="str" cm="1">
        <f t="array" aca="1" ref="X1796" ca="1">IFERROR(IF(AE1796&lt;&gt;"ja",_xlfn.IFNA(_xlfn.IFS(AND(P1796&lt;&gt;"",R1796&lt;&gt;"",RIGHT($N1796,6)="tarief",F1796="Vergoeding"),SUM(P1796)*FLOOR(SUM(R1796),0.0001),AND(P1796&lt;&gt;"",R1796&lt;&gt;"",RIGHT($N1796,6)="tarief"),P1796*FLOOR(R1796,0.01),T1796&gt;0,FLOOR(SUM(T1796),0.01)),""),""),"")</f>
        <v/>
      </c>
      <c r="Y1796" s="314" t="str">
        <f t="shared" ca="1" si="114"/>
        <v/>
      </c>
      <c r="Z1796" s="314" t="str" cm="1">
        <f t="array" aca="1" ref="Z1796" ca="1">IFERROR(_xlfn.IFS(OR(F1796="",LEFT(Methode_Keuze,4)="Geen",Methode_Keuze=""),"",AND(W1796&lt;&gt;"",F1796&lt;&gt;"Arbeidskosten"),W1796*VLOOKUP(F1796,Tb_ProjectKosten[],MATCH(Tb_ProjectKosten[[#Headers],[Forfait_Percentage]],Tb_ProjectKosten[#Headers],0),0),AND(F1796="Arbeidskosten",G1796&lt;&gt;""),IFERROR(W1796*VLOOKUP(G1796,Tb_KostenTypen[],3,0)*VLOOKUP(F1796,Tb_ProjectKosten[],MATCH(Tb_ProjectKosten[[#Headers],[Forfait_Percentage]],Tb_ProjectKosten[#Headers],0),0),""),W1796 &lt;=0,0),"")</f>
        <v/>
      </c>
      <c r="AA1796" s="314" t="str" cm="1">
        <f t="array" aca="1" ref="AA1796" ca="1">IFERROR(_xlfn.IFS(OR(F1796="",LEFT(Methode_Keuze,4)="Geen",Methode_Keuze=""),"",AND(X1796&lt;&gt;"",F1796&lt;&gt;"Arbeidskosten"),X1796*VLOOKUP(F1796,Tb_ProjectKosten[],MATCH(Tb_ProjectKosten[[#Headers],[Forfait_Percentage]],Tb_ProjectKosten[#Headers],0),0),AND(F1796="Arbeidskosten",G1796&lt;&gt;""),IFERROR(X1796*VLOOKUP(G1796,Tb_KostenTypen[],3,0)*VLOOKUP(F1796,Tb_ProjectKosten[],MATCH(Tb_ProjectKosten[[#Headers],[Forfait_Percentage]],Tb_ProjectKosten[#Headers],0),0),""),X1796 &lt;=0,0),"")</f>
        <v/>
      </c>
      <c r="AB1796" s="314" t="str">
        <f t="shared" ca="1" si="115"/>
        <v/>
      </c>
      <c r="AC1796" s="322"/>
      <c r="AD1796" s="315"/>
      <c r="AE1796" s="32" t="str" cm="1">
        <f t="array" ref="AE1796">IFERROR(IF(INDEX(SubsidieTabel!$AD$1:$AG$12,MATCH($F1796,SubsidieTabel!$AD$1:$AD$12,0),IFERROR(MATCH(Methode_Keuze,SubsidieTabel!$AD$1:$AG$1,0),2))&lt;&gt;1=TRUE,"ja",""),"")</f>
        <v/>
      </c>
    </row>
    <row r="1797" spans="1:31" x14ac:dyDescent="0.25">
      <c r="A1797" s="316"/>
      <c r="B1797" s="317" t="str">
        <f>IF(A1797&lt;&gt;"",_xlfn.MAXIFS($B$1:B1796,$A$1:A1796,A1797)+1,"")</f>
        <v/>
      </c>
      <c r="C1797" s="296"/>
      <c r="D1797" s="296"/>
      <c r="E1797" s="296"/>
      <c r="F1797" s="296"/>
      <c r="G1797" s="326"/>
      <c r="H1797" s="324"/>
      <c r="I1797" s="325"/>
      <c r="J1797" s="325"/>
      <c r="K1797" s="318"/>
      <c r="L1797" s="318"/>
      <c r="M1797" s="319" t="str">
        <f>IFERROR(VLOOKUP(H1797,Lijsten!$H$1:$I$100,2,0),"")</f>
        <v/>
      </c>
      <c r="N1797" s="319" t="str">
        <f ca="1">IFERROR(IF(VLOOKUP(F1797,Kostentypen!$A$3:$E$21,3,0)=0,"",IF(OR(F1797="Arbeidskosten",F1797="Vergoeding"),VLOOKUP(G1797,Tb_KostenTypen[],2,0),VLOOKUP(F1797,Kostentypen!$A$3:$E$20,3,0))),"")</f>
        <v/>
      </c>
      <c r="O1797" s="320" t="str" cm="1">
        <f t="array" ref="O1797">_xlfn.IFNA(IF(INDEX(Tb_KostenOptiesDB[],MATCH($F1797,Tb_KostenOptiesDB[KostenOptie],0),IFERROR(MATCH(Methode_Keuze,Tb_KostenOptiesDB[#Headers],0),2))=1,_xlfn.SWITCH($N1797,"Uurtarief",IF(OR(AND(RIGHT($F1797,3)="IKS",VLOOKUP($M1797,DB_Loonkosten,2,0)="Ja"),AND(RIGHT($F1797,3)&lt;&gt;"IKS",VLOOKUP($M1797,DB_Loonkosten,2,0)="Nee")),IFERROR(VLOOKUP($M1797,DB_Loonkosten,24,0),""),0),"Vast tarief",IF(LEFT(F1797,8)="Bijdrage",VLOOKUP($F1797,Tb_KostenTypen[],MATCH(Lijsten!$P$1,Tb_KostenTypen[#Headers],0),0),VLOOKUP($G1797,Lijsten!L:P,MATCH(Lijsten!$P$1,Kop_Tarief_Vast,0),0))),""),"")</f>
        <v/>
      </c>
      <c r="P1797" s="320" t="str" cm="1">
        <f t="array" ref="P1797">_xlfn.IFNA(IF(INDEX(Tb_KostenOptiesDB[],MATCH($F1797,Tb_KostenOptiesDB[KostenOptie],0),IFERROR(MATCH(Methode_Keuze,Tb_KostenOptiesDB[#Headers],0),2))=1,_xlfn.SWITCH($N1797,"Uurtarief",IF(OR(AND(RIGHT($F1797,3)="IKS",VLOOKUP($M1797,DB_Loonkosten,2,0)="Ja"),AND(RIGHT($F1797,3)&lt;&gt;"IKS",VLOOKUP($M1797,DB_Loonkosten,2,0)="Nee")),IFERROR(VLOOKUP($M1797,DB_Loonkosten,25,0),""),0),"Vast tarief",IF(LEFT(F1797,8)="Bijdrage",VLOOKUP($F1797,Tb_KostenTypen[],MATCH(Lijsten!$P$1,Tb_KostenTypen[#Headers],0),0),VLOOKUP($G1797,Lijsten!L:P,MATCH(Lijsten!$P$1,Kop_Tarief_Vast,0),0))),""),"")</f>
        <v/>
      </c>
      <c r="Q1797" s="359"/>
      <c r="R1797" s="359"/>
      <c r="S1797" s="321"/>
      <c r="T1797" s="321"/>
      <c r="U1797" s="373" t="str">
        <f t="shared" si="112"/>
        <v/>
      </c>
      <c r="V1797" s="314" t="str">
        <f t="shared" si="113"/>
        <v/>
      </c>
      <c r="W1797" s="314" t="str" cm="1">
        <f t="array" aca="1" ref="W1797" ca="1">IFERROR(IF(AE1797&lt;&gt;"ja",_xlfn.IFNA(_xlfn.IFS(AND(O1797&lt;&gt;"",F1797&lt;&gt;"",RIGHT($N1797,6)="tarief",F1797="Vergoeding"),SUM(O1797)*FLOOR(SUM(Q1797),0.0001),AND(O1797&lt;&gt;"",F1797&lt;&gt;"",RIGHT($N1797,6)="tarief"),SUM(O1797)*FLOOR(SUM(Q1797),0.01),S1797&gt;0,IF(F1797&lt;&gt;"",FLOOR(SUM(S1797),0.01),"")),""),""),"")</f>
        <v/>
      </c>
      <c r="X1797" s="314" t="str" cm="1">
        <f t="array" aca="1" ref="X1797" ca="1">IFERROR(IF(AE1797&lt;&gt;"ja",_xlfn.IFNA(_xlfn.IFS(AND(P1797&lt;&gt;"",R1797&lt;&gt;"",RIGHT($N1797,6)="tarief",F1797="Vergoeding"),SUM(P1797)*FLOOR(SUM(R1797),0.0001),AND(P1797&lt;&gt;"",R1797&lt;&gt;"",RIGHT($N1797,6)="tarief"),P1797*FLOOR(R1797,0.01),T1797&gt;0,FLOOR(SUM(T1797),0.01)),""),""),"")</f>
        <v/>
      </c>
      <c r="Y1797" s="314" t="str">
        <f t="shared" ca="1" si="114"/>
        <v/>
      </c>
      <c r="Z1797" s="314" t="str" cm="1">
        <f t="array" aca="1" ref="Z1797" ca="1">IFERROR(_xlfn.IFS(OR(F1797="",LEFT(Methode_Keuze,4)="Geen",Methode_Keuze=""),"",AND(W1797&lt;&gt;"",F1797&lt;&gt;"Arbeidskosten"),W1797*VLOOKUP(F1797,Tb_ProjectKosten[],MATCH(Tb_ProjectKosten[[#Headers],[Forfait_Percentage]],Tb_ProjectKosten[#Headers],0),0),AND(F1797="Arbeidskosten",G1797&lt;&gt;""),IFERROR(W1797*VLOOKUP(G1797,Tb_KostenTypen[],3,0)*VLOOKUP(F1797,Tb_ProjectKosten[],MATCH(Tb_ProjectKosten[[#Headers],[Forfait_Percentage]],Tb_ProjectKosten[#Headers],0),0),""),W1797 &lt;=0,0),"")</f>
        <v/>
      </c>
      <c r="AA1797" s="314" t="str" cm="1">
        <f t="array" aca="1" ref="AA1797" ca="1">IFERROR(_xlfn.IFS(OR(F1797="",LEFT(Methode_Keuze,4)="Geen",Methode_Keuze=""),"",AND(X1797&lt;&gt;"",F1797&lt;&gt;"Arbeidskosten"),X1797*VLOOKUP(F1797,Tb_ProjectKosten[],MATCH(Tb_ProjectKosten[[#Headers],[Forfait_Percentage]],Tb_ProjectKosten[#Headers],0),0),AND(F1797="Arbeidskosten",G1797&lt;&gt;""),IFERROR(X1797*VLOOKUP(G1797,Tb_KostenTypen[],3,0)*VLOOKUP(F1797,Tb_ProjectKosten[],MATCH(Tb_ProjectKosten[[#Headers],[Forfait_Percentage]],Tb_ProjectKosten[#Headers],0),0),""),X1797 &lt;=0,0),"")</f>
        <v/>
      </c>
      <c r="AB1797" s="314" t="str">
        <f t="shared" ca="1" si="115"/>
        <v/>
      </c>
      <c r="AC1797" s="322"/>
      <c r="AD1797" s="315"/>
      <c r="AE1797" s="32" t="str" cm="1">
        <f t="array" ref="AE1797">IFERROR(IF(INDEX(SubsidieTabel!$AD$1:$AG$12,MATCH($F1797,SubsidieTabel!$AD$1:$AD$12,0),IFERROR(MATCH(Methode_Keuze,SubsidieTabel!$AD$1:$AG$1,0),2))&lt;&gt;1=TRUE,"ja",""),"")</f>
        <v/>
      </c>
    </row>
    <row r="1798" spans="1:31" x14ac:dyDescent="0.25">
      <c r="A1798" s="316"/>
      <c r="B1798" s="317" t="str">
        <f>IF(A1798&lt;&gt;"",_xlfn.MAXIFS($B$1:B1797,$A$1:A1797,A1798)+1,"")</f>
        <v/>
      </c>
      <c r="C1798" s="296"/>
      <c r="D1798" s="296"/>
      <c r="E1798" s="296"/>
      <c r="F1798" s="296"/>
      <c r="G1798" s="326"/>
      <c r="H1798" s="324"/>
      <c r="I1798" s="325"/>
      <c r="J1798" s="325"/>
      <c r="K1798" s="318"/>
      <c r="L1798" s="318"/>
      <c r="M1798" s="319" t="str">
        <f>IFERROR(VLOOKUP(H1798,Lijsten!$H$1:$I$100,2,0),"")</f>
        <v/>
      </c>
      <c r="N1798" s="319" t="str">
        <f ca="1">IFERROR(IF(VLOOKUP(F1798,Kostentypen!$A$3:$E$21,3,0)=0,"",IF(OR(F1798="Arbeidskosten",F1798="Vergoeding"),VLOOKUP(G1798,Tb_KostenTypen[],2,0),VLOOKUP(F1798,Kostentypen!$A$3:$E$20,3,0))),"")</f>
        <v/>
      </c>
      <c r="O1798" s="320" t="str" cm="1">
        <f t="array" ref="O1798">_xlfn.IFNA(IF(INDEX(Tb_KostenOptiesDB[],MATCH($F1798,Tb_KostenOptiesDB[KostenOptie],0),IFERROR(MATCH(Methode_Keuze,Tb_KostenOptiesDB[#Headers],0),2))=1,_xlfn.SWITCH($N1798,"Uurtarief",IF(OR(AND(RIGHT($F1798,3)="IKS",VLOOKUP($M1798,DB_Loonkosten,2,0)="Ja"),AND(RIGHT($F1798,3)&lt;&gt;"IKS",VLOOKUP($M1798,DB_Loonkosten,2,0)="Nee")),IFERROR(VLOOKUP($M1798,DB_Loonkosten,24,0),""),0),"Vast tarief",IF(LEFT(F1798,8)="Bijdrage",VLOOKUP($F1798,Tb_KostenTypen[],MATCH(Lijsten!$P$1,Tb_KostenTypen[#Headers],0),0),VLOOKUP($G1798,Lijsten!L:P,MATCH(Lijsten!$P$1,Kop_Tarief_Vast,0),0))),""),"")</f>
        <v/>
      </c>
      <c r="P1798" s="320" t="str" cm="1">
        <f t="array" ref="P1798">_xlfn.IFNA(IF(INDEX(Tb_KostenOptiesDB[],MATCH($F1798,Tb_KostenOptiesDB[KostenOptie],0),IFERROR(MATCH(Methode_Keuze,Tb_KostenOptiesDB[#Headers],0),2))=1,_xlfn.SWITCH($N1798,"Uurtarief",IF(OR(AND(RIGHT($F1798,3)="IKS",VLOOKUP($M1798,DB_Loonkosten,2,0)="Ja"),AND(RIGHT($F1798,3)&lt;&gt;"IKS",VLOOKUP($M1798,DB_Loonkosten,2,0)="Nee")),IFERROR(VLOOKUP($M1798,DB_Loonkosten,25,0),""),0),"Vast tarief",IF(LEFT(F1798,8)="Bijdrage",VLOOKUP($F1798,Tb_KostenTypen[],MATCH(Lijsten!$P$1,Tb_KostenTypen[#Headers],0),0),VLOOKUP($G1798,Lijsten!L:P,MATCH(Lijsten!$P$1,Kop_Tarief_Vast,0),0))),""),"")</f>
        <v/>
      </c>
      <c r="Q1798" s="359"/>
      <c r="R1798" s="359"/>
      <c r="S1798" s="321"/>
      <c r="T1798" s="321"/>
      <c r="U1798" s="373" t="str">
        <f t="shared" si="112"/>
        <v/>
      </c>
      <c r="V1798" s="314" t="str">
        <f t="shared" si="113"/>
        <v/>
      </c>
      <c r="W1798" s="314" t="str" cm="1">
        <f t="array" aca="1" ref="W1798" ca="1">IFERROR(IF(AE1798&lt;&gt;"ja",_xlfn.IFNA(_xlfn.IFS(AND(O1798&lt;&gt;"",F1798&lt;&gt;"",RIGHT($N1798,6)="tarief",F1798="Vergoeding"),SUM(O1798)*FLOOR(SUM(Q1798),0.0001),AND(O1798&lt;&gt;"",F1798&lt;&gt;"",RIGHT($N1798,6)="tarief"),SUM(O1798)*FLOOR(SUM(Q1798),0.01),S1798&gt;0,IF(F1798&lt;&gt;"",FLOOR(SUM(S1798),0.01),"")),""),""),"")</f>
        <v/>
      </c>
      <c r="X1798" s="314" t="str" cm="1">
        <f t="array" aca="1" ref="X1798" ca="1">IFERROR(IF(AE1798&lt;&gt;"ja",_xlfn.IFNA(_xlfn.IFS(AND(P1798&lt;&gt;"",R1798&lt;&gt;"",RIGHT($N1798,6)="tarief",F1798="Vergoeding"),SUM(P1798)*FLOOR(SUM(R1798),0.0001),AND(P1798&lt;&gt;"",R1798&lt;&gt;"",RIGHT($N1798,6)="tarief"),P1798*FLOOR(R1798,0.01),T1798&gt;0,FLOOR(SUM(T1798),0.01)),""),""),"")</f>
        <v/>
      </c>
      <c r="Y1798" s="314" t="str">
        <f t="shared" ca="1" si="114"/>
        <v/>
      </c>
      <c r="Z1798" s="314" t="str" cm="1">
        <f t="array" aca="1" ref="Z1798" ca="1">IFERROR(_xlfn.IFS(OR(F1798="",LEFT(Methode_Keuze,4)="Geen",Methode_Keuze=""),"",AND(W1798&lt;&gt;"",F1798&lt;&gt;"Arbeidskosten"),W1798*VLOOKUP(F1798,Tb_ProjectKosten[],MATCH(Tb_ProjectKosten[[#Headers],[Forfait_Percentage]],Tb_ProjectKosten[#Headers],0),0),AND(F1798="Arbeidskosten",G1798&lt;&gt;""),IFERROR(W1798*VLOOKUP(G1798,Tb_KostenTypen[],3,0)*VLOOKUP(F1798,Tb_ProjectKosten[],MATCH(Tb_ProjectKosten[[#Headers],[Forfait_Percentage]],Tb_ProjectKosten[#Headers],0),0),""),W1798 &lt;=0,0),"")</f>
        <v/>
      </c>
      <c r="AA1798" s="314" t="str" cm="1">
        <f t="array" aca="1" ref="AA1798" ca="1">IFERROR(_xlfn.IFS(OR(F1798="",LEFT(Methode_Keuze,4)="Geen",Methode_Keuze=""),"",AND(X1798&lt;&gt;"",F1798&lt;&gt;"Arbeidskosten"),X1798*VLOOKUP(F1798,Tb_ProjectKosten[],MATCH(Tb_ProjectKosten[[#Headers],[Forfait_Percentage]],Tb_ProjectKosten[#Headers],0),0),AND(F1798="Arbeidskosten",G1798&lt;&gt;""),IFERROR(X1798*VLOOKUP(G1798,Tb_KostenTypen[],3,0)*VLOOKUP(F1798,Tb_ProjectKosten[],MATCH(Tb_ProjectKosten[[#Headers],[Forfait_Percentage]],Tb_ProjectKosten[#Headers],0),0),""),X1798 &lt;=0,0),"")</f>
        <v/>
      </c>
      <c r="AB1798" s="314" t="str">
        <f t="shared" ca="1" si="115"/>
        <v/>
      </c>
      <c r="AC1798" s="322"/>
      <c r="AD1798" s="315"/>
      <c r="AE1798" s="32" t="str" cm="1">
        <f t="array" ref="AE1798">IFERROR(IF(INDEX(SubsidieTabel!$AD$1:$AG$12,MATCH($F1798,SubsidieTabel!$AD$1:$AD$12,0),IFERROR(MATCH(Methode_Keuze,SubsidieTabel!$AD$1:$AG$1,0),2))&lt;&gt;1=TRUE,"ja",""),"")</f>
        <v/>
      </c>
    </row>
    <row r="1799" spans="1:31" x14ac:dyDescent="0.25">
      <c r="A1799" s="316"/>
      <c r="B1799" s="317" t="str">
        <f>IF(A1799&lt;&gt;"",_xlfn.MAXIFS($B$1:B1798,$A$1:A1798,A1799)+1,"")</f>
        <v/>
      </c>
      <c r="C1799" s="296"/>
      <c r="D1799" s="296"/>
      <c r="E1799" s="296"/>
      <c r="F1799" s="296"/>
      <c r="G1799" s="326"/>
      <c r="H1799" s="324"/>
      <c r="I1799" s="325"/>
      <c r="J1799" s="325"/>
      <c r="K1799" s="318"/>
      <c r="L1799" s="318"/>
      <c r="M1799" s="319" t="str">
        <f>IFERROR(VLOOKUP(H1799,Lijsten!$H$1:$I$100,2,0),"")</f>
        <v/>
      </c>
      <c r="N1799" s="319" t="str">
        <f ca="1">IFERROR(IF(VLOOKUP(F1799,Kostentypen!$A$3:$E$21,3,0)=0,"",IF(OR(F1799="Arbeidskosten",F1799="Vergoeding"),VLOOKUP(G1799,Tb_KostenTypen[],2,0),VLOOKUP(F1799,Kostentypen!$A$3:$E$20,3,0))),"")</f>
        <v/>
      </c>
      <c r="O1799" s="320" t="str" cm="1">
        <f t="array" ref="O1799">_xlfn.IFNA(IF(INDEX(Tb_KostenOptiesDB[],MATCH($F1799,Tb_KostenOptiesDB[KostenOptie],0),IFERROR(MATCH(Methode_Keuze,Tb_KostenOptiesDB[#Headers],0),2))=1,_xlfn.SWITCH($N1799,"Uurtarief",IF(OR(AND(RIGHT($F1799,3)="IKS",VLOOKUP($M1799,DB_Loonkosten,2,0)="Ja"),AND(RIGHT($F1799,3)&lt;&gt;"IKS",VLOOKUP($M1799,DB_Loonkosten,2,0)="Nee")),IFERROR(VLOOKUP($M1799,DB_Loonkosten,24,0),""),0),"Vast tarief",IF(LEFT(F1799,8)="Bijdrage",VLOOKUP($F1799,Tb_KostenTypen[],MATCH(Lijsten!$P$1,Tb_KostenTypen[#Headers],0),0),VLOOKUP($G1799,Lijsten!L:P,MATCH(Lijsten!$P$1,Kop_Tarief_Vast,0),0))),""),"")</f>
        <v/>
      </c>
      <c r="P1799" s="320" t="str" cm="1">
        <f t="array" ref="P1799">_xlfn.IFNA(IF(INDEX(Tb_KostenOptiesDB[],MATCH($F1799,Tb_KostenOptiesDB[KostenOptie],0),IFERROR(MATCH(Methode_Keuze,Tb_KostenOptiesDB[#Headers],0),2))=1,_xlfn.SWITCH($N1799,"Uurtarief",IF(OR(AND(RIGHT($F1799,3)="IKS",VLOOKUP($M1799,DB_Loonkosten,2,0)="Ja"),AND(RIGHT($F1799,3)&lt;&gt;"IKS",VLOOKUP($M1799,DB_Loonkosten,2,0)="Nee")),IFERROR(VLOOKUP($M1799,DB_Loonkosten,25,0),""),0),"Vast tarief",IF(LEFT(F1799,8)="Bijdrage",VLOOKUP($F1799,Tb_KostenTypen[],MATCH(Lijsten!$P$1,Tb_KostenTypen[#Headers],0),0),VLOOKUP($G1799,Lijsten!L:P,MATCH(Lijsten!$P$1,Kop_Tarief_Vast,0),0))),""),"")</f>
        <v/>
      </c>
      <c r="Q1799" s="359"/>
      <c r="R1799" s="359"/>
      <c r="S1799" s="321"/>
      <c r="T1799" s="321"/>
      <c r="U1799" s="373" t="str">
        <f t="shared" si="112"/>
        <v/>
      </c>
      <c r="V1799" s="314" t="str">
        <f t="shared" si="113"/>
        <v/>
      </c>
      <c r="W1799" s="314" t="str" cm="1">
        <f t="array" aca="1" ref="W1799" ca="1">IFERROR(IF(AE1799&lt;&gt;"ja",_xlfn.IFNA(_xlfn.IFS(AND(O1799&lt;&gt;"",F1799&lt;&gt;"",RIGHT($N1799,6)="tarief",F1799="Vergoeding"),SUM(O1799)*FLOOR(SUM(Q1799),0.0001),AND(O1799&lt;&gt;"",F1799&lt;&gt;"",RIGHT($N1799,6)="tarief"),SUM(O1799)*FLOOR(SUM(Q1799),0.01),S1799&gt;0,IF(F1799&lt;&gt;"",FLOOR(SUM(S1799),0.01),"")),""),""),"")</f>
        <v/>
      </c>
      <c r="X1799" s="314" t="str" cm="1">
        <f t="array" aca="1" ref="X1799" ca="1">IFERROR(IF(AE1799&lt;&gt;"ja",_xlfn.IFNA(_xlfn.IFS(AND(P1799&lt;&gt;"",R1799&lt;&gt;"",RIGHT($N1799,6)="tarief",F1799="Vergoeding"),SUM(P1799)*FLOOR(SUM(R1799),0.0001),AND(P1799&lt;&gt;"",R1799&lt;&gt;"",RIGHT($N1799,6)="tarief"),P1799*FLOOR(R1799,0.01),T1799&gt;0,FLOOR(SUM(T1799),0.01)),""),""),"")</f>
        <v/>
      </c>
      <c r="Y1799" s="314" t="str">
        <f t="shared" ca="1" si="114"/>
        <v/>
      </c>
      <c r="Z1799" s="314" t="str" cm="1">
        <f t="array" aca="1" ref="Z1799" ca="1">IFERROR(_xlfn.IFS(OR(F1799="",LEFT(Methode_Keuze,4)="Geen",Methode_Keuze=""),"",AND(W1799&lt;&gt;"",F1799&lt;&gt;"Arbeidskosten"),W1799*VLOOKUP(F1799,Tb_ProjectKosten[],MATCH(Tb_ProjectKosten[[#Headers],[Forfait_Percentage]],Tb_ProjectKosten[#Headers],0),0),AND(F1799="Arbeidskosten",G1799&lt;&gt;""),IFERROR(W1799*VLOOKUP(G1799,Tb_KostenTypen[],3,0)*VLOOKUP(F1799,Tb_ProjectKosten[],MATCH(Tb_ProjectKosten[[#Headers],[Forfait_Percentage]],Tb_ProjectKosten[#Headers],0),0),""),W1799 &lt;=0,0),"")</f>
        <v/>
      </c>
      <c r="AA1799" s="314" t="str" cm="1">
        <f t="array" aca="1" ref="AA1799" ca="1">IFERROR(_xlfn.IFS(OR(F1799="",LEFT(Methode_Keuze,4)="Geen",Methode_Keuze=""),"",AND(X1799&lt;&gt;"",F1799&lt;&gt;"Arbeidskosten"),X1799*VLOOKUP(F1799,Tb_ProjectKosten[],MATCH(Tb_ProjectKosten[[#Headers],[Forfait_Percentage]],Tb_ProjectKosten[#Headers],0),0),AND(F1799="Arbeidskosten",G1799&lt;&gt;""),IFERROR(X1799*VLOOKUP(G1799,Tb_KostenTypen[],3,0)*VLOOKUP(F1799,Tb_ProjectKosten[],MATCH(Tb_ProjectKosten[[#Headers],[Forfait_Percentage]],Tb_ProjectKosten[#Headers],0),0),""),X1799 &lt;=0,0),"")</f>
        <v/>
      </c>
      <c r="AB1799" s="314" t="str">
        <f t="shared" ca="1" si="115"/>
        <v/>
      </c>
      <c r="AC1799" s="322"/>
      <c r="AD1799" s="315"/>
      <c r="AE1799" s="32" t="str" cm="1">
        <f t="array" ref="AE1799">IFERROR(IF(INDEX(SubsidieTabel!$AD$1:$AG$12,MATCH($F1799,SubsidieTabel!$AD$1:$AD$12,0),IFERROR(MATCH(Methode_Keuze,SubsidieTabel!$AD$1:$AG$1,0),2))&lt;&gt;1=TRUE,"ja",""),"")</f>
        <v/>
      </c>
    </row>
    <row r="1800" spans="1:31" x14ac:dyDescent="0.25">
      <c r="A1800" s="316"/>
      <c r="B1800" s="317" t="str">
        <f>IF(A1800&lt;&gt;"",_xlfn.MAXIFS($B$1:B1799,$A$1:A1799,A1800)+1,"")</f>
        <v/>
      </c>
      <c r="C1800" s="296"/>
      <c r="D1800" s="296"/>
      <c r="E1800" s="296"/>
      <c r="F1800" s="296"/>
      <c r="G1800" s="326"/>
      <c r="H1800" s="324"/>
      <c r="I1800" s="325"/>
      <c r="J1800" s="325"/>
      <c r="K1800" s="318"/>
      <c r="L1800" s="318"/>
      <c r="M1800" s="319" t="str">
        <f>IFERROR(VLOOKUP(H1800,Lijsten!$H$1:$I$100,2,0),"")</f>
        <v/>
      </c>
      <c r="N1800" s="319" t="str">
        <f ca="1">IFERROR(IF(VLOOKUP(F1800,Kostentypen!$A$3:$E$21,3,0)=0,"",IF(OR(F1800="Arbeidskosten",F1800="Vergoeding"),VLOOKUP(G1800,Tb_KostenTypen[],2,0),VLOOKUP(F1800,Kostentypen!$A$3:$E$20,3,0))),"")</f>
        <v/>
      </c>
      <c r="O1800" s="320" t="str" cm="1">
        <f t="array" ref="O1800">_xlfn.IFNA(IF(INDEX(Tb_KostenOptiesDB[],MATCH($F1800,Tb_KostenOptiesDB[KostenOptie],0),IFERROR(MATCH(Methode_Keuze,Tb_KostenOptiesDB[#Headers],0),2))=1,_xlfn.SWITCH($N1800,"Uurtarief",IF(OR(AND(RIGHT($F1800,3)="IKS",VLOOKUP($M1800,DB_Loonkosten,2,0)="Ja"),AND(RIGHT($F1800,3)&lt;&gt;"IKS",VLOOKUP($M1800,DB_Loonkosten,2,0)="Nee")),IFERROR(VLOOKUP($M1800,DB_Loonkosten,24,0),""),0),"Vast tarief",IF(LEFT(F1800,8)="Bijdrage",VLOOKUP($F1800,Tb_KostenTypen[],MATCH(Lijsten!$P$1,Tb_KostenTypen[#Headers],0),0),VLOOKUP($G1800,Lijsten!L:P,MATCH(Lijsten!$P$1,Kop_Tarief_Vast,0),0))),""),"")</f>
        <v/>
      </c>
      <c r="P1800" s="320" t="str" cm="1">
        <f t="array" ref="P1800">_xlfn.IFNA(IF(INDEX(Tb_KostenOptiesDB[],MATCH($F1800,Tb_KostenOptiesDB[KostenOptie],0),IFERROR(MATCH(Methode_Keuze,Tb_KostenOptiesDB[#Headers],0),2))=1,_xlfn.SWITCH($N1800,"Uurtarief",IF(OR(AND(RIGHT($F1800,3)="IKS",VLOOKUP($M1800,DB_Loonkosten,2,0)="Ja"),AND(RIGHT($F1800,3)&lt;&gt;"IKS",VLOOKUP($M1800,DB_Loonkosten,2,0)="Nee")),IFERROR(VLOOKUP($M1800,DB_Loonkosten,25,0),""),0),"Vast tarief",IF(LEFT(F1800,8)="Bijdrage",VLOOKUP($F1800,Tb_KostenTypen[],MATCH(Lijsten!$P$1,Tb_KostenTypen[#Headers],0),0),VLOOKUP($G1800,Lijsten!L:P,MATCH(Lijsten!$P$1,Kop_Tarief_Vast,0),0))),""),"")</f>
        <v/>
      </c>
      <c r="Q1800" s="359"/>
      <c r="R1800" s="359"/>
      <c r="S1800" s="321"/>
      <c r="T1800" s="321"/>
      <c r="U1800" s="373" t="str">
        <f t="shared" si="112"/>
        <v/>
      </c>
      <c r="V1800" s="314" t="str">
        <f t="shared" si="113"/>
        <v/>
      </c>
      <c r="W1800" s="314" t="str" cm="1">
        <f t="array" aca="1" ref="W1800" ca="1">IFERROR(IF(AE1800&lt;&gt;"ja",_xlfn.IFNA(_xlfn.IFS(AND(O1800&lt;&gt;"",F1800&lt;&gt;"",RIGHT($N1800,6)="tarief",F1800="Vergoeding"),SUM(O1800)*FLOOR(SUM(Q1800),0.0001),AND(O1800&lt;&gt;"",F1800&lt;&gt;"",RIGHT($N1800,6)="tarief"),SUM(O1800)*FLOOR(SUM(Q1800),0.01),S1800&gt;0,IF(F1800&lt;&gt;"",FLOOR(SUM(S1800),0.01),"")),""),""),"")</f>
        <v/>
      </c>
      <c r="X1800" s="314" t="str" cm="1">
        <f t="array" aca="1" ref="X1800" ca="1">IFERROR(IF(AE1800&lt;&gt;"ja",_xlfn.IFNA(_xlfn.IFS(AND(P1800&lt;&gt;"",R1800&lt;&gt;"",RIGHT($N1800,6)="tarief",F1800="Vergoeding"),SUM(P1800)*FLOOR(SUM(R1800),0.0001),AND(P1800&lt;&gt;"",R1800&lt;&gt;"",RIGHT($N1800,6)="tarief"),P1800*FLOOR(R1800,0.01),T1800&gt;0,FLOOR(SUM(T1800),0.01)),""),""),"")</f>
        <v/>
      </c>
      <c r="Y1800" s="314" t="str">
        <f t="shared" ca="1" si="114"/>
        <v/>
      </c>
      <c r="Z1800" s="314" t="str" cm="1">
        <f t="array" aca="1" ref="Z1800" ca="1">IFERROR(_xlfn.IFS(OR(F1800="",LEFT(Methode_Keuze,4)="Geen",Methode_Keuze=""),"",AND(W1800&lt;&gt;"",F1800&lt;&gt;"Arbeidskosten"),W1800*VLOOKUP(F1800,Tb_ProjectKosten[],MATCH(Tb_ProjectKosten[[#Headers],[Forfait_Percentage]],Tb_ProjectKosten[#Headers],0),0),AND(F1800="Arbeidskosten",G1800&lt;&gt;""),IFERROR(W1800*VLOOKUP(G1800,Tb_KostenTypen[],3,0)*VLOOKUP(F1800,Tb_ProjectKosten[],MATCH(Tb_ProjectKosten[[#Headers],[Forfait_Percentage]],Tb_ProjectKosten[#Headers],0),0),""),W1800 &lt;=0,0),"")</f>
        <v/>
      </c>
      <c r="AA1800" s="314" t="str" cm="1">
        <f t="array" aca="1" ref="AA1800" ca="1">IFERROR(_xlfn.IFS(OR(F1800="",LEFT(Methode_Keuze,4)="Geen",Methode_Keuze=""),"",AND(X1800&lt;&gt;"",F1800&lt;&gt;"Arbeidskosten"),X1800*VLOOKUP(F1800,Tb_ProjectKosten[],MATCH(Tb_ProjectKosten[[#Headers],[Forfait_Percentage]],Tb_ProjectKosten[#Headers],0),0),AND(F1800="Arbeidskosten",G1800&lt;&gt;""),IFERROR(X1800*VLOOKUP(G1800,Tb_KostenTypen[],3,0)*VLOOKUP(F1800,Tb_ProjectKosten[],MATCH(Tb_ProjectKosten[[#Headers],[Forfait_Percentage]],Tb_ProjectKosten[#Headers],0),0),""),X1800 &lt;=0,0),"")</f>
        <v/>
      </c>
      <c r="AB1800" s="314" t="str">
        <f t="shared" ca="1" si="115"/>
        <v/>
      </c>
      <c r="AC1800" s="322"/>
      <c r="AD1800" s="315"/>
      <c r="AE1800" s="32" t="str" cm="1">
        <f t="array" ref="AE1800">IFERROR(IF(INDEX(SubsidieTabel!$AD$1:$AG$12,MATCH($F1800,SubsidieTabel!$AD$1:$AD$12,0),IFERROR(MATCH(Methode_Keuze,SubsidieTabel!$AD$1:$AG$1,0),2))&lt;&gt;1=TRUE,"ja",""),"")</f>
        <v/>
      </c>
    </row>
    <row r="1801" spans="1:31" x14ac:dyDescent="0.25">
      <c r="A1801" s="316"/>
      <c r="B1801" s="317" t="str">
        <f>IF(A1801&lt;&gt;"",_xlfn.MAXIFS($B$1:B1800,$A$1:A1800,A1801)+1,"")</f>
        <v/>
      </c>
      <c r="C1801" s="296"/>
      <c r="D1801" s="296"/>
      <c r="E1801" s="296"/>
      <c r="F1801" s="296"/>
      <c r="G1801" s="326"/>
      <c r="H1801" s="324"/>
      <c r="I1801" s="325"/>
      <c r="J1801" s="325"/>
      <c r="K1801" s="318"/>
      <c r="L1801" s="318"/>
      <c r="M1801" s="319" t="str">
        <f>IFERROR(VLOOKUP(H1801,Lijsten!$H$1:$I$100,2,0),"")</f>
        <v/>
      </c>
      <c r="N1801" s="319" t="str">
        <f ca="1">IFERROR(IF(VLOOKUP(F1801,Kostentypen!$A$3:$E$21,3,0)=0,"",IF(OR(F1801="Arbeidskosten",F1801="Vergoeding"),VLOOKUP(G1801,Tb_KostenTypen[],2,0),VLOOKUP(F1801,Kostentypen!$A$3:$E$20,3,0))),"")</f>
        <v/>
      </c>
      <c r="O1801" s="320" t="str" cm="1">
        <f t="array" ref="O1801">_xlfn.IFNA(IF(INDEX(Tb_KostenOptiesDB[],MATCH($F1801,Tb_KostenOptiesDB[KostenOptie],0),IFERROR(MATCH(Methode_Keuze,Tb_KostenOptiesDB[#Headers],0),2))=1,_xlfn.SWITCH($N1801,"Uurtarief",IF(OR(AND(RIGHT($F1801,3)="IKS",VLOOKUP($M1801,DB_Loonkosten,2,0)="Ja"),AND(RIGHT($F1801,3)&lt;&gt;"IKS",VLOOKUP($M1801,DB_Loonkosten,2,0)="Nee")),IFERROR(VLOOKUP($M1801,DB_Loonkosten,24,0),""),0),"Vast tarief",IF(LEFT(F1801,8)="Bijdrage",VLOOKUP($F1801,Tb_KostenTypen[],MATCH(Lijsten!$P$1,Tb_KostenTypen[#Headers],0),0),VLOOKUP($G1801,Lijsten!L:P,MATCH(Lijsten!$P$1,Kop_Tarief_Vast,0),0))),""),"")</f>
        <v/>
      </c>
      <c r="P1801" s="320" t="str" cm="1">
        <f t="array" ref="P1801">_xlfn.IFNA(IF(INDEX(Tb_KostenOptiesDB[],MATCH($F1801,Tb_KostenOptiesDB[KostenOptie],0),IFERROR(MATCH(Methode_Keuze,Tb_KostenOptiesDB[#Headers],0),2))=1,_xlfn.SWITCH($N1801,"Uurtarief",IF(OR(AND(RIGHT($F1801,3)="IKS",VLOOKUP($M1801,DB_Loonkosten,2,0)="Ja"),AND(RIGHT($F1801,3)&lt;&gt;"IKS",VLOOKUP($M1801,DB_Loonkosten,2,0)="Nee")),IFERROR(VLOOKUP($M1801,DB_Loonkosten,25,0),""),0),"Vast tarief",IF(LEFT(F1801,8)="Bijdrage",VLOOKUP($F1801,Tb_KostenTypen[],MATCH(Lijsten!$P$1,Tb_KostenTypen[#Headers],0),0),VLOOKUP($G1801,Lijsten!L:P,MATCH(Lijsten!$P$1,Kop_Tarief_Vast,0),0))),""),"")</f>
        <v/>
      </c>
      <c r="Q1801" s="359"/>
      <c r="R1801" s="359"/>
      <c r="S1801" s="321"/>
      <c r="T1801" s="321"/>
      <c r="U1801" s="373" t="str">
        <f t="shared" si="112"/>
        <v/>
      </c>
      <c r="V1801" s="314" t="str">
        <f t="shared" si="113"/>
        <v/>
      </c>
      <c r="W1801" s="314" t="str" cm="1">
        <f t="array" aca="1" ref="W1801" ca="1">IFERROR(IF(AE1801&lt;&gt;"ja",_xlfn.IFNA(_xlfn.IFS(AND(O1801&lt;&gt;"",F1801&lt;&gt;"",RIGHT($N1801,6)="tarief",F1801="Vergoeding"),SUM(O1801)*FLOOR(SUM(Q1801),0.0001),AND(O1801&lt;&gt;"",F1801&lt;&gt;"",RIGHT($N1801,6)="tarief"),SUM(O1801)*FLOOR(SUM(Q1801),0.01),S1801&gt;0,IF(F1801&lt;&gt;"",FLOOR(SUM(S1801),0.01),"")),""),""),"")</f>
        <v/>
      </c>
      <c r="X1801" s="314" t="str" cm="1">
        <f t="array" aca="1" ref="X1801" ca="1">IFERROR(IF(AE1801&lt;&gt;"ja",_xlfn.IFNA(_xlfn.IFS(AND(P1801&lt;&gt;"",R1801&lt;&gt;"",RIGHT($N1801,6)="tarief",F1801="Vergoeding"),SUM(P1801)*FLOOR(SUM(R1801),0.0001),AND(P1801&lt;&gt;"",R1801&lt;&gt;"",RIGHT($N1801,6)="tarief"),P1801*FLOOR(R1801,0.01),T1801&gt;0,FLOOR(SUM(T1801),0.01)),""),""),"")</f>
        <v/>
      </c>
      <c r="Y1801" s="314" t="str">
        <f t="shared" ca="1" si="114"/>
        <v/>
      </c>
      <c r="Z1801" s="314" t="str" cm="1">
        <f t="array" aca="1" ref="Z1801" ca="1">IFERROR(_xlfn.IFS(OR(F1801="",LEFT(Methode_Keuze,4)="Geen",Methode_Keuze=""),"",AND(W1801&lt;&gt;"",F1801&lt;&gt;"Arbeidskosten"),W1801*VLOOKUP(F1801,Tb_ProjectKosten[],MATCH(Tb_ProjectKosten[[#Headers],[Forfait_Percentage]],Tb_ProjectKosten[#Headers],0),0),AND(F1801="Arbeidskosten",G1801&lt;&gt;""),IFERROR(W1801*VLOOKUP(G1801,Tb_KostenTypen[],3,0)*VLOOKUP(F1801,Tb_ProjectKosten[],MATCH(Tb_ProjectKosten[[#Headers],[Forfait_Percentage]],Tb_ProjectKosten[#Headers],0),0),""),W1801 &lt;=0,0),"")</f>
        <v/>
      </c>
      <c r="AA1801" s="314" t="str" cm="1">
        <f t="array" aca="1" ref="AA1801" ca="1">IFERROR(_xlfn.IFS(OR(F1801="",LEFT(Methode_Keuze,4)="Geen",Methode_Keuze=""),"",AND(X1801&lt;&gt;"",F1801&lt;&gt;"Arbeidskosten"),X1801*VLOOKUP(F1801,Tb_ProjectKosten[],MATCH(Tb_ProjectKosten[[#Headers],[Forfait_Percentage]],Tb_ProjectKosten[#Headers],0),0),AND(F1801="Arbeidskosten",G1801&lt;&gt;""),IFERROR(X1801*VLOOKUP(G1801,Tb_KostenTypen[],3,0)*VLOOKUP(F1801,Tb_ProjectKosten[],MATCH(Tb_ProjectKosten[[#Headers],[Forfait_Percentage]],Tb_ProjectKosten[#Headers],0),0),""),X1801 &lt;=0,0),"")</f>
        <v/>
      </c>
      <c r="AB1801" s="314" t="str">
        <f t="shared" ca="1" si="115"/>
        <v/>
      </c>
      <c r="AC1801" s="322"/>
      <c r="AD1801" s="315"/>
      <c r="AE1801" s="32" t="str" cm="1">
        <f t="array" ref="AE1801">IFERROR(IF(INDEX(SubsidieTabel!$AD$1:$AG$12,MATCH($F1801,SubsidieTabel!$AD$1:$AD$12,0),IFERROR(MATCH(Methode_Keuze,SubsidieTabel!$AD$1:$AG$1,0),2))&lt;&gt;1=TRUE,"ja",""),"")</f>
        <v/>
      </c>
    </row>
    <row r="1802" spans="1:31" x14ac:dyDescent="0.25">
      <c r="A1802" s="316"/>
      <c r="B1802" s="317" t="str">
        <f>IF(A1802&lt;&gt;"",_xlfn.MAXIFS($B$1:B1801,$A$1:A1801,A1802)+1,"")</f>
        <v/>
      </c>
      <c r="C1802" s="296"/>
      <c r="D1802" s="296"/>
      <c r="E1802" s="296"/>
      <c r="F1802" s="296"/>
      <c r="G1802" s="326"/>
      <c r="H1802" s="324"/>
      <c r="I1802" s="325"/>
      <c r="J1802" s="325"/>
      <c r="K1802" s="318"/>
      <c r="L1802" s="318"/>
      <c r="M1802" s="319" t="str">
        <f>IFERROR(VLOOKUP(H1802,Lijsten!$H$1:$I$100,2,0),"")</f>
        <v/>
      </c>
      <c r="N1802" s="319" t="str">
        <f ca="1">IFERROR(IF(VLOOKUP(F1802,Kostentypen!$A$3:$E$21,3,0)=0,"",IF(OR(F1802="Arbeidskosten",F1802="Vergoeding"),VLOOKUP(G1802,Tb_KostenTypen[],2,0),VLOOKUP(F1802,Kostentypen!$A$3:$E$20,3,0))),"")</f>
        <v/>
      </c>
      <c r="O1802" s="320" t="str" cm="1">
        <f t="array" ref="O1802">_xlfn.IFNA(IF(INDEX(Tb_KostenOptiesDB[],MATCH($F1802,Tb_KostenOptiesDB[KostenOptie],0),IFERROR(MATCH(Methode_Keuze,Tb_KostenOptiesDB[#Headers],0),2))=1,_xlfn.SWITCH($N1802,"Uurtarief",IF(OR(AND(RIGHT($F1802,3)="IKS",VLOOKUP($M1802,DB_Loonkosten,2,0)="Ja"),AND(RIGHT($F1802,3)&lt;&gt;"IKS",VLOOKUP($M1802,DB_Loonkosten,2,0)="Nee")),IFERROR(VLOOKUP($M1802,DB_Loonkosten,24,0),""),0),"Vast tarief",IF(LEFT(F1802,8)="Bijdrage",VLOOKUP($F1802,Tb_KostenTypen[],MATCH(Lijsten!$P$1,Tb_KostenTypen[#Headers],0),0),VLOOKUP($G1802,Lijsten!L:P,MATCH(Lijsten!$P$1,Kop_Tarief_Vast,0),0))),""),"")</f>
        <v/>
      </c>
      <c r="P1802" s="320" t="str" cm="1">
        <f t="array" ref="P1802">_xlfn.IFNA(IF(INDEX(Tb_KostenOptiesDB[],MATCH($F1802,Tb_KostenOptiesDB[KostenOptie],0),IFERROR(MATCH(Methode_Keuze,Tb_KostenOptiesDB[#Headers],0),2))=1,_xlfn.SWITCH($N1802,"Uurtarief",IF(OR(AND(RIGHT($F1802,3)="IKS",VLOOKUP($M1802,DB_Loonkosten,2,0)="Ja"),AND(RIGHT($F1802,3)&lt;&gt;"IKS",VLOOKUP($M1802,DB_Loonkosten,2,0)="Nee")),IFERROR(VLOOKUP($M1802,DB_Loonkosten,25,0),""),0),"Vast tarief",IF(LEFT(F1802,8)="Bijdrage",VLOOKUP($F1802,Tb_KostenTypen[],MATCH(Lijsten!$P$1,Tb_KostenTypen[#Headers],0),0),VLOOKUP($G1802,Lijsten!L:P,MATCH(Lijsten!$P$1,Kop_Tarief_Vast,0),0))),""),"")</f>
        <v/>
      </c>
      <c r="Q1802" s="359"/>
      <c r="R1802" s="359"/>
      <c r="S1802" s="321"/>
      <c r="T1802" s="321"/>
      <c r="U1802" s="373" t="str">
        <f t="shared" si="112"/>
        <v/>
      </c>
      <c r="V1802" s="314" t="str">
        <f t="shared" si="113"/>
        <v/>
      </c>
      <c r="W1802" s="314" t="str" cm="1">
        <f t="array" aca="1" ref="W1802" ca="1">IFERROR(IF(AE1802&lt;&gt;"ja",_xlfn.IFNA(_xlfn.IFS(AND(O1802&lt;&gt;"",F1802&lt;&gt;"",RIGHT($N1802,6)="tarief",F1802="Vergoeding"),SUM(O1802)*FLOOR(SUM(Q1802),0.0001),AND(O1802&lt;&gt;"",F1802&lt;&gt;"",RIGHT($N1802,6)="tarief"),SUM(O1802)*FLOOR(SUM(Q1802),0.01),S1802&gt;0,IF(F1802&lt;&gt;"",FLOOR(SUM(S1802),0.01),"")),""),""),"")</f>
        <v/>
      </c>
      <c r="X1802" s="314" t="str" cm="1">
        <f t="array" aca="1" ref="X1802" ca="1">IFERROR(IF(AE1802&lt;&gt;"ja",_xlfn.IFNA(_xlfn.IFS(AND(P1802&lt;&gt;"",R1802&lt;&gt;"",RIGHT($N1802,6)="tarief",F1802="Vergoeding"),SUM(P1802)*FLOOR(SUM(R1802),0.0001),AND(P1802&lt;&gt;"",R1802&lt;&gt;"",RIGHT($N1802,6)="tarief"),P1802*FLOOR(R1802,0.01),T1802&gt;0,FLOOR(SUM(T1802),0.01)),""),""),"")</f>
        <v/>
      </c>
      <c r="Y1802" s="314" t="str">
        <f t="shared" ca="1" si="114"/>
        <v/>
      </c>
      <c r="Z1802" s="314" t="str" cm="1">
        <f t="array" aca="1" ref="Z1802" ca="1">IFERROR(_xlfn.IFS(OR(F1802="",LEFT(Methode_Keuze,4)="Geen",Methode_Keuze=""),"",AND(W1802&lt;&gt;"",F1802&lt;&gt;"Arbeidskosten"),W1802*VLOOKUP(F1802,Tb_ProjectKosten[],MATCH(Tb_ProjectKosten[[#Headers],[Forfait_Percentage]],Tb_ProjectKosten[#Headers],0),0),AND(F1802="Arbeidskosten",G1802&lt;&gt;""),IFERROR(W1802*VLOOKUP(G1802,Tb_KostenTypen[],3,0)*VLOOKUP(F1802,Tb_ProjectKosten[],MATCH(Tb_ProjectKosten[[#Headers],[Forfait_Percentage]],Tb_ProjectKosten[#Headers],0),0),""),W1802 &lt;=0,0),"")</f>
        <v/>
      </c>
      <c r="AA1802" s="314" t="str" cm="1">
        <f t="array" aca="1" ref="AA1802" ca="1">IFERROR(_xlfn.IFS(OR(F1802="",LEFT(Methode_Keuze,4)="Geen",Methode_Keuze=""),"",AND(X1802&lt;&gt;"",F1802&lt;&gt;"Arbeidskosten"),X1802*VLOOKUP(F1802,Tb_ProjectKosten[],MATCH(Tb_ProjectKosten[[#Headers],[Forfait_Percentage]],Tb_ProjectKosten[#Headers],0),0),AND(F1802="Arbeidskosten",G1802&lt;&gt;""),IFERROR(X1802*VLOOKUP(G1802,Tb_KostenTypen[],3,0)*VLOOKUP(F1802,Tb_ProjectKosten[],MATCH(Tb_ProjectKosten[[#Headers],[Forfait_Percentage]],Tb_ProjectKosten[#Headers],0),0),""),X1802 &lt;=0,0),"")</f>
        <v/>
      </c>
      <c r="AB1802" s="314" t="str">
        <f t="shared" ca="1" si="115"/>
        <v/>
      </c>
      <c r="AC1802" s="322"/>
      <c r="AD1802" s="315"/>
      <c r="AE1802" s="32" t="str" cm="1">
        <f t="array" ref="AE1802">IFERROR(IF(INDEX(SubsidieTabel!$AD$1:$AG$12,MATCH($F1802,SubsidieTabel!$AD$1:$AD$12,0),IFERROR(MATCH(Methode_Keuze,SubsidieTabel!$AD$1:$AG$1,0),2))&lt;&gt;1=TRUE,"ja",""),"")</f>
        <v/>
      </c>
    </row>
    <row r="1803" spans="1:31" x14ac:dyDescent="0.25">
      <c r="A1803" s="316"/>
      <c r="B1803" s="317" t="str">
        <f>IF(A1803&lt;&gt;"",_xlfn.MAXIFS($B$1:B1802,$A$1:A1802,A1803)+1,"")</f>
        <v/>
      </c>
      <c r="C1803" s="296"/>
      <c r="D1803" s="296"/>
      <c r="E1803" s="296"/>
      <c r="F1803" s="296"/>
      <c r="G1803" s="326"/>
      <c r="H1803" s="324"/>
      <c r="I1803" s="325"/>
      <c r="J1803" s="325"/>
      <c r="K1803" s="318"/>
      <c r="L1803" s="318"/>
      <c r="M1803" s="319" t="str">
        <f>IFERROR(VLOOKUP(H1803,Lijsten!$H$1:$I$100,2,0),"")</f>
        <v/>
      </c>
      <c r="N1803" s="319" t="str">
        <f ca="1">IFERROR(IF(VLOOKUP(F1803,Kostentypen!$A$3:$E$21,3,0)=0,"",IF(OR(F1803="Arbeidskosten",F1803="Vergoeding"),VLOOKUP(G1803,Tb_KostenTypen[],2,0),VLOOKUP(F1803,Kostentypen!$A$3:$E$20,3,0))),"")</f>
        <v/>
      </c>
      <c r="O1803" s="320" t="str" cm="1">
        <f t="array" ref="O1803">_xlfn.IFNA(IF(INDEX(Tb_KostenOptiesDB[],MATCH($F1803,Tb_KostenOptiesDB[KostenOptie],0),IFERROR(MATCH(Methode_Keuze,Tb_KostenOptiesDB[#Headers],0),2))=1,_xlfn.SWITCH($N1803,"Uurtarief",IF(OR(AND(RIGHT($F1803,3)="IKS",VLOOKUP($M1803,DB_Loonkosten,2,0)="Ja"),AND(RIGHT($F1803,3)&lt;&gt;"IKS",VLOOKUP($M1803,DB_Loonkosten,2,0)="Nee")),IFERROR(VLOOKUP($M1803,DB_Loonkosten,24,0),""),0),"Vast tarief",IF(LEFT(F1803,8)="Bijdrage",VLOOKUP($F1803,Tb_KostenTypen[],MATCH(Lijsten!$P$1,Tb_KostenTypen[#Headers],0),0),VLOOKUP($G1803,Lijsten!L:P,MATCH(Lijsten!$P$1,Kop_Tarief_Vast,0),0))),""),"")</f>
        <v/>
      </c>
      <c r="P1803" s="320" t="str" cm="1">
        <f t="array" ref="P1803">_xlfn.IFNA(IF(INDEX(Tb_KostenOptiesDB[],MATCH($F1803,Tb_KostenOptiesDB[KostenOptie],0),IFERROR(MATCH(Methode_Keuze,Tb_KostenOptiesDB[#Headers],0),2))=1,_xlfn.SWITCH($N1803,"Uurtarief",IF(OR(AND(RIGHT($F1803,3)="IKS",VLOOKUP($M1803,DB_Loonkosten,2,0)="Ja"),AND(RIGHT($F1803,3)&lt;&gt;"IKS",VLOOKUP($M1803,DB_Loonkosten,2,0)="Nee")),IFERROR(VLOOKUP($M1803,DB_Loonkosten,25,0),""),0),"Vast tarief",IF(LEFT(F1803,8)="Bijdrage",VLOOKUP($F1803,Tb_KostenTypen[],MATCH(Lijsten!$P$1,Tb_KostenTypen[#Headers],0),0),VLOOKUP($G1803,Lijsten!L:P,MATCH(Lijsten!$P$1,Kop_Tarief_Vast,0),0))),""),"")</f>
        <v/>
      </c>
      <c r="Q1803" s="359"/>
      <c r="R1803" s="359"/>
      <c r="S1803" s="321"/>
      <c r="T1803" s="321"/>
      <c r="U1803" s="373" t="str">
        <f t="shared" si="112"/>
        <v/>
      </c>
      <c r="V1803" s="314" t="str">
        <f t="shared" si="113"/>
        <v/>
      </c>
      <c r="W1803" s="314" t="str" cm="1">
        <f t="array" aca="1" ref="W1803" ca="1">IFERROR(IF(AE1803&lt;&gt;"ja",_xlfn.IFNA(_xlfn.IFS(AND(O1803&lt;&gt;"",F1803&lt;&gt;"",RIGHT($N1803,6)="tarief",F1803="Vergoeding"),SUM(O1803)*FLOOR(SUM(Q1803),0.0001),AND(O1803&lt;&gt;"",F1803&lt;&gt;"",RIGHT($N1803,6)="tarief"),SUM(O1803)*FLOOR(SUM(Q1803),0.01),S1803&gt;0,IF(F1803&lt;&gt;"",FLOOR(SUM(S1803),0.01),"")),""),""),"")</f>
        <v/>
      </c>
      <c r="X1803" s="314" t="str" cm="1">
        <f t="array" aca="1" ref="X1803" ca="1">IFERROR(IF(AE1803&lt;&gt;"ja",_xlfn.IFNA(_xlfn.IFS(AND(P1803&lt;&gt;"",R1803&lt;&gt;"",RIGHT($N1803,6)="tarief",F1803="Vergoeding"),SUM(P1803)*FLOOR(SUM(R1803),0.0001),AND(P1803&lt;&gt;"",R1803&lt;&gt;"",RIGHT($N1803,6)="tarief"),P1803*FLOOR(R1803,0.01),T1803&gt;0,FLOOR(SUM(T1803),0.01)),""),""),"")</f>
        <v/>
      </c>
      <c r="Y1803" s="314" t="str">
        <f t="shared" ca="1" si="114"/>
        <v/>
      </c>
      <c r="Z1803" s="314" t="str" cm="1">
        <f t="array" aca="1" ref="Z1803" ca="1">IFERROR(_xlfn.IFS(OR(F1803="",LEFT(Methode_Keuze,4)="Geen",Methode_Keuze=""),"",AND(W1803&lt;&gt;"",F1803&lt;&gt;"Arbeidskosten"),W1803*VLOOKUP(F1803,Tb_ProjectKosten[],MATCH(Tb_ProjectKosten[[#Headers],[Forfait_Percentage]],Tb_ProjectKosten[#Headers],0),0),AND(F1803="Arbeidskosten",G1803&lt;&gt;""),IFERROR(W1803*VLOOKUP(G1803,Tb_KostenTypen[],3,0)*VLOOKUP(F1803,Tb_ProjectKosten[],MATCH(Tb_ProjectKosten[[#Headers],[Forfait_Percentage]],Tb_ProjectKosten[#Headers],0),0),""),W1803 &lt;=0,0),"")</f>
        <v/>
      </c>
      <c r="AA1803" s="314" t="str" cm="1">
        <f t="array" aca="1" ref="AA1803" ca="1">IFERROR(_xlfn.IFS(OR(F1803="",LEFT(Methode_Keuze,4)="Geen",Methode_Keuze=""),"",AND(X1803&lt;&gt;"",F1803&lt;&gt;"Arbeidskosten"),X1803*VLOOKUP(F1803,Tb_ProjectKosten[],MATCH(Tb_ProjectKosten[[#Headers],[Forfait_Percentage]],Tb_ProjectKosten[#Headers],0),0),AND(F1803="Arbeidskosten",G1803&lt;&gt;""),IFERROR(X1803*VLOOKUP(G1803,Tb_KostenTypen[],3,0)*VLOOKUP(F1803,Tb_ProjectKosten[],MATCH(Tb_ProjectKosten[[#Headers],[Forfait_Percentage]],Tb_ProjectKosten[#Headers],0),0),""),X1803 &lt;=0,0),"")</f>
        <v/>
      </c>
      <c r="AB1803" s="314" t="str">
        <f t="shared" ca="1" si="115"/>
        <v/>
      </c>
      <c r="AC1803" s="322"/>
      <c r="AD1803" s="315"/>
      <c r="AE1803" s="32" t="str" cm="1">
        <f t="array" ref="AE1803">IFERROR(IF(INDEX(SubsidieTabel!$AD$1:$AG$12,MATCH($F1803,SubsidieTabel!$AD$1:$AD$12,0),IFERROR(MATCH(Methode_Keuze,SubsidieTabel!$AD$1:$AG$1,0),2))&lt;&gt;1=TRUE,"ja",""),"")</f>
        <v/>
      </c>
    </row>
    <row r="1804" spans="1:31" x14ac:dyDescent="0.25">
      <c r="A1804" s="316"/>
      <c r="B1804" s="317" t="str">
        <f>IF(A1804&lt;&gt;"",_xlfn.MAXIFS($B$1:B1803,$A$1:A1803,A1804)+1,"")</f>
        <v/>
      </c>
      <c r="C1804" s="296"/>
      <c r="D1804" s="296"/>
      <c r="E1804" s="296"/>
      <c r="F1804" s="296"/>
      <c r="G1804" s="326"/>
      <c r="H1804" s="324"/>
      <c r="I1804" s="325"/>
      <c r="J1804" s="325"/>
      <c r="K1804" s="318"/>
      <c r="L1804" s="318"/>
      <c r="M1804" s="319" t="str">
        <f>IFERROR(VLOOKUP(H1804,Lijsten!$H$1:$I$100,2,0),"")</f>
        <v/>
      </c>
      <c r="N1804" s="319" t="str">
        <f ca="1">IFERROR(IF(VLOOKUP(F1804,Kostentypen!$A$3:$E$21,3,0)=0,"",IF(OR(F1804="Arbeidskosten",F1804="Vergoeding"),VLOOKUP(G1804,Tb_KostenTypen[],2,0),VLOOKUP(F1804,Kostentypen!$A$3:$E$20,3,0))),"")</f>
        <v/>
      </c>
      <c r="O1804" s="320" t="str" cm="1">
        <f t="array" ref="O1804">_xlfn.IFNA(IF(INDEX(Tb_KostenOptiesDB[],MATCH($F1804,Tb_KostenOptiesDB[KostenOptie],0),IFERROR(MATCH(Methode_Keuze,Tb_KostenOptiesDB[#Headers],0),2))=1,_xlfn.SWITCH($N1804,"Uurtarief",IF(OR(AND(RIGHT($F1804,3)="IKS",VLOOKUP($M1804,DB_Loonkosten,2,0)="Ja"),AND(RIGHT($F1804,3)&lt;&gt;"IKS",VLOOKUP($M1804,DB_Loonkosten,2,0)="Nee")),IFERROR(VLOOKUP($M1804,DB_Loonkosten,24,0),""),0),"Vast tarief",IF(LEFT(F1804,8)="Bijdrage",VLOOKUP($F1804,Tb_KostenTypen[],MATCH(Lijsten!$P$1,Tb_KostenTypen[#Headers],0),0),VLOOKUP($G1804,Lijsten!L:P,MATCH(Lijsten!$P$1,Kop_Tarief_Vast,0),0))),""),"")</f>
        <v/>
      </c>
      <c r="P1804" s="320" t="str" cm="1">
        <f t="array" ref="P1804">_xlfn.IFNA(IF(INDEX(Tb_KostenOptiesDB[],MATCH($F1804,Tb_KostenOptiesDB[KostenOptie],0),IFERROR(MATCH(Methode_Keuze,Tb_KostenOptiesDB[#Headers],0),2))=1,_xlfn.SWITCH($N1804,"Uurtarief",IF(OR(AND(RIGHT($F1804,3)="IKS",VLOOKUP($M1804,DB_Loonkosten,2,0)="Ja"),AND(RIGHT($F1804,3)&lt;&gt;"IKS",VLOOKUP($M1804,DB_Loonkosten,2,0)="Nee")),IFERROR(VLOOKUP($M1804,DB_Loonkosten,25,0),""),0),"Vast tarief",IF(LEFT(F1804,8)="Bijdrage",VLOOKUP($F1804,Tb_KostenTypen[],MATCH(Lijsten!$P$1,Tb_KostenTypen[#Headers],0),0),VLOOKUP($G1804,Lijsten!L:P,MATCH(Lijsten!$P$1,Kop_Tarief_Vast,0),0))),""),"")</f>
        <v/>
      </c>
      <c r="Q1804" s="359"/>
      <c r="R1804" s="359"/>
      <c r="S1804" s="321"/>
      <c r="T1804" s="321"/>
      <c r="U1804" s="373" t="str">
        <f t="shared" si="112"/>
        <v/>
      </c>
      <c r="V1804" s="314" t="str">
        <f t="shared" si="113"/>
        <v/>
      </c>
      <c r="W1804" s="314" t="str" cm="1">
        <f t="array" aca="1" ref="W1804" ca="1">IFERROR(IF(AE1804&lt;&gt;"ja",_xlfn.IFNA(_xlfn.IFS(AND(O1804&lt;&gt;"",F1804&lt;&gt;"",RIGHT($N1804,6)="tarief",F1804="Vergoeding"),SUM(O1804)*FLOOR(SUM(Q1804),0.0001),AND(O1804&lt;&gt;"",F1804&lt;&gt;"",RIGHT($N1804,6)="tarief"),SUM(O1804)*FLOOR(SUM(Q1804),0.01),S1804&gt;0,IF(F1804&lt;&gt;"",FLOOR(SUM(S1804),0.01),"")),""),""),"")</f>
        <v/>
      </c>
      <c r="X1804" s="314" t="str" cm="1">
        <f t="array" aca="1" ref="X1804" ca="1">IFERROR(IF(AE1804&lt;&gt;"ja",_xlfn.IFNA(_xlfn.IFS(AND(P1804&lt;&gt;"",R1804&lt;&gt;"",RIGHT($N1804,6)="tarief",F1804="Vergoeding"),SUM(P1804)*FLOOR(SUM(R1804),0.0001),AND(P1804&lt;&gt;"",R1804&lt;&gt;"",RIGHT($N1804,6)="tarief"),P1804*FLOOR(R1804,0.01),T1804&gt;0,FLOOR(SUM(T1804),0.01)),""),""),"")</f>
        <v/>
      </c>
      <c r="Y1804" s="314" t="str">
        <f t="shared" ca="1" si="114"/>
        <v/>
      </c>
      <c r="Z1804" s="314" t="str" cm="1">
        <f t="array" aca="1" ref="Z1804" ca="1">IFERROR(_xlfn.IFS(OR(F1804="",LEFT(Methode_Keuze,4)="Geen",Methode_Keuze=""),"",AND(W1804&lt;&gt;"",F1804&lt;&gt;"Arbeidskosten"),W1804*VLOOKUP(F1804,Tb_ProjectKosten[],MATCH(Tb_ProjectKosten[[#Headers],[Forfait_Percentage]],Tb_ProjectKosten[#Headers],0),0),AND(F1804="Arbeidskosten",G1804&lt;&gt;""),IFERROR(W1804*VLOOKUP(G1804,Tb_KostenTypen[],3,0)*VLOOKUP(F1804,Tb_ProjectKosten[],MATCH(Tb_ProjectKosten[[#Headers],[Forfait_Percentage]],Tb_ProjectKosten[#Headers],0),0),""),W1804 &lt;=0,0),"")</f>
        <v/>
      </c>
      <c r="AA1804" s="314" t="str" cm="1">
        <f t="array" aca="1" ref="AA1804" ca="1">IFERROR(_xlfn.IFS(OR(F1804="",LEFT(Methode_Keuze,4)="Geen",Methode_Keuze=""),"",AND(X1804&lt;&gt;"",F1804&lt;&gt;"Arbeidskosten"),X1804*VLOOKUP(F1804,Tb_ProjectKosten[],MATCH(Tb_ProjectKosten[[#Headers],[Forfait_Percentage]],Tb_ProjectKosten[#Headers],0),0),AND(F1804="Arbeidskosten",G1804&lt;&gt;""),IFERROR(X1804*VLOOKUP(G1804,Tb_KostenTypen[],3,0)*VLOOKUP(F1804,Tb_ProjectKosten[],MATCH(Tb_ProjectKosten[[#Headers],[Forfait_Percentage]],Tb_ProjectKosten[#Headers],0),0),""),X1804 &lt;=0,0),"")</f>
        <v/>
      </c>
      <c r="AB1804" s="314" t="str">
        <f t="shared" ca="1" si="115"/>
        <v/>
      </c>
      <c r="AC1804" s="322"/>
      <c r="AD1804" s="315"/>
      <c r="AE1804" s="32" t="str" cm="1">
        <f t="array" ref="AE1804">IFERROR(IF(INDEX(SubsidieTabel!$AD$1:$AG$12,MATCH($F1804,SubsidieTabel!$AD$1:$AD$12,0),IFERROR(MATCH(Methode_Keuze,SubsidieTabel!$AD$1:$AG$1,0),2))&lt;&gt;1=TRUE,"ja",""),"")</f>
        <v/>
      </c>
    </row>
    <row r="1805" spans="1:31" x14ac:dyDescent="0.25">
      <c r="A1805" s="316"/>
      <c r="B1805" s="317" t="str">
        <f>IF(A1805&lt;&gt;"",_xlfn.MAXIFS($B$1:B1804,$A$1:A1804,A1805)+1,"")</f>
        <v/>
      </c>
      <c r="C1805" s="296"/>
      <c r="D1805" s="296"/>
      <c r="E1805" s="296"/>
      <c r="F1805" s="296"/>
      <c r="G1805" s="326"/>
      <c r="H1805" s="324"/>
      <c r="I1805" s="325"/>
      <c r="J1805" s="325"/>
      <c r="K1805" s="318"/>
      <c r="L1805" s="318"/>
      <c r="M1805" s="319" t="str">
        <f>IFERROR(VLOOKUP(H1805,Lijsten!$H$1:$I$100,2,0),"")</f>
        <v/>
      </c>
      <c r="N1805" s="319" t="str">
        <f ca="1">IFERROR(IF(VLOOKUP(F1805,Kostentypen!$A$3:$E$21,3,0)=0,"",IF(OR(F1805="Arbeidskosten",F1805="Vergoeding"),VLOOKUP(G1805,Tb_KostenTypen[],2,0),VLOOKUP(F1805,Kostentypen!$A$3:$E$20,3,0))),"")</f>
        <v/>
      </c>
      <c r="O1805" s="320" t="str" cm="1">
        <f t="array" ref="O1805">_xlfn.IFNA(IF(INDEX(Tb_KostenOptiesDB[],MATCH($F1805,Tb_KostenOptiesDB[KostenOptie],0),IFERROR(MATCH(Methode_Keuze,Tb_KostenOptiesDB[#Headers],0),2))=1,_xlfn.SWITCH($N1805,"Uurtarief",IF(OR(AND(RIGHT($F1805,3)="IKS",VLOOKUP($M1805,DB_Loonkosten,2,0)="Ja"),AND(RIGHT($F1805,3)&lt;&gt;"IKS",VLOOKUP($M1805,DB_Loonkosten,2,0)="Nee")),IFERROR(VLOOKUP($M1805,DB_Loonkosten,24,0),""),0),"Vast tarief",IF(LEFT(F1805,8)="Bijdrage",VLOOKUP($F1805,Tb_KostenTypen[],MATCH(Lijsten!$P$1,Tb_KostenTypen[#Headers],0),0),VLOOKUP($G1805,Lijsten!L:P,MATCH(Lijsten!$P$1,Kop_Tarief_Vast,0),0))),""),"")</f>
        <v/>
      </c>
      <c r="P1805" s="320" t="str" cm="1">
        <f t="array" ref="P1805">_xlfn.IFNA(IF(INDEX(Tb_KostenOptiesDB[],MATCH($F1805,Tb_KostenOptiesDB[KostenOptie],0),IFERROR(MATCH(Methode_Keuze,Tb_KostenOptiesDB[#Headers],0),2))=1,_xlfn.SWITCH($N1805,"Uurtarief",IF(OR(AND(RIGHT($F1805,3)="IKS",VLOOKUP($M1805,DB_Loonkosten,2,0)="Ja"),AND(RIGHT($F1805,3)&lt;&gt;"IKS",VLOOKUP($M1805,DB_Loonkosten,2,0)="Nee")),IFERROR(VLOOKUP($M1805,DB_Loonkosten,25,0),""),0),"Vast tarief",IF(LEFT(F1805,8)="Bijdrage",VLOOKUP($F1805,Tb_KostenTypen[],MATCH(Lijsten!$P$1,Tb_KostenTypen[#Headers],0),0),VLOOKUP($G1805,Lijsten!L:P,MATCH(Lijsten!$P$1,Kop_Tarief_Vast,0),0))),""),"")</f>
        <v/>
      </c>
      <c r="Q1805" s="359"/>
      <c r="R1805" s="359"/>
      <c r="S1805" s="321"/>
      <c r="T1805" s="321"/>
      <c r="U1805" s="373" t="str">
        <f t="shared" si="112"/>
        <v/>
      </c>
      <c r="V1805" s="314" t="str">
        <f t="shared" si="113"/>
        <v/>
      </c>
      <c r="W1805" s="314" t="str" cm="1">
        <f t="array" aca="1" ref="W1805" ca="1">IFERROR(IF(AE1805&lt;&gt;"ja",_xlfn.IFNA(_xlfn.IFS(AND(O1805&lt;&gt;"",F1805&lt;&gt;"",RIGHT($N1805,6)="tarief",F1805="Vergoeding"),SUM(O1805)*FLOOR(SUM(Q1805),0.0001),AND(O1805&lt;&gt;"",F1805&lt;&gt;"",RIGHT($N1805,6)="tarief"),SUM(O1805)*FLOOR(SUM(Q1805),0.01),S1805&gt;0,IF(F1805&lt;&gt;"",FLOOR(SUM(S1805),0.01),"")),""),""),"")</f>
        <v/>
      </c>
      <c r="X1805" s="314" t="str" cm="1">
        <f t="array" aca="1" ref="X1805" ca="1">IFERROR(IF(AE1805&lt;&gt;"ja",_xlfn.IFNA(_xlfn.IFS(AND(P1805&lt;&gt;"",R1805&lt;&gt;"",RIGHT($N1805,6)="tarief",F1805="Vergoeding"),SUM(P1805)*FLOOR(SUM(R1805),0.0001),AND(P1805&lt;&gt;"",R1805&lt;&gt;"",RIGHT($N1805,6)="tarief"),P1805*FLOOR(R1805,0.01),T1805&gt;0,FLOOR(SUM(T1805),0.01)),""),""),"")</f>
        <v/>
      </c>
      <c r="Y1805" s="314" t="str">
        <f t="shared" ca="1" si="114"/>
        <v/>
      </c>
      <c r="Z1805" s="314" t="str" cm="1">
        <f t="array" aca="1" ref="Z1805" ca="1">IFERROR(_xlfn.IFS(OR(F1805="",LEFT(Methode_Keuze,4)="Geen",Methode_Keuze=""),"",AND(W1805&lt;&gt;"",F1805&lt;&gt;"Arbeidskosten"),W1805*VLOOKUP(F1805,Tb_ProjectKosten[],MATCH(Tb_ProjectKosten[[#Headers],[Forfait_Percentage]],Tb_ProjectKosten[#Headers],0),0),AND(F1805="Arbeidskosten",G1805&lt;&gt;""),IFERROR(W1805*VLOOKUP(G1805,Tb_KostenTypen[],3,0)*VLOOKUP(F1805,Tb_ProjectKosten[],MATCH(Tb_ProjectKosten[[#Headers],[Forfait_Percentage]],Tb_ProjectKosten[#Headers],0),0),""),W1805 &lt;=0,0),"")</f>
        <v/>
      </c>
      <c r="AA1805" s="314" t="str" cm="1">
        <f t="array" aca="1" ref="AA1805" ca="1">IFERROR(_xlfn.IFS(OR(F1805="",LEFT(Methode_Keuze,4)="Geen",Methode_Keuze=""),"",AND(X1805&lt;&gt;"",F1805&lt;&gt;"Arbeidskosten"),X1805*VLOOKUP(F1805,Tb_ProjectKosten[],MATCH(Tb_ProjectKosten[[#Headers],[Forfait_Percentage]],Tb_ProjectKosten[#Headers],0),0),AND(F1805="Arbeidskosten",G1805&lt;&gt;""),IFERROR(X1805*VLOOKUP(G1805,Tb_KostenTypen[],3,0)*VLOOKUP(F1805,Tb_ProjectKosten[],MATCH(Tb_ProjectKosten[[#Headers],[Forfait_Percentage]],Tb_ProjectKosten[#Headers],0),0),""),X1805 &lt;=0,0),"")</f>
        <v/>
      </c>
      <c r="AB1805" s="314" t="str">
        <f t="shared" ca="1" si="115"/>
        <v/>
      </c>
      <c r="AC1805" s="322"/>
      <c r="AD1805" s="315"/>
      <c r="AE1805" s="32" t="str" cm="1">
        <f t="array" ref="AE1805">IFERROR(IF(INDEX(SubsidieTabel!$AD$1:$AG$12,MATCH($F1805,SubsidieTabel!$AD$1:$AD$12,0),IFERROR(MATCH(Methode_Keuze,SubsidieTabel!$AD$1:$AG$1,0),2))&lt;&gt;1=TRUE,"ja",""),"")</f>
        <v/>
      </c>
    </row>
    <row r="1806" spans="1:31" x14ac:dyDescent="0.25">
      <c r="A1806" s="316"/>
      <c r="B1806" s="317" t="str">
        <f>IF(A1806&lt;&gt;"",_xlfn.MAXIFS($B$1:B1805,$A$1:A1805,A1806)+1,"")</f>
        <v/>
      </c>
      <c r="C1806" s="296"/>
      <c r="D1806" s="296"/>
      <c r="E1806" s="296"/>
      <c r="F1806" s="296"/>
      <c r="G1806" s="326"/>
      <c r="H1806" s="324"/>
      <c r="I1806" s="325"/>
      <c r="J1806" s="325"/>
      <c r="K1806" s="318"/>
      <c r="L1806" s="318"/>
      <c r="M1806" s="319" t="str">
        <f>IFERROR(VLOOKUP(H1806,Lijsten!$H$1:$I$100,2,0),"")</f>
        <v/>
      </c>
      <c r="N1806" s="319" t="str">
        <f ca="1">IFERROR(IF(VLOOKUP(F1806,Kostentypen!$A$3:$E$21,3,0)=0,"",IF(OR(F1806="Arbeidskosten",F1806="Vergoeding"),VLOOKUP(G1806,Tb_KostenTypen[],2,0),VLOOKUP(F1806,Kostentypen!$A$3:$E$20,3,0))),"")</f>
        <v/>
      </c>
      <c r="O1806" s="320" t="str" cm="1">
        <f t="array" ref="O1806">_xlfn.IFNA(IF(INDEX(Tb_KostenOptiesDB[],MATCH($F1806,Tb_KostenOptiesDB[KostenOptie],0),IFERROR(MATCH(Methode_Keuze,Tb_KostenOptiesDB[#Headers],0),2))=1,_xlfn.SWITCH($N1806,"Uurtarief",IF(OR(AND(RIGHT($F1806,3)="IKS",VLOOKUP($M1806,DB_Loonkosten,2,0)="Ja"),AND(RIGHT($F1806,3)&lt;&gt;"IKS",VLOOKUP($M1806,DB_Loonkosten,2,0)="Nee")),IFERROR(VLOOKUP($M1806,DB_Loonkosten,24,0),""),0),"Vast tarief",IF(LEFT(F1806,8)="Bijdrage",VLOOKUP($F1806,Tb_KostenTypen[],MATCH(Lijsten!$P$1,Tb_KostenTypen[#Headers],0),0),VLOOKUP($G1806,Lijsten!L:P,MATCH(Lijsten!$P$1,Kop_Tarief_Vast,0),0))),""),"")</f>
        <v/>
      </c>
      <c r="P1806" s="320" t="str" cm="1">
        <f t="array" ref="P1806">_xlfn.IFNA(IF(INDEX(Tb_KostenOptiesDB[],MATCH($F1806,Tb_KostenOptiesDB[KostenOptie],0),IFERROR(MATCH(Methode_Keuze,Tb_KostenOptiesDB[#Headers],0),2))=1,_xlfn.SWITCH($N1806,"Uurtarief",IF(OR(AND(RIGHT($F1806,3)="IKS",VLOOKUP($M1806,DB_Loonkosten,2,0)="Ja"),AND(RIGHT($F1806,3)&lt;&gt;"IKS",VLOOKUP($M1806,DB_Loonkosten,2,0)="Nee")),IFERROR(VLOOKUP($M1806,DB_Loonkosten,25,0),""),0),"Vast tarief",IF(LEFT(F1806,8)="Bijdrage",VLOOKUP($F1806,Tb_KostenTypen[],MATCH(Lijsten!$P$1,Tb_KostenTypen[#Headers],0),0),VLOOKUP($G1806,Lijsten!L:P,MATCH(Lijsten!$P$1,Kop_Tarief_Vast,0),0))),""),"")</f>
        <v/>
      </c>
      <c r="Q1806" s="359"/>
      <c r="R1806" s="359"/>
      <c r="S1806" s="321"/>
      <c r="T1806" s="321"/>
      <c r="U1806" s="373" t="str">
        <f t="shared" si="112"/>
        <v/>
      </c>
      <c r="V1806" s="314" t="str">
        <f t="shared" si="113"/>
        <v/>
      </c>
      <c r="W1806" s="314" t="str" cm="1">
        <f t="array" aca="1" ref="W1806" ca="1">IFERROR(IF(AE1806&lt;&gt;"ja",_xlfn.IFNA(_xlfn.IFS(AND(O1806&lt;&gt;"",F1806&lt;&gt;"",RIGHT($N1806,6)="tarief",F1806="Vergoeding"),SUM(O1806)*FLOOR(SUM(Q1806),0.0001),AND(O1806&lt;&gt;"",F1806&lt;&gt;"",RIGHT($N1806,6)="tarief"),SUM(O1806)*FLOOR(SUM(Q1806),0.01),S1806&gt;0,IF(F1806&lt;&gt;"",FLOOR(SUM(S1806),0.01),"")),""),""),"")</f>
        <v/>
      </c>
      <c r="X1806" s="314" t="str" cm="1">
        <f t="array" aca="1" ref="X1806" ca="1">IFERROR(IF(AE1806&lt;&gt;"ja",_xlfn.IFNA(_xlfn.IFS(AND(P1806&lt;&gt;"",R1806&lt;&gt;"",RIGHT($N1806,6)="tarief",F1806="Vergoeding"),SUM(P1806)*FLOOR(SUM(R1806),0.0001),AND(P1806&lt;&gt;"",R1806&lt;&gt;"",RIGHT($N1806,6)="tarief"),P1806*FLOOR(R1806,0.01),T1806&gt;0,FLOOR(SUM(T1806),0.01)),""),""),"")</f>
        <v/>
      </c>
      <c r="Y1806" s="314" t="str">
        <f t="shared" ca="1" si="114"/>
        <v/>
      </c>
      <c r="Z1806" s="314" t="str" cm="1">
        <f t="array" aca="1" ref="Z1806" ca="1">IFERROR(_xlfn.IFS(OR(F1806="",LEFT(Methode_Keuze,4)="Geen",Methode_Keuze=""),"",AND(W1806&lt;&gt;"",F1806&lt;&gt;"Arbeidskosten"),W1806*VLOOKUP(F1806,Tb_ProjectKosten[],MATCH(Tb_ProjectKosten[[#Headers],[Forfait_Percentage]],Tb_ProjectKosten[#Headers],0),0),AND(F1806="Arbeidskosten",G1806&lt;&gt;""),IFERROR(W1806*VLOOKUP(G1806,Tb_KostenTypen[],3,0)*VLOOKUP(F1806,Tb_ProjectKosten[],MATCH(Tb_ProjectKosten[[#Headers],[Forfait_Percentage]],Tb_ProjectKosten[#Headers],0),0),""),W1806 &lt;=0,0),"")</f>
        <v/>
      </c>
      <c r="AA1806" s="314" t="str" cm="1">
        <f t="array" aca="1" ref="AA1806" ca="1">IFERROR(_xlfn.IFS(OR(F1806="",LEFT(Methode_Keuze,4)="Geen",Methode_Keuze=""),"",AND(X1806&lt;&gt;"",F1806&lt;&gt;"Arbeidskosten"),X1806*VLOOKUP(F1806,Tb_ProjectKosten[],MATCH(Tb_ProjectKosten[[#Headers],[Forfait_Percentage]],Tb_ProjectKosten[#Headers],0),0),AND(F1806="Arbeidskosten",G1806&lt;&gt;""),IFERROR(X1806*VLOOKUP(G1806,Tb_KostenTypen[],3,0)*VLOOKUP(F1806,Tb_ProjectKosten[],MATCH(Tb_ProjectKosten[[#Headers],[Forfait_Percentage]],Tb_ProjectKosten[#Headers],0),0),""),X1806 &lt;=0,0),"")</f>
        <v/>
      </c>
      <c r="AB1806" s="314" t="str">
        <f t="shared" ca="1" si="115"/>
        <v/>
      </c>
      <c r="AC1806" s="322"/>
      <c r="AD1806" s="315"/>
      <c r="AE1806" s="32" t="str" cm="1">
        <f t="array" ref="AE1806">IFERROR(IF(INDEX(SubsidieTabel!$AD$1:$AG$12,MATCH($F1806,SubsidieTabel!$AD$1:$AD$12,0),IFERROR(MATCH(Methode_Keuze,SubsidieTabel!$AD$1:$AG$1,0),2))&lt;&gt;1=TRUE,"ja",""),"")</f>
        <v/>
      </c>
    </row>
    <row r="1807" spans="1:31" x14ac:dyDescent="0.25">
      <c r="A1807" s="316"/>
      <c r="B1807" s="317" t="str">
        <f>IF(A1807&lt;&gt;"",_xlfn.MAXIFS($B$1:B1806,$A$1:A1806,A1807)+1,"")</f>
        <v/>
      </c>
      <c r="C1807" s="296"/>
      <c r="D1807" s="296"/>
      <c r="E1807" s="296"/>
      <c r="F1807" s="296"/>
      <c r="G1807" s="326"/>
      <c r="H1807" s="324"/>
      <c r="I1807" s="325"/>
      <c r="J1807" s="325"/>
      <c r="K1807" s="318"/>
      <c r="L1807" s="318"/>
      <c r="M1807" s="319" t="str">
        <f>IFERROR(VLOOKUP(H1807,Lijsten!$H$1:$I$100,2,0),"")</f>
        <v/>
      </c>
      <c r="N1807" s="319" t="str">
        <f ca="1">IFERROR(IF(VLOOKUP(F1807,Kostentypen!$A$3:$E$21,3,0)=0,"",IF(OR(F1807="Arbeidskosten",F1807="Vergoeding"),VLOOKUP(G1807,Tb_KostenTypen[],2,0),VLOOKUP(F1807,Kostentypen!$A$3:$E$20,3,0))),"")</f>
        <v/>
      </c>
      <c r="O1807" s="320" t="str" cm="1">
        <f t="array" ref="O1807">_xlfn.IFNA(IF(INDEX(Tb_KostenOptiesDB[],MATCH($F1807,Tb_KostenOptiesDB[KostenOptie],0),IFERROR(MATCH(Methode_Keuze,Tb_KostenOptiesDB[#Headers],0),2))=1,_xlfn.SWITCH($N1807,"Uurtarief",IF(OR(AND(RIGHT($F1807,3)="IKS",VLOOKUP($M1807,DB_Loonkosten,2,0)="Ja"),AND(RIGHT($F1807,3)&lt;&gt;"IKS",VLOOKUP($M1807,DB_Loonkosten,2,0)="Nee")),IFERROR(VLOOKUP($M1807,DB_Loonkosten,24,0),""),0),"Vast tarief",IF(LEFT(F1807,8)="Bijdrage",VLOOKUP($F1807,Tb_KostenTypen[],MATCH(Lijsten!$P$1,Tb_KostenTypen[#Headers],0),0),VLOOKUP($G1807,Lijsten!L:P,MATCH(Lijsten!$P$1,Kop_Tarief_Vast,0),0))),""),"")</f>
        <v/>
      </c>
      <c r="P1807" s="320" t="str" cm="1">
        <f t="array" ref="P1807">_xlfn.IFNA(IF(INDEX(Tb_KostenOptiesDB[],MATCH($F1807,Tb_KostenOptiesDB[KostenOptie],0),IFERROR(MATCH(Methode_Keuze,Tb_KostenOptiesDB[#Headers],0),2))=1,_xlfn.SWITCH($N1807,"Uurtarief",IF(OR(AND(RIGHT($F1807,3)="IKS",VLOOKUP($M1807,DB_Loonkosten,2,0)="Ja"),AND(RIGHT($F1807,3)&lt;&gt;"IKS",VLOOKUP($M1807,DB_Loonkosten,2,0)="Nee")),IFERROR(VLOOKUP($M1807,DB_Loonkosten,25,0),""),0),"Vast tarief",IF(LEFT(F1807,8)="Bijdrage",VLOOKUP($F1807,Tb_KostenTypen[],MATCH(Lijsten!$P$1,Tb_KostenTypen[#Headers],0),0),VLOOKUP($G1807,Lijsten!L:P,MATCH(Lijsten!$P$1,Kop_Tarief_Vast,0),0))),""),"")</f>
        <v/>
      </c>
      <c r="Q1807" s="359"/>
      <c r="R1807" s="359"/>
      <c r="S1807" s="321"/>
      <c r="T1807" s="321"/>
      <c r="U1807" s="373" t="str">
        <f t="shared" si="112"/>
        <v/>
      </c>
      <c r="V1807" s="314" t="str">
        <f t="shared" si="113"/>
        <v/>
      </c>
      <c r="W1807" s="314" t="str" cm="1">
        <f t="array" aca="1" ref="W1807" ca="1">IFERROR(IF(AE1807&lt;&gt;"ja",_xlfn.IFNA(_xlfn.IFS(AND(O1807&lt;&gt;"",F1807&lt;&gt;"",RIGHT($N1807,6)="tarief",F1807="Vergoeding"),SUM(O1807)*FLOOR(SUM(Q1807),0.0001),AND(O1807&lt;&gt;"",F1807&lt;&gt;"",RIGHT($N1807,6)="tarief"),SUM(O1807)*FLOOR(SUM(Q1807),0.01),S1807&gt;0,IF(F1807&lt;&gt;"",FLOOR(SUM(S1807),0.01),"")),""),""),"")</f>
        <v/>
      </c>
      <c r="X1807" s="314" t="str" cm="1">
        <f t="array" aca="1" ref="X1807" ca="1">IFERROR(IF(AE1807&lt;&gt;"ja",_xlfn.IFNA(_xlfn.IFS(AND(P1807&lt;&gt;"",R1807&lt;&gt;"",RIGHT($N1807,6)="tarief",F1807="Vergoeding"),SUM(P1807)*FLOOR(SUM(R1807),0.0001),AND(P1807&lt;&gt;"",R1807&lt;&gt;"",RIGHT($N1807,6)="tarief"),P1807*FLOOR(R1807,0.01),T1807&gt;0,FLOOR(SUM(T1807),0.01)),""),""),"")</f>
        <v/>
      </c>
      <c r="Y1807" s="314" t="str">
        <f t="shared" ca="1" si="114"/>
        <v/>
      </c>
      <c r="Z1807" s="314" t="str" cm="1">
        <f t="array" aca="1" ref="Z1807" ca="1">IFERROR(_xlfn.IFS(OR(F1807="",LEFT(Methode_Keuze,4)="Geen",Methode_Keuze=""),"",AND(W1807&lt;&gt;"",F1807&lt;&gt;"Arbeidskosten"),W1807*VLOOKUP(F1807,Tb_ProjectKosten[],MATCH(Tb_ProjectKosten[[#Headers],[Forfait_Percentage]],Tb_ProjectKosten[#Headers],0),0),AND(F1807="Arbeidskosten",G1807&lt;&gt;""),IFERROR(W1807*VLOOKUP(G1807,Tb_KostenTypen[],3,0)*VLOOKUP(F1807,Tb_ProjectKosten[],MATCH(Tb_ProjectKosten[[#Headers],[Forfait_Percentage]],Tb_ProjectKosten[#Headers],0),0),""),W1807 &lt;=0,0),"")</f>
        <v/>
      </c>
      <c r="AA1807" s="314" t="str" cm="1">
        <f t="array" aca="1" ref="AA1807" ca="1">IFERROR(_xlfn.IFS(OR(F1807="",LEFT(Methode_Keuze,4)="Geen",Methode_Keuze=""),"",AND(X1807&lt;&gt;"",F1807&lt;&gt;"Arbeidskosten"),X1807*VLOOKUP(F1807,Tb_ProjectKosten[],MATCH(Tb_ProjectKosten[[#Headers],[Forfait_Percentage]],Tb_ProjectKosten[#Headers],0),0),AND(F1807="Arbeidskosten",G1807&lt;&gt;""),IFERROR(X1807*VLOOKUP(G1807,Tb_KostenTypen[],3,0)*VLOOKUP(F1807,Tb_ProjectKosten[],MATCH(Tb_ProjectKosten[[#Headers],[Forfait_Percentage]],Tb_ProjectKosten[#Headers],0),0),""),X1807 &lt;=0,0),"")</f>
        <v/>
      </c>
      <c r="AB1807" s="314" t="str">
        <f t="shared" ca="1" si="115"/>
        <v/>
      </c>
      <c r="AC1807" s="322"/>
      <c r="AD1807" s="315"/>
      <c r="AE1807" s="32" t="str" cm="1">
        <f t="array" ref="AE1807">IFERROR(IF(INDEX(SubsidieTabel!$AD$1:$AG$12,MATCH($F1807,SubsidieTabel!$AD$1:$AD$12,0),IFERROR(MATCH(Methode_Keuze,SubsidieTabel!$AD$1:$AG$1,0),2))&lt;&gt;1=TRUE,"ja",""),"")</f>
        <v/>
      </c>
    </row>
    <row r="1808" spans="1:31" x14ac:dyDescent="0.25">
      <c r="A1808" s="316"/>
      <c r="B1808" s="317" t="str">
        <f>IF(A1808&lt;&gt;"",_xlfn.MAXIFS($B$1:B1807,$A$1:A1807,A1808)+1,"")</f>
        <v/>
      </c>
      <c r="C1808" s="296"/>
      <c r="D1808" s="296"/>
      <c r="E1808" s="296"/>
      <c r="F1808" s="296"/>
      <c r="G1808" s="326"/>
      <c r="H1808" s="324"/>
      <c r="I1808" s="325"/>
      <c r="J1808" s="325"/>
      <c r="K1808" s="318"/>
      <c r="L1808" s="318"/>
      <c r="M1808" s="319" t="str">
        <f>IFERROR(VLOOKUP(H1808,Lijsten!$H$1:$I$100,2,0),"")</f>
        <v/>
      </c>
      <c r="N1808" s="319" t="str">
        <f ca="1">IFERROR(IF(VLOOKUP(F1808,Kostentypen!$A$3:$E$21,3,0)=0,"",IF(OR(F1808="Arbeidskosten",F1808="Vergoeding"),VLOOKUP(G1808,Tb_KostenTypen[],2,0),VLOOKUP(F1808,Kostentypen!$A$3:$E$20,3,0))),"")</f>
        <v/>
      </c>
      <c r="O1808" s="320" t="str" cm="1">
        <f t="array" ref="O1808">_xlfn.IFNA(IF(INDEX(Tb_KostenOptiesDB[],MATCH($F1808,Tb_KostenOptiesDB[KostenOptie],0),IFERROR(MATCH(Methode_Keuze,Tb_KostenOptiesDB[#Headers],0),2))=1,_xlfn.SWITCH($N1808,"Uurtarief",IF(OR(AND(RIGHT($F1808,3)="IKS",VLOOKUP($M1808,DB_Loonkosten,2,0)="Ja"),AND(RIGHT($F1808,3)&lt;&gt;"IKS",VLOOKUP($M1808,DB_Loonkosten,2,0)="Nee")),IFERROR(VLOOKUP($M1808,DB_Loonkosten,24,0),""),0),"Vast tarief",IF(LEFT(F1808,8)="Bijdrage",VLOOKUP($F1808,Tb_KostenTypen[],MATCH(Lijsten!$P$1,Tb_KostenTypen[#Headers],0),0),VLOOKUP($G1808,Lijsten!L:P,MATCH(Lijsten!$P$1,Kop_Tarief_Vast,0),0))),""),"")</f>
        <v/>
      </c>
      <c r="P1808" s="320" t="str" cm="1">
        <f t="array" ref="P1808">_xlfn.IFNA(IF(INDEX(Tb_KostenOptiesDB[],MATCH($F1808,Tb_KostenOptiesDB[KostenOptie],0),IFERROR(MATCH(Methode_Keuze,Tb_KostenOptiesDB[#Headers],0),2))=1,_xlfn.SWITCH($N1808,"Uurtarief",IF(OR(AND(RIGHT($F1808,3)="IKS",VLOOKUP($M1808,DB_Loonkosten,2,0)="Ja"),AND(RIGHT($F1808,3)&lt;&gt;"IKS",VLOOKUP($M1808,DB_Loonkosten,2,0)="Nee")),IFERROR(VLOOKUP($M1808,DB_Loonkosten,25,0),""),0),"Vast tarief",IF(LEFT(F1808,8)="Bijdrage",VLOOKUP($F1808,Tb_KostenTypen[],MATCH(Lijsten!$P$1,Tb_KostenTypen[#Headers],0),0),VLOOKUP($G1808,Lijsten!L:P,MATCH(Lijsten!$P$1,Kop_Tarief_Vast,0),0))),""),"")</f>
        <v/>
      </c>
      <c r="Q1808" s="359"/>
      <c r="R1808" s="359"/>
      <c r="S1808" s="321"/>
      <c r="T1808" s="321"/>
      <c r="U1808" s="373" t="str">
        <f t="shared" si="112"/>
        <v/>
      </c>
      <c r="V1808" s="314" t="str">
        <f t="shared" si="113"/>
        <v/>
      </c>
      <c r="W1808" s="314" t="str" cm="1">
        <f t="array" aca="1" ref="W1808" ca="1">IFERROR(IF(AE1808&lt;&gt;"ja",_xlfn.IFNA(_xlfn.IFS(AND(O1808&lt;&gt;"",F1808&lt;&gt;"",RIGHT($N1808,6)="tarief",F1808="Vergoeding"),SUM(O1808)*FLOOR(SUM(Q1808),0.0001),AND(O1808&lt;&gt;"",F1808&lt;&gt;"",RIGHT($N1808,6)="tarief"),SUM(O1808)*FLOOR(SUM(Q1808),0.01),S1808&gt;0,IF(F1808&lt;&gt;"",FLOOR(SUM(S1808),0.01),"")),""),""),"")</f>
        <v/>
      </c>
      <c r="X1808" s="314" t="str" cm="1">
        <f t="array" aca="1" ref="X1808" ca="1">IFERROR(IF(AE1808&lt;&gt;"ja",_xlfn.IFNA(_xlfn.IFS(AND(P1808&lt;&gt;"",R1808&lt;&gt;"",RIGHT($N1808,6)="tarief",F1808="Vergoeding"),SUM(P1808)*FLOOR(SUM(R1808),0.0001),AND(P1808&lt;&gt;"",R1808&lt;&gt;"",RIGHT($N1808,6)="tarief"),P1808*FLOOR(R1808,0.01),T1808&gt;0,FLOOR(SUM(T1808),0.01)),""),""),"")</f>
        <v/>
      </c>
      <c r="Y1808" s="314" t="str">
        <f t="shared" ca="1" si="114"/>
        <v/>
      </c>
      <c r="Z1808" s="314" t="str" cm="1">
        <f t="array" aca="1" ref="Z1808" ca="1">IFERROR(_xlfn.IFS(OR(F1808="",LEFT(Methode_Keuze,4)="Geen",Methode_Keuze=""),"",AND(W1808&lt;&gt;"",F1808&lt;&gt;"Arbeidskosten"),W1808*VLOOKUP(F1808,Tb_ProjectKosten[],MATCH(Tb_ProjectKosten[[#Headers],[Forfait_Percentage]],Tb_ProjectKosten[#Headers],0),0),AND(F1808="Arbeidskosten",G1808&lt;&gt;""),IFERROR(W1808*VLOOKUP(G1808,Tb_KostenTypen[],3,0)*VLOOKUP(F1808,Tb_ProjectKosten[],MATCH(Tb_ProjectKosten[[#Headers],[Forfait_Percentage]],Tb_ProjectKosten[#Headers],0),0),""),W1808 &lt;=0,0),"")</f>
        <v/>
      </c>
      <c r="AA1808" s="314" t="str" cm="1">
        <f t="array" aca="1" ref="AA1808" ca="1">IFERROR(_xlfn.IFS(OR(F1808="",LEFT(Methode_Keuze,4)="Geen",Methode_Keuze=""),"",AND(X1808&lt;&gt;"",F1808&lt;&gt;"Arbeidskosten"),X1808*VLOOKUP(F1808,Tb_ProjectKosten[],MATCH(Tb_ProjectKosten[[#Headers],[Forfait_Percentage]],Tb_ProjectKosten[#Headers],0),0),AND(F1808="Arbeidskosten",G1808&lt;&gt;""),IFERROR(X1808*VLOOKUP(G1808,Tb_KostenTypen[],3,0)*VLOOKUP(F1808,Tb_ProjectKosten[],MATCH(Tb_ProjectKosten[[#Headers],[Forfait_Percentage]],Tb_ProjectKosten[#Headers],0),0),""),X1808 &lt;=0,0),"")</f>
        <v/>
      </c>
      <c r="AB1808" s="314" t="str">
        <f t="shared" ca="1" si="115"/>
        <v/>
      </c>
      <c r="AC1808" s="322"/>
      <c r="AD1808" s="315"/>
      <c r="AE1808" s="32" t="str" cm="1">
        <f t="array" ref="AE1808">IFERROR(IF(INDEX(SubsidieTabel!$AD$1:$AG$12,MATCH($F1808,SubsidieTabel!$AD$1:$AD$12,0),IFERROR(MATCH(Methode_Keuze,SubsidieTabel!$AD$1:$AG$1,0),2))&lt;&gt;1=TRUE,"ja",""),"")</f>
        <v/>
      </c>
    </row>
    <row r="1809" spans="1:31" x14ac:dyDescent="0.25">
      <c r="A1809" s="316"/>
      <c r="B1809" s="317" t="str">
        <f>IF(A1809&lt;&gt;"",_xlfn.MAXIFS($B$1:B1808,$A$1:A1808,A1809)+1,"")</f>
        <v/>
      </c>
      <c r="C1809" s="296"/>
      <c r="D1809" s="296"/>
      <c r="E1809" s="296"/>
      <c r="F1809" s="296"/>
      <c r="G1809" s="326"/>
      <c r="H1809" s="324"/>
      <c r="I1809" s="325"/>
      <c r="J1809" s="325"/>
      <c r="K1809" s="318"/>
      <c r="L1809" s="318"/>
      <c r="M1809" s="319" t="str">
        <f>IFERROR(VLOOKUP(H1809,Lijsten!$H$1:$I$100,2,0),"")</f>
        <v/>
      </c>
      <c r="N1809" s="319" t="str">
        <f ca="1">IFERROR(IF(VLOOKUP(F1809,Kostentypen!$A$3:$E$21,3,0)=0,"",IF(OR(F1809="Arbeidskosten",F1809="Vergoeding"),VLOOKUP(G1809,Tb_KostenTypen[],2,0),VLOOKUP(F1809,Kostentypen!$A$3:$E$20,3,0))),"")</f>
        <v/>
      </c>
      <c r="O1809" s="320" t="str" cm="1">
        <f t="array" ref="O1809">_xlfn.IFNA(IF(INDEX(Tb_KostenOptiesDB[],MATCH($F1809,Tb_KostenOptiesDB[KostenOptie],0),IFERROR(MATCH(Methode_Keuze,Tb_KostenOptiesDB[#Headers],0),2))=1,_xlfn.SWITCH($N1809,"Uurtarief",IF(OR(AND(RIGHT($F1809,3)="IKS",VLOOKUP($M1809,DB_Loonkosten,2,0)="Ja"),AND(RIGHT($F1809,3)&lt;&gt;"IKS",VLOOKUP($M1809,DB_Loonkosten,2,0)="Nee")),IFERROR(VLOOKUP($M1809,DB_Loonkosten,24,0),""),0),"Vast tarief",IF(LEFT(F1809,8)="Bijdrage",VLOOKUP($F1809,Tb_KostenTypen[],MATCH(Lijsten!$P$1,Tb_KostenTypen[#Headers],0),0),VLOOKUP($G1809,Lijsten!L:P,MATCH(Lijsten!$P$1,Kop_Tarief_Vast,0),0))),""),"")</f>
        <v/>
      </c>
      <c r="P1809" s="320" t="str" cm="1">
        <f t="array" ref="P1809">_xlfn.IFNA(IF(INDEX(Tb_KostenOptiesDB[],MATCH($F1809,Tb_KostenOptiesDB[KostenOptie],0),IFERROR(MATCH(Methode_Keuze,Tb_KostenOptiesDB[#Headers],0),2))=1,_xlfn.SWITCH($N1809,"Uurtarief",IF(OR(AND(RIGHT($F1809,3)="IKS",VLOOKUP($M1809,DB_Loonkosten,2,0)="Ja"),AND(RIGHT($F1809,3)&lt;&gt;"IKS",VLOOKUP($M1809,DB_Loonkosten,2,0)="Nee")),IFERROR(VLOOKUP($M1809,DB_Loonkosten,25,0),""),0),"Vast tarief",IF(LEFT(F1809,8)="Bijdrage",VLOOKUP($F1809,Tb_KostenTypen[],MATCH(Lijsten!$P$1,Tb_KostenTypen[#Headers],0),0),VLOOKUP($G1809,Lijsten!L:P,MATCH(Lijsten!$P$1,Kop_Tarief_Vast,0),0))),""),"")</f>
        <v/>
      </c>
      <c r="Q1809" s="359"/>
      <c r="R1809" s="359"/>
      <c r="S1809" s="321"/>
      <c r="T1809" s="321"/>
      <c r="U1809" s="373" t="str">
        <f t="shared" si="112"/>
        <v/>
      </c>
      <c r="V1809" s="314" t="str">
        <f t="shared" si="113"/>
        <v/>
      </c>
      <c r="W1809" s="314" t="str" cm="1">
        <f t="array" aca="1" ref="W1809" ca="1">IFERROR(IF(AE1809&lt;&gt;"ja",_xlfn.IFNA(_xlfn.IFS(AND(O1809&lt;&gt;"",F1809&lt;&gt;"",RIGHT($N1809,6)="tarief",F1809="Vergoeding"),SUM(O1809)*FLOOR(SUM(Q1809),0.0001),AND(O1809&lt;&gt;"",F1809&lt;&gt;"",RIGHT($N1809,6)="tarief"),SUM(O1809)*FLOOR(SUM(Q1809),0.01),S1809&gt;0,IF(F1809&lt;&gt;"",FLOOR(SUM(S1809),0.01),"")),""),""),"")</f>
        <v/>
      </c>
      <c r="X1809" s="314" t="str" cm="1">
        <f t="array" aca="1" ref="X1809" ca="1">IFERROR(IF(AE1809&lt;&gt;"ja",_xlfn.IFNA(_xlfn.IFS(AND(P1809&lt;&gt;"",R1809&lt;&gt;"",RIGHT($N1809,6)="tarief",F1809="Vergoeding"),SUM(P1809)*FLOOR(SUM(R1809),0.0001),AND(P1809&lt;&gt;"",R1809&lt;&gt;"",RIGHT($N1809,6)="tarief"),P1809*FLOOR(R1809,0.01),T1809&gt;0,FLOOR(SUM(T1809),0.01)),""),""),"")</f>
        <v/>
      </c>
      <c r="Y1809" s="314" t="str">
        <f t="shared" ca="1" si="114"/>
        <v/>
      </c>
      <c r="Z1809" s="314" t="str" cm="1">
        <f t="array" aca="1" ref="Z1809" ca="1">IFERROR(_xlfn.IFS(OR(F1809="",LEFT(Methode_Keuze,4)="Geen",Methode_Keuze=""),"",AND(W1809&lt;&gt;"",F1809&lt;&gt;"Arbeidskosten"),W1809*VLOOKUP(F1809,Tb_ProjectKosten[],MATCH(Tb_ProjectKosten[[#Headers],[Forfait_Percentage]],Tb_ProjectKosten[#Headers],0),0),AND(F1809="Arbeidskosten",G1809&lt;&gt;""),IFERROR(W1809*VLOOKUP(G1809,Tb_KostenTypen[],3,0)*VLOOKUP(F1809,Tb_ProjectKosten[],MATCH(Tb_ProjectKosten[[#Headers],[Forfait_Percentage]],Tb_ProjectKosten[#Headers],0),0),""),W1809 &lt;=0,0),"")</f>
        <v/>
      </c>
      <c r="AA1809" s="314" t="str" cm="1">
        <f t="array" aca="1" ref="AA1809" ca="1">IFERROR(_xlfn.IFS(OR(F1809="",LEFT(Methode_Keuze,4)="Geen",Methode_Keuze=""),"",AND(X1809&lt;&gt;"",F1809&lt;&gt;"Arbeidskosten"),X1809*VLOOKUP(F1809,Tb_ProjectKosten[],MATCH(Tb_ProjectKosten[[#Headers],[Forfait_Percentage]],Tb_ProjectKosten[#Headers],0),0),AND(F1809="Arbeidskosten",G1809&lt;&gt;""),IFERROR(X1809*VLOOKUP(G1809,Tb_KostenTypen[],3,0)*VLOOKUP(F1809,Tb_ProjectKosten[],MATCH(Tb_ProjectKosten[[#Headers],[Forfait_Percentage]],Tb_ProjectKosten[#Headers],0),0),""),X1809 &lt;=0,0),"")</f>
        <v/>
      </c>
      <c r="AB1809" s="314" t="str">
        <f t="shared" ca="1" si="115"/>
        <v/>
      </c>
      <c r="AC1809" s="322"/>
      <c r="AD1809" s="315"/>
      <c r="AE1809" s="32" t="str" cm="1">
        <f t="array" ref="AE1809">IFERROR(IF(INDEX(SubsidieTabel!$AD$1:$AG$12,MATCH($F1809,SubsidieTabel!$AD$1:$AD$12,0),IFERROR(MATCH(Methode_Keuze,SubsidieTabel!$AD$1:$AG$1,0),2))&lt;&gt;1=TRUE,"ja",""),"")</f>
        <v/>
      </c>
    </row>
    <row r="1810" spans="1:31" x14ac:dyDescent="0.25">
      <c r="A1810" s="316"/>
      <c r="B1810" s="317" t="str">
        <f>IF(A1810&lt;&gt;"",_xlfn.MAXIFS($B$1:B1809,$A$1:A1809,A1810)+1,"")</f>
        <v/>
      </c>
      <c r="C1810" s="296"/>
      <c r="D1810" s="296"/>
      <c r="E1810" s="296"/>
      <c r="F1810" s="296"/>
      <c r="G1810" s="326"/>
      <c r="H1810" s="324"/>
      <c r="I1810" s="325"/>
      <c r="J1810" s="325"/>
      <c r="K1810" s="318"/>
      <c r="L1810" s="318"/>
      <c r="M1810" s="319" t="str">
        <f>IFERROR(VLOOKUP(H1810,Lijsten!$H$1:$I$100,2,0),"")</f>
        <v/>
      </c>
      <c r="N1810" s="319" t="str">
        <f ca="1">IFERROR(IF(VLOOKUP(F1810,Kostentypen!$A$3:$E$21,3,0)=0,"",IF(OR(F1810="Arbeidskosten",F1810="Vergoeding"),VLOOKUP(G1810,Tb_KostenTypen[],2,0),VLOOKUP(F1810,Kostentypen!$A$3:$E$20,3,0))),"")</f>
        <v/>
      </c>
      <c r="O1810" s="320" t="str" cm="1">
        <f t="array" ref="O1810">_xlfn.IFNA(IF(INDEX(Tb_KostenOptiesDB[],MATCH($F1810,Tb_KostenOptiesDB[KostenOptie],0),IFERROR(MATCH(Methode_Keuze,Tb_KostenOptiesDB[#Headers],0),2))=1,_xlfn.SWITCH($N1810,"Uurtarief",IF(OR(AND(RIGHT($F1810,3)="IKS",VLOOKUP($M1810,DB_Loonkosten,2,0)="Ja"),AND(RIGHT($F1810,3)&lt;&gt;"IKS",VLOOKUP($M1810,DB_Loonkosten,2,0)="Nee")),IFERROR(VLOOKUP($M1810,DB_Loonkosten,24,0),""),0),"Vast tarief",IF(LEFT(F1810,8)="Bijdrage",VLOOKUP($F1810,Tb_KostenTypen[],MATCH(Lijsten!$P$1,Tb_KostenTypen[#Headers],0),0),VLOOKUP($G1810,Lijsten!L:P,MATCH(Lijsten!$P$1,Kop_Tarief_Vast,0),0))),""),"")</f>
        <v/>
      </c>
      <c r="P1810" s="320" t="str" cm="1">
        <f t="array" ref="P1810">_xlfn.IFNA(IF(INDEX(Tb_KostenOptiesDB[],MATCH($F1810,Tb_KostenOptiesDB[KostenOptie],0),IFERROR(MATCH(Methode_Keuze,Tb_KostenOptiesDB[#Headers],0),2))=1,_xlfn.SWITCH($N1810,"Uurtarief",IF(OR(AND(RIGHT($F1810,3)="IKS",VLOOKUP($M1810,DB_Loonkosten,2,0)="Ja"),AND(RIGHT($F1810,3)&lt;&gt;"IKS",VLOOKUP($M1810,DB_Loonkosten,2,0)="Nee")),IFERROR(VLOOKUP($M1810,DB_Loonkosten,25,0),""),0),"Vast tarief",IF(LEFT(F1810,8)="Bijdrage",VLOOKUP($F1810,Tb_KostenTypen[],MATCH(Lijsten!$P$1,Tb_KostenTypen[#Headers],0),0),VLOOKUP($G1810,Lijsten!L:P,MATCH(Lijsten!$P$1,Kop_Tarief_Vast,0),0))),""),"")</f>
        <v/>
      </c>
      <c r="Q1810" s="359"/>
      <c r="R1810" s="359"/>
      <c r="S1810" s="321"/>
      <c r="T1810" s="321"/>
      <c r="U1810" s="373" t="str">
        <f t="shared" si="112"/>
        <v/>
      </c>
      <c r="V1810" s="314" t="str">
        <f t="shared" si="113"/>
        <v/>
      </c>
      <c r="W1810" s="314" t="str" cm="1">
        <f t="array" aca="1" ref="W1810" ca="1">IFERROR(IF(AE1810&lt;&gt;"ja",_xlfn.IFNA(_xlfn.IFS(AND(O1810&lt;&gt;"",F1810&lt;&gt;"",RIGHT($N1810,6)="tarief",F1810="Vergoeding"),SUM(O1810)*FLOOR(SUM(Q1810),0.0001),AND(O1810&lt;&gt;"",F1810&lt;&gt;"",RIGHT($N1810,6)="tarief"),SUM(O1810)*FLOOR(SUM(Q1810),0.01),S1810&gt;0,IF(F1810&lt;&gt;"",FLOOR(SUM(S1810),0.01),"")),""),""),"")</f>
        <v/>
      </c>
      <c r="X1810" s="314" t="str" cm="1">
        <f t="array" aca="1" ref="X1810" ca="1">IFERROR(IF(AE1810&lt;&gt;"ja",_xlfn.IFNA(_xlfn.IFS(AND(P1810&lt;&gt;"",R1810&lt;&gt;"",RIGHT($N1810,6)="tarief",F1810="Vergoeding"),SUM(P1810)*FLOOR(SUM(R1810),0.0001),AND(P1810&lt;&gt;"",R1810&lt;&gt;"",RIGHT($N1810,6)="tarief"),P1810*FLOOR(R1810,0.01),T1810&gt;0,FLOOR(SUM(T1810),0.01)),""),""),"")</f>
        <v/>
      </c>
      <c r="Y1810" s="314" t="str">
        <f t="shared" ca="1" si="114"/>
        <v/>
      </c>
      <c r="Z1810" s="314" t="str" cm="1">
        <f t="array" aca="1" ref="Z1810" ca="1">IFERROR(_xlfn.IFS(OR(F1810="",LEFT(Methode_Keuze,4)="Geen",Methode_Keuze=""),"",AND(W1810&lt;&gt;"",F1810&lt;&gt;"Arbeidskosten"),W1810*VLOOKUP(F1810,Tb_ProjectKosten[],MATCH(Tb_ProjectKosten[[#Headers],[Forfait_Percentage]],Tb_ProjectKosten[#Headers],0),0),AND(F1810="Arbeidskosten",G1810&lt;&gt;""),IFERROR(W1810*VLOOKUP(G1810,Tb_KostenTypen[],3,0)*VLOOKUP(F1810,Tb_ProjectKosten[],MATCH(Tb_ProjectKosten[[#Headers],[Forfait_Percentage]],Tb_ProjectKosten[#Headers],0),0),""),W1810 &lt;=0,0),"")</f>
        <v/>
      </c>
      <c r="AA1810" s="314" t="str" cm="1">
        <f t="array" aca="1" ref="AA1810" ca="1">IFERROR(_xlfn.IFS(OR(F1810="",LEFT(Methode_Keuze,4)="Geen",Methode_Keuze=""),"",AND(X1810&lt;&gt;"",F1810&lt;&gt;"Arbeidskosten"),X1810*VLOOKUP(F1810,Tb_ProjectKosten[],MATCH(Tb_ProjectKosten[[#Headers],[Forfait_Percentage]],Tb_ProjectKosten[#Headers],0),0),AND(F1810="Arbeidskosten",G1810&lt;&gt;""),IFERROR(X1810*VLOOKUP(G1810,Tb_KostenTypen[],3,0)*VLOOKUP(F1810,Tb_ProjectKosten[],MATCH(Tb_ProjectKosten[[#Headers],[Forfait_Percentage]],Tb_ProjectKosten[#Headers],0),0),""),X1810 &lt;=0,0),"")</f>
        <v/>
      </c>
      <c r="AB1810" s="314" t="str">
        <f t="shared" ca="1" si="115"/>
        <v/>
      </c>
      <c r="AC1810" s="322"/>
      <c r="AD1810" s="315"/>
      <c r="AE1810" s="32" t="str" cm="1">
        <f t="array" ref="AE1810">IFERROR(IF(INDEX(SubsidieTabel!$AD$1:$AG$12,MATCH($F1810,SubsidieTabel!$AD$1:$AD$12,0),IFERROR(MATCH(Methode_Keuze,SubsidieTabel!$AD$1:$AG$1,0),2))&lt;&gt;1=TRUE,"ja",""),"")</f>
        <v/>
      </c>
    </row>
    <row r="1811" spans="1:31" x14ac:dyDescent="0.25">
      <c r="A1811" s="316"/>
      <c r="B1811" s="317" t="str">
        <f>IF(A1811&lt;&gt;"",_xlfn.MAXIFS($B$1:B1810,$A$1:A1810,A1811)+1,"")</f>
        <v/>
      </c>
      <c r="C1811" s="296"/>
      <c r="D1811" s="296"/>
      <c r="E1811" s="296"/>
      <c r="F1811" s="296"/>
      <c r="G1811" s="326"/>
      <c r="H1811" s="324"/>
      <c r="I1811" s="325"/>
      <c r="J1811" s="325"/>
      <c r="K1811" s="318"/>
      <c r="L1811" s="318"/>
      <c r="M1811" s="319" t="str">
        <f>IFERROR(VLOOKUP(H1811,Lijsten!$H$1:$I$100,2,0),"")</f>
        <v/>
      </c>
      <c r="N1811" s="319" t="str">
        <f ca="1">IFERROR(IF(VLOOKUP(F1811,Kostentypen!$A$3:$E$21,3,0)=0,"",IF(OR(F1811="Arbeidskosten",F1811="Vergoeding"),VLOOKUP(G1811,Tb_KostenTypen[],2,0),VLOOKUP(F1811,Kostentypen!$A$3:$E$20,3,0))),"")</f>
        <v/>
      </c>
      <c r="O1811" s="320" t="str" cm="1">
        <f t="array" ref="O1811">_xlfn.IFNA(IF(INDEX(Tb_KostenOptiesDB[],MATCH($F1811,Tb_KostenOptiesDB[KostenOptie],0),IFERROR(MATCH(Methode_Keuze,Tb_KostenOptiesDB[#Headers],0),2))=1,_xlfn.SWITCH($N1811,"Uurtarief",IF(OR(AND(RIGHT($F1811,3)="IKS",VLOOKUP($M1811,DB_Loonkosten,2,0)="Ja"),AND(RIGHT($F1811,3)&lt;&gt;"IKS",VLOOKUP($M1811,DB_Loonkosten,2,0)="Nee")),IFERROR(VLOOKUP($M1811,DB_Loonkosten,24,0),""),0),"Vast tarief",IF(LEFT(F1811,8)="Bijdrage",VLOOKUP($F1811,Tb_KostenTypen[],MATCH(Lijsten!$P$1,Tb_KostenTypen[#Headers],0),0),VLOOKUP($G1811,Lijsten!L:P,MATCH(Lijsten!$P$1,Kop_Tarief_Vast,0),0))),""),"")</f>
        <v/>
      </c>
      <c r="P1811" s="320" t="str" cm="1">
        <f t="array" ref="P1811">_xlfn.IFNA(IF(INDEX(Tb_KostenOptiesDB[],MATCH($F1811,Tb_KostenOptiesDB[KostenOptie],0),IFERROR(MATCH(Methode_Keuze,Tb_KostenOptiesDB[#Headers],0),2))=1,_xlfn.SWITCH($N1811,"Uurtarief",IF(OR(AND(RIGHT($F1811,3)="IKS",VLOOKUP($M1811,DB_Loonkosten,2,0)="Ja"),AND(RIGHT($F1811,3)&lt;&gt;"IKS",VLOOKUP($M1811,DB_Loonkosten,2,0)="Nee")),IFERROR(VLOOKUP($M1811,DB_Loonkosten,25,0),""),0),"Vast tarief",IF(LEFT(F1811,8)="Bijdrage",VLOOKUP($F1811,Tb_KostenTypen[],MATCH(Lijsten!$P$1,Tb_KostenTypen[#Headers],0),0),VLOOKUP($G1811,Lijsten!L:P,MATCH(Lijsten!$P$1,Kop_Tarief_Vast,0),0))),""),"")</f>
        <v/>
      </c>
      <c r="Q1811" s="359"/>
      <c r="R1811" s="359"/>
      <c r="S1811" s="321"/>
      <c r="T1811" s="321"/>
      <c r="U1811" s="373" t="str">
        <f t="shared" si="112"/>
        <v/>
      </c>
      <c r="V1811" s="314" t="str">
        <f t="shared" si="113"/>
        <v/>
      </c>
      <c r="W1811" s="314" t="str" cm="1">
        <f t="array" aca="1" ref="W1811" ca="1">IFERROR(IF(AE1811&lt;&gt;"ja",_xlfn.IFNA(_xlfn.IFS(AND(O1811&lt;&gt;"",F1811&lt;&gt;"",RIGHT($N1811,6)="tarief",F1811="Vergoeding"),SUM(O1811)*FLOOR(SUM(Q1811),0.0001),AND(O1811&lt;&gt;"",F1811&lt;&gt;"",RIGHT($N1811,6)="tarief"),SUM(O1811)*FLOOR(SUM(Q1811),0.01),S1811&gt;0,IF(F1811&lt;&gt;"",FLOOR(SUM(S1811),0.01),"")),""),""),"")</f>
        <v/>
      </c>
      <c r="X1811" s="314" t="str" cm="1">
        <f t="array" aca="1" ref="X1811" ca="1">IFERROR(IF(AE1811&lt;&gt;"ja",_xlfn.IFNA(_xlfn.IFS(AND(P1811&lt;&gt;"",R1811&lt;&gt;"",RIGHT($N1811,6)="tarief",F1811="Vergoeding"),SUM(P1811)*FLOOR(SUM(R1811),0.0001),AND(P1811&lt;&gt;"",R1811&lt;&gt;"",RIGHT($N1811,6)="tarief"),P1811*FLOOR(R1811,0.01),T1811&gt;0,FLOOR(SUM(T1811),0.01)),""),""),"")</f>
        <v/>
      </c>
      <c r="Y1811" s="314" t="str">
        <f t="shared" ca="1" si="114"/>
        <v/>
      </c>
      <c r="Z1811" s="314" t="str" cm="1">
        <f t="array" aca="1" ref="Z1811" ca="1">IFERROR(_xlfn.IFS(OR(F1811="",LEFT(Methode_Keuze,4)="Geen",Methode_Keuze=""),"",AND(W1811&lt;&gt;"",F1811&lt;&gt;"Arbeidskosten"),W1811*VLOOKUP(F1811,Tb_ProjectKosten[],MATCH(Tb_ProjectKosten[[#Headers],[Forfait_Percentage]],Tb_ProjectKosten[#Headers],0),0),AND(F1811="Arbeidskosten",G1811&lt;&gt;""),IFERROR(W1811*VLOOKUP(G1811,Tb_KostenTypen[],3,0)*VLOOKUP(F1811,Tb_ProjectKosten[],MATCH(Tb_ProjectKosten[[#Headers],[Forfait_Percentage]],Tb_ProjectKosten[#Headers],0),0),""),W1811 &lt;=0,0),"")</f>
        <v/>
      </c>
      <c r="AA1811" s="314" t="str" cm="1">
        <f t="array" aca="1" ref="AA1811" ca="1">IFERROR(_xlfn.IFS(OR(F1811="",LEFT(Methode_Keuze,4)="Geen",Methode_Keuze=""),"",AND(X1811&lt;&gt;"",F1811&lt;&gt;"Arbeidskosten"),X1811*VLOOKUP(F1811,Tb_ProjectKosten[],MATCH(Tb_ProjectKosten[[#Headers],[Forfait_Percentage]],Tb_ProjectKosten[#Headers],0),0),AND(F1811="Arbeidskosten",G1811&lt;&gt;""),IFERROR(X1811*VLOOKUP(G1811,Tb_KostenTypen[],3,0)*VLOOKUP(F1811,Tb_ProjectKosten[],MATCH(Tb_ProjectKosten[[#Headers],[Forfait_Percentage]],Tb_ProjectKosten[#Headers],0),0),""),X1811 &lt;=0,0),"")</f>
        <v/>
      </c>
      <c r="AB1811" s="314" t="str">
        <f t="shared" ca="1" si="115"/>
        <v/>
      </c>
      <c r="AC1811" s="322"/>
      <c r="AD1811" s="315"/>
      <c r="AE1811" s="32" t="str" cm="1">
        <f t="array" ref="AE1811">IFERROR(IF(INDEX(SubsidieTabel!$AD$1:$AG$12,MATCH($F1811,SubsidieTabel!$AD$1:$AD$12,0),IFERROR(MATCH(Methode_Keuze,SubsidieTabel!$AD$1:$AG$1,0),2))&lt;&gt;1=TRUE,"ja",""),"")</f>
        <v/>
      </c>
    </row>
    <row r="1812" spans="1:31" x14ac:dyDescent="0.25">
      <c r="A1812" s="316"/>
      <c r="B1812" s="317" t="str">
        <f>IF(A1812&lt;&gt;"",_xlfn.MAXIFS($B$1:B1811,$A$1:A1811,A1812)+1,"")</f>
        <v/>
      </c>
      <c r="C1812" s="296"/>
      <c r="D1812" s="296"/>
      <c r="E1812" s="296"/>
      <c r="F1812" s="296"/>
      <c r="G1812" s="326"/>
      <c r="H1812" s="324"/>
      <c r="I1812" s="325"/>
      <c r="J1812" s="325"/>
      <c r="K1812" s="318"/>
      <c r="L1812" s="318"/>
      <c r="M1812" s="319" t="str">
        <f>IFERROR(VLOOKUP(H1812,Lijsten!$H$1:$I$100,2,0),"")</f>
        <v/>
      </c>
      <c r="N1812" s="319" t="str">
        <f ca="1">IFERROR(IF(VLOOKUP(F1812,Kostentypen!$A$3:$E$21,3,0)=0,"",IF(OR(F1812="Arbeidskosten",F1812="Vergoeding"),VLOOKUP(G1812,Tb_KostenTypen[],2,0),VLOOKUP(F1812,Kostentypen!$A$3:$E$20,3,0))),"")</f>
        <v/>
      </c>
      <c r="O1812" s="320" t="str" cm="1">
        <f t="array" ref="O1812">_xlfn.IFNA(IF(INDEX(Tb_KostenOptiesDB[],MATCH($F1812,Tb_KostenOptiesDB[KostenOptie],0),IFERROR(MATCH(Methode_Keuze,Tb_KostenOptiesDB[#Headers],0),2))=1,_xlfn.SWITCH($N1812,"Uurtarief",IF(OR(AND(RIGHT($F1812,3)="IKS",VLOOKUP($M1812,DB_Loonkosten,2,0)="Ja"),AND(RIGHT($F1812,3)&lt;&gt;"IKS",VLOOKUP($M1812,DB_Loonkosten,2,0)="Nee")),IFERROR(VLOOKUP($M1812,DB_Loonkosten,24,0),""),0),"Vast tarief",IF(LEFT(F1812,8)="Bijdrage",VLOOKUP($F1812,Tb_KostenTypen[],MATCH(Lijsten!$P$1,Tb_KostenTypen[#Headers],0),0),VLOOKUP($G1812,Lijsten!L:P,MATCH(Lijsten!$P$1,Kop_Tarief_Vast,0),0))),""),"")</f>
        <v/>
      </c>
      <c r="P1812" s="320" t="str" cm="1">
        <f t="array" ref="P1812">_xlfn.IFNA(IF(INDEX(Tb_KostenOptiesDB[],MATCH($F1812,Tb_KostenOptiesDB[KostenOptie],0),IFERROR(MATCH(Methode_Keuze,Tb_KostenOptiesDB[#Headers],0),2))=1,_xlfn.SWITCH($N1812,"Uurtarief",IF(OR(AND(RIGHT($F1812,3)="IKS",VLOOKUP($M1812,DB_Loonkosten,2,0)="Ja"),AND(RIGHT($F1812,3)&lt;&gt;"IKS",VLOOKUP($M1812,DB_Loonkosten,2,0)="Nee")),IFERROR(VLOOKUP($M1812,DB_Loonkosten,25,0),""),0),"Vast tarief",IF(LEFT(F1812,8)="Bijdrage",VLOOKUP($F1812,Tb_KostenTypen[],MATCH(Lijsten!$P$1,Tb_KostenTypen[#Headers],0),0),VLOOKUP($G1812,Lijsten!L:P,MATCH(Lijsten!$P$1,Kop_Tarief_Vast,0),0))),""),"")</f>
        <v/>
      </c>
      <c r="Q1812" s="359"/>
      <c r="R1812" s="359"/>
      <c r="S1812" s="321"/>
      <c r="T1812" s="321"/>
      <c r="U1812" s="373" t="str">
        <f t="shared" si="112"/>
        <v/>
      </c>
      <c r="V1812" s="314" t="str">
        <f t="shared" si="113"/>
        <v/>
      </c>
      <c r="W1812" s="314" t="str" cm="1">
        <f t="array" aca="1" ref="W1812" ca="1">IFERROR(IF(AE1812&lt;&gt;"ja",_xlfn.IFNA(_xlfn.IFS(AND(O1812&lt;&gt;"",F1812&lt;&gt;"",RIGHT($N1812,6)="tarief",F1812="Vergoeding"),SUM(O1812)*FLOOR(SUM(Q1812),0.0001),AND(O1812&lt;&gt;"",F1812&lt;&gt;"",RIGHT($N1812,6)="tarief"),SUM(O1812)*FLOOR(SUM(Q1812),0.01),S1812&gt;0,IF(F1812&lt;&gt;"",FLOOR(SUM(S1812),0.01),"")),""),""),"")</f>
        <v/>
      </c>
      <c r="X1812" s="314" t="str" cm="1">
        <f t="array" aca="1" ref="X1812" ca="1">IFERROR(IF(AE1812&lt;&gt;"ja",_xlfn.IFNA(_xlfn.IFS(AND(P1812&lt;&gt;"",R1812&lt;&gt;"",RIGHT($N1812,6)="tarief",F1812="Vergoeding"),SUM(P1812)*FLOOR(SUM(R1812),0.0001),AND(P1812&lt;&gt;"",R1812&lt;&gt;"",RIGHT($N1812,6)="tarief"),P1812*FLOOR(R1812,0.01),T1812&gt;0,FLOOR(SUM(T1812),0.01)),""),""),"")</f>
        <v/>
      </c>
      <c r="Y1812" s="314" t="str">
        <f t="shared" ca="1" si="114"/>
        <v/>
      </c>
      <c r="Z1812" s="314" t="str" cm="1">
        <f t="array" aca="1" ref="Z1812" ca="1">IFERROR(_xlfn.IFS(OR(F1812="",LEFT(Methode_Keuze,4)="Geen",Methode_Keuze=""),"",AND(W1812&lt;&gt;"",F1812&lt;&gt;"Arbeidskosten"),W1812*VLOOKUP(F1812,Tb_ProjectKosten[],MATCH(Tb_ProjectKosten[[#Headers],[Forfait_Percentage]],Tb_ProjectKosten[#Headers],0),0),AND(F1812="Arbeidskosten",G1812&lt;&gt;""),IFERROR(W1812*VLOOKUP(G1812,Tb_KostenTypen[],3,0)*VLOOKUP(F1812,Tb_ProjectKosten[],MATCH(Tb_ProjectKosten[[#Headers],[Forfait_Percentage]],Tb_ProjectKosten[#Headers],0),0),""),W1812 &lt;=0,0),"")</f>
        <v/>
      </c>
      <c r="AA1812" s="314" t="str" cm="1">
        <f t="array" aca="1" ref="AA1812" ca="1">IFERROR(_xlfn.IFS(OR(F1812="",LEFT(Methode_Keuze,4)="Geen",Methode_Keuze=""),"",AND(X1812&lt;&gt;"",F1812&lt;&gt;"Arbeidskosten"),X1812*VLOOKUP(F1812,Tb_ProjectKosten[],MATCH(Tb_ProjectKosten[[#Headers],[Forfait_Percentage]],Tb_ProjectKosten[#Headers],0),0),AND(F1812="Arbeidskosten",G1812&lt;&gt;""),IFERROR(X1812*VLOOKUP(G1812,Tb_KostenTypen[],3,0)*VLOOKUP(F1812,Tb_ProjectKosten[],MATCH(Tb_ProjectKosten[[#Headers],[Forfait_Percentage]],Tb_ProjectKosten[#Headers],0),0),""),X1812 &lt;=0,0),"")</f>
        <v/>
      </c>
      <c r="AB1812" s="314" t="str">
        <f t="shared" ca="1" si="115"/>
        <v/>
      </c>
      <c r="AC1812" s="322"/>
      <c r="AD1812" s="315"/>
      <c r="AE1812" s="32" t="str" cm="1">
        <f t="array" ref="AE1812">IFERROR(IF(INDEX(SubsidieTabel!$AD$1:$AG$12,MATCH($F1812,SubsidieTabel!$AD$1:$AD$12,0),IFERROR(MATCH(Methode_Keuze,SubsidieTabel!$AD$1:$AG$1,0),2))&lt;&gt;1=TRUE,"ja",""),"")</f>
        <v/>
      </c>
    </row>
    <row r="1813" spans="1:31" x14ac:dyDescent="0.25">
      <c r="A1813" s="316"/>
      <c r="B1813" s="317" t="str">
        <f>IF(A1813&lt;&gt;"",_xlfn.MAXIFS($B$1:B1812,$A$1:A1812,A1813)+1,"")</f>
        <v/>
      </c>
      <c r="C1813" s="296"/>
      <c r="D1813" s="296"/>
      <c r="E1813" s="296"/>
      <c r="F1813" s="296"/>
      <c r="G1813" s="326"/>
      <c r="H1813" s="324"/>
      <c r="I1813" s="325"/>
      <c r="J1813" s="325"/>
      <c r="K1813" s="318"/>
      <c r="L1813" s="318"/>
      <c r="M1813" s="319" t="str">
        <f>IFERROR(VLOOKUP(H1813,Lijsten!$H$1:$I$100,2,0),"")</f>
        <v/>
      </c>
      <c r="N1813" s="319" t="str">
        <f ca="1">IFERROR(IF(VLOOKUP(F1813,Kostentypen!$A$3:$E$21,3,0)=0,"",IF(OR(F1813="Arbeidskosten",F1813="Vergoeding"),VLOOKUP(G1813,Tb_KostenTypen[],2,0),VLOOKUP(F1813,Kostentypen!$A$3:$E$20,3,0))),"")</f>
        <v/>
      </c>
      <c r="O1813" s="320" t="str" cm="1">
        <f t="array" ref="O1813">_xlfn.IFNA(IF(INDEX(Tb_KostenOptiesDB[],MATCH($F1813,Tb_KostenOptiesDB[KostenOptie],0),IFERROR(MATCH(Methode_Keuze,Tb_KostenOptiesDB[#Headers],0),2))=1,_xlfn.SWITCH($N1813,"Uurtarief",IF(OR(AND(RIGHT($F1813,3)="IKS",VLOOKUP($M1813,DB_Loonkosten,2,0)="Ja"),AND(RIGHT($F1813,3)&lt;&gt;"IKS",VLOOKUP($M1813,DB_Loonkosten,2,0)="Nee")),IFERROR(VLOOKUP($M1813,DB_Loonkosten,24,0),""),0),"Vast tarief",IF(LEFT(F1813,8)="Bijdrage",VLOOKUP($F1813,Tb_KostenTypen[],MATCH(Lijsten!$P$1,Tb_KostenTypen[#Headers],0),0),VLOOKUP($G1813,Lijsten!L:P,MATCH(Lijsten!$P$1,Kop_Tarief_Vast,0),0))),""),"")</f>
        <v/>
      </c>
      <c r="P1813" s="320" t="str" cm="1">
        <f t="array" ref="P1813">_xlfn.IFNA(IF(INDEX(Tb_KostenOptiesDB[],MATCH($F1813,Tb_KostenOptiesDB[KostenOptie],0),IFERROR(MATCH(Methode_Keuze,Tb_KostenOptiesDB[#Headers],0),2))=1,_xlfn.SWITCH($N1813,"Uurtarief",IF(OR(AND(RIGHT($F1813,3)="IKS",VLOOKUP($M1813,DB_Loonkosten,2,0)="Ja"),AND(RIGHT($F1813,3)&lt;&gt;"IKS",VLOOKUP($M1813,DB_Loonkosten,2,0)="Nee")),IFERROR(VLOOKUP($M1813,DB_Loonkosten,25,0),""),0),"Vast tarief",IF(LEFT(F1813,8)="Bijdrage",VLOOKUP($F1813,Tb_KostenTypen[],MATCH(Lijsten!$P$1,Tb_KostenTypen[#Headers],0),0),VLOOKUP($G1813,Lijsten!L:P,MATCH(Lijsten!$P$1,Kop_Tarief_Vast,0),0))),""),"")</f>
        <v/>
      </c>
      <c r="Q1813" s="359"/>
      <c r="R1813" s="359"/>
      <c r="S1813" s="321"/>
      <c r="T1813" s="321"/>
      <c r="U1813" s="373" t="str">
        <f t="shared" si="112"/>
        <v/>
      </c>
      <c r="V1813" s="314" t="str">
        <f t="shared" si="113"/>
        <v/>
      </c>
      <c r="W1813" s="314" t="str" cm="1">
        <f t="array" aca="1" ref="W1813" ca="1">IFERROR(IF(AE1813&lt;&gt;"ja",_xlfn.IFNA(_xlfn.IFS(AND(O1813&lt;&gt;"",F1813&lt;&gt;"",RIGHT($N1813,6)="tarief",F1813="Vergoeding"),SUM(O1813)*FLOOR(SUM(Q1813),0.0001),AND(O1813&lt;&gt;"",F1813&lt;&gt;"",RIGHT($N1813,6)="tarief"),SUM(O1813)*FLOOR(SUM(Q1813),0.01),S1813&gt;0,IF(F1813&lt;&gt;"",FLOOR(SUM(S1813),0.01),"")),""),""),"")</f>
        <v/>
      </c>
      <c r="X1813" s="314" t="str" cm="1">
        <f t="array" aca="1" ref="X1813" ca="1">IFERROR(IF(AE1813&lt;&gt;"ja",_xlfn.IFNA(_xlfn.IFS(AND(P1813&lt;&gt;"",R1813&lt;&gt;"",RIGHT($N1813,6)="tarief",F1813="Vergoeding"),SUM(P1813)*FLOOR(SUM(R1813),0.0001),AND(P1813&lt;&gt;"",R1813&lt;&gt;"",RIGHT($N1813,6)="tarief"),P1813*FLOOR(R1813,0.01),T1813&gt;0,FLOOR(SUM(T1813),0.01)),""),""),"")</f>
        <v/>
      </c>
      <c r="Y1813" s="314" t="str">
        <f t="shared" ca="1" si="114"/>
        <v/>
      </c>
      <c r="Z1813" s="314" t="str" cm="1">
        <f t="array" aca="1" ref="Z1813" ca="1">IFERROR(_xlfn.IFS(OR(F1813="",LEFT(Methode_Keuze,4)="Geen",Methode_Keuze=""),"",AND(W1813&lt;&gt;"",F1813&lt;&gt;"Arbeidskosten"),W1813*VLOOKUP(F1813,Tb_ProjectKosten[],MATCH(Tb_ProjectKosten[[#Headers],[Forfait_Percentage]],Tb_ProjectKosten[#Headers],0),0),AND(F1813="Arbeidskosten",G1813&lt;&gt;""),IFERROR(W1813*VLOOKUP(G1813,Tb_KostenTypen[],3,0)*VLOOKUP(F1813,Tb_ProjectKosten[],MATCH(Tb_ProjectKosten[[#Headers],[Forfait_Percentage]],Tb_ProjectKosten[#Headers],0),0),""),W1813 &lt;=0,0),"")</f>
        <v/>
      </c>
      <c r="AA1813" s="314" t="str" cm="1">
        <f t="array" aca="1" ref="AA1813" ca="1">IFERROR(_xlfn.IFS(OR(F1813="",LEFT(Methode_Keuze,4)="Geen",Methode_Keuze=""),"",AND(X1813&lt;&gt;"",F1813&lt;&gt;"Arbeidskosten"),X1813*VLOOKUP(F1813,Tb_ProjectKosten[],MATCH(Tb_ProjectKosten[[#Headers],[Forfait_Percentage]],Tb_ProjectKosten[#Headers],0),0),AND(F1813="Arbeidskosten",G1813&lt;&gt;""),IFERROR(X1813*VLOOKUP(G1813,Tb_KostenTypen[],3,0)*VLOOKUP(F1813,Tb_ProjectKosten[],MATCH(Tb_ProjectKosten[[#Headers],[Forfait_Percentage]],Tb_ProjectKosten[#Headers],0),0),""),X1813 &lt;=0,0),"")</f>
        <v/>
      </c>
      <c r="AB1813" s="314" t="str">
        <f t="shared" ca="1" si="115"/>
        <v/>
      </c>
      <c r="AC1813" s="322"/>
      <c r="AD1813" s="315"/>
      <c r="AE1813" s="32" t="str" cm="1">
        <f t="array" ref="AE1813">IFERROR(IF(INDEX(SubsidieTabel!$AD$1:$AG$12,MATCH($F1813,SubsidieTabel!$AD$1:$AD$12,0),IFERROR(MATCH(Methode_Keuze,SubsidieTabel!$AD$1:$AG$1,0),2))&lt;&gt;1=TRUE,"ja",""),"")</f>
        <v/>
      </c>
    </row>
    <row r="1814" spans="1:31" x14ac:dyDescent="0.25">
      <c r="A1814" s="316"/>
      <c r="B1814" s="317" t="str">
        <f>IF(A1814&lt;&gt;"",_xlfn.MAXIFS($B$1:B1813,$A$1:A1813,A1814)+1,"")</f>
        <v/>
      </c>
      <c r="C1814" s="296"/>
      <c r="D1814" s="296"/>
      <c r="E1814" s="296"/>
      <c r="F1814" s="296"/>
      <c r="G1814" s="326"/>
      <c r="H1814" s="324"/>
      <c r="I1814" s="325"/>
      <c r="J1814" s="325"/>
      <c r="K1814" s="318"/>
      <c r="L1814" s="318"/>
      <c r="M1814" s="319" t="str">
        <f>IFERROR(VLOOKUP(H1814,Lijsten!$H$1:$I$100,2,0),"")</f>
        <v/>
      </c>
      <c r="N1814" s="319" t="str">
        <f ca="1">IFERROR(IF(VLOOKUP(F1814,Kostentypen!$A$3:$E$21,3,0)=0,"",IF(OR(F1814="Arbeidskosten",F1814="Vergoeding"),VLOOKUP(G1814,Tb_KostenTypen[],2,0),VLOOKUP(F1814,Kostentypen!$A$3:$E$20,3,0))),"")</f>
        <v/>
      </c>
      <c r="O1814" s="320" t="str" cm="1">
        <f t="array" ref="O1814">_xlfn.IFNA(IF(INDEX(Tb_KostenOptiesDB[],MATCH($F1814,Tb_KostenOptiesDB[KostenOptie],0),IFERROR(MATCH(Methode_Keuze,Tb_KostenOptiesDB[#Headers],0),2))=1,_xlfn.SWITCH($N1814,"Uurtarief",IF(OR(AND(RIGHT($F1814,3)="IKS",VLOOKUP($M1814,DB_Loonkosten,2,0)="Ja"),AND(RIGHT($F1814,3)&lt;&gt;"IKS",VLOOKUP($M1814,DB_Loonkosten,2,0)="Nee")),IFERROR(VLOOKUP($M1814,DB_Loonkosten,24,0),""),0),"Vast tarief",IF(LEFT(F1814,8)="Bijdrage",VLOOKUP($F1814,Tb_KostenTypen[],MATCH(Lijsten!$P$1,Tb_KostenTypen[#Headers],0),0),VLOOKUP($G1814,Lijsten!L:P,MATCH(Lijsten!$P$1,Kop_Tarief_Vast,0),0))),""),"")</f>
        <v/>
      </c>
      <c r="P1814" s="320" t="str" cm="1">
        <f t="array" ref="P1814">_xlfn.IFNA(IF(INDEX(Tb_KostenOptiesDB[],MATCH($F1814,Tb_KostenOptiesDB[KostenOptie],0),IFERROR(MATCH(Methode_Keuze,Tb_KostenOptiesDB[#Headers],0),2))=1,_xlfn.SWITCH($N1814,"Uurtarief",IF(OR(AND(RIGHT($F1814,3)="IKS",VLOOKUP($M1814,DB_Loonkosten,2,0)="Ja"),AND(RIGHT($F1814,3)&lt;&gt;"IKS",VLOOKUP($M1814,DB_Loonkosten,2,0)="Nee")),IFERROR(VLOOKUP($M1814,DB_Loonkosten,25,0),""),0),"Vast tarief",IF(LEFT(F1814,8)="Bijdrage",VLOOKUP($F1814,Tb_KostenTypen[],MATCH(Lijsten!$P$1,Tb_KostenTypen[#Headers],0),0),VLOOKUP($G1814,Lijsten!L:P,MATCH(Lijsten!$P$1,Kop_Tarief_Vast,0),0))),""),"")</f>
        <v/>
      </c>
      <c r="Q1814" s="359"/>
      <c r="R1814" s="359"/>
      <c r="S1814" s="321"/>
      <c r="T1814" s="321"/>
      <c r="U1814" s="373" t="str">
        <f t="shared" si="112"/>
        <v/>
      </c>
      <c r="V1814" s="314" t="str">
        <f t="shared" si="113"/>
        <v/>
      </c>
      <c r="W1814" s="314" t="str" cm="1">
        <f t="array" aca="1" ref="W1814" ca="1">IFERROR(IF(AE1814&lt;&gt;"ja",_xlfn.IFNA(_xlfn.IFS(AND(O1814&lt;&gt;"",F1814&lt;&gt;"",RIGHT($N1814,6)="tarief",F1814="Vergoeding"),SUM(O1814)*FLOOR(SUM(Q1814),0.0001),AND(O1814&lt;&gt;"",F1814&lt;&gt;"",RIGHT($N1814,6)="tarief"),SUM(O1814)*FLOOR(SUM(Q1814),0.01),S1814&gt;0,IF(F1814&lt;&gt;"",FLOOR(SUM(S1814),0.01),"")),""),""),"")</f>
        <v/>
      </c>
      <c r="X1814" s="314" t="str" cm="1">
        <f t="array" aca="1" ref="X1814" ca="1">IFERROR(IF(AE1814&lt;&gt;"ja",_xlfn.IFNA(_xlfn.IFS(AND(P1814&lt;&gt;"",R1814&lt;&gt;"",RIGHT($N1814,6)="tarief",F1814="Vergoeding"),SUM(P1814)*FLOOR(SUM(R1814),0.0001),AND(P1814&lt;&gt;"",R1814&lt;&gt;"",RIGHT($N1814,6)="tarief"),P1814*FLOOR(R1814,0.01),T1814&gt;0,FLOOR(SUM(T1814),0.01)),""),""),"")</f>
        <v/>
      </c>
      <c r="Y1814" s="314" t="str">
        <f t="shared" ca="1" si="114"/>
        <v/>
      </c>
      <c r="Z1814" s="314" t="str" cm="1">
        <f t="array" aca="1" ref="Z1814" ca="1">IFERROR(_xlfn.IFS(OR(F1814="",LEFT(Methode_Keuze,4)="Geen",Methode_Keuze=""),"",AND(W1814&lt;&gt;"",F1814&lt;&gt;"Arbeidskosten"),W1814*VLOOKUP(F1814,Tb_ProjectKosten[],MATCH(Tb_ProjectKosten[[#Headers],[Forfait_Percentage]],Tb_ProjectKosten[#Headers],0),0),AND(F1814="Arbeidskosten",G1814&lt;&gt;""),IFERROR(W1814*VLOOKUP(G1814,Tb_KostenTypen[],3,0)*VLOOKUP(F1814,Tb_ProjectKosten[],MATCH(Tb_ProjectKosten[[#Headers],[Forfait_Percentage]],Tb_ProjectKosten[#Headers],0),0),""),W1814 &lt;=0,0),"")</f>
        <v/>
      </c>
      <c r="AA1814" s="314" t="str" cm="1">
        <f t="array" aca="1" ref="AA1814" ca="1">IFERROR(_xlfn.IFS(OR(F1814="",LEFT(Methode_Keuze,4)="Geen",Methode_Keuze=""),"",AND(X1814&lt;&gt;"",F1814&lt;&gt;"Arbeidskosten"),X1814*VLOOKUP(F1814,Tb_ProjectKosten[],MATCH(Tb_ProjectKosten[[#Headers],[Forfait_Percentage]],Tb_ProjectKosten[#Headers],0),0),AND(F1814="Arbeidskosten",G1814&lt;&gt;""),IFERROR(X1814*VLOOKUP(G1814,Tb_KostenTypen[],3,0)*VLOOKUP(F1814,Tb_ProjectKosten[],MATCH(Tb_ProjectKosten[[#Headers],[Forfait_Percentage]],Tb_ProjectKosten[#Headers],0),0),""),X1814 &lt;=0,0),"")</f>
        <v/>
      </c>
      <c r="AB1814" s="314" t="str">
        <f t="shared" ca="1" si="115"/>
        <v/>
      </c>
      <c r="AC1814" s="322"/>
      <c r="AD1814" s="315"/>
      <c r="AE1814" s="32" t="str" cm="1">
        <f t="array" ref="AE1814">IFERROR(IF(INDEX(SubsidieTabel!$AD$1:$AG$12,MATCH($F1814,SubsidieTabel!$AD$1:$AD$12,0),IFERROR(MATCH(Methode_Keuze,SubsidieTabel!$AD$1:$AG$1,0),2))&lt;&gt;1=TRUE,"ja",""),"")</f>
        <v/>
      </c>
    </row>
    <row r="1815" spans="1:31" x14ac:dyDescent="0.25">
      <c r="A1815" s="316"/>
      <c r="B1815" s="317" t="str">
        <f>IF(A1815&lt;&gt;"",_xlfn.MAXIFS($B$1:B1814,$A$1:A1814,A1815)+1,"")</f>
        <v/>
      </c>
      <c r="C1815" s="296"/>
      <c r="D1815" s="296"/>
      <c r="E1815" s="296"/>
      <c r="F1815" s="296"/>
      <c r="G1815" s="326"/>
      <c r="H1815" s="324"/>
      <c r="I1815" s="325"/>
      <c r="J1815" s="325"/>
      <c r="K1815" s="318"/>
      <c r="L1815" s="318"/>
      <c r="M1815" s="319" t="str">
        <f>IFERROR(VLOOKUP(H1815,Lijsten!$H$1:$I$100,2,0),"")</f>
        <v/>
      </c>
      <c r="N1815" s="319" t="str">
        <f ca="1">IFERROR(IF(VLOOKUP(F1815,Kostentypen!$A$3:$E$21,3,0)=0,"",IF(OR(F1815="Arbeidskosten",F1815="Vergoeding"),VLOOKUP(G1815,Tb_KostenTypen[],2,0),VLOOKUP(F1815,Kostentypen!$A$3:$E$20,3,0))),"")</f>
        <v/>
      </c>
      <c r="O1815" s="320" t="str" cm="1">
        <f t="array" ref="O1815">_xlfn.IFNA(IF(INDEX(Tb_KostenOptiesDB[],MATCH($F1815,Tb_KostenOptiesDB[KostenOptie],0),IFERROR(MATCH(Methode_Keuze,Tb_KostenOptiesDB[#Headers],0),2))=1,_xlfn.SWITCH($N1815,"Uurtarief",IF(OR(AND(RIGHT($F1815,3)="IKS",VLOOKUP($M1815,DB_Loonkosten,2,0)="Ja"),AND(RIGHT($F1815,3)&lt;&gt;"IKS",VLOOKUP($M1815,DB_Loonkosten,2,0)="Nee")),IFERROR(VLOOKUP($M1815,DB_Loonkosten,24,0),""),0),"Vast tarief",IF(LEFT(F1815,8)="Bijdrage",VLOOKUP($F1815,Tb_KostenTypen[],MATCH(Lijsten!$P$1,Tb_KostenTypen[#Headers],0),0),VLOOKUP($G1815,Lijsten!L:P,MATCH(Lijsten!$P$1,Kop_Tarief_Vast,0),0))),""),"")</f>
        <v/>
      </c>
      <c r="P1815" s="320" t="str" cm="1">
        <f t="array" ref="P1815">_xlfn.IFNA(IF(INDEX(Tb_KostenOptiesDB[],MATCH($F1815,Tb_KostenOptiesDB[KostenOptie],0),IFERROR(MATCH(Methode_Keuze,Tb_KostenOptiesDB[#Headers],0),2))=1,_xlfn.SWITCH($N1815,"Uurtarief",IF(OR(AND(RIGHT($F1815,3)="IKS",VLOOKUP($M1815,DB_Loonkosten,2,0)="Ja"),AND(RIGHT($F1815,3)&lt;&gt;"IKS",VLOOKUP($M1815,DB_Loonkosten,2,0)="Nee")),IFERROR(VLOOKUP($M1815,DB_Loonkosten,25,0),""),0),"Vast tarief",IF(LEFT(F1815,8)="Bijdrage",VLOOKUP($F1815,Tb_KostenTypen[],MATCH(Lijsten!$P$1,Tb_KostenTypen[#Headers],0),0),VLOOKUP($G1815,Lijsten!L:P,MATCH(Lijsten!$P$1,Kop_Tarief_Vast,0),0))),""),"")</f>
        <v/>
      </c>
      <c r="Q1815" s="359"/>
      <c r="R1815" s="359"/>
      <c r="S1815" s="321"/>
      <c r="T1815" s="321"/>
      <c r="U1815" s="373" t="str">
        <f t="shared" si="112"/>
        <v/>
      </c>
      <c r="V1815" s="314" t="str">
        <f t="shared" si="113"/>
        <v/>
      </c>
      <c r="W1815" s="314" t="str" cm="1">
        <f t="array" aca="1" ref="W1815" ca="1">IFERROR(IF(AE1815&lt;&gt;"ja",_xlfn.IFNA(_xlfn.IFS(AND(O1815&lt;&gt;"",F1815&lt;&gt;"",RIGHT($N1815,6)="tarief",F1815="Vergoeding"),SUM(O1815)*FLOOR(SUM(Q1815),0.0001),AND(O1815&lt;&gt;"",F1815&lt;&gt;"",RIGHT($N1815,6)="tarief"),SUM(O1815)*FLOOR(SUM(Q1815),0.01),S1815&gt;0,IF(F1815&lt;&gt;"",FLOOR(SUM(S1815),0.01),"")),""),""),"")</f>
        <v/>
      </c>
      <c r="X1815" s="314" t="str" cm="1">
        <f t="array" aca="1" ref="X1815" ca="1">IFERROR(IF(AE1815&lt;&gt;"ja",_xlfn.IFNA(_xlfn.IFS(AND(P1815&lt;&gt;"",R1815&lt;&gt;"",RIGHT($N1815,6)="tarief",F1815="Vergoeding"),SUM(P1815)*FLOOR(SUM(R1815),0.0001),AND(P1815&lt;&gt;"",R1815&lt;&gt;"",RIGHT($N1815,6)="tarief"),P1815*FLOOR(R1815,0.01),T1815&gt;0,FLOOR(SUM(T1815),0.01)),""),""),"")</f>
        <v/>
      </c>
      <c r="Y1815" s="314" t="str">
        <f t="shared" ca="1" si="114"/>
        <v/>
      </c>
      <c r="Z1815" s="314" t="str" cm="1">
        <f t="array" aca="1" ref="Z1815" ca="1">IFERROR(_xlfn.IFS(OR(F1815="",LEFT(Methode_Keuze,4)="Geen",Methode_Keuze=""),"",AND(W1815&lt;&gt;"",F1815&lt;&gt;"Arbeidskosten"),W1815*VLOOKUP(F1815,Tb_ProjectKosten[],MATCH(Tb_ProjectKosten[[#Headers],[Forfait_Percentage]],Tb_ProjectKosten[#Headers],0),0),AND(F1815="Arbeidskosten",G1815&lt;&gt;""),IFERROR(W1815*VLOOKUP(G1815,Tb_KostenTypen[],3,0)*VLOOKUP(F1815,Tb_ProjectKosten[],MATCH(Tb_ProjectKosten[[#Headers],[Forfait_Percentage]],Tb_ProjectKosten[#Headers],0),0),""),W1815 &lt;=0,0),"")</f>
        <v/>
      </c>
      <c r="AA1815" s="314" t="str" cm="1">
        <f t="array" aca="1" ref="AA1815" ca="1">IFERROR(_xlfn.IFS(OR(F1815="",LEFT(Methode_Keuze,4)="Geen",Methode_Keuze=""),"",AND(X1815&lt;&gt;"",F1815&lt;&gt;"Arbeidskosten"),X1815*VLOOKUP(F1815,Tb_ProjectKosten[],MATCH(Tb_ProjectKosten[[#Headers],[Forfait_Percentage]],Tb_ProjectKosten[#Headers],0),0),AND(F1815="Arbeidskosten",G1815&lt;&gt;""),IFERROR(X1815*VLOOKUP(G1815,Tb_KostenTypen[],3,0)*VLOOKUP(F1815,Tb_ProjectKosten[],MATCH(Tb_ProjectKosten[[#Headers],[Forfait_Percentage]],Tb_ProjectKosten[#Headers],0),0),""),X1815 &lt;=0,0),"")</f>
        <v/>
      </c>
      <c r="AB1815" s="314" t="str">
        <f t="shared" ca="1" si="115"/>
        <v/>
      </c>
      <c r="AC1815" s="322"/>
      <c r="AD1815" s="315"/>
      <c r="AE1815" s="32" t="str" cm="1">
        <f t="array" ref="AE1815">IFERROR(IF(INDEX(SubsidieTabel!$AD$1:$AG$12,MATCH($F1815,SubsidieTabel!$AD$1:$AD$12,0),IFERROR(MATCH(Methode_Keuze,SubsidieTabel!$AD$1:$AG$1,0),2))&lt;&gt;1=TRUE,"ja",""),"")</f>
        <v/>
      </c>
    </row>
    <row r="1816" spans="1:31" x14ac:dyDescent="0.25">
      <c r="A1816" s="316"/>
      <c r="B1816" s="317" t="str">
        <f>IF(A1816&lt;&gt;"",_xlfn.MAXIFS($B$1:B1815,$A$1:A1815,A1816)+1,"")</f>
        <v/>
      </c>
      <c r="C1816" s="296"/>
      <c r="D1816" s="296"/>
      <c r="E1816" s="296"/>
      <c r="F1816" s="296"/>
      <c r="G1816" s="326"/>
      <c r="H1816" s="324"/>
      <c r="I1816" s="325"/>
      <c r="J1816" s="325"/>
      <c r="K1816" s="318"/>
      <c r="L1816" s="318"/>
      <c r="M1816" s="319" t="str">
        <f>IFERROR(VLOOKUP(H1816,Lijsten!$H$1:$I$100,2,0),"")</f>
        <v/>
      </c>
      <c r="N1816" s="319" t="str">
        <f ca="1">IFERROR(IF(VLOOKUP(F1816,Kostentypen!$A$3:$E$21,3,0)=0,"",IF(OR(F1816="Arbeidskosten",F1816="Vergoeding"),VLOOKUP(G1816,Tb_KostenTypen[],2,0),VLOOKUP(F1816,Kostentypen!$A$3:$E$20,3,0))),"")</f>
        <v/>
      </c>
      <c r="O1816" s="320" t="str" cm="1">
        <f t="array" ref="O1816">_xlfn.IFNA(IF(INDEX(Tb_KostenOptiesDB[],MATCH($F1816,Tb_KostenOptiesDB[KostenOptie],0),IFERROR(MATCH(Methode_Keuze,Tb_KostenOptiesDB[#Headers],0),2))=1,_xlfn.SWITCH($N1816,"Uurtarief",IF(OR(AND(RIGHT($F1816,3)="IKS",VLOOKUP($M1816,DB_Loonkosten,2,0)="Ja"),AND(RIGHT($F1816,3)&lt;&gt;"IKS",VLOOKUP($M1816,DB_Loonkosten,2,0)="Nee")),IFERROR(VLOOKUP($M1816,DB_Loonkosten,24,0),""),0),"Vast tarief",IF(LEFT(F1816,8)="Bijdrage",VLOOKUP($F1816,Tb_KostenTypen[],MATCH(Lijsten!$P$1,Tb_KostenTypen[#Headers],0),0),VLOOKUP($G1816,Lijsten!L:P,MATCH(Lijsten!$P$1,Kop_Tarief_Vast,0),0))),""),"")</f>
        <v/>
      </c>
      <c r="P1816" s="320" t="str" cm="1">
        <f t="array" ref="P1816">_xlfn.IFNA(IF(INDEX(Tb_KostenOptiesDB[],MATCH($F1816,Tb_KostenOptiesDB[KostenOptie],0),IFERROR(MATCH(Methode_Keuze,Tb_KostenOptiesDB[#Headers],0),2))=1,_xlfn.SWITCH($N1816,"Uurtarief",IF(OR(AND(RIGHT($F1816,3)="IKS",VLOOKUP($M1816,DB_Loonkosten,2,0)="Ja"),AND(RIGHT($F1816,3)&lt;&gt;"IKS",VLOOKUP($M1816,DB_Loonkosten,2,0)="Nee")),IFERROR(VLOOKUP($M1816,DB_Loonkosten,25,0),""),0),"Vast tarief",IF(LEFT(F1816,8)="Bijdrage",VLOOKUP($F1816,Tb_KostenTypen[],MATCH(Lijsten!$P$1,Tb_KostenTypen[#Headers],0),0),VLOOKUP($G1816,Lijsten!L:P,MATCH(Lijsten!$P$1,Kop_Tarief_Vast,0),0))),""),"")</f>
        <v/>
      </c>
      <c r="Q1816" s="359"/>
      <c r="R1816" s="359"/>
      <c r="S1816" s="321"/>
      <c r="T1816" s="321"/>
      <c r="U1816" s="373" t="str">
        <f t="shared" si="112"/>
        <v/>
      </c>
      <c r="V1816" s="314" t="str">
        <f t="shared" si="113"/>
        <v/>
      </c>
      <c r="W1816" s="314" t="str" cm="1">
        <f t="array" aca="1" ref="W1816" ca="1">IFERROR(IF(AE1816&lt;&gt;"ja",_xlfn.IFNA(_xlfn.IFS(AND(O1816&lt;&gt;"",F1816&lt;&gt;"",RIGHT($N1816,6)="tarief",F1816="Vergoeding"),SUM(O1816)*FLOOR(SUM(Q1816),0.0001),AND(O1816&lt;&gt;"",F1816&lt;&gt;"",RIGHT($N1816,6)="tarief"),SUM(O1816)*FLOOR(SUM(Q1816),0.01),S1816&gt;0,IF(F1816&lt;&gt;"",FLOOR(SUM(S1816),0.01),"")),""),""),"")</f>
        <v/>
      </c>
      <c r="X1816" s="314" t="str" cm="1">
        <f t="array" aca="1" ref="X1816" ca="1">IFERROR(IF(AE1816&lt;&gt;"ja",_xlfn.IFNA(_xlfn.IFS(AND(P1816&lt;&gt;"",R1816&lt;&gt;"",RIGHT($N1816,6)="tarief",F1816="Vergoeding"),SUM(P1816)*FLOOR(SUM(R1816),0.0001),AND(P1816&lt;&gt;"",R1816&lt;&gt;"",RIGHT($N1816,6)="tarief"),P1816*FLOOR(R1816,0.01),T1816&gt;0,FLOOR(SUM(T1816),0.01)),""),""),"")</f>
        <v/>
      </c>
      <c r="Y1816" s="314" t="str">
        <f t="shared" ca="1" si="114"/>
        <v/>
      </c>
      <c r="Z1816" s="314" t="str" cm="1">
        <f t="array" aca="1" ref="Z1816" ca="1">IFERROR(_xlfn.IFS(OR(F1816="",LEFT(Methode_Keuze,4)="Geen",Methode_Keuze=""),"",AND(W1816&lt;&gt;"",F1816&lt;&gt;"Arbeidskosten"),W1816*VLOOKUP(F1816,Tb_ProjectKosten[],MATCH(Tb_ProjectKosten[[#Headers],[Forfait_Percentage]],Tb_ProjectKosten[#Headers],0),0),AND(F1816="Arbeidskosten",G1816&lt;&gt;""),IFERROR(W1816*VLOOKUP(G1816,Tb_KostenTypen[],3,0)*VLOOKUP(F1816,Tb_ProjectKosten[],MATCH(Tb_ProjectKosten[[#Headers],[Forfait_Percentage]],Tb_ProjectKosten[#Headers],0),0),""),W1816 &lt;=0,0),"")</f>
        <v/>
      </c>
      <c r="AA1816" s="314" t="str" cm="1">
        <f t="array" aca="1" ref="AA1816" ca="1">IFERROR(_xlfn.IFS(OR(F1816="",LEFT(Methode_Keuze,4)="Geen",Methode_Keuze=""),"",AND(X1816&lt;&gt;"",F1816&lt;&gt;"Arbeidskosten"),X1816*VLOOKUP(F1816,Tb_ProjectKosten[],MATCH(Tb_ProjectKosten[[#Headers],[Forfait_Percentage]],Tb_ProjectKosten[#Headers],0),0),AND(F1816="Arbeidskosten",G1816&lt;&gt;""),IFERROR(X1816*VLOOKUP(G1816,Tb_KostenTypen[],3,0)*VLOOKUP(F1816,Tb_ProjectKosten[],MATCH(Tb_ProjectKosten[[#Headers],[Forfait_Percentage]],Tb_ProjectKosten[#Headers],0),0),""),X1816 &lt;=0,0),"")</f>
        <v/>
      </c>
      <c r="AB1816" s="314" t="str">
        <f t="shared" ca="1" si="115"/>
        <v/>
      </c>
      <c r="AC1816" s="322"/>
      <c r="AD1816" s="315"/>
      <c r="AE1816" s="32" t="str" cm="1">
        <f t="array" ref="AE1816">IFERROR(IF(INDEX(SubsidieTabel!$AD$1:$AG$12,MATCH($F1816,SubsidieTabel!$AD$1:$AD$12,0),IFERROR(MATCH(Methode_Keuze,SubsidieTabel!$AD$1:$AG$1,0),2))&lt;&gt;1=TRUE,"ja",""),"")</f>
        <v/>
      </c>
    </row>
    <row r="1817" spans="1:31" x14ac:dyDescent="0.25">
      <c r="A1817" s="316"/>
      <c r="B1817" s="317" t="str">
        <f>IF(A1817&lt;&gt;"",_xlfn.MAXIFS($B$1:B1816,$A$1:A1816,A1817)+1,"")</f>
        <v/>
      </c>
      <c r="C1817" s="296"/>
      <c r="D1817" s="296"/>
      <c r="E1817" s="296"/>
      <c r="F1817" s="296"/>
      <c r="G1817" s="326"/>
      <c r="H1817" s="324"/>
      <c r="I1817" s="325"/>
      <c r="J1817" s="325"/>
      <c r="K1817" s="318"/>
      <c r="L1817" s="318"/>
      <c r="M1817" s="319" t="str">
        <f>IFERROR(VLOOKUP(H1817,Lijsten!$H$1:$I$100,2,0),"")</f>
        <v/>
      </c>
      <c r="N1817" s="319" t="str">
        <f ca="1">IFERROR(IF(VLOOKUP(F1817,Kostentypen!$A$3:$E$21,3,0)=0,"",IF(OR(F1817="Arbeidskosten",F1817="Vergoeding"),VLOOKUP(G1817,Tb_KostenTypen[],2,0),VLOOKUP(F1817,Kostentypen!$A$3:$E$20,3,0))),"")</f>
        <v/>
      </c>
      <c r="O1817" s="320" t="str" cm="1">
        <f t="array" ref="O1817">_xlfn.IFNA(IF(INDEX(Tb_KostenOptiesDB[],MATCH($F1817,Tb_KostenOptiesDB[KostenOptie],0),IFERROR(MATCH(Methode_Keuze,Tb_KostenOptiesDB[#Headers],0),2))=1,_xlfn.SWITCH($N1817,"Uurtarief",IF(OR(AND(RIGHT($F1817,3)="IKS",VLOOKUP($M1817,DB_Loonkosten,2,0)="Ja"),AND(RIGHT($F1817,3)&lt;&gt;"IKS",VLOOKUP($M1817,DB_Loonkosten,2,0)="Nee")),IFERROR(VLOOKUP($M1817,DB_Loonkosten,24,0),""),0),"Vast tarief",IF(LEFT(F1817,8)="Bijdrage",VLOOKUP($F1817,Tb_KostenTypen[],MATCH(Lijsten!$P$1,Tb_KostenTypen[#Headers],0),0),VLOOKUP($G1817,Lijsten!L:P,MATCH(Lijsten!$P$1,Kop_Tarief_Vast,0),0))),""),"")</f>
        <v/>
      </c>
      <c r="P1817" s="320" t="str" cm="1">
        <f t="array" ref="P1817">_xlfn.IFNA(IF(INDEX(Tb_KostenOptiesDB[],MATCH($F1817,Tb_KostenOptiesDB[KostenOptie],0),IFERROR(MATCH(Methode_Keuze,Tb_KostenOptiesDB[#Headers],0),2))=1,_xlfn.SWITCH($N1817,"Uurtarief",IF(OR(AND(RIGHT($F1817,3)="IKS",VLOOKUP($M1817,DB_Loonkosten,2,0)="Ja"),AND(RIGHT($F1817,3)&lt;&gt;"IKS",VLOOKUP($M1817,DB_Loonkosten,2,0)="Nee")),IFERROR(VLOOKUP($M1817,DB_Loonkosten,25,0),""),0),"Vast tarief",IF(LEFT(F1817,8)="Bijdrage",VLOOKUP($F1817,Tb_KostenTypen[],MATCH(Lijsten!$P$1,Tb_KostenTypen[#Headers],0),0),VLOOKUP($G1817,Lijsten!L:P,MATCH(Lijsten!$P$1,Kop_Tarief_Vast,0),0))),""),"")</f>
        <v/>
      </c>
      <c r="Q1817" s="359"/>
      <c r="R1817" s="359"/>
      <c r="S1817" s="321"/>
      <c r="T1817" s="321"/>
      <c r="U1817" s="373" t="str">
        <f t="shared" si="112"/>
        <v/>
      </c>
      <c r="V1817" s="314" t="str">
        <f t="shared" si="113"/>
        <v/>
      </c>
      <c r="W1817" s="314" t="str" cm="1">
        <f t="array" aca="1" ref="W1817" ca="1">IFERROR(IF(AE1817&lt;&gt;"ja",_xlfn.IFNA(_xlfn.IFS(AND(O1817&lt;&gt;"",F1817&lt;&gt;"",RIGHT($N1817,6)="tarief",F1817="Vergoeding"),SUM(O1817)*FLOOR(SUM(Q1817),0.0001),AND(O1817&lt;&gt;"",F1817&lt;&gt;"",RIGHT($N1817,6)="tarief"),SUM(O1817)*FLOOR(SUM(Q1817),0.01),S1817&gt;0,IF(F1817&lt;&gt;"",FLOOR(SUM(S1817),0.01),"")),""),""),"")</f>
        <v/>
      </c>
      <c r="X1817" s="314" t="str" cm="1">
        <f t="array" aca="1" ref="X1817" ca="1">IFERROR(IF(AE1817&lt;&gt;"ja",_xlfn.IFNA(_xlfn.IFS(AND(P1817&lt;&gt;"",R1817&lt;&gt;"",RIGHT($N1817,6)="tarief",F1817="Vergoeding"),SUM(P1817)*FLOOR(SUM(R1817),0.0001),AND(P1817&lt;&gt;"",R1817&lt;&gt;"",RIGHT($N1817,6)="tarief"),P1817*FLOOR(R1817,0.01),T1817&gt;0,FLOOR(SUM(T1817),0.01)),""),""),"")</f>
        <v/>
      </c>
      <c r="Y1817" s="314" t="str">
        <f t="shared" ca="1" si="114"/>
        <v/>
      </c>
      <c r="Z1817" s="314" t="str" cm="1">
        <f t="array" aca="1" ref="Z1817" ca="1">IFERROR(_xlfn.IFS(OR(F1817="",LEFT(Methode_Keuze,4)="Geen",Methode_Keuze=""),"",AND(W1817&lt;&gt;"",F1817&lt;&gt;"Arbeidskosten"),W1817*VLOOKUP(F1817,Tb_ProjectKosten[],MATCH(Tb_ProjectKosten[[#Headers],[Forfait_Percentage]],Tb_ProjectKosten[#Headers],0),0),AND(F1817="Arbeidskosten",G1817&lt;&gt;""),IFERROR(W1817*VLOOKUP(G1817,Tb_KostenTypen[],3,0)*VLOOKUP(F1817,Tb_ProjectKosten[],MATCH(Tb_ProjectKosten[[#Headers],[Forfait_Percentage]],Tb_ProjectKosten[#Headers],0),0),""),W1817 &lt;=0,0),"")</f>
        <v/>
      </c>
      <c r="AA1817" s="314" t="str" cm="1">
        <f t="array" aca="1" ref="AA1817" ca="1">IFERROR(_xlfn.IFS(OR(F1817="",LEFT(Methode_Keuze,4)="Geen",Methode_Keuze=""),"",AND(X1817&lt;&gt;"",F1817&lt;&gt;"Arbeidskosten"),X1817*VLOOKUP(F1817,Tb_ProjectKosten[],MATCH(Tb_ProjectKosten[[#Headers],[Forfait_Percentage]],Tb_ProjectKosten[#Headers],0),0),AND(F1817="Arbeidskosten",G1817&lt;&gt;""),IFERROR(X1817*VLOOKUP(G1817,Tb_KostenTypen[],3,0)*VLOOKUP(F1817,Tb_ProjectKosten[],MATCH(Tb_ProjectKosten[[#Headers],[Forfait_Percentage]],Tb_ProjectKosten[#Headers],0),0),""),X1817 &lt;=0,0),"")</f>
        <v/>
      </c>
      <c r="AB1817" s="314" t="str">
        <f t="shared" ca="1" si="115"/>
        <v/>
      </c>
      <c r="AC1817" s="322"/>
      <c r="AD1817" s="315"/>
      <c r="AE1817" s="32" t="str" cm="1">
        <f t="array" ref="AE1817">IFERROR(IF(INDEX(SubsidieTabel!$AD$1:$AG$12,MATCH($F1817,SubsidieTabel!$AD$1:$AD$12,0),IFERROR(MATCH(Methode_Keuze,SubsidieTabel!$AD$1:$AG$1,0),2))&lt;&gt;1=TRUE,"ja",""),"")</f>
        <v/>
      </c>
    </row>
    <row r="1818" spans="1:31" x14ac:dyDescent="0.25">
      <c r="A1818" s="316"/>
      <c r="B1818" s="317" t="str">
        <f>IF(A1818&lt;&gt;"",_xlfn.MAXIFS($B$1:B1817,$A$1:A1817,A1818)+1,"")</f>
        <v/>
      </c>
      <c r="C1818" s="296"/>
      <c r="D1818" s="296"/>
      <c r="E1818" s="296"/>
      <c r="F1818" s="296"/>
      <c r="G1818" s="326"/>
      <c r="H1818" s="324"/>
      <c r="I1818" s="325"/>
      <c r="J1818" s="325"/>
      <c r="K1818" s="318"/>
      <c r="L1818" s="318"/>
      <c r="M1818" s="319" t="str">
        <f>IFERROR(VLOOKUP(H1818,Lijsten!$H$1:$I$100,2,0),"")</f>
        <v/>
      </c>
      <c r="N1818" s="319" t="str">
        <f ca="1">IFERROR(IF(VLOOKUP(F1818,Kostentypen!$A$3:$E$21,3,0)=0,"",IF(OR(F1818="Arbeidskosten",F1818="Vergoeding"),VLOOKUP(G1818,Tb_KostenTypen[],2,0),VLOOKUP(F1818,Kostentypen!$A$3:$E$20,3,0))),"")</f>
        <v/>
      </c>
      <c r="O1818" s="320" t="str" cm="1">
        <f t="array" ref="O1818">_xlfn.IFNA(IF(INDEX(Tb_KostenOptiesDB[],MATCH($F1818,Tb_KostenOptiesDB[KostenOptie],0),IFERROR(MATCH(Methode_Keuze,Tb_KostenOptiesDB[#Headers],0),2))=1,_xlfn.SWITCH($N1818,"Uurtarief",IF(OR(AND(RIGHT($F1818,3)="IKS",VLOOKUP($M1818,DB_Loonkosten,2,0)="Ja"),AND(RIGHT($F1818,3)&lt;&gt;"IKS",VLOOKUP($M1818,DB_Loonkosten,2,0)="Nee")),IFERROR(VLOOKUP($M1818,DB_Loonkosten,24,0),""),0),"Vast tarief",IF(LEFT(F1818,8)="Bijdrage",VLOOKUP($F1818,Tb_KostenTypen[],MATCH(Lijsten!$P$1,Tb_KostenTypen[#Headers],0),0),VLOOKUP($G1818,Lijsten!L:P,MATCH(Lijsten!$P$1,Kop_Tarief_Vast,0),0))),""),"")</f>
        <v/>
      </c>
      <c r="P1818" s="320" t="str" cm="1">
        <f t="array" ref="P1818">_xlfn.IFNA(IF(INDEX(Tb_KostenOptiesDB[],MATCH($F1818,Tb_KostenOptiesDB[KostenOptie],0),IFERROR(MATCH(Methode_Keuze,Tb_KostenOptiesDB[#Headers],0),2))=1,_xlfn.SWITCH($N1818,"Uurtarief",IF(OR(AND(RIGHT($F1818,3)="IKS",VLOOKUP($M1818,DB_Loonkosten,2,0)="Ja"),AND(RIGHT($F1818,3)&lt;&gt;"IKS",VLOOKUP($M1818,DB_Loonkosten,2,0)="Nee")),IFERROR(VLOOKUP($M1818,DB_Loonkosten,25,0),""),0),"Vast tarief",IF(LEFT(F1818,8)="Bijdrage",VLOOKUP($F1818,Tb_KostenTypen[],MATCH(Lijsten!$P$1,Tb_KostenTypen[#Headers],0),0),VLOOKUP($G1818,Lijsten!L:P,MATCH(Lijsten!$P$1,Kop_Tarief_Vast,0),0))),""),"")</f>
        <v/>
      </c>
      <c r="Q1818" s="359"/>
      <c r="R1818" s="359"/>
      <c r="S1818" s="321"/>
      <c r="T1818" s="321"/>
      <c r="U1818" s="373" t="str">
        <f t="shared" si="112"/>
        <v/>
      </c>
      <c r="V1818" s="314" t="str">
        <f t="shared" si="113"/>
        <v/>
      </c>
      <c r="W1818" s="314" t="str" cm="1">
        <f t="array" aca="1" ref="W1818" ca="1">IFERROR(IF(AE1818&lt;&gt;"ja",_xlfn.IFNA(_xlfn.IFS(AND(O1818&lt;&gt;"",F1818&lt;&gt;"",RIGHT($N1818,6)="tarief",F1818="Vergoeding"),SUM(O1818)*FLOOR(SUM(Q1818),0.0001),AND(O1818&lt;&gt;"",F1818&lt;&gt;"",RIGHT($N1818,6)="tarief"),SUM(O1818)*FLOOR(SUM(Q1818),0.01),S1818&gt;0,IF(F1818&lt;&gt;"",FLOOR(SUM(S1818),0.01),"")),""),""),"")</f>
        <v/>
      </c>
      <c r="X1818" s="314" t="str" cm="1">
        <f t="array" aca="1" ref="X1818" ca="1">IFERROR(IF(AE1818&lt;&gt;"ja",_xlfn.IFNA(_xlfn.IFS(AND(P1818&lt;&gt;"",R1818&lt;&gt;"",RIGHT($N1818,6)="tarief",F1818="Vergoeding"),SUM(P1818)*FLOOR(SUM(R1818),0.0001),AND(P1818&lt;&gt;"",R1818&lt;&gt;"",RIGHT($N1818,6)="tarief"),P1818*FLOOR(R1818,0.01),T1818&gt;0,FLOOR(SUM(T1818),0.01)),""),""),"")</f>
        <v/>
      </c>
      <c r="Y1818" s="314" t="str">
        <f t="shared" ca="1" si="114"/>
        <v/>
      </c>
      <c r="Z1818" s="314" t="str" cm="1">
        <f t="array" aca="1" ref="Z1818" ca="1">IFERROR(_xlfn.IFS(OR(F1818="",LEFT(Methode_Keuze,4)="Geen",Methode_Keuze=""),"",AND(W1818&lt;&gt;"",F1818&lt;&gt;"Arbeidskosten"),W1818*VLOOKUP(F1818,Tb_ProjectKosten[],MATCH(Tb_ProjectKosten[[#Headers],[Forfait_Percentage]],Tb_ProjectKosten[#Headers],0),0),AND(F1818="Arbeidskosten",G1818&lt;&gt;""),IFERROR(W1818*VLOOKUP(G1818,Tb_KostenTypen[],3,0)*VLOOKUP(F1818,Tb_ProjectKosten[],MATCH(Tb_ProjectKosten[[#Headers],[Forfait_Percentage]],Tb_ProjectKosten[#Headers],0),0),""),W1818 &lt;=0,0),"")</f>
        <v/>
      </c>
      <c r="AA1818" s="314" t="str" cm="1">
        <f t="array" aca="1" ref="AA1818" ca="1">IFERROR(_xlfn.IFS(OR(F1818="",LEFT(Methode_Keuze,4)="Geen",Methode_Keuze=""),"",AND(X1818&lt;&gt;"",F1818&lt;&gt;"Arbeidskosten"),X1818*VLOOKUP(F1818,Tb_ProjectKosten[],MATCH(Tb_ProjectKosten[[#Headers],[Forfait_Percentage]],Tb_ProjectKosten[#Headers],0),0),AND(F1818="Arbeidskosten",G1818&lt;&gt;""),IFERROR(X1818*VLOOKUP(G1818,Tb_KostenTypen[],3,0)*VLOOKUP(F1818,Tb_ProjectKosten[],MATCH(Tb_ProjectKosten[[#Headers],[Forfait_Percentage]],Tb_ProjectKosten[#Headers],0),0),""),X1818 &lt;=0,0),"")</f>
        <v/>
      </c>
      <c r="AB1818" s="314" t="str">
        <f t="shared" ca="1" si="115"/>
        <v/>
      </c>
      <c r="AC1818" s="322"/>
      <c r="AD1818" s="315"/>
      <c r="AE1818" s="32" t="str" cm="1">
        <f t="array" ref="AE1818">IFERROR(IF(INDEX(SubsidieTabel!$AD$1:$AG$12,MATCH($F1818,SubsidieTabel!$AD$1:$AD$12,0),IFERROR(MATCH(Methode_Keuze,SubsidieTabel!$AD$1:$AG$1,0),2))&lt;&gt;1=TRUE,"ja",""),"")</f>
        <v/>
      </c>
    </row>
    <row r="1819" spans="1:31" x14ac:dyDescent="0.25">
      <c r="A1819" s="316"/>
      <c r="B1819" s="317" t="str">
        <f>IF(A1819&lt;&gt;"",_xlfn.MAXIFS($B$1:B1818,$A$1:A1818,A1819)+1,"")</f>
        <v/>
      </c>
      <c r="C1819" s="296"/>
      <c r="D1819" s="296"/>
      <c r="E1819" s="296"/>
      <c r="F1819" s="296"/>
      <c r="G1819" s="326"/>
      <c r="H1819" s="324"/>
      <c r="I1819" s="325"/>
      <c r="J1819" s="325"/>
      <c r="K1819" s="318"/>
      <c r="L1819" s="318"/>
      <c r="M1819" s="319" t="str">
        <f>IFERROR(VLOOKUP(H1819,Lijsten!$H$1:$I$100,2,0),"")</f>
        <v/>
      </c>
      <c r="N1819" s="319" t="str">
        <f ca="1">IFERROR(IF(VLOOKUP(F1819,Kostentypen!$A$3:$E$21,3,0)=0,"",IF(OR(F1819="Arbeidskosten",F1819="Vergoeding"),VLOOKUP(G1819,Tb_KostenTypen[],2,0),VLOOKUP(F1819,Kostentypen!$A$3:$E$20,3,0))),"")</f>
        <v/>
      </c>
      <c r="O1819" s="320" t="str" cm="1">
        <f t="array" ref="O1819">_xlfn.IFNA(IF(INDEX(Tb_KostenOptiesDB[],MATCH($F1819,Tb_KostenOptiesDB[KostenOptie],0),IFERROR(MATCH(Methode_Keuze,Tb_KostenOptiesDB[#Headers],0),2))=1,_xlfn.SWITCH($N1819,"Uurtarief",IF(OR(AND(RIGHT($F1819,3)="IKS",VLOOKUP($M1819,DB_Loonkosten,2,0)="Ja"),AND(RIGHT($F1819,3)&lt;&gt;"IKS",VLOOKUP($M1819,DB_Loonkosten,2,0)="Nee")),IFERROR(VLOOKUP($M1819,DB_Loonkosten,24,0),""),0),"Vast tarief",IF(LEFT(F1819,8)="Bijdrage",VLOOKUP($F1819,Tb_KostenTypen[],MATCH(Lijsten!$P$1,Tb_KostenTypen[#Headers],0),0),VLOOKUP($G1819,Lijsten!L:P,MATCH(Lijsten!$P$1,Kop_Tarief_Vast,0),0))),""),"")</f>
        <v/>
      </c>
      <c r="P1819" s="320" t="str" cm="1">
        <f t="array" ref="P1819">_xlfn.IFNA(IF(INDEX(Tb_KostenOptiesDB[],MATCH($F1819,Tb_KostenOptiesDB[KostenOptie],0),IFERROR(MATCH(Methode_Keuze,Tb_KostenOptiesDB[#Headers],0),2))=1,_xlfn.SWITCH($N1819,"Uurtarief",IF(OR(AND(RIGHT($F1819,3)="IKS",VLOOKUP($M1819,DB_Loonkosten,2,0)="Ja"),AND(RIGHT($F1819,3)&lt;&gt;"IKS",VLOOKUP($M1819,DB_Loonkosten,2,0)="Nee")),IFERROR(VLOOKUP($M1819,DB_Loonkosten,25,0),""),0),"Vast tarief",IF(LEFT(F1819,8)="Bijdrage",VLOOKUP($F1819,Tb_KostenTypen[],MATCH(Lijsten!$P$1,Tb_KostenTypen[#Headers],0),0),VLOOKUP($G1819,Lijsten!L:P,MATCH(Lijsten!$P$1,Kop_Tarief_Vast,0),0))),""),"")</f>
        <v/>
      </c>
      <c r="Q1819" s="359"/>
      <c r="R1819" s="359"/>
      <c r="S1819" s="321"/>
      <c r="T1819" s="321"/>
      <c r="U1819" s="373" t="str">
        <f t="shared" si="112"/>
        <v/>
      </c>
      <c r="V1819" s="314" t="str">
        <f t="shared" si="113"/>
        <v/>
      </c>
      <c r="W1819" s="314" t="str" cm="1">
        <f t="array" aca="1" ref="W1819" ca="1">IFERROR(IF(AE1819&lt;&gt;"ja",_xlfn.IFNA(_xlfn.IFS(AND(O1819&lt;&gt;"",F1819&lt;&gt;"",RIGHT($N1819,6)="tarief",F1819="Vergoeding"),SUM(O1819)*FLOOR(SUM(Q1819),0.0001),AND(O1819&lt;&gt;"",F1819&lt;&gt;"",RIGHT($N1819,6)="tarief"),SUM(O1819)*FLOOR(SUM(Q1819),0.01),S1819&gt;0,IF(F1819&lt;&gt;"",FLOOR(SUM(S1819),0.01),"")),""),""),"")</f>
        <v/>
      </c>
      <c r="X1819" s="314" t="str" cm="1">
        <f t="array" aca="1" ref="X1819" ca="1">IFERROR(IF(AE1819&lt;&gt;"ja",_xlfn.IFNA(_xlfn.IFS(AND(P1819&lt;&gt;"",R1819&lt;&gt;"",RIGHT($N1819,6)="tarief",F1819="Vergoeding"),SUM(P1819)*FLOOR(SUM(R1819),0.0001),AND(P1819&lt;&gt;"",R1819&lt;&gt;"",RIGHT($N1819,6)="tarief"),P1819*FLOOR(R1819,0.01),T1819&gt;0,FLOOR(SUM(T1819),0.01)),""),""),"")</f>
        <v/>
      </c>
      <c r="Y1819" s="314" t="str">
        <f t="shared" ca="1" si="114"/>
        <v/>
      </c>
      <c r="Z1819" s="314" t="str" cm="1">
        <f t="array" aca="1" ref="Z1819" ca="1">IFERROR(_xlfn.IFS(OR(F1819="",LEFT(Methode_Keuze,4)="Geen",Methode_Keuze=""),"",AND(W1819&lt;&gt;"",F1819&lt;&gt;"Arbeidskosten"),W1819*VLOOKUP(F1819,Tb_ProjectKosten[],MATCH(Tb_ProjectKosten[[#Headers],[Forfait_Percentage]],Tb_ProjectKosten[#Headers],0),0),AND(F1819="Arbeidskosten",G1819&lt;&gt;""),IFERROR(W1819*VLOOKUP(G1819,Tb_KostenTypen[],3,0)*VLOOKUP(F1819,Tb_ProjectKosten[],MATCH(Tb_ProjectKosten[[#Headers],[Forfait_Percentage]],Tb_ProjectKosten[#Headers],0),0),""),W1819 &lt;=0,0),"")</f>
        <v/>
      </c>
      <c r="AA1819" s="314" t="str" cm="1">
        <f t="array" aca="1" ref="AA1819" ca="1">IFERROR(_xlfn.IFS(OR(F1819="",LEFT(Methode_Keuze,4)="Geen",Methode_Keuze=""),"",AND(X1819&lt;&gt;"",F1819&lt;&gt;"Arbeidskosten"),X1819*VLOOKUP(F1819,Tb_ProjectKosten[],MATCH(Tb_ProjectKosten[[#Headers],[Forfait_Percentage]],Tb_ProjectKosten[#Headers],0),0),AND(F1819="Arbeidskosten",G1819&lt;&gt;""),IFERROR(X1819*VLOOKUP(G1819,Tb_KostenTypen[],3,0)*VLOOKUP(F1819,Tb_ProjectKosten[],MATCH(Tb_ProjectKosten[[#Headers],[Forfait_Percentage]],Tb_ProjectKosten[#Headers],0),0),""),X1819 &lt;=0,0),"")</f>
        <v/>
      </c>
      <c r="AB1819" s="314" t="str">
        <f t="shared" ca="1" si="115"/>
        <v/>
      </c>
      <c r="AC1819" s="322"/>
      <c r="AD1819" s="315"/>
      <c r="AE1819" s="32" t="str" cm="1">
        <f t="array" ref="AE1819">IFERROR(IF(INDEX(SubsidieTabel!$AD$1:$AG$12,MATCH($F1819,SubsidieTabel!$AD$1:$AD$12,0),IFERROR(MATCH(Methode_Keuze,SubsidieTabel!$AD$1:$AG$1,0),2))&lt;&gt;1=TRUE,"ja",""),"")</f>
        <v/>
      </c>
    </row>
    <row r="1820" spans="1:31" x14ac:dyDescent="0.25">
      <c r="A1820" s="316"/>
      <c r="B1820" s="317" t="str">
        <f>IF(A1820&lt;&gt;"",_xlfn.MAXIFS($B$1:B1819,$A$1:A1819,A1820)+1,"")</f>
        <v/>
      </c>
      <c r="C1820" s="296"/>
      <c r="D1820" s="296"/>
      <c r="E1820" s="296"/>
      <c r="F1820" s="296"/>
      <c r="G1820" s="326"/>
      <c r="H1820" s="324"/>
      <c r="I1820" s="325"/>
      <c r="J1820" s="325"/>
      <c r="K1820" s="318"/>
      <c r="L1820" s="318"/>
      <c r="M1820" s="319" t="str">
        <f>IFERROR(VLOOKUP(H1820,Lijsten!$H$1:$I$100,2,0),"")</f>
        <v/>
      </c>
      <c r="N1820" s="319" t="str">
        <f ca="1">IFERROR(IF(VLOOKUP(F1820,Kostentypen!$A$3:$E$21,3,0)=0,"",IF(OR(F1820="Arbeidskosten",F1820="Vergoeding"),VLOOKUP(G1820,Tb_KostenTypen[],2,0),VLOOKUP(F1820,Kostentypen!$A$3:$E$20,3,0))),"")</f>
        <v/>
      </c>
      <c r="O1820" s="320" t="str" cm="1">
        <f t="array" ref="O1820">_xlfn.IFNA(IF(INDEX(Tb_KostenOptiesDB[],MATCH($F1820,Tb_KostenOptiesDB[KostenOptie],0),IFERROR(MATCH(Methode_Keuze,Tb_KostenOptiesDB[#Headers],0),2))=1,_xlfn.SWITCH($N1820,"Uurtarief",IF(OR(AND(RIGHT($F1820,3)="IKS",VLOOKUP($M1820,DB_Loonkosten,2,0)="Ja"),AND(RIGHT($F1820,3)&lt;&gt;"IKS",VLOOKUP($M1820,DB_Loonkosten,2,0)="Nee")),IFERROR(VLOOKUP($M1820,DB_Loonkosten,24,0),""),0),"Vast tarief",IF(LEFT(F1820,8)="Bijdrage",VLOOKUP($F1820,Tb_KostenTypen[],MATCH(Lijsten!$P$1,Tb_KostenTypen[#Headers],0),0),VLOOKUP($G1820,Lijsten!L:P,MATCH(Lijsten!$P$1,Kop_Tarief_Vast,0),0))),""),"")</f>
        <v/>
      </c>
      <c r="P1820" s="320" t="str" cm="1">
        <f t="array" ref="P1820">_xlfn.IFNA(IF(INDEX(Tb_KostenOptiesDB[],MATCH($F1820,Tb_KostenOptiesDB[KostenOptie],0),IFERROR(MATCH(Methode_Keuze,Tb_KostenOptiesDB[#Headers],0),2))=1,_xlfn.SWITCH($N1820,"Uurtarief",IF(OR(AND(RIGHT($F1820,3)="IKS",VLOOKUP($M1820,DB_Loonkosten,2,0)="Ja"),AND(RIGHT($F1820,3)&lt;&gt;"IKS",VLOOKUP($M1820,DB_Loonkosten,2,0)="Nee")),IFERROR(VLOOKUP($M1820,DB_Loonkosten,25,0),""),0),"Vast tarief",IF(LEFT(F1820,8)="Bijdrage",VLOOKUP($F1820,Tb_KostenTypen[],MATCH(Lijsten!$P$1,Tb_KostenTypen[#Headers],0),0),VLOOKUP($G1820,Lijsten!L:P,MATCH(Lijsten!$P$1,Kop_Tarief_Vast,0),0))),""),"")</f>
        <v/>
      </c>
      <c r="Q1820" s="359"/>
      <c r="R1820" s="359"/>
      <c r="S1820" s="321"/>
      <c r="T1820" s="321"/>
      <c r="U1820" s="373" t="str">
        <f t="shared" si="112"/>
        <v/>
      </c>
      <c r="V1820" s="314" t="str">
        <f t="shared" si="113"/>
        <v/>
      </c>
      <c r="W1820" s="314" t="str" cm="1">
        <f t="array" aca="1" ref="W1820" ca="1">IFERROR(IF(AE1820&lt;&gt;"ja",_xlfn.IFNA(_xlfn.IFS(AND(O1820&lt;&gt;"",F1820&lt;&gt;"",RIGHT($N1820,6)="tarief",F1820="Vergoeding"),SUM(O1820)*FLOOR(SUM(Q1820),0.0001),AND(O1820&lt;&gt;"",F1820&lt;&gt;"",RIGHT($N1820,6)="tarief"),SUM(O1820)*FLOOR(SUM(Q1820),0.01),S1820&gt;0,IF(F1820&lt;&gt;"",FLOOR(SUM(S1820),0.01),"")),""),""),"")</f>
        <v/>
      </c>
      <c r="X1820" s="314" t="str" cm="1">
        <f t="array" aca="1" ref="X1820" ca="1">IFERROR(IF(AE1820&lt;&gt;"ja",_xlfn.IFNA(_xlfn.IFS(AND(P1820&lt;&gt;"",R1820&lt;&gt;"",RIGHT($N1820,6)="tarief",F1820="Vergoeding"),SUM(P1820)*FLOOR(SUM(R1820),0.0001),AND(P1820&lt;&gt;"",R1820&lt;&gt;"",RIGHT($N1820,6)="tarief"),P1820*FLOOR(R1820,0.01),T1820&gt;0,FLOOR(SUM(T1820),0.01)),""),""),"")</f>
        <v/>
      </c>
      <c r="Y1820" s="314" t="str">
        <f t="shared" ca="1" si="114"/>
        <v/>
      </c>
      <c r="Z1820" s="314" t="str" cm="1">
        <f t="array" aca="1" ref="Z1820" ca="1">IFERROR(_xlfn.IFS(OR(F1820="",LEFT(Methode_Keuze,4)="Geen",Methode_Keuze=""),"",AND(W1820&lt;&gt;"",F1820&lt;&gt;"Arbeidskosten"),W1820*VLOOKUP(F1820,Tb_ProjectKosten[],MATCH(Tb_ProjectKosten[[#Headers],[Forfait_Percentage]],Tb_ProjectKosten[#Headers],0),0),AND(F1820="Arbeidskosten",G1820&lt;&gt;""),IFERROR(W1820*VLOOKUP(G1820,Tb_KostenTypen[],3,0)*VLOOKUP(F1820,Tb_ProjectKosten[],MATCH(Tb_ProjectKosten[[#Headers],[Forfait_Percentage]],Tb_ProjectKosten[#Headers],0),0),""),W1820 &lt;=0,0),"")</f>
        <v/>
      </c>
      <c r="AA1820" s="314" t="str" cm="1">
        <f t="array" aca="1" ref="AA1820" ca="1">IFERROR(_xlfn.IFS(OR(F1820="",LEFT(Methode_Keuze,4)="Geen",Methode_Keuze=""),"",AND(X1820&lt;&gt;"",F1820&lt;&gt;"Arbeidskosten"),X1820*VLOOKUP(F1820,Tb_ProjectKosten[],MATCH(Tb_ProjectKosten[[#Headers],[Forfait_Percentage]],Tb_ProjectKosten[#Headers],0),0),AND(F1820="Arbeidskosten",G1820&lt;&gt;""),IFERROR(X1820*VLOOKUP(G1820,Tb_KostenTypen[],3,0)*VLOOKUP(F1820,Tb_ProjectKosten[],MATCH(Tb_ProjectKosten[[#Headers],[Forfait_Percentage]],Tb_ProjectKosten[#Headers],0),0),""),X1820 &lt;=0,0),"")</f>
        <v/>
      </c>
      <c r="AB1820" s="314" t="str">
        <f t="shared" ca="1" si="115"/>
        <v/>
      </c>
      <c r="AC1820" s="322"/>
      <c r="AD1820" s="315"/>
      <c r="AE1820" s="32" t="str" cm="1">
        <f t="array" ref="AE1820">IFERROR(IF(INDEX(SubsidieTabel!$AD$1:$AG$12,MATCH($F1820,SubsidieTabel!$AD$1:$AD$12,0),IFERROR(MATCH(Methode_Keuze,SubsidieTabel!$AD$1:$AG$1,0),2))&lt;&gt;1=TRUE,"ja",""),"")</f>
        <v/>
      </c>
    </row>
    <row r="1821" spans="1:31" x14ac:dyDescent="0.25">
      <c r="A1821" s="316"/>
      <c r="B1821" s="317" t="str">
        <f>IF(A1821&lt;&gt;"",_xlfn.MAXIFS($B$1:B1820,$A$1:A1820,A1821)+1,"")</f>
        <v/>
      </c>
      <c r="C1821" s="296"/>
      <c r="D1821" s="296"/>
      <c r="E1821" s="296"/>
      <c r="F1821" s="296"/>
      <c r="G1821" s="326"/>
      <c r="H1821" s="324"/>
      <c r="I1821" s="325"/>
      <c r="J1821" s="325"/>
      <c r="K1821" s="318"/>
      <c r="L1821" s="318"/>
      <c r="M1821" s="319" t="str">
        <f>IFERROR(VLOOKUP(H1821,Lijsten!$H$1:$I$100,2,0),"")</f>
        <v/>
      </c>
      <c r="N1821" s="319" t="str">
        <f ca="1">IFERROR(IF(VLOOKUP(F1821,Kostentypen!$A$3:$E$21,3,0)=0,"",IF(OR(F1821="Arbeidskosten",F1821="Vergoeding"),VLOOKUP(G1821,Tb_KostenTypen[],2,0),VLOOKUP(F1821,Kostentypen!$A$3:$E$20,3,0))),"")</f>
        <v/>
      </c>
      <c r="O1821" s="320" t="str" cm="1">
        <f t="array" ref="O1821">_xlfn.IFNA(IF(INDEX(Tb_KostenOptiesDB[],MATCH($F1821,Tb_KostenOptiesDB[KostenOptie],0),IFERROR(MATCH(Methode_Keuze,Tb_KostenOptiesDB[#Headers],0),2))=1,_xlfn.SWITCH($N1821,"Uurtarief",IF(OR(AND(RIGHT($F1821,3)="IKS",VLOOKUP($M1821,DB_Loonkosten,2,0)="Ja"),AND(RIGHT($F1821,3)&lt;&gt;"IKS",VLOOKUP($M1821,DB_Loonkosten,2,0)="Nee")),IFERROR(VLOOKUP($M1821,DB_Loonkosten,24,0),""),0),"Vast tarief",IF(LEFT(F1821,8)="Bijdrage",VLOOKUP($F1821,Tb_KostenTypen[],MATCH(Lijsten!$P$1,Tb_KostenTypen[#Headers],0),0),VLOOKUP($G1821,Lijsten!L:P,MATCH(Lijsten!$P$1,Kop_Tarief_Vast,0),0))),""),"")</f>
        <v/>
      </c>
      <c r="P1821" s="320" t="str" cm="1">
        <f t="array" ref="P1821">_xlfn.IFNA(IF(INDEX(Tb_KostenOptiesDB[],MATCH($F1821,Tb_KostenOptiesDB[KostenOptie],0),IFERROR(MATCH(Methode_Keuze,Tb_KostenOptiesDB[#Headers],0),2))=1,_xlfn.SWITCH($N1821,"Uurtarief",IF(OR(AND(RIGHT($F1821,3)="IKS",VLOOKUP($M1821,DB_Loonkosten,2,0)="Ja"),AND(RIGHT($F1821,3)&lt;&gt;"IKS",VLOOKUP($M1821,DB_Loonkosten,2,0)="Nee")),IFERROR(VLOOKUP($M1821,DB_Loonkosten,25,0),""),0),"Vast tarief",IF(LEFT(F1821,8)="Bijdrage",VLOOKUP($F1821,Tb_KostenTypen[],MATCH(Lijsten!$P$1,Tb_KostenTypen[#Headers],0),0),VLOOKUP($G1821,Lijsten!L:P,MATCH(Lijsten!$P$1,Kop_Tarief_Vast,0),0))),""),"")</f>
        <v/>
      </c>
      <c r="Q1821" s="359"/>
      <c r="R1821" s="359"/>
      <c r="S1821" s="321"/>
      <c r="T1821" s="321"/>
      <c r="U1821" s="373" t="str">
        <f t="shared" si="112"/>
        <v/>
      </c>
      <c r="V1821" s="314" t="str">
        <f t="shared" si="113"/>
        <v/>
      </c>
      <c r="W1821" s="314" t="str" cm="1">
        <f t="array" aca="1" ref="W1821" ca="1">IFERROR(IF(AE1821&lt;&gt;"ja",_xlfn.IFNA(_xlfn.IFS(AND(O1821&lt;&gt;"",F1821&lt;&gt;"",RIGHT($N1821,6)="tarief",F1821="Vergoeding"),SUM(O1821)*FLOOR(SUM(Q1821),0.0001),AND(O1821&lt;&gt;"",F1821&lt;&gt;"",RIGHT($N1821,6)="tarief"),SUM(O1821)*FLOOR(SUM(Q1821),0.01),S1821&gt;0,IF(F1821&lt;&gt;"",FLOOR(SUM(S1821),0.01),"")),""),""),"")</f>
        <v/>
      </c>
      <c r="X1821" s="314" t="str" cm="1">
        <f t="array" aca="1" ref="X1821" ca="1">IFERROR(IF(AE1821&lt;&gt;"ja",_xlfn.IFNA(_xlfn.IFS(AND(P1821&lt;&gt;"",R1821&lt;&gt;"",RIGHT($N1821,6)="tarief",F1821="Vergoeding"),SUM(P1821)*FLOOR(SUM(R1821),0.0001),AND(P1821&lt;&gt;"",R1821&lt;&gt;"",RIGHT($N1821,6)="tarief"),P1821*FLOOR(R1821,0.01),T1821&gt;0,FLOOR(SUM(T1821),0.01)),""),""),"")</f>
        <v/>
      </c>
      <c r="Y1821" s="314" t="str">
        <f t="shared" ca="1" si="114"/>
        <v/>
      </c>
      <c r="Z1821" s="314" t="str" cm="1">
        <f t="array" aca="1" ref="Z1821" ca="1">IFERROR(_xlfn.IFS(OR(F1821="",LEFT(Methode_Keuze,4)="Geen",Methode_Keuze=""),"",AND(W1821&lt;&gt;"",F1821&lt;&gt;"Arbeidskosten"),W1821*VLOOKUP(F1821,Tb_ProjectKosten[],MATCH(Tb_ProjectKosten[[#Headers],[Forfait_Percentage]],Tb_ProjectKosten[#Headers],0),0),AND(F1821="Arbeidskosten",G1821&lt;&gt;""),IFERROR(W1821*VLOOKUP(G1821,Tb_KostenTypen[],3,0)*VLOOKUP(F1821,Tb_ProjectKosten[],MATCH(Tb_ProjectKosten[[#Headers],[Forfait_Percentage]],Tb_ProjectKosten[#Headers],0),0),""),W1821 &lt;=0,0),"")</f>
        <v/>
      </c>
      <c r="AA1821" s="314" t="str" cm="1">
        <f t="array" aca="1" ref="AA1821" ca="1">IFERROR(_xlfn.IFS(OR(F1821="",LEFT(Methode_Keuze,4)="Geen",Methode_Keuze=""),"",AND(X1821&lt;&gt;"",F1821&lt;&gt;"Arbeidskosten"),X1821*VLOOKUP(F1821,Tb_ProjectKosten[],MATCH(Tb_ProjectKosten[[#Headers],[Forfait_Percentage]],Tb_ProjectKosten[#Headers],0),0),AND(F1821="Arbeidskosten",G1821&lt;&gt;""),IFERROR(X1821*VLOOKUP(G1821,Tb_KostenTypen[],3,0)*VLOOKUP(F1821,Tb_ProjectKosten[],MATCH(Tb_ProjectKosten[[#Headers],[Forfait_Percentage]],Tb_ProjectKosten[#Headers],0),0),""),X1821 &lt;=0,0),"")</f>
        <v/>
      </c>
      <c r="AB1821" s="314" t="str">
        <f t="shared" ca="1" si="115"/>
        <v/>
      </c>
      <c r="AC1821" s="322"/>
      <c r="AD1821" s="315"/>
      <c r="AE1821" s="32" t="str" cm="1">
        <f t="array" ref="AE1821">IFERROR(IF(INDEX(SubsidieTabel!$AD$1:$AG$12,MATCH($F1821,SubsidieTabel!$AD$1:$AD$12,0),IFERROR(MATCH(Methode_Keuze,SubsidieTabel!$AD$1:$AG$1,0),2))&lt;&gt;1=TRUE,"ja",""),"")</f>
        <v/>
      </c>
    </row>
    <row r="1822" spans="1:31" x14ac:dyDescent="0.25">
      <c r="A1822" s="316"/>
      <c r="B1822" s="317" t="str">
        <f>IF(A1822&lt;&gt;"",_xlfn.MAXIFS($B$1:B1821,$A$1:A1821,A1822)+1,"")</f>
        <v/>
      </c>
      <c r="C1822" s="296"/>
      <c r="D1822" s="296"/>
      <c r="E1822" s="296"/>
      <c r="F1822" s="296"/>
      <c r="G1822" s="326"/>
      <c r="H1822" s="324"/>
      <c r="I1822" s="325"/>
      <c r="J1822" s="325"/>
      <c r="K1822" s="318"/>
      <c r="L1822" s="318"/>
      <c r="M1822" s="319" t="str">
        <f>IFERROR(VLOOKUP(H1822,Lijsten!$H$1:$I$100,2,0),"")</f>
        <v/>
      </c>
      <c r="N1822" s="319" t="str">
        <f ca="1">IFERROR(IF(VLOOKUP(F1822,Kostentypen!$A$3:$E$21,3,0)=0,"",IF(OR(F1822="Arbeidskosten",F1822="Vergoeding"),VLOOKUP(G1822,Tb_KostenTypen[],2,0),VLOOKUP(F1822,Kostentypen!$A$3:$E$20,3,0))),"")</f>
        <v/>
      </c>
      <c r="O1822" s="320" t="str" cm="1">
        <f t="array" ref="O1822">_xlfn.IFNA(IF(INDEX(Tb_KostenOptiesDB[],MATCH($F1822,Tb_KostenOptiesDB[KostenOptie],0),IFERROR(MATCH(Methode_Keuze,Tb_KostenOptiesDB[#Headers],0),2))=1,_xlfn.SWITCH($N1822,"Uurtarief",IF(OR(AND(RIGHT($F1822,3)="IKS",VLOOKUP($M1822,DB_Loonkosten,2,0)="Ja"),AND(RIGHT($F1822,3)&lt;&gt;"IKS",VLOOKUP($M1822,DB_Loonkosten,2,0)="Nee")),IFERROR(VLOOKUP($M1822,DB_Loonkosten,24,0),""),0),"Vast tarief",IF(LEFT(F1822,8)="Bijdrage",VLOOKUP($F1822,Tb_KostenTypen[],MATCH(Lijsten!$P$1,Tb_KostenTypen[#Headers],0),0),VLOOKUP($G1822,Lijsten!L:P,MATCH(Lijsten!$P$1,Kop_Tarief_Vast,0),0))),""),"")</f>
        <v/>
      </c>
      <c r="P1822" s="320" t="str" cm="1">
        <f t="array" ref="P1822">_xlfn.IFNA(IF(INDEX(Tb_KostenOptiesDB[],MATCH($F1822,Tb_KostenOptiesDB[KostenOptie],0),IFERROR(MATCH(Methode_Keuze,Tb_KostenOptiesDB[#Headers],0),2))=1,_xlfn.SWITCH($N1822,"Uurtarief",IF(OR(AND(RIGHT($F1822,3)="IKS",VLOOKUP($M1822,DB_Loonkosten,2,0)="Ja"),AND(RIGHT($F1822,3)&lt;&gt;"IKS",VLOOKUP($M1822,DB_Loonkosten,2,0)="Nee")),IFERROR(VLOOKUP($M1822,DB_Loonkosten,25,0),""),0),"Vast tarief",IF(LEFT(F1822,8)="Bijdrage",VLOOKUP($F1822,Tb_KostenTypen[],MATCH(Lijsten!$P$1,Tb_KostenTypen[#Headers],0),0),VLOOKUP($G1822,Lijsten!L:P,MATCH(Lijsten!$P$1,Kop_Tarief_Vast,0),0))),""),"")</f>
        <v/>
      </c>
      <c r="Q1822" s="359"/>
      <c r="R1822" s="359"/>
      <c r="S1822" s="321"/>
      <c r="T1822" s="321"/>
      <c r="U1822" s="373" t="str">
        <f t="shared" si="112"/>
        <v/>
      </c>
      <c r="V1822" s="314" t="str">
        <f t="shared" si="113"/>
        <v/>
      </c>
      <c r="W1822" s="314" t="str" cm="1">
        <f t="array" aca="1" ref="W1822" ca="1">IFERROR(IF(AE1822&lt;&gt;"ja",_xlfn.IFNA(_xlfn.IFS(AND(O1822&lt;&gt;"",F1822&lt;&gt;"",RIGHT($N1822,6)="tarief",F1822="Vergoeding"),SUM(O1822)*FLOOR(SUM(Q1822),0.0001),AND(O1822&lt;&gt;"",F1822&lt;&gt;"",RIGHT($N1822,6)="tarief"),SUM(O1822)*FLOOR(SUM(Q1822),0.01),S1822&gt;0,IF(F1822&lt;&gt;"",FLOOR(SUM(S1822),0.01),"")),""),""),"")</f>
        <v/>
      </c>
      <c r="X1822" s="314" t="str" cm="1">
        <f t="array" aca="1" ref="X1822" ca="1">IFERROR(IF(AE1822&lt;&gt;"ja",_xlfn.IFNA(_xlfn.IFS(AND(P1822&lt;&gt;"",R1822&lt;&gt;"",RIGHT($N1822,6)="tarief",F1822="Vergoeding"),SUM(P1822)*FLOOR(SUM(R1822),0.0001),AND(P1822&lt;&gt;"",R1822&lt;&gt;"",RIGHT($N1822,6)="tarief"),P1822*FLOOR(R1822,0.01),T1822&gt;0,FLOOR(SUM(T1822),0.01)),""),""),"")</f>
        <v/>
      </c>
      <c r="Y1822" s="314" t="str">
        <f t="shared" ca="1" si="114"/>
        <v/>
      </c>
      <c r="Z1822" s="314" t="str" cm="1">
        <f t="array" aca="1" ref="Z1822" ca="1">IFERROR(_xlfn.IFS(OR(F1822="",LEFT(Methode_Keuze,4)="Geen",Methode_Keuze=""),"",AND(W1822&lt;&gt;"",F1822&lt;&gt;"Arbeidskosten"),W1822*VLOOKUP(F1822,Tb_ProjectKosten[],MATCH(Tb_ProjectKosten[[#Headers],[Forfait_Percentage]],Tb_ProjectKosten[#Headers],0),0),AND(F1822="Arbeidskosten",G1822&lt;&gt;""),IFERROR(W1822*VLOOKUP(G1822,Tb_KostenTypen[],3,0)*VLOOKUP(F1822,Tb_ProjectKosten[],MATCH(Tb_ProjectKosten[[#Headers],[Forfait_Percentage]],Tb_ProjectKosten[#Headers],0),0),""),W1822 &lt;=0,0),"")</f>
        <v/>
      </c>
      <c r="AA1822" s="314" t="str" cm="1">
        <f t="array" aca="1" ref="AA1822" ca="1">IFERROR(_xlfn.IFS(OR(F1822="",LEFT(Methode_Keuze,4)="Geen",Methode_Keuze=""),"",AND(X1822&lt;&gt;"",F1822&lt;&gt;"Arbeidskosten"),X1822*VLOOKUP(F1822,Tb_ProjectKosten[],MATCH(Tb_ProjectKosten[[#Headers],[Forfait_Percentage]],Tb_ProjectKosten[#Headers],0),0),AND(F1822="Arbeidskosten",G1822&lt;&gt;""),IFERROR(X1822*VLOOKUP(G1822,Tb_KostenTypen[],3,0)*VLOOKUP(F1822,Tb_ProjectKosten[],MATCH(Tb_ProjectKosten[[#Headers],[Forfait_Percentage]],Tb_ProjectKosten[#Headers],0),0),""),X1822 &lt;=0,0),"")</f>
        <v/>
      </c>
      <c r="AB1822" s="314" t="str">
        <f t="shared" ca="1" si="115"/>
        <v/>
      </c>
      <c r="AC1822" s="322"/>
      <c r="AD1822" s="315"/>
      <c r="AE1822" s="32" t="str" cm="1">
        <f t="array" ref="AE1822">IFERROR(IF(INDEX(SubsidieTabel!$AD$1:$AG$12,MATCH($F1822,SubsidieTabel!$AD$1:$AD$12,0),IFERROR(MATCH(Methode_Keuze,SubsidieTabel!$AD$1:$AG$1,0),2))&lt;&gt;1=TRUE,"ja",""),"")</f>
        <v/>
      </c>
    </row>
    <row r="1823" spans="1:31" x14ac:dyDescent="0.25">
      <c r="A1823" s="316"/>
      <c r="B1823" s="317" t="str">
        <f>IF(A1823&lt;&gt;"",_xlfn.MAXIFS($B$1:B1822,$A$1:A1822,A1823)+1,"")</f>
        <v/>
      </c>
      <c r="C1823" s="296"/>
      <c r="D1823" s="296"/>
      <c r="E1823" s="296"/>
      <c r="F1823" s="296"/>
      <c r="G1823" s="326"/>
      <c r="H1823" s="324"/>
      <c r="I1823" s="325"/>
      <c r="J1823" s="325"/>
      <c r="K1823" s="318"/>
      <c r="L1823" s="318"/>
      <c r="M1823" s="319" t="str">
        <f>IFERROR(VLOOKUP(H1823,Lijsten!$H$1:$I$100,2,0),"")</f>
        <v/>
      </c>
      <c r="N1823" s="319" t="str">
        <f ca="1">IFERROR(IF(VLOOKUP(F1823,Kostentypen!$A$3:$E$21,3,0)=0,"",IF(OR(F1823="Arbeidskosten",F1823="Vergoeding"),VLOOKUP(G1823,Tb_KostenTypen[],2,0),VLOOKUP(F1823,Kostentypen!$A$3:$E$20,3,0))),"")</f>
        <v/>
      </c>
      <c r="O1823" s="320" t="str" cm="1">
        <f t="array" ref="O1823">_xlfn.IFNA(IF(INDEX(Tb_KostenOptiesDB[],MATCH($F1823,Tb_KostenOptiesDB[KostenOptie],0),IFERROR(MATCH(Methode_Keuze,Tb_KostenOptiesDB[#Headers],0),2))=1,_xlfn.SWITCH($N1823,"Uurtarief",IF(OR(AND(RIGHT($F1823,3)="IKS",VLOOKUP($M1823,DB_Loonkosten,2,0)="Ja"),AND(RIGHT($F1823,3)&lt;&gt;"IKS",VLOOKUP($M1823,DB_Loonkosten,2,0)="Nee")),IFERROR(VLOOKUP($M1823,DB_Loonkosten,24,0),""),0),"Vast tarief",IF(LEFT(F1823,8)="Bijdrage",VLOOKUP($F1823,Tb_KostenTypen[],MATCH(Lijsten!$P$1,Tb_KostenTypen[#Headers],0),0),VLOOKUP($G1823,Lijsten!L:P,MATCH(Lijsten!$P$1,Kop_Tarief_Vast,0),0))),""),"")</f>
        <v/>
      </c>
      <c r="P1823" s="320" t="str" cm="1">
        <f t="array" ref="P1823">_xlfn.IFNA(IF(INDEX(Tb_KostenOptiesDB[],MATCH($F1823,Tb_KostenOptiesDB[KostenOptie],0),IFERROR(MATCH(Methode_Keuze,Tb_KostenOptiesDB[#Headers],0),2))=1,_xlfn.SWITCH($N1823,"Uurtarief",IF(OR(AND(RIGHT($F1823,3)="IKS",VLOOKUP($M1823,DB_Loonkosten,2,0)="Ja"),AND(RIGHT($F1823,3)&lt;&gt;"IKS",VLOOKUP($M1823,DB_Loonkosten,2,0)="Nee")),IFERROR(VLOOKUP($M1823,DB_Loonkosten,25,0),""),0),"Vast tarief",IF(LEFT(F1823,8)="Bijdrage",VLOOKUP($F1823,Tb_KostenTypen[],MATCH(Lijsten!$P$1,Tb_KostenTypen[#Headers],0),0),VLOOKUP($G1823,Lijsten!L:P,MATCH(Lijsten!$P$1,Kop_Tarief_Vast,0),0))),""),"")</f>
        <v/>
      </c>
      <c r="Q1823" s="359"/>
      <c r="R1823" s="359"/>
      <c r="S1823" s="321"/>
      <c r="T1823" s="321"/>
      <c r="U1823" s="373" t="str">
        <f t="shared" si="112"/>
        <v/>
      </c>
      <c r="V1823" s="314" t="str">
        <f t="shared" si="113"/>
        <v/>
      </c>
      <c r="W1823" s="314" t="str" cm="1">
        <f t="array" aca="1" ref="W1823" ca="1">IFERROR(IF(AE1823&lt;&gt;"ja",_xlfn.IFNA(_xlfn.IFS(AND(O1823&lt;&gt;"",F1823&lt;&gt;"",RIGHT($N1823,6)="tarief",F1823="Vergoeding"),SUM(O1823)*FLOOR(SUM(Q1823),0.0001),AND(O1823&lt;&gt;"",F1823&lt;&gt;"",RIGHT($N1823,6)="tarief"),SUM(O1823)*FLOOR(SUM(Q1823),0.01),S1823&gt;0,IF(F1823&lt;&gt;"",FLOOR(SUM(S1823),0.01),"")),""),""),"")</f>
        <v/>
      </c>
      <c r="X1823" s="314" t="str" cm="1">
        <f t="array" aca="1" ref="X1823" ca="1">IFERROR(IF(AE1823&lt;&gt;"ja",_xlfn.IFNA(_xlfn.IFS(AND(P1823&lt;&gt;"",R1823&lt;&gt;"",RIGHT($N1823,6)="tarief",F1823="Vergoeding"),SUM(P1823)*FLOOR(SUM(R1823),0.0001),AND(P1823&lt;&gt;"",R1823&lt;&gt;"",RIGHT($N1823,6)="tarief"),P1823*FLOOR(R1823,0.01),T1823&gt;0,FLOOR(SUM(T1823),0.01)),""),""),"")</f>
        <v/>
      </c>
      <c r="Y1823" s="314" t="str">
        <f t="shared" ca="1" si="114"/>
        <v/>
      </c>
      <c r="Z1823" s="314" t="str" cm="1">
        <f t="array" aca="1" ref="Z1823" ca="1">IFERROR(_xlfn.IFS(OR(F1823="",LEFT(Methode_Keuze,4)="Geen",Methode_Keuze=""),"",AND(W1823&lt;&gt;"",F1823&lt;&gt;"Arbeidskosten"),W1823*VLOOKUP(F1823,Tb_ProjectKosten[],MATCH(Tb_ProjectKosten[[#Headers],[Forfait_Percentage]],Tb_ProjectKosten[#Headers],0),0),AND(F1823="Arbeidskosten",G1823&lt;&gt;""),IFERROR(W1823*VLOOKUP(G1823,Tb_KostenTypen[],3,0)*VLOOKUP(F1823,Tb_ProjectKosten[],MATCH(Tb_ProjectKosten[[#Headers],[Forfait_Percentage]],Tb_ProjectKosten[#Headers],0),0),""),W1823 &lt;=0,0),"")</f>
        <v/>
      </c>
      <c r="AA1823" s="314" t="str" cm="1">
        <f t="array" aca="1" ref="AA1823" ca="1">IFERROR(_xlfn.IFS(OR(F1823="",LEFT(Methode_Keuze,4)="Geen",Methode_Keuze=""),"",AND(X1823&lt;&gt;"",F1823&lt;&gt;"Arbeidskosten"),X1823*VLOOKUP(F1823,Tb_ProjectKosten[],MATCH(Tb_ProjectKosten[[#Headers],[Forfait_Percentage]],Tb_ProjectKosten[#Headers],0),0),AND(F1823="Arbeidskosten",G1823&lt;&gt;""),IFERROR(X1823*VLOOKUP(G1823,Tb_KostenTypen[],3,0)*VLOOKUP(F1823,Tb_ProjectKosten[],MATCH(Tb_ProjectKosten[[#Headers],[Forfait_Percentage]],Tb_ProjectKosten[#Headers],0),0),""),X1823 &lt;=0,0),"")</f>
        <v/>
      </c>
      <c r="AB1823" s="314" t="str">
        <f t="shared" ca="1" si="115"/>
        <v/>
      </c>
      <c r="AC1823" s="322"/>
      <c r="AD1823" s="315"/>
      <c r="AE1823" s="32" t="str" cm="1">
        <f t="array" ref="AE1823">IFERROR(IF(INDEX(SubsidieTabel!$AD$1:$AG$12,MATCH($F1823,SubsidieTabel!$AD$1:$AD$12,0),IFERROR(MATCH(Methode_Keuze,SubsidieTabel!$AD$1:$AG$1,0),2))&lt;&gt;1=TRUE,"ja",""),"")</f>
        <v/>
      </c>
    </row>
    <row r="1824" spans="1:31" x14ac:dyDescent="0.25">
      <c r="A1824" s="316"/>
      <c r="B1824" s="317" t="str">
        <f>IF(A1824&lt;&gt;"",_xlfn.MAXIFS($B$1:B1823,$A$1:A1823,A1824)+1,"")</f>
        <v/>
      </c>
      <c r="C1824" s="296"/>
      <c r="D1824" s="296"/>
      <c r="E1824" s="296"/>
      <c r="F1824" s="296"/>
      <c r="G1824" s="326"/>
      <c r="H1824" s="324"/>
      <c r="I1824" s="325"/>
      <c r="J1824" s="325"/>
      <c r="K1824" s="318"/>
      <c r="L1824" s="318"/>
      <c r="M1824" s="319" t="str">
        <f>IFERROR(VLOOKUP(H1824,Lijsten!$H$1:$I$100,2,0),"")</f>
        <v/>
      </c>
      <c r="N1824" s="319" t="str">
        <f ca="1">IFERROR(IF(VLOOKUP(F1824,Kostentypen!$A$3:$E$21,3,0)=0,"",IF(OR(F1824="Arbeidskosten",F1824="Vergoeding"),VLOOKUP(G1824,Tb_KostenTypen[],2,0),VLOOKUP(F1824,Kostentypen!$A$3:$E$20,3,0))),"")</f>
        <v/>
      </c>
      <c r="O1824" s="320" t="str" cm="1">
        <f t="array" ref="O1824">_xlfn.IFNA(IF(INDEX(Tb_KostenOptiesDB[],MATCH($F1824,Tb_KostenOptiesDB[KostenOptie],0),IFERROR(MATCH(Methode_Keuze,Tb_KostenOptiesDB[#Headers],0),2))=1,_xlfn.SWITCH($N1824,"Uurtarief",IF(OR(AND(RIGHT($F1824,3)="IKS",VLOOKUP($M1824,DB_Loonkosten,2,0)="Ja"),AND(RIGHT($F1824,3)&lt;&gt;"IKS",VLOOKUP($M1824,DB_Loonkosten,2,0)="Nee")),IFERROR(VLOOKUP($M1824,DB_Loonkosten,24,0),""),0),"Vast tarief",IF(LEFT(F1824,8)="Bijdrage",VLOOKUP($F1824,Tb_KostenTypen[],MATCH(Lijsten!$P$1,Tb_KostenTypen[#Headers],0),0),VLOOKUP($G1824,Lijsten!L:P,MATCH(Lijsten!$P$1,Kop_Tarief_Vast,0),0))),""),"")</f>
        <v/>
      </c>
      <c r="P1824" s="320" t="str" cm="1">
        <f t="array" ref="P1824">_xlfn.IFNA(IF(INDEX(Tb_KostenOptiesDB[],MATCH($F1824,Tb_KostenOptiesDB[KostenOptie],0),IFERROR(MATCH(Methode_Keuze,Tb_KostenOptiesDB[#Headers],0),2))=1,_xlfn.SWITCH($N1824,"Uurtarief",IF(OR(AND(RIGHT($F1824,3)="IKS",VLOOKUP($M1824,DB_Loonkosten,2,0)="Ja"),AND(RIGHT($F1824,3)&lt;&gt;"IKS",VLOOKUP($M1824,DB_Loonkosten,2,0)="Nee")),IFERROR(VLOOKUP($M1824,DB_Loonkosten,25,0),""),0),"Vast tarief",IF(LEFT(F1824,8)="Bijdrage",VLOOKUP($F1824,Tb_KostenTypen[],MATCH(Lijsten!$P$1,Tb_KostenTypen[#Headers],0),0),VLOOKUP($G1824,Lijsten!L:P,MATCH(Lijsten!$P$1,Kop_Tarief_Vast,0),0))),""),"")</f>
        <v/>
      </c>
      <c r="Q1824" s="359"/>
      <c r="R1824" s="359"/>
      <c r="S1824" s="321"/>
      <c r="T1824" s="321"/>
      <c r="U1824" s="373" t="str">
        <f t="shared" si="112"/>
        <v/>
      </c>
      <c r="V1824" s="314" t="str">
        <f t="shared" si="113"/>
        <v/>
      </c>
      <c r="W1824" s="314" t="str" cm="1">
        <f t="array" aca="1" ref="W1824" ca="1">IFERROR(IF(AE1824&lt;&gt;"ja",_xlfn.IFNA(_xlfn.IFS(AND(O1824&lt;&gt;"",F1824&lt;&gt;"",RIGHT($N1824,6)="tarief",F1824="Vergoeding"),SUM(O1824)*FLOOR(SUM(Q1824),0.0001),AND(O1824&lt;&gt;"",F1824&lt;&gt;"",RIGHT($N1824,6)="tarief"),SUM(O1824)*FLOOR(SUM(Q1824),0.01),S1824&gt;0,IF(F1824&lt;&gt;"",FLOOR(SUM(S1824),0.01),"")),""),""),"")</f>
        <v/>
      </c>
      <c r="X1824" s="314" t="str" cm="1">
        <f t="array" aca="1" ref="X1824" ca="1">IFERROR(IF(AE1824&lt;&gt;"ja",_xlfn.IFNA(_xlfn.IFS(AND(P1824&lt;&gt;"",R1824&lt;&gt;"",RIGHT($N1824,6)="tarief",F1824="Vergoeding"),SUM(P1824)*FLOOR(SUM(R1824),0.0001),AND(P1824&lt;&gt;"",R1824&lt;&gt;"",RIGHT($N1824,6)="tarief"),P1824*FLOOR(R1824,0.01),T1824&gt;0,FLOOR(SUM(T1824),0.01)),""),""),"")</f>
        <v/>
      </c>
      <c r="Y1824" s="314" t="str">
        <f t="shared" ca="1" si="114"/>
        <v/>
      </c>
      <c r="Z1824" s="314" t="str" cm="1">
        <f t="array" aca="1" ref="Z1824" ca="1">IFERROR(_xlfn.IFS(OR(F1824="",LEFT(Methode_Keuze,4)="Geen",Methode_Keuze=""),"",AND(W1824&lt;&gt;"",F1824&lt;&gt;"Arbeidskosten"),W1824*VLOOKUP(F1824,Tb_ProjectKosten[],MATCH(Tb_ProjectKosten[[#Headers],[Forfait_Percentage]],Tb_ProjectKosten[#Headers],0),0),AND(F1824="Arbeidskosten",G1824&lt;&gt;""),IFERROR(W1824*VLOOKUP(G1824,Tb_KostenTypen[],3,0)*VLOOKUP(F1824,Tb_ProjectKosten[],MATCH(Tb_ProjectKosten[[#Headers],[Forfait_Percentage]],Tb_ProjectKosten[#Headers],0),0),""),W1824 &lt;=0,0),"")</f>
        <v/>
      </c>
      <c r="AA1824" s="314" t="str" cm="1">
        <f t="array" aca="1" ref="AA1824" ca="1">IFERROR(_xlfn.IFS(OR(F1824="",LEFT(Methode_Keuze,4)="Geen",Methode_Keuze=""),"",AND(X1824&lt;&gt;"",F1824&lt;&gt;"Arbeidskosten"),X1824*VLOOKUP(F1824,Tb_ProjectKosten[],MATCH(Tb_ProjectKosten[[#Headers],[Forfait_Percentage]],Tb_ProjectKosten[#Headers],0),0),AND(F1824="Arbeidskosten",G1824&lt;&gt;""),IFERROR(X1824*VLOOKUP(G1824,Tb_KostenTypen[],3,0)*VLOOKUP(F1824,Tb_ProjectKosten[],MATCH(Tb_ProjectKosten[[#Headers],[Forfait_Percentage]],Tb_ProjectKosten[#Headers],0),0),""),X1824 &lt;=0,0),"")</f>
        <v/>
      </c>
      <c r="AB1824" s="314" t="str">
        <f t="shared" ca="1" si="115"/>
        <v/>
      </c>
      <c r="AC1824" s="322"/>
      <c r="AD1824" s="315"/>
      <c r="AE1824" s="32" t="str" cm="1">
        <f t="array" ref="AE1824">IFERROR(IF(INDEX(SubsidieTabel!$AD$1:$AG$12,MATCH($F1824,SubsidieTabel!$AD$1:$AD$12,0),IFERROR(MATCH(Methode_Keuze,SubsidieTabel!$AD$1:$AG$1,0),2))&lt;&gt;1=TRUE,"ja",""),"")</f>
        <v/>
      </c>
    </row>
    <row r="1825" spans="1:31" x14ac:dyDescent="0.25">
      <c r="A1825" s="316"/>
      <c r="B1825" s="317" t="str">
        <f>IF(A1825&lt;&gt;"",_xlfn.MAXIFS($B$1:B1824,$A$1:A1824,A1825)+1,"")</f>
        <v/>
      </c>
      <c r="C1825" s="296"/>
      <c r="D1825" s="296"/>
      <c r="E1825" s="296"/>
      <c r="F1825" s="296"/>
      <c r="G1825" s="326"/>
      <c r="H1825" s="324"/>
      <c r="I1825" s="325"/>
      <c r="J1825" s="325"/>
      <c r="K1825" s="318"/>
      <c r="L1825" s="318"/>
      <c r="M1825" s="319" t="str">
        <f>IFERROR(VLOOKUP(H1825,Lijsten!$H$1:$I$100,2,0),"")</f>
        <v/>
      </c>
      <c r="N1825" s="319" t="str">
        <f ca="1">IFERROR(IF(VLOOKUP(F1825,Kostentypen!$A$3:$E$21,3,0)=0,"",IF(OR(F1825="Arbeidskosten",F1825="Vergoeding"),VLOOKUP(G1825,Tb_KostenTypen[],2,0),VLOOKUP(F1825,Kostentypen!$A$3:$E$20,3,0))),"")</f>
        <v/>
      </c>
      <c r="O1825" s="320" t="str" cm="1">
        <f t="array" ref="O1825">_xlfn.IFNA(IF(INDEX(Tb_KostenOptiesDB[],MATCH($F1825,Tb_KostenOptiesDB[KostenOptie],0),IFERROR(MATCH(Methode_Keuze,Tb_KostenOptiesDB[#Headers],0),2))=1,_xlfn.SWITCH($N1825,"Uurtarief",IF(OR(AND(RIGHT($F1825,3)="IKS",VLOOKUP($M1825,DB_Loonkosten,2,0)="Ja"),AND(RIGHT($F1825,3)&lt;&gt;"IKS",VLOOKUP($M1825,DB_Loonkosten,2,0)="Nee")),IFERROR(VLOOKUP($M1825,DB_Loonkosten,24,0),""),0),"Vast tarief",IF(LEFT(F1825,8)="Bijdrage",VLOOKUP($F1825,Tb_KostenTypen[],MATCH(Lijsten!$P$1,Tb_KostenTypen[#Headers],0),0),VLOOKUP($G1825,Lijsten!L:P,MATCH(Lijsten!$P$1,Kop_Tarief_Vast,0),0))),""),"")</f>
        <v/>
      </c>
      <c r="P1825" s="320" t="str" cm="1">
        <f t="array" ref="P1825">_xlfn.IFNA(IF(INDEX(Tb_KostenOptiesDB[],MATCH($F1825,Tb_KostenOptiesDB[KostenOptie],0),IFERROR(MATCH(Methode_Keuze,Tb_KostenOptiesDB[#Headers],0),2))=1,_xlfn.SWITCH($N1825,"Uurtarief",IF(OR(AND(RIGHT($F1825,3)="IKS",VLOOKUP($M1825,DB_Loonkosten,2,0)="Ja"),AND(RIGHT($F1825,3)&lt;&gt;"IKS",VLOOKUP($M1825,DB_Loonkosten,2,0)="Nee")),IFERROR(VLOOKUP($M1825,DB_Loonkosten,25,0),""),0),"Vast tarief",IF(LEFT(F1825,8)="Bijdrage",VLOOKUP($F1825,Tb_KostenTypen[],MATCH(Lijsten!$P$1,Tb_KostenTypen[#Headers],0),0),VLOOKUP($G1825,Lijsten!L:P,MATCH(Lijsten!$P$1,Kop_Tarief_Vast,0),0))),""),"")</f>
        <v/>
      </c>
      <c r="Q1825" s="359"/>
      <c r="R1825" s="359"/>
      <c r="S1825" s="321"/>
      <c r="T1825" s="321"/>
      <c r="U1825" s="373" t="str">
        <f t="shared" si="112"/>
        <v/>
      </c>
      <c r="V1825" s="314" t="str">
        <f t="shared" si="113"/>
        <v/>
      </c>
      <c r="W1825" s="314" t="str" cm="1">
        <f t="array" aca="1" ref="W1825" ca="1">IFERROR(IF(AE1825&lt;&gt;"ja",_xlfn.IFNA(_xlfn.IFS(AND(O1825&lt;&gt;"",F1825&lt;&gt;"",RIGHT($N1825,6)="tarief",F1825="Vergoeding"),SUM(O1825)*FLOOR(SUM(Q1825),0.0001),AND(O1825&lt;&gt;"",F1825&lt;&gt;"",RIGHT($N1825,6)="tarief"),SUM(O1825)*FLOOR(SUM(Q1825),0.01),S1825&gt;0,IF(F1825&lt;&gt;"",FLOOR(SUM(S1825),0.01),"")),""),""),"")</f>
        <v/>
      </c>
      <c r="X1825" s="314" t="str" cm="1">
        <f t="array" aca="1" ref="X1825" ca="1">IFERROR(IF(AE1825&lt;&gt;"ja",_xlfn.IFNA(_xlfn.IFS(AND(P1825&lt;&gt;"",R1825&lt;&gt;"",RIGHT($N1825,6)="tarief",F1825="Vergoeding"),SUM(P1825)*FLOOR(SUM(R1825),0.0001),AND(P1825&lt;&gt;"",R1825&lt;&gt;"",RIGHT($N1825,6)="tarief"),P1825*FLOOR(R1825,0.01),T1825&gt;0,FLOOR(SUM(T1825),0.01)),""),""),"")</f>
        <v/>
      </c>
      <c r="Y1825" s="314" t="str">
        <f t="shared" ca="1" si="114"/>
        <v/>
      </c>
      <c r="Z1825" s="314" t="str" cm="1">
        <f t="array" aca="1" ref="Z1825" ca="1">IFERROR(_xlfn.IFS(OR(F1825="",LEFT(Methode_Keuze,4)="Geen",Methode_Keuze=""),"",AND(W1825&lt;&gt;"",F1825&lt;&gt;"Arbeidskosten"),W1825*VLOOKUP(F1825,Tb_ProjectKosten[],MATCH(Tb_ProjectKosten[[#Headers],[Forfait_Percentage]],Tb_ProjectKosten[#Headers],0),0),AND(F1825="Arbeidskosten",G1825&lt;&gt;""),IFERROR(W1825*VLOOKUP(G1825,Tb_KostenTypen[],3,0)*VLOOKUP(F1825,Tb_ProjectKosten[],MATCH(Tb_ProjectKosten[[#Headers],[Forfait_Percentage]],Tb_ProjectKosten[#Headers],0),0),""),W1825 &lt;=0,0),"")</f>
        <v/>
      </c>
      <c r="AA1825" s="314" t="str" cm="1">
        <f t="array" aca="1" ref="AA1825" ca="1">IFERROR(_xlfn.IFS(OR(F1825="",LEFT(Methode_Keuze,4)="Geen",Methode_Keuze=""),"",AND(X1825&lt;&gt;"",F1825&lt;&gt;"Arbeidskosten"),X1825*VLOOKUP(F1825,Tb_ProjectKosten[],MATCH(Tb_ProjectKosten[[#Headers],[Forfait_Percentage]],Tb_ProjectKosten[#Headers],0),0),AND(F1825="Arbeidskosten",G1825&lt;&gt;""),IFERROR(X1825*VLOOKUP(G1825,Tb_KostenTypen[],3,0)*VLOOKUP(F1825,Tb_ProjectKosten[],MATCH(Tb_ProjectKosten[[#Headers],[Forfait_Percentage]],Tb_ProjectKosten[#Headers],0),0),""),X1825 &lt;=0,0),"")</f>
        <v/>
      </c>
      <c r="AB1825" s="314" t="str">
        <f t="shared" ca="1" si="115"/>
        <v/>
      </c>
      <c r="AC1825" s="322"/>
      <c r="AD1825" s="315"/>
      <c r="AE1825" s="32" t="str" cm="1">
        <f t="array" ref="AE1825">IFERROR(IF(INDEX(SubsidieTabel!$AD$1:$AG$12,MATCH($F1825,SubsidieTabel!$AD$1:$AD$12,0),IFERROR(MATCH(Methode_Keuze,SubsidieTabel!$AD$1:$AG$1,0),2))&lt;&gt;1=TRUE,"ja",""),"")</f>
        <v/>
      </c>
    </row>
    <row r="1826" spans="1:31" x14ac:dyDescent="0.25">
      <c r="A1826" s="316"/>
      <c r="B1826" s="317" t="str">
        <f>IF(A1826&lt;&gt;"",_xlfn.MAXIFS($B$1:B1825,$A$1:A1825,A1826)+1,"")</f>
        <v/>
      </c>
      <c r="C1826" s="296"/>
      <c r="D1826" s="296"/>
      <c r="E1826" s="296"/>
      <c r="F1826" s="296"/>
      <c r="G1826" s="326"/>
      <c r="H1826" s="324"/>
      <c r="I1826" s="325"/>
      <c r="J1826" s="325"/>
      <c r="K1826" s="318"/>
      <c r="L1826" s="318"/>
      <c r="M1826" s="319" t="str">
        <f>IFERROR(VLOOKUP(H1826,Lijsten!$H$1:$I$100,2,0),"")</f>
        <v/>
      </c>
      <c r="N1826" s="319" t="str">
        <f ca="1">IFERROR(IF(VLOOKUP(F1826,Kostentypen!$A$3:$E$21,3,0)=0,"",IF(OR(F1826="Arbeidskosten",F1826="Vergoeding"),VLOOKUP(G1826,Tb_KostenTypen[],2,0),VLOOKUP(F1826,Kostentypen!$A$3:$E$20,3,0))),"")</f>
        <v/>
      </c>
      <c r="O1826" s="320" t="str" cm="1">
        <f t="array" ref="O1826">_xlfn.IFNA(IF(INDEX(Tb_KostenOptiesDB[],MATCH($F1826,Tb_KostenOptiesDB[KostenOptie],0),IFERROR(MATCH(Methode_Keuze,Tb_KostenOptiesDB[#Headers],0),2))=1,_xlfn.SWITCH($N1826,"Uurtarief",IF(OR(AND(RIGHT($F1826,3)="IKS",VLOOKUP($M1826,DB_Loonkosten,2,0)="Ja"),AND(RIGHT($F1826,3)&lt;&gt;"IKS",VLOOKUP($M1826,DB_Loonkosten,2,0)="Nee")),IFERROR(VLOOKUP($M1826,DB_Loonkosten,24,0),""),0),"Vast tarief",IF(LEFT(F1826,8)="Bijdrage",VLOOKUP($F1826,Tb_KostenTypen[],MATCH(Lijsten!$P$1,Tb_KostenTypen[#Headers],0),0),VLOOKUP($G1826,Lijsten!L:P,MATCH(Lijsten!$P$1,Kop_Tarief_Vast,0),0))),""),"")</f>
        <v/>
      </c>
      <c r="P1826" s="320" t="str" cm="1">
        <f t="array" ref="P1826">_xlfn.IFNA(IF(INDEX(Tb_KostenOptiesDB[],MATCH($F1826,Tb_KostenOptiesDB[KostenOptie],0),IFERROR(MATCH(Methode_Keuze,Tb_KostenOptiesDB[#Headers],0),2))=1,_xlfn.SWITCH($N1826,"Uurtarief",IF(OR(AND(RIGHT($F1826,3)="IKS",VLOOKUP($M1826,DB_Loonkosten,2,0)="Ja"),AND(RIGHT($F1826,3)&lt;&gt;"IKS",VLOOKUP($M1826,DB_Loonkosten,2,0)="Nee")),IFERROR(VLOOKUP($M1826,DB_Loonkosten,25,0),""),0),"Vast tarief",IF(LEFT(F1826,8)="Bijdrage",VLOOKUP($F1826,Tb_KostenTypen[],MATCH(Lijsten!$P$1,Tb_KostenTypen[#Headers],0),0),VLOOKUP($G1826,Lijsten!L:P,MATCH(Lijsten!$P$1,Kop_Tarief_Vast,0),0))),""),"")</f>
        <v/>
      </c>
      <c r="Q1826" s="359"/>
      <c r="R1826" s="359"/>
      <c r="S1826" s="321"/>
      <c r="T1826" s="321"/>
      <c r="U1826" s="373" t="str">
        <f t="shared" si="112"/>
        <v/>
      </c>
      <c r="V1826" s="314" t="str">
        <f t="shared" si="113"/>
        <v/>
      </c>
      <c r="W1826" s="314" t="str" cm="1">
        <f t="array" aca="1" ref="W1826" ca="1">IFERROR(IF(AE1826&lt;&gt;"ja",_xlfn.IFNA(_xlfn.IFS(AND(O1826&lt;&gt;"",F1826&lt;&gt;"",RIGHT($N1826,6)="tarief",F1826="Vergoeding"),SUM(O1826)*FLOOR(SUM(Q1826),0.0001),AND(O1826&lt;&gt;"",F1826&lt;&gt;"",RIGHT($N1826,6)="tarief"),SUM(O1826)*FLOOR(SUM(Q1826),0.01),S1826&gt;0,IF(F1826&lt;&gt;"",FLOOR(SUM(S1826),0.01),"")),""),""),"")</f>
        <v/>
      </c>
      <c r="X1826" s="314" t="str" cm="1">
        <f t="array" aca="1" ref="X1826" ca="1">IFERROR(IF(AE1826&lt;&gt;"ja",_xlfn.IFNA(_xlfn.IFS(AND(P1826&lt;&gt;"",R1826&lt;&gt;"",RIGHT($N1826,6)="tarief",F1826="Vergoeding"),SUM(P1826)*FLOOR(SUM(R1826),0.0001),AND(P1826&lt;&gt;"",R1826&lt;&gt;"",RIGHT($N1826,6)="tarief"),P1826*FLOOR(R1826,0.01),T1826&gt;0,FLOOR(SUM(T1826),0.01)),""),""),"")</f>
        <v/>
      </c>
      <c r="Y1826" s="314" t="str">
        <f t="shared" ca="1" si="114"/>
        <v/>
      </c>
      <c r="Z1826" s="314" t="str" cm="1">
        <f t="array" aca="1" ref="Z1826" ca="1">IFERROR(_xlfn.IFS(OR(F1826="",LEFT(Methode_Keuze,4)="Geen",Methode_Keuze=""),"",AND(W1826&lt;&gt;"",F1826&lt;&gt;"Arbeidskosten"),W1826*VLOOKUP(F1826,Tb_ProjectKosten[],MATCH(Tb_ProjectKosten[[#Headers],[Forfait_Percentage]],Tb_ProjectKosten[#Headers],0),0),AND(F1826="Arbeidskosten",G1826&lt;&gt;""),IFERROR(W1826*VLOOKUP(G1826,Tb_KostenTypen[],3,0)*VLOOKUP(F1826,Tb_ProjectKosten[],MATCH(Tb_ProjectKosten[[#Headers],[Forfait_Percentage]],Tb_ProjectKosten[#Headers],0),0),""),W1826 &lt;=0,0),"")</f>
        <v/>
      </c>
      <c r="AA1826" s="314" t="str" cm="1">
        <f t="array" aca="1" ref="AA1826" ca="1">IFERROR(_xlfn.IFS(OR(F1826="",LEFT(Methode_Keuze,4)="Geen",Methode_Keuze=""),"",AND(X1826&lt;&gt;"",F1826&lt;&gt;"Arbeidskosten"),X1826*VLOOKUP(F1826,Tb_ProjectKosten[],MATCH(Tb_ProjectKosten[[#Headers],[Forfait_Percentage]],Tb_ProjectKosten[#Headers],0),0),AND(F1826="Arbeidskosten",G1826&lt;&gt;""),IFERROR(X1826*VLOOKUP(G1826,Tb_KostenTypen[],3,0)*VLOOKUP(F1826,Tb_ProjectKosten[],MATCH(Tb_ProjectKosten[[#Headers],[Forfait_Percentage]],Tb_ProjectKosten[#Headers],0),0),""),X1826 &lt;=0,0),"")</f>
        <v/>
      </c>
      <c r="AB1826" s="314" t="str">
        <f t="shared" ca="1" si="115"/>
        <v/>
      </c>
      <c r="AC1826" s="322"/>
      <c r="AD1826" s="315"/>
      <c r="AE1826" s="32" t="str" cm="1">
        <f t="array" ref="AE1826">IFERROR(IF(INDEX(SubsidieTabel!$AD$1:$AG$12,MATCH($F1826,SubsidieTabel!$AD$1:$AD$12,0),IFERROR(MATCH(Methode_Keuze,SubsidieTabel!$AD$1:$AG$1,0),2))&lt;&gt;1=TRUE,"ja",""),"")</f>
        <v/>
      </c>
    </row>
    <row r="1827" spans="1:31" x14ac:dyDescent="0.25">
      <c r="A1827" s="316"/>
      <c r="B1827" s="317" t="str">
        <f>IF(A1827&lt;&gt;"",_xlfn.MAXIFS($B$1:B1826,$A$1:A1826,A1827)+1,"")</f>
        <v/>
      </c>
      <c r="C1827" s="296"/>
      <c r="D1827" s="296"/>
      <c r="E1827" s="296"/>
      <c r="F1827" s="296"/>
      <c r="G1827" s="326"/>
      <c r="H1827" s="324"/>
      <c r="I1827" s="325"/>
      <c r="J1827" s="325"/>
      <c r="K1827" s="318"/>
      <c r="L1827" s="318"/>
      <c r="M1827" s="319" t="str">
        <f>IFERROR(VLOOKUP(H1827,Lijsten!$H$1:$I$100,2,0),"")</f>
        <v/>
      </c>
      <c r="N1827" s="319" t="str">
        <f ca="1">IFERROR(IF(VLOOKUP(F1827,Kostentypen!$A$3:$E$21,3,0)=0,"",IF(OR(F1827="Arbeidskosten",F1827="Vergoeding"),VLOOKUP(G1827,Tb_KostenTypen[],2,0),VLOOKUP(F1827,Kostentypen!$A$3:$E$20,3,0))),"")</f>
        <v/>
      </c>
      <c r="O1827" s="320" t="str" cm="1">
        <f t="array" ref="O1827">_xlfn.IFNA(IF(INDEX(Tb_KostenOptiesDB[],MATCH($F1827,Tb_KostenOptiesDB[KostenOptie],0),IFERROR(MATCH(Methode_Keuze,Tb_KostenOptiesDB[#Headers],0),2))=1,_xlfn.SWITCH($N1827,"Uurtarief",IF(OR(AND(RIGHT($F1827,3)="IKS",VLOOKUP($M1827,DB_Loonkosten,2,0)="Ja"),AND(RIGHT($F1827,3)&lt;&gt;"IKS",VLOOKUP($M1827,DB_Loonkosten,2,0)="Nee")),IFERROR(VLOOKUP($M1827,DB_Loonkosten,24,0),""),0),"Vast tarief",IF(LEFT(F1827,8)="Bijdrage",VLOOKUP($F1827,Tb_KostenTypen[],MATCH(Lijsten!$P$1,Tb_KostenTypen[#Headers],0),0),VLOOKUP($G1827,Lijsten!L:P,MATCH(Lijsten!$P$1,Kop_Tarief_Vast,0),0))),""),"")</f>
        <v/>
      </c>
      <c r="P1827" s="320" t="str" cm="1">
        <f t="array" ref="P1827">_xlfn.IFNA(IF(INDEX(Tb_KostenOptiesDB[],MATCH($F1827,Tb_KostenOptiesDB[KostenOptie],0),IFERROR(MATCH(Methode_Keuze,Tb_KostenOptiesDB[#Headers],0),2))=1,_xlfn.SWITCH($N1827,"Uurtarief",IF(OR(AND(RIGHT($F1827,3)="IKS",VLOOKUP($M1827,DB_Loonkosten,2,0)="Ja"),AND(RIGHT($F1827,3)&lt;&gt;"IKS",VLOOKUP($M1827,DB_Loonkosten,2,0)="Nee")),IFERROR(VLOOKUP($M1827,DB_Loonkosten,25,0),""),0),"Vast tarief",IF(LEFT(F1827,8)="Bijdrage",VLOOKUP($F1827,Tb_KostenTypen[],MATCH(Lijsten!$P$1,Tb_KostenTypen[#Headers],0),0),VLOOKUP($G1827,Lijsten!L:P,MATCH(Lijsten!$P$1,Kop_Tarief_Vast,0),0))),""),"")</f>
        <v/>
      </c>
      <c r="Q1827" s="359"/>
      <c r="R1827" s="359"/>
      <c r="S1827" s="321"/>
      <c r="T1827" s="321"/>
      <c r="U1827" s="373" t="str">
        <f t="shared" si="112"/>
        <v/>
      </c>
      <c r="V1827" s="314" t="str">
        <f t="shared" si="113"/>
        <v/>
      </c>
      <c r="W1827" s="314" t="str" cm="1">
        <f t="array" aca="1" ref="W1827" ca="1">IFERROR(IF(AE1827&lt;&gt;"ja",_xlfn.IFNA(_xlfn.IFS(AND(O1827&lt;&gt;"",F1827&lt;&gt;"",RIGHT($N1827,6)="tarief",F1827="Vergoeding"),SUM(O1827)*FLOOR(SUM(Q1827),0.0001),AND(O1827&lt;&gt;"",F1827&lt;&gt;"",RIGHT($N1827,6)="tarief"),SUM(O1827)*FLOOR(SUM(Q1827),0.01),S1827&gt;0,IF(F1827&lt;&gt;"",FLOOR(SUM(S1827),0.01),"")),""),""),"")</f>
        <v/>
      </c>
      <c r="X1827" s="314" t="str" cm="1">
        <f t="array" aca="1" ref="X1827" ca="1">IFERROR(IF(AE1827&lt;&gt;"ja",_xlfn.IFNA(_xlfn.IFS(AND(P1827&lt;&gt;"",R1827&lt;&gt;"",RIGHT($N1827,6)="tarief",F1827="Vergoeding"),SUM(P1827)*FLOOR(SUM(R1827),0.0001),AND(P1827&lt;&gt;"",R1827&lt;&gt;"",RIGHT($N1827,6)="tarief"),P1827*FLOOR(R1827,0.01),T1827&gt;0,FLOOR(SUM(T1827),0.01)),""),""),"")</f>
        <v/>
      </c>
      <c r="Y1827" s="314" t="str">
        <f t="shared" ca="1" si="114"/>
        <v/>
      </c>
      <c r="Z1827" s="314" t="str" cm="1">
        <f t="array" aca="1" ref="Z1827" ca="1">IFERROR(_xlfn.IFS(OR(F1827="",LEFT(Methode_Keuze,4)="Geen",Methode_Keuze=""),"",AND(W1827&lt;&gt;"",F1827&lt;&gt;"Arbeidskosten"),W1827*VLOOKUP(F1827,Tb_ProjectKosten[],MATCH(Tb_ProjectKosten[[#Headers],[Forfait_Percentage]],Tb_ProjectKosten[#Headers],0),0),AND(F1827="Arbeidskosten",G1827&lt;&gt;""),IFERROR(W1827*VLOOKUP(G1827,Tb_KostenTypen[],3,0)*VLOOKUP(F1827,Tb_ProjectKosten[],MATCH(Tb_ProjectKosten[[#Headers],[Forfait_Percentage]],Tb_ProjectKosten[#Headers],0),0),""),W1827 &lt;=0,0),"")</f>
        <v/>
      </c>
      <c r="AA1827" s="314" t="str" cm="1">
        <f t="array" aca="1" ref="AA1827" ca="1">IFERROR(_xlfn.IFS(OR(F1827="",LEFT(Methode_Keuze,4)="Geen",Methode_Keuze=""),"",AND(X1827&lt;&gt;"",F1827&lt;&gt;"Arbeidskosten"),X1827*VLOOKUP(F1827,Tb_ProjectKosten[],MATCH(Tb_ProjectKosten[[#Headers],[Forfait_Percentage]],Tb_ProjectKosten[#Headers],0),0),AND(F1827="Arbeidskosten",G1827&lt;&gt;""),IFERROR(X1827*VLOOKUP(G1827,Tb_KostenTypen[],3,0)*VLOOKUP(F1827,Tb_ProjectKosten[],MATCH(Tb_ProjectKosten[[#Headers],[Forfait_Percentage]],Tb_ProjectKosten[#Headers],0),0),""),X1827 &lt;=0,0),"")</f>
        <v/>
      </c>
      <c r="AB1827" s="314" t="str">
        <f t="shared" ca="1" si="115"/>
        <v/>
      </c>
      <c r="AC1827" s="322"/>
      <c r="AD1827" s="315"/>
      <c r="AE1827" s="32" t="str" cm="1">
        <f t="array" ref="AE1827">IFERROR(IF(INDEX(SubsidieTabel!$AD$1:$AG$12,MATCH($F1827,SubsidieTabel!$AD$1:$AD$12,0),IFERROR(MATCH(Methode_Keuze,SubsidieTabel!$AD$1:$AG$1,0),2))&lt;&gt;1=TRUE,"ja",""),"")</f>
        <v/>
      </c>
    </row>
    <row r="1828" spans="1:31" x14ac:dyDescent="0.25">
      <c r="A1828" s="316"/>
      <c r="B1828" s="317" t="str">
        <f>IF(A1828&lt;&gt;"",_xlfn.MAXIFS($B$1:B1827,$A$1:A1827,A1828)+1,"")</f>
        <v/>
      </c>
      <c r="C1828" s="296"/>
      <c r="D1828" s="296"/>
      <c r="E1828" s="296"/>
      <c r="F1828" s="296"/>
      <c r="G1828" s="326"/>
      <c r="H1828" s="324"/>
      <c r="I1828" s="325"/>
      <c r="J1828" s="325"/>
      <c r="K1828" s="318"/>
      <c r="L1828" s="318"/>
      <c r="M1828" s="319" t="str">
        <f>IFERROR(VLOOKUP(H1828,Lijsten!$H$1:$I$100,2,0),"")</f>
        <v/>
      </c>
      <c r="N1828" s="319" t="str">
        <f ca="1">IFERROR(IF(VLOOKUP(F1828,Kostentypen!$A$3:$E$21,3,0)=0,"",IF(OR(F1828="Arbeidskosten",F1828="Vergoeding"),VLOOKUP(G1828,Tb_KostenTypen[],2,0),VLOOKUP(F1828,Kostentypen!$A$3:$E$20,3,0))),"")</f>
        <v/>
      </c>
      <c r="O1828" s="320" t="str" cm="1">
        <f t="array" ref="O1828">_xlfn.IFNA(IF(INDEX(Tb_KostenOptiesDB[],MATCH($F1828,Tb_KostenOptiesDB[KostenOptie],0),IFERROR(MATCH(Methode_Keuze,Tb_KostenOptiesDB[#Headers],0),2))=1,_xlfn.SWITCH($N1828,"Uurtarief",IF(OR(AND(RIGHT($F1828,3)="IKS",VLOOKUP($M1828,DB_Loonkosten,2,0)="Ja"),AND(RIGHT($F1828,3)&lt;&gt;"IKS",VLOOKUP($M1828,DB_Loonkosten,2,0)="Nee")),IFERROR(VLOOKUP($M1828,DB_Loonkosten,24,0),""),0),"Vast tarief",IF(LEFT(F1828,8)="Bijdrage",VLOOKUP($F1828,Tb_KostenTypen[],MATCH(Lijsten!$P$1,Tb_KostenTypen[#Headers],0),0),VLOOKUP($G1828,Lijsten!L:P,MATCH(Lijsten!$P$1,Kop_Tarief_Vast,0),0))),""),"")</f>
        <v/>
      </c>
      <c r="P1828" s="320" t="str" cm="1">
        <f t="array" ref="P1828">_xlfn.IFNA(IF(INDEX(Tb_KostenOptiesDB[],MATCH($F1828,Tb_KostenOptiesDB[KostenOptie],0),IFERROR(MATCH(Methode_Keuze,Tb_KostenOptiesDB[#Headers],0),2))=1,_xlfn.SWITCH($N1828,"Uurtarief",IF(OR(AND(RIGHT($F1828,3)="IKS",VLOOKUP($M1828,DB_Loonkosten,2,0)="Ja"),AND(RIGHT($F1828,3)&lt;&gt;"IKS",VLOOKUP($M1828,DB_Loonkosten,2,0)="Nee")),IFERROR(VLOOKUP($M1828,DB_Loonkosten,25,0),""),0),"Vast tarief",IF(LEFT(F1828,8)="Bijdrage",VLOOKUP($F1828,Tb_KostenTypen[],MATCH(Lijsten!$P$1,Tb_KostenTypen[#Headers],0),0),VLOOKUP($G1828,Lijsten!L:P,MATCH(Lijsten!$P$1,Kop_Tarief_Vast,0),0))),""),"")</f>
        <v/>
      </c>
      <c r="Q1828" s="359"/>
      <c r="R1828" s="359"/>
      <c r="S1828" s="321"/>
      <c r="T1828" s="321"/>
      <c r="U1828" s="373" t="str">
        <f t="shared" si="112"/>
        <v/>
      </c>
      <c r="V1828" s="314" t="str">
        <f t="shared" si="113"/>
        <v/>
      </c>
      <c r="W1828" s="314" t="str" cm="1">
        <f t="array" aca="1" ref="W1828" ca="1">IFERROR(IF(AE1828&lt;&gt;"ja",_xlfn.IFNA(_xlfn.IFS(AND(O1828&lt;&gt;"",F1828&lt;&gt;"",RIGHT($N1828,6)="tarief",F1828="Vergoeding"),SUM(O1828)*FLOOR(SUM(Q1828),0.0001),AND(O1828&lt;&gt;"",F1828&lt;&gt;"",RIGHT($N1828,6)="tarief"),SUM(O1828)*FLOOR(SUM(Q1828),0.01),S1828&gt;0,IF(F1828&lt;&gt;"",FLOOR(SUM(S1828),0.01),"")),""),""),"")</f>
        <v/>
      </c>
      <c r="X1828" s="314" t="str" cm="1">
        <f t="array" aca="1" ref="X1828" ca="1">IFERROR(IF(AE1828&lt;&gt;"ja",_xlfn.IFNA(_xlfn.IFS(AND(P1828&lt;&gt;"",R1828&lt;&gt;"",RIGHT($N1828,6)="tarief",F1828="Vergoeding"),SUM(P1828)*FLOOR(SUM(R1828),0.0001),AND(P1828&lt;&gt;"",R1828&lt;&gt;"",RIGHT($N1828,6)="tarief"),P1828*FLOOR(R1828,0.01),T1828&gt;0,FLOOR(SUM(T1828),0.01)),""),""),"")</f>
        <v/>
      </c>
      <c r="Y1828" s="314" t="str">
        <f t="shared" ca="1" si="114"/>
        <v/>
      </c>
      <c r="Z1828" s="314" t="str" cm="1">
        <f t="array" aca="1" ref="Z1828" ca="1">IFERROR(_xlfn.IFS(OR(F1828="",LEFT(Methode_Keuze,4)="Geen",Methode_Keuze=""),"",AND(W1828&lt;&gt;"",F1828&lt;&gt;"Arbeidskosten"),W1828*VLOOKUP(F1828,Tb_ProjectKosten[],MATCH(Tb_ProjectKosten[[#Headers],[Forfait_Percentage]],Tb_ProjectKosten[#Headers],0),0),AND(F1828="Arbeidskosten",G1828&lt;&gt;""),IFERROR(W1828*VLOOKUP(G1828,Tb_KostenTypen[],3,0)*VLOOKUP(F1828,Tb_ProjectKosten[],MATCH(Tb_ProjectKosten[[#Headers],[Forfait_Percentage]],Tb_ProjectKosten[#Headers],0),0),""),W1828 &lt;=0,0),"")</f>
        <v/>
      </c>
      <c r="AA1828" s="314" t="str" cm="1">
        <f t="array" aca="1" ref="AA1828" ca="1">IFERROR(_xlfn.IFS(OR(F1828="",LEFT(Methode_Keuze,4)="Geen",Methode_Keuze=""),"",AND(X1828&lt;&gt;"",F1828&lt;&gt;"Arbeidskosten"),X1828*VLOOKUP(F1828,Tb_ProjectKosten[],MATCH(Tb_ProjectKosten[[#Headers],[Forfait_Percentage]],Tb_ProjectKosten[#Headers],0),0),AND(F1828="Arbeidskosten",G1828&lt;&gt;""),IFERROR(X1828*VLOOKUP(G1828,Tb_KostenTypen[],3,0)*VLOOKUP(F1828,Tb_ProjectKosten[],MATCH(Tb_ProjectKosten[[#Headers],[Forfait_Percentage]],Tb_ProjectKosten[#Headers],0),0),""),X1828 &lt;=0,0),"")</f>
        <v/>
      </c>
      <c r="AB1828" s="314" t="str">
        <f t="shared" ca="1" si="115"/>
        <v/>
      </c>
      <c r="AC1828" s="322"/>
      <c r="AD1828" s="315"/>
      <c r="AE1828" s="32" t="str" cm="1">
        <f t="array" ref="AE1828">IFERROR(IF(INDEX(SubsidieTabel!$AD$1:$AG$12,MATCH($F1828,SubsidieTabel!$AD$1:$AD$12,0),IFERROR(MATCH(Methode_Keuze,SubsidieTabel!$AD$1:$AG$1,0),2))&lt;&gt;1=TRUE,"ja",""),"")</f>
        <v/>
      </c>
    </row>
    <row r="1829" spans="1:31" x14ac:dyDescent="0.25">
      <c r="A1829" s="316"/>
      <c r="B1829" s="317" t="str">
        <f>IF(A1829&lt;&gt;"",_xlfn.MAXIFS($B$1:B1828,$A$1:A1828,A1829)+1,"")</f>
        <v/>
      </c>
      <c r="C1829" s="296"/>
      <c r="D1829" s="296"/>
      <c r="E1829" s="296"/>
      <c r="F1829" s="296"/>
      <c r="G1829" s="326"/>
      <c r="H1829" s="324"/>
      <c r="I1829" s="325"/>
      <c r="J1829" s="325"/>
      <c r="K1829" s="318"/>
      <c r="L1829" s="318"/>
      <c r="M1829" s="319" t="str">
        <f>IFERROR(VLOOKUP(H1829,Lijsten!$H$1:$I$100,2,0),"")</f>
        <v/>
      </c>
      <c r="N1829" s="319" t="str">
        <f ca="1">IFERROR(IF(VLOOKUP(F1829,Kostentypen!$A$3:$E$21,3,0)=0,"",IF(OR(F1829="Arbeidskosten",F1829="Vergoeding"),VLOOKUP(G1829,Tb_KostenTypen[],2,0),VLOOKUP(F1829,Kostentypen!$A$3:$E$20,3,0))),"")</f>
        <v/>
      </c>
      <c r="O1829" s="320" t="str" cm="1">
        <f t="array" ref="O1829">_xlfn.IFNA(IF(INDEX(Tb_KostenOptiesDB[],MATCH($F1829,Tb_KostenOptiesDB[KostenOptie],0),IFERROR(MATCH(Methode_Keuze,Tb_KostenOptiesDB[#Headers],0),2))=1,_xlfn.SWITCH($N1829,"Uurtarief",IF(OR(AND(RIGHT($F1829,3)="IKS",VLOOKUP($M1829,DB_Loonkosten,2,0)="Ja"),AND(RIGHT($F1829,3)&lt;&gt;"IKS",VLOOKUP($M1829,DB_Loonkosten,2,0)="Nee")),IFERROR(VLOOKUP($M1829,DB_Loonkosten,24,0),""),0),"Vast tarief",IF(LEFT(F1829,8)="Bijdrage",VLOOKUP($F1829,Tb_KostenTypen[],MATCH(Lijsten!$P$1,Tb_KostenTypen[#Headers],0),0),VLOOKUP($G1829,Lijsten!L:P,MATCH(Lijsten!$P$1,Kop_Tarief_Vast,0),0))),""),"")</f>
        <v/>
      </c>
      <c r="P1829" s="320" t="str" cm="1">
        <f t="array" ref="P1829">_xlfn.IFNA(IF(INDEX(Tb_KostenOptiesDB[],MATCH($F1829,Tb_KostenOptiesDB[KostenOptie],0),IFERROR(MATCH(Methode_Keuze,Tb_KostenOptiesDB[#Headers],0),2))=1,_xlfn.SWITCH($N1829,"Uurtarief",IF(OR(AND(RIGHT($F1829,3)="IKS",VLOOKUP($M1829,DB_Loonkosten,2,0)="Ja"),AND(RIGHT($F1829,3)&lt;&gt;"IKS",VLOOKUP($M1829,DB_Loonkosten,2,0)="Nee")),IFERROR(VLOOKUP($M1829,DB_Loonkosten,25,0),""),0),"Vast tarief",IF(LEFT(F1829,8)="Bijdrage",VLOOKUP($F1829,Tb_KostenTypen[],MATCH(Lijsten!$P$1,Tb_KostenTypen[#Headers],0),0),VLOOKUP($G1829,Lijsten!L:P,MATCH(Lijsten!$P$1,Kop_Tarief_Vast,0),0))),""),"")</f>
        <v/>
      </c>
      <c r="Q1829" s="359"/>
      <c r="R1829" s="359"/>
      <c r="S1829" s="321"/>
      <c r="T1829" s="321"/>
      <c r="U1829" s="373" t="str">
        <f t="shared" si="112"/>
        <v/>
      </c>
      <c r="V1829" s="314" t="str">
        <f t="shared" si="113"/>
        <v/>
      </c>
      <c r="W1829" s="314" t="str" cm="1">
        <f t="array" aca="1" ref="W1829" ca="1">IFERROR(IF(AE1829&lt;&gt;"ja",_xlfn.IFNA(_xlfn.IFS(AND(O1829&lt;&gt;"",F1829&lt;&gt;"",RIGHT($N1829,6)="tarief",F1829="Vergoeding"),SUM(O1829)*FLOOR(SUM(Q1829),0.0001),AND(O1829&lt;&gt;"",F1829&lt;&gt;"",RIGHT($N1829,6)="tarief"),SUM(O1829)*FLOOR(SUM(Q1829),0.01),S1829&gt;0,IF(F1829&lt;&gt;"",FLOOR(SUM(S1829),0.01),"")),""),""),"")</f>
        <v/>
      </c>
      <c r="X1829" s="314" t="str" cm="1">
        <f t="array" aca="1" ref="X1829" ca="1">IFERROR(IF(AE1829&lt;&gt;"ja",_xlfn.IFNA(_xlfn.IFS(AND(P1829&lt;&gt;"",R1829&lt;&gt;"",RIGHT($N1829,6)="tarief",F1829="Vergoeding"),SUM(P1829)*FLOOR(SUM(R1829),0.0001),AND(P1829&lt;&gt;"",R1829&lt;&gt;"",RIGHT($N1829,6)="tarief"),P1829*FLOOR(R1829,0.01),T1829&gt;0,FLOOR(SUM(T1829),0.01)),""),""),"")</f>
        <v/>
      </c>
      <c r="Y1829" s="314" t="str">
        <f t="shared" ca="1" si="114"/>
        <v/>
      </c>
      <c r="Z1829" s="314" t="str" cm="1">
        <f t="array" aca="1" ref="Z1829" ca="1">IFERROR(_xlfn.IFS(OR(F1829="",LEFT(Methode_Keuze,4)="Geen",Methode_Keuze=""),"",AND(W1829&lt;&gt;"",F1829&lt;&gt;"Arbeidskosten"),W1829*VLOOKUP(F1829,Tb_ProjectKosten[],MATCH(Tb_ProjectKosten[[#Headers],[Forfait_Percentage]],Tb_ProjectKosten[#Headers],0),0),AND(F1829="Arbeidskosten",G1829&lt;&gt;""),IFERROR(W1829*VLOOKUP(G1829,Tb_KostenTypen[],3,0)*VLOOKUP(F1829,Tb_ProjectKosten[],MATCH(Tb_ProjectKosten[[#Headers],[Forfait_Percentage]],Tb_ProjectKosten[#Headers],0),0),""),W1829 &lt;=0,0),"")</f>
        <v/>
      </c>
      <c r="AA1829" s="314" t="str" cm="1">
        <f t="array" aca="1" ref="AA1829" ca="1">IFERROR(_xlfn.IFS(OR(F1829="",LEFT(Methode_Keuze,4)="Geen",Methode_Keuze=""),"",AND(X1829&lt;&gt;"",F1829&lt;&gt;"Arbeidskosten"),X1829*VLOOKUP(F1829,Tb_ProjectKosten[],MATCH(Tb_ProjectKosten[[#Headers],[Forfait_Percentage]],Tb_ProjectKosten[#Headers],0),0),AND(F1829="Arbeidskosten",G1829&lt;&gt;""),IFERROR(X1829*VLOOKUP(G1829,Tb_KostenTypen[],3,0)*VLOOKUP(F1829,Tb_ProjectKosten[],MATCH(Tb_ProjectKosten[[#Headers],[Forfait_Percentage]],Tb_ProjectKosten[#Headers],0),0),""),X1829 &lt;=0,0),"")</f>
        <v/>
      </c>
      <c r="AB1829" s="314" t="str">
        <f t="shared" ca="1" si="115"/>
        <v/>
      </c>
      <c r="AC1829" s="322"/>
      <c r="AD1829" s="315"/>
      <c r="AE1829" s="32" t="str" cm="1">
        <f t="array" ref="AE1829">IFERROR(IF(INDEX(SubsidieTabel!$AD$1:$AG$12,MATCH($F1829,SubsidieTabel!$AD$1:$AD$12,0),IFERROR(MATCH(Methode_Keuze,SubsidieTabel!$AD$1:$AG$1,0),2))&lt;&gt;1=TRUE,"ja",""),"")</f>
        <v/>
      </c>
    </row>
    <row r="1830" spans="1:31" x14ac:dyDescent="0.25">
      <c r="A1830" s="316"/>
      <c r="B1830" s="317" t="str">
        <f>IF(A1830&lt;&gt;"",_xlfn.MAXIFS($B$1:B1829,$A$1:A1829,A1830)+1,"")</f>
        <v/>
      </c>
      <c r="C1830" s="296"/>
      <c r="D1830" s="296"/>
      <c r="E1830" s="296"/>
      <c r="F1830" s="296"/>
      <c r="G1830" s="326"/>
      <c r="H1830" s="324"/>
      <c r="I1830" s="325"/>
      <c r="J1830" s="325"/>
      <c r="K1830" s="318"/>
      <c r="L1830" s="318"/>
      <c r="M1830" s="319" t="str">
        <f>IFERROR(VLOOKUP(H1830,Lijsten!$H$1:$I$100,2,0),"")</f>
        <v/>
      </c>
      <c r="N1830" s="319" t="str">
        <f ca="1">IFERROR(IF(VLOOKUP(F1830,Kostentypen!$A$3:$E$21,3,0)=0,"",IF(OR(F1830="Arbeidskosten",F1830="Vergoeding"),VLOOKUP(G1830,Tb_KostenTypen[],2,0),VLOOKUP(F1830,Kostentypen!$A$3:$E$20,3,0))),"")</f>
        <v/>
      </c>
      <c r="O1830" s="320" t="str" cm="1">
        <f t="array" ref="O1830">_xlfn.IFNA(IF(INDEX(Tb_KostenOptiesDB[],MATCH($F1830,Tb_KostenOptiesDB[KostenOptie],0),IFERROR(MATCH(Methode_Keuze,Tb_KostenOptiesDB[#Headers],0),2))=1,_xlfn.SWITCH($N1830,"Uurtarief",IF(OR(AND(RIGHT($F1830,3)="IKS",VLOOKUP($M1830,DB_Loonkosten,2,0)="Ja"),AND(RIGHT($F1830,3)&lt;&gt;"IKS",VLOOKUP($M1830,DB_Loonkosten,2,0)="Nee")),IFERROR(VLOOKUP($M1830,DB_Loonkosten,24,0),""),0),"Vast tarief",IF(LEFT(F1830,8)="Bijdrage",VLOOKUP($F1830,Tb_KostenTypen[],MATCH(Lijsten!$P$1,Tb_KostenTypen[#Headers],0),0),VLOOKUP($G1830,Lijsten!L:P,MATCH(Lijsten!$P$1,Kop_Tarief_Vast,0),0))),""),"")</f>
        <v/>
      </c>
      <c r="P1830" s="320" t="str" cm="1">
        <f t="array" ref="P1830">_xlfn.IFNA(IF(INDEX(Tb_KostenOptiesDB[],MATCH($F1830,Tb_KostenOptiesDB[KostenOptie],0),IFERROR(MATCH(Methode_Keuze,Tb_KostenOptiesDB[#Headers],0),2))=1,_xlfn.SWITCH($N1830,"Uurtarief",IF(OR(AND(RIGHT($F1830,3)="IKS",VLOOKUP($M1830,DB_Loonkosten,2,0)="Ja"),AND(RIGHT($F1830,3)&lt;&gt;"IKS",VLOOKUP($M1830,DB_Loonkosten,2,0)="Nee")),IFERROR(VLOOKUP($M1830,DB_Loonkosten,25,0),""),0),"Vast tarief",IF(LEFT(F1830,8)="Bijdrage",VLOOKUP($F1830,Tb_KostenTypen[],MATCH(Lijsten!$P$1,Tb_KostenTypen[#Headers],0),0),VLOOKUP($G1830,Lijsten!L:P,MATCH(Lijsten!$P$1,Kop_Tarief_Vast,0),0))),""),"")</f>
        <v/>
      </c>
      <c r="Q1830" s="359"/>
      <c r="R1830" s="359"/>
      <c r="S1830" s="321"/>
      <c r="T1830" s="321"/>
      <c r="U1830" s="373" t="str">
        <f t="shared" si="112"/>
        <v/>
      </c>
      <c r="V1830" s="314" t="str">
        <f t="shared" si="113"/>
        <v/>
      </c>
      <c r="W1830" s="314" t="str" cm="1">
        <f t="array" aca="1" ref="W1830" ca="1">IFERROR(IF(AE1830&lt;&gt;"ja",_xlfn.IFNA(_xlfn.IFS(AND(O1830&lt;&gt;"",F1830&lt;&gt;"",RIGHT($N1830,6)="tarief",F1830="Vergoeding"),SUM(O1830)*FLOOR(SUM(Q1830),0.0001),AND(O1830&lt;&gt;"",F1830&lt;&gt;"",RIGHT($N1830,6)="tarief"),SUM(O1830)*FLOOR(SUM(Q1830),0.01),S1830&gt;0,IF(F1830&lt;&gt;"",FLOOR(SUM(S1830),0.01),"")),""),""),"")</f>
        <v/>
      </c>
      <c r="X1830" s="314" t="str" cm="1">
        <f t="array" aca="1" ref="X1830" ca="1">IFERROR(IF(AE1830&lt;&gt;"ja",_xlfn.IFNA(_xlfn.IFS(AND(P1830&lt;&gt;"",R1830&lt;&gt;"",RIGHT($N1830,6)="tarief",F1830="Vergoeding"),SUM(P1830)*FLOOR(SUM(R1830),0.0001),AND(P1830&lt;&gt;"",R1830&lt;&gt;"",RIGHT($N1830,6)="tarief"),P1830*FLOOR(R1830,0.01),T1830&gt;0,FLOOR(SUM(T1830),0.01)),""),""),"")</f>
        <v/>
      </c>
      <c r="Y1830" s="314" t="str">
        <f t="shared" ca="1" si="114"/>
        <v/>
      </c>
      <c r="Z1830" s="314" t="str" cm="1">
        <f t="array" aca="1" ref="Z1830" ca="1">IFERROR(_xlfn.IFS(OR(F1830="",LEFT(Methode_Keuze,4)="Geen",Methode_Keuze=""),"",AND(W1830&lt;&gt;"",F1830&lt;&gt;"Arbeidskosten"),W1830*VLOOKUP(F1830,Tb_ProjectKosten[],MATCH(Tb_ProjectKosten[[#Headers],[Forfait_Percentage]],Tb_ProjectKosten[#Headers],0),0),AND(F1830="Arbeidskosten",G1830&lt;&gt;""),IFERROR(W1830*VLOOKUP(G1830,Tb_KostenTypen[],3,0)*VLOOKUP(F1830,Tb_ProjectKosten[],MATCH(Tb_ProjectKosten[[#Headers],[Forfait_Percentage]],Tb_ProjectKosten[#Headers],0),0),""),W1830 &lt;=0,0),"")</f>
        <v/>
      </c>
      <c r="AA1830" s="314" t="str" cm="1">
        <f t="array" aca="1" ref="AA1830" ca="1">IFERROR(_xlfn.IFS(OR(F1830="",LEFT(Methode_Keuze,4)="Geen",Methode_Keuze=""),"",AND(X1830&lt;&gt;"",F1830&lt;&gt;"Arbeidskosten"),X1830*VLOOKUP(F1830,Tb_ProjectKosten[],MATCH(Tb_ProjectKosten[[#Headers],[Forfait_Percentage]],Tb_ProjectKosten[#Headers],0),0),AND(F1830="Arbeidskosten",G1830&lt;&gt;""),IFERROR(X1830*VLOOKUP(G1830,Tb_KostenTypen[],3,0)*VLOOKUP(F1830,Tb_ProjectKosten[],MATCH(Tb_ProjectKosten[[#Headers],[Forfait_Percentage]],Tb_ProjectKosten[#Headers],0),0),""),X1830 &lt;=0,0),"")</f>
        <v/>
      </c>
      <c r="AB1830" s="314" t="str">
        <f t="shared" ca="1" si="115"/>
        <v/>
      </c>
      <c r="AC1830" s="322"/>
      <c r="AD1830" s="315"/>
      <c r="AE1830" s="32" t="str" cm="1">
        <f t="array" ref="AE1830">IFERROR(IF(INDEX(SubsidieTabel!$AD$1:$AG$12,MATCH($F1830,SubsidieTabel!$AD$1:$AD$12,0),IFERROR(MATCH(Methode_Keuze,SubsidieTabel!$AD$1:$AG$1,0),2))&lt;&gt;1=TRUE,"ja",""),"")</f>
        <v/>
      </c>
    </row>
    <row r="1831" spans="1:31" x14ac:dyDescent="0.25">
      <c r="A1831" s="316"/>
      <c r="B1831" s="317" t="str">
        <f>IF(A1831&lt;&gt;"",_xlfn.MAXIFS($B$1:B1830,$A$1:A1830,A1831)+1,"")</f>
        <v/>
      </c>
      <c r="C1831" s="296"/>
      <c r="D1831" s="296"/>
      <c r="E1831" s="296"/>
      <c r="F1831" s="296"/>
      <c r="G1831" s="326"/>
      <c r="H1831" s="324"/>
      <c r="I1831" s="325"/>
      <c r="J1831" s="325"/>
      <c r="K1831" s="318"/>
      <c r="L1831" s="318"/>
      <c r="M1831" s="319" t="str">
        <f>IFERROR(VLOOKUP(H1831,Lijsten!$H$1:$I$100,2,0),"")</f>
        <v/>
      </c>
      <c r="N1831" s="319" t="str">
        <f ca="1">IFERROR(IF(VLOOKUP(F1831,Kostentypen!$A$3:$E$21,3,0)=0,"",IF(OR(F1831="Arbeidskosten",F1831="Vergoeding"),VLOOKUP(G1831,Tb_KostenTypen[],2,0),VLOOKUP(F1831,Kostentypen!$A$3:$E$20,3,0))),"")</f>
        <v/>
      </c>
      <c r="O1831" s="320" t="str" cm="1">
        <f t="array" ref="O1831">_xlfn.IFNA(IF(INDEX(Tb_KostenOptiesDB[],MATCH($F1831,Tb_KostenOptiesDB[KostenOptie],0),IFERROR(MATCH(Methode_Keuze,Tb_KostenOptiesDB[#Headers],0),2))=1,_xlfn.SWITCH($N1831,"Uurtarief",IF(OR(AND(RIGHT($F1831,3)="IKS",VLOOKUP($M1831,DB_Loonkosten,2,0)="Ja"),AND(RIGHT($F1831,3)&lt;&gt;"IKS",VLOOKUP($M1831,DB_Loonkosten,2,0)="Nee")),IFERROR(VLOOKUP($M1831,DB_Loonkosten,24,0),""),0),"Vast tarief",IF(LEFT(F1831,8)="Bijdrage",VLOOKUP($F1831,Tb_KostenTypen[],MATCH(Lijsten!$P$1,Tb_KostenTypen[#Headers],0),0),VLOOKUP($G1831,Lijsten!L:P,MATCH(Lijsten!$P$1,Kop_Tarief_Vast,0),0))),""),"")</f>
        <v/>
      </c>
      <c r="P1831" s="320" t="str" cm="1">
        <f t="array" ref="P1831">_xlfn.IFNA(IF(INDEX(Tb_KostenOptiesDB[],MATCH($F1831,Tb_KostenOptiesDB[KostenOptie],0),IFERROR(MATCH(Methode_Keuze,Tb_KostenOptiesDB[#Headers],0),2))=1,_xlfn.SWITCH($N1831,"Uurtarief",IF(OR(AND(RIGHT($F1831,3)="IKS",VLOOKUP($M1831,DB_Loonkosten,2,0)="Ja"),AND(RIGHT($F1831,3)&lt;&gt;"IKS",VLOOKUP($M1831,DB_Loonkosten,2,0)="Nee")),IFERROR(VLOOKUP($M1831,DB_Loonkosten,25,0),""),0),"Vast tarief",IF(LEFT(F1831,8)="Bijdrage",VLOOKUP($F1831,Tb_KostenTypen[],MATCH(Lijsten!$P$1,Tb_KostenTypen[#Headers],0),0),VLOOKUP($G1831,Lijsten!L:P,MATCH(Lijsten!$P$1,Kop_Tarief_Vast,0),0))),""),"")</f>
        <v/>
      </c>
      <c r="Q1831" s="359"/>
      <c r="R1831" s="359"/>
      <c r="S1831" s="321"/>
      <c r="T1831" s="321"/>
      <c r="U1831" s="373" t="str">
        <f t="shared" si="112"/>
        <v/>
      </c>
      <c r="V1831" s="314" t="str">
        <f t="shared" si="113"/>
        <v/>
      </c>
      <c r="W1831" s="314" t="str" cm="1">
        <f t="array" aca="1" ref="W1831" ca="1">IFERROR(IF(AE1831&lt;&gt;"ja",_xlfn.IFNA(_xlfn.IFS(AND(O1831&lt;&gt;"",F1831&lt;&gt;"",RIGHT($N1831,6)="tarief",F1831="Vergoeding"),SUM(O1831)*FLOOR(SUM(Q1831),0.0001),AND(O1831&lt;&gt;"",F1831&lt;&gt;"",RIGHT($N1831,6)="tarief"),SUM(O1831)*FLOOR(SUM(Q1831),0.01),S1831&gt;0,IF(F1831&lt;&gt;"",FLOOR(SUM(S1831),0.01),"")),""),""),"")</f>
        <v/>
      </c>
      <c r="X1831" s="314" t="str" cm="1">
        <f t="array" aca="1" ref="X1831" ca="1">IFERROR(IF(AE1831&lt;&gt;"ja",_xlfn.IFNA(_xlfn.IFS(AND(P1831&lt;&gt;"",R1831&lt;&gt;"",RIGHT($N1831,6)="tarief",F1831="Vergoeding"),SUM(P1831)*FLOOR(SUM(R1831),0.0001),AND(P1831&lt;&gt;"",R1831&lt;&gt;"",RIGHT($N1831,6)="tarief"),P1831*FLOOR(R1831,0.01),T1831&gt;0,FLOOR(SUM(T1831),0.01)),""),""),"")</f>
        <v/>
      </c>
      <c r="Y1831" s="314" t="str">
        <f t="shared" ca="1" si="114"/>
        <v/>
      </c>
      <c r="Z1831" s="314" t="str" cm="1">
        <f t="array" aca="1" ref="Z1831" ca="1">IFERROR(_xlfn.IFS(OR(F1831="",LEFT(Methode_Keuze,4)="Geen",Methode_Keuze=""),"",AND(W1831&lt;&gt;"",F1831&lt;&gt;"Arbeidskosten"),W1831*VLOOKUP(F1831,Tb_ProjectKosten[],MATCH(Tb_ProjectKosten[[#Headers],[Forfait_Percentage]],Tb_ProjectKosten[#Headers],0),0),AND(F1831="Arbeidskosten",G1831&lt;&gt;""),IFERROR(W1831*VLOOKUP(G1831,Tb_KostenTypen[],3,0)*VLOOKUP(F1831,Tb_ProjectKosten[],MATCH(Tb_ProjectKosten[[#Headers],[Forfait_Percentage]],Tb_ProjectKosten[#Headers],0),0),""),W1831 &lt;=0,0),"")</f>
        <v/>
      </c>
      <c r="AA1831" s="314" t="str" cm="1">
        <f t="array" aca="1" ref="AA1831" ca="1">IFERROR(_xlfn.IFS(OR(F1831="",LEFT(Methode_Keuze,4)="Geen",Methode_Keuze=""),"",AND(X1831&lt;&gt;"",F1831&lt;&gt;"Arbeidskosten"),X1831*VLOOKUP(F1831,Tb_ProjectKosten[],MATCH(Tb_ProjectKosten[[#Headers],[Forfait_Percentage]],Tb_ProjectKosten[#Headers],0),0),AND(F1831="Arbeidskosten",G1831&lt;&gt;""),IFERROR(X1831*VLOOKUP(G1831,Tb_KostenTypen[],3,0)*VLOOKUP(F1831,Tb_ProjectKosten[],MATCH(Tb_ProjectKosten[[#Headers],[Forfait_Percentage]],Tb_ProjectKosten[#Headers],0),0),""),X1831 &lt;=0,0),"")</f>
        <v/>
      </c>
      <c r="AB1831" s="314" t="str">
        <f t="shared" ca="1" si="115"/>
        <v/>
      </c>
      <c r="AC1831" s="322"/>
      <c r="AD1831" s="315"/>
      <c r="AE1831" s="32" t="str" cm="1">
        <f t="array" ref="AE1831">IFERROR(IF(INDEX(SubsidieTabel!$AD$1:$AG$12,MATCH($F1831,SubsidieTabel!$AD$1:$AD$12,0),IFERROR(MATCH(Methode_Keuze,SubsidieTabel!$AD$1:$AG$1,0),2))&lt;&gt;1=TRUE,"ja",""),"")</f>
        <v/>
      </c>
    </row>
    <row r="1832" spans="1:31" x14ac:dyDescent="0.25">
      <c r="A1832" s="316"/>
      <c r="B1832" s="317" t="str">
        <f>IF(A1832&lt;&gt;"",_xlfn.MAXIFS($B$1:B1831,$A$1:A1831,A1832)+1,"")</f>
        <v/>
      </c>
      <c r="C1832" s="296"/>
      <c r="D1832" s="296"/>
      <c r="E1832" s="296"/>
      <c r="F1832" s="296"/>
      <c r="G1832" s="326"/>
      <c r="H1832" s="324"/>
      <c r="I1832" s="325"/>
      <c r="J1832" s="325"/>
      <c r="K1832" s="318"/>
      <c r="L1832" s="318"/>
      <c r="M1832" s="319" t="str">
        <f>IFERROR(VLOOKUP(H1832,Lijsten!$H$1:$I$100,2,0),"")</f>
        <v/>
      </c>
      <c r="N1832" s="319" t="str">
        <f ca="1">IFERROR(IF(VLOOKUP(F1832,Kostentypen!$A$3:$E$21,3,0)=0,"",IF(OR(F1832="Arbeidskosten",F1832="Vergoeding"),VLOOKUP(G1832,Tb_KostenTypen[],2,0),VLOOKUP(F1832,Kostentypen!$A$3:$E$20,3,0))),"")</f>
        <v/>
      </c>
      <c r="O1832" s="320" t="str" cm="1">
        <f t="array" ref="O1832">_xlfn.IFNA(IF(INDEX(Tb_KostenOptiesDB[],MATCH($F1832,Tb_KostenOptiesDB[KostenOptie],0),IFERROR(MATCH(Methode_Keuze,Tb_KostenOptiesDB[#Headers],0),2))=1,_xlfn.SWITCH($N1832,"Uurtarief",IF(OR(AND(RIGHT($F1832,3)="IKS",VLOOKUP($M1832,DB_Loonkosten,2,0)="Ja"),AND(RIGHT($F1832,3)&lt;&gt;"IKS",VLOOKUP($M1832,DB_Loonkosten,2,0)="Nee")),IFERROR(VLOOKUP($M1832,DB_Loonkosten,24,0),""),0),"Vast tarief",IF(LEFT(F1832,8)="Bijdrage",VLOOKUP($F1832,Tb_KostenTypen[],MATCH(Lijsten!$P$1,Tb_KostenTypen[#Headers],0),0),VLOOKUP($G1832,Lijsten!L:P,MATCH(Lijsten!$P$1,Kop_Tarief_Vast,0),0))),""),"")</f>
        <v/>
      </c>
      <c r="P1832" s="320" t="str" cm="1">
        <f t="array" ref="P1832">_xlfn.IFNA(IF(INDEX(Tb_KostenOptiesDB[],MATCH($F1832,Tb_KostenOptiesDB[KostenOptie],0),IFERROR(MATCH(Methode_Keuze,Tb_KostenOptiesDB[#Headers],0),2))=1,_xlfn.SWITCH($N1832,"Uurtarief",IF(OR(AND(RIGHT($F1832,3)="IKS",VLOOKUP($M1832,DB_Loonkosten,2,0)="Ja"),AND(RIGHT($F1832,3)&lt;&gt;"IKS",VLOOKUP($M1832,DB_Loonkosten,2,0)="Nee")),IFERROR(VLOOKUP($M1832,DB_Loonkosten,25,0),""),0),"Vast tarief",IF(LEFT(F1832,8)="Bijdrage",VLOOKUP($F1832,Tb_KostenTypen[],MATCH(Lijsten!$P$1,Tb_KostenTypen[#Headers],0),0),VLOOKUP($G1832,Lijsten!L:P,MATCH(Lijsten!$P$1,Kop_Tarief_Vast,0),0))),""),"")</f>
        <v/>
      </c>
      <c r="Q1832" s="359"/>
      <c r="R1832" s="359"/>
      <c r="S1832" s="321"/>
      <c r="T1832" s="321"/>
      <c r="U1832" s="373" t="str">
        <f t="shared" si="112"/>
        <v/>
      </c>
      <c r="V1832" s="314" t="str">
        <f t="shared" si="113"/>
        <v/>
      </c>
      <c r="W1832" s="314" t="str" cm="1">
        <f t="array" aca="1" ref="W1832" ca="1">IFERROR(IF(AE1832&lt;&gt;"ja",_xlfn.IFNA(_xlfn.IFS(AND(O1832&lt;&gt;"",F1832&lt;&gt;"",RIGHT($N1832,6)="tarief",F1832="Vergoeding"),SUM(O1832)*FLOOR(SUM(Q1832),0.0001),AND(O1832&lt;&gt;"",F1832&lt;&gt;"",RIGHT($N1832,6)="tarief"),SUM(O1832)*FLOOR(SUM(Q1832),0.01),S1832&gt;0,IF(F1832&lt;&gt;"",FLOOR(SUM(S1832),0.01),"")),""),""),"")</f>
        <v/>
      </c>
      <c r="X1832" s="314" t="str" cm="1">
        <f t="array" aca="1" ref="X1832" ca="1">IFERROR(IF(AE1832&lt;&gt;"ja",_xlfn.IFNA(_xlfn.IFS(AND(P1832&lt;&gt;"",R1832&lt;&gt;"",RIGHT($N1832,6)="tarief",F1832="Vergoeding"),SUM(P1832)*FLOOR(SUM(R1832),0.0001),AND(P1832&lt;&gt;"",R1832&lt;&gt;"",RIGHT($N1832,6)="tarief"),P1832*FLOOR(R1832,0.01),T1832&gt;0,FLOOR(SUM(T1832),0.01)),""),""),"")</f>
        <v/>
      </c>
      <c r="Y1832" s="314" t="str">
        <f t="shared" ca="1" si="114"/>
        <v/>
      </c>
      <c r="Z1832" s="314" t="str" cm="1">
        <f t="array" aca="1" ref="Z1832" ca="1">IFERROR(_xlfn.IFS(OR(F1832="",LEFT(Methode_Keuze,4)="Geen",Methode_Keuze=""),"",AND(W1832&lt;&gt;"",F1832&lt;&gt;"Arbeidskosten"),W1832*VLOOKUP(F1832,Tb_ProjectKosten[],MATCH(Tb_ProjectKosten[[#Headers],[Forfait_Percentage]],Tb_ProjectKosten[#Headers],0),0),AND(F1832="Arbeidskosten",G1832&lt;&gt;""),IFERROR(W1832*VLOOKUP(G1832,Tb_KostenTypen[],3,0)*VLOOKUP(F1832,Tb_ProjectKosten[],MATCH(Tb_ProjectKosten[[#Headers],[Forfait_Percentage]],Tb_ProjectKosten[#Headers],0),0),""),W1832 &lt;=0,0),"")</f>
        <v/>
      </c>
      <c r="AA1832" s="314" t="str" cm="1">
        <f t="array" aca="1" ref="AA1832" ca="1">IFERROR(_xlfn.IFS(OR(F1832="",LEFT(Methode_Keuze,4)="Geen",Methode_Keuze=""),"",AND(X1832&lt;&gt;"",F1832&lt;&gt;"Arbeidskosten"),X1832*VLOOKUP(F1832,Tb_ProjectKosten[],MATCH(Tb_ProjectKosten[[#Headers],[Forfait_Percentage]],Tb_ProjectKosten[#Headers],0),0),AND(F1832="Arbeidskosten",G1832&lt;&gt;""),IFERROR(X1832*VLOOKUP(G1832,Tb_KostenTypen[],3,0)*VLOOKUP(F1832,Tb_ProjectKosten[],MATCH(Tb_ProjectKosten[[#Headers],[Forfait_Percentage]],Tb_ProjectKosten[#Headers],0),0),""),X1832 &lt;=0,0),"")</f>
        <v/>
      </c>
      <c r="AB1832" s="314" t="str">
        <f t="shared" ca="1" si="115"/>
        <v/>
      </c>
      <c r="AC1832" s="322"/>
      <c r="AD1832" s="315"/>
      <c r="AE1832" s="32" t="str" cm="1">
        <f t="array" ref="AE1832">IFERROR(IF(INDEX(SubsidieTabel!$AD$1:$AG$12,MATCH($F1832,SubsidieTabel!$AD$1:$AD$12,0),IFERROR(MATCH(Methode_Keuze,SubsidieTabel!$AD$1:$AG$1,0),2))&lt;&gt;1=TRUE,"ja",""),"")</f>
        <v/>
      </c>
    </row>
    <row r="1833" spans="1:31" x14ac:dyDescent="0.25">
      <c r="A1833" s="316"/>
      <c r="B1833" s="317" t="str">
        <f>IF(A1833&lt;&gt;"",_xlfn.MAXIFS($B$1:B1832,$A$1:A1832,A1833)+1,"")</f>
        <v/>
      </c>
      <c r="C1833" s="296"/>
      <c r="D1833" s="296"/>
      <c r="E1833" s="296"/>
      <c r="F1833" s="296"/>
      <c r="G1833" s="326"/>
      <c r="H1833" s="324"/>
      <c r="I1833" s="325"/>
      <c r="J1833" s="325"/>
      <c r="K1833" s="318"/>
      <c r="L1833" s="318"/>
      <c r="M1833" s="319" t="str">
        <f>IFERROR(VLOOKUP(H1833,Lijsten!$H$1:$I$100,2,0),"")</f>
        <v/>
      </c>
      <c r="N1833" s="319" t="str">
        <f ca="1">IFERROR(IF(VLOOKUP(F1833,Kostentypen!$A$3:$E$21,3,0)=0,"",IF(OR(F1833="Arbeidskosten",F1833="Vergoeding"),VLOOKUP(G1833,Tb_KostenTypen[],2,0),VLOOKUP(F1833,Kostentypen!$A$3:$E$20,3,0))),"")</f>
        <v/>
      </c>
      <c r="O1833" s="320" t="str" cm="1">
        <f t="array" ref="O1833">_xlfn.IFNA(IF(INDEX(Tb_KostenOptiesDB[],MATCH($F1833,Tb_KostenOptiesDB[KostenOptie],0),IFERROR(MATCH(Methode_Keuze,Tb_KostenOptiesDB[#Headers],0),2))=1,_xlfn.SWITCH($N1833,"Uurtarief",IF(OR(AND(RIGHT($F1833,3)="IKS",VLOOKUP($M1833,DB_Loonkosten,2,0)="Ja"),AND(RIGHT($F1833,3)&lt;&gt;"IKS",VLOOKUP($M1833,DB_Loonkosten,2,0)="Nee")),IFERROR(VLOOKUP($M1833,DB_Loonkosten,24,0),""),0),"Vast tarief",IF(LEFT(F1833,8)="Bijdrage",VLOOKUP($F1833,Tb_KostenTypen[],MATCH(Lijsten!$P$1,Tb_KostenTypen[#Headers],0),0),VLOOKUP($G1833,Lijsten!L:P,MATCH(Lijsten!$P$1,Kop_Tarief_Vast,0),0))),""),"")</f>
        <v/>
      </c>
      <c r="P1833" s="320" t="str" cm="1">
        <f t="array" ref="P1833">_xlfn.IFNA(IF(INDEX(Tb_KostenOptiesDB[],MATCH($F1833,Tb_KostenOptiesDB[KostenOptie],0),IFERROR(MATCH(Methode_Keuze,Tb_KostenOptiesDB[#Headers],0),2))=1,_xlfn.SWITCH($N1833,"Uurtarief",IF(OR(AND(RIGHT($F1833,3)="IKS",VLOOKUP($M1833,DB_Loonkosten,2,0)="Ja"),AND(RIGHT($F1833,3)&lt;&gt;"IKS",VLOOKUP($M1833,DB_Loonkosten,2,0)="Nee")),IFERROR(VLOOKUP($M1833,DB_Loonkosten,25,0),""),0),"Vast tarief",IF(LEFT(F1833,8)="Bijdrage",VLOOKUP($F1833,Tb_KostenTypen[],MATCH(Lijsten!$P$1,Tb_KostenTypen[#Headers],0),0),VLOOKUP($G1833,Lijsten!L:P,MATCH(Lijsten!$P$1,Kop_Tarief_Vast,0),0))),""),"")</f>
        <v/>
      </c>
      <c r="Q1833" s="359"/>
      <c r="R1833" s="359"/>
      <c r="S1833" s="321"/>
      <c r="T1833" s="321"/>
      <c r="U1833" s="373" t="str">
        <f t="shared" si="112"/>
        <v/>
      </c>
      <c r="V1833" s="314" t="str">
        <f t="shared" si="113"/>
        <v/>
      </c>
      <c r="W1833" s="314" t="str" cm="1">
        <f t="array" aca="1" ref="W1833" ca="1">IFERROR(IF(AE1833&lt;&gt;"ja",_xlfn.IFNA(_xlfn.IFS(AND(O1833&lt;&gt;"",F1833&lt;&gt;"",RIGHT($N1833,6)="tarief",F1833="Vergoeding"),SUM(O1833)*FLOOR(SUM(Q1833),0.0001),AND(O1833&lt;&gt;"",F1833&lt;&gt;"",RIGHT($N1833,6)="tarief"),SUM(O1833)*FLOOR(SUM(Q1833),0.01),S1833&gt;0,IF(F1833&lt;&gt;"",FLOOR(SUM(S1833),0.01),"")),""),""),"")</f>
        <v/>
      </c>
      <c r="X1833" s="314" t="str" cm="1">
        <f t="array" aca="1" ref="X1833" ca="1">IFERROR(IF(AE1833&lt;&gt;"ja",_xlfn.IFNA(_xlfn.IFS(AND(P1833&lt;&gt;"",R1833&lt;&gt;"",RIGHT($N1833,6)="tarief",F1833="Vergoeding"),SUM(P1833)*FLOOR(SUM(R1833),0.0001),AND(P1833&lt;&gt;"",R1833&lt;&gt;"",RIGHT($N1833,6)="tarief"),P1833*FLOOR(R1833,0.01),T1833&gt;0,FLOOR(SUM(T1833),0.01)),""),""),"")</f>
        <v/>
      </c>
      <c r="Y1833" s="314" t="str">
        <f t="shared" ca="1" si="114"/>
        <v/>
      </c>
      <c r="Z1833" s="314" t="str" cm="1">
        <f t="array" aca="1" ref="Z1833" ca="1">IFERROR(_xlfn.IFS(OR(F1833="",LEFT(Methode_Keuze,4)="Geen",Methode_Keuze=""),"",AND(W1833&lt;&gt;"",F1833&lt;&gt;"Arbeidskosten"),W1833*VLOOKUP(F1833,Tb_ProjectKosten[],MATCH(Tb_ProjectKosten[[#Headers],[Forfait_Percentage]],Tb_ProjectKosten[#Headers],0),0),AND(F1833="Arbeidskosten",G1833&lt;&gt;""),IFERROR(W1833*VLOOKUP(G1833,Tb_KostenTypen[],3,0)*VLOOKUP(F1833,Tb_ProjectKosten[],MATCH(Tb_ProjectKosten[[#Headers],[Forfait_Percentage]],Tb_ProjectKosten[#Headers],0),0),""),W1833 &lt;=0,0),"")</f>
        <v/>
      </c>
      <c r="AA1833" s="314" t="str" cm="1">
        <f t="array" aca="1" ref="AA1833" ca="1">IFERROR(_xlfn.IFS(OR(F1833="",LEFT(Methode_Keuze,4)="Geen",Methode_Keuze=""),"",AND(X1833&lt;&gt;"",F1833&lt;&gt;"Arbeidskosten"),X1833*VLOOKUP(F1833,Tb_ProjectKosten[],MATCH(Tb_ProjectKosten[[#Headers],[Forfait_Percentage]],Tb_ProjectKosten[#Headers],0),0),AND(F1833="Arbeidskosten",G1833&lt;&gt;""),IFERROR(X1833*VLOOKUP(G1833,Tb_KostenTypen[],3,0)*VLOOKUP(F1833,Tb_ProjectKosten[],MATCH(Tb_ProjectKosten[[#Headers],[Forfait_Percentage]],Tb_ProjectKosten[#Headers],0),0),""),X1833 &lt;=0,0),"")</f>
        <v/>
      </c>
      <c r="AB1833" s="314" t="str">
        <f t="shared" ca="1" si="115"/>
        <v/>
      </c>
      <c r="AC1833" s="322"/>
      <c r="AD1833" s="315"/>
      <c r="AE1833" s="32" t="str" cm="1">
        <f t="array" ref="AE1833">IFERROR(IF(INDEX(SubsidieTabel!$AD$1:$AG$12,MATCH($F1833,SubsidieTabel!$AD$1:$AD$12,0),IFERROR(MATCH(Methode_Keuze,SubsidieTabel!$AD$1:$AG$1,0),2))&lt;&gt;1=TRUE,"ja",""),"")</f>
        <v/>
      </c>
    </row>
    <row r="1834" spans="1:31" x14ac:dyDescent="0.25">
      <c r="A1834" s="316"/>
      <c r="B1834" s="317" t="str">
        <f>IF(A1834&lt;&gt;"",_xlfn.MAXIFS($B$1:B1833,$A$1:A1833,A1834)+1,"")</f>
        <v/>
      </c>
      <c r="C1834" s="296"/>
      <c r="D1834" s="296"/>
      <c r="E1834" s="296"/>
      <c r="F1834" s="296"/>
      <c r="G1834" s="326"/>
      <c r="H1834" s="324"/>
      <c r="I1834" s="325"/>
      <c r="J1834" s="325"/>
      <c r="K1834" s="318"/>
      <c r="L1834" s="318"/>
      <c r="M1834" s="319" t="str">
        <f>IFERROR(VLOOKUP(H1834,Lijsten!$H$1:$I$100,2,0),"")</f>
        <v/>
      </c>
      <c r="N1834" s="319" t="str">
        <f ca="1">IFERROR(IF(VLOOKUP(F1834,Kostentypen!$A$3:$E$21,3,0)=0,"",IF(OR(F1834="Arbeidskosten",F1834="Vergoeding"),VLOOKUP(G1834,Tb_KostenTypen[],2,0),VLOOKUP(F1834,Kostentypen!$A$3:$E$20,3,0))),"")</f>
        <v/>
      </c>
      <c r="O1834" s="320" t="str" cm="1">
        <f t="array" ref="O1834">_xlfn.IFNA(IF(INDEX(Tb_KostenOptiesDB[],MATCH($F1834,Tb_KostenOptiesDB[KostenOptie],0),IFERROR(MATCH(Methode_Keuze,Tb_KostenOptiesDB[#Headers],0),2))=1,_xlfn.SWITCH($N1834,"Uurtarief",IF(OR(AND(RIGHT($F1834,3)="IKS",VLOOKUP($M1834,DB_Loonkosten,2,0)="Ja"),AND(RIGHT($F1834,3)&lt;&gt;"IKS",VLOOKUP($M1834,DB_Loonkosten,2,0)="Nee")),IFERROR(VLOOKUP($M1834,DB_Loonkosten,24,0),""),0),"Vast tarief",IF(LEFT(F1834,8)="Bijdrage",VLOOKUP($F1834,Tb_KostenTypen[],MATCH(Lijsten!$P$1,Tb_KostenTypen[#Headers],0),0),VLOOKUP($G1834,Lijsten!L:P,MATCH(Lijsten!$P$1,Kop_Tarief_Vast,0),0))),""),"")</f>
        <v/>
      </c>
      <c r="P1834" s="320" t="str" cm="1">
        <f t="array" ref="P1834">_xlfn.IFNA(IF(INDEX(Tb_KostenOptiesDB[],MATCH($F1834,Tb_KostenOptiesDB[KostenOptie],0),IFERROR(MATCH(Methode_Keuze,Tb_KostenOptiesDB[#Headers],0),2))=1,_xlfn.SWITCH($N1834,"Uurtarief",IF(OR(AND(RIGHT($F1834,3)="IKS",VLOOKUP($M1834,DB_Loonkosten,2,0)="Ja"),AND(RIGHT($F1834,3)&lt;&gt;"IKS",VLOOKUP($M1834,DB_Loonkosten,2,0)="Nee")),IFERROR(VLOOKUP($M1834,DB_Loonkosten,25,0),""),0),"Vast tarief",IF(LEFT(F1834,8)="Bijdrage",VLOOKUP($F1834,Tb_KostenTypen[],MATCH(Lijsten!$P$1,Tb_KostenTypen[#Headers],0),0),VLOOKUP($G1834,Lijsten!L:P,MATCH(Lijsten!$P$1,Kop_Tarief_Vast,0),0))),""),"")</f>
        <v/>
      </c>
      <c r="Q1834" s="359"/>
      <c r="R1834" s="359"/>
      <c r="S1834" s="321"/>
      <c r="T1834" s="321"/>
      <c r="U1834" s="373" t="str">
        <f t="shared" si="112"/>
        <v/>
      </c>
      <c r="V1834" s="314" t="str">
        <f t="shared" si="113"/>
        <v/>
      </c>
      <c r="W1834" s="314" t="str" cm="1">
        <f t="array" aca="1" ref="W1834" ca="1">IFERROR(IF(AE1834&lt;&gt;"ja",_xlfn.IFNA(_xlfn.IFS(AND(O1834&lt;&gt;"",F1834&lt;&gt;"",RIGHT($N1834,6)="tarief",F1834="Vergoeding"),SUM(O1834)*FLOOR(SUM(Q1834),0.0001),AND(O1834&lt;&gt;"",F1834&lt;&gt;"",RIGHT($N1834,6)="tarief"),SUM(O1834)*FLOOR(SUM(Q1834),0.01),S1834&gt;0,IF(F1834&lt;&gt;"",FLOOR(SUM(S1834),0.01),"")),""),""),"")</f>
        <v/>
      </c>
      <c r="X1834" s="314" t="str" cm="1">
        <f t="array" aca="1" ref="X1834" ca="1">IFERROR(IF(AE1834&lt;&gt;"ja",_xlfn.IFNA(_xlfn.IFS(AND(P1834&lt;&gt;"",R1834&lt;&gt;"",RIGHT($N1834,6)="tarief",F1834="Vergoeding"),SUM(P1834)*FLOOR(SUM(R1834),0.0001),AND(P1834&lt;&gt;"",R1834&lt;&gt;"",RIGHT($N1834,6)="tarief"),P1834*FLOOR(R1834,0.01),T1834&gt;0,FLOOR(SUM(T1834),0.01)),""),""),"")</f>
        <v/>
      </c>
      <c r="Y1834" s="314" t="str">
        <f t="shared" ca="1" si="114"/>
        <v/>
      </c>
      <c r="Z1834" s="314" t="str" cm="1">
        <f t="array" aca="1" ref="Z1834" ca="1">IFERROR(_xlfn.IFS(OR(F1834="",LEFT(Methode_Keuze,4)="Geen",Methode_Keuze=""),"",AND(W1834&lt;&gt;"",F1834&lt;&gt;"Arbeidskosten"),W1834*VLOOKUP(F1834,Tb_ProjectKosten[],MATCH(Tb_ProjectKosten[[#Headers],[Forfait_Percentage]],Tb_ProjectKosten[#Headers],0),0),AND(F1834="Arbeidskosten",G1834&lt;&gt;""),IFERROR(W1834*VLOOKUP(G1834,Tb_KostenTypen[],3,0)*VLOOKUP(F1834,Tb_ProjectKosten[],MATCH(Tb_ProjectKosten[[#Headers],[Forfait_Percentage]],Tb_ProjectKosten[#Headers],0),0),""),W1834 &lt;=0,0),"")</f>
        <v/>
      </c>
      <c r="AA1834" s="314" t="str" cm="1">
        <f t="array" aca="1" ref="AA1834" ca="1">IFERROR(_xlfn.IFS(OR(F1834="",LEFT(Methode_Keuze,4)="Geen",Methode_Keuze=""),"",AND(X1834&lt;&gt;"",F1834&lt;&gt;"Arbeidskosten"),X1834*VLOOKUP(F1834,Tb_ProjectKosten[],MATCH(Tb_ProjectKosten[[#Headers],[Forfait_Percentage]],Tb_ProjectKosten[#Headers],0),0),AND(F1834="Arbeidskosten",G1834&lt;&gt;""),IFERROR(X1834*VLOOKUP(G1834,Tb_KostenTypen[],3,0)*VLOOKUP(F1834,Tb_ProjectKosten[],MATCH(Tb_ProjectKosten[[#Headers],[Forfait_Percentage]],Tb_ProjectKosten[#Headers],0),0),""),X1834 &lt;=0,0),"")</f>
        <v/>
      </c>
      <c r="AB1834" s="314" t="str">
        <f t="shared" ca="1" si="115"/>
        <v/>
      </c>
      <c r="AC1834" s="322"/>
      <c r="AD1834" s="315"/>
      <c r="AE1834" s="32" t="str" cm="1">
        <f t="array" ref="AE1834">IFERROR(IF(INDEX(SubsidieTabel!$AD$1:$AG$12,MATCH($F1834,SubsidieTabel!$AD$1:$AD$12,0),IFERROR(MATCH(Methode_Keuze,SubsidieTabel!$AD$1:$AG$1,0),2))&lt;&gt;1=TRUE,"ja",""),"")</f>
        <v/>
      </c>
    </row>
    <row r="1835" spans="1:31" x14ac:dyDescent="0.25">
      <c r="A1835" s="316"/>
      <c r="B1835" s="317" t="str">
        <f>IF(A1835&lt;&gt;"",_xlfn.MAXIFS($B$1:B1834,$A$1:A1834,A1835)+1,"")</f>
        <v/>
      </c>
      <c r="C1835" s="296"/>
      <c r="D1835" s="296"/>
      <c r="E1835" s="296"/>
      <c r="F1835" s="296"/>
      <c r="G1835" s="326"/>
      <c r="H1835" s="324"/>
      <c r="I1835" s="325"/>
      <c r="J1835" s="325"/>
      <c r="K1835" s="318"/>
      <c r="L1835" s="318"/>
      <c r="M1835" s="319" t="str">
        <f>IFERROR(VLOOKUP(H1835,Lijsten!$H$1:$I$100,2,0),"")</f>
        <v/>
      </c>
      <c r="N1835" s="319" t="str">
        <f ca="1">IFERROR(IF(VLOOKUP(F1835,Kostentypen!$A$3:$E$21,3,0)=0,"",IF(OR(F1835="Arbeidskosten",F1835="Vergoeding"),VLOOKUP(G1835,Tb_KostenTypen[],2,0),VLOOKUP(F1835,Kostentypen!$A$3:$E$20,3,0))),"")</f>
        <v/>
      </c>
      <c r="O1835" s="320" t="str" cm="1">
        <f t="array" ref="O1835">_xlfn.IFNA(IF(INDEX(Tb_KostenOptiesDB[],MATCH($F1835,Tb_KostenOptiesDB[KostenOptie],0),IFERROR(MATCH(Methode_Keuze,Tb_KostenOptiesDB[#Headers],0),2))=1,_xlfn.SWITCH($N1835,"Uurtarief",IF(OR(AND(RIGHT($F1835,3)="IKS",VLOOKUP($M1835,DB_Loonkosten,2,0)="Ja"),AND(RIGHT($F1835,3)&lt;&gt;"IKS",VLOOKUP($M1835,DB_Loonkosten,2,0)="Nee")),IFERROR(VLOOKUP($M1835,DB_Loonkosten,24,0),""),0),"Vast tarief",IF(LEFT(F1835,8)="Bijdrage",VLOOKUP($F1835,Tb_KostenTypen[],MATCH(Lijsten!$P$1,Tb_KostenTypen[#Headers],0),0),VLOOKUP($G1835,Lijsten!L:P,MATCH(Lijsten!$P$1,Kop_Tarief_Vast,0),0))),""),"")</f>
        <v/>
      </c>
      <c r="P1835" s="320" t="str" cm="1">
        <f t="array" ref="P1835">_xlfn.IFNA(IF(INDEX(Tb_KostenOptiesDB[],MATCH($F1835,Tb_KostenOptiesDB[KostenOptie],0),IFERROR(MATCH(Methode_Keuze,Tb_KostenOptiesDB[#Headers],0),2))=1,_xlfn.SWITCH($N1835,"Uurtarief",IF(OR(AND(RIGHT($F1835,3)="IKS",VLOOKUP($M1835,DB_Loonkosten,2,0)="Ja"),AND(RIGHT($F1835,3)&lt;&gt;"IKS",VLOOKUP($M1835,DB_Loonkosten,2,0)="Nee")),IFERROR(VLOOKUP($M1835,DB_Loonkosten,25,0),""),0),"Vast tarief",IF(LEFT(F1835,8)="Bijdrage",VLOOKUP($F1835,Tb_KostenTypen[],MATCH(Lijsten!$P$1,Tb_KostenTypen[#Headers],0),0),VLOOKUP($G1835,Lijsten!L:P,MATCH(Lijsten!$P$1,Kop_Tarief_Vast,0),0))),""),"")</f>
        <v/>
      </c>
      <c r="Q1835" s="359"/>
      <c r="R1835" s="359"/>
      <c r="S1835" s="321"/>
      <c r="T1835" s="321"/>
      <c r="U1835" s="373" t="str">
        <f t="shared" si="112"/>
        <v/>
      </c>
      <c r="V1835" s="314" t="str">
        <f t="shared" si="113"/>
        <v/>
      </c>
      <c r="W1835" s="314" t="str" cm="1">
        <f t="array" aca="1" ref="W1835" ca="1">IFERROR(IF(AE1835&lt;&gt;"ja",_xlfn.IFNA(_xlfn.IFS(AND(O1835&lt;&gt;"",F1835&lt;&gt;"",RIGHT($N1835,6)="tarief",F1835="Vergoeding"),SUM(O1835)*FLOOR(SUM(Q1835),0.0001),AND(O1835&lt;&gt;"",F1835&lt;&gt;"",RIGHT($N1835,6)="tarief"),SUM(O1835)*FLOOR(SUM(Q1835),0.01),S1835&gt;0,IF(F1835&lt;&gt;"",FLOOR(SUM(S1835),0.01),"")),""),""),"")</f>
        <v/>
      </c>
      <c r="X1835" s="314" t="str" cm="1">
        <f t="array" aca="1" ref="X1835" ca="1">IFERROR(IF(AE1835&lt;&gt;"ja",_xlfn.IFNA(_xlfn.IFS(AND(P1835&lt;&gt;"",R1835&lt;&gt;"",RIGHT($N1835,6)="tarief",F1835="Vergoeding"),SUM(P1835)*FLOOR(SUM(R1835),0.0001),AND(P1835&lt;&gt;"",R1835&lt;&gt;"",RIGHT($N1835,6)="tarief"),P1835*FLOOR(R1835,0.01),T1835&gt;0,FLOOR(SUM(T1835),0.01)),""),""),"")</f>
        <v/>
      </c>
      <c r="Y1835" s="314" t="str">
        <f t="shared" ca="1" si="114"/>
        <v/>
      </c>
      <c r="Z1835" s="314" t="str" cm="1">
        <f t="array" aca="1" ref="Z1835" ca="1">IFERROR(_xlfn.IFS(OR(F1835="",LEFT(Methode_Keuze,4)="Geen",Methode_Keuze=""),"",AND(W1835&lt;&gt;"",F1835&lt;&gt;"Arbeidskosten"),W1835*VLOOKUP(F1835,Tb_ProjectKosten[],MATCH(Tb_ProjectKosten[[#Headers],[Forfait_Percentage]],Tb_ProjectKosten[#Headers],0),0),AND(F1835="Arbeidskosten",G1835&lt;&gt;""),IFERROR(W1835*VLOOKUP(G1835,Tb_KostenTypen[],3,0)*VLOOKUP(F1835,Tb_ProjectKosten[],MATCH(Tb_ProjectKosten[[#Headers],[Forfait_Percentage]],Tb_ProjectKosten[#Headers],0),0),""),W1835 &lt;=0,0),"")</f>
        <v/>
      </c>
      <c r="AA1835" s="314" t="str" cm="1">
        <f t="array" aca="1" ref="AA1835" ca="1">IFERROR(_xlfn.IFS(OR(F1835="",LEFT(Methode_Keuze,4)="Geen",Methode_Keuze=""),"",AND(X1835&lt;&gt;"",F1835&lt;&gt;"Arbeidskosten"),X1835*VLOOKUP(F1835,Tb_ProjectKosten[],MATCH(Tb_ProjectKosten[[#Headers],[Forfait_Percentage]],Tb_ProjectKosten[#Headers],0),0),AND(F1835="Arbeidskosten",G1835&lt;&gt;""),IFERROR(X1835*VLOOKUP(G1835,Tb_KostenTypen[],3,0)*VLOOKUP(F1835,Tb_ProjectKosten[],MATCH(Tb_ProjectKosten[[#Headers],[Forfait_Percentage]],Tb_ProjectKosten[#Headers],0),0),""),X1835 &lt;=0,0),"")</f>
        <v/>
      </c>
      <c r="AB1835" s="314" t="str">
        <f t="shared" ca="1" si="115"/>
        <v/>
      </c>
      <c r="AC1835" s="322"/>
      <c r="AD1835" s="315"/>
      <c r="AE1835" s="32" t="str" cm="1">
        <f t="array" ref="AE1835">IFERROR(IF(INDEX(SubsidieTabel!$AD$1:$AG$12,MATCH($F1835,SubsidieTabel!$AD$1:$AD$12,0),IFERROR(MATCH(Methode_Keuze,SubsidieTabel!$AD$1:$AG$1,0),2))&lt;&gt;1=TRUE,"ja",""),"")</f>
        <v/>
      </c>
    </row>
    <row r="1836" spans="1:31" x14ac:dyDescent="0.25">
      <c r="A1836" s="316"/>
      <c r="B1836" s="317" t="str">
        <f>IF(A1836&lt;&gt;"",_xlfn.MAXIFS($B$1:B1835,$A$1:A1835,A1836)+1,"")</f>
        <v/>
      </c>
      <c r="C1836" s="296"/>
      <c r="D1836" s="296"/>
      <c r="E1836" s="296"/>
      <c r="F1836" s="296"/>
      <c r="G1836" s="326"/>
      <c r="H1836" s="324"/>
      <c r="I1836" s="325"/>
      <c r="J1836" s="325"/>
      <c r="K1836" s="318"/>
      <c r="L1836" s="318"/>
      <c r="M1836" s="319" t="str">
        <f>IFERROR(VLOOKUP(H1836,Lijsten!$H$1:$I$100,2,0),"")</f>
        <v/>
      </c>
      <c r="N1836" s="319" t="str">
        <f ca="1">IFERROR(IF(VLOOKUP(F1836,Kostentypen!$A$3:$E$21,3,0)=0,"",IF(OR(F1836="Arbeidskosten",F1836="Vergoeding"),VLOOKUP(G1836,Tb_KostenTypen[],2,0),VLOOKUP(F1836,Kostentypen!$A$3:$E$20,3,0))),"")</f>
        <v/>
      </c>
      <c r="O1836" s="320" t="str" cm="1">
        <f t="array" ref="O1836">_xlfn.IFNA(IF(INDEX(Tb_KostenOptiesDB[],MATCH($F1836,Tb_KostenOptiesDB[KostenOptie],0),IFERROR(MATCH(Methode_Keuze,Tb_KostenOptiesDB[#Headers],0),2))=1,_xlfn.SWITCH($N1836,"Uurtarief",IF(OR(AND(RIGHT($F1836,3)="IKS",VLOOKUP($M1836,DB_Loonkosten,2,0)="Ja"),AND(RIGHT($F1836,3)&lt;&gt;"IKS",VLOOKUP($M1836,DB_Loonkosten,2,0)="Nee")),IFERROR(VLOOKUP($M1836,DB_Loonkosten,24,0),""),0),"Vast tarief",IF(LEFT(F1836,8)="Bijdrage",VLOOKUP($F1836,Tb_KostenTypen[],MATCH(Lijsten!$P$1,Tb_KostenTypen[#Headers],0),0),VLOOKUP($G1836,Lijsten!L:P,MATCH(Lijsten!$P$1,Kop_Tarief_Vast,0),0))),""),"")</f>
        <v/>
      </c>
      <c r="P1836" s="320" t="str" cm="1">
        <f t="array" ref="P1836">_xlfn.IFNA(IF(INDEX(Tb_KostenOptiesDB[],MATCH($F1836,Tb_KostenOptiesDB[KostenOptie],0),IFERROR(MATCH(Methode_Keuze,Tb_KostenOptiesDB[#Headers],0),2))=1,_xlfn.SWITCH($N1836,"Uurtarief",IF(OR(AND(RIGHT($F1836,3)="IKS",VLOOKUP($M1836,DB_Loonkosten,2,0)="Ja"),AND(RIGHT($F1836,3)&lt;&gt;"IKS",VLOOKUP($M1836,DB_Loonkosten,2,0)="Nee")),IFERROR(VLOOKUP($M1836,DB_Loonkosten,25,0),""),0),"Vast tarief",IF(LEFT(F1836,8)="Bijdrage",VLOOKUP($F1836,Tb_KostenTypen[],MATCH(Lijsten!$P$1,Tb_KostenTypen[#Headers],0),0),VLOOKUP($G1836,Lijsten!L:P,MATCH(Lijsten!$P$1,Kop_Tarief_Vast,0),0))),""),"")</f>
        <v/>
      </c>
      <c r="Q1836" s="359"/>
      <c r="R1836" s="359"/>
      <c r="S1836" s="321"/>
      <c r="T1836" s="321"/>
      <c r="U1836" s="373" t="str">
        <f t="shared" si="112"/>
        <v/>
      </c>
      <c r="V1836" s="314" t="str">
        <f t="shared" si="113"/>
        <v/>
      </c>
      <c r="W1836" s="314" t="str" cm="1">
        <f t="array" aca="1" ref="W1836" ca="1">IFERROR(IF(AE1836&lt;&gt;"ja",_xlfn.IFNA(_xlfn.IFS(AND(O1836&lt;&gt;"",F1836&lt;&gt;"",RIGHT($N1836,6)="tarief",F1836="Vergoeding"),SUM(O1836)*FLOOR(SUM(Q1836),0.0001),AND(O1836&lt;&gt;"",F1836&lt;&gt;"",RIGHT($N1836,6)="tarief"),SUM(O1836)*FLOOR(SUM(Q1836),0.01),S1836&gt;0,IF(F1836&lt;&gt;"",FLOOR(SUM(S1836),0.01),"")),""),""),"")</f>
        <v/>
      </c>
      <c r="X1836" s="314" t="str" cm="1">
        <f t="array" aca="1" ref="X1836" ca="1">IFERROR(IF(AE1836&lt;&gt;"ja",_xlfn.IFNA(_xlfn.IFS(AND(P1836&lt;&gt;"",R1836&lt;&gt;"",RIGHT($N1836,6)="tarief",F1836="Vergoeding"),SUM(P1836)*FLOOR(SUM(R1836),0.0001),AND(P1836&lt;&gt;"",R1836&lt;&gt;"",RIGHT($N1836,6)="tarief"),P1836*FLOOR(R1836,0.01),T1836&gt;0,FLOOR(SUM(T1836),0.01)),""),""),"")</f>
        <v/>
      </c>
      <c r="Y1836" s="314" t="str">
        <f t="shared" ca="1" si="114"/>
        <v/>
      </c>
      <c r="Z1836" s="314" t="str" cm="1">
        <f t="array" aca="1" ref="Z1836" ca="1">IFERROR(_xlfn.IFS(OR(F1836="",LEFT(Methode_Keuze,4)="Geen",Methode_Keuze=""),"",AND(W1836&lt;&gt;"",F1836&lt;&gt;"Arbeidskosten"),W1836*VLOOKUP(F1836,Tb_ProjectKosten[],MATCH(Tb_ProjectKosten[[#Headers],[Forfait_Percentage]],Tb_ProjectKosten[#Headers],0),0),AND(F1836="Arbeidskosten",G1836&lt;&gt;""),IFERROR(W1836*VLOOKUP(G1836,Tb_KostenTypen[],3,0)*VLOOKUP(F1836,Tb_ProjectKosten[],MATCH(Tb_ProjectKosten[[#Headers],[Forfait_Percentage]],Tb_ProjectKosten[#Headers],0),0),""),W1836 &lt;=0,0),"")</f>
        <v/>
      </c>
      <c r="AA1836" s="314" t="str" cm="1">
        <f t="array" aca="1" ref="AA1836" ca="1">IFERROR(_xlfn.IFS(OR(F1836="",LEFT(Methode_Keuze,4)="Geen",Methode_Keuze=""),"",AND(X1836&lt;&gt;"",F1836&lt;&gt;"Arbeidskosten"),X1836*VLOOKUP(F1836,Tb_ProjectKosten[],MATCH(Tb_ProjectKosten[[#Headers],[Forfait_Percentage]],Tb_ProjectKosten[#Headers],0),0),AND(F1836="Arbeidskosten",G1836&lt;&gt;""),IFERROR(X1836*VLOOKUP(G1836,Tb_KostenTypen[],3,0)*VLOOKUP(F1836,Tb_ProjectKosten[],MATCH(Tb_ProjectKosten[[#Headers],[Forfait_Percentage]],Tb_ProjectKosten[#Headers],0),0),""),X1836 &lt;=0,0),"")</f>
        <v/>
      </c>
      <c r="AB1836" s="314" t="str">
        <f t="shared" ca="1" si="115"/>
        <v/>
      </c>
      <c r="AC1836" s="322"/>
      <c r="AD1836" s="315"/>
      <c r="AE1836" s="32" t="str" cm="1">
        <f t="array" ref="AE1836">IFERROR(IF(INDEX(SubsidieTabel!$AD$1:$AG$12,MATCH($F1836,SubsidieTabel!$AD$1:$AD$12,0),IFERROR(MATCH(Methode_Keuze,SubsidieTabel!$AD$1:$AG$1,0),2))&lt;&gt;1=TRUE,"ja",""),"")</f>
        <v/>
      </c>
    </row>
    <row r="1837" spans="1:31" x14ac:dyDescent="0.25">
      <c r="A1837" s="316"/>
      <c r="B1837" s="317" t="str">
        <f>IF(A1837&lt;&gt;"",_xlfn.MAXIFS($B$1:B1836,$A$1:A1836,A1837)+1,"")</f>
        <v/>
      </c>
      <c r="C1837" s="296"/>
      <c r="D1837" s="296"/>
      <c r="E1837" s="296"/>
      <c r="F1837" s="296"/>
      <c r="G1837" s="326"/>
      <c r="H1837" s="324"/>
      <c r="I1837" s="325"/>
      <c r="J1837" s="325"/>
      <c r="K1837" s="318"/>
      <c r="L1837" s="318"/>
      <c r="M1837" s="319" t="str">
        <f>IFERROR(VLOOKUP(H1837,Lijsten!$H$1:$I$100,2,0),"")</f>
        <v/>
      </c>
      <c r="N1837" s="319" t="str">
        <f ca="1">IFERROR(IF(VLOOKUP(F1837,Kostentypen!$A$3:$E$21,3,0)=0,"",IF(OR(F1837="Arbeidskosten",F1837="Vergoeding"),VLOOKUP(G1837,Tb_KostenTypen[],2,0),VLOOKUP(F1837,Kostentypen!$A$3:$E$20,3,0))),"")</f>
        <v/>
      </c>
      <c r="O1837" s="320" t="str" cm="1">
        <f t="array" ref="O1837">_xlfn.IFNA(IF(INDEX(Tb_KostenOptiesDB[],MATCH($F1837,Tb_KostenOptiesDB[KostenOptie],0),IFERROR(MATCH(Methode_Keuze,Tb_KostenOptiesDB[#Headers],0),2))=1,_xlfn.SWITCH($N1837,"Uurtarief",IF(OR(AND(RIGHT($F1837,3)="IKS",VLOOKUP($M1837,DB_Loonkosten,2,0)="Ja"),AND(RIGHT($F1837,3)&lt;&gt;"IKS",VLOOKUP($M1837,DB_Loonkosten,2,0)="Nee")),IFERROR(VLOOKUP($M1837,DB_Loonkosten,24,0),""),0),"Vast tarief",IF(LEFT(F1837,8)="Bijdrage",VLOOKUP($F1837,Tb_KostenTypen[],MATCH(Lijsten!$P$1,Tb_KostenTypen[#Headers],0),0),VLOOKUP($G1837,Lijsten!L:P,MATCH(Lijsten!$P$1,Kop_Tarief_Vast,0),0))),""),"")</f>
        <v/>
      </c>
      <c r="P1837" s="320" t="str" cm="1">
        <f t="array" ref="P1837">_xlfn.IFNA(IF(INDEX(Tb_KostenOptiesDB[],MATCH($F1837,Tb_KostenOptiesDB[KostenOptie],0),IFERROR(MATCH(Methode_Keuze,Tb_KostenOptiesDB[#Headers],0),2))=1,_xlfn.SWITCH($N1837,"Uurtarief",IF(OR(AND(RIGHT($F1837,3)="IKS",VLOOKUP($M1837,DB_Loonkosten,2,0)="Ja"),AND(RIGHT($F1837,3)&lt;&gt;"IKS",VLOOKUP($M1837,DB_Loonkosten,2,0)="Nee")),IFERROR(VLOOKUP($M1837,DB_Loonkosten,25,0),""),0),"Vast tarief",IF(LEFT(F1837,8)="Bijdrage",VLOOKUP($F1837,Tb_KostenTypen[],MATCH(Lijsten!$P$1,Tb_KostenTypen[#Headers],0),0),VLOOKUP($G1837,Lijsten!L:P,MATCH(Lijsten!$P$1,Kop_Tarief_Vast,0),0))),""),"")</f>
        <v/>
      </c>
      <c r="Q1837" s="359"/>
      <c r="R1837" s="359"/>
      <c r="S1837" s="321"/>
      <c r="T1837" s="321"/>
      <c r="U1837" s="373" t="str">
        <f t="shared" si="112"/>
        <v/>
      </c>
      <c r="V1837" s="314" t="str">
        <f t="shared" si="113"/>
        <v/>
      </c>
      <c r="W1837" s="314" t="str" cm="1">
        <f t="array" aca="1" ref="W1837" ca="1">IFERROR(IF(AE1837&lt;&gt;"ja",_xlfn.IFNA(_xlfn.IFS(AND(O1837&lt;&gt;"",F1837&lt;&gt;"",RIGHT($N1837,6)="tarief",F1837="Vergoeding"),SUM(O1837)*FLOOR(SUM(Q1837),0.0001),AND(O1837&lt;&gt;"",F1837&lt;&gt;"",RIGHT($N1837,6)="tarief"),SUM(O1837)*FLOOR(SUM(Q1837),0.01),S1837&gt;0,IF(F1837&lt;&gt;"",FLOOR(SUM(S1837),0.01),"")),""),""),"")</f>
        <v/>
      </c>
      <c r="X1837" s="314" t="str" cm="1">
        <f t="array" aca="1" ref="X1837" ca="1">IFERROR(IF(AE1837&lt;&gt;"ja",_xlfn.IFNA(_xlfn.IFS(AND(P1837&lt;&gt;"",R1837&lt;&gt;"",RIGHT($N1837,6)="tarief",F1837="Vergoeding"),SUM(P1837)*FLOOR(SUM(R1837),0.0001),AND(P1837&lt;&gt;"",R1837&lt;&gt;"",RIGHT($N1837,6)="tarief"),P1837*FLOOR(R1837,0.01),T1837&gt;0,FLOOR(SUM(T1837),0.01)),""),""),"")</f>
        <v/>
      </c>
      <c r="Y1837" s="314" t="str">
        <f t="shared" ca="1" si="114"/>
        <v/>
      </c>
      <c r="Z1837" s="314" t="str" cm="1">
        <f t="array" aca="1" ref="Z1837" ca="1">IFERROR(_xlfn.IFS(OR(F1837="",LEFT(Methode_Keuze,4)="Geen",Methode_Keuze=""),"",AND(W1837&lt;&gt;"",F1837&lt;&gt;"Arbeidskosten"),W1837*VLOOKUP(F1837,Tb_ProjectKosten[],MATCH(Tb_ProjectKosten[[#Headers],[Forfait_Percentage]],Tb_ProjectKosten[#Headers],0),0),AND(F1837="Arbeidskosten",G1837&lt;&gt;""),IFERROR(W1837*VLOOKUP(G1837,Tb_KostenTypen[],3,0)*VLOOKUP(F1837,Tb_ProjectKosten[],MATCH(Tb_ProjectKosten[[#Headers],[Forfait_Percentage]],Tb_ProjectKosten[#Headers],0),0),""),W1837 &lt;=0,0),"")</f>
        <v/>
      </c>
      <c r="AA1837" s="314" t="str" cm="1">
        <f t="array" aca="1" ref="AA1837" ca="1">IFERROR(_xlfn.IFS(OR(F1837="",LEFT(Methode_Keuze,4)="Geen",Methode_Keuze=""),"",AND(X1837&lt;&gt;"",F1837&lt;&gt;"Arbeidskosten"),X1837*VLOOKUP(F1837,Tb_ProjectKosten[],MATCH(Tb_ProjectKosten[[#Headers],[Forfait_Percentage]],Tb_ProjectKosten[#Headers],0),0),AND(F1837="Arbeidskosten",G1837&lt;&gt;""),IFERROR(X1837*VLOOKUP(G1837,Tb_KostenTypen[],3,0)*VLOOKUP(F1837,Tb_ProjectKosten[],MATCH(Tb_ProjectKosten[[#Headers],[Forfait_Percentage]],Tb_ProjectKosten[#Headers],0),0),""),X1837 &lt;=0,0),"")</f>
        <v/>
      </c>
      <c r="AB1837" s="314" t="str">
        <f t="shared" ca="1" si="115"/>
        <v/>
      </c>
      <c r="AC1837" s="322"/>
      <c r="AD1837" s="315"/>
      <c r="AE1837" s="32" t="str" cm="1">
        <f t="array" ref="AE1837">IFERROR(IF(INDEX(SubsidieTabel!$AD$1:$AG$12,MATCH($F1837,SubsidieTabel!$AD$1:$AD$12,0),IFERROR(MATCH(Methode_Keuze,SubsidieTabel!$AD$1:$AG$1,0),2))&lt;&gt;1=TRUE,"ja",""),"")</f>
        <v/>
      </c>
    </row>
    <row r="1838" spans="1:31" x14ac:dyDescent="0.25">
      <c r="A1838" s="316"/>
      <c r="B1838" s="317" t="str">
        <f>IF(A1838&lt;&gt;"",_xlfn.MAXIFS($B$1:B1837,$A$1:A1837,A1838)+1,"")</f>
        <v/>
      </c>
      <c r="C1838" s="296"/>
      <c r="D1838" s="296"/>
      <c r="E1838" s="296"/>
      <c r="F1838" s="296"/>
      <c r="G1838" s="326"/>
      <c r="H1838" s="324"/>
      <c r="I1838" s="325"/>
      <c r="J1838" s="325"/>
      <c r="K1838" s="318"/>
      <c r="L1838" s="318"/>
      <c r="M1838" s="319" t="str">
        <f>IFERROR(VLOOKUP(H1838,Lijsten!$H$1:$I$100,2,0),"")</f>
        <v/>
      </c>
      <c r="N1838" s="319" t="str">
        <f ca="1">IFERROR(IF(VLOOKUP(F1838,Kostentypen!$A$3:$E$21,3,0)=0,"",IF(OR(F1838="Arbeidskosten",F1838="Vergoeding"),VLOOKUP(G1838,Tb_KostenTypen[],2,0),VLOOKUP(F1838,Kostentypen!$A$3:$E$20,3,0))),"")</f>
        <v/>
      </c>
      <c r="O1838" s="320" t="str" cm="1">
        <f t="array" ref="O1838">_xlfn.IFNA(IF(INDEX(Tb_KostenOptiesDB[],MATCH($F1838,Tb_KostenOptiesDB[KostenOptie],0),IFERROR(MATCH(Methode_Keuze,Tb_KostenOptiesDB[#Headers],0),2))=1,_xlfn.SWITCH($N1838,"Uurtarief",IF(OR(AND(RIGHT($F1838,3)="IKS",VLOOKUP($M1838,DB_Loonkosten,2,0)="Ja"),AND(RIGHT($F1838,3)&lt;&gt;"IKS",VLOOKUP($M1838,DB_Loonkosten,2,0)="Nee")),IFERROR(VLOOKUP($M1838,DB_Loonkosten,24,0),""),0),"Vast tarief",IF(LEFT(F1838,8)="Bijdrage",VLOOKUP($F1838,Tb_KostenTypen[],MATCH(Lijsten!$P$1,Tb_KostenTypen[#Headers],0),0),VLOOKUP($G1838,Lijsten!L:P,MATCH(Lijsten!$P$1,Kop_Tarief_Vast,0),0))),""),"")</f>
        <v/>
      </c>
      <c r="P1838" s="320" t="str" cm="1">
        <f t="array" ref="P1838">_xlfn.IFNA(IF(INDEX(Tb_KostenOptiesDB[],MATCH($F1838,Tb_KostenOptiesDB[KostenOptie],0),IFERROR(MATCH(Methode_Keuze,Tb_KostenOptiesDB[#Headers],0),2))=1,_xlfn.SWITCH($N1838,"Uurtarief",IF(OR(AND(RIGHT($F1838,3)="IKS",VLOOKUP($M1838,DB_Loonkosten,2,0)="Ja"),AND(RIGHT($F1838,3)&lt;&gt;"IKS",VLOOKUP($M1838,DB_Loonkosten,2,0)="Nee")),IFERROR(VLOOKUP($M1838,DB_Loonkosten,25,0),""),0),"Vast tarief",IF(LEFT(F1838,8)="Bijdrage",VLOOKUP($F1838,Tb_KostenTypen[],MATCH(Lijsten!$P$1,Tb_KostenTypen[#Headers],0),0),VLOOKUP($G1838,Lijsten!L:P,MATCH(Lijsten!$P$1,Kop_Tarief_Vast,0),0))),""),"")</f>
        <v/>
      </c>
      <c r="Q1838" s="359"/>
      <c r="R1838" s="359"/>
      <c r="S1838" s="321"/>
      <c r="T1838" s="321"/>
      <c r="U1838" s="373" t="str">
        <f t="shared" si="112"/>
        <v/>
      </c>
      <c r="V1838" s="314" t="str">
        <f t="shared" si="113"/>
        <v/>
      </c>
      <c r="W1838" s="314" t="str" cm="1">
        <f t="array" aca="1" ref="W1838" ca="1">IFERROR(IF(AE1838&lt;&gt;"ja",_xlfn.IFNA(_xlfn.IFS(AND(O1838&lt;&gt;"",F1838&lt;&gt;"",RIGHT($N1838,6)="tarief",F1838="Vergoeding"),SUM(O1838)*FLOOR(SUM(Q1838),0.0001),AND(O1838&lt;&gt;"",F1838&lt;&gt;"",RIGHT($N1838,6)="tarief"),SUM(O1838)*FLOOR(SUM(Q1838),0.01),S1838&gt;0,IF(F1838&lt;&gt;"",FLOOR(SUM(S1838),0.01),"")),""),""),"")</f>
        <v/>
      </c>
      <c r="X1838" s="314" t="str" cm="1">
        <f t="array" aca="1" ref="X1838" ca="1">IFERROR(IF(AE1838&lt;&gt;"ja",_xlfn.IFNA(_xlfn.IFS(AND(P1838&lt;&gt;"",R1838&lt;&gt;"",RIGHT($N1838,6)="tarief",F1838="Vergoeding"),SUM(P1838)*FLOOR(SUM(R1838),0.0001),AND(P1838&lt;&gt;"",R1838&lt;&gt;"",RIGHT($N1838,6)="tarief"),P1838*FLOOR(R1838,0.01),T1838&gt;0,FLOOR(SUM(T1838),0.01)),""),""),"")</f>
        <v/>
      </c>
      <c r="Y1838" s="314" t="str">
        <f t="shared" ca="1" si="114"/>
        <v/>
      </c>
      <c r="Z1838" s="314" t="str" cm="1">
        <f t="array" aca="1" ref="Z1838" ca="1">IFERROR(_xlfn.IFS(OR(F1838="",LEFT(Methode_Keuze,4)="Geen",Methode_Keuze=""),"",AND(W1838&lt;&gt;"",F1838&lt;&gt;"Arbeidskosten"),W1838*VLOOKUP(F1838,Tb_ProjectKosten[],MATCH(Tb_ProjectKosten[[#Headers],[Forfait_Percentage]],Tb_ProjectKosten[#Headers],0),0),AND(F1838="Arbeidskosten",G1838&lt;&gt;""),IFERROR(W1838*VLOOKUP(G1838,Tb_KostenTypen[],3,0)*VLOOKUP(F1838,Tb_ProjectKosten[],MATCH(Tb_ProjectKosten[[#Headers],[Forfait_Percentage]],Tb_ProjectKosten[#Headers],0),0),""),W1838 &lt;=0,0),"")</f>
        <v/>
      </c>
      <c r="AA1838" s="314" t="str" cm="1">
        <f t="array" aca="1" ref="AA1838" ca="1">IFERROR(_xlfn.IFS(OR(F1838="",LEFT(Methode_Keuze,4)="Geen",Methode_Keuze=""),"",AND(X1838&lt;&gt;"",F1838&lt;&gt;"Arbeidskosten"),X1838*VLOOKUP(F1838,Tb_ProjectKosten[],MATCH(Tb_ProjectKosten[[#Headers],[Forfait_Percentage]],Tb_ProjectKosten[#Headers],0),0),AND(F1838="Arbeidskosten",G1838&lt;&gt;""),IFERROR(X1838*VLOOKUP(G1838,Tb_KostenTypen[],3,0)*VLOOKUP(F1838,Tb_ProjectKosten[],MATCH(Tb_ProjectKosten[[#Headers],[Forfait_Percentage]],Tb_ProjectKosten[#Headers],0),0),""),X1838 &lt;=0,0),"")</f>
        <v/>
      </c>
      <c r="AB1838" s="314" t="str">
        <f t="shared" ca="1" si="115"/>
        <v/>
      </c>
      <c r="AC1838" s="322"/>
      <c r="AD1838" s="315"/>
      <c r="AE1838" s="32" t="str" cm="1">
        <f t="array" ref="AE1838">IFERROR(IF(INDEX(SubsidieTabel!$AD$1:$AG$12,MATCH($F1838,SubsidieTabel!$AD$1:$AD$12,0),IFERROR(MATCH(Methode_Keuze,SubsidieTabel!$AD$1:$AG$1,0),2))&lt;&gt;1=TRUE,"ja",""),"")</f>
        <v/>
      </c>
    </row>
    <row r="1839" spans="1:31" x14ac:dyDescent="0.25">
      <c r="A1839" s="316"/>
      <c r="B1839" s="317" t="str">
        <f>IF(A1839&lt;&gt;"",_xlfn.MAXIFS($B$1:B1838,$A$1:A1838,A1839)+1,"")</f>
        <v/>
      </c>
      <c r="C1839" s="296"/>
      <c r="D1839" s="296"/>
      <c r="E1839" s="296"/>
      <c r="F1839" s="296"/>
      <c r="G1839" s="326"/>
      <c r="H1839" s="324"/>
      <c r="I1839" s="325"/>
      <c r="J1839" s="325"/>
      <c r="K1839" s="318"/>
      <c r="L1839" s="318"/>
      <c r="M1839" s="319" t="str">
        <f>IFERROR(VLOOKUP(H1839,Lijsten!$H$1:$I$100,2,0),"")</f>
        <v/>
      </c>
      <c r="N1839" s="319" t="str">
        <f ca="1">IFERROR(IF(VLOOKUP(F1839,Kostentypen!$A$3:$E$21,3,0)=0,"",IF(OR(F1839="Arbeidskosten",F1839="Vergoeding"),VLOOKUP(G1839,Tb_KostenTypen[],2,0),VLOOKUP(F1839,Kostentypen!$A$3:$E$20,3,0))),"")</f>
        <v/>
      </c>
      <c r="O1839" s="320" t="str" cm="1">
        <f t="array" ref="O1839">_xlfn.IFNA(IF(INDEX(Tb_KostenOptiesDB[],MATCH($F1839,Tb_KostenOptiesDB[KostenOptie],0),IFERROR(MATCH(Methode_Keuze,Tb_KostenOptiesDB[#Headers],0),2))=1,_xlfn.SWITCH($N1839,"Uurtarief",IF(OR(AND(RIGHT($F1839,3)="IKS",VLOOKUP($M1839,DB_Loonkosten,2,0)="Ja"),AND(RIGHT($F1839,3)&lt;&gt;"IKS",VLOOKUP($M1839,DB_Loonkosten,2,0)="Nee")),IFERROR(VLOOKUP($M1839,DB_Loonkosten,24,0),""),0),"Vast tarief",IF(LEFT(F1839,8)="Bijdrage",VLOOKUP($F1839,Tb_KostenTypen[],MATCH(Lijsten!$P$1,Tb_KostenTypen[#Headers],0),0),VLOOKUP($G1839,Lijsten!L:P,MATCH(Lijsten!$P$1,Kop_Tarief_Vast,0),0))),""),"")</f>
        <v/>
      </c>
      <c r="P1839" s="320" t="str" cm="1">
        <f t="array" ref="P1839">_xlfn.IFNA(IF(INDEX(Tb_KostenOptiesDB[],MATCH($F1839,Tb_KostenOptiesDB[KostenOptie],0),IFERROR(MATCH(Methode_Keuze,Tb_KostenOptiesDB[#Headers],0),2))=1,_xlfn.SWITCH($N1839,"Uurtarief",IF(OR(AND(RIGHT($F1839,3)="IKS",VLOOKUP($M1839,DB_Loonkosten,2,0)="Ja"),AND(RIGHT($F1839,3)&lt;&gt;"IKS",VLOOKUP($M1839,DB_Loonkosten,2,0)="Nee")),IFERROR(VLOOKUP($M1839,DB_Loonkosten,25,0),""),0),"Vast tarief",IF(LEFT(F1839,8)="Bijdrage",VLOOKUP($F1839,Tb_KostenTypen[],MATCH(Lijsten!$P$1,Tb_KostenTypen[#Headers],0),0),VLOOKUP($G1839,Lijsten!L:P,MATCH(Lijsten!$P$1,Kop_Tarief_Vast,0),0))),""),"")</f>
        <v/>
      </c>
      <c r="Q1839" s="359"/>
      <c r="R1839" s="359"/>
      <c r="S1839" s="321"/>
      <c r="T1839" s="321"/>
      <c r="U1839" s="373" t="str">
        <f t="shared" si="112"/>
        <v/>
      </c>
      <c r="V1839" s="314" t="str">
        <f t="shared" si="113"/>
        <v/>
      </c>
      <c r="W1839" s="314" t="str" cm="1">
        <f t="array" aca="1" ref="W1839" ca="1">IFERROR(IF(AE1839&lt;&gt;"ja",_xlfn.IFNA(_xlfn.IFS(AND(O1839&lt;&gt;"",F1839&lt;&gt;"",RIGHT($N1839,6)="tarief",F1839="Vergoeding"),SUM(O1839)*FLOOR(SUM(Q1839),0.0001),AND(O1839&lt;&gt;"",F1839&lt;&gt;"",RIGHT($N1839,6)="tarief"),SUM(O1839)*FLOOR(SUM(Q1839),0.01),S1839&gt;0,IF(F1839&lt;&gt;"",FLOOR(SUM(S1839),0.01),"")),""),""),"")</f>
        <v/>
      </c>
      <c r="X1839" s="314" t="str" cm="1">
        <f t="array" aca="1" ref="X1839" ca="1">IFERROR(IF(AE1839&lt;&gt;"ja",_xlfn.IFNA(_xlfn.IFS(AND(P1839&lt;&gt;"",R1839&lt;&gt;"",RIGHT($N1839,6)="tarief",F1839="Vergoeding"),SUM(P1839)*FLOOR(SUM(R1839),0.0001),AND(P1839&lt;&gt;"",R1839&lt;&gt;"",RIGHT($N1839,6)="tarief"),P1839*FLOOR(R1839,0.01),T1839&gt;0,FLOOR(SUM(T1839),0.01)),""),""),"")</f>
        <v/>
      </c>
      <c r="Y1839" s="314" t="str">
        <f t="shared" ca="1" si="114"/>
        <v/>
      </c>
      <c r="Z1839" s="314" t="str" cm="1">
        <f t="array" aca="1" ref="Z1839" ca="1">IFERROR(_xlfn.IFS(OR(F1839="",LEFT(Methode_Keuze,4)="Geen",Methode_Keuze=""),"",AND(W1839&lt;&gt;"",F1839&lt;&gt;"Arbeidskosten"),W1839*VLOOKUP(F1839,Tb_ProjectKosten[],MATCH(Tb_ProjectKosten[[#Headers],[Forfait_Percentage]],Tb_ProjectKosten[#Headers],0),0),AND(F1839="Arbeidskosten",G1839&lt;&gt;""),IFERROR(W1839*VLOOKUP(G1839,Tb_KostenTypen[],3,0)*VLOOKUP(F1839,Tb_ProjectKosten[],MATCH(Tb_ProjectKosten[[#Headers],[Forfait_Percentage]],Tb_ProjectKosten[#Headers],0),0),""),W1839 &lt;=0,0),"")</f>
        <v/>
      </c>
      <c r="AA1839" s="314" t="str" cm="1">
        <f t="array" aca="1" ref="AA1839" ca="1">IFERROR(_xlfn.IFS(OR(F1839="",LEFT(Methode_Keuze,4)="Geen",Methode_Keuze=""),"",AND(X1839&lt;&gt;"",F1839&lt;&gt;"Arbeidskosten"),X1839*VLOOKUP(F1839,Tb_ProjectKosten[],MATCH(Tb_ProjectKosten[[#Headers],[Forfait_Percentage]],Tb_ProjectKosten[#Headers],0),0),AND(F1839="Arbeidskosten",G1839&lt;&gt;""),IFERROR(X1839*VLOOKUP(G1839,Tb_KostenTypen[],3,0)*VLOOKUP(F1839,Tb_ProjectKosten[],MATCH(Tb_ProjectKosten[[#Headers],[Forfait_Percentage]],Tb_ProjectKosten[#Headers],0),0),""),X1839 &lt;=0,0),"")</f>
        <v/>
      </c>
      <c r="AB1839" s="314" t="str">
        <f t="shared" ca="1" si="115"/>
        <v/>
      </c>
      <c r="AC1839" s="322"/>
      <c r="AD1839" s="315"/>
      <c r="AE1839" s="32" t="str" cm="1">
        <f t="array" ref="AE1839">IFERROR(IF(INDEX(SubsidieTabel!$AD$1:$AG$12,MATCH($F1839,SubsidieTabel!$AD$1:$AD$12,0),IFERROR(MATCH(Methode_Keuze,SubsidieTabel!$AD$1:$AG$1,0),2))&lt;&gt;1=TRUE,"ja",""),"")</f>
        <v/>
      </c>
    </row>
    <row r="1840" spans="1:31" x14ac:dyDescent="0.25">
      <c r="A1840" s="316"/>
      <c r="B1840" s="317" t="str">
        <f>IF(A1840&lt;&gt;"",_xlfn.MAXIFS($B$1:B1839,$A$1:A1839,A1840)+1,"")</f>
        <v/>
      </c>
      <c r="C1840" s="296"/>
      <c r="D1840" s="296"/>
      <c r="E1840" s="296"/>
      <c r="F1840" s="296"/>
      <c r="G1840" s="326"/>
      <c r="H1840" s="324"/>
      <c r="I1840" s="325"/>
      <c r="J1840" s="325"/>
      <c r="K1840" s="318"/>
      <c r="L1840" s="318"/>
      <c r="M1840" s="319" t="str">
        <f>IFERROR(VLOOKUP(H1840,Lijsten!$H$1:$I$100,2,0),"")</f>
        <v/>
      </c>
      <c r="N1840" s="319" t="str">
        <f ca="1">IFERROR(IF(VLOOKUP(F1840,Kostentypen!$A$3:$E$21,3,0)=0,"",IF(OR(F1840="Arbeidskosten",F1840="Vergoeding"),VLOOKUP(G1840,Tb_KostenTypen[],2,0),VLOOKUP(F1840,Kostentypen!$A$3:$E$20,3,0))),"")</f>
        <v/>
      </c>
      <c r="O1840" s="320" t="str" cm="1">
        <f t="array" ref="O1840">_xlfn.IFNA(IF(INDEX(Tb_KostenOptiesDB[],MATCH($F1840,Tb_KostenOptiesDB[KostenOptie],0),IFERROR(MATCH(Methode_Keuze,Tb_KostenOptiesDB[#Headers],0),2))=1,_xlfn.SWITCH($N1840,"Uurtarief",IF(OR(AND(RIGHT($F1840,3)="IKS",VLOOKUP($M1840,DB_Loonkosten,2,0)="Ja"),AND(RIGHT($F1840,3)&lt;&gt;"IKS",VLOOKUP($M1840,DB_Loonkosten,2,0)="Nee")),IFERROR(VLOOKUP($M1840,DB_Loonkosten,24,0),""),0),"Vast tarief",IF(LEFT(F1840,8)="Bijdrage",VLOOKUP($F1840,Tb_KostenTypen[],MATCH(Lijsten!$P$1,Tb_KostenTypen[#Headers],0),0),VLOOKUP($G1840,Lijsten!L:P,MATCH(Lijsten!$P$1,Kop_Tarief_Vast,0),0))),""),"")</f>
        <v/>
      </c>
      <c r="P1840" s="320" t="str" cm="1">
        <f t="array" ref="P1840">_xlfn.IFNA(IF(INDEX(Tb_KostenOptiesDB[],MATCH($F1840,Tb_KostenOptiesDB[KostenOptie],0),IFERROR(MATCH(Methode_Keuze,Tb_KostenOptiesDB[#Headers],0),2))=1,_xlfn.SWITCH($N1840,"Uurtarief",IF(OR(AND(RIGHT($F1840,3)="IKS",VLOOKUP($M1840,DB_Loonkosten,2,0)="Ja"),AND(RIGHT($F1840,3)&lt;&gt;"IKS",VLOOKUP($M1840,DB_Loonkosten,2,0)="Nee")),IFERROR(VLOOKUP($M1840,DB_Loonkosten,25,0),""),0),"Vast tarief",IF(LEFT(F1840,8)="Bijdrage",VLOOKUP($F1840,Tb_KostenTypen[],MATCH(Lijsten!$P$1,Tb_KostenTypen[#Headers],0),0),VLOOKUP($G1840,Lijsten!L:P,MATCH(Lijsten!$P$1,Kop_Tarief_Vast,0),0))),""),"")</f>
        <v/>
      </c>
      <c r="Q1840" s="359"/>
      <c r="R1840" s="359"/>
      <c r="S1840" s="321"/>
      <c r="T1840" s="321"/>
      <c r="U1840" s="373" t="str">
        <f t="shared" si="112"/>
        <v/>
      </c>
      <c r="V1840" s="314" t="str">
        <f t="shared" si="113"/>
        <v/>
      </c>
      <c r="W1840" s="314" t="str" cm="1">
        <f t="array" aca="1" ref="W1840" ca="1">IFERROR(IF(AE1840&lt;&gt;"ja",_xlfn.IFNA(_xlfn.IFS(AND(O1840&lt;&gt;"",F1840&lt;&gt;"",RIGHT($N1840,6)="tarief",F1840="Vergoeding"),SUM(O1840)*FLOOR(SUM(Q1840),0.0001),AND(O1840&lt;&gt;"",F1840&lt;&gt;"",RIGHT($N1840,6)="tarief"),SUM(O1840)*FLOOR(SUM(Q1840),0.01),S1840&gt;0,IF(F1840&lt;&gt;"",FLOOR(SUM(S1840),0.01),"")),""),""),"")</f>
        <v/>
      </c>
      <c r="X1840" s="314" t="str" cm="1">
        <f t="array" aca="1" ref="X1840" ca="1">IFERROR(IF(AE1840&lt;&gt;"ja",_xlfn.IFNA(_xlfn.IFS(AND(P1840&lt;&gt;"",R1840&lt;&gt;"",RIGHT($N1840,6)="tarief",F1840="Vergoeding"),SUM(P1840)*FLOOR(SUM(R1840),0.0001),AND(P1840&lt;&gt;"",R1840&lt;&gt;"",RIGHT($N1840,6)="tarief"),P1840*FLOOR(R1840,0.01),T1840&gt;0,FLOOR(SUM(T1840),0.01)),""),""),"")</f>
        <v/>
      </c>
      <c r="Y1840" s="314" t="str">
        <f t="shared" ca="1" si="114"/>
        <v/>
      </c>
      <c r="Z1840" s="314" t="str" cm="1">
        <f t="array" aca="1" ref="Z1840" ca="1">IFERROR(_xlfn.IFS(OR(F1840="",LEFT(Methode_Keuze,4)="Geen",Methode_Keuze=""),"",AND(W1840&lt;&gt;"",F1840&lt;&gt;"Arbeidskosten"),W1840*VLOOKUP(F1840,Tb_ProjectKosten[],MATCH(Tb_ProjectKosten[[#Headers],[Forfait_Percentage]],Tb_ProjectKosten[#Headers],0),0),AND(F1840="Arbeidskosten",G1840&lt;&gt;""),IFERROR(W1840*VLOOKUP(G1840,Tb_KostenTypen[],3,0)*VLOOKUP(F1840,Tb_ProjectKosten[],MATCH(Tb_ProjectKosten[[#Headers],[Forfait_Percentage]],Tb_ProjectKosten[#Headers],0),0),""),W1840 &lt;=0,0),"")</f>
        <v/>
      </c>
      <c r="AA1840" s="314" t="str" cm="1">
        <f t="array" aca="1" ref="AA1840" ca="1">IFERROR(_xlfn.IFS(OR(F1840="",LEFT(Methode_Keuze,4)="Geen",Methode_Keuze=""),"",AND(X1840&lt;&gt;"",F1840&lt;&gt;"Arbeidskosten"),X1840*VLOOKUP(F1840,Tb_ProjectKosten[],MATCH(Tb_ProjectKosten[[#Headers],[Forfait_Percentage]],Tb_ProjectKosten[#Headers],0),0),AND(F1840="Arbeidskosten",G1840&lt;&gt;""),IFERROR(X1840*VLOOKUP(G1840,Tb_KostenTypen[],3,0)*VLOOKUP(F1840,Tb_ProjectKosten[],MATCH(Tb_ProjectKosten[[#Headers],[Forfait_Percentage]],Tb_ProjectKosten[#Headers],0),0),""),X1840 &lt;=0,0),"")</f>
        <v/>
      </c>
      <c r="AB1840" s="314" t="str">
        <f t="shared" ca="1" si="115"/>
        <v/>
      </c>
      <c r="AC1840" s="322"/>
      <c r="AD1840" s="315"/>
      <c r="AE1840" s="32" t="str" cm="1">
        <f t="array" ref="AE1840">IFERROR(IF(INDEX(SubsidieTabel!$AD$1:$AG$12,MATCH($F1840,SubsidieTabel!$AD$1:$AD$12,0),IFERROR(MATCH(Methode_Keuze,SubsidieTabel!$AD$1:$AG$1,0),2))&lt;&gt;1=TRUE,"ja",""),"")</f>
        <v/>
      </c>
    </row>
    <row r="1841" spans="1:31" x14ac:dyDescent="0.25">
      <c r="A1841" s="316"/>
      <c r="B1841" s="317" t="str">
        <f>IF(A1841&lt;&gt;"",_xlfn.MAXIFS($B$1:B1840,$A$1:A1840,A1841)+1,"")</f>
        <v/>
      </c>
      <c r="C1841" s="296"/>
      <c r="D1841" s="296"/>
      <c r="E1841" s="296"/>
      <c r="F1841" s="296"/>
      <c r="G1841" s="326"/>
      <c r="H1841" s="324"/>
      <c r="I1841" s="325"/>
      <c r="J1841" s="325"/>
      <c r="K1841" s="318"/>
      <c r="L1841" s="318"/>
      <c r="M1841" s="319" t="str">
        <f>IFERROR(VLOOKUP(H1841,Lijsten!$H$1:$I$100,2,0),"")</f>
        <v/>
      </c>
      <c r="N1841" s="319" t="str">
        <f ca="1">IFERROR(IF(VLOOKUP(F1841,Kostentypen!$A$3:$E$21,3,0)=0,"",IF(OR(F1841="Arbeidskosten",F1841="Vergoeding"),VLOOKUP(G1841,Tb_KostenTypen[],2,0),VLOOKUP(F1841,Kostentypen!$A$3:$E$20,3,0))),"")</f>
        <v/>
      </c>
      <c r="O1841" s="320" t="str" cm="1">
        <f t="array" ref="O1841">_xlfn.IFNA(IF(INDEX(Tb_KostenOptiesDB[],MATCH($F1841,Tb_KostenOptiesDB[KostenOptie],0),IFERROR(MATCH(Methode_Keuze,Tb_KostenOptiesDB[#Headers],0),2))=1,_xlfn.SWITCH($N1841,"Uurtarief",IF(OR(AND(RIGHT($F1841,3)="IKS",VLOOKUP($M1841,DB_Loonkosten,2,0)="Ja"),AND(RIGHT($F1841,3)&lt;&gt;"IKS",VLOOKUP($M1841,DB_Loonkosten,2,0)="Nee")),IFERROR(VLOOKUP($M1841,DB_Loonkosten,24,0),""),0),"Vast tarief",IF(LEFT(F1841,8)="Bijdrage",VLOOKUP($F1841,Tb_KostenTypen[],MATCH(Lijsten!$P$1,Tb_KostenTypen[#Headers],0),0),VLOOKUP($G1841,Lijsten!L:P,MATCH(Lijsten!$P$1,Kop_Tarief_Vast,0),0))),""),"")</f>
        <v/>
      </c>
      <c r="P1841" s="320" t="str" cm="1">
        <f t="array" ref="P1841">_xlfn.IFNA(IF(INDEX(Tb_KostenOptiesDB[],MATCH($F1841,Tb_KostenOptiesDB[KostenOptie],0),IFERROR(MATCH(Methode_Keuze,Tb_KostenOptiesDB[#Headers],0),2))=1,_xlfn.SWITCH($N1841,"Uurtarief",IF(OR(AND(RIGHT($F1841,3)="IKS",VLOOKUP($M1841,DB_Loonkosten,2,0)="Ja"),AND(RIGHT($F1841,3)&lt;&gt;"IKS",VLOOKUP($M1841,DB_Loonkosten,2,0)="Nee")),IFERROR(VLOOKUP($M1841,DB_Loonkosten,25,0),""),0),"Vast tarief",IF(LEFT(F1841,8)="Bijdrage",VLOOKUP($F1841,Tb_KostenTypen[],MATCH(Lijsten!$P$1,Tb_KostenTypen[#Headers],0),0),VLOOKUP($G1841,Lijsten!L:P,MATCH(Lijsten!$P$1,Kop_Tarief_Vast,0),0))),""),"")</f>
        <v/>
      </c>
      <c r="Q1841" s="359"/>
      <c r="R1841" s="359"/>
      <c r="S1841" s="321"/>
      <c r="T1841" s="321"/>
      <c r="U1841" s="373" t="str">
        <f t="shared" si="112"/>
        <v/>
      </c>
      <c r="V1841" s="314" t="str">
        <f t="shared" si="113"/>
        <v/>
      </c>
      <c r="W1841" s="314" t="str" cm="1">
        <f t="array" aca="1" ref="W1841" ca="1">IFERROR(IF(AE1841&lt;&gt;"ja",_xlfn.IFNA(_xlfn.IFS(AND(O1841&lt;&gt;"",F1841&lt;&gt;"",RIGHT($N1841,6)="tarief",F1841="Vergoeding"),SUM(O1841)*FLOOR(SUM(Q1841),0.0001),AND(O1841&lt;&gt;"",F1841&lt;&gt;"",RIGHT($N1841,6)="tarief"),SUM(O1841)*FLOOR(SUM(Q1841),0.01),S1841&gt;0,IF(F1841&lt;&gt;"",FLOOR(SUM(S1841),0.01),"")),""),""),"")</f>
        <v/>
      </c>
      <c r="X1841" s="314" t="str" cm="1">
        <f t="array" aca="1" ref="X1841" ca="1">IFERROR(IF(AE1841&lt;&gt;"ja",_xlfn.IFNA(_xlfn.IFS(AND(P1841&lt;&gt;"",R1841&lt;&gt;"",RIGHT($N1841,6)="tarief",F1841="Vergoeding"),SUM(P1841)*FLOOR(SUM(R1841),0.0001),AND(P1841&lt;&gt;"",R1841&lt;&gt;"",RIGHT($N1841,6)="tarief"),P1841*FLOOR(R1841,0.01),T1841&gt;0,FLOOR(SUM(T1841),0.01)),""),""),"")</f>
        <v/>
      </c>
      <c r="Y1841" s="314" t="str">
        <f t="shared" ca="1" si="114"/>
        <v/>
      </c>
      <c r="Z1841" s="314" t="str" cm="1">
        <f t="array" aca="1" ref="Z1841" ca="1">IFERROR(_xlfn.IFS(OR(F1841="",LEFT(Methode_Keuze,4)="Geen",Methode_Keuze=""),"",AND(W1841&lt;&gt;"",F1841&lt;&gt;"Arbeidskosten"),W1841*VLOOKUP(F1841,Tb_ProjectKosten[],MATCH(Tb_ProjectKosten[[#Headers],[Forfait_Percentage]],Tb_ProjectKosten[#Headers],0),0),AND(F1841="Arbeidskosten",G1841&lt;&gt;""),IFERROR(W1841*VLOOKUP(G1841,Tb_KostenTypen[],3,0)*VLOOKUP(F1841,Tb_ProjectKosten[],MATCH(Tb_ProjectKosten[[#Headers],[Forfait_Percentage]],Tb_ProjectKosten[#Headers],0),0),""),W1841 &lt;=0,0),"")</f>
        <v/>
      </c>
      <c r="AA1841" s="314" t="str" cm="1">
        <f t="array" aca="1" ref="AA1841" ca="1">IFERROR(_xlfn.IFS(OR(F1841="",LEFT(Methode_Keuze,4)="Geen",Methode_Keuze=""),"",AND(X1841&lt;&gt;"",F1841&lt;&gt;"Arbeidskosten"),X1841*VLOOKUP(F1841,Tb_ProjectKosten[],MATCH(Tb_ProjectKosten[[#Headers],[Forfait_Percentage]],Tb_ProjectKosten[#Headers],0),0),AND(F1841="Arbeidskosten",G1841&lt;&gt;""),IFERROR(X1841*VLOOKUP(G1841,Tb_KostenTypen[],3,0)*VLOOKUP(F1841,Tb_ProjectKosten[],MATCH(Tb_ProjectKosten[[#Headers],[Forfait_Percentage]],Tb_ProjectKosten[#Headers],0),0),""),X1841 &lt;=0,0),"")</f>
        <v/>
      </c>
      <c r="AB1841" s="314" t="str">
        <f t="shared" ca="1" si="115"/>
        <v/>
      </c>
      <c r="AC1841" s="322"/>
      <c r="AD1841" s="315"/>
      <c r="AE1841" s="32" t="str" cm="1">
        <f t="array" ref="AE1841">IFERROR(IF(INDEX(SubsidieTabel!$AD$1:$AG$12,MATCH($F1841,SubsidieTabel!$AD$1:$AD$12,0),IFERROR(MATCH(Methode_Keuze,SubsidieTabel!$AD$1:$AG$1,0),2))&lt;&gt;1=TRUE,"ja",""),"")</f>
        <v/>
      </c>
    </row>
    <row r="1842" spans="1:31" x14ac:dyDescent="0.25">
      <c r="A1842" s="316"/>
      <c r="B1842" s="317" t="str">
        <f>IF(A1842&lt;&gt;"",_xlfn.MAXIFS($B$1:B1841,$A$1:A1841,A1842)+1,"")</f>
        <v/>
      </c>
      <c r="C1842" s="296"/>
      <c r="D1842" s="296"/>
      <c r="E1842" s="296"/>
      <c r="F1842" s="296"/>
      <c r="G1842" s="326"/>
      <c r="H1842" s="324"/>
      <c r="I1842" s="325"/>
      <c r="J1842" s="325"/>
      <c r="K1842" s="318"/>
      <c r="L1842" s="318"/>
      <c r="M1842" s="319" t="str">
        <f>IFERROR(VLOOKUP(H1842,Lijsten!$H$1:$I$100,2,0),"")</f>
        <v/>
      </c>
      <c r="N1842" s="319" t="str">
        <f ca="1">IFERROR(IF(VLOOKUP(F1842,Kostentypen!$A$3:$E$21,3,0)=0,"",IF(OR(F1842="Arbeidskosten",F1842="Vergoeding"),VLOOKUP(G1842,Tb_KostenTypen[],2,0),VLOOKUP(F1842,Kostentypen!$A$3:$E$20,3,0))),"")</f>
        <v/>
      </c>
      <c r="O1842" s="320" t="str" cm="1">
        <f t="array" ref="O1842">_xlfn.IFNA(IF(INDEX(Tb_KostenOptiesDB[],MATCH($F1842,Tb_KostenOptiesDB[KostenOptie],0),IFERROR(MATCH(Methode_Keuze,Tb_KostenOptiesDB[#Headers],0),2))=1,_xlfn.SWITCH($N1842,"Uurtarief",IF(OR(AND(RIGHT($F1842,3)="IKS",VLOOKUP($M1842,DB_Loonkosten,2,0)="Ja"),AND(RIGHT($F1842,3)&lt;&gt;"IKS",VLOOKUP($M1842,DB_Loonkosten,2,0)="Nee")),IFERROR(VLOOKUP($M1842,DB_Loonkosten,24,0),""),0),"Vast tarief",IF(LEFT(F1842,8)="Bijdrage",VLOOKUP($F1842,Tb_KostenTypen[],MATCH(Lijsten!$P$1,Tb_KostenTypen[#Headers],0),0),VLOOKUP($G1842,Lijsten!L:P,MATCH(Lijsten!$P$1,Kop_Tarief_Vast,0),0))),""),"")</f>
        <v/>
      </c>
      <c r="P1842" s="320" t="str" cm="1">
        <f t="array" ref="P1842">_xlfn.IFNA(IF(INDEX(Tb_KostenOptiesDB[],MATCH($F1842,Tb_KostenOptiesDB[KostenOptie],0),IFERROR(MATCH(Methode_Keuze,Tb_KostenOptiesDB[#Headers],0),2))=1,_xlfn.SWITCH($N1842,"Uurtarief",IF(OR(AND(RIGHT($F1842,3)="IKS",VLOOKUP($M1842,DB_Loonkosten,2,0)="Ja"),AND(RIGHT($F1842,3)&lt;&gt;"IKS",VLOOKUP($M1842,DB_Loonkosten,2,0)="Nee")),IFERROR(VLOOKUP($M1842,DB_Loonkosten,25,0),""),0),"Vast tarief",IF(LEFT(F1842,8)="Bijdrage",VLOOKUP($F1842,Tb_KostenTypen[],MATCH(Lijsten!$P$1,Tb_KostenTypen[#Headers],0),0),VLOOKUP($G1842,Lijsten!L:P,MATCH(Lijsten!$P$1,Kop_Tarief_Vast,0),0))),""),"")</f>
        <v/>
      </c>
      <c r="Q1842" s="359"/>
      <c r="R1842" s="359"/>
      <c r="S1842" s="321"/>
      <c r="T1842" s="321"/>
      <c r="U1842" s="373" t="str">
        <f t="shared" si="112"/>
        <v/>
      </c>
      <c r="V1842" s="314" t="str">
        <f t="shared" si="113"/>
        <v/>
      </c>
      <c r="W1842" s="314" t="str" cm="1">
        <f t="array" aca="1" ref="W1842" ca="1">IFERROR(IF(AE1842&lt;&gt;"ja",_xlfn.IFNA(_xlfn.IFS(AND(O1842&lt;&gt;"",F1842&lt;&gt;"",RIGHT($N1842,6)="tarief",F1842="Vergoeding"),SUM(O1842)*FLOOR(SUM(Q1842),0.0001),AND(O1842&lt;&gt;"",F1842&lt;&gt;"",RIGHT($N1842,6)="tarief"),SUM(O1842)*FLOOR(SUM(Q1842),0.01),S1842&gt;0,IF(F1842&lt;&gt;"",FLOOR(SUM(S1842),0.01),"")),""),""),"")</f>
        <v/>
      </c>
      <c r="X1842" s="314" t="str" cm="1">
        <f t="array" aca="1" ref="X1842" ca="1">IFERROR(IF(AE1842&lt;&gt;"ja",_xlfn.IFNA(_xlfn.IFS(AND(P1842&lt;&gt;"",R1842&lt;&gt;"",RIGHT($N1842,6)="tarief",F1842="Vergoeding"),SUM(P1842)*FLOOR(SUM(R1842),0.0001),AND(P1842&lt;&gt;"",R1842&lt;&gt;"",RIGHT($N1842,6)="tarief"),P1842*FLOOR(R1842,0.01),T1842&gt;0,FLOOR(SUM(T1842),0.01)),""),""),"")</f>
        <v/>
      </c>
      <c r="Y1842" s="314" t="str">
        <f t="shared" ca="1" si="114"/>
        <v/>
      </c>
      <c r="Z1842" s="314" t="str" cm="1">
        <f t="array" aca="1" ref="Z1842" ca="1">IFERROR(_xlfn.IFS(OR(F1842="",LEFT(Methode_Keuze,4)="Geen",Methode_Keuze=""),"",AND(W1842&lt;&gt;"",F1842&lt;&gt;"Arbeidskosten"),W1842*VLOOKUP(F1842,Tb_ProjectKosten[],MATCH(Tb_ProjectKosten[[#Headers],[Forfait_Percentage]],Tb_ProjectKosten[#Headers],0),0),AND(F1842="Arbeidskosten",G1842&lt;&gt;""),IFERROR(W1842*VLOOKUP(G1842,Tb_KostenTypen[],3,0)*VLOOKUP(F1842,Tb_ProjectKosten[],MATCH(Tb_ProjectKosten[[#Headers],[Forfait_Percentage]],Tb_ProjectKosten[#Headers],0),0),""),W1842 &lt;=0,0),"")</f>
        <v/>
      </c>
      <c r="AA1842" s="314" t="str" cm="1">
        <f t="array" aca="1" ref="AA1842" ca="1">IFERROR(_xlfn.IFS(OR(F1842="",LEFT(Methode_Keuze,4)="Geen",Methode_Keuze=""),"",AND(X1842&lt;&gt;"",F1842&lt;&gt;"Arbeidskosten"),X1842*VLOOKUP(F1842,Tb_ProjectKosten[],MATCH(Tb_ProjectKosten[[#Headers],[Forfait_Percentage]],Tb_ProjectKosten[#Headers],0),0),AND(F1842="Arbeidskosten",G1842&lt;&gt;""),IFERROR(X1842*VLOOKUP(G1842,Tb_KostenTypen[],3,0)*VLOOKUP(F1842,Tb_ProjectKosten[],MATCH(Tb_ProjectKosten[[#Headers],[Forfait_Percentage]],Tb_ProjectKosten[#Headers],0),0),""),X1842 &lt;=0,0),"")</f>
        <v/>
      </c>
      <c r="AB1842" s="314" t="str">
        <f t="shared" ca="1" si="115"/>
        <v/>
      </c>
      <c r="AC1842" s="322"/>
      <c r="AD1842" s="315"/>
      <c r="AE1842" s="32" t="str" cm="1">
        <f t="array" ref="AE1842">IFERROR(IF(INDEX(SubsidieTabel!$AD$1:$AG$12,MATCH($F1842,SubsidieTabel!$AD$1:$AD$12,0),IFERROR(MATCH(Methode_Keuze,SubsidieTabel!$AD$1:$AG$1,0),2))&lt;&gt;1=TRUE,"ja",""),"")</f>
        <v/>
      </c>
    </row>
    <row r="1843" spans="1:31" x14ac:dyDescent="0.25">
      <c r="A1843" s="316"/>
      <c r="B1843" s="317" t="str">
        <f>IF(A1843&lt;&gt;"",_xlfn.MAXIFS($B$1:B1842,$A$1:A1842,A1843)+1,"")</f>
        <v/>
      </c>
      <c r="C1843" s="296"/>
      <c r="D1843" s="296"/>
      <c r="E1843" s="296"/>
      <c r="F1843" s="296"/>
      <c r="G1843" s="326"/>
      <c r="H1843" s="324"/>
      <c r="I1843" s="325"/>
      <c r="J1843" s="325"/>
      <c r="K1843" s="318"/>
      <c r="L1843" s="318"/>
      <c r="M1843" s="319" t="str">
        <f>IFERROR(VLOOKUP(H1843,Lijsten!$H$1:$I$100,2,0),"")</f>
        <v/>
      </c>
      <c r="N1843" s="319" t="str">
        <f ca="1">IFERROR(IF(VLOOKUP(F1843,Kostentypen!$A$3:$E$21,3,0)=0,"",IF(OR(F1843="Arbeidskosten",F1843="Vergoeding"),VLOOKUP(G1843,Tb_KostenTypen[],2,0),VLOOKUP(F1843,Kostentypen!$A$3:$E$20,3,0))),"")</f>
        <v/>
      </c>
      <c r="O1843" s="320" t="str" cm="1">
        <f t="array" ref="O1843">_xlfn.IFNA(IF(INDEX(Tb_KostenOptiesDB[],MATCH($F1843,Tb_KostenOptiesDB[KostenOptie],0),IFERROR(MATCH(Methode_Keuze,Tb_KostenOptiesDB[#Headers],0),2))=1,_xlfn.SWITCH($N1843,"Uurtarief",IF(OR(AND(RIGHT($F1843,3)="IKS",VLOOKUP($M1843,DB_Loonkosten,2,0)="Ja"),AND(RIGHT($F1843,3)&lt;&gt;"IKS",VLOOKUP($M1843,DB_Loonkosten,2,0)="Nee")),IFERROR(VLOOKUP($M1843,DB_Loonkosten,24,0),""),0),"Vast tarief",IF(LEFT(F1843,8)="Bijdrage",VLOOKUP($F1843,Tb_KostenTypen[],MATCH(Lijsten!$P$1,Tb_KostenTypen[#Headers],0),0),VLOOKUP($G1843,Lijsten!L:P,MATCH(Lijsten!$P$1,Kop_Tarief_Vast,0),0))),""),"")</f>
        <v/>
      </c>
      <c r="P1843" s="320" t="str" cm="1">
        <f t="array" ref="P1843">_xlfn.IFNA(IF(INDEX(Tb_KostenOptiesDB[],MATCH($F1843,Tb_KostenOptiesDB[KostenOptie],0),IFERROR(MATCH(Methode_Keuze,Tb_KostenOptiesDB[#Headers],0),2))=1,_xlfn.SWITCH($N1843,"Uurtarief",IF(OR(AND(RIGHT($F1843,3)="IKS",VLOOKUP($M1843,DB_Loonkosten,2,0)="Ja"),AND(RIGHT($F1843,3)&lt;&gt;"IKS",VLOOKUP($M1843,DB_Loonkosten,2,0)="Nee")),IFERROR(VLOOKUP($M1843,DB_Loonkosten,25,0),""),0),"Vast tarief",IF(LEFT(F1843,8)="Bijdrage",VLOOKUP($F1843,Tb_KostenTypen[],MATCH(Lijsten!$P$1,Tb_KostenTypen[#Headers],0),0),VLOOKUP($G1843,Lijsten!L:P,MATCH(Lijsten!$P$1,Kop_Tarief_Vast,0),0))),""),"")</f>
        <v/>
      </c>
      <c r="Q1843" s="359"/>
      <c r="R1843" s="359"/>
      <c r="S1843" s="321"/>
      <c r="T1843" s="321"/>
      <c r="U1843" s="373" t="str">
        <f t="shared" si="112"/>
        <v/>
      </c>
      <c r="V1843" s="314" t="str">
        <f t="shared" si="113"/>
        <v/>
      </c>
      <c r="W1843" s="314" t="str" cm="1">
        <f t="array" aca="1" ref="W1843" ca="1">IFERROR(IF(AE1843&lt;&gt;"ja",_xlfn.IFNA(_xlfn.IFS(AND(O1843&lt;&gt;"",F1843&lt;&gt;"",RIGHT($N1843,6)="tarief",F1843="Vergoeding"),SUM(O1843)*FLOOR(SUM(Q1843),0.0001),AND(O1843&lt;&gt;"",F1843&lt;&gt;"",RIGHT($N1843,6)="tarief"),SUM(O1843)*FLOOR(SUM(Q1843),0.01),S1843&gt;0,IF(F1843&lt;&gt;"",FLOOR(SUM(S1843),0.01),"")),""),""),"")</f>
        <v/>
      </c>
      <c r="X1843" s="314" t="str" cm="1">
        <f t="array" aca="1" ref="X1843" ca="1">IFERROR(IF(AE1843&lt;&gt;"ja",_xlfn.IFNA(_xlfn.IFS(AND(P1843&lt;&gt;"",R1843&lt;&gt;"",RIGHT($N1843,6)="tarief",F1843="Vergoeding"),SUM(P1843)*FLOOR(SUM(R1843),0.0001),AND(P1843&lt;&gt;"",R1843&lt;&gt;"",RIGHT($N1843,6)="tarief"),P1843*FLOOR(R1843,0.01),T1843&gt;0,FLOOR(SUM(T1843),0.01)),""),""),"")</f>
        <v/>
      </c>
      <c r="Y1843" s="314" t="str">
        <f t="shared" ca="1" si="114"/>
        <v/>
      </c>
      <c r="Z1843" s="314" t="str" cm="1">
        <f t="array" aca="1" ref="Z1843" ca="1">IFERROR(_xlfn.IFS(OR(F1843="",LEFT(Methode_Keuze,4)="Geen",Methode_Keuze=""),"",AND(W1843&lt;&gt;"",F1843&lt;&gt;"Arbeidskosten"),W1843*VLOOKUP(F1843,Tb_ProjectKosten[],MATCH(Tb_ProjectKosten[[#Headers],[Forfait_Percentage]],Tb_ProjectKosten[#Headers],0),0),AND(F1843="Arbeidskosten",G1843&lt;&gt;""),IFERROR(W1843*VLOOKUP(G1843,Tb_KostenTypen[],3,0)*VLOOKUP(F1843,Tb_ProjectKosten[],MATCH(Tb_ProjectKosten[[#Headers],[Forfait_Percentage]],Tb_ProjectKosten[#Headers],0),0),""),W1843 &lt;=0,0),"")</f>
        <v/>
      </c>
      <c r="AA1843" s="314" t="str" cm="1">
        <f t="array" aca="1" ref="AA1843" ca="1">IFERROR(_xlfn.IFS(OR(F1843="",LEFT(Methode_Keuze,4)="Geen",Methode_Keuze=""),"",AND(X1843&lt;&gt;"",F1843&lt;&gt;"Arbeidskosten"),X1843*VLOOKUP(F1843,Tb_ProjectKosten[],MATCH(Tb_ProjectKosten[[#Headers],[Forfait_Percentage]],Tb_ProjectKosten[#Headers],0),0),AND(F1843="Arbeidskosten",G1843&lt;&gt;""),IFERROR(X1843*VLOOKUP(G1843,Tb_KostenTypen[],3,0)*VLOOKUP(F1843,Tb_ProjectKosten[],MATCH(Tb_ProjectKosten[[#Headers],[Forfait_Percentage]],Tb_ProjectKosten[#Headers],0),0),""),X1843 &lt;=0,0),"")</f>
        <v/>
      </c>
      <c r="AB1843" s="314" t="str">
        <f t="shared" ca="1" si="115"/>
        <v/>
      </c>
      <c r="AC1843" s="322"/>
      <c r="AD1843" s="315"/>
      <c r="AE1843" s="32" t="str" cm="1">
        <f t="array" ref="AE1843">IFERROR(IF(INDEX(SubsidieTabel!$AD$1:$AG$12,MATCH($F1843,SubsidieTabel!$AD$1:$AD$12,0),IFERROR(MATCH(Methode_Keuze,SubsidieTabel!$AD$1:$AG$1,0),2))&lt;&gt;1=TRUE,"ja",""),"")</f>
        <v/>
      </c>
    </row>
    <row r="1844" spans="1:31" x14ac:dyDescent="0.25">
      <c r="A1844" s="316"/>
      <c r="B1844" s="317" t="str">
        <f>IF(A1844&lt;&gt;"",_xlfn.MAXIFS($B$1:B1843,$A$1:A1843,A1844)+1,"")</f>
        <v/>
      </c>
      <c r="C1844" s="296"/>
      <c r="D1844" s="296"/>
      <c r="E1844" s="296"/>
      <c r="F1844" s="296"/>
      <c r="G1844" s="326"/>
      <c r="H1844" s="324"/>
      <c r="I1844" s="325"/>
      <c r="J1844" s="325"/>
      <c r="K1844" s="318"/>
      <c r="L1844" s="318"/>
      <c r="M1844" s="319" t="str">
        <f>IFERROR(VLOOKUP(H1844,Lijsten!$H$1:$I$100,2,0),"")</f>
        <v/>
      </c>
      <c r="N1844" s="319" t="str">
        <f ca="1">IFERROR(IF(VLOOKUP(F1844,Kostentypen!$A$3:$E$21,3,0)=0,"",IF(OR(F1844="Arbeidskosten",F1844="Vergoeding"),VLOOKUP(G1844,Tb_KostenTypen[],2,0),VLOOKUP(F1844,Kostentypen!$A$3:$E$20,3,0))),"")</f>
        <v/>
      </c>
      <c r="O1844" s="320" t="str" cm="1">
        <f t="array" ref="O1844">_xlfn.IFNA(IF(INDEX(Tb_KostenOptiesDB[],MATCH($F1844,Tb_KostenOptiesDB[KostenOptie],0),IFERROR(MATCH(Methode_Keuze,Tb_KostenOptiesDB[#Headers],0),2))=1,_xlfn.SWITCH($N1844,"Uurtarief",IF(OR(AND(RIGHT($F1844,3)="IKS",VLOOKUP($M1844,DB_Loonkosten,2,0)="Ja"),AND(RIGHT($F1844,3)&lt;&gt;"IKS",VLOOKUP($M1844,DB_Loonkosten,2,0)="Nee")),IFERROR(VLOOKUP($M1844,DB_Loonkosten,24,0),""),0),"Vast tarief",IF(LEFT(F1844,8)="Bijdrage",VLOOKUP($F1844,Tb_KostenTypen[],MATCH(Lijsten!$P$1,Tb_KostenTypen[#Headers],0),0),VLOOKUP($G1844,Lijsten!L:P,MATCH(Lijsten!$P$1,Kop_Tarief_Vast,0),0))),""),"")</f>
        <v/>
      </c>
      <c r="P1844" s="320" t="str" cm="1">
        <f t="array" ref="P1844">_xlfn.IFNA(IF(INDEX(Tb_KostenOptiesDB[],MATCH($F1844,Tb_KostenOptiesDB[KostenOptie],0),IFERROR(MATCH(Methode_Keuze,Tb_KostenOptiesDB[#Headers],0),2))=1,_xlfn.SWITCH($N1844,"Uurtarief",IF(OR(AND(RIGHT($F1844,3)="IKS",VLOOKUP($M1844,DB_Loonkosten,2,0)="Ja"),AND(RIGHT($F1844,3)&lt;&gt;"IKS",VLOOKUP($M1844,DB_Loonkosten,2,0)="Nee")),IFERROR(VLOOKUP($M1844,DB_Loonkosten,25,0),""),0),"Vast tarief",IF(LEFT(F1844,8)="Bijdrage",VLOOKUP($F1844,Tb_KostenTypen[],MATCH(Lijsten!$P$1,Tb_KostenTypen[#Headers],0),0),VLOOKUP($G1844,Lijsten!L:P,MATCH(Lijsten!$P$1,Kop_Tarief_Vast,0),0))),""),"")</f>
        <v/>
      </c>
      <c r="Q1844" s="359"/>
      <c r="R1844" s="359"/>
      <c r="S1844" s="321"/>
      <c r="T1844" s="321"/>
      <c r="U1844" s="373" t="str">
        <f t="shared" si="112"/>
        <v/>
      </c>
      <c r="V1844" s="314" t="str">
        <f t="shared" si="113"/>
        <v/>
      </c>
      <c r="W1844" s="314" t="str" cm="1">
        <f t="array" aca="1" ref="W1844" ca="1">IFERROR(IF(AE1844&lt;&gt;"ja",_xlfn.IFNA(_xlfn.IFS(AND(O1844&lt;&gt;"",F1844&lt;&gt;"",RIGHT($N1844,6)="tarief",F1844="Vergoeding"),SUM(O1844)*FLOOR(SUM(Q1844),0.0001),AND(O1844&lt;&gt;"",F1844&lt;&gt;"",RIGHT($N1844,6)="tarief"),SUM(O1844)*FLOOR(SUM(Q1844),0.01),S1844&gt;0,IF(F1844&lt;&gt;"",FLOOR(SUM(S1844),0.01),"")),""),""),"")</f>
        <v/>
      </c>
      <c r="X1844" s="314" t="str" cm="1">
        <f t="array" aca="1" ref="X1844" ca="1">IFERROR(IF(AE1844&lt;&gt;"ja",_xlfn.IFNA(_xlfn.IFS(AND(P1844&lt;&gt;"",R1844&lt;&gt;"",RIGHT($N1844,6)="tarief",F1844="Vergoeding"),SUM(P1844)*FLOOR(SUM(R1844),0.0001),AND(P1844&lt;&gt;"",R1844&lt;&gt;"",RIGHT($N1844,6)="tarief"),P1844*FLOOR(R1844,0.01),T1844&gt;0,FLOOR(SUM(T1844),0.01)),""),""),"")</f>
        <v/>
      </c>
      <c r="Y1844" s="314" t="str">
        <f t="shared" ca="1" si="114"/>
        <v/>
      </c>
      <c r="Z1844" s="314" t="str" cm="1">
        <f t="array" aca="1" ref="Z1844" ca="1">IFERROR(_xlfn.IFS(OR(F1844="",LEFT(Methode_Keuze,4)="Geen",Methode_Keuze=""),"",AND(W1844&lt;&gt;"",F1844&lt;&gt;"Arbeidskosten"),W1844*VLOOKUP(F1844,Tb_ProjectKosten[],MATCH(Tb_ProjectKosten[[#Headers],[Forfait_Percentage]],Tb_ProjectKosten[#Headers],0),0),AND(F1844="Arbeidskosten",G1844&lt;&gt;""),IFERROR(W1844*VLOOKUP(G1844,Tb_KostenTypen[],3,0)*VLOOKUP(F1844,Tb_ProjectKosten[],MATCH(Tb_ProjectKosten[[#Headers],[Forfait_Percentage]],Tb_ProjectKosten[#Headers],0),0),""),W1844 &lt;=0,0),"")</f>
        <v/>
      </c>
      <c r="AA1844" s="314" t="str" cm="1">
        <f t="array" aca="1" ref="AA1844" ca="1">IFERROR(_xlfn.IFS(OR(F1844="",LEFT(Methode_Keuze,4)="Geen",Methode_Keuze=""),"",AND(X1844&lt;&gt;"",F1844&lt;&gt;"Arbeidskosten"),X1844*VLOOKUP(F1844,Tb_ProjectKosten[],MATCH(Tb_ProjectKosten[[#Headers],[Forfait_Percentage]],Tb_ProjectKosten[#Headers],0),0),AND(F1844="Arbeidskosten",G1844&lt;&gt;""),IFERROR(X1844*VLOOKUP(G1844,Tb_KostenTypen[],3,0)*VLOOKUP(F1844,Tb_ProjectKosten[],MATCH(Tb_ProjectKosten[[#Headers],[Forfait_Percentage]],Tb_ProjectKosten[#Headers],0),0),""),X1844 &lt;=0,0),"")</f>
        <v/>
      </c>
      <c r="AB1844" s="314" t="str">
        <f t="shared" ca="1" si="115"/>
        <v/>
      </c>
      <c r="AC1844" s="322"/>
      <c r="AD1844" s="315"/>
      <c r="AE1844" s="32" t="str" cm="1">
        <f t="array" ref="AE1844">IFERROR(IF(INDEX(SubsidieTabel!$AD$1:$AG$12,MATCH($F1844,SubsidieTabel!$AD$1:$AD$12,0),IFERROR(MATCH(Methode_Keuze,SubsidieTabel!$AD$1:$AG$1,0),2))&lt;&gt;1=TRUE,"ja",""),"")</f>
        <v/>
      </c>
    </row>
    <row r="1845" spans="1:31" x14ac:dyDescent="0.25">
      <c r="A1845" s="316"/>
      <c r="B1845" s="317" t="str">
        <f>IF(A1845&lt;&gt;"",_xlfn.MAXIFS($B$1:B1844,$A$1:A1844,A1845)+1,"")</f>
        <v/>
      </c>
      <c r="C1845" s="296"/>
      <c r="D1845" s="296"/>
      <c r="E1845" s="296"/>
      <c r="F1845" s="296"/>
      <c r="G1845" s="326"/>
      <c r="H1845" s="324"/>
      <c r="I1845" s="325"/>
      <c r="J1845" s="325"/>
      <c r="K1845" s="318"/>
      <c r="L1845" s="318"/>
      <c r="M1845" s="319" t="str">
        <f>IFERROR(VLOOKUP(H1845,Lijsten!$H$1:$I$100,2,0),"")</f>
        <v/>
      </c>
      <c r="N1845" s="319" t="str">
        <f ca="1">IFERROR(IF(VLOOKUP(F1845,Kostentypen!$A$3:$E$21,3,0)=0,"",IF(OR(F1845="Arbeidskosten",F1845="Vergoeding"),VLOOKUP(G1845,Tb_KostenTypen[],2,0),VLOOKUP(F1845,Kostentypen!$A$3:$E$20,3,0))),"")</f>
        <v/>
      </c>
      <c r="O1845" s="320" t="str" cm="1">
        <f t="array" ref="O1845">_xlfn.IFNA(IF(INDEX(Tb_KostenOptiesDB[],MATCH($F1845,Tb_KostenOptiesDB[KostenOptie],0),IFERROR(MATCH(Methode_Keuze,Tb_KostenOptiesDB[#Headers],0),2))=1,_xlfn.SWITCH($N1845,"Uurtarief",IF(OR(AND(RIGHT($F1845,3)="IKS",VLOOKUP($M1845,DB_Loonkosten,2,0)="Ja"),AND(RIGHT($F1845,3)&lt;&gt;"IKS",VLOOKUP($M1845,DB_Loonkosten,2,0)="Nee")),IFERROR(VLOOKUP($M1845,DB_Loonkosten,24,0),""),0),"Vast tarief",IF(LEFT(F1845,8)="Bijdrage",VLOOKUP($F1845,Tb_KostenTypen[],MATCH(Lijsten!$P$1,Tb_KostenTypen[#Headers],0),0),VLOOKUP($G1845,Lijsten!L:P,MATCH(Lijsten!$P$1,Kop_Tarief_Vast,0),0))),""),"")</f>
        <v/>
      </c>
      <c r="P1845" s="320" t="str" cm="1">
        <f t="array" ref="P1845">_xlfn.IFNA(IF(INDEX(Tb_KostenOptiesDB[],MATCH($F1845,Tb_KostenOptiesDB[KostenOptie],0),IFERROR(MATCH(Methode_Keuze,Tb_KostenOptiesDB[#Headers],0),2))=1,_xlfn.SWITCH($N1845,"Uurtarief",IF(OR(AND(RIGHT($F1845,3)="IKS",VLOOKUP($M1845,DB_Loonkosten,2,0)="Ja"),AND(RIGHT($F1845,3)&lt;&gt;"IKS",VLOOKUP($M1845,DB_Loonkosten,2,0)="Nee")),IFERROR(VLOOKUP($M1845,DB_Loonkosten,25,0),""),0),"Vast tarief",IF(LEFT(F1845,8)="Bijdrage",VLOOKUP($F1845,Tb_KostenTypen[],MATCH(Lijsten!$P$1,Tb_KostenTypen[#Headers],0),0),VLOOKUP($G1845,Lijsten!L:P,MATCH(Lijsten!$P$1,Kop_Tarief_Vast,0),0))),""),"")</f>
        <v/>
      </c>
      <c r="Q1845" s="359"/>
      <c r="R1845" s="359"/>
      <c r="S1845" s="321"/>
      <c r="T1845" s="321"/>
      <c r="U1845" s="373" t="str">
        <f t="shared" si="112"/>
        <v/>
      </c>
      <c r="V1845" s="314" t="str">
        <f t="shared" si="113"/>
        <v/>
      </c>
      <c r="W1845" s="314" t="str" cm="1">
        <f t="array" aca="1" ref="W1845" ca="1">IFERROR(IF(AE1845&lt;&gt;"ja",_xlfn.IFNA(_xlfn.IFS(AND(O1845&lt;&gt;"",F1845&lt;&gt;"",RIGHT($N1845,6)="tarief",F1845="Vergoeding"),SUM(O1845)*FLOOR(SUM(Q1845),0.0001),AND(O1845&lt;&gt;"",F1845&lt;&gt;"",RIGHT($N1845,6)="tarief"),SUM(O1845)*FLOOR(SUM(Q1845),0.01),S1845&gt;0,IF(F1845&lt;&gt;"",FLOOR(SUM(S1845),0.01),"")),""),""),"")</f>
        <v/>
      </c>
      <c r="X1845" s="314" t="str" cm="1">
        <f t="array" aca="1" ref="X1845" ca="1">IFERROR(IF(AE1845&lt;&gt;"ja",_xlfn.IFNA(_xlfn.IFS(AND(P1845&lt;&gt;"",R1845&lt;&gt;"",RIGHT($N1845,6)="tarief",F1845="Vergoeding"),SUM(P1845)*FLOOR(SUM(R1845),0.0001),AND(P1845&lt;&gt;"",R1845&lt;&gt;"",RIGHT($N1845,6)="tarief"),P1845*FLOOR(R1845,0.01),T1845&gt;0,FLOOR(SUM(T1845),0.01)),""),""),"")</f>
        <v/>
      </c>
      <c r="Y1845" s="314" t="str">
        <f t="shared" ca="1" si="114"/>
        <v/>
      </c>
      <c r="Z1845" s="314" t="str" cm="1">
        <f t="array" aca="1" ref="Z1845" ca="1">IFERROR(_xlfn.IFS(OR(F1845="",LEFT(Methode_Keuze,4)="Geen",Methode_Keuze=""),"",AND(W1845&lt;&gt;"",F1845&lt;&gt;"Arbeidskosten"),W1845*VLOOKUP(F1845,Tb_ProjectKosten[],MATCH(Tb_ProjectKosten[[#Headers],[Forfait_Percentage]],Tb_ProjectKosten[#Headers],0),0),AND(F1845="Arbeidskosten",G1845&lt;&gt;""),IFERROR(W1845*VLOOKUP(G1845,Tb_KostenTypen[],3,0)*VLOOKUP(F1845,Tb_ProjectKosten[],MATCH(Tb_ProjectKosten[[#Headers],[Forfait_Percentage]],Tb_ProjectKosten[#Headers],0),0),""),W1845 &lt;=0,0),"")</f>
        <v/>
      </c>
      <c r="AA1845" s="314" t="str" cm="1">
        <f t="array" aca="1" ref="AA1845" ca="1">IFERROR(_xlfn.IFS(OR(F1845="",LEFT(Methode_Keuze,4)="Geen",Methode_Keuze=""),"",AND(X1845&lt;&gt;"",F1845&lt;&gt;"Arbeidskosten"),X1845*VLOOKUP(F1845,Tb_ProjectKosten[],MATCH(Tb_ProjectKosten[[#Headers],[Forfait_Percentage]],Tb_ProjectKosten[#Headers],0),0),AND(F1845="Arbeidskosten",G1845&lt;&gt;""),IFERROR(X1845*VLOOKUP(G1845,Tb_KostenTypen[],3,0)*VLOOKUP(F1845,Tb_ProjectKosten[],MATCH(Tb_ProjectKosten[[#Headers],[Forfait_Percentage]],Tb_ProjectKosten[#Headers],0),0),""),X1845 &lt;=0,0),"")</f>
        <v/>
      </c>
      <c r="AB1845" s="314" t="str">
        <f t="shared" ca="1" si="115"/>
        <v/>
      </c>
      <c r="AC1845" s="322"/>
      <c r="AD1845" s="315"/>
      <c r="AE1845" s="32" t="str" cm="1">
        <f t="array" ref="AE1845">IFERROR(IF(INDEX(SubsidieTabel!$AD$1:$AG$12,MATCH($F1845,SubsidieTabel!$AD$1:$AD$12,0),IFERROR(MATCH(Methode_Keuze,SubsidieTabel!$AD$1:$AG$1,0),2))&lt;&gt;1=TRUE,"ja",""),"")</f>
        <v/>
      </c>
    </row>
    <row r="1846" spans="1:31" x14ac:dyDescent="0.25">
      <c r="A1846" s="316"/>
      <c r="B1846" s="317" t="str">
        <f>IF(A1846&lt;&gt;"",_xlfn.MAXIFS($B$1:B1845,$A$1:A1845,A1846)+1,"")</f>
        <v/>
      </c>
      <c r="C1846" s="296"/>
      <c r="D1846" s="296"/>
      <c r="E1846" s="296"/>
      <c r="F1846" s="296"/>
      <c r="G1846" s="326"/>
      <c r="H1846" s="324"/>
      <c r="I1846" s="325"/>
      <c r="J1846" s="325"/>
      <c r="K1846" s="318"/>
      <c r="L1846" s="318"/>
      <c r="M1846" s="319" t="str">
        <f>IFERROR(VLOOKUP(H1846,Lijsten!$H$1:$I$100,2,0),"")</f>
        <v/>
      </c>
      <c r="N1846" s="319" t="str">
        <f ca="1">IFERROR(IF(VLOOKUP(F1846,Kostentypen!$A$3:$E$21,3,0)=0,"",IF(OR(F1846="Arbeidskosten",F1846="Vergoeding"),VLOOKUP(G1846,Tb_KostenTypen[],2,0),VLOOKUP(F1846,Kostentypen!$A$3:$E$20,3,0))),"")</f>
        <v/>
      </c>
      <c r="O1846" s="320" t="str" cm="1">
        <f t="array" ref="O1846">_xlfn.IFNA(IF(INDEX(Tb_KostenOptiesDB[],MATCH($F1846,Tb_KostenOptiesDB[KostenOptie],0),IFERROR(MATCH(Methode_Keuze,Tb_KostenOptiesDB[#Headers],0),2))=1,_xlfn.SWITCH($N1846,"Uurtarief",IF(OR(AND(RIGHT($F1846,3)="IKS",VLOOKUP($M1846,DB_Loonkosten,2,0)="Ja"),AND(RIGHT($F1846,3)&lt;&gt;"IKS",VLOOKUP($M1846,DB_Loonkosten,2,0)="Nee")),IFERROR(VLOOKUP($M1846,DB_Loonkosten,24,0),""),0),"Vast tarief",IF(LEFT(F1846,8)="Bijdrage",VLOOKUP($F1846,Tb_KostenTypen[],MATCH(Lijsten!$P$1,Tb_KostenTypen[#Headers],0),0),VLOOKUP($G1846,Lijsten!L:P,MATCH(Lijsten!$P$1,Kop_Tarief_Vast,0),0))),""),"")</f>
        <v/>
      </c>
      <c r="P1846" s="320" t="str" cm="1">
        <f t="array" ref="P1846">_xlfn.IFNA(IF(INDEX(Tb_KostenOptiesDB[],MATCH($F1846,Tb_KostenOptiesDB[KostenOptie],0),IFERROR(MATCH(Methode_Keuze,Tb_KostenOptiesDB[#Headers],0),2))=1,_xlfn.SWITCH($N1846,"Uurtarief",IF(OR(AND(RIGHT($F1846,3)="IKS",VLOOKUP($M1846,DB_Loonkosten,2,0)="Ja"),AND(RIGHT($F1846,3)&lt;&gt;"IKS",VLOOKUP($M1846,DB_Loonkosten,2,0)="Nee")),IFERROR(VLOOKUP($M1846,DB_Loonkosten,25,0),""),0),"Vast tarief",IF(LEFT(F1846,8)="Bijdrage",VLOOKUP($F1846,Tb_KostenTypen[],MATCH(Lijsten!$P$1,Tb_KostenTypen[#Headers],0),0),VLOOKUP($G1846,Lijsten!L:P,MATCH(Lijsten!$P$1,Kop_Tarief_Vast,0),0))),""),"")</f>
        <v/>
      </c>
      <c r="Q1846" s="359"/>
      <c r="R1846" s="359"/>
      <c r="S1846" s="321"/>
      <c r="T1846" s="321"/>
      <c r="U1846" s="373" t="str">
        <f t="shared" si="112"/>
        <v/>
      </c>
      <c r="V1846" s="314" t="str">
        <f t="shared" si="113"/>
        <v/>
      </c>
      <c r="W1846" s="314" t="str" cm="1">
        <f t="array" aca="1" ref="W1846" ca="1">IFERROR(IF(AE1846&lt;&gt;"ja",_xlfn.IFNA(_xlfn.IFS(AND(O1846&lt;&gt;"",F1846&lt;&gt;"",RIGHT($N1846,6)="tarief",F1846="Vergoeding"),SUM(O1846)*FLOOR(SUM(Q1846),0.0001),AND(O1846&lt;&gt;"",F1846&lt;&gt;"",RIGHT($N1846,6)="tarief"),SUM(O1846)*FLOOR(SUM(Q1846),0.01),S1846&gt;0,IF(F1846&lt;&gt;"",FLOOR(SUM(S1846),0.01),"")),""),""),"")</f>
        <v/>
      </c>
      <c r="X1846" s="314" t="str" cm="1">
        <f t="array" aca="1" ref="X1846" ca="1">IFERROR(IF(AE1846&lt;&gt;"ja",_xlfn.IFNA(_xlfn.IFS(AND(P1846&lt;&gt;"",R1846&lt;&gt;"",RIGHT($N1846,6)="tarief",F1846="Vergoeding"),SUM(P1846)*FLOOR(SUM(R1846),0.0001),AND(P1846&lt;&gt;"",R1846&lt;&gt;"",RIGHT($N1846,6)="tarief"),P1846*FLOOR(R1846,0.01),T1846&gt;0,FLOOR(SUM(T1846),0.01)),""),""),"")</f>
        <v/>
      </c>
      <c r="Y1846" s="314" t="str">
        <f t="shared" ca="1" si="114"/>
        <v/>
      </c>
      <c r="Z1846" s="314" t="str" cm="1">
        <f t="array" aca="1" ref="Z1846" ca="1">IFERROR(_xlfn.IFS(OR(F1846="",LEFT(Methode_Keuze,4)="Geen",Methode_Keuze=""),"",AND(W1846&lt;&gt;"",F1846&lt;&gt;"Arbeidskosten"),W1846*VLOOKUP(F1846,Tb_ProjectKosten[],MATCH(Tb_ProjectKosten[[#Headers],[Forfait_Percentage]],Tb_ProjectKosten[#Headers],0),0),AND(F1846="Arbeidskosten",G1846&lt;&gt;""),IFERROR(W1846*VLOOKUP(G1846,Tb_KostenTypen[],3,0)*VLOOKUP(F1846,Tb_ProjectKosten[],MATCH(Tb_ProjectKosten[[#Headers],[Forfait_Percentage]],Tb_ProjectKosten[#Headers],0),0),""),W1846 &lt;=0,0),"")</f>
        <v/>
      </c>
      <c r="AA1846" s="314" t="str" cm="1">
        <f t="array" aca="1" ref="AA1846" ca="1">IFERROR(_xlfn.IFS(OR(F1846="",LEFT(Methode_Keuze,4)="Geen",Methode_Keuze=""),"",AND(X1846&lt;&gt;"",F1846&lt;&gt;"Arbeidskosten"),X1846*VLOOKUP(F1846,Tb_ProjectKosten[],MATCH(Tb_ProjectKosten[[#Headers],[Forfait_Percentage]],Tb_ProjectKosten[#Headers],0),0),AND(F1846="Arbeidskosten",G1846&lt;&gt;""),IFERROR(X1846*VLOOKUP(G1846,Tb_KostenTypen[],3,0)*VLOOKUP(F1846,Tb_ProjectKosten[],MATCH(Tb_ProjectKosten[[#Headers],[Forfait_Percentage]],Tb_ProjectKosten[#Headers],0),0),""),X1846 &lt;=0,0),"")</f>
        <v/>
      </c>
      <c r="AB1846" s="314" t="str">
        <f t="shared" ca="1" si="115"/>
        <v/>
      </c>
      <c r="AC1846" s="322"/>
      <c r="AD1846" s="315"/>
      <c r="AE1846" s="32" t="str" cm="1">
        <f t="array" ref="AE1846">IFERROR(IF(INDEX(SubsidieTabel!$AD$1:$AG$12,MATCH($F1846,SubsidieTabel!$AD$1:$AD$12,0),IFERROR(MATCH(Methode_Keuze,SubsidieTabel!$AD$1:$AG$1,0),2))&lt;&gt;1=TRUE,"ja",""),"")</f>
        <v/>
      </c>
    </row>
    <row r="1847" spans="1:31" x14ac:dyDescent="0.25">
      <c r="A1847" s="316"/>
      <c r="B1847" s="317" t="str">
        <f>IF(A1847&lt;&gt;"",_xlfn.MAXIFS($B$1:B1846,$A$1:A1846,A1847)+1,"")</f>
        <v/>
      </c>
      <c r="C1847" s="296"/>
      <c r="D1847" s="296"/>
      <c r="E1847" s="296"/>
      <c r="F1847" s="296"/>
      <c r="G1847" s="326"/>
      <c r="H1847" s="324"/>
      <c r="I1847" s="325"/>
      <c r="J1847" s="325"/>
      <c r="K1847" s="318"/>
      <c r="L1847" s="318"/>
      <c r="M1847" s="319" t="str">
        <f>IFERROR(VLOOKUP(H1847,Lijsten!$H$1:$I$100,2,0),"")</f>
        <v/>
      </c>
      <c r="N1847" s="319" t="str">
        <f ca="1">IFERROR(IF(VLOOKUP(F1847,Kostentypen!$A$3:$E$21,3,0)=0,"",IF(OR(F1847="Arbeidskosten",F1847="Vergoeding"),VLOOKUP(G1847,Tb_KostenTypen[],2,0),VLOOKUP(F1847,Kostentypen!$A$3:$E$20,3,0))),"")</f>
        <v/>
      </c>
      <c r="O1847" s="320" t="str" cm="1">
        <f t="array" ref="O1847">_xlfn.IFNA(IF(INDEX(Tb_KostenOptiesDB[],MATCH($F1847,Tb_KostenOptiesDB[KostenOptie],0),IFERROR(MATCH(Methode_Keuze,Tb_KostenOptiesDB[#Headers],0),2))=1,_xlfn.SWITCH($N1847,"Uurtarief",IF(OR(AND(RIGHT($F1847,3)="IKS",VLOOKUP($M1847,DB_Loonkosten,2,0)="Ja"),AND(RIGHT($F1847,3)&lt;&gt;"IKS",VLOOKUP($M1847,DB_Loonkosten,2,0)="Nee")),IFERROR(VLOOKUP($M1847,DB_Loonkosten,24,0),""),0),"Vast tarief",IF(LEFT(F1847,8)="Bijdrage",VLOOKUP($F1847,Tb_KostenTypen[],MATCH(Lijsten!$P$1,Tb_KostenTypen[#Headers],0),0),VLOOKUP($G1847,Lijsten!L:P,MATCH(Lijsten!$P$1,Kop_Tarief_Vast,0),0))),""),"")</f>
        <v/>
      </c>
      <c r="P1847" s="320" t="str" cm="1">
        <f t="array" ref="P1847">_xlfn.IFNA(IF(INDEX(Tb_KostenOptiesDB[],MATCH($F1847,Tb_KostenOptiesDB[KostenOptie],0),IFERROR(MATCH(Methode_Keuze,Tb_KostenOptiesDB[#Headers],0),2))=1,_xlfn.SWITCH($N1847,"Uurtarief",IF(OR(AND(RIGHT($F1847,3)="IKS",VLOOKUP($M1847,DB_Loonkosten,2,0)="Ja"),AND(RIGHT($F1847,3)&lt;&gt;"IKS",VLOOKUP($M1847,DB_Loonkosten,2,0)="Nee")),IFERROR(VLOOKUP($M1847,DB_Loonkosten,25,0),""),0),"Vast tarief",IF(LEFT(F1847,8)="Bijdrage",VLOOKUP($F1847,Tb_KostenTypen[],MATCH(Lijsten!$P$1,Tb_KostenTypen[#Headers],0),0),VLOOKUP($G1847,Lijsten!L:P,MATCH(Lijsten!$P$1,Kop_Tarief_Vast,0),0))),""),"")</f>
        <v/>
      </c>
      <c r="Q1847" s="359"/>
      <c r="R1847" s="359"/>
      <c r="S1847" s="321"/>
      <c r="T1847" s="321"/>
      <c r="U1847" s="373" t="str">
        <f t="shared" si="112"/>
        <v/>
      </c>
      <c r="V1847" s="314" t="str">
        <f t="shared" si="113"/>
        <v/>
      </c>
      <c r="W1847" s="314" t="str" cm="1">
        <f t="array" aca="1" ref="W1847" ca="1">IFERROR(IF(AE1847&lt;&gt;"ja",_xlfn.IFNA(_xlfn.IFS(AND(O1847&lt;&gt;"",F1847&lt;&gt;"",RIGHT($N1847,6)="tarief",F1847="Vergoeding"),SUM(O1847)*FLOOR(SUM(Q1847),0.0001),AND(O1847&lt;&gt;"",F1847&lt;&gt;"",RIGHT($N1847,6)="tarief"),SUM(O1847)*FLOOR(SUM(Q1847),0.01),S1847&gt;0,IF(F1847&lt;&gt;"",FLOOR(SUM(S1847),0.01),"")),""),""),"")</f>
        <v/>
      </c>
      <c r="X1847" s="314" t="str" cm="1">
        <f t="array" aca="1" ref="X1847" ca="1">IFERROR(IF(AE1847&lt;&gt;"ja",_xlfn.IFNA(_xlfn.IFS(AND(P1847&lt;&gt;"",R1847&lt;&gt;"",RIGHT($N1847,6)="tarief",F1847="Vergoeding"),SUM(P1847)*FLOOR(SUM(R1847),0.0001),AND(P1847&lt;&gt;"",R1847&lt;&gt;"",RIGHT($N1847,6)="tarief"),P1847*FLOOR(R1847,0.01),T1847&gt;0,FLOOR(SUM(T1847),0.01)),""),""),"")</f>
        <v/>
      </c>
      <c r="Y1847" s="314" t="str">
        <f t="shared" ca="1" si="114"/>
        <v/>
      </c>
      <c r="Z1847" s="314" t="str" cm="1">
        <f t="array" aca="1" ref="Z1847" ca="1">IFERROR(_xlfn.IFS(OR(F1847="",LEFT(Methode_Keuze,4)="Geen",Methode_Keuze=""),"",AND(W1847&lt;&gt;"",F1847&lt;&gt;"Arbeidskosten"),W1847*VLOOKUP(F1847,Tb_ProjectKosten[],MATCH(Tb_ProjectKosten[[#Headers],[Forfait_Percentage]],Tb_ProjectKosten[#Headers],0),0),AND(F1847="Arbeidskosten",G1847&lt;&gt;""),IFERROR(W1847*VLOOKUP(G1847,Tb_KostenTypen[],3,0)*VLOOKUP(F1847,Tb_ProjectKosten[],MATCH(Tb_ProjectKosten[[#Headers],[Forfait_Percentage]],Tb_ProjectKosten[#Headers],0),0),""),W1847 &lt;=0,0),"")</f>
        <v/>
      </c>
      <c r="AA1847" s="314" t="str" cm="1">
        <f t="array" aca="1" ref="AA1847" ca="1">IFERROR(_xlfn.IFS(OR(F1847="",LEFT(Methode_Keuze,4)="Geen",Methode_Keuze=""),"",AND(X1847&lt;&gt;"",F1847&lt;&gt;"Arbeidskosten"),X1847*VLOOKUP(F1847,Tb_ProjectKosten[],MATCH(Tb_ProjectKosten[[#Headers],[Forfait_Percentage]],Tb_ProjectKosten[#Headers],0),0),AND(F1847="Arbeidskosten",G1847&lt;&gt;""),IFERROR(X1847*VLOOKUP(G1847,Tb_KostenTypen[],3,0)*VLOOKUP(F1847,Tb_ProjectKosten[],MATCH(Tb_ProjectKosten[[#Headers],[Forfait_Percentage]],Tb_ProjectKosten[#Headers],0),0),""),X1847 &lt;=0,0),"")</f>
        <v/>
      </c>
      <c r="AB1847" s="314" t="str">
        <f t="shared" ca="1" si="115"/>
        <v/>
      </c>
      <c r="AC1847" s="322"/>
      <c r="AD1847" s="315"/>
      <c r="AE1847" s="32" t="str" cm="1">
        <f t="array" ref="AE1847">IFERROR(IF(INDEX(SubsidieTabel!$AD$1:$AG$12,MATCH($F1847,SubsidieTabel!$AD$1:$AD$12,0),IFERROR(MATCH(Methode_Keuze,SubsidieTabel!$AD$1:$AG$1,0),2))&lt;&gt;1=TRUE,"ja",""),"")</f>
        <v/>
      </c>
    </row>
    <row r="1848" spans="1:31" x14ac:dyDescent="0.25">
      <c r="A1848" s="316"/>
      <c r="B1848" s="317" t="str">
        <f>IF(A1848&lt;&gt;"",_xlfn.MAXIFS($B$1:B1847,$A$1:A1847,A1848)+1,"")</f>
        <v/>
      </c>
      <c r="C1848" s="296"/>
      <c r="D1848" s="296"/>
      <c r="E1848" s="296"/>
      <c r="F1848" s="296"/>
      <c r="G1848" s="326"/>
      <c r="H1848" s="324"/>
      <c r="I1848" s="325"/>
      <c r="J1848" s="325"/>
      <c r="K1848" s="318"/>
      <c r="L1848" s="318"/>
      <c r="M1848" s="319" t="str">
        <f>IFERROR(VLOOKUP(H1848,Lijsten!$H$1:$I$100,2,0),"")</f>
        <v/>
      </c>
      <c r="N1848" s="319" t="str">
        <f ca="1">IFERROR(IF(VLOOKUP(F1848,Kostentypen!$A$3:$E$21,3,0)=0,"",IF(OR(F1848="Arbeidskosten",F1848="Vergoeding"),VLOOKUP(G1848,Tb_KostenTypen[],2,0),VLOOKUP(F1848,Kostentypen!$A$3:$E$20,3,0))),"")</f>
        <v/>
      </c>
      <c r="O1848" s="320" t="str" cm="1">
        <f t="array" ref="O1848">_xlfn.IFNA(IF(INDEX(Tb_KostenOptiesDB[],MATCH($F1848,Tb_KostenOptiesDB[KostenOptie],0),IFERROR(MATCH(Methode_Keuze,Tb_KostenOptiesDB[#Headers],0),2))=1,_xlfn.SWITCH($N1848,"Uurtarief",IF(OR(AND(RIGHT($F1848,3)="IKS",VLOOKUP($M1848,DB_Loonkosten,2,0)="Ja"),AND(RIGHT($F1848,3)&lt;&gt;"IKS",VLOOKUP($M1848,DB_Loonkosten,2,0)="Nee")),IFERROR(VLOOKUP($M1848,DB_Loonkosten,24,0),""),0),"Vast tarief",IF(LEFT(F1848,8)="Bijdrage",VLOOKUP($F1848,Tb_KostenTypen[],MATCH(Lijsten!$P$1,Tb_KostenTypen[#Headers],0),0),VLOOKUP($G1848,Lijsten!L:P,MATCH(Lijsten!$P$1,Kop_Tarief_Vast,0),0))),""),"")</f>
        <v/>
      </c>
      <c r="P1848" s="320" t="str" cm="1">
        <f t="array" ref="P1848">_xlfn.IFNA(IF(INDEX(Tb_KostenOptiesDB[],MATCH($F1848,Tb_KostenOptiesDB[KostenOptie],0),IFERROR(MATCH(Methode_Keuze,Tb_KostenOptiesDB[#Headers],0),2))=1,_xlfn.SWITCH($N1848,"Uurtarief",IF(OR(AND(RIGHT($F1848,3)="IKS",VLOOKUP($M1848,DB_Loonkosten,2,0)="Ja"),AND(RIGHT($F1848,3)&lt;&gt;"IKS",VLOOKUP($M1848,DB_Loonkosten,2,0)="Nee")),IFERROR(VLOOKUP($M1848,DB_Loonkosten,25,0),""),0),"Vast tarief",IF(LEFT(F1848,8)="Bijdrage",VLOOKUP($F1848,Tb_KostenTypen[],MATCH(Lijsten!$P$1,Tb_KostenTypen[#Headers],0),0),VLOOKUP($G1848,Lijsten!L:P,MATCH(Lijsten!$P$1,Kop_Tarief_Vast,0),0))),""),"")</f>
        <v/>
      </c>
      <c r="Q1848" s="359"/>
      <c r="R1848" s="359"/>
      <c r="S1848" s="321"/>
      <c r="T1848" s="321"/>
      <c r="U1848" s="373" t="str">
        <f t="shared" si="112"/>
        <v/>
      </c>
      <c r="V1848" s="314" t="str">
        <f t="shared" si="113"/>
        <v/>
      </c>
      <c r="W1848" s="314" t="str" cm="1">
        <f t="array" aca="1" ref="W1848" ca="1">IFERROR(IF(AE1848&lt;&gt;"ja",_xlfn.IFNA(_xlfn.IFS(AND(O1848&lt;&gt;"",F1848&lt;&gt;"",RIGHT($N1848,6)="tarief",F1848="Vergoeding"),SUM(O1848)*FLOOR(SUM(Q1848),0.0001),AND(O1848&lt;&gt;"",F1848&lt;&gt;"",RIGHT($N1848,6)="tarief"),SUM(O1848)*FLOOR(SUM(Q1848),0.01),S1848&gt;0,IF(F1848&lt;&gt;"",FLOOR(SUM(S1848),0.01),"")),""),""),"")</f>
        <v/>
      </c>
      <c r="X1848" s="314" t="str" cm="1">
        <f t="array" aca="1" ref="X1848" ca="1">IFERROR(IF(AE1848&lt;&gt;"ja",_xlfn.IFNA(_xlfn.IFS(AND(P1848&lt;&gt;"",R1848&lt;&gt;"",RIGHT($N1848,6)="tarief",F1848="Vergoeding"),SUM(P1848)*FLOOR(SUM(R1848),0.0001),AND(P1848&lt;&gt;"",R1848&lt;&gt;"",RIGHT($N1848,6)="tarief"),P1848*FLOOR(R1848,0.01),T1848&gt;0,FLOOR(SUM(T1848),0.01)),""),""),"")</f>
        <v/>
      </c>
      <c r="Y1848" s="314" t="str">
        <f t="shared" ca="1" si="114"/>
        <v/>
      </c>
      <c r="Z1848" s="314" t="str" cm="1">
        <f t="array" aca="1" ref="Z1848" ca="1">IFERROR(_xlfn.IFS(OR(F1848="",LEFT(Methode_Keuze,4)="Geen",Methode_Keuze=""),"",AND(W1848&lt;&gt;"",F1848&lt;&gt;"Arbeidskosten"),W1848*VLOOKUP(F1848,Tb_ProjectKosten[],MATCH(Tb_ProjectKosten[[#Headers],[Forfait_Percentage]],Tb_ProjectKosten[#Headers],0),0),AND(F1848="Arbeidskosten",G1848&lt;&gt;""),IFERROR(W1848*VLOOKUP(G1848,Tb_KostenTypen[],3,0)*VLOOKUP(F1848,Tb_ProjectKosten[],MATCH(Tb_ProjectKosten[[#Headers],[Forfait_Percentage]],Tb_ProjectKosten[#Headers],0),0),""),W1848 &lt;=0,0),"")</f>
        <v/>
      </c>
      <c r="AA1848" s="314" t="str" cm="1">
        <f t="array" aca="1" ref="AA1848" ca="1">IFERROR(_xlfn.IFS(OR(F1848="",LEFT(Methode_Keuze,4)="Geen",Methode_Keuze=""),"",AND(X1848&lt;&gt;"",F1848&lt;&gt;"Arbeidskosten"),X1848*VLOOKUP(F1848,Tb_ProjectKosten[],MATCH(Tb_ProjectKosten[[#Headers],[Forfait_Percentage]],Tb_ProjectKosten[#Headers],0),0),AND(F1848="Arbeidskosten",G1848&lt;&gt;""),IFERROR(X1848*VLOOKUP(G1848,Tb_KostenTypen[],3,0)*VLOOKUP(F1848,Tb_ProjectKosten[],MATCH(Tb_ProjectKosten[[#Headers],[Forfait_Percentage]],Tb_ProjectKosten[#Headers],0),0),""),X1848 &lt;=0,0),"")</f>
        <v/>
      </c>
      <c r="AB1848" s="314" t="str">
        <f t="shared" ca="1" si="115"/>
        <v/>
      </c>
      <c r="AC1848" s="322"/>
      <c r="AD1848" s="315"/>
      <c r="AE1848" s="32" t="str" cm="1">
        <f t="array" ref="AE1848">IFERROR(IF(INDEX(SubsidieTabel!$AD$1:$AG$12,MATCH($F1848,SubsidieTabel!$AD$1:$AD$12,0),IFERROR(MATCH(Methode_Keuze,SubsidieTabel!$AD$1:$AG$1,0),2))&lt;&gt;1=TRUE,"ja",""),"")</f>
        <v/>
      </c>
    </row>
    <row r="1849" spans="1:31" x14ac:dyDescent="0.25">
      <c r="A1849" s="316"/>
      <c r="B1849" s="317" t="str">
        <f>IF(A1849&lt;&gt;"",_xlfn.MAXIFS($B$1:B1848,$A$1:A1848,A1849)+1,"")</f>
        <v/>
      </c>
      <c r="C1849" s="296"/>
      <c r="D1849" s="296"/>
      <c r="E1849" s="296"/>
      <c r="F1849" s="296"/>
      <c r="G1849" s="326"/>
      <c r="H1849" s="324"/>
      <c r="I1849" s="325"/>
      <c r="J1849" s="325"/>
      <c r="K1849" s="318"/>
      <c r="L1849" s="318"/>
      <c r="M1849" s="319" t="str">
        <f>IFERROR(VLOOKUP(H1849,Lijsten!$H$1:$I$100,2,0),"")</f>
        <v/>
      </c>
      <c r="N1849" s="319" t="str">
        <f ca="1">IFERROR(IF(VLOOKUP(F1849,Kostentypen!$A$3:$E$21,3,0)=0,"",IF(OR(F1849="Arbeidskosten",F1849="Vergoeding"),VLOOKUP(G1849,Tb_KostenTypen[],2,0),VLOOKUP(F1849,Kostentypen!$A$3:$E$20,3,0))),"")</f>
        <v/>
      </c>
      <c r="O1849" s="320" t="str" cm="1">
        <f t="array" ref="O1849">_xlfn.IFNA(IF(INDEX(Tb_KostenOptiesDB[],MATCH($F1849,Tb_KostenOptiesDB[KostenOptie],0),IFERROR(MATCH(Methode_Keuze,Tb_KostenOptiesDB[#Headers],0),2))=1,_xlfn.SWITCH($N1849,"Uurtarief",IF(OR(AND(RIGHT($F1849,3)="IKS",VLOOKUP($M1849,DB_Loonkosten,2,0)="Ja"),AND(RIGHT($F1849,3)&lt;&gt;"IKS",VLOOKUP($M1849,DB_Loonkosten,2,0)="Nee")),IFERROR(VLOOKUP($M1849,DB_Loonkosten,24,0),""),0),"Vast tarief",IF(LEFT(F1849,8)="Bijdrage",VLOOKUP($F1849,Tb_KostenTypen[],MATCH(Lijsten!$P$1,Tb_KostenTypen[#Headers],0),0),VLOOKUP($G1849,Lijsten!L:P,MATCH(Lijsten!$P$1,Kop_Tarief_Vast,0),0))),""),"")</f>
        <v/>
      </c>
      <c r="P1849" s="320" t="str" cm="1">
        <f t="array" ref="P1849">_xlfn.IFNA(IF(INDEX(Tb_KostenOptiesDB[],MATCH($F1849,Tb_KostenOptiesDB[KostenOptie],0),IFERROR(MATCH(Methode_Keuze,Tb_KostenOptiesDB[#Headers],0),2))=1,_xlfn.SWITCH($N1849,"Uurtarief",IF(OR(AND(RIGHT($F1849,3)="IKS",VLOOKUP($M1849,DB_Loonkosten,2,0)="Ja"),AND(RIGHT($F1849,3)&lt;&gt;"IKS",VLOOKUP($M1849,DB_Loonkosten,2,0)="Nee")),IFERROR(VLOOKUP($M1849,DB_Loonkosten,25,0),""),0),"Vast tarief",IF(LEFT(F1849,8)="Bijdrage",VLOOKUP($F1849,Tb_KostenTypen[],MATCH(Lijsten!$P$1,Tb_KostenTypen[#Headers],0),0),VLOOKUP($G1849,Lijsten!L:P,MATCH(Lijsten!$P$1,Kop_Tarief_Vast,0),0))),""),"")</f>
        <v/>
      </c>
      <c r="Q1849" s="359"/>
      <c r="R1849" s="359"/>
      <c r="S1849" s="321"/>
      <c r="T1849" s="321"/>
      <c r="U1849" s="373" t="str">
        <f t="shared" si="112"/>
        <v/>
      </c>
      <c r="V1849" s="314" t="str">
        <f t="shared" si="113"/>
        <v/>
      </c>
      <c r="W1849" s="314" t="str" cm="1">
        <f t="array" aca="1" ref="W1849" ca="1">IFERROR(IF(AE1849&lt;&gt;"ja",_xlfn.IFNA(_xlfn.IFS(AND(O1849&lt;&gt;"",F1849&lt;&gt;"",RIGHT($N1849,6)="tarief",F1849="Vergoeding"),SUM(O1849)*FLOOR(SUM(Q1849),0.0001),AND(O1849&lt;&gt;"",F1849&lt;&gt;"",RIGHT($N1849,6)="tarief"),SUM(O1849)*FLOOR(SUM(Q1849),0.01),S1849&gt;0,IF(F1849&lt;&gt;"",FLOOR(SUM(S1849),0.01),"")),""),""),"")</f>
        <v/>
      </c>
      <c r="X1849" s="314" t="str" cm="1">
        <f t="array" aca="1" ref="X1849" ca="1">IFERROR(IF(AE1849&lt;&gt;"ja",_xlfn.IFNA(_xlfn.IFS(AND(P1849&lt;&gt;"",R1849&lt;&gt;"",RIGHT($N1849,6)="tarief",F1849="Vergoeding"),SUM(P1849)*FLOOR(SUM(R1849),0.0001),AND(P1849&lt;&gt;"",R1849&lt;&gt;"",RIGHT($N1849,6)="tarief"),P1849*FLOOR(R1849,0.01),T1849&gt;0,FLOOR(SUM(T1849),0.01)),""),""),"")</f>
        <v/>
      </c>
      <c r="Y1849" s="314" t="str">
        <f t="shared" ca="1" si="114"/>
        <v/>
      </c>
      <c r="Z1849" s="314" t="str" cm="1">
        <f t="array" aca="1" ref="Z1849" ca="1">IFERROR(_xlfn.IFS(OR(F1849="",LEFT(Methode_Keuze,4)="Geen",Methode_Keuze=""),"",AND(W1849&lt;&gt;"",F1849&lt;&gt;"Arbeidskosten"),W1849*VLOOKUP(F1849,Tb_ProjectKosten[],MATCH(Tb_ProjectKosten[[#Headers],[Forfait_Percentage]],Tb_ProjectKosten[#Headers],0),0),AND(F1849="Arbeidskosten",G1849&lt;&gt;""),IFERROR(W1849*VLOOKUP(G1849,Tb_KostenTypen[],3,0)*VLOOKUP(F1849,Tb_ProjectKosten[],MATCH(Tb_ProjectKosten[[#Headers],[Forfait_Percentage]],Tb_ProjectKosten[#Headers],0),0),""),W1849 &lt;=0,0),"")</f>
        <v/>
      </c>
      <c r="AA1849" s="314" t="str" cm="1">
        <f t="array" aca="1" ref="AA1849" ca="1">IFERROR(_xlfn.IFS(OR(F1849="",LEFT(Methode_Keuze,4)="Geen",Methode_Keuze=""),"",AND(X1849&lt;&gt;"",F1849&lt;&gt;"Arbeidskosten"),X1849*VLOOKUP(F1849,Tb_ProjectKosten[],MATCH(Tb_ProjectKosten[[#Headers],[Forfait_Percentage]],Tb_ProjectKosten[#Headers],0),0),AND(F1849="Arbeidskosten",G1849&lt;&gt;""),IFERROR(X1849*VLOOKUP(G1849,Tb_KostenTypen[],3,0)*VLOOKUP(F1849,Tb_ProjectKosten[],MATCH(Tb_ProjectKosten[[#Headers],[Forfait_Percentage]],Tb_ProjectKosten[#Headers],0),0),""),X1849 &lt;=0,0),"")</f>
        <v/>
      </c>
      <c r="AB1849" s="314" t="str">
        <f t="shared" ca="1" si="115"/>
        <v/>
      </c>
      <c r="AC1849" s="322"/>
      <c r="AD1849" s="315"/>
      <c r="AE1849" s="32" t="str" cm="1">
        <f t="array" ref="AE1849">IFERROR(IF(INDEX(SubsidieTabel!$AD$1:$AG$12,MATCH($F1849,SubsidieTabel!$AD$1:$AD$12,0),IFERROR(MATCH(Methode_Keuze,SubsidieTabel!$AD$1:$AG$1,0),2))&lt;&gt;1=TRUE,"ja",""),"")</f>
        <v/>
      </c>
    </row>
    <row r="1850" spans="1:31" x14ac:dyDescent="0.25">
      <c r="A1850" s="316"/>
      <c r="B1850" s="317" t="str">
        <f>IF(A1850&lt;&gt;"",_xlfn.MAXIFS($B$1:B1849,$A$1:A1849,A1850)+1,"")</f>
        <v/>
      </c>
      <c r="C1850" s="296"/>
      <c r="D1850" s="296"/>
      <c r="E1850" s="296"/>
      <c r="F1850" s="296"/>
      <c r="G1850" s="326"/>
      <c r="H1850" s="324"/>
      <c r="I1850" s="325"/>
      <c r="J1850" s="325"/>
      <c r="K1850" s="318"/>
      <c r="L1850" s="318"/>
      <c r="M1850" s="319" t="str">
        <f>IFERROR(VLOOKUP(H1850,Lijsten!$H$1:$I$100,2,0),"")</f>
        <v/>
      </c>
      <c r="N1850" s="319" t="str">
        <f ca="1">IFERROR(IF(VLOOKUP(F1850,Kostentypen!$A$3:$E$21,3,0)=0,"",IF(OR(F1850="Arbeidskosten",F1850="Vergoeding"),VLOOKUP(G1850,Tb_KostenTypen[],2,0),VLOOKUP(F1850,Kostentypen!$A$3:$E$20,3,0))),"")</f>
        <v/>
      </c>
      <c r="O1850" s="320" t="str" cm="1">
        <f t="array" ref="O1850">_xlfn.IFNA(IF(INDEX(Tb_KostenOptiesDB[],MATCH($F1850,Tb_KostenOptiesDB[KostenOptie],0),IFERROR(MATCH(Methode_Keuze,Tb_KostenOptiesDB[#Headers],0),2))=1,_xlfn.SWITCH($N1850,"Uurtarief",IF(OR(AND(RIGHT($F1850,3)="IKS",VLOOKUP($M1850,DB_Loonkosten,2,0)="Ja"),AND(RIGHT($F1850,3)&lt;&gt;"IKS",VLOOKUP($M1850,DB_Loonkosten,2,0)="Nee")),IFERROR(VLOOKUP($M1850,DB_Loonkosten,24,0),""),0),"Vast tarief",IF(LEFT(F1850,8)="Bijdrage",VLOOKUP($F1850,Tb_KostenTypen[],MATCH(Lijsten!$P$1,Tb_KostenTypen[#Headers],0),0),VLOOKUP($G1850,Lijsten!L:P,MATCH(Lijsten!$P$1,Kop_Tarief_Vast,0),0))),""),"")</f>
        <v/>
      </c>
      <c r="P1850" s="320" t="str" cm="1">
        <f t="array" ref="P1850">_xlfn.IFNA(IF(INDEX(Tb_KostenOptiesDB[],MATCH($F1850,Tb_KostenOptiesDB[KostenOptie],0),IFERROR(MATCH(Methode_Keuze,Tb_KostenOptiesDB[#Headers],0),2))=1,_xlfn.SWITCH($N1850,"Uurtarief",IF(OR(AND(RIGHT($F1850,3)="IKS",VLOOKUP($M1850,DB_Loonkosten,2,0)="Ja"),AND(RIGHT($F1850,3)&lt;&gt;"IKS",VLOOKUP($M1850,DB_Loonkosten,2,0)="Nee")),IFERROR(VLOOKUP($M1850,DB_Loonkosten,25,0),""),0),"Vast tarief",IF(LEFT(F1850,8)="Bijdrage",VLOOKUP($F1850,Tb_KostenTypen[],MATCH(Lijsten!$P$1,Tb_KostenTypen[#Headers],0),0),VLOOKUP($G1850,Lijsten!L:P,MATCH(Lijsten!$P$1,Kop_Tarief_Vast,0),0))),""),"")</f>
        <v/>
      </c>
      <c r="Q1850" s="359"/>
      <c r="R1850" s="359"/>
      <c r="S1850" s="321"/>
      <c r="T1850" s="321"/>
      <c r="U1850" s="373" t="str">
        <f t="shared" si="112"/>
        <v/>
      </c>
      <c r="V1850" s="314" t="str">
        <f t="shared" si="113"/>
        <v/>
      </c>
      <c r="W1850" s="314" t="str" cm="1">
        <f t="array" aca="1" ref="W1850" ca="1">IFERROR(IF(AE1850&lt;&gt;"ja",_xlfn.IFNA(_xlfn.IFS(AND(O1850&lt;&gt;"",F1850&lt;&gt;"",RIGHT($N1850,6)="tarief",F1850="Vergoeding"),SUM(O1850)*FLOOR(SUM(Q1850),0.0001),AND(O1850&lt;&gt;"",F1850&lt;&gt;"",RIGHT($N1850,6)="tarief"),SUM(O1850)*FLOOR(SUM(Q1850),0.01),S1850&gt;0,IF(F1850&lt;&gt;"",FLOOR(SUM(S1850),0.01),"")),""),""),"")</f>
        <v/>
      </c>
      <c r="X1850" s="314" t="str" cm="1">
        <f t="array" aca="1" ref="X1850" ca="1">IFERROR(IF(AE1850&lt;&gt;"ja",_xlfn.IFNA(_xlfn.IFS(AND(P1850&lt;&gt;"",R1850&lt;&gt;"",RIGHT($N1850,6)="tarief",F1850="Vergoeding"),SUM(P1850)*FLOOR(SUM(R1850),0.0001),AND(P1850&lt;&gt;"",R1850&lt;&gt;"",RIGHT($N1850,6)="tarief"),P1850*FLOOR(R1850,0.01),T1850&gt;0,FLOOR(SUM(T1850),0.01)),""),""),"")</f>
        <v/>
      </c>
      <c r="Y1850" s="314" t="str">
        <f t="shared" ca="1" si="114"/>
        <v/>
      </c>
      <c r="Z1850" s="314" t="str" cm="1">
        <f t="array" aca="1" ref="Z1850" ca="1">IFERROR(_xlfn.IFS(OR(F1850="",LEFT(Methode_Keuze,4)="Geen",Methode_Keuze=""),"",AND(W1850&lt;&gt;"",F1850&lt;&gt;"Arbeidskosten"),W1850*VLOOKUP(F1850,Tb_ProjectKosten[],MATCH(Tb_ProjectKosten[[#Headers],[Forfait_Percentage]],Tb_ProjectKosten[#Headers],0),0),AND(F1850="Arbeidskosten",G1850&lt;&gt;""),IFERROR(W1850*VLOOKUP(G1850,Tb_KostenTypen[],3,0)*VLOOKUP(F1850,Tb_ProjectKosten[],MATCH(Tb_ProjectKosten[[#Headers],[Forfait_Percentage]],Tb_ProjectKosten[#Headers],0),0),""),W1850 &lt;=0,0),"")</f>
        <v/>
      </c>
      <c r="AA1850" s="314" t="str" cm="1">
        <f t="array" aca="1" ref="AA1850" ca="1">IFERROR(_xlfn.IFS(OR(F1850="",LEFT(Methode_Keuze,4)="Geen",Methode_Keuze=""),"",AND(X1850&lt;&gt;"",F1850&lt;&gt;"Arbeidskosten"),X1850*VLOOKUP(F1850,Tb_ProjectKosten[],MATCH(Tb_ProjectKosten[[#Headers],[Forfait_Percentage]],Tb_ProjectKosten[#Headers],0),0),AND(F1850="Arbeidskosten",G1850&lt;&gt;""),IFERROR(X1850*VLOOKUP(G1850,Tb_KostenTypen[],3,0)*VLOOKUP(F1850,Tb_ProjectKosten[],MATCH(Tb_ProjectKosten[[#Headers],[Forfait_Percentage]],Tb_ProjectKosten[#Headers],0),0),""),X1850 &lt;=0,0),"")</f>
        <v/>
      </c>
      <c r="AB1850" s="314" t="str">
        <f t="shared" ca="1" si="115"/>
        <v/>
      </c>
      <c r="AC1850" s="322"/>
      <c r="AD1850" s="315"/>
      <c r="AE1850" s="32" t="str" cm="1">
        <f t="array" ref="AE1850">IFERROR(IF(INDEX(SubsidieTabel!$AD$1:$AG$12,MATCH($F1850,SubsidieTabel!$AD$1:$AD$12,0),IFERROR(MATCH(Methode_Keuze,SubsidieTabel!$AD$1:$AG$1,0),2))&lt;&gt;1=TRUE,"ja",""),"")</f>
        <v/>
      </c>
    </row>
    <row r="1851" spans="1:31" x14ac:dyDescent="0.25">
      <c r="A1851" s="316"/>
      <c r="B1851" s="317" t="str">
        <f>IF(A1851&lt;&gt;"",_xlfn.MAXIFS($B$1:B1850,$A$1:A1850,A1851)+1,"")</f>
        <v/>
      </c>
      <c r="C1851" s="296"/>
      <c r="D1851" s="296"/>
      <c r="E1851" s="296"/>
      <c r="F1851" s="296"/>
      <c r="G1851" s="326"/>
      <c r="H1851" s="324"/>
      <c r="I1851" s="325"/>
      <c r="J1851" s="325"/>
      <c r="K1851" s="318"/>
      <c r="L1851" s="318"/>
      <c r="M1851" s="319" t="str">
        <f>IFERROR(VLOOKUP(H1851,Lijsten!$H$1:$I$100,2,0),"")</f>
        <v/>
      </c>
      <c r="N1851" s="319" t="str">
        <f ca="1">IFERROR(IF(VLOOKUP(F1851,Kostentypen!$A$3:$E$21,3,0)=0,"",IF(OR(F1851="Arbeidskosten",F1851="Vergoeding"),VLOOKUP(G1851,Tb_KostenTypen[],2,0),VLOOKUP(F1851,Kostentypen!$A$3:$E$20,3,0))),"")</f>
        <v/>
      </c>
      <c r="O1851" s="320" t="str" cm="1">
        <f t="array" ref="O1851">_xlfn.IFNA(IF(INDEX(Tb_KostenOptiesDB[],MATCH($F1851,Tb_KostenOptiesDB[KostenOptie],0),IFERROR(MATCH(Methode_Keuze,Tb_KostenOptiesDB[#Headers],0),2))=1,_xlfn.SWITCH($N1851,"Uurtarief",IF(OR(AND(RIGHT($F1851,3)="IKS",VLOOKUP($M1851,DB_Loonkosten,2,0)="Ja"),AND(RIGHT($F1851,3)&lt;&gt;"IKS",VLOOKUP($M1851,DB_Loonkosten,2,0)="Nee")),IFERROR(VLOOKUP($M1851,DB_Loonkosten,24,0),""),0),"Vast tarief",IF(LEFT(F1851,8)="Bijdrage",VLOOKUP($F1851,Tb_KostenTypen[],MATCH(Lijsten!$P$1,Tb_KostenTypen[#Headers],0),0),VLOOKUP($G1851,Lijsten!L:P,MATCH(Lijsten!$P$1,Kop_Tarief_Vast,0),0))),""),"")</f>
        <v/>
      </c>
      <c r="P1851" s="320" t="str" cm="1">
        <f t="array" ref="P1851">_xlfn.IFNA(IF(INDEX(Tb_KostenOptiesDB[],MATCH($F1851,Tb_KostenOptiesDB[KostenOptie],0),IFERROR(MATCH(Methode_Keuze,Tb_KostenOptiesDB[#Headers],0),2))=1,_xlfn.SWITCH($N1851,"Uurtarief",IF(OR(AND(RIGHT($F1851,3)="IKS",VLOOKUP($M1851,DB_Loonkosten,2,0)="Ja"),AND(RIGHT($F1851,3)&lt;&gt;"IKS",VLOOKUP($M1851,DB_Loonkosten,2,0)="Nee")),IFERROR(VLOOKUP($M1851,DB_Loonkosten,25,0),""),0),"Vast tarief",IF(LEFT(F1851,8)="Bijdrage",VLOOKUP($F1851,Tb_KostenTypen[],MATCH(Lijsten!$P$1,Tb_KostenTypen[#Headers],0),0),VLOOKUP($G1851,Lijsten!L:P,MATCH(Lijsten!$P$1,Kop_Tarief_Vast,0),0))),""),"")</f>
        <v/>
      </c>
      <c r="Q1851" s="359"/>
      <c r="R1851" s="359"/>
      <c r="S1851" s="321"/>
      <c r="T1851" s="321"/>
      <c r="U1851" s="373" t="str">
        <f t="shared" si="112"/>
        <v/>
      </c>
      <c r="V1851" s="314" t="str">
        <f t="shared" si="113"/>
        <v/>
      </c>
      <c r="W1851" s="314" t="str" cm="1">
        <f t="array" aca="1" ref="W1851" ca="1">IFERROR(IF(AE1851&lt;&gt;"ja",_xlfn.IFNA(_xlfn.IFS(AND(O1851&lt;&gt;"",F1851&lt;&gt;"",RIGHT($N1851,6)="tarief",F1851="Vergoeding"),SUM(O1851)*FLOOR(SUM(Q1851),0.0001),AND(O1851&lt;&gt;"",F1851&lt;&gt;"",RIGHT($N1851,6)="tarief"),SUM(O1851)*FLOOR(SUM(Q1851),0.01),S1851&gt;0,IF(F1851&lt;&gt;"",FLOOR(SUM(S1851),0.01),"")),""),""),"")</f>
        <v/>
      </c>
      <c r="X1851" s="314" t="str" cm="1">
        <f t="array" aca="1" ref="X1851" ca="1">IFERROR(IF(AE1851&lt;&gt;"ja",_xlfn.IFNA(_xlfn.IFS(AND(P1851&lt;&gt;"",R1851&lt;&gt;"",RIGHT($N1851,6)="tarief",F1851="Vergoeding"),SUM(P1851)*FLOOR(SUM(R1851),0.0001),AND(P1851&lt;&gt;"",R1851&lt;&gt;"",RIGHT($N1851,6)="tarief"),P1851*FLOOR(R1851,0.01),T1851&gt;0,FLOOR(SUM(T1851),0.01)),""),""),"")</f>
        <v/>
      </c>
      <c r="Y1851" s="314" t="str">
        <f t="shared" ca="1" si="114"/>
        <v/>
      </c>
      <c r="Z1851" s="314" t="str" cm="1">
        <f t="array" aca="1" ref="Z1851" ca="1">IFERROR(_xlfn.IFS(OR(F1851="",LEFT(Methode_Keuze,4)="Geen",Methode_Keuze=""),"",AND(W1851&lt;&gt;"",F1851&lt;&gt;"Arbeidskosten"),W1851*VLOOKUP(F1851,Tb_ProjectKosten[],MATCH(Tb_ProjectKosten[[#Headers],[Forfait_Percentage]],Tb_ProjectKosten[#Headers],0),0),AND(F1851="Arbeidskosten",G1851&lt;&gt;""),IFERROR(W1851*VLOOKUP(G1851,Tb_KostenTypen[],3,0)*VLOOKUP(F1851,Tb_ProjectKosten[],MATCH(Tb_ProjectKosten[[#Headers],[Forfait_Percentage]],Tb_ProjectKosten[#Headers],0),0),""),W1851 &lt;=0,0),"")</f>
        <v/>
      </c>
      <c r="AA1851" s="314" t="str" cm="1">
        <f t="array" aca="1" ref="AA1851" ca="1">IFERROR(_xlfn.IFS(OR(F1851="",LEFT(Methode_Keuze,4)="Geen",Methode_Keuze=""),"",AND(X1851&lt;&gt;"",F1851&lt;&gt;"Arbeidskosten"),X1851*VLOOKUP(F1851,Tb_ProjectKosten[],MATCH(Tb_ProjectKosten[[#Headers],[Forfait_Percentage]],Tb_ProjectKosten[#Headers],0),0),AND(F1851="Arbeidskosten",G1851&lt;&gt;""),IFERROR(X1851*VLOOKUP(G1851,Tb_KostenTypen[],3,0)*VLOOKUP(F1851,Tb_ProjectKosten[],MATCH(Tb_ProjectKosten[[#Headers],[Forfait_Percentage]],Tb_ProjectKosten[#Headers],0),0),""),X1851 &lt;=0,0),"")</f>
        <v/>
      </c>
      <c r="AB1851" s="314" t="str">
        <f t="shared" ca="1" si="115"/>
        <v/>
      </c>
      <c r="AC1851" s="322"/>
      <c r="AD1851" s="315"/>
      <c r="AE1851" s="32" t="str" cm="1">
        <f t="array" ref="AE1851">IFERROR(IF(INDEX(SubsidieTabel!$AD$1:$AG$12,MATCH($F1851,SubsidieTabel!$AD$1:$AD$12,0),IFERROR(MATCH(Methode_Keuze,SubsidieTabel!$AD$1:$AG$1,0),2))&lt;&gt;1=TRUE,"ja",""),"")</f>
        <v/>
      </c>
    </row>
    <row r="1852" spans="1:31" x14ac:dyDescent="0.25">
      <c r="A1852" s="316"/>
      <c r="B1852" s="317" t="str">
        <f>IF(A1852&lt;&gt;"",_xlfn.MAXIFS($B$1:B1851,$A$1:A1851,A1852)+1,"")</f>
        <v/>
      </c>
      <c r="C1852" s="296"/>
      <c r="D1852" s="296"/>
      <c r="E1852" s="296"/>
      <c r="F1852" s="296"/>
      <c r="G1852" s="326"/>
      <c r="H1852" s="324"/>
      <c r="I1852" s="325"/>
      <c r="J1852" s="325"/>
      <c r="K1852" s="318"/>
      <c r="L1852" s="318"/>
      <c r="M1852" s="319" t="str">
        <f>IFERROR(VLOOKUP(H1852,Lijsten!$H$1:$I$100,2,0),"")</f>
        <v/>
      </c>
      <c r="N1852" s="319" t="str">
        <f ca="1">IFERROR(IF(VLOOKUP(F1852,Kostentypen!$A$3:$E$21,3,0)=0,"",IF(OR(F1852="Arbeidskosten",F1852="Vergoeding"),VLOOKUP(G1852,Tb_KostenTypen[],2,0),VLOOKUP(F1852,Kostentypen!$A$3:$E$20,3,0))),"")</f>
        <v/>
      </c>
      <c r="O1852" s="320" t="str" cm="1">
        <f t="array" ref="O1852">_xlfn.IFNA(IF(INDEX(Tb_KostenOptiesDB[],MATCH($F1852,Tb_KostenOptiesDB[KostenOptie],0),IFERROR(MATCH(Methode_Keuze,Tb_KostenOptiesDB[#Headers],0),2))=1,_xlfn.SWITCH($N1852,"Uurtarief",IF(OR(AND(RIGHT($F1852,3)="IKS",VLOOKUP($M1852,DB_Loonkosten,2,0)="Ja"),AND(RIGHT($F1852,3)&lt;&gt;"IKS",VLOOKUP($M1852,DB_Loonkosten,2,0)="Nee")),IFERROR(VLOOKUP($M1852,DB_Loonkosten,24,0),""),0),"Vast tarief",IF(LEFT(F1852,8)="Bijdrage",VLOOKUP($F1852,Tb_KostenTypen[],MATCH(Lijsten!$P$1,Tb_KostenTypen[#Headers],0),0),VLOOKUP($G1852,Lijsten!L:P,MATCH(Lijsten!$P$1,Kop_Tarief_Vast,0),0))),""),"")</f>
        <v/>
      </c>
      <c r="P1852" s="320" t="str" cm="1">
        <f t="array" ref="P1852">_xlfn.IFNA(IF(INDEX(Tb_KostenOptiesDB[],MATCH($F1852,Tb_KostenOptiesDB[KostenOptie],0),IFERROR(MATCH(Methode_Keuze,Tb_KostenOptiesDB[#Headers],0),2))=1,_xlfn.SWITCH($N1852,"Uurtarief",IF(OR(AND(RIGHT($F1852,3)="IKS",VLOOKUP($M1852,DB_Loonkosten,2,0)="Ja"),AND(RIGHT($F1852,3)&lt;&gt;"IKS",VLOOKUP($M1852,DB_Loonkosten,2,0)="Nee")),IFERROR(VLOOKUP($M1852,DB_Loonkosten,25,0),""),0),"Vast tarief",IF(LEFT(F1852,8)="Bijdrage",VLOOKUP($F1852,Tb_KostenTypen[],MATCH(Lijsten!$P$1,Tb_KostenTypen[#Headers],0),0),VLOOKUP($G1852,Lijsten!L:P,MATCH(Lijsten!$P$1,Kop_Tarief_Vast,0),0))),""),"")</f>
        <v/>
      </c>
      <c r="Q1852" s="359"/>
      <c r="R1852" s="359"/>
      <c r="S1852" s="321"/>
      <c r="T1852" s="321"/>
      <c r="U1852" s="373" t="str">
        <f t="shared" si="112"/>
        <v/>
      </c>
      <c r="V1852" s="314" t="str">
        <f t="shared" si="113"/>
        <v/>
      </c>
      <c r="W1852" s="314" t="str" cm="1">
        <f t="array" aca="1" ref="W1852" ca="1">IFERROR(IF(AE1852&lt;&gt;"ja",_xlfn.IFNA(_xlfn.IFS(AND(O1852&lt;&gt;"",F1852&lt;&gt;"",RIGHT($N1852,6)="tarief",F1852="Vergoeding"),SUM(O1852)*FLOOR(SUM(Q1852),0.0001),AND(O1852&lt;&gt;"",F1852&lt;&gt;"",RIGHT($N1852,6)="tarief"),SUM(O1852)*FLOOR(SUM(Q1852),0.01),S1852&gt;0,IF(F1852&lt;&gt;"",FLOOR(SUM(S1852),0.01),"")),""),""),"")</f>
        <v/>
      </c>
      <c r="X1852" s="314" t="str" cm="1">
        <f t="array" aca="1" ref="X1852" ca="1">IFERROR(IF(AE1852&lt;&gt;"ja",_xlfn.IFNA(_xlfn.IFS(AND(P1852&lt;&gt;"",R1852&lt;&gt;"",RIGHT($N1852,6)="tarief",F1852="Vergoeding"),SUM(P1852)*FLOOR(SUM(R1852),0.0001),AND(P1852&lt;&gt;"",R1852&lt;&gt;"",RIGHT($N1852,6)="tarief"),P1852*FLOOR(R1852,0.01),T1852&gt;0,FLOOR(SUM(T1852),0.01)),""),""),"")</f>
        <v/>
      </c>
      <c r="Y1852" s="314" t="str">
        <f t="shared" ca="1" si="114"/>
        <v/>
      </c>
      <c r="Z1852" s="314" t="str" cm="1">
        <f t="array" aca="1" ref="Z1852" ca="1">IFERROR(_xlfn.IFS(OR(F1852="",LEFT(Methode_Keuze,4)="Geen",Methode_Keuze=""),"",AND(W1852&lt;&gt;"",F1852&lt;&gt;"Arbeidskosten"),W1852*VLOOKUP(F1852,Tb_ProjectKosten[],MATCH(Tb_ProjectKosten[[#Headers],[Forfait_Percentage]],Tb_ProjectKosten[#Headers],0),0),AND(F1852="Arbeidskosten",G1852&lt;&gt;""),IFERROR(W1852*VLOOKUP(G1852,Tb_KostenTypen[],3,0)*VLOOKUP(F1852,Tb_ProjectKosten[],MATCH(Tb_ProjectKosten[[#Headers],[Forfait_Percentage]],Tb_ProjectKosten[#Headers],0),0),""),W1852 &lt;=0,0),"")</f>
        <v/>
      </c>
      <c r="AA1852" s="314" t="str" cm="1">
        <f t="array" aca="1" ref="AA1852" ca="1">IFERROR(_xlfn.IFS(OR(F1852="",LEFT(Methode_Keuze,4)="Geen",Methode_Keuze=""),"",AND(X1852&lt;&gt;"",F1852&lt;&gt;"Arbeidskosten"),X1852*VLOOKUP(F1852,Tb_ProjectKosten[],MATCH(Tb_ProjectKosten[[#Headers],[Forfait_Percentage]],Tb_ProjectKosten[#Headers],0),0),AND(F1852="Arbeidskosten",G1852&lt;&gt;""),IFERROR(X1852*VLOOKUP(G1852,Tb_KostenTypen[],3,0)*VLOOKUP(F1852,Tb_ProjectKosten[],MATCH(Tb_ProjectKosten[[#Headers],[Forfait_Percentage]],Tb_ProjectKosten[#Headers],0),0),""),X1852 &lt;=0,0),"")</f>
        <v/>
      </c>
      <c r="AB1852" s="314" t="str">
        <f t="shared" ca="1" si="115"/>
        <v/>
      </c>
      <c r="AC1852" s="322"/>
      <c r="AD1852" s="315"/>
      <c r="AE1852" s="32" t="str" cm="1">
        <f t="array" ref="AE1852">IFERROR(IF(INDEX(SubsidieTabel!$AD$1:$AG$12,MATCH($F1852,SubsidieTabel!$AD$1:$AD$12,0),IFERROR(MATCH(Methode_Keuze,SubsidieTabel!$AD$1:$AG$1,0),2))&lt;&gt;1=TRUE,"ja",""),"")</f>
        <v/>
      </c>
    </row>
    <row r="1853" spans="1:31" x14ac:dyDescent="0.25">
      <c r="A1853" s="316"/>
      <c r="B1853" s="317" t="str">
        <f>IF(A1853&lt;&gt;"",_xlfn.MAXIFS($B$1:B1852,$A$1:A1852,A1853)+1,"")</f>
        <v/>
      </c>
      <c r="C1853" s="296"/>
      <c r="D1853" s="296"/>
      <c r="E1853" s="296"/>
      <c r="F1853" s="296"/>
      <c r="G1853" s="326"/>
      <c r="H1853" s="324"/>
      <c r="I1853" s="325"/>
      <c r="J1853" s="325"/>
      <c r="K1853" s="318"/>
      <c r="L1853" s="318"/>
      <c r="M1853" s="319" t="str">
        <f>IFERROR(VLOOKUP(H1853,Lijsten!$H$1:$I$100,2,0),"")</f>
        <v/>
      </c>
      <c r="N1853" s="319" t="str">
        <f ca="1">IFERROR(IF(VLOOKUP(F1853,Kostentypen!$A$3:$E$21,3,0)=0,"",IF(OR(F1853="Arbeidskosten",F1853="Vergoeding"),VLOOKUP(G1853,Tb_KostenTypen[],2,0),VLOOKUP(F1853,Kostentypen!$A$3:$E$20,3,0))),"")</f>
        <v/>
      </c>
      <c r="O1853" s="320" t="str" cm="1">
        <f t="array" ref="O1853">_xlfn.IFNA(IF(INDEX(Tb_KostenOptiesDB[],MATCH($F1853,Tb_KostenOptiesDB[KostenOptie],0),IFERROR(MATCH(Methode_Keuze,Tb_KostenOptiesDB[#Headers],0),2))=1,_xlfn.SWITCH($N1853,"Uurtarief",IF(OR(AND(RIGHT($F1853,3)="IKS",VLOOKUP($M1853,DB_Loonkosten,2,0)="Ja"),AND(RIGHT($F1853,3)&lt;&gt;"IKS",VLOOKUP($M1853,DB_Loonkosten,2,0)="Nee")),IFERROR(VLOOKUP($M1853,DB_Loonkosten,24,0),""),0),"Vast tarief",IF(LEFT(F1853,8)="Bijdrage",VLOOKUP($F1853,Tb_KostenTypen[],MATCH(Lijsten!$P$1,Tb_KostenTypen[#Headers],0),0),VLOOKUP($G1853,Lijsten!L:P,MATCH(Lijsten!$P$1,Kop_Tarief_Vast,0),0))),""),"")</f>
        <v/>
      </c>
      <c r="P1853" s="320" t="str" cm="1">
        <f t="array" ref="P1853">_xlfn.IFNA(IF(INDEX(Tb_KostenOptiesDB[],MATCH($F1853,Tb_KostenOptiesDB[KostenOptie],0),IFERROR(MATCH(Methode_Keuze,Tb_KostenOptiesDB[#Headers],0),2))=1,_xlfn.SWITCH($N1853,"Uurtarief",IF(OR(AND(RIGHT($F1853,3)="IKS",VLOOKUP($M1853,DB_Loonkosten,2,0)="Ja"),AND(RIGHT($F1853,3)&lt;&gt;"IKS",VLOOKUP($M1853,DB_Loonkosten,2,0)="Nee")),IFERROR(VLOOKUP($M1853,DB_Loonkosten,25,0),""),0),"Vast tarief",IF(LEFT(F1853,8)="Bijdrage",VLOOKUP($F1853,Tb_KostenTypen[],MATCH(Lijsten!$P$1,Tb_KostenTypen[#Headers],0),0),VLOOKUP($G1853,Lijsten!L:P,MATCH(Lijsten!$P$1,Kop_Tarief_Vast,0),0))),""),"")</f>
        <v/>
      </c>
      <c r="Q1853" s="359"/>
      <c r="R1853" s="359"/>
      <c r="S1853" s="321"/>
      <c r="T1853" s="321"/>
      <c r="U1853" s="373" t="str">
        <f t="shared" si="112"/>
        <v/>
      </c>
      <c r="V1853" s="314" t="str">
        <f t="shared" si="113"/>
        <v/>
      </c>
      <c r="W1853" s="314" t="str" cm="1">
        <f t="array" aca="1" ref="W1853" ca="1">IFERROR(IF(AE1853&lt;&gt;"ja",_xlfn.IFNA(_xlfn.IFS(AND(O1853&lt;&gt;"",F1853&lt;&gt;"",RIGHT($N1853,6)="tarief",F1853="Vergoeding"),SUM(O1853)*FLOOR(SUM(Q1853),0.0001),AND(O1853&lt;&gt;"",F1853&lt;&gt;"",RIGHT($N1853,6)="tarief"),SUM(O1853)*FLOOR(SUM(Q1853),0.01),S1853&gt;0,IF(F1853&lt;&gt;"",FLOOR(SUM(S1853),0.01),"")),""),""),"")</f>
        <v/>
      </c>
      <c r="X1853" s="314" t="str" cm="1">
        <f t="array" aca="1" ref="X1853" ca="1">IFERROR(IF(AE1853&lt;&gt;"ja",_xlfn.IFNA(_xlfn.IFS(AND(P1853&lt;&gt;"",R1853&lt;&gt;"",RIGHT($N1853,6)="tarief",F1853="Vergoeding"),SUM(P1853)*FLOOR(SUM(R1853),0.0001),AND(P1853&lt;&gt;"",R1853&lt;&gt;"",RIGHT($N1853,6)="tarief"),P1853*FLOOR(R1853,0.01),T1853&gt;0,FLOOR(SUM(T1853),0.01)),""),""),"")</f>
        <v/>
      </c>
      <c r="Y1853" s="314" t="str">
        <f t="shared" ca="1" si="114"/>
        <v/>
      </c>
      <c r="Z1853" s="314" t="str" cm="1">
        <f t="array" aca="1" ref="Z1853" ca="1">IFERROR(_xlfn.IFS(OR(F1853="",LEFT(Methode_Keuze,4)="Geen",Methode_Keuze=""),"",AND(W1853&lt;&gt;"",F1853&lt;&gt;"Arbeidskosten"),W1853*VLOOKUP(F1853,Tb_ProjectKosten[],MATCH(Tb_ProjectKosten[[#Headers],[Forfait_Percentage]],Tb_ProjectKosten[#Headers],0),0),AND(F1853="Arbeidskosten",G1853&lt;&gt;""),IFERROR(W1853*VLOOKUP(G1853,Tb_KostenTypen[],3,0)*VLOOKUP(F1853,Tb_ProjectKosten[],MATCH(Tb_ProjectKosten[[#Headers],[Forfait_Percentage]],Tb_ProjectKosten[#Headers],0),0),""),W1853 &lt;=0,0),"")</f>
        <v/>
      </c>
      <c r="AA1853" s="314" t="str" cm="1">
        <f t="array" aca="1" ref="AA1853" ca="1">IFERROR(_xlfn.IFS(OR(F1853="",LEFT(Methode_Keuze,4)="Geen",Methode_Keuze=""),"",AND(X1853&lt;&gt;"",F1853&lt;&gt;"Arbeidskosten"),X1853*VLOOKUP(F1853,Tb_ProjectKosten[],MATCH(Tb_ProjectKosten[[#Headers],[Forfait_Percentage]],Tb_ProjectKosten[#Headers],0),0),AND(F1853="Arbeidskosten",G1853&lt;&gt;""),IFERROR(X1853*VLOOKUP(G1853,Tb_KostenTypen[],3,0)*VLOOKUP(F1853,Tb_ProjectKosten[],MATCH(Tb_ProjectKosten[[#Headers],[Forfait_Percentage]],Tb_ProjectKosten[#Headers],0),0),""),X1853 &lt;=0,0),"")</f>
        <v/>
      </c>
      <c r="AB1853" s="314" t="str">
        <f t="shared" ca="1" si="115"/>
        <v/>
      </c>
      <c r="AC1853" s="322"/>
      <c r="AD1853" s="315"/>
      <c r="AE1853" s="32" t="str" cm="1">
        <f t="array" ref="AE1853">IFERROR(IF(INDEX(SubsidieTabel!$AD$1:$AG$12,MATCH($F1853,SubsidieTabel!$AD$1:$AD$12,0),IFERROR(MATCH(Methode_Keuze,SubsidieTabel!$AD$1:$AG$1,0),2))&lt;&gt;1=TRUE,"ja",""),"")</f>
        <v/>
      </c>
    </row>
    <row r="1854" spans="1:31" x14ac:dyDescent="0.25">
      <c r="A1854" s="316"/>
      <c r="B1854" s="317" t="str">
        <f>IF(A1854&lt;&gt;"",_xlfn.MAXIFS($B$1:B1853,$A$1:A1853,A1854)+1,"")</f>
        <v/>
      </c>
      <c r="C1854" s="296"/>
      <c r="D1854" s="296"/>
      <c r="E1854" s="296"/>
      <c r="F1854" s="296"/>
      <c r="G1854" s="326"/>
      <c r="H1854" s="324"/>
      <c r="I1854" s="325"/>
      <c r="J1854" s="325"/>
      <c r="K1854" s="318"/>
      <c r="L1854" s="318"/>
      <c r="M1854" s="319" t="str">
        <f>IFERROR(VLOOKUP(H1854,Lijsten!$H$1:$I$100,2,0),"")</f>
        <v/>
      </c>
      <c r="N1854" s="319" t="str">
        <f ca="1">IFERROR(IF(VLOOKUP(F1854,Kostentypen!$A$3:$E$21,3,0)=0,"",IF(OR(F1854="Arbeidskosten",F1854="Vergoeding"),VLOOKUP(G1854,Tb_KostenTypen[],2,0),VLOOKUP(F1854,Kostentypen!$A$3:$E$20,3,0))),"")</f>
        <v/>
      </c>
      <c r="O1854" s="320" t="str" cm="1">
        <f t="array" ref="O1854">_xlfn.IFNA(IF(INDEX(Tb_KostenOptiesDB[],MATCH($F1854,Tb_KostenOptiesDB[KostenOptie],0),IFERROR(MATCH(Methode_Keuze,Tb_KostenOptiesDB[#Headers],0),2))=1,_xlfn.SWITCH($N1854,"Uurtarief",IF(OR(AND(RIGHT($F1854,3)="IKS",VLOOKUP($M1854,DB_Loonkosten,2,0)="Ja"),AND(RIGHT($F1854,3)&lt;&gt;"IKS",VLOOKUP($M1854,DB_Loonkosten,2,0)="Nee")),IFERROR(VLOOKUP($M1854,DB_Loonkosten,24,0),""),0),"Vast tarief",IF(LEFT(F1854,8)="Bijdrage",VLOOKUP($F1854,Tb_KostenTypen[],MATCH(Lijsten!$P$1,Tb_KostenTypen[#Headers],0),0),VLOOKUP($G1854,Lijsten!L:P,MATCH(Lijsten!$P$1,Kop_Tarief_Vast,0),0))),""),"")</f>
        <v/>
      </c>
      <c r="P1854" s="320" t="str" cm="1">
        <f t="array" ref="P1854">_xlfn.IFNA(IF(INDEX(Tb_KostenOptiesDB[],MATCH($F1854,Tb_KostenOptiesDB[KostenOptie],0),IFERROR(MATCH(Methode_Keuze,Tb_KostenOptiesDB[#Headers],0),2))=1,_xlfn.SWITCH($N1854,"Uurtarief",IF(OR(AND(RIGHT($F1854,3)="IKS",VLOOKUP($M1854,DB_Loonkosten,2,0)="Ja"),AND(RIGHT($F1854,3)&lt;&gt;"IKS",VLOOKUP($M1854,DB_Loonkosten,2,0)="Nee")),IFERROR(VLOOKUP($M1854,DB_Loonkosten,25,0),""),0),"Vast tarief",IF(LEFT(F1854,8)="Bijdrage",VLOOKUP($F1854,Tb_KostenTypen[],MATCH(Lijsten!$P$1,Tb_KostenTypen[#Headers],0),0),VLOOKUP($G1854,Lijsten!L:P,MATCH(Lijsten!$P$1,Kop_Tarief_Vast,0),0))),""),"")</f>
        <v/>
      </c>
      <c r="Q1854" s="359"/>
      <c r="R1854" s="359"/>
      <c r="S1854" s="321"/>
      <c r="T1854" s="321"/>
      <c r="U1854" s="373" t="str">
        <f t="shared" si="112"/>
        <v/>
      </c>
      <c r="V1854" s="314" t="str">
        <f t="shared" si="113"/>
        <v/>
      </c>
      <c r="W1854" s="314" t="str" cm="1">
        <f t="array" aca="1" ref="W1854" ca="1">IFERROR(IF(AE1854&lt;&gt;"ja",_xlfn.IFNA(_xlfn.IFS(AND(O1854&lt;&gt;"",F1854&lt;&gt;"",RIGHT($N1854,6)="tarief",F1854="Vergoeding"),SUM(O1854)*FLOOR(SUM(Q1854),0.0001),AND(O1854&lt;&gt;"",F1854&lt;&gt;"",RIGHT($N1854,6)="tarief"),SUM(O1854)*FLOOR(SUM(Q1854),0.01),S1854&gt;0,IF(F1854&lt;&gt;"",FLOOR(SUM(S1854),0.01),"")),""),""),"")</f>
        <v/>
      </c>
      <c r="X1854" s="314" t="str" cm="1">
        <f t="array" aca="1" ref="X1854" ca="1">IFERROR(IF(AE1854&lt;&gt;"ja",_xlfn.IFNA(_xlfn.IFS(AND(P1854&lt;&gt;"",R1854&lt;&gt;"",RIGHT($N1854,6)="tarief",F1854="Vergoeding"),SUM(P1854)*FLOOR(SUM(R1854),0.0001),AND(P1854&lt;&gt;"",R1854&lt;&gt;"",RIGHT($N1854,6)="tarief"),P1854*FLOOR(R1854,0.01),T1854&gt;0,FLOOR(SUM(T1854),0.01)),""),""),"")</f>
        <v/>
      </c>
      <c r="Y1854" s="314" t="str">
        <f t="shared" ca="1" si="114"/>
        <v/>
      </c>
      <c r="Z1854" s="314" t="str" cm="1">
        <f t="array" aca="1" ref="Z1854" ca="1">IFERROR(_xlfn.IFS(OR(F1854="",LEFT(Methode_Keuze,4)="Geen",Methode_Keuze=""),"",AND(W1854&lt;&gt;"",F1854&lt;&gt;"Arbeidskosten"),W1854*VLOOKUP(F1854,Tb_ProjectKosten[],MATCH(Tb_ProjectKosten[[#Headers],[Forfait_Percentage]],Tb_ProjectKosten[#Headers],0),0),AND(F1854="Arbeidskosten",G1854&lt;&gt;""),IFERROR(W1854*VLOOKUP(G1854,Tb_KostenTypen[],3,0)*VLOOKUP(F1854,Tb_ProjectKosten[],MATCH(Tb_ProjectKosten[[#Headers],[Forfait_Percentage]],Tb_ProjectKosten[#Headers],0),0),""),W1854 &lt;=0,0),"")</f>
        <v/>
      </c>
      <c r="AA1854" s="314" t="str" cm="1">
        <f t="array" aca="1" ref="AA1854" ca="1">IFERROR(_xlfn.IFS(OR(F1854="",LEFT(Methode_Keuze,4)="Geen",Methode_Keuze=""),"",AND(X1854&lt;&gt;"",F1854&lt;&gt;"Arbeidskosten"),X1854*VLOOKUP(F1854,Tb_ProjectKosten[],MATCH(Tb_ProjectKosten[[#Headers],[Forfait_Percentage]],Tb_ProjectKosten[#Headers],0),0),AND(F1854="Arbeidskosten",G1854&lt;&gt;""),IFERROR(X1854*VLOOKUP(G1854,Tb_KostenTypen[],3,0)*VLOOKUP(F1854,Tb_ProjectKosten[],MATCH(Tb_ProjectKosten[[#Headers],[Forfait_Percentage]],Tb_ProjectKosten[#Headers],0),0),""),X1854 &lt;=0,0),"")</f>
        <v/>
      </c>
      <c r="AB1854" s="314" t="str">
        <f t="shared" ca="1" si="115"/>
        <v/>
      </c>
      <c r="AC1854" s="322"/>
      <c r="AD1854" s="315"/>
      <c r="AE1854" s="32" t="str" cm="1">
        <f t="array" ref="AE1854">IFERROR(IF(INDEX(SubsidieTabel!$AD$1:$AG$12,MATCH($F1854,SubsidieTabel!$AD$1:$AD$12,0),IFERROR(MATCH(Methode_Keuze,SubsidieTabel!$AD$1:$AG$1,0),2))&lt;&gt;1=TRUE,"ja",""),"")</f>
        <v/>
      </c>
    </row>
    <row r="1855" spans="1:31" x14ac:dyDescent="0.25">
      <c r="A1855" s="316"/>
      <c r="B1855" s="317" t="str">
        <f>IF(A1855&lt;&gt;"",_xlfn.MAXIFS($B$1:B1854,$A$1:A1854,A1855)+1,"")</f>
        <v/>
      </c>
      <c r="C1855" s="296"/>
      <c r="D1855" s="296"/>
      <c r="E1855" s="296"/>
      <c r="F1855" s="296"/>
      <c r="G1855" s="326"/>
      <c r="H1855" s="324"/>
      <c r="I1855" s="325"/>
      <c r="J1855" s="325"/>
      <c r="K1855" s="318"/>
      <c r="L1855" s="318"/>
      <c r="M1855" s="319" t="str">
        <f>IFERROR(VLOOKUP(H1855,Lijsten!$H$1:$I$100,2,0),"")</f>
        <v/>
      </c>
      <c r="N1855" s="319" t="str">
        <f ca="1">IFERROR(IF(VLOOKUP(F1855,Kostentypen!$A$3:$E$21,3,0)=0,"",IF(OR(F1855="Arbeidskosten",F1855="Vergoeding"),VLOOKUP(G1855,Tb_KostenTypen[],2,0),VLOOKUP(F1855,Kostentypen!$A$3:$E$20,3,0))),"")</f>
        <v/>
      </c>
      <c r="O1855" s="320" t="str" cm="1">
        <f t="array" ref="O1855">_xlfn.IFNA(IF(INDEX(Tb_KostenOptiesDB[],MATCH($F1855,Tb_KostenOptiesDB[KostenOptie],0),IFERROR(MATCH(Methode_Keuze,Tb_KostenOptiesDB[#Headers],0),2))=1,_xlfn.SWITCH($N1855,"Uurtarief",IF(OR(AND(RIGHT($F1855,3)="IKS",VLOOKUP($M1855,DB_Loonkosten,2,0)="Ja"),AND(RIGHT($F1855,3)&lt;&gt;"IKS",VLOOKUP($M1855,DB_Loonkosten,2,0)="Nee")),IFERROR(VLOOKUP($M1855,DB_Loonkosten,24,0),""),0),"Vast tarief",IF(LEFT(F1855,8)="Bijdrage",VLOOKUP($F1855,Tb_KostenTypen[],MATCH(Lijsten!$P$1,Tb_KostenTypen[#Headers],0),0),VLOOKUP($G1855,Lijsten!L:P,MATCH(Lijsten!$P$1,Kop_Tarief_Vast,0),0))),""),"")</f>
        <v/>
      </c>
      <c r="P1855" s="320" t="str" cm="1">
        <f t="array" ref="P1855">_xlfn.IFNA(IF(INDEX(Tb_KostenOptiesDB[],MATCH($F1855,Tb_KostenOptiesDB[KostenOptie],0),IFERROR(MATCH(Methode_Keuze,Tb_KostenOptiesDB[#Headers],0),2))=1,_xlfn.SWITCH($N1855,"Uurtarief",IF(OR(AND(RIGHT($F1855,3)="IKS",VLOOKUP($M1855,DB_Loonkosten,2,0)="Ja"),AND(RIGHT($F1855,3)&lt;&gt;"IKS",VLOOKUP($M1855,DB_Loonkosten,2,0)="Nee")),IFERROR(VLOOKUP($M1855,DB_Loonkosten,25,0),""),0),"Vast tarief",IF(LEFT(F1855,8)="Bijdrage",VLOOKUP($F1855,Tb_KostenTypen[],MATCH(Lijsten!$P$1,Tb_KostenTypen[#Headers],0),0),VLOOKUP($G1855,Lijsten!L:P,MATCH(Lijsten!$P$1,Kop_Tarief_Vast,0),0))),""),"")</f>
        <v/>
      </c>
      <c r="Q1855" s="359"/>
      <c r="R1855" s="359"/>
      <c r="S1855" s="321"/>
      <c r="T1855" s="321"/>
      <c r="U1855" s="373" t="str">
        <f t="shared" si="112"/>
        <v/>
      </c>
      <c r="V1855" s="314" t="str">
        <f t="shared" si="113"/>
        <v/>
      </c>
      <c r="W1855" s="314" t="str" cm="1">
        <f t="array" aca="1" ref="W1855" ca="1">IFERROR(IF(AE1855&lt;&gt;"ja",_xlfn.IFNA(_xlfn.IFS(AND(O1855&lt;&gt;"",F1855&lt;&gt;"",RIGHT($N1855,6)="tarief",F1855="Vergoeding"),SUM(O1855)*FLOOR(SUM(Q1855),0.0001),AND(O1855&lt;&gt;"",F1855&lt;&gt;"",RIGHT($N1855,6)="tarief"),SUM(O1855)*FLOOR(SUM(Q1855),0.01),S1855&gt;0,IF(F1855&lt;&gt;"",FLOOR(SUM(S1855),0.01),"")),""),""),"")</f>
        <v/>
      </c>
      <c r="X1855" s="314" t="str" cm="1">
        <f t="array" aca="1" ref="X1855" ca="1">IFERROR(IF(AE1855&lt;&gt;"ja",_xlfn.IFNA(_xlfn.IFS(AND(P1855&lt;&gt;"",R1855&lt;&gt;"",RIGHT($N1855,6)="tarief",F1855="Vergoeding"),SUM(P1855)*FLOOR(SUM(R1855),0.0001),AND(P1855&lt;&gt;"",R1855&lt;&gt;"",RIGHT($N1855,6)="tarief"),P1855*FLOOR(R1855,0.01),T1855&gt;0,FLOOR(SUM(T1855),0.01)),""),""),"")</f>
        <v/>
      </c>
      <c r="Y1855" s="314" t="str">
        <f t="shared" ca="1" si="114"/>
        <v/>
      </c>
      <c r="Z1855" s="314" t="str" cm="1">
        <f t="array" aca="1" ref="Z1855" ca="1">IFERROR(_xlfn.IFS(OR(F1855="",LEFT(Methode_Keuze,4)="Geen",Methode_Keuze=""),"",AND(W1855&lt;&gt;"",F1855&lt;&gt;"Arbeidskosten"),W1855*VLOOKUP(F1855,Tb_ProjectKosten[],MATCH(Tb_ProjectKosten[[#Headers],[Forfait_Percentage]],Tb_ProjectKosten[#Headers],0),0),AND(F1855="Arbeidskosten",G1855&lt;&gt;""),IFERROR(W1855*VLOOKUP(G1855,Tb_KostenTypen[],3,0)*VLOOKUP(F1855,Tb_ProjectKosten[],MATCH(Tb_ProjectKosten[[#Headers],[Forfait_Percentage]],Tb_ProjectKosten[#Headers],0),0),""),W1855 &lt;=0,0),"")</f>
        <v/>
      </c>
      <c r="AA1855" s="314" t="str" cm="1">
        <f t="array" aca="1" ref="AA1855" ca="1">IFERROR(_xlfn.IFS(OR(F1855="",LEFT(Methode_Keuze,4)="Geen",Methode_Keuze=""),"",AND(X1855&lt;&gt;"",F1855&lt;&gt;"Arbeidskosten"),X1855*VLOOKUP(F1855,Tb_ProjectKosten[],MATCH(Tb_ProjectKosten[[#Headers],[Forfait_Percentage]],Tb_ProjectKosten[#Headers],0),0),AND(F1855="Arbeidskosten",G1855&lt;&gt;""),IFERROR(X1855*VLOOKUP(G1855,Tb_KostenTypen[],3,0)*VLOOKUP(F1855,Tb_ProjectKosten[],MATCH(Tb_ProjectKosten[[#Headers],[Forfait_Percentage]],Tb_ProjectKosten[#Headers],0),0),""),X1855 &lt;=0,0),"")</f>
        <v/>
      </c>
      <c r="AB1855" s="314" t="str">
        <f t="shared" ca="1" si="115"/>
        <v/>
      </c>
      <c r="AC1855" s="322"/>
      <c r="AD1855" s="315"/>
      <c r="AE1855" s="32" t="str" cm="1">
        <f t="array" ref="AE1855">IFERROR(IF(INDEX(SubsidieTabel!$AD$1:$AG$12,MATCH($F1855,SubsidieTabel!$AD$1:$AD$12,0),IFERROR(MATCH(Methode_Keuze,SubsidieTabel!$AD$1:$AG$1,0),2))&lt;&gt;1=TRUE,"ja",""),"")</f>
        <v/>
      </c>
    </row>
    <row r="1856" spans="1:31" x14ac:dyDescent="0.25">
      <c r="A1856" s="316"/>
      <c r="B1856" s="317" t="str">
        <f>IF(A1856&lt;&gt;"",_xlfn.MAXIFS($B$1:B1855,$A$1:A1855,A1856)+1,"")</f>
        <v/>
      </c>
      <c r="C1856" s="296"/>
      <c r="D1856" s="296"/>
      <c r="E1856" s="296"/>
      <c r="F1856" s="296"/>
      <c r="G1856" s="326"/>
      <c r="H1856" s="324"/>
      <c r="I1856" s="325"/>
      <c r="J1856" s="325"/>
      <c r="K1856" s="318"/>
      <c r="L1856" s="318"/>
      <c r="M1856" s="319" t="str">
        <f>IFERROR(VLOOKUP(H1856,Lijsten!$H$1:$I$100,2,0),"")</f>
        <v/>
      </c>
      <c r="N1856" s="319" t="str">
        <f ca="1">IFERROR(IF(VLOOKUP(F1856,Kostentypen!$A$3:$E$21,3,0)=0,"",IF(OR(F1856="Arbeidskosten",F1856="Vergoeding"),VLOOKUP(G1856,Tb_KostenTypen[],2,0),VLOOKUP(F1856,Kostentypen!$A$3:$E$20,3,0))),"")</f>
        <v/>
      </c>
      <c r="O1856" s="320" t="str" cm="1">
        <f t="array" ref="O1856">_xlfn.IFNA(IF(INDEX(Tb_KostenOptiesDB[],MATCH($F1856,Tb_KostenOptiesDB[KostenOptie],0),IFERROR(MATCH(Methode_Keuze,Tb_KostenOptiesDB[#Headers],0),2))=1,_xlfn.SWITCH($N1856,"Uurtarief",IF(OR(AND(RIGHT($F1856,3)="IKS",VLOOKUP($M1856,DB_Loonkosten,2,0)="Ja"),AND(RIGHT($F1856,3)&lt;&gt;"IKS",VLOOKUP($M1856,DB_Loonkosten,2,0)="Nee")),IFERROR(VLOOKUP($M1856,DB_Loonkosten,24,0),""),0),"Vast tarief",IF(LEFT(F1856,8)="Bijdrage",VLOOKUP($F1856,Tb_KostenTypen[],MATCH(Lijsten!$P$1,Tb_KostenTypen[#Headers],0),0),VLOOKUP($G1856,Lijsten!L:P,MATCH(Lijsten!$P$1,Kop_Tarief_Vast,0),0))),""),"")</f>
        <v/>
      </c>
      <c r="P1856" s="320" t="str" cm="1">
        <f t="array" ref="P1856">_xlfn.IFNA(IF(INDEX(Tb_KostenOptiesDB[],MATCH($F1856,Tb_KostenOptiesDB[KostenOptie],0),IFERROR(MATCH(Methode_Keuze,Tb_KostenOptiesDB[#Headers],0),2))=1,_xlfn.SWITCH($N1856,"Uurtarief",IF(OR(AND(RIGHT($F1856,3)="IKS",VLOOKUP($M1856,DB_Loonkosten,2,0)="Ja"),AND(RIGHT($F1856,3)&lt;&gt;"IKS",VLOOKUP($M1856,DB_Loonkosten,2,0)="Nee")),IFERROR(VLOOKUP($M1856,DB_Loonkosten,25,0),""),0),"Vast tarief",IF(LEFT(F1856,8)="Bijdrage",VLOOKUP($F1856,Tb_KostenTypen[],MATCH(Lijsten!$P$1,Tb_KostenTypen[#Headers],0),0),VLOOKUP($G1856,Lijsten!L:P,MATCH(Lijsten!$P$1,Kop_Tarief_Vast,0),0))),""),"")</f>
        <v/>
      </c>
      <c r="Q1856" s="359"/>
      <c r="R1856" s="359"/>
      <c r="S1856" s="321"/>
      <c r="T1856" s="321"/>
      <c r="U1856" s="373" t="str">
        <f t="shared" si="112"/>
        <v/>
      </c>
      <c r="V1856" s="314" t="str">
        <f t="shared" si="113"/>
        <v/>
      </c>
      <c r="W1856" s="314" t="str" cm="1">
        <f t="array" aca="1" ref="W1856" ca="1">IFERROR(IF(AE1856&lt;&gt;"ja",_xlfn.IFNA(_xlfn.IFS(AND(O1856&lt;&gt;"",F1856&lt;&gt;"",RIGHT($N1856,6)="tarief",F1856="Vergoeding"),SUM(O1856)*FLOOR(SUM(Q1856),0.0001),AND(O1856&lt;&gt;"",F1856&lt;&gt;"",RIGHT($N1856,6)="tarief"),SUM(O1856)*FLOOR(SUM(Q1856),0.01),S1856&gt;0,IF(F1856&lt;&gt;"",FLOOR(SUM(S1856),0.01),"")),""),""),"")</f>
        <v/>
      </c>
      <c r="X1856" s="314" t="str" cm="1">
        <f t="array" aca="1" ref="X1856" ca="1">IFERROR(IF(AE1856&lt;&gt;"ja",_xlfn.IFNA(_xlfn.IFS(AND(P1856&lt;&gt;"",R1856&lt;&gt;"",RIGHT($N1856,6)="tarief",F1856="Vergoeding"),SUM(P1856)*FLOOR(SUM(R1856),0.0001),AND(P1856&lt;&gt;"",R1856&lt;&gt;"",RIGHT($N1856,6)="tarief"),P1856*FLOOR(R1856,0.01),T1856&gt;0,FLOOR(SUM(T1856),0.01)),""),""),"")</f>
        <v/>
      </c>
      <c r="Y1856" s="314" t="str">
        <f t="shared" ca="1" si="114"/>
        <v/>
      </c>
      <c r="Z1856" s="314" t="str" cm="1">
        <f t="array" aca="1" ref="Z1856" ca="1">IFERROR(_xlfn.IFS(OR(F1856="",LEFT(Methode_Keuze,4)="Geen",Methode_Keuze=""),"",AND(W1856&lt;&gt;"",F1856&lt;&gt;"Arbeidskosten"),W1856*VLOOKUP(F1856,Tb_ProjectKosten[],MATCH(Tb_ProjectKosten[[#Headers],[Forfait_Percentage]],Tb_ProjectKosten[#Headers],0),0),AND(F1856="Arbeidskosten",G1856&lt;&gt;""),IFERROR(W1856*VLOOKUP(G1856,Tb_KostenTypen[],3,0)*VLOOKUP(F1856,Tb_ProjectKosten[],MATCH(Tb_ProjectKosten[[#Headers],[Forfait_Percentage]],Tb_ProjectKosten[#Headers],0),0),""),W1856 &lt;=0,0),"")</f>
        <v/>
      </c>
      <c r="AA1856" s="314" t="str" cm="1">
        <f t="array" aca="1" ref="AA1856" ca="1">IFERROR(_xlfn.IFS(OR(F1856="",LEFT(Methode_Keuze,4)="Geen",Methode_Keuze=""),"",AND(X1856&lt;&gt;"",F1856&lt;&gt;"Arbeidskosten"),X1856*VLOOKUP(F1856,Tb_ProjectKosten[],MATCH(Tb_ProjectKosten[[#Headers],[Forfait_Percentage]],Tb_ProjectKosten[#Headers],0),0),AND(F1856="Arbeidskosten",G1856&lt;&gt;""),IFERROR(X1856*VLOOKUP(G1856,Tb_KostenTypen[],3,0)*VLOOKUP(F1856,Tb_ProjectKosten[],MATCH(Tb_ProjectKosten[[#Headers],[Forfait_Percentage]],Tb_ProjectKosten[#Headers],0),0),""),X1856 &lt;=0,0),"")</f>
        <v/>
      </c>
      <c r="AB1856" s="314" t="str">
        <f t="shared" ca="1" si="115"/>
        <v/>
      </c>
      <c r="AC1856" s="322"/>
      <c r="AD1856" s="315"/>
      <c r="AE1856" s="32" t="str" cm="1">
        <f t="array" ref="AE1856">IFERROR(IF(INDEX(SubsidieTabel!$AD$1:$AG$12,MATCH($F1856,SubsidieTabel!$AD$1:$AD$12,0),IFERROR(MATCH(Methode_Keuze,SubsidieTabel!$AD$1:$AG$1,0),2))&lt;&gt;1=TRUE,"ja",""),"")</f>
        <v/>
      </c>
    </row>
    <row r="1857" spans="1:31" x14ac:dyDescent="0.25">
      <c r="A1857" s="316"/>
      <c r="B1857" s="317" t="str">
        <f>IF(A1857&lt;&gt;"",_xlfn.MAXIFS($B$1:B1856,$A$1:A1856,A1857)+1,"")</f>
        <v/>
      </c>
      <c r="C1857" s="296"/>
      <c r="D1857" s="296"/>
      <c r="E1857" s="296"/>
      <c r="F1857" s="296"/>
      <c r="G1857" s="326"/>
      <c r="H1857" s="324"/>
      <c r="I1857" s="325"/>
      <c r="J1857" s="325"/>
      <c r="K1857" s="318"/>
      <c r="L1857" s="318"/>
      <c r="M1857" s="319" t="str">
        <f>IFERROR(VLOOKUP(H1857,Lijsten!$H$1:$I$100,2,0),"")</f>
        <v/>
      </c>
      <c r="N1857" s="319" t="str">
        <f ca="1">IFERROR(IF(VLOOKUP(F1857,Kostentypen!$A$3:$E$21,3,0)=0,"",IF(OR(F1857="Arbeidskosten",F1857="Vergoeding"),VLOOKUP(G1857,Tb_KostenTypen[],2,0),VLOOKUP(F1857,Kostentypen!$A$3:$E$20,3,0))),"")</f>
        <v/>
      </c>
      <c r="O1857" s="320" t="str" cm="1">
        <f t="array" ref="O1857">_xlfn.IFNA(IF(INDEX(Tb_KostenOptiesDB[],MATCH($F1857,Tb_KostenOptiesDB[KostenOptie],0),IFERROR(MATCH(Methode_Keuze,Tb_KostenOptiesDB[#Headers],0),2))=1,_xlfn.SWITCH($N1857,"Uurtarief",IF(OR(AND(RIGHT($F1857,3)="IKS",VLOOKUP($M1857,DB_Loonkosten,2,0)="Ja"),AND(RIGHT($F1857,3)&lt;&gt;"IKS",VLOOKUP($M1857,DB_Loonkosten,2,0)="Nee")),IFERROR(VLOOKUP($M1857,DB_Loonkosten,24,0),""),0),"Vast tarief",IF(LEFT(F1857,8)="Bijdrage",VLOOKUP($F1857,Tb_KostenTypen[],MATCH(Lijsten!$P$1,Tb_KostenTypen[#Headers],0),0),VLOOKUP($G1857,Lijsten!L:P,MATCH(Lijsten!$P$1,Kop_Tarief_Vast,0),0))),""),"")</f>
        <v/>
      </c>
      <c r="P1857" s="320" t="str" cm="1">
        <f t="array" ref="P1857">_xlfn.IFNA(IF(INDEX(Tb_KostenOptiesDB[],MATCH($F1857,Tb_KostenOptiesDB[KostenOptie],0),IFERROR(MATCH(Methode_Keuze,Tb_KostenOptiesDB[#Headers],0),2))=1,_xlfn.SWITCH($N1857,"Uurtarief",IF(OR(AND(RIGHT($F1857,3)="IKS",VLOOKUP($M1857,DB_Loonkosten,2,0)="Ja"),AND(RIGHT($F1857,3)&lt;&gt;"IKS",VLOOKUP($M1857,DB_Loonkosten,2,0)="Nee")),IFERROR(VLOOKUP($M1857,DB_Loonkosten,25,0),""),0),"Vast tarief",IF(LEFT(F1857,8)="Bijdrage",VLOOKUP($F1857,Tb_KostenTypen[],MATCH(Lijsten!$P$1,Tb_KostenTypen[#Headers],0),0),VLOOKUP($G1857,Lijsten!L:P,MATCH(Lijsten!$P$1,Kop_Tarief_Vast,0),0))),""),"")</f>
        <v/>
      </c>
      <c r="Q1857" s="359"/>
      <c r="R1857" s="359"/>
      <c r="S1857" s="321"/>
      <c r="T1857" s="321"/>
      <c r="U1857" s="373" t="str">
        <f t="shared" si="112"/>
        <v/>
      </c>
      <c r="V1857" s="314" t="str">
        <f t="shared" si="113"/>
        <v/>
      </c>
      <c r="W1857" s="314" t="str" cm="1">
        <f t="array" aca="1" ref="W1857" ca="1">IFERROR(IF(AE1857&lt;&gt;"ja",_xlfn.IFNA(_xlfn.IFS(AND(O1857&lt;&gt;"",F1857&lt;&gt;"",RIGHT($N1857,6)="tarief",F1857="Vergoeding"),SUM(O1857)*FLOOR(SUM(Q1857),0.0001),AND(O1857&lt;&gt;"",F1857&lt;&gt;"",RIGHT($N1857,6)="tarief"),SUM(O1857)*FLOOR(SUM(Q1857),0.01),S1857&gt;0,IF(F1857&lt;&gt;"",FLOOR(SUM(S1857),0.01),"")),""),""),"")</f>
        <v/>
      </c>
      <c r="X1857" s="314" t="str" cm="1">
        <f t="array" aca="1" ref="X1857" ca="1">IFERROR(IF(AE1857&lt;&gt;"ja",_xlfn.IFNA(_xlfn.IFS(AND(P1857&lt;&gt;"",R1857&lt;&gt;"",RIGHT($N1857,6)="tarief",F1857="Vergoeding"),SUM(P1857)*FLOOR(SUM(R1857),0.0001),AND(P1857&lt;&gt;"",R1857&lt;&gt;"",RIGHT($N1857,6)="tarief"),P1857*FLOOR(R1857,0.01),T1857&gt;0,FLOOR(SUM(T1857),0.01)),""),""),"")</f>
        <v/>
      </c>
      <c r="Y1857" s="314" t="str">
        <f t="shared" ca="1" si="114"/>
        <v/>
      </c>
      <c r="Z1857" s="314" t="str" cm="1">
        <f t="array" aca="1" ref="Z1857" ca="1">IFERROR(_xlfn.IFS(OR(F1857="",LEFT(Methode_Keuze,4)="Geen",Methode_Keuze=""),"",AND(W1857&lt;&gt;"",F1857&lt;&gt;"Arbeidskosten"),W1857*VLOOKUP(F1857,Tb_ProjectKosten[],MATCH(Tb_ProjectKosten[[#Headers],[Forfait_Percentage]],Tb_ProjectKosten[#Headers],0),0),AND(F1857="Arbeidskosten",G1857&lt;&gt;""),IFERROR(W1857*VLOOKUP(G1857,Tb_KostenTypen[],3,0)*VLOOKUP(F1857,Tb_ProjectKosten[],MATCH(Tb_ProjectKosten[[#Headers],[Forfait_Percentage]],Tb_ProjectKosten[#Headers],0),0),""),W1857 &lt;=0,0),"")</f>
        <v/>
      </c>
      <c r="AA1857" s="314" t="str" cm="1">
        <f t="array" aca="1" ref="AA1857" ca="1">IFERROR(_xlfn.IFS(OR(F1857="",LEFT(Methode_Keuze,4)="Geen",Methode_Keuze=""),"",AND(X1857&lt;&gt;"",F1857&lt;&gt;"Arbeidskosten"),X1857*VLOOKUP(F1857,Tb_ProjectKosten[],MATCH(Tb_ProjectKosten[[#Headers],[Forfait_Percentage]],Tb_ProjectKosten[#Headers],0),0),AND(F1857="Arbeidskosten",G1857&lt;&gt;""),IFERROR(X1857*VLOOKUP(G1857,Tb_KostenTypen[],3,0)*VLOOKUP(F1857,Tb_ProjectKosten[],MATCH(Tb_ProjectKosten[[#Headers],[Forfait_Percentage]],Tb_ProjectKosten[#Headers],0),0),""),X1857 &lt;=0,0),"")</f>
        <v/>
      </c>
      <c r="AB1857" s="314" t="str">
        <f t="shared" ca="1" si="115"/>
        <v/>
      </c>
      <c r="AC1857" s="322"/>
      <c r="AD1857" s="315"/>
      <c r="AE1857" s="32" t="str" cm="1">
        <f t="array" ref="AE1857">IFERROR(IF(INDEX(SubsidieTabel!$AD$1:$AG$12,MATCH($F1857,SubsidieTabel!$AD$1:$AD$12,0),IFERROR(MATCH(Methode_Keuze,SubsidieTabel!$AD$1:$AG$1,0),2))&lt;&gt;1=TRUE,"ja",""),"")</f>
        <v/>
      </c>
    </row>
    <row r="1858" spans="1:31" x14ac:dyDescent="0.25">
      <c r="A1858" s="316"/>
      <c r="B1858" s="317" t="str">
        <f>IF(A1858&lt;&gt;"",_xlfn.MAXIFS($B$1:B1857,$A$1:A1857,A1858)+1,"")</f>
        <v/>
      </c>
      <c r="C1858" s="296"/>
      <c r="D1858" s="296"/>
      <c r="E1858" s="296"/>
      <c r="F1858" s="296"/>
      <c r="G1858" s="326"/>
      <c r="H1858" s="324"/>
      <c r="I1858" s="325"/>
      <c r="J1858" s="325"/>
      <c r="K1858" s="318"/>
      <c r="L1858" s="318"/>
      <c r="M1858" s="319" t="str">
        <f>IFERROR(VLOOKUP(H1858,Lijsten!$H$1:$I$100,2,0),"")</f>
        <v/>
      </c>
      <c r="N1858" s="319" t="str">
        <f ca="1">IFERROR(IF(VLOOKUP(F1858,Kostentypen!$A$3:$E$21,3,0)=0,"",IF(OR(F1858="Arbeidskosten",F1858="Vergoeding"),VLOOKUP(G1858,Tb_KostenTypen[],2,0),VLOOKUP(F1858,Kostentypen!$A$3:$E$20,3,0))),"")</f>
        <v/>
      </c>
      <c r="O1858" s="320" t="str" cm="1">
        <f t="array" ref="O1858">_xlfn.IFNA(IF(INDEX(Tb_KostenOptiesDB[],MATCH($F1858,Tb_KostenOptiesDB[KostenOptie],0),IFERROR(MATCH(Methode_Keuze,Tb_KostenOptiesDB[#Headers],0),2))=1,_xlfn.SWITCH($N1858,"Uurtarief",IF(OR(AND(RIGHT($F1858,3)="IKS",VLOOKUP($M1858,DB_Loonkosten,2,0)="Ja"),AND(RIGHT($F1858,3)&lt;&gt;"IKS",VLOOKUP($M1858,DB_Loonkosten,2,0)="Nee")),IFERROR(VLOOKUP($M1858,DB_Loonkosten,24,0),""),0),"Vast tarief",IF(LEFT(F1858,8)="Bijdrage",VLOOKUP($F1858,Tb_KostenTypen[],MATCH(Lijsten!$P$1,Tb_KostenTypen[#Headers],0),0),VLOOKUP($G1858,Lijsten!L:P,MATCH(Lijsten!$P$1,Kop_Tarief_Vast,0),0))),""),"")</f>
        <v/>
      </c>
      <c r="P1858" s="320" t="str" cm="1">
        <f t="array" ref="P1858">_xlfn.IFNA(IF(INDEX(Tb_KostenOptiesDB[],MATCH($F1858,Tb_KostenOptiesDB[KostenOptie],0),IFERROR(MATCH(Methode_Keuze,Tb_KostenOptiesDB[#Headers],0),2))=1,_xlfn.SWITCH($N1858,"Uurtarief",IF(OR(AND(RIGHT($F1858,3)="IKS",VLOOKUP($M1858,DB_Loonkosten,2,0)="Ja"),AND(RIGHT($F1858,3)&lt;&gt;"IKS",VLOOKUP($M1858,DB_Loonkosten,2,0)="Nee")),IFERROR(VLOOKUP($M1858,DB_Loonkosten,25,0),""),0),"Vast tarief",IF(LEFT(F1858,8)="Bijdrage",VLOOKUP($F1858,Tb_KostenTypen[],MATCH(Lijsten!$P$1,Tb_KostenTypen[#Headers],0),0),VLOOKUP($G1858,Lijsten!L:P,MATCH(Lijsten!$P$1,Kop_Tarief_Vast,0),0))),""),"")</f>
        <v/>
      </c>
      <c r="Q1858" s="359"/>
      <c r="R1858" s="359"/>
      <c r="S1858" s="321"/>
      <c r="T1858" s="321"/>
      <c r="U1858" s="373" t="str">
        <f t="shared" si="112"/>
        <v/>
      </c>
      <c r="V1858" s="314" t="str">
        <f t="shared" si="113"/>
        <v/>
      </c>
      <c r="W1858" s="314" t="str" cm="1">
        <f t="array" aca="1" ref="W1858" ca="1">IFERROR(IF(AE1858&lt;&gt;"ja",_xlfn.IFNA(_xlfn.IFS(AND(O1858&lt;&gt;"",F1858&lt;&gt;"",RIGHT($N1858,6)="tarief",F1858="Vergoeding"),SUM(O1858)*FLOOR(SUM(Q1858),0.0001),AND(O1858&lt;&gt;"",F1858&lt;&gt;"",RIGHT($N1858,6)="tarief"),SUM(O1858)*FLOOR(SUM(Q1858),0.01),S1858&gt;0,IF(F1858&lt;&gt;"",FLOOR(SUM(S1858),0.01),"")),""),""),"")</f>
        <v/>
      </c>
      <c r="X1858" s="314" t="str" cm="1">
        <f t="array" aca="1" ref="X1858" ca="1">IFERROR(IF(AE1858&lt;&gt;"ja",_xlfn.IFNA(_xlfn.IFS(AND(P1858&lt;&gt;"",R1858&lt;&gt;"",RIGHT($N1858,6)="tarief",F1858="Vergoeding"),SUM(P1858)*FLOOR(SUM(R1858),0.0001),AND(P1858&lt;&gt;"",R1858&lt;&gt;"",RIGHT($N1858,6)="tarief"),P1858*FLOOR(R1858,0.01),T1858&gt;0,FLOOR(SUM(T1858),0.01)),""),""),"")</f>
        <v/>
      </c>
      <c r="Y1858" s="314" t="str">
        <f t="shared" ca="1" si="114"/>
        <v/>
      </c>
      <c r="Z1858" s="314" t="str" cm="1">
        <f t="array" aca="1" ref="Z1858" ca="1">IFERROR(_xlfn.IFS(OR(F1858="",LEFT(Methode_Keuze,4)="Geen",Methode_Keuze=""),"",AND(W1858&lt;&gt;"",F1858&lt;&gt;"Arbeidskosten"),W1858*VLOOKUP(F1858,Tb_ProjectKosten[],MATCH(Tb_ProjectKosten[[#Headers],[Forfait_Percentage]],Tb_ProjectKosten[#Headers],0),0),AND(F1858="Arbeidskosten",G1858&lt;&gt;""),IFERROR(W1858*VLOOKUP(G1858,Tb_KostenTypen[],3,0)*VLOOKUP(F1858,Tb_ProjectKosten[],MATCH(Tb_ProjectKosten[[#Headers],[Forfait_Percentage]],Tb_ProjectKosten[#Headers],0),0),""),W1858 &lt;=0,0),"")</f>
        <v/>
      </c>
      <c r="AA1858" s="314" t="str" cm="1">
        <f t="array" aca="1" ref="AA1858" ca="1">IFERROR(_xlfn.IFS(OR(F1858="",LEFT(Methode_Keuze,4)="Geen",Methode_Keuze=""),"",AND(X1858&lt;&gt;"",F1858&lt;&gt;"Arbeidskosten"),X1858*VLOOKUP(F1858,Tb_ProjectKosten[],MATCH(Tb_ProjectKosten[[#Headers],[Forfait_Percentage]],Tb_ProjectKosten[#Headers],0),0),AND(F1858="Arbeidskosten",G1858&lt;&gt;""),IFERROR(X1858*VLOOKUP(G1858,Tb_KostenTypen[],3,0)*VLOOKUP(F1858,Tb_ProjectKosten[],MATCH(Tb_ProjectKosten[[#Headers],[Forfait_Percentage]],Tb_ProjectKosten[#Headers],0),0),""),X1858 &lt;=0,0),"")</f>
        <v/>
      </c>
      <c r="AB1858" s="314" t="str">
        <f t="shared" ca="1" si="115"/>
        <v/>
      </c>
      <c r="AC1858" s="322"/>
      <c r="AD1858" s="315"/>
      <c r="AE1858" s="32" t="str" cm="1">
        <f t="array" ref="AE1858">IFERROR(IF(INDEX(SubsidieTabel!$AD$1:$AG$12,MATCH($F1858,SubsidieTabel!$AD$1:$AD$12,0),IFERROR(MATCH(Methode_Keuze,SubsidieTabel!$AD$1:$AG$1,0),2))&lt;&gt;1=TRUE,"ja",""),"")</f>
        <v/>
      </c>
    </row>
    <row r="1859" spans="1:31" x14ac:dyDescent="0.25">
      <c r="A1859" s="316"/>
      <c r="B1859" s="317" t="str">
        <f>IF(A1859&lt;&gt;"",_xlfn.MAXIFS($B$1:B1858,$A$1:A1858,A1859)+1,"")</f>
        <v/>
      </c>
      <c r="C1859" s="296"/>
      <c r="D1859" s="296"/>
      <c r="E1859" s="296"/>
      <c r="F1859" s="296"/>
      <c r="G1859" s="326"/>
      <c r="H1859" s="324"/>
      <c r="I1859" s="325"/>
      <c r="J1859" s="325"/>
      <c r="K1859" s="318"/>
      <c r="L1859" s="318"/>
      <c r="M1859" s="319" t="str">
        <f>IFERROR(VLOOKUP(H1859,Lijsten!$H$1:$I$100,2,0),"")</f>
        <v/>
      </c>
      <c r="N1859" s="319" t="str">
        <f ca="1">IFERROR(IF(VLOOKUP(F1859,Kostentypen!$A$3:$E$21,3,0)=0,"",IF(OR(F1859="Arbeidskosten",F1859="Vergoeding"),VLOOKUP(G1859,Tb_KostenTypen[],2,0),VLOOKUP(F1859,Kostentypen!$A$3:$E$20,3,0))),"")</f>
        <v/>
      </c>
      <c r="O1859" s="320" t="str" cm="1">
        <f t="array" ref="O1859">_xlfn.IFNA(IF(INDEX(Tb_KostenOptiesDB[],MATCH($F1859,Tb_KostenOptiesDB[KostenOptie],0),IFERROR(MATCH(Methode_Keuze,Tb_KostenOptiesDB[#Headers],0),2))=1,_xlfn.SWITCH($N1859,"Uurtarief",IF(OR(AND(RIGHT($F1859,3)="IKS",VLOOKUP($M1859,DB_Loonkosten,2,0)="Ja"),AND(RIGHT($F1859,3)&lt;&gt;"IKS",VLOOKUP($M1859,DB_Loonkosten,2,0)="Nee")),IFERROR(VLOOKUP($M1859,DB_Loonkosten,24,0),""),0),"Vast tarief",IF(LEFT(F1859,8)="Bijdrage",VLOOKUP($F1859,Tb_KostenTypen[],MATCH(Lijsten!$P$1,Tb_KostenTypen[#Headers],0),0),VLOOKUP($G1859,Lijsten!L:P,MATCH(Lijsten!$P$1,Kop_Tarief_Vast,0),0))),""),"")</f>
        <v/>
      </c>
      <c r="P1859" s="320" t="str" cm="1">
        <f t="array" ref="P1859">_xlfn.IFNA(IF(INDEX(Tb_KostenOptiesDB[],MATCH($F1859,Tb_KostenOptiesDB[KostenOptie],0),IFERROR(MATCH(Methode_Keuze,Tb_KostenOptiesDB[#Headers],0),2))=1,_xlfn.SWITCH($N1859,"Uurtarief",IF(OR(AND(RIGHT($F1859,3)="IKS",VLOOKUP($M1859,DB_Loonkosten,2,0)="Ja"),AND(RIGHT($F1859,3)&lt;&gt;"IKS",VLOOKUP($M1859,DB_Loonkosten,2,0)="Nee")),IFERROR(VLOOKUP($M1859,DB_Loonkosten,25,0),""),0),"Vast tarief",IF(LEFT(F1859,8)="Bijdrage",VLOOKUP($F1859,Tb_KostenTypen[],MATCH(Lijsten!$P$1,Tb_KostenTypen[#Headers],0),0),VLOOKUP($G1859,Lijsten!L:P,MATCH(Lijsten!$P$1,Kop_Tarief_Vast,0),0))),""),"")</f>
        <v/>
      </c>
      <c r="Q1859" s="359"/>
      <c r="R1859" s="359"/>
      <c r="S1859" s="321"/>
      <c r="T1859" s="321"/>
      <c r="U1859" s="373" t="str">
        <f t="shared" ref="U1859:U1922" si="116">IFERROR(IF(AND(R1859&lt;&gt;"",R1859&lt;&gt;Q1859),-1*(R1859-Q1859),""),"")</f>
        <v/>
      </c>
      <c r="V1859" s="314" t="str">
        <f t="shared" ref="V1859:V1922" si="117">IFERROR(IF(AND(T1859&lt;&gt;"",T1859&lt;&gt;S1859),-1*(T1859-S1859),""),"")</f>
        <v/>
      </c>
      <c r="W1859" s="314" t="str" cm="1">
        <f t="array" aca="1" ref="W1859" ca="1">IFERROR(IF(AE1859&lt;&gt;"ja",_xlfn.IFNA(_xlfn.IFS(AND(O1859&lt;&gt;"",F1859&lt;&gt;"",RIGHT($N1859,6)="tarief",F1859="Vergoeding"),SUM(O1859)*FLOOR(SUM(Q1859),0.0001),AND(O1859&lt;&gt;"",F1859&lt;&gt;"",RIGHT($N1859,6)="tarief"),SUM(O1859)*FLOOR(SUM(Q1859),0.01),S1859&gt;0,IF(F1859&lt;&gt;"",FLOOR(SUM(S1859),0.01),"")),""),""),"")</f>
        <v/>
      </c>
      <c r="X1859" s="314" t="str" cm="1">
        <f t="array" aca="1" ref="X1859" ca="1">IFERROR(IF(AE1859&lt;&gt;"ja",_xlfn.IFNA(_xlfn.IFS(AND(P1859&lt;&gt;"",R1859&lt;&gt;"",RIGHT($N1859,6)="tarief",F1859="Vergoeding"),SUM(P1859)*FLOOR(SUM(R1859),0.0001),AND(P1859&lt;&gt;"",R1859&lt;&gt;"",RIGHT($N1859,6)="tarief"),P1859*FLOOR(R1859,0.01),T1859&gt;0,FLOOR(SUM(T1859),0.01)),""),""),"")</f>
        <v/>
      </c>
      <c r="Y1859" s="314" t="str">
        <f t="shared" ref="Y1859:Y1922" ca="1" si="118">IFERROR(IF(AND(X1859&lt;&gt;"",X1859&lt;&gt;W1859),-1*(X1859-W1859),""),"")</f>
        <v/>
      </c>
      <c r="Z1859" s="314" t="str" cm="1">
        <f t="array" aca="1" ref="Z1859" ca="1">IFERROR(_xlfn.IFS(OR(F1859="",LEFT(Methode_Keuze,4)="Geen",Methode_Keuze=""),"",AND(W1859&lt;&gt;"",F1859&lt;&gt;"Arbeidskosten"),W1859*VLOOKUP(F1859,Tb_ProjectKosten[],MATCH(Tb_ProjectKosten[[#Headers],[Forfait_Percentage]],Tb_ProjectKosten[#Headers],0),0),AND(F1859="Arbeidskosten",G1859&lt;&gt;""),IFERROR(W1859*VLOOKUP(G1859,Tb_KostenTypen[],3,0)*VLOOKUP(F1859,Tb_ProjectKosten[],MATCH(Tb_ProjectKosten[[#Headers],[Forfait_Percentage]],Tb_ProjectKosten[#Headers],0),0),""),W1859 &lt;=0,0),"")</f>
        <v/>
      </c>
      <c r="AA1859" s="314" t="str" cm="1">
        <f t="array" aca="1" ref="AA1859" ca="1">IFERROR(_xlfn.IFS(OR(F1859="",LEFT(Methode_Keuze,4)="Geen",Methode_Keuze=""),"",AND(X1859&lt;&gt;"",F1859&lt;&gt;"Arbeidskosten"),X1859*VLOOKUP(F1859,Tb_ProjectKosten[],MATCH(Tb_ProjectKosten[[#Headers],[Forfait_Percentage]],Tb_ProjectKosten[#Headers],0),0),AND(F1859="Arbeidskosten",G1859&lt;&gt;""),IFERROR(X1859*VLOOKUP(G1859,Tb_KostenTypen[],3,0)*VLOOKUP(F1859,Tb_ProjectKosten[],MATCH(Tb_ProjectKosten[[#Headers],[Forfait_Percentage]],Tb_ProjectKosten[#Headers],0),0),""),X1859 &lt;=0,0),"")</f>
        <v/>
      </c>
      <c r="AB1859" s="314" t="str">
        <f t="shared" ref="AB1859:AB1922" ca="1" si="119">IFERROR(IF(AND(AA1859&lt;&gt;"",AA1859&lt;&gt;Z1859),-1*(AA1859-Z1859),""),"")</f>
        <v/>
      </c>
      <c r="AC1859" s="322"/>
      <c r="AD1859" s="315"/>
      <c r="AE1859" s="32" t="str" cm="1">
        <f t="array" ref="AE1859">IFERROR(IF(INDEX(SubsidieTabel!$AD$1:$AG$12,MATCH($F1859,SubsidieTabel!$AD$1:$AD$12,0),IFERROR(MATCH(Methode_Keuze,SubsidieTabel!$AD$1:$AG$1,0),2))&lt;&gt;1=TRUE,"ja",""),"")</f>
        <v/>
      </c>
    </row>
    <row r="1860" spans="1:31" x14ac:dyDescent="0.25">
      <c r="A1860" s="316"/>
      <c r="B1860" s="317" t="str">
        <f>IF(A1860&lt;&gt;"",_xlfn.MAXIFS($B$1:B1859,$A$1:A1859,A1860)+1,"")</f>
        <v/>
      </c>
      <c r="C1860" s="296"/>
      <c r="D1860" s="296"/>
      <c r="E1860" s="296"/>
      <c r="F1860" s="296"/>
      <c r="G1860" s="326"/>
      <c r="H1860" s="324"/>
      <c r="I1860" s="325"/>
      <c r="J1860" s="325"/>
      <c r="K1860" s="318"/>
      <c r="L1860" s="318"/>
      <c r="M1860" s="319" t="str">
        <f>IFERROR(VLOOKUP(H1860,Lijsten!$H$1:$I$100,2,0),"")</f>
        <v/>
      </c>
      <c r="N1860" s="319" t="str">
        <f ca="1">IFERROR(IF(VLOOKUP(F1860,Kostentypen!$A$3:$E$21,3,0)=0,"",IF(OR(F1860="Arbeidskosten",F1860="Vergoeding"),VLOOKUP(G1860,Tb_KostenTypen[],2,0),VLOOKUP(F1860,Kostentypen!$A$3:$E$20,3,0))),"")</f>
        <v/>
      </c>
      <c r="O1860" s="320" t="str" cm="1">
        <f t="array" ref="O1860">_xlfn.IFNA(IF(INDEX(Tb_KostenOptiesDB[],MATCH($F1860,Tb_KostenOptiesDB[KostenOptie],0),IFERROR(MATCH(Methode_Keuze,Tb_KostenOptiesDB[#Headers],0),2))=1,_xlfn.SWITCH($N1860,"Uurtarief",IF(OR(AND(RIGHT($F1860,3)="IKS",VLOOKUP($M1860,DB_Loonkosten,2,0)="Ja"),AND(RIGHT($F1860,3)&lt;&gt;"IKS",VLOOKUP($M1860,DB_Loonkosten,2,0)="Nee")),IFERROR(VLOOKUP($M1860,DB_Loonkosten,24,0),""),0),"Vast tarief",IF(LEFT(F1860,8)="Bijdrage",VLOOKUP($F1860,Tb_KostenTypen[],MATCH(Lijsten!$P$1,Tb_KostenTypen[#Headers],0),0),VLOOKUP($G1860,Lijsten!L:P,MATCH(Lijsten!$P$1,Kop_Tarief_Vast,0),0))),""),"")</f>
        <v/>
      </c>
      <c r="P1860" s="320" t="str" cm="1">
        <f t="array" ref="P1860">_xlfn.IFNA(IF(INDEX(Tb_KostenOptiesDB[],MATCH($F1860,Tb_KostenOptiesDB[KostenOptie],0),IFERROR(MATCH(Methode_Keuze,Tb_KostenOptiesDB[#Headers],0),2))=1,_xlfn.SWITCH($N1860,"Uurtarief",IF(OR(AND(RIGHT($F1860,3)="IKS",VLOOKUP($M1860,DB_Loonkosten,2,0)="Ja"),AND(RIGHT($F1860,3)&lt;&gt;"IKS",VLOOKUP($M1860,DB_Loonkosten,2,0)="Nee")),IFERROR(VLOOKUP($M1860,DB_Loonkosten,25,0),""),0),"Vast tarief",IF(LEFT(F1860,8)="Bijdrage",VLOOKUP($F1860,Tb_KostenTypen[],MATCH(Lijsten!$P$1,Tb_KostenTypen[#Headers],0),0),VLOOKUP($G1860,Lijsten!L:P,MATCH(Lijsten!$P$1,Kop_Tarief_Vast,0),0))),""),"")</f>
        <v/>
      </c>
      <c r="Q1860" s="359"/>
      <c r="R1860" s="359"/>
      <c r="S1860" s="321"/>
      <c r="T1860" s="321"/>
      <c r="U1860" s="373" t="str">
        <f t="shared" si="116"/>
        <v/>
      </c>
      <c r="V1860" s="314" t="str">
        <f t="shared" si="117"/>
        <v/>
      </c>
      <c r="W1860" s="314" t="str" cm="1">
        <f t="array" aca="1" ref="W1860" ca="1">IFERROR(IF(AE1860&lt;&gt;"ja",_xlfn.IFNA(_xlfn.IFS(AND(O1860&lt;&gt;"",F1860&lt;&gt;"",RIGHT($N1860,6)="tarief",F1860="Vergoeding"),SUM(O1860)*FLOOR(SUM(Q1860),0.0001),AND(O1860&lt;&gt;"",F1860&lt;&gt;"",RIGHT($N1860,6)="tarief"),SUM(O1860)*FLOOR(SUM(Q1860),0.01),S1860&gt;0,IF(F1860&lt;&gt;"",FLOOR(SUM(S1860),0.01),"")),""),""),"")</f>
        <v/>
      </c>
      <c r="X1860" s="314" t="str" cm="1">
        <f t="array" aca="1" ref="X1860" ca="1">IFERROR(IF(AE1860&lt;&gt;"ja",_xlfn.IFNA(_xlfn.IFS(AND(P1860&lt;&gt;"",R1860&lt;&gt;"",RIGHT($N1860,6)="tarief",F1860="Vergoeding"),SUM(P1860)*FLOOR(SUM(R1860),0.0001),AND(P1860&lt;&gt;"",R1860&lt;&gt;"",RIGHT($N1860,6)="tarief"),P1860*FLOOR(R1860,0.01),T1860&gt;0,FLOOR(SUM(T1860),0.01)),""),""),"")</f>
        <v/>
      </c>
      <c r="Y1860" s="314" t="str">
        <f t="shared" ca="1" si="118"/>
        <v/>
      </c>
      <c r="Z1860" s="314" t="str" cm="1">
        <f t="array" aca="1" ref="Z1860" ca="1">IFERROR(_xlfn.IFS(OR(F1860="",LEFT(Methode_Keuze,4)="Geen",Methode_Keuze=""),"",AND(W1860&lt;&gt;"",F1860&lt;&gt;"Arbeidskosten"),W1860*VLOOKUP(F1860,Tb_ProjectKosten[],MATCH(Tb_ProjectKosten[[#Headers],[Forfait_Percentage]],Tb_ProjectKosten[#Headers],0),0),AND(F1860="Arbeidskosten",G1860&lt;&gt;""),IFERROR(W1860*VLOOKUP(G1860,Tb_KostenTypen[],3,0)*VLOOKUP(F1860,Tb_ProjectKosten[],MATCH(Tb_ProjectKosten[[#Headers],[Forfait_Percentage]],Tb_ProjectKosten[#Headers],0),0),""),W1860 &lt;=0,0),"")</f>
        <v/>
      </c>
      <c r="AA1860" s="314" t="str" cm="1">
        <f t="array" aca="1" ref="AA1860" ca="1">IFERROR(_xlfn.IFS(OR(F1860="",LEFT(Methode_Keuze,4)="Geen",Methode_Keuze=""),"",AND(X1860&lt;&gt;"",F1860&lt;&gt;"Arbeidskosten"),X1860*VLOOKUP(F1860,Tb_ProjectKosten[],MATCH(Tb_ProjectKosten[[#Headers],[Forfait_Percentage]],Tb_ProjectKosten[#Headers],0),0),AND(F1860="Arbeidskosten",G1860&lt;&gt;""),IFERROR(X1860*VLOOKUP(G1860,Tb_KostenTypen[],3,0)*VLOOKUP(F1860,Tb_ProjectKosten[],MATCH(Tb_ProjectKosten[[#Headers],[Forfait_Percentage]],Tb_ProjectKosten[#Headers],0),0),""),X1860 &lt;=0,0),"")</f>
        <v/>
      </c>
      <c r="AB1860" s="314" t="str">
        <f t="shared" ca="1" si="119"/>
        <v/>
      </c>
      <c r="AC1860" s="322"/>
      <c r="AD1860" s="315"/>
      <c r="AE1860" s="32" t="str" cm="1">
        <f t="array" ref="AE1860">IFERROR(IF(INDEX(SubsidieTabel!$AD$1:$AG$12,MATCH($F1860,SubsidieTabel!$AD$1:$AD$12,0),IFERROR(MATCH(Methode_Keuze,SubsidieTabel!$AD$1:$AG$1,0),2))&lt;&gt;1=TRUE,"ja",""),"")</f>
        <v/>
      </c>
    </row>
    <row r="1861" spans="1:31" x14ac:dyDescent="0.25">
      <c r="A1861" s="316"/>
      <c r="B1861" s="317" t="str">
        <f>IF(A1861&lt;&gt;"",_xlfn.MAXIFS($B$1:B1860,$A$1:A1860,A1861)+1,"")</f>
        <v/>
      </c>
      <c r="C1861" s="296"/>
      <c r="D1861" s="296"/>
      <c r="E1861" s="296"/>
      <c r="F1861" s="296"/>
      <c r="G1861" s="326"/>
      <c r="H1861" s="324"/>
      <c r="I1861" s="325"/>
      <c r="J1861" s="325"/>
      <c r="K1861" s="318"/>
      <c r="L1861" s="318"/>
      <c r="M1861" s="319" t="str">
        <f>IFERROR(VLOOKUP(H1861,Lijsten!$H$1:$I$100,2,0),"")</f>
        <v/>
      </c>
      <c r="N1861" s="319" t="str">
        <f ca="1">IFERROR(IF(VLOOKUP(F1861,Kostentypen!$A$3:$E$21,3,0)=0,"",IF(OR(F1861="Arbeidskosten",F1861="Vergoeding"),VLOOKUP(G1861,Tb_KostenTypen[],2,0),VLOOKUP(F1861,Kostentypen!$A$3:$E$20,3,0))),"")</f>
        <v/>
      </c>
      <c r="O1861" s="320" t="str" cm="1">
        <f t="array" ref="O1861">_xlfn.IFNA(IF(INDEX(Tb_KostenOptiesDB[],MATCH($F1861,Tb_KostenOptiesDB[KostenOptie],0),IFERROR(MATCH(Methode_Keuze,Tb_KostenOptiesDB[#Headers],0),2))=1,_xlfn.SWITCH($N1861,"Uurtarief",IF(OR(AND(RIGHT($F1861,3)="IKS",VLOOKUP($M1861,DB_Loonkosten,2,0)="Ja"),AND(RIGHT($F1861,3)&lt;&gt;"IKS",VLOOKUP($M1861,DB_Loonkosten,2,0)="Nee")),IFERROR(VLOOKUP($M1861,DB_Loonkosten,24,0),""),0),"Vast tarief",IF(LEFT(F1861,8)="Bijdrage",VLOOKUP($F1861,Tb_KostenTypen[],MATCH(Lijsten!$P$1,Tb_KostenTypen[#Headers],0),0),VLOOKUP($G1861,Lijsten!L:P,MATCH(Lijsten!$P$1,Kop_Tarief_Vast,0),0))),""),"")</f>
        <v/>
      </c>
      <c r="P1861" s="320" t="str" cm="1">
        <f t="array" ref="P1861">_xlfn.IFNA(IF(INDEX(Tb_KostenOptiesDB[],MATCH($F1861,Tb_KostenOptiesDB[KostenOptie],0),IFERROR(MATCH(Methode_Keuze,Tb_KostenOptiesDB[#Headers],0),2))=1,_xlfn.SWITCH($N1861,"Uurtarief",IF(OR(AND(RIGHT($F1861,3)="IKS",VLOOKUP($M1861,DB_Loonkosten,2,0)="Ja"),AND(RIGHT($F1861,3)&lt;&gt;"IKS",VLOOKUP($M1861,DB_Loonkosten,2,0)="Nee")),IFERROR(VLOOKUP($M1861,DB_Loonkosten,25,0),""),0),"Vast tarief",IF(LEFT(F1861,8)="Bijdrage",VLOOKUP($F1861,Tb_KostenTypen[],MATCH(Lijsten!$P$1,Tb_KostenTypen[#Headers],0),0),VLOOKUP($G1861,Lijsten!L:P,MATCH(Lijsten!$P$1,Kop_Tarief_Vast,0),0))),""),"")</f>
        <v/>
      </c>
      <c r="Q1861" s="359"/>
      <c r="R1861" s="359"/>
      <c r="S1861" s="321"/>
      <c r="T1861" s="321"/>
      <c r="U1861" s="373" t="str">
        <f t="shared" si="116"/>
        <v/>
      </c>
      <c r="V1861" s="314" t="str">
        <f t="shared" si="117"/>
        <v/>
      </c>
      <c r="W1861" s="314" t="str" cm="1">
        <f t="array" aca="1" ref="W1861" ca="1">IFERROR(IF(AE1861&lt;&gt;"ja",_xlfn.IFNA(_xlfn.IFS(AND(O1861&lt;&gt;"",F1861&lt;&gt;"",RIGHT($N1861,6)="tarief",F1861="Vergoeding"),SUM(O1861)*FLOOR(SUM(Q1861),0.0001),AND(O1861&lt;&gt;"",F1861&lt;&gt;"",RIGHT($N1861,6)="tarief"),SUM(O1861)*FLOOR(SUM(Q1861),0.01),S1861&gt;0,IF(F1861&lt;&gt;"",FLOOR(SUM(S1861),0.01),"")),""),""),"")</f>
        <v/>
      </c>
      <c r="X1861" s="314" t="str" cm="1">
        <f t="array" aca="1" ref="X1861" ca="1">IFERROR(IF(AE1861&lt;&gt;"ja",_xlfn.IFNA(_xlfn.IFS(AND(P1861&lt;&gt;"",R1861&lt;&gt;"",RIGHT($N1861,6)="tarief",F1861="Vergoeding"),SUM(P1861)*FLOOR(SUM(R1861),0.0001),AND(P1861&lt;&gt;"",R1861&lt;&gt;"",RIGHT($N1861,6)="tarief"),P1861*FLOOR(R1861,0.01),T1861&gt;0,FLOOR(SUM(T1861),0.01)),""),""),"")</f>
        <v/>
      </c>
      <c r="Y1861" s="314" t="str">
        <f t="shared" ca="1" si="118"/>
        <v/>
      </c>
      <c r="Z1861" s="314" t="str" cm="1">
        <f t="array" aca="1" ref="Z1861" ca="1">IFERROR(_xlfn.IFS(OR(F1861="",LEFT(Methode_Keuze,4)="Geen",Methode_Keuze=""),"",AND(W1861&lt;&gt;"",F1861&lt;&gt;"Arbeidskosten"),W1861*VLOOKUP(F1861,Tb_ProjectKosten[],MATCH(Tb_ProjectKosten[[#Headers],[Forfait_Percentage]],Tb_ProjectKosten[#Headers],0),0),AND(F1861="Arbeidskosten",G1861&lt;&gt;""),IFERROR(W1861*VLOOKUP(G1861,Tb_KostenTypen[],3,0)*VLOOKUP(F1861,Tb_ProjectKosten[],MATCH(Tb_ProjectKosten[[#Headers],[Forfait_Percentage]],Tb_ProjectKosten[#Headers],0),0),""),W1861 &lt;=0,0),"")</f>
        <v/>
      </c>
      <c r="AA1861" s="314" t="str" cm="1">
        <f t="array" aca="1" ref="AA1861" ca="1">IFERROR(_xlfn.IFS(OR(F1861="",LEFT(Methode_Keuze,4)="Geen",Methode_Keuze=""),"",AND(X1861&lt;&gt;"",F1861&lt;&gt;"Arbeidskosten"),X1861*VLOOKUP(F1861,Tb_ProjectKosten[],MATCH(Tb_ProjectKosten[[#Headers],[Forfait_Percentage]],Tb_ProjectKosten[#Headers],0),0),AND(F1861="Arbeidskosten",G1861&lt;&gt;""),IFERROR(X1861*VLOOKUP(G1861,Tb_KostenTypen[],3,0)*VLOOKUP(F1861,Tb_ProjectKosten[],MATCH(Tb_ProjectKosten[[#Headers],[Forfait_Percentage]],Tb_ProjectKosten[#Headers],0),0),""),X1861 &lt;=0,0),"")</f>
        <v/>
      </c>
      <c r="AB1861" s="314" t="str">
        <f t="shared" ca="1" si="119"/>
        <v/>
      </c>
      <c r="AC1861" s="322"/>
      <c r="AD1861" s="315"/>
      <c r="AE1861" s="32" t="str" cm="1">
        <f t="array" ref="AE1861">IFERROR(IF(INDEX(SubsidieTabel!$AD$1:$AG$12,MATCH($F1861,SubsidieTabel!$AD$1:$AD$12,0),IFERROR(MATCH(Methode_Keuze,SubsidieTabel!$AD$1:$AG$1,0),2))&lt;&gt;1=TRUE,"ja",""),"")</f>
        <v/>
      </c>
    </row>
    <row r="1862" spans="1:31" x14ac:dyDescent="0.25">
      <c r="A1862" s="316"/>
      <c r="B1862" s="317" t="str">
        <f>IF(A1862&lt;&gt;"",_xlfn.MAXIFS($B$1:B1861,$A$1:A1861,A1862)+1,"")</f>
        <v/>
      </c>
      <c r="C1862" s="296"/>
      <c r="D1862" s="296"/>
      <c r="E1862" s="296"/>
      <c r="F1862" s="296"/>
      <c r="G1862" s="326"/>
      <c r="H1862" s="324"/>
      <c r="I1862" s="325"/>
      <c r="J1862" s="325"/>
      <c r="K1862" s="318"/>
      <c r="L1862" s="318"/>
      <c r="M1862" s="319" t="str">
        <f>IFERROR(VLOOKUP(H1862,Lijsten!$H$1:$I$100,2,0),"")</f>
        <v/>
      </c>
      <c r="N1862" s="319" t="str">
        <f ca="1">IFERROR(IF(VLOOKUP(F1862,Kostentypen!$A$3:$E$21,3,0)=0,"",IF(OR(F1862="Arbeidskosten",F1862="Vergoeding"),VLOOKUP(G1862,Tb_KostenTypen[],2,0),VLOOKUP(F1862,Kostentypen!$A$3:$E$20,3,0))),"")</f>
        <v/>
      </c>
      <c r="O1862" s="320" t="str" cm="1">
        <f t="array" ref="O1862">_xlfn.IFNA(IF(INDEX(Tb_KostenOptiesDB[],MATCH($F1862,Tb_KostenOptiesDB[KostenOptie],0),IFERROR(MATCH(Methode_Keuze,Tb_KostenOptiesDB[#Headers],0),2))=1,_xlfn.SWITCH($N1862,"Uurtarief",IF(OR(AND(RIGHT($F1862,3)="IKS",VLOOKUP($M1862,DB_Loonkosten,2,0)="Ja"),AND(RIGHT($F1862,3)&lt;&gt;"IKS",VLOOKUP($M1862,DB_Loonkosten,2,0)="Nee")),IFERROR(VLOOKUP($M1862,DB_Loonkosten,24,0),""),0),"Vast tarief",IF(LEFT(F1862,8)="Bijdrage",VLOOKUP($F1862,Tb_KostenTypen[],MATCH(Lijsten!$P$1,Tb_KostenTypen[#Headers],0),0),VLOOKUP($G1862,Lijsten!L:P,MATCH(Lijsten!$P$1,Kop_Tarief_Vast,0),0))),""),"")</f>
        <v/>
      </c>
      <c r="P1862" s="320" t="str" cm="1">
        <f t="array" ref="P1862">_xlfn.IFNA(IF(INDEX(Tb_KostenOptiesDB[],MATCH($F1862,Tb_KostenOptiesDB[KostenOptie],0),IFERROR(MATCH(Methode_Keuze,Tb_KostenOptiesDB[#Headers],0),2))=1,_xlfn.SWITCH($N1862,"Uurtarief",IF(OR(AND(RIGHT($F1862,3)="IKS",VLOOKUP($M1862,DB_Loonkosten,2,0)="Ja"),AND(RIGHT($F1862,3)&lt;&gt;"IKS",VLOOKUP($M1862,DB_Loonkosten,2,0)="Nee")),IFERROR(VLOOKUP($M1862,DB_Loonkosten,25,0),""),0),"Vast tarief",IF(LEFT(F1862,8)="Bijdrage",VLOOKUP($F1862,Tb_KostenTypen[],MATCH(Lijsten!$P$1,Tb_KostenTypen[#Headers],0),0),VLOOKUP($G1862,Lijsten!L:P,MATCH(Lijsten!$P$1,Kop_Tarief_Vast,0),0))),""),"")</f>
        <v/>
      </c>
      <c r="Q1862" s="359"/>
      <c r="R1862" s="359"/>
      <c r="S1862" s="321"/>
      <c r="T1862" s="321"/>
      <c r="U1862" s="373" t="str">
        <f t="shared" si="116"/>
        <v/>
      </c>
      <c r="V1862" s="314" t="str">
        <f t="shared" si="117"/>
        <v/>
      </c>
      <c r="W1862" s="314" t="str" cm="1">
        <f t="array" aca="1" ref="W1862" ca="1">IFERROR(IF(AE1862&lt;&gt;"ja",_xlfn.IFNA(_xlfn.IFS(AND(O1862&lt;&gt;"",F1862&lt;&gt;"",RIGHT($N1862,6)="tarief",F1862="Vergoeding"),SUM(O1862)*FLOOR(SUM(Q1862),0.0001),AND(O1862&lt;&gt;"",F1862&lt;&gt;"",RIGHT($N1862,6)="tarief"),SUM(O1862)*FLOOR(SUM(Q1862),0.01),S1862&gt;0,IF(F1862&lt;&gt;"",FLOOR(SUM(S1862),0.01),"")),""),""),"")</f>
        <v/>
      </c>
      <c r="X1862" s="314" t="str" cm="1">
        <f t="array" aca="1" ref="X1862" ca="1">IFERROR(IF(AE1862&lt;&gt;"ja",_xlfn.IFNA(_xlfn.IFS(AND(P1862&lt;&gt;"",R1862&lt;&gt;"",RIGHT($N1862,6)="tarief",F1862="Vergoeding"),SUM(P1862)*FLOOR(SUM(R1862),0.0001),AND(P1862&lt;&gt;"",R1862&lt;&gt;"",RIGHT($N1862,6)="tarief"),P1862*FLOOR(R1862,0.01),T1862&gt;0,FLOOR(SUM(T1862),0.01)),""),""),"")</f>
        <v/>
      </c>
      <c r="Y1862" s="314" t="str">
        <f t="shared" ca="1" si="118"/>
        <v/>
      </c>
      <c r="Z1862" s="314" t="str" cm="1">
        <f t="array" aca="1" ref="Z1862" ca="1">IFERROR(_xlfn.IFS(OR(F1862="",LEFT(Methode_Keuze,4)="Geen",Methode_Keuze=""),"",AND(W1862&lt;&gt;"",F1862&lt;&gt;"Arbeidskosten"),W1862*VLOOKUP(F1862,Tb_ProjectKosten[],MATCH(Tb_ProjectKosten[[#Headers],[Forfait_Percentage]],Tb_ProjectKosten[#Headers],0),0),AND(F1862="Arbeidskosten",G1862&lt;&gt;""),IFERROR(W1862*VLOOKUP(G1862,Tb_KostenTypen[],3,0)*VLOOKUP(F1862,Tb_ProjectKosten[],MATCH(Tb_ProjectKosten[[#Headers],[Forfait_Percentage]],Tb_ProjectKosten[#Headers],0),0),""),W1862 &lt;=0,0),"")</f>
        <v/>
      </c>
      <c r="AA1862" s="314" t="str" cm="1">
        <f t="array" aca="1" ref="AA1862" ca="1">IFERROR(_xlfn.IFS(OR(F1862="",LEFT(Methode_Keuze,4)="Geen",Methode_Keuze=""),"",AND(X1862&lt;&gt;"",F1862&lt;&gt;"Arbeidskosten"),X1862*VLOOKUP(F1862,Tb_ProjectKosten[],MATCH(Tb_ProjectKosten[[#Headers],[Forfait_Percentage]],Tb_ProjectKosten[#Headers],0),0),AND(F1862="Arbeidskosten",G1862&lt;&gt;""),IFERROR(X1862*VLOOKUP(G1862,Tb_KostenTypen[],3,0)*VLOOKUP(F1862,Tb_ProjectKosten[],MATCH(Tb_ProjectKosten[[#Headers],[Forfait_Percentage]],Tb_ProjectKosten[#Headers],0),0),""),X1862 &lt;=0,0),"")</f>
        <v/>
      </c>
      <c r="AB1862" s="314" t="str">
        <f t="shared" ca="1" si="119"/>
        <v/>
      </c>
      <c r="AC1862" s="322"/>
      <c r="AD1862" s="315"/>
      <c r="AE1862" s="32" t="str" cm="1">
        <f t="array" ref="AE1862">IFERROR(IF(INDEX(SubsidieTabel!$AD$1:$AG$12,MATCH($F1862,SubsidieTabel!$AD$1:$AD$12,0),IFERROR(MATCH(Methode_Keuze,SubsidieTabel!$AD$1:$AG$1,0),2))&lt;&gt;1=TRUE,"ja",""),"")</f>
        <v/>
      </c>
    </row>
    <row r="1863" spans="1:31" x14ac:dyDescent="0.25">
      <c r="A1863" s="316"/>
      <c r="B1863" s="317" t="str">
        <f>IF(A1863&lt;&gt;"",_xlfn.MAXIFS($B$1:B1862,$A$1:A1862,A1863)+1,"")</f>
        <v/>
      </c>
      <c r="C1863" s="296"/>
      <c r="D1863" s="296"/>
      <c r="E1863" s="296"/>
      <c r="F1863" s="296"/>
      <c r="G1863" s="326"/>
      <c r="H1863" s="324"/>
      <c r="I1863" s="325"/>
      <c r="J1863" s="325"/>
      <c r="K1863" s="318"/>
      <c r="L1863" s="318"/>
      <c r="M1863" s="319" t="str">
        <f>IFERROR(VLOOKUP(H1863,Lijsten!$H$1:$I$100,2,0),"")</f>
        <v/>
      </c>
      <c r="N1863" s="319" t="str">
        <f ca="1">IFERROR(IF(VLOOKUP(F1863,Kostentypen!$A$3:$E$21,3,0)=0,"",IF(OR(F1863="Arbeidskosten",F1863="Vergoeding"),VLOOKUP(G1863,Tb_KostenTypen[],2,0),VLOOKUP(F1863,Kostentypen!$A$3:$E$20,3,0))),"")</f>
        <v/>
      </c>
      <c r="O1863" s="320" t="str" cm="1">
        <f t="array" ref="O1863">_xlfn.IFNA(IF(INDEX(Tb_KostenOptiesDB[],MATCH($F1863,Tb_KostenOptiesDB[KostenOptie],0),IFERROR(MATCH(Methode_Keuze,Tb_KostenOptiesDB[#Headers],0),2))=1,_xlfn.SWITCH($N1863,"Uurtarief",IF(OR(AND(RIGHT($F1863,3)="IKS",VLOOKUP($M1863,DB_Loonkosten,2,0)="Ja"),AND(RIGHT($F1863,3)&lt;&gt;"IKS",VLOOKUP($M1863,DB_Loonkosten,2,0)="Nee")),IFERROR(VLOOKUP($M1863,DB_Loonkosten,24,0),""),0),"Vast tarief",IF(LEFT(F1863,8)="Bijdrage",VLOOKUP($F1863,Tb_KostenTypen[],MATCH(Lijsten!$P$1,Tb_KostenTypen[#Headers],0),0),VLOOKUP($G1863,Lijsten!L:P,MATCH(Lijsten!$P$1,Kop_Tarief_Vast,0),0))),""),"")</f>
        <v/>
      </c>
      <c r="P1863" s="320" t="str" cm="1">
        <f t="array" ref="P1863">_xlfn.IFNA(IF(INDEX(Tb_KostenOptiesDB[],MATCH($F1863,Tb_KostenOptiesDB[KostenOptie],0),IFERROR(MATCH(Methode_Keuze,Tb_KostenOptiesDB[#Headers],0),2))=1,_xlfn.SWITCH($N1863,"Uurtarief",IF(OR(AND(RIGHT($F1863,3)="IKS",VLOOKUP($M1863,DB_Loonkosten,2,0)="Ja"),AND(RIGHT($F1863,3)&lt;&gt;"IKS",VLOOKUP($M1863,DB_Loonkosten,2,0)="Nee")),IFERROR(VLOOKUP($M1863,DB_Loonkosten,25,0),""),0),"Vast tarief",IF(LEFT(F1863,8)="Bijdrage",VLOOKUP($F1863,Tb_KostenTypen[],MATCH(Lijsten!$P$1,Tb_KostenTypen[#Headers],0),0),VLOOKUP($G1863,Lijsten!L:P,MATCH(Lijsten!$P$1,Kop_Tarief_Vast,0),0))),""),"")</f>
        <v/>
      </c>
      <c r="Q1863" s="359"/>
      <c r="R1863" s="359"/>
      <c r="S1863" s="321"/>
      <c r="T1863" s="321"/>
      <c r="U1863" s="373" t="str">
        <f t="shared" si="116"/>
        <v/>
      </c>
      <c r="V1863" s="314" t="str">
        <f t="shared" si="117"/>
        <v/>
      </c>
      <c r="W1863" s="314" t="str" cm="1">
        <f t="array" aca="1" ref="W1863" ca="1">IFERROR(IF(AE1863&lt;&gt;"ja",_xlfn.IFNA(_xlfn.IFS(AND(O1863&lt;&gt;"",F1863&lt;&gt;"",RIGHT($N1863,6)="tarief",F1863="Vergoeding"),SUM(O1863)*FLOOR(SUM(Q1863),0.0001),AND(O1863&lt;&gt;"",F1863&lt;&gt;"",RIGHT($N1863,6)="tarief"),SUM(O1863)*FLOOR(SUM(Q1863),0.01),S1863&gt;0,IF(F1863&lt;&gt;"",FLOOR(SUM(S1863),0.01),"")),""),""),"")</f>
        <v/>
      </c>
      <c r="X1863" s="314" t="str" cm="1">
        <f t="array" aca="1" ref="X1863" ca="1">IFERROR(IF(AE1863&lt;&gt;"ja",_xlfn.IFNA(_xlfn.IFS(AND(P1863&lt;&gt;"",R1863&lt;&gt;"",RIGHT($N1863,6)="tarief",F1863="Vergoeding"),SUM(P1863)*FLOOR(SUM(R1863),0.0001),AND(P1863&lt;&gt;"",R1863&lt;&gt;"",RIGHT($N1863,6)="tarief"),P1863*FLOOR(R1863,0.01),T1863&gt;0,FLOOR(SUM(T1863),0.01)),""),""),"")</f>
        <v/>
      </c>
      <c r="Y1863" s="314" t="str">
        <f t="shared" ca="1" si="118"/>
        <v/>
      </c>
      <c r="Z1863" s="314" t="str" cm="1">
        <f t="array" aca="1" ref="Z1863" ca="1">IFERROR(_xlfn.IFS(OR(F1863="",LEFT(Methode_Keuze,4)="Geen",Methode_Keuze=""),"",AND(W1863&lt;&gt;"",F1863&lt;&gt;"Arbeidskosten"),W1863*VLOOKUP(F1863,Tb_ProjectKosten[],MATCH(Tb_ProjectKosten[[#Headers],[Forfait_Percentage]],Tb_ProjectKosten[#Headers],0),0),AND(F1863="Arbeidskosten",G1863&lt;&gt;""),IFERROR(W1863*VLOOKUP(G1863,Tb_KostenTypen[],3,0)*VLOOKUP(F1863,Tb_ProjectKosten[],MATCH(Tb_ProjectKosten[[#Headers],[Forfait_Percentage]],Tb_ProjectKosten[#Headers],0),0),""),W1863 &lt;=0,0),"")</f>
        <v/>
      </c>
      <c r="AA1863" s="314" t="str" cm="1">
        <f t="array" aca="1" ref="AA1863" ca="1">IFERROR(_xlfn.IFS(OR(F1863="",LEFT(Methode_Keuze,4)="Geen",Methode_Keuze=""),"",AND(X1863&lt;&gt;"",F1863&lt;&gt;"Arbeidskosten"),X1863*VLOOKUP(F1863,Tb_ProjectKosten[],MATCH(Tb_ProjectKosten[[#Headers],[Forfait_Percentage]],Tb_ProjectKosten[#Headers],0),0),AND(F1863="Arbeidskosten",G1863&lt;&gt;""),IFERROR(X1863*VLOOKUP(G1863,Tb_KostenTypen[],3,0)*VLOOKUP(F1863,Tb_ProjectKosten[],MATCH(Tb_ProjectKosten[[#Headers],[Forfait_Percentage]],Tb_ProjectKosten[#Headers],0),0),""),X1863 &lt;=0,0),"")</f>
        <v/>
      </c>
      <c r="AB1863" s="314" t="str">
        <f t="shared" ca="1" si="119"/>
        <v/>
      </c>
      <c r="AC1863" s="322"/>
      <c r="AD1863" s="315"/>
      <c r="AE1863" s="32" t="str" cm="1">
        <f t="array" ref="AE1863">IFERROR(IF(INDEX(SubsidieTabel!$AD$1:$AG$12,MATCH($F1863,SubsidieTabel!$AD$1:$AD$12,0),IFERROR(MATCH(Methode_Keuze,SubsidieTabel!$AD$1:$AG$1,0),2))&lt;&gt;1=TRUE,"ja",""),"")</f>
        <v/>
      </c>
    </row>
    <row r="1864" spans="1:31" x14ac:dyDescent="0.25">
      <c r="A1864" s="316"/>
      <c r="B1864" s="317" t="str">
        <f>IF(A1864&lt;&gt;"",_xlfn.MAXIFS($B$1:B1863,$A$1:A1863,A1864)+1,"")</f>
        <v/>
      </c>
      <c r="C1864" s="296"/>
      <c r="D1864" s="296"/>
      <c r="E1864" s="296"/>
      <c r="F1864" s="296"/>
      <c r="G1864" s="326"/>
      <c r="H1864" s="324"/>
      <c r="I1864" s="325"/>
      <c r="J1864" s="325"/>
      <c r="K1864" s="318"/>
      <c r="L1864" s="318"/>
      <c r="M1864" s="319" t="str">
        <f>IFERROR(VLOOKUP(H1864,Lijsten!$H$1:$I$100,2,0),"")</f>
        <v/>
      </c>
      <c r="N1864" s="319" t="str">
        <f ca="1">IFERROR(IF(VLOOKUP(F1864,Kostentypen!$A$3:$E$21,3,0)=0,"",IF(OR(F1864="Arbeidskosten",F1864="Vergoeding"),VLOOKUP(G1864,Tb_KostenTypen[],2,0),VLOOKUP(F1864,Kostentypen!$A$3:$E$20,3,0))),"")</f>
        <v/>
      </c>
      <c r="O1864" s="320" t="str" cm="1">
        <f t="array" ref="O1864">_xlfn.IFNA(IF(INDEX(Tb_KostenOptiesDB[],MATCH($F1864,Tb_KostenOptiesDB[KostenOptie],0),IFERROR(MATCH(Methode_Keuze,Tb_KostenOptiesDB[#Headers],0),2))=1,_xlfn.SWITCH($N1864,"Uurtarief",IF(OR(AND(RIGHT($F1864,3)="IKS",VLOOKUP($M1864,DB_Loonkosten,2,0)="Ja"),AND(RIGHT($F1864,3)&lt;&gt;"IKS",VLOOKUP($M1864,DB_Loonkosten,2,0)="Nee")),IFERROR(VLOOKUP($M1864,DB_Loonkosten,24,0),""),0),"Vast tarief",IF(LEFT(F1864,8)="Bijdrage",VLOOKUP($F1864,Tb_KostenTypen[],MATCH(Lijsten!$P$1,Tb_KostenTypen[#Headers],0),0),VLOOKUP($G1864,Lijsten!L:P,MATCH(Lijsten!$P$1,Kop_Tarief_Vast,0),0))),""),"")</f>
        <v/>
      </c>
      <c r="P1864" s="320" t="str" cm="1">
        <f t="array" ref="P1864">_xlfn.IFNA(IF(INDEX(Tb_KostenOptiesDB[],MATCH($F1864,Tb_KostenOptiesDB[KostenOptie],0),IFERROR(MATCH(Methode_Keuze,Tb_KostenOptiesDB[#Headers],0),2))=1,_xlfn.SWITCH($N1864,"Uurtarief",IF(OR(AND(RIGHT($F1864,3)="IKS",VLOOKUP($M1864,DB_Loonkosten,2,0)="Ja"),AND(RIGHT($F1864,3)&lt;&gt;"IKS",VLOOKUP($M1864,DB_Loonkosten,2,0)="Nee")),IFERROR(VLOOKUP($M1864,DB_Loonkosten,25,0),""),0),"Vast tarief",IF(LEFT(F1864,8)="Bijdrage",VLOOKUP($F1864,Tb_KostenTypen[],MATCH(Lijsten!$P$1,Tb_KostenTypen[#Headers],0),0),VLOOKUP($G1864,Lijsten!L:P,MATCH(Lijsten!$P$1,Kop_Tarief_Vast,0),0))),""),"")</f>
        <v/>
      </c>
      <c r="Q1864" s="359"/>
      <c r="R1864" s="359"/>
      <c r="S1864" s="321"/>
      <c r="T1864" s="321"/>
      <c r="U1864" s="373" t="str">
        <f t="shared" si="116"/>
        <v/>
      </c>
      <c r="V1864" s="314" t="str">
        <f t="shared" si="117"/>
        <v/>
      </c>
      <c r="W1864" s="314" t="str" cm="1">
        <f t="array" aca="1" ref="W1864" ca="1">IFERROR(IF(AE1864&lt;&gt;"ja",_xlfn.IFNA(_xlfn.IFS(AND(O1864&lt;&gt;"",F1864&lt;&gt;"",RIGHT($N1864,6)="tarief",F1864="Vergoeding"),SUM(O1864)*FLOOR(SUM(Q1864),0.0001),AND(O1864&lt;&gt;"",F1864&lt;&gt;"",RIGHT($N1864,6)="tarief"),SUM(O1864)*FLOOR(SUM(Q1864),0.01),S1864&gt;0,IF(F1864&lt;&gt;"",FLOOR(SUM(S1864),0.01),"")),""),""),"")</f>
        <v/>
      </c>
      <c r="X1864" s="314" t="str" cm="1">
        <f t="array" aca="1" ref="X1864" ca="1">IFERROR(IF(AE1864&lt;&gt;"ja",_xlfn.IFNA(_xlfn.IFS(AND(P1864&lt;&gt;"",R1864&lt;&gt;"",RIGHT($N1864,6)="tarief",F1864="Vergoeding"),SUM(P1864)*FLOOR(SUM(R1864),0.0001),AND(P1864&lt;&gt;"",R1864&lt;&gt;"",RIGHT($N1864,6)="tarief"),P1864*FLOOR(R1864,0.01),T1864&gt;0,FLOOR(SUM(T1864),0.01)),""),""),"")</f>
        <v/>
      </c>
      <c r="Y1864" s="314" t="str">
        <f t="shared" ca="1" si="118"/>
        <v/>
      </c>
      <c r="Z1864" s="314" t="str" cm="1">
        <f t="array" aca="1" ref="Z1864" ca="1">IFERROR(_xlfn.IFS(OR(F1864="",LEFT(Methode_Keuze,4)="Geen",Methode_Keuze=""),"",AND(W1864&lt;&gt;"",F1864&lt;&gt;"Arbeidskosten"),W1864*VLOOKUP(F1864,Tb_ProjectKosten[],MATCH(Tb_ProjectKosten[[#Headers],[Forfait_Percentage]],Tb_ProjectKosten[#Headers],0),0),AND(F1864="Arbeidskosten",G1864&lt;&gt;""),IFERROR(W1864*VLOOKUP(G1864,Tb_KostenTypen[],3,0)*VLOOKUP(F1864,Tb_ProjectKosten[],MATCH(Tb_ProjectKosten[[#Headers],[Forfait_Percentage]],Tb_ProjectKosten[#Headers],0),0),""),W1864 &lt;=0,0),"")</f>
        <v/>
      </c>
      <c r="AA1864" s="314" t="str" cm="1">
        <f t="array" aca="1" ref="AA1864" ca="1">IFERROR(_xlfn.IFS(OR(F1864="",LEFT(Methode_Keuze,4)="Geen",Methode_Keuze=""),"",AND(X1864&lt;&gt;"",F1864&lt;&gt;"Arbeidskosten"),X1864*VLOOKUP(F1864,Tb_ProjectKosten[],MATCH(Tb_ProjectKosten[[#Headers],[Forfait_Percentage]],Tb_ProjectKosten[#Headers],0),0),AND(F1864="Arbeidskosten",G1864&lt;&gt;""),IFERROR(X1864*VLOOKUP(G1864,Tb_KostenTypen[],3,0)*VLOOKUP(F1864,Tb_ProjectKosten[],MATCH(Tb_ProjectKosten[[#Headers],[Forfait_Percentage]],Tb_ProjectKosten[#Headers],0),0),""),X1864 &lt;=0,0),"")</f>
        <v/>
      </c>
      <c r="AB1864" s="314" t="str">
        <f t="shared" ca="1" si="119"/>
        <v/>
      </c>
      <c r="AC1864" s="322"/>
      <c r="AD1864" s="315"/>
      <c r="AE1864" s="32" t="str" cm="1">
        <f t="array" ref="AE1864">IFERROR(IF(INDEX(SubsidieTabel!$AD$1:$AG$12,MATCH($F1864,SubsidieTabel!$AD$1:$AD$12,0),IFERROR(MATCH(Methode_Keuze,SubsidieTabel!$AD$1:$AG$1,0),2))&lt;&gt;1=TRUE,"ja",""),"")</f>
        <v/>
      </c>
    </row>
    <row r="1865" spans="1:31" x14ac:dyDescent="0.25">
      <c r="A1865" s="316"/>
      <c r="B1865" s="317" t="str">
        <f>IF(A1865&lt;&gt;"",_xlfn.MAXIFS($B$1:B1864,$A$1:A1864,A1865)+1,"")</f>
        <v/>
      </c>
      <c r="C1865" s="296"/>
      <c r="D1865" s="296"/>
      <c r="E1865" s="296"/>
      <c r="F1865" s="296"/>
      <c r="G1865" s="326"/>
      <c r="H1865" s="324"/>
      <c r="I1865" s="325"/>
      <c r="J1865" s="325"/>
      <c r="K1865" s="318"/>
      <c r="L1865" s="318"/>
      <c r="M1865" s="319" t="str">
        <f>IFERROR(VLOOKUP(H1865,Lijsten!$H$1:$I$100,2,0),"")</f>
        <v/>
      </c>
      <c r="N1865" s="319" t="str">
        <f ca="1">IFERROR(IF(VLOOKUP(F1865,Kostentypen!$A$3:$E$21,3,0)=0,"",IF(OR(F1865="Arbeidskosten",F1865="Vergoeding"),VLOOKUP(G1865,Tb_KostenTypen[],2,0),VLOOKUP(F1865,Kostentypen!$A$3:$E$20,3,0))),"")</f>
        <v/>
      </c>
      <c r="O1865" s="320" t="str" cm="1">
        <f t="array" ref="O1865">_xlfn.IFNA(IF(INDEX(Tb_KostenOptiesDB[],MATCH($F1865,Tb_KostenOptiesDB[KostenOptie],0),IFERROR(MATCH(Methode_Keuze,Tb_KostenOptiesDB[#Headers],0),2))=1,_xlfn.SWITCH($N1865,"Uurtarief",IF(OR(AND(RIGHT($F1865,3)="IKS",VLOOKUP($M1865,DB_Loonkosten,2,0)="Ja"),AND(RIGHT($F1865,3)&lt;&gt;"IKS",VLOOKUP($M1865,DB_Loonkosten,2,0)="Nee")),IFERROR(VLOOKUP($M1865,DB_Loonkosten,24,0),""),0),"Vast tarief",IF(LEFT(F1865,8)="Bijdrage",VLOOKUP($F1865,Tb_KostenTypen[],MATCH(Lijsten!$P$1,Tb_KostenTypen[#Headers],0),0),VLOOKUP($G1865,Lijsten!L:P,MATCH(Lijsten!$P$1,Kop_Tarief_Vast,0),0))),""),"")</f>
        <v/>
      </c>
      <c r="P1865" s="320" t="str" cm="1">
        <f t="array" ref="P1865">_xlfn.IFNA(IF(INDEX(Tb_KostenOptiesDB[],MATCH($F1865,Tb_KostenOptiesDB[KostenOptie],0),IFERROR(MATCH(Methode_Keuze,Tb_KostenOptiesDB[#Headers],0),2))=1,_xlfn.SWITCH($N1865,"Uurtarief",IF(OR(AND(RIGHT($F1865,3)="IKS",VLOOKUP($M1865,DB_Loonkosten,2,0)="Ja"),AND(RIGHT($F1865,3)&lt;&gt;"IKS",VLOOKUP($M1865,DB_Loonkosten,2,0)="Nee")),IFERROR(VLOOKUP($M1865,DB_Loonkosten,25,0),""),0),"Vast tarief",IF(LEFT(F1865,8)="Bijdrage",VLOOKUP($F1865,Tb_KostenTypen[],MATCH(Lijsten!$P$1,Tb_KostenTypen[#Headers],0),0),VLOOKUP($G1865,Lijsten!L:P,MATCH(Lijsten!$P$1,Kop_Tarief_Vast,0),0))),""),"")</f>
        <v/>
      </c>
      <c r="Q1865" s="359"/>
      <c r="R1865" s="359"/>
      <c r="S1865" s="321"/>
      <c r="T1865" s="321"/>
      <c r="U1865" s="373" t="str">
        <f t="shared" si="116"/>
        <v/>
      </c>
      <c r="V1865" s="314" t="str">
        <f t="shared" si="117"/>
        <v/>
      </c>
      <c r="W1865" s="314" t="str" cm="1">
        <f t="array" aca="1" ref="W1865" ca="1">IFERROR(IF(AE1865&lt;&gt;"ja",_xlfn.IFNA(_xlfn.IFS(AND(O1865&lt;&gt;"",F1865&lt;&gt;"",RIGHT($N1865,6)="tarief",F1865="Vergoeding"),SUM(O1865)*FLOOR(SUM(Q1865),0.0001),AND(O1865&lt;&gt;"",F1865&lt;&gt;"",RIGHT($N1865,6)="tarief"),SUM(O1865)*FLOOR(SUM(Q1865),0.01),S1865&gt;0,IF(F1865&lt;&gt;"",FLOOR(SUM(S1865),0.01),"")),""),""),"")</f>
        <v/>
      </c>
      <c r="X1865" s="314" t="str" cm="1">
        <f t="array" aca="1" ref="X1865" ca="1">IFERROR(IF(AE1865&lt;&gt;"ja",_xlfn.IFNA(_xlfn.IFS(AND(P1865&lt;&gt;"",R1865&lt;&gt;"",RIGHT($N1865,6)="tarief",F1865="Vergoeding"),SUM(P1865)*FLOOR(SUM(R1865),0.0001),AND(P1865&lt;&gt;"",R1865&lt;&gt;"",RIGHT($N1865,6)="tarief"),P1865*FLOOR(R1865,0.01),T1865&gt;0,FLOOR(SUM(T1865),0.01)),""),""),"")</f>
        <v/>
      </c>
      <c r="Y1865" s="314" t="str">
        <f t="shared" ca="1" si="118"/>
        <v/>
      </c>
      <c r="Z1865" s="314" t="str" cm="1">
        <f t="array" aca="1" ref="Z1865" ca="1">IFERROR(_xlfn.IFS(OR(F1865="",LEFT(Methode_Keuze,4)="Geen",Methode_Keuze=""),"",AND(W1865&lt;&gt;"",F1865&lt;&gt;"Arbeidskosten"),W1865*VLOOKUP(F1865,Tb_ProjectKosten[],MATCH(Tb_ProjectKosten[[#Headers],[Forfait_Percentage]],Tb_ProjectKosten[#Headers],0),0),AND(F1865="Arbeidskosten",G1865&lt;&gt;""),IFERROR(W1865*VLOOKUP(G1865,Tb_KostenTypen[],3,0)*VLOOKUP(F1865,Tb_ProjectKosten[],MATCH(Tb_ProjectKosten[[#Headers],[Forfait_Percentage]],Tb_ProjectKosten[#Headers],0),0),""),W1865 &lt;=0,0),"")</f>
        <v/>
      </c>
      <c r="AA1865" s="314" t="str" cm="1">
        <f t="array" aca="1" ref="AA1865" ca="1">IFERROR(_xlfn.IFS(OR(F1865="",LEFT(Methode_Keuze,4)="Geen",Methode_Keuze=""),"",AND(X1865&lt;&gt;"",F1865&lt;&gt;"Arbeidskosten"),X1865*VLOOKUP(F1865,Tb_ProjectKosten[],MATCH(Tb_ProjectKosten[[#Headers],[Forfait_Percentage]],Tb_ProjectKosten[#Headers],0),0),AND(F1865="Arbeidskosten",G1865&lt;&gt;""),IFERROR(X1865*VLOOKUP(G1865,Tb_KostenTypen[],3,0)*VLOOKUP(F1865,Tb_ProjectKosten[],MATCH(Tb_ProjectKosten[[#Headers],[Forfait_Percentage]],Tb_ProjectKosten[#Headers],0),0),""),X1865 &lt;=0,0),"")</f>
        <v/>
      </c>
      <c r="AB1865" s="314" t="str">
        <f t="shared" ca="1" si="119"/>
        <v/>
      </c>
      <c r="AC1865" s="322"/>
      <c r="AD1865" s="315"/>
      <c r="AE1865" s="32" t="str" cm="1">
        <f t="array" ref="AE1865">IFERROR(IF(INDEX(SubsidieTabel!$AD$1:$AG$12,MATCH($F1865,SubsidieTabel!$AD$1:$AD$12,0),IFERROR(MATCH(Methode_Keuze,SubsidieTabel!$AD$1:$AG$1,0),2))&lt;&gt;1=TRUE,"ja",""),"")</f>
        <v/>
      </c>
    </row>
    <row r="1866" spans="1:31" x14ac:dyDescent="0.25">
      <c r="A1866" s="316"/>
      <c r="B1866" s="317" t="str">
        <f>IF(A1866&lt;&gt;"",_xlfn.MAXIFS($B$1:B1865,$A$1:A1865,A1866)+1,"")</f>
        <v/>
      </c>
      <c r="C1866" s="296"/>
      <c r="D1866" s="296"/>
      <c r="E1866" s="296"/>
      <c r="F1866" s="296"/>
      <c r="G1866" s="326"/>
      <c r="H1866" s="324"/>
      <c r="I1866" s="325"/>
      <c r="J1866" s="325"/>
      <c r="K1866" s="318"/>
      <c r="L1866" s="318"/>
      <c r="M1866" s="319" t="str">
        <f>IFERROR(VLOOKUP(H1866,Lijsten!$H$1:$I$100,2,0),"")</f>
        <v/>
      </c>
      <c r="N1866" s="319" t="str">
        <f ca="1">IFERROR(IF(VLOOKUP(F1866,Kostentypen!$A$3:$E$21,3,0)=0,"",IF(OR(F1866="Arbeidskosten",F1866="Vergoeding"),VLOOKUP(G1866,Tb_KostenTypen[],2,0),VLOOKUP(F1866,Kostentypen!$A$3:$E$20,3,0))),"")</f>
        <v/>
      </c>
      <c r="O1866" s="320" t="str" cm="1">
        <f t="array" ref="O1866">_xlfn.IFNA(IF(INDEX(Tb_KostenOptiesDB[],MATCH($F1866,Tb_KostenOptiesDB[KostenOptie],0),IFERROR(MATCH(Methode_Keuze,Tb_KostenOptiesDB[#Headers],0),2))=1,_xlfn.SWITCH($N1866,"Uurtarief",IF(OR(AND(RIGHT($F1866,3)="IKS",VLOOKUP($M1866,DB_Loonkosten,2,0)="Ja"),AND(RIGHT($F1866,3)&lt;&gt;"IKS",VLOOKUP($M1866,DB_Loonkosten,2,0)="Nee")),IFERROR(VLOOKUP($M1866,DB_Loonkosten,24,0),""),0),"Vast tarief",IF(LEFT(F1866,8)="Bijdrage",VLOOKUP($F1866,Tb_KostenTypen[],MATCH(Lijsten!$P$1,Tb_KostenTypen[#Headers],0),0),VLOOKUP($G1866,Lijsten!L:P,MATCH(Lijsten!$P$1,Kop_Tarief_Vast,0),0))),""),"")</f>
        <v/>
      </c>
      <c r="P1866" s="320" t="str" cm="1">
        <f t="array" ref="P1866">_xlfn.IFNA(IF(INDEX(Tb_KostenOptiesDB[],MATCH($F1866,Tb_KostenOptiesDB[KostenOptie],0),IFERROR(MATCH(Methode_Keuze,Tb_KostenOptiesDB[#Headers],0),2))=1,_xlfn.SWITCH($N1866,"Uurtarief",IF(OR(AND(RIGHT($F1866,3)="IKS",VLOOKUP($M1866,DB_Loonkosten,2,0)="Ja"),AND(RIGHT($F1866,3)&lt;&gt;"IKS",VLOOKUP($M1866,DB_Loonkosten,2,0)="Nee")),IFERROR(VLOOKUP($M1866,DB_Loonkosten,25,0),""),0),"Vast tarief",IF(LEFT(F1866,8)="Bijdrage",VLOOKUP($F1866,Tb_KostenTypen[],MATCH(Lijsten!$P$1,Tb_KostenTypen[#Headers],0),0),VLOOKUP($G1866,Lijsten!L:P,MATCH(Lijsten!$P$1,Kop_Tarief_Vast,0),0))),""),"")</f>
        <v/>
      </c>
      <c r="Q1866" s="359"/>
      <c r="R1866" s="359"/>
      <c r="S1866" s="321"/>
      <c r="T1866" s="321"/>
      <c r="U1866" s="373" t="str">
        <f t="shared" si="116"/>
        <v/>
      </c>
      <c r="V1866" s="314" t="str">
        <f t="shared" si="117"/>
        <v/>
      </c>
      <c r="W1866" s="314" t="str" cm="1">
        <f t="array" aca="1" ref="W1866" ca="1">IFERROR(IF(AE1866&lt;&gt;"ja",_xlfn.IFNA(_xlfn.IFS(AND(O1866&lt;&gt;"",F1866&lt;&gt;"",RIGHT($N1866,6)="tarief",F1866="Vergoeding"),SUM(O1866)*FLOOR(SUM(Q1866),0.0001),AND(O1866&lt;&gt;"",F1866&lt;&gt;"",RIGHT($N1866,6)="tarief"),SUM(O1866)*FLOOR(SUM(Q1866),0.01),S1866&gt;0,IF(F1866&lt;&gt;"",FLOOR(SUM(S1866),0.01),"")),""),""),"")</f>
        <v/>
      </c>
      <c r="X1866" s="314" t="str" cm="1">
        <f t="array" aca="1" ref="X1866" ca="1">IFERROR(IF(AE1866&lt;&gt;"ja",_xlfn.IFNA(_xlfn.IFS(AND(P1866&lt;&gt;"",R1866&lt;&gt;"",RIGHT($N1866,6)="tarief",F1866="Vergoeding"),SUM(P1866)*FLOOR(SUM(R1866),0.0001),AND(P1866&lt;&gt;"",R1866&lt;&gt;"",RIGHT($N1866,6)="tarief"),P1866*FLOOR(R1866,0.01),T1866&gt;0,FLOOR(SUM(T1866),0.01)),""),""),"")</f>
        <v/>
      </c>
      <c r="Y1866" s="314" t="str">
        <f t="shared" ca="1" si="118"/>
        <v/>
      </c>
      <c r="Z1866" s="314" t="str" cm="1">
        <f t="array" aca="1" ref="Z1866" ca="1">IFERROR(_xlfn.IFS(OR(F1866="",LEFT(Methode_Keuze,4)="Geen",Methode_Keuze=""),"",AND(W1866&lt;&gt;"",F1866&lt;&gt;"Arbeidskosten"),W1866*VLOOKUP(F1866,Tb_ProjectKosten[],MATCH(Tb_ProjectKosten[[#Headers],[Forfait_Percentage]],Tb_ProjectKosten[#Headers],0),0),AND(F1866="Arbeidskosten",G1866&lt;&gt;""),IFERROR(W1866*VLOOKUP(G1866,Tb_KostenTypen[],3,0)*VLOOKUP(F1866,Tb_ProjectKosten[],MATCH(Tb_ProjectKosten[[#Headers],[Forfait_Percentage]],Tb_ProjectKosten[#Headers],0),0),""),W1866 &lt;=0,0),"")</f>
        <v/>
      </c>
      <c r="AA1866" s="314" t="str" cm="1">
        <f t="array" aca="1" ref="AA1866" ca="1">IFERROR(_xlfn.IFS(OR(F1866="",LEFT(Methode_Keuze,4)="Geen",Methode_Keuze=""),"",AND(X1866&lt;&gt;"",F1866&lt;&gt;"Arbeidskosten"),X1866*VLOOKUP(F1866,Tb_ProjectKosten[],MATCH(Tb_ProjectKosten[[#Headers],[Forfait_Percentage]],Tb_ProjectKosten[#Headers],0),0),AND(F1866="Arbeidskosten",G1866&lt;&gt;""),IFERROR(X1866*VLOOKUP(G1866,Tb_KostenTypen[],3,0)*VLOOKUP(F1866,Tb_ProjectKosten[],MATCH(Tb_ProjectKosten[[#Headers],[Forfait_Percentage]],Tb_ProjectKosten[#Headers],0),0),""),X1866 &lt;=0,0),"")</f>
        <v/>
      </c>
      <c r="AB1866" s="314" t="str">
        <f t="shared" ca="1" si="119"/>
        <v/>
      </c>
      <c r="AC1866" s="322"/>
      <c r="AD1866" s="315"/>
      <c r="AE1866" s="32" t="str" cm="1">
        <f t="array" ref="AE1866">IFERROR(IF(INDEX(SubsidieTabel!$AD$1:$AG$12,MATCH($F1866,SubsidieTabel!$AD$1:$AD$12,0),IFERROR(MATCH(Methode_Keuze,SubsidieTabel!$AD$1:$AG$1,0),2))&lt;&gt;1=TRUE,"ja",""),"")</f>
        <v/>
      </c>
    </row>
    <row r="1867" spans="1:31" x14ac:dyDescent="0.25">
      <c r="A1867" s="316"/>
      <c r="B1867" s="317" t="str">
        <f>IF(A1867&lt;&gt;"",_xlfn.MAXIFS($B$1:B1866,$A$1:A1866,A1867)+1,"")</f>
        <v/>
      </c>
      <c r="C1867" s="296"/>
      <c r="D1867" s="296"/>
      <c r="E1867" s="296"/>
      <c r="F1867" s="296"/>
      <c r="G1867" s="326"/>
      <c r="H1867" s="324"/>
      <c r="I1867" s="325"/>
      <c r="J1867" s="325"/>
      <c r="K1867" s="318"/>
      <c r="L1867" s="318"/>
      <c r="M1867" s="319" t="str">
        <f>IFERROR(VLOOKUP(H1867,Lijsten!$H$1:$I$100,2,0),"")</f>
        <v/>
      </c>
      <c r="N1867" s="319" t="str">
        <f ca="1">IFERROR(IF(VLOOKUP(F1867,Kostentypen!$A$3:$E$21,3,0)=0,"",IF(OR(F1867="Arbeidskosten",F1867="Vergoeding"),VLOOKUP(G1867,Tb_KostenTypen[],2,0),VLOOKUP(F1867,Kostentypen!$A$3:$E$20,3,0))),"")</f>
        <v/>
      </c>
      <c r="O1867" s="320" t="str" cm="1">
        <f t="array" ref="O1867">_xlfn.IFNA(IF(INDEX(Tb_KostenOptiesDB[],MATCH($F1867,Tb_KostenOptiesDB[KostenOptie],0),IFERROR(MATCH(Methode_Keuze,Tb_KostenOptiesDB[#Headers],0),2))=1,_xlfn.SWITCH($N1867,"Uurtarief",IF(OR(AND(RIGHT($F1867,3)="IKS",VLOOKUP($M1867,DB_Loonkosten,2,0)="Ja"),AND(RIGHT($F1867,3)&lt;&gt;"IKS",VLOOKUP($M1867,DB_Loonkosten,2,0)="Nee")),IFERROR(VLOOKUP($M1867,DB_Loonkosten,24,0),""),0),"Vast tarief",IF(LEFT(F1867,8)="Bijdrage",VLOOKUP($F1867,Tb_KostenTypen[],MATCH(Lijsten!$P$1,Tb_KostenTypen[#Headers],0),0),VLOOKUP($G1867,Lijsten!L:P,MATCH(Lijsten!$P$1,Kop_Tarief_Vast,0),0))),""),"")</f>
        <v/>
      </c>
      <c r="P1867" s="320" t="str" cm="1">
        <f t="array" ref="P1867">_xlfn.IFNA(IF(INDEX(Tb_KostenOptiesDB[],MATCH($F1867,Tb_KostenOptiesDB[KostenOptie],0),IFERROR(MATCH(Methode_Keuze,Tb_KostenOptiesDB[#Headers],0),2))=1,_xlfn.SWITCH($N1867,"Uurtarief",IF(OR(AND(RIGHT($F1867,3)="IKS",VLOOKUP($M1867,DB_Loonkosten,2,0)="Ja"),AND(RIGHT($F1867,3)&lt;&gt;"IKS",VLOOKUP($M1867,DB_Loonkosten,2,0)="Nee")),IFERROR(VLOOKUP($M1867,DB_Loonkosten,25,0),""),0),"Vast tarief",IF(LEFT(F1867,8)="Bijdrage",VLOOKUP($F1867,Tb_KostenTypen[],MATCH(Lijsten!$P$1,Tb_KostenTypen[#Headers],0),0),VLOOKUP($G1867,Lijsten!L:P,MATCH(Lijsten!$P$1,Kop_Tarief_Vast,0),0))),""),"")</f>
        <v/>
      </c>
      <c r="Q1867" s="359"/>
      <c r="R1867" s="359"/>
      <c r="S1867" s="321"/>
      <c r="T1867" s="321"/>
      <c r="U1867" s="373" t="str">
        <f t="shared" si="116"/>
        <v/>
      </c>
      <c r="V1867" s="314" t="str">
        <f t="shared" si="117"/>
        <v/>
      </c>
      <c r="W1867" s="314" t="str" cm="1">
        <f t="array" aca="1" ref="W1867" ca="1">IFERROR(IF(AE1867&lt;&gt;"ja",_xlfn.IFNA(_xlfn.IFS(AND(O1867&lt;&gt;"",F1867&lt;&gt;"",RIGHT($N1867,6)="tarief",F1867="Vergoeding"),SUM(O1867)*FLOOR(SUM(Q1867),0.0001),AND(O1867&lt;&gt;"",F1867&lt;&gt;"",RIGHT($N1867,6)="tarief"),SUM(O1867)*FLOOR(SUM(Q1867),0.01),S1867&gt;0,IF(F1867&lt;&gt;"",FLOOR(SUM(S1867),0.01),"")),""),""),"")</f>
        <v/>
      </c>
      <c r="X1867" s="314" t="str" cm="1">
        <f t="array" aca="1" ref="X1867" ca="1">IFERROR(IF(AE1867&lt;&gt;"ja",_xlfn.IFNA(_xlfn.IFS(AND(P1867&lt;&gt;"",R1867&lt;&gt;"",RIGHT($N1867,6)="tarief",F1867="Vergoeding"),SUM(P1867)*FLOOR(SUM(R1867),0.0001),AND(P1867&lt;&gt;"",R1867&lt;&gt;"",RIGHT($N1867,6)="tarief"),P1867*FLOOR(R1867,0.01),T1867&gt;0,FLOOR(SUM(T1867),0.01)),""),""),"")</f>
        <v/>
      </c>
      <c r="Y1867" s="314" t="str">
        <f t="shared" ca="1" si="118"/>
        <v/>
      </c>
      <c r="Z1867" s="314" t="str" cm="1">
        <f t="array" aca="1" ref="Z1867" ca="1">IFERROR(_xlfn.IFS(OR(F1867="",LEFT(Methode_Keuze,4)="Geen",Methode_Keuze=""),"",AND(W1867&lt;&gt;"",F1867&lt;&gt;"Arbeidskosten"),W1867*VLOOKUP(F1867,Tb_ProjectKosten[],MATCH(Tb_ProjectKosten[[#Headers],[Forfait_Percentage]],Tb_ProjectKosten[#Headers],0),0),AND(F1867="Arbeidskosten",G1867&lt;&gt;""),IFERROR(W1867*VLOOKUP(G1867,Tb_KostenTypen[],3,0)*VLOOKUP(F1867,Tb_ProjectKosten[],MATCH(Tb_ProjectKosten[[#Headers],[Forfait_Percentage]],Tb_ProjectKosten[#Headers],0),0),""),W1867 &lt;=0,0),"")</f>
        <v/>
      </c>
      <c r="AA1867" s="314" t="str" cm="1">
        <f t="array" aca="1" ref="AA1867" ca="1">IFERROR(_xlfn.IFS(OR(F1867="",LEFT(Methode_Keuze,4)="Geen",Methode_Keuze=""),"",AND(X1867&lt;&gt;"",F1867&lt;&gt;"Arbeidskosten"),X1867*VLOOKUP(F1867,Tb_ProjectKosten[],MATCH(Tb_ProjectKosten[[#Headers],[Forfait_Percentage]],Tb_ProjectKosten[#Headers],0),0),AND(F1867="Arbeidskosten",G1867&lt;&gt;""),IFERROR(X1867*VLOOKUP(G1867,Tb_KostenTypen[],3,0)*VLOOKUP(F1867,Tb_ProjectKosten[],MATCH(Tb_ProjectKosten[[#Headers],[Forfait_Percentage]],Tb_ProjectKosten[#Headers],0),0),""),X1867 &lt;=0,0),"")</f>
        <v/>
      </c>
      <c r="AB1867" s="314" t="str">
        <f t="shared" ca="1" si="119"/>
        <v/>
      </c>
      <c r="AC1867" s="322"/>
      <c r="AD1867" s="315"/>
      <c r="AE1867" s="32" t="str" cm="1">
        <f t="array" ref="AE1867">IFERROR(IF(INDEX(SubsidieTabel!$AD$1:$AG$12,MATCH($F1867,SubsidieTabel!$AD$1:$AD$12,0),IFERROR(MATCH(Methode_Keuze,SubsidieTabel!$AD$1:$AG$1,0),2))&lt;&gt;1=TRUE,"ja",""),"")</f>
        <v/>
      </c>
    </row>
    <row r="1868" spans="1:31" x14ac:dyDescent="0.25">
      <c r="A1868" s="316"/>
      <c r="B1868" s="317" t="str">
        <f>IF(A1868&lt;&gt;"",_xlfn.MAXIFS($B$1:B1867,$A$1:A1867,A1868)+1,"")</f>
        <v/>
      </c>
      <c r="C1868" s="296"/>
      <c r="D1868" s="296"/>
      <c r="E1868" s="296"/>
      <c r="F1868" s="296"/>
      <c r="G1868" s="326"/>
      <c r="H1868" s="324"/>
      <c r="I1868" s="325"/>
      <c r="J1868" s="325"/>
      <c r="K1868" s="318"/>
      <c r="L1868" s="318"/>
      <c r="M1868" s="319" t="str">
        <f>IFERROR(VLOOKUP(H1868,Lijsten!$H$1:$I$100,2,0),"")</f>
        <v/>
      </c>
      <c r="N1868" s="319" t="str">
        <f ca="1">IFERROR(IF(VLOOKUP(F1868,Kostentypen!$A$3:$E$21,3,0)=0,"",IF(OR(F1868="Arbeidskosten",F1868="Vergoeding"),VLOOKUP(G1868,Tb_KostenTypen[],2,0),VLOOKUP(F1868,Kostentypen!$A$3:$E$20,3,0))),"")</f>
        <v/>
      </c>
      <c r="O1868" s="320" t="str" cm="1">
        <f t="array" ref="O1868">_xlfn.IFNA(IF(INDEX(Tb_KostenOptiesDB[],MATCH($F1868,Tb_KostenOptiesDB[KostenOptie],0),IFERROR(MATCH(Methode_Keuze,Tb_KostenOptiesDB[#Headers],0),2))=1,_xlfn.SWITCH($N1868,"Uurtarief",IF(OR(AND(RIGHT($F1868,3)="IKS",VLOOKUP($M1868,DB_Loonkosten,2,0)="Ja"),AND(RIGHT($F1868,3)&lt;&gt;"IKS",VLOOKUP($M1868,DB_Loonkosten,2,0)="Nee")),IFERROR(VLOOKUP($M1868,DB_Loonkosten,24,0),""),0),"Vast tarief",IF(LEFT(F1868,8)="Bijdrage",VLOOKUP($F1868,Tb_KostenTypen[],MATCH(Lijsten!$P$1,Tb_KostenTypen[#Headers],0),0),VLOOKUP($G1868,Lijsten!L:P,MATCH(Lijsten!$P$1,Kop_Tarief_Vast,0),0))),""),"")</f>
        <v/>
      </c>
      <c r="P1868" s="320" t="str" cm="1">
        <f t="array" ref="P1868">_xlfn.IFNA(IF(INDEX(Tb_KostenOptiesDB[],MATCH($F1868,Tb_KostenOptiesDB[KostenOptie],0),IFERROR(MATCH(Methode_Keuze,Tb_KostenOptiesDB[#Headers],0),2))=1,_xlfn.SWITCH($N1868,"Uurtarief",IF(OR(AND(RIGHT($F1868,3)="IKS",VLOOKUP($M1868,DB_Loonkosten,2,0)="Ja"),AND(RIGHT($F1868,3)&lt;&gt;"IKS",VLOOKUP($M1868,DB_Loonkosten,2,0)="Nee")),IFERROR(VLOOKUP($M1868,DB_Loonkosten,25,0),""),0),"Vast tarief",IF(LEFT(F1868,8)="Bijdrage",VLOOKUP($F1868,Tb_KostenTypen[],MATCH(Lijsten!$P$1,Tb_KostenTypen[#Headers],0),0),VLOOKUP($G1868,Lijsten!L:P,MATCH(Lijsten!$P$1,Kop_Tarief_Vast,0),0))),""),"")</f>
        <v/>
      </c>
      <c r="Q1868" s="359"/>
      <c r="R1868" s="359"/>
      <c r="S1868" s="321"/>
      <c r="T1868" s="321"/>
      <c r="U1868" s="373" t="str">
        <f t="shared" si="116"/>
        <v/>
      </c>
      <c r="V1868" s="314" t="str">
        <f t="shared" si="117"/>
        <v/>
      </c>
      <c r="W1868" s="314" t="str" cm="1">
        <f t="array" aca="1" ref="W1868" ca="1">IFERROR(IF(AE1868&lt;&gt;"ja",_xlfn.IFNA(_xlfn.IFS(AND(O1868&lt;&gt;"",F1868&lt;&gt;"",RIGHT($N1868,6)="tarief",F1868="Vergoeding"),SUM(O1868)*FLOOR(SUM(Q1868),0.0001),AND(O1868&lt;&gt;"",F1868&lt;&gt;"",RIGHT($N1868,6)="tarief"),SUM(O1868)*FLOOR(SUM(Q1868),0.01),S1868&gt;0,IF(F1868&lt;&gt;"",FLOOR(SUM(S1868),0.01),"")),""),""),"")</f>
        <v/>
      </c>
      <c r="X1868" s="314" t="str" cm="1">
        <f t="array" aca="1" ref="X1868" ca="1">IFERROR(IF(AE1868&lt;&gt;"ja",_xlfn.IFNA(_xlfn.IFS(AND(P1868&lt;&gt;"",R1868&lt;&gt;"",RIGHT($N1868,6)="tarief",F1868="Vergoeding"),SUM(P1868)*FLOOR(SUM(R1868),0.0001),AND(P1868&lt;&gt;"",R1868&lt;&gt;"",RIGHT($N1868,6)="tarief"),P1868*FLOOR(R1868,0.01),T1868&gt;0,FLOOR(SUM(T1868),0.01)),""),""),"")</f>
        <v/>
      </c>
      <c r="Y1868" s="314" t="str">
        <f t="shared" ca="1" si="118"/>
        <v/>
      </c>
      <c r="Z1868" s="314" t="str" cm="1">
        <f t="array" aca="1" ref="Z1868" ca="1">IFERROR(_xlfn.IFS(OR(F1868="",LEFT(Methode_Keuze,4)="Geen",Methode_Keuze=""),"",AND(W1868&lt;&gt;"",F1868&lt;&gt;"Arbeidskosten"),W1868*VLOOKUP(F1868,Tb_ProjectKosten[],MATCH(Tb_ProjectKosten[[#Headers],[Forfait_Percentage]],Tb_ProjectKosten[#Headers],0),0),AND(F1868="Arbeidskosten",G1868&lt;&gt;""),IFERROR(W1868*VLOOKUP(G1868,Tb_KostenTypen[],3,0)*VLOOKUP(F1868,Tb_ProjectKosten[],MATCH(Tb_ProjectKosten[[#Headers],[Forfait_Percentage]],Tb_ProjectKosten[#Headers],0),0),""),W1868 &lt;=0,0),"")</f>
        <v/>
      </c>
      <c r="AA1868" s="314" t="str" cm="1">
        <f t="array" aca="1" ref="AA1868" ca="1">IFERROR(_xlfn.IFS(OR(F1868="",LEFT(Methode_Keuze,4)="Geen",Methode_Keuze=""),"",AND(X1868&lt;&gt;"",F1868&lt;&gt;"Arbeidskosten"),X1868*VLOOKUP(F1868,Tb_ProjectKosten[],MATCH(Tb_ProjectKosten[[#Headers],[Forfait_Percentage]],Tb_ProjectKosten[#Headers],0),0),AND(F1868="Arbeidskosten",G1868&lt;&gt;""),IFERROR(X1868*VLOOKUP(G1868,Tb_KostenTypen[],3,0)*VLOOKUP(F1868,Tb_ProjectKosten[],MATCH(Tb_ProjectKosten[[#Headers],[Forfait_Percentage]],Tb_ProjectKosten[#Headers],0),0),""),X1868 &lt;=0,0),"")</f>
        <v/>
      </c>
      <c r="AB1868" s="314" t="str">
        <f t="shared" ca="1" si="119"/>
        <v/>
      </c>
      <c r="AC1868" s="322"/>
      <c r="AD1868" s="315"/>
      <c r="AE1868" s="32" t="str" cm="1">
        <f t="array" ref="AE1868">IFERROR(IF(INDEX(SubsidieTabel!$AD$1:$AG$12,MATCH($F1868,SubsidieTabel!$AD$1:$AD$12,0),IFERROR(MATCH(Methode_Keuze,SubsidieTabel!$AD$1:$AG$1,0),2))&lt;&gt;1=TRUE,"ja",""),"")</f>
        <v/>
      </c>
    </row>
    <row r="1869" spans="1:31" x14ac:dyDescent="0.25">
      <c r="A1869" s="316"/>
      <c r="B1869" s="317" t="str">
        <f>IF(A1869&lt;&gt;"",_xlfn.MAXIFS($B$1:B1868,$A$1:A1868,A1869)+1,"")</f>
        <v/>
      </c>
      <c r="C1869" s="296"/>
      <c r="D1869" s="296"/>
      <c r="E1869" s="296"/>
      <c r="F1869" s="296"/>
      <c r="G1869" s="326"/>
      <c r="H1869" s="324"/>
      <c r="I1869" s="325"/>
      <c r="J1869" s="325"/>
      <c r="K1869" s="318"/>
      <c r="L1869" s="318"/>
      <c r="M1869" s="319" t="str">
        <f>IFERROR(VLOOKUP(H1869,Lijsten!$H$1:$I$100,2,0),"")</f>
        <v/>
      </c>
      <c r="N1869" s="319" t="str">
        <f ca="1">IFERROR(IF(VLOOKUP(F1869,Kostentypen!$A$3:$E$21,3,0)=0,"",IF(OR(F1869="Arbeidskosten",F1869="Vergoeding"),VLOOKUP(G1869,Tb_KostenTypen[],2,0),VLOOKUP(F1869,Kostentypen!$A$3:$E$20,3,0))),"")</f>
        <v/>
      </c>
      <c r="O1869" s="320" t="str" cm="1">
        <f t="array" ref="O1869">_xlfn.IFNA(IF(INDEX(Tb_KostenOptiesDB[],MATCH($F1869,Tb_KostenOptiesDB[KostenOptie],0),IFERROR(MATCH(Methode_Keuze,Tb_KostenOptiesDB[#Headers],0),2))=1,_xlfn.SWITCH($N1869,"Uurtarief",IF(OR(AND(RIGHT($F1869,3)="IKS",VLOOKUP($M1869,DB_Loonkosten,2,0)="Ja"),AND(RIGHT($F1869,3)&lt;&gt;"IKS",VLOOKUP($M1869,DB_Loonkosten,2,0)="Nee")),IFERROR(VLOOKUP($M1869,DB_Loonkosten,24,0),""),0),"Vast tarief",IF(LEFT(F1869,8)="Bijdrage",VLOOKUP($F1869,Tb_KostenTypen[],MATCH(Lijsten!$P$1,Tb_KostenTypen[#Headers],0),0),VLOOKUP($G1869,Lijsten!L:P,MATCH(Lijsten!$P$1,Kop_Tarief_Vast,0),0))),""),"")</f>
        <v/>
      </c>
      <c r="P1869" s="320" t="str" cm="1">
        <f t="array" ref="P1869">_xlfn.IFNA(IF(INDEX(Tb_KostenOptiesDB[],MATCH($F1869,Tb_KostenOptiesDB[KostenOptie],0),IFERROR(MATCH(Methode_Keuze,Tb_KostenOptiesDB[#Headers],0),2))=1,_xlfn.SWITCH($N1869,"Uurtarief",IF(OR(AND(RIGHT($F1869,3)="IKS",VLOOKUP($M1869,DB_Loonkosten,2,0)="Ja"),AND(RIGHT($F1869,3)&lt;&gt;"IKS",VLOOKUP($M1869,DB_Loonkosten,2,0)="Nee")),IFERROR(VLOOKUP($M1869,DB_Loonkosten,25,0),""),0),"Vast tarief",IF(LEFT(F1869,8)="Bijdrage",VLOOKUP($F1869,Tb_KostenTypen[],MATCH(Lijsten!$P$1,Tb_KostenTypen[#Headers],0),0),VLOOKUP($G1869,Lijsten!L:P,MATCH(Lijsten!$P$1,Kop_Tarief_Vast,0),0))),""),"")</f>
        <v/>
      </c>
      <c r="Q1869" s="359"/>
      <c r="R1869" s="359"/>
      <c r="S1869" s="321"/>
      <c r="T1869" s="321"/>
      <c r="U1869" s="373" t="str">
        <f t="shared" si="116"/>
        <v/>
      </c>
      <c r="V1869" s="314" t="str">
        <f t="shared" si="117"/>
        <v/>
      </c>
      <c r="W1869" s="314" t="str" cm="1">
        <f t="array" aca="1" ref="W1869" ca="1">IFERROR(IF(AE1869&lt;&gt;"ja",_xlfn.IFNA(_xlfn.IFS(AND(O1869&lt;&gt;"",F1869&lt;&gt;"",RIGHT($N1869,6)="tarief",F1869="Vergoeding"),SUM(O1869)*FLOOR(SUM(Q1869),0.0001),AND(O1869&lt;&gt;"",F1869&lt;&gt;"",RIGHT($N1869,6)="tarief"),SUM(O1869)*FLOOR(SUM(Q1869),0.01),S1869&gt;0,IF(F1869&lt;&gt;"",FLOOR(SUM(S1869),0.01),"")),""),""),"")</f>
        <v/>
      </c>
      <c r="X1869" s="314" t="str" cm="1">
        <f t="array" aca="1" ref="X1869" ca="1">IFERROR(IF(AE1869&lt;&gt;"ja",_xlfn.IFNA(_xlfn.IFS(AND(P1869&lt;&gt;"",R1869&lt;&gt;"",RIGHT($N1869,6)="tarief",F1869="Vergoeding"),SUM(P1869)*FLOOR(SUM(R1869),0.0001),AND(P1869&lt;&gt;"",R1869&lt;&gt;"",RIGHT($N1869,6)="tarief"),P1869*FLOOR(R1869,0.01),T1869&gt;0,FLOOR(SUM(T1869),0.01)),""),""),"")</f>
        <v/>
      </c>
      <c r="Y1869" s="314" t="str">
        <f t="shared" ca="1" si="118"/>
        <v/>
      </c>
      <c r="Z1869" s="314" t="str" cm="1">
        <f t="array" aca="1" ref="Z1869" ca="1">IFERROR(_xlfn.IFS(OR(F1869="",LEFT(Methode_Keuze,4)="Geen",Methode_Keuze=""),"",AND(W1869&lt;&gt;"",F1869&lt;&gt;"Arbeidskosten"),W1869*VLOOKUP(F1869,Tb_ProjectKosten[],MATCH(Tb_ProjectKosten[[#Headers],[Forfait_Percentage]],Tb_ProjectKosten[#Headers],0),0),AND(F1869="Arbeidskosten",G1869&lt;&gt;""),IFERROR(W1869*VLOOKUP(G1869,Tb_KostenTypen[],3,0)*VLOOKUP(F1869,Tb_ProjectKosten[],MATCH(Tb_ProjectKosten[[#Headers],[Forfait_Percentage]],Tb_ProjectKosten[#Headers],0),0),""),W1869 &lt;=0,0),"")</f>
        <v/>
      </c>
      <c r="AA1869" s="314" t="str" cm="1">
        <f t="array" aca="1" ref="AA1869" ca="1">IFERROR(_xlfn.IFS(OR(F1869="",LEFT(Methode_Keuze,4)="Geen",Methode_Keuze=""),"",AND(X1869&lt;&gt;"",F1869&lt;&gt;"Arbeidskosten"),X1869*VLOOKUP(F1869,Tb_ProjectKosten[],MATCH(Tb_ProjectKosten[[#Headers],[Forfait_Percentage]],Tb_ProjectKosten[#Headers],0),0),AND(F1869="Arbeidskosten",G1869&lt;&gt;""),IFERROR(X1869*VLOOKUP(G1869,Tb_KostenTypen[],3,0)*VLOOKUP(F1869,Tb_ProjectKosten[],MATCH(Tb_ProjectKosten[[#Headers],[Forfait_Percentage]],Tb_ProjectKosten[#Headers],0),0),""),X1869 &lt;=0,0),"")</f>
        <v/>
      </c>
      <c r="AB1869" s="314" t="str">
        <f t="shared" ca="1" si="119"/>
        <v/>
      </c>
      <c r="AC1869" s="322"/>
      <c r="AD1869" s="315"/>
      <c r="AE1869" s="32" t="str" cm="1">
        <f t="array" ref="AE1869">IFERROR(IF(INDEX(SubsidieTabel!$AD$1:$AG$12,MATCH($F1869,SubsidieTabel!$AD$1:$AD$12,0),IFERROR(MATCH(Methode_Keuze,SubsidieTabel!$AD$1:$AG$1,0),2))&lt;&gt;1=TRUE,"ja",""),"")</f>
        <v/>
      </c>
    </row>
    <row r="1870" spans="1:31" x14ac:dyDescent="0.25">
      <c r="A1870" s="316"/>
      <c r="B1870" s="317" t="str">
        <f>IF(A1870&lt;&gt;"",_xlfn.MAXIFS($B$1:B1869,$A$1:A1869,A1870)+1,"")</f>
        <v/>
      </c>
      <c r="C1870" s="296"/>
      <c r="D1870" s="296"/>
      <c r="E1870" s="296"/>
      <c r="F1870" s="296"/>
      <c r="G1870" s="326"/>
      <c r="H1870" s="324"/>
      <c r="I1870" s="325"/>
      <c r="J1870" s="325"/>
      <c r="K1870" s="318"/>
      <c r="L1870" s="318"/>
      <c r="M1870" s="319" t="str">
        <f>IFERROR(VLOOKUP(H1870,Lijsten!$H$1:$I$100,2,0),"")</f>
        <v/>
      </c>
      <c r="N1870" s="319" t="str">
        <f ca="1">IFERROR(IF(VLOOKUP(F1870,Kostentypen!$A$3:$E$21,3,0)=0,"",IF(OR(F1870="Arbeidskosten",F1870="Vergoeding"),VLOOKUP(G1870,Tb_KostenTypen[],2,0),VLOOKUP(F1870,Kostentypen!$A$3:$E$20,3,0))),"")</f>
        <v/>
      </c>
      <c r="O1870" s="320" t="str" cm="1">
        <f t="array" ref="O1870">_xlfn.IFNA(IF(INDEX(Tb_KostenOptiesDB[],MATCH($F1870,Tb_KostenOptiesDB[KostenOptie],0),IFERROR(MATCH(Methode_Keuze,Tb_KostenOptiesDB[#Headers],0),2))=1,_xlfn.SWITCH($N1870,"Uurtarief",IF(OR(AND(RIGHT($F1870,3)="IKS",VLOOKUP($M1870,DB_Loonkosten,2,0)="Ja"),AND(RIGHT($F1870,3)&lt;&gt;"IKS",VLOOKUP($M1870,DB_Loonkosten,2,0)="Nee")),IFERROR(VLOOKUP($M1870,DB_Loonkosten,24,0),""),0),"Vast tarief",IF(LEFT(F1870,8)="Bijdrage",VLOOKUP($F1870,Tb_KostenTypen[],MATCH(Lijsten!$P$1,Tb_KostenTypen[#Headers],0),0),VLOOKUP($G1870,Lijsten!L:P,MATCH(Lijsten!$P$1,Kop_Tarief_Vast,0),0))),""),"")</f>
        <v/>
      </c>
      <c r="P1870" s="320" t="str" cm="1">
        <f t="array" ref="P1870">_xlfn.IFNA(IF(INDEX(Tb_KostenOptiesDB[],MATCH($F1870,Tb_KostenOptiesDB[KostenOptie],0),IFERROR(MATCH(Methode_Keuze,Tb_KostenOptiesDB[#Headers],0),2))=1,_xlfn.SWITCH($N1870,"Uurtarief",IF(OR(AND(RIGHT($F1870,3)="IKS",VLOOKUP($M1870,DB_Loonkosten,2,0)="Ja"),AND(RIGHT($F1870,3)&lt;&gt;"IKS",VLOOKUP($M1870,DB_Loonkosten,2,0)="Nee")),IFERROR(VLOOKUP($M1870,DB_Loonkosten,25,0),""),0),"Vast tarief",IF(LEFT(F1870,8)="Bijdrage",VLOOKUP($F1870,Tb_KostenTypen[],MATCH(Lijsten!$P$1,Tb_KostenTypen[#Headers],0),0),VLOOKUP($G1870,Lijsten!L:P,MATCH(Lijsten!$P$1,Kop_Tarief_Vast,0),0))),""),"")</f>
        <v/>
      </c>
      <c r="Q1870" s="359"/>
      <c r="R1870" s="359"/>
      <c r="S1870" s="321"/>
      <c r="T1870" s="321"/>
      <c r="U1870" s="373" t="str">
        <f t="shared" si="116"/>
        <v/>
      </c>
      <c r="V1870" s="314" t="str">
        <f t="shared" si="117"/>
        <v/>
      </c>
      <c r="W1870" s="314" t="str" cm="1">
        <f t="array" aca="1" ref="W1870" ca="1">IFERROR(IF(AE1870&lt;&gt;"ja",_xlfn.IFNA(_xlfn.IFS(AND(O1870&lt;&gt;"",F1870&lt;&gt;"",RIGHT($N1870,6)="tarief",F1870="Vergoeding"),SUM(O1870)*FLOOR(SUM(Q1870),0.0001),AND(O1870&lt;&gt;"",F1870&lt;&gt;"",RIGHT($N1870,6)="tarief"),SUM(O1870)*FLOOR(SUM(Q1870),0.01),S1870&gt;0,IF(F1870&lt;&gt;"",FLOOR(SUM(S1870),0.01),"")),""),""),"")</f>
        <v/>
      </c>
      <c r="X1870" s="314" t="str" cm="1">
        <f t="array" aca="1" ref="X1870" ca="1">IFERROR(IF(AE1870&lt;&gt;"ja",_xlfn.IFNA(_xlfn.IFS(AND(P1870&lt;&gt;"",R1870&lt;&gt;"",RIGHT($N1870,6)="tarief",F1870="Vergoeding"),SUM(P1870)*FLOOR(SUM(R1870),0.0001),AND(P1870&lt;&gt;"",R1870&lt;&gt;"",RIGHT($N1870,6)="tarief"),P1870*FLOOR(R1870,0.01),T1870&gt;0,FLOOR(SUM(T1870),0.01)),""),""),"")</f>
        <v/>
      </c>
      <c r="Y1870" s="314" t="str">
        <f t="shared" ca="1" si="118"/>
        <v/>
      </c>
      <c r="Z1870" s="314" t="str" cm="1">
        <f t="array" aca="1" ref="Z1870" ca="1">IFERROR(_xlfn.IFS(OR(F1870="",LEFT(Methode_Keuze,4)="Geen",Methode_Keuze=""),"",AND(W1870&lt;&gt;"",F1870&lt;&gt;"Arbeidskosten"),W1870*VLOOKUP(F1870,Tb_ProjectKosten[],MATCH(Tb_ProjectKosten[[#Headers],[Forfait_Percentage]],Tb_ProjectKosten[#Headers],0),0),AND(F1870="Arbeidskosten",G1870&lt;&gt;""),IFERROR(W1870*VLOOKUP(G1870,Tb_KostenTypen[],3,0)*VLOOKUP(F1870,Tb_ProjectKosten[],MATCH(Tb_ProjectKosten[[#Headers],[Forfait_Percentage]],Tb_ProjectKosten[#Headers],0),0),""),W1870 &lt;=0,0),"")</f>
        <v/>
      </c>
      <c r="AA1870" s="314" t="str" cm="1">
        <f t="array" aca="1" ref="AA1870" ca="1">IFERROR(_xlfn.IFS(OR(F1870="",LEFT(Methode_Keuze,4)="Geen",Methode_Keuze=""),"",AND(X1870&lt;&gt;"",F1870&lt;&gt;"Arbeidskosten"),X1870*VLOOKUP(F1870,Tb_ProjectKosten[],MATCH(Tb_ProjectKosten[[#Headers],[Forfait_Percentage]],Tb_ProjectKosten[#Headers],0),0),AND(F1870="Arbeidskosten",G1870&lt;&gt;""),IFERROR(X1870*VLOOKUP(G1870,Tb_KostenTypen[],3,0)*VLOOKUP(F1870,Tb_ProjectKosten[],MATCH(Tb_ProjectKosten[[#Headers],[Forfait_Percentage]],Tb_ProjectKosten[#Headers],0),0),""),X1870 &lt;=0,0),"")</f>
        <v/>
      </c>
      <c r="AB1870" s="314" t="str">
        <f t="shared" ca="1" si="119"/>
        <v/>
      </c>
      <c r="AC1870" s="322"/>
      <c r="AD1870" s="315"/>
      <c r="AE1870" s="32" t="str" cm="1">
        <f t="array" ref="AE1870">IFERROR(IF(INDEX(SubsidieTabel!$AD$1:$AG$12,MATCH($F1870,SubsidieTabel!$AD$1:$AD$12,0),IFERROR(MATCH(Methode_Keuze,SubsidieTabel!$AD$1:$AG$1,0),2))&lt;&gt;1=TRUE,"ja",""),"")</f>
        <v/>
      </c>
    </row>
    <row r="1871" spans="1:31" x14ac:dyDescent="0.25">
      <c r="A1871" s="316"/>
      <c r="B1871" s="317" t="str">
        <f>IF(A1871&lt;&gt;"",_xlfn.MAXIFS($B$1:B1870,$A$1:A1870,A1871)+1,"")</f>
        <v/>
      </c>
      <c r="C1871" s="296"/>
      <c r="D1871" s="296"/>
      <c r="E1871" s="296"/>
      <c r="F1871" s="296"/>
      <c r="G1871" s="326"/>
      <c r="H1871" s="324"/>
      <c r="I1871" s="325"/>
      <c r="J1871" s="325"/>
      <c r="K1871" s="318"/>
      <c r="L1871" s="318"/>
      <c r="M1871" s="319" t="str">
        <f>IFERROR(VLOOKUP(H1871,Lijsten!$H$1:$I$100,2,0),"")</f>
        <v/>
      </c>
      <c r="N1871" s="319" t="str">
        <f ca="1">IFERROR(IF(VLOOKUP(F1871,Kostentypen!$A$3:$E$21,3,0)=0,"",IF(OR(F1871="Arbeidskosten",F1871="Vergoeding"),VLOOKUP(G1871,Tb_KostenTypen[],2,0),VLOOKUP(F1871,Kostentypen!$A$3:$E$20,3,0))),"")</f>
        <v/>
      </c>
      <c r="O1871" s="320" t="str" cm="1">
        <f t="array" ref="O1871">_xlfn.IFNA(IF(INDEX(Tb_KostenOptiesDB[],MATCH($F1871,Tb_KostenOptiesDB[KostenOptie],0),IFERROR(MATCH(Methode_Keuze,Tb_KostenOptiesDB[#Headers],0),2))=1,_xlfn.SWITCH($N1871,"Uurtarief",IF(OR(AND(RIGHT($F1871,3)="IKS",VLOOKUP($M1871,DB_Loonkosten,2,0)="Ja"),AND(RIGHT($F1871,3)&lt;&gt;"IKS",VLOOKUP($M1871,DB_Loonkosten,2,0)="Nee")),IFERROR(VLOOKUP($M1871,DB_Loonkosten,24,0),""),0),"Vast tarief",IF(LEFT(F1871,8)="Bijdrage",VLOOKUP($F1871,Tb_KostenTypen[],MATCH(Lijsten!$P$1,Tb_KostenTypen[#Headers],0),0),VLOOKUP($G1871,Lijsten!L:P,MATCH(Lijsten!$P$1,Kop_Tarief_Vast,0),0))),""),"")</f>
        <v/>
      </c>
      <c r="P1871" s="320" t="str" cm="1">
        <f t="array" ref="P1871">_xlfn.IFNA(IF(INDEX(Tb_KostenOptiesDB[],MATCH($F1871,Tb_KostenOptiesDB[KostenOptie],0),IFERROR(MATCH(Methode_Keuze,Tb_KostenOptiesDB[#Headers],0),2))=1,_xlfn.SWITCH($N1871,"Uurtarief",IF(OR(AND(RIGHT($F1871,3)="IKS",VLOOKUP($M1871,DB_Loonkosten,2,0)="Ja"),AND(RIGHT($F1871,3)&lt;&gt;"IKS",VLOOKUP($M1871,DB_Loonkosten,2,0)="Nee")),IFERROR(VLOOKUP($M1871,DB_Loonkosten,25,0),""),0),"Vast tarief",IF(LEFT(F1871,8)="Bijdrage",VLOOKUP($F1871,Tb_KostenTypen[],MATCH(Lijsten!$P$1,Tb_KostenTypen[#Headers],0),0),VLOOKUP($G1871,Lijsten!L:P,MATCH(Lijsten!$P$1,Kop_Tarief_Vast,0),0))),""),"")</f>
        <v/>
      </c>
      <c r="Q1871" s="359"/>
      <c r="R1871" s="359"/>
      <c r="S1871" s="321"/>
      <c r="T1871" s="321"/>
      <c r="U1871" s="373" t="str">
        <f t="shared" si="116"/>
        <v/>
      </c>
      <c r="V1871" s="314" t="str">
        <f t="shared" si="117"/>
        <v/>
      </c>
      <c r="W1871" s="314" t="str" cm="1">
        <f t="array" aca="1" ref="W1871" ca="1">IFERROR(IF(AE1871&lt;&gt;"ja",_xlfn.IFNA(_xlfn.IFS(AND(O1871&lt;&gt;"",F1871&lt;&gt;"",RIGHT($N1871,6)="tarief",F1871="Vergoeding"),SUM(O1871)*FLOOR(SUM(Q1871),0.0001),AND(O1871&lt;&gt;"",F1871&lt;&gt;"",RIGHT($N1871,6)="tarief"),SUM(O1871)*FLOOR(SUM(Q1871),0.01),S1871&gt;0,IF(F1871&lt;&gt;"",FLOOR(SUM(S1871),0.01),"")),""),""),"")</f>
        <v/>
      </c>
      <c r="X1871" s="314" t="str" cm="1">
        <f t="array" aca="1" ref="X1871" ca="1">IFERROR(IF(AE1871&lt;&gt;"ja",_xlfn.IFNA(_xlfn.IFS(AND(P1871&lt;&gt;"",R1871&lt;&gt;"",RIGHT($N1871,6)="tarief",F1871="Vergoeding"),SUM(P1871)*FLOOR(SUM(R1871),0.0001),AND(P1871&lt;&gt;"",R1871&lt;&gt;"",RIGHT($N1871,6)="tarief"),P1871*FLOOR(R1871,0.01),T1871&gt;0,FLOOR(SUM(T1871),0.01)),""),""),"")</f>
        <v/>
      </c>
      <c r="Y1871" s="314" t="str">
        <f t="shared" ca="1" si="118"/>
        <v/>
      </c>
      <c r="Z1871" s="314" t="str" cm="1">
        <f t="array" aca="1" ref="Z1871" ca="1">IFERROR(_xlfn.IFS(OR(F1871="",LEFT(Methode_Keuze,4)="Geen",Methode_Keuze=""),"",AND(W1871&lt;&gt;"",F1871&lt;&gt;"Arbeidskosten"),W1871*VLOOKUP(F1871,Tb_ProjectKosten[],MATCH(Tb_ProjectKosten[[#Headers],[Forfait_Percentage]],Tb_ProjectKosten[#Headers],0),0),AND(F1871="Arbeidskosten",G1871&lt;&gt;""),IFERROR(W1871*VLOOKUP(G1871,Tb_KostenTypen[],3,0)*VLOOKUP(F1871,Tb_ProjectKosten[],MATCH(Tb_ProjectKosten[[#Headers],[Forfait_Percentage]],Tb_ProjectKosten[#Headers],0),0),""),W1871 &lt;=0,0),"")</f>
        <v/>
      </c>
      <c r="AA1871" s="314" t="str" cm="1">
        <f t="array" aca="1" ref="AA1871" ca="1">IFERROR(_xlfn.IFS(OR(F1871="",LEFT(Methode_Keuze,4)="Geen",Methode_Keuze=""),"",AND(X1871&lt;&gt;"",F1871&lt;&gt;"Arbeidskosten"),X1871*VLOOKUP(F1871,Tb_ProjectKosten[],MATCH(Tb_ProjectKosten[[#Headers],[Forfait_Percentage]],Tb_ProjectKosten[#Headers],0),0),AND(F1871="Arbeidskosten",G1871&lt;&gt;""),IFERROR(X1871*VLOOKUP(G1871,Tb_KostenTypen[],3,0)*VLOOKUP(F1871,Tb_ProjectKosten[],MATCH(Tb_ProjectKosten[[#Headers],[Forfait_Percentage]],Tb_ProjectKosten[#Headers],0),0),""),X1871 &lt;=0,0),"")</f>
        <v/>
      </c>
      <c r="AB1871" s="314" t="str">
        <f t="shared" ca="1" si="119"/>
        <v/>
      </c>
      <c r="AC1871" s="322"/>
      <c r="AD1871" s="315"/>
      <c r="AE1871" s="32" t="str" cm="1">
        <f t="array" ref="AE1871">IFERROR(IF(INDEX(SubsidieTabel!$AD$1:$AG$12,MATCH($F1871,SubsidieTabel!$AD$1:$AD$12,0),IFERROR(MATCH(Methode_Keuze,SubsidieTabel!$AD$1:$AG$1,0),2))&lt;&gt;1=TRUE,"ja",""),"")</f>
        <v/>
      </c>
    </row>
    <row r="1872" spans="1:31" x14ac:dyDescent="0.25">
      <c r="A1872" s="316"/>
      <c r="B1872" s="317" t="str">
        <f>IF(A1872&lt;&gt;"",_xlfn.MAXIFS($B$1:B1871,$A$1:A1871,A1872)+1,"")</f>
        <v/>
      </c>
      <c r="C1872" s="296"/>
      <c r="D1872" s="296"/>
      <c r="E1872" s="296"/>
      <c r="F1872" s="296"/>
      <c r="G1872" s="326"/>
      <c r="H1872" s="324"/>
      <c r="I1872" s="325"/>
      <c r="J1872" s="325"/>
      <c r="K1872" s="318"/>
      <c r="L1872" s="318"/>
      <c r="M1872" s="319" t="str">
        <f>IFERROR(VLOOKUP(H1872,Lijsten!$H$1:$I$100,2,0),"")</f>
        <v/>
      </c>
      <c r="N1872" s="319" t="str">
        <f ca="1">IFERROR(IF(VLOOKUP(F1872,Kostentypen!$A$3:$E$21,3,0)=0,"",IF(OR(F1872="Arbeidskosten",F1872="Vergoeding"),VLOOKUP(G1872,Tb_KostenTypen[],2,0),VLOOKUP(F1872,Kostentypen!$A$3:$E$20,3,0))),"")</f>
        <v/>
      </c>
      <c r="O1872" s="320" t="str" cm="1">
        <f t="array" ref="O1872">_xlfn.IFNA(IF(INDEX(Tb_KostenOptiesDB[],MATCH($F1872,Tb_KostenOptiesDB[KostenOptie],0),IFERROR(MATCH(Methode_Keuze,Tb_KostenOptiesDB[#Headers],0),2))=1,_xlfn.SWITCH($N1872,"Uurtarief",IF(OR(AND(RIGHT($F1872,3)="IKS",VLOOKUP($M1872,DB_Loonkosten,2,0)="Ja"),AND(RIGHT($F1872,3)&lt;&gt;"IKS",VLOOKUP($M1872,DB_Loonkosten,2,0)="Nee")),IFERROR(VLOOKUP($M1872,DB_Loonkosten,24,0),""),0),"Vast tarief",IF(LEFT(F1872,8)="Bijdrage",VLOOKUP($F1872,Tb_KostenTypen[],MATCH(Lijsten!$P$1,Tb_KostenTypen[#Headers],0),0),VLOOKUP($G1872,Lijsten!L:P,MATCH(Lijsten!$P$1,Kop_Tarief_Vast,0),0))),""),"")</f>
        <v/>
      </c>
      <c r="P1872" s="320" t="str" cm="1">
        <f t="array" ref="P1872">_xlfn.IFNA(IF(INDEX(Tb_KostenOptiesDB[],MATCH($F1872,Tb_KostenOptiesDB[KostenOptie],0),IFERROR(MATCH(Methode_Keuze,Tb_KostenOptiesDB[#Headers],0),2))=1,_xlfn.SWITCH($N1872,"Uurtarief",IF(OR(AND(RIGHT($F1872,3)="IKS",VLOOKUP($M1872,DB_Loonkosten,2,0)="Ja"),AND(RIGHT($F1872,3)&lt;&gt;"IKS",VLOOKUP($M1872,DB_Loonkosten,2,0)="Nee")),IFERROR(VLOOKUP($M1872,DB_Loonkosten,25,0),""),0),"Vast tarief",IF(LEFT(F1872,8)="Bijdrage",VLOOKUP($F1872,Tb_KostenTypen[],MATCH(Lijsten!$P$1,Tb_KostenTypen[#Headers],0),0),VLOOKUP($G1872,Lijsten!L:P,MATCH(Lijsten!$P$1,Kop_Tarief_Vast,0),0))),""),"")</f>
        <v/>
      </c>
      <c r="Q1872" s="359"/>
      <c r="R1872" s="359"/>
      <c r="S1872" s="321"/>
      <c r="T1872" s="321"/>
      <c r="U1872" s="373" t="str">
        <f t="shared" si="116"/>
        <v/>
      </c>
      <c r="V1872" s="314" t="str">
        <f t="shared" si="117"/>
        <v/>
      </c>
      <c r="W1872" s="314" t="str" cm="1">
        <f t="array" aca="1" ref="W1872" ca="1">IFERROR(IF(AE1872&lt;&gt;"ja",_xlfn.IFNA(_xlfn.IFS(AND(O1872&lt;&gt;"",F1872&lt;&gt;"",RIGHT($N1872,6)="tarief",F1872="Vergoeding"),SUM(O1872)*FLOOR(SUM(Q1872),0.0001),AND(O1872&lt;&gt;"",F1872&lt;&gt;"",RIGHT($N1872,6)="tarief"),SUM(O1872)*FLOOR(SUM(Q1872),0.01),S1872&gt;0,IF(F1872&lt;&gt;"",FLOOR(SUM(S1872),0.01),"")),""),""),"")</f>
        <v/>
      </c>
      <c r="X1872" s="314" t="str" cm="1">
        <f t="array" aca="1" ref="X1872" ca="1">IFERROR(IF(AE1872&lt;&gt;"ja",_xlfn.IFNA(_xlfn.IFS(AND(P1872&lt;&gt;"",R1872&lt;&gt;"",RIGHT($N1872,6)="tarief",F1872="Vergoeding"),SUM(P1872)*FLOOR(SUM(R1872),0.0001),AND(P1872&lt;&gt;"",R1872&lt;&gt;"",RIGHT($N1872,6)="tarief"),P1872*FLOOR(R1872,0.01),T1872&gt;0,FLOOR(SUM(T1872),0.01)),""),""),"")</f>
        <v/>
      </c>
      <c r="Y1872" s="314" t="str">
        <f t="shared" ca="1" si="118"/>
        <v/>
      </c>
      <c r="Z1872" s="314" t="str" cm="1">
        <f t="array" aca="1" ref="Z1872" ca="1">IFERROR(_xlfn.IFS(OR(F1872="",LEFT(Methode_Keuze,4)="Geen",Methode_Keuze=""),"",AND(W1872&lt;&gt;"",F1872&lt;&gt;"Arbeidskosten"),W1872*VLOOKUP(F1872,Tb_ProjectKosten[],MATCH(Tb_ProjectKosten[[#Headers],[Forfait_Percentage]],Tb_ProjectKosten[#Headers],0),0),AND(F1872="Arbeidskosten",G1872&lt;&gt;""),IFERROR(W1872*VLOOKUP(G1872,Tb_KostenTypen[],3,0)*VLOOKUP(F1872,Tb_ProjectKosten[],MATCH(Tb_ProjectKosten[[#Headers],[Forfait_Percentage]],Tb_ProjectKosten[#Headers],0),0),""),W1872 &lt;=0,0),"")</f>
        <v/>
      </c>
      <c r="AA1872" s="314" t="str" cm="1">
        <f t="array" aca="1" ref="AA1872" ca="1">IFERROR(_xlfn.IFS(OR(F1872="",LEFT(Methode_Keuze,4)="Geen",Methode_Keuze=""),"",AND(X1872&lt;&gt;"",F1872&lt;&gt;"Arbeidskosten"),X1872*VLOOKUP(F1872,Tb_ProjectKosten[],MATCH(Tb_ProjectKosten[[#Headers],[Forfait_Percentage]],Tb_ProjectKosten[#Headers],0),0),AND(F1872="Arbeidskosten",G1872&lt;&gt;""),IFERROR(X1872*VLOOKUP(G1872,Tb_KostenTypen[],3,0)*VLOOKUP(F1872,Tb_ProjectKosten[],MATCH(Tb_ProjectKosten[[#Headers],[Forfait_Percentage]],Tb_ProjectKosten[#Headers],0),0),""),X1872 &lt;=0,0),"")</f>
        <v/>
      </c>
      <c r="AB1872" s="314" t="str">
        <f t="shared" ca="1" si="119"/>
        <v/>
      </c>
      <c r="AC1872" s="322"/>
      <c r="AD1872" s="315"/>
      <c r="AE1872" s="32" t="str" cm="1">
        <f t="array" ref="AE1872">IFERROR(IF(INDEX(SubsidieTabel!$AD$1:$AG$12,MATCH($F1872,SubsidieTabel!$AD$1:$AD$12,0),IFERROR(MATCH(Methode_Keuze,SubsidieTabel!$AD$1:$AG$1,0),2))&lt;&gt;1=TRUE,"ja",""),"")</f>
        <v/>
      </c>
    </row>
    <row r="1873" spans="1:31" x14ac:dyDescent="0.25">
      <c r="A1873" s="316"/>
      <c r="B1873" s="317" t="str">
        <f>IF(A1873&lt;&gt;"",_xlfn.MAXIFS($B$1:B1872,$A$1:A1872,A1873)+1,"")</f>
        <v/>
      </c>
      <c r="C1873" s="296"/>
      <c r="D1873" s="296"/>
      <c r="E1873" s="296"/>
      <c r="F1873" s="296"/>
      <c r="G1873" s="326"/>
      <c r="H1873" s="324"/>
      <c r="I1873" s="325"/>
      <c r="J1873" s="325"/>
      <c r="K1873" s="318"/>
      <c r="L1873" s="318"/>
      <c r="M1873" s="319" t="str">
        <f>IFERROR(VLOOKUP(H1873,Lijsten!$H$1:$I$100,2,0),"")</f>
        <v/>
      </c>
      <c r="N1873" s="319" t="str">
        <f ca="1">IFERROR(IF(VLOOKUP(F1873,Kostentypen!$A$3:$E$21,3,0)=0,"",IF(OR(F1873="Arbeidskosten",F1873="Vergoeding"),VLOOKUP(G1873,Tb_KostenTypen[],2,0),VLOOKUP(F1873,Kostentypen!$A$3:$E$20,3,0))),"")</f>
        <v/>
      </c>
      <c r="O1873" s="320" t="str" cm="1">
        <f t="array" ref="O1873">_xlfn.IFNA(IF(INDEX(Tb_KostenOptiesDB[],MATCH($F1873,Tb_KostenOptiesDB[KostenOptie],0),IFERROR(MATCH(Methode_Keuze,Tb_KostenOptiesDB[#Headers],0),2))=1,_xlfn.SWITCH($N1873,"Uurtarief",IF(OR(AND(RIGHT($F1873,3)="IKS",VLOOKUP($M1873,DB_Loonkosten,2,0)="Ja"),AND(RIGHT($F1873,3)&lt;&gt;"IKS",VLOOKUP($M1873,DB_Loonkosten,2,0)="Nee")),IFERROR(VLOOKUP($M1873,DB_Loonkosten,24,0),""),0),"Vast tarief",IF(LEFT(F1873,8)="Bijdrage",VLOOKUP($F1873,Tb_KostenTypen[],MATCH(Lijsten!$P$1,Tb_KostenTypen[#Headers],0),0),VLOOKUP($G1873,Lijsten!L:P,MATCH(Lijsten!$P$1,Kop_Tarief_Vast,0),0))),""),"")</f>
        <v/>
      </c>
      <c r="P1873" s="320" t="str" cm="1">
        <f t="array" ref="P1873">_xlfn.IFNA(IF(INDEX(Tb_KostenOptiesDB[],MATCH($F1873,Tb_KostenOptiesDB[KostenOptie],0),IFERROR(MATCH(Methode_Keuze,Tb_KostenOptiesDB[#Headers],0),2))=1,_xlfn.SWITCH($N1873,"Uurtarief",IF(OR(AND(RIGHT($F1873,3)="IKS",VLOOKUP($M1873,DB_Loonkosten,2,0)="Ja"),AND(RIGHT($F1873,3)&lt;&gt;"IKS",VLOOKUP($M1873,DB_Loonkosten,2,0)="Nee")),IFERROR(VLOOKUP($M1873,DB_Loonkosten,25,0),""),0),"Vast tarief",IF(LEFT(F1873,8)="Bijdrage",VLOOKUP($F1873,Tb_KostenTypen[],MATCH(Lijsten!$P$1,Tb_KostenTypen[#Headers],0),0),VLOOKUP($G1873,Lijsten!L:P,MATCH(Lijsten!$P$1,Kop_Tarief_Vast,0),0))),""),"")</f>
        <v/>
      </c>
      <c r="Q1873" s="359"/>
      <c r="R1873" s="359"/>
      <c r="S1873" s="321"/>
      <c r="T1873" s="321"/>
      <c r="U1873" s="373" t="str">
        <f t="shared" si="116"/>
        <v/>
      </c>
      <c r="V1873" s="314" t="str">
        <f t="shared" si="117"/>
        <v/>
      </c>
      <c r="W1873" s="314" t="str" cm="1">
        <f t="array" aca="1" ref="W1873" ca="1">IFERROR(IF(AE1873&lt;&gt;"ja",_xlfn.IFNA(_xlfn.IFS(AND(O1873&lt;&gt;"",F1873&lt;&gt;"",RIGHT($N1873,6)="tarief",F1873="Vergoeding"),SUM(O1873)*FLOOR(SUM(Q1873),0.0001),AND(O1873&lt;&gt;"",F1873&lt;&gt;"",RIGHT($N1873,6)="tarief"),SUM(O1873)*FLOOR(SUM(Q1873),0.01),S1873&gt;0,IF(F1873&lt;&gt;"",FLOOR(SUM(S1873),0.01),"")),""),""),"")</f>
        <v/>
      </c>
      <c r="X1873" s="314" t="str" cm="1">
        <f t="array" aca="1" ref="X1873" ca="1">IFERROR(IF(AE1873&lt;&gt;"ja",_xlfn.IFNA(_xlfn.IFS(AND(P1873&lt;&gt;"",R1873&lt;&gt;"",RIGHT($N1873,6)="tarief",F1873="Vergoeding"),SUM(P1873)*FLOOR(SUM(R1873),0.0001),AND(P1873&lt;&gt;"",R1873&lt;&gt;"",RIGHT($N1873,6)="tarief"),P1873*FLOOR(R1873,0.01),T1873&gt;0,FLOOR(SUM(T1873),0.01)),""),""),"")</f>
        <v/>
      </c>
      <c r="Y1873" s="314" t="str">
        <f t="shared" ca="1" si="118"/>
        <v/>
      </c>
      <c r="Z1873" s="314" t="str" cm="1">
        <f t="array" aca="1" ref="Z1873" ca="1">IFERROR(_xlfn.IFS(OR(F1873="",LEFT(Methode_Keuze,4)="Geen",Methode_Keuze=""),"",AND(W1873&lt;&gt;"",F1873&lt;&gt;"Arbeidskosten"),W1873*VLOOKUP(F1873,Tb_ProjectKosten[],MATCH(Tb_ProjectKosten[[#Headers],[Forfait_Percentage]],Tb_ProjectKosten[#Headers],0),0),AND(F1873="Arbeidskosten",G1873&lt;&gt;""),IFERROR(W1873*VLOOKUP(G1873,Tb_KostenTypen[],3,0)*VLOOKUP(F1873,Tb_ProjectKosten[],MATCH(Tb_ProjectKosten[[#Headers],[Forfait_Percentage]],Tb_ProjectKosten[#Headers],0),0),""),W1873 &lt;=0,0),"")</f>
        <v/>
      </c>
      <c r="AA1873" s="314" t="str" cm="1">
        <f t="array" aca="1" ref="AA1873" ca="1">IFERROR(_xlfn.IFS(OR(F1873="",LEFT(Methode_Keuze,4)="Geen",Methode_Keuze=""),"",AND(X1873&lt;&gt;"",F1873&lt;&gt;"Arbeidskosten"),X1873*VLOOKUP(F1873,Tb_ProjectKosten[],MATCH(Tb_ProjectKosten[[#Headers],[Forfait_Percentage]],Tb_ProjectKosten[#Headers],0),0),AND(F1873="Arbeidskosten",G1873&lt;&gt;""),IFERROR(X1873*VLOOKUP(G1873,Tb_KostenTypen[],3,0)*VLOOKUP(F1873,Tb_ProjectKosten[],MATCH(Tb_ProjectKosten[[#Headers],[Forfait_Percentage]],Tb_ProjectKosten[#Headers],0),0),""),X1873 &lt;=0,0),"")</f>
        <v/>
      </c>
      <c r="AB1873" s="314" t="str">
        <f t="shared" ca="1" si="119"/>
        <v/>
      </c>
      <c r="AC1873" s="322"/>
      <c r="AD1873" s="315"/>
      <c r="AE1873" s="32" t="str" cm="1">
        <f t="array" ref="AE1873">IFERROR(IF(INDEX(SubsidieTabel!$AD$1:$AG$12,MATCH($F1873,SubsidieTabel!$AD$1:$AD$12,0),IFERROR(MATCH(Methode_Keuze,SubsidieTabel!$AD$1:$AG$1,0),2))&lt;&gt;1=TRUE,"ja",""),"")</f>
        <v/>
      </c>
    </row>
    <row r="1874" spans="1:31" x14ac:dyDescent="0.25">
      <c r="A1874" s="316"/>
      <c r="B1874" s="317" t="str">
        <f>IF(A1874&lt;&gt;"",_xlfn.MAXIFS($B$1:B1873,$A$1:A1873,A1874)+1,"")</f>
        <v/>
      </c>
      <c r="C1874" s="296"/>
      <c r="D1874" s="296"/>
      <c r="E1874" s="296"/>
      <c r="F1874" s="296"/>
      <c r="G1874" s="326"/>
      <c r="H1874" s="324"/>
      <c r="I1874" s="325"/>
      <c r="J1874" s="325"/>
      <c r="K1874" s="318"/>
      <c r="L1874" s="318"/>
      <c r="M1874" s="319" t="str">
        <f>IFERROR(VLOOKUP(H1874,Lijsten!$H$1:$I$100,2,0),"")</f>
        <v/>
      </c>
      <c r="N1874" s="319" t="str">
        <f ca="1">IFERROR(IF(VLOOKUP(F1874,Kostentypen!$A$3:$E$21,3,0)=0,"",IF(OR(F1874="Arbeidskosten",F1874="Vergoeding"),VLOOKUP(G1874,Tb_KostenTypen[],2,0),VLOOKUP(F1874,Kostentypen!$A$3:$E$20,3,0))),"")</f>
        <v/>
      </c>
      <c r="O1874" s="320" t="str" cm="1">
        <f t="array" ref="O1874">_xlfn.IFNA(IF(INDEX(Tb_KostenOptiesDB[],MATCH($F1874,Tb_KostenOptiesDB[KostenOptie],0),IFERROR(MATCH(Methode_Keuze,Tb_KostenOptiesDB[#Headers],0),2))=1,_xlfn.SWITCH($N1874,"Uurtarief",IF(OR(AND(RIGHT($F1874,3)="IKS",VLOOKUP($M1874,DB_Loonkosten,2,0)="Ja"),AND(RIGHT($F1874,3)&lt;&gt;"IKS",VLOOKUP($M1874,DB_Loonkosten,2,0)="Nee")),IFERROR(VLOOKUP($M1874,DB_Loonkosten,24,0),""),0),"Vast tarief",IF(LEFT(F1874,8)="Bijdrage",VLOOKUP($F1874,Tb_KostenTypen[],MATCH(Lijsten!$P$1,Tb_KostenTypen[#Headers],0),0),VLOOKUP($G1874,Lijsten!L:P,MATCH(Lijsten!$P$1,Kop_Tarief_Vast,0),0))),""),"")</f>
        <v/>
      </c>
      <c r="P1874" s="320" t="str" cm="1">
        <f t="array" ref="P1874">_xlfn.IFNA(IF(INDEX(Tb_KostenOptiesDB[],MATCH($F1874,Tb_KostenOptiesDB[KostenOptie],0),IFERROR(MATCH(Methode_Keuze,Tb_KostenOptiesDB[#Headers],0),2))=1,_xlfn.SWITCH($N1874,"Uurtarief",IF(OR(AND(RIGHT($F1874,3)="IKS",VLOOKUP($M1874,DB_Loonkosten,2,0)="Ja"),AND(RIGHT($F1874,3)&lt;&gt;"IKS",VLOOKUP($M1874,DB_Loonkosten,2,0)="Nee")),IFERROR(VLOOKUP($M1874,DB_Loonkosten,25,0),""),0),"Vast tarief",IF(LEFT(F1874,8)="Bijdrage",VLOOKUP($F1874,Tb_KostenTypen[],MATCH(Lijsten!$P$1,Tb_KostenTypen[#Headers],0),0),VLOOKUP($G1874,Lijsten!L:P,MATCH(Lijsten!$P$1,Kop_Tarief_Vast,0),0))),""),"")</f>
        <v/>
      </c>
      <c r="Q1874" s="359"/>
      <c r="R1874" s="359"/>
      <c r="S1874" s="321"/>
      <c r="T1874" s="321"/>
      <c r="U1874" s="373" t="str">
        <f t="shared" si="116"/>
        <v/>
      </c>
      <c r="V1874" s="314" t="str">
        <f t="shared" si="117"/>
        <v/>
      </c>
      <c r="W1874" s="314" t="str" cm="1">
        <f t="array" aca="1" ref="W1874" ca="1">IFERROR(IF(AE1874&lt;&gt;"ja",_xlfn.IFNA(_xlfn.IFS(AND(O1874&lt;&gt;"",F1874&lt;&gt;"",RIGHT($N1874,6)="tarief",F1874="Vergoeding"),SUM(O1874)*FLOOR(SUM(Q1874),0.0001),AND(O1874&lt;&gt;"",F1874&lt;&gt;"",RIGHT($N1874,6)="tarief"),SUM(O1874)*FLOOR(SUM(Q1874),0.01),S1874&gt;0,IF(F1874&lt;&gt;"",FLOOR(SUM(S1874),0.01),"")),""),""),"")</f>
        <v/>
      </c>
      <c r="X1874" s="314" t="str" cm="1">
        <f t="array" aca="1" ref="X1874" ca="1">IFERROR(IF(AE1874&lt;&gt;"ja",_xlfn.IFNA(_xlfn.IFS(AND(P1874&lt;&gt;"",R1874&lt;&gt;"",RIGHT($N1874,6)="tarief",F1874="Vergoeding"),SUM(P1874)*FLOOR(SUM(R1874),0.0001),AND(P1874&lt;&gt;"",R1874&lt;&gt;"",RIGHT($N1874,6)="tarief"),P1874*FLOOR(R1874,0.01),T1874&gt;0,FLOOR(SUM(T1874),0.01)),""),""),"")</f>
        <v/>
      </c>
      <c r="Y1874" s="314" t="str">
        <f t="shared" ca="1" si="118"/>
        <v/>
      </c>
      <c r="Z1874" s="314" t="str" cm="1">
        <f t="array" aca="1" ref="Z1874" ca="1">IFERROR(_xlfn.IFS(OR(F1874="",LEFT(Methode_Keuze,4)="Geen",Methode_Keuze=""),"",AND(W1874&lt;&gt;"",F1874&lt;&gt;"Arbeidskosten"),W1874*VLOOKUP(F1874,Tb_ProjectKosten[],MATCH(Tb_ProjectKosten[[#Headers],[Forfait_Percentage]],Tb_ProjectKosten[#Headers],0),0),AND(F1874="Arbeidskosten",G1874&lt;&gt;""),IFERROR(W1874*VLOOKUP(G1874,Tb_KostenTypen[],3,0)*VLOOKUP(F1874,Tb_ProjectKosten[],MATCH(Tb_ProjectKosten[[#Headers],[Forfait_Percentage]],Tb_ProjectKosten[#Headers],0),0),""),W1874 &lt;=0,0),"")</f>
        <v/>
      </c>
      <c r="AA1874" s="314" t="str" cm="1">
        <f t="array" aca="1" ref="AA1874" ca="1">IFERROR(_xlfn.IFS(OR(F1874="",LEFT(Methode_Keuze,4)="Geen",Methode_Keuze=""),"",AND(X1874&lt;&gt;"",F1874&lt;&gt;"Arbeidskosten"),X1874*VLOOKUP(F1874,Tb_ProjectKosten[],MATCH(Tb_ProjectKosten[[#Headers],[Forfait_Percentage]],Tb_ProjectKosten[#Headers],0),0),AND(F1874="Arbeidskosten",G1874&lt;&gt;""),IFERROR(X1874*VLOOKUP(G1874,Tb_KostenTypen[],3,0)*VLOOKUP(F1874,Tb_ProjectKosten[],MATCH(Tb_ProjectKosten[[#Headers],[Forfait_Percentage]],Tb_ProjectKosten[#Headers],0),0),""),X1874 &lt;=0,0),"")</f>
        <v/>
      </c>
      <c r="AB1874" s="314" t="str">
        <f t="shared" ca="1" si="119"/>
        <v/>
      </c>
      <c r="AC1874" s="322"/>
      <c r="AD1874" s="315"/>
      <c r="AE1874" s="32" t="str" cm="1">
        <f t="array" ref="AE1874">IFERROR(IF(INDEX(SubsidieTabel!$AD$1:$AG$12,MATCH($F1874,SubsidieTabel!$AD$1:$AD$12,0),IFERROR(MATCH(Methode_Keuze,SubsidieTabel!$AD$1:$AG$1,0),2))&lt;&gt;1=TRUE,"ja",""),"")</f>
        <v/>
      </c>
    </row>
    <row r="1875" spans="1:31" x14ac:dyDescent="0.25">
      <c r="A1875" s="316"/>
      <c r="B1875" s="317" t="str">
        <f>IF(A1875&lt;&gt;"",_xlfn.MAXIFS($B$1:B1874,$A$1:A1874,A1875)+1,"")</f>
        <v/>
      </c>
      <c r="C1875" s="296"/>
      <c r="D1875" s="296"/>
      <c r="E1875" s="296"/>
      <c r="F1875" s="296"/>
      <c r="G1875" s="326"/>
      <c r="H1875" s="324"/>
      <c r="I1875" s="325"/>
      <c r="J1875" s="325"/>
      <c r="K1875" s="318"/>
      <c r="L1875" s="318"/>
      <c r="M1875" s="319" t="str">
        <f>IFERROR(VLOOKUP(H1875,Lijsten!$H$1:$I$100,2,0),"")</f>
        <v/>
      </c>
      <c r="N1875" s="319" t="str">
        <f ca="1">IFERROR(IF(VLOOKUP(F1875,Kostentypen!$A$3:$E$21,3,0)=0,"",IF(OR(F1875="Arbeidskosten",F1875="Vergoeding"),VLOOKUP(G1875,Tb_KostenTypen[],2,0),VLOOKUP(F1875,Kostentypen!$A$3:$E$20,3,0))),"")</f>
        <v/>
      </c>
      <c r="O1875" s="320" t="str" cm="1">
        <f t="array" ref="O1875">_xlfn.IFNA(IF(INDEX(Tb_KostenOptiesDB[],MATCH($F1875,Tb_KostenOptiesDB[KostenOptie],0),IFERROR(MATCH(Methode_Keuze,Tb_KostenOptiesDB[#Headers],0),2))=1,_xlfn.SWITCH($N1875,"Uurtarief",IF(OR(AND(RIGHT($F1875,3)="IKS",VLOOKUP($M1875,DB_Loonkosten,2,0)="Ja"),AND(RIGHT($F1875,3)&lt;&gt;"IKS",VLOOKUP($M1875,DB_Loonkosten,2,0)="Nee")),IFERROR(VLOOKUP($M1875,DB_Loonkosten,24,0),""),0),"Vast tarief",IF(LEFT(F1875,8)="Bijdrage",VLOOKUP($F1875,Tb_KostenTypen[],MATCH(Lijsten!$P$1,Tb_KostenTypen[#Headers],0),0),VLOOKUP($G1875,Lijsten!L:P,MATCH(Lijsten!$P$1,Kop_Tarief_Vast,0),0))),""),"")</f>
        <v/>
      </c>
      <c r="P1875" s="320" t="str" cm="1">
        <f t="array" ref="P1875">_xlfn.IFNA(IF(INDEX(Tb_KostenOptiesDB[],MATCH($F1875,Tb_KostenOptiesDB[KostenOptie],0),IFERROR(MATCH(Methode_Keuze,Tb_KostenOptiesDB[#Headers],0),2))=1,_xlfn.SWITCH($N1875,"Uurtarief",IF(OR(AND(RIGHT($F1875,3)="IKS",VLOOKUP($M1875,DB_Loonkosten,2,0)="Ja"),AND(RIGHT($F1875,3)&lt;&gt;"IKS",VLOOKUP($M1875,DB_Loonkosten,2,0)="Nee")),IFERROR(VLOOKUP($M1875,DB_Loonkosten,25,0),""),0),"Vast tarief",IF(LEFT(F1875,8)="Bijdrage",VLOOKUP($F1875,Tb_KostenTypen[],MATCH(Lijsten!$P$1,Tb_KostenTypen[#Headers],0),0),VLOOKUP($G1875,Lijsten!L:P,MATCH(Lijsten!$P$1,Kop_Tarief_Vast,0),0))),""),"")</f>
        <v/>
      </c>
      <c r="Q1875" s="359"/>
      <c r="R1875" s="359"/>
      <c r="S1875" s="321"/>
      <c r="T1875" s="321"/>
      <c r="U1875" s="373" t="str">
        <f t="shared" si="116"/>
        <v/>
      </c>
      <c r="V1875" s="314" t="str">
        <f t="shared" si="117"/>
        <v/>
      </c>
      <c r="W1875" s="314" t="str" cm="1">
        <f t="array" aca="1" ref="W1875" ca="1">IFERROR(IF(AE1875&lt;&gt;"ja",_xlfn.IFNA(_xlfn.IFS(AND(O1875&lt;&gt;"",F1875&lt;&gt;"",RIGHT($N1875,6)="tarief",F1875="Vergoeding"),SUM(O1875)*FLOOR(SUM(Q1875),0.0001),AND(O1875&lt;&gt;"",F1875&lt;&gt;"",RIGHT($N1875,6)="tarief"),SUM(O1875)*FLOOR(SUM(Q1875),0.01),S1875&gt;0,IF(F1875&lt;&gt;"",FLOOR(SUM(S1875),0.01),"")),""),""),"")</f>
        <v/>
      </c>
      <c r="X1875" s="314" t="str" cm="1">
        <f t="array" aca="1" ref="X1875" ca="1">IFERROR(IF(AE1875&lt;&gt;"ja",_xlfn.IFNA(_xlfn.IFS(AND(P1875&lt;&gt;"",R1875&lt;&gt;"",RIGHT($N1875,6)="tarief",F1875="Vergoeding"),SUM(P1875)*FLOOR(SUM(R1875),0.0001),AND(P1875&lt;&gt;"",R1875&lt;&gt;"",RIGHT($N1875,6)="tarief"),P1875*FLOOR(R1875,0.01),T1875&gt;0,FLOOR(SUM(T1875),0.01)),""),""),"")</f>
        <v/>
      </c>
      <c r="Y1875" s="314" t="str">
        <f t="shared" ca="1" si="118"/>
        <v/>
      </c>
      <c r="Z1875" s="314" t="str" cm="1">
        <f t="array" aca="1" ref="Z1875" ca="1">IFERROR(_xlfn.IFS(OR(F1875="",LEFT(Methode_Keuze,4)="Geen",Methode_Keuze=""),"",AND(W1875&lt;&gt;"",F1875&lt;&gt;"Arbeidskosten"),W1875*VLOOKUP(F1875,Tb_ProjectKosten[],MATCH(Tb_ProjectKosten[[#Headers],[Forfait_Percentage]],Tb_ProjectKosten[#Headers],0),0),AND(F1875="Arbeidskosten",G1875&lt;&gt;""),IFERROR(W1875*VLOOKUP(G1875,Tb_KostenTypen[],3,0)*VLOOKUP(F1875,Tb_ProjectKosten[],MATCH(Tb_ProjectKosten[[#Headers],[Forfait_Percentage]],Tb_ProjectKosten[#Headers],0),0),""),W1875 &lt;=0,0),"")</f>
        <v/>
      </c>
      <c r="AA1875" s="314" t="str" cm="1">
        <f t="array" aca="1" ref="AA1875" ca="1">IFERROR(_xlfn.IFS(OR(F1875="",LEFT(Methode_Keuze,4)="Geen",Methode_Keuze=""),"",AND(X1875&lt;&gt;"",F1875&lt;&gt;"Arbeidskosten"),X1875*VLOOKUP(F1875,Tb_ProjectKosten[],MATCH(Tb_ProjectKosten[[#Headers],[Forfait_Percentage]],Tb_ProjectKosten[#Headers],0),0),AND(F1875="Arbeidskosten",G1875&lt;&gt;""),IFERROR(X1875*VLOOKUP(G1875,Tb_KostenTypen[],3,0)*VLOOKUP(F1875,Tb_ProjectKosten[],MATCH(Tb_ProjectKosten[[#Headers],[Forfait_Percentage]],Tb_ProjectKosten[#Headers],0),0),""),X1875 &lt;=0,0),"")</f>
        <v/>
      </c>
      <c r="AB1875" s="314" t="str">
        <f t="shared" ca="1" si="119"/>
        <v/>
      </c>
      <c r="AC1875" s="322"/>
      <c r="AD1875" s="315"/>
      <c r="AE1875" s="32" t="str" cm="1">
        <f t="array" ref="AE1875">IFERROR(IF(INDEX(SubsidieTabel!$AD$1:$AG$12,MATCH($F1875,SubsidieTabel!$AD$1:$AD$12,0),IFERROR(MATCH(Methode_Keuze,SubsidieTabel!$AD$1:$AG$1,0),2))&lt;&gt;1=TRUE,"ja",""),"")</f>
        <v/>
      </c>
    </row>
    <row r="1876" spans="1:31" x14ac:dyDescent="0.25">
      <c r="A1876" s="316"/>
      <c r="B1876" s="317" t="str">
        <f>IF(A1876&lt;&gt;"",_xlfn.MAXIFS($B$1:B1875,$A$1:A1875,A1876)+1,"")</f>
        <v/>
      </c>
      <c r="C1876" s="296"/>
      <c r="D1876" s="296"/>
      <c r="E1876" s="296"/>
      <c r="F1876" s="296"/>
      <c r="G1876" s="326"/>
      <c r="H1876" s="324"/>
      <c r="I1876" s="325"/>
      <c r="J1876" s="325"/>
      <c r="K1876" s="318"/>
      <c r="L1876" s="318"/>
      <c r="M1876" s="319" t="str">
        <f>IFERROR(VLOOKUP(H1876,Lijsten!$H$1:$I$100,2,0),"")</f>
        <v/>
      </c>
      <c r="N1876" s="319" t="str">
        <f ca="1">IFERROR(IF(VLOOKUP(F1876,Kostentypen!$A$3:$E$21,3,0)=0,"",IF(OR(F1876="Arbeidskosten",F1876="Vergoeding"),VLOOKUP(G1876,Tb_KostenTypen[],2,0),VLOOKUP(F1876,Kostentypen!$A$3:$E$20,3,0))),"")</f>
        <v/>
      </c>
      <c r="O1876" s="320" t="str" cm="1">
        <f t="array" ref="O1876">_xlfn.IFNA(IF(INDEX(Tb_KostenOptiesDB[],MATCH($F1876,Tb_KostenOptiesDB[KostenOptie],0),IFERROR(MATCH(Methode_Keuze,Tb_KostenOptiesDB[#Headers],0),2))=1,_xlfn.SWITCH($N1876,"Uurtarief",IF(OR(AND(RIGHT($F1876,3)="IKS",VLOOKUP($M1876,DB_Loonkosten,2,0)="Ja"),AND(RIGHT($F1876,3)&lt;&gt;"IKS",VLOOKUP($M1876,DB_Loonkosten,2,0)="Nee")),IFERROR(VLOOKUP($M1876,DB_Loonkosten,24,0),""),0),"Vast tarief",IF(LEFT(F1876,8)="Bijdrage",VLOOKUP($F1876,Tb_KostenTypen[],MATCH(Lijsten!$P$1,Tb_KostenTypen[#Headers],0),0),VLOOKUP($G1876,Lijsten!L:P,MATCH(Lijsten!$P$1,Kop_Tarief_Vast,0),0))),""),"")</f>
        <v/>
      </c>
      <c r="P1876" s="320" t="str" cm="1">
        <f t="array" ref="P1876">_xlfn.IFNA(IF(INDEX(Tb_KostenOptiesDB[],MATCH($F1876,Tb_KostenOptiesDB[KostenOptie],0),IFERROR(MATCH(Methode_Keuze,Tb_KostenOptiesDB[#Headers],0),2))=1,_xlfn.SWITCH($N1876,"Uurtarief",IF(OR(AND(RIGHT($F1876,3)="IKS",VLOOKUP($M1876,DB_Loonkosten,2,0)="Ja"),AND(RIGHT($F1876,3)&lt;&gt;"IKS",VLOOKUP($M1876,DB_Loonkosten,2,0)="Nee")),IFERROR(VLOOKUP($M1876,DB_Loonkosten,25,0),""),0),"Vast tarief",IF(LEFT(F1876,8)="Bijdrage",VLOOKUP($F1876,Tb_KostenTypen[],MATCH(Lijsten!$P$1,Tb_KostenTypen[#Headers],0),0),VLOOKUP($G1876,Lijsten!L:P,MATCH(Lijsten!$P$1,Kop_Tarief_Vast,0),0))),""),"")</f>
        <v/>
      </c>
      <c r="Q1876" s="359"/>
      <c r="R1876" s="359"/>
      <c r="S1876" s="321"/>
      <c r="T1876" s="321"/>
      <c r="U1876" s="373" t="str">
        <f t="shared" si="116"/>
        <v/>
      </c>
      <c r="V1876" s="314" t="str">
        <f t="shared" si="117"/>
        <v/>
      </c>
      <c r="W1876" s="314" t="str" cm="1">
        <f t="array" aca="1" ref="W1876" ca="1">IFERROR(IF(AE1876&lt;&gt;"ja",_xlfn.IFNA(_xlfn.IFS(AND(O1876&lt;&gt;"",F1876&lt;&gt;"",RIGHT($N1876,6)="tarief",F1876="Vergoeding"),SUM(O1876)*FLOOR(SUM(Q1876),0.0001),AND(O1876&lt;&gt;"",F1876&lt;&gt;"",RIGHT($N1876,6)="tarief"),SUM(O1876)*FLOOR(SUM(Q1876),0.01),S1876&gt;0,IF(F1876&lt;&gt;"",FLOOR(SUM(S1876),0.01),"")),""),""),"")</f>
        <v/>
      </c>
      <c r="X1876" s="314" t="str" cm="1">
        <f t="array" aca="1" ref="X1876" ca="1">IFERROR(IF(AE1876&lt;&gt;"ja",_xlfn.IFNA(_xlfn.IFS(AND(P1876&lt;&gt;"",R1876&lt;&gt;"",RIGHT($N1876,6)="tarief",F1876="Vergoeding"),SUM(P1876)*FLOOR(SUM(R1876),0.0001),AND(P1876&lt;&gt;"",R1876&lt;&gt;"",RIGHT($N1876,6)="tarief"),P1876*FLOOR(R1876,0.01),T1876&gt;0,FLOOR(SUM(T1876),0.01)),""),""),"")</f>
        <v/>
      </c>
      <c r="Y1876" s="314" t="str">
        <f t="shared" ca="1" si="118"/>
        <v/>
      </c>
      <c r="Z1876" s="314" t="str" cm="1">
        <f t="array" aca="1" ref="Z1876" ca="1">IFERROR(_xlfn.IFS(OR(F1876="",LEFT(Methode_Keuze,4)="Geen",Methode_Keuze=""),"",AND(W1876&lt;&gt;"",F1876&lt;&gt;"Arbeidskosten"),W1876*VLOOKUP(F1876,Tb_ProjectKosten[],MATCH(Tb_ProjectKosten[[#Headers],[Forfait_Percentage]],Tb_ProjectKosten[#Headers],0),0),AND(F1876="Arbeidskosten",G1876&lt;&gt;""),IFERROR(W1876*VLOOKUP(G1876,Tb_KostenTypen[],3,0)*VLOOKUP(F1876,Tb_ProjectKosten[],MATCH(Tb_ProjectKosten[[#Headers],[Forfait_Percentage]],Tb_ProjectKosten[#Headers],0),0),""),W1876 &lt;=0,0),"")</f>
        <v/>
      </c>
      <c r="AA1876" s="314" t="str" cm="1">
        <f t="array" aca="1" ref="AA1876" ca="1">IFERROR(_xlfn.IFS(OR(F1876="",LEFT(Methode_Keuze,4)="Geen",Methode_Keuze=""),"",AND(X1876&lt;&gt;"",F1876&lt;&gt;"Arbeidskosten"),X1876*VLOOKUP(F1876,Tb_ProjectKosten[],MATCH(Tb_ProjectKosten[[#Headers],[Forfait_Percentage]],Tb_ProjectKosten[#Headers],0),0),AND(F1876="Arbeidskosten",G1876&lt;&gt;""),IFERROR(X1876*VLOOKUP(G1876,Tb_KostenTypen[],3,0)*VLOOKUP(F1876,Tb_ProjectKosten[],MATCH(Tb_ProjectKosten[[#Headers],[Forfait_Percentage]],Tb_ProjectKosten[#Headers],0),0),""),X1876 &lt;=0,0),"")</f>
        <v/>
      </c>
      <c r="AB1876" s="314" t="str">
        <f t="shared" ca="1" si="119"/>
        <v/>
      </c>
      <c r="AC1876" s="322"/>
      <c r="AD1876" s="315"/>
      <c r="AE1876" s="32" t="str" cm="1">
        <f t="array" ref="AE1876">IFERROR(IF(INDEX(SubsidieTabel!$AD$1:$AG$12,MATCH($F1876,SubsidieTabel!$AD$1:$AD$12,0),IFERROR(MATCH(Methode_Keuze,SubsidieTabel!$AD$1:$AG$1,0),2))&lt;&gt;1=TRUE,"ja",""),"")</f>
        <v/>
      </c>
    </row>
    <row r="1877" spans="1:31" x14ac:dyDescent="0.25">
      <c r="A1877" s="316"/>
      <c r="B1877" s="317" t="str">
        <f>IF(A1877&lt;&gt;"",_xlfn.MAXIFS($B$1:B1876,$A$1:A1876,A1877)+1,"")</f>
        <v/>
      </c>
      <c r="C1877" s="296"/>
      <c r="D1877" s="296"/>
      <c r="E1877" s="296"/>
      <c r="F1877" s="296"/>
      <c r="G1877" s="326"/>
      <c r="H1877" s="324"/>
      <c r="I1877" s="325"/>
      <c r="J1877" s="325"/>
      <c r="K1877" s="318"/>
      <c r="L1877" s="318"/>
      <c r="M1877" s="319" t="str">
        <f>IFERROR(VLOOKUP(H1877,Lijsten!$H$1:$I$100,2,0),"")</f>
        <v/>
      </c>
      <c r="N1877" s="319" t="str">
        <f ca="1">IFERROR(IF(VLOOKUP(F1877,Kostentypen!$A$3:$E$21,3,0)=0,"",IF(OR(F1877="Arbeidskosten",F1877="Vergoeding"),VLOOKUP(G1877,Tb_KostenTypen[],2,0),VLOOKUP(F1877,Kostentypen!$A$3:$E$20,3,0))),"")</f>
        <v/>
      </c>
      <c r="O1877" s="320" t="str" cm="1">
        <f t="array" ref="O1877">_xlfn.IFNA(IF(INDEX(Tb_KostenOptiesDB[],MATCH($F1877,Tb_KostenOptiesDB[KostenOptie],0),IFERROR(MATCH(Methode_Keuze,Tb_KostenOptiesDB[#Headers],0),2))=1,_xlfn.SWITCH($N1877,"Uurtarief",IF(OR(AND(RIGHT($F1877,3)="IKS",VLOOKUP($M1877,DB_Loonkosten,2,0)="Ja"),AND(RIGHT($F1877,3)&lt;&gt;"IKS",VLOOKUP($M1877,DB_Loonkosten,2,0)="Nee")),IFERROR(VLOOKUP($M1877,DB_Loonkosten,24,0),""),0),"Vast tarief",IF(LEFT(F1877,8)="Bijdrage",VLOOKUP($F1877,Tb_KostenTypen[],MATCH(Lijsten!$P$1,Tb_KostenTypen[#Headers],0),0),VLOOKUP($G1877,Lijsten!L:P,MATCH(Lijsten!$P$1,Kop_Tarief_Vast,0),0))),""),"")</f>
        <v/>
      </c>
      <c r="P1877" s="320" t="str" cm="1">
        <f t="array" ref="P1877">_xlfn.IFNA(IF(INDEX(Tb_KostenOptiesDB[],MATCH($F1877,Tb_KostenOptiesDB[KostenOptie],0),IFERROR(MATCH(Methode_Keuze,Tb_KostenOptiesDB[#Headers],0),2))=1,_xlfn.SWITCH($N1877,"Uurtarief",IF(OR(AND(RIGHT($F1877,3)="IKS",VLOOKUP($M1877,DB_Loonkosten,2,0)="Ja"),AND(RIGHT($F1877,3)&lt;&gt;"IKS",VLOOKUP($M1877,DB_Loonkosten,2,0)="Nee")),IFERROR(VLOOKUP($M1877,DB_Loonkosten,25,0),""),0),"Vast tarief",IF(LEFT(F1877,8)="Bijdrage",VLOOKUP($F1877,Tb_KostenTypen[],MATCH(Lijsten!$P$1,Tb_KostenTypen[#Headers],0),0),VLOOKUP($G1877,Lijsten!L:P,MATCH(Lijsten!$P$1,Kop_Tarief_Vast,0),0))),""),"")</f>
        <v/>
      </c>
      <c r="Q1877" s="359"/>
      <c r="R1877" s="359"/>
      <c r="S1877" s="321"/>
      <c r="T1877" s="321"/>
      <c r="U1877" s="373" t="str">
        <f t="shared" si="116"/>
        <v/>
      </c>
      <c r="V1877" s="314" t="str">
        <f t="shared" si="117"/>
        <v/>
      </c>
      <c r="W1877" s="314" t="str" cm="1">
        <f t="array" aca="1" ref="W1877" ca="1">IFERROR(IF(AE1877&lt;&gt;"ja",_xlfn.IFNA(_xlfn.IFS(AND(O1877&lt;&gt;"",F1877&lt;&gt;"",RIGHT($N1877,6)="tarief",F1877="Vergoeding"),SUM(O1877)*FLOOR(SUM(Q1877),0.0001),AND(O1877&lt;&gt;"",F1877&lt;&gt;"",RIGHT($N1877,6)="tarief"),SUM(O1877)*FLOOR(SUM(Q1877),0.01),S1877&gt;0,IF(F1877&lt;&gt;"",FLOOR(SUM(S1877),0.01),"")),""),""),"")</f>
        <v/>
      </c>
      <c r="X1877" s="314" t="str" cm="1">
        <f t="array" aca="1" ref="X1877" ca="1">IFERROR(IF(AE1877&lt;&gt;"ja",_xlfn.IFNA(_xlfn.IFS(AND(P1877&lt;&gt;"",R1877&lt;&gt;"",RIGHT($N1877,6)="tarief",F1877="Vergoeding"),SUM(P1877)*FLOOR(SUM(R1877),0.0001),AND(P1877&lt;&gt;"",R1877&lt;&gt;"",RIGHT($N1877,6)="tarief"),P1877*FLOOR(R1877,0.01),T1877&gt;0,FLOOR(SUM(T1877),0.01)),""),""),"")</f>
        <v/>
      </c>
      <c r="Y1877" s="314" t="str">
        <f t="shared" ca="1" si="118"/>
        <v/>
      </c>
      <c r="Z1877" s="314" t="str" cm="1">
        <f t="array" aca="1" ref="Z1877" ca="1">IFERROR(_xlfn.IFS(OR(F1877="",LEFT(Methode_Keuze,4)="Geen",Methode_Keuze=""),"",AND(W1877&lt;&gt;"",F1877&lt;&gt;"Arbeidskosten"),W1877*VLOOKUP(F1877,Tb_ProjectKosten[],MATCH(Tb_ProjectKosten[[#Headers],[Forfait_Percentage]],Tb_ProjectKosten[#Headers],0),0),AND(F1877="Arbeidskosten",G1877&lt;&gt;""),IFERROR(W1877*VLOOKUP(G1877,Tb_KostenTypen[],3,0)*VLOOKUP(F1877,Tb_ProjectKosten[],MATCH(Tb_ProjectKosten[[#Headers],[Forfait_Percentage]],Tb_ProjectKosten[#Headers],0),0),""),W1877 &lt;=0,0),"")</f>
        <v/>
      </c>
      <c r="AA1877" s="314" t="str" cm="1">
        <f t="array" aca="1" ref="AA1877" ca="1">IFERROR(_xlfn.IFS(OR(F1877="",LEFT(Methode_Keuze,4)="Geen",Methode_Keuze=""),"",AND(X1877&lt;&gt;"",F1877&lt;&gt;"Arbeidskosten"),X1877*VLOOKUP(F1877,Tb_ProjectKosten[],MATCH(Tb_ProjectKosten[[#Headers],[Forfait_Percentage]],Tb_ProjectKosten[#Headers],0),0),AND(F1877="Arbeidskosten",G1877&lt;&gt;""),IFERROR(X1877*VLOOKUP(G1877,Tb_KostenTypen[],3,0)*VLOOKUP(F1877,Tb_ProjectKosten[],MATCH(Tb_ProjectKosten[[#Headers],[Forfait_Percentage]],Tb_ProjectKosten[#Headers],0),0),""),X1877 &lt;=0,0),"")</f>
        <v/>
      </c>
      <c r="AB1877" s="314" t="str">
        <f t="shared" ca="1" si="119"/>
        <v/>
      </c>
      <c r="AC1877" s="322"/>
      <c r="AD1877" s="315"/>
      <c r="AE1877" s="32" t="str" cm="1">
        <f t="array" ref="AE1877">IFERROR(IF(INDEX(SubsidieTabel!$AD$1:$AG$12,MATCH($F1877,SubsidieTabel!$AD$1:$AD$12,0),IFERROR(MATCH(Methode_Keuze,SubsidieTabel!$AD$1:$AG$1,0),2))&lt;&gt;1=TRUE,"ja",""),"")</f>
        <v/>
      </c>
    </row>
    <row r="1878" spans="1:31" x14ac:dyDescent="0.25">
      <c r="A1878" s="316"/>
      <c r="B1878" s="317" t="str">
        <f>IF(A1878&lt;&gt;"",_xlfn.MAXIFS($B$1:B1877,$A$1:A1877,A1878)+1,"")</f>
        <v/>
      </c>
      <c r="C1878" s="296"/>
      <c r="D1878" s="296"/>
      <c r="E1878" s="296"/>
      <c r="F1878" s="296"/>
      <c r="G1878" s="326"/>
      <c r="H1878" s="324"/>
      <c r="I1878" s="325"/>
      <c r="J1878" s="325"/>
      <c r="K1878" s="318"/>
      <c r="L1878" s="318"/>
      <c r="M1878" s="319" t="str">
        <f>IFERROR(VLOOKUP(H1878,Lijsten!$H$1:$I$100,2,0),"")</f>
        <v/>
      </c>
      <c r="N1878" s="319" t="str">
        <f ca="1">IFERROR(IF(VLOOKUP(F1878,Kostentypen!$A$3:$E$21,3,0)=0,"",IF(OR(F1878="Arbeidskosten",F1878="Vergoeding"),VLOOKUP(G1878,Tb_KostenTypen[],2,0),VLOOKUP(F1878,Kostentypen!$A$3:$E$20,3,0))),"")</f>
        <v/>
      </c>
      <c r="O1878" s="320" t="str" cm="1">
        <f t="array" ref="O1878">_xlfn.IFNA(IF(INDEX(Tb_KostenOptiesDB[],MATCH($F1878,Tb_KostenOptiesDB[KostenOptie],0),IFERROR(MATCH(Methode_Keuze,Tb_KostenOptiesDB[#Headers],0),2))=1,_xlfn.SWITCH($N1878,"Uurtarief",IF(OR(AND(RIGHT($F1878,3)="IKS",VLOOKUP($M1878,DB_Loonkosten,2,0)="Ja"),AND(RIGHT($F1878,3)&lt;&gt;"IKS",VLOOKUP($M1878,DB_Loonkosten,2,0)="Nee")),IFERROR(VLOOKUP($M1878,DB_Loonkosten,24,0),""),0),"Vast tarief",IF(LEFT(F1878,8)="Bijdrage",VLOOKUP($F1878,Tb_KostenTypen[],MATCH(Lijsten!$P$1,Tb_KostenTypen[#Headers],0),0),VLOOKUP($G1878,Lijsten!L:P,MATCH(Lijsten!$P$1,Kop_Tarief_Vast,0),0))),""),"")</f>
        <v/>
      </c>
      <c r="P1878" s="320" t="str" cm="1">
        <f t="array" ref="P1878">_xlfn.IFNA(IF(INDEX(Tb_KostenOptiesDB[],MATCH($F1878,Tb_KostenOptiesDB[KostenOptie],0),IFERROR(MATCH(Methode_Keuze,Tb_KostenOptiesDB[#Headers],0),2))=1,_xlfn.SWITCH($N1878,"Uurtarief",IF(OR(AND(RIGHT($F1878,3)="IKS",VLOOKUP($M1878,DB_Loonkosten,2,0)="Ja"),AND(RIGHT($F1878,3)&lt;&gt;"IKS",VLOOKUP($M1878,DB_Loonkosten,2,0)="Nee")),IFERROR(VLOOKUP($M1878,DB_Loonkosten,25,0),""),0),"Vast tarief",IF(LEFT(F1878,8)="Bijdrage",VLOOKUP($F1878,Tb_KostenTypen[],MATCH(Lijsten!$P$1,Tb_KostenTypen[#Headers],0),0),VLOOKUP($G1878,Lijsten!L:P,MATCH(Lijsten!$P$1,Kop_Tarief_Vast,0),0))),""),"")</f>
        <v/>
      </c>
      <c r="Q1878" s="359"/>
      <c r="R1878" s="359"/>
      <c r="S1878" s="321"/>
      <c r="T1878" s="321"/>
      <c r="U1878" s="373" t="str">
        <f t="shared" si="116"/>
        <v/>
      </c>
      <c r="V1878" s="314" t="str">
        <f t="shared" si="117"/>
        <v/>
      </c>
      <c r="W1878" s="314" t="str" cm="1">
        <f t="array" aca="1" ref="W1878" ca="1">IFERROR(IF(AE1878&lt;&gt;"ja",_xlfn.IFNA(_xlfn.IFS(AND(O1878&lt;&gt;"",F1878&lt;&gt;"",RIGHT($N1878,6)="tarief",F1878="Vergoeding"),SUM(O1878)*FLOOR(SUM(Q1878),0.0001),AND(O1878&lt;&gt;"",F1878&lt;&gt;"",RIGHT($N1878,6)="tarief"),SUM(O1878)*FLOOR(SUM(Q1878),0.01),S1878&gt;0,IF(F1878&lt;&gt;"",FLOOR(SUM(S1878),0.01),"")),""),""),"")</f>
        <v/>
      </c>
      <c r="X1878" s="314" t="str" cm="1">
        <f t="array" aca="1" ref="X1878" ca="1">IFERROR(IF(AE1878&lt;&gt;"ja",_xlfn.IFNA(_xlfn.IFS(AND(P1878&lt;&gt;"",R1878&lt;&gt;"",RIGHT($N1878,6)="tarief",F1878="Vergoeding"),SUM(P1878)*FLOOR(SUM(R1878),0.0001),AND(P1878&lt;&gt;"",R1878&lt;&gt;"",RIGHT($N1878,6)="tarief"),P1878*FLOOR(R1878,0.01),T1878&gt;0,FLOOR(SUM(T1878),0.01)),""),""),"")</f>
        <v/>
      </c>
      <c r="Y1878" s="314" t="str">
        <f t="shared" ca="1" si="118"/>
        <v/>
      </c>
      <c r="Z1878" s="314" t="str" cm="1">
        <f t="array" aca="1" ref="Z1878" ca="1">IFERROR(_xlfn.IFS(OR(F1878="",LEFT(Methode_Keuze,4)="Geen",Methode_Keuze=""),"",AND(W1878&lt;&gt;"",F1878&lt;&gt;"Arbeidskosten"),W1878*VLOOKUP(F1878,Tb_ProjectKosten[],MATCH(Tb_ProjectKosten[[#Headers],[Forfait_Percentage]],Tb_ProjectKosten[#Headers],0),0),AND(F1878="Arbeidskosten",G1878&lt;&gt;""),IFERROR(W1878*VLOOKUP(G1878,Tb_KostenTypen[],3,0)*VLOOKUP(F1878,Tb_ProjectKosten[],MATCH(Tb_ProjectKosten[[#Headers],[Forfait_Percentage]],Tb_ProjectKosten[#Headers],0),0),""),W1878 &lt;=0,0),"")</f>
        <v/>
      </c>
      <c r="AA1878" s="314" t="str" cm="1">
        <f t="array" aca="1" ref="AA1878" ca="1">IFERROR(_xlfn.IFS(OR(F1878="",LEFT(Methode_Keuze,4)="Geen",Methode_Keuze=""),"",AND(X1878&lt;&gt;"",F1878&lt;&gt;"Arbeidskosten"),X1878*VLOOKUP(F1878,Tb_ProjectKosten[],MATCH(Tb_ProjectKosten[[#Headers],[Forfait_Percentage]],Tb_ProjectKosten[#Headers],0),0),AND(F1878="Arbeidskosten",G1878&lt;&gt;""),IFERROR(X1878*VLOOKUP(G1878,Tb_KostenTypen[],3,0)*VLOOKUP(F1878,Tb_ProjectKosten[],MATCH(Tb_ProjectKosten[[#Headers],[Forfait_Percentage]],Tb_ProjectKosten[#Headers],0),0),""),X1878 &lt;=0,0),"")</f>
        <v/>
      </c>
      <c r="AB1878" s="314" t="str">
        <f t="shared" ca="1" si="119"/>
        <v/>
      </c>
      <c r="AC1878" s="322"/>
      <c r="AD1878" s="315"/>
      <c r="AE1878" s="32" t="str" cm="1">
        <f t="array" ref="AE1878">IFERROR(IF(INDEX(SubsidieTabel!$AD$1:$AG$12,MATCH($F1878,SubsidieTabel!$AD$1:$AD$12,0),IFERROR(MATCH(Methode_Keuze,SubsidieTabel!$AD$1:$AG$1,0),2))&lt;&gt;1=TRUE,"ja",""),"")</f>
        <v/>
      </c>
    </row>
    <row r="1879" spans="1:31" x14ac:dyDescent="0.25">
      <c r="A1879" s="316"/>
      <c r="B1879" s="317" t="str">
        <f>IF(A1879&lt;&gt;"",_xlfn.MAXIFS($B$1:B1878,$A$1:A1878,A1879)+1,"")</f>
        <v/>
      </c>
      <c r="C1879" s="296"/>
      <c r="D1879" s="296"/>
      <c r="E1879" s="296"/>
      <c r="F1879" s="296"/>
      <c r="G1879" s="326"/>
      <c r="H1879" s="324"/>
      <c r="I1879" s="325"/>
      <c r="J1879" s="325"/>
      <c r="K1879" s="318"/>
      <c r="L1879" s="318"/>
      <c r="M1879" s="319" t="str">
        <f>IFERROR(VLOOKUP(H1879,Lijsten!$H$1:$I$100,2,0),"")</f>
        <v/>
      </c>
      <c r="N1879" s="319" t="str">
        <f ca="1">IFERROR(IF(VLOOKUP(F1879,Kostentypen!$A$3:$E$21,3,0)=0,"",IF(OR(F1879="Arbeidskosten",F1879="Vergoeding"),VLOOKUP(G1879,Tb_KostenTypen[],2,0),VLOOKUP(F1879,Kostentypen!$A$3:$E$20,3,0))),"")</f>
        <v/>
      </c>
      <c r="O1879" s="320" t="str" cm="1">
        <f t="array" ref="O1879">_xlfn.IFNA(IF(INDEX(Tb_KostenOptiesDB[],MATCH($F1879,Tb_KostenOptiesDB[KostenOptie],0),IFERROR(MATCH(Methode_Keuze,Tb_KostenOptiesDB[#Headers],0),2))=1,_xlfn.SWITCH($N1879,"Uurtarief",IF(OR(AND(RIGHT($F1879,3)="IKS",VLOOKUP($M1879,DB_Loonkosten,2,0)="Ja"),AND(RIGHT($F1879,3)&lt;&gt;"IKS",VLOOKUP($M1879,DB_Loonkosten,2,0)="Nee")),IFERROR(VLOOKUP($M1879,DB_Loonkosten,24,0),""),0),"Vast tarief",IF(LEFT(F1879,8)="Bijdrage",VLOOKUP($F1879,Tb_KostenTypen[],MATCH(Lijsten!$P$1,Tb_KostenTypen[#Headers],0),0),VLOOKUP($G1879,Lijsten!L:P,MATCH(Lijsten!$P$1,Kop_Tarief_Vast,0),0))),""),"")</f>
        <v/>
      </c>
      <c r="P1879" s="320" t="str" cm="1">
        <f t="array" ref="P1879">_xlfn.IFNA(IF(INDEX(Tb_KostenOptiesDB[],MATCH($F1879,Tb_KostenOptiesDB[KostenOptie],0),IFERROR(MATCH(Methode_Keuze,Tb_KostenOptiesDB[#Headers],0),2))=1,_xlfn.SWITCH($N1879,"Uurtarief",IF(OR(AND(RIGHT($F1879,3)="IKS",VLOOKUP($M1879,DB_Loonkosten,2,0)="Ja"),AND(RIGHT($F1879,3)&lt;&gt;"IKS",VLOOKUP($M1879,DB_Loonkosten,2,0)="Nee")),IFERROR(VLOOKUP($M1879,DB_Loonkosten,25,0),""),0),"Vast tarief",IF(LEFT(F1879,8)="Bijdrage",VLOOKUP($F1879,Tb_KostenTypen[],MATCH(Lijsten!$P$1,Tb_KostenTypen[#Headers],0),0),VLOOKUP($G1879,Lijsten!L:P,MATCH(Lijsten!$P$1,Kop_Tarief_Vast,0),0))),""),"")</f>
        <v/>
      </c>
      <c r="Q1879" s="359"/>
      <c r="R1879" s="359"/>
      <c r="S1879" s="321"/>
      <c r="T1879" s="321"/>
      <c r="U1879" s="373" t="str">
        <f t="shared" si="116"/>
        <v/>
      </c>
      <c r="V1879" s="314" t="str">
        <f t="shared" si="117"/>
        <v/>
      </c>
      <c r="W1879" s="314" t="str" cm="1">
        <f t="array" aca="1" ref="W1879" ca="1">IFERROR(IF(AE1879&lt;&gt;"ja",_xlfn.IFNA(_xlfn.IFS(AND(O1879&lt;&gt;"",F1879&lt;&gt;"",RIGHT($N1879,6)="tarief",F1879="Vergoeding"),SUM(O1879)*FLOOR(SUM(Q1879),0.0001),AND(O1879&lt;&gt;"",F1879&lt;&gt;"",RIGHT($N1879,6)="tarief"),SUM(O1879)*FLOOR(SUM(Q1879),0.01),S1879&gt;0,IF(F1879&lt;&gt;"",FLOOR(SUM(S1879),0.01),"")),""),""),"")</f>
        <v/>
      </c>
      <c r="X1879" s="314" t="str" cm="1">
        <f t="array" aca="1" ref="X1879" ca="1">IFERROR(IF(AE1879&lt;&gt;"ja",_xlfn.IFNA(_xlfn.IFS(AND(P1879&lt;&gt;"",R1879&lt;&gt;"",RIGHT($N1879,6)="tarief",F1879="Vergoeding"),SUM(P1879)*FLOOR(SUM(R1879),0.0001),AND(P1879&lt;&gt;"",R1879&lt;&gt;"",RIGHT($N1879,6)="tarief"),P1879*FLOOR(R1879,0.01),T1879&gt;0,FLOOR(SUM(T1879),0.01)),""),""),"")</f>
        <v/>
      </c>
      <c r="Y1879" s="314" t="str">
        <f t="shared" ca="1" si="118"/>
        <v/>
      </c>
      <c r="Z1879" s="314" t="str" cm="1">
        <f t="array" aca="1" ref="Z1879" ca="1">IFERROR(_xlfn.IFS(OR(F1879="",LEFT(Methode_Keuze,4)="Geen",Methode_Keuze=""),"",AND(W1879&lt;&gt;"",F1879&lt;&gt;"Arbeidskosten"),W1879*VLOOKUP(F1879,Tb_ProjectKosten[],MATCH(Tb_ProjectKosten[[#Headers],[Forfait_Percentage]],Tb_ProjectKosten[#Headers],0),0),AND(F1879="Arbeidskosten",G1879&lt;&gt;""),IFERROR(W1879*VLOOKUP(G1879,Tb_KostenTypen[],3,0)*VLOOKUP(F1879,Tb_ProjectKosten[],MATCH(Tb_ProjectKosten[[#Headers],[Forfait_Percentage]],Tb_ProjectKosten[#Headers],0),0),""),W1879 &lt;=0,0),"")</f>
        <v/>
      </c>
      <c r="AA1879" s="314" t="str" cm="1">
        <f t="array" aca="1" ref="AA1879" ca="1">IFERROR(_xlfn.IFS(OR(F1879="",LEFT(Methode_Keuze,4)="Geen",Methode_Keuze=""),"",AND(X1879&lt;&gt;"",F1879&lt;&gt;"Arbeidskosten"),X1879*VLOOKUP(F1879,Tb_ProjectKosten[],MATCH(Tb_ProjectKosten[[#Headers],[Forfait_Percentage]],Tb_ProjectKosten[#Headers],0),0),AND(F1879="Arbeidskosten",G1879&lt;&gt;""),IFERROR(X1879*VLOOKUP(G1879,Tb_KostenTypen[],3,0)*VLOOKUP(F1879,Tb_ProjectKosten[],MATCH(Tb_ProjectKosten[[#Headers],[Forfait_Percentage]],Tb_ProjectKosten[#Headers],0),0),""),X1879 &lt;=0,0),"")</f>
        <v/>
      </c>
      <c r="AB1879" s="314" t="str">
        <f t="shared" ca="1" si="119"/>
        <v/>
      </c>
      <c r="AC1879" s="322"/>
      <c r="AD1879" s="315"/>
      <c r="AE1879" s="32" t="str" cm="1">
        <f t="array" ref="AE1879">IFERROR(IF(INDEX(SubsidieTabel!$AD$1:$AG$12,MATCH($F1879,SubsidieTabel!$AD$1:$AD$12,0),IFERROR(MATCH(Methode_Keuze,SubsidieTabel!$AD$1:$AG$1,0),2))&lt;&gt;1=TRUE,"ja",""),"")</f>
        <v/>
      </c>
    </row>
    <row r="1880" spans="1:31" x14ac:dyDescent="0.25">
      <c r="A1880" s="316"/>
      <c r="B1880" s="317" t="str">
        <f>IF(A1880&lt;&gt;"",_xlfn.MAXIFS($B$1:B1879,$A$1:A1879,A1880)+1,"")</f>
        <v/>
      </c>
      <c r="C1880" s="296"/>
      <c r="D1880" s="296"/>
      <c r="E1880" s="296"/>
      <c r="F1880" s="296"/>
      <c r="G1880" s="326"/>
      <c r="H1880" s="324"/>
      <c r="I1880" s="325"/>
      <c r="J1880" s="325"/>
      <c r="K1880" s="318"/>
      <c r="L1880" s="318"/>
      <c r="M1880" s="319" t="str">
        <f>IFERROR(VLOOKUP(H1880,Lijsten!$H$1:$I$100,2,0),"")</f>
        <v/>
      </c>
      <c r="N1880" s="319" t="str">
        <f ca="1">IFERROR(IF(VLOOKUP(F1880,Kostentypen!$A$3:$E$21,3,0)=0,"",IF(OR(F1880="Arbeidskosten",F1880="Vergoeding"),VLOOKUP(G1880,Tb_KostenTypen[],2,0),VLOOKUP(F1880,Kostentypen!$A$3:$E$20,3,0))),"")</f>
        <v/>
      </c>
      <c r="O1880" s="320" t="str" cm="1">
        <f t="array" ref="O1880">_xlfn.IFNA(IF(INDEX(Tb_KostenOptiesDB[],MATCH($F1880,Tb_KostenOptiesDB[KostenOptie],0),IFERROR(MATCH(Methode_Keuze,Tb_KostenOptiesDB[#Headers],0),2))=1,_xlfn.SWITCH($N1880,"Uurtarief",IF(OR(AND(RIGHT($F1880,3)="IKS",VLOOKUP($M1880,DB_Loonkosten,2,0)="Ja"),AND(RIGHT($F1880,3)&lt;&gt;"IKS",VLOOKUP($M1880,DB_Loonkosten,2,0)="Nee")),IFERROR(VLOOKUP($M1880,DB_Loonkosten,24,0),""),0),"Vast tarief",IF(LEFT(F1880,8)="Bijdrage",VLOOKUP($F1880,Tb_KostenTypen[],MATCH(Lijsten!$P$1,Tb_KostenTypen[#Headers],0),0),VLOOKUP($G1880,Lijsten!L:P,MATCH(Lijsten!$P$1,Kop_Tarief_Vast,0),0))),""),"")</f>
        <v/>
      </c>
      <c r="P1880" s="320" t="str" cm="1">
        <f t="array" ref="P1880">_xlfn.IFNA(IF(INDEX(Tb_KostenOptiesDB[],MATCH($F1880,Tb_KostenOptiesDB[KostenOptie],0),IFERROR(MATCH(Methode_Keuze,Tb_KostenOptiesDB[#Headers],0),2))=1,_xlfn.SWITCH($N1880,"Uurtarief",IF(OR(AND(RIGHT($F1880,3)="IKS",VLOOKUP($M1880,DB_Loonkosten,2,0)="Ja"),AND(RIGHT($F1880,3)&lt;&gt;"IKS",VLOOKUP($M1880,DB_Loonkosten,2,0)="Nee")),IFERROR(VLOOKUP($M1880,DB_Loonkosten,25,0),""),0),"Vast tarief",IF(LEFT(F1880,8)="Bijdrage",VLOOKUP($F1880,Tb_KostenTypen[],MATCH(Lijsten!$P$1,Tb_KostenTypen[#Headers],0),0),VLOOKUP($G1880,Lijsten!L:P,MATCH(Lijsten!$P$1,Kop_Tarief_Vast,0),0))),""),"")</f>
        <v/>
      </c>
      <c r="Q1880" s="359"/>
      <c r="R1880" s="359"/>
      <c r="S1880" s="321"/>
      <c r="T1880" s="321"/>
      <c r="U1880" s="373" t="str">
        <f t="shared" si="116"/>
        <v/>
      </c>
      <c r="V1880" s="314" t="str">
        <f t="shared" si="117"/>
        <v/>
      </c>
      <c r="W1880" s="314" t="str" cm="1">
        <f t="array" aca="1" ref="W1880" ca="1">IFERROR(IF(AE1880&lt;&gt;"ja",_xlfn.IFNA(_xlfn.IFS(AND(O1880&lt;&gt;"",F1880&lt;&gt;"",RIGHT($N1880,6)="tarief",F1880="Vergoeding"),SUM(O1880)*FLOOR(SUM(Q1880),0.0001),AND(O1880&lt;&gt;"",F1880&lt;&gt;"",RIGHT($N1880,6)="tarief"),SUM(O1880)*FLOOR(SUM(Q1880),0.01),S1880&gt;0,IF(F1880&lt;&gt;"",FLOOR(SUM(S1880),0.01),"")),""),""),"")</f>
        <v/>
      </c>
      <c r="X1880" s="314" t="str" cm="1">
        <f t="array" aca="1" ref="X1880" ca="1">IFERROR(IF(AE1880&lt;&gt;"ja",_xlfn.IFNA(_xlfn.IFS(AND(P1880&lt;&gt;"",R1880&lt;&gt;"",RIGHT($N1880,6)="tarief",F1880="Vergoeding"),SUM(P1880)*FLOOR(SUM(R1880),0.0001),AND(P1880&lt;&gt;"",R1880&lt;&gt;"",RIGHT($N1880,6)="tarief"),P1880*FLOOR(R1880,0.01),T1880&gt;0,FLOOR(SUM(T1880),0.01)),""),""),"")</f>
        <v/>
      </c>
      <c r="Y1880" s="314" t="str">
        <f t="shared" ca="1" si="118"/>
        <v/>
      </c>
      <c r="Z1880" s="314" t="str" cm="1">
        <f t="array" aca="1" ref="Z1880" ca="1">IFERROR(_xlfn.IFS(OR(F1880="",LEFT(Methode_Keuze,4)="Geen",Methode_Keuze=""),"",AND(W1880&lt;&gt;"",F1880&lt;&gt;"Arbeidskosten"),W1880*VLOOKUP(F1880,Tb_ProjectKosten[],MATCH(Tb_ProjectKosten[[#Headers],[Forfait_Percentage]],Tb_ProjectKosten[#Headers],0),0),AND(F1880="Arbeidskosten",G1880&lt;&gt;""),IFERROR(W1880*VLOOKUP(G1880,Tb_KostenTypen[],3,0)*VLOOKUP(F1880,Tb_ProjectKosten[],MATCH(Tb_ProjectKosten[[#Headers],[Forfait_Percentage]],Tb_ProjectKosten[#Headers],0),0),""),W1880 &lt;=0,0),"")</f>
        <v/>
      </c>
      <c r="AA1880" s="314" t="str" cm="1">
        <f t="array" aca="1" ref="AA1880" ca="1">IFERROR(_xlfn.IFS(OR(F1880="",LEFT(Methode_Keuze,4)="Geen",Methode_Keuze=""),"",AND(X1880&lt;&gt;"",F1880&lt;&gt;"Arbeidskosten"),X1880*VLOOKUP(F1880,Tb_ProjectKosten[],MATCH(Tb_ProjectKosten[[#Headers],[Forfait_Percentage]],Tb_ProjectKosten[#Headers],0),0),AND(F1880="Arbeidskosten",G1880&lt;&gt;""),IFERROR(X1880*VLOOKUP(G1880,Tb_KostenTypen[],3,0)*VLOOKUP(F1880,Tb_ProjectKosten[],MATCH(Tb_ProjectKosten[[#Headers],[Forfait_Percentage]],Tb_ProjectKosten[#Headers],0),0),""),X1880 &lt;=0,0),"")</f>
        <v/>
      </c>
      <c r="AB1880" s="314" t="str">
        <f t="shared" ca="1" si="119"/>
        <v/>
      </c>
      <c r="AC1880" s="322"/>
      <c r="AD1880" s="315"/>
      <c r="AE1880" s="32" t="str" cm="1">
        <f t="array" ref="AE1880">IFERROR(IF(INDEX(SubsidieTabel!$AD$1:$AG$12,MATCH($F1880,SubsidieTabel!$AD$1:$AD$12,0),IFERROR(MATCH(Methode_Keuze,SubsidieTabel!$AD$1:$AG$1,0),2))&lt;&gt;1=TRUE,"ja",""),"")</f>
        <v/>
      </c>
    </row>
    <row r="1881" spans="1:31" x14ac:dyDescent="0.25">
      <c r="A1881" s="316"/>
      <c r="B1881" s="317" t="str">
        <f>IF(A1881&lt;&gt;"",_xlfn.MAXIFS($B$1:B1880,$A$1:A1880,A1881)+1,"")</f>
        <v/>
      </c>
      <c r="C1881" s="296"/>
      <c r="D1881" s="296"/>
      <c r="E1881" s="296"/>
      <c r="F1881" s="296"/>
      <c r="G1881" s="326"/>
      <c r="H1881" s="324"/>
      <c r="I1881" s="325"/>
      <c r="J1881" s="325"/>
      <c r="K1881" s="318"/>
      <c r="L1881" s="318"/>
      <c r="M1881" s="319" t="str">
        <f>IFERROR(VLOOKUP(H1881,Lijsten!$H$1:$I$100,2,0),"")</f>
        <v/>
      </c>
      <c r="N1881" s="319" t="str">
        <f ca="1">IFERROR(IF(VLOOKUP(F1881,Kostentypen!$A$3:$E$21,3,0)=0,"",IF(OR(F1881="Arbeidskosten",F1881="Vergoeding"),VLOOKUP(G1881,Tb_KostenTypen[],2,0),VLOOKUP(F1881,Kostentypen!$A$3:$E$20,3,0))),"")</f>
        <v/>
      </c>
      <c r="O1881" s="320" t="str" cm="1">
        <f t="array" ref="O1881">_xlfn.IFNA(IF(INDEX(Tb_KostenOptiesDB[],MATCH($F1881,Tb_KostenOptiesDB[KostenOptie],0),IFERROR(MATCH(Methode_Keuze,Tb_KostenOptiesDB[#Headers],0),2))=1,_xlfn.SWITCH($N1881,"Uurtarief",IF(OR(AND(RIGHT($F1881,3)="IKS",VLOOKUP($M1881,DB_Loonkosten,2,0)="Ja"),AND(RIGHT($F1881,3)&lt;&gt;"IKS",VLOOKUP($M1881,DB_Loonkosten,2,0)="Nee")),IFERROR(VLOOKUP($M1881,DB_Loonkosten,24,0),""),0),"Vast tarief",IF(LEFT(F1881,8)="Bijdrage",VLOOKUP($F1881,Tb_KostenTypen[],MATCH(Lijsten!$P$1,Tb_KostenTypen[#Headers],0),0),VLOOKUP($G1881,Lijsten!L:P,MATCH(Lijsten!$P$1,Kop_Tarief_Vast,0),0))),""),"")</f>
        <v/>
      </c>
      <c r="P1881" s="320" t="str" cm="1">
        <f t="array" ref="P1881">_xlfn.IFNA(IF(INDEX(Tb_KostenOptiesDB[],MATCH($F1881,Tb_KostenOptiesDB[KostenOptie],0),IFERROR(MATCH(Methode_Keuze,Tb_KostenOptiesDB[#Headers],0),2))=1,_xlfn.SWITCH($N1881,"Uurtarief",IF(OR(AND(RIGHT($F1881,3)="IKS",VLOOKUP($M1881,DB_Loonkosten,2,0)="Ja"),AND(RIGHT($F1881,3)&lt;&gt;"IKS",VLOOKUP($M1881,DB_Loonkosten,2,0)="Nee")),IFERROR(VLOOKUP($M1881,DB_Loonkosten,25,0),""),0),"Vast tarief",IF(LEFT(F1881,8)="Bijdrage",VLOOKUP($F1881,Tb_KostenTypen[],MATCH(Lijsten!$P$1,Tb_KostenTypen[#Headers],0),0),VLOOKUP($G1881,Lijsten!L:P,MATCH(Lijsten!$P$1,Kop_Tarief_Vast,0),0))),""),"")</f>
        <v/>
      </c>
      <c r="Q1881" s="359"/>
      <c r="R1881" s="359"/>
      <c r="S1881" s="321"/>
      <c r="T1881" s="321"/>
      <c r="U1881" s="373" t="str">
        <f t="shared" si="116"/>
        <v/>
      </c>
      <c r="V1881" s="314" t="str">
        <f t="shared" si="117"/>
        <v/>
      </c>
      <c r="W1881" s="314" t="str" cm="1">
        <f t="array" aca="1" ref="W1881" ca="1">IFERROR(IF(AE1881&lt;&gt;"ja",_xlfn.IFNA(_xlfn.IFS(AND(O1881&lt;&gt;"",F1881&lt;&gt;"",RIGHT($N1881,6)="tarief",F1881="Vergoeding"),SUM(O1881)*FLOOR(SUM(Q1881),0.0001),AND(O1881&lt;&gt;"",F1881&lt;&gt;"",RIGHT($N1881,6)="tarief"),SUM(O1881)*FLOOR(SUM(Q1881),0.01),S1881&gt;0,IF(F1881&lt;&gt;"",FLOOR(SUM(S1881),0.01),"")),""),""),"")</f>
        <v/>
      </c>
      <c r="X1881" s="314" t="str" cm="1">
        <f t="array" aca="1" ref="X1881" ca="1">IFERROR(IF(AE1881&lt;&gt;"ja",_xlfn.IFNA(_xlfn.IFS(AND(P1881&lt;&gt;"",R1881&lt;&gt;"",RIGHT($N1881,6)="tarief",F1881="Vergoeding"),SUM(P1881)*FLOOR(SUM(R1881),0.0001),AND(P1881&lt;&gt;"",R1881&lt;&gt;"",RIGHT($N1881,6)="tarief"),P1881*FLOOR(R1881,0.01),T1881&gt;0,FLOOR(SUM(T1881),0.01)),""),""),"")</f>
        <v/>
      </c>
      <c r="Y1881" s="314" t="str">
        <f t="shared" ca="1" si="118"/>
        <v/>
      </c>
      <c r="Z1881" s="314" t="str" cm="1">
        <f t="array" aca="1" ref="Z1881" ca="1">IFERROR(_xlfn.IFS(OR(F1881="",LEFT(Methode_Keuze,4)="Geen",Methode_Keuze=""),"",AND(W1881&lt;&gt;"",F1881&lt;&gt;"Arbeidskosten"),W1881*VLOOKUP(F1881,Tb_ProjectKosten[],MATCH(Tb_ProjectKosten[[#Headers],[Forfait_Percentage]],Tb_ProjectKosten[#Headers],0),0),AND(F1881="Arbeidskosten",G1881&lt;&gt;""),IFERROR(W1881*VLOOKUP(G1881,Tb_KostenTypen[],3,0)*VLOOKUP(F1881,Tb_ProjectKosten[],MATCH(Tb_ProjectKosten[[#Headers],[Forfait_Percentage]],Tb_ProjectKosten[#Headers],0),0),""),W1881 &lt;=0,0),"")</f>
        <v/>
      </c>
      <c r="AA1881" s="314" t="str" cm="1">
        <f t="array" aca="1" ref="AA1881" ca="1">IFERROR(_xlfn.IFS(OR(F1881="",LEFT(Methode_Keuze,4)="Geen",Methode_Keuze=""),"",AND(X1881&lt;&gt;"",F1881&lt;&gt;"Arbeidskosten"),X1881*VLOOKUP(F1881,Tb_ProjectKosten[],MATCH(Tb_ProjectKosten[[#Headers],[Forfait_Percentage]],Tb_ProjectKosten[#Headers],0),0),AND(F1881="Arbeidskosten",G1881&lt;&gt;""),IFERROR(X1881*VLOOKUP(G1881,Tb_KostenTypen[],3,0)*VLOOKUP(F1881,Tb_ProjectKosten[],MATCH(Tb_ProjectKosten[[#Headers],[Forfait_Percentage]],Tb_ProjectKosten[#Headers],0),0),""),X1881 &lt;=0,0),"")</f>
        <v/>
      </c>
      <c r="AB1881" s="314" t="str">
        <f t="shared" ca="1" si="119"/>
        <v/>
      </c>
      <c r="AC1881" s="322"/>
      <c r="AD1881" s="315"/>
      <c r="AE1881" s="32" t="str" cm="1">
        <f t="array" ref="AE1881">IFERROR(IF(INDEX(SubsidieTabel!$AD$1:$AG$12,MATCH($F1881,SubsidieTabel!$AD$1:$AD$12,0),IFERROR(MATCH(Methode_Keuze,SubsidieTabel!$AD$1:$AG$1,0),2))&lt;&gt;1=TRUE,"ja",""),"")</f>
        <v/>
      </c>
    </row>
    <row r="1882" spans="1:31" x14ac:dyDescent="0.25">
      <c r="A1882" s="316"/>
      <c r="B1882" s="317" t="str">
        <f>IF(A1882&lt;&gt;"",_xlfn.MAXIFS($B$1:B1881,$A$1:A1881,A1882)+1,"")</f>
        <v/>
      </c>
      <c r="C1882" s="296"/>
      <c r="D1882" s="296"/>
      <c r="E1882" s="296"/>
      <c r="F1882" s="296"/>
      <c r="G1882" s="326"/>
      <c r="H1882" s="324"/>
      <c r="I1882" s="325"/>
      <c r="J1882" s="325"/>
      <c r="K1882" s="318"/>
      <c r="L1882" s="318"/>
      <c r="M1882" s="319" t="str">
        <f>IFERROR(VLOOKUP(H1882,Lijsten!$H$1:$I$100,2,0),"")</f>
        <v/>
      </c>
      <c r="N1882" s="319" t="str">
        <f ca="1">IFERROR(IF(VLOOKUP(F1882,Kostentypen!$A$3:$E$21,3,0)=0,"",IF(OR(F1882="Arbeidskosten",F1882="Vergoeding"),VLOOKUP(G1882,Tb_KostenTypen[],2,0),VLOOKUP(F1882,Kostentypen!$A$3:$E$20,3,0))),"")</f>
        <v/>
      </c>
      <c r="O1882" s="320" t="str" cm="1">
        <f t="array" ref="O1882">_xlfn.IFNA(IF(INDEX(Tb_KostenOptiesDB[],MATCH($F1882,Tb_KostenOptiesDB[KostenOptie],0),IFERROR(MATCH(Methode_Keuze,Tb_KostenOptiesDB[#Headers],0),2))=1,_xlfn.SWITCH($N1882,"Uurtarief",IF(OR(AND(RIGHT($F1882,3)="IKS",VLOOKUP($M1882,DB_Loonkosten,2,0)="Ja"),AND(RIGHT($F1882,3)&lt;&gt;"IKS",VLOOKUP($M1882,DB_Loonkosten,2,0)="Nee")),IFERROR(VLOOKUP($M1882,DB_Loonkosten,24,0),""),0),"Vast tarief",IF(LEFT(F1882,8)="Bijdrage",VLOOKUP($F1882,Tb_KostenTypen[],MATCH(Lijsten!$P$1,Tb_KostenTypen[#Headers],0),0),VLOOKUP($G1882,Lijsten!L:P,MATCH(Lijsten!$P$1,Kop_Tarief_Vast,0),0))),""),"")</f>
        <v/>
      </c>
      <c r="P1882" s="320" t="str" cm="1">
        <f t="array" ref="P1882">_xlfn.IFNA(IF(INDEX(Tb_KostenOptiesDB[],MATCH($F1882,Tb_KostenOptiesDB[KostenOptie],0),IFERROR(MATCH(Methode_Keuze,Tb_KostenOptiesDB[#Headers],0),2))=1,_xlfn.SWITCH($N1882,"Uurtarief",IF(OR(AND(RIGHT($F1882,3)="IKS",VLOOKUP($M1882,DB_Loonkosten,2,0)="Ja"),AND(RIGHT($F1882,3)&lt;&gt;"IKS",VLOOKUP($M1882,DB_Loonkosten,2,0)="Nee")),IFERROR(VLOOKUP($M1882,DB_Loonkosten,25,0),""),0),"Vast tarief",IF(LEFT(F1882,8)="Bijdrage",VLOOKUP($F1882,Tb_KostenTypen[],MATCH(Lijsten!$P$1,Tb_KostenTypen[#Headers],0),0),VLOOKUP($G1882,Lijsten!L:P,MATCH(Lijsten!$P$1,Kop_Tarief_Vast,0),0))),""),"")</f>
        <v/>
      </c>
      <c r="Q1882" s="359"/>
      <c r="R1882" s="359"/>
      <c r="S1882" s="321"/>
      <c r="T1882" s="321"/>
      <c r="U1882" s="373" t="str">
        <f t="shared" si="116"/>
        <v/>
      </c>
      <c r="V1882" s="314" t="str">
        <f t="shared" si="117"/>
        <v/>
      </c>
      <c r="W1882" s="314" t="str" cm="1">
        <f t="array" aca="1" ref="W1882" ca="1">IFERROR(IF(AE1882&lt;&gt;"ja",_xlfn.IFNA(_xlfn.IFS(AND(O1882&lt;&gt;"",F1882&lt;&gt;"",RIGHT($N1882,6)="tarief",F1882="Vergoeding"),SUM(O1882)*FLOOR(SUM(Q1882),0.0001),AND(O1882&lt;&gt;"",F1882&lt;&gt;"",RIGHT($N1882,6)="tarief"),SUM(O1882)*FLOOR(SUM(Q1882),0.01),S1882&gt;0,IF(F1882&lt;&gt;"",FLOOR(SUM(S1882),0.01),"")),""),""),"")</f>
        <v/>
      </c>
      <c r="X1882" s="314" t="str" cm="1">
        <f t="array" aca="1" ref="X1882" ca="1">IFERROR(IF(AE1882&lt;&gt;"ja",_xlfn.IFNA(_xlfn.IFS(AND(P1882&lt;&gt;"",R1882&lt;&gt;"",RIGHT($N1882,6)="tarief",F1882="Vergoeding"),SUM(P1882)*FLOOR(SUM(R1882),0.0001),AND(P1882&lt;&gt;"",R1882&lt;&gt;"",RIGHT($N1882,6)="tarief"),P1882*FLOOR(R1882,0.01),T1882&gt;0,FLOOR(SUM(T1882),0.01)),""),""),"")</f>
        <v/>
      </c>
      <c r="Y1882" s="314" t="str">
        <f t="shared" ca="1" si="118"/>
        <v/>
      </c>
      <c r="Z1882" s="314" t="str" cm="1">
        <f t="array" aca="1" ref="Z1882" ca="1">IFERROR(_xlfn.IFS(OR(F1882="",LEFT(Methode_Keuze,4)="Geen",Methode_Keuze=""),"",AND(W1882&lt;&gt;"",F1882&lt;&gt;"Arbeidskosten"),W1882*VLOOKUP(F1882,Tb_ProjectKosten[],MATCH(Tb_ProjectKosten[[#Headers],[Forfait_Percentage]],Tb_ProjectKosten[#Headers],0),0),AND(F1882="Arbeidskosten",G1882&lt;&gt;""),IFERROR(W1882*VLOOKUP(G1882,Tb_KostenTypen[],3,0)*VLOOKUP(F1882,Tb_ProjectKosten[],MATCH(Tb_ProjectKosten[[#Headers],[Forfait_Percentage]],Tb_ProjectKosten[#Headers],0),0),""),W1882 &lt;=0,0),"")</f>
        <v/>
      </c>
      <c r="AA1882" s="314" t="str" cm="1">
        <f t="array" aca="1" ref="AA1882" ca="1">IFERROR(_xlfn.IFS(OR(F1882="",LEFT(Methode_Keuze,4)="Geen",Methode_Keuze=""),"",AND(X1882&lt;&gt;"",F1882&lt;&gt;"Arbeidskosten"),X1882*VLOOKUP(F1882,Tb_ProjectKosten[],MATCH(Tb_ProjectKosten[[#Headers],[Forfait_Percentage]],Tb_ProjectKosten[#Headers],0),0),AND(F1882="Arbeidskosten",G1882&lt;&gt;""),IFERROR(X1882*VLOOKUP(G1882,Tb_KostenTypen[],3,0)*VLOOKUP(F1882,Tb_ProjectKosten[],MATCH(Tb_ProjectKosten[[#Headers],[Forfait_Percentage]],Tb_ProjectKosten[#Headers],0),0),""),X1882 &lt;=0,0),"")</f>
        <v/>
      </c>
      <c r="AB1882" s="314" t="str">
        <f t="shared" ca="1" si="119"/>
        <v/>
      </c>
      <c r="AC1882" s="322"/>
      <c r="AD1882" s="315"/>
      <c r="AE1882" s="32" t="str" cm="1">
        <f t="array" ref="AE1882">IFERROR(IF(INDEX(SubsidieTabel!$AD$1:$AG$12,MATCH($F1882,SubsidieTabel!$AD$1:$AD$12,0),IFERROR(MATCH(Methode_Keuze,SubsidieTabel!$AD$1:$AG$1,0),2))&lt;&gt;1=TRUE,"ja",""),"")</f>
        <v/>
      </c>
    </row>
    <row r="1883" spans="1:31" x14ac:dyDescent="0.25">
      <c r="A1883" s="316"/>
      <c r="B1883" s="317" t="str">
        <f>IF(A1883&lt;&gt;"",_xlfn.MAXIFS($B$1:B1882,$A$1:A1882,A1883)+1,"")</f>
        <v/>
      </c>
      <c r="C1883" s="296"/>
      <c r="D1883" s="296"/>
      <c r="E1883" s="296"/>
      <c r="F1883" s="296"/>
      <c r="G1883" s="326"/>
      <c r="H1883" s="324"/>
      <c r="I1883" s="325"/>
      <c r="J1883" s="325"/>
      <c r="K1883" s="318"/>
      <c r="L1883" s="318"/>
      <c r="M1883" s="319" t="str">
        <f>IFERROR(VLOOKUP(H1883,Lijsten!$H$1:$I$100,2,0),"")</f>
        <v/>
      </c>
      <c r="N1883" s="319" t="str">
        <f ca="1">IFERROR(IF(VLOOKUP(F1883,Kostentypen!$A$3:$E$21,3,0)=0,"",IF(OR(F1883="Arbeidskosten",F1883="Vergoeding"),VLOOKUP(G1883,Tb_KostenTypen[],2,0),VLOOKUP(F1883,Kostentypen!$A$3:$E$20,3,0))),"")</f>
        <v/>
      </c>
      <c r="O1883" s="320" t="str" cm="1">
        <f t="array" ref="O1883">_xlfn.IFNA(IF(INDEX(Tb_KostenOptiesDB[],MATCH($F1883,Tb_KostenOptiesDB[KostenOptie],0),IFERROR(MATCH(Methode_Keuze,Tb_KostenOptiesDB[#Headers],0),2))=1,_xlfn.SWITCH($N1883,"Uurtarief",IF(OR(AND(RIGHT($F1883,3)="IKS",VLOOKUP($M1883,DB_Loonkosten,2,0)="Ja"),AND(RIGHT($F1883,3)&lt;&gt;"IKS",VLOOKUP($M1883,DB_Loonkosten,2,0)="Nee")),IFERROR(VLOOKUP($M1883,DB_Loonkosten,24,0),""),0),"Vast tarief",IF(LEFT(F1883,8)="Bijdrage",VLOOKUP($F1883,Tb_KostenTypen[],MATCH(Lijsten!$P$1,Tb_KostenTypen[#Headers],0),0),VLOOKUP($G1883,Lijsten!L:P,MATCH(Lijsten!$P$1,Kop_Tarief_Vast,0),0))),""),"")</f>
        <v/>
      </c>
      <c r="P1883" s="320" t="str" cm="1">
        <f t="array" ref="P1883">_xlfn.IFNA(IF(INDEX(Tb_KostenOptiesDB[],MATCH($F1883,Tb_KostenOptiesDB[KostenOptie],0),IFERROR(MATCH(Methode_Keuze,Tb_KostenOptiesDB[#Headers],0),2))=1,_xlfn.SWITCH($N1883,"Uurtarief",IF(OR(AND(RIGHT($F1883,3)="IKS",VLOOKUP($M1883,DB_Loonkosten,2,0)="Ja"),AND(RIGHT($F1883,3)&lt;&gt;"IKS",VLOOKUP($M1883,DB_Loonkosten,2,0)="Nee")),IFERROR(VLOOKUP($M1883,DB_Loonkosten,25,0),""),0),"Vast tarief",IF(LEFT(F1883,8)="Bijdrage",VLOOKUP($F1883,Tb_KostenTypen[],MATCH(Lijsten!$P$1,Tb_KostenTypen[#Headers],0),0),VLOOKUP($G1883,Lijsten!L:P,MATCH(Lijsten!$P$1,Kop_Tarief_Vast,0),0))),""),"")</f>
        <v/>
      </c>
      <c r="Q1883" s="359"/>
      <c r="R1883" s="359"/>
      <c r="S1883" s="321"/>
      <c r="T1883" s="321"/>
      <c r="U1883" s="373" t="str">
        <f t="shared" si="116"/>
        <v/>
      </c>
      <c r="V1883" s="314" t="str">
        <f t="shared" si="117"/>
        <v/>
      </c>
      <c r="W1883" s="314" t="str" cm="1">
        <f t="array" aca="1" ref="W1883" ca="1">IFERROR(IF(AE1883&lt;&gt;"ja",_xlfn.IFNA(_xlfn.IFS(AND(O1883&lt;&gt;"",F1883&lt;&gt;"",RIGHT($N1883,6)="tarief",F1883="Vergoeding"),SUM(O1883)*FLOOR(SUM(Q1883),0.0001),AND(O1883&lt;&gt;"",F1883&lt;&gt;"",RIGHT($N1883,6)="tarief"),SUM(O1883)*FLOOR(SUM(Q1883),0.01),S1883&gt;0,IF(F1883&lt;&gt;"",FLOOR(SUM(S1883),0.01),"")),""),""),"")</f>
        <v/>
      </c>
      <c r="X1883" s="314" t="str" cm="1">
        <f t="array" aca="1" ref="X1883" ca="1">IFERROR(IF(AE1883&lt;&gt;"ja",_xlfn.IFNA(_xlfn.IFS(AND(P1883&lt;&gt;"",R1883&lt;&gt;"",RIGHT($N1883,6)="tarief",F1883="Vergoeding"),SUM(P1883)*FLOOR(SUM(R1883),0.0001),AND(P1883&lt;&gt;"",R1883&lt;&gt;"",RIGHT($N1883,6)="tarief"),P1883*FLOOR(R1883,0.01),T1883&gt;0,FLOOR(SUM(T1883),0.01)),""),""),"")</f>
        <v/>
      </c>
      <c r="Y1883" s="314" t="str">
        <f t="shared" ca="1" si="118"/>
        <v/>
      </c>
      <c r="Z1883" s="314" t="str" cm="1">
        <f t="array" aca="1" ref="Z1883" ca="1">IFERROR(_xlfn.IFS(OR(F1883="",LEFT(Methode_Keuze,4)="Geen",Methode_Keuze=""),"",AND(W1883&lt;&gt;"",F1883&lt;&gt;"Arbeidskosten"),W1883*VLOOKUP(F1883,Tb_ProjectKosten[],MATCH(Tb_ProjectKosten[[#Headers],[Forfait_Percentage]],Tb_ProjectKosten[#Headers],0),0),AND(F1883="Arbeidskosten",G1883&lt;&gt;""),IFERROR(W1883*VLOOKUP(G1883,Tb_KostenTypen[],3,0)*VLOOKUP(F1883,Tb_ProjectKosten[],MATCH(Tb_ProjectKosten[[#Headers],[Forfait_Percentage]],Tb_ProjectKosten[#Headers],0),0),""),W1883 &lt;=0,0),"")</f>
        <v/>
      </c>
      <c r="AA1883" s="314" t="str" cm="1">
        <f t="array" aca="1" ref="AA1883" ca="1">IFERROR(_xlfn.IFS(OR(F1883="",LEFT(Methode_Keuze,4)="Geen",Methode_Keuze=""),"",AND(X1883&lt;&gt;"",F1883&lt;&gt;"Arbeidskosten"),X1883*VLOOKUP(F1883,Tb_ProjectKosten[],MATCH(Tb_ProjectKosten[[#Headers],[Forfait_Percentage]],Tb_ProjectKosten[#Headers],0),0),AND(F1883="Arbeidskosten",G1883&lt;&gt;""),IFERROR(X1883*VLOOKUP(G1883,Tb_KostenTypen[],3,0)*VLOOKUP(F1883,Tb_ProjectKosten[],MATCH(Tb_ProjectKosten[[#Headers],[Forfait_Percentage]],Tb_ProjectKosten[#Headers],0),0),""),X1883 &lt;=0,0),"")</f>
        <v/>
      </c>
      <c r="AB1883" s="314" t="str">
        <f t="shared" ca="1" si="119"/>
        <v/>
      </c>
      <c r="AC1883" s="322"/>
      <c r="AD1883" s="315"/>
      <c r="AE1883" s="32" t="str" cm="1">
        <f t="array" ref="AE1883">IFERROR(IF(INDEX(SubsidieTabel!$AD$1:$AG$12,MATCH($F1883,SubsidieTabel!$AD$1:$AD$12,0),IFERROR(MATCH(Methode_Keuze,SubsidieTabel!$AD$1:$AG$1,0),2))&lt;&gt;1=TRUE,"ja",""),"")</f>
        <v/>
      </c>
    </row>
    <row r="1884" spans="1:31" x14ac:dyDescent="0.25">
      <c r="A1884" s="316"/>
      <c r="B1884" s="317" t="str">
        <f>IF(A1884&lt;&gt;"",_xlfn.MAXIFS($B$1:B1883,$A$1:A1883,A1884)+1,"")</f>
        <v/>
      </c>
      <c r="C1884" s="296"/>
      <c r="D1884" s="296"/>
      <c r="E1884" s="296"/>
      <c r="F1884" s="296"/>
      <c r="G1884" s="326"/>
      <c r="H1884" s="324"/>
      <c r="I1884" s="325"/>
      <c r="J1884" s="325"/>
      <c r="K1884" s="318"/>
      <c r="L1884" s="318"/>
      <c r="M1884" s="319" t="str">
        <f>IFERROR(VLOOKUP(H1884,Lijsten!$H$1:$I$100,2,0),"")</f>
        <v/>
      </c>
      <c r="N1884" s="319" t="str">
        <f ca="1">IFERROR(IF(VLOOKUP(F1884,Kostentypen!$A$3:$E$21,3,0)=0,"",IF(OR(F1884="Arbeidskosten",F1884="Vergoeding"),VLOOKUP(G1884,Tb_KostenTypen[],2,0),VLOOKUP(F1884,Kostentypen!$A$3:$E$20,3,0))),"")</f>
        <v/>
      </c>
      <c r="O1884" s="320" t="str" cm="1">
        <f t="array" ref="O1884">_xlfn.IFNA(IF(INDEX(Tb_KostenOptiesDB[],MATCH($F1884,Tb_KostenOptiesDB[KostenOptie],0),IFERROR(MATCH(Methode_Keuze,Tb_KostenOptiesDB[#Headers],0),2))=1,_xlfn.SWITCH($N1884,"Uurtarief",IF(OR(AND(RIGHT($F1884,3)="IKS",VLOOKUP($M1884,DB_Loonkosten,2,0)="Ja"),AND(RIGHT($F1884,3)&lt;&gt;"IKS",VLOOKUP($M1884,DB_Loonkosten,2,0)="Nee")),IFERROR(VLOOKUP($M1884,DB_Loonkosten,24,0),""),0),"Vast tarief",IF(LEFT(F1884,8)="Bijdrage",VLOOKUP($F1884,Tb_KostenTypen[],MATCH(Lijsten!$P$1,Tb_KostenTypen[#Headers],0),0),VLOOKUP($G1884,Lijsten!L:P,MATCH(Lijsten!$P$1,Kop_Tarief_Vast,0),0))),""),"")</f>
        <v/>
      </c>
      <c r="P1884" s="320" t="str" cm="1">
        <f t="array" ref="P1884">_xlfn.IFNA(IF(INDEX(Tb_KostenOptiesDB[],MATCH($F1884,Tb_KostenOptiesDB[KostenOptie],0),IFERROR(MATCH(Methode_Keuze,Tb_KostenOptiesDB[#Headers],0),2))=1,_xlfn.SWITCH($N1884,"Uurtarief",IF(OR(AND(RIGHT($F1884,3)="IKS",VLOOKUP($M1884,DB_Loonkosten,2,0)="Ja"),AND(RIGHT($F1884,3)&lt;&gt;"IKS",VLOOKUP($M1884,DB_Loonkosten,2,0)="Nee")),IFERROR(VLOOKUP($M1884,DB_Loonkosten,25,0),""),0),"Vast tarief",IF(LEFT(F1884,8)="Bijdrage",VLOOKUP($F1884,Tb_KostenTypen[],MATCH(Lijsten!$P$1,Tb_KostenTypen[#Headers],0),0),VLOOKUP($G1884,Lijsten!L:P,MATCH(Lijsten!$P$1,Kop_Tarief_Vast,0),0))),""),"")</f>
        <v/>
      </c>
      <c r="Q1884" s="359"/>
      <c r="R1884" s="359"/>
      <c r="S1884" s="321"/>
      <c r="T1884" s="321"/>
      <c r="U1884" s="373" t="str">
        <f t="shared" si="116"/>
        <v/>
      </c>
      <c r="V1884" s="314" t="str">
        <f t="shared" si="117"/>
        <v/>
      </c>
      <c r="W1884" s="314" t="str" cm="1">
        <f t="array" aca="1" ref="W1884" ca="1">IFERROR(IF(AE1884&lt;&gt;"ja",_xlfn.IFNA(_xlfn.IFS(AND(O1884&lt;&gt;"",F1884&lt;&gt;"",RIGHT($N1884,6)="tarief",F1884="Vergoeding"),SUM(O1884)*FLOOR(SUM(Q1884),0.0001),AND(O1884&lt;&gt;"",F1884&lt;&gt;"",RIGHT($N1884,6)="tarief"),SUM(O1884)*FLOOR(SUM(Q1884),0.01),S1884&gt;0,IF(F1884&lt;&gt;"",FLOOR(SUM(S1884),0.01),"")),""),""),"")</f>
        <v/>
      </c>
      <c r="X1884" s="314" t="str" cm="1">
        <f t="array" aca="1" ref="X1884" ca="1">IFERROR(IF(AE1884&lt;&gt;"ja",_xlfn.IFNA(_xlfn.IFS(AND(P1884&lt;&gt;"",R1884&lt;&gt;"",RIGHT($N1884,6)="tarief",F1884="Vergoeding"),SUM(P1884)*FLOOR(SUM(R1884),0.0001),AND(P1884&lt;&gt;"",R1884&lt;&gt;"",RIGHT($N1884,6)="tarief"),P1884*FLOOR(R1884,0.01),T1884&gt;0,FLOOR(SUM(T1884),0.01)),""),""),"")</f>
        <v/>
      </c>
      <c r="Y1884" s="314" t="str">
        <f t="shared" ca="1" si="118"/>
        <v/>
      </c>
      <c r="Z1884" s="314" t="str" cm="1">
        <f t="array" aca="1" ref="Z1884" ca="1">IFERROR(_xlfn.IFS(OR(F1884="",LEFT(Methode_Keuze,4)="Geen",Methode_Keuze=""),"",AND(W1884&lt;&gt;"",F1884&lt;&gt;"Arbeidskosten"),W1884*VLOOKUP(F1884,Tb_ProjectKosten[],MATCH(Tb_ProjectKosten[[#Headers],[Forfait_Percentage]],Tb_ProjectKosten[#Headers],0),0),AND(F1884="Arbeidskosten",G1884&lt;&gt;""),IFERROR(W1884*VLOOKUP(G1884,Tb_KostenTypen[],3,0)*VLOOKUP(F1884,Tb_ProjectKosten[],MATCH(Tb_ProjectKosten[[#Headers],[Forfait_Percentage]],Tb_ProjectKosten[#Headers],0),0),""),W1884 &lt;=0,0),"")</f>
        <v/>
      </c>
      <c r="AA1884" s="314" t="str" cm="1">
        <f t="array" aca="1" ref="AA1884" ca="1">IFERROR(_xlfn.IFS(OR(F1884="",LEFT(Methode_Keuze,4)="Geen",Methode_Keuze=""),"",AND(X1884&lt;&gt;"",F1884&lt;&gt;"Arbeidskosten"),X1884*VLOOKUP(F1884,Tb_ProjectKosten[],MATCH(Tb_ProjectKosten[[#Headers],[Forfait_Percentage]],Tb_ProjectKosten[#Headers],0),0),AND(F1884="Arbeidskosten",G1884&lt;&gt;""),IFERROR(X1884*VLOOKUP(G1884,Tb_KostenTypen[],3,0)*VLOOKUP(F1884,Tb_ProjectKosten[],MATCH(Tb_ProjectKosten[[#Headers],[Forfait_Percentage]],Tb_ProjectKosten[#Headers],0),0),""),X1884 &lt;=0,0),"")</f>
        <v/>
      </c>
      <c r="AB1884" s="314" t="str">
        <f t="shared" ca="1" si="119"/>
        <v/>
      </c>
      <c r="AC1884" s="322"/>
      <c r="AD1884" s="315"/>
      <c r="AE1884" s="32" t="str" cm="1">
        <f t="array" ref="AE1884">IFERROR(IF(INDEX(SubsidieTabel!$AD$1:$AG$12,MATCH($F1884,SubsidieTabel!$AD$1:$AD$12,0),IFERROR(MATCH(Methode_Keuze,SubsidieTabel!$AD$1:$AG$1,0),2))&lt;&gt;1=TRUE,"ja",""),"")</f>
        <v/>
      </c>
    </row>
    <row r="1885" spans="1:31" x14ac:dyDescent="0.25">
      <c r="A1885" s="316"/>
      <c r="B1885" s="317" t="str">
        <f>IF(A1885&lt;&gt;"",_xlfn.MAXIFS($B$1:B1884,$A$1:A1884,A1885)+1,"")</f>
        <v/>
      </c>
      <c r="C1885" s="296"/>
      <c r="D1885" s="296"/>
      <c r="E1885" s="296"/>
      <c r="F1885" s="296"/>
      <c r="G1885" s="326"/>
      <c r="H1885" s="324"/>
      <c r="I1885" s="325"/>
      <c r="J1885" s="325"/>
      <c r="K1885" s="318"/>
      <c r="L1885" s="318"/>
      <c r="M1885" s="319" t="str">
        <f>IFERROR(VLOOKUP(H1885,Lijsten!$H$1:$I$100,2,0),"")</f>
        <v/>
      </c>
      <c r="N1885" s="319" t="str">
        <f ca="1">IFERROR(IF(VLOOKUP(F1885,Kostentypen!$A$3:$E$21,3,0)=0,"",IF(OR(F1885="Arbeidskosten",F1885="Vergoeding"),VLOOKUP(G1885,Tb_KostenTypen[],2,0),VLOOKUP(F1885,Kostentypen!$A$3:$E$20,3,0))),"")</f>
        <v/>
      </c>
      <c r="O1885" s="320" t="str" cm="1">
        <f t="array" ref="O1885">_xlfn.IFNA(IF(INDEX(Tb_KostenOptiesDB[],MATCH($F1885,Tb_KostenOptiesDB[KostenOptie],0),IFERROR(MATCH(Methode_Keuze,Tb_KostenOptiesDB[#Headers],0),2))=1,_xlfn.SWITCH($N1885,"Uurtarief",IF(OR(AND(RIGHT($F1885,3)="IKS",VLOOKUP($M1885,DB_Loonkosten,2,0)="Ja"),AND(RIGHT($F1885,3)&lt;&gt;"IKS",VLOOKUP($M1885,DB_Loonkosten,2,0)="Nee")),IFERROR(VLOOKUP($M1885,DB_Loonkosten,24,0),""),0),"Vast tarief",IF(LEFT(F1885,8)="Bijdrage",VLOOKUP($F1885,Tb_KostenTypen[],MATCH(Lijsten!$P$1,Tb_KostenTypen[#Headers],0),0),VLOOKUP($G1885,Lijsten!L:P,MATCH(Lijsten!$P$1,Kop_Tarief_Vast,0),0))),""),"")</f>
        <v/>
      </c>
      <c r="P1885" s="320" t="str" cm="1">
        <f t="array" ref="P1885">_xlfn.IFNA(IF(INDEX(Tb_KostenOptiesDB[],MATCH($F1885,Tb_KostenOptiesDB[KostenOptie],0),IFERROR(MATCH(Methode_Keuze,Tb_KostenOptiesDB[#Headers],0),2))=1,_xlfn.SWITCH($N1885,"Uurtarief",IF(OR(AND(RIGHT($F1885,3)="IKS",VLOOKUP($M1885,DB_Loonkosten,2,0)="Ja"),AND(RIGHT($F1885,3)&lt;&gt;"IKS",VLOOKUP($M1885,DB_Loonkosten,2,0)="Nee")),IFERROR(VLOOKUP($M1885,DB_Loonkosten,25,0),""),0),"Vast tarief",IF(LEFT(F1885,8)="Bijdrage",VLOOKUP($F1885,Tb_KostenTypen[],MATCH(Lijsten!$P$1,Tb_KostenTypen[#Headers],0),0),VLOOKUP($G1885,Lijsten!L:P,MATCH(Lijsten!$P$1,Kop_Tarief_Vast,0),0))),""),"")</f>
        <v/>
      </c>
      <c r="Q1885" s="359"/>
      <c r="R1885" s="359"/>
      <c r="S1885" s="321"/>
      <c r="T1885" s="321"/>
      <c r="U1885" s="373" t="str">
        <f t="shared" si="116"/>
        <v/>
      </c>
      <c r="V1885" s="314" t="str">
        <f t="shared" si="117"/>
        <v/>
      </c>
      <c r="W1885" s="314" t="str" cm="1">
        <f t="array" aca="1" ref="W1885" ca="1">IFERROR(IF(AE1885&lt;&gt;"ja",_xlfn.IFNA(_xlfn.IFS(AND(O1885&lt;&gt;"",F1885&lt;&gt;"",RIGHT($N1885,6)="tarief",F1885="Vergoeding"),SUM(O1885)*FLOOR(SUM(Q1885),0.0001),AND(O1885&lt;&gt;"",F1885&lt;&gt;"",RIGHT($N1885,6)="tarief"),SUM(O1885)*FLOOR(SUM(Q1885),0.01),S1885&gt;0,IF(F1885&lt;&gt;"",FLOOR(SUM(S1885),0.01),"")),""),""),"")</f>
        <v/>
      </c>
      <c r="X1885" s="314" t="str" cm="1">
        <f t="array" aca="1" ref="X1885" ca="1">IFERROR(IF(AE1885&lt;&gt;"ja",_xlfn.IFNA(_xlfn.IFS(AND(P1885&lt;&gt;"",R1885&lt;&gt;"",RIGHT($N1885,6)="tarief",F1885="Vergoeding"),SUM(P1885)*FLOOR(SUM(R1885),0.0001),AND(P1885&lt;&gt;"",R1885&lt;&gt;"",RIGHT($N1885,6)="tarief"),P1885*FLOOR(R1885,0.01),T1885&gt;0,FLOOR(SUM(T1885),0.01)),""),""),"")</f>
        <v/>
      </c>
      <c r="Y1885" s="314" t="str">
        <f t="shared" ca="1" si="118"/>
        <v/>
      </c>
      <c r="Z1885" s="314" t="str" cm="1">
        <f t="array" aca="1" ref="Z1885" ca="1">IFERROR(_xlfn.IFS(OR(F1885="",LEFT(Methode_Keuze,4)="Geen",Methode_Keuze=""),"",AND(W1885&lt;&gt;"",F1885&lt;&gt;"Arbeidskosten"),W1885*VLOOKUP(F1885,Tb_ProjectKosten[],MATCH(Tb_ProjectKosten[[#Headers],[Forfait_Percentage]],Tb_ProjectKosten[#Headers],0),0),AND(F1885="Arbeidskosten",G1885&lt;&gt;""),IFERROR(W1885*VLOOKUP(G1885,Tb_KostenTypen[],3,0)*VLOOKUP(F1885,Tb_ProjectKosten[],MATCH(Tb_ProjectKosten[[#Headers],[Forfait_Percentage]],Tb_ProjectKosten[#Headers],0),0),""),W1885 &lt;=0,0),"")</f>
        <v/>
      </c>
      <c r="AA1885" s="314" t="str" cm="1">
        <f t="array" aca="1" ref="AA1885" ca="1">IFERROR(_xlfn.IFS(OR(F1885="",LEFT(Methode_Keuze,4)="Geen",Methode_Keuze=""),"",AND(X1885&lt;&gt;"",F1885&lt;&gt;"Arbeidskosten"),X1885*VLOOKUP(F1885,Tb_ProjectKosten[],MATCH(Tb_ProjectKosten[[#Headers],[Forfait_Percentage]],Tb_ProjectKosten[#Headers],0),0),AND(F1885="Arbeidskosten",G1885&lt;&gt;""),IFERROR(X1885*VLOOKUP(G1885,Tb_KostenTypen[],3,0)*VLOOKUP(F1885,Tb_ProjectKosten[],MATCH(Tb_ProjectKosten[[#Headers],[Forfait_Percentage]],Tb_ProjectKosten[#Headers],0),0),""),X1885 &lt;=0,0),"")</f>
        <v/>
      </c>
      <c r="AB1885" s="314" t="str">
        <f t="shared" ca="1" si="119"/>
        <v/>
      </c>
      <c r="AC1885" s="322"/>
      <c r="AD1885" s="315"/>
      <c r="AE1885" s="32" t="str" cm="1">
        <f t="array" ref="AE1885">IFERROR(IF(INDEX(SubsidieTabel!$AD$1:$AG$12,MATCH($F1885,SubsidieTabel!$AD$1:$AD$12,0),IFERROR(MATCH(Methode_Keuze,SubsidieTabel!$AD$1:$AG$1,0),2))&lt;&gt;1=TRUE,"ja",""),"")</f>
        <v/>
      </c>
    </row>
    <row r="1886" spans="1:31" x14ac:dyDescent="0.25">
      <c r="A1886" s="316"/>
      <c r="B1886" s="317" t="str">
        <f>IF(A1886&lt;&gt;"",_xlfn.MAXIFS($B$1:B1885,$A$1:A1885,A1886)+1,"")</f>
        <v/>
      </c>
      <c r="C1886" s="296"/>
      <c r="D1886" s="296"/>
      <c r="E1886" s="296"/>
      <c r="F1886" s="296"/>
      <c r="G1886" s="326"/>
      <c r="H1886" s="324"/>
      <c r="I1886" s="325"/>
      <c r="J1886" s="325"/>
      <c r="K1886" s="318"/>
      <c r="L1886" s="318"/>
      <c r="M1886" s="319" t="str">
        <f>IFERROR(VLOOKUP(H1886,Lijsten!$H$1:$I$100,2,0),"")</f>
        <v/>
      </c>
      <c r="N1886" s="319" t="str">
        <f ca="1">IFERROR(IF(VLOOKUP(F1886,Kostentypen!$A$3:$E$21,3,0)=0,"",IF(OR(F1886="Arbeidskosten",F1886="Vergoeding"),VLOOKUP(G1886,Tb_KostenTypen[],2,0),VLOOKUP(F1886,Kostentypen!$A$3:$E$20,3,0))),"")</f>
        <v/>
      </c>
      <c r="O1886" s="320" t="str" cm="1">
        <f t="array" ref="O1886">_xlfn.IFNA(IF(INDEX(Tb_KostenOptiesDB[],MATCH($F1886,Tb_KostenOptiesDB[KostenOptie],0),IFERROR(MATCH(Methode_Keuze,Tb_KostenOptiesDB[#Headers],0),2))=1,_xlfn.SWITCH($N1886,"Uurtarief",IF(OR(AND(RIGHT($F1886,3)="IKS",VLOOKUP($M1886,DB_Loonkosten,2,0)="Ja"),AND(RIGHT($F1886,3)&lt;&gt;"IKS",VLOOKUP($M1886,DB_Loonkosten,2,0)="Nee")),IFERROR(VLOOKUP($M1886,DB_Loonkosten,24,0),""),0),"Vast tarief",IF(LEFT(F1886,8)="Bijdrage",VLOOKUP($F1886,Tb_KostenTypen[],MATCH(Lijsten!$P$1,Tb_KostenTypen[#Headers],0),0),VLOOKUP($G1886,Lijsten!L:P,MATCH(Lijsten!$P$1,Kop_Tarief_Vast,0),0))),""),"")</f>
        <v/>
      </c>
      <c r="P1886" s="320" t="str" cm="1">
        <f t="array" ref="P1886">_xlfn.IFNA(IF(INDEX(Tb_KostenOptiesDB[],MATCH($F1886,Tb_KostenOptiesDB[KostenOptie],0),IFERROR(MATCH(Methode_Keuze,Tb_KostenOptiesDB[#Headers],0),2))=1,_xlfn.SWITCH($N1886,"Uurtarief",IF(OR(AND(RIGHT($F1886,3)="IKS",VLOOKUP($M1886,DB_Loonkosten,2,0)="Ja"),AND(RIGHT($F1886,3)&lt;&gt;"IKS",VLOOKUP($M1886,DB_Loonkosten,2,0)="Nee")),IFERROR(VLOOKUP($M1886,DB_Loonkosten,25,0),""),0),"Vast tarief",IF(LEFT(F1886,8)="Bijdrage",VLOOKUP($F1886,Tb_KostenTypen[],MATCH(Lijsten!$P$1,Tb_KostenTypen[#Headers],0),0),VLOOKUP($G1886,Lijsten!L:P,MATCH(Lijsten!$P$1,Kop_Tarief_Vast,0),0))),""),"")</f>
        <v/>
      </c>
      <c r="Q1886" s="359"/>
      <c r="R1886" s="359"/>
      <c r="S1886" s="321"/>
      <c r="T1886" s="321"/>
      <c r="U1886" s="373" t="str">
        <f t="shared" si="116"/>
        <v/>
      </c>
      <c r="V1886" s="314" t="str">
        <f t="shared" si="117"/>
        <v/>
      </c>
      <c r="W1886" s="314" t="str" cm="1">
        <f t="array" aca="1" ref="W1886" ca="1">IFERROR(IF(AE1886&lt;&gt;"ja",_xlfn.IFNA(_xlfn.IFS(AND(O1886&lt;&gt;"",F1886&lt;&gt;"",RIGHT($N1886,6)="tarief",F1886="Vergoeding"),SUM(O1886)*FLOOR(SUM(Q1886),0.0001),AND(O1886&lt;&gt;"",F1886&lt;&gt;"",RIGHT($N1886,6)="tarief"),SUM(O1886)*FLOOR(SUM(Q1886),0.01),S1886&gt;0,IF(F1886&lt;&gt;"",FLOOR(SUM(S1886),0.01),"")),""),""),"")</f>
        <v/>
      </c>
      <c r="X1886" s="314" t="str" cm="1">
        <f t="array" aca="1" ref="X1886" ca="1">IFERROR(IF(AE1886&lt;&gt;"ja",_xlfn.IFNA(_xlfn.IFS(AND(P1886&lt;&gt;"",R1886&lt;&gt;"",RIGHT($N1886,6)="tarief",F1886="Vergoeding"),SUM(P1886)*FLOOR(SUM(R1886),0.0001),AND(P1886&lt;&gt;"",R1886&lt;&gt;"",RIGHT($N1886,6)="tarief"),P1886*FLOOR(R1886,0.01),T1886&gt;0,FLOOR(SUM(T1886),0.01)),""),""),"")</f>
        <v/>
      </c>
      <c r="Y1886" s="314" t="str">
        <f t="shared" ca="1" si="118"/>
        <v/>
      </c>
      <c r="Z1886" s="314" t="str" cm="1">
        <f t="array" aca="1" ref="Z1886" ca="1">IFERROR(_xlfn.IFS(OR(F1886="",LEFT(Methode_Keuze,4)="Geen",Methode_Keuze=""),"",AND(W1886&lt;&gt;"",F1886&lt;&gt;"Arbeidskosten"),W1886*VLOOKUP(F1886,Tb_ProjectKosten[],MATCH(Tb_ProjectKosten[[#Headers],[Forfait_Percentage]],Tb_ProjectKosten[#Headers],0),0),AND(F1886="Arbeidskosten",G1886&lt;&gt;""),IFERROR(W1886*VLOOKUP(G1886,Tb_KostenTypen[],3,0)*VLOOKUP(F1886,Tb_ProjectKosten[],MATCH(Tb_ProjectKosten[[#Headers],[Forfait_Percentage]],Tb_ProjectKosten[#Headers],0),0),""),W1886 &lt;=0,0),"")</f>
        <v/>
      </c>
      <c r="AA1886" s="314" t="str" cm="1">
        <f t="array" aca="1" ref="AA1886" ca="1">IFERROR(_xlfn.IFS(OR(F1886="",LEFT(Methode_Keuze,4)="Geen",Methode_Keuze=""),"",AND(X1886&lt;&gt;"",F1886&lt;&gt;"Arbeidskosten"),X1886*VLOOKUP(F1886,Tb_ProjectKosten[],MATCH(Tb_ProjectKosten[[#Headers],[Forfait_Percentage]],Tb_ProjectKosten[#Headers],0),0),AND(F1886="Arbeidskosten",G1886&lt;&gt;""),IFERROR(X1886*VLOOKUP(G1886,Tb_KostenTypen[],3,0)*VLOOKUP(F1886,Tb_ProjectKosten[],MATCH(Tb_ProjectKosten[[#Headers],[Forfait_Percentage]],Tb_ProjectKosten[#Headers],0),0),""),X1886 &lt;=0,0),"")</f>
        <v/>
      </c>
      <c r="AB1886" s="314" t="str">
        <f t="shared" ca="1" si="119"/>
        <v/>
      </c>
      <c r="AC1886" s="322"/>
      <c r="AD1886" s="315"/>
      <c r="AE1886" s="32" t="str" cm="1">
        <f t="array" ref="AE1886">IFERROR(IF(INDEX(SubsidieTabel!$AD$1:$AG$12,MATCH($F1886,SubsidieTabel!$AD$1:$AD$12,0),IFERROR(MATCH(Methode_Keuze,SubsidieTabel!$AD$1:$AG$1,0),2))&lt;&gt;1=TRUE,"ja",""),"")</f>
        <v/>
      </c>
    </row>
    <row r="1887" spans="1:31" x14ac:dyDescent="0.25">
      <c r="A1887" s="316"/>
      <c r="B1887" s="317" t="str">
        <f>IF(A1887&lt;&gt;"",_xlfn.MAXIFS($B$1:B1886,$A$1:A1886,A1887)+1,"")</f>
        <v/>
      </c>
      <c r="C1887" s="296"/>
      <c r="D1887" s="296"/>
      <c r="E1887" s="296"/>
      <c r="F1887" s="296"/>
      <c r="G1887" s="326"/>
      <c r="H1887" s="324"/>
      <c r="I1887" s="325"/>
      <c r="J1887" s="325"/>
      <c r="K1887" s="318"/>
      <c r="L1887" s="318"/>
      <c r="M1887" s="319" t="str">
        <f>IFERROR(VLOOKUP(H1887,Lijsten!$H$1:$I$100,2,0),"")</f>
        <v/>
      </c>
      <c r="N1887" s="319" t="str">
        <f ca="1">IFERROR(IF(VLOOKUP(F1887,Kostentypen!$A$3:$E$21,3,0)=0,"",IF(OR(F1887="Arbeidskosten",F1887="Vergoeding"),VLOOKUP(G1887,Tb_KostenTypen[],2,0),VLOOKUP(F1887,Kostentypen!$A$3:$E$20,3,0))),"")</f>
        <v/>
      </c>
      <c r="O1887" s="320" t="str" cm="1">
        <f t="array" ref="O1887">_xlfn.IFNA(IF(INDEX(Tb_KostenOptiesDB[],MATCH($F1887,Tb_KostenOptiesDB[KostenOptie],0),IFERROR(MATCH(Methode_Keuze,Tb_KostenOptiesDB[#Headers],0),2))=1,_xlfn.SWITCH($N1887,"Uurtarief",IF(OR(AND(RIGHT($F1887,3)="IKS",VLOOKUP($M1887,DB_Loonkosten,2,0)="Ja"),AND(RIGHT($F1887,3)&lt;&gt;"IKS",VLOOKUP($M1887,DB_Loonkosten,2,0)="Nee")),IFERROR(VLOOKUP($M1887,DB_Loonkosten,24,0),""),0),"Vast tarief",IF(LEFT(F1887,8)="Bijdrage",VLOOKUP($F1887,Tb_KostenTypen[],MATCH(Lijsten!$P$1,Tb_KostenTypen[#Headers],0),0),VLOOKUP($G1887,Lijsten!L:P,MATCH(Lijsten!$P$1,Kop_Tarief_Vast,0),0))),""),"")</f>
        <v/>
      </c>
      <c r="P1887" s="320" t="str" cm="1">
        <f t="array" ref="P1887">_xlfn.IFNA(IF(INDEX(Tb_KostenOptiesDB[],MATCH($F1887,Tb_KostenOptiesDB[KostenOptie],0),IFERROR(MATCH(Methode_Keuze,Tb_KostenOptiesDB[#Headers],0),2))=1,_xlfn.SWITCH($N1887,"Uurtarief",IF(OR(AND(RIGHT($F1887,3)="IKS",VLOOKUP($M1887,DB_Loonkosten,2,0)="Ja"),AND(RIGHT($F1887,3)&lt;&gt;"IKS",VLOOKUP($M1887,DB_Loonkosten,2,0)="Nee")),IFERROR(VLOOKUP($M1887,DB_Loonkosten,25,0),""),0),"Vast tarief",IF(LEFT(F1887,8)="Bijdrage",VLOOKUP($F1887,Tb_KostenTypen[],MATCH(Lijsten!$P$1,Tb_KostenTypen[#Headers],0),0),VLOOKUP($G1887,Lijsten!L:P,MATCH(Lijsten!$P$1,Kop_Tarief_Vast,0),0))),""),"")</f>
        <v/>
      </c>
      <c r="Q1887" s="359"/>
      <c r="R1887" s="359"/>
      <c r="S1887" s="321"/>
      <c r="T1887" s="321"/>
      <c r="U1887" s="373" t="str">
        <f t="shared" si="116"/>
        <v/>
      </c>
      <c r="V1887" s="314" t="str">
        <f t="shared" si="117"/>
        <v/>
      </c>
      <c r="W1887" s="314" t="str" cm="1">
        <f t="array" aca="1" ref="W1887" ca="1">IFERROR(IF(AE1887&lt;&gt;"ja",_xlfn.IFNA(_xlfn.IFS(AND(O1887&lt;&gt;"",F1887&lt;&gt;"",RIGHT($N1887,6)="tarief",F1887="Vergoeding"),SUM(O1887)*FLOOR(SUM(Q1887),0.0001),AND(O1887&lt;&gt;"",F1887&lt;&gt;"",RIGHT($N1887,6)="tarief"),SUM(O1887)*FLOOR(SUM(Q1887),0.01),S1887&gt;0,IF(F1887&lt;&gt;"",FLOOR(SUM(S1887),0.01),"")),""),""),"")</f>
        <v/>
      </c>
      <c r="X1887" s="314" t="str" cm="1">
        <f t="array" aca="1" ref="X1887" ca="1">IFERROR(IF(AE1887&lt;&gt;"ja",_xlfn.IFNA(_xlfn.IFS(AND(P1887&lt;&gt;"",R1887&lt;&gt;"",RIGHT($N1887,6)="tarief",F1887="Vergoeding"),SUM(P1887)*FLOOR(SUM(R1887),0.0001),AND(P1887&lt;&gt;"",R1887&lt;&gt;"",RIGHT($N1887,6)="tarief"),P1887*FLOOR(R1887,0.01),T1887&gt;0,FLOOR(SUM(T1887),0.01)),""),""),"")</f>
        <v/>
      </c>
      <c r="Y1887" s="314" t="str">
        <f t="shared" ca="1" si="118"/>
        <v/>
      </c>
      <c r="Z1887" s="314" t="str" cm="1">
        <f t="array" aca="1" ref="Z1887" ca="1">IFERROR(_xlfn.IFS(OR(F1887="",LEFT(Methode_Keuze,4)="Geen",Methode_Keuze=""),"",AND(W1887&lt;&gt;"",F1887&lt;&gt;"Arbeidskosten"),W1887*VLOOKUP(F1887,Tb_ProjectKosten[],MATCH(Tb_ProjectKosten[[#Headers],[Forfait_Percentage]],Tb_ProjectKosten[#Headers],0),0),AND(F1887="Arbeidskosten",G1887&lt;&gt;""),IFERROR(W1887*VLOOKUP(G1887,Tb_KostenTypen[],3,0)*VLOOKUP(F1887,Tb_ProjectKosten[],MATCH(Tb_ProjectKosten[[#Headers],[Forfait_Percentage]],Tb_ProjectKosten[#Headers],0),0),""),W1887 &lt;=0,0),"")</f>
        <v/>
      </c>
      <c r="AA1887" s="314" t="str" cm="1">
        <f t="array" aca="1" ref="AA1887" ca="1">IFERROR(_xlfn.IFS(OR(F1887="",LEFT(Methode_Keuze,4)="Geen",Methode_Keuze=""),"",AND(X1887&lt;&gt;"",F1887&lt;&gt;"Arbeidskosten"),X1887*VLOOKUP(F1887,Tb_ProjectKosten[],MATCH(Tb_ProjectKosten[[#Headers],[Forfait_Percentage]],Tb_ProjectKosten[#Headers],0),0),AND(F1887="Arbeidskosten",G1887&lt;&gt;""),IFERROR(X1887*VLOOKUP(G1887,Tb_KostenTypen[],3,0)*VLOOKUP(F1887,Tb_ProjectKosten[],MATCH(Tb_ProjectKosten[[#Headers],[Forfait_Percentage]],Tb_ProjectKosten[#Headers],0),0),""),X1887 &lt;=0,0),"")</f>
        <v/>
      </c>
      <c r="AB1887" s="314" t="str">
        <f t="shared" ca="1" si="119"/>
        <v/>
      </c>
      <c r="AC1887" s="322"/>
      <c r="AD1887" s="315"/>
      <c r="AE1887" s="32" t="str" cm="1">
        <f t="array" ref="AE1887">IFERROR(IF(INDEX(SubsidieTabel!$AD$1:$AG$12,MATCH($F1887,SubsidieTabel!$AD$1:$AD$12,0),IFERROR(MATCH(Methode_Keuze,SubsidieTabel!$AD$1:$AG$1,0),2))&lt;&gt;1=TRUE,"ja",""),"")</f>
        <v/>
      </c>
    </row>
    <row r="1888" spans="1:31" x14ac:dyDescent="0.25">
      <c r="A1888" s="316"/>
      <c r="B1888" s="317" t="str">
        <f>IF(A1888&lt;&gt;"",_xlfn.MAXIFS($B$1:B1887,$A$1:A1887,A1888)+1,"")</f>
        <v/>
      </c>
      <c r="C1888" s="296"/>
      <c r="D1888" s="296"/>
      <c r="E1888" s="296"/>
      <c r="F1888" s="296"/>
      <c r="G1888" s="326"/>
      <c r="H1888" s="324"/>
      <c r="I1888" s="325"/>
      <c r="J1888" s="325"/>
      <c r="K1888" s="318"/>
      <c r="L1888" s="318"/>
      <c r="M1888" s="319" t="str">
        <f>IFERROR(VLOOKUP(H1888,Lijsten!$H$1:$I$100,2,0),"")</f>
        <v/>
      </c>
      <c r="N1888" s="319" t="str">
        <f ca="1">IFERROR(IF(VLOOKUP(F1888,Kostentypen!$A$3:$E$21,3,0)=0,"",IF(OR(F1888="Arbeidskosten",F1888="Vergoeding"),VLOOKUP(G1888,Tb_KostenTypen[],2,0),VLOOKUP(F1888,Kostentypen!$A$3:$E$20,3,0))),"")</f>
        <v/>
      </c>
      <c r="O1888" s="320" t="str" cm="1">
        <f t="array" ref="O1888">_xlfn.IFNA(IF(INDEX(Tb_KostenOptiesDB[],MATCH($F1888,Tb_KostenOptiesDB[KostenOptie],0),IFERROR(MATCH(Methode_Keuze,Tb_KostenOptiesDB[#Headers],0),2))=1,_xlfn.SWITCH($N1888,"Uurtarief",IF(OR(AND(RIGHT($F1888,3)="IKS",VLOOKUP($M1888,DB_Loonkosten,2,0)="Ja"),AND(RIGHT($F1888,3)&lt;&gt;"IKS",VLOOKUP($M1888,DB_Loonkosten,2,0)="Nee")),IFERROR(VLOOKUP($M1888,DB_Loonkosten,24,0),""),0),"Vast tarief",IF(LEFT(F1888,8)="Bijdrage",VLOOKUP($F1888,Tb_KostenTypen[],MATCH(Lijsten!$P$1,Tb_KostenTypen[#Headers],0),0),VLOOKUP($G1888,Lijsten!L:P,MATCH(Lijsten!$P$1,Kop_Tarief_Vast,0),0))),""),"")</f>
        <v/>
      </c>
      <c r="P1888" s="320" t="str" cm="1">
        <f t="array" ref="P1888">_xlfn.IFNA(IF(INDEX(Tb_KostenOptiesDB[],MATCH($F1888,Tb_KostenOptiesDB[KostenOptie],0),IFERROR(MATCH(Methode_Keuze,Tb_KostenOptiesDB[#Headers],0),2))=1,_xlfn.SWITCH($N1888,"Uurtarief",IF(OR(AND(RIGHT($F1888,3)="IKS",VLOOKUP($M1888,DB_Loonkosten,2,0)="Ja"),AND(RIGHT($F1888,3)&lt;&gt;"IKS",VLOOKUP($M1888,DB_Loonkosten,2,0)="Nee")),IFERROR(VLOOKUP($M1888,DB_Loonkosten,25,0),""),0),"Vast tarief",IF(LEFT(F1888,8)="Bijdrage",VLOOKUP($F1888,Tb_KostenTypen[],MATCH(Lijsten!$P$1,Tb_KostenTypen[#Headers],0),0),VLOOKUP($G1888,Lijsten!L:P,MATCH(Lijsten!$P$1,Kop_Tarief_Vast,0),0))),""),"")</f>
        <v/>
      </c>
      <c r="Q1888" s="359"/>
      <c r="R1888" s="359"/>
      <c r="S1888" s="321"/>
      <c r="T1888" s="321"/>
      <c r="U1888" s="373" t="str">
        <f t="shared" si="116"/>
        <v/>
      </c>
      <c r="V1888" s="314" t="str">
        <f t="shared" si="117"/>
        <v/>
      </c>
      <c r="W1888" s="314" t="str" cm="1">
        <f t="array" aca="1" ref="W1888" ca="1">IFERROR(IF(AE1888&lt;&gt;"ja",_xlfn.IFNA(_xlfn.IFS(AND(O1888&lt;&gt;"",F1888&lt;&gt;"",RIGHT($N1888,6)="tarief",F1888="Vergoeding"),SUM(O1888)*FLOOR(SUM(Q1888),0.0001),AND(O1888&lt;&gt;"",F1888&lt;&gt;"",RIGHT($N1888,6)="tarief"),SUM(O1888)*FLOOR(SUM(Q1888),0.01),S1888&gt;0,IF(F1888&lt;&gt;"",FLOOR(SUM(S1888),0.01),"")),""),""),"")</f>
        <v/>
      </c>
      <c r="X1888" s="314" t="str" cm="1">
        <f t="array" aca="1" ref="X1888" ca="1">IFERROR(IF(AE1888&lt;&gt;"ja",_xlfn.IFNA(_xlfn.IFS(AND(P1888&lt;&gt;"",R1888&lt;&gt;"",RIGHT($N1888,6)="tarief",F1888="Vergoeding"),SUM(P1888)*FLOOR(SUM(R1888),0.0001),AND(P1888&lt;&gt;"",R1888&lt;&gt;"",RIGHT($N1888,6)="tarief"),P1888*FLOOR(R1888,0.01),T1888&gt;0,FLOOR(SUM(T1888),0.01)),""),""),"")</f>
        <v/>
      </c>
      <c r="Y1888" s="314" t="str">
        <f t="shared" ca="1" si="118"/>
        <v/>
      </c>
      <c r="Z1888" s="314" t="str" cm="1">
        <f t="array" aca="1" ref="Z1888" ca="1">IFERROR(_xlfn.IFS(OR(F1888="",LEFT(Methode_Keuze,4)="Geen",Methode_Keuze=""),"",AND(W1888&lt;&gt;"",F1888&lt;&gt;"Arbeidskosten"),W1888*VLOOKUP(F1888,Tb_ProjectKosten[],MATCH(Tb_ProjectKosten[[#Headers],[Forfait_Percentage]],Tb_ProjectKosten[#Headers],0),0),AND(F1888="Arbeidskosten",G1888&lt;&gt;""),IFERROR(W1888*VLOOKUP(G1888,Tb_KostenTypen[],3,0)*VLOOKUP(F1888,Tb_ProjectKosten[],MATCH(Tb_ProjectKosten[[#Headers],[Forfait_Percentage]],Tb_ProjectKosten[#Headers],0),0),""),W1888 &lt;=0,0),"")</f>
        <v/>
      </c>
      <c r="AA1888" s="314" t="str" cm="1">
        <f t="array" aca="1" ref="AA1888" ca="1">IFERROR(_xlfn.IFS(OR(F1888="",LEFT(Methode_Keuze,4)="Geen",Methode_Keuze=""),"",AND(X1888&lt;&gt;"",F1888&lt;&gt;"Arbeidskosten"),X1888*VLOOKUP(F1888,Tb_ProjectKosten[],MATCH(Tb_ProjectKosten[[#Headers],[Forfait_Percentage]],Tb_ProjectKosten[#Headers],0),0),AND(F1888="Arbeidskosten",G1888&lt;&gt;""),IFERROR(X1888*VLOOKUP(G1888,Tb_KostenTypen[],3,0)*VLOOKUP(F1888,Tb_ProjectKosten[],MATCH(Tb_ProjectKosten[[#Headers],[Forfait_Percentage]],Tb_ProjectKosten[#Headers],0),0),""),X1888 &lt;=0,0),"")</f>
        <v/>
      </c>
      <c r="AB1888" s="314" t="str">
        <f t="shared" ca="1" si="119"/>
        <v/>
      </c>
      <c r="AC1888" s="322"/>
      <c r="AD1888" s="315"/>
      <c r="AE1888" s="32" t="str" cm="1">
        <f t="array" ref="AE1888">IFERROR(IF(INDEX(SubsidieTabel!$AD$1:$AG$12,MATCH($F1888,SubsidieTabel!$AD$1:$AD$12,0),IFERROR(MATCH(Methode_Keuze,SubsidieTabel!$AD$1:$AG$1,0),2))&lt;&gt;1=TRUE,"ja",""),"")</f>
        <v/>
      </c>
    </row>
    <row r="1889" spans="1:31" x14ac:dyDescent="0.25">
      <c r="A1889" s="316"/>
      <c r="B1889" s="317" t="str">
        <f>IF(A1889&lt;&gt;"",_xlfn.MAXIFS($B$1:B1888,$A$1:A1888,A1889)+1,"")</f>
        <v/>
      </c>
      <c r="C1889" s="296"/>
      <c r="D1889" s="296"/>
      <c r="E1889" s="296"/>
      <c r="F1889" s="296"/>
      <c r="G1889" s="326"/>
      <c r="H1889" s="324"/>
      <c r="I1889" s="325"/>
      <c r="J1889" s="325"/>
      <c r="K1889" s="318"/>
      <c r="L1889" s="318"/>
      <c r="M1889" s="319" t="str">
        <f>IFERROR(VLOOKUP(H1889,Lijsten!$H$1:$I$100,2,0),"")</f>
        <v/>
      </c>
      <c r="N1889" s="319" t="str">
        <f ca="1">IFERROR(IF(VLOOKUP(F1889,Kostentypen!$A$3:$E$21,3,0)=0,"",IF(OR(F1889="Arbeidskosten",F1889="Vergoeding"),VLOOKUP(G1889,Tb_KostenTypen[],2,0),VLOOKUP(F1889,Kostentypen!$A$3:$E$20,3,0))),"")</f>
        <v/>
      </c>
      <c r="O1889" s="320" t="str" cm="1">
        <f t="array" ref="O1889">_xlfn.IFNA(IF(INDEX(Tb_KostenOptiesDB[],MATCH($F1889,Tb_KostenOptiesDB[KostenOptie],0),IFERROR(MATCH(Methode_Keuze,Tb_KostenOptiesDB[#Headers],0),2))=1,_xlfn.SWITCH($N1889,"Uurtarief",IF(OR(AND(RIGHT($F1889,3)="IKS",VLOOKUP($M1889,DB_Loonkosten,2,0)="Ja"),AND(RIGHT($F1889,3)&lt;&gt;"IKS",VLOOKUP($M1889,DB_Loonkosten,2,0)="Nee")),IFERROR(VLOOKUP($M1889,DB_Loonkosten,24,0),""),0),"Vast tarief",IF(LEFT(F1889,8)="Bijdrage",VLOOKUP($F1889,Tb_KostenTypen[],MATCH(Lijsten!$P$1,Tb_KostenTypen[#Headers],0),0),VLOOKUP($G1889,Lijsten!L:P,MATCH(Lijsten!$P$1,Kop_Tarief_Vast,0),0))),""),"")</f>
        <v/>
      </c>
      <c r="P1889" s="320" t="str" cm="1">
        <f t="array" ref="P1889">_xlfn.IFNA(IF(INDEX(Tb_KostenOptiesDB[],MATCH($F1889,Tb_KostenOptiesDB[KostenOptie],0),IFERROR(MATCH(Methode_Keuze,Tb_KostenOptiesDB[#Headers],0),2))=1,_xlfn.SWITCH($N1889,"Uurtarief",IF(OR(AND(RIGHT($F1889,3)="IKS",VLOOKUP($M1889,DB_Loonkosten,2,0)="Ja"),AND(RIGHT($F1889,3)&lt;&gt;"IKS",VLOOKUP($M1889,DB_Loonkosten,2,0)="Nee")),IFERROR(VLOOKUP($M1889,DB_Loonkosten,25,0),""),0),"Vast tarief",IF(LEFT(F1889,8)="Bijdrage",VLOOKUP($F1889,Tb_KostenTypen[],MATCH(Lijsten!$P$1,Tb_KostenTypen[#Headers],0),0),VLOOKUP($G1889,Lijsten!L:P,MATCH(Lijsten!$P$1,Kop_Tarief_Vast,0),0))),""),"")</f>
        <v/>
      </c>
      <c r="Q1889" s="359"/>
      <c r="R1889" s="359"/>
      <c r="S1889" s="321"/>
      <c r="T1889" s="321"/>
      <c r="U1889" s="373" t="str">
        <f t="shared" si="116"/>
        <v/>
      </c>
      <c r="V1889" s="314" t="str">
        <f t="shared" si="117"/>
        <v/>
      </c>
      <c r="W1889" s="314" t="str" cm="1">
        <f t="array" aca="1" ref="W1889" ca="1">IFERROR(IF(AE1889&lt;&gt;"ja",_xlfn.IFNA(_xlfn.IFS(AND(O1889&lt;&gt;"",F1889&lt;&gt;"",RIGHT($N1889,6)="tarief",F1889="Vergoeding"),SUM(O1889)*FLOOR(SUM(Q1889),0.0001),AND(O1889&lt;&gt;"",F1889&lt;&gt;"",RIGHT($N1889,6)="tarief"),SUM(O1889)*FLOOR(SUM(Q1889),0.01),S1889&gt;0,IF(F1889&lt;&gt;"",FLOOR(SUM(S1889),0.01),"")),""),""),"")</f>
        <v/>
      </c>
      <c r="X1889" s="314" t="str" cm="1">
        <f t="array" aca="1" ref="X1889" ca="1">IFERROR(IF(AE1889&lt;&gt;"ja",_xlfn.IFNA(_xlfn.IFS(AND(P1889&lt;&gt;"",R1889&lt;&gt;"",RIGHT($N1889,6)="tarief",F1889="Vergoeding"),SUM(P1889)*FLOOR(SUM(R1889),0.0001),AND(P1889&lt;&gt;"",R1889&lt;&gt;"",RIGHT($N1889,6)="tarief"),P1889*FLOOR(R1889,0.01),T1889&gt;0,FLOOR(SUM(T1889),0.01)),""),""),"")</f>
        <v/>
      </c>
      <c r="Y1889" s="314" t="str">
        <f t="shared" ca="1" si="118"/>
        <v/>
      </c>
      <c r="Z1889" s="314" t="str" cm="1">
        <f t="array" aca="1" ref="Z1889" ca="1">IFERROR(_xlfn.IFS(OR(F1889="",LEFT(Methode_Keuze,4)="Geen",Methode_Keuze=""),"",AND(W1889&lt;&gt;"",F1889&lt;&gt;"Arbeidskosten"),W1889*VLOOKUP(F1889,Tb_ProjectKosten[],MATCH(Tb_ProjectKosten[[#Headers],[Forfait_Percentage]],Tb_ProjectKosten[#Headers],0),0),AND(F1889="Arbeidskosten",G1889&lt;&gt;""),IFERROR(W1889*VLOOKUP(G1889,Tb_KostenTypen[],3,0)*VLOOKUP(F1889,Tb_ProjectKosten[],MATCH(Tb_ProjectKosten[[#Headers],[Forfait_Percentage]],Tb_ProjectKosten[#Headers],0),0),""),W1889 &lt;=0,0),"")</f>
        <v/>
      </c>
      <c r="AA1889" s="314" t="str" cm="1">
        <f t="array" aca="1" ref="AA1889" ca="1">IFERROR(_xlfn.IFS(OR(F1889="",LEFT(Methode_Keuze,4)="Geen",Methode_Keuze=""),"",AND(X1889&lt;&gt;"",F1889&lt;&gt;"Arbeidskosten"),X1889*VLOOKUP(F1889,Tb_ProjectKosten[],MATCH(Tb_ProjectKosten[[#Headers],[Forfait_Percentage]],Tb_ProjectKosten[#Headers],0),0),AND(F1889="Arbeidskosten",G1889&lt;&gt;""),IFERROR(X1889*VLOOKUP(G1889,Tb_KostenTypen[],3,0)*VLOOKUP(F1889,Tb_ProjectKosten[],MATCH(Tb_ProjectKosten[[#Headers],[Forfait_Percentage]],Tb_ProjectKosten[#Headers],0),0),""),X1889 &lt;=0,0),"")</f>
        <v/>
      </c>
      <c r="AB1889" s="314" t="str">
        <f t="shared" ca="1" si="119"/>
        <v/>
      </c>
      <c r="AC1889" s="322"/>
      <c r="AD1889" s="315"/>
      <c r="AE1889" s="32" t="str" cm="1">
        <f t="array" ref="AE1889">IFERROR(IF(INDEX(SubsidieTabel!$AD$1:$AG$12,MATCH($F1889,SubsidieTabel!$AD$1:$AD$12,0),IFERROR(MATCH(Methode_Keuze,SubsidieTabel!$AD$1:$AG$1,0),2))&lt;&gt;1=TRUE,"ja",""),"")</f>
        <v/>
      </c>
    </row>
    <row r="1890" spans="1:31" x14ac:dyDescent="0.25">
      <c r="A1890" s="316"/>
      <c r="B1890" s="317" t="str">
        <f>IF(A1890&lt;&gt;"",_xlfn.MAXIFS($B$1:B1889,$A$1:A1889,A1890)+1,"")</f>
        <v/>
      </c>
      <c r="C1890" s="296"/>
      <c r="D1890" s="296"/>
      <c r="E1890" s="296"/>
      <c r="F1890" s="296"/>
      <c r="G1890" s="326"/>
      <c r="H1890" s="324"/>
      <c r="I1890" s="325"/>
      <c r="J1890" s="325"/>
      <c r="K1890" s="318"/>
      <c r="L1890" s="318"/>
      <c r="M1890" s="319" t="str">
        <f>IFERROR(VLOOKUP(H1890,Lijsten!$H$1:$I$100,2,0),"")</f>
        <v/>
      </c>
      <c r="N1890" s="319" t="str">
        <f ca="1">IFERROR(IF(VLOOKUP(F1890,Kostentypen!$A$3:$E$21,3,0)=0,"",IF(OR(F1890="Arbeidskosten",F1890="Vergoeding"),VLOOKUP(G1890,Tb_KostenTypen[],2,0),VLOOKUP(F1890,Kostentypen!$A$3:$E$20,3,0))),"")</f>
        <v/>
      </c>
      <c r="O1890" s="320" t="str" cm="1">
        <f t="array" ref="O1890">_xlfn.IFNA(IF(INDEX(Tb_KostenOptiesDB[],MATCH($F1890,Tb_KostenOptiesDB[KostenOptie],0),IFERROR(MATCH(Methode_Keuze,Tb_KostenOptiesDB[#Headers],0),2))=1,_xlfn.SWITCH($N1890,"Uurtarief",IF(OR(AND(RIGHT($F1890,3)="IKS",VLOOKUP($M1890,DB_Loonkosten,2,0)="Ja"),AND(RIGHT($F1890,3)&lt;&gt;"IKS",VLOOKUP($M1890,DB_Loonkosten,2,0)="Nee")),IFERROR(VLOOKUP($M1890,DB_Loonkosten,24,0),""),0),"Vast tarief",IF(LEFT(F1890,8)="Bijdrage",VLOOKUP($F1890,Tb_KostenTypen[],MATCH(Lijsten!$P$1,Tb_KostenTypen[#Headers],0),0),VLOOKUP($G1890,Lijsten!L:P,MATCH(Lijsten!$P$1,Kop_Tarief_Vast,0),0))),""),"")</f>
        <v/>
      </c>
      <c r="P1890" s="320" t="str" cm="1">
        <f t="array" ref="P1890">_xlfn.IFNA(IF(INDEX(Tb_KostenOptiesDB[],MATCH($F1890,Tb_KostenOptiesDB[KostenOptie],0),IFERROR(MATCH(Methode_Keuze,Tb_KostenOptiesDB[#Headers],0),2))=1,_xlfn.SWITCH($N1890,"Uurtarief",IF(OR(AND(RIGHT($F1890,3)="IKS",VLOOKUP($M1890,DB_Loonkosten,2,0)="Ja"),AND(RIGHT($F1890,3)&lt;&gt;"IKS",VLOOKUP($M1890,DB_Loonkosten,2,0)="Nee")),IFERROR(VLOOKUP($M1890,DB_Loonkosten,25,0),""),0),"Vast tarief",IF(LEFT(F1890,8)="Bijdrage",VLOOKUP($F1890,Tb_KostenTypen[],MATCH(Lijsten!$P$1,Tb_KostenTypen[#Headers],0),0),VLOOKUP($G1890,Lijsten!L:P,MATCH(Lijsten!$P$1,Kop_Tarief_Vast,0),0))),""),"")</f>
        <v/>
      </c>
      <c r="Q1890" s="359"/>
      <c r="R1890" s="359"/>
      <c r="S1890" s="321"/>
      <c r="T1890" s="321"/>
      <c r="U1890" s="373" t="str">
        <f t="shared" si="116"/>
        <v/>
      </c>
      <c r="V1890" s="314" t="str">
        <f t="shared" si="117"/>
        <v/>
      </c>
      <c r="W1890" s="314" t="str" cm="1">
        <f t="array" aca="1" ref="W1890" ca="1">IFERROR(IF(AE1890&lt;&gt;"ja",_xlfn.IFNA(_xlfn.IFS(AND(O1890&lt;&gt;"",F1890&lt;&gt;"",RIGHT($N1890,6)="tarief",F1890="Vergoeding"),SUM(O1890)*FLOOR(SUM(Q1890),0.0001),AND(O1890&lt;&gt;"",F1890&lt;&gt;"",RIGHT($N1890,6)="tarief"),SUM(O1890)*FLOOR(SUM(Q1890),0.01),S1890&gt;0,IF(F1890&lt;&gt;"",FLOOR(SUM(S1890),0.01),"")),""),""),"")</f>
        <v/>
      </c>
      <c r="X1890" s="314" t="str" cm="1">
        <f t="array" aca="1" ref="X1890" ca="1">IFERROR(IF(AE1890&lt;&gt;"ja",_xlfn.IFNA(_xlfn.IFS(AND(P1890&lt;&gt;"",R1890&lt;&gt;"",RIGHT($N1890,6)="tarief",F1890="Vergoeding"),SUM(P1890)*FLOOR(SUM(R1890),0.0001),AND(P1890&lt;&gt;"",R1890&lt;&gt;"",RIGHT($N1890,6)="tarief"),P1890*FLOOR(R1890,0.01),T1890&gt;0,FLOOR(SUM(T1890),0.01)),""),""),"")</f>
        <v/>
      </c>
      <c r="Y1890" s="314" t="str">
        <f t="shared" ca="1" si="118"/>
        <v/>
      </c>
      <c r="Z1890" s="314" t="str" cm="1">
        <f t="array" aca="1" ref="Z1890" ca="1">IFERROR(_xlfn.IFS(OR(F1890="",LEFT(Methode_Keuze,4)="Geen",Methode_Keuze=""),"",AND(W1890&lt;&gt;"",F1890&lt;&gt;"Arbeidskosten"),W1890*VLOOKUP(F1890,Tb_ProjectKosten[],MATCH(Tb_ProjectKosten[[#Headers],[Forfait_Percentage]],Tb_ProjectKosten[#Headers],0),0),AND(F1890="Arbeidskosten",G1890&lt;&gt;""),IFERROR(W1890*VLOOKUP(G1890,Tb_KostenTypen[],3,0)*VLOOKUP(F1890,Tb_ProjectKosten[],MATCH(Tb_ProjectKosten[[#Headers],[Forfait_Percentage]],Tb_ProjectKosten[#Headers],0),0),""),W1890 &lt;=0,0),"")</f>
        <v/>
      </c>
      <c r="AA1890" s="314" t="str" cm="1">
        <f t="array" aca="1" ref="AA1890" ca="1">IFERROR(_xlfn.IFS(OR(F1890="",LEFT(Methode_Keuze,4)="Geen",Methode_Keuze=""),"",AND(X1890&lt;&gt;"",F1890&lt;&gt;"Arbeidskosten"),X1890*VLOOKUP(F1890,Tb_ProjectKosten[],MATCH(Tb_ProjectKosten[[#Headers],[Forfait_Percentage]],Tb_ProjectKosten[#Headers],0),0),AND(F1890="Arbeidskosten",G1890&lt;&gt;""),IFERROR(X1890*VLOOKUP(G1890,Tb_KostenTypen[],3,0)*VLOOKUP(F1890,Tb_ProjectKosten[],MATCH(Tb_ProjectKosten[[#Headers],[Forfait_Percentage]],Tb_ProjectKosten[#Headers],0),0),""),X1890 &lt;=0,0),"")</f>
        <v/>
      </c>
      <c r="AB1890" s="314" t="str">
        <f t="shared" ca="1" si="119"/>
        <v/>
      </c>
      <c r="AC1890" s="322"/>
      <c r="AD1890" s="315"/>
      <c r="AE1890" s="32" t="str" cm="1">
        <f t="array" ref="AE1890">IFERROR(IF(INDEX(SubsidieTabel!$AD$1:$AG$12,MATCH($F1890,SubsidieTabel!$AD$1:$AD$12,0),IFERROR(MATCH(Methode_Keuze,SubsidieTabel!$AD$1:$AG$1,0),2))&lt;&gt;1=TRUE,"ja",""),"")</f>
        <v/>
      </c>
    </row>
    <row r="1891" spans="1:31" x14ac:dyDescent="0.25">
      <c r="A1891" s="316"/>
      <c r="B1891" s="317" t="str">
        <f>IF(A1891&lt;&gt;"",_xlfn.MAXIFS($B$1:B1890,$A$1:A1890,A1891)+1,"")</f>
        <v/>
      </c>
      <c r="C1891" s="296"/>
      <c r="D1891" s="296"/>
      <c r="E1891" s="296"/>
      <c r="F1891" s="296"/>
      <c r="G1891" s="326"/>
      <c r="H1891" s="324"/>
      <c r="I1891" s="325"/>
      <c r="J1891" s="325"/>
      <c r="K1891" s="318"/>
      <c r="L1891" s="318"/>
      <c r="M1891" s="319" t="str">
        <f>IFERROR(VLOOKUP(H1891,Lijsten!$H$1:$I$100,2,0),"")</f>
        <v/>
      </c>
      <c r="N1891" s="319" t="str">
        <f ca="1">IFERROR(IF(VLOOKUP(F1891,Kostentypen!$A$3:$E$21,3,0)=0,"",IF(OR(F1891="Arbeidskosten",F1891="Vergoeding"),VLOOKUP(G1891,Tb_KostenTypen[],2,0),VLOOKUP(F1891,Kostentypen!$A$3:$E$20,3,0))),"")</f>
        <v/>
      </c>
      <c r="O1891" s="320" t="str" cm="1">
        <f t="array" ref="O1891">_xlfn.IFNA(IF(INDEX(Tb_KostenOptiesDB[],MATCH($F1891,Tb_KostenOptiesDB[KostenOptie],0),IFERROR(MATCH(Methode_Keuze,Tb_KostenOptiesDB[#Headers],0),2))=1,_xlfn.SWITCH($N1891,"Uurtarief",IF(OR(AND(RIGHT($F1891,3)="IKS",VLOOKUP($M1891,DB_Loonkosten,2,0)="Ja"),AND(RIGHT($F1891,3)&lt;&gt;"IKS",VLOOKUP($M1891,DB_Loonkosten,2,0)="Nee")),IFERROR(VLOOKUP($M1891,DB_Loonkosten,24,0),""),0),"Vast tarief",IF(LEFT(F1891,8)="Bijdrage",VLOOKUP($F1891,Tb_KostenTypen[],MATCH(Lijsten!$P$1,Tb_KostenTypen[#Headers],0),0),VLOOKUP($G1891,Lijsten!L:P,MATCH(Lijsten!$P$1,Kop_Tarief_Vast,0),0))),""),"")</f>
        <v/>
      </c>
      <c r="P1891" s="320" t="str" cm="1">
        <f t="array" ref="P1891">_xlfn.IFNA(IF(INDEX(Tb_KostenOptiesDB[],MATCH($F1891,Tb_KostenOptiesDB[KostenOptie],0),IFERROR(MATCH(Methode_Keuze,Tb_KostenOptiesDB[#Headers],0),2))=1,_xlfn.SWITCH($N1891,"Uurtarief",IF(OR(AND(RIGHT($F1891,3)="IKS",VLOOKUP($M1891,DB_Loonkosten,2,0)="Ja"),AND(RIGHT($F1891,3)&lt;&gt;"IKS",VLOOKUP($M1891,DB_Loonkosten,2,0)="Nee")),IFERROR(VLOOKUP($M1891,DB_Loonkosten,25,0),""),0),"Vast tarief",IF(LEFT(F1891,8)="Bijdrage",VLOOKUP($F1891,Tb_KostenTypen[],MATCH(Lijsten!$P$1,Tb_KostenTypen[#Headers],0),0),VLOOKUP($G1891,Lijsten!L:P,MATCH(Lijsten!$P$1,Kop_Tarief_Vast,0),0))),""),"")</f>
        <v/>
      </c>
      <c r="Q1891" s="359"/>
      <c r="R1891" s="359"/>
      <c r="S1891" s="321"/>
      <c r="T1891" s="321"/>
      <c r="U1891" s="373" t="str">
        <f t="shared" si="116"/>
        <v/>
      </c>
      <c r="V1891" s="314" t="str">
        <f t="shared" si="117"/>
        <v/>
      </c>
      <c r="W1891" s="314" t="str" cm="1">
        <f t="array" aca="1" ref="W1891" ca="1">IFERROR(IF(AE1891&lt;&gt;"ja",_xlfn.IFNA(_xlfn.IFS(AND(O1891&lt;&gt;"",F1891&lt;&gt;"",RIGHT($N1891,6)="tarief",F1891="Vergoeding"),SUM(O1891)*FLOOR(SUM(Q1891),0.0001),AND(O1891&lt;&gt;"",F1891&lt;&gt;"",RIGHT($N1891,6)="tarief"),SUM(O1891)*FLOOR(SUM(Q1891),0.01),S1891&gt;0,IF(F1891&lt;&gt;"",FLOOR(SUM(S1891),0.01),"")),""),""),"")</f>
        <v/>
      </c>
      <c r="X1891" s="314" t="str" cm="1">
        <f t="array" aca="1" ref="X1891" ca="1">IFERROR(IF(AE1891&lt;&gt;"ja",_xlfn.IFNA(_xlfn.IFS(AND(P1891&lt;&gt;"",R1891&lt;&gt;"",RIGHT($N1891,6)="tarief",F1891="Vergoeding"),SUM(P1891)*FLOOR(SUM(R1891),0.0001),AND(P1891&lt;&gt;"",R1891&lt;&gt;"",RIGHT($N1891,6)="tarief"),P1891*FLOOR(R1891,0.01),T1891&gt;0,FLOOR(SUM(T1891),0.01)),""),""),"")</f>
        <v/>
      </c>
      <c r="Y1891" s="314" t="str">
        <f t="shared" ca="1" si="118"/>
        <v/>
      </c>
      <c r="Z1891" s="314" t="str" cm="1">
        <f t="array" aca="1" ref="Z1891" ca="1">IFERROR(_xlfn.IFS(OR(F1891="",LEFT(Methode_Keuze,4)="Geen",Methode_Keuze=""),"",AND(W1891&lt;&gt;"",F1891&lt;&gt;"Arbeidskosten"),W1891*VLOOKUP(F1891,Tb_ProjectKosten[],MATCH(Tb_ProjectKosten[[#Headers],[Forfait_Percentage]],Tb_ProjectKosten[#Headers],0),0),AND(F1891="Arbeidskosten",G1891&lt;&gt;""),IFERROR(W1891*VLOOKUP(G1891,Tb_KostenTypen[],3,0)*VLOOKUP(F1891,Tb_ProjectKosten[],MATCH(Tb_ProjectKosten[[#Headers],[Forfait_Percentage]],Tb_ProjectKosten[#Headers],0),0),""),W1891 &lt;=0,0),"")</f>
        <v/>
      </c>
      <c r="AA1891" s="314" t="str" cm="1">
        <f t="array" aca="1" ref="AA1891" ca="1">IFERROR(_xlfn.IFS(OR(F1891="",LEFT(Methode_Keuze,4)="Geen",Methode_Keuze=""),"",AND(X1891&lt;&gt;"",F1891&lt;&gt;"Arbeidskosten"),X1891*VLOOKUP(F1891,Tb_ProjectKosten[],MATCH(Tb_ProjectKosten[[#Headers],[Forfait_Percentage]],Tb_ProjectKosten[#Headers],0),0),AND(F1891="Arbeidskosten",G1891&lt;&gt;""),IFERROR(X1891*VLOOKUP(G1891,Tb_KostenTypen[],3,0)*VLOOKUP(F1891,Tb_ProjectKosten[],MATCH(Tb_ProjectKosten[[#Headers],[Forfait_Percentage]],Tb_ProjectKosten[#Headers],0),0),""),X1891 &lt;=0,0),"")</f>
        <v/>
      </c>
      <c r="AB1891" s="314" t="str">
        <f t="shared" ca="1" si="119"/>
        <v/>
      </c>
      <c r="AC1891" s="322"/>
      <c r="AD1891" s="315"/>
      <c r="AE1891" s="32" t="str" cm="1">
        <f t="array" ref="AE1891">IFERROR(IF(INDEX(SubsidieTabel!$AD$1:$AG$12,MATCH($F1891,SubsidieTabel!$AD$1:$AD$12,0),IFERROR(MATCH(Methode_Keuze,SubsidieTabel!$AD$1:$AG$1,0),2))&lt;&gt;1=TRUE,"ja",""),"")</f>
        <v/>
      </c>
    </row>
    <row r="1892" spans="1:31" x14ac:dyDescent="0.25">
      <c r="A1892" s="316"/>
      <c r="B1892" s="317" t="str">
        <f>IF(A1892&lt;&gt;"",_xlfn.MAXIFS($B$1:B1891,$A$1:A1891,A1892)+1,"")</f>
        <v/>
      </c>
      <c r="C1892" s="296"/>
      <c r="D1892" s="296"/>
      <c r="E1892" s="296"/>
      <c r="F1892" s="296"/>
      <c r="G1892" s="326"/>
      <c r="H1892" s="324"/>
      <c r="I1892" s="325"/>
      <c r="J1892" s="325"/>
      <c r="K1892" s="318"/>
      <c r="L1892" s="318"/>
      <c r="M1892" s="319" t="str">
        <f>IFERROR(VLOOKUP(H1892,Lijsten!$H$1:$I$100,2,0),"")</f>
        <v/>
      </c>
      <c r="N1892" s="319" t="str">
        <f ca="1">IFERROR(IF(VLOOKUP(F1892,Kostentypen!$A$3:$E$21,3,0)=0,"",IF(OR(F1892="Arbeidskosten",F1892="Vergoeding"),VLOOKUP(G1892,Tb_KostenTypen[],2,0),VLOOKUP(F1892,Kostentypen!$A$3:$E$20,3,0))),"")</f>
        <v/>
      </c>
      <c r="O1892" s="320" t="str" cm="1">
        <f t="array" ref="O1892">_xlfn.IFNA(IF(INDEX(Tb_KostenOptiesDB[],MATCH($F1892,Tb_KostenOptiesDB[KostenOptie],0),IFERROR(MATCH(Methode_Keuze,Tb_KostenOptiesDB[#Headers],0),2))=1,_xlfn.SWITCH($N1892,"Uurtarief",IF(OR(AND(RIGHT($F1892,3)="IKS",VLOOKUP($M1892,DB_Loonkosten,2,0)="Ja"),AND(RIGHT($F1892,3)&lt;&gt;"IKS",VLOOKUP($M1892,DB_Loonkosten,2,0)="Nee")),IFERROR(VLOOKUP($M1892,DB_Loonkosten,24,0),""),0),"Vast tarief",IF(LEFT(F1892,8)="Bijdrage",VLOOKUP($F1892,Tb_KostenTypen[],MATCH(Lijsten!$P$1,Tb_KostenTypen[#Headers],0),0),VLOOKUP($G1892,Lijsten!L:P,MATCH(Lijsten!$P$1,Kop_Tarief_Vast,0),0))),""),"")</f>
        <v/>
      </c>
      <c r="P1892" s="320" t="str" cm="1">
        <f t="array" ref="P1892">_xlfn.IFNA(IF(INDEX(Tb_KostenOptiesDB[],MATCH($F1892,Tb_KostenOptiesDB[KostenOptie],0),IFERROR(MATCH(Methode_Keuze,Tb_KostenOptiesDB[#Headers],0),2))=1,_xlfn.SWITCH($N1892,"Uurtarief",IF(OR(AND(RIGHT($F1892,3)="IKS",VLOOKUP($M1892,DB_Loonkosten,2,0)="Ja"),AND(RIGHT($F1892,3)&lt;&gt;"IKS",VLOOKUP($M1892,DB_Loonkosten,2,0)="Nee")),IFERROR(VLOOKUP($M1892,DB_Loonkosten,25,0),""),0),"Vast tarief",IF(LEFT(F1892,8)="Bijdrage",VLOOKUP($F1892,Tb_KostenTypen[],MATCH(Lijsten!$P$1,Tb_KostenTypen[#Headers],0),0),VLOOKUP($G1892,Lijsten!L:P,MATCH(Lijsten!$P$1,Kop_Tarief_Vast,0),0))),""),"")</f>
        <v/>
      </c>
      <c r="Q1892" s="359"/>
      <c r="R1892" s="359"/>
      <c r="S1892" s="321"/>
      <c r="T1892" s="321"/>
      <c r="U1892" s="373" t="str">
        <f t="shared" si="116"/>
        <v/>
      </c>
      <c r="V1892" s="314" t="str">
        <f t="shared" si="117"/>
        <v/>
      </c>
      <c r="W1892" s="314" t="str" cm="1">
        <f t="array" aca="1" ref="W1892" ca="1">IFERROR(IF(AE1892&lt;&gt;"ja",_xlfn.IFNA(_xlfn.IFS(AND(O1892&lt;&gt;"",F1892&lt;&gt;"",RIGHT($N1892,6)="tarief",F1892="Vergoeding"),SUM(O1892)*FLOOR(SUM(Q1892),0.0001),AND(O1892&lt;&gt;"",F1892&lt;&gt;"",RIGHT($N1892,6)="tarief"),SUM(O1892)*FLOOR(SUM(Q1892),0.01),S1892&gt;0,IF(F1892&lt;&gt;"",FLOOR(SUM(S1892),0.01),"")),""),""),"")</f>
        <v/>
      </c>
      <c r="X1892" s="314" t="str" cm="1">
        <f t="array" aca="1" ref="X1892" ca="1">IFERROR(IF(AE1892&lt;&gt;"ja",_xlfn.IFNA(_xlfn.IFS(AND(P1892&lt;&gt;"",R1892&lt;&gt;"",RIGHT($N1892,6)="tarief",F1892="Vergoeding"),SUM(P1892)*FLOOR(SUM(R1892),0.0001),AND(P1892&lt;&gt;"",R1892&lt;&gt;"",RIGHT($N1892,6)="tarief"),P1892*FLOOR(R1892,0.01),T1892&gt;0,FLOOR(SUM(T1892),0.01)),""),""),"")</f>
        <v/>
      </c>
      <c r="Y1892" s="314" t="str">
        <f t="shared" ca="1" si="118"/>
        <v/>
      </c>
      <c r="Z1892" s="314" t="str" cm="1">
        <f t="array" aca="1" ref="Z1892" ca="1">IFERROR(_xlfn.IFS(OR(F1892="",LEFT(Methode_Keuze,4)="Geen",Methode_Keuze=""),"",AND(W1892&lt;&gt;"",F1892&lt;&gt;"Arbeidskosten"),W1892*VLOOKUP(F1892,Tb_ProjectKosten[],MATCH(Tb_ProjectKosten[[#Headers],[Forfait_Percentage]],Tb_ProjectKosten[#Headers],0),0),AND(F1892="Arbeidskosten",G1892&lt;&gt;""),IFERROR(W1892*VLOOKUP(G1892,Tb_KostenTypen[],3,0)*VLOOKUP(F1892,Tb_ProjectKosten[],MATCH(Tb_ProjectKosten[[#Headers],[Forfait_Percentage]],Tb_ProjectKosten[#Headers],0),0),""),W1892 &lt;=0,0),"")</f>
        <v/>
      </c>
      <c r="AA1892" s="314" t="str" cm="1">
        <f t="array" aca="1" ref="AA1892" ca="1">IFERROR(_xlfn.IFS(OR(F1892="",LEFT(Methode_Keuze,4)="Geen",Methode_Keuze=""),"",AND(X1892&lt;&gt;"",F1892&lt;&gt;"Arbeidskosten"),X1892*VLOOKUP(F1892,Tb_ProjectKosten[],MATCH(Tb_ProjectKosten[[#Headers],[Forfait_Percentage]],Tb_ProjectKosten[#Headers],0),0),AND(F1892="Arbeidskosten",G1892&lt;&gt;""),IFERROR(X1892*VLOOKUP(G1892,Tb_KostenTypen[],3,0)*VLOOKUP(F1892,Tb_ProjectKosten[],MATCH(Tb_ProjectKosten[[#Headers],[Forfait_Percentage]],Tb_ProjectKosten[#Headers],0),0),""),X1892 &lt;=0,0),"")</f>
        <v/>
      </c>
      <c r="AB1892" s="314" t="str">
        <f t="shared" ca="1" si="119"/>
        <v/>
      </c>
      <c r="AC1892" s="322"/>
      <c r="AD1892" s="315"/>
      <c r="AE1892" s="32" t="str" cm="1">
        <f t="array" ref="AE1892">IFERROR(IF(INDEX(SubsidieTabel!$AD$1:$AG$12,MATCH($F1892,SubsidieTabel!$AD$1:$AD$12,0),IFERROR(MATCH(Methode_Keuze,SubsidieTabel!$AD$1:$AG$1,0),2))&lt;&gt;1=TRUE,"ja",""),"")</f>
        <v/>
      </c>
    </row>
    <row r="1893" spans="1:31" x14ac:dyDescent="0.25">
      <c r="A1893" s="316"/>
      <c r="B1893" s="317" t="str">
        <f>IF(A1893&lt;&gt;"",_xlfn.MAXIFS($B$1:B1892,$A$1:A1892,A1893)+1,"")</f>
        <v/>
      </c>
      <c r="C1893" s="296"/>
      <c r="D1893" s="296"/>
      <c r="E1893" s="296"/>
      <c r="F1893" s="296"/>
      <c r="G1893" s="326"/>
      <c r="H1893" s="324"/>
      <c r="I1893" s="325"/>
      <c r="J1893" s="325"/>
      <c r="K1893" s="318"/>
      <c r="L1893" s="318"/>
      <c r="M1893" s="319" t="str">
        <f>IFERROR(VLOOKUP(H1893,Lijsten!$H$1:$I$100,2,0),"")</f>
        <v/>
      </c>
      <c r="N1893" s="319" t="str">
        <f ca="1">IFERROR(IF(VLOOKUP(F1893,Kostentypen!$A$3:$E$21,3,0)=0,"",IF(OR(F1893="Arbeidskosten",F1893="Vergoeding"),VLOOKUP(G1893,Tb_KostenTypen[],2,0),VLOOKUP(F1893,Kostentypen!$A$3:$E$20,3,0))),"")</f>
        <v/>
      </c>
      <c r="O1893" s="320" t="str" cm="1">
        <f t="array" ref="O1893">_xlfn.IFNA(IF(INDEX(Tb_KostenOptiesDB[],MATCH($F1893,Tb_KostenOptiesDB[KostenOptie],0),IFERROR(MATCH(Methode_Keuze,Tb_KostenOptiesDB[#Headers],0),2))=1,_xlfn.SWITCH($N1893,"Uurtarief",IF(OR(AND(RIGHT($F1893,3)="IKS",VLOOKUP($M1893,DB_Loonkosten,2,0)="Ja"),AND(RIGHT($F1893,3)&lt;&gt;"IKS",VLOOKUP($M1893,DB_Loonkosten,2,0)="Nee")),IFERROR(VLOOKUP($M1893,DB_Loonkosten,24,0),""),0),"Vast tarief",IF(LEFT(F1893,8)="Bijdrage",VLOOKUP($F1893,Tb_KostenTypen[],MATCH(Lijsten!$P$1,Tb_KostenTypen[#Headers],0),0),VLOOKUP($G1893,Lijsten!L:P,MATCH(Lijsten!$P$1,Kop_Tarief_Vast,0),0))),""),"")</f>
        <v/>
      </c>
      <c r="P1893" s="320" t="str" cm="1">
        <f t="array" ref="P1893">_xlfn.IFNA(IF(INDEX(Tb_KostenOptiesDB[],MATCH($F1893,Tb_KostenOptiesDB[KostenOptie],0),IFERROR(MATCH(Methode_Keuze,Tb_KostenOptiesDB[#Headers],0),2))=1,_xlfn.SWITCH($N1893,"Uurtarief",IF(OR(AND(RIGHT($F1893,3)="IKS",VLOOKUP($M1893,DB_Loonkosten,2,0)="Ja"),AND(RIGHT($F1893,3)&lt;&gt;"IKS",VLOOKUP($M1893,DB_Loonkosten,2,0)="Nee")),IFERROR(VLOOKUP($M1893,DB_Loonkosten,25,0),""),0),"Vast tarief",IF(LEFT(F1893,8)="Bijdrage",VLOOKUP($F1893,Tb_KostenTypen[],MATCH(Lijsten!$P$1,Tb_KostenTypen[#Headers],0),0),VLOOKUP($G1893,Lijsten!L:P,MATCH(Lijsten!$P$1,Kop_Tarief_Vast,0),0))),""),"")</f>
        <v/>
      </c>
      <c r="Q1893" s="359"/>
      <c r="R1893" s="359"/>
      <c r="S1893" s="321"/>
      <c r="T1893" s="321"/>
      <c r="U1893" s="373" t="str">
        <f t="shared" si="116"/>
        <v/>
      </c>
      <c r="V1893" s="314" t="str">
        <f t="shared" si="117"/>
        <v/>
      </c>
      <c r="W1893" s="314" t="str" cm="1">
        <f t="array" aca="1" ref="W1893" ca="1">IFERROR(IF(AE1893&lt;&gt;"ja",_xlfn.IFNA(_xlfn.IFS(AND(O1893&lt;&gt;"",F1893&lt;&gt;"",RIGHT($N1893,6)="tarief",F1893="Vergoeding"),SUM(O1893)*FLOOR(SUM(Q1893),0.0001),AND(O1893&lt;&gt;"",F1893&lt;&gt;"",RIGHT($N1893,6)="tarief"),SUM(O1893)*FLOOR(SUM(Q1893),0.01),S1893&gt;0,IF(F1893&lt;&gt;"",FLOOR(SUM(S1893),0.01),"")),""),""),"")</f>
        <v/>
      </c>
      <c r="X1893" s="314" t="str" cm="1">
        <f t="array" aca="1" ref="X1893" ca="1">IFERROR(IF(AE1893&lt;&gt;"ja",_xlfn.IFNA(_xlfn.IFS(AND(P1893&lt;&gt;"",R1893&lt;&gt;"",RIGHT($N1893,6)="tarief",F1893="Vergoeding"),SUM(P1893)*FLOOR(SUM(R1893),0.0001),AND(P1893&lt;&gt;"",R1893&lt;&gt;"",RIGHT($N1893,6)="tarief"),P1893*FLOOR(R1893,0.01),T1893&gt;0,FLOOR(SUM(T1893),0.01)),""),""),"")</f>
        <v/>
      </c>
      <c r="Y1893" s="314" t="str">
        <f t="shared" ca="1" si="118"/>
        <v/>
      </c>
      <c r="Z1893" s="314" t="str" cm="1">
        <f t="array" aca="1" ref="Z1893" ca="1">IFERROR(_xlfn.IFS(OR(F1893="",LEFT(Methode_Keuze,4)="Geen",Methode_Keuze=""),"",AND(W1893&lt;&gt;"",F1893&lt;&gt;"Arbeidskosten"),W1893*VLOOKUP(F1893,Tb_ProjectKosten[],MATCH(Tb_ProjectKosten[[#Headers],[Forfait_Percentage]],Tb_ProjectKosten[#Headers],0),0),AND(F1893="Arbeidskosten",G1893&lt;&gt;""),IFERROR(W1893*VLOOKUP(G1893,Tb_KostenTypen[],3,0)*VLOOKUP(F1893,Tb_ProjectKosten[],MATCH(Tb_ProjectKosten[[#Headers],[Forfait_Percentage]],Tb_ProjectKosten[#Headers],0),0),""),W1893 &lt;=0,0),"")</f>
        <v/>
      </c>
      <c r="AA1893" s="314" t="str" cm="1">
        <f t="array" aca="1" ref="AA1893" ca="1">IFERROR(_xlfn.IFS(OR(F1893="",LEFT(Methode_Keuze,4)="Geen",Methode_Keuze=""),"",AND(X1893&lt;&gt;"",F1893&lt;&gt;"Arbeidskosten"),X1893*VLOOKUP(F1893,Tb_ProjectKosten[],MATCH(Tb_ProjectKosten[[#Headers],[Forfait_Percentage]],Tb_ProjectKosten[#Headers],0),0),AND(F1893="Arbeidskosten",G1893&lt;&gt;""),IFERROR(X1893*VLOOKUP(G1893,Tb_KostenTypen[],3,0)*VLOOKUP(F1893,Tb_ProjectKosten[],MATCH(Tb_ProjectKosten[[#Headers],[Forfait_Percentage]],Tb_ProjectKosten[#Headers],0),0),""),X1893 &lt;=0,0),"")</f>
        <v/>
      </c>
      <c r="AB1893" s="314" t="str">
        <f t="shared" ca="1" si="119"/>
        <v/>
      </c>
      <c r="AC1893" s="322"/>
      <c r="AD1893" s="315"/>
      <c r="AE1893" s="32" t="str" cm="1">
        <f t="array" ref="AE1893">IFERROR(IF(INDEX(SubsidieTabel!$AD$1:$AG$12,MATCH($F1893,SubsidieTabel!$AD$1:$AD$12,0),IFERROR(MATCH(Methode_Keuze,SubsidieTabel!$AD$1:$AG$1,0),2))&lt;&gt;1=TRUE,"ja",""),"")</f>
        <v/>
      </c>
    </row>
    <row r="1894" spans="1:31" x14ac:dyDescent="0.25">
      <c r="A1894" s="316"/>
      <c r="B1894" s="317" t="str">
        <f>IF(A1894&lt;&gt;"",_xlfn.MAXIFS($B$1:B1893,$A$1:A1893,A1894)+1,"")</f>
        <v/>
      </c>
      <c r="C1894" s="296"/>
      <c r="D1894" s="296"/>
      <c r="E1894" s="296"/>
      <c r="F1894" s="296"/>
      <c r="G1894" s="326"/>
      <c r="H1894" s="324"/>
      <c r="I1894" s="325"/>
      <c r="J1894" s="325"/>
      <c r="K1894" s="318"/>
      <c r="L1894" s="318"/>
      <c r="M1894" s="319" t="str">
        <f>IFERROR(VLOOKUP(H1894,Lijsten!$H$1:$I$100,2,0),"")</f>
        <v/>
      </c>
      <c r="N1894" s="319" t="str">
        <f ca="1">IFERROR(IF(VLOOKUP(F1894,Kostentypen!$A$3:$E$21,3,0)=0,"",IF(OR(F1894="Arbeidskosten",F1894="Vergoeding"),VLOOKUP(G1894,Tb_KostenTypen[],2,0),VLOOKUP(F1894,Kostentypen!$A$3:$E$20,3,0))),"")</f>
        <v/>
      </c>
      <c r="O1894" s="320" t="str" cm="1">
        <f t="array" ref="O1894">_xlfn.IFNA(IF(INDEX(Tb_KostenOptiesDB[],MATCH($F1894,Tb_KostenOptiesDB[KostenOptie],0),IFERROR(MATCH(Methode_Keuze,Tb_KostenOptiesDB[#Headers],0),2))=1,_xlfn.SWITCH($N1894,"Uurtarief",IF(OR(AND(RIGHT($F1894,3)="IKS",VLOOKUP($M1894,DB_Loonkosten,2,0)="Ja"),AND(RIGHT($F1894,3)&lt;&gt;"IKS",VLOOKUP($M1894,DB_Loonkosten,2,0)="Nee")),IFERROR(VLOOKUP($M1894,DB_Loonkosten,24,0),""),0),"Vast tarief",IF(LEFT(F1894,8)="Bijdrage",VLOOKUP($F1894,Tb_KostenTypen[],MATCH(Lijsten!$P$1,Tb_KostenTypen[#Headers],0),0),VLOOKUP($G1894,Lijsten!L:P,MATCH(Lijsten!$P$1,Kop_Tarief_Vast,0),0))),""),"")</f>
        <v/>
      </c>
      <c r="P1894" s="320" t="str" cm="1">
        <f t="array" ref="P1894">_xlfn.IFNA(IF(INDEX(Tb_KostenOptiesDB[],MATCH($F1894,Tb_KostenOptiesDB[KostenOptie],0),IFERROR(MATCH(Methode_Keuze,Tb_KostenOptiesDB[#Headers],0),2))=1,_xlfn.SWITCH($N1894,"Uurtarief",IF(OR(AND(RIGHT($F1894,3)="IKS",VLOOKUP($M1894,DB_Loonkosten,2,0)="Ja"),AND(RIGHT($F1894,3)&lt;&gt;"IKS",VLOOKUP($M1894,DB_Loonkosten,2,0)="Nee")),IFERROR(VLOOKUP($M1894,DB_Loonkosten,25,0),""),0),"Vast tarief",IF(LEFT(F1894,8)="Bijdrage",VLOOKUP($F1894,Tb_KostenTypen[],MATCH(Lijsten!$P$1,Tb_KostenTypen[#Headers],0),0),VLOOKUP($G1894,Lijsten!L:P,MATCH(Lijsten!$P$1,Kop_Tarief_Vast,0),0))),""),"")</f>
        <v/>
      </c>
      <c r="Q1894" s="359"/>
      <c r="R1894" s="359"/>
      <c r="S1894" s="321"/>
      <c r="T1894" s="321"/>
      <c r="U1894" s="373" t="str">
        <f t="shared" si="116"/>
        <v/>
      </c>
      <c r="V1894" s="314" t="str">
        <f t="shared" si="117"/>
        <v/>
      </c>
      <c r="W1894" s="314" t="str" cm="1">
        <f t="array" aca="1" ref="W1894" ca="1">IFERROR(IF(AE1894&lt;&gt;"ja",_xlfn.IFNA(_xlfn.IFS(AND(O1894&lt;&gt;"",F1894&lt;&gt;"",RIGHT($N1894,6)="tarief",F1894="Vergoeding"),SUM(O1894)*FLOOR(SUM(Q1894),0.0001),AND(O1894&lt;&gt;"",F1894&lt;&gt;"",RIGHT($N1894,6)="tarief"),SUM(O1894)*FLOOR(SUM(Q1894),0.01),S1894&gt;0,IF(F1894&lt;&gt;"",FLOOR(SUM(S1894),0.01),"")),""),""),"")</f>
        <v/>
      </c>
      <c r="X1894" s="314" t="str" cm="1">
        <f t="array" aca="1" ref="X1894" ca="1">IFERROR(IF(AE1894&lt;&gt;"ja",_xlfn.IFNA(_xlfn.IFS(AND(P1894&lt;&gt;"",R1894&lt;&gt;"",RIGHT($N1894,6)="tarief",F1894="Vergoeding"),SUM(P1894)*FLOOR(SUM(R1894),0.0001),AND(P1894&lt;&gt;"",R1894&lt;&gt;"",RIGHT($N1894,6)="tarief"),P1894*FLOOR(R1894,0.01),T1894&gt;0,FLOOR(SUM(T1894),0.01)),""),""),"")</f>
        <v/>
      </c>
      <c r="Y1894" s="314" t="str">
        <f t="shared" ca="1" si="118"/>
        <v/>
      </c>
      <c r="Z1894" s="314" t="str" cm="1">
        <f t="array" aca="1" ref="Z1894" ca="1">IFERROR(_xlfn.IFS(OR(F1894="",LEFT(Methode_Keuze,4)="Geen",Methode_Keuze=""),"",AND(W1894&lt;&gt;"",F1894&lt;&gt;"Arbeidskosten"),W1894*VLOOKUP(F1894,Tb_ProjectKosten[],MATCH(Tb_ProjectKosten[[#Headers],[Forfait_Percentage]],Tb_ProjectKosten[#Headers],0),0),AND(F1894="Arbeidskosten",G1894&lt;&gt;""),IFERROR(W1894*VLOOKUP(G1894,Tb_KostenTypen[],3,0)*VLOOKUP(F1894,Tb_ProjectKosten[],MATCH(Tb_ProjectKosten[[#Headers],[Forfait_Percentage]],Tb_ProjectKosten[#Headers],0),0),""),W1894 &lt;=0,0),"")</f>
        <v/>
      </c>
      <c r="AA1894" s="314" t="str" cm="1">
        <f t="array" aca="1" ref="AA1894" ca="1">IFERROR(_xlfn.IFS(OR(F1894="",LEFT(Methode_Keuze,4)="Geen",Methode_Keuze=""),"",AND(X1894&lt;&gt;"",F1894&lt;&gt;"Arbeidskosten"),X1894*VLOOKUP(F1894,Tb_ProjectKosten[],MATCH(Tb_ProjectKosten[[#Headers],[Forfait_Percentage]],Tb_ProjectKosten[#Headers],0),0),AND(F1894="Arbeidskosten",G1894&lt;&gt;""),IFERROR(X1894*VLOOKUP(G1894,Tb_KostenTypen[],3,0)*VLOOKUP(F1894,Tb_ProjectKosten[],MATCH(Tb_ProjectKosten[[#Headers],[Forfait_Percentage]],Tb_ProjectKosten[#Headers],0),0),""),X1894 &lt;=0,0),"")</f>
        <v/>
      </c>
      <c r="AB1894" s="314" t="str">
        <f t="shared" ca="1" si="119"/>
        <v/>
      </c>
      <c r="AC1894" s="322"/>
      <c r="AD1894" s="315"/>
      <c r="AE1894" s="32" t="str" cm="1">
        <f t="array" ref="AE1894">IFERROR(IF(INDEX(SubsidieTabel!$AD$1:$AG$12,MATCH($F1894,SubsidieTabel!$AD$1:$AD$12,0),IFERROR(MATCH(Methode_Keuze,SubsidieTabel!$AD$1:$AG$1,0),2))&lt;&gt;1=TRUE,"ja",""),"")</f>
        <v/>
      </c>
    </row>
    <row r="1895" spans="1:31" x14ac:dyDescent="0.25">
      <c r="A1895" s="316"/>
      <c r="B1895" s="317" t="str">
        <f>IF(A1895&lt;&gt;"",_xlfn.MAXIFS($B$1:B1894,$A$1:A1894,A1895)+1,"")</f>
        <v/>
      </c>
      <c r="C1895" s="296"/>
      <c r="D1895" s="296"/>
      <c r="E1895" s="296"/>
      <c r="F1895" s="296"/>
      <c r="G1895" s="326"/>
      <c r="H1895" s="324"/>
      <c r="I1895" s="325"/>
      <c r="J1895" s="325"/>
      <c r="K1895" s="318"/>
      <c r="L1895" s="318"/>
      <c r="M1895" s="319" t="str">
        <f>IFERROR(VLOOKUP(H1895,Lijsten!$H$1:$I$100,2,0),"")</f>
        <v/>
      </c>
      <c r="N1895" s="319" t="str">
        <f ca="1">IFERROR(IF(VLOOKUP(F1895,Kostentypen!$A$3:$E$21,3,0)=0,"",IF(OR(F1895="Arbeidskosten",F1895="Vergoeding"),VLOOKUP(G1895,Tb_KostenTypen[],2,0),VLOOKUP(F1895,Kostentypen!$A$3:$E$20,3,0))),"")</f>
        <v/>
      </c>
      <c r="O1895" s="320" t="str" cm="1">
        <f t="array" ref="O1895">_xlfn.IFNA(IF(INDEX(Tb_KostenOptiesDB[],MATCH($F1895,Tb_KostenOptiesDB[KostenOptie],0),IFERROR(MATCH(Methode_Keuze,Tb_KostenOptiesDB[#Headers],0),2))=1,_xlfn.SWITCH($N1895,"Uurtarief",IF(OR(AND(RIGHT($F1895,3)="IKS",VLOOKUP($M1895,DB_Loonkosten,2,0)="Ja"),AND(RIGHT($F1895,3)&lt;&gt;"IKS",VLOOKUP($M1895,DB_Loonkosten,2,0)="Nee")),IFERROR(VLOOKUP($M1895,DB_Loonkosten,24,0),""),0),"Vast tarief",IF(LEFT(F1895,8)="Bijdrage",VLOOKUP($F1895,Tb_KostenTypen[],MATCH(Lijsten!$P$1,Tb_KostenTypen[#Headers],0),0),VLOOKUP($G1895,Lijsten!L:P,MATCH(Lijsten!$P$1,Kop_Tarief_Vast,0),0))),""),"")</f>
        <v/>
      </c>
      <c r="P1895" s="320" t="str" cm="1">
        <f t="array" ref="P1895">_xlfn.IFNA(IF(INDEX(Tb_KostenOptiesDB[],MATCH($F1895,Tb_KostenOptiesDB[KostenOptie],0),IFERROR(MATCH(Methode_Keuze,Tb_KostenOptiesDB[#Headers],0),2))=1,_xlfn.SWITCH($N1895,"Uurtarief",IF(OR(AND(RIGHT($F1895,3)="IKS",VLOOKUP($M1895,DB_Loonkosten,2,0)="Ja"),AND(RIGHT($F1895,3)&lt;&gt;"IKS",VLOOKUP($M1895,DB_Loonkosten,2,0)="Nee")),IFERROR(VLOOKUP($M1895,DB_Loonkosten,25,0),""),0),"Vast tarief",IF(LEFT(F1895,8)="Bijdrage",VLOOKUP($F1895,Tb_KostenTypen[],MATCH(Lijsten!$P$1,Tb_KostenTypen[#Headers],0),0),VLOOKUP($G1895,Lijsten!L:P,MATCH(Lijsten!$P$1,Kop_Tarief_Vast,0),0))),""),"")</f>
        <v/>
      </c>
      <c r="Q1895" s="359"/>
      <c r="R1895" s="359"/>
      <c r="S1895" s="321"/>
      <c r="T1895" s="321"/>
      <c r="U1895" s="373" t="str">
        <f t="shared" si="116"/>
        <v/>
      </c>
      <c r="V1895" s="314" t="str">
        <f t="shared" si="117"/>
        <v/>
      </c>
      <c r="W1895" s="314" t="str" cm="1">
        <f t="array" aca="1" ref="W1895" ca="1">IFERROR(IF(AE1895&lt;&gt;"ja",_xlfn.IFNA(_xlfn.IFS(AND(O1895&lt;&gt;"",F1895&lt;&gt;"",RIGHT($N1895,6)="tarief",F1895="Vergoeding"),SUM(O1895)*FLOOR(SUM(Q1895),0.0001),AND(O1895&lt;&gt;"",F1895&lt;&gt;"",RIGHT($N1895,6)="tarief"),SUM(O1895)*FLOOR(SUM(Q1895),0.01),S1895&gt;0,IF(F1895&lt;&gt;"",FLOOR(SUM(S1895),0.01),"")),""),""),"")</f>
        <v/>
      </c>
      <c r="X1895" s="314" t="str" cm="1">
        <f t="array" aca="1" ref="X1895" ca="1">IFERROR(IF(AE1895&lt;&gt;"ja",_xlfn.IFNA(_xlfn.IFS(AND(P1895&lt;&gt;"",R1895&lt;&gt;"",RIGHT($N1895,6)="tarief",F1895="Vergoeding"),SUM(P1895)*FLOOR(SUM(R1895),0.0001),AND(P1895&lt;&gt;"",R1895&lt;&gt;"",RIGHT($N1895,6)="tarief"),P1895*FLOOR(R1895,0.01),T1895&gt;0,FLOOR(SUM(T1895),0.01)),""),""),"")</f>
        <v/>
      </c>
      <c r="Y1895" s="314" t="str">
        <f t="shared" ca="1" si="118"/>
        <v/>
      </c>
      <c r="Z1895" s="314" t="str" cm="1">
        <f t="array" aca="1" ref="Z1895" ca="1">IFERROR(_xlfn.IFS(OR(F1895="",LEFT(Methode_Keuze,4)="Geen",Methode_Keuze=""),"",AND(W1895&lt;&gt;"",F1895&lt;&gt;"Arbeidskosten"),W1895*VLOOKUP(F1895,Tb_ProjectKosten[],MATCH(Tb_ProjectKosten[[#Headers],[Forfait_Percentage]],Tb_ProjectKosten[#Headers],0),0),AND(F1895="Arbeidskosten",G1895&lt;&gt;""),IFERROR(W1895*VLOOKUP(G1895,Tb_KostenTypen[],3,0)*VLOOKUP(F1895,Tb_ProjectKosten[],MATCH(Tb_ProjectKosten[[#Headers],[Forfait_Percentage]],Tb_ProjectKosten[#Headers],0),0),""),W1895 &lt;=0,0),"")</f>
        <v/>
      </c>
      <c r="AA1895" s="314" t="str" cm="1">
        <f t="array" aca="1" ref="AA1895" ca="1">IFERROR(_xlfn.IFS(OR(F1895="",LEFT(Methode_Keuze,4)="Geen",Methode_Keuze=""),"",AND(X1895&lt;&gt;"",F1895&lt;&gt;"Arbeidskosten"),X1895*VLOOKUP(F1895,Tb_ProjectKosten[],MATCH(Tb_ProjectKosten[[#Headers],[Forfait_Percentage]],Tb_ProjectKosten[#Headers],0),0),AND(F1895="Arbeidskosten",G1895&lt;&gt;""),IFERROR(X1895*VLOOKUP(G1895,Tb_KostenTypen[],3,0)*VLOOKUP(F1895,Tb_ProjectKosten[],MATCH(Tb_ProjectKosten[[#Headers],[Forfait_Percentage]],Tb_ProjectKosten[#Headers],0),0),""),X1895 &lt;=0,0),"")</f>
        <v/>
      </c>
      <c r="AB1895" s="314" t="str">
        <f t="shared" ca="1" si="119"/>
        <v/>
      </c>
      <c r="AC1895" s="322"/>
      <c r="AD1895" s="315"/>
      <c r="AE1895" s="32" t="str" cm="1">
        <f t="array" ref="AE1895">IFERROR(IF(INDEX(SubsidieTabel!$AD$1:$AG$12,MATCH($F1895,SubsidieTabel!$AD$1:$AD$12,0),IFERROR(MATCH(Methode_Keuze,SubsidieTabel!$AD$1:$AG$1,0),2))&lt;&gt;1=TRUE,"ja",""),"")</f>
        <v/>
      </c>
    </row>
    <row r="1896" spans="1:31" x14ac:dyDescent="0.25">
      <c r="A1896" s="316"/>
      <c r="B1896" s="317" t="str">
        <f>IF(A1896&lt;&gt;"",_xlfn.MAXIFS($B$1:B1895,$A$1:A1895,A1896)+1,"")</f>
        <v/>
      </c>
      <c r="C1896" s="296"/>
      <c r="D1896" s="296"/>
      <c r="E1896" s="296"/>
      <c r="F1896" s="296"/>
      <c r="G1896" s="326"/>
      <c r="H1896" s="324"/>
      <c r="I1896" s="325"/>
      <c r="J1896" s="325"/>
      <c r="K1896" s="318"/>
      <c r="L1896" s="318"/>
      <c r="M1896" s="319" t="str">
        <f>IFERROR(VLOOKUP(H1896,Lijsten!$H$1:$I$100,2,0),"")</f>
        <v/>
      </c>
      <c r="N1896" s="319" t="str">
        <f ca="1">IFERROR(IF(VLOOKUP(F1896,Kostentypen!$A$3:$E$21,3,0)=0,"",IF(OR(F1896="Arbeidskosten",F1896="Vergoeding"),VLOOKUP(G1896,Tb_KostenTypen[],2,0),VLOOKUP(F1896,Kostentypen!$A$3:$E$20,3,0))),"")</f>
        <v/>
      </c>
      <c r="O1896" s="320" t="str" cm="1">
        <f t="array" ref="O1896">_xlfn.IFNA(IF(INDEX(Tb_KostenOptiesDB[],MATCH($F1896,Tb_KostenOptiesDB[KostenOptie],0),IFERROR(MATCH(Methode_Keuze,Tb_KostenOptiesDB[#Headers],0),2))=1,_xlfn.SWITCH($N1896,"Uurtarief",IF(OR(AND(RIGHT($F1896,3)="IKS",VLOOKUP($M1896,DB_Loonkosten,2,0)="Ja"),AND(RIGHT($F1896,3)&lt;&gt;"IKS",VLOOKUP($M1896,DB_Loonkosten,2,0)="Nee")),IFERROR(VLOOKUP($M1896,DB_Loonkosten,24,0),""),0),"Vast tarief",IF(LEFT(F1896,8)="Bijdrage",VLOOKUP($F1896,Tb_KostenTypen[],MATCH(Lijsten!$P$1,Tb_KostenTypen[#Headers],0),0),VLOOKUP($G1896,Lijsten!L:P,MATCH(Lijsten!$P$1,Kop_Tarief_Vast,0),0))),""),"")</f>
        <v/>
      </c>
      <c r="P1896" s="320" t="str" cm="1">
        <f t="array" ref="P1896">_xlfn.IFNA(IF(INDEX(Tb_KostenOptiesDB[],MATCH($F1896,Tb_KostenOptiesDB[KostenOptie],0),IFERROR(MATCH(Methode_Keuze,Tb_KostenOptiesDB[#Headers],0),2))=1,_xlfn.SWITCH($N1896,"Uurtarief",IF(OR(AND(RIGHT($F1896,3)="IKS",VLOOKUP($M1896,DB_Loonkosten,2,0)="Ja"),AND(RIGHT($F1896,3)&lt;&gt;"IKS",VLOOKUP($M1896,DB_Loonkosten,2,0)="Nee")),IFERROR(VLOOKUP($M1896,DB_Loonkosten,25,0),""),0),"Vast tarief",IF(LEFT(F1896,8)="Bijdrage",VLOOKUP($F1896,Tb_KostenTypen[],MATCH(Lijsten!$P$1,Tb_KostenTypen[#Headers],0),0),VLOOKUP($G1896,Lijsten!L:P,MATCH(Lijsten!$P$1,Kop_Tarief_Vast,0),0))),""),"")</f>
        <v/>
      </c>
      <c r="Q1896" s="359"/>
      <c r="R1896" s="359"/>
      <c r="S1896" s="321"/>
      <c r="T1896" s="321"/>
      <c r="U1896" s="373" t="str">
        <f t="shared" si="116"/>
        <v/>
      </c>
      <c r="V1896" s="314" t="str">
        <f t="shared" si="117"/>
        <v/>
      </c>
      <c r="W1896" s="314" t="str" cm="1">
        <f t="array" aca="1" ref="W1896" ca="1">IFERROR(IF(AE1896&lt;&gt;"ja",_xlfn.IFNA(_xlfn.IFS(AND(O1896&lt;&gt;"",F1896&lt;&gt;"",RIGHT($N1896,6)="tarief",F1896="Vergoeding"),SUM(O1896)*FLOOR(SUM(Q1896),0.0001),AND(O1896&lt;&gt;"",F1896&lt;&gt;"",RIGHT($N1896,6)="tarief"),SUM(O1896)*FLOOR(SUM(Q1896),0.01),S1896&gt;0,IF(F1896&lt;&gt;"",FLOOR(SUM(S1896),0.01),"")),""),""),"")</f>
        <v/>
      </c>
      <c r="X1896" s="314" t="str" cm="1">
        <f t="array" aca="1" ref="X1896" ca="1">IFERROR(IF(AE1896&lt;&gt;"ja",_xlfn.IFNA(_xlfn.IFS(AND(P1896&lt;&gt;"",R1896&lt;&gt;"",RIGHT($N1896,6)="tarief",F1896="Vergoeding"),SUM(P1896)*FLOOR(SUM(R1896),0.0001),AND(P1896&lt;&gt;"",R1896&lt;&gt;"",RIGHT($N1896,6)="tarief"),P1896*FLOOR(R1896,0.01),T1896&gt;0,FLOOR(SUM(T1896),0.01)),""),""),"")</f>
        <v/>
      </c>
      <c r="Y1896" s="314" t="str">
        <f t="shared" ca="1" si="118"/>
        <v/>
      </c>
      <c r="Z1896" s="314" t="str" cm="1">
        <f t="array" aca="1" ref="Z1896" ca="1">IFERROR(_xlfn.IFS(OR(F1896="",LEFT(Methode_Keuze,4)="Geen",Methode_Keuze=""),"",AND(W1896&lt;&gt;"",F1896&lt;&gt;"Arbeidskosten"),W1896*VLOOKUP(F1896,Tb_ProjectKosten[],MATCH(Tb_ProjectKosten[[#Headers],[Forfait_Percentage]],Tb_ProjectKosten[#Headers],0),0),AND(F1896="Arbeidskosten",G1896&lt;&gt;""),IFERROR(W1896*VLOOKUP(G1896,Tb_KostenTypen[],3,0)*VLOOKUP(F1896,Tb_ProjectKosten[],MATCH(Tb_ProjectKosten[[#Headers],[Forfait_Percentage]],Tb_ProjectKosten[#Headers],0),0),""),W1896 &lt;=0,0),"")</f>
        <v/>
      </c>
      <c r="AA1896" s="314" t="str" cm="1">
        <f t="array" aca="1" ref="AA1896" ca="1">IFERROR(_xlfn.IFS(OR(F1896="",LEFT(Methode_Keuze,4)="Geen",Methode_Keuze=""),"",AND(X1896&lt;&gt;"",F1896&lt;&gt;"Arbeidskosten"),X1896*VLOOKUP(F1896,Tb_ProjectKosten[],MATCH(Tb_ProjectKosten[[#Headers],[Forfait_Percentage]],Tb_ProjectKosten[#Headers],0),0),AND(F1896="Arbeidskosten",G1896&lt;&gt;""),IFERROR(X1896*VLOOKUP(G1896,Tb_KostenTypen[],3,0)*VLOOKUP(F1896,Tb_ProjectKosten[],MATCH(Tb_ProjectKosten[[#Headers],[Forfait_Percentage]],Tb_ProjectKosten[#Headers],0),0),""),X1896 &lt;=0,0),"")</f>
        <v/>
      </c>
      <c r="AB1896" s="314" t="str">
        <f t="shared" ca="1" si="119"/>
        <v/>
      </c>
      <c r="AC1896" s="322"/>
      <c r="AD1896" s="315"/>
      <c r="AE1896" s="32" t="str" cm="1">
        <f t="array" ref="AE1896">IFERROR(IF(INDEX(SubsidieTabel!$AD$1:$AG$12,MATCH($F1896,SubsidieTabel!$AD$1:$AD$12,0),IFERROR(MATCH(Methode_Keuze,SubsidieTabel!$AD$1:$AG$1,0),2))&lt;&gt;1=TRUE,"ja",""),"")</f>
        <v/>
      </c>
    </row>
    <row r="1897" spans="1:31" x14ac:dyDescent="0.25">
      <c r="A1897" s="316"/>
      <c r="B1897" s="317" t="str">
        <f>IF(A1897&lt;&gt;"",_xlfn.MAXIFS($B$1:B1896,$A$1:A1896,A1897)+1,"")</f>
        <v/>
      </c>
      <c r="C1897" s="296"/>
      <c r="D1897" s="296"/>
      <c r="E1897" s="296"/>
      <c r="F1897" s="296"/>
      <c r="G1897" s="326"/>
      <c r="H1897" s="324"/>
      <c r="I1897" s="325"/>
      <c r="J1897" s="325"/>
      <c r="K1897" s="318"/>
      <c r="L1897" s="318"/>
      <c r="M1897" s="319" t="str">
        <f>IFERROR(VLOOKUP(H1897,Lijsten!$H$1:$I$100,2,0),"")</f>
        <v/>
      </c>
      <c r="N1897" s="319" t="str">
        <f ca="1">IFERROR(IF(VLOOKUP(F1897,Kostentypen!$A$3:$E$21,3,0)=0,"",IF(OR(F1897="Arbeidskosten",F1897="Vergoeding"),VLOOKUP(G1897,Tb_KostenTypen[],2,0),VLOOKUP(F1897,Kostentypen!$A$3:$E$20,3,0))),"")</f>
        <v/>
      </c>
      <c r="O1897" s="320" t="str" cm="1">
        <f t="array" ref="O1897">_xlfn.IFNA(IF(INDEX(Tb_KostenOptiesDB[],MATCH($F1897,Tb_KostenOptiesDB[KostenOptie],0),IFERROR(MATCH(Methode_Keuze,Tb_KostenOptiesDB[#Headers],0),2))=1,_xlfn.SWITCH($N1897,"Uurtarief",IF(OR(AND(RIGHT($F1897,3)="IKS",VLOOKUP($M1897,DB_Loonkosten,2,0)="Ja"),AND(RIGHT($F1897,3)&lt;&gt;"IKS",VLOOKUP($M1897,DB_Loonkosten,2,0)="Nee")),IFERROR(VLOOKUP($M1897,DB_Loonkosten,24,0),""),0),"Vast tarief",IF(LEFT(F1897,8)="Bijdrage",VLOOKUP($F1897,Tb_KostenTypen[],MATCH(Lijsten!$P$1,Tb_KostenTypen[#Headers],0),0),VLOOKUP($G1897,Lijsten!L:P,MATCH(Lijsten!$P$1,Kop_Tarief_Vast,0),0))),""),"")</f>
        <v/>
      </c>
      <c r="P1897" s="320" t="str" cm="1">
        <f t="array" ref="P1897">_xlfn.IFNA(IF(INDEX(Tb_KostenOptiesDB[],MATCH($F1897,Tb_KostenOptiesDB[KostenOptie],0),IFERROR(MATCH(Methode_Keuze,Tb_KostenOptiesDB[#Headers],0),2))=1,_xlfn.SWITCH($N1897,"Uurtarief",IF(OR(AND(RIGHT($F1897,3)="IKS",VLOOKUP($M1897,DB_Loonkosten,2,0)="Ja"),AND(RIGHT($F1897,3)&lt;&gt;"IKS",VLOOKUP($M1897,DB_Loonkosten,2,0)="Nee")),IFERROR(VLOOKUP($M1897,DB_Loonkosten,25,0),""),0),"Vast tarief",IF(LEFT(F1897,8)="Bijdrage",VLOOKUP($F1897,Tb_KostenTypen[],MATCH(Lijsten!$P$1,Tb_KostenTypen[#Headers],0),0),VLOOKUP($G1897,Lijsten!L:P,MATCH(Lijsten!$P$1,Kop_Tarief_Vast,0),0))),""),"")</f>
        <v/>
      </c>
      <c r="Q1897" s="359"/>
      <c r="R1897" s="359"/>
      <c r="S1897" s="321"/>
      <c r="T1897" s="321"/>
      <c r="U1897" s="373" t="str">
        <f t="shared" si="116"/>
        <v/>
      </c>
      <c r="V1897" s="314" t="str">
        <f t="shared" si="117"/>
        <v/>
      </c>
      <c r="W1897" s="314" t="str" cm="1">
        <f t="array" aca="1" ref="W1897" ca="1">IFERROR(IF(AE1897&lt;&gt;"ja",_xlfn.IFNA(_xlfn.IFS(AND(O1897&lt;&gt;"",F1897&lt;&gt;"",RIGHT($N1897,6)="tarief",F1897="Vergoeding"),SUM(O1897)*FLOOR(SUM(Q1897),0.0001),AND(O1897&lt;&gt;"",F1897&lt;&gt;"",RIGHT($N1897,6)="tarief"),SUM(O1897)*FLOOR(SUM(Q1897),0.01),S1897&gt;0,IF(F1897&lt;&gt;"",FLOOR(SUM(S1897),0.01),"")),""),""),"")</f>
        <v/>
      </c>
      <c r="X1897" s="314" t="str" cm="1">
        <f t="array" aca="1" ref="X1897" ca="1">IFERROR(IF(AE1897&lt;&gt;"ja",_xlfn.IFNA(_xlfn.IFS(AND(P1897&lt;&gt;"",R1897&lt;&gt;"",RIGHT($N1897,6)="tarief",F1897="Vergoeding"),SUM(P1897)*FLOOR(SUM(R1897),0.0001),AND(P1897&lt;&gt;"",R1897&lt;&gt;"",RIGHT($N1897,6)="tarief"),P1897*FLOOR(R1897,0.01),T1897&gt;0,FLOOR(SUM(T1897),0.01)),""),""),"")</f>
        <v/>
      </c>
      <c r="Y1897" s="314" t="str">
        <f t="shared" ca="1" si="118"/>
        <v/>
      </c>
      <c r="Z1897" s="314" t="str" cm="1">
        <f t="array" aca="1" ref="Z1897" ca="1">IFERROR(_xlfn.IFS(OR(F1897="",LEFT(Methode_Keuze,4)="Geen",Methode_Keuze=""),"",AND(W1897&lt;&gt;"",F1897&lt;&gt;"Arbeidskosten"),W1897*VLOOKUP(F1897,Tb_ProjectKosten[],MATCH(Tb_ProjectKosten[[#Headers],[Forfait_Percentage]],Tb_ProjectKosten[#Headers],0),0),AND(F1897="Arbeidskosten",G1897&lt;&gt;""),IFERROR(W1897*VLOOKUP(G1897,Tb_KostenTypen[],3,0)*VLOOKUP(F1897,Tb_ProjectKosten[],MATCH(Tb_ProjectKosten[[#Headers],[Forfait_Percentage]],Tb_ProjectKosten[#Headers],0),0),""),W1897 &lt;=0,0),"")</f>
        <v/>
      </c>
      <c r="AA1897" s="314" t="str" cm="1">
        <f t="array" aca="1" ref="AA1897" ca="1">IFERROR(_xlfn.IFS(OR(F1897="",LEFT(Methode_Keuze,4)="Geen",Methode_Keuze=""),"",AND(X1897&lt;&gt;"",F1897&lt;&gt;"Arbeidskosten"),X1897*VLOOKUP(F1897,Tb_ProjectKosten[],MATCH(Tb_ProjectKosten[[#Headers],[Forfait_Percentage]],Tb_ProjectKosten[#Headers],0),0),AND(F1897="Arbeidskosten",G1897&lt;&gt;""),IFERROR(X1897*VLOOKUP(G1897,Tb_KostenTypen[],3,0)*VLOOKUP(F1897,Tb_ProjectKosten[],MATCH(Tb_ProjectKosten[[#Headers],[Forfait_Percentage]],Tb_ProjectKosten[#Headers],0),0),""),X1897 &lt;=0,0),"")</f>
        <v/>
      </c>
      <c r="AB1897" s="314" t="str">
        <f t="shared" ca="1" si="119"/>
        <v/>
      </c>
      <c r="AC1897" s="322"/>
      <c r="AD1897" s="315"/>
      <c r="AE1897" s="32" t="str" cm="1">
        <f t="array" ref="AE1897">IFERROR(IF(INDEX(SubsidieTabel!$AD$1:$AG$12,MATCH($F1897,SubsidieTabel!$AD$1:$AD$12,0),IFERROR(MATCH(Methode_Keuze,SubsidieTabel!$AD$1:$AG$1,0),2))&lt;&gt;1=TRUE,"ja",""),"")</f>
        <v/>
      </c>
    </row>
    <row r="1898" spans="1:31" x14ac:dyDescent="0.25">
      <c r="A1898" s="316"/>
      <c r="B1898" s="317" t="str">
        <f>IF(A1898&lt;&gt;"",_xlfn.MAXIFS($B$1:B1897,$A$1:A1897,A1898)+1,"")</f>
        <v/>
      </c>
      <c r="C1898" s="296"/>
      <c r="D1898" s="296"/>
      <c r="E1898" s="296"/>
      <c r="F1898" s="296"/>
      <c r="G1898" s="326"/>
      <c r="H1898" s="324"/>
      <c r="I1898" s="325"/>
      <c r="J1898" s="325"/>
      <c r="K1898" s="318"/>
      <c r="L1898" s="318"/>
      <c r="M1898" s="319" t="str">
        <f>IFERROR(VLOOKUP(H1898,Lijsten!$H$1:$I$100,2,0),"")</f>
        <v/>
      </c>
      <c r="N1898" s="319" t="str">
        <f ca="1">IFERROR(IF(VLOOKUP(F1898,Kostentypen!$A$3:$E$21,3,0)=0,"",IF(OR(F1898="Arbeidskosten",F1898="Vergoeding"),VLOOKUP(G1898,Tb_KostenTypen[],2,0),VLOOKUP(F1898,Kostentypen!$A$3:$E$20,3,0))),"")</f>
        <v/>
      </c>
      <c r="O1898" s="320" t="str" cm="1">
        <f t="array" ref="O1898">_xlfn.IFNA(IF(INDEX(Tb_KostenOptiesDB[],MATCH($F1898,Tb_KostenOptiesDB[KostenOptie],0),IFERROR(MATCH(Methode_Keuze,Tb_KostenOptiesDB[#Headers],0),2))=1,_xlfn.SWITCH($N1898,"Uurtarief",IF(OR(AND(RIGHT($F1898,3)="IKS",VLOOKUP($M1898,DB_Loonkosten,2,0)="Ja"),AND(RIGHT($F1898,3)&lt;&gt;"IKS",VLOOKUP($M1898,DB_Loonkosten,2,0)="Nee")),IFERROR(VLOOKUP($M1898,DB_Loonkosten,24,0),""),0),"Vast tarief",IF(LEFT(F1898,8)="Bijdrage",VLOOKUP($F1898,Tb_KostenTypen[],MATCH(Lijsten!$P$1,Tb_KostenTypen[#Headers],0),0),VLOOKUP($G1898,Lijsten!L:P,MATCH(Lijsten!$P$1,Kop_Tarief_Vast,0),0))),""),"")</f>
        <v/>
      </c>
      <c r="P1898" s="320" t="str" cm="1">
        <f t="array" ref="P1898">_xlfn.IFNA(IF(INDEX(Tb_KostenOptiesDB[],MATCH($F1898,Tb_KostenOptiesDB[KostenOptie],0),IFERROR(MATCH(Methode_Keuze,Tb_KostenOptiesDB[#Headers],0),2))=1,_xlfn.SWITCH($N1898,"Uurtarief",IF(OR(AND(RIGHT($F1898,3)="IKS",VLOOKUP($M1898,DB_Loonkosten,2,0)="Ja"),AND(RIGHT($F1898,3)&lt;&gt;"IKS",VLOOKUP($M1898,DB_Loonkosten,2,0)="Nee")),IFERROR(VLOOKUP($M1898,DB_Loonkosten,25,0),""),0),"Vast tarief",IF(LEFT(F1898,8)="Bijdrage",VLOOKUP($F1898,Tb_KostenTypen[],MATCH(Lijsten!$P$1,Tb_KostenTypen[#Headers],0),0),VLOOKUP($G1898,Lijsten!L:P,MATCH(Lijsten!$P$1,Kop_Tarief_Vast,0),0))),""),"")</f>
        <v/>
      </c>
      <c r="Q1898" s="359"/>
      <c r="R1898" s="359"/>
      <c r="S1898" s="321"/>
      <c r="T1898" s="321"/>
      <c r="U1898" s="373" t="str">
        <f t="shared" si="116"/>
        <v/>
      </c>
      <c r="V1898" s="314" t="str">
        <f t="shared" si="117"/>
        <v/>
      </c>
      <c r="W1898" s="314" t="str" cm="1">
        <f t="array" aca="1" ref="W1898" ca="1">IFERROR(IF(AE1898&lt;&gt;"ja",_xlfn.IFNA(_xlfn.IFS(AND(O1898&lt;&gt;"",F1898&lt;&gt;"",RIGHT($N1898,6)="tarief",F1898="Vergoeding"),SUM(O1898)*FLOOR(SUM(Q1898),0.0001),AND(O1898&lt;&gt;"",F1898&lt;&gt;"",RIGHT($N1898,6)="tarief"),SUM(O1898)*FLOOR(SUM(Q1898),0.01),S1898&gt;0,IF(F1898&lt;&gt;"",FLOOR(SUM(S1898),0.01),"")),""),""),"")</f>
        <v/>
      </c>
      <c r="X1898" s="314" t="str" cm="1">
        <f t="array" aca="1" ref="X1898" ca="1">IFERROR(IF(AE1898&lt;&gt;"ja",_xlfn.IFNA(_xlfn.IFS(AND(P1898&lt;&gt;"",R1898&lt;&gt;"",RIGHT($N1898,6)="tarief",F1898="Vergoeding"),SUM(P1898)*FLOOR(SUM(R1898),0.0001),AND(P1898&lt;&gt;"",R1898&lt;&gt;"",RIGHT($N1898,6)="tarief"),P1898*FLOOR(R1898,0.01),T1898&gt;0,FLOOR(SUM(T1898),0.01)),""),""),"")</f>
        <v/>
      </c>
      <c r="Y1898" s="314" t="str">
        <f t="shared" ca="1" si="118"/>
        <v/>
      </c>
      <c r="Z1898" s="314" t="str" cm="1">
        <f t="array" aca="1" ref="Z1898" ca="1">IFERROR(_xlfn.IFS(OR(F1898="",LEFT(Methode_Keuze,4)="Geen",Methode_Keuze=""),"",AND(W1898&lt;&gt;"",F1898&lt;&gt;"Arbeidskosten"),W1898*VLOOKUP(F1898,Tb_ProjectKosten[],MATCH(Tb_ProjectKosten[[#Headers],[Forfait_Percentage]],Tb_ProjectKosten[#Headers],0),0),AND(F1898="Arbeidskosten",G1898&lt;&gt;""),IFERROR(W1898*VLOOKUP(G1898,Tb_KostenTypen[],3,0)*VLOOKUP(F1898,Tb_ProjectKosten[],MATCH(Tb_ProjectKosten[[#Headers],[Forfait_Percentage]],Tb_ProjectKosten[#Headers],0),0),""),W1898 &lt;=0,0),"")</f>
        <v/>
      </c>
      <c r="AA1898" s="314" t="str" cm="1">
        <f t="array" aca="1" ref="AA1898" ca="1">IFERROR(_xlfn.IFS(OR(F1898="",LEFT(Methode_Keuze,4)="Geen",Methode_Keuze=""),"",AND(X1898&lt;&gt;"",F1898&lt;&gt;"Arbeidskosten"),X1898*VLOOKUP(F1898,Tb_ProjectKosten[],MATCH(Tb_ProjectKosten[[#Headers],[Forfait_Percentage]],Tb_ProjectKosten[#Headers],0),0),AND(F1898="Arbeidskosten",G1898&lt;&gt;""),IFERROR(X1898*VLOOKUP(G1898,Tb_KostenTypen[],3,0)*VLOOKUP(F1898,Tb_ProjectKosten[],MATCH(Tb_ProjectKosten[[#Headers],[Forfait_Percentage]],Tb_ProjectKosten[#Headers],0),0),""),X1898 &lt;=0,0),"")</f>
        <v/>
      </c>
      <c r="AB1898" s="314" t="str">
        <f t="shared" ca="1" si="119"/>
        <v/>
      </c>
      <c r="AC1898" s="322"/>
      <c r="AD1898" s="315"/>
      <c r="AE1898" s="32" t="str" cm="1">
        <f t="array" ref="AE1898">IFERROR(IF(INDEX(SubsidieTabel!$AD$1:$AG$12,MATCH($F1898,SubsidieTabel!$AD$1:$AD$12,0),IFERROR(MATCH(Methode_Keuze,SubsidieTabel!$AD$1:$AG$1,0),2))&lt;&gt;1=TRUE,"ja",""),"")</f>
        <v/>
      </c>
    </row>
    <row r="1899" spans="1:31" x14ac:dyDescent="0.25">
      <c r="A1899" s="316"/>
      <c r="B1899" s="317" t="str">
        <f>IF(A1899&lt;&gt;"",_xlfn.MAXIFS($B$1:B1898,$A$1:A1898,A1899)+1,"")</f>
        <v/>
      </c>
      <c r="C1899" s="296"/>
      <c r="D1899" s="296"/>
      <c r="E1899" s="296"/>
      <c r="F1899" s="296"/>
      <c r="G1899" s="326"/>
      <c r="H1899" s="324"/>
      <c r="I1899" s="325"/>
      <c r="J1899" s="325"/>
      <c r="K1899" s="318"/>
      <c r="L1899" s="318"/>
      <c r="M1899" s="319" t="str">
        <f>IFERROR(VLOOKUP(H1899,Lijsten!$H$1:$I$100,2,0),"")</f>
        <v/>
      </c>
      <c r="N1899" s="319" t="str">
        <f ca="1">IFERROR(IF(VLOOKUP(F1899,Kostentypen!$A$3:$E$21,3,0)=0,"",IF(OR(F1899="Arbeidskosten",F1899="Vergoeding"),VLOOKUP(G1899,Tb_KostenTypen[],2,0),VLOOKUP(F1899,Kostentypen!$A$3:$E$20,3,0))),"")</f>
        <v/>
      </c>
      <c r="O1899" s="320" t="str" cm="1">
        <f t="array" ref="O1899">_xlfn.IFNA(IF(INDEX(Tb_KostenOptiesDB[],MATCH($F1899,Tb_KostenOptiesDB[KostenOptie],0),IFERROR(MATCH(Methode_Keuze,Tb_KostenOptiesDB[#Headers],0),2))=1,_xlfn.SWITCH($N1899,"Uurtarief",IF(OR(AND(RIGHT($F1899,3)="IKS",VLOOKUP($M1899,DB_Loonkosten,2,0)="Ja"),AND(RIGHT($F1899,3)&lt;&gt;"IKS",VLOOKUP($M1899,DB_Loonkosten,2,0)="Nee")),IFERROR(VLOOKUP($M1899,DB_Loonkosten,24,0),""),0),"Vast tarief",IF(LEFT(F1899,8)="Bijdrage",VLOOKUP($F1899,Tb_KostenTypen[],MATCH(Lijsten!$P$1,Tb_KostenTypen[#Headers],0),0),VLOOKUP($G1899,Lijsten!L:P,MATCH(Lijsten!$P$1,Kop_Tarief_Vast,0),0))),""),"")</f>
        <v/>
      </c>
      <c r="P1899" s="320" t="str" cm="1">
        <f t="array" ref="P1899">_xlfn.IFNA(IF(INDEX(Tb_KostenOptiesDB[],MATCH($F1899,Tb_KostenOptiesDB[KostenOptie],0),IFERROR(MATCH(Methode_Keuze,Tb_KostenOptiesDB[#Headers],0),2))=1,_xlfn.SWITCH($N1899,"Uurtarief",IF(OR(AND(RIGHT($F1899,3)="IKS",VLOOKUP($M1899,DB_Loonkosten,2,0)="Ja"),AND(RIGHT($F1899,3)&lt;&gt;"IKS",VLOOKUP($M1899,DB_Loonkosten,2,0)="Nee")),IFERROR(VLOOKUP($M1899,DB_Loonkosten,25,0),""),0),"Vast tarief",IF(LEFT(F1899,8)="Bijdrage",VLOOKUP($F1899,Tb_KostenTypen[],MATCH(Lijsten!$P$1,Tb_KostenTypen[#Headers],0),0),VLOOKUP($G1899,Lijsten!L:P,MATCH(Lijsten!$P$1,Kop_Tarief_Vast,0),0))),""),"")</f>
        <v/>
      </c>
      <c r="Q1899" s="359"/>
      <c r="R1899" s="359"/>
      <c r="S1899" s="321"/>
      <c r="T1899" s="321"/>
      <c r="U1899" s="373" t="str">
        <f t="shared" si="116"/>
        <v/>
      </c>
      <c r="V1899" s="314" t="str">
        <f t="shared" si="117"/>
        <v/>
      </c>
      <c r="W1899" s="314" t="str" cm="1">
        <f t="array" aca="1" ref="W1899" ca="1">IFERROR(IF(AE1899&lt;&gt;"ja",_xlfn.IFNA(_xlfn.IFS(AND(O1899&lt;&gt;"",F1899&lt;&gt;"",RIGHT($N1899,6)="tarief",F1899="Vergoeding"),SUM(O1899)*FLOOR(SUM(Q1899),0.0001),AND(O1899&lt;&gt;"",F1899&lt;&gt;"",RIGHT($N1899,6)="tarief"),SUM(O1899)*FLOOR(SUM(Q1899),0.01),S1899&gt;0,IF(F1899&lt;&gt;"",FLOOR(SUM(S1899),0.01),"")),""),""),"")</f>
        <v/>
      </c>
      <c r="X1899" s="314" t="str" cm="1">
        <f t="array" aca="1" ref="X1899" ca="1">IFERROR(IF(AE1899&lt;&gt;"ja",_xlfn.IFNA(_xlfn.IFS(AND(P1899&lt;&gt;"",R1899&lt;&gt;"",RIGHT($N1899,6)="tarief",F1899="Vergoeding"),SUM(P1899)*FLOOR(SUM(R1899),0.0001),AND(P1899&lt;&gt;"",R1899&lt;&gt;"",RIGHT($N1899,6)="tarief"),P1899*FLOOR(R1899,0.01),T1899&gt;0,FLOOR(SUM(T1899),0.01)),""),""),"")</f>
        <v/>
      </c>
      <c r="Y1899" s="314" t="str">
        <f t="shared" ca="1" si="118"/>
        <v/>
      </c>
      <c r="Z1899" s="314" t="str" cm="1">
        <f t="array" aca="1" ref="Z1899" ca="1">IFERROR(_xlfn.IFS(OR(F1899="",LEFT(Methode_Keuze,4)="Geen",Methode_Keuze=""),"",AND(W1899&lt;&gt;"",F1899&lt;&gt;"Arbeidskosten"),W1899*VLOOKUP(F1899,Tb_ProjectKosten[],MATCH(Tb_ProjectKosten[[#Headers],[Forfait_Percentage]],Tb_ProjectKosten[#Headers],0),0),AND(F1899="Arbeidskosten",G1899&lt;&gt;""),IFERROR(W1899*VLOOKUP(G1899,Tb_KostenTypen[],3,0)*VLOOKUP(F1899,Tb_ProjectKosten[],MATCH(Tb_ProjectKosten[[#Headers],[Forfait_Percentage]],Tb_ProjectKosten[#Headers],0),0),""),W1899 &lt;=0,0),"")</f>
        <v/>
      </c>
      <c r="AA1899" s="314" t="str" cm="1">
        <f t="array" aca="1" ref="AA1899" ca="1">IFERROR(_xlfn.IFS(OR(F1899="",LEFT(Methode_Keuze,4)="Geen",Methode_Keuze=""),"",AND(X1899&lt;&gt;"",F1899&lt;&gt;"Arbeidskosten"),X1899*VLOOKUP(F1899,Tb_ProjectKosten[],MATCH(Tb_ProjectKosten[[#Headers],[Forfait_Percentage]],Tb_ProjectKosten[#Headers],0),0),AND(F1899="Arbeidskosten",G1899&lt;&gt;""),IFERROR(X1899*VLOOKUP(G1899,Tb_KostenTypen[],3,0)*VLOOKUP(F1899,Tb_ProjectKosten[],MATCH(Tb_ProjectKosten[[#Headers],[Forfait_Percentage]],Tb_ProjectKosten[#Headers],0),0),""),X1899 &lt;=0,0),"")</f>
        <v/>
      </c>
      <c r="AB1899" s="314" t="str">
        <f t="shared" ca="1" si="119"/>
        <v/>
      </c>
      <c r="AC1899" s="322"/>
      <c r="AD1899" s="315"/>
      <c r="AE1899" s="32" t="str" cm="1">
        <f t="array" ref="AE1899">IFERROR(IF(INDEX(SubsidieTabel!$AD$1:$AG$12,MATCH($F1899,SubsidieTabel!$AD$1:$AD$12,0),IFERROR(MATCH(Methode_Keuze,SubsidieTabel!$AD$1:$AG$1,0),2))&lt;&gt;1=TRUE,"ja",""),"")</f>
        <v/>
      </c>
    </row>
    <row r="1900" spans="1:31" x14ac:dyDescent="0.25">
      <c r="A1900" s="316"/>
      <c r="B1900" s="317" t="str">
        <f>IF(A1900&lt;&gt;"",_xlfn.MAXIFS($B$1:B1899,$A$1:A1899,A1900)+1,"")</f>
        <v/>
      </c>
      <c r="C1900" s="296"/>
      <c r="D1900" s="296"/>
      <c r="E1900" s="296"/>
      <c r="F1900" s="296"/>
      <c r="G1900" s="326"/>
      <c r="H1900" s="324"/>
      <c r="I1900" s="325"/>
      <c r="J1900" s="325"/>
      <c r="K1900" s="318"/>
      <c r="L1900" s="318"/>
      <c r="M1900" s="319" t="str">
        <f>IFERROR(VLOOKUP(H1900,Lijsten!$H$1:$I$100,2,0),"")</f>
        <v/>
      </c>
      <c r="N1900" s="319" t="str">
        <f ca="1">IFERROR(IF(VLOOKUP(F1900,Kostentypen!$A$3:$E$21,3,0)=0,"",IF(OR(F1900="Arbeidskosten",F1900="Vergoeding"),VLOOKUP(G1900,Tb_KostenTypen[],2,0),VLOOKUP(F1900,Kostentypen!$A$3:$E$20,3,0))),"")</f>
        <v/>
      </c>
      <c r="O1900" s="320" t="str" cm="1">
        <f t="array" ref="O1900">_xlfn.IFNA(IF(INDEX(Tb_KostenOptiesDB[],MATCH($F1900,Tb_KostenOptiesDB[KostenOptie],0),IFERROR(MATCH(Methode_Keuze,Tb_KostenOptiesDB[#Headers],0),2))=1,_xlfn.SWITCH($N1900,"Uurtarief",IF(OR(AND(RIGHT($F1900,3)="IKS",VLOOKUP($M1900,DB_Loonkosten,2,0)="Ja"),AND(RIGHT($F1900,3)&lt;&gt;"IKS",VLOOKUP($M1900,DB_Loonkosten,2,0)="Nee")),IFERROR(VLOOKUP($M1900,DB_Loonkosten,24,0),""),0),"Vast tarief",IF(LEFT(F1900,8)="Bijdrage",VLOOKUP($F1900,Tb_KostenTypen[],MATCH(Lijsten!$P$1,Tb_KostenTypen[#Headers],0),0),VLOOKUP($G1900,Lijsten!L:P,MATCH(Lijsten!$P$1,Kop_Tarief_Vast,0),0))),""),"")</f>
        <v/>
      </c>
      <c r="P1900" s="320" t="str" cm="1">
        <f t="array" ref="P1900">_xlfn.IFNA(IF(INDEX(Tb_KostenOptiesDB[],MATCH($F1900,Tb_KostenOptiesDB[KostenOptie],0),IFERROR(MATCH(Methode_Keuze,Tb_KostenOptiesDB[#Headers],0),2))=1,_xlfn.SWITCH($N1900,"Uurtarief",IF(OR(AND(RIGHT($F1900,3)="IKS",VLOOKUP($M1900,DB_Loonkosten,2,0)="Ja"),AND(RIGHT($F1900,3)&lt;&gt;"IKS",VLOOKUP($M1900,DB_Loonkosten,2,0)="Nee")),IFERROR(VLOOKUP($M1900,DB_Loonkosten,25,0),""),0),"Vast tarief",IF(LEFT(F1900,8)="Bijdrage",VLOOKUP($F1900,Tb_KostenTypen[],MATCH(Lijsten!$P$1,Tb_KostenTypen[#Headers],0),0),VLOOKUP($G1900,Lijsten!L:P,MATCH(Lijsten!$P$1,Kop_Tarief_Vast,0),0))),""),"")</f>
        <v/>
      </c>
      <c r="Q1900" s="359"/>
      <c r="R1900" s="359"/>
      <c r="S1900" s="321"/>
      <c r="T1900" s="321"/>
      <c r="U1900" s="373" t="str">
        <f t="shared" si="116"/>
        <v/>
      </c>
      <c r="V1900" s="314" t="str">
        <f t="shared" si="117"/>
        <v/>
      </c>
      <c r="W1900" s="314" t="str" cm="1">
        <f t="array" aca="1" ref="W1900" ca="1">IFERROR(IF(AE1900&lt;&gt;"ja",_xlfn.IFNA(_xlfn.IFS(AND(O1900&lt;&gt;"",F1900&lt;&gt;"",RIGHT($N1900,6)="tarief",F1900="Vergoeding"),SUM(O1900)*FLOOR(SUM(Q1900),0.0001),AND(O1900&lt;&gt;"",F1900&lt;&gt;"",RIGHT($N1900,6)="tarief"),SUM(O1900)*FLOOR(SUM(Q1900),0.01),S1900&gt;0,IF(F1900&lt;&gt;"",FLOOR(SUM(S1900),0.01),"")),""),""),"")</f>
        <v/>
      </c>
      <c r="X1900" s="314" t="str" cm="1">
        <f t="array" aca="1" ref="X1900" ca="1">IFERROR(IF(AE1900&lt;&gt;"ja",_xlfn.IFNA(_xlfn.IFS(AND(P1900&lt;&gt;"",R1900&lt;&gt;"",RIGHT($N1900,6)="tarief",F1900="Vergoeding"),SUM(P1900)*FLOOR(SUM(R1900),0.0001),AND(P1900&lt;&gt;"",R1900&lt;&gt;"",RIGHT($N1900,6)="tarief"),P1900*FLOOR(R1900,0.01),T1900&gt;0,FLOOR(SUM(T1900),0.01)),""),""),"")</f>
        <v/>
      </c>
      <c r="Y1900" s="314" t="str">
        <f t="shared" ca="1" si="118"/>
        <v/>
      </c>
      <c r="Z1900" s="314" t="str" cm="1">
        <f t="array" aca="1" ref="Z1900" ca="1">IFERROR(_xlfn.IFS(OR(F1900="",LEFT(Methode_Keuze,4)="Geen",Methode_Keuze=""),"",AND(W1900&lt;&gt;"",F1900&lt;&gt;"Arbeidskosten"),W1900*VLOOKUP(F1900,Tb_ProjectKosten[],MATCH(Tb_ProjectKosten[[#Headers],[Forfait_Percentage]],Tb_ProjectKosten[#Headers],0),0),AND(F1900="Arbeidskosten",G1900&lt;&gt;""),IFERROR(W1900*VLOOKUP(G1900,Tb_KostenTypen[],3,0)*VLOOKUP(F1900,Tb_ProjectKosten[],MATCH(Tb_ProjectKosten[[#Headers],[Forfait_Percentage]],Tb_ProjectKosten[#Headers],0),0),""),W1900 &lt;=0,0),"")</f>
        <v/>
      </c>
      <c r="AA1900" s="314" t="str" cm="1">
        <f t="array" aca="1" ref="AA1900" ca="1">IFERROR(_xlfn.IFS(OR(F1900="",LEFT(Methode_Keuze,4)="Geen",Methode_Keuze=""),"",AND(X1900&lt;&gt;"",F1900&lt;&gt;"Arbeidskosten"),X1900*VLOOKUP(F1900,Tb_ProjectKosten[],MATCH(Tb_ProjectKosten[[#Headers],[Forfait_Percentage]],Tb_ProjectKosten[#Headers],0),0),AND(F1900="Arbeidskosten",G1900&lt;&gt;""),IFERROR(X1900*VLOOKUP(G1900,Tb_KostenTypen[],3,0)*VLOOKUP(F1900,Tb_ProjectKosten[],MATCH(Tb_ProjectKosten[[#Headers],[Forfait_Percentage]],Tb_ProjectKosten[#Headers],0),0),""),X1900 &lt;=0,0),"")</f>
        <v/>
      </c>
      <c r="AB1900" s="314" t="str">
        <f t="shared" ca="1" si="119"/>
        <v/>
      </c>
      <c r="AC1900" s="322"/>
      <c r="AD1900" s="315"/>
      <c r="AE1900" s="32" t="str" cm="1">
        <f t="array" ref="AE1900">IFERROR(IF(INDEX(SubsidieTabel!$AD$1:$AG$12,MATCH($F1900,SubsidieTabel!$AD$1:$AD$12,0),IFERROR(MATCH(Methode_Keuze,SubsidieTabel!$AD$1:$AG$1,0),2))&lt;&gt;1=TRUE,"ja",""),"")</f>
        <v/>
      </c>
    </row>
    <row r="1901" spans="1:31" x14ac:dyDescent="0.25">
      <c r="A1901" s="316"/>
      <c r="B1901" s="317" t="str">
        <f>IF(A1901&lt;&gt;"",_xlfn.MAXIFS($B$1:B1900,$A$1:A1900,A1901)+1,"")</f>
        <v/>
      </c>
      <c r="C1901" s="296"/>
      <c r="D1901" s="296"/>
      <c r="E1901" s="296"/>
      <c r="F1901" s="296"/>
      <c r="G1901" s="326"/>
      <c r="H1901" s="324"/>
      <c r="I1901" s="325"/>
      <c r="J1901" s="325"/>
      <c r="K1901" s="318"/>
      <c r="L1901" s="318"/>
      <c r="M1901" s="319" t="str">
        <f>IFERROR(VLOOKUP(H1901,Lijsten!$H$1:$I$100,2,0),"")</f>
        <v/>
      </c>
      <c r="N1901" s="319" t="str">
        <f ca="1">IFERROR(IF(VLOOKUP(F1901,Kostentypen!$A$3:$E$21,3,0)=0,"",IF(OR(F1901="Arbeidskosten",F1901="Vergoeding"),VLOOKUP(G1901,Tb_KostenTypen[],2,0),VLOOKUP(F1901,Kostentypen!$A$3:$E$20,3,0))),"")</f>
        <v/>
      </c>
      <c r="O1901" s="320" t="str" cm="1">
        <f t="array" ref="O1901">_xlfn.IFNA(IF(INDEX(Tb_KostenOptiesDB[],MATCH($F1901,Tb_KostenOptiesDB[KostenOptie],0),IFERROR(MATCH(Methode_Keuze,Tb_KostenOptiesDB[#Headers],0),2))=1,_xlfn.SWITCH($N1901,"Uurtarief",IF(OR(AND(RIGHT($F1901,3)="IKS",VLOOKUP($M1901,DB_Loonkosten,2,0)="Ja"),AND(RIGHT($F1901,3)&lt;&gt;"IKS",VLOOKUP($M1901,DB_Loonkosten,2,0)="Nee")),IFERROR(VLOOKUP($M1901,DB_Loonkosten,24,0),""),0),"Vast tarief",IF(LEFT(F1901,8)="Bijdrage",VLOOKUP($F1901,Tb_KostenTypen[],MATCH(Lijsten!$P$1,Tb_KostenTypen[#Headers],0),0),VLOOKUP($G1901,Lijsten!L:P,MATCH(Lijsten!$P$1,Kop_Tarief_Vast,0),0))),""),"")</f>
        <v/>
      </c>
      <c r="P1901" s="320" t="str" cm="1">
        <f t="array" ref="P1901">_xlfn.IFNA(IF(INDEX(Tb_KostenOptiesDB[],MATCH($F1901,Tb_KostenOptiesDB[KostenOptie],0),IFERROR(MATCH(Methode_Keuze,Tb_KostenOptiesDB[#Headers],0),2))=1,_xlfn.SWITCH($N1901,"Uurtarief",IF(OR(AND(RIGHT($F1901,3)="IKS",VLOOKUP($M1901,DB_Loonkosten,2,0)="Ja"),AND(RIGHT($F1901,3)&lt;&gt;"IKS",VLOOKUP($M1901,DB_Loonkosten,2,0)="Nee")),IFERROR(VLOOKUP($M1901,DB_Loonkosten,25,0),""),0),"Vast tarief",IF(LEFT(F1901,8)="Bijdrage",VLOOKUP($F1901,Tb_KostenTypen[],MATCH(Lijsten!$P$1,Tb_KostenTypen[#Headers],0),0),VLOOKUP($G1901,Lijsten!L:P,MATCH(Lijsten!$P$1,Kop_Tarief_Vast,0),0))),""),"")</f>
        <v/>
      </c>
      <c r="Q1901" s="359"/>
      <c r="R1901" s="359"/>
      <c r="S1901" s="321"/>
      <c r="T1901" s="321"/>
      <c r="U1901" s="373" t="str">
        <f t="shared" si="116"/>
        <v/>
      </c>
      <c r="V1901" s="314" t="str">
        <f t="shared" si="117"/>
        <v/>
      </c>
      <c r="W1901" s="314" t="str" cm="1">
        <f t="array" aca="1" ref="W1901" ca="1">IFERROR(IF(AE1901&lt;&gt;"ja",_xlfn.IFNA(_xlfn.IFS(AND(O1901&lt;&gt;"",F1901&lt;&gt;"",RIGHT($N1901,6)="tarief",F1901="Vergoeding"),SUM(O1901)*FLOOR(SUM(Q1901),0.0001),AND(O1901&lt;&gt;"",F1901&lt;&gt;"",RIGHT($N1901,6)="tarief"),SUM(O1901)*FLOOR(SUM(Q1901),0.01),S1901&gt;0,IF(F1901&lt;&gt;"",FLOOR(SUM(S1901),0.01),"")),""),""),"")</f>
        <v/>
      </c>
      <c r="X1901" s="314" t="str" cm="1">
        <f t="array" aca="1" ref="X1901" ca="1">IFERROR(IF(AE1901&lt;&gt;"ja",_xlfn.IFNA(_xlfn.IFS(AND(P1901&lt;&gt;"",R1901&lt;&gt;"",RIGHT($N1901,6)="tarief",F1901="Vergoeding"),SUM(P1901)*FLOOR(SUM(R1901),0.0001),AND(P1901&lt;&gt;"",R1901&lt;&gt;"",RIGHT($N1901,6)="tarief"),P1901*FLOOR(R1901,0.01),T1901&gt;0,FLOOR(SUM(T1901),0.01)),""),""),"")</f>
        <v/>
      </c>
      <c r="Y1901" s="314" t="str">
        <f t="shared" ca="1" si="118"/>
        <v/>
      </c>
      <c r="Z1901" s="314" t="str" cm="1">
        <f t="array" aca="1" ref="Z1901" ca="1">IFERROR(_xlfn.IFS(OR(F1901="",LEFT(Methode_Keuze,4)="Geen",Methode_Keuze=""),"",AND(W1901&lt;&gt;"",F1901&lt;&gt;"Arbeidskosten"),W1901*VLOOKUP(F1901,Tb_ProjectKosten[],MATCH(Tb_ProjectKosten[[#Headers],[Forfait_Percentage]],Tb_ProjectKosten[#Headers],0),0),AND(F1901="Arbeidskosten",G1901&lt;&gt;""),IFERROR(W1901*VLOOKUP(G1901,Tb_KostenTypen[],3,0)*VLOOKUP(F1901,Tb_ProjectKosten[],MATCH(Tb_ProjectKosten[[#Headers],[Forfait_Percentage]],Tb_ProjectKosten[#Headers],0),0),""),W1901 &lt;=0,0),"")</f>
        <v/>
      </c>
      <c r="AA1901" s="314" t="str" cm="1">
        <f t="array" aca="1" ref="AA1901" ca="1">IFERROR(_xlfn.IFS(OR(F1901="",LEFT(Methode_Keuze,4)="Geen",Methode_Keuze=""),"",AND(X1901&lt;&gt;"",F1901&lt;&gt;"Arbeidskosten"),X1901*VLOOKUP(F1901,Tb_ProjectKosten[],MATCH(Tb_ProjectKosten[[#Headers],[Forfait_Percentage]],Tb_ProjectKosten[#Headers],0),0),AND(F1901="Arbeidskosten",G1901&lt;&gt;""),IFERROR(X1901*VLOOKUP(G1901,Tb_KostenTypen[],3,0)*VLOOKUP(F1901,Tb_ProjectKosten[],MATCH(Tb_ProjectKosten[[#Headers],[Forfait_Percentage]],Tb_ProjectKosten[#Headers],0),0),""),X1901 &lt;=0,0),"")</f>
        <v/>
      </c>
      <c r="AB1901" s="314" t="str">
        <f t="shared" ca="1" si="119"/>
        <v/>
      </c>
      <c r="AC1901" s="322"/>
      <c r="AD1901" s="315"/>
      <c r="AE1901" s="32" t="str" cm="1">
        <f t="array" ref="AE1901">IFERROR(IF(INDEX(SubsidieTabel!$AD$1:$AG$12,MATCH($F1901,SubsidieTabel!$AD$1:$AD$12,0),IFERROR(MATCH(Methode_Keuze,SubsidieTabel!$AD$1:$AG$1,0),2))&lt;&gt;1=TRUE,"ja",""),"")</f>
        <v/>
      </c>
    </row>
    <row r="1902" spans="1:31" x14ac:dyDescent="0.25">
      <c r="A1902" s="316"/>
      <c r="B1902" s="317" t="str">
        <f>IF(A1902&lt;&gt;"",_xlfn.MAXIFS($B$1:B1901,$A$1:A1901,A1902)+1,"")</f>
        <v/>
      </c>
      <c r="C1902" s="296"/>
      <c r="D1902" s="296"/>
      <c r="E1902" s="296"/>
      <c r="F1902" s="296"/>
      <c r="G1902" s="326"/>
      <c r="H1902" s="324"/>
      <c r="I1902" s="325"/>
      <c r="J1902" s="325"/>
      <c r="K1902" s="318"/>
      <c r="L1902" s="318"/>
      <c r="M1902" s="319" t="str">
        <f>IFERROR(VLOOKUP(H1902,Lijsten!$H$1:$I$100,2,0),"")</f>
        <v/>
      </c>
      <c r="N1902" s="319" t="str">
        <f ca="1">IFERROR(IF(VLOOKUP(F1902,Kostentypen!$A$3:$E$21,3,0)=0,"",IF(OR(F1902="Arbeidskosten",F1902="Vergoeding"),VLOOKUP(G1902,Tb_KostenTypen[],2,0),VLOOKUP(F1902,Kostentypen!$A$3:$E$20,3,0))),"")</f>
        <v/>
      </c>
      <c r="O1902" s="320" t="str" cm="1">
        <f t="array" ref="O1902">_xlfn.IFNA(IF(INDEX(Tb_KostenOptiesDB[],MATCH($F1902,Tb_KostenOptiesDB[KostenOptie],0),IFERROR(MATCH(Methode_Keuze,Tb_KostenOptiesDB[#Headers],0),2))=1,_xlfn.SWITCH($N1902,"Uurtarief",IF(OR(AND(RIGHT($F1902,3)="IKS",VLOOKUP($M1902,DB_Loonkosten,2,0)="Ja"),AND(RIGHT($F1902,3)&lt;&gt;"IKS",VLOOKUP($M1902,DB_Loonkosten,2,0)="Nee")),IFERROR(VLOOKUP($M1902,DB_Loonkosten,24,0),""),0),"Vast tarief",IF(LEFT(F1902,8)="Bijdrage",VLOOKUP($F1902,Tb_KostenTypen[],MATCH(Lijsten!$P$1,Tb_KostenTypen[#Headers],0),0),VLOOKUP($G1902,Lijsten!L:P,MATCH(Lijsten!$P$1,Kop_Tarief_Vast,0),0))),""),"")</f>
        <v/>
      </c>
      <c r="P1902" s="320" t="str" cm="1">
        <f t="array" ref="P1902">_xlfn.IFNA(IF(INDEX(Tb_KostenOptiesDB[],MATCH($F1902,Tb_KostenOptiesDB[KostenOptie],0),IFERROR(MATCH(Methode_Keuze,Tb_KostenOptiesDB[#Headers],0),2))=1,_xlfn.SWITCH($N1902,"Uurtarief",IF(OR(AND(RIGHT($F1902,3)="IKS",VLOOKUP($M1902,DB_Loonkosten,2,0)="Ja"),AND(RIGHT($F1902,3)&lt;&gt;"IKS",VLOOKUP($M1902,DB_Loonkosten,2,0)="Nee")),IFERROR(VLOOKUP($M1902,DB_Loonkosten,25,0),""),0),"Vast tarief",IF(LEFT(F1902,8)="Bijdrage",VLOOKUP($F1902,Tb_KostenTypen[],MATCH(Lijsten!$P$1,Tb_KostenTypen[#Headers],0),0),VLOOKUP($G1902,Lijsten!L:P,MATCH(Lijsten!$P$1,Kop_Tarief_Vast,0),0))),""),"")</f>
        <v/>
      </c>
      <c r="Q1902" s="359"/>
      <c r="R1902" s="359"/>
      <c r="S1902" s="321"/>
      <c r="T1902" s="321"/>
      <c r="U1902" s="373" t="str">
        <f t="shared" si="116"/>
        <v/>
      </c>
      <c r="V1902" s="314" t="str">
        <f t="shared" si="117"/>
        <v/>
      </c>
      <c r="W1902" s="314" t="str" cm="1">
        <f t="array" aca="1" ref="W1902" ca="1">IFERROR(IF(AE1902&lt;&gt;"ja",_xlfn.IFNA(_xlfn.IFS(AND(O1902&lt;&gt;"",F1902&lt;&gt;"",RIGHT($N1902,6)="tarief",F1902="Vergoeding"),SUM(O1902)*FLOOR(SUM(Q1902),0.0001),AND(O1902&lt;&gt;"",F1902&lt;&gt;"",RIGHT($N1902,6)="tarief"),SUM(O1902)*FLOOR(SUM(Q1902),0.01),S1902&gt;0,IF(F1902&lt;&gt;"",FLOOR(SUM(S1902),0.01),"")),""),""),"")</f>
        <v/>
      </c>
      <c r="X1902" s="314" t="str" cm="1">
        <f t="array" aca="1" ref="X1902" ca="1">IFERROR(IF(AE1902&lt;&gt;"ja",_xlfn.IFNA(_xlfn.IFS(AND(P1902&lt;&gt;"",R1902&lt;&gt;"",RIGHT($N1902,6)="tarief",F1902="Vergoeding"),SUM(P1902)*FLOOR(SUM(R1902),0.0001),AND(P1902&lt;&gt;"",R1902&lt;&gt;"",RIGHT($N1902,6)="tarief"),P1902*FLOOR(R1902,0.01),T1902&gt;0,FLOOR(SUM(T1902),0.01)),""),""),"")</f>
        <v/>
      </c>
      <c r="Y1902" s="314" t="str">
        <f t="shared" ca="1" si="118"/>
        <v/>
      </c>
      <c r="Z1902" s="314" t="str" cm="1">
        <f t="array" aca="1" ref="Z1902" ca="1">IFERROR(_xlfn.IFS(OR(F1902="",LEFT(Methode_Keuze,4)="Geen",Methode_Keuze=""),"",AND(W1902&lt;&gt;"",F1902&lt;&gt;"Arbeidskosten"),W1902*VLOOKUP(F1902,Tb_ProjectKosten[],MATCH(Tb_ProjectKosten[[#Headers],[Forfait_Percentage]],Tb_ProjectKosten[#Headers],0),0),AND(F1902="Arbeidskosten",G1902&lt;&gt;""),IFERROR(W1902*VLOOKUP(G1902,Tb_KostenTypen[],3,0)*VLOOKUP(F1902,Tb_ProjectKosten[],MATCH(Tb_ProjectKosten[[#Headers],[Forfait_Percentage]],Tb_ProjectKosten[#Headers],0),0),""),W1902 &lt;=0,0),"")</f>
        <v/>
      </c>
      <c r="AA1902" s="314" t="str" cm="1">
        <f t="array" aca="1" ref="AA1902" ca="1">IFERROR(_xlfn.IFS(OR(F1902="",LEFT(Methode_Keuze,4)="Geen",Methode_Keuze=""),"",AND(X1902&lt;&gt;"",F1902&lt;&gt;"Arbeidskosten"),X1902*VLOOKUP(F1902,Tb_ProjectKosten[],MATCH(Tb_ProjectKosten[[#Headers],[Forfait_Percentage]],Tb_ProjectKosten[#Headers],0),0),AND(F1902="Arbeidskosten",G1902&lt;&gt;""),IFERROR(X1902*VLOOKUP(G1902,Tb_KostenTypen[],3,0)*VLOOKUP(F1902,Tb_ProjectKosten[],MATCH(Tb_ProjectKosten[[#Headers],[Forfait_Percentage]],Tb_ProjectKosten[#Headers],0),0),""),X1902 &lt;=0,0),"")</f>
        <v/>
      </c>
      <c r="AB1902" s="314" t="str">
        <f t="shared" ca="1" si="119"/>
        <v/>
      </c>
      <c r="AC1902" s="322"/>
      <c r="AD1902" s="315"/>
      <c r="AE1902" s="32" t="str" cm="1">
        <f t="array" ref="AE1902">IFERROR(IF(INDEX(SubsidieTabel!$AD$1:$AG$12,MATCH($F1902,SubsidieTabel!$AD$1:$AD$12,0),IFERROR(MATCH(Methode_Keuze,SubsidieTabel!$AD$1:$AG$1,0),2))&lt;&gt;1=TRUE,"ja",""),"")</f>
        <v/>
      </c>
    </row>
    <row r="1903" spans="1:31" x14ac:dyDescent="0.25">
      <c r="A1903" s="316"/>
      <c r="B1903" s="317" t="str">
        <f>IF(A1903&lt;&gt;"",_xlfn.MAXIFS($B$1:B1902,$A$1:A1902,A1903)+1,"")</f>
        <v/>
      </c>
      <c r="C1903" s="296"/>
      <c r="D1903" s="296"/>
      <c r="E1903" s="296"/>
      <c r="F1903" s="296"/>
      <c r="G1903" s="326"/>
      <c r="H1903" s="324"/>
      <c r="I1903" s="325"/>
      <c r="J1903" s="325"/>
      <c r="K1903" s="318"/>
      <c r="L1903" s="318"/>
      <c r="M1903" s="319" t="str">
        <f>IFERROR(VLOOKUP(H1903,Lijsten!$H$1:$I$100,2,0),"")</f>
        <v/>
      </c>
      <c r="N1903" s="319" t="str">
        <f ca="1">IFERROR(IF(VLOOKUP(F1903,Kostentypen!$A$3:$E$21,3,0)=0,"",IF(OR(F1903="Arbeidskosten",F1903="Vergoeding"),VLOOKUP(G1903,Tb_KostenTypen[],2,0),VLOOKUP(F1903,Kostentypen!$A$3:$E$20,3,0))),"")</f>
        <v/>
      </c>
      <c r="O1903" s="320" t="str" cm="1">
        <f t="array" ref="O1903">_xlfn.IFNA(IF(INDEX(Tb_KostenOptiesDB[],MATCH($F1903,Tb_KostenOptiesDB[KostenOptie],0),IFERROR(MATCH(Methode_Keuze,Tb_KostenOptiesDB[#Headers],0),2))=1,_xlfn.SWITCH($N1903,"Uurtarief",IF(OR(AND(RIGHT($F1903,3)="IKS",VLOOKUP($M1903,DB_Loonkosten,2,0)="Ja"),AND(RIGHT($F1903,3)&lt;&gt;"IKS",VLOOKUP($M1903,DB_Loonkosten,2,0)="Nee")),IFERROR(VLOOKUP($M1903,DB_Loonkosten,24,0),""),0),"Vast tarief",IF(LEFT(F1903,8)="Bijdrage",VLOOKUP($F1903,Tb_KostenTypen[],MATCH(Lijsten!$P$1,Tb_KostenTypen[#Headers],0),0),VLOOKUP($G1903,Lijsten!L:P,MATCH(Lijsten!$P$1,Kop_Tarief_Vast,0),0))),""),"")</f>
        <v/>
      </c>
      <c r="P1903" s="320" t="str" cm="1">
        <f t="array" ref="P1903">_xlfn.IFNA(IF(INDEX(Tb_KostenOptiesDB[],MATCH($F1903,Tb_KostenOptiesDB[KostenOptie],0),IFERROR(MATCH(Methode_Keuze,Tb_KostenOptiesDB[#Headers],0),2))=1,_xlfn.SWITCH($N1903,"Uurtarief",IF(OR(AND(RIGHT($F1903,3)="IKS",VLOOKUP($M1903,DB_Loonkosten,2,0)="Ja"),AND(RIGHT($F1903,3)&lt;&gt;"IKS",VLOOKUP($M1903,DB_Loonkosten,2,0)="Nee")),IFERROR(VLOOKUP($M1903,DB_Loonkosten,25,0),""),0),"Vast tarief",IF(LEFT(F1903,8)="Bijdrage",VLOOKUP($F1903,Tb_KostenTypen[],MATCH(Lijsten!$P$1,Tb_KostenTypen[#Headers],0),0),VLOOKUP($G1903,Lijsten!L:P,MATCH(Lijsten!$P$1,Kop_Tarief_Vast,0),0))),""),"")</f>
        <v/>
      </c>
      <c r="Q1903" s="359"/>
      <c r="R1903" s="359"/>
      <c r="S1903" s="321"/>
      <c r="T1903" s="321"/>
      <c r="U1903" s="373" t="str">
        <f t="shared" si="116"/>
        <v/>
      </c>
      <c r="V1903" s="314" t="str">
        <f t="shared" si="117"/>
        <v/>
      </c>
      <c r="W1903" s="314" t="str" cm="1">
        <f t="array" aca="1" ref="W1903" ca="1">IFERROR(IF(AE1903&lt;&gt;"ja",_xlfn.IFNA(_xlfn.IFS(AND(O1903&lt;&gt;"",F1903&lt;&gt;"",RIGHT($N1903,6)="tarief",F1903="Vergoeding"),SUM(O1903)*FLOOR(SUM(Q1903),0.0001),AND(O1903&lt;&gt;"",F1903&lt;&gt;"",RIGHT($N1903,6)="tarief"),SUM(O1903)*FLOOR(SUM(Q1903),0.01),S1903&gt;0,IF(F1903&lt;&gt;"",FLOOR(SUM(S1903),0.01),"")),""),""),"")</f>
        <v/>
      </c>
      <c r="X1903" s="314" t="str" cm="1">
        <f t="array" aca="1" ref="X1903" ca="1">IFERROR(IF(AE1903&lt;&gt;"ja",_xlfn.IFNA(_xlfn.IFS(AND(P1903&lt;&gt;"",R1903&lt;&gt;"",RIGHT($N1903,6)="tarief",F1903="Vergoeding"),SUM(P1903)*FLOOR(SUM(R1903),0.0001),AND(P1903&lt;&gt;"",R1903&lt;&gt;"",RIGHT($N1903,6)="tarief"),P1903*FLOOR(R1903,0.01),T1903&gt;0,FLOOR(SUM(T1903),0.01)),""),""),"")</f>
        <v/>
      </c>
      <c r="Y1903" s="314" t="str">
        <f t="shared" ca="1" si="118"/>
        <v/>
      </c>
      <c r="Z1903" s="314" t="str" cm="1">
        <f t="array" aca="1" ref="Z1903" ca="1">IFERROR(_xlfn.IFS(OR(F1903="",LEFT(Methode_Keuze,4)="Geen",Methode_Keuze=""),"",AND(W1903&lt;&gt;"",F1903&lt;&gt;"Arbeidskosten"),W1903*VLOOKUP(F1903,Tb_ProjectKosten[],MATCH(Tb_ProjectKosten[[#Headers],[Forfait_Percentage]],Tb_ProjectKosten[#Headers],0),0),AND(F1903="Arbeidskosten",G1903&lt;&gt;""),IFERROR(W1903*VLOOKUP(G1903,Tb_KostenTypen[],3,0)*VLOOKUP(F1903,Tb_ProjectKosten[],MATCH(Tb_ProjectKosten[[#Headers],[Forfait_Percentage]],Tb_ProjectKosten[#Headers],0),0),""),W1903 &lt;=0,0),"")</f>
        <v/>
      </c>
      <c r="AA1903" s="314" t="str" cm="1">
        <f t="array" aca="1" ref="AA1903" ca="1">IFERROR(_xlfn.IFS(OR(F1903="",LEFT(Methode_Keuze,4)="Geen",Methode_Keuze=""),"",AND(X1903&lt;&gt;"",F1903&lt;&gt;"Arbeidskosten"),X1903*VLOOKUP(F1903,Tb_ProjectKosten[],MATCH(Tb_ProjectKosten[[#Headers],[Forfait_Percentage]],Tb_ProjectKosten[#Headers],0),0),AND(F1903="Arbeidskosten",G1903&lt;&gt;""),IFERROR(X1903*VLOOKUP(G1903,Tb_KostenTypen[],3,0)*VLOOKUP(F1903,Tb_ProjectKosten[],MATCH(Tb_ProjectKosten[[#Headers],[Forfait_Percentage]],Tb_ProjectKosten[#Headers],0),0),""),X1903 &lt;=0,0),"")</f>
        <v/>
      </c>
      <c r="AB1903" s="314" t="str">
        <f t="shared" ca="1" si="119"/>
        <v/>
      </c>
      <c r="AC1903" s="322"/>
      <c r="AD1903" s="315"/>
      <c r="AE1903" s="32" t="str" cm="1">
        <f t="array" ref="AE1903">IFERROR(IF(INDEX(SubsidieTabel!$AD$1:$AG$12,MATCH($F1903,SubsidieTabel!$AD$1:$AD$12,0),IFERROR(MATCH(Methode_Keuze,SubsidieTabel!$AD$1:$AG$1,0),2))&lt;&gt;1=TRUE,"ja",""),"")</f>
        <v/>
      </c>
    </row>
    <row r="1904" spans="1:31" x14ac:dyDescent="0.25">
      <c r="A1904" s="316"/>
      <c r="B1904" s="317" t="str">
        <f>IF(A1904&lt;&gt;"",_xlfn.MAXIFS($B$1:B1903,$A$1:A1903,A1904)+1,"")</f>
        <v/>
      </c>
      <c r="C1904" s="296"/>
      <c r="D1904" s="296"/>
      <c r="E1904" s="296"/>
      <c r="F1904" s="296"/>
      <c r="G1904" s="326"/>
      <c r="H1904" s="324"/>
      <c r="I1904" s="325"/>
      <c r="J1904" s="325"/>
      <c r="K1904" s="318"/>
      <c r="L1904" s="318"/>
      <c r="M1904" s="319" t="str">
        <f>IFERROR(VLOOKUP(H1904,Lijsten!$H$1:$I$100,2,0),"")</f>
        <v/>
      </c>
      <c r="N1904" s="319" t="str">
        <f ca="1">IFERROR(IF(VLOOKUP(F1904,Kostentypen!$A$3:$E$21,3,0)=0,"",IF(OR(F1904="Arbeidskosten",F1904="Vergoeding"),VLOOKUP(G1904,Tb_KostenTypen[],2,0),VLOOKUP(F1904,Kostentypen!$A$3:$E$20,3,0))),"")</f>
        <v/>
      </c>
      <c r="O1904" s="320" t="str" cm="1">
        <f t="array" ref="O1904">_xlfn.IFNA(IF(INDEX(Tb_KostenOptiesDB[],MATCH($F1904,Tb_KostenOptiesDB[KostenOptie],0),IFERROR(MATCH(Methode_Keuze,Tb_KostenOptiesDB[#Headers],0),2))=1,_xlfn.SWITCH($N1904,"Uurtarief",IF(OR(AND(RIGHT($F1904,3)="IKS",VLOOKUP($M1904,DB_Loonkosten,2,0)="Ja"),AND(RIGHT($F1904,3)&lt;&gt;"IKS",VLOOKUP($M1904,DB_Loonkosten,2,0)="Nee")),IFERROR(VLOOKUP($M1904,DB_Loonkosten,24,0),""),0),"Vast tarief",IF(LEFT(F1904,8)="Bijdrage",VLOOKUP($F1904,Tb_KostenTypen[],MATCH(Lijsten!$P$1,Tb_KostenTypen[#Headers],0),0),VLOOKUP($G1904,Lijsten!L:P,MATCH(Lijsten!$P$1,Kop_Tarief_Vast,0),0))),""),"")</f>
        <v/>
      </c>
      <c r="P1904" s="320" t="str" cm="1">
        <f t="array" ref="P1904">_xlfn.IFNA(IF(INDEX(Tb_KostenOptiesDB[],MATCH($F1904,Tb_KostenOptiesDB[KostenOptie],0),IFERROR(MATCH(Methode_Keuze,Tb_KostenOptiesDB[#Headers],0),2))=1,_xlfn.SWITCH($N1904,"Uurtarief",IF(OR(AND(RIGHT($F1904,3)="IKS",VLOOKUP($M1904,DB_Loonkosten,2,0)="Ja"),AND(RIGHT($F1904,3)&lt;&gt;"IKS",VLOOKUP($M1904,DB_Loonkosten,2,0)="Nee")),IFERROR(VLOOKUP($M1904,DB_Loonkosten,25,0),""),0),"Vast tarief",IF(LEFT(F1904,8)="Bijdrage",VLOOKUP($F1904,Tb_KostenTypen[],MATCH(Lijsten!$P$1,Tb_KostenTypen[#Headers],0),0),VLOOKUP($G1904,Lijsten!L:P,MATCH(Lijsten!$P$1,Kop_Tarief_Vast,0),0))),""),"")</f>
        <v/>
      </c>
      <c r="Q1904" s="359"/>
      <c r="R1904" s="359"/>
      <c r="S1904" s="321"/>
      <c r="T1904" s="321"/>
      <c r="U1904" s="373" t="str">
        <f t="shared" si="116"/>
        <v/>
      </c>
      <c r="V1904" s="314" t="str">
        <f t="shared" si="117"/>
        <v/>
      </c>
      <c r="W1904" s="314" t="str" cm="1">
        <f t="array" aca="1" ref="W1904" ca="1">IFERROR(IF(AE1904&lt;&gt;"ja",_xlfn.IFNA(_xlfn.IFS(AND(O1904&lt;&gt;"",F1904&lt;&gt;"",RIGHT($N1904,6)="tarief",F1904="Vergoeding"),SUM(O1904)*FLOOR(SUM(Q1904),0.0001),AND(O1904&lt;&gt;"",F1904&lt;&gt;"",RIGHT($N1904,6)="tarief"),SUM(O1904)*FLOOR(SUM(Q1904),0.01),S1904&gt;0,IF(F1904&lt;&gt;"",FLOOR(SUM(S1904),0.01),"")),""),""),"")</f>
        <v/>
      </c>
      <c r="X1904" s="314" t="str" cm="1">
        <f t="array" aca="1" ref="X1904" ca="1">IFERROR(IF(AE1904&lt;&gt;"ja",_xlfn.IFNA(_xlfn.IFS(AND(P1904&lt;&gt;"",R1904&lt;&gt;"",RIGHT($N1904,6)="tarief",F1904="Vergoeding"),SUM(P1904)*FLOOR(SUM(R1904),0.0001),AND(P1904&lt;&gt;"",R1904&lt;&gt;"",RIGHT($N1904,6)="tarief"),P1904*FLOOR(R1904,0.01),T1904&gt;0,FLOOR(SUM(T1904),0.01)),""),""),"")</f>
        <v/>
      </c>
      <c r="Y1904" s="314" t="str">
        <f t="shared" ca="1" si="118"/>
        <v/>
      </c>
      <c r="Z1904" s="314" t="str" cm="1">
        <f t="array" aca="1" ref="Z1904" ca="1">IFERROR(_xlfn.IFS(OR(F1904="",LEFT(Methode_Keuze,4)="Geen",Methode_Keuze=""),"",AND(W1904&lt;&gt;"",F1904&lt;&gt;"Arbeidskosten"),W1904*VLOOKUP(F1904,Tb_ProjectKosten[],MATCH(Tb_ProjectKosten[[#Headers],[Forfait_Percentage]],Tb_ProjectKosten[#Headers],0),0),AND(F1904="Arbeidskosten",G1904&lt;&gt;""),IFERROR(W1904*VLOOKUP(G1904,Tb_KostenTypen[],3,0)*VLOOKUP(F1904,Tb_ProjectKosten[],MATCH(Tb_ProjectKosten[[#Headers],[Forfait_Percentage]],Tb_ProjectKosten[#Headers],0),0),""),W1904 &lt;=0,0),"")</f>
        <v/>
      </c>
      <c r="AA1904" s="314" t="str" cm="1">
        <f t="array" aca="1" ref="AA1904" ca="1">IFERROR(_xlfn.IFS(OR(F1904="",LEFT(Methode_Keuze,4)="Geen",Methode_Keuze=""),"",AND(X1904&lt;&gt;"",F1904&lt;&gt;"Arbeidskosten"),X1904*VLOOKUP(F1904,Tb_ProjectKosten[],MATCH(Tb_ProjectKosten[[#Headers],[Forfait_Percentage]],Tb_ProjectKosten[#Headers],0),0),AND(F1904="Arbeidskosten",G1904&lt;&gt;""),IFERROR(X1904*VLOOKUP(G1904,Tb_KostenTypen[],3,0)*VLOOKUP(F1904,Tb_ProjectKosten[],MATCH(Tb_ProjectKosten[[#Headers],[Forfait_Percentage]],Tb_ProjectKosten[#Headers],0),0),""),X1904 &lt;=0,0),"")</f>
        <v/>
      </c>
      <c r="AB1904" s="314" t="str">
        <f t="shared" ca="1" si="119"/>
        <v/>
      </c>
      <c r="AC1904" s="322"/>
      <c r="AD1904" s="315"/>
      <c r="AE1904" s="32" t="str" cm="1">
        <f t="array" ref="AE1904">IFERROR(IF(INDEX(SubsidieTabel!$AD$1:$AG$12,MATCH($F1904,SubsidieTabel!$AD$1:$AD$12,0),IFERROR(MATCH(Methode_Keuze,SubsidieTabel!$AD$1:$AG$1,0),2))&lt;&gt;1=TRUE,"ja",""),"")</f>
        <v/>
      </c>
    </row>
    <row r="1905" spans="1:31" x14ac:dyDescent="0.25">
      <c r="A1905" s="316"/>
      <c r="B1905" s="317" t="str">
        <f>IF(A1905&lt;&gt;"",_xlfn.MAXIFS($B$1:B1904,$A$1:A1904,A1905)+1,"")</f>
        <v/>
      </c>
      <c r="C1905" s="296"/>
      <c r="D1905" s="296"/>
      <c r="E1905" s="296"/>
      <c r="F1905" s="296"/>
      <c r="G1905" s="326"/>
      <c r="H1905" s="324"/>
      <c r="I1905" s="325"/>
      <c r="J1905" s="325"/>
      <c r="K1905" s="318"/>
      <c r="L1905" s="318"/>
      <c r="M1905" s="319" t="str">
        <f>IFERROR(VLOOKUP(H1905,Lijsten!$H$1:$I$100,2,0),"")</f>
        <v/>
      </c>
      <c r="N1905" s="319" t="str">
        <f ca="1">IFERROR(IF(VLOOKUP(F1905,Kostentypen!$A$3:$E$21,3,0)=0,"",IF(OR(F1905="Arbeidskosten",F1905="Vergoeding"),VLOOKUP(G1905,Tb_KostenTypen[],2,0),VLOOKUP(F1905,Kostentypen!$A$3:$E$20,3,0))),"")</f>
        <v/>
      </c>
      <c r="O1905" s="320" t="str" cm="1">
        <f t="array" ref="O1905">_xlfn.IFNA(IF(INDEX(Tb_KostenOptiesDB[],MATCH($F1905,Tb_KostenOptiesDB[KostenOptie],0),IFERROR(MATCH(Methode_Keuze,Tb_KostenOptiesDB[#Headers],0),2))=1,_xlfn.SWITCH($N1905,"Uurtarief",IF(OR(AND(RIGHT($F1905,3)="IKS",VLOOKUP($M1905,DB_Loonkosten,2,0)="Ja"),AND(RIGHT($F1905,3)&lt;&gt;"IKS",VLOOKUP($M1905,DB_Loonkosten,2,0)="Nee")),IFERROR(VLOOKUP($M1905,DB_Loonkosten,24,0),""),0),"Vast tarief",IF(LEFT(F1905,8)="Bijdrage",VLOOKUP($F1905,Tb_KostenTypen[],MATCH(Lijsten!$P$1,Tb_KostenTypen[#Headers],0),0),VLOOKUP($G1905,Lijsten!L:P,MATCH(Lijsten!$P$1,Kop_Tarief_Vast,0),0))),""),"")</f>
        <v/>
      </c>
      <c r="P1905" s="320" t="str" cm="1">
        <f t="array" ref="P1905">_xlfn.IFNA(IF(INDEX(Tb_KostenOptiesDB[],MATCH($F1905,Tb_KostenOptiesDB[KostenOptie],0),IFERROR(MATCH(Methode_Keuze,Tb_KostenOptiesDB[#Headers],0),2))=1,_xlfn.SWITCH($N1905,"Uurtarief",IF(OR(AND(RIGHT($F1905,3)="IKS",VLOOKUP($M1905,DB_Loonkosten,2,0)="Ja"),AND(RIGHT($F1905,3)&lt;&gt;"IKS",VLOOKUP($M1905,DB_Loonkosten,2,0)="Nee")),IFERROR(VLOOKUP($M1905,DB_Loonkosten,25,0),""),0),"Vast tarief",IF(LEFT(F1905,8)="Bijdrage",VLOOKUP($F1905,Tb_KostenTypen[],MATCH(Lijsten!$P$1,Tb_KostenTypen[#Headers],0),0),VLOOKUP($G1905,Lijsten!L:P,MATCH(Lijsten!$P$1,Kop_Tarief_Vast,0),0))),""),"")</f>
        <v/>
      </c>
      <c r="Q1905" s="359"/>
      <c r="R1905" s="359"/>
      <c r="S1905" s="321"/>
      <c r="T1905" s="321"/>
      <c r="U1905" s="373" t="str">
        <f t="shared" si="116"/>
        <v/>
      </c>
      <c r="V1905" s="314" t="str">
        <f t="shared" si="117"/>
        <v/>
      </c>
      <c r="W1905" s="314" t="str" cm="1">
        <f t="array" aca="1" ref="W1905" ca="1">IFERROR(IF(AE1905&lt;&gt;"ja",_xlfn.IFNA(_xlfn.IFS(AND(O1905&lt;&gt;"",F1905&lt;&gt;"",RIGHT($N1905,6)="tarief",F1905="Vergoeding"),SUM(O1905)*FLOOR(SUM(Q1905),0.0001),AND(O1905&lt;&gt;"",F1905&lt;&gt;"",RIGHT($N1905,6)="tarief"),SUM(O1905)*FLOOR(SUM(Q1905),0.01),S1905&gt;0,IF(F1905&lt;&gt;"",FLOOR(SUM(S1905),0.01),"")),""),""),"")</f>
        <v/>
      </c>
      <c r="X1905" s="314" t="str" cm="1">
        <f t="array" aca="1" ref="X1905" ca="1">IFERROR(IF(AE1905&lt;&gt;"ja",_xlfn.IFNA(_xlfn.IFS(AND(P1905&lt;&gt;"",R1905&lt;&gt;"",RIGHT($N1905,6)="tarief",F1905="Vergoeding"),SUM(P1905)*FLOOR(SUM(R1905),0.0001),AND(P1905&lt;&gt;"",R1905&lt;&gt;"",RIGHT($N1905,6)="tarief"),P1905*FLOOR(R1905,0.01),T1905&gt;0,FLOOR(SUM(T1905),0.01)),""),""),"")</f>
        <v/>
      </c>
      <c r="Y1905" s="314" t="str">
        <f t="shared" ca="1" si="118"/>
        <v/>
      </c>
      <c r="Z1905" s="314" t="str" cm="1">
        <f t="array" aca="1" ref="Z1905" ca="1">IFERROR(_xlfn.IFS(OR(F1905="",LEFT(Methode_Keuze,4)="Geen",Methode_Keuze=""),"",AND(W1905&lt;&gt;"",F1905&lt;&gt;"Arbeidskosten"),W1905*VLOOKUP(F1905,Tb_ProjectKosten[],MATCH(Tb_ProjectKosten[[#Headers],[Forfait_Percentage]],Tb_ProjectKosten[#Headers],0),0),AND(F1905="Arbeidskosten",G1905&lt;&gt;""),IFERROR(W1905*VLOOKUP(G1905,Tb_KostenTypen[],3,0)*VLOOKUP(F1905,Tb_ProjectKosten[],MATCH(Tb_ProjectKosten[[#Headers],[Forfait_Percentage]],Tb_ProjectKosten[#Headers],0),0),""),W1905 &lt;=0,0),"")</f>
        <v/>
      </c>
      <c r="AA1905" s="314" t="str" cm="1">
        <f t="array" aca="1" ref="AA1905" ca="1">IFERROR(_xlfn.IFS(OR(F1905="",LEFT(Methode_Keuze,4)="Geen",Methode_Keuze=""),"",AND(X1905&lt;&gt;"",F1905&lt;&gt;"Arbeidskosten"),X1905*VLOOKUP(F1905,Tb_ProjectKosten[],MATCH(Tb_ProjectKosten[[#Headers],[Forfait_Percentage]],Tb_ProjectKosten[#Headers],0),0),AND(F1905="Arbeidskosten",G1905&lt;&gt;""),IFERROR(X1905*VLOOKUP(G1905,Tb_KostenTypen[],3,0)*VLOOKUP(F1905,Tb_ProjectKosten[],MATCH(Tb_ProjectKosten[[#Headers],[Forfait_Percentage]],Tb_ProjectKosten[#Headers],0),0),""),X1905 &lt;=0,0),"")</f>
        <v/>
      </c>
      <c r="AB1905" s="314" t="str">
        <f t="shared" ca="1" si="119"/>
        <v/>
      </c>
      <c r="AC1905" s="322"/>
      <c r="AD1905" s="315"/>
      <c r="AE1905" s="32" t="str" cm="1">
        <f t="array" ref="AE1905">IFERROR(IF(INDEX(SubsidieTabel!$AD$1:$AG$12,MATCH($F1905,SubsidieTabel!$AD$1:$AD$12,0),IFERROR(MATCH(Methode_Keuze,SubsidieTabel!$AD$1:$AG$1,0),2))&lt;&gt;1=TRUE,"ja",""),"")</f>
        <v/>
      </c>
    </row>
    <row r="1906" spans="1:31" x14ac:dyDescent="0.25">
      <c r="A1906" s="316"/>
      <c r="B1906" s="317" t="str">
        <f>IF(A1906&lt;&gt;"",_xlfn.MAXIFS($B$1:B1905,$A$1:A1905,A1906)+1,"")</f>
        <v/>
      </c>
      <c r="C1906" s="296"/>
      <c r="D1906" s="296"/>
      <c r="E1906" s="296"/>
      <c r="F1906" s="296"/>
      <c r="G1906" s="326"/>
      <c r="H1906" s="324"/>
      <c r="I1906" s="325"/>
      <c r="J1906" s="325"/>
      <c r="K1906" s="318"/>
      <c r="L1906" s="318"/>
      <c r="M1906" s="319" t="str">
        <f>IFERROR(VLOOKUP(H1906,Lijsten!$H$1:$I$100,2,0),"")</f>
        <v/>
      </c>
      <c r="N1906" s="319" t="str">
        <f ca="1">IFERROR(IF(VLOOKUP(F1906,Kostentypen!$A$3:$E$21,3,0)=0,"",IF(OR(F1906="Arbeidskosten",F1906="Vergoeding"),VLOOKUP(G1906,Tb_KostenTypen[],2,0),VLOOKUP(F1906,Kostentypen!$A$3:$E$20,3,0))),"")</f>
        <v/>
      </c>
      <c r="O1906" s="320" t="str" cm="1">
        <f t="array" ref="O1906">_xlfn.IFNA(IF(INDEX(Tb_KostenOptiesDB[],MATCH($F1906,Tb_KostenOptiesDB[KostenOptie],0),IFERROR(MATCH(Methode_Keuze,Tb_KostenOptiesDB[#Headers],0),2))=1,_xlfn.SWITCH($N1906,"Uurtarief",IF(OR(AND(RIGHT($F1906,3)="IKS",VLOOKUP($M1906,DB_Loonkosten,2,0)="Ja"),AND(RIGHT($F1906,3)&lt;&gt;"IKS",VLOOKUP($M1906,DB_Loonkosten,2,0)="Nee")),IFERROR(VLOOKUP($M1906,DB_Loonkosten,24,0),""),0),"Vast tarief",IF(LEFT(F1906,8)="Bijdrage",VLOOKUP($F1906,Tb_KostenTypen[],MATCH(Lijsten!$P$1,Tb_KostenTypen[#Headers],0),0),VLOOKUP($G1906,Lijsten!L:P,MATCH(Lijsten!$P$1,Kop_Tarief_Vast,0),0))),""),"")</f>
        <v/>
      </c>
      <c r="P1906" s="320" t="str" cm="1">
        <f t="array" ref="P1906">_xlfn.IFNA(IF(INDEX(Tb_KostenOptiesDB[],MATCH($F1906,Tb_KostenOptiesDB[KostenOptie],0),IFERROR(MATCH(Methode_Keuze,Tb_KostenOptiesDB[#Headers],0),2))=1,_xlfn.SWITCH($N1906,"Uurtarief",IF(OR(AND(RIGHT($F1906,3)="IKS",VLOOKUP($M1906,DB_Loonkosten,2,0)="Ja"),AND(RIGHT($F1906,3)&lt;&gt;"IKS",VLOOKUP($M1906,DB_Loonkosten,2,0)="Nee")),IFERROR(VLOOKUP($M1906,DB_Loonkosten,25,0),""),0),"Vast tarief",IF(LEFT(F1906,8)="Bijdrage",VLOOKUP($F1906,Tb_KostenTypen[],MATCH(Lijsten!$P$1,Tb_KostenTypen[#Headers],0),0),VLOOKUP($G1906,Lijsten!L:P,MATCH(Lijsten!$P$1,Kop_Tarief_Vast,0),0))),""),"")</f>
        <v/>
      </c>
      <c r="Q1906" s="359"/>
      <c r="R1906" s="359"/>
      <c r="S1906" s="321"/>
      <c r="T1906" s="321"/>
      <c r="U1906" s="373" t="str">
        <f t="shared" si="116"/>
        <v/>
      </c>
      <c r="V1906" s="314" t="str">
        <f t="shared" si="117"/>
        <v/>
      </c>
      <c r="W1906" s="314" t="str" cm="1">
        <f t="array" aca="1" ref="W1906" ca="1">IFERROR(IF(AE1906&lt;&gt;"ja",_xlfn.IFNA(_xlfn.IFS(AND(O1906&lt;&gt;"",F1906&lt;&gt;"",RIGHT($N1906,6)="tarief",F1906="Vergoeding"),SUM(O1906)*FLOOR(SUM(Q1906),0.0001),AND(O1906&lt;&gt;"",F1906&lt;&gt;"",RIGHT($N1906,6)="tarief"),SUM(O1906)*FLOOR(SUM(Q1906),0.01),S1906&gt;0,IF(F1906&lt;&gt;"",FLOOR(SUM(S1906),0.01),"")),""),""),"")</f>
        <v/>
      </c>
      <c r="X1906" s="314" t="str" cm="1">
        <f t="array" aca="1" ref="X1906" ca="1">IFERROR(IF(AE1906&lt;&gt;"ja",_xlfn.IFNA(_xlfn.IFS(AND(P1906&lt;&gt;"",R1906&lt;&gt;"",RIGHT($N1906,6)="tarief",F1906="Vergoeding"),SUM(P1906)*FLOOR(SUM(R1906),0.0001),AND(P1906&lt;&gt;"",R1906&lt;&gt;"",RIGHT($N1906,6)="tarief"),P1906*FLOOR(R1906,0.01),T1906&gt;0,FLOOR(SUM(T1906),0.01)),""),""),"")</f>
        <v/>
      </c>
      <c r="Y1906" s="314" t="str">
        <f t="shared" ca="1" si="118"/>
        <v/>
      </c>
      <c r="Z1906" s="314" t="str" cm="1">
        <f t="array" aca="1" ref="Z1906" ca="1">IFERROR(_xlfn.IFS(OR(F1906="",LEFT(Methode_Keuze,4)="Geen",Methode_Keuze=""),"",AND(W1906&lt;&gt;"",F1906&lt;&gt;"Arbeidskosten"),W1906*VLOOKUP(F1906,Tb_ProjectKosten[],MATCH(Tb_ProjectKosten[[#Headers],[Forfait_Percentage]],Tb_ProjectKosten[#Headers],0),0),AND(F1906="Arbeidskosten",G1906&lt;&gt;""),IFERROR(W1906*VLOOKUP(G1906,Tb_KostenTypen[],3,0)*VLOOKUP(F1906,Tb_ProjectKosten[],MATCH(Tb_ProjectKosten[[#Headers],[Forfait_Percentage]],Tb_ProjectKosten[#Headers],0),0),""),W1906 &lt;=0,0),"")</f>
        <v/>
      </c>
      <c r="AA1906" s="314" t="str" cm="1">
        <f t="array" aca="1" ref="AA1906" ca="1">IFERROR(_xlfn.IFS(OR(F1906="",LEFT(Methode_Keuze,4)="Geen",Methode_Keuze=""),"",AND(X1906&lt;&gt;"",F1906&lt;&gt;"Arbeidskosten"),X1906*VLOOKUP(F1906,Tb_ProjectKosten[],MATCH(Tb_ProjectKosten[[#Headers],[Forfait_Percentage]],Tb_ProjectKosten[#Headers],0),0),AND(F1906="Arbeidskosten",G1906&lt;&gt;""),IFERROR(X1906*VLOOKUP(G1906,Tb_KostenTypen[],3,0)*VLOOKUP(F1906,Tb_ProjectKosten[],MATCH(Tb_ProjectKosten[[#Headers],[Forfait_Percentage]],Tb_ProjectKosten[#Headers],0),0),""),X1906 &lt;=0,0),"")</f>
        <v/>
      </c>
      <c r="AB1906" s="314" t="str">
        <f t="shared" ca="1" si="119"/>
        <v/>
      </c>
      <c r="AC1906" s="322"/>
      <c r="AD1906" s="315"/>
      <c r="AE1906" s="32" t="str" cm="1">
        <f t="array" ref="AE1906">IFERROR(IF(INDEX(SubsidieTabel!$AD$1:$AG$12,MATCH($F1906,SubsidieTabel!$AD$1:$AD$12,0),IFERROR(MATCH(Methode_Keuze,SubsidieTabel!$AD$1:$AG$1,0),2))&lt;&gt;1=TRUE,"ja",""),"")</f>
        <v/>
      </c>
    </row>
    <row r="1907" spans="1:31" x14ac:dyDescent="0.25">
      <c r="A1907" s="316"/>
      <c r="B1907" s="317" t="str">
        <f>IF(A1907&lt;&gt;"",_xlfn.MAXIFS($B$1:B1906,$A$1:A1906,A1907)+1,"")</f>
        <v/>
      </c>
      <c r="C1907" s="296"/>
      <c r="D1907" s="296"/>
      <c r="E1907" s="296"/>
      <c r="F1907" s="296"/>
      <c r="G1907" s="326"/>
      <c r="H1907" s="324"/>
      <c r="I1907" s="325"/>
      <c r="J1907" s="325"/>
      <c r="K1907" s="318"/>
      <c r="L1907" s="318"/>
      <c r="M1907" s="319" t="str">
        <f>IFERROR(VLOOKUP(H1907,Lijsten!$H$1:$I$100,2,0),"")</f>
        <v/>
      </c>
      <c r="N1907" s="319" t="str">
        <f ca="1">IFERROR(IF(VLOOKUP(F1907,Kostentypen!$A$3:$E$21,3,0)=0,"",IF(OR(F1907="Arbeidskosten",F1907="Vergoeding"),VLOOKUP(G1907,Tb_KostenTypen[],2,0),VLOOKUP(F1907,Kostentypen!$A$3:$E$20,3,0))),"")</f>
        <v/>
      </c>
      <c r="O1907" s="320" t="str" cm="1">
        <f t="array" ref="O1907">_xlfn.IFNA(IF(INDEX(Tb_KostenOptiesDB[],MATCH($F1907,Tb_KostenOptiesDB[KostenOptie],0),IFERROR(MATCH(Methode_Keuze,Tb_KostenOptiesDB[#Headers],0),2))=1,_xlfn.SWITCH($N1907,"Uurtarief",IF(OR(AND(RIGHT($F1907,3)="IKS",VLOOKUP($M1907,DB_Loonkosten,2,0)="Ja"),AND(RIGHT($F1907,3)&lt;&gt;"IKS",VLOOKUP($M1907,DB_Loonkosten,2,0)="Nee")),IFERROR(VLOOKUP($M1907,DB_Loonkosten,24,0),""),0),"Vast tarief",IF(LEFT(F1907,8)="Bijdrage",VLOOKUP($F1907,Tb_KostenTypen[],MATCH(Lijsten!$P$1,Tb_KostenTypen[#Headers],0),0),VLOOKUP($G1907,Lijsten!L:P,MATCH(Lijsten!$P$1,Kop_Tarief_Vast,0),0))),""),"")</f>
        <v/>
      </c>
      <c r="P1907" s="320" t="str" cm="1">
        <f t="array" ref="P1907">_xlfn.IFNA(IF(INDEX(Tb_KostenOptiesDB[],MATCH($F1907,Tb_KostenOptiesDB[KostenOptie],0),IFERROR(MATCH(Methode_Keuze,Tb_KostenOptiesDB[#Headers],0),2))=1,_xlfn.SWITCH($N1907,"Uurtarief",IF(OR(AND(RIGHT($F1907,3)="IKS",VLOOKUP($M1907,DB_Loonkosten,2,0)="Ja"),AND(RIGHT($F1907,3)&lt;&gt;"IKS",VLOOKUP($M1907,DB_Loonkosten,2,0)="Nee")),IFERROR(VLOOKUP($M1907,DB_Loonkosten,25,0),""),0),"Vast tarief",IF(LEFT(F1907,8)="Bijdrage",VLOOKUP($F1907,Tb_KostenTypen[],MATCH(Lijsten!$P$1,Tb_KostenTypen[#Headers],0),0),VLOOKUP($G1907,Lijsten!L:P,MATCH(Lijsten!$P$1,Kop_Tarief_Vast,0),0))),""),"")</f>
        <v/>
      </c>
      <c r="Q1907" s="359"/>
      <c r="R1907" s="359"/>
      <c r="S1907" s="321"/>
      <c r="T1907" s="321"/>
      <c r="U1907" s="373" t="str">
        <f t="shared" si="116"/>
        <v/>
      </c>
      <c r="V1907" s="314" t="str">
        <f t="shared" si="117"/>
        <v/>
      </c>
      <c r="W1907" s="314" t="str" cm="1">
        <f t="array" aca="1" ref="W1907" ca="1">IFERROR(IF(AE1907&lt;&gt;"ja",_xlfn.IFNA(_xlfn.IFS(AND(O1907&lt;&gt;"",F1907&lt;&gt;"",RIGHT($N1907,6)="tarief",F1907="Vergoeding"),SUM(O1907)*FLOOR(SUM(Q1907),0.0001),AND(O1907&lt;&gt;"",F1907&lt;&gt;"",RIGHT($N1907,6)="tarief"),SUM(O1907)*FLOOR(SUM(Q1907),0.01),S1907&gt;0,IF(F1907&lt;&gt;"",FLOOR(SUM(S1907),0.01),"")),""),""),"")</f>
        <v/>
      </c>
      <c r="X1907" s="314" t="str" cm="1">
        <f t="array" aca="1" ref="X1907" ca="1">IFERROR(IF(AE1907&lt;&gt;"ja",_xlfn.IFNA(_xlfn.IFS(AND(P1907&lt;&gt;"",R1907&lt;&gt;"",RIGHT($N1907,6)="tarief",F1907="Vergoeding"),SUM(P1907)*FLOOR(SUM(R1907),0.0001),AND(P1907&lt;&gt;"",R1907&lt;&gt;"",RIGHT($N1907,6)="tarief"),P1907*FLOOR(R1907,0.01),T1907&gt;0,FLOOR(SUM(T1907),0.01)),""),""),"")</f>
        <v/>
      </c>
      <c r="Y1907" s="314" t="str">
        <f t="shared" ca="1" si="118"/>
        <v/>
      </c>
      <c r="Z1907" s="314" t="str" cm="1">
        <f t="array" aca="1" ref="Z1907" ca="1">IFERROR(_xlfn.IFS(OR(F1907="",LEFT(Methode_Keuze,4)="Geen",Methode_Keuze=""),"",AND(W1907&lt;&gt;"",F1907&lt;&gt;"Arbeidskosten"),W1907*VLOOKUP(F1907,Tb_ProjectKosten[],MATCH(Tb_ProjectKosten[[#Headers],[Forfait_Percentage]],Tb_ProjectKosten[#Headers],0),0),AND(F1907="Arbeidskosten",G1907&lt;&gt;""),IFERROR(W1907*VLOOKUP(G1907,Tb_KostenTypen[],3,0)*VLOOKUP(F1907,Tb_ProjectKosten[],MATCH(Tb_ProjectKosten[[#Headers],[Forfait_Percentage]],Tb_ProjectKosten[#Headers],0),0),""),W1907 &lt;=0,0),"")</f>
        <v/>
      </c>
      <c r="AA1907" s="314" t="str" cm="1">
        <f t="array" aca="1" ref="AA1907" ca="1">IFERROR(_xlfn.IFS(OR(F1907="",LEFT(Methode_Keuze,4)="Geen",Methode_Keuze=""),"",AND(X1907&lt;&gt;"",F1907&lt;&gt;"Arbeidskosten"),X1907*VLOOKUP(F1907,Tb_ProjectKosten[],MATCH(Tb_ProjectKosten[[#Headers],[Forfait_Percentage]],Tb_ProjectKosten[#Headers],0),0),AND(F1907="Arbeidskosten",G1907&lt;&gt;""),IFERROR(X1907*VLOOKUP(G1907,Tb_KostenTypen[],3,0)*VLOOKUP(F1907,Tb_ProjectKosten[],MATCH(Tb_ProjectKosten[[#Headers],[Forfait_Percentage]],Tb_ProjectKosten[#Headers],0),0),""),X1907 &lt;=0,0),"")</f>
        <v/>
      </c>
      <c r="AB1907" s="314" t="str">
        <f t="shared" ca="1" si="119"/>
        <v/>
      </c>
      <c r="AC1907" s="322"/>
      <c r="AD1907" s="315"/>
      <c r="AE1907" s="32" t="str" cm="1">
        <f t="array" ref="AE1907">IFERROR(IF(INDEX(SubsidieTabel!$AD$1:$AG$12,MATCH($F1907,SubsidieTabel!$AD$1:$AD$12,0),IFERROR(MATCH(Methode_Keuze,SubsidieTabel!$AD$1:$AG$1,0),2))&lt;&gt;1=TRUE,"ja",""),"")</f>
        <v/>
      </c>
    </row>
    <row r="1908" spans="1:31" x14ac:dyDescent="0.25">
      <c r="A1908" s="316"/>
      <c r="B1908" s="317" t="str">
        <f>IF(A1908&lt;&gt;"",_xlfn.MAXIFS($B$1:B1907,$A$1:A1907,A1908)+1,"")</f>
        <v/>
      </c>
      <c r="C1908" s="296"/>
      <c r="D1908" s="296"/>
      <c r="E1908" s="296"/>
      <c r="F1908" s="296"/>
      <c r="G1908" s="326"/>
      <c r="H1908" s="324"/>
      <c r="I1908" s="325"/>
      <c r="J1908" s="325"/>
      <c r="K1908" s="318"/>
      <c r="L1908" s="318"/>
      <c r="M1908" s="319" t="str">
        <f>IFERROR(VLOOKUP(H1908,Lijsten!$H$1:$I$100,2,0),"")</f>
        <v/>
      </c>
      <c r="N1908" s="319" t="str">
        <f ca="1">IFERROR(IF(VLOOKUP(F1908,Kostentypen!$A$3:$E$21,3,0)=0,"",IF(OR(F1908="Arbeidskosten",F1908="Vergoeding"),VLOOKUP(G1908,Tb_KostenTypen[],2,0),VLOOKUP(F1908,Kostentypen!$A$3:$E$20,3,0))),"")</f>
        <v/>
      </c>
      <c r="O1908" s="320" t="str" cm="1">
        <f t="array" ref="O1908">_xlfn.IFNA(IF(INDEX(Tb_KostenOptiesDB[],MATCH($F1908,Tb_KostenOptiesDB[KostenOptie],0),IFERROR(MATCH(Methode_Keuze,Tb_KostenOptiesDB[#Headers],0),2))=1,_xlfn.SWITCH($N1908,"Uurtarief",IF(OR(AND(RIGHT($F1908,3)="IKS",VLOOKUP($M1908,DB_Loonkosten,2,0)="Ja"),AND(RIGHT($F1908,3)&lt;&gt;"IKS",VLOOKUP($M1908,DB_Loonkosten,2,0)="Nee")),IFERROR(VLOOKUP($M1908,DB_Loonkosten,24,0),""),0),"Vast tarief",IF(LEFT(F1908,8)="Bijdrage",VLOOKUP($F1908,Tb_KostenTypen[],MATCH(Lijsten!$P$1,Tb_KostenTypen[#Headers],0),0),VLOOKUP($G1908,Lijsten!L:P,MATCH(Lijsten!$P$1,Kop_Tarief_Vast,0),0))),""),"")</f>
        <v/>
      </c>
      <c r="P1908" s="320" t="str" cm="1">
        <f t="array" ref="P1908">_xlfn.IFNA(IF(INDEX(Tb_KostenOptiesDB[],MATCH($F1908,Tb_KostenOptiesDB[KostenOptie],0),IFERROR(MATCH(Methode_Keuze,Tb_KostenOptiesDB[#Headers],0),2))=1,_xlfn.SWITCH($N1908,"Uurtarief",IF(OR(AND(RIGHT($F1908,3)="IKS",VLOOKUP($M1908,DB_Loonkosten,2,0)="Ja"),AND(RIGHT($F1908,3)&lt;&gt;"IKS",VLOOKUP($M1908,DB_Loonkosten,2,0)="Nee")),IFERROR(VLOOKUP($M1908,DB_Loonkosten,25,0),""),0),"Vast tarief",IF(LEFT(F1908,8)="Bijdrage",VLOOKUP($F1908,Tb_KostenTypen[],MATCH(Lijsten!$P$1,Tb_KostenTypen[#Headers],0),0),VLOOKUP($G1908,Lijsten!L:P,MATCH(Lijsten!$P$1,Kop_Tarief_Vast,0),0))),""),"")</f>
        <v/>
      </c>
      <c r="Q1908" s="359"/>
      <c r="R1908" s="359"/>
      <c r="S1908" s="321"/>
      <c r="T1908" s="321"/>
      <c r="U1908" s="373" t="str">
        <f t="shared" si="116"/>
        <v/>
      </c>
      <c r="V1908" s="314" t="str">
        <f t="shared" si="117"/>
        <v/>
      </c>
      <c r="W1908" s="314" t="str" cm="1">
        <f t="array" aca="1" ref="W1908" ca="1">IFERROR(IF(AE1908&lt;&gt;"ja",_xlfn.IFNA(_xlfn.IFS(AND(O1908&lt;&gt;"",F1908&lt;&gt;"",RIGHT($N1908,6)="tarief",F1908="Vergoeding"),SUM(O1908)*FLOOR(SUM(Q1908),0.0001),AND(O1908&lt;&gt;"",F1908&lt;&gt;"",RIGHT($N1908,6)="tarief"),SUM(O1908)*FLOOR(SUM(Q1908),0.01),S1908&gt;0,IF(F1908&lt;&gt;"",FLOOR(SUM(S1908),0.01),"")),""),""),"")</f>
        <v/>
      </c>
      <c r="X1908" s="314" t="str" cm="1">
        <f t="array" aca="1" ref="X1908" ca="1">IFERROR(IF(AE1908&lt;&gt;"ja",_xlfn.IFNA(_xlfn.IFS(AND(P1908&lt;&gt;"",R1908&lt;&gt;"",RIGHT($N1908,6)="tarief",F1908="Vergoeding"),SUM(P1908)*FLOOR(SUM(R1908),0.0001),AND(P1908&lt;&gt;"",R1908&lt;&gt;"",RIGHT($N1908,6)="tarief"),P1908*FLOOR(R1908,0.01),T1908&gt;0,FLOOR(SUM(T1908),0.01)),""),""),"")</f>
        <v/>
      </c>
      <c r="Y1908" s="314" t="str">
        <f t="shared" ca="1" si="118"/>
        <v/>
      </c>
      <c r="Z1908" s="314" t="str" cm="1">
        <f t="array" aca="1" ref="Z1908" ca="1">IFERROR(_xlfn.IFS(OR(F1908="",LEFT(Methode_Keuze,4)="Geen",Methode_Keuze=""),"",AND(W1908&lt;&gt;"",F1908&lt;&gt;"Arbeidskosten"),W1908*VLOOKUP(F1908,Tb_ProjectKosten[],MATCH(Tb_ProjectKosten[[#Headers],[Forfait_Percentage]],Tb_ProjectKosten[#Headers],0),0),AND(F1908="Arbeidskosten",G1908&lt;&gt;""),IFERROR(W1908*VLOOKUP(G1908,Tb_KostenTypen[],3,0)*VLOOKUP(F1908,Tb_ProjectKosten[],MATCH(Tb_ProjectKosten[[#Headers],[Forfait_Percentage]],Tb_ProjectKosten[#Headers],0),0),""),W1908 &lt;=0,0),"")</f>
        <v/>
      </c>
      <c r="AA1908" s="314" t="str" cm="1">
        <f t="array" aca="1" ref="AA1908" ca="1">IFERROR(_xlfn.IFS(OR(F1908="",LEFT(Methode_Keuze,4)="Geen",Methode_Keuze=""),"",AND(X1908&lt;&gt;"",F1908&lt;&gt;"Arbeidskosten"),X1908*VLOOKUP(F1908,Tb_ProjectKosten[],MATCH(Tb_ProjectKosten[[#Headers],[Forfait_Percentage]],Tb_ProjectKosten[#Headers],0),0),AND(F1908="Arbeidskosten",G1908&lt;&gt;""),IFERROR(X1908*VLOOKUP(G1908,Tb_KostenTypen[],3,0)*VLOOKUP(F1908,Tb_ProjectKosten[],MATCH(Tb_ProjectKosten[[#Headers],[Forfait_Percentage]],Tb_ProjectKosten[#Headers],0),0),""),X1908 &lt;=0,0),"")</f>
        <v/>
      </c>
      <c r="AB1908" s="314" t="str">
        <f t="shared" ca="1" si="119"/>
        <v/>
      </c>
      <c r="AC1908" s="322"/>
      <c r="AD1908" s="315"/>
      <c r="AE1908" s="32" t="str" cm="1">
        <f t="array" ref="AE1908">IFERROR(IF(INDEX(SubsidieTabel!$AD$1:$AG$12,MATCH($F1908,SubsidieTabel!$AD$1:$AD$12,0),IFERROR(MATCH(Methode_Keuze,SubsidieTabel!$AD$1:$AG$1,0),2))&lt;&gt;1=TRUE,"ja",""),"")</f>
        <v/>
      </c>
    </row>
    <row r="1909" spans="1:31" x14ac:dyDescent="0.25">
      <c r="A1909" s="316"/>
      <c r="B1909" s="317" t="str">
        <f>IF(A1909&lt;&gt;"",_xlfn.MAXIFS($B$1:B1908,$A$1:A1908,A1909)+1,"")</f>
        <v/>
      </c>
      <c r="C1909" s="296"/>
      <c r="D1909" s="296"/>
      <c r="E1909" s="296"/>
      <c r="F1909" s="296"/>
      <c r="G1909" s="326"/>
      <c r="H1909" s="324"/>
      <c r="I1909" s="325"/>
      <c r="J1909" s="325"/>
      <c r="K1909" s="318"/>
      <c r="L1909" s="318"/>
      <c r="M1909" s="319" t="str">
        <f>IFERROR(VLOOKUP(H1909,Lijsten!$H$1:$I$100,2,0),"")</f>
        <v/>
      </c>
      <c r="N1909" s="319" t="str">
        <f ca="1">IFERROR(IF(VLOOKUP(F1909,Kostentypen!$A$3:$E$21,3,0)=0,"",IF(OR(F1909="Arbeidskosten",F1909="Vergoeding"),VLOOKUP(G1909,Tb_KostenTypen[],2,0),VLOOKUP(F1909,Kostentypen!$A$3:$E$20,3,0))),"")</f>
        <v/>
      </c>
      <c r="O1909" s="320" t="str" cm="1">
        <f t="array" ref="O1909">_xlfn.IFNA(IF(INDEX(Tb_KostenOptiesDB[],MATCH($F1909,Tb_KostenOptiesDB[KostenOptie],0),IFERROR(MATCH(Methode_Keuze,Tb_KostenOptiesDB[#Headers],0),2))=1,_xlfn.SWITCH($N1909,"Uurtarief",IF(OR(AND(RIGHT($F1909,3)="IKS",VLOOKUP($M1909,DB_Loonkosten,2,0)="Ja"),AND(RIGHT($F1909,3)&lt;&gt;"IKS",VLOOKUP($M1909,DB_Loonkosten,2,0)="Nee")),IFERROR(VLOOKUP($M1909,DB_Loonkosten,24,0),""),0),"Vast tarief",IF(LEFT(F1909,8)="Bijdrage",VLOOKUP($F1909,Tb_KostenTypen[],MATCH(Lijsten!$P$1,Tb_KostenTypen[#Headers],0),0),VLOOKUP($G1909,Lijsten!L:P,MATCH(Lijsten!$P$1,Kop_Tarief_Vast,0),0))),""),"")</f>
        <v/>
      </c>
      <c r="P1909" s="320" t="str" cm="1">
        <f t="array" ref="P1909">_xlfn.IFNA(IF(INDEX(Tb_KostenOptiesDB[],MATCH($F1909,Tb_KostenOptiesDB[KostenOptie],0),IFERROR(MATCH(Methode_Keuze,Tb_KostenOptiesDB[#Headers],0),2))=1,_xlfn.SWITCH($N1909,"Uurtarief",IF(OR(AND(RIGHT($F1909,3)="IKS",VLOOKUP($M1909,DB_Loonkosten,2,0)="Ja"),AND(RIGHT($F1909,3)&lt;&gt;"IKS",VLOOKUP($M1909,DB_Loonkosten,2,0)="Nee")),IFERROR(VLOOKUP($M1909,DB_Loonkosten,25,0),""),0),"Vast tarief",IF(LEFT(F1909,8)="Bijdrage",VLOOKUP($F1909,Tb_KostenTypen[],MATCH(Lijsten!$P$1,Tb_KostenTypen[#Headers],0),0),VLOOKUP($G1909,Lijsten!L:P,MATCH(Lijsten!$P$1,Kop_Tarief_Vast,0),0))),""),"")</f>
        <v/>
      </c>
      <c r="Q1909" s="359"/>
      <c r="R1909" s="359"/>
      <c r="S1909" s="321"/>
      <c r="T1909" s="321"/>
      <c r="U1909" s="373" t="str">
        <f t="shared" si="116"/>
        <v/>
      </c>
      <c r="V1909" s="314" t="str">
        <f t="shared" si="117"/>
        <v/>
      </c>
      <c r="W1909" s="314" t="str" cm="1">
        <f t="array" aca="1" ref="W1909" ca="1">IFERROR(IF(AE1909&lt;&gt;"ja",_xlfn.IFNA(_xlfn.IFS(AND(O1909&lt;&gt;"",F1909&lt;&gt;"",RIGHT($N1909,6)="tarief",F1909="Vergoeding"),SUM(O1909)*FLOOR(SUM(Q1909),0.0001),AND(O1909&lt;&gt;"",F1909&lt;&gt;"",RIGHT($N1909,6)="tarief"),SUM(O1909)*FLOOR(SUM(Q1909),0.01),S1909&gt;0,IF(F1909&lt;&gt;"",FLOOR(SUM(S1909),0.01),"")),""),""),"")</f>
        <v/>
      </c>
      <c r="X1909" s="314" t="str" cm="1">
        <f t="array" aca="1" ref="X1909" ca="1">IFERROR(IF(AE1909&lt;&gt;"ja",_xlfn.IFNA(_xlfn.IFS(AND(P1909&lt;&gt;"",R1909&lt;&gt;"",RIGHT($N1909,6)="tarief",F1909="Vergoeding"),SUM(P1909)*FLOOR(SUM(R1909),0.0001),AND(P1909&lt;&gt;"",R1909&lt;&gt;"",RIGHT($N1909,6)="tarief"),P1909*FLOOR(R1909,0.01),T1909&gt;0,FLOOR(SUM(T1909),0.01)),""),""),"")</f>
        <v/>
      </c>
      <c r="Y1909" s="314" t="str">
        <f t="shared" ca="1" si="118"/>
        <v/>
      </c>
      <c r="Z1909" s="314" t="str" cm="1">
        <f t="array" aca="1" ref="Z1909" ca="1">IFERROR(_xlfn.IFS(OR(F1909="",LEFT(Methode_Keuze,4)="Geen",Methode_Keuze=""),"",AND(W1909&lt;&gt;"",F1909&lt;&gt;"Arbeidskosten"),W1909*VLOOKUP(F1909,Tb_ProjectKosten[],MATCH(Tb_ProjectKosten[[#Headers],[Forfait_Percentage]],Tb_ProjectKosten[#Headers],0),0),AND(F1909="Arbeidskosten",G1909&lt;&gt;""),IFERROR(W1909*VLOOKUP(G1909,Tb_KostenTypen[],3,0)*VLOOKUP(F1909,Tb_ProjectKosten[],MATCH(Tb_ProjectKosten[[#Headers],[Forfait_Percentage]],Tb_ProjectKosten[#Headers],0),0),""),W1909 &lt;=0,0),"")</f>
        <v/>
      </c>
      <c r="AA1909" s="314" t="str" cm="1">
        <f t="array" aca="1" ref="AA1909" ca="1">IFERROR(_xlfn.IFS(OR(F1909="",LEFT(Methode_Keuze,4)="Geen",Methode_Keuze=""),"",AND(X1909&lt;&gt;"",F1909&lt;&gt;"Arbeidskosten"),X1909*VLOOKUP(F1909,Tb_ProjectKosten[],MATCH(Tb_ProjectKosten[[#Headers],[Forfait_Percentage]],Tb_ProjectKosten[#Headers],0),0),AND(F1909="Arbeidskosten",G1909&lt;&gt;""),IFERROR(X1909*VLOOKUP(G1909,Tb_KostenTypen[],3,0)*VLOOKUP(F1909,Tb_ProjectKosten[],MATCH(Tb_ProjectKosten[[#Headers],[Forfait_Percentage]],Tb_ProjectKosten[#Headers],0),0),""),X1909 &lt;=0,0),"")</f>
        <v/>
      </c>
      <c r="AB1909" s="314" t="str">
        <f t="shared" ca="1" si="119"/>
        <v/>
      </c>
      <c r="AC1909" s="322"/>
      <c r="AD1909" s="315"/>
      <c r="AE1909" s="32" t="str" cm="1">
        <f t="array" ref="AE1909">IFERROR(IF(INDEX(SubsidieTabel!$AD$1:$AG$12,MATCH($F1909,SubsidieTabel!$AD$1:$AD$12,0),IFERROR(MATCH(Methode_Keuze,SubsidieTabel!$AD$1:$AG$1,0),2))&lt;&gt;1=TRUE,"ja",""),"")</f>
        <v/>
      </c>
    </row>
    <row r="1910" spans="1:31" x14ac:dyDescent="0.25">
      <c r="A1910" s="316"/>
      <c r="B1910" s="317" t="str">
        <f>IF(A1910&lt;&gt;"",_xlfn.MAXIFS($B$1:B1909,$A$1:A1909,A1910)+1,"")</f>
        <v/>
      </c>
      <c r="C1910" s="296"/>
      <c r="D1910" s="296"/>
      <c r="E1910" s="296"/>
      <c r="F1910" s="296"/>
      <c r="G1910" s="326"/>
      <c r="H1910" s="324"/>
      <c r="I1910" s="325"/>
      <c r="J1910" s="325"/>
      <c r="K1910" s="318"/>
      <c r="L1910" s="318"/>
      <c r="M1910" s="319" t="str">
        <f>IFERROR(VLOOKUP(H1910,Lijsten!$H$1:$I$100,2,0),"")</f>
        <v/>
      </c>
      <c r="N1910" s="319" t="str">
        <f ca="1">IFERROR(IF(VLOOKUP(F1910,Kostentypen!$A$3:$E$21,3,0)=0,"",IF(OR(F1910="Arbeidskosten",F1910="Vergoeding"),VLOOKUP(G1910,Tb_KostenTypen[],2,0),VLOOKUP(F1910,Kostentypen!$A$3:$E$20,3,0))),"")</f>
        <v/>
      </c>
      <c r="O1910" s="320" t="str" cm="1">
        <f t="array" ref="O1910">_xlfn.IFNA(IF(INDEX(Tb_KostenOptiesDB[],MATCH($F1910,Tb_KostenOptiesDB[KostenOptie],0),IFERROR(MATCH(Methode_Keuze,Tb_KostenOptiesDB[#Headers],0),2))=1,_xlfn.SWITCH($N1910,"Uurtarief",IF(OR(AND(RIGHT($F1910,3)="IKS",VLOOKUP($M1910,DB_Loonkosten,2,0)="Ja"),AND(RIGHT($F1910,3)&lt;&gt;"IKS",VLOOKUP($M1910,DB_Loonkosten,2,0)="Nee")),IFERROR(VLOOKUP($M1910,DB_Loonkosten,24,0),""),0),"Vast tarief",IF(LEFT(F1910,8)="Bijdrage",VLOOKUP($F1910,Tb_KostenTypen[],MATCH(Lijsten!$P$1,Tb_KostenTypen[#Headers],0),0),VLOOKUP($G1910,Lijsten!L:P,MATCH(Lijsten!$P$1,Kop_Tarief_Vast,0),0))),""),"")</f>
        <v/>
      </c>
      <c r="P1910" s="320" t="str" cm="1">
        <f t="array" ref="P1910">_xlfn.IFNA(IF(INDEX(Tb_KostenOptiesDB[],MATCH($F1910,Tb_KostenOptiesDB[KostenOptie],0),IFERROR(MATCH(Methode_Keuze,Tb_KostenOptiesDB[#Headers],0),2))=1,_xlfn.SWITCH($N1910,"Uurtarief",IF(OR(AND(RIGHT($F1910,3)="IKS",VLOOKUP($M1910,DB_Loonkosten,2,0)="Ja"),AND(RIGHT($F1910,3)&lt;&gt;"IKS",VLOOKUP($M1910,DB_Loonkosten,2,0)="Nee")),IFERROR(VLOOKUP($M1910,DB_Loonkosten,25,0),""),0),"Vast tarief",IF(LEFT(F1910,8)="Bijdrage",VLOOKUP($F1910,Tb_KostenTypen[],MATCH(Lijsten!$P$1,Tb_KostenTypen[#Headers],0),0),VLOOKUP($G1910,Lijsten!L:P,MATCH(Lijsten!$P$1,Kop_Tarief_Vast,0),0))),""),"")</f>
        <v/>
      </c>
      <c r="Q1910" s="359"/>
      <c r="R1910" s="359"/>
      <c r="S1910" s="321"/>
      <c r="T1910" s="321"/>
      <c r="U1910" s="373" t="str">
        <f t="shared" si="116"/>
        <v/>
      </c>
      <c r="V1910" s="314" t="str">
        <f t="shared" si="117"/>
        <v/>
      </c>
      <c r="W1910" s="314" t="str" cm="1">
        <f t="array" aca="1" ref="W1910" ca="1">IFERROR(IF(AE1910&lt;&gt;"ja",_xlfn.IFNA(_xlfn.IFS(AND(O1910&lt;&gt;"",F1910&lt;&gt;"",RIGHT($N1910,6)="tarief",F1910="Vergoeding"),SUM(O1910)*FLOOR(SUM(Q1910),0.0001),AND(O1910&lt;&gt;"",F1910&lt;&gt;"",RIGHT($N1910,6)="tarief"),SUM(O1910)*FLOOR(SUM(Q1910),0.01),S1910&gt;0,IF(F1910&lt;&gt;"",FLOOR(SUM(S1910),0.01),"")),""),""),"")</f>
        <v/>
      </c>
      <c r="X1910" s="314" t="str" cm="1">
        <f t="array" aca="1" ref="X1910" ca="1">IFERROR(IF(AE1910&lt;&gt;"ja",_xlfn.IFNA(_xlfn.IFS(AND(P1910&lt;&gt;"",R1910&lt;&gt;"",RIGHT($N1910,6)="tarief",F1910="Vergoeding"),SUM(P1910)*FLOOR(SUM(R1910),0.0001),AND(P1910&lt;&gt;"",R1910&lt;&gt;"",RIGHT($N1910,6)="tarief"),P1910*FLOOR(R1910,0.01),T1910&gt;0,FLOOR(SUM(T1910),0.01)),""),""),"")</f>
        <v/>
      </c>
      <c r="Y1910" s="314" t="str">
        <f t="shared" ca="1" si="118"/>
        <v/>
      </c>
      <c r="Z1910" s="314" t="str" cm="1">
        <f t="array" aca="1" ref="Z1910" ca="1">IFERROR(_xlfn.IFS(OR(F1910="",LEFT(Methode_Keuze,4)="Geen",Methode_Keuze=""),"",AND(W1910&lt;&gt;"",F1910&lt;&gt;"Arbeidskosten"),W1910*VLOOKUP(F1910,Tb_ProjectKosten[],MATCH(Tb_ProjectKosten[[#Headers],[Forfait_Percentage]],Tb_ProjectKosten[#Headers],0),0),AND(F1910="Arbeidskosten",G1910&lt;&gt;""),IFERROR(W1910*VLOOKUP(G1910,Tb_KostenTypen[],3,0)*VLOOKUP(F1910,Tb_ProjectKosten[],MATCH(Tb_ProjectKosten[[#Headers],[Forfait_Percentage]],Tb_ProjectKosten[#Headers],0),0),""),W1910 &lt;=0,0),"")</f>
        <v/>
      </c>
      <c r="AA1910" s="314" t="str" cm="1">
        <f t="array" aca="1" ref="AA1910" ca="1">IFERROR(_xlfn.IFS(OR(F1910="",LEFT(Methode_Keuze,4)="Geen",Methode_Keuze=""),"",AND(X1910&lt;&gt;"",F1910&lt;&gt;"Arbeidskosten"),X1910*VLOOKUP(F1910,Tb_ProjectKosten[],MATCH(Tb_ProjectKosten[[#Headers],[Forfait_Percentage]],Tb_ProjectKosten[#Headers],0),0),AND(F1910="Arbeidskosten",G1910&lt;&gt;""),IFERROR(X1910*VLOOKUP(G1910,Tb_KostenTypen[],3,0)*VLOOKUP(F1910,Tb_ProjectKosten[],MATCH(Tb_ProjectKosten[[#Headers],[Forfait_Percentage]],Tb_ProjectKosten[#Headers],0),0),""),X1910 &lt;=0,0),"")</f>
        <v/>
      </c>
      <c r="AB1910" s="314" t="str">
        <f t="shared" ca="1" si="119"/>
        <v/>
      </c>
      <c r="AC1910" s="322"/>
      <c r="AD1910" s="315"/>
      <c r="AE1910" s="32" t="str" cm="1">
        <f t="array" ref="AE1910">IFERROR(IF(INDEX(SubsidieTabel!$AD$1:$AG$12,MATCH($F1910,SubsidieTabel!$AD$1:$AD$12,0),IFERROR(MATCH(Methode_Keuze,SubsidieTabel!$AD$1:$AG$1,0),2))&lt;&gt;1=TRUE,"ja",""),"")</f>
        <v/>
      </c>
    </row>
    <row r="1911" spans="1:31" x14ac:dyDescent="0.25">
      <c r="A1911" s="316"/>
      <c r="B1911" s="317" t="str">
        <f>IF(A1911&lt;&gt;"",_xlfn.MAXIFS($B$1:B1910,$A$1:A1910,A1911)+1,"")</f>
        <v/>
      </c>
      <c r="C1911" s="296"/>
      <c r="D1911" s="296"/>
      <c r="E1911" s="296"/>
      <c r="F1911" s="296"/>
      <c r="G1911" s="326"/>
      <c r="H1911" s="324"/>
      <c r="I1911" s="325"/>
      <c r="J1911" s="325"/>
      <c r="K1911" s="318"/>
      <c r="L1911" s="318"/>
      <c r="M1911" s="319" t="str">
        <f>IFERROR(VLOOKUP(H1911,Lijsten!$H$1:$I$100,2,0),"")</f>
        <v/>
      </c>
      <c r="N1911" s="319" t="str">
        <f ca="1">IFERROR(IF(VLOOKUP(F1911,Kostentypen!$A$3:$E$21,3,0)=0,"",IF(OR(F1911="Arbeidskosten",F1911="Vergoeding"),VLOOKUP(G1911,Tb_KostenTypen[],2,0),VLOOKUP(F1911,Kostentypen!$A$3:$E$20,3,0))),"")</f>
        <v/>
      </c>
      <c r="O1911" s="320" t="str" cm="1">
        <f t="array" ref="O1911">_xlfn.IFNA(IF(INDEX(Tb_KostenOptiesDB[],MATCH($F1911,Tb_KostenOptiesDB[KostenOptie],0),IFERROR(MATCH(Methode_Keuze,Tb_KostenOptiesDB[#Headers],0),2))=1,_xlfn.SWITCH($N1911,"Uurtarief",IF(OR(AND(RIGHT($F1911,3)="IKS",VLOOKUP($M1911,DB_Loonkosten,2,0)="Ja"),AND(RIGHT($F1911,3)&lt;&gt;"IKS",VLOOKUP($M1911,DB_Loonkosten,2,0)="Nee")),IFERROR(VLOOKUP($M1911,DB_Loonkosten,24,0),""),0),"Vast tarief",IF(LEFT(F1911,8)="Bijdrage",VLOOKUP($F1911,Tb_KostenTypen[],MATCH(Lijsten!$P$1,Tb_KostenTypen[#Headers],0),0),VLOOKUP($G1911,Lijsten!L:P,MATCH(Lijsten!$P$1,Kop_Tarief_Vast,0),0))),""),"")</f>
        <v/>
      </c>
      <c r="P1911" s="320" t="str" cm="1">
        <f t="array" ref="P1911">_xlfn.IFNA(IF(INDEX(Tb_KostenOptiesDB[],MATCH($F1911,Tb_KostenOptiesDB[KostenOptie],0),IFERROR(MATCH(Methode_Keuze,Tb_KostenOptiesDB[#Headers],0),2))=1,_xlfn.SWITCH($N1911,"Uurtarief",IF(OR(AND(RIGHT($F1911,3)="IKS",VLOOKUP($M1911,DB_Loonkosten,2,0)="Ja"),AND(RIGHT($F1911,3)&lt;&gt;"IKS",VLOOKUP($M1911,DB_Loonkosten,2,0)="Nee")),IFERROR(VLOOKUP($M1911,DB_Loonkosten,25,0),""),0),"Vast tarief",IF(LEFT(F1911,8)="Bijdrage",VLOOKUP($F1911,Tb_KostenTypen[],MATCH(Lijsten!$P$1,Tb_KostenTypen[#Headers],0),0),VLOOKUP($G1911,Lijsten!L:P,MATCH(Lijsten!$P$1,Kop_Tarief_Vast,0),0))),""),"")</f>
        <v/>
      </c>
      <c r="Q1911" s="359"/>
      <c r="R1911" s="359"/>
      <c r="S1911" s="321"/>
      <c r="T1911" s="321"/>
      <c r="U1911" s="373" t="str">
        <f t="shared" si="116"/>
        <v/>
      </c>
      <c r="V1911" s="314" t="str">
        <f t="shared" si="117"/>
        <v/>
      </c>
      <c r="W1911" s="314" t="str" cm="1">
        <f t="array" aca="1" ref="W1911" ca="1">IFERROR(IF(AE1911&lt;&gt;"ja",_xlfn.IFNA(_xlfn.IFS(AND(O1911&lt;&gt;"",F1911&lt;&gt;"",RIGHT($N1911,6)="tarief",F1911="Vergoeding"),SUM(O1911)*FLOOR(SUM(Q1911),0.0001),AND(O1911&lt;&gt;"",F1911&lt;&gt;"",RIGHT($N1911,6)="tarief"),SUM(O1911)*FLOOR(SUM(Q1911),0.01),S1911&gt;0,IF(F1911&lt;&gt;"",FLOOR(SUM(S1911),0.01),"")),""),""),"")</f>
        <v/>
      </c>
      <c r="X1911" s="314" t="str" cm="1">
        <f t="array" aca="1" ref="X1911" ca="1">IFERROR(IF(AE1911&lt;&gt;"ja",_xlfn.IFNA(_xlfn.IFS(AND(P1911&lt;&gt;"",R1911&lt;&gt;"",RIGHT($N1911,6)="tarief",F1911="Vergoeding"),SUM(P1911)*FLOOR(SUM(R1911),0.0001),AND(P1911&lt;&gt;"",R1911&lt;&gt;"",RIGHT($N1911,6)="tarief"),P1911*FLOOR(R1911,0.01),T1911&gt;0,FLOOR(SUM(T1911),0.01)),""),""),"")</f>
        <v/>
      </c>
      <c r="Y1911" s="314" t="str">
        <f t="shared" ca="1" si="118"/>
        <v/>
      </c>
      <c r="Z1911" s="314" t="str" cm="1">
        <f t="array" aca="1" ref="Z1911" ca="1">IFERROR(_xlfn.IFS(OR(F1911="",LEFT(Methode_Keuze,4)="Geen",Methode_Keuze=""),"",AND(W1911&lt;&gt;"",F1911&lt;&gt;"Arbeidskosten"),W1911*VLOOKUP(F1911,Tb_ProjectKosten[],MATCH(Tb_ProjectKosten[[#Headers],[Forfait_Percentage]],Tb_ProjectKosten[#Headers],0),0),AND(F1911="Arbeidskosten",G1911&lt;&gt;""),IFERROR(W1911*VLOOKUP(G1911,Tb_KostenTypen[],3,0)*VLOOKUP(F1911,Tb_ProjectKosten[],MATCH(Tb_ProjectKosten[[#Headers],[Forfait_Percentage]],Tb_ProjectKosten[#Headers],0),0),""),W1911 &lt;=0,0),"")</f>
        <v/>
      </c>
      <c r="AA1911" s="314" t="str" cm="1">
        <f t="array" aca="1" ref="AA1911" ca="1">IFERROR(_xlfn.IFS(OR(F1911="",LEFT(Methode_Keuze,4)="Geen",Methode_Keuze=""),"",AND(X1911&lt;&gt;"",F1911&lt;&gt;"Arbeidskosten"),X1911*VLOOKUP(F1911,Tb_ProjectKosten[],MATCH(Tb_ProjectKosten[[#Headers],[Forfait_Percentage]],Tb_ProjectKosten[#Headers],0),0),AND(F1911="Arbeidskosten",G1911&lt;&gt;""),IFERROR(X1911*VLOOKUP(G1911,Tb_KostenTypen[],3,0)*VLOOKUP(F1911,Tb_ProjectKosten[],MATCH(Tb_ProjectKosten[[#Headers],[Forfait_Percentage]],Tb_ProjectKosten[#Headers],0),0),""),X1911 &lt;=0,0),"")</f>
        <v/>
      </c>
      <c r="AB1911" s="314" t="str">
        <f t="shared" ca="1" si="119"/>
        <v/>
      </c>
      <c r="AC1911" s="322"/>
      <c r="AD1911" s="315"/>
      <c r="AE1911" s="32" t="str" cm="1">
        <f t="array" ref="AE1911">IFERROR(IF(INDEX(SubsidieTabel!$AD$1:$AG$12,MATCH($F1911,SubsidieTabel!$AD$1:$AD$12,0),IFERROR(MATCH(Methode_Keuze,SubsidieTabel!$AD$1:$AG$1,0),2))&lt;&gt;1=TRUE,"ja",""),"")</f>
        <v/>
      </c>
    </row>
    <row r="1912" spans="1:31" x14ac:dyDescent="0.25">
      <c r="A1912" s="316"/>
      <c r="B1912" s="317" t="str">
        <f>IF(A1912&lt;&gt;"",_xlfn.MAXIFS($B$1:B1911,$A$1:A1911,A1912)+1,"")</f>
        <v/>
      </c>
      <c r="C1912" s="296"/>
      <c r="D1912" s="296"/>
      <c r="E1912" s="296"/>
      <c r="F1912" s="296"/>
      <c r="G1912" s="326"/>
      <c r="H1912" s="324"/>
      <c r="I1912" s="325"/>
      <c r="J1912" s="325"/>
      <c r="K1912" s="318"/>
      <c r="L1912" s="318"/>
      <c r="M1912" s="319" t="str">
        <f>IFERROR(VLOOKUP(H1912,Lijsten!$H$1:$I$100,2,0),"")</f>
        <v/>
      </c>
      <c r="N1912" s="319" t="str">
        <f ca="1">IFERROR(IF(VLOOKUP(F1912,Kostentypen!$A$3:$E$21,3,0)=0,"",IF(OR(F1912="Arbeidskosten",F1912="Vergoeding"),VLOOKUP(G1912,Tb_KostenTypen[],2,0),VLOOKUP(F1912,Kostentypen!$A$3:$E$20,3,0))),"")</f>
        <v/>
      </c>
      <c r="O1912" s="320" t="str" cm="1">
        <f t="array" ref="O1912">_xlfn.IFNA(IF(INDEX(Tb_KostenOptiesDB[],MATCH($F1912,Tb_KostenOptiesDB[KostenOptie],0),IFERROR(MATCH(Methode_Keuze,Tb_KostenOptiesDB[#Headers],0),2))=1,_xlfn.SWITCH($N1912,"Uurtarief",IF(OR(AND(RIGHT($F1912,3)="IKS",VLOOKUP($M1912,DB_Loonkosten,2,0)="Ja"),AND(RIGHT($F1912,3)&lt;&gt;"IKS",VLOOKUP($M1912,DB_Loonkosten,2,0)="Nee")),IFERROR(VLOOKUP($M1912,DB_Loonkosten,24,0),""),0),"Vast tarief",IF(LEFT(F1912,8)="Bijdrage",VLOOKUP($F1912,Tb_KostenTypen[],MATCH(Lijsten!$P$1,Tb_KostenTypen[#Headers],0),0),VLOOKUP($G1912,Lijsten!L:P,MATCH(Lijsten!$P$1,Kop_Tarief_Vast,0),0))),""),"")</f>
        <v/>
      </c>
      <c r="P1912" s="320" t="str" cm="1">
        <f t="array" ref="P1912">_xlfn.IFNA(IF(INDEX(Tb_KostenOptiesDB[],MATCH($F1912,Tb_KostenOptiesDB[KostenOptie],0),IFERROR(MATCH(Methode_Keuze,Tb_KostenOptiesDB[#Headers],0),2))=1,_xlfn.SWITCH($N1912,"Uurtarief",IF(OR(AND(RIGHT($F1912,3)="IKS",VLOOKUP($M1912,DB_Loonkosten,2,0)="Ja"),AND(RIGHT($F1912,3)&lt;&gt;"IKS",VLOOKUP($M1912,DB_Loonkosten,2,0)="Nee")),IFERROR(VLOOKUP($M1912,DB_Loonkosten,25,0),""),0),"Vast tarief",IF(LEFT(F1912,8)="Bijdrage",VLOOKUP($F1912,Tb_KostenTypen[],MATCH(Lijsten!$P$1,Tb_KostenTypen[#Headers],0),0),VLOOKUP($G1912,Lijsten!L:P,MATCH(Lijsten!$P$1,Kop_Tarief_Vast,0),0))),""),"")</f>
        <v/>
      </c>
      <c r="Q1912" s="359"/>
      <c r="R1912" s="359"/>
      <c r="S1912" s="321"/>
      <c r="T1912" s="321"/>
      <c r="U1912" s="373" t="str">
        <f t="shared" si="116"/>
        <v/>
      </c>
      <c r="V1912" s="314" t="str">
        <f t="shared" si="117"/>
        <v/>
      </c>
      <c r="W1912" s="314" t="str" cm="1">
        <f t="array" aca="1" ref="W1912" ca="1">IFERROR(IF(AE1912&lt;&gt;"ja",_xlfn.IFNA(_xlfn.IFS(AND(O1912&lt;&gt;"",F1912&lt;&gt;"",RIGHT($N1912,6)="tarief",F1912="Vergoeding"),SUM(O1912)*FLOOR(SUM(Q1912),0.0001),AND(O1912&lt;&gt;"",F1912&lt;&gt;"",RIGHT($N1912,6)="tarief"),SUM(O1912)*FLOOR(SUM(Q1912),0.01),S1912&gt;0,IF(F1912&lt;&gt;"",FLOOR(SUM(S1912),0.01),"")),""),""),"")</f>
        <v/>
      </c>
      <c r="X1912" s="314" t="str" cm="1">
        <f t="array" aca="1" ref="X1912" ca="1">IFERROR(IF(AE1912&lt;&gt;"ja",_xlfn.IFNA(_xlfn.IFS(AND(P1912&lt;&gt;"",R1912&lt;&gt;"",RIGHT($N1912,6)="tarief",F1912="Vergoeding"),SUM(P1912)*FLOOR(SUM(R1912),0.0001),AND(P1912&lt;&gt;"",R1912&lt;&gt;"",RIGHT($N1912,6)="tarief"),P1912*FLOOR(R1912,0.01),T1912&gt;0,FLOOR(SUM(T1912),0.01)),""),""),"")</f>
        <v/>
      </c>
      <c r="Y1912" s="314" t="str">
        <f t="shared" ca="1" si="118"/>
        <v/>
      </c>
      <c r="Z1912" s="314" t="str" cm="1">
        <f t="array" aca="1" ref="Z1912" ca="1">IFERROR(_xlfn.IFS(OR(F1912="",LEFT(Methode_Keuze,4)="Geen",Methode_Keuze=""),"",AND(W1912&lt;&gt;"",F1912&lt;&gt;"Arbeidskosten"),W1912*VLOOKUP(F1912,Tb_ProjectKosten[],MATCH(Tb_ProjectKosten[[#Headers],[Forfait_Percentage]],Tb_ProjectKosten[#Headers],0),0),AND(F1912="Arbeidskosten",G1912&lt;&gt;""),IFERROR(W1912*VLOOKUP(G1912,Tb_KostenTypen[],3,0)*VLOOKUP(F1912,Tb_ProjectKosten[],MATCH(Tb_ProjectKosten[[#Headers],[Forfait_Percentage]],Tb_ProjectKosten[#Headers],0),0),""),W1912 &lt;=0,0),"")</f>
        <v/>
      </c>
      <c r="AA1912" s="314" t="str" cm="1">
        <f t="array" aca="1" ref="AA1912" ca="1">IFERROR(_xlfn.IFS(OR(F1912="",LEFT(Methode_Keuze,4)="Geen",Methode_Keuze=""),"",AND(X1912&lt;&gt;"",F1912&lt;&gt;"Arbeidskosten"),X1912*VLOOKUP(F1912,Tb_ProjectKosten[],MATCH(Tb_ProjectKosten[[#Headers],[Forfait_Percentage]],Tb_ProjectKosten[#Headers],0),0),AND(F1912="Arbeidskosten",G1912&lt;&gt;""),IFERROR(X1912*VLOOKUP(G1912,Tb_KostenTypen[],3,0)*VLOOKUP(F1912,Tb_ProjectKosten[],MATCH(Tb_ProjectKosten[[#Headers],[Forfait_Percentage]],Tb_ProjectKosten[#Headers],0),0),""),X1912 &lt;=0,0),"")</f>
        <v/>
      </c>
      <c r="AB1912" s="314" t="str">
        <f t="shared" ca="1" si="119"/>
        <v/>
      </c>
      <c r="AC1912" s="322"/>
      <c r="AD1912" s="315"/>
      <c r="AE1912" s="32" t="str" cm="1">
        <f t="array" ref="AE1912">IFERROR(IF(INDEX(SubsidieTabel!$AD$1:$AG$12,MATCH($F1912,SubsidieTabel!$AD$1:$AD$12,0),IFERROR(MATCH(Methode_Keuze,SubsidieTabel!$AD$1:$AG$1,0),2))&lt;&gt;1=TRUE,"ja",""),"")</f>
        <v/>
      </c>
    </row>
    <row r="1913" spans="1:31" x14ac:dyDescent="0.25">
      <c r="A1913" s="316"/>
      <c r="B1913" s="317" t="str">
        <f>IF(A1913&lt;&gt;"",_xlfn.MAXIFS($B$1:B1912,$A$1:A1912,A1913)+1,"")</f>
        <v/>
      </c>
      <c r="C1913" s="296"/>
      <c r="D1913" s="296"/>
      <c r="E1913" s="296"/>
      <c r="F1913" s="296"/>
      <c r="G1913" s="326"/>
      <c r="H1913" s="324"/>
      <c r="I1913" s="325"/>
      <c r="J1913" s="325"/>
      <c r="K1913" s="318"/>
      <c r="L1913" s="318"/>
      <c r="M1913" s="319" t="str">
        <f>IFERROR(VLOOKUP(H1913,Lijsten!$H$1:$I$100,2,0),"")</f>
        <v/>
      </c>
      <c r="N1913" s="319" t="str">
        <f ca="1">IFERROR(IF(VLOOKUP(F1913,Kostentypen!$A$3:$E$21,3,0)=0,"",IF(OR(F1913="Arbeidskosten",F1913="Vergoeding"),VLOOKUP(G1913,Tb_KostenTypen[],2,0),VLOOKUP(F1913,Kostentypen!$A$3:$E$20,3,0))),"")</f>
        <v/>
      </c>
      <c r="O1913" s="320" t="str" cm="1">
        <f t="array" ref="O1913">_xlfn.IFNA(IF(INDEX(Tb_KostenOptiesDB[],MATCH($F1913,Tb_KostenOptiesDB[KostenOptie],0),IFERROR(MATCH(Methode_Keuze,Tb_KostenOptiesDB[#Headers],0),2))=1,_xlfn.SWITCH($N1913,"Uurtarief",IF(OR(AND(RIGHT($F1913,3)="IKS",VLOOKUP($M1913,DB_Loonkosten,2,0)="Ja"),AND(RIGHT($F1913,3)&lt;&gt;"IKS",VLOOKUP($M1913,DB_Loonkosten,2,0)="Nee")),IFERROR(VLOOKUP($M1913,DB_Loonkosten,24,0),""),0),"Vast tarief",IF(LEFT(F1913,8)="Bijdrage",VLOOKUP($F1913,Tb_KostenTypen[],MATCH(Lijsten!$P$1,Tb_KostenTypen[#Headers],0),0),VLOOKUP($G1913,Lijsten!L:P,MATCH(Lijsten!$P$1,Kop_Tarief_Vast,0),0))),""),"")</f>
        <v/>
      </c>
      <c r="P1913" s="320" t="str" cm="1">
        <f t="array" ref="P1913">_xlfn.IFNA(IF(INDEX(Tb_KostenOptiesDB[],MATCH($F1913,Tb_KostenOptiesDB[KostenOptie],0),IFERROR(MATCH(Methode_Keuze,Tb_KostenOptiesDB[#Headers],0),2))=1,_xlfn.SWITCH($N1913,"Uurtarief",IF(OR(AND(RIGHT($F1913,3)="IKS",VLOOKUP($M1913,DB_Loonkosten,2,0)="Ja"),AND(RIGHT($F1913,3)&lt;&gt;"IKS",VLOOKUP($M1913,DB_Loonkosten,2,0)="Nee")),IFERROR(VLOOKUP($M1913,DB_Loonkosten,25,0),""),0),"Vast tarief",IF(LEFT(F1913,8)="Bijdrage",VLOOKUP($F1913,Tb_KostenTypen[],MATCH(Lijsten!$P$1,Tb_KostenTypen[#Headers],0),0),VLOOKUP($G1913,Lijsten!L:P,MATCH(Lijsten!$P$1,Kop_Tarief_Vast,0),0))),""),"")</f>
        <v/>
      </c>
      <c r="Q1913" s="359"/>
      <c r="R1913" s="359"/>
      <c r="S1913" s="321"/>
      <c r="T1913" s="321"/>
      <c r="U1913" s="373" t="str">
        <f t="shared" si="116"/>
        <v/>
      </c>
      <c r="V1913" s="314" t="str">
        <f t="shared" si="117"/>
        <v/>
      </c>
      <c r="W1913" s="314" t="str" cm="1">
        <f t="array" aca="1" ref="W1913" ca="1">IFERROR(IF(AE1913&lt;&gt;"ja",_xlfn.IFNA(_xlfn.IFS(AND(O1913&lt;&gt;"",F1913&lt;&gt;"",RIGHT($N1913,6)="tarief",F1913="Vergoeding"),SUM(O1913)*FLOOR(SUM(Q1913),0.0001),AND(O1913&lt;&gt;"",F1913&lt;&gt;"",RIGHT($N1913,6)="tarief"),SUM(O1913)*FLOOR(SUM(Q1913),0.01),S1913&gt;0,IF(F1913&lt;&gt;"",FLOOR(SUM(S1913),0.01),"")),""),""),"")</f>
        <v/>
      </c>
      <c r="X1913" s="314" t="str" cm="1">
        <f t="array" aca="1" ref="X1913" ca="1">IFERROR(IF(AE1913&lt;&gt;"ja",_xlfn.IFNA(_xlfn.IFS(AND(P1913&lt;&gt;"",R1913&lt;&gt;"",RIGHT($N1913,6)="tarief",F1913="Vergoeding"),SUM(P1913)*FLOOR(SUM(R1913),0.0001),AND(P1913&lt;&gt;"",R1913&lt;&gt;"",RIGHT($N1913,6)="tarief"),P1913*FLOOR(R1913,0.01),T1913&gt;0,FLOOR(SUM(T1913),0.01)),""),""),"")</f>
        <v/>
      </c>
      <c r="Y1913" s="314" t="str">
        <f t="shared" ca="1" si="118"/>
        <v/>
      </c>
      <c r="Z1913" s="314" t="str" cm="1">
        <f t="array" aca="1" ref="Z1913" ca="1">IFERROR(_xlfn.IFS(OR(F1913="",LEFT(Methode_Keuze,4)="Geen",Methode_Keuze=""),"",AND(W1913&lt;&gt;"",F1913&lt;&gt;"Arbeidskosten"),W1913*VLOOKUP(F1913,Tb_ProjectKosten[],MATCH(Tb_ProjectKosten[[#Headers],[Forfait_Percentage]],Tb_ProjectKosten[#Headers],0),0),AND(F1913="Arbeidskosten",G1913&lt;&gt;""),IFERROR(W1913*VLOOKUP(G1913,Tb_KostenTypen[],3,0)*VLOOKUP(F1913,Tb_ProjectKosten[],MATCH(Tb_ProjectKosten[[#Headers],[Forfait_Percentage]],Tb_ProjectKosten[#Headers],0),0),""),W1913 &lt;=0,0),"")</f>
        <v/>
      </c>
      <c r="AA1913" s="314" t="str" cm="1">
        <f t="array" aca="1" ref="AA1913" ca="1">IFERROR(_xlfn.IFS(OR(F1913="",LEFT(Methode_Keuze,4)="Geen",Methode_Keuze=""),"",AND(X1913&lt;&gt;"",F1913&lt;&gt;"Arbeidskosten"),X1913*VLOOKUP(F1913,Tb_ProjectKosten[],MATCH(Tb_ProjectKosten[[#Headers],[Forfait_Percentage]],Tb_ProjectKosten[#Headers],0),0),AND(F1913="Arbeidskosten",G1913&lt;&gt;""),IFERROR(X1913*VLOOKUP(G1913,Tb_KostenTypen[],3,0)*VLOOKUP(F1913,Tb_ProjectKosten[],MATCH(Tb_ProjectKosten[[#Headers],[Forfait_Percentage]],Tb_ProjectKosten[#Headers],0),0),""),X1913 &lt;=0,0),"")</f>
        <v/>
      </c>
      <c r="AB1913" s="314" t="str">
        <f t="shared" ca="1" si="119"/>
        <v/>
      </c>
      <c r="AC1913" s="322"/>
      <c r="AD1913" s="315"/>
      <c r="AE1913" s="32" t="str" cm="1">
        <f t="array" ref="AE1913">IFERROR(IF(INDEX(SubsidieTabel!$AD$1:$AG$12,MATCH($F1913,SubsidieTabel!$AD$1:$AD$12,0),IFERROR(MATCH(Methode_Keuze,SubsidieTabel!$AD$1:$AG$1,0),2))&lt;&gt;1=TRUE,"ja",""),"")</f>
        <v/>
      </c>
    </row>
    <row r="1914" spans="1:31" x14ac:dyDescent="0.25">
      <c r="A1914" s="316"/>
      <c r="B1914" s="317" t="str">
        <f>IF(A1914&lt;&gt;"",_xlfn.MAXIFS($B$1:B1913,$A$1:A1913,A1914)+1,"")</f>
        <v/>
      </c>
      <c r="C1914" s="296"/>
      <c r="D1914" s="296"/>
      <c r="E1914" s="296"/>
      <c r="F1914" s="296"/>
      <c r="G1914" s="326"/>
      <c r="H1914" s="324"/>
      <c r="I1914" s="325"/>
      <c r="J1914" s="325"/>
      <c r="K1914" s="318"/>
      <c r="L1914" s="318"/>
      <c r="M1914" s="319" t="str">
        <f>IFERROR(VLOOKUP(H1914,Lijsten!$H$1:$I$100,2,0),"")</f>
        <v/>
      </c>
      <c r="N1914" s="319" t="str">
        <f ca="1">IFERROR(IF(VLOOKUP(F1914,Kostentypen!$A$3:$E$21,3,0)=0,"",IF(OR(F1914="Arbeidskosten",F1914="Vergoeding"),VLOOKUP(G1914,Tb_KostenTypen[],2,0),VLOOKUP(F1914,Kostentypen!$A$3:$E$20,3,0))),"")</f>
        <v/>
      </c>
      <c r="O1914" s="320" t="str" cm="1">
        <f t="array" ref="O1914">_xlfn.IFNA(IF(INDEX(Tb_KostenOptiesDB[],MATCH($F1914,Tb_KostenOptiesDB[KostenOptie],0),IFERROR(MATCH(Methode_Keuze,Tb_KostenOptiesDB[#Headers],0),2))=1,_xlfn.SWITCH($N1914,"Uurtarief",IF(OR(AND(RIGHT($F1914,3)="IKS",VLOOKUP($M1914,DB_Loonkosten,2,0)="Ja"),AND(RIGHT($F1914,3)&lt;&gt;"IKS",VLOOKUP($M1914,DB_Loonkosten,2,0)="Nee")),IFERROR(VLOOKUP($M1914,DB_Loonkosten,24,0),""),0),"Vast tarief",IF(LEFT(F1914,8)="Bijdrage",VLOOKUP($F1914,Tb_KostenTypen[],MATCH(Lijsten!$P$1,Tb_KostenTypen[#Headers],0),0),VLOOKUP($G1914,Lijsten!L:P,MATCH(Lijsten!$P$1,Kop_Tarief_Vast,0),0))),""),"")</f>
        <v/>
      </c>
      <c r="P1914" s="320" t="str" cm="1">
        <f t="array" ref="P1914">_xlfn.IFNA(IF(INDEX(Tb_KostenOptiesDB[],MATCH($F1914,Tb_KostenOptiesDB[KostenOptie],0),IFERROR(MATCH(Methode_Keuze,Tb_KostenOptiesDB[#Headers],0),2))=1,_xlfn.SWITCH($N1914,"Uurtarief",IF(OR(AND(RIGHT($F1914,3)="IKS",VLOOKUP($M1914,DB_Loonkosten,2,0)="Ja"),AND(RIGHT($F1914,3)&lt;&gt;"IKS",VLOOKUP($M1914,DB_Loonkosten,2,0)="Nee")),IFERROR(VLOOKUP($M1914,DB_Loonkosten,25,0),""),0),"Vast tarief",IF(LEFT(F1914,8)="Bijdrage",VLOOKUP($F1914,Tb_KostenTypen[],MATCH(Lijsten!$P$1,Tb_KostenTypen[#Headers],0),0),VLOOKUP($G1914,Lijsten!L:P,MATCH(Lijsten!$P$1,Kop_Tarief_Vast,0),0))),""),"")</f>
        <v/>
      </c>
      <c r="Q1914" s="359"/>
      <c r="R1914" s="359"/>
      <c r="S1914" s="321"/>
      <c r="T1914" s="321"/>
      <c r="U1914" s="373" t="str">
        <f t="shared" si="116"/>
        <v/>
      </c>
      <c r="V1914" s="314" t="str">
        <f t="shared" si="117"/>
        <v/>
      </c>
      <c r="W1914" s="314" t="str" cm="1">
        <f t="array" aca="1" ref="W1914" ca="1">IFERROR(IF(AE1914&lt;&gt;"ja",_xlfn.IFNA(_xlfn.IFS(AND(O1914&lt;&gt;"",F1914&lt;&gt;"",RIGHT($N1914,6)="tarief",F1914="Vergoeding"),SUM(O1914)*FLOOR(SUM(Q1914),0.0001),AND(O1914&lt;&gt;"",F1914&lt;&gt;"",RIGHT($N1914,6)="tarief"),SUM(O1914)*FLOOR(SUM(Q1914),0.01),S1914&gt;0,IF(F1914&lt;&gt;"",FLOOR(SUM(S1914),0.01),"")),""),""),"")</f>
        <v/>
      </c>
      <c r="X1914" s="314" t="str" cm="1">
        <f t="array" aca="1" ref="X1914" ca="1">IFERROR(IF(AE1914&lt;&gt;"ja",_xlfn.IFNA(_xlfn.IFS(AND(P1914&lt;&gt;"",R1914&lt;&gt;"",RIGHT($N1914,6)="tarief",F1914="Vergoeding"),SUM(P1914)*FLOOR(SUM(R1914),0.0001),AND(P1914&lt;&gt;"",R1914&lt;&gt;"",RIGHT($N1914,6)="tarief"),P1914*FLOOR(R1914,0.01),T1914&gt;0,FLOOR(SUM(T1914),0.01)),""),""),"")</f>
        <v/>
      </c>
      <c r="Y1914" s="314" t="str">
        <f t="shared" ca="1" si="118"/>
        <v/>
      </c>
      <c r="Z1914" s="314" t="str" cm="1">
        <f t="array" aca="1" ref="Z1914" ca="1">IFERROR(_xlfn.IFS(OR(F1914="",LEFT(Methode_Keuze,4)="Geen",Methode_Keuze=""),"",AND(W1914&lt;&gt;"",F1914&lt;&gt;"Arbeidskosten"),W1914*VLOOKUP(F1914,Tb_ProjectKosten[],MATCH(Tb_ProjectKosten[[#Headers],[Forfait_Percentage]],Tb_ProjectKosten[#Headers],0),0),AND(F1914="Arbeidskosten",G1914&lt;&gt;""),IFERROR(W1914*VLOOKUP(G1914,Tb_KostenTypen[],3,0)*VLOOKUP(F1914,Tb_ProjectKosten[],MATCH(Tb_ProjectKosten[[#Headers],[Forfait_Percentage]],Tb_ProjectKosten[#Headers],0),0),""),W1914 &lt;=0,0),"")</f>
        <v/>
      </c>
      <c r="AA1914" s="314" t="str" cm="1">
        <f t="array" aca="1" ref="AA1914" ca="1">IFERROR(_xlfn.IFS(OR(F1914="",LEFT(Methode_Keuze,4)="Geen",Methode_Keuze=""),"",AND(X1914&lt;&gt;"",F1914&lt;&gt;"Arbeidskosten"),X1914*VLOOKUP(F1914,Tb_ProjectKosten[],MATCH(Tb_ProjectKosten[[#Headers],[Forfait_Percentage]],Tb_ProjectKosten[#Headers],0),0),AND(F1914="Arbeidskosten",G1914&lt;&gt;""),IFERROR(X1914*VLOOKUP(G1914,Tb_KostenTypen[],3,0)*VLOOKUP(F1914,Tb_ProjectKosten[],MATCH(Tb_ProjectKosten[[#Headers],[Forfait_Percentage]],Tb_ProjectKosten[#Headers],0),0),""),X1914 &lt;=0,0),"")</f>
        <v/>
      </c>
      <c r="AB1914" s="314" t="str">
        <f t="shared" ca="1" si="119"/>
        <v/>
      </c>
      <c r="AC1914" s="322"/>
      <c r="AD1914" s="315"/>
      <c r="AE1914" s="32" t="str" cm="1">
        <f t="array" ref="AE1914">IFERROR(IF(INDEX(SubsidieTabel!$AD$1:$AG$12,MATCH($F1914,SubsidieTabel!$AD$1:$AD$12,0),IFERROR(MATCH(Methode_Keuze,SubsidieTabel!$AD$1:$AG$1,0),2))&lt;&gt;1=TRUE,"ja",""),"")</f>
        <v/>
      </c>
    </row>
    <row r="1915" spans="1:31" x14ac:dyDescent="0.25">
      <c r="A1915" s="316"/>
      <c r="B1915" s="317" t="str">
        <f>IF(A1915&lt;&gt;"",_xlfn.MAXIFS($B$1:B1914,$A$1:A1914,A1915)+1,"")</f>
        <v/>
      </c>
      <c r="C1915" s="296"/>
      <c r="D1915" s="296"/>
      <c r="E1915" s="296"/>
      <c r="F1915" s="296"/>
      <c r="G1915" s="326"/>
      <c r="H1915" s="324"/>
      <c r="I1915" s="325"/>
      <c r="J1915" s="325"/>
      <c r="K1915" s="318"/>
      <c r="L1915" s="318"/>
      <c r="M1915" s="319" t="str">
        <f>IFERROR(VLOOKUP(H1915,Lijsten!$H$1:$I$100,2,0),"")</f>
        <v/>
      </c>
      <c r="N1915" s="319" t="str">
        <f ca="1">IFERROR(IF(VLOOKUP(F1915,Kostentypen!$A$3:$E$21,3,0)=0,"",IF(OR(F1915="Arbeidskosten",F1915="Vergoeding"),VLOOKUP(G1915,Tb_KostenTypen[],2,0),VLOOKUP(F1915,Kostentypen!$A$3:$E$20,3,0))),"")</f>
        <v/>
      </c>
      <c r="O1915" s="320" t="str" cm="1">
        <f t="array" ref="O1915">_xlfn.IFNA(IF(INDEX(Tb_KostenOptiesDB[],MATCH($F1915,Tb_KostenOptiesDB[KostenOptie],0),IFERROR(MATCH(Methode_Keuze,Tb_KostenOptiesDB[#Headers],0),2))=1,_xlfn.SWITCH($N1915,"Uurtarief",IF(OR(AND(RIGHT($F1915,3)="IKS",VLOOKUP($M1915,DB_Loonkosten,2,0)="Ja"),AND(RIGHT($F1915,3)&lt;&gt;"IKS",VLOOKUP($M1915,DB_Loonkosten,2,0)="Nee")),IFERROR(VLOOKUP($M1915,DB_Loonkosten,24,0),""),0),"Vast tarief",IF(LEFT(F1915,8)="Bijdrage",VLOOKUP($F1915,Tb_KostenTypen[],MATCH(Lijsten!$P$1,Tb_KostenTypen[#Headers],0),0),VLOOKUP($G1915,Lijsten!L:P,MATCH(Lijsten!$P$1,Kop_Tarief_Vast,0),0))),""),"")</f>
        <v/>
      </c>
      <c r="P1915" s="320" t="str" cm="1">
        <f t="array" ref="P1915">_xlfn.IFNA(IF(INDEX(Tb_KostenOptiesDB[],MATCH($F1915,Tb_KostenOptiesDB[KostenOptie],0),IFERROR(MATCH(Methode_Keuze,Tb_KostenOptiesDB[#Headers],0),2))=1,_xlfn.SWITCH($N1915,"Uurtarief",IF(OR(AND(RIGHT($F1915,3)="IKS",VLOOKUP($M1915,DB_Loonkosten,2,0)="Ja"),AND(RIGHT($F1915,3)&lt;&gt;"IKS",VLOOKUP($M1915,DB_Loonkosten,2,0)="Nee")),IFERROR(VLOOKUP($M1915,DB_Loonkosten,25,0),""),0),"Vast tarief",IF(LEFT(F1915,8)="Bijdrage",VLOOKUP($F1915,Tb_KostenTypen[],MATCH(Lijsten!$P$1,Tb_KostenTypen[#Headers],0),0),VLOOKUP($G1915,Lijsten!L:P,MATCH(Lijsten!$P$1,Kop_Tarief_Vast,0),0))),""),"")</f>
        <v/>
      </c>
      <c r="Q1915" s="359"/>
      <c r="R1915" s="359"/>
      <c r="S1915" s="321"/>
      <c r="T1915" s="321"/>
      <c r="U1915" s="373" t="str">
        <f t="shared" si="116"/>
        <v/>
      </c>
      <c r="V1915" s="314" t="str">
        <f t="shared" si="117"/>
        <v/>
      </c>
      <c r="W1915" s="314" t="str" cm="1">
        <f t="array" aca="1" ref="W1915" ca="1">IFERROR(IF(AE1915&lt;&gt;"ja",_xlfn.IFNA(_xlfn.IFS(AND(O1915&lt;&gt;"",F1915&lt;&gt;"",RIGHT($N1915,6)="tarief",F1915="Vergoeding"),SUM(O1915)*FLOOR(SUM(Q1915),0.0001),AND(O1915&lt;&gt;"",F1915&lt;&gt;"",RIGHT($N1915,6)="tarief"),SUM(O1915)*FLOOR(SUM(Q1915),0.01),S1915&gt;0,IF(F1915&lt;&gt;"",FLOOR(SUM(S1915),0.01),"")),""),""),"")</f>
        <v/>
      </c>
      <c r="X1915" s="314" t="str" cm="1">
        <f t="array" aca="1" ref="X1915" ca="1">IFERROR(IF(AE1915&lt;&gt;"ja",_xlfn.IFNA(_xlfn.IFS(AND(P1915&lt;&gt;"",R1915&lt;&gt;"",RIGHT($N1915,6)="tarief",F1915="Vergoeding"),SUM(P1915)*FLOOR(SUM(R1915),0.0001),AND(P1915&lt;&gt;"",R1915&lt;&gt;"",RIGHT($N1915,6)="tarief"),P1915*FLOOR(R1915,0.01),T1915&gt;0,FLOOR(SUM(T1915),0.01)),""),""),"")</f>
        <v/>
      </c>
      <c r="Y1915" s="314" t="str">
        <f t="shared" ca="1" si="118"/>
        <v/>
      </c>
      <c r="Z1915" s="314" t="str" cm="1">
        <f t="array" aca="1" ref="Z1915" ca="1">IFERROR(_xlfn.IFS(OR(F1915="",LEFT(Methode_Keuze,4)="Geen",Methode_Keuze=""),"",AND(W1915&lt;&gt;"",F1915&lt;&gt;"Arbeidskosten"),W1915*VLOOKUP(F1915,Tb_ProjectKosten[],MATCH(Tb_ProjectKosten[[#Headers],[Forfait_Percentage]],Tb_ProjectKosten[#Headers],0),0),AND(F1915="Arbeidskosten",G1915&lt;&gt;""),IFERROR(W1915*VLOOKUP(G1915,Tb_KostenTypen[],3,0)*VLOOKUP(F1915,Tb_ProjectKosten[],MATCH(Tb_ProjectKosten[[#Headers],[Forfait_Percentage]],Tb_ProjectKosten[#Headers],0),0),""),W1915 &lt;=0,0),"")</f>
        <v/>
      </c>
      <c r="AA1915" s="314" t="str" cm="1">
        <f t="array" aca="1" ref="AA1915" ca="1">IFERROR(_xlfn.IFS(OR(F1915="",LEFT(Methode_Keuze,4)="Geen",Methode_Keuze=""),"",AND(X1915&lt;&gt;"",F1915&lt;&gt;"Arbeidskosten"),X1915*VLOOKUP(F1915,Tb_ProjectKosten[],MATCH(Tb_ProjectKosten[[#Headers],[Forfait_Percentage]],Tb_ProjectKosten[#Headers],0),0),AND(F1915="Arbeidskosten",G1915&lt;&gt;""),IFERROR(X1915*VLOOKUP(G1915,Tb_KostenTypen[],3,0)*VLOOKUP(F1915,Tb_ProjectKosten[],MATCH(Tb_ProjectKosten[[#Headers],[Forfait_Percentage]],Tb_ProjectKosten[#Headers],0),0),""),X1915 &lt;=0,0),"")</f>
        <v/>
      </c>
      <c r="AB1915" s="314" t="str">
        <f t="shared" ca="1" si="119"/>
        <v/>
      </c>
      <c r="AC1915" s="322"/>
      <c r="AD1915" s="315"/>
      <c r="AE1915" s="32" t="str" cm="1">
        <f t="array" ref="AE1915">IFERROR(IF(INDEX(SubsidieTabel!$AD$1:$AG$12,MATCH($F1915,SubsidieTabel!$AD$1:$AD$12,0),IFERROR(MATCH(Methode_Keuze,SubsidieTabel!$AD$1:$AG$1,0),2))&lt;&gt;1=TRUE,"ja",""),"")</f>
        <v/>
      </c>
    </row>
    <row r="1916" spans="1:31" x14ac:dyDescent="0.25">
      <c r="A1916" s="316"/>
      <c r="B1916" s="317" t="str">
        <f>IF(A1916&lt;&gt;"",_xlfn.MAXIFS($B$1:B1915,$A$1:A1915,A1916)+1,"")</f>
        <v/>
      </c>
      <c r="C1916" s="296"/>
      <c r="D1916" s="296"/>
      <c r="E1916" s="296"/>
      <c r="F1916" s="296"/>
      <c r="G1916" s="326"/>
      <c r="H1916" s="324"/>
      <c r="I1916" s="325"/>
      <c r="J1916" s="325"/>
      <c r="K1916" s="318"/>
      <c r="L1916" s="318"/>
      <c r="M1916" s="319" t="str">
        <f>IFERROR(VLOOKUP(H1916,Lijsten!$H$1:$I$100,2,0),"")</f>
        <v/>
      </c>
      <c r="N1916" s="319" t="str">
        <f ca="1">IFERROR(IF(VLOOKUP(F1916,Kostentypen!$A$3:$E$21,3,0)=0,"",IF(OR(F1916="Arbeidskosten",F1916="Vergoeding"),VLOOKUP(G1916,Tb_KostenTypen[],2,0),VLOOKUP(F1916,Kostentypen!$A$3:$E$20,3,0))),"")</f>
        <v/>
      </c>
      <c r="O1916" s="320" t="str" cm="1">
        <f t="array" ref="O1916">_xlfn.IFNA(IF(INDEX(Tb_KostenOptiesDB[],MATCH($F1916,Tb_KostenOptiesDB[KostenOptie],0),IFERROR(MATCH(Methode_Keuze,Tb_KostenOptiesDB[#Headers],0),2))=1,_xlfn.SWITCH($N1916,"Uurtarief",IF(OR(AND(RIGHT($F1916,3)="IKS",VLOOKUP($M1916,DB_Loonkosten,2,0)="Ja"),AND(RIGHT($F1916,3)&lt;&gt;"IKS",VLOOKUP($M1916,DB_Loonkosten,2,0)="Nee")),IFERROR(VLOOKUP($M1916,DB_Loonkosten,24,0),""),0),"Vast tarief",IF(LEFT(F1916,8)="Bijdrage",VLOOKUP($F1916,Tb_KostenTypen[],MATCH(Lijsten!$P$1,Tb_KostenTypen[#Headers],0),0),VLOOKUP($G1916,Lijsten!L:P,MATCH(Lijsten!$P$1,Kop_Tarief_Vast,0),0))),""),"")</f>
        <v/>
      </c>
      <c r="P1916" s="320" t="str" cm="1">
        <f t="array" ref="P1916">_xlfn.IFNA(IF(INDEX(Tb_KostenOptiesDB[],MATCH($F1916,Tb_KostenOptiesDB[KostenOptie],0),IFERROR(MATCH(Methode_Keuze,Tb_KostenOptiesDB[#Headers],0),2))=1,_xlfn.SWITCH($N1916,"Uurtarief",IF(OR(AND(RIGHT($F1916,3)="IKS",VLOOKUP($M1916,DB_Loonkosten,2,0)="Ja"),AND(RIGHT($F1916,3)&lt;&gt;"IKS",VLOOKUP($M1916,DB_Loonkosten,2,0)="Nee")),IFERROR(VLOOKUP($M1916,DB_Loonkosten,25,0),""),0),"Vast tarief",IF(LEFT(F1916,8)="Bijdrage",VLOOKUP($F1916,Tb_KostenTypen[],MATCH(Lijsten!$P$1,Tb_KostenTypen[#Headers],0),0),VLOOKUP($G1916,Lijsten!L:P,MATCH(Lijsten!$P$1,Kop_Tarief_Vast,0),0))),""),"")</f>
        <v/>
      </c>
      <c r="Q1916" s="359"/>
      <c r="R1916" s="359"/>
      <c r="S1916" s="321"/>
      <c r="T1916" s="321"/>
      <c r="U1916" s="373" t="str">
        <f t="shared" si="116"/>
        <v/>
      </c>
      <c r="V1916" s="314" t="str">
        <f t="shared" si="117"/>
        <v/>
      </c>
      <c r="W1916" s="314" t="str" cm="1">
        <f t="array" aca="1" ref="W1916" ca="1">IFERROR(IF(AE1916&lt;&gt;"ja",_xlfn.IFNA(_xlfn.IFS(AND(O1916&lt;&gt;"",F1916&lt;&gt;"",RIGHT($N1916,6)="tarief",F1916="Vergoeding"),SUM(O1916)*FLOOR(SUM(Q1916),0.0001),AND(O1916&lt;&gt;"",F1916&lt;&gt;"",RIGHT($N1916,6)="tarief"),SUM(O1916)*FLOOR(SUM(Q1916),0.01),S1916&gt;0,IF(F1916&lt;&gt;"",FLOOR(SUM(S1916),0.01),"")),""),""),"")</f>
        <v/>
      </c>
      <c r="X1916" s="314" t="str" cm="1">
        <f t="array" aca="1" ref="X1916" ca="1">IFERROR(IF(AE1916&lt;&gt;"ja",_xlfn.IFNA(_xlfn.IFS(AND(P1916&lt;&gt;"",R1916&lt;&gt;"",RIGHT($N1916,6)="tarief",F1916="Vergoeding"),SUM(P1916)*FLOOR(SUM(R1916),0.0001),AND(P1916&lt;&gt;"",R1916&lt;&gt;"",RIGHT($N1916,6)="tarief"),P1916*FLOOR(R1916,0.01),T1916&gt;0,FLOOR(SUM(T1916),0.01)),""),""),"")</f>
        <v/>
      </c>
      <c r="Y1916" s="314" t="str">
        <f t="shared" ca="1" si="118"/>
        <v/>
      </c>
      <c r="Z1916" s="314" t="str" cm="1">
        <f t="array" aca="1" ref="Z1916" ca="1">IFERROR(_xlfn.IFS(OR(F1916="",LEFT(Methode_Keuze,4)="Geen",Methode_Keuze=""),"",AND(W1916&lt;&gt;"",F1916&lt;&gt;"Arbeidskosten"),W1916*VLOOKUP(F1916,Tb_ProjectKosten[],MATCH(Tb_ProjectKosten[[#Headers],[Forfait_Percentage]],Tb_ProjectKosten[#Headers],0),0),AND(F1916="Arbeidskosten",G1916&lt;&gt;""),IFERROR(W1916*VLOOKUP(G1916,Tb_KostenTypen[],3,0)*VLOOKUP(F1916,Tb_ProjectKosten[],MATCH(Tb_ProjectKosten[[#Headers],[Forfait_Percentage]],Tb_ProjectKosten[#Headers],0),0),""),W1916 &lt;=0,0),"")</f>
        <v/>
      </c>
      <c r="AA1916" s="314" t="str" cm="1">
        <f t="array" aca="1" ref="AA1916" ca="1">IFERROR(_xlfn.IFS(OR(F1916="",LEFT(Methode_Keuze,4)="Geen",Methode_Keuze=""),"",AND(X1916&lt;&gt;"",F1916&lt;&gt;"Arbeidskosten"),X1916*VLOOKUP(F1916,Tb_ProjectKosten[],MATCH(Tb_ProjectKosten[[#Headers],[Forfait_Percentage]],Tb_ProjectKosten[#Headers],0),0),AND(F1916="Arbeidskosten",G1916&lt;&gt;""),IFERROR(X1916*VLOOKUP(G1916,Tb_KostenTypen[],3,0)*VLOOKUP(F1916,Tb_ProjectKosten[],MATCH(Tb_ProjectKosten[[#Headers],[Forfait_Percentage]],Tb_ProjectKosten[#Headers],0),0),""),X1916 &lt;=0,0),"")</f>
        <v/>
      </c>
      <c r="AB1916" s="314" t="str">
        <f t="shared" ca="1" si="119"/>
        <v/>
      </c>
      <c r="AC1916" s="322"/>
      <c r="AD1916" s="315"/>
      <c r="AE1916" s="32" t="str" cm="1">
        <f t="array" ref="AE1916">IFERROR(IF(INDEX(SubsidieTabel!$AD$1:$AG$12,MATCH($F1916,SubsidieTabel!$AD$1:$AD$12,0),IFERROR(MATCH(Methode_Keuze,SubsidieTabel!$AD$1:$AG$1,0),2))&lt;&gt;1=TRUE,"ja",""),"")</f>
        <v/>
      </c>
    </row>
    <row r="1917" spans="1:31" x14ac:dyDescent="0.25">
      <c r="A1917" s="316"/>
      <c r="B1917" s="317" t="str">
        <f>IF(A1917&lt;&gt;"",_xlfn.MAXIFS($B$1:B1916,$A$1:A1916,A1917)+1,"")</f>
        <v/>
      </c>
      <c r="C1917" s="296"/>
      <c r="D1917" s="296"/>
      <c r="E1917" s="296"/>
      <c r="F1917" s="296"/>
      <c r="G1917" s="326"/>
      <c r="H1917" s="324"/>
      <c r="I1917" s="325"/>
      <c r="J1917" s="325"/>
      <c r="K1917" s="318"/>
      <c r="L1917" s="318"/>
      <c r="M1917" s="319" t="str">
        <f>IFERROR(VLOOKUP(H1917,Lijsten!$H$1:$I$100,2,0),"")</f>
        <v/>
      </c>
      <c r="N1917" s="319" t="str">
        <f ca="1">IFERROR(IF(VLOOKUP(F1917,Kostentypen!$A$3:$E$21,3,0)=0,"",IF(OR(F1917="Arbeidskosten",F1917="Vergoeding"),VLOOKUP(G1917,Tb_KostenTypen[],2,0),VLOOKUP(F1917,Kostentypen!$A$3:$E$20,3,0))),"")</f>
        <v/>
      </c>
      <c r="O1917" s="320" t="str" cm="1">
        <f t="array" ref="O1917">_xlfn.IFNA(IF(INDEX(Tb_KostenOptiesDB[],MATCH($F1917,Tb_KostenOptiesDB[KostenOptie],0),IFERROR(MATCH(Methode_Keuze,Tb_KostenOptiesDB[#Headers],0),2))=1,_xlfn.SWITCH($N1917,"Uurtarief",IF(OR(AND(RIGHT($F1917,3)="IKS",VLOOKUP($M1917,DB_Loonkosten,2,0)="Ja"),AND(RIGHT($F1917,3)&lt;&gt;"IKS",VLOOKUP($M1917,DB_Loonkosten,2,0)="Nee")),IFERROR(VLOOKUP($M1917,DB_Loonkosten,24,0),""),0),"Vast tarief",IF(LEFT(F1917,8)="Bijdrage",VLOOKUP($F1917,Tb_KostenTypen[],MATCH(Lijsten!$P$1,Tb_KostenTypen[#Headers],0),0),VLOOKUP($G1917,Lijsten!L:P,MATCH(Lijsten!$P$1,Kop_Tarief_Vast,0),0))),""),"")</f>
        <v/>
      </c>
      <c r="P1917" s="320" t="str" cm="1">
        <f t="array" ref="P1917">_xlfn.IFNA(IF(INDEX(Tb_KostenOptiesDB[],MATCH($F1917,Tb_KostenOptiesDB[KostenOptie],0),IFERROR(MATCH(Methode_Keuze,Tb_KostenOptiesDB[#Headers],0),2))=1,_xlfn.SWITCH($N1917,"Uurtarief",IF(OR(AND(RIGHT($F1917,3)="IKS",VLOOKUP($M1917,DB_Loonkosten,2,0)="Ja"),AND(RIGHT($F1917,3)&lt;&gt;"IKS",VLOOKUP($M1917,DB_Loonkosten,2,0)="Nee")),IFERROR(VLOOKUP($M1917,DB_Loonkosten,25,0),""),0),"Vast tarief",IF(LEFT(F1917,8)="Bijdrage",VLOOKUP($F1917,Tb_KostenTypen[],MATCH(Lijsten!$P$1,Tb_KostenTypen[#Headers],0),0),VLOOKUP($G1917,Lijsten!L:P,MATCH(Lijsten!$P$1,Kop_Tarief_Vast,0),0))),""),"")</f>
        <v/>
      </c>
      <c r="Q1917" s="359"/>
      <c r="R1917" s="359"/>
      <c r="S1917" s="321"/>
      <c r="T1917" s="321"/>
      <c r="U1917" s="373" t="str">
        <f t="shared" si="116"/>
        <v/>
      </c>
      <c r="V1917" s="314" t="str">
        <f t="shared" si="117"/>
        <v/>
      </c>
      <c r="W1917" s="314" t="str" cm="1">
        <f t="array" aca="1" ref="W1917" ca="1">IFERROR(IF(AE1917&lt;&gt;"ja",_xlfn.IFNA(_xlfn.IFS(AND(O1917&lt;&gt;"",F1917&lt;&gt;"",RIGHT($N1917,6)="tarief",F1917="Vergoeding"),SUM(O1917)*FLOOR(SUM(Q1917),0.0001),AND(O1917&lt;&gt;"",F1917&lt;&gt;"",RIGHT($N1917,6)="tarief"),SUM(O1917)*FLOOR(SUM(Q1917),0.01),S1917&gt;0,IF(F1917&lt;&gt;"",FLOOR(SUM(S1917),0.01),"")),""),""),"")</f>
        <v/>
      </c>
      <c r="X1917" s="314" t="str" cm="1">
        <f t="array" aca="1" ref="X1917" ca="1">IFERROR(IF(AE1917&lt;&gt;"ja",_xlfn.IFNA(_xlfn.IFS(AND(P1917&lt;&gt;"",R1917&lt;&gt;"",RIGHT($N1917,6)="tarief",F1917="Vergoeding"),SUM(P1917)*FLOOR(SUM(R1917),0.0001),AND(P1917&lt;&gt;"",R1917&lt;&gt;"",RIGHT($N1917,6)="tarief"),P1917*FLOOR(R1917,0.01),T1917&gt;0,FLOOR(SUM(T1917),0.01)),""),""),"")</f>
        <v/>
      </c>
      <c r="Y1917" s="314" t="str">
        <f t="shared" ca="1" si="118"/>
        <v/>
      </c>
      <c r="Z1917" s="314" t="str" cm="1">
        <f t="array" aca="1" ref="Z1917" ca="1">IFERROR(_xlfn.IFS(OR(F1917="",LEFT(Methode_Keuze,4)="Geen",Methode_Keuze=""),"",AND(W1917&lt;&gt;"",F1917&lt;&gt;"Arbeidskosten"),W1917*VLOOKUP(F1917,Tb_ProjectKosten[],MATCH(Tb_ProjectKosten[[#Headers],[Forfait_Percentage]],Tb_ProjectKosten[#Headers],0),0),AND(F1917="Arbeidskosten",G1917&lt;&gt;""),IFERROR(W1917*VLOOKUP(G1917,Tb_KostenTypen[],3,0)*VLOOKUP(F1917,Tb_ProjectKosten[],MATCH(Tb_ProjectKosten[[#Headers],[Forfait_Percentage]],Tb_ProjectKosten[#Headers],0),0),""),W1917 &lt;=0,0),"")</f>
        <v/>
      </c>
      <c r="AA1917" s="314" t="str" cm="1">
        <f t="array" aca="1" ref="AA1917" ca="1">IFERROR(_xlfn.IFS(OR(F1917="",LEFT(Methode_Keuze,4)="Geen",Methode_Keuze=""),"",AND(X1917&lt;&gt;"",F1917&lt;&gt;"Arbeidskosten"),X1917*VLOOKUP(F1917,Tb_ProjectKosten[],MATCH(Tb_ProjectKosten[[#Headers],[Forfait_Percentage]],Tb_ProjectKosten[#Headers],0),0),AND(F1917="Arbeidskosten",G1917&lt;&gt;""),IFERROR(X1917*VLOOKUP(G1917,Tb_KostenTypen[],3,0)*VLOOKUP(F1917,Tb_ProjectKosten[],MATCH(Tb_ProjectKosten[[#Headers],[Forfait_Percentage]],Tb_ProjectKosten[#Headers],0),0),""),X1917 &lt;=0,0),"")</f>
        <v/>
      </c>
      <c r="AB1917" s="314" t="str">
        <f t="shared" ca="1" si="119"/>
        <v/>
      </c>
      <c r="AC1917" s="322"/>
      <c r="AD1917" s="315"/>
      <c r="AE1917" s="32" t="str" cm="1">
        <f t="array" ref="AE1917">IFERROR(IF(INDEX(SubsidieTabel!$AD$1:$AG$12,MATCH($F1917,SubsidieTabel!$AD$1:$AD$12,0),IFERROR(MATCH(Methode_Keuze,SubsidieTabel!$AD$1:$AG$1,0),2))&lt;&gt;1=TRUE,"ja",""),"")</f>
        <v/>
      </c>
    </row>
    <row r="1918" spans="1:31" x14ac:dyDescent="0.25">
      <c r="A1918" s="316"/>
      <c r="B1918" s="317" t="str">
        <f>IF(A1918&lt;&gt;"",_xlfn.MAXIFS($B$1:B1917,$A$1:A1917,A1918)+1,"")</f>
        <v/>
      </c>
      <c r="C1918" s="296"/>
      <c r="D1918" s="296"/>
      <c r="E1918" s="296"/>
      <c r="F1918" s="296"/>
      <c r="G1918" s="326"/>
      <c r="H1918" s="324"/>
      <c r="I1918" s="325"/>
      <c r="J1918" s="325"/>
      <c r="K1918" s="318"/>
      <c r="L1918" s="318"/>
      <c r="M1918" s="319" t="str">
        <f>IFERROR(VLOOKUP(H1918,Lijsten!$H$1:$I$100,2,0),"")</f>
        <v/>
      </c>
      <c r="N1918" s="319" t="str">
        <f ca="1">IFERROR(IF(VLOOKUP(F1918,Kostentypen!$A$3:$E$21,3,0)=0,"",IF(OR(F1918="Arbeidskosten",F1918="Vergoeding"),VLOOKUP(G1918,Tb_KostenTypen[],2,0),VLOOKUP(F1918,Kostentypen!$A$3:$E$20,3,0))),"")</f>
        <v/>
      </c>
      <c r="O1918" s="320" t="str" cm="1">
        <f t="array" ref="O1918">_xlfn.IFNA(IF(INDEX(Tb_KostenOptiesDB[],MATCH($F1918,Tb_KostenOptiesDB[KostenOptie],0),IFERROR(MATCH(Methode_Keuze,Tb_KostenOptiesDB[#Headers],0),2))=1,_xlfn.SWITCH($N1918,"Uurtarief",IF(OR(AND(RIGHT($F1918,3)="IKS",VLOOKUP($M1918,DB_Loonkosten,2,0)="Ja"),AND(RIGHT($F1918,3)&lt;&gt;"IKS",VLOOKUP($M1918,DB_Loonkosten,2,0)="Nee")),IFERROR(VLOOKUP($M1918,DB_Loonkosten,24,0),""),0),"Vast tarief",IF(LEFT(F1918,8)="Bijdrage",VLOOKUP($F1918,Tb_KostenTypen[],MATCH(Lijsten!$P$1,Tb_KostenTypen[#Headers],0),0),VLOOKUP($G1918,Lijsten!L:P,MATCH(Lijsten!$P$1,Kop_Tarief_Vast,0),0))),""),"")</f>
        <v/>
      </c>
      <c r="P1918" s="320" t="str" cm="1">
        <f t="array" ref="P1918">_xlfn.IFNA(IF(INDEX(Tb_KostenOptiesDB[],MATCH($F1918,Tb_KostenOptiesDB[KostenOptie],0),IFERROR(MATCH(Methode_Keuze,Tb_KostenOptiesDB[#Headers],0),2))=1,_xlfn.SWITCH($N1918,"Uurtarief",IF(OR(AND(RIGHT($F1918,3)="IKS",VLOOKUP($M1918,DB_Loonkosten,2,0)="Ja"),AND(RIGHT($F1918,3)&lt;&gt;"IKS",VLOOKUP($M1918,DB_Loonkosten,2,0)="Nee")),IFERROR(VLOOKUP($M1918,DB_Loonkosten,25,0),""),0),"Vast tarief",IF(LEFT(F1918,8)="Bijdrage",VLOOKUP($F1918,Tb_KostenTypen[],MATCH(Lijsten!$P$1,Tb_KostenTypen[#Headers],0),0),VLOOKUP($G1918,Lijsten!L:P,MATCH(Lijsten!$P$1,Kop_Tarief_Vast,0),0))),""),"")</f>
        <v/>
      </c>
      <c r="Q1918" s="359"/>
      <c r="R1918" s="359"/>
      <c r="S1918" s="321"/>
      <c r="T1918" s="321"/>
      <c r="U1918" s="373" t="str">
        <f t="shared" si="116"/>
        <v/>
      </c>
      <c r="V1918" s="314" t="str">
        <f t="shared" si="117"/>
        <v/>
      </c>
      <c r="W1918" s="314" t="str" cm="1">
        <f t="array" aca="1" ref="W1918" ca="1">IFERROR(IF(AE1918&lt;&gt;"ja",_xlfn.IFNA(_xlfn.IFS(AND(O1918&lt;&gt;"",F1918&lt;&gt;"",RIGHT($N1918,6)="tarief",F1918="Vergoeding"),SUM(O1918)*FLOOR(SUM(Q1918),0.0001),AND(O1918&lt;&gt;"",F1918&lt;&gt;"",RIGHT($N1918,6)="tarief"),SUM(O1918)*FLOOR(SUM(Q1918),0.01),S1918&gt;0,IF(F1918&lt;&gt;"",FLOOR(SUM(S1918),0.01),"")),""),""),"")</f>
        <v/>
      </c>
      <c r="X1918" s="314" t="str" cm="1">
        <f t="array" aca="1" ref="X1918" ca="1">IFERROR(IF(AE1918&lt;&gt;"ja",_xlfn.IFNA(_xlfn.IFS(AND(P1918&lt;&gt;"",R1918&lt;&gt;"",RIGHT($N1918,6)="tarief",F1918="Vergoeding"),SUM(P1918)*FLOOR(SUM(R1918),0.0001),AND(P1918&lt;&gt;"",R1918&lt;&gt;"",RIGHT($N1918,6)="tarief"),P1918*FLOOR(R1918,0.01),T1918&gt;0,FLOOR(SUM(T1918),0.01)),""),""),"")</f>
        <v/>
      </c>
      <c r="Y1918" s="314" t="str">
        <f t="shared" ca="1" si="118"/>
        <v/>
      </c>
      <c r="Z1918" s="314" t="str" cm="1">
        <f t="array" aca="1" ref="Z1918" ca="1">IFERROR(_xlfn.IFS(OR(F1918="",LEFT(Methode_Keuze,4)="Geen",Methode_Keuze=""),"",AND(W1918&lt;&gt;"",F1918&lt;&gt;"Arbeidskosten"),W1918*VLOOKUP(F1918,Tb_ProjectKosten[],MATCH(Tb_ProjectKosten[[#Headers],[Forfait_Percentage]],Tb_ProjectKosten[#Headers],0),0),AND(F1918="Arbeidskosten",G1918&lt;&gt;""),IFERROR(W1918*VLOOKUP(G1918,Tb_KostenTypen[],3,0)*VLOOKUP(F1918,Tb_ProjectKosten[],MATCH(Tb_ProjectKosten[[#Headers],[Forfait_Percentage]],Tb_ProjectKosten[#Headers],0),0),""),W1918 &lt;=0,0),"")</f>
        <v/>
      </c>
      <c r="AA1918" s="314" t="str" cm="1">
        <f t="array" aca="1" ref="AA1918" ca="1">IFERROR(_xlfn.IFS(OR(F1918="",LEFT(Methode_Keuze,4)="Geen",Methode_Keuze=""),"",AND(X1918&lt;&gt;"",F1918&lt;&gt;"Arbeidskosten"),X1918*VLOOKUP(F1918,Tb_ProjectKosten[],MATCH(Tb_ProjectKosten[[#Headers],[Forfait_Percentage]],Tb_ProjectKosten[#Headers],0),0),AND(F1918="Arbeidskosten",G1918&lt;&gt;""),IFERROR(X1918*VLOOKUP(G1918,Tb_KostenTypen[],3,0)*VLOOKUP(F1918,Tb_ProjectKosten[],MATCH(Tb_ProjectKosten[[#Headers],[Forfait_Percentage]],Tb_ProjectKosten[#Headers],0),0),""),X1918 &lt;=0,0),"")</f>
        <v/>
      </c>
      <c r="AB1918" s="314" t="str">
        <f t="shared" ca="1" si="119"/>
        <v/>
      </c>
      <c r="AC1918" s="322"/>
      <c r="AD1918" s="315"/>
      <c r="AE1918" s="32" t="str" cm="1">
        <f t="array" ref="AE1918">IFERROR(IF(INDEX(SubsidieTabel!$AD$1:$AG$12,MATCH($F1918,SubsidieTabel!$AD$1:$AD$12,0),IFERROR(MATCH(Methode_Keuze,SubsidieTabel!$AD$1:$AG$1,0),2))&lt;&gt;1=TRUE,"ja",""),"")</f>
        <v/>
      </c>
    </row>
    <row r="1919" spans="1:31" x14ac:dyDescent="0.25">
      <c r="A1919" s="316"/>
      <c r="B1919" s="317" t="str">
        <f>IF(A1919&lt;&gt;"",_xlfn.MAXIFS($B$1:B1918,$A$1:A1918,A1919)+1,"")</f>
        <v/>
      </c>
      <c r="C1919" s="296"/>
      <c r="D1919" s="296"/>
      <c r="E1919" s="296"/>
      <c r="F1919" s="296"/>
      <c r="G1919" s="326"/>
      <c r="H1919" s="324"/>
      <c r="I1919" s="325"/>
      <c r="J1919" s="325"/>
      <c r="K1919" s="318"/>
      <c r="L1919" s="318"/>
      <c r="M1919" s="319" t="str">
        <f>IFERROR(VLOOKUP(H1919,Lijsten!$H$1:$I$100,2,0),"")</f>
        <v/>
      </c>
      <c r="N1919" s="319" t="str">
        <f ca="1">IFERROR(IF(VLOOKUP(F1919,Kostentypen!$A$3:$E$21,3,0)=0,"",IF(OR(F1919="Arbeidskosten",F1919="Vergoeding"),VLOOKUP(G1919,Tb_KostenTypen[],2,0),VLOOKUP(F1919,Kostentypen!$A$3:$E$20,3,0))),"")</f>
        <v/>
      </c>
      <c r="O1919" s="320" t="str" cm="1">
        <f t="array" ref="O1919">_xlfn.IFNA(IF(INDEX(Tb_KostenOptiesDB[],MATCH($F1919,Tb_KostenOptiesDB[KostenOptie],0),IFERROR(MATCH(Methode_Keuze,Tb_KostenOptiesDB[#Headers],0),2))=1,_xlfn.SWITCH($N1919,"Uurtarief",IF(OR(AND(RIGHT($F1919,3)="IKS",VLOOKUP($M1919,DB_Loonkosten,2,0)="Ja"),AND(RIGHT($F1919,3)&lt;&gt;"IKS",VLOOKUP($M1919,DB_Loonkosten,2,0)="Nee")),IFERROR(VLOOKUP($M1919,DB_Loonkosten,24,0),""),0),"Vast tarief",IF(LEFT(F1919,8)="Bijdrage",VLOOKUP($F1919,Tb_KostenTypen[],MATCH(Lijsten!$P$1,Tb_KostenTypen[#Headers],0),0),VLOOKUP($G1919,Lijsten!L:P,MATCH(Lijsten!$P$1,Kop_Tarief_Vast,0),0))),""),"")</f>
        <v/>
      </c>
      <c r="P1919" s="320" t="str" cm="1">
        <f t="array" ref="P1919">_xlfn.IFNA(IF(INDEX(Tb_KostenOptiesDB[],MATCH($F1919,Tb_KostenOptiesDB[KostenOptie],0),IFERROR(MATCH(Methode_Keuze,Tb_KostenOptiesDB[#Headers],0),2))=1,_xlfn.SWITCH($N1919,"Uurtarief",IF(OR(AND(RIGHT($F1919,3)="IKS",VLOOKUP($M1919,DB_Loonkosten,2,0)="Ja"),AND(RIGHT($F1919,3)&lt;&gt;"IKS",VLOOKUP($M1919,DB_Loonkosten,2,0)="Nee")),IFERROR(VLOOKUP($M1919,DB_Loonkosten,25,0),""),0),"Vast tarief",IF(LEFT(F1919,8)="Bijdrage",VLOOKUP($F1919,Tb_KostenTypen[],MATCH(Lijsten!$P$1,Tb_KostenTypen[#Headers],0),0),VLOOKUP($G1919,Lijsten!L:P,MATCH(Lijsten!$P$1,Kop_Tarief_Vast,0),0))),""),"")</f>
        <v/>
      </c>
      <c r="Q1919" s="359"/>
      <c r="R1919" s="359"/>
      <c r="S1919" s="321"/>
      <c r="T1919" s="321"/>
      <c r="U1919" s="373" t="str">
        <f t="shared" si="116"/>
        <v/>
      </c>
      <c r="V1919" s="314" t="str">
        <f t="shared" si="117"/>
        <v/>
      </c>
      <c r="W1919" s="314" t="str" cm="1">
        <f t="array" aca="1" ref="W1919" ca="1">IFERROR(IF(AE1919&lt;&gt;"ja",_xlfn.IFNA(_xlfn.IFS(AND(O1919&lt;&gt;"",F1919&lt;&gt;"",RIGHT($N1919,6)="tarief",F1919="Vergoeding"),SUM(O1919)*FLOOR(SUM(Q1919),0.0001),AND(O1919&lt;&gt;"",F1919&lt;&gt;"",RIGHT($N1919,6)="tarief"),SUM(O1919)*FLOOR(SUM(Q1919),0.01),S1919&gt;0,IF(F1919&lt;&gt;"",FLOOR(SUM(S1919),0.01),"")),""),""),"")</f>
        <v/>
      </c>
      <c r="X1919" s="314" t="str" cm="1">
        <f t="array" aca="1" ref="X1919" ca="1">IFERROR(IF(AE1919&lt;&gt;"ja",_xlfn.IFNA(_xlfn.IFS(AND(P1919&lt;&gt;"",R1919&lt;&gt;"",RIGHT($N1919,6)="tarief",F1919="Vergoeding"),SUM(P1919)*FLOOR(SUM(R1919),0.0001),AND(P1919&lt;&gt;"",R1919&lt;&gt;"",RIGHT($N1919,6)="tarief"),P1919*FLOOR(R1919,0.01),T1919&gt;0,FLOOR(SUM(T1919),0.01)),""),""),"")</f>
        <v/>
      </c>
      <c r="Y1919" s="314" t="str">
        <f t="shared" ca="1" si="118"/>
        <v/>
      </c>
      <c r="Z1919" s="314" t="str" cm="1">
        <f t="array" aca="1" ref="Z1919" ca="1">IFERROR(_xlfn.IFS(OR(F1919="",LEFT(Methode_Keuze,4)="Geen",Methode_Keuze=""),"",AND(W1919&lt;&gt;"",F1919&lt;&gt;"Arbeidskosten"),W1919*VLOOKUP(F1919,Tb_ProjectKosten[],MATCH(Tb_ProjectKosten[[#Headers],[Forfait_Percentage]],Tb_ProjectKosten[#Headers],0),0),AND(F1919="Arbeidskosten",G1919&lt;&gt;""),IFERROR(W1919*VLOOKUP(G1919,Tb_KostenTypen[],3,0)*VLOOKUP(F1919,Tb_ProjectKosten[],MATCH(Tb_ProjectKosten[[#Headers],[Forfait_Percentage]],Tb_ProjectKosten[#Headers],0),0),""),W1919 &lt;=0,0),"")</f>
        <v/>
      </c>
      <c r="AA1919" s="314" t="str" cm="1">
        <f t="array" aca="1" ref="AA1919" ca="1">IFERROR(_xlfn.IFS(OR(F1919="",LEFT(Methode_Keuze,4)="Geen",Methode_Keuze=""),"",AND(X1919&lt;&gt;"",F1919&lt;&gt;"Arbeidskosten"),X1919*VLOOKUP(F1919,Tb_ProjectKosten[],MATCH(Tb_ProjectKosten[[#Headers],[Forfait_Percentage]],Tb_ProjectKosten[#Headers],0),0),AND(F1919="Arbeidskosten",G1919&lt;&gt;""),IFERROR(X1919*VLOOKUP(G1919,Tb_KostenTypen[],3,0)*VLOOKUP(F1919,Tb_ProjectKosten[],MATCH(Tb_ProjectKosten[[#Headers],[Forfait_Percentage]],Tb_ProjectKosten[#Headers],0),0),""),X1919 &lt;=0,0),"")</f>
        <v/>
      </c>
      <c r="AB1919" s="314" t="str">
        <f t="shared" ca="1" si="119"/>
        <v/>
      </c>
      <c r="AC1919" s="322"/>
      <c r="AD1919" s="315"/>
      <c r="AE1919" s="32" t="str" cm="1">
        <f t="array" ref="AE1919">IFERROR(IF(INDEX(SubsidieTabel!$AD$1:$AG$12,MATCH($F1919,SubsidieTabel!$AD$1:$AD$12,0),IFERROR(MATCH(Methode_Keuze,SubsidieTabel!$AD$1:$AG$1,0),2))&lt;&gt;1=TRUE,"ja",""),"")</f>
        <v/>
      </c>
    </row>
    <row r="1920" spans="1:31" x14ac:dyDescent="0.25">
      <c r="A1920" s="316"/>
      <c r="B1920" s="317" t="str">
        <f>IF(A1920&lt;&gt;"",_xlfn.MAXIFS($B$1:B1919,$A$1:A1919,A1920)+1,"")</f>
        <v/>
      </c>
      <c r="C1920" s="296"/>
      <c r="D1920" s="296"/>
      <c r="E1920" s="296"/>
      <c r="F1920" s="296"/>
      <c r="G1920" s="326"/>
      <c r="H1920" s="324"/>
      <c r="I1920" s="325"/>
      <c r="J1920" s="325"/>
      <c r="K1920" s="318"/>
      <c r="L1920" s="318"/>
      <c r="M1920" s="319" t="str">
        <f>IFERROR(VLOOKUP(H1920,Lijsten!$H$1:$I$100,2,0),"")</f>
        <v/>
      </c>
      <c r="N1920" s="319" t="str">
        <f ca="1">IFERROR(IF(VLOOKUP(F1920,Kostentypen!$A$3:$E$21,3,0)=0,"",IF(OR(F1920="Arbeidskosten",F1920="Vergoeding"),VLOOKUP(G1920,Tb_KostenTypen[],2,0),VLOOKUP(F1920,Kostentypen!$A$3:$E$20,3,0))),"")</f>
        <v/>
      </c>
      <c r="O1920" s="320" t="str" cm="1">
        <f t="array" ref="O1920">_xlfn.IFNA(IF(INDEX(Tb_KostenOptiesDB[],MATCH($F1920,Tb_KostenOptiesDB[KostenOptie],0),IFERROR(MATCH(Methode_Keuze,Tb_KostenOptiesDB[#Headers],0),2))=1,_xlfn.SWITCH($N1920,"Uurtarief",IF(OR(AND(RIGHT($F1920,3)="IKS",VLOOKUP($M1920,DB_Loonkosten,2,0)="Ja"),AND(RIGHT($F1920,3)&lt;&gt;"IKS",VLOOKUP($M1920,DB_Loonkosten,2,0)="Nee")),IFERROR(VLOOKUP($M1920,DB_Loonkosten,24,0),""),0),"Vast tarief",IF(LEFT(F1920,8)="Bijdrage",VLOOKUP($F1920,Tb_KostenTypen[],MATCH(Lijsten!$P$1,Tb_KostenTypen[#Headers],0),0),VLOOKUP($G1920,Lijsten!L:P,MATCH(Lijsten!$P$1,Kop_Tarief_Vast,0),0))),""),"")</f>
        <v/>
      </c>
      <c r="P1920" s="320" t="str" cm="1">
        <f t="array" ref="P1920">_xlfn.IFNA(IF(INDEX(Tb_KostenOptiesDB[],MATCH($F1920,Tb_KostenOptiesDB[KostenOptie],0),IFERROR(MATCH(Methode_Keuze,Tb_KostenOptiesDB[#Headers],0),2))=1,_xlfn.SWITCH($N1920,"Uurtarief",IF(OR(AND(RIGHT($F1920,3)="IKS",VLOOKUP($M1920,DB_Loonkosten,2,0)="Ja"),AND(RIGHT($F1920,3)&lt;&gt;"IKS",VLOOKUP($M1920,DB_Loonkosten,2,0)="Nee")),IFERROR(VLOOKUP($M1920,DB_Loonkosten,25,0),""),0),"Vast tarief",IF(LEFT(F1920,8)="Bijdrage",VLOOKUP($F1920,Tb_KostenTypen[],MATCH(Lijsten!$P$1,Tb_KostenTypen[#Headers],0),0),VLOOKUP($G1920,Lijsten!L:P,MATCH(Lijsten!$P$1,Kop_Tarief_Vast,0),0))),""),"")</f>
        <v/>
      </c>
      <c r="Q1920" s="359"/>
      <c r="R1920" s="359"/>
      <c r="S1920" s="321"/>
      <c r="T1920" s="321"/>
      <c r="U1920" s="373" t="str">
        <f t="shared" si="116"/>
        <v/>
      </c>
      <c r="V1920" s="314" t="str">
        <f t="shared" si="117"/>
        <v/>
      </c>
      <c r="W1920" s="314" t="str" cm="1">
        <f t="array" aca="1" ref="W1920" ca="1">IFERROR(IF(AE1920&lt;&gt;"ja",_xlfn.IFNA(_xlfn.IFS(AND(O1920&lt;&gt;"",F1920&lt;&gt;"",RIGHT($N1920,6)="tarief",F1920="Vergoeding"),SUM(O1920)*FLOOR(SUM(Q1920),0.0001),AND(O1920&lt;&gt;"",F1920&lt;&gt;"",RIGHT($N1920,6)="tarief"),SUM(O1920)*FLOOR(SUM(Q1920),0.01),S1920&gt;0,IF(F1920&lt;&gt;"",FLOOR(SUM(S1920),0.01),"")),""),""),"")</f>
        <v/>
      </c>
      <c r="X1920" s="314" t="str" cm="1">
        <f t="array" aca="1" ref="X1920" ca="1">IFERROR(IF(AE1920&lt;&gt;"ja",_xlfn.IFNA(_xlfn.IFS(AND(P1920&lt;&gt;"",R1920&lt;&gt;"",RIGHT($N1920,6)="tarief",F1920="Vergoeding"),SUM(P1920)*FLOOR(SUM(R1920),0.0001),AND(P1920&lt;&gt;"",R1920&lt;&gt;"",RIGHT($N1920,6)="tarief"),P1920*FLOOR(R1920,0.01),T1920&gt;0,FLOOR(SUM(T1920),0.01)),""),""),"")</f>
        <v/>
      </c>
      <c r="Y1920" s="314" t="str">
        <f t="shared" ca="1" si="118"/>
        <v/>
      </c>
      <c r="Z1920" s="314" t="str" cm="1">
        <f t="array" aca="1" ref="Z1920" ca="1">IFERROR(_xlfn.IFS(OR(F1920="",LEFT(Methode_Keuze,4)="Geen",Methode_Keuze=""),"",AND(W1920&lt;&gt;"",F1920&lt;&gt;"Arbeidskosten"),W1920*VLOOKUP(F1920,Tb_ProjectKosten[],MATCH(Tb_ProjectKosten[[#Headers],[Forfait_Percentage]],Tb_ProjectKosten[#Headers],0),0),AND(F1920="Arbeidskosten",G1920&lt;&gt;""),IFERROR(W1920*VLOOKUP(G1920,Tb_KostenTypen[],3,0)*VLOOKUP(F1920,Tb_ProjectKosten[],MATCH(Tb_ProjectKosten[[#Headers],[Forfait_Percentage]],Tb_ProjectKosten[#Headers],0),0),""),W1920 &lt;=0,0),"")</f>
        <v/>
      </c>
      <c r="AA1920" s="314" t="str" cm="1">
        <f t="array" aca="1" ref="AA1920" ca="1">IFERROR(_xlfn.IFS(OR(F1920="",LEFT(Methode_Keuze,4)="Geen",Methode_Keuze=""),"",AND(X1920&lt;&gt;"",F1920&lt;&gt;"Arbeidskosten"),X1920*VLOOKUP(F1920,Tb_ProjectKosten[],MATCH(Tb_ProjectKosten[[#Headers],[Forfait_Percentage]],Tb_ProjectKosten[#Headers],0),0),AND(F1920="Arbeidskosten",G1920&lt;&gt;""),IFERROR(X1920*VLOOKUP(G1920,Tb_KostenTypen[],3,0)*VLOOKUP(F1920,Tb_ProjectKosten[],MATCH(Tb_ProjectKosten[[#Headers],[Forfait_Percentage]],Tb_ProjectKosten[#Headers],0),0),""),X1920 &lt;=0,0),"")</f>
        <v/>
      </c>
      <c r="AB1920" s="314" t="str">
        <f t="shared" ca="1" si="119"/>
        <v/>
      </c>
      <c r="AC1920" s="322"/>
      <c r="AD1920" s="315"/>
      <c r="AE1920" s="32" t="str" cm="1">
        <f t="array" ref="AE1920">IFERROR(IF(INDEX(SubsidieTabel!$AD$1:$AG$12,MATCH($F1920,SubsidieTabel!$AD$1:$AD$12,0),IFERROR(MATCH(Methode_Keuze,SubsidieTabel!$AD$1:$AG$1,0),2))&lt;&gt;1=TRUE,"ja",""),"")</f>
        <v/>
      </c>
    </row>
    <row r="1921" spans="1:31" x14ac:dyDescent="0.25">
      <c r="A1921" s="316"/>
      <c r="B1921" s="317" t="str">
        <f>IF(A1921&lt;&gt;"",_xlfn.MAXIFS($B$1:B1920,$A$1:A1920,A1921)+1,"")</f>
        <v/>
      </c>
      <c r="C1921" s="296"/>
      <c r="D1921" s="296"/>
      <c r="E1921" s="296"/>
      <c r="F1921" s="296"/>
      <c r="G1921" s="326"/>
      <c r="H1921" s="324"/>
      <c r="I1921" s="325"/>
      <c r="J1921" s="325"/>
      <c r="K1921" s="318"/>
      <c r="L1921" s="318"/>
      <c r="M1921" s="319" t="str">
        <f>IFERROR(VLOOKUP(H1921,Lijsten!$H$1:$I$100,2,0),"")</f>
        <v/>
      </c>
      <c r="N1921" s="319" t="str">
        <f ca="1">IFERROR(IF(VLOOKUP(F1921,Kostentypen!$A$3:$E$21,3,0)=0,"",IF(OR(F1921="Arbeidskosten",F1921="Vergoeding"),VLOOKUP(G1921,Tb_KostenTypen[],2,0),VLOOKUP(F1921,Kostentypen!$A$3:$E$20,3,0))),"")</f>
        <v/>
      </c>
      <c r="O1921" s="320" t="str" cm="1">
        <f t="array" ref="O1921">_xlfn.IFNA(IF(INDEX(Tb_KostenOptiesDB[],MATCH($F1921,Tb_KostenOptiesDB[KostenOptie],0),IFERROR(MATCH(Methode_Keuze,Tb_KostenOptiesDB[#Headers],0),2))=1,_xlfn.SWITCH($N1921,"Uurtarief",IF(OR(AND(RIGHT($F1921,3)="IKS",VLOOKUP($M1921,DB_Loonkosten,2,0)="Ja"),AND(RIGHT($F1921,3)&lt;&gt;"IKS",VLOOKUP($M1921,DB_Loonkosten,2,0)="Nee")),IFERROR(VLOOKUP($M1921,DB_Loonkosten,24,0),""),0),"Vast tarief",IF(LEFT(F1921,8)="Bijdrage",VLOOKUP($F1921,Tb_KostenTypen[],MATCH(Lijsten!$P$1,Tb_KostenTypen[#Headers],0),0),VLOOKUP($G1921,Lijsten!L:P,MATCH(Lijsten!$P$1,Kop_Tarief_Vast,0),0))),""),"")</f>
        <v/>
      </c>
      <c r="P1921" s="320" t="str" cm="1">
        <f t="array" ref="P1921">_xlfn.IFNA(IF(INDEX(Tb_KostenOptiesDB[],MATCH($F1921,Tb_KostenOptiesDB[KostenOptie],0),IFERROR(MATCH(Methode_Keuze,Tb_KostenOptiesDB[#Headers],0),2))=1,_xlfn.SWITCH($N1921,"Uurtarief",IF(OR(AND(RIGHT($F1921,3)="IKS",VLOOKUP($M1921,DB_Loonkosten,2,0)="Ja"),AND(RIGHT($F1921,3)&lt;&gt;"IKS",VLOOKUP($M1921,DB_Loonkosten,2,0)="Nee")),IFERROR(VLOOKUP($M1921,DB_Loonkosten,25,0),""),0),"Vast tarief",IF(LEFT(F1921,8)="Bijdrage",VLOOKUP($F1921,Tb_KostenTypen[],MATCH(Lijsten!$P$1,Tb_KostenTypen[#Headers],0),0),VLOOKUP($G1921,Lijsten!L:P,MATCH(Lijsten!$P$1,Kop_Tarief_Vast,0),0))),""),"")</f>
        <v/>
      </c>
      <c r="Q1921" s="359"/>
      <c r="R1921" s="359"/>
      <c r="S1921" s="321"/>
      <c r="T1921" s="321"/>
      <c r="U1921" s="373" t="str">
        <f t="shared" si="116"/>
        <v/>
      </c>
      <c r="V1921" s="314" t="str">
        <f t="shared" si="117"/>
        <v/>
      </c>
      <c r="W1921" s="314" t="str" cm="1">
        <f t="array" aca="1" ref="W1921" ca="1">IFERROR(IF(AE1921&lt;&gt;"ja",_xlfn.IFNA(_xlfn.IFS(AND(O1921&lt;&gt;"",F1921&lt;&gt;"",RIGHT($N1921,6)="tarief",F1921="Vergoeding"),SUM(O1921)*FLOOR(SUM(Q1921),0.0001),AND(O1921&lt;&gt;"",F1921&lt;&gt;"",RIGHT($N1921,6)="tarief"),SUM(O1921)*FLOOR(SUM(Q1921),0.01),S1921&gt;0,IF(F1921&lt;&gt;"",FLOOR(SUM(S1921),0.01),"")),""),""),"")</f>
        <v/>
      </c>
      <c r="X1921" s="314" t="str" cm="1">
        <f t="array" aca="1" ref="X1921" ca="1">IFERROR(IF(AE1921&lt;&gt;"ja",_xlfn.IFNA(_xlfn.IFS(AND(P1921&lt;&gt;"",R1921&lt;&gt;"",RIGHT($N1921,6)="tarief",F1921="Vergoeding"),SUM(P1921)*FLOOR(SUM(R1921),0.0001),AND(P1921&lt;&gt;"",R1921&lt;&gt;"",RIGHT($N1921,6)="tarief"),P1921*FLOOR(R1921,0.01),T1921&gt;0,FLOOR(SUM(T1921),0.01)),""),""),"")</f>
        <v/>
      </c>
      <c r="Y1921" s="314" t="str">
        <f t="shared" ca="1" si="118"/>
        <v/>
      </c>
      <c r="Z1921" s="314" t="str" cm="1">
        <f t="array" aca="1" ref="Z1921" ca="1">IFERROR(_xlfn.IFS(OR(F1921="",LEFT(Methode_Keuze,4)="Geen",Methode_Keuze=""),"",AND(W1921&lt;&gt;"",F1921&lt;&gt;"Arbeidskosten"),W1921*VLOOKUP(F1921,Tb_ProjectKosten[],MATCH(Tb_ProjectKosten[[#Headers],[Forfait_Percentage]],Tb_ProjectKosten[#Headers],0),0),AND(F1921="Arbeidskosten",G1921&lt;&gt;""),IFERROR(W1921*VLOOKUP(G1921,Tb_KostenTypen[],3,0)*VLOOKUP(F1921,Tb_ProjectKosten[],MATCH(Tb_ProjectKosten[[#Headers],[Forfait_Percentage]],Tb_ProjectKosten[#Headers],0),0),""),W1921 &lt;=0,0),"")</f>
        <v/>
      </c>
      <c r="AA1921" s="314" t="str" cm="1">
        <f t="array" aca="1" ref="AA1921" ca="1">IFERROR(_xlfn.IFS(OR(F1921="",LEFT(Methode_Keuze,4)="Geen",Methode_Keuze=""),"",AND(X1921&lt;&gt;"",F1921&lt;&gt;"Arbeidskosten"),X1921*VLOOKUP(F1921,Tb_ProjectKosten[],MATCH(Tb_ProjectKosten[[#Headers],[Forfait_Percentage]],Tb_ProjectKosten[#Headers],0),0),AND(F1921="Arbeidskosten",G1921&lt;&gt;""),IFERROR(X1921*VLOOKUP(G1921,Tb_KostenTypen[],3,0)*VLOOKUP(F1921,Tb_ProjectKosten[],MATCH(Tb_ProjectKosten[[#Headers],[Forfait_Percentage]],Tb_ProjectKosten[#Headers],0),0),""),X1921 &lt;=0,0),"")</f>
        <v/>
      </c>
      <c r="AB1921" s="314" t="str">
        <f t="shared" ca="1" si="119"/>
        <v/>
      </c>
      <c r="AC1921" s="322"/>
      <c r="AD1921" s="315"/>
      <c r="AE1921" s="32" t="str" cm="1">
        <f t="array" ref="AE1921">IFERROR(IF(INDEX(SubsidieTabel!$AD$1:$AG$12,MATCH($F1921,SubsidieTabel!$AD$1:$AD$12,0),IFERROR(MATCH(Methode_Keuze,SubsidieTabel!$AD$1:$AG$1,0),2))&lt;&gt;1=TRUE,"ja",""),"")</f>
        <v/>
      </c>
    </row>
    <row r="1922" spans="1:31" x14ac:dyDescent="0.25">
      <c r="A1922" s="316"/>
      <c r="B1922" s="317" t="str">
        <f>IF(A1922&lt;&gt;"",_xlfn.MAXIFS($B$1:B1921,$A$1:A1921,A1922)+1,"")</f>
        <v/>
      </c>
      <c r="C1922" s="296"/>
      <c r="D1922" s="296"/>
      <c r="E1922" s="296"/>
      <c r="F1922" s="296"/>
      <c r="G1922" s="326"/>
      <c r="H1922" s="324"/>
      <c r="I1922" s="325"/>
      <c r="J1922" s="325"/>
      <c r="K1922" s="318"/>
      <c r="L1922" s="318"/>
      <c r="M1922" s="319" t="str">
        <f>IFERROR(VLOOKUP(H1922,Lijsten!$H$1:$I$100,2,0),"")</f>
        <v/>
      </c>
      <c r="N1922" s="319" t="str">
        <f ca="1">IFERROR(IF(VLOOKUP(F1922,Kostentypen!$A$3:$E$21,3,0)=0,"",IF(OR(F1922="Arbeidskosten",F1922="Vergoeding"),VLOOKUP(G1922,Tb_KostenTypen[],2,0),VLOOKUP(F1922,Kostentypen!$A$3:$E$20,3,0))),"")</f>
        <v/>
      </c>
      <c r="O1922" s="320" t="str" cm="1">
        <f t="array" ref="O1922">_xlfn.IFNA(IF(INDEX(Tb_KostenOptiesDB[],MATCH($F1922,Tb_KostenOptiesDB[KostenOptie],0),IFERROR(MATCH(Methode_Keuze,Tb_KostenOptiesDB[#Headers],0),2))=1,_xlfn.SWITCH($N1922,"Uurtarief",IF(OR(AND(RIGHT($F1922,3)="IKS",VLOOKUP($M1922,DB_Loonkosten,2,0)="Ja"),AND(RIGHT($F1922,3)&lt;&gt;"IKS",VLOOKUP($M1922,DB_Loonkosten,2,0)="Nee")),IFERROR(VLOOKUP($M1922,DB_Loonkosten,24,0),""),0),"Vast tarief",IF(LEFT(F1922,8)="Bijdrage",VLOOKUP($F1922,Tb_KostenTypen[],MATCH(Lijsten!$P$1,Tb_KostenTypen[#Headers],0),0),VLOOKUP($G1922,Lijsten!L:P,MATCH(Lijsten!$P$1,Kop_Tarief_Vast,0),0))),""),"")</f>
        <v/>
      </c>
      <c r="P1922" s="320" t="str" cm="1">
        <f t="array" ref="P1922">_xlfn.IFNA(IF(INDEX(Tb_KostenOptiesDB[],MATCH($F1922,Tb_KostenOptiesDB[KostenOptie],0),IFERROR(MATCH(Methode_Keuze,Tb_KostenOptiesDB[#Headers],0),2))=1,_xlfn.SWITCH($N1922,"Uurtarief",IF(OR(AND(RIGHT($F1922,3)="IKS",VLOOKUP($M1922,DB_Loonkosten,2,0)="Ja"),AND(RIGHT($F1922,3)&lt;&gt;"IKS",VLOOKUP($M1922,DB_Loonkosten,2,0)="Nee")),IFERROR(VLOOKUP($M1922,DB_Loonkosten,25,0),""),0),"Vast tarief",IF(LEFT(F1922,8)="Bijdrage",VLOOKUP($F1922,Tb_KostenTypen[],MATCH(Lijsten!$P$1,Tb_KostenTypen[#Headers],0),0),VLOOKUP($G1922,Lijsten!L:P,MATCH(Lijsten!$P$1,Kop_Tarief_Vast,0),0))),""),"")</f>
        <v/>
      </c>
      <c r="Q1922" s="359"/>
      <c r="R1922" s="359"/>
      <c r="S1922" s="321"/>
      <c r="T1922" s="321"/>
      <c r="U1922" s="373" t="str">
        <f t="shared" si="116"/>
        <v/>
      </c>
      <c r="V1922" s="314" t="str">
        <f t="shared" si="117"/>
        <v/>
      </c>
      <c r="W1922" s="314" t="str" cm="1">
        <f t="array" aca="1" ref="W1922" ca="1">IFERROR(IF(AE1922&lt;&gt;"ja",_xlfn.IFNA(_xlfn.IFS(AND(O1922&lt;&gt;"",F1922&lt;&gt;"",RIGHT($N1922,6)="tarief",F1922="Vergoeding"),SUM(O1922)*FLOOR(SUM(Q1922),0.0001),AND(O1922&lt;&gt;"",F1922&lt;&gt;"",RIGHT($N1922,6)="tarief"),SUM(O1922)*FLOOR(SUM(Q1922),0.01),S1922&gt;0,IF(F1922&lt;&gt;"",FLOOR(SUM(S1922),0.01),"")),""),""),"")</f>
        <v/>
      </c>
      <c r="X1922" s="314" t="str" cm="1">
        <f t="array" aca="1" ref="X1922" ca="1">IFERROR(IF(AE1922&lt;&gt;"ja",_xlfn.IFNA(_xlfn.IFS(AND(P1922&lt;&gt;"",R1922&lt;&gt;"",RIGHT($N1922,6)="tarief",F1922="Vergoeding"),SUM(P1922)*FLOOR(SUM(R1922),0.0001),AND(P1922&lt;&gt;"",R1922&lt;&gt;"",RIGHT($N1922,6)="tarief"),P1922*FLOOR(R1922,0.01),T1922&gt;0,FLOOR(SUM(T1922),0.01)),""),""),"")</f>
        <v/>
      </c>
      <c r="Y1922" s="314" t="str">
        <f t="shared" ca="1" si="118"/>
        <v/>
      </c>
      <c r="Z1922" s="314" t="str" cm="1">
        <f t="array" aca="1" ref="Z1922" ca="1">IFERROR(_xlfn.IFS(OR(F1922="",LEFT(Methode_Keuze,4)="Geen",Methode_Keuze=""),"",AND(W1922&lt;&gt;"",F1922&lt;&gt;"Arbeidskosten"),W1922*VLOOKUP(F1922,Tb_ProjectKosten[],MATCH(Tb_ProjectKosten[[#Headers],[Forfait_Percentage]],Tb_ProjectKosten[#Headers],0),0),AND(F1922="Arbeidskosten",G1922&lt;&gt;""),IFERROR(W1922*VLOOKUP(G1922,Tb_KostenTypen[],3,0)*VLOOKUP(F1922,Tb_ProjectKosten[],MATCH(Tb_ProjectKosten[[#Headers],[Forfait_Percentage]],Tb_ProjectKosten[#Headers],0),0),""),W1922 &lt;=0,0),"")</f>
        <v/>
      </c>
      <c r="AA1922" s="314" t="str" cm="1">
        <f t="array" aca="1" ref="AA1922" ca="1">IFERROR(_xlfn.IFS(OR(F1922="",LEFT(Methode_Keuze,4)="Geen",Methode_Keuze=""),"",AND(X1922&lt;&gt;"",F1922&lt;&gt;"Arbeidskosten"),X1922*VLOOKUP(F1922,Tb_ProjectKosten[],MATCH(Tb_ProjectKosten[[#Headers],[Forfait_Percentage]],Tb_ProjectKosten[#Headers],0),0),AND(F1922="Arbeidskosten",G1922&lt;&gt;""),IFERROR(X1922*VLOOKUP(G1922,Tb_KostenTypen[],3,0)*VLOOKUP(F1922,Tb_ProjectKosten[],MATCH(Tb_ProjectKosten[[#Headers],[Forfait_Percentage]],Tb_ProjectKosten[#Headers],0),0),""),X1922 &lt;=0,0),"")</f>
        <v/>
      </c>
      <c r="AB1922" s="314" t="str">
        <f t="shared" ca="1" si="119"/>
        <v/>
      </c>
      <c r="AC1922" s="322"/>
      <c r="AD1922" s="315"/>
      <c r="AE1922" s="32" t="str" cm="1">
        <f t="array" ref="AE1922">IFERROR(IF(INDEX(SubsidieTabel!$AD$1:$AG$12,MATCH($F1922,SubsidieTabel!$AD$1:$AD$12,0),IFERROR(MATCH(Methode_Keuze,SubsidieTabel!$AD$1:$AG$1,0),2))&lt;&gt;1=TRUE,"ja",""),"")</f>
        <v/>
      </c>
    </row>
    <row r="1923" spans="1:31" x14ac:dyDescent="0.25">
      <c r="A1923" s="316"/>
      <c r="B1923" s="317" t="str">
        <f>IF(A1923&lt;&gt;"",_xlfn.MAXIFS($B$1:B1922,$A$1:A1922,A1923)+1,"")</f>
        <v/>
      </c>
      <c r="C1923" s="296"/>
      <c r="D1923" s="296"/>
      <c r="E1923" s="296"/>
      <c r="F1923" s="296"/>
      <c r="G1923" s="326"/>
      <c r="H1923" s="324"/>
      <c r="I1923" s="325"/>
      <c r="J1923" s="325"/>
      <c r="K1923" s="318"/>
      <c r="L1923" s="318"/>
      <c r="M1923" s="319" t="str">
        <f>IFERROR(VLOOKUP(H1923,Lijsten!$H$1:$I$100,2,0),"")</f>
        <v/>
      </c>
      <c r="N1923" s="319" t="str">
        <f ca="1">IFERROR(IF(VLOOKUP(F1923,Kostentypen!$A$3:$E$21,3,0)=0,"",IF(OR(F1923="Arbeidskosten",F1923="Vergoeding"),VLOOKUP(G1923,Tb_KostenTypen[],2,0),VLOOKUP(F1923,Kostentypen!$A$3:$E$20,3,0))),"")</f>
        <v/>
      </c>
      <c r="O1923" s="320" t="str" cm="1">
        <f t="array" ref="O1923">_xlfn.IFNA(IF(INDEX(Tb_KostenOptiesDB[],MATCH($F1923,Tb_KostenOptiesDB[KostenOptie],0),IFERROR(MATCH(Methode_Keuze,Tb_KostenOptiesDB[#Headers],0),2))=1,_xlfn.SWITCH($N1923,"Uurtarief",IF(OR(AND(RIGHT($F1923,3)="IKS",VLOOKUP($M1923,DB_Loonkosten,2,0)="Ja"),AND(RIGHT($F1923,3)&lt;&gt;"IKS",VLOOKUP($M1923,DB_Loonkosten,2,0)="Nee")),IFERROR(VLOOKUP($M1923,DB_Loonkosten,24,0),""),0),"Vast tarief",IF(LEFT(F1923,8)="Bijdrage",VLOOKUP($F1923,Tb_KostenTypen[],MATCH(Lijsten!$P$1,Tb_KostenTypen[#Headers],0),0),VLOOKUP($G1923,Lijsten!L:P,MATCH(Lijsten!$P$1,Kop_Tarief_Vast,0),0))),""),"")</f>
        <v/>
      </c>
      <c r="P1923" s="320" t="str" cm="1">
        <f t="array" ref="P1923">_xlfn.IFNA(IF(INDEX(Tb_KostenOptiesDB[],MATCH($F1923,Tb_KostenOptiesDB[KostenOptie],0),IFERROR(MATCH(Methode_Keuze,Tb_KostenOptiesDB[#Headers],0),2))=1,_xlfn.SWITCH($N1923,"Uurtarief",IF(OR(AND(RIGHT($F1923,3)="IKS",VLOOKUP($M1923,DB_Loonkosten,2,0)="Ja"),AND(RIGHT($F1923,3)&lt;&gt;"IKS",VLOOKUP($M1923,DB_Loonkosten,2,0)="Nee")),IFERROR(VLOOKUP($M1923,DB_Loonkosten,25,0),""),0),"Vast tarief",IF(LEFT(F1923,8)="Bijdrage",VLOOKUP($F1923,Tb_KostenTypen[],MATCH(Lijsten!$P$1,Tb_KostenTypen[#Headers],0),0),VLOOKUP($G1923,Lijsten!L:P,MATCH(Lijsten!$P$1,Kop_Tarief_Vast,0),0))),""),"")</f>
        <v/>
      </c>
      <c r="Q1923" s="359"/>
      <c r="R1923" s="359"/>
      <c r="S1923" s="321"/>
      <c r="T1923" s="321"/>
      <c r="U1923" s="373" t="str">
        <f t="shared" ref="U1923:U1986" si="120">IFERROR(IF(AND(R1923&lt;&gt;"",R1923&lt;&gt;Q1923),-1*(R1923-Q1923),""),"")</f>
        <v/>
      </c>
      <c r="V1923" s="314" t="str">
        <f t="shared" ref="V1923:V1986" si="121">IFERROR(IF(AND(T1923&lt;&gt;"",T1923&lt;&gt;S1923),-1*(T1923-S1923),""),"")</f>
        <v/>
      </c>
      <c r="W1923" s="314" t="str" cm="1">
        <f t="array" aca="1" ref="W1923" ca="1">IFERROR(IF(AE1923&lt;&gt;"ja",_xlfn.IFNA(_xlfn.IFS(AND(O1923&lt;&gt;"",F1923&lt;&gt;"",RIGHT($N1923,6)="tarief",F1923="Vergoeding"),SUM(O1923)*FLOOR(SUM(Q1923),0.0001),AND(O1923&lt;&gt;"",F1923&lt;&gt;"",RIGHT($N1923,6)="tarief"),SUM(O1923)*FLOOR(SUM(Q1923),0.01),S1923&gt;0,IF(F1923&lt;&gt;"",FLOOR(SUM(S1923),0.01),"")),""),""),"")</f>
        <v/>
      </c>
      <c r="X1923" s="314" t="str" cm="1">
        <f t="array" aca="1" ref="X1923" ca="1">IFERROR(IF(AE1923&lt;&gt;"ja",_xlfn.IFNA(_xlfn.IFS(AND(P1923&lt;&gt;"",R1923&lt;&gt;"",RIGHT($N1923,6)="tarief",F1923="Vergoeding"),SUM(P1923)*FLOOR(SUM(R1923),0.0001),AND(P1923&lt;&gt;"",R1923&lt;&gt;"",RIGHT($N1923,6)="tarief"),P1923*FLOOR(R1923,0.01),T1923&gt;0,FLOOR(SUM(T1923),0.01)),""),""),"")</f>
        <v/>
      </c>
      <c r="Y1923" s="314" t="str">
        <f t="shared" ref="Y1923:Y1986" ca="1" si="122">IFERROR(IF(AND(X1923&lt;&gt;"",X1923&lt;&gt;W1923),-1*(X1923-W1923),""),"")</f>
        <v/>
      </c>
      <c r="Z1923" s="314" t="str" cm="1">
        <f t="array" aca="1" ref="Z1923" ca="1">IFERROR(_xlfn.IFS(OR(F1923="",LEFT(Methode_Keuze,4)="Geen",Methode_Keuze=""),"",AND(W1923&lt;&gt;"",F1923&lt;&gt;"Arbeidskosten"),W1923*VLOOKUP(F1923,Tb_ProjectKosten[],MATCH(Tb_ProjectKosten[[#Headers],[Forfait_Percentage]],Tb_ProjectKosten[#Headers],0),0),AND(F1923="Arbeidskosten",G1923&lt;&gt;""),IFERROR(W1923*VLOOKUP(G1923,Tb_KostenTypen[],3,0)*VLOOKUP(F1923,Tb_ProjectKosten[],MATCH(Tb_ProjectKosten[[#Headers],[Forfait_Percentage]],Tb_ProjectKosten[#Headers],0),0),""),W1923 &lt;=0,0),"")</f>
        <v/>
      </c>
      <c r="AA1923" s="314" t="str" cm="1">
        <f t="array" aca="1" ref="AA1923" ca="1">IFERROR(_xlfn.IFS(OR(F1923="",LEFT(Methode_Keuze,4)="Geen",Methode_Keuze=""),"",AND(X1923&lt;&gt;"",F1923&lt;&gt;"Arbeidskosten"),X1923*VLOOKUP(F1923,Tb_ProjectKosten[],MATCH(Tb_ProjectKosten[[#Headers],[Forfait_Percentage]],Tb_ProjectKosten[#Headers],0),0),AND(F1923="Arbeidskosten",G1923&lt;&gt;""),IFERROR(X1923*VLOOKUP(G1923,Tb_KostenTypen[],3,0)*VLOOKUP(F1923,Tb_ProjectKosten[],MATCH(Tb_ProjectKosten[[#Headers],[Forfait_Percentage]],Tb_ProjectKosten[#Headers],0),0),""),X1923 &lt;=0,0),"")</f>
        <v/>
      </c>
      <c r="AB1923" s="314" t="str">
        <f t="shared" ref="AB1923:AB1986" ca="1" si="123">IFERROR(IF(AND(AA1923&lt;&gt;"",AA1923&lt;&gt;Z1923),-1*(AA1923-Z1923),""),"")</f>
        <v/>
      </c>
      <c r="AC1923" s="322"/>
      <c r="AD1923" s="315"/>
      <c r="AE1923" s="32" t="str" cm="1">
        <f t="array" ref="AE1923">IFERROR(IF(INDEX(SubsidieTabel!$AD$1:$AG$12,MATCH($F1923,SubsidieTabel!$AD$1:$AD$12,0),IFERROR(MATCH(Methode_Keuze,SubsidieTabel!$AD$1:$AG$1,0),2))&lt;&gt;1=TRUE,"ja",""),"")</f>
        <v/>
      </c>
    </row>
    <row r="1924" spans="1:31" x14ac:dyDescent="0.25">
      <c r="A1924" s="316"/>
      <c r="B1924" s="317" t="str">
        <f>IF(A1924&lt;&gt;"",_xlfn.MAXIFS($B$1:B1923,$A$1:A1923,A1924)+1,"")</f>
        <v/>
      </c>
      <c r="C1924" s="296"/>
      <c r="D1924" s="296"/>
      <c r="E1924" s="296"/>
      <c r="F1924" s="296"/>
      <c r="G1924" s="326"/>
      <c r="H1924" s="324"/>
      <c r="I1924" s="325"/>
      <c r="J1924" s="325"/>
      <c r="K1924" s="318"/>
      <c r="L1924" s="318"/>
      <c r="M1924" s="319" t="str">
        <f>IFERROR(VLOOKUP(H1924,Lijsten!$H$1:$I$100,2,0),"")</f>
        <v/>
      </c>
      <c r="N1924" s="319" t="str">
        <f ca="1">IFERROR(IF(VLOOKUP(F1924,Kostentypen!$A$3:$E$21,3,0)=0,"",IF(OR(F1924="Arbeidskosten",F1924="Vergoeding"),VLOOKUP(G1924,Tb_KostenTypen[],2,0),VLOOKUP(F1924,Kostentypen!$A$3:$E$20,3,0))),"")</f>
        <v/>
      </c>
      <c r="O1924" s="320" t="str" cm="1">
        <f t="array" ref="O1924">_xlfn.IFNA(IF(INDEX(Tb_KostenOptiesDB[],MATCH($F1924,Tb_KostenOptiesDB[KostenOptie],0),IFERROR(MATCH(Methode_Keuze,Tb_KostenOptiesDB[#Headers],0),2))=1,_xlfn.SWITCH($N1924,"Uurtarief",IF(OR(AND(RIGHT($F1924,3)="IKS",VLOOKUP($M1924,DB_Loonkosten,2,0)="Ja"),AND(RIGHT($F1924,3)&lt;&gt;"IKS",VLOOKUP($M1924,DB_Loonkosten,2,0)="Nee")),IFERROR(VLOOKUP($M1924,DB_Loonkosten,24,0),""),0),"Vast tarief",IF(LEFT(F1924,8)="Bijdrage",VLOOKUP($F1924,Tb_KostenTypen[],MATCH(Lijsten!$P$1,Tb_KostenTypen[#Headers],0),0),VLOOKUP($G1924,Lijsten!L:P,MATCH(Lijsten!$P$1,Kop_Tarief_Vast,0),0))),""),"")</f>
        <v/>
      </c>
      <c r="P1924" s="320" t="str" cm="1">
        <f t="array" ref="P1924">_xlfn.IFNA(IF(INDEX(Tb_KostenOptiesDB[],MATCH($F1924,Tb_KostenOptiesDB[KostenOptie],0),IFERROR(MATCH(Methode_Keuze,Tb_KostenOptiesDB[#Headers],0),2))=1,_xlfn.SWITCH($N1924,"Uurtarief",IF(OR(AND(RIGHT($F1924,3)="IKS",VLOOKUP($M1924,DB_Loonkosten,2,0)="Ja"),AND(RIGHT($F1924,3)&lt;&gt;"IKS",VLOOKUP($M1924,DB_Loonkosten,2,0)="Nee")),IFERROR(VLOOKUP($M1924,DB_Loonkosten,25,0),""),0),"Vast tarief",IF(LEFT(F1924,8)="Bijdrage",VLOOKUP($F1924,Tb_KostenTypen[],MATCH(Lijsten!$P$1,Tb_KostenTypen[#Headers],0),0),VLOOKUP($G1924,Lijsten!L:P,MATCH(Lijsten!$P$1,Kop_Tarief_Vast,0),0))),""),"")</f>
        <v/>
      </c>
      <c r="Q1924" s="359"/>
      <c r="R1924" s="359"/>
      <c r="S1924" s="321"/>
      <c r="T1924" s="321"/>
      <c r="U1924" s="373" t="str">
        <f t="shared" si="120"/>
        <v/>
      </c>
      <c r="V1924" s="314" t="str">
        <f t="shared" si="121"/>
        <v/>
      </c>
      <c r="W1924" s="314" t="str" cm="1">
        <f t="array" aca="1" ref="W1924" ca="1">IFERROR(IF(AE1924&lt;&gt;"ja",_xlfn.IFNA(_xlfn.IFS(AND(O1924&lt;&gt;"",F1924&lt;&gt;"",RIGHT($N1924,6)="tarief",F1924="Vergoeding"),SUM(O1924)*FLOOR(SUM(Q1924),0.0001),AND(O1924&lt;&gt;"",F1924&lt;&gt;"",RIGHT($N1924,6)="tarief"),SUM(O1924)*FLOOR(SUM(Q1924),0.01),S1924&gt;0,IF(F1924&lt;&gt;"",FLOOR(SUM(S1924),0.01),"")),""),""),"")</f>
        <v/>
      </c>
      <c r="X1924" s="314" t="str" cm="1">
        <f t="array" aca="1" ref="X1924" ca="1">IFERROR(IF(AE1924&lt;&gt;"ja",_xlfn.IFNA(_xlfn.IFS(AND(P1924&lt;&gt;"",R1924&lt;&gt;"",RIGHT($N1924,6)="tarief",F1924="Vergoeding"),SUM(P1924)*FLOOR(SUM(R1924),0.0001),AND(P1924&lt;&gt;"",R1924&lt;&gt;"",RIGHT($N1924,6)="tarief"),P1924*FLOOR(R1924,0.01),T1924&gt;0,FLOOR(SUM(T1924),0.01)),""),""),"")</f>
        <v/>
      </c>
      <c r="Y1924" s="314" t="str">
        <f t="shared" ca="1" si="122"/>
        <v/>
      </c>
      <c r="Z1924" s="314" t="str" cm="1">
        <f t="array" aca="1" ref="Z1924" ca="1">IFERROR(_xlfn.IFS(OR(F1924="",LEFT(Methode_Keuze,4)="Geen",Methode_Keuze=""),"",AND(W1924&lt;&gt;"",F1924&lt;&gt;"Arbeidskosten"),W1924*VLOOKUP(F1924,Tb_ProjectKosten[],MATCH(Tb_ProjectKosten[[#Headers],[Forfait_Percentage]],Tb_ProjectKosten[#Headers],0),0),AND(F1924="Arbeidskosten",G1924&lt;&gt;""),IFERROR(W1924*VLOOKUP(G1924,Tb_KostenTypen[],3,0)*VLOOKUP(F1924,Tb_ProjectKosten[],MATCH(Tb_ProjectKosten[[#Headers],[Forfait_Percentage]],Tb_ProjectKosten[#Headers],0),0),""),W1924 &lt;=0,0),"")</f>
        <v/>
      </c>
      <c r="AA1924" s="314" t="str" cm="1">
        <f t="array" aca="1" ref="AA1924" ca="1">IFERROR(_xlfn.IFS(OR(F1924="",LEFT(Methode_Keuze,4)="Geen",Methode_Keuze=""),"",AND(X1924&lt;&gt;"",F1924&lt;&gt;"Arbeidskosten"),X1924*VLOOKUP(F1924,Tb_ProjectKosten[],MATCH(Tb_ProjectKosten[[#Headers],[Forfait_Percentage]],Tb_ProjectKosten[#Headers],0),0),AND(F1924="Arbeidskosten",G1924&lt;&gt;""),IFERROR(X1924*VLOOKUP(G1924,Tb_KostenTypen[],3,0)*VLOOKUP(F1924,Tb_ProjectKosten[],MATCH(Tb_ProjectKosten[[#Headers],[Forfait_Percentage]],Tb_ProjectKosten[#Headers],0),0),""),X1924 &lt;=0,0),"")</f>
        <v/>
      </c>
      <c r="AB1924" s="314" t="str">
        <f t="shared" ca="1" si="123"/>
        <v/>
      </c>
      <c r="AC1924" s="322"/>
      <c r="AD1924" s="315"/>
      <c r="AE1924" s="32" t="str" cm="1">
        <f t="array" ref="AE1924">IFERROR(IF(INDEX(SubsidieTabel!$AD$1:$AG$12,MATCH($F1924,SubsidieTabel!$AD$1:$AD$12,0),IFERROR(MATCH(Methode_Keuze,SubsidieTabel!$AD$1:$AG$1,0),2))&lt;&gt;1=TRUE,"ja",""),"")</f>
        <v/>
      </c>
    </row>
    <row r="1925" spans="1:31" x14ac:dyDescent="0.25">
      <c r="A1925" s="316"/>
      <c r="B1925" s="317" t="str">
        <f>IF(A1925&lt;&gt;"",_xlfn.MAXIFS($B$1:B1924,$A$1:A1924,A1925)+1,"")</f>
        <v/>
      </c>
      <c r="C1925" s="296"/>
      <c r="D1925" s="296"/>
      <c r="E1925" s="296"/>
      <c r="F1925" s="296"/>
      <c r="G1925" s="326"/>
      <c r="H1925" s="324"/>
      <c r="I1925" s="325"/>
      <c r="J1925" s="325"/>
      <c r="K1925" s="318"/>
      <c r="L1925" s="318"/>
      <c r="M1925" s="319" t="str">
        <f>IFERROR(VLOOKUP(H1925,Lijsten!$H$1:$I$100,2,0),"")</f>
        <v/>
      </c>
      <c r="N1925" s="319" t="str">
        <f ca="1">IFERROR(IF(VLOOKUP(F1925,Kostentypen!$A$3:$E$21,3,0)=0,"",IF(OR(F1925="Arbeidskosten",F1925="Vergoeding"),VLOOKUP(G1925,Tb_KostenTypen[],2,0),VLOOKUP(F1925,Kostentypen!$A$3:$E$20,3,0))),"")</f>
        <v/>
      </c>
      <c r="O1925" s="320" t="str" cm="1">
        <f t="array" ref="O1925">_xlfn.IFNA(IF(INDEX(Tb_KostenOptiesDB[],MATCH($F1925,Tb_KostenOptiesDB[KostenOptie],0),IFERROR(MATCH(Methode_Keuze,Tb_KostenOptiesDB[#Headers],0),2))=1,_xlfn.SWITCH($N1925,"Uurtarief",IF(OR(AND(RIGHT($F1925,3)="IKS",VLOOKUP($M1925,DB_Loonkosten,2,0)="Ja"),AND(RIGHT($F1925,3)&lt;&gt;"IKS",VLOOKUP($M1925,DB_Loonkosten,2,0)="Nee")),IFERROR(VLOOKUP($M1925,DB_Loonkosten,24,0),""),0),"Vast tarief",IF(LEFT(F1925,8)="Bijdrage",VLOOKUP($F1925,Tb_KostenTypen[],MATCH(Lijsten!$P$1,Tb_KostenTypen[#Headers],0),0),VLOOKUP($G1925,Lijsten!L:P,MATCH(Lijsten!$P$1,Kop_Tarief_Vast,0),0))),""),"")</f>
        <v/>
      </c>
      <c r="P1925" s="320" t="str" cm="1">
        <f t="array" ref="P1925">_xlfn.IFNA(IF(INDEX(Tb_KostenOptiesDB[],MATCH($F1925,Tb_KostenOptiesDB[KostenOptie],0),IFERROR(MATCH(Methode_Keuze,Tb_KostenOptiesDB[#Headers],0),2))=1,_xlfn.SWITCH($N1925,"Uurtarief",IF(OR(AND(RIGHT($F1925,3)="IKS",VLOOKUP($M1925,DB_Loonkosten,2,0)="Ja"),AND(RIGHT($F1925,3)&lt;&gt;"IKS",VLOOKUP($M1925,DB_Loonkosten,2,0)="Nee")),IFERROR(VLOOKUP($M1925,DB_Loonkosten,25,0),""),0),"Vast tarief",IF(LEFT(F1925,8)="Bijdrage",VLOOKUP($F1925,Tb_KostenTypen[],MATCH(Lijsten!$P$1,Tb_KostenTypen[#Headers],0),0),VLOOKUP($G1925,Lijsten!L:P,MATCH(Lijsten!$P$1,Kop_Tarief_Vast,0),0))),""),"")</f>
        <v/>
      </c>
      <c r="Q1925" s="359"/>
      <c r="R1925" s="359"/>
      <c r="S1925" s="321"/>
      <c r="T1925" s="321"/>
      <c r="U1925" s="373" t="str">
        <f t="shared" si="120"/>
        <v/>
      </c>
      <c r="V1925" s="314" t="str">
        <f t="shared" si="121"/>
        <v/>
      </c>
      <c r="W1925" s="314" t="str" cm="1">
        <f t="array" aca="1" ref="W1925" ca="1">IFERROR(IF(AE1925&lt;&gt;"ja",_xlfn.IFNA(_xlfn.IFS(AND(O1925&lt;&gt;"",F1925&lt;&gt;"",RIGHT($N1925,6)="tarief",F1925="Vergoeding"),SUM(O1925)*FLOOR(SUM(Q1925),0.0001),AND(O1925&lt;&gt;"",F1925&lt;&gt;"",RIGHT($N1925,6)="tarief"),SUM(O1925)*FLOOR(SUM(Q1925),0.01),S1925&gt;0,IF(F1925&lt;&gt;"",FLOOR(SUM(S1925),0.01),"")),""),""),"")</f>
        <v/>
      </c>
      <c r="X1925" s="314" t="str" cm="1">
        <f t="array" aca="1" ref="X1925" ca="1">IFERROR(IF(AE1925&lt;&gt;"ja",_xlfn.IFNA(_xlfn.IFS(AND(P1925&lt;&gt;"",R1925&lt;&gt;"",RIGHT($N1925,6)="tarief",F1925="Vergoeding"),SUM(P1925)*FLOOR(SUM(R1925),0.0001),AND(P1925&lt;&gt;"",R1925&lt;&gt;"",RIGHT($N1925,6)="tarief"),P1925*FLOOR(R1925,0.01),T1925&gt;0,FLOOR(SUM(T1925),0.01)),""),""),"")</f>
        <v/>
      </c>
      <c r="Y1925" s="314" t="str">
        <f t="shared" ca="1" si="122"/>
        <v/>
      </c>
      <c r="Z1925" s="314" t="str" cm="1">
        <f t="array" aca="1" ref="Z1925" ca="1">IFERROR(_xlfn.IFS(OR(F1925="",LEFT(Methode_Keuze,4)="Geen",Methode_Keuze=""),"",AND(W1925&lt;&gt;"",F1925&lt;&gt;"Arbeidskosten"),W1925*VLOOKUP(F1925,Tb_ProjectKosten[],MATCH(Tb_ProjectKosten[[#Headers],[Forfait_Percentage]],Tb_ProjectKosten[#Headers],0),0),AND(F1925="Arbeidskosten",G1925&lt;&gt;""),IFERROR(W1925*VLOOKUP(G1925,Tb_KostenTypen[],3,0)*VLOOKUP(F1925,Tb_ProjectKosten[],MATCH(Tb_ProjectKosten[[#Headers],[Forfait_Percentage]],Tb_ProjectKosten[#Headers],0),0),""),W1925 &lt;=0,0),"")</f>
        <v/>
      </c>
      <c r="AA1925" s="314" t="str" cm="1">
        <f t="array" aca="1" ref="AA1925" ca="1">IFERROR(_xlfn.IFS(OR(F1925="",LEFT(Methode_Keuze,4)="Geen",Methode_Keuze=""),"",AND(X1925&lt;&gt;"",F1925&lt;&gt;"Arbeidskosten"),X1925*VLOOKUP(F1925,Tb_ProjectKosten[],MATCH(Tb_ProjectKosten[[#Headers],[Forfait_Percentage]],Tb_ProjectKosten[#Headers],0),0),AND(F1925="Arbeidskosten",G1925&lt;&gt;""),IFERROR(X1925*VLOOKUP(G1925,Tb_KostenTypen[],3,0)*VLOOKUP(F1925,Tb_ProjectKosten[],MATCH(Tb_ProjectKosten[[#Headers],[Forfait_Percentage]],Tb_ProjectKosten[#Headers],0),0),""),X1925 &lt;=0,0),"")</f>
        <v/>
      </c>
      <c r="AB1925" s="314" t="str">
        <f t="shared" ca="1" si="123"/>
        <v/>
      </c>
      <c r="AC1925" s="322"/>
      <c r="AD1925" s="315"/>
      <c r="AE1925" s="32" t="str" cm="1">
        <f t="array" ref="AE1925">IFERROR(IF(INDEX(SubsidieTabel!$AD$1:$AG$12,MATCH($F1925,SubsidieTabel!$AD$1:$AD$12,0),IFERROR(MATCH(Methode_Keuze,SubsidieTabel!$AD$1:$AG$1,0),2))&lt;&gt;1=TRUE,"ja",""),"")</f>
        <v/>
      </c>
    </row>
    <row r="1926" spans="1:31" x14ac:dyDescent="0.25">
      <c r="A1926" s="316"/>
      <c r="B1926" s="317" t="str">
        <f>IF(A1926&lt;&gt;"",_xlfn.MAXIFS($B$1:B1925,$A$1:A1925,A1926)+1,"")</f>
        <v/>
      </c>
      <c r="C1926" s="296"/>
      <c r="D1926" s="296"/>
      <c r="E1926" s="296"/>
      <c r="F1926" s="296"/>
      <c r="G1926" s="326"/>
      <c r="H1926" s="324"/>
      <c r="I1926" s="325"/>
      <c r="J1926" s="325"/>
      <c r="K1926" s="318"/>
      <c r="L1926" s="318"/>
      <c r="M1926" s="319" t="str">
        <f>IFERROR(VLOOKUP(H1926,Lijsten!$H$1:$I$100,2,0),"")</f>
        <v/>
      </c>
      <c r="N1926" s="319" t="str">
        <f ca="1">IFERROR(IF(VLOOKUP(F1926,Kostentypen!$A$3:$E$21,3,0)=0,"",IF(OR(F1926="Arbeidskosten",F1926="Vergoeding"),VLOOKUP(G1926,Tb_KostenTypen[],2,0),VLOOKUP(F1926,Kostentypen!$A$3:$E$20,3,0))),"")</f>
        <v/>
      </c>
      <c r="O1926" s="320" t="str" cm="1">
        <f t="array" ref="O1926">_xlfn.IFNA(IF(INDEX(Tb_KostenOptiesDB[],MATCH($F1926,Tb_KostenOptiesDB[KostenOptie],0),IFERROR(MATCH(Methode_Keuze,Tb_KostenOptiesDB[#Headers],0),2))=1,_xlfn.SWITCH($N1926,"Uurtarief",IF(OR(AND(RIGHT($F1926,3)="IKS",VLOOKUP($M1926,DB_Loonkosten,2,0)="Ja"),AND(RIGHT($F1926,3)&lt;&gt;"IKS",VLOOKUP($M1926,DB_Loonkosten,2,0)="Nee")),IFERROR(VLOOKUP($M1926,DB_Loonkosten,24,0),""),0),"Vast tarief",IF(LEFT(F1926,8)="Bijdrage",VLOOKUP($F1926,Tb_KostenTypen[],MATCH(Lijsten!$P$1,Tb_KostenTypen[#Headers],0),0),VLOOKUP($G1926,Lijsten!L:P,MATCH(Lijsten!$P$1,Kop_Tarief_Vast,0),0))),""),"")</f>
        <v/>
      </c>
      <c r="P1926" s="320" t="str" cm="1">
        <f t="array" ref="P1926">_xlfn.IFNA(IF(INDEX(Tb_KostenOptiesDB[],MATCH($F1926,Tb_KostenOptiesDB[KostenOptie],0),IFERROR(MATCH(Methode_Keuze,Tb_KostenOptiesDB[#Headers],0),2))=1,_xlfn.SWITCH($N1926,"Uurtarief",IF(OR(AND(RIGHT($F1926,3)="IKS",VLOOKUP($M1926,DB_Loonkosten,2,0)="Ja"),AND(RIGHT($F1926,3)&lt;&gt;"IKS",VLOOKUP($M1926,DB_Loonkosten,2,0)="Nee")),IFERROR(VLOOKUP($M1926,DB_Loonkosten,25,0),""),0),"Vast tarief",IF(LEFT(F1926,8)="Bijdrage",VLOOKUP($F1926,Tb_KostenTypen[],MATCH(Lijsten!$P$1,Tb_KostenTypen[#Headers],0),0),VLOOKUP($G1926,Lijsten!L:P,MATCH(Lijsten!$P$1,Kop_Tarief_Vast,0),0))),""),"")</f>
        <v/>
      </c>
      <c r="Q1926" s="359"/>
      <c r="R1926" s="359"/>
      <c r="S1926" s="321"/>
      <c r="T1926" s="321"/>
      <c r="U1926" s="373" t="str">
        <f t="shared" si="120"/>
        <v/>
      </c>
      <c r="V1926" s="314" t="str">
        <f t="shared" si="121"/>
        <v/>
      </c>
      <c r="W1926" s="314" t="str" cm="1">
        <f t="array" aca="1" ref="W1926" ca="1">IFERROR(IF(AE1926&lt;&gt;"ja",_xlfn.IFNA(_xlfn.IFS(AND(O1926&lt;&gt;"",F1926&lt;&gt;"",RIGHT($N1926,6)="tarief",F1926="Vergoeding"),SUM(O1926)*FLOOR(SUM(Q1926),0.0001),AND(O1926&lt;&gt;"",F1926&lt;&gt;"",RIGHT($N1926,6)="tarief"),SUM(O1926)*FLOOR(SUM(Q1926),0.01),S1926&gt;0,IF(F1926&lt;&gt;"",FLOOR(SUM(S1926),0.01),"")),""),""),"")</f>
        <v/>
      </c>
      <c r="X1926" s="314" t="str" cm="1">
        <f t="array" aca="1" ref="X1926" ca="1">IFERROR(IF(AE1926&lt;&gt;"ja",_xlfn.IFNA(_xlfn.IFS(AND(P1926&lt;&gt;"",R1926&lt;&gt;"",RIGHT($N1926,6)="tarief",F1926="Vergoeding"),SUM(P1926)*FLOOR(SUM(R1926),0.0001),AND(P1926&lt;&gt;"",R1926&lt;&gt;"",RIGHT($N1926,6)="tarief"),P1926*FLOOR(R1926,0.01),T1926&gt;0,FLOOR(SUM(T1926),0.01)),""),""),"")</f>
        <v/>
      </c>
      <c r="Y1926" s="314" t="str">
        <f t="shared" ca="1" si="122"/>
        <v/>
      </c>
      <c r="Z1926" s="314" t="str" cm="1">
        <f t="array" aca="1" ref="Z1926" ca="1">IFERROR(_xlfn.IFS(OR(F1926="",LEFT(Methode_Keuze,4)="Geen",Methode_Keuze=""),"",AND(W1926&lt;&gt;"",F1926&lt;&gt;"Arbeidskosten"),W1926*VLOOKUP(F1926,Tb_ProjectKosten[],MATCH(Tb_ProjectKosten[[#Headers],[Forfait_Percentage]],Tb_ProjectKosten[#Headers],0),0),AND(F1926="Arbeidskosten",G1926&lt;&gt;""),IFERROR(W1926*VLOOKUP(G1926,Tb_KostenTypen[],3,0)*VLOOKUP(F1926,Tb_ProjectKosten[],MATCH(Tb_ProjectKosten[[#Headers],[Forfait_Percentage]],Tb_ProjectKosten[#Headers],0),0),""),W1926 &lt;=0,0),"")</f>
        <v/>
      </c>
      <c r="AA1926" s="314" t="str" cm="1">
        <f t="array" aca="1" ref="AA1926" ca="1">IFERROR(_xlfn.IFS(OR(F1926="",LEFT(Methode_Keuze,4)="Geen",Methode_Keuze=""),"",AND(X1926&lt;&gt;"",F1926&lt;&gt;"Arbeidskosten"),X1926*VLOOKUP(F1926,Tb_ProjectKosten[],MATCH(Tb_ProjectKosten[[#Headers],[Forfait_Percentage]],Tb_ProjectKosten[#Headers],0),0),AND(F1926="Arbeidskosten",G1926&lt;&gt;""),IFERROR(X1926*VLOOKUP(G1926,Tb_KostenTypen[],3,0)*VLOOKUP(F1926,Tb_ProjectKosten[],MATCH(Tb_ProjectKosten[[#Headers],[Forfait_Percentage]],Tb_ProjectKosten[#Headers],0),0),""),X1926 &lt;=0,0),"")</f>
        <v/>
      </c>
      <c r="AB1926" s="314" t="str">
        <f t="shared" ca="1" si="123"/>
        <v/>
      </c>
      <c r="AC1926" s="322"/>
      <c r="AD1926" s="315"/>
      <c r="AE1926" s="32" t="str" cm="1">
        <f t="array" ref="AE1926">IFERROR(IF(INDEX(SubsidieTabel!$AD$1:$AG$12,MATCH($F1926,SubsidieTabel!$AD$1:$AD$12,0),IFERROR(MATCH(Methode_Keuze,SubsidieTabel!$AD$1:$AG$1,0),2))&lt;&gt;1=TRUE,"ja",""),"")</f>
        <v/>
      </c>
    </row>
    <row r="1927" spans="1:31" x14ac:dyDescent="0.25">
      <c r="A1927" s="316"/>
      <c r="B1927" s="317" t="str">
        <f>IF(A1927&lt;&gt;"",_xlfn.MAXIFS($B$1:B1926,$A$1:A1926,A1927)+1,"")</f>
        <v/>
      </c>
      <c r="C1927" s="296"/>
      <c r="D1927" s="296"/>
      <c r="E1927" s="296"/>
      <c r="F1927" s="296"/>
      <c r="G1927" s="326"/>
      <c r="H1927" s="324"/>
      <c r="I1927" s="325"/>
      <c r="J1927" s="325"/>
      <c r="K1927" s="318"/>
      <c r="L1927" s="318"/>
      <c r="M1927" s="319" t="str">
        <f>IFERROR(VLOOKUP(H1927,Lijsten!$H$1:$I$100,2,0),"")</f>
        <v/>
      </c>
      <c r="N1927" s="319" t="str">
        <f ca="1">IFERROR(IF(VLOOKUP(F1927,Kostentypen!$A$3:$E$21,3,0)=0,"",IF(OR(F1927="Arbeidskosten",F1927="Vergoeding"),VLOOKUP(G1927,Tb_KostenTypen[],2,0),VLOOKUP(F1927,Kostentypen!$A$3:$E$20,3,0))),"")</f>
        <v/>
      </c>
      <c r="O1927" s="320" t="str" cm="1">
        <f t="array" ref="O1927">_xlfn.IFNA(IF(INDEX(Tb_KostenOptiesDB[],MATCH($F1927,Tb_KostenOptiesDB[KostenOptie],0),IFERROR(MATCH(Methode_Keuze,Tb_KostenOptiesDB[#Headers],0),2))=1,_xlfn.SWITCH($N1927,"Uurtarief",IF(OR(AND(RIGHT($F1927,3)="IKS",VLOOKUP($M1927,DB_Loonkosten,2,0)="Ja"),AND(RIGHT($F1927,3)&lt;&gt;"IKS",VLOOKUP($M1927,DB_Loonkosten,2,0)="Nee")),IFERROR(VLOOKUP($M1927,DB_Loonkosten,24,0),""),0),"Vast tarief",IF(LEFT(F1927,8)="Bijdrage",VLOOKUP($F1927,Tb_KostenTypen[],MATCH(Lijsten!$P$1,Tb_KostenTypen[#Headers],0),0),VLOOKUP($G1927,Lijsten!L:P,MATCH(Lijsten!$P$1,Kop_Tarief_Vast,0),0))),""),"")</f>
        <v/>
      </c>
      <c r="P1927" s="320" t="str" cm="1">
        <f t="array" ref="P1927">_xlfn.IFNA(IF(INDEX(Tb_KostenOptiesDB[],MATCH($F1927,Tb_KostenOptiesDB[KostenOptie],0),IFERROR(MATCH(Methode_Keuze,Tb_KostenOptiesDB[#Headers],0),2))=1,_xlfn.SWITCH($N1927,"Uurtarief",IF(OR(AND(RIGHT($F1927,3)="IKS",VLOOKUP($M1927,DB_Loonkosten,2,0)="Ja"),AND(RIGHT($F1927,3)&lt;&gt;"IKS",VLOOKUP($M1927,DB_Loonkosten,2,0)="Nee")),IFERROR(VLOOKUP($M1927,DB_Loonkosten,25,0),""),0),"Vast tarief",IF(LEFT(F1927,8)="Bijdrage",VLOOKUP($F1927,Tb_KostenTypen[],MATCH(Lijsten!$P$1,Tb_KostenTypen[#Headers],0),0),VLOOKUP($G1927,Lijsten!L:P,MATCH(Lijsten!$P$1,Kop_Tarief_Vast,0),0))),""),"")</f>
        <v/>
      </c>
      <c r="Q1927" s="359"/>
      <c r="R1927" s="359"/>
      <c r="S1927" s="321"/>
      <c r="T1927" s="321"/>
      <c r="U1927" s="373" t="str">
        <f t="shared" si="120"/>
        <v/>
      </c>
      <c r="V1927" s="314" t="str">
        <f t="shared" si="121"/>
        <v/>
      </c>
      <c r="W1927" s="314" t="str" cm="1">
        <f t="array" aca="1" ref="W1927" ca="1">IFERROR(IF(AE1927&lt;&gt;"ja",_xlfn.IFNA(_xlfn.IFS(AND(O1927&lt;&gt;"",F1927&lt;&gt;"",RIGHT($N1927,6)="tarief",F1927="Vergoeding"),SUM(O1927)*FLOOR(SUM(Q1927),0.0001),AND(O1927&lt;&gt;"",F1927&lt;&gt;"",RIGHT($N1927,6)="tarief"),SUM(O1927)*FLOOR(SUM(Q1927),0.01),S1927&gt;0,IF(F1927&lt;&gt;"",FLOOR(SUM(S1927),0.01),"")),""),""),"")</f>
        <v/>
      </c>
      <c r="X1927" s="314" t="str" cm="1">
        <f t="array" aca="1" ref="X1927" ca="1">IFERROR(IF(AE1927&lt;&gt;"ja",_xlfn.IFNA(_xlfn.IFS(AND(P1927&lt;&gt;"",R1927&lt;&gt;"",RIGHT($N1927,6)="tarief",F1927="Vergoeding"),SUM(P1927)*FLOOR(SUM(R1927),0.0001),AND(P1927&lt;&gt;"",R1927&lt;&gt;"",RIGHT($N1927,6)="tarief"),P1927*FLOOR(R1927,0.01),T1927&gt;0,FLOOR(SUM(T1927),0.01)),""),""),"")</f>
        <v/>
      </c>
      <c r="Y1927" s="314" t="str">
        <f t="shared" ca="1" si="122"/>
        <v/>
      </c>
      <c r="Z1927" s="314" t="str" cm="1">
        <f t="array" aca="1" ref="Z1927" ca="1">IFERROR(_xlfn.IFS(OR(F1927="",LEFT(Methode_Keuze,4)="Geen",Methode_Keuze=""),"",AND(W1927&lt;&gt;"",F1927&lt;&gt;"Arbeidskosten"),W1927*VLOOKUP(F1927,Tb_ProjectKosten[],MATCH(Tb_ProjectKosten[[#Headers],[Forfait_Percentage]],Tb_ProjectKosten[#Headers],0),0),AND(F1927="Arbeidskosten",G1927&lt;&gt;""),IFERROR(W1927*VLOOKUP(G1927,Tb_KostenTypen[],3,0)*VLOOKUP(F1927,Tb_ProjectKosten[],MATCH(Tb_ProjectKosten[[#Headers],[Forfait_Percentage]],Tb_ProjectKosten[#Headers],0),0),""),W1927 &lt;=0,0),"")</f>
        <v/>
      </c>
      <c r="AA1927" s="314" t="str" cm="1">
        <f t="array" aca="1" ref="AA1927" ca="1">IFERROR(_xlfn.IFS(OR(F1927="",LEFT(Methode_Keuze,4)="Geen",Methode_Keuze=""),"",AND(X1927&lt;&gt;"",F1927&lt;&gt;"Arbeidskosten"),X1927*VLOOKUP(F1927,Tb_ProjectKosten[],MATCH(Tb_ProjectKosten[[#Headers],[Forfait_Percentage]],Tb_ProjectKosten[#Headers],0),0),AND(F1927="Arbeidskosten",G1927&lt;&gt;""),IFERROR(X1927*VLOOKUP(G1927,Tb_KostenTypen[],3,0)*VLOOKUP(F1927,Tb_ProjectKosten[],MATCH(Tb_ProjectKosten[[#Headers],[Forfait_Percentage]],Tb_ProjectKosten[#Headers],0),0),""),X1927 &lt;=0,0),"")</f>
        <v/>
      </c>
      <c r="AB1927" s="314" t="str">
        <f t="shared" ca="1" si="123"/>
        <v/>
      </c>
      <c r="AC1927" s="322"/>
      <c r="AD1927" s="315"/>
      <c r="AE1927" s="32" t="str" cm="1">
        <f t="array" ref="AE1927">IFERROR(IF(INDEX(SubsidieTabel!$AD$1:$AG$12,MATCH($F1927,SubsidieTabel!$AD$1:$AD$12,0),IFERROR(MATCH(Methode_Keuze,SubsidieTabel!$AD$1:$AG$1,0),2))&lt;&gt;1=TRUE,"ja",""),"")</f>
        <v/>
      </c>
    </row>
    <row r="1928" spans="1:31" x14ac:dyDescent="0.25">
      <c r="A1928" s="316"/>
      <c r="B1928" s="317" t="str">
        <f>IF(A1928&lt;&gt;"",_xlfn.MAXIFS($B$1:B1927,$A$1:A1927,A1928)+1,"")</f>
        <v/>
      </c>
      <c r="C1928" s="296"/>
      <c r="D1928" s="296"/>
      <c r="E1928" s="296"/>
      <c r="F1928" s="296"/>
      <c r="G1928" s="326"/>
      <c r="H1928" s="324"/>
      <c r="I1928" s="325"/>
      <c r="J1928" s="325"/>
      <c r="K1928" s="318"/>
      <c r="L1928" s="318"/>
      <c r="M1928" s="319" t="str">
        <f>IFERROR(VLOOKUP(H1928,Lijsten!$H$1:$I$100,2,0),"")</f>
        <v/>
      </c>
      <c r="N1928" s="319" t="str">
        <f ca="1">IFERROR(IF(VLOOKUP(F1928,Kostentypen!$A$3:$E$21,3,0)=0,"",IF(OR(F1928="Arbeidskosten",F1928="Vergoeding"),VLOOKUP(G1928,Tb_KostenTypen[],2,0),VLOOKUP(F1928,Kostentypen!$A$3:$E$20,3,0))),"")</f>
        <v/>
      </c>
      <c r="O1928" s="320" t="str" cm="1">
        <f t="array" ref="O1928">_xlfn.IFNA(IF(INDEX(Tb_KostenOptiesDB[],MATCH($F1928,Tb_KostenOptiesDB[KostenOptie],0),IFERROR(MATCH(Methode_Keuze,Tb_KostenOptiesDB[#Headers],0),2))=1,_xlfn.SWITCH($N1928,"Uurtarief",IF(OR(AND(RIGHT($F1928,3)="IKS",VLOOKUP($M1928,DB_Loonkosten,2,0)="Ja"),AND(RIGHT($F1928,3)&lt;&gt;"IKS",VLOOKUP($M1928,DB_Loonkosten,2,0)="Nee")),IFERROR(VLOOKUP($M1928,DB_Loonkosten,24,0),""),0),"Vast tarief",IF(LEFT(F1928,8)="Bijdrage",VLOOKUP($F1928,Tb_KostenTypen[],MATCH(Lijsten!$P$1,Tb_KostenTypen[#Headers],0),0),VLOOKUP($G1928,Lijsten!L:P,MATCH(Lijsten!$P$1,Kop_Tarief_Vast,0),0))),""),"")</f>
        <v/>
      </c>
      <c r="P1928" s="320" t="str" cm="1">
        <f t="array" ref="P1928">_xlfn.IFNA(IF(INDEX(Tb_KostenOptiesDB[],MATCH($F1928,Tb_KostenOptiesDB[KostenOptie],0),IFERROR(MATCH(Methode_Keuze,Tb_KostenOptiesDB[#Headers],0),2))=1,_xlfn.SWITCH($N1928,"Uurtarief",IF(OR(AND(RIGHT($F1928,3)="IKS",VLOOKUP($M1928,DB_Loonkosten,2,0)="Ja"),AND(RIGHT($F1928,3)&lt;&gt;"IKS",VLOOKUP($M1928,DB_Loonkosten,2,0)="Nee")),IFERROR(VLOOKUP($M1928,DB_Loonkosten,25,0),""),0),"Vast tarief",IF(LEFT(F1928,8)="Bijdrage",VLOOKUP($F1928,Tb_KostenTypen[],MATCH(Lijsten!$P$1,Tb_KostenTypen[#Headers],0),0),VLOOKUP($G1928,Lijsten!L:P,MATCH(Lijsten!$P$1,Kop_Tarief_Vast,0),0))),""),"")</f>
        <v/>
      </c>
      <c r="Q1928" s="359"/>
      <c r="R1928" s="359"/>
      <c r="S1928" s="321"/>
      <c r="T1928" s="321"/>
      <c r="U1928" s="373" t="str">
        <f t="shared" si="120"/>
        <v/>
      </c>
      <c r="V1928" s="314" t="str">
        <f t="shared" si="121"/>
        <v/>
      </c>
      <c r="W1928" s="314" t="str" cm="1">
        <f t="array" aca="1" ref="W1928" ca="1">IFERROR(IF(AE1928&lt;&gt;"ja",_xlfn.IFNA(_xlfn.IFS(AND(O1928&lt;&gt;"",F1928&lt;&gt;"",RIGHT($N1928,6)="tarief",F1928="Vergoeding"),SUM(O1928)*FLOOR(SUM(Q1928),0.0001),AND(O1928&lt;&gt;"",F1928&lt;&gt;"",RIGHT($N1928,6)="tarief"),SUM(O1928)*FLOOR(SUM(Q1928),0.01),S1928&gt;0,IF(F1928&lt;&gt;"",FLOOR(SUM(S1928),0.01),"")),""),""),"")</f>
        <v/>
      </c>
      <c r="X1928" s="314" t="str" cm="1">
        <f t="array" aca="1" ref="X1928" ca="1">IFERROR(IF(AE1928&lt;&gt;"ja",_xlfn.IFNA(_xlfn.IFS(AND(P1928&lt;&gt;"",R1928&lt;&gt;"",RIGHT($N1928,6)="tarief",F1928="Vergoeding"),SUM(P1928)*FLOOR(SUM(R1928),0.0001),AND(P1928&lt;&gt;"",R1928&lt;&gt;"",RIGHT($N1928,6)="tarief"),P1928*FLOOR(R1928,0.01),T1928&gt;0,FLOOR(SUM(T1928),0.01)),""),""),"")</f>
        <v/>
      </c>
      <c r="Y1928" s="314" t="str">
        <f t="shared" ca="1" si="122"/>
        <v/>
      </c>
      <c r="Z1928" s="314" t="str" cm="1">
        <f t="array" aca="1" ref="Z1928" ca="1">IFERROR(_xlfn.IFS(OR(F1928="",LEFT(Methode_Keuze,4)="Geen",Methode_Keuze=""),"",AND(W1928&lt;&gt;"",F1928&lt;&gt;"Arbeidskosten"),W1928*VLOOKUP(F1928,Tb_ProjectKosten[],MATCH(Tb_ProjectKosten[[#Headers],[Forfait_Percentage]],Tb_ProjectKosten[#Headers],0),0),AND(F1928="Arbeidskosten",G1928&lt;&gt;""),IFERROR(W1928*VLOOKUP(G1928,Tb_KostenTypen[],3,0)*VLOOKUP(F1928,Tb_ProjectKosten[],MATCH(Tb_ProjectKosten[[#Headers],[Forfait_Percentage]],Tb_ProjectKosten[#Headers],0),0),""),W1928 &lt;=0,0),"")</f>
        <v/>
      </c>
      <c r="AA1928" s="314" t="str" cm="1">
        <f t="array" aca="1" ref="AA1928" ca="1">IFERROR(_xlfn.IFS(OR(F1928="",LEFT(Methode_Keuze,4)="Geen",Methode_Keuze=""),"",AND(X1928&lt;&gt;"",F1928&lt;&gt;"Arbeidskosten"),X1928*VLOOKUP(F1928,Tb_ProjectKosten[],MATCH(Tb_ProjectKosten[[#Headers],[Forfait_Percentage]],Tb_ProjectKosten[#Headers],0),0),AND(F1928="Arbeidskosten",G1928&lt;&gt;""),IFERROR(X1928*VLOOKUP(G1928,Tb_KostenTypen[],3,0)*VLOOKUP(F1928,Tb_ProjectKosten[],MATCH(Tb_ProjectKosten[[#Headers],[Forfait_Percentage]],Tb_ProjectKosten[#Headers],0),0),""),X1928 &lt;=0,0),"")</f>
        <v/>
      </c>
      <c r="AB1928" s="314" t="str">
        <f t="shared" ca="1" si="123"/>
        <v/>
      </c>
      <c r="AC1928" s="322"/>
      <c r="AD1928" s="315"/>
      <c r="AE1928" s="32" t="str" cm="1">
        <f t="array" ref="AE1928">IFERROR(IF(INDEX(SubsidieTabel!$AD$1:$AG$12,MATCH($F1928,SubsidieTabel!$AD$1:$AD$12,0),IFERROR(MATCH(Methode_Keuze,SubsidieTabel!$AD$1:$AG$1,0),2))&lt;&gt;1=TRUE,"ja",""),"")</f>
        <v/>
      </c>
    </row>
    <row r="1929" spans="1:31" x14ac:dyDescent="0.25">
      <c r="A1929" s="316"/>
      <c r="B1929" s="317" t="str">
        <f>IF(A1929&lt;&gt;"",_xlfn.MAXIFS($B$1:B1928,$A$1:A1928,A1929)+1,"")</f>
        <v/>
      </c>
      <c r="C1929" s="296"/>
      <c r="D1929" s="296"/>
      <c r="E1929" s="296"/>
      <c r="F1929" s="296"/>
      <c r="G1929" s="326"/>
      <c r="H1929" s="324"/>
      <c r="I1929" s="325"/>
      <c r="J1929" s="325"/>
      <c r="K1929" s="318"/>
      <c r="L1929" s="318"/>
      <c r="M1929" s="319" t="str">
        <f>IFERROR(VLOOKUP(H1929,Lijsten!$H$1:$I$100,2,0),"")</f>
        <v/>
      </c>
      <c r="N1929" s="319" t="str">
        <f ca="1">IFERROR(IF(VLOOKUP(F1929,Kostentypen!$A$3:$E$21,3,0)=0,"",IF(OR(F1929="Arbeidskosten",F1929="Vergoeding"),VLOOKUP(G1929,Tb_KostenTypen[],2,0),VLOOKUP(F1929,Kostentypen!$A$3:$E$20,3,0))),"")</f>
        <v/>
      </c>
      <c r="O1929" s="320" t="str" cm="1">
        <f t="array" ref="O1929">_xlfn.IFNA(IF(INDEX(Tb_KostenOptiesDB[],MATCH($F1929,Tb_KostenOptiesDB[KostenOptie],0),IFERROR(MATCH(Methode_Keuze,Tb_KostenOptiesDB[#Headers],0),2))=1,_xlfn.SWITCH($N1929,"Uurtarief",IF(OR(AND(RIGHT($F1929,3)="IKS",VLOOKUP($M1929,DB_Loonkosten,2,0)="Ja"),AND(RIGHT($F1929,3)&lt;&gt;"IKS",VLOOKUP($M1929,DB_Loonkosten,2,0)="Nee")),IFERROR(VLOOKUP($M1929,DB_Loonkosten,24,0),""),0),"Vast tarief",IF(LEFT(F1929,8)="Bijdrage",VLOOKUP($F1929,Tb_KostenTypen[],MATCH(Lijsten!$P$1,Tb_KostenTypen[#Headers],0),0),VLOOKUP($G1929,Lijsten!L:P,MATCH(Lijsten!$P$1,Kop_Tarief_Vast,0),0))),""),"")</f>
        <v/>
      </c>
      <c r="P1929" s="320" t="str" cm="1">
        <f t="array" ref="P1929">_xlfn.IFNA(IF(INDEX(Tb_KostenOptiesDB[],MATCH($F1929,Tb_KostenOptiesDB[KostenOptie],0),IFERROR(MATCH(Methode_Keuze,Tb_KostenOptiesDB[#Headers],0),2))=1,_xlfn.SWITCH($N1929,"Uurtarief",IF(OR(AND(RIGHT($F1929,3)="IKS",VLOOKUP($M1929,DB_Loonkosten,2,0)="Ja"),AND(RIGHT($F1929,3)&lt;&gt;"IKS",VLOOKUP($M1929,DB_Loonkosten,2,0)="Nee")),IFERROR(VLOOKUP($M1929,DB_Loonkosten,25,0),""),0),"Vast tarief",IF(LEFT(F1929,8)="Bijdrage",VLOOKUP($F1929,Tb_KostenTypen[],MATCH(Lijsten!$P$1,Tb_KostenTypen[#Headers],0),0),VLOOKUP($G1929,Lijsten!L:P,MATCH(Lijsten!$P$1,Kop_Tarief_Vast,0),0))),""),"")</f>
        <v/>
      </c>
      <c r="Q1929" s="359"/>
      <c r="R1929" s="359"/>
      <c r="S1929" s="321"/>
      <c r="T1929" s="321"/>
      <c r="U1929" s="373" t="str">
        <f t="shared" si="120"/>
        <v/>
      </c>
      <c r="V1929" s="314" t="str">
        <f t="shared" si="121"/>
        <v/>
      </c>
      <c r="W1929" s="314" t="str" cm="1">
        <f t="array" aca="1" ref="W1929" ca="1">IFERROR(IF(AE1929&lt;&gt;"ja",_xlfn.IFNA(_xlfn.IFS(AND(O1929&lt;&gt;"",F1929&lt;&gt;"",RIGHT($N1929,6)="tarief",F1929="Vergoeding"),SUM(O1929)*FLOOR(SUM(Q1929),0.0001),AND(O1929&lt;&gt;"",F1929&lt;&gt;"",RIGHT($N1929,6)="tarief"),SUM(O1929)*FLOOR(SUM(Q1929),0.01),S1929&gt;0,IF(F1929&lt;&gt;"",FLOOR(SUM(S1929),0.01),"")),""),""),"")</f>
        <v/>
      </c>
      <c r="X1929" s="314" t="str" cm="1">
        <f t="array" aca="1" ref="X1929" ca="1">IFERROR(IF(AE1929&lt;&gt;"ja",_xlfn.IFNA(_xlfn.IFS(AND(P1929&lt;&gt;"",R1929&lt;&gt;"",RIGHT($N1929,6)="tarief",F1929="Vergoeding"),SUM(P1929)*FLOOR(SUM(R1929),0.0001),AND(P1929&lt;&gt;"",R1929&lt;&gt;"",RIGHT($N1929,6)="tarief"),P1929*FLOOR(R1929,0.01),T1929&gt;0,FLOOR(SUM(T1929),0.01)),""),""),"")</f>
        <v/>
      </c>
      <c r="Y1929" s="314" t="str">
        <f t="shared" ca="1" si="122"/>
        <v/>
      </c>
      <c r="Z1929" s="314" t="str" cm="1">
        <f t="array" aca="1" ref="Z1929" ca="1">IFERROR(_xlfn.IFS(OR(F1929="",LEFT(Methode_Keuze,4)="Geen",Methode_Keuze=""),"",AND(W1929&lt;&gt;"",F1929&lt;&gt;"Arbeidskosten"),W1929*VLOOKUP(F1929,Tb_ProjectKosten[],MATCH(Tb_ProjectKosten[[#Headers],[Forfait_Percentage]],Tb_ProjectKosten[#Headers],0),0),AND(F1929="Arbeidskosten",G1929&lt;&gt;""),IFERROR(W1929*VLOOKUP(G1929,Tb_KostenTypen[],3,0)*VLOOKUP(F1929,Tb_ProjectKosten[],MATCH(Tb_ProjectKosten[[#Headers],[Forfait_Percentage]],Tb_ProjectKosten[#Headers],0),0),""),W1929 &lt;=0,0),"")</f>
        <v/>
      </c>
      <c r="AA1929" s="314" t="str" cm="1">
        <f t="array" aca="1" ref="AA1929" ca="1">IFERROR(_xlfn.IFS(OR(F1929="",LEFT(Methode_Keuze,4)="Geen",Methode_Keuze=""),"",AND(X1929&lt;&gt;"",F1929&lt;&gt;"Arbeidskosten"),X1929*VLOOKUP(F1929,Tb_ProjectKosten[],MATCH(Tb_ProjectKosten[[#Headers],[Forfait_Percentage]],Tb_ProjectKosten[#Headers],0),0),AND(F1929="Arbeidskosten",G1929&lt;&gt;""),IFERROR(X1929*VLOOKUP(G1929,Tb_KostenTypen[],3,0)*VLOOKUP(F1929,Tb_ProjectKosten[],MATCH(Tb_ProjectKosten[[#Headers],[Forfait_Percentage]],Tb_ProjectKosten[#Headers],0),0),""),X1929 &lt;=0,0),"")</f>
        <v/>
      </c>
      <c r="AB1929" s="314" t="str">
        <f t="shared" ca="1" si="123"/>
        <v/>
      </c>
      <c r="AC1929" s="322"/>
      <c r="AD1929" s="315"/>
      <c r="AE1929" s="32" t="str" cm="1">
        <f t="array" ref="AE1929">IFERROR(IF(INDEX(SubsidieTabel!$AD$1:$AG$12,MATCH($F1929,SubsidieTabel!$AD$1:$AD$12,0),IFERROR(MATCH(Methode_Keuze,SubsidieTabel!$AD$1:$AG$1,0),2))&lt;&gt;1=TRUE,"ja",""),"")</f>
        <v/>
      </c>
    </row>
    <row r="1930" spans="1:31" x14ac:dyDescent="0.25">
      <c r="A1930" s="316"/>
      <c r="B1930" s="317" t="str">
        <f>IF(A1930&lt;&gt;"",_xlfn.MAXIFS($B$1:B1929,$A$1:A1929,A1930)+1,"")</f>
        <v/>
      </c>
      <c r="C1930" s="296"/>
      <c r="D1930" s="296"/>
      <c r="E1930" s="296"/>
      <c r="F1930" s="296"/>
      <c r="G1930" s="326"/>
      <c r="H1930" s="324"/>
      <c r="I1930" s="325"/>
      <c r="J1930" s="325"/>
      <c r="K1930" s="318"/>
      <c r="L1930" s="318"/>
      <c r="M1930" s="319" t="str">
        <f>IFERROR(VLOOKUP(H1930,Lijsten!$H$1:$I$100,2,0),"")</f>
        <v/>
      </c>
      <c r="N1930" s="319" t="str">
        <f ca="1">IFERROR(IF(VLOOKUP(F1930,Kostentypen!$A$3:$E$21,3,0)=0,"",IF(OR(F1930="Arbeidskosten",F1930="Vergoeding"),VLOOKUP(G1930,Tb_KostenTypen[],2,0),VLOOKUP(F1930,Kostentypen!$A$3:$E$20,3,0))),"")</f>
        <v/>
      </c>
      <c r="O1930" s="320" t="str" cm="1">
        <f t="array" ref="O1930">_xlfn.IFNA(IF(INDEX(Tb_KostenOptiesDB[],MATCH($F1930,Tb_KostenOptiesDB[KostenOptie],0),IFERROR(MATCH(Methode_Keuze,Tb_KostenOptiesDB[#Headers],0),2))=1,_xlfn.SWITCH($N1930,"Uurtarief",IF(OR(AND(RIGHT($F1930,3)="IKS",VLOOKUP($M1930,DB_Loonkosten,2,0)="Ja"),AND(RIGHT($F1930,3)&lt;&gt;"IKS",VLOOKUP($M1930,DB_Loonkosten,2,0)="Nee")),IFERROR(VLOOKUP($M1930,DB_Loonkosten,24,0),""),0),"Vast tarief",IF(LEFT(F1930,8)="Bijdrage",VLOOKUP($F1930,Tb_KostenTypen[],MATCH(Lijsten!$P$1,Tb_KostenTypen[#Headers],0),0),VLOOKUP($G1930,Lijsten!L:P,MATCH(Lijsten!$P$1,Kop_Tarief_Vast,0),0))),""),"")</f>
        <v/>
      </c>
      <c r="P1930" s="320" t="str" cm="1">
        <f t="array" ref="P1930">_xlfn.IFNA(IF(INDEX(Tb_KostenOptiesDB[],MATCH($F1930,Tb_KostenOptiesDB[KostenOptie],0),IFERROR(MATCH(Methode_Keuze,Tb_KostenOptiesDB[#Headers],0),2))=1,_xlfn.SWITCH($N1930,"Uurtarief",IF(OR(AND(RIGHT($F1930,3)="IKS",VLOOKUP($M1930,DB_Loonkosten,2,0)="Ja"),AND(RIGHT($F1930,3)&lt;&gt;"IKS",VLOOKUP($M1930,DB_Loonkosten,2,0)="Nee")),IFERROR(VLOOKUP($M1930,DB_Loonkosten,25,0),""),0),"Vast tarief",IF(LEFT(F1930,8)="Bijdrage",VLOOKUP($F1930,Tb_KostenTypen[],MATCH(Lijsten!$P$1,Tb_KostenTypen[#Headers],0),0),VLOOKUP($G1930,Lijsten!L:P,MATCH(Lijsten!$P$1,Kop_Tarief_Vast,0),0))),""),"")</f>
        <v/>
      </c>
      <c r="Q1930" s="359"/>
      <c r="R1930" s="359"/>
      <c r="S1930" s="321"/>
      <c r="T1930" s="321"/>
      <c r="U1930" s="373" t="str">
        <f t="shared" si="120"/>
        <v/>
      </c>
      <c r="V1930" s="314" t="str">
        <f t="shared" si="121"/>
        <v/>
      </c>
      <c r="W1930" s="314" t="str" cm="1">
        <f t="array" aca="1" ref="W1930" ca="1">IFERROR(IF(AE1930&lt;&gt;"ja",_xlfn.IFNA(_xlfn.IFS(AND(O1930&lt;&gt;"",F1930&lt;&gt;"",RIGHT($N1930,6)="tarief",F1930="Vergoeding"),SUM(O1930)*FLOOR(SUM(Q1930),0.0001),AND(O1930&lt;&gt;"",F1930&lt;&gt;"",RIGHT($N1930,6)="tarief"),SUM(O1930)*FLOOR(SUM(Q1930),0.01),S1930&gt;0,IF(F1930&lt;&gt;"",FLOOR(SUM(S1930),0.01),"")),""),""),"")</f>
        <v/>
      </c>
      <c r="X1930" s="314" t="str" cm="1">
        <f t="array" aca="1" ref="X1930" ca="1">IFERROR(IF(AE1930&lt;&gt;"ja",_xlfn.IFNA(_xlfn.IFS(AND(P1930&lt;&gt;"",R1930&lt;&gt;"",RIGHT($N1930,6)="tarief",F1930="Vergoeding"),SUM(P1930)*FLOOR(SUM(R1930),0.0001),AND(P1930&lt;&gt;"",R1930&lt;&gt;"",RIGHT($N1930,6)="tarief"),P1930*FLOOR(R1930,0.01),T1930&gt;0,FLOOR(SUM(T1930),0.01)),""),""),"")</f>
        <v/>
      </c>
      <c r="Y1930" s="314" t="str">
        <f t="shared" ca="1" si="122"/>
        <v/>
      </c>
      <c r="Z1930" s="314" t="str" cm="1">
        <f t="array" aca="1" ref="Z1930" ca="1">IFERROR(_xlfn.IFS(OR(F1930="",LEFT(Methode_Keuze,4)="Geen",Methode_Keuze=""),"",AND(W1930&lt;&gt;"",F1930&lt;&gt;"Arbeidskosten"),W1930*VLOOKUP(F1930,Tb_ProjectKosten[],MATCH(Tb_ProjectKosten[[#Headers],[Forfait_Percentage]],Tb_ProjectKosten[#Headers],0),0),AND(F1930="Arbeidskosten",G1930&lt;&gt;""),IFERROR(W1930*VLOOKUP(G1930,Tb_KostenTypen[],3,0)*VLOOKUP(F1930,Tb_ProjectKosten[],MATCH(Tb_ProjectKosten[[#Headers],[Forfait_Percentage]],Tb_ProjectKosten[#Headers],0),0),""),W1930 &lt;=0,0),"")</f>
        <v/>
      </c>
      <c r="AA1930" s="314" t="str" cm="1">
        <f t="array" aca="1" ref="AA1930" ca="1">IFERROR(_xlfn.IFS(OR(F1930="",LEFT(Methode_Keuze,4)="Geen",Methode_Keuze=""),"",AND(X1930&lt;&gt;"",F1930&lt;&gt;"Arbeidskosten"),X1930*VLOOKUP(F1930,Tb_ProjectKosten[],MATCH(Tb_ProjectKosten[[#Headers],[Forfait_Percentage]],Tb_ProjectKosten[#Headers],0),0),AND(F1930="Arbeidskosten",G1930&lt;&gt;""),IFERROR(X1930*VLOOKUP(G1930,Tb_KostenTypen[],3,0)*VLOOKUP(F1930,Tb_ProjectKosten[],MATCH(Tb_ProjectKosten[[#Headers],[Forfait_Percentage]],Tb_ProjectKosten[#Headers],0),0),""),X1930 &lt;=0,0),"")</f>
        <v/>
      </c>
      <c r="AB1930" s="314" t="str">
        <f t="shared" ca="1" si="123"/>
        <v/>
      </c>
      <c r="AC1930" s="322"/>
      <c r="AD1930" s="315"/>
      <c r="AE1930" s="32" t="str" cm="1">
        <f t="array" ref="AE1930">IFERROR(IF(INDEX(SubsidieTabel!$AD$1:$AG$12,MATCH($F1930,SubsidieTabel!$AD$1:$AD$12,0),IFERROR(MATCH(Methode_Keuze,SubsidieTabel!$AD$1:$AG$1,0),2))&lt;&gt;1=TRUE,"ja",""),"")</f>
        <v/>
      </c>
    </row>
    <row r="1931" spans="1:31" x14ac:dyDescent="0.25">
      <c r="A1931" s="316"/>
      <c r="B1931" s="317" t="str">
        <f>IF(A1931&lt;&gt;"",_xlfn.MAXIFS($B$1:B1930,$A$1:A1930,A1931)+1,"")</f>
        <v/>
      </c>
      <c r="C1931" s="296"/>
      <c r="D1931" s="296"/>
      <c r="E1931" s="296"/>
      <c r="F1931" s="296"/>
      <c r="G1931" s="326"/>
      <c r="H1931" s="324"/>
      <c r="I1931" s="325"/>
      <c r="J1931" s="325"/>
      <c r="K1931" s="318"/>
      <c r="L1931" s="318"/>
      <c r="M1931" s="319" t="str">
        <f>IFERROR(VLOOKUP(H1931,Lijsten!$H$1:$I$100,2,0),"")</f>
        <v/>
      </c>
      <c r="N1931" s="319" t="str">
        <f ca="1">IFERROR(IF(VLOOKUP(F1931,Kostentypen!$A$3:$E$21,3,0)=0,"",IF(OR(F1931="Arbeidskosten",F1931="Vergoeding"),VLOOKUP(G1931,Tb_KostenTypen[],2,0),VLOOKUP(F1931,Kostentypen!$A$3:$E$20,3,0))),"")</f>
        <v/>
      </c>
      <c r="O1931" s="320" t="str" cm="1">
        <f t="array" ref="O1931">_xlfn.IFNA(IF(INDEX(Tb_KostenOptiesDB[],MATCH($F1931,Tb_KostenOptiesDB[KostenOptie],0),IFERROR(MATCH(Methode_Keuze,Tb_KostenOptiesDB[#Headers],0),2))=1,_xlfn.SWITCH($N1931,"Uurtarief",IF(OR(AND(RIGHT($F1931,3)="IKS",VLOOKUP($M1931,DB_Loonkosten,2,0)="Ja"),AND(RIGHT($F1931,3)&lt;&gt;"IKS",VLOOKUP($M1931,DB_Loonkosten,2,0)="Nee")),IFERROR(VLOOKUP($M1931,DB_Loonkosten,24,0),""),0),"Vast tarief",IF(LEFT(F1931,8)="Bijdrage",VLOOKUP($F1931,Tb_KostenTypen[],MATCH(Lijsten!$P$1,Tb_KostenTypen[#Headers],0),0),VLOOKUP($G1931,Lijsten!L:P,MATCH(Lijsten!$P$1,Kop_Tarief_Vast,0),0))),""),"")</f>
        <v/>
      </c>
      <c r="P1931" s="320" t="str" cm="1">
        <f t="array" ref="P1931">_xlfn.IFNA(IF(INDEX(Tb_KostenOptiesDB[],MATCH($F1931,Tb_KostenOptiesDB[KostenOptie],0),IFERROR(MATCH(Methode_Keuze,Tb_KostenOptiesDB[#Headers],0),2))=1,_xlfn.SWITCH($N1931,"Uurtarief",IF(OR(AND(RIGHT($F1931,3)="IKS",VLOOKUP($M1931,DB_Loonkosten,2,0)="Ja"),AND(RIGHT($F1931,3)&lt;&gt;"IKS",VLOOKUP($M1931,DB_Loonkosten,2,0)="Nee")),IFERROR(VLOOKUP($M1931,DB_Loonkosten,25,0),""),0),"Vast tarief",IF(LEFT(F1931,8)="Bijdrage",VLOOKUP($F1931,Tb_KostenTypen[],MATCH(Lijsten!$P$1,Tb_KostenTypen[#Headers],0),0),VLOOKUP($G1931,Lijsten!L:P,MATCH(Lijsten!$P$1,Kop_Tarief_Vast,0),0))),""),"")</f>
        <v/>
      </c>
      <c r="Q1931" s="359"/>
      <c r="R1931" s="359"/>
      <c r="S1931" s="321"/>
      <c r="T1931" s="321"/>
      <c r="U1931" s="373" t="str">
        <f t="shared" si="120"/>
        <v/>
      </c>
      <c r="V1931" s="314" t="str">
        <f t="shared" si="121"/>
        <v/>
      </c>
      <c r="W1931" s="314" t="str" cm="1">
        <f t="array" aca="1" ref="W1931" ca="1">IFERROR(IF(AE1931&lt;&gt;"ja",_xlfn.IFNA(_xlfn.IFS(AND(O1931&lt;&gt;"",F1931&lt;&gt;"",RIGHT($N1931,6)="tarief",F1931="Vergoeding"),SUM(O1931)*FLOOR(SUM(Q1931),0.0001),AND(O1931&lt;&gt;"",F1931&lt;&gt;"",RIGHT($N1931,6)="tarief"),SUM(O1931)*FLOOR(SUM(Q1931),0.01),S1931&gt;0,IF(F1931&lt;&gt;"",FLOOR(SUM(S1931),0.01),"")),""),""),"")</f>
        <v/>
      </c>
      <c r="X1931" s="314" t="str" cm="1">
        <f t="array" aca="1" ref="X1931" ca="1">IFERROR(IF(AE1931&lt;&gt;"ja",_xlfn.IFNA(_xlfn.IFS(AND(P1931&lt;&gt;"",R1931&lt;&gt;"",RIGHT($N1931,6)="tarief",F1931="Vergoeding"),SUM(P1931)*FLOOR(SUM(R1931),0.0001),AND(P1931&lt;&gt;"",R1931&lt;&gt;"",RIGHT($N1931,6)="tarief"),P1931*FLOOR(R1931,0.01),T1931&gt;0,FLOOR(SUM(T1931),0.01)),""),""),"")</f>
        <v/>
      </c>
      <c r="Y1931" s="314" t="str">
        <f t="shared" ca="1" si="122"/>
        <v/>
      </c>
      <c r="Z1931" s="314" t="str" cm="1">
        <f t="array" aca="1" ref="Z1931" ca="1">IFERROR(_xlfn.IFS(OR(F1931="",LEFT(Methode_Keuze,4)="Geen",Methode_Keuze=""),"",AND(W1931&lt;&gt;"",F1931&lt;&gt;"Arbeidskosten"),W1931*VLOOKUP(F1931,Tb_ProjectKosten[],MATCH(Tb_ProjectKosten[[#Headers],[Forfait_Percentage]],Tb_ProjectKosten[#Headers],0),0),AND(F1931="Arbeidskosten",G1931&lt;&gt;""),IFERROR(W1931*VLOOKUP(G1931,Tb_KostenTypen[],3,0)*VLOOKUP(F1931,Tb_ProjectKosten[],MATCH(Tb_ProjectKosten[[#Headers],[Forfait_Percentage]],Tb_ProjectKosten[#Headers],0),0),""),W1931 &lt;=0,0),"")</f>
        <v/>
      </c>
      <c r="AA1931" s="314" t="str" cm="1">
        <f t="array" aca="1" ref="AA1931" ca="1">IFERROR(_xlfn.IFS(OR(F1931="",LEFT(Methode_Keuze,4)="Geen",Methode_Keuze=""),"",AND(X1931&lt;&gt;"",F1931&lt;&gt;"Arbeidskosten"),X1931*VLOOKUP(F1931,Tb_ProjectKosten[],MATCH(Tb_ProjectKosten[[#Headers],[Forfait_Percentage]],Tb_ProjectKosten[#Headers],0),0),AND(F1931="Arbeidskosten",G1931&lt;&gt;""),IFERROR(X1931*VLOOKUP(G1931,Tb_KostenTypen[],3,0)*VLOOKUP(F1931,Tb_ProjectKosten[],MATCH(Tb_ProjectKosten[[#Headers],[Forfait_Percentage]],Tb_ProjectKosten[#Headers],0),0),""),X1931 &lt;=0,0),"")</f>
        <v/>
      </c>
      <c r="AB1931" s="314" t="str">
        <f t="shared" ca="1" si="123"/>
        <v/>
      </c>
      <c r="AC1931" s="322"/>
      <c r="AD1931" s="315"/>
      <c r="AE1931" s="32" t="str" cm="1">
        <f t="array" ref="AE1931">IFERROR(IF(INDEX(SubsidieTabel!$AD$1:$AG$12,MATCH($F1931,SubsidieTabel!$AD$1:$AD$12,0),IFERROR(MATCH(Methode_Keuze,SubsidieTabel!$AD$1:$AG$1,0),2))&lt;&gt;1=TRUE,"ja",""),"")</f>
        <v/>
      </c>
    </row>
    <row r="1932" spans="1:31" x14ac:dyDescent="0.25">
      <c r="A1932" s="316"/>
      <c r="B1932" s="317" t="str">
        <f>IF(A1932&lt;&gt;"",_xlfn.MAXIFS($B$1:B1931,$A$1:A1931,A1932)+1,"")</f>
        <v/>
      </c>
      <c r="C1932" s="296"/>
      <c r="D1932" s="296"/>
      <c r="E1932" s="296"/>
      <c r="F1932" s="296"/>
      <c r="G1932" s="326"/>
      <c r="H1932" s="324"/>
      <c r="I1932" s="325"/>
      <c r="J1932" s="325"/>
      <c r="K1932" s="318"/>
      <c r="L1932" s="318"/>
      <c r="M1932" s="319" t="str">
        <f>IFERROR(VLOOKUP(H1932,Lijsten!$H$1:$I$100,2,0),"")</f>
        <v/>
      </c>
      <c r="N1932" s="319" t="str">
        <f ca="1">IFERROR(IF(VLOOKUP(F1932,Kostentypen!$A$3:$E$21,3,0)=0,"",IF(OR(F1932="Arbeidskosten",F1932="Vergoeding"),VLOOKUP(G1932,Tb_KostenTypen[],2,0),VLOOKUP(F1932,Kostentypen!$A$3:$E$20,3,0))),"")</f>
        <v/>
      </c>
      <c r="O1932" s="320" t="str" cm="1">
        <f t="array" ref="O1932">_xlfn.IFNA(IF(INDEX(Tb_KostenOptiesDB[],MATCH($F1932,Tb_KostenOptiesDB[KostenOptie],0),IFERROR(MATCH(Methode_Keuze,Tb_KostenOptiesDB[#Headers],0),2))=1,_xlfn.SWITCH($N1932,"Uurtarief",IF(OR(AND(RIGHT($F1932,3)="IKS",VLOOKUP($M1932,DB_Loonkosten,2,0)="Ja"),AND(RIGHT($F1932,3)&lt;&gt;"IKS",VLOOKUP($M1932,DB_Loonkosten,2,0)="Nee")),IFERROR(VLOOKUP($M1932,DB_Loonkosten,24,0),""),0),"Vast tarief",IF(LEFT(F1932,8)="Bijdrage",VLOOKUP($F1932,Tb_KostenTypen[],MATCH(Lijsten!$P$1,Tb_KostenTypen[#Headers],0),0),VLOOKUP($G1932,Lijsten!L:P,MATCH(Lijsten!$P$1,Kop_Tarief_Vast,0),0))),""),"")</f>
        <v/>
      </c>
      <c r="P1932" s="320" t="str" cm="1">
        <f t="array" ref="P1932">_xlfn.IFNA(IF(INDEX(Tb_KostenOptiesDB[],MATCH($F1932,Tb_KostenOptiesDB[KostenOptie],0),IFERROR(MATCH(Methode_Keuze,Tb_KostenOptiesDB[#Headers],0),2))=1,_xlfn.SWITCH($N1932,"Uurtarief",IF(OR(AND(RIGHT($F1932,3)="IKS",VLOOKUP($M1932,DB_Loonkosten,2,0)="Ja"),AND(RIGHT($F1932,3)&lt;&gt;"IKS",VLOOKUP($M1932,DB_Loonkosten,2,0)="Nee")),IFERROR(VLOOKUP($M1932,DB_Loonkosten,25,0),""),0),"Vast tarief",IF(LEFT(F1932,8)="Bijdrage",VLOOKUP($F1932,Tb_KostenTypen[],MATCH(Lijsten!$P$1,Tb_KostenTypen[#Headers],0),0),VLOOKUP($G1932,Lijsten!L:P,MATCH(Lijsten!$P$1,Kop_Tarief_Vast,0),0))),""),"")</f>
        <v/>
      </c>
      <c r="Q1932" s="359"/>
      <c r="R1932" s="359"/>
      <c r="S1932" s="321"/>
      <c r="T1932" s="321"/>
      <c r="U1932" s="373" t="str">
        <f t="shared" si="120"/>
        <v/>
      </c>
      <c r="V1932" s="314" t="str">
        <f t="shared" si="121"/>
        <v/>
      </c>
      <c r="W1932" s="314" t="str" cm="1">
        <f t="array" aca="1" ref="W1932" ca="1">IFERROR(IF(AE1932&lt;&gt;"ja",_xlfn.IFNA(_xlfn.IFS(AND(O1932&lt;&gt;"",F1932&lt;&gt;"",RIGHT($N1932,6)="tarief",F1932="Vergoeding"),SUM(O1932)*FLOOR(SUM(Q1932),0.0001),AND(O1932&lt;&gt;"",F1932&lt;&gt;"",RIGHT($N1932,6)="tarief"),SUM(O1932)*FLOOR(SUM(Q1932),0.01),S1932&gt;0,IF(F1932&lt;&gt;"",FLOOR(SUM(S1932),0.01),"")),""),""),"")</f>
        <v/>
      </c>
      <c r="X1932" s="314" t="str" cm="1">
        <f t="array" aca="1" ref="X1932" ca="1">IFERROR(IF(AE1932&lt;&gt;"ja",_xlfn.IFNA(_xlfn.IFS(AND(P1932&lt;&gt;"",R1932&lt;&gt;"",RIGHT($N1932,6)="tarief",F1932="Vergoeding"),SUM(P1932)*FLOOR(SUM(R1932),0.0001),AND(P1932&lt;&gt;"",R1932&lt;&gt;"",RIGHT($N1932,6)="tarief"),P1932*FLOOR(R1932,0.01),T1932&gt;0,FLOOR(SUM(T1932),0.01)),""),""),"")</f>
        <v/>
      </c>
      <c r="Y1932" s="314" t="str">
        <f t="shared" ca="1" si="122"/>
        <v/>
      </c>
      <c r="Z1932" s="314" t="str" cm="1">
        <f t="array" aca="1" ref="Z1932" ca="1">IFERROR(_xlfn.IFS(OR(F1932="",LEFT(Methode_Keuze,4)="Geen",Methode_Keuze=""),"",AND(W1932&lt;&gt;"",F1932&lt;&gt;"Arbeidskosten"),W1932*VLOOKUP(F1932,Tb_ProjectKosten[],MATCH(Tb_ProjectKosten[[#Headers],[Forfait_Percentage]],Tb_ProjectKosten[#Headers],0),0),AND(F1932="Arbeidskosten",G1932&lt;&gt;""),IFERROR(W1932*VLOOKUP(G1932,Tb_KostenTypen[],3,0)*VLOOKUP(F1932,Tb_ProjectKosten[],MATCH(Tb_ProjectKosten[[#Headers],[Forfait_Percentage]],Tb_ProjectKosten[#Headers],0),0),""),W1932 &lt;=0,0),"")</f>
        <v/>
      </c>
      <c r="AA1932" s="314" t="str" cm="1">
        <f t="array" aca="1" ref="AA1932" ca="1">IFERROR(_xlfn.IFS(OR(F1932="",LEFT(Methode_Keuze,4)="Geen",Methode_Keuze=""),"",AND(X1932&lt;&gt;"",F1932&lt;&gt;"Arbeidskosten"),X1932*VLOOKUP(F1932,Tb_ProjectKosten[],MATCH(Tb_ProjectKosten[[#Headers],[Forfait_Percentage]],Tb_ProjectKosten[#Headers],0),0),AND(F1932="Arbeidskosten",G1932&lt;&gt;""),IFERROR(X1932*VLOOKUP(G1932,Tb_KostenTypen[],3,0)*VLOOKUP(F1932,Tb_ProjectKosten[],MATCH(Tb_ProjectKosten[[#Headers],[Forfait_Percentage]],Tb_ProjectKosten[#Headers],0),0),""),X1932 &lt;=0,0),"")</f>
        <v/>
      </c>
      <c r="AB1932" s="314" t="str">
        <f t="shared" ca="1" si="123"/>
        <v/>
      </c>
      <c r="AC1932" s="322"/>
      <c r="AD1932" s="315"/>
      <c r="AE1932" s="32" t="str" cm="1">
        <f t="array" ref="AE1932">IFERROR(IF(INDEX(SubsidieTabel!$AD$1:$AG$12,MATCH($F1932,SubsidieTabel!$AD$1:$AD$12,0),IFERROR(MATCH(Methode_Keuze,SubsidieTabel!$AD$1:$AG$1,0),2))&lt;&gt;1=TRUE,"ja",""),"")</f>
        <v/>
      </c>
    </row>
    <row r="1933" spans="1:31" x14ac:dyDescent="0.25">
      <c r="A1933" s="316"/>
      <c r="B1933" s="317" t="str">
        <f>IF(A1933&lt;&gt;"",_xlfn.MAXIFS($B$1:B1932,$A$1:A1932,A1933)+1,"")</f>
        <v/>
      </c>
      <c r="C1933" s="296"/>
      <c r="D1933" s="296"/>
      <c r="E1933" s="296"/>
      <c r="F1933" s="296"/>
      <c r="G1933" s="326"/>
      <c r="H1933" s="324"/>
      <c r="I1933" s="325"/>
      <c r="J1933" s="325"/>
      <c r="K1933" s="318"/>
      <c r="L1933" s="318"/>
      <c r="M1933" s="319" t="str">
        <f>IFERROR(VLOOKUP(H1933,Lijsten!$H$1:$I$100,2,0),"")</f>
        <v/>
      </c>
      <c r="N1933" s="319" t="str">
        <f ca="1">IFERROR(IF(VLOOKUP(F1933,Kostentypen!$A$3:$E$21,3,0)=0,"",IF(OR(F1933="Arbeidskosten",F1933="Vergoeding"),VLOOKUP(G1933,Tb_KostenTypen[],2,0),VLOOKUP(F1933,Kostentypen!$A$3:$E$20,3,0))),"")</f>
        <v/>
      </c>
      <c r="O1933" s="320" t="str" cm="1">
        <f t="array" ref="O1933">_xlfn.IFNA(IF(INDEX(Tb_KostenOptiesDB[],MATCH($F1933,Tb_KostenOptiesDB[KostenOptie],0),IFERROR(MATCH(Methode_Keuze,Tb_KostenOptiesDB[#Headers],0),2))=1,_xlfn.SWITCH($N1933,"Uurtarief",IF(OR(AND(RIGHT($F1933,3)="IKS",VLOOKUP($M1933,DB_Loonkosten,2,0)="Ja"),AND(RIGHT($F1933,3)&lt;&gt;"IKS",VLOOKUP($M1933,DB_Loonkosten,2,0)="Nee")),IFERROR(VLOOKUP($M1933,DB_Loonkosten,24,0),""),0),"Vast tarief",IF(LEFT(F1933,8)="Bijdrage",VLOOKUP($F1933,Tb_KostenTypen[],MATCH(Lijsten!$P$1,Tb_KostenTypen[#Headers],0),0),VLOOKUP($G1933,Lijsten!L:P,MATCH(Lijsten!$P$1,Kop_Tarief_Vast,0),0))),""),"")</f>
        <v/>
      </c>
      <c r="P1933" s="320" t="str" cm="1">
        <f t="array" ref="P1933">_xlfn.IFNA(IF(INDEX(Tb_KostenOptiesDB[],MATCH($F1933,Tb_KostenOptiesDB[KostenOptie],0),IFERROR(MATCH(Methode_Keuze,Tb_KostenOptiesDB[#Headers],0),2))=1,_xlfn.SWITCH($N1933,"Uurtarief",IF(OR(AND(RIGHT($F1933,3)="IKS",VLOOKUP($M1933,DB_Loonkosten,2,0)="Ja"),AND(RIGHT($F1933,3)&lt;&gt;"IKS",VLOOKUP($M1933,DB_Loonkosten,2,0)="Nee")),IFERROR(VLOOKUP($M1933,DB_Loonkosten,25,0),""),0),"Vast tarief",IF(LEFT(F1933,8)="Bijdrage",VLOOKUP($F1933,Tb_KostenTypen[],MATCH(Lijsten!$P$1,Tb_KostenTypen[#Headers],0),0),VLOOKUP($G1933,Lijsten!L:P,MATCH(Lijsten!$P$1,Kop_Tarief_Vast,0),0))),""),"")</f>
        <v/>
      </c>
      <c r="Q1933" s="359"/>
      <c r="R1933" s="359"/>
      <c r="S1933" s="321"/>
      <c r="T1933" s="321"/>
      <c r="U1933" s="373" t="str">
        <f t="shared" si="120"/>
        <v/>
      </c>
      <c r="V1933" s="314" t="str">
        <f t="shared" si="121"/>
        <v/>
      </c>
      <c r="W1933" s="314" t="str" cm="1">
        <f t="array" aca="1" ref="W1933" ca="1">IFERROR(IF(AE1933&lt;&gt;"ja",_xlfn.IFNA(_xlfn.IFS(AND(O1933&lt;&gt;"",F1933&lt;&gt;"",RIGHT($N1933,6)="tarief",F1933="Vergoeding"),SUM(O1933)*FLOOR(SUM(Q1933),0.0001),AND(O1933&lt;&gt;"",F1933&lt;&gt;"",RIGHT($N1933,6)="tarief"),SUM(O1933)*FLOOR(SUM(Q1933),0.01),S1933&gt;0,IF(F1933&lt;&gt;"",FLOOR(SUM(S1933),0.01),"")),""),""),"")</f>
        <v/>
      </c>
      <c r="X1933" s="314" t="str" cm="1">
        <f t="array" aca="1" ref="X1933" ca="1">IFERROR(IF(AE1933&lt;&gt;"ja",_xlfn.IFNA(_xlfn.IFS(AND(P1933&lt;&gt;"",R1933&lt;&gt;"",RIGHT($N1933,6)="tarief",F1933="Vergoeding"),SUM(P1933)*FLOOR(SUM(R1933),0.0001),AND(P1933&lt;&gt;"",R1933&lt;&gt;"",RIGHT($N1933,6)="tarief"),P1933*FLOOR(R1933,0.01),T1933&gt;0,FLOOR(SUM(T1933),0.01)),""),""),"")</f>
        <v/>
      </c>
      <c r="Y1933" s="314" t="str">
        <f t="shared" ca="1" si="122"/>
        <v/>
      </c>
      <c r="Z1933" s="314" t="str" cm="1">
        <f t="array" aca="1" ref="Z1933" ca="1">IFERROR(_xlfn.IFS(OR(F1933="",LEFT(Methode_Keuze,4)="Geen",Methode_Keuze=""),"",AND(W1933&lt;&gt;"",F1933&lt;&gt;"Arbeidskosten"),W1933*VLOOKUP(F1933,Tb_ProjectKosten[],MATCH(Tb_ProjectKosten[[#Headers],[Forfait_Percentage]],Tb_ProjectKosten[#Headers],0),0),AND(F1933="Arbeidskosten",G1933&lt;&gt;""),IFERROR(W1933*VLOOKUP(G1933,Tb_KostenTypen[],3,0)*VLOOKUP(F1933,Tb_ProjectKosten[],MATCH(Tb_ProjectKosten[[#Headers],[Forfait_Percentage]],Tb_ProjectKosten[#Headers],0),0),""),W1933 &lt;=0,0),"")</f>
        <v/>
      </c>
      <c r="AA1933" s="314" t="str" cm="1">
        <f t="array" aca="1" ref="AA1933" ca="1">IFERROR(_xlfn.IFS(OR(F1933="",LEFT(Methode_Keuze,4)="Geen",Methode_Keuze=""),"",AND(X1933&lt;&gt;"",F1933&lt;&gt;"Arbeidskosten"),X1933*VLOOKUP(F1933,Tb_ProjectKosten[],MATCH(Tb_ProjectKosten[[#Headers],[Forfait_Percentage]],Tb_ProjectKosten[#Headers],0),0),AND(F1933="Arbeidskosten",G1933&lt;&gt;""),IFERROR(X1933*VLOOKUP(G1933,Tb_KostenTypen[],3,0)*VLOOKUP(F1933,Tb_ProjectKosten[],MATCH(Tb_ProjectKosten[[#Headers],[Forfait_Percentage]],Tb_ProjectKosten[#Headers],0),0),""),X1933 &lt;=0,0),"")</f>
        <v/>
      </c>
      <c r="AB1933" s="314" t="str">
        <f t="shared" ca="1" si="123"/>
        <v/>
      </c>
      <c r="AC1933" s="322"/>
      <c r="AD1933" s="315"/>
      <c r="AE1933" s="32" t="str" cm="1">
        <f t="array" ref="AE1933">IFERROR(IF(INDEX(SubsidieTabel!$AD$1:$AG$12,MATCH($F1933,SubsidieTabel!$AD$1:$AD$12,0),IFERROR(MATCH(Methode_Keuze,SubsidieTabel!$AD$1:$AG$1,0),2))&lt;&gt;1=TRUE,"ja",""),"")</f>
        <v/>
      </c>
    </row>
    <row r="1934" spans="1:31" x14ac:dyDescent="0.25">
      <c r="A1934" s="316"/>
      <c r="B1934" s="317" t="str">
        <f>IF(A1934&lt;&gt;"",_xlfn.MAXIFS($B$1:B1933,$A$1:A1933,A1934)+1,"")</f>
        <v/>
      </c>
      <c r="C1934" s="296"/>
      <c r="D1934" s="296"/>
      <c r="E1934" s="296"/>
      <c r="F1934" s="296"/>
      <c r="G1934" s="326"/>
      <c r="H1934" s="324"/>
      <c r="I1934" s="325"/>
      <c r="J1934" s="325"/>
      <c r="K1934" s="318"/>
      <c r="L1934" s="318"/>
      <c r="M1934" s="319" t="str">
        <f>IFERROR(VLOOKUP(H1934,Lijsten!$H$1:$I$100,2,0),"")</f>
        <v/>
      </c>
      <c r="N1934" s="319" t="str">
        <f ca="1">IFERROR(IF(VLOOKUP(F1934,Kostentypen!$A$3:$E$21,3,0)=0,"",IF(OR(F1934="Arbeidskosten",F1934="Vergoeding"),VLOOKUP(G1934,Tb_KostenTypen[],2,0),VLOOKUP(F1934,Kostentypen!$A$3:$E$20,3,0))),"")</f>
        <v/>
      </c>
      <c r="O1934" s="320" t="str" cm="1">
        <f t="array" ref="O1934">_xlfn.IFNA(IF(INDEX(Tb_KostenOptiesDB[],MATCH($F1934,Tb_KostenOptiesDB[KostenOptie],0),IFERROR(MATCH(Methode_Keuze,Tb_KostenOptiesDB[#Headers],0),2))=1,_xlfn.SWITCH($N1934,"Uurtarief",IF(OR(AND(RIGHT($F1934,3)="IKS",VLOOKUP($M1934,DB_Loonkosten,2,0)="Ja"),AND(RIGHT($F1934,3)&lt;&gt;"IKS",VLOOKUP($M1934,DB_Loonkosten,2,0)="Nee")),IFERROR(VLOOKUP($M1934,DB_Loonkosten,24,0),""),0),"Vast tarief",IF(LEFT(F1934,8)="Bijdrage",VLOOKUP($F1934,Tb_KostenTypen[],MATCH(Lijsten!$P$1,Tb_KostenTypen[#Headers],0),0),VLOOKUP($G1934,Lijsten!L:P,MATCH(Lijsten!$P$1,Kop_Tarief_Vast,0),0))),""),"")</f>
        <v/>
      </c>
      <c r="P1934" s="320" t="str" cm="1">
        <f t="array" ref="P1934">_xlfn.IFNA(IF(INDEX(Tb_KostenOptiesDB[],MATCH($F1934,Tb_KostenOptiesDB[KostenOptie],0),IFERROR(MATCH(Methode_Keuze,Tb_KostenOptiesDB[#Headers],0),2))=1,_xlfn.SWITCH($N1934,"Uurtarief",IF(OR(AND(RIGHT($F1934,3)="IKS",VLOOKUP($M1934,DB_Loonkosten,2,0)="Ja"),AND(RIGHT($F1934,3)&lt;&gt;"IKS",VLOOKUP($M1934,DB_Loonkosten,2,0)="Nee")),IFERROR(VLOOKUP($M1934,DB_Loonkosten,25,0),""),0),"Vast tarief",IF(LEFT(F1934,8)="Bijdrage",VLOOKUP($F1934,Tb_KostenTypen[],MATCH(Lijsten!$P$1,Tb_KostenTypen[#Headers],0),0),VLOOKUP($G1934,Lijsten!L:P,MATCH(Lijsten!$P$1,Kop_Tarief_Vast,0),0))),""),"")</f>
        <v/>
      </c>
      <c r="Q1934" s="359"/>
      <c r="R1934" s="359"/>
      <c r="S1934" s="321"/>
      <c r="T1934" s="321"/>
      <c r="U1934" s="373" t="str">
        <f t="shared" si="120"/>
        <v/>
      </c>
      <c r="V1934" s="314" t="str">
        <f t="shared" si="121"/>
        <v/>
      </c>
      <c r="W1934" s="314" t="str" cm="1">
        <f t="array" aca="1" ref="W1934" ca="1">IFERROR(IF(AE1934&lt;&gt;"ja",_xlfn.IFNA(_xlfn.IFS(AND(O1934&lt;&gt;"",F1934&lt;&gt;"",RIGHT($N1934,6)="tarief",F1934="Vergoeding"),SUM(O1934)*FLOOR(SUM(Q1934),0.0001),AND(O1934&lt;&gt;"",F1934&lt;&gt;"",RIGHT($N1934,6)="tarief"),SUM(O1934)*FLOOR(SUM(Q1934),0.01),S1934&gt;0,IF(F1934&lt;&gt;"",FLOOR(SUM(S1934),0.01),"")),""),""),"")</f>
        <v/>
      </c>
      <c r="X1934" s="314" t="str" cm="1">
        <f t="array" aca="1" ref="X1934" ca="1">IFERROR(IF(AE1934&lt;&gt;"ja",_xlfn.IFNA(_xlfn.IFS(AND(P1934&lt;&gt;"",R1934&lt;&gt;"",RIGHT($N1934,6)="tarief",F1934="Vergoeding"),SUM(P1934)*FLOOR(SUM(R1934),0.0001),AND(P1934&lt;&gt;"",R1934&lt;&gt;"",RIGHT($N1934,6)="tarief"),P1934*FLOOR(R1934,0.01),T1934&gt;0,FLOOR(SUM(T1934),0.01)),""),""),"")</f>
        <v/>
      </c>
      <c r="Y1934" s="314" t="str">
        <f t="shared" ca="1" si="122"/>
        <v/>
      </c>
      <c r="Z1934" s="314" t="str" cm="1">
        <f t="array" aca="1" ref="Z1934" ca="1">IFERROR(_xlfn.IFS(OR(F1934="",LEFT(Methode_Keuze,4)="Geen",Methode_Keuze=""),"",AND(W1934&lt;&gt;"",F1934&lt;&gt;"Arbeidskosten"),W1934*VLOOKUP(F1934,Tb_ProjectKosten[],MATCH(Tb_ProjectKosten[[#Headers],[Forfait_Percentage]],Tb_ProjectKosten[#Headers],0),0),AND(F1934="Arbeidskosten",G1934&lt;&gt;""),IFERROR(W1934*VLOOKUP(G1934,Tb_KostenTypen[],3,0)*VLOOKUP(F1934,Tb_ProjectKosten[],MATCH(Tb_ProjectKosten[[#Headers],[Forfait_Percentage]],Tb_ProjectKosten[#Headers],0),0),""),W1934 &lt;=0,0),"")</f>
        <v/>
      </c>
      <c r="AA1934" s="314" t="str" cm="1">
        <f t="array" aca="1" ref="AA1934" ca="1">IFERROR(_xlfn.IFS(OR(F1934="",LEFT(Methode_Keuze,4)="Geen",Methode_Keuze=""),"",AND(X1934&lt;&gt;"",F1934&lt;&gt;"Arbeidskosten"),X1934*VLOOKUP(F1934,Tb_ProjectKosten[],MATCH(Tb_ProjectKosten[[#Headers],[Forfait_Percentage]],Tb_ProjectKosten[#Headers],0),0),AND(F1934="Arbeidskosten",G1934&lt;&gt;""),IFERROR(X1934*VLOOKUP(G1934,Tb_KostenTypen[],3,0)*VLOOKUP(F1934,Tb_ProjectKosten[],MATCH(Tb_ProjectKosten[[#Headers],[Forfait_Percentage]],Tb_ProjectKosten[#Headers],0),0),""),X1934 &lt;=0,0),"")</f>
        <v/>
      </c>
      <c r="AB1934" s="314" t="str">
        <f t="shared" ca="1" si="123"/>
        <v/>
      </c>
      <c r="AC1934" s="322"/>
      <c r="AD1934" s="315"/>
      <c r="AE1934" s="32" t="str" cm="1">
        <f t="array" ref="AE1934">IFERROR(IF(INDEX(SubsidieTabel!$AD$1:$AG$12,MATCH($F1934,SubsidieTabel!$AD$1:$AD$12,0),IFERROR(MATCH(Methode_Keuze,SubsidieTabel!$AD$1:$AG$1,0),2))&lt;&gt;1=TRUE,"ja",""),"")</f>
        <v/>
      </c>
    </row>
    <row r="1935" spans="1:31" x14ac:dyDescent="0.25">
      <c r="A1935" s="316"/>
      <c r="B1935" s="317" t="str">
        <f>IF(A1935&lt;&gt;"",_xlfn.MAXIFS($B$1:B1934,$A$1:A1934,A1935)+1,"")</f>
        <v/>
      </c>
      <c r="C1935" s="296"/>
      <c r="D1935" s="296"/>
      <c r="E1935" s="296"/>
      <c r="F1935" s="296"/>
      <c r="G1935" s="326"/>
      <c r="H1935" s="324"/>
      <c r="I1935" s="325"/>
      <c r="J1935" s="325"/>
      <c r="K1935" s="318"/>
      <c r="L1935" s="318"/>
      <c r="M1935" s="319" t="str">
        <f>IFERROR(VLOOKUP(H1935,Lijsten!$H$1:$I$100,2,0),"")</f>
        <v/>
      </c>
      <c r="N1935" s="319" t="str">
        <f ca="1">IFERROR(IF(VLOOKUP(F1935,Kostentypen!$A$3:$E$21,3,0)=0,"",IF(OR(F1935="Arbeidskosten",F1935="Vergoeding"),VLOOKUP(G1935,Tb_KostenTypen[],2,0),VLOOKUP(F1935,Kostentypen!$A$3:$E$20,3,0))),"")</f>
        <v/>
      </c>
      <c r="O1935" s="320" t="str" cm="1">
        <f t="array" ref="O1935">_xlfn.IFNA(IF(INDEX(Tb_KostenOptiesDB[],MATCH($F1935,Tb_KostenOptiesDB[KostenOptie],0),IFERROR(MATCH(Methode_Keuze,Tb_KostenOptiesDB[#Headers],0),2))=1,_xlfn.SWITCH($N1935,"Uurtarief",IF(OR(AND(RIGHT($F1935,3)="IKS",VLOOKUP($M1935,DB_Loonkosten,2,0)="Ja"),AND(RIGHT($F1935,3)&lt;&gt;"IKS",VLOOKUP($M1935,DB_Loonkosten,2,0)="Nee")),IFERROR(VLOOKUP($M1935,DB_Loonkosten,24,0),""),0),"Vast tarief",IF(LEFT(F1935,8)="Bijdrage",VLOOKUP($F1935,Tb_KostenTypen[],MATCH(Lijsten!$P$1,Tb_KostenTypen[#Headers],0),0),VLOOKUP($G1935,Lijsten!L:P,MATCH(Lijsten!$P$1,Kop_Tarief_Vast,0),0))),""),"")</f>
        <v/>
      </c>
      <c r="P1935" s="320" t="str" cm="1">
        <f t="array" ref="P1935">_xlfn.IFNA(IF(INDEX(Tb_KostenOptiesDB[],MATCH($F1935,Tb_KostenOptiesDB[KostenOptie],0),IFERROR(MATCH(Methode_Keuze,Tb_KostenOptiesDB[#Headers],0),2))=1,_xlfn.SWITCH($N1935,"Uurtarief",IF(OR(AND(RIGHT($F1935,3)="IKS",VLOOKUP($M1935,DB_Loonkosten,2,0)="Ja"),AND(RIGHT($F1935,3)&lt;&gt;"IKS",VLOOKUP($M1935,DB_Loonkosten,2,0)="Nee")),IFERROR(VLOOKUP($M1935,DB_Loonkosten,25,0),""),0),"Vast tarief",IF(LEFT(F1935,8)="Bijdrage",VLOOKUP($F1935,Tb_KostenTypen[],MATCH(Lijsten!$P$1,Tb_KostenTypen[#Headers],0),0),VLOOKUP($G1935,Lijsten!L:P,MATCH(Lijsten!$P$1,Kop_Tarief_Vast,0),0))),""),"")</f>
        <v/>
      </c>
      <c r="Q1935" s="359"/>
      <c r="R1935" s="359"/>
      <c r="S1935" s="321"/>
      <c r="T1935" s="321"/>
      <c r="U1935" s="373" t="str">
        <f t="shared" si="120"/>
        <v/>
      </c>
      <c r="V1935" s="314" t="str">
        <f t="shared" si="121"/>
        <v/>
      </c>
      <c r="W1935" s="314" t="str" cm="1">
        <f t="array" aca="1" ref="W1935" ca="1">IFERROR(IF(AE1935&lt;&gt;"ja",_xlfn.IFNA(_xlfn.IFS(AND(O1935&lt;&gt;"",F1935&lt;&gt;"",RIGHT($N1935,6)="tarief",F1935="Vergoeding"),SUM(O1935)*FLOOR(SUM(Q1935),0.0001),AND(O1935&lt;&gt;"",F1935&lt;&gt;"",RIGHT($N1935,6)="tarief"),SUM(O1935)*FLOOR(SUM(Q1935),0.01),S1935&gt;0,IF(F1935&lt;&gt;"",FLOOR(SUM(S1935),0.01),"")),""),""),"")</f>
        <v/>
      </c>
      <c r="X1935" s="314" t="str" cm="1">
        <f t="array" aca="1" ref="X1935" ca="1">IFERROR(IF(AE1935&lt;&gt;"ja",_xlfn.IFNA(_xlfn.IFS(AND(P1935&lt;&gt;"",R1935&lt;&gt;"",RIGHT($N1935,6)="tarief",F1935="Vergoeding"),SUM(P1935)*FLOOR(SUM(R1935),0.0001),AND(P1935&lt;&gt;"",R1935&lt;&gt;"",RIGHT($N1935,6)="tarief"),P1935*FLOOR(R1935,0.01),T1935&gt;0,FLOOR(SUM(T1935),0.01)),""),""),"")</f>
        <v/>
      </c>
      <c r="Y1935" s="314" t="str">
        <f t="shared" ca="1" si="122"/>
        <v/>
      </c>
      <c r="Z1935" s="314" t="str" cm="1">
        <f t="array" aca="1" ref="Z1935" ca="1">IFERROR(_xlfn.IFS(OR(F1935="",LEFT(Methode_Keuze,4)="Geen",Methode_Keuze=""),"",AND(W1935&lt;&gt;"",F1935&lt;&gt;"Arbeidskosten"),W1935*VLOOKUP(F1935,Tb_ProjectKosten[],MATCH(Tb_ProjectKosten[[#Headers],[Forfait_Percentage]],Tb_ProjectKosten[#Headers],0),0),AND(F1935="Arbeidskosten",G1935&lt;&gt;""),IFERROR(W1935*VLOOKUP(G1935,Tb_KostenTypen[],3,0)*VLOOKUP(F1935,Tb_ProjectKosten[],MATCH(Tb_ProjectKosten[[#Headers],[Forfait_Percentage]],Tb_ProjectKosten[#Headers],0),0),""),W1935 &lt;=0,0),"")</f>
        <v/>
      </c>
      <c r="AA1935" s="314" t="str" cm="1">
        <f t="array" aca="1" ref="AA1935" ca="1">IFERROR(_xlfn.IFS(OR(F1935="",LEFT(Methode_Keuze,4)="Geen",Methode_Keuze=""),"",AND(X1935&lt;&gt;"",F1935&lt;&gt;"Arbeidskosten"),X1935*VLOOKUP(F1935,Tb_ProjectKosten[],MATCH(Tb_ProjectKosten[[#Headers],[Forfait_Percentage]],Tb_ProjectKosten[#Headers],0),0),AND(F1935="Arbeidskosten",G1935&lt;&gt;""),IFERROR(X1935*VLOOKUP(G1935,Tb_KostenTypen[],3,0)*VLOOKUP(F1935,Tb_ProjectKosten[],MATCH(Tb_ProjectKosten[[#Headers],[Forfait_Percentage]],Tb_ProjectKosten[#Headers],0),0),""),X1935 &lt;=0,0),"")</f>
        <v/>
      </c>
      <c r="AB1935" s="314" t="str">
        <f t="shared" ca="1" si="123"/>
        <v/>
      </c>
      <c r="AC1935" s="322"/>
      <c r="AD1935" s="315"/>
      <c r="AE1935" s="32" t="str" cm="1">
        <f t="array" ref="AE1935">IFERROR(IF(INDEX(SubsidieTabel!$AD$1:$AG$12,MATCH($F1935,SubsidieTabel!$AD$1:$AD$12,0),IFERROR(MATCH(Methode_Keuze,SubsidieTabel!$AD$1:$AG$1,0),2))&lt;&gt;1=TRUE,"ja",""),"")</f>
        <v/>
      </c>
    </row>
    <row r="1936" spans="1:31" x14ac:dyDescent="0.25">
      <c r="A1936" s="316"/>
      <c r="B1936" s="317" t="str">
        <f>IF(A1936&lt;&gt;"",_xlfn.MAXIFS($B$1:B1935,$A$1:A1935,A1936)+1,"")</f>
        <v/>
      </c>
      <c r="C1936" s="296"/>
      <c r="D1936" s="296"/>
      <c r="E1936" s="296"/>
      <c r="F1936" s="296"/>
      <c r="G1936" s="326"/>
      <c r="H1936" s="324"/>
      <c r="I1936" s="325"/>
      <c r="J1936" s="325"/>
      <c r="K1936" s="318"/>
      <c r="L1936" s="318"/>
      <c r="M1936" s="319" t="str">
        <f>IFERROR(VLOOKUP(H1936,Lijsten!$H$1:$I$100,2,0),"")</f>
        <v/>
      </c>
      <c r="N1936" s="319" t="str">
        <f ca="1">IFERROR(IF(VLOOKUP(F1936,Kostentypen!$A$3:$E$21,3,0)=0,"",IF(OR(F1936="Arbeidskosten",F1936="Vergoeding"),VLOOKUP(G1936,Tb_KostenTypen[],2,0),VLOOKUP(F1936,Kostentypen!$A$3:$E$20,3,0))),"")</f>
        <v/>
      </c>
      <c r="O1936" s="320" t="str" cm="1">
        <f t="array" ref="O1936">_xlfn.IFNA(IF(INDEX(Tb_KostenOptiesDB[],MATCH($F1936,Tb_KostenOptiesDB[KostenOptie],0),IFERROR(MATCH(Methode_Keuze,Tb_KostenOptiesDB[#Headers],0),2))=1,_xlfn.SWITCH($N1936,"Uurtarief",IF(OR(AND(RIGHT($F1936,3)="IKS",VLOOKUP($M1936,DB_Loonkosten,2,0)="Ja"),AND(RIGHT($F1936,3)&lt;&gt;"IKS",VLOOKUP($M1936,DB_Loonkosten,2,0)="Nee")),IFERROR(VLOOKUP($M1936,DB_Loonkosten,24,0),""),0),"Vast tarief",IF(LEFT(F1936,8)="Bijdrage",VLOOKUP($F1936,Tb_KostenTypen[],MATCH(Lijsten!$P$1,Tb_KostenTypen[#Headers],0),0),VLOOKUP($G1936,Lijsten!L:P,MATCH(Lijsten!$P$1,Kop_Tarief_Vast,0),0))),""),"")</f>
        <v/>
      </c>
      <c r="P1936" s="320" t="str" cm="1">
        <f t="array" ref="P1936">_xlfn.IFNA(IF(INDEX(Tb_KostenOptiesDB[],MATCH($F1936,Tb_KostenOptiesDB[KostenOptie],0),IFERROR(MATCH(Methode_Keuze,Tb_KostenOptiesDB[#Headers],0),2))=1,_xlfn.SWITCH($N1936,"Uurtarief",IF(OR(AND(RIGHT($F1936,3)="IKS",VLOOKUP($M1936,DB_Loonkosten,2,0)="Ja"),AND(RIGHT($F1936,3)&lt;&gt;"IKS",VLOOKUP($M1936,DB_Loonkosten,2,0)="Nee")),IFERROR(VLOOKUP($M1936,DB_Loonkosten,25,0),""),0),"Vast tarief",IF(LEFT(F1936,8)="Bijdrage",VLOOKUP($F1936,Tb_KostenTypen[],MATCH(Lijsten!$P$1,Tb_KostenTypen[#Headers],0),0),VLOOKUP($G1936,Lijsten!L:P,MATCH(Lijsten!$P$1,Kop_Tarief_Vast,0),0))),""),"")</f>
        <v/>
      </c>
      <c r="Q1936" s="359"/>
      <c r="R1936" s="359"/>
      <c r="S1936" s="321"/>
      <c r="T1936" s="321"/>
      <c r="U1936" s="373" t="str">
        <f t="shared" si="120"/>
        <v/>
      </c>
      <c r="V1936" s="314" t="str">
        <f t="shared" si="121"/>
        <v/>
      </c>
      <c r="W1936" s="314" t="str" cm="1">
        <f t="array" aca="1" ref="W1936" ca="1">IFERROR(IF(AE1936&lt;&gt;"ja",_xlfn.IFNA(_xlfn.IFS(AND(O1936&lt;&gt;"",F1936&lt;&gt;"",RIGHT($N1936,6)="tarief",F1936="Vergoeding"),SUM(O1936)*FLOOR(SUM(Q1936),0.0001),AND(O1936&lt;&gt;"",F1936&lt;&gt;"",RIGHT($N1936,6)="tarief"),SUM(O1936)*FLOOR(SUM(Q1936),0.01),S1936&gt;0,IF(F1936&lt;&gt;"",FLOOR(SUM(S1936),0.01),"")),""),""),"")</f>
        <v/>
      </c>
      <c r="X1936" s="314" t="str" cm="1">
        <f t="array" aca="1" ref="X1936" ca="1">IFERROR(IF(AE1936&lt;&gt;"ja",_xlfn.IFNA(_xlfn.IFS(AND(P1936&lt;&gt;"",R1936&lt;&gt;"",RIGHT($N1936,6)="tarief",F1936="Vergoeding"),SUM(P1936)*FLOOR(SUM(R1936),0.0001),AND(P1936&lt;&gt;"",R1936&lt;&gt;"",RIGHT($N1936,6)="tarief"),P1936*FLOOR(R1936,0.01),T1936&gt;0,FLOOR(SUM(T1936),0.01)),""),""),"")</f>
        <v/>
      </c>
      <c r="Y1936" s="314" t="str">
        <f t="shared" ca="1" si="122"/>
        <v/>
      </c>
      <c r="Z1936" s="314" t="str" cm="1">
        <f t="array" aca="1" ref="Z1936" ca="1">IFERROR(_xlfn.IFS(OR(F1936="",LEFT(Methode_Keuze,4)="Geen",Methode_Keuze=""),"",AND(W1936&lt;&gt;"",F1936&lt;&gt;"Arbeidskosten"),W1936*VLOOKUP(F1936,Tb_ProjectKosten[],MATCH(Tb_ProjectKosten[[#Headers],[Forfait_Percentage]],Tb_ProjectKosten[#Headers],0),0),AND(F1936="Arbeidskosten",G1936&lt;&gt;""),IFERROR(W1936*VLOOKUP(G1936,Tb_KostenTypen[],3,0)*VLOOKUP(F1936,Tb_ProjectKosten[],MATCH(Tb_ProjectKosten[[#Headers],[Forfait_Percentage]],Tb_ProjectKosten[#Headers],0),0),""),W1936 &lt;=0,0),"")</f>
        <v/>
      </c>
      <c r="AA1936" s="314" t="str" cm="1">
        <f t="array" aca="1" ref="AA1936" ca="1">IFERROR(_xlfn.IFS(OR(F1936="",LEFT(Methode_Keuze,4)="Geen",Methode_Keuze=""),"",AND(X1936&lt;&gt;"",F1936&lt;&gt;"Arbeidskosten"),X1936*VLOOKUP(F1936,Tb_ProjectKosten[],MATCH(Tb_ProjectKosten[[#Headers],[Forfait_Percentage]],Tb_ProjectKosten[#Headers],0),0),AND(F1936="Arbeidskosten",G1936&lt;&gt;""),IFERROR(X1936*VLOOKUP(G1936,Tb_KostenTypen[],3,0)*VLOOKUP(F1936,Tb_ProjectKosten[],MATCH(Tb_ProjectKosten[[#Headers],[Forfait_Percentage]],Tb_ProjectKosten[#Headers],0),0),""),X1936 &lt;=0,0),"")</f>
        <v/>
      </c>
      <c r="AB1936" s="314" t="str">
        <f t="shared" ca="1" si="123"/>
        <v/>
      </c>
      <c r="AC1936" s="322"/>
      <c r="AD1936" s="315"/>
      <c r="AE1936" s="32" t="str" cm="1">
        <f t="array" ref="AE1936">IFERROR(IF(INDEX(SubsidieTabel!$AD$1:$AG$12,MATCH($F1936,SubsidieTabel!$AD$1:$AD$12,0),IFERROR(MATCH(Methode_Keuze,SubsidieTabel!$AD$1:$AG$1,0),2))&lt;&gt;1=TRUE,"ja",""),"")</f>
        <v/>
      </c>
    </row>
    <row r="1937" spans="1:31" x14ac:dyDescent="0.25">
      <c r="A1937" s="316"/>
      <c r="B1937" s="317" t="str">
        <f>IF(A1937&lt;&gt;"",_xlfn.MAXIFS($B$1:B1936,$A$1:A1936,A1937)+1,"")</f>
        <v/>
      </c>
      <c r="C1937" s="296"/>
      <c r="D1937" s="296"/>
      <c r="E1937" s="296"/>
      <c r="F1937" s="296"/>
      <c r="G1937" s="326"/>
      <c r="H1937" s="324"/>
      <c r="I1937" s="325"/>
      <c r="J1937" s="325"/>
      <c r="K1937" s="318"/>
      <c r="L1937" s="318"/>
      <c r="M1937" s="319" t="str">
        <f>IFERROR(VLOOKUP(H1937,Lijsten!$H$1:$I$100,2,0),"")</f>
        <v/>
      </c>
      <c r="N1937" s="319" t="str">
        <f ca="1">IFERROR(IF(VLOOKUP(F1937,Kostentypen!$A$3:$E$21,3,0)=0,"",IF(OR(F1937="Arbeidskosten",F1937="Vergoeding"),VLOOKUP(G1937,Tb_KostenTypen[],2,0),VLOOKUP(F1937,Kostentypen!$A$3:$E$20,3,0))),"")</f>
        <v/>
      </c>
      <c r="O1937" s="320" t="str" cm="1">
        <f t="array" ref="O1937">_xlfn.IFNA(IF(INDEX(Tb_KostenOptiesDB[],MATCH($F1937,Tb_KostenOptiesDB[KostenOptie],0),IFERROR(MATCH(Methode_Keuze,Tb_KostenOptiesDB[#Headers],0),2))=1,_xlfn.SWITCH($N1937,"Uurtarief",IF(OR(AND(RIGHT($F1937,3)="IKS",VLOOKUP($M1937,DB_Loonkosten,2,0)="Ja"),AND(RIGHT($F1937,3)&lt;&gt;"IKS",VLOOKUP($M1937,DB_Loonkosten,2,0)="Nee")),IFERROR(VLOOKUP($M1937,DB_Loonkosten,24,0),""),0),"Vast tarief",IF(LEFT(F1937,8)="Bijdrage",VLOOKUP($F1937,Tb_KostenTypen[],MATCH(Lijsten!$P$1,Tb_KostenTypen[#Headers],0),0),VLOOKUP($G1937,Lijsten!L:P,MATCH(Lijsten!$P$1,Kop_Tarief_Vast,0),0))),""),"")</f>
        <v/>
      </c>
      <c r="P1937" s="320" t="str" cm="1">
        <f t="array" ref="P1937">_xlfn.IFNA(IF(INDEX(Tb_KostenOptiesDB[],MATCH($F1937,Tb_KostenOptiesDB[KostenOptie],0),IFERROR(MATCH(Methode_Keuze,Tb_KostenOptiesDB[#Headers],0),2))=1,_xlfn.SWITCH($N1937,"Uurtarief",IF(OR(AND(RIGHT($F1937,3)="IKS",VLOOKUP($M1937,DB_Loonkosten,2,0)="Ja"),AND(RIGHT($F1937,3)&lt;&gt;"IKS",VLOOKUP($M1937,DB_Loonkosten,2,0)="Nee")),IFERROR(VLOOKUP($M1937,DB_Loonkosten,25,0),""),0),"Vast tarief",IF(LEFT(F1937,8)="Bijdrage",VLOOKUP($F1937,Tb_KostenTypen[],MATCH(Lijsten!$P$1,Tb_KostenTypen[#Headers],0),0),VLOOKUP($G1937,Lijsten!L:P,MATCH(Lijsten!$P$1,Kop_Tarief_Vast,0),0))),""),"")</f>
        <v/>
      </c>
      <c r="Q1937" s="359"/>
      <c r="R1937" s="359"/>
      <c r="S1937" s="321"/>
      <c r="T1937" s="321"/>
      <c r="U1937" s="373" t="str">
        <f t="shared" si="120"/>
        <v/>
      </c>
      <c r="V1937" s="314" t="str">
        <f t="shared" si="121"/>
        <v/>
      </c>
      <c r="W1937" s="314" t="str" cm="1">
        <f t="array" aca="1" ref="W1937" ca="1">IFERROR(IF(AE1937&lt;&gt;"ja",_xlfn.IFNA(_xlfn.IFS(AND(O1937&lt;&gt;"",F1937&lt;&gt;"",RIGHT($N1937,6)="tarief",F1937="Vergoeding"),SUM(O1937)*FLOOR(SUM(Q1937),0.0001),AND(O1937&lt;&gt;"",F1937&lt;&gt;"",RIGHT($N1937,6)="tarief"),SUM(O1937)*FLOOR(SUM(Q1937),0.01),S1937&gt;0,IF(F1937&lt;&gt;"",FLOOR(SUM(S1937),0.01),"")),""),""),"")</f>
        <v/>
      </c>
      <c r="X1937" s="314" t="str" cm="1">
        <f t="array" aca="1" ref="X1937" ca="1">IFERROR(IF(AE1937&lt;&gt;"ja",_xlfn.IFNA(_xlfn.IFS(AND(P1937&lt;&gt;"",R1937&lt;&gt;"",RIGHT($N1937,6)="tarief",F1937="Vergoeding"),SUM(P1937)*FLOOR(SUM(R1937),0.0001),AND(P1937&lt;&gt;"",R1937&lt;&gt;"",RIGHT($N1937,6)="tarief"),P1937*FLOOR(R1937,0.01),T1937&gt;0,FLOOR(SUM(T1937),0.01)),""),""),"")</f>
        <v/>
      </c>
      <c r="Y1937" s="314" t="str">
        <f t="shared" ca="1" si="122"/>
        <v/>
      </c>
      <c r="Z1937" s="314" t="str" cm="1">
        <f t="array" aca="1" ref="Z1937" ca="1">IFERROR(_xlfn.IFS(OR(F1937="",LEFT(Methode_Keuze,4)="Geen",Methode_Keuze=""),"",AND(W1937&lt;&gt;"",F1937&lt;&gt;"Arbeidskosten"),W1937*VLOOKUP(F1937,Tb_ProjectKosten[],MATCH(Tb_ProjectKosten[[#Headers],[Forfait_Percentage]],Tb_ProjectKosten[#Headers],0),0),AND(F1937="Arbeidskosten",G1937&lt;&gt;""),IFERROR(W1937*VLOOKUP(G1937,Tb_KostenTypen[],3,0)*VLOOKUP(F1937,Tb_ProjectKosten[],MATCH(Tb_ProjectKosten[[#Headers],[Forfait_Percentage]],Tb_ProjectKosten[#Headers],0),0),""),W1937 &lt;=0,0),"")</f>
        <v/>
      </c>
      <c r="AA1937" s="314" t="str" cm="1">
        <f t="array" aca="1" ref="AA1937" ca="1">IFERROR(_xlfn.IFS(OR(F1937="",LEFT(Methode_Keuze,4)="Geen",Methode_Keuze=""),"",AND(X1937&lt;&gt;"",F1937&lt;&gt;"Arbeidskosten"),X1937*VLOOKUP(F1937,Tb_ProjectKosten[],MATCH(Tb_ProjectKosten[[#Headers],[Forfait_Percentage]],Tb_ProjectKosten[#Headers],0),0),AND(F1937="Arbeidskosten",G1937&lt;&gt;""),IFERROR(X1937*VLOOKUP(G1937,Tb_KostenTypen[],3,0)*VLOOKUP(F1937,Tb_ProjectKosten[],MATCH(Tb_ProjectKosten[[#Headers],[Forfait_Percentage]],Tb_ProjectKosten[#Headers],0),0),""),X1937 &lt;=0,0),"")</f>
        <v/>
      </c>
      <c r="AB1937" s="314" t="str">
        <f t="shared" ca="1" si="123"/>
        <v/>
      </c>
      <c r="AC1937" s="322"/>
      <c r="AD1937" s="315"/>
      <c r="AE1937" s="32" t="str" cm="1">
        <f t="array" ref="AE1937">IFERROR(IF(INDEX(SubsidieTabel!$AD$1:$AG$12,MATCH($F1937,SubsidieTabel!$AD$1:$AD$12,0),IFERROR(MATCH(Methode_Keuze,SubsidieTabel!$AD$1:$AG$1,0),2))&lt;&gt;1=TRUE,"ja",""),"")</f>
        <v/>
      </c>
    </row>
    <row r="1938" spans="1:31" x14ac:dyDescent="0.25">
      <c r="A1938" s="316"/>
      <c r="B1938" s="317" t="str">
        <f>IF(A1938&lt;&gt;"",_xlfn.MAXIFS($B$1:B1937,$A$1:A1937,A1938)+1,"")</f>
        <v/>
      </c>
      <c r="C1938" s="296"/>
      <c r="D1938" s="296"/>
      <c r="E1938" s="296"/>
      <c r="F1938" s="296"/>
      <c r="G1938" s="326"/>
      <c r="H1938" s="324"/>
      <c r="I1938" s="325"/>
      <c r="J1938" s="325"/>
      <c r="K1938" s="318"/>
      <c r="L1938" s="318"/>
      <c r="M1938" s="319" t="str">
        <f>IFERROR(VLOOKUP(H1938,Lijsten!$H$1:$I$100,2,0),"")</f>
        <v/>
      </c>
      <c r="N1938" s="319" t="str">
        <f ca="1">IFERROR(IF(VLOOKUP(F1938,Kostentypen!$A$3:$E$21,3,0)=0,"",IF(OR(F1938="Arbeidskosten",F1938="Vergoeding"),VLOOKUP(G1938,Tb_KostenTypen[],2,0),VLOOKUP(F1938,Kostentypen!$A$3:$E$20,3,0))),"")</f>
        <v/>
      </c>
      <c r="O1938" s="320" t="str" cm="1">
        <f t="array" ref="O1938">_xlfn.IFNA(IF(INDEX(Tb_KostenOptiesDB[],MATCH($F1938,Tb_KostenOptiesDB[KostenOptie],0),IFERROR(MATCH(Methode_Keuze,Tb_KostenOptiesDB[#Headers],0),2))=1,_xlfn.SWITCH($N1938,"Uurtarief",IF(OR(AND(RIGHT($F1938,3)="IKS",VLOOKUP($M1938,DB_Loonkosten,2,0)="Ja"),AND(RIGHT($F1938,3)&lt;&gt;"IKS",VLOOKUP($M1938,DB_Loonkosten,2,0)="Nee")),IFERROR(VLOOKUP($M1938,DB_Loonkosten,24,0),""),0),"Vast tarief",IF(LEFT(F1938,8)="Bijdrage",VLOOKUP($F1938,Tb_KostenTypen[],MATCH(Lijsten!$P$1,Tb_KostenTypen[#Headers],0),0),VLOOKUP($G1938,Lijsten!L:P,MATCH(Lijsten!$P$1,Kop_Tarief_Vast,0),0))),""),"")</f>
        <v/>
      </c>
      <c r="P1938" s="320" t="str" cm="1">
        <f t="array" ref="P1938">_xlfn.IFNA(IF(INDEX(Tb_KostenOptiesDB[],MATCH($F1938,Tb_KostenOptiesDB[KostenOptie],0),IFERROR(MATCH(Methode_Keuze,Tb_KostenOptiesDB[#Headers],0),2))=1,_xlfn.SWITCH($N1938,"Uurtarief",IF(OR(AND(RIGHT($F1938,3)="IKS",VLOOKUP($M1938,DB_Loonkosten,2,0)="Ja"),AND(RIGHT($F1938,3)&lt;&gt;"IKS",VLOOKUP($M1938,DB_Loonkosten,2,0)="Nee")),IFERROR(VLOOKUP($M1938,DB_Loonkosten,25,0),""),0),"Vast tarief",IF(LEFT(F1938,8)="Bijdrage",VLOOKUP($F1938,Tb_KostenTypen[],MATCH(Lijsten!$P$1,Tb_KostenTypen[#Headers],0),0),VLOOKUP($G1938,Lijsten!L:P,MATCH(Lijsten!$P$1,Kop_Tarief_Vast,0),0))),""),"")</f>
        <v/>
      </c>
      <c r="Q1938" s="359"/>
      <c r="R1938" s="359"/>
      <c r="S1938" s="321"/>
      <c r="T1938" s="321"/>
      <c r="U1938" s="373" t="str">
        <f t="shared" si="120"/>
        <v/>
      </c>
      <c r="V1938" s="314" t="str">
        <f t="shared" si="121"/>
        <v/>
      </c>
      <c r="W1938" s="314" t="str" cm="1">
        <f t="array" aca="1" ref="W1938" ca="1">IFERROR(IF(AE1938&lt;&gt;"ja",_xlfn.IFNA(_xlfn.IFS(AND(O1938&lt;&gt;"",F1938&lt;&gt;"",RIGHT($N1938,6)="tarief",F1938="Vergoeding"),SUM(O1938)*FLOOR(SUM(Q1938),0.0001),AND(O1938&lt;&gt;"",F1938&lt;&gt;"",RIGHT($N1938,6)="tarief"),SUM(O1938)*FLOOR(SUM(Q1938),0.01),S1938&gt;0,IF(F1938&lt;&gt;"",FLOOR(SUM(S1938),0.01),"")),""),""),"")</f>
        <v/>
      </c>
      <c r="X1938" s="314" t="str" cm="1">
        <f t="array" aca="1" ref="X1938" ca="1">IFERROR(IF(AE1938&lt;&gt;"ja",_xlfn.IFNA(_xlfn.IFS(AND(P1938&lt;&gt;"",R1938&lt;&gt;"",RIGHT($N1938,6)="tarief",F1938="Vergoeding"),SUM(P1938)*FLOOR(SUM(R1938),0.0001),AND(P1938&lt;&gt;"",R1938&lt;&gt;"",RIGHT($N1938,6)="tarief"),P1938*FLOOR(R1938,0.01),T1938&gt;0,FLOOR(SUM(T1938),0.01)),""),""),"")</f>
        <v/>
      </c>
      <c r="Y1938" s="314" t="str">
        <f t="shared" ca="1" si="122"/>
        <v/>
      </c>
      <c r="Z1938" s="314" t="str" cm="1">
        <f t="array" aca="1" ref="Z1938" ca="1">IFERROR(_xlfn.IFS(OR(F1938="",LEFT(Methode_Keuze,4)="Geen",Methode_Keuze=""),"",AND(W1938&lt;&gt;"",F1938&lt;&gt;"Arbeidskosten"),W1938*VLOOKUP(F1938,Tb_ProjectKosten[],MATCH(Tb_ProjectKosten[[#Headers],[Forfait_Percentage]],Tb_ProjectKosten[#Headers],0),0),AND(F1938="Arbeidskosten",G1938&lt;&gt;""),IFERROR(W1938*VLOOKUP(G1938,Tb_KostenTypen[],3,0)*VLOOKUP(F1938,Tb_ProjectKosten[],MATCH(Tb_ProjectKosten[[#Headers],[Forfait_Percentage]],Tb_ProjectKosten[#Headers],0),0),""),W1938 &lt;=0,0),"")</f>
        <v/>
      </c>
      <c r="AA1938" s="314" t="str" cm="1">
        <f t="array" aca="1" ref="AA1938" ca="1">IFERROR(_xlfn.IFS(OR(F1938="",LEFT(Methode_Keuze,4)="Geen",Methode_Keuze=""),"",AND(X1938&lt;&gt;"",F1938&lt;&gt;"Arbeidskosten"),X1938*VLOOKUP(F1938,Tb_ProjectKosten[],MATCH(Tb_ProjectKosten[[#Headers],[Forfait_Percentage]],Tb_ProjectKosten[#Headers],0),0),AND(F1938="Arbeidskosten",G1938&lt;&gt;""),IFERROR(X1938*VLOOKUP(G1938,Tb_KostenTypen[],3,0)*VLOOKUP(F1938,Tb_ProjectKosten[],MATCH(Tb_ProjectKosten[[#Headers],[Forfait_Percentage]],Tb_ProjectKosten[#Headers],0),0),""),X1938 &lt;=0,0),"")</f>
        <v/>
      </c>
      <c r="AB1938" s="314" t="str">
        <f t="shared" ca="1" si="123"/>
        <v/>
      </c>
      <c r="AC1938" s="322"/>
      <c r="AD1938" s="315"/>
      <c r="AE1938" s="32" t="str" cm="1">
        <f t="array" ref="AE1938">IFERROR(IF(INDEX(SubsidieTabel!$AD$1:$AG$12,MATCH($F1938,SubsidieTabel!$AD$1:$AD$12,0),IFERROR(MATCH(Methode_Keuze,SubsidieTabel!$AD$1:$AG$1,0),2))&lt;&gt;1=TRUE,"ja",""),"")</f>
        <v/>
      </c>
    </row>
    <row r="1939" spans="1:31" x14ac:dyDescent="0.25">
      <c r="A1939" s="316"/>
      <c r="B1939" s="317" t="str">
        <f>IF(A1939&lt;&gt;"",_xlfn.MAXIFS($B$1:B1938,$A$1:A1938,A1939)+1,"")</f>
        <v/>
      </c>
      <c r="C1939" s="296"/>
      <c r="D1939" s="296"/>
      <c r="E1939" s="296"/>
      <c r="F1939" s="296"/>
      <c r="G1939" s="326"/>
      <c r="H1939" s="324"/>
      <c r="I1939" s="325"/>
      <c r="J1939" s="325"/>
      <c r="K1939" s="318"/>
      <c r="L1939" s="318"/>
      <c r="M1939" s="319" t="str">
        <f>IFERROR(VLOOKUP(H1939,Lijsten!$H$1:$I$100,2,0),"")</f>
        <v/>
      </c>
      <c r="N1939" s="319" t="str">
        <f ca="1">IFERROR(IF(VLOOKUP(F1939,Kostentypen!$A$3:$E$21,3,0)=0,"",IF(OR(F1939="Arbeidskosten",F1939="Vergoeding"),VLOOKUP(G1939,Tb_KostenTypen[],2,0),VLOOKUP(F1939,Kostentypen!$A$3:$E$20,3,0))),"")</f>
        <v/>
      </c>
      <c r="O1939" s="320" t="str" cm="1">
        <f t="array" ref="O1939">_xlfn.IFNA(IF(INDEX(Tb_KostenOptiesDB[],MATCH($F1939,Tb_KostenOptiesDB[KostenOptie],0),IFERROR(MATCH(Methode_Keuze,Tb_KostenOptiesDB[#Headers],0),2))=1,_xlfn.SWITCH($N1939,"Uurtarief",IF(OR(AND(RIGHT($F1939,3)="IKS",VLOOKUP($M1939,DB_Loonkosten,2,0)="Ja"),AND(RIGHT($F1939,3)&lt;&gt;"IKS",VLOOKUP($M1939,DB_Loonkosten,2,0)="Nee")),IFERROR(VLOOKUP($M1939,DB_Loonkosten,24,0),""),0),"Vast tarief",IF(LEFT(F1939,8)="Bijdrage",VLOOKUP($F1939,Tb_KostenTypen[],MATCH(Lijsten!$P$1,Tb_KostenTypen[#Headers],0),0),VLOOKUP($G1939,Lijsten!L:P,MATCH(Lijsten!$P$1,Kop_Tarief_Vast,0),0))),""),"")</f>
        <v/>
      </c>
      <c r="P1939" s="320" t="str" cm="1">
        <f t="array" ref="P1939">_xlfn.IFNA(IF(INDEX(Tb_KostenOptiesDB[],MATCH($F1939,Tb_KostenOptiesDB[KostenOptie],0),IFERROR(MATCH(Methode_Keuze,Tb_KostenOptiesDB[#Headers],0),2))=1,_xlfn.SWITCH($N1939,"Uurtarief",IF(OR(AND(RIGHT($F1939,3)="IKS",VLOOKUP($M1939,DB_Loonkosten,2,0)="Ja"),AND(RIGHT($F1939,3)&lt;&gt;"IKS",VLOOKUP($M1939,DB_Loonkosten,2,0)="Nee")),IFERROR(VLOOKUP($M1939,DB_Loonkosten,25,0),""),0),"Vast tarief",IF(LEFT(F1939,8)="Bijdrage",VLOOKUP($F1939,Tb_KostenTypen[],MATCH(Lijsten!$P$1,Tb_KostenTypen[#Headers],0),0),VLOOKUP($G1939,Lijsten!L:P,MATCH(Lijsten!$P$1,Kop_Tarief_Vast,0),0))),""),"")</f>
        <v/>
      </c>
      <c r="Q1939" s="359"/>
      <c r="R1939" s="359"/>
      <c r="S1939" s="321"/>
      <c r="T1939" s="321"/>
      <c r="U1939" s="373" t="str">
        <f t="shared" si="120"/>
        <v/>
      </c>
      <c r="V1939" s="314" t="str">
        <f t="shared" si="121"/>
        <v/>
      </c>
      <c r="W1939" s="314" t="str" cm="1">
        <f t="array" aca="1" ref="W1939" ca="1">IFERROR(IF(AE1939&lt;&gt;"ja",_xlfn.IFNA(_xlfn.IFS(AND(O1939&lt;&gt;"",F1939&lt;&gt;"",RIGHT($N1939,6)="tarief",F1939="Vergoeding"),SUM(O1939)*FLOOR(SUM(Q1939),0.0001),AND(O1939&lt;&gt;"",F1939&lt;&gt;"",RIGHT($N1939,6)="tarief"),SUM(O1939)*FLOOR(SUM(Q1939),0.01),S1939&gt;0,IF(F1939&lt;&gt;"",FLOOR(SUM(S1939),0.01),"")),""),""),"")</f>
        <v/>
      </c>
      <c r="X1939" s="314" t="str" cm="1">
        <f t="array" aca="1" ref="X1939" ca="1">IFERROR(IF(AE1939&lt;&gt;"ja",_xlfn.IFNA(_xlfn.IFS(AND(P1939&lt;&gt;"",R1939&lt;&gt;"",RIGHT($N1939,6)="tarief",F1939="Vergoeding"),SUM(P1939)*FLOOR(SUM(R1939),0.0001),AND(P1939&lt;&gt;"",R1939&lt;&gt;"",RIGHT($N1939,6)="tarief"),P1939*FLOOR(R1939,0.01),T1939&gt;0,FLOOR(SUM(T1939),0.01)),""),""),"")</f>
        <v/>
      </c>
      <c r="Y1939" s="314" t="str">
        <f t="shared" ca="1" si="122"/>
        <v/>
      </c>
      <c r="Z1939" s="314" t="str" cm="1">
        <f t="array" aca="1" ref="Z1939" ca="1">IFERROR(_xlfn.IFS(OR(F1939="",LEFT(Methode_Keuze,4)="Geen",Methode_Keuze=""),"",AND(W1939&lt;&gt;"",F1939&lt;&gt;"Arbeidskosten"),W1939*VLOOKUP(F1939,Tb_ProjectKosten[],MATCH(Tb_ProjectKosten[[#Headers],[Forfait_Percentage]],Tb_ProjectKosten[#Headers],0),0),AND(F1939="Arbeidskosten",G1939&lt;&gt;""),IFERROR(W1939*VLOOKUP(G1939,Tb_KostenTypen[],3,0)*VLOOKUP(F1939,Tb_ProjectKosten[],MATCH(Tb_ProjectKosten[[#Headers],[Forfait_Percentage]],Tb_ProjectKosten[#Headers],0),0),""),W1939 &lt;=0,0),"")</f>
        <v/>
      </c>
      <c r="AA1939" s="314" t="str" cm="1">
        <f t="array" aca="1" ref="AA1939" ca="1">IFERROR(_xlfn.IFS(OR(F1939="",LEFT(Methode_Keuze,4)="Geen",Methode_Keuze=""),"",AND(X1939&lt;&gt;"",F1939&lt;&gt;"Arbeidskosten"),X1939*VLOOKUP(F1939,Tb_ProjectKosten[],MATCH(Tb_ProjectKosten[[#Headers],[Forfait_Percentage]],Tb_ProjectKosten[#Headers],0),0),AND(F1939="Arbeidskosten",G1939&lt;&gt;""),IFERROR(X1939*VLOOKUP(G1939,Tb_KostenTypen[],3,0)*VLOOKUP(F1939,Tb_ProjectKosten[],MATCH(Tb_ProjectKosten[[#Headers],[Forfait_Percentage]],Tb_ProjectKosten[#Headers],0),0),""),X1939 &lt;=0,0),"")</f>
        <v/>
      </c>
      <c r="AB1939" s="314" t="str">
        <f t="shared" ca="1" si="123"/>
        <v/>
      </c>
      <c r="AC1939" s="322"/>
      <c r="AD1939" s="315"/>
      <c r="AE1939" s="32" t="str" cm="1">
        <f t="array" ref="AE1939">IFERROR(IF(INDEX(SubsidieTabel!$AD$1:$AG$12,MATCH($F1939,SubsidieTabel!$AD$1:$AD$12,0),IFERROR(MATCH(Methode_Keuze,SubsidieTabel!$AD$1:$AG$1,0),2))&lt;&gt;1=TRUE,"ja",""),"")</f>
        <v/>
      </c>
    </row>
    <row r="1940" spans="1:31" x14ac:dyDescent="0.25">
      <c r="A1940" s="316"/>
      <c r="B1940" s="317" t="str">
        <f>IF(A1940&lt;&gt;"",_xlfn.MAXIFS($B$1:B1939,$A$1:A1939,A1940)+1,"")</f>
        <v/>
      </c>
      <c r="C1940" s="296"/>
      <c r="D1940" s="296"/>
      <c r="E1940" s="296"/>
      <c r="F1940" s="296"/>
      <c r="G1940" s="326"/>
      <c r="H1940" s="324"/>
      <c r="I1940" s="325"/>
      <c r="J1940" s="325"/>
      <c r="K1940" s="318"/>
      <c r="L1940" s="318"/>
      <c r="M1940" s="319" t="str">
        <f>IFERROR(VLOOKUP(H1940,Lijsten!$H$1:$I$100,2,0),"")</f>
        <v/>
      </c>
      <c r="N1940" s="319" t="str">
        <f ca="1">IFERROR(IF(VLOOKUP(F1940,Kostentypen!$A$3:$E$21,3,0)=0,"",IF(OR(F1940="Arbeidskosten",F1940="Vergoeding"),VLOOKUP(G1940,Tb_KostenTypen[],2,0),VLOOKUP(F1940,Kostentypen!$A$3:$E$20,3,0))),"")</f>
        <v/>
      </c>
      <c r="O1940" s="320" t="str" cm="1">
        <f t="array" ref="O1940">_xlfn.IFNA(IF(INDEX(Tb_KostenOptiesDB[],MATCH($F1940,Tb_KostenOptiesDB[KostenOptie],0),IFERROR(MATCH(Methode_Keuze,Tb_KostenOptiesDB[#Headers],0),2))=1,_xlfn.SWITCH($N1940,"Uurtarief",IF(OR(AND(RIGHT($F1940,3)="IKS",VLOOKUP($M1940,DB_Loonkosten,2,0)="Ja"),AND(RIGHT($F1940,3)&lt;&gt;"IKS",VLOOKUP($M1940,DB_Loonkosten,2,0)="Nee")),IFERROR(VLOOKUP($M1940,DB_Loonkosten,24,0),""),0),"Vast tarief",IF(LEFT(F1940,8)="Bijdrage",VLOOKUP($F1940,Tb_KostenTypen[],MATCH(Lijsten!$P$1,Tb_KostenTypen[#Headers],0),0),VLOOKUP($G1940,Lijsten!L:P,MATCH(Lijsten!$P$1,Kop_Tarief_Vast,0),0))),""),"")</f>
        <v/>
      </c>
      <c r="P1940" s="320" t="str" cm="1">
        <f t="array" ref="P1940">_xlfn.IFNA(IF(INDEX(Tb_KostenOptiesDB[],MATCH($F1940,Tb_KostenOptiesDB[KostenOptie],0),IFERROR(MATCH(Methode_Keuze,Tb_KostenOptiesDB[#Headers],0),2))=1,_xlfn.SWITCH($N1940,"Uurtarief",IF(OR(AND(RIGHT($F1940,3)="IKS",VLOOKUP($M1940,DB_Loonkosten,2,0)="Ja"),AND(RIGHT($F1940,3)&lt;&gt;"IKS",VLOOKUP($M1940,DB_Loonkosten,2,0)="Nee")),IFERROR(VLOOKUP($M1940,DB_Loonkosten,25,0),""),0),"Vast tarief",IF(LEFT(F1940,8)="Bijdrage",VLOOKUP($F1940,Tb_KostenTypen[],MATCH(Lijsten!$P$1,Tb_KostenTypen[#Headers],0),0),VLOOKUP($G1940,Lijsten!L:P,MATCH(Lijsten!$P$1,Kop_Tarief_Vast,0),0))),""),"")</f>
        <v/>
      </c>
      <c r="Q1940" s="359"/>
      <c r="R1940" s="359"/>
      <c r="S1940" s="321"/>
      <c r="T1940" s="321"/>
      <c r="U1940" s="373" t="str">
        <f t="shared" si="120"/>
        <v/>
      </c>
      <c r="V1940" s="314" t="str">
        <f t="shared" si="121"/>
        <v/>
      </c>
      <c r="W1940" s="314" t="str" cm="1">
        <f t="array" aca="1" ref="W1940" ca="1">IFERROR(IF(AE1940&lt;&gt;"ja",_xlfn.IFNA(_xlfn.IFS(AND(O1940&lt;&gt;"",F1940&lt;&gt;"",RIGHT($N1940,6)="tarief",F1940="Vergoeding"),SUM(O1940)*FLOOR(SUM(Q1940),0.0001),AND(O1940&lt;&gt;"",F1940&lt;&gt;"",RIGHT($N1940,6)="tarief"),SUM(O1940)*FLOOR(SUM(Q1940),0.01),S1940&gt;0,IF(F1940&lt;&gt;"",FLOOR(SUM(S1940),0.01),"")),""),""),"")</f>
        <v/>
      </c>
      <c r="X1940" s="314" t="str" cm="1">
        <f t="array" aca="1" ref="X1940" ca="1">IFERROR(IF(AE1940&lt;&gt;"ja",_xlfn.IFNA(_xlfn.IFS(AND(P1940&lt;&gt;"",R1940&lt;&gt;"",RIGHT($N1940,6)="tarief",F1940="Vergoeding"),SUM(P1940)*FLOOR(SUM(R1940),0.0001),AND(P1940&lt;&gt;"",R1940&lt;&gt;"",RIGHT($N1940,6)="tarief"),P1940*FLOOR(R1940,0.01),T1940&gt;0,FLOOR(SUM(T1940),0.01)),""),""),"")</f>
        <v/>
      </c>
      <c r="Y1940" s="314" t="str">
        <f t="shared" ca="1" si="122"/>
        <v/>
      </c>
      <c r="Z1940" s="314" t="str" cm="1">
        <f t="array" aca="1" ref="Z1940" ca="1">IFERROR(_xlfn.IFS(OR(F1940="",LEFT(Methode_Keuze,4)="Geen",Methode_Keuze=""),"",AND(W1940&lt;&gt;"",F1940&lt;&gt;"Arbeidskosten"),W1940*VLOOKUP(F1940,Tb_ProjectKosten[],MATCH(Tb_ProjectKosten[[#Headers],[Forfait_Percentage]],Tb_ProjectKosten[#Headers],0),0),AND(F1940="Arbeidskosten",G1940&lt;&gt;""),IFERROR(W1940*VLOOKUP(G1940,Tb_KostenTypen[],3,0)*VLOOKUP(F1940,Tb_ProjectKosten[],MATCH(Tb_ProjectKosten[[#Headers],[Forfait_Percentage]],Tb_ProjectKosten[#Headers],0),0),""),W1940 &lt;=0,0),"")</f>
        <v/>
      </c>
      <c r="AA1940" s="314" t="str" cm="1">
        <f t="array" aca="1" ref="AA1940" ca="1">IFERROR(_xlfn.IFS(OR(F1940="",LEFT(Methode_Keuze,4)="Geen",Methode_Keuze=""),"",AND(X1940&lt;&gt;"",F1940&lt;&gt;"Arbeidskosten"),X1940*VLOOKUP(F1940,Tb_ProjectKosten[],MATCH(Tb_ProjectKosten[[#Headers],[Forfait_Percentage]],Tb_ProjectKosten[#Headers],0),0),AND(F1940="Arbeidskosten",G1940&lt;&gt;""),IFERROR(X1940*VLOOKUP(G1940,Tb_KostenTypen[],3,0)*VLOOKUP(F1940,Tb_ProjectKosten[],MATCH(Tb_ProjectKosten[[#Headers],[Forfait_Percentage]],Tb_ProjectKosten[#Headers],0),0),""),X1940 &lt;=0,0),"")</f>
        <v/>
      </c>
      <c r="AB1940" s="314" t="str">
        <f t="shared" ca="1" si="123"/>
        <v/>
      </c>
      <c r="AC1940" s="322"/>
      <c r="AD1940" s="315"/>
      <c r="AE1940" s="32" t="str" cm="1">
        <f t="array" ref="AE1940">IFERROR(IF(INDEX(SubsidieTabel!$AD$1:$AG$12,MATCH($F1940,SubsidieTabel!$AD$1:$AD$12,0),IFERROR(MATCH(Methode_Keuze,SubsidieTabel!$AD$1:$AG$1,0),2))&lt;&gt;1=TRUE,"ja",""),"")</f>
        <v/>
      </c>
    </row>
    <row r="1941" spans="1:31" x14ac:dyDescent="0.25">
      <c r="A1941" s="316"/>
      <c r="B1941" s="317" t="str">
        <f>IF(A1941&lt;&gt;"",_xlfn.MAXIFS($B$1:B1940,$A$1:A1940,A1941)+1,"")</f>
        <v/>
      </c>
      <c r="C1941" s="296"/>
      <c r="D1941" s="296"/>
      <c r="E1941" s="296"/>
      <c r="F1941" s="296"/>
      <c r="G1941" s="326"/>
      <c r="H1941" s="324"/>
      <c r="I1941" s="325"/>
      <c r="J1941" s="325"/>
      <c r="K1941" s="318"/>
      <c r="L1941" s="318"/>
      <c r="M1941" s="319" t="str">
        <f>IFERROR(VLOOKUP(H1941,Lijsten!$H$1:$I$100,2,0),"")</f>
        <v/>
      </c>
      <c r="N1941" s="319" t="str">
        <f ca="1">IFERROR(IF(VLOOKUP(F1941,Kostentypen!$A$3:$E$21,3,0)=0,"",IF(OR(F1941="Arbeidskosten",F1941="Vergoeding"),VLOOKUP(G1941,Tb_KostenTypen[],2,0),VLOOKUP(F1941,Kostentypen!$A$3:$E$20,3,0))),"")</f>
        <v/>
      </c>
      <c r="O1941" s="320" t="str" cm="1">
        <f t="array" ref="O1941">_xlfn.IFNA(IF(INDEX(Tb_KostenOptiesDB[],MATCH($F1941,Tb_KostenOptiesDB[KostenOptie],0),IFERROR(MATCH(Methode_Keuze,Tb_KostenOptiesDB[#Headers],0),2))=1,_xlfn.SWITCH($N1941,"Uurtarief",IF(OR(AND(RIGHT($F1941,3)="IKS",VLOOKUP($M1941,DB_Loonkosten,2,0)="Ja"),AND(RIGHT($F1941,3)&lt;&gt;"IKS",VLOOKUP($M1941,DB_Loonkosten,2,0)="Nee")),IFERROR(VLOOKUP($M1941,DB_Loonkosten,24,0),""),0),"Vast tarief",IF(LEFT(F1941,8)="Bijdrage",VLOOKUP($F1941,Tb_KostenTypen[],MATCH(Lijsten!$P$1,Tb_KostenTypen[#Headers],0),0),VLOOKUP($G1941,Lijsten!L:P,MATCH(Lijsten!$P$1,Kop_Tarief_Vast,0),0))),""),"")</f>
        <v/>
      </c>
      <c r="P1941" s="320" t="str" cm="1">
        <f t="array" ref="P1941">_xlfn.IFNA(IF(INDEX(Tb_KostenOptiesDB[],MATCH($F1941,Tb_KostenOptiesDB[KostenOptie],0),IFERROR(MATCH(Methode_Keuze,Tb_KostenOptiesDB[#Headers],0),2))=1,_xlfn.SWITCH($N1941,"Uurtarief",IF(OR(AND(RIGHT($F1941,3)="IKS",VLOOKUP($M1941,DB_Loonkosten,2,0)="Ja"),AND(RIGHT($F1941,3)&lt;&gt;"IKS",VLOOKUP($M1941,DB_Loonkosten,2,0)="Nee")),IFERROR(VLOOKUP($M1941,DB_Loonkosten,25,0),""),0),"Vast tarief",IF(LEFT(F1941,8)="Bijdrage",VLOOKUP($F1941,Tb_KostenTypen[],MATCH(Lijsten!$P$1,Tb_KostenTypen[#Headers],0),0),VLOOKUP($G1941,Lijsten!L:P,MATCH(Lijsten!$P$1,Kop_Tarief_Vast,0),0))),""),"")</f>
        <v/>
      </c>
      <c r="Q1941" s="359"/>
      <c r="R1941" s="359"/>
      <c r="S1941" s="321"/>
      <c r="T1941" s="321"/>
      <c r="U1941" s="373" t="str">
        <f t="shared" si="120"/>
        <v/>
      </c>
      <c r="V1941" s="314" t="str">
        <f t="shared" si="121"/>
        <v/>
      </c>
      <c r="W1941" s="314" t="str" cm="1">
        <f t="array" aca="1" ref="W1941" ca="1">IFERROR(IF(AE1941&lt;&gt;"ja",_xlfn.IFNA(_xlfn.IFS(AND(O1941&lt;&gt;"",F1941&lt;&gt;"",RIGHT($N1941,6)="tarief",F1941="Vergoeding"),SUM(O1941)*FLOOR(SUM(Q1941),0.0001),AND(O1941&lt;&gt;"",F1941&lt;&gt;"",RIGHT($N1941,6)="tarief"),SUM(O1941)*FLOOR(SUM(Q1941),0.01),S1941&gt;0,IF(F1941&lt;&gt;"",FLOOR(SUM(S1941),0.01),"")),""),""),"")</f>
        <v/>
      </c>
      <c r="X1941" s="314" t="str" cm="1">
        <f t="array" aca="1" ref="X1941" ca="1">IFERROR(IF(AE1941&lt;&gt;"ja",_xlfn.IFNA(_xlfn.IFS(AND(P1941&lt;&gt;"",R1941&lt;&gt;"",RIGHT($N1941,6)="tarief",F1941="Vergoeding"),SUM(P1941)*FLOOR(SUM(R1941),0.0001),AND(P1941&lt;&gt;"",R1941&lt;&gt;"",RIGHT($N1941,6)="tarief"),P1941*FLOOR(R1941,0.01),T1941&gt;0,FLOOR(SUM(T1941),0.01)),""),""),"")</f>
        <v/>
      </c>
      <c r="Y1941" s="314" t="str">
        <f t="shared" ca="1" si="122"/>
        <v/>
      </c>
      <c r="Z1941" s="314" t="str" cm="1">
        <f t="array" aca="1" ref="Z1941" ca="1">IFERROR(_xlfn.IFS(OR(F1941="",LEFT(Methode_Keuze,4)="Geen",Methode_Keuze=""),"",AND(W1941&lt;&gt;"",F1941&lt;&gt;"Arbeidskosten"),W1941*VLOOKUP(F1941,Tb_ProjectKosten[],MATCH(Tb_ProjectKosten[[#Headers],[Forfait_Percentage]],Tb_ProjectKosten[#Headers],0),0),AND(F1941="Arbeidskosten",G1941&lt;&gt;""),IFERROR(W1941*VLOOKUP(G1941,Tb_KostenTypen[],3,0)*VLOOKUP(F1941,Tb_ProjectKosten[],MATCH(Tb_ProjectKosten[[#Headers],[Forfait_Percentage]],Tb_ProjectKosten[#Headers],0),0),""),W1941 &lt;=0,0),"")</f>
        <v/>
      </c>
      <c r="AA1941" s="314" t="str" cm="1">
        <f t="array" aca="1" ref="AA1941" ca="1">IFERROR(_xlfn.IFS(OR(F1941="",LEFT(Methode_Keuze,4)="Geen",Methode_Keuze=""),"",AND(X1941&lt;&gt;"",F1941&lt;&gt;"Arbeidskosten"),X1941*VLOOKUP(F1941,Tb_ProjectKosten[],MATCH(Tb_ProjectKosten[[#Headers],[Forfait_Percentage]],Tb_ProjectKosten[#Headers],0),0),AND(F1941="Arbeidskosten",G1941&lt;&gt;""),IFERROR(X1941*VLOOKUP(G1941,Tb_KostenTypen[],3,0)*VLOOKUP(F1941,Tb_ProjectKosten[],MATCH(Tb_ProjectKosten[[#Headers],[Forfait_Percentage]],Tb_ProjectKosten[#Headers],0),0),""),X1941 &lt;=0,0),"")</f>
        <v/>
      </c>
      <c r="AB1941" s="314" t="str">
        <f t="shared" ca="1" si="123"/>
        <v/>
      </c>
      <c r="AC1941" s="322"/>
      <c r="AD1941" s="315"/>
      <c r="AE1941" s="32" t="str" cm="1">
        <f t="array" ref="AE1941">IFERROR(IF(INDEX(SubsidieTabel!$AD$1:$AG$12,MATCH($F1941,SubsidieTabel!$AD$1:$AD$12,0),IFERROR(MATCH(Methode_Keuze,SubsidieTabel!$AD$1:$AG$1,0),2))&lt;&gt;1=TRUE,"ja",""),"")</f>
        <v/>
      </c>
    </row>
    <row r="1942" spans="1:31" x14ac:dyDescent="0.25">
      <c r="A1942" s="316"/>
      <c r="B1942" s="317" t="str">
        <f>IF(A1942&lt;&gt;"",_xlfn.MAXIFS($B$1:B1941,$A$1:A1941,A1942)+1,"")</f>
        <v/>
      </c>
      <c r="C1942" s="296"/>
      <c r="D1942" s="296"/>
      <c r="E1942" s="296"/>
      <c r="F1942" s="296"/>
      <c r="G1942" s="326"/>
      <c r="H1942" s="324"/>
      <c r="I1942" s="325"/>
      <c r="J1942" s="325"/>
      <c r="K1942" s="318"/>
      <c r="L1942" s="318"/>
      <c r="M1942" s="319" t="str">
        <f>IFERROR(VLOOKUP(H1942,Lijsten!$H$1:$I$100,2,0),"")</f>
        <v/>
      </c>
      <c r="N1942" s="319" t="str">
        <f ca="1">IFERROR(IF(VLOOKUP(F1942,Kostentypen!$A$3:$E$21,3,0)=0,"",IF(OR(F1942="Arbeidskosten",F1942="Vergoeding"),VLOOKUP(G1942,Tb_KostenTypen[],2,0),VLOOKUP(F1942,Kostentypen!$A$3:$E$20,3,0))),"")</f>
        <v/>
      </c>
      <c r="O1942" s="320" t="str" cm="1">
        <f t="array" ref="O1942">_xlfn.IFNA(IF(INDEX(Tb_KostenOptiesDB[],MATCH($F1942,Tb_KostenOptiesDB[KostenOptie],0),IFERROR(MATCH(Methode_Keuze,Tb_KostenOptiesDB[#Headers],0),2))=1,_xlfn.SWITCH($N1942,"Uurtarief",IF(OR(AND(RIGHT($F1942,3)="IKS",VLOOKUP($M1942,DB_Loonkosten,2,0)="Ja"),AND(RIGHT($F1942,3)&lt;&gt;"IKS",VLOOKUP($M1942,DB_Loonkosten,2,0)="Nee")),IFERROR(VLOOKUP($M1942,DB_Loonkosten,24,0),""),0),"Vast tarief",IF(LEFT(F1942,8)="Bijdrage",VLOOKUP($F1942,Tb_KostenTypen[],MATCH(Lijsten!$P$1,Tb_KostenTypen[#Headers],0),0),VLOOKUP($G1942,Lijsten!L:P,MATCH(Lijsten!$P$1,Kop_Tarief_Vast,0),0))),""),"")</f>
        <v/>
      </c>
      <c r="P1942" s="320" t="str" cm="1">
        <f t="array" ref="P1942">_xlfn.IFNA(IF(INDEX(Tb_KostenOptiesDB[],MATCH($F1942,Tb_KostenOptiesDB[KostenOptie],0),IFERROR(MATCH(Methode_Keuze,Tb_KostenOptiesDB[#Headers],0),2))=1,_xlfn.SWITCH($N1942,"Uurtarief",IF(OR(AND(RIGHT($F1942,3)="IKS",VLOOKUP($M1942,DB_Loonkosten,2,0)="Ja"),AND(RIGHT($F1942,3)&lt;&gt;"IKS",VLOOKUP($M1942,DB_Loonkosten,2,0)="Nee")),IFERROR(VLOOKUP($M1942,DB_Loonkosten,25,0),""),0),"Vast tarief",IF(LEFT(F1942,8)="Bijdrage",VLOOKUP($F1942,Tb_KostenTypen[],MATCH(Lijsten!$P$1,Tb_KostenTypen[#Headers],0),0),VLOOKUP($G1942,Lijsten!L:P,MATCH(Lijsten!$P$1,Kop_Tarief_Vast,0),0))),""),"")</f>
        <v/>
      </c>
      <c r="Q1942" s="359"/>
      <c r="R1942" s="359"/>
      <c r="S1942" s="321"/>
      <c r="T1942" s="321"/>
      <c r="U1942" s="373" t="str">
        <f t="shared" si="120"/>
        <v/>
      </c>
      <c r="V1942" s="314" t="str">
        <f t="shared" si="121"/>
        <v/>
      </c>
      <c r="W1942" s="314" t="str" cm="1">
        <f t="array" aca="1" ref="W1942" ca="1">IFERROR(IF(AE1942&lt;&gt;"ja",_xlfn.IFNA(_xlfn.IFS(AND(O1942&lt;&gt;"",F1942&lt;&gt;"",RIGHT($N1942,6)="tarief",F1942="Vergoeding"),SUM(O1942)*FLOOR(SUM(Q1942),0.0001),AND(O1942&lt;&gt;"",F1942&lt;&gt;"",RIGHT($N1942,6)="tarief"),SUM(O1942)*FLOOR(SUM(Q1942),0.01),S1942&gt;0,IF(F1942&lt;&gt;"",FLOOR(SUM(S1942),0.01),"")),""),""),"")</f>
        <v/>
      </c>
      <c r="X1942" s="314" t="str" cm="1">
        <f t="array" aca="1" ref="X1942" ca="1">IFERROR(IF(AE1942&lt;&gt;"ja",_xlfn.IFNA(_xlfn.IFS(AND(P1942&lt;&gt;"",R1942&lt;&gt;"",RIGHT($N1942,6)="tarief",F1942="Vergoeding"),SUM(P1942)*FLOOR(SUM(R1942),0.0001),AND(P1942&lt;&gt;"",R1942&lt;&gt;"",RIGHT($N1942,6)="tarief"),P1942*FLOOR(R1942,0.01),T1942&gt;0,FLOOR(SUM(T1942),0.01)),""),""),"")</f>
        <v/>
      </c>
      <c r="Y1942" s="314" t="str">
        <f t="shared" ca="1" si="122"/>
        <v/>
      </c>
      <c r="Z1942" s="314" t="str" cm="1">
        <f t="array" aca="1" ref="Z1942" ca="1">IFERROR(_xlfn.IFS(OR(F1942="",LEFT(Methode_Keuze,4)="Geen",Methode_Keuze=""),"",AND(W1942&lt;&gt;"",F1942&lt;&gt;"Arbeidskosten"),W1942*VLOOKUP(F1942,Tb_ProjectKosten[],MATCH(Tb_ProjectKosten[[#Headers],[Forfait_Percentage]],Tb_ProjectKosten[#Headers],0),0),AND(F1942="Arbeidskosten",G1942&lt;&gt;""),IFERROR(W1942*VLOOKUP(G1942,Tb_KostenTypen[],3,0)*VLOOKUP(F1942,Tb_ProjectKosten[],MATCH(Tb_ProjectKosten[[#Headers],[Forfait_Percentage]],Tb_ProjectKosten[#Headers],0),0),""),W1942 &lt;=0,0),"")</f>
        <v/>
      </c>
      <c r="AA1942" s="314" t="str" cm="1">
        <f t="array" aca="1" ref="AA1942" ca="1">IFERROR(_xlfn.IFS(OR(F1942="",LEFT(Methode_Keuze,4)="Geen",Methode_Keuze=""),"",AND(X1942&lt;&gt;"",F1942&lt;&gt;"Arbeidskosten"),X1942*VLOOKUP(F1942,Tb_ProjectKosten[],MATCH(Tb_ProjectKosten[[#Headers],[Forfait_Percentage]],Tb_ProjectKosten[#Headers],0),0),AND(F1942="Arbeidskosten",G1942&lt;&gt;""),IFERROR(X1942*VLOOKUP(G1942,Tb_KostenTypen[],3,0)*VLOOKUP(F1942,Tb_ProjectKosten[],MATCH(Tb_ProjectKosten[[#Headers],[Forfait_Percentage]],Tb_ProjectKosten[#Headers],0),0),""),X1942 &lt;=0,0),"")</f>
        <v/>
      </c>
      <c r="AB1942" s="314" t="str">
        <f t="shared" ca="1" si="123"/>
        <v/>
      </c>
      <c r="AC1942" s="322"/>
      <c r="AD1942" s="315"/>
      <c r="AE1942" s="32" t="str" cm="1">
        <f t="array" ref="AE1942">IFERROR(IF(INDEX(SubsidieTabel!$AD$1:$AG$12,MATCH($F1942,SubsidieTabel!$AD$1:$AD$12,0),IFERROR(MATCH(Methode_Keuze,SubsidieTabel!$AD$1:$AG$1,0),2))&lt;&gt;1=TRUE,"ja",""),"")</f>
        <v/>
      </c>
    </row>
    <row r="1943" spans="1:31" x14ac:dyDescent="0.25">
      <c r="A1943" s="316"/>
      <c r="B1943" s="317" t="str">
        <f>IF(A1943&lt;&gt;"",_xlfn.MAXIFS($B$1:B1942,$A$1:A1942,A1943)+1,"")</f>
        <v/>
      </c>
      <c r="C1943" s="296"/>
      <c r="D1943" s="296"/>
      <c r="E1943" s="296"/>
      <c r="F1943" s="296"/>
      <c r="G1943" s="326"/>
      <c r="H1943" s="324"/>
      <c r="I1943" s="325"/>
      <c r="J1943" s="325"/>
      <c r="K1943" s="318"/>
      <c r="L1943" s="318"/>
      <c r="M1943" s="319" t="str">
        <f>IFERROR(VLOOKUP(H1943,Lijsten!$H$1:$I$100,2,0),"")</f>
        <v/>
      </c>
      <c r="N1943" s="319" t="str">
        <f ca="1">IFERROR(IF(VLOOKUP(F1943,Kostentypen!$A$3:$E$21,3,0)=0,"",IF(OR(F1943="Arbeidskosten",F1943="Vergoeding"),VLOOKUP(G1943,Tb_KostenTypen[],2,0),VLOOKUP(F1943,Kostentypen!$A$3:$E$20,3,0))),"")</f>
        <v/>
      </c>
      <c r="O1943" s="320" t="str" cm="1">
        <f t="array" ref="O1943">_xlfn.IFNA(IF(INDEX(Tb_KostenOptiesDB[],MATCH($F1943,Tb_KostenOptiesDB[KostenOptie],0),IFERROR(MATCH(Methode_Keuze,Tb_KostenOptiesDB[#Headers],0),2))=1,_xlfn.SWITCH($N1943,"Uurtarief",IF(OR(AND(RIGHT($F1943,3)="IKS",VLOOKUP($M1943,DB_Loonkosten,2,0)="Ja"),AND(RIGHT($F1943,3)&lt;&gt;"IKS",VLOOKUP($M1943,DB_Loonkosten,2,0)="Nee")),IFERROR(VLOOKUP($M1943,DB_Loonkosten,24,0),""),0),"Vast tarief",IF(LEFT(F1943,8)="Bijdrage",VLOOKUP($F1943,Tb_KostenTypen[],MATCH(Lijsten!$P$1,Tb_KostenTypen[#Headers],0),0),VLOOKUP($G1943,Lijsten!L:P,MATCH(Lijsten!$P$1,Kop_Tarief_Vast,0),0))),""),"")</f>
        <v/>
      </c>
      <c r="P1943" s="320" t="str" cm="1">
        <f t="array" ref="P1943">_xlfn.IFNA(IF(INDEX(Tb_KostenOptiesDB[],MATCH($F1943,Tb_KostenOptiesDB[KostenOptie],0),IFERROR(MATCH(Methode_Keuze,Tb_KostenOptiesDB[#Headers],0),2))=1,_xlfn.SWITCH($N1943,"Uurtarief",IF(OR(AND(RIGHT($F1943,3)="IKS",VLOOKUP($M1943,DB_Loonkosten,2,0)="Ja"),AND(RIGHT($F1943,3)&lt;&gt;"IKS",VLOOKUP($M1943,DB_Loonkosten,2,0)="Nee")),IFERROR(VLOOKUP($M1943,DB_Loonkosten,25,0),""),0),"Vast tarief",IF(LEFT(F1943,8)="Bijdrage",VLOOKUP($F1943,Tb_KostenTypen[],MATCH(Lijsten!$P$1,Tb_KostenTypen[#Headers],0),0),VLOOKUP($G1943,Lijsten!L:P,MATCH(Lijsten!$P$1,Kop_Tarief_Vast,0),0))),""),"")</f>
        <v/>
      </c>
      <c r="Q1943" s="359"/>
      <c r="R1943" s="359"/>
      <c r="S1943" s="321"/>
      <c r="T1943" s="321"/>
      <c r="U1943" s="373" t="str">
        <f t="shared" si="120"/>
        <v/>
      </c>
      <c r="V1943" s="314" t="str">
        <f t="shared" si="121"/>
        <v/>
      </c>
      <c r="W1943" s="314" t="str" cm="1">
        <f t="array" aca="1" ref="W1943" ca="1">IFERROR(IF(AE1943&lt;&gt;"ja",_xlfn.IFNA(_xlfn.IFS(AND(O1943&lt;&gt;"",F1943&lt;&gt;"",RIGHT($N1943,6)="tarief",F1943="Vergoeding"),SUM(O1943)*FLOOR(SUM(Q1943),0.0001),AND(O1943&lt;&gt;"",F1943&lt;&gt;"",RIGHT($N1943,6)="tarief"),SUM(O1943)*FLOOR(SUM(Q1943),0.01),S1943&gt;0,IF(F1943&lt;&gt;"",FLOOR(SUM(S1943),0.01),"")),""),""),"")</f>
        <v/>
      </c>
      <c r="X1943" s="314" t="str" cm="1">
        <f t="array" aca="1" ref="X1943" ca="1">IFERROR(IF(AE1943&lt;&gt;"ja",_xlfn.IFNA(_xlfn.IFS(AND(P1943&lt;&gt;"",R1943&lt;&gt;"",RIGHT($N1943,6)="tarief",F1943="Vergoeding"),SUM(P1943)*FLOOR(SUM(R1943),0.0001),AND(P1943&lt;&gt;"",R1943&lt;&gt;"",RIGHT($N1943,6)="tarief"),P1943*FLOOR(R1943,0.01),T1943&gt;0,FLOOR(SUM(T1943),0.01)),""),""),"")</f>
        <v/>
      </c>
      <c r="Y1943" s="314" t="str">
        <f t="shared" ca="1" si="122"/>
        <v/>
      </c>
      <c r="Z1943" s="314" t="str" cm="1">
        <f t="array" aca="1" ref="Z1943" ca="1">IFERROR(_xlfn.IFS(OR(F1943="",LEFT(Methode_Keuze,4)="Geen",Methode_Keuze=""),"",AND(W1943&lt;&gt;"",F1943&lt;&gt;"Arbeidskosten"),W1943*VLOOKUP(F1943,Tb_ProjectKosten[],MATCH(Tb_ProjectKosten[[#Headers],[Forfait_Percentage]],Tb_ProjectKosten[#Headers],0),0),AND(F1943="Arbeidskosten",G1943&lt;&gt;""),IFERROR(W1943*VLOOKUP(G1943,Tb_KostenTypen[],3,0)*VLOOKUP(F1943,Tb_ProjectKosten[],MATCH(Tb_ProjectKosten[[#Headers],[Forfait_Percentage]],Tb_ProjectKosten[#Headers],0),0),""),W1943 &lt;=0,0),"")</f>
        <v/>
      </c>
      <c r="AA1943" s="314" t="str" cm="1">
        <f t="array" aca="1" ref="AA1943" ca="1">IFERROR(_xlfn.IFS(OR(F1943="",LEFT(Methode_Keuze,4)="Geen",Methode_Keuze=""),"",AND(X1943&lt;&gt;"",F1943&lt;&gt;"Arbeidskosten"),X1943*VLOOKUP(F1943,Tb_ProjectKosten[],MATCH(Tb_ProjectKosten[[#Headers],[Forfait_Percentage]],Tb_ProjectKosten[#Headers],0),0),AND(F1943="Arbeidskosten",G1943&lt;&gt;""),IFERROR(X1943*VLOOKUP(G1943,Tb_KostenTypen[],3,0)*VLOOKUP(F1943,Tb_ProjectKosten[],MATCH(Tb_ProjectKosten[[#Headers],[Forfait_Percentage]],Tb_ProjectKosten[#Headers],0),0),""),X1943 &lt;=0,0),"")</f>
        <v/>
      </c>
      <c r="AB1943" s="314" t="str">
        <f t="shared" ca="1" si="123"/>
        <v/>
      </c>
      <c r="AC1943" s="322"/>
      <c r="AD1943" s="315"/>
      <c r="AE1943" s="32" t="str" cm="1">
        <f t="array" ref="AE1943">IFERROR(IF(INDEX(SubsidieTabel!$AD$1:$AG$12,MATCH($F1943,SubsidieTabel!$AD$1:$AD$12,0),IFERROR(MATCH(Methode_Keuze,SubsidieTabel!$AD$1:$AG$1,0),2))&lt;&gt;1=TRUE,"ja",""),"")</f>
        <v/>
      </c>
    </row>
    <row r="1944" spans="1:31" x14ac:dyDescent="0.25">
      <c r="A1944" s="316"/>
      <c r="B1944" s="317" t="str">
        <f>IF(A1944&lt;&gt;"",_xlfn.MAXIFS($B$1:B1943,$A$1:A1943,A1944)+1,"")</f>
        <v/>
      </c>
      <c r="C1944" s="296"/>
      <c r="D1944" s="296"/>
      <c r="E1944" s="296"/>
      <c r="F1944" s="296"/>
      <c r="G1944" s="326"/>
      <c r="H1944" s="324"/>
      <c r="I1944" s="325"/>
      <c r="J1944" s="325"/>
      <c r="K1944" s="318"/>
      <c r="L1944" s="318"/>
      <c r="M1944" s="319" t="str">
        <f>IFERROR(VLOOKUP(H1944,Lijsten!$H$1:$I$100,2,0),"")</f>
        <v/>
      </c>
      <c r="N1944" s="319" t="str">
        <f ca="1">IFERROR(IF(VLOOKUP(F1944,Kostentypen!$A$3:$E$21,3,0)=0,"",IF(OR(F1944="Arbeidskosten",F1944="Vergoeding"),VLOOKUP(G1944,Tb_KostenTypen[],2,0),VLOOKUP(F1944,Kostentypen!$A$3:$E$20,3,0))),"")</f>
        <v/>
      </c>
      <c r="O1944" s="320" t="str" cm="1">
        <f t="array" ref="O1944">_xlfn.IFNA(IF(INDEX(Tb_KostenOptiesDB[],MATCH($F1944,Tb_KostenOptiesDB[KostenOptie],0),IFERROR(MATCH(Methode_Keuze,Tb_KostenOptiesDB[#Headers],0),2))=1,_xlfn.SWITCH($N1944,"Uurtarief",IF(OR(AND(RIGHT($F1944,3)="IKS",VLOOKUP($M1944,DB_Loonkosten,2,0)="Ja"),AND(RIGHT($F1944,3)&lt;&gt;"IKS",VLOOKUP($M1944,DB_Loonkosten,2,0)="Nee")),IFERROR(VLOOKUP($M1944,DB_Loonkosten,24,0),""),0),"Vast tarief",IF(LEFT(F1944,8)="Bijdrage",VLOOKUP($F1944,Tb_KostenTypen[],MATCH(Lijsten!$P$1,Tb_KostenTypen[#Headers],0),0),VLOOKUP($G1944,Lijsten!L:P,MATCH(Lijsten!$P$1,Kop_Tarief_Vast,0),0))),""),"")</f>
        <v/>
      </c>
      <c r="P1944" s="320" t="str" cm="1">
        <f t="array" ref="P1944">_xlfn.IFNA(IF(INDEX(Tb_KostenOptiesDB[],MATCH($F1944,Tb_KostenOptiesDB[KostenOptie],0),IFERROR(MATCH(Methode_Keuze,Tb_KostenOptiesDB[#Headers],0),2))=1,_xlfn.SWITCH($N1944,"Uurtarief",IF(OR(AND(RIGHT($F1944,3)="IKS",VLOOKUP($M1944,DB_Loonkosten,2,0)="Ja"),AND(RIGHT($F1944,3)&lt;&gt;"IKS",VLOOKUP($M1944,DB_Loonkosten,2,0)="Nee")),IFERROR(VLOOKUP($M1944,DB_Loonkosten,25,0),""),0),"Vast tarief",IF(LEFT(F1944,8)="Bijdrage",VLOOKUP($F1944,Tb_KostenTypen[],MATCH(Lijsten!$P$1,Tb_KostenTypen[#Headers],0),0),VLOOKUP($G1944,Lijsten!L:P,MATCH(Lijsten!$P$1,Kop_Tarief_Vast,0),0))),""),"")</f>
        <v/>
      </c>
      <c r="Q1944" s="359"/>
      <c r="R1944" s="359"/>
      <c r="S1944" s="321"/>
      <c r="T1944" s="321"/>
      <c r="U1944" s="373" t="str">
        <f t="shared" si="120"/>
        <v/>
      </c>
      <c r="V1944" s="314" t="str">
        <f t="shared" si="121"/>
        <v/>
      </c>
      <c r="W1944" s="314" t="str" cm="1">
        <f t="array" aca="1" ref="W1944" ca="1">IFERROR(IF(AE1944&lt;&gt;"ja",_xlfn.IFNA(_xlfn.IFS(AND(O1944&lt;&gt;"",F1944&lt;&gt;"",RIGHT($N1944,6)="tarief",F1944="Vergoeding"),SUM(O1944)*FLOOR(SUM(Q1944),0.0001),AND(O1944&lt;&gt;"",F1944&lt;&gt;"",RIGHT($N1944,6)="tarief"),SUM(O1944)*FLOOR(SUM(Q1944),0.01),S1944&gt;0,IF(F1944&lt;&gt;"",FLOOR(SUM(S1944),0.01),"")),""),""),"")</f>
        <v/>
      </c>
      <c r="X1944" s="314" t="str" cm="1">
        <f t="array" aca="1" ref="X1944" ca="1">IFERROR(IF(AE1944&lt;&gt;"ja",_xlfn.IFNA(_xlfn.IFS(AND(P1944&lt;&gt;"",R1944&lt;&gt;"",RIGHT($N1944,6)="tarief",F1944="Vergoeding"),SUM(P1944)*FLOOR(SUM(R1944),0.0001),AND(P1944&lt;&gt;"",R1944&lt;&gt;"",RIGHT($N1944,6)="tarief"),P1944*FLOOR(R1944,0.01),T1944&gt;0,FLOOR(SUM(T1944),0.01)),""),""),"")</f>
        <v/>
      </c>
      <c r="Y1944" s="314" t="str">
        <f t="shared" ca="1" si="122"/>
        <v/>
      </c>
      <c r="Z1944" s="314" t="str" cm="1">
        <f t="array" aca="1" ref="Z1944" ca="1">IFERROR(_xlfn.IFS(OR(F1944="",LEFT(Methode_Keuze,4)="Geen",Methode_Keuze=""),"",AND(W1944&lt;&gt;"",F1944&lt;&gt;"Arbeidskosten"),W1944*VLOOKUP(F1944,Tb_ProjectKosten[],MATCH(Tb_ProjectKosten[[#Headers],[Forfait_Percentage]],Tb_ProjectKosten[#Headers],0),0),AND(F1944="Arbeidskosten",G1944&lt;&gt;""),IFERROR(W1944*VLOOKUP(G1944,Tb_KostenTypen[],3,0)*VLOOKUP(F1944,Tb_ProjectKosten[],MATCH(Tb_ProjectKosten[[#Headers],[Forfait_Percentage]],Tb_ProjectKosten[#Headers],0),0),""),W1944 &lt;=0,0),"")</f>
        <v/>
      </c>
      <c r="AA1944" s="314" t="str" cm="1">
        <f t="array" aca="1" ref="AA1944" ca="1">IFERROR(_xlfn.IFS(OR(F1944="",LEFT(Methode_Keuze,4)="Geen",Methode_Keuze=""),"",AND(X1944&lt;&gt;"",F1944&lt;&gt;"Arbeidskosten"),X1944*VLOOKUP(F1944,Tb_ProjectKosten[],MATCH(Tb_ProjectKosten[[#Headers],[Forfait_Percentage]],Tb_ProjectKosten[#Headers],0),0),AND(F1944="Arbeidskosten",G1944&lt;&gt;""),IFERROR(X1944*VLOOKUP(G1944,Tb_KostenTypen[],3,0)*VLOOKUP(F1944,Tb_ProjectKosten[],MATCH(Tb_ProjectKosten[[#Headers],[Forfait_Percentage]],Tb_ProjectKosten[#Headers],0),0),""),X1944 &lt;=0,0),"")</f>
        <v/>
      </c>
      <c r="AB1944" s="314" t="str">
        <f t="shared" ca="1" si="123"/>
        <v/>
      </c>
      <c r="AC1944" s="322"/>
      <c r="AD1944" s="315"/>
      <c r="AE1944" s="32" t="str" cm="1">
        <f t="array" ref="AE1944">IFERROR(IF(INDEX(SubsidieTabel!$AD$1:$AG$12,MATCH($F1944,SubsidieTabel!$AD$1:$AD$12,0),IFERROR(MATCH(Methode_Keuze,SubsidieTabel!$AD$1:$AG$1,0),2))&lt;&gt;1=TRUE,"ja",""),"")</f>
        <v/>
      </c>
    </row>
    <row r="1945" spans="1:31" x14ac:dyDescent="0.25">
      <c r="A1945" s="316"/>
      <c r="B1945" s="317" t="str">
        <f>IF(A1945&lt;&gt;"",_xlfn.MAXIFS($B$1:B1944,$A$1:A1944,A1945)+1,"")</f>
        <v/>
      </c>
      <c r="C1945" s="296"/>
      <c r="D1945" s="296"/>
      <c r="E1945" s="296"/>
      <c r="F1945" s="296"/>
      <c r="G1945" s="326"/>
      <c r="H1945" s="324"/>
      <c r="I1945" s="325"/>
      <c r="J1945" s="325"/>
      <c r="K1945" s="318"/>
      <c r="L1945" s="318"/>
      <c r="M1945" s="319" t="str">
        <f>IFERROR(VLOOKUP(H1945,Lijsten!$H$1:$I$100,2,0),"")</f>
        <v/>
      </c>
      <c r="N1945" s="319" t="str">
        <f ca="1">IFERROR(IF(VLOOKUP(F1945,Kostentypen!$A$3:$E$21,3,0)=0,"",IF(OR(F1945="Arbeidskosten",F1945="Vergoeding"),VLOOKUP(G1945,Tb_KostenTypen[],2,0),VLOOKUP(F1945,Kostentypen!$A$3:$E$20,3,0))),"")</f>
        <v/>
      </c>
      <c r="O1945" s="320" t="str" cm="1">
        <f t="array" ref="O1945">_xlfn.IFNA(IF(INDEX(Tb_KostenOptiesDB[],MATCH($F1945,Tb_KostenOptiesDB[KostenOptie],0),IFERROR(MATCH(Methode_Keuze,Tb_KostenOptiesDB[#Headers],0),2))=1,_xlfn.SWITCH($N1945,"Uurtarief",IF(OR(AND(RIGHT($F1945,3)="IKS",VLOOKUP($M1945,DB_Loonkosten,2,0)="Ja"),AND(RIGHT($F1945,3)&lt;&gt;"IKS",VLOOKUP($M1945,DB_Loonkosten,2,0)="Nee")),IFERROR(VLOOKUP($M1945,DB_Loonkosten,24,0),""),0),"Vast tarief",IF(LEFT(F1945,8)="Bijdrage",VLOOKUP($F1945,Tb_KostenTypen[],MATCH(Lijsten!$P$1,Tb_KostenTypen[#Headers],0),0),VLOOKUP($G1945,Lijsten!L:P,MATCH(Lijsten!$P$1,Kop_Tarief_Vast,0),0))),""),"")</f>
        <v/>
      </c>
      <c r="P1945" s="320" t="str" cm="1">
        <f t="array" ref="P1945">_xlfn.IFNA(IF(INDEX(Tb_KostenOptiesDB[],MATCH($F1945,Tb_KostenOptiesDB[KostenOptie],0),IFERROR(MATCH(Methode_Keuze,Tb_KostenOptiesDB[#Headers],0),2))=1,_xlfn.SWITCH($N1945,"Uurtarief",IF(OR(AND(RIGHT($F1945,3)="IKS",VLOOKUP($M1945,DB_Loonkosten,2,0)="Ja"),AND(RIGHT($F1945,3)&lt;&gt;"IKS",VLOOKUP($M1945,DB_Loonkosten,2,0)="Nee")),IFERROR(VLOOKUP($M1945,DB_Loonkosten,25,0),""),0),"Vast tarief",IF(LEFT(F1945,8)="Bijdrage",VLOOKUP($F1945,Tb_KostenTypen[],MATCH(Lijsten!$P$1,Tb_KostenTypen[#Headers],0),0),VLOOKUP($G1945,Lijsten!L:P,MATCH(Lijsten!$P$1,Kop_Tarief_Vast,0),0))),""),"")</f>
        <v/>
      </c>
      <c r="Q1945" s="359"/>
      <c r="R1945" s="359"/>
      <c r="S1945" s="321"/>
      <c r="T1945" s="321"/>
      <c r="U1945" s="373" t="str">
        <f t="shared" si="120"/>
        <v/>
      </c>
      <c r="V1945" s="314" t="str">
        <f t="shared" si="121"/>
        <v/>
      </c>
      <c r="W1945" s="314" t="str" cm="1">
        <f t="array" aca="1" ref="W1945" ca="1">IFERROR(IF(AE1945&lt;&gt;"ja",_xlfn.IFNA(_xlfn.IFS(AND(O1945&lt;&gt;"",F1945&lt;&gt;"",RIGHT($N1945,6)="tarief",F1945="Vergoeding"),SUM(O1945)*FLOOR(SUM(Q1945),0.0001),AND(O1945&lt;&gt;"",F1945&lt;&gt;"",RIGHT($N1945,6)="tarief"),SUM(O1945)*FLOOR(SUM(Q1945),0.01),S1945&gt;0,IF(F1945&lt;&gt;"",FLOOR(SUM(S1945),0.01),"")),""),""),"")</f>
        <v/>
      </c>
      <c r="X1945" s="314" t="str" cm="1">
        <f t="array" aca="1" ref="X1945" ca="1">IFERROR(IF(AE1945&lt;&gt;"ja",_xlfn.IFNA(_xlfn.IFS(AND(P1945&lt;&gt;"",R1945&lt;&gt;"",RIGHT($N1945,6)="tarief",F1945="Vergoeding"),SUM(P1945)*FLOOR(SUM(R1945),0.0001),AND(P1945&lt;&gt;"",R1945&lt;&gt;"",RIGHT($N1945,6)="tarief"),P1945*FLOOR(R1945,0.01),T1945&gt;0,FLOOR(SUM(T1945),0.01)),""),""),"")</f>
        <v/>
      </c>
      <c r="Y1945" s="314" t="str">
        <f t="shared" ca="1" si="122"/>
        <v/>
      </c>
      <c r="Z1945" s="314" t="str" cm="1">
        <f t="array" aca="1" ref="Z1945" ca="1">IFERROR(_xlfn.IFS(OR(F1945="",LEFT(Methode_Keuze,4)="Geen",Methode_Keuze=""),"",AND(W1945&lt;&gt;"",F1945&lt;&gt;"Arbeidskosten"),W1945*VLOOKUP(F1945,Tb_ProjectKosten[],MATCH(Tb_ProjectKosten[[#Headers],[Forfait_Percentage]],Tb_ProjectKosten[#Headers],0),0),AND(F1945="Arbeidskosten",G1945&lt;&gt;""),IFERROR(W1945*VLOOKUP(G1945,Tb_KostenTypen[],3,0)*VLOOKUP(F1945,Tb_ProjectKosten[],MATCH(Tb_ProjectKosten[[#Headers],[Forfait_Percentage]],Tb_ProjectKosten[#Headers],0),0),""),W1945 &lt;=0,0),"")</f>
        <v/>
      </c>
      <c r="AA1945" s="314" t="str" cm="1">
        <f t="array" aca="1" ref="AA1945" ca="1">IFERROR(_xlfn.IFS(OR(F1945="",LEFT(Methode_Keuze,4)="Geen",Methode_Keuze=""),"",AND(X1945&lt;&gt;"",F1945&lt;&gt;"Arbeidskosten"),X1945*VLOOKUP(F1945,Tb_ProjectKosten[],MATCH(Tb_ProjectKosten[[#Headers],[Forfait_Percentage]],Tb_ProjectKosten[#Headers],0),0),AND(F1945="Arbeidskosten",G1945&lt;&gt;""),IFERROR(X1945*VLOOKUP(G1945,Tb_KostenTypen[],3,0)*VLOOKUP(F1945,Tb_ProjectKosten[],MATCH(Tb_ProjectKosten[[#Headers],[Forfait_Percentage]],Tb_ProjectKosten[#Headers],0),0),""),X1945 &lt;=0,0),"")</f>
        <v/>
      </c>
      <c r="AB1945" s="314" t="str">
        <f t="shared" ca="1" si="123"/>
        <v/>
      </c>
      <c r="AC1945" s="322"/>
      <c r="AD1945" s="315"/>
      <c r="AE1945" s="32" t="str" cm="1">
        <f t="array" ref="AE1945">IFERROR(IF(INDEX(SubsidieTabel!$AD$1:$AG$12,MATCH($F1945,SubsidieTabel!$AD$1:$AD$12,0),IFERROR(MATCH(Methode_Keuze,SubsidieTabel!$AD$1:$AG$1,0),2))&lt;&gt;1=TRUE,"ja",""),"")</f>
        <v/>
      </c>
    </row>
    <row r="1946" spans="1:31" x14ac:dyDescent="0.25">
      <c r="A1946" s="316"/>
      <c r="B1946" s="317" t="str">
        <f>IF(A1946&lt;&gt;"",_xlfn.MAXIFS($B$1:B1945,$A$1:A1945,A1946)+1,"")</f>
        <v/>
      </c>
      <c r="C1946" s="296"/>
      <c r="D1946" s="296"/>
      <c r="E1946" s="296"/>
      <c r="F1946" s="296"/>
      <c r="G1946" s="326"/>
      <c r="H1946" s="324"/>
      <c r="I1946" s="325"/>
      <c r="J1946" s="325"/>
      <c r="K1946" s="318"/>
      <c r="L1946" s="318"/>
      <c r="M1946" s="319" t="str">
        <f>IFERROR(VLOOKUP(H1946,Lijsten!$H$1:$I$100,2,0),"")</f>
        <v/>
      </c>
      <c r="N1946" s="319" t="str">
        <f ca="1">IFERROR(IF(VLOOKUP(F1946,Kostentypen!$A$3:$E$21,3,0)=0,"",IF(OR(F1946="Arbeidskosten",F1946="Vergoeding"),VLOOKUP(G1946,Tb_KostenTypen[],2,0),VLOOKUP(F1946,Kostentypen!$A$3:$E$20,3,0))),"")</f>
        <v/>
      </c>
      <c r="O1946" s="320" t="str" cm="1">
        <f t="array" ref="O1946">_xlfn.IFNA(IF(INDEX(Tb_KostenOptiesDB[],MATCH($F1946,Tb_KostenOptiesDB[KostenOptie],0),IFERROR(MATCH(Methode_Keuze,Tb_KostenOptiesDB[#Headers],0),2))=1,_xlfn.SWITCH($N1946,"Uurtarief",IF(OR(AND(RIGHT($F1946,3)="IKS",VLOOKUP($M1946,DB_Loonkosten,2,0)="Ja"),AND(RIGHT($F1946,3)&lt;&gt;"IKS",VLOOKUP($M1946,DB_Loonkosten,2,0)="Nee")),IFERROR(VLOOKUP($M1946,DB_Loonkosten,24,0),""),0),"Vast tarief",IF(LEFT(F1946,8)="Bijdrage",VLOOKUP($F1946,Tb_KostenTypen[],MATCH(Lijsten!$P$1,Tb_KostenTypen[#Headers],0),0),VLOOKUP($G1946,Lijsten!L:P,MATCH(Lijsten!$P$1,Kop_Tarief_Vast,0),0))),""),"")</f>
        <v/>
      </c>
      <c r="P1946" s="320" t="str" cm="1">
        <f t="array" ref="P1946">_xlfn.IFNA(IF(INDEX(Tb_KostenOptiesDB[],MATCH($F1946,Tb_KostenOptiesDB[KostenOptie],0),IFERROR(MATCH(Methode_Keuze,Tb_KostenOptiesDB[#Headers],0),2))=1,_xlfn.SWITCH($N1946,"Uurtarief",IF(OR(AND(RIGHT($F1946,3)="IKS",VLOOKUP($M1946,DB_Loonkosten,2,0)="Ja"),AND(RIGHT($F1946,3)&lt;&gt;"IKS",VLOOKUP($M1946,DB_Loonkosten,2,0)="Nee")),IFERROR(VLOOKUP($M1946,DB_Loonkosten,25,0),""),0),"Vast tarief",IF(LEFT(F1946,8)="Bijdrage",VLOOKUP($F1946,Tb_KostenTypen[],MATCH(Lijsten!$P$1,Tb_KostenTypen[#Headers],0),0),VLOOKUP($G1946,Lijsten!L:P,MATCH(Lijsten!$P$1,Kop_Tarief_Vast,0),0))),""),"")</f>
        <v/>
      </c>
      <c r="Q1946" s="359"/>
      <c r="R1946" s="359"/>
      <c r="S1946" s="321"/>
      <c r="T1946" s="321"/>
      <c r="U1946" s="373" t="str">
        <f t="shared" si="120"/>
        <v/>
      </c>
      <c r="V1946" s="314" t="str">
        <f t="shared" si="121"/>
        <v/>
      </c>
      <c r="W1946" s="314" t="str" cm="1">
        <f t="array" aca="1" ref="W1946" ca="1">IFERROR(IF(AE1946&lt;&gt;"ja",_xlfn.IFNA(_xlfn.IFS(AND(O1946&lt;&gt;"",F1946&lt;&gt;"",RIGHT($N1946,6)="tarief",F1946="Vergoeding"),SUM(O1946)*FLOOR(SUM(Q1946),0.0001),AND(O1946&lt;&gt;"",F1946&lt;&gt;"",RIGHT($N1946,6)="tarief"),SUM(O1946)*FLOOR(SUM(Q1946),0.01),S1946&gt;0,IF(F1946&lt;&gt;"",FLOOR(SUM(S1946),0.01),"")),""),""),"")</f>
        <v/>
      </c>
      <c r="X1946" s="314" t="str" cm="1">
        <f t="array" aca="1" ref="X1946" ca="1">IFERROR(IF(AE1946&lt;&gt;"ja",_xlfn.IFNA(_xlfn.IFS(AND(P1946&lt;&gt;"",R1946&lt;&gt;"",RIGHT($N1946,6)="tarief",F1946="Vergoeding"),SUM(P1946)*FLOOR(SUM(R1946),0.0001),AND(P1946&lt;&gt;"",R1946&lt;&gt;"",RIGHT($N1946,6)="tarief"),P1946*FLOOR(R1946,0.01),T1946&gt;0,FLOOR(SUM(T1946),0.01)),""),""),"")</f>
        <v/>
      </c>
      <c r="Y1946" s="314" t="str">
        <f t="shared" ca="1" si="122"/>
        <v/>
      </c>
      <c r="Z1946" s="314" t="str" cm="1">
        <f t="array" aca="1" ref="Z1946" ca="1">IFERROR(_xlfn.IFS(OR(F1946="",LEFT(Methode_Keuze,4)="Geen",Methode_Keuze=""),"",AND(W1946&lt;&gt;"",F1946&lt;&gt;"Arbeidskosten"),W1946*VLOOKUP(F1946,Tb_ProjectKosten[],MATCH(Tb_ProjectKosten[[#Headers],[Forfait_Percentage]],Tb_ProjectKosten[#Headers],0),0),AND(F1946="Arbeidskosten",G1946&lt;&gt;""),IFERROR(W1946*VLOOKUP(G1946,Tb_KostenTypen[],3,0)*VLOOKUP(F1946,Tb_ProjectKosten[],MATCH(Tb_ProjectKosten[[#Headers],[Forfait_Percentage]],Tb_ProjectKosten[#Headers],0),0),""),W1946 &lt;=0,0),"")</f>
        <v/>
      </c>
      <c r="AA1946" s="314" t="str" cm="1">
        <f t="array" aca="1" ref="AA1946" ca="1">IFERROR(_xlfn.IFS(OR(F1946="",LEFT(Methode_Keuze,4)="Geen",Methode_Keuze=""),"",AND(X1946&lt;&gt;"",F1946&lt;&gt;"Arbeidskosten"),X1946*VLOOKUP(F1946,Tb_ProjectKosten[],MATCH(Tb_ProjectKosten[[#Headers],[Forfait_Percentage]],Tb_ProjectKosten[#Headers],0),0),AND(F1946="Arbeidskosten",G1946&lt;&gt;""),IFERROR(X1946*VLOOKUP(G1946,Tb_KostenTypen[],3,0)*VLOOKUP(F1946,Tb_ProjectKosten[],MATCH(Tb_ProjectKosten[[#Headers],[Forfait_Percentage]],Tb_ProjectKosten[#Headers],0),0),""),X1946 &lt;=0,0),"")</f>
        <v/>
      </c>
      <c r="AB1946" s="314" t="str">
        <f t="shared" ca="1" si="123"/>
        <v/>
      </c>
      <c r="AC1946" s="322"/>
      <c r="AD1946" s="315"/>
      <c r="AE1946" s="32" t="str" cm="1">
        <f t="array" ref="AE1946">IFERROR(IF(INDEX(SubsidieTabel!$AD$1:$AG$12,MATCH($F1946,SubsidieTabel!$AD$1:$AD$12,0),IFERROR(MATCH(Methode_Keuze,SubsidieTabel!$AD$1:$AG$1,0),2))&lt;&gt;1=TRUE,"ja",""),"")</f>
        <v/>
      </c>
    </row>
    <row r="1947" spans="1:31" x14ac:dyDescent="0.25">
      <c r="A1947" s="316"/>
      <c r="B1947" s="317" t="str">
        <f>IF(A1947&lt;&gt;"",_xlfn.MAXIFS($B$1:B1946,$A$1:A1946,A1947)+1,"")</f>
        <v/>
      </c>
      <c r="C1947" s="296"/>
      <c r="D1947" s="296"/>
      <c r="E1947" s="296"/>
      <c r="F1947" s="296"/>
      <c r="G1947" s="326"/>
      <c r="H1947" s="324"/>
      <c r="I1947" s="325"/>
      <c r="J1947" s="325"/>
      <c r="K1947" s="318"/>
      <c r="L1947" s="318"/>
      <c r="M1947" s="319" t="str">
        <f>IFERROR(VLOOKUP(H1947,Lijsten!$H$1:$I$100,2,0),"")</f>
        <v/>
      </c>
      <c r="N1947" s="319" t="str">
        <f ca="1">IFERROR(IF(VLOOKUP(F1947,Kostentypen!$A$3:$E$21,3,0)=0,"",IF(OR(F1947="Arbeidskosten",F1947="Vergoeding"),VLOOKUP(G1947,Tb_KostenTypen[],2,0),VLOOKUP(F1947,Kostentypen!$A$3:$E$20,3,0))),"")</f>
        <v/>
      </c>
      <c r="O1947" s="320" t="str" cm="1">
        <f t="array" ref="O1947">_xlfn.IFNA(IF(INDEX(Tb_KostenOptiesDB[],MATCH($F1947,Tb_KostenOptiesDB[KostenOptie],0),IFERROR(MATCH(Methode_Keuze,Tb_KostenOptiesDB[#Headers],0),2))=1,_xlfn.SWITCH($N1947,"Uurtarief",IF(OR(AND(RIGHT($F1947,3)="IKS",VLOOKUP($M1947,DB_Loonkosten,2,0)="Ja"),AND(RIGHT($F1947,3)&lt;&gt;"IKS",VLOOKUP($M1947,DB_Loonkosten,2,0)="Nee")),IFERROR(VLOOKUP($M1947,DB_Loonkosten,24,0),""),0),"Vast tarief",IF(LEFT(F1947,8)="Bijdrage",VLOOKUP($F1947,Tb_KostenTypen[],MATCH(Lijsten!$P$1,Tb_KostenTypen[#Headers],0),0),VLOOKUP($G1947,Lijsten!L:P,MATCH(Lijsten!$P$1,Kop_Tarief_Vast,0),0))),""),"")</f>
        <v/>
      </c>
      <c r="P1947" s="320" t="str" cm="1">
        <f t="array" ref="P1947">_xlfn.IFNA(IF(INDEX(Tb_KostenOptiesDB[],MATCH($F1947,Tb_KostenOptiesDB[KostenOptie],0),IFERROR(MATCH(Methode_Keuze,Tb_KostenOptiesDB[#Headers],0),2))=1,_xlfn.SWITCH($N1947,"Uurtarief",IF(OR(AND(RIGHT($F1947,3)="IKS",VLOOKUP($M1947,DB_Loonkosten,2,0)="Ja"),AND(RIGHT($F1947,3)&lt;&gt;"IKS",VLOOKUP($M1947,DB_Loonkosten,2,0)="Nee")),IFERROR(VLOOKUP($M1947,DB_Loonkosten,25,0),""),0),"Vast tarief",IF(LEFT(F1947,8)="Bijdrage",VLOOKUP($F1947,Tb_KostenTypen[],MATCH(Lijsten!$P$1,Tb_KostenTypen[#Headers],0),0),VLOOKUP($G1947,Lijsten!L:P,MATCH(Lijsten!$P$1,Kop_Tarief_Vast,0),0))),""),"")</f>
        <v/>
      </c>
      <c r="Q1947" s="359"/>
      <c r="R1947" s="359"/>
      <c r="S1947" s="321"/>
      <c r="T1947" s="321"/>
      <c r="U1947" s="373" t="str">
        <f t="shared" si="120"/>
        <v/>
      </c>
      <c r="V1947" s="314" t="str">
        <f t="shared" si="121"/>
        <v/>
      </c>
      <c r="W1947" s="314" t="str" cm="1">
        <f t="array" aca="1" ref="W1947" ca="1">IFERROR(IF(AE1947&lt;&gt;"ja",_xlfn.IFNA(_xlfn.IFS(AND(O1947&lt;&gt;"",F1947&lt;&gt;"",RIGHT($N1947,6)="tarief",F1947="Vergoeding"),SUM(O1947)*FLOOR(SUM(Q1947),0.0001),AND(O1947&lt;&gt;"",F1947&lt;&gt;"",RIGHT($N1947,6)="tarief"),SUM(O1947)*FLOOR(SUM(Q1947),0.01),S1947&gt;0,IF(F1947&lt;&gt;"",FLOOR(SUM(S1947),0.01),"")),""),""),"")</f>
        <v/>
      </c>
      <c r="X1947" s="314" t="str" cm="1">
        <f t="array" aca="1" ref="X1947" ca="1">IFERROR(IF(AE1947&lt;&gt;"ja",_xlfn.IFNA(_xlfn.IFS(AND(P1947&lt;&gt;"",R1947&lt;&gt;"",RIGHT($N1947,6)="tarief",F1947="Vergoeding"),SUM(P1947)*FLOOR(SUM(R1947),0.0001),AND(P1947&lt;&gt;"",R1947&lt;&gt;"",RIGHT($N1947,6)="tarief"),P1947*FLOOR(R1947,0.01),T1947&gt;0,FLOOR(SUM(T1947),0.01)),""),""),"")</f>
        <v/>
      </c>
      <c r="Y1947" s="314" t="str">
        <f t="shared" ca="1" si="122"/>
        <v/>
      </c>
      <c r="Z1947" s="314" t="str" cm="1">
        <f t="array" aca="1" ref="Z1947" ca="1">IFERROR(_xlfn.IFS(OR(F1947="",LEFT(Methode_Keuze,4)="Geen",Methode_Keuze=""),"",AND(W1947&lt;&gt;"",F1947&lt;&gt;"Arbeidskosten"),W1947*VLOOKUP(F1947,Tb_ProjectKosten[],MATCH(Tb_ProjectKosten[[#Headers],[Forfait_Percentage]],Tb_ProjectKosten[#Headers],0),0),AND(F1947="Arbeidskosten",G1947&lt;&gt;""),IFERROR(W1947*VLOOKUP(G1947,Tb_KostenTypen[],3,0)*VLOOKUP(F1947,Tb_ProjectKosten[],MATCH(Tb_ProjectKosten[[#Headers],[Forfait_Percentage]],Tb_ProjectKosten[#Headers],0),0),""),W1947 &lt;=0,0),"")</f>
        <v/>
      </c>
      <c r="AA1947" s="314" t="str" cm="1">
        <f t="array" aca="1" ref="AA1947" ca="1">IFERROR(_xlfn.IFS(OR(F1947="",LEFT(Methode_Keuze,4)="Geen",Methode_Keuze=""),"",AND(X1947&lt;&gt;"",F1947&lt;&gt;"Arbeidskosten"),X1947*VLOOKUP(F1947,Tb_ProjectKosten[],MATCH(Tb_ProjectKosten[[#Headers],[Forfait_Percentage]],Tb_ProjectKosten[#Headers],0),0),AND(F1947="Arbeidskosten",G1947&lt;&gt;""),IFERROR(X1947*VLOOKUP(G1947,Tb_KostenTypen[],3,0)*VLOOKUP(F1947,Tb_ProjectKosten[],MATCH(Tb_ProjectKosten[[#Headers],[Forfait_Percentage]],Tb_ProjectKosten[#Headers],0),0),""),X1947 &lt;=0,0),"")</f>
        <v/>
      </c>
      <c r="AB1947" s="314" t="str">
        <f t="shared" ca="1" si="123"/>
        <v/>
      </c>
      <c r="AC1947" s="322"/>
      <c r="AD1947" s="315"/>
      <c r="AE1947" s="32" t="str" cm="1">
        <f t="array" ref="AE1947">IFERROR(IF(INDEX(SubsidieTabel!$AD$1:$AG$12,MATCH($F1947,SubsidieTabel!$AD$1:$AD$12,0),IFERROR(MATCH(Methode_Keuze,SubsidieTabel!$AD$1:$AG$1,0),2))&lt;&gt;1=TRUE,"ja",""),"")</f>
        <v/>
      </c>
    </row>
    <row r="1948" spans="1:31" x14ac:dyDescent="0.25">
      <c r="A1948" s="316"/>
      <c r="B1948" s="317" t="str">
        <f>IF(A1948&lt;&gt;"",_xlfn.MAXIFS($B$1:B1947,$A$1:A1947,A1948)+1,"")</f>
        <v/>
      </c>
      <c r="C1948" s="296"/>
      <c r="D1948" s="296"/>
      <c r="E1948" s="296"/>
      <c r="F1948" s="296"/>
      <c r="G1948" s="326"/>
      <c r="H1948" s="324"/>
      <c r="I1948" s="325"/>
      <c r="J1948" s="325"/>
      <c r="K1948" s="318"/>
      <c r="L1948" s="318"/>
      <c r="M1948" s="319" t="str">
        <f>IFERROR(VLOOKUP(H1948,Lijsten!$H$1:$I$100,2,0),"")</f>
        <v/>
      </c>
      <c r="N1948" s="319" t="str">
        <f ca="1">IFERROR(IF(VLOOKUP(F1948,Kostentypen!$A$3:$E$21,3,0)=0,"",IF(OR(F1948="Arbeidskosten",F1948="Vergoeding"),VLOOKUP(G1948,Tb_KostenTypen[],2,0),VLOOKUP(F1948,Kostentypen!$A$3:$E$20,3,0))),"")</f>
        <v/>
      </c>
      <c r="O1948" s="320" t="str" cm="1">
        <f t="array" ref="O1948">_xlfn.IFNA(IF(INDEX(Tb_KostenOptiesDB[],MATCH($F1948,Tb_KostenOptiesDB[KostenOptie],0),IFERROR(MATCH(Methode_Keuze,Tb_KostenOptiesDB[#Headers],0),2))=1,_xlfn.SWITCH($N1948,"Uurtarief",IF(OR(AND(RIGHT($F1948,3)="IKS",VLOOKUP($M1948,DB_Loonkosten,2,0)="Ja"),AND(RIGHT($F1948,3)&lt;&gt;"IKS",VLOOKUP($M1948,DB_Loonkosten,2,0)="Nee")),IFERROR(VLOOKUP($M1948,DB_Loonkosten,24,0),""),0),"Vast tarief",IF(LEFT(F1948,8)="Bijdrage",VLOOKUP($F1948,Tb_KostenTypen[],MATCH(Lijsten!$P$1,Tb_KostenTypen[#Headers],0),0),VLOOKUP($G1948,Lijsten!L:P,MATCH(Lijsten!$P$1,Kop_Tarief_Vast,0),0))),""),"")</f>
        <v/>
      </c>
      <c r="P1948" s="320" t="str" cm="1">
        <f t="array" ref="P1948">_xlfn.IFNA(IF(INDEX(Tb_KostenOptiesDB[],MATCH($F1948,Tb_KostenOptiesDB[KostenOptie],0),IFERROR(MATCH(Methode_Keuze,Tb_KostenOptiesDB[#Headers],0),2))=1,_xlfn.SWITCH($N1948,"Uurtarief",IF(OR(AND(RIGHT($F1948,3)="IKS",VLOOKUP($M1948,DB_Loonkosten,2,0)="Ja"),AND(RIGHT($F1948,3)&lt;&gt;"IKS",VLOOKUP($M1948,DB_Loonkosten,2,0)="Nee")),IFERROR(VLOOKUP($M1948,DB_Loonkosten,25,0),""),0),"Vast tarief",IF(LEFT(F1948,8)="Bijdrage",VLOOKUP($F1948,Tb_KostenTypen[],MATCH(Lijsten!$P$1,Tb_KostenTypen[#Headers],0),0),VLOOKUP($G1948,Lijsten!L:P,MATCH(Lijsten!$P$1,Kop_Tarief_Vast,0),0))),""),"")</f>
        <v/>
      </c>
      <c r="Q1948" s="359"/>
      <c r="R1948" s="359"/>
      <c r="S1948" s="321"/>
      <c r="T1948" s="321"/>
      <c r="U1948" s="373" t="str">
        <f t="shared" si="120"/>
        <v/>
      </c>
      <c r="V1948" s="314" t="str">
        <f t="shared" si="121"/>
        <v/>
      </c>
      <c r="W1948" s="314" t="str" cm="1">
        <f t="array" aca="1" ref="W1948" ca="1">IFERROR(IF(AE1948&lt;&gt;"ja",_xlfn.IFNA(_xlfn.IFS(AND(O1948&lt;&gt;"",F1948&lt;&gt;"",RIGHT($N1948,6)="tarief",F1948="Vergoeding"),SUM(O1948)*FLOOR(SUM(Q1948),0.0001),AND(O1948&lt;&gt;"",F1948&lt;&gt;"",RIGHT($N1948,6)="tarief"),SUM(O1948)*FLOOR(SUM(Q1948),0.01),S1948&gt;0,IF(F1948&lt;&gt;"",FLOOR(SUM(S1948),0.01),"")),""),""),"")</f>
        <v/>
      </c>
      <c r="X1948" s="314" t="str" cm="1">
        <f t="array" aca="1" ref="X1948" ca="1">IFERROR(IF(AE1948&lt;&gt;"ja",_xlfn.IFNA(_xlfn.IFS(AND(P1948&lt;&gt;"",R1948&lt;&gt;"",RIGHT($N1948,6)="tarief",F1948="Vergoeding"),SUM(P1948)*FLOOR(SUM(R1948),0.0001),AND(P1948&lt;&gt;"",R1948&lt;&gt;"",RIGHT($N1948,6)="tarief"),P1948*FLOOR(R1948,0.01),T1948&gt;0,FLOOR(SUM(T1948),0.01)),""),""),"")</f>
        <v/>
      </c>
      <c r="Y1948" s="314" t="str">
        <f t="shared" ca="1" si="122"/>
        <v/>
      </c>
      <c r="Z1948" s="314" t="str" cm="1">
        <f t="array" aca="1" ref="Z1948" ca="1">IFERROR(_xlfn.IFS(OR(F1948="",LEFT(Methode_Keuze,4)="Geen",Methode_Keuze=""),"",AND(W1948&lt;&gt;"",F1948&lt;&gt;"Arbeidskosten"),W1948*VLOOKUP(F1948,Tb_ProjectKosten[],MATCH(Tb_ProjectKosten[[#Headers],[Forfait_Percentage]],Tb_ProjectKosten[#Headers],0),0),AND(F1948="Arbeidskosten",G1948&lt;&gt;""),IFERROR(W1948*VLOOKUP(G1948,Tb_KostenTypen[],3,0)*VLOOKUP(F1948,Tb_ProjectKosten[],MATCH(Tb_ProjectKosten[[#Headers],[Forfait_Percentage]],Tb_ProjectKosten[#Headers],0),0),""),W1948 &lt;=0,0),"")</f>
        <v/>
      </c>
      <c r="AA1948" s="314" t="str" cm="1">
        <f t="array" aca="1" ref="AA1948" ca="1">IFERROR(_xlfn.IFS(OR(F1948="",LEFT(Methode_Keuze,4)="Geen",Methode_Keuze=""),"",AND(X1948&lt;&gt;"",F1948&lt;&gt;"Arbeidskosten"),X1948*VLOOKUP(F1948,Tb_ProjectKosten[],MATCH(Tb_ProjectKosten[[#Headers],[Forfait_Percentage]],Tb_ProjectKosten[#Headers],0),0),AND(F1948="Arbeidskosten",G1948&lt;&gt;""),IFERROR(X1948*VLOOKUP(G1948,Tb_KostenTypen[],3,0)*VLOOKUP(F1948,Tb_ProjectKosten[],MATCH(Tb_ProjectKosten[[#Headers],[Forfait_Percentage]],Tb_ProjectKosten[#Headers],0),0),""),X1948 &lt;=0,0),"")</f>
        <v/>
      </c>
      <c r="AB1948" s="314" t="str">
        <f t="shared" ca="1" si="123"/>
        <v/>
      </c>
      <c r="AC1948" s="322"/>
      <c r="AD1948" s="315"/>
      <c r="AE1948" s="32" t="str" cm="1">
        <f t="array" ref="AE1948">IFERROR(IF(INDEX(SubsidieTabel!$AD$1:$AG$12,MATCH($F1948,SubsidieTabel!$AD$1:$AD$12,0),IFERROR(MATCH(Methode_Keuze,SubsidieTabel!$AD$1:$AG$1,0),2))&lt;&gt;1=TRUE,"ja",""),"")</f>
        <v/>
      </c>
    </row>
    <row r="1949" spans="1:31" x14ac:dyDescent="0.25">
      <c r="A1949" s="316"/>
      <c r="B1949" s="317" t="str">
        <f>IF(A1949&lt;&gt;"",_xlfn.MAXIFS($B$1:B1948,$A$1:A1948,A1949)+1,"")</f>
        <v/>
      </c>
      <c r="C1949" s="296"/>
      <c r="D1949" s="296"/>
      <c r="E1949" s="296"/>
      <c r="F1949" s="296"/>
      <c r="G1949" s="326"/>
      <c r="H1949" s="324"/>
      <c r="I1949" s="325"/>
      <c r="J1949" s="325"/>
      <c r="K1949" s="318"/>
      <c r="L1949" s="318"/>
      <c r="M1949" s="319" t="str">
        <f>IFERROR(VLOOKUP(H1949,Lijsten!$H$1:$I$100,2,0),"")</f>
        <v/>
      </c>
      <c r="N1949" s="319" t="str">
        <f ca="1">IFERROR(IF(VLOOKUP(F1949,Kostentypen!$A$3:$E$21,3,0)=0,"",IF(OR(F1949="Arbeidskosten",F1949="Vergoeding"),VLOOKUP(G1949,Tb_KostenTypen[],2,0),VLOOKUP(F1949,Kostentypen!$A$3:$E$20,3,0))),"")</f>
        <v/>
      </c>
      <c r="O1949" s="320" t="str" cm="1">
        <f t="array" ref="O1949">_xlfn.IFNA(IF(INDEX(Tb_KostenOptiesDB[],MATCH($F1949,Tb_KostenOptiesDB[KostenOptie],0),IFERROR(MATCH(Methode_Keuze,Tb_KostenOptiesDB[#Headers],0),2))=1,_xlfn.SWITCH($N1949,"Uurtarief",IF(OR(AND(RIGHT($F1949,3)="IKS",VLOOKUP($M1949,DB_Loonkosten,2,0)="Ja"),AND(RIGHT($F1949,3)&lt;&gt;"IKS",VLOOKUP($M1949,DB_Loonkosten,2,0)="Nee")),IFERROR(VLOOKUP($M1949,DB_Loonkosten,24,0),""),0),"Vast tarief",IF(LEFT(F1949,8)="Bijdrage",VLOOKUP($F1949,Tb_KostenTypen[],MATCH(Lijsten!$P$1,Tb_KostenTypen[#Headers],0),0),VLOOKUP($G1949,Lijsten!L:P,MATCH(Lijsten!$P$1,Kop_Tarief_Vast,0),0))),""),"")</f>
        <v/>
      </c>
      <c r="P1949" s="320" t="str" cm="1">
        <f t="array" ref="P1949">_xlfn.IFNA(IF(INDEX(Tb_KostenOptiesDB[],MATCH($F1949,Tb_KostenOptiesDB[KostenOptie],0),IFERROR(MATCH(Methode_Keuze,Tb_KostenOptiesDB[#Headers],0),2))=1,_xlfn.SWITCH($N1949,"Uurtarief",IF(OR(AND(RIGHT($F1949,3)="IKS",VLOOKUP($M1949,DB_Loonkosten,2,0)="Ja"),AND(RIGHT($F1949,3)&lt;&gt;"IKS",VLOOKUP($M1949,DB_Loonkosten,2,0)="Nee")),IFERROR(VLOOKUP($M1949,DB_Loonkosten,25,0),""),0),"Vast tarief",IF(LEFT(F1949,8)="Bijdrage",VLOOKUP($F1949,Tb_KostenTypen[],MATCH(Lijsten!$P$1,Tb_KostenTypen[#Headers],0),0),VLOOKUP($G1949,Lijsten!L:P,MATCH(Lijsten!$P$1,Kop_Tarief_Vast,0),0))),""),"")</f>
        <v/>
      </c>
      <c r="Q1949" s="359"/>
      <c r="R1949" s="359"/>
      <c r="S1949" s="321"/>
      <c r="T1949" s="321"/>
      <c r="U1949" s="373" t="str">
        <f t="shared" si="120"/>
        <v/>
      </c>
      <c r="V1949" s="314" t="str">
        <f t="shared" si="121"/>
        <v/>
      </c>
      <c r="W1949" s="314" t="str" cm="1">
        <f t="array" aca="1" ref="W1949" ca="1">IFERROR(IF(AE1949&lt;&gt;"ja",_xlfn.IFNA(_xlfn.IFS(AND(O1949&lt;&gt;"",F1949&lt;&gt;"",RIGHT($N1949,6)="tarief",F1949="Vergoeding"),SUM(O1949)*FLOOR(SUM(Q1949),0.0001),AND(O1949&lt;&gt;"",F1949&lt;&gt;"",RIGHT($N1949,6)="tarief"),SUM(O1949)*FLOOR(SUM(Q1949),0.01),S1949&gt;0,IF(F1949&lt;&gt;"",FLOOR(SUM(S1949),0.01),"")),""),""),"")</f>
        <v/>
      </c>
      <c r="X1949" s="314" t="str" cm="1">
        <f t="array" aca="1" ref="X1949" ca="1">IFERROR(IF(AE1949&lt;&gt;"ja",_xlfn.IFNA(_xlfn.IFS(AND(P1949&lt;&gt;"",R1949&lt;&gt;"",RIGHT($N1949,6)="tarief",F1949="Vergoeding"),SUM(P1949)*FLOOR(SUM(R1949),0.0001),AND(P1949&lt;&gt;"",R1949&lt;&gt;"",RIGHT($N1949,6)="tarief"),P1949*FLOOR(R1949,0.01),T1949&gt;0,FLOOR(SUM(T1949),0.01)),""),""),"")</f>
        <v/>
      </c>
      <c r="Y1949" s="314" t="str">
        <f t="shared" ca="1" si="122"/>
        <v/>
      </c>
      <c r="Z1949" s="314" t="str" cm="1">
        <f t="array" aca="1" ref="Z1949" ca="1">IFERROR(_xlfn.IFS(OR(F1949="",LEFT(Methode_Keuze,4)="Geen",Methode_Keuze=""),"",AND(W1949&lt;&gt;"",F1949&lt;&gt;"Arbeidskosten"),W1949*VLOOKUP(F1949,Tb_ProjectKosten[],MATCH(Tb_ProjectKosten[[#Headers],[Forfait_Percentage]],Tb_ProjectKosten[#Headers],0),0),AND(F1949="Arbeidskosten",G1949&lt;&gt;""),IFERROR(W1949*VLOOKUP(G1949,Tb_KostenTypen[],3,0)*VLOOKUP(F1949,Tb_ProjectKosten[],MATCH(Tb_ProjectKosten[[#Headers],[Forfait_Percentage]],Tb_ProjectKosten[#Headers],0),0),""),W1949 &lt;=0,0),"")</f>
        <v/>
      </c>
      <c r="AA1949" s="314" t="str" cm="1">
        <f t="array" aca="1" ref="AA1949" ca="1">IFERROR(_xlfn.IFS(OR(F1949="",LEFT(Methode_Keuze,4)="Geen",Methode_Keuze=""),"",AND(X1949&lt;&gt;"",F1949&lt;&gt;"Arbeidskosten"),X1949*VLOOKUP(F1949,Tb_ProjectKosten[],MATCH(Tb_ProjectKosten[[#Headers],[Forfait_Percentage]],Tb_ProjectKosten[#Headers],0),0),AND(F1949="Arbeidskosten",G1949&lt;&gt;""),IFERROR(X1949*VLOOKUP(G1949,Tb_KostenTypen[],3,0)*VLOOKUP(F1949,Tb_ProjectKosten[],MATCH(Tb_ProjectKosten[[#Headers],[Forfait_Percentage]],Tb_ProjectKosten[#Headers],0),0),""),X1949 &lt;=0,0),"")</f>
        <v/>
      </c>
      <c r="AB1949" s="314" t="str">
        <f t="shared" ca="1" si="123"/>
        <v/>
      </c>
      <c r="AC1949" s="322"/>
      <c r="AD1949" s="315"/>
      <c r="AE1949" s="32" t="str" cm="1">
        <f t="array" ref="AE1949">IFERROR(IF(INDEX(SubsidieTabel!$AD$1:$AG$12,MATCH($F1949,SubsidieTabel!$AD$1:$AD$12,0),IFERROR(MATCH(Methode_Keuze,SubsidieTabel!$AD$1:$AG$1,0),2))&lt;&gt;1=TRUE,"ja",""),"")</f>
        <v/>
      </c>
    </row>
    <row r="1950" spans="1:31" x14ac:dyDescent="0.25">
      <c r="A1950" s="316"/>
      <c r="B1950" s="317" t="str">
        <f>IF(A1950&lt;&gt;"",_xlfn.MAXIFS($B$1:B1949,$A$1:A1949,A1950)+1,"")</f>
        <v/>
      </c>
      <c r="C1950" s="296"/>
      <c r="D1950" s="296"/>
      <c r="E1950" s="296"/>
      <c r="F1950" s="296"/>
      <c r="G1950" s="326"/>
      <c r="H1950" s="324"/>
      <c r="I1950" s="325"/>
      <c r="J1950" s="325"/>
      <c r="K1950" s="318"/>
      <c r="L1950" s="318"/>
      <c r="M1950" s="319" t="str">
        <f>IFERROR(VLOOKUP(H1950,Lijsten!$H$1:$I$100,2,0),"")</f>
        <v/>
      </c>
      <c r="N1950" s="319" t="str">
        <f ca="1">IFERROR(IF(VLOOKUP(F1950,Kostentypen!$A$3:$E$21,3,0)=0,"",IF(OR(F1950="Arbeidskosten",F1950="Vergoeding"),VLOOKUP(G1950,Tb_KostenTypen[],2,0),VLOOKUP(F1950,Kostentypen!$A$3:$E$20,3,0))),"")</f>
        <v/>
      </c>
      <c r="O1950" s="320" t="str" cm="1">
        <f t="array" ref="O1950">_xlfn.IFNA(IF(INDEX(Tb_KostenOptiesDB[],MATCH($F1950,Tb_KostenOptiesDB[KostenOptie],0),IFERROR(MATCH(Methode_Keuze,Tb_KostenOptiesDB[#Headers],0),2))=1,_xlfn.SWITCH($N1950,"Uurtarief",IF(OR(AND(RIGHT($F1950,3)="IKS",VLOOKUP($M1950,DB_Loonkosten,2,0)="Ja"),AND(RIGHT($F1950,3)&lt;&gt;"IKS",VLOOKUP($M1950,DB_Loonkosten,2,0)="Nee")),IFERROR(VLOOKUP($M1950,DB_Loonkosten,24,0),""),0),"Vast tarief",IF(LEFT(F1950,8)="Bijdrage",VLOOKUP($F1950,Tb_KostenTypen[],MATCH(Lijsten!$P$1,Tb_KostenTypen[#Headers],0),0),VLOOKUP($G1950,Lijsten!L:P,MATCH(Lijsten!$P$1,Kop_Tarief_Vast,0),0))),""),"")</f>
        <v/>
      </c>
      <c r="P1950" s="320" t="str" cm="1">
        <f t="array" ref="P1950">_xlfn.IFNA(IF(INDEX(Tb_KostenOptiesDB[],MATCH($F1950,Tb_KostenOptiesDB[KostenOptie],0),IFERROR(MATCH(Methode_Keuze,Tb_KostenOptiesDB[#Headers],0),2))=1,_xlfn.SWITCH($N1950,"Uurtarief",IF(OR(AND(RIGHT($F1950,3)="IKS",VLOOKUP($M1950,DB_Loonkosten,2,0)="Ja"),AND(RIGHT($F1950,3)&lt;&gt;"IKS",VLOOKUP($M1950,DB_Loonkosten,2,0)="Nee")),IFERROR(VLOOKUP($M1950,DB_Loonkosten,25,0),""),0),"Vast tarief",IF(LEFT(F1950,8)="Bijdrage",VLOOKUP($F1950,Tb_KostenTypen[],MATCH(Lijsten!$P$1,Tb_KostenTypen[#Headers],0),0),VLOOKUP($G1950,Lijsten!L:P,MATCH(Lijsten!$P$1,Kop_Tarief_Vast,0),0))),""),"")</f>
        <v/>
      </c>
      <c r="Q1950" s="359"/>
      <c r="R1950" s="359"/>
      <c r="S1950" s="321"/>
      <c r="T1950" s="321"/>
      <c r="U1950" s="373" t="str">
        <f t="shared" si="120"/>
        <v/>
      </c>
      <c r="V1950" s="314" t="str">
        <f t="shared" si="121"/>
        <v/>
      </c>
      <c r="W1950" s="314" t="str" cm="1">
        <f t="array" aca="1" ref="W1950" ca="1">IFERROR(IF(AE1950&lt;&gt;"ja",_xlfn.IFNA(_xlfn.IFS(AND(O1950&lt;&gt;"",F1950&lt;&gt;"",RIGHT($N1950,6)="tarief",F1950="Vergoeding"),SUM(O1950)*FLOOR(SUM(Q1950),0.0001),AND(O1950&lt;&gt;"",F1950&lt;&gt;"",RIGHT($N1950,6)="tarief"),SUM(O1950)*FLOOR(SUM(Q1950),0.01),S1950&gt;0,IF(F1950&lt;&gt;"",FLOOR(SUM(S1950),0.01),"")),""),""),"")</f>
        <v/>
      </c>
      <c r="X1950" s="314" t="str" cm="1">
        <f t="array" aca="1" ref="X1950" ca="1">IFERROR(IF(AE1950&lt;&gt;"ja",_xlfn.IFNA(_xlfn.IFS(AND(P1950&lt;&gt;"",R1950&lt;&gt;"",RIGHT($N1950,6)="tarief",F1950="Vergoeding"),SUM(P1950)*FLOOR(SUM(R1950),0.0001),AND(P1950&lt;&gt;"",R1950&lt;&gt;"",RIGHT($N1950,6)="tarief"),P1950*FLOOR(R1950,0.01),T1950&gt;0,FLOOR(SUM(T1950),0.01)),""),""),"")</f>
        <v/>
      </c>
      <c r="Y1950" s="314" t="str">
        <f t="shared" ca="1" si="122"/>
        <v/>
      </c>
      <c r="Z1950" s="314" t="str" cm="1">
        <f t="array" aca="1" ref="Z1950" ca="1">IFERROR(_xlfn.IFS(OR(F1950="",LEFT(Methode_Keuze,4)="Geen",Methode_Keuze=""),"",AND(W1950&lt;&gt;"",F1950&lt;&gt;"Arbeidskosten"),W1950*VLOOKUP(F1950,Tb_ProjectKosten[],MATCH(Tb_ProjectKosten[[#Headers],[Forfait_Percentage]],Tb_ProjectKosten[#Headers],0),0),AND(F1950="Arbeidskosten",G1950&lt;&gt;""),IFERROR(W1950*VLOOKUP(G1950,Tb_KostenTypen[],3,0)*VLOOKUP(F1950,Tb_ProjectKosten[],MATCH(Tb_ProjectKosten[[#Headers],[Forfait_Percentage]],Tb_ProjectKosten[#Headers],0),0),""),W1950 &lt;=0,0),"")</f>
        <v/>
      </c>
      <c r="AA1950" s="314" t="str" cm="1">
        <f t="array" aca="1" ref="AA1950" ca="1">IFERROR(_xlfn.IFS(OR(F1950="",LEFT(Methode_Keuze,4)="Geen",Methode_Keuze=""),"",AND(X1950&lt;&gt;"",F1950&lt;&gt;"Arbeidskosten"),X1950*VLOOKUP(F1950,Tb_ProjectKosten[],MATCH(Tb_ProjectKosten[[#Headers],[Forfait_Percentage]],Tb_ProjectKosten[#Headers],0),0),AND(F1950="Arbeidskosten",G1950&lt;&gt;""),IFERROR(X1950*VLOOKUP(G1950,Tb_KostenTypen[],3,0)*VLOOKUP(F1950,Tb_ProjectKosten[],MATCH(Tb_ProjectKosten[[#Headers],[Forfait_Percentage]],Tb_ProjectKosten[#Headers],0),0),""),X1950 &lt;=0,0),"")</f>
        <v/>
      </c>
      <c r="AB1950" s="314" t="str">
        <f t="shared" ca="1" si="123"/>
        <v/>
      </c>
      <c r="AC1950" s="322"/>
      <c r="AD1950" s="315"/>
      <c r="AE1950" s="32" t="str" cm="1">
        <f t="array" ref="AE1950">IFERROR(IF(INDEX(SubsidieTabel!$AD$1:$AG$12,MATCH($F1950,SubsidieTabel!$AD$1:$AD$12,0),IFERROR(MATCH(Methode_Keuze,SubsidieTabel!$AD$1:$AG$1,0),2))&lt;&gt;1=TRUE,"ja",""),"")</f>
        <v/>
      </c>
    </row>
    <row r="1951" spans="1:31" x14ac:dyDescent="0.25">
      <c r="A1951" s="316"/>
      <c r="B1951" s="317" t="str">
        <f>IF(A1951&lt;&gt;"",_xlfn.MAXIFS($B$1:B1950,$A$1:A1950,A1951)+1,"")</f>
        <v/>
      </c>
      <c r="C1951" s="296"/>
      <c r="D1951" s="296"/>
      <c r="E1951" s="296"/>
      <c r="F1951" s="296"/>
      <c r="G1951" s="326"/>
      <c r="H1951" s="324"/>
      <c r="I1951" s="325"/>
      <c r="J1951" s="325"/>
      <c r="K1951" s="318"/>
      <c r="L1951" s="318"/>
      <c r="M1951" s="319" t="str">
        <f>IFERROR(VLOOKUP(H1951,Lijsten!$H$1:$I$100,2,0),"")</f>
        <v/>
      </c>
      <c r="N1951" s="319" t="str">
        <f ca="1">IFERROR(IF(VLOOKUP(F1951,Kostentypen!$A$3:$E$21,3,0)=0,"",IF(OR(F1951="Arbeidskosten",F1951="Vergoeding"),VLOOKUP(G1951,Tb_KostenTypen[],2,0),VLOOKUP(F1951,Kostentypen!$A$3:$E$20,3,0))),"")</f>
        <v/>
      </c>
      <c r="O1951" s="320" t="str" cm="1">
        <f t="array" ref="O1951">_xlfn.IFNA(IF(INDEX(Tb_KostenOptiesDB[],MATCH($F1951,Tb_KostenOptiesDB[KostenOptie],0),IFERROR(MATCH(Methode_Keuze,Tb_KostenOptiesDB[#Headers],0),2))=1,_xlfn.SWITCH($N1951,"Uurtarief",IF(OR(AND(RIGHT($F1951,3)="IKS",VLOOKUP($M1951,DB_Loonkosten,2,0)="Ja"),AND(RIGHT($F1951,3)&lt;&gt;"IKS",VLOOKUP($M1951,DB_Loonkosten,2,0)="Nee")),IFERROR(VLOOKUP($M1951,DB_Loonkosten,24,0),""),0),"Vast tarief",IF(LEFT(F1951,8)="Bijdrage",VLOOKUP($F1951,Tb_KostenTypen[],MATCH(Lijsten!$P$1,Tb_KostenTypen[#Headers],0),0),VLOOKUP($G1951,Lijsten!L:P,MATCH(Lijsten!$P$1,Kop_Tarief_Vast,0),0))),""),"")</f>
        <v/>
      </c>
      <c r="P1951" s="320" t="str" cm="1">
        <f t="array" ref="P1951">_xlfn.IFNA(IF(INDEX(Tb_KostenOptiesDB[],MATCH($F1951,Tb_KostenOptiesDB[KostenOptie],0),IFERROR(MATCH(Methode_Keuze,Tb_KostenOptiesDB[#Headers],0),2))=1,_xlfn.SWITCH($N1951,"Uurtarief",IF(OR(AND(RIGHT($F1951,3)="IKS",VLOOKUP($M1951,DB_Loonkosten,2,0)="Ja"),AND(RIGHT($F1951,3)&lt;&gt;"IKS",VLOOKUP($M1951,DB_Loonkosten,2,0)="Nee")),IFERROR(VLOOKUP($M1951,DB_Loonkosten,25,0),""),0),"Vast tarief",IF(LEFT(F1951,8)="Bijdrage",VLOOKUP($F1951,Tb_KostenTypen[],MATCH(Lijsten!$P$1,Tb_KostenTypen[#Headers],0),0),VLOOKUP($G1951,Lijsten!L:P,MATCH(Lijsten!$P$1,Kop_Tarief_Vast,0),0))),""),"")</f>
        <v/>
      </c>
      <c r="Q1951" s="359"/>
      <c r="R1951" s="359"/>
      <c r="S1951" s="321"/>
      <c r="T1951" s="321"/>
      <c r="U1951" s="373" t="str">
        <f t="shared" si="120"/>
        <v/>
      </c>
      <c r="V1951" s="314" t="str">
        <f t="shared" si="121"/>
        <v/>
      </c>
      <c r="W1951" s="314" t="str" cm="1">
        <f t="array" aca="1" ref="W1951" ca="1">IFERROR(IF(AE1951&lt;&gt;"ja",_xlfn.IFNA(_xlfn.IFS(AND(O1951&lt;&gt;"",F1951&lt;&gt;"",RIGHT($N1951,6)="tarief",F1951="Vergoeding"),SUM(O1951)*FLOOR(SUM(Q1951),0.0001),AND(O1951&lt;&gt;"",F1951&lt;&gt;"",RIGHT($N1951,6)="tarief"),SUM(O1951)*FLOOR(SUM(Q1951),0.01),S1951&gt;0,IF(F1951&lt;&gt;"",FLOOR(SUM(S1951),0.01),"")),""),""),"")</f>
        <v/>
      </c>
      <c r="X1951" s="314" t="str" cm="1">
        <f t="array" aca="1" ref="X1951" ca="1">IFERROR(IF(AE1951&lt;&gt;"ja",_xlfn.IFNA(_xlfn.IFS(AND(P1951&lt;&gt;"",R1951&lt;&gt;"",RIGHT($N1951,6)="tarief",F1951="Vergoeding"),SUM(P1951)*FLOOR(SUM(R1951),0.0001),AND(P1951&lt;&gt;"",R1951&lt;&gt;"",RIGHT($N1951,6)="tarief"),P1951*FLOOR(R1951,0.01),T1951&gt;0,FLOOR(SUM(T1951),0.01)),""),""),"")</f>
        <v/>
      </c>
      <c r="Y1951" s="314" t="str">
        <f t="shared" ca="1" si="122"/>
        <v/>
      </c>
      <c r="Z1951" s="314" t="str" cm="1">
        <f t="array" aca="1" ref="Z1951" ca="1">IFERROR(_xlfn.IFS(OR(F1951="",LEFT(Methode_Keuze,4)="Geen",Methode_Keuze=""),"",AND(W1951&lt;&gt;"",F1951&lt;&gt;"Arbeidskosten"),W1951*VLOOKUP(F1951,Tb_ProjectKosten[],MATCH(Tb_ProjectKosten[[#Headers],[Forfait_Percentage]],Tb_ProjectKosten[#Headers],0),0),AND(F1951="Arbeidskosten",G1951&lt;&gt;""),IFERROR(W1951*VLOOKUP(G1951,Tb_KostenTypen[],3,0)*VLOOKUP(F1951,Tb_ProjectKosten[],MATCH(Tb_ProjectKosten[[#Headers],[Forfait_Percentage]],Tb_ProjectKosten[#Headers],0),0),""),W1951 &lt;=0,0),"")</f>
        <v/>
      </c>
      <c r="AA1951" s="314" t="str" cm="1">
        <f t="array" aca="1" ref="AA1951" ca="1">IFERROR(_xlfn.IFS(OR(F1951="",LEFT(Methode_Keuze,4)="Geen",Methode_Keuze=""),"",AND(X1951&lt;&gt;"",F1951&lt;&gt;"Arbeidskosten"),X1951*VLOOKUP(F1951,Tb_ProjectKosten[],MATCH(Tb_ProjectKosten[[#Headers],[Forfait_Percentage]],Tb_ProjectKosten[#Headers],0),0),AND(F1951="Arbeidskosten",G1951&lt;&gt;""),IFERROR(X1951*VLOOKUP(G1951,Tb_KostenTypen[],3,0)*VLOOKUP(F1951,Tb_ProjectKosten[],MATCH(Tb_ProjectKosten[[#Headers],[Forfait_Percentage]],Tb_ProjectKosten[#Headers],0),0),""),X1951 &lt;=0,0),"")</f>
        <v/>
      </c>
      <c r="AB1951" s="314" t="str">
        <f t="shared" ca="1" si="123"/>
        <v/>
      </c>
      <c r="AC1951" s="322"/>
      <c r="AD1951" s="315"/>
      <c r="AE1951" s="32" t="str" cm="1">
        <f t="array" ref="AE1951">IFERROR(IF(INDEX(SubsidieTabel!$AD$1:$AG$12,MATCH($F1951,SubsidieTabel!$AD$1:$AD$12,0),IFERROR(MATCH(Methode_Keuze,SubsidieTabel!$AD$1:$AG$1,0),2))&lt;&gt;1=TRUE,"ja",""),"")</f>
        <v/>
      </c>
    </row>
    <row r="1952" spans="1:31" x14ac:dyDescent="0.25">
      <c r="A1952" s="316"/>
      <c r="B1952" s="317" t="str">
        <f>IF(A1952&lt;&gt;"",_xlfn.MAXIFS($B$1:B1951,$A$1:A1951,A1952)+1,"")</f>
        <v/>
      </c>
      <c r="C1952" s="296"/>
      <c r="D1952" s="296"/>
      <c r="E1952" s="296"/>
      <c r="F1952" s="296"/>
      <c r="G1952" s="326"/>
      <c r="H1952" s="324"/>
      <c r="I1952" s="325"/>
      <c r="J1952" s="325"/>
      <c r="K1952" s="318"/>
      <c r="L1952" s="318"/>
      <c r="M1952" s="319" t="str">
        <f>IFERROR(VLOOKUP(H1952,Lijsten!$H$1:$I$100,2,0),"")</f>
        <v/>
      </c>
      <c r="N1952" s="319" t="str">
        <f ca="1">IFERROR(IF(VLOOKUP(F1952,Kostentypen!$A$3:$E$21,3,0)=0,"",IF(OR(F1952="Arbeidskosten",F1952="Vergoeding"),VLOOKUP(G1952,Tb_KostenTypen[],2,0),VLOOKUP(F1952,Kostentypen!$A$3:$E$20,3,0))),"")</f>
        <v/>
      </c>
      <c r="O1952" s="320" t="str" cm="1">
        <f t="array" ref="O1952">_xlfn.IFNA(IF(INDEX(Tb_KostenOptiesDB[],MATCH($F1952,Tb_KostenOptiesDB[KostenOptie],0),IFERROR(MATCH(Methode_Keuze,Tb_KostenOptiesDB[#Headers],0),2))=1,_xlfn.SWITCH($N1952,"Uurtarief",IF(OR(AND(RIGHT($F1952,3)="IKS",VLOOKUP($M1952,DB_Loonkosten,2,0)="Ja"),AND(RIGHT($F1952,3)&lt;&gt;"IKS",VLOOKUP($M1952,DB_Loonkosten,2,0)="Nee")),IFERROR(VLOOKUP($M1952,DB_Loonkosten,24,0),""),0),"Vast tarief",IF(LEFT(F1952,8)="Bijdrage",VLOOKUP($F1952,Tb_KostenTypen[],MATCH(Lijsten!$P$1,Tb_KostenTypen[#Headers],0),0),VLOOKUP($G1952,Lijsten!L:P,MATCH(Lijsten!$P$1,Kop_Tarief_Vast,0),0))),""),"")</f>
        <v/>
      </c>
      <c r="P1952" s="320" t="str" cm="1">
        <f t="array" ref="P1952">_xlfn.IFNA(IF(INDEX(Tb_KostenOptiesDB[],MATCH($F1952,Tb_KostenOptiesDB[KostenOptie],0),IFERROR(MATCH(Methode_Keuze,Tb_KostenOptiesDB[#Headers],0),2))=1,_xlfn.SWITCH($N1952,"Uurtarief",IF(OR(AND(RIGHT($F1952,3)="IKS",VLOOKUP($M1952,DB_Loonkosten,2,0)="Ja"),AND(RIGHT($F1952,3)&lt;&gt;"IKS",VLOOKUP($M1952,DB_Loonkosten,2,0)="Nee")),IFERROR(VLOOKUP($M1952,DB_Loonkosten,25,0),""),0),"Vast tarief",IF(LEFT(F1952,8)="Bijdrage",VLOOKUP($F1952,Tb_KostenTypen[],MATCH(Lijsten!$P$1,Tb_KostenTypen[#Headers],0),0),VLOOKUP($G1952,Lijsten!L:P,MATCH(Lijsten!$P$1,Kop_Tarief_Vast,0),0))),""),"")</f>
        <v/>
      </c>
      <c r="Q1952" s="359"/>
      <c r="R1952" s="359"/>
      <c r="S1952" s="321"/>
      <c r="T1952" s="321"/>
      <c r="U1952" s="373" t="str">
        <f t="shared" si="120"/>
        <v/>
      </c>
      <c r="V1952" s="314" t="str">
        <f t="shared" si="121"/>
        <v/>
      </c>
      <c r="W1952" s="314" t="str" cm="1">
        <f t="array" aca="1" ref="W1952" ca="1">IFERROR(IF(AE1952&lt;&gt;"ja",_xlfn.IFNA(_xlfn.IFS(AND(O1952&lt;&gt;"",F1952&lt;&gt;"",RIGHT($N1952,6)="tarief",F1952="Vergoeding"),SUM(O1952)*FLOOR(SUM(Q1952),0.0001),AND(O1952&lt;&gt;"",F1952&lt;&gt;"",RIGHT($N1952,6)="tarief"),SUM(O1952)*FLOOR(SUM(Q1952),0.01),S1952&gt;0,IF(F1952&lt;&gt;"",FLOOR(SUM(S1952),0.01),"")),""),""),"")</f>
        <v/>
      </c>
      <c r="X1952" s="314" t="str" cm="1">
        <f t="array" aca="1" ref="X1952" ca="1">IFERROR(IF(AE1952&lt;&gt;"ja",_xlfn.IFNA(_xlfn.IFS(AND(P1952&lt;&gt;"",R1952&lt;&gt;"",RIGHT($N1952,6)="tarief",F1952="Vergoeding"),SUM(P1952)*FLOOR(SUM(R1952),0.0001),AND(P1952&lt;&gt;"",R1952&lt;&gt;"",RIGHT($N1952,6)="tarief"),P1952*FLOOR(R1952,0.01),T1952&gt;0,FLOOR(SUM(T1952),0.01)),""),""),"")</f>
        <v/>
      </c>
      <c r="Y1952" s="314" t="str">
        <f t="shared" ca="1" si="122"/>
        <v/>
      </c>
      <c r="Z1952" s="314" t="str" cm="1">
        <f t="array" aca="1" ref="Z1952" ca="1">IFERROR(_xlfn.IFS(OR(F1952="",LEFT(Methode_Keuze,4)="Geen",Methode_Keuze=""),"",AND(W1952&lt;&gt;"",F1952&lt;&gt;"Arbeidskosten"),W1952*VLOOKUP(F1952,Tb_ProjectKosten[],MATCH(Tb_ProjectKosten[[#Headers],[Forfait_Percentage]],Tb_ProjectKosten[#Headers],0),0),AND(F1952="Arbeidskosten",G1952&lt;&gt;""),IFERROR(W1952*VLOOKUP(G1952,Tb_KostenTypen[],3,0)*VLOOKUP(F1952,Tb_ProjectKosten[],MATCH(Tb_ProjectKosten[[#Headers],[Forfait_Percentage]],Tb_ProjectKosten[#Headers],0),0),""),W1952 &lt;=0,0),"")</f>
        <v/>
      </c>
      <c r="AA1952" s="314" t="str" cm="1">
        <f t="array" aca="1" ref="AA1952" ca="1">IFERROR(_xlfn.IFS(OR(F1952="",LEFT(Methode_Keuze,4)="Geen",Methode_Keuze=""),"",AND(X1952&lt;&gt;"",F1952&lt;&gt;"Arbeidskosten"),X1952*VLOOKUP(F1952,Tb_ProjectKosten[],MATCH(Tb_ProjectKosten[[#Headers],[Forfait_Percentage]],Tb_ProjectKosten[#Headers],0),0),AND(F1952="Arbeidskosten",G1952&lt;&gt;""),IFERROR(X1952*VLOOKUP(G1952,Tb_KostenTypen[],3,0)*VLOOKUP(F1952,Tb_ProjectKosten[],MATCH(Tb_ProjectKosten[[#Headers],[Forfait_Percentage]],Tb_ProjectKosten[#Headers],0),0),""),X1952 &lt;=0,0),"")</f>
        <v/>
      </c>
      <c r="AB1952" s="314" t="str">
        <f t="shared" ca="1" si="123"/>
        <v/>
      </c>
      <c r="AC1952" s="322"/>
      <c r="AD1952" s="315"/>
      <c r="AE1952" s="32" t="str" cm="1">
        <f t="array" ref="AE1952">IFERROR(IF(INDEX(SubsidieTabel!$AD$1:$AG$12,MATCH($F1952,SubsidieTabel!$AD$1:$AD$12,0),IFERROR(MATCH(Methode_Keuze,SubsidieTabel!$AD$1:$AG$1,0),2))&lt;&gt;1=TRUE,"ja",""),"")</f>
        <v/>
      </c>
    </row>
    <row r="1953" spans="1:31" x14ac:dyDescent="0.25">
      <c r="A1953" s="316"/>
      <c r="B1953" s="317" t="str">
        <f>IF(A1953&lt;&gt;"",_xlfn.MAXIFS($B$1:B1952,$A$1:A1952,A1953)+1,"")</f>
        <v/>
      </c>
      <c r="C1953" s="296"/>
      <c r="D1953" s="296"/>
      <c r="E1953" s="296"/>
      <c r="F1953" s="296"/>
      <c r="G1953" s="326"/>
      <c r="H1953" s="324"/>
      <c r="I1953" s="325"/>
      <c r="J1953" s="325"/>
      <c r="K1953" s="318"/>
      <c r="L1953" s="318"/>
      <c r="M1953" s="319" t="str">
        <f>IFERROR(VLOOKUP(H1953,Lijsten!$H$1:$I$100,2,0),"")</f>
        <v/>
      </c>
      <c r="N1953" s="319" t="str">
        <f ca="1">IFERROR(IF(VLOOKUP(F1953,Kostentypen!$A$3:$E$21,3,0)=0,"",IF(OR(F1953="Arbeidskosten",F1953="Vergoeding"),VLOOKUP(G1953,Tb_KostenTypen[],2,0),VLOOKUP(F1953,Kostentypen!$A$3:$E$20,3,0))),"")</f>
        <v/>
      </c>
      <c r="O1953" s="320" t="str" cm="1">
        <f t="array" ref="O1953">_xlfn.IFNA(IF(INDEX(Tb_KostenOptiesDB[],MATCH($F1953,Tb_KostenOptiesDB[KostenOptie],0),IFERROR(MATCH(Methode_Keuze,Tb_KostenOptiesDB[#Headers],0),2))=1,_xlfn.SWITCH($N1953,"Uurtarief",IF(OR(AND(RIGHT($F1953,3)="IKS",VLOOKUP($M1953,DB_Loonkosten,2,0)="Ja"),AND(RIGHT($F1953,3)&lt;&gt;"IKS",VLOOKUP($M1953,DB_Loonkosten,2,0)="Nee")),IFERROR(VLOOKUP($M1953,DB_Loonkosten,24,0),""),0),"Vast tarief",IF(LEFT(F1953,8)="Bijdrage",VLOOKUP($F1953,Tb_KostenTypen[],MATCH(Lijsten!$P$1,Tb_KostenTypen[#Headers],0),0),VLOOKUP($G1953,Lijsten!L:P,MATCH(Lijsten!$P$1,Kop_Tarief_Vast,0),0))),""),"")</f>
        <v/>
      </c>
      <c r="P1953" s="320" t="str" cm="1">
        <f t="array" ref="P1953">_xlfn.IFNA(IF(INDEX(Tb_KostenOptiesDB[],MATCH($F1953,Tb_KostenOptiesDB[KostenOptie],0),IFERROR(MATCH(Methode_Keuze,Tb_KostenOptiesDB[#Headers],0),2))=1,_xlfn.SWITCH($N1953,"Uurtarief",IF(OR(AND(RIGHT($F1953,3)="IKS",VLOOKUP($M1953,DB_Loonkosten,2,0)="Ja"),AND(RIGHT($F1953,3)&lt;&gt;"IKS",VLOOKUP($M1953,DB_Loonkosten,2,0)="Nee")),IFERROR(VLOOKUP($M1953,DB_Loonkosten,25,0),""),0),"Vast tarief",IF(LEFT(F1953,8)="Bijdrage",VLOOKUP($F1953,Tb_KostenTypen[],MATCH(Lijsten!$P$1,Tb_KostenTypen[#Headers],0),0),VLOOKUP($G1953,Lijsten!L:P,MATCH(Lijsten!$P$1,Kop_Tarief_Vast,0),0))),""),"")</f>
        <v/>
      </c>
      <c r="Q1953" s="359"/>
      <c r="R1953" s="359"/>
      <c r="S1953" s="321"/>
      <c r="T1953" s="321"/>
      <c r="U1953" s="373" t="str">
        <f t="shared" si="120"/>
        <v/>
      </c>
      <c r="V1953" s="314" t="str">
        <f t="shared" si="121"/>
        <v/>
      </c>
      <c r="W1953" s="314" t="str" cm="1">
        <f t="array" aca="1" ref="W1953" ca="1">IFERROR(IF(AE1953&lt;&gt;"ja",_xlfn.IFNA(_xlfn.IFS(AND(O1953&lt;&gt;"",F1953&lt;&gt;"",RIGHT($N1953,6)="tarief",F1953="Vergoeding"),SUM(O1953)*FLOOR(SUM(Q1953),0.0001),AND(O1953&lt;&gt;"",F1953&lt;&gt;"",RIGHT($N1953,6)="tarief"),SUM(O1953)*FLOOR(SUM(Q1953),0.01),S1953&gt;0,IF(F1953&lt;&gt;"",FLOOR(SUM(S1953),0.01),"")),""),""),"")</f>
        <v/>
      </c>
      <c r="X1953" s="314" t="str" cm="1">
        <f t="array" aca="1" ref="X1953" ca="1">IFERROR(IF(AE1953&lt;&gt;"ja",_xlfn.IFNA(_xlfn.IFS(AND(P1953&lt;&gt;"",R1953&lt;&gt;"",RIGHT($N1953,6)="tarief",F1953="Vergoeding"),SUM(P1953)*FLOOR(SUM(R1953),0.0001),AND(P1953&lt;&gt;"",R1953&lt;&gt;"",RIGHT($N1953,6)="tarief"),P1953*FLOOR(R1953,0.01),T1953&gt;0,FLOOR(SUM(T1953),0.01)),""),""),"")</f>
        <v/>
      </c>
      <c r="Y1953" s="314" t="str">
        <f t="shared" ca="1" si="122"/>
        <v/>
      </c>
      <c r="Z1953" s="314" t="str" cm="1">
        <f t="array" aca="1" ref="Z1953" ca="1">IFERROR(_xlfn.IFS(OR(F1953="",LEFT(Methode_Keuze,4)="Geen",Methode_Keuze=""),"",AND(W1953&lt;&gt;"",F1953&lt;&gt;"Arbeidskosten"),W1953*VLOOKUP(F1953,Tb_ProjectKosten[],MATCH(Tb_ProjectKosten[[#Headers],[Forfait_Percentage]],Tb_ProjectKosten[#Headers],0),0),AND(F1953="Arbeidskosten",G1953&lt;&gt;""),IFERROR(W1953*VLOOKUP(G1953,Tb_KostenTypen[],3,0)*VLOOKUP(F1953,Tb_ProjectKosten[],MATCH(Tb_ProjectKosten[[#Headers],[Forfait_Percentage]],Tb_ProjectKosten[#Headers],0),0),""),W1953 &lt;=0,0),"")</f>
        <v/>
      </c>
      <c r="AA1953" s="314" t="str" cm="1">
        <f t="array" aca="1" ref="AA1953" ca="1">IFERROR(_xlfn.IFS(OR(F1953="",LEFT(Methode_Keuze,4)="Geen",Methode_Keuze=""),"",AND(X1953&lt;&gt;"",F1953&lt;&gt;"Arbeidskosten"),X1953*VLOOKUP(F1953,Tb_ProjectKosten[],MATCH(Tb_ProjectKosten[[#Headers],[Forfait_Percentage]],Tb_ProjectKosten[#Headers],0),0),AND(F1953="Arbeidskosten",G1953&lt;&gt;""),IFERROR(X1953*VLOOKUP(G1953,Tb_KostenTypen[],3,0)*VLOOKUP(F1953,Tb_ProjectKosten[],MATCH(Tb_ProjectKosten[[#Headers],[Forfait_Percentage]],Tb_ProjectKosten[#Headers],0),0),""),X1953 &lt;=0,0),"")</f>
        <v/>
      </c>
      <c r="AB1953" s="314" t="str">
        <f t="shared" ca="1" si="123"/>
        <v/>
      </c>
      <c r="AC1953" s="322"/>
      <c r="AD1953" s="315"/>
      <c r="AE1953" s="32" t="str" cm="1">
        <f t="array" ref="AE1953">IFERROR(IF(INDEX(SubsidieTabel!$AD$1:$AG$12,MATCH($F1953,SubsidieTabel!$AD$1:$AD$12,0),IFERROR(MATCH(Methode_Keuze,SubsidieTabel!$AD$1:$AG$1,0),2))&lt;&gt;1=TRUE,"ja",""),"")</f>
        <v/>
      </c>
    </row>
    <row r="1954" spans="1:31" x14ac:dyDescent="0.25">
      <c r="A1954" s="316"/>
      <c r="B1954" s="317" t="str">
        <f>IF(A1954&lt;&gt;"",_xlfn.MAXIFS($B$1:B1953,$A$1:A1953,A1954)+1,"")</f>
        <v/>
      </c>
      <c r="C1954" s="296"/>
      <c r="D1954" s="296"/>
      <c r="E1954" s="296"/>
      <c r="F1954" s="296"/>
      <c r="G1954" s="326"/>
      <c r="H1954" s="324"/>
      <c r="I1954" s="325"/>
      <c r="J1954" s="325"/>
      <c r="K1954" s="318"/>
      <c r="L1954" s="318"/>
      <c r="M1954" s="319" t="str">
        <f>IFERROR(VLOOKUP(H1954,Lijsten!$H$1:$I$100,2,0),"")</f>
        <v/>
      </c>
      <c r="N1954" s="319" t="str">
        <f ca="1">IFERROR(IF(VLOOKUP(F1954,Kostentypen!$A$3:$E$21,3,0)=0,"",IF(OR(F1954="Arbeidskosten",F1954="Vergoeding"),VLOOKUP(G1954,Tb_KostenTypen[],2,0),VLOOKUP(F1954,Kostentypen!$A$3:$E$20,3,0))),"")</f>
        <v/>
      </c>
      <c r="O1954" s="320" t="str" cm="1">
        <f t="array" ref="O1954">_xlfn.IFNA(IF(INDEX(Tb_KostenOptiesDB[],MATCH($F1954,Tb_KostenOptiesDB[KostenOptie],0),IFERROR(MATCH(Methode_Keuze,Tb_KostenOptiesDB[#Headers],0),2))=1,_xlfn.SWITCH($N1954,"Uurtarief",IF(OR(AND(RIGHT($F1954,3)="IKS",VLOOKUP($M1954,DB_Loonkosten,2,0)="Ja"),AND(RIGHT($F1954,3)&lt;&gt;"IKS",VLOOKUP($M1954,DB_Loonkosten,2,0)="Nee")),IFERROR(VLOOKUP($M1954,DB_Loonkosten,24,0),""),0),"Vast tarief",IF(LEFT(F1954,8)="Bijdrage",VLOOKUP($F1954,Tb_KostenTypen[],MATCH(Lijsten!$P$1,Tb_KostenTypen[#Headers],0),0),VLOOKUP($G1954,Lijsten!L:P,MATCH(Lijsten!$P$1,Kop_Tarief_Vast,0),0))),""),"")</f>
        <v/>
      </c>
      <c r="P1954" s="320" t="str" cm="1">
        <f t="array" ref="P1954">_xlfn.IFNA(IF(INDEX(Tb_KostenOptiesDB[],MATCH($F1954,Tb_KostenOptiesDB[KostenOptie],0),IFERROR(MATCH(Methode_Keuze,Tb_KostenOptiesDB[#Headers],0),2))=1,_xlfn.SWITCH($N1954,"Uurtarief",IF(OR(AND(RIGHT($F1954,3)="IKS",VLOOKUP($M1954,DB_Loonkosten,2,0)="Ja"),AND(RIGHT($F1954,3)&lt;&gt;"IKS",VLOOKUP($M1954,DB_Loonkosten,2,0)="Nee")),IFERROR(VLOOKUP($M1954,DB_Loonkosten,25,0),""),0),"Vast tarief",IF(LEFT(F1954,8)="Bijdrage",VLOOKUP($F1954,Tb_KostenTypen[],MATCH(Lijsten!$P$1,Tb_KostenTypen[#Headers],0),0),VLOOKUP($G1954,Lijsten!L:P,MATCH(Lijsten!$P$1,Kop_Tarief_Vast,0),0))),""),"")</f>
        <v/>
      </c>
      <c r="Q1954" s="359"/>
      <c r="R1954" s="359"/>
      <c r="S1954" s="321"/>
      <c r="T1954" s="321"/>
      <c r="U1954" s="373" t="str">
        <f t="shared" si="120"/>
        <v/>
      </c>
      <c r="V1954" s="314" t="str">
        <f t="shared" si="121"/>
        <v/>
      </c>
      <c r="W1954" s="314" t="str" cm="1">
        <f t="array" aca="1" ref="W1954" ca="1">IFERROR(IF(AE1954&lt;&gt;"ja",_xlfn.IFNA(_xlfn.IFS(AND(O1954&lt;&gt;"",F1954&lt;&gt;"",RIGHT($N1954,6)="tarief",F1954="Vergoeding"),SUM(O1954)*FLOOR(SUM(Q1954),0.0001),AND(O1954&lt;&gt;"",F1954&lt;&gt;"",RIGHT($N1954,6)="tarief"),SUM(O1954)*FLOOR(SUM(Q1954),0.01),S1954&gt;0,IF(F1954&lt;&gt;"",FLOOR(SUM(S1954),0.01),"")),""),""),"")</f>
        <v/>
      </c>
      <c r="X1954" s="314" t="str" cm="1">
        <f t="array" aca="1" ref="X1954" ca="1">IFERROR(IF(AE1954&lt;&gt;"ja",_xlfn.IFNA(_xlfn.IFS(AND(P1954&lt;&gt;"",R1954&lt;&gt;"",RIGHT($N1954,6)="tarief",F1954="Vergoeding"),SUM(P1954)*FLOOR(SUM(R1954),0.0001),AND(P1954&lt;&gt;"",R1954&lt;&gt;"",RIGHT($N1954,6)="tarief"),P1954*FLOOR(R1954,0.01),T1954&gt;0,FLOOR(SUM(T1954),0.01)),""),""),"")</f>
        <v/>
      </c>
      <c r="Y1954" s="314" t="str">
        <f t="shared" ca="1" si="122"/>
        <v/>
      </c>
      <c r="Z1954" s="314" t="str" cm="1">
        <f t="array" aca="1" ref="Z1954" ca="1">IFERROR(_xlfn.IFS(OR(F1954="",LEFT(Methode_Keuze,4)="Geen",Methode_Keuze=""),"",AND(W1954&lt;&gt;"",F1954&lt;&gt;"Arbeidskosten"),W1954*VLOOKUP(F1954,Tb_ProjectKosten[],MATCH(Tb_ProjectKosten[[#Headers],[Forfait_Percentage]],Tb_ProjectKosten[#Headers],0),0),AND(F1954="Arbeidskosten",G1954&lt;&gt;""),IFERROR(W1954*VLOOKUP(G1954,Tb_KostenTypen[],3,0)*VLOOKUP(F1954,Tb_ProjectKosten[],MATCH(Tb_ProjectKosten[[#Headers],[Forfait_Percentage]],Tb_ProjectKosten[#Headers],0),0),""),W1954 &lt;=0,0),"")</f>
        <v/>
      </c>
      <c r="AA1954" s="314" t="str" cm="1">
        <f t="array" aca="1" ref="AA1954" ca="1">IFERROR(_xlfn.IFS(OR(F1954="",LEFT(Methode_Keuze,4)="Geen",Methode_Keuze=""),"",AND(X1954&lt;&gt;"",F1954&lt;&gt;"Arbeidskosten"),X1954*VLOOKUP(F1954,Tb_ProjectKosten[],MATCH(Tb_ProjectKosten[[#Headers],[Forfait_Percentage]],Tb_ProjectKosten[#Headers],0),0),AND(F1954="Arbeidskosten",G1954&lt;&gt;""),IFERROR(X1954*VLOOKUP(G1954,Tb_KostenTypen[],3,0)*VLOOKUP(F1954,Tb_ProjectKosten[],MATCH(Tb_ProjectKosten[[#Headers],[Forfait_Percentage]],Tb_ProjectKosten[#Headers],0),0),""),X1954 &lt;=0,0),"")</f>
        <v/>
      </c>
      <c r="AB1954" s="314" t="str">
        <f t="shared" ca="1" si="123"/>
        <v/>
      </c>
      <c r="AC1954" s="322"/>
      <c r="AD1954" s="315"/>
      <c r="AE1954" s="32" t="str" cm="1">
        <f t="array" ref="AE1954">IFERROR(IF(INDEX(SubsidieTabel!$AD$1:$AG$12,MATCH($F1954,SubsidieTabel!$AD$1:$AD$12,0),IFERROR(MATCH(Methode_Keuze,SubsidieTabel!$AD$1:$AG$1,0),2))&lt;&gt;1=TRUE,"ja",""),"")</f>
        <v/>
      </c>
    </row>
    <row r="1955" spans="1:31" x14ac:dyDescent="0.25">
      <c r="A1955" s="316"/>
      <c r="B1955" s="317" t="str">
        <f>IF(A1955&lt;&gt;"",_xlfn.MAXIFS($B$1:B1954,$A$1:A1954,A1955)+1,"")</f>
        <v/>
      </c>
      <c r="C1955" s="296"/>
      <c r="D1955" s="296"/>
      <c r="E1955" s="296"/>
      <c r="F1955" s="296"/>
      <c r="G1955" s="326"/>
      <c r="H1955" s="324"/>
      <c r="I1955" s="325"/>
      <c r="J1955" s="325"/>
      <c r="K1955" s="318"/>
      <c r="L1955" s="318"/>
      <c r="M1955" s="319" t="str">
        <f>IFERROR(VLOOKUP(H1955,Lijsten!$H$1:$I$100,2,0),"")</f>
        <v/>
      </c>
      <c r="N1955" s="319" t="str">
        <f ca="1">IFERROR(IF(VLOOKUP(F1955,Kostentypen!$A$3:$E$21,3,0)=0,"",IF(OR(F1955="Arbeidskosten",F1955="Vergoeding"),VLOOKUP(G1955,Tb_KostenTypen[],2,0),VLOOKUP(F1955,Kostentypen!$A$3:$E$20,3,0))),"")</f>
        <v/>
      </c>
      <c r="O1955" s="320" t="str" cm="1">
        <f t="array" ref="O1955">_xlfn.IFNA(IF(INDEX(Tb_KostenOptiesDB[],MATCH($F1955,Tb_KostenOptiesDB[KostenOptie],0),IFERROR(MATCH(Methode_Keuze,Tb_KostenOptiesDB[#Headers],0),2))=1,_xlfn.SWITCH($N1955,"Uurtarief",IF(OR(AND(RIGHT($F1955,3)="IKS",VLOOKUP($M1955,DB_Loonkosten,2,0)="Ja"),AND(RIGHT($F1955,3)&lt;&gt;"IKS",VLOOKUP($M1955,DB_Loonkosten,2,0)="Nee")),IFERROR(VLOOKUP($M1955,DB_Loonkosten,24,0),""),0),"Vast tarief",IF(LEFT(F1955,8)="Bijdrage",VLOOKUP($F1955,Tb_KostenTypen[],MATCH(Lijsten!$P$1,Tb_KostenTypen[#Headers],0),0),VLOOKUP($G1955,Lijsten!L:P,MATCH(Lijsten!$P$1,Kop_Tarief_Vast,0),0))),""),"")</f>
        <v/>
      </c>
      <c r="P1955" s="320" t="str" cm="1">
        <f t="array" ref="P1955">_xlfn.IFNA(IF(INDEX(Tb_KostenOptiesDB[],MATCH($F1955,Tb_KostenOptiesDB[KostenOptie],0),IFERROR(MATCH(Methode_Keuze,Tb_KostenOptiesDB[#Headers],0),2))=1,_xlfn.SWITCH($N1955,"Uurtarief",IF(OR(AND(RIGHT($F1955,3)="IKS",VLOOKUP($M1955,DB_Loonkosten,2,0)="Ja"),AND(RIGHT($F1955,3)&lt;&gt;"IKS",VLOOKUP($M1955,DB_Loonkosten,2,0)="Nee")),IFERROR(VLOOKUP($M1955,DB_Loonkosten,25,0),""),0),"Vast tarief",IF(LEFT(F1955,8)="Bijdrage",VLOOKUP($F1955,Tb_KostenTypen[],MATCH(Lijsten!$P$1,Tb_KostenTypen[#Headers],0),0),VLOOKUP($G1955,Lijsten!L:P,MATCH(Lijsten!$P$1,Kop_Tarief_Vast,0),0))),""),"")</f>
        <v/>
      </c>
      <c r="Q1955" s="359"/>
      <c r="R1955" s="359"/>
      <c r="S1955" s="321"/>
      <c r="T1955" s="321"/>
      <c r="U1955" s="373" t="str">
        <f t="shared" si="120"/>
        <v/>
      </c>
      <c r="V1955" s="314" t="str">
        <f t="shared" si="121"/>
        <v/>
      </c>
      <c r="W1955" s="314" t="str" cm="1">
        <f t="array" aca="1" ref="W1955" ca="1">IFERROR(IF(AE1955&lt;&gt;"ja",_xlfn.IFNA(_xlfn.IFS(AND(O1955&lt;&gt;"",F1955&lt;&gt;"",RIGHT($N1955,6)="tarief",F1955="Vergoeding"),SUM(O1955)*FLOOR(SUM(Q1955),0.0001),AND(O1955&lt;&gt;"",F1955&lt;&gt;"",RIGHT($N1955,6)="tarief"),SUM(O1955)*FLOOR(SUM(Q1955),0.01),S1955&gt;0,IF(F1955&lt;&gt;"",FLOOR(SUM(S1955),0.01),"")),""),""),"")</f>
        <v/>
      </c>
      <c r="X1955" s="314" t="str" cm="1">
        <f t="array" aca="1" ref="X1955" ca="1">IFERROR(IF(AE1955&lt;&gt;"ja",_xlfn.IFNA(_xlfn.IFS(AND(P1955&lt;&gt;"",R1955&lt;&gt;"",RIGHT($N1955,6)="tarief",F1955="Vergoeding"),SUM(P1955)*FLOOR(SUM(R1955),0.0001),AND(P1955&lt;&gt;"",R1955&lt;&gt;"",RIGHT($N1955,6)="tarief"),P1955*FLOOR(R1955,0.01),T1955&gt;0,FLOOR(SUM(T1955),0.01)),""),""),"")</f>
        <v/>
      </c>
      <c r="Y1955" s="314" t="str">
        <f t="shared" ca="1" si="122"/>
        <v/>
      </c>
      <c r="Z1955" s="314" t="str" cm="1">
        <f t="array" aca="1" ref="Z1955" ca="1">IFERROR(_xlfn.IFS(OR(F1955="",LEFT(Methode_Keuze,4)="Geen",Methode_Keuze=""),"",AND(W1955&lt;&gt;"",F1955&lt;&gt;"Arbeidskosten"),W1955*VLOOKUP(F1955,Tb_ProjectKosten[],MATCH(Tb_ProjectKosten[[#Headers],[Forfait_Percentage]],Tb_ProjectKosten[#Headers],0),0),AND(F1955="Arbeidskosten",G1955&lt;&gt;""),IFERROR(W1955*VLOOKUP(G1955,Tb_KostenTypen[],3,0)*VLOOKUP(F1955,Tb_ProjectKosten[],MATCH(Tb_ProjectKosten[[#Headers],[Forfait_Percentage]],Tb_ProjectKosten[#Headers],0),0),""),W1955 &lt;=0,0),"")</f>
        <v/>
      </c>
      <c r="AA1955" s="314" t="str" cm="1">
        <f t="array" aca="1" ref="AA1955" ca="1">IFERROR(_xlfn.IFS(OR(F1955="",LEFT(Methode_Keuze,4)="Geen",Methode_Keuze=""),"",AND(X1955&lt;&gt;"",F1955&lt;&gt;"Arbeidskosten"),X1955*VLOOKUP(F1955,Tb_ProjectKosten[],MATCH(Tb_ProjectKosten[[#Headers],[Forfait_Percentage]],Tb_ProjectKosten[#Headers],0),0),AND(F1955="Arbeidskosten",G1955&lt;&gt;""),IFERROR(X1955*VLOOKUP(G1955,Tb_KostenTypen[],3,0)*VLOOKUP(F1955,Tb_ProjectKosten[],MATCH(Tb_ProjectKosten[[#Headers],[Forfait_Percentage]],Tb_ProjectKosten[#Headers],0),0),""),X1955 &lt;=0,0),"")</f>
        <v/>
      </c>
      <c r="AB1955" s="314" t="str">
        <f t="shared" ca="1" si="123"/>
        <v/>
      </c>
      <c r="AC1955" s="322"/>
      <c r="AD1955" s="315"/>
      <c r="AE1955" s="32" t="str" cm="1">
        <f t="array" ref="AE1955">IFERROR(IF(INDEX(SubsidieTabel!$AD$1:$AG$12,MATCH($F1955,SubsidieTabel!$AD$1:$AD$12,0),IFERROR(MATCH(Methode_Keuze,SubsidieTabel!$AD$1:$AG$1,0),2))&lt;&gt;1=TRUE,"ja",""),"")</f>
        <v/>
      </c>
    </row>
    <row r="1956" spans="1:31" x14ac:dyDescent="0.25">
      <c r="A1956" s="316"/>
      <c r="B1956" s="317" t="str">
        <f>IF(A1956&lt;&gt;"",_xlfn.MAXIFS($B$1:B1955,$A$1:A1955,A1956)+1,"")</f>
        <v/>
      </c>
      <c r="C1956" s="296"/>
      <c r="D1956" s="296"/>
      <c r="E1956" s="296"/>
      <c r="F1956" s="296"/>
      <c r="G1956" s="326"/>
      <c r="H1956" s="324"/>
      <c r="I1956" s="325"/>
      <c r="J1956" s="325"/>
      <c r="K1956" s="318"/>
      <c r="L1956" s="318"/>
      <c r="M1956" s="319" t="str">
        <f>IFERROR(VLOOKUP(H1956,Lijsten!$H$1:$I$100,2,0),"")</f>
        <v/>
      </c>
      <c r="N1956" s="319" t="str">
        <f ca="1">IFERROR(IF(VLOOKUP(F1956,Kostentypen!$A$3:$E$21,3,0)=0,"",IF(OR(F1956="Arbeidskosten",F1956="Vergoeding"),VLOOKUP(G1956,Tb_KostenTypen[],2,0),VLOOKUP(F1956,Kostentypen!$A$3:$E$20,3,0))),"")</f>
        <v/>
      </c>
      <c r="O1956" s="320" t="str" cm="1">
        <f t="array" ref="O1956">_xlfn.IFNA(IF(INDEX(Tb_KostenOptiesDB[],MATCH($F1956,Tb_KostenOptiesDB[KostenOptie],0),IFERROR(MATCH(Methode_Keuze,Tb_KostenOptiesDB[#Headers],0),2))=1,_xlfn.SWITCH($N1956,"Uurtarief",IF(OR(AND(RIGHT($F1956,3)="IKS",VLOOKUP($M1956,DB_Loonkosten,2,0)="Ja"),AND(RIGHT($F1956,3)&lt;&gt;"IKS",VLOOKUP($M1956,DB_Loonkosten,2,0)="Nee")),IFERROR(VLOOKUP($M1956,DB_Loonkosten,24,0),""),0),"Vast tarief",IF(LEFT(F1956,8)="Bijdrage",VLOOKUP($F1956,Tb_KostenTypen[],MATCH(Lijsten!$P$1,Tb_KostenTypen[#Headers],0),0),VLOOKUP($G1956,Lijsten!L:P,MATCH(Lijsten!$P$1,Kop_Tarief_Vast,0),0))),""),"")</f>
        <v/>
      </c>
      <c r="P1956" s="320" t="str" cm="1">
        <f t="array" ref="P1956">_xlfn.IFNA(IF(INDEX(Tb_KostenOptiesDB[],MATCH($F1956,Tb_KostenOptiesDB[KostenOptie],0),IFERROR(MATCH(Methode_Keuze,Tb_KostenOptiesDB[#Headers],0),2))=1,_xlfn.SWITCH($N1956,"Uurtarief",IF(OR(AND(RIGHT($F1956,3)="IKS",VLOOKUP($M1956,DB_Loonkosten,2,0)="Ja"),AND(RIGHT($F1956,3)&lt;&gt;"IKS",VLOOKUP($M1956,DB_Loonkosten,2,0)="Nee")),IFERROR(VLOOKUP($M1956,DB_Loonkosten,25,0),""),0),"Vast tarief",IF(LEFT(F1956,8)="Bijdrage",VLOOKUP($F1956,Tb_KostenTypen[],MATCH(Lijsten!$P$1,Tb_KostenTypen[#Headers],0),0),VLOOKUP($G1956,Lijsten!L:P,MATCH(Lijsten!$P$1,Kop_Tarief_Vast,0),0))),""),"")</f>
        <v/>
      </c>
      <c r="Q1956" s="359"/>
      <c r="R1956" s="359"/>
      <c r="S1956" s="321"/>
      <c r="T1956" s="321"/>
      <c r="U1956" s="373" t="str">
        <f t="shared" si="120"/>
        <v/>
      </c>
      <c r="V1956" s="314" t="str">
        <f t="shared" si="121"/>
        <v/>
      </c>
      <c r="W1956" s="314" t="str" cm="1">
        <f t="array" aca="1" ref="W1956" ca="1">IFERROR(IF(AE1956&lt;&gt;"ja",_xlfn.IFNA(_xlfn.IFS(AND(O1956&lt;&gt;"",F1956&lt;&gt;"",RIGHT($N1956,6)="tarief",F1956="Vergoeding"),SUM(O1956)*FLOOR(SUM(Q1956),0.0001),AND(O1956&lt;&gt;"",F1956&lt;&gt;"",RIGHT($N1956,6)="tarief"),SUM(O1956)*FLOOR(SUM(Q1956),0.01),S1956&gt;0,IF(F1956&lt;&gt;"",FLOOR(SUM(S1956),0.01),"")),""),""),"")</f>
        <v/>
      </c>
      <c r="X1956" s="314" t="str" cm="1">
        <f t="array" aca="1" ref="X1956" ca="1">IFERROR(IF(AE1956&lt;&gt;"ja",_xlfn.IFNA(_xlfn.IFS(AND(P1956&lt;&gt;"",R1956&lt;&gt;"",RIGHT($N1956,6)="tarief",F1956="Vergoeding"),SUM(P1956)*FLOOR(SUM(R1956),0.0001),AND(P1956&lt;&gt;"",R1956&lt;&gt;"",RIGHT($N1956,6)="tarief"),P1956*FLOOR(R1956,0.01),T1956&gt;0,FLOOR(SUM(T1956),0.01)),""),""),"")</f>
        <v/>
      </c>
      <c r="Y1956" s="314" t="str">
        <f t="shared" ca="1" si="122"/>
        <v/>
      </c>
      <c r="Z1956" s="314" t="str" cm="1">
        <f t="array" aca="1" ref="Z1956" ca="1">IFERROR(_xlfn.IFS(OR(F1956="",LEFT(Methode_Keuze,4)="Geen",Methode_Keuze=""),"",AND(W1956&lt;&gt;"",F1956&lt;&gt;"Arbeidskosten"),W1956*VLOOKUP(F1956,Tb_ProjectKosten[],MATCH(Tb_ProjectKosten[[#Headers],[Forfait_Percentage]],Tb_ProjectKosten[#Headers],0),0),AND(F1956="Arbeidskosten",G1956&lt;&gt;""),IFERROR(W1956*VLOOKUP(G1956,Tb_KostenTypen[],3,0)*VLOOKUP(F1956,Tb_ProjectKosten[],MATCH(Tb_ProjectKosten[[#Headers],[Forfait_Percentage]],Tb_ProjectKosten[#Headers],0),0),""),W1956 &lt;=0,0),"")</f>
        <v/>
      </c>
      <c r="AA1956" s="314" t="str" cm="1">
        <f t="array" aca="1" ref="AA1956" ca="1">IFERROR(_xlfn.IFS(OR(F1956="",LEFT(Methode_Keuze,4)="Geen",Methode_Keuze=""),"",AND(X1956&lt;&gt;"",F1956&lt;&gt;"Arbeidskosten"),X1956*VLOOKUP(F1956,Tb_ProjectKosten[],MATCH(Tb_ProjectKosten[[#Headers],[Forfait_Percentage]],Tb_ProjectKosten[#Headers],0),0),AND(F1956="Arbeidskosten",G1956&lt;&gt;""),IFERROR(X1956*VLOOKUP(G1956,Tb_KostenTypen[],3,0)*VLOOKUP(F1956,Tb_ProjectKosten[],MATCH(Tb_ProjectKosten[[#Headers],[Forfait_Percentage]],Tb_ProjectKosten[#Headers],0),0),""),X1956 &lt;=0,0),"")</f>
        <v/>
      </c>
      <c r="AB1956" s="314" t="str">
        <f t="shared" ca="1" si="123"/>
        <v/>
      </c>
      <c r="AC1956" s="322"/>
      <c r="AD1956" s="315"/>
      <c r="AE1956" s="32" t="str" cm="1">
        <f t="array" ref="AE1956">IFERROR(IF(INDEX(SubsidieTabel!$AD$1:$AG$12,MATCH($F1956,SubsidieTabel!$AD$1:$AD$12,0),IFERROR(MATCH(Methode_Keuze,SubsidieTabel!$AD$1:$AG$1,0),2))&lt;&gt;1=TRUE,"ja",""),"")</f>
        <v/>
      </c>
    </row>
    <row r="1957" spans="1:31" x14ac:dyDescent="0.25">
      <c r="A1957" s="316"/>
      <c r="B1957" s="317" t="str">
        <f>IF(A1957&lt;&gt;"",_xlfn.MAXIFS($B$1:B1956,$A$1:A1956,A1957)+1,"")</f>
        <v/>
      </c>
      <c r="C1957" s="296"/>
      <c r="D1957" s="296"/>
      <c r="E1957" s="296"/>
      <c r="F1957" s="296"/>
      <c r="G1957" s="326"/>
      <c r="H1957" s="324"/>
      <c r="I1957" s="325"/>
      <c r="J1957" s="325"/>
      <c r="K1957" s="318"/>
      <c r="L1957" s="318"/>
      <c r="M1957" s="319" t="str">
        <f>IFERROR(VLOOKUP(H1957,Lijsten!$H$1:$I$100,2,0),"")</f>
        <v/>
      </c>
      <c r="N1957" s="319" t="str">
        <f ca="1">IFERROR(IF(VLOOKUP(F1957,Kostentypen!$A$3:$E$21,3,0)=0,"",IF(OR(F1957="Arbeidskosten",F1957="Vergoeding"),VLOOKUP(G1957,Tb_KostenTypen[],2,0),VLOOKUP(F1957,Kostentypen!$A$3:$E$20,3,0))),"")</f>
        <v/>
      </c>
      <c r="O1957" s="320" t="str" cm="1">
        <f t="array" ref="O1957">_xlfn.IFNA(IF(INDEX(Tb_KostenOptiesDB[],MATCH($F1957,Tb_KostenOptiesDB[KostenOptie],0),IFERROR(MATCH(Methode_Keuze,Tb_KostenOptiesDB[#Headers],0),2))=1,_xlfn.SWITCH($N1957,"Uurtarief",IF(OR(AND(RIGHT($F1957,3)="IKS",VLOOKUP($M1957,DB_Loonkosten,2,0)="Ja"),AND(RIGHT($F1957,3)&lt;&gt;"IKS",VLOOKUP($M1957,DB_Loonkosten,2,0)="Nee")),IFERROR(VLOOKUP($M1957,DB_Loonkosten,24,0),""),0),"Vast tarief",IF(LEFT(F1957,8)="Bijdrage",VLOOKUP($F1957,Tb_KostenTypen[],MATCH(Lijsten!$P$1,Tb_KostenTypen[#Headers],0),0),VLOOKUP($G1957,Lijsten!L:P,MATCH(Lijsten!$P$1,Kop_Tarief_Vast,0),0))),""),"")</f>
        <v/>
      </c>
      <c r="P1957" s="320" t="str" cm="1">
        <f t="array" ref="P1957">_xlfn.IFNA(IF(INDEX(Tb_KostenOptiesDB[],MATCH($F1957,Tb_KostenOptiesDB[KostenOptie],0),IFERROR(MATCH(Methode_Keuze,Tb_KostenOptiesDB[#Headers],0),2))=1,_xlfn.SWITCH($N1957,"Uurtarief",IF(OR(AND(RIGHT($F1957,3)="IKS",VLOOKUP($M1957,DB_Loonkosten,2,0)="Ja"),AND(RIGHT($F1957,3)&lt;&gt;"IKS",VLOOKUP($M1957,DB_Loonkosten,2,0)="Nee")),IFERROR(VLOOKUP($M1957,DB_Loonkosten,25,0),""),0),"Vast tarief",IF(LEFT(F1957,8)="Bijdrage",VLOOKUP($F1957,Tb_KostenTypen[],MATCH(Lijsten!$P$1,Tb_KostenTypen[#Headers],0),0),VLOOKUP($G1957,Lijsten!L:P,MATCH(Lijsten!$P$1,Kop_Tarief_Vast,0),0))),""),"")</f>
        <v/>
      </c>
      <c r="Q1957" s="359"/>
      <c r="R1957" s="359"/>
      <c r="S1957" s="321"/>
      <c r="T1957" s="321"/>
      <c r="U1957" s="373" t="str">
        <f t="shared" si="120"/>
        <v/>
      </c>
      <c r="V1957" s="314" t="str">
        <f t="shared" si="121"/>
        <v/>
      </c>
      <c r="W1957" s="314" t="str" cm="1">
        <f t="array" aca="1" ref="W1957" ca="1">IFERROR(IF(AE1957&lt;&gt;"ja",_xlfn.IFNA(_xlfn.IFS(AND(O1957&lt;&gt;"",F1957&lt;&gt;"",RIGHT($N1957,6)="tarief",F1957="Vergoeding"),SUM(O1957)*FLOOR(SUM(Q1957),0.0001),AND(O1957&lt;&gt;"",F1957&lt;&gt;"",RIGHT($N1957,6)="tarief"),SUM(O1957)*FLOOR(SUM(Q1957),0.01),S1957&gt;0,IF(F1957&lt;&gt;"",FLOOR(SUM(S1957),0.01),"")),""),""),"")</f>
        <v/>
      </c>
      <c r="X1957" s="314" t="str" cm="1">
        <f t="array" aca="1" ref="X1957" ca="1">IFERROR(IF(AE1957&lt;&gt;"ja",_xlfn.IFNA(_xlfn.IFS(AND(P1957&lt;&gt;"",R1957&lt;&gt;"",RIGHT($N1957,6)="tarief",F1957="Vergoeding"),SUM(P1957)*FLOOR(SUM(R1957),0.0001),AND(P1957&lt;&gt;"",R1957&lt;&gt;"",RIGHT($N1957,6)="tarief"),P1957*FLOOR(R1957,0.01),T1957&gt;0,FLOOR(SUM(T1957),0.01)),""),""),"")</f>
        <v/>
      </c>
      <c r="Y1957" s="314" t="str">
        <f t="shared" ca="1" si="122"/>
        <v/>
      </c>
      <c r="Z1957" s="314" t="str" cm="1">
        <f t="array" aca="1" ref="Z1957" ca="1">IFERROR(_xlfn.IFS(OR(F1957="",LEFT(Methode_Keuze,4)="Geen",Methode_Keuze=""),"",AND(W1957&lt;&gt;"",F1957&lt;&gt;"Arbeidskosten"),W1957*VLOOKUP(F1957,Tb_ProjectKosten[],MATCH(Tb_ProjectKosten[[#Headers],[Forfait_Percentage]],Tb_ProjectKosten[#Headers],0),0),AND(F1957="Arbeidskosten",G1957&lt;&gt;""),IFERROR(W1957*VLOOKUP(G1957,Tb_KostenTypen[],3,0)*VLOOKUP(F1957,Tb_ProjectKosten[],MATCH(Tb_ProjectKosten[[#Headers],[Forfait_Percentage]],Tb_ProjectKosten[#Headers],0),0),""),W1957 &lt;=0,0),"")</f>
        <v/>
      </c>
      <c r="AA1957" s="314" t="str" cm="1">
        <f t="array" aca="1" ref="AA1957" ca="1">IFERROR(_xlfn.IFS(OR(F1957="",LEFT(Methode_Keuze,4)="Geen",Methode_Keuze=""),"",AND(X1957&lt;&gt;"",F1957&lt;&gt;"Arbeidskosten"),X1957*VLOOKUP(F1957,Tb_ProjectKosten[],MATCH(Tb_ProjectKosten[[#Headers],[Forfait_Percentage]],Tb_ProjectKosten[#Headers],0),0),AND(F1957="Arbeidskosten",G1957&lt;&gt;""),IFERROR(X1957*VLOOKUP(G1957,Tb_KostenTypen[],3,0)*VLOOKUP(F1957,Tb_ProjectKosten[],MATCH(Tb_ProjectKosten[[#Headers],[Forfait_Percentage]],Tb_ProjectKosten[#Headers],0),0),""),X1957 &lt;=0,0),"")</f>
        <v/>
      </c>
      <c r="AB1957" s="314" t="str">
        <f t="shared" ca="1" si="123"/>
        <v/>
      </c>
      <c r="AC1957" s="322"/>
      <c r="AD1957" s="315"/>
      <c r="AE1957" s="32" t="str" cm="1">
        <f t="array" ref="AE1957">IFERROR(IF(INDEX(SubsidieTabel!$AD$1:$AG$12,MATCH($F1957,SubsidieTabel!$AD$1:$AD$12,0),IFERROR(MATCH(Methode_Keuze,SubsidieTabel!$AD$1:$AG$1,0),2))&lt;&gt;1=TRUE,"ja",""),"")</f>
        <v/>
      </c>
    </row>
    <row r="1958" spans="1:31" x14ac:dyDescent="0.25">
      <c r="A1958" s="316"/>
      <c r="B1958" s="317" t="str">
        <f>IF(A1958&lt;&gt;"",_xlfn.MAXIFS($B$1:B1957,$A$1:A1957,A1958)+1,"")</f>
        <v/>
      </c>
      <c r="C1958" s="296"/>
      <c r="D1958" s="296"/>
      <c r="E1958" s="296"/>
      <c r="F1958" s="296"/>
      <c r="G1958" s="326"/>
      <c r="H1958" s="324"/>
      <c r="I1958" s="325"/>
      <c r="J1958" s="325"/>
      <c r="K1958" s="318"/>
      <c r="L1958" s="318"/>
      <c r="M1958" s="319" t="str">
        <f>IFERROR(VLOOKUP(H1958,Lijsten!$H$1:$I$100,2,0),"")</f>
        <v/>
      </c>
      <c r="N1958" s="319" t="str">
        <f ca="1">IFERROR(IF(VLOOKUP(F1958,Kostentypen!$A$3:$E$21,3,0)=0,"",IF(OR(F1958="Arbeidskosten",F1958="Vergoeding"),VLOOKUP(G1958,Tb_KostenTypen[],2,0),VLOOKUP(F1958,Kostentypen!$A$3:$E$20,3,0))),"")</f>
        <v/>
      </c>
      <c r="O1958" s="320" t="str" cm="1">
        <f t="array" ref="O1958">_xlfn.IFNA(IF(INDEX(Tb_KostenOptiesDB[],MATCH($F1958,Tb_KostenOptiesDB[KostenOptie],0),IFERROR(MATCH(Methode_Keuze,Tb_KostenOptiesDB[#Headers],0),2))=1,_xlfn.SWITCH($N1958,"Uurtarief",IF(OR(AND(RIGHT($F1958,3)="IKS",VLOOKUP($M1958,DB_Loonkosten,2,0)="Ja"),AND(RIGHT($F1958,3)&lt;&gt;"IKS",VLOOKUP($M1958,DB_Loonkosten,2,0)="Nee")),IFERROR(VLOOKUP($M1958,DB_Loonkosten,24,0),""),0),"Vast tarief",IF(LEFT(F1958,8)="Bijdrage",VLOOKUP($F1958,Tb_KostenTypen[],MATCH(Lijsten!$P$1,Tb_KostenTypen[#Headers],0),0),VLOOKUP($G1958,Lijsten!L:P,MATCH(Lijsten!$P$1,Kop_Tarief_Vast,0),0))),""),"")</f>
        <v/>
      </c>
      <c r="P1958" s="320" t="str" cm="1">
        <f t="array" ref="P1958">_xlfn.IFNA(IF(INDEX(Tb_KostenOptiesDB[],MATCH($F1958,Tb_KostenOptiesDB[KostenOptie],0),IFERROR(MATCH(Methode_Keuze,Tb_KostenOptiesDB[#Headers],0),2))=1,_xlfn.SWITCH($N1958,"Uurtarief",IF(OR(AND(RIGHT($F1958,3)="IKS",VLOOKUP($M1958,DB_Loonkosten,2,0)="Ja"),AND(RIGHT($F1958,3)&lt;&gt;"IKS",VLOOKUP($M1958,DB_Loonkosten,2,0)="Nee")),IFERROR(VLOOKUP($M1958,DB_Loonkosten,25,0),""),0),"Vast tarief",IF(LEFT(F1958,8)="Bijdrage",VLOOKUP($F1958,Tb_KostenTypen[],MATCH(Lijsten!$P$1,Tb_KostenTypen[#Headers],0),0),VLOOKUP($G1958,Lijsten!L:P,MATCH(Lijsten!$P$1,Kop_Tarief_Vast,0),0))),""),"")</f>
        <v/>
      </c>
      <c r="Q1958" s="359"/>
      <c r="R1958" s="359"/>
      <c r="S1958" s="321"/>
      <c r="T1958" s="321"/>
      <c r="U1958" s="373" t="str">
        <f t="shared" si="120"/>
        <v/>
      </c>
      <c r="V1958" s="314" t="str">
        <f t="shared" si="121"/>
        <v/>
      </c>
      <c r="W1958" s="314" t="str" cm="1">
        <f t="array" aca="1" ref="W1958" ca="1">IFERROR(IF(AE1958&lt;&gt;"ja",_xlfn.IFNA(_xlfn.IFS(AND(O1958&lt;&gt;"",F1958&lt;&gt;"",RIGHT($N1958,6)="tarief",F1958="Vergoeding"),SUM(O1958)*FLOOR(SUM(Q1958),0.0001),AND(O1958&lt;&gt;"",F1958&lt;&gt;"",RIGHT($N1958,6)="tarief"),SUM(O1958)*FLOOR(SUM(Q1958),0.01),S1958&gt;0,IF(F1958&lt;&gt;"",FLOOR(SUM(S1958),0.01),"")),""),""),"")</f>
        <v/>
      </c>
      <c r="X1958" s="314" t="str" cm="1">
        <f t="array" aca="1" ref="X1958" ca="1">IFERROR(IF(AE1958&lt;&gt;"ja",_xlfn.IFNA(_xlfn.IFS(AND(P1958&lt;&gt;"",R1958&lt;&gt;"",RIGHT($N1958,6)="tarief",F1958="Vergoeding"),SUM(P1958)*FLOOR(SUM(R1958),0.0001),AND(P1958&lt;&gt;"",R1958&lt;&gt;"",RIGHT($N1958,6)="tarief"),P1958*FLOOR(R1958,0.01),T1958&gt;0,FLOOR(SUM(T1958),0.01)),""),""),"")</f>
        <v/>
      </c>
      <c r="Y1958" s="314" t="str">
        <f t="shared" ca="1" si="122"/>
        <v/>
      </c>
      <c r="Z1958" s="314" t="str" cm="1">
        <f t="array" aca="1" ref="Z1958" ca="1">IFERROR(_xlfn.IFS(OR(F1958="",LEFT(Methode_Keuze,4)="Geen",Methode_Keuze=""),"",AND(W1958&lt;&gt;"",F1958&lt;&gt;"Arbeidskosten"),W1958*VLOOKUP(F1958,Tb_ProjectKosten[],MATCH(Tb_ProjectKosten[[#Headers],[Forfait_Percentage]],Tb_ProjectKosten[#Headers],0),0),AND(F1958="Arbeidskosten",G1958&lt;&gt;""),IFERROR(W1958*VLOOKUP(G1958,Tb_KostenTypen[],3,0)*VLOOKUP(F1958,Tb_ProjectKosten[],MATCH(Tb_ProjectKosten[[#Headers],[Forfait_Percentage]],Tb_ProjectKosten[#Headers],0),0),""),W1958 &lt;=0,0),"")</f>
        <v/>
      </c>
      <c r="AA1958" s="314" t="str" cm="1">
        <f t="array" aca="1" ref="AA1958" ca="1">IFERROR(_xlfn.IFS(OR(F1958="",LEFT(Methode_Keuze,4)="Geen",Methode_Keuze=""),"",AND(X1958&lt;&gt;"",F1958&lt;&gt;"Arbeidskosten"),X1958*VLOOKUP(F1958,Tb_ProjectKosten[],MATCH(Tb_ProjectKosten[[#Headers],[Forfait_Percentage]],Tb_ProjectKosten[#Headers],0),0),AND(F1958="Arbeidskosten",G1958&lt;&gt;""),IFERROR(X1958*VLOOKUP(G1958,Tb_KostenTypen[],3,0)*VLOOKUP(F1958,Tb_ProjectKosten[],MATCH(Tb_ProjectKosten[[#Headers],[Forfait_Percentage]],Tb_ProjectKosten[#Headers],0),0),""),X1958 &lt;=0,0),"")</f>
        <v/>
      </c>
      <c r="AB1958" s="314" t="str">
        <f t="shared" ca="1" si="123"/>
        <v/>
      </c>
      <c r="AC1958" s="322"/>
      <c r="AD1958" s="315"/>
      <c r="AE1958" s="32" t="str" cm="1">
        <f t="array" ref="AE1958">IFERROR(IF(INDEX(SubsidieTabel!$AD$1:$AG$12,MATCH($F1958,SubsidieTabel!$AD$1:$AD$12,0),IFERROR(MATCH(Methode_Keuze,SubsidieTabel!$AD$1:$AG$1,0),2))&lt;&gt;1=TRUE,"ja",""),"")</f>
        <v/>
      </c>
    </row>
    <row r="1959" spans="1:31" x14ac:dyDescent="0.25">
      <c r="A1959" s="316"/>
      <c r="B1959" s="317" t="str">
        <f>IF(A1959&lt;&gt;"",_xlfn.MAXIFS($B$1:B1958,$A$1:A1958,A1959)+1,"")</f>
        <v/>
      </c>
      <c r="C1959" s="296"/>
      <c r="D1959" s="296"/>
      <c r="E1959" s="296"/>
      <c r="F1959" s="296"/>
      <c r="G1959" s="326"/>
      <c r="H1959" s="324"/>
      <c r="I1959" s="325"/>
      <c r="J1959" s="325"/>
      <c r="K1959" s="318"/>
      <c r="L1959" s="318"/>
      <c r="M1959" s="319" t="str">
        <f>IFERROR(VLOOKUP(H1959,Lijsten!$H$1:$I$100,2,0),"")</f>
        <v/>
      </c>
      <c r="N1959" s="319" t="str">
        <f ca="1">IFERROR(IF(VLOOKUP(F1959,Kostentypen!$A$3:$E$21,3,0)=0,"",IF(OR(F1959="Arbeidskosten",F1959="Vergoeding"),VLOOKUP(G1959,Tb_KostenTypen[],2,0),VLOOKUP(F1959,Kostentypen!$A$3:$E$20,3,0))),"")</f>
        <v/>
      </c>
      <c r="O1959" s="320" t="str" cm="1">
        <f t="array" ref="O1959">_xlfn.IFNA(IF(INDEX(Tb_KostenOptiesDB[],MATCH($F1959,Tb_KostenOptiesDB[KostenOptie],0),IFERROR(MATCH(Methode_Keuze,Tb_KostenOptiesDB[#Headers],0),2))=1,_xlfn.SWITCH($N1959,"Uurtarief",IF(OR(AND(RIGHT($F1959,3)="IKS",VLOOKUP($M1959,DB_Loonkosten,2,0)="Ja"),AND(RIGHT($F1959,3)&lt;&gt;"IKS",VLOOKUP($M1959,DB_Loonkosten,2,0)="Nee")),IFERROR(VLOOKUP($M1959,DB_Loonkosten,24,0),""),0),"Vast tarief",IF(LEFT(F1959,8)="Bijdrage",VLOOKUP($F1959,Tb_KostenTypen[],MATCH(Lijsten!$P$1,Tb_KostenTypen[#Headers],0),0),VLOOKUP($G1959,Lijsten!L:P,MATCH(Lijsten!$P$1,Kop_Tarief_Vast,0),0))),""),"")</f>
        <v/>
      </c>
      <c r="P1959" s="320" t="str" cm="1">
        <f t="array" ref="P1959">_xlfn.IFNA(IF(INDEX(Tb_KostenOptiesDB[],MATCH($F1959,Tb_KostenOptiesDB[KostenOptie],0),IFERROR(MATCH(Methode_Keuze,Tb_KostenOptiesDB[#Headers],0),2))=1,_xlfn.SWITCH($N1959,"Uurtarief",IF(OR(AND(RIGHT($F1959,3)="IKS",VLOOKUP($M1959,DB_Loonkosten,2,0)="Ja"),AND(RIGHT($F1959,3)&lt;&gt;"IKS",VLOOKUP($M1959,DB_Loonkosten,2,0)="Nee")),IFERROR(VLOOKUP($M1959,DB_Loonkosten,25,0),""),0),"Vast tarief",IF(LEFT(F1959,8)="Bijdrage",VLOOKUP($F1959,Tb_KostenTypen[],MATCH(Lijsten!$P$1,Tb_KostenTypen[#Headers],0),0),VLOOKUP($G1959,Lijsten!L:P,MATCH(Lijsten!$P$1,Kop_Tarief_Vast,0),0))),""),"")</f>
        <v/>
      </c>
      <c r="Q1959" s="359"/>
      <c r="R1959" s="359"/>
      <c r="S1959" s="321"/>
      <c r="T1959" s="321"/>
      <c r="U1959" s="373" t="str">
        <f t="shared" si="120"/>
        <v/>
      </c>
      <c r="V1959" s="314" t="str">
        <f t="shared" si="121"/>
        <v/>
      </c>
      <c r="W1959" s="314" t="str" cm="1">
        <f t="array" aca="1" ref="W1959" ca="1">IFERROR(IF(AE1959&lt;&gt;"ja",_xlfn.IFNA(_xlfn.IFS(AND(O1959&lt;&gt;"",F1959&lt;&gt;"",RIGHT($N1959,6)="tarief",F1959="Vergoeding"),SUM(O1959)*FLOOR(SUM(Q1959),0.0001),AND(O1959&lt;&gt;"",F1959&lt;&gt;"",RIGHT($N1959,6)="tarief"),SUM(O1959)*FLOOR(SUM(Q1959),0.01),S1959&gt;0,IF(F1959&lt;&gt;"",FLOOR(SUM(S1959),0.01),"")),""),""),"")</f>
        <v/>
      </c>
      <c r="X1959" s="314" t="str" cm="1">
        <f t="array" aca="1" ref="X1959" ca="1">IFERROR(IF(AE1959&lt;&gt;"ja",_xlfn.IFNA(_xlfn.IFS(AND(P1959&lt;&gt;"",R1959&lt;&gt;"",RIGHT($N1959,6)="tarief",F1959="Vergoeding"),SUM(P1959)*FLOOR(SUM(R1959),0.0001),AND(P1959&lt;&gt;"",R1959&lt;&gt;"",RIGHT($N1959,6)="tarief"),P1959*FLOOR(R1959,0.01),T1959&gt;0,FLOOR(SUM(T1959),0.01)),""),""),"")</f>
        <v/>
      </c>
      <c r="Y1959" s="314" t="str">
        <f t="shared" ca="1" si="122"/>
        <v/>
      </c>
      <c r="Z1959" s="314" t="str" cm="1">
        <f t="array" aca="1" ref="Z1959" ca="1">IFERROR(_xlfn.IFS(OR(F1959="",LEFT(Methode_Keuze,4)="Geen",Methode_Keuze=""),"",AND(W1959&lt;&gt;"",F1959&lt;&gt;"Arbeidskosten"),W1959*VLOOKUP(F1959,Tb_ProjectKosten[],MATCH(Tb_ProjectKosten[[#Headers],[Forfait_Percentage]],Tb_ProjectKosten[#Headers],0),0),AND(F1959="Arbeidskosten",G1959&lt;&gt;""),IFERROR(W1959*VLOOKUP(G1959,Tb_KostenTypen[],3,0)*VLOOKUP(F1959,Tb_ProjectKosten[],MATCH(Tb_ProjectKosten[[#Headers],[Forfait_Percentage]],Tb_ProjectKosten[#Headers],0),0),""),W1959 &lt;=0,0),"")</f>
        <v/>
      </c>
      <c r="AA1959" s="314" t="str" cm="1">
        <f t="array" aca="1" ref="AA1959" ca="1">IFERROR(_xlfn.IFS(OR(F1959="",LEFT(Methode_Keuze,4)="Geen",Methode_Keuze=""),"",AND(X1959&lt;&gt;"",F1959&lt;&gt;"Arbeidskosten"),X1959*VLOOKUP(F1959,Tb_ProjectKosten[],MATCH(Tb_ProjectKosten[[#Headers],[Forfait_Percentage]],Tb_ProjectKosten[#Headers],0),0),AND(F1959="Arbeidskosten",G1959&lt;&gt;""),IFERROR(X1959*VLOOKUP(G1959,Tb_KostenTypen[],3,0)*VLOOKUP(F1959,Tb_ProjectKosten[],MATCH(Tb_ProjectKosten[[#Headers],[Forfait_Percentage]],Tb_ProjectKosten[#Headers],0),0),""),X1959 &lt;=0,0),"")</f>
        <v/>
      </c>
      <c r="AB1959" s="314" t="str">
        <f t="shared" ca="1" si="123"/>
        <v/>
      </c>
      <c r="AC1959" s="322"/>
      <c r="AD1959" s="315"/>
      <c r="AE1959" s="32" t="str" cm="1">
        <f t="array" ref="AE1959">IFERROR(IF(INDEX(SubsidieTabel!$AD$1:$AG$12,MATCH($F1959,SubsidieTabel!$AD$1:$AD$12,0),IFERROR(MATCH(Methode_Keuze,SubsidieTabel!$AD$1:$AG$1,0),2))&lt;&gt;1=TRUE,"ja",""),"")</f>
        <v/>
      </c>
    </row>
    <row r="1960" spans="1:31" x14ac:dyDescent="0.25">
      <c r="A1960" s="316"/>
      <c r="B1960" s="317" t="str">
        <f>IF(A1960&lt;&gt;"",_xlfn.MAXIFS($B$1:B1959,$A$1:A1959,A1960)+1,"")</f>
        <v/>
      </c>
      <c r="C1960" s="296"/>
      <c r="D1960" s="296"/>
      <c r="E1960" s="296"/>
      <c r="F1960" s="296"/>
      <c r="G1960" s="326"/>
      <c r="H1960" s="324"/>
      <c r="I1960" s="325"/>
      <c r="J1960" s="325"/>
      <c r="K1960" s="318"/>
      <c r="L1960" s="318"/>
      <c r="M1960" s="319" t="str">
        <f>IFERROR(VLOOKUP(H1960,Lijsten!$H$1:$I$100,2,0),"")</f>
        <v/>
      </c>
      <c r="N1960" s="319" t="str">
        <f ca="1">IFERROR(IF(VLOOKUP(F1960,Kostentypen!$A$3:$E$21,3,0)=0,"",IF(OR(F1960="Arbeidskosten",F1960="Vergoeding"),VLOOKUP(G1960,Tb_KostenTypen[],2,0),VLOOKUP(F1960,Kostentypen!$A$3:$E$20,3,0))),"")</f>
        <v/>
      </c>
      <c r="O1960" s="320" t="str" cm="1">
        <f t="array" ref="O1960">_xlfn.IFNA(IF(INDEX(Tb_KostenOptiesDB[],MATCH($F1960,Tb_KostenOptiesDB[KostenOptie],0),IFERROR(MATCH(Methode_Keuze,Tb_KostenOptiesDB[#Headers],0),2))=1,_xlfn.SWITCH($N1960,"Uurtarief",IF(OR(AND(RIGHT($F1960,3)="IKS",VLOOKUP($M1960,DB_Loonkosten,2,0)="Ja"),AND(RIGHT($F1960,3)&lt;&gt;"IKS",VLOOKUP($M1960,DB_Loonkosten,2,0)="Nee")),IFERROR(VLOOKUP($M1960,DB_Loonkosten,24,0),""),0),"Vast tarief",IF(LEFT(F1960,8)="Bijdrage",VLOOKUP($F1960,Tb_KostenTypen[],MATCH(Lijsten!$P$1,Tb_KostenTypen[#Headers],0),0),VLOOKUP($G1960,Lijsten!L:P,MATCH(Lijsten!$P$1,Kop_Tarief_Vast,0),0))),""),"")</f>
        <v/>
      </c>
      <c r="P1960" s="320" t="str" cm="1">
        <f t="array" ref="P1960">_xlfn.IFNA(IF(INDEX(Tb_KostenOptiesDB[],MATCH($F1960,Tb_KostenOptiesDB[KostenOptie],0),IFERROR(MATCH(Methode_Keuze,Tb_KostenOptiesDB[#Headers],0),2))=1,_xlfn.SWITCH($N1960,"Uurtarief",IF(OR(AND(RIGHT($F1960,3)="IKS",VLOOKUP($M1960,DB_Loonkosten,2,0)="Ja"),AND(RIGHT($F1960,3)&lt;&gt;"IKS",VLOOKUP($M1960,DB_Loonkosten,2,0)="Nee")),IFERROR(VLOOKUP($M1960,DB_Loonkosten,25,0),""),0),"Vast tarief",IF(LEFT(F1960,8)="Bijdrage",VLOOKUP($F1960,Tb_KostenTypen[],MATCH(Lijsten!$P$1,Tb_KostenTypen[#Headers],0),0),VLOOKUP($G1960,Lijsten!L:P,MATCH(Lijsten!$P$1,Kop_Tarief_Vast,0),0))),""),"")</f>
        <v/>
      </c>
      <c r="Q1960" s="359"/>
      <c r="R1960" s="359"/>
      <c r="S1960" s="321"/>
      <c r="T1960" s="321"/>
      <c r="U1960" s="373" t="str">
        <f t="shared" si="120"/>
        <v/>
      </c>
      <c r="V1960" s="314" t="str">
        <f t="shared" si="121"/>
        <v/>
      </c>
      <c r="W1960" s="314" t="str" cm="1">
        <f t="array" aca="1" ref="W1960" ca="1">IFERROR(IF(AE1960&lt;&gt;"ja",_xlfn.IFNA(_xlfn.IFS(AND(O1960&lt;&gt;"",F1960&lt;&gt;"",RIGHT($N1960,6)="tarief",F1960="Vergoeding"),SUM(O1960)*FLOOR(SUM(Q1960),0.0001),AND(O1960&lt;&gt;"",F1960&lt;&gt;"",RIGHT($N1960,6)="tarief"),SUM(O1960)*FLOOR(SUM(Q1960),0.01),S1960&gt;0,IF(F1960&lt;&gt;"",FLOOR(SUM(S1960),0.01),"")),""),""),"")</f>
        <v/>
      </c>
      <c r="X1960" s="314" t="str" cm="1">
        <f t="array" aca="1" ref="X1960" ca="1">IFERROR(IF(AE1960&lt;&gt;"ja",_xlfn.IFNA(_xlfn.IFS(AND(P1960&lt;&gt;"",R1960&lt;&gt;"",RIGHT($N1960,6)="tarief",F1960="Vergoeding"),SUM(P1960)*FLOOR(SUM(R1960),0.0001),AND(P1960&lt;&gt;"",R1960&lt;&gt;"",RIGHT($N1960,6)="tarief"),P1960*FLOOR(R1960,0.01),T1960&gt;0,FLOOR(SUM(T1960),0.01)),""),""),"")</f>
        <v/>
      </c>
      <c r="Y1960" s="314" t="str">
        <f t="shared" ca="1" si="122"/>
        <v/>
      </c>
      <c r="Z1960" s="314" t="str" cm="1">
        <f t="array" aca="1" ref="Z1960" ca="1">IFERROR(_xlfn.IFS(OR(F1960="",LEFT(Methode_Keuze,4)="Geen",Methode_Keuze=""),"",AND(W1960&lt;&gt;"",F1960&lt;&gt;"Arbeidskosten"),W1960*VLOOKUP(F1960,Tb_ProjectKosten[],MATCH(Tb_ProjectKosten[[#Headers],[Forfait_Percentage]],Tb_ProjectKosten[#Headers],0),0),AND(F1960="Arbeidskosten",G1960&lt;&gt;""),IFERROR(W1960*VLOOKUP(G1960,Tb_KostenTypen[],3,0)*VLOOKUP(F1960,Tb_ProjectKosten[],MATCH(Tb_ProjectKosten[[#Headers],[Forfait_Percentage]],Tb_ProjectKosten[#Headers],0),0),""),W1960 &lt;=0,0),"")</f>
        <v/>
      </c>
      <c r="AA1960" s="314" t="str" cm="1">
        <f t="array" aca="1" ref="AA1960" ca="1">IFERROR(_xlfn.IFS(OR(F1960="",LEFT(Methode_Keuze,4)="Geen",Methode_Keuze=""),"",AND(X1960&lt;&gt;"",F1960&lt;&gt;"Arbeidskosten"),X1960*VLOOKUP(F1960,Tb_ProjectKosten[],MATCH(Tb_ProjectKosten[[#Headers],[Forfait_Percentage]],Tb_ProjectKosten[#Headers],0),0),AND(F1960="Arbeidskosten",G1960&lt;&gt;""),IFERROR(X1960*VLOOKUP(G1960,Tb_KostenTypen[],3,0)*VLOOKUP(F1960,Tb_ProjectKosten[],MATCH(Tb_ProjectKosten[[#Headers],[Forfait_Percentage]],Tb_ProjectKosten[#Headers],0),0),""),X1960 &lt;=0,0),"")</f>
        <v/>
      </c>
      <c r="AB1960" s="314" t="str">
        <f t="shared" ca="1" si="123"/>
        <v/>
      </c>
      <c r="AC1960" s="322"/>
      <c r="AD1960" s="315"/>
      <c r="AE1960" s="32" t="str" cm="1">
        <f t="array" ref="AE1960">IFERROR(IF(INDEX(SubsidieTabel!$AD$1:$AG$12,MATCH($F1960,SubsidieTabel!$AD$1:$AD$12,0),IFERROR(MATCH(Methode_Keuze,SubsidieTabel!$AD$1:$AG$1,0),2))&lt;&gt;1=TRUE,"ja",""),"")</f>
        <v/>
      </c>
    </row>
    <row r="1961" spans="1:31" x14ac:dyDescent="0.25">
      <c r="A1961" s="316"/>
      <c r="B1961" s="317" t="str">
        <f>IF(A1961&lt;&gt;"",_xlfn.MAXIFS($B$1:B1960,$A$1:A1960,A1961)+1,"")</f>
        <v/>
      </c>
      <c r="C1961" s="296"/>
      <c r="D1961" s="296"/>
      <c r="E1961" s="296"/>
      <c r="F1961" s="296"/>
      <c r="G1961" s="326"/>
      <c r="H1961" s="324"/>
      <c r="I1961" s="325"/>
      <c r="J1961" s="325"/>
      <c r="K1961" s="318"/>
      <c r="L1961" s="318"/>
      <c r="M1961" s="319" t="str">
        <f>IFERROR(VLOOKUP(H1961,Lijsten!$H$1:$I$100,2,0),"")</f>
        <v/>
      </c>
      <c r="N1961" s="319" t="str">
        <f ca="1">IFERROR(IF(VLOOKUP(F1961,Kostentypen!$A$3:$E$21,3,0)=0,"",IF(OR(F1961="Arbeidskosten",F1961="Vergoeding"),VLOOKUP(G1961,Tb_KostenTypen[],2,0),VLOOKUP(F1961,Kostentypen!$A$3:$E$20,3,0))),"")</f>
        <v/>
      </c>
      <c r="O1961" s="320" t="str" cm="1">
        <f t="array" ref="O1961">_xlfn.IFNA(IF(INDEX(Tb_KostenOptiesDB[],MATCH($F1961,Tb_KostenOptiesDB[KostenOptie],0),IFERROR(MATCH(Methode_Keuze,Tb_KostenOptiesDB[#Headers],0),2))=1,_xlfn.SWITCH($N1961,"Uurtarief",IF(OR(AND(RIGHT($F1961,3)="IKS",VLOOKUP($M1961,DB_Loonkosten,2,0)="Ja"),AND(RIGHT($F1961,3)&lt;&gt;"IKS",VLOOKUP($M1961,DB_Loonkosten,2,0)="Nee")),IFERROR(VLOOKUP($M1961,DB_Loonkosten,24,0),""),0),"Vast tarief",IF(LEFT(F1961,8)="Bijdrage",VLOOKUP($F1961,Tb_KostenTypen[],MATCH(Lijsten!$P$1,Tb_KostenTypen[#Headers],0),0),VLOOKUP($G1961,Lijsten!L:P,MATCH(Lijsten!$P$1,Kop_Tarief_Vast,0),0))),""),"")</f>
        <v/>
      </c>
      <c r="P1961" s="320" t="str" cm="1">
        <f t="array" ref="P1961">_xlfn.IFNA(IF(INDEX(Tb_KostenOptiesDB[],MATCH($F1961,Tb_KostenOptiesDB[KostenOptie],0),IFERROR(MATCH(Methode_Keuze,Tb_KostenOptiesDB[#Headers],0),2))=1,_xlfn.SWITCH($N1961,"Uurtarief",IF(OR(AND(RIGHT($F1961,3)="IKS",VLOOKUP($M1961,DB_Loonkosten,2,0)="Ja"),AND(RIGHT($F1961,3)&lt;&gt;"IKS",VLOOKUP($M1961,DB_Loonkosten,2,0)="Nee")),IFERROR(VLOOKUP($M1961,DB_Loonkosten,25,0),""),0),"Vast tarief",IF(LEFT(F1961,8)="Bijdrage",VLOOKUP($F1961,Tb_KostenTypen[],MATCH(Lijsten!$P$1,Tb_KostenTypen[#Headers],0),0),VLOOKUP($G1961,Lijsten!L:P,MATCH(Lijsten!$P$1,Kop_Tarief_Vast,0),0))),""),"")</f>
        <v/>
      </c>
      <c r="Q1961" s="359"/>
      <c r="R1961" s="359"/>
      <c r="S1961" s="321"/>
      <c r="T1961" s="321"/>
      <c r="U1961" s="373" t="str">
        <f t="shared" si="120"/>
        <v/>
      </c>
      <c r="V1961" s="314" t="str">
        <f t="shared" si="121"/>
        <v/>
      </c>
      <c r="W1961" s="314" t="str" cm="1">
        <f t="array" aca="1" ref="W1961" ca="1">IFERROR(IF(AE1961&lt;&gt;"ja",_xlfn.IFNA(_xlfn.IFS(AND(O1961&lt;&gt;"",F1961&lt;&gt;"",RIGHT($N1961,6)="tarief",F1961="Vergoeding"),SUM(O1961)*FLOOR(SUM(Q1961),0.0001),AND(O1961&lt;&gt;"",F1961&lt;&gt;"",RIGHT($N1961,6)="tarief"),SUM(O1961)*FLOOR(SUM(Q1961),0.01),S1961&gt;0,IF(F1961&lt;&gt;"",FLOOR(SUM(S1961),0.01),"")),""),""),"")</f>
        <v/>
      </c>
      <c r="X1961" s="314" t="str" cm="1">
        <f t="array" aca="1" ref="X1961" ca="1">IFERROR(IF(AE1961&lt;&gt;"ja",_xlfn.IFNA(_xlfn.IFS(AND(P1961&lt;&gt;"",R1961&lt;&gt;"",RIGHT($N1961,6)="tarief",F1961="Vergoeding"),SUM(P1961)*FLOOR(SUM(R1961),0.0001),AND(P1961&lt;&gt;"",R1961&lt;&gt;"",RIGHT($N1961,6)="tarief"),P1961*FLOOR(R1961,0.01),T1961&gt;0,FLOOR(SUM(T1961),0.01)),""),""),"")</f>
        <v/>
      </c>
      <c r="Y1961" s="314" t="str">
        <f t="shared" ca="1" si="122"/>
        <v/>
      </c>
      <c r="Z1961" s="314" t="str" cm="1">
        <f t="array" aca="1" ref="Z1961" ca="1">IFERROR(_xlfn.IFS(OR(F1961="",LEFT(Methode_Keuze,4)="Geen",Methode_Keuze=""),"",AND(W1961&lt;&gt;"",F1961&lt;&gt;"Arbeidskosten"),W1961*VLOOKUP(F1961,Tb_ProjectKosten[],MATCH(Tb_ProjectKosten[[#Headers],[Forfait_Percentage]],Tb_ProjectKosten[#Headers],0),0),AND(F1961="Arbeidskosten",G1961&lt;&gt;""),IFERROR(W1961*VLOOKUP(G1961,Tb_KostenTypen[],3,0)*VLOOKUP(F1961,Tb_ProjectKosten[],MATCH(Tb_ProjectKosten[[#Headers],[Forfait_Percentage]],Tb_ProjectKosten[#Headers],0),0),""),W1961 &lt;=0,0),"")</f>
        <v/>
      </c>
      <c r="AA1961" s="314" t="str" cm="1">
        <f t="array" aca="1" ref="AA1961" ca="1">IFERROR(_xlfn.IFS(OR(F1961="",LEFT(Methode_Keuze,4)="Geen",Methode_Keuze=""),"",AND(X1961&lt;&gt;"",F1961&lt;&gt;"Arbeidskosten"),X1961*VLOOKUP(F1961,Tb_ProjectKosten[],MATCH(Tb_ProjectKosten[[#Headers],[Forfait_Percentage]],Tb_ProjectKosten[#Headers],0),0),AND(F1961="Arbeidskosten",G1961&lt;&gt;""),IFERROR(X1961*VLOOKUP(G1961,Tb_KostenTypen[],3,0)*VLOOKUP(F1961,Tb_ProjectKosten[],MATCH(Tb_ProjectKosten[[#Headers],[Forfait_Percentage]],Tb_ProjectKosten[#Headers],0),0),""),X1961 &lt;=0,0),"")</f>
        <v/>
      </c>
      <c r="AB1961" s="314" t="str">
        <f t="shared" ca="1" si="123"/>
        <v/>
      </c>
      <c r="AC1961" s="322"/>
      <c r="AD1961" s="315"/>
      <c r="AE1961" s="32" t="str" cm="1">
        <f t="array" ref="AE1961">IFERROR(IF(INDEX(SubsidieTabel!$AD$1:$AG$12,MATCH($F1961,SubsidieTabel!$AD$1:$AD$12,0),IFERROR(MATCH(Methode_Keuze,SubsidieTabel!$AD$1:$AG$1,0),2))&lt;&gt;1=TRUE,"ja",""),"")</f>
        <v/>
      </c>
    </row>
    <row r="1962" spans="1:31" x14ac:dyDescent="0.25">
      <c r="A1962" s="316"/>
      <c r="B1962" s="317" t="str">
        <f>IF(A1962&lt;&gt;"",_xlfn.MAXIFS($B$1:B1961,$A$1:A1961,A1962)+1,"")</f>
        <v/>
      </c>
      <c r="C1962" s="296"/>
      <c r="D1962" s="296"/>
      <c r="E1962" s="296"/>
      <c r="F1962" s="296"/>
      <c r="G1962" s="326"/>
      <c r="H1962" s="324"/>
      <c r="I1962" s="325"/>
      <c r="J1962" s="325"/>
      <c r="K1962" s="318"/>
      <c r="L1962" s="318"/>
      <c r="M1962" s="319" t="str">
        <f>IFERROR(VLOOKUP(H1962,Lijsten!$H$1:$I$100,2,0),"")</f>
        <v/>
      </c>
      <c r="N1962" s="319" t="str">
        <f ca="1">IFERROR(IF(VLOOKUP(F1962,Kostentypen!$A$3:$E$21,3,0)=0,"",IF(OR(F1962="Arbeidskosten",F1962="Vergoeding"),VLOOKUP(G1962,Tb_KostenTypen[],2,0),VLOOKUP(F1962,Kostentypen!$A$3:$E$20,3,0))),"")</f>
        <v/>
      </c>
      <c r="O1962" s="320" t="str" cm="1">
        <f t="array" ref="O1962">_xlfn.IFNA(IF(INDEX(Tb_KostenOptiesDB[],MATCH($F1962,Tb_KostenOptiesDB[KostenOptie],0),IFERROR(MATCH(Methode_Keuze,Tb_KostenOptiesDB[#Headers],0),2))=1,_xlfn.SWITCH($N1962,"Uurtarief",IF(OR(AND(RIGHT($F1962,3)="IKS",VLOOKUP($M1962,DB_Loonkosten,2,0)="Ja"),AND(RIGHT($F1962,3)&lt;&gt;"IKS",VLOOKUP($M1962,DB_Loonkosten,2,0)="Nee")),IFERROR(VLOOKUP($M1962,DB_Loonkosten,24,0),""),0),"Vast tarief",IF(LEFT(F1962,8)="Bijdrage",VLOOKUP($F1962,Tb_KostenTypen[],MATCH(Lijsten!$P$1,Tb_KostenTypen[#Headers],0),0),VLOOKUP($G1962,Lijsten!L:P,MATCH(Lijsten!$P$1,Kop_Tarief_Vast,0),0))),""),"")</f>
        <v/>
      </c>
      <c r="P1962" s="320" t="str" cm="1">
        <f t="array" ref="P1962">_xlfn.IFNA(IF(INDEX(Tb_KostenOptiesDB[],MATCH($F1962,Tb_KostenOptiesDB[KostenOptie],0),IFERROR(MATCH(Methode_Keuze,Tb_KostenOptiesDB[#Headers],0),2))=1,_xlfn.SWITCH($N1962,"Uurtarief",IF(OR(AND(RIGHT($F1962,3)="IKS",VLOOKUP($M1962,DB_Loonkosten,2,0)="Ja"),AND(RIGHT($F1962,3)&lt;&gt;"IKS",VLOOKUP($M1962,DB_Loonkosten,2,0)="Nee")),IFERROR(VLOOKUP($M1962,DB_Loonkosten,25,0),""),0),"Vast tarief",IF(LEFT(F1962,8)="Bijdrage",VLOOKUP($F1962,Tb_KostenTypen[],MATCH(Lijsten!$P$1,Tb_KostenTypen[#Headers],0),0),VLOOKUP($G1962,Lijsten!L:P,MATCH(Lijsten!$P$1,Kop_Tarief_Vast,0),0))),""),"")</f>
        <v/>
      </c>
      <c r="Q1962" s="359"/>
      <c r="R1962" s="359"/>
      <c r="S1962" s="321"/>
      <c r="T1962" s="321"/>
      <c r="U1962" s="373" t="str">
        <f t="shared" si="120"/>
        <v/>
      </c>
      <c r="V1962" s="314" t="str">
        <f t="shared" si="121"/>
        <v/>
      </c>
      <c r="W1962" s="314" t="str" cm="1">
        <f t="array" aca="1" ref="W1962" ca="1">IFERROR(IF(AE1962&lt;&gt;"ja",_xlfn.IFNA(_xlfn.IFS(AND(O1962&lt;&gt;"",F1962&lt;&gt;"",RIGHT($N1962,6)="tarief",F1962="Vergoeding"),SUM(O1962)*FLOOR(SUM(Q1962),0.0001),AND(O1962&lt;&gt;"",F1962&lt;&gt;"",RIGHT($N1962,6)="tarief"),SUM(O1962)*FLOOR(SUM(Q1962),0.01),S1962&gt;0,IF(F1962&lt;&gt;"",FLOOR(SUM(S1962),0.01),"")),""),""),"")</f>
        <v/>
      </c>
      <c r="X1962" s="314" t="str" cm="1">
        <f t="array" aca="1" ref="X1962" ca="1">IFERROR(IF(AE1962&lt;&gt;"ja",_xlfn.IFNA(_xlfn.IFS(AND(P1962&lt;&gt;"",R1962&lt;&gt;"",RIGHT($N1962,6)="tarief",F1962="Vergoeding"),SUM(P1962)*FLOOR(SUM(R1962),0.0001),AND(P1962&lt;&gt;"",R1962&lt;&gt;"",RIGHT($N1962,6)="tarief"),P1962*FLOOR(R1962,0.01),T1962&gt;0,FLOOR(SUM(T1962),0.01)),""),""),"")</f>
        <v/>
      </c>
      <c r="Y1962" s="314" t="str">
        <f t="shared" ca="1" si="122"/>
        <v/>
      </c>
      <c r="Z1962" s="314" t="str" cm="1">
        <f t="array" aca="1" ref="Z1962" ca="1">IFERROR(_xlfn.IFS(OR(F1962="",LEFT(Methode_Keuze,4)="Geen",Methode_Keuze=""),"",AND(W1962&lt;&gt;"",F1962&lt;&gt;"Arbeidskosten"),W1962*VLOOKUP(F1962,Tb_ProjectKosten[],MATCH(Tb_ProjectKosten[[#Headers],[Forfait_Percentage]],Tb_ProjectKosten[#Headers],0),0),AND(F1962="Arbeidskosten",G1962&lt;&gt;""),IFERROR(W1962*VLOOKUP(G1962,Tb_KostenTypen[],3,0)*VLOOKUP(F1962,Tb_ProjectKosten[],MATCH(Tb_ProjectKosten[[#Headers],[Forfait_Percentage]],Tb_ProjectKosten[#Headers],0),0),""),W1962 &lt;=0,0),"")</f>
        <v/>
      </c>
      <c r="AA1962" s="314" t="str" cm="1">
        <f t="array" aca="1" ref="AA1962" ca="1">IFERROR(_xlfn.IFS(OR(F1962="",LEFT(Methode_Keuze,4)="Geen",Methode_Keuze=""),"",AND(X1962&lt;&gt;"",F1962&lt;&gt;"Arbeidskosten"),X1962*VLOOKUP(F1962,Tb_ProjectKosten[],MATCH(Tb_ProjectKosten[[#Headers],[Forfait_Percentage]],Tb_ProjectKosten[#Headers],0),0),AND(F1962="Arbeidskosten",G1962&lt;&gt;""),IFERROR(X1962*VLOOKUP(G1962,Tb_KostenTypen[],3,0)*VLOOKUP(F1962,Tb_ProjectKosten[],MATCH(Tb_ProjectKosten[[#Headers],[Forfait_Percentage]],Tb_ProjectKosten[#Headers],0),0),""),X1962 &lt;=0,0),"")</f>
        <v/>
      </c>
      <c r="AB1962" s="314" t="str">
        <f t="shared" ca="1" si="123"/>
        <v/>
      </c>
      <c r="AC1962" s="322"/>
      <c r="AD1962" s="315"/>
      <c r="AE1962" s="32" t="str" cm="1">
        <f t="array" ref="AE1962">IFERROR(IF(INDEX(SubsidieTabel!$AD$1:$AG$12,MATCH($F1962,SubsidieTabel!$AD$1:$AD$12,0),IFERROR(MATCH(Methode_Keuze,SubsidieTabel!$AD$1:$AG$1,0),2))&lt;&gt;1=TRUE,"ja",""),"")</f>
        <v/>
      </c>
    </row>
    <row r="1963" spans="1:31" x14ac:dyDescent="0.25">
      <c r="A1963" s="316"/>
      <c r="B1963" s="317" t="str">
        <f>IF(A1963&lt;&gt;"",_xlfn.MAXIFS($B$1:B1962,$A$1:A1962,A1963)+1,"")</f>
        <v/>
      </c>
      <c r="C1963" s="296"/>
      <c r="D1963" s="296"/>
      <c r="E1963" s="296"/>
      <c r="F1963" s="296"/>
      <c r="G1963" s="326"/>
      <c r="H1963" s="324"/>
      <c r="I1963" s="325"/>
      <c r="J1963" s="325"/>
      <c r="K1963" s="318"/>
      <c r="L1963" s="318"/>
      <c r="M1963" s="319" t="str">
        <f>IFERROR(VLOOKUP(H1963,Lijsten!$H$1:$I$100,2,0),"")</f>
        <v/>
      </c>
      <c r="N1963" s="319" t="str">
        <f ca="1">IFERROR(IF(VLOOKUP(F1963,Kostentypen!$A$3:$E$21,3,0)=0,"",IF(OR(F1963="Arbeidskosten",F1963="Vergoeding"),VLOOKUP(G1963,Tb_KostenTypen[],2,0),VLOOKUP(F1963,Kostentypen!$A$3:$E$20,3,0))),"")</f>
        <v/>
      </c>
      <c r="O1963" s="320" t="str" cm="1">
        <f t="array" ref="O1963">_xlfn.IFNA(IF(INDEX(Tb_KostenOptiesDB[],MATCH($F1963,Tb_KostenOptiesDB[KostenOptie],0),IFERROR(MATCH(Methode_Keuze,Tb_KostenOptiesDB[#Headers],0),2))=1,_xlfn.SWITCH($N1963,"Uurtarief",IF(OR(AND(RIGHT($F1963,3)="IKS",VLOOKUP($M1963,DB_Loonkosten,2,0)="Ja"),AND(RIGHT($F1963,3)&lt;&gt;"IKS",VLOOKUP($M1963,DB_Loonkosten,2,0)="Nee")),IFERROR(VLOOKUP($M1963,DB_Loonkosten,24,0),""),0),"Vast tarief",IF(LEFT(F1963,8)="Bijdrage",VLOOKUP($F1963,Tb_KostenTypen[],MATCH(Lijsten!$P$1,Tb_KostenTypen[#Headers],0),0),VLOOKUP($G1963,Lijsten!L:P,MATCH(Lijsten!$P$1,Kop_Tarief_Vast,0),0))),""),"")</f>
        <v/>
      </c>
      <c r="P1963" s="320" t="str" cm="1">
        <f t="array" ref="P1963">_xlfn.IFNA(IF(INDEX(Tb_KostenOptiesDB[],MATCH($F1963,Tb_KostenOptiesDB[KostenOptie],0),IFERROR(MATCH(Methode_Keuze,Tb_KostenOptiesDB[#Headers],0),2))=1,_xlfn.SWITCH($N1963,"Uurtarief",IF(OR(AND(RIGHT($F1963,3)="IKS",VLOOKUP($M1963,DB_Loonkosten,2,0)="Ja"),AND(RIGHT($F1963,3)&lt;&gt;"IKS",VLOOKUP($M1963,DB_Loonkosten,2,0)="Nee")),IFERROR(VLOOKUP($M1963,DB_Loonkosten,25,0),""),0),"Vast tarief",IF(LEFT(F1963,8)="Bijdrage",VLOOKUP($F1963,Tb_KostenTypen[],MATCH(Lijsten!$P$1,Tb_KostenTypen[#Headers],0),0),VLOOKUP($G1963,Lijsten!L:P,MATCH(Lijsten!$P$1,Kop_Tarief_Vast,0),0))),""),"")</f>
        <v/>
      </c>
      <c r="Q1963" s="359"/>
      <c r="R1963" s="359"/>
      <c r="S1963" s="321"/>
      <c r="T1963" s="321"/>
      <c r="U1963" s="373" t="str">
        <f t="shared" si="120"/>
        <v/>
      </c>
      <c r="V1963" s="314" t="str">
        <f t="shared" si="121"/>
        <v/>
      </c>
      <c r="W1963" s="314" t="str" cm="1">
        <f t="array" aca="1" ref="W1963" ca="1">IFERROR(IF(AE1963&lt;&gt;"ja",_xlfn.IFNA(_xlfn.IFS(AND(O1963&lt;&gt;"",F1963&lt;&gt;"",RIGHT($N1963,6)="tarief",F1963="Vergoeding"),SUM(O1963)*FLOOR(SUM(Q1963),0.0001),AND(O1963&lt;&gt;"",F1963&lt;&gt;"",RIGHT($N1963,6)="tarief"),SUM(O1963)*FLOOR(SUM(Q1963),0.01),S1963&gt;0,IF(F1963&lt;&gt;"",FLOOR(SUM(S1963),0.01),"")),""),""),"")</f>
        <v/>
      </c>
      <c r="X1963" s="314" t="str" cm="1">
        <f t="array" aca="1" ref="X1963" ca="1">IFERROR(IF(AE1963&lt;&gt;"ja",_xlfn.IFNA(_xlfn.IFS(AND(P1963&lt;&gt;"",R1963&lt;&gt;"",RIGHT($N1963,6)="tarief",F1963="Vergoeding"),SUM(P1963)*FLOOR(SUM(R1963),0.0001),AND(P1963&lt;&gt;"",R1963&lt;&gt;"",RIGHT($N1963,6)="tarief"),P1963*FLOOR(R1963,0.01),T1963&gt;0,FLOOR(SUM(T1963),0.01)),""),""),"")</f>
        <v/>
      </c>
      <c r="Y1963" s="314" t="str">
        <f t="shared" ca="1" si="122"/>
        <v/>
      </c>
      <c r="Z1963" s="314" t="str" cm="1">
        <f t="array" aca="1" ref="Z1963" ca="1">IFERROR(_xlfn.IFS(OR(F1963="",LEFT(Methode_Keuze,4)="Geen",Methode_Keuze=""),"",AND(W1963&lt;&gt;"",F1963&lt;&gt;"Arbeidskosten"),W1963*VLOOKUP(F1963,Tb_ProjectKosten[],MATCH(Tb_ProjectKosten[[#Headers],[Forfait_Percentage]],Tb_ProjectKosten[#Headers],0),0),AND(F1963="Arbeidskosten",G1963&lt;&gt;""),IFERROR(W1963*VLOOKUP(G1963,Tb_KostenTypen[],3,0)*VLOOKUP(F1963,Tb_ProjectKosten[],MATCH(Tb_ProjectKosten[[#Headers],[Forfait_Percentage]],Tb_ProjectKosten[#Headers],0),0),""),W1963 &lt;=0,0),"")</f>
        <v/>
      </c>
      <c r="AA1963" s="314" t="str" cm="1">
        <f t="array" aca="1" ref="AA1963" ca="1">IFERROR(_xlfn.IFS(OR(F1963="",LEFT(Methode_Keuze,4)="Geen",Methode_Keuze=""),"",AND(X1963&lt;&gt;"",F1963&lt;&gt;"Arbeidskosten"),X1963*VLOOKUP(F1963,Tb_ProjectKosten[],MATCH(Tb_ProjectKosten[[#Headers],[Forfait_Percentage]],Tb_ProjectKosten[#Headers],0),0),AND(F1963="Arbeidskosten",G1963&lt;&gt;""),IFERROR(X1963*VLOOKUP(G1963,Tb_KostenTypen[],3,0)*VLOOKUP(F1963,Tb_ProjectKosten[],MATCH(Tb_ProjectKosten[[#Headers],[Forfait_Percentage]],Tb_ProjectKosten[#Headers],0),0),""),X1963 &lt;=0,0),"")</f>
        <v/>
      </c>
      <c r="AB1963" s="314" t="str">
        <f t="shared" ca="1" si="123"/>
        <v/>
      </c>
      <c r="AC1963" s="322"/>
      <c r="AD1963" s="315"/>
      <c r="AE1963" s="32" t="str" cm="1">
        <f t="array" ref="AE1963">IFERROR(IF(INDEX(SubsidieTabel!$AD$1:$AG$12,MATCH($F1963,SubsidieTabel!$AD$1:$AD$12,0),IFERROR(MATCH(Methode_Keuze,SubsidieTabel!$AD$1:$AG$1,0),2))&lt;&gt;1=TRUE,"ja",""),"")</f>
        <v/>
      </c>
    </row>
    <row r="1964" spans="1:31" x14ac:dyDescent="0.25">
      <c r="A1964" s="316"/>
      <c r="B1964" s="317" t="str">
        <f>IF(A1964&lt;&gt;"",_xlfn.MAXIFS($B$1:B1963,$A$1:A1963,A1964)+1,"")</f>
        <v/>
      </c>
      <c r="C1964" s="296"/>
      <c r="D1964" s="296"/>
      <c r="E1964" s="296"/>
      <c r="F1964" s="296"/>
      <c r="G1964" s="326"/>
      <c r="H1964" s="324"/>
      <c r="I1964" s="325"/>
      <c r="J1964" s="325"/>
      <c r="K1964" s="318"/>
      <c r="L1964" s="318"/>
      <c r="M1964" s="319" t="str">
        <f>IFERROR(VLOOKUP(H1964,Lijsten!$H$1:$I$100,2,0),"")</f>
        <v/>
      </c>
      <c r="N1964" s="319" t="str">
        <f ca="1">IFERROR(IF(VLOOKUP(F1964,Kostentypen!$A$3:$E$21,3,0)=0,"",IF(OR(F1964="Arbeidskosten",F1964="Vergoeding"),VLOOKUP(G1964,Tb_KostenTypen[],2,0),VLOOKUP(F1964,Kostentypen!$A$3:$E$20,3,0))),"")</f>
        <v/>
      </c>
      <c r="O1964" s="320" t="str" cm="1">
        <f t="array" ref="O1964">_xlfn.IFNA(IF(INDEX(Tb_KostenOptiesDB[],MATCH($F1964,Tb_KostenOptiesDB[KostenOptie],0),IFERROR(MATCH(Methode_Keuze,Tb_KostenOptiesDB[#Headers],0),2))=1,_xlfn.SWITCH($N1964,"Uurtarief",IF(OR(AND(RIGHT($F1964,3)="IKS",VLOOKUP($M1964,DB_Loonkosten,2,0)="Ja"),AND(RIGHT($F1964,3)&lt;&gt;"IKS",VLOOKUP($M1964,DB_Loonkosten,2,0)="Nee")),IFERROR(VLOOKUP($M1964,DB_Loonkosten,24,0),""),0),"Vast tarief",IF(LEFT(F1964,8)="Bijdrage",VLOOKUP($F1964,Tb_KostenTypen[],MATCH(Lijsten!$P$1,Tb_KostenTypen[#Headers],0),0),VLOOKUP($G1964,Lijsten!L:P,MATCH(Lijsten!$P$1,Kop_Tarief_Vast,0),0))),""),"")</f>
        <v/>
      </c>
      <c r="P1964" s="320" t="str" cm="1">
        <f t="array" ref="P1964">_xlfn.IFNA(IF(INDEX(Tb_KostenOptiesDB[],MATCH($F1964,Tb_KostenOptiesDB[KostenOptie],0),IFERROR(MATCH(Methode_Keuze,Tb_KostenOptiesDB[#Headers],0),2))=1,_xlfn.SWITCH($N1964,"Uurtarief",IF(OR(AND(RIGHT($F1964,3)="IKS",VLOOKUP($M1964,DB_Loonkosten,2,0)="Ja"),AND(RIGHT($F1964,3)&lt;&gt;"IKS",VLOOKUP($M1964,DB_Loonkosten,2,0)="Nee")),IFERROR(VLOOKUP($M1964,DB_Loonkosten,25,0),""),0),"Vast tarief",IF(LEFT(F1964,8)="Bijdrage",VLOOKUP($F1964,Tb_KostenTypen[],MATCH(Lijsten!$P$1,Tb_KostenTypen[#Headers],0),0),VLOOKUP($G1964,Lijsten!L:P,MATCH(Lijsten!$P$1,Kop_Tarief_Vast,0),0))),""),"")</f>
        <v/>
      </c>
      <c r="Q1964" s="359"/>
      <c r="R1964" s="359"/>
      <c r="S1964" s="321"/>
      <c r="T1964" s="321"/>
      <c r="U1964" s="373" t="str">
        <f t="shared" si="120"/>
        <v/>
      </c>
      <c r="V1964" s="314" t="str">
        <f t="shared" si="121"/>
        <v/>
      </c>
      <c r="W1964" s="314" t="str" cm="1">
        <f t="array" aca="1" ref="W1964" ca="1">IFERROR(IF(AE1964&lt;&gt;"ja",_xlfn.IFNA(_xlfn.IFS(AND(O1964&lt;&gt;"",F1964&lt;&gt;"",RIGHT($N1964,6)="tarief",F1964="Vergoeding"),SUM(O1964)*FLOOR(SUM(Q1964),0.0001),AND(O1964&lt;&gt;"",F1964&lt;&gt;"",RIGHT($N1964,6)="tarief"),SUM(O1964)*FLOOR(SUM(Q1964),0.01),S1964&gt;0,IF(F1964&lt;&gt;"",FLOOR(SUM(S1964),0.01),"")),""),""),"")</f>
        <v/>
      </c>
      <c r="X1964" s="314" t="str" cm="1">
        <f t="array" aca="1" ref="X1964" ca="1">IFERROR(IF(AE1964&lt;&gt;"ja",_xlfn.IFNA(_xlfn.IFS(AND(P1964&lt;&gt;"",R1964&lt;&gt;"",RIGHT($N1964,6)="tarief",F1964="Vergoeding"),SUM(P1964)*FLOOR(SUM(R1964),0.0001),AND(P1964&lt;&gt;"",R1964&lt;&gt;"",RIGHT($N1964,6)="tarief"),P1964*FLOOR(R1964,0.01),T1964&gt;0,FLOOR(SUM(T1964),0.01)),""),""),"")</f>
        <v/>
      </c>
      <c r="Y1964" s="314" t="str">
        <f t="shared" ca="1" si="122"/>
        <v/>
      </c>
      <c r="Z1964" s="314" t="str" cm="1">
        <f t="array" aca="1" ref="Z1964" ca="1">IFERROR(_xlfn.IFS(OR(F1964="",LEFT(Methode_Keuze,4)="Geen",Methode_Keuze=""),"",AND(W1964&lt;&gt;"",F1964&lt;&gt;"Arbeidskosten"),W1964*VLOOKUP(F1964,Tb_ProjectKosten[],MATCH(Tb_ProjectKosten[[#Headers],[Forfait_Percentage]],Tb_ProjectKosten[#Headers],0),0),AND(F1964="Arbeidskosten",G1964&lt;&gt;""),IFERROR(W1964*VLOOKUP(G1964,Tb_KostenTypen[],3,0)*VLOOKUP(F1964,Tb_ProjectKosten[],MATCH(Tb_ProjectKosten[[#Headers],[Forfait_Percentage]],Tb_ProjectKosten[#Headers],0),0),""),W1964 &lt;=0,0),"")</f>
        <v/>
      </c>
      <c r="AA1964" s="314" t="str" cm="1">
        <f t="array" aca="1" ref="AA1964" ca="1">IFERROR(_xlfn.IFS(OR(F1964="",LEFT(Methode_Keuze,4)="Geen",Methode_Keuze=""),"",AND(X1964&lt;&gt;"",F1964&lt;&gt;"Arbeidskosten"),X1964*VLOOKUP(F1964,Tb_ProjectKosten[],MATCH(Tb_ProjectKosten[[#Headers],[Forfait_Percentage]],Tb_ProjectKosten[#Headers],0),0),AND(F1964="Arbeidskosten",G1964&lt;&gt;""),IFERROR(X1964*VLOOKUP(G1964,Tb_KostenTypen[],3,0)*VLOOKUP(F1964,Tb_ProjectKosten[],MATCH(Tb_ProjectKosten[[#Headers],[Forfait_Percentage]],Tb_ProjectKosten[#Headers],0),0),""),X1964 &lt;=0,0),"")</f>
        <v/>
      </c>
      <c r="AB1964" s="314" t="str">
        <f t="shared" ca="1" si="123"/>
        <v/>
      </c>
      <c r="AC1964" s="322"/>
      <c r="AD1964" s="315"/>
      <c r="AE1964" s="32" t="str" cm="1">
        <f t="array" ref="AE1964">IFERROR(IF(INDEX(SubsidieTabel!$AD$1:$AG$12,MATCH($F1964,SubsidieTabel!$AD$1:$AD$12,0),IFERROR(MATCH(Methode_Keuze,SubsidieTabel!$AD$1:$AG$1,0),2))&lt;&gt;1=TRUE,"ja",""),"")</f>
        <v/>
      </c>
    </row>
    <row r="1965" spans="1:31" x14ac:dyDescent="0.25">
      <c r="A1965" s="316"/>
      <c r="B1965" s="317" t="str">
        <f>IF(A1965&lt;&gt;"",_xlfn.MAXIFS($B$1:B1964,$A$1:A1964,A1965)+1,"")</f>
        <v/>
      </c>
      <c r="C1965" s="296"/>
      <c r="D1965" s="296"/>
      <c r="E1965" s="296"/>
      <c r="F1965" s="296"/>
      <c r="G1965" s="326"/>
      <c r="H1965" s="324"/>
      <c r="I1965" s="325"/>
      <c r="J1965" s="325"/>
      <c r="K1965" s="318"/>
      <c r="L1965" s="318"/>
      <c r="M1965" s="319" t="str">
        <f>IFERROR(VLOOKUP(H1965,Lijsten!$H$1:$I$100,2,0),"")</f>
        <v/>
      </c>
      <c r="N1965" s="319" t="str">
        <f ca="1">IFERROR(IF(VLOOKUP(F1965,Kostentypen!$A$3:$E$21,3,0)=0,"",IF(OR(F1965="Arbeidskosten",F1965="Vergoeding"),VLOOKUP(G1965,Tb_KostenTypen[],2,0),VLOOKUP(F1965,Kostentypen!$A$3:$E$20,3,0))),"")</f>
        <v/>
      </c>
      <c r="O1965" s="320" t="str" cm="1">
        <f t="array" ref="O1965">_xlfn.IFNA(IF(INDEX(Tb_KostenOptiesDB[],MATCH($F1965,Tb_KostenOptiesDB[KostenOptie],0),IFERROR(MATCH(Methode_Keuze,Tb_KostenOptiesDB[#Headers],0),2))=1,_xlfn.SWITCH($N1965,"Uurtarief",IF(OR(AND(RIGHT($F1965,3)="IKS",VLOOKUP($M1965,DB_Loonkosten,2,0)="Ja"),AND(RIGHT($F1965,3)&lt;&gt;"IKS",VLOOKUP($M1965,DB_Loonkosten,2,0)="Nee")),IFERROR(VLOOKUP($M1965,DB_Loonkosten,24,0),""),0),"Vast tarief",IF(LEFT(F1965,8)="Bijdrage",VLOOKUP($F1965,Tb_KostenTypen[],MATCH(Lijsten!$P$1,Tb_KostenTypen[#Headers],0),0),VLOOKUP($G1965,Lijsten!L:P,MATCH(Lijsten!$P$1,Kop_Tarief_Vast,0),0))),""),"")</f>
        <v/>
      </c>
      <c r="P1965" s="320" t="str" cm="1">
        <f t="array" ref="P1965">_xlfn.IFNA(IF(INDEX(Tb_KostenOptiesDB[],MATCH($F1965,Tb_KostenOptiesDB[KostenOptie],0),IFERROR(MATCH(Methode_Keuze,Tb_KostenOptiesDB[#Headers],0),2))=1,_xlfn.SWITCH($N1965,"Uurtarief",IF(OR(AND(RIGHT($F1965,3)="IKS",VLOOKUP($M1965,DB_Loonkosten,2,0)="Ja"),AND(RIGHT($F1965,3)&lt;&gt;"IKS",VLOOKUP($M1965,DB_Loonkosten,2,0)="Nee")),IFERROR(VLOOKUP($M1965,DB_Loonkosten,25,0),""),0),"Vast tarief",IF(LEFT(F1965,8)="Bijdrage",VLOOKUP($F1965,Tb_KostenTypen[],MATCH(Lijsten!$P$1,Tb_KostenTypen[#Headers],0),0),VLOOKUP($G1965,Lijsten!L:P,MATCH(Lijsten!$P$1,Kop_Tarief_Vast,0),0))),""),"")</f>
        <v/>
      </c>
      <c r="Q1965" s="359"/>
      <c r="R1965" s="359"/>
      <c r="S1965" s="321"/>
      <c r="T1965" s="321"/>
      <c r="U1965" s="373" t="str">
        <f t="shared" si="120"/>
        <v/>
      </c>
      <c r="V1965" s="314" t="str">
        <f t="shared" si="121"/>
        <v/>
      </c>
      <c r="W1965" s="314" t="str" cm="1">
        <f t="array" aca="1" ref="W1965" ca="1">IFERROR(IF(AE1965&lt;&gt;"ja",_xlfn.IFNA(_xlfn.IFS(AND(O1965&lt;&gt;"",F1965&lt;&gt;"",RIGHT($N1965,6)="tarief",F1965="Vergoeding"),SUM(O1965)*FLOOR(SUM(Q1965),0.0001),AND(O1965&lt;&gt;"",F1965&lt;&gt;"",RIGHT($N1965,6)="tarief"),SUM(O1965)*FLOOR(SUM(Q1965),0.01),S1965&gt;0,IF(F1965&lt;&gt;"",FLOOR(SUM(S1965),0.01),"")),""),""),"")</f>
        <v/>
      </c>
      <c r="X1965" s="314" t="str" cm="1">
        <f t="array" aca="1" ref="X1965" ca="1">IFERROR(IF(AE1965&lt;&gt;"ja",_xlfn.IFNA(_xlfn.IFS(AND(P1965&lt;&gt;"",R1965&lt;&gt;"",RIGHT($N1965,6)="tarief",F1965="Vergoeding"),SUM(P1965)*FLOOR(SUM(R1965),0.0001),AND(P1965&lt;&gt;"",R1965&lt;&gt;"",RIGHT($N1965,6)="tarief"),P1965*FLOOR(R1965,0.01),T1965&gt;0,FLOOR(SUM(T1965),0.01)),""),""),"")</f>
        <v/>
      </c>
      <c r="Y1965" s="314" t="str">
        <f t="shared" ca="1" si="122"/>
        <v/>
      </c>
      <c r="Z1965" s="314" t="str" cm="1">
        <f t="array" aca="1" ref="Z1965" ca="1">IFERROR(_xlfn.IFS(OR(F1965="",LEFT(Methode_Keuze,4)="Geen",Methode_Keuze=""),"",AND(W1965&lt;&gt;"",F1965&lt;&gt;"Arbeidskosten"),W1965*VLOOKUP(F1965,Tb_ProjectKosten[],MATCH(Tb_ProjectKosten[[#Headers],[Forfait_Percentage]],Tb_ProjectKosten[#Headers],0),0),AND(F1965="Arbeidskosten",G1965&lt;&gt;""),IFERROR(W1965*VLOOKUP(G1965,Tb_KostenTypen[],3,0)*VLOOKUP(F1965,Tb_ProjectKosten[],MATCH(Tb_ProjectKosten[[#Headers],[Forfait_Percentage]],Tb_ProjectKosten[#Headers],0),0),""),W1965 &lt;=0,0),"")</f>
        <v/>
      </c>
      <c r="AA1965" s="314" t="str" cm="1">
        <f t="array" aca="1" ref="AA1965" ca="1">IFERROR(_xlfn.IFS(OR(F1965="",LEFT(Methode_Keuze,4)="Geen",Methode_Keuze=""),"",AND(X1965&lt;&gt;"",F1965&lt;&gt;"Arbeidskosten"),X1965*VLOOKUP(F1965,Tb_ProjectKosten[],MATCH(Tb_ProjectKosten[[#Headers],[Forfait_Percentage]],Tb_ProjectKosten[#Headers],0),0),AND(F1965="Arbeidskosten",G1965&lt;&gt;""),IFERROR(X1965*VLOOKUP(G1965,Tb_KostenTypen[],3,0)*VLOOKUP(F1965,Tb_ProjectKosten[],MATCH(Tb_ProjectKosten[[#Headers],[Forfait_Percentage]],Tb_ProjectKosten[#Headers],0),0),""),X1965 &lt;=0,0),"")</f>
        <v/>
      </c>
      <c r="AB1965" s="314" t="str">
        <f t="shared" ca="1" si="123"/>
        <v/>
      </c>
      <c r="AC1965" s="322"/>
      <c r="AD1965" s="315"/>
      <c r="AE1965" s="32" t="str" cm="1">
        <f t="array" ref="AE1965">IFERROR(IF(INDEX(SubsidieTabel!$AD$1:$AG$12,MATCH($F1965,SubsidieTabel!$AD$1:$AD$12,0),IFERROR(MATCH(Methode_Keuze,SubsidieTabel!$AD$1:$AG$1,0),2))&lt;&gt;1=TRUE,"ja",""),"")</f>
        <v/>
      </c>
    </row>
    <row r="1966" spans="1:31" x14ac:dyDescent="0.25">
      <c r="A1966" s="316"/>
      <c r="B1966" s="317" t="str">
        <f>IF(A1966&lt;&gt;"",_xlfn.MAXIFS($B$1:B1965,$A$1:A1965,A1966)+1,"")</f>
        <v/>
      </c>
      <c r="C1966" s="296"/>
      <c r="D1966" s="296"/>
      <c r="E1966" s="296"/>
      <c r="F1966" s="296"/>
      <c r="G1966" s="326"/>
      <c r="H1966" s="324"/>
      <c r="I1966" s="325"/>
      <c r="J1966" s="325"/>
      <c r="K1966" s="318"/>
      <c r="L1966" s="318"/>
      <c r="M1966" s="319" t="str">
        <f>IFERROR(VLOOKUP(H1966,Lijsten!$H$1:$I$100,2,0),"")</f>
        <v/>
      </c>
      <c r="N1966" s="319" t="str">
        <f ca="1">IFERROR(IF(VLOOKUP(F1966,Kostentypen!$A$3:$E$21,3,0)=0,"",IF(OR(F1966="Arbeidskosten",F1966="Vergoeding"),VLOOKUP(G1966,Tb_KostenTypen[],2,0),VLOOKUP(F1966,Kostentypen!$A$3:$E$20,3,0))),"")</f>
        <v/>
      </c>
      <c r="O1966" s="320" t="str" cm="1">
        <f t="array" ref="O1966">_xlfn.IFNA(IF(INDEX(Tb_KostenOptiesDB[],MATCH($F1966,Tb_KostenOptiesDB[KostenOptie],0),IFERROR(MATCH(Methode_Keuze,Tb_KostenOptiesDB[#Headers],0),2))=1,_xlfn.SWITCH($N1966,"Uurtarief",IF(OR(AND(RIGHT($F1966,3)="IKS",VLOOKUP($M1966,DB_Loonkosten,2,0)="Ja"),AND(RIGHT($F1966,3)&lt;&gt;"IKS",VLOOKUP($M1966,DB_Loonkosten,2,0)="Nee")),IFERROR(VLOOKUP($M1966,DB_Loonkosten,24,0),""),0),"Vast tarief",IF(LEFT(F1966,8)="Bijdrage",VLOOKUP($F1966,Tb_KostenTypen[],MATCH(Lijsten!$P$1,Tb_KostenTypen[#Headers],0),0),VLOOKUP($G1966,Lijsten!L:P,MATCH(Lijsten!$P$1,Kop_Tarief_Vast,0),0))),""),"")</f>
        <v/>
      </c>
      <c r="P1966" s="320" t="str" cm="1">
        <f t="array" ref="P1966">_xlfn.IFNA(IF(INDEX(Tb_KostenOptiesDB[],MATCH($F1966,Tb_KostenOptiesDB[KostenOptie],0),IFERROR(MATCH(Methode_Keuze,Tb_KostenOptiesDB[#Headers],0),2))=1,_xlfn.SWITCH($N1966,"Uurtarief",IF(OR(AND(RIGHT($F1966,3)="IKS",VLOOKUP($M1966,DB_Loonkosten,2,0)="Ja"),AND(RIGHT($F1966,3)&lt;&gt;"IKS",VLOOKUP($M1966,DB_Loonkosten,2,0)="Nee")),IFERROR(VLOOKUP($M1966,DB_Loonkosten,25,0),""),0),"Vast tarief",IF(LEFT(F1966,8)="Bijdrage",VLOOKUP($F1966,Tb_KostenTypen[],MATCH(Lijsten!$P$1,Tb_KostenTypen[#Headers],0),0),VLOOKUP($G1966,Lijsten!L:P,MATCH(Lijsten!$P$1,Kop_Tarief_Vast,0),0))),""),"")</f>
        <v/>
      </c>
      <c r="Q1966" s="359"/>
      <c r="R1966" s="359"/>
      <c r="S1966" s="321"/>
      <c r="T1966" s="321"/>
      <c r="U1966" s="373" t="str">
        <f t="shared" si="120"/>
        <v/>
      </c>
      <c r="V1966" s="314" t="str">
        <f t="shared" si="121"/>
        <v/>
      </c>
      <c r="W1966" s="314" t="str" cm="1">
        <f t="array" aca="1" ref="W1966" ca="1">IFERROR(IF(AE1966&lt;&gt;"ja",_xlfn.IFNA(_xlfn.IFS(AND(O1966&lt;&gt;"",F1966&lt;&gt;"",RIGHT($N1966,6)="tarief",F1966="Vergoeding"),SUM(O1966)*FLOOR(SUM(Q1966),0.0001),AND(O1966&lt;&gt;"",F1966&lt;&gt;"",RIGHT($N1966,6)="tarief"),SUM(O1966)*FLOOR(SUM(Q1966),0.01),S1966&gt;0,IF(F1966&lt;&gt;"",FLOOR(SUM(S1966),0.01),"")),""),""),"")</f>
        <v/>
      </c>
      <c r="X1966" s="314" t="str" cm="1">
        <f t="array" aca="1" ref="X1966" ca="1">IFERROR(IF(AE1966&lt;&gt;"ja",_xlfn.IFNA(_xlfn.IFS(AND(P1966&lt;&gt;"",R1966&lt;&gt;"",RIGHT($N1966,6)="tarief",F1966="Vergoeding"),SUM(P1966)*FLOOR(SUM(R1966),0.0001),AND(P1966&lt;&gt;"",R1966&lt;&gt;"",RIGHT($N1966,6)="tarief"),P1966*FLOOR(R1966,0.01),T1966&gt;0,FLOOR(SUM(T1966),0.01)),""),""),"")</f>
        <v/>
      </c>
      <c r="Y1966" s="314" t="str">
        <f t="shared" ca="1" si="122"/>
        <v/>
      </c>
      <c r="Z1966" s="314" t="str" cm="1">
        <f t="array" aca="1" ref="Z1966" ca="1">IFERROR(_xlfn.IFS(OR(F1966="",LEFT(Methode_Keuze,4)="Geen",Methode_Keuze=""),"",AND(W1966&lt;&gt;"",F1966&lt;&gt;"Arbeidskosten"),W1966*VLOOKUP(F1966,Tb_ProjectKosten[],MATCH(Tb_ProjectKosten[[#Headers],[Forfait_Percentage]],Tb_ProjectKosten[#Headers],0),0),AND(F1966="Arbeidskosten",G1966&lt;&gt;""),IFERROR(W1966*VLOOKUP(G1966,Tb_KostenTypen[],3,0)*VLOOKUP(F1966,Tb_ProjectKosten[],MATCH(Tb_ProjectKosten[[#Headers],[Forfait_Percentage]],Tb_ProjectKosten[#Headers],0),0),""),W1966 &lt;=0,0),"")</f>
        <v/>
      </c>
      <c r="AA1966" s="314" t="str" cm="1">
        <f t="array" aca="1" ref="AA1966" ca="1">IFERROR(_xlfn.IFS(OR(F1966="",LEFT(Methode_Keuze,4)="Geen",Methode_Keuze=""),"",AND(X1966&lt;&gt;"",F1966&lt;&gt;"Arbeidskosten"),X1966*VLOOKUP(F1966,Tb_ProjectKosten[],MATCH(Tb_ProjectKosten[[#Headers],[Forfait_Percentage]],Tb_ProjectKosten[#Headers],0),0),AND(F1966="Arbeidskosten",G1966&lt;&gt;""),IFERROR(X1966*VLOOKUP(G1966,Tb_KostenTypen[],3,0)*VLOOKUP(F1966,Tb_ProjectKosten[],MATCH(Tb_ProjectKosten[[#Headers],[Forfait_Percentage]],Tb_ProjectKosten[#Headers],0),0),""),X1966 &lt;=0,0),"")</f>
        <v/>
      </c>
      <c r="AB1966" s="314" t="str">
        <f t="shared" ca="1" si="123"/>
        <v/>
      </c>
      <c r="AC1966" s="322"/>
      <c r="AD1966" s="315"/>
      <c r="AE1966" s="32" t="str" cm="1">
        <f t="array" ref="AE1966">IFERROR(IF(INDEX(SubsidieTabel!$AD$1:$AG$12,MATCH($F1966,SubsidieTabel!$AD$1:$AD$12,0),IFERROR(MATCH(Methode_Keuze,SubsidieTabel!$AD$1:$AG$1,0),2))&lt;&gt;1=TRUE,"ja",""),"")</f>
        <v/>
      </c>
    </row>
    <row r="1967" spans="1:31" x14ac:dyDescent="0.25">
      <c r="A1967" s="316"/>
      <c r="B1967" s="317" t="str">
        <f>IF(A1967&lt;&gt;"",_xlfn.MAXIFS($B$1:B1966,$A$1:A1966,A1967)+1,"")</f>
        <v/>
      </c>
      <c r="C1967" s="296"/>
      <c r="D1967" s="296"/>
      <c r="E1967" s="296"/>
      <c r="F1967" s="296"/>
      <c r="G1967" s="326"/>
      <c r="H1967" s="324"/>
      <c r="I1967" s="325"/>
      <c r="J1967" s="325"/>
      <c r="K1967" s="318"/>
      <c r="L1967" s="318"/>
      <c r="M1967" s="319" t="str">
        <f>IFERROR(VLOOKUP(H1967,Lijsten!$H$1:$I$100,2,0),"")</f>
        <v/>
      </c>
      <c r="N1967" s="319" t="str">
        <f ca="1">IFERROR(IF(VLOOKUP(F1967,Kostentypen!$A$3:$E$21,3,0)=0,"",IF(OR(F1967="Arbeidskosten",F1967="Vergoeding"),VLOOKUP(G1967,Tb_KostenTypen[],2,0),VLOOKUP(F1967,Kostentypen!$A$3:$E$20,3,0))),"")</f>
        <v/>
      </c>
      <c r="O1967" s="320" t="str" cm="1">
        <f t="array" ref="O1967">_xlfn.IFNA(IF(INDEX(Tb_KostenOptiesDB[],MATCH($F1967,Tb_KostenOptiesDB[KostenOptie],0),IFERROR(MATCH(Methode_Keuze,Tb_KostenOptiesDB[#Headers],0),2))=1,_xlfn.SWITCH($N1967,"Uurtarief",IF(OR(AND(RIGHT($F1967,3)="IKS",VLOOKUP($M1967,DB_Loonkosten,2,0)="Ja"),AND(RIGHT($F1967,3)&lt;&gt;"IKS",VLOOKUP($M1967,DB_Loonkosten,2,0)="Nee")),IFERROR(VLOOKUP($M1967,DB_Loonkosten,24,0),""),0),"Vast tarief",IF(LEFT(F1967,8)="Bijdrage",VLOOKUP($F1967,Tb_KostenTypen[],MATCH(Lijsten!$P$1,Tb_KostenTypen[#Headers],0),0),VLOOKUP($G1967,Lijsten!L:P,MATCH(Lijsten!$P$1,Kop_Tarief_Vast,0),0))),""),"")</f>
        <v/>
      </c>
      <c r="P1967" s="320" t="str" cm="1">
        <f t="array" ref="P1967">_xlfn.IFNA(IF(INDEX(Tb_KostenOptiesDB[],MATCH($F1967,Tb_KostenOptiesDB[KostenOptie],0),IFERROR(MATCH(Methode_Keuze,Tb_KostenOptiesDB[#Headers],0),2))=1,_xlfn.SWITCH($N1967,"Uurtarief",IF(OR(AND(RIGHT($F1967,3)="IKS",VLOOKUP($M1967,DB_Loonkosten,2,0)="Ja"),AND(RIGHT($F1967,3)&lt;&gt;"IKS",VLOOKUP($M1967,DB_Loonkosten,2,0)="Nee")),IFERROR(VLOOKUP($M1967,DB_Loonkosten,25,0),""),0),"Vast tarief",IF(LEFT(F1967,8)="Bijdrage",VLOOKUP($F1967,Tb_KostenTypen[],MATCH(Lijsten!$P$1,Tb_KostenTypen[#Headers],0),0),VLOOKUP($G1967,Lijsten!L:P,MATCH(Lijsten!$P$1,Kop_Tarief_Vast,0),0))),""),"")</f>
        <v/>
      </c>
      <c r="Q1967" s="359"/>
      <c r="R1967" s="359"/>
      <c r="S1967" s="321"/>
      <c r="T1967" s="321"/>
      <c r="U1967" s="373" t="str">
        <f t="shared" si="120"/>
        <v/>
      </c>
      <c r="V1967" s="314" t="str">
        <f t="shared" si="121"/>
        <v/>
      </c>
      <c r="W1967" s="314" t="str" cm="1">
        <f t="array" aca="1" ref="W1967" ca="1">IFERROR(IF(AE1967&lt;&gt;"ja",_xlfn.IFNA(_xlfn.IFS(AND(O1967&lt;&gt;"",F1967&lt;&gt;"",RIGHT($N1967,6)="tarief",F1967="Vergoeding"),SUM(O1967)*FLOOR(SUM(Q1967),0.0001),AND(O1967&lt;&gt;"",F1967&lt;&gt;"",RIGHT($N1967,6)="tarief"),SUM(O1967)*FLOOR(SUM(Q1967),0.01),S1967&gt;0,IF(F1967&lt;&gt;"",FLOOR(SUM(S1967),0.01),"")),""),""),"")</f>
        <v/>
      </c>
      <c r="X1967" s="314" t="str" cm="1">
        <f t="array" aca="1" ref="X1967" ca="1">IFERROR(IF(AE1967&lt;&gt;"ja",_xlfn.IFNA(_xlfn.IFS(AND(P1967&lt;&gt;"",R1967&lt;&gt;"",RIGHT($N1967,6)="tarief",F1967="Vergoeding"),SUM(P1967)*FLOOR(SUM(R1967),0.0001),AND(P1967&lt;&gt;"",R1967&lt;&gt;"",RIGHT($N1967,6)="tarief"),P1967*FLOOR(R1967,0.01),T1967&gt;0,FLOOR(SUM(T1967),0.01)),""),""),"")</f>
        <v/>
      </c>
      <c r="Y1967" s="314" t="str">
        <f t="shared" ca="1" si="122"/>
        <v/>
      </c>
      <c r="Z1967" s="314" t="str" cm="1">
        <f t="array" aca="1" ref="Z1967" ca="1">IFERROR(_xlfn.IFS(OR(F1967="",LEFT(Methode_Keuze,4)="Geen",Methode_Keuze=""),"",AND(W1967&lt;&gt;"",F1967&lt;&gt;"Arbeidskosten"),W1967*VLOOKUP(F1967,Tb_ProjectKosten[],MATCH(Tb_ProjectKosten[[#Headers],[Forfait_Percentage]],Tb_ProjectKosten[#Headers],0),0),AND(F1967="Arbeidskosten",G1967&lt;&gt;""),IFERROR(W1967*VLOOKUP(G1967,Tb_KostenTypen[],3,0)*VLOOKUP(F1967,Tb_ProjectKosten[],MATCH(Tb_ProjectKosten[[#Headers],[Forfait_Percentage]],Tb_ProjectKosten[#Headers],0),0),""),W1967 &lt;=0,0),"")</f>
        <v/>
      </c>
      <c r="AA1967" s="314" t="str" cm="1">
        <f t="array" aca="1" ref="AA1967" ca="1">IFERROR(_xlfn.IFS(OR(F1967="",LEFT(Methode_Keuze,4)="Geen",Methode_Keuze=""),"",AND(X1967&lt;&gt;"",F1967&lt;&gt;"Arbeidskosten"),X1967*VLOOKUP(F1967,Tb_ProjectKosten[],MATCH(Tb_ProjectKosten[[#Headers],[Forfait_Percentage]],Tb_ProjectKosten[#Headers],0),0),AND(F1967="Arbeidskosten",G1967&lt;&gt;""),IFERROR(X1967*VLOOKUP(G1967,Tb_KostenTypen[],3,0)*VLOOKUP(F1967,Tb_ProjectKosten[],MATCH(Tb_ProjectKosten[[#Headers],[Forfait_Percentage]],Tb_ProjectKosten[#Headers],0),0),""),X1967 &lt;=0,0),"")</f>
        <v/>
      </c>
      <c r="AB1967" s="314" t="str">
        <f t="shared" ca="1" si="123"/>
        <v/>
      </c>
      <c r="AC1967" s="322"/>
      <c r="AD1967" s="315"/>
      <c r="AE1967" s="32" t="str" cm="1">
        <f t="array" ref="AE1967">IFERROR(IF(INDEX(SubsidieTabel!$AD$1:$AG$12,MATCH($F1967,SubsidieTabel!$AD$1:$AD$12,0),IFERROR(MATCH(Methode_Keuze,SubsidieTabel!$AD$1:$AG$1,0),2))&lt;&gt;1=TRUE,"ja",""),"")</f>
        <v/>
      </c>
    </row>
    <row r="1968" spans="1:31" x14ac:dyDescent="0.25">
      <c r="A1968" s="316"/>
      <c r="B1968" s="317" t="str">
        <f>IF(A1968&lt;&gt;"",_xlfn.MAXIFS($B$1:B1967,$A$1:A1967,A1968)+1,"")</f>
        <v/>
      </c>
      <c r="C1968" s="296"/>
      <c r="D1968" s="296"/>
      <c r="E1968" s="296"/>
      <c r="F1968" s="296"/>
      <c r="G1968" s="326"/>
      <c r="H1968" s="324"/>
      <c r="I1968" s="325"/>
      <c r="J1968" s="325"/>
      <c r="K1968" s="318"/>
      <c r="L1968" s="318"/>
      <c r="M1968" s="319" t="str">
        <f>IFERROR(VLOOKUP(H1968,Lijsten!$H$1:$I$100,2,0),"")</f>
        <v/>
      </c>
      <c r="N1968" s="319" t="str">
        <f ca="1">IFERROR(IF(VLOOKUP(F1968,Kostentypen!$A$3:$E$21,3,0)=0,"",IF(OR(F1968="Arbeidskosten",F1968="Vergoeding"),VLOOKUP(G1968,Tb_KostenTypen[],2,0),VLOOKUP(F1968,Kostentypen!$A$3:$E$20,3,0))),"")</f>
        <v/>
      </c>
      <c r="O1968" s="320" t="str" cm="1">
        <f t="array" ref="O1968">_xlfn.IFNA(IF(INDEX(Tb_KostenOptiesDB[],MATCH($F1968,Tb_KostenOptiesDB[KostenOptie],0),IFERROR(MATCH(Methode_Keuze,Tb_KostenOptiesDB[#Headers],0),2))=1,_xlfn.SWITCH($N1968,"Uurtarief",IF(OR(AND(RIGHT($F1968,3)="IKS",VLOOKUP($M1968,DB_Loonkosten,2,0)="Ja"),AND(RIGHT($F1968,3)&lt;&gt;"IKS",VLOOKUP($M1968,DB_Loonkosten,2,0)="Nee")),IFERROR(VLOOKUP($M1968,DB_Loonkosten,24,0),""),0),"Vast tarief",IF(LEFT(F1968,8)="Bijdrage",VLOOKUP($F1968,Tb_KostenTypen[],MATCH(Lijsten!$P$1,Tb_KostenTypen[#Headers],0),0),VLOOKUP($G1968,Lijsten!L:P,MATCH(Lijsten!$P$1,Kop_Tarief_Vast,0),0))),""),"")</f>
        <v/>
      </c>
      <c r="P1968" s="320" t="str" cm="1">
        <f t="array" ref="P1968">_xlfn.IFNA(IF(INDEX(Tb_KostenOptiesDB[],MATCH($F1968,Tb_KostenOptiesDB[KostenOptie],0),IFERROR(MATCH(Methode_Keuze,Tb_KostenOptiesDB[#Headers],0),2))=1,_xlfn.SWITCH($N1968,"Uurtarief",IF(OR(AND(RIGHT($F1968,3)="IKS",VLOOKUP($M1968,DB_Loonkosten,2,0)="Ja"),AND(RIGHT($F1968,3)&lt;&gt;"IKS",VLOOKUP($M1968,DB_Loonkosten,2,0)="Nee")),IFERROR(VLOOKUP($M1968,DB_Loonkosten,25,0),""),0),"Vast tarief",IF(LEFT(F1968,8)="Bijdrage",VLOOKUP($F1968,Tb_KostenTypen[],MATCH(Lijsten!$P$1,Tb_KostenTypen[#Headers],0),0),VLOOKUP($G1968,Lijsten!L:P,MATCH(Lijsten!$P$1,Kop_Tarief_Vast,0),0))),""),"")</f>
        <v/>
      </c>
      <c r="Q1968" s="359"/>
      <c r="R1968" s="359"/>
      <c r="S1968" s="321"/>
      <c r="T1968" s="321"/>
      <c r="U1968" s="373" t="str">
        <f t="shared" si="120"/>
        <v/>
      </c>
      <c r="V1968" s="314" t="str">
        <f t="shared" si="121"/>
        <v/>
      </c>
      <c r="W1968" s="314" t="str" cm="1">
        <f t="array" aca="1" ref="W1968" ca="1">IFERROR(IF(AE1968&lt;&gt;"ja",_xlfn.IFNA(_xlfn.IFS(AND(O1968&lt;&gt;"",F1968&lt;&gt;"",RIGHT($N1968,6)="tarief",F1968="Vergoeding"),SUM(O1968)*FLOOR(SUM(Q1968),0.0001),AND(O1968&lt;&gt;"",F1968&lt;&gt;"",RIGHT($N1968,6)="tarief"),SUM(O1968)*FLOOR(SUM(Q1968),0.01),S1968&gt;0,IF(F1968&lt;&gt;"",FLOOR(SUM(S1968),0.01),"")),""),""),"")</f>
        <v/>
      </c>
      <c r="X1968" s="314" t="str" cm="1">
        <f t="array" aca="1" ref="X1968" ca="1">IFERROR(IF(AE1968&lt;&gt;"ja",_xlfn.IFNA(_xlfn.IFS(AND(P1968&lt;&gt;"",R1968&lt;&gt;"",RIGHT($N1968,6)="tarief",F1968="Vergoeding"),SUM(P1968)*FLOOR(SUM(R1968),0.0001),AND(P1968&lt;&gt;"",R1968&lt;&gt;"",RIGHT($N1968,6)="tarief"),P1968*FLOOR(R1968,0.01),T1968&gt;0,FLOOR(SUM(T1968),0.01)),""),""),"")</f>
        <v/>
      </c>
      <c r="Y1968" s="314" t="str">
        <f t="shared" ca="1" si="122"/>
        <v/>
      </c>
      <c r="Z1968" s="314" t="str" cm="1">
        <f t="array" aca="1" ref="Z1968" ca="1">IFERROR(_xlfn.IFS(OR(F1968="",LEFT(Methode_Keuze,4)="Geen",Methode_Keuze=""),"",AND(W1968&lt;&gt;"",F1968&lt;&gt;"Arbeidskosten"),W1968*VLOOKUP(F1968,Tb_ProjectKosten[],MATCH(Tb_ProjectKosten[[#Headers],[Forfait_Percentage]],Tb_ProjectKosten[#Headers],0),0),AND(F1968="Arbeidskosten",G1968&lt;&gt;""),IFERROR(W1968*VLOOKUP(G1968,Tb_KostenTypen[],3,0)*VLOOKUP(F1968,Tb_ProjectKosten[],MATCH(Tb_ProjectKosten[[#Headers],[Forfait_Percentage]],Tb_ProjectKosten[#Headers],0),0),""),W1968 &lt;=0,0),"")</f>
        <v/>
      </c>
      <c r="AA1968" s="314" t="str" cm="1">
        <f t="array" aca="1" ref="AA1968" ca="1">IFERROR(_xlfn.IFS(OR(F1968="",LEFT(Methode_Keuze,4)="Geen",Methode_Keuze=""),"",AND(X1968&lt;&gt;"",F1968&lt;&gt;"Arbeidskosten"),X1968*VLOOKUP(F1968,Tb_ProjectKosten[],MATCH(Tb_ProjectKosten[[#Headers],[Forfait_Percentage]],Tb_ProjectKosten[#Headers],0),0),AND(F1968="Arbeidskosten",G1968&lt;&gt;""),IFERROR(X1968*VLOOKUP(G1968,Tb_KostenTypen[],3,0)*VLOOKUP(F1968,Tb_ProjectKosten[],MATCH(Tb_ProjectKosten[[#Headers],[Forfait_Percentage]],Tb_ProjectKosten[#Headers],0),0),""),X1968 &lt;=0,0),"")</f>
        <v/>
      </c>
      <c r="AB1968" s="314" t="str">
        <f t="shared" ca="1" si="123"/>
        <v/>
      </c>
      <c r="AC1968" s="322"/>
      <c r="AD1968" s="315"/>
      <c r="AE1968" s="32" t="str" cm="1">
        <f t="array" ref="AE1968">IFERROR(IF(INDEX(SubsidieTabel!$AD$1:$AG$12,MATCH($F1968,SubsidieTabel!$AD$1:$AD$12,0),IFERROR(MATCH(Methode_Keuze,SubsidieTabel!$AD$1:$AG$1,0),2))&lt;&gt;1=TRUE,"ja",""),"")</f>
        <v/>
      </c>
    </row>
    <row r="1969" spans="1:31" x14ac:dyDescent="0.25">
      <c r="A1969" s="316"/>
      <c r="B1969" s="317" t="str">
        <f>IF(A1969&lt;&gt;"",_xlfn.MAXIFS($B$1:B1968,$A$1:A1968,A1969)+1,"")</f>
        <v/>
      </c>
      <c r="C1969" s="296"/>
      <c r="D1969" s="296"/>
      <c r="E1969" s="296"/>
      <c r="F1969" s="296"/>
      <c r="G1969" s="326"/>
      <c r="H1969" s="324"/>
      <c r="I1969" s="325"/>
      <c r="J1969" s="325"/>
      <c r="K1969" s="318"/>
      <c r="L1969" s="318"/>
      <c r="M1969" s="319" t="str">
        <f>IFERROR(VLOOKUP(H1969,Lijsten!$H$1:$I$100,2,0),"")</f>
        <v/>
      </c>
      <c r="N1969" s="319" t="str">
        <f ca="1">IFERROR(IF(VLOOKUP(F1969,Kostentypen!$A$3:$E$21,3,0)=0,"",IF(OR(F1969="Arbeidskosten",F1969="Vergoeding"),VLOOKUP(G1969,Tb_KostenTypen[],2,0),VLOOKUP(F1969,Kostentypen!$A$3:$E$20,3,0))),"")</f>
        <v/>
      </c>
      <c r="O1969" s="320" t="str" cm="1">
        <f t="array" ref="O1969">_xlfn.IFNA(IF(INDEX(Tb_KostenOptiesDB[],MATCH($F1969,Tb_KostenOptiesDB[KostenOptie],0),IFERROR(MATCH(Methode_Keuze,Tb_KostenOptiesDB[#Headers],0),2))=1,_xlfn.SWITCH($N1969,"Uurtarief",IF(OR(AND(RIGHT($F1969,3)="IKS",VLOOKUP($M1969,DB_Loonkosten,2,0)="Ja"),AND(RIGHT($F1969,3)&lt;&gt;"IKS",VLOOKUP($M1969,DB_Loonkosten,2,0)="Nee")),IFERROR(VLOOKUP($M1969,DB_Loonkosten,24,0),""),0),"Vast tarief",IF(LEFT(F1969,8)="Bijdrage",VLOOKUP($F1969,Tb_KostenTypen[],MATCH(Lijsten!$P$1,Tb_KostenTypen[#Headers],0),0),VLOOKUP($G1969,Lijsten!L:P,MATCH(Lijsten!$P$1,Kop_Tarief_Vast,0),0))),""),"")</f>
        <v/>
      </c>
      <c r="P1969" s="320" t="str" cm="1">
        <f t="array" ref="P1969">_xlfn.IFNA(IF(INDEX(Tb_KostenOptiesDB[],MATCH($F1969,Tb_KostenOptiesDB[KostenOptie],0),IFERROR(MATCH(Methode_Keuze,Tb_KostenOptiesDB[#Headers],0),2))=1,_xlfn.SWITCH($N1969,"Uurtarief",IF(OR(AND(RIGHT($F1969,3)="IKS",VLOOKUP($M1969,DB_Loonkosten,2,0)="Ja"),AND(RIGHT($F1969,3)&lt;&gt;"IKS",VLOOKUP($M1969,DB_Loonkosten,2,0)="Nee")),IFERROR(VLOOKUP($M1969,DB_Loonkosten,25,0),""),0),"Vast tarief",IF(LEFT(F1969,8)="Bijdrage",VLOOKUP($F1969,Tb_KostenTypen[],MATCH(Lijsten!$P$1,Tb_KostenTypen[#Headers],0),0),VLOOKUP($G1969,Lijsten!L:P,MATCH(Lijsten!$P$1,Kop_Tarief_Vast,0),0))),""),"")</f>
        <v/>
      </c>
      <c r="Q1969" s="359"/>
      <c r="R1969" s="359"/>
      <c r="S1969" s="321"/>
      <c r="T1969" s="321"/>
      <c r="U1969" s="373" t="str">
        <f t="shared" si="120"/>
        <v/>
      </c>
      <c r="V1969" s="314" t="str">
        <f t="shared" si="121"/>
        <v/>
      </c>
      <c r="W1969" s="314" t="str" cm="1">
        <f t="array" aca="1" ref="W1969" ca="1">IFERROR(IF(AE1969&lt;&gt;"ja",_xlfn.IFNA(_xlfn.IFS(AND(O1969&lt;&gt;"",F1969&lt;&gt;"",RIGHT($N1969,6)="tarief",F1969="Vergoeding"),SUM(O1969)*FLOOR(SUM(Q1969),0.0001),AND(O1969&lt;&gt;"",F1969&lt;&gt;"",RIGHT($N1969,6)="tarief"),SUM(O1969)*FLOOR(SUM(Q1969),0.01),S1969&gt;0,IF(F1969&lt;&gt;"",FLOOR(SUM(S1969),0.01),"")),""),""),"")</f>
        <v/>
      </c>
      <c r="X1969" s="314" t="str" cm="1">
        <f t="array" aca="1" ref="X1969" ca="1">IFERROR(IF(AE1969&lt;&gt;"ja",_xlfn.IFNA(_xlfn.IFS(AND(P1969&lt;&gt;"",R1969&lt;&gt;"",RIGHT($N1969,6)="tarief",F1969="Vergoeding"),SUM(P1969)*FLOOR(SUM(R1969),0.0001),AND(P1969&lt;&gt;"",R1969&lt;&gt;"",RIGHT($N1969,6)="tarief"),P1969*FLOOR(R1969,0.01),T1969&gt;0,FLOOR(SUM(T1969),0.01)),""),""),"")</f>
        <v/>
      </c>
      <c r="Y1969" s="314" t="str">
        <f t="shared" ca="1" si="122"/>
        <v/>
      </c>
      <c r="Z1969" s="314" t="str" cm="1">
        <f t="array" aca="1" ref="Z1969" ca="1">IFERROR(_xlfn.IFS(OR(F1969="",LEFT(Methode_Keuze,4)="Geen",Methode_Keuze=""),"",AND(W1969&lt;&gt;"",F1969&lt;&gt;"Arbeidskosten"),W1969*VLOOKUP(F1969,Tb_ProjectKosten[],MATCH(Tb_ProjectKosten[[#Headers],[Forfait_Percentage]],Tb_ProjectKosten[#Headers],0),0),AND(F1969="Arbeidskosten",G1969&lt;&gt;""),IFERROR(W1969*VLOOKUP(G1969,Tb_KostenTypen[],3,0)*VLOOKUP(F1969,Tb_ProjectKosten[],MATCH(Tb_ProjectKosten[[#Headers],[Forfait_Percentage]],Tb_ProjectKosten[#Headers],0),0),""),W1969 &lt;=0,0),"")</f>
        <v/>
      </c>
      <c r="AA1969" s="314" t="str" cm="1">
        <f t="array" aca="1" ref="AA1969" ca="1">IFERROR(_xlfn.IFS(OR(F1969="",LEFT(Methode_Keuze,4)="Geen",Methode_Keuze=""),"",AND(X1969&lt;&gt;"",F1969&lt;&gt;"Arbeidskosten"),X1969*VLOOKUP(F1969,Tb_ProjectKosten[],MATCH(Tb_ProjectKosten[[#Headers],[Forfait_Percentage]],Tb_ProjectKosten[#Headers],0),0),AND(F1969="Arbeidskosten",G1969&lt;&gt;""),IFERROR(X1969*VLOOKUP(G1969,Tb_KostenTypen[],3,0)*VLOOKUP(F1969,Tb_ProjectKosten[],MATCH(Tb_ProjectKosten[[#Headers],[Forfait_Percentage]],Tb_ProjectKosten[#Headers],0),0),""),X1969 &lt;=0,0),"")</f>
        <v/>
      </c>
      <c r="AB1969" s="314" t="str">
        <f t="shared" ca="1" si="123"/>
        <v/>
      </c>
      <c r="AC1969" s="322"/>
      <c r="AD1969" s="315"/>
      <c r="AE1969" s="32" t="str" cm="1">
        <f t="array" ref="AE1969">IFERROR(IF(INDEX(SubsidieTabel!$AD$1:$AG$12,MATCH($F1969,SubsidieTabel!$AD$1:$AD$12,0),IFERROR(MATCH(Methode_Keuze,SubsidieTabel!$AD$1:$AG$1,0),2))&lt;&gt;1=TRUE,"ja",""),"")</f>
        <v/>
      </c>
    </row>
    <row r="1970" spans="1:31" x14ac:dyDescent="0.25">
      <c r="A1970" s="316"/>
      <c r="B1970" s="317" t="str">
        <f>IF(A1970&lt;&gt;"",_xlfn.MAXIFS($B$1:B1969,$A$1:A1969,A1970)+1,"")</f>
        <v/>
      </c>
      <c r="C1970" s="296"/>
      <c r="D1970" s="296"/>
      <c r="E1970" s="296"/>
      <c r="F1970" s="296"/>
      <c r="G1970" s="326"/>
      <c r="H1970" s="324"/>
      <c r="I1970" s="325"/>
      <c r="J1970" s="325"/>
      <c r="K1970" s="318"/>
      <c r="L1970" s="318"/>
      <c r="M1970" s="319" t="str">
        <f>IFERROR(VLOOKUP(H1970,Lijsten!$H$1:$I$100,2,0),"")</f>
        <v/>
      </c>
      <c r="N1970" s="319" t="str">
        <f ca="1">IFERROR(IF(VLOOKUP(F1970,Kostentypen!$A$3:$E$21,3,0)=0,"",IF(OR(F1970="Arbeidskosten",F1970="Vergoeding"),VLOOKUP(G1970,Tb_KostenTypen[],2,0),VLOOKUP(F1970,Kostentypen!$A$3:$E$20,3,0))),"")</f>
        <v/>
      </c>
      <c r="O1970" s="320" t="str" cm="1">
        <f t="array" ref="O1970">_xlfn.IFNA(IF(INDEX(Tb_KostenOptiesDB[],MATCH($F1970,Tb_KostenOptiesDB[KostenOptie],0),IFERROR(MATCH(Methode_Keuze,Tb_KostenOptiesDB[#Headers],0),2))=1,_xlfn.SWITCH($N1970,"Uurtarief",IF(OR(AND(RIGHT($F1970,3)="IKS",VLOOKUP($M1970,DB_Loonkosten,2,0)="Ja"),AND(RIGHT($F1970,3)&lt;&gt;"IKS",VLOOKUP($M1970,DB_Loonkosten,2,0)="Nee")),IFERROR(VLOOKUP($M1970,DB_Loonkosten,24,0),""),0),"Vast tarief",IF(LEFT(F1970,8)="Bijdrage",VLOOKUP($F1970,Tb_KostenTypen[],MATCH(Lijsten!$P$1,Tb_KostenTypen[#Headers],0),0),VLOOKUP($G1970,Lijsten!L:P,MATCH(Lijsten!$P$1,Kop_Tarief_Vast,0),0))),""),"")</f>
        <v/>
      </c>
      <c r="P1970" s="320" t="str" cm="1">
        <f t="array" ref="P1970">_xlfn.IFNA(IF(INDEX(Tb_KostenOptiesDB[],MATCH($F1970,Tb_KostenOptiesDB[KostenOptie],0),IFERROR(MATCH(Methode_Keuze,Tb_KostenOptiesDB[#Headers],0),2))=1,_xlfn.SWITCH($N1970,"Uurtarief",IF(OR(AND(RIGHT($F1970,3)="IKS",VLOOKUP($M1970,DB_Loonkosten,2,0)="Ja"),AND(RIGHT($F1970,3)&lt;&gt;"IKS",VLOOKUP($M1970,DB_Loonkosten,2,0)="Nee")),IFERROR(VLOOKUP($M1970,DB_Loonkosten,25,0),""),0),"Vast tarief",IF(LEFT(F1970,8)="Bijdrage",VLOOKUP($F1970,Tb_KostenTypen[],MATCH(Lijsten!$P$1,Tb_KostenTypen[#Headers],0),0),VLOOKUP($G1970,Lijsten!L:P,MATCH(Lijsten!$P$1,Kop_Tarief_Vast,0),0))),""),"")</f>
        <v/>
      </c>
      <c r="Q1970" s="359"/>
      <c r="R1970" s="359"/>
      <c r="S1970" s="321"/>
      <c r="T1970" s="321"/>
      <c r="U1970" s="373" t="str">
        <f t="shared" si="120"/>
        <v/>
      </c>
      <c r="V1970" s="314" t="str">
        <f t="shared" si="121"/>
        <v/>
      </c>
      <c r="W1970" s="314" t="str" cm="1">
        <f t="array" aca="1" ref="W1970" ca="1">IFERROR(IF(AE1970&lt;&gt;"ja",_xlfn.IFNA(_xlfn.IFS(AND(O1970&lt;&gt;"",F1970&lt;&gt;"",RIGHT($N1970,6)="tarief",F1970="Vergoeding"),SUM(O1970)*FLOOR(SUM(Q1970),0.0001),AND(O1970&lt;&gt;"",F1970&lt;&gt;"",RIGHT($N1970,6)="tarief"),SUM(O1970)*FLOOR(SUM(Q1970),0.01),S1970&gt;0,IF(F1970&lt;&gt;"",FLOOR(SUM(S1970),0.01),"")),""),""),"")</f>
        <v/>
      </c>
      <c r="X1970" s="314" t="str" cm="1">
        <f t="array" aca="1" ref="X1970" ca="1">IFERROR(IF(AE1970&lt;&gt;"ja",_xlfn.IFNA(_xlfn.IFS(AND(P1970&lt;&gt;"",R1970&lt;&gt;"",RIGHT($N1970,6)="tarief",F1970="Vergoeding"),SUM(P1970)*FLOOR(SUM(R1970),0.0001),AND(P1970&lt;&gt;"",R1970&lt;&gt;"",RIGHT($N1970,6)="tarief"),P1970*FLOOR(R1970,0.01),T1970&gt;0,FLOOR(SUM(T1970),0.01)),""),""),"")</f>
        <v/>
      </c>
      <c r="Y1970" s="314" t="str">
        <f t="shared" ca="1" si="122"/>
        <v/>
      </c>
      <c r="Z1970" s="314" t="str" cm="1">
        <f t="array" aca="1" ref="Z1970" ca="1">IFERROR(_xlfn.IFS(OR(F1970="",LEFT(Methode_Keuze,4)="Geen",Methode_Keuze=""),"",AND(W1970&lt;&gt;"",F1970&lt;&gt;"Arbeidskosten"),W1970*VLOOKUP(F1970,Tb_ProjectKosten[],MATCH(Tb_ProjectKosten[[#Headers],[Forfait_Percentage]],Tb_ProjectKosten[#Headers],0),0),AND(F1970="Arbeidskosten",G1970&lt;&gt;""),IFERROR(W1970*VLOOKUP(G1970,Tb_KostenTypen[],3,0)*VLOOKUP(F1970,Tb_ProjectKosten[],MATCH(Tb_ProjectKosten[[#Headers],[Forfait_Percentage]],Tb_ProjectKosten[#Headers],0),0),""),W1970 &lt;=0,0),"")</f>
        <v/>
      </c>
      <c r="AA1970" s="314" t="str" cm="1">
        <f t="array" aca="1" ref="AA1970" ca="1">IFERROR(_xlfn.IFS(OR(F1970="",LEFT(Methode_Keuze,4)="Geen",Methode_Keuze=""),"",AND(X1970&lt;&gt;"",F1970&lt;&gt;"Arbeidskosten"),X1970*VLOOKUP(F1970,Tb_ProjectKosten[],MATCH(Tb_ProjectKosten[[#Headers],[Forfait_Percentage]],Tb_ProjectKosten[#Headers],0),0),AND(F1970="Arbeidskosten",G1970&lt;&gt;""),IFERROR(X1970*VLOOKUP(G1970,Tb_KostenTypen[],3,0)*VLOOKUP(F1970,Tb_ProjectKosten[],MATCH(Tb_ProjectKosten[[#Headers],[Forfait_Percentage]],Tb_ProjectKosten[#Headers],0),0),""),X1970 &lt;=0,0),"")</f>
        <v/>
      </c>
      <c r="AB1970" s="314" t="str">
        <f t="shared" ca="1" si="123"/>
        <v/>
      </c>
      <c r="AC1970" s="322"/>
      <c r="AD1970" s="315"/>
      <c r="AE1970" s="32" t="str" cm="1">
        <f t="array" ref="AE1970">IFERROR(IF(INDEX(SubsidieTabel!$AD$1:$AG$12,MATCH($F1970,SubsidieTabel!$AD$1:$AD$12,0),IFERROR(MATCH(Methode_Keuze,SubsidieTabel!$AD$1:$AG$1,0),2))&lt;&gt;1=TRUE,"ja",""),"")</f>
        <v/>
      </c>
    </row>
    <row r="1971" spans="1:31" x14ac:dyDescent="0.25">
      <c r="A1971" s="316"/>
      <c r="B1971" s="317" t="str">
        <f>IF(A1971&lt;&gt;"",_xlfn.MAXIFS($B$1:B1970,$A$1:A1970,A1971)+1,"")</f>
        <v/>
      </c>
      <c r="C1971" s="296"/>
      <c r="D1971" s="296"/>
      <c r="E1971" s="296"/>
      <c r="F1971" s="296"/>
      <c r="G1971" s="326"/>
      <c r="H1971" s="324"/>
      <c r="I1971" s="325"/>
      <c r="J1971" s="325"/>
      <c r="K1971" s="318"/>
      <c r="L1971" s="318"/>
      <c r="M1971" s="319" t="str">
        <f>IFERROR(VLOOKUP(H1971,Lijsten!$H$1:$I$100,2,0),"")</f>
        <v/>
      </c>
      <c r="N1971" s="319" t="str">
        <f ca="1">IFERROR(IF(VLOOKUP(F1971,Kostentypen!$A$3:$E$21,3,0)=0,"",IF(OR(F1971="Arbeidskosten",F1971="Vergoeding"),VLOOKUP(G1971,Tb_KostenTypen[],2,0),VLOOKUP(F1971,Kostentypen!$A$3:$E$20,3,0))),"")</f>
        <v/>
      </c>
      <c r="O1971" s="320" t="str" cm="1">
        <f t="array" ref="O1971">_xlfn.IFNA(IF(INDEX(Tb_KostenOptiesDB[],MATCH($F1971,Tb_KostenOptiesDB[KostenOptie],0),IFERROR(MATCH(Methode_Keuze,Tb_KostenOptiesDB[#Headers],0),2))=1,_xlfn.SWITCH($N1971,"Uurtarief",IF(OR(AND(RIGHT($F1971,3)="IKS",VLOOKUP($M1971,DB_Loonkosten,2,0)="Ja"),AND(RIGHT($F1971,3)&lt;&gt;"IKS",VLOOKUP($M1971,DB_Loonkosten,2,0)="Nee")),IFERROR(VLOOKUP($M1971,DB_Loonkosten,24,0),""),0),"Vast tarief",IF(LEFT(F1971,8)="Bijdrage",VLOOKUP($F1971,Tb_KostenTypen[],MATCH(Lijsten!$P$1,Tb_KostenTypen[#Headers],0),0),VLOOKUP($G1971,Lijsten!L:P,MATCH(Lijsten!$P$1,Kop_Tarief_Vast,0),0))),""),"")</f>
        <v/>
      </c>
      <c r="P1971" s="320" t="str" cm="1">
        <f t="array" ref="P1971">_xlfn.IFNA(IF(INDEX(Tb_KostenOptiesDB[],MATCH($F1971,Tb_KostenOptiesDB[KostenOptie],0),IFERROR(MATCH(Methode_Keuze,Tb_KostenOptiesDB[#Headers],0),2))=1,_xlfn.SWITCH($N1971,"Uurtarief",IF(OR(AND(RIGHT($F1971,3)="IKS",VLOOKUP($M1971,DB_Loonkosten,2,0)="Ja"),AND(RIGHT($F1971,3)&lt;&gt;"IKS",VLOOKUP($M1971,DB_Loonkosten,2,0)="Nee")),IFERROR(VLOOKUP($M1971,DB_Loonkosten,25,0),""),0),"Vast tarief",IF(LEFT(F1971,8)="Bijdrage",VLOOKUP($F1971,Tb_KostenTypen[],MATCH(Lijsten!$P$1,Tb_KostenTypen[#Headers],0),0),VLOOKUP($G1971,Lijsten!L:P,MATCH(Lijsten!$P$1,Kop_Tarief_Vast,0),0))),""),"")</f>
        <v/>
      </c>
      <c r="Q1971" s="359"/>
      <c r="R1971" s="359"/>
      <c r="S1971" s="321"/>
      <c r="T1971" s="321"/>
      <c r="U1971" s="373" t="str">
        <f t="shared" si="120"/>
        <v/>
      </c>
      <c r="V1971" s="314" t="str">
        <f t="shared" si="121"/>
        <v/>
      </c>
      <c r="W1971" s="314" t="str" cm="1">
        <f t="array" aca="1" ref="W1971" ca="1">IFERROR(IF(AE1971&lt;&gt;"ja",_xlfn.IFNA(_xlfn.IFS(AND(O1971&lt;&gt;"",F1971&lt;&gt;"",RIGHT($N1971,6)="tarief",F1971="Vergoeding"),SUM(O1971)*FLOOR(SUM(Q1971),0.0001),AND(O1971&lt;&gt;"",F1971&lt;&gt;"",RIGHT($N1971,6)="tarief"),SUM(O1971)*FLOOR(SUM(Q1971),0.01),S1971&gt;0,IF(F1971&lt;&gt;"",FLOOR(SUM(S1971),0.01),"")),""),""),"")</f>
        <v/>
      </c>
      <c r="X1971" s="314" t="str" cm="1">
        <f t="array" aca="1" ref="X1971" ca="1">IFERROR(IF(AE1971&lt;&gt;"ja",_xlfn.IFNA(_xlfn.IFS(AND(P1971&lt;&gt;"",R1971&lt;&gt;"",RIGHT($N1971,6)="tarief",F1971="Vergoeding"),SUM(P1971)*FLOOR(SUM(R1971),0.0001),AND(P1971&lt;&gt;"",R1971&lt;&gt;"",RIGHT($N1971,6)="tarief"),P1971*FLOOR(R1971,0.01),T1971&gt;0,FLOOR(SUM(T1971),0.01)),""),""),"")</f>
        <v/>
      </c>
      <c r="Y1971" s="314" t="str">
        <f t="shared" ca="1" si="122"/>
        <v/>
      </c>
      <c r="Z1971" s="314" t="str" cm="1">
        <f t="array" aca="1" ref="Z1971" ca="1">IFERROR(_xlfn.IFS(OR(F1971="",LEFT(Methode_Keuze,4)="Geen",Methode_Keuze=""),"",AND(W1971&lt;&gt;"",F1971&lt;&gt;"Arbeidskosten"),W1971*VLOOKUP(F1971,Tb_ProjectKosten[],MATCH(Tb_ProjectKosten[[#Headers],[Forfait_Percentage]],Tb_ProjectKosten[#Headers],0),0),AND(F1971="Arbeidskosten",G1971&lt;&gt;""),IFERROR(W1971*VLOOKUP(G1971,Tb_KostenTypen[],3,0)*VLOOKUP(F1971,Tb_ProjectKosten[],MATCH(Tb_ProjectKosten[[#Headers],[Forfait_Percentage]],Tb_ProjectKosten[#Headers],0),0),""),W1971 &lt;=0,0),"")</f>
        <v/>
      </c>
      <c r="AA1971" s="314" t="str" cm="1">
        <f t="array" aca="1" ref="AA1971" ca="1">IFERROR(_xlfn.IFS(OR(F1971="",LEFT(Methode_Keuze,4)="Geen",Methode_Keuze=""),"",AND(X1971&lt;&gt;"",F1971&lt;&gt;"Arbeidskosten"),X1971*VLOOKUP(F1971,Tb_ProjectKosten[],MATCH(Tb_ProjectKosten[[#Headers],[Forfait_Percentage]],Tb_ProjectKosten[#Headers],0),0),AND(F1971="Arbeidskosten",G1971&lt;&gt;""),IFERROR(X1971*VLOOKUP(G1971,Tb_KostenTypen[],3,0)*VLOOKUP(F1971,Tb_ProjectKosten[],MATCH(Tb_ProjectKosten[[#Headers],[Forfait_Percentage]],Tb_ProjectKosten[#Headers],0),0),""),X1971 &lt;=0,0),"")</f>
        <v/>
      </c>
      <c r="AB1971" s="314" t="str">
        <f t="shared" ca="1" si="123"/>
        <v/>
      </c>
      <c r="AC1971" s="322"/>
      <c r="AD1971" s="315"/>
      <c r="AE1971" s="32" t="str" cm="1">
        <f t="array" ref="AE1971">IFERROR(IF(INDEX(SubsidieTabel!$AD$1:$AG$12,MATCH($F1971,SubsidieTabel!$AD$1:$AD$12,0),IFERROR(MATCH(Methode_Keuze,SubsidieTabel!$AD$1:$AG$1,0),2))&lt;&gt;1=TRUE,"ja",""),"")</f>
        <v/>
      </c>
    </row>
    <row r="1972" spans="1:31" x14ac:dyDescent="0.25">
      <c r="A1972" s="316"/>
      <c r="B1972" s="317" t="str">
        <f>IF(A1972&lt;&gt;"",_xlfn.MAXIFS($B$1:B1971,$A$1:A1971,A1972)+1,"")</f>
        <v/>
      </c>
      <c r="C1972" s="296"/>
      <c r="D1972" s="296"/>
      <c r="E1972" s="296"/>
      <c r="F1972" s="296"/>
      <c r="G1972" s="326"/>
      <c r="H1972" s="324"/>
      <c r="I1972" s="325"/>
      <c r="J1972" s="325"/>
      <c r="K1972" s="318"/>
      <c r="L1972" s="318"/>
      <c r="M1972" s="319" t="str">
        <f>IFERROR(VLOOKUP(H1972,Lijsten!$H$1:$I$100,2,0),"")</f>
        <v/>
      </c>
      <c r="N1972" s="319" t="str">
        <f ca="1">IFERROR(IF(VLOOKUP(F1972,Kostentypen!$A$3:$E$21,3,0)=0,"",IF(OR(F1972="Arbeidskosten",F1972="Vergoeding"),VLOOKUP(G1972,Tb_KostenTypen[],2,0),VLOOKUP(F1972,Kostentypen!$A$3:$E$20,3,0))),"")</f>
        <v/>
      </c>
      <c r="O1972" s="320" t="str" cm="1">
        <f t="array" ref="O1972">_xlfn.IFNA(IF(INDEX(Tb_KostenOptiesDB[],MATCH($F1972,Tb_KostenOptiesDB[KostenOptie],0),IFERROR(MATCH(Methode_Keuze,Tb_KostenOptiesDB[#Headers],0),2))=1,_xlfn.SWITCH($N1972,"Uurtarief",IF(OR(AND(RIGHT($F1972,3)="IKS",VLOOKUP($M1972,DB_Loonkosten,2,0)="Ja"),AND(RIGHT($F1972,3)&lt;&gt;"IKS",VLOOKUP($M1972,DB_Loonkosten,2,0)="Nee")),IFERROR(VLOOKUP($M1972,DB_Loonkosten,24,0),""),0),"Vast tarief",IF(LEFT(F1972,8)="Bijdrage",VLOOKUP($F1972,Tb_KostenTypen[],MATCH(Lijsten!$P$1,Tb_KostenTypen[#Headers],0),0),VLOOKUP($G1972,Lijsten!L:P,MATCH(Lijsten!$P$1,Kop_Tarief_Vast,0),0))),""),"")</f>
        <v/>
      </c>
      <c r="P1972" s="320" t="str" cm="1">
        <f t="array" ref="P1972">_xlfn.IFNA(IF(INDEX(Tb_KostenOptiesDB[],MATCH($F1972,Tb_KostenOptiesDB[KostenOptie],0),IFERROR(MATCH(Methode_Keuze,Tb_KostenOptiesDB[#Headers],0),2))=1,_xlfn.SWITCH($N1972,"Uurtarief",IF(OR(AND(RIGHT($F1972,3)="IKS",VLOOKUP($M1972,DB_Loonkosten,2,0)="Ja"),AND(RIGHT($F1972,3)&lt;&gt;"IKS",VLOOKUP($M1972,DB_Loonkosten,2,0)="Nee")),IFERROR(VLOOKUP($M1972,DB_Loonkosten,25,0),""),0),"Vast tarief",IF(LEFT(F1972,8)="Bijdrage",VLOOKUP($F1972,Tb_KostenTypen[],MATCH(Lijsten!$P$1,Tb_KostenTypen[#Headers],0),0),VLOOKUP($G1972,Lijsten!L:P,MATCH(Lijsten!$P$1,Kop_Tarief_Vast,0),0))),""),"")</f>
        <v/>
      </c>
      <c r="Q1972" s="359"/>
      <c r="R1972" s="359"/>
      <c r="S1972" s="321"/>
      <c r="T1972" s="321"/>
      <c r="U1972" s="373" t="str">
        <f t="shared" si="120"/>
        <v/>
      </c>
      <c r="V1972" s="314" t="str">
        <f t="shared" si="121"/>
        <v/>
      </c>
      <c r="W1972" s="314" t="str" cm="1">
        <f t="array" aca="1" ref="W1972" ca="1">IFERROR(IF(AE1972&lt;&gt;"ja",_xlfn.IFNA(_xlfn.IFS(AND(O1972&lt;&gt;"",F1972&lt;&gt;"",RIGHT($N1972,6)="tarief",F1972="Vergoeding"),SUM(O1972)*FLOOR(SUM(Q1972),0.0001),AND(O1972&lt;&gt;"",F1972&lt;&gt;"",RIGHT($N1972,6)="tarief"),SUM(O1972)*FLOOR(SUM(Q1972),0.01),S1972&gt;0,IF(F1972&lt;&gt;"",FLOOR(SUM(S1972),0.01),"")),""),""),"")</f>
        <v/>
      </c>
      <c r="X1972" s="314" t="str" cm="1">
        <f t="array" aca="1" ref="X1972" ca="1">IFERROR(IF(AE1972&lt;&gt;"ja",_xlfn.IFNA(_xlfn.IFS(AND(P1972&lt;&gt;"",R1972&lt;&gt;"",RIGHT($N1972,6)="tarief",F1972="Vergoeding"),SUM(P1972)*FLOOR(SUM(R1972),0.0001),AND(P1972&lt;&gt;"",R1972&lt;&gt;"",RIGHT($N1972,6)="tarief"),P1972*FLOOR(R1972,0.01),T1972&gt;0,FLOOR(SUM(T1972),0.01)),""),""),"")</f>
        <v/>
      </c>
      <c r="Y1972" s="314" t="str">
        <f t="shared" ca="1" si="122"/>
        <v/>
      </c>
      <c r="Z1972" s="314" t="str" cm="1">
        <f t="array" aca="1" ref="Z1972" ca="1">IFERROR(_xlfn.IFS(OR(F1972="",LEFT(Methode_Keuze,4)="Geen",Methode_Keuze=""),"",AND(W1972&lt;&gt;"",F1972&lt;&gt;"Arbeidskosten"),W1972*VLOOKUP(F1972,Tb_ProjectKosten[],MATCH(Tb_ProjectKosten[[#Headers],[Forfait_Percentage]],Tb_ProjectKosten[#Headers],0),0),AND(F1972="Arbeidskosten",G1972&lt;&gt;""),IFERROR(W1972*VLOOKUP(G1972,Tb_KostenTypen[],3,0)*VLOOKUP(F1972,Tb_ProjectKosten[],MATCH(Tb_ProjectKosten[[#Headers],[Forfait_Percentage]],Tb_ProjectKosten[#Headers],0),0),""),W1972 &lt;=0,0),"")</f>
        <v/>
      </c>
      <c r="AA1972" s="314" t="str" cm="1">
        <f t="array" aca="1" ref="AA1972" ca="1">IFERROR(_xlfn.IFS(OR(F1972="",LEFT(Methode_Keuze,4)="Geen",Methode_Keuze=""),"",AND(X1972&lt;&gt;"",F1972&lt;&gt;"Arbeidskosten"),X1972*VLOOKUP(F1972,Tb_ProjectKosten[],MATCH(Tb_ProjectKosten[[#Headers],[Forfait_Percentage]],Tb_ProjectKosten[#Headers],0),0),AND(F1972="Arbeidskosten",G1972&lt;&gt;""),IFERROR(X1972*VLOOKUP(G1972,Tb_KostenTypen[],3,0)*VLOOKUP(F1972,Tb_ProjectKosten[],MATCH(Tb_ProjectKosten[[#Headers],[Forfait_Percentage]],Tb_ProjectKosten[#Headers],0),0),""),X1972 &lt;=0,0),"")</f>
        <v/>
      </c>
      <c r="AB1972" s="314" t="str">
        <f t="shared" ca="1" si="123"/>
        <v/>
      </c>
      <c r="AC1972" s="322"/>
      <c r="AD1972" s="315"/>
      <c r="AE1972" s="32" t="str" cm="1">
        <f t="array" ref="AE1972">IFERROR(IF(INDEX(SubsidieTabel!$AD$1:$AG$12,MATCH($F1972,SubsidieTabel!$AD$1:$AD$12,0),IFERROR(MATCH(Methode_Keuze,SubsidieTabel!$AD$1:$AG$1,0),2))&lt;&gt;1=TRUE,"ja",""),"")</f>
        <v/>
      </c>
    </row>
    <row r="1973" spans="1:31" x14ac:dyDescent="0.25">
      <c r="A1973" s="316"/>
      <c r="B1973" s="317" t="str">
        <f>IF(A1973&lt;&gt;"",_xlfn.MAXIFS($B$1:B1972,$A$1:A1972,A1973)+1,"")</f>
        <v/>
      </c>
      <c r="C1973" s="296"/>
      <c r="D1973" s="296"/>
      <c r="E1973" s="296"/>
      <c r="F1973" s="296"/>
      <c r="G1973" s="326"/>
      <c r="H1973" s="324"/>
      <c r="I1973" s="325"/>
      <c r="J1973" s="325"/>
      <c r="K1973" s="318"/>
      <c r="L1973" s="318"/>
      <c r="M1973" s="319" t="str">
        <f>IFERROR(VLOOKUP(H1973,Lijsten!$H$1:$I$100,2,0),"")</f>
        <v/>
      </c>
      <c r="N1973" s="319" t="str">
        <f ca="1">IFERROR(IF(VLOOKUP(F1973,Kostentypen!$A$3:$E$21,3,0)=0,"",IF(OR(F1973="Arbeidskosten",F1973="Vergoeding"),VLOOKUP(G1973,Tb_KostenTypen[],2,0),VLOOKUP(F1973,Kostentypen!$A$3:$E$20,3,0))),"")</f>
        <v/>
      </c>
      <c r="O1973" s="320" t="str" cm="1">
        <f t="array" ref="O1973">_xlfn.IFNA(IF(INDEX(Tb_KostenOptiesDB[],MATCH($F1973,Tb_KostenOptiesDB[KostenOptie],0),IFERROR(MATCH(Methode_Keuze,Tb_KostenOptiesDB[#Headers],0),2))=1,_xlfn.SWITCH($N1973,"Uurtarief",IF(OR(AND(RIGHT($F1973,3)="IKS",VLOOKUP($M1973,DB_Loonkosten,2,0)="Ja"),AND(RIGHT($F1973,3)&lt;&gt;"IKS",VLOOKUP($M1973,DB_Loonkosten,2,0)="Nee")),IFERROR(VLOOKUP($M1973,DB_Loonkosten,24,0),""),0),"Vast tarief",IF(LEFT(F1973,8)="Bijdrage",VLOOKUP($F1973,Tb_KostenTypen[],MATCH(Lijsten!$P$1,Tb_KostenTypen[#Headers],0),0),VLOOKUP($G1973,Lijsten!L:P,MATCH(Lijsten!$P$1,Kop_Tarief_Vast,0),0))),""),"")</f>
        <v/>
      </c>
      <c r="P1973" s="320" t="str" cm="1">
        <f t="array" ref="P1973">_xlfn.IFNA(IF(INDEX(Tb_KostenOptiesDB[],MATCH($F1973,Tb_KostenOptiesDB[KostenOptie],0),IFERROR(MATCH(Methode_Keuze,Tb_KostenOptiesDB[#Headers],0),2))=1,_xlfn.SWITCH($N1973,"Uurtarief",IF(OR(AND(RIGHT($F1973,3)="IKS",VLOOKUP($M1973,DB_Loonkosten,2,0)="Ja"),AND(RIGHT($F1973,3)&lt;&gt;"IKS",VLOOKUP($M1973,DB_Loonkosten,2,0)="Nee")),IFERROR(VLOOKUP($M1973,DB_Loonkosten,25,0),""),0),"Vast tarief",IF(LEFT(F1973,8)="Bijdrage",VLOOKUP($F1973,Tb_KostenTypen[],MATCH(Lijsten!$P$1,Tb_KostenTypen[#Headers],0),0),VLOOKUP($G1973,Lijsten!L:P,MATCH(Lijsten!$P$1,Kop_Tarief_Vast,0),0))),""),"")</f>
        <v/>
      </c>
      <c r="Q1973" s="359"/>
      <c r="R1973" s="359"/>
      <c r="S1973" s="321"/>
      <c r="T1973" s="321"/>
      <c r="U1973" s="373" t="str">
        <f t="shared" si="120"/>
        <v/>
      </c>
      <c r="V1973" s="314" t="str">
        <f t="shared" si="121"/>
        <v/>
      </c>
      <c r="W1973" s="314" t="str" cm="1">
        <f t="array" aca="1" ref="W1973" ca="1">IFERROR(IF(AE1973&lt;&gt;"ja",_xlfn.IFNA(_xlfn.IFS(AND(O1973&lt;&gt;"",F1973&lt;&gt;"",RIGHT($N1973,6)="tarief",F1973="Vergoeding"),SUM(O1973)*FLOOR(SUM(Q1973),0.0001),AND(O1973&lt;&gt;"",F1973&lt;&gt;"",RIGHT($N1973,6)="tarief"),SUM(O1973)*FLOOR(SUM(Q1973),0.01),S1973&gt;0,IF(F1973&lt;&gt;"",FLOOR(SUM(S1973),0.01),"")),""),""),"")</f>
        <v/>
      </c>
      <c r="X1973" s="314" t="str" cm="1">
        <f t="array" aca="1" ref="X1973" ca="1">IFERROR(IF(AE1973&lt;&gt;"ja",_xlfn.IFNA(_xlfn.IFS(AND(P1973&lt;&gt;"",R1973&lt;&gt;"",RIGHT($N1973,6)="tarief",F1973="Vergoeding"),SUM(P1973)*FLOOR(SUM(R1973),0.0001),AND(P1973&lt;&gt;"",R1973&lt;&gt;"",RIGHT($N1973,6)="tarief"),P1973*FLOOR(R1973,0.01),T1973&gt;0,FLOOR(SUM(T1973),0.01)),""),""),"")</f>
        <v/>
      </c>
      <c r="Y1973" s="314" t="str">
        <f t="shared" ca="1" si="122"/>
        <v/>
      </c>
      <c r="Z1973" s="314" t="str" cm="1">
        <f t="array" aca="1" ref="Z1973" ca="1">IFERROR(_xlfn.IFS(OR(F1973="",LEFT(Methode_Keuze,4)="Geen",Methode_Keuze=""),"",AND(W1973&lt;&gt;"",F1973&lt;&gt;"Arbeidskosten"),W1973*VLOOKUP(F1973,Tb_ProjectKosten[],MATCH(Tb_ProjectKosten[[#Headers],[Forfait_Percentage]],Tb_ProjectKosten[#Headers],0),0),AND(F1973="Arbeidskosten",G1973&lt;&gt;""),IFERROR(W1973*VLOOKUP(G1973,Tb_KostenTypen[],3,0)*VLOOKUP(F1973,Tb_ProjectKosten[],MATCH(Tb_ProjectKosten[[#Headers],[Forfait_Percentage]],Tb_ProjectKosten[#Headers],0),0),""),W1973 &lt;=0,0),"")</f>
        <v/>
      </c>
      <c r="AA1973" s="314" t="str" cm="1">
        <f t="array" aca="1" ref="AA1973" ca="1">IFERROR(_xlfn.IFS(OR(F1973="",LEFT(Methode_Keuze,4)="Geen",Methode_Keuze=""),"",AND(X1973&lt;&gt;"",F1973&lt;&gt;"Arbeidskosten"),X1973*VLOOKUP(F1973,Tb_ProjectKosten[],MATCH(Tb_ProjectKosten[[#Headers],[Forfait_Percentage]],Tb_ProjectKosten[#Headers],0),0),AND(F1973="Arbeidskosten",G1973&lt;&gt;""),IFERROR(X1973*VLOOKUP(G1973,Tb_KostenTypen[],3,0)*VLOOKUP(F1973,Tb_ProjectKosten[],MATCH(Tb_ProjectKosten[[#Headers],[Forfait_Percentage]],Tb_ProjectKosten[#Headers],0),0),""),X1973 &lt;=0,0),"")</f>
        <v/>
      </c>
      <c r="AB1973" s="314" t="str">
        <f t="shared" ca="1" si="123"/>
        <v/>
      </c>
      <c r="AC1973" s="322"/>
      <c r="AD1973" s="315"/>
      <c r="AE1973" s="32" t="str" cm="1">
        <f t="array" ref="AE1973">IFERROR(IF(INDEX(SubsidieTabel!$AD$1:$AG$12,MATCH($F1973,SubsidieTabel!$AD$1:$AD$12,0),IFERROR(MATCH(Methode_Keuze,SubsidieTabel!$AD$1:$AG$1,0),2))&lt;&gt;1=TRUE,"ja",""),"")</f>
        <v/>
      </c>
    </row>
    <row r="1974" spans="1:31" x14ac:dyDescent="0.25">
      <c r="A1974" s="316"/>
      <c r="B1974" s="317" t="str">
        <f>IF(A1974&lt;&gt;"",_xlfn.MAXIFS($B$1:B1973,$A$1:A1973,A1974)+1,"")</f>
        <v/>
      </c>
      <c r="C1974" s="296"/>
      <c r="D1974" s="296"/>
      <c r="E1974" s="296"/>
      <c r="F1974" s="296"/>
      <c r="G1974" s="326"/>
      <c r="H1974" s="324"/>
      <c r="I1974" s="325"/>
      <c r="J1974" s="325"/>
      <c r="K1974" s="318"/>
      <c r="L1974" s="318"/>
      <c r="M1974" s="319" t="str">
        <f>IFERROR(VLOOKUP(H1974,Lijsten!$H$1:$I$100,2,0),"")</f>
        <v/>
      </c>
      <c r="N1974" s="319" t="str">
        <f ca="1">IFERROR(IF(VLOOKUP(F1974,Kostentypen!$A$3:$E$21,3,0)=0,"",IF(OR(F1974="Arbeidskosten",F1974="Vergoeding"),VLOOKUP(G1974,Tb_KostenTypen[],2,0),VLOOKUP(F1974,Kostentypen!$A$3:$E$20,3,0))),"")</f>
        <v/>
      </c>
      <c r="O1974" s="320" t="str" cm="1">
        <f t="array" ref="O1974">_xlfn.IFNA(IF(INDEX(Tb_KostenOptiesDB[],MATCH($F1974,Tb_KostenOptiesDB[KostenOptie],0),IFERROR(MATCH(Methode_Keuze,Tb_KostenOptiesDB[#Headers],0),2))=1,_xlfn.SWITCH($N1974,"Uurtarief",IF(OR(AND(RIGHT($F1974,3)="IKS",VLOOKUP($M1974,DB_Loonkosten,2,0)="Ja"),AND(RIGHT($F1974,3)&lt;&gt;"IKS",VLOOKUP($M1974,DB_Loonkosten,2,0)="Nee")),IFERROR(VLOOKUP($M1974,DB_Loonkosten,24,0),""),0),"Vast tarief",IF(LEFT(F1974,8)="Bijdrage",VLOOKUP($F1974,Tb_KostenTypen[],MATCH(Lijsten!$P$1,Tb_KostenTypen[#Headers],0),0),VLOOKUP($G1974,Lijsten!L:P,MATCH(Lijsten!$P$1,Kop_Tarief_Vast,0),0))),""),"")</f>
        <v/>
      </c>
      <c r="P1974" s="320" t="str" cm="1">
        <f t="array" ref="P1974">_xlfn.IFNA(IF(INDEX(Tb_KostenOptiesDB[],MATCH($F1974,Tb_KostenOptiesDB[KostenOptie],0),IFERROR(MATCH(Methode_Keuze,Tb_KostenOptiesDB[#Headers],0),2))=1,_xlfn.SWITCH($N1974,"Uurtarief",IF(OR(AND(RIGHT($F1974,3)="IKS",VLOOKUP($M1974,DB_Loonkosten,2,0)="Ja"),AND(RIGHT($F1974,3)&lt;&gt;"IKS",VLOOKUP($M1974,DB_Loonkosten,2,0)="Nee")),IFERROR(VLOOKUP($M1974,DB_Loonkosten,25,0),""),0),"Vast tarief",IF(LEFT(F1974,8)="Bijdrage",VLOOKUP($F1974,Tb_KostenTypen[],MATCH(Lijsten!$P$1,Tb_KostenTypen[#Headers],0),0),VLOOKUP($G1974,Lijsten!L:P,MATCH(Lijsten!$P$1,Kop_Tarief_Vast,0),0))),""),"")</f>
        <v/>
      </c>
      <c r="Q1974" s="359"/>
      <c r="R1974" s="359"/>
      <c r="S1974" s="321"/>
      <c r="T1974" s="321"/>
      <c r="U1974" s="373" t="str">
        <f t="shared" si="120"/>
        <v/>
      </c>
      <c r="V1974" s="314" t="str">
        <f t="shared" si="121"/>
        <v/>
      </c>
      <c r="W1974" s="314" t="str" cm="1">
        <f t="array" aca="1" ref="W1974" ca="1">IFERROR(IF(AE1974&lt;&gt;"ja",_xlfn.IFNA(_xlfn.IFS(AND(O1974&lt;&gt;"",F1974&lt;&gt;"",RIGHT($N1974,6)="tarief",F1974="Vergoeding"),SUM(O1974)*FLOOR(SUM(Q1974),0.0001),AND(O1974&lt;&gt;"",F1974&lt;&gt;"",RIGHT($N1974,6)="tarief"),SUM(O1974)*FLOOR(SUM(Q1974),0.01),S1974&gt;0,IF(F1974&lt;&gt;"",FLOOR(SUM(S1974),0.01),"")),""),""),"")</f>
        <v/>
      </c>
      <c r="X1974" s="314" t="str" cm="1">
        <f t="array" aca="1" ref="X1974" ca="1">IFERROR(IF(AE1974&lt;&gt;"ja",_xlfn.IFNA(_xlfn.IFS(AND(P1974&lt;&gt;"",R1974&lt;&gt;"",RIGHT($N1974,6)="tarief",F1974="Vergoeding"),SUM(P1974)*FLOOR(SUM(R1974),0.0001),AND(P1974&lt;&gt;"",R1974&lt;&gt;"",RIGHT($N1974,6)="tarief"),P1974*FLOOR(R1974,0.01),T1974&gt;0,FLOOR(SUM(T1974),0.01)),""),""),"")</f>
        <v/>
      </c>
      <c r="Y1974" s="314" t="str">
        <f t="shared" ca="1" si="122"/>
        <v/>
      </c>
      <c r="Z1974" s="314" t="str" cm="1">
        <f t="array" aca="1" ref="Z1974" ca="1">IFERROR(_xlfn.IFS(OR(F1974="",LEFT(Methode_Keuze,4)="Geen",Methode_Keuze=""),"",AND(W1974&lt;&gt;"",F1974&lt;&gt;"Arbeidskosten"),W1974*VLOOKUP(F1974,Tb_ProjectKosten[],MATCH(Tb_ProjectKosten[[#Headers],[Forfait_Percentage]],Tb_ProjectKosten[#Headers],0),0),AND(F1974="Arbeidskosten",G1974&lt;&gt;""),IFERROR(W1974*VLOOKUP(G1974,Tb_KostenTypen[],3,0)*VLOOKUP(F1974,Tb_ProjectKosten[],MATCH(Tb_ProjectKosten[[#Headers],[Forfait_Percentage]],Tb_ProjectKosten[#Headers],0),0),""),W1974 &lt;=0,0),"")</f>
        <v/>
      </c>
      <c r="AA1974" s="314" t="str" cm="1">
        <f t="array" aca="1" ref="AA1974" ca="1">IFERROR(_xlfn.IFS(OR(F1974="",LEFT(Methode_Keuze,4)="Geen",Methode_Keuze=""),"",AND(X1974&lt;&gt;"",F1974&lt;&gt;"Arbeidskosten"),X1974*VLOOKUP(F1974,Tb_ProjectKosten[],MATCH(Tb_ProjectKosten[[#Headers],[Forfait_Percentage]],Tb_ProjectKosten[#Headers],0),0),AND(F1974="Arbeidskosten",G1974&lt;&gt;""),IFERROR(X1974*VLOOKUP(G1974,Tb_KostenTypen[],3,0)*VLOOKUP(F1974,Tb_ProjectKosten[],MATCH(Tb_ProjectKosten[[#Headers],[Forfait_Percentage]],Tb_ProjectKosten[#Headers],0),0),""),X1974 &lt;=0,0),"")</f>
        <v/>
      </c>
      <c r="AB1974" s="314" t="str">
        <f t="shared" ca="1" si="123"/>
        <v/>
      </c>
      <c r="AC1974" s="322"/>
      <c r="AD1974" s="315"/>
      <c r="AE1974" s="32" t="str" cm="1">
        <f t="array" ref="AE1974">IFERROR(IF(INDEX(SubsidieTabel!$AD$1:$AG$12,MATCH($F1974,SubsidieTabel!$AD$1:$AD$12,0),IFERROR(MATCH(Methode_Keuze,SubsidieTabel!$AD$1:$AG$1,0),2))&lt;&gt;1=TRUE,"ja",""),"")</f>
        <v/>
      </c>
    </row>
    <row r="1975" spans="1:31" x14ac:dyDescent="0.25">
      <c r="A1975" s="316"/>
      <c r="B1975" s="317" t="str">
        <f>IF(A1975&lt;&gt;"",_xlfn.MAXIFS($B$1:B1974,$A$1:A1974,A1975)+1,"")</f>
        <v/>
      </c>
      <c r="C1975" s="296"/>
      <c r="D1975" s="296"/>
      <c r="E1975" s="296"/>
      <c r="F1975" s="296"/>
      <c r="G1975" s="326"/>
      <c r="H1975" s="324"/>
      <c r="I1975" s="325"/>
      <c r="J1975" s="325"/>
      <c r="K1975" s="318"/>
      <c r="L1975" s="318"/>
      <c r="M1975" s="319" t="str">
        <f>IFERROR(VLOOKUP(H1975,Lijsten!$H$1:$I$100,2,0),"")</f>
        <v/>
      </c>
      <c r="N1975" s="319" t="str">
        <f ca="1">IFERROR(IF(VLOOKUP(F1975,Kostentypen!$A$3:$E$21,3,0)=0,"",IF(OR(F1975="Arbeidskosten",F1975="Vergoeding"),VLOOKUP(G1975,Tb_KostenTypen[],2,0),VLOOKUP(F1975,Kostentypen!$A$3:$E$20,3,0))),"")</f>
        <v/>
      </c>
      <c r="O1975" s="320" t="str" cm="1">
        <f t="array" ref="O1975">_xlfn.IFNA(IF(INDEX(Tb_KostenOptiesDB[],MATCH($F1975,Tb_KostenOptiesDB[KostenOptie],0),IFERROR(MATCH(Methode_Keuze,Tb_KostenOptiesDB[#Headers],0),2))=1,_xlfn.SWITCH($N1975,"Uurtarief",IF(OR(AND(RIGHT($F1975,3)="IKS",VLOOKUP($M1975,DB_Loonkosten,2,0)="Ja"),AND(RIGHT($F1975,3)&lt;&gt;"IKS",VLOOKUP($M1975,DB_Loonkosten,2,0)="Nee")),IFERROR(VLOOKUP($M1975,DB_Loonkosten,24,0),""),0),"Vast tarief",IF(LEFT(F1975,8)="Bijdrage",VLOOKUP($F1975,Tb_KostenTypen[],MATCH(Lijsten!$P$1,Tb_KostenTypen[#Headers],0),0),VLOOKUP($G1975,Lijsten!L:P,MATCH(Lijsten!$P$1,Kop_Tarief_Vast,0),0))),""),"")</f>
        <v/>
      </c>
      <c r="P1975" s="320" t="str" cm="1">
        <f t="array" ref="P1975">_xlfn.IFNA(IF(INDEX(Tb_KostenOptiesDB[],MATCH($F1975,Tb_KostenOptiesDB[KostenOptie],0),IFERROR(MATCH(Methode_Keuze,Tb_KostenOptiesDB[#Headers],0),2))=1,_xlfn.SWITCH($N1975,"Uurtarief",IF(OR(AND(RIGHT($F1975,3)="IKS",VLOOKUP($M1975,DB_Loonkosten,2,0)="Ja"),AND(RIGHT($F1975,3)&lt;&gt;"IKS",VLOOKUP($M1975,DB_Loonkosten,2,0)="Nee")),IFERROR(VLOOKUP($M1975,DB_Loonkosten,25,0),""),0),"Vast tarief",IF(LEFT(F1975,8)="Bijdrage",VLOOKUP($F1975,Tb_KostenTypen[],MATCH(Lijsten!$P$1,Tb_KostenTypen[#Headers],0),0),VLOOKUP($G1975,Lijsten!L:P,MATCH(Lijsten!$P$1,Kop_Tarief_Vast,0),0))),""),"")</f>
        <v/>
      </c>
      <c r="Q1975" s="359"/>
      <c r="R1975" s="359"/>
      <c r="S1975" s="321"/>
      <c r="T1975" s="321"/>
      <c r="U1975" s="373" t="str">
        <f t="shared" si="120"/>
        <v/>
      </c>
      <c r="V1975" s="314" t="str">
        <f t="shared" si="121"/>
        <v/>
      </c>
      <c r="W1975" s="314" t="str" cm="1">
        <f t="array" aca="1" ref="W1975" ca="1">IFERROR(IF(AE1975&lt;&gt;"ja",_xlfn.IFNA(_xlfn.IFS(AND(O1975&lt;&gt;"",F1975&lt;&gt;"",RIGHT($N1975,6)="tarief",F1975="Vergoeding"),SUM(O1975)*FLOOR(SUM(Q1975),0.0001),AND(O1975&lt;&gt;"",F1975&lt;&gt;"",RIGHT($N1975,6)="tarief"),SUM(O1975)*FLOOR(SUM(Q1975),0.01),S1975&gt;0,IF(F1975&lt;&gt;"",FLOOR(SUM(S1975),0.01),"")),""),""),"")</f>
        <v/>
      </c>
      <c r="X1975" s="314" t="str" cm="1">
        <f t="array" aca="1" ref="X1975" ca="1">IFERROR(IF(AE1975&lt;&gt;"ja",_xlfn.IFNA(_xlfn.IFS(AND(P1975&lt;&gt;"",R1975&lt;&gt;"",RIGHT($N1975,6)="tarief",F1975="Vergoeding"),SUM(P1975)*FLOOR(SUM(R1975),0.0001),AND(P1975&lt;&gt;"",R1975&lt;&gt;"",RIGHT($N1975,6)="tarief"),P1975*FLOOR(R1975,0.01),T1975&gt;0,FLOOR(SUM(T1975),0.01)),""),""),"")</f>
        <v/>
      </c>
      <c r="Y1975" s="314" t="str">
        <f t="shared" ca="1" si="122"/>
        <v/>
      </c>
      <c r="Z1975" s="314" t="str" cm="1">
        <f t="array" aca="1" ref="Z1975" ca="1">IFERROR(_xlfn.IFS(OR(F1975="",LEFT(Methode_Keuze,4)="Geen",Methode_Keuze=""),"",AND(W1975&lt;&gt;"",F1975&lt;&gt;"Arbeidskosten"),W1975*VLOOKUP(F1975,Tb_ProjectKosten[],MATCH(Tb_ProjectKosten[[#Headers],[Forfait_Percentage]],Tb_ProjectKosten[#Headers],0),0),AND(F1975="Arbeidskosten",G1975&lt;&gt;""),IFERROR(W1975*VLOOKUP(G1975,Tb_KostenTypen[],3,0)*VLOOKUP(F1975,Tb_ProjectKosten[],MATCH(Tb_ProjectKosten[[#Headers],[Forfait_Percentage]],Tb_ProjectKosten[#Headers],0),0),""),W1975 &lt;=0,0),"")</f>
        <v/>
      </c>
      <c r="AA1975" s="314" t="str" cm="1">
        <f t="array" aca="1" ref="AA1975" ca="1">IFERROR(_xlfn.IFS(OR(F1975="",LEFT(Methode_Keuze,4)="Geen",Methode_Keuze=""),"",AND(X1975&lt;&gt;"",F1975&lt;&gt;"Arbeidskosten"),X1975*VLOOKUP(F1975,Tb_ProjectKosten[],MATCH(Tb_ProjectKosten[[#Headers],[Forfait_Percentage]],Tb_ProjectKosten[#Headers],0),0),AND(F1975="Arbeidskosten",G1975&lt;&gt;""),IFERROR(X1975*VLOOKUP(G1975,Tb_KostenTypen[],3,0)*VLOOKUP(F1975,Tb_ProjectKosten[],MATCH(Tb_ProjectKosten[[#Headers],[Forfait_Percentage]],Tb_ProjectKosten[#Headers],0),0),""),X1975 &lt;=0,0),"")</f>
        <v/>
      </c>
      <c r="AB1975" s="314" t="str">
        <f t="shared" ca="1" si="123"/>
        <v/>
      </c>
      <c r="AC1975" s="322"/>
      <c r="AD1975" s="315"/>
      <c r="AE1975" s="32" t="str" cm="1">
        <f t="array" ref="AE1975">IFERROR(IF(INDEX(SubsidieTabel!$AD$1:$AG$12,MATCH($F1975,SubsidieTabel!$AD$1:$AD$12,0),IFERROR(MATCH(Methode_Keuze,SubsidieTabel!$AD$1:$AG$1,0),2))&lt;&gt;1=TRUE,"ja",""),"")</f>
        <v/>
      </c>
    </row>
    <row r="1976" spans="1:31" x14ac:dyDescent="0.25">
      <c r="A1976" s="316"/>
      <c r="B1976" s="317" t="str">
        <f>IF(A1976&lt;&gt;"",_xlfn.MAXIFS($B$1:B1975,$A$1:A1975,A1976)+1,"")</f>
        <v/>
      </c>
      <c r="C1976" s="296"/>
      <c r="D1976" s="296"/>
      <c r="E1976" s="296"/>
      <c r="F1976" s="296"/>
      <c r="G1976" s="326"/>
      <c r="H1976" s="324"/>
      <c r="I1976" s="325"/>
      <c r="J1976" s="325"/>
      <c r="K1976" s="318"/>
      <c r="L1976" s="318"/>
      <c r="M1976" s="319" t="str">
        <f>IFERROR(VLOOKUP(H1976,Lijsten!$H$1:$I$100,2,0),"")</f>
        <v/>
      </c>
      <c r="N1976" s="319" t="str">
        <f ca="1">IFERROR(IF(VLOOKUP(F1976,Kostentypen!$A$3:$E$21,3,0)=0,"",IF(OR(F1976="Arbeidskosten",F1976="Vergoeding"),VLOOKUP(G1976,Tb_KostenTypen[],2,0),VLOOKUP(F1976,Kostentypen!$A$3:$E$20,3,0))),"")</f>
        <v/>
      </c>
      <c r="O1976" s="320" t="str" cm="1">
        <f t="array" ref="O1976">_xlfn.IFNA(IF(INDEX(Tb_KostenOptiesDB[],MATCH($F1976,Tb_KostenOptiesDB[KostenOptie],0),IFERROR(MATCH(Methode_Keuze,Tb_KostenOptiesDB[#Headers],0),2))=1,_xlfn.SWITCH($N1976,"Uurtarief",IF(OR(AND(RIGHT($F1976,3)="IKS",VLOOKUP($M1976,DB_Loonkosten,2,0)="Ja"),AND(RIGHT($F1976,3)&lt;&gt;"IKS",VLOOKUP($M1976,DB_Loonkosten,2,0)="Nee")),IFERROR(VLOOKUP($M1976,DB_Loonkosten,24,0),""),0),"Vast tarief",IF(LEFT(F1976,8)="Bijdrage",VLOOKUP($F1976,Tb_KostenTypen[],MATCH(Lijsten!$P$1,Tb_KostenTypen[#Headers],0),0),VLOOKUP($G1976,Lijsten!L:P,MATCH(Lijsten!$P$1,Kop_Tarief_Vast,0),0))),""),"")</f>
        <v/>
      </c>
      <c r="P1976" s="320" t="str" cm="1">
        <f t="array" ref="P1976">_xlfn.IFNA(IF(INDEX(Tb_KostenOptiesDB[],MATCH($F1976,Tb_KostenOptiesDB[KostenOptie],0),IFERROR(MATCH(Methode_Keuze,Tb_KostenOptiesDB[#Headers],0),2))=1,_xlfn.SWITCH($N1976,"Uurtarief",IF(OR(AND(RIGHT($F1976,3)="IKS",VLOOKUP($M1976,DB_Loonkosten,2,0)="Ja"),AND(RIGHT($F1976,3)&lt;&gt;"IKS",VLOOKUP($M1976,DB_Loonkosten,2,0)="Nee")),IFERROR(VLOOKUP($M1976,DB_Loonkosten,25,0),""),0),"Vast tarief",IF(LEFT(F1976,8)="Bijdrage",VLOOKUP($F1976,Tb_KostenTypen[],MATCH(Lijsten!$P$1,Tb_KostenTypen[#Headers],0),0),VLOOKUP($G1976,Lijsten!L:P,MATCH(Lijsten!$P$1,Kop_Tarief_Vast,0),0))),""),"")</f>
        <v/>
      </c>
      <c r="Q1976" s="359"/>
      <c r="R1976" s="359"/>
      <c r="S1976" s="321"/>
      <c r="T1976" s="321"/>
      <c r="U1976" s="373" t="str">
        <f t="shared" si="120"/>
        <v/>
      </c>
      <c r="V1976" s="314" t="str">
        <f t="shared" si="121"/>
        <v/>
      </c>
      <c r="W1976" s="314" t="str" cm="1">
        <f t="array" aca="1" ref="W1976" ca="1">IFERROR(IF(AE1976&lt;&gt;"ja",_xlfn.IFNA(_xlfn.IFS(AND(O1976&lt;&gt;"",F1976&lt;&gt;"",RIGHT($N1976,6)="tarief",F1976="Vergoeding"),SUM(O1976)*FLOOR(SUM(Q1976),0.0001),AND(O1976&lt;&gt;"",F1976&lt;&gt;"",RIGHT($N1976,6)="tarief"),SUM(O1976)*FLOOR(SUM(Q1976),0.01),S1976&gt;0,IF(F1976&lt;&gt;"",FLOOR(SUM(S1976),0.01),"")),""),""),"")</f>
        <v/>
      </c>
      <c r="X1976" s="314" t="str" cm="1">
        <f t="array" aca="1" ref="X1976" ca="1">IFERROR(IF(AE1976&lt;&gt;"ja",_xlfn.IFNA(_xlfn.IFS(AND(P1976&lt;&gt;"",R1976&lt;&gt;"",RIGHT($N1976,6)="tarief",F1976="Vergoeding"),SUM(P1976)*FLOOR(SUM(R1976),0.0001),AND(P1976&lt;&gt;"",R1976&lt;&gt;"",RIGHT($N1976,6)="tarief"),P1976*FLOOR(R1976,0.01),T1976&gt;0,FLOOR(SUM(T1976),0.01)),""),""),"")</f>
        <v/>
      </c>
      <c r="Y1976" s="314" t="str">
        <f t="shared" ca="1" si="122"/>
        <v/>
      </c>
      <c r="Z1976" s="314" t="str" cm="1">
        <f t="array" aca="1" ref="Z1976" ca="1">IFERROR(_xlfn.IFS(OR(F1976="",LEFT(Methode_Keuze,4)="Geen",Methode_Keuze=""),"",AND(W1976&lt;&gt;"",F1976&lt;&gt;"Arbeidskosten"),W1976*VLOOKUP(F1976,Tb_ProjectKosten[],MATCH(Tb_ProjectKosten[[#Headers],[Forfait_Percentage]],Tb_ProjectKosten[#Headers],0),0),AND(F1976="Arbeidskosten",G1976&lt;&gt;""),IFERROR(W1976*VLOOKUP(G1976,Tb_KostenTypen[],3,0)*VLOOKUP(F1976,Tb_ProjectKosten[],MATCH(Tb_ProjectKosten[[#Headers],[Forfait_Percentage]],Tb_ProjectKosten[#Headers],0),0),""),W1976 &lt;=0,0),"")</f>
        <v/>
      </c>
      <c r="AA1976" s="314" t="str" cm="1">
        <f t="array" aca="1" ref="AA1976" ca="1">IFERROR(_xlfn.IFS(OR(F1976="",LEFT(Methode_Keuze,4)="Geen",Methode_Keuze=""),"",AND(X1976&lt;&gt;"",F1976&lt;&gt;"Arbeidskosten"),X1976*VLOOKUP(F1976,Tb_ProjectKosten[],MATCH(Tb_ProjectKosten[[#Headers],[Forfait_Percentage]],Tb_ProjectKosten[#Headers],0),0),AND(F1976="Arbeidskosten",G1976&lt;&gt;""),IFERROR(X1976*VLOOKUP(G1976,Tb_KostenTypen[],3,0)*VLOOKUP(F1976,Tb_ProjectKosten[],MATCH(Tb_ProjectKosten[[#Headers],[Forfait_Percentage]],Tb_ProjectKosten[#Headers],0),0),""),X1976 &lt;=0,0),"")</f>
        <v/>
      </c>
      <c r="AB1976" s="314" t="str">
        <f t="shared" ca="1" si="123"/>
        <v/>
      </c>
      <c r="AC1976" s="322"/>
      <c r="AD1976" s="315"/>
      <c r="AE1976" s="32" t="str" cm="1">
        <f t="array" ref="AE1976">IFERROR(IF(INDEX(SubsidieTabel!$AD$1:$AG$12,MATCH($F1976,SubsidieTabel!$AD$1:$AD$12,0),IFERROR(MATCH(Methode_Keuze,SubsidieTabel!$AD$1:$AG$1,0),2))&lt;&gt;1=TRUE,"ja",""),"")</f>
        <v/>
      </c>
    </row>
    <row r="1977" spans="1:31" x14ac:dyDescent="0.25">
      <c r="A1977" s="316"/>
      <c r="B1977" s="317" t="str">
        <f>IF(A1977&lt;&gt;"",_xlfn.MAXIFS($B$1:B1976,$A$1:A1976,A1977)+1,"")</f>
        <v/>
      </c>
      <c r="C1977" s="296"/>
      <c r="D1977" s="296"/>
      <c r="E1977" s="296"/>
      <c r="F1977" s="296"/>
      <c r="G1977" s="326"/>
      <c r="H1977" s="324"/>
      <c r="I1977" s="325"/>
      <c r="J1977" s="325"/>
      <c r="K1977" s="318"/>
      <c r="L1977" s="318"/>
      <c r="M1977" s="319" t="str">
        <f>IFERROR(VLOOKUP(H1977,Lijsten!$H$1:$I$100,2,0),"")</f>
        <v/>
      </c>
      <c r="N1977" s="319" t="str">
        <f ca="1">IFERROR(IF(VLOOKUP(F1977,Kostentypen!$A$3:$E$21,3,0)=0,"",IF(OR(F1977="Arbeidskosten",F1977="Vergoeding"),VLOOKUP(G1977,Tb_KostenTypen[],2,0),VLOOKUP(F1977,Kostentypen!$A$3:$E$20,3,0))),"")</f>
        <v/>
      </c>
      <c r="O1977" s="320" t="str" cm="1">
        <f t="array" ref="O1977">_xlfn.IFNA(IF(INDEX(Tb_KostenOptiesDB[],MATCH($F1977,Tb_KostenOptiesDB[KostenOptie],0),IFERROR(MATCH(Methode_Keuze,Tb_KostenOptiesDB[#Headers],0),2))=1,_xlfn.SWITCH($N1977,"Uurtarief",IF(OR(AND(RIGHT($F1977,3)="IKS",VLOOKUP($M1977,DB_Loonkosten,2,0)="Ja"),AND(RIGHT($F1977,3)&lt;&gt;"IKS",VLOOKUP($M1977,DB_Loonkosten,2,0)="Nee")),IFERROR(VLOOKUP($M1977,DB_Loonkosten,24,0),""),0),"Vast tarief",IF(LEFT(F1977,8)="Bijdrage",VLOOKUP($F1977,Tb_KostenTypen[],MATCH(Lijsten!$P$1,Tb_KostenTypen[#Headers],0),0),VLOOKUP($G1977,Lijsten!L:P,MATCH(Lijsten!$P$1,Kop_Tarief_Vast,0),0))),""),"")</f>
        <v/>
      </c>
      <c r="P1977" s="320" t="str" cm="1">
        <f t="array" ref="P1977">_xlfn.IFNA(IF(INDEX(Tb_KostenOptiesDB[],MATCH($F1977,Tb_KostenOptiesDB[KostenOptie],0),IFERROR(MATCH(Methode_Keuze,Tb_KostenOptiesDB[#Headers],0),2))=1,_xlfn.SWITCH($N1977,"Uurtarief",IF(OR(AND(RIGHT($F1977,3)="IKS",VLOOKUP($M1977,DB_Loonkosten,2,0)="Ja"),AND(RIGHT($F1977,3)&lt;&gt;"IKS",VLOOKUP($M1977,DB_Loonkosten,2,0)="Nee")),IFERROR(VLOOKUP($M1977,DB_Loonkosten,25,0),""),0),"Vast tarief",IF(LEFT(F1977,8)="Bijdrage",VLOOKUP($F1977,Tb_KostenTypen[],MATCH(Lijsten!$P$1,Tb_KostenTypen[#Headers],0),0),VLOOKUP($G1977,Lijsten!L:P,MATCH(Lijsten!$P$1,Kop_Tarief_Vast,0),0))),""),"")</f>
        <v/>
      </c>
      <c r="Q1977" s="359"/>
      <c r="R1977" s="359"/>
      <c r="S1977" s="321"/>
      <c r="T1977" s="321"/>
      <c r="U1977" s="373" t="str">
        <f t="shared" si="120"/>
        <v/>
      </c>
      <c r="V1977" s="314" t="str">
        <f t="shared" si="121"/>
        <v/>
      </c>
      <c r="W1977" s="314" t="str" cm="1">
        <f t="array" aca="1" ref="W1977" ca="1">IFERROR(IF(AE1977&lt;&gt;"ja",_xlfn.IFNA(_xlfn.IFS(AND(O1977&lt;&gt;"",F1977&lt;&gt;"",RIGHT($N1977,6)="tarief",F1977="Vergoeding"),SUM(O1977)*FLOOR(SUM(Q1977),0.0001),AND(O1977&lt;&gt;"",F1977&lt;&gt;"",RIGHT($N1977,6)="tarief"),SUM(O1977)*FLOOR(SUM(Q1977),0.01),S1977&gt;0,IF(F1977&lt;&gt;"",FLOOR(SUM(S1977),0.01),"")),""),""),"")</f>
        <v/>
      </c>
      <c r="X1977" s="314" t="str" cm="1">
        <f t="array" aca="1" ref="X1977" ca="1">IFERROR(IF(AE1977&lt;&gt;"ja",_xlfn.IFNA(_xlfn.IFS(AND(P1977&lt;&gt;"",R1977&lt;&gt;"",RIGHT($N1977,6)="tarief",F1977="Vergoeding"),SUM(P1977)*FLOOR(SUM(R1977),0.0001),AND(P1977&lt;&gt;"",R1977&lt;&gt;"",RIGHT($N1977,6)="tarief"),P1977*FLOOR(R1977,0.01),T1977&gt;0,FLOOR(SUM(T1977),0.01)),""),""),"")</f>
        <v/>
      </c>
      <c r="Y1977" s="314" t="str">
        <f t="shared" ca="1" si="122"/>
        <v/>
      </c>
      <c r="Z1977" s="314" t="str" cm="1">
        <f t="array" aca="1" ref="Z1977" ca="1">IFERROR(_xlfn.IFS(OR(F1977="",LEFT(Methode_Keuze,4)="Geen",Methode_Keuze=""),"",AND(W1977&lt;&gt;"",F1977&lt;&gt;"Arbeidskosten"),W1977*VLOOKUP(F1977,Tb_ProjectKosten[],MATCH(Tb_ProjectKosten[[#Headers],[Forfait_Percentage]],Tb_ProjectKosten[#Headers],0),0),AND(F1977="Arbeidskosten",G1977&lt;&gt;""),IFERROR(W1977*VLOOKUP(G1977,Tb_KostenTypen[],3,0)*VLOOKUP(F1977,Tb_ProjectKosten[],MATCH(Tb_ProjectKosten[[#Headers],[Forfait_Percentage]],Tb_ProjectKosten[#Headers],0),0),""),W1977 &lt;=0,0),"")</f>
        <v/>
      </c>
      <c r="AA1977" s="314" t="str" cm="1">
        <f t="array" aca="1" ref="AA1977" ca="1">IFERROR(_xlfn.IFS(OR(F1977="",LEFT(Methode_Keuze,4)="Geen",Methode_Keuze=""),"",AND(X1977&lt;&gt;"",F1977&lt;&gt;"Arbeidskosten"),X1977*VLOOKUP(F1977,Tb_ProjectKosten[],MATCH(Tb_ProjectKosten[[#Headers],[Forfait_Percentage]],Tb_ProjectKosten[#Headers],0),0),AND(F1977="Arbeidskosten",G1977&lt;&gt;""),IFERROR(X1977*VLOOKUP(G1977,Tb_KostenTypen[],3,0)*VLOOKUP(F1977,Tb_ProjectKosten[],MATCH(Tb_ProjectKosten[[#Headers],[Forfait_Percentage]],Tb_ProjectKosten[#Headers],0),0),""),X1977 &lt;=0,0),"")</f>
        <v/>
      </c>
      <c r="AB1977" s="314" t="str">
        <f t="shared" ca="1" si="123"/>
        <v/>
      </c>
      <c r="AC1977" s="322"/>
      <c r="AD1977" s="315"/>
      <c r="AE1977" s="32" t="str" cm="1">
        <f t="array" ref="AE1977">IFERROR(IF(INDEX(SubsidieTabel!$AD$1:$AG$12,MATCH($F1977,SubsidieTabel!$AD$1:$AD$12,0),IFERROR(MATCH(Methode_Keuze,SubsidieTabel!$AD$1:$AG$1,0),2))&lt;&gt;1=TRUE,"ja",""),"")</f>
        <v/>
      </c>
    </row>
    <row r="1978" spans="1:31" x14ac:dyDescent="0.25">
      <c r="A1978" s="316"/>
      <c r="B1978" s="317" t="str">
        <f>IF(A1978&lt;&gt;"",_xlfn.MAXIFS($B$1:B1977,$A$1:A1977,A1978)+1,"")</f>
        <v/>
      </c>
      <c r="C1978" s="296"/>
      <c r="D1978" s="296"/>
      <c r="E1978" s="296"/>
      <c r="F1978" s="296"/>
      <c r="G1978" s="326"/>
      <c r="H1978" s="324"/>
      <c r="I1978" s="325"/>
      <c r="J1978" s="325"/>
      <c r="K1978" s="318"/>
      <c r="L1978" s="318"/>
      <c r="M1978" s="319" t="str">
        <f>IFERROR(VLOOKUP(H1978,Lijsten!$H$1:$I$100,2,0),"")</f>
        <v/>
      </c>
      <c r="N1978" s="319" t="str">
        <f ca="1">IFERROR(IF(VLOOKUP(F1978,Kostentypen!$A$3:$E$21,3,0)=0,"",IF(OR(F1978="Arbeidskosten",F1978="Vergoeding"),VLOOKUP(G1978,Tb_KostenTypen[],2,0),VLOOKUP(F1978,Kostentypen!$A$3:$E$20,3,0))),"")</f>
        <v/>
      </c>
      <c r="O1978" s="320" t="str" cm="1">
        <f t="array" ref="O1978">_xlfn.IFNA(IF(INDEX(Tb_KostenOptiesDB[],MATCH($F1978,Tb_KostenOptiesDB[KostenOptie],0),IFERROR(MATCH(Methode_Keuze,Tb_KostenOptiesDB[#Headers],0),2))=1,_xlfn.SWITCH($N1978,"Uurtarief",IF(OR(AND(RIGHT($F1978,3)="IKS",VLOOKUP($M1978,DB_Loonkosten,2,0)="Ja"),AND(RIGHT($F1978,3)&lt;&gt;"IKS",VLOOKUP($M1978,DB_Loonkosten,2,0)="Nee")),IFERROR(VLOOKUP($M1978,DB_Loonkosten,24,0),""),0),"Vast tarief",IF(LEFT(F1978,8)="Bijdrage",VLOOKUP($F1978,Tb_KostenTypen[],MATCH(Lijsten!$P$1,Tb_KostenTypen[#Headers],0),0),VLOOKUP($G1978,Lijsten!L:P,MATCH(Lijsten!$P$1,Kop_Tarief_Vast,0),0))),""),"")</f>
        <v/>
      </c>
      <c r="P1978" s="320" t="str" cm="1">
        <f t="array" ref="P1978">_xlfn.IFNA(IF(INDEX(Tb_KostenOptiesDB[],MATCH($F1978,Tb_KostenOptiesDB[KostenOptie],0),IFERROR(MATCH(Methode_Keuze,Tb_KostenOptiesDB[#Headers],0),2))=1,_xlfn.SWITCH($N1978,"Uurtarief",IF(OR(AND(RIGHT($F1978,3)="IKS",VLOOKUP($M1978,DB_Loonkosten,2,0)="Ja"),AND(RIGHT($F1978,3)&lt;&gt;"IKS",VLOOKUP($M1978,DB_Loonkosten,2,0)="Nee")),IFERROR(VLOOKUP($M1978,DB_Loonkosten,25,0),""),0),"Vast tarief",IF(LEFT(F1978,8)="Bijdrage",VLOOKUP($F1978,Tb_KostenTypen[],MATCH(Lijsten!$P$1,Tb_KostenTypen[#Headers],0),0),VLOOKUP($G1978,Lijsten!L:P,MATCH(Lijsten!$P$1,Kop_Tarief_Vast,0),0))),""),"")</f>
        <v/>
      </c>
      <c r="Q1978" s="359"/>
      <c r="R1978" s="359"/>
      <c r="S1978" s="321"/>
      <c r="T1978" s="321"/>
      <c r="U1978" s="373" t="str">
        <f t="shared" si="120"/>
        <v/>
      </c>
      <c r="V1978" s="314" t="str">
        <f t="shared" si="121"/>
        <v/>
      </c>
      <c r="W1978" s="314" t="str" cm="1">
        <f t="array" aca="1" ref="W1978" ca="1">IFERROR(IF(AE1978&lt;&gt;"ja",_xlfn.IFNA(_xlfn.IFS(AND(O1978&lt;&gt;"",F1978&lt;&gt;"",RIGHT($N1978,6)="tarief",F1978="Vergoeding"),SUM(O1978)*FLOOR(SUM(Q1978),0.0001),AND(O1978&lt;&gt;"",F1978&lt;&gt;"",RIGHT($N1978,6)="tarief"),SUM(O1978)*FLOOR(SUM(Q1978),0.01),S1978&gt;0,IF(F1978&lt;&gt;"",FLOOR(SUM(S1978),0.01),"")),""),""),"")</f>
        <v/>
      </c>
      <c r="X1978" s="314" t="str" cm="1">
        <f t="array" aca="1" ref="X1978" ca="1">IFERROR(IF(AE1978&lt;&gt;"ja",_xlfn.IFNA(_xlfn.IFS(AND(P1978&lt;&gt;"",R1978&lt;&gt;"",RIGHT($N1978,6)="tarief",F1978="Vergoeding"),SUM(P1978)*FLOOR(SUM(R1978),0.0001),AND(P1978&lt;&gt;"",R1978&lt;&gt;"",RIGHT($N1978,6)="tarief"),P1978*FLOOR(R1978,0.01),T1978&gt;0,FLOOR(SUM(T1978),0.01)),""),""),"")</f>
        <v/>
      </c>
      <c r="Y1978" s="314" t="str">
        <f t="shared" ca="1" si="122"/>
        <v/>
      </c>
      <c r="Z1978" s="314" t="str" cm="1">
        <f t="array" aca="1" ref="Z1978" ca="1">IFERROR(_xlfn.IFS(OR(F1978="",LEFT(Methode_Keuze,4)="Geen",Methode_Keuze=""),"",AND(W1978&lt;&gt;"",F1978&lt;&gt;"Arbeidskosten"),W1978*VLOOKUP(F1978,Tb_ProjectKosten[],MATCH(Tb_ProjectKosten[[#Headers],[Forfait_Percentage]],Tb_ProjectKosten[#Headers],0),0),AND(F1978="Arbeidskosten",G1978&lt;&gt;""),IFERROR(W1978*VLOOKUP(G1978,Tb_KostenTypen[],3,0)*VLOOKUP(F1978,Tb_ProjectKosten[],MATCH(Tb_ProjectKosten[[#Headers],[Forfait_Percentage]],Tb_ProjectKosten[#Headers],0),0),""),W1978 &lt;=0,0),"")</f>
        <v/>
      </c>
      <c r="AA1978" s="314" t="str" cm="1">
        <f t="array" aca="1" ref="AA1978" ca="1">IFERROR(_xlfn.IFS(OR(F1978="",LEFT(Methode_Keuze,4)="Geen",Methode_Keuze=""),"",AND(X1978&lt;&gt;"",F1978&lt;&gt;"Arbeidskosten"),X1978*VLOOKUP(F1978,Tb_ProjectKosten[],MATCH(Tb_ProjectKosten[[#Headers],[Forfait_Percentage]],Tb_ProjectKosten[#Headers],0),0),AND(F1978="Arbeidskosten",G1978&lt;&gt;""),IFERROR(X1978*VLOOKUP(G1978,Tb_KostenTypen[],3,0)*VLOOKUP(F1978,Tb_ProjectKosten[],MATCH(Tb_ProjectKosten[[#Headers],[Forfait_Percentage]],Tb_ProjectKosten[#Headers],0),0),""),X1978 &lt;=0,0),"")</f>
        <v/>
      </c>
      <c r="AB1978" s="314" t="str">
        <f t="shared" ca="1" si="123"/>
        <v/>
      </c>
      <c r="AC1978" s="322"/>
      <c r="AD1978" s="315"/>
      <c r="AE1978" s="32" t="str" cm="1">
        <f t="array" ref="AE1978">IFERROR(IF(INDEX(SubsidieTabel!$AD$1:$AG$12,MATCH($F1978,SubsidieTabel!$AD$1:$AD$12,0),IFERROR(MATCH(Methode_Keuze,SubsidieTabel!$AD$1:$AG$1,0),2))&lt;&gt;1=TRUE,"ja",""),"")</f>
        <v/>
      </c>
    </row>
    <row r="1979" spans="1:31" x14ac:dyDescent="0.25">
      <c r="A1979" s="316"/>
      <c r="B1979" s="317" t="str">
        <f>IF(A1979&lt;&gt;"",_xlfn.MAXIFS($B$1:B1978,$A$1:A1978,A1979)+1,"")</f>
        <v/>
      </c>
      <c r="C1979" s="296"/>
      <c r="D1979" s="296"/>
      <c r="E1979" s="296"/>
      <c r="F1979" s="296"/>
      <c r="G1979" s="326"/>
      <c r="H1979" s="324"/>
      <c r="I1979" s="325"/>
      <c r="J1979" s="325"/>
      <c r="K1979" s="318"/>
      <c r="L1979" s="318"/>
      <c r="M1979" s="319" t="str">
        <f>IFERROR(VLOOKUP(H1979,Lijsten!$H$1:$I$100,2,0),"")</f>
        <v/>
      </c>
      <c r="N1979" s="319" t="str">
        <f ca="1">IFERROR(IF(VLOOKUP(F1979,Kostentypen!$A$3:$E$21,3,0)=0,"",IF(OR(F1979="Arbeidskosten",F1979="Vergoeding"),VLOOKUP(G1979,Tb_KostenTypen[],2,0),VLOOKUP(F1979,Kostentypen!$A$3:$E$20,3,0))),"")</f>
        <v/>
      </c>
      <c r="O1979" s="320" t="str" cm="1">
        <f t="array" ref="O1979">_xlfn.IFNA(IF(INDEX(Tb_KostenOptiesDB[],MATCH($F1979,Tb_KostenOptiesDB[KostenOptie],0),IFERROR(MATCH(Methode_Keuze,Tb_KostenOptiesDB[#Headers],0),2))=1,_xlfn.SWITCH($N1979,"Uurtarief",IF(OR(AND(RIGHT($F1979,3)="IKS",VLOOKUP($M1979,DB_Loonkosten,2,0)="Ja"),AND(RIGHT($F1979,3)&lt;&gt;"IKS",VLOOKUP($M1979,DB_Loonkosten,2,0)="Nee")),IFERROR(VLOOKUP($M1979,DB_Loonkosten,24,0),""),0),"Vast tarief",IF(LEFT(F1979,8)="Bijdrage",VLOOKUP($F1979,Tb_KostenTypen[],MATCH(Lijsten!$P$1,Tb_KostenTypen[#Headers],0),0),VLOOKUP($G1979,Lijsten!L:P,MATCH(Lijsten!$P$1,Kop_Tarief_Vast,0),0))),""),"")</f>
        <v/>
      </c>
      <c r="P1979" s="320" t="str" cm="1">
        <f t="array" ref="P1979">_xlfn.IFNA(IF(INDEX(Tb_KostenOptiesDB[],MATCH($F1979,Tb_KostenOptiesDB[KostenOptie],0),IFERROR(MATCH(Methode_Keuze,Tb_KostenOptiesDB[#Headers],0),2))=1,_xlfn.SWITCH($N1979,"Uurtarief",IF(OR(AND(RIGHT($F1979,3)="IKS",VLOOKUP($M1979,DB_Loonkosten,2,0)="Ja"),AND(RIGHT($F1979,3)&lt;&gt;"IKS",VLOOKUP($M1979,DB_Loonkosten,2,0)="Nee")),IFERROR(VLOOKUP($M1979,DB_Loonkosten,25,0),""),0),"Vast tarief",IF(LEFT(F1979,8)="Bijdrage",VLOOKUP($F1979,Tb_KostenTypen[],MATCH(Lijsten!$P$1,Tb_KostenTypen[#Headers],0),0),VLOOKUP($G1979,Lijsten!L:P,MATCH(Lijsten!$P$1,Kop_Tarief_Vast,0),0))),""),"")</f>
        <v/>
      </c>
      <c r="Q1979" s="359"/>
      <c r="R1979" s="359"/>
      <c r="S1979" s="321"/>
      <c r="T1979" s="321"/>
      <c r="U1979" s="373" t="str">
        <f t="shared" si="120"/>
        <v/>
      </c>
      <c r="V1979" s="314" t="str">
        <f t="shared" si="121"/>
        <v/>
      </c>
      <c r="W1979" s="314" t="str" cm="1">
        <f t="array" aca="1" ref="W1979" ca="1">IFERROR(IF(AE1979&lt;&gt;"ja",_xlfn.IFNA(_xlfn.IFS(AND(O1979&lt;&gt;"",F1979&lt;&gt;"",RIGHT($N1979,6)="tarief",F1979="Vergoeding"),SUM(O1979)*FLOOR(SUM(Q1979),0.0001),AND(O1979&lt;&gt;"",F1979&lt;&gt;"",RIGHT($N1979,6)="tarief"),SUM(O1979)*FLOOR(SUM(Q1979),0.01),S1979&gt;0,IF(F1979&lt;&gt;"",FLOOR(SUM(S1979),0.01),"")),""),""),"")</f>
        <v/>
      </c>
      <c r="X1979" s="314" t="str" cm="1">
        <f t="array" aca="1" ref="X1979" ca="1">IFERROR(IF(AE1979&lt;&gt;"ja",_xlfn.IFNA(_xlfn.IFS(AND(P1979&lt;&gt;"",R1979&lt;&gt;"",RIGHT($N1979,6)="tarief",F1979="Vergoeding"),SUM(P1979)*FLOOR(SUM(R1979),0.0001),AND(P1979&lt;&gt;"",R1979&lt;&gt;"",RIGHT($N1979,6)="tarief"),P1979*FLOOR(R1979,0.01),T1979&gt;0,FLOOR(SUM(T1979),0.01)),""),""),"")</f>
        <v/>
      </c>
      <c r="Y1979" s="314" t="str">
        <f t="shared" ca="1" si="122"/>
        <v/>
      </c>
      <c r="Z1979" s="314" t="str" cm="1">
        <f t="array" aca="1" ref="Z1979" ca="1">IFERROR(_xlfn.IFS(OR(F1979="",LEFT(Methode_Keuze,4)="Geen",Methode_Keuze=""),"",AND(W1979&lt;&gt;"",F1979&lt;&gt;"Arbeidskosten"),W1979*VLOOKUP(F1979,Tb_ProjectKosten[],MATCH(Tb_ProjectKosten[[#Headers],[Forfait_Percentage]],Tb_ProjectKosten[#Headers],0),0),AND(F1979="Arbeidskosten",G1979&lt;&gt;""),IFERROR(W1979*VLOOKUP(G1979,Tb_KostenTypen[],3,0)*VLOOKUP(F1979,Tb_ProjectKosten[],MATCH(Tb_ProjectKosten[[#Headers],[Forfait_Percentage]],Tb_ProjectKosten[#Headers],0),0),""),W1979 &lt;=0,0),"")</f>
        <v/>
      </c>
      <c r="AA1979" s="314" t="str" cm="1">
        <f t="array" aca="1" ref="AA1979" ca="1">IFERROR(_xlfn.IFS(OR(F1979="",LEFT(Methode_Keuze,4)="Geen",Methode_Keuze=""),"",AND(X1979&lt;&gt;"",F1979&lt;&gt;"Arbeidskosten"),X1979*VLOOKUP(F1979,Tb_ProjectKosten[],MATCH(Tb_ProjectKosten[[#Headers],[Forfait_Percentage]],Tb_ProjectKosten[#Headers],0),0),AND(F1979="Arbeidskosten",G1979&lt;&gt;""),IFERROR(X1979*VLOOKUP(G1979,Tb_KostenTypen[],3,0)*VLOOKUP(F1979,Tb_ProjectKosten[],MATCH(Tb_ProjectKosten[[#Headers],[Forfait_Percentage]],Tb_ProjectKosten[#Headers],0),0),""),X1979 &lt;=0,0),"")</f>
        <v/>
      </c>
      <c r="AB1979" s="314" t="str">
        <f t="shared" ca="1" si="123"/>
        <v/>
      </c>
      <c r="AC1979" s="322"/>
      <c r="AD1979" s="315"/>
      <c r="AE1979" s="32" t="str" cm="1">
        <f t="array" ref="AE1979">IFERROR(IF(INDEX(SubsidieTabel!$AD$1:$AG$12,MATCH($F1979,SubsidieTabel!$AD$1:$AD$12,0),IFERROR(MATCH(Methode_Keuze,SubsidieTabel!$AD$1:$AG$1,0),2))&lt;&gt;1=TRUE,"ja",""),"")</f>
        <v/>
      </c>
    </row>
    <row r="1980" spans="1:31" x14ac:dyDescent="0.25">
      <c r="A1980" s="316"/>
      <c r="B1980" s="317" t="str">
        <f>IF(A1980&lt;&gt;"",_xlfn.MAXIFS($B$1:B1979,$A$1:A1979,A1980)+1,"")</f>
        <v/>
      </c>
      <c r="C1980" s="296"/>
      <c r="D1980" s="296"/>
      <c r="E1980" s="296"/>
      <c r="F1980" s="296"/>
      <c r="G1980" s="326"/>
      <c r="H1980" s="324"/>
      <c r="I1980" s="325"/>
      <c r="J1980" s="325"/>
      <c r="K1980" s="318"/>
      <c r="L1980" s="318"/>
      <c r="M1980" s="319" t="str">
        <f>IFERROR(VLOOKUP(H1980,Lijsten!$H$1:$I$100,2,0),"")</f>
        <v/>
      </c>
      <c r="N1980" s="319" t="str">
        <f ca="1">IFERROR(IF(VLOOKUP(F1980,Kostentypen!$A$3:$E$21,3,0)=0,"",IF(OR(F1980="Arbeidskosten",F1980="Vergoeding"),VLOOKUP(G1980,Tb_KostenTypen[],2,0),VLOOKUP(F1980,Kostentypen!$A$3:$E$20,3,0))),"")</f>
        <v/>
      </c>
      <c r="O1980" s="320" t="str" cm="1">
        <f t="array" ref="O1980">_xlfn.IFNA(IF(INDEX(Tb_KostenOptiesDB[],MATCH($F1980,Tb_KostenOptiesDB[KostenOptie],0),IFERROR(MATCH(Methode_Keuze,Tb_KostenOptiesDB[#Headers],0),2))=1,_xlfn.SWITCH($N1980,"Uurtarief",IF(OR(AND(RIGHT($F1980,3)="IKS",VLOOKUP($M1980,DB_Loonkosten,2,0)="Ja"),AND(RIGHT($F1980,3)&lt;&gt;"IKS",VLOOKUP($M1980,DB_Loonkosten,2,0)="Nee")),IFERROR(VLOOKUP($M1980,DB_Loonkosten,24,0),""),0),"Vast tarief",IF(LEFT(F1980,8)="Bijdrage",VLOOKUP($F1980,Tb_KostenTypen[],MATCH(Lijsten!$P$1,Tb_KostenTypen[#Headers],0),0),VLOOKUP($G1980,Lijsten!L:P,MATCH(Lijsten!$P$1,Kop_Tarief_Vast,0),0))),""),"")</f>
        <v/>
      </c>
      <c r="P1980" s="320" t="str" cm="1">
        <f t="array" ref="P1980">_xlfn.IFNA(IF(INDEX(Tb_KostenOptiesDB[],MATCH($F1980,Tb_KostenOptiesDB[KostenOptie],0),IFERROR(MATCH(Methode_Keuze,Tb_KostenOptiesDB[#Headers],0),2))=1,_xlfn.SWITCH($N1980,"Uurtarief",IF(OR(AND(RIGHT($F1980,3)="IKS",VLOOKUP($M1980,DB_Loonkosten,2,0)="Ja"),AND(RIGHT($F1980,3)&lt;&gt;"IKS",VLOOKUP($M1980,DB_Loonkosten,2,0)="Nee")),IFERROR(VLOOKUP($M1980,DB_Loonkosten,25,0),""),0),"Vast tarief",IF(LEFT(F1980,8)="Bijdrage",VLOOKUP($F1980,Tb_KostenTypen[],MATCH(Lijsten!$P$1,Tb_KostenTypen[#Headers],0),0),VLOOKUP($G1980,Lijsten!L:P,MATCH(Lijsten!$P$1,Kop_Tarief_Vast,0),0))),""),"")</f>
        <v/>
      </c>
      <c r="Q1980" s="359"/>
      <c r="R1980" s="359"/>
      <c r="S1980" s="321"/>
      <c r="T1980" s="321"/>
      <c r="U1980" s="373" t="str">
        <f t="shared" si="120"/>
        <v/>
      </c>
      <c r="V1980" s="314" t="str">
        <f t="shared" si="121"/>
        <v/>
      </c>
      <c r="W1980" s="314" t="str" cm="1">
        <f t="array" aca="1" ref="W1980" ca="1">IFERROR(IF(AE1980&lt;&gt;"ja",_xlfn.IFNA(_xlfn.IFS(AND(O1980&lt;&gt;"",F1980&lt;&gt;"",RIGHT($N1980,6)="tarief",F1980="Vergoeding"),SUM(O1980)*FLOOR(SUM(Q1980),0.0001),AND(O1980&lt;&gt;"",F1980&lt;&gt;"",RIGHT($N1980,6)="tarief"),SUM(O1980)*FLOOR(SUM(Q1980),0.01),S1980&gt;0,IF(F1980&lt;&gt;"",FLOOR(SUM(S1980),0.01),"")),""),""),"")</f>
        <v/>
      </c>
      <c r="X1980" s="314" t="str" cm="1">
        <f t="array" aca="1" ref="X1980" ca="1">IFERROR(IF(AE1980&lt;&gt;"ja",_xlfn.IFNA(_xlfn.IFS(AND(P1980&lt;&gt;"",R1980&lt;&gt;"",RIGHT($N1980,6)="tarief",F1980="Vergoeding"),SUM(P1980)*FLOOR(SUM(R1980),0.0001),AND(P1980&lt;&gt;"",R1980&lt;&gt;"",RIGHT($N1980,6)="tarief"),P1980*FLOOR(R1980,0.01),T1980&gt;0,FLOOR(SUM(T1980),0.01)),""),""),"")</f>
        <v/>
      </c>
      <c r="Y1980" s="314" t="str">
        <f t="shared" ca="1" si="122"/>
        <v/>
      </c>
      <c r="Z1980" s="314" t="str" cm="1">
        <f t="array" aca="1" ref="Z1980" ca="1">IFERROR(_xlfn.IFS(OR(F1980="",LEFT(Methode_Keuze,4)="Geen",Methode_Keuze=""),"",AND(W1980&lt;&gt;"",F1980&lt;&gt;"Arbeidskosten"),W1980*VLOOKUP(F1980,Tb_ProjectKosten[],MATCH(Tb_ProjectKosten[[#Headers],[Forfait_Percentage]],Tb_ProjectKosten[#Headers],0),0),AND(F1980="Arbeidskosten",G1980&lt;&gt;""),IFERROR(W1980*VLOOKUP(G1980,Tb_KostenTypen[],3,0)*VLOOKUP(F1980,Tb_ProjectKosten[],MATCH(Tb_ProjectKosten[[#Headers],[Forfait_Percentage]],Tb_ProjectKosten[#Headers],0),0),""),W1980 &lt;=0,0),"")</f>
        <v/>
      </c>
      <c r="AA1980" s="314" t="str" cm="1">
        <f t="array" aca="1" ref="AA1980" ca="1">IFERROR(_xlfn.IFS(OR(F1980="",LEFT(Methode_Keuze,4)="Geen",Methode_Keuze=""),"",AND(X1980&lt;&gt;"",F1980&lt;&gt;"Arbeidskosten"),X1980*VLOOKUP(F1980,Tb_ProjectKosten[],MATCH(Tb_ProjectKosten[[#Headers],[Forfait_Percentage]],Tb_ProjectKosten[#Headers],0),0),AND(F1980="Arbeidskosten",G1980&lt;&gt;""),IFERROR(X1980*VLOOKUP(G1980,Tb_KostenTypen[],3,0)*VLOOKUP(F1980,Tb_ProjectKosten[],MATCH(Tb_ProjectKosten[[#Headers],[Forfait_Percentage]],Tb_ProjectKosten[#Headers],0),0),""),X1980 &lt;=0,0),"")</f>
        <v/>
      </c>
      <c r="AB1980" s="314" t="str">
        <f t="shared" ca="1" si="123"/>
        <v/>
      </c>
      <c r="AC1980" s="322"/>
      <c r="AD1980" s="315"/>
      <c r="AE1980" s="32" t="str" cm="1">
        <f t="array" ref="AE1980">IFERROR(IF(INDEX(SubsidieTabel!$AD$1:$AG$12,MATCH($F1980,SubsidieTabel!$AD$1:$AD$12,0),IFERROR(MATCH(Methode_Keuze,SubsidieTabel!$AD$1:$AG$1,0),2))&lt;&gt;1=TRUE,"ja",""),"")</f>
        <v/>
      </c>
    </row>
    <row r="1981" spans="1:31" x14ac:dyDescent="0.25">
      <c r="A1981" s="316"/>
      <c r="B1981" s="317" t="str">
        <f>IF(A1981&lt;&gt;"",_xlfn.MAXIFS($B$1:B1980,$A$1:A1980,A1981)+1,"")</f>
        <v/>
      </c>
      <c r="C1981" s="296"/>
      <c r="D1981" s="296"/>
      <c r="E1981" s="296"/>
      <c r="F1981" s="296"/>
      <c r="G1981" s="326"/>
      <c r="H1981" s="324"/>
      <c r="I1981" s="325"/>
      <c r="J1981" s="325"/>
      <c r="K1981" s="318"/>
      <c r="L1981" s="318"/>
      <c r="M1981" s="319" t="str">
        <f>IFERROR(VLOOKUP(H1981,Lijsten!$H$1:$I$100,2,0),"")</f>
        <v/>
      </c>
      <c r="N1981" s="319" t="str">
        <f ca="1">IFERROR(IF(VLOOKUP(F1981,Kostentypen!$A$3:$E$21,3,0)=0,"",IF(OR(F1981="Arbeidskosten",F1981="Vergoeding"),VLOOKUP(G1981,Tb_KostenTypen[],2,0),VLOOKUP(F1981,Kostentypen!$A$3:$E$20,3,0))),"")</f>
        <v/>
      </c>
      <c r="O1981" s="320" t="str" cm="1">
        <f t="array" ref="O1981">_xlfn.IFNA(IF(INDEX(Tb_KostenOptiesDB[],MATCH($F1981,Tb_KostenOptiesDB[KostenOptie],0),IFERROR(MATCH(Methode_Keuze,Tb_KostenOptiesDB[#Headers],0),2))=1,_xlfn.SWITCH($N1981,"Uurtarief",IF(OR(AND(RIGHT($F1981,3)="IKS",VLOOKUP($M1981,DB_Loonkosten,2,0)="Ja"),AND(RIGHT($F1981,3)&lt;&gt;"IKS",VLOOKUP($M1981,DB_Loonkosten,2,0)="Nee")),IFERROR(VLOOKUP($M1981,DB_Loonkosten,24,0),""),0),"Vast tarief",IF(LEFT(F1981,8)="Bijdrage",VLOOKUP($F1981,Tb_KostenTypen[],MATCH(Lijsten!$P$1,Tb_KostenTypen[#Headers],0),0),VLOOKUP($G1981,Lijsten!L:P,MATCH(Lijsten!$P$1,Kop_Tarief_Vast,0),0))),""),"")</f>
        <v/>
      </c>
      <c r="P1981" s="320" t="str" cm="1">
        <f t="array" ref="P1981">_xlfn.IFNA(IF(INDEX(Tb_KostenOptiesDB[],MATCH($F1981,Tb_KostenOptiesDB[KostenOptie],0),IFERROR(MATCH(Methode_Keuze,Tb_KostenOptiesDB[#Headers],0),2))=1,_xlfn.SWITCH($N1981,"Uurtarief",IF(OR(AND(RIGHT($F1981,3)="IKS",VLOOKUP($M1981,DB_Loonkosten,2,0)="Ja"),AND(RIGHT($F1981,3)&lt;&gt;"IKS",VLOOKUP($M1981,DB_Loonkosten,2,0)="Nee")),IFERROR(VLOOKUP($M1981,DB_Loonkosten,25,0),""),0),"Vast tarief",IF(LEFT(F1981,8)="Bijdrage",VLOOKUP($F1981,Tb_KostenTypen[],MATCH(Lijsten!$P$1,Tb_KostenTypen[#Headers],0),0),VLOOKUP($G1981,Lijsten!L:P,MATCH(Lijsten!$P$1,Kop_Tarief_Vast,0),0))),""),"")</f>
        <v/>
      </c>
      <c r="Q1981" s="359"/>
      <c r="R1981" s="359"/>
      <c r="S1981" s="321"/>
      <c r="T1981" s="321"/>
      <c r="U1981" s="373" t="str">
        <f t="shared" si="120"/>
        <v/>
      </c>
      <c r="V1981" s="314" t="str">
        <f t="shared" si="121"/>
        <v/>
      </c>
      <c r="W1981" s="314" t="str" cm="1">
        <f t="array" aca="1" ref="W1981" ca="1">IFERROR(IF(AE1981&lt;&gt;"ja",_xlfn.IFNA(_xlfn.IFS(AND(O1981&lt;&gt;"",F1981&lt;&gt;"",RIGHT($N1981,6)="tarief",F1981="Vergoeding"),SUM(O1981)*FLOOR(SUM(Q1981),0.0001),AND(O1981&lt;&gt;"",F1981&lt;&gt;"",RIGHT($N1981,6)="tarief"),SUM(O1981)*FLOOR(SUM(Q1981),0.01),S1981&gt;0,IF(F1981&lt;&gt;"",FLOOR(SUM(S1981),0.01),"")),""),""),"")</f>
        <v/>
      </c>
      <c r="X1981" s="314" t="str" cm="1">
        <f t="array" aca="1" ref="X1981" ca="1">IFERROR(IF(AE1981&lt;&gt;"ja",_xlfn.IFNA(_xlfn.IFS(AND(P1981&lt;&gt;"",R1981&lt;&gt;"",RIGHT($N1981,6)="tarief",F1981="Vergoeding"),SUM(P1981)*FLOOR(SUM(R1981),0.0001),AND(P1981&lt;&gt;"",R1981&lt;&gt;"",RIGHT($N1981,6)="tarief"),P1981*FLOOR(R1981,0.01),T1981&gt;0,FLOOR(SUM(T1981),0.01)),""),""),"")</f>
        <v/>
      </c>
      <c r="Y1981" s="314" t="str">
        <f t="shared" ca="1" si="122"/>
        <v/>
      </c>
      <c r="Z1981" s="314" t="str" cm="1">
        <f t="array" aca="1" ref="Z1981" ca="1">IFERROR(_xlfn.IFS(OR(F1981="",LEFT(Methode_Keuze,4)="Geen",Methode_Keuze=""),"",AND(W1981&lt;&gt;"",F1981&lt;&gt;"Arbeidskosten"),W1981*VLOOKUP(F1981,Tb_ProjectKosten[],MATCH(Tb_ProjectKosten[[#Headers],[Forfait_Percentage]],Tb_ProjectKosten[#Headers],0),0),AND(F1981="Arbeidskosten",G1981&lt;&gt;""),IFERROR(W1981*VLOOKUP(G1981,Tb_KostenTypen[],3,0)*VLOOKUP(F1981,Tb_ProjectKosten[],MATCH(Tb_ProjectKosten[[#Headers],[Forfait_Percentage]],Tb_ProjectKosten[#Headers],0),0),""),W1981 &lt;=0,0),"")</f>
        <v/>
      </c>
      <c r="AA1981" s="314" t="str" cm="1">
        <f t="array" aca="1" ref="AA1981" ca="1">IFERROR(_xlfn.IFS(OR(F1981="",LEFT(Methode_Keuze,4)="Geen",Methode_Keuze=""),"",AND(X1981&lt;&gt;"",F1981&lt;&gt;"Arbeidskosten"),X1981*VLOOKUP(F1981,Tb_ProjectKosten[],MATCH(Tb_ProjectKosten[[#Headers],[Forfait_Percentage]],Tb_ProjectKosten[#Headers],0),0),AND(F1981="Arbeidskosten",G1981&lt;&gt;""),IFERROR(X1981*VLOOKUP(G1981,Tb_KostenTypen[],3,0)*VLOOKUP(F1981,Tb_ProjectKosten[],MATCH(Tb_ProjectKosten[[#Headers],[Forfait_Percentage]],Tb_ProjectKosten[#Headers],0),0),""),X1981 &lt;=0,0),"")</f>
        <v/>
      </c>
      <c r="AB1981" s="314" t="str">
        <f t="shared" ca="1" si="123"/>
        <v/>
      </c>
      <c r="AC1981" s="322"/>
      <c r="AD1981" s="315"/>
      <c r="AE1981" s="32" t="str" cm="1">
        <f t="array" ref="AE1981">IFERROR(IF(INDEX(SubsidieTabel!$AD$1:$AG$12,MATCH($F1981,SubsidieTabel!$AD$1:$AD$12,0),IFERROR(MATCH(Methode_Keuze,SubsidieTabel!$AD$1:$AG$1,0),2))&lt;&gt;1=TRUE,"ja",""),"")</f>
        <v/>
      </c>
    </row>
    <row r="1982" spans="1:31" x14ac:dyDescent="0.25">
      <c r="A1982" s="316"/>
      <c r="B1982" s="317" t="str">
        <f>IF(A1982&lt;&gt;"",_xlfn.MAXIFS($B$1:B1981,$A$1:A1981,A1982)+1,"")</f>
        <v/>
      </c>
      <c r="C1982" s="296"/>
      <c r="D1982" s="296"/>
      <c r="E1982" s="296"/>
      <c r="F1982" s="296"/>
      <c r="G1982" s="326"/>
      <c r="H1982" s="324"/>
      <c r="I1982" s="325"/>
      <c r="J1982" s="325"/>
      <c r="K1982" s="318"/>
      <c r="L1982" s="318"/>
      <c r="M1982" s="319" t="str">
        <f>IFERROR(VLOOKUP(H1982,Lijsten!$H$1:$I$100,2,0),"")</f>
        <v/>
      </c>
      <c r="N1982" s="319" t="str">
        <f ca="1">IFERROR(IF(VLOOKUP(F1982,Kostentypen!$A$3:$E$21,3,0)=0,"",IF(OR(F1982="Arbeidskosten",F1982="Vergoeding"),VLOOKUP(G1982,Tb_KostenTypen[],2,0),VLOOKUP(F1982,Kostentypen!$A$3:$E$20,3,0))),"")</f>
        <v/>
      </c>
      <c r="O1982" s="320" t="str" cm="1">
        <f t="array" ref="O1982">_xlfn.IFNA(IF(INDEX(Tb_KostenOptiesDB[],MATCH($F1982,Tb_KostenOptiesDB[KostenOptie],0),IFERROR(MATCH(Methode_Keuze,Tb_KostenOptiesDB[#Headers],0),2))=1,_xlfn.SWITCH($N1982,"Uurtarief",IF(OR(AND(RIGHT($F1982,3)="IKS",VLOOKUP($M1982,DB_Loonkosten,2,0)="Ja"),AND(RIGHT($F1982,3)&lt;&gt;"IKS",VLOOKUP($M1982,DB_Loonkosten,2,0)="Nee")),IFERROR(VLOOKUP($M1982,DB_Loonkosten,24,0),""),0),"Vast tarief",IF(LEFT(F1982,8)="Bijdrage",VLOOKUP($F1982,Tb_KostenTypen[],MATCH(Lijsten!$P$1,Tb_KostenTypen[#Headers],0),0),VLOOKUP($G1982,Lijsten!L:P,MATCH(Lijsten!$P$1,Kop_Tarief_Vast,0),0))),""),"")</f>
        <v/>
      </c>
      <c r="P1982" s="320" t="str" cm="1">
        <f t="array" ref="P1982">_xlfn.IFNA(IF(INDEX(Tb_KostenOptiesDB[],MATCH($F1982,Tb_KostenOptiesDB[KostenOptie],0),IFERROR(MATCH(Methode_Keuze,Tb_KostenOptiesDB[#Headers],0),2))=1,_xlfn.SWITCH($N1982,"Uurtarief",IF(OR(AND(RIGHT($F1982,3)="IKS",VLOOKUP($M1982,DB_Loonkosten,2,0)="Ja"),AND(RIGHT($F1982,3)&lt;&gt;"IKS",VLOOKUP($M1982,DB_Loonkosten,2,0)="Nee")),IFERROR(VLOOKUP($M1982,DB_Loonkosten,25,0),""),0),"Vast tarief",IF(LEFT(F1982,8)="Bijdrage",VLOOKUP($F1982,Tb_KostenTypen[],MATCH(Lijsten!$P$1,Tb_KostenTypen[#Headers],0),0),VLOOKUP($G1982,Lijsten!L:P,MATCH(Lijsten!$P$1,Kop_Tarief_Vast,0),0))),""),"")</f>
        <v/>
      </c>
      <c r="Q1982" s="359"/>
      <c r="R1982" s="359"/>
      <c r="S1982" s="321"/>
      <c r="T1982" s="321"/>
      <c r="U1982" s="373" t="str">
        <f t="shared" si="120"/>
        <v/>
      </c>
      <c r="V1982" s="314" t="str">
        <f t="shared" si="121"/>
        <v/>
      </c>
      <c r="W1982" s="314" t="str" cm="1">
        <f t="array" aca="1" ref="W1982" ca="1">IFERROR(IF(AE1982&lt;&gt;"ja",_xlfn.IFNA(_xlfn.IFS(AND(O1982&lt;&gt;"",F1982&lt;&gt;"",RIGHT($N1982,6)="tarief",F1982="Vergoeding"),SUM(O1982)*FLOOR(SUM(Q1982),0.0001),AND(O1982&lt;&gt;"",F1982&lt;&gt;"",RIGHT($N1982,6)="tarief"),SUM(O1982)*FLOOR(SUM(Q1982),0.01),S1982&gt;0,IF(F1982&lt;&gt;"",FLOOR(SUM(S1982),0.01),"")),""),""),"")</f>
        <v/>
      </c>
      <c r="X1982" s="314" t="str" cm="1">
        <f t="array" aca="1" ref="X1982" ca="1">IFERROR(IF(AE1982&lt;&gt;"ja",_xlfn.IFNA(_xlfn.IFS(AND(P1982&lt;&gt;"",R1982&lt;&gt;"",RIGHT($N1982,6)="tarief",F1982="Vergoeding"),SUM(P1982)*FLOOR(SUM(R1982),0.0001),AND(P1982&lt;&gt;"",R1982&lt;&gt;"",RIGHT($N1982,6)="tarief"),P1982*FLOOR(R1982,0.01),T1982&gt;0,FLOOR(SUM(T1982),0.01)),""),""),"")</f>
        <v/>
      </c>
      <c r="Y1982" s="314" t="str">
        <f t="shared" ca="1" si="122"/>
        <v/>
      </c>
      <c r="Z1982" s="314" t="str" cm="1">
        <f t="array" aca="1" ref="Z1982" ca="1">IFERROR(_xlfn.IFS(OR(F1982="",LEFT(Methode_Keuze,4)="Geen",Methode_Keuze=""),"",AND(W1982&lt;&gt;"",F1982&lt;&gt;"Arbeidskosten"),W1982*VLOOKUP(F1982,Tb_ProjectKosten[],MATCH(Tb_ProjectKosten[[#Headers],[Forfait_Percentage]],Tb_ProjectKosten[#Headers],0),0),AND(F1982="Arbeidskosten",G1982&lt;&gt;""),IFERROR(W1982*VLOOKUP(G1982,Tb_KostenTypen[],3,0)*VLOOKUP(F1982,Tb_ProjectKosten[],MATCH(Tb_ProjectKosten[[#Headers],[Forfait_Percentage]],Tb_ProjectKosten[#Headers],0),0),""),W1982 &lt;=0,0),"")</f>
        <v/>
      </c>
      <c r="AA1982" s="314" t="str" cm="1">
        <f t="array" aca="1" ref="AA1982" ca="1">IFERROR(_xlfn.IFS(OR(F1982="",LEFT(Methode_Keuze,4)="Geen",Methode_Keuze=""),"",AND(X1982&lt;&gt;"",F1982&lt;&gt;"Arbeidskosten"),X1982*VLOOKUP(F1982,Tb_ProjectKosten[],MATCH(Tb_ProjectKosten[[#Headers],[Forfait_Percentage]],Tb_ProjectKosten[#Headers],0),0),AND(F1982="Arbeidskosten",G1982&lt;&gt;""),IFERROR(X1982*VLOOKUP(G1982,Tb_KostenTypen[],3,0)*VLOOKUP(F1982,Tb_ProjectKosten[],MATCH(Tb_ProjectKosten[[#Headers],[Forfait_Percentage]],Tb_ProjectKosten[#Headers],0),0),""),X1982 &lt;=0,0),"")</f>
        <v/>
      </c>
      <c r="AB1982" s="314" t="str">
        <f t="shared" ca="1" si="123"/>
        <v/>
      </c>
      <c r="AC1982" s="322"/>
      <c r="AD1982" s="315"/>
      <c r="AE1982" s="32" t="str" cm="1">
        <f t="array" ref="AE1982">IFERROR(IF(INDEX(SubsidieTabel!$AD$1:$AG$12,MATCH($F1982,SubsidieTabel!$AD$1:$AD$12,0),IFERROR(MATCH(Methode_Keuze,SubsidieTabel!$AD$1:$AG$1,0),2))&lt;&gt;1=TRUE,"ja",""),"")</f>
        <v/>
      </c>
    </row>
    <row r="1983" spans="1:31" x14ac:dyDescent="0.25">
      <c r="A1983" s="316"/>
      <c r="B1983" s="317" t="str">
        <f>IF(A1983&lt;&gt;"",_xlfn.MAXIFS($B$1:B1982,$A$1:A1982,A1983)+1,"")</f>
        <v/>
      </c>
      <c r="C1983" s="296"/>
      <c r="D1983" s="296"/>
      <c r="E1983" s="296"/>
      <c r="F1983" s="296"/>
      <c r="G1983" s="326"/>
      <c r="H1983" s="324"/>
      <c r="I1983" s="325"/>
      <c r="J1983" s="325"/>
      <c r="K1983" s="318"/>
      <c r="L1983" s="318"/>
      <c r="M1983" s="319" t="str">
        <f>IFERROR(VLOOKUP(H1983,Lijsten!$H$1:$I$100,2,0),"")</f>
        <v/>
      </c>
      <c r="N1983" s="319" t="str">
        <f ca="1">IFERROR(IF(VLOOKUP(F1983,Kostentypen!$A$3:$E$21,3,0)=0,"",IF(OR(F1983="Arbeidskosten",F1983="Vergoeding"),VLOOKUP(G1983,Tb_KostenTypen[],2,0),VLOOKUP(F1983,Kostentypen!$A$3:$E$20,3,0))),"")</f>
        <v/>
      </c>
      <c r="O1983" s="320" t="str" cm="1">
        <f t="array" ref="O1983">_xlfn.IFNA(IF(INDEX(Tb_KostenOptiesDB[],MATCH($F1983,Tb_KostenOptiesDB[KostenOptie],0),IFERROR(MATCH(Methode_Keuze,Tb_KostenOptiesDB[#Headers],0),2))=1,_xlfn.SWITCH($N1983,"Uurtarief",IF(OR(AND(RIGHT($F1983,3)="IKS",VLOOKUP($M1983,DB_Loonkosten,2,0)="Ja"),AND(RIGHT($F1983,3)&lt;&gt;"IKS",VLOOKUP($M1983,DB_Loonkosten,2,0)="Nee")),IFERROR(VLOOKUP($M1983,DB_Loonkosten,24,0),""),0),"Vast tarief",IF(LEFT(F1983,8)="Bijdrage",VLOOKUP($F1983,Tb_KostenTypen[],MATCH(Lijsten!$P$1,Tb_KostenTypen[#Headers],0),0),VLOOKUP($G1983,Lijsten!L:P,MATCH(Lijsten!$P$1,Kop_Tarief_Vast,0),0))),""),"")</f>
        <v/>
      </c>
      <c r="P1983" s="320" t="str" cm="1">
        <f t="array" ref="P1983">_xlfn.IFNA(IF(INDEX(Tb_KostenOptiesDB[],MATCH($F1983,Tb_KostenOptiesDB[KostenOptie],0),IFERROR(MATCH(Methode_Keuze,Tb_KostenOptiesDB[#Headers],0),2))=1,_xlfn.SWITCH($N1983,"Uurtarief",IF(OR(AND(RIGHT($F1983,3)="IKS",VLOOKUP($M1983,DB_Loonkosten,2,0)="Ja"),AND(RIGHT($F1983,3)&lt;&gt;"IKS",VLOOKUP($M1983,DB_Loonkosten,2,0)="Nee")),IFERROR(VLOOKUP($M1983,DB_Loonkosten,25,0),""),0),"Vast tarief",IF(LEFT(F1983,8)="Bijdrage",VLOOKUP($F1983,Tb_KostenTypen[],MATCH(Lijsten!$P$1,Tb_KostenTypen[#Headers],0),0),VLOOKUP($G1983,Lijsten!L:P,MATCH(Lijsten!$P$1,Kop_Tarief_Vast,0),0))),""),"")</f>
        <v/>
      </c>
      <c r="Q1983" s="359"/>
      <c r="R1983" s="359"/>
      <c r="S1983" s="321"/>
      <c r="T1983" s="321"/>
      <c r="U1983" s="373" t="str">
        <f t="shared" si="120"/>
        <v/>
      </c>
      <c r="V1983" s="314" t="str">
        <f t="shared" si="121"/>
        <v/>
      </c>
      <c r="W1983" s="314" t="str" cm="1">
        <f t="array" aca="1" ref="W1983" ca="1">IFERROR(IF(AE1983&lt;&gt;"ja",_xlfn.IFNA(_xlfn.IFS(AND(O1983&lt;&gt;"",F1983&lt;&gt;"",RIGHT($N1983,6)="tarief",F1983="Vergoeding"),SUM(O1983)*FLOOR(SUM(Q1983),0.0001),AND(O1983&lt;&gt;"",F1983&lt;&gt;"",RIGHT($N1983,6)="tarief"),SUM(O1983)*FLOOR(SUM(Q1983),0.01),S1983&gt;0,IF(F1983&lt;&gt;"",FLOOR(SUM(S1983),0.01),"")),""),""),"")</f>
        <v/>
      </c>
      <c r="X1983" s="314" t="str" cm="1">
        <f t="array" aca="1" ref="X1983" ca="1">IFERROR(IF(AE1983&lt;&gt;"ja",_xlfn.IFNA(_xlfn.IFS(AND(P1983&lt;&gt;"",R1983&lt;&gt;"",RIGHT($N1983,6)="tarief",F1983="Vergoeding"),SUM(P1983)*FLOOR(SUM(R1983),0.0001),AND(P1983&lt;&gt;"",R1983&lt;&gt;"",RIGHT($N1983,6)="tarief"),P1983*FLOOR(R1983,0.01),T1983&gt;0,FLOOR(SUM(T1983),0.01)),""),""),"")</f>
        <v/>
      </c>
      <c r="Y1983" s="314" t="str">
        <f t="shared" ca="1" si="122"/>
        <v/>
      </c>
      <c r="Z1983" s="314" t="str" cm="1">
        <f t="array" aca="1" ref="Z1983" ca="1">IFERROR(_xlfn.IFS(OR(F1983="",LEFT(Methode_Keuze,4)="Geen",Methode_Keuze=""),"",AND(W1983&lt;&gt;"",F1983&lt;&gt;"Arbeidskosten"),W1983*VLOOKUP(F1983,Tb_ProjectKosten[],MATCH(Tb_ProjectKosten[[#Headers],[Forfait_Percentage]],Tb_ProjectKosten[#Headers],0),0),AND(F1983="Arbeidskosten",G1983&lt;&gt;""),IFERROR(W1983*VLOOKUP(G1983,Tb_KostenTypen[],3,0)*VLOOKUP(F1983,Tb_ProjectKosten[],MATCH(Tb_ProjectKosten[[#Headers],[Forfait_Percentage]],Tb_ProjectKosten[#Headers],0),0),""),W1983 &lt;=0,0),"")</f>
        <v/>
      </c>
      <c r="AA1983" s="314" t="str" cm="1">
        <f t="array" aca="1" ref="AA1983" ca="1">IFERROR(_xlfn.IFS(OR(F1983="",LEFT(Methode_Keuze,4)="Geen",Methode_Keuze=""),"",AND(X1983&lt;&gt;"",F1983&lt;&gt;"Arbeidskosten"),X1983*VLOOKUP(F1983,Tb_ProjectKosten[],MATCH(Tb_ProjectKosten[[#Headers],[Forfait_Percentage]],Tb_ProjectKosten[#Headers],0),0),AND(F1983="Arbeidskosten",G1983&lt;&gt;""),IFERROR(X1983*VLOOKUP(G1983,Tb_KostenTypen[],3,0)*VLOOKUP(F1983,Tb_ProjectKosten[],MATCH(Tb_ProjectKosten[[#Headers],[Forfait_Percentage]],Tb_ProjectKosten[#Headers],0),0),""),X1983 &lt;=0,0),"")</f>
        <v/>
      </c>
      <c r="AB1983" s="314" t="str">
        <f t="shared" ca="1" si="123"/>
        <v/>
      </c>
      <c r="AC1983" s="322"/>
      <c r="AD1983" s="315"/>
      <c r="AE1983" s="32" t="str" cm="1">
        <f t="array" ref="AE1983">IFERROR(IF(INDEX(SubsidieTabel!$AD$1:$AG$12,MATCH($F1983,SubsidieTabel!$AD$1:$AD$12,0),IFERROR(MATCH(Methode_Keuze,SubsidieTabel!$AD$1:$AG$1,0),2))&lt;&gt;1=TRUE,"ja",""),"")</f>
        <v/>
      </c>
    </row>
    <row r="1984" spans="1:31" x14ac:dyDescent="0.25">
      <c r="A1984" s="316"/>
      <c r="B1984" s="317" t="str">
        <f>IF(A1984&lt;&gt;"",_xlfn.MAXIFS($B$1:B1983,$A$1:A1983,A1984)+1,"")</f>
        <v/>
      </c>
      <c r="C1984" s="296"/>
      <c r="D1984" s="296"/>
      <c r="E1984" s="296"/>
      <c r="F1984" s="296"/>
      <c r="G1984" s="326"/>
      <c r="H1984" s="324"/>
      <c r="I1984" s="325"/>
      <c r="J1984" s="325"/>
      <c r="K1984" s="318"/>
      <c r="L1984" s="318"/>
      <c r="M1984" s="319" t="str">
        <f>IFERROR(VLOOKUP(H1984,Lijsten!$H$1:$I$100,2,0),"")</f>
        <v/>
      </c>
      <c r="N1984" s="319" t="str">
        <f ca="1">IFERROR(IF(VLOOKUP(F1984,Kostentypen!$A$3:$E$21,3,0)=0,"",IF(OR(F1984="Arbeidskosten",F1984="Vergoeding"),VLOOKUP(G1984,Tb_KostenTypen[],2,0),VLOOKUP(F1984,Kostentypen!$A$3:$E$20,3,0))),"")</f>
        <v/>
      </c>
      <c r="O1984" s="320" t="str" cm="1">
        <f t="array" ref="O1984">_xlfn.IFNA(IF(INDEX(Tb_KostenOptiesDB[],MATCH($F1984,Tb_KostenOptiesDB[KostenOptie],0),IFERROR(MATCH(Methode_Keuze,Tb_KostenOptiesDB[#Headers],0),2))=1,_xlfn.SWITCH($N1984,"Uurtarief",IF(OR(AND(RIGHT($F1984,3)="IKS",VLOOKUP($M1984,DB_Loonkosten,2,0)="Ja"),AND(RIGHT($F1984,3)&lt;&gt;"IKS",VLOOKUP($M1984,DB_Loonkosten,2,0)="Nee")),IFERROR(VLOOKUP($M1984,DB_Loonkosten,24,0),""),0),"Vast tarief",IF(LEFT(F1984,8)="Bijdrage",VLOOKUP($F1984,Tb_KostenTypen[],MATCH(Lijsten!$P$1,Tb_KostenTypen[#Headers],0),0),VLOOKUP($G1984,Lijsten!L:P,MATCH(Lijsten!$P$1,Kop_Tarief_Vast,0),0))),""),"")</f>
        <v/>
      </c>
      <c r="P1984" s="320" t="str" cm="1">
        <f t="array" ref="P1984">_xlfn.IFNA(IF(INDEX(Tb_KostenOptiesDB[],MATCH($F1984,Tb_KostenOptiesDB[KostenOptie],0),IFERROR(MATCH(Methode_Keuze,Tb_KostenOptiesDB[#Headers],0),2))=1,_xlfn.SWITCH($N1984,"Uurtarief",IF(OR(AND(RIGHT($F1984,3)="IKS",VLOOKUP($M1984,DB_Loonkosten,2,0)="Ja"),AND(RIGHT($F1984,3)&lt;&gt;"IKS",VLOOKUP($M1984,DB_Loonkosten,2,0)="Nee")),IFERROR(VLOOKUP($M1984,DB_Loonkosten,25,0),""),0),"Vast tarief",IF(LEFT(F1984,8)="Bijdrage",VLOOKUP($F1984,Tb_KostenTypen[],MATCH(Lijsten!$P$1,Tb_KostenTypen[#Headers],0),0),VLOOKUP($G1984,Lijsten!L:P,MATCH(Lijsten!$P$1,Kop_Tarief_Vast,0),0))),""),"")</f>
        <v/>
      </c>
      <c r="Q1984" s="359"/>
      <c r="R1984" s="359"/>
      <c r="S1984" s="321"/>
      <c r="T1984" s="321"/>
      <c r="U1984" s="373" t="str">
        <f t="shared" si="120"/>
        <v/>
      </c>
      <c r="V1984" s="314" t="str">
        <f t="shared" si="121"/>
        <v/>
      </c>
      <c r="W1984" s="314" t="str" cm="1">
        <f t="array" aca="1" ref="W1984" ca="1">IFERROR(IF(AE1984&lt;&gt;"ja",_xlfn.IFNA(_xlfn.IFS(AND(O1984&lt;&gt;"",F1984&lt;&gt;"",RIGHT($N1984,6)="tarief",F1984="Vergoeding"),SUM(O1984)*FLOOR(SUM(Q1984),0.0001),AND(O1984&lt;&gt;"",F1984&lt;&gt;"",RIGHT($N1984,6)="tarief"),SUM(O1984)*FLOOR(SUM(Q1984),0.01),S1984&gt;0,IF(F1984&lt;&gt;"",FLOOR(SUM(S1984),0.01),"")),""),""),"")</f>
        <v/>
      </c>
      <c r="X1984" s="314" t="str" cm="1">
        <f t="array" aca="1" ref="X1984" ca="1">IFERROR(IF(AE1984&lt;&gt;"ja",_xlfn.IFNA(_xlfn.IFS(AND(P1984&lt;&gt;"",R1984&lt;&gt;"",RIGHT($N1984,6)="tarief",F1984="Vergoeding"),SUM(P1984)*FLOOR(SUM(R1984),0.0001),AND(P1984&lt;&gt;"",R1984&lt;&gt;"",RIGHT($N1984,6)="tarief"),P1984*FLOOR(R1984,0.01),T1984&gt;0,FLOOR(SUM(T1984),0.01)),""),""),"")</f>
        <v/>
      </c>
      <c r="Y1984" s="314" t="str">
        <f t="shared" ca="1" si="122"/>
        <v/>
      </c>
      <c r="Z1984" s="314" t="str" cm="1">
        <f t="array" aca="1" ref="Z1984" ca="1">IFERROR(_xlfn.IFS(OR(F1984="",LEFT(Methode_Keuze,4)="Geen",Methode_Keuze=""),"",AND(W1984&lt;&gt;"",F1984&lt;&gt;"Arbeidskosten"),W1984*VLOOKUP(F1984,Tb_ProjectKosten[],MATCH(Tb_ProjectKosten[[#Headers],[Forfait_Percentage]],Tb_ProjectKosten[#Headers],0),0),AND(F1984="Arbeidskosten",G1984&lt;&gt;""),IFERROR(W1984*VLOOKUP(G1984,Tb_KostenTypen[],3,0)*VLOOKUP(F1984,Tb_ProjectKosten[],MATCH(Tb_ProjectKosten[[#Headers],[Forfait_Percentage]],Tb_ProjectKosten[#Headers],0),0),""),W1984 &lt;=0,0),"")</f>
        <v/>
      </c>
      <c r="AA1984" s="314" t="str" cm="1">
        <f t="array" aca="1" ref="AA1984" ca="1">IFERROR(_xlfn.IFS(OR(F1984="",LEFT(Methode_Keuze,4)="Geen",Methode_Keuze=""),"",AND(X1984&lt;&gt;"",F1984&lt;&gt;"Arbeidskosten"),X1984*VLOOKUP(F1984,Tb_ProjectKosten[],MATCH(Tb_ProjectKosten[[#Headers],[Forfait_Percentage]],Tb_ProjectKosten[#Headers],0),0),AND(F1984="Arbeidskosten",G1984&lt;&gt;""),IFERROR(X1984*VLOOKUP(G1984,Tb_KostenTypen[],3,0)*VLOOKUP(F1984,Tb_ProjectKosten[],MATCH(Tb_ProjectKosten[[#Headers],[Forfait_Percentage]],Tb_ProjectKosten[#Headers],0),0),""),X1984 &lt;=0,0),"")</f>
        <v/>
      </c>
      <c r="AB1984" s="314" t="str">
        <f t="shared" ca="1" si="123"/>
        <v/>
      </c>
      <c r="AC1984" s="322"/>
      <c r="AD1984" s="315"/>
      <c r="AE1984" s="32" t="str" cm="1">
        <f t="array" ref="AE1984">IFERROR(IF(INDEX(SubsidieTabel!$AD$1:$AG$12,MATCH($F1984,SubsidieTabel!$AD$1:$AD$12,0),IFERROR(MATCH(Methode_Keuze,SubsidieTabel!$AD$1:$AG$1,0),2))&lt;&gt;1=TRUE,"ja",""),"")</f>
        <v/>
      </c>
    </row>
    <row r="1985" spans="1:31" x14ac:dyDescent="0.25">
      <c r="A1985" s="316"/>
      <c r="B1985" s="317" t="str">
        <f>IF(A1985&lt;&gt;"",_xlfn.MAXIFS($B$1:B1984,$A$1:A1984,A1985)+1,"")</f>
        <v/>
      </c>
      <c r="C1985" s="296"/>
      <c r="D1985" s="296"/>
      <c r="E1985" s="296"/>
      <c r="F1985" s="296"/>
      <c r="G1985" s="326"/>
      <c r="H1985" s="324"/>
      <c r="I1985" s="325"/>
      <c r="J1985" s="325"/>
      <c r="K1985" s="318"/>
      <c r="L1985" s="318"/>
      <c r="M1985" s="319" t="str">
        <f>IFERROR(VLOOKUP(H1985,Lijsten!$H$1:$I$100,2,0),"")</f>
        <v/>
      </c>
      <c r="N1985" s="319" t="str">
        <f ca="1">IFERROR(IF(VLOOKUP(F1985,Kostentypen!$A$3:$E$21,3,0)=0,"",IF(OR(F1985="Arbeidskosten",F1985="Vergoeding"),VLOOKUP(G1985,Tb_KostenTypen[],2,0),VLOOKUP(F1985,Kostentypen!$A$3:$E$20,3,0))),"")</f>
        <v/>
      </c>
      <c r="O1985" s="320" t="str" cm="1">
        <f t="array" ref="O1985">_xlfn.IFNA(IF(INDEX(Tb_KostenOptiesDB[],MATCH($F1985,Tb_KostenOptiesDB[KostenOptie],0),IFERROR(MATCH(Methode_Keuze,Tb_KostenOptiesDB[#Headers],0),2))=1,_xlfn.SWITCH($N1985,"Uurtarief",IF(OR(AND(RIGHT($F1985,3)="IKS",VLOOKUP($M1985,DB_Loonkosten,2,0)="Ja"),AND(RIGHT($F1985,3)&lt;&gt;"IKS",VLOOKUP($M1985,DB_Loonkosten,2,0)="Nee")),IFERROR(VLOOKUP($M1985,DB_Loonkosten,24,0),""),0),"Vast tarief",IF(LEFT(F1985,8)="Bijdrage",VLOOKUP($F1985,Tb_KostenTypen[],MATCH(Lijsten!$P$1,Tb_KostenTypen[#Headers],0),0),VLOOKUP($G1985,Lijsten!L:P,MATCH(Lijsten!$P$1,Kop_Tarief_Vast,0),0))),""),"")</f>
        <v/>
      </c>
      <c r="P1985" s="320" t="str" cm="1">
        <f t="array" ref="P1985">_xlfn.IFNA(IF(INDEX(Tb_KostenOptiesDB[],MATCH($F1985,Tb_KostenOptiesDB[KostenOptie],0),IFERROR(MATCH(Methode_Keuze,Tb_KostenOptiesDB[#Headers],0),2))=1,_xlfn.SWITCH($N1985,"Uurtarief",IF(OR(AND(RIGHT($F1985,3)="IKS",VLOOKUP($M1985,DB_Loonkosten,2,0)="Ja"),AND(RIGHT($F1985,3)&lt;&gt;"IKS",VLOOKUP($M1985,DB_Loonkosten,2,0)="Nee")),IFERROR(VLOOKUP($M1985,DB_Loonkosten,25,0),""),0),"Vast tarief",IF(LEFT(F1985,8)="Bijdrage",VLOOKUP($F1985,Tb_KostenTypen[],MATCH(Lijsten!$P$1,Tb_KostenTypen[#Headers],0),0),VLOOKUP($G1985,Lijsten!L:P,MATCH(Lijsten!$P$1,Kop_Tarief_Vast,0),0))),""),"")</f>
        <v/>
      </c>
      <c r="Q1985" s="359"/>
      <c r="R1985" s="359"/>
      <c r="S1985" s="321"/>
      <c r="T1985" s="321"/>
      <c r="U1985" s="373" t="str">
        <f t="shared" si="120"/>
        <v/>
      </c>
      <c r="V1985" s="314" t="str">
        <f t="shared" si="121"/>
        <v/>
      </c>
      <c r="W1985" s="314" t="str" cm="1">
        <f t="array" aca="1" ref="W1985" ca="1">IFERROR(IF(AE1985&lt;&gt;"ja",_xlfn.IFNA(_xlfn.IFS(AND(O1985&lt;&gt;"",F1985&lt;&gt;"",RIGHT($N1985,6)="tarief",F1985="Vergoeding"),SUM(O1985)*FLOOR(SUM(Q1985),0.0001),AND(O1985&lt;&gt;"",F1985&lt;&gt;"",RIGHT($N1985,6)="tarief"),SUM(O1985)*FLOOR(SUM(Q1985),0.01),S1985&gt;0,IF(F1985&lt;&gt;"",FLOOR(SUM(S1985),0.01),"")),""),""),"")</f>
        <v/>
      </c>
      <c r="X1985" s="314" t="str" cm="1">
        <f t="array" aca="1" ref="X1985" ca="1">IFERROR(IF(AE1985&lt;&gt;"ja",_xlfn.IFNA(_xlfn.IFS(AND(P1985&lt;&gt;"",R1985&lt;&gt;"",RIGHT($N1985,6)="tarief",F1985="Vergoeding"),SUM(P1985)*FLOOR(SUM(R1985),0.0001),AND(P1985&lt;&gt;"",R1985&lt;&gt;"",RIGHT($N1985,6)="tarief"),P1985*FLOOR(R1985,0.01),T1985&gt;0,FLOOR(SUM(T1985),0.01)),""),""),"")</f>
        <v/>
      </c>
      <c r="Y1985" s="314" t="str">
        <f t="shared" ca="1" si="122"/>
        <v/>
      </c>
      <c r="Z1985" s="314" t="str" cm="1">
        <f t="array" aca="1" ref="Z1985" ca="1">IFERROR(_xlfn.IFS(OR(F1985="",LEFT(Methode_Keuze,4)="Geen",Methode_Keuze=""),"",AND(W1985&lt;&gt;"",F1985&lt;&gt;"Arbeidskosten"),W1985*VLOOKUP(F1985,Tb_ProjectKosten[],MATCH(Tb_ProjectKosten[[#Headers],[Forfait_Percentage]],Tb_ProjectKosten[#Headers],0),0),AND(F1985="Arbeidskosten",G1985&lt;&gt;""),IFERROR(W1985*VLOOKUP(G1985,Tb_KostenTypen[],3,0)*VLOOKUP(F1985,Tb_ProjectKosten[],MATCH(Tb_ProjectKosten[[#Headers],[Forfait_Percentage]],Tb_ProjectKosten[#Headers],0),0),""),W1985 &lt;=0,0),"")</f>
        <v/>
      </c>
      <c r="AA1985" s="314" t="str" cm="1">
        <f t="array" aca="1" ref="AA1985" ca="1">IFERROR(_xlfn.IFS(OR(F1985="",LEFT(Methode_Keuze,4)="Geen",Methode_Keuze=""),"",AND(X1985&lt;&gt;"",F1985&lt;&gt;"Arbeidskosten"),X1985*VLOOKUP(F1985,Tb_ProjectKosten[],MATCH(Tb_ProjectKosten[[#Headers],[Forfait_Percentage]],Tb_ProjectKosten[#Headers],0),0),AND(F1985="Arbeidskosten",G1985&lt;&gt;""),IFERROR(X1985*VLOOKUP(G1985,Tb_KostenTypen[],3,0)*VLOOKUP(F1985,Tb_ProjectKosten[],MATCH(Tb_ProjectKosten[[#Headers],[Forfait_Percentage]],Tb_ProjectKosten[#Headers],0),0),""),X1985 &lt;=0,0),"")</f>
        <v/>
      </c>
      <c r="AB1985" s="314" t="str">
        <f t="shared" ca="1" si="123"/>
        <v/>
      </c>
      <c r="AC1985" s="322"/>
      <c r="AD1985" s="315"/>
      <c r="AE1985" s="32" t="str" cm="1">
        <f t="array" ref="AE1985">IFERROR(IF(INDEX(SubsidieTabel!$AD$1:$AG$12,MATCH($F1985,SubsidieTabel!$AD$1:$AD$12,0),IFERROR(MATCH(Methode_Keuze,SubsidieTabel!$AD$1:$AG$1,0),2))&lt;&gt;1=TRUE,"ja",""),"")</f>
        <v/>
      </c>
    </row>
    <row r="1986" spans="1:31" x14ac:dyDescent="0.25">
      <c r="A1986" s="316"/>
      <c r="B1986" s="317" t="str">
        <f>IF(A1986&lt;&gt;"",_xlfn.MAXIFS($B$1:B1985,$A$1:A1985,A1986)+1,"")</f>
        <v/>
      </c>
      <c r="C1986" s="296"/>
      <c r="D1986" s="296"/>
      <c r="E1986" s="296"/>
      <c r="F1986" s="296"/>
      <c r="G1986" s="326"/>
      <c r="H1986" s="324"/>
      <c r="I1986" s="325"/>
      <c r="J1986" s="325"/>
      <c r="K1986" s="318"/>
      <c r="L1986" s="318"/>
      <c r="M1986" s="319" t="str">
        <f>IFERROR(VLOOKUP(H1986,Lijsten!$H$1:$I$100,2,0),"")</f>
        <v/>
      </c>
      <c r="N1986" s="319" t="str">
        <f ca="1">IFERROR(IF(VLOOKUP(F1986,Kostentypen!$A$3:$E$21,3,0)=0,"",IF(OR(F1986="Arbeidskosten",F1986="Vergoeding"),VLOOKUP(G1986,Tb_KostenTypen[],2,0),VLOOKUP(F1986,Kostentypen!$A$3:$E$20,3,0))),"")</f>
        <v/>
      </c>
      <c r="O1986" s="320" t="str" cm="1">
        <f t="array" ref="O1986">_xlfn.IFNA(IF(INDEX(Tb_KostenOptiesDB[],MATCH($F1986,Tb_KostenOptiesDB[KostenOptie],0),IFERROR(MATCH(Methode_Keuze,Tb_KostenOptiesDB[#Headers],0),2))=1,_xlfn.SWITCH($N1986,"Uurtarief",IF(OR(AND(RIGHT($F1986,3)="IKS",VLOOKUP($M1986,DB_Loonkosten,2,0)="Ja"),AND(RIGHT($F1986,3)&lt;&gt;"IKS",VLOOKUP($M1986,DB_Loonkosten,2,0)="Nee")),IFERROR(VLOOKUP($M1986,DB_Loonkosten,24,0),""),0),"Vast tarief",IF(LEFT(F1986,8)="Bijdrage",VLOOKUP($F1986,Tb_KostenTypen[],MATCH(Lijsten!$P$1,Tb_KostenTypen[#Headers],0),0),VLOOKUP($G1986,Lijsten!L:P,MATCH(Lijsten!$P$1,Kop_Tarief_Vast,0),0))),""),"")</f>
        <v/>
      </c>
      <c r="P1986" s="320" t="str" cm="1">
        <f t="array" ref="P1986">_xlfn.IFNA(IF(INDEX(Tb_KostenOptiesDB[],MATCH($F1986,Tb_KostenOptiesDB[KostenOptie],0),IFERROR(MATCH(Methode_Keuze,Tb_KostenOptiesDB[#Headers],0),2))=1,_xlfn.SWITCH($N1986,"Uurtarief",IF(OR(AND(RIGHT($F1986,3)="IKS",VLOOKUP($M1986,DB_Loonkosten,2,0)="Ja"),AND(RIGHT($F1986,3)&lt;&gt;"IKS",VLOOKUP($M1986,DB_Loonkosten,2,0)="Nee")),IFERROR(VLOOKUP($M1986,DB_Loonkosten,25,0),""),0),"Vast tarief",IF(LEFT(F1986,8)="Bijdrage",VLOOKUP($F1986,Tb_KostenTypen[],MATCH(Lijsten!$P$1,Tb_KostenTypen[#Headers],0),0),VLOOKUP($G1986,Lijsten!L:P,MATCH(Lijsten!$P$1,Kop_Tarief_Vast,0),0))),""),"")</f>
        <v/>
      </c>
      <c r="Q1986" s="359"/>
      <c r="R1986" s="359"/>
      <c r="S1986" s="321"/>
      <c r="T1986" s="321"/>
      <c r="U1986" s="373" t="str">
        <f t="shared" si="120"/>
        <v/>
      </c>
      <c r="V1986" s="314" t="str">
        <f t="shared" si="121"/>
        <v/>
      </c>
      <c r="W1986" s="314" t="str" cm="1">
        <f t="array" aca="1" ref="W1986" ca="1">IFERROR(IF(AE1986&lt;&gt;"ja",_xlfn.IFNA(_xlfn.IFS(AND(O1986&lt;&gt;"",F1986&lt;&gt;"",RIGHT($N1986,6)="tarief",F1986="Vergoeding"),SUM(O1986)*FLOOR(SUM(Q1986),0.0001),AND(O1986&lt;&gt;"",F1986&lt;&gt;"",RIGHT($N1986,6)="tarief"),SUM(O1986)*FLOOR(SUM(Q1986),0.01),S1986&gt;0,IF(F1986&lt;&gt;"",FLOOR(SUM(S1986),0.01),"")),""),""),"")</f>
        <v/>
      </c>
      <c r="X1986" s="314" t="str" cm="1">
        <f t="array" aca="1" ref="X1986" ca="1">IFERROR(IF(AE1986&lt;&gt;"ja",_xlfn.IFNA(_xlfn.IFS(AND(P1986&lt;&gt;"",R1986&lt;&gt;"",RIGHT($N1986,6)="tarief",F1986="Vergoeding"),SUM(P1986)*FLOOR(SUM(R1986),0.0001),AND(P1986&lt;&gt;"",R1986&lt;&gt;"",RIGHT($N1986,6)="tarief"),P1986*FLOOR(R1986,0.01),T1986&gt;0,FLOOR(SUM(T1986),0.01)),""),""),"")</f>
        <v/>
      </c>
      <c r="Y1986" s="314" t="str">
        <f t="shared" ca="1" si="122"/>
        <v/>
      </c>
      <c r="Z1986" s="314" t="str" cm="1">
        <f t="array" aca="1" ref="Z1986" ca="1">IFERROR(_xlfn.IFS(OR(F1986="",LEFT(Methode_Keuze,4)="Geen",Methode_Keuze=""),"",AND(W1986&lt;&gt;"",F1986&lt;&gt;"Arbeidskosten"),W1986*VLOOKUP(F1986,Tb_ProjectKosten[],MATCH(Tb_ProjectKosten[[#Headers],[Forfait_Percentage]],Tb_ProjectKosten[#Headers],0),0),AND(F1986="Arbeidskosten",G1986&lt;&gt;""),IFERROR(W1986*VLOOKUP(G1986,Tb_KostenTypen[],3,0)*VLOOKUP(F1986,Tb_ProjectKosten[],MATCH(Tb_ProjectKosten[[#Headers],[Forfait_Percentage]],Tb_ProjectKosten[#Headers],0),0),""),W1986 &lt;=0,0),"")</f>
        <v/>
      </c>
      <c r="AA1986" s="314" t="str" cm="1">
        <f t="array" aca="1" ref="AA1986" ca="1">IFERROR(_xlfn.IFS(OR(F1986="",LEFT(Methode_Keuze,4)="Geen",Methode_Keuze=""),"",AND(X1986&lt;&gt;"",F1986&lt;&gt;"Arbeidskosten"),X1986*VLOOKUP(F1986,Tb_ProjectKosten[],MATCH(Tb_ProjectKosten[[#Headers],[Forfait_Percentage]],Tb_ProjectKosten[#Headers],0),0),AND(F1986="Arbeidskosten",G1986&lt;&gt;""),IFERROR(X1986*VLOOKUP(G1986,Tb_KostenTypen[],3,0)*VLOOKUP(F1986,Tb_ProjectKosten[],MATCH(Tb_ProjectKosten[[#Headers],[Forfait_Percentage]],Tb_ProjectKosten[#Headers],0),0),""),X1986 &lt;=0,0),"")</f>
        <v/>
      </c>
      <c r="AB1986" s="314" t="str">
        <f t="shared" ca="1" si="123"/>
        <v/>
      </c>
      <c r="AC1986" s="322"/>
      <c r="AD1986" s="315"/>
      <c r="AE1986" s="32" t="str" cm="1">
        <f t="array" ref="AE1986">IFERROR(IF(INDEX(SubsidieTabel!$AD$1:$AG$12,MATCH($F1986,SubsidieTabel!$AD$1:$AD$12,0),IFERROR(MATCH(Methode_Keuze,SubsidieTabel!$AD$1:$AG$1,0),2))&lt;&gt;1=TRUE,"ja",""),"")</f>
        <v/>
      </c>
    </row>
    <row r="1987" spans="1:31" x14ac:dyDescent="0.25">
      <c r="A1987" s="316"/>
      <c r="B1987" s="317" t="str">
        <f>IF(A1987&lt;&gt;"",_xlfn.MAXIFS($B$1:B1986,$A$1:A1986,A1987)+1,"")</f>
        <v/>
      </c>
      <c r="C1987" s="296"/>
      <c r="D1987" s="296"/>
      <c r="E1987" s="296"/>
      <c r="F1987" s="296"/>
      <c r="G1987" s="326"/>
      <c r="H1987" s="324"/>
      <c r="I1987" s="325"/>
      <c r="J1987" s="325"/>
      <c r="K1987" s="318"/>
      <c r="L1987" s="318"/>
      <c r="M1987" s="319" t="str">
        <f>IFERROR(VLOOKUP(H1987,Lijsten!$H$1:$I$100,2,0),"")</f>
        <v/>
      </c>
      <c r="N1987" s="319" t="str">
        <f ca="1">IFERROR(IF(VLOOKUP(F1987,Kostentypen!$A$3:$E$21,3,0)=0,"",IF(OR(F1987="Arbeidskosten",F1987="Vergoeding"),VLOOKUP(G1987,Tb_KostenTypen[],2,0),VLOOKUP(F1987,Kostentypen!$A$3:$E$20,3,0))),"")</f>
        <v/>
      </c>
      <c r="O1987" s="320" t="str" cm="1">
        <f t="array" ref="O1987">_xlfn.IFNA(IF(INDEX(Tb_KostenOptiesDB[],MATCH($F1987,Tb_KostenOptiesDB[KostenOptie],0),IFERROR(MATCH(Methode_Keuze,Tb_KostenOptiesDB[#Headers],0),2))=1,_xlfn.SWITCH($N1987,"Uurtarief",IF(OR(AND(RIGHT($F1987,3)="IKS",VLOOKUP($M1987,DB_Loonkosten,2,0)="Ja"),AND(RIGHT($F1987,3)&lt;&gt;"IKS",VLOOKUP($M1987,DB_Loonkosten,2,0)="Nee")),IFERROR(VLOOKUP($M1987,DB_Loonkosten,24,0),""),0),"Vast tarief",IF(LEFT(F1987,8)="Bijdrage",VLOOKUP($F1987,Tb_KostenTypen[],MATCH(Lijsten!$P$1,Tb_KostenTypen[#Headers],0),0),VLOOKUP($G1987,Lijsten!L:P,MATCH(Lijsten!$P$1,Kop_Tarief_Vast,0),0))),""),"")</f>
        <v/>
      </c>
      <c r="P1987" s="320" t="str" cm="1">
        <f t="array" ref="P1987">_xlfn.IFNA(IF(INDEX(Tb_KostenOptiesDB[],MATCH($F1987,Tb_KostenOptiesDB[KostenOptie],0),IFERROR(MATCH(Methode_Keuze,Tb_KostenOptiesDB[#Headers],0),2))=1,_xlfn.SWITCH($N1987,"Uurtarief",IF(OR(AND(RIGHT($F1987,3)="IKS",VLOOKUP($M1987,DB_Loonkosten,2,0)="Ja"),AND(RIGHT($F1987,3)&lt;&gt;"IKS",VLOOKUP($M1987,DB_Loonkosten,2,0)="Nee")),IFERROR(VLOOKUP($M1987,DB_Loonkosten,25,0),""),0),"Vast tarief",IF(LEFT(F1987,8)="Bijdrage",VLOOKUP($F1987,Tb_KostenTypen[],MATCH(Lijsten!$P$1,Tb_KostenTypen[#Headers],0),0),VLOOKUP($G1987,Lijsten!L:P,MATCH(Lijsten!$P$1,Kop_Tarief_Vast,0),0))),""),"")</f>
        <v/>
      </c>
      <c r="Q1987" s="359"/>
      <c r="R1987" s="359"/>
      <c r="S1987" s="321"/>
      <c r="T1987" s="321"/>
      <c r="U1987" s="373" t="str">
        <f t="shared" ref="U1987:U2001" si="124">IFERROR(IF(AND(R1987&lt;&gt;"",R1987&lt;&gt;Q1987),-1*(R1987-Q1987),""),"")</f>
        <v/>
      </c>
      <c r="V1987" s="314" t="str">
        <f t="shared" ref="V1987:V2001" si="125">IFERROR(IF(AND(T1987&lt;&gt;"",T1987&lt;&gt;S1987),-1*(T1987-S1987),""),"")</f>
        <v/>
      </c>
      <c r="W1987" s="314" t="str" cm="1">
        <f t="array" aca="1" ref="W1987" ca="1">IFERROR(IF(AE1987&lt;&gt;"ja",_xlfn.IFNA(_xlfn.IFS(AND(O1987&lt;&gt;"",F1987&lt;&gt;"",RIGHT($N1987,6)="tarief",F1987="Vergoeding"),SUM(O1987)*FLOOR(SUM(Q1987),0.0001),AND(O1987&lt;&gt;"",F1987&lt;&gt;"",RIGHT($N1987,6)="tarief"),SUM(O1987)*FLOOR(SUM(Q1987),0.01),S1987&gt;0,IF(F1987&lt;&gt;"",FLOOR(SUM(S1987),0.01),"")),""),""),"")</f>
        <v/>
      </c>
      <c r="X1987" s="314" t="str" cm="1">
        <f t="array" aca="1" ref="X1987" ca="1">IFERROR(IF(AE1987&lt;&gt;"ja",_xlfn.IFNA(_xlfn.IFS(AND(P1987&lt;&gt;"",R1987&lt;&gt;"",RIGHT($N1987,6)="tarief",F1987="Vergoeding"),SUM(P1987)*FLOOR(SUM(R1987),0.0001),AND(P1987&lt;&gt;"",R1987&lt;&gt;"",RIGHT($N1987,6)="tarief"),P1987*FLOOR(R1987,0.01),T1987&gt;0,FLOOR(SUM(T1987),0.01)),""),""),"")</f>
        <v/>
      </c>
      <c r="Y1987" s="314" t="str">
        <f t="shared" ref="Y1987:Y2001" ca="1" si="126">IFERROR(IF(AND(X1987&lt;&gt;"",X1987&lt;&gt;W1987),-1*(X1987-W1987),""),"")</f>
        <v/>
      </c>
      <c r="Z1987" s="314" t="str" cm="1">
        <f t="array" aca="1" ref="Z1987" ca="1">IFERROR(_xlfn.IFS(OR(F1987="",LEFT(Methode_Keuze,4)="Geen",Methode_Keuze=""),"",AND(W1987&lt;&gt;"",F1987&lt;&gt;"Arbeidskosten"),W1987*VLOOKUP(F1987,Tb_ProjectKosten[],MATCH(Tb_ProjectKosten[[#Headers],[Forfait_Percentage]],Tb_ProjectKosten[#Headers],0),0),AND(F1987="Arbeidskosten",G1987&lt;&gt;""),IFERROR(W1987*VLOOKUP(G1987,Tb_KostenTypen[],3,0)*VLOOKUP(F1987,Tb_ProjectKosten[],MATCH(Tb_ProjectKosten[[#Headers],[Forfait_Percentage]],Tb_ProjectKosten[#Headers],0),0),""),W1987 &lt;=0,0),"")</f>
        <v/>
      </c>
      <c r="AA1987" s="314" t="str" cm="1">
        <f t="array" aca="1" ref="AA1987" ca="1">IFERROR(_xlfn.IFS(OR(F1987="",LEFT(Methode_Keuze,4)="Geen",Methode_Keuze=""),"",AND(X1987&lt;&gt;"",F1987&lt;&gt;"Arbeidskosten"),X1987*VLOOKUP(F1987,Tb_ProjectKosten[],MATCH(Tb_ProjectKosten[[#Headers],[Forfait_Percentage]],Tb_ProjectKosten[#Headers],0),0),AND(F1987="Arbeidskosten",G1987&lt;&gt;""),IFERROR(X1987*VLOOKUP(G1987,Tb_KostenTypen[],3,0)*VLOOKUP(F1987,Tb_ProjectKosten[],MATCH(Tb_ProjectKosten[[#Headers],[Forfait_Percentage]],Tb_ProjectKosten[#Headers],0),0),""),X1987 &lt;=0,0),"")</f>
        <v/>
      </c>
      <c r="AB1987" s="314" t="str">
        <f t="shared" ref="AB1987:AB2001" ca="1" si="127">IFERROR(IF(AND(AA1987&lt;&gt;"",AA1987&lt;&gt;Z1987),-1*(AA1987-Z1987),""),"")</f>
        <v/>
      </c>
      <c r="AC1987" s="322"/>
      <c r="AD1987" s="315"/>
      <c r="AE1987" s="32" t="str" cm="1">
        <f t="array" ref="AE1987">IFERROR(IF(INDEX(SubsidieTabel!$AD$1:$AG$12,MATCH($F1987,SubsidieTabel!$AD$1:$AD$12,0),IFERROR(MATCH(Methode_Keuze,SubsidieTabel!$AD$1:$AG$1,0),2))&lt;&gt;1=TRUE,"ja",""),"")</f>
        <v/>
      </c>
    </row>
    <row r="1988" spans="1:31" x14ac:dyDescent="0.25">
      <c r="A1988" s="316"/>
      <c r="B1988" s="317" t="str">
        <f>IF(A1988&lt;&gt;"",_xlfn.MAXIFS($B$1:B1987,$A$1:A1987,A1988)+1,"")</f>
        <v/>
      </c>
      <c r="C1988" s="296"/>
      <c r="D1988" s="296"/>
      <c r="E1988" s="296"/>
      <c r="F1988" s="296"/>
      <c r="G1988" s="326"/>
      <c r="H1988" s="324"/>
      <c r="I1988" s="325"/>
      <c r="J1988" s="325"/>
      <c r="K1988" s="318"/>
      <c r="L1988" s="318"/>
      <c r="M1988" s="319" t="str">
        <f>IFERROR(VLOOKUP(H1988,Lijsten!$H$1:$I$100,2,0),"")</f>
        <v/>
      </c>
      <c r="N1988" s="319" t="str">
        <f ca="1">IFERROR(IF(VLOOKUP(F1988,Kostentypen!$A$3:$E$21,3,0)=0,"",IF(OR(F1988="Arbeidskosten",F1988="Vergoeding"),VLOOKUP(G1988,Tb_KostenTypen[],2,0),VLOOKUP(F1988,Kostentypen!$A$3:$E$20,3,0))),"")</f>
        <v/>
      </c>
      <c r="O1988" s="320" t="str" cm="1">
        <f t="array" ref="O1988">_xlfn.IFNA(IF(INDEX(Tb_KostenOptiesDB[],MATCH($F1988,Tb_KostenOptiesDB[KostenOptie],0),IFERROR(MATCH(Methode_Keuze,Tb_KostenOptiesDB[#Headers],0),2))=1,_xlfn.SWITCH($N1988,"Uurtarief",IF(OR(AND(RIGHT($F1988,3)="IKS",VLOOKUP($M1988,DB_Loonkosten,2,0)="Ja"),AND(RIGHT($F1988,3)&lt;&gt;"IKS",VLOOKUP($M1988,DB_Loonkosten,2,0)="Nee")),IFERROR(VLOOKUP($M1988,DB_Loonkosten,24,0),""),0),"Vast tarief",IF(LEFT(F1988,8)="Bijdrage",VLOOKUP($F1988,Tb_KostenTypen[],MATCH(Lijsten!$P$1,Tb_KostenTypen[#Headers],0),0),VLOOKUP($G1988,Lijsten!L:P,MATCH(Lijsten!$P$1,Kop_Tarief_Vast,0),0))),""),"")</f>
        <v/>
      </c>
      <c r="P1988" s="320" t="str" cm="1">
        <f t="array" ref="P1988">_xlfn.IFNA(IF(INDEX(Tb_KostenOptiesDB[],MATCH($F1988,Tb_KostenOptiesDB[KostenOptie],0),IFERROR(MATCH(Methode_Keuze,Tb_KostenOptiesDB[#Headers],0),2))=1,_xlfn.SWITCH($N1988,"Uurtarief",IF(OR(AND(RIGHT($F1988,3)="IKS",VLOOKUP($M1988,DB_Loonkosten,2,0)="Ja"),AND(RIGHT($F1988,3)&lt;&gt;"IKS",VLOOKUP($M1988,DB_Loonkosten,2,0)="Nee")),IFERROR(VLOOKUP($M1988,DB_Loonkosten,25,0),""),0),"Vast tarief",IF(LEFT(F1988,8)="Bijdrage",VLOOKUP($F1988,Tb_KostenTypen[],MATCH(Lijsten!$P$1,Tb_KostenTypen[#Headers],0),0),VLOOKUP($G1988,Lijsten!L:P,MATCH(Lijsten!$P$1,Kop_Tarief_Vast,0),0))),""),"")</f>
        <v/>
      </c>
      <c r="Q1988" s="359"/>
      <c r="R1988" s="359"/>
      <c r="S1988" s="321"/>
      <c r="T1988" s="321"/>
      <c r="U1988" s="373" t="str">
        <f t="shared" si="124"/>
        <v/>
      </c>
      <c r="V1988" s="314" t="str">
        <f t="shared" si="125"/>
        <v/>
      </c>
      <c r="W1988" s="314" t="str" cm="1">
        <f t="array" aca="1" ref="W1988" ca="1">IFERROR(IF(AE1988&lt;&gt;"ja",_xlfn.IFNA(_xlfn.IFS(AND(O1988&lt;&gt;"",F1988&lt;&gt;"",RIGHT($N1988,6)="tarief",F1988="Vergoeding"),SUM(O1988)*FLOOR(SUM(Q1988),0.0001),AND(O1988&lt;&gt;"",F1988&lt;&gt;"",RIGHT($N1988,6)="tarief"),SUM(O1988)*FLOOR(SUM(Q1988),0.01),S1988&gt;0,IF(F1988&lt;&gt;"",FLOOR(SUM(S1988),0.01),"")),""),""),"")</f>
        <v/>
      </c>
      <c r="X1988" s="314" t="str" cm="1">
        <f t="array" aca="1" ref="X1988" ca="1">IFERROR(IF(AE1988&lt;&gt;"ja",_xlfn.IFNA(_xlfn.IFS(AND(P1988&lt;&gt;"",R1988&lt;&gt;"",RIGHT($N1988,6)="tarief",F1988="Vergoeding"),SUM(P1988)*FLOOR(SUM(R1988),0.0001),AND(P1988&lt;&gt;"",R1988&lt;&gt;"",RIGHT($N1988,6)="tarief"),P1988*FLOOR(R1988,0.01),T1988&gt;0,FLOOR(SUM(T1988),0.01)),""),""),"")</f>
        <v/>
      </c>
      <c r="Y1988" s="314" t="str">
        <f t="shared" ca="1" si="126"/>
        <v/>
      </c>
      <c r="Z1988" s="314" t="str" cm="1">
        <f t="array" aca="1" ref="Z1988" ca="1">IFERROR(_xlfn.IFS(OR(F1988="",LEFT(Methode_Keuze,4)="Geen",Methode_Keuze=""),"",AND(W1988&lt;&gt;"",F1988&lt;&gt;"Arbeidskosten"),W1988*VLOOKUP(F1988,Tb_ProjectKosten[],MATCH(Tb_ProjectKosten[[#Headers],[Forfait_Percentage]],Tb_ProjectKosten[#Headers],0),0),AND(F1988="Arbeidskosten",G1988&lt;&gt;""),IFERROR(W1988*VLOOKUP(G1988,Tb_KostenTypen[],3,0)*VLOOKUP(F1988,Tb_ProjectKosten[],MATCH(Tb_ProjectKosten[[#Headers],[Forfait_Percentage]],Tb_ProjectKosten[#Headers],0),0),""),W1988 &lt;=0,0),"")</f>
        <v/>
      </c>
      <c r="AA1988" s="314" t="str" cm="1">
        <f t="array" aca="1" ref="AA1988" ca="1">IFERROR(_xlfn.IFS(OR(F1988="",LEFT(Methode_Keuze,4)="Geen",Methode_Keuze=""),"",AND(X1988&lt;&gt;"",F1988&lt;&gt;"Arbeidskosten"),X1988*VLOOKUP(F1988,Tb_ProjectKosten[],MATCH(Tb_ProjectKosten[[#Headers],[Forfait_Percentage]],Tb_ProjectKosten[#Headers],0),0),AND(F1988="Arbeidskosten",G1988&lt;&gt;""),IFERROR(X1988*VLOOKUP(G1988,Tb_KostenTypen[],3,0)*VLOOKUP(F1988,Tb_ProjectKosten[],MATCH(Tb_ProjectKosten[[#Headers],[Forfait_Percentage]],Tb_ProjectKosten[#Headers],0),0),""),X1988 &lt;=0,0),"")</f>
        <v/>
      </c>
      <c r="AB1988" s="314" t="str">
        <f t="shared" ca="1" si="127"/>
        <v/>
      </c>
      <c r="AC1988" s="322"/>
      <c r="AD1988" s="315"/>
      <c r="AE1988" s="32" t="str" cm="1">
        <f t="array" ref="AE1988">IFERROR(IF(INDEX(SubsidieTabel!$AD$1:$AG$12,MATCH($F1988,SubsidieTabel!$AD$1:$AD$12,0),IFERROR(MATCH(Methode_Keuze,SubsidieTabel!$AD$1:$AG$1,0),2))&lt;&gt;1=TRUE,"ja",""),"")</f>
        <v/>
      </c>
    </row>
    <row r="1989" spans="1:31" x14ac:dyDescent="0.25">
      <c r="A1989" s="316"/>
      <c r="B1989" s="317" t="str">
        <f>IF(A1989&lt;&gt;"",_xlfn.MAXIFS($B$1:B1988,$A$1:A1988,A1989)+1,"")</f>
        <v/>
      </c>
      <c r="C1989" s="296"/>
      <c r="D1989" s="296"/>
      <c r="E1989" s="296"/>
      <c r="F1989" s="296"/>
      <c r="G1989" s="326"/>
      <c r="H1989" s="324"/>
      <c r="I1989" s="325"/>
      <c r="J1989" s="325"/>
      <c r="K1989" s="318"/>
      <c r="L1989" s="318"/>
      <c r="M1989" s="319" t="str">
        <f>IFERROR(VLOOKUP(H1989,Lijsten!$H$1:$I$100,2,0),"")</f>
        <v/>
      </c>
      <c r="N1989" s="319" t="str">
        <f ca="1">IFERROR(IF(VLOOKUP(F1989,Kostentypen!$A$3:$E$21,3,0)=0,"",IF(OR(F1989="Arbeidskosten",F1989="Vergoeding"),VLOOKUP(G1989,Tb_KostenTypen[],2,0),VLOOKUP(F1989,Kostentypen!$A$3:$E$20,3,0))),"")</f>
        <v/>
      </c>
      <c r="O1989" s="320" t="str" cm="1">
        <f t="array" ref="O1989">_xlfn.IFNA(IF(INDEX(Tb_KostenOptiesDB[],MATCH($F1989,Tb_KostenOptiesDB[KostenOptie],0),IFERROR(MATCH(Methode_Keuze,Tb_KostenOptiesDB[#Headers],0),2))=1,_xlfn.SWITCH($N1989,"Uurtarief",IF(OR(AND(RIGHT($F1989,3)="IKS",VLOOKUP($M1989,DB_Loonkosten,2,0)="Ja"),AND(RIGHT($F1989,3)&lt;&gt;"IKS",VLOOKUP($M1989,DB_Loonkosten,2,0)="Nee")),IFERROR(VLOOKUP($M1989,DB_Loonkosten,24,0),""),0),"Vast tarief",IF(LEFT(F1989,8)="Bijdrage",VLOOKUP($F1989,Tb_KostenTypen[],MATCH(Lijsten!$P$1,Tb_KostenTypen[#Headers],0),0),VLOOKUP($G1989,Lijsten!L:P,MATCH(Lijsten!$P$1,Kop_Tarief_Vast,0),0))),""),"")</f>
        <v/>
      </c>
      <c r="P1989" s="320" t="str" cm="1">
        <f t="array" ref="P1989">_xlfn.IFNA(IF(INDEX(Tb_KostenOptiesDB[],MATCH($F1989,Tb_KostenOptiesDB[KostenOptie],0),IFERROR(MATCH(Methode_Keuze,Tb_KostenOptiesDB[#Headers],0),2))=1,_xlfn.SWITCH($N1989,"Uurtarief",IF(OR(AND(RIGHT($F1989,3)="IKS",VLOOKUP($M1989,DB_Loonkosten,2,0)="Ja"),AND(RIGHT($F1989,3)&lt;&gt;"IKS",VLOOKUP($M1989,DB_Loonkosten,2,0)="Nee")),IFERROR(VLOOKUP($M1989,DB_Loonkosten,25,0),""),0),"Vast tarief",IF(LEFT(F1989,8)="Bijdrage",VLOOKUP($F1989,Tb_KostenTypen[],MATCH(Lijsten!$P$1,Tb_KostenTypen[#Headers],0),0),VLOOKUP($G1989,Lijsten!L:P,MATCH(Lijsten!$P$1,Kop_Tarief_Vast,0),0))),""),"")</f>
        <v/>
      </c>
      <c r="Q1989" s="359"/>
      <c r="R1989" s="359"/>
      <c r="S1989" s="321"/>
      <c r="T1989" s="321"/>
      <c r="U1989" s="373" t="str">
        <f t="shared" si="124"/>
        <v/>
      </c>
      <c r="V1989" s="314" t="str">
        <f t="shared" si="125"/>
        <v/>
      </c>
      <c r="W1989" s="314" t="str" cm="1">
        <f t="array" aca="1" ref="W1989" ca="1">IFERROR(IF(AE1989&lt;&gt;"ja",_xlfn.IFNA(_xlfn.IFS(AND(O1989&lt;&gt;"",F1989&lt;&gt;"",RIGHT($N1989,6)="tarief",F1989="Vergoeding"),SUM(O1989)*FLOOR(SUM(Q1989),0.0001),AND(O1989&lt;&gt;"",F1989&lt;&gt;"",RIGHT($N1989,6)="tarief"),SUM(O1989)*FLOOR(SUM(Q1989),0.01),S1989&gt;0,IF(F1989&lt;&gt;"",FLOOR(SUM(S1989),0.01),"")),""),""),"")</f>
        <v/>
      </c>
      <c r="X1989" s="314" t="str" cm="1">
        <f t="array" aca="1" ref="X1989" ca="1">IFERROR(IF(AE1989&lt;&gt;"ja",_xlfn.IFNA(_xlfn.IFS(AND(P1989&lt;&gt;"",R1989&lt;&gt;"",RIGHT($N1989,6)="tarief",F1989="Vergoeding"),SUM(P1989)*FLOOR(SUM(R1989),0.0001),AND(P1989&lt;&gt;"",R1989&lt;&gt;"",RIGHT($N1989,6)="tarief"),P1989*FLOOR(R1989,0.01),T1989&gt;0,FLOOR(SUM(T1989),0.01)),""),""),"")</f>
        <v/>
      </c>
      <c r="Y1989" s="314" t="str">
        <f t="shared" ca="1" si="126"/>
        <v/>
      </c>
      <c r="Z1989" s="314" t="str" cm="1">
        <f t="array" aca="1" ref="Z1989" ca="1">IFERROR(_xlfn.IFS(OR(F1989="",LEFT(Methode_Keuze,4)="Geen",Methode_Keuze=""),"",AND(W1989&lt;&gt;"",F1989&lt;&gt;"Arbeidskosten"),W1989*VLOOKUP(F1989,Tb_ProjectKosten[],MATCH(Tb_ProjectKosten[[#Headers],[Forfait_Percentage]],Tb_ProjectKosten[#Headers],0),0),AND(F1989="Arbeidskosten",G1989&lt;&gt;""),IFERROR(W1989*VLOOKUP(G1989,Tb_KostenTypen[],3,0)*VLOOKUP(F1989,Tb_ProjectKosten[],MATCH(Tb_ProjectKosten[[#Headers],[Forfait_Percentage]],Tb_ProjectKosten[#Headers],0),0),""),W1989 &lt;=0,0),"")</f>
        <v/>
      </c>
      <c r="AA1989" s="314" t="str" cm="1">
        <f t="array" aca="1" ref="AA1989" ca="1">IFERROR(_xlfn.IFS(OR(F1989="",LEFT(Methode_Keuze,4)="Geen",Methode_Keuze=""),"",AND(X1989&lt;&gt;"",F1989&lt;&gt;"Arbeidskosten"),X1989*VLOOKUP(F1989,Tb_ProjectKosten[],MATCH(Tb_ProjectKosten[[#Headers],[Forfait_Percentage]],Tb_ProjectKosten[#Headers],0),0),AND(F1989="Arbeidskosten",G1989&lt;&gt;""),IFERROR(X1989*VLOOKUP(G1989,Tb_KostenTypen[],3,0)*VLOOKUP(F1989,Tb_ProjectKosten[],MATCH(Tb_ProjectKosten[[#Headers],[Forfait_Percentage]],Tb_ProjectKosten[#Headers],0),0),""),X1989 &lt;=0,0),"")</f>
        <v/>
      </c>
      <c r="AB1989" s="314" t="str">
        <f t="shared" ca="1" si="127"/>
        <v/>
      </c>
      <c r="AC1989" s="322"/>
      <c r="AD1989" s="315"/>
      <c r="AE1989" s="32" t="str" cm="1">
        <f t="array" ref="AE1989">IFERROR(IF(INDEX(SubsidieTabel!$AD$1:$AG$12,MATCH($F1989,SubsidieTabel!$AD$1:$AD$12,0),IFERROR(MATCH(Methode_Keuze,SubsidieTabel!$AD$1:$AG$1,0),2))&lt;&gt;1=TRUE,"ja",""),"")</f>
        <v/>
      </c>
    </row>
    <row r="1990" spans="1:31" x14ac:dyDescent="0.25">
      <c r="A1990" s="316"/>
      <c r="B1990" s="317" t="str">
        <f>IF(A1990&lt;&gt;"",_xlfn.MAXIFS($B$1:B1989,$A$1:A1989,A1990)+1,"")</f>
        <v/>
      </c>
      <c r="C1990" s="296"/>
      <c r="D1990" s="296"/>
      <c r="E1990" s="296"/>
      <c r="F1990" s="296"/>
      <c r="G1990" s="326"/>
      <c r="H1990" s="324"/>
      <c r="I1990" s="325"/>
      <c r="J1990" s="325"/>
      <c r="K1990" s="318"/>
      <c r="L1990" s="318"/>
      <c r="M1990" s="319" t="str">
        <f>IFERROR(VLOOKUP(H1990,Lijsten!$H$1:$I$100,2,0),"")</f>
        <v/>
      </c>
      <c r="N1990" s="319" t="str">
        <f ca="1">IFERROR(IF(VLOOKUP(F1990,Kostentypen!$A$3:$E$21,3,0)=0,"",IF(OR(F1990="Arbeidskosten",F1990="Vergoeding"),VLOOKUP(G1990,Tb_KostenTypen[],2,0),VLOOKUP(F1990,Kostentypen!$A$3:$E$20,3,0))),"")</f>
        <v/>
      </c>
      <c r="O1990" s="320" t="str" cm="1">
        <f t="array" ref="O1990">_xlfn.IFNA(IF(INDEX(Tb_KostenOptiesDB[],MATCH($F1990,Tb_KostenOptiesDB[KostenOptie],0),IFERROR(MATCH(Methode_Keuze,Tb_KostenOptiesDB[#Headers],0),2))=1,_xlfn.SWITCH($N1990,"Uurtarief",IF(OR(AND(RIGHT($F1990,3)="IKS",VLOOKUP($M1990,DB_Loonkosten,2,0)="Ja"),AND(RIGHT($F1990,3)&lt;&gt;"IKS",VLOOKUP($M1990,DB_Loonkosten,2,0)="Nee")),IFERROR(VLOOKUP($M1990,DB_Loonkosten,24,0),""),0),"Vast tarief",IF(LEFT(F1990,8)="Bijdrage",VLOOKUP($F1990,Tb_KostenTypen[],MATCH(Lijsten!$P$1,Tb_KostenTypen[#Headers],0),0),VLOOKUP($G1990,Lijsten!L:P,MATCH(Lijsten!$P$1,Kop_Tarief_Vast,0),0))),""),"")</f>
        <v/>
      </c>
      <c r="P1990" s="320" t="str" cm="1">
        <f t="array" ref="P1990">_xlfn.IFNA(IF(INDEX(Tb_KostenOptiesDB[],MATCH($F1990,Tb_KostenOptiesDB[KostenOptie],0),IFERROR(MATCH(Methode_Keuze,Tb_KostenOptiesDB[#Headers],0),2))=1,_xlfn.SWITCH($N1990,"Uurtarief",IF(OR(AND(RIGHT($F1990,3)="IKS",VLOOKUP($M1990,DB_Loonkosten,2,0)="Ja"),AND(RIGHT($F1990,3)&lt;&gt;"IKS",VLOOKUP($M1990,DB_Loonkosten,2,0)="Nee")),IFERROR(VLOOKUP($M1990,DB_Loonkosten,25,0),""),0),"Vast tarief",IF(LEFT(F1990,8)="Bijdrage",VLOOKUP($F1990,Tb_KostenTypen[],MATCH(Lijsten!$P$1,Tb_KostenTypen[#Headers],0),0),VLOOKUP($G1990,Lijsten!L:P,MATCH(Lijsten!$P$1,Kop_Tarief_Vast,0),0))),""),"")</f>
        <v/>
      </c>
      <c r="Q1990" s="359"/>
      <c r="R1990" s="359"/>
      <c r="S1990" s="321"/>
      <c r="T1990" s="321"/>
      <c r="U1990" s="373" t="str">
        <f t="shared" si="124"/>
        <v/>
      </c>
      <c r="V1990" s="314" t="str">
        <f t="shared" si="125"/>
        <v/>
      </c>
      <c r="W1990" s="314" t="str" cm="1">
        <f t="array" aca="1" ref="W1990" ca="1">IFERROR(IF(AE1990&lt;&gt;"ja",_xlfn.IFNA(_xlfn.IFS(AND(O1990&lt;&gt;"",F1990&lt;&gt;"",RIGHT($N1990,6)="tarief",F1990="Vergoeding"),SUM(O1990)*FLOOR(SUM(Q1990),0.0001),AND(O1990&lt;&gt;"",F1990&lt;&gt;"",RIGHT($N1990,6)="tarief"),SUM(O1990)*FLOOR(SUM(Q1990),0.01),S1990&gt;0,IF(F1990&lt;&gt;"",FLOOR(SUM(S1990),0.01),"")),""),""),"")</f>
        <v/>
      </c>
      <c r="X1990" s="314" t="str" cm="1">
        <f t="array" aca="1" ref="X1990" ca="1">IFERROR(IF(AE1990&lt;&gt;"ja",_xlfn.IFNA(_xlfn.IFS(AND(P1990&lt;&gt;"",R1990&lt;&gt;"",RIGHT($N1990,6)="tarief",F1990="Vergoeding"),SUM(P1990)*FLOOR(SUM(R1990),0.0001),AND(P1990&lt;&gt;"",R1990&lt;&gt;"",RIGHT($N1990,6)="tarief"),P1990*FLOOR(R1990,0.01),T1990&gt;0,FLOOR(SUM(T1990),0.01)),""),""),"")</f>
        <v/>
      </c>
      <c r="Y1990" s="314" t="str">
        <f t="shared" ca="1" si="126"/>
        <v/>
      </c>
      <c r="Z1990" s="314" t="str" cm="1">
        <f t="array" aca="1" ref="Z1990" ca="1">IFERROR(_xlfn.IFS(OR(F1990="",LEFT(Methode_Keuze,4)="Geen",Methode_Keuze=""),"",AND(W1990&lt;&gt;"",F1990&lt;&gt;"Arbeidskosten"),W1990*VLOOKUP(F1990,Tb_ProjectKosten[],MATCH(Tb_ProjectKosten[[#Headers],[Forfait_Percentage]],Tb_ProjectKosten[#Headers],0),0),AND(F1990="Arbeidskosten",G1990&lt;&gt;""),IFERROR(W1990*VLOOKUP(G1990,Tb_KostenTypen[],3,0)*VLOOKUP(F1990,Tb_ProjectKosten[],MATCH(Tb_ProjectKosten[[#Headers],[Forfait_Percentage]],Tb_ProjectKosten[#Headers],0),0),""),W1990 &lt;=0,0),"")</f>
        <v/>
      </c>
      <c r="AA1990" s="314" t="str" cm="1">
        <f t="array" aca="1" ref="AA1990" ca="1">IFERROR(_xlfn.IFS(OR(F1990="",LEFT(Methode_Keuze,4)="Geen",Methode_Keuze=""),"",AND(X1990&lt;&gt;"",F1990&lt;&gt;"Arbeidskosten"),X1990*VLOOKUP(F1990,Tb_ProjectKosten[],MATCH(Tb_ProjectKosten[[#Headers],[Forfait_Percentage]],Tb_ProjectKosten[#Headers],0),0),AND(F1990="Arbeidskosten",G1990&lt;&gt;""),IFERROR(X1990*VLOOKUP(G1990,Tb_KostenTypen[],3,0)*VLOOKUP(F1990,Tb_ProjectKosten[],MATCH(Tb_ProjectKosten[[#Headers],[Forfait_Percentage]],Tb_ProjectKosten[#Headers],0),0),""),X1990 &lt;=0,0),"")</f>
        <v/>
      </c>
      <c r="AB1990" s="314" t="str">
        <f t="shared" ca="1" si="127"/>
        <v/>
      </c>
      <c r="AC1990" s="322"/>
      <c r="AD1990" s="315"/>
      <c r="AE1990" s="32" t="str" cm="1">
        <f t="array" ref="AE1990">IFERROR(IF(INDEX(SubsidieTabel!$AD$1:$AG$12,MATCH($F1990,SubsidieTabel!$AD$1:$AD$12,0),IFERROR(MATCH(Methode_Keuze,SubsidieTabel!$AD$1:$AG$1,0),2))&lt;&gt;1=TRUE,"ja",""),"")</f>
        <v/>
      </c>
    </row>
    <row r="1991" spans="1:31" x14ac:dyDescent="0.25">
      <c r="A1991" s="316"/>
      <c r="B1991" s="317" t="str">
        <f>IF(A1991&lt;&gt;"",_xlfn.MAXIFS($B$1:B1990,$A$1:A1990,A1991)+1,"")</f>
        <v/>
      </c>
      <c r="C1991" s="296"/>
      <c r="D1991" s="296"/>
      <c r="E1991" s="296"/>
      <c r="F1991" s="296"/>
      <c r="G1991" s="326"/>
      <c r="H1991" s="324"/>
      <c r="I1991" s="325"/>
      <c r="J1991" s="325"/>
      <c r="K1991" s="318"/>
      <c r="L1991" s="318"/>
      <c r="M1991" s="319" t="str">
        <f>IFERROR(VLOOKUP(H1991,Lijsten!$H$1:$I$100,2,0),"")</f>
        <v/>
      </c>
      <c r="N1991" s="319" t="str">
        <f ca="1">IFERROR(IF(VLOOKUP(F1991,Kostentypen!$A$3:$E$21,3,0)=0,"",IF(OR(F1991="Arbeidskosten",F1991="Vergoeding"),VLOOKUP(G1991,Tb_KostenTypen[],2,0),VLOOKUP(F1991,Kostentypen!$A$3:$E$20,3,0))),"")</f>
        <v/>
      </c>
      <c r="O1991" s="320" t="str" cm="1">
        <f t="array" ref="O1991">_xlfn.IFNA(IF(INDEX(Tb_KostenOptiesDB[],MATCH($F1991,Tb_KostenOptiesDB[KostenOptie],0),IFERROR(MATCH(Methode_Keuze,Tb_KostenOptiesDB[#Headers],0),2))=1,_xlfn.SWITCH($N1991,"Uurtarief",IF(OR(AND(RIGHT($F1991,3)="IKS",VLOOKUP($M1991,DB_Loonkosten,2,0)="Ja"),AND(RIGHT($F1991,3)&lt;&gt;"IKS",VLOOKUP($M1991,DB_Loonkosten,2,0)="Nee")),IFERROR(VLOOKUP($M1991,DB_Loonkosten,24,0),""),0),"Vast tarief",IF(LEFT(F1991,8)="Bijdrage",VLOOKUP($F1991,Tb_KostenTypen[],MATCH(Lijsten!$P$1,Tb_KostenTypen[#Headers],0),0),VLOOKUP($G1991,Lijsten!L:P,MATCH(Lijsten!$P$1,Kop_Tarief_Vast,0),0))),""),"")</f>
        <v/>
      </c>
      <c r="P1991" s="320" t="str" cm="1">
        <f t="array" ref="P1991">_xlfn.IFNA(IF(INDEX(Tb_KostenOptiesDB[],MATCH($F1991,Tb_KostenOptiesDB[KostenOptie],0),IFERROR(MATCH(Methode_Keuze,Tb_KostenOptiesDB[#Headers],0),2))=1,_xlfn.SWITCH($N1991,"Uurtarief",IF(OR(AND(RIGHT($F1991,3)="IKS",VLOOKUP($M1991,DB_Loonkosten,2,0)="Ja"),AND(RIGHT($F1991,3)&lt;&gt;"IKS",VLOOKUP($M1991,DB_Loonkosten,2,0)="Nee")),IFERROR(VLOOKUP($M1991,DB_Loonkosten,25,0),""),0),"Vast tarief",IF(LEFT(F1991,8)="Bijdrage",VLOOKUP($F1991,Tb_KostenTypen[],MATCH(Lijsten!$P$1,Tb_KostenTypen[#Headers],0),0),VLOOKUP($G1991,Lijsten!L:P,MATCH(Lijsten!$P$1,Kop_Tarief_Vast,0),0))),""),"")</f>
        <v/>
      </c>
      <c r="Q1991" s="359"/>
      <c r="R1991" s="359"/>
      <c r="S1991" s="321"/>
      <c r="T1991" s="321"/>
      <c r="U1991" s="373" t="str">
        <f t="shared" si="124"/>
        <v/>
      </c>
      <c r="V1991" s="314" t="str">
        <f t="shared" si="125"/>
        <v/>
      </c>
      <c r="W1991" s="314" t="str" cm="1">
        <f t="array" aca="1" ref="W1991" ca="1">IFERROR(IF(AE1991&lt;&gt;"ja",_xlfn.IFNA(_xlfn.IFS(AND(O1991&lt;&gt;"",F1991&lt;&gt;"",RIGHT($N1991,6)="tarief",F1991="Vergoeding"),SUM(O1991)*FLOOR(SUM(Q1991),0.0001),AND(O1991&lt;&gt;"",F1991&lt;&gt;"",RIGHT($N1991,6)="tarief"),SUM(O1991)*FLOOR(SUM(Q1991),0.01),S1991&gt;0,IF(F1991&lt;&gt;"",FLOOR(SUM(S1991),0.01),"")),""),""),"")</f>
        <v/>
      </c>
      <c r="X1991" s="314" t="str" cm="1">
        <f t="array" aca="1" ref="X1991" ca="1">IFERROR(IF(AE1991&lt;&gt;"ja",_xlfn.IFNA(_xlfn.IFS(AND(P1991&lt;&gt;"",R1991&lt;&gt;"",RIGHT($N1991,6)="tarief",F1991="Vergoeding"),SUM(P1991)*FLOOR(SUM(R1991),0.0001),AND(P1991&lt;&gt;"",R1991&lt;&gt;"",RIGHT($N1991,6)="tarief"),P1991*FLOOR(R1991,0.01),T1991&gt;0,FLOOR(SUM(T1991),0.01)),""),""),"")</f>
        <v/>
      </c>
      <c r="Y1991" s="314" t="str">
        <f t="shared" ca="1" si="126"/>
        <v/>
      </c>
      <c r="Z1991" s="314" t="str" cm="1">
        <f t="array" aca="1" ref="Z1991" ca="1">IFERROR(_xlfn.IFS(OR(F1991="",LEFT(Methode_Keuze,4)="Geen",Methode_Keuze=""),"",AND(W1991&lt;&gt;"",F1991&lt;&gt;"Arbeidskosten"),W1991*VLOOKUP(F1991,Tb_ProjectKosten[],MATCH(Tb_ProjectKosten[[#Headers],[Forfait_Percentage]],Tb_ProjectKosten[#Headers],0),0),AND(F1991="Arbeidskosten",G1991&lt;&gt;""),IFERROR(W1991*VLOOKUP(G1991,Tb_KostenTypen[],3,0)*VLOOKUP(F1991,Tb_ProjectKosten[],MATCH(Tb_ProjectKosten[[#Headers],[Forfait_Percentage]],Tb_ProjectKosten[#Headers],0),0),""),W1991 &lt;=0,0),"")</f>
        <v/>
      </c>
      <c r="AA1991" s="314" t="str" cm="1">
        <f t="array" aca="1" ref="AA1991" ca="1">IFERROR(_xlfn.IFS(OR(F1991="",LEFT(Methode_Keuze,4)="Geen",Methode_Keuze=""),"",AND(X1991&lt;&gt;"",F1991&lt;&gt;"Arbeidskosten"),X1991*VLOOKUP(F1991,Tb_ProjectKosten[],MATCH(Tb_ProjectKosten[[#Headers],[Forfait_Percentage]],Tb_ProjectKosten[#Headers],0),0),AND(F1991="Arbeidskosten",G1991&lt;&gt;""),IFERROR(X1991*VLOOKUP(G1991,Tb_KostenTypen[],3,0)*VLOOKUP(F1991,Tb_ProjectKosten[],MATCH(Tb_ProjectKosten[[#Headers],[Forfait_Percentage]],Tb_ProjectKosten[#Headers],0),0),""),X1991 &lt;=0,0),"")</f>
        <v/>
      </c>
      <c r="AB1991" s="314" t="str">
        <f t="shared" ca="1" si="127"/>
        <v/>
      </c>
      <c r="AC1991" s="322"/>
      <c r="AD1991" s="315"/>
      <c r="AE1991" s="32" t="str" cm="1">
        <f t="array" ref="AE1991">IFERROR(IF(INDEX(SubsidieTabel!$AD$1:$AG$12,MATCH($F1991,SubsidieTabel!$AD$1:$AD$12,0),IFERROR(MATCH(Methode_Keuze,SubsidieTabel!$AD$1:$AG$1,0),2))&lt;&gt;1=TRUE,"ja",""),"")</f>
        <v/>
      </c>
    </row>
    <row r="1992" spans="1:31" x14ac:dyDescent="0.25">
      <c r="A1992" s="316"/>
      <c r="B1992" s="317" t="str">
        <f>IF(A1992&lt;&gt;"",_xlfn.MAXIFS($B$1:B1991,$A$1:A1991,A1992)+1,"")</f>
        <v/>
      </c>
      <c r="C1992" s="296"/>
      <c r="D1992" s="296"/>
      <c r="E1992" s="296"/>
      <c r="F1992" s="296"/>
      <c r="G1992" s="326"/>
      <c r="H1992" s="324"/>
      <c r="I1992" s="325"/>
      <c r="J1992" s="325"/>
      <c r="K1992" s="318"/>
      <c r="L1992" s="318"/>
      <c r="M1992" s="319" t="str">
        <f>IFERROR(VLOOKUP(H1992,Lijsten!$H$1:$I$100,2,0),"")</f>
        <v/>
      </c>
      <c r="N1992" s="319" t="str">
        <f ca="1">IFERROR(IF(VLOOKUP(F1992,Kostentypen!$A$3:$E$21,3,0)=0,"",IF(OR(F1992="Arbeidskosten",F1992="Vergoeding"),VLOOKUP(G1992,Tb_KostenTypen[],2,0),VLOOKUP(F1992,Kostentypen!$A$3:$E$20,3,0))),"")</f>
        <v/>
      </c>
      <c r="O1992" s="320" t="str" cm="1">
        <f t="array" ref="O1992">_xlfn.IFNA(IF(INDEX(Tb_KostenOptiesDB[],MATCH($F1992,Tb_KostenOptiesDB[KostenOptie],0),IFERROR(MATCH(Methode_Keuze,Tb_KostenOptiesDB[#Headers],0),2))=1,_xlfn.SWITCH($N1992,"Uurtarief",IF(OR(AND(RIGHT($F1992,3)="IKS",VLOOKUP($M1992,DB_Loonkosten,2,0)="Ja"),AND(RIGHT($F1992,3)&lt;&gt;"IKS",VLOOKUP($M1992,DB_Loonkosten,2,0)="Nee")),IFERROR(VLOOKUP($M1992,DB_Loonkosten,24,0),""),0),"Vast tarief",IF(LEFT(F1992,8)="Bijdrage",VLOOKUP($F1992,Tb_KostenTypen[],MATCH(Lijsten!$P$1,Tb_KostenTypen[#Headers],0),0),VLOOKUP($G1992,Lijsten!L:P,MATCH(Lijsten!$P$1,Kop_Tarief_Vast,0),0))),""),"")</f>
        <v/>
      </c>
      <c r="P1992" s="320" t="str" cm="1">
        <f t="array" ref="P1992">_xlfn.IFNA(IF(INDEX(Tb_KostenOptiesDB[],MATCH($F1992,Tb_KostenOptiesDB[KostenOptie],0),IFERROR(MATCH(Methode_Keuze,Tb_KostenOptiesDB[#Headers],0),2))=1,_xlfn.SWITCH($N1992,"Uurtarief",IF(OR(AND(RIGHT($F1992,3)="IKS",VLOOKUP($M1992,DB_Loonkosten,2,0)="Ja"),AND(RIGHT($F1992,3)&lt;&gt;"IKS",VLOOKUP($M1992,DB_Loonkosten,2,0)="Nee")),IFERROR(VLOOKUP($M1992,DB_Loonkosten,25,0),""),0),"Vast tarief",IF(LEFT(F1992,8)="Bijdrage",VLOOKUP($F1992,Tb_KostenTypen[],MATCH(Lijsten!$P$1,Tb_KostenTypen[#Headers],0),0),VLOOKUP($G1992,Lijsten!L:P,MATCH(Lijsten!$P$1,Kop_Tarief_Vast,0),0))),""),"")</f>
        <v/>
      </c>
      <c r="Q1992" s="359"/>
      <c r="R1992" s="359"/>
      <c r="S1992" s="321"/>
      <c r="T1992" s="321"/>
      <c r="U1992" s="373" t="str">
        <f t="shared" si="124"/>
        <v/>
      </c>
      <c r="V1992" s="314" t="str">
        <f t="shared" si="125"/>
        <v/>
      </c>
      <c r="W1992" s="314" t="str" cm="1">
        <f t="array" aca="1" ref="W1992" ca="1">IFERROR(IF(AE1992&lt;&gt;"ja",_xlfn.IFNA(_xlfn.IFS(AND(O1992&lt;&gt;"",F1992&lt;&gt;"",RIGHT($N1992,6)="tarief",F1992="Vergoeding"),SUM(O1992)*FLOOR(SUM(Q1992),0.0001),AND(O1992&lt;&gt;"",F1992&lt;&gt;"",RIGHT($N1992,6)="tarief"),SUM(O1992)*FLOOR(SUM(Q1992),0.01),S1992&gt;0,IF(F1992&lt;&gt;"",FLOOR(SUM(S1992),0.01),"")),""),""),"")</f>
        <v/>
      </c>
      <c r="X1992" s="314" t="str" cm="1">
        <f t="array" aca="1" ref="X1992" ca="1">IFERROR(IF(AE1992&lt;&gt;"ja",_xlfn.IFNA(_xlfn.IFS(AND(P1992&lt;&gt;"",R1992&lt;&gt;"",RIGHT($N1992,6)="tarief",F1992="Vergoeding"),SUM(P1992)*FLOOR(SUM(R1992),0.0001),AND(P1992&lt;&gt;"",R1992&lt;&gt;"",RIGHT($N1992,6)="tarief"),P1992*FLOOR(R1992,0.01),T1992&gt;0,FLOOR(SUM(T1992),0.01)),""),""),"")</f>
        <v/>
      </c>
      <c r="Y1992" s="314" t="str">
        <f t="shared" ca="1" si="126"/>
        <v/>
      </c>
      <c r="Z1992" s="314" t="str" cm="1">
        <f t="array" aca="1" ref="Z1992" ca="1">IFERROR(_xlfn.IFS(OR(F1992="",LEFT(Methode_Keuze,4)="Geen",Methode_Keuze=""),"",AND(W1992&lt;&gt;"",F1992&lt;&gt;"Arbeidskosten"),W1992*VLOOKUP(F1992,Tb_ProjectKosten[],MATCH(Tb_ProjectKosten[[#Headers],[Forfait_Percentage]],Tb_ProjectKosten[#Headers],0),0),AND(F1992="Arbeidskosten",G1992&lt;&gt;""),IFERROR(W1992*VLOOKUP(G1992,Tb_KostenTypen[],3,0)*VLOOKUP(F1992,Tb_ProjectKosten[],MATCH(Tb_ProjectKosten[[#Headers],[Forfait_Percentage]],Tb_ProjectKosten[#Headers],0),0),""),W1992 &lt;=0,0),"")</f>
        <v/>
      </c>
      <c r="AA1992" s="314" t="str" cm="1">
        <f t="array" aca="1" ref="AA1992" ca="1">IFERROR(_xlfn.IFS(OR(F1992="",LEFT(Methode_Keuze,4)="Geen",Methode_Keuze=""),"",AND(X1992&lt;&gt;"",F1992&lt;&gt;"Arbeidskosten"),X1992*VLOOKUP(F1992,Tb_ProjectKosten[],MATCH(Tb_ProjectKosten[[#Headers],[Forfait_Percentage]],Tb_ProjectKosten[#Headers],0),0),AND(F1992="Arbeidskosten",G1992&lt;&gt;""),IFERROR(X1992*VLOOKUP(G1992,Tb_KostenTypen[],3,0)*VLOOKUP(F1992,Tb_ProjectKosten[],MATCH(Tb_ProjectKosten[[#Headers],[Forfait_Percentage]],Tb_ProjectKosten[#Headers],0),0),""),X1992 &lt;=0,0),"")</f>
        <v/>
      </c>
      <c r="AB1992" s="314" t="str">
        <f t="shared" ca="1" si="127"/>
        <v/>
      </c>
      <c r="AC1992" s="322"/>
      <c r="AD1992" s="315"/>
      <c r="AE1992" s="32" t="str" cm="1">
        <f t="array" ref="AE1992">IFERROR(IF(INDEX(SubsidieTabel!$AD$1:$AG$12,MATCH($F1992,SubsidieTabel!$AD$1:$AD$12,0),IFERROR(MATCH(Methode_Keuze,SubsidieTabel!$AD$1:$AG$1,0),2))&lt;&gt;1=TRUE,"ja",""),"")</f>
        <v/>
      </c>
    </row>
    <row r="1993" spans="1:31" x14ac:dyDescent="0.25">
      <c r="A1993" s="316"/>
      <c r="B1993" s="317" t="str">
        <f>IF(A1993&lt;&gt;"",_xlfn.MAXIFS($B$1:B1992,$A$1:A1992,A1993)+1,"")</f>
        <v/>
      </c>
      <c r="C1993" s="296"/>
      <c r="D1993" s="296"/>
      <c r="E1993" s="296"/>
      <c r="F1993" s="296"/>
      <c r="G1993" s="326"/>
      <c r="H1993" s="324"/>
      <c r="I1993" s="325"/>
      <c r="J1993" s="325"/>
      <c r="K1993" s="318"/>
      <c r="L1993" s="318"/>
      <c r="M1993" s="319" t="str">
        <f>IFERROR(VLOOKUP(H1993,Lijsten!$H$1:$I$100,2,0),"")</f>
        <v/>
      </c>
      <c r="N1993" s="319" t="str">
        <f ca="1">IFERROR(IF(VLOOKUP(F1993,Kostentypen!$A$3:$E$21,3,0)=0,"",IF(OR(F1993="Arbeidskosten",F1993="Vergoeding"),VLOOKUP(G1993,Tb_KostenTypen[],2,0),VLOOKUP(F1993,Kostentypen!$A$3:$E$20,3,0))),"")</f>
        <v/>
      </c>
      <c r="O1993" s="320" t="str" cm="1">
        <f t="array" ref="O1993">_xlfn.IFNA(IF(INDEX(Tb_KostenOptiesDB[],MATCH($F1993,Tb_KostenOptiesDB[KostenOptie],0),IFERROR(MATCH(Methode_Keuze,Tb_KostenOptiesDB[#Headers],0),2))=1,_xlfn.SWITCH($N1993,"Uurtarief",IF(OR(AND(RIGHT($F1993,3)="IKS",VLOOKUP($M1993,DB_Loonkosten,2,0)="Ja"),AND(RIGHT($F1993,3)&lt;&gt;"IKS",VLOOKUP($M1993,DB_Loonkosten,2,0)="Nee")),IFERROR(VLOOKUP($M1993,DB_Loonkosten,24,0),""),0),"Vast tarief",IF(LEFT(F1993,8)="Bijdrage",VLOOKUP($F1993,Tb_KostenTypen[],MATCH(Lijsten!$P$1,Tb_KostenTypen[#Headers],0),0),VLOOKUP($G1993,Lijsten!L:P,MATCH(Lijsten!$P$1,Kop_Tarief_Vast,0),0))),""),"")</f>
        <v/>
      </c>
      <c r="P1993" s="320" t="str" cm="1">
        <f t="array" ref="P1993">_xlfn.IFNA(IF(INDEX(Tb_KostenOptiesDB[],MATCH($F1993,Tb_KostenOptiesDB[KostenOptie],0),IFERROR(MATCH(Methode_Keuze,Tb_KostenOptiesDB[#Headers],0),2))=1,_xlfn.SWITCH($N1993,"Uurtarief",IF(OR(AND(RIGHT($F1993,3)="IKS",VLOOKUP($M1993,DB_Loonkosten,2,0)="Ja"),AND(RIGHT($F1993,3)&lt;&gt;"IKS",VLOOKUP($M1993,DB_Loonkosten,2,0)="Nee")),IFERROR(VLOOKUP($M1993,DB_Loonkosten,25,0),""),0),"Vast tarief",IF(LEFT(F1993,8)="Bijdrage",VLOOKUP($F1993,Tb_KostenTypen[],MATCH(Lijsten!$P$1,Tb_KostenTypen[#Headers],0),0),VLOOKUP($G1993,Lijsten!L:P,MATCH(Lijsten!$P$1,Kop_Tarief_Vast,0),0))),""),"")</f>
        <v/>
      </c>
      <c r="Q1993" s="359"/>
      <c r="R1993" s="359"/>
      <c r="S1993" s="321"/>
      <c r="T1993" s="321"/>
      <c r="U1993" s="373" t="str">
        <f t="shared" si="124"/>
        <v/>
      </c>
      <c r="V1993" s="314" t="str">
        <f t="shared" si="125"/>
        <v/>
      </c>
      <c r="W1993" s="314" t="str" cm="1">
        <f t="array" aca="1" ref="W1993" ca="1">IFERROR(IF(AE1993&lt;&gt;"ja",_xlfn.IFNA(_xlfn.IFS(AND(O1993&lt;&gt;"",F1993&lt;&gt;"",RIGHT($N1993,6)="tarief",F1993="Vergoeding"),SUM(O1993)*FLOOR(SUM(Q1993),0.0001),AND(O1993&lt;&gt;"",F1993&lt;&gt;"",RIGHT($N1993,6)="tarief"),SUM(O1993)*FLOOR(SUM(Q1993),0.01),S1993&gt;0,IF(F1993&lt;&gt;"",FLOOR(SUM(S1993),0.01),"")),""),""),"")</f>
        <v/>
      </c>
      <c r="X1993" s="314" t="str" cm="1">
        <f t="array" aca="1" ref="X1993" ca="1">IFERROR(IF(AE1993&lt;&gt;"ja",_xlfn.IFNA(_xlfn.IFS(AND(P1993&lt;&gt;"",R1993&lt;&gt;"",RIGHT($N1993,6)="tarief",F1993="Vergoeding"),SUM(P1993)*FLOOR(SUM(R1993),0.0001),AND(P1993&lt;&gt;"",R1993&lt;&gt;"",RIGHT($N1993,6)="tarief"),P1993*FLOOR(R1993,0.01),T1993&gt;0,FLOOR(SUM(T1993),0.01)),""),""),"")</f>
        <v/>
      </c>
      <c r="Y1993" s="314" t="str">
        <f t="shared" ca="1" si="126"/>
        <v/>
      </c>
      <c r="Z1993" s="314" t="str" cm="1">
        <f t="array" aca="1" ref="Z1993" ca="1">IFERROR(_xlfn.IFS(OR(F1993="",LEFT(Methode_Keuze,4)="Geen",Methode_Keuze=""),"",AND(W1993&lt;&gt;"",F1993&lt;&gt;"Arbeidskosten"),W1993*VLOOKUP(F1993,Tb_ProjectKosten[],MATCH(Tb_ProjectKosten[[#Headers],[Forfait_Percentage]],Tb_ProjectKosten[#Headers],0),0),AND(F1993="Arbeidskosten",G1993&lt;&gt;""),IFERROR(W1993*VLOOKUP(G1993,Tb_KostenTypen[],3,0)*VLOOKUP(F1993,Tb_ProjectKosten[],MATCH(Tb_ProjectKosten[[#Headers],[Forfait_Percentage]],Tb_ProjectKosten[#Headers],0),0),""),W1993 &lt;=0,0),"")</f>
        <v/>
      </c>
      <c r="AA1993" s="314" t="str" cm="1">
        <f t="array" aca="1" ref="AA1993" ca="1">IFERROR(_xlfn.IFS(OR(F1993="",LEFT(Methode_Keuze,4)="Geen",Methode_Keuze=""),"",AND(X1993&lt;&gt;"",F1993&lt;&gt;"Arbeidskosten"),X1993*VLOOKUP(F1993,Tb_ProjectKosten[],MATCH(Tb_ProjectKosten[[#Headers],[Forfait_Percentage]],Tb_ProjectKosten[#Headers],0),0),AND(F1993="Arbeidskosten",G1993&lt;&gt;""),IFERROR(X1993*VLOOKUP(G1993,Tb_KostenTypen[],3,0)*VLOOKUP(F1993,Tb_ProjectKosten[],MATCH(Tb_ProjectKosten[[#Headers],[Forfait_Percentage]],Tb_ProjectKosten[#Headers],0),0),""),X1993 &lt;=0,0),"")</f>
        <v/>
      </c>
      <c r="AB1993" s="314" t="str">
        <f t="shared" ca="1" si="127"/>
        <v/>
      </c>
      <c r="AC1993" s="322"/>
      <c r="AD1993" s="315"/>
      <c r="AE1993" s="32" t="str" cm="1">
        <f t="array" ref="AE1993">IFERROR(IF(INDEX(SubsidieTabel!$AD$1:$AG$12,MATCH($F1993,SubsidieTabel!$AD$1:$AD$12,0),IFERROR(MATCH(Methode_Keuze,SubsidieTabel!$AD$1:$AG$1,0),2))&lt;&gt;1=TRUE,"ja",""),"")</f>
        <v/>
      </c>
    </row>
    <row r="1994" spans="1:31" x14ac:dyDescent="0.25">
      <c r="A1994" s="316"/>
      <c r="B1994" s="317" t="str">
        <f>IF(A1994&lt;&gt;"",_xlfn.MAXIFS($B$1:B1993,$A$1:A1993,A1994)+1,"")</f>
        <v/>
      </c>
      <c r="C1994" s="296"/>
      <c r="D1994" s="296"/>
      <c r="E1994" s="296"/>
      <c r="F1994" s="296"/>
      <c r="G1994" s="326"/>
      <c r="H1994" s="324"/>
      <c r="I1994" s="325"/>
      <c r="J1994" s="325"/>
      <c r="K1994" s="318"/>
      <c r="L1994" s="318"/>
      <c r="M1994" s="319" t="str">
        <f>IFERROR(VLOOKUP(H1994,Lijsten!$H$1:$I$100,2,0),"")</f>
        <v/>
      </c>
      <c r="N1994" s="319" t="str">
        <f ca="1">IFERROR(IF(VLOOKUP(F1994,Kostentypen!$A$3:$E$21,3,0)=0,"",IF(OR(F1994="Arbeidskosten",F1994="Vergoeding"),VLOOKUP(G1994,Tb_KostenTypen[],2,0),VLOOKUP(F1994,Kostentypen!$A$3:$E$20,3,0))),"")</f>
        <v/>
      </c>
      <c r="O1994" s="320" t="str" cm="1">
        <f t="array" ref="O1994">_xlfn.IFNA(IF(INDEX(Tb_KostenOptiesDB[],MATCH($F1994,Tb_KostenOptiesDB[KostenOptie],0),IFERROR(MATCH(Methode_Keuze,Tb_KostenOptiesDB[#Headers],0),2))=1,_xlfn.SWITCH($N1994,"Uurtarief",IF(OR(AND(RIGHT($F1994,3)="IKS",VLOOKUP($M1994,DB_Loonkosten,2,0)="Ja"),AND(RIGHT($F1994,3)&lt;&gt;"IKS",VLOOKUP($M1994,DB_Loonkosten,2,0)="Nee")),IFERROR(VLOOKUP($M1994,DB_Loonkosten,24,0),""),0),"Vast tarief",IF(LEFT(F1994,8)="Bijdrage",VLOOKUP($F1994,Tb_KostenTypen[],MATCH(Lijsten!$P$1,Tb_KostenTypen[#Headers],0),0),VLOOKUP($G1994,Lijsten!L:P,MATCH(Lijsten!$P$1,Kop_Tarief_Vast,0),0))),""),"")</f>
        <v/>
      </c>
      <c r="P1994" s="320" t="str" cm="1">
        <f t="array" ref="P1994">_xlfn.IFNA(IF(INDEX(Tb_KostenOptiesDB[],MATCH($F1994,Tb_KostenOptiesDB[KostenOptie],0),IFERROR(MATCH(Methode_Keuze,Tb_KostenOptiesDB[#Headers],0),2))=1,_xlfn.SWITCH($N1994,"Uurtarief",IF(OR(AND(RIGHT($F1994,3)="IKS",VLOOKUP($M1994,DB_Loonkosten,2,0)="Ja"),AND(RIGHT($F1994,3)&lt;&gt;"IKS",VLOOKUP($M1994,DB_Loonkosten,2,0)="Nee")),IFERROR(VLOOKUP($M1994,DB_Loonkosten,25,0),""),0),"Vast tarief",IF(LEFT(F1994,8)="Bijdrage",VLOOKUP($F1994,Tb_KostenTypen[],MATCH(Lijsten!$P$1,Tb_KostenTypen[#Headers],0),0),VLOOKUP($G1994,Lijsten!L:P,MATCH(Lijsten!$P$1,Kop_Tarief_Vast,0),0))),""),"")</f>
        <v/>
      </c>
      <c r="Q1994" s="359"/>
      <c r="R1994" s="359"/>
      <c r="S1994" s="321"/>
      <c r="T1994" s="321"/>
      <c r="U1994" s="373" t="str">
        <f t="shared" si="124"/>
        <v/>
      </c>
      <c r="V1994" s="314" t="str">
        <f t="shared" si="125"/>
        <v/>
      </c>
      <c r="W1994" s="314" t="str" cm="1">
        <f t="array" aca="1" ref="W1994" ca="1">IFERROR(IF(AE1994&lt;&gt;"ja",_xlfn.IFNA(_xlfn.IFS(AND(O1994&lt;&gt;"",F1994&lt;&gt;"",RIGHT($N1994,6)="tarief",F1994="Vergoeding"),SUM(O1994)*FLOOR(SUM(Q1994),0.0001),AND(O1994&lt;&gt;"",F1994&lt;&gt;"",RIGHT($N1994,6)="tarief"),SUM(O1994)*FLOOR(SUM(Q1994),0.01),S1994&gt;0,IF(F1994&lt;&gt;"",FLOOR(SUM(S1994),0.01),"")),""),""),"")</f>
        <v/>
      </c>
      <c r="X1994" s="314" t="str" cm="1">
        <f t="array" aca="1" ref="X1994" ca="1">IFERROR(IF(AE1994&lt;&gt;"ja",_xlfn.IFNA(_xlfn.IFS(AND(P1994&lt;&gt;"",R1994&lt;&gt;"",RIGHT($N1994,6)="tarief",F1994="Vergoeding"),SUM(P1994)*FLOOR(SUM(R1994),0.0001),AND(P1994&lt;&gt;"",R1994&lt;&gt;"",RIGHT($N1994,6)="tarief"),P1994*FLOOR(R1994,0.01),T1994&gt;0,FLOOR(SUM(T1994),0.01)),""),""),"")</f>
        <v/>
      </c>
      <c r="Y1994" s="314" t="str">
        <f t="shared" ca="1" si="126"/>
        <v/>
      </c>
      <c r="Z1994" s="314" t="str" cm="1">
        <f t="array" aca="1" ref="Z1994" ca="1">IFERROR(_xlfn.IFS(OR(F1994="",LEFT(Methode_Keuze,4)="Geen",Methode_Keuze=""),"",AND(W1994&lt;&gt;"",F1994&lt;&gt;"Arbeidskosten"),W1994*VLOOKUP(F1994,Tb_ProjectKosten[],MATCH(Tb_ProjectKosten[[#Headers],[Forfait_Percentage]],Tb_ProjectKosten[#Headers],0),0),AND(F1994="Arbeidskosten",G1994&lt;&gt;""),IFERROR(W1994*VLOOKUP(G1994,Tb_KostenTypen[],3,0)*VLOOKUP(F1994,Tb_ProjectKosten[],MATCH(Tb_ProjectKosten[[#Headers],[Forfait_Percentage]],Tb_ProjectKosten[#Headers],0),0),""),W1994 &lt;=0,0),"")</f>
        <v/>
      </c>
      <c r="AA1994" s="314" t="str" cm="1">
        <f t="array" aca="1" ref="AA1994" ca="1">IFERROR(_xlfn.IFS(OR(F1994="",LEFT(Methode_Keuze,4)="Geen",Methode_Keuze=""),"",AND(X1994&lt;&gt;"",F1994&lt;&gt;"Arbeidskosten"),X1994*VLOOKUP(F1994,Tb_ProjectKosten[],MATCH(Tb_ProjectKosten[[#Headers],[Forfait_Percentage]],Tb_ProjectKosten[#Headers],0),0),AND(F1994="Arbeidskosten",G1994&lt;&gt;""),IFERROR(X1994*VLOOKUP(G1994,Tb_KostenTypen[],3,0)*VLOOKUP(F1994,Tb_ProjectKosten[],MATCH(Tb_ProjectKosten[[#Headers],[Forfait_Percentage]],Tb_ProjectKosten[#Headers],0),0),""),X1994 &lt;=0,0),"")</f>
        <v/>
      </c>
      <c r="AB1994" s="314" t="str">
        <f t="shared" ca="1" si="127"/>
        <v/>
      </c>
      <c r="AC1994" s="322"/>
      <c r="AD1994" s="315"/>
      <c r="AE1994" s="32" t="str" cm="1">
        <f t="array" ref="AE1994">IFERROR(IF(INDEX(SubsidieTabel!$AD$1:$AG$12,MATCH($F1994,SubsidieTabel!$AD$1:$AD$12,0),IFERROR(MATCH(Methode_Keuze,SubsidieTabel!$AD$1:$AG$1,0),2))&lt;&gt;1=TRUE,"ja",""),"")</f>
        <v/>
      </c>
    </row>
    <row r="1995" spans="1:31" x14ac:dyDescent="0.25">
      <c r="A1995" s="316"/>
      <c r="B1995" s="317" t="str">
        <f>IF(A1995&lt;&gt;"",_xlfn.MAXIFS($B$1:B1994,$A$1:A1994,A1995)+1,"")</f>
        <v/>
      </c>
      <c r="C1995" s="296"/>
      <c r="D1995" s="296"/>
      <c r="E1995" s="296"/>
      <c r="F1995" s="296"/>
      <c r="G1995" s="326"/>
      <c r="H1995" s="324"/>
      <c r="I1995" s="325"/>
      <c r="J1995" s="325"/>
      <c r="K1995" s="318"/>
      <c r="L1995" s="318"/>
      <c r="M1995" s="319" t="str">
        <f>IFERROR(VLOOKUP(H1995,Lijsten!$H$1:$I$100,2,0),"")</f>
        <v/>
      </c>
      <c r="N1995" s="319" t="str">
        <f ca="1">IFERROR(IF(VLOOKUP(F1995,Kostentypen!$A$3:$E$21,3,0)=0,"",IF(OR(F1995="Arbeidskosten",F1995="Vergoeding"),VLOOKUP(G1995,Tb_KostenTypen[],2,0),VLOOKUP(F1995,Kostentypen!$A$3:$E$20,3,0))),"")</f>
        <v/>
      </c>
      <c r="O1995" s="320" t="str" cm="1">
        <f t="array" ref="O1995">_xlfn.IFNA(IF(INDEX(Tb_KostenOptiesDB[],MATCH($F1995,Tb_KostenOptiesDB[KostenOptie],0),IFERROR(MATCH(Methode_Keuze,Tb_KostenOptiesDB[#Headers],0),2))=1,_xlfn.SWITCH($N1995,"Uurtarief",IF(OR(AND(RIGHT($F1995,3)="IKS",VLOOKUP($M1995,DB_Loonkosten,2,0)="Ja"),AND(RIGHT($F1995,3)&lt;&gt;"IKS",VLOOKUP($M1995,DB_Loonkosten,2,0)="Nee")),IFERROR(VLOOKUP($M1995,DB_Loonkosten,24,0),""),0),"Vast tarief",IF(LEFT(F1995,8)="Bijdrage",VLOOKUP($F1995,Tb_KostenTypen[],MATCH(Lijsten!$P$1,Tb_KostenTypen[#Headers],0),0),VLOOKUP($G1995,Lijsten!L:P,MATCH(Lijsten!$P$1,Kop_Tarief_Vast,0),0))),""),"")</f>
        <v/>
      </c>
      <c r="P1995" s="320" t="str" cm="1">
        <f t="array" ref="P1995">_xlfn.IFNA(IF(INDEX(Tb_KostenOptiesDB[],MATCH($F1995,Tb_KostenOptiesDB[KostenOptie],0),IFERROR(MATCH(Methode_Keuze,Tb_KostenOptiesDB[#Headers],0),2))=1,_xlfn.SWITCH($N1995,"Uurtarief",IF(OR(AND(RIGHT($F1995,3)="IKS",VLOOKUP($M1995,DB_Loonkosten,2,0)="Ja"),AND(RIGHT($F1995,3)&lt;&gt;"IKS",VLOOKUP($M1995,DB_Loonkosten,2,0)="Nee")),IFERROR(VLOOKUP($M1995,DB_Loonkosten,25,0),""),0),"Vast tarief",IF(LEFT(F1995,8)="Bijdrage",VLOOKUP($F1995,Tb_KostenTypen[],MATCH(Lijsten!$P$1,Tb_KostenTypen[#Headers],0),0),VLOOKUP($G1995,Lijsten!L:P,MATCH(Lijsten!$P$1,Kop_Tarief_Vast,0),0))),""),"")</f>
        <v/>
      </c>
      <c r="Q1995" s="359"/>
      <c r="R1995" s="359"/>
      <c r="S1995" s="321"/>
      <c r="T1995" s="321"/>
      <c r="U1995" s="373" t="str">
        <f t="shared" si="124"/>
        <v/>
      </c>
      <c r="V1995" s="314" t="str">
        <f t="shared" si="125"/>
        <v/>
      </c>
      <c r="W1995" s="314" t="str" cm="1">
        <f t="array" aca="1" ref="W1995" ca="1">IFERROR(IF(AE1995&lt;&gt;"ja",_xlfn.IFNA(_xlfn.IFS(AND(O1995&lt;&gt;"",F1995&lt;&gt;"",RIGHT($N1995,6)="tarief",F1995="Vergoeding"),SUM(O1995)*FLOOR(SUM(Q1995),0.0001),AND(O1995&lt;&gt;"",F1995&lt;&gt;"",RIGHT($N1995,6)="tarief"),SUM(O1995)*FLOOR(SUM(Q1995),0.01),S1995&gt;0,IF(F1995&lt;&gt;"",FLOOR(SUM(S1995),0.01),"")),""),""),"")</f>
        <v/>
      </c>
      <c r="X1995" s="314" t="str" cm="1">
        <f t="array" aca="1" ref="X1995" ca="1">IFERROR(IF(AE1995&lt;&gt;"ja",_xlfn.IFNA(_xlfn.IFS(AND(P1995&lt;&gt;"",R1995&lt;&gt;"",RIGHT($N1995,6)="tarief",F1995="Vergoeding"),SUM(P1995)*FLOOR(SUM(R1995),0.0001),AND(P1995&lt;&gt;"",R1995&lt;&gt;"",RIGHT($N1995,6)="tarief"),P1995*FLOOR(R1995,0.01),T1995&gt;0,FLOOR(SUM(T1995),0.01)),""),""),"")</f>
        <v/>
      </c>
      <c r="Y1995" s="314" t="str">
        <f t="shared" ca="1" si="126"/>
        <v/>
      </c>
      <c r="Z1995" s="314" t="str" cm="1">
        <f t="array" aca="1" ref="Z1995" ca="1">IFERROR(_xlfn.IFS(OR(F1995="",LEFT(Methode_Keuze,4)="Geen",Methode_Keuze=""),"",AND(W1995&lt;&gt;"",F1995&lt;&gt;"Arbeidskosten"),W1995*VLOOKUP(F1995,Tb_ProjectKosten[],MATCH(Tb_ProjectKosten[[#Headers],[Forfait_Percentage]],Tb_ProjectKosten[#Headers],0),0),AND(F1995="Arbeidskosten",G1995&lt;&gt;""),IFERROR(W1995*VLOOKUP(G1995,Tb_KostenTypen[],3,0)*VLOOKUP(F1995,Tb_ProjectKosten[],MATCH(Tb_ProjectKosten[[#Headers],[Forfait_Percentage]],Tb_ProjectKosten[#Headers],0),0),""),W1995 &lt;=0,0),"")</f>
        <v/>
      </c>
      <c r="AA1995" s="314" t="str" cm="1">
        <f t="array" aca="1" ref="AA1995" ca="1">IFERROR(_xlfn.IFS(OR(F1995="",LEFT(Methode_Keuze,4)="Geen",Methode_Keuze=""),"",AND(X1995&lt;&gt;"",F1995&lt;&gt;"Arbeidskosten"),X1995*VLOOKUP(F1995,Tb_ProjectKosten[],MATCH(Tb_ProjectKosten[[#Headers],[Forfait_Percentage]],Tb_ProjectKosten[#Headers],0),0),AND(F1995="Arbeidskosten",G1995&lt;&gt;""),IFERROR(X1995*VLOOKUP(G1995,Tb_KostenTypen[],3,0)*VLOOKUP(F1995,Tb_ProjectKosten[],MATCH(Tb_ProjectKosten[[#Headers],[Forfait_Percentage]],Tb_ProjectKosten[#Headers],0),0),""),X1995 &lt;=0,0),"")</f>
        <v/>
      </c>
      <c r="AB1995" s="314" t="str">
        <f t="shared" ca="1" si="127"/>
        <v/>
      </c>
      <c r="AC1995" s="322"/>
      <c r="AD1995" s="315"/>
      <c r="AE1995" s="32" t="str" cm="1">
        <f t="array" ref="AE1995">IFERROR(IF(INDEX(SubsidieTabel!$AD$1:$AG$12,MATCH($F1995,SubsidieTabel!$AD$1:$AD$12,0),IFERROR(MATCH(Methode_Keuze,SubsidieTabel!$AD$1:$AG$1,0),2))&lt;&gt;1=TRUE,"ja",""),"")</f>
        <v/>
      </c>
    </row>
    <row r="1996" spans="1:31" x14ac:dyDescent="0.25">
      <c r="A1996" s="316"/>
      <c r="B1996" s="317" t="str">
        <f>IF(A1996&lt;&gt;"",_xlfn.MAXIFS($B$1:B1995,$A$1:A1995,A1996)+1,"")</f>
        <v/>
      </c>
      <c r="C1996" s="296"/>
      <c r="D1996" s="296"/>
      <c r="E1996" s="296"/>
      <c r="F1996" s="296"/>
      <c r="G1996" s="326"/>
      <c r="H1996" s="324"/>
      <c r="I1996" s="325"/>
      <c r="J1996" s="325"/>
      <c r="K1996" s="318"/>
      <c r="L1996" s="318"/>
      <c r="M1996" s="319" t="str">
        <f>IFERROR(VLOOKUP(H1996,Lijsten!$H$1:$I$100,2,0),"")</f>
        <v/>
      </c>
      <c r="N1996" s="319" t="str">
        <f ca="1">IFERROR(IF(VLOOKUP(F1996,Kostentypen!$A$3:$E$21,3,0)=0,"",IF(OR(F1996="Arbeidskosten",F1996="Vergoeding"),VLOOKUP(G1996,Tb_KostenTypen[],2,0),VLOOKUP(F1996,Kostentypen!$A$3:$E$20,3,0))),"")</f>
        <v/>
      </c>
      <c r="O1996" s="320" t="str" cm="1">
        <f t="array" ref="O1996">_xlfn.IFNA(IF(INDEX(Tb_KostenOptiesDB[],MATCH($F1996,Tb_KostenOptiesDB[KostenOptie],0),IFERROR(MATCH(Methode_Keuze,Tb_KostenOptiesDB[#Headers],0),2))=1,_xlfn.SWITCH($N1996,"Uurtarief",IF(OR(AND(RIGHT($F1996,3)="IKS",VLOOKUP($M1996,DB_Loonkosten,2,0)="Ja"),AND(RIGHT($F1996,3)&lt;&gt;"IKS",VLOOKUP($M1996,DB_Loonkosten,2,0)="Nee")),IFERROR(VLOOKUP($M1996,DB_Loonkosten,24,0),""),0),"Vast tarief",IF(LEFT(F1996,8)="Bijdrage",VLOOKUP($F1996,Tb_KostenTypen[],MATCH(Lijsten!$P$1,Tb_KostenTypen[#Headers],0),0),VLOOKUP($G1996,Lijsten!L:P,MATCH(Lijsten!$P$1,Kop_Tarief_Vast,0),0))),""),"")</f>
        <v/>
      </c>
      <c r="P1996" s="320" t="str" cm="1">
        <f t="array" ref="P1996">_xlfn.IFNA(IF(INDEX(Tb_KostenOptiesDB[],MATCH($F1996,Tb_KostenOptiesDB[KostenOptie],0),IFERROR(MATCH(Methode_Keuze,Tb_KostenOptiesDB[#Headers],0),2))=1,_xlfn.SWITCH($N1996,"Uurtarief",IF(OR(AND(RIGHT($F1996,3)="IKS",VLOOKUP($M1996,DB_Loonkosten,2,0)="Ja"),AND(RIGHT($F1996,3)&lt;&gt;"IKS",VLOOKUP($M1996,DB_Loonkosten,2,0)="Nee")),IFERROR(VLOOKUP($M1996,DB_Loonkosten,25,0),""),0),"Vast tarief",IF(LEFT(F1996,8)="Bijdrage",VLOOKUP($F1996,Tb_KostenTypen[],MATCH(Lijsten!$P$1,Tb_KostenTypen[#Headers],0),0),VLOOKUP($G1996,Lijsten!L:P,MATCH(Lijsten!$P$1,Kop_Tarief_Vast,0),0))),""),"")</f>
        <v/>
      </c>
      <c r="Q1996" s="359"/>
      <c r="R1996" s="359"/>
      <c r="S1996" s="321"/>
      <c r="T1996" s="321"/>
      <c r="U1996" s="373" t="str">
        <f t="shared" si="124"/>
        <v/>
      </c>
      <c r="V1996" s="314" t="str">
        <f t="shared" si="125"/>
        <v/>
      </c>
      <c r="W1996" s="314" t="str" cm="1">
        <f t="array" aca="1" ref="W1996" ca="1">IFERROR(IF(AE1996&lt;&gt;"ja",_xlfn.IFNA(_xlfn.IFS(AND(O1996&lt;&gt;"",F1996&lt;&gt;"",RIGHT($N1996,6)="tarief",F1996="Vergoeding"),SUM(O1996)*FLOOR(SUM(Q1996),0.0001),AND(O1996&lt;&gt;"",F1996&lt;&gt;"",RIGHT($N1996,6)="tarief"),SUM(O1996)*FLOOR(SUM(Q1996),0.01),S1996&gt;0,IF(F1996&lt;&gt;"",FLOOR(SUM(S1996),0.01),"")),""),""),"")</f>
        <v/>
      </c>
      <c r="X1996" s="314" t="str" cm="1">
        <f t="array" aca="1" ref="X1996" ca="1">IFERROR(IF(AE1996&lt;&gt;"ja",_xlfn.IFNA(_xlfn.IFS(AND(P1996&lt;&gt;"",R1996&lt;&gt;"",RIGHT($N1996,6)="tarief",F1996="Vergoeding"),SUM(P1996)*FLOOR(SUM(R1996),0.0001),AND(P1996&lt;&gt;"",R1996&lt;&gt;"",RIGHT($N1996,6)="tarief"),P1996*FLOOR(R1996,0.01),T1996&gt;0,FLOOR(SUM(T1996),0.01)),""),""),"")</f>
        <v/>
      </c>
      <c r="Y1996" s="314" t="str">
        <f t="shared" ca="1" si="126"/>
        <v/>
      </c>
      <c r="Z1996" s="314" t="str" cm="1">
        <f t="array" aca="1" ref="Z1996" ca="1">IFERROR(_xlfn.IFS(OR(F1996="",LEFT(Methode_Keuze,4)="Geen",Methode_Keuze=""),"",AND(W1996&lt;&gt;"",F1996&lt;&gt;"Arbeidskosten"),W1996*VLOOKUP(F1996,Tb_ProjectKosten[],MATCH(Tb_ProjectKosten[[#Headers],[Forfait_Percentage]],Tb_ProjectKosten[#Headers],0),0),AND(F1996="Arbeidskosten",G1996&lt;&gt;""),IFERROR(W1996*VLOOKUP(G1996,Tb_KostenTypen[],3,0)*VLOOKUP(F1996,Tb_ProjectKosten[],MATCH(Tb_ProjectKosten[[#Headers],[Forfait_Percentage]],Tb_ProjectKosten[#Headers],0),0),""),W1996 &lt;=0,0),"")</f>
        <v/>
      </c>
      <c r="AA1996" s="314" t="str" cm="1">
        <f t="array" aca="1" ref="AA1996" ca="1">IFERROR(_xlfn.IFS(OR(F1996="",LEFT(Methode_Keuze,4)="Geen",Methode_Keuze=""),"",AND(X1996&lt;&gt;"",F1996&lt;&gt;"Arbeidskosten"),X1996*VLOOKUP(F1996,Tb_ProjectKosten[],MATCH(Tb_ProjectKosten[[#Headers],[Forfait_Percentage]],Tb_ProjectKosten[#Headers],0),0),AND(F1996="Arbeidskosten",G1996&lt;&gt;""),IFERROR(X1996*VLOOKUP(G1996,Tb_KostenTypen[],3,0)*VLOOKUP(F1996,Tb_ProjectKosten[],MATCH(Tb_ProjectKosten[[#Headers],[Forfait_Percentage]],Tb_ProjectKosten[#Headers],0),0),""),X1996 &lt;=0,0),"")</f>
        <v/>
      </c>
      <c r="AB1996" s="314" t="str">
        <f t="shared" ca="1" si="127"/>
        <v/>
      </c>
      <c r="AC1996" s="322"/>
      <c r="AD1996" s="315"/>
      <c r="AE1996" s="32" t="str" cm="1">
        <f t="array" ref="AE1996">IFERROR(IF(INDEX(SubsidieTabel!$AD$1:$AG$12,MATCH($F1996,SubsidieTabel!$AD$1:$AD$12,0),IFERROR(MATCH(Methode_Keuze,SubsidieTabel!$AD$1:$AG$1,0),2))&lt;&gt;1=TRUE,"ja",""),"")</f>
        <v/>
      </c>
    </row>
    <row r="1997" spans="1:31" x14ac:dyDescent="0.25">
      <c r="A1997" s="316"/>
      <c r="B1997" s="317" t="str">
        <f>IF(A1997&lt;&gt;"",_xlfn.MAXIFS($B$1:B1996,$A$1:A1996,A1997)+1,"")</f>
        <v/>
      </c>
      <c r="C1997" s="296"/>
      <c r="D1997" s="296"/>
      <c r="E1997" s="296"/>
      <c r="F1997" s="296"/>
      <c r="G1997" s="326"/>
      <c r="H1997" s="324"/>
      <c r="I1997" s="325"/>
      <c r="J1997" s="325"/>
      <c r="K1997" s="318"/>
      <c r="L1997" s="318"/>
      <c r="M1997" s="319" t="str">
        <f>IFERROR(VLOOKUP(H1997,Lijsten!$H$1:$I$100,2,0),"")</f>
        <v/>
      </c>
      <c r="N1997" s="319" t="str">
        <f ca="1">IFERROR(IF(VLOOKUP(F1997,Kostentypen!$A$3:$E$21,3,0)=0,"",IF(OR(F1997="Arbeidskosten",F1997="Vergoeding"),VLOOKUP(G1997,Tb_KostenTypen[],2,0),VLOOKUP(F1997,Kostentypen!$A$3:$E$20,3,0))),"")</f>
        <v/>
      </c>
      <c r="O1997" s="320" t="str" cm="1">
        <f t="array" ref="O1997">_xlfn.IFNA(IF(INDEX(Tb_KostenOptiesDB[],MATCH($F1997,Tb_KostenOptiesDB[KostenOptie],0),IFERROR(MATCH(Methode_Keuze,Tb_KostenOptiesDB[#Headers],0),2))=1,_xlfn.SWITCH($N1997,"Uurtarief",IF(OR(AND(RIGHT($F1997,3)="IKS",VLOOKUP($M1997,DB_Loonkosten,2,0)="Ja"),AND(RIGHT($F1997,3)&lt;&gt;"IKS",VLOOKUP($M1997,DB_Loonkosten,2,0)="Nee")),IFERROR(VLOOKUP($M1997,DB_Loonkosten,24,0),""),0),"Vast tarief",IF(LEFT(F1997,8)="Bijdrage",VLOOKUP($F1997,Tb_KostenTypen[],MATCH(Lijsten!$P$1,Tb_KostenTypen[#Headers],0),0),VLOOKUP($G1997,Lijsten!L:P,MATCH(Lijsten!$P$1,Kop_Tarief_Vast,0),0))),""),"")</f>
        <v/>
      </c>
      <c r="P1997" s="320" t="str" cm="1">
        <f t="array" ref="P1997">_xlfn.IFNA(IF(INDEX(Tb_KostenOptiesDB[],MATCH($F1997,Tb_KostenOptiesDB[KostenOptie],0),IFERROR(MATCH(Methode_Keuze,Tb_KostenOptiesDB[#Headers],0),2))=1,_xlfn.SWITCH($N1997,"Uurtarief",IF(OR(AND(RIGHT($F1997,3)="IKS",VLOOKUP($M1997,DB_Loonkosten,2,0)="Ja"),AND(RIGHT($F1997,3)&lt;&gt;"IKS",VLOOKUP($M1997,DB_Loonkosten,2,0)="Nee")),IFERROR(VLOOKUP($M1997,DB_Loonkosten,25,0),""),0),"Vast tarief",IF(LEFT(F1997,8)="Bijdrage",VLOOKUP($F1997,Tb_KostenTypen[],MATCH(Lijsten!$P$1,Tb_KostenTypen[#Headers],0),0),VLOOKUP($G1997,Lijsten!L:P,MATCH(Lijsten!$P$1,Kop_Tarief_Vast,0),0))),""),"")</f>
        <v/>
      </c>
      <c r="Q1997" s="359"/>
      <c r="R1997" s="359"/>
      <c r="S1997" s="321"/>
      <c r="T1997" s="321"/>
      <c r="U1997" s="373" t="str">
        <f t="shared" si="124"/>
        <v/>
      </c>
      <c r="V1997" s="314" t="str">
        <f t="shared" si="125"/>
        <v/>
      </c>
      <c r="W1997" s="314" t="str" cm="1">
        <f t="array" aca="1" ref="W1997" ca="1">IFERROR(IF(AE1997&lt;&gt;"ja",_xlfn.IFNA(_xlfn.IFS(AND(O1997&lt;&gt;"",F1997&lt;&gt;"",RIGHT($N1997,6)="tarief",F1997="Vergoeding"),SUM(O1997)*FLOOR(SUM(Q1997),0.0001),AND(O1997&lt;&gt;"",F1997&lt;&gt;"",RIGHT($N1997,6)="tarief"),SUM(O1997)*FLOOR(SUM(Q1997),0.01),S1997&gt;0,IF(F1997&lt;&gt;"",FLOOR(SUM(S1997),0.01),"")),""),""),"")</f>
        <v/>
      </c>
      <c r="X1997" s="314" t="str" cm="1">
        <f t="array" aca="1" ref="X1997" ca="1">IFERROR(IF(AE1997&lt;&gt;"ja",_xlfn.IFNA(_xlfn.IFS(AND(P1997&lt;&gt;"",R1997&lt;&gt;"",RIGHT($N1997,6)="tarief",F1997="Vergoeding"),SUM(P1997)*FLOOR(SUM(R1997),0.0001),AND(P1997&lt;&gt;"",R1997&lt;&gt;"",RIGHT($N1997,6)="tarief"),P1997*FLOOR(R1997,0.01),T1997&gt;0,FLOOR(SUM(T1997),0.01)),""),""),"")</f>
        <v/>
      </c>
      <c r="Y1997" s="314" t="str">
        <f t="shared" ca="1" si="126"/>
        <v/>
      </c>
      <c r="Z1997" s="314" t="str" cm="1">
        <f t="array" aca="1" ref="Z1997" ca="1">IFERROR(_xlfn.IFS(OR(F1997="",LEFT(Methode_Keuze,4)="Geen",Methode_Keuze=""),"",AND(W1997&lt;&gt;"",F1997&lt;&gt;"Arbeidskosten"),W1997*VLOOKUP(F1997,Tb_ProjectKosten[],MATCH(Tb_ProjectKosten[[#Headers],[Forfait_Percentage]],Tb_ProjectKosten[#Headers],0),0),AND(F1997="Arbeidskosten",G1997&lt;&gt;""),IFERROR(W1997*VLOOKUP(G1997,Tb_KostenTypen[],3,0)*VLOOKUP(F1997,Tb_ProjectKosten[],MATCH(Tb_ProjectKosten[[#Headers],[Forfait_Percentage]],Tb_ProjectKosten[#Headers],0),0),""),W1997 &lt;=0,0),"")</f>
        <v/>
      </c>
      <c r="AA1997" s="314" t="str" cm="1">
        <f t="array" aca="1" ref="AA1997" ca="1">IFERROR(_xlfn.IFS(OR(F1997="",LEFT(Methode_Keuze,4)="Geen",Methode_Keuze=""),"",AND(X1997&lt;&gt;"",F1997&lt;&gt;"Arbeidskosten"),X1997*VLOOKUP(F1997,Tb_ProjectKosten[],MATCH(Tb_ProjectKosten[[#Headers],[Forfait_Percentage]],Tb_ProjectKosten[#Headers],0),0),AND(F1997="Arbeidskosten",G1997&lt;&gt;""),IFERROR(X1997*VLOOKUP(G1997,Tb_KostenTypen[],3,0)*VLOOKUP(F1997,Tb_ProjectKosten[],MATCH(Tb_ProjectKosten[[#Headers],[Forfait_Percentage]],Tb_ProjectKosten[#Headers],0),0),""),X1997 &lt;=0,0),"")</f>
        <v/>
      </c>
      <c r="AB1997" s="314" t="str">
        <f t="shared" ca="1" si="127"/>
        <v/>
      </c>
      <c r="AC1997" s="322"/>
      <c r="AD1997" s="315"/>
      <c r="AE1997" s="32" t="str" cm="1">
        <f t="array" ref="AE1997">IFERROR(IF(INDEX(SubsidieTabel!$AD$1:$AG$12,MATCH($F1997,SubsidieTabel!$AD$1:$AD$12,0),IFERROR(MATCH(Methode_Keuze,SubsidieTabel!$AD$1:$AG$1,0),2))&lt;&gt;1=TRUE,"ja",""),"")</f>
        <v/>
      </c>
    </row>
    <row r="1998" spans="1:31" x14ac:dyDescent="0.25">
      <c r="A1998" s="316"/>
      <c r="B1998" s="317" t="str">
        <f>IF(A1998&lt;&gt;"",_xlfn.MAXIFS($B$1:B1997,$A$1:A1997,A1998)+1,"")</f>
        <v/>
      </c>
      <c r="C1998" s="296"/>
      <c r="D1998" s="296"/>
      <c r="E1998" s="296"/>
      <c r="F1998" s="296"/>
      <c r="G1998" s="326"/>
      <c r="H1998" s="324"/>
      <c r="I1998" s="325"/>
      <c r="J1998" s="325"/>
      <c r="K1998" s="318"/>
      <c r="L1998" s="318"/>
      <c r="M1998" s="319" t="str">
        <f>IFERROR(VLOOKUP(H1998,Lijsten!$H$1:$I$100,2,0),"")</f>
        <v/>
      </c>
      <c r="N1998" s="319" t="str">
        <f ca="1">IFERROR(IF(VLOOKUP(F1998,Kostentypen!$A$3:$E$21,3,0)=0,"",IF(OR(F1998="Arbeidskosten",F1998="Vergoeding"),VLOOKUP(G1998,Tb_KostenTypen[],2,0),VLOOKUP(F1998,Kostentypen!$A$3:$E$20,3,0))),"")</f>
        <v/>
      </c>
      <c r="O1998" s="320" t="str" cm="1">
        <f t="array" ref="O1998">_xlfn.IFNA(IF(INDEX(Tb_KostenOptiesDB[],MATCH($F1998,Tb_KostenOptiesDB[KostenOptie],0),IFERROR(MATCH(Methode_Keuze,Tb_KostenOptiesDB[#Headers],0),2))=1,_xlfn.SWITCH($N1998,"Uurtarief",IF(OR(AND(RIGHT($F1998,3)="IKS",VLOOKUP($M1998,DB_Loonkosten,2,0)="Ja"),AND(RIGHT($F1998,3)&lt;&gt;"IKS",VLOOKUP($M1998,DB_Loonkosten,2,0)="Nee")),IFERROR(VLOOKUP($M1998,DB_Loonkosten,24,0),""),0),"Vast tarief",IF(LEFT(F1998,8)="Bijdrage",VLOOKUP($F1998,Tb_KostenTypen[],MATCH(Lijsten!$P$1,Tb_KostenTypen[#Headers],0),0),VLOOKUP($G1998,Lijsten!L:P,MATCH(Lijsten!$P$1,Kop_Tarief_Vast,0),0))),""),"")</f>
        <v/>
      </c>
      <c r="P1998" s="320" t="str" cm="1">
        <f t="array" ref="P1998">_xlfn.IFNA(IF(INDEX(Tb_KostenOptiesDB[],MATCH($F1998,Tb_KostenOptiesDB[KostenOptie],0),IFERROR(MATCH(Methode_Keuze,Tb_KostenOptiesDB[#Headers],0),2))=1,_xlfn.SWITCH($N1998,"Uurtarief",IF(OR(AND(RIGHT($F1998,3)="IKS",VLOOKUP($M1998,DB_Loonkosten,2,0)="Ja"),AND(RIGHT($F1998,3)&lt;&gt;"IKS",VLOOKUP($M1998,DB_Loonkosten,2,0)="Nee")),IFERROR(VLOOKUP($M1998,DB_Loonkosten,25,0),""),0),"Vast tarief",IF(LEFT(F1998,8)="Bijdrage",VLOOKUP($F1998,Tb_KostenTypen[],MATCH(Lijsten!$P$1,Tb_KostenTypen[#Headers],0),0),VLOOKUP($G1998,Lijsten!L:P,MATCH(Lijsten!$P$1,Kop_Tarief_Vast,0),0))),""),"")</f>
        <v/>
      </c>
      <c r="Q1998" s="359"/>
      <c r="R1998" s="359"/>
      <c r="S1998" s="321"/>
      <c r="T1998" s="321"/>
      <c r="U1998" s="373" t="str">
        <f t="shared" si="124"/>
        <v/>
      </c>
      <c r="V1998" s="314" t="str">
        <f t="shared" si="125"/>
        <v/>
      </c>
      <c r="W1998" s="314" t="str" cm="1">
        <f t="array" aca="1" ref="W1998" ca="1">IFERROR(IF(AE1998&lt;&gt;"ja",_xlfn.IFNA(_xlfn.IFS(AND(O1998&lt;&gt;"",F1998&lt;&gt;"",RIGHT($N1998,6)="tarief",F1998="Vergoeding"),SUM(O1998)*FLOOR(SUM(Q1998),0.0001),AND(O1998&lt;&gt;"",F1998&lt;&gt;"",RIGHT($N1998,6)="tarief"),SUM(O1998)*FLOOR(SUM(Q1998),0.01),S1998&gt;0,IF(F1998&lt;&gt;"",FLOOR(SUM(S1998),0.01),"")),""),""),"")</f>
        <v/>
      </c>
      <c r="X1998" s="314" t="str" cm="1">
        <f t="array" aca="1" ref="X1998" ca="1">IFERROR(IF(AE1998&lt;&gt;"ja",_xlfn.IFNA(_xlfn.IFS(AND(P1998&lt;&gt;"",R1998&lt;&gt;"",RIGHT($N1998,6)="tarief",F1998="Vergoeding"),SUM(P1998)*FLOOR(SUM(R1998),0.0001),AND(P1998&lt;&gt;"",R1998&lt;&gt;"",RIGHT($N1998,6)="tarief"),P1998*FLOOR(R1998,0.01),T1998&gt;0,FLOOR(SUM(T1998),0.01)),""),""),"")</f>
        <v/>
      </c>
      <c r="Y1998" s="314" t="str">
        <f t="shared" ca="1" si="126"/>
        <v/>
      </c>
      <c r="Z1998" s="314" t="str" cm="1">
        <f t="array" aca="1" ref="Z1998" ca="1">IFERROR(_xlfn.IFS(OR(F1998="",LEFT(Methode_Keuze,4)="Geen",Methode_Keuze=""),"",AND(W1998&lt;&gt;"",F1998&lt;&gt;"Arbeidskosten"),W1998*VLOOKUP(F1998,Tb_ProjectKosten[],MATCH(Tb_ProjectKosten[[#Headers],[Forfait_Percentage]],Tb_ProjectKosten[#Headers],0),0),AND(F1998="Arbeidskosten",G1998&lt;&gt;""),IFERROR(W1998*VLOOKUP(G1998,Tb_KostenTypen[],3,0)*VLOOKUP(F1998,Tb_ProjectKosten[],MATCH(Tb_ProjectKosten[[#Headers],[Forfait_Percentage]],Tb_ProjectKosten[#Headers],0),0),""),W1998 &lt;=0,0),"")</f>
        <v/>
      </c>
      <c r="AA1998" s="314" t="str" cm="1">
        <f t="array" aca="1" ref="AA1998" ca="1">IFERROR(_xlfn.IFS(OR(F1998="",LEFT(Methode_Keuze,4)="Geen",Methode_Keuze=""),"",AND(X1998&lt;&gt;"",F1998&lt;&gt;"Arbeidskosten"),X1998*VLOOKUP(F1998,Tb_ProjectKosten[],MATCH(Tb_ProjectKosten[[#Headers],[Forfait_Percentage]],Tb_ProjectKosten[#Headers],0),0),AND(F1998="Arbeidskosten",G1998&lt;&gt;""),IFERROR(X1998*VLOOKUP(G1998,Tb_KostenTypen[],3,0)*VLOOKUP(F1998,Tb_ProjectKosten[],MATCH(Tb_ProjectKosten[[#Headers],[Forfait_Percentage]],Tb_ProjectKosten[#Headers],0),0),""),X1998 &lt;=0,0),"")</f>
        <v/>
      </c>
      <c r="AB1998" s="314" t="str">
        <f t="shared" ca="1" si="127"/>
        <v/>
      </c>
      <c r="AC1998" s="322"/>
      <c r="AD1998" s="315"/>
      <c r="AE1998" s="32" t="str" cm="1">
        <f t="array" ref="AE1998">IFERROR(IF(INDEX(SubsidieTabel!$AD$1:$AG$12,MATCH($F1998,SubsidieTabel!$AD$1:$AD$12,0),IFERROR(MATCH(Methode_Keuze,SubsidieTabel!$AD$1:$AG$1,0),2))&lt;&gt;1=TRUE,"ja",""),"")</f>
        <v/>
      </c>
    </row>
    <row r="1999" spans="1:31" x14ac:dyDescent="0.25">
      <c r="A1999" s="316"/>
      <c r="B1999" s="317" t="str">
        <f>IF(A1999&lt;&gt;"",_xlfn.MAXIFS($B$1:B1998,$A$1:A1998,A1999)+1,"")</f>
        <v/>
      </c>
      <c r="C1999" s="296"/>
      <c r="D1999" s="296"/>
      <c r="E1999" s="296"/>
      <c r="F1999" s="296"/>
      <c r="G1999" s="326"/>
      <c r="H1999" s="324"/>
      <c r="I1999" s="325"/>
      <c r="J1999" s="325"/>
      <c r="K1999" s="318"/>
      <c r="L1999" s="318"/>
      <c r="M1999" s="319" t="str">
        <f>IFERROR(VLOOKUP(H1999,Lijsten!$H$1:$I$100,2,0),"")</f>
        <v/>
      </c>
      <c r="N1999" s="319" t="str">
        <f ca="1">IFERROR(IF(VLOOKUP(F1999,Kostentypen!$A$3:$E$21,3,0)=0,"",IF(OR(F1999="Arbeidskosten",F1999="Vergoeding"),VLOOKUP(G1999,Tb_KostenTypen[],2,0),VLOOKUP(F1999,Kostentypen!$A$3:$E$20,3,0))),"")</f>
        <v/>
      </c>
      <c r="O1999" s="320" t="str" cm="1">
        <f t="array" ref="O1999">_xlfn.IFNA(IF(INDEX(Tb_KostenOptiesDB[],MATCH($F1999,Tb_KostenOptiesDB[KostenOptie],0),IFERROR(MATCH(Methode_Keuze,Tb_KostenOptiesDB[#Headers],0),2))=1,_xlfn.SWITCH($N1999,"Uurtarief",IF(OR(AND(RIGHT($F1999,3)="IKS",VLOOKUP($M1999,DB_Loonkosten,2,0)="Ja"),AND(RIGHT($F1999,3)&lt;&gt;"IKS",VLOOKUP($M1999,DB_Loonkosten,2,0)="Nee")),IFERROR(VLOOKUP($M1999,DB_Loonkosten,24,0),""),0),"Vast tarief",IF(LEFT(F1999,8)="Bijdrage",VLOOKUP($F1999,Tb_KostenTypen[],MATCH(Lijsten!$P$1,Tb_KostenTypen[#Headers],0),0),VLOOKUP($G1999,Lijsten!L:P,MATCH(Lijsten!$P$1,Kop_Tarief_Vast,0),0))),""),"")</f>
        <v/>
      </c>
      <c r="P1999" s="320" t="str" cm="1">
        <f t="array" ref="P1999">_xlfn.IFNA(IF(INDEX(Tb_KostenOptiesDB[],MATCH($F1999,Tb_KostenOptiesDB[KostenOptie],0),IFERROR(MATCH(Methode_Keuze,Tb_KostenOptiesDB[#Headers],0),2))=1,_xlfn.SWITCH($N1999,"Uurtarief",IF(OR(AND(RIGHT($F1999,3)="IKS",VLOOKUP($M1999,DB_Loonkosten,2,0)="Ja"),AND(RIGHT($F1999,3)&lt;&gt;"IKS",VLOOKUP($M1999,DB_Loonkosten,2,0)="Nee")),IFERROR(VLOOKUP($M1999,DB_Loonkosten,25,0),""),0),"Vast tarief",IF(LEFT(F1999,8)="Bijdrage",VLOOKUP($F1999,Tb_KostenTypen[],MATCH(Lijsten!$P$1,Tb_KostenTypen[#Headers],0),0),VLOOKUP($G1999,Lijsten!L:P,MATCH(Lijsten!$P$1,Kop_Tarief_Vast,0),0))),""),"")</f>
        <v/>
      </c>
      <c r="Q1999" s="359"/>
      <c r="R1999" s="359"/>
      <c r="S1999" s="321"/>
      <c r="T1999" s="321"/>
      <c r="U1999" s="373" t="str">
        <f t="shared" si="124"/>
        <v/>
      </c>
      <c r="V1999" s="314" t="str">
        <f t="shared" si="125"/>
        <v/>
      </c>
      <c r="W1999" s="314" t="str" cm="1">
        <f t="array" aca="1" ref="W1999" ca="1">IFERROR(IF(AE1999&lt;&gt;"ja",_xlfn.IFNA(_xlfn.IFS(AND(O1999&lt;&gt;"",F1999&lt;&gt;"",RIGHT($N1999,6)="tarief",F1999="Vergoeding"),SUM(O1999)*FLOOR(SUM(Q1999),0.0001),AND(O1999&lt;&gt;"",F1999&lt;&gt;"",RIGHT($N1999,6)="tarief"),SUM(O1999)*FLOOR(SUM(Q1999),0.01),S1999&gt;0,IF(F1999&lt;&gt;"",FLOOR(SUM(S1999),0.01),"")),""),""),"")</f>
        <v/>
      </c>
      <c r="X1999" s="314" t="str" cm="1">
        <f t="array" aca="1" ref="X1999" ca="1">IFERROR(IF(AE1999&lt;&gt;"ja",_xlfn.IFNA(_xlfn.IFS(AND(P1999&lt;&gt;"",R1999&lt;&gt;"",RIGHT($N1999,6)="tarief",F1999="Vergoeding"),SUM(P1999)*FLOOR(SUM(R1999),0.0001),AND(P1999&lt;&gt;"",R1999&lt;&gt;"",RIGHT($N1999,6)="tarief"),P1999*FLOOR(R1999,0.01),T1999&gt;0,FLOOR(SUM(T1999),0.01)),""),""),"")</f>
        <v/>
      </c>
      <c r="Y1999" s="314" t="str">
        <f t="shared" ca="1" si="126"/>
        <v/>
      </c>
      <c r="Z1999" s="314" t="str" cm="1">
        <f t="array" aca="1" ref="Z1999" ca="1">IFERROR(_xlfn.IFS(OR(F1999="",LEFT(Methode_Keuze,4)="Geen",Methode_Keuze=""),"",AND(W1999&lt;&gt;"",F1999&lt;&gt;"Arbeidskosten"),W1999*VLOOKUP(F1999,Tb_ProjectKosten[],MATCH(Tb_ProjectKosten[[#Headers],[Forfait_Percentage]],Tb_ProjectKosten[#Headers],0),0),AND(F1999="Arbeidskosten",G1999&lt;&gt;""),IFERROR(W1999*VLOOKUP(G1999,Tb_KostenTypen[],3,0)*VLOOKUP(F1999,Tb_ProjectKosten[],MATCH(Tb_ProjectKosten[[#Headers],[Forfait_Percentage]],Tb_ProjectKosten[#Headers],0),0),""),W1999 &lt;=0,0),"")</f>
        <v/>
      </c>
      <c r="AA1999" s="314" t="str" cm="1">
        <f t="array" aca="1" ref="AA1999" ca="1">IFERROR(_xlfn.IFS(OR(F1999="",LEFT(Methode_Keuze,4)="Geen",Methode_Keuze=""),"",AND(X1999&lt;&gt;"",F1999&lt;&gt;"Arbeidskosten"),X1999*VLOOKUP(F1999,Tb_ProjectKosten[],MATCH(Tb_ProjectKosten[[#Headers],[Forfait_Percentage]],Tb_ProjectKosten[#Headers],0),0),AND(F1999="Arbeidskosten",G1999&lt;&gt;""),IFERROR(X1999*VLOOKUP(G1999,Tb_KostenTypen[],3,0)*VLOOKUP(F1999,Tb_ProjectKosten[],MATCH(Tb_ProjectKosten[[#Headers],[Forfait_Percentage]],Tb_ProjectKosten[#Headers],0),0),""),X1999 &lt;=0,0),"")</f>
        <v/>
      </c>
      <c r="AB1999" s="314" t="str">
        <f t="shared" ca="1" si="127"/>
        <v/>
      </c>
      <c r="AC1999" s="322"/>
      <c r="AD1999" s="315"/>
      <c r="AE1999" s="32" t="str" cm="1">
        <f t="array" ref="AE1999">IFERROR(IF(INDEX(SubsidieTabel!$AD$1:$AG$12,MATCH($F1999,SubsidieTabel!$AD$1:$AD$12,0),IFERROR(MATCH(Methode_Keuze,SubsidieTabel!$AD$1:$AG$1,0),2))&lt;&gt;1=TRUE,"ja",""),"")</f>
        <v/>
      </c>
    </row>
    <row r="2000" spans="1:31" x14ac:dyDescent="0.25">
      <c r="A2000" s="316"/>
      <c r="B2000" s="317" t="str">
        <f>IF(A2000&lt;&gt;"",_xlfn.MAXIFS($B$1:B1999,$A$1:A1999,A2000)+1,"")</f>
        <v/>
      </c>
      <c r="C2000" s="296"/>
      <c r="D2000" s="296"/>
      <c r="E2000" s="296"/>
      <c r="F2000" s="296"/>
      <c r="G2000" s="326"/>
      <c r="H2000" s="324"/>
      <c r="I2000" s="325"/>
      <c r="J2000" s="325"/>
      <c r="K2000" s="318"/>
      <c r="L2000" s="318"/>
      <c r="M2000" s="319" t="str">
        <f>IFERROR(VLOOKUP(H2000,Lijsten!$H$1:$I$100,2,0),"")</f>
        <v/>
      </c>
      <c r="N2000" s="319" t="str">
        <f ca="1">IFERROR(IF(VLOOKUP(F2000,Kostentypen!$A$3:$E$21,3,0)=0,"",IF(OR(F2000="Arbeidskosten",F2000="Vergoeding"),VLOOKUP(G2000,Tb_KostenTypen[],2,0),VLOOKUP(F2000,Kostentypen!$A$3:$E$20,3,0))),"")</f>
        <v/>
      </c>
      <c r="O2000" s="320" t="str" cm="1">
        <f t="array" ref="O2000">_xlfn.IFNA(IF(INDEX(Tb_KostenOptiesDB[],MATCH($F2000,Tb_KostenOptiesDB[KostenOptie],0),IFERROR(MATCH(Methode_Keuze,Tb_KostenOptiesDB[#Headers],0),2))=1,_xlfn.SWITCH($N2000,"Uurtarief",IF(OR(AND(RIGHT($F2000,3)="IKS",VLOOKUP($M2000,DB_Loonkosten,2,0)="Ja"),AND(RIGHT($F2000,3)&lt;&gt;"IKS",VLOOKUP($M2000,DB_Loonkosten,2,0)="Nee")),IFERROR(VLOOKUP($M2000,DB_Loonkosten,24,0),""),0),"Vast tarief",IF(LEFT(F2000,8)="Bijdrage",VLOOKUP($F2000,Tb_KostenTypen[],MATCH(Lijsten!$P$1,Tb_KostenTypen[#Headers],0),0),VLOOKUP($G2000,Lijsten!L:P,MATCH(Lijsten!$P$1,Kop_Tarief_Vast,0),0))),""),"")</f>
        <v/>
      </c>
      <c r="P2000" s="320" t="str" cm="1">
        <f t="array" ref="P2000">_xlfn.IFNA(IF(INDEX(Tb_KostenOptiesDB[],MATCH($F2000,Tb_KostenOptiesDB[KostenOptie],0),IFERROR(MATCH(Methode_Keuze,Tb_KostenOptiesDB[#Headers],0),2))=1,_xlfn.SWITCH($N2000,"Uurtarief",IF(OR(AND(RIGHT($F2000,3)="IKS",VLOOKUP($M2000,DB_Loonkosten,2,0)="Ja"),AND(RIGHT($F2000,3)&lt;&gt;"IKS",VLOOKUP($M2000,DB_Loonkosten,2,0)="Nee")),IFERROR(VLOOKUP($M2000,DB_Loonkosten,25,0),""),0),"Vast tarief",IF(LEFT(F2000,8)="Bijdrage",VLOOKUP($F2000,Tb_KostenTypen[],MATCH(Lijsten!$P$1,Tb_KostenTypen[#Headers],0),0),VLOOKUP($G2000,Lijsten!L:P,MATCH(Lijsten!$P$1,Kop_Tarief_Vast,0),0))),""),"")</f>
        <v/>
      </c>
      <c r="Q2000" s="359"/>
      <c r="R2000" s="359"/>
      <c r="S2000" s="321"/>
      <c r="T2000" s="321"/>
      <c r="U2000" s="373" t="str">
        <f t="shared" si="124"/>
        <v/>
      </c>
      <c r="V2000" s="314" t="str">
        <f t="shared" si="125"/>
        <v/>
      </c>
      <c r="W2000" s="314" t="str" cm="1">
        <f t="array" aca="1" ref="W2000" ca="1">IFERROR(IF(AE2000&lt;&gt;"ja",_xlfn.IFNA(_xlfn.IFS(AND(O2000&lt;&gt;"",F2000&lt;&gt;"",RIGHT($N2000,6)="tarief",F2000="Vergoeding"),SUM(O2000)*FLOOR(SUM(Q2000),0.0001),AND(O2000&lt;&gt;"",F2000&lt;&gt;"",RIGHT($N2000,6)="tarief"),SUM(O2000)*FLOOR(SUM(Q2000),0.01),S2000&gt;0,IF(F2000&lt;&gt;"",FLOOR(SUM(S2000),0.01),"")),""),""),"")</f>
        <v/>
      </c>
      <c r="X2000" s="314" t="str" cm="1">
        <f t="array" aca="1" ref="X2000" ca="1">IFERROR(IF(AE2000&lt;&gt;"ja",_xlfn.IFNA(_xlfn.IFS(AND(P2000&lt;&gt;"",R2000&lt;&gt;"",RIGHT($N2000,6)="tarief",F2000="Vergoeding"),SUM(P2000)*FLOOR(SUM(R2000),0.0001),AND(P2000&lt;&gt;"",R2000&lt;&gt;"",RIGHT($N2000,6)="tarief"),P2000*FLOOR(R2000,0.01),T2000&gt;0,FLOOR(SUM(T2000),0.01)),""),""),"")</f>
        <v/>
      </c>
      <c r="Y2000" s="314" t="str">
        <f t="shared" ca="1" si="126"/>
        <v/>
      </c>
      <c r="Z2000" s="314" t="str" cm="1">
        <f t="array" aca="1" ref="Z2000" ca="1">IFERROR(_xlfn.IFS(OR(F2000="",LEFT(Methode_Keuze,4)="Geen",Methode_Keuze=""),"",AND(W2000&lt;&gt;"",F2000&lt;&gt;"Arbeidskosten"),W2000*VLOOKUP(F2000,Tb_ProjectKosten[],MATCH(Tb_ProjectKosten[[#Headers],[Forfait_Percentage]],Tb_ProjectKosten[#Headers],0),0),AND(F2000="Arbeidskosten",G2000&lt;&gt;""),IFERROR(W2000*VLOOKUP(G2000,Tb_KostenTypen[],3,0)*VLOOKUP(F2000,Tb_ProjectKosten[],MATCH(Tb_ProjectKosten[[#Headers],[Forfait_Percentage]],Tb_ProjectKosten[#Headers],0),0),""),W2000 &lt;=0,0),"")</f>
        <v/>
      </c>
      <c r="AA2000" s="314" t="str" cm="1">
        <f t="array" aca="1" ref="AA2000" ca="1">IFERROR(_xlfn.IFS(OR(F2000="",LEFT(Methode_Keuze,4)="Geen",Methode_Keuze=""),"",AND(X2000&lt;&gt;"",F2000&lt;&gt;"Arbeidskosten"),X2000*VLOOKUP(F2000,Tb_ProjectKosten[],MATCH(Tb_ProjectKosten[[#Headers],[Forfait_Percentage]],Tb_ProjectKosten[#Headers],0),0),AND(F2000="Arbeidskosten",G2000&lt;&gt;""),IFERROR(X2000*VLOOKUP(G2000,Tb_KostenTypen[],3,0)*VLOOKUP(F2000,Tb_ProjectKosten[],MATCH(Tb_ProjectKosten[[#Headers],[Forfait_Percentage]],Tb_ProjectKosten[#Headers],0),0),""),X2000 &lt;=0,0),"")</f>
        <v/>
      </c>
      <c r="AB2000" s="314" t="str">
        <f t="shared" ca="1" si="127"/>
        <v/>
      </c>
      <c r="AC2000" s="322"/>
      <c r="AD2000" s="315"/>
      <c r="AE2000" s="32" t="str" cm="1">
        <f t="array" ref="AE2000">IFERROR(IF(INDEX(SubsidieTabel!$AD$1:$AG$12,MATCH($F2000,SubsidieTabel!$AD$1:$AD$12,0),IFERROR(MATCH(Methode_Keuze,SubsidieTabel!$AD$1:$AG$1,0),2))&lt;&gt;1=TRUE,"ja",""),"")</f>
        <v/>
      </c>
    </row>
    <row r="2001" spans="1:31" x14ac:dyDescent="0.25">
      <c r="A2001" s="316"/>
      <c r="B2001" s="317" t="str">
        <f>IF(A2001&lt;&gt;"",_xlfn.MAXIFS($B$1:B2000,$A$1:A2000,A2001)+1,"")</f>
        <v/>
      </c>
      <c r="C2001" s="296"/>
      <c r="D2001" s="296"/>
      <c r="E2001" s="296"/>
      <c r="F2001" s="296"/>
      <c r="G2001" s="326"/>
      <c r="H2001" s="324"/>
      <c r="I2001" s="325"/>
      <c r="J2001" s="325"/>
      <c r="K2001" s="318"/>
      <c r="L2001" s="318"/>
      <c r="M2001" s="319" t="str">
        <f>IFERROR(VLOOKUP(H2001,Lijsten!$H$1:$I$100,2,0),"")</f>
        <v/>
      </c>
      <c r="N2001" s="319" t="str">
        <f ca="1">IFERROR(IF(VLOOKUP(F2001,Kostentypen!$A$3:$E$21,3,0)=0,"",IF(OR(F2001="Arbeidskosten",F2001="Vergoeding"),VLOOKUP(G2001,Tb_KostenTypen[],2,0),VLOOKUP(F2001,Kostentypen!$A$3:$E$20,3,0))),"")</f>
        <v/>
      </c>
      <c r="O2001" s="320" t="str" cm="1">
        <f t="array" ref="O2001">_xlfn.IFNA(IF(INDEX(Tb_KostenOptiesDB[],MATCH($F2001,Tb_KostenOptiesDB[KostenOptie],0),IFERROR(MATCH(Methode_Keuze,Tb_KostenOptiesDB[#Headers],0),2))=1,_xlfn.SWITCH($N2001,"Uurtarief",IF(OR(AND(RIGHT($F2001,3)="IKS",VLOOKUP($M2001,DB_Loonkosten,2,0)="Ja"),AND(RIGHT($F2001,3)&lt;&gt;"IKS",VLOOKUP($M2001,DB_Loonkosten,2,0)="Nee")),IFERROR(VLOOKUP($M2001,DB_Loonkosten,24,0),""),0),"Vast tarief",IF(LEFT(F2001,8)="Bijdrage",VLOOKUP($F2001,Tb_KostenTypen[],MATCH(Lijsten!$P$1,Tb_KostenTypen[#Headers],0),0),VLOOKUP($G2001,Lijsten!L:P,MATCH(Lijsten!$P$1,Kop_Tarief_Vast,0),0))),""),"")</f>
        <v/>
      </c>
      <c r="P2001" s="320" t="str" cm="1">
        <f t="array" ref="P2001">_xlfn.IFNA(IF(INDEX(Tb_KostenOptiesDB[],MATCH($F2001,Tb_KostenOptiesDB[KostenOptie],0),IFERROR(MATCH(Methode_Keuze,Tb_KostenOptiesDB[#Headers],0),2))=1,_xlfn.SWITCH($N2001,"Uurtarief",IF(OR(AND(RIGHT($F2001,3)="IKS",VLOOKUP($M2001,DB_Loonkosten,2,0)="Ja"),AND(RIGHT($F2001,3)&lt;&gt;"IKS",VLOOKUP($M2001,DB_Loonkosten,2,0)="Nee")),IFERROR(VLOOKUP($M2001,DB_Loonkosten,25,0),""),0),"Vast tarief",IF(LEFT(F2001,8)="Bijdrage",VLOOKUP($F2001,Tb_KostenTypen[],MATCH(Lijsten!$P$1,Tb_KostenTypen[#Headers],0),0),VLOOKUP($G2001,Lijsten!L:P,MATCH(Lijsten!$P$1,Kop_Tarief_Vast,0),0))),""),"")</f>
        <v/>
      </c>
      <c r="Q2001" s="359"/>
      <c r="R2001" s="359"/>
      <c r="S2001" s="321"/>
      <c r="T2001" s="321"/>
      <c r="U2001" s="373" t="str">
        <f t="shared" si="124"/>
        <v/>
      </c>
      <c r="V2001" s="314" t="str">
        <f t="shared" si="125"/>
        <v/>
      </c>
      <c r="W2001" s="314" t="str" cm="1">
        <f t="array" aca="1" ref="W2001" ca="1">IFERROR(IF(AE2001&lt;&gt;"ja",_xlfn.IFNA(_xlfn.IFS(AND(O2001&lt;&gt;"",F2001&lt;&gt;"",RIGHT($N2001,6)="tarief",F2001="Vergoeding"),SUM(O2001)*FLOOR(SUM(Q2001),0.0001),AND(O2001&lt;&gt;"",F2001&lt;&gt;"",RIGHT($N2001,6)="tarief"),SUM(O2001)*FLOOR(SUM(Q2001),0.01),S2001&gt;0,IF(F2001&lt;&gt;"",FLOOR(SUM(S2001),0.01),"")),""),""),"")</f>
        <v/>
      </c>
      <c r="X2001" s="314" t="str" cm="1">
        <f t="array" aca="1" ref="X2001" ca="1">IFERROR(IF(AE2001&lt;&gt;"ja",_xlfn.IFNA(_xlfn.IFS(AND(P2001&lt;&gt;"",R2001&lt;&gt;"",RIGHT($N2001,6)="tarief",F2001="Vergoeding"),SUM(P2001)*FLOOR(SUM(R2001),0.0001),AND(P2001&lt;&gt;"",R2001&lt;&gt;"",RIGHT($N2001,6)="tarief"),P2001*FLOOR(R2001,0.01),T2001&gt;0,FLOOR(SUM(T2001),0.01)),""),""),"")</f>
        <v/>
      </c>
      <c r="Y2001" s="314" t="str">
        <f t="shared" ca="1" si="126"/>
        <v/>
      </c>
      <c r="Z2001" s="314" t="str" cm="1">
        <f t="array" aca="1" ref="Z2001" ca="1">IFERROR(_xlfn.IFS(OR(F2001="",LEFT(Methode_Keuze,4)="Geen",Methode_Keuze=""),"",AND(W2001&lt;&gt;"",F2001&lt;&gt;"Arbeidskosten"),W2001*VLOOKUP(F2001,Tb_ProjectKosten[],MATCH(Tb_ProjectKosten[[#Headers],[Forfait_Percentage]],Tb_ProjectKosten[#Headers],0),0),AND(F2001="Arbeidskosten",G2001&lt;&gt;""),IFERROR(W2001*VLOOKUP(G2001,Tb_KostenTypen[],3,0)*VLOOKUP(F2001,Tb_ProjectKosten[],MATCH(Tb_ProjectKosten[[#Headers],[Forfait_Percentage]],Tb_ProjectKosten[#Headers],0),0),""),W2001 &lt;=0,0),"")</f>
        <v/>
      </c>
      <c r="AA2001" s="314" t="str" cm="1">
        <f t="array" aca="1" ref="AA2001" ca="1">IFERROR(_xlfn.IFS(OR(F2001="",LEFT(Methode_Keuze,4)="Geen",Methode_Keuze=""),"",AND(X2001&lt;&gt;"",F2001&lt;&gt;"Arbeidskosten"),X2001*VLOOKUP(F2001,Tb_ProjectKosten[],MATCH(Tb_ProjectKosten[[#Headers],[Forfait_Percentage]],Tb_ProjectKosten[#Headers],0),0),AND(F2001="Arbeidskosten",G2001&lt;&gt;""),IFERROR(X2001*VLOOKUP(G2001,Tb_KostenTypen[],3,0)*VLOOKUP(F2001,Tb_ProjectKosten[],MATCH(Tb_ProjectKosten[[#Headers],[Forfait_Percentage]],Tb_ProjectKosten[#Headers],0),0),""),X2001 &lt;=0,0),"")</f>
        <v/>
      </c>
      <c r="AB2001" s="314" t="str">
        <f t="shared" ca="1" si="127"/>
        <v/>
      </c>
      <c r="AC2001" s="322"/>
      <c r="AD2001" s="315"/>
      <c r="AE2001" s="32" t="str" cm="1">
        <f t="array" ref="AE2001">IFERROR(IF(INDEX(SubsidieTabel!$AD$1:$AG$12,MATCH($F2001,SubsidieTabel!$AD$1:$AD$12,0),IFERROR(MATCH(Methode_Keuze,SubsidieTabel!$AD$1:$AG$1,0),2))&lt;&gt;1=TRUE,"ja",""),"")</f>
        <v/>
      </c>
    </row>
    <row r="2002" spans="1:31" ht="15" customHeight="1" x14ac:dyDescent="0.25">
      <c r="C2002" s="24"/>
    </row>
  </sheetData>
  <sheetProtection algorithmName="SHA-512" hashValue="P4ass6+yaEuj8G3aUGmodFcyOjr1ULrKHiLlBV8DBzfjReIcxVp11p7sm72AQCU4230dBTRwLdbmQNJD2L4Evw==" saltValue="2BgHIXP0XtwfvB0EMP3cgQ==" spinCount="100000" sheet="1" objects="1" scenarios="1"/>
  <dataConsolidate/>
  <phoneticPr fontId="4" type="noConversion"/>
  <conditionalFormatting sqref="A2:A2001">
    <cfRule type="expression" dxfId="35" priority="125">
      <formula>AND($A2="",$W2&gt;0,$W2&lt;&gt;"")</formula>
    </cfRule>
  </conditionalFormatting>
  <conditionalFormatting sqref="D2:E2001">
    <cfRule type="expression" dxfId="34" priority="123">
      <formula>AND($X2&lt;&gt;"",$X2&lt;&gt;0,$E2="")</formula>
    </cfRule>
  </conditionalFormatting>
  <conditionalFormatting sqref="G2:G2001">
    <cfRule type="expression" dxfId="32" priority="15">
      <formula>$F2="Arbeidskosten"</formula>
    </cfRule>
    <cfRule type="expression" dxfId="31" priority="17">
      <formula>IFERROR(FIND("vast tarief",$F2),0)&gt;0</formula>
    </cfRule>
    <cfRule type="expression" dxfId="30" priority="22">
      <formula>$F2="Vergoeding"</formula>
    </cfRule>
  </conditionalFormatting>
  <conditionalFormatting sqref="H2:H2001">
    <cfRule type="expression" dxfId="29" priority="24">
      <formula>OR(AND($G2&lt;&gt;"",$F2="Arbeidskosten"),IFERROR(FIND("IKS",RIGHT($F2,3)),0)&gt;0,AND($F2&lt;&gt;"Arbeidskosten",IFERROR(FIND("vast tarief",$N2),0)=0,$F2="Vergoeding",$G2&lt;&gt;""),AND(RIGHT($N2,6)&lt;&gt;"tarief",$N2&lt;&gt;"",$F2&lt;&gt;""))</formula>
    </cfRule>
  </conditionalFormatting>
  <conditionalFormatting sqref="H2:I2001">
    <cfRule type="expression" dxfId="28" priority="12" stopIfTrue="1">
      <formula>COUNTIFS($I:$I,$I2,$H:$H,$H2)&gt;1</formula>
    </cfRule>
  </conditionalFormatting>
  <conditionalFormatting sqref="H2:L2001">
    <cfRule type="expression" dxfId="27" priority="11" stopIfTrue="1">
      <formula>$F2=""</formula>
    </cfRule>
  </conditionalFormatting>
  <conditionalFormatting sqref="I2:I2001 L2:L2001">
    <cfRule type="expression" dxfId="26" priority="13" stopIfTrue="1">
      <formula>COUNTIFS($I:$I,$I2,$L:$L,$L2)&gt;1</formula>
    </cfRule>
  </conditionalFormatting>
  <conditionalFormatting sqref="I2:L2001">
    <cfRule type="expression" dxfId="25" priority="26" stopIfTrue="1">
      <formula>AND(RIGHT($N2,6)&lt;&gt;"tarief",RIGHT($F2,3)&lt;&gt;"btw",$F2&lt;&gt;"Vergoeding",LEFT($F2,6)&lt;&gt;"Arbeid")</formula>
    </cfRule>
    <cfRule type="expression" dxfId="24" priority="31" stopIfTrue="1">
      <formula>AND(RIGHT($N2,6)&lt;&gt;"tarief",$F2&lt;&gt;"Vergoeding",LEFT($F2,6)&lt;&gt;"Arbeid")</formula>
    </cfRule>
  </conditionalFormatting>
  <conditionalFormatting sqref="K2:K2001">
    <cfRule type="expression" dxfId="23" priority="19" stopIfTrue="1">
      <formula>AND($K2&lt;&gt;"",Keuze_OntvangstDatum&lt;&gt;"",$K2&lt;DATE(YEAR(Keuze_OntvangstDatum)-1,MONTH(Keuze_OntvangstDatum),DAY(Keuze_OntvangstDatum)))</formula>
    </cfRule>
    <cfRule type="expression" dxfId="22" priority="25" stopIfTrue="1">
      <formula>AND($K2&lt;&gt;"",OR(AND(Keuze_OntvangstDatum&lt;&gt;"",$K2&lt;Keuze_OntvangstDatum),AND(Keuze_OntvangstDatum&lt;&gt;"",$K2&gt;Keuze_EindDatum)))</formula>
    </cfRule>
  </conditionalFormatting>
  <conditionalFormatting sqref="M2:M2001">
    <cfRule type="expression" dxfId="21" priority="108" stopIfTrue="1">
      <formula>OR(LEFT($N2,4)="Vast",$N2="tarief",$H$2="Eigen arbeid")</formula>
    </cfRule>
  </conditionalFormatting>
  <conditionalFormatting sqref="M2:R2001">
    <cfRule type="expression" dxfId="20" priority="14" stopIfTrue="1">
      <formula>OR($F2="",RIGHT($N2,6)&lt;&gt;"tarief")</formula>
    </cfRule>
  </conditionalFormatting>
  <conditionalFormatting sqref="O2:P2001">
    <cfRule type="expression" dxfId="18" priority="122" stopIfTrue="1">
      <formula>$T2="Dit kostentype hoeft u niet op te geven. Hiervoor wordt een forfait berekend."</formula>
    </cfRule>
  </conditionalFormatting>
  <conditionalFormatting sqref="Q2:R2001">
    <cfRule type="expression" dxfId="17" priority="28">
      <formula>AND(RIGHT($N2,6)="tarief",$F2="Vergoeding")</formula>
    </cfRule>
  </conditionalFormatting>
  <conditionalFormatting sqref="S2:T2001">
    <cfRule type="expression" dxfId="16" priority="105" stopIfTrue="1">
      <formula>OR($F2="",RIGHT($N2,6)="tarief")</formula>
    </cfRule>
  </conditionalFormatting>
  <conditionalFormatting sqref="U2:U2001">
    <cfRule type="expression" dxfId="15" priority="1">
      <formula>$U2&lt;0</formula>
    </cfRule>
    <cfRule type="expression" dxfId="14" priority="2">
      <formula>AND(RIGHT($N2,6)="tarief",$F2="Vergoeding")</formula>
    </cfRule>
  </conditionalFormatting>
  <conditionalFormatting sqref="V2:V2001">
    <cfRule type="expression" dxfId="13" priority="3">
      <formula>$V2&lt;0</formula>
    </cfRule>
  </conditionalFormatting>
  <conditionalFormatting sqref="Y2:Y2001">
    <cfRule type="expression" dxfId="12" priority="4">
      <formula>$Y2&lt;0</formula>
    </cfRule>
  </conditionalFormatting>
  <conditionalFormatting sqref="AB2:AB2001">
    <cfRule type="expression" dxfId="11" priority="5">
      <formula>$AB2&lt;0</formula>
    </cfRule>
  </conditionalFormatting>
  <dataValidations count="13">
    <dataValidation type="list" allowBlank="1" showInputMessage="1" showErrorMessage="1" sqref="C2:C2001" xr:uid="{5572861E-06C7-4159-81F9-A17AA4E033B7}">
      <formula1>Deelnemers_Uniek</formula1>
    </dataValidation>
    <dataValidation type="whole" allowBlank="1" showInputMessage="1" showErrorMessage="1" sqref="A2:A2001" xr:uid="{583FCB50-1A83-4479-8ABF-1F1AF74805A1}">
      <formula1>1</formula1>
      <formula2>30</formula2>
    </dataValidation>
    <dataValidation type="textLength" operator="lessThanOrEqual" allowBlank="1" showErrorMessage="1" errorTitle="Tekstveld limiet" error="Maximaal 70 tekens toegestaan" sqref="I2:J2001" xr:uid="{BFCB9120-F1C1-4FE2-8D72-AE259D2AA081}">
      <formula1>70</formula1>
    </dataValidation>
    <dataValidation allowBlank="1" showInputMessage="1" showErrorMessage="1" prompt="Arbeid: kies medewerker of &quot;eigen arbeid&quot;_x000a_Derden: voer bedrijfsnaam in" sqref="H1" xr:uid="{8A5A017A-2BFA-47E3-8DC6-F8D8BC37013D}"/>
    <dataValidation type="list" showInputMessage="1" showErrorMessage="1" sqref="E2:E2001" xr:uid="{CAA3B414-68BB-4477-93C0-FB2BCBD1C457}">
      <formula1>Activiteit_DB</formula1>
    </dataValidation>
    <dataValidation type="list" allowBlank="1" showInputMessage="1" showErrorMessage="1" sqref="E2:E2001" xr:uid="{330137D8-C53A-42F2-BE6C-F7CAABCBFD3E}">
      <formula1>Activiteit_DB</formula1>
    </dataValidation>
    <dataValidation type="date" allowBlank="1" showErrorMessage="1" errorTitle="Ongeldige datum" error="Er is geen geldige datum opgevoerd." sqref="K2:L2001" xr:uid="{AD0B9D90-18F0-4C1B-8F30-108589795847}">
      <formula1>44927</formula1>
      <formula2>TODAY()</formula2>
    </dataValidation>
    <dataValidation type="list" allowBlank="1" showInputMessage="1" showErrorMessage="1" sqref="F2:F2001" xr:uid="{6FFDE682-EBB8-490B-9790-6F07B4878F27}">
      <formula1>Kosten_Type_DB</formula1>
    </dataValidation>
    <dataValidation type="list" allowBlank="1" prompt="Arbeid: kies medewerker of &quot;eigen arbeid&quot;_x000a_Derden: voer bedrijfsnaam in" sqref="H2:H2001" xr:uid="{40233E1B-44C8-4198-9697-A468F23ACEE6}">
      <formula1>Medewerker_DB</formula1>
    </dataValidation>
    <dataValidation type="list" allowBlank="1" showInputMessage="1" showErrorMessage="1" sqref="G2:G2001" xr:uid="{9EA7A454-C3C7-4079-A2F5-320D4C981AC2}">
      <formula1>Spec_Arbeid_Nw_DB</formula1>
    </dataValidation>
    <dataValidation type="textLength" operator="lessThanOrEqual" allowBlank="1" showInputMessage="1" showErrorMessage="1" errorTitle="Tekstveld limiet" error="Maximaal 250 tekens toegestaan" sqref="D2:D2001 AC2:AD2001" xr:uid="{7671BDAC-E512-4AD1-944C-43B76ABE0D7C}">
      <formula1>250</formula1>
    </dataValidation>
    <dataValidation type="custom" allowBlank="1" showInputMessage="1" showErrorMessage="1" errorTitle="Getal met maximaal 2 cijfers" error="Er is geen decimaal getal ingevoerd met maximaal 2 cijfers achter de komma." sqref="S2:T2001" xr:uid="{FD431D5B-388E-49F3-938D-71A85518B172}">
      <formula1>LEN(S2)-LEN(INT(S2))&lt;=3</formula1>
    </dataValidation>
    <dataValidation type="custom" allowBlank="1" showInputMessage="1" showErrorMessage="1" sqref="Q2:R2001" xr:uid="{B854EFB5-05CB-42F5-A95B-F4CD1946138B}">
      <formula1>IF(COUNTIF($F2,"*Vergoeding")&gt;0,LEN(Q2)-LEN(INT(Q2))&lt;=5,LEN(Q2)-LEN(INT(Q2))&lt;=3)</formula1>
    </dataValidation>
  </dataValidations>
  <pageMargins left="0.70866141732283472" right="0.70866141732283472" top="0.74803149606299213" bottom="0.74803149606299213" header="0.31496062992125984" footer="0.31496062992125984"/>
  <pageSetup paperSize="9" scale="55" orientation="landscape" r:id="rId1"/>
  <headerFooter>
    <oddFooter>&amp;LVersie: september 2023&amp;C&amp;A&amp;R&amp;P van &amp;N</oddFooter>
  </headerFooter>
  <rowBreaks count="1" manualBreakCount="1">
    <brk id="51" min="1" max="15" man="1"/>
  </rowBreaks>
  <extLst>
    <ext xmlns:x14="http://schemas.microsoft.com/office/spreadsheetml/2009/9/main" uri="{78C0D931-6437-407d-A8EE-F0AAD7539E65}">
      <x14:conditionalFormattings>
        <x14:conditionalFormatting xmlns:xm="http://schemas.microsoft.com/office/excel/2006/main">
          <x14:cfRule type="expression" priority="129" stopIfTrue="1" id="{C7D8519F-7DB0-41AF-84D0-DC3929D81D37}">
            <xm:f>INDEX(SubsidieTabel!$AD$1:$AG$12,MATCH(F2,SubsidieTabel!$AD$1:$AD$12,0),IFERROR(MATCH(Methode_Keuze,SubsidieTabel!$AD$1:$AG$1,0),2))&lt;&gt;1</xm:f>
            <x14:dxf>
              <font>
                <color rgb="FFD52B1E"/>
              </font>
            </x14:dxf>
          </x14:cfRule>
          <xm:sqref>F2:G2001</xm:sqref>
        </x14:conditionalFormatting>
        <x14:conditionalFormatting xmlns:xm="http://schemas.microsoft.com/office/excel/2006/main">
          <x14:cfRule type="expression" priority="76" stopIfTrue="1" id="{00000000-000E-0000-0A00-000032000000}">
            <xm:f>AND($F2&lt;&gt;"",'1. Aanvraaggegevens'!$C$8="Kies een berekeningsmethode op tabblad 'Begrotingsoverzicht'")</xm:f>
            <x14:dxf>
              <font>
                <color theme="0" tint="-0.14996795556505021"/>
              </font>
              <fill>
                <patternFill>
                  <bgColor theme="0" tint="-0.14996795556505021"/>
                </patternFill>
              </fill>
            </x14:dxf>
          </x14:cfRule>
          <xm:sqref>O2:P2001</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D08AF-7AEB-444D-916D-69CE3380C1CD}">
  <sheetPr codeName="Blad17">
    <tabColor theme="9" tint="0.79998168889431442"/>
    <pageSetUpPr fitToPage="1"/>
  </sheetPr>
  <dimension ref="A1:O46"/>
  <sheetViews>
    <sheetView showGridLines="0" zoomScaleNormal="100" workbookViewId="0">
      <selection activeCell="F10" sqref="F10"/>
    </sheetView>
  </sheetViews>
  <sheetFormatPr defaultColWidth="0" defaultRowHeight="15" customHeight="1" zeroHeight="1" x14ac:dyDescent="0.25"/>
  <cols>
    <col min="1" max="1" width="2.85546875" style="25" customWidth="1"/>
    <col min="2" max="2" width="62.7109375" style="25" customWidth="1"/>
    <col min="3" max="3" width="22" style="25" bestFit="1" customWidth="1"/>
    <col min="4" max="4" width="22.140625" style="25" bestFit="1" customWidth="1"/>
    <col min="5" max="14" width="28.7109375" style="25" customWidth="1"/>
    <col min="15" max="15" width="1.5703125" style="25" customWidth="1"/>
    <col min="16" max="16384" width="9.140625" style="25" hidden="1"/>
  </cols>
  <sheetData>
    <row r="1" spans="2:14" ht="3" customHeight="1" x14ac:dyDescent="0.25">
      <c r="B1" s="40"/>
      <c r="C1" s="40"/>
      <c r="D1" s="41"/>
    </row>
    <row r="2" spans="2:14" ht="28.5" customHeight="1" x14ac:dyDescent="0.25">
      <c r="B2" s="17" t="s">
        <v>71</v>
      </c>
      <c r="C2" s="442" t="str">
        <f>IF('1. Aanvraaggegevens'!C2&lt;&gt;"",'1. Aanvraaggegevens'!C2,"")</f>
        <v/>
      </c>
      <c r="D2" s="443"/>
      <c r="E2" s="444"/>
    </row>
    <row r="3" spans="2:14" ht="15" customHeight="1" x14ac:dyDescent="0.25">
      <c r="B3" s="17" t="s">
        <v>16</v>
      </c>
      <c r="C3" s="445" t="str">
        <f>IF('1. Aanvraaggegevens'!C3&lt;&gt;"",'1. Aanvraaggegevens'!C3,"")</f>
        <v/>
      </c>
      <c r="D3" s="446"/>
      <c r="E3" s="447"/>
    </row>
    <row r="4" spans="2:14" ht="15" customHeight="1" x14ac:dyDescent="0.25">
      <c r="B4" s="17" t="s">
        <v>17</v>
      </c>
      <c r="C4" s="445" t="str">
        <f>IF('1. Aanvraaggegevens'!C4&lt;&gt;"",'1. Aanvraaggegevens'!C4,"")</f>
        <v/>
      </c>
      <c r="D4" s="446"/>
      <c r="E4" s="447"/>
    </row>
    <row r="5" spans="2:14" ht="15" customHeight="1" x14ac:dyDescent="0.25">
      <c r="B5" s="17" t="s">
        <v>18</v>
      </c>
      <c r="C5" s="445" t="str">
        <f>IF('1. Aanvraaggegevens'!C5&lt;&gt;"",'1. Aanvraaggegevens'!C5,"")</f>
        <v/>
      </c>
      <c r="D5" s="446"/>
      <c r="E5" s="447"/>
    </row>
    <row r="6" spans="2:14" ht="15" customHeight="1" x14ac:dyDescent="0.25">
      <c r="B6" s="5"/>
      <c r="C6" s="448" t="str">
        <f>IF('1. Aanvraaggegevens'!C6&lt;&gt;"",'1. Aanvraaggegevens'!C6,"")</f>
        <v/>
      </c>
      <c r="D6" s="449"/>
      <c r="E6" s="450"/>
    </row>
    <row r="7" spans="2:14" ht="3" customHeight="1" x14ac:dyDescent="0.25">
      <c r="B7" s="40"/>
      <c r="C7" s="40"/>
      <c r="D7" s="41"/>
      <c r="E7" s="26"/>
    </row>
    <row r="8" spans="2:14" ht="15" customHeight="1" x14ac:dyDescent="0.25">
      <c r="B8" s="151" t="s">
        <v>105</v>
      </c>
      <c r="C8" s="451" t="str">
        <f>IF('1. Aanvraaggegevens'!C8&lt;&gt;"",'1. Aanvraaggegevens'!C8,"")</f>
        <v/>
      </c>
      <c r="D8" s="452"/>
      <c r="E8" s="453"/>
    </row>
    <row r="9" spans="2:14" ht="3" customHeight="1" x14ac:dyDescent="0.25">
      <c r="B9" s="40"/>
      <c r="C9" s="40"/>
      <c r="D9" s="41"/>
    </row>
    <row r="10" spans="2:14" ht="15" customHeight="1" x14ac:dyDescent="0.25">
      <c r="B10" s="75" t="s">
        <v>153</v>
      </c>
      <c r="C10" s="433"/>
      <c r="D10" s="434"/>
      <c r="E10" s="435"/>
    </row>
    <row r="11" spans="2:14" ht="15" customHeight="1" x14ac:dyDescent="0.25">
      <c r="B11" s="75" t="s">
        <v>224</v>
      </c>
      <c r="C11" s="436"/>
      <c r="D11" s="437"/>
      <c r="E11" s="438"/>
    </row>
    <row r="12" spans="2:14" ht="15" customHeight="1" x14ac:dyDescent="0.25">
      <c r="B12" s="75" t="s">
        <v>112</v>
      </c>
      <c r="C12" s="439"/>
      <c r="D12" s="440"/>
      <c r="E12" s="441"/>
    </row>
    <row r="13" spans="2:14" ht="15" customHeight="1" x14ac:dyDescent="0.25">
      <c r="B13" s="75" t="s">
        <v>104</v>
      </c>
      <c r="C13" s="436"/>
      <c r="D13" s="437"/>
      <c r="E13" s="438"/>
    </row>
    <row r="14" spans="2:14" ht="21.75" customHeight="1" x14ac:dyDescent="0.25">
      <c r="B14" s="40"/>
      <c r="C14" s="40"/>
      <c r="D14" s="41"/>
      <c r="E14" s="177" t="str">
        <f>IF(Keuze_DB_Nr&lt;&gt;"","Totale uitgaven huidig betaalverzoek per subsidiabele activiteit --&gt;", "")</f>
        <v/>
      </c>
    </row>
    <row r="15" spans="2:14" ht="45" customHeight="1" x14ac:dyDescent="0.25">
      <c r="B15" s="164" t="s">
        <v>0</v>
      </c>
      <c r="C15" s="168" t="s">
        <v>225</v>
      </c>
      <c r="D15" s="168" t="str">
        <f>"Totale uitgaven huidig betaalverzoek ("&amp;Keuze_DB_Nr&amp;")"</f>
        <v>Totale uitgaven huidig betaalverzoek ()</v>
      </c>
      <c r="E15" s="163" t="str" cm="1">
        <f t="array" aca="1" ref="E15" ca="1">IFERROR(TRANSPOSE(Activiteiten_Uniek_DB),"")</f>
        <v/>
      </c>
      <c r="F15" s="163"/>
      <c r="G15" s="163"/>
      <c r="H15" s="163"/>
      <c r="I15" s="163"/>
      <c r="J15" s="163"/>
      <c r="K15" s="163"/>
      <c r="L15" s="163"/>
      <c r="M15" s="163"/>
      <c r="N15" s="163"/>
    </row>
    <row r="16" spans="2:14" ht="15" customHeight="1" x14ac:dyDescent="0.25">
      <c r="B16" s="202" t="str" cm="1">
        <f t="array" aca="1" ref="B16" ca="1">IFERROR(Posten_Uniek,"")</f>
        <v/>
      </c>
      <c r="C16" s="103" t="str">
        <f ca="1">IF(B16="","",SUMIFS('8. Uitgaven betaalverzoek'!W:W,'8. Uitgaven betaalverzoek'!F:F,B16,'8. Uitgaven betaalverzoek'!A:A,"&lt;&gt;"""))</f>
        <v/>
      </c>
      <c r="D16" s="103" t="str">
        <f ca="1">IF(B16="","",IF(B16&lt;&gt;"",SUMIF(Tb_DBKosten[],B16,Tb_DBKosten[Deelbetaling_Aanvraag]),0))</f>
        <v/>
      </c>
      <c r="E16" s="103" t="str">
        <f ca="1">IF(AND($C16&lt;&gt;0,E$15&lt;&gt;"",$C16&lt;&gt;""),IF(Keuze_DB_Nr&lt;&gt;"",SUMIFS(SubsidieTabel_DB!$L:$L,SubsidieTabel_DB!$A:$A,E$15,SubsidieTabel_DB!$B:$B,$B16),""),"")</f>
        <v/>
      </c>
      <c r="F16" s="103" t="str">
        <f ca="1">IF(AND($C16&lt;&gt;0,F$15&lt;&gt;"",$C16&lt;&gt;""),IF(Keuze_DB_Nr&lt;&gt;"",SUMIFS(SubsidieTabel_DB!$L:$L,SubsidieTabel_DB!$A:$A,F$15,SubsidieTabel_DB!$B:$B,$B16),""),"")</f>
        <v/>
      </c>
      <c r="G16" s="103" t="str">
        <f ca="1">IF(AND($C16&lt;&gt;0,G$15&lt;&gt;"",$C16&lt;&gt;""),IF(Keuze_DB_Nr&lt;&gt;"",SUMIFS(SubsidieTabel_DB!$L:$L,SubsidieTabel_DB!$A:$A,G$15,SubsidieTabel_DB!$B:$B,$B16),""),"")</f>
        <v/>
      </c>
      <c r="H16" s="103" t="str">
        <f ca="1">IF(AND($C16&lt;&gt;0,H$15&lt;&gt;"",$C16&lt;&gt;""),IF(Keuze_DB_Nr&lt;&gt;"",SUMIFS(SubsidieTabel_DB!$L:$L,SubsidieTabel_DB!$A:$A,H$15,SubsidieTabel_DB!$B:$B,$B16),""),"")</f>
        <v/>
      </c>
      <c r="I16" s="103" t="str">
        <f ca="1">IF(AND($C16&lt;&gt;0,I$15&lt;&gt;"",$C16&lt;&gt;""),IF(Keuze_DB_Nr&lt;&gt;"",SUMIFS(SubsidieTabel_DB!$L:$L,SubsidieTabel_DB!$A:$A,I$15,SubsidieTabel_DB!$B:$B,$B16),""),"")</f>
        <v/>
      </c>
      <c r="J16" s="103" t="str">
        <f ca="1">IF(AND($C16&lt;&gt;0,J$15&lt;&gt;"",$C16&lt;&gt;""),IF(Keuze_DB_Nr&lt;&gt;"",SUMIFS(SubsidieTabel_DB!$L:$L,SubsidieTabel_DB!$A:$A,J$15,SubsidieTabel_DB!$B:$B,$B16),""),"")</f>
        <v/>
      </c>
      <c r="K16" s="103" t="str">
        <f ca="1">IF(AND($C16&lt;&gt;0,K$15&lt;&gt;"",$C16&lt;&gt;""),IF(Keuze_DB_Nr&lt;&gt;"",SUMIFS(SubsidieTabel_DB!$L:$L,SubsidieTabel_DB!$A:$A,K$15,SubsidieTabel_DB!$B:$B,$B16),""),"")</f>
        <v/>
      </c>
      <c r="L16" s="103" t="str">
        <f ca="1">IF(AND($C16&lt;&gt;0,L$15&lt;&gt;"",$C16&lt;&gt;""),IF(Keuze_DB_Nr&lt;&gt;"",SUMIFS(SubsidieTabel_DB!$L:$L,SubsidieTabel_DB!$A:$A,L$15,SubsidieTabel_DB!$B:$B,$B16),""),"")</f>
        <v/>
      </c>
      <c r="M16" s="103" t="str">
        <f ca="1">IF(AND($C16&lt;&gt;0,M$15&lt;&gt;"",$C16&lt;&gt;""),IF(Keuze_DB_Nr&lt;&gt;"",SUMIFS(SubsidieTabel_DB!$L:$L,SubsidieTabel_DB!$A:$A,M$15,SubsidieTabel_DB!$B:$B,$B16),""),"")</f>
        <v/>
      </c>
      <c r="N16" s="103" t="str">
        <f ca="1">IF(AND($C16&lt;&gt;0,N$15&lt;&gt;"",$C16&lt;&gt;""),IF(Keuze_DB_Nr&lt;&gt;"",SUMIFS(SubsidieTabel_DB!$L:$L,SubsidieTabel_DB!$A:$A,N$15,SubsidieTabel_DB!$B:$B,$B16),""),"")</f>
        <v/>
      </c>
    </row>
    <row r="17" spans="2:14" ht="15" customHeight="1" x14ac:dyDescent="0.25">
      <c r="B17" s="202"/>
      <c r="C17" s="103" t="str">
        <f>IF(B17="","",SUMIFS('8. Uitgaven betaalverzoek'!W:W,'8. Uitgaven betaalverzoek'!F:F,B17,'8. Uitgaven betaalverzoek'!A:A,"&lt;&gt;"""))</f>
        <v/>
      </c>
      <c r="D17" s="103" t="str">
        <f>IF(B17="","",IF(B17&lt;&gt;"",SUMIF(Tb_DBKosten[],B17,Tb_DBKosten[Deelbetaling_Aanvraag]),0))</f>
        <v/>
      </c>
      <c r="E17" s="103" t="str">
        <f ca="1">IF(AND($C17&lt;&gt;0,E$15&lt;&gt;"",$C17&lt;&gt;""),IF(Keuze_DB_Nr&lt;&gt;"",SUMIFS(SubsidieTabel_DB!$L:$L,SubsidieTabel_DB!$A:$A,E$15,SubsidieTabel_DB!$B:$B,$B17),""),"")</f>
        <v/>
      </c>
      <c r="F17" s="103" t="str">
        <f>IF(AND($C17&lt;&gt;0,F$15&lt;&gt;"",$C17&lt;&gt;""),IF(Keuze_DB_Nr&lt;&gt;"",SUMIFS(SubsidieTabel_DB!$L:$L,SubsidieTabel_DB!$A:$A,F$15,SubsidieTabel_DB!$B:$B,$B17),""),"")</f>
        <v/>
      </c>
      <c r="G17" s="103" t="str">
        <f>IF(AND($C17&lt;&gt;0,G$15&lt;&gt;"",$C17&lt;&gt;""),IF(Keuze_DB_Nr&lt;&gt;"",SUMIFS(SubsidieTabel_DB!$L:$L,SubsidieTabel_DB!$A:$A,G$15,SubsidieTabel_DB!$B:$B,$B17),""),"")</f>
        <v/>
      </c>
      <c r="H17" s="103" t="str">
        <f>IF(AND($C17&lt;&gt;0,H$15&lt;&gt;"",$C17&lt;&gt;""),IF(Keuze_DB_Nr&lt;&gt;"",SUMIFS(SubsidieTabel_DB!$L:$L,SubsidieTabel_DB!$A:$A,H$15,SubsidieTabel_DB!$B:$B,$B17),""),"")</f>
        <v/>
      </c>
      <c r="I17" s="103" t="str">
        <f>IF(AND($C17&lt;&gt;0,I$15&lt;&gt;"",$C17&lt;&gt;""),IF(Keuze_DB_Nr&lt;&gt;"",SUMIFS(SubsidieTabel_DB!$L:$L,SubsidieTabel_DB!$A:$A,I$15,SubsidieTabel_DB!$B:$B,$B17),""),"")</f>
        <v/>
      </c>
      <c r="J17" s="103" t="str">
        <f>IF(AND($C17&lt;&gt;0,J$15&lt;&gt;"",$C17&lt;&gt;""),IF(Keuze_DB_Nr&lt;&gt;"",SUMIFS(SubsidieTabel_DB!$L:$L,SubsidieTabel_DB!$A:$A,J$15,SubsidieTabel_DB!$B:$B,$B17),""),"")</f>
        <v/>
      </c>
      <c r="K17" s="103" t="str">
        <f>IF(AND($C17&lt;&gt;0,K$15&lt;&gt;"",$C17&lt;&gt;""),IF(Keuze_DB_Nr&lt;&gt;"",SUMIFS(SubsidieTabel_DB!$L:$L,SubsidieTabel_DB!$A:$A,K$15,SubsidieTabel_DB!$B:$B,$B17),""),"")</f>
        <v/>
      </c>
      <c r="L17" s="103" t="str">
        <f>IF(AND($C17&lt;&gt;0,L$15&lt;&gt;"",$C17&lt;&gt;""),IF(Keuze_DB_Nr&lt;&gt;"",SUMIFS(SubsidieTabel_DB!$L:$L,SubsidieTabel_DB!$A:$A,L$15,SubsidieTabel_DB!$B:$B,$B17),""),"")</f>
        <v/>
      </c>
      <c r="M17" s="103" t="str">
        <f>IF(AND($C17&lt;&gt;0,M$15&lt;&gt;"",$C17&lt;&gt;""),IF(Keuze_DB_Nr&lt;&gt;"",SUMIFS(SubsidieTabel_DB!$L:$L,SubsidieTabel_DB!$A:$A,M$15,SubsidieTabel_DB!$B:$B,$B17),""),"")</f>
        <v/>
      </c>
      <c r="N17" s="103" t="str">
        <f>IF(AND($C17&lt;&gt;0,N$15&lt;&gt;"",$C17&lt;&gt;""),IF(Keuze_DB_Nr&lt;&gt;"",SUMIFS(SubsidieTabel_DB!$L:$L,SubsidieTabel_DB!$A:$A,N$15,SubsidieTabel_DB!$B:$B,$B17),""),"")</f>
        <v/>
      </c>
    </row>
    <row r="18" spans="2:14" ht="15" customHeight="1" x14ac:dyDescent="0.25">
      <c r="B18" s="6"/>
      <c r="C18" s="103" t="str">
        <f>IF(B18="","",SUMIFS('8. Uitgaven betaalverzoek'!W:W,'8. Uitgaven betaalverzoek'!F:F,B18,'8. Uitgaven betaalverzoek'!A:A,"&lt;&gt;"""))</f>
        <v/>
      </c>
      <c r="D18" s="103" t="str">
        <f>IF(B18="","",IF(B18&lt;&gt;"",SUMIF(Tb_DBKosten[],B18,Tb_DBKosten[Deelbetaling_Aanvraag]),0))</f>
        <v/>
      </c>
      <c r="E18" s="103" t="str">
        <f ca="1">IF(AND($C18&lt;&gt;0,E$15&lt;&gt;"",$C18&lt;&gt;""),IF(Keuze_DB_Nr&lt;&gt;"",SUMIFS(SubsidieTabel_DB!$L:$L,SubsidieTabel_DB!$A:$A,E$15,SubsidieTabel_DB!$B:$B,$B18),""),"")</f>
        <v/>
      </c>
      <c r="F18" s="103" t="str">
        <f>IF(AND($C18&lt;&gt;0,F$15&lt;&gt;"",$C18&lt;&gt;""),IF(Keuze_DB_Nr&lt;&gt;"",SUMIFS(SubsidieTabel_DB!$L:$L,SubsidieTabel_DB!$A:$A,F$15,SubsidieTabel_DB!$B:$B,$B18),""),"")</f>
        <v/>
      </c>
      <c r="G18" s="103" t="str">
        <f>IF(AND($C18&lt;&gt;0,G$15&lt;&gt;"",$C18&lt;&gt;""),IF(Keuze_DB_Nr&lt;&gt;"",SUMIFS(SubsidieTabel_DB!$L:$L,SubsidieTabel_DB!$A:$A,G$15,SubsidieTabel_DB!$B:$B,$B18),""),"")</f>
        <v/>
      </c>
      <c r="H18" s="103" t="str">
        <f>IF(AND($C18&lt;&gt;0,H$15&lt;&gt;"",$C18&lt;&gt;""),IF(Keuze_DB_Nr&lt;&gt;"",SUMIFS(SubsidieTabel_DB!$L:$L,SubsidieTabel_DB!$A:$A,H$15,SubsidieTabel_DB!$B:$B,$B18),""),"")</f>
        <v/>
      </c>
      <c r="I18" s="103" t="str">
        <f>IF(AND($C18&lt;&gt;0,I$15&lt;&gt;"",$C18&lt;&gt;""),IF(Keuze_DB_Nr&lt;&gt;"",SUMIFS(SubsidieTabel_DB!$L:$L,SubsidieTabel_DB!$A:$A,I$15,SubsidieTabel_DB!$B:$B,$B18),""),"")</f>
        <v/>
      </c>
      <c r="J18" s="103" t="str">
        <f>IF(AND($C18&lt;&gt;0,J$15&lt;&gt;"",$C18&lt;&gt;""),IF(Keuze_DB_Nr&lt;&gt;"",SUMIFS(SubsidieTabel_DB!$L:$L,SubsidieTabel_DB!$A:$A,J$15,SubsidieTabel_DB!$B:$B,$B18),""),"")</f>
        <v/>
      </c>
      <c r="K18" s="103" t="str">
        <f>IF(AND($C18&lt;&gt;0,K$15&lt;&gt;"",$C18&lt;&gt;""),IF(Keuze_DB_Nr&lt;&gt;"",SUMIFS(SubsidieTabel_DB!$L:$L,SubsidieTabel_DB!$A:$A,K$15,SubsidieTabel_DB!$B:$B,$B18),""),"")</f>
        <v/>
      </c>
      <c r="L18" s="103" t="str">
        <f>IF(AND($C18&lt;&gt;0,L$15&lt;&gt;"",$C18&lt;&gt;""),IF(Keuze_DB_Nr&lt;&gt;"",SUMIFS(SubsidieTabel_DB!$L:$L,SubsidieTabel_DB!$A:$A,L$15,SubsidieTabel_DB!$B:$B,$B18),""),"")</f>
        <v/>
      </c>
      <c r="M18" s="103" t="str">
        <f>IF(AND($C18&lt;&gt;0,M$15&lt;&gt;"",$C18&lt;&gt;""),IF(Keuze_DB_Nr&lt;&gt;"",SUMIFS(SubsidieTabel_DB!$L:$L,SubsidieTabel_DB!$A:$A,M$15,SubsidieTabel_DB!$B:$B,$B18),""),"")</f>
        <v/>
      </c>
      <c r="N18" s="103" t="str">
        <f>IF(AND($C18&lt;&gt;0,N$15&lt;&gt;"",$C18&lt;&gt;""),IF(Keuze_DB_Nr&lt;&gt;"",SUMIFS(SubsidieTabel_DB!$L:$L,SubsidieTabel_DB!$A:$A,N$15,SubsidieTabel_DB!$B:$B,$B18),""),"")</f>
        <v/>
      </c>
    </row>
    <row r="19" spans="2:14" ht="15" customHeight="1" x14ac:dyDescent="0.25">
      <c r="B19" s="6"/>
      <c r="C19" s="103" t="str">
        <f>IF(B19="","",SUMIFS('8. Uitgaven betaalverzoek'!W:W,'8. Uitgaven betaalverzoek'!F:F,B19,'8. Uitgaven betaalverzoek'!A:A,"&lt;&gt;"""))</f>
        <v/>
      </c>
      <c r="D19" s="103" t="str">
        <f>IF(B19="","",IF(B19&lt;&gt;"",SUMIF(Tb_DBKosten[],B19,Tb_DBKosten[Deelbetaling_Aanvraag]),0))</f>
        <v/>
      </c>
      <c r="E19" s="103" t="str">
        <f ca="1">IF(AND($C19&lt;&gt;0,E$15&lt;&gt;"",$C19&lt;&gt;""),IF(Keuze_DB_Nr&lt;&gt;"",SUMIFS(SubsidieTabel_DB!$L:$L,SubsidieTabel_DB!$A:$A,E$15,SubsidieTabel_DB!$B:$B,$B19),""),"")</f>
        <v/>
      </c>
      <c r="F19" s="103" t="str">
        <f>IF(AND($C19&lt;&gt;0,F$15&lt;&gt;"",$C19&lt;&gt;""),IF(Keuze_DB_Nr&lt;&gt;"",SUMIFS(SubsidieTabel_DB!$L:$L,SubsidieTabel_DB!$A:$A,F$15,SubsidieTabel_DB!$B:$B,$B19),""),"")</f>
        <v/>
      </c>
      <c r="G19" s="103" t="str">
        <f>IF(AND($C19&lt;&gt;0,G$15&lt;&gt;"",$C19&lt;&gt;""),IF(Keuze_DB_Nr&lt;&gt;"",SUMIFS(SubsidieTabel_DB!$L:$L,SubsidieTabel_DB!$A:$A,G$15,SubsidieTabel_DB!$B:$B,$B19),""),"")</f>
        <v/>
      </c>
      <c r="H19" s="103" t="str">
        <f>IF(AND($C19&lt;&gt;0,H$15&lt;&gt;"",$C19&lt;&gt;""),IF(Keuze_DB_Nr&lt;&gt;"",SUMIFS(SubsidieTabel_DB!$L:$L,SubsidieTabel_DB!$A:$A,H$15,SubsidieTabel_DB!$B:$B,$B19),""),"")</f>
        <v/>
      </c>
      <c r="I19" s="103" t="str">
        <f>IF(AND($C19&lt;&gt;0,I$15&lt;&gt;"",$C19&lt;&gt;""),IF(Keuze_DB_Nr&lt;&gt;"",SUMIFS(SubsidieTabel_DB!$L:$L,SubsidieTabel_DB!$A:$A,I$15,SubsidieTabel_DB!$B:$B,$B19),""),"")</f>
        <v/>
      </c>
      <c r="J19" s="103" t="str">
        <f>IF(AND($C19&lt;&gt;0,J$15&lt;&gt;"",$C19&lt;&gt;""),IF(Keuze_DB_Nr&lt;&gt;"",SUMIFS(SubsidieTabel_DB!$L:$L,SubsidieTabel_DB!$A:$A,J$15,SubsidieTabel_DB!$B:$B,$B19),""),"")</f>
        <v/>
      </c>
      <c r="K19" s="103" t="str">
        <f>IF(AND($C19&lt;&gt;0,K$15&lt;&gt;"",$C19&lt;&gt;""),IF(Keuze_DB_Nr&lt;&gt;"",SUMIFS(SubsidieTabel_DB!$L:$L,SubsidieTabel_DB!$A:$A,K$15,SubsidieTabel_DB!$B:$B,$B19),""),"")</f>
        <v/>
      </c>
      <c r="L19" s="103" t="str">
        <f>IF(AND($C19&lt;&gt;0,L$15&lt;&gt;"",$C19&lt;&gt;""),IF(Keuze_DB_Nr&lt;&gt;"",SUMIFS(SubsidieTabel_DB!$L:$L,SubsidieTabel_DB!$A:$A,L$15,SubsidieTabel_DB!$B:$B,$B19),""),"")</f>
        <v/>
      </c>
      <c r="M19" s="103" t="str">
        <f>IF(AND($C19&lt;&gt;0,M$15&lt;&gt;"",$C19&lt;&gt;""),IF(Keuze_DB_Nr&lt;&gt;"",SUMIFS(SubsidieTabel_DB!$L:$L,SubsidieTabel_DB!$A:$A,M$15,SubsidieTabel_DB!$B:$B,$B19),""),"")</f>
        <v/>
      </c>
      <c r="N19" s="103" t="str">
        <f>IF(AND($C19&lt;&gt;0,N$15&lt;&gt;"",$C19&lt;&gt;""),IF(Keuze_DB_Nr&lt;&gt;"",SUMIFS(SubsidieTabel_DB!$L:$L,SubsidieTabel_DB!$A:$A,N$15,SubsidieTabel_DB!$B:$B,$B19),""),"")</f>
        <v/>
      </c>
    </row>
    <row r="20" spans="2:14" ht="15" customHeight="1" x14ac:dyDescent="0.25">
      <c r="B20" s="6"/>
      <c r="C20" s="103" t="str">
        <f>IF(B20="","",SUMIFS('8. Uitgaven betaalverzoek'!W:W,'8. Uitgaven betaalverzoek'!F:F,B20,'8. Uitgaven betaalverzoek'!A:A,"&lt;&gt;"""))</f>
        <v/>
      </c>
      <c r="D20" s="103" t="str">
        <f>IF(B20="","",IF(B20&lt;&gt;"",SUMIF(Tb_DBKosten[],B20,Tb_DBKosten[Deelbetaling_Aanvraag]),0))</f>
        <v/>
      </c>
      <c r="E20" s="103" t="str">
        <f ca="1">IF(AND($C20&lt;&gt;0,E$15&lt;&gt;"",$C20&lt;&gt;""),IF(Keuze_DB_Nr&lt;&gt;"",SUMIFS(SubsidieTabel_DB!$L:$L,SubsidieTabel_DB!$A:$A,E$15,SubsidieTabel_DB!$B:$B,$B20),""),"")</f>
        <v/>
      </c>
      <c r="F20" s="103" t="str">
        <f>IF(AND($C20&lt;&gt;0,F$15&lt;&gt;"",$C20&lt;&gt;""),IF(Keuze_DB_Nr&lt;&gt;"",SUMIFS(SubsidieTabel_DB!$L:$L,SubsidieTabel_DB!$A:$A,F$15,SubsidieTabel_DB!$B:$B,$B20),""),"")</f>
        <v/>
      </c>
      <c r="G20" s="103" t="str">
        <f>IF(AND($C20&lt;&gt;0,G$15&lt;&gt;"",$C20&lt;&gt;""),IF(Keuze_DB_Nr&lt;&gt;"",SUMIFS(SubsidieTabel_DB!$L:$L,SubsidieTabel_DB!$A:$A,G$15,SubsidieTabel_DB!$B:$B,$B20),""),"")</f>
        <v/>
      </c>
      <c r="H20" s="103" t="str">
        <f>IF(AND($C20&lt;&gt;0,H$15&lt;&gt;"",$C20&lt;&gt;""),IF(Keuze_DB_Nr&lt;&gt;"",SUMIFS(SubsidieTabel_DB!$L:$L,SubsidieTabel_DB!$A:$A,H$15,SubsidieTabel_DB!$B:$B,$B20),""),"")</f>
        <v/>
      </c>
      <c r="I20" s="103" t="str">
        <f>IF(AND($C20&lt;&gt;0,I$15&lt;&gt;"",$C20&lt;&gt;""),IF(Keuze_DB_Nr&lt;&gt;"",SUMIFS(SubsidieTabel_DB!$L:$L,SubsidieTabel_DB!$A:$A,I$15,SubsidieTabel_DB!$B:$B,$B20),""),"")</f>
        <v/>
      </c>
      <c r="J20" s="103" t="str">
        <f>IF(AND($C20&lt;&gt;0,J$15&lt;&gt;"",$C20&lt;&gt;""),IF(Keuze_DB_Nr&lt;&gt;"",SUMIFS(SubsidieTabel_DB!$L:$L,SubsidieTabel_DB!$A:$A,J$15,SubsidieTabel_DB!$B:$B,$B20),""),"")</f>
        <v/>
      </c>
      <c r="K20" s="103" t="str">
        <f>IF(AND($C20&lt;&gt;0,K$15&lt;&gt;"",$C20&lt;&gt;""),IF(Keuze_DB_Nr&lt;&gt;"",SUMIFS(SubsidieTabel_DB!$L:$L,SubsidieTabel_DB!$A:$A,K$15,SubsidieTabel_DB!$B:$B,$B20),""),"")</f>
        <v/>
      </c>
      <c r="L20" s="103" t="str">
        <f>IF(AND($C20&lt;&gt;0,L$15&lt;&gt;"",$C20&lt;&gt;""),IF(Keuze_DB_Nr&lt;&gt;"",SUMIFS(SubsidieTabel_DB!$L:$L,SubsidieTabel_DB!$A:$A,L$15,SubsidieTabel_DB!$B:$B,$B20),""),"")</f>
        <v/>
      </c>
      <c r="M20" s="103" t="str">
        <f>IF(AND($C20&lt;&gt;0,M$15&lt;&gt;"",$C20&lt;&gt;""),IF(Keuze_DB_Nr&lt;&gt;"",SUMIFS(SubsidieTabel_DB!$L:$L,SubsidieTabel_DB!$A:$A,M$15,SubsidieTabel_DB!$B:$B,$B20),""),"")</f>
        <v/>
      </c>
      <c r="N20" s="103" t="str">
        <f>IF(AND($C20&lt;&gt;0,N$15&lt;&gt;"",$C20&lt;&gt;""),IF(Keuze_DB_Nr&lt;&gt;"",SUMIFS(SubsidieTabel_DB!$L:$L,SubsidieTabel_DB!$A:$A,N$15,SubsidieTabel_DB!$B:$B,$B20),""),"")</f>
        <v/>
      </c>
    </row>
    <row r="21" spans="2:14" ht="15" customHeight="1" x14ac:dyDescent="0.25">
      <c r="B21" s="6"/>
      <c r="C21" s="103" t="str">
        <f>IF(B21="","",SUMIFS('8. Uitgaven betaalverzoek'!W:W,'8. Uitgaven betaalverzoek'!F:F,B21,'8. Uitgaven betaalverzoek'!A:A,"&lt;&gt;"""))</f>
        <v/>
      </c>
      <c r="D21" s="103" t="str">
        <f>IF(B21="","",IF(B21&lt;&gt;"",SUMIF(Tb_DBKosten[],B21,Tb_DBKosten[Deelbetaling_Aanvraag]),0))</f>
        <v/>
      </c>
      <c r="E21" s="103" t="str">
        <f ca="1">IF(AND($C21&lt;&gt;0,E$15&lt;&gt;"",$C21&lt;&gt;""),IF(Keuze_DB_Nr&lt;&gt;"",SUMIFS(SubsidieTabel_DB!$L:$L,SubsidieTabel_DB!$A:$A,E$15,SubsidieTabel_DB!$B:$B,$B21),""),"")</f>
        <v/>
      </c>
      <c r="F21" s="103" t="str">
        <f>IF(AND($C21&lt;&gt;0,F$15&lt;&gt;"",$C21&lt;&gt;""),IF(Keuze_DB_Nr&lt;&gt;"",SUMIFS(SubsidieTabel_DB!$L:$L,SubsidieTabel_DB!$A:$A,F$15,SubsidieTabel_DB!$B:$B,$B21),""),"")</f>
        <v/>
      </c>
      <c r="G21" s="103" t="str">
        <f>IF(AND($C21&lt;&gt;0,G$15&lt;&gt;"",$C21&lt;&gt;""),IF(Keuze_DB_Nr&lt;&gt;"",SUMIFS(SubsidieTabel_DB!$L:$L,SubsidieTabel_DB!$A:$A,G$15,SubsidieTabel_DB!$B:$B,$B21),""),"")</f>
        <v/>
      </c>
      <c r="H21" s="103" t="str">
        <f>IF(AND($C21&lt;&gt;0,H$15&lt;&gt;"",$C21&lt;&gt;""),IF(Keuze_DB_Nr&lt;&gt;"",SUMIFS(SubsidieTabel_DB!$L:$L,SubsidieTabel_DB!$A:$A,H$15,SubsidieTabel_DB!$B:$B,$B21),""),"")</f>
        <v/>
      </c>
      <c r="I21" s="103" t="str">
        <f>IF(AND($C21&lt;&gt;0,I$15&lt;&gt;"",$C21&lt;&gt;""),IF(Keuze_DB_Nr&lt;&gt;"",SUMIFS(SubsidieTabel_DB!$L:$L,SubsidieTabel_DB!$A:$A,I$15,SubsidieTabel_DB!$B:$B,$B21),""),"")</f>
        <v/>
      </c>
      <c r="J21" s="103" t="str">
        <f>IF(AND($C21&lt;&gt;0,J$15&lt;&gt;"",$C21&lt;&gt;""),IF(Keuze_DB_Nr&lt;&gt;"",SUMIFS(SubsidieTabel_DB!$L:$L,SubsidieTabel_DB!$A:$A,J$15,SubsidieTabel_DB!$B:$B,$B21),""),"")</f>
        <v/>
      </c>
      <c r="K21" s="103" t="str">
        <f>IF(AND($C21&lt;&gt;0,K$15&lt;&gt;"",$C21&lt;&gt;""),IF(Keuze_DB_Nr&lt;&gt;"",SUMIFS(SubsidieTabel_DB!$L:$L,SubsidieTabel_DB!$A:$A,K$15,SubsidieTabel_DB!$B:$B,$B21),""),"")</f>
        <v/>
      </c>
      <c r="L21" s="103" t="str">
        <f>IF(AND($C21&lt;&gt;0,L$15&lt;&gt;"",$C21&lt;&gt;""),IF(Keuze_DB_Nr&lt;&gt;"",SUMIFS(SubsidieTabel_DB!$L:$L,SubsidieTabel_DB!$A:$A,L$15,SubsidieTabel_DB!$B:$B,$B21),""),"")</f>
        <v/>
      </c>
      <c r="M21" s="103" t="str">
        <f>IF(AND($C21&lt;&gt;0,M$15&lt;&gt;"",$C21&lt;&gt;""),IF(Keuze_DB_Nr&lt;&gt;"",SUMIFS(SubsidieTabel_DB!$L:$L,SubsidieTabel_DB!$A:$A,M$15,SubsidieTabel_DB!$B:$B,$B21),""),"")</f>
        <v/>
      </c>
      <c r="N21" s="103" t="str">
        <f>IF(AND($C21&lt;&gt;0,N$15&lt;&gt;"",$C21&lt;&gt;""),IF(Keuze_DB_Nr&lt;&gt;"",SUMIFS(SubsidieTabel_DB!$L:$L,SubsidieTabel_DB!$A:$A,N$15,SubsidieTabel_DB!$B:$B,$B21),""),"")</f>
        <v/>
      </c>
    </row>
    <row r="22" spans="2:14" ht="15" customHeight="1" x14ac:dyDescent="0.25">
      <c r="B22" s="6"/>
      <c r="C22" s="103" t="str">
        <f>IF(B22="","",SUMIFS('8. Uitgaven betaalverzoek'!W:W,'8. Uitgaven betaalverzoek'!F:F,B22,'8. Uitgaven betaalverzoek'!A:A,"&lt;&gt;"""))</f>
        <v/>
      </c>
      <c r="D22" s="103" t="str">
        <f>IF(B22="","",IF(B22&lt;&gt;"",SUMIF(Tb_DBKosten[],B22,Tb_DBKosten[Deelbetaling_Aanvraag]),0))</f>
        <v/>
      </c>
      <c r="E22" s="103" t="str">
        <f ca="1">IF(AND($C22&lt;&gt;0,E$15&lt;&gt;"",$C22&lt;&gt;""),IF(Keuze_DB_Nr&lt;&gt;"",SUMIFS(SubsidieTabel_DB!$L:$L,SubsidieTabel_DB!$A:$A,E$15,SubsidieTabel_DB!$B:$B,$B22),""),"")</f>
        <v/>
      </c>
      <c r="F22" s="103" t="str">
        <f>IF(AND($C22&lt;&gt;0,F$15&lt;&gt;"",$C22&lt;&gt;""),IF(Keuze_DB_Nr&lt;&gt;"",SUMIFS(SubsidieTabel_DB!$L:$L,SubsidieTabel_DB!$A:$A,F$15,SubsidieTabel_DB!$B:$B,$B22),""),"")</f>
        <v/>
      </c>
      <c r="G22" s="103" t="str">
        <f>IF(AND($C22&lt;&gt;0,G$15&lt;&gt;"",$C22&lt;&gt;""),IF(Keuze_DB_Nr&lt;&gt;"",SUMIFS(SubsidieTabel_DB!$L:$L,SubsidieTabel_DB!$A:$A,G$15,SubsidieTabel_DB!$B:$B,$B22),""),"")</f>
        <v/>
      </c>
      <c r="H22" s="103" t="str">
        <f>IF(AND($C22&lt;&gt;0,H$15&lt;&gt;"",$C22&lt;&gt;""),IF(Keuze_DB_Nr&lt;&gt;"",SUMIFS(SubsidieTabel_DB!$L:$L,SubsidieTabel_DB!$A:$A,H$15,SubsidieTabel_DB!$B:$B,$B22),""),"")</f>
        <v/>
      </c>
      <c r="I22" s="103" t="str">
        <f>IF(AND($C22&lt;&gt;0,I$15&lt;&gt;"",$C22&lt;&gt;""),IF(Keuze_DB_Nr&lt;&gt;"",SUMIFS(SubsidieTabel_DB!$L:$L,SubsidieTabel_DB!$A:$A,I$15,SubsidieTabel_DB!$B:$B,$B22),""),"")</f>
        <v/>
      </c>
      <c r="J22" s="103" t="str">
        <f>IF(AND($C22&lt;&gt;0,J$15&lt;&gt;"",$C22&lt;&gt;""),IF(Keuze_DB_Nr&lt;&gt;"",SUMIFS(SubsidieTabel_DB!$L:$L,SubsidieTabel_DB!$A:$A,J$15,SubsidieTabel_DB!$B:$B,$B22),""),"")</f>
        <v/>
      </c>
      <c r="K22" s="103" t="str">
        <f>IF(AND($C22&lt;&gt;0,K$15&lt;&gt;"",$C22&lt;&gt;""),IF(Keuze_DB_Nr&lt;&gt;"",SUMIFS(SubsidieTabel_DB!$L:$L,SubsidieTabel_DB!$A:$A,K$15,SubsidieTabel_DB!$B:$B,$B22),""),"")</f>
        <v/>
      </c>
      <c r="L22" s="103" t="str">
        <f>IF(AND($C22&lt;&gt;0,L$15&lt;&gt;"",$C22&lt;&gt;""),IF(Keuze_DB_Nr&lt;&gt;"",SUMIFS(SubsidieTabel_DB!$L:$L,SubsidieTabel_DB!$A:$A,L$15,SubsidieTabel_DB!$B:$B,$B22),""),"")</f>
        <v/>
      </c>
      <c r="M22" s="103" t="str">
        <f>IF(AND($C22&lt;&gt;0,M$15&lt;&gt;"",$C22&lt;&gt;""),IF(Keuze_DB_Nr&lt;&gt;"",SUMIFS(SubsidieTabel_DB!$L:$L,SubsidieTabel_DB!$A:$A,M$15,SubsidieTabel_DB!$B:$B,$B22),""),"")</f>
        <v/>
      </c>
      <c r="N22" s="103" t="str">
        <f>IF(AND($C22&lt;&gt;0,N$15&lt;&gt;"",$C22&lt;&gt;""),IF(Keuze_DB_Nr&lt;&gt;"",SUMIFS(SubsidieTabel_DB!$L:$L,SubsidieTabel_DB!$A:$A,N$15,SubsidieTabel_DB!$B:$B,$B22),""),"")</f>
        <v/>
      </c>
    </row>
    <row r="23" spans="2:14" ht="15" customHeight="1" x14ac:dyDescent="0.25">
      <c r="B23" s="6"/>
      <c r="C23" s="103" t="str">
        <f>IF(B23="","",SUMIFS('8. Uitgaven betaalverzoek'!W:W,'8. Uitgaven betaalverzoek'!F:F,B23,'8. Uitgaven betaalverzoek'!A:A,"&lt;&gt;"""))</f>
        <v/>
      </c>
      <c r="D23" s="103" t="str">
        <f>IF(B23="","",IF(B23&lt;&gt;"",SUMIF(Tb_DBKosten[],B23,Tb_DBKosten[Deelbetaling_Aanvraag]),0))</f>
        <v/>
      </c>
      <c r="E23" s="103" t="str">
        <f ca="1">IF(AND($C23&lt;&gt;0,E$15&lt;&gt;"",$C23&lt;&gt;""),IF(Keuze_DB_Nr&lt;&gt;"",SUMIFS(SubsidieTabel_DB!$L:$L,SubsidieTabel_DB!$A:$A,E$15,SubsidieTabel_DB!$B:$B,$B23),""),"")</f>
        <v/>
      </c>
      <c r="F23" s="103" t="str">
        <f>IF(AND($C23&lt;&gt;0,F$15&lt;&gt;"",$C23&lt;&gt;""),IF(Keuze_DB_Nr&lt;&gt;"",SUMIFS(SubsidieTabel_DB!$L:$L,SubsidieTabel_DB!$A:$A,F$15,SubsidieTabel_DB!$B:$B,$B23),""),"")</f>
        <v/>
      </c>
      <c r="G23" s="103" t="str">
        <f>IF(AND($C23&lt;&gt;0,G$15&lt;&gt;"",$C23&lt;&gt;""),IF(Keuze_DB_Nr&lt;&gt;"",SUMIFS(SubsidieTabel_DB!$L:$L,SubsidieTabel_DB!$A:$A,G$15,SubsidieTabel_DB!$B:$B,$B23),""),"")</f>
        <v/>
      </c>
      <c r="H23" s="103" t="str">
        <f>IF(AND($C23&lt;&gt;0,H$15&lt;&gt;"",$C23&lt;&gt;""),IF(Keuze_DB_Nr&lt;&gt;"",SUMIFS(SubsidieTabel_DB!$L:$L,SubsidieTabel_DB!$A:$A,H$15,SubsidieTabel_DB!$B:$B,$B23),""),"")</f>
        <v/>
      </c>
      <c r="I23" s="103" t="str">
        <f>IF(AND($C23&lt;&gt;0,I$15&lt;&gt;"",$C23&lt;&gt;""),IF(Keuze_DB_Nr&lt;&gt;"",SUMIFS(SubsidieTabel_DB!$L:$L,SubsidieTabel_DB!$A:$A,I$15,SubsidieTabel_DB!$B:$B,$B23),""),"")</f>
        <v/>
      </c>
      <c r="J23" s="103" t="str">
        <f>IF(AND($C23&lt;&gt;0,J$15&lt;&gt;"",$C23&lt;&gt;""),IF(Keuze_DB_Nr&lt;&gt;"",SUMIFS(SubsidieTabel_DB!$L:$L,SubsidieTabel_DB!$A:$A,J$15,SubsidieTabel_DB!$B:$B,$B23),""),"")</f>
        <v/>
      </c>
      <c r="K23" s="103" t="str">
        <f>IF(AND($C23&lt;&gt;0,K$15&lt;&gt;"",$C23&lt;&gt;""),IF(Keuze_DB_Nr&lt;&gt;"",SUMIFS(SubsidieTabel_DB!$L:$L,SubsidieTabel_DB!$A:$A,K$15,SubsidieTabel_DB!$B:$B,$B23),""),"")</f>
        <v/>
      </c>
      <c r="L23" s="103" t="str">
        <f>IF(AND($C23&lt;&gt;0,L$15&lt;&gt;"",$C23&lt;&gt;""),IF(Keuze_DB_Nr&lt;&gt;"",SUMIFS(SubsidieTabel_DB!$L:$L,SubsidieTabel_DB!$A:$A,L$15,SubsidieTabel_DB!$B:$B,$B23),""),"")</f>
        <v/>
      </c>
      <c r="M23" s="103" t="str">
        <f>IF(AND($C23&lt;&gt;0,M$15&lt;&gt;"",$C23&lt;&gt;""),IF(Keuze_DB_Nr&lt;&gt;"",SUMIFS(SubsidieTabel_DB!$L:$L,SubsidieTabel_DB!$A:$A,M$15,SubsidieTabel_DB!$B:$B,$B23),""),"")</f>
        <v/>
      </c>
      <c r="N23" s="103" t="str">
        <f>IF(AND($C23&lt;&gt;0,N$15&lt;&gt;"",$C23&lt;&gt;""),IF(Keuze_DB_Nr&lt;&gt;"",SUMIFS(SubsidieTabel_DB!$L:$L,SubsidieTabel_DB!$A:$A,N$15,SubsidieTabel_DB!$B:$B,$B23),""),"")</f>
        <v/>
      </c>
    </row>
    <row r="24" spans="2:14" ht="15" customHeight="1" x14ac:dyDescent="0.25">
      <c r="B24" s="6"/>
      <c r="C24" s="103" t="str">
        <f>IF(B24="","",SUMIFS('8. Uitgaven betaalverzoek'!W:W,'8. Uitgaven betaalverzoek'!F:F,B24,'8. Uitgaven betaalverzoek'!A:A,"&lt;&gt;"""))</f>
        <v/>
      </c>
      <c r="D24" s="103" t="str">
        <f>IF(B24="","",IF(B24&lt;&gt;"",SUMIF(Tb_DBKosten[],B24,Tb_DBKosten[Deelbetaling_Aanvraag]),0))</f>
        <v/>
      </c>
      <c r="E24" s="103" t="str">
        <f ca="1">IF(AND($C24&lt;&gt;0,E$15&lt;&gt;"",$C24&lt;&gt;""),IF(Keuze_DB_Nr&lt;&gt;"",SUMIFS(SubsidieTabel_DB!$L:$L,SubsidieTabel_DB!$A:$A,E$15,SubsidieTabel_DB!$B:$B,$B24),""),"")</f>
        <v/>
      </c>
      <c r="F24" s="103" t="str">
        <f>IF(AND($C24&lt;&gt;0,F$15&lt;&gt;"",$C24&lt;&gt;""),IF(Keuze_DB_Nr&lt;&gt;"",SUMIFS(SubsidieTabel_DB!$L:$L,SubsidieTabel_DB!$A:$A,F$15,SubsidieTabel_DB!$B:$B,$B24),""),"")</f>
        <v/>
      </c>
      <c r="G24" s="103" t="str">
        <f>IF(AND($C24&lt;&gt;0,G$15&lt;&gt;"",$C24&lt;&gt;""),IF(Keuze_DB_Nr&lt;&gt;"",SUMIFS(SubsidieTabel_DB!$L:$L,SubsidieTabel_DB!$A:$A,G$15,SubsidieTabel_DB!$B:$B,$B24),""),"")</f>
        <v/>
      </c>
      <c r="H24" s="103" t="str">
        <f>IF(AND($C24&lt;&gt;0,H$15&lt;&gt;"",$C24&lt;&gt;""),IF(Keuze_DB_Nr&lt;&gt;"",SUMIFS(SubsidieTabel_DB!$L:$L,SubsidieTabel_DB!$A:$A,H$15,SubsidieTabel_DB!$B:$B,$B24),""),"")</f>
        <v/>
      </c>
      <c r="I24" s="103" t="str">
        <f>IF(AND($C24&lt;&gt;0,I$15&lt;&gt;"",$C24&lt;&gt;""),IF(Keuze_DB_Nr&lt;&gt;"",SUMIFS(SubsidieTabel_DB!$L:$L,SubsidieTabel_DB!$A:$A,I$15,SubsidieTabel_DB!$B:$B,$B24),""),"")</f>
        <v/>
      </c>
      <c r="J24" s="103" t="str">
        <f>IF(AND($C24&lt;&gt;0,J$15&lt;&gt;"",$C24&lt;&gt;""),IF(Keuze_DB_Nr&lt;&gt;"",SUMIFS(SubsidieTabel_DB!$L:$L,SubsidieTabel_DB!$A:$A,J$15,SubsidieTabel_DB!$B:$B,$B24),""),"")</f>
        <v/>
      </c>
      <c r="K24" s="103" t="str">
        <f>IF(AND($C24&lt;&gt;0,K$15&lt;&gt;"",$C24&lt;&gt;""),IF(Keuze_DB_Nr&lt;&gt;"",SUMIFS(SubsidieTabel_DB!$L:$L,SubsidieTabel_DB!$A:$A,K$15,SubsidieTabel_DB!$B:$B,$B24),""),"")</f>
        <v/>
      </c>
      <c r="L24" s="103" t="str">
        <f>IF(AND($C24&lt;&gt;0,L$15&lt;&gt;"",$C24&lt;&gt;""),IF(Keuze_DB_Nr&lt;&gt;"",SUMIFS(SubsidieTabel_DB!$L:$L,SubsidieTabel_DB!$A:$A,L$15,SubsidieTabel_DB!$B:$B,$B24),""),"")</f>
        <v/>
      </c>
      <c r="M24" s="103" t="str">
        <f>IF(AND($C24&lt;&gt;0,M$15&lt;&gt;"",$C24&lt;&gt;""),IF(Keuze_DB_Nr&lt;&gt;"",SUMIFS(SubsidieTabel_DB!$L:$L,SubsidieTabel_DB!$A:$A,M$15,SubsidieTabel_DB!$B:$B,$B24),""),"")</f>
        <v/>
      </c>
      <c r="N24" s="103" t="str">
        <f>IF(AND($C24&lt;&gt;0,N$15&lt;&gt;"",$C24&lt;&gt;""),IF(Keuze_DB_Nr&lt;&gt;"",SUMIFS(SubsidieTabel_DB!$L:$L,SubsidieTabel_DB!$A:$A,N$15,SubsidieTabel_DB!$B:$B,$B24),""),"")</f>
        <v/>
      </c>
    </row>
    <row r="25" spans="2:14" ht="15" customHeight="1" x14ac:dyDescent="0.25">
      <c r="B25" s="6"/>
      <c r="C25" s="103" t="str">
        <f>IF(B25="","",SUMIFS('8. Uitgaven betaalverzoek'!W:W,'8. Uitgaven betaalverzoek'!F:F,B25,'8. Uitgaven betaalverzoek'!A:A,"&lt;&gt;"""))</f>
        <v/>
      </c>
      <c r="D25" s="103" t="str">
        <f>IF(B25="","",IF(B25&lt;&gt;"",SUMIF(Tb_DBKosten[],B25,Tb_DBKosten[Deelbetaling_Aanvraag]),0))</f>
        <v/>
      </c>
      <c r="E25" s="103" t="str">
        <f ca="1">IF(AND($C25&lt;&gt;0,E$15&lt;&gt;"",$C25&lt;&gt;""),IF(Keuze_DB_Nr&lt;&gt;"",SUMIFS(SubsidieTabel_DB!$L:$L,SubsidieTabel_DB!$A:$A,E$15,SubsidieTabel_DB!$B:$B,$B25),""),"")</f>
        <v/>
      </c>
      <c r="F25" s="103" t="str">
        <f>IF(AND($C25&lt;&gt;0,F$15&lt;&gt;"",$C25&lt;&gt;""),IF(Keuze_DB_Nr&lt;&gt;"",SUMIFS(SubsidieTabel_DB!$L:$L,SubsidieTabel_DB!$A:$A,F$15,SubsidieTabel_DB!$B:$B,$B25),""),"")</f>
        <v/>
      </c>
      <c r="G25" s="103" t="str">
        <f>IF(AND($C25&lt;&gt;0,G$15&lt;&gt;"",$C25&lt;&gt;""),IF(Keuze_DB_Nr&lt;&gt;"",SUMIFS(SubsidieTabel_DB!$L:$L,SubsidieTabel_DB!$A:$A,G$15,SubsidieTabel_DB!$B:$B,$B25),""),"")</f>
        <v/>
      </c>
      <c r="H25" s="103" t="str">
        <f>IF(AND($C25&lt;&gt;0,H$15&lt;&gt;"",$C25&lt;&gt;""),IF(Keuze_DB_Nr&lt;&gt;"",SUMIFS(SubsidieTabel_DB!$L:$L,SubsidieTabel_DB!$A:$A,H$15,SubsidieTabel_DB!$B:$B,$B25),""),"")</f>
        <v/>
      </c>
      <c r="I25" s="103" t="str">
        <f>IF(AND($C25&lt;&gt;0,I$15&lt;&gt;"",$C25&lt;&gt;""),IF(Keuze_DB_Nr&lt;&gt;"",SUMIFS(SubsidieTabel_DB!$L:$L,SubsidieTabel_DB!$A:$A,I$15,SubsidieTabel_DB!$B:$B,$B25),""),"")</f>
        <v/>
      </c>
      <c r="J25" s="103" t="str">
        <f>IF(AND($C25&lt;&gt;0,J$15&lt;&gt;"",$C25&lt;&gt;""),IF(Keuze_DB_Nr&lt;&gt;"",SUMIFS(SubsidieTabel_DB!$L:$L,SubsidieTabel_DB!$A:$A,J$15,SubsidieTabel_DB!$B:$B,$B25),""),"")</f>
        <v/>
      </c>
      <c r="K25" s="103" t="str">
        <f>IF(AND($C25&lt;&gt;0,K$15&lt;&gt;"",$C25&lt;&gt;""),IF(Keuze_DB_Nr&lt;&gt;"",SUMIFS(SubsidieTabel_DB!$L:$L,SubsidieTabel_DB!$A:$A,K$15,SubsidieTabel_DB!$B:$B,$B25),""),"")</f>
        <v/>
      </c>
      <c r="L25" s="103" t="str">
        <f>IF(AND($C25&lt;&gt;0,L$15&lt;&gt;"",$C25&lt;&gt;""),IF(Keuze_DB_Nr&lt;&gt;"",SUMIFS(SubsidieTabel_DB!$L:$L,SubsidieTabel_DB!$A:$A,L$15,SubsidieTabel_DB!$B:$B,$B25),""),"")</f>
        <v/>
      </c>
      <c r="M25" s="103" t="str">
        <f>IF(AND($C25&lt;&gt;0,M$15&lt;&gt;"",$C25&lt;&gt;""),IF(Keuze_DB_Nr&lt;&gt;"",SUMIFS(SubsidieTabel_DB!$L:$L,SubsidieTabel_DB!$A:$A,M$15,SubsidieTabel_DB!$B:$B,$B25),""),"")</f>
        <v/>
      </c>
      <c r="N25" s="103" t="str">
        <f>IF(AND($C25&lt;&gt;0,N$15&lt;&gt;"",$C25&lt;&gt;""),IF(Keuze_DB_Nr&lt;&gt;"",SUMIFS(SubsidieTabel_DB!$L:$L,SubsidieTabel_DB!$A:$A,N$15,SubsidieTabel_DB!$B:$B,$B25),""),"")</f>
        <v/>
      </c>
    </row>
    <row r="26" spans="2:14" ht="15" customHeight="1" x14ac:dyDescent="0.25">
      <c r="B26" s="6"/>
      <c r="C26" s="103" t="str">
        <f>IF(B26="","",SUMIFS('8. Uitgaven betaalverzoek'!W:W,'8. Uitgaven betaalverzoek'!F:F,B26,'8. Uitgaven betaalverzoek'!A:A,"&lt;&gt;"""))</f>
        <v/>
      </c>
      <c r="D26" s="103" t="str">
        <f>IF(B26="","",IF(B26&lt;&gt;"",SUMIF(Tb_DBKosten[],B26,Tb_DBKosten[Deelbetaling_Aanvraag]),0))</f>
        <v/>
      </c>
      <c r="E26" s="103" t="str">
        <f ca="1">IF(AND($C26&lt;&gt;0,E$15&lt;&gt;"",$C26&lt;&gt;""),IF(Keuze_DB_Nr&lt;&gt;"",SUMIFS(SubsidieTabel_DB!$L:$L,SubsidieTabel_DB!$A:$A,E$15,SubsidieTabel_DB!$B:$B,$B26),""),"")</f>
        <v/>
      </c>
      <c r="F26" s="103" t="str">
        <f>IF(AND($C26&lt;&gt;0,F$15&lt;&gt;"",$C26&lt;&gt;""),IF(Keuze_DB_Nr&lt;&gt;"",SUMIFS(SubsidieTabel_DB!$L:$L,SubsidieTabel_DB!$A:$A,F$15,SubsidieTabel_DB!$B:$B,$B26),""),"")</f>
        <v/>
      </c>
      <c r="G26" s="103" t="str">
        <f>IF(AND($C26&lt;&gt;0,G$15&lt;&gt;"",$C26&lt;&gt;""),IF(Keuze_DB_Nr&lt;&gt;"",SUMIFS(SubsidieTabel_DB!$L:$L,SubsidieTabel_DB!$A:$A,G$15,SubsidieTabel_DB!$B:$B,$B26),""),"")</f>
        <v/>
      </c>
      <c r="H26" s="103" t="str">
        <f>IF(AND($C26&lt;&gt;0,H$15&lt;&gt;"",$C26&lt;&gt;""),IF(Keuze_DB_Nr&lt;&gt;"",SUMIFS(SubsidieTabel_DB!$L:$L,SubsidieTabel_DB!$A:$A,H$15,SubsidieTabel_DB!$B:$B,$B26),""),"")</f>
        <v/>
      </c>
      <c r="I26" s="103" t="str">
        <f>IF(AND($C26&lt;&gt;0,I$15&lt;&gt;"",$C26&lt;&gt;""),IF(Keuze_DB_Nr&lt;&gt;"",SUMIFS(SubsidieTabel_DB!$L:$L,SubsidieTabel_DB!$A:$A,I$15,SubsidieTabel_DB!$B:$B,$B26),""),"")</f>
        <v/>
      </c>
      <c r="J26" s="103" t="str">
        <f>IF(AND($C26&lt;&gt;0,J$15&lt;&gt;"",$C26&lt;&gt;""),IF(Keuze_DB_Nr&lt;&gt;"",SUMIFS(SubsidieTabel_DB!$L:$L,SubsidieTabel_DB!$A:$A,J$15,SubsidieTabel_DB!$B:$B,$B26),""),"")</f>
        <v/>
      </c>
      <c r="K26" s="103" t="str">
        <f>IF(AND($C26&lt;&gt;0,K$15&lt;&gt;"",$C26&lt;&gt;""),IF(Keuze_DB_Nr&lt;&gt;"",SUMIFS(SubsidieTabel_DB!$L:$L,SubsidieTabel_DB!$A:$A,K$15,SubsidieTabel_DB!$B:$B,$B26),""),"")</f>
        <v/>
      </c>
      <c r="L26" s="103" t="str">
        <f>IF(AND($C26&lt;&gt;0,L$15&lt;&gt;"",$C26&lt;&gt;""),IF(Keuze_DB_Nr&lt;&gt;"",SUMIFS(SubsidieTabel_DB!$L:$L,SubsidieTabel_DB!$A:$A,L$15,SubsidieTabel_DB!$B:$B,$B26),""),"")</f>
        <v/>
      </c>
      <c r="M26" s="103" t="str">
        <f>IF(AND($C26&lt;&gt;0,M$15&lt;&gt;"",$C26&lt;&gt;""),IF(Keuze_DB_Nr&lt;&gt;"",SUMIFS(SubsidieTabel_DB!$L:$L,SubsidieTabel_DB!$A:$A,M$15,SubsidieTabel_DB!$B:$B,$B26),""),"")</f>
        <v/>
      </c>
      <c r="N26" s="103" t="str">
        <f>IF(AND($C26&lt;&gt;0,N$15&lt;&gt;"",$C26&lt;&gt;""),IF(Keuze_DB_Nr&lt;&gt;"",SUMIFS(SubsidieTabel_DB!$L:$L,SubsidieTabel_DB!$A:$A,N$15,SubsidieTabel_DB!$B:$B,$B26),""),"")</f>
        <v/>
      </c>
    </row>
    <row r="27" spans="2:14" ht="15" customHeight="1" x14ac:dyDescent="0.25">
      <c r="B27" s="7" t="s">
        <v>103</v>
      </c>
      <c r="C27" s="143">
        <f ca="1">ROUND(SUM(C16:C26),2)</f>
        <v>0</v>
      </c>
      <c r="D27" s="262">
        <f ca="1">SUM(D16:D26)</f>
        <v>0</v>
      </c>
      <c r="E27" s="162" t="str">
        <f ca="1">IF(SUM(E16:E26)=0,"",SUM(E16:E26))</f>
        <v/>
      </c>
      <c r="F27" s="162" t="str">
        <f t="shared" ref="F27:M27" ca="1" si="0">IF(SUM(F16:F26)=0,"",SUM(F16:F26))</f>
        <v/>
      </c>
      <c r="G27" s="162" t="str">
        <f t="shared" ca="1" si="0"/>
        <v/>
      </c>
      <c r="H27" s="162" t="str">
        <f t="shared" ca="1" si="0"/>
        <v/>
      </c>
      <c r="I27" s="162" t="str">
        <f t="shared" ca="1" si="0"/>
        <v/>
      </c>
      <c r="J27" s="162" t="str">
        <f t="shared" ca="1" si="0"/>
        <v/>
      </c>
      <c r="K27" s="162" t="str">
        <f t="shared" ca="1" si="0"/>
        <v/>
      </c>
      <c r="L27" s="162" t="str">
        <f t="shared" ca="1" si="0"/>
        <v/>
      </c>
      <c r="M27" s="162" t="str">
        <f t="shared" ca="1" si="0"/>
        <v/>
      </c>
      <c r="N27" s="162" t="str">
        <f ca="1">IF(SUM(N16:N26)=0,"",SUM(N16:N26))</f>
        <v/>
      </c>
    </row>
    <row r="28" spans="2:14" s="26" customFormat="1" ht="15" customHeight="1" x14ac:dyDescent="0.25">
      <c r="B28" s="106" t="str" cm="1">
        <f t="array" ref="B28">_xlfn.IFS(OR($C$8="",$C$8="Geen vereenvoudigde kostenoptie"),"Geen forfait",$C$8="Vereenvoudigde kostenoptie voor overige kosten","Forfait voor overige kosten",$C$8="Vereenvoudigde kostenoptie voor arbeidskosten","Forfait voor arbeidskosten")</f>
        <v>Geen forfait</v>
      </c>
      <c r="C28" s="105" t="str">
        <f ca="1">IF(SUMIFS('8. Uitgaven betaalverzoek'!$Z:$Z,'8. Uitgaven betaalverzoek'!$A:$A,"&lt;&gt;""")&gt;0,ROUND(SUMIFS('8. Uitgaven betaalverzoek'!$Z:$Z,'8. Uitgaven betaalverzoek'!$A:$A,"&lt;&gt;"""),2),"")</f>
        <v/>
      </c>
      <c r="D28" s="105" t="str">
        <f>IF(SUM(Tb_DBKosten[Forfait_Bedrag])&gt;0,ROUND(SUM(Tb_DBKosten[Forfait_Bedrag]),2),"")</f>
        <v/>
      </c>
      <c r="E28" s="103" t="str">
        <f ca="1">IF(AND($C28&lt;&gt;"",E$15&lt;&gt;""),IF(Keuze_DB_Nr&lt;&gt;"",ROUND(SUMIFS(SubsidieTabel_DB!$N:$N,SubsidieTabel_DB!$A:$A,E$15),2),""),"")</f>
        <v/>
      </c>
      <c r="F28" s="103" t="str">
        <f ca="1">IF(AND($C28&lt;&gt;"",F$15&lt;&gt;""),IF(Keuze_DB_Nr&lt;&gt;"",ROUND(SUMIFS(SubsidieTabel_DB!$N:$N,SubsidieTabel_DB!$A:$A,F$15),2),""),"")</f>
        <v/>
      </c>
      <c r="G28" s="103" t="str">
        <f ca="1">IF(AND($C28&lt;&gt;"",G$15&lt;&gt;""),IF(Keuze_DB_Nr&lt;&gt;"",ROUND(SUMIFS(SubsidieTabel_DB!$N:$N,SubsidieTabel_DB!$A:$A,G$15),2),""),"")</f>
        <v/>
      </c>
      <c r="H28" s="103" t="str">
        <f ca="1">IF(AND($C28&lt;&gt;"",H$15&lt;&gt;""),IF(Keuze_DB_Nr&lt;&gt;"",ROUND(SUMIFS(SubsidieTabel_DB!$N:$N,SubsidieTabel_DB!$A:$A,H$15),2),""),"")</f>
        <v/>
      </c>
      <c r="I28" s="103" t="str">
        <f ca="1">IF(AND($C28&lt;&gt;"",I$15&lt;&gt;""),IF(Keuze_DB_Nr&lt;&gt;"",ROUND(SUMIFS(SubsidieTabel_DB!$N:$N,SubsidieTabel_DB!$A:$A,I$15),2),""),"")</f>
        <v/>
      </c>
      <c r="J28" s="103" t="str">
        <f ca="1">IF(AND($C28&lt;&gt;"",J$15&lt;&gt;""),IF(Keuze_DB_Nr&lt;&gt;"",ROUND(SUMIFS(SubsidieTabel_DB!$N:$N,SubsidieTabel_DB!$A:$A,J$15),2),""),"")</f>
        <v/>
      </c>
      <c r="K28" s="103" t="str">
        <f ca="1">IF(AND($C28&lt;&gt;"",K$15&lt;&gt;""),IF(Keuze_DB_Nr&lt;&gt;"",ROUND(SUMIFS(SubsidieTabel_DB!$N:$N,SubsidieTabel_DB!$A:$A,K$15),2),""),"")</f>
        <v/>
      </c>
      <c r="L28" s="103" t="str">
        <f ca="1">IF(AND($C28&lt;&gt;"",L$15&lt;&gt;""),IF(Keuze_DB_Nr&lt;&gt;"",ROUND(SUMIFS(SubsidieTabel_DB!$N:$N,SubsidieTabel_DB!$A:$A,L$15),2),""),"")</f>
        <v/>
      </c>
      <c r="M28" s="103" t="str">
        <f ca="1">IF(AND($C28&lt;&gt;"",M$15&lt;&gt;""),IF(Keuze_DB_Nr&lt;&gt;"",ROUND(SUMIFS(SubsidieTabel_DB!$N:$N,SubsidieTabel_DB!$A:$A,M$15),2),""),"")</f>
        <v/>
      </c>
      <c r="N28" s="103" t="str">
        <f ca="1">IF(AND($C28&lt;&gt;"",N$15&lt;&gt;""),IF(Keuze_DB_Nr&lt;&gt;"",ROUND(SUMIFS(SubsidieTabel_DB!$N:$N,SubsidieTabel_DB!$A:$A,N$15),2),""),"")</f>
        <v/>
      </c>
    </row>
    <row r="29" spans="2:14" s="26" customFormat="1" ht="15" customHeight="1" x14ac:dyDescent="0.25">
      <c r="B29" s="141" t="s">
        <v>79</v>
      </c>
      <c r="C29" s="143">
        <f ca="1">SUM(C27:C28)</f>
        <v>0</v>
      </c>
      <c r="D29" s="143">
        <f ca="1">SUM(D27:D28)</f>
        <v>0</v>
      </c>
      <c r="E29" s="162" t="str">
        <f ca="1">IF(SUM(E27:E28)=0,"",SUM(E27:E28))</f>
        <v/>
      </c>
      <c r="F29" s="162" t="str">
        <f t="shared" ref="F29:M29" ca="1" si="1">IF(SUM(F27:F28)=0,"",SUM(F27:F28))</f>
        <v/>
      </c>
      <c r="G29" s="162" t="str">
        <f t="shared" ca="1" si="1"/>
        <v/>
      </c>
      <c r="H29" s="162" t="str">
        <f t="shared" ca="1" si="1"/>
        <v/>
      </c>
      <c r="I29" s="162" t="str">
        <f t="shared" ca="1" si="1"/>
        <v/>
      </c>
      <c r="J29" s="162" t="str">
        <f t="shared" ca="1" si="1"/>
        <v/>
      </c>
      <c r="K29" s="162" t="str">
        <f t="shared" ca="1" si="1"/>
        <v/>
      </c>
      <c r="L29" s="162" t="str">
        <f t="shared" ca="1" si="1"/>
        <v/>
      </c>
      <c r="M29" s="162" t="str">
        <f t="shared" ca="1" si="1"/>
        <v/>
      </c>
      <c r="N29" s="162" t="str">
        <f ca="1">IF(SUM(N27:N28)=0,"",SUM(N27:N28))</f>
        <v/>
      </c>
    </row>
    <row r="30" spans="2:14" s="26" customFormat="1" ht="6" customHeight="1" x14ac:dyDescent="0.25">
      <c r="B30" s="37"/>
    </row>
    <row r="31" spans="2:14" s="26" customFormat="1" ht="6" customHeight="1" x14ac:dyDescent="0.25">
      <c r="B31" s="37"/>
      <c r="C31" s="39"/>
      <c r="D31" s="145"/>
    </row>
    <row r="32" spans="2:14" ht="6" customHeight="1" x14ac:dyDescent="0.25">
      <c r="B32" s="40"/>
      <c r="C32" s="40"/>
      <c r="D32" s="41"/>
    </row>
    <row r="33" spans="2:6" s="26" customFormat="1" ht="15" customHeight="1" x14ac:dyDescent="0.25">
      <c r="B33" s="94" t="s">
        <v>152</v>
      </c>
      <c r="C33" s="94" t="s">
        <v>157</v>
      </c>
      <c r="D33" s="94" t="s">
        <v>1</v>
      </c>
      <c r="E33" s="94" t="s">
        <v>130</v>
      </c>
    </row>
    <row r="34" spans="2:6" x14ac:dyDescent="0.25">
      <c r="B34" s="367" t="str" cm="1">
        <f t="array" aca="1" ref="B34" ca="1">Activiteiten_Uniek_Sort_DB</f>
        <v/>
      </c>
      <c r="C34" s="89" t="str">
        <f ca="1">IF(B34&lt;&gt;"",SUMIFS(SubsidieTabel_DB!$L:$L,SubsidieTabel_DB!$A:$A,B34)+SUMIFS(SubsidieTabel_DB!$N:$N,SubsidieTabel_DB!$A:$A,B34),"")</f>
        <v/>
      </c>
      <c r="D34" s="90" t="str">
        <f ca="1">IFERROR(VLOOKUP(B34,Lijsten!$AK:$AL,2,0),"")</f>
        <v/>
      </c>
      <c r="E34" s="89" t="str">
        <f ca="1">IF(PRODUCT(C34,D34)&lt;&gt;0,PRODUCT(C34,D34),"")</f>
        <v/>
      </c>
    </row>
    <row r="35" spans="2:6" x14ac:dyDescent="0.25">
      <c r="B35" s="367"/>
      <c r="C35" s="89" t="str">
        <f>IF(B35&lt;&gt;"",SUMIFS(SubsidieTabel_DB!$L:$L,SubsidieTabel_DB!$A:$A,B35)+SUMIFS(SubsidieTabel_DB!$N:$N,SubsidieTabel_DB!$A:$A,B35),"")</f>
        <v/>
      </c>
      <c r="D35" s="90" t="str">
        <f>IFERROR(VLOOKUP(B35,Lijsten!$AK:$AL,2,0),"")</f>
        <v/>
      </c>
      <c r="E35" s="89" t="str">
        <f t="shared" ref="E35:E43" si="2">IF(PRODUCT(C35,D35)&lt;&gt;0,PRODUCT(C35,D35),"")</f>
        <v/>
      </c>
    </row>
    <row r="36" spans="2:6" x14ac:dyDescent="0.25">
      <c r="B36" s="367"/>
      <c r="C36" s="89" t="str">
        <f>IF(B36&lt;&gt;"",SUMIFS(SubsidieTabel_DB!$L:$L,SubsidieTabel_DB!$A:$A,B36)+SUMIFS(SubsidieTabel_DB!$N:$N,SubsidieTabel_DB!$A:$A,B36),"")</f>
        <v/>
      </c>
      <c r="D36" s="90" t="str">
        <f>IFERROR(VLOOKUP(B36,Lijsten!$AK:$AL,2,0),"")</f>
        <v/>
      </c>
      <c r="E36" s="89" t="str">
        <f t="shared" si="2"/>
        <v/>
      </c>
    </row>
    <row r="37" spans="2:6" x14ac:dyDescent="0.25">
      <c r="B37" s="367"/>
      <c r="C37" s="89" t="str">
        <f>IF(B37&lt;&gt;"",SUMIFS(SubsidieTabel_DB!$L:$L,SubsidieTabel_DB!$A:$A,B37)+SUMIFS(SubsidieTabel_DB!$N:$N,SubsidieTabel_DB!$A:$A,B37),"")</f>
        <v/>
      </c>
      <c r="D37" s="90" t="str">
        <f>IFERROR(VLOOKUP(B37,Lijsten!$AK:$AL,2,0),"")</f>
        <v/>
      </c>
      <c r="E37" s="89" t="str">
        <f t="shared" si="2"/>
        <v/>
      </c>
    </row>
    <row r="38" spans="2:6" x14ac:dyDescent="0.25">
      <c r="B38" s="367"/>
      <c r="C38" s="89" t="str">
        <f>IF(B38&lt;&gt;"",SUMIFS(SubsidieTabel_DB!$L:$L,SubsidieTabel_DB!$A:$A,B38)+SUMIFS(SubsidieTabel_DB!$N:$N,SubsidieTabel_DB!$A:$A,B38),"")</f>
        <v/>
      </c>
      <c r="D38" s="90" t="str">
        <f>IFERROR(VLOOKUP(B38,Lijsten!$AK:$AL,2,0),"")</f>
        <v/>
      </c>
      <c r="E38" s="89" t="str">
        <f t="shared" si="2"/>
        <v/>
      </c>
    </row>
    <row r="39" spans="2:6" x14ac:dyDescent="0.25">
      <c r="B39" s="367"/>
      <c r="C39" s="89" t="str">
        <f>IF(B39&lt;&gt;"",SUMIFS(SubsidieTabel_DB!$L:$L,SubsidieTabel_DB!$A:$A,B39)+SUMIFS(SubsidieTabel_DB!$N:$N,SubsidieTabel_DB!$A:$A,B39),"")</f>
        <v/>
      </c>
      <c r="D39" s="90" t="str">
        <f>IFERROR(VLOOKUP(B39,Lijsten!$AK:$AL,2,0),"")</f>
        <v/>
      </c>
      <c r="E39" s="89" t="str">
        <f t="shared" si="2"/>
        <v/>
      </c>
    </row>
    <row r="40" spans="2:6" x14ac:dyDescent="0.25">
      <c r="B40" s="367"/>
      <c r="C40" s="89" t="str">
        <f>IF(B40&lt;&gt;"",SUMIFS(SubsidieTabel_DB!$L:$L,SubsidieTabel_DB!$A:$A,B40)+SUMIFS(SubsidieTabel_DB!$N:$N,SubsidieTabel_DB!$A:$A,B40),"")</f>
        <v/>
      </c>
      <c r="D40" s="90" t="str">
        <f>IFERROR(VLOOKUP(B40,Lijsten!$AK:$AL,2,0),"")</f>
        <v/>
      </c>
      <c r="E40" s="89" t="str">
        <f t="shared" si="2"/>
        <v/>
      </c>
    </row>
    <row r="41" spans="2:6" x14ac:dyDescent="0.25">
      <c r="B41" s="367"/>
      <c r="C41" s="89" t="str">
        <f>IF(B41&lt;&gt;"",SUMIFS(SubsidieTabel_DB!$L:$L,SubsidieTabel_DB!$A:$A,B41)+SUMIFS(SubsidieTabel_DB!$N:$N,SubsidieTabel_DB!$A:$A,B41),"")</f>
        <v/>
      </c>
      <c r="D41" s="90" t="str">
        <f>IFERROR(VLOOKUP(B41,Lijsten!$AK:$AL,2,0),"")</f>
        <v/>
      </c>
      <c r="E41" s="89" t="str">
        <f t="shared" si="2"/>
        <v/>
      </c>
    </row>
    <row r="42" spans="2:6" x14ac:dyDescent="0.25">
      <c r="B42" s="367"/>
      <c r="C42" s="89" t="str">
        <f>IF(B42&lt;&gt;"",SUMIFS(SubsidieTabel_DB!$L:$L,SubsidieTabel_DB!$A:$A,B42)+SUMIFS(SubsidieTabel_DB!$N:$N,SubsidieTabel_DB!$A:$A,B42),"")</f>
        <v/>
      </c>
      <c r="D42" s="90" t="str">
        <f>IFERROR(VLOOKUP(B42,Lijsten!$AK:$AL,2,0),"")</f>
        <v/>
      </c>
      <c r="E42" s="89" t="str">
        <f t="shared" si="2"/>
        <v/>
      </c>
    </row>
    <row r="43" spans="2:6" x14ac:dyDescent="0.25">
      <c r="B43" s="367"/>
      <c r="C43" s="89" t="str">
        <f>IF(B43&lt;&gt;"",SUMIFS(SubsidieTabel_DB!$L:$L,SubsidieTabel_DB!$A:$A,B43)+SUMIFS(SubsidieTabel_DB!$N:$N,SubsidieTabel_DB!$A:$A,B43),"")</f>
        <v/>
      </c>
      <c r="D43" s="90" t="str">
        <f>IFERROR(VLOOKUP(B43,Lijsten!$AK:$AL,2,0),"")</f>
        <v/>
      </c>
      <c r="E43" s="89" t="str">
        <f t="shared" si="2"/>
        <v/>
      </c>
    </row>
    <row r="44" spans="2:6" ht="15" customHeight="1" x14ac:dyDescent="0.25">
      <c r="B44" s="94"/>
      <c r="C44" s="94"/>
      <c r="D44" s="94"/>
      <c r="E44" s="94"/>
    </row>
    <row r="45" spans="2:6" ht="15" customHeight="1" x14ac:dyDescent="0.25">
      <c r="D45" s="108" t="s">
        <v>131</v>
      </c>
      <c r="E45" s="89">
        <f ca="1">IFERROR(FLOOR(SUMPRODUCT(D34:D43,C34:C43),0.01),0)</f>
        <v>0</v>
      </c>
      <c r="F45" s="25" t="s">
        <v>199</v>
      </c>
    </row>
    <row r="46" spans="2:6" ht="15" customHeight="1" x14ac:dyDescent="0.25"/>
  </sheetData>
  <sheetProtection algorithmName="SHA-512" hashValue="YlU3i+Ctzf3hGnj/nMig+X7R5tkiUrJ+XdkiJJTdrGUVbk3834DyPx095lpFLKiU/OtiP2Hdo9kqOEimy6+paQ==" saltValue="5vgSwecBJBZCjuwbq5nzEw==" spinCount="100000" sheet="1" objects="1" scenarios="1"/>
  <mergeCells count="10">
    <mergeCell ref="C10:E10"/>
    <mergeCell ref="C11:E11"/>
    <mergeCell ref="C12:E12"/>
    <mergeCell ref="C13:E13"/>
    <mergeCell ref="C2:E2"/>
    <mergeCell ref="C3:E3"/>
    <mergeCell ref="C4:E4"/>
    <mergeCell ref="C5:E5"/>
    <mergeCell ref="C6:E6"/>
    <mergeCell ref="C8:E8"/>
  </mergeCells>
  <conditionalFormatting sqref="C16:N26">
    <cfRule type="expression" dxfId="10" priority="1">
      <formula>C16&lt;&gt;""</formula>
    </cfRule>
  </conditionalFormatting>
  <conditionalFormatting sqref="E15:N15">
    <cfRule type="expression" dxfId="9" priority="5">
      <formula>E15&lt;&gt;""</formula>
    </cfRule>
  </conditionalFormatting>
  <conditionalFormatting sqref="E27:N27">
    <cfRule type="expression" dxfId="8" priority="3">
      <formula>E27&lt;&gt;""</formula>
    </cfRule>
  </conditionalFormatting>
  <conditionalFormatting sqref="E28:N28">
    <cfRule type="expression" dxfId="7" priority="2">
      <formula>E28&lt;&gt;""</formula>
    </cfRule>
  </conditionalFormatting>
  <conditionalFormatting sqref="E29:N29">
    <cfRule type="expression" dxfId="6" priority="4">
      <formula>E29&lt;&gt;""</formula>
    </cfRule>
  </conditionalFormatting>
  <dataValidations count="3">
    <dataValidation type="list" allowBlank="1" showInputMessage="1" showErrorMessage="1" sqref="C10" xr:uid="{A4B0F8C5-418B-4DAE-8FE9-88E4CF8D2669}">
      <formula1>Deelbetaling_Uniek</formula1>
    </dataValidation>
    <dataValidation type="date" allowBlank="1" showInputMessage="1" showErrorMessage="1" sqref="C11" xr:uid="{BD94BC75-DE76-49F5-80EC-93B4E81E6BDB}">
      <formula1>44927</formula1>
      <formula2>47484</formula2>
    </dataValidation>
    <dataValidation type="date" operator="greaterThanOrEqual" allowBlank="1" showInputMessage="1" showErrorMessage="1" sqref="C13:E13" xr:uid="{95C7677E-A466-4E3D-9ACD-1CC1EAA53788}">
      <formula1>44927</formula1>
    </dataValidation>
  </dataValidations>
  <pageMargins left="0.70866141732283472" right="0.70866141732283472" top="0.74803149606299213" bottom="0.74803149606299213" header="0.31496062992125984" footer="0.31496062992125984"/>
  <pageSetup paperSize="9" orientation="landscape" r:id="rId1"/>
  <headerFooter>
    <oddFooter>&amp;LVersie: september 2023&amp;C&amp;A&amp;R&amp;P van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99289-9595-43A9-95CA-DFCEC13A2276}">
  <sheetPr codeName="Blad19">
    <tabColor theme="7" tint="0.79998168889431442"/>
  </sheetPr>
  <dimension ref="A1:S64"/>
  <sheetViews>
    <sheetView workbookViewId="0">
      <selection activeCell="C10" sqref="C10:E10"/>
    </sheetView>
  </sheetViews>
  <sheetFormatPr defaultColWidth="0" defaultRowHeight="15" zeroHeight="1" x14ac:dyDescent="0.25"/>
  <cols>
    <col min="1" max="1" width="2.85546875" style="25" customWidth="1"/>
    <col min="2" max="2" width="62.7109375" style="25" customWidth="1"/>
    <col min="3" max="3" width="27.5703125" style="25" bestFit="1" customWidth="1"/>
    <col min="4" max="4" width="22.140625" style="25" bestFit="1" customWidth="1"/>
    <col min="5" max="5" width="20.7109375" style="25" customWidth="1"/>
    <col min="6" max="6" width="20.5703125" style="25" customWidth="1"/>
    <col min="7" max="7" width="27.85546875" style="25" bestFit="1" customWidth="1"/>
    <col min="8" max="18" width="27.85546875" style="25" customWidth="1"/>
    <col min="19" max="19" width="1.5703125" style="25" customWidth="1"/>
    <col min="20" max="16384" width="9.140625" style="25" hidden="1"/>
  </cols>
  <sheetData>
    <row r="1" spans="1:19" ht="3" customHeight="1" x14ac:dyDescent="0.25">
      <c r="A1" s="37"/>
      <c r="B1" s="40"/>
      <c r="C1" s="40"/>
      <c r="D1" s="41"/>
      <c r="F1" s="37"/>
      <c r="G1" s="37"/>
      <c r="H1" s="37"/>
      <c r="I1" s="37"/>
      <c r="J1" s="37"/>
      <c r="K1" s="37"/>
      <c r="L1" s="37"/>
      <c r="M1" s="37"/>
      <c r="N1" s="37"/>
      <c r="O1" s="37"/>
      <c r="P1" s="37"/>
      <c r="Q1" s="37"/>
      <c r="R1" s="37"/>
      <c r="S1" s="37"/>
    </row>
    <row r="2" spans="1:19" x14ac:dyDescent="0.25">
      <c r="A2" s="37"/>
      <c r="B2" s="17" t="s">
        <v>71</v>
      </c>
      <c r="C2" s="442" t="str">
        <f>IF('1. Aanvraaggegevens'!C2&lt;&gt;"",'1. Aanvraaggegevens'!C2,"")</f>
        <v/>
      </c>
      <c r="D2" s="443"/>
      <c r="E2" s="444"/>
      <c r="F2" s="37"/>
      <c r="G2" s="37"/>
      <c r="H2" s="37"/>
      <c r="I2" s="37"/>
      <c r="J2" s="37"/>
      <c r="K2" s="37"/>
      <c r="L2" s="37"/>
      <c r="M2" s="37"/>
      <c r="N2" s="37"/>
      <c r="O2" s="37"/>
      <c r="P2" s="37"/>
      <c r="Q2" s="37"/>
      <c r="R2" s="37"/>
      <c r="S2" s="37"/>
    </row>
    <row r="3" spans="1:19" ht="15" customHeight="1" x14ac:dyDescent="0.25">
      <c r="A3" s="37"/>
      <c r="B3" s="17" t="s">
        <v>16</v>
      </c>
      <c r="C3" s="445" t="str">
        <f>IF('1. Aanvraaggegevens'!C3&lt;&gt;"",'1. Aanvraaggegevens'!C3,"")</f>
        <v/>
      </c>
      <c r="D3" s="446"/>
      <c r="E3" s="447"/>
      <c r="F3" s="37"/>
      <c r="G3" s="37"/>
      <c r="H3" s="37"/>
      <c r="I3" s="37"/>
      <c r="J3" s="37"/>
      <c r="K3" s="37"/>
      <c r="L3" s="37"/>
      <c r="M3" s="37"/>
      <c r="N3" s="37"/>
      <c r="O3" s="37"/>
      <c r="P3" s="37"/>
      <c r="Q3" s="37"/>
      <c r="R3" s="37"/>
      <c r="S3" s="37"/>
    </row>
    <row r="4" spans="1:19" ht="15" customHeight="1" x14ac:dyDescent="0.25">
      <c r="A4" s="37"/>
      <c r="B4" s="17" t="s">
        <v>17</v>
      </c>
      <c r="C4" s="445" t="str">
        <f>IF('1. Aanvraaggegevens'!C4&lt;&gt;"",'1. Aanvraaggegevens'!C4,"")</f>
        <v/>
      </c>
      <c r="D4" s="446"/>
      <c r="E4" s="447"/>
      <c r="F4" s="37"/>
      <c r="G4" s="37"/>
      <c r="H4" s="37"/>
      <c r="I4" s="37"/>
      <c r="J4" s="37"/>
      <c r="K4" s="37"/>
      <c r="L4" s="37"/>
      <c r="M4" s="37"/>
      <c r="N4" s="37"/>
      <c r="O4" s="37"/>
      <c r="P4" s="37"/>
      <c r="Q4" s="37"/>
      <c r="R4" s="37"/>
      <c r="S4" s="37"/>
    </row>
    <row r="5" spans="1:19" ht="15" customHeight="1" x14ac:dyDescent="0.25">
      <c r="A5" s="37"/>
      <c r="B5" s="17" t="s">
        <v>18</v>
      </c>
      <c r="C5" s="445" t="str">
        <f>IF('1. Aanvraaggegevens'!C5&lt;&gt;"",'1. Aanvraaggegevens'!C5,"")</f>
        <v/>
      </c>
      <c r="D5" s="446"/>
      <c r="E5" s="447"/>
      <c r="F5" s="37"/>
      <c r="G5" s="37"/>
      <c r="H5" s="37"/>
      <c r="I5" s="37"/>
      <c r="J5" s="37"/>
      <c r="K5" s="37"/>
      <c r="L5" s="37"/>
      <c r="M5" s="37"/>
      <c r="N5" s="37"/>
      <c r="O5" s="37"/>
      <c r="P5" s="37"/>
      <c r="Q5" s="37"/>
      <c r="R5" s="37"/>
      <c r="S5" s="37"/>
    </row>
    <row r="6" spans="1:19" ht="15" customHeight="1" x14ac:dyDescent="0.25">
      <c r="A6" s="37"/>
      <c r="B6" s="5"/>
      <c r="C6" s="448" t="str">
        <f>IF('1. Aanvraaggegevens'!C6&lt;&gt;"",'1. Aanvraaggegevens'!C6,"")</f>
        <v/>
      </c>
      <c r="D6" s="449"/>
      <c r="E6" s="450"/>
      <c r="F6" s="37"/>
      <c r="G6" s="37"/>
      <c r="H6" s="37"/>
      <c r="I6" s="37"/>
      <c r="J6" s="37"/>
      <c r="K6" s="37"/>
      <c r="L6" s="37"/>
      <c r="M6" s="37"/>
      <c r="N6" s="37"/>
      <c r="O6" s="37"/>
      <c r="P6" s="37"/>
      <c r="Q6" s="37"/>
      <c r="R6" s="37"/>
      <c r="S6" s="37"/>
    </row>
    <row r="7" spans="1:19" ht="3" customHeight="1" x14ac:dyDescent="0.25">
      <c r="A7" s="37"/>
      <c r="B7" s="40"/>
      <c r="C7" s="40"/>
      <c r="D7" s="41"/>
      <c r="E7" s="26"/>
      <c r="F7" s="37"/>
      <c r="G7" s="37"/>
      <c r="H7" s="37"/>
      <c r="I7" s="37"/>
      <c r="J7" s="37"/>
      <c r="K7" s="37"/>
      <c r="L7" s="37"/>
      <c r="M7" s="37"/>
      <c r="N7" s="37"/>
      <c r="O7" s="37"/>
      <c r="P7" s="37"/>
      <c r="Q7" s="37"/>
      <c r="R7" s="37"/>
      <c r="S7" s="37"/>
    </row>
    <row r="8" spans="1:19" ht="15" customHeight="1" x14ac:dyDescent="0.25">
      <c r="A8" s="37"/>
      <c r="B8" s="151" t="s">
        <v>105</v>
      </c>
      <c r="C8" s="451" t="str">
        <f>IF('1. Aanvraaggegevens'!C8&lt;&gt;"",'1. Aanvraaggegevens'!C8,"")</f>
        <v/>
      </c>
      <c r="D8" s="452"/>
      <c r="E8" s="453"/>
      <c r="F8" s="37"/>
      <c r="G8" s="37"/>
      <c r="H8" s="37"/>
      <c r="I8" s="37"/>
      <c r="J8" s="37"/>
      <c r="K8" s="37"/>
      <c r="L8" s="37"/>
      <c r="M8" s="37"/>
      <c r="N8" s="37"/>
      <c r="O8" s="37"/>
      <c r="P8" s="37"/>
      <c r="Q8" s="37"/>
      <c r="R8" s="37"/>
      <c r="S8" s="37"/>
    </row>
    <row r="9" spans="1:19" ht="3" customHeight="1" x14ac:dyDescent="0.25">
      <c r="A9" s="37"/>
      <c r="B9" s="40"/>
      <c r="C9" s="40"/>
      <c r="D9" s="41"/>
      <c r="F9" s="37"/>
      <c r="G9" s="37"/>
      <c r="H9" s="37"/>
      <c r="I9" s="37"/>
      <c r="J9" s="37"/>
      <c r="K9" s="37"/>
      <c r="L9" s="37"/>
      <c r="M9" s="37"/>
      <c r="N9" s="37"/>
      <c r="O9" s="37"/>
      <c r="P9" s="37"/>
      <c r="Q9" s="37"/>
      <c r="R9" s="37"/>
      <c r="S9" s="37"/>
    </row>
    <row r="10" spans="1:19" ht="15" customHeight="1" x14ac:dyDescent="0.25">
      <c r="A10" s="37"/>
      <c r="B10" s="75" t="s">
        <v>153</v>
      </c>
      <c r="C10" s="459" t="str">
        <f>IF(Keuze_DB_Nr="","",Keuze_DB_Nr)</f>
        <v/>
      </c>
      <c r="D10" s="460"/>
      <c r="E10" s="461"/>
      <c r="F10" s="37"/>
      <c r="G10" s="37"/>
      <c r="H10" s="37"/>
      <c r="I10" s="37"/>
      <c r="J10" s="37"/>
      <c r="K10" s="37"/>
      <c r="L10" s="37"/>
      <c r="M10" s="37"/>
      <c r="N10" s="37"/>
      <c r="O10" s="37"/>
      <c r="P10" s="37"/>
      <c r="Q10" s="37"/>
      <c r="R10" s="37"/>
      <c r="S10" s="37"/>
    </row>
    <row r="11" spans="1:19" ht="15" customHeight="1" x14ac:dyDescent="0.25">
      <c r="A11" s="37"/>
      <c r="B11" s="75" t="s">
        <v>117</v>
      </c>
      <c r="C11" s="462" t="str">
        <f>IF(Keuze_OntvangstDatum&lt;&gt;"",Keuze_OntvangstDatum,"")</f>
        <v/>
      </c>
      <c r="D11" s="463"/>
      <c r="E11" s="464"/>
      <c r="F11" s="37"/>
      <c r="G11" s="37"/>
      <c r="H11" s="37"/>
      <c r="I11" s="37"/>
      <c r="J11" s="37"/>
      <c r="K11" s="37"/>
      <c r="L11" s="37"/>
      <c r="M11" s="37"/>
      <c r="N11" s="37"/>
      <c r="O11" s="37"/>
      <c r="P11" s="37"/>
      <c r="Q11" s="37"/>
      <c r="R11" s="37"/>
      <c r="S11" s="37"/>
    </row>
    <row r="12" spans="1:19" ht="15" customHeight="1" x14ac:dyDescent="0.25">
      <c r="A12" s="37"/>
      <c r="B12" s="75" t="s">
        <v>112</v>
      </c>
      <c r="C12" s="465" t="str">
        <f>IF(Keuze_Zaak_Nr&lt;&gt;"",Keuze_Zaak_Nr,"")</f>
        <v/>
      </c>
      <c r="D12" s="466"/>
      <c r="E12" s="467"/>
      <c r="F12" s="37"/>
      <c r="G12" s="37"/>
      <c r="H12" s="37"/>
      <c r="I12" s="37"/>
      <c r="J12" s="37"/>
      <c r="K12" s="37"/>
      <c r="L12" s="37"/>
      <c r="M12" s="37"/>
      <c r="N12" s="37"/>
      <c r="O12" s="37"/>
      <c r="P12" s="37"/>
      <c r="Q12" s="37"/>
      <c r="R12" s="37"/>
      <c r="S12" s="37"/>
    </row>
    <row r="13" spans="1:19" ht="15" customHeight="1" x14ac:dyDescent="0.25">
      <c r="A13" s="37"/>
      <c r="B13" s="75" t="s">
        <v>104</v>
      </c>
      <c r="C13" s="462" t="str">
        <f>IF(Keuze_EindDatum&lt;&gt;"",Keuze_EindDatum,"")</f>
        <v/>
      </c>
      <c r="D13" s="463"/>
      <c r="E13" s="464"/>
      <c r="F13" s="37"/>
      <c r="G13" s="457" t="str">
        <f>"BEOORDELING BETAALVERZOEK "&amp; "("&amp;Keuze_DB_Nr_BEO&amp;")"</f>
        <v>BEOORDELING BETAALVERZOEK ()</v>
      </c>
      <c r="H13" s="458"/>
      <c r="I13" s="192" t="str">
        <f>IF(Keuze_DB_Nr_BEO="","Totale uitgaven beoordeeld ALLE betaalverzoeken per subsidiabele activiteit --&gt;","Totale uitgaven beoordeeld gekozen betaalverzoek per subsidiabele activiteit --&gt;")</f>
        <v>Totale uitgaven beoordeeld ALLE betaalverzoeken per subsidiabele activiteit --&gt;</v>
      </c>
      <c r="J13" s="37"/>
      <c r="K13" s="37"/>
      <c r="L13" s="37"/>
      <c r="M13" s="37"/>
      <c r="N13" s="37"/>
      <c r="O13" s="37"/>
      <c r="P13" s="37"/>
      <c r="Q13" s="37"/>
      <c r="R13" s="37"/>
      <c r="S13" s="37"/>
    </row>
    <row r="14" spans="1:19" ht="3" customHeight="1" x14ac:dyDescent="0.25">
      <c r="A14" s="37"/>
      <c r="B14" s="40"/>
      <c r="C14" s="40"/>
      <c r="D14" s="41"/>
      <c r="E14" s="37"/>
      <c r="F14" s="37"/>
      <c r="G14" s="37"/>
      <c r="H14" s="37"/>
      <c r="I14" s="37"/>
    </row>
    <row r="15" spans="1:19" ht="45" customHeight="1" x14ac:dyDescent="0.25">
      <c r="A15" s="37"/>
      <c r="B15" s="164" t="s">
        <v>0</v>
      </c>
      <c r="C15" s="168" t="s">
        <v>475</v>
      </c>
      <c r="D15" s="168" t="s">
        <v>329</v>
      </c>
      <c r="E15" s="168" t="s">
        <v>231</v>
      </c>
      <c r="F15" s="168" t="s">
        <v>230</v>
      </c>
      <c r="G15" s="168" t="str">
        <f>"Totale uitgaven aangevraagd betaalverzoek ("&amp;Keuze_DB_Nr_BEO&amp;")"</f>
        <v>Totale uitgaven aangevraagd betaalverzoek ()</v>
      </c>
      <c r="H15" s="168" t="str">
        <f>"Totale uitgaven beoordeeld betaalverzoek ("&amp;Keuze_DB_Nr_BEO&amp;")"</f>
        <v>Totale uitgaven beoordeeld betaalverzoek ()</v>
      </c>
      <c r="I15" s="193" t="str" cm="1">
        <f t="array" aca="1" ref="I15" ca="1">IFERROR(TRANSPOSE(Activiteiten_Uniek_DB),"")</f>
        <v/>
      </c>
      <c r="J15" s="193"/>
      <c r="K15" s="193"/>
      <c r="L15" s="193"/>
      <c r="M15" s="193"/>
      <c r="N15" s="193"/>
      <c r="O15" s="193"/>
      <c r="P15" s="193"/>
      <c r="Q15" s="193"/>
      <c r="R15" s="193"/>
      <c r="S15" s="193"/>
    </row>
    <row r="16" spans="1:19" ht="15" customHeight="1" x14ac:dyDescent="0.25">
      <c r="A16" s="37"/>
      <c r="B16" s="202" t="str" cm="1">
        <f t="array" aca="1" ref="B16" ca="1">IFERROR(Posten_Uniek,"")</f>
        <v/>
      </c>
      <c r="C16" s="194" t="str">
        <f ca="1">IF(B16="","",SUMIF(Tb_ProjectKosten[Begroting],'6. Begrotingsoverzicht'!B11,Tb_ProjectKosten[Kosten_Beoordeeld]))</f>
        <v/>
      </c>
      <c r="D16" s="194" t="str">
        <f ca="1">'Beoordeeld begrotingsoverzicht'!E11</f>
        <v/>
      </c>
      <c r="E16" s="194" t="str">
        <f ca="1">IF(B16="","",SUMIFS('8. Uitgaven betaalverzoek'!W:W,'8. Uitgaven betaalverzoek'!F:F,B16,'8. Uitgaven betaalverzoek'!A:A,"&lt;&gt;"""))</f>
        <v/>
      </c>
      <c r="F16" s="194" t="str">
        <f ca="1">IF(B16="","",SUMIFS('8. Uitgaven betaalverzoek'!X:X,'8. Uitgaven betaalverzoek'!F:F,B16,'8. Uitgaven betaalverzoek'!A:A,"&lt;&gt;"""))</f>
        <v/>
      </c>
      <c r="G16" s="194" t="str">
        <f ca="1">IF(B16&lt;&gt;"",SUMIF(Tb_DBKostenBEO[],B16,Tb_DBKostenBEO[Deelbetaling_Aanvraag]),"")</f>
        <v/>
      </c>
      <c r="H16" s="194" t="str">
        <f ca="1">IF(B16&lt;&gt;"",SUMIF(Tb_DBKostenBEO[],B16,Tb_DBKostenBEO[Deelbetaling_Beoordeeld]),"")</f>
        <v/>
      </c>
      <c r="I16" s="194" t="str">
        <f ca="1">IF(AND($E16&lt;&gt;0,I$15&lt;&gt;"",$E16&lt;&gt;""),IF($C$10&lt;&gt;"",SUMIFS(SubsidieTabel_DB!$S:$S,SubsidieTabel_DB!$A:$A,I$15,SubsidieTabel_DB!$B:$B,$B16),SUMIFS(SubsidieTabel_DB!$F:$F,SubsidieTabel_DB!$A:$A,I$15,SubsidieTabel_DB!$B:$B,$B16)),"")</f>
        <v/>
      </c>
      <c r="J16" s="194" t="str">
        <f ca="1">IF(AND($E16&lt;&gt;0,J$15&lt;&gt;"",$E16&lt;&gt;""),IF($C$10&lt;&gt;"",SUMIFS(SubsidieTabel_DB!$S:$S,SubsidieTabel_DB!$A:$A,J$15,SubsidieTabel_DB!$B:$B,$B16),SUMIFS(SubsidieTabel_DB!$F:$F,SubsidieTabel_DB!$A:$A,J$15,SubsidieTabel_DB!$B:$B,$B16)),"")</f>
        <v/>
      </c>
      <c r="K16" s="194" t="str">
        <f ca="1">IF(AND($E16&lt;&gt;0,K$15&lt;&gt;"",$E16&lt;&gt;""),IF($C$10&lt;&gt;"",SUMIFS(SubsidieTabel_DB!$S:$S,SubsidieTabel_DB!$A:$A,K$15,SubsidieTabel_DB!$B:$B,$B16),SUMIFS(SubsidieTabel_DB!$F:$F,SubsidieTabel_DB!$A:$A,K$15,SubsidieTabel_DB!$B:$B,$B16)),"")</f>
        <v/>
      </c>
      <c r="L16" s="194" t="str">
        <f ca="1">IF(AND($E16&lt;&gt;0,L$15&lt;&gt;"",$E16&lt;&gt;""),IF($C$10&lt;&gt;"",SUMIFS(SubsidieTabel_DB!$S:$S,SubsidieTabel_DB!$A:$A,L$15,SubsidieTabel_DB!$B:$B,$B16),SUMIFS(SubsidieTabel_DB!$F:$F,SubsidieTabel_DB!$A:$A,L$15,SubsidieTabel_DB!$B:$B,$B16)),"")</f>
        <v/>
      </c>
      <c r="M16" s="194" t="str">
        <f ca="1">IF(AND($E16&lt;&gt;0,M$15&lt;&gt;"",$E16&lt;&gt;""),IF($C$10&lt;&gt;"",SUMIFS(SubsidieTabel_DB!$S:$S,SubsidieTabel_DB!$A:$A,M$15,SubsidieTabel_DB!$B:$B,$B16),SUMIFS(SubsidieTabel_DB!$F:$F,SubsidieTabel_DB!$A:$A,M$15,SubsidieTabel_DB!$B:$B,$B16)),"")</f>
        <v/>
      </c>
      <c r="N16" s="194" t="str">
        <f ca="1">IF(AND($E16&lt;&gt;0,N$15&lt;&gt;"",$E16&lt;&gt;""),IF($C$10&lt;&gt;"",SUMIFS(SubsidieTabel_DB!$S:$S,SubsidieTabel_DB!$A:$A,N$15,SubsidieTabel_DB!$B:$B,$B16),SUMIFS(SubsidieTabel_DB!$F:$F,SubsidieTabel_DB!$A:$A,N$15,SubsidieTabel_DB!$B:$B,$B16)),"")</f>
        <v/>
      </c>
      <c r="O16" s="194" t="str">
        <f ca="1">IF(AND($E16&lt;&gt;0,O$15&lt;&gt;"",$E16&lt;&gt;""),IF($C$10&lt;&gt;"",SUMIFS(SubsidieTabel_DB!$S:$S,SubsidieTabel_DB!$A:$A,O$15,SubsidieTabel_DB!$B:$B,$B16),SUMIFS(SubsidieTabel_DB!$F:$F,SubsidieTabel_DB!$A:$A,O$15,SubsidieTabel_DB!$B:$B,$B16)),"")</f>
        <v/>
      </c>
      <c r="P16" s="194" t="str">
        <f ca="1">IF(AND($E16&lt;&gt;0,P$15&lt;&gt;"",$E16&lt;&gt;""),IF($C$10&lt;&gt;"",SUMIFS(SubsidieTabel_DB!$S:$S,SubsidieTabel_DB!$A:$A,P$15,SubsidieTabel_DB!$B:$B,$B16),SUMIFS(SubsidieTabel_DB!$F:$F,SubsidieTabel_DB!$A:$A,P$15,SubsidieTabel_DB!$B:$B,$B16)),"")</f>
        <v/>
      </c>
      <c r="Q16" s="194" t="str">
        <f ca="1">IF(AND($E16&lt;&gt;0,Q$15&lt;&gt;"",$E16&lt;&gt;""),IF($C$10&lt;&gt;"",SUMIFS(SubsidieTabel_DB!$S:$S,SubsidieTabel_DB!$A:$A,Q$15,SubsidieTabel_DB!$B:$B,$B16),SUMIFS(SubsidieTabel_DB!$F:$F,SubsidieTabel_DB!$A:$A,Q$15,SubsidieTabel_DB!$B:$B,$B16)),"")</f>
        <v/>
      </c>
      <c r="R16" s="194" t="str">
        <f ca="1">IF(AND($E16&lt;&gt;0,R$15&lt;&gt;"",$E16&lt;&gt;""),IF($C$10&lt;&gt;"",SUMIFS(SubsidieTabel_DB!$S:$S,SubsidieTabel_DB!$A:$A,R$15,SubsidieTabel_DB!$B:$B,$B16),SUMIFS(SubsidieTabel_DB!$F:$F,SubsidieTabel_DB!$A:$A,R$15,SubsidieTabel_DB!$B:$B,$B16)),"")</f>
        <v/>
      </c>
      <c r="S16" s="194"/>
    </row>
    <row r="17" spans="1:19" ht="15" customHeight="1" x14ac:dyDescent="0.25">
      <c r="A17" s="37"/>
      <c r="B17" s="202"/>
      <c r="C17" s="194" t="str">
        <f>IF(B17="","",SUMIF(Tb_ProjectKosten[Begroting],'6. Begrotingsoverzicht'!B12,Tb_ProjectKosten[Kosten_Beoordeeld]))</f>
        <v/>
      </c>
      <c r="D17" s="194" t="str">
        <f>'Beoordeeld begrotingsoverzicht'!E12</f>
        <v/>
      </c>
      <c r="E17" s="194" t="str">
        <f>IF(B17="","",SUMIFS('8. Uitgaven betaalverzoek'!W:W,'8. Uitgaven betaalverzoek'!F:F,B17,'8. Uitgaven betaalverzoek'!A:A,"&lt;&gt;"""))</f>
        <v/>
      </c>
      <c r="F17" s="194" t="str">
        <f>IF(B17="","",SUMIFS('8. Uitgaven betaalverzoek'!X:X,'8. Uitgaven betaalverzoek'!F:F,B17,'8. Uitgaven betaalverzoek'!A:A,"&lt;&gt;"""))</f>
        <v/>
      </c>
      <c r="G17" s="194" t="str">
        <f>IF(B17&lt;&gt;"",SUMIF(Tb_DBKostenBEO[],B17,Tb_DBKostenBEO[Deelbetaling_Aanvraag]),"")</f>
        <v/>
      </c>
      <c r="H17" s="194" t="str">
        <f>IF(B17&lt;&gt;"",SUMIF(Tb_DBKostenBEO[],B17,Tb_DBKostenBEO[Deelbetaling_Beoordeeld]),"")</f>
        <v/>
      </c>
      <c r="I17" s="194" t="str">
        <f ca="1">IF(AND($E17&lt;&gt;0,I$15&lt;&gt;"",$E17&lt;&gt;""),IF($C$10&lt;&gt;"",SUMIFS(SubsidieTabel_DB!$S:$S,SubsidieTabel_DB!$A:$A,I$15,SubsidieTabel_DB!$B:$B,$B17),SUMIFS(SubsidieTabel_DB!$F:$F,SubsidieTabel_DB!$A:$A,I$15,SubsidieTabel_DB!$B:$B,$B17)),"")</f>
        <v/>
      </c>
      <c r="J17" s="194" t="str">
        <f>IF(AND($E17&lt;&gt;0,J$15&lt;&gt;"",$E17&lt;&gt;""),IF($C$10&lt;&gt;"",SUMIFS(SubsidieTabel_DB!$S:$S,SubsidieTabel_DB!$A:$A,J$15,SubsidieTabel_DB!$B:$B,$B17),SUMIFS(SubsidieTabel_DB!$F:$F,SubsidieTabel_DB!$A:$A,J$15,SubsidieTabel_DB!$B:$B,$B17)),"")</f>
        <v/>
      </c>
      <c r="K17" s="194" t="str">
        <f>IF(AND($E17&lt;&gt;0,K$15&lt;&gt;"",$E17&lt;&gt;""),IF($C$10&lt;&gt;"",SUMIFS(SubsidieTabel_DB!$S:$S,SubsidieTabel_DB!$A:$A,K$15,SubsidieTabel_DB!$B:$B,$B17),SUMIFS(SubsidieTabel_DB!$F:$F,SubsidieTabel_DB!$A:$A,K$15,SubsidieTabel_DB!$B:$B,$B17)),"")</f>
        <v/>
      </c>
      <c r="L17" s="194" t="str">
        <f>IF(AND($E17&lt;&gt;0,L$15&lt;&gt;"",$E17&lt;&gt;""),IF($C$10&lt;&gt;"",SUMIFS(SubsidieTabel_DB!$S:$S,SubsidieTabel_DB!$A:$A,L$15,SubsidieTabel_DB!$B:$B,$B17),SUMIFS(SubsidieTabel_DB!$F:$F,SubsidieTabel_DB!$A:$A,L$15,SubsidieTabel_DB!$B:$B,$B17)),"")</f>
        <v/>
      </c>
      <c r="M17" s="194" t="str">
        <f>IF(AND($E17&lt;&gt;0,M$15&lt;&gt;"",$E17&lt;&gt;""),IF($C$10&lt;&gt;"",SUMIFS(SubsidieTabel_DB!$S:$S,SubsidieTabel_DB!$A:$A,M$15,SubsidieTabel_DB!$B:$B,$B17),SUMIFS(SubsidieTabel_DB!$F:$F,SubsidieTabel_DB!$A:$A,M$15,SubsidieTabel_DB!$B:$B,$B17)),"")</f>
        <v/>
      </c>
      <c r="N17" s="194" t="str">
        <f>IF(AND($E17&lt;&gt;0,N$15&lt;&gt;"",$E17&lt;&gt;""),IF($C$10&lt;&gt;"",SUMIFS(SubsidieTabel_DB!$S:$S,SubsidieTabel_DB!$A:$A,N$15,SubsidieTabel_DB!$B:$B,$B17),SUMIFS(SubsidieTabel_DB!$F:$F,SubsidieTabel_DB!$A:$A,N$15,SubsidieTabel_DB!$B:$B,$B17)),"")</f>
        <v/>
      </c>
      <c r="O17" s="194" t="str">
        <f>IF(AND($E17&lt;&gt;0,O$15&lt;&gt;"",$E17&lt;&gt;""),IF($C$10&lt;&gt;"",SUMIFS(SubsidieTabel_DB!$S:$S,SubsidieTabel_DB!$A:$A,O$15,SubsidieTabel_DB!$B:$B,$B17),SUMIFS(SubsidieTabel_DB!$F:$F,SubsidieTabel_DB!$A:$A,O$15,SubsidieTabel_DB!$B:$B,$B17)),"")</f>
        <v/>
      </c>
      <c r="P17" s="194" t="str">
        <f>IF(AND($E17&lt;&gt;0,P$15&lt;&gt;"",$E17&lt;&gt;""),IF($C$10&lt;&gt;"",SUMIFS(SubsidieTabel_DB!$S:$S,SubsidieTabel_DB!$A:$A,P$15,SubsidieTabel_DB!$B:$B,$B17),SUMIFS(SubsidieTabel_DB!$F:$F,SubsidieTabel_DB!$A:$A,P$15,SubsidieTabel_DB!$B:$B,$B17)),"")</f>
        <v/>
      </c>
      <c r="Q17" s="194" t="str">
        <f>IF(AND($E17&lt;&gt;0,Q$15&lt;&gt;"",$E17&lt;&gt;""),IF($C$10&lt;&gt;"",SUMIFS(SubsidieTabel_DB!$S:$S,SubsidieTabel_DB!$A:$A,Q$15,SubsidieTabel_DB!$B:$B,$B17),SUMIFS(SubsidieTabel_DB!$F:$F,SubsidieTabel_DB!$A:$A,Q$15,SubsidieTabel_DB!$B:$B,$B17)),"")</f>
        <v/>
      </c>
      <c r="R17" s="194" t="str">
        <f>IF(AND($E17&lt;&gt;0,R$15&lt;&gt;"",$E17&lt;&gt;""),IF($C$10&lt;&gt;"",SUMIFS(SubsidieTabel_DB!$S:$S,SubsidieTabel_DB!$A:$A,R$15,SubsidieTabel_DB!$B:$B,$B17),SUMIFS(SubsidieTabel_DB!$F:$F,SubsidieTabel_DB!$A:$A,R$15,SubsidieTabel_DB!$B:$B,$B17)),"")</f>
        <v/>
      </c>
      <c r="S17" s="194"/>
    </row>
    <row r="18" spans="1:19" ht="15" customHeight="1" x14ac:dyDescent="0.25">
      <c r="A18" s="37"/>
      <c r="B18" s="6"/>
      <c r="C18" s="194" t="str">
        <f>IF(B18="","",SUMIF(Tb_ProjectKosten[Begroting],'6. Begrotingsoverzicht'!B13,Tb_ProjectKosten[Kosten_Beoordeeld]))</f>
        <v/>
      </c>
      <c r="D18" s="194" t="str">
        <f>'Beoordeeld begrotingsoverzicht'!E13</f>
        <v/>
      </c>
      <c r="E18" s="194" t="str">
        <f>IF(B18="","",SUMIFS('8. Uitgaven betaalverzoek'!W:W,'8. Uitgaven betaalverzoek'!F:F,B18,'8. Uitgaven betaalverzoek'!A:A,"&lt;&gt;"""))</f>
        <v/>
      </c>
      <c r="F18" s="194" t="str">
        <f>IF(B18="","",SUMIFS('8. Uitgaven betaalverzoek'!X:X,'8. Uitgaven betaalverzoek'!F:F,B18,'8. Uitgaven betaalverzoek'!A:A,"&lt;&gt;"""))</f>
        <v/>
      </c>
      <c r="G18" s="194" t="str">
        <f>IF(B18&lt;&gt;"",SUMIF(Tb_DBKostenBEO[],B18,Tb_DBKostenBEO[Deelbetaling_Aanvraag]),"")</f>
        <v/>
      </c>
      <c r="H18" s="194" t="str">
        <f>IF(B18&lt;&gt;"",SUMIF(Tb_DBKostenBEO[],B18,Tb_DBKostenBEO[Deelbetaling_Beoordeeld]),"")</f>
        <v/>
      </c>
      <c r="I18" s="194" t="str">
        <f ca="1">IF(AND($E18&lt;&gt;0,I$15&lt;&gt;"",$E18&lt;&gt;""),IF($C$10&lt;&gt;"",SUMIFS(SubsidieTabel_DB!$S:$S,SubsidieTabel_DB!$A:$A,I$15,SubsidieTabel_DB!$B:$B,$B18),SUMIFS(SubsidieTabel_DB!$F:$F,SubsidieTabel_DB!$A:$A,I$15,SubsidieTabel_DB!$B:$B,$B18)),"")</f>
        <v/>
      </c>
      <c r="J18" s="194" t="str">
        <f>IF(AND($E18&lt;&gt;0,J$15&lt;&gt;"",$E18&lt;&gt;""),IF($C$10&lt;&gt;"",SUMIFS(SubsidieTabel_DB!$S:$S,SubsidieTabel_DB!$A:$A,J$15,SubsidieTabel_DB!$B:$B,$B18),SUMIFS(SubsidieTabel_DB!$F:$F,SubsidieTabel_DB!$A:$A,J$15,SubsidieTabel_DB!$B:$B,$B18)),"")</f>
        <v/>
      </c>
      <c r="K18" s="194" t="str">
        <f>IF(AND($E18&lt;&gt;0,K$15&lt;&gt;"",$E18&lt;&gt;""),IF($C$10&lt;&gt;"",SUMIFS(SubsidieTabel_DB!$S:$S,SubsidieTabel_DB!$A:$A,K$15,SubsidieTabel_DB!$B:$B,$B18),SUMIFS(SubsidieTabel_DB!$F:$F,SubsidieTabel_DB!$A:$A,K$15,SubsidieTabel_DB!$B:$B,$B18)),"")</f>
        <v/>
      </c>
      <c r="L18" s="194" t="str">
        <f>IF(AND($E18&lt;&gt;0,L$15&lt;&gt;"",$E18&lt;&gt;""),IF($C$10&lt;&gt;"",SUMIFS(SubsidieTabel_DB!$S:$S,SubsidieTabel_DB!$A:$A,L$15,SubsidieTabel_DB!$B:$B,$B18),SUMIFS(SubsidieTabel_DB!$F:$F,SubsidieTabel_DB!$A:$A,L$15,SubsidieTabel_DB!$B:$B,$B18)),"")</f>
        <v/>
      </c>
      <c r="M18" s="194" t="str">
        <f>IF(AND($E18&lt;&gt;0,M$15&lt;&gt;"",$E18&lt;&gt;""),IF($C$10&lt;&gt;"",SUMIFS(SubsidieTabel_DB!$S:$S,SubsidieTabel_DB!$A:$A,M$15,SubsidieTabel_DB!$B:$B,$B18),SUMIFS(SubsidieTabel_DB!$F:$F,SubsidieTabel_DB!$A:$A,M$15,SubsidieTabel_DB!$B:$B,$B18)),"")</f>
        <v/>
      </c>
      <c r="N18" s="194" t="str">
        <f>IF(AND($E18&lt;&gt;0,N$15&lt;&gt;"",$E18&lt;&gt;""),IF($C$10&lt;&gt;"",SUMIFS(SubsidieTabel_DB!$S:$S,SubsidieTabel_DB!$A:$A,N$15,SubsidieTabel_DB!$B:$B,$B18),SUMIFS(SubsidieTabel_DB!$F:$F,SubsidieTabel_DB!$A:$A,N$15,SubsidieTabel_DB!$B:$B,$B18)),"")</f>
        <v/>
      </c>
      <c r="O18" s="194" t="str">
        <f>IF(AND($E18&lt;&gt;0,O$15&lt;&gt;"",$E18&lt;&gt;""),IF($C$10&lt;&gt;"",SUMIFS(SubsidieTabel_DB!$S:$S,SubsidieTabel_DB!$A:$A,O$15,SubsidieTabel_DB!$B:$B,$B18),SUMIFS(SubsidieTabel_DB!$F:$F,SubsidieTabel_DB!$A:$A,O$15,SubsidieTabel_DB!$B:$B,$B18)),"")</f>
        <v/>
      </c>
      <c r="P18" s="194" t="str">
        <f>IF(AND($E18&lt;&gt;0,P$15&lt;&gt;"",$E18&lt;&gt;""),IF($C$10&lt;&gt;"",SUMIFS(SubsidieTabel_DB!$S:$S,SubsidieTabel_DB!$A:$A,P$15,SubsidieTabel_DB!$B:$B,$B18),SUMIFS(SubsidieTabel_DB!$F:$F,SubsidieTabel_DB!$A:$A,P$15,SubsidieTabel_DB!$B:$B,$B18)),"")</f>
        <v/>
      </c>
      <c r="Q18" s="194" t="str">
        <f>IF(AND($E18&lt;&gt;0,Q$15&lt;&gt;"",$E18&lt;&gt;""),IF($C$10&lt;&gt;"",SUMIFS(SubsidieTabel_DB!$S:$S,SubsidieTabel_DB!$A:$A,Q$15,SubsidieTabel_DB!$B:$B,$B18),SUMIFS(SubsidieTabel_DB!$F:$F,SubsidieTabel_DB!$A:$A,Q$15,SubsidieTabel_DB!$B:$B,$B18)),"")</f>
        <v/>
      </c>
      <c r="R18" s="194" t="str">
        <f>IF(AND($E18&lt;&gt;0,R$15&lt;&gt;"",$E18&lt;&gt;""),IF($C$10&lt;&gt;"",SUMIFS(SubsidieTabel_DB!$S:$S,SubsidieTabel_DB!$A:$A,R$15,SubsidieTabel_DB!$B:$B,$B18),SUMIFS(SubsidieTabel_DB!$F:$F,SubsidieTabel_DB!$A:$A,R$15,SubsidieTabel_DB!$B:$B,$B18)),"")</f>
        <v/>
      </c>
      <c r="S18" s="194"/>
    </row>
    <row r="19" spans="1:19" ht="15" customHeight="1" x14ac:dyDescent="0.25">
      <c r="A19" s="37"/>
      <c r="B19" s="6"/>
      <c r="C19" s="194" t="str">
        <f>IF(B19="","",SUMIF(Tb_ProjectKosten[Begroting],'6. Begrotingsoverzicht'!B14,Tb_ProjectKosten[Kosten_Beoordeeld]))</f>
        <v/>
      </c>
      <c r="D19" s="194" t="str">
        <f>'Beoordeeld begrotingsoverzicht'!E14</f>
        <v/>
      </c>
      <c r="E19" s="194" t="str">
        <f>IF(B19="","",SUMIFS('8. Uitgaven betaalverzoek'!W:W,'8. Uitgaven betaalverzoek'!F:F,B19,'8. Uitgaven betaalverzoek'!A:A,"&lt;&gt;"""))</f>
        <v/>
      </c>
      <c r="F19" s="194" t="str">
        <f>IF(B19="","",SUMIFS('8. Uitgaven betaalverzoek'!X:X,'8. Uitgaven betaalverzoek'!F:F,B19,'8. Uitgaven betaalverzoek'!A:A,"&lt;&gt;"""))</f>
        <v/>
      </c>
      <c r="G19" s="194" t="str">
        <f>IF(B19&lt;&gt;"",SUMIF(Tb_DBKostenBEO[],B19,Tb_DBKostenBEO[Deelbetaling_Aanvraag]),"")</f>
        <v/>
      </c>
      <c r="H19" s="194" t="str">
        <f>IF(B19&lt;&gt;"",SUMIF(Tb_DBKostenBEO[],B19,Tb_DBKostenBEO[Deelbetaling_Beoordeeld]),"")</f>
        <v/>
      </c>
      <c r="I19" s="194" t="str">
        <f ca="1">IF(AND($E19&lt;&gt;0,I$15&lt;&gt;"",$E19&lt;&gt;""),IF($C$10&lt;&gt;"",SUMIFS(SubsidieTabel_DB!$S:$S,SubsidieTabel_DB!$A:$A,I$15,SubsidieTabel_DB!$B:$B,$B19),SUMIFS(SubsidieTabel_DB!$F:$F,SubsidieTabel_DB!$A:$A,I$15,SubsidieTabel_DB!$B:$B,$B19)),"")</f>
        <v/>
      </c>
      <c r="J19" s="194" t="str">
        <f>IF(AND($E19&lt;&gt;0,J$15&lt;&gt;"",$E19&lt;&gt;""),IF($C$10&lt;&gt;"",SUMIFS(SubsidieTabel_DB!$S:$S,SubsidieTabel_DB!$A:$A,J$15,SubsidieTabel_DB!$B:$B,$B19),SUMIFS(SubsidieTabel_DB!$F:$F,SubsidieTabel_DB!$A:$A,J$15,SubsidieTabel_DB!$B:$B,$B19)),"")</f>
        <v/>
      </c>
      <c r="K19" s="194" t="str">
        <f>IF(AND($E19&lt;&gt;0,K$15&lt;&gt;"",$E19&lt;&gt;""),IF($C$10&lt;&gt;"",SUMIFS(SubsidieTabel_DB!$S:$S,SubsidieTabel_DB!$A:$A,K$15,SubsidieTabel_DB!$B:$B,$B19),SUMIFS(SubsidieTabel_DB!$F:$F,SubsidieTabel_DB!$A:$A,K$15,SubsidieTabel_DB!$B:$B,$B19)),"")</f>
        <v/>
      </c>
      <c r="L19" s="194" t="str">
        <f>IF(AND($E19&lt;&gt;0,L$15&lt;&gt;"",$E19&lt;&gt;""),IF($C$10&lt;&gt;"",SUMIFS(SubsidieTabel_DB!$S:$S,SubsidieTabel_DB!$A:$A,L$15,SubsidieTabel_DB!$B:$B,$B19),SUMIFS(SubsidieTabel_DB!$F:$F,SubsidieTabel_DB!$A:$A,L$15,SubsidieTabel_DB!$B:$B,$B19)),"")</f>
        <v/>
      </c>
      <c r="M19" s="194" t="str">
        <f>IF(AND($E19&lt;&gt;0,M$15&lt;&gt;"",$E19&lt;&gt;""),IF($C$10&lt;&gt;"",SUMIFS(SubsidieTabel_DB!$S:$S,SubsidieTabel_DB!$A:$A,M$15,SubsidieTabel_DB!$B:$B,$B19),SUMIFS(SubsidieTabel_DB!$F:$F,SubsidieTabel_DB!$A:$A,M$15,SubsidieTabel_DB!$B:$B,$B19)),"")</f>
        <v/>
      </c>
      <c r="N19" s="194" t="str">
        <f>IF(AND($E19&lt;&gt;0,N$15&lt;&gt;"",$E19&lt;&gt;""),IF($C$10&lt;&gt;"",SUMIFS(SubsidieTabel_DB!$S:$S,SubsidieTabel_DB!$A:$A,N$15,SubsidieTabel_DB!$B:$B,$B19),SUMIFS(SubsidieTabel_DB!$F:$F,SubsidieTabel_DB!$A:$A,N$15,SubsidieTabel_DB!$B:$B,$B19)),"")</f>
        <v/>
      </c>
      <c r="O19" s="194" t="str">
        <f>IF(AND($E19&lt;&gt;0,O$15&lt;&gt;"",$E19&lt;&gt;""),IF($C$10&lt;&gt;"",SUMIFS(SubsidieTabel_DB!$S:$S,SubsidieTabel_DB!$A:$A,O$15,SubsidieTabel_DB!$B:$B,$B19),SUMIFS(SubsidieTabel_DB!$F:$F,SubsidieTabel_DB!$A:$A,O$15,SubsidieTabel_DB!$B:$B,$B19)),"")</f>
        <v/>
      </c>
      <c r="P19" s="194" t="str">
        <f>IF(AND($E19&lt;&gt;0,P$15&lt;&gt;"",$E19&lt;&gt;""),IF($C$10&lt;&gt;"",SUMIFS(SubsidieTabel_DB!$S:$S,SubsidieTabel_DB!$A:$A,P$15,SubsidieTabel_DB!$B:$B,$B19),SUMIFS(SubsidieTabel_DB!$F:$F,SubsidieTabel_DB!$A:$A,P$15,SubsidieTabel_DB!$B:$B,$B19)),"")</f>
        <v/>
      </c>
      <c r="Q19" s="194" t="str">
        <f>IF(AND($E19&lt;&gt;0,Q$15&lt;&gt;"",$E19&lt;&gt;""),IF($C$10&lt;&gt;"",SUMIFS(SubsidieTabel_DB!$S:$S,SubsidieTabel_DB!$A:$A,Q$15,SubsidieTabel_DB!$B:$B,$B19),SUMIFS(SubsidieTabel_DB!$F:$F,SubsidieTabel_DB!$A:$A,Q$15,SubsidieTabel_DB!$B:$B,$B19)),"")</f>
        <v/>
      </c>
      <c r="R19" s="194" t="str">
        <f>IF(AND($E19&lt;&gt;0,R$15&lt;&gt;"",$E19&lt;&gt;""),IF($C$10&lt;&gt;"",SUMIFS(SubsidieTabel_DB!$S:$S,SubsidieTabel_DB!$A:$A,R$15,SubsidieTabel_DB!$B:$B,$B19),SUMIFS(SubsidieTabel_DB!$F:$F,SubsidieTabel_DB!$A:$A,R$15,SubsidieTabel_DB!$B:$B,$B19)),"")</f>
        <v/>
      </c>
      <c r="S19" s="194"/>
    </row>
    <row r="20" spans="1:19" ht="15" customHeight="1" x14ac:dyDescent="0.25">
      <c r="A20" s="37"/>
      <c r="B20" s="6"/>
      <c r="C20" s="194" t="str">
        <f>IF(B20="","",SUMIF(Tb_ProjectKosten[Begroting],'6. Begrotingsoverzicht'!B15,Tb_ProjectKosten[Kosten_Beoordeeld]))</f>
        <v/>
      </c>
      <c r="D20" s="194" t="str">
        <f>'Beoordeeld begrotingsoverzicht'!E15</f>
        <v/>
      </c>
      <c r="E20" s="194" t="str">
        <f>IF(B20="","",SUMIFS('8. Uitgaven betaalverzoek'!W:W,'8. Uitgaven betaalverzoek'!F:F,B20,'8. Uitgaven betaalverzoek'!A:A,"&lt;&gt;"""))</f>
        <v/>
      </c>
      <c r="F20" s="194" t="str">
        <f>IF(B20="","",SUMIFS('8. Uitgaven betaalverzoek'!X:X,'8. Uitgaven betaalverzoek'!F:F,B20,'8. Uitgaven betaalverzoek'!A:A,"&lt;&gt;"""))</f>
        <v/>
      </c>
      <c r="G20" s="194" t="str">
        <f>IF(B20&lt;&gt;"",SUMIF(Tb_DBKostenBEO[],B20,Tb_DBKostenBEO[Deelbetaling_Aanvraag]),"")</f>
        <v/>
      </c>
      <c r="H20" s="194" t="str">
        <f>IF(B20&lt;&gt;"",SUMIF(Tb_DBKostenBEO[],B20,Tb_DBKostenBEO[Deelbetaling_Beoordeeld]),"")</f>
        <v/>
      </c>
      <c r="I20" s="194" t="str">
        <f ca="1">IF(AND($E20&lt;&gt;0,I$15&lt;&gt;"",$E20&lt;&gt;""),IF($C$10&lt;&gt;"",SUMIFS(SubsidieTabel_DB!$S:$S,SubsidieTabel_DB!$A:$A,I$15,SubsidieTabel_DB!$B:$B,$B20),SUMIFS(SubsidieTabel_DB!$F:$F,SubsidieTabel_DB!$A:$A,I$15,SubsidieTabel_DB!$B:$B,$B20)),"")</f>
        <v/>
      </c>
      <c r="J20" s="194" t="str">
        <f>IF(AND($E20&lt;&gt;0,J$15&lt;&gt;"",$E20&lt;&gt;""),IF($C$10&lt;&gt;"",SUMIFS(SubsidieTabel_DB!$S:$S,SubsidieTabel_DB!$A:$A,J$15,SubsidieTabel_DB!$B:$B,$B20),SUMIFS(SubsidieTabel_DB!$F:$F,SubsidieTabel_DB!$A:$A,J$15,SubsidieTabel_DB!$B:$B,$B20)),"")</f>
        <v/>
      </c>
      <c r="K20" s="194" t="str">
        <f>IF(AND($E20&lt;&gt;0,K$15&lt;&gt;"",$E20&lt;&gt;""),IF($C$10&lt;&gt;"",SUMIFS(SubsidieTabel_DB!$S:$S,SubsidieTabel_DB!$A:$A,K$15,SubsidieTabel_DB!$B:$B,$B20),SUMIFS(SubsidieTabel_DB!$F:$F,SubsidieTabel_DB!$A:$A,K$15,SubsidieTabel_DB!$B:$B,$B20)),"")</f>
        <v/>
      </c>
      <c r="L20" s="194" t="str">
        <f>IF(AND($E20&lt;&gt;0,L$15&lt;&gt;"",$E20&lt;&gt;""),IF($C$10&lt;&gt;"",SUMIFS(SubsidieTabel_DB!$S:$S,SubsidieTabel_DB!$A:$A,L$15,SubsidieTabel_DB!$B:$B,$B20),SUMIFS(SubsidieTabel_DB!$F:$F,SubsidieTabel_DB!$A:$A,L$15,SubsidieTabel_DB!$B:$B,$B20)),"")</f>
        <v/>
      </c>
      <c r="M20" s="194" t="str">
        <f>IF(AND($E20&lt;&gt;0,M$15&lt;&gt;"",$E20&lt;&gt;""),IF($C$10&lt;&gt;"",SUMIFS(SubsidieTabel_DB!$S:$S,SubsidieTabel_DB!$A:$A,M$15,SubsidieTabel_DB!$B:$B,$B20),SUMIFS(SubsidieTabel_DB!$F:$F,SubsidieTabel_DB!$A:$A,M$15,SubsidieTabel_DB!$B:$B,$B20)),"")</f>
        <v/>
      </c>
      <c r="N20" s="194" t="str">
        <f>IF(AND($E20&lt;&gt;0,N$15&lt;&gt;"",$E20&lt;&gt;""),IF($C$10&lt;&gt;"",SUMIFS(SubsidieTabel_DB!$S:$S,SubsidieTabel_DB!$A:$A,N$15,SubsidieTabel_DB!$B:$B,$B20),SUMIFS(SubsidieTabel_DB!$F:$F,SubsidieTabel_DB!$A:$A,N$15,SubsidieTabel_DB!$B:$B,$B20)),"")</f>
        <v/>
      </c>
      <c r="O20" s="194" t="str">
        <f>IF(AND($E20&lt;&gt;0,O$15&lt;&gt;"",$E20&lt;&gt;""),IF($C$10&lt;&gt;"",SUMIFS(SubsidieTabel_DB!$S:$S,SubsidieTabel_DB!$A:$A,O$15,SubsidieTabel_DB!$B:$B,$B20),SUMIFS(SubsidieTabel_DB!$F:$F,SubsidieTabel_DB!$A:$A,O$15,SubsidieTabel_DB!$B:$B,$B20)),"")</f>
        <v/>
      </c>
      <c r="P20" s="194" t="str">
        <f>IF(AND($E20&lt;&gt;0,P$15&lt;&gt;"",$E20&lt;&gt;""),IF($C$10&lt;&gt;"",SUMIFS(SubsidieTabel_DB!$S:$S,SubsidieTabel_DB!$A:$A,P$15,SubsidieTabel_DB!$B:$B,$B20),SUMIFS(SubsidieTabel_DB!$F:$F,SubsidieTabel_DB!$A:$A,P$15,SubsidieTabel_DB!$B:$B,$B20)),"")</f>
        <v/>
      </c>
      <c r="Q20" s="194" t="str">
        <f>IF(AND($E20&lt;&gt;0,Q$15&lt;&gt;"",$E20&lt;&gt;""),IF($C$10&lt;&gt;"",SUMIFS(SubsidieTabel_DB!$S:$S,SubsidieTabel_DB!$A:$A,Q$15,SubsidieTabel_DB!$B:$B,$B20),SUMIFS(SubsidieTabel_DB!$F:$F,SubsidieTabel_DB!$A:$A,Q$15,SubsidieTabel_DB!$B:$B,$B20)),"")</f>
        <v/>
      </c>
      <c r="R20" s="194" t="str">
        <f>IF(AND($E20&lt;&gt;0,R$15&lt;&gt;"",$E20&lt;&gt;""),IF($C$10&lt;&gt;"",SUMIFS(SubsidieTabel_DB!$S:$S,SubsidieTabel_DB!$A:$A,R$15,SubsidieTabel_DB!$B:$B,$B20),SUMIFS(SubsidieTabel_DB!$F:$F,SubsidieTabel_DB!$A:$A,R$15,SubsidieTabel_DB!$B:$B,$B20)),"")</f>
        <v/>
      </c>
      <c r="S20" s="194"/>
    </row>
    <row r="21" spans="1:19" ht="15" customHeight="1" x14ac:dyDescent="0.25">
      <c r="A21" s="37"/>
      <c r="B21" s="6"/>
      <c r="C21" s="194" t="str">
        <f>IF(B21="","",SUMIF(Tb_ProjectKosten[Begroting],'6. Begrotingsoverzicht'!B16,Tb_ProjectKosten[Kosten_Beoordeeld]))</f>
        <v/>
      </c>
      <c r="D21" s="194" t="str">
        <f>'Beoordeeld begrotingsoverzicht'!E16</f>
        <v/>
      </c>
      <c r="E21" s="194" t="str">
        <f>IF(B21="","",SUMIFS('8. Uitgaven betaalverzoek'!W:W,'8. Uitgaven betaalverzoek'!F:F,B21,'8. Uitgaven betaalverzoek'!A:A,"&lt;&gt;"""))</f>
        <v/>
      </c>
      <c r="F21" s="194" t="str">
        <f>IF(B21="","",SUMIFS('8. Uitgaven betaalverzoek'!X:X,'8. Uitgaven betaalverzoek'!F:F,B21,'8. Uitgaven betaalverzoek'!A:A,"&lt;&gt;"""))</f>
        <v/>
      </c>
      <c r="G21" s="194" t="str">
        <f>IF(B21&lt;&gt;"",SUMIF(Tb_DBKostenBEO[],B21,Tb_DBKostenBEO[Deelbetaling_Aanvraag]),"")</f>
        <v/>
      </c>
      <c r="H21" s="194" t="str">
        <f>IF(B21&lt;&gt;"",SUMIF(Tb_DBKostenBEO[],B21,Tb_DBKostenBEO[Deelbetaling_Beoordeeld]),"")</f>
        <v/>
      </c>
      <c r="I21" s="194" t="str">
        <f ca="1">IF(AND($E21&lt;&gt;0,I$15&lt;&gt;"",$E21&lt;&gt;""),IF($C$10&lt;&gt;"",SUMIFS(SubsidieTabel_DB!$S:$S,SubsidieTabel_DB!$A:$A,I$15,SubsidieTabel_DB!$B:$B,$B21),SUMIFS(SubsidieTabel_DB!$F:$F,SubsidieTabel_DB!$A:$A,I$15,SubsidieTabel_DB!$B:$B,$B21)),"")</f>
        <v/>
      </c>
      <c r="J21" s="194" t="str">
        <f>IF(AND($E21&lt;&gt;0,J$15&lt;&gt;"",$E21&lt;&gt;""),IF($C$10&lt;&gt;"",SUMIFS(SubsidieTabel_DB!$S:$S,SubsidieTabel_DB!$A:$A,J$15,SubsidieTabel_DB!$B:$B,$B21),SUMIFS(SubsidieTabel_DB!$F:$F,SubsidieTabel_DB!$A:$A,J$15,SubsidieTabel_DB!$B:$B,$B21)),"")</f>
        <v/>
      </c>
      <c r="K21" s="194" t="str">
        <f>IF(AND($E21&lt;&gt;0,K$15&lt;&gt;"",$E21&lt;&gt;""),IF($C$10&lt;&gt;"",SUMIFS(SubsidieTabel_DB!$S:$S,SubsidieTabel_DB!$A:$A,K$15,SubsidieTabel_DB!$B:$B,$B21),SUMIFS(SubsidieTabel_DB!$F:$F,SubsidieTabel_DB!$A:$A,K$15,SubsidieTabel_DB!$B:$B,$B21)),"")</f>
        <v/>
      </c>
      <c r="L21" s="194" t="str">
        <f>IF(AND($E21&lt;&gt;0,L$15&lt;&gt;"",$E21&lt;&gt;""),IF($C$10&lt;&gt;"",SUMIFS(SubsidieTabel_DB!$S:$S,SubsidieTabel_DB!$A:$A,L$15,SubsidieTabel_DB!$B:$B,$B21),SUMIFS(SubsidieTabel_DB!$F:$F,SubsidieTabel_DB!$A:$A,L$15,SubsidieTabel_DB!$B:$B,$B21)),"")</f>
        <v/>
      </c>
      <c r="M21" s="194" t="str">
        <f>IF(AND($E21&lt;&gt;0,M$15&lt;&gt;"",$E21&lt;&gt;""),IF($C$10&lt;&gt;"",SUMIFS(SubsidieTabel_DB!$S:$S,SubsidieTabel_DB!$A:$A,M$15,SubsidieTabel_DB!$B:$B,$B21),SUMIFS(SubsidieTabel_DB!$F:$F,SubsidieTabel_DB!$A:$A,M$15,SubsidieTabel_DB!$B:$B,$B21)),"")</f>
        <v/>
      </c>
      <c r="N21" s="194" t="str">
        <f>IF(AND($E21&lt;&gt;0,N$15&lt;&gt;"",$E21&lt;&gt;""),IF($C$10&lt;&gt;"",SUMIFS(SubsidieTabel_DB!$S:$S,SubsidieTabel_DB!$A:$A,N$15,SubsidieTabel_DB!$B:$B,$B21),SUMIFS(SubsidieTabel_DB!$F:$F,SubsidieTabel_DB!$A:$A,N$15,SubsidieTabel_DB!$B:$B,$B21)),"")</f>
        <v/>
      </c>
      <c r="O21" s="194" t="str">
        <f>IF(AND($E21&lt;&gt;0,O$15&lt;&gt;"",$E21&lt;&gt;""),IF($C$10&lt;&gt;"",SUMIFS(SubsidieTabel_DB!$S:$S,SubsidieTabel_DB!$A:$A,O$15,SubsidieTabel_DB!$B:$B,$B21),SUMIFS(SubsidieTabel_DB!$F:$F,SubsidieTabel_DB!$A:$A,O$15,SubsidieTabel_DB!$B:$B,$B21)),"")</f>
        <v/>
      </c>
      <c r="P21" s="194" t="str">
        <f>IF(AND($E21&lt;&gt;0,P$15&lt;&gt;"",$E21&lt;&gt;""),IF($C$10&lt;&gt;"",SUMIFS(SubsidieTabel_DB!$S:$S,SubsidieTabel_DB!$A:$A,P$15,SubsidieTabel_DB!$B:$B,$B21),SUMIFS(SubsidieTabel_DB!$F:$F,SubsidieTabel_DB!$A:$A,P$15,SubsidieTabel_DB!$B:$B,$B21)),"")</f>
        <v/>
      </c>
      <c r="Q21" s="194" t="str">
        <f>IF(AND($E21&lt;&gt;0,Q$15&lt;&gt;"",$E21&lt;&gt;""),IF($C$10&lt;&gt;"",SUMIFS(SubsidieTabel_DB!$S:$S,SubsidieTabel_DB!$A:$A,Q$15,SubsidieTabel_DB!$B:$B,$B21),SUMIFS(SubsidieTabel_DB!$F:$F,SubsidieTabel_DB!$A:$A,Q$15,SubsidieTabel_DB!$B:$B,$B21)),"")</f>
        <v/>
      </c>
      <c r="R21" s="194" t="str">
        <f>IF(AND($E21&lt;&gt;0,R$15&lt;&gt;"",$E21&lt;&gt;""),IF($C$10&lt;&gt;"",SUMIFS(SubsidieTabel_DB!$S:$S,SubsidieTabel_DB!$A:$A,R$15,SubsidieTabel_DB!$B:$B,$B21),SUMIFS(SubsidieTabel_DB!$F:$F,SubsidieTabel_DB!$A:$A,R$15,SubsidieTabel_DB!$B:$B,$B21)),"")</f>
        <v/>
      </c>
      <c r="S21" s="194"/>
    </row>
    <row r="22" spans="1:19" ht="15" customHeight="1" x14ac:dyDescent="0.25">
      <c r="A22" s="37"/>
      <c r="B22" s="6"/>
      <c r="C22" s="194" t="str">
        <f>IF(B22="","",SUMIF(Tb_ProjectKosten[Begroting],'6. Begrotingsoverzicht'!B17,Tb_ProjectKosten[Kosten_Beoordeeld]))</f>
        <v/>
      </c>
      <c r="D22" s="194" t="str">
        <f>'Beoordeeld begrotingsoverzicht'!E17</f>
        <v/>
      </c>
      <c r="E22" s="194" t="str">
        <f>IF(B22="","",SUMIFS('8. Uitgaven betaalverzoek'!W:W,'8. Uitgaven betaalverzoek'!F:F,B22,'8. Uitgaven betaalverzoek'!A:A,"&lt;&gt;"""))</f>
        <v/>
      </c>
      <c r="F22" s="194" t="str">
        <f>IF(B22="","",SUMIFS('8. Uitgaven betaalverzoek'!X:X,'8. Uitgaven betaalverzoek'!F:F,B22,'8. Uitgaven betaalverzoek'!A:A,"&lt;&gt;"""))</f>
        <v/>
      </c>
      <c r="G22" s="194" t="str">
        <f>IF(B22&lt;&gt;"",SUMIF(Tb_DBKostenBEO[],B22,Tb_DBKostenBEO[Deelbetaling_Aanvraag]),"")</f>
        <v/>
      </c>
      <c r="H22" s="194" t="str">
        <f>IF(B22&lt;&gt;"",SUMIF(Tb_DBKostenBEO[],B22,Tb_DBKostenBEO[Deelbetaling_Beoordeeld]),"")</f>
        <v/>
      </c>
      <c r="I22" s="194" t="str">
        <f ca="1">IF(AND($E22&lt;&gt;0,I$15&lt;&gt;"",$E22&lt;&gt;""),IF($C$10&lt;&gt;"",SUMIFS(SubsidieTabel_DB!$S:$S,SubsidieTabel_DB!$A:$A,I$15,SubsidieTabel_DB!$B:$B,$B22),SUMIFS(SubsidieTabel_DB!$F:$F,SubsidieTabel_DB!$A:$A,I$15,SubsidieTabel_DB!$B:$B,$B22)),"")</f>
        <v/>
      </c>
      <c r="J22" s="194" t="str">
        <f>IF(AND($E22&lt;&gt;0,J$15&lt;&gt;"",$E22&lt;&gt;""),IF($C$10&lt;&gt;"",SUMIFS(SubsidieTabel_DB!$S:$S,SubsidieTabel_DB!$A:$A,J$15,SubsidieTabel_DB!$B:$B,$B22),SUMIFS(SubsidieTabel_DB!$F:$F,SubsidieTabel_DB!$A:$A,J$15,SubsidieTabel_DB!$B:$B,$B22)),"")</f>
        <v/>
      </c>
      <c r="K22" s="194" t="str">
        <f>IF(AND($E22&lt;&gt;0,K$15&lt;&gt;"",$E22&lt;&gt;""),IF($C$10&lt;&gt;"",SUMIFS(SubsidieTabel_DB!$S:$S,SubsidieTabel_DB!$A:$A,K$15,SubsidieTabel_DB!$B:$B,$B22),SUMIFS(SubsidieTabel_DB!$F:$F,SubsidieTabel_DB!$A:$A,K$15,SubsidieTabel_DB!$B:$B,$B22)),"")</f>
        <v/>
      </c>
      <c r="L22" s="194" t="str">
        <f>IF(AND($E22&lt;&gt;0,L$15&lt;&gt;"",$E22&lt;&gt;""),IF($C$10&lt;&gt;"",SUMIFS(SubsidieTabel_DB!$S:$S,SubsidieTabel_DB!$A:$A,L$15,SubsidieTabel_DB!$B:$B,$B22),SUMIFS(SubsidieTabel_DB!$F:$F,SubsidieTabel_DB!$A:$A,L$15,SubsidieTabel_DB!$B:$B,$B22)),"")</f>
        <v/>
      </c>
      <c r="M22" s="194" t="str">
        <f>IF(AND($E22&lt;&gt;0,M$15&lt;&gt;"",$E22&lt;&gt;""),IF($C$10&lt;&gt;"",SUMIFS(SubsidieTabel_DB!$S:$S,SubsidieTabel_DB!$A:$A,M$15,SubsidieTabel_DB!$B:$B,$B22),SUMIFS(SubsidieTabel_DB!$F:$F,SubsidieTabel_DB!$A:$A,M$15,SubsidieTabel_DB!$B:$B,$B22)),"")</f>
        <v/>
      </c>
      <c r="N22" s="194" t="str">
        <f>IF(AND($E22&lt;&gt;0,N$15&lt;&gt;"",$E22&lt;&gt;""),IF($C$10&lt;&gt;"",SUMIFS(SubsidieTabel_DB!$S:$S,SubsidieTabel_DB!$A:$A,N$15,SubsidieTabel_DB!$B:$B,$B22),SUMIFS(SubsidieTabel_DB!$F:$F,SubsidieTabel_DB!$A:$A,N$15,SubsidieTabel_DB!$B:$B,$B22)),"")</f>
        <v/>
      </c>
      <c r="O22" s="194" t="str">
        <f>IF(AND($E22&lt;&gt;0,O$15&lt;&gt;"",$E22&lt;&gt;""),IF($C$10&lt;&gt;"",SUMIFS(SubsidieTabel_DB!$S:$S,SubsidieTabel_DB!$A:$A,O$15,SubsidieTabel_DB!$B:$B,$B22),SUMIFS(SubsidieTabel_DB!$F:$F,SubsidieTabel_DB!$A:$A,O$15,SubsidieTabel_DB!$B:$B,$B22)),"")</f>
        <v/>
      </c>
      <c r="P22" s="194" t="str">
        <f>IF(AND($E22&lt;&gt;0,P$15&lt;&gt;"",$E22&lt;&gt;""),IF($C$10&lt;&gt;"",SUMIFS(SubsidieTabel_DB!$S:$S,SubsidieTabel_DB!$A:$A,P$15,SubsidieTabel_DB!$B:$B,$B22),SUMIFS(SubsidieTabel_DB!$F:$F,SubsidieTabel_DB!$A:$A,P$15,SubsidieTabel_DB!$B:$B,$B22)),"")</f>
        <v/>
      </c>
      <c r="Q22" s="194" t="str">
        <f>IF(AND($E22&lt;&gt;0,Q$15&lt;&gt;"",$E22&lt;&gt;""),IF($C$10&lt;&gt;"",SUMIFS(SubsidieTabel_DB!$S:$S,SubsidieTabel_DB!$A:$A,Q$15,SubsidieTabel_DB!$B:$B,$B22),SUMIFS(SubsidieTabel_DB!$F:$F,SubsidieTabel_DB!$A:$A,Q$15,SubsidieTabel_DB!$B:$B,$B22)),"")</f>
        <v/>
      </c>
      <c r="R22" s="194" t="str">
        <f>IF(AND($E22&lt;&gt;0,R$15&lt;&gt;"",$E22&lt;&gt;""),IF($C$10&lt;&gt;"",SUMIFS(SubsidieTabel_DB!$S:$S,SubsidieTabel_DB!$A:$A,R$15,SubsidieTabel_DB!$B:$B,$B22),SUMIFS(SubsidieTabel_DB!$F:$F,SubsidieTabel_DB!$A:$A,R$15,SubsidieTabel_DB!$B:$B,$B22)),"")</f>
        <v/>
      </c>
      <c r="S22" s="194"/>
    </row>
    <row r="23" spans="1:19" ht="15" customHeight="1" x14ac:dyDescent="0.25">
      <c r="A23" s="37"/>
      <c r="B23" s="6"/>
      <c r="C23" s="194" t="str">
        <f>IF(B23="","",SUMIF(Tb_ProjectKosten[Begroting],'6. Begrotingsoverzicht'!B18,Tb_ProjectKosten[Kosten_Beoordeeld]))</f>
        <v/>
      </c>
      <c r="D23" s="194" t="str">
        <f>'Beoordeeld begrotingsoverzicht'!E18</f>
        <v/>
      </c>
      <c r="E23" s="194" t="str">
        <f>IF(B23="","",SUMIFS('8. Uitgaven betaalverzoek'!W:W,'8. Uitgaven betaalverzoek'!F:F,B23,'8. Uitgaven betaalverzoek'!A:A,"&lt;&gt;"""))</f>
        <v/>
      </c>
      <c r="F23" s="194" t="str">
        <f>IF(B23="","",SUMIFS('8. Uitgaven betaalverzoek'!X:X,'8. Uitgaven betaalverzoek'!F:F,B23,'8. Uitgaven betaalverzoek'!A:A,"&lt;&gt;"""))</f>
        <v/>
      </c>
      <c r="G23" s="194" t="str">
        <f>IF(B23&lt;&gt;"",SUMIF(Tb_DBKostenBEO[],B23,Tb_DBKostenBEO[Deelbetaling_Aanvraag]),"")</f>
        <v/>
      </c>
      <c r="H23" s="194" t="str">
        <f>IF(B23&lt;&gt;"",SUMIF(Tb_DBKostenBEO[],B23,Tb_DBKostenBEO[Deelbetaling_Beoordeeld]),"")</f>
        <v/>
      </c>
      <c r="I23" s="194" t="str">
        <f ca="1">IF(AND($E23&lt;&gt;0,I$15&lt;&gt;"",$E23&lt;&gt;""),IF($C$10&lt;&gt;"",SUMIFS(SubsidieTabel_DB!$S:$S,SubsidieTabel_DB!$A:$A,I$15,SubsidieTabel_DB!$B:$B,$B23),SUMIFS(SubsidieTabel_DB!$F:$F,SubsidieTabel_DB!$A:$A,I$15,SubsidieTabel_DB!$B:$B,$B23)),"")</f>
        <v/>
      </c>
      <c r="J23" s="194" t="str">
        <f>IF(AND($E23&lt;&gt;0,J$15&lt;&gt;"",$E23&lt;&gt;""),IF($C$10&lt;&gt;"",SUMIFS(SubsidieTabel_DB!$S:$S,SubsidieTabel_DB!$A:$A,J$15,SubsidieTabel_DB!$B:$B,$B23),SUMIFS(SubsidieTabel_DB!$F:$F,SubsidieTabel_DB!$A:$A,J$15,SubsidieTabel_DB!$B:$B,$B23)),"")</f>
        <v/>
      </c>
      <c r="K23" s="194" t="str">
        <f>IF(AND($E23&lt;&gt;0,K$15&lt;&gt;"",$E23&lt;&gt;""),IF($C$10&lt;&gt;"",SUMIFS(SubsidieTabel_DB!$S:$S,SubsidieTabel_DB!$A:$A,K$15,SubsidieTabel_DB!$B:$B,$B23),SUMIFS(SubsidieTabel_DB!$F:$F,SubsidieTabel_DB!$A:$A,K$15,SubsidieTabel_DB!$B:$B,$B23)),"")</f>
        <v/>
      </c>
      <c r="L23" s="194" t="str">
        <f>IF(AND($E23&lt;&gt;0,L$15&lt;&gt;"",$E23&lt;&gt;""),IF($C$10&lt;&gt;"",SUMIFS(SubsidieTabel_DB!$S:$S,SubsidieTabel_DB!$A:$A,L$15,SubsidieTabel_DB!$B:$B,$B23),SUMIFS(SubsidieTabel_DB!$F:$F,SubsidieTabel_DB!$A:$A,L$15,SubsidieTabel_DB!$B:$B,$B23)),"")</f>
        <v/>
      </c>
      <c r="M23" s="194" t="str">
        <f>IF(AND($E23&lt;&gt;0,M$15&lt;&gt;"",$E23&lt;&gt;""),IF($C$10&lt;&gt;"",SUMIFS(SubsidieTabel_DB!$S:$S,SubsidieTabel_DB!$A:$A,M$15,SubsidieTabel_DB!$B:$B,$B23),SUMIFS(SubsidieTabel_DB!$F:$F,SubsidieTabel_DB!$A:$A,M$15,SubsidieTabel_DB!$B:$B,$B23)),"")</f>
        <v/>
      </c>
      <c r="N23" s="194" t="str">
        <f>IF(AND($E23&lt;&gt;0,N$15&lt;&gt;"",$E23&lt;&gt;""),IF($C$10&lt;&gt;"",SUMIFS(SubsidieTabel_DB!$S:$S,SubsidieTabel_DB!$A:$A,N$15,SubsidieTabel_DB!$B:$B,$B23),SUMIFS(SubsidieTabel_DB!$F:$F,SubsidieTabel_DB!$A:$A,N$15,SubsidieTabel_DB!$B:$B,$B23)),"")</f>
        <v/>
      </c>
      <c r="O23" s="194" t="str">
        <f>IF(AND($E23&lt;&gt;0,O$15&lt;&gt;"",$E23&lt;&gt;""),IF($C$10&lt;&gt;"",SUMIFS(SubsidieTabel_DB!$S:$S,SubsidieTabel_DB!$A:$A,O$15,SubsidieTabel_DB!$B:$B,$B23),SUMIFS(SubsidieTabel_DB!$F:$F,SubsidieTabel_DB!$A:$A,O$15,SubsidieTabel_DB!$B:$B,$B23)),"")</f>
        <v/>
      </c>
      <c r="P23" s="194" t="str">
        <f>IF(AND($E23&lt;&gt;0,P$15&lt;&gt;"",$E23&lt;&gt;""),IF($C$10&lt;&gt;"",SUMIFS(SubsidieTabel_DB!$S:$S,SubsidieTabel_DB!$A:$A,P$15,SubsidieTabel_DB!$B:$B,$B23),SUMIFS(SubsidieTabel_DB!$F:$F,SubsidieTabel_DB!$A:$A,P$15,SubsidieTabel_DB!$B:$B,$B23)),"")</f>
        <v/>
      </c>
      <c r="Q23" s="194" t="str">
        <f>IF(AND($E23&lt;&gt;0,Q$15&lt;&gt;"",$E23&lt;&gt;""),IF($C$10&lt;&gt;"",SUMIFS(SubsidieTabel_DB!$S:$S,SubsidieTabel_DB!$A:$A,Q$15,SubsidieTabel_DB!$B:$B,$B23),SUMIFS(SubsidieTabel_DB!$F:$F,SubsidieTabel_DB!$A:$A,Q$15,SubsidieTabel_DB!$B:$B,$B23)),"")</f>
        <v/>
      </c>
      <c r="R23" s="194" t="str">
        <f>IF(AND($E23&lt;&gt;0,R$15&lt;&gt;"",$E23&lt;&gt;""),IF($C$10&lt;&gt;"",SUMIFS(SubsidieTabel_DB!$S:$S,SubsidieTabel_DB!$A:$A,R$15,SubsidieTabel_DB!$B:$B,$B23),SUMIFS(SubsidieTabel_DB!$F:$F,SubsidieTabel_DB!$A:$A,R$15,SubsidieTabel_DB!$B:$B,$B23)),"")</f>
        <v/>
      </c>
      <c r="S23" s="194"/>
    </row>
    <row r="24" spans="1:19" ht="15" customHeight="1" x14ac:dyDescent="0.25">
      <c r="A24" s="37"/>
      <c r="B24" s="6"/>
      <c r="C24" s="194" t="str">
        <f>IF(B24="","",SUMIF(Tb_ProjectKosten[Begroting],'6. Begrotingsoverzicht'!B19,Tb_ProjectKosten[Kosten_Beoordeeld]))</f>
        <v/>
      </c>
      <c r="D24" s="194" t="str">
        <f>'Beoordeeld begrotingsoverzicht'!E19</f>
        <v/>
      </c>
      <c r="E24" s="194" t="str">
        <f>IF(B24="","",SUMIFS('8. Uitgaven betaalverzoek'!W:W,'8. Uitgaven betaalverzoek'!F:F,B24,'8. Uitgaven betaalverzoek'!A:A,"&lt;&gt;"""))</f>
        <v/>
      </c>
      <c r="F24" s="194" t="str">
        <f>IF(B24="","",SUMIFS('8. Uitgaven betaalverzoek'!X:X,'8. Uitgaven betaalverzoek'!F:F,B24,'8. Uitgaven betaalverzoek'!A:A,"&lt;&gt;"""))</f>
        <v/>
      </c>
      <c r="G24" s="194" t="str">
        <f>IF(B24&lt;&gt;"",SUMIF(Tb_DBKostenBEO[],B24,Tb_DBKostenBEO[Deelbetaling_Aanvraag]),"")</f>
        <v/>
      </c>
      <c r="H24" s="194" t="str">
        <f>IF(B24&lt;&gt;"",SUMIF(Tb_DBKostenBEO[],B24,Tb_DBKostenBEO[Deelbetaling_Beoordeeld]),"")</f>
        <v/>
      </c>
      <c r="I24" s="194" t="str">
        <f ca="1">IF(AND($E24&lt;&gt;0,I$15&lt;&gt;"",$E24&lt;&gt;""),IF($C$10&lt;&gt;"",SUMIFS(SubsidieTabel_DB!$S:$S,SubsidieTabel_DB!$A:$A,I$15,SubsidieTabel_DB!$B:$B,$B24),SUMIFS(SubsidieTabel_DB!$F:$F,SubsidieTabel_DB!$A:$A,I$15,SubsidieTabel_DB!$B:$B,$B24)),"")</f>
        <v/>
      </c>
      <c r="J24" s="194" t="str">
        <f>IF(AND($E24&lt;&gt;0,J$15&lt;&gt;"",$E24&lt;&gt;""),IF($C$10&lt;&gt;"",SUMIFS(SubsidieTabel_DB!$S:$S,SubsidieTabel_DB!$A:$A,J$15,SubsidieTabel_DB!$B:$B,$B24),SUMIFS(SubsidieTabel_DB!$F:$F,SubsidieTabel_DB!$A:$A,J$15,SubsidieTabel_DB!$B:$B,$B24)),"")</f>
        <v/>
      </c>
      <c r="K24" s="194" t="str">
        <f>IF(AND($E24&lt;&gt;0,K$15&lt;&gt;"",$E24&lt;&gt;""),IF($C$10&lt;&gt;"",SUMIFS(SubsidieTabel_DB!$S:$S,SubsidieTabel_DB!$A:$A,K$15,SubsidieTabel_DB!$B:$B,$B24),SUMIFS(SubsidieTabel_DB!$F:$F,SubsidieTabel_DB!$A:$A,K$15,SubsidieTabel_DB!$B:$B,$B24)),"")</f>
        <v/>
      </c>
      <c r="L24" s="194" t="str">
        <f>IF(AND($E24&lt;&gt;0,L$15&lt;&gt;"",$E24&lt;&gt;""),IF($C$10&lt;&gt;"",SUMIFS(SubsidieTabel_DB!$S:$S,SubsidieTabel_DB!$A:$A,L$15,SubsidieTabel_DB!$B:$B,$B24),SUMIFS(SubsidieTabel_DB!$F:$F,SubsidieTabel_DB!$A:$A,L$15,SubsidieTabel_DB!$B:$B,$B24)),"")</f>
        <v/>
      </c>
      <c r="M24" s="194" t="str">
        <f>IF(AND($E24&lt;&gt;0,M$15&lt;&gt;"",$E24&lt;&gt;""),IF($C$10&lt;&gt;"",SUMIFS(SubsidieTabel_DB!$S:$S,SubsidieTabel_DB!$A:$A,M$15,SubsidieTabel_DB!$B:$B,$B24),SUMIFS(SubsidieTabel_DB!$F:$F,SubsidieTabel_DB!$A:$A,M$15,SubsidieTabel_DB!$B:$B,$B24)),"")</f>
        <v/>
      </c>
      <c r="N24" s="194" t="str">
        <f>IF(AND($E24&lt;&gt;0,N$15&lt;&gt;"",$E24&lt;&gt;""),IF($C$10&lt;&gt;"",SUMIFS(SubsidieTabel_DB!$S:$S,SubsidieTabel_DB!$A:$A,N$15,SubsidieTabel_DB!$B:$B,$B24),SUMIFS(SubsidieTabel_DB!$F:$F,SubsidieTabel_DB!$A:$A,N$15,SubsidieTabel_DB!$B:$B,$B24)),"")</f>
        <v/>
      </c>
      <c r="O24" s="194" t="str">
        <f>IF(AND($E24&lt;&gt;0,O$15&lt;&gt;"",$E24&lt;&gt;""),IF($C$10&lt;&gt;"",SUMIFS(SubsidieTabel_DB!$S:$S,SubsidieTabel_DB!$A:$A,O$15,SubsidieTabel_DB!$B:$B,$B24),SUMIFS(SubsidieTabel_DB!$F:$F,SubsidieTabel_DB!$A:$A,O$15,SubsidieTabel_DB!$B:$B,$B24)),"")</f>
        <v/>
      </c>
      <c r="P24" s="194" t="str">
        <f>IF(AND($E24&lt;&gt;0,P$15&lt;&gt;"",$E24&lt;&gt;""),IF($C$10&lt;&gt;"",SUMIFS(SubsidieTabel_DB!$S:$S,SubsidieTabel_DB!$A:$A,P$15,SubsidieTabel_DB!$B:$B,$B24),SUMIFS(SubsidieTabel_DB!$F:$F,SubsidieTabel_DB!$A:$A,P$15,SubsidieTabel_DB!$B:$B,$B24)),"")</f>
        <v/>
      </c>
      <c r="Q24" s="194" t="str">
        <f>IF(AND($E24&lt;&gt;0,Q$15&lt;&gt;"",$E24&lt;&gt;""),IF($C$10&lt;&gt;"",SUMIFS(SubsidieTabel_DB!$S:$S,SubsidieTabel_DB!$A:$A,Q$15,SubsidieTabel_DB!$B:$B,$B24),SUMIFS(SubsidieTabel_DB!$F:$F,SubsidieTabel_DB!$A:$A,Q$15,SubsidieTabel_DB!$B:$B,$B24)),"")</f>
        <v/>
      </c>
      <c r="R24" s="194" t="str">
        <f>IF(AND($E24&lt;&gt;0,R$15&lt;&gt;"",$E24&lt;&gt;""),IF($C$10&lt;&gt;"",SUMIFS(SubsidieTabel_DB!$S:$S,SubsidieTabel_DB!$A:$A,R$15,SubsidieTabel_DB!$B:$B,$B24),SUMIFS(SubsidieTabel_DB!$F:$F,SubsidieTabel_DB!$A:$A,R$15,SubsidieTabel_DB!$B:$B,$B24)),"")</f>
        <v/>
      </c>
      <c r="S24" s="194"/>
    </row>
    <row r="25" spans="1:19" ht="15" customHeight="1" x14ac:dyDescent="0.25">
      <c r="A25" s="37"/>
      <c r="B25" s="6"/>
      <c r="C25" s="194" t="str">
        <f>IF(B25="","",SUMIF(Tb_ProjectKosten[Begroting],'6. Begrotingsoverzicht'!B20,Tb_ProjectKosten[Kosten_Beoordeeld]))</f>
        <v/>
      </c>
      <c r="D25" s="194" t="str">
        <f>'Beoordeeld begrotingsoverzicht'!E20</f>
        <v/>
      </c>
      <c r="E25" s="194" t="str">
        <f>IF(B25="","",SUMIFS('8. Uitgaven betaalverzoek'!W:W,'8. Uitgaven betaalverzoek'!F:F,B25,'8. Uitgaven betaalverzoek'!A:A,"&lt;&gt;"""))</f>
        <v/>
      </c>
      <c r="F25" s="194" t="str">
        <f>IF(B25="","",SUMIFS('8. Uitgaven betaalverzoek'!X:X,'8. Uitgaven betaalverzoek'!F:F,B25,'8. Uitgaven betaalverzoek'!A:A,"&lt;&gt;"""))</f>
        <v/>
      </c>
      <c r="G25" s="194" t="str">
        <f>IF(B25&lt;&gt;"",SUMIF(Tb_DBKostenBEO[],B25,Tb_DBKostenBEO[Deelbetaling_Aanvraag]),"")</f>
        <v/>
      </c>
      <c r="H25" s="194" t="str">
        <f>IF(B25&lt;&gt;"",SUMIF(Tb_DBKostenBEO[],B25,Tb_DBKostenBEO[Deelbetaling_Beoordeeld]),"")</f>
        <v/>
      </c>
      <c r="I25" s="194" t="str">
        <f ca="1">IF(AND($E25&lt;&gt;0,I$15&lt;&gt;"",$E25&lt;&gt;""),IF($C$10&lt;&gt;"",SUMIFS(SubsidieTabel_DB!$S:$S,SubsidieTabel_DB!$A:$A,I$15,SubsidieTabel_DB!$B:$B,$B25),SUMIFS(SubsidieTabel_DB!$F:$F,SubsidieTabel_DB!$A:$A,I$15,SubsidieTabel_DB!$B:$B,$B25)),"")</f>
        <v/>
      </c>
      <c r="J25" s="194" t="str">
        <f>IF(AND($E25&lt;&gt;0,J$15&lt;&gt;"",$E25&lt;&gt;""),IF($C$10&lt;&gt;"",SUMIFS(SubsidieTabel_DB!$S:$S,SubsidieTabel_DB!$A:$A,J$15,SubsidieTabel_DB!$B:$B,$B25),SUMIFS(SubsidieTabel_DB!$F:$F,SubsidieTabel_DB!$A:$A,J$15,SubsidieTabel_DB!$B:$B,$B25)),"")</f>
        <v/>
      </c>
      <c r="K25" s="194" t="str">
        <f>IF(AND($E25&lt;&gt;0,K$15&lt;&gt;"",$E25&lt;&gt;""),IF($C$10&lt;&gt;"",SUMIFS(SubsidieTabel_DB!$S:$S,SubsidieTabel_DB!$A:$A,K$15,SubsidieTabel_DB!$B:$B,$B25),SUMIFS(SubsidieTabel_DB!$F:$F,SubsidieTabel_DB!$A:$A,K$15,SubsidieTabel_DB!$B:$B,$B25)),"")</f>
        <v/>
      </c>
      <c r="L25" s="194" t="str">
        <f>IF(AND($E25&lt;&gt;0,L$15&lt;&gt;"",$E25&lt;&gt;""),IF($C$10&lt;&gt;"",SUMIFS(SubsidieTabel_DB!$S:$S,SubsidieTabel_DB!$A:$A,L$15,SubsidieTabel_DB!$B:$B,$B25),SUMIFS(SubsidieTabel_DB!$F:$F,SubsidieTabel_DB!$A:$A,L$15,SubsidieTabel_DB!$B:$B,$B25)),"")</f>
        <v/>
      </c>
      <c r="M25" s="194" t="str">
        <f>IF(AND($E25&lt;&gt;0,M$15&lt;&gt;"",$E25&lt;&gt;""),IF($C$10&lt;&gt;"",SUMIFS(SubsidieTabel_DB!$S:$S,SubsidieTabel_DB!$A:$A,M$15,SubsidieTabel_DB!$B:$B,$B25),SUMIFS(SubsidieTabel_DB!$F:$F,SubsidieTabel_DB!$A:$A,M$15,SubsidieTabel_DB!$B:$B,$B25)),"")</f>
        <v/>
      </c>
      <c r="N25" s="194" t="str">
        <f>IF(AND($E25&lt;&gt;0,N$15&lt;&gt;"",$E25&lt;&gt;""),IF($C$10&lt;&gt;"",SUMIFS(SubsidieTabel_DB!$S:$S,SubsidieTabel_DB!$A:$A,N$15,SubsidieTabel_DB!$B:$B,$B25),SUMIFS(SubsidieTabel_DB!$F:$F,SubsidieTabel_DB!$A:$A,N$15,SubsidieTabel_DB!$B:$B,$B25)),"")</f>
        <v/>
      </c>
      <c r="O25" s="194" t="str">
        <f>IF(AND($E25&lt;&gt;0,O$15&lt;&gt;"",$E25&lt;&gt;""),IF($C$10&lt;&gt;"",SUMIFS(SubsidieTabel_DB!$S:$S,SubsidieTabel_DB!$A:$A,O$15,SubsidieTabel_DB!$B:$B,$B25),SUMIFS(SubsidieTabel_DB!$F:$F,SubsidieTabel_DB!$A:$A,O$15,SubsidieTabel_DB!$B:$B,$B25)),"")</f>
        <v/>
      </c>
      <c r="P25" s="194" t="str">
        <f>IF(AND($E25&lt;&gt;0,P$15&lt;&gt;"",$E25&lt;&gt;""),IF($C$10&lt;&gt;"",SUMIFS(SubsidieTabel_DB!$S:$S,SubsidieTabel_DB!$A:$A,P$15,SubsidieTabel_DB!$B:$B,$B25),SUMIFS(SubsidieTabel_DB!$F:$F,SubsidieTabel_DB!$A:$A,P$15,SubsidieTabel_DB!$B:$B,$B25)),"")</f>
        <v/>
      </c>
      <c r="Q25" s="194" t="str">
        <f>IF(AND($E25&lt;&gt;0,Q$15&lt;&gt;"",$E25&lt;&gt;""),IF($C$10&lt;&gt;"",SUMIFS(SubsidieTabel_DB!$S:$S,SubsidieTabel_DB!$A:$A,Q$15,SubsidieTabel_DB!$B:$B,$B25),SUMIFS(SubsidieTabel_DB!$F:$F,SubsidieTabel_DB!$A:$A,Q$15,SubsidieTabel_DB!$B:$B,$B25)),"")</f>
        <v/>
      </c>
      <c r="R25" s="194" t="str">
        <f>IF(AND($E25&lt;&gt;0,R$15&lt;&gt;"",$E25&lt;&gt;""),IF($C$10&lt;&gt;"",SUMIFS(SubsidieTabel_DB!$S:$S,SubsidieTabel_DB!$A:$A,R$15,SubsidieTabel_DB!$B:$B,$B25),SUMIFS(SubsidieTabel_DB!$F:$F,SubsidieTabel_DB!$A:$A,R$15,SubsidieTabel_DB!$B:$B,$B25)),"")</f>
        <v/>
      </c>
      <c r="S25" s="194"/>
    </row>
    <row r="26" spans="1:19" ht="15" customHeight="1" x14ac:dyDescent="0.25">
      <c r="A26" s="37"/>
      <c r="B26" s="6"/>
      <c r="C26" s="194" t="str">
        <f>IF(B26="","",SUMIF(Tb_ProjectKosten[Begroting],'6. Begrotingsoverzicht'!B21,Tb_ProjectKosten[Kosten_Beoordeeld]))</f>
        <v/>
      </c>
      <c r="D26" s="194" t="str">
        <f>'Beoordeeld begrotingsoverzicht'!E21</f>
        <v/>
      </c>
      <c r="E26" s="194" t="str">
        <f>IF(B26="","",SUMIFS('8. Uitgaven betaalverzoek'!W:W,'8. Uitgaven betaalverzoek'!F:F,B26,'8. Uitgaven betaalverzoek'!A:A,"&lt;&gt;"""))</f>
        <v/>
      </c>
      <c r="F26" s="194" t="str">
        <f>IF(B26="","",SUMIFS('8. Uitgaven betaalverzoek'!X:X,'8. Uitgaven betaalverzoek'!F:F,B26,'8. Uitgaven betaalverzoek'!A:A,"&lt;&gt;"""))</f>
        <v/>
      </c>
      <c r="G26" s="194" t="str">
        <f>IF(B26&lt;&gt;"",SUMIF(Tb_DBKostenBEO[],B26,Tb_DBKostenBEO[Deelbetaling_Aanvraag]),"")</f>
        <v/>
      </c>
      <c r="H26" s="194" t="str">
        <f>IF(B26&lt;&gt;"",SUMIF(Tb_DBKostenBEO[],B26,Tb_DBKostenBEO[Deelbetaling_Beoordeeld]),"")</f>
        <v/>
      </c>
      <c r="I26" s="194" t="str">
        <f ca="1">IF(AND($E26&lt;&gt;0,I$15&lt;&gt;"",$E26&lt;&gt;""),IF($C$10&lt;&gt;"",SUMIFS(SubsidieTabel_DB!$S:$S,SubsidieTabel_DB!$A:$A,I$15,SubsidieTabel_DB!$B:$B,$B26),SUMIFS(SubsidieTabel_DB!$F:$F,SubsidieTabel_DB!$A:$A,I$15,SubsidieTabel_DB!$B:$B,$B26)),"")</f>
        <v/>
      </c>
      <c r="J26" s="194" t="str">
        <f>IF(AND($E26&lt;&gt;0,J$15&lt;&gt;"",$E26&lt;&gt;""),IF($C$10&lt;&gt;"",SUMIFS(SubsidieTabel_DB!$S:$S,SubsidieTabel_DB!$A:$A,J$15,SubsidieTabel_DB!$B:$B,$B26),SUMIFS(SubsidieTabel_DB!$F:$F,SubsidieTabel_DB!$A:$A,J$15,SubsidieTabel_DB!$B:$B,$B26)),"")</f>
        <v/>
      </c>
      <c r="K26" s="194" t="str">
        <f>IF(AND($E26&lt;&gt;0,K$15&lt;&gt;"",$E26&lt;&gt;""),IF($C$10&lt;&gt;"",SUMIFS(SubsidieTabel_DB!$S:$S,SubsidieTabel_DB!$A:$A,K$15,SubsidieTabel_DB!$B:$B,$B26),SUMIFS(SubsidieTabel_DB!$F:$F,SubsidieTabel_DB!$A:$A,K$15,SubsidieTabel_DB!$B:$B,$B26)),"")</f>
        <v/>
      </c>
      <c r="L26" s="194" t="str">
        <f>IF(AND($E26&lt;&gt;0,L$15&lt;&gt;"",$E26&lt;&gt;""),IF($C$10&lt;&gt;"",SUMIFS(SubsidieTabel_DB!$S:$S,SubsidieTabel_DB!$A:$A,L$15,SubsidieTabel_DB!$B:$B,$B26),SUMIFS(SubsidieTabel_DB!$F:$F,SubsidieTabel_DB!$A:$A,L$15,SubsidieTabel_DB!$B:$B,$B26)),"")</f>
        <v/>
      </c>
      <c r="M26" s="194" t="str">
        <f>IF(AND($E26&lt;&gt;0,M$15&lt;&gt;"",$E26&lt;&gt;""),IF($C$10&lt;&gt;"",SUMIFS(SubsidieTabel_DB!$S:$S,SubsidieTabel_DB!$A:$A,M$15,SubsidieTabel_DB!$B:$B,$B26),SUMIFS(SubsidieTabel_DB!$F:$F,SubsidieTabel_DB!$A:$A,M$15,SubsidieTabel_DB!$B:$B,$B26)),"")</f>
        <v/>
      </c>
      <c r="N26" s="194" t="str">
        <f>IF(AND($E26&lt;&gt;0,N$15&lt;&gt;"",$E26&lt;&gt;""),IF($C$10&lt;&gt;"",SUMIFS(SubsidieTabel_DB!$S:$S,SubsidieTabel_DB!$A:$A,N$15,SubsidieTabel_DB!$B:$B,$B26),SUMIFS(SubsidieTabel_DB!$F:$F,SubsidieTabel_DB!$A:$A,N$15,SubsidieTabel_DB!$B:$B,$B26)),"")</f>
        <v/>
      </c>
      <c r="O26" s="194" t="str">
        <f>IF(AND($E26&lt;&gt;0,O$15&lt;&gt;"",$E26&lt;&gt;""),IF($C$10&lt;&gt;"",SUMIFS(SubsidieTabel_DB!$S:$S,SubsidieTabel_DB!$A:$A,O$15,SubsidieTabel_DB!$B:$B,$B26),SUMIFS(SubsidieTabel_DB!$F:$F,SubsidieTabel_DB!$A:$A,O$15,SubsidieTabel_DB!$B:$B,$B26)),"")</f>
        <v/>
      </c>
      <c r="P26" s="194" t="str">
        <f>IF(AND($E26&lt;&gt;0,P$15&lt;&gt;"",$E26&lt;&gt;""),IF($C$10&lt;&gt;"",SUMIFS(SubsidieTabel_DB!$S:$S,SubsidieTabel_DB!$A:$A,P$15,SubsidieTabel_DB!$B:$B,$B26),SUMIFS(SubsidieTabel_DB!$F:$F,SubsidieTabel_DB!$A:$A,P$15,SubsidieTabel_DB!$B:$B,$B26)),"")</f>
        <v/>
      </c>
      <c r="Q26" s="194" t="str">
        <f>IF(AND($E26&lt;&gt;0,Q$15&lt;&gt;"",$E26&lt;&gt;""),IF($C$10&lt;&gt;"",SUMIFS(SubsidieTabel_DB!$S:$S,SubsidieTabel_DB!$A:$A,Q$15,SubsidieTabel_DB!$B:$B,$B26),SUMIFS(SubsidieTabel_DB!$F:$F,SubsidieTabel_DB!$A:$A,Q$15,SubsidieTabel_DB!$B:$B,$B26)),"")</f>
        <v/>
      </c>
      <c r="R26" s="194" t="str">
        <f>IF(AND($E26&lt;&gt;0,R$15&lt;&gt;"",$E26&lt;&gt;""),IF($C$10&lt;&gt;"",SUMIFS(SubsidieTabel_DB!$S:$S,SubsidieTabel_DB!$A:$A,R$15,SubsidieTabel_DB!$B:$B,$B26),SUMIFS(SubsidieTabel_DB!$F:$F,SubsidieTabel_DB!$A:$A,R$15,SubsidieTabel_DB!$B:$B,$B26)),"")</f>
        <v/>
      </c>
      <c r="S26" s="194"/>
    </row>
    <row r="27" spans="1:19" ht="15" customHeight="1" x14ac:dyDescent="0.25">
      <c r="A27" s="37"/>
      <c r="B27" s="7" t="s">
        <v>103</v>
      </c>
      <c r="C27" s="143">
        <f ca="1">SUM(C16:C26)</f>
        <v>0</v>
      </c>
      <c r="D27" s="143">
        <f ca="1">ROUND(SUM(D16:D26),2)</f>
        <v>0</v>
      </c>
      <c r="E27" s="143">
        <f ca="1">ROUND(SUM(E16:E26),2)</f>
        <v>0</v>
      </c>
      <c r="F27" s="143">
        <f ca="1">ROUND(SUM(F16:F26),2)</f>
        <v>0</v>
      </c>
      <c r="G27" s="262">
        <f ca="1">SUM(G16:G26)</f>
        <v>0</v>
      </c>
      <c r="H27" s="262">
        <f ca="1">SUM(H16:H26)</f>
        <v>0</v>
      </c>
      <c r="I27" s="195" t="str">
        <f ca="1">IF(SUM(I16:I26)=0,"",SUM(I16:I26))</f>
        <v/>
      </c>
      <c r="J27" s="195" t="str">
        <f t="shared" ref="J27:R27" ca="1" si="0">IF(SUM(J16:J26)=0,"",SUM(J16:J26))</f>
        <v/>
      </c>
      <c r="K27" s="195" t="str">
        <f t="shared" ca="1" si="0"/>
        <v/>
      </c>
      <c r="L27" s="195" t="str">
        <f t="shared" ca="1" si="0"/>
        <v/>
      </c>
      <c r="M27" s="195" t="str">
        <f t="shared" ca="1" si="0"/>
        <v/>
      </c>
      <c r="N27" s="195" t="str">
        <f t="shared" ca="1" si="0"/>
        <v/>
      </c>
      <c r="O27" s="195" t="str">
        <f t="shared" ca="1" si="0"/>
        <v/>
      </c>
      <c r="P27" s="195" t="str">
        <f t="shared" ca="1" si="0"/>
        <v/>
      </c>
      <c r="Q27" s="195" t="str">
        <f t="shared" ca="1" si="0"/>
        <v/>
      </c>
      <c r="R27" s="195" t="str">
        <f t="shared" ca="1" si="0"/>
        <v/>
      </c>
      <c r="S27" s="194"/>
    </row>
    <row r="28" spans="1:19" s="26" customFormat="1" ht="15" customHeight="1" x14ac:dyDescent="0.25">
      <c r="A28" s="40"/>
      <c r="B28" s="106" t="str" cm="1">
        <f t="array" ref="B28">_xlfn.IFS(OR($C$8="",$C$8="Geen vereenvoudigde kostenoptie"),"Geen forfait",$C$8="Vereenvoudigde kostenoptie voor overige kosten","Forfait voor overige kosten",$C$8="Vereenvoudigde kostenoptie voor arbeidskosten","Forfait voor arbeidskosten")</f>
        <v>Geen forfait</v>
      </c>
      <c r="C28" s="104" t="str">
        <f>IF(SUM(Tb_ProjectKosten[Forfait_Bedrag])&gt;0,ROUND(SUM(Tb_ProjectKosten[Forfait_Bedrag_Beoordeeld]),2),"")</f>
        <v/>
      </c>
      <c r="D28" s="104" t="str">
        <f ca="1">'Beoordeeld begrotingsoverzicht'!E23</f>
        <v/>
      </c>
      <c r="E28" s="105" t="str">
        <f ca="1">IF(SUMIFS('8. Uitgaven betaalverzoek'!$Z:$Z,'8. Uitgaven betaalverzoek'!$A:$A,"&lt;&gt;""")&gt;0,ROUND(SUMIFS('8. Uitgaven betaalverzoek'!$Z:$Z,'8. Uitgaven betaalverzoek'!$A:$A,"&lt;&gt;"""),2),"")</f>
        <v/>
      </c>
      <c r="F28" s="105" t="str">
        <f ca="1">IF(SUMIFS('8. Uitgaven betaalverzoek'!$AA:$AA,'8. Uitgaven betaalverzoek'!$A:$A,"&lt;&gt;""")&gt;0,ROUND(SUMIFS('8. Uitgaven betaalverzoek'!$AA:$AA,'8. Uitgaven betaalverzoek'!$A:$A,"&lt;&gt;"""),2),"")</f>
        <v/>
      </c>
      <c r="G28" s="105" t="str">
        <f>IF(SUM(Tb_DBKostenBEO[Forfait_Bedrag])&gt;0,ROUND(SUM(Tb_DBKostenBEO[Forfait_Bedrag]),2),"")</f>
        <v/>
      </c>
      <c r="H28" s="105" t="str">
        <f>IF(SUM(Tb_DBKostenBEO[Forfait_Bedrag_Beoordeeld])&gt;0,ROUND(SUM(Tb_DBKostenBEO[Forfait_Bedrag_Beoordeeld]),2),"")</f>
        <v/>
      </c>
      <c r="I28" s="194" t="str">
        <f ca="1">IF(AND($E28&lt;&gt;"",I$15&lt;&gt;""),IF($C$10&lt;&gt;"",SUMIFS(SubsidieTabel_DB!$U:$U,SubsidieTabel_DB!$A:$A,I$15),ROUND(SUMIFS(SubsidieTabel_DB!$H:$H,SubsidieTabel_DB!$A:$A,I$15),2)),"")</f>
        <v/>
      </c>
      <c r="J28" s="194" t="str">
        <f ca="1">IF(AND($E28&lt;&gt;"",J$15&lt;&gt;""),IF($C$10&lt;&gt;"",SUMIFS(SubsidieTabel_DB!$U:$U,SubsidieTabel_DB!$A:$A,J$15),ROUND(SUMIFS(SubsidieTabel_DB!$H:$H,SubsidieTabel_DB!$A:$A,J$15),2)),"")</f>
        <v/>
      </c>
      <c r="K28" s="194" t="str">
        <f ca="1">IF(AND($E28&lt;&gt;"",K$15&lt;&gt;""),IF($C$10&lt;&gt;"",SUMIFS(SubsidieTabel_DB!$U:$U,SubsidieTabel_DB!$A:$A,K$15),ROUND(SUMIFS(SubsidieTabel_DB!$H:$H,SubsidieTabel_DB!$A:$A,K$15),2)),"")</f>
        <v/>
      </c>
      <c r="L28" s="194" t="str">
        <f ca="1">IF(AND($E28&lt;&gt;"",L$15&lt;&gt;""),IF($C$10&lt;&gt;"",SUMIFS(SubsidieTabel_DB!$U:$U,SubsidieTabel_DB!$A:$A,L$15),ROUND(SUMIFS(SubsidieTabel_DB!$H:$H,SubsidieTabel_DB!$A:$A,L$15),2)),"")</f>
        <v/>
      </c>
      <c r="M28" s="194" t="str">
        <f ca="1">IF(AND($E28&lt;&gt;"",M$15&lt;&gt;""),IF($C$10&lt;&gt;"",SUMIFS(SubsidieTabel_DB!$U:$U,SubsidieTabel_DB!$A:$A,M$15),ROUND(SUMIFS(SubsidieTabel_DB!$H:$H,SubsidieTabel_DB!$A:$A,M$15),2)),"")</f>
        <v/>
      </c>
      <c r="N28" s="194" t="str">
        <f ca="1">IF(AND($E28&lt;&gt;"",N$15&lt;&gt;""),IF($C$10&lt;&gt;"",SUMIFS(SubsidieTabel_DB!$U:$U,SubsidieTabel_DB!$A:$A,N$15),ROUND(SUMIFS(SubsidieTabel_DB!$H:$H,SubsidieTabel_DB!$A:$A,N$15),2)),"")</f>
        <v/>
      </c>
      <c r="O28" s="194" t="str">
        <f ca="1">IF(AND($E28&lt;&gt;"",O$15&lt;&gt;""),IF($C$10&lt;&gt;"",SUMIFS(SubsidieTabel_DB!$U:$U,SubsidieTabel_DB!$A:$A,O$15),ROUND(SUMIFS(SubsidieTabel_DB!$H:$H,SubsidieTabel_DB!$A:$A,O$15),2)),"")</f>
        <v/>
      </c>
      <c r="P28" s="194" t="str">
        <f ca="1">IF(AND($E28&lt;&gt;"",P$15&lt;&gt;""),IF($C$10&lt;&gt;"",SUMIFS(SubsidieTabel_DB!$U:$U,SubsidieTabel_DB!$A:$A,P$15),ROUND(SUMIFS(SubsidieTabel_DB!$H:$H,SubsidieTabel_DB!$A:$A,P$15),2)),"")</f>
        <v/>
      </c>
      <c r="Q28" s="194" t="str">
        <f ca="1">IF(AND($E28&lt;&gt;"",Q$15&lt;&gt;""),IF($C$10&lt;&gt;"",SUMIFS(SubsidieTabel_DB!$U:$U,SubsidieTabel_DB!$A:$A,Q$15),ROUND(SUMIFS(SubsidieTabel_DB!$H:$H,SubsidieTabel_DB!$A:$A,Q$15),2)),"")</f>
        <v/>
      </c>
      <c r="R28" s="194" t="str">
        <f ca="1">IF(AND($E28&lt;&gt;"",R$15&lt;&gt;""),IF($C$10&lt;&gt;"",SUMIFS(SubsidieTabel_DB!$U:$U,SubsidieTabel_DB!$A:$A,R$15),ROUND(SUMIFS(SubsidieTabel_DB!$H:$H,SubsidieTabel_DB!$A:$A,R$15),2)),"")</f>
        <v/>
      </c>
      <c r="S28" s="194"/>
    </row>
    <row r="29" spans="1:19" s="26" customFormat="1" ht="15" customHeight="1" x14ac:dyDescent="0.25">
      <c r="A29" s="40"/>
      <c r="B29" s="141" t="s">
        <v>79</v>
      </c>
      <c r="C29" s="143">
        <f t="shared" ref="C29:H29" ca="1" si="1">SUM(C27:C28)</f>
        <v>0</v>
      </c>
      <c r="D29" s="143">
        <f t="shared" ca="1" si="1"/>
        <v>0</v>
      </c>
      <c r="E29" s="143">
        <f t="shared" ca="1" si="1"/>
        <v>0</v>
      </c>
      <c r="F29" s="143">
        <f t="shared" ca="1" si="1"/>
        <v>0</v>
      </c>
      <c r="G29" s="143">
        <f t="shared" ca="1" si="1"/>
        <v>0</v>
      </c>
      <c r="H29" s="143">
        <f t="shared" ca="1" si="1"/>
        <v>0</v>
      </c>
      <c r="I29" s="195" t="str">
        <f ca="1">IF(SUM(I27:I28)=0,"",SUM(I27:I28))</f>
        <v/>
      </c>
      <c r="J29" s="195" t="str">
        <f t="shared" ref="J29:R29" ca="1" si="2">IF(SUM(J27:J28)=0,"",SUM(J27:J28))</f>
        <v/>
      </c>
      <c r="K29" s="195" t="str">
        <f t="shared" ca="1" si="2"/>
        <v/>
      </c>
      <c r="L29" s="195" t="str">
        <f t="shared" ca="1" si="2"/>
        <v/>
      </c>
      <c r="M29" s="195" t="str">
        <f t="shared" ca="1" si="2"/>
        <v/>
      </c>
      <c r="N29" s="195" t="str">
        <f t="shared" ca="1" si="2"/>
        <v/>
      </c>
      <c r="O29" s="195" t="str">
        <f t="shared" ca="1" si="2"/>
        <v/>
      </c>
      <c r="P29" s="195" t="str">
        <f t="shared" ca="1" si="2"/>
        <v/>
      </c>
      <c r="Q29" s="195" t="str">
        <f t="shared" ca="1" si="2"/>
        <v/>
      </c>
      <c r="R29" s="195" t="str">
        <f t="shared" ca="1" si="2"/>
        <v/>
      </c>
      <c r="S29" s="195"/>
    </row>
    <row r="30" spans="1:19" s="26" customFormat="1" ht="6" customHeight="1" x14ac:dyDescent="0.25">
      <c r="A30" s="40"/>
      <c r="B30" s="37"/>
      <c r="C30" s="37"/>
      <c r="D30" s="38"/>
      <c r="E30" s="40"/>
      <c r="F30" s="40"/>
      <c r="G30" s="40"/>
      <c r="H30" s="40"/>
      <c r="I30" s="40"/>
      <c r="J30" s="40"/>
      <c r="K30" s="40"/>
      <c r="L30" s="40"/>
      <c r="M30" s="40"/>
      <c r="N30" s="40"/>
      <c r="O30" s="40"/>
      <c r="P30" s="40"/>
      <c r="Q30" s="40"/>
      <c r="R30" s="40"/>
      <c r="S30" s="40"/>
    </row>
    <row r="31" spans="1:19" s="26" customFormat="1" ht="6" customHeight="1" x14ac:dyDescent="0.25">
      <c r="A31" s="40"/>
      <c r="B31" s="37"/>
      <c r="C31" s="39"/>
      <c r="D31" s="145"/>
      <c r="E31" s="40"/>
      <c r="F31" s="40"/>
      <c r="G31" s="40"/>
      <c r="H31" s="40"/>
      <c r="I31" s="40"/>
      <c r="J31" s="40"/>
      <c r="K31" s="40"/>
      <c r="L31" s="40"/>
      <c r="M31" s="40"/>
      <c r="N31" s="40"/>
      <c r="O31" s="40"/>
      <c r="P31" s="40"/>
      <c r="Q31" s="40"/>
      <c r="R31" s="40"/>
      <c r="S31" s="40"/>
    </row>
    <row r="32" spans="1:19" ht="6" customHeight="1" x14ac:dyDescent="0.25">
      <c r="A32" s="37"/>
      <c r="B32" s="40"/>
      <c r="C32" s="40"/>
      <c r="D32" s="41"/>
      <c r="F32" s="37"/>
      <c r="G32" s="37"/>
      <c r="H32" s="37"/>
      <c r="I32" s="37"/>
      <c r="J32" s="37"/>
      <c r="K32" s="37"/>
      <c r="L32" s="37"/>
      <c r="M32" s="37"/>
      <c r="N32" s="37"/>
      <c r="O32" s="37"/>
      <c r="P32" s="37"/>
      <c r="Q32" s="37"/>
      <c r="R32" s="37"/>
      <c r="S32" s="37"/>
    </row>
    <row r="33" spans="1:19" ht="15" customHeight="1" x14ac:dyDescent="0.25">
      <c r="A33" s="37"/>
      <c r="B33" s="454" t="str">
        <f>"TOTALE BEOORDEELDE UITGAVEN AANGEVRAAGD BETAALVERZOEK ("&amp;Keuze_DB_Nr_BEO&amp;")"</f>
        <v>TOTALE BEOORDEELDE UITGAVEN AANGEVRAAGD BETAALVERZOEK ()</v>
      </c>
      <c r="C33" s="455"/>
      <c r="D33" s="455"/>
      <c r="E33" s="456"/>
      <c r="F33" s="37"/>
      <c r="G33" s="37"/>
      <c r="H33" s="37"/>
      <c r="I33" s="37"/>
      <c r="J33" s="37"/>
      <c r="K33" s="37"/>
      <c r="L33" s="37"/>
      <c r="M33" s="37"/>
      <c r="N33" s="37"/>
      <c r="O33" s="37"/>
      <c r="P33" s="37"/>
      <c r="Q33" s="37"/>
      <c r="R33" s="37"/>
      <c r="S33" s="37"/>
    </row>
    <row r="34" spans="1:19" s="26" customFormat="1" ht="15" customHeight="1" x14ac:dyDescent="0.25">
      <c r="A34" s="40"/>
      <c r="B34" s="196" t="s">
        <v>152</v>
      </c>
      <c r="C34" s="197" t="s">
        <v>188</v>
      </c>
      <c r="D34" s="197" t="s">
        <v>1</v>
      </c>
      <c r="E34" s="197" t="s">
        <v>130</v>
      </c>
      <c r="F34" s="40"/>
      <c r="G34" s="40"/>
      <c r="H34" s="40"/>
      <c r="I34" s="40"/>
      <c r="J34" s="40"/>
      <c r="K34" s="40"/>
      <c r="L34" s="40"/>
      <c r="M34" s="40"/>
      <c r="N34" s="40"/>
      <c r="O34" s="40"/>
      <c r="P34" s="40"/>
      <c r="Q34" s="40"/>
      <c r="R34" s="40"/>
      <c r="S34" s="40"/>
    </row>
    <row r="35" spans="1:19" ht="15" customHeight="1" x14ac:dyDescent="0.25">
      <c r="A35" s="37"/>
      <c r="B35" s="367" t="str" cm="1">
        <f t="array" aca="1" ref="B35" ca="1">Activiteiten_Uniek_Sort_DB</f>
        <v/>
      </c>
      <c r="C35" s="89" t="str">
        <f ca="1">IF(B35&lt;&gt;"",SUMIFS(SubsidieTabel_DB!$S:$S,SubsidieTabel_DB!$A:$A,B35)+SUMIFS(SubsidieTabel_DB!$U:$U,SubsidieTabel_DB!$A:$A,B35),"")</f>
        <v/>
      </c>
      <c r="D35" s="90" t="str">
        <f ca="1">IFERROR(VLOOKUP(B35,Lijsten!$AK:$AL,2,0),"")</f>
        <v/>
      </c>
      <c r="E35" s="89" t="str">
        <f ca="1">IF(PRODUCT(C35,D35)&lt;&gt;0,PRODUCT(C35,D35),"")</f>
        <v/>
      </c>
      <c r="F35" s="37"/>
      <c r="G35" s="37"/>
      <c r="H35" s="37"/>
      <c r="I35" s="37"/>
      <c r="J35" s="37"/>
      <c r="K35" s="37"/>
      <c r="L35" s="37"/>
      <c r="M35" s="37"/>
      <c r="N35" s="37"/>
      <c r="O35" s="37"/>
      <c r="P35" s="37"/>
      <c r="Q35" s="37"/>
      <c r="R35" s="37"/>
      <c r="S35" s="37"/>
    </row>
    <row r="36" spans="1:19" ht="15" customHeight="1" x14ac:dyDescent="0.25">
      <c r="A36" s="37"/>
      <c r="B36" s="367"/>
      <c r="C36" s="89" t="str">
        <f>IF(B36&lt;&gt;"",SUMIFS(SubsidieTabel_DB!$S:$S,SubsidieTabel_DB!$A:$A,B36)+SUMIFS(SubsidieTabel_DB!$U:$U,SubsidieTabel_DB!$A:$A,B36),"")</f>
        <v/>
      </c>
      <c r="D36" s="90" t="str">
        <f>IFERROR(VLOOKUP(B36,Lijsten!$AK:$AL,2,0),"")</f>
        <v/>
      </c>
      <c r="E36" s="89" t="str">
        <f t="shared" ref="E36:E44" si="3">IF(PRODUCT(C36,D36)&lt;&gt;0,PRODUCT(C36,D36),"")</f>
        <v/>
      </c>
      <c r="F36" s="37"/>
      <c r="G36" s="37"/>
      <c r="H36" s="37"/>
      <c r="I36" s="37"/>
      <c r="J36" s="37"/>
      <c r="K36" s="37"/>
      <c r="L36" s="37"/>
      <c r="M36" s="37"/>
      <c r="N36" s="37"/>
      <c r="O36" s="37"/>
      <c r="P36" s="37"/>
      <c r="Q36" s="37"/>
      <c r="R36" s="37"/>
      <c r="S36" s="37"/>
    </row>
    <row r="37" spans="1:19" ht="15" customHeight="1" x14ac:dyDescent="0.25">
      <c r="A37" s="37"/>
      <c r="B37" s="367"/>
      <c r="C37" s="89" t="str">
        <f>IF(B37&lt;&gt;"",SUMIFS(SubsidieTabel_DB!$S:$S,SubsidieTabel_DB!$A:$A,B37)+SUMIFS(SubsidieTabel_DB!$U:$U,SubsidieTabel_DB!$A:$A,B37),"")</f>
        <v/>
      </c>
      <c r="D37" s="90" t="str">
        <f>IFERROR(VLOOKUP(B37,Lijsten!$AK:$AL,2,0),"")</f>
        <v/>
      </c>
      <c r="E37" s="89" t="str">
        <f t="shared" si="3"/>
        <v/>
      </c>
      <c r="F37" s="37"/>
      <c r="G37" s="37"/>
      <c r="H37" s="37"/>
      <c r="I37" s="37"/>
      <c r="J37" s="37"/>
      <c r="K37" s="37"/>
      <c r="L37" s="37"/>
      <c r="M37" s="37"/>
      <c r="N37" s="37"/>
      <c r="O37" s="37"/>
      <c r="P37" s="37"/>
      <c r="Q37" s="37"/>
      <c r="R37" s="37"/>
      <c r="S37" s="37"/>
    </row>
    <row r="38" spans="1:19" ht="15" customHeight="1" x14ac:dyDescent="0.25">
      <c r="A38" s="37"/>
      <c r="B38" s="367"/>
      <c r="C38" s="89" t="str">
        <f>IF(B38&lt;&gt;"",SUMIFS(SubsidieTabel_DB!$S:$S,SubsidieTabel_DB!$A:$A,B38)+SUMIFS(SubsidieTabel_DB!$U:$U,SubsidieTabel_DB!$A:$A,B38),"")</f>
        <v/>
      </c>
      <c r="D38" s="90" t="str">
        <f>IFERROR(VLOOKUP(B38,Lijsten!$AK:$AL,2,0),"")</f>
        <v/>
      </c>
      <c r="E38" s="89" t="str">
        <f t="shared" si="3"/>
        <v/>
      </c>
      <c r="F38" s="37"/>
      <c r="G38" s="37"/>
      <c r="H38" s="37"/>
      <c r="I38" s="37"/>
      <c r="J38" s="37"/>
      <c r="K38" s="37"/>
      <c r="L38" s="37"/>
      <c r="M38" s="37"/>
      <c r="N38" s="37"/>
      <c r="O38" s="37"/>
      <c r="P38" s="37"/>
      <c r="Q38" s="37"/>
      <c r="R38" s="37"/>
      <c r="S38" s="37"/>
    </row>
    <row r="39" spans="1:19" ht="15" customHeight="1" x14ac:dyDescent="0.25">
      <c r="A39" s="37"/>
      <c r="B39" s="367"/>
      <c r="C39" s="89" t="str">
        <f>IF(B39&lt;&gt;"",SUMIFS(SubsidieTabel_DB!$S:$S,SubsidieTabel_DB!$A:$A,B39)+SUMIFS(SubsidieTabel_DB!$U:$U,SubsidieTabel_DB!$A:$A,B39),"")</f>
        <v/>
      </c>
      <c r="D39" s="90" t="str">
        <f>IFERROR(VLOOKUP(B39,Lijsten!$AK:$AL,2,0),"")</f>
        <v/>
      </c>
      <c r="E39" s="89" t="str">
        <f t="shared" si="3"/>
        <v/>
      </c>
      <c r="F39" s="37"/>
      <c r="G39" s="37"/>
      <c r="H39" s="37"/>
      <c r="I39" s="37"/>
      <c r="J39" s="37"/>
      <c r="K39" s="37"/>
      <c r="L39" s="37"/>
      <c r="M39" s="37"/>
      <c r="N39" s="37"/>
      <c r="O39" s="37"/>
      <c r="P39" s="37"/>
      <c r="Q39" s="37"/>
      <c r="R39" s="37"/>
      <c r="S39" s="37"/>
    </row>
    <row r="40" spans="1:19" ht="15" customHeight="1" x14ac:dyDescent="0.25">
      <c r="A40" s="37"/>
      <c r="B40" s="367"/>
      <c r="C40" s="89" t="str">
        <f>IF(B40&lt;&gt;"",SUMIFS(SubsidieTabel_DB!$S:$S,SubsidieTabel_DB!$A:$A,B40)+SUMIFS(SubsidieTabel_DB!$U:$U,SubsidieTabel_DB!$A:$A,B40),"")</f>
        <v/>
      </c>
      <c r="D40" s="90" t="str">
        <f>IFERROR(VLOOKUP(B40,Lijsten!$AK:$AL,2,0),"")</f>
        <v/>
      </c>
      <c r="E40" s="89" t="str">
        <f t="shared" si="3"/>
        <v/>
      </c>
      <c r="F40" s="37"/>
      <c r="G40" s="37"/>
      <c r="H40" s="37"/>
      <c r="I40" s="37"/>
      <c r="J40" s="37"/>
      <c r="K40" s="37"/>
      <c r="L40" s="37"/>
      <c r="M40" s="37"/>
      <c r="N40" s="37"/>
      <c r="O40" s="37"/>
      <c r="P40" s="37"/>
      <c r="Q40" s="37"/>
      <c r="R40" s="37"/>
      <c r="S40" s="37"/>
    </row>
    <row r="41" spans="1:19" ht="15" customHeight="1" x14ac:dyDescent="0.25">
      <c r="A41" s="37"/>
      <c r="B41" s="367"/>
      <c r="C41" s="89" t="str">
        <f>IF(B41&lt;&gt;"",SUMIFS(SubsidieTabel_DB!$S:$S,SubsidieTabel_DB!$A:$A,B41)+SUMIFS(SubsidieTabel_DB!$U:$U,SubsidieTabel_DB!$A:$A,B41),"")</f>
        <v/>
      </c>
      <c r="D41" s="90" t="str">
        <f>IFERROR(VLOOKUP(B41,Lijsten!$AK:$AL,2,0),"")</f>
        <v/>
      </c>
      <c r="E41" s="89" t="str">
        <f t="shared" si="3"/>
        <v/>
      </c>
      <c r="F41" s="37"/>
      <c r="G41" s="37"/>
      <c r="H41" s="37"/>
      <c r="I41" s="37"/>
      <c r="J41" s="37"/>
      <c r="K41" s="37"/>
      <c r="L41" s="37"/>
      <c r="M41" s="37"/>
      <c r="N41" s="37"/>
      <c r="O41" s="37"/>
      <c r="P41" s="37"/>
      <c r="Q41" s="37"/>
      <c r="R41" s="37"/>
      <c r="S41" s="37"/>
    </row>
    <row r="42" spans="1:19" ht="15" customHeight="1" x14ac:dyDescent="0.25">
      <c r="A42" s="37"/>
      <c r="B42" s="367"/>
      <c r="C42" s="89" t="str">
        <f>IF(B42&lt;&gt;"",SUMIFS(SubsidieTabel_DB!$S:$S,SubsidieTabel_DB!$A:$A,B42)+SUMIFS(SubsidieTabel_DB!$U:$U,SubsidieTabel_DB!$A:$A,B42),"")</f>
        <v/>
      </c>
      <c r="D42" s="90" t="str">
        <f>IFERROR(VLOOKUP(B42,Lijsten!$AK:$AL,2,0),"")</f>
        <v/>
      </c>
      <c r="E42" s="89" t="str">
        <f t="shared" si="3"/>
        <v/>
      </c>
      <c r="F42" s="37"/>
      <c r="G42" s="37"/>
      <c r="H42" s="37"/>
      <c r="I42" s="37"/>
      <c r="J42" s="37"/>
      <c r="K42" s="37"/>
      <c r="L42" s="37"/>
      <c r="M42" s="37"/>
      <c r="N42" s="37"/>
      <c r="O42" s="37"/>
      <c r="P42" s="37"/>
      <c r="Q42" s="37"/>
      <c r="R42" s="37"/>
      <c r="S42" s="37"/>
    </row>
    <row r="43" spans="1:19" ht="15" customHeight="1" x14ac:dyDescent="0.25">
      <c r="A43" s="37"/>
      <c r="B43" s="367"/>
      <c r="C43" s="89" t="str">
        <f>IF(B43&lt;&gt;"",SUMIFS(SubsidieTabel_DB!$S:$S,SubsidieTabel_DB!$A:$A,B43)+SUMIFS(SubsidieTabel_DB!$U:$U,SubsidieTabel_DB!$A:$A,B43),"")</f>
        <v/>
      </c>
      <c r="D43" s="90" t="str">
        <f>IFERROR(VLOOKUP(B43,Lijsten!$AK:$AL,2,0),"")</f>
        <v/>
      </c>
      <c r="E43" s="89" t="str">
        <f t="shared" si="3"/>
        <v/>
      </c>
      <c r="F43" s="37"/>
      <c r="G43" s="37"/>
      <c r="H43" s="37"/>
      <c r="I43" s="37"/>
      <c r="J43" s="37"/>
      <c r="K43" s="37"/>
      <c r="L43" s="37"/>
      <c r="M43" s="37"/>
      <c r="N43" s="37"/>
      <c r="O43" s="37"/>
      <c r="P43" s="37"/>
      <c r="Q43" s="37"/>
      <c r="R43" s="37"/>
      <c r="S43" s="37"/>
    </row>
    <row r="44" spans="1:19" ht="15" customHeight="1" x14ac:dyDescent="0.25">
      <c r="A44" s="37"/>
      <c r="B44" s="367"/>
      <c r="C44" s="89" t="str">
        <f>IF(B44&lt;&gt;"",SUMIFS(SubsidieTabel_DB!$S:$S,SubsidieTabel_DB!$A:$A,B44)+SUMIFS(SubsidieTabel_DB!$U:$U,SubsidieTabel_DB!$A:$A,B44),"")</f>
        <v/>
      </c>
      <c r="D44" s="90" t="str">
        <f>IFERROR(VLOOKUP(B44,Lijsten!$AK:$AL,2,0),"")</f>
        <v/>
      </c>
      <c r="E44" s="89" t="str">
        <f t="shared" si="3"/>
        <v/>
      </c>
      <c r="F44" s="37"/>
      <c r="G44" s="37"/>
      <c r="H44" s="37"/>
      <c r="I44" s="37"/>
      <c r="J44" s="37"/>
      <c r="K44" s="37"/>
      <c r="L44" s="37"/>
      <c r="M44" s="37"/>
      <c r="N44" s="37"/>
      <c r="O44" s="37"/>
      <c r="P44" s="37"/>
      <c r="Q44" s="37"/>
      <c r="R44" s="37"/>
      <c r="S44" s="37"/>
    </row>
    <row r="45" spans="1:19" ht="15" customHeight="1" x14ac:dyDescent="0.25">
      <c r="A45" s="37"/>
      <c r="B45" s="94"/>
      <c r="C45" s="94"/>
      <c r="D45" s="94"/>
      <c r="E45" s="94"/>
      <c r="F45" s="37"/>
      <c r="G45" s="37"/>
      <c r="H45" s="37"/>
      <c r="I45" s="37"/>
      <c r="J45" s="37"/>
      <c r="K45" s="37"/>
      <c r="L45" s="37"/>
      <c r="M45" s="37"/>
      <c r="N45" s="37"/>
      <c r="O45" s="37"/>
      <c r="P45" s="37"/>
      <c r="Q45" s="37"/>
      <c r="R45" s="37"/>
      <c r="S45" s="37"/>
    </row>
    <row r="46" spans="1:19" ht="15" customHeight="1" x14ac:dyDescent="0.25">
      <c r="A46" s="37"/>
      <c r="B46" s="198" t="s">
        <v>235</v>
      </c>
      <c r="C46" s="199">
        <f ca="1">FLOOR(SUM(C35:C44),0.01)</f>
        <v>0</v>
      </c>
      <c r="D46" s="108" t="s">
        <v>236</v>
      </c>
      <c r="E46" s="89">
        <f ca="1">IFERROR(FLOOR(SUMPRODUCT(D35:D44,C35:C44),0.01),0)</f>
        <v>0</v>
      </c>
      <c r="F46" s="37" t="s">
        <v>189</v>
      </c>
      <c r="G46" s="37"/>
      <c r="H46" s="37"/>
      <c r="I46" s="37"/>
      <c r="J46" s="37"/>
      <c r="K46" s="37"/>
      <c r="L46" s="37"/>
      <c r="M46" s="37"/>
      <c r="N46" s="37"/>
      <c r="O46" s="37"/>
      <c r="P46" s="37"/>
      <c r="Q46" s="37"/>
      <c r="R46" s="37"/>
      <c r="S46" s="37"/>
    </row>
    <row r="47" spans="1:19" ht="15" customHeight="1" x14ac:dyDescent="0.25">
      <c r="A47" s="37"/>
      <c r="B47" s="37"/>
      <c r="C47" s="37"/>
      <c r="D47" s="37"/>
      <c r="E47" s="37"/>
      <c r="F47" s="37"/>
      <c r="G47" s="37"/>
      <c r="H47" s="37"/>
      <c r="I47" s="37"/>
      <c r="J47" s="37"/>
      <c r="K47" s="37"/>
      <c r="L47" s="37"/>
      <c r="M47" s="37"/>
      <c r="N47" s="37"/>
      <c r="O47" s="37"/>
      <c r="P47" s="37"/>
      <c r="Q47" s="37"/>
      <c r="R47" s="37"/>
      <c r="S47" s="37"/>
    </row>
    <row r="48" spans="1:19" ht="15" customHeight="1" x14ac:dyDescent="0.25">
      <c r="A48" s="37"/>
      <c r="B48" s="454" t="s">
        <v>233</v>
      </c>
      <c r="C48" s="455"/>
      <c r="D48" s="455"/>
      <c r="E48" s="456"/>
      <c r="F48" s="37"/>
      <c r="G48" s="37"/>
      <c r="H48" s="37"/>
      <c r="I48" s="37"/>
      <c r="J48" s="37"/>
      <c r="K48" s="37"/>
      <c r="L48" s="37"/>
      <c r="M48" s="37"/>
      <c r="N48" s="37"/>
      <c r="O48" s="37"/>
      <c r="P48" s="37"/>
      <c r="Q48" s="37"/>
      <c r="R48" s="37"/>
      <c r="S48" s="37"/>
    </row>
    <row r="49" spans="1:19" ht="15" customHeight="1" x14ac:dyDescent="0.25">
      <c r="A49" s="40"/>
      <c r="B49" s="196" t="s">
        <v>152</v>
      </c>
      <c r="C49" s="197" t="s">
        <v>188</v>
      </c>
      <c r="D49" s="197" t="s">
        <v>1</v>
      </c>
      <c r="E49" s="197" t="s">
        <v>130</v>
      </c>
      <c r="F49" s="40"/>
      <c r="G49" s="40"/>
      <c r="H49" s="40"/>
      <c r="I49" s="40"/>
      <c r="J49" s="40"/>
      <c r="K49" s="40"/>
      <c r="L49" s="40"/>
      <c r="M49" s="40"/>
      <c r="N49" s="40"/>
      <c r="O49" s="40"/>
      <c r="P49" s="40"/>
      <c r="Q49" s="40"/>
      <c r="R49" s="40"/>
      <c r="S49" s="40"/>
    </row>
    <row r="50" spans="1:19" x14ac:dyDescent="0.25">
      <c r="A50" s="37"/>
      <c r="B50" s="88" t="str" cm="1">
        <f t="array" aca="1" ref="B50" ca="1">Activiteiten_Uniek_Sort_DB</f>
        <v/>
      </c>
      <c r="C50" s="89" t="str">
        <f ca="1">IF(B50&lt;&gt;"",SUMIFS(SubsidieTabel_DB!$F:$F,SubsidieTabel_DB!$A:$A,B50)+SUMIFS(SubsidieTabel_DB!$H:$H,SubsidieTabel_DB!$A:$A,B50),"")</f>
        <v/>
      </c>
      <c r="D50" s="90" t="str">
        <f ca="1">IFERROR(VLOOKUP(B50,Lijsten!$AK:$AL,2,0),"")</f>
        <v/>
      </c>
      <c r="E50" s="89" t="str">
        <f ca="1">IF(PRODUCT(C50,D50)&lt;&gt;0,PRODUCT(C50,D50),"")</f>
        <v/>
      </c>
      <c r="F50" s="37"/>
      <c r="G50" s="37"/>
      <c r="H50" s="37"/>
      <c r="I50" s="37"/>
      <c r="J50" s="37"/>
      <c r="K50" s="37"/>
      <c r="L50" s="37"/>
      <c r="M50" s="37"/>
      <c r="N50" s="37"/>
      <c r="O50" s="37"/>
      <c r="P50" s="37"/>
      <c r="Q50" s="37"/>
      <c r="R50" s="37"/>
      <c r="S50" s="37"/>
    </row>
    <row r="51" spans="1:19" x14ac:dyDescent="0.25">
      <c r="A51" s="37"/>
      <c r="B51" s="88"/>
      <c r="C51" s="89" t="str">
        <f>IF(B51&lt;&gt;"",SUMIFS(SubsidieTabel_DB!$F:$F,SubsidieTabel_DB!$A:$A,B51)+SUMIFS(SubsidieTabel_DB!$H:$H,SubsidieTabel_DB!$A:$A,B51),"")</f>
        <v/>
      </c>
      <c r="D51" s="90" t="str">
        <f>IFERROR(VLOOKUP(B51,Lijsten!$AK:$AL,2,0),"")</f>
        <v/>
      </c>
      <c r="E51" s="89" t="str">
        <f t="shared" ref="E51:E59" si="4">IF(PRODUCT(C51,D51)&lt;&gt;0,PRODUCT(C51,D51),"")</f>
        <v/>
      </c>
      <c r="F51" s="37"/>
      <c r="G51" s="37"/>
      <c r="H51" s="37"/>
      <c r="I51" s="37"/>
      <c r="J51" s="37"/>
      <c r="K51" s="37"/>
      <c r="L51" s="37"/>
      <c r="M51" s="37"/>
      <c r="N51" s="37"/>
      <c r="O51" s="37"/>
      <c r="P51" s="37"/>
      <c r="Q51" s="37"/>
      <c r="R51" s="37"/>
      <c r="S51" s="37"/>
    </row>
    <row r="52" spans="1:19" x14ac:dyDescent="0.25">
      <c r="A52" s="37"/>
      <c r="B52" s="88"/>
      <c r="C52" s="89" t="str">
        <f>IF(B52&lt;&gt;"",SUMIFS(SubsidieTabel_DB!$F:$F,SubsidieTabel_DB!$A:$A,B52)+SUMIFS(SubsidieTabel_DB!$H:$H,SubsidieTabel_DB!$A:$A,B52),"")</f>
        <v/>
      </c>
      <c r="D52" s="90" t="str">
        <f>IFERROR(VLOOKUP(B52,Lijsten!$AK:$AL,2,0),"")</f>
        <v/>
      </c>
      <c r="E52" s="89" t="str">
        <f t="shared" si="4"/>
        <v/>
      </c>
      <c r="F52" s="37"/>
      <c r="G52" s="37"/>
      <c r="H52" s="37"/>
      <c r="I52" s="37"/>
      <c r="J52" s="37"/>
      <c r="K52" s="37"/>
      <c r="L52" s="37"/>
      <c r="M52" s="37"/>
      <c r="N52" s="37"/>
      <c r="O52" s="37"/>
      <c r="P52" s="37"/>
      <c r="Q52" s="37"/>
      <c r="R52" s="37"/>
      <c r="S52" s="37"/>
    </row>
    <row r="53" spans="1:19" x14ac:dyDescent="0.25">
      <c r="A53" s="37"/>
      <c r="B53" s="88"/>
      <c r="C53" s="89" t="str">
        <f>IF(B53&lt;&gt;"",SUMIFS(SubsidieTabel_DB!$F:$F,SubsidieTabel_DB!$A:$A,B53)+SUMIFS(SubsidieTabel_DB!$H:$H,SubsidieTabel_DB!$A:$A,B53),"")</f>
        <v/>
      </c>
      <c r="D53" s="90" t="str">
        <f>IFERROR(VLOOKUP(B53,Lijsten!$AK:$AL,2,0),"")</f>
        <v/>
      </c>
      <c r="E53" s="89" t="str">
        <f t="shared" si="4"/>
        <v/>
      </c>
      <c r="F53" s="37"/>
      <c r="G53" s="37"/>
      <c r="H53" s="37"/>
      <c r="I53" s="37"/>
      <c r="J53" s="37"/>
      <c r="K53" s="37"/>
      <c r="L53" s="37"/>
      <c r="M53" s="37"/>
      <c r="N53" s="37"/>
      <c r="O53" s="37"/>
      <c r="P53" s="37"/>
      <c r="Q53" s="37"/>
      <c r="R53" s="37"/>
      <c r="S53" s="37"/>
    </row>
    <row r="54" spans="1:19" x14ac:dyDescent="0.25">
      <c r="A54" s="37"/>
      <c r="B54" s="88"/>
      <c r="C54" s="89" t="str">
        <f>IF(B54&lt;&gt;"",SUMIFS(SubsidieTabel_DB!$F:$F,SubsidieTabel_DB!$A:$A,B54)+SUMIFS(SubsidieTabel_DB!$H:$H,SubsidieTabel_DB!$A:$A,B54),"")</f>
        <v/>
      </c>
      <c r="D54" s="90" t="str">
        <f>IFERROR(VLOOKUP(B54,Lijsten!$AK:$AL,2,0),"")</f>
        <v/>
      </c>
      <c r="E54" s="89" t="str">
        <f t="shared" si="4"/>
        <v/>
      </c>
      <c r="F54" s="37"/>
      <c r="G54" s="37"/>
      <c r="H54" s="37"/>
      <c r="I54" s="37"/>
      <c r="J54" s="37"/>
      <c r="K54" s="37"/>
      <c r="L54" s="37"/>
      <c r="M54" s="37"/>
      <c r="N54" s="37"/>
      <c r="O54" s="37"/>
      <c r="P54" s="37"/>
      <c r="Q54" s="37"/>
      <c r="R54" s="37"/>
      <c r="S54" s="37"/>
    </row>
    <row r="55" spans="1:19" x14ac:dyDescent="0.25">
      <c r="A55" s="37"/>
      <c r="B55" s="88"/>
      <c r="C55" s="89" t="str">
        <f>IF(B55&lt;&gt;"",SUMIFS(SubsidieTabel_DB!$F:$F,SubsidieTabel_DB!$A:$A,B55)+SUMIFS(SubsidieTabel_DB!$H:$H,SubsidieTabel_DB!$A:$A,B55),"")</f>
        <v/>
      </c>
      <c r="D55" s="90" t="str">
        <f>IFERROR(VLOOKUP(B55,Lijsten!$AK:$AL,2,0),"")</f>
        <v/>
      </c>
      <c r="E55" s="89" t="str">
        <f t="shared" si="4"/>
        <v/>
      </c>
      <c r="F55" s="37"/>
      <c r="G55" s="37"/>
      <c r="H55" s="37"/>
      <c r="I55" s="37"/>
      <c r="J55" s="37"/>
      <c r="K55" s="37"/>
      <c r="L55" s="37"/>
      <c r="M55" s="37"/>
      <c r="N55" s="37"/>
      <c r="O55" s="37"/>
      <c r="P55" s="37"/>
      <c r="Q55" s="37"/>
      <c r="R55" s="37"/>
      <c r="S55" s="37"/>
    </row>
    <row r="56" spans="1:19" x14ac:dyDescent="0.25">
      <c r="A56" s="37"/>
      <c r="B56" s="88"/>
      <c r="C56" s="89" t="str">
        <f>IF(B56&lt;&gt;"",SUMIFS(SubsidieTabel_DB!$F:$F,SubsidieTabel_DB!$A:$A,B56)+SUMIFS(SubsidieTabel_DB!$H:$H,SubsidieTabel_DB!$A:$A,B56),"")</f>
        <v/>
      </c>
      <c r="D56" s="90" t="str">
        <f>IFERROR(VLOOKUP(B56,Lijsten!$AK:$AL,2,0),"")</f>
        <v/>
      </c>
      <c r="E56" s="89" t="str">
        <f t="shared" si="4"/>
        <v/>
      </c>
      <c r="F56" s="37"/>
      <c r="G56" s="37"/>
      <c r="H56" s="37"/>
      <c r="I56" s="37"/>
      <c r="J56" s="37"/>
      <c r="K56" s="37"/>
      <c r="L56" s="37"/>
      <c r="M56" s="37"/>
      <c r="N56" s="37"/>
      <c r="O56" s="37"/>
      <c r="P56" s="37"/>
      <c r="Q56" s="37"/>
      <c r="R56" s="37"/>
      <c r="S56" s="37"/>
    </row>
    <row r="57" spans="1:19" x14ac:dyDescent="0.25">
      <c r="A57" s="37"/>
      <c r="B57" s="88"/>
      <c r="C57" s="89" t="str">
        <f>IF(B57&lt;&gt;"",SUMIFS(SubsidieTabel_DB!$F:$F,SubsidieTabel_DB!$A:$A,B57)+SUMIFS(SubsidieTabel_DB!$H:$H,SubsidieTabel_DB!$A:$A,B57),"")</f>
        <v/>
      </c>
      <c r="D57" s="90" t="str">
        <f>IFERROR(VLOOKUP(B57,Lijsten!$AK:$AL,2,0),"")</f>
        <v/>
      </c>
      <c r="E57" s="89" t="str">
        <f t="shared" si="4"/>
        <v/>
      </c>
      <c r="F57" s="37"/>
      <c r="G57" s="37"/>
      <c r="H57" s="37"/>
      <c r="I57" s="37"/>
      <c r="J57" s="37"/>
      <c r="K57" s="37"/>
      <c r="L57" s="37"/>
      <c r="M57" s="37"/>
      <c r="N57" s="37"/>
      <c r="O57" s="37"/>
      <c r="P57" s="37"/>
      <c r="Q57" s="37"/>
      <c r="R57" s="37"/>
      <c r="S57" s="37"/>
    </row>
    <row r="58" spans="1:19" x14ac:dyDescent="0.25">
      <c r="A58" s="37"/>
      <c r="B58" s="88"/>
      <c r="C58" s="89" t="str">
        <f>IF(B58&lt;&gt;"",SUMIFS(SubsidieTabel_DB!$F:$F,SubsidieTabel_DB!$A:$A,B58)+SUMIFS(SubsidieTabel_DB!$H:$H,SubsidieTabel_DB!$A:$A,B58),"")</f>
        <v/>
      </c>
      <c r="D58" s="90" t="str">
        <f>IFERROR(VLOOKUP(B58,Lijsten!$AK:$AL,2,0),"")</f>
        <v/>
      </c>
      <c r="E58" s="89" t="str">
        <f t="shared" si="4"/>
        <v/>
      </c>
      <c r="F58" s="37"/>
      <c r="G58" s="37"/>
      <c r="H58" s="37"/>
      <c r="I58" s="37"/>
      <c r="J58" s="37"/>
      <c r="K58" s="37"/>
      <c r="L58" s="37"/>
      <c r="M58" s="37"/>
      <c r="N58" s="37"/>
      <c r="O58" s="37"/>
      <c r="P58" s="37"/>
      <c r="Q58" s="37"/>
      <c r="R58" s="37"/>
      <c r="S58" s="37"/>
    </row>
    <row r="59" spans="1:19" x14ac:dyDescent="0.25">
      <c r="A59" s="37"/>
      <c r="B59" s="88"/>
      <c r="C59" s="89" t="str">
        <f>IF(B59&lt;&gt;"",SUMIFS(SubsidieTabel_DB!$F:$F,SubsidieTabel_DB!$A:$A,B59)+SUMIFS(SubsidieTabel_DB!$H:$H,SubsidieTabel_DB!$A:$A,B59),"")</f>
        <v/>
      </c>
      <c r="D59" s="90" t="str">
        <f>IFERROR(VLOOKUP(B59,Lijsten!$AK:$AL,2,0),"")</f>
        <v/>
      </c>
      <c r="E59" s="89" t="str">
        <f t="shared" si="4"/>
        <v/>
      </c>
      <c r="F59" s="37"/>
      <c r="G59" s="37"/>
      <c r="H59" s="37"/>
      <c r="I59" s="37"/>
      <c r="J59" s="37"/>
      <c r="K59" s="37"/>
      <c r="L59" s="37"/>
      <c r="M59" s="37"/>
      <c r="N59" s="37"/>
      <c r="O59" s="37"/>
      <c r="P59" s="37"/>
      <c r="Q59" s="37"/>
      <c r="R59" s="37"/>
      <c r="S59" s="37"/>
    </row>
    <row r="60" spans="1:19" x14ac:dyDescent="0.25">
      <c r="A60" s="37"/>
      <c r="B60" s="94"/>
      <c r="C60" s="94"/>
      <c r="D60" s="94"/>
      <c r="E60" s="94"/>
      <c r="F60" s="37"/>
      <c r="G60" s="37"/>
      <c r="H60" s="37"/>
      <c r="I60" s="37"/>
      <c r="J60" s="37"/>
      <c r="K60" s="37"/>
      <c r="L60" s="37"/>
      <c r="M60" s="37"/>
      <c r="N60" s="37"/>
      <c r="O60" s="37"/>
      <c r="P60" s="37"/>
      <c r="Q60" s="37"/>
      <c r="R60" s="37"/>
      <c r="S60" s="37"/>
    </row>
    <row r="61" spans="1:19" x14ac:dyDescent="0.25">
      <c r="A61" s="37"/>
      <c r="B61" s="198" t="s">
        <v>235</v>
      </c>
      <c r="C61" s="199">
        <f ca="1">FLOOR(SUM(C50:C59),0.01)</f>
        <v>0</v>
      </c>
      <c r="D61" s="108" t="s">
        <v>236</v>
      </c>
      <c r="E61" s="89">
        <f ca="1">IFERROR(FLOOR(SUMPRODUCT(D50:D59,C50:C59),0.01),0)</f>
        <v>0</v>
      </c>
      <c r="F61" s="37" t="s">
        <v>232</v>
      </c>
      <c r="G61" s="37"/>
      <c r="H61" s="37"/>
      <c r="I61" s="37"/>
      <c r="J61" s="37"/>
      <c r="K61" s="37"/>
      <c r="L61" s="37"/>
      <c r="M61" s="37"/>
      <c r="N61" s="37"/>
      <c r="O61" s="37"/>
      <c r="P61" s="37"/>
      <c r="Q61" s="37"/>
      <c r="R61" s="37"/>
      <c r="S61" s="37"/>
    </row>
    <row r="62" spans="1:19" x14ac:dyDescent="0.25">
      <c r="A62" s="37"/>
      <c r="B62" s="37"/>
      <c r="C62" s="37"/>
      <c r="D62" s="37"/>
      <c r="E62" s="37"/>
      <c r="F62" s="37"/>
      <c r="G62" s="37"/>
      <c r="H62" s="37"/>
      <c r="I62" s="37"/>
      <c r="J62" s="37"/>
      <c r="K62" s="37"/>
      <c r="L62" s="37"/>
      <c r="M62" s="37"/>
      <c r="N62" s="37"/>
      <c r="O62" s="37"/>
      <c r="P62" s="37"/>
      <c r="Q62" s="37"/>
      <c r="R62" s="37"/>
      <c r="S62" s="37"/>
    </row>
    <row r="63" spans="1:19" x14ac:dyDescent="0.25">
      <c r="A63" s="37"/>
      <c r="B63" s="37"/>
      <c r="C63" s="37"/>
      <c r="D63" s="37"/>
      <c r="E63" s="37"/>
      <c r="F63" s="37"/>
      <c r="G63" s="37"/>
      <c r="H63" s="37"/>
      <c r="I63" s="37"/>
      <c r="J63" s="37"/>
      <c r="K63" s="37"/>
      <c r="L63" s="37"/>
      <c r="M63" s="37"/>
      <c r="N63" s="37"/>
      <c r="O63" s="37"/>
      <c r="P63" s="37"/>
      <c r="Q63" s="37"/>
      <c r="R63" s="37"/>
      <c r="S63" s="37"/>
    </row>
    <row r="64" spans="1:19" hidden="1" x14ac:dyDescent="0.25">
      <c r="A64" s="37"/>
      <c r="B64" s="37"/>
      <c r="C64" s="37"/>
      <c r="D64" s="37"/>
      <c r="E64" s="37"/>
      <c r="F64" s="37"/>
      <c r="G64" s="37"/>
      <c r="H64" s="37"/>
      <c r="I64" s="37"/>
      <c r="J64" s="37"/>
      <c r="K64" s="37"/>
      <c r="L64" s="37"/>
      <c r="M64" s="37"/>
      <c r="N64" s="37"/>
      <c r="O64" s="37"/>
      <c r="P64" s="37"/>
      <c r="Q64" s="37"/>
      <c r="R64" s="37"/>
      <c r="S64" s="37"/>
    </row>
  </sheetData>
  <sheetProtection algorithmName="SHA-512" hashValue="IbjbjU6iXNcy9fKA48i/OzP85Iq5PVlRuCRPc2molZLNQ+elZSocmiwi/9Ix0P9wGEbaeQ95EcQPN0hn2A2mvA==" saltValue="rCP6gcJtSKu94Z4v2BlBVw==" spinCount="100000" sheet="1" objects="1" scenarios="1"/>
  <mergeCells count="13">
    <mergeCell ref="C8:E8"/>
    <mergeCell ref="C2:E2"/>
    <mergeCell ref="C3:E3"/>
    <mergeCell ref="C4:E4"/>
    <mergeCell ref="C5:E5"/>
    <mergeCell ref="C6:E6"/>
    <mergeCell ref="B48:E48"/>
    <mergeCell ref="B33:E33"/>
    <mergeCell ref="G13:H13"/>
    <mergeCell ref="C10:E10"/>
    <mergeCell ref="C11:E11"/>
    <mergeCell ref="C12:E12"/>
    <mergeCell ref="C13:E13"/>
  </mergeCells>
  <conditionalFormatting sqref="C16:S26">
    <cfRule type="expression" dxfId="5" priority="1">
      <formula>C16&lt;&gt;""</formula>
    </cfRule>
  </conditionalFormatting>
  <conditionalFormatting sqref="I15:S15">
    <cfRule type="expression" dxfId="4" priority="10">
      <formula>I15&lt;&gt;""</formula>
    </cfRule>
  </conditionalFormatting>
  <conditionalFormatting sqref="I27:S27">
    <cfRule type="expression" dxfId="3" priority="4">
      <formula>I27&lt;&gt;""</formula>
    </cfRule>
  </conditionalFormatting>
  <conditionalFormatting sqref="I28:S28">
    <cfRule type="expression" dxfId="2" priority="5">
      <formula>I28&lt;&gt;""</formula>
    </cfRule>
  </conditionalFormatting>
  <conditionalFormatting sqref="I29:S29">
    <cfRule type="expression" dxfId="1" priority="3">
      <formula>I29&lt;&gt;""</formula>
    </cfRule>
  </conditionalFormatting>
  <dataValidations count="1">
    <dataValidation type="list" allowBlank="1" showErrorMessage="1" errorTitle="Geen betaalverzoek nummer" error="Kies een betaalverzoek nummer of laat deze cel leeg" sqref="C10" xr:uid="{A0F87A9D-D774-42F0-A7B7-51C7CFE4886D}">
      <formula1>Deelbetaling_Uniek</formula1>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20E93-F271-4C86-BCA5-EEF548342EE8}">
  <sheetPr codeName="Blad9">
    <tabColor rgb="FF672C94"/>
  </sheetPr>
  <dimension ref="A1:BA2000"/>
  <sheetViews>
    <sheetView workbookViewId="0"/>
  </sheetViews>
  <sheetFormatPr defaultRowHeight="15" x14ac:dyDescent="0.25"/>
  <cols>
    <col min="1" max="1" width="110.7109375" customWidth="1"/>
    <col min="2" max="2" width="6" bestFit="1" customWidth="1"/>
    <col min="3" max="3" width="12.42578125" bestFit="1" customWidth="1"/>
    <col min="4" max="4" width="13.28515625" bestFit="1" customWidth="1"/>
    <col min="5" max="5" width="13.140625" bestFit="1" customWidth="1"/>
    <col min="6" max="6" width="21.7109375" bestFit="1" customWidth="1"/>
    <col min="7" max="7" width="22" bestFit="1" customWidth="1"/>
    <col min="9" max="9" width="6.5703125" bestFit="1" customWidth="1"/>
    <col min="10" max="10" width="13.85546875" bestFit="1" customWidth="1"/>
    <col min="11" max="11" width="16.85546875" bestFit="1" customWidth="1"/>
    <col min="13" max="13" width="110.7109375" customWidth="1"/>
    <col min="14" max="14" width="35.7109375" bestFit="1" customWidth="1"/>
    <col min="15" max="15" width="12.7109375" bestFit="1" customWidth="1"/>
    <col min="16" max="16" width="17.7109375" customWidth="1"/>
    <col min="17" max="17" width="13.7109375" customWidth="1"/>
    <col min="18" max="18" width="12.5703125" customWidth="1"/>
    <col min="19" max="19" width="14" customWidth="1"/>
    <col min="20" max="20" width="13" customWidth="1"/>
    <col min="22" max="22" width="14.140625" customWidth="1"/>
    <col min="23" max="26" width="12.7109375" customWidth="1"/>
    <col min="27" max="27" width="11.5703125" customWidth="1"/>
    <col min="28" max="28" width="11.140625" customWidth="1"/>
    <col min="29" max="29" width="13.28515625" customWidth="1"/>
    <col min="30" max="30" width="12" customWidth="1"/>
    <col min="32" max="35" width="13.5703125" customWidth="1"/>
    <col min="36" max="36" width="14.7109375" customWidth="1"/>
    <col min="43" max="43" width="10.5703125" customWidth="1"/>
    <col min="50" max="50" width="11" customWidth="1"/>
  </cols>
  <sheetData>
    <row r="1" spans="1:53" ht="273.75" customHeight="1" x14ac:dyDescent="0.25">
      <c r="A1" s="219" t="s">
        <v>354</v>
      </c>
      <c r="M1" s="219" t="s">
        <v>355</v>
      </c>
    </row>
    <row r="2" spans="1:53" ht="3" customHeight="1" x14ac:dyDescent="0.25"/>
    <row r="3" spans="1:53" ht="60" x14ac:dyDescent="0.25">
      <c r="A3" s="25" t="s">
        <v>80</v>
      </c>
      <c r="B3" s="236" t="s">
        <v>75</v>
      </c>
      <c r="C3" s="25" t="s">
        <v>190</v>
      </c>
      <c r="D3" s="25" t="s">
        <v>158</v>
      </c>
      <c r="E3" s="25" t="s">
        <v>159</v>
      </c>
      <c r="F3" s="25" t="s">
        <v>73</v>
      </c>
      <c r="G3" s="25" t="s">
        <v>74</v>
      </c>
      <c r="H3" s="26" t="s">
        <v>332</v>
      </c>
      <c r="I3" s="288" t="s">
        <v>338</v>
      </c>
      <c r="J3" s="288" t="s">
        <v>335</v>
      </c>
      <c r="K3" s="288" t="s">
        <v>336</v>
      </c>
      <c r="M3" s="133" t="s">
        <v>80</v>
      </c>
      <c r="N3" s="133" t="s">
        <v>228</v>
      </c>
      <c r="O3" s="133" t="s">
        <v>254</v>
      </c>
      <c r="P3" s="220" t="s">
        <v>8</v>
      </c>
      <c r="Q3" s="235" t="s">
        <v>82</v>
      </c>
      <c r="R3" s="234" t="s">
        <v>28</v>
      </c>
      <c r="S3" s="234" t="s">
        <v>27</v>
      </c>
      <c r="T3" s="234" t="s">
        <v>11</v>
      </c>
      <c r="U3" s="234" t="s">
        <v>96</v>
      </c>
      <c r="V3" s="234" t="s">
        <v>95</v>
      </c>
      <c r="W3" s="234" t="s">
        <v>3</v>
      </c>
      <c r="X3" s="234" t="s">
        <v>304</v>
      </c>
      <c r="Y3" s="271" t="s">
        <v>314</v>
      </c>
      <c r="Z3" s="234" t="s">
        <v>50</v>
      </c>
      <c r="AA3" s="220" t="s">
        <v>7</v>
      </c>
      <c r="AB3" s="220" t="s">
        <v>5</v>
      </c>
      <c r="AC3" s="271" t="s">
        <v>52</v>
      </c>
      <c r="AD3" s="271" t="s">
        <v>242</v>
      </c>
      <c r="AE3" s="271" t="s">
        <v>53</v>
      </c>
      <c r="AF3" s="271" t="s">
        <v>43</v>
      </c>
      <c r="AG3" s="276" t="s">
        <v>339</v>
      </c>
      <c r="AH3" s="276" t="s">
        <v>333</v>
      </c>
      <c r="AI3" s="276" t="s">
        <v>334</v>
      </c>
      <c r="AJ3" s="276" t="s">
        <v>337</v>
      </c>
      <c r="AK3" s="220" t="s">
        <v>200</v>
      </c>
      <c r="AL3" s="220" t="s">
        <v>201</v>
      </c>
      <c r="AM3" s="133" t="s">
        <v>202</v>
      </c>
      <c r="AN3" s="133" t="s">
        <v>203</v>
      </c>
      <c r="AO3" s="133" t="s">
        <v>204</v>
      </c>
      <c r="AP3" s="133" t="s">
        <v>245</v>
      </c>
      <c r="AQ3" s="133" t="s">
        <v>139</v>
      </c>
      <c r="AR3" s="133" t="s">
        <v>140</v>
      </c>
      <c r="AS3" s="133" t="s">
        <v>141</v>
      </c>
      <c r="AT3" s="133" t="s">
        <v>142</v>
      </c>
      <c r="AU3" s="133" t="s">
        <v>143</v>
      </c>
      <c r="AV3" s="133" t="s">
        <v>144</v>
      </c>
      <c r="AW3" s="133" t="s">
        <v>145</v>
      </c>
      <c r="AX3" s="133" t="s">
        <v>146</v>
      </c>
      <c r="AY3" s="133" t="s">
        <v>301</v>
      </c>
      <c r="AZ3" s="271" t="s">
        <v>302</v>
      </c>
      <c r="BA3" s="133" t="s">
        <v>303</v>
      </c>
    </row>
    <row r="4" spans="1:53" x14ac:dyDescent="0.25">
      <c r="A4" s="231" t="s">
        <v>550</v>
      </c>
      <c r="C4">
        <v>1</v>
      </c>
      <c r="F4" s="64">
        <v>25000</v>
      </c>
      <c r="G4" s="64">
        <v>40000</v>
      </c>
      <c r="H4" s="275">
        <v>0.1</v>
      </c>
      <c r="I4" s="275">
        <v>0.25</v>
      </c>
      <c r="J4" s="275">
        <v>0.1</v>
      </c>
      <c r="K4" s="275">
        <v>0.25</v>
      </c>
      <c r="M4" s="231" t="s">
        <v>550</v>
      </c>
      <c r="N4" t="s">
        <v>551</v>
      </c>
      <c r="O4" s="56">
        <v>1</v>
      </c>
      <c r="Q4" t="str">
        <f>IFERROR(IF(VLOOKUP(Tb_Activiteiten[[#This Row],[Openstelling]],Tb_Openstelling[],2,0)=1,1,""),"")</f>
        <v/>
      </c>
      <c r="R4">
        <v>1</v>
      </c>
      <c r="S4">
        <v>1</v>
      </c>
      <c r="W4">
        <v>1</v>
      </c>
      <c r="AK4" t="str">
        <f>IF(ISNUMBER(FIND("arbeid",Methode_Keuze)),"",IF(ISNUMBER(FIND("arbeid",Methode_Keuze)),"",IF(Tb_Activiteiten[[#This Row],[Loonkosten]]=1,Tb_Activiteiten[[#Headers],[Loonkosten]],"")))</f>
        <v/>
      </c>
      <c r="AL4" t="str">
        <f>IF(ISNUMBER(FIND("arbeid",Methode_Keuze)),"",IF(ISNUMBER(FIND("arbeid",Methode_Keuze)),"",IF(Tb_Activiteiten[[#This Row],[Eigen arbeid]]=1,Tb_Activiteiten[[#Headers],[Eigen arbeid]],"")))</f>
        <v/>
      </c>
      <c r="AM4" t="str">
        <f>IF(ISNUMBER(FIND("arbeid",Methode_Keuze)),"",IF(ISNUMBER(FIND("arbeid",Methode_Keuze)),"",IF(Tb_Activiteiten[[#This Row],[Projectmedewerker]]=1,Tb_Activiteiten[[#Headers],[Projectmedewerker]],"")))</f>
        <v/>
      </c>
      <c r="AN4" t="str">
        <f>IF(ISNUMBER(FIND("arbeid",Methode_Keuze)),"",IF(ISNUMBER(FIND("arbeid",Methode_Keuze)),"",IF(Tb_Activiteiten[[#This Row],[Landbouwer]]=1,Tb_Activiteiten[[#Headers],[Landbouwer]],"")))</f>
        <v/>
      </c>
      <c r="AO4" t="str">
        <f>IF(ISNUMBER(FIND("arbeid",Methode_Keuze)),"",IF(ISNUMBER(FIND("arbeid",Methode_Keuze)),"",IF(Tb_Activiteiten[[#This Row],[Adviseur]]=1,Tb_Activiteiten[[#Headers],[Adviseur]],"")))</f>
        <v/>
      </c>
      <c r="AP4" t="str">
        <f>IF(ISNUMBER(FIND("arbeid",Methode_Keuze)),"",IF(ISNUMBER(FIND("arbeid",Methode_Keuze)),"",IF(Tb_Activiteiten[[#This Row],[Projectleider/Expert]]=1,Tb_Activiteiten[[#Headers],[Projectleider/Expert]],"")))</f>
        <v/>
      </c>
      <c r="AQ4" t="str">
        <f>IF(ISNUMBER(FIND("arbeid",Methode_Keuze)),"",IF(ISNUMBER(FIND("arbeid",Methode_Keuze)),"",IF(Tb_Activiteiten[[#This Row],[Arbeidskosten]]=1,Tb_Activiteiten[[#Headers],[Arbeidskosten]],"")))</f>
        <v/>
      </c>
      <c r="AR4" t="str">
        <f>IF(ISNUMBER(FIND("arbeid",Methode_Keuze)),"",IF(ISNUMBER(FIND("arbeid",Methode_Keuze)),"",IF(Tb_Activiteiten[[#This Row],[Arbeidskosten op basis van IKS]]=1,Tb_Activiteiten[[#Headers],[Arbeidskosten op basis van IKS]],"")))</f>
        <v/>
      </c>
      <c r="AS4" t="str">
        <f>IF(ISNUMBER(FIND("overige",Methode_Keuze)),"",IF(Tb_Activiteiten[[#This Row],[Kosten derden exclusief btw]]=1,Tb_Activiteiten[[#Headers],[Kosten derden exclusief btw]],""))</f>
        <v>Kosten derden exclusief btw</v>
      </c>
      <c r="AT4" t="str">
        <f>IF(ISNUMBER(FIND("overige",Methode_Keuze)),"",IF(Tb_Activiteiten[[#This Row],[Niet verrekenbare btw]]=1,Tb_Activiteiten[[#Headers],[Niet verrekenbare btw]],""))</f>
        <v>Niet verrekenbare btw</v>
      </c>
      <c r="AU4" t="str">
        <f>IF(ISNUMBER(FIND("overige",Methode_Keuze)),"",IF(Tb_Activiteiten[[#This Row],[Grondkosten]]=1,Tb_Activiteiten[[#Headers],[Grondkosten]],""))</f>
        <v/>
      </c>
      <c r="AV4" t="str">
        <f>IF(ISNUMBER(FIND("overige",Methode_Keuze)),"",IF(Tb_Activiteiten[[#This Row],[Bijdrage in natura (overige)]]=1,Tb_Activiteiten[[#Headers],[Bijdrage in natura (overige)]],""))</f>
        <v/>
      </c>
      <c r="AW4" t="str">
        <f>IF(ISNUMBER(FIND("overige",Methode_Keuze)),"",IF(Tb_Activiteiten[[#This Row],[Bijdrage in natura (vrijwilligers)]]=1,Tb_Activiteiten[[#Headers],[Bijdrage in natura (vrijwilligers)]],""))</f>
        <v/>
      </c>
      <c r="AX4" t="str">
        <f>IF(ISNUMBER(FIND("overige",Methode_Keuze)),"",IF(Tb_Activiteiten[[#This Row],[Afschrijvingskosten]]=1,Tb_Activiteiten[[#Headers],[Afschrijvingskosten]],""))</f>
        <v>Afschrijvingskosten</v>
      </c>
      <c r="AY4" t="str">
        <f>IF(ISNUMBER(FIND("overige",Methode_Keuze)),"",IF(Tb_Activiteiten[[#This Row],[Vergoeding]]=1,Tb_Activiteiten[[#Headers],[Vergoeding]],""))</f>
        <v/>
      </c>
      <c r="AZ4" t="str">
        <f>IF(ISNUMBER(FIND("arbeid",Methode_Keuze)),"",IF(Tb_Activiteiten[[#This Row],[Arbeidskosten - vast tarief (excl eigen arbeid)]]=1,Tb_Activiteiten[[#Headers],[Arbeidskosten - vast tarief (excl eigen arbeid)]],""))</f>
        <v/>
      </c>
      <c r="BA4" t="str">
        <f>IF(ISNUMBER(FIND("overige",Methode_Keuze)),"",IF(Tb_Activiteiten[[#This Row],[Overige kosten]]=1,Tb_Activiteiten[[#Headers],[Overige kosten]],""))</f>
        <v/>
      </c>
    </row>
    <row r="5" spans="1:53" x14ac:dyDescent="0.25">
      <c r="A5" s="231"/>
      <c r="F5" s="64"/>
      <c r="G5" s="64"/>
      <c r="H5" s="275"/>
      <c r="I5" s="275"/>
      <c r="J5" s="275"/>
      <c r="K5" s="275"/>
      <c r="M5" s="231" t="s">
        <v>550</v>
      </c>
      <c r="N5" t="s">
        <v>552</v>
      </c>
      <c r="O5" s="56">
        <v>1</v>
      </c>
      <c r="Q5" t="str">
        <f>IFERROR(IF(VLOOKUP(Tb_Activiteiten[[#This Row],[Openstelling]],Tb_Openstelling[],2,0)=1,1,""),"")</f>
        <v/>
      </c>
      <c r="R5">
        <v>1</v>
      </c>
      <c r="S5">
        <v>1</v>
      </c>
      <c r="W5">
        <v>1</v>
      </c>
      <c r="AK5" t="str">
        <f>IF(ISNUMBER(FIND("arbeid",Methode_Keuze)),"",IF(ISNUMBER(FIND("arbeid",Methode_Keuze)),"",IF(Tb_Activiteiten[[#This Row],[Loonkosten]]=1,Tb_Activiteiten[[#Headers],[Loonkosten]],"")))</f>
        <v/>
      </c>
      <c r="AL5" t="str">
        <f>IF(ISNUMBER(FIND("arbeid",Methode_Keuze)),"",IF(ISNUMBER(FIND("arbeid",Methode_Keuze)),"",IF(Tb_Activiteiten[[#This Row],[Eigen arbeid]]=1,Tb_Activiteiten[[#Headers],[Eigen arbeid]],"")))</f>
        <v/>
      </c>
      <c r="AM5" t="str">
        <f>IF(ISNUMBER(FIND("arbeid",Methode_Keuze)),"",IF(ISNUMBER(FIND("arbeid",Methode_Keuze)),"",IF(Tb_Activiteiten[[#This Row],[Projectmedewerker]]=1,Tb_Activiteiten[[#Headers],[Projectmedewerker]],"")))</f>
        <v/>
      </c>
      <c r="AN5" t="str">
        <f>IF(ISNUMBER(FIND("arbeid",Methode_Keuze)),"",IF(ISNUMBER(FIND("arbeid",Methode_Keuze)),"",IF(Tb_Activiteiten[[#This Row],[Landbouwer]]=1,Tb_Activiteiten[[#Headers],[Landbouwer]],"")))</f>
        <v/>
      </c>
      <c r="AO5" t="str">
        <f>IF(ISNUMBER(FIND("arbeid",Methode_Keuze)),"",IF(ISNUMBER(FIND("arbeid",Methode_Keuze)),"",IF(Tb_Activiteiten[[#This Row],[Adviseur]]=1,Tb_Activiteiten[[#Headers],[Adviseur]],"")))</f>
        <v/>
      </c>
      <c r="AP5" t="str">
        <f>IF(ISNUMBER(FIND("arbeid",Methode_Keuze)),"",IF(ISNUMBER(FIND("arbeid",Methode_Keuze)),"",IF(Tb_Activiteiten[[#This Row],[Projectleider/Expert]]=1,Tb_Activiteiten[[#Headers],[Projectleider/Expert]],"")))</f>
        <v/>
      </c>
      <c r="AQ5" t="str">
        <f>IF(ISNUMBER(FIND("arbeid",Methode_Keuze)),"",IF(ISNUMBER(FIND("arbeid",Methode_Keuze)),"",IF(Tb_Activiteiten[[#This Row],[Arbeidskosten]]=1,Tb_Activiteiten[[#Headers],[Arbeidskosten]],"")))</f>
        <v/>
      </c>
      <c r="AR5" t="str">
        <f>IF(ISNUMBER(FIND("arbeid",Methode_Keuze)),"",IF(ISNUMBER(FIND("arbeid",Methode_Keuze)),"",IF(Tb_Activiteiten[[#This Row],[Arbeidskosten op basis van IKS]]=1,Tb_Activiteiten[[#Headers],[Arbeidskosten op basis van IKS]],"")))</f>
        <v/>
      </c>
      <c r="AS5" t="str">
        <f>IF(ISNUMBER(FIND("overige",Methode_Keuze)),"",IF(Tb_Activiteiten[[#This Row],[Kosten derden exclusief btw]]=1,Tb_Activiteiten[[#Headers],[Kosten derden exclusief btw]],""))</f>
        <v>Kosten derden exclusief btw</v>
      </c>
      <c r="AT5" t="str">
        <f>IF(ISNUMBER(FIND("overige",Methode_Keuze)),"",IF(Tb_Activiteiten[[#This Row],[Niet verrekenbare btw]]=1,Tb_Activiteiten[[#Headers],[Niet verrekenbare btw]],""))</f>
        <v>Niet verrekenbare btw</v>
      </c>
      <c r="AU5" t="str">
        <f>IF(ISNUMBER(FIND("overige",Methode_Keuze)),"",IF(Tb_Activiteiten[[#This Row],[Grondkosten]]=1,Tb_Activiteiten[[#Headers],[Grondkosten]],""))</f>
        <v/>
      </c>
      <c r="AV5" t="str">
        <f>IF(ISNUMBER(FIND("overige",Methode_Keuze)),"",IF(Tb_Activiteiten[[#This Row],[Bijdrage in natura (overige)]]=1,Tb_Activiteiten[[#Headers],[Bijdrage in natura (overige)]],""))</f>
        <v/>
      </c>
      <c r="AW5" t="str">
        <f>IF(ISNUMBER(FIND("overige",Methode_Keuze)),"",IF(Tb_Activiteiten[[#This Row],[Bijdrage in natura (vrijwilligers)]]=1,Tb_Activiteiten[[#Headers],[Bijdrage in natura (vrijwilligers)]],""))</f>
        <v/>
      </c>
      <c r="AX5" t="str">
        <f>IF(ISNUMBER(FIND("overige",Methode_Keuze)),"",IF(Tb_Activiteiten[[#This Row],[Afschrijvingskosten]]=1,Tb_Activiteiten[[#Headers],[Afschrijvingskosten]],""))</f>
        <v>Afschrijvingskosten</v>
      </c>
      <c r="AY5" t="str">
        <f>IF(ISNUMBER(FIND("overige",Methode_Keuze)),"",IF(Tb_Activiteiten[[#This Row],[Vergoeding]]=1,Tb_Activiteiten[[#Headers],[Vergoeding]],""))</f>
        <v/>
      </c>
      <c r="AZ5" t="str">
        <f>IF(ISNUMBER(FIND("arbeid",Methode_Keuze)),"",IF(Tb_Activiteiten[[#This Row],[Arbeidskosten - vast tarief (excl eigen arbeid)]]=1,Tb_Activiteiten[[#Headers],[Arbeidskosten - vast tarief (excl eigen arbeid)]],""))</f>
        <v/>
      </c>
      <c r="BA5" t="str">
        <f>IF(ISNUMBER(FIND("overige",Methode_Keuze)),"",IF(Tb_Activiteiten[[#This Row],[Overige kosten]]=1,Tb_Activiteiten[[#Headers],[Overige kosten]],""))</f>
        <v/>
      </c>
    </row>
    <row r="6" spans="1:53" x14ac:dyDescent="0.25">
      <c r="A6" s="231"/>
      <c r="F6" s="64"/>
      <c r="G6" s="64"/>
      <c r="H6" s="275"/>
      <c r="I6" s="275"/>
      <c r="J6" s="275"/>
      <c r="K6" s="275"/>
      <c r="M6" s="231"/>
      <c r="O6" s="56"/>
      <c r="Q6" t="str">
        <f>IFERROR(IF(VLOOKUP(Tb_Activiteiten[[#This Row],[Openstelling]],Tb_Openstelling[],2,0)=1,1,""),"")</f>
        <v/>
      </c>
      <c r="AK6" t="str">
        <f>IF(ISNUMBER(FIND("arbeid",Methode_Keuze)),"",IF(ISNUMBER(FIND("arbeid",Methode_Keuze)),"",IF(Tb_Activiteiten[[#This Row],[Loonkosten]]=1,Tb_Activiteiten[[#Headers],[Loonkosten]],"")))</f>
        <v/>
      </c>
      <c r="AL6" t="str">
        <f>IF(ISNUMBER(FIND("arbeid",Methode_Keuze)),"",IF(ISNUMBER(FIND("arbeid",Methode_Keuze)),"",IF(Tb_Activiteiten[[#This Row],[Eigen arbeid]]=1,Tb_Activiteiten[[#Headers],[Eigen arbeid]],"")))</f>
        <v/>
      </c>
      <c r="AM6" t="str">
        <f>IF(ISNUMBER(FIND("arbeid",Methode_Keuze)),"",IF(ISNUMBER(FIND("arbeid",Methode_Keuze)),"",IF(Tb_Activiteiten[[#This Row],[Projectmedewerker]]=1,Tb_Activiteiten[[#Headers],[Projectmedewerker]],"")))</f>
        <v/>
      </c>
      <c r="AN6" t="str">
        <f>IF(ISNUMBER(FIND("arbeid",Methode_Keuze)),"",IF(ISNUMBER(FIND("arbeid",Methode_Keuze)),"",IF(Tb_Activiteiten[[#This Row],[Landbouwer]]=1,Tb_Activiteiten[[#Headers],[Landbouwer]],"")))</f>
        <v/>
      </c>
      <c r="AO6" t="str">
        <f>IF(ISNUMBER(FIND("arbeid",Methode_Keuze)),"",IF(ISNUMBER(FIND("arbeid",Methode_Keuze)),"",IF(Tb_Activiteiten[[#This Row],[Adviseur]]=1,Tb_Activiteiten[[#Headers],[Adviseur]],"")))</f>
        <v/>
      </c>
      <c r="AP6" t="str">
        <f>IF(ISNUMBER(FIND("arbeid",Methode_Keuze)),"",IF(ISNUMBER(FIND("arbeid",Methode_Keuze)),"",IF(Tb_Activiteiten[[#This Row],[Projectleider/Expert]]=1,Tb_Activiteiten[[#Headers],[Projectleider/Expert]],"")))</f>
        <v/>
      </c>
      <c r="AQ6" t="str">
        <f>IF(ISNUMBER(FIND("arbeid",Methode_Keuze)),"",IF(ISNUMBER(FIND("arbeid",Methode_Keuze)),"",IF(Tb_Activiteiten[[#This Row],[Arbeidskosten]]=1,Tb_Activiteiten[[#Headers],[Arbeidskosten]],"")))</f>
        <v/>
      </c>
      <c r="AR6" t="str">
        <f>IF(ISNUMBER(FIND("arbeid",Methode_Keuze)),"",IF(ISNUMBER(FIND("arbeid",Methode_Keuze)),"",IF(Tb_Activiteiten[[#This Row],[Arbeidskosten op basis van IKS]]=1,Tb_Activiteiten[[#Headers],[Arbeidskosten op basis van IKS]],"")))</f>
        <v/>
      </c>
      <c r="AS6" t="str">
        <f>IF(ISNUMBER(FIND("overige",Methode_Keuze)),"",IF(Tb_Activiteiten[[#This Row],[Kosten derden exclusief btw]]=1,Tb_Activiteiten[[#Headers],[Kosten derden exclusief btw]],""))</f>
        <v/>
      </c>
      <c r="AT6" t="str">
        <f>IF(ISNUMBER(FIND("overige",Methode_Keuze)),"",IF(Tb_Activiteiten[[#This Row],[Niet verrekenbare btw]]=1,Tb_Activiteiten[[#Headers],[Niet verrekenbare btw]],""))</f>
        <v/>
      </c>
      <c r="AU6" t="str">
        <f>IF(ISNUMBER(FIND("overige",Methode_Keuze)),"",IF(Tb_Activiteiten[[#This Row],[Grondkosten]]=1,Tb_Activiteiten[[#Headers],[Grondkosten]],""))</f>
        <v/>
      </c>
      <c r="AV6" t="str">
        <f>IF(ISNUMBER(FIND("overige",Methode_Keuze)),"",IF(Tb_Activiteiten[[#This Row],[Bijdrage in natura (overige)]]=1,Tb_Activiteiten[[#Headers],[Bijdrage in natura (overige)]],""))</f>
        <v/>
      </c>
      <c r="AW6" t="str">
        <f>IF(ISNUMBER(FIND("overige",Methode_Keuze)),"",IF(Tb_Activiteiten[[#This Row],[Bijdrage in natura (vrijwilligers)]]=1,Tb_Activiteiten[[#Headers],[Bijdrage in natura (vrijwilligers)]],""))</f>
        <v/>
      </c>
      <c r="AX6" t="str">
        <f>IF(ISNUMBER(FIND("overige",Methode_Keuze)),"",IF(Tb_Activiteiten[[#This Row],[Afschrijvingskosten]]=1,Tb_Activiteiten[[#Headers],[Afschrijvingskosten]],""))</f>
        <v/>
      </c>
      <c r="AY6" t="str">
        <f>IF(ISNUMBER(FIND("overige",Methode_Keuze)),"",IF(Tb_Activiteiten[[#This Row],[Vergoeding]]=1,Tb_Activiteiten[[#Headers],[Vergoeding]],""))</f>
        <v/>
      </c>
      <c r="AZ6" t="str">
        <f>IF(ISNUMBER(FIND("arbeid",Methode_Keuze)),"",IF(Tb_Activiteiten[[#This Row],[Arbeidskosten - vast tarief (excl eigen arbeid)]]=1,Tb_Activiteiten[[#Headers],[Arbeidskosten - vast tarief (excl eigen arbeid)]],""))</f>
        <v/>
      </c>
      <c r="BA6" t="str">
        <f>IF(ISNUMBER(FIND("overige",Methode_Keuze)),"",IF(Tb_Activiteiten[[#This Row],[Overige kosten]]=1,Tb_Activiteiten[[#Headers],[Overige kosten]],""))</f>
        <v/>
      </c>
    </row>
    <row r="7" spans="1:53" x14ac:dyDescent="0.25">
      <c r="A7" s="231"/>
      <c r="F7" s="64"/>
      <c r="G7" s="64"/>
      <c r="H7" s="275"/>
      <c r="I7" s="275"/>
      <c r="J7" s="275"/>
      <c r="K7" s="275"/>
      <c r="O7" s="56"/>
      <c r="Q7" t="str">
        <f>IFERROR(IF(VLOOKUP(Tb_Activiteiten[[#This Row],[Openstelling]],Tb_Openstelling[],2,0)=1,1,""),"")</f>
        <v/>
      </c>
      <c r="AK7" t="str">
        <f>IF(ISNUMBER(FIND("arbeid",Methode_Keuze)),"",IF(ISNUMBER(FIND("arbeid",Methode_Keuze)),"",IF(Tb_Activiteiten[[#This Row],[Loonkosten]]=1,Tb_Activiteiten[[#Headers],[Loonkosten]],"")))</f>
        <v/>
      </c>
      <c r="AL7" t="str">
        <f>IF(ISNUMBER(FIND("arbeid",Methode_Keuze)),"",IF(ISNUMBER(FIND("arbeid",Methode_Keuze)),"",IF(Tb_Activiteiten[[#This Row],[Eigen arbeid]]=1,Tb_Activiteiten[[#Headers],[Eigen arbeid]],"")))</f>
        <v/>
      </c>
      <c r="AM7" t="str">
        <f>IF(ISNUMBER(FIND("arbeid",Methode_Keuze)),"",IF(ISNUMBER(FIND("arbeid",Methode_Keuze)),"",IF(Tb_Activiteiten[[#This Row],[Projectmedewerker]]=1,Tb_Activiteiten[[#Headers],[Projectmedewerker]],"")))</f>
        <v/>
      </c>
      <c r="AN7" t="str">
        <f>IF(ISNUMBER(FIND("arbeid",Methode_Keuze)),"",IF(ISNUMBER(FIND("arbeid",Methode_Keuze)),"",IF(Tb_Activiteiten[[#This Row],[Landbouwer]]=1,Tb_Activiteiten[[#Headers],[Landbouwer]],"")))</f>
        <v/>
      </c>
      <c r="AO7" t="str">
        <f>IF(ISNUMBER(FIND("arbeid",Methode_Keuze)),"",IF(ISNUMBER(FIND("arbeid",Methode_Keuze)),"",IF(Tb_Activiteiten[[#This Row],[Adviseur]]=1,Tb_Activiteiten[[#Headers],[Adviseur]],"")))</f>
        <v/>
      </c>
      <c r="AP7" t="str">
        <f>IF(ISNUMBER(FIND("arbeid",Methode_Keuze)),"",IF(ISNUMBER(FIND("arbeid",Methode_Keuze)),"",IF(Tb_Activiteiten[[#This Row],[Projectleider/Expert]]=1,Tb_Activiteiten[[#Headers],[Projectleider/Expert]],"")))</f>
        <v/>
      </c>
      <c r="AQ7" t="str">
        <f>IF(ISNUMBER(FIND("arbeid",Methode_Keuze)),"",IF(ISNUMBER(FIND("arbeid",Methode_Keuze)),"",IF(Tb_Activiteiten[[#This Row],[Arbeidskosten]]=1,Tb_Activiteiten[[#Headers],[Arbeidskosten]],"")))</f>
        <v/>
      </c>
      <c r="AR7" t="str">
        <f>IF(ISNUMBER(FIND("arbeid",Methode_Keuze)),"",IF(ISNUMBER(FIND("arbeid",Methode_Keuze)),"",IF(Tb_Activiteiten[[#This Row],[Arbeidskosten op basis van IKS]]=1,Tb_Activiteiten[[#Headers],[Arbeidskosten op basis van IKS]],"")))</f>
        <v/>
      </c>
      <c r="AS7" t="str">
        <f>IF(ISNUMBER(FIND("overige",Methode_Keuze)),"",IF(Tb_Activiteiten[[#This Row],[Kosten derden exclusief btw]]=1,Tb_Activiteiten[[#Headers],[Kosten derden exclusief btw]],""))</f>
        <v/>
      </c>
      <c r="AT7" t="str">
        <f>IF(ISNUMBER(FIND("overige",Methode_Keuze)),"",IF(Tb_Activiteiten[[#This Row],[Niet verrekenbare btw]]=1,Tb_Activiteiten[[#Headers],[Niet verrekenbare btw]],""))</f>
        <v/>
      </c>
      <c r="AU7" t="str">
        <f>IF(ISNUMBER(FIND("overige",Methode_Keuze)),"",IF(Tb_Activiteiten[[#This Row],[Grondkosten]]=1,Tb_Activiteiten[[#Headers],[Grondkosten]],""))</f>
        <v/>
      </c>
      <c r="AV7" t="str">
        <f>IF(ISNUMBER(FIND("overige",Methode_Keuze)),"",IF(Tb_Activiteiten[[#This Row],[Bijdrage in natura (overige)]]=1,Tb_Activiteiten[[#Headers],[Bijdrage in natura (overige)]],""))</f>
        <v/>
      </c>
      <c r="AW7" t="str">
        <f>IF(ISNUMBER(FIND("overige",Methode_Keuze)),"",IF(Tb_Activiteiten[[#This Row],[Bijdrage in natura (vrijwilligers)]]=1,Tb_Activiteiten[[#Headers],[Bijdrage in natura (vrijwilligers)]],""))</f>
        <v/>
      </c>
      <c r="AX7" t="str">
        <f>IF(ISNUMBER(FIND("overige",Methode_Keuze)),"",IF(Tb_Activiteiten[[#This Row],[Afschrijvingskosten]]=1,Tb_Activiteiten[[#Headers],[Afschrijvingskosten]],""))</f>
        <v/>
      </c>
      <c r="AY7" t="str">
        <f>IF(ISNUMBER(FIND("overige",Methode_Keuze)),"",IF(Tb_Activiteiten[[#This Row],[Vergoeding]]=1,Tb_Activiteiten[[#Headers],[Vergoeding]],""))</f>
        <v/>
      </c>
      <c r="AZ7" t="str">
        <f>IF(ISNUMBER(FIND("arbeid",Methode_Keuze)),"",IF(Tb_Activiteiten[[#This Row],[Arbeidskosten - vast tarief (excl eigen arbeid)]]=1,Tb_Activiteiten[[#Headers],[Arbeidskosten - vast tarief (excl eigen arbeid)]],""))</f>
        <v/>
      </c>
      <c r="BA7" t="str">
        <f>IF(ISNUMBER(FIND("overige",Methode_Keuze)),"",IF(Tb_Activiteiten[[#This Row],[Overige kosten]]=1,Tb_Activiteiten[[#Headers],[Overige kosten]],""))</f>
        <v/>
      </c>
    </row>
    <row r="8" spans="1:53" x14ac:dyDescent="0.25">
      <c r="A8" s="231"/>
      <c r="F8" s="64"/>
      <c r="G8" s="64"/>
      <c r="H8" s="275"/>
      <c r="I8" s="275"/>
      <c r="J8" s="275"/>
      <c r="K8" s="275"/>
      <c r="O8" s="56"/>
      <c r="Q8" t="str">
        <f>IFERROR(IF(VLOOKUP(Tb_Activiteiten[[#This Row],[Openstelling]],Tb_Openstelling[],2,0)=1,1,""),"")</f>
        <v/>
      </c>
      <c r="AK8" t="str">
        <f>IF(ISNUMBER(FIND("arbeid",Methode_Keuze)),"",IF(ISNUMBER(FIND("arbeid",Methode_Keuze)),"",IF(Tb_Activiteiten[[#This Row],[Loonkosten]]=1,Tb_Activiteiten[[#Headers],[Loonkosten]],"")))</f>
        <v/>
      </c>
      <c r="AL8" t="str">
        <f>IF(ISNUMBER(FIND("arbeid",Methode_Keuze)),"",IF(ISNUMBER(FIND("arbeid",Methode_Keuze)),"",IF(Tb_Activiteiten[[#This Row],[Eigen arbeid]]=1,Tb_Activiteiten[[#Headers],[Eigen arbeid]],"")))</f>
        <v/>
      </c>
      <c r="AM8" t="str">
        <f>IF(ISNUMBER(FIND("arbeid",Methode_Keuze)),"",IF(ISNUMBER(FIND("arbeid",Methode_Keuze)),"",IF(Tb_Activiteiten[[#This Row],[Projectmedewerker]]=1,Tb_Activiteiten[[#Headers],[Projectmedewerker]],"")))</f>
        <v/>
      </c>
      <c r="AN8" t="str">
        <f>IF(ISNUMBER(FIND("arbeid",Methode_Keuze)),"",IF(ISNUMBER(FIND("arbeid",Methode_Keuze)),"",IF(Tb_Activiteiten[[#This Row],[Landbouwer]]=1,Tb_Activiteiten[[#Headers],[Landbouwer]],"")))</f>
        <v/>
      </c>
      <c r="AO8" t="str">
        <f>IF(ISNUMBER(FIND("arbeid",Methode_Keuze)),"",IF(ISNUMBER(FIND("arbeid",Methode_Keuze)),"",IF(Tb_Activiteiten[[#This Row],[Adviseur]]=1,Tb_Activiteiten[[#Headers],[Adviseur]],"")))</f>
        <v/>
      </c>
      <c r="AP8" t="str">
        <f>IF(ISNUMBER(FIND("arbeid",Methode_Keuze)),"",IF(ISNUMBER(FIND("arbeid",Methode_Keuze)),"",IF(Tb_Activiteiten[[#This Row],[Projectleider/Expert]]=1,Tb_Activiteiten[[#Headers],[Projectleider/Expert]],"")))</f>
        <v/>
      </c>
      <c r="AQ8" t="str">
        <f>IF(ISNUMBER(FIND("arbeid",Methode_Keuze)),"",IF(ISNUMBER(FIND("arbeid",Methode_Keuze)),"",IF(Tb_Activiteiten[[#This Row],[Arbeidskosten]]=1,Tb_Activiteiten[[#Headers],[Arbeidskosten]],"")))</f>
        <v/>
      </c>
      <c r="AR8" t="str">
        <f>IF(ISNUMBER(FIND("arbeid",Methode_Keuze)),"",IF(ISNUMBER(FIND("arbeid",Methode_Keuze)),"",IF(Tb_Activiteiten[[#This Row],[Arbeidskosten op basis van IKS]]=1,Tb_Activiteiten[[#Headers],[Arbeidskosten op basis van IKS]],"")))</f>
        <v/>
      </c>
      <c r="AS8" t="str">
        <f>IF(ISNUMBER(FIND("overige",Methode_Keuze)),"",IF(Tb_Activiteiten[[#This Row],[Kosten derden exclusief btw]]=1,Tb_Activiteiten[[#Headers],[Kosten derden exclusief btw]],""))</f>
        <v/>
      </c>
      <c r="AT8" t="str">
        <f>IF(ISNUMBER(FIND("overige",Methode_Keuze)),"",IF(Tb_Activiteiten[[#This Row],[Niet verrekenbare btw]]=1,Tb_Activiteiten[[#Headers],[Niet verrekenbare btw]],""))</f>
        <v/>
      </c>
      <c r="AU8" t="str">
        <f>IF(ISNUMBER(FIND("overige",Methode_Keuze)),"",IF(Tb_Activiteiten[[#This Row],[Grondkosten]]=1,Tb_Activiteiten[[#Headers],[Grondkosten]],""))</f>
        <v/>
      </c>
      <c r="AV8" t="str">
        <f>IF(ISNUMBER(FIND("overige",Methode_Keuze)),"",IF(Tb_Activiteiten[[#This Row],[Bijdrage in natura (overige)]]=1,Tb_Activiteiten[[#Headers],[Bijdrage in natura (overige)]],""))</f>
        <v/>
      </c>
      <c r="AW8" t="str">
        <f>IF(ISNUMBER(FIND("overige",Methode_Keuze)),"",IF(Tb_Activiteiten[[#This Row],[Bijdrage in natura (vrijwilligers)]]=1,Tb_Activiteiten[[#Headers],[Bijdrage in natura (vrijwilligers)]],""))</f>
        <v/>
      </c>
      <c r="AX8" t="str">
        <f>IF(ISNUMBER(FIND("overige",Methode_Keuze)),"",IF(Tb_Activiteiten[[#This Row],[Afschrijvingskosten]]=1,Tb_Activiteiten[[#Headers],[Afschrijvingskosten]],""))</f>
        <v/>
      </c>
      <c r="AY8" t="str">
        <f>IF(ISNUMBER(FIND("overige",Methode_Keuze)),"",IF(Tb_Activiteiten[[#This Row],[Vergoeding]]=1,Tb_Activiteiten[[#Headers],[Vergoeding]],""))</f>
        <v/>
      </c>
      <c r="AZ8" t="str">
        <f>IF(ISNUMBER(FIND("arbeid",Methode_Keuze)),"",IF(Tb_Activiteiten[[#This Row],[Arbeidskosten - vast tarief (excl eigen arbeid)]]=1,Tb_Activiteiten[[#Headers],[Arbeidskosten - vast tarief (excl eigen arbeid)]],""))</f>
        <v/>
      </c>
      <c r="BA8" t="str">
        <f>IF(ISNUMBER(FIND("overige",Methode_Keuze)),"",IF(Tb_Activiteiten[[#This Row],[Overige kosten]]=1,Tb_Activiteiten[[#Headers],[Overige kosten]],""))</f>
        <v/>
      </c>
    </row>
    <row r="9" spans="1:53" x14ac:dyDescent="0.25">
      <c r="A9" s="231"/>
      <c r="F9" s="64"/>
      <c r="G9" s="64"/>
      <c r="H9" s="275"/>
      <c r="I9" s="275"/>
      <c r="J9" s="275"/>
      <c r="K9" s="275"/>
      <c r="O9" s="56"/>
      <c r="Q9" t="str">
        <f>IFERROR(IF(VLOOKUP(Tb_Activiteiten[[#This Row],[Openstelling]],Tb_Openstelling[],2,0)=1,1,""),"")</f>
        <v/>
      </c>
      <c r="AK9" t="str">
        <f>IF(ISNUMBER(FIND("arbeid",Methode_Keuze)),"",IF(ISNUMBER(FIND("arbeid",Methode_Keuze)),"",IF(Tb_Activiteiten[[#This Row],[Loonkosten]]=1,Tb_Activiteiten[[#Headers],[Loonkosten]],"")))</f>
        <v/>
      </c>
      <c r="AL9" t="str">
        <f>IF(ISNUMBER(FIND("arbeid",Methode_Keuze)),"",IF(ISNUMBER(FIND("arbeid",Methode_Keuze)),"",IF(Tb_Activiteiten[[#This Row],[Eigen arbeid]]=1,Tb_Activiteiten[[#Headers],[Eigen arbeid]],"")))</f>
        <v/>
      </c>
      <c r="AM9" t="str">
        <f>IF(ISNUMBER(FIND("arbeid",Methode_Keuze)),"",IF(ISNUMBER(FIND("arbeid",Methode_Keuze)),"",IF(Tb_Activiteiten[[#This Row],[Projectmedewerker]]=1,Tb_Activiteiten[[#Headers],[Projectmedewerker]],"")))</f>
        <v/>
      </c>
      <c r="AN9" t="str">
        <f>IF(ISNUMBER(FIND("arbeid",Methode_Keuze)),"",IF(ISNUMBER(FIND("arbeid",Methode_Keuze)),"",IF(Tb_Activiteiten[[#This Row],[Landbouwer]]=1,Tb_Activiteiten[[#Headers],[Landbouwer]],"")))</f>
        <v/>
      </c>
      <c r="AO9" t="str">
        <f>IF(ISNUMBER(FIND("arbeid",Methode_Keuze)),"",IF(ISNUMBER(FIND("arbeid",Methode_Keuze)),"",IF(Tb_Activiteiten[[#This Row],[Adviseur]]=1,Tb_Activiteiten[[#Headers],[Adviseur]],"")))</f>
        <v/>
      </c>
      <c r="AP9" t="str">
        <f>IF(ISNUMBER(FIND("arbeid",Methode_Keuze)),"",IF(ISNUMBER(FIND("arbeid",Methode_Keuze)),"",IF(Tb_Activiteiten[[#This Row],[Projectleider/Expert]]=1,Tb_Activiteiten[[#Headers],[Projectleider/Expert]],"")))</f>
        <v/>
      </c>
      <c r="AQ9" t="str">
        <f>IF(ISNUMBER(FIND("arbeid",Methode_Keuze)),"",IF(ISNUMBER(FIND("arbeid",Methode_Keuze)),"",IF(Tb_Activiteiten[[#This Row],[Arbeidskosten]]=1,Tb_Activiteiten[[#Headers],[Arbeidskosten]],"")))</f>
        <v/>
      </c>
      <c r="AR9" t="str">
        <f>IF(ISNUMBER(FIND("arbeid",Methode_Keuze)),"",IF(ISNUMBER(FIND("arbeid",Methode_Keuze)),"",IF(Tb_Activiteiten[[#This Row],[Arbeidskosten op basis van IKS]]=1,Tb_Activiteiten[[#Headers],[Arbeidskosten op basis van IKS]],"")))</f>
        <v/>
      </c>
      <c r="AS9" t="str">
        <f>IF(ISNUMBER(FIND("overige",Methode_Keuze)),"",IF(Tb_Activiteiten[[#This Row],[Kosten derden exclusief btw]]=1,Tb_Activiteiten[[#Headers],[Kosten derden exclusief btw]],""))</f>
        <v/>
      </c>
      <c r="AT9" t="str">
        <f>IF(ISNUMBER(FIND("overige",Methode_Keuze)),"",IF(Tb_Activiteiten[[#This Row],[Niet verrekenbare btw]]=1,Tb_Activiteiten[[#Headers],[Niet verrekenbare btw]],""))</f>
        <v/>
      </c>
      <c r="AU9" t="str">
        <f>IF(ISNUMBER(FIND("overige",Methode_Keuze)),"",IF(Tb_Activiteiten[[#This Row],[Grondkosten]]=1,Tb_Activiteiten[[#Headers],[Grondkosten]],""))</f>
        <v/>
      </c>
      <c r="AV9" t="str">
        <f>IF(ISNUMBER(FIND("overige",Methode_Keuze)),"",IF(Tb_Activiteiten[[#This Row],[Bijdrage in natura (overige)]]=1,Tb_Activiteiten[[#Headers],[Bijdrage in natura (overige)]],""))</f>
        <v/>
      </c>
      <c r="AW9" t="str">
        <f>IF(ISNUMBER(FIND("overige",Methode_Keuze)),"",IF(Tb_Activiteiten[[#This Row],[Bijdrage in natura (vrijwilligers)]]=1,Tb_Activiteiten[[#Headers],[Bijdrage in natura (vrijwilligers)]],""))</f>
        <v/>
      </c>
      <c r="AX9" t="str">
        <f>IF(ISNUMBER(FIND("overige",Methode_Keuze)),"",IF(Tb_Activiteiten[[#This Row],[Afschrijvingskosten]]=1,Tb_Activiteiten[[#Headers],[Afschrijvingskosten]],""))</f>
        <v/>
      </c>
      <c r="AY9" t="str">
        <f>IF(ISNUMBER(FIND("overige",Methode_Keuze)),"",IF(Tb_Activiteiten[[#This Row],[Vergoeding]]=1,Tb_Activiteiten[[#Headers],[Vergoeding]],""))</f>
        <v/>
      </c>
      <c r="AZ9" t="str">
        <f>IF(ISNUMBER(FIND("arbeid",Methode_Keuze)),"",IF(Tb_Activiteiten[[#This Row],[Arbeidskosten - vast tarief (excl eigen arbeid)]]=1,Tb_Activiteiten[[#Headers],[Arbeidskosten - vast tarief (excl eigen arbeid)]],""))</f>
        <v/>
      </c>
      <c r="BA9" t="str">
        <f>IF(ISNUMBER(FIND("overige",Methode_Keuze)),"",IF(Tb_Activiteiten[[#This Row],[Overige kosten]]=1,Tb_Activiteiten[[#Headers],[Overige kosten]],""))</f>
        <v/>
      </c>
    </row>
    <row r="10" spans="1:53" x14ac:dyDescent="0.25">
      <c r="A10" s="231"/>
      <c r="F10" s="64"/>
      <c r="G10" s="64"/>
      <c r="H10" s="275"/>
      <c r="I10" s="275"/>
      <c r="J10" s="275"/>
      <c r="K10" s="275"/>
      <c r="O10" s="56"/>
      <c r="Q10" t="str">
        <f>IFERROR(IF(VLOOKUP(Tb_Activiteiten[[#This Row],[Openstelling]],Tb_Openstelling[],2,0)=1,1,""),"")</f>
        <v/>
      </c>
      <c r="AK10" t="str">
        <f>IF(ISNUMBER(FIND("arbeid",Methode_Keuze)),"",IF(ISNUMBER(FIND("arbeid",Methode_Keuze)),"",IF(Tb_Activiteiten[[#This Row],[Loonkosten]]=1,Tb_Activiteiten[[#Headers],[Loonkosten]],"")))</f>
        <v/>
      </c>
      <c r="AL10" t="str">
        <f>IF(ISNUMBER(FIND("arbeid",Methode_Keuze)),"",IF(ISNUMBER(FIND("arbeid",Methode_Keuze)),"",IF(Tb_Activiteiten[[#This Row],[Eigen arbeid]]=1,Tb_Activiteiten[[#Headers],[Eigen arbeid]],"")))</f>
        <v/>
      </c>
      <c r="AM10" t="str">
        <f>IF(ISNUMBER(FIND("arbeid",Methode_Keuze)),"",IF(ISNUMBER(FIND("arbeid",Methode_Keuze)),"",IF(Tb_Activiteiten[[#This Row],[Projectmedewerker]]=1,Tb_Activiteiten[[#Headers],[Projectmedewerker]],"")))</f>
        <v/>
      </c>
      <c r="AN10" t="str">
        <f>IF(ISNUMBER(FIND("arbeid",Methode_Keuze)),"",IF(ISNUMBER(FIND("arbeid",Methode_Keuze)),"",IF(Tb_Activiteiten[[#This Row],[Landbouwer]]=1,Tb_Activiteiten[[#Headers],[Landbouwer]],"")))</f>
        <v/>
      </c>
      <c r="AO10" t="str">
        <f>IF(ISNUMBER(FIND("arbeid",Methode_Keuze)),"",IF(ISNUMBER(FIND("arbeid",Methode_Keuze)),"",IF(Tb_Activiteiten[[#This Row],[Adviseur]]=1,Tb_Activiteiten[[#Headers],[Adviseur]],"")))</f>
        <v/>
      </c>
      <c r="AP10" t="str">
        <f>IF(ISNUMBER(FIND("arbeid",Methode_Keuze)),"",IF(ISNUMBER(FIND("arbeid",Methode_Keuze)),"",IF(Tb_Activiteiten[[#This Row],[Projectleider/Expert]]=1,Tb_Activiteiten[[#Headers],[Projectleider/Expert]],"")))</f>
        <v/>
      </c>
      <c r="AQ10" t="str">
        <f>IF(ISNUMBER(FIND("arbeid",Methode_Keuze)),"",IF(ISNUMBER(FIND("arbeid",Methode_Keuze)),"",IF(Tb_Activiteiten[[#This Row],[Arbeidskosten]]=1,Tb_Activiteiten[[#Headers],[Arbeidskosten]],"")))</f>
        <v/>
      </c>
      <c r="AR10" t="str">
        <f>IF(ISNUMBER(FIND("arbeid",Methode_Keuze)),"",IF(ISNUMBER(FIND("arbeid",Methode_Keuze)),"",IF(Tb_Activiteiten[[#This Row],[Arbeidskosten op basis van IKS]]=1,Tb_Activiteiten[[#Headers],[Arbeidskosten op basis van IKS]],"")))</f>
        <v/>
      </c>
      <c r="AS10" t="str">
        <f>IF(ISNUMBER(FIND("overige",Methode_Keuze)),"",IF(Tb_Activiteiten[[#This Row],[Kosten derden exclusief btw]]=1,Tb_Activiteiten[[#Headers],[Kosten derden exclusief btw]],""))</f>
        <v/>
      </c>
      <c r="AT10" t="str">
        <f>IF(ISNUMBER(FIND("overige",Methode_Keuze)),"",IF(Tb_Activiteiten[[#This Row],[Niet verrekenbare btw]]=1,Tb_Activiteiten[[#Headers],[Niet verrekenbare btw]],""))</f>
        <v/>
      </c>
      <c r="AU10" t="str">
        <f>IF(ISNUMBER(FIND("overige",Methode_Keuze)),"",IF(Tb_Activiteiten[[#This Row],[Grondkosten]]=1,Tb_Activiteiten[[#Headers],[Grondkosten]],""))</f>
        <v/>
      </c>
      <c r="AV10" t="str">
        <f>IF(ISNUMBER(FIND("overige",Methode_Keuze)),"",IF(Tb_Activiteiten[[#This Row],[Bijdrage in natura (overige)]]=1,Tb_Activiteiten[[#Headers],[Bijdrage in natura (overige)]],""))</f>
        <v/>
      </c>
      <c r="AW10" t="str">
        <f>IF(ISNUMBER(FIND("overige",Methode_Keuze)),"",IF(Tb_Activiteiten[[#This Row],[Bijdrage in natura (vrijwilligers)]]=1,Tb_Activiteiten[[#Headers],[Bijdrage in natura (vrijwilligers)]],""))</f>
        <v/>
      </c>
      <c r="AX10" t="str">
        <f>IF(ISNUMBER(FIND("overige",Methode_Keuze)),"",IF(Tb_Activiteiten[[#This Row],[Afschrijvingskosten]]=1,Tb_Activiteiten[[#Headers],[Afschrijvingskosten]],""))</f>
        <v/>
      </c>
      <c r="AY10" t="str">
        <f>IF(ISNUMBER(FIND("overige",Methode_Keuze)),"",IF(Tb_Activiteiten[[#This Row],[Vergoeding]]=1,Tb_Activiteiten[[#Headers],[Vergoeding]],""))</f>
        <v/>
      </c>
      <c r="AZ10" t="str">
        <f>IF(ISNUMBER(FIND("arbeid",Methode_Keuze)),"",IF(Tb_Activiteiten[[#This Row],[Arbeidskosten - vast tarief (excl eigen arbeid)]]=1,Tb_Activiteiten[[#Headers],[Arbeidskosten - vast tarief (excl eigen arbeid)]],""))</f>
        <v/>
      </c>
      <c r="BA10" t="str">
        <f>IF(ISNUMBER(FIND("overige",Methode_Keuze)),"",IF(Tb_Activiteiten[[#This Row],[Overige kosten]]=1,Tb_Activiteiten[[#Headers],[Overige kosten]],""))</f>
        <v/>
      </c>
    </row>
    <row r="11" spans="1:53" x14ac:dyDescent="0.25">
      <c r="A11" s="231"/>
      <c r="F11" s="64"/>
      <c r="G11" s="64"/>
      <c r="H11" s="275"/>
      <c r="I11" s="275"/>
      <c r="J11" s="275"/>
      <c r="K11" s="275"/>
      <c r="O11" s="56"/>
      <c r="Q11" t="str">
        <f>IFERROR(IF(VLOOKUP(Tb_Activiteiten[[#This Row],[Openstelling]],Tb_Openstelling[],2,0)=1,1,""),"")</f>
        <v/>
      </c>
      <c r="AK11" t="str">
        <f>IF(ISNUMBER(FIND("arbeid",Methode_Keuze)),"",IF(ISNUMBER(FIND("arbeid",Methode_Keuze)),"",IF(Tb_Activiteiten[[#This Row],[Loonkosten]]=1,Tb_Activiteiten[[#Headers],[Loonkosten]],"")))</f>
        <v/>
      </c>
      <c r="AL11" t="str">
        <f>IF(ISNUMBER(FIND("arbeid",Methode_Keuze)),"",IF(ISNUMBER(FIND("arbeid",Methode_Keuze)),"",IF(Tb_Activiteiten[[#This Row],[Eigen arbeid]]=1,Tb_Activiteiten[[#Headers],[Eigen arbeid]],"")))</f>
        <v/>
      </c>
      <c r="AM11" t="str">
        <f>IF(ISNUMBER(FIND("arbeid",Methode_Keuze)),"",IF(ISNUMBER(FIND("arbeid",Methode_Keuze)),"",IF(Tb_Activiteiten[[#This Row],[Projectmedewerker]]=1,Tb_Activiteiten[[#Headers],[Projectmedewerker]],"")))</f>
        <v/>
      </c>
      <c r="AN11" t="str">
        <f>IF(ISNUMBER(FIND("arbeid",Methode_Keuze)),"",IF(ISNUMBER(FIND("arbeid",Methode_Keuze)),"",IF(Tb_Activiteiten[[#This Row],[Landbouwer]]=1,Tb_Activiteiten[[#Headers],[Landbouwer]],"")))</f>
        <v/>
      </c>
      <c r="AO11" t="str">
        <f>IF(ISNUMBER(FIND("arbeid",Methode_Keuze)),"",IF(ISNUMBER(FIND("arbeid",Methode_Keuze)),"",IF(Tb_Activiteiten[[#This Row],[Adviseur]]=1,Tb_Activiteiten[[#Headers],[Adviseur]],"")))</f>
        <v/>
      </c>
      <c r="AP11" t="str">
        <f>IF(ISNUMBER(FIND("arbeid",Methode_Keuze)),"",IF(ISNUMBER(FIND("arbeid",Methode_Keuze)),"",IF(Tb_Activiteiten[[#This Row],[Projectleider/Expert]]=1,Tb_Activiteiten[[#Headers],[Projectleider/Expert]],"")))</f>
        <v/>
      </c>
      <c r="AQ11" t="str">
        <f>IF(ISNUMBER(FIND("arbeid",Methode_Keuze)),"",IF(ISNUMBER(FIND("arbeid",Methode_Keuze)),"",IF(Tb_Activiteiten[[#This Row],[Arbeidskosten]]=1,Tb_Activiteiten[[#Headers],[Arbeidskosten]],"")))</f>
        <v/>
      </c>
      <c r="AR11" t="str">
        <f>IF(ISNUMBER(FIND("arbeid",Methode_Keuze)),"",IF(ISNUMBER(FIND("arbeid",Methode_Keuze)),"",IF(Tb_Activiteiten[[#This Row],[Arbeidskosten op basis van IKS]]=1,Tb_Activiteiten[[#Headers],[Arbeidskosten op basis van IKS]],"")))</f>
        <v/>
      </c>
      <c r="AS11" t="str">
        <f>IF(ISNUMBER(FIND("overige",Methode_Keuze)),"",IF(Tb_Activiteiten[[#This Row],[Kosten derden exclusief btw]]=1,Tb_Activiteiten[[#Headers],[Kosten derden exclusief btw]],""))</f>
        <v/>
      </c>
      <c r="AT11" t="str">
        <f>IF(ISNUMBER(FIND("overige",Methode_Keuze)),"",IF(Tb_Activiteiten[[#This Row],[Niet verrekenbare btw]]=1,Tb_Activiteiten[[#Headers],[Niet verrekenbare btw]],""))</f>
        <v/>
      </c>
      <c r="AU11" t="str">
        <f>IF(ISNUMBER(FIND("overige",Methode_Keuze)),"",IF(Tb_Activiteiten[[#This Row],[Grondkosten]]=1,Tb_Activiteiten[[#Headers],[Grondkosten]],""))</f>
        <v/>
      </c>
      <c r="AV11" t="str">
        <f>IF(ISNUMBER(FIND("overige",Methode_Keuze)),"",IF(Tb_Activiteiten[[#This Row],[Bijdrage in natura (overige)]]=1,Tb_Activiteiten[[#Headers],[Bijdrage in natura (overige)]],""))</f>
        <v/>
      </c>
      <c r="AW11" t="str">
        <f>IF(ISNUMBER(FIND("overige",Methode_Keuze)),"",IF(Tb_Activiteiten[[#This Row],[Bijdrage in natura (vrijwilligers)]]=1,Tb_Activiteiten[[#Headers],[Bijdrage in natura (vrijwilligers)]],""))</f>
        <v/>
      </c>
      <c r="AX11" t="str">
        <f>IF(ISNUMBER(FIND("overige",Methode_Keuze)),"",IF(Tb_Activiteiten[[#This Row],[Afschrijvingskosten]]=1,Tb_Activiteiten[[#Headers],[Afschrijvingskosten]],""))</f>
        <v/>
      </c>
      <c r="AY11" t="str">
        <f>IF(ISNUMBER(FIND("overige",Methode_Keuze)),"",IF(Tb_Activiteiten[[#This Row],[Vergoeding]]=1,Tb_Activiteiten[[#Headers],[Vergoeding]],""))</f>
        <v/>
      </c>
      <c r="AZ11" t="str">
        <f>IF(ISNUMBER(FIND("arbeid",Methode_Keuze)),"",IF(Tb_Activiteiten[[#This Row],[Arbeidskosten - vast tarief (excl eigen arbeid)]]=1,Tb_Activiteiten[[#Headers],[Arbeidskosten - vast tarief (excl eigen arbeid)]],""))</f>
        <v/>
      </c>
      <c r="BA11" t="str">
        <f>IF(ISNUMBER(FIND("overige",Methode_Keuze)),"",IF(Tb_Activiteiten[[#This Row],[Overige kosten]]=1,Tb_Activiteiten[[#Headers],[Overige kosten]],""))</f>
        <v/>
      </c>
    </row>
    <row r="12" spans="1:53" x14ac:dyDescent="0.25">
      <c r="A12" s="231"/>
      <c r="F12" s="64"/>
      <c r="G12" s="64"/>
      <c r="H12" s="275"/>
      <c r="I12" s="275"/>
      <c r="J12" s="275"/>
      <c r="K12" s="275"/>
      <c r="O12" s="56"/>
      <c r="Q12" t="str">
        <f>IFERROR(IF(VLOOKUP(Tb_Activiteiten[[#This Row],[Openstelling]],Tb_Openstelling[],2,0)=1,1,""),"")</f>
        <v/>
      </c>
      <c r="AK12" t="str">
        <f>IF(ISNUMBER(FIND("arbeid",Methode_Keuze)),"",IF(ISNUMBER(FIND("arbeid",Methode_Keuze)),"",IF(Tb_Activiteiten[[#This Row],[Loonkosten]]=1,Tb_Activiteiten[[#Headers],[Loonkosten]],"")))</f>
        <v/>
      </c>
      <c r="AL12" t="str">
        <f>IF(ISNUMBER(FIND("arbeid",Methode_Keuze)),"",IF(ISNUMBER(FIND("arbeid",Methode_Keuze)),"",IF(Tb_Activiteiten[[#This Row],[Eigen arbeid]]=1,Tb_Activiteiten[[#Headers],[Eigen arbeid]],"")))</f>
        <v/>
      </c>
      <c r="AM12" t="str">
        <f>IF(ISNUMBER(FIND("arbeid",Methode_Keuze)),"",IF(ISNUMBER(FIND("arbeid",Methode_Keuze)),"",IF(Tb_Activiteiten[[#This Row],[Projectmedewerker]]=1,Tb_Activiteiten[[#Headers],[Projectmedewerker]],"")))</f>
        <v/>
      </c>
      <c r="AN12" t="str">
        <f>IF(ISNUMBER(FIND("arbeid",Methode_Keuze)),"",IF(ISNUMBER(FIND("arbeid",Methode_Keuze)),"",IF(Tb_Activiteiten[[#This Row],[Landbouwer]]=1,Tb_Activiteiten[[#Headers],[Landbouwer]],"")))</f>
        <v/>
      </c>
      <c r="AO12" t="str">
        <f>IF(ISNUMBER(FIND("arbeid",Methode_Keuze)),"",IF(ISNUMBER(FIND("arbeid",Methode_Keuze)),"",IF(Tb_Activiteiten[[#This Row],[Adviseur]]=1,Tb_Activiteiten[[#Headers],[Adviseur]],"")))</f>
        <v/>
      </c>
      <c r="AP12" t="str">
        <f>IF(ISNUMBER(FIND("arbeid",Methode_Keuze)),"",IF(ISNUMBER(FIND("arbeid",Methode_Keuze)),"",IF(Tb_Activiteiten[[#This Row],[Projectleider/Expert]]=1,Tb_Activiteiten[[#Headers],[Projectleider/Expert]],"")))</f>
        <v/>
      </c>
      <c r="AQ12" t="str">
        <f>IF(ISNUMBER(FIND("arbeid",Methode_Keuze)),"",IF(ISNUMBER(FIND("arbeid",Methode_Keuze)),"",IF(Tb_Activiteiten[[#This Row],[Arbeidskosten]]=1,Tb_Activiteiten[[#Headers],[Arbeidskosten]],"")))</f>
        <v/>
      </c>
      <c r="AR12" t="str">
        <f>IF(ISNUMBER(FIND("arbeid",Methode_Keuze)),"",IF(ISNUMBER(FIND("arbeid",Methode_Keuze)),"",IF(Tb_Activiteiten[[#This Row],[Arbeidskosten op basis van IKS]]=1,Tb_Activiteiten[[#Headers],[Arbeidskosten op basis van IKS]],"")))</f>
        <v/>
      </c>
      <c r="AS12" t="str">
        <f>IF(ISNUMBER(FIND("overige",Methode_Keuze)),"",IF(Tb_Activiteiten[[#This Row],[Kosten derden exclusief btw]]=1,Tb_Activiteiten[[#Headers],[Kosten derden exclusief btw]],""))</f>
        <v/>
      </c>
      <c r="AT12" t="str">
        <f>IF(ISNUMBER(FIND("overige",Methode_Keuze)),"",IF(Tb_Activiteiten[[#This Row],[Niet verrekenbare btw]]=1,Tb_Activiteiten[[#Headers],[Niet verrekenbare btw]],""))</f>
        <v/>
      </c>
      <c r="AU12" t="str">
        <f>IF(ISNUMBER(FIND("overige",Methode_Keuze)),"",IF(Tb_Activiteiten[[#This Row],[Grondkosten]]=1,Tb_Activiteiten[[#Headers],[Grondkosten]],""))</f>
        <v/>
      </c>
      <c r="AV12" t="str">
        <f>IF(ISNUMBER(FIND("overige",Methode_Keuze)),"",IF(Tb_Activiteiten[[#This Row],[Bijdrage in natura (overige)]]=1,Tb_Activiteiten[[#Headers],[Bijdrage in natura (overige)]],""))</f>
        <v/>
      </c>
      <c r="AW12" t="str">
        <f>IF(ISNUMBER(FIND("overige",Methode_Keuze)),"",IF(Tb_Activiteiten[[#This Row],[Bijdrage in natura (vrijwilligers)]]=1,Tb_Activiteiten[[#Headers],[Bijdrage in natura (vrijwilligers)]],""))</f>
        <v/>
      </c>
      <c r="AX12" t="str">
        <f>IF(ISNUMBER(FIND("overige",Methode_Keuze)),"",IF(Tb_Activiteiten[[#This Row],[Afschrijvingskosten]]=1,Tb_Activiteiten[[#Headers],[Afschrijvingskosten]],""))</f>
        <v/>
      </c>
      <c r="AY12" t="str">
        <f>IF(ISNUMBER(FIND("overige",Methode_Keuze)),"",IF(Tb_Activiteiten[[#This Row],[Vergoeding]]=1,Tb_Activiteiten[[#Headers],[Vergoeding]],""))</f>
        <v/>
      </c>
      <c r="AZ12" t="str">
        <f>IF(ISNUMBER(FIND("arbeid",Methode_Keuze)),"",IF(Tb_Activiteiten[[#This Row],[Arbeidskosten - vast tarief (excl eigen arbeid)]]=1,Tb_Activiteiten[[#Headers],[Arbeidskosten - vast tarief (excl eigen arbeid)]],""))</f>
        <v/>
      </c>
      <c r="BA12" t="str">
        <f>IF(ISNUMBER(FIND("overige",Methode_Keuze)),"",IF(Tb_Activiteiten[[#This Row],[Overige kosten]]=1,Tb_Activiteiten[[#Headers],[Overige kosten]],""))</f>
        <v/>
      </c>
    </row>
    <row r="13" spans="1:53" x14ac:dyDescent="0.25">
      <c r="A13" s="231"/>
      <c r="F13" s="64"/>
      <c r="G13" s="64"/>
      <c r="H13" s="275"/>
      <c r="I13" s="275"/>
      <c r="J13" s="275"/>
      <c r="K13" s="275"/>
      <c r="O13" s="56"/>
      <c r="Q13" t="str">
        <f>IFERROR(IF(VLOOKUP(Tb_Activiteiten[[#This Row],[Openstelling]],Tb_Openstelling[],2,0)=1,1,""),"")</f>
        <v/>
      </c>
      <c r="AK13" t="str">
        <f>IF(ISNUMBER(FIND("arbeid",Methode_Keuze)),"",IF(ISNUMBER(FIND("arbeid",Methode_Keuze)),"",IF(Tb_Activiteiten[[#This Row],[Loonkosten]]=1,Tb_Activiteiten[[#Headers],[Loonkosten]],"")))</f>
        <v/>
      </c>
      <c r="AL13" t="str">
        <f>IF(ISNUMBER(FIND("arbeid",Methode_Keuze)),"",IF(ISNUMBER(FIND("arbeid",Methode_Keuze)),"",IF(Tb_Activiteiten[[#This Row],[Eigen arbeid]]=1,Tb_Activiteiten[[#Headers],[Eigen arbeid]],"")))</f>
        <v/>
      </c>
      <c r="AM13" t="str">
        <f>IF(ISNUMBER(FIND("arbeid",Methode_Keuze)),"",IF(ISNUMBER(FIND("arbeid",Methode_Keuze)),"",IF(Tb_Activiteiten[[#This Row],[Projectmedewerker]]=1,Tb_Activiteiten[[#Headers],[Projectmedewerker]],"")))</f>
        <v/>
      </c>
      <c r="AN13" t="str">
        <f>IF(ISNUMBER(FIND("arbeid",Methode_Keuze)),"",IF(ISNUMBER(FIND("arbeid",Methode_Keuze)),"",IF(Tb_Activiteiten[[#This Row],[Landbouwer]]=1,Tb_Activiteiten[[#Headers],[Landbouwer]],"")))</f>
        <v/>
      </c>
      <c r="AO13" t="str">
        <f>IF(ISNUMBER(FIND("arbeid",Methode_Keuze)),"",IF(ISNUMBER(FIND("arbeid",Methode_Keuze)),"",IF(Tb_Activiteiten[[#This Row],[Adviseur]]=1,Tb_Activiteiten[[#Headers],[Adviseur]],"")))</f>
        <v/>
      </c>
      <c r="AP13" t="str">
        <f>IF(ISNUMBER(FIND("arbeid",Methode_Keuze)),"",IF(ISNUMBER(FIND("arbeid",Methode_Keuze)),"",IF(Tb_Activiteiten[[#This Row],[Projectleider/Expert]]=1,Tb_Activiteiten[[#Headers],[Projectleider/Expert]],"")))</f>
        <v/>
      </c>
      <c r="AQ13" t="str">
        <f>IF(ISNUMBER(FIND("arbeid",Methode_Keuze)),"",IF(ISNUMBER(FIND("arbeid",Methode_Keuze)),"",IF(Tb_Activiteiten[[#This Row],[Arbeidskosten]]=1,Tb_Activiteiten[[#Headers],[Arbeidskosten]],"")))</f>
        <v/>
      </c>
      <c r="AR13" t="str">
        <f>IF(ISNUMBER(FIND("arbeid",Methode_Keuze)),"",IF(ISNUMBER(FIND("arbeid",Methode_Keuze)),"",IF(Tb_Activiteiten[[#This Row],[Arbeidskosten op basis van IKS]]=1,Tb_Activiteiten[[#Headers],[Arbeidskosten op basis van IKS]],"")))</f>
        <v/>
      </c>
      <c r="AS13" t="str">
        <f>IF(ISNUMBER(FIND("overige",Methode_Keuze)),"",IF(Tb_Activiteiten[[#This Row],[Kosten derden exclusief btw]]=1,Tb_Activiteiten[[#Headers],[Kosten derden exclusief btw]],""))</f>
        <v/>
      </c>
      <c r="AT13" t="str">
        <f>IF(ISNUMBER(FIND("overige",Methode_Keuze)),"",IF(Tb_Activiteiten[[#This Row],[Niet verrekenbare btw]]=1,Tb_Activiteiten[[#Headers],[Niet verrekenbare btw]],""))</f>
        <v/>
      </c>
      <c r="AU13" t="str">
        <f>IF(ISNUMBER(FIND("overige",Methode_Keuze)),"",IF(Tb_Activiteiten[[#This Row],[Grondkosten]]=1,Tb_Activiteiten[[#Headers],[Grondkosten]],""))</f>
        <v/>
      </c>
      <c r="AV13" t="str">
        <f>IF(ISNUMBER(FIND("overige",Methode_Keuze)),"",IF(Tb_Activiteiten[[#This Row],[Bijdrage in natura (overige)]]=1,Tb_Activiteiten[[#Headers],[Bijdrage in natura (overige)]],""))</f>
        <v/>
      </c>
      <c r="AW13" t="str">
        <f>IF(ISNUMBER(FIND("overige",Methode_Keuze)),"",IF(Tb_Activiteiten[[#This Row],[Bijdrage in natura (vrijwilligers)]]=1,Tb_Activiteiten[[#Headers],[Bijdrage in natura (vrijwilligers)]],""))</f>
        <v/>
      </c>
      <c r="AX13" t="str">
        <f>IF(ISNUMBER(FIND("overige",Methode_Keuze)),"",IF(Tb_Activiteiten[[#This Row],[Afschrijvingskosten]]=1,Tb_Activiteiten[[#Headers],[Afschrijvingskosten]],""))</f>
        <v/>
      </c>
      <c r="AY13" t="str">
        <f>IF(ISNUMBER(FIND("overige",Methode_Keuze)),"",IF(Tb_Activiteiten[[#This Row],[Vergoeding]]=1,Tb_Activiteiten[[#Headers],[Vergoeding]],""))</f>
        <v/>
      </c>
      <c r="AZ13" t="str">
        <f>IF(ISNUMBER(FIND("arbeid",Methode_Keuze)),"",IF(Tb_Activiteiten[[#This Row],[Arbeidskosten - vast tarief (excl eigen arbeid)]]=1,Tb_Activiteiten[[#Headers],[Arbeidskosten - vast tarief (excl eigen arbeid)]],""))</f>
        <v/>
      </c>
      <c r="BA13" t="str">
        <f>IF(ISNUMBER(FIND("overige",Methode_Keuze)),"",IF(Tb_Activiteiten[[#This Row],[Overige kosten]]=1,Tb_Activiteiten[[#Headers],[Overige kosten]],""))</f>
        <v/>
      </c>
    </row>
    <row r="14" spans="1:53" x14ac:dyDescent="0.25">
      <c r="A14" s="231"/>
      <c r="F14" s="64"/>
      <c r="G14" s="64"/>
      <c r="H14" s="275"/>
      <c r="I14" s="275"/>
      <c r="J14" s="275"/>
      <c r="K14" s="275"/>
      <c r="O14" s="56"/>
      <c r="Q14" t="str">
        <f>IFERROR(IF(VLOOKUP(Tb_Activiteiten[[#This Row],[Openstelling]],Tb_Openstelling[],2,0)=1,1,""),"")</f>
        <v/>
      </c>
      <c r="AK14" t="str">
        <f>IF(ISNUMBER(FIND("arbeid",Methode_Keuze)),"",IF(ISNUMBER(FIND("arbeid",Methode_Keuze)),"",IF(Tb_Activiteiten[[#This Row],[Loonkosten]]=1,Tb_Activiteiten[[#Headers],[Loonkosten]],"")))</f>
        <v/>
      </c>
      <c r="AL14" t="str">
        <f>IF(ISNUMBER(FIND("arbeid",Methode_Keuze)),"",IF(ISNUMBER(FIND("arbeid",Methode_Keuze)),"",IF(Tb_Activiteiten[[#This Row],[Eigen arbeid]]=1,Tb_Activiteiten[[#Headers],[Eigen arbeid]],"")))</f>
        <v/>
      </c>
      <c r="AM14" t="str">
        <f>IF(ISNUMBER(FIND("arbeid",Methode_Keuze)),"",IF(ISNUMBER(FIND("arbeid",Methode_Keuze)),"",IF(Tb_Activiteiten[[#This Row],[Projectmedewerker]]=1,Tb_Activiteiten[[#Headers],[Projectmedewerker]],"")))</f>
        <v/>
      </c>
      <c r="AN14" t="str">
        <f>IF(ISNUMBER(FIND("arbeid",Methode_Keuze)),"",IF(ISNUMBER(FIND("arbeid",Methode_Keuze)),"",IF(Tb_Activiteiten[[#This Row],[Landbouwer]]=1,Tb_Activiteiten[[#Headers],[Landbouwer]],"")))</f>
        <v/>
      </c>
      <c r="AO14" t="str">
        <f>IF(ISNUMBER(FIND("arbeid",Methode_Keuze)),"",IF(ISNUMBER(FIND("arbeid",Methode_Keuze)),"",IF(Tb_Activiteiten[[#This Row],[Adviseur]]=1,Tb_Activiteiten[[#Headers],[Adviseur]],"")))</f>
        <v/>
      </c>
      <c r="AP14" t="str">
        <f>IF(ISNUMBER(FIND("arbeid",Methode_Keuze)),"",IF(ISNUMBER(FIND("arbeid",Methode_Keuze)),"",IF(Tb_Activiteiten[[#This Row],[Projectleider/Expert]]=1,Tb_Activiteiten[[#Headers],[Projectleider/Expert]],"")))</f>
        <v/>
      </c>
      <c r="AQ14" t="str">
        <f>IF(ISNUMBER(FIND("arbeid",Methode_Keuze)),"",IF(ISNUMBER(FIND("arbeid",Methode_Keuze)),"",IF(Tb_Activiteiten[[#This Row],[Arbeidskosten]]=1,Tb_Activiteiten[[#Headers],[Arbeidskosten]],"")))</f>
        <v/>
      </c>
      <c r="AR14" t="str">
        <f>IF(ISNUMBER(FIND("arbeid",Methode_Keuze)),"",IF(ISNUMBER(FIND("arbeid",Methode_Keuze)),"",IF(Tb_Activiteiten[[#This Row],[Arbeidskosten op basis van IKS]]=1,Tb_Activiteiten[[#Headers],[Arbeidskosten op basis van IKS]],"")))</f>
        <v/>
      </c>
      <c r="AS14" t="str">
        <f>IF(ISNUMBER(FIND("overige",Methode_Keuze)),"",IF(Tb_Activiteiten[[#This Row],[Kosten derden exclusief btw]]=1,Tb_Activiteiten[[#Headers],[Kosten derden exclusief btw]],""))</f>
        <v/>
      </c>
      <c r="AT14" t="str">
        <f>IF(ISNUMBER(FIND("overige",Methode_Keuze)),"",IF(Tb_Activiteiten[[#This Row],[Niet verrekenbare btw]]=1,Tb_Activiteiten[[#Headers],[Niet verrekenbare btw]],""))</f>
        <v/>
      </c>
      <c r="AU14" t="str">
        <f>IF(ISNUMBER(FIND("overige",Methode_Keuze)),"",IF(Tb_Activiteiten[[#This Row],[Grondkosten]]=1,Tb_Activiteiten[[#Headers],[Grondkosten]],""))</f>
        <v/>
      </c>
      <c r="AV14" t="str">
        <f>IF(ISNUMBER(FIND("overige",Methode_Keuze)),"",IF(Tb_Activiteiten[[#This Row],[Bijdrage in natura (overige)]]=1,Tb_Activiteiten[[#Headers],[Bijdrage in natura (overige)]],""))</f>
        <v/>
      </c>
      <c r="AW14" t="str">
        <f>IF(ISNUMBER(FIND("overige",Methode_Keuze)),"",IF(Tb_Activiteiten[[#This Row],[Bijdrage in natura (vrijwilligers)]]=1,Tb_Activiteiten[[#Headers],[Bijdrage in natura (vrijwilligers)]],""))</f>
        <v/>
      </c>
      <c r="AX14" t="str">
        <f>IF(ISNUMBER(FIND("overige",Methode_Keuze)),"",IF(Tb_Activiteiten[[#This Row],[Afschrijvingskosten]]=1,Tb_Activiteiten[[#Headers],[Afschrijvingskosten]],""))</f>
        <v/>
      </c>
      <c r="AY14" t="str">
        <f>IF(ISNUMBER(FIND("overige",Methode_Keuze)),"",IF(Tb_Activiteiten[[#This Row],[Vergoeding]]=1,Tb_Activiteiten[[#Headers],[Vergoeding]],""))</f>
        <v/>
      </c>
      <c r="AZ14" t="str">
        <f>IF(ISNUMBER(FIND("arbeid",Methode_Keuze)),"",IF(Tb_Activiteiten[[#This Row],[Arbeidskosten - vast tarief (excl eigen arbeid)]]=1,Tb_Activiteiten[[#Headers],[Arbeidskosten - vast tarief (excl eigen arbeid)]],""))</f>
        <v/>
      </c>
      <c r="BA14" t="str">
        <f>IF(ISNUMBER(FIND("overige",Methode_Keuze)),"",IF(Tb_Activiteiten[[#This Row],[Overige kosten]]=1,Tb_Activiteiten[[#Headers],[Overige kosten]],""))</f>
        <v/>
      </c>
    </row>
    <row r="15" spans="1:53" x14ac:dyDescent="0.25">
      <c r="A15" s="231"/>
      <c r="F15" s="64"/>
      <c r="G15" s="64"/>
      <c r="H15" s="275"/>
      <c r="I15" s="275"/>
      <c r="J15" s="275"/>
      <c r="K15" s="275"/>
      <c r="O15" s="56"/>
      <c r="Q15" t="str">
        <f>IFERROR(IF(VLOOKUP(Tb_Activiteiten[[#This Row],[Openstelling]],Tb_Openstelling[],2,0)=1,1,""),"")</f>
        <v/>
      </c>
      <c r="AK15" t="str">
        <f>IF(ISNUMBER(FIND("arbeid",Methode_Keuze)),"",IF(ISNUMBER(FIND("arbeid",Methode_Keuze)),"",IF(Tb_Activiteiten[[#This Row],[Loonkosten]]=1,Tb_Activiteiten[[#Headers],[Loonkosten]],"")))</f>
        <v/>
      </c>
      <c r="AL15" t="str">
        <f>IF(ISNUMBER(FIND("arbeid",Methode_Keuze)),"",IF(ISNUMBER(FIND("arbeid",Methode_Keuze)),"",IF(Tb_Activiteiten[[#This Row],[Eigen arbeid]]=1,Tb_Activiteiten[[#Headers],[Eigen arbeid]],"")))</f>
        <v/>
      </c>
      <c r="AM15" t="str">
        <f>IF(ISNUMBER(FIND("arbeid",Methode_Keuze)),"",IF(ISNUMBER(FIND("arbeid",Methode_Keuze)),"",IF(Tb_Activiteiten[[#This Row],[Projectmedewerker]]=1,Tb_Activiteiten[[#Headers],[Projectmedewerker]],"")))</f>
        <v/>
      </c>
      <c r="AN15" t="str">
        <f>IF(ISNUMBER(FIND("arbeid",Methode_Keuze)),"",IF(ISNUMBER(FIND("arbeid",Methode_Keuze)),"",IF(Tb_Activiteiten[[#This Row],[Landbouwer]]=1,Tb_Activiteiten[[#Headers],[Landbouwer]],"")))</f>
        <v/>
      </c>
      <c r="AO15" t="str">
        <f>IF(ISNUMBER(FIND("arbeid",Methode_Keuze)),"",IF(ISNUMBER(FIND("arbeid",Methode_Keuze)),"",IF(Tb_Activiteiten[[#This Row],[Adviseur]]=1,Tb_Activiteiten[[#Headers],[Adviseur]],"")))</f>
        <v/>
      </c>
      <c r="AP15" t="str">
        <f>IF(ISNUMBER(FIND("arbeid",Methode_Keuze)),"",IF(ISNUMBER(FIND("arbeid",Methode_Keuze)),"",IF(Tb_Activiteiten[[#This Row],[Projectleider/Expert]]=1,Tb_Activiteiten[[#Headers],[Projectleider/Expert]],"")))</f>
        <v/>
      </c>
      <c r="AQ15" t="str">
        <f>IF(ISNUMBER(FIND("arbeid",Methode_Keuze)),"",IF(ISNUMBER(FIND("arbeid",Methode_Keuze)),"",IF(Tb_Activiteiten[[#This Row],[Arbeidskosten]]=1,Tb_Activiteiten[[#Headers],[Arbeidskosten]],"")))</f>
        <v/>
      </c>
      <c r="AR15" t="str">
        <f>IF(ISNUMBER(FIND("arbeid",Methode_Keuze)),"",IF(ISNUMBER(FIND("arbeid",Methode_Keuze)),"",IF(Tb_Activiteiten[[#This Row],[Arbeidskosten op basis van IKS]]=1,Tb_Activiteiten[[#Headers],[Arbeidskosten op basis van IKS]],"")))</f>
        <v/>
      </c>
      <c r="AS15" t="str">
        <f>IF(ISNUMBER(FIND("overige",Methode_Keuze)),"",IF(Tb_Activiteiten[[#This Row],[Kosten derden exclusief btw]]=1,Tb_Activiteiten[[#Headers],[Kosten derden exclusief btw]],""))</f>
        <v/>
      </c>
      <c r="AT15" t="str">
        <f>IF(ISNUMBER(FIND("overige",Methode_Keuze)),"",IF(Tb_Activiteiten[[#This Row],[Niet verrekenbare btw]]=1,Tb_Activiteiten[[#Headers],[Niet verrekenbare btw]],""))</f>
        <v/>
      </c>
      <c r="AU15" t="str">
        <f>IF(ISNUMBER(FIND("overige",Methode_Keuze)),"",IF(Tb_Activiteiten[[#This Row],[Grondkosten]]=1,Tb_Activiteiten[[#Headers],[Grondkosten]],""))</f>
        <v/>
      </c>
      <c r="AV15" t="str">
        <f>IF(ISNUMBER(FIND("overige",Methode_Keuze)),"",IF(Tb_Activiteiten[[#This Row],[Bijdrage in natura (overige)]]=1,Tb_Activiteiten[[#Headers],[Bijdrage in natura (overige)]],""))</f>
        <v/>
      </c>
      <c r="AW15" t="str">
        <f>IF(ISNUMBER(FIND("overige",Methode_Keuze)),"",IF(Tb_Activiteiten[[#This Row],[Bijdrage in natura (vrijwilligers)]]=1,Tb_Activiteiten[[#Headers],[Bijdrage in natura (vrijwilligers)]],""))</f>
        <v/>
      </c>
      <c r="AX15" t="str">
        <f>IF(ISNUMBER(FIND("overige",Methode_Keuze)),"",IF(Tb_Activiteiten[[#This Row],[Afschrijvingskosten]]=1,Tb_Activiteiten[[#Headers],[Afschrijvingskosten]],""))</f>
        <v/>
      </c>
      <c r="AY15" t="str">
        <f>IF(ISNUMBER(FIND("overige",Methode_Keuze)),"",IF(Tb_Activiteiten[[#This Row],[Vergoeding]]=1,Tb_Activiteiten[[#Headers],[Vergoeding]],""))</f>
        <v/>
      </c>
      <c r="AZ15" t="str">
        <f>IF(ISNUMBER(FIND("arbeid",Methode_Keuze)),"",IF(Tb_Activiteiten[[#This Row],[Arbeidskosten - vast tarief (excl eigen arbeid)]]=1,Tb_Activiteiten[[#Headers],[Arbeidskosten - vast tarief (excl eigen arbeid)]],""))</f>
        <v/>
      </c>
      <c r="BA15" t="str">
        <f>IF(ISNUMBER(FIND("overige",Methode_Keuze)),"",IF(Tb_Activiteiten[[#This Row],[Overige kosten]]=1,Tb_Activiteiten[[#Headers],[Overige kosten]],""))</f>
        <v/>
      </c>
    </row>
    <row r="16" spans="1:53" x14ac:dyDescent="0.25">
      <c r="A16" s="231"/>
      <c r="F16" s="64"/>
      <c r="G16" s="64"/>
      <c r="H16" s="275"/>
      <c r="I16" s="275"/>
      <c r="J16" s="275"/>
      <c r="K16" s="275"/>
      <c r="O16" s="56"/>
      <c r="Q16" t="str">
        <f>IFERROR(IF(VLOOKUP(Tb_Activiteiten[[#This Row],[Openstelling]],Tb_Openstelling[],2,0)=1,1,""),"")</f>
        <v/>
      </c>
      <c r="AK16" t="str">
        <f>IF(ISNUMBER(FIND("arbeid",Methode_Keuze)),"",IF(ISNUMBER(FIND("arbeid",Methode_Keuze)),"",IF(Tb_Activiteiten[[#This Row],[Loonkosten]]=1,Tb_Activiteiten[[#Headers],[Loonkosten]],"")))</f>
        <v/>
      </c>
      <c r="AL16" t="str">
        <f>IF(ISNUMBER(FIND("arbeid",Methode_Keuze)),"",IF(ISNUMBER(FIND("arbeid",Methode_Keuze)),"",IF(Tb_Activiteiten[[#This Row],[Eigen arbeid]]=1,Tb_Activiteiten[[#Headers],[Eigen arbeid]],"")))</f>
        <v/>
      </c>
      <c r="AM16" t="str">
        <f>IF(ISNUMBER(FIND("arbeid",Methode_Keuze)),"",IF(ISNUMBER(FIND("arbeid",Methode_Keuze)),"",IF(Tb_Activiteiten[[#This Row],[Projectmedewerker]]=1,Tb_Activiteiten[[#Headers],[Projectmedewerker]],"")))</f>
        <v/>
      </c>
      <c r="AN16" t="str">
        <f>IF(ISNUMBER(FIND("arbeid",Methode_Keuze)),"",IF(ISNUMBER(FIND("arbeid",Methode_Keuze)),"",IF(Tb_Activiteiten[[#This Row],[Landbouwer]]=1,Tb_Activiteiten[[#Headers],[Landbouwer]],"")))</f>
        <v/>
      </c>
      <c r="AO16" t="str">
        <f>IF(ISNUMBER(FIND("arbeid",Methode_Keuze)),"",IF(ISNUMBER(FIND("arbeid",Methode_Keuze)),"",IF(Tb_Activiteiten[[#This Row],[Adviseur]]=1,Tb_Activiteiten[[#Headers],[Adviseur]],"")))</f>
        <v/>
      </c>
      <c r="AP16" t="str">
        <f>IF(ISNUMBER(FIND("arbeid",Methode_Keuze)),"",IF(ISNUMBER(FIND("arbeid",Methode_Keuze)),"",IF(Tb_Activiteiten[[#This Row],[Projectleider/Expert]]=1,Tb_Activiteiten[[#Headers],[Projectleider/Expert]],"")))</f>
        <v/>
      </c>
      <c r="AQ16" t="str">
        <f>IF(ISNUMBER(FIND("arbeid",Methode_Keuze)),"",IF(ISNUMBER(FIND("arbeid",Methode_Keuze)),"",IF(Tb_Activiteiten[[#This Row],[Arbeidskosten]]=1,Tb_Activiteiten[[#Headers],[Arbeidskosten]],"")))</f>
        <v/>
      </c>
      <c r="AR16" t="str">
        <f>IF(ISNUMBER(FIND("arbeid",Methode_Keuze)),"",IF(ISNUMBER(FIND("arbeid",Methode_Keuze)),"",IF(Tb_Activiteiten[[#This Row],[Arbeidskosten op basis van IKS]]=1,Tb_Activiteiten[[#Headers],[Arbeidskosten op basis van IKS]],"")))</f>
        <v/>
      </c>
      <c r="AS16" t="str">
        <f>IF(ISNUMBER(FIND("overige",Methode_Keuze)),"",IF(Tb_Activiteiten[[#This Row],[Kosten derden exclusief btw]]=1,Tb_Activiteiten[[#Headers],[Kosten derden exclusief btw]],""))</f>
        <v/>
      </c>
      <c r="AT16" t="str">
        <f>IF(ISNUMBER(FIND("overige",Methode_Keuze)),"",IF(Tb_Activiteiten[[#This Row],[Niet verrekenbare btw]]=1,Tb_Activiteiten[[#Headers],[Niet verrekenbare btw]],""))</f>
        <v/>
      </c>
      <c r="AU16" t="str">
        <f>IF(ISNUMBER(FIND("overige",Methode_Keuze)),"",IF(Tb_Activiteiten[[#This Row],[Grondkosten]]=1,Tb_Activiteiten[[#Headers],[Grondkosten]],""))</f>
        <v/>
      </c>
      <c r="AV16" t="str">
        <f>IF(ISNUMBER(FIND("overige",Methode_Keuze)),"",IF(Tb_Activiteiten[[#This Row],[Bijdrage in natura (overige)]]=1,Tb_Activiteiten[[#Headers],[Bijdrage in natura (overige)]],""))</f>
        <v/>
      </c>
      <c r="AW16" t="str">
        <f>IF(ISNUMBER(FIND("overige",Methode_Keuze)),"",IF(Tb_Activiteiten[[#This Row],[Bijdrage in natura (vrijwilligers)]]=1,Tb_Activiteiten[[#Headers],[Bijdrage in natura (vrijwilligers)]],""))</f>
        <v/>
      </c>
      <c r="AX16" t="str">
        <f>IF(ISNUMBER(FIND("overige",Methode_Keuze)),"",IF(Tb_Activiteiten[[#This Row],[Afschrijvingskosten]]=1,Tb_Activiteiten[[#Headers],[Afschrijvingskosten]],""))</f>
        <v/>
      </c>
      <c r="AY16" t="str">
        <f>IF(ISNUMBER(FIND("overige",Methode_Keuze)),"",IF(Tb_Activiteiten[[#This Row],[Vergoeding]]=1,Tb_Activiteiten[[#Headers],[Vergoeding]],""))</f>
        <v/>
      </c>
      <c r="AZ16" t="str">
        <f>IF(ISNUMBER(FIND("arbeid",Methode_Keuze)),"",IF(Tb_Activiteiten[[#This Row],[Arbeidskosten - vast tarief (excl eigen arbeid)]]=1,Tb_Activiteiten[[#Headers],[Arbeidskosten - vast tarief (excl eigen arbeid)]],""))</f>
        <v/>
      </c>
      <c r="BA16" t="str">
        <f>IF(ISNUMBER(FIND("overige",Methode_Keuze)),"",IF(Tb_Activiteiten[[#This Row],[Overige kosten]]=1,Tb_Activiteiten[[#Headers],[Overige kosten]],""))</f>
        <v/>
      </c>
    </row>
    <row r="17" spans="1:53" x14ac:dyDescent="0.25">
      <c r="A17" s="231"/>
      <c r="F17" s="64"/>
      <c r="G17" s="64"/>
      <c r="H17" s="275"/>
      <c r="I17" s="275"/>
      <c r="J17" s="275"/>
      <c r="K17" s="275"/>
      <c r="O17" s="56"/>
      <c r="Q17" t="str">
        <f>IFERROR(IF(VLOOKUP(Tb_Activiteiten[[#This Row],[Openstelling]],Tb_Openstelling[],2,0)=1,1,""),"")</f>
        <v/>
      </c>
      <c r="AK17" t="str">
        <f>IF(ISNUMBER(FIND("arbeid",Methode_Keuze)),"",IF(ISNUMBER(FIND("arbeid",Methode_Keuze)),"",IF(Tb_Activiteiten[[#This Row],[Loonkosten]]=1,Tb_Activiteiten[[#Headers],[Loonkosten]],"")))</f>
        <v/>
      </c>
      <c r="AL17" t="str">
        <f>IF(ISNUMBER(FIND("arbeid",Methode_Keuze)),"",IF(ISNUMBER(FIND("arbeid",Methode_Keuze)),"",IF(Tb_Activiteiten[[#This Row],[Eigen arbeid]]=1,Tb_Activiteiten[[#Headers],[Eigen arbeid]],"")))</f>
        <v/>
      </c>
      <c r="AM17" t="str">
        <f>IF(ISNUMBER(FIND("arbeid",Methode_Keuze)),"",IF(ISNUMBER(FIND("arbeid",Methode_Keuze)),"",IF(Tb_Activiteiten[[#This Row],[Projectmedewerker]]=1,Tb_Activiteiten[[#Headers],[Projectmedewerker]],"")))</f>
        <v/>
      </c>
      <c r="AN17" t="str">
        <f>IF(ISNUMBER(FIND("arbeid",Methode_Keuze)),"",IF(ISNUMBER(FIND("arbeid",Methode_Keuze)),"",IF(Tb_Activiteiten[[#This Row],[Landbouwer]]=1,Tb_Activiteiten[[#Headers],[Landbouwer]],"")))</f>
        <v/>
      </c>
      <c r="AO17" t="str">
        <f>IF(ISNUMBER(FIND("arbeid",Methode_Keuze)),"",IF(ISNUMBER(FIND("arbeid",Methode_Keuze)),"",IF(Tb_Activiteiten[[#This Row],[Adviseur]]=1,Tb_Activiteiten[[#Headers],[Adviseur]],"")))</f>
        <v/>
      </c>
      <c r="AP17" t="str">
        <f>IF(ISNUMBER(FIND("arbeid",Methode_Keuze)),"",IF(ISNUMBER(FIND("arbeid",Methode_Keuze)),"",IF(Tb_Activiteiten[[#This Row],[Projectleider/Expert]]=1,Tb_Activiteiten[[#Headers],[Projectleider/Expert]],"")))</f>
        <v/>
      </c>
      <c r="AQ17" t="str">
        <f>IF(ISNUMBER(FIND("arbeid",Methode_Keuze)),"",IF(ISNUMBER(FIND("arbeid",Methode_Keuze)),"",IF(Tb_Activiteiten[[#This Row],[Arbeidskosten]]=1,Tb_Activiteiten[[#Headers],[Arbeidskosten]],"")))</f>
        <v/>
      </c>
      <c r="AR17" t="str">
        <f>IF(ISNUMBER(FIND("arbeid",Methode_Keuze)),"",IF(ISNUMBER(FIND("arbeid",Methode_Keuze)),"",IF(Tb_Activiteiten[[#This Row],[Arbeidskosten op basis van IKS]]=1,Tb_Activiteiten[[#Headers],[Arbeidskosten op basis van IKS]],"")))</f>
        <v/>
      </c>
      <c r="AS17" t="str">
        <f>IF(ISNUMBER(FIND("overige",Methode_Keuze)),"",IF(Tb_Activiteiten[[#This Row],[Kosten derden exclusief btw]]=1,Tb_Activiteiten[[#Headers],[Kosten derden exclusief btw]],""))</f>
        <v/>
      </c>
      <c r="AT17" t="str">
        <f>IF(ISNUMBER(FIND("overige",Methode_Keuze)),"",IF(Tb_Activiteiten[[#This Row],[Niet verrekenbare btw]]=1,Tb_Activiteiten[[#Headers],[Niet verrekenbare btw]],""))</f>
        <v/>
      </c>
      <c r="AU17" t="str">
        <f>IF(ISNUMBER(FIND("overige",Methode_Keuze)),"",IF(Tb_Activiteiten[[#This Row],[Grondkosten]]=1,Tb_Activiteiten[[#Headers],[Grondkosten]],""))</f>
        <v/>
      </c>
      <c r="AV17" t="str">
        <f>IF(ISNUMBER(FIND("overige",Methode_Keuze)),"",IF(Tb_Activiteiten[[#This Row],[Bijdrage in natura (overige)]]=1,Tb_Activiteiten[[#Headers],[Bijdrage in natura (overige)]],""))</f>
        <v/>
      </c>
      <c r="AW17" t="str">
        <f>IF(ISNUMBER(FIND("overige",Methode_Keuze)),"",IF(Tb_Activiteiten[[#This Row],[Bijdrage in natura (vrijwilligers)]]=1,Tb_Activiteiten[[#Headers],[Bijdrage in natura (vrijwilligers)]],""))</f>
        <v/>
      </c>
      <c r="AX17" t="str">
        <f>IF(ISNUMBER(FIND("overige",Methode_Keuze)),"",IF(Tb_Activiteiten[[#This Row],[Afschrijvingskosten]]=1,Tb_Activiteiten[[#Headers],[Afschrijvingskosten]],""))</f>
        <v/>
      </c>
      <c r="AY17" t="str">
        <f>IF(ISNUMBER(FIND("overige",Methode_Keuze)),"",IF(Tb_Activiteiten[[#This Row],[Vergoeding]]=1,Tb_Activiteiten[[#Headers],[Vergoeding]],""))</f>
        <v/>
      </c>
      <c r="AZ17" t="str">
        <f>IF(ISNUMBER(FIND("arbeid",Methode_Keuze)),"",IF(Tb_Activiteiten[[#This Row],[Arbeidskosten - vast tarief (excl eigen arbeid)]]=1,Tb_Activiteiten[[#Headers],[Arbeidskosten - vast tarief (excl eigen arbeid)]],""))</f>
        <v/>
      </c>
      <c r="BA17" t="str">
        <f>IF(ISNUMBER(FIND("overige",Methode_Keuze)),"",IF(Tb_Activiteiten[[#This Row],[Overige kosten]]=1,Tb_Activiteiten[[#Headers],[Overige kosten]],""))</f>
        <v/>
      </c>
    </row>
    <row r="18" spans="1:53" x14ac:dyDescent="0.25">
      <c r="A18" s="231"/>
      <c r="F18" s="64"/>
      <c r="G18" s="64"/>
      <c r="H18" s="275"/>
      <c r="I18" s="275"/>
      <c r="J18" s="275"/>
      <c r="K18" s="275"/>
      <c r="O18" s="56"/>
      <c r="Q18" t="str">
        <f>IFERROR(IF(VLOOKUP(Tb_Activiteiten[[#This Row],[Openstelling]],Tb_Openstelling[],2,0)=1,1,""),"")</f>
        <v/>
      </c>
      <c r="AK18" t="str">
        <f>IF(ISNUMBER(FIND("arbeid",Methode_Keuze)),"",IF(ISNUMBER(FIND("arbeid",Methode_Keuze)),"",IF(Tb_Activiteiten[[#This Row],[Loonkosten]]=1,Tb_Activiteiten[[#Headers],[Loonkosten]],"")))</f>
        <v/>
      </c>
      <c r="AL18" t="str">
        <f>IF(ISNUMBER(FIND("arbeid",Methode_Keuze)),"",IF(ISNUMBER(FIND("arbeid",Methode_Keuze)),"",IF(Tb_Activiteiten[[#This Row],[Eigen arbeid]]=1,Tb_Activiteiten[[#Headers],[Eigen arbeid]],"")))</f>
        <v/>
      </c>
      <c r="AM18" t="str">
        <f>IF(ISNUMBER(FIND("arbeid",Methode_Keuze)),"",IF(ISNUMBER(FIND("arbeid",Methode_Keuze)),"",IF(Tb_Activiteiten[[#This Row],[Projectmedewerker]]=1,Tb_Activiteiten[[#Headers],[Projectmedewerker]],"")))</f>
        <v/>
      </c>
      <c r="AN18" t="str">
        <f>IF(ISNUMBER(FIND("arbeid",Methode_Keuze)),"",IF(ISNUMBER(FIND("arbeid",Methode_Keuze)),"",IF(Tb_Activiteiten[[#This Row],[Landbouwer]]=1,Tb_Activiteiten[[#Headers],[Landbouwer]],"")))</f>
        <v/>
      </c>
      <c r="AO18" t="str">
        <f>IF(ISNUMBER(FIND("arbeid",Methode_Keuze)),"",IF(ISNUMBER(FIND("arbeid",Methode_Keuze)),"",IF(Tb_Activiteiten[[#This Row],[Adviseur]]=1,Tb_Activiteiten[[#Headers],[Adviseur]],"")))</f>
        <v/>
      </c>
      <c r="AP18" t="str">
        <f>IF(ISNUMBER(FIND("arbeid",Methode_Keuze)),"",IF(ISNUMBER(FIND("arbeid",Methode_Keuze)),"",IF(Tb_Activiteiten[[#This Row],[Projectleider/Expert]]=1,Tb_Activiteiten[[#Headers],[Projectleider/Expert]],"")))</f>
        <v/>
      </c>
      <c r="AQ18" t="str">
        <f>IF(ISNUMBER(FIND("arbeid",Methode_Keuze)),"",IF(ISNUMBER(FIND("arbeid",Methode_Keuze)),"",IF(Tb_Activiteiten[[#This Row],[Arbeidskosten]]=1,Tb_Activiteiten[[#Headers],[Arbeidskosten]],"")))</f>
        <v/>
      </c>
      <c r="AR18" t="str">
        <f>IF(ISNUMBER(FIND("arbeid",Methode_Keuze)),"",IF(ISNUMBER(FIND("arbeid",Methode_Keuze)),"",IF(Tb_Activiteiten[[#This Row],[Arbeidskosten op basis van IKS]]=1,Tb_Activiteiten[[#Headers],[Arbeidskosten op basis van IKS]],"")))</f>
        <v/>
      </c>
      <c r="AS18" t="str">
        <f>IF(ISNUMBER(FIND("overige",Methode_Keuze)),"",IF(Tb_Activiteiten[[#This Row],[Kosten derden exclusief btw]]=1,Tb_Activiteiten[[#Headers],[Kosten derden exclusief btw]],""))</f>
        <v/>
      </c>
      <c r="AT18" t="str">
        <f>IF(ISNUMBER(FIND("overige",Methode_Keuze)),"",IF(Tb_Activiteiten[[#This Row],[Niet verrekenbare btw]]=1,Tb_Activiteiten[[#Headers],[Niet verrekenbare btw]],""))</f>
        <v/>
      </c>
      <c r="AU18" t="str">
        <f>IF(ISNUMBER(FIND("overige",Methode_Keuze)),"",IF(Tb_Activiteiten[[#This Row],[Grondkosten]]=1,Tb_Activiteiten[[#Headers],[Grondkosten]],""))</f>
        <v/>
      </c>
      <c r="AV18" t="str">
        <f>IF(ISNUMBER(FIND("overige",Methode_Keuze)),"",IF(Tb_Activiteiten[[#This Row],[Bijdrage in natura (overige)]]=1,Tb_Activiteiten[[#Headers],[Bijdrage in natura (overige)]],""))</f>
        <v/>
      </c>
      <c r="AW18" t="str">
        <f>IF(ISNUMBER(FIND("overige",Methode_Keuze)),"",IF(Tb_Activiteiten[[#This Row],[Bijdrage in natura (vrijwilligers)]]=1,Tb_Activiteiten[[#Headers],[Bijdrage in natura (vrijwilligers)]],""))</f>
        <v/>
      </c>
      <c r="AX18" t="str">
        <f>IF(ISNUMBER(FIND("overige",Methode_Keuze)),"",IF(Tb_Activiteiten[[#This Row],[Afschrijvingskosten]]=1,Tb_Activiteiten[[#Headers],[Afschrijvingskosten]],""))</f>
        <v/>
      </c>
      <c r="AY18" t="str">
        <f>IF(ISNUMBER(FIND("overige",Methode_Keuze)),"",IF(Tb_Activiteiten[[#This Row],[Vergoeding]]=1,Tb_Activiteiten[[#Headers],[Vergoeding]],""))</f>
        <v/>
      </c>
      <c r="AZ18" t="str">
        <f>IF(ISNUMBER(FIND("arbeid",Methode_Keuze)),"",IF(Tb_Activiteiten[[#This Row],[Arbeidskosten - vast tarief (excl eigen arbeid)]]=1,Tb_Activiteiten[[#Headers],[Arbeidskosten - vast tarief (excl eigen arbeid)]],""))</f>
        <v/>
      </c>
      <c r="BA18" t="str">
        <f>IF(ISNUMBER(FIND("overige",Methode_Keuze)),"",IF(Tb_Activiteiten[[#This Row],[Overige kosten]]=1,Tb_Activiteiten[[#Headers],[Overige kosten]],""))</f>
        <v/>
      </c>
    </row>
    <row r="19" spans="1:53" x14ac:dyDescent="0.25">
      <c r="A19" s="231"/>
      <c r="F19" s="64"/>
      <c r="G19" s="64"/>
      <c r="H19" s="275"/>
      <c r="I19" s="275"/>
      <c r="J19" s="275"/>
      <c r="K19" s="275"/>
      <c r="O19" s="56"/>
      <c r="Q19" t="str">
        <f>IFERROR(IF(VLOOKUP(Tb_Activiteiten[[#This Row],[Openstelling]],Tb_Openstelling[],2,0)=1,1,""),"")</f>
        <v/>
      </c>
      <c r="AK19" t="str">
        <f>IF(ISNUMBER(FIND("arbeid",Methode_Keuze)),"",IF(ISNUMBER(FIND("arbeid",Methode_Keuze)),"",IF(Tb_Activiteiten[[#This Row],[Loonkosten]]=1,Tb_Activiteiten[[#Headers],[Loonkosten]],"")))</f>
        <v/>
      </c>
      <c r="AL19" t="str">
        <f>IF(ISNUMBER(FIND("arbeid",Methode_Keuze)),"",IF(ISNUMBER(FIND("arbeid",Methode_Keuze)),"",IF(Tb_Activiteiten[[#This Row],[Eigen arbeid]]=1,Tb_Activiteiten[[#Headers],[Eigen arbeid]],"")))</f>
        <v/>
      </c>
      <c r="AM19" t="str">
        <f>IF(ISNUMBER(FIND("arbeid",Methode_Keuze)),"",IF(ISNUMBER(FIND("arbeid",Methode_Keuze)),"",IF(Tb_Activiteiten[[#This Row],[Projectmedewerker]]=1,Tb_Activiteiten[[#Headers],[Projectmedewerker]],"")))</f>
        <v/>
      </c>
      <c r="AN19" t="str">
        <f>IF(ISNUMBER(FIND("arbeid",Methode_Keuze)),"",IF(ISNUMBER(FIND("arbeid",Methode_Keuze)),"",IF(Tb_Activiteiten[[#This Row],[Landbouwer]]=1,Tb_Activiteiten[[#Headers],[Landbouwer]],"")))</f>
        <v/>
      </c>
      <c r="AO19" t="str">
        <f>IF(ISNUMBER(FIND("arbeid",Methode_Keuze)),"",IF(ISNUMBER(FIND("arbeid",Methode_Keuze)),"",IF(Tb_Activiteiten[[#This Row],[Adviseur]]=1,Tb_Activiteiten[[#Headers],[Adviseur]],"")))</f>
        <v/>
      </c>
      <c r="AP19" t="str">
        <f>IF(ISNUMBER(FIND("arbeid",Methode_Keuze)),"",IF(ISNUMBER(FIND("arbeid",Methode_Keuze)),"",IF(Tb_Activiteiten[[#This Row],[Projectleider/Expert]]=1,Tb_Activiteiten[[#Headers],[Projectleider/Expert]],"")))</f>
        <v/>
      </c>
      <c r="AQ19" t="str">
        <f>IF(ISNUMBER(FIND("arbeid",Methode_Keuze)),"",IF(ISNUMBER(FIND("arbeid",Methode_Keuze)),"",IF(Tb_Activiteiten[[#This Row],[Arbeidskosten]]=1,Tb_Activiteiten[[#Headers],[Arbeidskosten]],"")))</f>
        <v/>
      </c>
      <c r="AR19" t="str">
        <f>IF(ISNUMBER(FIND("arbeid",Methode_Keuze)),"",IF(ISNUMBER(FIND("arbeid",Methode_Keuze)),"",IF(Tb_Activiteiten[[#This Row],[Arbeidskosten op basis van IKS]]=1,Tb_Activiteiten[[#Headers],[Arbeidskosten op basis van IKS]],"")))</f>
        <v/>
      </c>
      <c r="AS19" t="str">
        <f>IF(ISNUMBER(FIND("overige",Methode_Keuze)),"",IF(Tb_Activiteiten[[#This Row],[Kosten derden exclusief btw]]=1,Tb_Activiteiten[[#Headers],[Kosten derden exclusief btw]],""))</f>
        <v/>
      </c>
      <c r="AT19" t="str">
        <f>IF(ISNUMBER(FIND("overige",Methode_Keuze)),"",IF(Tb_Activiteiten[[#This Row],[Niet verrekenbare btw]]=1,Tb_Activiteiten[[#Headers],[Niet verrekenbare btw]],""))</f>
        <v/>
      </c>
      <c r="AU19" t="str">
        <f>IF(ISNUMBER(FIND("overige",Methode_Keuze)),"",IF(Tb_Activiteiten[[#This Row],[Grondkosten]]=1,Tb_Activiteiten[[#Headers],[Grondkosten]],""))</f>
        <v/>
      </c>
      <c r="AV19" t="str">
        <f>IF(ISNUMBER(FIND("overige",Methode_Keuze)),"",IF(Tb_Activiteiten[[#This Row],[Bijdrage in natura (overige)]]=1,Tb_Activiteiten[[#Headers],[Bijdrage in natura (overige)]],""))</f>
        <v/>
      </c>
      <c r="AW19" t="str">
        <f>IF(ISNUMBER(FIND("overige",Methode_Keuze)),"",IF(Tb_Activiteiten[[#This Row],[Bijdrage in natura (vrijwilligers)]]=1,Tb_Activiteiten[[#Headers],[Bijdrage in natura (vrijwilligers)]],""))</f>
        <v/>
      </c>
      <c r="AX19" t="str">
        <f>IF(ISNUMBER(FIND("overige",Methode_Keuze)),"",IF(Tb_Activiteiten[[#This Row],[Afschrijvingskosten]]=1,Tb_Activiteiten[[#Headers],[Afschrijvingskosten]],""))</f>
        <v/>
      </c>
      <c r="AY19" t="str">
        <f>IF(ISNUMBER(FIND("overige",Methode_Keuze)),"",IF(Tb_Activiteiten[[#This Row],[Vergoeding]]=1,Tb_Activiteiten[[#Headers],[Vergoeding]],""))</f>
        <v/>
      </c>
      <c r="AZ19" t="str">
        <f>IF(ISNUMBER(FIND("arbeid",Methode_Keuze)),"",IF(Tb_Activiteiten[[#This Row],[Arbeidskosten - vast tarief (excl eigen arbeid)]]=1,Tb_Activiteiten[[#Headers],[Arbeidskosten - vast tarief (excl eigen arbeid)]],""))</f>
        <v/>
      </c>
      <c r="BA19" t="str">
        <f>IF(ISNUMBER(FIND("overige",Methode_Keuze)),"",IF(Tb_Activiteiten[[#This Row],[Overige kosten]]=1,Tb_Activiteiten[[#Headers],[Overige kosten]],""))</f>
        <v/>
      </c>
    </row>
    <row r="20" spans="1:53" x14ac:dyDescent="0.25">
      <c r="A20" s="231"/>
      <c r="F20" s="64"/>
      <c r="G20" s="64"/>
      <c r="H20" s="275"/>
      <c r="I20" s="275"/>
      <c r="J20" s="275"/>
      <c r="K20" s="275"/>
      <c r="O20" s="56"/>
      <c r="Q20" t="str">
        <f>IFERROR(IF(VLOOKUP(Tb_Activiteiten[[#This Row],[Openstelling]],Tb_Openstelling[],2,0)=1,1,""),"")</f>
        <v/>
      </c>
      <c r="AK20" t="str">
        <f>IF(ISNUMBER(FIND("arbeid",Methode_Keuze)),"",IF(ISNUMBER(FIND("arbeid",Methode_Keuze)),"",IF(Tb_Activiteiten[[#This Row],[Loonkosten]]=1,Tb_Activiteiten[[#Headers],[Loonkosten]],"")))</f>
        <v/>
      </c>
      <c r="AL20" t="str">
        <f>IF(ISNUMBER(FIND("arbeid",Methode_Keuze)),"",IF(ISNUMBER(FIND("arbeid",Methode_Keuze)),"",IF(Tb_Activiteiten[[#This Row],[Eigen arbeid]]=1,Tb_Activiteiten[[#Headers],[Eigen arbeid]],"")))</f>
        <v/>
      </c>
      <c r="AM20" t="str">
        <f>IF(ISNUMBER(FIND("arbeid",Methode_Keuze)),"",IF(ISNUMBER(FIND("arbeid",Methode_Keuze)),"",IF(Tb_Activiteiten[[#This Row],[Projectmedewerker]]=1,Tb_Activiteiten[[#Headers],[Projectmedewerker]],"")))</f>
        <v/>
      </c>
      <c r="AN20" t="str">
        <f>IF(ISNUMBER(FIND("arbeid",Methode_Keuze)),"",IF(ISNUMBER(FIND("arbeid",Methode_Keuze)),"",IF(Tb_Activiteiten[[#This Row],[Landbouwer]]=1,Tb_Activiteiten[[#Headers],[Landbouwer]],"")))</f>
        <v/>
      </c>
      <c r="AO20" t="str">
        <f>IF(ISNUMBER(FIND("arbeid",Methode_Keuze)),"",IF(ISNUMBER(FIND("arbeid",Methode_Keuze)),"",IF(Tb_Activiteiten[[#This Row],[Adviseur]]=1,Tb_Activiteiten[[#Headers],[Adviseur]],"")))</f>
        <v/>
      </c>
      <c r="AP20" t="str">
        <f>IF(ISNUMBER(FIND("arbeid",Methode_Keuze)),"",IF(ISNUMBER(FIND("arbeid",Methode_Keuze)),"",IF(Tb_Activiteiten[[#This Row],[Projectleider/Expert]]=1,Tb_Activiteiten[[#Headers],[Projectleider/Expert]],"")))</f>
        <v/>
      </c>
      <c r="AQ20" t="str">
        <f>IF(ISNUMBER(FIND("arbeid",Methode_Keuze)),"",IF(ISNUMBER(FIND("arbeid",Methode_Keuze)),"",IF(Tb_Activiteiten[[#This Row],[Arbeidskosten]]=1,Tb_Activiteiten[[#Headers],[Arbeidskosten]],"")))</f>
        <v/>
      </c>
      <c r="AR20" t="str">
        <f>IF(ISNUMBER(FIND("arbeid",Methode_Keuze)),"",IF(ISNUMBER(FIND("arbeid",Methode_Keuze)),"",IF(Tb_Activiteiten[[#This Row],[Arbeidskosten op basis van IKS]]=1,Tb_Activiteiten[[#Headers],[Arbeidskosten op basis van IKS]],"")))</f>
        <v/>
      </c>
      <c r="AS20" t="str">
        <f>IF(ISNUMBER(FIND("overige",Methode_Keuze)),"",IF(Tb_Activiteiten[[#This Row],[Kosten derden exclusief btw]]=1,Tb_Activiteiten[[#Headers],[Kosten derden exclusief btw]],""))</f>
        <v/>
      </c>
      <c r="AT20" t="str">
        <f>IF(ISNUMBER(FIND("overige",Methode_Keuze)),"",IF(Tb_Activiteiten[[#This Row],[Niet verrekenbare btw]]=1,Tb_Activiteiten[[#Headers],[Niet verrekenbare btw]],""))</f>
        <v/>
      </c>
      <c r="AU20" t="str">
        <f>IF(ISNUMBER(FIND("overige",Methode_Keuze)),"",IF(Tb_Activiteiten[[#This Row],[Grondkosten]]=1,Tb_Activiteiten[[#Headers],[Grondkosten]],""))</f>
        <v/>
      </c>
      <c r="AV20" t="str">
        <f>IF(ISNUMBER(FIND("overige",Methode_Keuze)),"",IF(Tb_Activiteiten[[#This Row],[Bijdrage in natura (overige)]]=1,Tb_Activiteiten[[#Headers],[Bijdrage in natura (overige)]],""))</f>
        <v/>
      </c>
      <c r="AW20" t="str">
        <f>IF(ISNUMBER(FIND("overige",Methode_Keuze)),"",IF(Tb_Activiteiten[[#This Row],[Bijdrage in natura (vrijwilligers)]]=1,Tb_Activiteiten[[#Headers],[Bijdrage in natura (vrijwilligers)]],""))</f>
        <v/>
      </c>
      <c r="AX20" t="str">
        <f>IF(ISNUMBER(FIND("overige",Methode_Keuze)),"",IF(Tb_Activiteiten[[#This Row],[Afschrijvingskosten]]=1,Tb_Activiteiten[[#Headers],[Afschrijvingskosten]],""))</f>
        <v/>
      </c>
      <c r="AY20" t="str">
        <f>IF(ISNUMBER(FIND("overige",Methode_Keuze)),"",IF(Tb_Activiteiten[[#This Row],[Vergoeding]]=1,Tb_Activiteiten[[#Headers],[Vergoeding]],""))</f>
        <v/>
      </c>
      <c r="AZ20" t="str">
        <f>IF(ISNUMBER(FIND("arbeid",Methode_Keuze)),"",IF(Tb_Activiteiten[[#This Row],[Arbeidskosten - vast tarief (excl eigen arbeid)]]=1,Tb_Activiteiten[[#Headers],[Arbeidskosten - vast tarief (excl eigen arbeid)]],""))</f>
        <v/>
      </c>
      <c r="BA20" t="str">
        <f>IF(ISNUMBER(FIND("overige",Methode_Keuze)),"",IF(Tb_Activiteiten[[#This Row],[Overige kosten]]=1,Tb_Activiteiten[[#Headers],[Overige kosten]],""))</f>
        <v/>
      </c>
    </row>
    <row r="21" spans="1:53" x14ac:dyDescent="0.25">
      <c r="A21" s="231"/>
      <c r="F21" s="64"/>
      <c r="G21" s="64"/>
      <c r="H21" s="275"/>
      <c r="I21" s="275"/>
      <c r="J21" s="275"/>
      <c r="K21" s="275"/>
      <c r="O21" s="56"/>
      <c r="Q21" t="str">
        <f>IFERROR(IF(VLOOKUP(Tb_Activiteiten[[#This Row],[Openstelling]],Tb_Openstelling[],2,0)=1,1,""),"")</f>
        <v/>
      </c>
      <c r="AK21" t="str">
        <f>IF(ISNUMBER(FIND("arbeid",Methode_Keuze)),"",IF(ISNUMBER(FIND("arbeid",Methode_Keuze)),"",IF(Tb_Activiteiten[[#This Row],[Loonkosten]]=1,Tb_Activiteiten[[#Headers],[Loonkosten]],"")))</f>
        <v/>
      </c>
      <c r="AL21" t="str">
        <f>IF(ISNUMBER(FIND("arbeid",Methode_Keuze)),"",IF(ISNUMBER(FIND("arbeid",Methode_Keuze)),"",IF(Tb_Activiteiten[[#This Row],[Eigen arbeid]]=1,Tb_Activiteiten[[#Headers],[Eigen arbeid]],"")))</f>
        <v/>
      </c>
      <c r="AM21" t="str">
        <f>IF(ISNUMBER(FIND("arbeid",Methode_Keuze)),"",IF(ISNUMBER(FIND("arbeid",Methode_Keuze)),"",IF(Tb_Activiteiten[[#This Row],[Projectmedewerker]]=1,Tb_Activiteiten[[#Headers],[Projectmedewerker]],"")))</f>
        <v/>
      </c>
      <c r="AN21" t="str">
        <f>IF(ISNUMBER(FIND("arbeid",Methode_Keuze)),"",IF(ISNUMBER(FIND("arbeid",Methode_Keuze)),"",IF(Tb_Activiteiten[[#This Row],[Landbouwer]]=1,Tb_Activiteiten[[#Headers],[Landbouwer]],"")))</f>
        <v/>
      </c>
      <c r="AO21" t="str">
        <f>IF(ISNUMBER(FIND("arbeid",Methode_Keuze)),"",IF(ISNUMBER(FIND("arbeid",Methode_Keuze)),"",IF(Tb_Activiteiten[[#This Row],[Adviseur]]=1,Tb_Activiteiten[[#Headers],[Adviseur]],"")))</f>
        <v/>
      </c>
      <c r="AP21" t="str">
        <f>IF(ISNUMBER(FIND("arbeid",Methode_Keuze)),"",IF(ISNUMBER(FIND("arbeid",Methode_Keuze)),"",IF(Tb_Activiteiten[[#This Row],[Projectleider/Expert]]=1,Tb_Activiteiten[[#Headers],[Projectleider/Expert]],"")))</f>
        <v/>
      </c>
      <c r="AQ21" t="str">
        <f>IF(ISNUMBER(FIND("arbeid",Methode_Keuze)),"",IF(ISNUMBER(FIND("arbeid",Methode_Keuze)),"",IF(Tb_Activiteiten[[#This Row],[Arbeidskosten]]=1,Tb_Activiteiten[[#Headers],[Arbeidskosten]],"")))</f>
        <v/>
      </c>
      <c r="AR21" t="str">
        <f>IF(ISNUMBER(FIND("arbeid",Methode_Keuze)),"",IF(ISNUMBER(FIND("arbeid",Methode_Keuze)),"",IF(Tb_Activiteiten[[#This Row],[Arbeidskosten op basis van IKS]]=1,Tb_Activiteiten[[#Headers],[Arbeidskosten op basis van IKS]],"")))</f>
        <v/>
      </c>
      <c r="AS21" t="str">
        <f>IF(ISNUMBER(FIND("overige",Methode_Keuze)),"",IF(Tb_Activiteiten[[#This Row],[Kosten derden exclusief btw]]=1,Tb_Activiteiten[[#Headers],[Kosten derden exclusief btw]],""))</f>
        <v/>
      </c>
      <c r="AT21" t="str">
        <f>IF(ISNUMBER(FIND("overige",Methode_Keuze)),"",IF(Tb_Activiteiten[[#This Row],[Niet verrekenbare btw]]=1,Tb_Activiteiten[[#Headers],[Niet verrekenbare btw]],""))</f>
        <v/>
      </c>
      <c r="AU21" t="str">
        <f>IF(ISNUMBER(FIND("overige",Methode_Keuze)),"",IF(Tb_Activiteiten[[#This Row],[Grondkosten]]=1,Tb_Activiteiten[[#Headers],[Grondkosten]],""))</f>
        <v/>
      </c>
      <c r="AV21" t="str">
        <f>IF(ISNUMBER(FIND("overige",Methode_Keuze)),"",IF(Tb_Activiteiten[[#This Row],[Bijdrage in natura (overige)]]=1,Tb_Activiteiten[[#Headers],[Bijdrage in natura (overige)]],""))</f>
        <v/>
      </c>
      <c r="AW21" t="str">
        <f>IF(ISNUMBER(FIND("overige",Methode_Keuze)),"",IF(Tb_Activiteiten[[#This Row],[Bijdrage in natura (vrijwilligers)]]=1,Tb_Activiteiten[[#Headers],[Bijdrage in natura (vrijwilligers)]],""))</f>
        <v/>
      </c>
      <c r="AX21" t="str">
        <f>IF(ISNUMBER(FIND("overige",Methode_Keuze)),"",IF(Tb_Activiteiten[[#This Row],[Afschrijvingskosten]]=1,Tb_Activiteiten[[#Headers],[Afschrijvingskosten]],""))</f>
        <v/>
      </c>
      <c r="AY21" t="str">
        <f>IF(ISNUMBER(FIND("overige",Methode_Keuze)),"",IF(Tb_Activiteiten[[#This Row],[Vergoeding]]=1,Tb_Activiteiten[[#Headers],[Vergoeding]],""))</f>
        <v/>
      </c>
      <c r="AZ21" t="str">
        <f>IF(ISNUMBER(FIND("arbeid",Methode_Keuze)),"",IF(Tb_Activiteiten[[#This Row],[Arbeidskosten - vast tarief (excl eigen arbeid)]]=1,Tb_Activiteiten[[#Headers],[Arbeidskosten - vast tarief (excl eigen arbeid)]],""))</f>
        <v/>
      </c>
      <c r="BA21" t="str">
        <f>IF(ISNUMBER(FIND("overige",Methode_Keuze)),"",IF(Tb_Activiteiten[[#This Row],[Overige kosten]]=1,Tb_Activiteiten[[#Headers],[Overige kosten]],""))</f>
        <v/>
      </c>
    </row>
    <row r="22" spans="1:53" x14ac:dyDescent="0.25">
      <c r="A22" s="231"/>
      <c r="F22" s="64"/>
      <c r="G22" s="64"/>
      <c r="H22" s="275"/>
      <c r="I22" s="275"/>
      <c r="J22" s="275"/>
      <c r="K22" s="275"/>
      <c r="O22" s="56"/>
      <c r="Q22" t="str">
        <f>IFERROR(IF(VLOOKUP(Tb_Activiteiten[[#This Row],[Openstelling]],Tb_Openstelling[],2,0)=1,1,""),"")</f>
        <v/>
      </c>
      <c r="AK22" t="str">
        <f>IF(ISNUMBER(FIND("arbeid",Methode_Keuze)),"",IF(ISNUMBER(FIND("arbeid",Methode_Keuze)),"",IF(Tb_Activiteiten[[#This Row],[Loonkosten]]=1,Tb_Activiteiten[[#Headers],[Loonkosten]],"")))</f>
        <v/>
      </c>
      <c r="AL22" t="str">
        <f>IF(ISNUMBER(FIND("arbeid",Methode_Keuze)),"",IF(ISNUMBER(FIND("arbeid",Methode_Keuze)),"",IF(Tb_Activiteiten[[#This Row],[Eigen arbeid]]=1,Tb_Activiteiten[[#Headers],[Eigen arbeid]],"")))</f>
        <v/>
      </c>
      <c r="AM22" t="str">
        <f>IF(ISNUMBER(FIND("arbeid",Methode_Keuze)),"",IF(ISNUMBER(FIND("arbeid",Methode_Keuze)),"",IF(Tb_Activiteiten[[#This Row],[Projectmedewerker]]=1,Tb_Activiteiten[[#Headers],[Projectmedewerker]],"")))</f>
        <v/>
      </c>
      <c r="AN22" t="str">
        <f>IF(ISNUMBER(FIND("arbeid",Methode_Keuze)),"",IF(ISNUMBER(FIND("arbeid",Methode_Keuze)),"",IF(Tb_Activiteiten[[#This Row],[Landbouwer]]=1,Tb_Activiteiten[[#Headers],[Landbouwer]],"")))</f>
        <v/>
      </c>
      <c r="AO22" t="str">
        <f>IF(ISNUMBER(FIND("arbeid",Methode_Keuze)),"",IF(ISNUMBER(FIND("arbeid",Methode_Keuze)),"",IF(Tb_Activiteiten[[#This Row],[Adviseur]]=1,Tb_Activiteiten[[#Headers],[Adviseur]],"")))</f>
        <v/>
      </c>
      <c r="AP22" t="str">
        <f>IF(ISNUMBER(FIND("arbeid",Methode_Keuze)),"",IF(ISNUMBER(FIND("arbeid",Methode_Keuze)),"",IF(Tb_Activiteiten[[#This Row],[Projectleider/Expert]]=1,Tb_Activiteiten[[#Headers],[Projectleider/Expert]],"")))</f>
        <v/>
      </c>
      <c r="AQ22" t="str">
        <f>IF(ISNUMBER(FIND("arbeid",Methode_Keuze)),"",IF(ISNUMBER(FIND("arbeid",Methode_Keuze)),"",IF(Tb_Activiteiten[[#This Row],[Arbeidskosten]]=1,Tb_Activiteiten[[#Headers],[Arbeidskosten]],"")))</f>
        <v/>
      </c>
      <c r="AR22" t="str">
        <f>IF(ISNUMBER(FIND("arbeid",Methode_Keuze)),"",IF(ISNUMBER(FIND("arbeid",Methode_Keuze)),"",IF(Tb_Activiteiten[[#This Row],[Arbeidskosten op basis van IKS]]=1,Tb_Activiteiten[[#Headers],[Arbeidskosten op basis van IKS]],"")))</f>
        <v/>
      </c>
      <c r="AS22" t="str">
        <f>IF(ISNUMBER(FIND("overige",Methode_Keuze)),"",IF(Tb_Activiteiten[[#This Row],[Kosten derden exclusief btw]]=1,Tb_Activiteiten[[#Headers],[Kosten derden exclusief btw]],""))</f>
        <v/>
      </c>
      <c r="AT22" t="str">
        <f>IF(ISNUMBER(FIND("overige",Methode_Keuze)),"",IF(Tb_Activiteiten[[#This Row],[Niet verrekenbare btw]]=1,Tb_Activiteiten[[#Headers],[Niet verrekenbare btw]],""))</f>
        <v/>
      </c>
      <c r="AU22" t="str">
        <f>IF(ISNUMBER(FIND("overige",Methode_Keuze)),"",IF(Tb_Activiteiten[[#This Row],[Grondkosten]]=1,Tb_Activiteiten[[#Headers],[Grondkosten]],""))</f>
        <v/>
      </c>
      <c r="AV22" t="str">
        <f>IF(ISNUMBER(FIND("overige",Methode_Keuze)),"",IF(Tb_Activiteiten[[#This Row],[Bijdrage in natura (overige)]]=1,Tb_Activiteiten[[#Headers],[Bijdrage in natura (overige)]],""))</f>
        <v/>
      </c>
      <c r="AW22" t="str">
        <f>IF(ISNUMBER(FIND("overige",Methode_Keuze)),"",IF(Tb_Activiteiten[[#This Row],[Bijdrage in natura (vrijwilligers)]]=1,Tb_Activiteiten[[#Headers],[Bijdrage in natura (vrijwilligers)]],""))</f>
        <v/>
      </c>
      <c r="AX22" t="str">
        <f>IF(ISNUMBER(FIND("overige",Methode_Keuze)),"",IF(Tb_Activiteiten[[#This Row],[Afschrijvingskosten]]=1,Tb_Activiteiten[[#Headers],[Afschrijvingskosten]],""))</f>
        <v/>
      </c>
      <c r="AY22" t="str">
        <f>IF(ISNUMBER(FIND("overige",Methode_Keuze)),"",IF(Tb_Activiteiten[[#This Row],[Vergoeding]]=1,Tb_Activiteiten[[#Headers],[Vergoeding]],""))</f>
        <v/>
      </c>
      <c r="AZ22" t="str">
        <f>IF(ISNUMBER(FIND("arbeid",Methode_Keuze)),"",IF(Tb_Activiteiten[[#This Row],[Arbeidskosten - vast tarief (excl eigen arbeid)]]=1,Tb_Activiteiten[[#Headers],[Arbeidskosten - vast tarief (excl eigen arbeid)]],""))</f>
        <v/>
      </c>
      <c r="BA22" t="str">
        <f>IF(ISNUMBER(FIND("overige",Methode_Keuze)),"",IF(Tb_Activiteiten[[#This Row],[Overige kosten]]=1,Tb_Activiteiten[[#Headers],[Overige kosten]],""))</f>
        <v/>
      </c>
    </row>
    <row r="23" spans="1:53" x14ac:dyDescent="0.25">
      <c r="A23" s="231"/>
      <c r="F23" s="64"/>
      <c r="G23" s="64"/>
      <c r="H23" s="275"/>
      <c r="I23" s="275"/>
      <c r="J23" s="275"/>
      <c r="K23" s="275"/>
      <c r="O23" s="56"/>
      <c r="Q23" t="str">
        <f>IFERROR(IF(VLOOKUP(Tb_Activiteiten[[#This Row],[Openstelling]],Tb_Openstelling[],2,0)=1,1,""),"")</f>
        <v/>
      </c>
      <c r="AK23" t="str">
        <f>IF(ISNUMBER(FIND("arbeid",Methode_Keuze)),"",IF(ISNUMBER(FIND("arbeid",Methode_Keuze)),"",IF(Tb_Activiteiten[[#This Row],[Loonkosten]]=1,Tb_Activiteiten[[#Headers],[Loonkosten]],"")))</f>
        <v/>
      </c>
      <c r="AL23" t="str">
        <f>IF(ISNUMBER(FIND("arbeid",Methode_Keuze)),"",IF(ISNUMBER(FIND("arbeid",Methode_Keuze)),"",IF(Tb_Activiteiten[[#This Row],[Eigen arbeid]]=1,Tb_Activiteiten[[#Headers],[Eigen arbeid]],"")))</f>
        <v/>
      </c>
      <c r="AM23" t="str">
        <f>IF(ISNUMBER(FIND("arbeid",Methode_Keuze)),"",IF(ISNUMBER(FIND("arbeid",Methode_Keuze)),"",IF(Tb_Activiteiten[[#This Row],[Projectmedewerker]]=1,Tb_Activiteiten[[#Headers],[Projectmedewerker]],"")))</f>
        <v/>
      </c>
      <c r="AN23" t="str">
        <f>IF(ISNUMBER(FIND("arbeid",Methode_Keuze)),"",IF(ISNUMBER(FIND("arbeid",Methode_Keuze)),"",IF(Tb_Activiteiten[[#This Row],[Landbouwer]]=1,Tb_Activiteiten[[#Headers],[Landbouwer]],"")))</f>
        <v/>
      </c>
      <c r="AO23" t="str">
        <f>IF(ISNUMBER(FIND("arbeid",Methode_Keuze)),"",IF(ISNUMBER(FIND("arbeid",Methode_Keuze)),"",IF(Tb_Activiteiten[[#This Row],[Adviseur]]=1,Tb_Activiteiten[[#Headers],[Adviseur]],"")))</f>
        <v/>
      </c>
      <c r="AP23" t="str">
        <f>IF(ISNUMBER(FIND("arbeid",Methode_Keuze)),"",IF(ISNUMBER(FIND("arbeid",Methode_Keuze)),"",IF(Tb_Activiteiten[[#This Row],[Projectleider/Expert]]=1,Tb_Activiteiten[[#Headers],[Projectleider/Expert]],"")))</f>
        <v/>
      </c>
      <c r="AQ23" t="str">
        <f>IF(ISNUMBER(FIND("arbeid",Methode_Keuze)),"",IF(ISNUMBER(FIND("arbeid",Methode_Keuze)),"",IF(Tb_Activiteiten[[#This Row],[Arbeidskosten]]=1,Tb_Activiteiten[[#Headers],[Arbeidskosten]],"")))</f>
        <v/>
      </c>
      <c r="AR23" t="str">
        <f>IF(ISNUMBER(FIND("arbeid",Methode_Keuze)),"",IF(ISNUMBER(FIND("arbeid",Methode_Keuze)),"",IF(Tb_Activiteiten[[#This Row],[Arbeidskosten op basis van IKS]]=1,Tb_Activiteiten[[#Headers],[Arbeidskosten op basis van IKS]],"")))</f>
        <v/>
      </c>
      <c r="AS23" t="str">
        <f>IF(ISNUMBER(FIND("overige",Methode_Keuze)),"",IF(Tb_Activiteiten[[#This Row],[Kosten derden exclusief btw]]=1,Tb_Activiteiten[[#Headers],[Kosten derden exclusief btw]],""))</f>
        <v/>
      </c>
      <c r="AT23" t="str">
        <f>IF(ISNUMBER(FIND("overige",Methode_Keuze)),"",IF(Tb_Activiteiten[[#This Row],[Niet verrekenbare btw]]=1,Tb_Activiteiten[[#Headers],[Niet verrekenbare btw]],""))</f>
        <v/>
      </c>
      <c r="AU23" t="str">
        <f>IF(ISNUMBER(FIND("overige",Methode_Keuze)),"",IF(Tb_Activiteiten[[#This Row],[Grondkosten]]=1,Tb_Activiteiten[[#Headers],[Grondkosten]],""))</f>
        <v/>
      </c>
      <c r="AV23" t="str">
        <f>IF(ISNUMBER(FIND("overige",Methode_Keuze)),"",IF(Tb_Activiteiten[[#This Row],[Bijdrage in natura (overige)]]=1,Tb_Activiteiten[[#Headers],[Bijdrage in natura (overige)]],""))</f>
        <v/>
      </c>
      <c r="AW23" t="str">
        <f>IF(ISNUMBER(FIND("overige",Methode_Keuze)),"",IF(Tb_Activiteiten[[#This Row],[Bijdrage in natura (vrijwilligers)]]=1,Tb_Activiteiten[[#Headers],[Bijdrage in natura (vrijwilligers)]],""))</f>
        <v/>
      </c>
      <c r="AX23" t="str">
        <f>IF(ISNUMBER(FIND("overige",Methode_Keuze)),"",IF(Tb_Activiteiten[[#This Row],[Afschrijvingskosten]]=1,Tb_Activiteiten[[#Headers],[Afschrijvingskosten]],""))</f>
        <v/>
      </c>
      <c r="AY23" t="str">
        <f>IF(ISNUMBER(FIND("overige",Methode_Keuze)),"",IF(Tb_Activiteiten[[#This Row],[Vergoeding]]=1,Tb_Activiteiten[[#Headers],[Vergoeding]],""))</f>
        <v/>
      </c>
      <c r="AZ23" t="str">
        <f>IF(ISNUMBER(FIND("arbeid",Methode_Keuze)),"",IF(Tb_Activiteiten[[#This Row],[Arbeidskosten - vast tarief (excl eigen arbeid)]]=1,Tb_Activiteiten[[#Headers],[Arbeidskosten - vast tarief (excl eigen arbeid)]],""))</f>
        <v/>
      </c>
      <c r="BA23" t="str">
        <f>IF(ISNUMBER(FIND("overige",Methode_Keuze)),"",IF(Tb_Activiteiten[[#This Row],[Overige kosten]]=1,Tb_Activiteiten[[#Headers],[Overige kosten]],""))</f>
        <v/>
      </c>
    </row>
    <row r="24" spans="1:53" x14ac:dyDescent="0.25">
      <c r="A24" s="231"/>
      <c r="F24" s="64"/>
      <c r="G24" s="64"/>
      <c r="H24" s="275"/>
      <c r="I24" s="275"/>
      <c r="J24" s="275"/>
      <c r="K24" s="275"/>
      <c r="O24" s="56"/>
      <c r="Q24" t="str">
        <f>IFERROR(IF(VLOOKUP(Tb_Activiteiten[[#This Row],[Openstelling]],Tb_Openstelling[],2,0)=1,1,""),"")</f>
        <v/>
      </c>
      <c r="AK24" t="str">
        <f>IF(ISNUMBER(FIND("arbeid",Methode_Keuze)),"",IF(ISNUMBER(FIND("arbeid",Methode_Keuze)),"",IF(Tb_Activiteiten[[#This Row],[Loonkosten]]=1,Tb_Activiteiten[[#Headers],[Loonkosten]],"")))</f>
        <v/>
      </c>
      <c r="AL24" t="str">
        <f>IF(ISNUMBER(FIND("arbeid",Methode_Keuze)),"",IF(ISNUMBER(FIND("arbeid",Methode_Keuze)),"",IF(Tb_Activiteiten[[#This Row],[Eigen arbeid]]=1,Tb_Activiteiten[[#Headers],[Eigen arbeid]],"")))</f>
        <v/>
      </c>
      <c r="AM24" t="str">
        <f>IF(ISNUMBER(FIND("arbeid",Methode_Keuze)),"",IF(ISNUMBER(FIND("arbeid",Methode_Keuze)),"",IF(Tb_Activiteiten[[#This Row],[Projectmedewerker]]=1,Tb_Activiteiten[[#Headers],[Projectmedewerker]],"")))</f>
        <v/>
      </c>
      <c r="AN24" t="str">
        <f>IF(ISNUMBER(FIND("arbeid",Methode_Keuze)),"",IF(ISNUMBER(FIND("arbeid",Methode_Keuze)),"",IF(Tb_Activiteiten[[#This Row],[Landbouwer]]=1,Tb_Activiteiten[[#Headers],[Landbouwer]],"")))</f>
        <v/>
      </c>
      <c r="AO24" t="str">
        <f>IF(ISNUMBER(FIND("arbeid",Methode_Keuze)),"",IF(ISNUMBER(FIND("arbeid",Methode_Keuze)),"",IF(Tb_Activiteiten[[#This Row],[Adviseur]]=1,Tb_Activiteiten[[#Headers],[Adviseur]],"")))</f>
        <v/>
      </c>
      <c r="AP24" t="str">
        <f>IF(ISNUMBER(FIND("arbeid",Methode_Keuze)),"",IF(ISNUMBER(FIND("arbeid",Methode_Keuze)),"",IF(Tb_Activiteiten[[#This Row],[Projectleider/Expert]]=1,Tb_Activiteiten[[#Headers],[Projectleider/Expert]],"")))</f>
        <v/>
      </c>
      <c r="AQ24" t="str">
        <f>IF(ISNUMBER(FIND("arbeid",Methode_Keuze)),"",IF(ISNUMBER(FIND("arbeid",Methode_Keuze)),"",IF(Tb_Activiteiten[[#This Row],[Arbeidskosten]]=1,Tb_Activiteiten[[#Headers],[Arbeidskosten]],"")))</f>
        <v/>
      </c>
      <c r="AR24" t="str">
        <f>IF(ISNUMBER(FIND("arbeid",Methode_Keuze)),"",IF(ISNUMBER(FIND("arbeid",Methode_Keuze)),"",IF(Tb_Activiteiten[[#This Row],[Arbeidskosten op basis van IKS]]=1,Tb_Activiteiten[[#Headers],[Arbeidskosten op basis van IKS]],"")))</f>
        <v/>
      </c>
      <c r="AS24" t="str">
        <f>IF(ISNUMBER(FIND("overige",Methode_Keuze)),"",IF(Tb_Activiteiten[[#This Row],[Kosten derden exclusief btw]]=1,Tb_Activiteiten[[#Headers],[Kosten derden exclusief btw]],""))</f>
        <v/>
      </c>
      <c r="AT24" t="str">
        <f>IF(ISNUMBER(FIND("overige",Methode_Keuze)),"",IF(Tb_Activiteiten[[#This Row],[Niet verrekenbare btw]]=1,Tb_Activiteiten[[#Headers],[Niet verrekenbare btw]],""))</f>
        <v/>
      </c>
      <c r="AU24" t="str">
        <f>IF(ISNUMBER(FIND("overige",Methode_Keuze)),"",IF(Tb_Activiteiten[[#This Row],[Grondkosten]]=1,Tb_Activiteiten[[#Headers],[Grondkosten]],""))</f>
        <v/>
      </c>
      <c r="AV24" t="str">
        <f>IF(ISNUMBER(FIND("overige",Methode_Keuze)),"",IF(Tb_Activiteiten[[#This Row],[Bijdrage in natura (overige)]]=1,Tb_Activiteiten[[#Headers],[Bijdrage in natura (overige)]],""))</f>
        <v/>
      </c>
      <c r="AW24" t="str">
        <f>IF(ISNUMBER(FIND("overige",Methode_Keuze)),"",IF(Tb_Activiteiten[[#This Row],[Bijdrage in natura (vrijwilligers)]]=1,Tb_Activiteiten[[#Headers],[Bijdrage in natura (vrijwilligers)]],""))</f>
        <v/>
      </c>
      <c r="AX24" t="str">
        <f>IF(ISNUMBER(FIND("overige",Methode_Keuze)),"",IF(Tb_Activiteiten[[#This Row],[Afschrijvingskosten]]=1,Tb_Activiteiten[[#Headers],[Afschrijvingskosten]],""))</f>
        <v/>
      </c>
      <c r="AY24" t="str">
        <f>IF(ISNUMBER(FIND("overige",Methode_Keuze)),"",IF(Tb_Activiteiten[[#This Row],[Vergoeding]]=1,Tb_Activiteiten[[#Headers],[Vergoeding]],""))</f>
        <v/>
      </c>
      <c r="AZ24" t="str">
        <f>IF(ISNUMBER(FIND("arbeid",Methode_Keuze)),"",IF(Tb_Activiteiten[[#This Row],[Arbeidskosten - vast tarief (excl eigen arbeid)]]=1,Tb_Activiteiten[[#Headers],[Arbeidskosten - vast tarief (excl eigen arbeid)]],""))</f>
        <v/>
      </c>
      <c r="BA24" t="str">
        <f>IF(ISNUMBER(FIND("overige",Methode_Keuze)),"",IF(Tb_Activiteiten[[#This Row],[Overige kosten]]=1,Tb_Activiteiten[[#Headers],[Overige kosten]],""))</f>
        <v/>
      </c>
    </row>
    <row r="25" spans="1:53" x14ac:dyDescent="0.25">
      <c r="A25" s="231"/>
      <c r="F25" s="64"/>
      <c r="G25" s="64"/>
      <c r="H25" s="275"/>
      <c r="I25" s="275"/>
      <c r="J25" s="275"/>
      <c r="K25" s="275"/>
      <c r="O25" s="56"/>
      <c r="Q25" t="str">
        <f>IFERROR(IF(VLOOKUP(Tb_Activiteiten[[#This Row],[Openstelling]],Tb_Openstelling[],2,0)=1,1,""),"")</f>
        <v/>
      </c>
      <c r="AK25" t="str">
        <f>IF(ISNUMBER(FIND("arbeid",Methode_Keuze)),"",IF(ISNUMBER(FIND("arbeid",Methode_Keuze)),"",IF(Tb_Activiteiten[[#This Row],[Loonkosten]]=1,Tb_Activiteiten[[#Headers],[Loonkosten]],"")))</f>
        <v/>
      </c>
      <c r="AL25" t="str">
        <f>IF(ISNUMBER(FIND("arbeid",Methode_Keuze)),"",IF(ISNUMBER(FIND("arbeid",Methode_Keuze)),"",IF(Tb_Activiteiten[[#This Row],[Eigen arbeid]]=1,Tb_Activiteiten[[#Headers],[Eigen arbeid]],"")))</f>
        <v/>
      </c>
      <c r="AM25" t="str">
        <f>IF(ISNUMBER(FIND("arbeid",Methode_Keuze)),"",IF(ISNUMBER(FIND("arbeid",Methode_Keuze)),"",IF(Tb_Activiteiten[[#This Row],[Projectmedewerker]]=1,Tb_Activiteiten[[#Headers],[Projectmedewerker]],"")))</f>
        <v/>
      </c>
      <c r="AN25" t="str">
        <f>IF(ISNUMBER(FIND("arbeid",Methode_Keuze)),"",IF(ISNUMBER(FIND("arbeid",Methode_Keuze)),"",IF(Tb_Activiteiten[[#This Row],[Landbouwer]]=1,Tb_Activiteiten[[#Headers],[Landbouwer]],"")))</f>
        <v/>
      </c>
      <c r="AO25" t="str">
        <f>IF(ISNUMBER(FIND("arbeid",Methode_Keuze)),"",IF(ISNUMBER(FIND("arbeid",Methode_Keuze)),"",IF(Tb_Activiteiten[[#This Row],[Adviseur]]=1,Tb_Activiteiten[[#Headers],[Adviseur]],"")))</f>
        <v/>
      </c>
      <c r="AP25" t="str">
        <f>IF(ISNUMBER(FIND("arbeid",Methode_Keuze)),"",IF(ISNUMBER(FIND("arbeid",Methode_Keuze)),"",IF(Tb_Activiteiten[[#This Row],[Projectleider/Expert]]=1,Tb_Activiteiten[[#Headers],[Projectleider/Expert]],"")))</f>
        <v/>
      </c>
      <c r="AQ25" t="str">
        <f>IF(ISNUMBER(FIND("arbeid",Methode_Keuze)),"",IF(ISNUMBER(FIND("arbeid",Methode_Keuze)),"",IF(Tb_Activiteiten[[#This Row],[Arbeidskosten]]=1,Tb_Activiteiten[[#Headers],[Arbeidskosten]],"")))</f>
        <v/>
      </c>
      <c r="AR25" t="str">
        <f>IF(ISNUMBER(FIND("arbeid",Methode_Keuze)),"",IF(ISNUMBER(FIND("arbeid",Methode_Keuze)),"",IF(Tb_Activiteiten[[#This Row],[Arbeidskosten op basis van IKS]]=1,Tb_Activiteiten[[#Headers],[Arbeidskosten op basis van IKS]],"")))</f>
        <v/>
      </c>
      <c r="AS25" t="str">
        <f>IF(ISNUMBER(FIND("overige",Methode_Keuze)),"",IF(Tb_Activiteiten[[#This Row],[Kosten derden exclusief btw]]=1,Tb_Activiteiten[[#Headers],[Kosten derden exclusief btw]],""))</f>
        <v/>
      </c>
      <c r="AT25" t="str">
        <f>IF(ISNUMBER(FIND("overige",Methode_Keuze)),"",IF(Tb_Activiteiten[[#This Row],[Niet verrekenbare btw]]=1,Tb_Activiteiten[[#Headers],[Niet verrekenbare btw]],""))</f>
        <v/>
      </c>
      <c r="AU25" t="str">
        <f>IF(ISNUMBER(FIND("overige",Methode_Keuze)),"",IF(Tb_Activiteiten[[#This Row],[Grondkosten]]=1,Tb_Activiteiten[[#Headers],[Grondkosten]],""))</f>
        <v/>
      </c>
      <c r="AV25" t="str">
        <f>IF(ISNUMBER(FIND("overige",Methode_Keuze)),"",IF(Tb_Activiteiten[[#This Row],[Bijdrage in natura (overige)]]=1,Tb_Activiteiten[[#Headers],[Bijdrage in natura (overige)]],""))</f>
        <v/>
      </c>
      <c r="AW25" t="str">
        <f>IF(ISNUMBER(FIND("overige",Methode_Keuze)),"",IF(Tb_Activiteiten[[#This Row],[Bijdrage in natura (vrijwilligers)]]=1,Tb_Activiteiten[[#Headers],[Bijdrage in natura (vrijwilligers)]],""))</f>
        <v/>
      </c>
      <c r="AX25" t="str">
        <f>IF(ISNUMBER(FIND("overige",Methode_Keuze)),"",IF(Tb_Activiteiten[[#This Row],[Afschrijvingskosten]]=1,Tb_Activiteiten[[#Headers],[Afschrijvingskosten]],""))</f>
        <v/>
      </c>
      <c r="AY25" t="str">
        <f>IF(ISNUMBER(FIND("overige",Methode_Keuze)),"",IF(Tb_Activiteiten[[#This Row],[Vergoeding]]=1,Tb_Activiteiten[[#Headers],[Vergoeding]],""))</f>
        <v/>
      </c>
      <c r="AZ25" t="str">
        <f>IF(ISNUMBER(FIND("arbeid",Methode_Keuze)),"",IF(Tb_Activiteiten[[#This Row],[Arbeidskosten - vast tarief (excl eigen arbeid)]]=1,Tb_Activiteiten[[#Headers],[Arbeidskosten - vast tarief (excl eigen arbeid)]],""))</f>
        <v/>
      </c>
      <c r="BA25" t="str">
        <f>IF(ISNUMBER(FIND("overige",Methode_Keuze)),"",IF(Tb_Activiteiten[[#This Row],[Overige kosten]]=1,Tb_Activiteiten[[#Headers],[Overige kosten]],""))</f>
        <v/>
      </c>
    </row>
    <row r="26" spans="1:53" x14ac:dyDescent="0.25">
      <c r="A26" s="231"/>
      <c r="F26" s="64"/>
      <c r="G26" s="64"/>
      <c r="H26" s="275"/>
      <c r="I26" s="275"/>
      <c r="J26" s="275"/>
      <c r="K26" s="275"/>
      <c r="O26" s="56"/>
      <c r="Q26" t="str">
        <f>IFERROR(IF(VLOOKUP(Tb_Activiteiten[[#This Row],[Openstelling]],Tb_Openstelling[],2,0)=1,1,""),"")</f>
        <v/>
      </c>
      <c r="AK26" t="str">
        <f>IF(ISNUMBER(FIND("arbeid",Methode_Keuze)),"",IF(ISNUMBER(FIND("arbeid",Methode_Keuze)),"",IF(Tb_Activiteiten[[#This Row],[Loonkosten]]=1,Tb_Activiteiten[[#Headers],[Loonkosten]],"")))</f>
        <v/>
      </c>
      <c r="AL26" t="str">
        <f>IF(ISNUMBER(FIND("arbeid",Methode_Keuze)),"",IF(ISNUMBER(FIND("arbeid",Methode_Keuze)),"",IF(Tb_Activiteiten[[#This Row],[Eigen arbeid]]=1,Tb_Activiteiten[[#Headers],[Eigen arbeid]],"")))</f>
        <v/>
      </c>
      <c r="AM26" t="str">
        <f>IF(ISNUMBER(FIND("arbeid",Methode_Keuze)),"",IF(ISNUMBER(FIND("arbeid",Methode_Keuze)),"",IF(Tb_Activiteiten[[#This Row],[Projectmedewerker]]=1,Tb_Activiteiten[[#Headers],[Projectmedewerker]],"")))</f>
        <v/>
      </c>
      <c r="AN26" t="str">
        <f>IF(ISNUMBER(FIND("arbeid",Methode_Keuze)),"",IF(ISNUMBER(FIND("arbeid",Methode_Keuze)),"",IF(Tb_Activiteiten[[#This Row],[Landbouwer]]=1,Tb_Activiteiten[[#Headers],[Landbouwer]],"")))</f>
        <v/>
      </c>
      <c r="AO26" t="str">
        <f>IF(ISNUMBER(FIND("arbeid",Methode_Keuze)),"",IF(ISNUMBER(FIND("arbeid",Methode_Keuze)),"",IF(Tb_Activiteiten[[#This Row],[Adviseur]]=1,Tb_Activiteiten[[#Headers],[Adviseur]],"")))</f>
        <v/>
      </c>
      <c r="AP26" t="str">
        <f>IF(ISNUMBER(FIND("arbeid",Methode_Keuze)),"",IF(ISNUMBER(FIND("arbeid",Methode_Keuze)),"",IF(Tb_Activiteiten[[#This Row],[Projectleider/Expert]]=1,Tb_Activiteiten[[#Headers],[Projectleider/Expert]],"")))</f>
        <v/>
      </c>
      <c r="AQ26" t="str">
        <f>IF(ISNUMBER(FIND("arbeid",Methode_Keuze)),"",IF(ISNUMBER(FIND("arbeid",Methode_Keuze)),"",IF(Tb_Activiteiten[[#This Row],[Arbeidskosten]]=1,Tb_Activiteiten[[#Headers],[Arbeidskosten]],"")))</f>
        <v/>
      </c>
      <c r="AR26" t="str">
        <f>IF(ISNUMBER(FIND("arbeid",Methode_Keuze)),"",IF(ISNUMBER(FIND("arbeid",Methode_Keuze)),"",IF(Tb_Activiteiten[[#This Row],[Arbeidskosten op basis van IKS]]=1,Tb_Activiteiten[[#Headers],[Arbeidskosten op basis van IKS]],"")))</f>
        <v/>
      </c>
      <c r="AS26" t="str">
        <f>IF(ISNUMBER(FIND("overige",Methode_Keuze)),"",IF(Tb_Activiteiten[[#This Row],[Kosten derden exclusief btw]]=1,Tb_Activiteiten[[#Headers],[Kosten derden exclusief btw]],""))</f>
        <v/>
      </c>
      <c r="AT26" t="str">
        <f>IF(ISNUMBER(FIND("overige",Methode_Keuze)),"",IF(Tb_Activiteiten[[#This Row],[Niet verrekenbare btw]]=1,Tb_Activiteiten[[#Headers],[Niet verrekenbare btw]],""))</f>
        <v/>
      </c>
      <c r="AU26" t="str">
        <f>IF(ISNUMBER(FIND("overige",Methode_Keuze)),"",IF(Tb_Activiteiten[[#This Row],[Grondkosten]]=1,Tb_Activiteiten[[#Headers],[Grondkosten]],""))</f>
        <v/>
      </c>
      <c r="AV26" t="str">
        <f>IF(ISNUMBER(FIND("overige",Methode_Keuze)),"",IF(Tb_Activiteiten[[#This Row],[Bijdrage in natura (overige)]]=1,Tb_Activiteiten[[#Headers],[Bijdrage in natura (overige)]],""))</f>
        <v/>
      </c>
      <c r="AW26" t="str">
        <f>IF(ISNUMBER(FIND("overige",Methode_Keuze)),"",IF(Tb_Activiteiten[[#This Row],[Bijdrage in natura (vrijwilligers)]]=1,Tb_Activiteiten[[#Headers],[Bijdrage in natura (vrijwilligers)]],""))</f>
        <v/>
      </c>
      <c r="AX26" t="str">
        <f>IF(ISNUMBER(FIND("overige",Methode_Keuze)),"",IF(Tb_Activiteiten[[#This Row],[Afschrijvingskosten]]=1,Tb_Activiteiten[[#Headers],[Afschrijvingskosten]],""))</f>
        <v/>
      </c>
      <c r="AY26" t="str">
        <f>IF(ISNUMBER(FIND("overige",Methode_Keuze)),"",IF(Tb_Activiteiten[[#This Row],[Vergoeding]]=1,Tb_Activiteiten[[#Headers],[Vergoeding]],""))</f>
        <v/>
      </c>
      <c r="AZ26" t="str">
        <f>IF(ISNUMBER(FIND("arbeid",Methode_Keuze)),"",IF(Tb_Activiteiten[[#This Row],[Arbeidskosten - vast tarief (excl eigen arbeid)]]=1,Tb_Activiteiten[[#Headers],[Arbeidskosten - vast tarief (excl eigen arbeid)]],""))</f>
        <v/>
      </c>
      <c r="BA26" t="str">
        <f>IF(ISNUMBER(FIND("overige",Methode_Keuze)),"",IF(Tb_Activiteiten[[#This Row],[Overige kosten]]=1,Tb_Activiteiten[[#Headers],[Overige kosten]],""))</f>
        <v/>
      </c>
    </row>
    <row r="27" spans="1:53" x14ac:dyDescent="0.25">
      <c r="A27" s="231"/>
      <c r="F27" s="64"/>
      <c r="G27" s="64"/>
      <c r="H27" s="275"/>
      <c r="I27" s="275"/>
      <c r="J27" s="275"/>
      <c r="K27" s="275"/>
      <c r="O27" s="56"/>
      <c r="Q27" t="str">
        <f>IFERROR(IF(VLOOKUP(Tb_Activiteiten[[#This Row],[Openstelling]],Tb_Openstelling[],2,0)=1,1,""),"")</f>
        <v/>
      </c>
      <c r="AK27" t="str">
        <f>IF(ISNUMBER(FIND("arbeid",Methode_Keuze)),"",IF(ISNUMBER(FIND("arbeid",Methode_Keuze)),"",IF(Tb_Activiteiten[[#This Row],[Loonkosten]]=1,Tb_Activiteiten[[#Headers],[Loonkosten]],"")))</f>
        <v/>
      </c>
      <c r="AL27" t="str">
        <f>IF(ISNUMBER(FIND("arbeid",Methode_Keuze)),"",IF(ISNUMBER(FIND("arbeid",Methode_Keuze)),"",IF(Tb_Activiteiten[[#This Row],[Eigen arbeid]]=1,Tb_Activiteiten[[#Headers],[Eigen arbeid]],"")))</f>
        <v/>
      </c>
      <c r="AM27" t="str">
        <f>IF(ISNUMBER(FIND("arbeid",Methode_Keuze)),"",IF(ISNUMBER(FIND("arbeid",Methode_Keuze)),"",IF(Tb_Activiteiten[[#This Row],[Projectmedewerker]]=1,Tb_Activiteiten[[#Headers],[Projectmedewerker]],"")))</f>
        <v/>
      </c>
      <c r="AN27" t="str">
        <f>IF(ISNUMBER(FIND("arbeid",Methode_Keuze)),"",IF(ISNUMBER(FIND("arbeid",Methode_Keuze)),"",IF(Tb_Activiteiten[[#This Row],[Landbouwer]]=1,Tb_Activiteiten[[#Headers],[Landbouwer]],"")))</f>
        <v/>
      </c>
      <c r="AO27" t="str">
        <f>IF(ISNUMBER(FIND("arbeid",Methode_Keuze)),"",IF(ISNUMBER(FIND("arbeid",Methode_Keuze)),"",IF(Tb_Activiteiten[[#This Row],[Adviseur]]=1,Tb_Activiteiten[[#Headers],[Adviseur]],"")))</f>
        <v/>
      </c>
      <c r="AP27" t="str">
        <f>IF(ISNUMBER(FIND("arbeid",Methode_Keuze)),"",IF(ISNUMBER(FIND("arbeid",Methode_Keuze)),"",IF(Tb_Activiteiten[[#This Row],[Projectleider/Expert]]=1,Tb_Activiteiten[[#Headers],[Projectleider/Expert]],"")))</f>
        <v/>
      </c>
      <c r="AQ27" t="str">
        <f>IF(ISNUMBER(FIND("arbeid",Methode_Keuze)),"",IF(ISNUMBER(FIND("arbeid",Methode_Keuze)),"",IF(Tb_Activiteiten[[#This Row],[Arbeidskosten]]=1,Tb_Activiteiten[[#Headers],[Arbeidskosten]],"")))</f>
        <v/>
      </c>
      <c r="AR27" t="str">
        <f>IF(ISNUMBER(FIND("arbeid",Methode_Keuze)),"",IF(ISNUMBER(FIND("arbeid",Methode_Keuze)),"",IF(Tb_Activiteiten[[#This Row],[Arbeidskosten op basis van IKS]]=1,Tb_Activiteiten[[#Headers],[Arbeidskosten op basis van IKS]],"")))</f>
        <v/>
      </c>
      <c r="AS27" t="str">
        <f>IF(ISNUMBER(FIND("overige",Methode_Keuze)),"",IF(Tb_Activiteiten[[#This Row],[Kosten derden exclusief btw]]=1,Tb_Activiteiten[[#Headers],[Kosten derden exclusief btw]],""))</f>
        <v/>
      </c>
      <c r="AT27" t="str">
        <f>IF(ISNUMBER(FIND("overige",Methode_Keuze)),"",IF(Tb_Activiteiten[[#This Row],[Niet verrekenbare btw]]=1,Tb_Activiteiten[[#Headers],[Niet verrekenbare btw]],""))</f>
        <v/>
      </c>
      <c r="AU27" t="str">
        <f>IF(ISNUMBER(FIND("overige",Methode_Keuze)),"",IF(Tb_Activiteiten[[#This Row],[Grondkosten]]=1,Tb_Activiteiten[[#Headers],[Grondkosten]],""))</f>
        <v/>
      </c>
      <c r="AV27" t="str">
        <f>IF(ISNUMBER(FIND("overige",Methode_Keuze)),"",IF(Tb_Activiteiten[[#This Row],[Bijdrage in natura (overige)]]=1,Tb_Activiteiten[[#Headers],[Bijdrage in natura (overige)]],""))</f>
        <v/>
      </c>
      <c r="AW27" t="str">
        <f>IF(ISNUMBER(FIND("overige",Methode_Keuze)),"",IF(Tb_Activiteiten[[#This Row],[Bijdrage in natura (vrijwilligers)]]=1,Tb_Activiteiten[[#Headers],[Bijdrage in natura (vrijwilligers)]],""))</f>
        <v/>
      </c>
      <c r="AX27" t="str">
        <f>IF(ISNUMBER(FIND("overige",Methode_Keuze)),"",IF(Tb_Activiteiten[[#This Row],[Afschrijvingskosten]]=1,Tb_Activiteiten[[#Headers],[Afschrijvingskosten]],""))</f>
        <v/>
      </c>
      <c r="AY27" t="str">
        <f>IF(ISNUMBER(FIND("overige",Methode_Keuze)),"",IF(Tb_Activiteiten[[#This Row],[Vergoeding]]=1,Tb_Activiteiten[[#Headers],[Vergoeding]],""))</f>
        <v/>
      </c>
      <c r="AZ27" t="str">
        <f>IF(ISNUMBER(FIND("arbeid",Methode_Keuze)),"",IF(Tb_Activiteiten[[#This Row],[Arbeidskosten - vast tarief (excl eigen arbeid)]]=1,Tb_Activiteiten[[#Headers],[Arbeidskosten - vast tarief (excl eigen arbeid)]],""))</f>
        <v/>
      </c>
      <c r="BA27" t="str">
        <f>IF(ISNUMBER(FIND("overige",Methode_Keuze)),"",IF(Tb_Activiteiten[[#This Row],[Overige kosten]]=1,Tb_Activiteiten[[#Headers],[Overige kosten]],""))</f>
        <v/>
      </c>
    </row>
    <row r="28" spans="1:53" x14ac:dyDescent="0.25">
      <c r="A28" s="231"/>
      <c r="F28" s="64"/>
      <c r="G28" s="64"/>
      <c r="H28" s="275"/>
      <c r="I28" s="275"/>
      <c r="J28" s="275"/>
      <c r="K28" s="275"/>
      <c r="O28" s="56"/>
      <c r="Q28" t="str">
        <f>IFERROR(IF(VLOOKUP(Tb_Activiteiten[[#This Row],[Openstelling]],Tb_Openstelling[],2,0)=1,1,""),"")</f>
        <v/>
      </c>
      <c r="AK28" t="str">
        <f>IF(ISNUMBER(FIND("arbeid",Methode_Keuze)),"",IF(ISNUMBER(FIND("arbeid",Methode_Keuze)),"",IF(Tb_Activiteiten[[#This Row],[Loonkosten]]=1,Tb_Activiteiten[[#Headers],[Loonkosten]],"")))</f>
        <v/>
      </c>
      <c r="AL28" t="str">
        <f>IF(ISNUMBER(FIND("arbeid",Methode_Keuze)),"",IF(ISNUMBER(FIND("arbeid",Methode_Keuze)),"",IF(Tb_Activiteiten[[#This Row],[Eigen arbeid]]=1,Tb_Activiteiten[[#Headers],[Eigen arbeid]],"")))</f>
        <v/>
      </c>
      <c r="AM28" t="str">
        <f>IF(ISNUMBER(FIND("arbeid",Methode_Keuze)),"",IF(ISNUMBER(FIND("arbeid",Methode_Keuze)),"",IF(Tb_Activiteiten[[#This Row],[Projectmedewerker]]=1,Tb_Activiteiten[[#Headers],[Projectmedewerker]],"")))</f>
        <v/>
      </c>
      <c r="AN28" t="str">
        <f>IF(ISNUMBER(FIND("arbeid",Methode_Keuze)),"",IF(ISNUMBER(FIND("arbeid",Methode_Keuze)),"",IF(Tb_Activiteiten[[#This Row],[Landbouwer]]=1,Tb_Activiteiten[[#Headers],[Landbouwer]],"")))</f>
        <v/>
      </c>
      <c r="AO28" t="str">
        <f>IF(ISNUMBER(FIND("arbeid",Methode_Keuze)),"",IF(ISNUMBER(FIND("arbeid",Methode_Keuze)),"",IF(Tb_Activiteiten[[#This Row],[Adviseur]]=1,Tb_Activiteiten[[#Headers],[Adviseur]],"")))</f>
        <v/>
      </c>
      <c r="AP28" t="str">
        <f>IF(ISNUMBER(FIND("arbeid",Methode_Keuze)),"",IF(ISNUMBER(FIND("arbeid",Methode_Keuze)),"",IF(Tb_Activiteiten[[#This Row],[Projectleider/Expert]]=1,Tb_Activiteiten[[#Headers],[Projectleider/Expert]],"")))</f>
        <v/>
      </c>
      <c r="AQ28" t="str">
        <f>IF(ISNUMBER(FIND("arbeid",Methode_Keuze)),"",IF(ISNUMBER(FIND("arbeid",Methode_Keuze)),"",IF(Tb_Activiteiten[[#This Row],[Arbeidskosten]]=1,Tb_Activiteiten[[#Headers],[Arbeidskosten]],"")))</f>
        <v/>
      </c>
      <c r="AR28" t="str">
        <f>IF(ISNUMBER(FIND("arbeid",Methode_Keuze)),"",IF(ISNUMBER(FIND("arbeid",Methode_Keuze)),"",IF(Tb_Activiteiten[[#This Row],[Arbeidskosten op basis van IKS]]=1,Tb_Activiteiten[[#Headers],[Arbeidskosten op basis van IKS]],"")))</f>
        <v/>
      </c>
      <c r="AS28" t="str">
        <f>IF(ISNUMBER(FIND("overige",Methode_Keuze)),"",IF(Tb_Activiteiten[[#This Row],[Kosten derden exclusief btw]]=1,Tb_Activiteiten[[#Headers],[Kosten derden exclusief btw]],""))</f>
        <v/>
      </c>
      <c r="AT28" t="str">
        <f>IF(ISNUMBER(FIND("overige",Methode_Keuze)),"",IF(Tb_Activiteiten[[#This Row],[Niet verrekenbare btw]]=1,Tb_Activiteiten[[#Headers],[Niet verrekenbare btw]],""))</f>
        <v/>
      </c>
      <c r="AU28" t="str">
        <f>IF(ISNUMBER(FIND("overige",Methode_Keuze)),"",IF(Tb_Activiteiten[[#This Row],[Grondkosten]]=1,Tb_Activiteiten[[#Headers],[Grondkosten]],""))</f>
        <v/>
      </c>
      <c r="AV28" t="str">
        <f>IF(ISNUMBER(FIND("overige",Methode_Keuze)),"",IF(Tb_Activiteiten[[#This Row],[Bijdrage in natura (overige)]]=1,Tb_Activiteiten[[#Headers],[Bijdrage in natura (overige)]],""))</f>
        <v/>
      </c>
      <c r="AW28" t="str">
        <f>IF(ISNUMBER(FIND("overige",Methode_Keuze)),"",IF(Tb_Activiteiten[[#This Row],[Bijdrage in natura (vrijwilligers)]]=1,Tb_Activiteiten[[#Headers],[Bijdrage in natura (vrijwilligers)]],""))</f>
        <v/>
      </c>
      <c r="AX28" t="str">
        <f>IF(ISNUMBER(FIND("overige",Methode_Keuze)),"",IF(Tb_Activiteiten[[#This Row],[Afschrijvingskosten]]=1,Tb_Activiteiten[[#Headers],[Afschrijvingskosten]],""))</f>
        <v/>
      </c>
      <c r="AY28" t="str">
        <f>IF(ISNUMBER(FIND("overige",Methode_Keuze)),"",IF(Tb_Activiteiten[[#This Row],[Vergoeding]]=1,Tb_Activiteiten[[#Headers],[Vergoeding]],""))</f>
        <v/>
      </c>
      <c r="AZ28" t="str">
        <f>IF(ISNUMBER(FIND("arbeid",Methode_Keuze)),"",IF(Tb_Activiteiten[[#This Row],[Arbeidskosten - vast tarief (excl eigen arbeid)]]=1,Tb_Activiteiten[[#Headers],[Arbeidskosten - vast tarief (excl eigen arbeid)]],""))</f>
        <v/>
      </c>
      <c r="BA28" t="str">
        <f>IF(ISNUMBER(FIND("overige",Methode_Keuze)),"",IF(Tb_Activiteiten[[#This Row],[Overige kosten]]=1,Tb_Activiteiten[[#Headers],[Overige kosten]],""))</f>
        <v/>
      </c>
    </row>
    <row r="29" spans="1:53" x14ac:dyDescent="0.25">
      <c r="A29" s="231"/>
      <c r="F29" s="64"/>
      <c r="G29" s="64"/>
      <c r="H29" s="275"/>
      <c r="I29" s="275"/>
      <c r="J29" s="275"/>
      <c r="K29" s="275"/>
      <c r="O29" s="56"/>
      <c r="Q29" t="str">
        <f>IFERROR(IF(VLOOKUP(Tb_Activiteiten[[#This Row],[Openstelling]],Tb_Openstelling[],2,0)=1,1,""),"")</f>
        <v/>
      </c>
      <c r="AK29" t="str">
        <f>IF(ISNUMBER(FIND("arbeid",Methode_Keuze)),"",IF(ISNUMBER(FIND("arbeid",Methode_Keuze)),"",IF(Tb_Activiteiten[[#This Row],[Loonkosten]]=1,Tb_Activiteiten[[#Headers],[Loonkosten]],"")))</f>
        <v/>
      </c>
      <c r="AL29" t="str">
        <f>IF(ISNUMBER(FIND("arbeid",Methode_Keuze)),"",IF(ISNUMBER(FIND("arbeid",Methode_Keuze)),"",IF(Tb_Activiteiten[[#This Row],[Eigen arbeid]]=1,Tb_Activiteiten[[#Headers],[Eigen arbeid]],"")))</f>
        <v/>
      </c>
      <c r="AM29" t="str">
        <f>IF(ISNUMBER(FIND("arbeid",Methode_Keuze)),"",IF(ISNUMBER(FIND("arbeid",Methode_Keuze)),"",IF(Tb_Activiteiten[[#This Row],[Projectmedewerker]]=1,Tb_Activiteiten[[#Headers],[Projectmedewerker]],"")))</f>
        <v/>
      </c>
      <c r="AN29" t="str">
        <f>IF(ISNUMBER(FIND("arbeid",Methode_Keuze)),"",IF(ISNUMBER(FIND("arbeid",Methode_Keuze)),"",IF(Tb_Activiteiten[[#This Row],[Landbouwer]]=1,Tb_Activiteiten[[#Headers],[Landbouwer]],"")))</f>
        <v/>
      </c>
      <c r="AO29" t="str">
        <f>IF(ISNUMBER(FIND("arbeid",Methode_Keuze)),"",IF(ISNUMBER(FIND("arbeid",Methode_Keuze)),"",IF(Tb_Activiteiten[[#This Row],[Adviseur]]=1,Tb_Activiteiten[[#Headers],[Adviseur]],"")))</f>
        <v/>
      </c>
      <c r="AP29" t="str">
        <f>IF(ISNUMBER(FIND("arbeid",Methode_Keuze)),"",IF(ISNUMBER(FIND("arbeid",Methode_Keuze)),"",IF(Tb_Activiteiten[[#This Row],[Projectleider/Expert]]=1,Tb_Activiteiten[[#Headers],[Projectleider/Expert]],"")))</f>
        <v/>
      </c>
      <c r="AQ29" t="str">
        <f>IF(ISNUMBER(FIND("arbeid",Methode_Keuze)),"",IF(ISNUMBER(FIND("arbeid",Methode_Keuze)),"",IF(Tb_Activiteiten[[#This Row],[Arbeidskosten]]=1,Tb_Activiteiten[[#Headers],[Arbeidskosten]],"")))</f>
        <v/>
      </c>
      <c r="AR29" t="str">
        <f>IF(ISNUMBER(FIND("arbeid",Methode_Keuze)),"",IF(ISNUMBER(FIND("arbeid",Methode_Keuze)),"",IF(Tb_Activiteiten[[#This Row],[Arbeidskosten op basis van IKS]]=1,Tb_Activiteiten[[#Headers],[Arbeidskosten op basis van IKS]],"")))</f>
        <v/>
      </c>
      <c r="AS29" t="str">
        <f>IF(ISNUMBER(FIND("overige",Methode_Keuze)),"",IF(Tb_Activiteiten[[#This Row],[Kosten derden exclusief btw]]=1,Tb_Activiteiten[[#Headers],[Kosten derden exclusief btw]],""))</f>
        <v/>
      </c>
      <c r="AT29" t="str">
        <f>IF(ISNUMBER(FIND("overige",Methode_Keuze)),"",IF(Tb_Activiteiten[[#This Row],[Niet verrekenbare btw]]=1,Tb_Activiteiten[[#Headers],[Niet verrekenbare btw]],""))</f>
        <v/>
      </c>
      <c r="AU29" t="str">
        <f>IF(ISNUMBER(FIND("overige",Methode_Keuze)),"",IF(Tb_Activiteiten[[#This Row],[Grondkosten]]=1,Tb_Activiteiten[[#Headers],[Grondkosten]],""))</f>
        <v/>
      </c>
      <c r="AV29" t="str">
        <f>IF(ISNUMBER(FIND("overige",Methode_Keuze)),"",IF(Tb_Activiteiten[[#This Row],[Bijdrage in natura (overige)]]=1,Tb_Activiteiten[[#Headers],[Bijdrage in natura (overige)]],""))</f>
        <v/>
      </c>
      <c r="AW29" t="str">
        <f>IF(ISNUMBER(FIND("overige",Methode_Keuze)),"",IF(Tb_Activiteiten[[#This Row],[Bijdrage in natura (vrijwilligers)]]=1,Tb_Activiteiten[[#Headers],[Bijdrage in natura (vrijwilligers)]],""))</f>
        <v/>
      </c>
      <c r="AX29" t="str">
        <f>IF(ISNUMBER(FIND("overige",Methode_Keuze)),"",IF(Tb_Activiteiten[[#This Row],[Afschrijvingskosten]]=1,Tb_Activiteiten[[#Headers],[Afschrijvingskosten]],""))</f>
        <v/>
      </c>
      <c r="AY29" t="str">
        <f>IF(ISNUMBER(FIND("overige",Methode_Keuze)),"",IF(Tb_Activiteiten[[#This Row],[Vergoeding]]=1,Tb_Activiteiten[[#Headers],[Vergoeding]],""))</f>
        <v/>
      </c>
      <c r="AZ29" t="str">
        <f>IF(ISNUMBER(FIND("arbeid",Methode_Keuze)),"",IF(Tb_Activiteiten[[#This Row],[Arbeidskosten - vast tarief (excl eigen arbeid)]]=1,Tb_Activiteiten[[#Headers],[Arbeidskosten - vast tarief (excl eigen arbeid)]],""))</f>
        <v/>
      </c>
      <c r="BA29" t="str">
        <f>IF(ISNUMBER(FIND("overige",Methode_Keuze)),"",IF(Tb_Activiteiten[[#This Row],[Overige kosten]]=1,Tb_Activiteiten[[#Headers],[Overige kosten]],""))</f>
        <v/>
      </c>
    </row>
    <row r="30" spans="1:53" x14ac:dyDescent="0.25">
      <c r="A30" s="231"/>
      <c r="F30" s="64"/>
      <c r="G30" s="64"/>
      <c r="H30" s="275"/>
      <c r="I30" s="275"/>
      <c r="J30" s="275"/>
      <c r="K30" s="275"/>
      <c r="O30" s="56"/>
      <c r="Q30" t="str">
        <f>IFERROR(IF(VLOOKUP(Tb_Activiteiten[[#This Row],[Openstelling]],Tb_Openstelling[],2,0)=1,1,""),"")</f>
        <v/>
      </c>
      <c r="AK30" t="str">
        <f>IF(ISNUMBER(FIND("arbeid",Methode_Keuze)),"",IF(ISNUMBER(FIND("arbeid",Methode_Keuze)),"",IF(Tb_Activiteiten[[#This Row],[Loonkosten]]=1,Tb_Activiteiten[[#Headers],[Loonkosten]],"")))</f>
        <v/>
      </c>
      <c r="AL30" t="str">
        <f>IF(ISNUMBER(FIND("arbeid",Methode_Keuze)),"",IF(ISNUMBER(FIND("arbeid",Methode_Keuze)),"",IF(Tb_Activiteiten[[#This Row],[Eigen arbeid]]=1,Tb_Activiteiten[[#Headers],[Eigen arbeid]],"")))</f>
        <v/>
      </c>
      <c r="AM30" t="str">
        <f>IF(ISNUMBER(FIND("arbeid",Methode_Keuze)),"",IF(ISNUMBER(FIND("arbeid",Methode_Keuze)),"",IF(Tb_Activiteiten[[#This Row],[Projectmedewerker]]=1,Tb_Activiteiten[[#Headers],[Projectmedewerker]],"")))</f>
        <v/>
      </c>
      <c r="AN30" t="str">
        <f>IF(ISNUMBER(FIND("arbeid",Methode_Keuze)),"",IF(ISNUMBER(FIND("arbeid",Methode_Keuze)),"",IF(Tb_Activiteiten[[#This Row],[Landbouwer]]=1,Tb_Activiteiten[[#Headers],[Landbouwer]],"")))</f>
        <v/>
      </c>
      <c r="AO30" t="str">
        <f>IF(ISNUMBER(FIND("arbeid",Methode_Keuze)),"",IF(ISNUMBER(FIND("arbeid",Methode_Keuze)),"",IF(Tb_Activiteiten[[#This Row],[Adviseur]]=1,Tb_Activiteiten[[#Headers],[Adviseur]],"")))</f>
        <v/>
      </c>
      <c r="AP30" t="str">
        <f>IF(ISNUMBER(FIND("arbeid",Methode_Keuze)),"",IF(ISNUMBER(FIND("arbeid",Methode_Keuze)),"",IF(Tb_Activiteiten[[#This Row],[Projectleider/Expert]]=1,Tb_Activiteiten[[#Headers],[Projectleider/Expert]],"")))</f>
        <v/>
      </c>
      <c r="AQ30" t="str">
        <f>IF(ISNUMBER(FIND("arbeid",Methode_Keuze)),"",IF(ISNUMBER(FIND("arbeid",Methode_Keuze)),"",IF(Tb_Activiteiten[[#This Row],[Arbeidskosten]]=1,Tb_Activiteiten[[#Headers],[Arbeidskosten]],"")))</f>
        <v/>
      </c>
      <c r="AR30" t="str">
        <f>IF(ISNUMBER(FIND("arbeid",Methode_Keuze)),"",IF(ISNUMBER(FIND("arbeid",Methode_Keuze)),"",IF(Tb_Activiteiten[[#This Row],[Arbeidskosten op basis van IKS]]=1,Tb_Activiteiten[[#Headers],[Arbeidskosten op basis van IKS]],"")))</f>
        <v/>
      </c>
      <c r="AS30" t="str">
        <f>IF(ISNUMBER(FIND("overige",Methode_Keuze)),"",IF(Tb_Activiteiten[[#This Row],[Kosten derden exclusief btw]]=1,Tb_Activiteiten[[#Headers],[Kosten derden exclusief btw]],""))</f>
        <v/>
      </c>
      <c r="AT30" t="str">
        <f>IF(ISNUMBER(FIND("overige",Methode_Keuze)),"",IF(Tb_Activiteiten[[#This Row],[Niet verrekenbare btw]]=1,Tb_Activiteiten[[#Headers],[Niet verrekenbare btw]],""))</f>
        <v/>
      </c>
      <c r="AU30" t="str">
        <f>IF(ISNUMBER(FIND("overige",Methode_Keuze)),"",IF(Tb_Activiteiten[[#This Row],[Grondkosten]]=1,Tb_Activiteiten[[#Headers],[Grondkosten]],""))</f>
        <v/>
      </c>
      <c r="AV30" t="str">
        <f>IF(ISNUMBER(FIND("overige",Methode_Keuze)),"",IF(Tb_Activiteiten[[#This Row],[Bijdrage in natura (overige)]]=1,Tb_Activiteiten[[#Headers],[Bijdrage in natura (overige)]],""))</f>
        <v/>
      </c>
      <c r="AW30" t="str">
        <f>IF(ISNUMBER(FIND("overige",Methode_Keuze)),"",IF(Tb_Activiteiten[[#This Row],[Bijdrage in natura (vrijwilligers)]]=1,Tb_Activiteiten[[#Headers],[Bijdrage in natura (vrijwilligers)]],""))</f>
        <v/>
      </c>
      <c r="AX30" t="str">
        <f>IF(ISNUMBER(FIND("overige",Methode_Keuze)),"",IF(Tb_Activiteiten[[#This Row],[Afschrijvingskosten]]=1,Tb_Activiteiten[[#Headers],[Afschrijvingskosten]],""))</f>
        <v/>
      </c>
      <c r="AY30" t="str">
        <f>IF(ISNUMBER(FIND("overige",Methode_Keuze)),"",IF(Tb_Activiteiten[[#This Row],[Vergoeding]]=1,Tb_Activiteiten[[#Headers],[Vergoeding]],""))</f>
        <v/>
      </c>
      <c r="AZ30" t="str">
        <f>IF(ISNUMBER(FIND("arbeid",Methode_Keuze)),"",IF(Tb_Activiteiten[[#This Row],[Arbeidskosten - vast tarief (excl eigen arbeid)]]=1,Tb_Activiteiten[[#Headers],[Arbeidskosten - vast tarief (excl eigen arbeid)]],""))</f>
        <v/>
      </c>
      <c r="BA30" t="str">
        <f>IF(ISNUMBER(FIND("overige",Methode_Keuze)),"",IF(Tb_Activiteiten[[#This Row],[Overige kosten]]=1,Tb_Activiteiten[[#Headers],[Overige kosten]],""))</f>
        <v/>
      </c>
    </row>
    <row r="31" spans="1:53" x14ac:dyDescent="0.25">
      <c r="A31" s="231"/>
      <c r="F31" s="64"/>
      <c r="G31" s="64"/>
      <c r="H31" s="275"/>
      <c r="I31" s="275"/>
      <c r="J31" s="275"/>
      <c r="K31" s="275"/>
      <c r="O31" s="56"/>
      <c r="Q31" t="str">
        <f>IFERROR(IF(VLOOKUP(Tb_Activiteiten[[#This Row],[Openstelling]],Tb_Openstelling[],2,0)=1,1,""),"")</f>
        <v/>
      </c>
      <c r="AK31" t="str">
        <f>IF(ISNUMBER(FIND("arbeid",Methode_Keuze)),"",IF(ISNUMBER(FIND("arbeid",Methode_Keuze)),"",IF(Tb_Activiteiten[[#This Row],[Loonkosten]]=1,Tb_Activiteiten[[#Headers],[Loonkosten]],"")))</f>
        <v/>
      </c>
      <c r="AL31" t="str">
        <f>IF(ISNUMBER(FIND("arbeid",Methode_Keuze)),"",IF(ISNUMBER(FIND("arbeid",Methode_Keuze)),"",IF(Tb_Activiteiten[[#This Row],[Eigen arbeid]]=1,Tb_Activiteiten[[#Headers],[Eigen arbeid]],"")))</f>
        <v/>
      </c>
      <c r="AM31" t="str">
        <f>IF(ISNUMBER(FIND("arbeid",Methode_Keuze)),"",IF(ISNUMBER(FIND("arbeid",Methode_Keuze)),"",IF(Tb_Activiteiten[[#This Row],[Projectmedewerker]]=1,Tb_Activiteiten[[#Headers],[Projectmedewerker]],"")))</f>
        <v/>
      </c>
      <c r="AN31" t="str">
        <f>IF(ISNUMBER(FIND("arbeid",Methode_Keuze)),"",IF(ISNUMBER(FIND("arbeid",Methode_Keuze)),"",IF(Tb_Activiteiten[[#This Row],[Landbouwer]]=1,Tb_Activiteiten[[#Headers],[Landbouwer]],"")))</f>
        <v/>
      </c>
      <c r="AO31" t="str">
        <f>IF(ISNUMBER(FIND("arbeid",Methode_Keuze)),"",IF(ISNUMBER(FIND("arbeid",Methode_Keuze)),"",IF(Tb_Activiteiten[[#This Row],[Adviseur]]=1,Tb_Activiteiten[[#Headers],[Adviseur]],"")))</f>
        <v/>
      </c>
      <c r="AP31" t="str">
        <f>IF(ISNUMBER(FIND("arbeid",Methode_Keuze)),"",IF(ISNUMBER(FIND("arbeid",Methode_Keuze)),"",IF(Tb_Activiteiten[[#This Row],[Projectleider/Expert]]=1,Tb_Activiteiten[[#Headers],[Projectleider/Expert]],"")))</f>
        <v/>
      </c>
      <c r="AQ31" t="str">
        <f>IF(ISNUMBER(FIND("arbeid",Methode_Keuze)),"",IF(ISNUMBER(FIND("arbeid",Methode_Keuze)),"",IF(Tb_Activiteiten[[#This Row],[Arbeidskosten]]=1,Tb_Activiteiten[[#Headers],[Arbeidskosten]],"")))</f>
        <v/>
      </c>
      <c r="AR31" t="str">
        <f>IF(ISNUMBER(FIND("arbeid",Methode_Keuze)),"",IF(ISNUMBER(FIND("arbeid",Methode_Keuze)),"",IF(Tb_Activiteiten[[#This Row],[Arbeidskosten op basis van IKS]]=1,Tb_Activiteiten[[#Headers],[Arbeidskosten op basis van IKS]],"")))</f>
        <v/>
      </c>
      <c r="AS31" t="str">
        <f>IF(ISNUMBER(FIND("overige",Methode_Keuze)),"",IF(Tb_Activiteiten[[#This Row],[Kosten derden exclusief btw]]=1,Tb_Activiteiten[[#Headers],[Kosten derden exclusief btw]],""))</f>
        <v/>
      </c>
      <c r="AT31" t="str">
        <f>IF(ISNUMBER(FIND("overige",Methode_Keuze)),"",IF(Tb_Activiteiten[[#This Row],[Niet verrekenbare btw]]=1,Tb_Activiteiten[[#Headers],[Niet verrekenbare btw]],""))</f>
        <v/>
      </c>
      <c r="AU31" t="str">
        <f>IF(ISNUMBER(FIND("overige",Methode_Keuze)),"",IF(Tb_Activiteiten[[#This Row],[Grondkosten]]=1,Tb_Activiteiten[[#Headers],[Grondkosten]],""))</f>
        <v/>
      </c>
      <c r="AV31" t="str">
        <f>IF(ISNUMBER(FIND("overige",Methode_Keuze)),"",IF(Tb_Activiteiten[[#This Row],[Bijdrage in natura (overige)]]=1,Tb_Activiteiten[[#Headers],[Bijdrage in natura (overige)]],""))</f>
        <v/>
      </c>
      <c r="AW31" t="str">
        <f>IF(ISNUMBER(FIND("overige",Methode_Keuze)),"",IF(Tb_Activiteiten[[#This Row],[Bijdrage in natura (vrijwilligers)]]=1,Tb_Activiteiten[[#Headers],[Bijdrage in natura (vrijwilligers)]],""))</f>
        <v/>
      </c>
      <c r="AX31" t="str">
        <f>IF(ISNUMBER(FIND("overige",Methode_Keuze)),"",IF(Tb_Activiteiten[[#This Row],[Afschrijvingskosten]]=1,Tb_Activiteiten[[#Headers],[Afschrijvingskosten]],""))</f>
        <v/>
      </c>
      <c r="AY31" t="str">
        <f>IF(ISNUMBER(FIND("overige",Methode_Keuze)),"",IF(Tb_Activiteiten[[#This Row],[Vergoeding]]=1,Tb_Activiteiten[[#Headers],[Vergoeding]],""))</f>
        <v/>
      </c>
      <c r="AZ31" t="str">
        <f>IF(ISNUMBER(FIND("arbeid",Methode_Keuze)),"",IF(Tb_Activiteiten[[#This Row],[Arbeidskosten - vast tarief (excl eigen arbeid)]]=1,Tb_Activiteiten[[#Headers],[Arbeidskosten - vast tarief (excl eigen arbeid)]],""))</f>
        <v/>
      </c>
      <c r="BA31" t="str">
        <f>IF(ISNUMBER(FIND("overige",Methode_Keuze)),"",IF(Tb_Activiteiten[[#This Row],[Overige kosten]]=1,Tb_Activiteiten[[#Headers],[Overige kosten]],""))</f>
        <v/>
      </c>
    </row>
    <row r="32" spans="1:53" x14ac:dyDescent="0.25">
      <c r="A32" s="231"/>
      <c r="F32" s="64"/>
      <c r="G32" s="64"/>
      <c r="H32" s="275"/>
      <c r="I32" s="275"/>
      <c r="J32" s="275"/>
      <c r="K32" s="275"/>
      <c r="O32" s="56"/>
      <c r="Q32" t="str">
        <f>IFERROR(IF(VLOOKUP(Tb_Activiteiten[[#This Row],[Openstelling]],Tb_Openstelling[],2,0)=1,1,""),"")</f>
        <v/>
      </c>
      <c r="AK32" t="str">
        <f>IF(ISNUMBER(FIND("arbeid",Methode_Keuze)),"",IF(ISNUMBER(FIND("arbeid",Methode_Keuze)),"",IF(Tb_Activiteiten[[#This Row],[Loonkosten]]=1,Tb_Activiteiten[[#Headers],[Loonkosten]],"")))</f>
        <v/>
      </c>
      <c r="AL32" t="str">
        <f>IF(ISNUMBER(FIND("arbeid",Methode_Keuze)),"",IF(ISNUMBER(FIND("arbeid",Methode_Keuze)),"",IF(Tb_Activiteiten[[#This Row],[Eigen arbeid]]=1,Tb_Activiteiten[[#Headers],[Eigen arbeid]],"")))</f>
        <v/>
      </c>
      <c r="AM32" t="str">
        <f>IF(ISNUMBER(FIND("arbeid",Methode_Keuze)),"",IF(ISNUMBER(FIND("arbeid",Methode_Keuze)),"",IF(Tb_Activiteiten[[#This Row],[Projectmedewerker]]=1,Tb_Activiteiten[[#Headers],[Projectmedewerker]],"")))</f>
        <v/>
      </c>
      <c r="AN32" t="str">
        <f>IF(ISNUMBER(FIND("arbeid",Methode_Keuze)),"",IF(ISNUMBER(FIND("arbeid",Methode_Keuze)),"",IF(Tb_Activiteiten[[#This Row],[Landbouwer]]=1,Tb_Activiteiten[[#Headers],[Landbouwer]],"")))</f>
        <v/>
      </c>
      <c r="AO32" t="str">
        <f>IF(ISNUMBER(FIND("arbeid",Methode_Keuze)),"",IF(ISNUMBER(FIND("arbeid",Methode_Keuze)),"",IF(Tb_Activiteiten[[#This Row],[Adviseur]]=1,Tb_Activiteiten[[#Headers],[Adviseur]],"")))</f>
        <v/>
      </c>
      <c r="AP32" t="str">
        <f>IF(ISNUMBER(FIND("arbeid",Methode_Keuze)),"",IF(ISNUMBER(FIND("arbeid",Methode_Keuze)),"",IF(Tb_Activiteiten[[#This Row],[Projectleider/Expert]]=1,Tb_Activiteiten[[#Headers],[Projectleider/Expert]],"")))</f>
        <v/>
      </c>
      <c r="AQ32" t="str">
        <f>IF(ISNUMBER(FIND("arbeid",Methode_Keuze)),"",IF(ISNUMBER(FIND("arbeid",Methode_Keuze)),"",IF(Tb_Activiteiten[[#This Row],[Arbeidskosten]]=1,Tb_Activiteiten[[#Headers],[Arbeidskosten]],"")))</f>
        <v/>
      </c>
      <c r="AR32" t="str">
        <f>IF(ISNUMBER(FIND("arbeid",Methode_Keuze)),"",IF(ISNUMBER(FIND("arbeid",Methode_Keuze)),"",IF(Tb_Activiteiten[[#This Row],[Arbeidskosten op basis van IKS]]=1,Tb_Activiteiten[[#Headers],[Arbeidskosten op basis van IKS]],"")))</f>
        <v/>
      </c>
      <c r="AS32" t="str">
        <f>IF(ISNUMBER(FIND("overige",Methode_Keuze)),"",IF(Tb_Activiteiten[[#This Row],[Kosten derden exclusief btw]]=1,Tb_Activiteiten[[#Headers],[Kosten derden exclusief btw]],""))</f>
        <v/>
      </c>
      <c r="AT32" t="str">
        <f>IF(ISNUMBER(FIND("overige",Methode_Keuze)),"",IF(Tb_Activiteiten[[#This Row],[Niet verrekenbare btw]]=1,Tb_Activiteiten[[#Headers],[Niet verrekenbare btw]],""))</f>
        <v/>
      </c>
      <c r="AU32" t="str">
        <f>IF(ISNUMBER(FIND("overige",Methode_Keuze)),"",IF(Tb_Activiteiten[[#This Row],[Grondkosten]]=1,Tb_Activiteiten[[#Headers],[Grondkosten]],""))</f>
        <v/>
      </c>
      <c r="AV32" t="str">
        <f>IF(ISNUMBER(FIND("overige",Methode_Keuze)),"",IF(Tb_Activiteiten[[#This Row],[Bijdrage in natura (overige)]]=1,Tb_Activiteiten[[#Headers],[Bijdrage in natura (overige)]],""))</f>
        <v/>
      </c>
      <c r="AW32" t="str">
        <f>IF(ISNUMBER(FIND("overige",Methode_Keuze)),"",IF(Tb_Activiteiten[[#This Row],[Bijdrage in natura (vrijwilligers)]]=1,Tb_Activiteiten[[#Headers],[Bijdrage in natura (vrijwilligers)]],""))</f>
        <v/>
      </c>
      <c r="AX32" t="str">
        <f>IF(ISNUMBER(FIND("overige",Methode_Keuze)),"",IF(Tb_Activiteiten[[#This Row],[Afschrijvingskosten]]=1,Tb_Activiteiten[[#Headers],[Afschrijvingskosten]],""))</f>
        <v/>
      </c>
      <c r="AY32" t="str">
        <f>IF(ISNUMBER(FIND("overige",Methode_Keuze)),"",IF(Tb_Activiteiten[[#This Row],[Vergoeding]]=1,Tb_Activiteiten[[#Headers],[Vergoeding]],""))</f>
        <v/>
      </c>
      <c r="AZ32" t="str">
        <f>IF(ISNUMBER(FIND("arbeid",Methode_Keuze)),"",IF(Tb_Activiteiten[[#This Row],[Arbeidskosten - vast tarief (excl eigen arbeid)]]=1,Tb_Activiteiten[[#Headers],[Arbeidskosten - vast tarief (excl eigen arbeid)]],""))</f>
        <v/>
      </c>
      <c r="BA32" t="str">
        <f>IF(ISNUMBER(FIND("overige",Methode_Keuze)),"",IF(Tb_Activiteiten[[#This Row],[Overige kosten]]=1,Tb_Activiteiten[[#Headers],[Overige kosten]],""))</f>
        <v/>
      </c>
    </row>
    <row r="33" spans="1:53" x14ac:dyDescent="0.25">
      <c r="A33" s="231"/>
      <c r="F33" s="64"/>
      <c r="G33" s="64"/>
      <c r="H33" s="275"/>
      <c r="I33" s="275"/>
      <c r="J33" s="275"/>
      <c r="K33" s="275"/>
      <c r="O33" s="56"/>
      <c r="Q33" t="str">
        <f>IFERROR(IF(VLOOKUP(Tb_Activiteiten[[#This Row],[Openstelling]],Tb_Openstelling[],2,0)=1,1,""),"")</f>
        <v/>
      </c>
      <c r="AK33" t="str">
        <f>IF(ISNUMBER(FIND("arbeid",Methode_Keuze)),"",IF(ISNUMBER(FIND("arbeid",Methode_Keuze)),"",IF(Tb_Activiteiten[[#This Row],[Loonkosten]]=1,Tb_Activiteiten[[#Headers],[Loonkosten]],"")))</f>
        <v/>
      </c>
      <c r="AL33" t="str">
        <f>IF(ISNUMBER(FIND("arbeid",Methode_Keuze)),"",IF(ISNUMBER(FIND("arbeid",Methode_Keuze)),"",IF(Tb_Activiteiten[[#This Row],[Eigen arbeid]]=1,Tb_Activiteiten[[#Headers],[Eigen arbeid]],"")))</f>
        <v/>
      </c>
      <c r="AM33" t="str">
        <f>IF(ISNUMBER(FIND("arbeid",Methode_Keuze)),"",IF(ISNUMBER(FIND("arbeid",Methode_Keuze)),"",IF(Tb_Activiteiten[[#This Row],[Projectmedewerker]]=1,Tb_Activiteiten[[#Headers],[Projectmedewerker]],"")))</f>
        <v/>
      </c>
      <c r="AN33" t="str">
        <f>IF(ISNUMBER(FIND("arbeid",Methode_Keuze)),"",IF(ISNUMBER(FIND("arbeid",Methode_Keuze)),"",IF(Tb_Activiteiten[[#This Row],[Landbouwer]]=1,Tb_Activiteiten[[#Headers],[Landbouwer]],"")))</f>
        <v/>
      </c>
      <c r="AO33" t="str">
        <f>IF(ISNUMBER(FIND("arbeid",Methode_Keuze)),"",IF(ISNUMBER(FIND("arbeid",Methode_Keuze)),"",IF(Tb_Activiteiten[[#This Row],[Adviseur]]=1,Tb_Activiteiten[[#Headers],[Adviseur]],"")))</f>
        <v/>
      </c>
      <c r="AP33" t="str">
        <f>IF(ISNUMBER(FIND("arbeid",Methode_Keuze)),"",IF(ISNUMBER(FIND("arbeid",Methode_Keuze)),"",IF(Tb_Activiteiten[[#This Row],[Projectleider/Expert]]=1,Tb_Activiteiten[[#Headers],[Projectleider/Expert]],"")))</f>
        <v/>
      </c>
      <c r="AQ33" t="str">
        <f>IF(ISNUMBER(FIND("arbeid",Methode_Keuze)),"",IF(ISNUMBER(FIND("arbeid",Methode_Keuze)),"",IF(Tb_Activiteiten[[#This Row],[Arbeidskosten]]=1,Tb_Activiteiten[[#Headers],[Arbeidskosten]],"")))</f>
        <v/>
      </c>
      <c r="AR33" t="str">
        <f>IF(ISNUMBER(FIND("arbeid",Methode_Keuze)),"",IF(ISNUMBER(FIND("arbeid",Methode_Keuze)),"",IF(Tb_Activiteiten[[#This Row],[Arbeidskosten op basis van IKS]]=1,Tb_Activiteiten[[#Headers],[Arbeidskosten op basis van IKS]],"")))</f>
        <v/>
      </c>
      <c r="AS33" t="str">
        <f>IF(ISNUMBER(FIND("overige",Methode_Keuze)),"",IF(Tb_Activiteiten[[#This Row],[Kosten derden exclusief btw]]=1,Tb_Activiteiten[[#Headers],[Kosten derden exclusief btw]],""))</f>
        <v/>
      </c>
      <c r="AT33" t="str">
        <f>IF(ISNUMBER(FIND("overige",Methode_Keuze)),"",IF(Tb_Activiteiten[[#This Row],[Niet verrekenbare btw]]=1,Tb_Activiteiten[[#Headers],[Niet verrekenbare btw]],""))</f>
        <v/>
      </c>
      <c r="AU33" t="str">
        <f>IF(ISNUMBER(FIND("overige",Methode_Keuze)),"",IF(Tb_Activiteiten[[#This Row],[Grondkosten]]=1,Tb_Activiteiten[[#Headers],[Grondkosten]],""))</f>
        <v/>
      </c>
      <c r="AV33" t="str">
        <f>IF(ISNUMBER(FIND("overige",Methode_Keuze)),"",IF(Tb_Activiteiten[[#This Row],[Bijdrage in natura (overige)]]=1,Tb_Activiteiten[[#Headers],[Bijdrage in natura (overige)]],""))</f>
        <v/>
      </c>
      <c r="AW33" t="str">
        <f>IF(ISNUMBER(FIND("overige",Methode_Keuze)),"",IF(Tb_Activiteiten[[#This Row],[Bijdrage in natura (vrijwilligers)]]=1,Tb_Activiteiten[[#Headers],[Bijdrage in natura (vrijwilligers)]],""))</f>
        <v/>
      </c>
      <c r="AX33" t="str">
        <f>IF(ISNUMBER(FIND("overige",Methode_Keuze)),"",IF(Tb_Activiteiten[[#This Row],[Afschrijvingskosten]]=1,Tb_Activiteiten[[#Headers],[Afschrijvingskosten]],""))</f>
        <v/>
      </c>
      <c r="AY33" t="str">
        <f>IF(ISNUMBER(FIND("overige",Methode_Keuze)),"",IF(Tb_Activiteiten[[#This Row],[Vergoeding]]=1,Tb_Activiteiten[[#Headers],[Vergoeding]],""))</f>
        <v/>
      </c>
      <c r="AZ33" t="str">
        <f>IF(ISNUMBER(FIND("arbeid",Methode_Keuze)),"",IF(Tb_Activiteiten[[#This Row],[Arbeidskosten - vast tarief (excl eigen arbeid)]]=1,Tb_Activiteiten[[#Headers],[Arbeidskosten - vast tarief (excl eigen arbeid)]],""))</f>
        <v/>
      </c>
      <c r="BA33" t="str">
        <f>IF(ISNUMBER(FIND("overige",Methode_Keuze)),"",IF(Tb_Activiteiten[[#This Row],[Overige kosten]]=1,Tb_Activiteiten[[#Headers],[Overige kosten]],""))</f>
        <v/>
      </c>
    </row>
    <row r="34" spans="1:53" x14ac:dyDescent="0.25">
      <c r="A34" s="231"/>
      <c r="F34" s="64"/>
      <c r="G34" s="64"/>
      <c r="H34" s="275"/>
      <c r="I34" s="275"/>
      <c r="J34" s="275"/>
      <c r="K34" s="275"/>
      <c r="O34" s="56"/>
      <c r="Q34" t="str">
        <f>IFERROR(IF(VLOOKUP(Tb_Activiteiten[[#This Row],[Openstelling]],Tb_Openstelling[],2,0)=1,1,""),"")</f>
        <v/>
      </c>
      <c r="AK34" t="str">
        <f>IF(ISNUMBER(FIND("arbeid",Methode_Keuze)),"",IF(ISNUMBER(FIND("arbeid",Methode_Keuze)),"",IF(Tb_Activiteiten[[#This Row],[Loonkosten]]=1,Tb_Activiteiten[[#Headers],[Loonkosten]],"")))</f>
        <v/>
      </c>
      <c r="AL34" t="str">
        <f>IF(ISNUMBER(FIND("arbeid",Methode_Keuze)),"",IF(ISNUMBER(FIND("arbeid",Methode_Keuze)),"",IF(Tb_Activiteiten[[#This Row],[Eigen arbeid]]=1,Tb_Activiteiten[[#Headers],[Eigen arbeid]],"")))</f>
        <v/>
      </c>
      <c r="AM34" t="str">
        <f>IF(ISNUMBER(FIND("arbeid",Methode_Keuze)),"",IF(ISNUMBER(FIND("arbeid",Methode_Keuze)),"",IF(Tb_Activiteiten[[#This Row],[Projectmedewerker]]=1,Tb_Activiteiten[[#Headers],[Projectmedewerker]],"")))</f>
        <v/>
      </c>
      <c r="AN34" t="str">
        <f>IF(ISNUMBER(FIND("arbeid",Methode_Keuze)),"",IF(ISNUMBER(FIND("arbeid",Methode_Keuze)),"",IF(Tb_Activiteiten[[#This Row],[Landbouwer]]=1,Tb_Activiteiten[[#Headers],[Landbouwer]],"")))</f>
        <v/>
      </c>
      <c r="AO34" t="str">
        <f>IF(ISNUMBER(FIND("arbeid",Methode_Keuze)),"",IF(ISNUMBER(FIND("arbeid",Methode_Keuze)),"",IF(Tb_Activiteiten[[#This Row],[Adviseur]]=1,Tb_Activiteiten[[#Headers],[Adviseur]],"")))</f>
        <v/>
      </c>
      <c r="AP34" t="str">
        <f>IF(ISNUMBER(FIND("arbeid",Methode_Keuze)),"",IF(ISNUMBER(FIND("arbeid",Methode_Keuze)),"",IF(Tb_Activiteiten[[#This Row],[Projectleider/Expert]]=1,Tb_Activiteiten[[#Headers],[Projectleider/Expert]],"")))</f>
        <v/>
      </c>
      <c r="AQ34" t="str">
        <f>IF(ISNUMBER(FIND("arbeid",Methode_Keuze)),"",IF(ISNUMBER(FIND("arbeid",Methode_Keuze)),"",IF(Tb_Activiteiten[[#This Row],[Arbeidskosten]]=1,Tb_Activiteiten[[#Headers],[Arbeidskosten]],"")))</f>
        <v/>
      </c>
      <c r="AR34" t="str">
        <f>IF(ISNUMBER(FIND("arbeid",Methode_Keuze)),"",IF(ISNUMBER(FIND("arbeid",Methode_Keuze)),"",IF(Tb_Activiteiten[[#This Row],[Arbeidskosten op basis van IKS]]=1,Tb_Activiteiten[[#Headers],[Arbeidskosten op basis van IKS]],"")))</f>
        <v/>
      </c>
      <c r="AS34" t="str">
        <f>IF(ISNUMBER(FIND("overige",Methode_Keuze)),"",IF(Tb_Activiteiten[[#This Row],[Kosten derden exclusief btw]]=1,Tb_Activiteiten[[#Headers],[Kosten derden exclusief btw]],""))</f>
        <v/>
      </c>
      <c r="AT34" t="str">
        <f>IF(ISNUMBER(FIND("overige",Methode_Keuze)),"",IF(Tb_Activiteiten[[#This Row],[Niet verrekenbare btw]]=1,Tb_Activiteiten[[#Headers],[Niet verrekenbare btw]],""))</f>
        <v/>
      </c>
      <c r="AU34" t="str">
        <f>IF(ISNUMBER(FIND("overige",Methode_Keuze)),"",IF(Tb_Activiteiten[[#This Row],[Grondkosten]]=1,Tb_Activiteiten[[#Headers],[Grondkosten]],""))</f>
        <v/>
      </c>
      <c r="AV34" t="str">
        <f>IF(ISNUMBER(FIND("overige",Methode_Keuze)),"",IF(Tb_Activiteiten[[#This Row],[Bijdrage in natura (overige)]]=1,Tb_Activiteiten[[#Headers],[Bijdrage in natura (overige)]],""))</f>
        <v/>
      </c>
      <c r="AW34" t="str">
        <f>IF(ISNUMBER(FIND("overige",Methode_Keuze)),"",IF(Tb_Activiteiten[[#This Row],[Bijdrage in natura (vrijwilligers)]]=1,Tb_Activiteiten[[#Headers],[Bijdrage in natura (vrijwilligers)]],""))</f>
        <v/>
      </c>
      <c r="AX34" t="str">
        <f>IF(ISNUMBER(FIND("overige",Methode_Keuze)),"",IF(Tb_Activiteiten[[#This Row],[Afschrijvingskosten]]=1,Tb_Activiteiten[[#Headers],[Afschrijvingskosten]],""))</f>
        <v/>
      </c>
      <c r="AY34" t="str">
        <f>IF(ISNUMBER(FIND("overige",Methode_Keuze)),"",IF(Tb_Activiteiten[[#This Row],[Vergoeding]]=1,Tb_Activiteiten[[#Headers],[Vergoeding]],""))</f>
        <v/>
      </c>
      <c r="AZ34" t="str">
        <f>IF(ISNUMBER(FIND("arbeid",Methode_Keuze)),"",IF(Tb_Activiteiten[[#This Row],[Arbeidskosten - vast tarief (excl eigen arbeid)]]=1,Tb_Activiteiten[[#Headers],[Arbeidskosten - vast tarief (excl eigen arbeid)]],""))</f>
        <v/>
      </c>
      <c r="BA34" t="str">
        <f>IF(ISNUMBER(FIND("overige",Methode_Keuze)),"",IF(Tb_Activiteiten[[#This Row],[Overige kosten]]=1,Tb_Activiteiten[[#Headers],[Overige kosten]],""))</f>
        <v/>
      </c>
    </row>
    <row r="35" spans="1:53" x14ac:dyDescent="0.25">
      <c r="A35" s="231"/>
      <c r="F35" s="64"/>
      <c r="G35" s="64"/>
      <c r="H35" s="275"/>
      <c r="I35" s="275"/>
      <c r="J35" s="275"/>
      <c r="K35" s="275"/>
      <c r="O35" s="56"/>
      <c r="Q35" t="str">
        <f>IFERROR(IF(VLOOKUP(Tb_Activiteiten[[#This Row],[Openstelling]],Tb_Openstelling[],2,0)=1,1,""),"")</f>
        <v/>
      </c>
      <c r="AK35" t="str">
        <f>IF(ISNUMBER(FIND("arbeid",Methode_Keuze)),"",IF(ISNUMBER(FIND("arbeid",Methode_Keuze)),"",IF(Tb_Activiteiten[[#This Row],[Loonkosten]]=1,Tb_Activiteiten[[#Headers],[Loonkosten]],"")))</f>
        <v/>
      </c>
      <c r="AL35" t="str">
        <f>IF(ISNUMBER(FIND("arbeid",Methode_Keuze)),"",IF(ISNUMBER(FIND("arbeid",Methode_Keuze)),"",IF(Tb_Activiteiten[[#This Row],[Eigen arbeid]]=1,Tb_Activiteiten[[#Headers],[Eigen arbeid]],"")))</f>
        <v/>
      </c>
      <c r="AM35" t="str">
        <f>IF(ISNUMBER(FIND("arbeid",Methode_Keuze)),"",IF(ISNUMBER(FIND("arbeid",Methode_Keuze)),"",IF(Tb_Activiteiten[[#This Row],[Projectmedewerker]]=1,Tb_Activiteiten[[#Headers],[Projectmedewerker]],"")))</f>
        <v/>
      </c>
      <c r="AN35" t="str">
        <f>IF(ISNUMBER(FIND("arbeid",Methode_Keuze)),"",IF(ISNUMBER(FIND("arbeid",Methode_Keuze)),"",IF(Tb_Activiteiten[[#This Row],[Landbouwer]]=1,Tb_Activiteiten[[#Headers],[Landbouwer]],"")))</f>
        <v/>
      </c>
      <c r="AO35" t="str">
        <f>IF(ISNUMBER(FIND("arbeid",Methode_Keuze)),"",IF(ISNUMBER(FIND("arbeid",Methode_Keuze)),"",IF(Tb_Activiteiten[[#This Row],[Adviseur]]=1,Tb_Activiteiten[[#Headers],[Adviseur]],"")))</f>
        <v/>
      </c>
      <c r="AP35" t="str">
        <f>IF(ISNUMBER(FIND("arbeid",Methode_Keuze)),"",IF(ISNUMBER(FIND("arbeid",Methode_Keuze)),"",IF(Tb_Activiteiten[[#This Row],[Projectleider/Expert]]=1,Tb_Activiteiten[[#Headers],[Projectleider/Expert]],"")))</f>
        <v/>
      </c>
      <c r="AQ35" t="str">
        <f>IF(ISNUMBER(FIND("arbeid",Methode_Keuze)),"",IF(ISNUMBER(FIND("arbeid",Methode_Keuze)),"",IF(Tb_Activiteiten[[#This Row],[Arbeidskosten]]=1,Tb_Activiteiten[[#Headers],[Arbeidskosten]],"")))</f>
        <v/>
      </c>
      <c r="AR35" t="str">
        <f>IF(ISNUMBER(FIND("arbeid",Methode_Keuze)),"",IF(ISNUMBER(FIND("arbeid",Methode_Keuze)),"",IF(Tb_Activiteiten[[#This Row],[Arbeidskosten op basis van IKS]]=1,Tb_Activiteiten[[#Headers],[Arbeidskosten op basis van IKS]],"")))</f>
        <v/>
      </c>
      <c r="AS35" t="str">
        <f>IF(ISNUMBER(FIND("overige",Methode_Keuze)),"",IF(Tb_Activiteiten[[#This Row],[Kosten derden exclusief btw]]=1,Tb_Activiteiten[[#Headers],[Kosten derden exclusief btw]],""))</f>
        <v/>
      </c>
      <c r="AT35" t="str">
        <f>IF(ISNUMBER(FIND("overige",Methode_Keuze)),"",IF(Tb_Activiteiten[[#This Row],[Niet verrekenbare btw]]=1,Tb_Activiteiten[[#Headers],[Niet verrekenbare btw]],""))</f>
        <v/>
      </c>
      <c r="AU35" t="str">
        <f>IF(ISNUMBER(FIND("overige",Methode_Keuze)),"",IF(Tb_Activiteiten[[#This Row],[Grondkosten]]=1,Tb_Activiteiten[[#Headers],[Grondkosten]],""))</f>
        <v/>
      </c>
      <c r="AV35" t="str">
        <f>IF(ISNUMBER(FIND("overige",Methode_Keuze)),"",IF(Tb_Activiteiten[[#This Row],[Bijdrage in natura (overige)]]=1,Tb_Activiteiten[[#Headers],[Bijdrage in natura (overige)]],""))</f>
        <v/>
      </c>
      <c r="AW35" t="str">
        <f>IF(ISNUMBER(FIND("overige",Methode_Keuze)),"",IF(Tb_Activiteiten[[#This Row],[Bijdrage in natura (vrijwilligers)]]=1,Tb_Activiteiten[[#Headers],[Bijdrage in natura (vrijwilligers)]],""))</f>
        <v/>
      </c>
      <c r="AX35" t="str">
        <f>IF(ISNUMBER(FIND("overige",Methode_Keuze)),"",IF(Tb_Activiteiten[[#This Row],[Afschrijvingskosten]]=1,Tb_Activiteiten[[#Headers],[Afschrijvingskosten]],""))</f>
        <v/>
      </c>
      <c r="AY35" t="str">
        <f>IF(ISNUMBER(FIND("overige",Methode_Keuze)),"",IF(Tb_Activiteiten[[#This Row],[Vergoeding]]=1,Tb_Activiteiten[[#Headers],[Vergoeding]],""))</f>
        <v/>
      </c>
      <c r="AZ35" t="str">
        <f>IF(ISNUMBER(FIND("arbeid",Methode_Keuze)),"",IF(Tb_Activiteiten[[#This Row],[Arbeidskosten - vast tarief (excl eigen arbeid)]]=1,Tb_Activiteiten[[#Headers],[Arbeidskosten - vast tarief (excl eigen arbeid)]],""))</f>
        <v/>
      </c>
      <c r="BA35" t="str">
        <f>IF(ISNUMBER(FIND("overige",Methode_Keuze)),"",IF(Tb_Activiteiten[[#This Row],[Overige kosten]]=1,Tb_Activiteiten[[#Headers],[Overige kosten]],""))</f>
        <v/>
      </c>
    </row>
    <row r="36" spans="1:53" x14ac:dyDescent="0.25">
      <c r="A36" s="231"/>
      <c r="F36" s="64"/>
      <c r="G36" s="64"/>
      <c r="H36" s="275"/>
      <c r="I36" s="275"/>
      <c r="J36" s="275"/>
      <c r="K36" s="275"/>
      <c r="O36" s="56"/>
      <c r="Q36" t="str">
        <f>IFERROR(IF(VLOOKUP(Tb_Activiteiten[[#This Row],[Openstelling]],Tb_Openstelling[],2,0)=1,1,""),"")</f>
        <v/>
      </c>
      <c r="AK36" t="str">
        <f>IF(ISNUMBER(FIND("arbeid",Methode_Keuze)),"",IF(ISNUMBER(FIND("arbeid",Methode_Keuze)),"",IF(Tb_Activiteiten[[#This Row],[Loonkosten]]=1,Tb_Activiteiten[[#Headers],[Loonkosten]],"")))</f>
        <v/>
      </c>
      <c r="AL36" t="str">
        <f>IF(ISNUMBER(FIND("arbeid",Methode_Keuze)),"",IF(ISNUMBER(FIND("arbeid",Methode_Keuze)),"",IF(Tb_Activiteiten[[#This Row],[Eigen arbeid]]=1,Tb_Activiteiten[[#Headers],[Eigen arbeid]],"")))</f>
        <v/>
      </c>
      <c r="AM36" t="str">
        <f>IF(ISNUMBER(FIND("arbeid",Methode_Keuze)),"",IF(ISNUMBER(FIND("arbeid",Methode_Keuze)),"",IF(Tb_Activiteiten[[#This Row],[Projectmedewerker]]=1,Tb_Activiteiten[[#Headers],[Projectmedewerker]],"")))</f>
        <v/>
      </c>
      <c r="AN36" t="str">
        <f>IF(ISNUMBER(FIND("arbeid",Methode_Keuze)),"",IF(ISNUMBER(FIND("arbeid",Methode_Keuze)),"",IF(Tb_Activiteiten[[#This Row],[Landbouwer]]=1,Tb_Activiteiten[[#Headers],[Landbouwer]],"")))</f>
        <v/>
      </c>
      <c r="AO36" t="str">
        <f>IF(ISNUMBER(FIND("arbeid",Methode_Keuze)),"",IF(ISNUMBER(FIND("arbeid",Methode_Keuze)),"",IF(Tb_Activiteiten[[#This Row],[Adviseur]]=1,Tb_Activiteiten[[#Headers],[Adviseur]],"")))</f>
        <v/>
      </c>
      <c r="AP36" t="str">
        <f>IF(ISNUMBER(FIND("arbeid",Methode_Keuze)),"",IF(ISNUMBER(FIND("arbeid",Methode_Keuze)),"",IF(Tb_Activiteiten[[#This Row],[Projectleider/Expert]]=1,Tb_Activiteiten[[#Headers],[Projectleider/Expert]],"")))</f>
        <v/>
      </c>
      <c r="AQ36" t="str">
        <f>IF(ISNUMBER(FIND("arbeid",Methode_Keuze)),"",IF(ISNUMBER(FIND("arbeid",Methode_Keuze)),"",IF(Tb_Activiteiten[[#This Row],[Arbeidskosten]]=1,Tb_Activiteiten[[#Headers],[Arbeidskosten]],"")))</f>
        <v/>
      </c>
      <c r="AR36" t="str">
        <f>IF(ISNUMBER(FIND("arbeid",Methode_Keuze)),"",IF(ISNUMBER(FIND("arbeid",Methode_Keuze)),"",IF(Tb_Activiteiten[[#This Row],[Arbeidskosten op basis van IKS]]=1,Tb_Activiteiten[[#Headers],[Arbeidskosten op basis van IKS]],"")))</f>
        <v/>
      </c>
      <c r="AS36" t="str">
        <f>IF(ISNUMBER(FIND("overige",Methode_Keuze)),"",IF(Tb_Activiteiten[[#This Row],[Kosten derden exclusief btw]]=1,Tb_Activiteiten[[#Headers],[Kosten derden exclusief btw]],""))</f>
        <v/>
      </c>
      <c r="AT36" t="str">
        <f>IF(ISNUMBER(FIND("overige",Methode_Keuze)),"",IF(Tb_Activiteiten[[#This Row],[Niet verrekenbare btw]]=1,Tb_Activiteiten[[#Headers],[Niet verrekenbare btw]],""))</f>
        <v/>
      </c>
      <c r="AU36" t="str">
        <f>IF(ISNUMBER(FIND("overige",Methode_Keuze)),"",IF(Tb_Activiteiten[[#This Row],[Grondkosten]]=1,Tb_Activiteiten[[#Headers],[Grondkosten]],""))</f>
        <v/>
      </c>
      <c r="AV36" t="str">
        <f>IF(ISNUMBER(FIND("overige",Methode_Keuze)),"",IF(Tb_Activiteiten[[#This Row],[Bijdrage in natura (overige)]]=1,Tb_Activiteiten[[#Headers],[Bijdrage in natura (overige)]],""))</f>
        <v/>
      </c>
      <c r="AW36" t="str">
        <f>IF(ISNUMBER(FIND("overige",Methode_Keuze)),"",IF(Tb_Activiteiten[[#This Row],[Bijdrage in natura (vrijwilligers)]]=1,Tb_Activiteiten[[#Headers],[Bijdrage in natura (vrijwilligers)]],""))</f>
        <v/>
      </c>
      <c r="AX36" t="str">
        <f>IF(ISNUMBER(FIND("overige",Methode_Keuze)),"",IF(Tb_Activiteiten[[#This Row],[Afschrijvingskosten]]=1,Tb_Activiteiten[[#Headers],[Afschrijvingskosten]],""))</f>
        <v/>
      </c>
      <c r="AY36" t="str">
        <f>IF(ISNUMBER(FIND("overige",Methode_Keuze)),"",IF(Tb_Activiteiten[[#This Row],[Vergoeding]]=1,Tb_Activiteiten[[#Headers],[Vergoeding]],""))</f>
        <v/>
      </c>
      <c r="AZ36" t="str">
        <f>IF(ISNUMBER(FIND("arbeid",Methode_Keuze)),"",IF(Tb_Activiteiten[[#This Row],[Arbeidskosten - vast tarief (excl eigen arbeid)]]=1,Tb_Activiteiten[[#Headers],[Arbeidskosten - vast tarief (excl eigen arbeid)]],""))</f>
        <v/>
      </c>
      <c r="BA36" t="str">
        <f>IF(ISNUMBER(FIND("overige",Methode_Keuze)),"",IF(Tb_Activiteiten[[#This Row],[Overige kosten]]=1,Tb_Activiteiten[[#Headers],[Overige kosten]],""))</f>
        <v/>
      </c>
    </row>
    <row r="37" spans="1:53" x14ac:dyDescent="0.25">
      <c r="A37" s="231"/>
      <c r="F37" s="64"/>
      <c r="G37" s="64"/>
      <c r="H37" s="275"/>
      <c r="I37" s="275"/>
      <c r="J37" s="275"/>
      <c r="K37" s="275"/>
      <c r="O37" s="56"/>
      <c r="Q37" t="str">
        <f>IFERROR(IF(VLOOKUP(Tb_Activiteiten[[#This Row],[Openstelling]],Tb_Openstelling[],2,0)=1,1,""),"")</f>
        <v/>
      </c>
      <c r="AK37" t="str">
        <f>IF(ISNUMBER(FIND("arbeid",Methode_Keuze)),"",IF(ISNUMBER(FIND("arbeid",Methode_Keuze)),"",IF(Tb_Activiteiten[[#This Row],[Loonkosten]]=1,Tb_Activiteiten[[#Headers],[Loonkosten]],"")))</f>
        <v/>
      </c>
      <c r="AL37" t="str">
        <f>IF(ISNUMBER(FIND("arbeid",Methode_Keuze)),"",IF(ISNUMBER(FIND("arbeid",Methode_Keuze)),"",IF(Tb_Activiteiten[[#This Row],[Eigen arbeid]]=1,Tb_Activiteiten[[#Headers],[Eigen arbeid]],"")))</f>
        <v/>
      </c>
      <c r="AM37" t="str">
        <f>IF(ISNUMBER(FIND("arbeid",Methode_Keuze)),"",IF(ISNUMBER(FIND("arbeid",Methode_Keuze)),"",IF(Tb_Activiteiten[[#This Row],[Projectmedewerker]]=1,Tb_Activiteiten[[#Headers],[Projectmedewerker]],"")))</f>
        <v/>
      </c>
      <c r="AN37" t="str">
        <f>IF(ISNUMBER(FIND("arbeid",Methode_Keuze)),"",IF(ISNUMBER(FIND("arbeid",Methode_Keuze)),"",IF(Tb_Activiteiten[[#This Row],[Landbouwer]]=1,Tb_Activiteiten[[#Headers],[Landbouwer]],"")))</f>
        <v/>
      </c>
      <c r="AO37" t="str">
        <f>IF(ISNUMBER(FIND("arbeid",Methode_Keuze)),"",IF(ISNUMBER(FIND("arbeid",Methode_Keuze)),"",IF(Tb_Activiteiten[[#This Row],[Adviseur]]=1,Tb_Activiteiten[[#Headers],[Adviseur]],"")))</f>
        <v/>
      </c>
      <c r="AP37" t="str">
        <f>IF(ISNUMBER(FIND("arbeid",Methode_Keuze)),"",IF(ISNUMBER(FIND("arbeid",Methode_Keuze)),"",IF(Tb_Activiteiten[[#This Row],[Projectleider/Expert]]=1,Tb_Activiteiten[[#Headers],[Projectleider/Expert]],"")))</f>
        <v/>
      </c>
      <c r="AQ37" t="str">
        <f>IF(ISNUMBER(FIND("arbeid",Methode_Keuze)),"",IF(ISNUMBER(FIND("arbeid",Methode_Keuze)),"",IF(Tb_Activiteiten[[#This Row],[Arbeidskosten]]=1,Tb_Activiteiten[[#Headers],[Arbeidskosten]],"")))</f>
        <v/>
      </c>
      <c r="AR37" t="str">
        <f>IF(ISNUMBER(FIND("arbeid",Methode_Keuze)),"",IF(ISNUMBER(FIND("arbeid",Methode_Keuze)),"",IF(Tb_Activiteiten[[#This Row],[Arbeidskosten op basis van IKS]]=1,Tb_Activiteiten[[#Headers],[Arbeidskosten op basis van IKS]],"")))</f>
        <v/>
      </c>
      <c r="AS37" t="str">
        <f>IF(ISNUMBER(FIND("overige",Methode_Keuze)),"",IF(Tb_Activiteiten[[#This Row],[Kosten derden exclusief btw]]=1,Tb_Activiteiten[[#Headers],[Kosten derden exclusief btw]],""))</f>
        <v/>
      </c>
      <c r="AT37" t="str">
        <f>IF(ISNUMBER(FIND("overige",Methode_Keuze)),"",IF(Tb_Activiteiten[[#This Row],[Niet verrekenbare btw]]=1,Tb_Activiteiten[[#Headers],[Niet verrekenbare btw]],""))</f>
        <v/>
      </c>
      <c r="AU37" t="str">
        <f>IF(ISNUMBER(FIND("overige",Methode_Keuze)),"",IF(Tb_Activiteiten[[#This Row],[Grondkosten]]=1,Tb_Activiteiten[[#Headers],[Grondkosten]],""))</f>
        <v/>
      </c>
      <c r="AV37" t="str">
        <f>IF(ISNUMBER(FIND("overige",Methode_Keuze)),"",IF(Tb_Activiteiten[[#This Row],[Bijdrage in natura (overige)]]=1,Tb_Activiteiten[[#Headers],[Bijdrage in natura (overige)]],""))</f>
        <v/>
      </c>
      <c r="AW37" t="str">
        <f>IF(ISNUMBER(FIND("overige",Methode_Keuze)),"",IF(Tb_Activiteiten[[#This Row],[Bijdrage in natura (vrijwilligers)]]=1,Tb_Activiteiten[[#Headers],[Bijdrage in natura (vrijwilligers)]],""))</f>
        <v/>
      </c>
      <c r="AX37" t="str">
        <f>IF(ISNUMBER(FIND("overige",Methode_Keuze)),"",IF(Tb_Activiteiten[[#This Row],[Afschrijvingskosten]]=1,Tb_Activiteiten[[#Headers],[Afschrijvingskosten]],""))</f>
        <v/>
      </c>
      <c r="AY37" t="str">
        <f>IF(ISNUMBER(FIND("overige",Methode_Keuze)),"",IF(Tb_Activiteiten[[#This Row],[Vergoeding]]=1,Tb_Activiteiten[[#Headers],[Vergoeding]],""))</f>
        <v/>
      </c>
      <c r="AZ37" t="str">
        <f>IF(ISNUMBER(FIND("arbeid",Methode_Keuze)),"",IF(Tb_Activiteiten[[#This Row],[Arbeidskosten - vast tarief (excl eigen arbeid)]]=1,Tb_Activiteiten[[#Headers],[Arbeidskosten - vast tarief (excl eigen arbeid)]],""))</f>
        <v/>
      </c>
      <c r="BA37" t="str">
        <f>IF(ISNUMBER(FIND("overige",Methode_Keuze)),"",IF(Tb_Activiteiten[[#This Row],[Overige kosten]]=1,Tb_Activiteiten[[#Headers],[Overige kosten]],""))</f>
        <v/>
      </c>
    </row>
    <row r="38" spans="1:53" x14ac:dyDescent="0.25">
      <c r="A38" s="231"/>
      <c r="F38" s="64"/>
      <c r="G38" s="64"/>
      <c r="H38" s="275"/>
      <c r="I38" s="275"/>
      <c r="J38" s="275"/>
      <c r="K38" s="275"/>
      <c r="O38" s="56"/>
      <c r="Q38" t="str">
        <f>IFERROR(IF(VLOOKUP(Tb_Activiteiten[[#This Row],[Openstelling]],Tb_Openstelling[],2,0)=1,1,""),"")</f>
        <v/>
      </c>
      <c r="AK38" t="str">
        <f>IF(ISNUMBER(FIND("arbeid",Methode_Keuze)),"",IF(ISNUMBER(FIND("arbeid",Methode_Keuze)),"",IF(Tb_Activiteiten[[#This Row],[Loonkosten]]=1,Tb_Activiteiten[[#Headers],[Loonkosten]],"")))</f>
        <v/>
      </c>
      <c r="AL38" t="str">
        <f>IF(ISNUMBER(FIND("arbeid",Methode_Keuze)),"",IF(ISNUMBER(FIND("arbeid",Methode_Keuze)),"",IF(Tb_Activiteiten[[#This Row],[Eigen arbeid]]=1,Tb_Activiteiten[[#Headers],[Eigen arbeid]],"")))</f>
        <v/>
      </c>
      <c r="AM38" t="str">
        <f>IF(ISNUMBER(FIND("arbeid",Methode_Keuze)),"",IF(ISNUMBER(FIND("arbeid",Methode_Keuze)),"",IF(Tb_Activiteiten[[#This Row],[Projectmedewerker]]=1,Tb_Activiteiten[[#Headers],[Projectmedewerker]],"")))</f>
        <v/>
      </c>
      <c r="AN38" t="str">
        <f>IF(ISNUMBER(FIND("arbeid",Methode_Keuze)),"",IF(ISNUMBER(FIND("arbeid",Methode_Keuze)),"",IF(Tb_Activiteiten[[#This Row],[Landbouwer]]=1,Tb_Activiteiten[[#Headers],[Landbouwer]],"")))</f>
        <v/>
      </c>
      <c r="AO38" t="str">
        <f>IF(ISNUMBER(FIND("arbeid",Methode_Keuze)),"",IF(ISNUMBER(FIND("arbeid",Methode_Keuze)),"",IF(Tb_Activiteiten[[#This Row],[Adviseur]]=1,Tb_Activiteiten[[#Headers],[Adviseur]],"")))</f>
        <v/>
      </c>
      <c r="AP38" t="str">
        <f>IF(ISNUMBER(FIND("arbeid",Methode_Keuze)),"",IF(ISNUMBER(FIND("arbeid",Methode_Keuze)),"",IF(Tb_Activiteiten[[#This Row],[Projectleider/Expert]]=1,Tb_Activiteiten[[#Headers],[Projectleider/Expert]],"")))</f>
        <v/>
      </c>
      <c r="AQ38" t="str">
        <f>IF(ISNUMBER(FIND("arbeid",Methode_Keuze)),"",IF(ISNUMBER(FIND("arbeid",Methode_Keuze)),"",IF(Tb_Activiteiten[[#This Row],[Arbeidskosten]]=1,Tb_Activiteiten[[#Headers],[Arbeidskosten]],"")))</f>
        <v/>
      </c>
      <c r="AR38" t="str">
        <f>IF(ISNUMBER(FIND("arbeid",Methode_Keuze)),"",IF(ISNUMBER(FIND("arbeid",Methode_Keuze)),"",IF(Tb_Activiteiten[[#This Row],[Arbeidskosten op basis van IKS]]=1,Tb_Activiteiten[[#Headers],[Arbeidskosten op basis van IKS]],"")))</f>
        <v/>
      </c>
      <c r="AS38" t="str">
        <f>IF(ISNUMBER(FIND("overige",Methode_Keuze)),"",IF(Tb_Activiteiten[[#This Row],[Kosten derden exclusief btw]]=1,Tb_Activiteiten[[#Headers],[Kosten derden exclusief btw]],""))</f>
        <v/>
      </c>
      <c r="AT38" t="str">
        <f>IF(ISNUMBER(FIND("overige",Methode_Keuze)),"",IF(Tb_Activiteiten[[#This Row],[Niet verrekenbare btw]]=1,Tb_Activiteiten[[#Headers],[Niet verrekenbare btw]],""))</f>
        <v/>
      </c>
      <c r="AU38" t="str">
        <f>IF(ISNUMBER(FIND("overige",Methode_Keuze)),"",IF(Tb_Activiteiten[[#This Row],[Grondkosten]]=1,Tb_Activiteiten[[#Headers],[Grondkosten]],""))</f>
        <v/>
      </c>
      <c r="AV38" t="str">
        <f>IF(ISNUMBER(FIND("overige",Methode_Keuze)),"",IF(Tb_Activiteiten[[#This Row],[Bijdrage in natura (overige)]]=1,Tb_Activiteiten[[#Headers],[Bijdrage in natura (overige)]],""))</f>
        <v/>
      </c>
      <c r="AW38" t="str">
        <f>IF(ISNUMBER(FIND("overige",Methode_Keuze)),"",IF(Tb_Activiteiten[[#This Row],[Bijdrage in natura (vrijwilligers)]]=1,Tb_Activiteiten[[#Headers],[Bijdrage in natura (vrijwilligers)]],""))</f>
        <v/>
      </c>
      <c r="AX38" t="str">
        <f>IF(ISNUMBER(FIND("overige",Methode_Keuze)),"",IF(Tb_Activiteiten[[#This Row],[Afschrijvingskosten]]=1,Tb_Activiteiten[[#Headers],[Afschrijvingskosten]],""))</f>
        <v/>
      </c>
      <c r="AY38" t="str">
        <f>IF(ISNUMBER(FIND("overige",Methode_Keuze)),"",IF(Tb_Activiteiten[[#This Row],[Vergoeding]]=1,Tb_Activiteiten[[#Headers],[Vergoeding]],""))</f>
        <v/>
      </c>
      <c r="AZ38" t="str">
        <f>IF(ISNUMBER(FIND("arbeid",Methode_Keuze)),"",IF(Tb_Activiteiten[[#This Row],[Arbeidskosten - vast tarief (excl eigen arbeid)]]=1,Tb_Activiteiten[[#Headers],[Arbeidskosten - vast tarief (excl eigen arbeid)]],""))</f>
        <v/>
      </c>
      <c r="BA38" t="str">
        <f>IF(ISNUMBER(FIND("overige",Methode_Keuze)),"",IF(Tb_Activiteiten[[#This Row],[Overige kosten]]=1,Tb_Activiteiten[[#Headers],[Overige kosten]],""))</f>
        <v/>
      </c>
    </row>
    <row r="39" spans="1:53" x14ac:dyDescent="0.25">
      <c r="A39" s="231"/>
      <c r="F39" s="64"/>
      <c r="G39" s="64"/>
      <c r="H39" s="275"/>
      <c r="I39" s="275"/>
      <c r="J39" s="275"/>
      <c r="K39" s="275"/>
      <c r="O39" s="56"/>
      <c r="Q39" t="str">
        <f>IFERROR(IF(VLOOKUP(Tb_Activiteiten[[#This Row],[Openstelling]],Tb_Openstelling[],2,0)=1,1,""),"")</f>
        <v/>
      </c>
      <c r="AK39" t="str">
        <f>IF(ISNUMBER(FIND("arbeid",Methode_Keuze)),"",IF(ISNUMBER(FIND("arbeid",Methode_Keuze)),"",IF(Tb_Activiteiten[[#This Row],[Loonkosten]]=1,Tb_Activiteiten[[#Headers],[Loonkosten]],"")))</f>
        <v/>
      </c>
      <c r="AL39" t="str">
        <f>IF(ISNUMBER(FIND("arbeid",Methode_Keuze)),"",IF(ISNUMBER(FIND("arbeid",Methode_Keuze)),"",IF(Tb_Activiteiten[[#This Row],[Eigen arbeid]]=1,Tb_Activiteiten[[#Headers],[Eigen arbeid]],"")))</f>
        <v/>
      </c>
      <c r="AM39" t="str">
        <f>IF(ISNUMBER(FIND("arbeid",Methode_Keuze)),"",IF(ISNUMBER(FIND("arbeid",Methode_Keuze)),"",IF(Tb_Activiteiten[[#This Row],[Projectmedewerker]]=1,Tb_Activiteiten[[#Headers],[Projectmedewerker]],"")))</f>
        <v/>
      </c>
      <c r="AN39" t="str">
        <f>IF(ISNUMBER(FIND("arbeid",Methode_Keuze)),"",IF(ISNUMBER(FIND("arbeid",Methode_Keuze)),"",IF(Tb_Activiteiten[[#This Row],[Landbouwer]]=1,Tb_Activiteiten[[#Headers],[Landbouwer]],"")))</f>
        <v/>
      </c>
      <c r="AO39" t="str">
        <f>IF(ISNUMBER(FIND("arbeid",Methode_Keuze)),"",IF(ISNUMBER(FIND("arbeid",Methode_Keuze)),"",IF(Tb_Activiteiten[[#This Row],[Adviseur]]=1,Tb_Activiteiten[[#Headers],[Adviseur]],"")))</f>
        <v/>
      </c>
      <c r="AP39" t="str">
        <f>IF(ISNUMBER(FIND("arbeid",Methode_Keuze)),"",IF(ISNUMBER(FIND("arbeid",Methode_Keuze)),"",IF(Tb_Activiteiten[[#This Row],[Projectleider/Expert]]=1,Tb_Activiteiten[[#Headers],[Projectleider/Expert]],"")))</f>
        <v/>
      </c>
      <c r="AQ39" t="str">
        <f>IF(ISNUMBER(FIND("arbeid",Methode_Keuze)),"",IF(ISNUMBER(FIND("arbeid",Methode_Keuze)),"",IF(Tb_Activiteiten[[#This Row],[Arbeidskosten]]=1,Tb_Activiteiten[[#Headers],[Arbeidskosten]],"")))</f>
        <v/>
      </c>
      <c r="AR39" t="str">
        <f>IF(ISNUMBER(FIND("arbeid",Methode_Keuze)),"",IF(ISNUMBER(FIND("arbeid",Methode_Keuze)),"",IF(Tb_Activiteiten[[#This Row],[Arbeidskosten op basis van IKS]]=1,Tb_Activiteiten[[#Headers],[Arbeidskosten op basis van IKS]],"")))</f>
        <v/>
      </c>
      <c r="AS39" t="str">
        <f>IF(ISNUMBER(FIND("overige",Methode_Keuze)),"",IF(Tb_Activiteiten[[#This Row],[Kosten derden exclusief btw]]=1,Tb_Activiteiten[[#Headers],[Kosten derden exclusief btw]],""))</f>
        <v/>
      </c>
      <c r="AT39" t="str">
        <f>IF(ISNUMBER(FIND("overige",Methode_Keuze)),"",IF(Tb_Activiteiten[[#This Row],[Niet verrekenbare btw]]=1,Tb_Activiteiten[[#Headers],[Niet verrekenbare btw]],""))</f>
        <v/>
      </c>
      <c r="AU39" t="str">
        <f>IF(ISNUMBER(FIND("overige",Methode_Keuze)),"",IF(Tb_Activiteiten[[#This Row],[Grondkosten]]=1,Tb_Activiteiten[[#Headers],[Grondkosten]],""))</f>
        <v/>
      </c>
      <c r="AV39" t="str">
        <f>IF(ISNUMBER(FIND("overige",Methode_Keuze)),"",IF(Tb_Activiteiten[[#This Row],[Bijdrage in natura (overige)]]=1,Tb_Activiteiten[[#Headers],[Bijdrage in natura (overige)]],""))</f>
        <v/>
      </c>
      <c r="AW39" t="str">
        <f>IF(ISNUMBER(FIND("overige",Methode_Keuze)),"",IF(Tb_Activiteiten[[#This Row],[Bijdrage in natura (vrijwilligers)]]=1,Tb_Activiteiten[[#Headers],[Bijdrage in natura (vrijwilligers)]],""))</f>
        <v/>
      </c>
      <c r="AX39" t="str">
        <f>IF(ISNUMBER(FIND("overige",Methode_Keuze)),"",IF(Tb_Activiteiten[[#This Row],[Afschrijvingskosten]]=1,Tb_Activiteiten[[#Headers],[Afschrijvingskosten]],""))</f>
        <v/>
      </c>
      <c r="AY39" t="str">
        <f>IF(ISNUMBER(FIND("overige",Methode_Keuze)),"",IF(Tb_Activiteiten[[#This Row],[Vergoeding]]=1,Tb_Activiteiten[[#Headers],[Vergoeding]],""))</f>
        <v/>
      </c>
      <c r="AZ39" t="str">
        <f>IF(ISNUMBER(FIND("arbeid",Methode_Keuze)),"",IF(Tb_Activiteiten[[#This Row],[Arbeidskosten - vast tarief (excl eigen arbeid)]]=1,Tb_Activiteiten[[#Headers],[Arbeidskosten - vast tarief (excl eigen arbeid)]],""))</f>
        <v/>
      </c>
      <c r="BA39" t="str">
        <f>IF(ISNUMBER(FIND("overige",Methode_Keuze)),"",IF(Tb_Activiteiten[[#This Row],[Overige kosten]]=1,Tb_Activiteiten[[#Headers],[Overige kosten]],""))</f>
        <v/>
      </c>
    </row>
    <row r="40" spans="1:53" x14ac:dyDescent="0.25">
      <c r="A40" s="231"/>
      <c r="F40" s="64"/>
      <c r="G40" s="64"/>
      <c r="H40" s="275"/>
      <c r="I40" s="275"/>
      <c r="J40" s="275"/>
      <c r="K40" s="275"/>
      <c r="O40" s="56"/>
      <c r="Q40" t="str">
        <f>IFERROR(IF(VLOOKUP(Tb_Activiteiten[[#This Row],[Openstelling]],Tb_Openstelling[],2,0)=1,1,""),"")</f>
        <v/>
      </c>
      <c r="AK40" t="str">
        <f>IF(ISNUMBER(FIND("arbeid",Methode_Keuze)),"",IF(ISNUMBER(FIND("arbeid",Methode_Keuze)),"",IF(Tb_Activiteiten[[#This Row],[Loonkosten]]=1,Tb_Activiteiten[[#Headers],[Loonkosten]],"")))</f>
        <v/>
      </c>
      <c r="AL40" t="str">
        <f>IF(ISNUMBER(FIND("arbeid",Methode_Keuze)),"",IF(ISNUMBER(FIND("arbeid",Methode_Keuze)),"",IF(Tb_Activiteiten[[#This Row],[Eigen arbeid]]=1,Tb_Activiteiten[[#Headers],[Eigen arbeid]],"")))</f>
        <v/>
      </c>
      <c r="AM40" t="str">
        <f>IF(ISNUMBER(FIND("arbeid",Methode_Keuze)),"",IF(ISNUMBER(FIND("arbeid",Methode_Keuze)),"",IF(Tb_Activiteiten[[#This Row],[Projectmedewerker]]=1,Tb_Activiteiten[[#Headers],[Projectmedewerker]],"")))</f>
        <v/>
      </c>
      <c r="AN40" t="str">
        <f>IF(ISNUMBER(FIND("arbeid",Methode_Keuze)),"",IF(ISNUMBER(FIND("arbeid",Methode_Keuze)),"",IF(Tb_Activiteiten[[#This Row],[Landbouwer]]=1,Tb_Activiteiten[[#Headers],[Landbouwer]],"")))</f>
        <v/>
      </c>
      <c r="AO40" t="str">
        <f>IF(ISNUMBER(FIND("arbeid",Methode_Keuze)),"",IF(ISNUMBER(FIND("arbeid",Methode_Keuze)),"",IF(Tb_Activiteiten[[#This Row],[Adviseur]]=1,Tb_Activiteiten[[#Headers],[Adviseur]],"")))</f>
        <v/>
      </c>
      <c r="AP40" t="str">
        <f>IF(ISNUMBER(FIND("arbeid",Methode_Keuze)),"",IF(ISNUMBER(FIND("arbeid",Methode_Keuze)),"",IF(Tb_Activiteiten[[#This Row],[Projectleider/Expert]]=1,Tb_Activiteiten[[#Headers],[Projectleider/Expert]],"")))</f>
        <v/>
      </c>
      <c r="AQ40" t="str">
        <f>IF(ISNUMBER(FIND("arbeid",Methode_Keuze)),"",IF(ISNUMBER(FIND("arbeid",Methode_Keuze)),"",IF(Tb_Activiteiten[[#This Row],[Arbeidskosten]]=1,Tb_Activiteiten[[#Headers],[Arbeidskosten]],"")))</f>
        <v/>
      </c>
      <c r="AR40" t="str">
        <f>IF(ISNUMBER(FIND("arbeid",Methode_Keuze)),"",IF(ISNUMBER(FIND("arbeid",Methode_Keuze)),"",IF(Tb_Activiteiten[[#This Row],[Arbeidskosten op basis van IKS]]=1,Tb_Activiteiten[[#Headers],[Arbeidskosten op basis van IKS]],"")))</f>
        <v/>
      </c>
      <c r="AS40" t="str">
        <f>IF(ISNUMBER(FIND("overige",Methode_Keuze)),"",IF(Tb_Activiteiten[[#This Row],[Kosten derden exclusief btw]]=1,Tb_Activiteiten[[#Headers],[Kosten derden exclusief btw]],""))</f>
        <v/>
      </c>
      <c r="AT40" t="str">
        <f>IF(ISNUMBER(FIND("overige",Methode_Keuze)),"",IF(Tb_Activiteiten[[#This Row],[Niet verrekenbare btw]]=1,Tb_Activiteiten[[#Headers],[Niet verrekenbare btw]],""))</f>
        <v/>
      </c>
      <c r="AU40" t="str">
        <f>IF(ISNUMBER(FIND("overige",Methode_Keuze)),"",IF(Tb_Activiteiten[[#This Row],[Grondkosten]]=1,Tb_Activiteiten[[#Headers],[Grondkosten]],""))</f>
        <v/>
      </c>
      <c r="AV40" t="str">
        <f>IF(ISNUMBER(FIND("overige",Methode_Keuze)),"",IF(Tb_Activiteiten[[#This Row],[Bijdrage in natura (overige)]]=1,Tb_Activiteiten[[#Headers],[Bijdrage in natura (overige)]],""))</f>
        <v/>
      </c>
      <c r="AW40" t="str">
        <f>IF(ISNUMBER(FIND("overige",Methode_Keuze)),"",IF(Tb_Activiteiten[[#This Row],[Bijdrage in natura (vrijwilligers)]]=1,Tb_Activiteiten[[#Headers],[Bijdrage in natura (vrijwilligers)]],""))</f>
        <v/>
      </c>
      <c r="AX40" t="str">
        <f>IF(ISNUMBER(FIND("overige",Methode_Keuze)),"",IF(Tb_Activiteiten[[#This Row],[Afschrijvingskosten]]=1,Tb_Activiteiten[[#Headers],[Afschrijvingskosten]],""))</f>
        <v/>
      </c>
      <c r="AY40" t="str">
        <f>IF(ISNUMBER(FIND("overige",Methode_Keuze)),"",IF(Tb_Activiteiten[[#This Row],[Vergoeding]]=1,Tb_Activiteiten[[#Headers],[Vergoeding]],""))</f>
        <v/>
      </c>
      <c r="AZ40" t="str">
        <f>IF(ISNUMBER(FIND("arbeid",Methode_Keuze)),"",IF(Tb_Activiteiten[[#This Row],[Arbeidskosten - vast tarief (excl eigen arbeid)]]=1,Tb_Activiteiten[[#Headers],[Arbeidskosten - vast tarief (excl eigen arbeid)]],""))</f>
        <v/>
      </c>
      <c r="BA40" t="str">
        <f>IF(ISNUMBER(FIND("overige",Methode_Keuze)),"",IF(Tb_Activiteiten[[#This Row],[Overige kosten]]=1,Tb_Activiteiten[[#Headers],[Overige kosten]],""))</f>
        <v/>
      </c>
    </row>
    <row r="41" spans="1:53" x14ac:dyDescent="0.25">
      <c r="A41" s="231"/>
      <c r="F41" s="64"/>
      <c r="G41" s="64"/>
      <c r="H41" s="275"/>
      <c r="I41" s="275"/>
      <c r="J41" s="275"/>
      <c r="K41" s="275"/>
      <c r="O41" s="56"/>
      <c r="Q41" t="str">
        <f>IFERROR(IF(VLOOKUP(Tb_Activiteiten[[#This Row],[Openstelling]],Tb_Openstelling[],2,0)=1,1,""),"")</f>
        <v/>
      </c>
      <c r="AK41" t="str">
        <f>IF(ISNUMBER(FIND("arbeid",Methode_Keuze)),"",IF(ISNUMBER(FIND("arbeid",Methode_Keuze)),"",IF(Tb_Activiteiten[[#This Row],[Loonkosten]]=1,Tb_Activiteiten[[#Headers],[Loonkosten]],"")))</f>
        <v/>
      </c>
      <c r="AL41" t="str">
        <f>IF(ISNUMBER(FIND("arbeid",Methode_Keuze)),"",IF(ISNUMBER(FIND("arbeid",Methode_Keuze)),"",IF(Tb_Activiteiten[[#This Row],[Eigen arbeid]]=1,Tb_Activiteiten[[#Headers],[Eigen arbeid]],"")))</f>
        <v/>
      </c>
      <c r="AM41" t="str">
        <f>IF(ISNUMBER(FIND("arbeid",Methode_Keuze)),"",IF(ISNUMBER(FIND("arbeid",Methode_Keuze)),"",IF(Tb_Activiteiten[[#This Row],[Projectmedewerker]]=1,Tb_Activiteiten[[#Headers],[Projectmedewerker]],"")))</f>
        <v/>
      </c>
      <c r="AN41" t="str">
        <f>IF(ISNUMBER(FIND("arbeid",Methode_Keuze)),"",IF(ISNUMBER(FIND("arbeid",Methode_Keuze)),"",IF(Tb_Activiteiten[[#This Row],[Landbouwer]]=1,Tb_Activiteiten[[#Headers],[Landbouwer]],"")))</f>
        <v/>
      </c>
      <c r="AO41" t="str">
        <f>IF(ISNUMBER(FIND("arbeid",Methode_Keuze)),"",IF(ISNUMBER(FIND("arbeid",Methode_Keuze)),"",IF(Tb_Activiteiten[[#This Row],[Adviseur]]=1,Tb_Activiteiten[[#Headers],[Adviseur]],"")))</f>
        <v/>
      </c>
      <c r="AP41" t="str">
        <f>IF(ISNUMBER(FIND("arbeid",Methode_Keuze)),"",IF(ISNUMBER(FIND("arbeid",Methode_Keuze)),"",IF(Tb_Activiteiten[[#This Row],[Projectleider/Expert]]=1,Tb_Activiteiten[[#Headers],[Projectleider/Expert]],"")))</f>
        <v/>
      </c>
      <c r="AQ41" t="str">
        <f>IF(ISNUMBER(FIND("arbeid",Methode_Keuze)),"",IF(ISNUMBER(FIND("arbeid",Methode_Keuze)),"",IF(Tb_Activiteiten[[#This Row],[Arbeidskosten]]=1,Tb_Activiteiten[[#Headers],[Arbeidskosten]],"")))</f>
        <v/>
      </c>
      <c r="AR41" t="str">
        <f>IF(ISNUMBER(FIND("arbeid",Methode_Keuze)),"",IF(ISNUMBER(FIND("arbeid",Methode_Keuze)),"",IF(Tb_Activiteiten[[#This Row],[Arbeidskosten op basis van IKS]]=1,Tb_Activiteiten[[#Headers],[Arbeidskosten op basis van IKS]],"")))</f>
        <v/>
      </c>
      <c r="AS41" t="str">
        <f>IF(ISNUMBER(FIND("overige",Methode_Keuze)),"",IF(Tb_Activiteiten[[#This Row],[Kosten derden exclusief btw]]=1,Tb_Activiteiten[[#Headers],[Kosten derden exclusief btw]],""))</f>
        <v/>
      </c>
      <c r="AT41" t="str">
        <f>IF(ISNUMBER(FIND("overige",Methode_Keuze)),"",IF(Tb_Activiteiten[[#This Row],[Niet verrekenbare btw]]=1,Tb_Activiteiten[[#Headers],[Niet verrekenbare btw]],""))</f>
        <v/>
      </c>
      <c r="AU41" t="str">
        <f>IF(ISNUMBER(FIND("overige",Methode_Keuze)),"",IF(Tb_Activiteiten[[#This Row],[Grondkosten]]=1,Tb_Activiteiten[[#Headers],[Grondkosten]],""))</f>
        <v/>
      </c>
      <c r="AV41" t="str">
        <f>IF(ISNUMBER(FIND("overige",Methode_Keuze)),"",IF(Tb_Activiteiten[[#This Row],[Bijdrage in natura (overige)]]=1,Tb_Activiteiten[[#Headers],[Bijdrage in natura (overige)]],""))</f>
        <v/>
      </c>
      <c r="AW41" t="str">
        <f>IF(ISNUMBER(FIND("overige",Methode_Keuze)),"",IF(Tb_Activiteiten[[#This Row],[Bijdrage in natura (vrijwilligers)]]=1,Tb_Activiteiten[[#Headers],[Bijdrage in natura (vrijwilligers)]],""))</f>
        <v/>
      </c>
      <c r="AX41" t="str">
        <f>IF(ISNUMBER(FIND("overige",Methode_Keuze)),"",IF(Tb_Activiteiten[[#This Row],[Afschrijvingskosten]]=1,Tb_Activiteiten[[#Headers],[Afschrijvingskosten]],""))</f>
        <v/>
      </c>
      <c r="AY41" t="str">
        <f>IF(ISNUMBER(FIND("overige",Methode_Keuze)),"",IF(Tb_Activiteiten[[#This Row],[Vergoeding]]=1,Tb_Activiteiten[[#Headers],[Vergoeding]],""))</f>
        <v/>
      </c>
      <c r="AZ41" t="str">
        <f>IF(ISNUMBER(FIND("arbeid",Methode_Keuze)),"",IF(Tb_Activiteiten[[#This Row],[Arbeidskosten - vast tarief (excl eigen arbeid)]]=1,Tb_Activiteiten[[#Headers],[Arbeidskosten - vast tarief (excl eigen arbeid)]],""))</f>
        <v/>
      </c>
      <c r="BA41" t="str">
        <f>IF(ISNUMBER(FIND("overige",Methode_Keuze)),"",IF(Tb_Activiteiten[[#This Row],[Overige kosten]]=1,Tb_Activiteiten[[#Headers],[Overige kosten]],""))</f>
        <v/>
      </c>
    </row>
    <row r="42" spans="1:53" x14ac:dyDescent="0.25">
      <c r="A42" s="231"/>
      <c r="F42" s="64"/>
      <c r="G42" s="64"/>
      <c r="H42" s="275"/>
      <c r="I42" s="275"/>
      <c r="J42" s="275"/>
      <c r="K42" s="275"/>
      <c r="O42" s="56"/>
      <c r="Q42" t="str">
        <f>IFERROR(IF(VLOOKUP(Tb_Activiteiten[[#This Row],[Openstelling]],Tb_Openstelling[],2,0)=1,1,""),"")</f>
        <v/>
      </c>
      <c r="AK42" t="str">
        <f>IF(ISNUMBER(FIND("arbeid",Methode_Keuze)),"",IF(ISNUMBER(FIND("arbeid",Methode_Keuze)),"",IF(Tb_Activiteiten[[#This Row],[Loonkosten]]=1,Tb_Activiteiten[[#Headers],[Loonkosten]],"")))</f>
        <v/>
      </c>
      <c r="AL42" t="str">
        <f>IF(ISNUMBER(FIND("arbeid",Methode_Keuze)),"",IF(ISNUMBER(FIND("arbeid",Methode_Keuze)),"",IF(Tb_Activiteiten[[#This Row],[Eigen arbeid]]=1,Tb_Activiteiten[[#Headers],[Eigen arbeid]],"")))</f>
        <v/>
      </c>
      <c r="AM42" t="str">
        <f>IF(ISNUMBER(FIND("arbeid",Methode_Keuze)),"",IF(ISNUMBER(FIND("arbeid",Methode_Keuze)),"",IF(Tb_Activiteiten[[#This Row],[Projectmedewerker]]=1,Tb_Activiteiten[[#Headers],[Projectmedewerker]],"")))</f>
        <v/>
      </c>
      <c r="AN42" t="str">
        <f>IF(ISNUMBER(FIND("arbeid",Methode_Keuze)),"",IF(ISNUMBER(FIND("arbeid",Methode_Keuze)),"",IF(Tb_Activiteiten[[#This Row],[Landbouwer]]=1,Tb_Activiteiten[[#Headers],[Landbouwer]],"")))</f>
        <v/>
      </c>
      <c r="AO42" t="str">
        <f>IF(ISNUMBER(FIND("arbeid",Methode_Keuze)),"",IF(ISNUMBER(FIND("arbeid",Methode_Keuze)),"",IF(Tb_Activiteiten[[#This Row],[Adviseur]]=1,Tb_Activiteiten[[#Headers],[Adviseur]],"")))</f>
        <v/>
      </c>
      <c r="AP42" t="str">
        <f>IF(ISNUMBER(FIND("arbeid",Methode_Keuze)),"",IF(ISNUMBER(FIND("arbeid",Methode_Keuze)),"",IF(Tb_Activiteiten[[#This Row],[Projectleider/Expert]]=1,Tb_Activiteiten[[#Headers],[Projectleider/Expert]],"")))</f>
        <v/>
      </c>
      <c r="AQ42" t="str">
        <f>IF(ISNUMBER(FIND("arbeid",Methode_Keuze)),"",IF(ISNUMBER(FIND("arbeid",Methode_Keuze)),"",IF(Tb_Activiteiten[[#This Row],[Arbeidskosten]]=1,Tb_Activiteiten[[#Headers],[Arbeidskosten]],"")))</f>
        <v/>
      </c>
      <c r="AR42" t="str">
        <f>IF(ISNUMBER(FIND("arbeid",Methode_Keuze)),"",IF(ISNUMBER(FIND("arbeid",Methode_Keuze)),"",IF(Tb_Activiteiten[[#This Row],[Arbeidskosten op basis van IKS]]=1,Tb_Activiteiten[[#Headers],[Arbeidskosten op basis van IKS]],"")))</f>
        <v/>
      </c>
      <c r="AS42" t="str">
        <f>IF(ISNUMBER(FIND("overige",Methode_Keuze)),"",IF(Tb_Activiteiten[[#This Row],[Kosten derden exclusief btw]]=1,Tb_Activiteiten[[#Headers],[Kosten derden exclusief btw]],""))</f>
        <v/>
      </c>
      <c r="AT42" t="str">
        <f>IF(ISNUMBER(FIND("overige",Methode_Keuze)),"",IF(Tb_Activiteiten[[#This Row],[Niet verrekenbare btw]]=1,Tb_Activiteiten[[#Headers],[Niet verrekenbare btw]],""))</f>
        <v/>
      </c>
      <c r="AU42" t="str">
        <f>IF(ISNUMBER(FIND("overige",Methode_Keuze)),"",IF(Tb_Activiteiten[[#This Row],[Grondkosten]]=1,Tb_Activiteiten[[#Headers],[Grondkosten]],""))</f>
        <v/>
      </c>
      <c r="AV42" t="str">
        <f>IF(ISNUMBER(FIND("overige",Methode_Keuze)),"",IF(Tb_Activiteiten[[#This Row],[Bijdrage in natura (overige)]]=1,Tb_Activiteiten[[#Headers],[Bijdrage in natura (overige)]],""))</f>
        <v/>
      </c>
      <c r="AW42" t="str">
        <f>IF(ISNUMBER(FIND("overige",Methode_Keuze)),"",IF(Tb_Activiteiten[[#This Row],[Bijdrage in natura (vrijwilligers)]]=1,Tb_Activiteiten[[#Headers],[Bijdrage in natura (vrijwilligers)]],""))</f>
        <v/>
      </c>
      <c r="AX42" t="str">
        <f>IF(ISNUMBER(FIND("overige",Methode_Keuze)),"",IF(Tb_Activiteiten[[#This Row],[Afschrijvingskosten]]=1,Tb_Activiteiten[[#Headers],[Afschrijvingskosten]],""))</f>
        <v/>
      </c>
      <c r="AY42" t="str">
        <f>IF(ISNUMBER(FIND("overige",Methode_Keuze)),"",IF(Tb_Activiteiten[[#This Row],[Vergoeding]]=1,Tb_Activiteiten[[#Headers],[Vergoeding]],""))</f>
        <v/>
      </c>
      <c r="AZ42" t="str">
        <f>IF(ISNUMBER(FIND("arbeid",Methode_Keuze)),"",IF(Tb_Activiteiten[[#This Row],[Arbeidskosten - vast tarief (excl eigen arbeid)]]=1,Tb_Activiteiten[[#Headers],[Arbeidskosten - vast tarief (excl eigen arbeid)]],""))</f>
        <v/>
      </c>
      <c r="BA42" t="str">
        <f>IF(ISNUMBER(FIND("overige",Methode_Keuze)),"",IF(Tb_Activiteiten[[#This Row],[Overige kosten]]=1,Tb_Activiteiten[[#Headers],[Overige kosten]],""))</f>
        <v/>
      </c>
    </row>
    <row r="43" spans="1:53" x14ac:dyDescent="0.25">
      <c r="A43" s="231"/>
      <c r="F43" s="64"/>
      <c r="G43" s="64"/>
      <c r="H43" s="275"/>
      <c r="I43" s="275"/>
      <c r="J43" s="275"/>
      <c r="K43" s="275"/>
      <c r="O43" s="56"/>
      <c r="Q43" t="str">
        <f>IFERROR(IF(VLOOKUP(Tb_Activiteiten[[#This Row],[Openstelling]],Tb_Openstelling[],2,0)=1,1,""),"")</f>
        <v/>
      </c>
      <c r="AK43" t="str">
        <f>IF(ISNUMBER(FIND("arbeid",Methode_Keuze)),"",IF(ISNUMBER(FIND("arbeid",Methode_Keuze)),"",IF(Tb_Activiteiten[[#This Row],[Loonkosten]]=1,Tb_Activiteiten[[#Headers],[Loonkosten]],"")))</f>
        <v/>
      </c>
      <c r="AL43" t="str">
        <f>IF(ISNUMBER(FIND("arbeid",Methode_Keuze)),"",IF(ISNUMBER(FIND("arbeid",Methode_Keuze)),"",IF(Tb_Activiteiten[[#This Row],[Eigen arbeid]]=1,Tb_Activiteiten[[#Headers],[Eigen arbeid]],"")))</f>
        <v/>
      </c>
      <c r="AM43" t="str">
        <f>IF(ISNUMBER(FIND("arbeid",Methode_Keuze)),"",IF(ISNUMBER(FIND("arbeid",Methode_Keuze)),"",IF(Tb_Activiteiten[[#This Row],[Projectmedewerker]]=1,Tb_Activiteiten[[#Headers],[Projectmedewerker]],"")))</f>
        <v/>
      </c>
      <c r="AN43" t="str">
        <f>IF(ISNUMBER(FIND("arbeid",Methode_Keuze)),"",IF(ISNUMBER(FIND("arbeid",Methode_Keuze)),"",IF(Tb_Activiteiten[[#This Row],[Landbouwer]]=1,Tb_Activiteiten[[#Headers],[Landbouwer]],"")))</f>
        <v/>
      </c>
      <c r="AO43" t="str">
        <f>IF(ISNUMBER(FIND("arbeid",Methode_Keuze)),"",IF(ISNUMBER(FIND("arbeid",Methode_Keuze)),"",IF(Tb_Activiteiten[[#This Row],[Adviseur]]=1,Tb_Activiteiten[[#Headers],[Adviseur]],"")))</f>
        <v/>
      </c>
      <c r="AP43" t="str">
        <f>IF(ISNUMBER(FIND("arbeid",Methode_Keuze)),"",IF(ISNUMBER(FIND("arbeid",Methode_Keuze)),"",IF(Tb_Activiteiten[[#This Row],[Projectleider/Expert]]=1,Tb_Activiteiten[[#Headers],[Projectleider/Expert]],"")))</f>
        <v/>
      </c>
      <c r="AQ43" t="str">
        <f>IF(ISNUMBER(FIND("arbeid",Methode_Keuze)),"",IF(ISNUMBER(FIND("arbeid",Methode_Keuze)),"",IF(Tb_Activiteiten[[#This Row],[Arbeidskosten]]=1,Tb_Activiteiten[[#Headers],[Arbeidskosten]],"")))</f>
        <v/>
      </c>
      <c r="AR43" t="str">
        <f>IF(ISNUMBER(FIND("arbeid",Methode_Keuze)),"",IF(ISNUMBER(FIND("arbeid",Methode_Keuze)),"",IF(Tb_Activiteiten[[#This Row],[Arbeidskosten op basis van IKS]]=1,Tb_Activiteiten[[#Headers],[Arbeidskosten op basis van IKS]],"")))</f>
        <v/>
      </c>
      <c r="AS43" t="str">
        <f>IF(ISNUMBER(FIND("overige",Methode_Keuze)),"",IF(Tb_Activiteiten[[#This Row],[Kosten derden exclusief btw]]=1,Tb_Activiteiten[[#Headers],[Kosten derden exclusief btw]],""))</f>
        <v/>
      </c>
      <c r="AT43" t="str">
        <f>IF(ISNUMBER(FIND("overige",Methode_Keuze)),"",IF(Tb_Activiteiten[[#This Row],[Niet verrekenbare btw]]=1,Tb_Activiteiten[[#Headers],[Niet verrekenbare btw]],""))</f>
        <v/>
      </c>
      <c r="AU43" t="str">
        <f>IF(ISNUMBER(FIND("overige",Methode_Keuze)),"",IF(Tb_Activiteiten[[#This Row],[Grondkosten]]=1,Tb_Activiteiten[[#Headers],[Grondkosten]],""))</f>
        <v/>
      </c>
      <c r="AV43" t="str">
        <f>IF(ISNUMBER(FIND("overige",Methode_Keuze)),"",IF(Tb_Activiteiten[[#This Row],[Bijdrage in natura (overige)]]=1,Tb_Activiteiten[[#Headers],[Bijdrage in natura (overige)]],""))</f>
        <v/>
      </c>
      <c r="AW43" t="str">
        <f>IF(ISNUMBER(FIND("overige",Methode_Keuze)),"",IF(Tb_Activiteiten[[#This Row],[Bijdrage in natura (vrijwilligers)]]=1,Tb_Activiteiten[[#Headers],[Bijdrage in natura (vrijwilligers)]],""))</f>
        <v/>
      </c>
      <c r="AX43" t="str">
        <f>IF(ISNUMBER(FIND("overige",Methode_Keuze)),"",IF(Tb_Activiteiten[[#This Row],[Afschrijvingskosten]]=1,Tb_Activiteiten[[#Headers],[Afschrijvingskosten]],""))</f>
        <v/>
      </c>
      <c r="AY43" t="str">
        <f>IF(ISNUMBER(FIND("overige",Methode_Keuze)),"",IF(Tb_Activiteiten[[#This Row],[Vergoeding]]=1,Tb_Activiteiten[[#Headers],[Vergoeding]],""))</f>
        <v/>
      </c>
      <c r="AZ43" t="str">
        <f>IF(ISNUMBER(FIND("arbeid",Methode_Keuze)),"",IF(Tb_Activiteiten[[#This Row],[Arbeidskosten - vast tarief (excl eigen arbeid)]]=1,Tb_Activiteiten[[#Headers],[Arbeidskosten - vast tarief (excl eigen arbeid)]],""))</f>
        <v/>
      </c>
      <c r="BA43" t="str">
        <f>IF(ISNUMBER(FIND("overige",Methode_Keuze)),"",IF(Tb_Activiteiten[[#This Row],[Overige kosten]]=1,Tb_Activiteiten[[#Headers],[Overige kosten]],""))</f>
        <v/>
      </c>
    </row>
    <row r="44" spans="1:53" x14ac:dyDescent="0.25">
      <c r="A44" s="231"/>
      <c r="F44" s="64"/>
      <c r="G44" s="64"/>
      <c r="H44" s="275"/>
      <c r="I44" s="275"/>
      <c r="J44" s="275"/>
      <c r="K44" s="275"/>
      <c r="O44" s="56"/>
      <c r="Q44" t="str">
        <f>IFERROR(IF(VLOOKUP(Tb_Activiteiten[[#This Row],[Openstelling]],Tb_Openstelling[],2,0)=1,1,""),"")</f>
        <v/>
      </c>
      <c r="AK44" t="str">
        <f>IF(ISNUMBER(FIND("arbeid",Methode_Keuze)),"",IF(ISNUMBER(FIND("arbeid",Methode_Keuze)),"",IF(Tb_Activiteiten[[#This Row],[Loonkosten]]=1,Tb_Activiteiten[[#Headers],[Loonkosten]],"")))</f>
        <v/>
      </c>
      <c r="AL44" t="str">
        <f>IF(ISNUMBER(FIND("arbeid",Methode_Keuze)),"",IF(ISNUMBER(FIND("arbeid",Methode_Keuze)),"",IF(Tb_Activiteiten[[#This Row],[Eigen arbeid]]=1,Tb_Activiteiten[[#Headers],[Eigen arbeid]],"")))</f>
        <v/>
      </c>
      <c r="AM44" t="str">
        <f>IF(ISNUMBER(FIND("arbeid",Methode_Keuze)),"",IF(ISNUMBER(FIND("arbeid",Methode_Keuze)),"",IF(Tb_Activiteiten[[#This Row],[Projectmedewerker]]=1,Tb_Activiteiten[[#Headers],[Projectmedewerker]],"")))</f>
        <v/>
      </c>
      <c r="AN44" t="str">
        <f>IF(ISNUMBER(FIND("arbeid",Methode_Keuze)),"",IF(ISNUMBER(FIND("arbeid",Methode_Keuze)),"",IF(Tb_Activiteiten[[#This Row],[Landbouwer]]=1,Tb_Activiteiten[[#Headers],[Landbouwer]],"")))</f>
        <v/>
      </c>
      <c r="AO44" t="str">
        <f>IF(ISNUMBER(FIND("arbeid",Methode_Keuze)),"",IF(ISNUMBER(FIND("arbeid",Methode_Keuze)),"",IF(Tb_Activiteiten[[#This Row],[Adviseur]]=1,Tb_Activiteiten[[#Headers],[Adviseur]],"")))</f>
        <v/>
      </c>
      <c r="AP44" t="str">
        <f>IF(ISNUMBER(FIND("arbeid",Methode_Keuze)),"",IF(ISNUMBER(FIND("arbeid",Methode_Keuze)),"",IF(Tb_Activiteiten[[#This Row],[Projectleider/Expert]]=1,Tb_Activiteiten[[#Headers],[Projectleider/Expert]],"")))</f>
        <v/>
      </c>
      <c r="AQ44" t="str">
        <f>IF(ISNUMBER(FIND("arbeid",Methode_Keuze)),"",IF(ISNUMBER(FIND("arbeid",Methode_Keuze)),"",IF(Tb_Activiteiten[[#This Row],[Arbeidskosten]]=1,Tb_Activiteiten[[#Headers],[Arbeidskosten]],"")))</f>
        <v/>
      </c>
      <c r="AR44" t="str">
        <f>IF(ISNUMBER(FIND("arbeid",Methode_Keuze)),"",IF(ISNUMBER(FIND("arbeid",Methode_Keuze)),"",IF(Tb_Activiteiten[[#This Row],[Arbeidskosten op basis van IKS]]=1,Tb_Activiteiten[[#Headers],[Arbeidskosten op basis van IKS]],"")))</f>
        <v/>
      </c>
      <c r="AS44" t="str">
        <f>IF(ISNUMBER(FIND("overige",Methode_Keuze)),"",IF(Tb_Activiteiten[[#This Row],[Kosten derden exclusief btw]]=1,Tb_Activiteiten[[#Headers],[Kosten derden exclusief btw]],""))</f>
        <v/>
      </c>
      <c r="AT44" t="str">
        <f>IF(ISNUMBER(FIND("overige",Methode_Keuze)),"",IF(Tb_Activiteiten[[#This Row],[Niet verrekenbare btw]]=1,Tb_Activiteiten[[#Headers],[Niet verrekenbare btw]],""))</f>
        <v/>
      </c>
      <c r="AU44" t="str">
        <f>IF(ISNUMBER(FIND("overige",Methode_Keuze)),"",IF(Tb_Activiteiten[[#This Row],[Grondkosten]]=1,Tb_Activiteiten[[#Headers],[Grondkosten]],""))</f>
        <v/>
      </c>
      <c r="AV44" t="str">
        <f>IF(ISNUMBER(FIND("overige",Methode_Keuze)),"",IF(Tb_Activiteiten[[#This Row],[Bijdrage in natura (overige)]]=1,Tb_Activiteiten[[#Headers],[Bijdrage in natura (overige)]],""))</f>
        <v/>
      </c>
      <c r="AW44" t="str">
        <f>IF(ISNUMBER(FIND("overige",Methode_Keuze)),"",IF(Tb_Activiteiten[[#This Row],[Bijdrage in natura (vrijwilligers)]]=1,Tb_Activiteiten[[#Headers],[Bijdrage in natura (vrijwilligers)]],""))</f>
        <v/>
      </c>
      <c r="AX44" t="str">
        <f>IF(ISNUMBER(FIND("overige",Methode_Keuze)),"",IF(Tb_Activiteiten[[#This Row],[Afschrijvingskosten]]=1,Tb_Activiteiten[[#Headers],[Afschrijvingskosten]],""))</f>
        <v/>
      </c>
      <c r="AY44" t="str">
        <f>IF(ISNUMBER(FIND("overige",Methode_Keuze)),"",IF(Tb_Activiteiten[[#This Row],[Vergoeding]]=1,Tb_Activiteiten[[#Headers],[Vergoeding]],""))</f>
        <v/>
      </c>
      <c r="AZ44" t="str">
        <f>IF(ISNUMBER(FIND("arbeid",Methode_Keuze)),"",IF(Tb_Activiteiten[[#This Row],[Arbeidskosten - vast tarief (excl eigen arbeid)]]=1,Tb_Activiteiten[[#Headers],[Arbeidskosten - vast tarief (excl eigen arbeid)]],""))</f>
        <v/>
      </c>
      <c r="BA44" t="str">
        <f>IF(ISNUMBER(FIND("overige",Methode_Keuze)),"",IF(Tb_Activiteiten[[#This Row],[Overige kosten]]=1,Tb_Activiteiten[[#Headers],[Overige kosten]],""))</f>
        <v/>
      </c>
    </row>
    <row r="45" spans="1:53" x14ac:dyDescent="0.25">
      <c r="A45" s="231"/>
      <c r="F45" s="64"/>
      <c r="G45" s="64"/>
      <c r="H45" s="275"/>
      <c r="I45" s="275"/>
      <c r="J45" s="275"/>
      <c r="K45" s="275"/>
      <c r="O45" s="56"/>
      <c r="Q45" t="str">
        <f>IFERROR(IF(VLOOKUP(Tb_Activiteiten[[#This Row],[Openstelling]],Tb_Openstelling[],2,0)=1,1,""),"")</f>
        <v/>
      </c>
      <c r="AK45" t="str">
        <f>IF(ISNUMBER(FIND("arbeid",Methode_Keuze)),"",IF(ISNUMBER(FIND("arbeid",Methode_Keuze)),"",IF(Tb_Activiteiten[[#This Row],[Loonkosten]]=1,Tb_Activiteiten[[#Headers],[Loonkosten]],"")))</f>
        <v/>
      </c>
      <c r="AL45" t="str">
        <f>IF(ISNUMBER(FIND("arbeid",Methode_Keuze)),"",IF(ISNUMBER(FIND("arbeid",Methode_Keuze)),"",IF(Tb_Activiteiten[[#This Row],[Eigen arbeid]]=1,Tb_Activiteiten[[#Headers],[Eigen arbeid]],"")))</f>
        <v/>
      </c>
      <c r="AM45" t="str">
        <f>IF(ISNUMBER(FIND("arbeid",Methode_Keuze)),"",IF(ISNUMBER(FIND("arbeid",Methode_Keuze)),"",IF(Tb_Activiteiten[[#This Row],[Projectmedewerker]]=1,Tb_Activiteiten[[#Headers],[Projectmedewerker]],"")))</f>
        <v/>
      </c>
      <c r="AN45" t="str">
        <f>IF(ISNUMBER(FIND("arbeid",Methode_Keuze)),"",IF(ISNUMBER(FIND("arbeid",Methode_Keuze)),"",IF(Tb_Activiteiten[[#This Row],[Landbouwer]]=1,Tb_Activiteiten[[#Headers],[Landbouwer]],"")))</f>
        <v/>
      </c>
      <c r="AO45" t="str">
        <f>IF(ISNUMBER(FIND("arbeid",Methode_Keuze)),"",IF(ISNUMBER(FIND("arbeid",Methode_Keuze)),"",IF(Tb_Activiteiten[[#This Row],[Adviseur]]=1,Tb_Activiteiten[[#Headers],[Adviseur]],"")))</f>
        <v/>
      </c>
      <c r="AP45" t="str">
        <f>IF(ISNUMBER(FIND("arbeid",Methode_Keuze)),"",IF(ISNUMBER(FIND("arbeid",Methode_Keuze)),"",IF(Tb_Activiteiten[[#This Row],[Projectleider/Expert]]=1,Tb_Activiteiten[[#Headers],[Projectleider/Expert]],"")))</f>
        <v/>
      </c>
      <c r="AQ45" t="str">
        <f>IF(ISNUMBER(FIND("arbeid",Methode_Keuze)),"",IF(ISNUMBER(FIND("arbeid",Methode_Keuze)),"",IF(Tb_Activiteiten[[#This Row],[Arbeidskosten]]=1,Tb_Activiteiten[[#Headers],[Arbeidskosten]],"")))</f>
        <v/>
      </c>
      <c r="AR45" t="str">
        <f>IF(ISNUMBER(FIND("arbeid",Methode_Keuze)),"",IF(ISNUMBER(FIND("arbeid",Methode_Keuze)),"",IF(Tb_Activiteiten[[#This Row],[Arbeidskosten op basis van IKS]]=1,Tb_Activiteiten[[#Headers],[Arbeidskosten op basis van IKS]],"")))</f>
        <v/>
      </c>
      <c r="AS45" t="str">
        <f>IF(ISNUMBER(FIND("overige",Methode_Keuze)),"",IF(Tb_Activiteiten[[#This Row],[Kosten derden exclusief btw]]=1,Tb_Activiteiten[[#Headers],[Kosten derden exclusief btw]],""))</f>
        <v/>
      </c>
      <c r="AT45" t="str">
        <f>IF(ISNUMBER(FIND("overige",Methode_Keuze)),"",IF(Tb_Activiteiten[[#This Row],[Niet verrekenbare btw]]=1,Tb_Activiteiten[[#Headers],[Niet verrekenbare btw]],""))</f>
        <v/>
      </c>
      <c r="AU45" t="str">
        <f>IF(ISNUMBER(FIND("overige",Methode_Keuze)),"",IF(Tb_Activiteiten[[#This Row],[Grondkosten]]=1,Tb_Activiteiten[[#Headers],[Grondkosten]],""))</f>
        <v/>
      </c>
      <c r="AV45" t="str">
        <f>IF(ISNUMBER(FIND("overige",Methode_Keuze)),"",IF(Tb_Activiteiten[[#This Row],[Bijdrage in natura (overige)]]=1,Tb_Activiteiten[[#Headers],[Bijdrage in natura (overige)]],""))</f>
        <v/>
      </c>
      <c r="AW45" t="str">
        <f>IF(ISNUMBER(FIND("overige",Methode_Keuze)),"",IF(Tb_Activiteiten[[#This Row],[Bijdrage in natura (vrijwilligers)]]=1,Tb_Activiteiten[[#Headers],[Bijdrage in natura (vrijwilligers)]],""))</f>
        <v/>
      </c>
      <c r="AX45" t="str">
        <f>IF(ISNUMBER(FIND("overige",Methode_Keuze)),"",IF(Tb_Activiteiten[[#This Row],[Afschrijvingskosten]]=1,Tb_Activiteiten[[#Headers],[Afschrijvingskosten]],""))</f>
        <v/>
      </c>
      <c r="AY45" t="str">
        <f>IF(ISNUMBER(FIND("overige",Methode_Keuze)),"",IF(Tb_Activiteiten[[#This Row],[Vergoeding]]=1,Tb_Activiteiten[[#Headers],[Vergoeding]],""))</f>
        <v/>
      </c>
      <c r="AZ45" t="str">
        <f>IF(ISNUMBER(FIND("arbeid",Methode_Keuze)),"",IF(Tb_Activiteiten[[#This Row],[Arbeidskosten - vast tarief (excl eigen arbeid)]]=1,Tb_Activiteiten[[#Headers],[Arbeidskosten - vast tarief (excl eigen arbeid)]],""))</f>
        <v/>
      </c>
      <c r="BA45" t="str">
        <f>IF(ISNUMBER(FIND("overige",Methode_Keuze)),"",IF(Tb_Activiteiten[[#This Row],[Overige kosten]]=1,Tb_Activiteiten[[#Headers],[Overige kosten]],""))</f>
        <v/>
      </c>
    </row>
    <row r="46" spans="1:53" x14ac:dyDescent="0.25">
      <c r="A46" s="231"/>
      <c r="F46" s="64"/>
      <c r="G46" s="64"/>
      <c r="H46" s="275"/>
      <c r="I46" s="275"/>
      <c r="J46" s="275"/>
      <c r="K46" s="275"/>
      <c r="O46" s="56"/>
      <c r="Q46" t="str">
        <f>IFERROR(IF(VLOOKUP(Tb_Activiteiten[[#This Row],[Openstelling]],Tb_Openstelling[],2,0)=1,1,""),"")</f>
        <v/>
      </c>
      <c r="AK46" t="str">
        <f>IF(ISNUMBER(FIND("arbeid",Methode_Keuze)),"",IF(ISNUMBER(FIND("arbeid",Methode_Keuze)),"",IF(Tb_Activiteiten[[#This Row],[Loonkosten]]=1,Tb_Activiteiten[[#Headers],[Loonkosten]],"")))</f>
        <v/>
      </c>
      <c r="AL46" t="str">
        <f>IF(ISNUMBER(FIND("arbeid",Methode_Keuze)),"",IF(ISNUMBER(FIND("arbeid",Methode_Keuze)),"",IF(Tb_Activiteiten[[#This Row],[Eigen arbeid]]=1,Tb_Activiteiten[[#Headers],[Eigen arbeid]],"")))</f>
        <v/>
      </c>
      <c r="AM46" t="str">
        <f>IF(ISNUMBER(FIND("arbeid",Methode_Keuze)),"",IF(ISNUMBER(FIND("arbeid",Methode_Keuze)),"",IF(Tb_Activiteiten[[#This Row],[Projectmedewerker]]=1,Tb_Activiteiten[[#Headers],[Projectmedewerker]],"")))</f>
        <v/>
      </c>
      <c r="AN46" t="str">
        <f>IF(ISNUMBER(FIND("arbeid",Methode_Keuze)),"",IF(ISNUMBER(FIND("arbeid",Methode_Keuze)),"",IF(Tb_Activiteiten[[#This Row],[Landbouwer]]=1,Tb_Activiteiten[[#Headers],[Landbouwer]],"")))</f>
        <v/>
      </c>
      <c r="AO46" t="str">
        <f>IF(ISNUMBER(FIND("arbeid",Methode_Keuze)),"",IF(ISNUMBER(FIND("arbeid",Methode_Keuze)),"",IF(Tb_Activiteiten[[#This Row],[Adviseur]]=1,Tb_Activiteiten[[#Headers],[Adviseur]],"")))</f>
        <v/>
      </c>
      <c r="AP46" t="str">
        <f>IF(ISNUMBER(FIND("arbeid",Methode_Keuze)),"",IF(ISNUMBER(FIND("arbeid",Methode_Keuze)),"",IF(Tb_Activiteiten[[#This Row],[Projectleider/Expert]]=1,Tb_Activiteiten[[#Headers],[Projectleider/Expert]],"")))</f>
        <v/>
      </c>
      <c r="AQ46" t="str">
        <f>IF(ISNUMBER(FIND("arbeid",Methode_Keuze)),"",IF(ISNUMBER(FIND("arbeid",Methode_Keuze)),"",IF(Tb_Activiteiten[[#This Row],[Arbeidskosten]]=1,Tb_Activiteiten[[#Headers],[Arbeidskosten]],"")))</f>
        <v/>
      </c>
      <c r="AR46" t="str">
        <f>IF(ISNUMBER(FIND("arbeid",Methode_Keuze)),"",IF(ISNUMBER(FIND("arbeid",Methode_Keuze)),"",IF(Tb_Activiteiten[[#This Row],[Arbeidskosten op basis van IKS]]=1,Tb_Activiteiten[[#Headers],[Arbeidskosten op basis van IKS]],"")))</f>
        <v/>
      </c>
      <c r="AS46" t="str">
        <f>IF(ISNUMBER(FIND("overige",Methode_Keuze)),"",IF(Tb_Activiteiten[[#This Row],[Kosten derden exclusief btw]]=1,Tb_Activiteiten[[#Headers],[Kosten derden exclusief btw]],""))</f>
        <v/>
      </c>
      <c r="AT46" t="str">
        <f>IF(ISNUMBER(FIND("overige",Methode_Keuze)),"",IF(Tb_Activiteiten[[#This Row],[Niet verrekenbare btw]]=1,Tb_Activiteiten[[#Headers],[Niet verrekenbare btw]],""))</f>
        <v/>
      </c>
      <c r="AU46" t="str">
        <f>IF(ISNUMBER(FIND("overige",Methode_Keuze)),"",IF(Tb_Activiteiten[[#This Row],[Grondkosten]]=1,Tb_Activiteiten[[#Headers],[Grondkosten]],""))</f>
        <v/>
      </c>
      <c r="AV46" t="str">
        <f>IF(ISNUMBER(FIND("overige",Methode_Keuze)),"",IF(Tb_Activiteiten[[#This Row],[Bijdrage in natura (overige)]]=1,Tb_Activiteiten[[#Headers],[Bijdrage in natura (overige)]],""))</f>
        <v/>
      </c>
      <c r="AW46" t="str">
        <f>IF(ISNUMBER(FIND("overige",Methode_Keuze)),"",IF(Tb_Activiteiten[[#This Row],[Bijdrage in natura (vrijwilligers)]]=1,Tb_Activiteiten[[#Headers],[Bijdrage in natura (vrijwilligers)]],""))</f>
        <v/>
      </c>
      <c r="AX46" t="str">
        <f>IF(ISNUMBER(FIND("overige",Methode_Keuze)),"",IF(Tb_Activiteiten[[#This Row],[Afschrijvingskosten]]=1,Tb_Activiteiten[[#Headers],[Afschrijvingskosten]],""))</f>
        <v/>
      </c>
      <c r="AY46" t="str">
        <f>IF(ISNUMBER(FIND("overige",Methode_Keuze)),"",IF(Tb_Activiteiten[[#This Row],[Vergoeding]]=1,Tb_Activiteiten[[#Headers],[Vergoeding]],""))</f>
        <v/>
      </c>
      <c r="AZ46" t="str">
        <f>IF(ISNUMBER(FIND("arbeid",Methode_Keuze)),"",IF(Tb_Activiteiten[[#This Row],[Arbeidskosten - vast tarief (excl eigen arbeid)]]=1,Tb_Activiteiten[[#Headers],[Arbeidskosten - vast tarief (excl eigen arbeid)]],""))</f>
        <v/>
      </c>
      <c r="BA46" t="str">
        <f>IF(ISNUMBER(FIND("overige",Methode_Keuze)),"",IF(Tb_Activiteiten[[#This Row],[Overige kosten]]=1,Tb_Activiteiten[[#Headers],[Overige kosten]],""))</f>
        <v/>
      </c>
    </row>
    <row r="47" spans="1:53" x14ac:dyDescent="0.25">
      <c r="A47" s="231"/>
      <c r="F47" s="64"/>
      <c r="G47" s="64"/>
      <c r="H47" s="275"/>
      <c r="I47" s="275"/>
      <c r="J47" s="275"/>
      <c r="K47" s="275"/>
      <c r="O47" s="56"/>
      <c r="Q47" t="str">
        <f>IFERROR(IF(VLOOKUP(Tb_Activiteiten[[#This Row],[Openstelling]],Tb_Openstelling[],2,0)=1,1,""),"")</f>
        <v/>
      </c>
      <c r="AK47" t="str">
        <f>IF(ISNUMBER(FIND("arbeid",Methode_Keuze)),"",IF(ISNUMBER(FIND("arbeid",Methode_Keuze)),"",IF(Tb_Activiteiten[[#This Row],[Loonkosten]]=1,Tb_Activiteiten[[#Headers],[Loonkosten]],"")))</f>
        <v/>
      </c>
      <c r="AL47" t="str">
        <f>IF(ISNUMBER(FIND("arbeid",Methode_Keuze)),"",IF(ISNUMBER(FIND("arbeid",Methode_Keuze)),"",IF(Tb_Activiteiten[[#This Row],[Eigen arbeid]]=1,Tb_Activiteiten[[#Headers],[Eigen arbeid]],"")))</f>
        <v/>
      </c>
      <c r="AM47" t="str">
        <f>IF(ISNUMBER(FIND("arbeid",Methode_Keuze)),"",IF(ISNUMBER(FIND("arbeid",Methode_Keuze)),"",IF(Tb_Activiteiten[[#This Row],[Projectmedewerker]]=1,Tb_Activiteiten[[#Headers],[Projectmedewerker]],"")))</f>
        <v/>
      </c>
      <c r="AN47" t="str">
        <f>IF(ISNUMBER(FIND("arbeid",Methode_Keuze)),"",IF(ISNUMBER(FIND("arbeid",Methode_Keuze)),"",IF(Tb_Activiteiten[[#This Row],[Landbouwer]]=1,Tb_Activiteiten[[#Headers],[Landbouwer]],"")))</f>
        <v/>
      </c>
      <c r="AO47" t="str">
        <f>IF(ISNUMBER(FIND("arbeid",Methode_Keuze)),"",IF(ISNUMBER(FIND("arbeid",Methode_Keuze)),"",IF(Tb_Activiteiten[[#This Row],[Adviseur]]=1,Tb_Activiteiten[[#Headers],[Adviseur]],"")))</f>
        <v/>
      </c>
      <c r="AP47" t="str">
        <f>IF(ISNUMBER(FIND("arbeid",Methode_Keuze)),"",IF(ISNUMBER(FIND("arbeid",Methode_Keuze)),"",IF(Tb_Activiteiten[[#This Row],[Projectleider/Expert]]=1,Tb_Activiteiten[[#Headers],[Projectleider/Expert]],"")))</f>
        <v/>
      </c>
      <c r="AQ47" t="str">
        <f>IF(ISNUMBER(FIND("arbeid",Methode_Keuze)),"",IF(ISNUMBER(FIND("arbeid",Methode_Keuze)),"",IF(Tb_Activiteiten[[#This Row],[Arbeidskosten]]=1,Tb_Activiteiten[[#Headers],[Arbeidskosten]],"")))</f>
        <v/>
      </c>
      <c r="AR47" t="str">
        <f>IF(ISNUMBER(FIND("arbeid",Methode_Keuze)),"",IF(ISNUMBER(FIND("arbeid",Methode_Keuze)),"",IF(Tb_Activiteiten[[#This Row],[Arbeidskosten op basis van IKS]]=1,Tb_Activiteiten[[#Headers],[Arbeidskosten op basis van IKS]],"")))</f>
        <v/>
      </c>
      <c r="AS47" t="str">
        <f>IF(ISNUMBER(FIND("overige",Methode_Keuze)),"",IF(Tb_Activiteiten[[#This Row],[Kosten derden exclusief btw]]=1,Tb_Activiteiten[[#Headers],[Kosten derden exclusief btw]],""))</f>
        <v/>
      </c>
      <c r="AT47" t="str">
        <f>IF(ISNUMBER(FIND("overige",Methode_Keuze)),"",IF(Tb_Activiteiten[[#This Row],[Niet verrekenbare btw]]=1,Tb_Activiteiten[[#Headers],[Niet verrekenbare btw]],""))</f>
        <v/>
      </c>
      <c r="AU47" t="str">
        <f>IF(ISNUMBER(FIND("overige",Methode_Keuze)),"",IF(Tb_Activiteiten[[#This Row],[Grondkosten]]=1,Tb_Activiteiten[[#Headers],[Grondkosten]],""))</f>
        <v/>
      </c>
      <c r="AV47" t="str">
        <f>IF(ISNUMBER(FIND("overige",Methode_Keuze)),"",IF(Tb_Activiteiten[[#This Row],[Bijdrage in natura (overige)]]=1,Tb_Activiteiten[[#Headers],[Bijdrage in natura (overige)]],""))</f>
        <v/>
      </c>
      <c r="AW47" t="str">
        <f>IF(ISNUMBER(FIND("overige",Methode_Keuze)),"",IF(Tb_Activiteiten[[#This Row],[Bijdrage in natura (vrijwilligers)]]=1,Tb_Activiteiten[[#Headers],[Bijdrage in natura (vrijwilligers)]],""))</f>
        <v/>
      </c>
      <c r="AX47" t="str">
        <f>IF(ISNUMBER(FIND("overige",Methode_Keuze)),"",IF(Tb_Activiteiten[[#This Row],[Afschrijvingskosten]]=1,Tb_Activiteiten[[#Headers],[Afschrijvingskosten]],""))</f>
        <v/>
      </c>
      <c r="AY47" t="str">
        <f>IF(ISNUMBER(FIND("overige",Methode_Keuze)),"",IF(Tb_Activiteiten[[#This Row],[Vergoeding]]=1,Tb_Activiteiten[[#Headers],[Vergoeding]],""))</f>
        <v/>
      </c>
      <c r="AZ47" t="str">
        <f>IF(ISNUMBER(FIND("arbeid",Methode_Keuze)),"",IF(Tb_Activiteiten[[#This Row],[Arbeidskosten - vast tarief (excl eigen arbeid)]]=1,Tb_Activiteiten[[#Headers],[Arbeidskosten - vast tarief (excl eigen arbeid)]],""))</f>
        <v/>
      </c>
      <c r="BA47" t="str">
        <f>IF(ISNUMBER(FIND("overige",Methode_Keuze)),"",IF(Tb_Activiteiten[[#This Row],[Overige kosten]]=1,Tb_Activiteiten[[#Headers],[Overige kosten]],""))</f>
        <v/>
      </c>
    </row>
    <row r="48" spans="1:53" x14ac:dyDescent="0.25">
      <c r="A48" s="231"/>
      <c r="F48" s="64"/>
      <c r="G48" s="64"/>
      <c r="H48" s="275"/>
      <c r="I48" s="275"/>
      <c r="J48" s="275"/>
      <c r="K48" s="275"/>
      <c r="O48" s="56"/>
      <c r="Q48" t="str">
        <f>IFERROR(IF(VLOOKUP(Tb_Activiteiten[[#This Row],[Openstelling]],Tb_Openstelling[],2,0)=1,1,""),"")</f>
        <v/>
      </c>
      <c r="AK48" t="str">
        <f>IF(ISNUMBER(FIND("arbeid",Methode_Keuze)),"",IF(ISNUMBER(FIND("arbeid",Methode_Keuze)),"",IF(Tb_Activiteiten[[#This Row],[Loonkosten]]=1,Tb_Activiteiten[[#Headers],[Loonkosten]],"")))</f>
        <v/>
      </c>
      <c r="AL48" t="str">
        <f>IF(ISNUMBER(FIND("arbeid",Methode_Keuze)),"",IF(ISNUMBER(FIND("arbeid",Methode_Keuze)),"",IF(Tb_Activiteiten[[#This Row],[Eigen arbeid]]=1,Tb_Activiteiten[[#Headers],[Eigen arbeid]],"")))</f>
        <v/>
      </c>
      <c r="AM48" t="str">
        <f>IF(ISNUMBER(FIND("arbeid",Methode_Keuze)),"",IF(ISNUMBER(FIND("arbeid",Methode_Keuze)),"",IF(Tb_Activiteiten[[#This Row],[Projectmedewerker]]=1,Tb_Activiteiten[[#Headers],[Projectmedewerker]],"")))</f>
        <v/>
      </c>
      <c r="AN48" t="str">
        <f>IF(ISNUMBER(FIND("arbeid",Methode_Keuze)),"",IF(ISNUMBER(FIND("arbeid",Methode_Keuze)),"",IF(Tb_Activiteiten[[#This Row],[Landbouwer]]=1,Tb_Activiteiten[[#Headers],[Landbouwer]],"")))</f>
        <v/>
      </c>
      <c r="AO48" t="str">
        <f>IF(ISNUMBER(FIND("arbeid",Methode_Keuze)),"",IF(ISNUMBER(FIND("arbeid",Methode_Keuze)),"",IF(Tb_Activiteiten[[#This Row],[Adviseur]]=1,Tb_Activiteiten[[#Headers],[Adviseur]],"")))</f>
        <v/>
      </c>
      <c r="AP48" t="str">
        <f>IF(ISNUMBER(FIND("arbeid",Methode_Keuze)),"",IF(ISNUMBER(FIND("arbeid",Methode_Keuze)),"",IF(Tb_Activiteiten[[#This Row],[Projectleider/Expert]]=1,Tb_Activiteiten[[#Headers],[Projectleider/Expert]],"")))</f>
        <v/>
      </c>
      <c r="AQ48" t="str">
        <f>IF(ISNUMBER(FIND("arbeid",Methode_Keuze)),"",IF(ISNUMBER(FIND("arbeid",Methode_Keuze)),"",IF(Tb_Activiteiten[[#This Row],[Arbeidskosten]]=1,Tb_Activiteiten[[#Headers],[Arbeidskosten]],"")))</f>
        <v/>
      </c>
      <c r="AR48" t="str">
        <f>IF(ISNUMBER(FIND("arbeid",Methode_Keuze)),"",IF(ISNUMBER(FIND("arbeid",Methode_Keuze)),"",IF(Tb_Activiteiten[[#This Row],[Arbeidskosten op basis van IKS]]=1,Tb_Activiteiten[[#Headers],[Arbeidskosten op basis van IKS]],"")))</f>
        <v/>
      </c>
      <c r="AS48" t="str">
        <f>IF(ISNUMBER(FIND("overige",Methode_Keuze)),"",IF(Tb_Activiteiten[[#This Row],[Kosten derden exclusief btw]]=1,Tb_Activiteiten[[#Headers],[Kosten derden exclusief btw]],""))</f>
        <v/>
      </c>
      <c r="AT48" t="str">
        <f>IF(ISNUMBER(FIND("overige",Methode_Keuze)),"",IF(Tb_Activiteiten[[#This Row],[Niet verrekenbare btw]]=1,Tb_Activiteiten[[#Headers],[Niet verrekenbare btw]],""))</f>
        <v/>
      </c>
      <c r="AU48" t="str">
        <f>IF(ISNUMBER(FIND("overige",Methode_Keuze)),"",IF(Tb_Activiteiten[[#This Row],[Grondkosten]]=1,Tb_Activiteiten[[#Headers],[Grondkosten]],""))</f>
        <v/>
      </c>
      <c r="AV48" t="str">
        <f>IF(ISNUMBER(FIND("overige",Methode_Keuze)),"",IF(Tb_Activiteiten[[#This Row],[Bijdrage in natura (overige)]]=1,Tb_Activiteiten[[#Headers],[Bijdrage in natura (overige)]],""))</f>
        <v/>
      </c>
      <c r="AW48" t="str">
        <f>IF(ISNUMBER(FIND("overige",Methode_Keuze)),"",IF(Tb_Activiteiten[[#This Row],[Bijdrage in natura (vrijwilligers)]]=1,Tb_Activiteiten[[#Headers],[Bijdrage in natura (vrijwilligers)]],""))</f>
        <v/>
      </c>
      <c r="AX48" t="str">
        <f>IF(ISNUMBER(FIND("overige",Methode_Keuze)),"",IF(Tb_Activiteiten[[#This Row],[Afschrijvingskosten]]=1,Tb_Activiteiten[[#Headers],[Afschrijvingskosten]],""))</f>
        <v/>
      </c>
      <c r="AY48" t="str">
        <f>IF(ISNUMBER(FIND("overige",Methode_Keuze)),"",IF(Tb_Activiteiten[[#This Row],[Vergoeding]]=1,Tb_Activiteiten[[#Headers],[Vergoeding]],""))</f>
        <v/>
      </c>
      <c r="AZ48" t="str">
        <f>IF(ISNUMBER(FIND("arbeid",Methode_Keuze)),"",IF(Tb_Activiteiten[[#This Row],[Arbeidskosten - vast tarief (excl eigen arbeid)]]=1,Tb_Activiteiten[[#Headers],[Arbeidskosten - vast tarief (excl eigen arbeid)]],""))</f>
        <v/>
      </c>
      <c r="BA48" t="str">
        <f>IF(ISNUMBER(FIND("overige",Methode_Keuze)),"",IF(Tb_Activiteiten[[#This Row],[Overige kosten]]=1,Tb_Activiteiten[[#Headers],[Overige kosten]],""))</f>
        <v/>
      </c>
    </row>
    <row r="49" spans="1:53" x14ac:dyDescent="0.25">
      <c r="A49" s="231"/>
      <c r="F49" s="64"/>
      <c r="G49" s="64"/>
      <c r="H49" s="275"/>
      <c r="I49" s="275"/>
      <c r="J49" s="275"/>
      <c r="K49" s="275"/>
      <c r="O49" s="56"/>
      <c r="Q49" t="str">
        <f>IFERROR(IF(VLOOKUP(Tb_Activiteiten[[#This Row],[Openstelling]],Tb_Openstelling[],2,0)=1,1,""),"")</f>
        <v/>
      </c>
      <c r="AK49" t="str">
        <f>IF(ISNUMBER(FIND("arbeid",Methode_Keuze)),"",IF(ISNUMBER(FIND("arbeid",Methode_Keuze)),"",IF(Tb_Activiteiten[[#This Row],[Loonkosten]]=1,Tb_Activiteiten[[#Headers],[Loonkosten]],"")))</f>
        <v/>
      </c>
      <c r="AL49" t="str">
        <f>IF(ISNUMBER(FIND("arbeid",Methode_Keuze)),"",IF(ISNUMBER(FIND("arbeid",Methode_Keuze)),"",IF(Tb_Activiteiten[[#This Row],[Eigen arbeid]]=1,Tb_Activiteiten[[#Headers],[Eigen arbeid]],"")))</f>
        <v/>
      </c>
      <c r="AM49" t="str">
        <f>IF(ISNUMBER(FIND("arbeid",Methode_Keuze)),"",IF(ISNUMBER(FIND("arbeid",Methode_Keuze)),"",IF(Tb_Activiteiten[[#This Row],[Projectmedewerker]]=1,Tb_Activiteiten[[#Headers],[Projectmedewerker]],"")))</f>
        <v/>
      </c>
      <c r="AN49" t="str">
        <f>IF(ISNUMBER(FIND("arbeid",Methode_Keuze)),"",IF(ISNUMBER(FIND("arbeid",Methode_Keuze)),"",IF(Tb_Activiteiten[[#This Row],[Landbouwer]]=1,Tb_Activiteiten[[#Headers],[Landbouwer]],"")))</f>
        <v/>
      </c>
      <c r="AO49" t="str">
        <f>IF(ISNUMBER(FIND("arbeid",Methode_Keuze)),"",IF(ISNUMBER(FIND("arbeid",Methode_Keuze)),"",IF(Tb_Activiteiten[[#This Row],[Adviseur]]=1,Tb_Activiteiten[[#Headers],[Adviseur]],"")))</f>
        <v/>
      </c>
      <c r="AP49" t="str">
        <f>IF(ISNUMBER(FIND("arbeid",Methode_Keuze)),"",IF(ISNUMBER(FIND("arbeid",Methode_Keuze)),"",IF(Tb_Activiteiten[[#This Row],[Projectleider/Expert]]=1,Tb_Activiteiten[[#Headers],[Projectleider/Expert]],"")))</f>
        <v/>
      </c>
      <c r="AQ49" t="str">
        <f>IF(ISNUMBER(FIND("arbeid",Methode_Keuze)),"",IF(ISNUMBER(FIND("arbeid",Methode_Keuze)),"",IF(Tb_Activiteiten[[#This Row],[Arbeidskosten]]=1,Tb_Activiteiten[[#Headers],[Arbeidskosten]],"")))</f>
        <v/>
      </c>
      <c r="AR49" t="str">
        <f>IF(ISNUMBER(FIND("arbeid",Methode_Keuze)),"",IF(ISNUMBER(FIND("arbeid",Methode_Keuze)),"",IF(Tb_Activiteiten[[#This Row],[Arbeidskosten op basis van IKS]]=1,Tb_Activiteiten[[#Headers],[Arbeidskosten op basis van IKS]],"")))</f>
        <v/>
      </c>
      <c r="AS49" t="str">
        <f>IF(ISNUMBER(FIND("overige",Methode_Keuze)),"",IF(Tb_Activiteiten[[#This Row],[Kosten derden exclusief btw]]=1,Tb_Activiteiten[[#Headers],[Kosten derden exclusief btw]],""))</f>
        <v/>
      </c>
      <c r="AT49" t="str">
        <f>IF(ISNUMBER(FIND("overige",Methode_Keuze)),"",IF(Tb_Activiteiten[[#This Row],[Niet verrekenbare btw]]=1,Tb_Activiteiten[[#Headers],[Niet verrekenbare btw]],""))</f>
        <v/>
      </c>
      <c r="AU49" t="str">
        <f>IF(ISNUMBER(FIND("overige",Methode_Keuze)),"",IF(Tb_Activiteiten[[#This Row],[Grondkosten]]=1,Tb_Activiteiten[[#Headers],[Grondkosten]],""))</f>
        <v/>
      </c>
      <c r="AV49" t="str">
        <f>IF(ISNUMBER(FIND("overige",Methode_Keuze)),"",IF(Tb_Activiteiten[[#This Row],[Bijdrage in natura (overige)]]=1,Tb_Activiteiten[[#Headers],[Bijdrage in natura (overige)]],""))</f>
        <v/>
      </c>
      <c r="AW49" t="str">
        <f>IF(ISNUMBER(FIND("overige",Methode_Keuze)),"",IF(Tb_Activiteiten[[#This Row],[Bijdrage in natura (vrijwilligers)]]=1,Tb_Activiteiten[[#Headers],[Bijdrage in natura (vrijwilligers)]],""))</f>
        <v/>
      </c>
      <c r="AX49" t="str">
        <f>IF(ISNUMBER(FIND("overige",Methode_Keuze)),"",IF(Tb_Activiteiten[[#This Row],[Afschrijvingskosten]]=1,Tb_Activiteiten[[#Headers],[Afschrijvingskosten]],""))</f>
        <v/>
      </c>
      <c r="AY49" t="str">
        <f>IF(ISNUMBER(FIND("overige",Methode_Keuze)),"",IF(Tb_Activiteiten[[#This Row],[Vergoeding]]=1,Tb_Activiteiten[[#Headers],[Vergoeding]],""))</f>
        <v/>
      </c>
      <c r="AZ49" t="str">
        <f>IF(ISNUMBER(FIND("arbeid",Methode_Keuze)),"",IF(Tb_Activiteiten[[#This Row],[Arbeidskosten - vast tarief (excl eigen arbeid)]]=1,Tb_Activiteiten[[#Headers],[Arbeidskosten - vast tarief (excl eigen arbeid)]],""))</f>
        <v/>
      </c>
      <c r="BA49" t="str">
        <f>IF(ISNUMBER(FIND("overige",Methode_Keuze)),"",IF(Tb_Activiteiten[[#This Row],[Overige kosten]]=1,Tb_Activiteiten[[#Headers],[Overige kosten]],""))</f>
        <v/>
      </c>
    </row>
    <row r="50" spans="1:53" x14ac:dyDescent="0.25">
      <c r="A50" s="231"/>
      <c r="F50" s="64"/>
      <c r="G50" s="64"/>
      <c r="H50" s="275"/>
      <c r="I50" s="275"/>
      <c r="J50" s="275"/>
      <c r="K50" s="275"/>
      <c r="O50" s="56"/>
      <c r="Q50" t="str">
        <f>IFERROR(IF(VLOOKUP(Tb_Activiteiten[[#This Row],[Openstelling]],Tb_Openstelling[],2,0)=1,1,""),"")</f>
        <v/>
      </c>
      <c r="AK50" t="str">
        <f>IF(ISNUMBER(FIND("arbeid",Methode_Keuze)),"",IF(ISNUMBER(FIND("arbeid",Methode_Keuze)),"",IF(Tb_Activiteiten[[#This Row],[Loonkosten]]=1,Tb_Activiteiten[[#Headers],[Loonkosten]],"")))</f>
        <v/>
      </c>
      <c r="AL50" t="str">
        <f>IF(ISNUMBER(FIND("arbeid",Methode_Keuze)),"",IF(ISNUMBER(FIND("arbeid",Methode_Keuze)),"",IF(Tb_Activiteiten[[#This Row],[Eigen arbeid]]=1,Tb_Activiteiten[[#Headers],[Eigen arbeid]],"")))</f>
        <v/>
      </c>
      <c r="AM50" t="str">
        <f>IF(ISNUMBER(FIND("arbeid",Methode_Keuze)),"",IF(ISNUMBER(FIND("arbeid",Methode_Keuze)),"",IF(Tb_Activiteiten[[#This Row],[Projectmedewerker]]=1,Tb_Activiteiten[[#Headers],[Projectmedewerker]],"")))</f>
        <v/>
      </c>
      <c r="AN50" t="str">
        <f>IF(ISNUMBER(FIND("arbeid",Methode_Keuze)),"",IF(ISNUMBER(FIND("arbeid",Methode_Keuze)),"",IF(Tb_Activiteiten[[#This Row],[Landbouwer]]=1,Tb_Activiteiten[[#Headers],[Landbouwer]],"")))</f>
        <v/>
      </c>
      <c r="AO50" t="str">
        <f>IF(ISNUMBER(FIND("arbeid",Methode_Keuze)),"",IF(ISNUMBER(FIND("arbeid",Methode_Keuze)),"",IF(Tb_Activiteiten[[#This Row],[Adviseur]]=1,Tb_Activiteiten[[#Headers],[Adviseur]],"")))</f>
        <v/>
      </c>
      <c r="AP50" t="str">
        <f>IF(ISNUMBER(FIND("arbeid",Methode_Keuze)),"",IF(ISNUMBER(FIND("arbeid",Methode_Keuze)),"",IF(Tb_Activiteiten[[#This Row],[Projectleider/Expert]]=1,Tb_Activiteiten[[#Headers],[Projectleider/Expert]],"")))</f>
        <v/>
      </c>
      <c r="AQ50" t="str">
        <f>IF(ISNUMBER(FIND("arbeid",Methode_Keuze)),"",IF(ISNUMBER(FIND("arbeid",Methode_Keuze)),"",IF(Tb_Activiteiten[[#This Row],[Arbeidskosten]]=1,Tb_Activiteiten[[#Headers],[Arbeidskosten]],"")))</f>
        <v/>
      </c>
      <c r="AR50" t="str">
        <f>IF(ISNUMBER(FIND("arbeid",Methode_Keuze)),"",IF(ISNUMBER(FIND("arbeid",Methode_Keuze)),"",IF(Tb_Activiteiten[[#This Row],[Arbeidskosten op basis van IKS]]=1,Tb_Activiteiten[[#Headers],[Arbeidskosten op basis van IKS]],"")))</f>
        <v/>
      </c>
      <c r="AS50" t="str">
        <f>IF(ISNUMBER(FIND("overige",Methode_Keuze)),"",IF(Tb_Activiteiten[[#This Row],[Kosten derden exclusief btw]]=1,Tb_Activiteiten[[#Headers],[Kosten derden exclusief btw]],""))</f>
        <v/>
      </c>
      <c r="AT50" t="str">
        <f>IF(ISNUMBER(FIND("overige",Methode_Keuze)),"",IF(Tb_Activiteiten[[#This Row],[Niet verrekenbare btw]]=1,Tb_Activiteiten[[#Headers],[Niet verrekenbare btw]],""))</f>
        <v/>
      </c>
      <c r="AU50" t="str">
        <f>IF(ISNUMBER(FIND("overige",Methode_Keuze)),"",IF(Tb_Activiteiten[[#This Row],[Grondkosten]]=1,Tb_Activiteiten[[#Headers],[Grondkosten]],""))</f>
        <v/>
      </c>
      <c r="AV50" t="str">
        <f>IF(ISNUMBER(FIND("overige",Methode_Keuze)),"",IF(Tb_Activiteiten[[#This Row],[Bijdrage in natura (overige)]]=1,Tb_Activiteiten[[#Headers],[Bijdrage in natura (overige)]],""))</f>
        <v/>
      </c>
      <c r="AW50" t="str">
        <f>IF(ISNUMBER(FIND("overige",Methode_Keuze)),"",IF(Tb_Activiteiten[[#This Row],[Bijdrage in natura (vrijwilligers)]]=1,Tb_Activiteiten[[#Headers],[Bijdrage in natura (vrijwilligers)]],""))</f>
        <v/>
      </c>
      <c r="AX50" t="str">
        <f>IF(ISNUMBER(FIND("overige",Methode_Keuze)),"",IF(Tb_Activiteiten[[#This Row],[Afschrijvingskosten]]=1,Tb_Activiteiten[[#Headers],[Afschrijvingskosten]],""))</f>
        <v/>
      </c>
      <c r="AY50" t="str">
        <f>IF(ISNUMBER(FIND("overige",Methode_Keuze)),"",IF(Tb_Activiteiten[[#This Row],[Vergoeding]]=1,Tb_Activiteiten[[#Headers],[Vergoeding]],""))</f>
        <v/>
      </c>
      <c r="AZ50" t="str">
        <f>IF(ISNUMBER(FIND("arbeid",Methode_Keuze)),"",IF(Tb_Activiteiten[[#This Row],[Arbeidskosten - vast tarief (excl eigen arbeid)]]=1,Tb_Activiteiten[[#Headers],[Arbeidskosten - vast tarief (excl eigen arbeid)]],""))</f>
        <v/>
      </c>
      <c r="BA50" t="str">
        <f>IF(ISNUMBER(FIND("overige",Methode_Keuze)),"",IF(Tb_Activiteiten[[#This Row],[Overige kosten]]=1,Tb_Activiteiten[[#Headers],[Overige kosten]],""))</f>
        <v/>
      </c>
    </row>
    <row r="51" spans="1:53" x14ac:dyDescent="0.25">
      <c r="A51" s="231"/>
      <c r="F51" s="64"/>
      <c r="G51" s="64"/>
      <c r="H51" s="275"/>
      <c r="I51" s="275"/>
      <c r="J51" s="275"/>
      <c r="K51" s="275"/>
      <c r="O51" s="56"/>
      <c r="Q51" t="str">
        <f>IFERROR(IF(VLOOKUP(Tb_Activiteiten[[#This Row],[Openstelling]],Tb_Openstelling[],2,0)=1,1,""),"")</f>
        <v/>
      </c>
      <c r="AK51" t="str">
        <f>IF(ISNUMBER(FIND("arbeid",Methode_Keuze)),"",IF(ISNUMBER(FIND("arbeid",Methode_Keuze)),"",IF(Tb_Activiteiten[[#This Row],[Loonkosten]]=1,Tb_Activiteiten[[#Headers],[Loonkosten]],"")))</f>
        <v/>
      </c>
      <c r="AL51" t="str">
        <f>IF(ISNUMBER(FIND("arbeid",Methode_Keuze)),"",IF(ISNUMBER(FIND("arbeid",Methode_Keuze)),"",IF(Tb_Activiteiten[[#This Row],[Eigen arbeid]]=1,Tb_Activiteiten[[#Headers],[Eigen arbeid]],"")))</f>
        <v/>
      </c>
      <c r="AM51" t="str">
        <f>IF(ISNUMBER(FIND("arbeid",Methode_Keuze)),"",IF(ISNUMBER(FIND("arbeid",Methode_Keuze)),"",IF(Tb_Activiteiten[[#This Row],[Projectmedewerker]]=1,Tb_Activiteiten[[#Headers],[Projectmedewerker]],"")))</f>
        <v/>
      </c>
      <c r="AN51" t="str">
        <f>IF(ISNUMBER(FIND("arbeid",Methode_Keuze)),"",IF(ISNUMBER(FIND("arbeid",Methode_Keuze)),"",IF(Tb_Activiteiten[[#This Row],[Landbouwer]]=1,Tb_Activiteiten[[#Headers],[Landbouwer]],"")))</f>
        <v/>
      </c>
      <c r="AO51" t="str">
        <f>IF(ISNUMBER(FIND("arbeid",Methode_Keuze)),"",IF(ISNUMBER(FIND("arbeid",Methode_Keuze)),"",IF(Tb_Activiteiten[[#This Row],[Adviseur]]=1,Tb_Activiteiten[[#Headers],[Adviseur]],"")))</f>
        <v/>
      </c>
      <c r="AP51" t="str">
        <f>IF(ISNUMBER(FIND("arbeid",Methode_Keuze)),"",IF(ISNUMBER(FIND("arbeid",Methode_Keuze)),"",IF(Tb_Activiteiten[[#This Row],[Projectleider/Expert]]=1,Tb_Activiteiten[[#Headers],[Projectleider/Expert]],"")))</f>
        <v/>
      </c>
      <c r="AQ51" t="str">
        <f>IF(ISNUMBER(FIND("arbeid",Methode_Keuze)),"",IF(ISNUMBER(FIND("arbeid",Methode_Keuze)),"",IF(Tb_Activiteiten[[#This Row],[Arbeidskosten]]=1,Tb_Activiteiten[[#Headers],[Arbeidskosten]],"")))</f>
        <v/>
      </c>
      <c r="AR51" t="str">
        <f>IF(ISNUMBER(FIND("arbeid",Methode_Keuze)),"",IF(ISNUMBER(FIND("arbeid",Methode_Keuze)),"",IF(Tb_Activiteiten[[#This Row],[Arbeidskosten op basis van IKS]]=1,Tb_Activiteiten[[#Headers],[Arbeidskosten op basis van IKS]],"")))</f>
        <v/>
      </c>
      <c r="AS51" t="str">
        <f>IF(ISNUMBER(FIND("overige",Methode_Keuze)),"",IF(Tb_Activiteiten[[#This Row],[Kosten derden exclusief btw]]=1,Tb_Activiteiten[[#Headers],[Kosten derden exclusief btw]],""))</f>
        <v/>
      </c>
      <c r="AT51" t="str">
        <f>IF(ISNUMBER(FIND("overige",Methode_Keuze)),"",IF(Tb_Activiteiten[[#This Row],[Niet verrekenbare btw]]=1,Tb_Activiteiten[[#Headers],[Niet verrekenbare btw]],""))</f>
        <v/>
      </c>
      <c r="AU51" t="str">
        <f>IF(ISNUMBER(FIND("overige",Methode_Keuze)),"",IF(Tb_Activiteiten[[#This Row],[Grondkosten]]=1,Tb_Activiteiten[[#Headers],[Grondkosten]],""))</f>
        <v/>
      </c>
      <c r="AV51" t="str">
        <f>IF(ISNUMBER(FIND("overige",Methode_Keuze)),"",IF(Tb_Activiteiten[[#This Row],[Bijdrage in natura (overige)]]=1,Tb_Activiteiten[[#Headers],[Bijdrage in natura (overige)]],""))</f>
        <v/>
      </c>
      <c r="AW51" t="str">
        <f>IF(ISNUMBER(FIND("overige",Methode_Keuze)),"",IF(Tb_Activiteiten[[#This Row],[Bijdrage in natura (vrijwilligers)]]=1,Tb_Activiteiten[[#Headers],[Bijdrage in natura (vrijwilligers)]],""))</f>
        <v/>
      </c>
      <c r="AX51" t="str">
        <f>IF(ISNUMBER(FIND("overige",Methode_Keuze)),"",IF(Tb_Activiteiten[[#This Row],[Afschrijvingskosten]]=1,Tb_Activiteiten[[#Headers],[Afschrijvingskosten]],""))</f>
        <v/>
      </c>
      <c r="AY51" t="str">
        <f>IF(ISNUMBER(FIND("overige",Methode_Keuze)),"",IF(Tb_Activiteiten[[#This Row],[Vergoeding]]=1,Tb_Activiteiten[[#Headers],[Vergoeding]],""))</f>
        <v/>
      </c>
      <c r="AZ51" t="str">
        <f>IF(ISNUMBER(FIND("arbeid",Methode_Keuze)),"",IF(Tb_Activiteiten[[#This Row],[Arbeidskosten - vast tarief (excl eigen arbeid)]]=1,Tb_Activiteiten[[#Headers],[Arbeidskosten - vast tarief (excl eigen arbeid)]],""))</f>
        <v/>
      </c>
      <c r="BA51" t="str">
        <f>IF(ISNUMBER(FIND("overige",Methode_Keuze)),"",IF(Tb_Activiteiten[[#This Row],[Overige kosten]]=1,Tb_Activiteiten[[#Headers],[Overige kosten]],""))</f>
        <v/>
      </c>
    </row>
    <row r="52" spans="1:53" x14ac:dyDescent="0.25">
      <c r="A52" s="231"/>
      <c r="F52" s="64"/>
      <c r="G52" s="64"/>
      <c r="H52" s="275"/>
      <c r="I52" s="275"/>
      <c r="J52" s="275"/>
      <c r="K52" s="275"/>
      <c r="O52" s="56"/>
      <c r="Q52" t="str">
        <f>IFERROR(IF(VLOOKUP(Tb_Activiteiten[[#This Row],[Openstelling]],Tb_Openstelling[],2,0)=1,1,""),"")</f>
        <v/>
      </c>
      <c r="AK52" t="str">
        <f>IF(ISNUMBER(FIND("arbeid",Methode_Keuze)),"",IF(ISNUMBER(FIND("arbeid",Methode_Keuze)),"",IF(Tb_Activiteiten[[#This Row],[Loonkosten]]=1,Tb_Activiteiten[[#Headers],[Loonkosten]],"")))</f>
        <v/>
      </c>
      <c r="AL52" t="str">
        <f>IF(ISNUMBER(FIND("arbeid",Methode_Keuze)),"",IF(ISNUMBER(FIND("arbeid",Methode_Keuze)),"",IF(Tb_Activiteiten[[#This Row],[Eigen arbeid]]=1,Tb_Activiteiten[[#Headers],[Eigen arbeid]],"")))</f>
        <v/>
      </c>
      <c r="AM52" t="str">
        <f>IF(ISNUMBER(FIND("arbeid",Methode_Keuze)),"",IF(ISNUMBER(FIND("arbeid",Methode_Keuze)),"",IF(Tb_Activiteiten[[#This Row],[Projectmedewerker]]=1,Tb_Activiteiten[[#Headers],[Projectmedewerker]],"")))</f>
        <v/>
      </c>
      <c r="AN52" t="str">
        <f>IF(ISNUMBER(FIND("arbeid",Methode_Keuze)),"",IF(ISNUMBER(FIND("arbeid",Methode_Keuze)),"",IF(Tb_Activiteiten[[#This Row],[Landbouwer]]=1,Tb_Activiteiten[[#Headers],[Landbouwer]],"")))</f>
        <v/>
      </c>
      <c r="AO52" t="str">
        <f>IF(ISNUMBER(FIND("arbeid",Methode_Keuze)),"",IF(ISNUMBER(FIND("arbeid",Methode_Keuze)),"",IF(Tb_Activiteiten[[#This Row],[Adviseur]]=1,Tb_Activiteiten[[#Headers],[Adviseur]],"")))</f>
        <v/>
      </c>
      <c r="AP52" t="str">
        <f>IF(ISNUMBER(FIND("arbeid",Methode_Keuze)),"",IF(ISNUMBER(FIND("arbeid",Methode_Keuze)),"",IF(Tb_Activiteiten[[#This Row],[Projectleider/Expert]]=1,Tb_Activiteiten[[#Headers],[Projectleider/Expert]],"")))</f>
        <v/>
      </c>
      <c r="AQ52" t="str">
        <f>IF(ISNUMBER(FIND("arbeid",Methode_Keuze)),"",IF(ISNUMBER(FIND("arbeid",Methode_Keuze)),"",IF(Tb_Activiteiten[[#This Row],[Arbeidskosten]]=1,Tb_Activiteiten[[#Headers],[Arbeidskosten]],"")))</f>
        <v/>
      </c>
      <c r="AR52" t="str">
        <f>IF(ISNUMBER(FIND("arbeid",Methode_Keuze)),"",IF(ISNUMBER(FIND("arbeid",Methode_Keuze)),"",IF(Tb_Activiteiten[[#This Row],[Arbeidskosten op basis van IKS]]=1,Tb_Activiteiten[[#Headers],[Arbeidskosten op basis van IKS]],"")))</f>
        <v/>
      </c>
      <c r="AS52" t="str">
        <f>IF(ISNUMBER(FIND("overige",Methode_Keuze)),"",IF(Tb_Activiteiten[[#This Row],[Kosten derden exclusief btw]]=1,Tb_Activiteiten[[#Headers],[Kosten derden exclusief btw]],""))</f>
        <v/>
      </c>
      <c r="AT52" t="str">
        <f>IF(ISNUMBER(FIND("overige",Methode_Keuze)),"",IF(Tb_Activiteiten[[#This Row],[Niet verrekenbare btw]]=1,Tb_Activiteiten[[#Headers],[Niet verrekenbare btw]],""))</f>
        <v/>
      </c>
      <c r="AU52" t="str">
        <f>IF(ISNUMBER(FIND("overige",Methode_Keuze)),"",IF(Tb_Activiteiten[[#This Row],[Grondkosten]]=1,Tb_Activiteiten[[#Headers],[Grondkosten]],""))</f>
        <v/>
      </c>
      <c r="AV52" t="str">
        <f>IF(ISNUMBER(FIND("overige",Methode_Keuze)),"",IF(Tb_Activiteiten[[#This Row],[Bijdrage in natura (overige)]]=1,Tb_Activiteiten[[#Headers],[Bijdrage in natura (overige)]],""))</f>
        <v/>
      </c>
      <c r="AW52" t="str">
        <f>IF(ISNUMBER(FIND("overige",Methode_Keuze)),"",IF(Tb_Activiteiten[[#This Row],[Bijdrage in natura (vrijwilligers)]]=1,Tb_Activiteiten[[#Headers],[Bijdrage in natura (vrijwilligers)]],""))</f>
        <v/>
      </c>
      <c r="AX52" t="str">
        <f>IF(ISNUMBER(FIND("overige",Methode_Keuze)),"",IF(Tb_Activiteiten[[#This Row],[Afschrijvingskosten]]=1,Tb_Activiteiten[[#Headers],[Afschrijvingskosten]],""))</f>
        <v/>
      </c>
      <c r="AY52" t="str">
        <f>IF(ISNUMBER(FIND("overige",Methode_Keuze)),"",IF(Tb_Activiteiten[[#This Row],[Vergoeding]]=1,Tb_Activiteiten[[#Headers],[Vergoeding]],""))</f>
        <v/>
      </c>
      <c r="AZ52" t="str">
        <f>IF(ISNUMBER(FIND("arbeid",Methode_Keuze)),"",IF(Tb_Activiteiten[[#This Row],[Arbeidskosten - vast tarief (excl eigen arbeid)]]=1,Tb_Activiteiten[[#Headers],[Arbeidskosten - vast tarief (excl eigen arbeid)]],""))</f>
        <v/>
      </c>
      <c r="BA52" t="str">
        <f>IF(ISNUMBER(FIND("overige",Methode_Keuze)),"",IF(Tb_Activiteiten[[#This Row],[Overige kosten]]=1,Tb_Activiteiten[[#Headers],[Overige kosten]],""))</f>
        <v/>
      </c>
    </row>
    <row r="53" spans="1:53" x14ac:dyDescent="0.25">
      <c r="A53" s="231"/>
      <c r="F53" s="64"/>
      <c r="G53" s="64"/>
      <c r="H53" s="275"/>
      <c r="I53" s="275"/>
      <c r="J53" s="275"/>
      <c r="K53" s="275"/>
      <c r="O53" s="56"/>
      <c r="Q53" t="str">
        <f>IFERROR(IF(VLOOKUP(Tb_Activiteiten[[#This Row],[Openstelling]],Tb_Openstelling[],2,0)=1,1,""),"")</f>
        <v/>
      </c>
      <c r="AK53" t="str">
        <f>IF(ISNUMBER(FIND("arbeid",Methode_Keuze)),"",IF(ISNUMBER(FIND("arbeid",Methode_Keuze)),"",IF(Tb_Activiteiten[[#This Row],[Loonkosten]]=1,Tb_Activiteiten[[#Headers],[Loonkosten]],"")))</f>
        <v/>
      </c>
      <c r="AL53" t="str">
        <f>IF(ISNUMBER(FIND("arbeid",Methode_Keuze)),"",IF(ISNUMBER(FIND("arbeid",Methode_Keuze)),"",IF(Tb_Activiteiten[[#This Row],[Eigen arbeid]]=1,Tb_Activiteiten[[#Headers],[Eigen arbeid]],"")))</f>
        <v/>
      </c>
      <c r="AM53" t="str">
        <f>IF(ISNUMBER(FIND("arbeid",Methode_Keuze)),"",IF(ISNUMBER(FIND("arbeid",Methode_Keuze)),"",IF(Tb_Activiteiten[[#This Row],[Projectmedewerker]]=1,Tb_Activiteiten[[#Headers],[Projectmedewerker]],"")))</f>
        <v/>
      </c>
      <c r="AN53" t="str">
        <f>IF(ISNUMBER(FIND("arbeid",Methode_Keuze)),"",IF(ISNUMBER(FIND("arbeid",Methode_Keuze)),"",IF(Tb_Activiteiten[[#This Row],[Landbouwer]]=1,Tb_Activiteiten[[#Headers],[Landbouwer]],"")))</f>
        <v/>
      </c>
      <c r="AO53" t="str">
        <f>IF(ISNUMBER(FIND("arbeid",Methode_Keuze)),"",IF(ISNUMBER(FIND("arbeid",Methode_Keuze)),"",IF(Tb_Activiteiten[[#This Row],[Adviseur]]=1,Tb_Activiteiten[[#Headers],[Adviseur]],"")))</f>
        <v/>
      </c>
      <c r="AP53" t="str">
        <f>IF(ISNUMBER(FIND("arbeid",Methode_Keuze)),"",IF(ISNUMBER(FIND("arbeid",Methode_Keuze)),"",IF(Tb_Activiteiten[[#This Row],[Projectleider/Expert]]=1,Tb_Activiteiten[[#Headers],[Projectleider/Expert]],"")))</f>
        <v/>
      </c>
      <c r="AQ53" t="str">
        <f>IF(ISNUMBER(FIND("arbeid",Methode_Keuze)),"",IF(ISNUMBER(FIND("arbeid",Methode_Keuze)),"",IF(Tb_Activiteiten[[#This Row],[Arbeidskosten]]=1,Tb_Activiteiten[[#Headers],[Arbeidskosten]],"")))</f>
        <v/>
      </c>
      <c r="AR53" t="str">
        <f>IF(ISNUMBER(FIND("arbeid",Methode_Keuze)),"",IF(ISNUMBER(FIND("arbeid",Methode_Keuze)),"",IF(Tb_Activiteiten[[#This Row],[Arbeidskosten op basis van IKS]]=1,Tb_Activiteiten[[#Headers],[Arbeidskosten op basis van IKS]],"")))</f>
        <v/>
      </c>
      <c r="AS53" t="str">
        <f>IF(ISNUMBER(FIND("overige",Methode_Keuze)),"",IF(Tb_Activiteiten[[#This Row],[Kosten derden exclusief btw]]=1,Tb_Activiteiten[[#Headers],[Kosten derden exclusief btw]],""))</f>
        <v/>
      </c>
      <c r="AT53" t="str">
        <f>IF(ISNUMBER(FIND("overige",Methode_Keuze)),"",IF(Tb_Activiteiten[[#This Row],[Niet verrekenbare btw]]=1,Tb_Activiteiten[[#Headers],[Niet verrekenbare btw]],""))</f>
        <v/>
      </c>
      <c r="AU53" t="str">
        <f>IF(ISNUMBER(FIND("overige",Methode_Keuze)),"",IF(Tb_Activiteiten[[#This Row],[Grondkosten]]=1,Tb_Activiteiten[[#Headers],[Grondkosten]],""))</f>
        <v/>
      </c>
      <c r="AV53" t="str">
        <f>IF(ISNUMBER(FIND("overige",Methode_Keuze)),"",IF(Tb_Activiteiten[[#This Row],[Bijdrage in natura (overige)]]=1,Tb_Activiteiten[[#Headers],[Bijdrage in natura (overige)]],""))</f>
        <v/>
      </c>
      <c r="AW53" t="str">
        <f>IF(ISNUMBER(FIND("overige",Methode_Keuze)),"",IF(Tb_Activiteiten[[#This Row],[Bijdrage in natura (vrijwilligers)]]=1,Tb_Activiteiten[[#Headers],[Bijdrage in natura (vrijwilligers)]],""))</f>
        <v/>
      </c>
      <c r="AX53" t="str">
        <f>IF(ISNUMBER(FIND("overige",Methode_Keuze)),"",IF(Tb_Activiteiten[[#This Row],[Afschrijvingskosten]]=1,Tb_Activiteiten[[#Headers],[Afschrijvingskosten]],""))</f>
        <v/>
      </c>
      <c r="AY53" t="str">
        <f>IF(ISNUMBER(FIND("overige",Methode_Keuze)),"",IF(Tb_Activiteiten[[#This Row],[Vergoeding]]=1,Tb_Activiteiten[[#Headers],[Vergoeding]],""))</f>
        <v/>
      </c>
      <c r="AZ53" t="str">
        <f>IF(ISNUMBER(FIND("arbeid",Methode_Keuze)),"",IF(Tb_Activiteiten[[#This Row],[Arbeidskosten - vast tarief (excl eigen arbeid)]]=1,Tb_Activiteiten[[#Headers],[Arbeidskosten - vast tarief (excl eigen arbeid)]],""))</f>
        <v/>
      </c>
      <c r="BA53" t="str">
        <f>IF(ISNUMBER(FIND("overige",Methode_Keuze)),"",IF(Tb_Activiteiten[[#This Row],[Overige kosten]]=1,Tb_Activiteiten[[#Headers],[Overige kosten]],""))</f>
        <v/>
      </c>
    </row>
    <row r="54" spans="1:53" x14ac:dyDescent="0.25">
      <c r="A54" s="231"/>
      <c r="F54" s="64"/>
      <c r="G54" s="64"/>
      <c r="H54" s="275"/>
      <c r="I54" s="275"/>
      <c r="J54" s="275"/>
      <c r="K54" s="275"/>
      <c r="O54" s="56"/>
      <c r="Q54" t="str">
        <f>IFERROR(IF(VLOOKUP(Tb_Activiteiten[[#This Row],[Openstelling]],Tb_Openstelling[],2,0)=1,1,""),"")</f>
        <v/>
      </c>
      <c r="AK54" t="str">
        <f>IF(ISNUMBER(FIND("arbeid",Methode_Keuze)),"",IF(ISNUMBER(FIND("arbeid",Methode_Keuze)),"",IF(Tb_Activiteiten[[#This Row],[Loonkosten]]=1,Tb_Activiteiten[[#Headers],[Loonkosten]],"")))</f>
        <v/>
      </c>
      <c r="AL54" t="str">
        <f>IF(ISNUMBER(FIND("arbeid",Methode_Keuze)),"",IF(ISNUMBER(FIND("arbeid",Methode_Keuze)),"",IF(Tb_Activiteiten[[#This Row],[Eigen arbeid]]=1,Tb_Activiteiten[[#Headers],[Eigen arbeid]],"")))</f>
        <v/>
      </c>
      <c r="AM54" t="str">
        <f>IF(ISNUMBER(FIND("arbeid",Methode_Keuze)),"",IF(ISNUMBER(FIND("arbeid",Methode_Keuze)),"",IF(Tb_Activiteiten[[#This Row],[Projectmedewerker]]=1,Tb_Activiteiten[[#Headers],[Projectmedewerker]],"")))</f>
        <v/>
      </c>
      <c r="AN54" t="str">
        <f>IF(ISNUMBER(FIND("arbeid",Methode_Keuze)),"",IF(ISNUMBER(FIND("arbeid",Methode_Keuze)),"",IF(Tb_Activiteiten[[#This Row],[Landbouwer]]=1,Tb_Activiteiten[[#Headers],[Landbouwer]],"")))</f>
        <v/>
      </c>
      <c r="AO54" t="str">
        <f>IF(ISNUMBER(FIND("arbeid",Methode_Keuze)),"",IF(ISNUMBER(FIND("arbeid",Methode_Keuze)),"",IF(Tb_Activiteiten[[#This Row],[Adviseur]]=1,Tb_Activiteiten[[#Headers],[Adviseur]],"")))</f>
        <v/>
      </c>
      <c r="AP54" t="str">
        <f>IF(ISNUMBER(FIND("arbeid",Methode_Keuze)),"",IF(ISNUMBER(FIND("arbeid",Methode_Keuze)),"",IF(Tb_Activiteiten[[#This Row],[Projectleider/Expert]]=1,Tb_Activiteiten[[#Headers],[Projectleider/Expert]],"")))</f>
        <v/>
      </c>
      <c r="AQ54" t="str">
        <f>IF(ISNUMBER(FIND("arbeid",Methode_Keuze)),"",IF(ISNUMBER(FIND("arbeid",Methode_Keuze)),"",IF(Tb_Activiteiten[[#This Row],[Arbeidskosten]]=1,Tb_Activiteiten[[#Headers],[Arbeidskosten]],"")))</f>
        <v/>
      </c>
      <c r="AR54" t="str">
        <f>IF(ISNUMBER(FIND("arbeid",Methode_Keuze)),"",IF(ISNUMBER(FIND("arbeid",Methode_Keuze)),"",IF(Tb_Activiteiten[[#This Row],[Arbeidskosten op basis van IKS]]=1,Tb_Activiteiten[[#Headers],[Arbeidskosten op basis van IKS]],"")))</f>
        <v/>
      </c>
      <c r="AS54" t="str">
        <f>IF(ISNUMBER(FIND("overige",Methode_Keuze)),"",IF(Tb_Activiteiten[[#This Row],[Kosten derden exclusief btw]]=1,Tb_Activiteiten[[#Headers],[Kosten derden exclusief btw]],""))</f>
        <v/>
      </c>
      <c r="AT54" t="str">
        <f>IF(ISNUMBER(FIND("overige",Methode_Keuze)),"",IF(Tb_Activiteiten[[#This Row],[Niet verrekenbare btw]]=1,Tb_Activiteiten[[#Headers],[Niet verrekenbare btw]],""))</f>
        <v/>
      </c>
      <c r="AU54" t="str">
        <f>IF(ISNUMBER(FIND("overige",Methode_Keuze)),"",IF(Tb_Activiteiten[[#This Row],[Grondkosten]]=1,Tb_Activiteiten[[#Headers],[Grondkosten]],""))</f>
        <v/>
      </c>
      <c r="AV54" t="str">
        <f>IF(ISNUMBER(FIND("overige",Methode_Keuze)),"",IF(Tb_Activiteiten[[#This Row],[Bijdrage in natura (overige)]]=1,Tb_Activiteiten[[#Headers],[Bijdrage in natura (overige)]],""))</f>
        <v/>
      </c>
      <c r="AW54" t="str">
        <f>IF(ISNUMBER(FIND("overige",Methode_Keuze)),"",IF(Tb_Activiteiten[[#This Row],[Bijdrage in natura (vrijwilligers)]]=1,Tb_Activiteiten[[#Headers],[Bijdrage in natura (vrijwilligers)]],""))</f>
        <v/>
      </c>
      <c r="AX54" t="str">
        <f>IF(ISNUMBER(FIND("overige",Methode_Keuze)),"",IF(Tb_Activiteiten[[#This Row],[Afschrijvingskosten]]=1,Tb_Activiteiten[[#Headers],[Afschrijvingskosten]],""))</f>
        <v/>
      </c>
      <c r="AY54" t="str">
        <f>IF(ISNUMBER(FIND("overige",Methode_Keuze)),"",IF(Tb_Activiteiten[[#This Row],[Vergoeding]]=1,Tb_Activiteiten[[#Headers],[Vergoeding]],""))</f>
        <v/>
      </c>
      <c r="AZ54" t="str">
        <f>IF(ISNUMBER(FIND("arbeid",Methode_Keuze)),"",IF(Tb_Activiteiten[[#This Row],[Arbeidskosten - vast tarief (excl eigen arbeid)]]=1,Tb_Activiteiten[[#Headers],[Arbeidskosten - vast tarief (excl eigen arbeid)]],""))</f>
        <v/>
      </c>
      <c r="BA54" t="str">
        <f>IF(ISNUMBER(FIND("overige",Methode_Keuze)),"",IF(Tb_Activiteiten[[#This Row],[Overige kosten]]=1,Tb_Activiteiten[[#Headers],[Overige kosten]],""))</f>
        <v/>
      </c>
    </row>
    <row r="55" spans="1:53" x14ac:dyDescent="0.25">
      <c r="A55" s="231"/>
      <c r="F55" s="64"/>
      <c r="G55" s="64"/>
      <c r="H55" s="275"/>
      <c r="I55" s="275"/>
      <c r="J55" s="275"/>
      <c r="K55" s="275"/>
      <c r="O55" s="56"/>
      <c r="Q55" t="str">
        <f>IFERROR(IF(VLOOKUP(Tb_Activiteiten[[#This Row],[Openstelling]],Tb_Openstelling[],2,0)=1,1,""),"")</f>
        <v/>
      </c>
      <c r="AK55" t="str">
        <f>IF(ISNUMBER(FIND("arbeid",Methode_Keuze)),"",IF(ISNUMBER(FIND("arbeid",Methode_Keuze)),"",IF(Tb_Activiteiten[[#This Row],[Loonkosten]]=1,Tb_Activiteiten[[#Headers],[Loonkosten]],"")))</f>
        <v/>
      </c>
      <c r="AL55" t="str">
        <f>IF(ISNUMBER(FIND("arbeid",Methode_Keuze)),"",IF(ISNUMBER(FIND("arbeid",Methode_Keuze)),"",IF(Tb_Activiteiten[[#This Row],[Eigen arbeid]]=1,Tb_Activiteiten[[#Headers],[Eigen arbeid]],"")))</f>
        <v/>
      </c>
      <c r="AM55" t="str">
        <f>IF(ISNUMBER(FIND("arbeid",Methode_Keuze)),"",IF(ISNUMBER(FIND("arbeid",Methode_Keuze)),"",IF(Tb_Activiteiten[[#This Row],[Projectmedewerker]]=1,Tb_Activiteiten[[#Headers],[Projectmedewerker]],"")))</f>
        <v/>
      </c>
      <c r="AN55" t="str">
        <f>IF(ISNUMBER(FIND("arbeid",Methode_Keuze)),"",IF(ISNUMBER(FIND("arbeid",Methode_Keuze)),"",IF(Tb_Activiteiten[[#This Row],[Landbouwer]]=1,Tb_Activiteiten[[#Headers],[Landbouwer]],"")))</f>
        <v/>
      </c>
      <c r="AO55" t="str">
        <f>IF(ISNUMBER(FIND("arbeid",Methode_Keuze)),"",IF(ISNUMBER(FIND("arbeid",Methode_Keuze)),"",IF(Tb_Activiteiten[[#This Row],[Adviseur]]=1,Tb_Activiteiten[[#Headers],[Adviseur]],"")))</f>
        <v/>
      </c>
      <c r="AP55" t="str">
        <f>IF(ISNUMBER(FIND("arbeid",Methode_Keuze)),"",IF(ISNUMBER(FIND("arbeid",Methode_Keuze)),"",IF(Tb_Activiteiten[[#This Row],[Projectleider/Expert]]=1,Tb_Activiteiten[[#Headers],[Projectleider/Expert]],"")))</f>
        <v/>
      </c>
      <c r="AQ55" t="str">
        <f>IF(ISNUMBER(FIND("arbeid",Methode_Keuze)),"",IF(ISNUMBER(FIND("arbeid",Methode_Keuze)),"",IF(Tb_Activiteiten[[#This Row],[Arbeidskosten]]=1,Tb_Activiteiten[[#Headers],[Arbeidskosten]],"")))</f>
        <v/>
      </c>
      <c r="AR55" t="str">
        <f>IF(ISNUMBER(FIND("arbeid",Methode_Keuze)),"",IF(ISNUMBER(FIND("arbeid",Methode_Keuze)),"",IF(Tb_Activiteiten[[#This Row],[Arbeidskosten op basis van IKS]]=1,Tb_Activiteiten[[#Headers],[Arbeidskosten op basis van IKS]],"")))</f>
        <v/>
      </c>
      <c r="AS55" t="str">
        <f>IF(ISNUMBER(FIND("overige",Methode_Keuze)),"",IF(Tb_Activiteiten[[#This Row],[Kosten derden exclusief btw]]=1,Tb_Activiteiten[[#Headers],[Kosten derden exclusief btw]],""))</f>
        <v/>
      </c>
      <c r="AT55" t="str">
        <f>IF(ISNUMBER(FIND("overige",Methode_Keuze)),"",IF(Tb_Activiteiten[[#This Row],[Niet verrekenbare btw]]=1,Tb_Activiteiten[[#Headers],[Niet verrekenbare btw]],""))</f>
        <v/>
      </c>
      <c r="AU55" t="str">
        <f>IF(ISNUMBER(FIND("overige",Methode_Keuze)),"",IF(Tb_Activiteiten[[#This Row],[Grondkosten]]=1,Tb_Activiteiten[[#Headers],[Grondkosten]],""))</f>
        <v/>
      </c>
      <c r="AV55" t="str">
        <f>IF(ISNUMBER(FIND("overige",Methode_Keuze)),"",IF(Tb_Activiteiten[[#This Row],[Bijdrage in natura (overige)]]=1,Tb_Activiteiten[[#Headers],[Bijdrage in natura (overige)]],""))</f>
        <v/>
      </c>
      <c r="AW55" t="str">
        <f>IF(ISNUMBER(FIND("overige",Methode_Keuze)),"",IF(Tb_Activiteiten[[#This Row],[Bijdrage in natura (vrijwilligers)]]=1,Tb_Activiteiten[[#Headers],[Bijdrage in natura (vrijwilligers)]],""))</f>
        <v/>
      </c>
      <c r="AX55" t="str">
        <f>IF(ISNUMBER(FIND("overige",Methode_Keuze)),"",IF(Tb_Activiteiten[[#This Row],[Afschrijvingskosten]]=1,Tb_Activiteiten[[#Headers],[Afschrijvingskosten]],""))</f>
        <v/>
      </c>
      <c r="AY55" t="str">
        <f>IF(ISNUMBER(FIND("overige",Methode_Keuze)),"",IF(Tb_Activiteiten[[#This Row],[Vergoeding]]=1,Tb_Activiteiten[[#Headers],[Vergoeding]],""))</f>
        <v/>
      </c>
      <c r="AZ55" t="str">
        <f>IF(ISNUMBER(FIND("arbeid",Methode_Keuze)),"",IF(Tb_Activiteiten[[#This Row],[Arbeidskosten - vast tarief (excl eigen arbeid)]]=1,Tb_Activiteiten[[#Headers],[Arbeidskosten - vast tarief (excl eigen arbeid)]],""))</f>
        <v/>
      </c>
      <c r="BA55" t="str">
        <f>IF(ISNUMBER(FIND("overige",Methode_Keuze)),"",IF(Tb_Activiteiten[[#This Row],[Overige kosten]]=1,Tb_Activiteiten[[#Headers],[Overige kosten]],""))</f>
        <v/>
      </c>
    </row>
    <row r="56" spans="1:53" x14ac:dyDescent="0.25">
      <c r="A56" s="231"/>
      <c r="F56" s="64"/>
      <c r="G56" s="64"/>
      <c r="H56" s="275"/>
      <c r="I56" s="275"/>
      <c r="J56" s="275"/>
      <c r="K56" s="275"/>
      <c r="O56" s="56"/>
      <c r="Q56" t="str">
        <f>IFERROR(IF(VLOOKUP(Tb_Activiteiten[[#This Row],[Openstelling]],Tb_Openstelling[],2,0)=1,1,""),"")</f>
        <v/>
      </c>
      <c r="AK56" t="str">
        <f>IF(ISNUMBER(FIND("arbeid",Methode_Keuze)),"",IF(ISNUMBER(FIND("arbeid",Methode_Keuze)),"",IF(Tb_Activiteiten[[#This Row],[Loonkosten]]=1,Tb_Activiteiten[[#Headers],[Loonkosten]],"")))</f>
        <v/>
      </c>
      <c r="AL56" t="str">
        <f>IF(ISNUMBER(FIND("arbeid",Methode_Keuze)),"",IF(ISNUMBER(FIND("arbeid",Methode_Keuze)),"",IF(Tb_Activiteiten[[#This Row],[Eigen arbeid]]=1,Tb_Activiteiten[[#Headers],[Eigen arbeid]],"")))</f>
        <v/>
      </c>
      <c r="AM56" t="str">
        <f>IF(ISNUMBER(FIND("arbeid",Methode_Keuze)),"",IF(ISNUMBER(FIND("arbeid",Methode_Keuze)),"",IF(Tb_Activiteiten[[#This Row],[Projectmedewerker]]=1,Tb_Activiteiten[[#Headers],[Projectmedewerker]],"")))</f>
        <v/>
      </c>
      <c r="AN56" t="str">
        <f>IF(ISNUMBER(FIND("arbeid",Methode_Keuze)),"",IF(ISNUMBER(FIND("arbeid",Methode_Keuze)),"",IF(Tb_Activiteiten[[#This Row],[Landbouwer]]=1,Tb_Activiteiten[[#Headers],[Landbouwer]],"")))</f>
        <v/>
      </c>
      <c r="AO56" t="str">
        <f>IF(ISNUMBER(FIND("arbeid",Methode_Keuze)),"",IF(ISNUMBER(FIND("arbeid",Methode_Keuze)),"",IF(Tb_Activiteiten[[#This Row],[Adviseur]]=1,Tb_Activiteiten[[#Headers],[Adviseur]],"")))</f>
        <v/>
      </c>
      <c r="AP56" t="str">
        <f>IF(ISNUMBER(FIND("arbeid",Methode_Keuze)),"",IF(ISNUMBER(FIND("arbeid",Methode_Keuze)),"",IF(Tb_Activiteiten[[#This Row],[Projectleider/Expert]]=1,Tb_Activiteiten[[#Headers],[Projectleider/Expert]],"")))</f>
        <v/>
      </c>
      <c r="AQ56" t="str">
        <f>IF(ISNUMBER(FIND("arbeid",Methode_Keuze)),"",IF(ISNUMBER(FIND("arbeid",Methode_Keuze)),"",IF(Tb_Activiteiten[[#This Row],[Arbeidskosten]]=1,Tb_Activiteiten[[#Headers],[Arbeidskosten]],"")))</f>
        <v/>
      </c>
      <c r="AR56" t="str">
        <f>IF(ISNUMBER(FIND("arbeid",Methode_Keuze)),"",IF(ISNUMBER(FIND("arbeid",Methode_Keuze)),"",IF(Tb_Activiteiten[[#This Row],[Arbeidskosten op basis van IKS]]=1,Tb_Activiteiten[[#Headers],[Arbeidskosten op basis van IKS]],"")))</f>
        <v/>
      </c>
      <c r="AS56" t="str">
        <f>IF(ISNUMBER(FIND("overige",Methode_Keuze)),"",IF(Tb_Activiteiten[[#This Row],[Kosten derden exclusief btw]]=1,Tb_Activiteiten[[#Headers],[Kosten derden exclusief btw]],""))</f>
        <v/>
      </c>
      <c r="AT56" t="str">
        <f>IF(ISNUMBER(FIND("overige",Methode_Keuze)),"",IF(Tb_Activiteiten[[#This Row],[Niet verrekenbare btw]]=1,Tb_Activiteiten[[#Headers],[Niet verrekenbare btw]],""))</f>
        <v/>
      </c>
      <c r="AU56" t="str">
        <f>IF(ISNUMBER(FIND("overige",Methode_Keuze)),"",IF(Tb_Activiteiten[[#This Row],[Grondkosten]]=1,Tb_Activiteiten[[#Headers],[Grondkosten]],""))</f>
        <v/>
      </c>
      <c r="AV56" t="str">
        <f>IF(ISNUMBER(FIND("overige",Methode_Keuze)),"",IF(Tb_Activiteiten[[#This Row],[Bijdrage in natura (overige)]]=1,Tb_Activiteiten[[#Headers],[Bijdrage in natura (overige)]],""))</f>
        <v/>
      </c>
      <c r="AW56" t="str">
        <f>IF(ISNUMBER(FIND("overige",Methode_Keuze)),"",IF(Tb_Activiteiten[[#This Row],[Bijdrage in natura (vrijwilligers)]]=1,Tb_Activiteiten[[#Headers],[Bijdrage in natura (vrijwilligers)]],""))</f>
        <v/>
      </c>
      <c r="AX56" t="str">
        <f>IF(ISNUMBER(FIND("overige",Methode_Keuze)),"",IF(Tb_Activiteiten[[#This Row],[Afschrijvingskosten]]=1,Tb_Activiteiten[[#Headers],[Afschrijvingskosten]],""))</f>
        <v/>
      </c>
      <c r="AY56" t="str">
        <f>IF(ISNUMBER(FIND("overige",Methode_Keuze)),"",IF(Tb_Activiteiten[[#This Row],[Vergoeding]]=1,Tb_Activiteiten[[#Headers],[Vergoeding]],""))</f>
        <v/>
      </c>
      <c r="AZ56" t="str">
        <f>IF(ISNUMBER(FIND("arbeid",Methode_Keuze)),"",IF(Tb_Activiteiten[[#This Row],[Arbeidskosten - vast tarief (excl eigen arbeid)]]=1,Tb_Activiteiten[[#Headers],[Arbeidskosten - vast tarief (excl eigen arbeid)]],""))</f>
        <v/>
      </c>
      <c r="BA56" t="str">
        <f>IF(ISNUMBER(FIND("overige",Methode_Keuze)),"",IF(Tb_Activiteiten[[#This Row],[Overige kosten]]=1,Tb_Activiteiten[[#Headers],[Overige kosten]],""))</f>
        <v/>
      </c>
    </row>
    <row r="57" spans="1:53" x14ac:dyDescent="0.25">
      <c r="A57" s="231"/>
      <c r="F57" s="64"/>
      <c r="G57" s="64"/>
      <c r="H57" s="275"/>
      <c r="I57" s="275"/>
      <c r="J57" s="275"/>
      <c r="K57" s="275"/>
      <c r="O57" s="56"/>
      <c r="Q57" t="str">
        <f>IFERROR(IF(VLOOKUP(Tb_Activiteiten[[#This Row],[Openstelling]],Tb_Openstelling[],2,0)=1,1,""),"")</f>
        <v/>
      </c>
      <c r="AK57" t="str">
        <f>IF(ISNUMBER(FIND("arbeid",Methode_Keuze)),"",IF(ISNUMBER(FIND("arbeid",Methode_Keuze)),"",IF(Tb_Activiteiten[[#This Row],[Loonkosten]]=1,Tb_Activiteiten[[#Headers],[Loonkosten]],"")))</f>
        <v/>
      </c>
      <c r="AL57" t="str">
        <f>IF(ISNUMBER(FIND("arbeid",Methode_Keuze)),"",IF(ISNUMBER(FIND("arbeid",Methode_Keuze)),"",IF(Tb_Activiteiten[[#This Row],[Eigen arbeid]]=1,Tb_Activiteiten[[#Headers],[Eigen arbeid]],"")))</f>
        <v/>
      </c>
      <c r="AM57" t="str">
        <f>IF(ISNUMBER(FIND("arbeid",Methode_Keuze)),"",IF(ISNUMBER(FIND("arbeid",Methode_Keuze)),"",IF(Tb_Activiteiten[[#This Row],[Projectmedewerker]]=1,Tb_Activiteiten[[#Headers],[Projectmedewerker]],"")))</f>
        <v/>
      </c>
      <c r="AN57" t="str">
        <f>IF(ISNUMBER(FIND("arbeid",Methode_Keuze)),"",IF(ISNUMBER(FIND("arbeid",Methode_Keuze)),"",IF(Tb_Activiteiten[[#This Row],[Landbouwer]]=1,Tb_Activiteiten[[#Headers],[Landbouwer]],"")))</f>
        <v/>
      </c>
      <c r="AO57" t="str">
        <f>IF(ISNUMBER(FIND("arbeid",Methode_Keuze)),"",IF(ISNUMBER(FIND("arbeid",Methode_Keuze)),"",IF(Tb_Activiteiten[[#This Row],[Adviseur]]=1,Tb_Activiteiten[[#Headers],[Adviseur]],"")))</f>
        <v/>
      </c>
      <c r="AP57" t="str">
        <f>IF(ISNUMBER(FIND("arbeid",Methode_Keuze)),"",IF(ISNUMBER(FIND("arbeid",Methode_Keuze)),"",IF(Tb_Activiteiten[[#This Row],[Projectleider/Expert]]=1,Tb_Activiteiten[[#Headers],[Projectleider/Expert]],"")))</f>
        <v/>
      </c>
      <c r="AQ57" t="str">
        <f>IF(ISNUMBER(FIND("arbeid",Methode_Keuze)),"",IF(ISNUMBER(FIND("arbeid",Methode_Keuze)),"",IF(Tb_Activiteiten[[#This Row],[Arbeidskosten]]=1,Tb_Activiteiten[[#Headers],[Arbeidskosten]],"")))</f>
        <v/>
      </c>
      <c r="AR57" t="str">
        <f>IF(ISNUMBER(FIND("arbeid",Methode_Keuze)),"",IF(ISNUMBER(FIND("arbeid",Methode_Keuze)),"",IF(Tb_Activiteiten[[#This Row],[Arbeidskosten op basis van IKS]]=1,Tb_Activiteiten[[#Headers],[Arbeidskosten op basis van IKS]],"")))</f>
        <v/>
      </c>
      <c r="AS57" t="str">
        <f>IF(ISNUMBER(FIND("overige",Methode_Keuze)),"",IF(Tb_Activiteiten[[#This Row],[Kosten derden exclusief btw]]=1,Tb_Activiteiten[[#Headers],[Kosten derden exclusief btw]],""))</f>
        <v/>
      </c>
      <c r="AT57" t="str">
        <f>IF(ISNUMBER(FIND("overige",Methode_Keuze)),"",IF(Tb_Activiteiten[[#This Row],[Niet verrekenbare btw]]=1,Tb_Activiteiten[[#Headers],[Niet verrekenbare btw]],""))</f>
        <v/>
      </c>
      <c r="AU57" t="str">
        <f>IF(ISNUMBER(FIND("overige",Methode_Keuze)),"",IF(Tb_Activiteiten[[#This Row],[Grondkosten]]=1,Tb_Activiteiten[[#Headers],[Grondkosten]],""))</f>
        <v/>
      </c>
      <c r="AV57" t="str">
        <f>IF(ISNUMBER(FIND("overige",Methode_Keuze)),"",IF(Tb_Activiteiten[[#This Row],[Bijdrage in natura (overige)]]=1,Tb_Activiteiten[[#Headers],[Bijdrage in natura (overige)]],""))</f>
        <v/>
      </c>
      <c r="AW57" t="str">
        <f>IF(ISNUMBER(FIND("overige",Methode_Keuze)),"",IF(Tb_Activiteiten[[#This Row],[Bijdrage in natura (vrijwilligers)]]=1,Tb_Activiteiten[[#Headers],[Bijdrage in natura (vrijwilligers)]],""))</f>
        <v/>
      </c>
      <c r="AX57" t="str">
        <f>IF(ISNUMBER(FIND("overige",Methode_Keuze)),"",IF(Tb_Activiteiten[[#This Row],[Afschrijvingskosten]]=1,Tb_Activiteiten[[#Headers],[Afschrijvingskosten]],""))</f>
        <v/>
      </c>
      <c r="AY57" t="str">
        <f>IF(ISNUMBER(FIND("overige",Methode_Keuze)),"",IF(Tb_Activiteiten[[#This Row],[Vergoeding]]=1,Tb_Activiteiten[[#Headers],[Vergoeding]],""))</f>
        <v/>
      </c>
      <c r="AZ57" t="str">
        <f>IF(ISNUMBER(FIND("arbeid",Methode_Keuze)),"",IF(Tb_Activiteiten[[#This Row],[Arbeidskosten - vast tarief (excl eigen arbeid)]]=1,Tb_Activiteiten[[#Headers],[Arbeidskosten - vast tarief (excl eigen arbeid)]],""))</f>
        <v/>
      </c>
      <c r="BA57" t="str">
        <f>IF(ISNUMBER(FIND("overige",Methode_Keuze)),"",IF(Tb_Activiteiten[[#This Row],[Overige kosten]]=1,Tb_Activiteiten[[#Headers],[Overige kosten]],""))</f>
        <v/>
      </c>
    </row>
    <row r="58" spans="1:53" x14ac:dyDescent="0.25">
      <c r="A58" s="231"/>
      <c r="F58" s="64"/>
      <c r="G58" s="64"/>
      <c r="H58" s="275"/>
      <c r="I58" s="275"/>
      <c r="J58" s="275"/>
      <c r="K58" s="275"/>
      <c r="O58" s="56"/>
      <c r="Q58" t="str">
        <f>IFERROR(IF(VLOOKUP(Tb_Activiteiten[[#This Row],[Openstelling]],Tb_Openstelling[],2,0)=1,1,""),"")</f>
        <v/>
      </c>
      <c r="AK58" t="str">
        <f>IF(ISNUMBER(FIND("arbeid",Methode_Keuze)),"",IF(ISNUMBER(FIND("arbeid",Methode_Keuze)),"",IF(Tb_Activiteiten[[#This Row],[Loonkosten]]=1,Tb_Activiteiten[[#Headers],[Loonkosten]],"")))</f>
        <v/>
      </c>
      <c r="AL58" t="str">
        <f>IF(ISNUMBER(FIND("arbeid",Methode_Keuze)),"",IF(ISNUMBER(FIND("arbeid",Methode_Keuze)),"",IF(Tb_Activiteiten[[#This Row],[Eigen arbeid]]=1,Tb_Activiteiten[[#Headers],[Eigen arbeid]],"")))</f>
        <v/>
      </c>
      <c r="AM58" t="str">
        <f>IF(ISNUMBER(FIND("arbeid",Methode_Keuze)),"",IF(ISNUMBER(FIND("arbeid",Methode_Keuze)),"",IF(Tb_Activiteiten[[#This Row],[Projectmedewerker]]=1,Tb_Activiteiten[[#Headers],[Projectmedewerker]],"")))</f>
        <v/>
      </c>
      <c r="AN58" t="str">
        <f>IF(ISNUMBER(FIND("arbeid",Methode_Keuze)),"",IF(ISNUMBER(FIND("arbeid",Methode_Keuze)),"",IF(Tb_Activiteiten[[#This Row],[Landbouwer]]=1,Tb_Activiteiten[[#Headers],[Landbouwer]],"")))</f>
        <v/>
      </c>
      <c r="AO58" t="str">
        <f>IF(ISNUMBER(FIND("arbeid",Methode_Keuze)),"",IF(ISNUMBER(FIND("arbeid",Methode_Keuze)),"",IF(Tb_Activiteiten[[#This Row],[Adviseur]]=1,Tb_Activiteiten[[#Headers],[Adviseur]],"")))</f>
        <v/>
      </c>
      <c r="AP58" t="str">
        <f>IF(ISNUMBER(FIND("arbeid",Methode_Keuze)),"",IF(ISNUMBER(FIND("arbeid",Methode_Keuze)),"",IF(Tb_Activiteiten[[#This Row],[Projectleider/Expert]]=1,Tb_Activiteiten[[#Headers],[Projectleider/Expert]],"")))</f>
        <v/>
      </c>
      <c r="AQ58" t="str">
        <f>IF(ISNUMBER(FIND("arbeid",Methode_Keuze)),"",IF(ISNUMBER(FIND("arbeid",Methode_Keuze)),"",IF(Tb_Activiteiten[[#This Row],[Arbeidskosten]]=1,Tb_Activiteiten[[#Headers],[Arbeidskosten]],"")))</f>
        <v/>
      </c>
      <c r="AR58" t="str">
        <f>IF(ISNUMBER(FIND("arbeid",Methode_Keuze)),"",IF(ISNUMBER(FIND("arbeid",Methode_Keuze)),"",IF(Tb_Activiteiten[[#This Row],[Arbeidskosten op basis van IKS]]=1,Tb_Activiteiten[[#Headers],[Arbeidskosten op basis van IKS]],"")))</f>
        <v/>
      </c>
      <c r="AS58" t="str">
        <f>IF(ISNUMBER(FIND("overige",Methode_Keuze)),"",IF(Tb_Activiteiten[[#This Row],[Kosten derden exclusief btw]]=1,Tb_Activiteiten[[#Headers],[Kosten derden exclusief btw]],""))</f>
        <v/>
      </c>
      <c r="AT58" t="str">
        <f>IF(ISNUMBER(FIND("overige",Methode_Keuze)),"",IF(Tb_Activiteiten[[#This Row],[Niet verrekenbare btw]]=1,Tb_Activiteiten[[#Headers],[Niet verrekenbare btw]],""))</f>
        <v/>
      </c>
      <c r="AU58" t="str">
        <f>IF(ISNUMBER(FIND("overige",Methode_Keuze)),"",IF(Tb_Activiteiten[[#This Row],[Grondkosten]]=1,Tb_Activiteiten[[#Headers],[Grondkosten]],""))</f>
        <v/>
      </c>
      <c r="AV58" t="str">
        <f>IF(ISNUMBER(FIND("overige",Methode_Keuze)),"",IF(Tb_Activiteiten[[#This Row],[Bijdrage in natura (overige)]]=1,Tb_Activiteiten[[#Headers],[Bijdrage in natura (overige)]],""))</f>
        <v/>
      </c>
      <c r="AW58" t="str">
        <f>IF(ISNUMBER(FIND("overige",Methode_Keuze)),"",IF(Tb_Activiteiten[[#This Row],[Bijdrage in natura (vrijwilligers)]]=1,Tb_Activiteiten[[#Headers],[Bijdrage in natura (vrijwilligers)]],""))</f>
        <v/>
      </c>
      <c r="AX58" t="str">
        <f>IF(ISNUMBER(FIND("overige",Methode_Keuze)),"",IF(Tb_Activiteiten[[#This Row],[Afschrijvingskosten]]=1,Tb_Activiteiten[[#Headers],[Afschrijvingskosten]],""))</f>
        <v/>
      </c>
      <c r="AY58" t="str">
        <f>IF(ISNUMBER(FIND("overige",Methode_Keuze)),"",IF(Tb_Activiteiten[[#This Row],[Vergoeding]]=1,Tb_Activiteiten[[#Headers],[Vergoeding]],""))</f>
        <v/>
      </c>
      <c r="AZ58" t="str">
        <f>IF(ISNUMBER(FIND("arbeid",Methode_Keuze)),"",IF(Tb_Activiteiten[[#This Row],[Arbeidskosten - vast tarief (excl eigen arbeid)]]=1,Tb_Activiteiten[[#Headers],[Arbeidskosten - vast tarief (excl eigen arbeid)]],""))</f>
        <v/>
      </c>
      <c r="BA58" t="str">
        <f>IF(ISNUMBER(FIND("overige",Methode_Keuze)),"",IF(Tb_Activiteiten[[#This Row],[Overige kosten]]=1,Tb_Activiteiten[[#Headers],[Overige kosten]],""))</f>
        <v/>
      </c>
    </row>
    <row r="59" spans="1:53" x14ac:dyDescent="0.25">
      <c r="A59" s="231"/>
      <c r="F59" s="64"/>
      <c r="G59" s="64"/>
      <c r="H59" s="275"/>
      <c r="I59" s="275"/>
      <c r="J59" s="275"/>
      <c r="K59" s="275"/>
      <c r="O59" s="56"/>
      <c r="Q59" t="str">
        <f>IFERROR(IF(VLOOKUP(Tb_Activiteiten[[#This Row],[Openstelling]],Tb_Openstelling[],2,0)=1,1,""),"")</f>
        <v/>
      </c>
      <c r="AK59" t="str">
        <f>IF(ISNUMBER(FIND("arbeid",Methode_Keuze)),"",IF(ISNUMBER(FIND("arbeid",Methode_Keuze)),"",IF(Tb_Activiteiten[[#This Row],[Loonkosten]]=1,Tb_Activiteiten[[#Headers],[Loonkosten]],"")))</f>
        <v/>
      </c>
      <c r="AL59" t="str">
        <f>IF(ISNUMBER(FIND("arbeid",Methode_Keuze)),"",IF(ISNUMBER(FIND("arbeid",Methode_Keuze)),"",IF(Tb_Activiteiten[[#This Row],[Eigen arbeid]]=1,Tb_Activiteiten[[#Headers],[Eigen arbeid]],"")))</f>
        <v/>
      </c>
      <c r="AM59" t="str">
        <f>IF(ISNUMBER(FIND("arbeid",Methode_Keuze)),"",IF(ISNUMBER(FIND("arbeid",Methode_Keuze)),"",IF(Tb_Activiteiten[[#This Row],[Projectmedewerker]]=1,Tb_Activiteiten[[#Headers],[Projectmedewerker]],"")))</f>
        <v/>
      </c>
      <c r="AN59" t="str">
        <f>IF(ISNUMBER(FIND("arbeid",Methode_Keuze)),"",IF(ISNUMBER(FIND("arbeid",Methode_Keuze)),"",IF(Tb_Activiteiten[[#This Row],[Landbouwer]]=1,Tb_Activiteiten[[#Headers],[Landbouwer]],"")))</f>
        <v/>
      </c>
      <c r="AO59" t="str">
        <f>IF(ISNUMBER(FIND("arbeid",Methode_Keuze)),"",IF(ISNUMBER(FIND("arbeid",Methode_Keuze)),"",IF(Tb_Activiteiten[[#This Row],[Adviseur]]=1,Tb_Activiteiten[[#Headers],[Adviseur]],"")))</f>
        <v/>
      </c>
      <c r="AP59" t="str">
        <f>IF(ISNUMBER(FIND("arbeid",Methode_Keuze)),"",IF(ISNUMBER(FIND("arbeid",Methode_Keuze)),"",IF(Tb_Activiteiten[[#This Row],[Projectleider/Expert]]=1,Tb_Activiteiten[[#Headers],[Projectleider/Expert]],"")))</f>
        <v/>
      </c>
      <c r="AQ59" t="str">
        <f>IF(ISNUMBER(FIND("arbeid",Methode_Keuze)),"",IF(ISNUMBER(FIND("arbeid",Methode_Keuze)),"",IF(Tb_Activiteiten[[#This Row],[Arbeidskosten]]=1,Tb_Activiteiten[[#Headers],[Arbeidskosten]],"")))</f>
        <v/>
      </c>
      <c r="AR59" t="str">
        <f>IF(ISNUMBER(FIND("arbeid",Methode_Keuze)),"",IF(ISNUMBER(FIND("arbeid",Methode_Keuze)),"",IF(Tb_Activiteiten[[#This Row],[Arbeidskosten op basis van IKS]]=1,Tb_Activiteiten[[#Headers],[Arbeidskosten op basis van IKS]],"")))</f>
        <v/>
      </c>
      <c r="AS59" t="str">
        <f>IF(ISNUMBER(FIND("overige",Methode_Keuze)),"",IF(Tb_Activiteiten[[#This Row],[Kosten derden exclusief btw]]=1,Tb_Activiteiten[[#Headers],[Kosten derden exclusief btw]],""))</f>
        <v/>
      </c>
      <c r="AT59" t="str">
        <f>IF(ISNUMBER(FIND("overige",Methode_Keuze)),"",IF(Tb_Activiteiten[[#This Row],[Niet verrekenbare btw]]=1,Tb_Activiteiten[[#Headers],[Niet verrekenbare btw]],""))</f>
        <v/>
      </c>
      <c r="AU59" t="str">
        <f>IF(ISNUMBER(FIND("overige",Methode_Keuze)),"",IF(Tb_Activiteiten[[#This Row],[Grondkosten]]=1,Tb_Activiteiten[[#Headers],[Grondkosten]],""))</f>
        <v/>
      </c>
      <c r="AV59" t="str">
        <f>IF(ISNUMBER(FIND("overige",Methode_Keuze)),"",IF(Tb_Activiteiten[[#This Row],[Bijdrage in natura (overige)]]=1,Tb_Activiteiten[[#Headers],[Bijdrage in natura (overige)]],""))</f>
        <v/>
      </c>
      <c r="AW59" t="str">
        <f>IF(ISNUMBER(FIND("overige",Methode_Keuze)),"",IF(Tb_Activiteiten[[#This Row],[Bijdrage in natura (vrijwilligers)]]=1,Tb_Activiteiten[[#Headers],[Bijdrage in natura (vrijwilligers)]],""))</f>
        <v/>
      </c>
      <c r="AX59" t="str">
        <f>IF(ISNUMBER(FIND("overige",Methode_Keuze)),"",IF(Tb_Activiteiten[[#This Row],[Afschrijvingskosten]]=1,Tb_Activiteiten[[#Headers],[Afschrijvingskosten]],""))</f>
        <v/>
      </c>
      <c r="AY59" t="str">
        <f>IF(ISNUMBER(FIND("overige",Methode_Keuze)),"",IF(Tb_Activiteiten[[#This Row],[Vergoeding]]=1,Tb_Activiteiten[[#Headers],[Vergoeding]],""))</f>
        <v/>
      </c>
      <c r="AZ59" t="str">
        <f>IF(ISNUMBER(FIND("arbeid",Methode_Keuze)),"",IF(Tb_Activiteiten[[#This Row],[Arbeidskosten - vast tarief (excl eigen arbeid)]]=1,Tb_Activiteiten[[#Headers],[Arbeidskosten - vast tarief (excl eigen arbeid)]],""))</f>
        <v/>
      </c>
      <c r="BA59" t="str">
        <f>IF(ISNUMBER(FIND("overige",Methode_Keuze)),"",IF(Tb_Activiteiten[[#This Row],[Overige kosten]]=1,Tb_Activiteiten[[#Headers],[Overige kosten]],""))</f>
        <v/>
      </c>
    </row>
    <row r="60" spans="1:53" x14ac:dyDescent="0.25">
      <c r="A60" s="231"/>
      <c r="F60" s="64"/>
      <c r="G60" s="64"/>
      <c r="H60" s="275"/>
      <c r="I60" s="275"/>
      <c r="J60" s="275"/>
      <c r="K60" s="275"/>
      <c r="O60" s="56"/>
      <c r="Q60" t="str">
        <f>IFERROR(IF(VLOOKUP(Tb_Activiteiten[[#This Row],[Openstelling]],Tb_Openstelling[],2,0)=1,1,""),"")</f>
        <v/>
      </c>
      <c r="AK60" t="str">
        <f>IF(ISNUMBER(FIND("arbeid",Methode_Keuze)),"",IF(ISNUMBER(FIND("arbeid",Methode_Keuze)),"",IF(Tb_Activiteiten[[#This Row],[Loonkosten]]=1,Tb_Activiteiten[[#Headers],[Loonkosten]],"")))</f>
        <v/>
      </c>
      <c r="AL60" t="str">
        <f>IF(ISNUMBER(FIND("arbeid",Methode_Keuze)),"",IF(ISNUMBER(FIND("arbeid",Methode_Keuze)),"",IF(Tb_Activiteiten[[#This Row],[Eigen arbeid]]=1,Tb_Activiteiten[[#Headers],[Eigen arbeid]],"")))</f>
        <v/>
      </c>
      <c r="AM60" t="str">
        <f>IF(ISNUMBER(FIND("arbeid",Methode_Keuze)),"",IF(ISNUMBER(FIND("arbeid",Methode_Keuze)),"",IF(Tb_Activiteiten[[#This Row],[Projectmedewerker]]=1,Tb_Activiteiten[[#Headers],[Projectmedewerker]],"")))</f>
        <v/>
      </c>
      <c r="AN60" t="str">
        <f>IF(ISNUMBER(FIND("arbeid",Methode_Keuze)),"",IF(ISNUMBER(FIND("arbeid",Methode_Keuze)),"",IF(Tb_Activiteiten[[#This Row],[Landbouwer]]=1,Tb_Activiteiten[[#Headers],[Landbouwer]],"")))</f>
        <v/>
      </c>
      <c r="AO60" t="str">
        <f>IF(ISNUMBER(FIND("arbeid",Methode_Keuze)),"",IF(ISNUMBER(FIND("arbeid",Methode_Keuze)),"",IF(Tb_Activiteiten[[#This Row],[Adviseur]]=1,Tb_Activiteiten[[#Headers],[Adviseur]],"")))</f>
        <v/>
      </c>
      <c r="AP60" t="str">
        <f>IF(ISNUMBER(FIND("arbeid",Methode_Keuze)),"",IF(ISNUMBER(FIND("arbeid",Methode_Keuze)),"",IF(Tb_Activiteiten[[#This Row],[Projectleider/Expert]]=1,Tb_Activiteiten[[#Headers],[Projectleider/Expert]],"")))</f>
        <v/>
      </c>
      <c r="AQ60" t="str">
        <f>IF(ISNUMBER(FIND("arbeid",Methode_Keuze)),"",IF(ISNUMBER(FIND("arbeid",Methode_Keuze)),"",IF(Tb_Activiteiten[[#This Row],[Arbeidskosten]]=1,Tb_Activiteiten[[#Headers],[Arbeidskosten]],"")))</f>
        <v/>
      </c>
      <c r="AR60" t="str">
        <f>IF(ISNUMBER(FIND("arbeid",Methode_Keuze)),"",IF(ISNUMBER(FIND("arbeid",Methode_Keuze)),"",IF(Tb_Activiteiten[[#This Row],[Arbeidskosten op basis van IKS]]=1,Tb_Activiteiten[[#Headers],[Arbeidskosten op basis van IKS]],"")))</f>
        <v/>
      </c>
      <c r="AS60" t="str">
        <f>IF(ISNUMBER(FIND("overige",Methode_Keuze)),"",IF(Tb_Activiteiten[[#This Row],[Kosten derden exclusief btw]]=1,Tb_Activiteiten[[#Headers],[Kosten derden exclusief btw]],""))</f>
        <v/>
      </c>
      <c r="AT60" t="str">
        <f>IF(ISNUMBER(FIND("overige",Methode_Keuze)),"",IF(Tb_Activiteiten[[#This Row],[Niet verrekenbare btw]]=1,Tb_Activiteiten[[#Headers],[Niet verrekenbare btw]],""))</f>
        <v/>
      </c>
      <c r="AU60" t="str">
        <f>IF(ISNUMBER(FIND("overige",Methode_Keuze)),"",IF(Tb_Activiteiten[[#This Row],[Grondkosten]]=1,Tb_Activiteiten[[#Headers],[Grondkosten]],""))</f>
        <v/>
      </c>
      <c r="AV60" t="str">
        <f>IF(ISNUMBER(FIND("overige",Methode_Keuze)),"",IF(Tb_Activiteiten[[#This Row],[Bijdrage in natura (overige)]]=1,Tb_Activiteiten[[#Headers],[Bijdrage in natura (overige)]],""))</f>
        <v/>
      </c>
      <c r="AW60" t="str">
        <f>IF(ISNUMBER(FIND("overige",Methode_Keuze)),"",IF(Tb_Activiteiten[[#This Row],[Bijdrage in natura (vrijwilligers)]]=1,Tb_Activiteiten[[#Headers],[Bijdrage in natura (vrijwilligers)]],""))</f>
        <v/>
      </c>
      <c r="AX60" t="str">
        <f>IF(ISNUMBER(FIND("overige",Methode_Keuze)),"",IF(Tb_Activiteiten[[#This Row],[Afschrijvingskosten]]=1,Tb_Activiteiten[[#Headers],[Afschrijvingskosten]],""))</f>
        <v/>
      </c>
      <c r="AY60" t="str">
        <f>IF(ISNUMBER(FIND("overige",Methode_Keuze)),"",IF(Tb_Activiteiten[[#This Row],[Vergoeding]]=1,Tb_Activiteiten[[#Headers],[Vergoeding]],""))</f>
        <v/>
      </c>
      <c r="AZ60" t="str">
        <f>IF(ISNUMBER(FIND("arbeid",Methode_Keuze)),"",IF(Tb_Activiteiten[[#This Row],[Arbeidskosten - vast tarief (excl eigen arbeid)]]=1,Tb_Activiteiten[[#Headers],[Arbeidskosten - vast tarief (excl eigen arbeid)]],""))</f>
        <v/>
      </c>
      <c r="BA60" t="str">
        <f>IF(ISNUMBER(FIND("overige",Methode_Keuze)),"",IF(Tb_Activiteiten[[#This Row],[Overige kosten]]=1,Tb_Activiteiten[[#Headers],[Overige kosten]],""))</f>
        <v/>
      </c>
    </row>
    <row r="61" spans="1:53" x14ac:dyDescent="0.25">
      <c r="A61" s="231"/>
      <c r="F61" s="64"/>
      <c r="G61" s="64"/>
      <c r="H61" s="275"/>
      <c r="I61" s="275"/>
      <c r="J61" s="275"/>
      <c r="K61" s="275"/>
      <c r="O61" s="56"/>
      <c r="Q61" t="str">
        <f>IFERROR(IF(VLOOKUP(Tb_Activiteiten[[#This Row],[Openstelling]],Tb_Openstelling[],2,0)=1,1,""),"")</f>
        <v/>
      </c>
      <c r="AK61" t="str">
        <f>IF(ISNUMBER(FIND("arbeid",Methode_Keuze)),"",IF(ISNUMBER(FIND("arbeid",Methode_Keuze)),"",IF(Tb_Activiteiten[[#This Row],[Loonkosten]]=1,Tb_Activiteiten[[#Headers],[Loonkosten]],"")))</f>
        <v/>
      </c>
      <c r="AL61" t="str">
        <f>IF(ISNUMBER(FIND("arbeid",Methode_Keuze)),"",IF(ISNUMBER(FIND("arbeid",Methode_Keuze)),"",IF(Tb_Activiteiten[[#This Row],[Eigen arbeid]]=1,Tb_Activiteiten[[#Headers],[Eigen arbeid]],"")))</f>
        <v/>
      </c>
      <c r="AM61" t="str">
        <f>IF(ISNUMBER(FIND("arbeid",Methode_Keuze)),"",IF(ISNUMBER(FIND("arbeid",Methode_Keuze)),"",IF(Tb_Activiteiten[[#This Row],[Projectmedewerker]]=1,Tb_Activiteiten[[#Headers],[Projectmedewerker]],"")))</f>
        <v/>
      </c>
      <c r="AN61" t="str">
        <f>IF(ISNUMBER(FIND("arbeid",Methode_Keuze)),"",IF(ISNUMBER(FIND("arbeid",Methode_Keuze)),"",IF(Tb_Activiteiten[[#This Row],[Landbouwer]]=1,Tb_Activiteiten[[#Headers],[Landbouwer]],"")))</f>
        <v/>
      </c>
      <c r="AO61" t="str">
        <f>IF(ISNUMBER(FIND("arbeid",Methode_Keuze)),"",IF(ISNUMBER(FIND("arbeid",Methode_Keuze)),"",IF(Tb_Activiteiten[[#This Row],[Adviseur]]=1,Tb_Activiteiten[[#Headers],[Adviseur]],"")))</f>
        <v/>
      </c>
      <c r="AP61" t="str">
        <f>IF(ISNUMBER(FIND("arbeid",Methode_Keuze)),"",IF(ISNUMBER(FIND("arbeid",Methode_Keuze)),"",IF(Tb_Activiteiten[[#This Row],[Projectleider/Expert]]=1,Tb_Activiteiten[[#Headers],[Projectleider/Expert]],"")))</f>
        <v/>
      </c>
      <c r="AQ61" t="str">
        <f>IF(ISNUMBER(FIND("arbeid",Methode_Keuze)),"",IF(ISNUMBER(FIND("arbeid",Methode_Keuze)),"",IF(Tb_Activiteiten[[#This Row],[Arbeidskosten]]=1,Tb_Activiteiten[[#Headers],[Arbeidskosten]],"")))</f>
        <v/>
      </c>
      <c r="AR61" t="str">
        <f>IF(ISNUMBER(FIND("arbeid",Methode_Keuze)),"",IF(ISNUMBER(FIND("arbeid",Methode_Keuze)),"",IF(Tb_Activiteiten[[#This Row],[Arbeidskosten op basis van IKS]]=1,Tb_Activiteiten[[#Headers],[Arbeidskosten op basis van IKS]],"")))</f>
        <v/>
      </c>
      <c r="AS61" t="str">
        <f>IF(ISNUMBER(FIND("overige",Methode_Keuze)),"",IF(Tb_Activiteiten[[#This Row],[Kosten derden exclusief btw]]=1,Tb_Activiteiten[[#Headers],[Kosten derden exclusief btw]],""))</f>
        <v/>
      </c>
      <c r="AT61" t="str">
        <f>IF(ISNUMBER(FIND("overige",Methode_Keuze)),"",IF(Tb_Activiteiten[[#This Row],[Niet verrekenbare btw]]=1,Tb_Activiteiten[[#Headers],[Niet verrekenbare btw]],""))</f>
        <v/>
      </c>
      <c r="AU61" t="str">
        <f>IF(ISNUMBER(FIND("overige",Methode_Keuze)),"",IF(Tb_Activiteiten[[#This Row],[Grondkosten]]=1,Tb_Activiteiten[[#Headers],[Grondkosten]],""))</f>
        <v/>
      </c>
      <c r="AV61" t="str">
        <f>IF(ISNUMBER(FIND("overige",Methode_Keuze)),"",IF(Tb_Activiteiten[[#This Row],[Bijdrage in natura (overige)]]=1,Tb_Activiteiten[[#Headers],[Bijdrage in natura (overige)]],""))</f>
        <v/>
      </c>
      <c r="AW61" t="str">
        <f>IF(ISNUMBER(FIND("overige",Methode_Keuze)),"",IF(Tb_Activiteiten[[#This Row],[Bijdrage in natura (vrijwilligers)]]=1,Tb_Activiteiten[[#Headers],[Bijdrage in natura (vrijwilligers)]],""))</f>
        <v/>
      </c>
      <c r="AX61" t="str">
        <f>IF(ISNUMBER(FIND("overige",Methode_Keuze)),"",IF(Tb_Activiteiten[[#This Row],[Afschrijvingskosten]]=1,Tb_Activiteiten[[#Headers],[Afschrijvingskosten]],""))</f>
        <v/>
      </c>
      <c r="AY61" t="str">
        <f>IF(ISNUMBER(FIND("overige",Methode_Keuze)),"",IF(Tb_Activiteiten[[#This Row],[Vergoeding]]=1,Tb_Activiteiten[[#Headers],[Vergoeding]],""))</f>
        <v/>
      </c>
      <c r="AZ61" t="str">
        <f>IF(ISNUMBER(FIND("arbeid",Methode_Keuze)),"",IF(Tb_Activiteiten[[#This Row],[Arbeidskosten - vast tarief (excl eigen arbeid)]]=1,Tb_Activiteiten[[#Headers],[Arbeidskosten - vast tarief (excl eigen arbeid)]],""))</f>
        <v/>
      </c>
      <c r="BA61" t="str">
        <f>IF(ISNUMBER(FIND("overige",Methode_Keuze)),"",IF(Tb_Activiteiten[[#This Row],[Overige kosten]]=1,Tb_Activiteiten[[#Headers],[Overige kosten]],""))</f>
        <v/>
      </c>
    </row>
    <row r="62" spans="1:53" x14ac:dyDescent="0.25">
      <c r="A62" s="231"/>
      <c r="F62" s="64"/>
      <c r="G62" s="64"/>
      <c r="H62" s="275"/>
      <c r="I62" s="275"/>
      <c r="J62" s="275"/>
      <c r="K62" s="275"/>
      <c r="O62" s="56"/>
      <c r="Q62" t="str">
        <f>IFERROR(IF(VLOOKUP(Tb_Activiteiten[[#This Row],[Openstelling]],Tb_Openstelling[],2,0)=1,1,""),"")</f>
        <v/>
      </c>
      <c r="AK62" t="str">
        <f>IF(ISNUMBER(FIND("arbeid",Methode_Keuze)),"",IF(ISNUMBER(FIND("arbeid",Methode_Keuze)),"",IF(Tb_Activiteiten[[#This Row],[Loonkosten]]=1,Tb_Activiteiten[[#Headers],[Loonkosten]],"")))</f>
        <v/>
      </c>
      <c r="AL62" t="str">
        <f>IF(ISNUMBER(FIND("arbeid",Methode_Keuze)),"",IF(ISNUMBER(FIND("arbeid",Methode_Keuze)),"",IF(Tb_Activiteiten[[#This Row],[Eigen arbeid]]=1,Tb_Activiteiten[[#Headers],[Eigen arbeid]],"")))</f>
        <v/>
      </c>
      <c r="AM62" t="str">
        <f>IF(ISNUMBER(FIND("arbeid",Methode_Keuze)),"",IF(ISNUMBER(FIND("arbeid",Methode_Keuze)),"",IF(Tb_Activiteiten[[#This Row],[Projectmedewerker]]=1,Tb_Activiteiten[[#Headers],[Projectmedewerker]],"")))</f>
        <v/>
      </c>
      <c r="AN62" t="str">
        <f>IF(ISNUMBER(FIND("arbeid",Methode_Keuze)),"",IF(ISNUMBER(FIND("arbeid",Methode_Keuze)),"",IF(Tb_Activiteiten[[#This Row],[Landbouwer]]=1,Tb_Activiteiten[[#Headers],[Landbouwer]],"")))</f>
        <v/>
      </c>
      <c r="AO62" t="str">
        <f>IF(ISNUMBER(FIND("arbeid",Methode_Keuze)),"",IF(ISNUMBER(FIND("arbeid",Methode_Keuze)),"",IF(Tb_Activiteiten[[#This Row],[Adviseur]]=1,Tb_Activiteiten[[#Headers],[Adviseur]],"")))</f>
        <v/>
      </c>
      <c r="AP62" t="str">
        <f>IF(ISNUMBER(FIND("arbeid",Methode_Keuze)),"",IF(ISNUMBER(FIND("arbeid",Methode_Keuze)),"",IF(Tb_Activiteiten[[#This Row],[Projectleider/Expert]]=1,Tb_Activiteiten[[#Headers],[Projectleider/Expert]],"")))</f>
        <v/>
      </c>
      <c r="AQ62" t="str">
        <f>IF(ISNUMBER(FIND("arbeid",Methode_Keuze)),"",IF(ISNUMBER(FIND("arbeid",Methode_Keuze)),"",IF(Tb_Activiteiten[[#This Row],[Arbeidskosten]]=1,Tb_Activiteiten[[#Headers],[Arbeidskosten]],"")))</f>
        <v/>
      </c>
      <c r="AR62" t="str">
        <f>IF(ISNUMBER(FIND("arbeid",Methode_Keuze)),"",IF(ISNUMBER(FIND("arbeid",Methode_Keuze)),"",IF(Tb_Activiteiten[[#This Row],[Arbeidskosten op basis van IKS]]=1,Tb_Activiteiten[[#Headers],[Arbeidskosten op basis van IKS]],"")))</f>
        <v/>
      </c>
      <c r="AS62" t="str">
        <f>IF(ISNUMBER(FIND("overige",Methode_Keuze)),"",IF(Tb_Activiteiten[[#This Row],[Kosten derden exclusief btw]]=1,Tb_Activiteiten[[#Headers],[Kosten derden exclusief btw]],""))</f>
        <v/>
      </c>
      <c r="AT62" t="str">
        <f>IF(ISNUMBER(FIND("overige",Methode_Keuze)),"",IF(Tb_Activiteiten[[#This Row],[Niet verrekenbare btw]]=1,Tb_Activiteiten[[#Headers],[Niet verrekenbare btw]],""))</f>
        <v/>
      </c>
      <c r="AU62" t="str">
        <f>IF(ISNUMBER(FIND("overige",Methode_Keuze)),"",IF(Tb_Activiteiten[[#This Row],[Grondkosten]]=1,Tb_Activiteiten[[#Headers],[Grondkosten]],""))</f>
        <v/>
      </c>
      <c r="AV62" t="str">
        <f>IF(ISNUMBER(FIND("overige",Methode_Keuze)),"",IF(Tb_Activiteiten[[#This Row],[Bijdrage in natura (overige)]]=1,Tb_Activiteiten[[#Headers],[Bijdrage in natura (overige)]],""))</f>
        <v/>
      </c>
      <c r="AW62" t="str">
        <f>IF(ISNUMBER(FIND("overige",Methode_Keuze)),"",IF(Tb_Activiteiten[[#This Row],[Bijdrage in natura (vrijwilligers)]]=1,Tb_Activiteiten[[#Headers],[Bijdrage in natura (vrijwilligers)]],""))</f>
        <v/>
      </c>
      <c r="AX62" t="str">
        <f>IF(ISNUMBER(FIND("overige",Methode_Keuze)),"",IF(Tb_Activiteiten[[#This Row],[Afschrijvingskosten]]=1,Tb_Activiteiten[[#Headers],[Afschrijvingskosten]],""))</f>
        <v/>
      </c>
      <c r="AY62" t="str">
        <f>IF(ISNUMBER(FIND("overige",Methode_Keuze)),"",IF(Tb_Activiteiten[[#This Row],[Vergoeding]]=1,Tb_Activiteiten[[#Headers],[Vergoeding]],""))</f>
        <v/>
      </c>
      <c r="AZ62" t="str">
        <f>IF(ISNUMBER(FIND("arbeid",Methode_Keuze)),"",IF(Tb_Activiteiten[[#This Row],[Arbeidskosten - vast tarief (excl eigen arbeid)]]=1,Tb_Activiteiten[[#Headers],[Arbeidskosten - vast tarief (excl eigen arbeid)]],""))</f>
        <v/>
      </c>
      <c r="BA62" t="str">
        <f>IF(ISNUMBER(FIND("overige",Methode_Keuze)),"",IF(Tb_Activiteiten[[#This Row],[Overige kosten]]=1,Tb_Activiteiten[[#Headers],[Overige kosten]],""))</f>
        <v/>
      </c>
    </row>
    <row r="63" spans="1:53" x14ac:dyDescent="0.25">
      <c r="A63" s="231"/>
      <c r="F63" s="64"/>
      <c r="G63" s="64"/>
      <c r="H63" s="275"/>
      <c r="I63" s="275"/>
      <c r="J63" s="275"/>
      <c r="K63" s="275"/>
      <c r="O63" s="56"/>
      <c r="Q63" t="str">
        <f>IFERROR(IF(VLOOKUP(Tb_Activiteiten[[#This Row],[Openstelling]],Tb_Openstelling[],2,0)=1,1,""),"")</f>
        <v/>
      </c>
      <c r="AK63" t="str">
        <f>IF(ISNUMBER(FIND("arbeid",Methode_Keuze)),"",IF(ISNUMBER(FIND("arbeid",Methode_Keuze)),"",IF(Tb_Activiteiten[[#This Row],[Loonkosten]]=1,Tb_Activiteiten[[#Headers],[Loonkosten]],"")))</f>
        <v/>
      </c>
      <c r="AL63" t="str">
        <f>IF(ISNUMBER(FIND("arbeid",Methode_Keuze)),"",IF(ISNUMBER(FIND("arbeid",Methode_Keuze)),"",IF(Tb_Activiteiten[[#This Row],[Eigen arbeid]]=1,Tb_Activiteiten[[#Headers],[Eigen arbeid]],"")))</f>
        <v/>
      </c>
      <c r="AM63" t="str">
        <f>IF(ISNUMBER(FIND("arbeid",Methode_Keuze)),"",IF(ISNUMBER(FIND("arbeid",Methode_Keuze)),"",IF(Tb_Activiteiten[[#This Row],[Projectmedewerker]]=1,Tb_Activiteiten[[#Headers],[Projectmedewerker]],"")))</f>
        <v/>
      </c>
      <c r="AN63" t="str">
        <f>IF(ISNUMBER(FIND("arbeid",Methode_Keuze)),"",IF(ISNUMBER(FIND("arbeid",Methode_Keuze)),"",IF(Tb_Activiteiten[[#This Row],[Landbouwer]]=1,Tb_Activiteiten[[#Headers],[Landbouwer]],"")))</f>
        <v/>
      </c>
      <c r="AO63" t="str">
        <f>IF(ISNUMBER(FIND("arbeid",Methode_Keuze)),"",IF(ISNUMBER(FIND("arbeid",Methode_Keuze)),"",IF(Tb_Activiteiten[[#This Row],[Adviseur]]=1,Tb_Activiteiten[[#Headers],[Adviseur]],"")))</f>
        <v/>
      </c>
      <c r="AP63" t="str">
        <f>IF(ISNUMBER(FIND("arbeid",Methode_Keuze)),"",IF(ISNUMBER(FIND("arbeid",Methode_Keuze)),"",IF(Tb_Activiteiten[[#This Row],[Projectleider/Expert]]=1,Tb_Activiteiten[[#Headers],[Projectleider/Expert]],"")))</f>
        <v/>
      </c>
      <c r="AQ63" t="str">
        <f>IF(ISNUMBER(FIND("arbeid",Methode_Keuze)),"",IF(ISNUMBER(FIND("arbeid",Methode_Keuze)),"",IF(Tb_Activiteiten[[#This Row],[Arbeidskosten]]=1,Tb_Activiteiten[[#Headers],[Arbeidskosten]],"")))</f>
        <v/>
      </c>
      <c r="AR63" t="str">
        <f>IF(ISNUMBER(FIND("arbeid",Methode_Keuze)),"",IF(ISNUMBER(FIND("arbeid",Methode_Keuze)),"",IF(Tb_Activiteiten[[#This Row],[Arbeidskosten op basis van IKS]]=1,Tb_Activiteiten[[#Headers],[Arbeidskosten op basis van IKS]],"")))</f>
        <v/>
      </c>
      <c r="AS63" t="str">
        <f>IF(ISNUMBER(FIND("overige",Methode_Keuze)),"",IF(Tb_Activiteiten[[#This Row],[Kosten derden exclusief btw]]=1,Tb_Activiteiten[[#Headers],[Kosten derden exclusief btw]],""))</f>
        <v/>
      </c>
      <c r="AT63" t="str">
        <f>IF(ISNUMBER(FIND("overige",Methode_Keuze)),"",IF(Tb_Activiteiten[[#This Row],[Niet verrekenbare btw]]=1,Tb_Activiteiten[[#Headers],[Niet verrekenbare btw]],""))</f>
        <v/>
      </c>
      <c r="AU63" t="str">
        <f>IF(ISNUMBER(FIND("overige",Methode_Keuze)),"",IF(Tb_Activiteiten[[#This Row],[Grondkosten]]=1,Tb_Activiteiten[[#Headers],[Grondkosten]],""))</f>
        <v/>
      </c>
      <c r="AV63" t="str">
        <f>IF(ISNUMBER(FIND("overige",Methode_Keuze)),"",IF(Tb_Activiteiten[[#This Row],[Bijdrage in natura (overige)]]=1,Tb_Activiteiten[[#Headers],[Bijdrage in natura (overige)]],""))</f>
        <v/>
      </c>
      <c r="AW63" t="str">
        <f>IF(ISNUMBER(FIND("overige",Methode_Keuze)),"",IF(Tb_Activiteiten[[#This Row],[Bijdrage in natura (vrijwilligers)]]=1,Tb_Activiteiten[[#Headers],[Bijdrage in natura (vrijwilligers)]],""))</f>
        <v/>
      </c>
      <c r="AX63" t="str">
        <f>IF(ISNUMBER(FIND("overige",Methode_Keuze)),"",IF(Tb_Activiteiten[[#This Row],[Afschrijvingskosten]]=1,Tb_Activiteiten[[#Headers],[Afschrijvingskosten]],""))</f>
        <v/>
      </c>
      <c r="AY63" t="str">
        <f>IF(ISNUMBER(FIND("overige",Methode_Keuze)),"",IF(Tb_Activiteiten[[#This Row],[Vergoeding]]=1,Tb_Activiteiten[[#Headers],[Vergoeding]],""))</f>
        <v/>
      </c>
      <c r="AZ63" t="str">
        <f>IF(ISNUMBER(FIND("arbeid",Methode_Keuze)),"",IF(Tb_Activiteiten[[#This Row],[Arbeidskosten - vast tarief (excl eigen arbeid)]]=1,Tb_Activiteiten[[#Headers],[Arbeidskosten - vast tarief (excl eigen arbeid)]],""))</f>
        <v/>
      </c>
      <c r="BA63" t="str">
        <f>IF(ISNUMBER(FIND("overige",Methode_Keuze)),"",IF(Tb_Activiteiten[[#This Row],[Overige kosten]]=1,Tb_Activiteiten[[#Headers],[Overige kosten]],""))</f>
        <v/>
      </c>
    </row>
    <row r="64" spans="1:53" x14ac:dyDescent="0.25">
      <c r="A64" s="231"/>
      <c r="F64" s="64"/>
      <c r="G64" s="64"/>
      <c r="H64" s="275"/>
      <c r="I64" s="275"/>
      <c r="J64" s="275"/>
      <c r="K64" s="275"/>
      <c r="O64" s="56"/>
      <c r="Q64" t="str">
        <f>IFERROR(IF(VLOOKUP(Tb_Activiteiten[[#This Row],[Openstelling]],Tb_Openstelling[],2,0)=1,1,""),"")</f>
        <v/>
      </c>
      <c r="AK64" t="str">
        <f>IF(ISNUMBER(FIND("arbeid",Methode_Keuze)),"",IF(ISNUMBER(FIND("arbeid",Methode_Keuze)),"",IF(Tb_Activiteiten[[#This Row],[Loonkosten]]=1,Tb_Activiteiten[[#Headers],[Loonkosten]],"")))</f>
        <v/>
      </c>
      <c r="AL64" t="str">
        <f>IF(ISNUMBER(FIND("arbeid",Methode_Keuze)),"",IF(ISNUMBER(FIND("arbeid",Methode_Keuze)),"",IF(Tb_Activiteiten[[#This Row],[Eigen arbeid]]=1,Tb_Activiteiten[[#Headers],[Eigen arbeid]],"")))</f>
        <v/>
      </c>
      <c r="AM64" t="str">
        <f>IF(ISNUMBER(FIND("arbeid",Methode_Keuze)),"",IF(ISNUMBER(FIND("arbeid",Methode_Keuze)),"",IF(Tb_Activiteiten[[#This Row],[Projectmedewerker]]=1,Tb_Activiteiten[[#Headers],[Projectmedewerker]],"")))</f>
        <v/>
      </c>
      <c r="AN64" t="str">
        <f>IF(ISNUMBER(FIND("arbeid",Methode_Keuze)),"",IF(ISNUMBER(FIND("arbeid",Methode_Keuze)),"",IF(Tb_Activiteiten[[#This Row],[Landbouwer]]=1,Tb_Activiteiten[[#Headers],[Landbouwer]],"")))</f>
        <v/>
      </c>
      <c r="AO64" t="str">
        <f>IF(ISNUMBER(FIND("arbeid",Methode_Keuze)),"",IF(ISNUMBER(FIND("arbeid",Methode_Keuze)),"",IF(Tb_Activiteiten[[#This Row],[Adviseur]]=1,Tb_Activiteiten[[#Headers],[Adviseur]],"")))</f>
        <v/>
      </c>
      <c r="AP64" t="str">
        <f>IF(ISNUMBER(FIND("arbeid",Methode_Keuze)),"",IF(ISNUMBER(FIND("arbeid",Methode_Keuze)),"",IF(Tb_Activiteiten[[#This Row],[Projectleider/Expert]]=1,Tb_Activiteiten[[#Headers],[Projectleider/Expert]],"")))</f>
        <v/>
      </c>
      <c r="AQ64" t="str">
        <f>IF(ISNUMBER(FIND("arbeid",Methode_Keuze)),"",IF(ISNUMBER(FIND("arbeid",Methode_Keuze)),"",IF(Tb_Activiteiten[[#This Row],[Arbeidskosten]]=1,Tb_Activiteiten[[#Headers],[Arbeidskosten]],"")))</f>
        <v/>
      </c>
      <c r="AR64" t="str">
        <f>IF(ISNUMBER(FIND("arbeid",Methode_Keuze)),"",IF(ISNUMBER(FIND("arbeid",Methode_Keuze)),"",IF(Tb_Activiteiten[[#This Row],[Arbeidskosten op basis van IKS]]=1,Tb_Activiteiten[[#Headers],[Arbeidskosten op basis van IKS]],"")))</f>
        <v/>
      </c>
      <c r="AS64" t="str">
        <f>IF(ISNUMBER(FIND("overige",Methode_Keuze)),"",IF(Tb_Activiteiten[[#This Row],[Kosten derden exclusief btw]]=1,Tb_Activiteiten[[#Headers],[Kosten derden exclusief btw]],""))</f>
        <v/>
      </c>
      <c r="AT64" t="str">
        <f>IF(ISNUMBER(FIND("overige",Methode_Keuze)),"",IF(Tb_Activiteiten[[#This Row],[Niet verrekenbare btw]]=1,Tb_Activiteiten[[#Headers],[Niet verrekenbare btw]],""))</f>
        <v/>
      </c>
      <c r="AU64" t="str">
        <f>IF(ISNUMBER(FIND("overige",Methode_Keuze)),"",IF(Tb_Activiteiten[[#This Row],[Grondkosten]]=1,Tb_Activiteiten[[#Headers],[Grondkosten]],""))</f>
        <v/>
      </c>
      <c r="AV64" t="str">
        <f>IF(ISNUMBER(FIND("overige",Methode_Keuze)),"",IF(Tb_Activiteiten[[#This Row],[Bijdrage in natura (overige)]]=1,Tb_Activiteiten[[#Headers],[Bijdrage in natura (overige)]],""))</f>
        <v/>
      </c>
      <c r="AW64" t="str">
        <f>IF(ISNUMBER(FIND("overige",Methode_Keuze)),"",IF(Tb_Activiteiten[[#This Row],[Bijdrage in natura (vrijwilligers)]]=1,Tb_Activiteiten[[#Headers],[Bijdrage in natura (vrijwilligers)]],""))</f>
        <v/>
      </c>
      <c r="AX64" t="str">
        <f>IF(ISNUMBER(FIND("overige",Methode_Keuze)),"",IF(Tb_Activiteiten[[#This Row],[Afschrijvingskosten]]=1,Tb_Activiteiten[[#Headers],[Afschrijvingskosten]],""))</f>
        <v/>
      </c>
      <c r="AY64" t="str">
        <f>IF(ISNUMBER(FIND("overige",Methode_Keuze)),"",IF(Tb_Activiteiten[[#This Row],[Vergoeding]]=1,Tb_Activiteiten[[#Headers],[Vergoeding]],""))</f>
        <v/>
      </c>
      <c r="AZ64" t="str">
        <f>IF(ISNUMBER(FIND("arbeid",Methode_Keuze)),"",IF(Tb_Activiteiten[[#This Row],[Arbeidskosten - vast tarief (excl eigen arbeid)]]=1,Tb_Activiteiten[[#Headers],[Arbeidskosten - vast tarief (excl eigen arbeid)]],""))</f>
        <v/>
      </c>
      <c r="BA64" t="str">
        <f>IF(ISNUMBER(FIND("overige",Methode_Keuze)),"",IF(Tb_Activiteiten[[#This Row],[Overige kosten]]=1,Tb_Activiteiten[[#Headers],[Overige kosten]],""))</f>
        <v/>
      </c>
    </row>
    <row r="65" spans="1:53" x14ac:dyDescent="0.25">
      <c r="A65" s="231"/>
      <c r="F65" s="64"/>
      <c r="G65" s="64"/>
      <c r="H65" s="275"/>
      <c r="I65" s="275"/>
      <c r="J65" s="275"/>
      <c r="K65" s="275"/>
      <c r="O65" s="56"/>
      <c r="Q65" t="str">
        <f>IFERROR(IF(VLOOKUP(Tb_Activiteiten[[#This Row],[Openstelling]],Tb_Openstelling[],2,0)=1,1,""),"")</f>
        <v/>
      </c>
      <c r="AK65" t="str">
        <f>IF(ISNUMBER(FIND("arbeid",Methode_Keuze)),"",IF(ISNUMBER(FIND("arbeid",Methode_Keuze)),"",IF(Tb_Activiteiten[[#This Row],[Loonkosten]]=1,Tb_Activiteiten[[#Headers],[Loonkosten]],"")))</f>
        <v/>
      </c>
      <c r="AL65" t="str">
        <f>IF(ISNUMBER(FIND("arbeid",Methode_Keuze)),"",IF(ISNUMBER(FIND("arbeid",Methode_Keuze)),"",IF(Tb_Activiteiten[[#This Row],[Eigen arbeid]]=1,Tb_Activiteiten[[#Headers],[Eigen arbeid]],"")))</f>
        <v/>
      </c>
      <c r="AM65" t="str">
        <f>IF(ISNUMBER(FIND("arbeid",Methode_Keuze)),"",IF(ISNUMBER(FIND("arbeid",Methode_Keuze)),"",IF(Tb_Activiteiten[[#This Row],[Projectmedewerker]]=1,Tb_Activiteiten[[#Headers],[Projectmedewerker]],"")))</f>
        <v/>
      </c>
      <c r="AN65" t="str">
        <f>IF(ISNUMBER(FIND("arbeid",Methode_Keuze)),"",IF(ISNUMBER(FIND("arbeid",Methode_Keuze)),"",IF(Tb_Activiteiten[[#This Row],[Landbouwer]]=1,Tb_Activiteiten[[#Headers],[Landbouwer]],"")))</f>
        <v/>
      </c>
      <c r="AO65" t="str">
        <f>IF(ISNUMBER(FIND("arbeid",Methode_Keuze)),"",IF(ISNUMBER(FIND("arbeid",Methode_Keuze)),"",IF(Tb_Activiteiten[[#This Row],[Adviseur]]=1,Tb_Activiteiten[[#Headers],[Adviseur]],"")))</f>
        <v/>
      </c>
      <c r="AP65" t="str">
        <f>IF(ISNUMBER(FIND("arbeid",Methode_Keuze)),"",IF(ISNUMBER(FIND("arbeid",Methode_Keuze)),"",IF(Tb_Activiteiten[[#This Row],[Projectleider/Expert]]=1,Tb_Activiteiten[[#Headers],[Projectleider/Expert]],"")))</f>
        <v/>
      </c>
      <c r="AQ65" t="str">
        <f>IF(ISNUMBER(FIND("arbeid",Methode_Keuze)),"",IF(ISNUMBER(FIND("arbeid",Methode_Keuze)),"",IF(Tb_Activiteiten[[#This Row],[Arbeidskosten]]=1,Tb_Activiteiten[[#Headers],[Arbeidskosten]],"")))</f>
        <v/>
      </c>
      <c r="AR65" t="str">
        <f>IF(ISNUMBER(FIND("arbeid",Methode_Keuze)),"",IF(ISNUMBER(FIND("arbeid",Methode_Keuze)),"",IF(Tb_Activiteiten[[#This Row],[Arbeidskosten op basis van IKS]]=1,Tb_Activiteiten[[#Headers],[Arbeidskosten op basis van IKS]],"")))</f>
        <v/>
      </c>
      <c r="AS65" t="str">
        <f>IF(ISNUMBER(FIND("overige",Methode_Keuze)),"",IF(Tb_Activiteiten[[#This Row],[Kosten derden exclusief btw]]=1,Tb_Activiteiten[[#Headers],[Kosten derden exclusief btw]],""))</f>
        <v/>
      </c>
      <c r="AT65" t="str">
        <f>IF(ISNUMBER(FIND("overige",Methode_Keuze)),"",IF(Tb_Activiteiten[[#This Row],[Niet verrekenbare btw]]=1,Tb_Activiteiten[[#Headers],[Niet verrekenbare btw]],""))</f>
        <v/>
      </c>
      <c r="AU65" t="str">
        <f>IF(ISNUMBER(FIND("overige",Methode_Keuze)),"",IF(Tb_Activiteiten[[#This Row],[Grondkosten]]=1,Tb_Activiteiten[[#Headers],[Grondkosten]],""))</f>
        <v/>
      </c>
      <c r="AV65" t="str">
        <f>IF(ISNUMBER(FIND("overige",Methode_Keuze)),"",IF(Tb_Activiteiten[[#This Row],[Bijdrage in natura (overige)]]=1,Tb_Activiteiten[[#Headers],[Bijdrage in natura (overige)]],""))</f>
        <v/>
      </c>
      <c r="AW65" t="str">
        <f>IF(ISNUMBER(FIND("overige",Methode_Keuze)),"",IF(Tb_Activiteiten[[#This Row],[Bijdrage in natura (vrijwilligers)]]=1,Tb_Activiteiten[[#Headers],[Bijdrage in natura (vrijwilligers)]],""))</f>
        <v/>
      </c>
      <c r="AX65" t="str">
        <f>IF(ISNUMBER(FIND("overige",Methode_Keuze)),"",IF(Tb_Activiteiten[[#This Row],[Afschrijvingskosten]]=1,Tb_Activiteiten[[#Headers],[Afschrijvingskosten]],""))</f>
        <v/>
      </c>
      <c r="AY65" t="str">
        <f>IF(ISNUMBER(FIND("overige",Methode_Keuze)),"",IF(Tb_Activiteiten[[#This Row],[Vergoeding]]=1,Tb_Activiteiten[[#Headers],[Vergoeding]],""))</f>
        <v/>
      </c>
      <c r="AZ65" t="str">
        <f>IF(ISNUMBER(FIND("arbeid",Methode_Keuze)),"",IF(Tb_Activiteiten[[#This Row],[Arbeidskosten - vast tarief (excl eigen arbeid)]]=1,Tb_Activiteiten[[#Headers],[Arbeidskosten - vast tarief (excl eigen arbeid)]],""))</f>
        <v/>
      </c>
      <c r="BA65" t="str">
        <f>IF(ISNUMBER(FIND("overige",Methode_Keuze)),"",IF(Tb_Activiteiten[[#This Row],[Overige kosten]]=1,Tb_Activiteiten[[#Headers],[Overige kosten]],""))</f>
        <v/>
      </c>
    </row>
    <row r="66" spans="1:53" x14ac:dyDescent="0.25">
      <c r="A66" s="231"/>
      <c r="F66" s="64"/>
      <c r="G66" s="64"/>
      <c r="H66" s="275"/>
      <c r="I66" s="275"/>
      <c r="J66" s="275"/>
      <c r="K66" s="275"/>
      <c r="O66" s="56"/>
      <c r="Q66" t="str">
        <f>IFERROR(IF(VLOOKUP(Tb_Activiteiten[[#This Row],[Openstelling]],Tb_Openstelling[],2,0)=1,1,""),"")</f>
        <v/>
      </c>
      <c r="AK66" t="str">
        <f>IF(ISNUMBER(FIND("arbeid",Methode_Keuze)),"",IF(ISNUMBER(FIND("arbeid",Methode_Keuze)),"",IF(Tb_Activiteiten[[#This Row],[Loonkosten]]=1,Tb_Activiteiten[[#Headers],[Loonkosten]],"")))</f>
        <v/>
      </c>
      <c r="AL66" t="str">
        <f>IF(ISNUMBER(FIND("arbeid",Methode_Keuze)),"",IF(ISNUMBER(FIND("arbeid",Methode_Keuze)),"",IF(Tb_Activiteiten[[#This Row],[Eigen arbeid]]=1,Tb_Activiteiten[[#Headers],[Eigen arbeid]],"")))</f>
        <v/>
      </c>
      <c r="AM66" t="str">
        <f>IF(ISNUMBER(FIND("arbeid",Methode_Keuze)),"",IF(ISNUMBER(FIND("arbeid",Methode_Keuze)),"",IF(Tb_Activiteiten[[#This Row],[Projectmedewerker]]=1,Tb_Activiteiten[[#Headers],[Projectmedewerker]],"")))</f>
        <v/>
      </c>
      <c r="AN66" t="str">
        <f>IF(ISNUMBER(FIND("arbeid",Methode_Keuze)),"",IF(ISNUMBER(FIND("arbeid",Methode_Keuze)),"",IF(Tb_Activiteiten[[#This Row],[Landbouwer]]=1,Tb_Activiteiten[[#Headers],[Landbouwer]],"")))</f>
        <v/>
      </c>
      <c r="AO66" t="str">
        <f>IF(ISNUMBER(FIND("arbeid",Methode_Keuze)),"",IF(ISNUMBER(FIND("arbeid",Methode_Keuze)),"",IF(Tb_Activiteiten[[#This Row],[Adviseur]]=1,Tb_Activiteiten[[#Headers],[Adviseur]],"")))</f>
        <v/>
      </c>
      <c r="AP66" t="str">
        <f>IF(ISNUMBER(FIND("arbeid",Methode_Keuze)),"",IF(ISNUMBER(FIND("arbeid",Methode_Keuze)),"",IF(Tb_Activiteiten[[#This Row],[Projectleider/Expert]]=1,Tb_Activiteiten[[#Headers],[Projectleider/Expert]],"")))</f>
        <v/>
      </c>
      <c r="AQ66" t="str">
        <f>IF(ISNUMBER(FIND("arbeid",Methode_Keuze)),"",IF(ISNUMBER(FIND("arbeid",Methode_Keuze)),"",IF(Tb_Activiteiten[[#This Row],[Arbeidskosten]]=1,Tb_Activiteiten[[#Headers],[Arbeidskosten]],"")))</f>
        <v/>
      </c>
      <c r="AR66" t="str">
        <f>IF(ISNUMBER(FIND("arbeid",Methode_Keuze)),"",IF(ISNUMBER(FIND("arbeid",Methode_Keuze)),"",IF(Tb_Activiteiten[[#This Row],[Arbeidskosten op basis van IKS]]=1,Tb_Activiteiten[[#Headers],[Arbeidskosten op basis van IKS]],"")))</f>
        <v/>
      </c>
      <c r="AS66" t="str">
        <f>IF(ISNUMBER(FIND("overige",Methode_Keuze)),"",IF(Tb_Activiteiten[[#This Row],[Kosten derden exclusief btw]]=1,Tb_Activiteiten[[#Headers],[Kosten derden exclusief btw]],""))</f>
        <v/>
      </c>
      <c r="AT66" t="str">
        <f>IF(ISNUMBER(FIND("overige",Methode_Keuze)),"",IF(Tb_Activiteiten[[#This Row],[Niet verrekenbare btw]]=1,Tb_Activiteiten[[#Headers],[Niet verrekenbare btw]],""))</f>
        <v/>
      </c>
      <c r="AU66" t="str">
        <f>IF(ISNUMBER(FIND("overige",Methode_Keuze)),"",IF(Tb_Activiteiten[[#This Row],[Grondkosten]]=1,Tb_Activiteiten[[#Headers],[Grondkosten]],""))</f>
        <v/>
      </c>
      <c r="AV66" t="str">
        <f>IF(ISNUMBER(FIND("overige",Methode_Keuze)),"",IF(Tb_Activiteiten[[#This Row],[Bijdrage in natura (overige)]]=1,Tb_Activiteiten[[#Headers],[Bijdrage in natura (overige)]],""))</f>
        <v/>
      </c>
      <c r="AW66" t="str">
        <f>IF(ISNUMBER(FIND("overige",Methode_Keuze)),"",IF(Tb_Activiteiten[[#This Row],[Bijdrage in natura (vrijwilligers)]]=1,Tb_Activiteiten[[#Headers],[Bijdrage in natura (vrijwilligers)]],""))</f>
        <v/>
      </c>
      <c r="AX66" t="str">
        <f>IF(ISNUMBER(FIND("overige",Methode_Keuze)),"",IF(Tb_Activiteiten[[#This Row],[Afschrijvingskosten]]=1,Tb_Activiteiten[[#Headers],[Afschrijvingskosten]],""))</f>
        <v/>
      </c>
      <c r="AY66" t="str">
        <f>IF(ISNUMBER(FIND("overige",Methode_Keuze)),"",IF(Tb_Activiteiten[[#This Row],[Vergoeding]]=1,Tb_Activiteiten[[#Headers],[Vergoeding]],""))</f>
        <v/>
      </c>
      <c r="AZ66" t="str">
        <f>IF(ISNUMBER(FIND("arbeid",Methode_Keuze)),"",IF(Tb_Activiteiten[[#This Row],[Arbeidskosten - vast tarief (excl eigen arbeid)]]=1,Tb_Activiteiten[[#Headers],[Arbeidskosten - vast tarief (excl eigen arbeid)]],""))</f>
        <v/>
      </c>
      <c r="BA66" t="str">
        <f>IF(ISNUMBER(FIND("overige",Methode_Keuze)),"",IF(Tb_Activiteiten[[#This Row],[Overige kosten]]=1,Tb_Activiteiten[[#Headers],[Overige kosten]],""))</f>
        <v/>
      </c>
    </row>
    <row r="67" spans="1:53" x14ac:dyDescent="0.25">
      <c r="A67" s="231"/>
      <c r="F67" s="64"/>
      <c r="G67" s="64"/>
      <c r="H67" s="275"/>
      <c r="I67" s="275"/>
      <c r="J67" s="275"/>
      <c r="K67" s="275"/>
      <c r="O67" s="56"/>
      <c r="Q67" t="str">
        <f>IFERROR(IF(VLOOKUP(Tb_Activiteiten[[#This Row],[Openstelling]],Tb_Openstelling[],2,0)=1,1,""),"")</f>
        <v/>
      </c>
      <c r="AK67" t="str">
        <f>IF(ISNUMBER(FIND("arbeid",Methode_Keuze)),"",IF(ISNUMBER(FIND("arbeid",Methode_Keuze)),"",IF(Tb_Activiteiten[[#This Row],[Loonkosten]]=1,Tb_Activiteiten[[#Headers],[Loonkosten]],"")))</f>
        <v/>
      </c>
      <c r="AL67" t="str">
        <f>IF(ISNUMBER(FIND("arbeid",Methode_Keuze)),"",IF(ISNUMBER(FIND("arbeid",Methode_Keuze)),"",IF(Tb_Activiteiten[[#This Row],[Eigen arbeid]]=1,Tb_Activiteiten[[#Headers],[Eigen arbeid]],"")))</f>
        <v/>
      </c>
      <c r="AM67" t="str">
        <f>IF(ISNUMBER(FIND("arbeid",Methode_Keuze)),"",IF(ISNUMBER(FIND("arbeid",Methode_Keuze)),"",IF(Tb_Activiteiten[[#This Row],[Projectmedewerker]]=1,Tb_Activiteiten[[#Headers],[Projectmedewerker]],"")))</f>
        <v/>
      </c>
      <c r="AN67" t="str">
        <f>IF(ISNUMBER(FIND("arbeid",Methode_Keuze)),"",IF(ISNUMBER(FIND("arbeid",Methode_Keuze)),"",IF(Tb_Activiteiten[[#This Row],[Landbouwer]]=1,Tb_Activiteiten[[#Headers],[Landbouwer]],"")))</f>
        <v/>
      </c>
      <c r="AO67" t="str">
        <f>IF(ISNUMBER(FIND("arbeid",Methode_Keuze)),"",IF(ISNUMBER(FIND("arbeid",Methode_Keuze)),"",IF(Tb_Activiteiten[[#This Row],[Adviseur]]=1,Tb_Activiteiten[[#Headers],[Adviseur]],"")))</f>
        <v/>
      </c>
      <c r="AP67" t="str">
        <f>IF(ISNUMBER(FIND("arbeid",Methode_Keuze)),"",IF(ISNUMBER(FIND("arbeid",Methode_Keuze)),"",IF(Tb_Activiteiten[[#This Row],[Projectleider/Expert]]=1,Tb_Activiteiten[[#Headers],[Projectleider/Expert]],"")))</f>
        <v/>
      </c>
      <c r="AQ67" t="str">
        <f>IF(ISNUMBER(FIND("arbeid",Methode_Keuze)),"",IF(ISNUMBER(FIND("arbeid",Methode_Keuze)),"",IF(Tb_Activiteiten[[#This Row],[Arbeidskosten]]=1,Tb_Activiteiten[[#Headers],[Arbeidskosten]],"")))</f>
        <v/>
      </c>
      <c r="AR67" t="str">
        <f>IF(ISNUMBER(FIND("arbeid",Methode_Keuze)),"",IF(ISNUMBER(FIND("arbeid",Methode_Keuze)),"",IF(Tb_Activiteiten[[#This Row],[Arbeidskosten op basis van IKS]]=1,Tb_Activiteiten[[#Headers],[Arbeidskosten op basis van IKS]],"")))</f>
        <v/>
      </c>
      <c r="AS67" t="str">
        <f>IF(ISNUMBER(FIND("overige",Methode_Keuze)),"",IF(Tb_Activiteiten[[#This Row],[Kosten derden exclusief btw]]=1,Tb_Activiteiten[[#Headers],[Kosten derden exclusief btw]],""))</f>
        <v/>
      </c>
      <c r="AT67" t="str">
        <f>IF(ISNUMBER(FIND("overige",Methode_Keuze)),"",IF(Tb_Activiteiten[[#This Row],[Niet verrekenbare btw]]=1,Tb_Activiteiten[[#Headers],[Niet verrekenbare btw]],""))</f>
        <v/>
      </c>
      <c r="AU67" t="str">
        <f>IF(ISNUMBER(FIND("overige",Methode_Keuze)),"",IF(Tb_Activiteiten[[#This Row],[Grondkosten]]=1,Tb_Activiteiten[[#Headers],[Grondkosten]],""))</f>
        <v/>
      </c>
      <c r="AV67" t="str">
        <f>IF(ISNUMBER(FIND("overige",Methode_Keuze)),"",IF(Tb_Activiteiten[[#This Row],[Bijdrage in natura (overige)]]=1,Tb_Activiteiten[[#Headers],[Bijdrage in natura (overige)]],""))</f>
        <v/>
      </c>
      <c r="AW67" t="str">
        <f>IF(ISNUMBER(FIND("overige",Methode_Keuze)),"",IF(Tb_Activiteiten[[#This Row],[Bijdrage in natura (vrijwilligers)]]=1,Tb_Activiteiten[[#Headers],[Bijdrage in natura (vrijwilligers)]],""))</f>
        <v/>
      </c>
      <c r="AX67" t="str">
        <f>IF(ISNUMBER(FIND("overige",Methode_Keuze)),"",IF(Tb_Activiteiten[[#This Row],[Afschrijvingskosten]]=1,Tb_Activiteiten[[#Headers],[Afschrijvingskosten]],""))</f>
        <v/>
      </c>
      <c r="AY67" t="str">
        <f>IF(ISNUMBER(FIND("overige",Methode_Keuze)),"",IF(Tb_Activiteiten[[#This Row],[Vergoeding]]=1,Tb_Activiteiten[[#Headers],[Vergoeding]],""))</f>
        <v/>
      </c>
      <c r="AZ67" t="str">
        <f>IF(ISNUMBER(FIND("arbeid",Methode_Keuze)),"",IF(Tb_Activiteiten[[#This Row],[Arbeidskosten - vast tarief (excl eigen arbeid)]]=1,Tb_Activiteiten[[#Headers],[Arbeidskosten - vast tarief (excl eigen arbeid)]],""))</f>
        <v/>
      </c>
      <c r="BA67" t="str">
        <f>IF(ISNUMBER(FIND("overige",Methode_Keuze)),"",IF(Tb_Activiteiten[[#This Row],[Overige kosten]]=1,Tb_Activiteiten[[#Headers],[Overige kosten]],""))</f>
        <v/>
      </c>
    </row>
    <row r="68" spans="1:53" x14ac:dyDescent="0.25">
      <c r="A68" s="231"/>
      <c r="F68" s="64"/>
      <c r="G68" s="64"/>
      <c r="H68" s="275"/>
      <c r="I68" s="275"/>
      <c r="J68" s="275"/>
      <c r="K68" s="275"/>
      <c r="O68" s="56"/>
      <c r="Q68" t="str">
        <f>IFERROR(IF(VLOOKUP(Tb_Activiteiten[[#This Row],[Openstelling]],Tb_Openstelling[],2,0)=1,1,""),"")</f>
        <v/>
      </c>
      <c r="AK68" t="str">
        <f>IF(ISNUMBER(FIND("arbeid",Methode_Keuze)),"",IF(ISNUMBER(FIND("arbeid",Methode_Keuze)),"",IF(Tb_Activiteiten[[#This Row],[Loonkosten]]=1,Tb_Activiteiten[[#Headers],[Loonkosten]],"")))</f>
        <v/>
      </c>
      <c r="AL68" t="str">
        <f>IF(ISNUMBER(FIND("arbeid",Methode_Keuze)),"",IF(ISNUMBER(FIND("arbeid",Methode_Keuze)),"",IF(Tb_Activiteiten[[#This Row],[Eigen arbeid]]=1,Tb_Activiteiten[[#Headers],[Eigen arbeid]],"")))</f>
        <v/>
      </c>
      <c r="AM68" t="str">
        <f>IF(ISNUMBER(FIND("arbeid",Methode_Keuze)),"",IF(ISNUMBER(FIND("arbeid",Methode_Keuze)),"",IF(Tb_Activiteiten[[#This Row],[Projectmedewerker]]=1,Tb_Activiteiten[[#Headers],[Projectmedewerker]],"")))</f>
        <v/>
      </c>
      <c r="AN68" t="str">
        <f>IF(ISNUMBER(FIND("arbeid",Methode_Keuze)),"",IF(ISNUMBER(FIND("arbeid",Methode_Keuze)),"",IF(Tb_Activiteiten[[#This Row],[Landbouwer]]=1,Tb_Activiteiten[[#Headers],[Landbouwer]],"")))</f>
        <v/>
      </c>
      <c r="AO68" t="str">
        <f>IF(ISNUMBER(FIND("arbeid",Methode_Keuze)),"",IF(ISNUMBER(FIND("arbeid",Methode_Keuze)),"",IF(Tb_Activiteiten[[#This Row],[Adviseur]]=1,Tb_Activiteiten[[#Headers],[Adviseur]],"")))</f>
        <v/>
      </c>
      <c r="AP68" t="str">
        <f>IF(ISNUMBER(FIND("arbeid",Methode_Keuze)),"",IF(ISNUMBER(FIND("arbeid",Methode_Keuze)),"",IF(Tb_Activiteiten[[#This Row],[Projectleider/Expert]]=1,Tb_Activiteiten[[#Headers],[Projectleider/Expert]],"")))</f>
        <v/>
      </c>
      <c r="AQ68" t="str">
        <f>IF(ISNUMBER(FIND("arbeid",Methode_Keuze)),"",IF(ISNUMBER(FIND("arbeid",Methode_Keuze)),"",IF(Tb_Activiteiten[[#This Row],[Arbeidskosten]]=1,Tb_Activiteiten[[#Headers],[Arbeidskosten]],"")))</f>
        <v/>
      </c>
      <c r="AR68" t="str">
        <f>IF(ISNUMBER(FIND("arbeid",Methode_Keuze)),"",IF(ISNUMBER(FIND("arbeid",Methode_Keuze)),"",IF(Tb_Activiteiten[[#This Row],[Arbeidskosten op basis van IKS]]=1,Tb_Activiteiten[[#Headers],[Arbeidskosten op basis van IKS]],"")))</f>
        <v/>
      </c>
      <c r="AS68" t="str">
        <f>IF(ISNUMBER(FIND("overige",Methode_Keuze)),"",IF(Tb_Activiteiten[[#This Row],[Kosten derden exclusief btw]]=1,Tb_Activiteiten[[#Headers],[Kosten derden exclusief btw]],""))</f>
        <v/>
      </c>
      <c r="AT68" t="str">
        <f>IF(ISNUMBER(FIND("overige",Methode_Keuze)),"",IF(Tb_Activiteiten[[#This Row],[Niet verrekenbare btw]]=1,Tb_Activiteiten[[#Headers],[Niet verrekenbare btw]],""))</f>
        <v/>
      </c>
      <c r="AU68" t="str">
        <f>IF(ISNUMBER(FIND("overige",Methode_Keuze)),"",IF(Tb_Activiteiten[[#This Row],[Grondkosten]]=1,Tb_Activiteiten[[#Headers],[Grondkosten]],""))</f>
        <v/>
      </c>
      <c r="AV68" t="str">
        <f>IF(ISNUMBER(FIND("overige",Methode_Keuze)),"",IF(Tb_Activiteiten[[#This Row],[Bijdrage in natura (overige)]]=1,Tb_Activiteiten[[#Headers],[Bijdrage in natura (overige)]],""))</f>
        <v/>
      </c>
      <c r="AW68" t="str">
        <f>IF(ISNUMBER(FIND("overige",Methode_Keuze)),"",IF(Tb_Activiteiten[[#This Row],[Bijdrage in natura (vrijwilligers)]]=1,Tb_Activiteiten[[#Headers],[Bijdrage in natura (vrijwilligers)]],""))</f>
        <v/>
      </c>
      <c r="AX68" t="str">
        <f>IF(ISNUMBER(FIND("overige",Methode_Keuze)),"",IF(Tb_Activiteiten[[#This Row],[Afschrijvingskosten]]=1,Tb_Activiteiten[[#Headers],[Afschrijvingskosten]],""))</f>
        <v/>
      </c>
      <c r="AY68" t="str">
        <f>IF(ISNUMBER(FIND("overige",Methode_Keuze)),"",IF(Tb_Activiteiten[[#This Row],[Vergoeding]]=1,Tb_Activiteiten[[#Headers],[Vergoeding]],""))</f>
        <v/>
      </c>
      <c r="AZ68" t="str">
        <f>IF(ISNUMBER(FIND("arbeid",Methode_Keuze)),"",IF(Tb_Activiteiten[[#This Row],[Arbeidskosten - vast tarief (excl eigen arbeid)]]=1,Tb_Activiteiten[[#Headers],[Arbeidskosten - vast tarief (excl eigen arbeid)]],""))</f>
        <v/>
      </c>
      <c r="BA68" t="str">
        <f>IF(ISNUMBER(FIND("overige",Methode_Keuze)),"",IF(Tb_Activiteiten[[#This Row],[Overige kosten]]=1,Tb_Activiteiten[[#Headers],[Overige kosten]],""))</f>
        <v/>
      </c>
    </row>
    <row r="69" spans="1:53" x14ac:dyDescent="0.25">
      <c r="A69" s="231"/>
      <c r="F69" s="64"/>
      <c r="G69" s="64"/>
      <c r="H69" s="275"/>
      <c r="I69" s="275"/>
      <c r="J69" s="275"/>
      <c r="K69" s="275"/>
      <c r="O69" s="56"/>
      <c r="Q69" t="str">
        <f>IFERROR(IF(VLOOKUP(Tb_Activiteiten[[#This Row],[Openstelling]],Tb_Openstelling[],2,0)=1,1,""),"")</f>
        <v/>
      </c>
      <c r="AK69" t="str">
        <f>IF(ISNUMBER(FIND("arbeid",Methode_Keuze)),"",IF(ISNUMBER(FIND("arbeid",Methode_Keuze)),"",IF(Tb_Activiteiten[[#This Row],[Loonkosten]]=1,Tb_Activiteiten[[#Headers],[Loonkosten]],"")))</f>
        <v/>
      </c>
      <c r="AL69" t="str">
        <f>IF(ISNUMBER(FIND("arbeid",Methode_Keuze)),"",IF(ISNUMBER(FIND("arbeid",Methode_Keuze)),"",IF(Tb_Activiteiten[[#This Row],[Eigen arbeid]]=1,Tb_Activiteiten[[#Headers],[Eigen arbeid]],"")))</f>
        <v/>
      </c>
      <c r="AM69" t="str">
        <f>IF(ISNUMBER(FIND("arbeid",Methode_Keuze)),"",IF(ISNUMBER(FIND("arbeid",Methode_Keuze)),"",IF(Tb_Activiteiten[[#This Row],[Projectmedewerker]]=1,Tb_Activiteiten[[#Headers],[Projectmedewerker]],"")))</f>
        <v/>
      </c>
      <c r="AN69" t="str">
        <f>IF(ISNUMBER(FIND("arbeid",Methode_Keuze)),"",IF(ISNUMBER(FIND("arbeid",Methode_Keuze)),"",IF(Tb_Activiteiten[[#This Row],[Landbouwer]]=1,Tb_Activiteiten[[#Headers],[Landbouwer]],"")))</f>
        <v/>
      </c>
      <c r="AO69" t="str">
        <f>IF(ISNUMBER(FIND("arbeid",Methode_Keuze)),"",IF(ISNUMBER(FIND("arbeid",Methode_Keuze)),"",IF(Tb_Activiteiten[[#This Row],[Adviseur]]=1,Tb_Activiteiten[[#Headers],[Adviseur]],"")))</f>
        <v/>
      </c>
      <c r="AP69" t="str">
        <f>IF(ISNUMBER(FIND("arbeid",Methode_Keuze)),"",IF(ISNUMBER(FIND("arbeid",Methode_Keuze)),"",IF(Tb_Activiteiten[[#This Row],[Projectleider/Expert]]=1,Tb_Activiteiten[[#Headers],[Projectleider/Expert]],"")))</f>
        <v/>
      </c>
      <c r="AQ69" t="str">
        <f>IF(ISNUMBER(FIND("arbeid",Methode_Keuze)),"",IF(ISNUMBER(FIND("arbeid",Methode_Keuze)),"",IF(Tb_Activiteiten[[#This Row],[Arbeidskosten]]=1,Tb_Activiteiten[[#Headers],[Arbeidskosten]],"")))</f>
        <v/>
      </c>
      <c r="AR69" t="str">
        <f>IF(ISNUMBER(FIND("arbeid",Methode_Keuze)),"",IF(ISNUMBER(FIND("arbeid",Methode_Keuze)),"",IF(Tb_Activiteiten[[#This Row],[Arbeidskosten op basis van IKS]]=1,Tb_Activiteiten[[#Headers],[Arbeidskosten op basis van IKS]],"")))</f>
        <v/>
      </c>
      <c r="AS69" t="str">
        <f>IF(ISNUMBER(FIND("overige",Methode_Keuze)),"",IF(Tb_Activiteiten[[#This Row],[Kosten derden exclusief btw]]=1,Tb_Activiteiten[[#Headers],[Kosten derden exclusief btw]],""))</f>
        <v/>
      </c>
      <c r="AT69" t="str">
        <f>IF(ISNUMBER(FIND("overige",Methode_Keuze)),"",IF(Tb_Activiteiten[[#This Row],[Niet verrekenbare btw]]=1,Tb_Activiteiten[[#Headers],[Niet verrekenbare btw]],""))</f>
        <v/>
      </c>
      <c r="AU69" t="str">
        <f>IF(ISNUMBER(FIND("overige",Methode_Keuze)),"",IF(Tb_Activiteiten[[#This Row],[Grondkosten]]=1,Tb_Activiteiten[[#Headers],[Grondkosten]],""))</f>
        <v/>
      </c>
      <c r="AV69" t="str">
        <f>IF(ISNUMBER(FIND("overige",Methode_Keuze)),"",IF(Tb_Activiteiten[[#This Row],[Bijdrage in natura (overige)]]=1,Tb_Activiteiten[[#Headers],[Bijdrage in natura (overige)]],""))</f>
        <v/>
      </c>
      <c r="AW69" t="str">
        <f>IF(ISNUMBER(FIND("overige",Methode_Keuze)),"",IF(Tb_Activiteiten[[#This Row],[Bijdrage in natura (vrijwilligers)]]=1,Tb_Activiteiten[[#Headers],[Bijdrage in natura (vrijwilligers)]],""))</f>
        <v/>
      </c>
      <c r="AX69" t="str">
        <f>IF(ISNUMBER(FIND("overige",Methode_Keuze)),"",IF(Tb_Activiteiten[[#This Row],[Afschrijvingskosten]]=1,Tb_Activiteiten[[#Headers],[Afschrijvingskosten]],""))</f>
        <v/>
      </c>
      <c r="AY69" t="str">
        <f>IF(ISNUMBER(FIND("overige",Methode_Keuze)),"",IF(Tb_Activiteiten[[#This Row],[Vergoeding]]=1,Tb_Activiteiten[[#Headers],[Vergoeding]],""))</f>
        <v/>
      </c>
      <c r="AZ69" t="str">
        <f>IF(ISNUMBER(FIND("arbeid",Methode_Keuze)),"",IF(Tb_Activiteiten[[#This Row],[Arbeidskosten - vast tarief (excl eigen arbeid)]]=1,Tb_Activiteiten[[#Headers],[Arbeidskosten - vast tarief (excl eigen arbeid)]],""))</f>
        <v/>
      </c>
      <c r="BA69" t="str">
        <f>IF(ISNUMBER(FIND("overige",Methode_Keuze)),"",IF(Tb_Activiteiten[[#This Row],[Overige kosten]]=1,Tb_Activiteiten[[#Headers],[Overige kosten]],""))</f>
        <v/>
      </c>
    </row>
    <row r="70" spans="1:53" x14ac:dyDescent="0.25">
      <c r="A70" s="231"/>
      <c r="F70" s="64"/>
      <c r="G70" s="64"/>
      <c r="H70" s="275"/>
      <c r="I70" s="275"/>
      <c r="J70" s="275"/>
      <c r="K70" s="275"/>
      <c r="O70" s="56"/>
      <c r="Q70" t="str">
        <f>IFERROR(IF(VLOOKUP(Tb_Activiteiten[[#This Row],[Openstelling]],Tb_Openstelling[],2,0)=1,1,""),"")</f>
        <v/>
      </c>
      <c r="AK70" t="str">
        <f>IF(ISNUMBER(FIND("arbeid",Methode_Keuze)),"",IF(ISNUMBER(FIND("arbeid",Methode_Keuze)),"",IF(Tb_Activiteiten[[#This Row],[Loonkosten]]=1,Tb_Activiteiten[[#Headers],[Loonkosten]],"")))</f>
        <v/>
      </c>
      <c r="AL70" t="str">
        <f>IF(ISNUMBER(FIND("arbeid",Methode_Keuze)),"",IF(ISNUMBER(FIND("arbeid",Methode_Keuze)),"",IF(Tb_Activiteiten[[#This Row],[Eigen arbeid]]=1,Tb_Activiteiten[[#Headers],[Eigen arbeid]],"")))</f>
        <v/>
      </c>
      <c r="AM70" t="str">
        <f>IF(ISNUMBER(FIND("arbeid",Methode_Keuze)),"",IF(ISNUMBER(FIND("arbeid",Methode_Keuze)),"",IF(Tb_Activiteiten[[#This Row],[Projectmedewerker]]=1,Tb_Activiteiten[[#Headers],[Projectmedewerker]],"")))</f>
        <v/>
      </c>
      <c r="AN70" t="str">
        <f>IF(ISNUMBER(FIND("arbeid",Methode_Keuze)),"",IF(ISNUMBER(FIND("arbeid",Methode_Keuze)),"",IF(Tb_Activiteiten[[#This Row],[Landbouwer]]=1,Tb_Activiteiten[[#Headers],[Landbouwer]],"")))</f>
        <v/>
      </c>
      <c r="AO70" t="str">
        <f>IF(ISNUMBER(FIND("arbeid",Methode_Keuze)),"",IF(ISNUMBER(FIND("arbeid",Methode_Keuze)),"",IF(Tb_Activiteiten[[#This Row],[Adviseur]]=1,Tb_Activiteiten[[#Headers],[Adviseur]],"")))</f>
        <v/>
      </c>
      <c r="AP70" t="str">
        <f>IF(ISNUMBER(FIND("arbeid",Methode_Keuze)),"",IF(ISNUMBER(FIND("arbeid",Methode_Keuze)),"",IF(Tb_Activiteiten[[#This Row],[Projectleider/Expert]]=1,Tb_Activiteiten[[#Headers],[Projectleider/Expert]],"")))</f>
        <v/>
      </c>
      <c r="AQ70" t="str">
        <f>IF(ISNUMBER(FIND("arbeid",Methode_Keuze)),"",IF(ISNUMBER(FIND("arbeid",Methode_Keuze)),"",IF(Tb_Activiteiten[[#This Row],[Arbeidskosten]]=1,Tb_Activiteiten[[#Headers],[Arbeidskosten]],"")))</f>
        <v/>
      </c>
      <c r="AR70" t="str">
        <f>IF(ISNUMBER(FIND("arbeid",Methode_Keuze)),"",IF(ISNUMBER(FIND("arbeid",Methode_Keuze)),"",IF(Tb_Activiteiten[[#This Row],[Arbeidskosten op basis van IKS]]=1,Tb_Activiteiten[[#Headers],[Arbeidskosten op basis van IKS]],"")))</f>
        <v/>
      </c>
      <c r="AS70" t="str">
        <f>IF(ISNUMBER(FIND("overige",Methode_Keuze)),"",IF(Tb_Activiteiten[[#This Row],[Kosten derden exclusief btw]]=1,Tb_Activiteiten[[#Headers],[Kosten derden exclusief btw]],""))</f>
        <v/>
      </c>
      <c r="AT70" t="str">
        <f>IF(ISNUMBER(FIND("overige",Methode_Keuze)),"",IF(Tb_Activiteiten[[#This Row],[Niet verrekenbare btw]]=1,Tb_Activiteiten[[#Headers],[Niet verrekenbare btw]],""))</f>
        <v/>
      </c>
      <c r="AU70" t="str">
        <f>IF(ISNUMBER(FIND("overige",Methode_Keuze)),"",IF(Tb_Activiteiten[[#This Row],[Grondkosten]]=1,Tb_Activiteiten[[#Headers],[Grondkosten]],""))</f>
        <v/>
      </c>
      <c r="AV70" t="str">
        <f>IF(ISNUMBER(FIND("overige",Methode_Keuze)),"",IF(Tb_Activiteiten[[#This Row],[Bijdrage in natura (overige)]]=1,Tb_Activiteiten[[#Headers],[Bijdrage in natura (overige)]],""))</f>
        <v/>
      </c>
      <c r="AW70" t="str">
        <f>IF(ISNUMBER(FIND("overige",Methode_Keuze)),"",IF(Tb_Activiteiten[[#This Row],[Bijdrage in natura (vrijwilligers)]]=1,Tb_Activiteiten[[#Headers],[Bijdrage in natura (vrijwilligers)]],""))</f>
        <v/>
      </c>
      <c r="AX70" t="str">
        <f>IF(ISNUMBER(FIND("overige",Methode_Keuze)),"",IF(Tb_Activiteiten[[#This Row],[Afschrijvingskosten]]=1,Tb_Activiteiten[[#Headers],[Afschrijvingskosten]],""))</f>
        <v/>
      </c>
      <c r="AY70" t="str">
        <f>IF(ISNUMBER(FIND("overige",Methode_Keuze)),"",IF(Tb_Activiteiten[[#This Row],[Vergoeding]]=1,Tb_Activiteiten[[#Headers],[Vergoeding]],""))</f>
        <v/>
      </c>
      <c r="AZ70" t="str">
        <f>IF(ISNUMBER(FIND("arbeid",Methode_Keuze)),"",IF(Tb_Activiteiten[[#This Row],[Arbeidskosten - vast tarief (excl eigen arbeid)]]=1,Tb_Activiteiten[[#Headers],[Arbeidskosten - vast tarief (excl eigen arbeid)]],""))</f>
        <v/>
      </c>
      <c r="BA70" t="str">
        <f>IF(ISNUMBER(FIND("overige",Methode_Keuze)),"",IF(Tb_Activiteiten[[#This Row],[Overige kosten]]=1,Tb_Activiteiten[[#Headers],[Overige kosten]],""))</f>
        <v/>
      </c>
    </row>
    <row r="71" spans="1:53" x14ac:dyDescent="0.25">
      <c r="A71" s="231"/>
      <c r="F71" s="64"/>
      <c r="G71" s="64"/>
      <c r="H71" s="275"/>
      <c r="I71" s="275"/>
      <c r="J71" s="275"/>
      <c r="K71" s="275"/>
      <c r="O71" s="56"/>
      <c r="Q71" t="str">
        <f>IFERROR(IF(VLOOKUP(Tb_Activiteiten[[#This Row],[Openstelling]],Tb_Openstelling[],2,0)=1,1,""),"")</f>
        <v/>
      </c>
      <c r="AK71" t="str">
        <f>IF(ISNUMBER(FIND("arbeid",Methode_Keuze)),"",IF(ISNUMBER(FIND("arbeid",Methode_Keuze)),"",IF(Tb_Activiteiten[[#This Row],[Loonkosten]]=1,Tb_Activiteiten[[#Headers],[Loonkosten]],"")))</f>
        <v/>
      </c>
      <c r="AL71" t="str">
        <f>IF(ISNUMBER(FIND("arbeid",Methode_Keuze)),"",IF(ISNUMBER(FIND("arbeid",Methode_Keuze)),"",IF(Tb_Activiteiten[[#This Row],[Eigen arbeid]]=1,Tb_Activiteiten[[#Headers],[Eigen arbeid]],"")))</f>
        <v/>
      </c>
      <c r="AM71" t="str">
        <f>IF(ISNUMBER(FIND("arbeid",Methode_Keuze)),"",IF(ISNUMBER(FIND("arbeid",Methode_Keuze)),"",IF(Tb_Activiteiten[[#This Row],[Projectmedewerker]]=1,Tb_Activiteiten[[#Headers],[Projectmedewerker]],"")))</f>
        <v/>
      </c>
      <c r="AN71" t="str">
        <f>IF(ISNUMBER(FIND("arbeid",Methode_Keuze)),"",IF(ISNUMBER(FIND("arbeid",Methode_Keuze)),"",IF(Tb_Activiteiten[[#This Row],[Landbouwer]]=1,Tb_Activiteiten[[#Headers],[Landbouwer]],"")))</f>
        <v/>
      </c>
      <c r="AO71" t="str">
        <f>IF(ISNUMBER(FIND("arbeid",Methode_Keuze)),"",IF(ISNUMBER(FIND("arbeid",Methode_Keuze)),"",IF(Tb_Activiteiten[[#This Row],[Adviseur]]=1,Tb_Activiteiten[[#Headers],[Adviseur]],"")))</f>
        <v/>
      </c>
      <c r="AP71" t="str">
        <f>IF(ISNUMBER(FIND("arbeid",Methode_Keuze)),"",IF(ISNUMBER(FIND("arbeid",Methode_Keuze)),"",IF(Tb_Activiteiten[[#This Row],[Projectleider/Expert]]=1,Tb_Activiteiten[[#Headers],[Projectleider/Expert]],"")))</f>
        <v/>
      </c>
      <c r="AQ71" t="str">
        <f>IF(ISNUMBER(FIND("arbeid",Methode_Keuze)),"",IF(ISNUMBER(FIND("arbeid",Methode_Keuze)),"",IF(Tb_Activiteiten[[#This Row],[Arbeidskosten]]=1,Tb_Activiteiten[[#Headers],[Arbeidskosten]],"")))</f>
        <v/>
      </c>
      <c r="AR71" t="str">
        <f>IF(ISNUMBER(FIND("arbeid",Methode_Keuze)),"",IF(ISNUMBER(FIND("arbeid",Methode_Keuze)),"",IF(Tb_Activiteiten[[#This Row],[Arbeidskosten op basis van IKS]]=1,Tb_Activiteiten[[#Headers],[Arbeidskosten op basis van IKS]],"")))</f>
        <v/>
      </c>
      <c r="AS71" t="str">
        <f>IF(ISNUMBER(FIND("overige",Methode_Keuze)),"",IF(Tb_Activiteiten[[#This Row],[Kosten derden exclusief btw]]=1,Tb_Activiteiten[[#Headers],[Kosten derden exclusief btw]],""))</f>
        <v/>
      </c>
      <c r="AT71" t="str">
        <f>IF(ISNUMBER(FIND("overige",Methode_Keuze)),"",IF(Tb_Activiteiten[[#This Row],[Niet verrekenbare btw]]=1,Tb_Activiteiten[[#Headers],[Niet verrekenbare btw]],""))</f>
        <v/>
      </c>
      <c r="AU71" t="str">
        <f>IF(ISNUMBER(FIND("overige",Methode_Keuze)),"",IF(Tb_Activiteiten[[#This Row],[Grondkosten]]=1,Tb_Activiteiten[[#Headers],[Grondkosten]],""))</f>
        <v/>
      </c>
      <c r="AV71" t="str">
        <f>IF(ISNUMBER(FIND("overige",Methode_Keuze)),"",IF(Tb_Activiteiten[[#This Row],[Bijdrage in natura (overige)]]=1,Tb_Activiteiten[[#Headers],[Bijdrage in natura (overige)]],""))</f>
        <v/>
      </c>
      <c r="AW71" t="str">
        <f>IF(ISNUMBER(FIND("overige",Methode_Keuze)),"",IF(Tb_Activiteiten[[#This Row],[Bijdrage in natura (vrijwilligers)]]=1,Tb_Activiteiten[[#Headers],[Bijdrage in natura (vrijwilligers)]],""))</f>
        <v/>
      </c>
      <c r="AX71" t="str">
        <f>IF(ISNUMBER(FIND("overige",Methode_Keuze)),"",IF(Tb_Activiteiten[[#This Row],[Afschrijvingskosten]]=1,Tb_Activiteiten[[#Headers],[Afschrijvingskosten]],""))</f>
        <v/>
      </c>
      <c r="AY71" t="str">
        <f>IF(ISNUMBER(FIND("overige",Methode_Keuze)),"",IF(Tb_Activiteiten[[#This Row],[Vergoeding]]=1,Tb_Activiteiten[[#Headers],[Vergoeding]],""))</f>
        <v/>
      </c>
      <c r="AZ71" t="str">
        <f>IF(ISNUMBER(FIND("arbeid",Methode_Keuze)),"",IF(Tb_Activiteiten[[#This Row],[Arbeidskosten - vast tarief (excl eigen arbeid)]]=1,Tb_Activiteiten[[#Headers],[Arbeidskosten - vast tarief (excl eigen arbeid)]],""))</f>
        <v/>
      </c>
      <c r="BA71" t="str">
        <f>IF(ISNUMBER(FIND("overige",Methode_Keuze)),"",IF(Tb_Activiteiten[[#This Row],[Overige kosten]]=1,Tb_Activiteiten[[#Headers],[Overige kosten]],""))</f>
        <v/>
      </c>
    </row>
    <row r="72" spans="1:53" x14ac:dyDescent="0.25">
      <c r="A72" s="231"/>
      <c r="F72" s="64"/>
      <c r="G72" s="64"/>
      <c r="H72" s="275"/>
      <c r="I72" s="275"/>
      <c r="J72" s="275"/>
      <c r="K72" s="275"/>
      <c r="O72" s="56"/>
      <c r="Q72" t="str">
        <f>IFERROR(IF(VLOOKUP(Tb_Activiteiten[[#This Row],[Openstelling]],Tb_Openstelling[],2,0)=1,1,""),"")</f>
        <v/>
      </c>
      <c r="AK72" t="str">
        <f>IF(ISNUMBER(FIND("arbeid",Methode_Keuze)),"",IF(ISNUMBER(FIND("arbeid",Methode_Keuze)),"",IF(Tb_Activiteiten[[#This Row],[Loonkosten]]=1,Tb_Activiteiten[[#Headers],[Loonkosten]],"")))</f>
        <v/>
      </c>
      <c r="AL72" t="str">
        <f>IF(ISNUMBER(FIND("arbeid",Methode_Keuze)),"",IF(ISNUMBER(FIND("arbeid",Methode_Keuze)),"",IF(Tb_Activiteiten[[#This Row],[Eigen arbeid]]=1,Tb_Activiteiten[[#Headers],[Eigen arbeid]],"")))</f>
        <v/>
      </c>
      <c r="AM72" t="str">
        <f>IF(ISNUMBER(FIND("arbeid",Methode_Keuze)),"",IF(ISNUMBER(FIND("arbeid",Methode_Keuze)),"",IF(Tb_Activiteiten[[#This Row],[Projectmedewerker]]=1,Tb_Activiteiten[[#Headers],[Projectmedewerker]],"")))</f>
        <v/>
      </c>
      <c r="AN72" t="str">
        <f>IF(ISNUMBER(FIND("arbeid",Methode_Keuze)),"",IF(ISNUMBER(FIND("arbeid",Methode_Keuze)),"",IF(Tb_Activiteiten[[#This Row],[Landbouwer]]=1,Tb_Activiteiten[[#Headers],[Landbouwer]],"")))</f>
        <v/>
      </c>
      <c r="AO72" t="str">
        <f>IF(ISNUMBER(FIND("arbeid",Methode_Keuze)),"",IF(ISNUMBER(FIND("arbeid",Methode_Keuze)),"",IF(Tb_Activiteiten[[#This Row],[Adviseur]]=1,Tb_Activiteiten[[#Headers],[Adviseur]],"")))</f>
        <v/>
      </c>
      <c r="AP72" t="str">
        <f>IF(ISNUMBER(FIND("arbeid",Methode_Keuze)),"",IF(ISNUMBER(FIND("arbeid",Methode_Keuze)),"",IF(Tb_Activiteiten[[#This Row],[Projectleider/Expert]]=1,Tb_Activiteiten[[#Headers],[Projectleider/Expert]],"")))</f>
        <v/>
      </c>
      <c r="AQ72" t="str">
        <f>IF(ISNUMBER(FIND("arbeid",Methode_Keuze)),"",IF(ISNUMBER(FIND("arbeid",Methode_Keuze)),"",IF(Tb_Activiteiten[[#This Row],[Arbeidskosten]]=1,Tb_Activiteiten[[#Headers],[Arbeidskosten]],"")))</f>
        <v/>
      </c>
      <c r="AR72" t="str">
        <f>IF(ISNUMBER(FIND("arbeid",Methode_Keuze)),"",IF(ISNUMBER(FIND("arbeid",Methode_Keuze)),"",IF(Tb_Activiteiten[[#This Row],[Arbeidskosten op basis van IKS]]=1,Tb_Activiteiten[[#Headers],[Arbeidskosten op basis van IKS]],"")))</f>
        <v/>
      </c>
      <c r="AS72" t="str">
        <f>IF(ISNUMBER(FIND("overige",Methode_Keuze)),"",IF(Tb_Activiteiten[[#This Row],[Kosten derden exclusief btw]]=1,Tb_Activiteiten[[#Headers],[Kosten derden exclusief btw]],""))</f>
        <v/>
      </c>
      <c r="AT72" t="str">
        <f>IF(ISNUMBER(FIND("overige",Methode_Keuze)),"",IF(Tb_Activiteiten[[#This Row],[Niet verrekenbare btw]]=1,Tb_Activiteiten[[#Headers],[Niet verrekenbare btw]],""))</f>
        <v/>
      </c>
      <c r="AU72" t="str">
        <f>IF(ISNUMBER(FIND("overige",Methode_Keuze)),"",IF(Tb_Activiteiten[[#This Row],[Grondkosten]]=1,Tb_Activiteiten[[#Headers],[Grondkosten]],""))</f>
        <v/>
      </c>
      <c r="AV72" t="str">
        <f>IF(ISNUMBER(FIND("overige",Methode_Keuze)),"",IF(Tb_Activiteiten[[#This Row],[Bijdrage in natura (overige)]]=1,Tb_Activiteiten[[#Headers],[Bijdrage in natura (overige)]],""))</f>
        <v/>
      </c>
      <c r="AW72" t="str">
        <f>IF(ISNUMBER(FIND("overige",Methode_Keuze)),"",IF(Tb_Activiteiten[[#This Row],[Bijdrage in natura (vrijwilligers)]]=1,Tb_Activiteiten[[#Headers],[Bijdrage in natura (vrijwilligers)]],""))</f>
        <v/>
      </c>
      <c r="AX72" t="str">
        <f>IF(ISNUMBER(FIND("overige",Methode_Keuze)),"",IF(Tb_Activiteiten[[#This Row],[Afschrijvingskosten]]=1,Tb_Activiteiten[[#Headers],[Afschrijvingskosten]],""))</f>
        <v/>
      </c>
      <c r="AY72" t="str">
        <f>IF(ISNUMBER(FIND("overige",Methode_Keuze)),"",IF(Tb_Activiteiten[[#This Row],[Vergoeding]]=1,Tb_Activiteiten[[#Headers],[Vergoeding]],""))</f>
        <v/>
      </c>
      <c r="AZ72" t="str">
        <f>IF(ISNUMBER(FIND("arbeid",Methode_Keuze)),"",IF(Tb_Activiteiten[[#This Row],[Arbeidskosten - vast tarief (excl eigen arbeid)]]=1,Tb_Activiteiten[[#Headers],[Arbeidskosten - vast tarief (excl eigen arbeid)]],""))</f>
        <v/>
      </c>
      <c r="BA72" t="str">
        <f>IF(ISNUMBER(FIND("overige",Methode_Keuze)),"",IF(Tb_Activiteiten[[#This Row],[Overige kosten]]=1,Tb_Activiteiten[[#Headers],[Overige kosten]],""))</f>
        <v/>
      </c>
    </row>
    <row r="73" spans="1:53" x14ac:dyDescent="0.25">
      <c r="A73" s="231"/>
      <c r="F73" s="64"/>
      <c r="G73" s="64"/>
      <c r="H73" s="275"/>
      <c r="I73" s="275"/>
      <c r="J73" s="275"/>
      <c r="K73" s="275"/>
      <c r="O73" s="56"/>
      <c r="Q73" t="str">
        <f>IFERROR(IF(VLOOKUP(Tb_Activiteiten[[#This Row],[Openstelling]],Tb_Openstelling[],2,0)=1,1,""),"")</f>
        <v/>
      </c>
      <c r="AK73" t="str">
        <f>IF(ISNUMBER(FIND("arbeid",Methode_Keuze)),"",IF(ISNUMBER(FIND("arbeid",Methode_Keuze)),"",IF(Tb_Activiteiten[[#This Row],[Loonkosten]]=1,Tb_Activiteiten[[#Headers],[Loonkosten]],"")))</f>
        <v/>
      </c>
      <c r="AL73" t="str">
        <f>IF(ISNUMBER(FIND("arbeid",Methode_Keuze)),"",IF(ISNUMBER(FIND("arbeid",Methode_Keuze)),"",IF(Tb_Activiteiten[[#This Row],[Eigen arbeid]]=1,Tb_Activiteiten[[#Headers],[Eigen arbeid]],"")))</f>
        <v/>
      </c>
      <c r="AM73" t="str">
        <f>IF(ISNUMBER(FIND("arbeid",Methode_Keuze)),"",IF(ISNUMBER(FIND("arbeid",Methode_Keuze)),"",IF(Tb_Activiteiten[[#This Row],[Projectmedewerker]]=1,Tb_Activiteiten[[#Headers],[Projectmedewerker]],"")))</f>
        <v/>
      </c>
      <c r="AN73" t="str">
        <f>IF(ISNUMBER(FIND("arbeid",Methode_Keuze)),"",IF(ISNUMBER(FIND("arbeid",Methode_Keuze)),"",IF(Tb_Activiteiten[[#This Row],[Landbouwer]]=1,Tb_Activiteiten[[#Headers],[Landbouwer]],"")))</f>
        <v/>
      </c>
      <c r="AO73" t="str">
        <f>IF(ISNUMBER(FIND("arbeid",Methode_Keuze)),"",IF(ISNUMBER(FIND("arbeid",Methode_Keuze)),"",IF(Tb_Activiteiten[[#This Row],[Adviseur]]=1,Tb_Activiteiten[[#Headers],[Adviseur]],"")))</f>
        <v/>
      </c>
      <c r="AP73" t="str">
        <f>IF(ISNUMBER(FIND("arbeid",Methode_Keuze)),"",IF(ISNUMBER(FIND("arbeid",Methode_Keuze)),"",IF(Tb_Activiteiten[[#This Row],[Projectleider/Expert]]=1,Tb_Activiteiten[[#Headers],[Projectleider/Expert]],"")))</f>
        <v/>
      </c>
      <c r="AQ73" t="str">
        <f>IF(ISNUMBER(FIND("arbeid",Methode_Keuze)),"",IF(ISNUMBER(FIND("arbeid",Methode_Keuze)),"",IF(Tb_Activiteiten[[#This Row],[Arbeidskosten]]=1,Tb_Activiteiten[[#Headers],[Arbeidskosten]],"")))</f>
        <v/>
      </c>
      <c r="AR73" t="str">
        <f>IF(ISNUMBER(FIND("arbeid",Methode_Keuze)),"",IF(ISNUMBER(FIND("arbeid",Methode_Keuze)),"",IF(Tb_Activiteiten[[#This Row],[Arbeidskosten op basis van IKS]]=1,Tb_Activiteiten[[#Headers],[Arbeidskosten op basis van IKS]],"")))</f>
        <v/>
      </c>
      <c r="AS73" t="str">
        <f>IF(ISNUMBER(FIND("overige",Methode_Keuze)),"",IF(Tb_Activiteiten[[#This Row],[Kosten derden exclusief btw]]=1,Tb_Activiteiten[[#Headers],[Kosten derden exclusief btw]],""))</f>
        <v/>
      </c>
      <c r="AT73" t="str">
        <f>IF(ISNUMBER(FIND("overige",Methode_Keuze)),"",IF(Tb_Activiteiten[[#This Row],[Niet verrekenbare btw]]=1,Tb_Activiteiten[[#Headers],[Niet verrekenbare btw]],""))</f>
        <v/>
      </c>
      <c r="AU73" t="str">
        <f>IF(ISNUMBER(FIND("overige",Methode_Keuze)),"",IF(Tb_Activiteiten[[#This Row],[Grondkosten]]=1,Tb_Activiteiten[[#Headers],[Grondkosten]],""))</f>
        <v/>
      </c>
      <c r="AV73" t="str">
        <f>IF(ISNUMBER(FIND("overige",Methode_Keuze)),"",IF(Tb_Activiteiten[[#This Row],[Bijdrage in natura (overige)]]=1,Tb_Activiteiten[[#Headers],[Bijdrage in natura (overige)]],""))</f>
        <v/>
      </c>
      <c r="AW73" t="str">
        <f>IF(ISNUMBER(FIND("overige",Methode_Keuze)),"",IF(Tb_Activiteiten[[#This Row],[Bijdrage in natura (vrijwilligers)]]=1,Tb_Activiteiten[[#Headers],[Bijdrage in natura (vrijwilligers)]],""))</f>
        <v/>
      </c>
      <c r="AX73" t="str">
        <f>IF(ISNUMBER(FIND("overige",Methode_Keuze)),"",IF(Tb_Activiteiten[[#This Row],[Afschrijvingskosten]]=1,Tb_Activiteiten[[#Headers],[Afschrijvingskosten]],""))</f>
        <v/>
      </c>
      <c r="AY73" t="str">
        <f>IF(ISNUMBER(FIND("overige",Methode_Keuze)),"",IF(Tb_Activiteiten[[#This Row],[Vergoeding]]=1,Tb_Activiteiten[[#Headers],[Vergoeding]],""))</f>
        <v/>
      </c>
      <c r="AZ73" t="str">
        <f>IF(ISNUMBER(FIND("arbeid",Methode_Keuze)),"",IF(Tb_Activiteiten[[#This Row],[Arbeidskosten - vast tarief (excl eigen arbeid)]]=1,Tb_Activiteiten[[#Headers],[Arbeidskosten - vast tarief (excl eigen arbeid)]],""))</f>
        <v/>
      </c>
      <c r="BA73" t="str">
        <f>IF(ISNUMBER(FIND("overige",Methode_Keuze)),"",IF(Tb_Activiteiten[[#This Row],[Overige kosten]]=1,Tb_Activiteiten[[#Headers],[Overige kosten]],""))</f>
        <v/>
      </c>
    </row>
    <row r="74" spans="1:53" x14ac:dyDescent="0.25">
      <c r="A74" s="231"/>
      <c r="F74" s="64"/>
      <c r="G74" s="64"/>
      <c r="H74" s="275"/>
      <c r="I74" s="275"/>
      <c r="J74" s="275"/>
      <c r="K74" s="275"/>
      <c r="O74" s="56"/>
      <c r="Q74" t="str">
        <f>IFERROR(IF(VLOOKUP(Tb_Activiteiten[[#This Row],[Openstelling]],Tb_Openstelling[],2,0)=1,1,""),"")</f>
        <v/>
      </c>
      <c r="AK74" t="str">
        <f>IF(ISNUMBER(FIND("arbeid",Methode_Keuze)),"",IF(ISNUMBER(FIND("arbeid",Methode_Keuze)),"",IF(Tb_Activiteiten[[#This Row],[Loonkosten]]=1,Tb_Activiteiten[[#Headers],[Loonkosten]],"")))</f>
        <v/>
      </c>
      <c r="AL74" t="str">
        <f>IF(ISNUMBER(FIND("arbeid",Methode_Keuze)),"",IF(ISNUMBER(FIND("arbeid",Methode_Keuze)),"",IF(Tb_Activiteiten[[#This Row],[Eigen arbeid]]=1,Tb_Activiteiten[[#Headers],[Eigen arbeid]],"")))</f>
        <v/>
      </c>
      <c r="AM74" t="str">
        <f>IF(ISNUMBER(FIND("arbeid",Methode_Keuze)),"",IF(ISNUMBER(FIND("arbeid",Methode_Keuze)),"",IF(Tb_Activiteiten[[#This Row],[Projectmedewerker]]=1,Tb_Activiteiten[[#Headers],[Projectmedewerker]],"")))</f>
        <v/>
      </c>
      <c r="AN74" t="str">
        <f>IF(ISNUMBER(FIND("arbeid",Methode_Keuze)),"",IF(ISNUMBER(FIND("arbeid",Methode_Keuze)),"",IF(Tb_Activiteiten[[#This Row],[Landbouwer]]=1,Tb_Activiteiten[[#Headers],[Landbouwer]],"")))</f>
        <v/>
      </c>
      <c r="AO74" t="str">
        <f>IF(ISNUMBER(FIND("arbeid",Methode_Keuze)),"",IF(ISNUMBER(FIND("arbeid",Methode_Keuze)),"",IF(Tb_Activiteiten[[#This Row],[Adviseur]]=1,Tb_Activiteiten[[#Headers],[Adviseur]],"")))</f>
        <v/>
      </c>
      <c r="AP74" t="str">
        <f>IF(ISNUMBER(FIND("arbeid",Methode_Keuze)),"",IF(ISNUMBER(FIND("arbeid",Methode_Keuze)),"",IF(Tb_Activiteiten[[#This Row],[Projectleider/Expert]]=1,Tb_Activiteiten[[#Headers],[Projectleider/Expert]],"")))</f>
        <v/>
      </c>
      <c r="AQ74" t="str">
        <f>IF(ISNUMBER(FIND("arbeid",Methode_Keuze)),"",IF(ISNUMBER(FIND("arbeid",Methode_Keuze)),"",IF(Tb_Activiteiten[[#This Row],[Arbeidskosten]]=1,Tb_Activiteiten[[#Headers],[Arbeidskosten]],"")))</f>
        <v/>
      </c>
      <c r="AR74" t="str">
        <f>IF(ISNUMBER(FIND("arbeid",Methode_Keuze)),"",IF(ISNUMBER(FIND("arbeid",Methode_Keuze)),"",IF(Tb_Activiteiten[[#This Row],[Arbeidskosten op basis van IKS]]=1,Tb_Activiteiten[[#Headers],[Arbeidskosten op basis van IKS]],"")))</f>
        <v/>
      </c>
      <c r="AS74" t="str">
        <f>IF(ISNUMBER(FIND("overige",Methode_Keuze)),"",IF(Tb_Activiteiten[[#This Row],[Kosten derden exclusief btw]]=1,Tb_Activiteiten[[#Headers],[Kosten derden exclusief btw]],""))</f>
        <v/>
      </c>
      <c r="AT74" t="str">
        <f>IF(ISNUMBER(FIND("overige",Methode_Keuze)),"",IF(Tb_Activiteiten[[#This Row],[Niet verrekenbare btw]]=1,Tb_Activiteiten[[#Headers],[Niet verrekenbare btw]],""))</f>
        <v/>
      </c>
      <c r="AU74" t="str">
        <f>IF(ISNUMBER(FIND("overige",Methode_Keuze)),"",IF(Tb_Activiteiten[[#This Row],[Grondkosten]]=1,Tb_Activiteiten[[#Headers],[Grondkosten]],""))</f>
        <v/>
      </c>
      <c r="AV74" t="str">
        <f>IF(ISNUMBER(FIND("overige",Methode_Keuze)),"",IF(Tb_Activiteiten[[#This Row],[Bijdrage in natura (overige)]]=1,Tb_Activiteiten[[#Headers],[Bijdrage in natura (overige)]],""))</f>
        <v/>
      </c>
      <c r="AW74" t="str">
        <f>IF(ISNUMBER(FIND("overige",Methode_Keuze)),"",IF(Tb_Activiteiten[[#This Row],[Bijdrage in natura (vrijwilligers)]]=1,Tb_Activiteiten[[#Headers],[Bijdrage in natura (vrijwilligers)]],""))</f>
        <v/>
      </c>
      <c r="AX74" t="str">
        <f>IF(ISNUMBER(FIND("overige",Methode_Keuze)),"",IF(Tb_Activiteiten[[#This Row],[Afschrijvingskosten]]=1,Tb_Activiteiten[[#Headers],[Afschrijvingskosten]],""))</f>
        <v/>
      </c>
      <c r="AY74" t="str">
        <f>IF(ISNUMBER(FIND("overige",Methode_Keuze)),"",IF(Tb_Activiteiten[[#This Row],[Vergoeding]]=1,Tb_Activiteiten[[#Headers],[Vergoeding]],""))</f>
        <v/>
      </c>
      <c r="AZ74" t="str">
        <f>IF(ISNUMBER(FIND("arbeid",Methode_Keuze)),"",IF(Tb_Activiteiten[[#This Row],[Arbeidskosten - vast tarief (excl eigen arbeid)]]=1,Tb_Activiteiten[[#Headers],[Arbeidskosten - vast tarief (excl eigen arbeid)]],""))</f>
        <v/>
      </c>
      <c r="BA74" t="str">
        <f>IF(ISNUMBER(FIND("overige",Methode_Keuze)),"",IF(Tb_Activiteiten[[#This Row],[Overige kosten]]=1,Tb_Activiteiten[[#Headers],[Overige kosten]],""))</f>
        <v/>
      </c>
    </row>
    <row r="75" spans="1:53" x14ac:dyDescent="0.25">
      <c r="A75" s="231"/>
      <c r="F75" s="64"/>
      <c r="G75" s="64"/>
      <c r="H75" s="275"/>
      <c r="I75" s="275"/>
      <c r="J75" s="275"/>
      <c r="K75" s="275"/>
      <c r="O75" s="56"/>
      <c r="Q75" t="str">
        <f>IFERROR(IF(VLOOKUP(Tb_Activiteiten[[#This Row],[Openstelling]],Tb_Openstelling[],2,0)=1,1,""),"")</f>
        <v/>
      </c>
      <c r="AK75" t="str">
        <f>IF(ISNUMBER(FIND("arbeid",Methode_Keuze)),"",IF(ISNUMBER(FIND("arbeid",Methode_Keuze)),"",IF(Tb_Activiteiten[[#This Row],[Loonkosten]]=1,Tb_Activiteiten[[#Headers],[Loonkosten]],"")))</f>
        <v/>
      </c>
      <c r="AL75" t="str">
        <f>IF(ISNUMBER(FIND("arbeid",Methode_Keuze)),"",IF(ISNUMBER(FIND("arbeid",Methode_Keuze)),"",IF(Tb_Activiteiten[[#This Row],[Eigen arbeid]]=1,Tb_Activiteiten[[#Headers],[Eigen arbeid]],"")))</f>
        <v/>
      </c>
      <c r="AM75" t="str">
        <f>IF(ISNUMBER(FIND("arbeid",Methode_Keuze)),"",IF(ISNUMBER(FIND("arbeid",Methode_Keuze)),"",IF(Tb_Activiteiten[[#This Row],[Projectmedewerker]]=1,Tb_Activiteiten[[#Headers],[Projectmedewerker]],"")))</f>
        <v/>
      </c>
      <c r="AN75" t="str">
        <f>IF(ISNUMBER(FIND("arbeid",Methode_Keuze)),"",IF(ISNUMBER(FIND("arbeid",Methode_Keuze)),"",IF(Tb_Activiteiten[[#This Row],[Landbouwer]]=1,Tb_Activiteiten[[#Headers],[Landbouwer]],"")))</f>
        <v/>
      </c>
      <c r="AO75" t="str">
        <f>IF(ISNUMBER(FIND("arbeid",Methode_Keuze)),"",IF(ISNUMBER(FIND("arbeid",Methode_Keuze)),"",IF(Tb_Activiteiten[[#This Row],[Adviseur]]=1,Tb_Activiteiten[[#Headers],[Adviseur]],"")))</f>
        <v/>
      </c>
      <c r="AP75" t="str">
        <f>IF(ISNUMBER(FIND("arbeid",Methode_Keuze)),"",IF(ISNUMBER(FIND("arbeid",Methode_Keuze)),"",IF(Tb_Activiteiten[[#This Row],[Projectleider/Expert]]=1,Tb_Activiteiten[[#Headers],[Projectleider/Expert]],"")))</f>
        <v/>
      </c>
      <c r="AQ75" t="str">
        <f>IF(ISNUMBER(FIND("arbeid",Methode_Keuze)),"",IF(ISNUMBER(FIND("arbeid",Methode_Keuze)),"",IF(Tb_Activiteiten[[#This Row],[Arbeidskosten]]=1,Tb_Activiteiten[[#Headers],[Arbeidskosten]],"")))</f>
        <v/>
      </c>
      <c r="AR75" t="str">
        <f>IF(ISNUMBER(FIND("arbeid",Methode_Keuze)),"",IF(ISNUMBER(FIND("arbeid",Methode_Keuze)),"",IF(Tb_Activiteiten[[#This Row],[Arbeidskosten op basis van IKS]]=1,Tb_Activiteiten[[#Headers],[Arbeidskosten op basis van IKS]],"")))</f>
        <v/>
      </c>
      <c r="AS75" t="str">
        <f>IF(ISNUMBER(FIND("overige",Methode_Keuze)),"",IF(Tb_Activiteiten[[#This Row],[Kosten derden exclusief btw]]=1,Tb_Activiteiten[[#Headers],[Kosten derden exclusief btw]],""))</f>
        <v/>
      </c>
      <c r="AT75" t="str">
        <f>IF(ISNUMBER(FIND("overige",Methode_Keuze)),"",IF(Tb_Activiteiten[[#This Row],[Niet verrekenbare btw]]=1,Tb_Activiteiten[[#Headers],[Niet verrekenbare btw]],""))</f>
        <v/>
      </c>
      <c r="AU75" t="str">
        <f>IF(ISNUMBER(FIND("overige",Methode_Keuze)),"",IF(Tb_Activiteiten[[#This Row],[Grondkosten]]=1,Tb_Activiteiten[[#Headers],[Grondkosten]],""))</f>
        <v/>
      </c>
      <c r="AV75" t="str">
        <f>IF(ISNUMBER(FIND("overige",Methode_Keuze)),"",IF(Tb_Activiteiten[[#This Row],[Bijdrage in natura (overige)]]=1,Tb_Activiteiten[[#Headers],[Bijdrage in natura (overige)]],""))</f>
        <v/>
      </c>
      <c r="AW75" t="str">
        <f>IF(ISNUMBER(FIND("overige",Methode_Keuze)),"",IF(Tb_Activiteiten[[#This Row],[Bijdrage in natura (vrijwilligers)]]=1,Tb_Activiteiten[[#Headers],[Bijdrage in natura (vrijwilligers)]],""))</f>
        <v/>
      </c>
      <c r="AX75" t="str">
        <f>IF(ISNUMBER(FIND("overige",Methode_Keuze)),"",IF(Tb_Activiteiten[[#This Row],[Afschrijvingskosten]]=1,Tb_Activiteiten[[#Headers],[Afschrijvingskosten]],""))</f>
        <v/>
      </c>
      <c r="AY75" t="str">
        <f>IF(ISNUMBER(FIND("overige",Methode_Keuze)),"",IF(Tb_Activiteiten[[#This Row],[Vergoeding]]=1,Tb_Activiteiten[[#Headers],[Vergoeding]],""))</f>
        <v/>
      </c>
      <c r="AZ75" t="str">
        <f>IF(ISNUMBER(FIND("arbeid",Methode_Keuze)),"",IF(Tb_Activiteiten[[#This Row],[Arbeidskosten - vast tarief (excl eigen arbeid)]]=1,Tb_Activiteiten[[#Headers],[Arbeidskosten - vast tarief (excl eigen arbeid)]],""))</f>
        <v/>
      </c>
      <c r="BA75" t="str">
        <f>IF(ISNUMBER(FIND("overige",Methode_Keuze)),"",IF(Tb_Activiteiten[[#This Row],[Overige kosten]]=1,Tb_Activiteiten[[#Headers],[Overige kosten]],""))</f>
        <v/>
      </c>
    </row>
    <row r="76" spans="1:53" x14ac:dyDescent="0.25">
      <c r="A76" s="231"/>
      <c r="F76" s="64"/>
      <c r="G76" s="64"/>
      <c r="H76" s="275"/>
      <c r="I76" s="275"/>
      <c r="J76" s="275"/>
      <c r="K76" s="275"/>
      <c r="O76" s="56"/>
      <c r="Q76" t="str">
        <f>IFERROR(IF(VLOOKUP(Tb_Activiteiten[[#This Row],[Openstelling]],Tb_Openstelling[],2,0)=1,1,""),"")</f>
        <v/>
      </c>
      <c r="AK76" t="str">
        <f>IF(ISNUMBER(FIND("arbeid",Methode_Keuze)),"",IF(ISNUMBER(FIND("arbeid",Methode_Keuze)),"",IF(Tb_Activiteiten[[#This Row],[Loonkosten]]=1,Tb_Activiteiten[[#Headers],[Loonkosten]],"")))</f>
        <v/>
      </c>
      <c r="AL76" t="str">
        <f>IF(ISNUMBER(FIND("arbeid",Methode_Keuze)),"",IF(ISNUMBER(FIND("arbeid",Methode_Keuze)),"",IF(Tb_Activiteiten[[#This Row],[Eigen arbeid]]=1,Tb_Activiteiten[[#Headers],[Eigen arbeid]],"")))</f>
        <v/>
      </c>
      <c r="AM76" t="str">
        <f>IF(ISNUMBER(FIND("arbeid",Methode_Keuze)),"",IF(ISNUMBER(FIND("arbeid",Methode_Keuze)),"",IF(Tb_Activiteiten[[#This Row],[Projectmedewerker]]=1,Tb_Activiteiten[[#Headers],[Projectmedewerker]],"")))</f>
        <v/>
      </c>
      <c r="AN76" t="str">
        <f>IF(ISNUMBER(FIND("arbeid",Methode_Keuze)),"",IF(ISNUMBER(FIND("arbeid",Methode_Keuze)),"",IF(Tb_Activiteiten[[#This Row],[Landbouwer]]=1,Tb_Activiteiten[[#Headers],[Landbouwer]],"")))</f>
        <v/>
      </c>
      <c r="AO76" t="str">
        <f>IF(ISNUMBER(FIND("arbeid",Methode_Keuze)),"",IF(ISNUMBER(FIND("arbeid",Methode_Keuze)),"",IF(Tb_Activiteiten[[#This Row],[Adviseur]]=1,Tb_Activiteiten[[#Headers],[Adviseur]],"")))</f>
        <v/>
      </c>
      <c r="AP76" t="str">
        <f>IF(ISNUMBER(FIND("arbeid",Methode_Keuze)),"",IF(ISNUMBER(FIND("arbeid",Methode_Keuze)),"",IF(Tb_Activiteiten[[#This Row],[Projectleider/Expert]]=1,Tb_Activiteiten[[#Headers],[Projectleider/Expert]],"")))</f>
        <v/>
      </c>
      <c r="AQ76" t="str">
        <f>IF(ISNUMBER(FIND("arbeid",Methode_Keuze)),"",IF(ISNUMBER(FIND("arbeid",Methode_Keuze)),"",IF(Tb_Activiteiten[[#This Row],[Arbeidskosten]]=1,Tb_Activiteiten[[#Headers],[Arbeidskosten]],"")))</f>
        <v/>
      </c>
      <c r="AR76" t="str">
        <f>IF(ISNUMBER(FIND("arbeid",Methode_Keuze)),"",IF(ISNUMBER(FIND("arbeid",Methode_Keuze)),"",IF(Tb_Activiteiten[[#This Row],[Arbeidskosten op basis van IKS]]=1,Tb_Activiteiten[[#Headers],[Arbeidskosten op basis van IKS]],"")))</f>
        <v/>
      </c>
      <c r="AS76" t="str">
        <f>IF(ISNUMBER(FIND("overige",Methode_Keuze)),"",IF(Tb_Activiteiten[[#This Row],[Kosten derden exclusief btw]]=1,Tb_Activiteiten[[#Headers],[Kosten derden exclusief btw]],""))</f>
        <v/>
      </c>
      <c r="AT76" t="str">
        <f>IF(ISNUMBER(FIND("overige",Methode_Keuze)),"",IF(Tb_Activiteiten[[#This Row],[Niet verrekenbare btw]]=1,Tb_Activiteiten[[#Headers],[Niet verrekenbare btw]],""))</f>
        <v/>
      </c>
      <c r="AU76" t="str">
        <f>IF(ISNUMBER(FIND("overige",Methode_Keuze)),"",IF(Tb_Activiteiten[[#This Row],[Grondkosten]]=1,Tb_Activiteiten[[#Headers],[Grondkosten]],""))</f>
        <v/>
      </c>
      <c r="AV76" t="str">
        <f>IF(ISNUMBER(FIND("overige",Methode_Keuze)),"",IF(Tb_Activiteiten[[#This Row],[Bijdrage in natura (overige)]]=1,Tb_Activiteiten[[#Headers],[Bijdrage in natura (overige)]],""))</f>
        <v/>
      </c>
      <c r="AW76" t="str">
        <f>IF(ISNUMBER(FIND("overige",Methode_Keuze)),"",IF(Tb_Activiteiten[[#This Row],[Bijdrage in natura (vrijwilligers)]]=1,Tb_Activiteiten[[#Headers],[Bijdrage in natura (vrijwilligers)]],""))</f>
        <v/>
      </c>
      <c r="AX76" t="str">
        <f>IF(ISNUMBER(FIND("overige",Methode_Keuze)),"",IF(Tb_Activiteiten[[#This Row],[Afschrijvingskosten]]=1,Tb_Activiteiten[[#Headers],[Afschrijvingskosten]],""))</f>
        <v/>
      </c>
      <c r="AY76" t="str">
        <f>IF(ISNUMBER(FIND("overige",Methode_Keuze)),"",IF(Tb_Activiteiten[[#This Row],[Vergoeding]]=1,Tb_Activiteiten[[#Headers],[Vergoeding]],""))</f>
        <v/>
      </c>
      <c r="AZ76" t="str">
        <f>IF(ISNUMBER(FIND("arbeid",Methode_Keuze)),"",IF(Tb_Activiteiten[[#This Row],[Arbeidskosten - vast tarief (excl eigen arbeid)]]=1,Tb_Activiteiten[[#Headers],[Arbeidskosten - vast tarief (excl eigen arbeid)]],""))</f>
        <v/>
      </c>
      <c r="BA76" t="str">
        <f>IF(ISNUMBER(FIND("overige",Methode_Keuze)),"",IF(Tb_Activiteiten[[#This Row],[Overige kosten]]=1,Tb_Activiteiten[[#Headers],[Overige kosten]],""))</f>
        <v/>
      </c>
    </row>
    <row r="77" spans="1:53" x14ac:dyDescent="0.25">
      <c r="A77" s="231"/>
      <c r="F77" s="64"/>
      <c r="G77" s="64"/>
      <c r="H77" s="275"/>
      <c r="I77" s="275"/>
      <c r="J77" s="275"/>
      <c r="K77" s="275"/>
      <c r="O77" s="56"/>
      <c r="Q77" t="str">
        <f>IFERROR(IF(VLOOKUP(Tb_Activiteiten[[#This Row],[Openstelling]],Tb_Openstelling[],2,0)=1,1,""),"")</f>
        <v/>
      </c>
      <c r="AK77" t="str">
        <f>IF(ISNUMBER(FIND("arbeid",Methode_Keuze)),"",IF(ISNUMBER(FIND("arbeid",Methode_Keuze)),"",IF(Tb_Activiteiten[[#This Row],[Loonkosten]]=1,Tb_Activiteiten[[#Headers],[Loonkosten]],"")))</f>
        <v/>
      </c>
      <c r="AL77" t="str">
        <f>IF(ISNUMBER(FIND("arbeid",Methode_Keuze)),"",IF(ISNUMBER(FIND("arbeid",Methode_Keuze)),"",IF(Tb_Activiteiten[[#This Row],[Eigen arbeid]]=1,Tb_Activiteiten[[#Headers],[Eigen arbeid]],"")))</f>
        <v/>
      </c>
      <c r="AM77" t="str">
        <f>IF(ISNUMBER(FIND("arbeid",Methode_Keuze)),"",IF(ISNUMBER(FIND("arbeid",Methode_Keuze)),"",IF(Tb_Activiteiten[[#This Row],[Projectmedewerker]]=1,Tb_Activiteiten[[#Headers],[Projectmedewerker]],"")))</f>
        <v/>
      </c>
      <c r="AN77" t="str">
        <f>IF(ISNUMBER(FIND("arbeid",Methode_Keuze)),"",IF(ISNUMBER(FIND("arbeid",Methode_Keuze)),"",IF(Tb_Activiteiten[[#This Row],[Landbouwer]]=1,Tb_Activiteiten[[#Headers],[Landbouwer]],"")))</f>
        <v/>
      </c>
      <c r="AO77" t="str">
        <f>IF(ISNUMBER(FIND("arbeid",Methode_Keuze)),"",IF(ISNUMBER(FIND("arbeid",Methode_Keuze)),"",IF(Tb_Activiteiten[[#This Row],[Adviseur]]=1,Tb_Activiteiten[[#Headers],[Adviseur]],"")))</f>
        <v/>
      </c>
      <c r="AP77" t="str">
        <f>IF(ISNUMBER(FIND("arbeid",Methode_Keuze)),"",IF(ISNUMBER(FIND("arbeid",Methode_Keuze)),"",IF(Tb_Activiteiten[[#This Row],[Projectleider/Expert]]=1,Tb_Activiteiten[[#Headers],[Projectleider/Expert]],"")))</f>
        <v/>
      </c>
      <c r="AQ77" t="str">
        <f>IF(ISNUMBER(FIND("arbeid",Methode_Keuze)),"",IF(ISNUMBER(FIND("arbeid",Methode_Keuze)),"",IF(Tb_Activiteiten[[#This Row],[Arbeidskosten]]=1,Tb_Activiteiten[[#Headers],[Arbeidskosten]],"")))</f>
        <v/>
      </c>
      <c r="AR77" t="str">
        <f>IF(ISNUMBER(FIND("arbeid",Methode_Keuze)),"",IF(ISNUMBER(FIND("arbeid",Methode_Keuze)),"",IF(Tb_Activiteiten[[#This Row],[Arbeidskosten op basis van IKS]]=1,Tb_Activiteiten[[#Headers],[Arbeidskosten op basis van IKS]],"")))</f>
        <v/>
      </c>
      <c r="AS77" t="str">
        <f>IF(ISNUMBER(FIND("overige",Methode_Keuze)),"",IF(Tb_Activiteiten[[#This Row],[Kosten derden exclusief btw]]=1,Tb_Activiteiten[[#Headers],[Kosten derden exclusief btw]],""))</f>
        <v/>
      </c>
      <c r="AT77" t="str">
        <f>IF(ISNUMBER(FIND("overige",Methode_Keuze)),"",IF(Tb_Activiteiten[[#This Row],[Niet verrekenbare btw]]=1,Tb_Activiteiten[[#Headers],[Niet verrekenbare btw]],""))</f>
        <v/>
      </c>
      <c r="AU77" t="str">
        <f>IF(ISNUMBER(FIND("overige",Methode_Keuze)),"",IF(Tb_Activiteiten[[#This Row],[Grondkosten]]=1,Tb_Activiteiten[[#Headers],[Grondkosten]],""))</f>
        <v/>
      </c>
      <c r="AV77" t="str">
        <f>IF(ISNUMBER(FIND("overige",Methode_Keuze)),"",IF(Tb_Activiteiten[[#This Row],[Bijdrage in natura (overige)]]=1,Tb_Activiteiten[[#Headers],[Bijdrage in natura (overige)]],""))</f>
        <v/>
      </c>
      <c r="AW77" t="str">
        <f>IF(ISNUMBER(FIND("overige",Methode_Keuze)),"",IF(Tb_Activiteiten[[#This Row],[Bijdrage in natura (vrijwilligers)]]=1,Tb_Activiteiten[[#Headers],[Bijdrage in natura (vrijwilligers)]],""))</f>
        <v/>
      </c>
      <c r="AX77" t="str">
        <f>IF(ISNUMBER(FIND("overige",Methode_Keuze)),"",IF(Tb_Activiteiten[[#This Row],[Afschrijvingskosten]]=1,Tb_Activiteiten[[#Headers],[Afschrijvingskosten]],""))</f>
        <v/>
      </c>
      <c r="AY77" t="str">
        <f>IF(ISNUMBER(FIND("overige",Methode_Keuze)),"",IF(Tb_Activiteiten[[#This Row],[Vergoeding]]=1,Tb_Activiteiten[[#Headers],[Vergoeding]],""))</f>
        <v/>
      </c>
      <c r="AZ77" t="str">
        <f>IF(ISNUMBER(FIND("arbeid",Methode_Keuze)),"",IF(Tb_Activiteiten[[#This Row],[Arbeidskosten - vast tarief (excl eigen arbeid)]]=1,Tb_Activiteiten[[#Headers],[Arbeidskosten - vast tarief (excl eigen arbeid)]],""))</f>
        <v/>
      </c>
      <c r="BA77" t="str">
        <f>IF(ISNUMBER(FIND("overige",Methode_Keuze)),"",IF(Tb_Activiteiten[[#This Row],[Overige kosten]]=1,Tb_Activiteiten[[#Headers],[Overige kosten]],""))</f>
        <v/>
      </c>
    </row>
    <row r="78" spans="1:53" x14ac:dyDescent="0.25">
      <c r="A78" s="231"/>
      <c r="F78" s="64"/>
      <c r="G78" s="64"/>
      <c r="H78" s="275"/>
      <c r="I78" s="275"/>
      <c r="J78" s="275"/>
      <c r="K78" s="275"/>
      <c r="O78" s="56"/>
      <c r="Q78" t="str">
        <f>IFERROR(IF(VLOOKUP(Tb_Activiteiten[[#This Row],[Openstelling]],Tb_Openstelling[],2,0)=1,1,""),"")</f>
        <v/>
      </c>
      <c r="AK78" t="str">
        <f>IF(ISNUMBER(FIND("arbeid",Methode_Keuze)),"",IF(ISNUMBER(FIND("arbeid",Methode_Keuze)),"",IF(Tb_Activiteiten[[#This Row],[Loonkosten]]=1,Tb_Activiteiten[[#Headers],[Loonkosten]],"")))</f>
        <v/>
      </c>
      <c r="AL78" t="str">
        <f>IF(ISNUMBER(FIND("arbeid",Methode_Keuze)),"",IF(ISNUMBER(FIND("arbeid",Methode_Keuze)),"",IF(Tb_Activiteiten[[#This Row],[Eigen arbeid]]=1,Tb_Activiteiten[[#Headers],[Eigen arbeid]],"")))</f>
        <v/>
      </c>
      <c r="AM78" t="str">
        <f>IF(ISNUMBER(FIND("arbeid",Methode_Keuze)),"",IF(ISNUMBER(FIND("arbeid",Methode_Keuze)),"",IF(Tb_Activiteiten[[#This Row],[Projectmedewerker]]=1,Tb_Activiteiten[[#Headers],[Projectmedewerker]],"")))</f>
        <v/>
      </c>
      <c r="AN78" t="str">
        <f>IF(ISNUMBER(FIND("arbeid",Methode_Keuze)),"",IF(ISNUMBER(FIND("arbeid",Methode_Keuze)),"",IF(Tb_Activiteiten[[#This Row],[Landbouwer]]=1,Tb_Activiteiten[[#Headers],[Landbouwer]],"")))</f>
        <v/>
      </c>
      <c r="AO78" t="str">
        <f>IF(ISNUMBER(FIND("arbeid",Methode_Keuze)),"",IF(ISNUMBER(FIND("arbeid",Methode_Keuze)),"",IF(Tb_Activiteiten[[#This Row],[Adviseur]]=1,Tb_Activiteiten[[#Headers],[Adviseur]],"")))</f>
        <v/>
      </c>
      <c r="AP78" t="str">
        <f>IF(ISNUMBER(FIND("arbeid",Methode_Keuze)),"",IF(ISNUMBER(FIND("arbeid",Methode_Keuze)),"",IF(Tb_Activiteiten[[#This Row],[Projectleider/Expert]]=1,Tb_Activiteiten[[#Headers],[Projectleider/Expert]],"")))</f>
        <v/>
      </c>
      <c r="AQ78" t="str">
        <f>IF(ISNUMBER(FIND("arbeid",Methode_Keuze)),"",IF(ISNUMBER(FIND("arbeid",Methode_Keuze)),"",IF(Tb_Activiteiten[[#This Row],[Arbeidskosten]]=1,Tb_Activiteiten[[#Headers],[Arbeidskosten]],"")))</f>
        <v/>
      </c>
      <c r="AR78" t="str">
        <f>IF(ISNUMBER(FIND("arbeid",Methode_Keuze)),"",IF(ISNUMBER(FIND("arbeid",Methode_Keuze)),"",IF(Tb_Activiteiten[[#This Row],[Arbeidskosten op basis van IKS]]=1,Tb_Activiteiten[[#Headers],[Arbeidskosten op basis van IKS]],"")))</f>
        <v/>
      </c>
      <c r="AS78" t="str">
        <f>IF(ISNUMBER(FIND("overige",Methode_Keuze)),"",IF(Tb_Activiteiten[[#This Row],[Kosten derden exclusief btw]]=1,Tb_Activiteiten[[#Headers],[Kosten derden exclusief btw]],""))</f>
        <v/>
      </c>
      <c r="AT78" t="str">
        <f>IF(ISNUMBER(FIND("overige",Methode_Keuze)),"",IF(Tb_Activiteiten[[#This Row],[Niet verrekenbare btw]]=1,Tb_Activiteiten[[#Headers],[Niet verrekenbare btw]],""))</f>
        <v/>
      </c>
      <c r="AU78" t="str">
        <f>IF(ISNUMBER(FIND("overige",Methode_Keuze)),"",IF(Tb_Activiteiten[[#This Row],[Grondkosten]]=1,Tb_Activiteiten[[#Headers],[Grondkosten]],""))</f>
        <v/>
      </c>
      <c r="AV78" t="str">
        <f>IF(ISNUMBER(FIND("overige",Methode_Keuze)),"",IF(Tb_Activiteiten[[#This Row],[Bijdrage in natura (overige)]]=1,Tb_Activiteiten[[#Headers],[Bijdrage in natura (overige)]],""))</f>
        <v/>
      </c>
      <c r="AW78" t="str">
        <f>IF(ISNUMBER(FIND("overige",Methode_Keuze)),"",IF(Tb_Activiteiten[[#This Row],[Bijdrage in natura (vrijwilligers)]]=1,Tb_Activiteiten[[#Headers],[Bijdrage in natura (vrijwilligers)]],""))</f>
        <v/>
      </c>
      <c r="AX78" t="str">
        <f>IF(ISNUMBER(FIND("overige",Methode_Keuze)),"",IF(Tb_Activiteiten[[#This Row],[Afschrijvingskosten]]=1,Tb_Activiteiten[[#Headers],[Afschrijvingskosten]],""))</f>
        <v/>
      </c>
      <c r="AY78" t="str">
        <f>IF(ISNUMBER(FIND("overige",Methode_Keuze)),"",IF(Tb_Activiteiten[[#This Row],[Vergoeding]]=1,Tb_Activiteiten[[#Headers],[Vergoeding]],""))</f>
        <v/>
      </c>
      <c r="AZ78" t="str">
        <f>IF(ISNUMBER(FIND("arbeid",Methode_Keuze)),"",IF(Tb_Activiteiten[[#This Row],[Arbeidskosten - vast tarief (excl eigen arbeid)]]=1,Tb_Activiteiten[[#Headers],[Arbeidskosten - vast tarief (excl eigen arbeid)]],""))</f>
        <v/>
      </c>
      <c r="BA78" t="str">
        <f>IF(ISNUMBER(FIND("overige",Methode_Keuze)),"",IF(Tb_Activiteiten[[#This Row],[Overige kosten]]=1,Tb_Activiteiten[[#Headers],[Overige kosten]],""))</f>
        <v/>
      </c>
    </row>
    <row r="79" spans="1:53" x14ac:dyDescent="0.25">
      <c r="A79" s="231"/>
      <c r="F79" s="64"/>
      <c r="G79" s="64"/>
      <c r="H79" s="275"/>
      <c r="I79" s="275"/>
      <c r="J79" s="275"/>
      <c r="K79" s="275"/>
      <c r="O79" s="56"/>
      <c r="Q79" t="str">
        <f>IFERROR(IF(VLOOKUP(Tb_Activiteiten[[#This Row],[Openstelling]],Tb_Openstelling[],2,0)=1,1,""),"")</f>
        <v/>
      </c>
      <c r="AK79" t="str">
        <f>IF(ISNUMBER(FIND("arbeid",Methode_Keuze)),"",IF(ISNUMBER(FIND("arbeid",Methode_Keuze)),"",IF(Tb_Activiteiten[[#This Row],[Loonkosten]]=1,Tb_Activiteiten[[#Headers],[Loonkosten]],"")))</f>
        <v/>
      </c>
      <c r="AL79" t="str">
        <f>IF(ISNUMBER(FIND("arbeid",Methode_Keuze)),"",IF(ISNUMBER(FIND("arbeid",Methode_Keuze)),"",IF(Tb_Activiteiten[[#This Row],[Eigen arbeid]]=1,Tb_Activiteiten[[#Headers],[Eigen arbeid]],"")))</f>
        <v/>
      </c>
      <c r="AM79" t="str">
        <f>IF(ISNUMBER(FIND("arbeid",Methode_Keuze)),"",IF(ISNUMBER(FIND("arbeid",Methode_Keuze)),"",IF(Tb_Activiteiten[[#This Row],[Projectmedewerker]]=1,Tb_Activiteiten[[#Headers],[Projectmedewerker]],"")))</f>
        <v/>
      </c>
      <c r="AN79" t="str">
        <f>IF(ISNUMBER(FIND("arbeid",Methode_Keuze)),"",IF(ISNUMBER(FIND("arbeid",Methode_Keuze)),"",IF(Tb_Activiteiten[[#This Row],[Landbouwer]]=1,Tb_Activiteiten[[#Headers],[Landbouwer]],"")))</f>
        <v/>
      </c>
      <c r="AO79" t="str">
        <f>IF(ISNUMBER(FIND("arbeid",Methode_Keuze)),"",IF(ISNUMBER(FIND("arbeid",Methode_Keuze)),"",IF(Tb_Activiteiten[[#This Row],[Adviseur]]=1,Tb_Activiteiten[[#Headers],[Adviseur]],"")))</f>
        <v/>
      </c>
      <c r="AP79" t="str">
        <f>IF(ISNUMBER(FIND("arbeid",Methode_Keuze)),"",IF(ISNUMBER(FIND("arbeid",Methode_Keuze)),"",IF(Tb_Activiteiten[[#This Row],[Projectleider/Expert]]=1,Tb_Activiteiten[[#Headers],[Projectleider/Expert]],"")))</f>
        <v/>
      </c>
      <c r="AQ79" t="str">
        <f>IF(ISNUMBER(FIND("arbeid",Methode_Keuze)),"",IF(ISNUMBER(FIND("arbeid",Methode_Keuze)),"",IF(Tb_Activiteiten[[#This Row],[Arbeidskosten]]=1,Tb_Activiteiten[[#Headers],[Arbeidskosten]],"")))</f>
        <v/>
      </c>
      <c r="AR79" t="str">
        <f>IF(ISNUMBER(FIND("arbeid",Methode_Keuze)),"",IF(ISNUMBER(FIND("arbeid",Methode_Keuze)),"",IF(Tb_Activiteiten[[#This Row],[Arbeidskosten op basis van IKS]]=1,Tb_Activiteiten[[#Headers],[Arbeidskosten op basis van IKS]],"")))</f>
        <v/>
      </c>
      <c r="AS79" t="str">
        <f>IF(ISNUMBER(FIND("overige",Methode_Keuze)),"",IF(Tb_Activiteiten[[#This Row],[Kosten derden exclusief btw]]=1,Tb_Activiteiten[[#Headers],[Kosten derden exclusief btw]],""))</f>
        <v/>
      </c>
      <c r="AT79" t="str">
        <f>IF(ISNUMBER(FIND("overige",Methode_Keuze)),"",IF(Tb_Activiteiten[[#This Row],[Niet verrekenbare btw]]=1,Tb_Activiteiten[[#Headers],[Niet verrekenbare btw]],""))</f>
        <v/>
      </c>
      <c r="AU79" t="str">
        <f>IF(ISNUMBER(FIND("overige",Methode_Keuze)),"",IF(Tb_Activiteiten[[#This Row],[Grondkosten]]=1,Tb_Activiteiten[[#Headers],[Grondkosten]],""))</f>
        <v/>
      </c>
      <c r="AV79" t="str">
        <f>IF(ISNUMBER(FIND("overige",Methode_Keuze)),"",IF(Tb_Activiteiten[[#This Row],[Bijdrage in natura (overige)]]=1,Tb_Activiteiten[[#Headers],[Bijdrage in natura (overige)]],""))</f>
        <v/>
      </c>
      <c r="AW79" t="str">
        <f>IF(ISNUMBER(FIND("overige",Methode_Keuze)),"",IF(Tb_Activiteiten[[#This Row],[Bijdrage in natura (vrijwilligers)]]=1,Tb_Activiteiten[[#Headers],[Bijdrage in natura (vrijwilligers)]],""))</f>
        <v/>
      </c>
      <c r="AX79" t="str">
        <f>IF(ISNUMBER(FIND("overige",Methode_Keuze)),"",IF(Tb_Activiteiten[[#This Row],[Afschrijvingskosten]]=1,Tb_Activiteiten[[#Headers],[Afschrijvingskosten]],""))</f>
        <v/>
      </c>
      <c r="AY79" t="str">
        <f>IF(ISNUMBER(FIND("overige",Methode_Keuze)),"",IF(Tb_Activiteiten[[#This Row],[Vergoeding]]=1,Tb_Activiteiten[[#Headers],[Vergoeding]],""))</f>
        <v/>
      </c>
      <c r="AZ79" t="str">
        <f>IF(ISNUMBER(FIND("arbeid",Methode_Keuze)),"",IF(Tb_Activiteiten[[#This Row],[Arbeidskosten - vast tarief (excl eigen arbeid)]]=1,Tb_Activiteiten[[#Headers],[Arbeidskosten - vast tarief (excl eigen arbeid)]],""))</f>
        <v/>
      </c>
      <c r="BA79" t="str">
        <f>IF(ISNUMBER(FIND("overige",Methode_Keuze)),"",IF(Tb_Activiteiten[[#This Row],[Overige kosten]]=1,Tb_Activiteiten[[#Headers],[Overige kosten]],""))</f>
        <v/>
      </c>
    </row>
    <row r="80" spans="1:53" x14ac:dyDescent="0.25">
      <c r="A80" s="231"/>
      <c r="F80" s="64"/>
      <c r="G80" s="64"/>
      <c r="H80" s="275"/>
      <c r="I80" s="275"/>
      <c r="J80" s="275"/>
      <c r="K80" s="275"/>
      <c r="O80" s="56"/>
      <c r="Q80" t="str">
        <f>IFERROR(IF(VLOOKUP(Tb_Activiteiten[[#This Row],[Openstelling]],Tb_Openstelling[],2,0)=1,1,""),"")</f>
        <v/>
      </c>
      <c r="AK80" t="str">
        <f>IF(ISNUMBER(FIND("arbeid",Methode_Keuze)),"",IF(ISNUMBER(FIND("arbeid",Methode_Keuze)),"",IF(Tb_Activiteiten[[#This Row],[Loonkosten]]=1,Tb_Activiteiten[[#Headers],[Loonkosten]],"")))</f>
        <v/>
      </c>
      <c r="AL80" t="str">
        <f>IF(ISNUMBER(FIND("arbeid",Methode_Keuze)),"",IF(ISNUMBER(FIND("arbeid",Methode_Keuze)),"",IF(Tb_Activiteiten[[#This Row],[Eigen arbeid]]=1,Tb_Activiteiten[[#Headers],[Eigen arbeid]],"")))</f>
        <v/>
      </c>
      <c r="AM80" t="str">
        <f>IF(ISNUMBER(FIND("arbeid",Methode_Keuze)),"",IF(ISNUMBER(FIND("arbeid",Methode_Keuze)),"",IF(Tb_Activiteiten[[#This Row],[Projectmedewerker]]=1,Tb_Activiteiten[[#Headers],[Projectmedewerker]],"")))</f>
        <v/>
      </c>
      <c r="AN80" t="str">
        <f>IF(ISNUMBER(FIND("arbeid",Methode_Keuze)),"",IF(ISNUMBER(FIND("arbeid",Methode_Keuze)),"",IF(Tb_Activiteiten[[#This Row],[Landbouwer]]=1,Tb_Activiteiten[[#Headers],[Landbouwer]],"")))</f>
        <v/>
      </c>
      <c r="AO80" t="str">
        <f>IF(ISNUMBER(FIND("arbeid",Methode_Keuze)),"",IF(ISNUMBER(FIND("arbeid",Methode_Keuze)),"",IF(Tb_Activiteiten[[#This Row],[Adviseur]]=1,Tb_Activiteiten[[#Headers],[Adviseur]],"")))</f>
        <v/>
      </c>
      <c r="AP80" t="str">
        <f>IF(ISNUMBER(FIND("arbeid",Methode_Keuze)),"",IF(ISNUMBER(FIND("arbeid",Methode_Keuze)),"",IF(Tb_Activiteiten[[#This Row],[Projectleider/Expert]]=1,Tb_Activiteiten[[#Headers],[Projectleider/Expert]],"")))</f>
        <v/>
      </c>
      <c r="AQ80" t="str">
        <f>IF(ISNUMBER(FIND("arbeid",Methode_Keuze)),"",IF(ISNUMBER(FIND("arbeid",Methode_Keuze)),"",IF(Tb_Activiteiten[[#This Row],[Arbeidskosten]]=1,Tb_Activiteiten[[#Headers],[Arbeidskosten]],"")))</f>
        <v/>
      </c>
      <c r="AR80" t="str">
        <f>IF(ISNUMBER(FIND("arbeid",Methode_Keuze)),"",IF(ISNUMBER(FIND("arbeid",Methode_Keuze)),"",IF(Tb_Activiteiten[[#This Row],[Arbeidskosten op basis van IKS]]=1,Tb_Activiteiten[[#Headers],[Arbeidskosten op basis van IKS]],"")))</f>
        <v/>
      </c>
      <c r="AS80" t="str">
        <f>IF(ISNUMBER(FIND("overige",Methode_Keuze)),"",IF(Tb_Activiteiten[[#This Row],[Kosten derden exclusief btw]]=1,Tb_Activiteiten[[#Headers],[Kosten derden exclusief btw]],""))</f>
        <v/>
      </c>
      <c r="AT80" t="str">
        <f>IF(ISNUMBER(FIND("overige",Methode_Keuze)),"",IF(Tb_Activiteiten[[#This Row],[Niet verrekenbare btw]]=1,Tb_Activiteiten[[#Headers],[Niet verrekenbare btw]],""))</f>
        <v/>
      </c>
      <c r="AU80" t="str">
        <f>IF(ISNUMBER(FIND("overige",Methode_Keuze)),"",IF(Tb_Activiteiten[[#This Row],[Grondkosten]]=1,Tb_Activiteiten[[#Headers],[Grondkosten]],""))</f>
        <v/>
      </c>
      <c r="AV80" t="str">
        <f>IF(ISNUMBER(FIND("overige",Methode_Keuze)),"",IF(Tb_Activiteiten[[#This Row],[Bijdrage in natura (overige)]]=1,Tb_Activiteiten[[#Headers],[Bijdrage in natura (overige)]],""))</f>
        <v/>
      </c>
      <c r="AW80" t="str">
        <f>IF(ISNUMBER(FIND("overige",Methode_Keuze)),"",IF(Tb_Activiteiten[[#This Row],[Bijdrage in natura (vrijwilligers)]]=1,Tb_Activiteiten[[#Headers],[Bijdrage in natura (vrijwilligers)]],""))</f>
        <v/>
      </c>
      <c r="AX80" t="str">
        <f>IF(ISNUMBER(FIND("overige",Methode_Keuze)),"",IF(Tb_Activiteiten[[#This Row],[Afschrijvingskosten]]=1,Tb_Activiteiten[[#Headers],[Afschrijvingskosten]],""))</f>
        <v/>
      </c>
      <c r="AY80" t="str">
        <f>IF(ISNUMBER(FIND("overige",Methode_Keuze)),"",IF(Tb_Activiteiten[[#This Row],[Vergoeding]]=1,Tb_Activiteiten[[#Headers],[Vergoeding]],""))</f>
        <v/>
      </c>
      <c r="AZ80" t="str">
        <f>IF(ISNUMBER(FIND("arbeid",Methode_Keuze)),"",IF(Tb_Activiteiten[[#This Row],[Arbeidskosten - vast tarief (excl eigen arbeid)]]=1,Tb_Activiteiten[[#Headers],[Arbeidskosten - vast tarief (excl eigen arbeid)]],""))</f>
        <v/>
      </c>
      <c r="BA80" t="str">
        <f>IF(ISNUMBER(FIND("overige",Methode_Keuze)),"",IF(Tb_Activiteiten[[#This Row],[Overige kosten]]=1,Tb_Activiteiten[[#Headers],[Overige kosten]],""))</f>
        <v/>
      </c>
    </row>
    <row r="81" spans="1:53" x14ac:dyDescent="0.25">
      <c r="A81" s="231"/>
      <c r="F81" s="64"/>
      <c r="G81" s="64"/>
      <c r="H81" s="275"/>
      <c r="I81" s="275"/>
      <c r="J81" s="275"/>
      <c r="K81" s="275"/>
      <c r="O81" s="56"/>
      <c r="Q81" t="str">
        <f>IFERROR(IF(VLOOKUP(Tb_Activiteiten[[#This Row],[Openstelling]],Tb_Openstelling[],2,0)=1,1,""),"")</f>
        <v/>
      </c>
      <c r="AK81" t="str">
        <f>IF(ISNUMBER(FIND("arbeid",Methode_Keuze)),"",IF(ISNUMBER(FIND("arbeid",Methode_Keuze)),"",IF(Tb_Activiteiten[[#This Row],[Loonkosten]]=1,Tb_Activiteiten[[#Headers],[Loonkosten]],"")))</f>
        <v/>
      </c>
      <c r="AL81" t="str">
        <f>IF(ISNUMBER(FIND("arbeid",Methode_Keuze)),"",IF(ISNUMBER(FIND("arbeid",Methode_Keuze)),"",IF(Tb_Activiteiten[[#This Row],[Eigen arbeid]]=1,Tb_Activiteiten[[#Headers],[Eigen arbeid]],"")))</f>
        <v/>
      </c>
      <c r="AM81" t="str">
        <f>IF(ISNUMBER(FIND("arbeid",Methode_Keuze)),"",IF(ISNUMBER(FIND("arbeid",Methode_Keuze)),"",IF(Tb_Activiteiten[[#This Row],[Projectmedewerker]]=1,Tb_Activiteiten[[#Headers],[Projectmedewerker]],"")))</f>
        <v/>
      </c>
      <c r="AN81" t="str">
        <f>IF(ISNUMBER(FIND("arbeid",Methode_Keuze)),"",IF(ISNUMBER(FIND("arbeid",Methode_Keuze)),"",IF(Tb_Activiteiten[[#This Row],[Landbouwer]]=1,Tb_Activiteiten[[#Headers],[Landbouwer]],"")))</f>
        <v/>
      </c>
      <c r="AO81" t="str">
        <f>IF(ISNUMBER(FIND("arbeid",Methode_Keuze)),"",IF(ISNUMBER(FIND("arbeid",Methode_Keuze)),"",IF(Tb_Activiteiten[[#This Row],[Adviseur]]=1,Tb_Activiteiten[[#Headers],[Adviseur]],"")))</f>
        <v/>
      </c>
      <c r="AP81" t="str">
        <f>IF(ISNUMBER(FIND("arbeid",Methode_Keuze)),"",IF(ISNUMBER(FIND("arbeid",Methode_Keuze)),"",IF(Tb_Activiteiten[[#This Row],[Projectleider/Expert]]=1,Tb_Activiteiten[[#Headers],[Projectleider/Expert]],"")))</f>
        <v/>
      </c>
      <c r="AQ81" t="str">
        <f>IF(ISNUMBER(FIND("arbeid",Methode_Keuze)),"",IF(ISNUMBER(FIND("arbeid",Methode_Keuze)),"",IF(Tb_Activiteiten[[#This Row],[Arbeidskosten]]=1,Tb_Activiteiten[[#Headers],[Arbeidskosten]],"")))</f>
        <v/>
      </c>
      <c r="AR81" t="str">
        <f>IF(ISNUMBER(FIND("arbeid",Methode_Keuze)),"",IF(ISNUMBER(FIND("arbeid",Methode_Keuze)),"",IF(Tb_Activiteiten[[#This Row],[Arbeidskosten op basis van IKS]]=1,Tb_Activiteiten[[#Headers],[Arbeidskosten op basis van IKS]],"")))</f>
        <v/>
      </c>
      <c r="AS81" t="str">
        <f>IF(ISNUMBER(FIND("overige",Methode_Keuze)),"",IF(Tb_Activiteiten[[#This Row],[Kosten derden exclusief btw]]=1,Tb_Activiteiten[[#Headers],[Kosten derden exclusief btw]],""))</f>
        <v/>
      </c>
      <c r="AT81" t="str">
        <f>IF(ISNUMBER(FIND("overige",Methode_Keuze)),"",IF(Tb_Activiteiten[[#This Row],[Niet verrekenbare btw]]=1,Tb_Activiteiten[[#Headers],[Niet verrekenbare btw]],""))</f>
        <v/>
      </c>
      <c r="AU81" t="str">
        <f>IF(ISNUMBER(FIND("overige",Methode_Keuze)),"",IF(Tb_Activiteiten[[#This Row],[Grondkosten]]=1,Tb_Activiteiten[[#Headers],[Grondkosten]],""))</f>
        <v/>
      </c>
      <c r="AV81" t="str">
        <f>IF(ISNUMBER(FIND("overige",Methode_Keuze)),"",IF(Tb_Activiteiten[[#This Row],[Bijdrage in natura (overige)]]=1,Tb_Activiteiten[[#Headers],[Bijdrage in natura (overige)]],""))</f>
        <v/>
      </c>
      <c r="AW81" t="str">
        <f>IF(ISNUMBER(FIND("overige",Methode_Keuze)),"",IF(Tb_Activiteiten[[#This Row],[Bijdrage in natura (vrijwilligers)]]=1,Tb_Activiteiten[[#Headers],[Bijdrage in natura (vrijwilligers)]],""))</f>
        <v/>
      </c>
      <c r="AX81" t="str">
        <f>IF(ISNUMBER(FIND("overige",Methode_Keuze)),"",IF(Tb_Activiteiten[[#This Row],[Afschrijvingskosten]]=1,Tb_Activiteiten[[#Headers],[Afschrijvingskosten]],""))</f>
        <v/>
      </c>
      <c r="AY81" t="str">
        <f>IF(ISNUMBER(FIND("overige",Methode_Keuze)),"",IF(Tb_Activiteiten[[#This Row],[Vergoeding]]=1,Tb_Activiteiten[[#Headers],[Vergoeding]],""))</f>
        <v/>
      </c>
      <c r="AZ81" t="str">
        <f>IF(ISNUMBER(FIND("arbeid",Methode_Keuze)),"",IF(Tb_Activiteiten[[#This Row],[Arbeidskosten - vast tarief (excl eigen arbeid)]]=1,Tb_Activiteiten[[#Headers],[Arbeidskosten - vast tarief (excl eigen arbeid)]],""))</f>
        <v/>
      </c>
      <c r="BA81" t="str">
        <f>IF(ISNUMBER(FIND("overige",Methode_Keuze)),"",IF(Tb_Activiteiten[[#This Row],[Overige kosten]]=1,Tb_Activiteiten[[#Headers],[Overige kosten]],""))</f>
        <v/>
      </c>
    </row>
    <row r="82" spans="1:53" x14ac:dyDescent="0.25">
      <c r="A82" s="231"/>
      <c r="F82" s="64"/>
      <c r="G82" s="64"/>
      <c r="H82" s="275"/>
      <c r="I82" s="275"/>
      <c r="J82" s="275"/>
      <c r="K82" s="275"/>
      <c r="O82" s="56"/>
      <c r="Q82" t="str">
        <f>IFERROR(IF(VLOOKUP(Tb_Activiteiten[[#This Row],[Openstelling]],Tb_Openstelling[],2,0)=1,1,""),"")</f>
        <v/>
      </c>
      <c r="AK82" t="str">
        <f>IF(ISNUMBER(FIND("arbeid",Methode_Keuze)),"",IF(ISNUMBER(FIND("arbeid",Methode_Keuze)),"",IF(Tb_Activiteiten[[#This Row],[Loonkosten]]=1,Tb_Activiteiten[[#Headers],[Loonkosten]],"")))</f>
        <v/>
      </c>
      <c r="AL82" t="str">
        <f>IF(ISNUMBER(FIND("arbeid",Methode_Keuze)),"",IF(ISNUMBER(FIND("arbeid",Methode_Keuze)),"",IF(Tb_Activiteiten[[#This Row],[Eigen arbeid]]=1,Tb_Activiteiten[[#Headers],[Eigen arbeid]],"")))</f>
        <v/>
      </c>
      <c r="AM82" t="str">
        <f>IF(ISNUMBER(FIND("arbeid",Methode_Keuze)),"",IF(ISNUMBER(FIND("arbeid",Methode_Keuze)),"",IF(Tb_Activiteiten[[#This Row],[Projectmedewerker]]=1,Tb_Activiteiten[[#Headers],[Projectmedewerker]],"")))</f>
        <v/>
      </c>
      <c r="AN82" t="str">
        <f>IF(ISNUMBER(FIND("arbeid",Methode_Keuze)),"",IF(ISNUMBER(FIND("arbeid",Methode_Keuze)),"",IF(Tb_Activiteiten[[#This Row],[Landbouwer]]=1,Tb_Activiteiten[[#Headers],[Landbouwer]],"")))</f>
        <v/>
      </c>
      <c r="AO82" t="str">
        <f>IF(ISNUMBER(FIND("arbeid",Methode_Keuze)),"",IF(ISNUMBER(FIND("arbeid",Methode_Keuze)),"",IF(Tb_Activiteiten[[#This Row],[Adviseur]]=1,Tb_Activiteiten[[#Headers],[Adviseur]],"")))</f>
        <v/>
      </c>
      <c r="AP82" t="str">
        <f>IF(ISNUMBER(FIND("arbeid",Methode_Keuze)),"",IF(ISNUMBER(FIND("arbeid",Methode_Keuze)),"",IF(Tb_Activiteiten[[#This Row],[Projectleider/Expert]]=1,Tb_Activiteiten[[#Headers],[Projectleider/Expert]],"")))</f>
        <v/>
      </c>
      <c r="AQ82" t="str">
        <f>IF(ISNUMBER(FIND("arbeid",Methode_Keuze)),"",IF(ISNUMBER(FIND("arbeid",Methode_Keuze)),"",IF(Tb_Activiteiten[[#This Row],[Arbeidskosten]]=1,Tb_Activiteiten[[#Headers],[Arbeidskosten]],"")))</f>
        <v/>
      </c>
      <c r="AR82" t="str">
        <f>IF(ISNUMBER(FIND("arbeid",Methode_Keuze)),"",IF(ISNUMBER(FIND("arbeid",Methode_Keuze)),"",IF(Tb_Activiteiten[[#This Row],[Arbeidskosten op basis van IKS]]=1,Tb_Activiteiten[[#Headers],[Arbeidskosten op basis van IKS]],"")))</f>
        <v/>
      </c>
      <c r="AS82" t="str">
        <f>IF(ISNUMBER(FIND("overige",Methode_Keuze)),"",IF(Tb_Activiteiten[[#This Row],[Kosten derden exclusief btw]]=1,Tb_Activiteiten[[#Headers],[Kosten derden exclusief btw]],""))</f>
        <v/>
      </c>
      <c r="AT82" t="str">
        <f>IF(ISNUMBER(FIND("overige",Methode_Keuze)),"",IF(Tb_Activiteiten[[#This Row],[Niet verrekenbare btw]]=1,Tb_Activiteiten[[#Headers],[Niet verrekenbare btw]],""))</f>
        <v/>
      </c>
      <c r="AU82" t="str">
        <f>IF(ISNUMBER(FIND("overige",Methode_Keuze)),"",IF(Tb_Activiteiten[[#This Row],[Grondkosten]]=1,Tb_Activiteiten[[#Headers],[Grondkosten]],""))</f>
        <v/>
      </c>
      <c r="AV82" t="str">
        <f>IF(ISNUMBER(FIND("overige",Methode_Keuze)),"",IF(Tb_Activiteiten[[#This Row],[Bijdrage in natura (overige)]]=1,Tb_Activiteiten[[#Headers],[Bijdrage in natura (overige)]],""))</f>
        <v/>
      </c>
      <c r="AW82" t="str">
        <f>IF(ISNUMBER(FIND("overige",Methode_Keuze)),"",IF(Tb_Activiteiten[[#This Row],[Bijdrage in natura (vrijwilligers)]]=1,Tb_Activiteiten[[#Headers],[Bijdrage in natura (vrijwilligers)]],""))</f>
        <v/>
      </c>
      <c r="AX82" t="str">
        <f>IF(ISNUMBER(FIND("overige",Methode_Keuze)),"",IF(Tb_Activiteiten[[#This Row],[Afschrijvingskosten]]=1,Tb_Activiteiten[[#Headers],[Afschrijvingskosten]],""))</f>
        <v/>
      </c>
      <c r="AY82" t="str">
        <f>IF(ISNUMBER(FIND("overige",Methode_Keuze)),"",IF(Tb_Activiteiten[[#This Row],[Vergoeding]]=1,Tb_Activiteiten[[#Headers],[Vergoeding]],""))</f>
        <v/>
      </c>
      <c r="AZ82" t="str">
        <f>IF(ISNUMBER(FIND("arbeid",Methode_Keuze)),"",IF(Tb_Activiteiten[[#This Row],[Arbeidskosten - vast tarief (excl eigen arbeid)]]=1,Tb_Activiteiten[[#Headers],[Arbeidskosten - vast tarief (excl eigen arbeid)]],""))</f>
        <v/>
      </c>
      <c r="BA82" t="str">
        <f>IF(ISNUMBER(FIND("overige",Methode_Keuze)),"",IF(Tb_Activiteiten[[#This Row],[Overige kosten]]=1,Tb_Activiteiten[[#Headers],[Overige kosten]],""))</f>
        <v/>
      </c>
    </row>
    <row r="83" spans="1:53" x14ac:dyDescent="0.25">
      <c r="A83" s="231"/>
      <c r="F83" s="64"/>
      <c r="G83" s="64"/>
      <c r="H83" s="275"/>
      <c r="I83" s="275"/>
      <c r="J83" s="275"/>
      <c r="K83" s="275"/>
      <c r="O83" s="56"/>
      <c r="Q83" t="str">
        <f>IFERROR(IF(VLOOKUP(Tb_Activiteiten[[#This Row],[Openstelling]],Tb_Openstelling[],2,0)=1,1,""),"")</f>
        <v/>
      </c>
      <c r="AK83" t="str">
        <f>IF(ISNUMBER(FIND("arbeid",Methode_Keuze)),"",IF(ISNUMBER(FIND("arbeid",Methode_Keuze)),"",IF(Tb_Activiteiten[[#This Row],[Loonkosten]]=1,Tb_Activiteiten[[#Headers],[Loonkosten]],"")))</f>
        <v/>
      </c>
      <c r="AL83" t="str">
        <f>IF(ISNUMBER(FIND("arbeid",Methode_Keuze)),"",IF(ISNUMBER(FIND("arbeid",Methode_Keuze)),"",IF(Tb_Activiteiten[[#This Row],[Eigen arbeid]]=1,Tb_Activiteiten[[#Headers],[Eigen arbeid]],"")))</f>
        <v/>
      </c>
      <c r="AM83" t="str">
        <f>IF(ISNUMBER(FIND("arbeid",Methode_Keuze)),"",IF(ISNUMBER(FIND("arbeid",Methode_Keuze)),"",IF(Tb_Activiteiten[[#This Row],[Projectmedewerker]]=1,Tb_Activiteiten[[#Headers],[Projectmedewerker]],"")))</f>
        <v/>
      </c>
      <c r="AN83" t="str">
        <f>IF(ISNUMBER(FIND("arbeid",Methode_Keuze)),"",IF(ISNUMBER(FIND("arbeid",Methode_Keuze)),"",IF(Tb_Activiteiten[[#This Row],[Landbouwer]]=1,Tb_Activiteiten[[#Headers],[Landbouwer]],"")))</f>
        <v/>
      </c>
      <c r="AO83" t="str">
        <f>IF(ISNUMBER(FIND("arbeid",Methode_Keuze)),"",IF(ISNUMBER(FIND("arbeid",Methode_Keuze)),"",IF(Tb_Activiteiten[[#This Row],[Adviseur]]=1,Tb_Activiteiten[[#Headers],[Adviseur]],"")))</f>
        <v/>
      </c>
      <c r="AP83" t="str">
        <f>IF(ISNUMBER(FIND("arbeid",Methode_Keuze)),"",IF(ISNUMBER(FIND("arbeid",Methode_Keuze)),"",IF(Tb_Activiteiten[[#This Row],[Projectleider/Expert]]=1,Tb_Activiteiten[[#Headers],[Projectleider/Expert]],"")))</f>
        <v/>
      </c>
      <c r="AQ83" t="str">
        <f>IF(ISNUMBER(FIND("arbeid",Methode_Keuze)),"",IF(ISNUMBER(FIND("arbeid",Methode_Keuze)),"",IF(Tb_Activiteiten[[#This Row],[Arbeidskosten]]=1,Tb_Activiteiten[[#Headers],[Arbeidskosten]],"")))</f>
        <v/>
      </c>
      <c r="AR83" t="str">
        <f>IF(ISNUMBER(FIND("arbeid",Methode_Keuze)),"",IF(ISNUMBER(FIND("arbeid",Methode_Keuze)),"",IF(Tb_Activiteiten[[#This Row],[Arbeidskosten op basis van IKS]]=1,Tb_Activiteiten[[#Headers],[Arbeidskosten op basis van IKS]],"")))</f>
        <v/>
      </c>
      <c r="AS83" t="str">
        <f>IF(ISNUMBER(FIND("overige",Methode_Keuze)),"",IF(Tb_Activiteiten[[#This Row],[Kosten derden exclusief btw]]=1,Tb_Activiteiten[[#Headers],[Kosten derden exclusief btw]],""))</f>
        <v/>
      </c>
      <c r="AT83" t="str">
        <f>IF(ISNUMBER(FIND("overige",Methode_Keuze)),"",IF(Tb_Activiteiten[[#This Row],[Niet verrekenbare btw]]=1,Tb_Activiteiten[[#Headers],[Niet verrekenbare btw]],""))</f>
        <v/>
      </c>
      <c r="AU83" t="str">
        <f>IF(ISNUMBER(FIND("overige",Methode_Keuze)),"",IF(Tb_Activiteiten[[#This Row],[Grondkosten]]=1,Tb_Activiteiten[[#Headers],[Grondkosten]],""))</f>
        <v/>
      </c>
      <c r="AV83" t="str">
        <f>IF(ISNUMBER(FIND("overige",Methode_Keuze)),"",IF(Tb_Activiteiten[[#This Row],[Bijdrage in natura (overige)]]=1,Tb_Activiteiten[[#Headers],[Bijdrage in natura (overige)]],""))</f>
        <v/>
      </c>
      <c r="AW83" t="str">
        <f>IF(ISNUMBER(FIND("overige",Methode_Keuze)),"",IF(Tb_Activiteiten[[#This Row],[Bijdrage in natura (vrijwilligers)]]=1,Tb_Activiteiten[[#Headers],[Bijdrage in natura (vrijwilligers)]],""))</f>
        <v/>
      </c>
      <c r="AX83" t="str">
        <f>IF(ISNUMBER(FIND("overige",Methode_Keuze)),"",IF(Tb_Activiteiten[[#This Row],[Afschrijvingskosten]]=1,Tb_Activiteiten[[#Headers],[Afschrijvingskosten]],""))</f>
        <v/>
      </c>
      <c r="AY83" t="str">
        <f>IF(ISNUMBER(FIND("overige",Methode_Keuze)),"",IF(Tb_Activiteiten[[#This Row],[Vergoeding]]=1,Tb_Activiteiten[[#Headers],[Vergoeding]],""))</f>
        <v/>
      </c>
      <c r="AZ83" t="str">
        <f>IF(ISNUMBER(FIND("arbeid",Methode_Keuze)),"",IF(Tb_Activiteiten[[#This Row],[Arbeidskosten - vast tarief (excl eigen arbeid)]]=1,Tb_Activiteiten[[#Headers],[Arbeidskosten - vast tarief (excl eigen arbeid)]],""))</f>
        <v/>
      </c>
      <c r="BA83" t="str">
        <f>IF(ISNUMBER(FIND("overige",Methode_Keuze)),"",IF(Tb_Activiteiten[[#This Row],[Overige kosten]]=1,Tb_Activiteiten[[#Headers],[Overige kosten]],""))</f>
        <v/>
      </c>
    </row>
    <row r="84" spans="1:53" x14ac:dyDescent="0.25">
      <c r="A84" s="231"/>
      <c r="F84" s="64"/>
      <c r="G84" s="64"/>
      <c r="H84" s="275"/>
      <c r="I84" s="275"/>
      <c r="J84" s="275"/>
      <c r="K84" s="275"/>
      <c r="O84" s="56"/>
      <c r="Q84" t="str">
        <f>IFERROR(IF(VLOOKUP(Tb_Activiteiten[[#This Row],[Openstelling]],Tb_Openstelling[],2,0)=1,1,""),"")</f>
        <v/>
      </c>
      <c r="AK84" t="str">
        <f>IF(ISNUMBER(FIND("arbeid",Methode_Keuze)),"",IF(ISNUMBER(FIND("arbeid",Methode_Keuze)),"",IF(Tb_Activiteiten[[#This Row],[Loonkosten]]=1,Tb_Activiteiten[[#Headers],[Loonkosten]],"")))</f>
        <v/>
      </c>
      <c r="AL84" t="str">
        <f>IF(ISNUMBER(FIND("arbeid",Methode_Keuze)),"",IF(ISNUMBER(FIND("arbeid",Methode_Keuze)),"",IF(Tb_Activiteiten[[#This Row],[Eigen arbeid]]=1,Tb_Activiteiten[[#Headers],[Eigen arbeid]],"")))</f>
        <v/>
      </c>
      <c r="AM84" t="str">
        <f>IF(ISNUMBER(FIND("arbeid",Methode_Keuze)),"",IF(ISNUMBER(FIND("arbeid",Methode_Keuze)),"",IF(Tb_Activiteiten[[#This Row],[Projectmedewerker]]=1,Tb_Activiteiten[[#Headers],[Projectmedewerker]],"")))</f>
        <v/>
      </c>
      <c r="AN84" t="str">
        <f>IF(ISNUMBER(FIND("arbeid",Methode_Keuze)),"",IF(ISNUMBER(FIND("arbeid",Methode_Keuze)),"",IF(Tb_Activiteiten[[#This Row],[Landbouwer]]=1,Tb_Activiteiten[[#Headers],[Landbouwer]],"")))</f>
        <v/>
      </c>
      <c r="AO84" t="str">
        <f>IF(ISNUMBER(FIND("arbeid",Methode_Keuze)),"",IF(ISNUMBER(FIND("arbeid",Methode_Keuze)),"",IF(Tb_Activiteiten[[#This Row],[Adviseur]]=1,Tb_Activiteiten[[#Headers],[Adviseur]],"")))</f>
        <v/>
      </c>
      <c r="AP84" t="str">
        <f>IF(ISNUMBER(FIND("arbeid",Methode_Keuze)),"",IF(ISNUMBER(FIND("arbeid",Methode_Keuze)),"",IF(Tb_Activiteiten[[#This Row],[Projectleider/Expert]]=1,Tb_Activiteiten[[#Headers],[Projectleider/Expert]],"")))</f>
        <v/>
      </c>
      <c r="AQ84" t="str">
        <f>IF(ISNUMBER(FIND("arbeid",Methode_Keuze)),"",IF(ISNUMBER(FIND("arbeid",Methode_Keuze)),"",IF(Tb_Activiteiten[[#This Row],[Arbeidskosten]]=1,Tb_Activiteiten[[#Headers],[Arbeidskosten]],"")))</f>
        <v/>
      </c>
      <c r="AR84" t="str">
        <f>IF(ISNUMBER(FIND("arbeid",Methode_Keuze)),"",IF(ISNUMBER(FIND("arbeid",Methode_Keuze)),"",IF(Tb_Activiteiten[[#This Row],[Arbeidskosten op basis van IKS]]=1,Tb_Activiteiten[[#Headers],[Arbeidskosten op basis van IKS]],"")))</f>
        <v/>
      </c>
      <c r="AS84" t="str">
        <f>IF(ISNUMBER(FIND("overige",Methode_Keuze)),"",IF(Tb_Activiteiten[[#This Row],[Kosten derden exclusief btw]]=1,Tb_Activiteiten[[#Headers],[Kosten derden exclusief btw]],""))</f>
        <v/>
      </c>
      <c r="AT84" t="str">
        <f>IF(ISNUMBER(FIND("overige",Methode_Keuze)),"",IF(Tb_Activiteiten[[#This Row],[Niet verrekenbare btw]]=1,Tb_Activiteiten[[#Headers],[Niet verrekenbare btw]],""))</f>
        <v/>
      </c>
      <c r="AU84" t="str">
        <f>IF(ISNUMBER(FIND("overige",Methode_Keuze)),"",IF(Tb_Activiteiten[[#This Row],[Grondkosten]]=1,Tb_Activiteiten[[#Headers],[Grondkosten]],""))</f>
        <v/>
      </c>
      <c r="AV84" t="str">
        <f>IF(ISNUMBER(FIND("overige",Methode_Keuze)),"",IF(Tb_Activiteiten[[#This Row],[Bijdrage in natura (overige)]]=1,Tb_Activiteiten[[#Headers],[Bijdrage in natura (overige)]],""))</f>
        <v/>
      </c>
      <c r="AW84" t="str">
        <f>IF(ISNUMBER(FIND("overige",Methode_Keuze)),"",IF(Tb_Activiteiten[[#This Row],[Bijdrage in natura (vrijwilligers)]]=1,Tb_Activiteiten[[#Headers],[Bijdrage in natura (vrijwilligers)]],""))</f>
        <v/>
      </c>
      <c r="AX84" t="str">
        <f>IF(ISNUMBER(FIND("overige",Methode_Keuze)),"",IF(Tb_Activiteiten[[#This Row],[Afschrijvingskosten]]=1,Tb_Activiteiten[[#Headers],[Afschrijvingskosten]],""))</f>
        <v/>
      </c>
      <c r="AY84" t="str">
        <f>IF(ISNUMBER(FIND("overige",Methode_Keuze)),"",IF(Tb_Activiteiten[[#This Row],[Vergoeding]]=1,Tb_Activiteiten[[#Headers],[Vergoeding]],""))</f>
        <v/>
      </c>
      <c r="AZ84" t="str">
        <f>IF(ISNUMBER(FIND("arbeid",Methode_Keuze)),"",IF(Tb_Activiteiten[[#This Row],[Arbeidskosten - vast tarief (excl eigen arbeid)]]=1,Tb_Activiteiten[[#Headers],[Arbeidskosten - vast tarief (excl eigen arbeid)]],""))</f>
        <v/>
      </c>
      <c r="BA84" t="str">
        <f>IF(ISNUMBER(FIND("overige",Methode_Keuze)),"",IF(Tb_Activiteiten[[#This Row],[Overige kosten]]=1,Tb_Activiteiten[[#Headers],[Overige kosten]],""))</f>
        <v/>
      </c>
    </row>
    <row r="85" spans="1:53" x14ac:dyDescent="0.25">
      <c r="A85" s="231"/>
      <c r="F85" s="64"/>
      <c r="G85" s="64"/>
      <c r="H85" s="275"/>
      <c r="I85" s="275"/>
      <c r="J85" s="275"/>
      <c r="K85" s="275"/>
      <c r="O85" s="56"/>
      <c r="Q85" t="str">
        <f>IFERROR(IF(VLOOKUP(Tb_Activiteiten[[#This Row],[Openstelling]],Tb_Openstelling[],2,0)=1,1,""),"")</f>
        <v/>
      </c>
      <c r="AK85" t="str">
        <f>IF(ISNUMBER(FIND("arbeid",Methode_Keuze)),"",IF(ISNUMBER(FIND("arbeid",Methode_Keuze)),"",IF(Tb_Activiteiten[[#This Row],[Loonkosten]]=1,Tb_Activiteiten[[#Headers],[Loonkosten]],"")))</f>
        <v/>
      </c>
      <c r="AL85" t="str">
        <f>IF(ISNUMBER(FIND("arbeid",Methode_Keuze)),"",IF(ISNUMBER(FIND("arbeid",Methode_Keuze)),"",IF(Tb_Activiteiten[[#This Row],[Eigen arbeid]]=1,Tb_Activiteiten[[#Headers],[Eigen arbeid]],"")))</f>
        <v/>
      </c>
      <c r="AM85" t="str">
        <f>IF(ISNUMBER(FIND("arbeid",Methode_Keuze)),"",IF(ISNUMBER(FIND("arbeid",Methode_Keuze)),"",IF(Tb_Activiteiten[[#This Row],[Projectmedewerker]]=1,Tb_Activiteiten[[#Headers],[Projectmedewerker]],"")))</f>
        <v/>
      </c>
      <c r="AN85" t="str">
        <f>IF(ISNUMBER(FIND("arbeid",Methode_Keuze)),"",IF(ISNUMBER(FIND("arbeid",Methode_Keuze)),"",IF(Tb_Activiteiten[[#This Row],[Landbouwer]]=1,Tb_Activiteiten[[#Headers],[Landbouwer]],"")))</f>
        <v/>
      </c>
      <c r="AO85" t="str">
        <f>IF(ISNUMBER(FIND("arbeid",Methode_Keuze)),"",IF(ISNUMBER(FIND("arbeid",Methode_Keuze)),"",IF(Tb_Activiteiten[[#This Row],[Adviseur]]=1,Tb_Activiteiten[[#Headers],[Adviseur]],"")))</f>
        <v/>
      </c>
      <c r="AP85" t="str">
        <f>IF(ISNUMBER(FIND("arbeid",Methode_Keuze)),"",IF(ISNUMBER(FIND("arbeid",Methode_Keuze)),"",IF(Tb_Activiteiten[[#This Row],[Projectleider/Expert]]=1,Tb_Activiteiten[[#Headers],[Projectleider/Expert]],"")))</f>
        <v/>
      </c>
      <c r="AQ85" t="str">
        <f>IF(ISNUMBER(FIND("arbeid",Methode_Keuze)),"",IF(ISNUMBER(FIND("arbeid",Methode_Keuze)),"",IF(Tb_Activiteiten[[#This Row],[Arbeidskosten]]=1,Tb_Activiteiten[[#Headers],[Arbeidskosten]],"")))</f>
        <v/>
      </c>
      <c r="AR85" t="str">
        <f>IF(ISNUMBER(FIND("arbeid",Methode_Keuze)),"",IF(ISNUMBER(FIND("arbeid",Methode_Keuze)),"",IF(Tb_Activiteiten[[#This Row],[Arbeidskosten op basis van IKS]]=1,Tb_Activiteiten[[#Headers],[Arbeidskosten op basis van IKS]],"")))</f>
        <v/>
      </c>
      <c r="AS85" t="str">
        <f>IF(ISNUMBER(FIND("overige",Methode_Keuze)),"",IF(Tb_Activiteiten[[#This Row],[Kosten derden exclusief btw]]=1,Tb_Activiteiten[[#Headers],[Kosten derden exclusief btw]],""))</f>
        <v/>
      </c>
      <c r="AT85" t="str">
        <f>IF(ISNUMBER(FIND("overige",Methode_Keuze)),"",IF(Tb_Activiteiten[[#This Row],[Niet verrekenbare btw]]=1,Tb_Activiteiten[[#Headers],[Niet verrekenbare btw]],""))</f>
        <v/>
      </c>
      <c r="AU85" t="str">
        <f>IF(ISNUMBER(FIND("overige",Methode_Keuze)),"",IF(Tb_Activiteiten[[#This Row],[Grondkosten]]=1,Tb_Activiteiten[[#Headers],[Grondkosten]],""))</f>
        <v/>
      </c>
      <c r="AV85" t="str">
        <f>IF(ISNUMBER(FIND("overige",Methode_Keuze)),"",IF(Tb_Activiteiten[[#This Row],[Bijdrage in natura (overige)]]=1,Tb_Activiteiten[[#Headers],[Bijdrage in natura (overige)]],""))</f>
        <v/>
      </c>
      <c r="AW85" t="str">
        <f>IF(ISNUMBER(FIND("overige",Methode_Keuze)),"",IF(Tb_Activiteiten[[#This Row],[Bijdrage in natura (vrijwilligers)]]=1,Tb_Activiteiten[[#Headers],[Bijdrage in natura (vrijwilligers)]],""))</f>
        <v/>
      </c>
      <c r="AX85" t="str">
        <f>IF(ISNUMBER(FIND("overige",Methode_Keuze)),"",IF(Tb_Activiteiten[[#This Row],[Afschrijvingskosten]]=1,Tb_Activiteiten[[#Headers],[Afschrijvingskosten]],""))</f>
        <v/>
      </c>
      <c r="AY85" t="str">
        <f>IF(ISNUMBER(FIND("overige",Methode_Keuze)),"",IF(Tb_Activiteiten[[#This Row],[Vergoeding]]=1,Tb_Activiteiten[[#Headers],[Vergoeding]],""))</f>
        <v/>
      </c>
      <c r="AZ85" t="str">
        <f>IF(ISNUMBER(FIND("arbeid",Methode_Keuze)),"",IF(Tb_Activiteiten[[#This Row],[Arbeidskosten - vast tarief (excl eigen arbeid)]]=1,Tb_Activiteiten[[#Headers],[Arbeidskosten - vast tarief (excl eigen arbeid)]],""))</f>
        <v/>
      </c>
      <c r="BA85" t="str">
        <f>IF(ISNUMBER(FIND("overige",Methode_Keuze)),"",IF(Tb_Activiteiten[[#This Row],[Overige kosten]]=1,Tb_Activiteiten[[#Headers],[Overige kosten]],""))</f>
        <v/>
      </c>
    </row>
    <row r="86" spans="1:53" x14ac:dyDescent="0.25">
      <c r="A86" s="231"/>
      <c r="F86" s="64"/>
      <c r="G86" s="64"/>
      <c r="H86" s="275"/>
      <c r="I86" s="275"/>
      <c r="J86" s="275"/>
      <c r="K86" s="275"/>
      <c r="O86" s="56"/>
      <c r="Q86" t="str">
        <f>IFERROR(IF(VLOOKUP(Tb_Activiteiten[[#This Row],[Openstelling]],Tb_Openstelling[],2,0)=1,1,""),"")</f>
        <v/>
      </c>
      <c r="AK86" t="str">
        <f>IF(ISNUMBER(FIND("arbeid",Methode_Keuze)),"",IF(ISNUMBER(FIND("arbeid",Methode_Keuze)),"",IF(Tb_Activiteiten[[#This Row],[Loonkosten]]=1,Tb_Activiteiten[[#Headers],[Loonkosten]],"")))</f>
        <v/>
      </c>
      <c r="AL86" t="str">
        <f>IF(ISNUMBER(FIND("arbeid",Methode_Keuze)),"",IF(ISNUMBER(FIND("arbeid",Methode_Keuze)),"",IF(Tb_Activiteiten[[#This Row],[Eigen arbeid]]=1,Tb_Activiteiten[[#Headers],[Eigen arbeid]],"")))</f>
        <v/>
      </c>
      <c r="AM86" t="str">
        <f>IF(ISNUMBER(FIND("arbeid",Methode_Keuze)),"",IF(ISNUMBER(FIND("arbeid",Methode_Keuze)),"",IF(Tb_Activiteiten[[#This Row],[Projectmedewerker]]=1,Tb_Activiteiten[[#Headers],[Projectmedewerker]],"")))</f>
        <v/>
      </c>
      <c r="AN86" t="str">
        <f>IF(ISNUMBER(FIND("arbeid",Methode_Keuze)),"",IF(ISNUMBER(FIND("arbeid",Methode_Keuze)),"",IF(Tb_Activiteiten[[#This Row],[Landbouwer]]=1,Tb_Activiteiten[[#Headers],[Landbouwer]],"")))</f>
        <v/>
      </c>
      <c r="AO86" t="str">
        <f>IF(ISNUMBER(FIND("arbeid",Methode_Keuze)),"",IF(ISNUMBER(FIND("arbeid",Methode_Keuze)),"",IF(Tb_Activiteiten[[#This Row],[Adviseur]]=1,Tb_Activiteiten[[#Headers],[Adviseur]],"")))</f>
        <v/>
      </c>
      <c r="AP86" t="str">
        <f>IF(ISNUMBER(FIND("arbeid",Methode_Keuze)),"",IF(ISNUMBER(FIND("arbeid",Methode_Keuze)),"",IF(Tb_Activiteiten[[#This Row],[Projectleider/Expert]]=1,Tb_Activiteiten[[#Headers],[Projectleider/Expert]],"")))</f>
        <v/>
      </c>
      <c r="AQ86" t="str">
        <f>IF(ISNUMBER(FIND("arbeid",Methode_Keuze)),"",IF(ISNUMBER(FIND("arbeid",Methode_Keuze)),"",IF(Tb_Activiteiten[[#This Row],[Arbeidskosten]]=1,Tb_Activiteiten[[#Headers],[Arbeidskosten]],"")))</f>
        <v/>
      </c>
      <c r="AR86" t="str">
        <f>IF(ISNUMBER(FIND("arbeid",Methode_Keuze)),"",IF(ISNUMBER(FIND("arbeid",Methode_Keuze)),"",IF(Tb_Activiteiten[[#This Row],[Arbeidskosten op basis van IKS]]=1,Tb_Activiteiten[[#Headers],[Arbeidskosten op basis van IKS]],"")))</f>
        <v/>
      </c>
      <c r="AS86" t="str">
        <f>IF(ISNUMBER(FIND("overige",Methode_Keuze)),"",IF(Tb_Activiteiten[[#This Row],[Kosten derden exclusief btw]]=1,Tb_Activiteiten[[#Headers],[Kosten derden exclusief btw]],""))</f>
        <v/>
      </c>
      <c r="AT86" t="str">
        <f>IF(ISNUMBER(FIND("overige",Methode_Keuze)),"",IF(Tb_Activiteiten[[#This Row],[Niet verrekenbare btw]]=1,Tb_Activiteiten[[#Headers],[Niet verrekenbare btw]],""))</f>
        <v/>
      </c>
      <c r="AU86" t="str">
        <f>IF(ISNUMBER(FIND("overige",Methode_Keuze)),"",IF(Tb_Activiteiten[[#This Row],[Grondkosten]]=1,Tb_Activiteiten[[#Headers],[Grondkosten]],""))</f>
        <v/>
      </c>
      <c r="AV86" t="str">
        <f>IF(ISNUMBER(FIND("overige",Methode_Keuze)),"",IF(Tb_Activiteiten[[#This Row],[Bijdrage in natura (overige)]]=1,Tb_Activiteiten[[#Headers],[Bijdrage in natura (overige)]],""))</f>
        <v/>
      </c>
      <c r="AW86" t="str">
        <f>IF(ISNUMBER(FIND("overige",Methode_Keuze)),"",IF(Tb_Activiteiten[[#This Row],[Bijdrage in natura (vrijwilligers)]]=1,Tb_Activiteiten[[#Headers],[Bijdrage in natura (vrijwilligers)]],""))</f>
        <v/>
      </c>
      <c r="AX86" t="str">
        <f>IF(ISNUMBER(FIND("overige",Methode_Keuze)),"",IF(Tb_Activiteiten[[#This Row],[Afschrijvingskosten]]=1,Tb_Activiteiten[[#Headers],[Afschrijvingskosten]],""))</f>
        <v/>
      </c>
      <c r="AY86" t="str">
        <f>IF(ISNUMBER(FIND("overige",Methode_Keuze)),"",IF(Tb_Activiteiten[[#This Row],[Vergoeding]]=1,Tb_Activiteiten[[#Headers],[Vergoeding]],""))</f>
        <v/>
      </c>
      <c r="AZ86" t="str">
        <f>IF(ISNUMBER(FIND("arbeid",Methode_Keuze)),"",IF(Tb_Activiteiten[[#This Row],[Arbeidskosten - vast tarief (excl eigen arbeid)]]=1,Tb_Activiteiten[[#Headers],[Arbeidskosten - vast tarief (excl eigen arbeid)]],""))</f>
        <v/>
      </c>
      <c r="BA86" t="str">
        <f>IF(ISNUMBER(FIND("overige",Methode_Keuze)),"",IF(Tb_Activiteiten[[#This Row],[Overige kosten]]=1,Tb_Activiteiten[[#Headers],[Overige kosten]],""))</f>
        <v/>
      </c>
    </row>
    <row r="87" spans="1:53" x14ac:dyDescent="0.25">
      <c r="A87" s="231"/>
      <c r="F87" s="64"/>
      <c r="G87" s="64"/>
      <c r="H87" s="275"/>
      <c r="I87" s="275"/>
      <c r="J87" s="275"/>
      <c r="K87" s="275"/>
      <c r="O87" s="56"/>
      <c r="Q87" t="str">
        <f>IFERROR(IF(VLOOKUP(Tb_Activiteiten[[#This Row],[Openstelling]],Tb_Openstelling[],2,0)=1,1,""),"")</f>
        <v/>
      </c>
      <c r="AK87" t="str">
        <f>IF(ISNUMBER(FIND("arbeid",Methode_Keuze)),"",IF(ISNUMBER(FIND("arbeid",Methode_Keuze)),"",IF(Tb_Activiteiten[[#This Row],[Loonkosten]]=1,Tb_Activiteiten[[#Headers],[Loonkosten]],"")))</f>
        <v/>
      </c>
      <c r="AL87" t="str">
        <f>IF(ISNUMBER(FIND("arbeid",Methode_Keuze)),"",IF(ISNUMBER(FIND("arbeid",Methode_Keuze)),"",IF(Tb_Activiteiten[[#This Row],[Eigen arbeid]]=1,Tb_Activiteiten[[#Headers],[Eigen arbeid]],"")))</f>
        <v/>
      </c>
      <c r="AM87" t="str">
        <f>IF(ISNUMBER(FIND("arbeid",Methode_Keuze)),"",IF(ISNUMBER(FIND("arbeid",Methode_Keuze)),"",IF(Tb_Activiteiten[[#This Row],[Projectmedewerker]]=1,Tb_Activiteiten[[#Headers],[Projectmedewerker]],"")))</f>
        <v/>
      </c>
      <c r="AN87" t="str">
        <f>IF(ISNUMBER(FIND("arbeid",Methode_Keuze)),"",IF(ISNUMBER(FIND("arbeid",Methode_Keuze)),"",IF(Tb_Activiteiten[[#This Row],[Landbouwer]]=1,Tb_Activiteiten[[#Headers],[Landbouwer]],"")))</f>
        <v/>
      </c>
      <c r="AO87" t="str">
        <f>IF(ISNUMBER(FIND("arbeid",Methode_Keuze)),"",IF(ISNUMBER(FIND("arbeid",Methode_Keuze)),"",IF(Tb_Activiteiten[[#This Row],[Adviseur]]=1,Tb_Activiteiten[[#Headers],[Adviseur]],"")))</f>
        <v/>
      </c>
      <c r="AP87" t="str">
        <f>IF(ISNUMBER(FIND("arbeid",Methode_Keuze)),"",IF(ISNUMBER(FIND("arbeid",Methode_Keuze)),"",IF(Tb_Activiteiten[[#This Row],[Projectleider/Expert]]=1,Tb_Activiteiten[[#Headers],[Projectleider/Expert]],"")))</f>
        <v/>
      </c>
      <c r="AQ87" t="str">
        <f>IF(ISNUMBER(FIND("arbeid",Methode_Keuze)),"",IF(ISNUMBER(FIND("arbeid",Methode_Keuze)),"",IF(Tb_Activiteiten[[#This Row],[Arbeidskosten]]=1,Tb_Activiteiten[[#Headers],[Arbeidskosten]],"")))</f>
        <v/>
      </c>
      <c r="AR87" t="str">
        <f>IF(ISNUMBER(FIND("arbeid",Methode_Keuze)),"",IF(ISNUMBER(FIND("arbeid",Methode_Keuze)),"",IF(Tb_Activiteiten[[#This Row],[Arbeidskosten op basis van IKS]]=1,Tb_Activiteiten[[#Headers],[Arbeidskosten op basis van IKS]],"")))</f>
        <v/>
      </c>
      <c r="AS87" t="str">
        <f>IF(ISNUMBER(FIND("overige",Methode_Keuze)),"",IF(Tb_Activiteiten[[#This Row],[Kosten derden exclusief btw]]=1,Tb_Activiteiten[[#Headers],[Kosten derden exclusief btw]],""))</f>
        <v/>
      </c>
      <c r="AT87" t="str">
        <f>IF(ISNUMBER(FIND("overige",Methode_Keuze)),"",IF(Tb_Activiteiten[[#This Row],[Niet verrekenbare btw]]=1,Tb_Activiteiten[[#Headers],[Niet verrekenbare btw]],""))</f>
        <v/>
      </c>
      <c r="AU87" t="str">
        <f>IF(ISNUMBER(FIND("overige",Methode_Keuze)),"",IF(Tb_Activiteiten[[#This Row],[Grondkosten]]=1,Tb_Activiteiten[[#Headers],[Grondkosten]],""))</f>
        <v/>
      </c>
      <c r="AV87" t="str">
        <f>IF(ISNUMBER(FIND("overige",Methode_Keuze)),"",IF(Tb_Activiteiten[[#This Row],[Bijdrage in natura (overige)]]=1,Tb_Activiteiten[[#Headers],[Bijdrage in natura (overige)]],""))</f>
        <v/>
      </c>
      <c r="AW87" t="str">
        <f>IF(ISNUMBER(FIND("overige",Methode_Keuze)),"",IF(Tb_Activiteiten[[#This Row],[Bijdrage in natura (vrijwilligers)]]=1,Tb_Activiteiten[[#Headers],[Bijdrage in natura (vrijwilligers)]],""))</f>
        <v/>
      </c>
      <c r="AX87" t="str">
        <f>IF(ISNUMBER(FIND("overige",Methode_Keuze)),"",IF(Tb_Activiteiten[[#This Row],[Afschrijvingskosten]]=1,Tb_Activiteiten[[#Headers],[Afschrijvingskosten]],""))</f>
        <v/>
      </c>
      <c r="AY87" t="str">
        <f>IF(ISNUMBER(FIND("overige",Methode_Keuze)),"",IF(Tb_Activiteiten[[#This Row],[Vergoeding]]=1,Tb_Activiteiten[[#Headers],[Vergoeding]],""))</f>
        <v/>
      </c>
      <c r="AZ87" t="str">
        <f>IF(ISNUMBER(FIND("arbeid",Methode_Keuze)),"",IF(Tb_Activiteiten[[#This Row],[Arbeidskosten - vast tarief (excl eigen arbeid)]]=1,Tb_Activiteiten[[#Headers],[Arbeidskosten - vast tarief (excl eigen arbeid)]],""))</f>
        <v/>
      </c>
      <c r="BA87" t="str">
        <f>IF(ISNUMBER(FIND("overige",Methode_Keuze)),"",IF(Tb_Activiteiten[[#This Row],[Overige kosten]]=1,Tb_Activiteiten[[#Headers],[Overige kosten]],""))</f>
        <v/>
      </c>
    </row>
    <row r="88" spans="1:53" x14ac:dyDescent="0.25">
      <c r="A88" s="231"/>
      <c r="F88" s="64"/>
      <c r="G88" s="64"/>
      <c r="H88" s="275"/>
      <c r="I88" s="275"/>
      <c r="J88" s="275"/>
      <c r="K88" s="275"/>
      <c r="O88" s="56"/>
      <c r="Q88" t="str">
        <f>IFERROR(IF(VLOOKUP(Tb_Activiteiten[[#This Row],[Openstelling]],Tb_Openstelling[],2,0)=1,1,""),"")</f>
        <v/>
      </c>
      <c r="AK88" t="str">
        <f>IF(ISNUMBER(FIND("arbeid",Methode_Keuze)),"",IF(ISNUMBER(FIND("arbeid",Methode_Keuze)),"",IF(Tb_Activiteiten[[#This Row],[Loonkosten]]=1,Tb_Activiteiten[[#Headers],[Loonkosten]],"")))</f>
        <v/>
      </c>
      <c r="AL88" t="str">
        <f>IF(ISNUMBER(FIND("arbeid",Methode_Keuze)),"",IF(ISNUMBER(FIND("arbeid",Methode_Keuze)),"",IF(Tb_Activiteiten[[#This Row],[Eigen arbeid]]=1,Tb_Activiteiten[[#Headers],[Eigen arbeid]],"")))</f>
        <v/>
      </c>
      <c r="AM88" t="str">
        <f>IF(ISNUMBER(FIND("arbeid",Methode_Keuze)),"",IF(ISNUMBER(FIND("arbeid",Methode_Keuze)),"",IF(Tb_Activiteiten[[#This Row],[Projectmedewerker]]=1,Tb_Activiteiten[[#Headers],[Projectmedewerker]],"")))</f>
        <v/>
      </c>
      <c r="AN88" t="str">
        <f>IF(ISNUMBER(FIND("arbeid",Methode_Keuze)),"",IF(ISNUMBER(FIND("arbeid",Methode_Keuze)),"",IF(Tb_Activiteiten[[#This Row],[Landbouwer]]=1,Tb_Activiteiten[[#Headers],[Landbouwer]],"")))</f>
        <v/>
      </c>
      <c r="AO88" t="str">
        <f>IF(ISNUMBER(FIND("arbeid",Methode_Keuze)),"",IF(ISNUMBER(FIND("arbeid",Methode_Keuze)),"",IF(Tb_Activiteiten[[#This Row],[Adviseur]]=1,Tb_Activiteiten[[#Headers],[Adviseur]],"")))</f>
        <v/>
      </c>
      <c r="AP88" t="str">
        <f>IF(ISNUMBER(FIND("arbeid",Methode_Keuze)),"",IF(ISNUMBER(FIND("arbeid",Methode_Keuze)),"",IF(Tb_Activiteiten[[#This Row],[Projectleider/Expert]]=1,Tb_Activiteiten[[#Headers],[Projectleider/Expert]],"")))</f>
        <v/>
      </c>
      <c r="AQ88" t="str">
        <f>IF(ISNUMBER(FIND("arbeid",Methode_Keuze)),"",IF(ISNUMBER(FIND("arbeid",Methode_Keuze)),"",IF(Tb_Activiteiten[[#This Row],[Arbeidskosten]]=1,Tb_Activiteiten[[#Headers],[Arbeidskosten]],"")))</f>
        <v/>
      </c>
      <c r="AR88" t="str">
        <f>IF(ISNUMBER(FIND("arbeid",Methode_Keuze)),"",IF(ISNUMBER(FIND("arbeid",Methode_Keuze)),"",IF(Tb_Activiteiten[[#This Row],[Arbeidskosten op basis van IKS]]=1,Tb_Activiteiten[[#Headers],[Arbeidskosten op basis van IKS]],"")))</f>
        <v/>
      </c>
      <c r="AS88" t="str">
        <f>IF(ISNUMBER(FIND("overige",Methode_Keuze)),"",IF(Tb_Activiteiten[[#This Row],[Kosten derden exclusief btw]]=1,Tb_Activiteiten[[#Headers],[Kosten derden exclusief btw]],""))</f>
        <v/>
      </c>
      <c r="AT88" t="str">
        <f>IF(ISNUMBER(FIND("overige",Methode_Keuze)),"",IF(Tb_Activiteiten[[#This Row],[Niet verrekenbare btw]]=1,Tb_Activiteiten[[#Headers],[Niet verrekenbare btw]],""))</f>
        <v/>
      </c>
      <c r="AU88" t="str">
        <f>IF(ISNUMBER(FIND("overige",Methode_Keuze)),"",IF(Tb_Activiteiten[[#This Row],[Grondkosten]]=1,Tb_Activiteiten[[#Headers],[Grondkosten]],""))</f>
        <v/>
      </c>
      <c r="AV88" t="str">
        <f>IF(ISNUMBER(FIND("overige",Methode_Keuze)),"",IF(Tb_Activiteiten[[#This Row],[Bijdrage in natura (overige)]]=1,Tb_Activiteiten[[#Headers],[Bijdrage in natura (overige)]],""))</f>
        <v/>
      </c>
      <c r="AW88" t="str">
        <f>IF(ISNUMBER(FIND("overige",Methode_Keuze)),"",IF(Tb_Activiteiten[[#This Row],[Bijdrage in natura (vrijwilligers)]]=1,Tb_Activiteiten[[#Headers],[Bijdrage in natura (vrijwilligers)]],""))</f>
        <v/>
      </c>
      <c r="AX88" t="str">
        <f>IF(ISNUMBER(FIND("overige",Methode_Keuze)),"",IF(Tb_Activiteiten[[#This Row],[Afschrijvingskosten]]=1,Tb_Activiteiten[[#Headers],[Afschrijvingskosten]],""))</f>
        <v/>
      </c>
      <c r="AY88" t="str">
        <f>IF(ISNUMBER(FIND("overige",Methode_Keuze)),"",IF(Tb_Activiteiten[[#This Row],[Vergoeding]]=1,Tb_Activiteiten[[#Headers],[Vergoeding]],""))</f>
        <v/>
      </c>
      <c r="AZ88" t="str">
        <f>IF(ISNUMBER(FIND("arbeid",Methode_Keuze)),"",IF(Tb_Activiteiten[[#This Row],[Arbeidskosten - vast tarief (excl eigen arbeid)]]=1,Tb_Activiteiten[[#Headers],[Arbeidskosten - vast tarief (excl eigen arbeid)]],""))</f>
        <v/>
      </c>
      <c r="BA88" t="str">
        <f>IF(ISNUMBER(FIND("overige",Methode_Keuze)),"",IF(Tb_Activiteiten[[#This Row],[Overige kosten]]=1,Tb_Activiteiten[[#Headers],[Overige kosten]],""))</f>
        <v/>
      </c>
    </row>
    <row r="89" spans="1:53" x14ac:dyDescent="0.25">
      <c r="A89" s="231"/>
      <c r="F89" s="64"/>
      <c r="G89" s="64"/>
      <c r="H89" s="275"/>
      <c r="I89" s="275"/>
      <c r="J89" s="275"/>
      <c r="K89" s="275"/>
      <c r="O89" s="56"/>
      <c r="Q89" t="str">
        <f>IFERROR(IF(VLOOKUP(Tb_Activiteiten[[#This Row],[Openstelling]],Tb_Openstelling[],2,0)=1,1,""),"")</f>
        <v/>
      </c>
      <c r="AK89" t="str">
        <f>IF(ISNUMBER(FIND("arbeid",Methode_Keuze)),"",IF(ISNUMBER(FIND("arbeid",Methode_Keuze)),"",IF(Tb_Activiteiten[[#This Row],[Loonkosten]]=1,Tb_Activiteiten[[#Headers],[Loonkosten]],"")))</f>
        <v/>
      </c>
      <c r="AL89" t="str">
        <f>IF(ISNUMBER(FIND("arbeid",Methode_Keuze)),"",IF(ISNUMBER(FIND("arbeid",Methode_Keuze)),"",IF(Tb_Activiteiten[[#This Row],[Eigen arbeid]]=1,Tb_Activiteiten[[#Headers],[Eigen arbeid]],"")))</f>
        <v/>
      </c>
      <c r="AM89" t="str">
        <f>IF(ISNUMBER(FIND("arbeid",Methode_Keuze)),"",IF(ISNUMBER(FIND("arbeid",Methode_Keuze)),"",IF(Tb_Activiteiten[[#This Row],[Projectmedewerker]]=1,Tb_Activiteiten[[#Headers],[Projectmedewerker]],"")))</f>
        <v/>
      </c>
      <c r="AN89" t="str">
        <f>IF(ISNUMBER(FIND("arbeid",Methode_Keuze)),"",IF(ISNUMBER(FIND("arbeid",Methode_Keuze)),"",IF(Tb_Activiteiten[[#This Row],[Landbouwer]]=1,Tb_Activiteiten[[#Headers],[Landbouwer]],"")))</f>
        <v/>
      </c>
      <c r="AO89" t="str">
        <f>IF(ISNUMBER(FIND("arbeid",Methode_Keuze)),"",IF(ISNUMBER(FIND("arbeid",Methode_Keuze)),"",IF(Tb_Activiteiten[[#This Row],[Adviseur]]=1,Tb_Activiteiten[[#Headers],[Adviseur]],"")))</f>
        <v/>
      </c>
      <c r="AP89" t="str">
        <f>IF(ISNUMBER(FIND("arbeid",Methode_Keuze)),"",IF(ISNUMBER(FIND("arbeid",Methode_Keuze)),"",IF(Tb_Activiteiten[[#This Row],[Projectleider/Expert]]=1,Tb_Activiteiten[[#Headers],[Projectleider/Expert]],"")))</f>
        <v/>
      </c>
      <c r="AQ89" t="str">
        <f>IF(ISNUMBER(FIND("arbeid",Methode_Keuze)),"",IF(ISNUMBER(FIND("arbeid",Methode_Keuze)),"",IF(Tb_Activiteiten[[#This Row],[Arbeidskosten]]=1,Tb_Activiteiten[[#Headers],[Arbeidskosten]],"")))</f>
        <v/>
      </c>
      <c r="AR89" t="str">
        <f>IF(ISNUMBER(FIND("arbeid",Methode_Keuze)),"",IF(ISNUMBER(FIND("arbeid",Methode_Keuze)),"",IF(Tb_Activiteiten[[#This Row],[Arbeidskosten op basis van IKS]]=1,Tb_Activiteiten[[#Headers],[Arbeidskosten op basis van IKS]],"")))</f>
        <v/>
      </c>
      <c r="AS89" t="str">
        <f>IF(ISNUMBER(FIND("overige",Methode_Keuze)),"",IF(Tb_Activiteiten[[#This Row],[Kosten derden exclusief btw]]=1,Tb_Activiteiten[[#Headers],[Kosten derden exclusief btw]],""))</f>
        <v/>
      </c>
      <c r="AT89" t="str">
        <f>IF(ISNUMBER(FIND("overige",Methode_Keuze)),"",IF(Tb_Activiteiten[[#This Row],[Niet verrekenbare btw]]=1,Tb_Activiteiten[[#Headers],[Niet verrekenbare btw]],""))</f>
        <v/>
      </c>
      <c r="AU89" t="str">
        <f>IF(ISNUMBER(FIND("overige",Methode_Keuze)),"",IF(Tb_Activiteiten[[#This Row],[Grondkosten]]=1,Tb_Activiteiten[[#Headers],[Grondkosten]],""))</f>
        <v/>
      </c>
      <c r="AV89" t="str">
        <f>IF(ISNUMBER(FIND("overige",Methode_Keuze)),"",IF(Tb_Activiteiten[[#This Row],[Bijdrage in natura (overige)]]=1,Tb_Activiteiten[[#Headers],[Bijdrage in natura (overige)]],""))</f>
        <v/>
      </c>
      <c r="AW89" t="str">
        <f>IF(ISNUMBER(FIND("overige",Methode_Keuze)),"",IF(Tb_Activiteiten[[#This Row],[Bijdrage in natura (vrijwilligers)]]=1,Tb_Activiteiten[[#Headers],[Bijdrage in natura (vrijwilligers)]],""))</f>
        <v/>
      </c>
      <c r="AX89" t="str">
        <f>IF(ISNUMBER(FIND("overige",Methode_Keuze)),"",IF(Tb_Activiteiten[[#This Row],[Afschrijvingskosten]]=1,Tb_Activiteiten[[#Headers],[Afschrijvingskosten]],""))</f>
        <v/>
      </c>
      <c r="AY89" t="str">
        <f>IF(ISNUMBER(FIND("overige",Methode_Keuze)),"",IF(Tb_Activiteiten[[#This Row],[Vergoeding]]=1,Tb_Activiteiten[[#Headers],[Vergoeding]],""))</f>
        <v/>
      </c>
      <c r="AZ89" t="str">
        <f>IF(ISNUMBER(FIND("arbeid",Methode_Keuze)),"",IF(Tb_Activiteiten[[#This Row],[Arbeidskosten - vast tarief (excl eigen arbeid)]]=1,Tb_Activiteiten[[#Headers],[Arbeidskosten - vast tarief (excl eigen arbeid)]],""))</f>
        <v/>
      </c>
      <c r="BA89" t="str">
        <f>IF(ISNUMBER(FIND("overige",Methode_Keuze)),"",IF(Tb_Activiteiten[[#This Row],[Overige kosten]]=1,Tb_Activiteiten[[#Headers],[Overige kosten]],""))</f>
        <v/>
      </c>
    </row>
    <row r="90" spans="1:53" x14ac:dyDescent="0.25">
      <c r="A90" s="231"/>
      <c r="F90" s="64"/>
      <c r="G90" s="64"/>
      <c r="H90" s="275"/>
      <c r="I90" s="275"/>
      <c r="J90" s="275"/>
      <c r="K90" s="275"/>
      <c r="O90" s="56"/>
      <c r="Q90" t="str">
        <f>IFERROR(IF(VLOOKUP(Tb_Activiteiten[[#This Row],[Openstelling]],Tb_Openstelling[],2,0)=1,1,""),"")</f>
        <v/>
      </c>
      <c r="AK90" t="str">
        <f>IF(ISNUMBER(FIND("arbeid",Methode_Keuze)),"",IF(ISNUMBER(FIND("arbeid",Methode_Keuze)),"",IF(Tb_Activiteiten[[#This Row],[Loonkosten]]=1,Tb_Activiteiten[[#Headers],[Loonkosten]],"")))</f>
        <v/>
      </c>
      <c r="AL90" t="str">
        <f>IF(ISNUMBER(FIND("arbeid",Methode_Keuze)),"",IF(ISNUMBER(FIND("arbeid",Methode_Keuze)),"",IF(Tb_Activiteiten[[#This Row],[Eigen arbeid]]=1,Tb_Activiteiten[[#Headers],[Eigen arbeid]],"")))</f>
        <v/>
      </c>
      <c r="AM90" t="str">
        <f>IF(ISNUMBER(FIND("arbeid",Methode_Keuze)),"",IF(ISNUMBER(FIND("arbeid",Methode_Keuze)),"",IF(Tb_Activiteiten[[#This Row],[Projectmedewerker]]=1,Tb_Activiteiten[[#Headers],[Projectmedewerker]],"")))</f>
        <v/>
      </c>
      <c r="AN90" t="str">
        <f>IF(ISNUMBER(FIND("arbeid",Methode_Keuze)),"",IF(ISNUMBER(FIND("arbeid",Methode_Keuze)),"",IF(Tb_Activiteiten[[#This Row],[Landbouwer]]=1,Tb_Activiteiten[[#Headers],[Landbouwer]],"")))</f>
        <v/>
      </c>
      <c r="AO90" t="str">
        <f>IF(ISNUMBER(FIND("arbeid",Methode_Keuze)),"",IF(ISNUMBER(FIND("arbeid",Methode_Keuze)),"",IF(Tb_Activiteiten[[#This Row],[Adviseur]]=1,Tb_Activiteiten[[#Headers],[Adviseur]],"")))</f>
        <v/>
      </c>
      <c r="AP90" t="str">
        <f>IF(ISNUMBER(FIND("arbeid",Methode_Keuze)),"",IF(ISNUMBER(FIND("arbeid",Methode_Keuze)),"",IF(Tb_Activiteiten[[#This Row],[Projectleider/Expert]]=1,Tb_Activiteiten[[#Headers],[Projectleider/Expert]],"")))</f>
        <v/>
      </c>
      <c r="AQ90" t="str">
        <f>IF(ISNUMBER(FIND("arbeid",Methode_Keuze)),"",IF(ISNUMBER(FIND("arbeid",Methode_Keuze)),"",IF(Tb_Activiteiten[[#This Row],[Arbeidskosten]]=1,Tb_Activiteiten[[#Headers],[Arbeidskosten]],"")))</f>
        <v/>
      </c>
      <c r="AR90" t="str">
        <f>IF(ISNUMBER(FIND("arbeid",Methode_Keuze)),"",IF(ISNUMBER(FIND("arbeid",Methode_Keuze)),"",IF(Tb_Activiteiten[[#This Row],[Arbeidskosten op basis van IKS]]=1,Tb_Activiteiten[[#Headers],[Arbeidskosten op basis van IKS]],"")))</f>
        <v/>
      </c>
      <c r="AS90" t="str">
        <f>IF(ISNUMBER(FIND("overige",Methode_Keuze)),"",IF(Tb_Activiteiten[[#This Row],[Kosten derden exclusief btw]]=1,Tb_Activiteiten[[#Headers],[Kosten derden exclusief btw]],""))</f>
        <v/>
      </c>
      <c r="AT90" t="str">
        <f>IF(ISNUMBER(FIND("overige",Methode_Keuze)),"",IF(Tb_Activiteiten[[#This Row],[Niet verrekenbare btw]]=1,Tb_Activiteiten[[#Headers],[Niet verrekenbare btw]],""))</f>
        <v/>
      </c>
      <c r="AU90" t="str">
        <f>IF(ISNUMBER(FIND("overige",Methode_Keuze)),"",IF(Tb_Activiteiten[[#This Row],[Grondkosten]]=1,Tb_Activiteiten[[#Headers],[Grondkosten]],""))</f>
        <v/>
      </c>
      <c r="AV90" t="str">
        <f>IF(ISNUMBER(FIND("overige",Methode_Keuze)),"",IF(Tb_Activiteiten[[#This Row],[Bijdrage in natura (overige)]]=1,Tb_Activiteiten[[#Headers],[Bijdrage in natura (overige)]],""))</f>
        <v/>
      </c>
      <c r="AW90" t="str">
        <f>IF(ISNUMBER(FIND("overige",Methode_Keuze)),"",IF(Tb_Activiteiten[[#This Row],[Bijdrage in natura (vrijwilligers)]]=1,Tb_Activiteiten[[#Headers],[Bijdrage in natura (vrijwilligers)]],""))</f>
        <v/>
      </c>
      <c r="AX90" t="str">
        <f>IF(ISNUMBER(FIND("overige",Methode_Keuze)),"",IF(Tb_Activiteiten[[#This Row],[Afschrijvingskosten]]=1,Tb_Activiteiten[[#Headers],[Afschrijvingskosten]],""))</f>
        <v/>
      </c>
      <c r="AY90" t="str">
        <f>IF(ISNUMBER(FIND("overige",Methode_Keuze)),"",IF(Tb_Activiteiten[[#This Row],[Vergoeding]]=1,Tb_Activiteiten[[#Headers],[Vergoeding]],""))</f>
        <v/>
      </c>
      <c r="AZ90" t="str">
        <f>IF(ISNUMBER(FIND("arbeid",Methode_Keuze)),"",IF(Tb_Activiteiten[[#This Row],[Arbeidskosten - vast tarief (excl eigen arbeid)]]=1,Tb_Activiteiten[[#Headers],[Arbeidskosten - vast tarief (excl eigen arbeid)]],""))</f>
        <v/>
      </c>
      <c r="BA90" t="str">
        <f>IF(ISNUMBER(FIND("overige",Methode_Keuze)),"",IF(Tb_Activiteiten[[#This Row],[Overige kosten]]=1,Tb_Activiteiten[[#Headers],[Overige kosten]],""))</f>
        <v/>
      </c>
    </row>
    <row r="91" spans="1:53" x14ac:dyDescent="0.25">
      <c r="A91" s="231"/>
      <c r="F91" s="64"/>
      <c r="G91" s="64"/>
      <c r="H91" s="275"/>
      <c r="I91" s="275"/>
      <c r="J91" s="275"/>
      <c r="K91" s="275"/>
      <c r="O91" s="56"/>
      <c r="Q91" t="str">
        <f>IFERROR(IF(VLOOKUP(Tb_Activiteiten[[#This Row],[Openstelling]],Tb_Openstelling[],2,0)=1,1,""),"")</f>
        <v/>
      </c>
      <c r="AK91" t="str">
        <f>IF(ISNUMBER(FIND("arbeid",Methode_Keuze)),"",IF(ISNUMBER(FIND("arbeid",Methode_Keuze)),"",IF(Tb_Activiteiten[[#This Row],[Loonkosten]]=1,Tb_Activiteiten[[#Headers],[Loonkosten]],"")))</f>
        <v/>
      </c>
      <c r="AL91" t="str">
        <f>IF(ISNUMBER(FIND("arbeid",Methode_Keuze)),"",IF(ISNUMBER(FIND("arbeid",Methode_Keuze)),"",IF(Tb_Activiteiten[[#This Row],[Eigen arbeid]]=1,Tb_Activiteiten[[#Headers],[Eigen arbeid]],"")))</f>
        <v/>
      </c>
      <c r="AM91" t="str">
        <f>IF(ISNUMBER(FIND("arbeid",Methode_Keuze)),"",IF(ISNUMBER(FIND("arbeid",Methode_Keuze)),"",IF(Tb_Activiteiten[[#This Row],[Projectmedewerker]]=1,Tb_Activiteiten[[#Headers],[Projectmedewerker]],"")))</f>
        <v/>
      </c>
      <c r="AN91" t="str">
        <f>IF(ISNUMBER(FIND("arbeid",Methode_Keuze)),"",IF(ISNUMBER(FIND("arbeid",Methode_Keuze)),"",IF(Tb_Activiteiten[[#This Row],[Landbouwer]]=1,Tb_Activiteiten[[#Headers],[Landbouwer]],"")))</f>
        <v/>
      </c>
      <c r="AO91" t="str">
        <f>IF(ISNUMBER(FIND("arbeid",Methode_Keuze)),"",IF(ISNUMBER(FIND("arbeid",Methode_Keuze)),"",IF(Tb_Activiteiten[[#This Row],[Adviseur]]=1,Tb_Activiteiten[[#Headers],[Adviseur]],"")))</f>
        <v/>
      </c>
      <c r="AP91" t="str">
        <f>IF(ISNUMBER(FIND("arbeid",Methode_Keuze)),"",IF(ISNUMBER(FIND("arbeid",Methode_Keuze)),"",IF(Tb_Activiteiten[[#This Row],[Projectleider/Expert]]=1,Tb_Activiteiten[[#Headers],[Projectleider/Expert]],"")))</f>
        <v/>
      </c>
      <c r="AQ91" t="str">
        <f>IF(ISNUMBER(FIND("arbeid",Methode_Keuze)),"",IF(ISNUMBER(FIND("arbeid",Methode_Keuze)),"",IF(Tb_Activiteiten[[#This Row],[Arbeidskosten]]=1,Tb_Activiteiten[[#Headers],[Arbeidskosten]],"")))</f>
        <v/>
      </c>
      <c r="AR91" t="str">
        <f>IF(ISNUMBER(FIND("arbeid",Methode_Keuze)),"",IF(ISNUMBER(FIND("arbeid",Methode_Keuze)),"",IF(Tb_Activiteiten[[#This Row],[Arbeidskosten op basis van IKS]]=1,Tb_Activiteiten[[#Headers],[Arbeidskosten op basis van IKS]],"")))</f>
        <v/>
      </c>
      <c r="AS91" t="str">
        <f>IF(ISNUMBER(FIND("overige",Methode_Keuze)),"",IF(Tb_Activiteiten[[#This Row],[Kosten derden exclusief btw]]=1,Tb_Activiteiten[[#Headers],[Kosten derden exclusief btw]],""))</f>
        <v/>
      </c>
      <c r="AT91" t="str">
        <f>IF(ISNUMBER(FIND("overige",Methode_Keuze)),"",IF(Tb_Activiteiten[[#This Row],[Niet verrekenbare btw]]=1,Tb_Activiteiten[[#Headers],[Niet verrekenbare btw]],""))</f>
        <v/>
      </c>
      <c r="AU91" t="str">
        <f>IF(ISNUMBER(FIND("overige",Methode_Keuze)),"",IF(Tb_Activiteiten[[#This Row],[Grondkosten]]=1,Tb_Activiteiten[[#Headers],[Grondkosten]],""))</f>
        <v/>
      </c>
      <c r="AV91" t="str">
        <f>IF(ISNUMBER(FIND("overige",Methode_Keuze)),"",IF(Tb_Activiteiten[[#This Row],[Bijdrage in natura (overige)]]=1,Tb_Activiteiten[[#Headers],[Bijdrage in natura (overige)]],""))</f>
        <v/>
      </c>
      <c r="AW91" t="str">
        <f>IF(ISNUMBER(FIND("overige",Methode_Keuze)),"",IF(Tb_Activiteiten[[#This Row],[Bijdrage in natura (vrijwilligers)]]=1,Tb_Activiteiten[[#Headers],[Bijdrage in natura (vrijwilligers)]],""))</f>
        <v/>
      </c>
      <c r="AX91" t="str">
        <f>IF(ISNUMBER(FIND("overige",Methode_Keuze)),"",IF(Tb_Activiteiten[[#This Row],[Afschrijvingskosten]]=1,Tb_Activiteiten[[#Headers],[Afschrijvingskosten]],""))</f>
        <v/>
      </c>
      <c r="AY91" t="str">
        <f>IF(ISNUMBER(FIND("overige",Methode_Keuze)),"",IF(Tb_Activiteiten[[#This Row],[Vergoeding]]=1,Tb_Activiteiten[[#Headers],[Vergoeding]],""))</f>
        <v/>
      </c>
      <c r="AZ91" t="str">
        <f>IF(ISNUMBER(FIND("arbeid",Methode_Keuze)),"",IF(Tb_Activiteiten[[#This Row],[Arbeidskosten - vast tarief (excl eigen arbeid)]]=1,Tb_Activiteiten[[#Headers],[Arbeidskosten - vast tarief (excl eigen arbeid)]],""))</f>
        <v/>
      </c>
      <c r="BA91" t="str">
        <f>IF(ISNUMBER(FIND("overige",Methode_Keuze)),"",IF(Tb_Activiteiten[[#This Row],[Overige kosten]]=1,Tb_Activiteiten[[#Headers],[Overige kosten]],""))</f>
        <v/>
      </c>
    </row>
    <row r="92" spans="1:53" x14ac:dyDescent="0.25">
      <c r="A92" s="231"/>
      <c r="F92" s="64"/>
      <c r="G92" s="64"/>
      <c r="H92" s="275"/>
      <c r="I92" s="275"/>
      <c r="J92" s="275"/>
      <c r="K92" s="275"/>
      <c r="O92" s="56"/>
      <c r="Q92" t="str">
        <f>IFERROR(IF(VLOOKUP(Tb_Activiteiten[[#This Row],[Openstelling]],Tb_Openstelling[],2,0)=1,1,""),"")</f>
        <v/>
      </c>
      <c r="AK92" t="str">
        <f>IF(ISNUMBER(FIND("arbeid",Methode_Keuze)),"",IF(ISNUMBER(FIND("arbeid",Methode_Keuze)),"",IF(Tb_Activiteiten[[#This Row],[Loonkosten]]=1,Tb_Activiteiten[[#Headers],[Loonkosten]],"")))</f>
        <v/>
      </c>
      <c r="AL92" t="str">
        <f>IF(ISNUMBER(FIND("arbeid",Methode_Keuze)),"",IF(ISNUMBER(FIND("arbeid",Methode_Keuze)),"",IF(Tb_Activiteiten[[#This Row],[Eigen arbeid]]=1,Tb_Activiteiten[[#Headers],[Eigen arbeid]],"")))</f>
        <v/>
      </c>
      <c r="AM92" t="str">
        <f>IF(ISNUMBER(FIND("arbeid",Methode_Keuze)),"",IF(ISNUMBER(FIND("arbeid",Methode_Keuze)),"",IF(Tb_Activiteiten[[#This Row],[Projectmedewerker]]=1,Tb_Activiteiten[[#Headers],[Projectmedewerker]],"")))</f>
        <v/>
      </c>
      <c r="AN92" t="str">
        <f>IF(ISNUMBER(FIND("arbeid",Methode_Keuze)),"",IF(ISNUMBER(FIND("arbeid",Methode_Keuze)),"",IF(Tb_Activiteiten[[#This Row],[Landbouwer]]=1,Tb_Activiteiten[[#Headers],[Landbouwer]],"")))</f>
        <v/>
      </c>
      <c r="AO92" t="str">
        <f>IF(ISNUMBER(FIND("arbeid",Methode_Keuze)),"",IF(ISNUMBER(FIND("arbeid",Methode_Keuze)),"",IF(Tb_Activiteiten[[#This Row],[Adviseur]]=1,Tb_Activiteiten[[#Headers],[Adviseur]],"")))</f>
        <v/>
      </c>
      <c r="AP92" t="str">
        <f>IF(ISNUMBER(FIND("arbeid",Methode_Keuze)),"",IF(ISNUMBER(FIND("arbeid",Methode_Keuze)),"",IF(Tb_Activiteiten[[#This Row],[Projectleider/Expert]]=1,Tb_Activiteiten[[#Headers],[Projectleider/Expert]],"")))</f>
        <v/>
      </c>
      <c r="AQ92" t="str">
        <f>IF(ISNUMBER(FIND("arbeid",Methode_Keuze)),"",IF(ISNUMBER(FIND("arbeid",Methode_Keuze)),"",IF(Tb_Activiteiten[[#This Row],[Arbeidskosten]]=1,Tb_Activiteiten[[#Headers],[Arbeidskosten]],"")))</f>
        <v/>
      </c>
      <c r="AR92" t="str">
        <f>IF(ISNUMBER(FIND("arbeid",Methode_Keuze)),"",IF(ISNUMBER(FIND("arbeid",Methode_Keuze)),"",IF(Tb_Activiteiten[[#This Row],[Arbeidskosten op basis van IKS]]=1,Tb_Activiteiten[[#Headers],[Arbeidskosten op basis van IKS]],"")))</f>
        <v/>
      </c>
      <c r="AS92" t="str">
        <f>IF(ISNUMBER(FIND("overige",Methode_Keuze)),"",IF(Tb_Activiteiten[[#This Row],[Kosten derden exclusief btw]]=1,Tb_Activiteiten[[#Headers],[Kosten derden exclusief btw]],""))</f>
        <v/>
      </c>
      <c r="AT92" t="str">
        <f>IF(ISNUMBER(FIND("overige",Methode_Keuze)),"",IF(Tb_Activiteiten[[#This Row],[Niet verrekenbare btw]]=1,Tb_Activiteiten[[#Headers],[Niet verrekenbare btw]],""))</f>
        <v/>
      </c>
      <c r="AU92" t="str">
        <f>IF(ISNUMBER(FIND("overige",Methode_Keuze)),"",IF(Tb_Activiteiten[[#This Row],[Grondkosten]]=1,Tb_Activiteiten[[#Headers],[Grondkosten]],""))</f>
        <v/>
      </c>
      <c r="AV92" t="str">
        <f>IF(ISNUMBER(FIND("overige",Methode_Keuze)),"",IF(Tb_Activiteiten[[#This Row],[Bijdrage in natura (overige)]]=1,Tb_Activiteiten[[#Headers],[Bijdrage in natura (overige)]],""))</f>
        <v/>
      </c>
      <c r="AW92" t="str">
        <f>IF(ISNUMBER(FIND("overige",Methode_Keuze)),"",IF(Tb_Activiteiten[[#This Row],[Bijdrage in natura (vrijwilligers)]]=1,Tb_Activiteiten[[#Headers],[Bijdrage in natura (vrijwilligers)]],""))</f>
        <v/>
      </c>
      <c r="AX92" t="str">
        <f>IF(ISNUMBER(FIND("overige",Methode_Keuze)),"",IF(Tb_Activiteiten[[#This Row],[Afschrijvingskosten]]=1,Tb_Activiteiten[[#Headers],[Afschrijvingskosten]],""))</f>
        <v/>
      </c>
      <c r="AY92" t="str">
        <f>IF(ISNUMBER(FIND("overige",Methode_Keuze)),"",IF(Tb_Activiteiten[[#This Row],[Vergoeding]]=1,Tb_Activiteiten[[#Headers],[Vergoeding]],""))</f>
        <v/>
      </c>
      <c r="AZ92" t="str">
        <f>IF(ISNUMBER(FIND("arbeid",Methode_Keuze)),"",IF(Tb_Activiteiten[[#This Row],[Arbeidskosten - vast tarief (excl eigen arbeid)]]=1,Tb_Activiteiten[[#Headers],[Arbeidskosten - vast tarief (excl eigen arbeid)]],""))</f>
        <v/>
      </c>
      <c r="BA92" t="str">
        <f>IF(ISNUMBER(FIND("overige",Methode_Keuze)),"",IF(Tb_Activiteiten[[#This Row],[Overige kosten]]=1,Tb_Activiteiten[[#Headers],[Overige kosten]],""))</f>
        <v/>
      </c>
    </row>
    <row r="93" spans="1:53" x14ac:dyDescent="0.25">
      <c r="A93" s="231"/>
      <c r="F93" s="64"/>
      <c r="G93" s="64"/>
      <c r="H93" s="275"/>
      <c r="I93" s="275"/>
      <c r="J93" s="275"/>
      <c r="K93" s="275"/>
      <c r="O93" s="56"/>
      <c r="Q93" t="str">
        <f>IFERROR(IF(VLOOKUP(Tb_Activiteiten[[#This Row],[Openstelling]],Tb_Openstelling[],2,0)=1,1,""),"")</f>
        <v/>
      </c>
      <c r="AK93" t="str">
        <f>IF(ISNUMBER(FIND("arbeid",Methode_Keuze)),"",IF(ISNUMBER(FIND("arbeid",Methode_Keuze)),"",IF(Tb_Activiteiten[[#This Row],[Loonkosten]]=1,Tb_Activiteiten[[#Headers],[Loonkosten]],"")))</f>
        <v/>
      </c>
      <c r="AL93" t="str">
        <f>IF(ISNUMBER(FIND("arbeid",Methode_Keuze)),"",IF(ISNUMBER(FIND("arbeid",Methode_Keuze)),"",IF(Tb_Activiteiten[[#This Row],[Eigen arbeid]]=1,Tb_Activiteiten[[#Headers],[Eigen arbeid]],"")))</f>
        <v/>
      </c>
      <c r="AM93" t="str">
        <f>IF(ISNUMBER(FIND("arbeid",Methode_Keuze)),"",IF(ISNUMBER(FIND("arbeid",Methode_Keuze)),"",IF(Tb_Activiteiten[[#This Row],[Projectmedewerker]]=1,Tb_Activiteiten[[#Headers],[Projectmedewerker]],"")))</f>
        <v/>
      </c>
      <c r="AN93" t="str">
        <f>IF(ISNUMBER(FIND("arbeid",Methode_Keuze)),"",IF(ISNUMBER(FIND("arbeid",Methode_Keuze)),"",IF(Tb_Activiteiten[[#This Row],[Landbouwer]]=1,Tb_Activiteiten[[#Headers],[Landbouwer]],"")))</f>
        <v/>
      </c>
      <c r="AO93" t="str">
        <f>IF(ISNUMBER(FIND("arbeid",Methode_Keuze)),"",IF(ISNUMBER(FIND("arbeid",Methode_Keuze)),"",IF(Tb_Activiteiten[[#This Row],[Adviseur]]=1,Tb_Activiteiten[[#Headers],[Adviseur]],"")))</f>
        <v/>
      </c>
      <c r="AP93" t="str">
        <f>IF(ISNUMBER(FIND("arbeid",Methode_Keuze)),"",IF(ISNUMBER(FIND("arbeid",Methode_Keuze)),"",IF(Tb_Activiteiten[[#This Row],[Projectleider/Expert]]=1,Tb_Activiteiten[[#Headers],[Projectleider/Expert]],"")))</f>
        <v/>
      </c>
      <c r="AQ93" t="str">
        <f>IF(ISNUMBER(FIND("arbeid",Methode_Keuze)),"",IF(ISNUMBER(FIND("arbeid",Methode_Keuze)),"",IF(Tb_Activiteiten[[#This Row],[Arbeidskosten]]=1,Tb_Activiteiten[[#Headers],[Arbeidskosten]],"")))</f>
        <v/>
      </c>
      <c r="AR93" t="str">
        <f>IF(ISNUMBER(FIND("arbeid",Methode_Keuze)),"",IF(ISNUMBER(FIND("arbeid",Methode_Keuze)),"",IF(Tb_Activiteiten[[#This Row],[Arbeidskosten op basis van IKS]]=1,Tb_Activiteiten[[#Headers],[Arbeidskosten op basis van IKS]],"")))</f>
        <v/>
      </c>
      <c r="AS93" t="str">
        <f>IF(ISNUMBER(FIND("overige",Methode_Keuze)),"",IF(Tb_Activiteiten[[#This Row],[Kosten derden exclusief btw]]=1,Tb_Activiteiten[[#Headers],[Kosten derden exclusief btw]],""))</f>
        <v/>
      </c>
      <c r="AT93" t="str">
        <f>IF(ISNUMBER(FIND("overige",Methode_Keuze)),"",IF(Tb_Activiteiten[[#This Row],[Niet verrekenbare btw]]=1,Tb_Activiteiten[[#Headers],[Niet verrekenbare btw]],""))</f>
        <v/>
      </c>
      <c r="AU93" t="str">
        <f>IF(ISNUMBER(FIND("overige",Methode_Keuze)),"",IF(Tb_Activiteiten[[#This Row],[Grondkosten]]=1,Tb_Activiteiten[[#Headers],[Grondkosten]],""))</f>
        <v/>
      </c>
      <c r="AV93" t="str">
        <f>IF(ISNUMBER(FIND("overige",Methode_Keuze)),"",IF(Tb_Activiteiten[[#This Row],[Bijdrage in natura (overige)]]=1,Tb_Activiteiten[[#Headers],[Bijdrage in natura (overige)]],""))</f>
        <v/>
      </c>
      <c r="AW93" t="str">
        <f>IF(ISNUMBER(FIND("overige",Methode_Keuze)),"",IF(Tb_Activiteiten[[#This Row],[Bijdrage in natura (vrijwilligers)]]=1,Tb_Activiteiten[[#Headers],[Bijdrage in natura (vrijwilligers)]],""))</f>
        <v/>
      </c>
      <c r="AX93" t="str">
        <f>IF(ISNUMBER(FIND("overige",Methode_Keuze)),"",IF(Tb_Activiteiten[[#This Row],[Afschrijvingskosten]]=1,Tb_Activiteiten[[#Headers],[Afschrijvingskosten]],""))</f>
        <v/>
      </c>
      <c r="AY93" t="str">
        <f>IF(ISNUMBER(FIND("overige",Methode_Keuze)),"",IF(Tb_Activiteiten[[#This Row],[Vergoeding]]=1,Tb_Activiteiten[[#Headers],[Vergoeding]],""))</f>
        <v/>
      </c>
      <c r="AZ93" t="str">
        <f>IF(ISNUMBER(FIND("arbeid",Methode_Keuze)),"",IF(Tb_Activiteiten[[#This Row],[Arbeidskosten - vast tarief (excl eigen arbeid)]]=1,Tb_Activiteiten[[#Headers],[Arbeidskosten - vast tarief (excl eigen arbeid)]],""))</f>
        <v/>
      </c>
      <c r="BA93" t="str">
        <f>IF(ISNUMBER(FIND("overige",Methode_Keuze)),"",IF(Tb_Activiteiten[[#This Row],[Overige kosten]]=1,Tb_Activiteiten[[#Headers],[Overige kosten]],""))</f>
        <v/>
      </c>
    </row>
    <row r="94" spans="1:53" x14ac:dyDescent="0.25">
      <c r="A94" s="231"/>
      <c r="F94" s="64"/>
      <c r="G94" s="64"/>
      <c r="H94" s="275"/>
      <c r="I94" s="275"/>
      <c r="J94" s="275"/>
      <c r="K94" s="275"/>
      <c r="O94" s="56"/>
      <c r="Q94" t="str">
        <f>IFERROR(IF(VLOOKUP(Tb_Activiteiten[[#This Row],[Openstelling]],Tb_Openstelling[],2,0)=1,1,""),"")</f>
        <v/>
      </c>
      <c r="AK94" t="str">
        <f>IF(ISNUMBER(FIND("arbeid",Methode_Keuze)),"",IF(ISNUMBER(FIND("arbeid",Methode_Keuze)),"",IF(Tb_Activiteiten[[#This Row],[Loonkosten]]=1,Tb_Activiteiten[[#Headers],[Loonkosten]],"")))</f>
        <v/>
      </c>
      <c r="AL94" t="str">
        <f>IF(ISNUMBER(FIND("arbeid",Methode_Keuze)),"",IF(ISNUMBER(FIND("arbeid",Methode_Keuze)),"",IF(Tb_Activiteiten[[#This Row],[Eigen arbeid]]=1,Tb_Activiteiten[[#Headers],[Eigen arbeid]],"")))</f>
        <v/>
      </c>
      <c r="AM94" t="str">
        <f>IF(ISNUMBER(FIND("arbeid",Methode_Keuze)),"",IF(ISNUMBER(FIND("arbeid",Methode_Keuze)),"",IF(Tb_Activiteiten[[#This Row],[Projectmedewerker]]=1,Tb_Activiteiten[[#Headers],[Projectmedewerker]],"")))</f>
        <v/>
      </c>
      <c r="AN94" t="str">
        <f>IF(ISNUMBER(FIND("arbeid",Methode_Keuze)),"",IF(ISNUMBER(FIND("arbeid",Methode_Keuze)),"",IF(Tb_Activiteiten[[#This Row],[Landbouwer]]=1,Tb_Activiteiten[[#Headers],[Landbouwer]],"")))</f>
        <v/>
      </c>
      <c r="AO94" t="str">
        <f>IF(ISNUMBER(FIND("arbeid",Methode_Keuze)),"",IF(ISNUMBER(FIND("arbeid",Methode_Keuze)),"",IF(Tb_Activiteiten[[#This Row],[Adviseur]]=1,Tb_Activiteiten[[#Headers],[Adviseur]],"")))</f>
        <v/>
      </c>
      <c r="AP94" t="str">
        <f>IF(ISNUMBER(FIND("arbeid",Methode_Keuze)),"",IF(ISNUMBER(FIND("arbeid",Methode_Keuze)),"",IF(Tb_Activiteiten[[#This Row],[Projectleider/Expert]]=1,Tb_Activiteiten[[#Headers],[Projectleider/Expert]],"")))</f>
        <v/>
      </c>
      <c r="AQ94" t="str">
        <f>IF(ISNUMBER(FIND("arbeid",Methode_Keuze)),"",IF(ISNUMBER(FIND("arbeid",Methode_Keuze)),"",IF(Tb_Activiteiten[[#This Row],[Arbeidskosten]]=1,Tb_Activiteiten[[#Headers],[Arbeidskosten]],"")))</f>
        <v/>
      </c>
      <c r="AR94" t="str">
        <f>IF(ISNUMBER(FIND("arbeid",Methode_Keuze)),"",IF(ISNUMBER(FIND("arbeid",Methode_Keuze)),"",IF(Tb_Activiteiten[[#This Row],[Arbeidskosten op basis van IKS]]=1,Tb_Activiteiten[[#Headers],[Arbeidskosten op basis van IKS]],"")))</f>
        <v/>
      </c>
      <c r="AS94" t="str">
        <f>IF(ISNUMBER(FIND("overige",Methode_Keuze)),"",IF(Tb_Activiteiten[[#This Row],[Kosten derden exclusief btw]]=1,Tb_Activiteiten[[#Headers],[Kosten derden exclusief btw]],""))</f>
        <v/>
      </c>
      <c r="AT94" t="str">
        <f>IF(ISNUMBER(FIND("overige",Methode_Keuze)),"",IF(Tb_Activiteiten[[#This Row],[Niet verrekenbare btw]]=1,Tb_Activiteiten[[#Headers],[Niet verrekenbare btw]],""))</f>
        <v/>
      </c>
      <c r="AU94" t="str">
        <f>IF(ISNUMBER(FIND("overige",Methode_Keuze)),"",IF(Tb_Activiteiten[[#This Row],[Grondkosten]]=1,Tb_Activiteiten[[#Headers],[Grondkosten]],""))</f>
        <v/>
      </c>
      <c r="AV94" t="str">
        <f>IF(ISNUMBER(FIND("overige",Methode_Keuze)),"",IF(Tb_Activiteiten[[#This Row],[Bijdrage in natura (overige)]]=1,Tb_Activiteiten[[#Headers],[Bijdrage in natura (overige)]],""))</f>
        <v/>
      </c>
      <c r="AW94" t="str">
        <f>IF(ISNUMBER(FIND("overige",Methode_Keuze)),"",IF(Tb_Activiteiten[[#This Row],[Bijdrage in natura (vrijwilligers)]]=1,Tb_Activiteiten[[#Headers],[Bijdrage in natura (vrijwilligers)]],""))</f>
        <v/>
      </c>
      <c r="AX94" t="str">
        <f>IF(ISNUMBER(FIND("overige",Methode_Keuze)),"",IF(Tb_Activiteiten[[#This Row],[Afschrijvingskosten]]=1,Tb_Activiteiten[[#Headers],[Afschrijvingskosten]],""))</f>
        <v/>
      </c>
      <c r="AY94" t="str">
        <f>IF(ISNUMBER(FIND("overige",Methode_Keuze)),"",IF(Tb_Activiteiten[[#This Row],[Vergoeding]]=1,Tb_Activiteiten[[#Headers],[Vergoeding]],""))</f>
        <v/>
      </c>
      <c r="AZ94" t="str">
        <f>IF(ISNUMBER(FIND("arbeid",Methode_Keuze)),"",IF(Tb_Activiteiten[[#This Row],[Arbeidskosten - vast tarief (excl eigen arbeid)]]=1,Tb_Activiteiten[[#Headers],[Arbeidskosten - vast tarief (excl eigen arbeid)]],""))</f>
        <v/>
      </c>
      <c r="BA94" t="str">
        <f>IF(ISNUMBER(FIND("overige",Methode_Keuze)),"",IF(Tb_Activiteiten[[#This Row],[Overige kosten]]=1,Tb_Activiteiten[[#Headers],[Overige kosten]],""))</f>
        <v/>
      </c>
    </row>
    <row r="95" spans="1:53" x14ac:dyDescent="0.25">
      <c r="A95" s="231"/>
      <c r="F95" s="64"/>
      <c r="G95" s="64"/>
      <c r="H95" s="275"/>
      <c r="I95" s="275"/>
      <c r="J95" s="275"/>
      <c r="K95" s="275"/>
      <c r="O95" s="56"/>
      <c r="Q95" t="str">
        <f>IFERROR(IF(VLOOKUP(Tb_Activiteiten[[#This Row],[Openstelling]],Tb_Openstelling[],2,0)=1,1,""),"")</f>
        <v/>
      </c>
      <c r="AK95" t="str">
        <f>IF(ISNUMBER(FIND("arbeid",Methode_Keuze)),"",IF(ISNUMBER(FIND("arbeid",Methode_Keuze)),"",IF(Tb_Activiteiten[[#This Row],[Loonkosten]]=1,Tb_Activiteiten[[#Headers],[Loonkosten]],"")))</f>
        <v/>
      </c>
      <c r="AL95" t="str">
        <f>IF(ISNUMBER(FIND("arbeid",Methode_Keuze)),"",IF(ISNUMBER(FIND("arbeid",Methode_Keuze)),"",IF(Tb_Activiteiten[[#This Row],[Eigen arbeid]]=1,Tb_Activiteiten[[#Headers],[Eigen arbeid]],"")))</f>
        <v/>
      </c>
      <c r="AM95" t="str">
        <f>IF(ISNUMBER(FIND("arbeid",Methode_Keuze)),"",IF(ISNUMBER(FIND("arbeid",Methode_Keuze)),"",IF(Tb_Activiteiten[[#This Row],[Projectmedewerker]]=1,Tb_Activiteiten[[#Headers],[Projectmedewerker]],"")))</f>
        <v/>
      </c>
      <c r="AN95" t="str">
        <f>IF(ISNUMBER(FIND("arbeid",Methode_Keuze)),"",IF(ISNUMBER(FIND("arbeid",Methode_Keuze)),"",IF(Tb_Activiteiten[[#This Row],[Landbouwer]]=1,Tb_Activiteiten[[#Headers],[Landbouwer]],"")))</f>
        <v/>
      </c>
      <c r="AO95" t="str">
        <f>IF(ISNUMBER(FIND("arbeid",Methode_Keuze)),"",IF(ISNUMBER(FIND("arbeid",Methode_Keuze)),"",IF(Tb_Activiteiten[[#This Row],[Adviseur]]=1,Tb_Activiteiten[[#Headers],[Adviseur]],"")))</f>
        <v/>
      </c>
      <c r="AP95" t="str">
        <f>IF(ISNUMBER(FIND("arbeid",Methode_Keuze)),"",IF(ISNUMBER(FIND("arbeid",Methode_Keuze)),"",IF(Tb_Activiteiten[[#This Row],[Projectleider/Expert]]=1,Tb_Activiteiten[[#Headers],[Projectleider/Expert]],"")))</f>
        <v/>
      </c>
      <c r="AQ95" t="str">
        <f>IF(ISNUMBER(FIND("arbeid",Methode_Keuze)),"",IF(ISNUMBER(FIND("arbeid",Methode_Keuze)),"",IF(Tb_Activiteiten[[#This Row],[Arbeidskosten]]=1,Tb_Activiteiten[[#Headers],[Arbeidskosten]],"")))</f>
        <v/>
      </c>
      <c r="AR95" t="str">
        <f>IF(ISNUMBER(FIND("arbeid",Methode_Keuze)),"",IF(ISNUMBER(FIND("arbeid",Methode_Keuze)),"",IF(Tb_Activiteiten[[#This Row],[Arbeidskosten op basis van IKS]]=1,Tb_Activiteiten[[#Headers],[Arbeidskosten op basis van IKS]],"")))</f>
        <v/>
      </c>
      <c r="AS95" t="str">
        <f>IF(ISNUMBER(FIND("overige",Methode_Keuze)),"",IF(Tb_Activiteiten[[#This Row],[Kosten derden exclusief btw]]=1,Tb_Activiteiten[[#Headers],[Kosten derden exclusief btw]],""))</f>
        <v/>
      </c>
      <c r="AT95" t="str">
        <f>IF(ISNUMBER(FIND("overige",Methode_Keuze)),"",IF(Tb_Activiteiten[[#This Row],[Niet verrekenbare btw]]=1,Tb_Activiteiten[[#Headers],[Niet verrekenbare btw]],""))</f>
        <v/>
      </c>
      <c r="AU95" t="str">
        <f>IF(ISNUMBER(FIND("overige",Methode_Keuze)),"",IF(Tb_Activiteiten[[#This Row],[Grondkosten]]=1,Tb_Activiteiten[[#Headers],[Grondkosten]],""))</f>
        <v/>
      </c>
      <c r="AV95" t="str">
        <f>IF(ISNUMBER(FIND("overige",Methode_Keuze)),"",IF(Tb_Activiteiten[[#This Row],[Bijdrage in natura (overige)]]=1,Tb_Activiteiten[[#Headers],[Bijdrage in natura (overige)]],""))</f>
        <v/>
      </c>
      <c r="AW95" t="str">
        <f>IF(ISNUMBER(FIND("overige",Methode_Keuze)),"",IF(Tb_Activiteiten[[#This Row],[Bijdrage in natura (vrijwilligers)]]=1,Tb_Activiteiten[[#Headers],[Bijdrage in natura (vrijwilligers)]],""))</f>
        <v/>
      </c>
      <c r="AX95" t="str">
        <f>IF(ISNUMBER(FIND("overige",Methode_Keuze)),"",IF(Tb_Activiteiten[[#This Row],[Afschrijvingskosten]]=1,Tb_Activiteiten[[#Headers],[Afschrijvingskosten]],""))</f>
        <v/>
      </c>
      <c r="AY95" t="str">
        <f>IF(ISNUMBER(FIND("overige",Methode_Keuze)),"",IF(Tb_Activiteiten[[#This Row],[Vergoeding]]=1,Tb_Activiteiten[[#Headers],[Vergoeding]],""))</f>
        <v/>
      </c>
      <c r="AZ95" t="str">
        <f>IF(ISNUMBER(FIND("arbeid",Methode_Keuze)),"",IF(Tb_Activiteiten[[#This Row],[Arbeidskosten - vast tarief (excl eigen arbeid)]]=1,Tb_Activiteiten[[#Headers],[Arbeidskosten - vast tarief (excl eigen arbeid)]],""))</f>
        <v/>
      </c>
      <c r="BA95" t="str">
        <f>IF(ISNUMBER(FIND("overige",Methode_Keuze)),"",IF(Tb_Activiteiten[[#This Row],[Overige kosten]]=1,Tb_Activiteiten[[#Headers],[Overige kosten]],""))</f>
        <v/>
      </c>
    </row>
    <row r="96" spans="1:53" x14ac:dyDescent="0.25">
      <c r="A96" s="231"/>
      <c r="F96" s="64"/>
      <c r="G96" s="64"/>
      <c r="H96" s="275"/>
      <c r="I96" s="275"/>
      <c r="J96" s="275"/>
      <c r="K96" s="275"/>
      <c r="O96" s="56"/>
      <c r="Q96" t="str">
        <f>IFERROR(IF(VLOOKUP(Tb_Activiteiten[[#This Row],[Openstelling]],Tb_Openstelling[],2,0)=1,1,""),"")</f>
        <v/>
      </c>
      <c r="AK96" t="str">
        <f>IF(ISNUMBER(FIND("arbeid",Methode_Keuze)),"",IF(ISNUMBER(FIND("arbeid",Methode_Keuze)),"",IF(Tb_Activiteiten[[#This Row],[Loonkosten]]=1,Tb_Activiteiten[[#Headers],[Loonkosten]],"")))</f>
        <v/>
      </c>
      <c r="AL96" t="str">
        <f>IF(ISNUMBER(FIND("arbeid",Methode_Keuze)),"",IF(ISNUMBER(FIND("arbeid",Methode_Keuze)),"",IF(Tb_Activiteiten[[#This Row],[Eigen arbeid]]=1,Tb_Activiteiten[[#Headers],[Eigen arbeid]],"")))</f>
        <v/>
      </c>
      <c r="AM96" t="str">
        <f>IF(ISNUMBER(FIND("arbeid",Methode_Keuze)),"",IF(ISNUMBER(FIND("arbeid",Methode_Keuze)),"",IF(Tb_Activiteiten[[#This Row],[Projectmedewerker]]=1,Tb_Activiteiten[[#Headers],[Projectmedewerker]],"")))</f>
        <v/>
      </c>
      <c r="AN96" t="str">
        <f>IF(ISNUMBER(FIND("arbeid",Methode_Keuze)),"",IF(ISNUMBER(FIND("arbeid",Methode_Keuze)),"",IF(Tb_Activiteiten[[#This Row],[Landbouwer]]=1,Tb_Activiteiten[[#Headers],[Landbouwer]],"")))</f>
        <v/>
      </c>
      <c r="AO96" t="str">
        <f>IF(ISNUMBER(FIND("arbeid",Methode_Keuze)),"",IF(ISNUMBER(FIND("arbeid",Methode_Keuze)),"",IF(Tb_Activiteiten[[#This Row],[Adviseur]]=1,Tb_Activiteiten[[#Headers],[Adviseur]],"")))</f>
        <v/>
      </c>
      <c r="AP96" t="str">
        <f>IF(ISNUMBER(FIND("arbeid",Methode_Keuze)),"",IF(ISNUMBER(FIND("arbeid",Methode_Keuze)),"",IF(Tb_Activiteiten[[#This Row],[Projectleider/Expert]]=1,Tb_Activiteiten[[#Headers],[Projectleider/Expert]],"")))</f>
        <v/>
      </c>
      <c r="AQ96" t="str">
        <f>IF(ISNUMBER(FIND("arbeid",Methode_Keuze)),"",IF(ISNUMBER(FIND("arbeid",Methode_Keuze)),"",IF(Tb_Activiteiten[[#This Row],[Arbeidskosten]]=1,Tb_Activiteiten[[#Headers],[Arbeidskosten]],"")))</f>
        <v/>
      </c>
      <c r="AR96" t="str">
        <f>IF(ISNUMBER(FIND("arbeid",Methode_Keuze)),"",IF(ISNUMBER(FIND("arbeid",Methode_Keuze)),"",IF(Tb_Activiteiten[[#This Row],[Arbeidskosten op basis van IKS]]=1,Tb_Activiteiten[[#Headers],[Arbeidskosten op basis van IKS]],"")))</f>
        <v/>
      </c>
      <c r="AS96" t="str">
        <f>IF(ISNUMBER(FIND("overige",Methode_Keuze)),"",IF(Tb_Activiteiten[[#This Row],[Kosten derden exclusief btw]]=1,Tb_Activiteiten[[#Headers],[Kosten derden exclusief btw]],""))</f>
        <v/>
      </c>
      <c r="AT96" t="str">
        <f>IF(ISNUMBER(FIND("overige",Methode_Keuze)),"",IF(Tb_Activiteiten[[#This Row],[Niet verrekenbare btw]]=1,Tb_Activiteiten[[#Headers],[Niet verrekenbare btw]],""))</f>
        <v/>
      </c>
      <c r="AU96" t="str">
        <f>IF(ISNUMBER(FIND("overige",Methode_Keuze)),"",IF(Tb_Activiteiten[[#This Row],[Grondkosten]]=1,Tb_Activiteiten[[#Headers],[Grondkosten]],""))</f>
        <v/>
      </c>
      <c r="AV96" t="str">
        <f>IF(ISNUMBER(FIND("overige",Methode_Keuze)),"",IF(Tb_Activiteiten[[#This Row],[Bijdrage in natura (overige)]]=1,Tb_Activiteiten[[#Headers],[Bijdrage in natura (overige)]],""))</f>
        <v/>
      </c>
      <c r="AW96" t="str">
        <f>IF(ISNUMBER(FIND("overige",Methode_Keuze)),"",IF(Tb_Activiteiten[[#This Row],[Bijdrage in natura (vrijwilligers)]]=1,Tb_Activiteiten[[#Headers],[Bijdrage in natura (vrijwilligers)]],""))</f>
        <v/>
      </c>
      <c r="AX96" t="str">
        <f>IF(ISNUMBER(FIND("overige",Methode_Keuze)),"",IF(Tb_Activiteiten[[#This Row],[Afschrijvingskosten]]=1,Tb_Activiteiten[[#Headers],[Afschrijvingskosten]],""))</f>
        <v/>
      </c>
      <c r="AY96" t="str">
        <f>IF(ISNUMBER(FIND("overige",Methode_Keuze)),"",IF(Tb_Activiteiten[[#This Row],[Vergoeding]]=1,Tb_Activiteiten[[#Headers],[Vergoeding]],""))</f>
        <v/>
      </c>
      <c r="AZ96" t="str">
        <f>IF(ISNUMBER(FIND("arbeid",Methode_Keuze)),"",IF(Tb_Activiteiten[[#This Row],[Arbeidskosten - vast tarief (excl eigen arbeid)]]=1,Tb_Activiteiten[[#Headers],[Arbeidskosten - vast tarief (excl eigen arbeid)]],""))</f>
        <v/>
      </c>
      <c r="BA96" t="str">
        <f>IF(ISNUMBER(FIND("overige",Methode_Keuze)),"",IF(Tb_Activiteiten[[#This Row],[Overige kosten]]=1,Tb_Activiteiten[[#Headers],[Overige kosten]],""))</f>
        <v/>
      </c>
    </row>
    <row r="97" spans="1:53" x14ac:dyDescent="0.25">
      <c r="A97" s="231"/>
      <c r="F97" s="64"/>
      <c r="G97" s="64"/>
      <c r="H97" s="275"/>
      <c r="I97" s="275"/>
      <c r="J97" s="275"/>
      <c r="K97" s="275"/>
      <c r="O97" s="56"/>
      <c r="Q97" t="str">
        <f>IFERROR(IF(VLOOKUP(Tb_Activiteiten[[#This Row],[Openstelling]],Tb_Openstelling[],2,0)=1,1,""),"")</f>
        <v/>
      </c>
      <c r="AK97" t="str">
        <f>IF(ISNUMBER(FIND("arbeid",Methode_Keuze)),"",IF(ISNUMBER(FIND("arbeid",Methode_Keuze)),"",IF(Tb_Activiteiten[[#This Row],[Loonkosten]]=1,Tb_Activiteiten[[#Headers],[Loonkosten]],"")))</f>
        <v/>
      </c>
      <c r="AL97" t="str">
        <f>IF(ISNUMBER(FIND("arbeid",Methode_Keuze)),"",IF(ISNUMBER(FIND("arbeid",Methode_Keuze)),"",IF(Tb_Activiteiten[[#This Row],[Eigen arbeid]]=1,Tb_Activiteiten[[#Headers],[Eigen arbeid]],"")))</f>
        <v/>
      </c>
      <c r="AM97" t="str">
        <f>IF(ISNUMBER(FIND("arbeid",Methode_Keuze)),"",IF(ISNUMBER(FIND("arbeid",Methode_Keuze)),"",IF(Tb_Activiteiten[[#This Row],[Projectmedewerker]]=1,Tb_Activiteiten[[#Headers],[Projectmedewerker]],"")))</f>
        <v/>
      </c>
      <c r="AN97" t="str">
        <f>IF(ISNUMBER(FIND("arbeid",Methode_Keuze)),"",IF(ISNUMBER(FIND("arbeid",Methode_Keuze)),"",IF(Tb_Activiteiten[[#This Row],[Landbouwer]]=1,Tb_Activiteiten[[#Headers],[Landbouwer]],"")))</f>
        <v/>
      </c>
      <c r="AO97" t="str">
        <f>IF(ISNUMBER(FIND("arbeid",Methode_Keuze)),"",IF(ISNUMBER(FIND("arbeid",Methode_Keuze)),"",IF(Tb_Activiteiten[[#This Row],[Adviseur]]=1,Tb_Activiteiten[[#Headers],[Adviseur]],"")))</f>
        <v/>
      </c>
      <c r="AP97" t="str">
        <f>IF(ISNUMBER(FIND("arbeid",Methode_Keuze)),"",IF(ISNUMBER(FIND("arbeid",Methode_Keuze)),"",IF(Tb_Activiteiten[[#This Row],[Projectleider/Expert]]=1,Tb_Activiteiten[[#Headers],[Projectleider/Expert]],"")))</f>
        <v/>
      </c>
      <c r="AQ97" t="str">
        <f>IF(ISNUMBER(FIND("arbeid",Methode_Keuze)),"",IF(ISNUMBER(FIND("arbeid",Methode_Keuze)),"",IF(Tb_Activiteiten[[#This Row],[Arbeidskosten]]=1,Tb_Activiteiten[[#Headers],[Arbeidskosten]],"")))</f>
        <v/>
      </c>
      <c r="AR97" t="str">
        <f>IF(ISNUMBER(FIND("arbeid",Methode_Keuze)),"",IF(ISNUMBER(FIND("arbeid",Methode_Keuze)),"",IF(Tb_Activiteiten[[#This Row],[Arbeidskosten op basis van IKS]]=1,Tb_Activiteiten[[#Headers],[Arbeidskosten op basis van IKS]],"")))</f>
        <v/>
      </c>
      <c r="AS97" t="str">
        <f>IF(ISNUMBER(FIND("overige",Methode_Keuze)),"",IF(Tb_Activiteiten[[#This Row],[Kosten derden exclusief btw]]=1,Tb_Activiteiten[[#Headers],[Kosten derden exclusief btw]],""))</f>
        <v/>
      </c>
      <c r="AT97" t="str">
        <f>IF(ISNUMBER(FIND("overige",Methode_Keuze)),"",IF(Tb_Activiteiten[[#This Row],[Niet verrekenbare btw]]=1,Tb_Activiteiten[[#Headers],[Niet verrekenbare btw]],""))</f>
        <v/>
      </c>
      <c r="AU97" t="str">
        <f>IF(ISNUMBER(FIND("overige",Methode_Keuze)),"",IF(Tb_Activiteiten[[#This Row],[Grondkosten]]=1,Tb_Activiteiten[[#Headers],[Grondkosten]],""))</f>
        <v/>
      </c>
      <c r="AV97" t="str">
        <f>IF(ISNUMBER(FIND("overige",Methode_Keuze)),"",IF(Tb_Activiteiten[[#This Row],[Bijdrage in natura (overige)]]=1,Tb_Activiteiten[[#Headers],[Bijdrage in natura (overige)]],""))</f>
        <v/>
      </c>
      <c r="AW97" t="str">
        <f>IF(ISNUMBER(FIND("overige",Methode_Keuze)),"",IF(Tb_Activiteiten[[#This Row],[Bijdrage in natura (vrijwilligers)]]=1,Tb_Activiteiten[[#Headers],[Bijdrage in natura (vrijwilligers)]],""))</f>
        <v/>
      </c>
      <c r="AX97" t="str">
        <f>IF(ISNUMBER(FIND("overige",Methode_Keuze)),"",IF(Tb_Activiteiten[[#This Row],[Afschrijvingskosten]]=1,Tb_Activiteiten[[#Headers],[Afschrijvingskosten]],""))</f>
        <v/>
      </c>
      <c r="AY97" t="str">
        <f>IF(ISNUMBER(FIND("overige",Methode_Keuze)),"",IF(Tb_Activiteiten[[#This Row],[Vergoeding]]=1,Tb_Activiteiten[[#Headers],[Vergoeding]],""))</f>
        <v/>
      </c>
      <c r="AZ97" t="str">
        <f>IF(ISNUMBER(FIND("arbeid",Methode_Keuze)),"",IF(Tb_Activiteiten[[#This Row],[Arbeidskosten - vast tarief (excl eigen arbeid)]]=1,Tb_Activiteiten[[#Headers],[Arbeidskosten - vast tarief (excl eigen arbeid)]],""))</f>
        <v/>
      </c>
      <c r="BA97" t="str">
        <f>IF(ISNUMBER(FIND("overige",Methode_Keuze)),"",IF(Tb_Activiteiten[[#This Row],[Overige kosten]]=1,Tb_Activiteiten[[#Headers],[Overige kosten]],""))</f>
        <v/>
      </c>
    </row>
    <row r="98" spans="1:53" x14ac:dyDescent="0.25">
      <c r="A98" s="231"/>
      <c r="F98" s="64"/>
      <c r="G98" s="64"/>
      <c r="H98" s="275"/>
      <c r="I98" s="275"/>
      <c r="J98" s="275"/>
      <c r="K98" s="275"/>
      <c r="O98" s="56"/>
      <c r="Q98" t="str">
        <f>IFERROR(IF(VLOOKUP(Tb_Activiteiten[[#This Row],[Openstelling]],Tb_Openstelling[],2,0)=1,1,""),"")</f>
        <v/>
      </c>
      <c r="AK98" t="str">
        <f>IF(ISNUMBER(FIND("arbeid",Methode_Keuze)),"",IF(ISNUMBER(FIND("arbeid",Methode_Keuze)),"",IF(Tb_Activiteiten[[#This Row],[Loonkosten]]=1,Tb_Activiteiten[[#Headers],[Loonkosten]],"")))</f>
        <v/>
      </c>
      <c r="AL98" t="str">
        <f>IF(ISNUMBER(FIND("arbeid",Methode_Keuze)),"",IF(ISNUMBER(FIND("arbeid",Methode_Keuze)),"",IF(Tb_Activiteiten[[#This Row],[Eigen arbeid]]=1,Tb_Activiteiten[[#Headers],[Eigen arbeid]],"")))</f>
        <v/>
      </c>
      <c r="AM98" t="str">
        <f>IF(ISNUMBER(FIND("arbeid",Methode_Keuze)),"",IF(ISNUMBER(FIND("arbeid",Methode_Keuze)),"",IF(Tb_Activiteiten[[#This Row],[Projectmedewerker]]=1,Tb_Activiteiten[[#Headers],[Projectmedewerker]],"")))</f>
        <v/>
      </c>
      <c r="AN98" t="str">
        <f>IF(ISNUMBER(FIND("arbeid",Methode_Keuze)),"",IF(ISNUMBER(FIND("arbeid",Methode_Keuze)),"",IF(Tb_Activiteiten[[#This Row],[Landbouwer]]=1,Tb_Activiteiten[[#Headers],[Landbouwer]],"")))</f>
        <v/>
      </c>
      <c r="AO98" t="str">
        <f>IF(ISNUMBER(FIND("arbeid",Methode_Keuze)),"",IF(ISNUMBER(FIND("arbeid",Methode_Keuze)),"",IF(Tb_Activiteiten[[#This Row],[Adviseur]]=1,Tb_Activiteiten[[#Headers],[Adviseur]],"")))</f>
        <v/>
      </c>
      <c r="AP98" t="str">
        <f>IF(ISNUMBER(FIND("arbeid",Methode_Keuze)),"",IF(ISNUMBER(FIND("arbeid",Methode_Keuze)),"",IF(Tb_Activiteiten[[#This Row],[Projectleider/Expert]]=1,Tb_Activiteiten[[#Headers],[Projectleider/Expert]],"")))</f>
        <v/>
      </c>
      <c r="AQ98" t="str">
        <f>IF(ISNUMBER(FIND("arbeid",Methode_Keuze)),"",IF(ISNUMBER(FIND("arbeid",Methode_Keuze)),"",IF(Tb_Activiteiten[[#This Row],[Arbeidskosten]]=1,Tb_Activiteiten[[#Headers],[Arbeidskosten]],"")))</f>
        <v/>
      </c>
      <c r="AR98" t="str">
        <f>IF(ISNUMBER(FIND("arbeid",Methode_Keuze)),"",IF(ISNUMBER(FIND("arbeid",Methode_Keuze)),"",IF(Tb_Activiteiten[[#This Row],[Arbeidskosten op basis van IKS]]=1,Tb_Activiteiten[[#Headers],[Arbeidskosten op basis van IKS]],"")))</f>
        <v/>
      </c>
      <c r="AS98" t="str">
        <f>IF(ISNUMBER(FIND("overige",Methode_Keuze)),"",IF(Tb_Activiteiten[[#This Row],[Kosten derden exclusief btw]]=1,Tb_Activiteiten[[#Headers],[Kosten derden exclusief btw]],""))</f>
        <v/>
      </c>
      <c r="AT98" t="str">
        <f>IF(ISNUMBER(FIND("overige",Methode_Keuze)),"",IF(Tb_Activiteiten[[#This Row],[Niet verrekenbare btw]]=1,Tb_Activiteiten[[#Headers],[Niet verrekenbare btw]],""))</f>
        <v/>
      </c>
      <c r="AU98" t="str">
        <f>IF(ISNUMBER(FIND("overige",Methode_Keuze)),"",IF(Tb_Activiteiten[[#This Row],[Grondkosten]]=1,Tb_Activiteiten[[#Headers],[Grondkosten]],""))</f>
        <v/>
      </c>
      <c r="AV98" t="str">
        <f>IF(ISNUMBER(FIND("overige",Methode_Keuze)),"",IF(Tb_Activiteiten[[#This Row],[Bijdrage in natura (overige)]]=1,Tb_Activiteiten[[#Headers],[Bijdrage in natura (overige)]],""))</f>
        <v/>
      </c>
      <c r="AW98" t="str">
        <f>IF(ISNUMBER(FIND("overige",Methode_Keuze)),"",IF(Tb_Activiteiten[[#This Row],[Bijdrage in natura (vrijwilligers)]]=1,Tb_Activiteiten[[#Headers],[Bijdrage in natura (vrijwilligers)]],""))</f>
        <v/>
      </c>
      <c r="AX98" t="str">
        <f>IF(ISNUMBER(FIND("overige",Methode_Keuze)),"",IF(Tb_Activiteiten[[#This Row],[Afschrijvingskosten]]=1,Tb_Activiteiten[[#Headers],[Afschrijvingskosten]],""))</f>
        <v/>
      </c>
      <c r="AY98" t="str">
        <f>IF(ISNUMBER(FIND("overige",Methode_Keuze)),"",IF(Tb_Activiteiten[[#This Row],[Vergoeding]]=1,Tb_Activiteiten[[#Headers],[Vergoeding]],""))</f>
        <v/>
      </c>
      <c r="AZ98" t="str">
        <f>IF(ISNUMBER(FIND("arbeid",Methode_Keuze)),"",IF(Tb_Activiteiten[[#This Row],[Arbeidskosten - vast tarief (excl eigen arbeid)]]=1,Tb_Activiteiten[[#Headers],[Arbeidskosten - vast tarief (excl eigen arbeid)]],""))</f>
        <v/>
      </c>
      <c r="BA98" t="str">
        <f>IF(ISNUMBER(FIND("overige",Methode_Keuze)),"",IF(Tb_Activiteiten[[#This Row],[Overige kosten]]=1,Tb_Activiteiten[[#Headers],[Overige kosten]],""))</f>
        <v/>
      </c>
    </row>
    <row r="99" spans="1:53" x14ac:dyDescent="0.25">
      <c r="A99" s="231"/>
      <c r="F99" s="64"/>
      <c r="G99" s="64"/>
      <c r="H99" s="275"/>
      <c r="I99" s="275"/>
      <c r="J99" s="275"/>
      <c r="K99" s="275"/>
      <c r="O99" s="56"/>
      <c r="Q99" t="str">
        <f>IFERROR(IF(VLOOKUP(Tb_Activiteiten[[#This Row],[Openstelling]],Tb_Openstelling[],2,0)=1,1,""),"")</f>
        <v/>
      </c>
      <c r="AK99" t="str">
        <f>IF(ISNUMBER(FIND("arbeid",Methode_Keuze)),"",IF(ISNUMBER(FIND("arbeid",Methode_Keuze)),"",IF(Tb_Activiteiten[[#This Row],[Loonkosten]]=1,Tb_Activiteiten[[#Headers],[Loonkosten]],"")))</f>
        <v/>
      </c>
      <c r="AL99" t="str">
        <f>IF(ISNUMBER(FIND("arbeid",Methode_Keuze)),"",IF(ISNUMBER(FIND("arbeid",Methode_Keuze)),"",IF(Tb_Activiteiten[[#This Row],[Eigen arbeid]]=1,Tb_Activiteiten[[#Headers],[Eigen arbeid]],"")))</f>
        <v/>
      </c>
      <c r="AM99" t="str">
        <f>IF(ISNUMBER(FIND("arbeid",Methode_Keuze)),"",IF(ISNUMBER(FIND("arbeid",Methode_Keuze)),"",IF(Tb_Activiteiten[[#This Row],[Projectmedewerker]]=1,Tb_Activiteiten[[#Headers],[Projectmedewerker]],"")))</f>
        <v/>
      </c>
      <c r="AN99" t="str">
        <f>IF(ISNUMBER(FIND("arbeid",Methode_Keuze)),"",IF(ISNUMBER(FIND("arbeid",Methode_Keuze)),"",IF(Tb_Activiteiten[[#This Row],[Landbouwer]]=1,Tb_Activiteiten[[#Headers],[Landbouwer]],"")))</f>
        <v/>
      </c>
      <c r="AO99" t="str">
        <f>IF(ISNUMBER(FIND("arbeid",Methode_Keuze)),"",IF(ISNUMBER(FIND("arbeid",Methode_Keuze)),"",IF(Tb_Activiteiten[[#This Row],[Adviseur]]=1,Tb_Activiteiten[[#Headers],[Adviseur]],"")))</f>
        <v/>
      </c>
      <c r="AP99" t="str">
        <f>IF(ISNUMBER(FIND("arbeid",Methode_Keuze)),"",IF(ISNUMBER(FIND("arbeid",Methode_Keuze)),"",IF(Tb_Activiteiten[[#This Row],[Projectleider/Expert]]=1,Tb_Activiteiten[[#Headers],[Projectleider/Expert]],"")))</f>
        <v/>
      </c>
      <c r="AQ99" t="str">
        <f>IF(ISNUMBER(FIND("arbeid",Methode_Keuze)),"",IF(ISNUMBER(FIND("arbeid",Methode_Keuze)),"",IF(Tb_Activiteiten[[#This Row],[Arbeidskosten]]=1,Tb_Activiteiten[[#Headers],[Arbeidskosten]],"")))</f>
        <v/>
      </c>
      <c r="AR99" t="str">
        <f>IF(ISNUMBER(FIND("arbeid",Methode_Keuze)),"",IF(ISNUMBER(FIND("arbeid",Methode_Keuze)),"",IF(Tb_Activiteiten[[#This Row],[Arbeidskosten op basis van IKS]]=1,Tb_Activiteiten[[#Headers],[Arbeidskosten op basis van IKS]],"")))</f>
        <v/>
      </c>
      <c r="AS99" t="str">
        <f>IF(ISNUMBER(FIND("overige",Methode_Keuze)),"",IF(Tb_Activiteiten[[#This Row],[Kosten derden exclusief btw]]=1,Tb_Activiteiten[[#Headers],[Kosten derden exclusief btw]],""))</f>
        <v/>
      </c>
      <c r="AT99" t="str">
        <f>IF(ISNUMBER(FIND("overige",Methode_Keuze)),"",IF(Tb_Activiteiten[[#This Row],[Niet verrekenbare btw]]=1,Tb_Activiteiten[[#Headers],[Niet verrekenbare btw]],""))</f>
        <v/>
      </c>
      <c r="AU99" t="str">
        <f>IF(ISNUMBER(FIND("overige",Methode_Keuze)),"",IF(Tb_Activiteiten[[#This Row],[Grondkosten]]=1,Tb_Activiteiten[[#Headers],[Grondkosten]],""))</f>
        <v/>
      </c>
      <c r="AV99" t="str">
        <f>IF(ISNUMBER(FIND("overige",Methode_Keuze)),"",IF(Tb_Activiteiten[[#This Row],[Bijdrage in natura (overige)]]=1,Tb_Activiteiten[[#Headers],[Bijdrage in natura (overige)]],""))</f>
        <v/>
      </c>
      <c r="AW99" t="str">
        <f>IF(ISNUMBER(FIND("overige",Methode_Keuze)),"",IF(Tb_Activiteiten[[#This Row],[Bijdrage in natura (vrijwilligers)]]=1,Tb_Activiteiten[[#Headers],[Bijdrage in natura (vrijwilligers)]],""))</f>
        <v/>
      </c>
      <c r="AX99" t="str">
        <f>IF(ISNUMBER(FIND("overige",Methode_Keuze)),"",IF(Tb_Activiteiten[[#This Row],[Afschrijvingskosten]]=1,Tb_Activiteiten[[#Headers],[Afschrijvingskosten]],""))</f>
        <v/>
      </c>
      <c r="AY99" t="str">
        <f>IF(ISNUMBER(FIND("overige",Methode_Keuze)),"",IF(Tb_Activiteiten[[#This Row],[Vergoeding]]=1,Tb_Activiteiten[[#Headers],[Vergoeding]],""))</f>
        <v/>
      </c>
      <c r="AZ99" t="str">
        <f>IF(ISNUMBER(FIND("arbeid",Methode_Keuze)),"",IF(Tb_Activiteiten[[#This Row],[Arbeidskosten - vast tarief (excl eigen arbeid)]]=1,Tb_Activiteiten[[#Headers],[Arbeidskosten - vast tarief (excl eigen arbeid)]],""))</f>
        <v/>
      </c>
      <c r="BA99" t="str">
        <f>IF(ISNUMBER(FIND("overige",Methode_Keuze)),"",IF(Tb_Activiteiten[[#This Row],[Overige kosten]]=1,Tb_Activiteiten[[#Headers],[Overige kosten]],""))</f>
        <v/>
      </c>
    </row>
    <row r="100" spans="1:53" x14ac:dyDescent="0.25">
      <c r="A100" s="231"/>
      <c r="F100" s="64"/>
      <c r="G100" s="64"/>
      <c r="H100" s="275"/>
      <c r="I100" s="275"/>
      <c r="J100" s="275"/>
      <c r="K100" s="275"/>
      <c r="O100" s="56"/>
      <c r="Q100" t="str">
        <f>IFERROR(IF(VLOOKUP(Tb_Activiteiten[[#This Row],[Openstelling]],Tb_Openstelling[],2,0)=1,1,""),"")</f>
        <v/>
      </c>
      <c r="AK100" t="str">
        <f>IF(ISNUMBER(FIND("arbeid",Methode_Keuze)),"",IF(ISNUMBER(FIND("arbeid",Methode_Keuze)),"",IF(Tb_Activiteiten[[#This Row],[Loonkosten]]=1,Tb_Activiteiten[[#Headers],[Loonkosten]],"")))</f>
        <v/>
      </c>
      <c r="AL100" t="str">
        <f>IF(ISNUMBER(FIND("arbeid",Methode_Keuze)),"",IF(ISNUMBER(FIND("arbeid",Methode_Keuze)),"",IF(Tb_Activiteiten[[#This Row],[Eigen arbeid]]=1,Tb_Activiteiten[[#Headers],[Eigen arbeid]],"")))</f>
        <v/>
      </c>
      <c r="AM100" t="str">
        <f>IF(ISNUMBER(FIND("arbeid",Methode_Keuze)),"",IF(ISNUMBER(FIND("arbeid",Methode_Keuze)),"",IF(Tb_Activiteiten[[#This Row],[Projectmedewerker]]=1,Tb_Activiteiten[[#Headers],[Projectmedewerker]],"")))</f>
        <v/>
      </c>
      <c r="AN100" t="str">
        <f>IF(ISNUMBER(FIND("arbeid",Methode_Keuze)),"",IF(ISNUMBER(FIND("arbeid",Methode_Keuze)),"",IF(Tb_Activiteiten[[#This Row],[Landbouwer]]=1,Tb_Activiteiten[[#Headers],[Landbouwer]],"")))</f>
        <v/>
      </c>
      <c r="AO100" t="str">
        <f>IF(ISNUMBER(FIND("arbeid",Methode_Keuze)),"",IF(ISNUMBER(FIND("arbeid",Methode_Keuze)),"",IF(Tb_Activiteiten[[#This Row],[Adviseur]]=1,Tb_Activiteiten[[#Headers],[Adviseur]],"")))</f>
        <v/>
      </c>
      <c r="AP100" t="str">
        <f>IF(ISNUMBER(FIND("arbeid",Methode_Keuze)),"",IF(ISNUMBER(FIND("arbeid",Methode_Keuze)),"",IF(Tb_Activiteiten[[#This Row],[Projectleider/Expert]]=1,Tb_Activiteiten[[#Headers],[Projectleider/Expert]],"")))</f>
        <v/>
      </c>
      <c r="AQ100" t="str">
        <f>IF(ISNUMBER(FIND("arbeid",Methode_Keuze)),"",IF(ISNUMBER(FIND("arbeid",Methode_Keuze)),"",IF(Tb_Activiteiten[[#This Row],[Arbeidskosten]]=1,Tb_Activiteiten[[#Headers],[Arbeidskosten]],"")))</f>
        <v/>
      </c>
      <c r="AR100" t="str">
        <f>IF(ISNUMBER(FIND("arbeid",Methode_Keuze)),"",IF(ISNUMBER(FIND("arbeid",Methode_Keuze)),"",IF(Tb_Activiteiten[[#This Row],[Arbeidskosten op basis van IKS]]=1,Tb_Activiteiten[[#Headers],[Arbeidskosten op basis van IKS]],"")))</f>
        <v/>
      </c>
      <c r="AS100" t="str">
        <f>IF(ISNUMBER(FIND("overige",Methode_Keuze)),"",IF(Tb_Activiteiten[[#This Row],[Kosten derden exclusief btw]]=1,Tb_Activiteiten[[#Headers],[Kosten derden exclusief btw]],""))</f>
        <v/>
      </c>
      <c r="AT100" t="str">
        <f>IF(ISNUMBER(FIND("overige",Methode_Keuze)),"",IF(Tb_Activiteiten[[#This Row],[Niet verrekenbare btw]]=1,Tb_Activiteiten[[#Headers],[Niet verrekenbare btw]],""))</f>
        <v/>
      </c>
      <c r="AU100" t="str">
        <f>IF(ISNUMBER(FIND("overige",Methode_Keuze)),"",IF(Tb_Activiteiten[[#This Row],[Grondkosten]]=1,Tb_Activiteiten[[#Headers],[Grondkosten]],""))</f>
        <v/>
      </c>
      <c r="AV100" t="str">
        <f>IF(ISNUMBER(FIND("overige",Methode_Keuze)),"",IF(Tb_Activiteiten[[#This Row],[Bijdrage in natura (overige)]]=1,Tb_Activiteiten[[#Headers],[Bijdrage in natura (overige)]],""))</f>
        <v/>
      </c>
      <c r="AW100" t="str">
        <f>IF(ISNUMBER(FIND("overige",Methode_Keuze)),"",IF(Tb_Activiteiten[[#This Row],[Bijdrage in natura (vrijwilligers)]]=1,Tb_Activiteiten[[#Headers],[Bijdrage in natura (vrijwilligers)]],""))</f>
        <v/>
      </c>
      <c r="AX100" t="str">
        <f>IF(ISNUMBER(FIND("overige",Methode_Keuze)),"",IF(Tb_Activiteiten[[#This Row],[Afschrijvingskosten]]=1,Tb_Activiteiten[[#Headers],[Afschrijvingskosten]],""))</f>
        <v/>
      </c>
      <c r="AY100" t="str">
        <f>IF(ISNUMBER(FIND("overige",Methode_Keuze)),"",IF(Tb_Activiteiten[[#This Row],[Vergoeding]]=1,Tb_Activiteiten[[#Headers],[Vergoeding]],""))</f>
        <v/>
      </c>
      <c r="AZ100" t="str">
        <f>IF(ISNUMBER(FIND("arbeid",Methode_Keuze)),"",IF(Tb_Activiteiten[[#This Row],[Arbeidskosten - vast tarief (excl eigen arbeid)]]=1,Tb_Activiteiten[[#Headers],[Arbeidskosten - vast tarief (excl eigen arbeid)]],""))</f>
        <v/>
      </c>
      <c r="BA100" t="str">
        <f>IF(ISNUMBER(FIND("overige",Methode_Keuze)),"",IF(Tb_Activiteiten[[#This Row],[Overige kosten]]=1,Tb_Activiteiten[[#Headers],[Overige kosten]],""))</f>
        <v/>
      </c>
    </row>
    <row r="101" spans="1:53" x14ac:dyDescent="0.25">
      <c r="A101" s="231"/>
      <c r="F101" s="64"/>
      <c r="G101" s="64"/>
      <c r="H101" s="275"/>
      <c r="I101" s="275"/>
      <c r="J101" s="275"/>
      <c r="K101" s="275"/>
      <c r="O101" s="56"/>
      <c r="Q101" t="str">
        <f>IFERROR(IF(VLOOKUP(Tb_Activiteiten[[#This Row],[Openstelling]],Tb_Openstelling[],2,0)=1,1,""),"")</f>
        <v/>
      </c>
      <c r="AK101" t="str">
        <f>IF(ISNUMBER(FIND("arbeid",Methode_Keuze)),"",IF(ISNUMBER(FIND("arbeid",Methode_Keuze)),"",IF(Tb_Activiteiten[[#This Row],[Loonkosten]]=1,Tb_Activiteiten[[#Headers],[Loonkosten]],"")))</f>
        <v/>
      </c>
      <c r="AL101" t="str">
        <f>IF(ISNUMBER(FIND("arbeid",Methode_Keuze)),"",IF(ISNUMBER(FIND("arbeid",Methode_Keuze)),"",IF(Tb_Activiteiten[[#This Row],[Eigen arbeid]]=1,Tb_Activiteiten[[#Headers],[Eigen arbeid]],"")))</f>
        <v/>
      </c>
      <c r="AM101" t="str">
        <f>IF(ISNUMBER(FIND("arbeid",Methode_Keuze)),"",IF(ISNUMBER(FIND("arbeid",Methode_Keuze)),"",IF(Tb_Activiteiten[[#This Row],[Projectmedewerker]]=1,Tb_Activiteiten[[#Headers],[Projectmedewerker]],"")))</f>
        <v/>
      </c>
      <c r="AN101" t="str">
        <f>IF(ISNUMBER(FIND("arbeid",Methode_Keuze)),"",IF(ISNUMBER(FIND("arbeid",Methode_Keuze)),"",IF(Tb_Activiteiten[[#This Row],[Landbouwer]]=1,Tb_Activiteiten[[#Headers],[Landbouwer]],"")))</f>
        <v/>
      </c>
      <c r="AO101" t="str">
        <f>IF(ISNUMBER(FIND("arbeid",Methode_Keuze)),"",IF(ISNUMBER(FIND("arbeid",Methode_Keuze)),"",IF(Tb_Activiteiten[[#This Row],[Adviseur]]=1,Tb_Activiteiten[[#Headers],[Adviseur]],"")))</f>
        <v/>
      </c>
      <c r="AP101" t="str">
        <f>IF(ISNUMBER(FIND("arbeid",Methode_Keuze)),"",IF(ISNUMBER(FIND("arbeid",Methode_Keuze)),"",IF(Tb_Activiteiten[[#This Row],[Projectleider/Expert]]=1,Tb_Activiteiten[[#Headers],[Projectleider/Expert]],"")))</f>
        <v/>
      </c>
      <c r="AQ101" t="str">
        <f>IF(ISNUMBER(FIND("arbeid",Methode_Keuze)),"",IF(ISNUMBER(FIND("arbeid",Methode_Keuze)),"",IF(Tb_Activiteiten[[#This Row],[Arbeidskosten]]=1,Tb_Activiteiten[[#Headers],[Arbeidskosten]],"")))</f>
        <v/>
      </c>
      <c r="AR101" t="str">
        <f>IF(ISNUMBER(FIND("arbeid",Methode_Keuze)),"",IF(ISNUMBER(FIND("arbeid",Methode_Keuze)),"",IF(Tb_Activiteiten[[#This Row],[Arbeidskosten op basis van IKS]]=1,Tb_Activiteiten[[#Headers],[Arbeidskosten op basis van IKS]],"")))</f>
        <v/>
      </c>
      <c r="AS101" t="str">
        <f>IF(ISNUMBER(FIND("overige",Methode_Keuze)),"",IF(Tb_Activiteiten[[#This Row],[Kosten derden exclusief btw]]=1,Tb_Activiteiten[[#Headers],[Kosten derden exclusief btw]],""))</f>
        <v/>
      </c>
      <c r="AT101" t="str">
        <f>IF(ISNUMBER(FIND("overige",Methode_Keuze)),"",IF(Tb_Activiteiten[[#This Row],[Niet verrekenbare btw]]=1,Tb_Activiteiten[[#Headers],[Niet verrekenbare btw]],""))</f>
        <v/>
      </c>
      <c r="AU101" t="str">
        <f>IF(ISNUMBER(FIND("overige",Methode_Keuze)),"",IF(Tb_Activiteiten[[#This Row],[Grondkosten]]=1,Tb_Activiteiten[[#Headers],[Grondkosten]],""))</f>
        <v/>
      </c>
      <c r="AV101" t="str">
        <f>IF(ISNUMBER(FIND("overige",Methode_Keuze)),"",IF(Tb_Activiteiten[[#This Row],[Bijdrage in natura (overige)]]=1,Tb_Activiteiten[[#Headers],[Bijdrage in natura (overige)]],""))</f>
        <v/>
      </c>
      <c r="AW101" t="str">
        <f>IF(ISNUMBER(FIND("overige",Methode_Keuze)),"",IF(Tb_Activiteiten[[#This Row],[Bijdrage in natura (vrijwilligers)]]=1,Tb_Activiteiten[[#Headers],[Bijdrage in natura (vrijwilligers)]],""))</f>
        <v/>
      </c>
      <c r="AX101" t="str">
        <f>IF(ISNUMBER(FIND("overige",Methode_Keuze)),"",IF(Tb_Activiteiten[[#This Row],[Afschrijvingskosten]]=1,Tb_Activiteiten[[#Headers],[Afschrijvingskosten]],""))</f>
        <v/>
      </c>
      <c r="AY101" t="str">
        <f>IF(ISNUMBER(FIND("overige",Methode_Keuze)),"",IF(Tb_Activiteiten[[#This Row],[Vergoeding]]=1,Tb_Activiteiten[[#Headers],[Vergoeding]],""))</f>
        <v/>
      </c>
      <c r="AZ101" t="str">
        <f>IF(ISNUMBER(FIND("arbeid",Methode_Keuze)),"",IF(Tb_Activiteiten[[#This Row],[Arbeidskosten - vast tarief (excl eigen arbeid)]]=1,Tb_Activiteiten[[#Headers],[Arbeidskosten - vast tarief (excl eigen arbeid)]],""))</f>
        <v/>
      </c>
      <c r="BA101" t="str">
        <f>IF(ISNUMBER(FIND("overige",Methode_Keuze)),"",IF(Tb_Activiteiten[[#This Row],[Overige kosten]]=1,Tb_Activiteiten[[#Headers],[Overige kosten]],""))</f>
        <v/>
      </c>
    </row>
    <row r="102" spans="1:53" x14ac:dyDescent="0.25">
      <c r="A102" s="231"/>
      <c r="F102" s="64"/>
      <c r="G102" s="64"/>
      <c r="H102" s="275"/>
      <c r="I102" s="275"/>
      <c r="J102" s="275"/>
      <c r="K102" s="275"/>
      <c r="O102" s="56"/>
      <c r="Q102" t="str">
        <f>IFERROR(IF(VLOOKUP(Tb_Activiteiten[[#This Row],[Openstelling]],Tb_Openstelling[],2,0)=1,1,""),"")</f>
        <v/>
      </c>
      <c r="AK102" t="str">
        <f>IF(ISNUMBER(FIND("arbeid",Methode_Keuze)),"",IF(ISNUMBER(FIND("arbeid",Methode_Keuze)),"",IF(Tb_Activiteiten[[#This Row],[Loonkosten]]=1,Tb_Activiteiten[[#Headers],[Loonkosten]],"")))</f>
        <v/>
      </c>
      <c r="AL102" t="str">
        <f>IF(ISNUMBER(FIND("arbeid",Methode_Keuze)),"",IF(ISNUMBER(FIND("arbeid",Methode_Keuze)),"",IF(Tb_Activiteiten[[#This Row],[Eigen arbeid]]=1,Tb_Activiteiten[[#Headers],[Eigen arbeid]],"")))</f>
        <v/>
      </c>
      <c r="AM102" t="str">
        <f>IF(ISNUMBER(FIND("arbeid",Methode_Keuze)),"",IF(ISNUMBER(FIND("arbeid",Methode_Keuze)),"",IF(Tb_Activiteiten[[#This Row],[Projectmedewerker]]=1,Tb_Activiteiten[[#Headers],[Projectmedewerker]],"")))</f>
        <v/>
      </c>
      <c r="AN102" t="str">
        <f>IF(ISNUMBER(FIND("arbeid",Methode_Keuze)),"",IF(ISNUMBER(FIND("arbeid",Methode_Keuze)),"",IF(Tb_Activiteiten[[#This Row],[Landbouwer]]=1,Tb_Activiteiten[[#Headers],[Landbouwer]],"")))</f>
        <v/>
      </c>
      <c r="AO102" t="str">
        <f>IF(ISNUMBER(FIND("arbeid",Methode_Keuze)),"",IF(ISNUMBER(FIND("arbeid",Methode_Keuze)),"",IF(Tb_Activiteiten[[#This Row],[Adviseur]]=1,Tb_Activiteiten[[#Headers],[Adviseur]],"")))</f>
        <v/>
      </c>
      <c r="AP102" t="str">
        <f>IF(ISNUMBER(FIND("arbeid",Methode_Keuze)),"",IF(ISNUMBER(FIND("arbeid",Methode_Keuze)),"",IF(Tb_Activiteiten[[#This Row],[Projectleider/Expert]]=1,Tb_Activiteiten[[#Headers],[Projectleider/Expert]],"")))</f>
        <v/>
      </c>
      <c r="AQ102" t="str">
        <f>IF(ISNUMBER(FIND("arbeid",Methode_Keuze)),"",IF(ISNUMBER(FIND("arbeid",Methode_Keuze)),"",IF(Tb_Activiteiten[[#This Row],[Arbeidskosten]]=1,Tb_Activiteiten[[#Headers],[Arbeidskosten]],"")))</f>
        <v/>
      </c>
      <c r="AR102" t="str">
        <f>IF(ISNUMBER(FIND("arbeid",Methode_Keuze)),"",IF(ISNUMBER(FIND("arbeid",Methode_Keuze)),"",IF(Tb_Activiteiten[[#This Row],[Arbeidskosten op basis van IKS]]=1,Tb_Activiteiten[[#Headers],[Arbeidskosten op basis van IKS]],"")))</f>
        <v/>
      </c>
      <c r="AS102" t="str">
        <f>IF(ISNUMBER(FIND("overige",Methode_Keuze)),"",IF(Tb_Activiteiten[[#This Row],[Kosten derden exclusief btw]]=1,Tb_Activiteiten[[#Headers],[Kosten derden exclusief btw]],""))</f>
        <v/>
      </c>
      <c r="AT102" t="str">
        <f>IF(ISNUMBER(FIND("overige",Methode_Keuze)),"",IF(Tb_Activiteiten[[#This Row],[Niet verrekenbare btw]]=1,Tb_Activiteiten[[#Headers],[Niet verrekenbare btw]],""))</f>
        <v/>
      </c>
      <c r="AU102" t="str">
        <f>IF(ISNUMBER(FIND("overige",Methode_Keuze)),"",IF(Tb_Activiteiten[[#This Row],[Grondkosten]]=1,Tb_Activiteiten[[#Headers],[Grondkosten]],""))</f>
        <v/>
      </c>
      <c r="AV102" t="str">
        <f>IF(ISNUMBER(FIND("overige",Methode_Keuze)),"",IF(Tb_Activiteiten[[#This Row],[Bijdrage in natura (overige)]]=1,Tb_Activiteiten[[#Headers],[Bijdrage in natura (overige)]],""))</f>
        <v/>
      </c>
      <c r="AW102" t="str">
        <f>IF(ISNUMBER(FIND("overige",Methode_Keuze)),"",IF(Tb_Activiteiten[[#This Row],[Bijdrage in natura (vrijwilligers)]]=1,Tb_Activiteiten[[#Headers],[Bijdrage in natura (vrijwilligers)]],""))</f>
        <v/>
      </c>
      <c r="AX102" t="str">
        <f>IF(ISNUMBER(FIND("overige",Methode_Keuze)),"",IF(Tb_Activiteiten[[#This Row],[Afschrijvingskosten]]=1,Tb_Activiteiten[[#Headers],[Afschrijvingskosten]],""))</f>
        <v/>
      </c>
      <c r="AY102" t="str">
        <f>IF(ISNUMBER(FIND("overige",Methode_Keuze)),"",IF(Tb_Activiteiten[[#This Row],[Vergoeding]]=1,Tb_Activiteiten[[#Headers],[Vergoeding]],""))</f>
        <v/>
      </c>
      <c r="AZ102" t="str">
        <f>IF(ISNUMBER(FIND("arbeid",Methode_Keuze)),"",IF(Tb_Activiteiten[[#This Row],[Arbeidskosten - vast tarief (excl eigen arbeid)]]=1,Tb_Activiteiten[[#Headers],[Arbeidskosten - vast tarief (excl eigen arbeid)]],""))</f>
        <v/>
      </c>
      <c r="BA102" t="str">
        <f>IF(ISNUMBER(FIND("overige",Methode_Keuze)),"",IF(Tb_Activiteiten[[#This Row],[Overige kosten]]=1,Tb_Activiteiten[[#Headers],[Overige kosten]],""))</f>
        <v/>
      </c>
    </row>
    <row r="103" spans="1:53" x14ac:dyDescent="0.25">
      <c r="A103" s="231"/>
      <c r="F103" s="64"/>
      <c r="G103" s="64"/>
      <c r="H103" s="275"/>
      <c r="I103" s="275"/>
      <c r="J103" s="275"/>
      <c r="K103" s="275"/>
      <c r="O103" s="56"/>
      <c r="Q103" t="str">
        <f>IFERROR(IF(VLOOKUP(Tb_Activiteiten[[#This Row],[Openstelling]],Tb_Openstelling[],2,0)=1,1,""),"")</f>
        <v/>
      </c>
      <c r="AK103" t="str">
        <f>IF(ISNUMBER(FIND("arbeid",Methode_Keuze)),"",IF(ISNUMBER(FIND("arbeid",Methode_Keuze)),"",IF(Tb_Activiteiten[[#This Row],[Loonkosten]]=1,Tb_Activiteiten[[#Headers],[Loonkosten]],"")))</f>
        <v/>
      </c>
      <c r="AL103" t="str">
        <f>IF(ISNUMBER(FIND("arbeid",Methode_Keuze)),"",IF(ISNUMBER(FIND("arbeid",Methode_Keuze)),"",IF(Tb_Activiteiten[[#This Row],[Eigen arbeid]]=1,Tb_Activiteiten[[#Headers],[Eigen arbeid]],"")))</f>
        <v/>
      </c>
      <c r="AM103" t="str">
        <f>IF(ISNUMBER(FIND("arbeid",Methode_Keuze)),"",IF(ISNUMBER(FIND("arbeid",Methode_Keuze)),"",IF(Tb_Activiteiten[[#This Row],[Projectmedewerker]]=1,Tb_Activiteiten[[#Headers],[Projectmedewerker]],"")))</f>
        <v/>
      </c>
      <c r="AN103" t="str">
        <f>IF(ISNUMBER(FIND("arbeid",Methode_Keuze)),"",IF(ISNUMBER(FIND("arbeid",Methode_Keuze)),"",IF(Tb_Activiteiten[[#This Row],[Landbouwer]]=1,Tb_Activiteiten[[#Headers],[Landbouwer]],"")))</f>
        <v/>
      </c>
      <c r="AO103" t="str">
        <f>IF(ISNUMBER(FIND("arbeid",Methode_Keuze)),"",IF(ISNUMBER(FIND("arbeid",Methode_Keuze)),"",IF(Tb_Activiteiten[[#This Row],[Adviseur]]=1,Tb_Activiteiten[[#Headers],[Adviseur]],"")))</f>
        <v/>
      </c>
      <c r="AP103" t="str">
        <f>IF(ISNUMBER(FIND("arbeid",Methode_Keuze)),"",IF(ISNUMBER(FIND("arbeid",Methode_Keuze)),"",IF(Tb_Activiteiten[[#This Row],[Projectleider/Expert]]=1,Tb_Activiteiten[[#Headers],[Projectleider/Expert]],"")))</f>
        <v/>
      </c>
      <c r="AQ103" t="str">
        <f>IF(ISNUMBER(FIND("arbeid",Methode_Keuze)),"",IF(ISNUMBER(FIND("arbeid",Methode_Keuze)),"",IF(Tb_Activiteiten[[#This Row],[Arbeidskosten]]=1,Tb_Activiteiten[[#Headers],[Arbeidskosten]],"")))</f>
        <v/>
      </c>
      <c r="AR103" t="str">
        <f>IF(ISNUMBER(FIND("arbeid",Methode_Keuze)),"",IF(ISNUMBER(FIND("arbeid",Methode_Keuze)),"",IF(Tb_Activiteiten[[#This Row],[Arbeidskosten op basis van IKS]]=1,Tb_Activiteiten[[#Headers],[Arbeidskosten op basis van IKS]],"")))</f>
        <v/>
      </c>
      <c r="AS103" t="str">
        <f>IF(ISNUMBER(FIND("overige",Methode_Keuze)),"",IF(Tb_Activiteiten[[#This Row],[Kosten derden exclusief btw]]=1,Tb_Activiteiten[[#Headers],[Kosten derden exclusief btw]],""))</f>
        <v/>
      </c>
      <c r="AT103" t="str">
        <f>IF(ISNUMBER(FIND("overige",Methode_Keuze)),"",IF(Tb_Activiteiten[[#This Row],[Niet verrekenbare btw]]=1,Tb_Activiteiten[[#Headers],[Niet verrekenbare btw]],""))</f>
        <v/>
      </c>
      <c r="AU103" t="str">
        <f>IF(ISNUMBER(FIND("overige",Methode_Keuze)),"",IF(Tb_Activiteiten[[#This Row],[Grondkosten]]=1,Tb_Activiteiten[[#Headers],[Grondkosten]],""))</f>
        <v/>
      </c>
      <c r="AV103" t="str">
        <f>IF(ISNUMBER(FIND("overige",Methode_Keuze)),"",IF(Tb_Activiteiten[[#This Row],[Bijdrage in natura (overige)]]=1,Tb_Activiteiten[[#Headers],[Bijdrage in natura (overige)]],""))</f>
        <v/>
      </c>
      <c r="AW103" t="str">
        <f>IF(ISNUMBER(FIND("overige",Methode_Keuze)),"",IF(Tb_Activiteiten[[#This Row],[Bijdrage in natura (vrijwilligers)]]=1,Tb_Activiteiten[[#Headers],[Bijdrage in natura (vrijwilligers)]],""))</f>
        <v/>
      </c>
      <c r="AX103" t="str">
        <f>IF(ISNUMBER(FIND("overige",Methode_Keuze)),"",IF(Tb_Activiteiten[[#This Row],[Afschrijvingskosten]]=1,Tb_Activiteiten[[#Headers],[Afschrijvingskosten]],""))</f>
        <v/>
      </c>
      <c r="AY103" t="str">
        <f>IF(ISNUMBER(FIND("overige",Methode_Keuze)),"",IF(Tb_Activiteiten[[#This Row],[Vergoeding]]=1,Tb_Activiteiten[[#Headers],[Vergoeding]],""))</f>
        <v/>
      </c>
      <c r="AZ103" t="str">
        <f>IF(ISNUMBER(FIND("arbeid",Methode_Keuze)),"",IF(Tb_Activiteiten[[#This Row],[Arbeidskosten - vast tarief (excl eigen arbeid)]]=1,Tb_Activiteiten[[#Headers],[Arbeidskosten - vast tarief (excl eigen arbeid)]],""))</f>
        <v/>
      </c>
      <c r="BA103" t="str">
        <f>IF(ISNUMBER(FIND("overige",Methode_Keuze)),"",IF(Tb_Activiteiten[[#This Row],[Overige kosten]]=1,Tb_Activiteiten[[#Headers],[Overige kosten]],""))</f>
        <v/>
      </c>
    </row>
    <row r="104" spans="1:53" x14ac:dyDescent="0.25">
      <c r="A104" s="231"/>
      <c r="F104" s="64"/>
      <c r="G104" s="64"/>
      <c r="H104" s="275"/>
      <c r="I104" s="275"/>
      <c r="J104" s="275"/>
      <c r="K104" s="275"/>
      <c r="O104" s="56"/>
      <c r="Q104" t="str">
        <f>IFERROR(IF(VLOOKUP(Tb_Activiteiten[[#This Row],[Openstelling]],Tb_Openstelling[],2,0)=1,1,""),"")</f>
        <v/>
      </c>
      <c r="AK104" t="str">
        <f>IF(ISNUMBER(FIND("arbeid",Methode_Keuze)),"",IF(ISNUMBER(FIND("arbeid",Methode_Keuze)),"",IF(Tb_Activiteiten[[#This Row],[Loonkosten]]=1,Tb_Activiteiten[[#Headers],[Loonkosten]],"")))</f>
        <v/>
      </c>
      <c r="AL104" t="str">
        <f>IF(ISNUMBER(FIND("arbeid",Methode_Keuze)),"",IF(ISNUMBER(FIND("arbeid",Methode_Keuze)),"",IF(Tb_Activiteiten[[#This Row],[Eigen arbeid]]=1,Tb_Activiteiten[[#Headers],[Eigen arbeid]],"")))</f>
        <v/>
      </c>
      <c r="AM104" t="str">
        <f>IF(ISNUMBER(FIND("arbeid",Methode_Keuze)),"",IF(ISNUMBER(FIND("arbeid",Methode_Keuze)),"",IF(Tb_Activiteiten[[#This Row],[Projectmedewerker]]=1,Tb_Activiteiten[[#Headers],[Projectmedewerker]],"")))</f>
        <v/>
      </c>
      <c r="AN104" t="str">
        <f>IF(ISNUMBER(FIND("arbeid",Methode_Keuze)),"",IF(ISNUMBER(FIND("arbeid",Methode_Keuze)),"",IF(Tb_Activiteiten[[#This Row],[Landbouwer]]=1,Tb_Activiteiten[[#Headers],[Landbouwer]],"")))</f>
        <v/>
      </c>
      <c r="AO104" t="str">
        <f>IF(ISNUMBER(FIND("arbeid",Methode_Keuze)),"",IF(ISNUMBER(FIND("arbeid",Methode_Keuze)),"",IF(Tb_Activiteiten[[#This Row],[Adviseur]]=1,Tb_Activiteiten[[#Headers],[Adviseur]],"")))</f>
        <v/>
      </c>
      <c r="AP104" t="str">
        <f>IF(ISNUMBER(FIND("arbeid",Methode_Keuze)),"",IF(ISNUMBER(FIND("arbeid",Methode_Keuze)),"",IF(Tb_Activiteiten[[#This Row],[Projectleider/Expert]]=1,Tb_Activiteiten[[#Headers],[Projectleider/Expert]],"")))</f>
        <v/>
      </c>
      <c r="AQ104" t="str">
        <f>IF(ISNUMBER(FIND("arbeid",Methode_Keuze)),"",IF(ISNUMBER(FIND("arbeid",Methode_Keuze)),"",IF(Tb_Activiteiten[[#This Row],[Arbeidskosten]]=1,Tb_Activiteiten[[#Headers],[Arbeidskosten]],"")))</f>
        <v/>
      </c>
      <c r="AR104" t="str">
        <f>IF(ISNUMBER(FIND("arbeid",Methode_Keuze)),"",IF(ISNUMBER(FIND("arbeid",Methode_Keuze)),"",IF(Tb_Activiteiten[[#This Row],[Arbeidskosten op basis van IKS]]=1,Tb_Activiteiten[[#Headers],[Arbeidskosten op basis van IKS]],"")))</f>
        <v/>
      </c>
      <c r="AS104" t="str">
        <f>IF(ISNUMBER(FIND("overige",Methode_Keuze)),"",IF(Tb_Activiteiten[[#This Row],[Kosten derden exclusief btw]]=1,Tb_Activiteiten[[#Headers],[Kosten derden exclusief btw]],""))</f>
        <v/>
      </c>
      <c r="AT104" t="str">
        <f>IF(ISNUMBER(FIND("overige",Methode_Keuze)),"",IF(Tb_Activiteiten[[#This Row],[Niet verrekenbare btw]]=1,Tb_Activiteiten[[#Headers],[Niet verrekenbare btw]],""))</f>
        <v/>
      </c>
      <c r="AU104" t="str">
        <f>IF(ISNUMBER(FIND("overige",Methode_Keuze)),"",IF(Tb_Activiteiten[[#This Row],[Grondkosten]]=1,Tb_Activiteiten[[#Headers],[Grondkosten]],""))</f>
        <v/>
      </c>
      <c r="AV104" t="str">
        <f>IF(ISNUMBER(FIND("overige",Methode_Keuze)),"",IF(Tb_Activiteiten[[#This Row],[Bijdrage in natura (overige)]]=1,Tb_Activiteiten[[#Headers],[Bijdrage in natura (overige)]],""))</f>
        <v/>
      </c>
      <c r="AW104" t="str">
        <f>IF(ISNUMBER(FIND("overige",Methode_Keuze)),"",IF(Tb_Activiteiten[[#This Row],[Bijdrage in natura (vrijwilligers)]]=1,Tb_Activiteiten[[#Headers],[Bijdrage in natura (vrijwilligers)]],""))</f>
        <v/>
      </c>
      <c r="AX104" t="str">
        <f>IF(ISNUMBER(FIND("overige",Methode_Keuze)),"",IF(Tb_Activiteiten[[#This Row],[Afschrijvingskosten]]=1,Tb_Activiteiten[[#Headers],[Afschrijvingskosten]],""))</f>
        <v/>
      </c>
      <c r="AY104" t="str">
        <f>IF(ISNUMBER(FIND("overige",Methode_Keuze)),"",IF(Tb_Activiteiten[[#This Row],[Vergoeding]]=1,Tb_Activiteiten[[#Headers],[Vergoeding]],""))</f>
        <v/>
      </c>
      <c r="AZ104" t="str">
        <f>IF(ISNUMBER(FIND("arbeid",Methode_Keuze)),"",IF(Tb_Activiteiten[[#This Row],[Arbeidskosten - vast tarief (excl eigen arbeid)]]=1,Tb_Activiteiten[[#Headers],[Arbeidskosten - vast tarief (excl eigen arbeid)]],""))</f>
        <v/>
      </c>
      <c r="BA104" t="str">
        <f>IF(ISNUMBER(FIND("overige",Methode_Keuze)),"",IF(Tb_Activiteiten[[#This Row],[Overige kosten]]=1,Tb_Activiteiten[[#Headers],[Overige kosten]],""))</f>
        <v/>
      </c>
    </row>
    <row r="105" spans="1:53" x14ac:dyDescent="0.25">
      <c r="A105" s="231"/>
      <c r="F105" s="64"/>
      <c r="G105" s="64"/>
      <c r="H105" s="275"/>
      <c r="I105" s="275"/>
      <c r="J105" s="275"/>
      <c r="K105" s="275"/>
      <c r="O105" s="56"/>
      <c r="Q105" t="str">
        <f>IFERROR(IF(VLOOKUP(Tb_Activiteiten[[#This Row],[Openstelling]],Tb_Openstelling[],2,0)=1,1,""),"")</f>
        <v/>
      </c>
      <c r="AK105" t="str">
        <f>IF(ISNUMBER(FIND("arbeid",Methode_Keuze)),"",IF(ISNUMBER(FIND("arbeid",Methode_Keuze)),"",IF(Tb_Activiteiten[[#This Row],[Loonkosten]]=1,Tb_Activiteiten[[#Headers],[Loonkosten]],"")))</f>
        <v/>
      </c>
      <c r="AL105" t="str">
        <f>IF(ISNUMBER(FIND("arbeid",Methode_Keuze)),"",IF(ISNUMBER(FIND("arbeid",Methode_Keuze)),"",IF(Tb_Activiteiten[[#This Row],[Eigen arbeid]]=1,Tb_Activiteiten[[#Headers],[Eigen arbeid]],"")))</f>
        <v/>
      </c>
      <c r="AM105" t="str">
        <f>IF(ISNUMBER(FIND("arbeid",Methode_Keuze)),"",IF(ISNUMBER(FIND("arbeid",Methode_Keuze)),"",IF(Tb_Activiteiten[[#This Row],[Projectmedewerker]]=1,Tb_Activiteiten[[#Headers],[Projectmedewerker]],"")))</f>
        <v/>
      </c>
      <c r="AN105" t="str">
        <f>IF(ISNUMBER(FIND("arbeid",Methode_Keuze)),"",IF(ISNUMBER(FIND("arbeid",Methode_Keuze)),"",IF(Tb_Activiteiten[[#This Row],[Landbouwer]]=1,Tb_Activiteiten[[#Headers],[Landbouwer]],"")))</f>
        <v/>
      </c>
      <c r="AO105" t="str">
        <f>IF(ISNUMBER(FIND("arbeid",Methode_Keuze)),"",IF(ISNUMBER(FIND("arbeid",Methode_Keuze)),"",IF(Tb_Activiteiten[[#This Row],[Adviseur]]=1,Tb_Activiteiten[[#Headers],[Adviseur]],"")))</f>
        <v/>
      </c>
      <c r="AP105" t="str">
        <f>IF(ISNUMBER(FIND("arbeid",Methode_Keuze)),"",IF(ISNUMBER(FIND("arbeid",Methode_Keuze)),"",IF(Tb_Activiteiten[[#This Row],[Projectleider/Expert]]=1,Tb_Activiteiten[[#Headers],[Projectleider/Expert]],"")))</f>
        <v/>
      </c>
      <c r="AQ105" t="str">
        <f>IF(ISNUMBER(FIND("arbeid",Methode_Keuze)),"",IF(ISNUMBER(FIND("arbeid",Methode_Keuze)),"",IF(Tb_Activiteiten[[#This Row],[Arbeidskosten]]=1,Tb_Activiteiten[[#Headers],[Arbeidskosten]],"")))</f>
        <v/>
      </c>
      <c r="AR105" t="str">
        <f>IF(ISNUMBER(FIND("arbeid",Methode_Keuze)),"",IF(ISNUMBER(FIND("arbeid",Methode_Keuze)),"",IF(Tb_Activiteiten[[#This Row],[Arbeidskosten op basis van IKS]]=1,Tb_Activiteiten[[#Headers],[Arbeidskosten op basis van IKS]],"")))</f>
        <v/>
      </c>
      <c r="AS105" t="str">
        <f>IF(ISNUMBER(FIND("overige",Methode_Keuze)),"",IF(Tb_Activiteiten[[#This Row],[Kosten derden exclusief btw]]=1,Tb_Activiteiten[[#Headers],[Kosten derden exclusief btw]],""))</f>
        <v/>
      </c>
      <c r="AT105" t="str">
        <f>IF(ISNUMBER(FIND("overige",Methode_Keuze)),"",IF(Tb_Activiteiten[[#This Row],[Niet verrekenbare btw]]=1,Tb_Activiteiten[[#Headers],[Niet verrekenbare btw]],""))</f>
        <v/>
      </c>
      <c r="AU105" t="str">
        <f>IF(ISNUMBER(FIND("overige",Methode_Keuze)),"",IF(Tb_Activiteiten[[#This Row],[Grondkosten]]=1,Tb_Activiteiten[[#Headers],[Grondkosten]],""))</f>
        <v/>
      </c>
      <c r="AV105" t="str">
        <f>IF(ISNUMBER(FIND("overige",Methode_Keuze)),"",IF(Tb_Activiteiten[[#This Row],[Bijdrage in natura (overige)]]=1,Tb_Activiteiten[[#Headers],[Bijdrage in natura (overige)]],""))</f>
        <v/>
      </c>
      <c r="AW105" t="str">
        <f>IF(ISNUMBER(FIND("overige",Methode_Keuze)),"",IF(Tb_Activiteiten[[#This Row],[Bijdrage in natura (vrijwilligers)]]=1,Tb_Activiteiten[[#Headers],[Bijdrage in natura (vrijwilligers)]],""))</f>
        <v/>
      </c>
      <c r="AX105" t="str">
        <f>IF(ISNUMBER(FIND("overige",Methode_Keuze)),"",IF(Tb_Activiteiten[[#This Row],[Afschrijvingskosten]]=1,Tb_Activiteiten[[#Headers],[Afschrijvingskosten]],""))</f>
        <v/>
      </c>
      <c r="AY105" t="str">
        <f>IF(ISNUMBER(FIND("overige",Methode_Keuze)),"",IF(Tb_Activiteiten[[#This Row],[Vergoeding]]=1,Tb_Activiteiten[[#Headers],[Vergoeding]],""))</f>
        <v/>
      </c>
      <c r="AZ105" t="str">
        <f>IF(ISNUMBER(FIND("arbeid",Methode_Keuze)),"",IF(Tb_Activiteiten[[#This Row],[Arbeidskosten - vast tarief (excl eigen arbeid)]]=1,Tb_Activiteiten[[#Headers],[Arbeidskosten - vast tarief (excl eigen arbeid)]],""))</f>
        <v/>
      </c>
      <c r="BA105" t="str">
        <f>IF(ISNUMBER(FIND("overige",Methode_Keuze)),"",IF(Tb_Activiteiten[[#This Row],[Overige kosten]]=1,Tb_Activiteiten[[#Headers],[Overige kosten]],""))</f>
        <v/>
      </c>
    </row>
    <row r="106" spans="1:53" x14ac:dyDescent="0.25">
      <c r="A106" s="231"/>
      <c r="F106" s="64"/>
      <c r="G106" s="64"/>
      <c r="H106" s="275"/>
      <c r="I106" s="275"/>
      <c r="J106" s="275"/>
      <c r="K106" s="275"/>
      <c r="O106" s="56"/>
      <c r="Q106" t="str">
        <f>IFERROR(IF(VLOOKUP(Tb_Activiteiten[[#This Row],[Openstelling]],Tb_Openstelling[],2,0)=1,1,""),"")</f>
        <v/>
      </c>
      <c r="AK106" t="str">
        <f>IF(ISNUMBER(FIND("arbeid",Methode_Keuze)),"",IF(ISNUMBER(FIND("arbeid",Methode_Keuze)),"",IF(Tb_Activiteiten[[#This Row],[Loonkosten]]=1,Tb_Activiteiten[[#Headers],[Loonkosten]],"")))</f>
        <v/>
      </c>
      <c r="AL106" t="str">
        <f>IF(ISNUMBER(FIND("arbeid",Methode_Keuze)),"",IF(ISNUMBER(FIND("arbeid",Methode_Keuze)),"",IF(Tb_Activiteiten[[#This Row],[Eigen arbeid]]=1,Tb_Activiteiten[[#Headers],[Eigen arbeid]],"")))</f>
        <v/>
      </c>
      <c r="AM106" t="str">
        <f>IF(ISNUMBER(FIND("arbeid",Methode_Keuze)),"",IF(ISNUMBER(FIND("arbeid",Methode_Keuze)),"",IF(Tb_Activiteiten[[#This Row],[Projectmedewerker]]=1,Tb_Activiteiten[[#Headers],[Projectmedewerker]],"")))</f>
        <v/>
      </c>
      <c r="AN106" t="str">
        <f>IF(ISNUMBER(FIND("arbeid",Methode_Keuze)),"",IF(ISNUMBER(FIND("arbeid",Methode_Keuze)),"",IF(Tb_Activiteiten[[#This Row],[Landbouwer]]=1,Tb_Activiteiten[[#Headers],[Landbouwer]],"")))</f>
        <v/>
      </c>
      <c r="AO106" t="str">
        <f>IF(ISNUMBER(FIND("arbeid",Methode_Keuze)),"",IF(ISNUMBER(FIND("arbeid",Methode_Keuze)),"",IF(Tb_Activiteiten[[#This Row],[Adviseur]]=1,Tb_Activiteiten[[#Headers],[Adviseur]],"")))</f>
        <v/>
      </c>
      <c r="AP106" t="str">
        <f>IF(ISNUMBER(FIND("arbeid",Methode_Keuze)),"",IF(ISNUMBER(FIND("arbeid",Methode_Keuze)),"",IF(Tb_Activiteiten[[#This Row],[Projectleider/Expert]]=1,Tb_Activiteiten[[#Headers],[Projectleider/Expert]],"")))</f>
        <v/>
      </c>
      <c r="AQ106" t="str">
        <f>IF(ISNUMBER(FIND("arbeid",Methode_Keuze)),"",IF(ISNUMBER(FIND("arbeid",Methode_Keuze)),"",IF(Tb_Activiteiten[[#This Row],[Arbeidskosten]]=1,Tb_Activiteiten[[#Headers],[Arbeidskosten]],"")))</f>
        <v/>
      </c>
      <c r="AR106" t="str">
        <f>IF(ISNUMBER(FIND("arbeid",Methode_Keuze)),"",IF(ISNUMBER(FIND("arbeid",Methode_Keuze)),"",IF(Tb_Activiteiten[[#This Row],[Arbeidskosten op basis van IKS]]=1,Tb_Activiteiten[[#Headers],[Arbeidskosten op basis van IKS]],"")))</f>
        <v/>
      </c>
      <c r="AS106" t="str">
        <f>IF(ISNUMBER(FIND("overige",Methode_Keuze)),"",IF(Tb_Activiteiten[[#This Row],[Kosten derden exclusief btw]]=1,Tb_Activiteiten[[#Headers],[Kosten derden exclusief btw]],""))</f>
        <v/>
      </c>
      <c r="AT106" t="str">
        <f>IF(ISNUMBER(FIND("overige",Methode_Keuze)),"",IF(Tb_Activiteiten[[#This Row],[Niet verrekenbare btw]]=1,Tb_Activiteiten[[#Headers],[Niet verrekenbare btw]],""))</f>
        <v/>
      </c>
      <c r="AU106" t="str">
        <f>IF(ISNUMBER(FIND("overige",Methode_Keuze)),"",IF(Tb_Activiteiten[[#This Row],[Grondkosten]]=1,Tb_Activiteiten[[#Headers],[Grondkosten]],""))</f>
        <v/>
      </c>
      <c r="AV106" t="str">
        <f>IF(ISNUMBER(FIND("overige",Methode_Keuze)),"",IF(Tb_Activiteiten[[#This Row],[Bijdrage in natura (overige)]]=1,Tb_Activiteiten[[#Headers],[Bijdrage in natura (overige)]],""))</f>
        <v/>
      </c>
      <c r="AW106" t="str">
        <f>IF(ISNUMBER(FIND("overige",Methode_Keuze)),"",IF(Tb_Activiteiten[[#This Row],[Bijdrage in natura (vrijwilligers)]]=1,Tb_Activiteiten[[#Headers],[Bijdrage in natura (vrijwilligers)]],""))</f>
        <v/>
      </c>
      <c r="AX106" t="str">
        <f>IF(ISNUMBER(FIND("overige",Methode_Keuze)),"",IF(Tb_Activiteiten[[#This Row],[Afschrijvingskosten]]=1,Tb_Activiteiten[[#Headers],[Afschrijvingskosten]],""))</f>
        <v/>
      </c>
      <c r="AY106" t="str">
        <f>IF(ISNUMBER(FIND("overige",Methode_Keuze)),"",IF(Tb_Activiteiten[[#This Row],[Vergoeding]]=1,Tb_Activiteiten[[#Headers],[Vergoeding]],""))</f>
        <v/>
      </c>
      <c r="AZ106" t="str">
        <f>IF(ISNUMBER(FIND("arbeid",Methode_Keuze)),"",IF(Tb_Activiteiten[[#This Row],[Arbeidskosten - vast tarief (excl eigen arbeid)]]=1,Tb_Activiteiten[[#Headers],[Arbeidskosten - vast tarief (excl eigen arbeid)]],""))</f>
        <v/>
      </c>
      <c r="BA106" t="str">
        <f>IF(ISNUMBER(FIND("overige",Methode_Keuze)),"",IF(Tb_Activiteiten[[#This Row],[Overige kosten]]=1,Tb_Activiteiten[[#Headers],[Overige kosten]],""))</f>
        <v/>
      </c>
    </row>
    <row r="107" spans="1:53" x14ac:dyDescent="0.25">
      <c r="A107" s="231"/>
      <c r="F107" s="64"/>
      <c r="G107" s="64"/>
      <c r="H107" s="275"/>
      <c r="I107" s="275"/>
      <c r="J107" s="275"/>
      <c r="K107" s="275"/>
      <c r="O107" s="56"/>
      <c r="Q107" t="str">
        <f>IFERROR(IF(VLOOKUP(Tb_Activiteiten[[#This Row],[Openstelling]],Tb_Openstelling[],2,0)=1,1,""),"")</f>
        <v/>
      </c>
      <c r="AK107" t="str">
        <f>IF(ISNUMBER(FIND("arbeid",Methode_Keuze)),"",IF(ISNUMBER(FIND("arbeid",Methode_Keuze)),"",IF(Tb_Activiteiten[[#This Row],[Loonkosten]]=1,Tb_Activiteiten[[#Headers],[Loonkosten]],"")))</f>
        <v/>
      </c>
      <c r="AL107" t="str">
        <f>IF(ISNUMBER(FIND("arbeid",Methode_Keuze)),"",IF(ISNUMBER(FIND("arbeid",Methode_Keuze)),"",IF(Tb_Activiteiten[[#This Row],[Eigen arbeid]]=1,Tb_Activiteiten[[#Headers],[Eigen arbeid]],"")))</f>
        <v/>
      </c>
      <c r="AM107" t="str">
        <f>IF(ISNUMBER(FIND("arbeid",Methode_Keuze)),"",IF(ISNUMBER(FIND("arbeid",Methode_Keuze)),"",IF(Tb_Activiteiten[[#This Row],[Projectmedewerker]]=1,Tb_Activiteiten[[#Headers],[Projectmedewerker]],"")))</f>
        <v/>
      </c>
      <c r="AN107" t="str">
        <f>IF(ISNUMBER(FIND("arbeid",Methode_Keuze)),"",IF(ISNUMBER(FIND("arbeid",Methode_Keuze)),"",IF(Tb_Activiteiten[[#This Row],[Landbouwer]]=1,Tb_Activiteiten[[#Headers],[Landbouwer]],"")))</f>
        <v/>
      </c>
      <c r="AO107" t="str">
        <f>IF(ISNUMBER(FIND("arbeid",Methode_Keuze)),"",IF(ISNUMBER(FIND("arbeid",Methode_Keuze)),"",IF(Tb_Activiteiten[[#This Row],[Adviseur]]=1,Tb_Activiteiten[[#Headers],[Adviseur]],"")))</f>
        <v/>
      </c>
      <c r="AP107" t="str">
        <f>IF(ISNUMBER(FIND("arbeid",Methode_Keuze)),"",IF(ISNUMBER(FIND("arbeid",Methode_Keuze)),"",IF(Tb_Activiteiten[[#This Row],[Projectleider/Expert]]=1,Tb_Activiteiten[[#Headers],[Projectleider/Expert]],"")))</f>
        <v/>
      </c>
      <c r="AQ107" t="str">
        <f>IF(ISNUMBER(FIND("arbeid",Methode_Keuze)),"",IF(ISNUMBER(FIND("arbeid",Methode_Keuze)),"",IF(Tb_Activiteiten[[#This Row],[Arbeidskosten]]=1,Tb_Activiteiten[[#Headers],[Arbeidskosten]],"")))</f>
        <v/>
      </c>
      <c r="AR107" t="str">
        <f>IF(ISNUMBER(FIND("arbeid",Methode_Keuze)),"",IF(ISNUMBER(FIND("arbeid",Methode_Keuze)),"",IF(Tb_Activiteiten[[#This Row],[Arbeidskosten op basis van IKS]]=1,Tb_Activiteiten[[#Headers],[Arbeidskosten op basis van IKS]],"")))</f>
        <v/>
      </c>
      <c r="AS107" t="str">
        <f>IF(ISNUMBER(FIND("overige",Methode_Keuze)),"",IF(Tb_Activiteiten[[#This Row],[Kosten derden exclusief btw]]=1,Tb_Activiteiten[[#Headers],[Kosten derden exclusief btw]],""))</f>
        <v/>
      </c>
      <c r="AT107" t="str">
        <f>IF(ISNUMBER(FIND("overige",Methode_Keuze)),"",IF(Tb_Activiteiten[[#This Row],[Niet verrekenbare btw]]=1,Tb_Activiteiten[[#Headers],[Niet verrekenbare btw]],""))</f>
        <v/>
      </c>
      <c r="AU107" t="str">
        <f>IF(ISNUMBER(FIND("overige",Methode_Keuze)),"",IF(Tb_Activiteiten[[#This Row],[Grondkosten]]=1,Tb_Activiteiten[[#Headers],[Grondkosten]],""))</f>
        <v/>
      </c>
      <c r="AV107" t="str">
        <f>IF(ISNUMBER(FIND("overige",Methode_Keuze)),"",IF(Tb_Activiteiten[[#This Row],[Bijdrage in natura (overige)]]=1,Tb_Activiteiten[[#Headers],[Bijdrage in natura (overige)]],""))</f>
        <v/>
      </c>
      <c r="AW107" t="str">
        <f>IF(ISNUMBER(FIND("overige",Methode_Keuze)),"",IF(Tb_Activiteiten[[#This Row],[Bijdrage in natura (vrijwilligers)]]=1,Tb_Activiteiten[[#Headers],[Bijdrage in natura (vrijwilligers)]],""))</f>
        <v/>
      </c>
      <c r="AX107" t="str">
        <f>IF(ISNUMBER(FIND("overige",Methode_Keuze)),"",IF(Tb_Activiteiten[[#This Row],[Afschrijvingskosten]]=1,Tb_Activiteiten[[#Headers],[Afschrijvingskosten]],""))</f>
        <v/>
      </c>
      <c r="AY107" t="str">
        <f>IF(ISNUMBER(FIND("overige",Methode_Keuze)),"",IF(Tb_Activiteiten[[#This Row],[Vergoeding]]=1,Tb_Activiteiten[[#Headers],[Vergoeding]],""))</f>
        <v/>
      </c>
      <c r="AZ107" t="str">
        <f>IF(ISNUMBER(FIND("arbeid",Methode_Keuze)),"",IF(Tb_Activiteiten[[#This Row],[Arbeidskosten - vast tarief (excl eigen arbeid)]]=1,Tb_Activiteiten[[#Headers],[Arbeidskosten - vast tarief (excl eigen arbeid)]],""))</f>
        <v/>
      </c>
      <c r="BA107" t="str">
        <f>IF(ISNUMBER(FIND("overige",Methode_Keuze)),"",IF(Tb_Activiteiten[[#This Row],[Overige kosten]]=1,Tb_Activiteiten[[#Headers],[Overige kosten]],""))</f>
        <v/>
      </c>
    </row>
    <row r="108" spans="1:53" x14ac:dyDescent="0.25">
      <c r="A108" s="231"/>
      <c r="F108" s="64"/>
      <c r="G108" s="64"/>
      <c r="H108" s="275"/>
      <c r="I108" s="275"/>
      <c r="J108" s="275"/>
      <c r="K108" s="275"/>
      <c r="O108" s="56"/>
      <c r="Q108" t="str">
        <f>IFERROR(IF(VLOOKUP(Tb_Activiteiten[[#This Row],[Openstelling]],Tb_Openstelling[],2,0)=1,1,""),"")</f>
        <v/>
      </c>
      <c r="AK108" t="str">
        <f>IF(ISNUMBER(FIND("arbeid",Methode_Keuze)),"",IF(ISNUMBER(FIND("arbeid",Methode_Keuze)),"",IF(Tb_Activiteiten[[#This Row],[Loonkosten]]=1,Tb_Activiteiten[[#Headers],[Loonkosten]],"")))</f>
        <v/>
      </c>
      <c r="AL108" t="str">
        <f>IF(ISNUMBER(FIND("arbeid",Methode_Keuze)),"",IF(ISNUMBER(FIND("arbeid",Methode_Keuze)),"",IF(Tb_Activiteiten[[#This Row],[Eigen arbeid]]=1,Tb_Activiteiten[[#Headers],[Eigen arbeid]],"")))</f>
        <v/>
      </c>
      <c r="AM108" t="str">
        <f>IF(ISNUMBER(FIND("arbeid",Methode_Keuze)),"",IF(ISNUMBER(FIND("arbeid",Methode_Keuze)),"",IF(Tb_Activiteiten[[#This Row],[Projectmedewerker]]=1,Tb_Activiteiten[[#Headers],[Projectmedewerker]],"")))</f>
        <v/>
      </c>
      <c r="AN108" t="str">
        <f>IF(ISNUMBER(FIND("arbeid",Methode_Keuze)),"",IF(ISNUMBER(FIND("arbeid",Methode_Keuze)),"",IF(Tb_Activiteiten[[#This Row],[Landbouwer]]=1,Tb_Activiteiten[[#Headers],[Landbouwer]],"")))</f>
        <v/>
      </c>
      <c r="AO108" t="str">
        <f>IF(ISNUMBER(FIND("arbeid",Methode_Keuze)),"",IF(ISNUMBER(FIND("arbeid",Methode_Keuze)),"",IF(Tb_Activiteiten[[#This Row],[Adviseur]]=1,Tb_Activiteiten[[#Headers],[Adviseur]],"")))</f>
        <v/>
      </c>
      <c r="AP108" t="str">
        <f>IF(ISNUMBER(FIND("arbeid",Methode_Keuze)),"",IF(ISNUMBER(FIND("arbeid",Methode_Keuze)),"",IF(Tb_Activiteiten[[#This Row],[Projectleider/Expert]]=1,Tb_Activiteiten[[#Headers],[Projectleider/Expert]],"")))</f>
        <v/>
      </c>
      <c r="AQ108" t="str">
        <f>IF(ISNUMBER(FIND("arbeid",Methode_Keuze)),"",IF(ISNUMBER(FIND("arbeid",Methode_Keuze)),"",IF(Tb_Activiteiten[[#This Row],[Arbeidskosten]]=1,Tb_Activiteiten[[#Headers],[Arbeidskosten]],"")))</f>
        <v/>
      </c>
      <c r="AR108" t="str">
        <f>IF(ISNUMBER(FIND("arbeid",Methode_Keuze)),"",IF(ISNUMBER(FIND("arbeid",Methode_Keuze)),"",IF(Tb_Activiteiten[[#This Row],[Arbeidskosten op basis van IKS]]=1,Tb_Activiteiten[[#Headers],[Arbeidskosten op basis van IKS]],"")))</f>
        <v/>
      </c>
      <c r="AS108" t="str">
        <f>IF(ISNUMBER(FIND("overige",Methode_Keuze)),"",IF(Tb_Activiteiten[[#This Row],[Kosten derden exclusief btw]]=1,Tb_Activiteiten[[#Headers],[Kosten derden exclusief btw]],""))</f>
        <v/>
      </c>
      <c r="AT108" t="str">
        <f>IF(ISNUMBER(FIND("overige",Methode_Keuze)),"",IF(Tb_Activiteiten[[#This Row],[Niet verrekenbare btw]]=1,Tb_Activiteiten[[#Headers],[Niet verrekenbare btw]],""))</f>
        <v/>
      </c>
      <c r="AU108" t="str">
        <f>IF(ISNUMBER(FIND("overige",Methode_Keuze)),"",IF(Tb_Activiteiten[[#This Row],[Grondkosten]]=1,Tb_Activiteiten[[#Headers],[Grondkosten]],""))</f>
        <v/>
      </c>
      <c r="AV108" t="str">
        <f>IF(ISNUMBER(FIND("overige",Methode_Keuze)),"",IF(Tb_Activiteiten[[#This Row],[Bijdrage in natura (overige)]]=1,Tb_Activiteiten[[#Headers],[Bijdrage in natura (overige)]],""))</f>
        <v/>
      </c>
      <c r="AW108" t="str">
        <f>IF(ISNUMBER(FIND("overige",Methode_Keuze)),"",IF(Tb_Activiteiten[[#This Row],[Bijdrage in natura (vrijwilligers)]]=1,Tb_Activiteiten[[#Headers],[Bijdrage in natura (vrijwilligers)]],""))</f>
        <v/>
      </c>
      <c r="AX108" t="str">
        <f>IF(ISNUMBER(FIND("overige",Methode_Keuze)),"",IF(Tb_Activiteiten[[#This Row],[Afschrijvingskosten]]=1,Tb_Activiteiten[[#Headers],[Afschrijvingskosten]],""))</f>
        <v/>
      </c>
      <c r="AY108" t="str">
        <f>IF(ISNUMBER(FIND("overige",Methode_Keuze)),"",IF(Tb_Activiteiten[[#This Row],[Vergoeding]]=1,Tb_Activiteiten[[#Headers],[Vergoeding]],""))</f>
        <v/>
      </c>
      <c r="AZ108" t="str">
        <f>IF(ISNUMBER(FIND("arbeid",Methode_Keuze)),"",IF(Tb_Activiteiten[[#This Row],[Arbeidskosten - vast tarief (excl eigen arbeid)]]=1,Tb_Activiteiten[[#Headers],[Arbeidskosten - vast tarief (excl eigen arbeid)]],""))</f>
        <v/>
      </c>
      <c r="BA108" t="str">
        <f>IF(ISNUMBER(FIND("overige",Methode_Keuze)),"",IF(Tb_Activiteiten[[#This Row],[Overige kosten]]=1,Tb_Activiteiten[[#Headers],[Overige kosten]],""))</f>
        <v/>
      </c>
    </row>
    <row r="109" spans="1:53" x14ac:dyDescent="0.25">
      <c r="A109" s="231"/>
      <c r="F109" s="64"/>
      <c r="G109" s="64"/>
      <c r="H109" s="275"/>
      <c r="I109" s="275"/>
      <c r="J109" s="275"/>
      <c r="K109" s="275"/>
      <c r="O109" s="56"/>
      <c r="Q109" t="str">
        <f>IFERROR(IF(VLOOKUP(Tb_Activiteiten[[#This Row],[Openstelling]],Tb_Openstelling[],2,0)=1,1,""),"")</f>
        <v/>
      </c>
      <c r="AK109" t="str">
        <f>IF(ISNUMBER(FIND("arbeid",Methode_Keuze)),"",IF(ISNUMBER(FIND("arbeid",Methode_Keuze)),"",IF(Tb_Activiteiten[[#This Row],[Loonkosten]]=1,Tb_Activiteiten[[#Headers],[Loonkosten]],"")))</f>
        <v/>
      </c>
      <c r="AL109" t="str">
        <f>IF(ISNUMBER(FIND("arbeid",Methode_Keuze)),"",IF(ISNUMBER(FIND("arbeid",Methode_Keuze)),"",IF(Tb_Activiteiten[[#This Row],[Eigen arbeid]]=1,Tb_Activiteiten[[#Headers],[Eigen arbeid]],"")))</f>
        <v/>
      </c>
      <c r="AM109" t="str">
        <f>IF(ISNUMBER(FIND("arbeid",Methode_Keuze)),"",IF(ISNUMBER(FIND("arbeid",Methode_Keuze)),"",IF(Tb_Activiteiten[[#This Row],[Projectmedewerker]]=1,Tb_Activiteiten[[#Headers],[Projectmedewerker]],"")))</f>
        <v/>
      </c>
      <c r="AN109" t="str">
        <f>IF(ISNUMBER(FIND("arbeid",Methode_Keuze)),"",IF(ISNUMBER(FIND("arbeid",Methode_Keuze)),"",IF(Tb_Activiteiten[[#This Row],[Landbouwer]]=1,Tb_Activiteiten[[#Headers],[Landbouwer]],"")))</f>
        <v/>
      </c>
      <c r="AO109" t="str">
        <f>IF(ISNUMBER(FIND("arbeid",Methode_Keuze)),"",IF(ISNUMBER(FIND("arbeid",Methode_Keuze)),"",IF(Tb_Activiteiten[[#This Row],[Adviseur]]=1,Tb_Activiteiten[[#Headers],[Adviseur]],"")))</f>
        <v/>
      </c>
      <c r="AP109" t="str">
        <f>IF(ISNUMBER(FIND("arbeid",Methode_Keuze)),"",IF(ISNUMBER(FIND("arbeid",Methode_Keuze)),"",IF(Tb_Activiteiten[[#This Row],[Projectleider/Expert]]=1,Tb_Activiteiten[[#Headers],[Projectleider/Expert]],"")))</f>
        <v/>
      </c>
      <c r="AQ109" t="str">
        <f>IF(ISNUMBER(FIND("arbeid",Methode_Keuze)),"",IF(ISNUMBER(FIND("arbeid",Methode_Keuze)),"",IF(Tb_Activiteiten[[#This Row],[Arbeidskosten]]=1,Tb_Activiteiten[[#Headers],[Arbeidskosten]],"")))</f>
        <v/>
      </c>
      <c r="AR109" t="str">
        <f>IF(ISNUMBER(FIND("arbeid",Methode_Keuze)),"",IF(ISNUMBER(FIND("arbeid",Methode_Keuze)),"",IF(Tb_Activiteiten[[#This Row],[Arbeidskosten op basis van IKS]]=1,Tb_Activiteiten[[#Headers],[Arbeidskosten op basis van IKS]],"")))</f>
        <v/>
      </c>
      <c r="AS109" t="str">
        <f>IF(ISNUMBER(FIND("overige",Methode_Keuze)),"",IF(Tb_Activiteiten[[#This Row],[Kosten derden exclusief btw]]=1,Tb_Activiteiten[[#Headers],[Kosten derden exclusief btw]],""))</f>
        <v/>
      </c>
      <c r="AT109" t="str">
        <f>IF(ISNUMBER(FIND("overige",Methode_Keuze)),"",IF(Tb_Activiteiten[[#This Row],[Niet verrekenbare btw]]=1,Tb_Activiteiten[[#Headers],[Niet verrekenbare btw]],""))</f>
        <v/>
      </c>
      <c r="AU109" t="str">
        <f>IF(ISNUMBER(FIND("overige",Methode_Keuze)),"",IF(Tb_Activiteiten[[#This Row],[Grondkosten]]=1,Tb_Activiteiten[[#Headers],[Grondkosten]],""))</f>
        <v/>
      </c>
      <c r="AV109" t="str">
        <f>IF(ISNUMBER(FIND("overige",Methode_Keuze)),"",IF(Tb_Activiteiten[[#This Row],[Bijdrage in natura (overige)]]=1,Tb_Activiteiten[[#Headers],[Bijdrage in natura (overige)]],""))</f>
        <v/>
      </c>
      <c r="AW109" t="str">
        <f>IF(ISNUMBER(FIND("overige",Methode_Keuze)),"",IF(Tb_Activiteiten[[#This Row],[Bijdrage in natura (vrijwilligers)]]=1,Tb_Activiteiten[[#Headers],[Bijdrage in natura (vrijwilligers)]],""))</f>
        <v/>
      </c>
      <c r="AX109" t="str">
        <f>IF(ISNUMBER(FIND("overige",Methode_Keuze)),"",IF(Tb_Activiteiten[[#This Row],[Afschrijvingskosten]]=1,Tb_Activiteiten[[#Headers],[Afschrijvingskosten]],""))</f>
        <v/>
      </c>
      <c r="AY109" t="str">
        <f>IF(ISNUMBER(FIND("overige",Methode_Keuze)),"",IF(Tb_Activiteiten[[#This Row],[Vergoeding]]=1,Tb_Activiteiten[[#Headers],[Vergoeding]],""))</f>
        <v/>
      </c>
      <c r="AZ109" t="str">
        <f>IF(ISNUMBER(FIND("arbeid",Methode_Keuze)),"",IF(Tb_Activiteiten[[#This Row],[Arbeidskosten - vast tarief (excl eigen arbeid)]]=1,Tb_Activiteiten[[#Headers],[Arbeidskosten - vast tarief (excl eigen arbeid)]],""))</f>
        <v/>
      </c>
      <c r="BA109" t="str">
        <f>IF(ISNUMBER(FIND("overige",Methode_Keuze)),"",IF(Tb_Activiteiten[[#This Row],[Overige kosten]]=1,Tb_Activiteiten[[#Headers],[Overige kosten]],""))</f>
        <v/>
      </c>
    </row>
    <row r="110" spans="1:53" x14ac:dyDescent="0.25">
      <c r="A110" s="231"/>
      <c r="F110" s="64"/>
      <c r="G110" s="64"/>
      <c r="H110" s="275"/>
      <c r="I110" s="275"/>
      <c r="J110" s="275"/>
      <c r="K110" s="275"/>
      <c r="O110" s="56"/>
      <c r="Q110" t="str">
        <f>IFERROR(IF(VLOOKUP(Tb_Activiteiten[[#This Row],[Openstelling]],Tb_Openstelling[],2,0)=1,1,""),"")</f>
        <v/>
      </c>
      <c r="AK110" t="str">
        <f>IF(ISNUMBER(FIND("arbeid",Methode_Keuze)),"",IF(ISNUMBER(FIND("arbeid",Methode_Keuze)),"",IF(Tb_Activiteiten[[#This Row],[Loonkosten]]=1,Tb_Activiteiten[[#Headers],[Loonkosten]],"")))</f>
        <v/>
      </c>
      <c r="AL110" t="str">
        <f>IF(ISNUMBER(FIND("arbeid",Methode_Keuze)),"",IF(ISNUMBER(FIND("arbeid",Methode_Keuze)),"",IF(Tb_Activiteiten[[#This Row],[Eigen arbeid]]=1,Tb_Activiteiten[[#Headers],[Eigen arbeid]],"")))</f>
        <v/>
      </c>
      <c r="AM110" t="str">
        <f>IF(ISNUMBER(FIND("arbeid",Methode_Keuze)),"",IF(ISNUMBER(FIND("arbeid",Methode_Keuze)),"",IF(Tb_Activiteiten[[#This Row],[Projectmedewerker]]=1,Tb_Activiteiten[[#Headers],[Projectmedewerker]],"")))</f>
        <v/>
      </c>
      <c r="AN110" t="str">
        <f>IF(ISNUMBER(FIND("arbeid",Methode_Keuze)),"",IF(ISNUMBER(FIND("arbeid",Methode_Keuze)),"",IF(Tb_Activiteiten[[#This Row],[Landbouwer]]=1,Tb_Activiteiten[[#Headers],[Landbouwer]],"")))</f>
        <v/>
      </c>
      <c r="AO110" t="str">
        <f>IF(ISNUMBER(FIND("arbeid",Methode_Keuze)),"",IF(ISNUMBER(FIND("arbeid",Methode_Keuze)),"",IF(Tb_Activiteiten[[#This Row],[Adviseur]]=1,Tb_Activiteiten[[#Headers],[Adviseur]],"")))</f>
        <v/>
      </c>
      <c r="AP110" t="str">
        <f>IF(ISNUMBER(FIND("arbeid",Methode_Keuze)),"",IF(ISNUMBER(FIND("arbeid",Methode_Keuze)),"",IF(Tb_Activiteiten[[#This Row],[Projectleider/Expert]]=1,Tb_Activiteiten[[#Headers],[Projectleider/Expert]],"")))</f>
        <v/>
      </c>
      <c r="AQ110" t="str">
        <f>IF(ISNUMBER(FIND("arbeid",Methode_Keuze)),"",IF(ISNUMBER(FIND("arbeid",Methode_Keuze)),"",IF(Tb_Activiteiten[[#This Row],[Arbeidskosten]]=1,Tb_Activiteiten[[#Headers],[Arbeidskosten]],"")))</f>
        <v/>
      </c>
      <c r="AR110" t="str">
        <f>IF(ISNUMBER(FIND("arbeid",Methode_Keuze)),"",IF(ISNUMBER(FIND("arbeid",Methode_Keuze)),"",IF(Tb_Activiteiten[[#This Row],[Arbeidskosten op basis van IKS]]=1,Tb_Activiteiten[[#Headers],[Arbeidskosten op basis van IKS]],"")))</f>
        <v/>
      </c>
      <c r="AS110" t="str">
        <f>IF(ISNUMBER(FIND("overige",Methode_Keuze)),"",IF(Tb_Activiteiten[[#This Row],[Kosten derden exclusief btw]]=1,Tb_Activiteiten[[#Headers],[Kosten derden exclusief btw]],""))</f>
        <v/>
      </c>
      <c r="AT110" t="str">
        <f>IF(ISNUMBER(FIND("overige",Methode_Keuze)),"",IF(Tb_Activiteiten[[#This Row],[Niet verrekenbare btw]]=1,Tb_Activiteiten[[#Headers],[Niet verrekenbare btw]],""))</f>
        <v/>
      </c>
      <c r="AU110" t="str">
        <f>IF(ISNUMBER(FIND("overige",Methode_Keuze)),"",IF(Tb_Activiteiten[[#This Row],[Grondkosten]]=1,Tb_Activiteiten[[#Headers],[Grondkosten]],""))</f>
        <v/>
      </c>
      <c r="AV110" t="str">
        <f>IF(ISNUMBER(FIND("overige",Methode_Keuze)),"",IF(Tb_Activiteiten[[#This Row],[Bijdrage in natura (overige)]]=1,Tb_Activiteiten[[#Headers],[Bijdrage in natura (overige)]],""))</f>
        <v/>
      </c>
      <c r="AW110" t="str">
        <f>IF(ISNUMBER(FIND("overige",Methode_Keuze)),"",IF(Tb_Activiteiten[[#This Row],[Bijdrage in natura (vrijwilligers)]]=1,Tb_Activiteiten[[#Headers],[Bijdrage in natura (vrijwilligers)]],""))</f>
        <v/>
      </c>
      <c r="AX110" t="str">
        <f>IF(ISNUMBER(FIND("overige",Methode_Keuze)),"",IF(Tb_Activiteiten[[#This Row],[Afschrijvingskosten]]=1,Tb_Activiteiten[[#Headers],[Afschrijvingskosten]],""))</f>
        <v/>
      </c>
      <c r="AY110" t="str">
        <f>IF(ISNUMBER(FIND("overige",Methode_Keuze)),"",IF(Tb_Activiteiten[[#This Row],[Vergoeding]]=1,Tb_Activiteiten[[#Headers],[Vergoeding]],""))</f>
        <v/>
      </c>
      <c r="AZ110" t="str">
        <f>IF(ISNUMBER(FIND("arbeid",Methode_Keuze)),"",IF(Tb_Activiteiten[[#This Row],[Arbeidskosten - vast tarief (excl eigen arbeid)]]=1,Tb_Activiteiten[[#Headers],[Arbeidskosten - vast tarief (excl eigen arbeid)]],""))</f>
        <v/>
      </c>
      <c r="BA110" t="str">
        <f>IF(ISNUMBER(FIND("overige",Methode_Keuze)),"",IF(Tb_Activiteiten[[#This Row],[Overige kosten]]=1,Tb_Activiteiten[[#Headers],[Overige kosten]],""))</f>
        <v/>
      </c>
    </row>
    <row r="111" spans="1:53" x14ac:dyDescent="0.25">
      <c r="A111" s="231"/>
      <c r="F111" s="64"/>
      <c r="G111" s="64"/>
      <c r="H111" s="275"/>
      <c r="I111" s="275"/>
      <c r="J111" s="275"/>
      <c r="K111" s="275"/>
      <c r="O111" s="56"/>
      <c r="Q111" t="str">
        <f>IFERROR(IF(VLOOKUP(Tb_Activiteiten[[#This Row],[Openstelling]],Tb_Openstelling[],2,0)=1,1,""),"")</f>
        <v/>
      </c>
      <c r="AK111" t="str">
        <f>IF(ISNUMBER(FIND("arbeid",Methode_Keuze)),"",IF(ISNUMBER(FIND("arbeid",Methode_Keuze)),"",IF(Tb_Activiteiten[[#This Row],[Loonkosten]]=1,Tb_Activiteiten[[#Headers],[Loonkosten]],"")))</f>
        <v/>
      </c>
      <c r="AL111" t="str">
        <f>IF(ISNUMBER(FIND("arbeid",Methode_Keuze)),"",IF(ISNUMBER(FIND("arbeid",Methode_Keuze)),"",IF(Tb_Activiteiten[[#This Row],[Eigen arbeid]]=1,Tb_Activiteiten[[#Headers],[Eigen arbeid]],"")))</f>
        <v/>
      </c>
      <c r="AM111" t="str">
        <f>IF(ISNUMBER(FIND("arbeid",Methode_Keuze)),"",IF(ISNUMBER(FIND("arbeid",Methode_Keuze)),"",IF(Tb_Activiteiten[[#This Row],[Projectmedewerker]]=1,Tb_Activiteiten[[#Headers],[Projectmedewerker]],"")))</f>
        <v/>
      </c>
      <c r="AN111" t="str">
        <f>IF(ISNUMBER(FIND("arbeid",Methode_Keuze)),"",IF(ISNUMBER(FIND("arbeid",Methode_Keuze)),"",IF(Tb_Activiteiten[[#This Row],[Landbouwer]]=1,Tb_Activiteiten[[#Headers],[Landbouwer]],"")))</f>
        <v/>
      </c>
      <c r="AO111" t="str">
        <f>IF(ISNUMBER(FIND("arbeid",Methode_Keuze)),"",IF(ISNUMBER(FIND("arbeid",Methode_Keuze)),"",IF(Tb_Activiteiten[[#This Row],[Adviseur]]=1,Tb_Activiteiten[[#Headers],[Adviseur]],"")))</f>
        <v/>
      </c>
      <c r="AP111" t="str">
        <f>IF(ISNUMBER(FIND("arbeid",Methode_Keuze)),"",IF(ISNUMBER(FIND("arbeid",Methode_Keuze)),"",IF(Tb_Activiteiten[[#This Row],[Projectleider/Expert]]=1,Tb_Activiteiten[[#Headers],[Projectleider/Expert]],"")))</f>
        <v/>
      </c>
      <c r="AQ111" t="str">
        <f>IF(ISNUMBER(FIND("arbeid",Methode_Keuze)),"",IF(ISNUMBER(FIND("arbeid",Methode_Keuze)),"",IF(Tb_Activiteiten[[#This Row],[Arbeidskosten]]=1,Tb_Activiteiten[[#Headers],[Arbeidskosten]],"")))</f>
        <v/>
      </c>
      <c r="AR111" t="str">
        <f>IF(ISNUMBER(FIND("arbeid",Methode_Keuze)),"",IF(ISNUMBER(FIND("arbeid",Methode_Keuze)),"",IF(Tb_Activiteiten[[#This Row],[Arbeidskosten op basis van IKS]]=1,Tb_Activiteiten[[#Headers],[Arbeidskosten op basis van IKS]],"")))</f>
        <v/>
      </c>
      <c r="AS111" t="str">
        <f>IF(ISNUMBER(FIND("overige",Methode_Keuze)),"",IF(Tb_Activiteiten[[#This Row],[Kosten derden exclusief btw]]=1,Tb_Activiteiten[[#Headers],[Kosten derden exclusief btw]],""))</f>
        <v/>
      </c>
      <c r="AT111" t="str">
        <f>IF(ISNUMBER(FIND("overige",Methode_Keuze)),"",IF(Tb_Activiteiten[[#This Row],[Niet verrekenbare btw]]=1,Tb_Activiteiten[[#Headers],[Niet verrekenbare btw]],""))</f>
        <v/>
      </c>
      <c r="AU111" t="str">
        <f>IF(ISNUMBER(FIND("overige",Methode_Keuze)),"",IF(Tb_Activiteiten[[#This Row],[Grondkosten]]=1,Tb_Activiteiten[[#Headers],[Grondkosten]],""))</f>
        <v/>
      </c>
      <c r="AV111" t="str">
        <f>IF(ISNUMBER(FIND("overige",Methode_Keuze)),"",IF(Tb_Activiteiten[[#This Row],[Bijdrage in natura (overige)]]=1,Tb_Activiteiten[[#Headers],[Bijdrage in natura (overige)]],""))</f>
        <v/>
      </c>
      <c r="AW111" t="str">
        <f>IF(ISNUMBER(FIND("overige",Methode_Keuze)),"",IF(Tb_Activiteiten[[#This Row],[Bijdrage in natura (vrijwilligers)]]=1,Tb_Activiteiten[[#Headers],[Bijdrage in natura (vrijwilligers)]],""))</f>
        <v/>
      </c>
      <c r="AX111" t="str">
        <f>IF(ISNUMBER(FIND("overige",Methode_Keuze)),"",IF(Tb_Activiteiten[[#This Row],[Afschrijvingskosten]]=1,Tb_Activiteiten[[#Headers],[Afschrijvingskosten]],""))</f>
        <v/>
      </c>
      <c r="AY111" t="str">
        <f>IF(ISNUMBER(FIND("overige",Methode_Keuze)),"",IF(Tb_Activiteiten[[#This Row],[Vergoeding]]=1,Tb_Activiteiten[[#Headers],[Vergoeding]],""))</f>
        <v/>
      </c>
      <c r="AZ111" t="str">
        <f>IF(ISNUMBER(FIND("arbeid",Methode_Keuze)),"",IF(Tb_Activiteiten[[#This Row],[Arbeidskosten - vast tarief (excl eigen arbeid)]]=1,Tb_Activiteiten[[#Headers],[Arbeidskosten - vast tarief (excl eigen arbeid)]],""))</f>
        <v/>
      </c>
      <c r="BA111" t="str">
        <f>IF(ISNUMBER(FIND("overige",Methode_Keuze)),"",IF(Tb_Activiteiten[[#This Row],[Overige kosten]]=1,Tb_Activiteiten[[#Headers],[Overige kosten]],""))</f>
        <v/>
      </c>
    </row>
    <row r="112" spans="1:53" x14ac:dyDescent="0.25">
      <c r="A112" s="231"/>
      <c r="F112" s="64"/>
      <c r="G112" s="64"/>
      <c r="H112" s="275"/>
      <c r="I112" s="275"/>
      <c r="J112" s="275"/>
      <c r="K112" s="275"/>
      <c r="O112" s="56"/>
      <c r="Q112" t="str">
        <f>IFERROR(IF(VLOOKUP(Tb_Activiteiten[[#This Row],[Openstelling]],Tb_Openstelling[],2,0)=1,1,""),"")</f>
        <v/>
      </c>
      <c r="AK112" t="str">
        <f>IF(ISNUMBER(FIND("arbeid",Methode_Keuze)),"",IF(ISNUMBER(FIND("arbeid",Methode_Keuze)),"",IF(Tb_Activiteiten[[#This Row],[Loonkosten]]=1,Tb_Activiteiten[[#Headers],[Loonkosten]],"")))</f>
        <v/>
      </c>
      <c r="AL112" t="str">
        <f>IF(ISNUMBER(FIND("arbeid",Methode_Keuze)),"",IF(ISNUMBER(FIND("arbeid",Methode_Keuze)),"",IF(Tb_Activiteiten[[#This Row],[Eigen arbeid]]=1,Tb_Activiteiten[[#Headers],[Eigen arbeid]],"")))</f>
        <v/>
      </c>
      <c r="AM112" t="str">
        <f>IF(ISNUMBER(FIND("arbeid",Methode_Keuze)),"",IF(ISNUMBER(FIND("arbeid",Methode_Keuze)),"",IF(Tb_Activiteiten[[#This Row],[Projectmedewerker]]=1,Tb_Activiteiten[[#Headers],[Projectmedewerker]],"")))</f>
        <v/>
      </c>
      <c r="AN112" t="str">
        <f>IF(ISNUMBER(FIND("arbeid",Methode_Keuze)),"",IF(ISNUMBER(FIND("arbeid",Methode_Keuze)),"",IF(Tb_Activiteiten[[#This Row],[Landbouwer]]=1,Tb_Activiteiten[[#Headers],[Landbouwer]],"")))</f>
        <v/>
      </c>
      <c r="AO112" t="str">
        <f>IF(ISNUMBER(FIND("arbeid",Methode_Keuze)),"",IF(ISNUMBER(FIND("arbeid",Methode_Keuze)),"",IF(Tb_Activiteiten[[#This Row],[Adviseur]]=1,Tb_Activiteiten[[#Headers],[Adviseur]],"")))</f>
        <v/>
      </c>
      <c r="AP112" t="str">
        <f>IF(ISNUMBER(FIND("arbeid",Methode_Keuze)),"",IF(ISNUMBER(FIND("arbeid",Methode_Keuze)),"",IF(Tb_Activiteiten[[#This Row],[Projectleider/Expert]]=1,Tb_Activiteiten[[#Headers],[Projectleider/Expert]],"")))</f>
        <v/>
      </c>
      <c r="AQ112" t="str">
        <f>IF(ISNUMBER(FIND("arbeid",Methode_Keuze)),"",IF(ISNUMBER(FIND("arbeid",Methode_Keuze)),"",IF(Tb_Activiteiten[[#This Row],[Arbeidskosten]]=1,Tb_Activiteiten[[#Headers],[Arbeidskosten]],"")))</f>
        <v/>
      </c>
      <c r="AR112" t="str">
        <f>IF(ISNUMBER(FIND("arbeid",Methode_Keuze)),"",IF(ISNUMBER(FIND("arbeid",Methode_Keuze)),"",IF(Tb_Activiteiten[[#This Row],[Arbeidskosten op basis van IKS]]=1,Tb_Activiteiten[[#Headers],[Arbeidskosten op basis van IKS]],"")))</f>
        <v/>
      </c>
      <c r="AS112" t="str">
        <f>IF(ISNUMBER(FIND("overige",Methode_Keuze)),"",IF(Tb_Activiteiten[[#This Row],[Kosten derden exclusief btw]]=1,Tb_Activiteiten[[#Headers],[Kosten derden exclusief btw]],""))</f>
        <v/>
      </c>
      <c r="AT112" t="str">
        <f>IF(ISNUMBER(FIND("overige",Methode_Keuze)),"",IF(Tb_Activiteiten[[#This Row],[Niet verrekenbare btw]]=1,Tb_Activiteiten[[#Headers],[Niet verrekenbare btw]],""))</f>
        <v/>
      </c>
      <c r="AU112" t="str">
        <f>IF(ISNUMBER(FIND("overige",Methode_Keuze)),"",IF(Tb_Activiteiten[[#This Row],[Grondkosten]]=1,Tb_Activiteiten[[#Headers],[Grondkosten]],""))</f>
        <v/>
      </c>
      <c r="AV112" t="str">
        <f>IF(ISNUMBER(FIND("overige",Methode_Keuze)),"",IF(Tb_Activiteiten[[#This Row],[Bijdrage in natura (overige)]]=1,Tb_Activiteiten[[#Headers],[Bijdrage in natura (overige)]],""))</f>
        <v/>
      </c>
      <c r="AW112" t="str">
        <f>IF(ISNUMBER(FIND("overige",Methode_Keuze)),"",IF(Tb_Activiteiten[[#This Row],[Bijdrage in natura (vrijwilligers)]]=1,Tb_Activiteiten[[#Headers],[Bijdrage in natura (vrijwilligers)]],""))</f>
        <v/>
      </c>
      <c r="AX112" t="str">
        <f>IF(ISNUMBER(FIND("overige",Methode_Keuze)),"",IF(Tb_Activiteiten[[#This Row],[Afschrijvingskosten]]=1,Tb_Activiteiten[[#Headers],[Afschrijvingskosten]],""))</f>
        <v/>
      </c>
      <c r="AY112" t="str">
        <f>IF(ISNUMBER(FIND("overige",Methode_Keuze)),"",IF(Tb_Activiteiten[[#This Row],[Vergoeding]]=1,Tb_Activiteiten[[#Headers],[Vergoeding]],""))</f>
        <v/>
      </c>
      <c r="AZ112" t="str">
        <f>IF(ISNUMBER(FIND("arbeid",Methode_Keuze)),"",IF(Tb_Activiteiten[[#This Row],[Arbeidskosten - vast tarief (excl eigen arbeid)]]=1,Tb_Activiteiten[[#Headers],[Arbeidskosten - vast tarief (excl eigen arbeid)]],""))</f>
        <v/>
      </c>
      <c r="BA112" t="str">
        <f>IF(ISNUMBER(FIND("overige",Methode_Keuze)),"",IF(Tb_Activiteiten[[#This Row],[Overige kosten]]=1,Tb_Activiteiten[[#Headers],[Overige kosten]],""))</f>
        <v/>
      </c>
    </row>
    <row r="113" spans="1:53" x14ac:dyDescent="0.25">
      <c r="A113" s="231"/>
      <c r="F113" s="64"/>
      <c r="G113" s="64"/>
      <c r="H113" s="275"/>
      <c r="I113" s="275"/>
      <c r="J113" s="275"/>
      <c r="K113" s="275"/>
      <c r="O113" s="56"/>
      <c r="Q113" t="str">
        <f>IFERROR(IF(VLOOKUP(Tb_Activiteiten[[#This Row],[Openstelling]],Tb_Openstelling[],2,0)=1,1,""),"")</f>
        <v/>
      </c>
      <c r="AK113" t="str">
        <f>IF(ISNUMBER(FIND("arbeid",Methode_Keuze)),"",IF(ISNUMBER(FIND("arbeid",Methode_Keuze)),"",IF(Tb_Activiteiten[[#This Row],[Loonkosten]]=1,Tb_Activiteiten[[#Headers],[Loonkosten]],"")))</f>
        <v/>
      </c>
      <c r="AL113" t="str">
        <f>IF(ISNUMBER(FIND("arbeid",Methode_Keuze)),"",IF(ISNUMBER(FIND("arbeid",Methode_Keuze)),"",IF(Tb_Activiteiten[[#This Row],[Eigen arbeid]]=1,Tb_Activiteiten[[#Headers],[Eigen arbeid]],"")))</f>
        <v/>
      </c>
      <c r="AM113" t="str">
        <f>IF(ISNUMBER(FIND("arbeid",Methode_Keuze)),"",IF(ISNUMBER(FIND("arbeid",Methode_Keuze)),"",IF(Tb_Activiteiten[[#This Row],[Projectmedewerker]]=1,Tb_Activiteiten[[#Headers],[Projectmedewerker]],"")))</f>
        <v/>
      </c>
      <c r="AN113" t="str">
        <f>IF(ISNUMBER(FIND("arbeid",Methode_Keuze)),"",IF(ISNUMBER(FIND("arbeid",Methode_Keuze)),"",IF(Tb_Activiteiten[[#This Row],[Landbouwer]]=1,Tb_Activiteiten[[#Headers],[Landbouwer]],"")))</f>
        <v/>
      </c>
      <c r="AO113" t="str">
        <f>IF(ISNUMBER(FIND("arbeid",Methode_Keuze)),"",IF(ISNUMBER(FIND("arbeid",Methode_Keuze)),"",IF(Tb_Activiteiten[[#This Row],[Adviseur]]=1,Tb_Activiteiten[[#Headers],[Adviseur]],"")))</f>
        <v/>
      </c>
      <c r="AP113" t="str">
        <f>IF(ISNUMBER(FIND("arbeid",Methode_Keuze)),"",IF(ISNUMBER(FIND("arbeid",Methode_Keuze)),"",IF(Tb_Activiteiten[[#This Row],[Projectleider/Expert]]=1,Tb_Activiteiten[[#Headers],[Projectleider/Expert]],"")))</f>
        <v/>
      </c>
      <c r="AQ113" t="str">
        <f>IF(ISNUMBER(FIND("arbeid",Methode_Keuze)),"",IF(ISNUMBER(FIND("arbeid",Methode_Keuze)),"",IF(Tb_Activiteiten[[#This Row],[Arbeidskosten]]=1,Tb_Activiteiten[[#Headers],[Arbeidskosten]],"")))</f>
        <v/>
      </c>
      <c r="AR113" t="str">
        <f>IF(ISNUMBER(FIND("arbeid",Methode_Keuze)),"",IF(ISNUMBER(FIND("arbeid",Methode_Keuze)),"",IF(Tb_Activiteiten[[#This Row],[Arbeidskosten op basis van IKS]]=1,Tb_Activiteiten[[#Headers],[Arbeidskosten op basis van IKS]],"")))</f>
        <v/>
      </c>
      <c r="AS113" t="str">
        <f>IF(ISNUMBER(FIND("overige",Methode_Keuze)),"",IF(Tb_Activiteiten[[#This Row],[Kosten derden exclusief btw]]=1,Tb_Activiteiten[[#Headers],[Kosten derden exclusief btw]],""))</f>
        <v/>
      </c>
      <c r="AT113" t="str">
        <f>IF(ISNUMBER(FIND("overige",Methode_Keuze)),"",IF(Tb_Activiteiten[[#This Row],[Niet verrekenbare btw]]=1,Tb_Activiteiten[[#Headers],[Niet verrekenbare btw]],""))</f>
        <v/>
      </c>
      <c r="AU113" t="str">
        <f>IF(ISNUMBER(FIND("overige",Methode_Keuze)),"",IF(Tb_Activiteiten[[#This Row],[Grondkosten]]=1,Tb_Activiteiten[[#Headers],[Grondkosten]],""))</f>
        <v/>
      </c>
      <c r="AV113" t="str">
        <f>IF(ISNUMBER(FIND("overige",Methode_Keuze)),"",IF(Tb_Activiteiten[[#This Row],[Bijdrage in natura (overige)]]=1,Tb_Activiteiten[[#Headers],[Bijdrage in natura (overige)]],""))</f>
        <v/>
      </c>
      <c r="AW113" t="str">
        <f>IF(ISNUMBER(FIND("overige",Methode_Keuze)),"",IF(Tb_Activiteiten[[#This Row],[Bijdrage in natura (vrijwilligers)]]=1,Tb_Activiteiten[[#Headers],[Bijdrage in natura (vrijwilligers)]],""))</f>
        <v/>
      </c>
      <c r="AX113" t="str">
        <f>IF(ISNUMBER(FIND("overige",Methode_Keuze)),"",IF(Tb_Activiteiten[[#This Row],[Afschrijvingskosten]]=1,Tb_Activiteiten[[#Headers],[Afschrijvingskosten]],""))</f>
        <v/>
      </c>
      <c r="AY113" t="str">
        <f>IF(ISNUMBER(FIND("overige",Methode_Keuze)),"",IF(Tb_Activiteiten[[#This Row],[Vergoeding]]=1,Tb_Activiteiten[[#Headers],[Vergoeding]],""))</f>
        <v/>
      </c>
      <c r="AZ113" t="str">
        <f>IF(ISNUMBER(FIND("arbeid",Methode_Keuze)),"",IF(Tb_Activiteiten[[#This Row],[Arbeidskosten - vast tarief (excl eigen arbeid)]]=1,Tb_Activiteiten[[#Headers],[Arbeidskosten - vast tarief (excl eigen arbeid)]],""))</f>
        <v/>
      </c>
      <c r="BA113" t="str">
        <f>IF(ISNUMBER(FIND("overige",Methode_Keuze)),"",IF(Tb_Activiteiten[[#This Row],[Overige kosten]]=1,Tb_Activiteiten[[#Headers],[Overige kosten]],""))</f>
        <v/>
      </c>
    </row>
    <row r="114" spans="1:53" x14ac:dyDescent="0.25">
      <c r="A114" s="231"/>
      <c r="F114" s="64"/>
      <c r="G114" s="64"/>
      <c r="H114" s="275"/>
      <c r="I114" s="275"/>
      <c r="J114" s="275"/>
      <c r="K114" s="275"/>
      <c r="O114" s="56"/>
      <c r="Q114" t="str">
        <f>IFERROR(IF(VLOOKUP(Tb_Activiteiten[[#This Row],[Openstelling]],Tb_Openstelling[],2,0)=1,1,""),"")</f>
        <v/>
      </c>
      <c r="AK114" t="str">
        <f>IF(ISNUMBER(FIND("arbeid",Methode_Keuze)),"",IF(ISNUMBER(FIND("arbeid",Methode_Keuze)),"",IF(Tb_Activiteiten[[#This Row],[Loonkosten]]=1,Tb_Activiteiten[[#Headers],[Loonkosten]],"")))</f>
        <v/>
      </c>
      <c r="AL114" t="str">
        <f>IF(ISNUMBER(FIND("arbeid",Methode_Keuze)),"",IF(ISNUMBER(FIND("arbeid",Methode_Keuze)),"",IF(Tb_Activiteiten[[#This Row],[Eigen arbeid]]=1,Tb_Activiteiten[[#Headers],[Eigen arbeid]],"")))</f>
        <v/>
      </c>
      <c r="AM114" t="str">
        <f>IF(ISNUMBER(FIND("arbeid",Methode_Keuze)),"",IF(ISNUMBER(FIND("arbeid",Methode_Keuze)),"",IF(Tb_Activiteiten[[#This Row],[Projectmedewerker]]=1,Tb_Activiteiten[[#Headers],[Projectmedewerker]],"")))</f>
        <v/>
      </c>
      <c r="AN114" t="str">
        <f>IF(ISNUMBER(FIND("arbeid",Methode_Keuze)),"",IF(ISNUMBER(FIND("arbeid",Methode_Keuze)),"",IF(Tb_Activiteiten[[#This Row],[Landbouwer]]=1,Tb_Activiteiten[[#Headers],[Landbouwer]],"")))</f>
        <v/>
      </c>
      <c r="AO114" t="str">
        <f>IF(ISNUMBER(FIND("arbeid",Methode_Keuze)),"",IF(ISNUMBER(FIND("arbeid",Methode_Keuze)),"",IF(Tb_Activiteiten[[#This Row],[Adviseur]]=1,Tb_Activiteiten[[#Headers],[Adviseur]],"")))</f>
        <v/>
      </c>
      <c r="AP114" t="str">
        <f>IF(ISNUMBER(FIND("arbeid",Methode_Keuze)),"",IF(ISNUMBER(FIND("arbeid",Methode_Keuze)),"",IF(Tb_Activiteiten[[#This Row],[Projectleider/Expert]]=1,Tb_Activiteiten[[#Headers],[Projectleider/Expert]],"")))</f>
        <v/>
      </c>
      <c r="AQ114" t="str">
        <f>IF(ISNUMBER(FIND("arbeid",Methode_Keuze)),"",IF(ISNUMBER(FIND("arbeid",Methode_Keuze)),"",IF(Tb_Activiteiten[[#This Row],[Arbeidskosten]]=1,Tb_Activiteiten[[#Headers],[Arbeidskosten]],"")))</f>
        <v/>
      </c>
      <c r="AR114" t="str">
        <f>IF(ISNUMBER(FIND("arbeid",Methode_Keuze)),"",IF(ISNUMBER(FIND("arbeid",Methode_Keuze)),"",IF(Tb_Activiteiten[[#This Row],[Arbeidskosten op basis van IKS]]=1,Tb_Activiteiten[[#Headers],[Arbeidskosten op basis van IKS]],"")))</f>
        <v/>
      </c>
      <c r="AS114" t="str">
        <f>IF(ISNUMBER(FIND("overige",Methode_Keuze)),"",IF(Tb_Activiteiten[[#This Row],[Kosten derden exclusief btw]]=1,Tb_Activiteiten[[#Headers],[Kosten derden exclusief btw]],""))</f>
        <v/>
      </c>
      <c r="AT114" t="str">
        <f>IF(ISNUMBER(FIND("overige",Methode_Keuze)),"",IF(Tb_Activiteiten[[#This Row],[Niet verrekenbare btw]]=1,Tb_Activiteiten[[#Headers],[Niet verrekenbare btw]],""))</f>
        <v/>
      </c>
      <c r="AU114" t="str">
        <f>IF(ISNUMBER(FIND("overige",Methode_Keuze)),"",IF(Tb_Activiteiten[[#This Row],[Grondkosten]]=1,Tb_Activiteiten[[#Headers],[Grondkosten]],""))</f>
        <v/>
      </c>
      <c r="AV114" t="str">
        <f>IF(ISNUMBER(FIND("overige",Methode_Keuze)),"",IF(Tb_Activiteiten[[#This Row],[Bijdrage in natura (overige)]]=1,Tb_Activiteiten[[#Headers],[Bijdrage in natura (overige)]],""))</f>
        <v/>
      </c>
      <c r="AW114" t="str">
        <f>IF(ISNUMBER(FIND("overige",Methode_Keuze)),"",IF(Tb_Activiteiten[[#This Row],[Bijdrage in natura (vrijwilligers)]]=1,Tb_Activiteiten[[#Headers],[Bijdrage in natura (vrijwilligers)]],""))</f>
        <v/>
      </c>
      <c r="AX114" t="str">
        <f>IF(ISNUMBER(FIND("overige",Methode_Keuze)),"",IF(Tb_Activiteiten[[#This Row],[Afschrijvingskosten]]=1,Tb_Activiteiten[[#Headers],[Afschrijvingskosten]],""))</f>
        <v/>
      </c>
      <c r="AY114" t="str">
        <f>IF(ISNUMBER(FIND("overige",Methode_Keuze)),"",IF(Tb_Activiteiten[[#This Row],[Vergoeding]]=1,Tb_Activiteiten[[#Headers],[Vergoeding]],""))</f>
        <v/>
      </c>
      <c r="AZ114" t="str">
        <f>IF(ISNUMBER(FIND("arbeid",Methode_Keuze)),"",IF(Tb_Activiteiten[[#This Row],[Arbeidskosten - vast tarief (excl eigen arbeid)]]=1,Tb_Activiteiten[[#Headers],[Arbeidskosten - vast tarief (excl eigen arbeid)]],""))</f>
        <v/>
      </c>
      <c r="BA114" t="str">
        <f>IF(ISNUMBER(FIND("overige",Methode_Keuze)),"",IF(Tb_Activiteiten[[#This Row],[Overige kosten]]=1,Tb_Activiteiten[[#Headers],[Overige kosten]],""))</f>
        <v/>
      </c>
    </row>
    <row r="115" spans="1:53" x14ac:dyDescent="0.25">
      <c r="A115" s="231"/>
      <c r="F115" s="64"/>
      <c r="G115" s="64"/>
      <c r="H115" s="275"/>
      <c r="I115" s="275"/>
      <c r="J115" s="275"/>
      <c r="K115" s="275"/>
      <c r="O115" s="56"/>
      <c r="Q115" t="str">
        <f>IFERROR(IF(VLOOKUP(Tb_Activiteiten[[#This Row],[Openstelling]],Tb_Openstelling[],2,0)=1,1,""),"")</f>
        <v/>
      </c>
      <c r="AK115" t="str">
        <f>IF(ISNUMBER(FIND("arbeid",Methode_Keuze)),"",IF(ISNUMBER(FIND("arbeid",Methode_Keuze)),"",IF(Tb_Activiteiten[[#This Row],[Loonkosten]]=1,Tb_Activiteiten[[#Headers],[Loonkosten]],"")))</f>
        <v/>
      </c>
      <c r="AL115" t="str">
        <f>IF(ISNUMBER(FIND("arbeid",Methode_Keuze)),"",IF(ISNUMBER(FIND("arbeid",Methode_Keuze)),"",IF(Tb_Activiteiten[[#This Row],[Eigen arbeid]]=1,Tb_Activiteiten[[#Headers],[Eigen arbeid]],"")))</f>
        <v/>
      </c>
      <c r="AM115" t="str">
        <f>IF(ISNUMBER(FIND("arbeid",Methode_Keuze)),"",IF(ISNUMBER(FIND("arbeid",Methode_Keuze)),"",IF(Tb_Activiteiten[[#This Row],[Projectmedewerker]]=1,Tb_Activiteiten[[#Headers],[Projectmedewerker]],"")))</f>
        <v/>
      </c>
      <c r="AN115" t="str">
        <f>IF(ISNUMBER(FIND("arbeid",Methode_Keuze)),"",IF(ISNUMBER(FIND("arbeid",Methode_Keuze)),"",IF(Tb_Activiteiten[[#This Row],[Landbouwer]]=1,Tb_Activiteiten[[#Headers],[Landbouwer]],"")))</f>
        <v/>
      </c>
      <c r="AO115" t="str">
        <f>IF(ISNUMBER(FIND("arbeid",Methode_Keuze)),"",IF(ISNUMBER(FIND("arbeid",Methode_Keuze)),"",IF(Tb_Activiteiten[[#This Row],[Adviseur]]=1,Tb_Activiteiten[[#Headers],[Adviseur]],"")))</f>
        <v/>
      </c>
      <c r="AP115" t="str">
        <f>IF(ISNUMBER(FIND("arbeid",Methode_Keuze)),"",IF(ISNUMBER(FIND("arbeid",Methode_Keuze)),"",IF(Tb_Activiteiten[[#This Row],[Projectleider/Expert]]=1,Tb_Activiteiten[[#Headers],[Projectleider/Expert]],"")))</f>
        <v/>
      </c>
      <c r="AQ115" t="str">
        <f>IF(ISNUMBER(FIND("arbeid",Methode_Keuze)),"",IF(ISNUMBER(FIND("arbeid",Methode_Keuze)),"",IF(Tb_Activiteiten[[#This Row],[Arbeidskosten]]=1,Tb_Activiteiten[[#Headers],[Arbeidskosten]],"")))</f>
        <v/>
      </c>
      <c r="AR115" t="str">
        <f>IF(ISNUMBER(FIND("arbeid",Methode_Keuze)),"",IF(ISNUMBER(FIND("arbeid",Methode_Keuze)),"",IF(Tb_Activiteiten[[#This Row],[Arbeidskosten op basis van IKS]]=1,Tb_Activiteiten[[#Headers],[Arbeidskosten op basis van IKS]],"")))</f>
        <v/>
      </c>
      <c r="AS115" t="str">
        <f>IF(ISNUMBER(FIND("overige",Methode_Keuze)),"",IF(Tb_Activiteiten[[#This Row],[Kosten derden exclusief btw]]=1,Tb_Activiteiten[[#Headers],[Kosten derden exclusief btw]],""))</f>
        <v/>
      </c>
      <c r="AT115" t="str">
        <f>IF(ISNUMBER(FIND("overige",Methode_Keuze)),"",IF(Tb_Activiteiten[[#This Row],[Niet verrekenbare btw]]=1,Tb_Activiteiten[[#Headers],[Niet verrekenbare btw]],""))</f>
        <v/>
      </c>
      <c r="AU115" t="str">
        <f>IF(ISNUMBER(FIND("overige",Methode_Keuze)),"",IF(Tb_Activiteiten[[#This Row],[Grondkosten]]=1,Tb_Activiteiten[[#Headers],[Grondkosten]],""))</f>
        <v/>
      </c>
      <c r="AV115" t="str">
        <f>IF(ISNUMBER(FIND("overige",Methode_Keuze)),"",IF(Tb_Activiteiten[[#This Row],[Bijdrage in natura (overige)]]=1,Tb_Activiteiten[[#Headers],[Bijdrage in natura (overige)]],""))</f>
        <v/>
      </c>
      <c r="AW115" t="str">
        <f>IF(ISNUMBER(FIND("overige",Methode_Keuze)),"",IF(Tb_Activiteiten[[#This Row],[Bijdrage in natura (vrijwilligers)]]=1,Tb_Activiteiten[[#Headers],[Bijdrage in natura (vrijwilligers)]],""))</f>
        <v/>
      </c>
      <c r="AX115" t="str">
        <f>IF(ISNUMBER(FIND("overige",Methode_Keuze)),"",IF(Tb_Activiteiten[[#This Row],[Afschrijvingskosten]]=1,Tb_Activiteiten[[#Headers],[Afschrijvingskosten]],""))</f>
        <v/>
      </c>
      <c r="AY115" t="str">
        <f>IF(ISNUMBER(FIND("overige",Methode_Keuze)),"",IF(Tb_Activiteiten[[#This Row],[Vergoeding]]=1,Tb_Activiteiten[[#Headers],[Vergoeding]],""))</f>
        <v/>
      </c>
      <c r="AZ115" t="str">
        <f>IF(ISNUMBER(FIND("arbeid",Methode_Keuze)),"",IF(Tb_Activiteiten[[#This Row],[Arbeidskosten - vast tarief (excl eigen arbeid)]]=1,Tb_Activiteiten[[#Headers],[Arbeidskosten - vast tarief (excl eigen arbeid)]],""))</f>
        <v/>
      </c>
      <c r="BA115" t="str">
        <f>IF(ISNUMBER(FIND("overige",Methode_Keuze)),"",IF(Tb_Activiteiten[[#This Row],[Overige kosten]]=1,Tb_Activiteiten[[#Headers],[Overige kosten]],""))</f>
        <v/>
      </c>
    </row>
    <row r="116" spans="1:53" x14ac:dyDescent="0.25">
      <c r="A116" s="231"/>
      <c r="F116" s="64"/>
      <c r="G116" s="64"/>
      <c r="H116" s="275"/>
      <c r="I116" s="275"/>
      <c r="J116" s="275"/>
      <c r="K116" s="275"/>
      <c r="O116" s="56"/>
      <c r="Q116" t="str">
        <f>IFERROR(IF(VLOOKUP(Tb_Activiteiten[[#This Row],[Openstelling]],Tb_Openstelling[],2,0)=1,1,""),"")</f>
        <v/>
      </c>
      <c r="AK116" t="str">
        <f>IF(ISNUMBER(FIND("arbeid",Methode_Keuze)),"",IF(ISNUMBER(FIND("arbeid",Methode_Keuze)),"",IF(Tb_Activiteiten[[#This Row],[Loonkosten]]=1,Tb_Activiteiten[[#Headers],[Loonkosten]],"")))</f>
        <v/>
      </c>
      <c r="AL116" t="str">
        <f>IF(ISNUMBER(FIND("arbeid",Methode_Keuze)),"",IF(ISNUMBER(FIND("arbeid",Methode_Keuze)),"",IF(Tb_Activiteiten[[#This Row],[Eigen arbeid]]=1,Tb_Activiteiten[[#Headers],[Eigen arbeid]],"")))</f>
        <v/>
      </c>
      <c r="AM116" t="str">
        <f>IF(ISNUMBER(FIND("arbeid",Methode_Keuze)),"",IF(ISNUMBER(FIND("arbeid",Methode_Keuze)),"",IF(Tb_Activiteiten[[#This Row],[Projectmedewerker]]=1,Tb_Activiteiten[[#Headers],[Projectmedewerker]],"")))</f>
        <v/>
      </c>
      <c r="AN116" t="str">
        <f>IF(ISNUMBER(FIND("arbeid",Methode_Keuze)),"",IF(ISNUMBER(FIND("arbeid",Methode_Keuze)),"",IF(Tb_Activiteiten[[#This Row],[Landbouwer]]=1,Tb_Activiteiten[[#Headers],[Landbouwer]],"")))</f>
        <v/>
      </c>
      <c r="AO116" t="str">
        <f>IF(ISNUMBER(FIND("arbeid",Methode_Keuze)),"",IF(ISNUMBER(FIND("arbeid",Methode_Keuze)),"",IF(Tb_Activiteiten[[#This Row],[Adviseur]]=1,Tb_Activiteiten[[#Headers],[Adviseur]],"")))</f>
        <v/>
      </c>
      <c r="AP116" t="str">
        <f>IF(ISNUMBER(FIND("arbeid",Methode_Keuze)),"",IF(ISNUMBER(FIND("arbeid",Methode_Keuze)),"",IF(Tb_Activiteiten[[#This Row],[Projectleider/Expert]]=1,Tb_Activiteiten[[#Headers],[Projectleider/Expert]],"")))</f>
        <v/>
      </c>
      <c r="AQ116" t="str">
        <f>IF(ISNUMBER(FIND("arbeid",Methode_Keuze)),"",IF(ISNUMBER(FIND("arbeid",Methode_Keuze)),"",IF(Tb_Activiteiten[[#This Row],[Arbeidskosten]]=1,Tb_Activiteiten[[#Headers],[Arbeidskosten]],"")))</f>
        <v/>
      </c>
      <c r="AR116" t="str">
        <f>IF(ISNUMBER(FIND("arbeid",Methode_Keuze)),"",IF(ISNUMBER(FIND("arbeid",Methode_Keuze)),"",IF(Tb_Activiteiten[[#This Row],[Arbeidskosten op basis van IKS]]=1,Tb_Activiteiten[[#Headers],[Arbeidskosten op basis van IKS]],"")))</f>
        <v/>
      </c>
      <c r="AS116" t="str">
        <f>IF(ISNUMBER(FIND("overige",Methode_Keuze)),"",IF(Tb_Activiteiten[[#This Row],[Kosten derden exclusief btw]]=1,Tb_Activiteiten[[#Headers],[Kosten derden exclusief btw]],""))</f>
        <v/>
      </c>
      <c r="AT116" t="str">
        <f>IF(ISNUMBER(FIND("overige",Methode_Keuze)),"",IF(Tb_Activiteiten[[#This Row],[Niet verrekenbare btw]]=1,Tb_Activiteiten[[#Headers],[Niet verrekenbare btw]],""))</f>
        <v/>
      </c>
      <c r="AU116" t="str">
        <f>IF(ISNUMBER(FIND("overige",Methode_Keuze)),"",IF(Tb_Activiteiten[[#This Row],[Grondkosten]]=1,Tb_Activiteiten[[#Headers],[Grondkosten]],""))</f>
        <v/>
      </c>
      <c r="AV116" t="str">
        <f>IF(ISNUMBER(FIND("overige",Methode_Keuze)),"",IF(Tb_Activiteiten[[#This Row],[Bijdrage in natura (overige)]]=1,Tb_Activiteiten[[#Headers],[Bijdrage in natura (overige)]],""))</f>
        <v/>
      </c>
      <c r="AW116" t="str">
        <f>IF(ISNUMBER(FIND("overige",Methode_Keuze)),"",IF(Tb_Activiteiten[[#This Row],[Bijdrage in natura (vrijwilligers)]]=1,Tb_Activiteiten[[#Headers],[Bijdrage in natura (vrijwilligers)]],""))</f>
        <v/>
      </c>
      <c r="AX116" t="str">
        <f>IF(ISNUMBER(FIND("overige",Methode_Keuze)),"",IF(Tb_Activiteiten[[#This Row],[Afschrijvingskosten]]=1,Tb_Activiteiten[[#Headers],[Afschrijvingskosten]],""))</f>
        <v/>
      </c>
      <c r="AY116" t="str">
        <f>IF(ISNUMBER(FIND("overige",Methode_Keuze)),"",IF(Tb_Activiteiten[[#This Row],[Vergoeding]]=1,Tb_Activiteiten[[#Headers],[Vergoeding]],""))</f>
        <v/>
      </c>
      <c r="AZ116" t="str">
        <f>IF(ISNUMBER(FIND("arbeid",Methode_Keuze)),"",IF(Tb_Activiteiten[[#This Row],[Arbeidskosten - vast tarief (excl eigen arbeid)]]=1,Tb_Activiteiten[[#Headers],[Arbeidskosten - vast tarief (excl eigen arbeid)]],""))</f>
        <v/>
      </c>
      <c r="BA116" t="str">
        <f>IF(ISNUMBER(FIND("overige",Methode_Keuze)),"",IF(Tb_Activiteiten[[#This Row],[Overige kosten]]=1,Tb_Activiteiten[[#Headers],[Overige kosten]],""))</f>
        <v/>
      </c>
    </row>
    <row r="117" spans="1:53" x14ac:dyDescent="0.25">
      <c r="A117" s="231"/>
      <c r="F117" s="64"/>
      <c r="G117" s="64"/>
      <c r="H117" s="275"/>
      <c r="I117" s="275"/>
      <c r="J117" s="275"/>
      <c r="K117" s="275"/>
      <c r="O117" s="56"/>
      <c r="Q117" t="str">
        <f>IFERROR(IF(VLOOKUP(Tb_Activiteiten[[#This Row],[Openstelling]],Tb_Openstelling[],2,0)=1,1,""),"")</f>
        <v/>
      </c>
      <c r="AK117" t="str">
        <f>IF(ISNUMBER(FIND("arbeid",Methode_Keuze)),"",IF(ISNUMBER(FIND("arbeid",Methode_Keuze)),"",IF(Tb_Activiteiten[[#This Row],[Loonkosten]]=1,Tb_Activiteiten[[#Headers],[Loonkosten]],"")))</f>
        <v/>
      </c>
      <c r="AL117" t="str">
        <f>IF(ISNUMBER(FIND("arbeid",Methode_Keuze)),"",IF(ISNUMBER(FIND("arbeid",Methode_Keuze)),"",IF(Tb_Activiteiten[[#This Row],[Eigen arbeid]]=1,Tb_Activiteiten[[#Headers],[Eigen arbeid]],"")))</f>
        <v/>
      </c>
      <c r="AM117" t="str">
        <f>IF(ISNUMBER(FIND("arbeid",Methode_Keuze)),"",IF(ISNUMBER(FIND("arbeid",Methode_Keuze)),"",IF(Tb_Activiteiten[[#This Row],[Projectmedewerker]]=1,Tb_Activiteiten[[#Headers],[Projectmedewerker]],"")))</f>
        <v/>
      </c>
      <c r="AN117" t="str">
        <f>IF(ISNUMBER(FIND("arbeid",Methode_Keuze)),"",IF(ISNUMBER(FIND("arbeid",Methode_Keuze)),"",IF(Tb_Activiteiten[[#This Row],[Landbouwer]]=1,Tb_Activiteiten[[#Headers],[Landbouwer]],"")))</f>
        <v/>
      </c>
      <c r="AO117" t="str">
        <f>IF(ISNUMBER(FIND("arbeid",Methode_Keuze)),"",IF(ISNUMBER(FIND("arbeid",Methode_Keuze)),"",IF(Tb_Activiteiten[[#This Row],[Adviseur]]=1,Tb_Activiteiten[[#Headers],[Adviseur]],"")))</f>
        <v/>
      </c>
      <c r="AP117" t="str">
        <f>IF(ISNUMBER(FIND("arbeid",Methode_Keuze)),"",IF(ISNUMBER(FIND("arbeid",Methode_Keuze)),"",IF(Tb_Activiteiten[[#This Row],[Projectleider/Expert]]=1,Tb_Activiteiten[[#Headers],[Projectleider/Expert]],"")))</f>
        <v/>
      </c>
      <c r="AQ117" t="str">
        <f>IF(ISNUMBER(FIND("arbeid",Methode_Keuze)),"",IF(ISNUMBER(FIND("arbeid",Methode_Keuze)),"",IF(Tb_Activiteiten[[#This Row],[Arbeidskosten]]=1,Tb_Activiteiten[[#Headers],[Arbeidskosten]],"")))</f>
        <v/>
      </c>
      <c r="AR117" t="str">
        <f>IF(ISNUMBER(FIND("arbeid",Methode_Keuze)),"",IF(ISNUMBER(FIND("arbeid",Methode_Keuze)),"",IF(Tb_Activiteiten[[#This Row],[Arbeidskosten op basis van IKS]]=1,Tb_Activiteiten[[#Headers],[Arbeidskosten op basis van IKS]],"")))</f>
        <v/>
      </c>
      <c r="AS117" t="str">
        <f>IF(ISNUMBER(FIND("overige",Methode_Keuze)),"",IF(Tb_Activiteiten[[#This Row],[Kosten derden exclusief btw]]=1,Tb_Activiteiten[[#Headers],[Kosten derden exclusief btw]],""))</f>
        <v/>
      </c>
      <c r="AT117" t="str">
        <f>IF(ISNUMBER(FIND("overige",Methode_Keuze)),"",IF(Tb_Activiteiten[[#This Row],[Niet verrekenbare btw]]=1,Tb_Activiteiten[[#Headers],[Niet verrekenbare btw]],""))</f>
        <v/>
      </c>
      <c r="AU117" t="str">
        <f>IF(ISNUMBER(FIND("overige",Methode_Keuze)),"",IF(Tb_Activiteiten[[#This Row],[Grondkosten]]=1,Tb_Activiteiten[[#Headers],[Grondkosten]],""))</f>
        <v/>
      </c>
      <c r="AV117" t="str">
        <f>IF(ISNUMBER(FIND("overige",Methode_Keuze)),"",IF(Tb_Activiteiten[[#This Row],[Bijdrage in natura (overige)]]=1,Tb_Activiteiten[[#Headers],[Bijdrage in natura (overige)]],""))</f>
        <v/>
      </c>
      <c r="AW117" t="str">
        <f>IF(ISNUMBER(FIND("overige",Methode_Keuze)),"",IF(Tb_Activiteiten[[#This Row],[Bijdrage in natura (vrijwilligers)]]=1,Tb_Activiteiten[[#Headers],[Bijdrage in natura (vrijwilligers)]],""))</f>
        <v/>
      </c>
      <c r="AX117" t="str">
        <f>IF(ISNUMBER(FIND("overige",Methode_Keuze)),"",IF(Tb_Activiteiten[[#This Row],[Afschrijvingskosten]]=1,Tb_Activiteiten[[#Headers],[Afschrijvingskosten]],""))</f>
        <v/>
      </c>
      <c r="AY117" t="str">
        <f>IF(ISNUMBER(FIND("overige",Methode_Keuze)),"",IF(Tb_Activiteiten[[#This Row],[Vergoeding]]=1,Tb_Activiteiten[[#Headers],[Vergoeding]],""))</f>
        <v/>
      </c>
      <c r="AZ117" t="str">
        <f>IF(ISNUMBER(FIND("arbeid",Methode_Keuze)),"",IF(Tb_Activiteiten[[#This Row],[Arbeidskosten - vast tarief (excl eigen arbeid)]]=1,Tb_Activiteiten[[#Headers],[Arbeidskosten - vast tarief (excl eigen arbeid)]],""))</f>
        <v/>
      </c>
      <c r="BA117" t="str">
        <f>IF(ISNUMBER(FIND("overige",Methode_Keuze)),"",IF(Tb_Activiteiten[[#This Row],[Overige kosten]]=1,Tb_Activiteiten[[#Headers],[Overige kosten]],""))</f>
        <v/>
      </c>
    </row>
    <row r="118" spans="1:53" x14ac:dyDescent="0.25">
      <c r="A118" s="231"/>
      <c r="F118" s="64"/>
      <c r="G118" s="64"/>
      <c r="H118" s="275"/>
      <c r="I118" s="275"/>
      <c r="J118" s="275"/>
      <c r="K118" s="275"/>
      <c r="O118" s="56"/>
      <c r="Q118" t="str">
        <f>IFERROR(IF(VLOOKUP(Tb_Activiteiten[[#This Row],[Openstelling]],Tb_Openstelling[],2,0)=1,1,""),"")</f>
        <v/>
      </c>
      <c r="AK118" t="str">
        <f>IF(ISNUMBER(FIND("arbeid",Methode_Keuze)),"",IF(ISNUMBER(FIND("arbeid",Methode_Keuze)),"",IF(Tb_Activiteiten[[#This Row],[Loonkosten]]=1,Tb_Activiteiten[[#Headers],[Loonkosten]],"")))</f>
        <v/>
      </c>
      <c r="AL118" t="str">
        <f>IF(ISNUMBER(FIND("arbeid",Methode_Keuze)),"",IF(ISNUMBER(FIND("arbeid",Methode_Keuze)),"",IF(Tb_Activiteiten[[#This Row],[Eigen arbeid]]=1,Tb_Activiteiten[[#Headers],[Eigen arbeid]],"")))</f>
        <v/>
      </c>
      <c r="AM118" t="str">
        <f>IF(ISNUMBER(FIND("arbeid",Methode_Keuze)),"",IF(ISNUMBER(FIND("arbeid",Methode_Keuze)),"",IF(Tb_Activiteiten[[#This Row],[Projectmedewerker]]=1,Tb_Activiteiten[[#Headers],[Projectmedewerker]],"")))</f>
        <v/>
      </c>
      <c r="AN118" t="str">
        <f>IF(ISNUMBER(FIND("arbeid",Methode_Keuze)),"",IF(ISNUMBER(FIND("arbeid",Methode_Keuze)),"",IF(Tb_Activiteiten[[#This Row],[Landbouwer]]=1,Tb_Activiteiten[[#Headers],[Landbouwer]],"")))</f>
        <v/>
      </c>
      <c r="AO118" t="str">
        <f>IF(ISNUMBER(FIND("arbeid",Methode_Keuze)),"",IF(ISNUMBER(FIND("arbeid",Methode_Keuze)),"",IF(Tb_Activiteiten[[#This Row],[Adviseur]]=1,Tb_Activiteiten[[#Headers],[Adviseur]],"")))</f>
        <v/>
      </c>
      <c r="AP118" t="str">
        <f>IF(ISNUMBER(FIND("arbeid",Methode_Keuze)),"",IF(ISNUMBER(FIND("arbeid",Methode_Keuze)),"",IF(Tb_Activiteiten[[#This Row],[Projectleider/Expert]]=1,Tb_Activiteiten[[#Headers],[Projectleider/Expert]],"")))</f>
        <v/>
      </c>
      <c r="AQ118" t="str">
        <f>IF(ISNUMBER(FIND("arbeid",Methode_Keuze)),"",IF(ISNUMBER(FIND("arbeid",Methode_Keuze)),"",IF(Tb_Activiteiten[[#This Row],[Arbeidskosten]]=1,Tb_Activiteiten[[#Headers],[Arbeidskosten]],"")))</f>
        <v/>
      </c>
      <c r="AR118" t="str">
        <f>IF(ISNUMBER(FIND("arbeid",Methode_Keuze)),"",IF(ISNUMBER(FIND("arbeid",Methode_Keuze)),"",IF(Tb_Activiteiten[[#This Row],[Arbeidskosten op basis van IKS]]=1,Tb_Activiteiten[[#Headers],[Arbeidskosten op basis van IKS]],"")))</f>
        <v/>
      </c>
      <c r="AS118" t="str">
        <f>IF(ISNUMBER(FIND("overige",Methode_Keuze)),"",IF(Tb_Activiteiten[[#This Row],[Kosten derden exclusief btw]]=1,Tb_Activiteiten[[#Headers],[Kosten derden exclusief btw]],""))</f>
        <v/>
      </c>
      <c r="AT118" t="str">
        <f>IF(ISNUMBER(FIND("overige",Methode_Keuze)),"",IF(Tb_Activiteiten[[#This Row],[Niet verrekenbare btw]]=1,Tb_Activiteiten[[#Headers],[Niet verrekenbare btw]],""))</f>
        <v/>
      </c>
      <c r="AU118" t="str">
        <f>IF(ISNUMBER(FIND("overige",Methode_Keuze)),"",IF(Tb_Activiteiten[[#This Row],[Grondkosten]]=1,Tb_Activiteiten[[#Headers],[Grondkosten]],""))</f>
        <v/>
      </c>
      <c r="AV118" t="str">
        <f>IF(ISNUMBER(FIND("overige",Methode_Keuze)),"",IF(Tb_Activiteiten[[#This Row],[Bijdrage in natura (overige)]]=1,Tb_Activiteiten[[#Headers],[Bijdrage in natura (overige)]],""))</f>
        <v/>
      </c>
      <c r="AW118" t="str">
        <f>IF(ISNUMBER(FIND("overige",Methode_Keuze)),"",IF(Tb_Activiteiten[[#This Row],[Bijdrage in natura (vrijwilligers)]]=1,Tb_Activiteiten[[#Headers],[Bijdrage in natura (vrijwilligers)]],""))</f>
        <v/>
      </c>
      <c r="AX118" t="str">
        <f>IF(ISNUMBER(FIND("overige",Methode_Keuze)),"",IF(Tb_Activiteiten[[#This Row],[Afschrijvingskosten]]=1,Tb_Activiteiten[[#Headers],[Afschrijvingskosten]],""))</f>
        <v/>
      </c>
      <c r="AY118" t="str">
        <f>IF(ISNUMBER(FIND("overige",Methode_Keuze)),"",IF(Tb_Activiteiten[[#This Row],[Vergoeding]]=1,Tb_Activiteiten[[#Headers],[Vergoeding]],""))</f>
        <v/>
      </c>
      <c r="AZ118" t="str">
        <f>IF(ISNUMBER(FIND("arbeid",Methode_Keuze)),"",IF(Tb_Activiteiten[[#This Row],[Arbeidskosten - vast tarief (excl eigen arbeid)]]=1,Tb_Activiteiten[[#Headers],[Arbeidskosten - vast tarief (excl eigen arbeid)]],""))</f>
        <v/>
      </c>
      <c r="BA118" t="str">
        <f>IF(ISNUMBER(FIND("overige",Methode_Keuze)),"",IF(Tb_Activiteiten[[#This Row],[Overige kosten]]=1,Tb_Activiteiten[[#Headers],[Overige kosten]],""))</f>
        <v/>
      </c>
    </row>
    <row r="119" spans="1:53" x14ac:dyDescent="0.25">
      <c r="A119" s="231"/>
      <c r="F119" s="64"/>
      <c r="G119" s="64"/>
      <c r="H119" s="275"/>
      <c r="I119" s="275"/>
      <c r="J119" s="275"/>
      <c r="K119" s="275"/>
      <c r="O119" s="56"/>
      <c r="Q119" t="str">
        <f>IFERROR(IF(VLOOKUP(Tb_Activiteiten[[#This Row],[Openstelling]],Tb_Openstelling[],2,0)=1,1,""),"")</f>
        <v/>
      </c>
      <c r="AK119" t="str">
        <f>IF(ISNUMBER(FIND("arbeid",Methode_Keuze)),"",IF(ISNUMBER(FIND("arbeid",Methode_Keuze)),"",IF(Tb_Activiteiten[[#This Row],[Loonkosten]]=1,Tb_Activiteiten[[#Headers],[Loonkosten]],"")))</f>
        <v/>
      </c>
      <c r="AL119" t="str">
        <f>IF(ISNUMBER(FIND("arbeid",Methode_Keuze)),"",IF(ISNUMBER(FIND("arbeid",Methode_Keuze)),"",IF(Tb_Activiteiten[[#This Row],[Eigen arbeid]]=1,Tb_Activiteiten[[#Headers],[Eigen arbeid]],"")))</f>
        <v/>
      </c>
      <c r="AM119" t="str">
        <f>IF(ISNUMBER(FIND("arbeid",Methode_Keuze)),"",IF(ISNUMBER(FIND("arbeid",Methode_Keuze)),"",IF(Tb_Activiteiten[[#This Row],[Projectmedewerker]]=1,Tb_Activiteiten[[#Headers],[Projectmedewerker]],"")))</f>
        <v/>
      </c>
      <c r="AN119" t="str">
        <f>IF(ISNUMBER(FIND("arbeid",Methode_Keuze)),"",IF(ISNUMBER(FIND("arbeid",Methode_Keuze)),"",IF(Tb_Activiteiten[[#This Row],[Landbouwer]]=1,Tb_Activiteiten[[#Headers],[Landbouwer]],"")))</f>
        <v/>
      </c>
      <c r="AO119" t="str">
        <f>IF(ISNUMBER(FIND("arbeid",Methode_Keuze)),"",IF(ISNUMBER(FIND("arbeid",Methode_Keuze)),"",IF(Tb_Activiteiten[[#This Row],[Adviseur]]=1,Tb_Activiteiten[[#Headers],[Adviseur]],"")))</f>
        <v/>
      </c>
      <c r="AP119" t="str">
        <f>IF(ISNUMBER(FIND("arbeid",Methode_Keuze)),"",IF(ISNUMBER(FIND("arbeid",Methode_Keuze)),"",IF(Tb_Activiteiten[[#This Row],[Projectleider/Expert]]=1,Tb_Activiteiten[[#Headers],[Projectleider/Expert]],"")))</f>
        <v/>
      </c>
      <c r="AQ119" t="str">
        <f>IF(ISNUMBER(FIND("arbeid",Methode_Keuze)),"",IF(ISNUMBER(FIND("arbeid",Methode_Keuze)),"",IF(Tb_Activiteiten[[#This Row],[Arbeidskosten]]=1,Tb_Activiteiten[[#Headers],[Arbeidskosten]],"")))</f>
        <v/>
      </c>
      <c r="AR119" t="str">
        <f>IF(ISNUMBER(FIND("arbeid",Methode_Keuze)),"",IF(ISNUMBER(FIND("arbeid",Methode_Keuze)),"",IF(Tb_Activiteiten[[#This Row],[Arbeidskosten op basis van IKS]]=1,Tb_Activiteiten[[#Headers],[Arbeidskosten op basis van IKS]],"")))</f>
        <v/>
      </c>
      <c r="AS119" t="str">
        <f>IF(ISNUMBER(FIND("overige",Methode_Keuze)),"",IF(Tb_Activiteiten[[#This Row],[Kosten derden exclusief btw]]=1,Tb_Activiteiten[[#Headers],[Kosten derden exclusief btw]],""))</f>
        <v/>
      </c>
      <c r="AT119" t="str">
        <f>IF(ISNUMBER(FIND("overige",Methode_Keuze)),"",IF(Tb_Activiteiten[[#This Row],[Niet verrekenbare btw]]=1,Tb_Activiteiten[[#Headers],[Niet verrekenbare btw]],""))</f>
        <v/>
      </c>
      <c r="AU119" t="str">
        <f>IF(ISNUMBER(FIND("overige",Methode_Keuze)),"",IF(Tb_Activiteiten[[#This Row],[Grondkosten]]=1,Tb_Activiteiten[[#Headers],[Grondkosten]],""))</f>
        <v/>
      </c>
      <c r="AV119" t="str">
        <f>IF(ISNUMBER(FIND("overige",Methode_Keuze)),"",IF(Tb_Activiteiten[[#This Row],[Bijdrage in natura (overige)]]=1,Tb_Activiteiten[[#Headers],[Bijdrage in natura (overige)]],""))</f>
        <v/>
      </c>
      <c r="AW119" t="str">
        <f>IF(ISNUMBER(FIND("overige",Methode_Keuze)),"",IF(Tb_Activiteiten[[#This Row],[Bijdrage in natura (vrijwilligers)]]=1,Tb_Activiteiten[[#Headers],[Bijdrage in natura (vrijwilligers)]],""))</f>
        <v/>
      </c>
      <c r="AX119" t="str">
        <f>IF(ISNUMBER(FIND("overige",Methode_Keuze)),"",IF(Tb_Activiteiten[[#This Row],[Afschrijvingskosten]]=1,Tb_Activiteiten[[#Headers],[Afschrijvingskosten]],""))</f>
        <v/>
      </c>
      <c r="AY119" t="str">
        <f>IF(ISNUMBER(FIND("overige",Methode_Keuze)),"",IF(Tb_Activiteiten[[#This Row],[Vergoeding]]=1,Tb_Activiteiten[[#Headers],[Vergoeding]],""))</f>
        <v/>
      </c>
      <c r="AZ119" t="str">
        <f>IF(ISNUMBER(FIND("arbeid",Methode_Keuze)),"",IF(Tb_Activiteiten[[#This Row],[Arbeidskosten - vast tarief (excl eigen arbeid)]]=1,Tb_Activiteiten[[#Headers],[Arbeidskosten - vast tarief (excl eigen arbeid)]],""))</f>
        <v/>
      </c>
      <c r="BA119" t="str">
        <f>IF(ISNUMBER(FIND("overige",Methode_Keuze)),"",IF(Tb_Activiteiten[[#This Row],[Overige kosten]]=1,Tb_Activiteiten[[#Headers],[Overige kosten]],""))</f>
        <v/>
      </c>
    </row>
    <row r="120" spans="1:53" x14ac:dyDescent="0.25">
      <c r="A120" s="231"/>
      <c r="F120" s="64"/>
      <c r="G120" s="64"/>
      <c r="H120" s="275"/>
      <c r="I120" s="275"/>
      <c r="J120" s="275"/>
      <c r="K120" s="275"/>
      <c r="O120" s="56"/>
      <c r="Q120" t="str">
        <f>IFERROR(IF(VLOOKUP(Tb_Activiteiten[[#This Row],[Openstelling]],Tb_Openstelling[],2,0)=1,1,""),"")</f>
        <v/>
      </c>
      <c r="AK120" t="str">
        <f>IF(ISNUMBER(FIND("arbeid",Methode_Keuze)),"",IF(ISNUMBER(FIND("arbeid",Methode_Keuze)),"",IF(Tb_Activiteiten[[#This Row],[Loonkosten]]=1,Tb_Activiteiten[[#Headers],[Loonkosten]],"")))</f>
        <v/>
      </c>
      <c r="AL120" t="str">
        <f>IF(ISNUMBER(FIND("arbeid",Methode_Keuze)),"",IF(ISNUMBER(FIND("arbeid",Methode_Keuze)),"",IF(Tb_Activiteiten[[#This Row],[Eigen arbeid]]=1,Tb_Activiteiten[[#Headers],[Eigen arbeid]],"")))</f>
        <v/>
      </c>
      <c r="AM120" t="str">
        <f>IF(ISNUMBER(FIND("arbeid",Methode_Keuze)),"",IF(ISNUMBER(FIND("arbeid",Methode_Keuze)),"",IF(Tb_Activiteiten[[#This Row],[Projectmedewerker]]=1,Tb_Activiteiten[[#Headers],[Projectmedewerker]],"")))</f>
        <v/>
      </c>
      <c r="AN120" t="str">
        <f>IF(ISNUMBER(FIND("arbeid",Methode_Keuze)),"",IF(ISNUMBER(FIND("arbeid",Methode_Keuze)),"",IF(Tb_Activiteiten[[#This Row],[Landbouwer]]=1,Tb_Activiteiten[[#Headers],[Landbouwer]],"")))</f>
        <v/>
      </c>
      <c r="AO120" t="str">
        <f>IF(ISNUMBER(FIND("arbeid",Methode_Keuze)),"",IF(ISNUMBER(FIND("arbeid",Methode_Keuze)),"",IF(Tb_Activiteiten[[#This Row],[Adviseur]]=1,Tb_Activiteiten[[#Headers],[Adviseur]],"")))</f>
        <v/>
      </c>
      <c r="AP120" t="str">
        <f>IF(ISNUMBER(FIND("arbeid",Methode_Keuze)),"",IF(ISNUMBER(FIND("arbeid",Methode_Keuze)),"",IF(Tb_Activiteiten[[#This Row],[Projectleider/Expert]]=1,Tb_Activiteiten[[#Headers],[Projectleider/Expert]],"")))</f>
        <v/>
      </c>
      <c r="AQ120" t="str">
        <f>IF(ISNUMBER(FIND("arbeid",Methode_Keuze)),"",IF(ISNUMBER(FIND("arbeid",Methode_Keuze)),"",IF(Tb_Activiteiten[[#This Row],[Arbeidskosten]]=1,Tb_Activiteiten[[#Headers],[Arbeidskosten]],"")))</f>
        <v/>
      </c>
      <c r="AR120" t="str">
        <f>IF(ISNUMBER(FIND("arbeid",Methode_Keuze)),"",IF(ISNUMBER(FIND("arbeid",Methode_Keuze)),"",IF(Tb_Activiteiten[[#This Row],[Arbeidskosten op basis van IKS]]=1,Tb_Activiteiten[[#Headers],[Arbeidskosten op basis van IKS]],"")))</f>
        <v/>
      </c>
      <c r="AS120" t="str">
        <f>IF(ISNUMBER(FIND("overige",Methode_Keuze)),"",IF(Tb_Activiteiten[[#This Row],[Kosten derden exclusief btw]]=1,Tb_Activiteiten[[#Headers],[Kosten derden exclusief btw]],""))</f>
        <v/>
      </c>
      <c r="AT120" t="str">
        <f>IF(ISNUMBER(FIND("overige",Methode_Keuze)),"",IF(Tb_Activiteiten[[#This Row],[Niet verrekenbare btw]]=1,Tb_Activiteiten[[#Headers],[Niet verrekenbare btw]],""))</f>
        <v/>
      </c>
      <c r="AU120" t="str">
        <f>IF(ISNUMBER(FIND("overige",Methode_Keuze)),"",IF(Tb_Activiteiten[[#This Row],[Grondkosten]]=1,Tb_Activiteiten[[#Headers],[Grondkosten]],""))</f>
        <v/>
      </c>
      <c r="AV120" t="str">
        <f>IF(ISNUMBER(FIND("overige",Methode_Keuze)),"",IF(Tb_Activiteiten[[#This Row],[Bijdrage in natura (overige)]]=1,Tb_Activiteiten[[#Headers],[Bijdrage in natura (overige)]],""))</f>
        <v/>
      </c>
      <c r="AW120" t="str">
        <f>IF(ISNUMBER(FIND("overige",Methode_Keuze)),"",IF(Tb_Activiteiten[[#This Row],[Bijdrage in natura (vrijwilligers)]]=1,Tb_Activiteiten[[#Headers],[Bijdrage in natura (vrijwilligers)]],""))</f>
        <v/>
      </c>
      <c r="AX120" t="str">
        <f>IF(ISNUMBER(FIND("overige",Methode_Keuze)),"",IF(Tb_Activiteiten[[#This Row],[Afschrijvingskosten]]=1,Tb_Activiteiten[[#Headers],[Afschrijvingskosten]],""))</f>
        <v/>
      </c>
      <c r="AY120" t="str">
        <f>IF(ISNUMBER(FIND("overige",Methode_Keuze)),"",IF(Tb_Activiteiten[[#This Row],[Vergoeding]]=1,Tb_Activiteiten[[#Headers],[Vergoeding]],""))</f>
        <v/>
      </c>
      <c r="AZ120" t="str">
        <f>IF(ISNUMBER(FIND("arbeid",Methode_Keuze)),"",IF(Tb_Activiteiten[[#This Row],[Arbeidskosten - vast tarief (excl eigen arbeid)]]=1,Tb_Activiteiten[[#Headers],[Arbeidskosten - vast tarief (excl eigen arbeid)]],""))</f>
        <v/>
      </c>
      <c r="BA120" t="str">
        <f>IF(ISNUMBER(FIND("overige",Methode_Keuze)),"",IF(Tb_Activiteiten[[#This Row],[Overige kosten]]=1,Tb_Activiteiten[[#Headers],[Overige kosten]],""))</f>
        <v/>
      </c>
    </row>
    <row r="121" spans="1:53" x14ac:dyDescent="0.25">
      <c r="A121" s="231"/>
      <c r="F121" s="64"/>
      <c r="G121" s="64"/>
      <c r="H121" s="275"/>
      <c r="I121" s="275"/>
      <c r="J121" s="275"/>
      <c r="K121" s="275"/>
      <c r="O121" s="56"/>
      <c r="Q121" t="str">
        <f>IFERROR(IF(VLOOKUP(Tb_Activiteiten[[#This Row],[Openstelling]],Tb_Openstelling[],2,0)=1,1,""),"")</f>
        <v/>
      </c>
      <c r="AK121" t="str">
        <f>IF(ISNUMBER(FIND("arbeid",Methode_Keuze)),"",IF(ISNUMBER(FIND("arbeid",Methode_Keuze)),"",IF(Tb_Activiteiten[[#This Row],[Loonkosten]]=1,Tb_Activiteiten[[#Headers],[Loonkosten]],"")))</f>
        <v/>
      </c>
      <c r="AL121" t="str">
        <f>IF(ISNUMBER(FIND("arbeid",Methode_Keuze)),"",IF(ISNUMBER(FIND("arbeid",Methode_Keuze)),"",IF(Tb_Activiteiten[[#This Row],[Eigen arbeid]]=1,Tb_Activiteiten[[#Headers],[Eigen arbeid]],"")))</f>
        <v/>
      </c>
      <c r="AM121" t="str">
        <f>IF(ISNUMBER(FIND("arbeid",Methode_Keuze)),"",IF(ISNUMBER(FIND("arbeid",Methode_Keuze)),"",IF(Tb_Activiteiten[[#This Row],[Projectmedewerker]]=1,Tb_Activiteiten[[#Headers],[Projectmedewerker]],"")))</f>
        <v/>
      </c>
      <c r="AN121" t="str">
        <f>IF(ISNUMBER(FIND("arbeid",Methode_Keuze)),"",IF(ISNUMBER(FIND("arbeid",Methode_Keuze)),"",IF(Tb_Activiteiten[[#This Row],[Landbouwer]]=1,Tb_Activiteiten[[#Headers],[Landbouwer]],"")))</f>
        <v/>
      </c>
      <c r="AO121" t="str">
        <f>IF(ISNUMBER(FIND("arbeid",Methode_Keuze)),"",IF(ISNUMBER(FIND("arbeid",Methode_Keuze)),"",IF(Tb_Activiteiten[[#This Row],[Adviseur]]=1,Tb_Activiteiten[[#Headers],[Adviseur]],"")))</f>
        <v/>
      </c>
      <c r="AP121" t="str">
        <f>IF(ISNUMBER(FIND("arbeid",Methode_Keuze)),"",IF(ISNUMBER(FIND("arbeid",Methode_Keuze)),"",IF(Tb_Activiteiten[[#This Row],[Projectleider/Expert]]=1,Tb_Activiteiten[[#Headers],[Projectleider/Expert]],"")))</f>
        <v/>
      </c>
      <c r="AQ121" t="str">
        <f>IF(ISNUMBER(FIND("arbeid",Methode_Keuze)),"",IF(ISNUMBER(FIND("arbeid",Methode_Keuze)),"",IF(Tb_Activiteiten[[#This Row],[Arbeidskosten]]=1,Tb_Activiteiten[[#Headers],[Arbeidskosten]],"")))</f>
        <v/>
      </c>
      <c r="AR121" t="str">
        <f>IF(ISNUMBER(FIND("arbeid",Methode_Keuze)),"",IF(ISNUMBER(FIND("arbeid",Methode_Keuze)),"",IF(Tb_Activiteiten[[#This Row],[Arbeidskosten op basis van IKS]]=1,Tb_Activiteiten[[#Headers],[Arbeidskosten op basis van IKS]],"")))</f>
        <v/>
      </c>
      <c r="AS121" t="str">
        <f>IF(ISNUMBER(FIND("overige",Methode_Keuze)),"",IF(Tb_Activiteiten[[#This Row],[Kosten derden exclusief btw]]=1,Tb_Activiteiten[[#Headers],[Kosten derden exclusief btw]],""))</f>
        <v/>
      </c>
      <c r="AT121" t="str">
        <f>IF(ISNUMBER(FIND("overige",Methode_Keuze)),"",IF(Tb_Activiteiten[[#This Row],[Niet verrekenbare btw]]=1,Tb_Activiteiten[[#Headers],[Niet verrekenbare btw]],""))</f>
        <v/>
      </c>
      <c r="AU121" t="str">
        <f>IF(ISNUMBER(FIND("overige",Methode_Keuze)),"",IF(Tb_Activiteiten[[#This Row],[Grondkosten]]=1,Tb_Activiteiten[[#Headers],[Grondkosten]],""))</f>
        <v/>
      </c>
      <c r="AV121" t="str">
        <f>IF(ISNUMBER(FIND("overige",Methode_Keuze)),"",IF(Tb_Activiteiten[[#This Row],[Bijdrage in natura (overige)]]=1,Tb_Activiteiten[[#Headers],[Bijdrage in natura (overige)]],""))</f>
        <v/>
      </c>
      <c r="AW121" t="str">
        <f>IF(ISNUMBER(FIND("overige",Methode_Keuze)),"",IF(Tb_Activiteiten[[#This Row],[Bijdrage in natura (vrijwilligers)]]=1,Tb_Activiteiten[[#Headers],[Bijdrage in natura (vrijwilligers)]],""))</f>
        <v/>
      </c>
      <c r="AX121" t="str">
        <f>IF(ISNUMBER(FIND("overige",Methode_Keuze)),"",IF(Tb_Activiteiten[[#This Row],[Afschrijvingskosten]]=1,Tb_Activiteiten[[#Headers],[Afschrijvingskosten]],""))</f>
        <v/>
      </c>
      <c r="AY121" t="str">
        <f>IF(ISNUMBER(FIND("overige",Methode_Keuze)),"",IF(Tb_Activiteiten[[#This Row],[Vergoeding]]=1,Tb_Activiteiten[[#Headers],[Vergoeding]],""))</f>
        <v/>
      </c>
      <c r="AZ121" t="str">
        <f>IF(ISNUMBER(FIND("arbeid",Methode_Keuze)),"",IF(Tb_Activiteiten[[#This Row],[Arbeidskosten - vast tarief (excl eigen arbeid)]]=1,Tb_Activiteiten[[#Headers],[Arbeidskosten - vast tarief (excl eigen arbeid)]],""))</f>
        <v/>
      </c>
      <c r="BA121" t="str">
        <f>IF(ISNUMBER(FIND("overige",Methode_Keuze)),"",IF(Tb_Activiteiten[[#This Row],[Overige kosten]]=1,Tb_Activiteiten[[#Headers],[Overige kosten]],""))</f>
        <v/>
      </c>
    </row>
    <row r="122" spans="1:53" x14ac:dyDescent="0.25">
      <c r="A122" s="231"/>
      <c r="F122" s="64"/>
      <c r="G122" s="64"/>
      <c r="H122" s="275"/>
      <c r="I122" s="275"/>
      <c r="J122" s="275"/>
      <c r="K122" s="275"/>
      <c r="O122" s="56"/>
      <c r="Q122" t="str">
        <f>IFERROR(IF(VLOOKUP(Tb_Activiteiten[[#This Row],[Openstelling]],Tb_Openstelling[],2,0)=1,1,""),"")</f>
        <v/>
      </c>
      <c r="AK122" t="str">
        <f>IF(ISNUMBER(FIND("arbeid",Methode_Keuze)),"",IF(ISNUMBER(FIND("arbeid",Methode_Keuze)),"",IF(Tb_Activiteiten[[#This Row],[Loonkosten]]=1,Tb_Activiteiten[[#Headers],[Loonkosten]],"")))</f>
        <v/>
      </c>
      <c r="AL122" t="str">
        <f>IF(ISNUMBER(FIND("arbeid",Methode_Keuze)),"",IF(ISNUMBER(FIND("arbeid",Methode_Keuze)),"",IF(Tb_Activiteiten[[#This Row],[Eigen arbeid]]=1,Tb_Activiteiten[[#Headers],[Eigen arbeid]],"")))</f>
        <v/>
      </c>
      <c r="AM122" t="str">
        <f>IF(ISNUMBER(FIND("arbeid",Methode_Keuze)),"",IF(ISNUMBER(FIND("arbeid",Methode_Keuze)),"",IF(Tb_Activiteiten[[#This Row],[Projectmedewerker]]=1,Tb_Activiteiten[[#Headers],[Projectmedewerker]],"")))</f>
        <v/>
      </c>
      <c r="AN122" t="str">
        <f>IF(ISNUMBER(FIND("arbeid",Methode_Keuze)),"",IF(ISNUMBER(FIND("arbeid",Methode_Keuze)),"",IF(Tb_Activiteiten[[#This Row],[Landbouwer]]=1,Tb_Activiteiten[[#Headers],[Landbouwer]],"")))</f>
        <v/>
      </c>
      <c r="AO122" t="str">
        <f>IF(ISNUMBER(FIND("arbeid",Methode_Keuze)),"",IF(ISNUMBER(FIND("arbeid",Methode_Keuze)),"",IF(Tb_Activiteiten[[#This Row],[Adviseur]]=1,Tb_Activiteiten[[#Headers],[Adviseur]],"")))</f>
        <v/>
      </c>
      <c r="AP122" t="str">
        <f>IF(ISNUMBER(FIND("arbeid",Methode_Keuze)),"",IF(ISNUMBER(FIND("arbeid",Methode_Keuze)),"",IF(Tb_Activiteiten[[#This Row],[Projectleider/Expert]]=1,Tb_Activiteiten[[#Headers],[Projectleider/Expert]],"")))</f>
        <v/>
      </c>
      <c r="AQ122" t="str">
        <f>IF(ISNUMBER(FIND("arbeid",Methode_Keuze)),"",IF(ISNUMBER(FIND("arbeid",Methode_Keuze)),"",IF(Tb_Activiteiten[[#This Row],[Arbeidskosten]]=1,Tb_Activiteiten[[#Headers],[Arbeidskosten]],"")))</f>
        <v/>
      </c>
      <c r="AR122" t="str">
        <f>IF(ISNUMBER(FIND("arbeid",Methode_Keuze)),"",IF(ISNUMBER(FIND("arbeid",Methode_Keuze)),"",IF(Tb_Activiteiten[[#This Row],[Arbeidskosten op basis van IKS]]=1,Tb_Activiteiten[[#Headers],[Arbeidskosten op basis van IKS]],"")))</f>
        <v/>
      </c>
      <c r="AS122" t="str">
        <f>IF(ISNUMBER(FIND("overige",Methode_Keuze)),"",IF(Tb_Activiteiten[[#This Row],[Kosten derden exclusief btw]]=1,Tb_Activiteiten[[#Headers],[Kosten derden exclusief btw]],""))</f>
        <v/>
      </c>
      <c r="AT122" t="str">
        <f>IF(ISNUMBER(FIND("overige",Methode_Keuze)),"",IF(Tb_Activiteiten[[#This Row],[Niet verrekenbare btw]]=1,Tb_Activiteiten[[#Headers],[Niet verrekenbare btw]],""))</f>
        <v/>
      </c>
      <c r="AU122" t="str">
        <f>IF(ISNUMBER(FIND("overige",Methode_Keuze)),"",IF(Tb_Activiteiten[[#This Row],[Grondkosten]]=1,Tb_Activiteiten[[#Headers],[Grondkosten]],""))</f>
        <v/>
      </c>
      <c r="AV122" t="str">
        <f>IF(ISNUMBER(FIND("overige",Methode_Keuze)),"",IF(Tb_Activiteiten[[#This Row],[Bijdrage in natura (overige)]]=1,Tb_Activiteiten[[#Headers],[Bijdrage in natura (overige)]],""))</f>
        <v/>
      </c>
      <c r="AW122" t="str">
        <f>IF(ISNUMBER(FIND("overige",Methode_Keuze)),"",IF(Tb_Activiteiten[[#This Row],[Bijdrage in natura (vrijwilligers)]]=1,Tb_Activiteiten[[#Headers],[Bijdrage in natura (vrijwilligers)]],""))</f>
        <v/>
      </c>
      <c r="AX122" t="str">
        <f>IF(ISNUMBER(FIND("overige",Methode_Keuze)),"",IF(Tb_Activiteiten[[#This Row],[Afschrijvingskosten]]=1,Tb_Activiteiten[[#Headers],[Afschrijvingskosten]],""))</f>
        <v/>
      </c>
      <c r="AY122" t="str">
        <f>IF(ISNUMBER(FIND("overige",Methode_Keuze)),"",IF(Tb_Activiteiten[[#This Row],[Vergoeding]]=1,Tb_Activiteiten[[#Headers],[Vergoeding]],""))</f>
        <v/>
      </c>
      <c r="AZ122" t="str">
        <f>IF(ISNUMBER(FIND("arbeid",Methode_Keuze)),"",IF(Tb_Activiteiten[[#This Row],[Arbeidskosten - vast tarief (excl eigen arbeid)]]=1,Tb_Activiteiten[[#Headers],[Arbeidskosten - vast tarief (excl eigen arbeid)]],""))</f>
        <v/>
      </c>
      <c r="BA122" t="str">
        <f>IF(ISNUMBER(FIND("overige",Methode_Keuze)),"",IF(Tb_Activiteiten[[#This Row],[Overige kosten]]=1,Tb_Activiteiten[[#Headers],[Overige kosten]],""))</f>
        <v/>
      </c>
    </row>
    <row r="123" spans="1:53" x14ac:dyDescent="0.25">
      <c r="A123" s="231"/>
      <c r="F123" s="64"/>
      <c r="G123" s="64"/>
      <c r="H123" s="275"/>
      <c r="I123" s="275"/>
      <c r="J123" s="275"/>
      <c r="K123" s="275"/>
      <c r="O123" s="56"/>
      <c r="Q123" t="str">
        <f>IFERROR(IF(VLOOKUP(Tb_Activiteiten[[#This Row],[Openstelling]],Tb_Openstelling[],2,0)=1,1,""),"")</f>
        <v/>
      </c>
      <c r="AK123" t="str">
        <f>IF(ISNUMBER(FIND("arbeid",Methode_Keuze)),"",IF(ISNUMBER(FIND("arbeid",Methode_Keuze)),"",IF(Tb_Activiteiten[[#This Row],[Loonkosten]]=1,Tb_Activiteiten[[#Headers],[Loonkosten]],"")))</f>
        <v/>
      </c>
      <c r="AL123" t="str">
        <f>IF(ISNUMBER(FIND("arbeid",Methode_Keuze)),"",IF(ISNUMBER(FIND("arbeid",Methode_Keuze)),"",IF(Tb_Activiteiten[[#This Row],[Eigen arbeid]]=1,Tb_Activiteiten[[#Headers],[Eigen arbeid]],"")))</f>
        <v/>
      </c>
      <c r="AM123" t="str">
        <f>IF(ISNUMBER(FIND("arbeid",Methode_Keuze)),"",IF(ISNUMBER(FIND("arbeid",Methode_Keuze)),"",IF(Tb_Activiteiten[[#This Row],[Projectmedewerker]]=1,Tb_Activiteiten[[#Headers],[Projectmedewerker]],"")))</f>
        <v/>
      </c>
      <c r="AN123" t="str">
        <f>IF(ISNUMBER(FIND("arbeid",Methode_Keuze)),"",IF(ISNUMBER(FIND("arbeid",Methode_Keuze)),"",IF(Tb_Activiteiten[[#This Row],[Landbouwer]]=1,Tb_Activiteiten[[#Headers],[Landbouwer]],"")))</f>
        <v/>
      </c>
      <c r="AO123" t="str">
        <f>IF(ISNUMBER(FIND("arbeid",Methode_Keuze)),"",IF(ISNUMBER(FIND("arbeid",Methode_Keuze)),"",IF(Tb_Activiteiten[[#This Row],[Adviseur]]=1,Tb_Activiteiten[[#Headers],[Adviseur]],"")))</f>
        <v/>
      </c>
      <c r="AP123" t="str">
        <f>IF(ISNUMBER(FIND("arbeid",Methode_Keuze)),"",IF(ISNUMBER(FIND("arbeid",Methode_Keuze)),"",IF(Tb_Activiteiten[[#This Row],[Projectleider/Expert]]=1,Tb_Activiteiten[[#Headers],[Projectleider/Expert]],"")))</f>
        <v/>
      </c>
      <c r="AQ123" t="str">
        <f>IF(ISNUMBER(FIND("arbeid",Methode_Keuze)),"",IF(ISNUMBER(FIND("arbeid",Methode_Keuze)),"",IF(Tb_Activiteiten[[#This Row],[Arbeidskosten]]=1,Tb_Activiteiten[[#Headers],[Arbeidskosten]],"")))</f>
        <v/>
      </c>
      <c r="AR123" t="str">
        <f>IF(ISNUMBER(FIND("arbeid",Methode_Keuze)),"",IF(ISNUMBER(FIND("arbeid",Methode_Keuze)),"",IF(Tb_Activiteiten[[#This Row],[Arbeidskosten op basis van IKS]]=1,Tb_Activiteiten[[#Headers],[Arbeidskosten op basis van IKS]],"")))</f>
        <v/>
      </c>
      <c r="AS123" t="str">
        <f>IF(ISNUMBER(FIND("overige",Methode_Keuze)),"",IF(Tb_Activiteiten[[#This Row],[Kosten derden exclusief btw]]=1,Tb_Activiteiten[[#Headers],[Kosten derden exclusief btw]],""))</f>
        <v/>
      </c>
      <c r="AT123" t="str">
        <f>IF(ISNUMBER(FIND("overige",Methode_Keuze)),"",IF(Tb_Activiteiten[[#This Row],[Niet verrekenbare btw]]=1,Tb_Activiteiten[[#Headers],[Niet verrekenbare btw]],""))</f>
        <v/>
      </c>
      <c r="AU123" t="str">
        <f>IF(ISNUMBER(FIND("overige",Methode_Keuze)),"",IF(Tb_Activiteiten[[#This Row],[Grondkosten]]=1,Tb_Activiteiten[[#Headers],[Grondkosten]],""))</f>
        <v/>
      </c>
      <c r="AV123" t="str">
        <f>IF(ISNUMBER(FIND("overige",Methode_Keuze)),"",IF(Tb_Activiteiten[[#This Row],[Bijdrage in natura (overige)]]=1,Tb_Activiteiten[[#Headers],[Bijdrage in natura (overige)]],""))</f>
        <v/>
      </c>
      <c r="AW123" t="str">
        <f>IF(ISNUMBER(FIND("overige",Methode_Keuze)),"",IF(Tb_Activiteiten[[#This Row],[Bijdrage in natura (vrijwilligers)]]=1,Tb_Activiteiten[[#Headers],[Bijdrage in natura (vrijwilligers)]],""))</f>
        <v/>
      </c>
      <c r="AX123" t="str">
        <f>IF(ISNUMBER(FIND("overige",Methode_Keuze)),"",IF(Tb_Activiteiten[[#This Row],[Afschrijvingskosten]]=1,Tb_Activiteiten[[#Headers],[Afschrijvingskosten]],""))</f>
        <v/>
      </c>
      <c r="AY123" t="str">
        <f>IF(ISNUMBER(FIND("overige",Methode_Keuze)),"",IF(Tb_Activiteiten[[#This Row],[Vergoeding]]=1,Tb_Activiteiten[[#Headers],[Vergoeding]],""))</f>
        <v/>
      </c>
      <c r="AZ123" t="str">
        <f>IF(ISNUMBER(FIND("arbeid",Methode_Keuze)),"",IF(Tb_Activiteiten[[#This Row],[Arbeidskosten - vast tarief (excl eigen arbeid)]]=1,Tb_Activiteiten[[#Headers],[Arbeidskosten - vast tarief (excl eigen arbeid)]],""))</f>
        <v/>
      </c>
      <c r="BA123" t="str">
        <f>IF(ISNUMBER(FIND("overige",Methode_Keuze)),"",IF(Tb_Activiteiten[[#This Row],[Overige kosten]]=1,Tb_Activiteiten[[#Headers],[Overige kosten]],""))</f>
        <v/>
      </c>
    </row>
    <row r="124" spans="1:53" x14ac:dyDescent="0.25">
      <c r="A124" s="231"/>
      <c r="F124" s="64"/>
      <c r="G124" s="64"/>
      <c r="H124" s="275"/>
      <c r="I124" s="275"/>
      <c r="J124" s="275"/>
      <c r="K124" s="275"/>
      <c r="O124" s="56"/>
      <c r="Q124" t="str">
        <f>IFERROR(IF(VLOOKUP(Tb_Activiteiten[[#This Row],[Openstelling]],Tb_Openstelling[],2,0)=1,1,""),"")</f>
        <v/>
      </c>
      <c r="AK124" t="str">
        <f>IF(ISNUMBER(FIND("arbeid",Methode_Keuze)),"",IF(ISNUMBER(FIND("arbeid",Methode_Keuze)),"",IF(Tb_Activiteiten[[#This Row],[Loonkosten]]=1,Tb_Activiteiten[[#Headers],[Loonkosten]],"")))</f>
        <v/>
      </c>
      <c r="AL124" t="str">
        <f>IF(ISNUMBER(FIND("arbeid",Methode_Keuze)),"",IF(ISNUMBER(FIND("arbeid",Methode_Keuze)),"",IF(Tb_Activiteiten[[#This Row],[Eigen arbeid]]=1,Tb_Activiteiten[[#Headers],[Eigen arbeid]],"")))</f>
        <v/>
      </c>
      <c r="AM124" t="str">
        <f>IF(ISNUMBER(FIND("arbeid",Methode_Keuze)),"",IF(ISNUMBER(FIND("arbeid",Methode_Keuze)),"",IF(Tb_Activiteiten[[#This Row],[Projectmedewerker]]=1,Tb_Activiteiten[[#Headers],[Projectmedewerker]],"")))</f>
        <v/>
      </c>
      <c r="AN124" t="str">
        <f>IF(ISNUMBER(FIND("arbeid",Methode_Keuze)),"",IF(ISNUMBER(FIND("arbeid",Methode_Keuze)),"",IF(Tb_Activiteiten[[#This Row],[Landbouwer]]=1,Tb_Activiteiten[[#Headers],[Landbouwer]],"")))</f>
        <v/>
      </c>
      <c r="AO124" t="str">
        <f>IF(ISNUMBER(FIND("arbeid",Methode_Keuze)),"",IF(ISNUMBER(FIND("arbeid",Methode_Keuze)),"",IF(Tb_Activiteiten[[#This Row],[Adviseur]]=1,Tb_Activiteiten[[#Headers],[Adviseur]],"")))</f>
        <v/>
      </c>
      <c r="AP124" t="str">
        <f>IF(ISNUMBER(FIND("arbeid",Methode_Keuze)),"",IF(ISNUMBER(FIND("arbeid",Methode_Keuze)),"",IF(Tb_Activiteiten[[#This Row],[Projectleider/Expert]]=1,Tb_Activiteiten[[#Headers],[Projectleider/Expert]],"")))</f>
        <v/>
      </c>
      <c r="AQ124" t="str">
        <f>IF(ISNUMBER(FIND("arbeid",Methode_Keuze)),"",IF(ISNUMBER(FIND("arbeid",Methode_Keuze)),"",IF(Tb_Activiteiten[[#This Row],[Arbeidskosten]]=1,Tb_Activiteiten[[#Headers],[Arbeidskosten]],"")))</f>
        <v/>
      </c>
      <c r="AR124" t="str">
        <f>IF(ISNUMBER(FIND("arbeid",Methode_Keuze)),"",IF(ISNUMBER(FIND("arbeid",Methode_Keuze)),"",IF(Tb_Activiteiten[[#This Row],[Arbeidskosten op basis van IKS]]=1,Tb_Activiteiten[[#Headers],[Arbeidskosten op basis van IKS]],"")))</f>
        <v/>
      </c>
      <c r="AS124" t="str">
        <f>IF(ISNUMBER(FIND("overige",Methode_Keuze)),"",IF(Tb_Activiteiten[[#This Row],[Kosten derden exclusief btw]]=1,Tb_Activiteiten[[#Headers],[Kosten derden exclusief btw]],""))</f>
        <v/>
      </c>
      <c r="AT124" t="str">
        <f>IF(ISNUMBER(FIND("overige",Methode_Keuze)),"",IF(Tb_Activiteiten[[#This Row],[Niet verrekenbare btw]]=1,Tb_Activiteiten[[#Headers],[Niet verrekenbare btw]],""))</f>
        <v/>
      </c>
      <c r="AU124" t="str">
        <f>IF(ISNUMBER(FIND("overige",Methode_Keuze)),"",IF(Tb_Activiteiten[[#This Row],[Grondkosten]]=1,Tb_Activiteiten[[#Headers],[Grondkosten]],""))</f>
        <v/>
      </c>
      <c r="AV124" t="str">
        <f>IF(ISNUMBER(FIND("overige",Methode_Keuze)),"",IF(Tb_Activiteiten[[#This Row],[Bijdrage in natura (overige)]]=1,Tb_Activiteiten[[#Headers],[Bijdrage in natura (overige)]],""))</f>
        <v/>
      </c>
      <c r="AW124" t="str">
        <f>IF(ISNUMBER(FIND("overige",Methode_Keuze)),"",IF(Tb_Activiteiten[[#This Row],[Bijdrage in natura (vrijwilligers)]]=1,Tb_Activiteiten[[#Headers],[Bijdrage in natura (vrijwilligers)]],""))</f>
        <v/>
      </c>
      <c r="AX124" t="str">
        <f>IF(ISNUMBER(FIND("overige",Methode_Keuze)),"",IF(Tb_Activiteiten[[#This Row],[Afschrijvingskosten]]=1,Tb_Activiteiten[[#Headers],[Afschrijvingskosten]],""))</f>
        <v/>
      </c>
      <c r="AY124" t="str">
        <f>IF(ISNUMBER(FIND("overige",Methode_Keuze)),"",IF(Tb_Activiteiten[[#This Row],[Vergoeding]]=1,Tb_Activiteiten[[#Headers],[Vergoeding]],""))</f>
        <v/>
      </c>
      <c r="AZ124" t="str">
        <f>IF(ISNUMBER(FIND("arbeid",Methode_Keuze)),"",IF(Tb_Activiteiten[[#This Row],[Arbeidskosten - vast tarief (excl eigen arbeid)]]=1,Tb_Activiteiten[[#Headers],[Arbeidskosten - vast tarief (excl eigen arbeid)]],""))</f>
        <v/>
      </c>
      <c r="BA124" t="str">
        <f>IF(ISNUMBER(FIND("overige",Methode_Keuze)),"",IF(Tb_Activiteiten[[#This Row],[Overige kosten]]=1,Tb_Activiteiten[[#Headers],[Overige kosten]],""))</f>
        <v/>
      </c>
    </row>
    <row r="125" spans="1:53" x14ac:dyDescent="0.25">
      <c r="A125" s="231"/>
      <c r="F125" s="64"/>
      <c r="G125" s="64"/>
      <c r="H125" s="275"/>
      <c r="I125" s="275"/>
      <c r="J125" s="275"/>
      <c r="K125" s="275"/>
      <c r="O125" s="56"/>
      <c r="Q125" t="str">
        <f>IFERROR(IF(VLOOKUP(Tb_Activiteiten[[#This Row],[Openstelling]],Tb_Openstelling[],2,0)=1,1,""),"")</f>
        <v/>
      </c>
      <c r="AK125" t="str">
        <f>IF(ISNUMBER(FIND("arbeid",Methode_Keuze)),"",IF(ISNUMBER(FIND("arbeid",Methode_Keuze)),"",IF(Tb_Activiteiten[[#This Row],[Loonkosten]]=1,Tb_Activiteiten[[#Headers],[Loonkosten]],"")))</f>
        <v/>
      </c>
      <c r="AL125" t="str">
        <f>IF(ISNUMBER(FIND("arbeid",Methode_Keuze)),"",IF(ISNUMBER(FIND("arbeid",Methode_Keuze)),"",IF(Tb_Activiteiten[[#This Row],[Eigen arbeid]]=1,Tb_Activiteiten[[#Headers],[Eigen arbeid]],"")))</f>
        <v/>
      </c>
      <c r="AM125" t="str">
        <f>IF(ISNUMBER(FIND("arbeid",Methode_Keuze)),"",IF(ISNUMBER(FIND("arbeid",Methode_Keuze)),"",IF(Tb_Activiteiten[[#This Row],[Projectmedewerker]]=1,Tb_Activiteiten[[#Headers],[Projectmedewerker]],"")))</f>
        <v/>
      </c>
      <c r="AN125" t="str">
        <f>IF(ISNUMBER(FIND("arbeid",Methode_Keuze)),"",IF(ISNUMBER(FIND("arbeid",Methode_Keuze)),"",IF(Tb_Activiteiten[[#This Row],[Landbouwer]]=1,Tb_Activiteiten[[#Headers],[Landbouwer]],"")))</f>
        <v/>
      </c>
      <c r="AO125" t="str">
        <f>IF(ISNUMBER(FIND("arbeid",Methode_Keuze)),"",IF(ISNUMBER(FIND("arbeid",Methode_Keuze)),"",IF(Tb_Activiteiten[[#This Row],[Adviseur]]=1,Tb_Activiteiten[[#Headers],[Adviseur]],"")))</f>
        <v/>
      </c>
      <c r="AP125" t="str">
        <f>IF(ISNUMBER(FIND("arbeid",Methode_Keuze)),"",IF(ISNUMBER(FIND("arbeid",Methode_Keuze)),"",IF(Tb_Activiteiten[[#This Row],[Projectleider/Expert]]=1,Tb_Activiteiten[[#Headers],[Projectleider/Expert]],"")))</f>
        <v/>
      </c>
      <c r="AQ125" t="str">
        <f>IF(ISNUMBER(FIND("arbeid",Methode_Keuze)),"",IF(ISNUMBER(FIND("arbeid",Methode_Keuze)),"",IF(Tb_Activiteiten[[#This Row],[Arbeidskosten]]=1,Tb_Activiteiten[[#Headers],[Arbeidskosten]],"")))</f>
        <v/>
      </c>
      <c r="AR125" t="str">
        <f>IF(ISNUMBER(FIND("arbeid",Methode_Keuze)),"",IF(ISNUMBER(FIND("arbeid",Methode_Keuze)),"",IF(Tb_Activiteiten[[#This Row],[Arbeidskosten op basis van IKS]]=1,Tb_Activiteiten[[#Headers],[Arbeidskosten op basis van IKS]],"")))</f>
        <v/>
      </c>
      <c r="AS125" t="str">
        <f>IF(ISNUMBER(FIND("overige",Methode_Keuze)),"",IF(Tb_Activiteiten[[#This Row],[Kosten derden exclusief btw]]=1,Tb_Activiteiten[[#Headers],[Kosten derden exclusief btw]],""))</f>
        <v/>
      </c>
      <c r="AT125" t="str">
        <f>IF(ISNUMBER(FIND("overige",Methode_Keuze)),"",IF(Tb_Activiteiten[[#This Row],[Niet verrekenbare btw]]=1,Tb_Activiteiten[[#Headers],[Niet verrekenbare btw]],""))</f>
        <v/>
      </c>
      <c r="AU125" t="str">
        <f>IF(ISNUMBER(FIND("overige",Methode_Keuze)),"",IF(Tb_Activiteiten[[#This Row],[Grondkosten]]=1,Tb_Activiteiten[[#Headers],[Grondkosten]],""))</f>
        <v/>
      </c>
      <c r="AV125" t="str">
        <f>IF(ISNUMBER(FIND("overige",Methode_Keuze)),"",IF(Tb_Activiteiten[[#This Row],[Bijdrage in natura (overige)]]=1,Tb_Activiteiten[[#Headers],[Bijdrage in natura (overige)]],""))</f>
        <v/>
      </c>
      <c r="AW125" t="str">
        <f>IF(ISNUMBER(FIND("overige",Methode_Keuze)),"",IF(Tb_Activiteiten[[#This Row],[Bijdrage in natura (vrijwilligers)]]=1,Tb_Activiteiten[[#Headers],[Bijdrage in natura (vrijwilligers)]],""))</f>
        <v/>
      </c>
      <c r="AX125" t="str">
        <f>IF(ISNUMBER(FIND("overige",Methode_Keuze)),"",IF(Tb_Activiteiten[[#This Row],[Afschrijvingskosten]]=1,Tb_Activiteiten[[#Headers],[Afschrijvingskosten]],""))</f>
        <v/>
      </c>
      <c r="AY125" t="str">
        <f>IF(ISNUMBER(FIND("overige",Methode_Keuze)),"",IF(Tb_Activiteiten[[#This Row],[Vergoeding]]=1,Tb_Activiteiten[[#Headers],[Vergoeding]],""))</f>
        <v/>
      </c>
      <c r="AZ125" t="str">
        <f>IF(ISNUMBER(FIND("arbeid",Methode_Keuze)),"",IF(Tb_Activiteiten[[#This Row],[Arbeidskosten - vast tarief (excl eigen arbeid)]]=1,Tb_Activiteiten[[#Headers],[Arbeidskosten - vast tarief (excl eigen arbeid)]],""))</f>
        <v/>
      </c>
      <c r="BA125" t="str">
        <f>IF(ISNUMBER(FIND("overige",Methode_Keuze)),"",IF(Tb_Activiteiten[[#This Row],[Overige kosten]]=1,Tb_Activiteiten[[#Headers],[Overige kosten]],""))</f>
        <v/>
      </c>
    </row>
    <row r="126" spans="1:53" x14ac:dyDescent="0.25">
      <c r="A126" s="231"/>
      <c r="F126" s="64"/>
      <c r="G126" s="64"/>
      <c r="H126" s="275"/>
      <c r="I126" s="275"/>
      <c r="J126" s="275"/>
      <c r="K126" s="275"/>
      <c r="O126" s="56"/>
      <c r="Q126" t="str">
        <f>IFERROR(IF(VLOOKUP(Tb_Activiteiten[[#This Row],[Openstelling]],Tb_Openstelling[],2,0)=1,1,""),"")</f>
        <v/>
      </c>
      <c r="AK126" t="str">
        <f>IF(ISNUMBER(FIND("arbeid",Methode_Keuze)),"",IF(ISNUMBER(FIND("arbeid",Methode_Keuze)),"",IF(Tb_Activiteiten[[#This Row],[Loonkosten]]=1,Tb_Activiteiten[[#Headers],[Loonkosten]],"")))</f>
        <v/>
      </c>
      <c r="AL126" t="str">
        <f>IF(ISNUMBER(FIND("arbeid",Methode_Keuze)),"",IF(ISNUMBER(FIND("arbeid",Methode_Keuze)),"",IF(Tb_Activiteiten[[#This Row],[Eigen arbeid]]=1,Tb_Activiteiten[[#Headers],[Eigen arbeid]],"")))</f>
        <v/>
      </c>
      <c r="AM126" t="str">
        <f>IF(ISNUMBER(FIND("arbeid",Methode_Keuze)),"",IF(ISNUMBER(FIND("arbeid",Methode_Keuze)),"",IF(Tb_Activiteiten[[#This Row],[Projectmedewerker]]=1,Tb_Activiteiten[[#Headers],[Projectmedewerker]],"")))</f>
        <v/>
      </c>
      <c r="AN126" t="str">
        <f>IF(ISNUMBER(FIND("arbeid",Methode_Keuze)),"",IF(ISNUMBER(FIND("arbeid",Methode_Keuze)),"",IF(Tb_Activiteiten[[#This Row],[Landbouwer]]=1,Tb_Activiteiten[[#Headers],[Landbouwer]],"")))</f>
        <v/>
      </c>
      <c r="AO126" t="str">
        <f>IF(ISNUMBER(FIND("arbeid",Methode_Keuze)),"",IF(ISNUMBER(FIND("arbeid",Methode_Keuze)),"",IF(Tb_Activiteiten[[#This Row],[Adviseur]]=1,Tb_Activiteiten[[#Headers],[Adviseur]],"")))</f>
        <v/>
      </c>
      <c r="AP126" t="str">
        <f>IF(ISNUMBER(FIND("arbeid",Methode_Keuze)),"",IF(ISNUMBER(FIND("arbeid",Methode_Keuze)),"",IF(Tb_Activiteiten[[#This Row],[Projectleider/Expert]]=1,Tb_Activiteiten[[#Headers],[Projectleider/Expert]],"")))</f>
        <v/>
      </c>
      <c r="AQ126" t="str">
        <f>IF(ISNUMBER(FIND("arbeid",Methode_Keuze)),"",IF(ISNUMBER(FIND("arbeid",Methode_Keuze)),"",IF(Tb_Activiteiten[[#This Row],[Arbeidskosten]]=1,Tb_Activiteiten[[#Headers],[Arbeidskosten]],"")))</f>
        <v/>
      </c>
      <c r="AR126" t="str">
        <f>IF(ISNUMBER(FIND("arbeid",Methode_Keuze)),"",IF(ISNUMBER(FIND("arbeid",Methode_Keuze)),"",IF(Tb_Activiteiten[[#This Row],[Arbeidskosten op basis van IKS]]=1,Tb_Activiteiten[[#Headers],[Arbeidskosten op basis van IKS]],"")))</f>
        <v/>
      </c>
      <c r="AS126" t="str">
        <f>IF(ISNUMBER(FIND("overige",Methode_Keuze)),"",IF(Tb_Activiteiten[[#This Row],[Kosten derden exclusief btw]]=1,Tb_Activiteiten[[#Headers],[Kosten derden exclusief btw]],""))</f>
        <v/>
      </c>
      <c r="AT126" t="str">
        <f>IF(ISNUMBER(FIND("overige",Methode_Keuze)),"",IF(Tb_Activiteiten[[#This Row],[Niet verrekenbare btw]]=1,Tb_Activiteiten[[#Headers],[Niet verrekenbare btw]],""))</f>
        <v/>
      </c>
      <c r="AU126" t="str">
        <f>IF(ISNUMBER(FIND("overige",Methode_Keuze)),"",IF(Tb_Activiteiten[[#This Row],[Grondkosten]]=1,Tb_Activiteiten[[#Headers],[Grondkosten]],""))</f>
        <v/>
      </c>
      <c r="AV126" t="str">
        <f>IF(ISNUMBER(FIND("overige",Methode_Keuze)),"",IF(Tb_Activiteiten[[#This Row],[Bijdrage in natura (overige)]]=1,Tb_Activiteiten[[#Headers],[Bijdrage in natura (overige)]],""))</f>
        <v/>
      </c>
      <c r="AW126" t="str">
        <f>IF(ISNUMBER(FIND("overige",Methode_Keuze)),"",IF(Tb_Activiteiten[[#This Row],[Bijdrage in natura (vrijwilligers)]]=1,Tb_Activiteiten[[#Headers],[Bijdrage in natura (vrijwilligers)]],""))</f>
        <v/>
      </c>
      <c r="AX126" t="str">
        <f>IF(ISNUMBER(FIND("overige",Methode_Keuze)),"",IF(Tb_Activiteiten[[#This Row],[Afschrijvingskosten]]=1,Tb_Activiteiten[[#Headers],[Afschrijvingskosten]],""))</f>
        <v/>
      </c>
      <c r="AY126" t="str">
        <f>IF(ISNUMBER(FIND("overige",Methode_Keuze)),"",IF(Tb_Activiteiten[[#This Row],[Vergoeding]]=1,Tb_Activiteiten[[#Headers],[Vergoeding]],""))</f>
        <v/>
      </c>
      <c r="AZ126" t="str">
        <f>IF(ISNUMBER(FIND("arbeid",Methode_Keuze)),"",IF(Tb_Activiteiten[[#This Row],[Arbeidskosten - vast tarief (excl eigen arbeid)]]=1,Tb_Activiteiten[[#Headers],[Arbeidskosten - vast tarief (excl eigen arbeid)]],""))</f>
        <v/>
      </c>
      <c r="BA126" t="str">
        <f>IF(ISNUMBER(FIND("overige",Methode_Keuze)),"",IF(Tb_Activiteiten[[#This Row],[Overige kosten]]=1,Tb_Activiteiten[[#Headers],[Overige kosten]],""))</f>
        <v/>
      </c>
    </row>
    <row r="127" spans="1:53" x14ac:dyDescent="0.25">
      <c r="A127" s="231"/>
      <c r="F127" s="64"/>
      <c r="G127" s="64"/>
      <c r="H127" s="275"/>
      <c r="I127" s="275"/>
      <c r="J127" s="275"/>
      <c r="K127" s="275"/>
      <c r="O127" s="56"/>
      <c r="Q127" t="str">
        <f>IFERROR(IF(VLOOKUP(Tb_Activiteiten[[#This Row],[Openstelling]],Tb_Openstelling[],2,0)=1,1,""),"")</f>
        <v/>
      </c>
      <c r="AK127" t="str">
        <f>IF(ISNUMBER(FIND("arbeid",Methode_Keuze)),"",IF(ISNUMBER(FIND("arbeid",Methode_Keuze)),"",IF(Tb_Activiteiten[[#This Row],[Loonkosten]]=1,Tb_Activiteiten[[#Headers],[Loonkosten]],"")))</f>
        <v/>
      </c>
      <c r="AL127" t="str">
        <f>IF(ISNUMBER(FIND("arbeid",Methode_Keuze)),"",IF(ISNUMBER(FIND("arbeid",Methode_Keuze)),"",IF(Tb_Activiteiten[[#This Row],[Eigen arbeid]]=1,Tb_Activiteiten[[#Headers],[Eigen arbeid]],"")))</f>
        <v/>
      </c>
      <c r="AM127" t="str">
        <f>IF(ISNUMBER(FIND("arbeid",Methode_Keuze)),"",IF(ISNUMBER(FIND("arbeid",Methode_Keuze)),"",IF(Tb_Activiteiten[[#This Row],[Projectmedewerker]]=1,Tb_Activiteiten[[#Headers],[Projectmedewerker]],"")))</f>
        <v/>
      </c>
      <c r="AN127" t="str">
        <f>IF(ISNUMBER(FIND("arbeid",Methode_Keuze)),"",IF(ISNUMBER(FIND("arbeid",Methode_Keuze)),"",IF(Tb_Activiteiten[[#This Row],[Landbouwer]]=1,Tb_Activiteiten[[#Headers],[Landbouwer]],"")))</f>
        <v/>
      </c>
      <c r="AO127" t="str">
        <f>IF(ISNUMBER(FIND("arbeid",Methode_Keuze)),"",IF(ISNUMBER(FIND("arbeid",Methode_Keuze)),"",IF(Tb_Activiteiten[[#This Row],[Adviseur]]=1,Tb_Activiteiten[[#Headers],[Adviseur]],"")))</f>
        <v/>
      </c>
      <c r="AP127" t="str">
        <f>IF(ISNUMBER(FIND("arbeid",Methode_Keuze)),"",IF(ISNUMBER(FIND("arbeid",Methode_Keuze)),"",IF(Tb_Activiteiten[[#This Row],[Projectleider/Expert]]=1,Tb_Activiteiten[[#Headers],[Projectleider/Expert]],"")))</f>
        <v/>
      </c>
      <c r="AQ127" t="str">
        <f>IF(ISNUMBER(FIND("arbeid",Methode_Keuze)),"",IF(ISNUMBER(FIND("arbeid",Methode_Keuze)),"",IF(Tb_Activiteiten[[#This Row],[Arbeidskosten]]=1,Tb_Activiteiten[[#Headers],[Arbeidskosten]],"")))</f>
        <v/>
      </c>
      <c r="AR127" t="str">
        <f>IF(ISNUMBER(FIND("arbeid",Methode_Keuze)),"",IF(ISNUMBER(FIND("arbeid",Methode_Keuze)),"",IF(Tb_Activiteiten[[#This Row],[Arbeidskosten op basis van IKS]]=1,Tb_Activiteiten[[#Headers],[Arbeidskosten op basis van IKS]],"")))</f>
        <v/>
      </c>
      <c r="AS127" t="str">
        <f>IF(ISNUMBER(FIND("overige",Methode_Keuze)),"",IF(Tb_Activiteiten[[#This Row],[Kosten derden exclusief btw]]=1,Tb_Activiteiten[[#Headers],[Kosten derden exclusief btw]],""))</f>
        <v/>
      </c>
      <c r="AT127" t="str">
        <f>IF(ISNUMBER(FIND("overige",Methode_Keuze)),"",IF(Tb_Activiteiten[[#This Row],[Niet verrekenbare btw]]=1,Tb_Activiteiten[[#Headers],[Niet verrekenbare btw]],""))</f>
        <v/>
      </c>
      <c r="AU127" t="str">
        <f>IF(ISNUMBER(FIND("overige",Methode_Keuze)),"",IF(Tb_Activiteiten[[#This Row],[Grondkosten]]=1,Tb_Activiteiten[[#Headers],[Grondkosten]],""))</f>
        <v/>
      </c>
      <c r="AV127" t="str">
        <f>IF(ISNUMBER(FIND("overige",Methode_Keuze)),"",IF(Tb_Activiteiten[[#This Row],[Bijdrage in natura (overige)]]=1,Tb_Activiteiten[[#Headers],[Bijdrage in natura (overige)]],""))</f>
        <v/>
      </c>
      <c r="AW127" t="str">
        <f>IF(ISNUMBER(FIND("overige",Methode_Keuze)),"",IF(Tb_Activiteiten[[#This Row],[Bijdrage in natura (vrijwilligers)]]=1,Tb_Activiteiten[[#Headers],[Bijdrage in natura (vrijwilligers)]],""))</f>
        <v/>
      </c>
      <c r="AX127" t="str">
        <f>IF(ISNUMBER(FIND("overige",Methode_Keuze)),"",IF(Tb_Activiteiten[[#This Row],[Afschrijvingskosten]]=1,Tb_Activiteiten[[#Headers],[Afschrijvingskosten]],""))</f>
        <v/>
      </c>
      <c r="AY127" t="str">
        <f>IF(ISNUMBER(FIND("overige",Methode_Keuze)),"",IF(Tb_Activiteiten[[#This Row],[Vergoeding]]=1,Tb_Activiteiten[[#Headers],[Vergoeding]],""))</f>
        <v/>
      </c>
      <c r="AZ127" t="str">
        <f>IF(ISNUMBER(FIND("arbeid",Methode_Keuze)),"",IF(Tb_Activiteiten[[#This Row],[Arbeidskosten - vast tarief (excl eigen arbeid)]]=1,Tb_Activiteiten[[#Headers],[Arbeidskosten - vast tarief (excl eigen arbeid)]],""))</f>
        <v/>
      </c>
      <c r="BA127" t="str">
        <f>IF(ISNUMBER(FIND("overige",Methode_Keuze)),"",IF(Tb_Activiteiten[[#This Row],[Overige kosten]]=1,Tb_Activiteiten[[#Headers],[Overige kosten]],""))</f>
        <v/>
      </c>
    </row>
    <row r="128" spans="1:53" x14ac:dyDescent="0.25">
      <c r="A128" s="231"/>
      <c r="F128" s="64"/>
      <c r="G128" s="64"/>
      <c r="H128" s="275"/>
      <c r="I128" s="275"/>
      <c r="J128" s="275"/>
      <c r="K128" s="275"/>
      <c r="O128" s="56"/>
      <c r="Q128" t="str">
        <f>IFERROR(IF(VLOOKUP(Tb_Activiteiten[[#This Row],[Openstelling]],Tb_Openstelling[],2,0)=1,1,""),"")</f>
        <v/>
      </c>
      <c r="AK128" t="str">
        <f>IF(ISNUMBER(FIND("arbeid",Methode_Keuze)),"",IF(ISNUMBER(FIND("arbeid",Methode_Keuze)),"",IF(Tb_Activiteiten[[#This Row],[Loonkosten]]=1,Tb_Activiteiten[[#Headers],[Loonkosten]],"")))</f>
        <v/>
      </c>
      <c r="AL128" t="str">
        <f>IF(ISNUMBER(FIND("arbeid",Methode_Keuze)),"",IF(ISNUMBER(FIND("arbeid",Methode_Keuze)),"",IF(Tb_Activiteiten[[#This Row],[Eigen arbeid]]=1,Tb_Activiteiten[[#Headers],[Eigen arbeid]],"")))</f>
        <v/>
      </c>
      <c r="AM128" t="str">
        <f>IF(ISNUMBER(FIND("arbeid",Methode_Keuze)),"",IF(ISNUMBER(FIND("arbeid",Methode_Keuze)),"",IF(Tb_Activiteiten[[#This Row],[Projectmedewerker]]=1,Tb_Activiteiten[[#Headers],[Projectmedewerker]],"")))</f>
        <v/>
      </c>
      <c r="AN128" t="str">
        <f>IF(ISNUMBER(FIND("arbeid",Methode_Keuze)),"",IF(ISNUMBER(FIND("arbeid",Methode_Keuze)),"",IF(Tb_Activiteiten[[#This Row],[Landbouwer]]=1,Tb_Activiteiten[[#Headers],[Landbouwer]],"")))</f>
        <v/>
      </c>
      <c r="AO128" t="str">
        <f>IF(ISNUMBER(FIND("arbeid",Methode_Keuze)),"",IF(ISNUMBER(FIND("arbeid",Methode_Keuze)),"",IF(Tb_Activiteiten[[#This Row],[Adviseur]]=1,Tb_Activiteiten[[#Headers],[Adviseur]],"")))</f>
        <v/>
      </c>
      <c r="AP128" t="str">
        <f>IF(ISNUMBER(FIND("arbeid",Methode_Keuze)),"",IF(ISNUMBER(FIND("arbeid",Methode_Keuze)),"",IF(Tb_Activiteiten[[#This Row],[Projectleider/Expert]]=1,Tb_Activiteiten[[#Headers],[Projectleider/Expert]],"")))</f>
        <v/>
      </c>
      <c r="AQ128" t="str">
        <f>IF(ISNUMBER(FIND("arbeid",Methode_Keuze)),"",IF(ISNUMBER(FIND("arbeid",Methode_Keuze)),"",IF(Tb_Activiteiten[[#This Row],[Arbeidskosten]]=1,Tb_Activiteiten[[#Headers],[Arbeidskosten]],"")))</f>
        <v/>
      </c>
      <c r="AR128" t="str">
        <f>IF(ISNUMBER(FIND("arbeid",Methode_Keuze)),"",IF(ISNUMBER(FIND("arbeid",Methode_Keuze)),"",IF(Tb_Activiteiten[[#This Row],[Arbeidskosten op basis van IKS]]=1,Tb_Activiteiten[[#Headers],[Arbeidskosten op basis van IKS]],"")))</f>
        <v/>
      </c>
      <c r="AS128" t="str">
        <f>IF(ISNUMBER(FIND("overige",Methode_Keuze)),"",IF(Tb_Activiteiten[[#This Row],[Kosten derden exclusief btw]]=1,Tb_Activiteiten[[#Headers],[Kosten derden exclusief btw]],""))</f>
        <v/>
      </c>
      <c r="AT128" t="str">
        <f>IF(ISNUMBER(FIND("overige",Methode_Keuze)),"",IF(Tb_Activiteiten[[#This Row],[Niet verrekenbare btw]]=1,Tb_Activiteiten[[#Headers],[Niet verrekenbare btw]],""))</f>
        <v/>
      </c>
      <c r="AU128" t="str">
        <f>IF(ISNUMBER(FIND("overige",Methode_Keuze)),"",IF(Tb_Activiteiten[[#This Row],[Grondkosten]]=1,Tb_Activiteiten[[#Headers],[Grondkosten]],""))</f>
        <v/>
      </c>
      <c r="AV128" t="str">
        <f>IF(ISNUMBER(FIND("overige",Methode_Keuze)),"",IF(Tb_Activiteiten[[#This Row],[Bijdrage in natura (overige)]]=1,Tb_Activiteiten[[#Headers],[Bijdrage in natura (overige)]],""))</f>
        <v/>
      </c>
      <c r="AW128" t="str">
        <f>IF(ISNUMBER(FIND("overige",Methode_Keuze)),"",IF(Tb_Activiteiten[[#This Row],[Bijdrage in natura (vrijwilligers)]]=1,Tb_Activiteiten[[#Headers],[Bijdrage in natura (vrijwilligers)]],""))</f>
        <v/>
      </c>
      <c r="AX128" t="str">
        <f>IF(ISNUMBER(FIND("overige",Methode_Keuze)),"",IF(Tb_Activiteiten[[#This Row],[Afschrijvingskosten]]=1,Tb_Activiteiten[[#Headers],[Afschrijvingskosten]],""))</f>
        <v/>
      </c>
      <c r="AY128" t="str">
        <f>IF(ISNUMBER(FIND("overige",Methode_Keuze)),"",IF(Tb_Activiteiten[[#This Row],[Vergoeding]]=1,Tb_Activiteiten[[#Headers],[Vergoeding]],""))</f>
        <v/>
      </c>
      <c r="AZ128" t="str">
        <f>IF(ISNUMBER(FIND("arbeid",Methode_Keuze)),"",IF(Tb_Activiteiten[[#This Row],[Arbeidskosten - vast tarief (excl eigen arbeid)]]=1,Tb_Activiteiten[[#Headers],[Arbeidskosten - vast tarief (excl eigen arbeid)]],""))</f>
        <v/>
      </c>
      <c r="BA128" t="str">
        <f>IF(ISNUMBER(FIND("overige",Methode_Keuze)),"",IF(Tb_Activiteiten[[#This Row],[Overige kosten]]=1,Tb_Activiteiten[[#Headers],[Overige kosten]],""))</f>
        <v/>
      </c>
    </row>
    <row r="129" spans="1:53" x14ac:dyDescent="0.25">
      <c r="A129" s="231"/>
      <c r="F129" s="64"/>
      <c r="G129" s="64"/>
      <c r="H129" s="275"/>
      <c r="I129" s="275"/>
      <c r="J129" s="275"/>
      <c r="K129" s="275"/>
      <c r="O129" s="56"/>
      <c r="Q129" t="str">
        <f>IFERROR(IF(VLOOKUP(Tb_Activiteiten[[#This Row],[Openstelling]],Tb_Openstelling[],2,0)=1,1,""),"")</f>
        <v/>
      </c>
      <c r="AK129" t="str">
        <f>IF(ISNUMBER(FIND("arbeid",Methode_Keuze)),"",IF(ISNUMBER(FIND("arbeid",Methode_Keuze)),"",IF(Tb_Activiteiten[[#This Row],[Loonkosten]]=1,Tb_Activiteiten[[#Headers],[Loonkosten]],"")))</f>
        <v/>
      </c>
      <c r="AL129" t="str">
        <f>IF(ISNUMBER(FIND("arbeid",Methode_Keuze)),"",IF(ISNUMBER(FIND("arbeid",Methode_Keuze)),"",IF(Tb_Activiteiten[[#This Row],[Eigen arbeid]]=1,Tb_Activiteiten[[#Headers],[Eigen arbeid]],"")))</f>
        <v/>
      </c>
      <c r="AM129" t="str">
        <f>IF(ISNUMBER(FIND("arbeid",Methode_Keuze)),"",IF(ISNUMBER(FIND("arbeid",Methode_Keuze)),"",IF(Tb_Activiteiten[[#This Row],[Projectmedewerker]]=1,Tb_Activiteiten[[#Headers],[Projectmedewerker]],"")))</f>
        <v/>
      </c>
      <c r="AN129" t="str">
        <f>IF(ISNUMBER(FIND("arbeid",Methode_Keuze)),"",IF(ISNUMBER(FIND("arbeid",Methode_Keuze)),"",IF(Tb_Activiteiten[[#This Row],[Landbouwer]]=1,Tb_Activiteiten[[#Headers],[Landbouwer]],"")))</f>
        <v/>
      </c>
      <c r="AO129" t="str">
        <f>IF(ISNUMBER(FIND("arbeid",Methode_Keuze)),"",IF(ISNUMBER(FIND("arbeid",Methode_Keuze)),"",IF(Tb_Activiteiten[[#This Row],[Adviseur]]=1,Tb_Activiteiten[[#Headers],[Adviseur]],"")))</f>
        <v/>
      </c>
      <c r="AP129" t="str">
        <f>IF(ISNUMBER(FIND("arbeid",Methode_Keuze)),"",IF(ISNUMBER(FIND("arbeid",Methode_Keuze)),"",IF(Tb_Activiteiten[[#This Row],[Projectleider/Expert]]=1,Tb_Activiteiten[[#Headers],[Projectleider/Expert]],"")))</f>
        <v/>
      </c>
      <c r="AQ129" t="str">
        <f>IF(ISNUMBER(FIND("arbeid",Methode_Keuze)),"",IF(ISNUMBER(FIND("arbeid",Methode_Keuze)),"",IF(Tb_Activiteiten[[#This Row],[Arbeidskosten]]=1,Tb_Activiteiten[[#Headers],[Arbeidskosten]],"")))</f>
        <v/>
      </c>
      <c r="AR129" t="str">
        <f>IF(ISNUMBER(FIND("arbeid",Methode_Keuze)),"",IF(ISNUMBER(FIND("arbeid",Methode_Keuze)),"",IF(Tb_Activiteiten[[#This Row],[Arbeidskosten op basis van IKS]]=1,Tb_Activiteiten[[#Headers],[Arbeidskosten op basis van IKS]],"")))</f>
        <v/>
      </c>
      <c r="AS129" t="str">
        <f>IF(ISNUMBER(FIND("overige",Methode_Keuze)),"",IF(Tb_Activiteiten[[#This Row],[Kosten derden exclusief btw]]=1,Tb_Activiteiten[[#Headers],[Kosten derden exclusief btw]],""))</f>
        <v/>
      </c>
      <c r="AT129" t="str">
        <f>IF(ISNUMBER(FIND("overige",Methode_Keuze)),"",IF(Tb_Activiteiten[[#This Row],[Niet verrekenbare btw]]=1,Tb_Activiteiten[[#Headers],[Niet verrekenbare btw]],""))</f>
        <v/>
      </c>
      <c r="AU129" t="str">
        <f>IF(ISNUMBER(FIND("overige",Methode_Keuze)),"",IF(Tb_Activiteiten[[#This Row],[Grondkosten]]=1,Tb_Activiteiten[[#Headers],[Grondkosten]],""))</f>
        <v/>
      </c>
      <c r="AV129" t="str">
        <f>IF(ISNUMBER(FIND("overige",Methode_Keuze)),"",IF(Tb_Activiteiten[[#This Row],[Bijdrage in natura (overige)]]=1,Tb_Activiteiten[[#Headers],[Bijdrage in natura (overige)]],""))</f>
        <v/>
      </c>
      <c r="AW129" t="str">
        <f>IF(ISNUMBER(FIND("overige",Methode_Keuze)),"",IF(Tb_Activiteiten[[#This Row],[Bijdrage in natura (vrijwilligers)]]=1,Tb_Activiteiten[[#Headers],[Bijdrage in natura (vrijwilligers)]],""))</f>
        <v/>
      </c>
      <c r="AX129" t="str">
        <f>IF(ISNUMBER(FIND("overige",Methode_Keuze)),"",IF(Tb_Activiteiten[[#This Row],[Afschrijvingskosten]]=1,Tb_Activiteiten[[#Headers],[Afschrijvingskosten]],""))</f>
        <v/>
      </c>
      <c r="AY129" t="str">
        <f>IF(ISNUMBER(FIND("overige",Methode_Keuze)),"",IF(Tb_Activiteiten[[#This Row],[Vergoeding]]=1,Tb_Activiteiten[[#Headers],[Vergoeding]],""))</f>
        <v/>
      </c>
      <c r="AZ129" t="str">
        <f>IF(ISNUMBER(FIND("arbeid",Methode_Keuze)),"",IF(Tb_Activiteiten[[#This Row],[Arbeidskosten - vast tarief (excl eigen arbeid)]]=1,Tb_Activiteiten[[#Headers],[Arbeidskosten - vast tarief (excl eigen arbeid)]],""))</f>
        <v/>
      </c>
      <c r="BA129" t="str">
        <f>IF(ISNUMBER(FIND("overige",Methode_Keuze)),"",IF(Tb_Activiteiten[[#This Row],[Overige kosten]]=1,Tb_Activiteiten[[#Headers],[Overige kosten]],""))</f>
        <v/>
      </c>
    </row>
    <row r="130" spans="1:53" x14ac:dyDescent="0.25">
      <c r="A130" s="231"/>
      <c r="F130" s="64"/>
      <c r="G130" s="64"/>
      <c r="H130" s="275"/>
      <c r="I130" s="275"/>
      <c r="J130" s="275"/>
      <c r="K130" s="275"/>
      <c r="O130" s="56"/>
      <c r="Q130" t="str">
        <f>IFERROR(IF(VLOOKUP(Tb_Activiteiten[[#This Row],[Openstelling]],Tb_Openstelling[],2,0)=1,1,""),"")</f>
        <v/>
      </c>
      <c r="AK130" t="str">
        <f>IF(ISNUMBER(FIND("arbeid",Methode_Keuze)),"",IF(ISNUMBER(FIND("arbeid",Methode_Keuze)),"",IF(Tb_Activiteiten[[#This Row],[Loonkosten]]=1,Tb_Activiteiten[[#Headers],[Loonkosten]],"")))</f>
        <v/>
      </c>
      <c r="AL130" t="str">
        <f>IF(ISNUMBER(FIND("arbeid",Methode_Keuze)),"",IF(ISNUMBER(FIND("arbeid",Methode_Keuze)),"",IF(Tb_Activiteiten[[#This Row],[Eigen arbeid]]=1,Tb_Activiteiten[[#Headers],[Eigen arbeid]],"")))</f>
        <v/>
      </c>
      <c r="AM130" t="str">
        <f>IF(ISNUMBER(FIND("arbeid",Methode_Keuze)),"",IF(ISNUMBER(FIND("arbeid",Methode_Keuze)),"",IF(Tb_Activiteiten[[#This Row],[Projectmedewerker]]=1,Tb_Activiteiten[[#Headers],[Projectmedewerker]],"")))</f>
        <v/>
      </c>
      <c r="AN130" t="str">
        <f>IF(ISNUMBER(FIND("arbeid",Methode_Keuze)),"",IF(ISNUMBER(FIND("arbeid",Methode_Keuze)),"",IF(Tb_Activiteiten[[#This Row],[Landbouwer]]=1,Tb_Activiteiten[[#Headers],[Landbouwer]],"")))</f>
        <v/>
      </c>
      <c r="AO130" t="str">
        <f>IF(ISNUMBER(FIND("arbeid",Methode_Keuze)),"",IF(ISNUMBER(FIND("arbeid",Methode_Keuze)),"",IF(Tb_Activiteiten[[#This Row],[Adviseur]]=1,Tb_Activiteiten[[#Headers],[Adviseur]],"")))</f>
        <v/>
      </c>
      <c r="AP130" t="str">
        <f>IF(ISNUMBER(FIND("arbeid",Methode_Keuze)),"",IF(ISNUMBER(FIND("arbeid",Methode_Keuze)),"",IF(Tb_Activiteiten[[#This Row],[Projectleider/Expert]]=1,Tb_Activiteiten[[#Headers],[Projectleider/Expert]],"")))</f>
        <v/>
      </c>
      <c r="AQ130" t="str">
        <f>IF(ISNUMBER(FIND("arbeid",Methode_Keuze)),"",IF(ISNUMBER(FIND("arbeid",Methode_Keuze)),"",IF(Tb_Activiteiten[[#This Row],[Arbeidskosten]]=1,Tb_Activiteiten[[#Headers],[Arbeidskosten]],"")))</f>
        <v/>
      </c>
      <c r="AR130" t="str">
        <f>IF(ISNUMBER(FIND("arbeid",Methode_Keuze)),"",IF(ISNUMBER(FIND("arbeid",Methode_Keuze)),"",IF(Tb_Activiteiten[[#This Row],[Arbeidskosten op basis van IKS]]=1,Tb_Activiteiten[[#Headers],[Arbeidskosten op basis van IKS]],"")))</f>
        <v/>
      </c>
      <c r="AS130" t="str">
        <f>IF(ISNUMBER(FIND("overige",Methode_Keuze)),"",IF(Tb_Activiteiten[[#This Row],[Kosten derden exclusief btw]]=1,Tb_Activiteiten[[#Headers],[Kosten derden exclusief btw]],""))</f>
        <v/>
      </c>
      <c r="AT130" t="str">
        <f>IF(ISNUMBER(FIND("overige",Methode_Keuze)),"",IF(Tb_Activiteiten[[#This Row],[Niet verrekenbare btw]]=1,Tb_Activiteiten[[#Headers],[Niet verrekenbare btw]],""))</f>
        <v/>
      </c>
      <c r="AU130" t="str">
        <f>IF(ISNUMBER(FIND("overige",Methode_Keuze)),"",IF(Tb_Activiteiten[[#This Row],[Grondkosten]]=1,Tb_Activiteiten[[#Headers],[Grondkosten]],""))</f>
        <v/>
      </c>
      <c r="AV130" t="str">
        <f>IF(ISNUMBER(FIND("overige",Methode_Keuze)),"",IF(Tb_Activiteiten[[#This Row],[Bijdrage in natura (overige)]]=1,Tb_Activiteiten[[#Headers],[Bijdrage in natura (overige)]],""))</f>
        <v/>
      </c>
      <c r="AW130" t="str">
        <f>IF(ISNUMBER(FIND("overige",Methode_Keuze)),"",IF(Tb_Activiteiten[[#This Row],[Bijdrage in natura (vrijwilligers)]]=1,Tb_Activiteiten[[#Headers],[Bijdrage in natura (vrijwilligers)]],""))</f>
        <v/>
      </c>
      <c r="AX130" t="str">
        <f>IF(ISNUMBER(FIND("overige",Methode_Keuze)),"",IF(Tb_Activiteiten[[#This Row],[Afschrijvingskosten]]=1,Tb_Activiteiten[[#Headers],[Afschrijvingskosten]],""))</f>
        <v/>
      </c>
      <c r="AY130" t="str">
        <f>IF(ISNUMBER(FIND("overige",Methode_Keuze)),"",IF(Tb_Activiteiten[[#This Row],[Vergoeding]]=1,Tb_Activiteiten[[#Headers],[Vergoeding]],""))</f>
        <v/>
      </c>
      <c r="AZ130" t="str">
        <f>IF(ISNUMBER(FIND("arbeid",Methode_Keuze)),"",IF(Tb_Activiteiten[[#This Row],[Arbeidskosten - vast tarief (excl eigen arbeid)]]=1,Tb_Activiteiten[[#Headers],[Arbeidskosten - vast tarief (excl eigen arbeid)]],""))</f>
        <v/>
      </c>
      <c r="BA130" t="str">
        <f>IF(ISNUMBER(FIND("overige",Methode_Keuze)),"",IF(Tb_Activiteiten[[#This Row],[Overige kosten]]=1,Tb_Activiteiten[[#Headers],[Overige kosten]],""))</f>
        <v/>
      </c>
    </row>
    <row r="131" spans="1:53" x14ac:dyDescent="0.25">
      <c r="A131" s="231"/>
      <c r="F131" s="64"/>
      <c r="G131" s="64"/>
      <c r="H131" s="275"/>
      <c r="I131" s="275"/>
      <c r="J131" s="275"/>
      <c r="K131" s="275"/>
      <c r="O131" s="56"/>
      <c r="Q131" t="str">
        <f>IFERROR(IF(VLOOKUP(Tb_Activiteiten[[#This Row],[Openstelling]],Tb_Openstelling[],2,0)=1,1,""),"")</f>
        <v/>
      </c>
      <c r="AK131" t="str">
        <f>IF(ISNUMBER(FIND("arbeid",Methode_Keuze)),"",IF(ISNUMBER(FIND("arbeid",Methode_Keuze)),"",IF(Tb_Activiteiten[[#This Row],[Loonkosten]]=1,Tb_Activiteiten[[#Headers],[Loonkosten]],"")))</f>
        <v/>
      </c>
      <c r="AL131" t="str">
        <f>IF(ISNUMBER(FIND("arbeid",Methode_Keuze)),"",IF(ISNUMBER(FIND("arbeid",Methode_Keuze)),"",IF(Tb_Activiteiten[[#This Row],[Eigen arbeid]]=1,Tb_Activiteiten[[#Headers],[Eigen arbeid]],"")))</f>
        <v/>
      </c>
      <c r="AM131" t="str">
        <f>IF(ISNUMBER(FIND("arbeid",Methode_Keuze)),"",IF(ISNUMBER(FIND("arbeid",Methode_Keuze)),"",IF(Tb_Activiteiten[[#This Row],[Projectmedewerker]]=1,Tb_Activiteiten[[#Headers],[Projectmedewerker]],"")))</f>
        <v/>
      </c>
      <c r="AN131" t="str">
        <f>IF(ISNUMBER(FIND("arbeid",Methode_Keuze)),"",IF(ISNUMBER(FIND("arbeid",Methode_Keuze)),"",IF(Tb_Activiteiten[[#This Row],[Landbouwer]]=1,Tb_Activiteiten[[#Headers],[Landbouwer]],"")))</f>
        <v/>
      </c>
      <c r="AO131" t="str">
        <f>IF(ISNUMBER(FIND("arbeid",Methode_Keuze)),"",IF(ISNUMBER(FIND("arbeid",Methode_Keuze)),"",IF(Tb_Activiteiten[[#This Row],[Adviseur]]=1,Tb_Activiteiten[[#Headers],[Adviseur]],"")))</f>
        <v/>
      </c>
      <c r="AP131" t="str">
        <f>IF(ISNUMBER(FIND("arbeid",Methode_Keuze)),"",IF(ISNUMBER(FIND("arbeid",Methode_Keuze)),"",IF(Tb_Activiteiten[[#This Row],[Projectleider/Expert]]=1,Tb_Activiteiten[[#Headers],[Projectleider/Expert]],"")))</f>
        <v/>
      </c>
      <c r="AQ131" t="str">
        <f>IF(ISNUMBER(FIND("arbeid",Methode_Keuze)),"",IF(ISNUMBER(FIND("arbeid",Methode_Keuze)),"",IF(Tb_Activiteiten[[#This Row],[Arbeidskosten]]=1,Tb_Activiteiten[[#Headers],[Arbeidskosten]],"")))</f>
        <v/>
      </c>
      <c r="AR131" t="str">
        <f>IF(ISNUMBER(FIND("arbeid",Methode_Keuze)),"",IF(ISNUMBER(FIND("arbeid",Methode_Keuze)),"",IF(Tb_Activiteiten[[#This Row],[Arbeidskosten op basis van IKS]]=1,Tb_Activiteiten[[#Headers],[Arbeidskosten op basis van IKS]],"")))</f>
        <v/>
      </c>
      <c r="AS131" t="str">
        <f>IF(ISNUMBER(FIND("overige",Methode_Keuze)),"",IF(Tb_Activiteiten[[#This Row],[Kosten derden exclusief btw]]=1,Tb_Activiteiten[[#Headers],[Kosten derden exclusief btw]],""))</f>
        <v/>
      </c>
      <c r="AT131" t="str">
        <f>IF(ISNUMBER(FIND("overige",Methode_Keuze)),"",IF(Tb_Activiteiten[[#This Row],[Niet verrekenbare btw]]=1,Tb_Activiteiten[[#Headers],[Niet verrekenbare btw]],""))</f>
        <v/>
      </c>
      <c r="AU131" t="str">
        <f>IF(ISNUMBER(FIND("overige",Methode_Keuze)),"",IF(Tb_Activiteiten[[#This Row],[Grondkosten]]=1,Tb_Activiteiten[[#Headers],[Grondkosten]],""))</f>
        <v/>
      </c>
      <c r="AV131" t="str">
        <f>IF(ISNUMBER(FIND("overige",Methode_Keuze)),"",IF(Tb_Activiteiten[[#This Row],[Bijdrage in natura (overige)]]=1,Tb_Activiteiten[[#Headers],[Bijdrage in natura (overige)]],""))</f>
        <v/>
      </c>
      <c r="AW131" t="str">
        <f>IF(ISNUMBER(FIND("overige",Methode_Keuze)),"",IF(Tb_Activiteiten[[#This Row],[Bijdrage in natura (vrijwilligers)]]=1,Tb_Activiteiten[[#Headers],[Bijdrage in natura (vrijwilligers)]],""))</f>
        <v/>
      </c>
      <c r="AX131" t="str">
        <f>IF(ISNUMBER(FIND("overige",Methode_Keuze)),"",IF(Tb_Activiteiten[[#This Row],[Afschrijvingskosten]]=1,Tb_Activiteiten[[#Headers],[Afschrijvingskosten]],""))</f>
        <v/>
      </c>
      <c r="AY131" t="str">
        <f>IF(ISNUMBER(FIND("overige",Methode_Keuze)),"",IF(Tb_Activiteiten[[#This Row],[Vergoeding]]=1,Tb_Activiteiten[[#Headers],[Vergoeding]],""))</f>
        <v/>
      </c>
      <c r="AZ131" t="str">
        <f>IF(ISNUMBER(FIND("arbeid",Methode_Keuze)),"",IF(Tb_Activiteiten[[#This Row],[Arbeidskosten - vast tarief (excl eigen arbeid)]]=1,Tb_Activiteiten[[#Headers],[Arbeidskosten - vast tarief (excl eigen arbeid)]],""))</f>
        <v/>
      </c>
      <c r="BA131" t="str">
        <f>IF(ISNUMBER(FIND("overige",Methode_Keuze)),"",IF(Tb_Activiteiten[[#This Row],[Overige kosten]]=1,Tb_Activiteiten[[#Headers],[Overige kosten]],""))</f>
        <v/>
      </c>
    </row>
    <row r="132" spans="1:53" x14ac:dyDescent="0.25">
      <c r="A132" s="231"/>
      <c r="F132" s="64"/>
      <c r="G132" s="64"/>
      <c r="H132" s="275"/>
      <c r="I132" s="275"/>
      <c r="J132" s="275"/>
      <c r="K132" s="275"/>
      <c r="O132" s="56"/>
      <c r="Q132" t="str">
        <f>IFERROR(IF(VLOOKUP(Tb_Activiteiten[[#This Row],[Openstelling]],Tb_Openstelling[],2,0)=1,1,""),"")</f>
        <v/>
      </c>
      <c r="AK132" t="str">
        <f>IF(ISNUMBER(FIND("arbeid",Methode_Keuze)),"",IF(ISNUMBER(FIND("arbeid",Methode_Keuze)),"",IF(Tb_Activiteiten[[#This Row],[Loonkosten]]=1,Tb_Activiteiten[[#Headers],[Loonkosten]],"")))</f>
        <v/>
      </c>
      <c r="AL132" t="str">
        <f>IF(ISNUMBER(FIND("arbeid",Methode_Keuze)),"",IF(ISNUMBER(FIND("arbeid",Methode_Keuze)),"",IF(Tb_Activiteiten[[#This Row],[Eigen arbeid]]=1,Tb_Activiteiten[[#Headers],[Eigen arbeid]],"")))</f>
        <v/>
      </c>
      <c r="AM132" t="str">
        <f>IF(ISNUMBER(FIND("arbeid",Methode_Keuze)),"",IF(ISNUMBER(FIND("arbeid",Methode_Keuze)),"",IF(Tb_Activiteiten[[#This Row],[Projectmedewerker]]=1,Tb_Activiteiten[[#Headers],[Projectmedewerker]],"")))</f>
        <v/>
      </c>
      <c r="AN132" t="str">
        <f>IF(ISNUMBER(FIND("arbeid",Methode_Keuze)),"",IF(ISNUMBER(FIND("arbeid",Methode_Keuze)),"",IF(Tb_Activiteiten[[#This Row],[Landbouwer]]=1,Tb_Activiteiten[[#Headers],[Landbouwer]],"")))</f>
        <v/>
      </c>
      <c r="AO132" t="str">
        <f>IF(ISNUMBER(FIND("arbeid",Methode_Keuze)),"",IF(ISNUMBER(FIND("arbeid",Methode_Keuze)),"",IF(Tb_Activiteiten[[#This Row],[Adviseur]]=1,Tb_Activiteiten[[#Headers],[Adviseur]],"")))</f>
        <v/>
      </c>
      <c r="AP132" t="str">
        <f>IF(ISNUMBER(FIND("arbeid",Methode_Keuze)),"",IF(ISNUMBER(FIND("arbeid",Methode_Keuze)),"",IF(Tb_Activiteiten[[#This Row],[Projectleider/Expert]]=1,Tb_Activiteiten[[#Headers],[Projectleider/Expert]],"")))</f>
        <v/>
      </c>
      <c r="AQ132" t="str">
        <f>IF(ISNUMBER(FIND("arbeid",Methode_Keuze)),"",IF(ISNUMBER(FIND("arbeid",Methode_Keuze)),"",IF(Tb_Activiteiten[[#This Row],[Arbeidskosten]]=1,Tb_Activiteiten[[#Headers],[Arbeidskosten]],"")))</f>
        <v/>
      </c>
      <c r="AR132" t="str">
        <f>IF(ISNUMBER(FIND("arbeid",Methode_Keuze)),"",IF(ISNUMBER(FIND("arbeid",Methode_Keuze)),"",IF(Tb_Activiteiten[[#This Row],[Arbeidskosten op basis van IKS]]=1,Tb_Activiteiten[[#Headers],[Arbeidskosten op basis van IKS]],"")))</f>
        <v/>
      </c>
      <c r="AS132" t="str">
        <f>IF(ISNUMBER(FIND("overige",Methode_Keuze)),"",IF(Tb_Activiteiten[[#This Row],[Kosten derden exclusief btw]]=1,Tb_Activiteiten[[#Headers],[Kosten derden exclusief btw]],""))</f>
        <v/>
      </c>
      <c r="AT132" t="str">
        <f>IF(ISNUMBER(FIND("overige",Methode_Keuze)),"",IF(Tb_Activiteiten[[#This Row],[Niet verrekenbare btw]]=1,Tb_Activiteiten[[#Headers],[Niet verrekenbare btw]],""))</f>
        <v/>
      </c>
      <c r="AU132" t="str">
        <f>IF(ISNUMBER(FIND("overige",Methode_Keuze)),"",IF(Tb_Activiteiten[[#This Row],[Grondkosten]]=1,Tb_Activiteiten[[#Headers],[Grondkosten]],""))</f>
        <v/>
      </c>
      <c r="AV132" t="str">
        <f>IF(ISNUMBER(FIND("overige",Methode_Keuze)),"",IF(Tb_Activiteiten[[#This Row],[Bijdrage in natura (overige)]]=1,Tb_Activiteiten[[#Headers],[Bijdrage in natura (overige)]],""))</f>
        <v/>
      </c>
      <c r="AW132" t="str">
        <f>IF(ISNUMBER(FIND("overige",Methode_Keuze)),"",IF(Tb_Activiteiten[[#This Row],[Bijdrage in natura (vrijwilligers)]]=1,Tb_Activiteiten[[#Headers],[Bijdrage in natura (vrijwilligers)]],""))</f>
        <v/>
      </c>
      <c r="AX132" t="str">
        <f>IF(ISNUMBER(FIND("overige",Methode_Keuze)),"",IF(Tb_Activiteiten[[#This Row],[Afschrijvingskosten]]=1,Tb_Activiteiten[[#Headers],[Afschrijvingskosten]],""))</f>
        <v/>
      </c>
      <c r="AY132" t="str">
        <f>IF(ISNUMBER(FIND("overige",Methode_Keuze)),"",IF(Tb_Activiteiten[[#This Row],[Vergoeding]]=1,Tb_Activiteiten[[#Headers],[Vergoeding]],""))</f>
        <v/>
      </c>
      <c r="AZ132" t="str">
        <f>IF(ISNUMBER(FIND("arbeid",Methode_Keuze)),"",IF(Tb_Activiteiten[[#This Row],[Arbeidskosten - vast tarief (excl eigen arbeid)]]=1,Tb_Activiteiten[[#Headers],[Arbeidskosten - vast tarief (excl eigen arbeid)]],""))</f>
        <v/>
      </c>
      <c r="BA132" t="str">
        <f>IF(ISNUMBER(FIND("overige",Methode_Keuze)),"",IF(Tb_Activiteiten[[#This Row],[Overige kosten]]=1,Tb_Activiteiten[[#Headers],[Overige kosten]],""))</f>
        <v/>
      </c>
    </row>
    <row r="133" spans="1:53" x14ac:dyDescent="0.25">
      <c r="A133" s="231"/>
      <c r="F133" s="64"/>
      <c r="G133" s="64"/>
      <c r="H133" s="275"/>
      <c r="I133" s="275"/>
      <c r="J133" s="275"/>
      <c r="K133" s="275"/>
      <c r="O133" s="56"/>
      <c r="Q133" t="str">
        <f>IFERROR(IF(VLOOKUP(Tb_Activiteiten[[#This Row],[Openstelling]],Tb_Openstelling[],2,0)=1,1,""),"")</f>
        <v/>
      </c>
      <c r="AK133" t="str">
        <f>IF(ISNUMBER(FIND("arbeid",Methode_Keuze)),"",IF(ISNUMBER(FIND("arbeid",Methode_Keuze)),"",IF(Tb_Activiteiten[[#This Row],[Loonkosten]]=1,Tb_Activiteiten[[#Headers],[Loonkosten]],"")))</f>
        <v/>
      </c>
      <c r="AL133" t="str">
        <f>IF(ISNUMBER(FIND("arbeid",Methode_Keuze)),"",IF(ISNUMBER(FIND("arbeid",Methode_Keuze)),"",IF(Tb_Activiteiten[[#This Row],[Eigen arbeid]]=1,Tb_Activiteiten[[#Headers],[Eigen arbeid]],"")))</f>
        <v/>
      </c>
      <c r="AM133" t="str">
        <f>IF(ISNUMBER(FIND("arbeid",Methode_Keuze)),"",IF(ISNUMBER(FIND("arbeid",Methode_Keuze)),"",IF(Tb_Activiteiten[[#This Row],[Projectmedewerker]]=1,Tb_Activiteiten[[#Headers],[Projectmedewerker]],"")))</f>
        <v/>
      </c>
      <c r="AN133" t="str">
        <f>IF(ISNUMBER(FIND("arbeid",Methode_Keuze)),"",IF(ISNUMBER(FIND("arbeid",Methode_Keuze)),"",IF(Tb_Activiteiten[[#This Row],[Landbouwer]]=1,Tb_Activiteiten[[#Headers],[Landbouwer]],"")))</f>
        <v/>
      </c>
      <c r="AO133" t="str">
        <f>IF(ISNUMBER(FIND("arbeid",Methode_Keuze)),"",IF(ISNUMBER(FIND("arbeid",Methode_Keuze)),"",IF(Tb_Activiteiten[[#This Row],[Adviseur]]=1,Tb_Activiteiten[[#Headers],[Adviseur]],"")))</f>
        <v/>
      </c>
      <c r="AP133" t="str">
        <f>IF(ISNUMBER(FIND("arbeid",Methode_Keuze)),"",IF(ISNUMBER(FIND("arbeid",Methode_Keuze)),"",IF(Tb_Activiteiten[[#This Row],[Projectleider/Expert]]=1,Tb_Activiteiten[[#Headers],[Projectleider/Expert]],"")))</f>
        <v/>
      </c>
      <c r="AQ133" t="str">
        <f>IF(ISNUMBER(FIND("arbeid",Methode_Keuze)),"",IF(ISNUMBER(FIND("arbeid",Methode_Keuze)),"",IF(Tb_Activiteiten[[#This Row],[Arbeidskosten]]=1,Tb_Activiteiten[[#Headers],[Arbeidskosten]],"")))</f>
        <v/>
      </c>
      <c r="AR133" t="str">
        <f>IF(ISNUMBER(FIND("arbeid",Methode_Keuze)),"",IF(ISNUMBER(FIND("arbeid",Methode_Keuze)),"",IF(Tb_Activiteiten[[#This Row],[Arbeidskosten op basis van IKS]]=1,Tb_Activiteiten[[#Headers],[Arbeidskosten op basis van IKS]],"")))</f>
        <v/>
      </c>
      <c r="AS133" t="str">
        <f>IF(ISNUMBER(FIND("overige",Methode_Keuze)),"",IF(Tb_Activiteiten[[#This Row],[Kosten derden exclusief btw]]=1,Tb_Activiteiten[[#Headers],[Kosten derden exclusief btw]],""))</f>
        <v/>
      </c>
      <c r="AT133" t="str">
        <f>IF(ISNUMBER(FIND("overige",Methode_Keuze)),"",IF(Tb_Activiteiten[[#This Row],[Niet verrekenbare btw]]=1,Tb_Activiteiten[[#Headers],[Niet verrekenbare btw]],""))</f>
        <v/>
      </c>
      <c r="AU133" t="str">
        <f>IF(ISNUMBER(FIND("overige",Methode_Keuze)),"",IF(Tb_Activiteiten[[#This Row],[Grondkosten]]=1,Tb_Activiteiten[[#Headers],[Grondkosten]],""))</f>
        <v/>
      </c>
      <c r="AV133" t="str">
        <f>IF(ISNUMBER(FIND("overige",Methode_Keuze)),"",IF(Tb_Activiteiten[[#This Row],[Bijdrage in natura (overige)]]=1,Tb_Activiteiten[[#Headers],[Bijdrage in natura (overige)]],""))</f>
        <v/>
      </c>
      <c r="AW133" t="str">
        <f>IF(ISNUMBER(FIND("overige",Methode_Keuze)),"",IF(Tb_Activiteiten[[#This Row],[Bijdrage in natura (vrijwilligers)]]=1,Tb_Activiteiten[[#Headers],[Bijdrage in natura (vrijwilligers)]],""))</f>
        <v/>
      </c>
      <c r="AX133" t="str">
        <f>IF(ISNUMBER(FIND("overige",Methode_Keuze)),"",IF(Tb_Activiteiten[[#This Row],[Afschrijvingskosten]]=1,Tb_Activiteiten[[#Headers],[Afschrijvingskosten]],""))</f>
        <v/>
      </c>
      <c r="AY133" t="str">
        <f>IF(ISNUMBER(FIND("overige",Methode_Keuze)),"",IF(Tb_Activiteiten[[#This Row],[Vergoeding]]=1,Tb_Activiteiten[[#Headers],[Vergoeding]],""))</f>
        <v/>
      </c>
      <c r="AZ133" t="str">
        <f>IF(ISNUMBER(FIND("arbeid",Methode_Keuze)),"",IF(Tb_Activiteiten[[#This Row],[Arbeidskosten - vast tarief (excl eigen arbeid)]]=1,Tb_Activiteiten[[#Headers],[Arbeidskosten - vast tarief (excl eigen arbeid)]],""))</f>
        <v/>
      </c>
      <c r="BA133" t="str">
        <f>IF(ISNUMBER(FIND("overige",Methode_Keuze)),"",IF(Tb_Activiteiten[[#This Row],[Overige kosten]]=1,Tb_Activiteiten[[#Headers],[Overige kosten]],""))</f>
        <v/>
      </c>
    </row>
    <row r="134" spans="1:53" x14ac:dyDescent="0.25">
      <c r="A134" s="231"/>
      <c r="F134" s="64"/>
      <c r="G134" s="64"/>
      <c r="H134" s="275"/>
      <c r="I134" s="275"/>
      <c r="J134" s="275"/>
      <c r="K134" s="275"/>
      <c r="O134" s="56"/>
      <c r="Q134" t="str">
        <f>IFERROR(IF(VLOOKUP(Tb_Activiteiten[[#This Row],[Openstelling]],Tb_Openstelling[],2,0)=1,1,""),"")</f>
        <v/>
      </c>
      <c r="AK134" t="str">
        <f>IF(ISNUMBER(FIND("arbeid",Methode_Keuze)),"",IF(ISNUMBER(FIND("arbeid",Methode_Keuze)),"",IF(Tb_Activiteiten[[#This Row],[Loonkosten]]=1,Tb_Activiteiten[[#Headers],[Loonkosten]],"")))</f>
        <v/>
      </c>
      <c r="AL134" t="str">
        <f>IF(ISNUMBER(FIND("arbeid",Methode_Keuze)),"",IF(ISNUMBER(FIND("arbeid",Methode_Keuze)),"",IF(Tb_Activiteiten[[#This Row],[Eigen arbeid]]=1,Tb_Activiteiten[[#Headers],[Eigen arbeid]],"")))</f>
        <v/>
      </c>
      <c r="AM134" t="str">
        <f>IF(ISNUMBER(FIND("arbeid",Methode_Keuze)),"",IF(ISNUMBER(FIND("arbeid",Methode_Keuze)),"",IF(Tb_Activiteiten[[#This Row],[Projectmedewerker]]=1,Tb_Activiteiten[[#Headers],[Projectmedewerker]],"")))</f>
        <v/>
      </c>
      <c r="AN134" t="str">
        <f>IF(ISNUMBER(FIND("arbeid",Methode_Keuze)),"",IF(ISNUMBER(FIND("arbeid",Methode_Keuze)),"",IF(Tb_Activiteiten[[#This Row],[Landbouwer]]=1,Tb_Activiteiten[[#Headers],[Landbouwer]],"")))</f>
        <v/>
      </c>
      <c r="AO134" t="str">
        <f>IF(ISNUMBER(FIND("arbeid",Methode_Keuze)),"",IF(ISNUMBER(FIND("arbeid",Methode_Keuze)),"",IF(Tb_Activiteiten[[#This Row],[Adviseur]]=1,Tb_Activiteiten[[#Headers],[Adviseur]],"")))</f>
        <v/>
      </c>
      <c r="AP134" t="str">
        <f>IF(ISNUMBER(FIND("arbeid",Methode_Keuze)),"",IF(ISNUMBER(FIND("arbeid",Methode_Keuze)),"",IF(Tb_Activiteiten[[#This Row],[Projectleider/Expert]]=1,Tb_Activiteiten[[#Headers],[Projectleider/Expert]],"")))</f>
        <v/>
      </c>
      <c r="AQ134" t="str">
        <f>IF(ISNUMBER(FIND("arbeid",Methode_Keuze)),"",IF(ISNUMBER(FIND("arbeid",Methode_Keuze)),"",IF(Tb_Activiteiten[[#This Row],[Arbeidskosten]]=1,Tb_Activiteiten[[#Headers],[Arbeidskosten]],"")))</f>
        <v/>
      </c>
      <c r="AR134" t="str">
        <f>IF(ISNUMBER(FIND("arbeid",Methode_Keuze)),"",IF(ISNUMBER(FIND("arbeid",Methode_Keuze)),"",IF(Tb_Activiteiten[[#This Row],[Arbeidskosten op basis van IKS]]=1,Tb_Activiteiten[[#Headers],[Arbeidskosten op basis van IKS]],"")))</f>
        <v/>
      </c>
      <c r="AS134" t="str">
        <f>IF(ISNUMBER(FIND("overige",Methode_Keuze)),"",IF(Tb_Activiteiten[[#This Row],[Kosten derden exclusief btw]]=1,Tb_Activiteiten[[#Headers],[Kosten derden exclusief btw]],""))</f>
        <v/>
      </c>
      <c r="AT134" t="str">
        <f>IF(ISNUMBER(FIND("overige",Methode_Keuze)),"",IF(Tb_Activiteiten[[#This Row],[Niet verrekenbare btw]]=1,Tb_Activiteiten[[#Headers],[Niet verrekenbare btw]],""))</f>
        <v/>
      </c>
      <c r="AU134" t="str">
        <f>IF(ISNUMBER(FIND("overige",Methode_Keuze)),"",IF(Tb_Activiteiten[[#This Row],[Grondkosten]]=1,Tb_Activiteiten[[#Headers],[Grondkosten]],""))</f>
        <v/>
      </c>
      <c r="AV134" t="str">
        <f>IF(ISNUMBER(FIND("overige",Methode_Keuze)),"",IF(Tb_Activiteiten[[#This Row],[Bijdrage in natura (overige)]]=1,Tb_Activiteiten[[#Headers],[Bijdrage in natura (overige)]],""))</f>
        <v/>
      </c>
      <c r="AW134" t="str">
        <f>IF(ISNUMBER(FIND("overige",Methode_Keuze)),"",IF(Tb_Activiteiten[[#This Row],[Bijdrage in natura (vrijwilligers)]]=1,Tb_Activiteiten[[#Headers],[Bijdrage in natura (vrijwilligers)]],""))</f>
        <v/>
      </c>
      <c r="AX134" t="str">
        <f>IF(ISNUMBER(FIND("overige",Methode_Keuze)),"",IF(Tb_Activiteiten[[#This Row],[Afschrijvingskosten]]=1,Tb_Activiteiten[[#Headers],[Afschrijvingskosten]],""))</f>
        <v/>
      </c>
      <c r="AY134" t="str">
        <f>IF(ISNUMBER(FIND("overige",Methode_Keuze)),"",IF(Tb_Activiteiten[[#This Row],[Vergoeding]]=1,Tb_Activiteiten[[#Headers],[Vergoeding]],""))</f>
        <v/>
      </c>
      <c r="AZ134" t="str">
        <f>IF(ISNUMBER(FIND("arbeid",Methode_Keuze)),"",IF(Tb_Activiteiten[[#This Row],[Arbeidskosten - vast tarief (excl eigen arbeid)]]=1,Tb_Activiteiten[[#Headers],[Arbeidskosten - vast tarief (excl eigen arbeid)]],""))</f>
        <v/>
      </c>
      <c r="BA134" t="str">
        <f>IF(ISNUMBER(FIND("overige",Methode_Keuze)),"",IF(Tb_Activiteiten[[#This Row],[Overige kosten]]=1,Tb_Activiteiten[[#Headers],[Overige kosten]],""))</f>
        <v/>
      </c>
    </row>
    <row r="135" spans="1:53" x14ac:dyDescent="0.25">
      <c r="A135" s="231"/>
      <c r="F135" s="64"/>
      <c r="G135" s="64"/>
      <c r="H135" s="275"/>
      <c r="I135" s="275"/>
      <c r="J135" s="275"/>
      <c r="K135" s="275"/>
      <c r="O135" s="56"/>
      <c r="Q135" t="str">
        <f>IFERROR(IF(VLOOKUP(Tb_Activiteiten[[#This Row],[Openstelling]],Tb_Openstelling[],2,0)=1,1,""),"")</f>
        <v/>
      </c>
      <c r="AK135" t="str">
        <f>IF(ISNUMBER(FIND("arbeid",Methode_Keuze)),"",IF(ISNUMBER(FIND("arbeid",Methode_Keuze)),"",IF(Tb_Activiteiten[[#This Row],[Loonkosten]]=1,Tb_Activiteiten[[#Headers],[Loonkosten]],"")))</f>
        <v/>
      </c>
      <c r="AL135" t="str">
        <f>IF(ISNUMBER(FIND("arbeid",Methode_Keuze)),"",IF(ISNUMBER(FIND("arbeid",Methode_Keuze)),"",IF(Tb_Activiteiten[[#This Row],[Eigen arbeid]]=1,Tb_Activiteiten[[#Headers],[Eigen arbeid]],"")))</f>
        <v/>
      </c>
      <c r="AM135" t="str">
        <f>IF(ISNUMBER(FIND("arbeid",Methode_Keuze)),"",IF(ISNUMBER(FIND("arbeid",Methode_Keuze)),"",IF(Tb_Activiteiten[[#This Row],[Projectmedewerker]]=1,Tb_Activiteiten[[#Headers],[Projectmedewerker]],"")))</f>
        <v/>
      </c>
      <c r="AN135" t="str">
        <f>IF(ISNUMBER(FIND("arbeid",Methode_Keuze)),"",IF(ISNUMBER(FIND("arbeid",Methode_Keuze)),"",IF(Tb_Activiteiten[[#This Row],[Landbouwer]]=1,Tb_Activiteiten[[#Headers],[Landbouwer]],"")))</f>
        <v/>
      </c>
      <c r="AO135" t="str">
        <f>IF(ISNUMBER(FIND("arbeid",Methode_Keuze)),"",IF(ISNUMBER(FIND("arbeid",Methode_Keuze)),"",IF(Tb_Activiteiten[[#This Row],[Adviseur]]=1,Tb_Activiteiten[[#Headers],[Adviseur]],"")))</f>
        <v/>
      </c>
      <c r="AP135" t="str">
        <f>IF(ISNUMBER(FIND("arbeid",Methode_Keuze)),"",IF(ISNUMBER(FIND("arbeid",Methode_Keuze)),"",IF(Tb_Activiteiten[[#This Row],[Projectleider/Expert]]=1,Tb_Activiteiten[[#Headers],[Projectleider/Expert]],"")))</f>
        <v/>
      </c>
      <c r="AQ135" t="str">
        <f>IF(ISNUMBER(FIND("arbeid",Methode_Keuze)),"",IF(ISNUMBER(FIND("arbeid",Methode_Keuze)),"",IF(Tb_Activiteiten[[#This Row],[Arbeidskosten]]=1,Tb_Activiteiten[[#Headers],[Arbeidskosten]],"")))</f>
        <v/>
      </c>
      <c r="AR135" t="str">
        <f>IF(ISNUMBER(FIND("arbeid",Methode_Keuze)),"",IF(ISNUMBER(FIND("arbeid",Methode_Keuze)),"",IF(Tb_Activiteiten[[#This Row],[Arbeidskosten op basis van IKS]]=1,Tb_Activiteiten[[#Headers],[Arbeidskosten op basis van IKS]],"")))</f>
        <v/>
      </c>
      <c r="AS135" t="str">
        <f>IF(ISNUMBER(FIND("overige",Methode_Keuze)),"",IF(Tb_Activiteiten[[#This Row],[Kosten derden exclusief btw]]=1,Tb_Activiteiten[[#Headers],[Kosten derden exclusief btw]],""))</f>
        <v/>
      </c>
      <c r="AT135" t="str">
        <f>IF(ISNUMBER(FIND("overige",Methode_Keuze)),"",IF(Tb_Activiteiten[[#This Row],[Niet verrekenbare btw]]=1,Tb_Activiteiten[[#Headers],[Niet verrekenbare btw]],""))</f>
        <v/>
      </c>
      <c r="AU135" t="str">
        <f>IF(ISNUMBER(FIND("overige",Methode_Keuze)),"",IF(Tb_Activiteiten[[#This Row],[Grondkosten]]=1,Tb_Activiteiten[[#Headers],[Grondkosten]],""))</f>
        <v/>
      </c>
      <c r="AV135" t="str">
        <f>IF(ISNUMBER(FIND("overige",Methode_Keuze)),"",IF(Tb_Activiteiten[[#This Row],[Bijdrage in natura (overige)]]=1,Tb_Activiteiten[[#Headers],[Bijdrage in natura (overige)]],""))</f>
        <v/>
      </c>
      <c r="AW135" t="str">
        <f>IF(ISNUMBER(FIND("overige",Methode_Keuze)),"",IF(Tb_Activiteiten[[#This Row],[Bijdrage in natura (vrijwilligers)]]=1,Tb_Activiteiten[[#Headers],[Bijdrage in natura (vrijwilligers)]],""))</f>
        <v/>
      </c>
      <c r="AX135" t="str">
        <f>IF(ISNUMBER(FIND("overige",Methode_Keuze)),"",IF(Tb_Activiteiten[[#This Row],[Afschrijvingskosten]]=1,Tb_Activiteiten[[#Headers],[Afschrijvingskosten]],""))</f>
        <v/>
      </c>
      <c r="AY135" t="str">
        <f>IF(ISNUMBER(FIND("overige",Methode_Keuze)),"",IF(Tb_Activiteiten[[#This Row],[Vergoeding]]=1,Tb_Activiteiten[[#Headers],[Vergoeding]],""))</f>
        <v/>
      </c>
      <c r="AZ135" t="str">
        <f>IF(ISNUMBER(FIND("arbeid",Methode_Keuze)),"",IF(Tb_Activiteiten[[#This Row],[Arbeidskosten - vast tarief (excl eigen arbeid)]]=1,Tb_Activiteiten[[#Headers],[Arbeidskosten - vast tarief (excl eigen arbeid)]],""))</f>
        <v/>
      </c>
      <c r="BA135" t="str">
        <f>IF(ISNUMBER(FIND("overige",Methode_Keuze)),"",IF(Tb_Activiteiten[[#This Row],[Overige kosten]]=1,Tb_Activiteiten[[#Headers],[Overige kosten]],""))</f>
        <v/>
      </c>
    </row>
    <row r="136" spans="1:53" x14ac:dyDescent="0.25">
      <c r="A136" s="231"/>
      <c r="F136" s="64"/>
      <c r="G136" s="64"/>
      <c r="H136" s="275"/>
      <c r="I136" s="275"/>
      <c r="J136" s="275"/>
      <c r="K136" s="275"/>
      <c r="O136" s="56"/>
      <c r="Q136" t="str">
        <f>IFERROR(IF(VLOOKUP(Tb_Activiteiten[[#This Row],[Openstelling]],Tb_Openstelling[],2,0)=1,1,""),"")</f>
        <v/>
      </c>
      <c r="AK136" t="str">
        <f>IF(ISNUMBER(FIND("arbeid",Methode_Keuze)),"",IF(ISNUMBER(FIND("arbeid",Methode_Keuze)),"",IF(Tb_Activiteiten[[#This Row],[Loonkosten]]=1,Tb_Activiteiten[[#Headers],[Loonkosten]],"")))</f>
        <v/>
      </c>
      <c r="AL136" t="str">
        <f>IF(ISNUMBER(FIND("arbeid",Methode_Keuze)),"",IF(ISNUMBER(FIND("arbeid",Methode_Keuze)),"",IF(Tb_Activiteiten[[#This Row],[Eigen arbeid]]=1,Tb_Activiteiten[[#Headers],[Eigen arbeid]],"")))</f>
        <v/>
      </c>
      <c r="AM136" t="str">
        <f>IF(ISNUMBER(FIND("arbeid",Methode_Keuze)),"",IF(ISNUMBER(FIND("arbeid",Methode_Keuze)),"",IF(Tb_Activiteiten[[#This Row],[Projectmedewerker]]=1,Tb_Activiteiten[[#Headers],[Projectmedewerker]],"")))</f>
        <v/>
      </c>
      <c r="AN136" t="str">
        <f>IF(ISNUMBER(FIND("arbeid",Methode_Keuze)),"",IF(ISNUMBER(FIND("arbeid",Methode_Keuze)),"",IF(Tb_Activiteiten[[#This Row],[Landbouwer]]=1,Tb_Activiteiten[[#Headers],[Landbouwer]],"")))</f>
        <v/>
      </c>
      <c r="AO136" t="str">
        <f>IF(ISNUMBER(FIND("arbeid",Methode_Keuze)),"",IF(ISNUMBER(FIND("arbeid",Methode_Keuze)),"",IF(Tb_Activiteiten[[#This Row],[Adviseur]]=1,Tb_Activiteiten[[#Headers],[Adviseur]],"")))</f>
        <v/>
      </c>
      <c r="AP136" t="str">
        <f>IF(ISNUMBER(FIND("arbeid",Methode_Keuze)),"",IF(ISNUMBER(FIND("arbeid",Methode_Keuze)),"",IF(Tb_Activiteiten[[#This Row],[Projectleider/Expert]]=1,Tb_Activiteiten[[#Headers],[Projectleider/Expert]],"")))</f>
        <v/>
      </c>
      <c r="AQ136" t="str">
        <f>IF(ISNUMBER(FIND("arbeid",Methode_Keuze)),"",IF(ISNUMBER(FIND("arbeid",Methode_Keuze)),"",IF(Tb_Activiteiten[[#This Row],[Arbeidskosten]]=1,Tb_Activiteiten[[#Headers],[Arbeidskosten]],"")))</f>
        <v/>
      </c>
      <c r="AR136" t="str">
        <f>IF(ISNUMBER(FIND("arbeid",Methode_Keuze)),"",IF(ISNUMBER(FIND("arbeid",Methode_Keuze)),"",IF(Tb_Activiteiten[[#This Row],[Arbeidskosten op basis van IKS]]=1,Tb_Activiteiten[[#Headers],[Arbeidskosten op basis van IKS]],"")))</f>
        <v/>
      </c>
      <c r="AS136" t="str">
        <f>IF(ISNUMBER(FIND("overige",Methode_Keuze)),"",IF(Tb_Activiteiten[[#This Row],[Kosten derden exclusief btw]]=1,Tb_Activiteiten[[#Headers],[Kosten derden exclusief btw]],""))</f>
        <v/>
      </c>
      <c r="AT136" t="str">
        <f>IF(ISNUMBER(FIND("overige",Methode_Keuze)),"",IF(Tb_Activiteiten[[#This Row],[Niet verrekenbare btw]]=1,Tb_Activiteiten[[#Headers],[Niet verrekenbare btw]],""))</f>
        <v/>
      </c>
      <c r="AU136" t="str">
        <f>IF(ISNUMBER(FIND("overige",Methode_Keuze)),"",IF(Tb_Activiteiten[[#This Row],[Grondkosten]]=1,Tb_Activiteiten[[#Headers],[Grondkosten]],""))</f>
        <v/>
      </c>
      <c r="AV136" t="str">
        <f>IF(ISNUMBER(FIND("overige",Methode_Keuze)),"",IF(Tb_Activiteiten[[#This Row],[Bijdrage in natura (overige)]]=1,Tb_Activiteiten[[#Headers],[Bijdrage in natura (overige)]],""))</f>
        <v/>
      </c>
      <c r="AW136" t="str">
        <f>IF(ISNUMBER(FIND("overige",Methode_Keuze)),"",IF(Tb_Activiteiten[[#This Row],[Bijdrage in natura (vrijwilligers)]]=1,Tb_Activiteiten[[#Headers],[Bijdrage in natura (vrijwilligers)]],""))</f>
        <v/>
      </c>
      <c r="AX136" t="str">
        <f>IF(ISNUMBER(FIND("overige",Methode_Keuze)),"",IF(Tb_Activiteiten[[#This Row],[Afschrijvingskosten]]=1,Tb_Activiteiten[[#Headers],[Afschrijvingskosten]],""))</f>
        <v/>
      </c>
      <c r="AY136" t="str">
        <f>IF(ISNUMBER(FIND("overige",Methode_Keuze)),"",IF(Tb_Activiteiten[[#This Row],[Vergoeding]]=1,Tb_Activiteiten[[#Headers],[Vergoeding]],""))</f>
        <v/>
      </c>
      <c r="AZ136" t="str">
        <f>IF(ISNUMBER(FIND("arbeid",Methode_Keuze)),"",IF(Tb_Activiteiten[[#This Row],[Arbeidskosten - vast tarief (excl eigen arbeid)]]=1,Tb_Activiteiten[[#Headers],[Arbeidskosten - vast tarief (excl eigen arbeid)]],""))</f>
        <v/>
      </c>
      <c r="BA136" t="str">
        <f>IF(ISNUMBER(FIND("overige",Methode_Keuze)),"",IF(Tb_Activiteiten[[#This Row],[Overige kosten]]=1,Tb_Activiteiten[[#Headers],[Overige kosten]],""))</f>
        <v/>
      </c>
    </row>
    <row r="137" spans="1:53" x14ac:dyDescent="0.25">
      <c r="A137" s="231"/>
      <c r="F137" s="64"/>
      <c r="G137" s="64"/>
      <c r="H137" s="275"/>
      <c r="I137" s="275"/>
      <c r="J137" s="275"/>
      <c r="K137" s="275"/>
      <c r="O137" s="56"/>
      <c r="Q137" t="str">
        <f>IFERROR(IF(VLOOKUP(Tb_Activiteiten[[#This Row],[Openstelling]],Tb_Openstelling[],2,0)=1,1,""),"")</f>
        <v/>
      </c>
      <c r="AK137" t="str">
        <f>IF(ISNUMBER(FIND("arbeid",Methode_Keuze)),"",IF(ISNUMBER(FIND("arbeid",Methode_Keuze)),"",IF(Tb_Activiteiten[[#This Row],[Loonkosten]]=1,Tb_Activiteiten[[#Headers],[Loonkosten]],"")))</f>
        <v/>
      </c>
      <c r="AL137" t="str">
        <f>IF(ISNUMBER(FIND("arbeid",Methode_Keuze)),"",IF(ISNUMBER(FIND("arbeid",Methode_Keuze)),"",IF(Tb_Activiteiten[[#This Row],[Eigen arbeid]]=1,Tb_Activiteiten[[#Headers],[Eigen arbeid]],"")))</f>
        <v/>
      </c>
      <c r="AM137" t="str">
        <f>IF(ISNUMBER(FIND("arbeid",Methode_Keuze)),"",IF(ISNUMBER(FIND("arbeid",Methode_Keuze)),"",IF(Tb_Activiteiten[[#This Row],[Projectmedewerker]]=1,Tb_Activiteiten[[#Headers],[Projectmedewerker]],"")))</f>
        <v/>
      </c>
      <c r="AN137" t="str">
        <f>IF(ISNUMBER(FIND("arbeid",Methode_Keuze)),"",IF(ISNUMBER(FIND("arbeid",Methode_Keuze)),"",IF(Tb_Activiteiten[[#This Row],[Landbouwer]]=1,Tb_Activiteiten[[#Headers],[Landbouwer]],"")))</f>
        <v/>
      </c>
      <c r="AO137" t="str">
        <f>IF(ISNUMBER(FIND("arbeid",Methode_Keuze)),"",IF(ISNUMBER(FIND("arbeid",Methode_Keuze)),"",IF(Tb_Activiteiten[[#This Row],[Adviseur]]=1,Tb_Activiteiten[[#Headers],[Adviseur]],"")))</f>
        <v/>
      </c>
      <c r="AP137" t="str">
        <f>IF(ISNUMBER(FIND("arbeid",Methode_Keuze)),"",IF(ISNUMBER(FIND("arbeid",Methode_Keuze)),"",IF(Tb_Activiteiten[[#This Row],[Projectleider/Expert]]=1,Tb_Activiteiten[[#Headers],[Projectleider/Expert]],"")))</f>
        <v/>
      </c>
      <c r="AQ137" t="str">
        <f>IF(ISNUMBER(FIND("arbeid",Methode_Keuze)),"",IF(ISNUMBER(FIND("arbeid",Methode_Keuze)),"",IF(Tb_Activiteiten[[#This Row],[Arbeidskosten]]=1,Tb_Activiteiten[[#Headers],[Arbeidskosten]],"")))</f>
        <v/>
      </c>
      <c r="AR137" t="str">
        <f>IF(ISNUMBER(FIND("arbeid",Methode_Keuze)),"",IF(ISNUMBER(FIND("arbeid",Methode_Keuze)),"",IF(Tb_Activiteiten[[#This Row],[Arbeidskosten op basis van IKS]]=1,Tb_Activiteiten[[#Headers],[Arbeidskosten op basis van IKS]],"")))</f>
        <v/>
      </c>
      <c r="AS137" t="str">
        <f>IF(ISNUMBER(FIND("overige",Methode_Keuze)),"",IF(Tb_Activiteiten[[#This Row],[Kosten derden exclusief btw]]=1,Tb_Activiteiten[[#Headers],[Kosten derden exclusief btw]],""))</f>
        <v/>
      </c>
      <c r="AT137" t="str">
        <f>IF(ISNUMBER(FIND("overige",Methode_Keuze)),"",IF(Tb_Activiteiten[[#This Row],[Niet verrekenbare btw]]=1,Tb_Activiteiten[[#Headers],[Niet verrekenbare btw]],""))</f>
        <v/>
      </c>
      <c r="AU137" t="str">
        <f>IF(ISNUMBER(FIND("overige",Methode_Keuze)),"",IF(Tb_Activiteiten[[#This Row],[Grondkosten]]=1,Tb_Activiteiten[[#Headers],[Grondkosten]],""))</f>
        <v/>
      </c>
      <c r="AV137" t="str">
        <f>IF(ISNUMBER(FIND("overige",Methode_Keuze)),"",IF(Tb_Activiteiten[[#This Row],[Bijdrage in natura (overige)]]=1,Tb_Activiteiten[[#Headers],[Bijdrage in natura (overige)]],""))</f>
        <v/>
      </c>
      <c r="AW137" t="str">
        <f>IF(ISNUMBER(FIND("overige",Methode_Keuze)),"",IF(Tb_Activiteiten[[#This Row],[Bijdrage in natura (vrijwilligers)]]=1,Tb_Activiteiten[[#Headers],[Bijdrage in natura (vrijwilligers)]],""))</f>
        <v/>
      </c>
      <c r="AX137" t="str">
        <f>IF(ISNUMBER(FIND("overige",Methode_Keuze)),"",IF(Tb_Activiteiten[[#This Row],[Afschrijvingskosten]]=1,Tb_Activiteiten[[#Headers],[Afschrijvingskosten]],""))</f>
        <v/>
      </c>
      <c r="AY137" t="str">
        <f>IF(ISNUMBER(FIND("overige",Methode_Keuze)),"",IF(Tb_Activiteiten[[#This Row],[Vergoeding]]=1,Tb_Activiteiten[[#Headers],[Vergoeding]],""))</f>
        <v/>
      </c>
      <c r="AZ137" t="str">
        <f>IF(ISNUMBER(FIND("arbeid",Methode_Keuze)),"",IF(Tb_Activiteiten[[#This Row],[Arbeidskosten - vast tarief (excl eigen arbeid)]]=1,Tb_Activiteiten[[#Headers],[Arbeidskosten - vast tarief (excl eigen arbeid)]],""))</f>
        <v/>
      </c>
      <c r="BA137" t="str">
        <f>IF(ISNUMBER(FIND("overige",Methode_Keuze)),"",IF(Tb_Activiteiten[[#This Row],[Overige kosten]]=1,Tb_Activiteiten[[#Headers],[Overige kosten]],""))</f>
        <v/>
      </c>
    </row>
    <row r="138" spans="1:53" x14ac:dyDescent="0.25">
      <c r="A138" s="231"/>
      <c r="F138" s="64"/>
      <c r="G138" s="64"/>
      <c r="H138" s="275"/>
      <c r="I138" s="275"/>
      <c r="J138" s="275"/>
      <c r="K138" s="275"/>
      <c r="O138" s="56"/>
      <c r="Q138" t="str">
        <f>IFERROR(IF(VLOOKUP(Tb_Activiteiten[[#This Row],[Openstelling]],Tb_Openstelling[],2,0)=1,1,""),"")</f>
        <v/>
      </c>
      <c r="AK138" t="str">
        <f>IF(ISNUMBER(FIND("arbeid",Methode_Keuze)),"",IF(ISNUMBER(FIND("arbeid",Methode_Keuze)),"",IF(Tb_Activiteiten[[#This Row],[Loonkosten]]=1,Tb_Activiteiten[[#Headers],[Loonkosten]],"")))</f>
        <v/>
      </c>
      <c r="AL138" t="str">
        <f>IF(ISNUMBER(FIND("arbeid",Methode_Keuze)),"",IF(ISNUMBER(FIND("arbeid",Methode_Keuze)),"",IF(Tb_Activiteiten[[#This Row],[Eigen arbeid]]=1,Tb_Activiteiten[[#Headers],[Eigen arbeid]],"")))</f>
        <v/>
      </c>
      <c r="AM138" t="str">
        <f>IF(ISNUMBER(FIND("arbeid",Methode_Keuze)),"",IF(ISNUMBER(FIND("arbeid",Methode_Keuze)),"",IF(Tb_Activiteiten[[#This Row],[Projectmedewerker]]=1,Tb_Activiteiten[[#Headers],[Projectmedewerker]],"")))</f>
        <v/>
      </c>
      <c r="AN138" t="str">
        <f>IF(ISNUMBER(FIND("arbeid",Methode_Keuze)),"",IF(ISNUMBER(FIND("arbeid",Methode_Keuze)),"",IF(Tb_Activiteiten[[#This Row],[Landbouwer]]=1,Tb_Activiteiten[[#Headers],[Landbouwer]],"")))</f>
        <v/>
      </c>
      <c r="AO138" t="str">
        <f>IF(ISNUMBER(FIND("arbeid",Methode_Keuze)),"",IF(ISNUMBER(FIND("arbeid",Methode_Keuze)),"",IF(Tb_Activiteiten[[#This Row],[Adviseur]]=1,Tb_Activiteiten[[#Headers],[Adviseur]],"")))</f>
        <v/>
      </c>
      <c r="AP138" t="str">
        <f>IF(ISNUMBER(FIND("arbeid",Methode_Keuze)),"",IF(ISNUMBER(FIND("arbeid",Methode_Keuze)),"",IF(Tb_Activiteiten[[#This Row],[Projectleider/Expert]]=1,Tb_Activiteiten[[#Headers],[Projectleider/Expert]],"")))</f>
        <v/>
      </c>
      <c r="AQ138" t="str">
        <f>IF(ISNUMBER(FIND("arbeid",Methode_Keuze)),"",IF(ISNUMBER(FIND("arbeid",Methode_Keuze)),"",IF(Tb_Activiteiten[[#This Row],[Arbeidskosten]]=1,Tb_Activiteiten[[#Headers],[Arbeidskosten]],"")))</f>
        <v/>
      </c>
      <c r="AR138" t="str">
        <f>IF(ISNUMBER(FIND("arbeid",Methode_Keuze)),"",IF(ISNUMBER(FIND("arbeid",Methode_Keuze)),"",IF(Tb_Activiteiten[[#This Row],[Arbeidskosten op basis van IKS]]=1,Tb_Activiteiten[[#Headers],[Arbeidskosten op basis van IKS]],"")))</f>
        <v/>
      </c>
      <c r="AS138" t="str">
        <f>IF(ISNUMBER(FIND("overige",Methode_Keuze)),"",IF(Tb_Activiteiten[[#This Row],[Kosten derden exclusief btw]]=1,Tb_Activiteiten[[#Headers],[Kosten derden exclusief btw]],""))</f>
        <v/>
      </c>
      <c r="AT138" t="str">
        <f>IF(ISNUMBER(FIND("overige",Methode_Keuze)),"",IF(Tb_Activiteiten[[#This Row],[Niet verrekenbare btw]]=1,Tb_Activiteiten[[#Headers],[Niet verrekenbare btw]],""))</f>
        <v/>
      </c>
      <c r="AU138" t="str">
        <f>IF(ISNUMBER(FIND("overige",Methode_Keuze)),"",IF(Tb_Activiteiten[[#This Row],[Grondkosten]]=1,Tb_Activiteiten[[#Headers],[Grondkosten]],""))</f>
        <v/>
      </c>
      <c r="AV138" t="str">
        <f>IF(ISNUMBER(FIND("overige",Methode_Keuze)),"",IF(Tb_Activiteiten[[#This Row],[Bijdrage in natura (overige)]]=1,Tb_Activiteiten[[#Headers],[Bijdrage in natura (overige)]],""))</f>
        <v/>
      </c>
      <c r="AW138" t="str">
        <f>IF(ISNUMBER(FIND("overige",Methode_Keuze)),"",IF(Tb_Activiteiten[[#This Row],[Bijdrage in natura (vrijwilligers)]]=1,Tb_Activiteiten[[#Headers],[Bijdrage in natura (vrijwilligers)]],""))</f>
        <v/>
      </c>
      <c r="AX138" t="str">
        <f>IF(ISNUMBER(FIND("overige",Methode_Keuze)),"",IF(Tb_Activiteiten[[#This Row],[Afschrijvingskosten]]=1,Tb_Activiteiten[[#Headers],[Afschrijvingskosten]],""))</f>
        <v/>
      </c>
      <c r="AY138" t="str">
        <f>IF(ISNUMBER(FIND("overige",Methode_Keuze)),"",IF(Tb_Activiteiten[[#This Row],[Vergoeding]]=1,Tb_Activiteiten[[#Headers],[Vergoeding]],""))</f>
        <v/>
      </c>
      <c r="AZ138" t="str">
        <f>IF(ISNUMBER(FIND("arbeid",Methode_Keuze)),"",IF(Tb_Activiteiten[[#This Row],[Arbeidskosten - vast tarief (excl eigen arbeid)]]=1,Tb_Activiteiten[[#Headers],[Arbeidskosten - vast tarief (excl eigen arbeid)]],""))</f>
        <v/>
      </c>
      <c r="BA138" t="str">
        <f>IF(ISNUMBER(FIND("overige",Methode_Keuze)),"",IF(Tb_Activiteiten[[#This Row],[Overige kosten]]=1,Tb_Activiteiten[[#Headers],[Overige kosten]],""))</f>
        <v/>
      </c>
    </row>
    <row r="139" spans="1:53" x14ac:dyDescent="0.25">
      <c r="A139" s="231"/>
      <c r="F139" s="64"/>
      <c r="G139" s="64"/>
      <c r="H139" s="275"/>
      <c r="I139" s="275"/>
      <c r="J139" s="275"/>
      <c r="K139" s="275"/>
      <c r="O139" s="56"/>
      <c r="Q139" t="str">
        <f>IFERROR(IF(VLOOKUP(Tb_Activiteiten[[#This Row],[Openstelling]],Tb_Openstelling[],2,0)=1,1,""),"")</f>
        <v/>
      </c>
      <c r="AK139" t="str">
        <f>IF(ISNUMBER(FIND("arbeid",Methode_Keuze)),"",IF(ISNUMBER(FIND("arbeid",Methode_Keuze)),"",IF(Tb_Activiteiten[[#This Row],[Loonkosten]]=1,Tb_Activiteiten[[#Headers],[Loonkosten]],"")))</f>
        <v/>
      </c>
      <c r="AL139" t="str">
        <f>IF(ISNUMBER(FIND("arbeid",Methode_Keuze)),"",IF(ISNUMBER(FIND("arbeid",Methode_Keuze)),"",IF(Tb_Activiteiten[[#This Row],[Eigen arbeid]]=1,Tb_Activiteiten[[#Headers],[Eigen arbeid]],"")))</f>
        <v/>
      </c>
      <c r="AM139" t="str">
        <f>IF(ISNUMBER(FIND("arbeid",Methode_Keuze)),"",IF(ISNUMBER(FIND("arbeid",Methode_Keuze)),"",IF(Tb_Activiteiten[[#This Row],[Projectmedewerker]]=1,Tb_Activiteiten[[#Headers],[Projectmedewerker]],"")))</f>
        <v/>
      </c>
      <c r="AN139" t="str">
        <f>IF(ISNUMBER(FIND("arbeid",Methode_Keuze)),"",IF(ISNUMBER(FIND("arbeid",Methode_Keuze)),"",IF(Tb_Activiteiten[[#This Row],[Landbouwer]]=1,Tb_Activiteiten[[#Headers],[Landbouwer]],"")))</f>
        <v/>
      </c>
      <c r="AO139" t="str">
        <f>IF(ISNUMBER(FIND("arbeid",Methode_Keuze)),"",IF(ISNUMBER(FIND("arbeid",Methode_Keuze)),"",IF(Tb_Activiteiten[[#This Row],[Adviseur]]=1,Tb_Activiteiten[[#Headers],[Adviseur]],"")))</f>
        <v/>
      </c>
      <c r="AP139" t="str">
        <f>IF(ISNUMBER(FIND("arbeid",Methode_Keuze)),"",IF(ISNUMBER(FIND("arbeid",Methode_Keuze)),"",IF(Tb_Activiteiten[[#This Row],[Projectleider/Expert]]=1,Tb_Activiteiten[[#Headers],[Projectleider/Expert]],"")))</f>
        <v/>
      </c>
      <c r="AQ139" t="str">
        <f>IF(ISNUMBER(FIND("arbeid",Methode_Keuze)),"",IF(ISNUMBER(FIND("arbeid",Methode_Keuze)),"",IF(Tb_Activiteiten[[#This Row],[Arbeidskosten]]=1,Tb_Activiteiten[[#Headers],[Arbeidskosten]],"")))</f>
        <v/>
      </c>
      <c r="AR139" t="str">
        <f>IF(ISNUMBER(FIND("arbeid",Methode_Keuze)),"",IF(ISNUMBER(FIND("arbeid",Methode_Keuze)),"",IF(Tb_Activiteiten[[#This Row],[Arbeidskosten op basis van IKS]]=1,Tb_Activiteiten[[#Headers],[Arbeidskosten op basis van IKS]],"")))</f>
        <v/>
      </c>
      <c r="AS139" t="str">
        <f>IF(ISNUMBER(FIND("overige",Methode_Keuze)),"",IF(Tb_Activiteiten[[#This Row],[Kosten derden exclusief btw]]=1,Tb_Activiteiten[[#Headers],[Kosten derden exclusief btw]],""))</f>
        <v/>
      </c>
      <c r="AT139" t="str">
        <f>IF(ISNUMBER(FIND("overige",Methode_Keuze)),"",IF(Tb_Activiteiten[[#This Row],[Niet verrekenbare btw]]=1,Tb_Activiteiten[[#Headers],[Niet verrekenbare btw]],""))</f>
        <v/>
      </c>
      <c r="AU139" t="str">
        <f>IF(ISNUMBER(FIND("overige",Methode_Keuze)),"",IF(Tb_Activiteiten[[#This Row],[Grondkosten]]=1,Tb_Activiteiten[[#Headers],[Grondkosten]],""))</f>
        <v/>
      </c>
      <c r="AV139" t="str">
        <f>IF(ISNUMBER(FIND("overige",Methode_Keuze)),"",IF(Tb_Activiteiten[[#This Row],[Bijdrage in natura (overige)]]=1,Tb_Activiteiten[[#Headers],[Bijdrage in natura (overige)]],""))</f>
        <v/>
      </c>
      <c r="AW139" t="str">
        <f>IF(ISNUMBER(FIND("overige",Methode_Keuze)),"",IF(Tb_Activiteiten[[#This Row],[Bijdrage in natura (vrijwilligers)]]=1,Tb_Activiteiten[[#Headers],[Bijdrage in natura (vrijwilligers)]],""))</f>
        <v/>
      </c>
      <c r="AX139" t="str">
        <f>IF(ISNUMBER(FIND("overige",Methode_Keuze)),"",IF(Tb_Activiteiten[[#This Row],[Afschrijvingskosten]]=1,Tb_Activiteiten[[#Headers],[Afschrijvingskosten]],""))</f>
        <v/>
      </c>
      <c r="AY139" t="str">
        <f>IF(ISNUMBER(FIND("overige",Methode_Keuze)),"",IF(Tb_Activiteiten[[#This Row],[Vergoeding]]=1,Tb_Activiteiten[[#Headers],[Vergoeding]],""))</f>
        <v/>
      </c>
      <c r="AZ139" t="str">
        <f>IF(ISNUMBER(FIND("arbeid",Methode_Keuze)),"",IF(Tb_Activiteiten[[#This Row],[Arbeidskosten - vast tarief (excl eigen arbeid)]]=1,Tb_Activiteiten[[#Headers],[Arbeidskosten - vast tarief (excl eigen arbeid)]],""))</f>
        <v/>
      </c>
      <c r="BA139" t="str">
        <f>IF(ISNUMBER(FIND("overige",Methode_Keuze)),"",IF(Tb_Activiteiten[[#This Row],[Overige kosten]]=1,Tb_Activiteiten[[#Headers],[Overige kosten]],""))</f>
        <v/>
      </c>
    </row>
    <row r="140" spans="1:53" x14ac:dyDescent="0.25">
      <c r="A140" s="231"/>
      <c r="F140" s="64"/>
      <c r="G140" s="64"/>
      <c r="H140" s="275"/>
      <c r="I140" s="275"/>
      <c r="J140" s="275"/>
      <c r="K140" s="275"/>
      <c r="O140" s="56"/>
      <c r="Q140" t="str">
        <f>IFERROR(IF(VLOOKUP(Tb_Activiteiten[[#This Row],[Openstelling]],Tb_Openstelling[],2,0)=1,1,""),"")</f>
        <v/>
      </c>
      <c r="AK140" t="str">
        <f>IF(ISNUMBER(FIND("arbeid",Methode_Keuze)),"",IF(ISNUMBER(FIND("arbeid",Methode_Keuze)),"",IF(Tb_Activiteiten[[#This Row],[Loonkosten]]=1,Tb_Activiteiten[[#Headers],[Loonkosten]],"")))</f>
        <v/>
      </c>
      <c r="AL140" t="str">
        <f>IF(ISNUMBER(FIND("arbeid",Methode_Keuze)),"",IF(ISNUMBER(FIND("arbeid",Methode_Keuze)),"",IF(Tb_Activiteiten[[#This Row],[Eigen arbeid]]=1,Tb_Activiteiten[[#Headers],[Eigen arbeid]],"")))</f>
        <v/>
      </c>
      <c r="AM140" t="str">
        <f>IF(ISNUMBER(FIND("arbeid",Methode_Keuze)),"",IF(ISNUMBER(FIND("arbeid",Methode_Keuze)),"",IF(Tb_Activiteiten[[#This Row],[Projectmedewerker]]=1,Tb_Activiteiten[[#Headers],[Projectmedewerker]],"")))</f>
        <v/>
      </c>
      <c r="AN140" t="str">
        <f>IF(ISNUMBER(FIND("arbeid",Methode_Keuze)),"",IF(ISNUMBER(FIND("arbeid",Methode_Keuze)),"",IF(Tb_Activiteiten[[#This Row],[Landbouwer]]=1,Tb_Activiteiten[[#Headers],[Landbouwer]],"")))</f>
        <v/>
      </c>
      <c r="AO140" t="str">
        <f>IF(ISNUMBER(FIND("arbeid",Methode_Keuze)),"",IF(ISNUMBER(FIND("arbeid",Methode_Keuze)),"",IF(Tb_Activiteiten[[#This Row],[Adviseur]]=1,Tb_Activiteiten[[#Headers],[Adviseur]],"")))</f>
        <v/>
      </c>
      <c r="AP140" t="str">
        <f>IF(ISNUMBER(FIND("arbeid",Methode_Keuze)),"",IF(ISNUMBER(FIND("arbeid",Methode_Keuze)),"",IF(Tb_Activiteiten[[#This Row],[Projectleider/Expert]]=1,Tb_Activiteiten[[#Headers],[Projectleider/Expert]],"")))</f>
        <v/>
      </c>
      <c r="AQ140" t="str">
        <f>IF(ISNUMBER(FIND("arbeid",Methode_Keuze)),"",IF(ISNUMBER(FIND("arbeid",Methode_Keuze)),"",IF(Tb_Activiteiten[[#This Row],[Arbeidskosten]]=1,Tb_Activiteiten[[#Headers],[Arbeidskosten]],"")))</f>
        <v/>
      </c>
      <c r="AR140" t="str">
        <f>IF(ISNUMBER(FIND("arbeid",Methode_Keuze)),"",IF(ISNUMBER(FIND("arbeid",Methode_Keuze)),"",IF(Tb_Activiteiten[[#This Row],[Arbeidskosten op basis van IKS]]=1,Tb_Activiteiten[[#Headers],[Arbeidskosten op basis van IKS]],"")))</f>
        <v/>
      </c>
      <c r="AS140" t="str">
        <f>IF(ISNUMBER(FIND("overige",Methode_Keuze)),"",IF(Tb_Activiteiten[[#This Row],[Kosten derden exclusief btw]]=1,Tb_Activiteiten[[#Headers],[Kosten derden exclusief btw]],""))</f>
        <v/>
      </c>
      <c r="AT140" t="str">
        <f>IF(ISNUMBER(FIND("overige",Methode_Keuze)),"",IF(Tb_Activiteiten[[#This Row],[Niet verrekenbare btw]]=1,Tb_Activiteiten[[#Headers],[Niet verrekenbare btw]],""))</f>
        <v/>
      </c>
      <c r="AU140" t="str">
        <f>IF(ISNUMBER(FIND("overige",Methode_Keuze)),"",IF(Tb_Activiteiten[[#This Row],[Grondkosten]]=1,Tb_Activiteiten[[#Headers],[Grondkosten]],""))</f>
        <v/>
      </c>
      <c r="AV140" t="str">
        <f>IF(ISNUMBER(FIND("overige",Methode_Keuze)),"",IF(Tb_Activiteiten[[#This Row],[Bijdrage in natura (overige)]]=1,Tb_Activiteiten[[#Headers],[Bijdrage in natura (overige)]],""))</f>
        <v/>
      </c>
      <c r="AW140" t="str">
        <f>IF(ISNUMBER(FIND("overige",Methode_Keuze)),"",IF(Tb_Activiteiten[[#This Row],[Bijdrage in natura (vrijwilligers)]]=1,Tb_Activiteiten[[#Headers],[Bijdrage in natura (vrijwilligers)]],""))</f>
        <v/>
      </c>
      <c r="AX140" t="str">
        <f>IF(ISNUMBER(FIND("overige",Methode_Keuze)),"",IF(Tb_Activiteiten[[#This Row],[Afschrijvingskosten]]=1,Tb_Activiteiten[[#Headers],[Afschrijvingskosten]],""))</f>
        <v/>
      </c>
      <c r="AY140" t="str">
        <f>IF(ISNUMBER(FIND("overige",Methode_Keuze)),"",IF(Tb_Activiteiten[[#This Row],[Vergoeding]]=1,Tb_Activiteiten[[#Headers],[Vergoeding]],""))</f>
        <v/>
      </c>
      <c r="AZ140" t="str">
        <f>IF(ISNUMBER(FIND("arbeid",Methode_Keuze)),"",IF(Tb_Activiteiten[[#This Row],[Arbeidskosten - vast tarief (excl eigen arbeid)]]=1,Tb_Activiteiten[[#Headers],[Arbeidskosten - vast tarief (excl eigen arbeid)]],""))</f>
        <v/>
      </c>
      <c r="BA140" t="str">
        <f>IF(ISNUMBER(FIND("overige",Methode_Keuze)),"",IF(Tb_Activiteiten[[#This Row],[Overige kosten]]=1,Tb_Activiteiten[[#Headers],[Overige kosten]],""))</f>
        <v/>
      </c>
    </row>
    <row r="141" spans="1:53" x14ac:dyDescent="0.25">
      <c r="A141" s="231"/>
      <c r="F141" s="64"/>
      <c r="G141" s="64"/>
      <c r="H141" s="275"/>
      <c r="I141" s="275"/>
      <c r="J141" s="275"/>
      <c r="K141" s="275"/>
      <c r="O141" s="56"/>
      <c r="Q141" t="str">
        <f>IFERROR(IF(VLOOKUP(Tb_Activiteiten[[#This Row],[Openstelling]],Tb_Openstelling[],2,0)=1,1,""),"")</f>
        <v/>
      </c>
      <c r="AK141" t="str">
        <f>IF(ISNUMBER(FIND("arbeid",Methode_Keuze)),"",IF(ISNUMBER(FIND("arbeid",Methode_Keuze)),"",IF(Tb_Activiteiten[[#This Row],[Loonkosten]]=1,Tb_Activiteiten[[#Headers],[Loonkosten]],"")))</f>
        <v/>
      </c>
      <c r="AL141" t="str">
        <f>IF(ISNUMBER(FIND("arbeid",Methode_Keuze)),"",IF(ISNUMBER(FIND("arbeid",Methode_Keuze)),"",IF(Tb_Activiteiten[[#This Row],[Eigen arbeid]]=1,Tb_Activiteiten[[#Headers],[Eigen arbeid]],"")))</f>
        <v/>
      </c>
      <c r="AM141" t="str">
        <f>IF(ISNUMBER(FIND("arbeid",Methode_Keuze)),"",IF(ISNUMBER(FIND("arbeid",Methode_Keuze)),"",IF(Tb_Activiteiten[[#This Row],[Projectmedewerker]]=1,Tb_Activiteiten[[#Headers],[Projectmedewerker]],"")))</f>
        <v/>
      </c>
      <c r="AN141" t="str">
        <f>IF(ISNUMBER(FIND("arbeid",Methode_Keuze)),"",IF(ISNUMBER(FIND("arbeid",Methode_Keuze)),"",IF(Tb_Activiteiten[[#This Row],[Landbouwer]]=1,Tb_Activiteiten[[#Headers],[Landbouwer]],"")))</f>
        <v/>
      </c>
      <c r="AO141" t="str">
        <f>IF(ISNUMBER(FIND("arbeid",Methode_Keuze)),"",IF(ISNUMBER(FIND("arbeid",Methode_Keuze)),"",IF(Tb_Activiteiten[[#This Row],[Adviseur]]=1,Tb_Activiteiten[[#Headers],[Adviseur]],"")))</f>
        <v/>
      </c>
      <c r="AP141" t="str">
        <f>IF(ISNUMBER(FIND("arbeid",Methode_Keuze)),"",IF(ISNUMBER(FIND("arbeid",Methode_Keuze)),"",IF(Tb_Activiteiten[[#This Row],[Projectleider/Expert]]=1,Tb_Activiteiten[[#Headers],[Projectleider/Expert]],"")))</f>
        <v/>
      </c>
      <c r="AQ141" t="str">
        <f>IF(ISNUMBER(FIND("arbeid",Methode_Keuze)),"",IF(ISNUMBER(FIND("arbeid",Methode_Keuze)),"",IF(Tb_Activiteiten[[#This Row],[Arbeidskosten]]=1,Tb_Activiteiten[[#Headers],[Arbeidskosten]],"")))</f>
        <v/>
      </c>
      <c r="AR141" t="str">
        <f>IF(ISNUMBER(FIND("arbeid",Methode_Keuze)),"",IF(ISNUMBER(FIND("arbeid",Methode_Keuze)),"",IF(Tb_Activiteiten[[#This Row],[Arbeidskosten op basis van IKS]]=1,Tb_Activiteiten[[#Headers],[Arbeidskosten op basis van IKS]],"")))</f>
        <v/>
      </c>
      <c r="AS141" t="str">
        <f>IF(ISNUMBER(FIND("overige",Methode_Keuze)),"",IF(Tb_Activiteiten[[#This Row],[Kosten derden exclusief btw]]=1,Tb_Activiteiten[[#Headers],[Kosten derden exclusief btw]],""))</f>
        <v/>
      </c>
      <c r="AT141" t="str">
        <f>IF(ISNUMBER(FIND("overige",Methode_Keuze)),"",IF(Tb_Activiteiten[[#This Row],[Niet verrekenbare btw]]=1,Tb_Activiteiten[[#Headers],[Niet verrekenbare btw]],""))</f>
        <v/>
      </c>
      <c r="AU141" t="str">
        <f>IF(ISNUMBER(FIND("overige",Methode_Keuze)),"",IF(Tb_Activiteiten[[#This Row],[Grondkosten]]=1,Tb_Activiteiten[[#Headers],[Grondkosten]],""))</f>
        <v/>
      </c>
      <c r="AV141" t="str">
        <f>IF(ISNUMBER(FIND("overige",Methode_Keuze)),"",IF(Tb_Activiteiten[[#This Row],[Bijdrage in natura (overige)]]=1,Tb_Activiteiten[[#Headers],[Bijdrage in natura (overige)]],""))</f>
        <v/>
      </c>
      <c r="AW141" t="str">
        <f>IF(ISNUMBER(FIND("overige",Methode_Keuze)),"",IF(Tb_Activiteiten[[#This Row],[Bijdrage in natura (vrijwilligers)]]=1,Tb_Activiteiten[[#Headers],[Bijdrage in natura (vrijwilligers)]],""))</f>
        <v/>
      </c>
      <c r="AX141" t="str">
        <f>IF(ISNUMBER(FIND("overige",Methode_Keuze)),"",IF(Tb_Activiteiten[[#This Row],[Afschrijvingskosten]]=1,Tb_Activiteiten[[#Headers],[Afschrijvingskosten]],""))</f>
        <v/>
      </c>
      <c r="AY141" t="str">
        <f>IF(ISNUMBER(FIND("overige",Methode_Keuze)),"",IF(Tb_Activiteiten[[#This Row],[Vergoeding]]=1,Tb_Activiteiten[[#Headers],[Vergoeding]],""))</f>
        <v/>
      </c>
      <c r="AZ141" t="str">
        <f>IF(ISNUMBER(FIND("arbeid",Methode_Keuze)),"",IF(Tb_Activiteiten[[#This Row],[Arbeidskosten - vast tarief (excl eigen arbeid)]]=1,Tb_Activiteiten[[#Headers],[Arbeidskosten - vast tarief (excl eigen arbeid)]],""))</f>
        <v/>
      </c>
      <c r="BA141" t="str">
        <f>IF(ISNUMBER(FIND("overige",Methode_Keuze)),"",IF(Tb_Activiteiten[[#This Row],[Overige kosten]]=1,Tb_Activiteiten[[#Headers],[Overige kosten]],""))</f>
        <v/>
      </c>
    </row>
    <row r="142" spans="1:53" x14ac:dyDescent="0.25">
      <c r="A142" s="231"/>
      <c r="F142" s="64"/>
      <c r="G142" s="64"/>
      <c r="H142" s="275"/>
      <c r="I142" s="275"/>
      <c r="J142" s="275"/>
      <c r="K142" s="275"/>
      <c r="O142" s="56"/>
      <c r="Q142" t="str">
        <f>IFERROR(IF(VLOOKUP(Tb_Activiteiten[[#This Row],[Openstelling]],Tb_Openstelling[],2,0)=1,1,""),"")</f>
        <v/>
      </c>
      <c r="AK142" t="str">
        <f>IF(ISNUMBER(FIND("arbeid",Methode_Keuze)),"",IF(ISNUMBER(FIND("arbeid",Methode_Keuze)),"",IF(Tb_Activiteiten[[#This Row],[Loonkosten]]=1,Tb_Activiteiten[[#Headers],[Loonkosten]],"")))</f>
        <v/>
      </c>
      <c r="AL142" t="str">
        <f>IF(ISNUMBER(FIND("arbeid",Methode_Keuze)),"",IF(ISNUMBER(FIND("arbeid",Methode_Keuze)),"",IF(Tb_Activiteiten[[#This Row],[Eigen arbeid]]=1,Tb_Activiteiten[[#Headers],[Eigen arbeid]],"")))</f>
        <v/>
      </c>
      <c r="AM142" t="str">
        <f>IF(ISNUMBER(FIND("arbeid",Methode_Keuze)),"",IF(ISNUMBER(FIND("arbeid",Methode_Keuze)),"",IF(Tb_Activiteiten[[#This Row],[Projectmedewerker]]=1,Tb_Activiteiten[[#Headers],[Projectmedewerker]],"")))</f>
        <v/>
      </c>
      <c r="AN142" t="str">
        <f>IF(ISNUMBER(FIND("arbeid",Methode_Keuze)),"",IF(ISNUMBER(FIND("arbeid",Methode_Keuze)),"",IF(Tb_Activiteiten[[#This Row],[Landbouwer]]=1,Tb_Activiteiten[[#Headers],[Landbouwer]],"")))</f>
        <v/>
      </c>
      <c r="AO142" t="str">
        <f>IF(ISNUMBER(FIND("arbeid",Methode_Keuze)),"",IF(ISNUMBER(FIND("arbeid",Methode_Keuze)),"",IF(Tb_Activiteiten[[#This Row],[Adviseur]]=1,Tb_Activiteiten[[#Headers],[Adviseur]],"")))</f>
        <v/>
      </c>
      <c r="AP142" t="str">
        <f>IF(ISNUMBER(FIND("arbeid",Methode_Keuze)),"",IF(ISNUMBER(FIND("arbeid",Methode_Keuze)),"",IF(Tb_Activiteiten[[#This Row],[Projectleider/Expert]]=1,Tb_Activiteiten[[#Headers],[Projectleider/Expert]],"")))</f>
        <v/>
      </c>
      <c r="AQ142" t="str">
        <f>IF(ISNUMBER(FIND("arbeid",Methode_Keuze)),"",IF(ISNUMBER(FIND("arbeid",Methode_Keuze)),"",IF(Tb_Activiteiten[[#This Row],[Arbeidskosten]]=1,Tb_Activiteiten[[#Headers],[Arbeidskosten]],"")))</f>
        <v/>
      </c>
      <c r="AR142" t="str">
        <f>IF(ISNUMBER(FIND("arbeid",Methode_Keuze)),"",IF(ISNUMBER(FIND("arbeid",Methode_Keuze)),"",IF(Tb_Activiteiten[[#This Row],[Arbeidskosten op basis van IKS]]=1,Tb_Activiteiten[[#Headers],[Arbeidskosten op basis van IKS]],"")))</f>
        <v/>
      </c>
      <c r="AS142" t="str">
        <f>IF(ISNUMBER(FIND("overige",Methode_Keuze)),"",IF(Tb_Activiteiten[[#This Row],[Kosten derden exclusief btw]]=1,Tb_Activiteiten[[#Headers],[Kosten derden exclusief btw]],""))</f>
        <v/>
      </c>
      <c r="AT142" t="str">
        <f>IF(ISNUMBER(FIND("overige",Methode_Keuze)),"",IF(Tb_Activiteiten[[#This Row],[Niet verrekenbare btw]]=1,Tb_Activiteiten[[#Headers],[Niet verrekenbare btw]],""))</f>
        <v/>
      </c>
      <c r="AU142" t="str">
        <f>IF(ISNUMBER(FIND("overige",Methode_Keuze)),"",IF(Tb_Activiteiten[[#This Row],[Grondkosten]]=1,Tb_Activiteiten[[#Headers],[Grondkosten]],""))</f>
        <v/>
      </c>
      <c r="AV142" t="str">
        <f>IF(ISNUMBER(FIND("overige",Methode_Keuze)),"",IF(Tb_Activiteiten[[#This Row],[Bijdrage in natura (overige)]]=1,Tb_Activiteiten[[#Headers],[Bijdrage in natura (overige)]],""))</f>
        <v/>
      </c>
      <c r="AW142" t="str">
        <f>IF(ISNUMBER(FIND("overige",Methode_Keuze)),"",IF(Tb_Activiteiten[[#This Row],[Bijdrage in natura (vrijwilligers)]]=1,Tb_Activiteiten[[#Headers],[Bijdrage in natura (vrijwilligers)]],""))</f>
        <v/>
      </c>
      <c r="AX142" t="str">
        <f>IF(ISNUMBER(FIND("overige",Methode_Keuze)),"",IF(Tb_Activiteiten[[#This Row],[Afschrijvingskosten]]=1,Tb_Activiteiten[[#Headers],[Afschrijvingskosten]],""))</f>
        <v/>
      </c>
      <c r="AY142" t="str">
        <f>IF(ISNUMBER(FIND("overige",Methode_Keuze)),"",IF(Tb_Activiteiten[[#This Row],[Vergoeding]]=1,Tb_Activiteiten[[#Headers],[Vergoeding]],""))</f>
        <v/>
      </c>
      <c r="AZ142" t="str">
        <f>IF(ISNUMBER(FIND("arbeid",Methode_Keuze)),"",IF(Tb_Activiteiten[[#This Row],[Arbeidskosten - vast tarief (excl eigen arbeid)]]=1,Tb_Activiteiten[[#Headers],[Arbeidskosten - vast tarief (excl eigen arbeid)]],""))</f>
        <v/>
      </c>
      <c r="BA142" t="str">
        <f>IF(ISNUMBER(FIND("overige",Methode_Keuze)),"",IF(Tb_Activiteiten[[#This Row],[Overige kosten]]=1,Tb_Activiteiten[[#Headers],[Overige kosten]],""))</f>
        <v/>
      </c>
    </row>
    <row r="143" spans="1:53" x14ac:dyDescent="0.25">
      <c r="A143" s="231"/>
      <c r="F143" s="64"/>
      <c r="G143" s="64"/>
      <c r="H143" s="275"/>
      <c r="I143" s="275"/>
      <c r="J143" s="275"/>
      <c r="K143" s="275"/>
      <c r="O143" s="56"/>
      <c r="Q143" t="str">
        <f>IFERROR(IF(VLOOKUP(Tb_Activiteiten[[#This Row],[Openstelling]],Tb_Openstelling[],2,0)=1,1,""),"")</f>
        <v/>
      </c>
      <c r="AK143" t="str">
        <f>IF(ISNUMBER(FIND("arbeid",Methode_Keuze)),"",IF(ISNUMBER(FIND("arbeid",Methode_Keuze)),"",IF(Tb_Activiteiten[[#This Row],[Loonkosten]]=1,Tb_Activiteiten[[#Headers],[Loonkosten]],"")))</f>
        <v/>
      </c>
      <c r="AL143" t="str">
        <f>IF(ISNUMBER(FIND("arbeid",Methode_Keuze)),"",IF(ISNUMBER(FIND("arbeid",Methode_Keuze)),"",IF(Tb_Activiteiten[[#This Row],[Eigen arbeid]]=1,Tb_Activiteiten[[#Headers],[Eigen arbeid]],"")))</f>
        <v/>
      </c>
      <c r="AM143" t="str">
        <f>IF(ISNUMBER(FIND("arbeid",Methode_Keuze)),"",IF(ISNUMBER(FIND("arbeid",Methode_Keuze)),"",IF(Tb_Activiteiten[[#This Row],[Projectmedewerker]]=1,Tb_Activiteiten[[#Headers],[Projectmedewerker]],"")))</f>
        <v/>
      </c>
      <c r="AN143" t="str">
        <f>IF(ISNUMBER(FIND("arbeid",Methode_Keuze)),"",IF(ISNUMBER(FIND("arbeid",Methode_Keuze)),"",IF(Tb_Activiteiten[[#This Row],[Landbouwer]]=1,Tb_Activiteiten[[#Headers],[Landbouwer]],"")))</f>
        <v/>
      </c>
      <c r="AO143" t="str">
        <f>IF(ISNUMBER(FIND("arbeid",Methode_Keuze)),"",IF(ISNUMBER(FIND("arbeid",Methode_Keuze)),"",IF(Tb_Activiteiten[[#This Row],[Adviseur]]=1,Tb_Activiteiten[[#Headers],[Adviseur]],"")))</f>
        <v/>
      </c>
      <c r="AP143" t="str">
        <f>IF(ISNUMBER(FIND("arbeid",Methode_Keuze)),"",IF(ISNUMBER(FIND("arbeid",Methode_Keuze)),"",IF(Tb_Activiteiten[[#This Row],[Projectleider/Expert]]=1,Tb_Activiteiten[[#Headers],[Projectleider/Expert]],"")))</f>
        <v/>
      </c>
      <c r="AQ143" t="str">
        <f>IF(ISNUMBER(FIND("arbeid",Methode_Keuze)),"",IF(ISNUMBER(FIND("arbeid",Methode_Keuze)),"",IF(Tb_Activiteiten[[#This Row],[Arbeidskosten]]=1,Tb_Activiteiten[[#Headers],[Arbeidskosten]],"")))</f>
        <v/>
      </c>
      <c r="AR143" t="str">
        <f>IF(ISNUMBER(FIND("arbeid",Methode_Keuze)),"",IF(ISNUMBER(FIND("arbeid",Methode_Keuze)),"",IF(Tb_Activiteiten[[#This Row],[Arbeidskosten op basis van IKS]]=1,Tb_Activiteiten[[#Headers],[Arbeidskosten op basis van IKS]],"")))</f>
        <v/>
      </c>
      <c r="AS143" t="str">
        <f>IF(ISNUMBER(FIND("overige",Methode_Keuze)),"",IF(Tb_Activiteiten[[#This Row],[Kosten derden exclusief btw]]=1,Tb_Activiteiten[[#Headers],[Kosten derden exclusief btw]],""))</f>
        <v/>
      </c>
      <c r="AT143" t="str">
        <f>IF(ISNUMBER(FIND("overige",Methode_Keuze)),"",IF(Tb_Activiteiten[[#This Row],[Niet verrekenbare btw]]=1,Tb_Activiteiten[[#Headers],[Niet verrekenbare btw]],""))</f>
        <v/>
      </c>
      <c r="AU143" t="str">
        <f>IF(ISNUMBER(FIND("overige",Methode_Keuze)),"",IF(Tb_Activiteiten[[#This Row],[Grondkosten]]=1,Tb_Activiteiten[[#Headers],[Grondkosten]],""))</f>
        <v/>
      </c>
      <c r="AV143" t="str">
        <f>IF(ISNUMBER(FIND("overige",Methode_Keuze)),"",IF(Tb_Activiteiten[[#This Row],[Bijdrage in natura (overige)]]=1,Tb_Activiteiten[[#Headers],[Bijdrage in natura (overige)]],""))</f>
        <v/>
      </c>
      <c r="AW143" t="str">
        <f>IF(ISNUMBER(FIND("overige",Methode_Keuze)),"",IF(Tb_Activiteiten[[#This Row],[Bijdrage in natura (vrijwilligers)]]=1,Tb_Activiteiten[[#Headers],[Bijdrage in natura (vrijwilligers)]],""))</f>
        <v/>
      </c>
      <c r="AX143" t="str">
        <f>IF(ISNUMBER(FIND("overige",Methode_Keuze)),"",IF(Tb_Activiteiten[[#This Row],[Afschrijvingskosten]]=1,Tb_Activiteiten[[#Headers],[Afschrijvingskosten]],""))</f>
        <v/>
      </c>
      <c r="AY143" t="str">
        <f>IF(ISNUMBER(FIND("overige",Methode_Keuze)),"",IF(Tb_Activiteiten[[#This Row],[Vergoeding]]=1,Tb_Activiteiten[[#Headers],[Vergoeding]],""))</f>
        <v/>
      </c>
      <c r="AZ143" t="str">
        <f>IF(ISNUMBER(FIND("arbeid",Methode_Keuze)),"",IF(Tb_Activiteiten[[#This Row],[Arbeidskosten - vast tarief (excl eigen arbeid)]]=1,Tb_Activiteiten[[#Headers],[Arbeidskosten - vast tarief (excl eigen arbeid)]],""))</f>
        <v/>
      </c>
      <c r="BA143" t="str">
        <f>IF(ISNUMBER(FIND("overige",Methode_Keuze)),"",IF(Tb_Activiteiten[[#This Row],[Overige kosten]]=1,Tb_Activiteiten[[#Headers],[Overige kosten]],""))</f>
        <v/>
      </c>
    </row>
    <row r="144" spans="1:53" x14ac:dyDescent="0.25">
      <c r="A144" s="231"/>
      <c r="F144" s="64"/>
      <c r="G144" s="64"/>
      <c r="H144" s="275"/>
      <c r="I144" s="275"/>
      <c r="J144" s="275"/>
      <c r="K144" s="275"/>
      <c r="O144" s="56"/>
      <c r="Q144" t="str">
        <f>IFERROR(IF(VLOOKUP(Tb_Activiteiten[[#This Row],[Openstelling]],Tb_Openstelling[],2,0)=1,1,""),"")</f>
        <v/>
      </c>
      <c r="AK144" t="str">
        <f>IF(ISNUMBER(FIND("arbeid",Methode_Keuze)),"",IF(ISNUMBER(FIND("arbeid",Methode_Keuze)),"",IF(Tb_Activiteiten[[#This Row],[Loonkosten]]=1,Tb_Activiteiten[[#Headers],[Loonkosten]],"")))</f>
        <v/>
      </c>
      <c r="AL144" t="str">
        <f>IF(ISNUMBER(FIND("arbeid",Methode_Keuze)),"",IF(ISNUMBER(FIND("arbeid",Methode_Keuze)),"",IF(Tb_Activiteiten[[#This Row],[Eigen arbeid]]=1,Tb_Activiteiten[[#Headers],[Eigen arbeid]],"")))</f>
        <v/>
      </c>
      <c r="AM144" t="str">
        <f>IF(ISNUMBER(FIND("arbeid",Methode_Keuze)),"",IF(ISNUMBER(FIND("arbeid",Methode_Keuze)),"",IF(Tb_Activiteiten[[#This Row],[Projectmedewerker]]=1,Tb_Activiteiten[[#Headers],[Projectmedewerker]],"")))</f>
        <v/>
      </c>
      <c r="AN144" t="str">
        <f>IF(ISNUMBER(FIND("arbeid",Methode_Keuze)),"",IF(ISNUMBER(FIND("arbeid",Methode_Keuze)),"",IF(Tb_Activiteiten[[#This Row],[Landbouwer]]=1,Tb_Activiteiten[[#Headers],[Landbouwer]],"")))</f>
        <v/>
      </c>
      <c r="AO144" t="str">
        <f>IF(ISNUMBER(FIND("arbeid",Methode_Keuze)),"",IF(ISNUMBER(FIND("arbeid",Methode_Keuze)),"",IF(Tb_Activiteiten[[#This Row],[Adviseur]]=1,Tb_Activiteiten[[#Headers],[Adviseur]],"")))</f>
        <v/>
      </c>
      <c r="AP144" t="str">
        <f>IF(ISNUMBER(FIND("arbeid",Methode_Keuze)),"",IF(ISNUMBER(FIND("arbeid",Methode_Keuze)),"",IF(Tb_Activiteiten[[#This Row],[Projectleider/Expert]]=1,Tb_Activiteiten[[#Headers],[Projectleider/Expert]],"")))</f>
        <v/>
      </c>
      <c r="AQ144" t="str">
        <f>IF(ISNUMBER(FIND("arbeid",Methode_Keuze)),"",IF(ISNUMBER(FIND("arbeid",Methode_Keuze)),"",IF(Tb_Activiteiten[[#This Row],[Arbeidskosten]]=1,Tb_Activiteiten[[#Headers],[Arbeidskosten]],"")))</f>
        <v/>
      </c>
      <c r="AR144" t="str">
        <f>IF(ISNUMBER(FIND("arbeid",Methode_Keuze)),"",IF(ISNUMBER(FIND("arbeid",Methode_Keuze)),"",IF(Tb_Activiteiten[[#This Row],[Arbeidskosten op basis van IKS]]=1,Tb_Activiteiten[[#Headers],[Arbeidskosten op basis van IKS]],"")))</f>
        <v/>
      </c>
      <c r="AS144" t="str">
        <f>IF(ISNUMBER(FIND("overige",Methode_Keuze)),"",IF(Tb_Activiteiten[[#This Row],[Kosten derden exclusief btw]]=1,Tb_Activiteiten[[#Headers],[Kosten derden exclusief btw]],""))</f>
        <v/>
      </c>
      <c r="AT144" t="str">
        <f>IF(ISNUMBER(FIND("overige",Methode_Keuze)),"",IF(Tb_Activiteiten[[#This Row],[Niet verrekenbare btw]]=1,Tb_Activiteiten[[#Headers],[Niet verrekenbare btw]],""))</f>
        <v/>
      </c>
      <c r="AU144" t="str">
        <f>IF(ISNUMBER(FIND("overige",Methode_Keuze)),"",IF(Tb_Activiteiten[[#This Row],[Grondkosten]]=1,Tb_Activiteiten[[#Headers],[Grondkosten]],""))</f>
        <v/>
      </c>
      <c r="AV144" t="str">
        <f>IF(ISNUMBER(FIND("overige",Methode_Keuze)),"",IF(Tb_Activiteiten[[#This Row],[Bijdrage in natura (overige)]]=1,Tb_Activiteiten[[#Headers],[Bijdrage in natura (overige)]],""))</f>
        <v/>
      </c>
      <c r="AW144" t="str">
        <f>IF(ISNUMBER(FIND("overige",Methode_Keuze)),"",IF(Tb_Activiteiten[[#This Row],[Bijdrage in natura (vrijwilligers)]]=1,Tb_Activiteiten[[#Headers],[Bijdrage in natura (vrijwilligers)]],""))</f>
        <v/>
      </c>
      <c r="AX144" t="str">
        <f>IF(ISNUMBER(FIND("overige",Methode_Keuze)),"",IF(Tb_Activiteiten[[#This Row],[Afschrijvingskosten]]=1,Tb_Activiteiten[[#Headers],[Afschrijvingskosten]],""))</f>
        <v/>
      </c>
      <c r="AY144" t="str">
        <f>IF(ISNUMBER(FIND("overige",Methode_Keuze)),"",IF(Tb_Activiteiten[[#This Row],[Vergoeding]]=1,Tb_Activiteiten[[#Headers],[Vergoeding]],""))</f>
        <v/>
      </c>
      <c r="AZ144" t="str">
        <f>IF(ISNUMBER(FIND("arbeid",Methode_Keuze)),"",IF(Tb_Activiteiten[[#This Row],[Arbeidskosten - vast tarief (excl eigen arbeid)]]=1,Tb_Activiteiten[[#Headers],[Arbeidskosten - vast tarief (excl eigen arbeid)]],""))</f>
        <v/>
      </c>
      <c r="BA144" t="str">
        <f>IF(ISNUMBER(FIND("overige",Methode_Keuze)),"",IF(Tb_Activiteiten[[#This Row],[Overige kosten]]=1,Tb_Activiteiten[[#Headers],[Overige kosten]],""))</f>
        <v/>
      </c>
    </row>
    <row r="145" spans="1:53" x14ac:dyDescent="0.25">
      <c r="A145" s="231"/>
      <c r="F145" s="64"/>
      <c r="G145" s="64"/>
      <c r="H145" s="275"/>
      <c r="I145" s="275"/>
      <c r="J145" s="275"/>
      <c r="K145" s="275"/>
      <c r="O145" s="56"/>
      <c r="Q145" t="str">
        <f>IFERROR(IF(VLOOKUP(Tb_Activiteiten[[#This Row],[Openstelling]],Tb_Openstelling[],2,0)=1,1,""),"")</f>
        <v/>
      </c>
      <c r="AK145" t="str">
        <f>IF(ISNUMBER(FIND("arbeid",Methode_Keuze)),"",IF(ISNUMBER(FIND("arbeid",Methode_Keuze)),"",IF(Tb_Activiteiten[[#This Row],[Loonkosten]]=1,Tb_Activiteiten[[#Headers],[Loonkosten]],"")))</f>
        <v/>
      </c>
      <c r="AL145" t="str">
        <f>IF(ISNUMBER(FIND("arbeid",Methode_Keuze)),"",IF(ISNUMBER(FIND("arbeid",Methode_Keuze)),"",IF(Tb_Activiteiten[[#This Row],[Eigen arbeid]]=1,Tb_Activiteiten[[#Headers],[Eigen arbeid]],"")))</f>
        <v/>
      </c>
      <c r="AM145" t="str">
        <f>IF(ISNUMBER(FIND("arbeid",Methode_Keuze)),"",IF(ISNUMBER(FIND("arbeid",Methode_Keuze)),"",IF(Tb_Activiteiten[[#This Row],[Projectmedewerker]]=1,Tb_Activiteiten[[#Headers],[Projectmedewerker]],"")))</f>
        <v/>
      </c>
      <c r="AN145" t="str">
        <f>IF(ISNUMBER(FIND("arbeid",Methode_Keuze)),"",IF(ISNUMBER(FIND("arbeid",Methode_Keuze)),"",IF(Tb_Activiteiten[[#This Row],[Landbouwer]]=1,Tb_Activiteiten[[#Headers],[Landbouwer]],"")))</f>
        <v/>
      </c>
      <c r="AO145" t="str">
        <f>IF(ISNUMBER(FIND("arbeid",Methode_Keuze)),"",IF(ISNUMBER(FIND("arbeid",Methode_Keuze)),"",IF(Tb_Activiteiten[[#This Row],[Adviseur]]=1,Tb_Activiteiten[[#Headers],[Adviseur]],"")))</f>
        <v/>
      </c>
      <c r="AP145" t="str">
        <f>IF(ISNUMBER(FIND("arbeid",Methode_Keuze)),"",IF(ISNUMBER(FIND("arbeid",Methode_Keuze)),"",IF(Tb_Activiteiten[[#This Row],[Projectleider/Expert]]=1,Tb_Activiteiten[[#Headers],[Projectleider/Expert]],"")))</f>
        <v/>
      </c>
      <c r="AQ145" t="str">
        <f>IF(ISNUMBER(FIND("arbeid",Methode_Keuze)),"",IF(ISNUMBER(FIND("arbeid",Methode_Keuze)),"",IF(Tb_Activiteiten[[#This Row],[Arbeidskosten]]=1,Tb_Activiteiten[[#Headers],[Arbeidskosten]],"")))</f>
        <v/>
      </c>
      <c r="AR145" t="str">
        <f>IF(ISNUMBER(FIND("arbeid",Methode_Keuze)),"",IF(ISNUMBER(FIND("arbeid",Methode_Keuze)),"",IF(Tb_Activiteiten[[#This Row],[Arbeidskosten op basis van IKS]]=1,Tb_Activiteiten[[#Headers],[Arbeidskosten op basis van IKS]],"")))</f>
        <v/>
      </c>
      <c r="AS145" t="str">
        <f>IF(ISNUMBER(FIND("overige",Methode_Keuze)),"",IF(Tb_Activiteiten[[#This Row],[Kosten derden exclusief btw]]=1,Tb_Activiteiten[[#Headers],[Kosten derden exclusief btw]],""))</f>
        <v/>
      </c>
      <c r="AT145" t="str">
        <f>IF(ISNUMBER(FIND("overige",Methode_Keuze)),"",IF(Tb_Activiteiten[[#This Row],[Niet verrekenbare btw]]=1,Tb_Activiteiten[[#Headers],[Niet verrekenbare btw]],""))</f>
        <v/>
      </c>
      <c r="AU145" t="str">
        <f>IF(ISNUMBER(FIND("overige",Methode_Keuze)),"",IF(Tb_Activiteiten[[#This Row],[Grondkosten]]=1,Tb_Activiteiten[[#Headers],[Grondkosten]],""))</f>
        <v/>
      </c>
      <c r="AV145" t="str">
        <f>IF(ISNUMBER(FIND("overige",Methode_Keuze)),"",IF(Tb_Activiteiten[[#This Row],[Bijdrage in natura (overige)]]=1,Tb_Activiteiten[[#Headers],[Bijdrage in natura (overige)]],""))</f>
        <v/>
      </c>
      <c r="AW145" t="str">
        <f>IF(ISNUMBER(FIND("overige",Methode_Keuze)),"",IF(Tb_Activiteiten[[#This Row],[Bijdrage in natura (vrijwilligers)]]=1,Tb_Activiteiten[[#Headers],[Bijdrage in natura (vrijwilligers)]],""))</f>
        <v/>
      </c>
      <c r="AX145" t="str">
        <f>IF(ISNUMBER(FIND("overige",Methode_Keuze)),"",IF(Tb_Activiteiten[[#This Row],[Afschrijvingskosten]]=1,Tb_Activiteiten[[#Headers],[Afschrijvingskosten]],""))</f>
        <v/>
      </c>
      <c r="AY145" t="str">
        <f>IF(ISNUMBER(FIND("overige",Methode_Keuze)),"",IF(Tb_Activiteiten[[#This Row],[Vergoeding]]=1,Tb_Activiteiten[[#Headers],[Vergoeding]],""))</f>
        <v/>
      </c>
      <c r="AZ145" t="str">
        <f>IF(ISNUMBER(FIND("arbeid",Methode_Keuze)),"",IF(Tb_Activiteiten[[#This Row],[Arbeidskosten - vast tarief (excl eigen arbeid)]]=1,Tb_Activiteiten[[#Headers],[Arbeidskosten - vast tarief (excl eigen arbeid)]],""))</f>
        <v/>
      </c>
      <c r="BA145" t="str">
        <f>IF(ISNUMBER(FIND("overige",Methode_Keuze)),"",IF(Tb_Activiteiten[[#This Row],[Overige kosten]]=1,Tb_Activiteiten[[#Headers],[Overige kosten]],""))</f>
        <v/>
      </c>
    </row>
    <row r="146" spans="1:53" x14ac:dyDescent="0.25">
      <c r="A146" s="231"/>
      <c r="F146" s="64"/>
      <c r="G146" s="64"/>
      <c r="H146" s="275"/>
      <c r="I146" s="275"/>
      <c r="J146" s="275"/>
      <c r="K146" s="275"/>
      <c r="O146" s="56"/>
      <c r="Q146" t="str">
        <f>IFERROR(IF(VLOOKUP(Tb_Activiteiten[[#This Row],[Openstelling]],Tb_Openstelling[],2,0)=1,1,""),"")</f>
        <v/>
      </c>
      <c r="AK146" t="str">
        <f>IF(ISNUMBER(FIND("arbeid",Methode_Keuze)),"",IF(ISNUMBER(FIND("arbeid",Methode_Keuze)),"",IF(Tb_Activiteiten[[#This Row],[Loonkosten]]=1,Tb_Activiteiten[[#Headers],[Loonkosten]],"")))</f>
        <v/>
      </c>
      <c r="AL146" t="str">
        <f>IF(ISNUMBER(FIND("arbeid",Methode_Keuze)),"",IF(ISNUMBER(FIND("arbeid",Methode_Keuze)),"",IF(Tb_Activiteiten[[#This Row],[Eigen arbeid]]=1,Tb_Activiteiten[[#Headers],[Eigen arbeid]],"")))</f>
        <v/>
      </c>
      <c r="AM146" t="str">
        <f>IF(ISNUMBER(FIND("arbeid",Methode_Keuze)),"",IF(ISNUMBER(FIND("arbeid",Methode_Keuze)),"",IF(Tb_Activiteiten[[#This Row],[Projectmedewerker]]=1,Tb_Activiteiten[[#Headers],[Projectmedewerker]],"")))</f>
        <v/>
      </c>
      <c r="AN146" t="str">
        <f>IF(ISNUMBER(FIND("arbeid",Methode_Keuze)),"",IF(ISNUMBER(FIND("arbeid",Methode_Keuze)),"",IF(Tb_Activiteiten[[#This Row],[Landbouwer]]=1,Tb_Activiteiten[[#Headers],[Landbouwer]],"")))</f>
        <v/>
      </c>
      <c r="AO146" t="str">
        <f>IF(ISNUMBER(FIND("arbeid",Methode_Keuze)),"",IF(ISNUMBER(FIND("arbeid",Methode_Keuze)),"",IF(Tb_Activiteiten[[#This Row],[Adviseur]]=1,Tb_Activiteiten[[#Headers],[Adviseur]],"")))</f>
        <v/>
      </c>
      <c r="AP146" t="str">
        <f>IF(ISNUMBER(FIND("arbeid",Methode_Keuze)),"",IF(ISNUMBER(FIND("arbeid",Methode_Keuze)),"",IF(Tb_Activiteiten[[#This Row],[Projectleider/Expert]]=1,Tb_Activiteiten[[#Headers],[Projectleider/Expert]],"")))</f>
        <v/>
      </c>
      <c r="AQ146" t="str">
        <f>IF(ISNUMBER(FIND("arbeid",Methode_Keuze)),"",IF(ISNUMBER(FIND("arbeid",Methode_Keuze)),"",IF(Tb_Activiteiten[[#This Row],[Arbeidskosten]]=1,Tb_Activiteiten[[#Headers],[Arbeidskosten]],"")))</f>
        <v/>
      </c>
      <c r="AR146" t="str">
        <f>IF(ISNUMBER(FIND("arbeid",Methode_Keuze)),"",IF(ISNUMBER(FIND("arbeid",Methode_Keuze)),"",IF(Tb_Activiteiten[[#This Row],[Arbeidskosten op basis van IKS]]=1,Tb_Activiteiten[[#Headers],[Arbeidskosten op basis van IKS]],"")))</f>
        <v/>
      </c>
      <c r="AS146" t="str">
        <f>IF(ISNUMBER(FIND("overige",Methode_Keuze)),"",IF(Tb_Activiteiten[[#This Row],[Kosten derden exclusief btw]]=1,Tb_Activiteiten[[#Headers],[Kosten derden exclusief btw]],""))</f>
        <v/>
      </c>
      <c r="AT146" t="str">
        <f>IF(ISNUMBER(FIND("overige",Methode_Keuze)),"",IF(Tb_Activiteiten[[#This Row],[Niet verrekenbare btw]]=1,Tb_Activiteiten[[#Headers],[Niet verrekenbare btw]],""))</f>
        <v/>
      </c>
      <c r="AU146" t="str">
        <f>IF(ISNUMBER(FIND("overige",Methode_Keuze)),"",IF(Tb_Activiteiten[[#This Row],[Grondkosten]]=1,Tb_Activiteiten[[#Headers],[Grondkosten]],""))</f>
        <v/>
      </c>
      <c r="AV146" t="str">
        <f>IF(ISNUMBER(FIND("overige",Methode_Keuze)),"",IF(Tb_Activiteiten[[#This Row],[Bijdrage in natura (overige)]]=1,Tb_Activiteiten[[#Headers],[Bijdrage in natura (overige)]],""))</f>
        <v/>
      </c>
      <c r="AW146" t="str">
        <f>IF(ISNUMBER(FIND("overige",Methode_Keuze)),"",IF(Tb_Activiteiten[[#This Row],[Bijdrage in natura (vrijwilligers)]]=1,Tb_Activiteiten[[#Headers],[Bijdrage in natura (vrijwilligers)]],""))</f>
        <v/>
      </c>
      <c r="AX146" t="str">
        <f>IF(ISNUMBER(FIND("overige",Methode_Keuze)),"",IF(Tb_Activiteiten[[#This Row],[Afschrijvingskosten]]=1,Tb_Activiteiten[[#Headers],[Afschrijvingskosten]],""))</f>
        <v/>
      </c>
      <c r="AY146" t="str">
        <f>IF(ISNUMBER(FIND("overige",Methode_Keuze)),"",IF(Tb_Activiteiten[[#This Row],[Vergoeding]]=1,Tb_Activiteiten[[#Headers],[Vergoeding]],""))</f>
        <v/>
      </c>
      <c r="AZ146" t="str">
        <f>IF(ISNUMBER(FIND("arbeid",Methode_Keuze)),"",IF(Tb_Activiteiten[[#This Row],[Arbeidskosten - vast tarief (excl eigen arbeid)]]=1,Tb_Activiteiten[[#Headers],[Arbeidskosten - vast tarief (excl eigen arbeid)]],""))</f>
        <v/>
      </c>
      <c r="BA146" t="str">
        <f>IF(ISNUMBER(FIND("overige",Methode_Keuze)),"",IF(Tb_Activiteiten[[#This Row],[Overige kosten]]=1,Tb_Activiteiten[[#Headers],[Overige kosten]],""))</f>
        <v/>
      </c>
    </row>
    <row r="147" spans="1:53" x14ac:dyDescent="0.25">
      <c r="A147" s="231"/>
      <c r="F147" s="64"/>
      <c r="G147" s="64"/>
      <c r="H147" s="275"/>
      <c r="I147" s="275"/>
      <c r="J147" s="275"/>
      <c r="K147" s="275"/>
      <c r="O147" s="56"/>
      <c r="Q147" t="str">
        <f>IFERROR(IF(VLOOKUP(Tb_Activiteiten[[#This Row],[Openstelling]],Tb_Openstelling[],2,0)=1,1,""),"")</f>
        <v/>
      </c>
      <c r="AK147" t="str">
        <f>IF(ISNUMBER(FIND("arbeid",Methode_Keuze)),"",IF(ISNUMBER(FIND("arbeid",Methode_Keuze)),"",IF(Tb_Activiteiten[[#This Row],[Loonkosten]]=1,Tb_Activiteiten[[#Headers],[Loonkosten]],"")))</f>
        <v/>
      </c>
      <c r="AL147" t="str">
        <f>IF(ISNUMBER(FIND("arbeid",Methode_Keuze)),"",IF(ISNUMBER(FIND("arbeid",Methode_Keuze)),"",IF(Tb_Activiteiten[[#This Row],[Eigen arbeid]]=1,Tb_Activiteiten[[#Headers],[Eigen arbeid]],"")))</f>
        <v/>
      </c>
      <c r="AM147" t="str">
        <f>IF(ISNUMBER(FIND("arbeid",Methode_Keuze)),"",IF(ISNUMBER(FIND("arbeid",Methode_Keuze)),"",IF(Tb_Activiteiten[[#This Row],[Projectmedewerker]]=1,Tb_Activiteiten[[#Headers],[Projectmedewerker]],"")))</f>
        <v/>
      </c>
      <c r="AN147" t="str">
        <f>IF(ISNUMBER(FIND("arbeid",Methode_Keuze)),"",IF(ISNUMBER(FIND("arbeid",Methode_Keuze)),"",IF(Tb_Activiteiten[[#This Row],[Landbouwer]]=1,Tb_Activiteiten[[#Headers],[Landbouwer]],"")))</f>
        <v/>
      </c>
      <c r="AO147" t="str">
        <f>IF(ISNUMBER(FIND("arbeid",Methode_Keuze)),"",IF(ISNUMBER(FIND("arbeid",Methode_Keuze)),"",IF(Tb_Activiteiten[[#This Row],[Adviseur]]=1,Tb_Activiteiten[[#Headers],[Adviseur]],"")))</f>
        <v/>
      </c>
      <c r="AP147" t="str">
        <f>IF(ISNUMBER(FIND("arbeid",Methode_Keuze)),"",IF(ISNUMBER(FIND("arbeid",Methode_Keuze)),"",IF(Tb_Activiteiten[[#This Row],[Projectleider/Expert]]=1,Tb_Activiteiten[[#Headers],[Projectleider/Expert]],"")))</f>
        <v/>
      </c>
      <c r="AQ147" t="str">
        <f>IF(ISNUMBER(FIND("arbeid",Methode_Keuze)),"",IF(ISNUMBER(FIND("arbeid",Methode_Keuze)),"",IF(Tb_Activiteiten[[#This Row],[Arbeidskosten]]=1,Tb_Activiteiten[[#Headers],[Arbeidskosten]],"")))</f>
        <v/>
      </c>
      <c r="AR147" t="str">
        <f>IF(ISNUMBER(FIND("arbeid",Methode_Keuze)),"",IF(ISNUMBER(FIND("arbeid",Methode_Keuze)),"",IF(Tb_Activiteiten[[#This Row],[Arbeidskosten op basis van IKS]]=1,Tb_Activiteiten[[#Headers],[Arbeidskosten op basis van IKS]],"")))</f>
        <v/>
      </c>
      <c r="AS147" t="str">
        <f>IF(ISNUMBER(FIND("overige",Methode_Keuze)),"",IF(Tb_Activiteiten[[#This Row],[Kosten derden exclusief btw]]=1,Tb_Activiteiten[[#Headers],[Kosten derden exclusief btw]],""))</f>
        <v/>
      </c>
      <c r="AT147" t="str">
        <f>IF(ISNUMBER(FIND("overige",Methode_Keuze)),"",IF(Tb_Activiteiten[[#This Row],[Niet verrekenbare btw]]=1,Tb_Activiteiten[[#Headers],[Niet verrekenbare btw]],""))</f>
        <v/>
      </c>
      <c r="AU147" t="str">
        <f>IF(ISNUMBER(FIND("overige",Methode_Keuze)),"",IF(Tb_Activiteiten[[#This Row],[Grondkosten]]=1,Tb_Activiteiten[[#Headers],[Grondkosten]],""))</f>
        <v/>
      </c>
      <c r="AV147" t="str">
        <f>IF(ISNUMBER(FIND("overige",Methode_Keuze)),"",IF(Tb_Activiteiten[[#This Row],[Bijdrage in natura (overige)]]=1,Tb_Activiteiten[[#Headers],[Bijdrage in natura (overige)]],""))</f>
        <v/>
      </c>
      <c r="AW147" t="str">
        <f>IF(ISNUMBER(FIND("overige",Methode_Keuze)),"",IF(Tb_Activiteiten[[#This Row],[Bijdrage in natura (vrijwilligers)]]=1,Tb_Activiteiten[[#Headers],[Bijdrage in natura (vrijwilligers)]],""))</f>
        <v/>
      </c>
      <c r="AX147" t="str">
        <f>IF(ISNUMBER(FIND("overige",Methode_Keuze)),"",IF(Tb_Activiteiten[[#This Row],[Afschrijvingskosten]]=1,Tb_Activiteiten[[#Headers],[Afschrijvingskosten]],""))</f>
        <v/>
      </c>
      <c r="AY147" t="str">
        <f>IF(ISNUMBER(FIND("overige",Methode_Keuze)),"",IF(Tb_Activiteiten[[#This Row],[Vergoeding]]=1,Tb_Activiteiten[[#Headers],[Vergoeding]],""))</f>
        <v/>
      </c>
      <c r="AZ147" t="str">
        <f>IF(ISNUMBER(FIND("arbeid",Methode_Keuze)),"",IF(Tb_Activiteiten[[#This Row],[Arbeidskosten - vast tarief (excl eigen arbeid)]]=1,Tb_Activiteiten[[#Headers],[Arbeidskosten - vast tarief (excl eigen arbeid)]],""))</f>
        <v/>
      </c>
      <c r="BA147" t="str">
        <f>IF(ISNUMBER(FIND("overige",Methode_Keuze)),"",IF(Tb_Activiteiten[[#This Row],[Overige kosten]]=1,Tb_Activiteiten[[#Headers],[Overige kosten]],""))</f>
        <v/>
      </c>
    </row>
    <row r="148" spans="1:53" x14ac:dyDescent="0.25">
      <c r="A148" s="231"/>
      <c r="F148" s="64"/>
      <c r="G148" s="64"/>
      <c r="H148" s="275"/>
      <c r="I148" s="275"/>
      <c r="J148" s="275"/>
      <c r="K148" s="275"/>
      <c r="O148" s="56"/>
      <c r="Q148" t="str">
        <f>IFERROR(IF(VLOOKUP(Tb_Activiteiten[[#This Row],[Openstelling]],Tb_Openstelling[],2,0)=1,1,""),"")</f>
        <v/>
      </c>
      <c r="AK148" t="str">
        <f>IF(ISNUMBER(FIND("arbeid",Methode_Keuze)),"",IF(ISNUMBER(FIND("arbeid",Methode_Keuze)),"",IF(Tb_Activiteiten[[#This Row],[Loonkosten]]=1,Tb_Activiteiten[[#Headers],[Loonkosten]],"")))</f>
        <v/>
      </c>
      <c r="AL148" t="str">
        <f>IF(ISNUMBER(FIND("arbeid",Methode_Keuze)),"",IF(ISNUMBER(FIND("arbeid",Methode_Keuze)),"",IF(Tb_Activiteiten[[#This Row],[Eigen arbeid]]=1,Tb_Activiteiten[[#Headers],[Eigen arbeid]],"")))</f>
        <v/>
      </c>
      <c r="AM148" t="str">
        <f>IF(ISNUMBER(FIND("arbeid",Methode_Keuze)),"",IF(ISNUMBER(FIND("arbeid",Methode_Keuze)),"",IF(Tb_Activiteiten[[#This Row],[Projectmedewerker]]=1,Tb_Activiteiten[[#Headers],[Projectmedewerker]],"")))</f>
        <v/>
      </c>
      <c r="AN148" t="str">
        <f>IF(ISNUMBER(FIND("arbeid",Methode_Keuze)),"",IF(ISNUMBER(FIND("arbeid",Methode_Keuze)),"",IF(Tb_Activiteiten[[#This Row],[Landbouwer]]=1,Tb_Activiteiten[[#Headers],[Landbouwer]],"")))</f>
        <v/>
      </c>
      <c r="AO148" t="str">
        <f>IF(ISNUMBER(FIND("arbeid",Methode_Keuze)),"",IF(ISNUMBER(FIND("arbeid",Methode_Keuze)),"",IF(Tb_Activiteiten[[#This Row],[Adviseur]]=1,Tb_Activiteiten[[#Headers],[Adviseur]],"")))</f>
        <v/>
      </c>
      <c r="AP148" t="str">
        <f>IF(ISNUMBER(FIND("arbeid",Methode_Keuze)),"",IF(ISNUMBER(FIND("arbeid",Methode_Keuze)),"",IF(Tb_Activiteiten[[#This Row],[Projectleider/Expert]]=1,Tb_Activiteiten[[#Headers],[Projectleider/Expert]],"")))</f>
        <v/>
      </c>
      <c r="AQ148" t="str">
        <f>IF(ISNUMBER(FIND("arbeid",Methode_Keuze)),"",IF(ISNUMBER(FIND("arbeid",Methode_Keuze)),"",IF(Tb_Activiteiten[[#This Row],[Arbeidskosten]]=1,Tb_Activiteiten[[#Headers],[Arbeidskosten]],"")))</f>
        <v/>
      </c>
      <c r="AR148" t="str">
        <f>IF(ISNUMBER(FIND("arbeid",Methode_Keuze)),"",IF(ISNUMBER(FIND("arbeid",Methode_Keuze)),"",IF(Tb_Activiteiten[[#This Row],[Arbeidskosten op basis van IKS]]=1,Tb_Activiteiten[[#Headers],[Arbeidskosten op basis van IKS]],"")))</f>
        <v/>
      </c>
      <c r="AS148" t="str">
        <f>IF(ISNUMBER(FIND("overige",Methode_Keuze)),"",IF(Tb_Activiteiten[[#This Row],[Kosten derden exclusief btw]]=1,Tb_Activiteiten[[#Headers],[Kosten derden exclusief btw]],""))</f>
        <v/>
      </c>
      <c r="AT148" t="str">
        <f>IF(ISNUMBER(FIND("overige",Methode_Keuze)),"",IF(Tb_Activiteiten[[#This Row],[Niet verrekenbare btw]]=1,Tb_Activiteiten[[#Headers],[Niet verrekenbare btw]],""))</f>
        <v/>
      </c>
      <c r="AU148" t="str">
        <f>IF(ISNUMBER(FIND("overige",Methode_Keuze)),"",IF(Tb_Activiteiten[[#This Row],[Grondkosten]]=1,Tb_Activiteiten[[#Headers],[Grondkosten]],""))</f>
        <v/>
      </c>
      <c r="AV148" t="str">
        <f>IF(ISNUMBER(FIND("overige",Methode_Keuze)),"",IF(Tb_Activiteiten[[#This Row],[Bijdrage in natura (overige)]]=1,Tb_Activiteiten[[#Headers],[Bijdrage in natura (overige)]],""))</f>
        <v/>
      </c>
      <c r="AW148" t="str">
        <f>IF(ISNUMBER(FIND("overige",Methode_Keuze)),"",IF(Tb_Activiteiten[[#This Row],[Bijdrage in natura (vrijwilligers)]]=1,Tb_Activiteiten[[#Headers],[Bijdrage in natura (vrijwilligers)]],""))</f>
        <v/>
      </c>
      <c r="AX148" t="str">
        <f>IF(ISNUMBER(FIND("overige",Methode_Keuze)),"",IF(Tb_Activiteiten[[#This Row],[Afschrijvingskosten]]=1,Tb_Activiteiten[[#Headers],[Afschrijvingskosten]],""))</f>
        <v/>
      </c>
      <c r="AY148" t="str">
        <f>IF(ISNUMBER(FIND("overige",Methode_Keuze)),"",IF(Tb_Activiteiten[[#This Row],[Vergoeding]]=1,Tb_Activiteiten[[#Headers],[Vergoeding]],""))</f>
        <v/>
      </c>
      <c r="AZ148" t="str">
        <f>IF(ISNUMBER(FIND("arbeid",Methode_Keuze)),"",IF(Tb_Activiteiten[[#This Row],[Arbeidskosten - vast tarief (excl eigen arbeid)]]=1,Tb_Activiteiten[[#Headers],[Arbeidskosten - vast tarief (excl eigen arbeid)]],""))</f>
        <v/>
      </c>
      <c r="BA148" t="str">
        <f>IF(ISNUMBER(FIND("overige",Methode_Keuze)),"",IF(Tb_Activiteiten[[#This Row],[Overige kosten]]=1,Tb_Activiteiten[[#Headers],[Overige kosten]],""))</f>
        <v/>
      </c>
    </row>
    <row r="149" spans="1:53" x14ac:dyDescent="0.25">
      <c r="A149" s="231"/>
      <c r="F149" s="64"/>
      <c r="G149" s="64"/>
      <c r="H149" s="275"/>
      <c r="I149" s="275"/>
      <c r="J149" s="275"/>
      <c r="K149" s="275"/>
      <c r="O149" s="56"/>
      <c r="Q149" t="str">
        <f>IFERROR(IF(VLOOKUP(Tb_Activiteiten[[#This Row],[Openstelling]],Tb_Openstelling[],2,0)=1,1,""),"")</f>
        <v/>
      </c>
      <c r="AK149" t="str">
        <f>IF(ISNUMBER(FIND("arbeid",Methode_Keuze)),"",IF(ISNUMBER(FIND("arbeid",Methode_Keuze)),"",IF(Tb_Activiteiten[[#This Row],[Loonkosten]]=1,Tb_Activiteiten[[#Headers],[Loonkosten]],"")))</f>
        <v/>
      </c>
      <c r="AL149" t="str">
        <f>IF(ISNUMBER(FIND("arbeid",Methode_Keuze)),"",IF(ISNUMBER(FIND("arbeid",Methode_Keuze)),"",IF(Tb_Activiteiten[[#This Row],[Eigen arbeid]]=1,Tb_Activiteiten[[#Headers],[Eigen arbeid]],"")))</f>
        <v/>
      </c>
      <c r="AM149" t="str">
        <f>IF(ISNUMBER(FIND("arbeid",Methode_Keuze)),"",IF(ISNUMBER(FIND("arbeid",Methode_Keuze)),"",IF(Tb_Activiteiten[[#This Row],[Projectmedewerker]]=1,Tb_Activiteiten[[#Headers],[Projectmedewerker]],"")))</f>
        <v/>
      </c>
      <c r="AN149" t="str">
        <f>IF(ISNUMBER(FIND("arbeid",Methode_Keuze)),"",IF(ISNUMBER(FIND("arbeid",Methode_Keuze)),"",IF(Tb_Activiteiten[[#This Row],[Landbouwer]]=1,Tb_Activiteiten[[#Headers],[Landbouwer]],"")))</f>
        <v/>
      </c>
      <c r="AO149" t="str">
        <f>IF(ISNUMBER(FIND("arbeid",Methode_Keuze)),"",IF(ISNUMBER(FIND("arbeid",Methode_Keuze)),"",IF(Tb_Activiteiten[[#This Row],[Adviseur]]=1,Tb_Activiteiten[[#Headers],[Adviseur]],"")))</f>
        <v/>
      </c>
      <c r="AP149" t="str">
        <f>IF(ISNUMBER(FIND("arbeid",Methode_Keuze)),"",IF(ISNUMBER(FIND("arbeid",Methode_Keuze)),"",IF(Tb_Activiteiten[[#This Row],[Projectleider/Expert]]=1,Tb_Activiteiten[[#Headers],[Projectleider/Expert]],"")))</f>
        <v/>
      </c>
      <c r="AQ149" t="str">
        <f>IF(ISNUMBER(FIND("arbeid",Methode_Keuze)),"",IF(ISNUMBER(FIND("arbeid",Methode_Keuze)),"",IF(Tb_Activiteiten[[#This Row],[Arbeidskosten]]=1,Tb_Activiteiten[[#Headers],[Arbeidskosten]],"")))</f>
        <v/>
      </c>
      <c r="AR149" t="str">
        <f>IF(ISNUMBER(FIND("arbeid",Methode_Keuze)),"",IF(ISNUMBER(FIND("arbeid",Methode_Keuze)),"",IF(Tb_Activiteiten[[#This Row],[Arbeidskosten op basis van IKS]]=1,Tb_Activiteiten[[#Headers],[Arbeidskosten op basis van IKS]],"")))</f>
        <v/>
      </c>
      <c r="AS149" t="str">
        <f>IF(ISNUMBER(FIND("overige",Methode_Keuze)),"",IF(Tb_Activiteiten[[#This Row],[Kosten derden exclusief btw]]=1,Tb_Activiteiten[[#Headers],[Kosten derden exclusief btw]],""))</f>
        <v/>
      </c>
      <c r="AT149" t="str">
        <f>IF(ISNUMBER(FIND("overige",Methode_Keuze)),"",IF(Tb_Activiteiten[[#This Row],[Niet verrekenbare btw]]=1,Tb_Activiteiten[[#Headers],[Niet verrekenbare btw]],""))</f>
        <v/>
      </c>
      <c r="AU149" t="str">
        <f>IF(ISNUMBER(FIND("overige",Methode_Keuze)),"",IF(Tb_Activiteiten[[#This Row],[Grondkosten]]=1,Tb_Activiteiten[[#Headers],[Grondkosten]],""))</f>
        <v/>
      </c>
      <c r="AV149" t="str">
        <f>IF(ISNUMBER(FIND("overige",Methode_Keuze)),"",IF(Tb_Activiteiten[[#This Row],[Bijdrage in natura (overige)]]=1,Tb_Activiteiten[[#Headers],[Bijdrage in natura (overige)]],""))</f>
        <v/>
      </c>
      <c r="AW149" t="str">
        <f>IF(ISNUMBER(FIND("overige",Methode_Keuze)),"",IF(Tb_Activiteiten[[#This Row],[Bijdrage in natura (vrijwilligers)]]=1,Tb_Activiteiten[[#Headers],[Bijdrage in natura (vrijwilligers)]],""))</f>
        <v/>
      </c>
      <c r="AX149" t="str">
        <f>IF(ISNUMBER(FIND("overige",Methode_Keuze)),"",IF(Tb_Activiteiten[[#This Row],[Afschrijvingskosten]]=1,Tb_Activiteiten[[#Headers],[Afschrijvingskosten]],""))</f>
        <v/>
      </c>
      <c r="AY149" t="str">
        <f>IF(ISNUMBER(FIND("overige",Methode_Keuze)),"",IF(Tb_Activiteiten[[#This Row],[Vergoeding]]=1,Tb_Activiteiten[[#Headers],[Vergoeding]],""))</f>
        <v/>
      </c>
      <c r="AZ149" t="str">
        <f>IF(ISNUMBER(FIND("arbeid",Methode_Keuze)),"",IF(Tb_Activiteiten[[#This Row],[Arbeidskosten - vast tarief (excl eigen arbeid)]]=1,Tb_Activiteiten[[#Headers],[Arbeidskosten - vast tarief (excl eigen arbeid)]],""))</f>
        <v/>
      </c>
      <c r="BA149" t="str">
        <f>IF(ISNUMBER(FIND("overige",Methode_Keuze)),"",IF(Tb_Activiteiten[[#This Row],[Overige kosten]]=1,Tb_Activiteiten[[#Headers],[Overige kosten]],""))</f>
        <v/>
      </c>
    </row>
    <row r="150" spans="1:53" x14ac:dyDescent="0.25">
      <c r="A150" s="231"/>
      <c r="F150" s="64"/>
      <c r="G150" s="64"/>
      <c r="H150" s="275"/>
      <c r="I150" s="275"/>
      <c r="J150" s="275"/>
      <c r="K150" s="275"/>
      <c r="O150" s="56"/>
      <c r="Q150" t="str">
        <f>IFERROR(IF(VLOOKUP(Tb_Activiteiten[[#This Row],[Openstelling]],Tb_Openstelling[],2,0)=1,1,""),"")</f>
        <v/>
      </c>
      <c r="AK150" t="str">
        <f>IF(ISNUMBER(FIND("arbeid",Methode_Keuze)),"",IF(ISNUMBER(FIND("arbeid",Methode_Keuze)),"",IF(Tb_Activiteiten[[#This Row],[Loonkosten]]=1,Tb_Activiteiten[[#Headers],[Loonkosten]],"")))</f>
        <v/>
      </c>
      <c r="AL150" t="str">
        <f>IF(ISNUMBER(FIND("arbeid",Methode_Keuze)),"",IF(ISNUMBER(FIND("arbeid",Methode_Keuze)),"",IF(Tb_Activiteiten[[#This Row],[Eigen arbeid]]=1,Tb_Activiteiten[[#Headers],[Eigen arbeid]],"")))</f>
        <v/>
      </c>
      <c r="AM150" t="str">
        <f>IF(ISNUMBER(FIND("arbeid",Methode_Keuze)),"",IF(ISNUMBER(FIND("arbeid",Methode_Keuze)),"",IF(Tb_Activiteiten[[#This Row],[Projectmedewerker]]=1,Tb_Activiteiten[[#Headers],[Projectmedewerker]],"")))</f>
        <v/>
      </c>
      <c r="AN150" t="str">
        <f>IF(ISNUMBER(FIND("arbeid",Methode_Keuze)),"",IF(ISNUMBER(FIND("arbeid",Methode_Keuze)),"",IF(Tb_Activiteiten[[#This Row],[Landbouwer]]=1,Tb_Activiteiten[[#Headers],[Landbouwer]],"")))</f>
        <v/>
      </c>
      <c r="AO150" t="str">
        <f>IF(ISNUMBER(FIND("arbeid",Methode_Keuze)),"",IF(ISNUMBER(FIND("arbeid",Methode_Keuze)),"",IF(Tb_Activiteiten[[#This Row],[Adviseur]]=1,Tb_Activiteiten[[#Headers],[Adviseur]],"")))</f>
        <v/>
      </c>
      <c r="AP150" t="str">
        <f>IF(ISNUMBER(FIND("arbeid",Methode_Keuze)),"",IF(ISNUMBER(FIND("arbeid",Methode_Keuze)),"",IF(Tb_Activiteiten[[#This Row],[Projectleider/Expert]]=1,Tb_Activiteiten[[#Headers],[Projectleider/Expert]],"")))</f>
        <v/>
      </c>
      <c r="AQ150" t="str">
        <f>IF(ISNUMBER(FIND("arbeid",Methode_Keuze)),"",IF(ISNUMBER(FIND("arbeid",Methode_Keuze)),"",IF(Tb_Activiteiten[[#This Row],[Arbeidskosten]]=1,Tb_Activiteiten[[#Headers],[Arbeidskosten]],"")))</f>
        <v/>
      </c>
      <c r="AR150" t="str">
        <f>IF(ISNUMBER(FIND("arbeid",Methode_Keuze)),"",IF(ISNUMBER(FIND("arbeid",Methode_Keuze)),"",IF(Tb_Activiteiten[[#This Row],[Arbeidskosten op basis van IKS]]=1,Tb_Activiteiten[[#Headers],[Arbeidskosten op basis van IKS]],"")))</f>
        <v/>
      </c>
      <c r="AS150" t="str">
        <f>IF(ISNUMBER(FIND("overige",Methode_Keuze)),"",IF(Tb_Activiteiten[[#This Row],[Kosten derden exclusief btw]]=1,Tb_Activiteiten[[#Headers],[Kosten derden exclusief btw]],""))</f>
        <v/>
      </c>
      <c r="AT150" t="str">
        <f>IF(ISNUMBER(FIND("overige",Methode_Keuze)),"",IF(Tb_Activiteiten[[#This Row],[Niet verrekenbare btw]]=1,Tb_Activiteiten[[#Headers],[Niet verrekenbare btw]],""))</f>
        <v/>
      </c>
      <c r="AU150" t="str">
        <f>IF(ISNUMBER(FIND("overige",Methode_Keuze)),"",IF(Tb_Activiteiten[[#This Row],[Grondkosten]]=1,Tb_Activiteiten[[#Headers],[Grondkosten]],""))</f>
        <v/>
      </c>
      <c r="AV150" t="str">
        <f>IF(ISNUMBER(FIND("overige",Methode_Keuze)),"",IF(Tb_Activiteiten[[#This Row],[Bijdrage in natura (overige)]]=1,Tb_Activiteiten[[#Headers],[Bijdrage in natura (overige)]],""))</f>
        <v/>
      </c>
      <c r="AW150" t="str">
        <f>IF(ISNUMBER(FIND("overige",Methode_Keuze)),"",IF(Tb_Activiteiten[[#This Row],[Bijdrage in natura (vrijwilligers)]]=1,Tb_Activiteiten[[#Headers],[Bijdrage in natura (vrijwilligers)]],""))</f>
        <v/>
      </c>
      <c r="AX150" t="str">
        <f>IF(ISNUMBER(FIND("overige",Methode_Keuze)),"",IF(Tb_Activiteiten[[#This Row],[Afschrijvingskosten]]=1,Tb_Activiteiten[[#Headers],[Afschrijvingskosten]],""))</f>
        <v/>
      </c>
      <c r="AY150" t="str">
        <f>IF(ISNUMBER(FIND("overige",Methode_Keuze)),"",IF(Tb_Activiteiten[[#This Row],[Vergoeding]]=1,Tb_Activiteiten[[#Headers],[Vergoeding]],""))</f>
        <v/>
      </c>
      <c r="AZ150" t="str">
        <f>IF(ISNUMBER(FIND("arbeid",Methode_Keuze)),"",IF(Tb_Activiteiten[[#This Row],[Arbeidskosten - vast tarief (excl eigen arbeid)]]=1,Tb_Activiteiten[[#Headers],[Arbeidskosten - vast tarief (excl eigen arbeid)]],""))</f>
        <v/>
      </c>
      <c r="BA150" t="str">
        <f>IF(ISNUMBER(FIND("overige",Methode_Keuze)),"",IF(Tb_Activiteiten[[#This Row],[Overige kosten]]=1,Tb_Activiteiten[[#Headers],[Overige kosten]],""))</f>
        <v/>
      </c>
    </row>
    <row r="151" spans="1:53" x14ac:dyDescent="0.25">
      <c r="A151" s="231"/>
      <c r="F151" s="64"/>
      <c r="G151" s="64"/>
      <c r="H151" s="275"/>
      <c r="I151" s="275"/>
      <c r="J151" s="275"/>
      <c r="K151" s="275"/>
      <c r="O151" s="56"/>
      <c r="Q151" t="str">
        <f>IFERROR(IF(VLOOKUP(Tb_Activiteiten[[#This Row],[Openstelling]],Tb_Openstelling[],2,0)=1,1,""),"")</f>
        <v/>
      </c>
      <c r="AK151" t="str">
        <f>IF(ISNUMBER(FIND("arbeid",Methode_Keuze)),"",IF(ISNUMBER(FIND("arbeid",Methode_Keuze)),"",IF(Tb_Activiteiten[[#This Row],[Loonkosten]]=1,Tb_Activiteiten[[#Headers],[Loonkosten]],"")))</f>
        <v/>
      </c>
      <c r="AL151" t="str">
        <f>IF(ISNUMBER(FIND("arbeid",Methode_Keuze)),"",IF(ISNUMBER(FIND("arbeid",Methode_Keuze)),"",IF(Tb_Activiteiten[[#This Row],[Eigen arbeid]]=1,Tb_Activiteiten[[#Headers],[Eigen arbeid]],"")))</f>
        <v/>
      </c>
      <c r="AM151" t="str">
        <f>IF(ISNUMBER(FIND("arbeid",Methode_Keuze)),"",IF(ISNUMBER(FIND("arbeid",Methode_Keuze)),"",IF(Tb_Activiteiten[[#This Row],[Projectmedewerker]]=1,Tb_Activiteiten[[#Headers],[Projectmedewerker]],"")))</f>
        <v/>
      </c>
      <c r="AN151" t="str">
        <f>IF(ISNUMBER(FIND("arbeid",Methode_Keuze)),"",IF(ISNUMBER(FIND("arbeid",Methode_Keuze)),"",IF(Tb_Activiteiten[[#This Row],[Landbouwer]]=1,Tb_Activiteiten[[#Headers],[Landbouwer]],"")))</f>
        <v/>
      </c>
      <c r="AO151" t="str">
        <f>IF(ISNUMBER(FIND("arbeid",Methode_Keuze)),"",IF(ISNUMBER(FIND("arbeid",Methode_Keuze)),"",IF(Tb_Activiteiten[[#This Row],[Adviseur]]=1,Tb_Activiteiten[[#Headers],[Adviseur]],"")))</f>
        <v/>
      </c>
      <c r="AP151" t="str">
        <f>IF(ISNUMBER(FIND("arbeid",Methode_Keuze)),"",IF(ISNUMBER(FIND("arbeid",Methode_Keuze)),"",IF(Tb_Activiteiten[[#This Row],[Projectleider/Expert]]=1,Tb_Activiteiten[[#Headers],[Projectleider/Expert]],"")))</f>
        <v/>
      </c>
      <c r="AQ151" t="str">
        <f>IF(ISNUMBER(FIND("arbeid",Methode_Keuze)),"",IF(ISNUMBER(FIND("arbeid",Methode_Keuze)),"",IF(Tb_Activiteiten[[#This Row],[Arbeidskosten]]=1,Tb_Activiteiten[[#Headers],[Arbeidskosten]],"")))</f>
        <v/>
      </c>
      <c r="AR151" t="str">
        <f>IF(ISNUMBER(FIND("arbeid",Methode_Keuze)),"",IF(ISNUMBER(FIND("arbeid",Methode_Keuze)),"",IF(Tb_Activiteiten[[#This Row],[Arbeidskosten op basis van IKS]]=1,Tb_Activiteiten[[#Headers],[Arbeidskosten op basis van IKS]],"")))</f>
        <v/>
      </c>
      <c r="AS151" t="str">
        <f>IF(ISNUMBER(FIND("overige",Methode_Keuze)),"",IF(Tb_Activiteiten[[#This Row],[Kosten derden exclusief btw]]=1,Tb_Activiteiten[[#Headers],[Kosten derden exclusief btw]],""))</f>
        <v/>
      </c>
      <c r="AT151" t="str">
        <f>IF(ISNUMBER(FIND("overige",Methode_Keuze)),"",IF(Tb_Activiteiten[[#This Row],[Niet verrekenbare btw]]=1,Tb_Activiteiten[[#Headers],[Niet verrekenbare btw]],""))</f>
        <v/>
      </c>
      <c r="AU151" t="str">
        <f>IF(ISNUMBER(FIND("overige",Methode_Keuze)),"",IF(Tb_Activiteiten[[#This Row],[Grondkosten]]=1,Tb_Activiteiten[[#Headers],[Grondkosten]],""))</f>
        <v/>
      </c>
      <c r="AV151" t="str">
        <f>IF(ISNUMBER(FIND("overige",Methode_Keuze)),"",IF(Tb_Activiteiten[[#This Row],[Bijdrage in natura (overige)]]=1,Tb_Activiteiten[[#Headers],[Bijdrage in natura (overige)]],""))</f>
        <v/>
      </c>
      <c r="AW151" t="str">
        <f>IF(ISNUMBER(FIND("overige",Methode_Keuze)),"",IF(Tb_Activiteiten[[#This Row],[Bijdrage in natura (vrijwilligers)]]=1,Tb_Activiteiten[[#Headers],[Bijdrage in natura (vrijwilligers)]],""))</f>
        <v/>
      </c>
      <c r="AX151" t="str">
        <f>IF(ISNUMBER(FIND("overige",Methode_Keuze)),"",IF(Tb_Activiteiten[[#This Row],[Afschrijvingskosten]]=1,Tb_Activiteiten[[#Headers],[Afschrijvingskosten]],""))</f>
        <v/>
      </c>
      <c r="AY151" t="str">
        <f>IF(ISNUMBER(FIND("overige",Methode_Keuze)),"",IF(Tb_Activiteiten[[#This Row],[Vergoeding]]=1,Tb_Activiteiten[[#Headers],[Vergoeding]],""))</f>
        <v/>
      </c>
      <c r="AZ151" t="str">
        <f>IF(ISNUMBER(FIND("arbeid",Methode_Keuze)),"",IF(Tb_Activiteiten[[#This Row],[Arbeidskosten - vast tarief (excl eigen arbeid)]]=1,Tb_Activiteiten[[#Headers],[Arbeidskosten - vast tarief (excl eigen arbeid)]],""))</f>
        <v/>
      </c>
      <c r="BA151" t="str">
        <f>IF(ISNUMBER(FIND("overige",Methode_Keuze)),"",IF(Tb_Activiteiten[[#This Row],[Overige kosten]]=1,Tb_Activiteiten[[#Headers],[Overige kosten]],""))</f>
        <v/>
      </c>
    </row>
    <row r="152" spans="1:53" x14ac:dyDescent="0.25">
      <c r="A152" s="231"/>
      <c r="F152" s="64"/>
      <c r="G152" s="64"/>
      <c r="H152" s="275"/>
      <c r="I152" s="275"/>
      <c r="J152" s="275"/>
      <c r="K152" s="275"/>
      <c r="O152" s="56"/>
      <c r="Q152" t="str">
        <f>IFERROR(IF(VLOOKUP(Tb_Activiteiten[[#This Row],[Openstelling]],Tb_Openstelling[],2,0)=1,1,""),"")</f>
        <v/>
      </c>
      <c r="AK152" t="str">
        <f>IF(ISNUMBER(FIND("arbeid",Methode_Keuze)),"",IF(ISNUMBER(FIND("arbeid",Methode_Keuze)),"",IF(Tb_Activiteiten[[#This Row],[Loonkosten]]=1,Tb_Activiteiten[[#Headers],[Loonkosten]],"")))</f>
        <v/>
      </c>
      <c r="AL152" t="str">
        <f>IF(ISNUMBER(FIND("arbeid",Methode_Keuze)),"",IF(ISNUMBER(FIND("arbeid",Methode_Keuze)),"",IF(Tb_Activiteiten[[#This Row],[Eigen arbeid]]=1,Tb_Activiteiten[[#Headers],[Eigen arbeid]],"")))</f>
        <v/>
      </c>
      <c r="AM152" t="str">
        <f>IF(ISNUMBER(FIND("arbeid",Methode_Keuze)),"",IF(ISNUMBER(FIND("arbeid",Methode_Keuze)),"",IF(Tb_Activiteiten[[#This Row],[Projectmedewerker]]=1,Tb_Activiteiten[[#Headers],[Projectmedewerker]],"")))</f>
        <v/>
      </c>
      <c r="AN152" t="str">
        <f>IF(ISNUMBER(FIND("arbeid",Methode_Keuze)),"",IF(ISNUMBER(FIND("arbeid",Methode_Keuze)),"",IF(Tb_Activiteiten[[#This Row],[Landbouwer]]=1,Tb_Activiteiten[[#Headers],[Landbouwer]],"")))</f>
        <v/>
      </c>
      <c r="AO152" t="str">
        <f>IF(ISNUMBER(FIND("arbeid",Methode_Keuze)),"",IF(ISNUMBER(FIND("arbeid",Methode_Keuze)),"",IF(Tb_Activiteiten[[#This Row],[Adviseur]]=1,Tb_Activiteiten[[#Headers],[Adviseur]],"")))</f>
        <v/>
      </c>
      <c r="AP152" t="str">
        <f>IF(ISNUMBER(FIND("arbeid",Methode_Keuze)),"",IF(ISNUMBER(FIND("arbeid",Methode_Keuze)),"",IF(Tb_Activiteiten[[#This Row],[Projectleider/Expert]]=1,Tb_Activiteiten[[#Headers],[Projectleider/Expert]],"")))</f>
        <v/>
      </c>
      <c r="AQ152" t="str">
        <f>IF(ISNUMBER(FIND("arbeid",Methode_Keuze)),"",IF(ISNUMBER(FIND("arbeid",Methode_Keuze)),"",IF(Tb_Activiteiten[[#This Row],[Arbeidskosten]]=1,Tb_Activiteiten[[#Headers],[Arbeidskosten]],"")))</f>
        <v/>
      </c>
      <c r="AR152" t="str">
        <f>IF(ISNUMBER(FIND("arbeid",Methode_Keuze)),"",IF(ISNUMBER(FIND("arbeid",Methode_Keuze)),"",IF(Tb_Activiteiten[[#This Row],[Arbeidskosten op basis van IKS]]=1,Tb_Activiteiten[[#Headers],[Arbeidskosten op basis van IKS]],"")))</f>
        <v/>
      </c>
      <c r="AS152" t="str">
        <f>IF(ISNUMBER(FIND("overige",Methode_Keuze)),"",IF(Tb_Activiteiten[[#This Row],[Kosten derden exclusief btw]]=1,Tb_Activiteiten[[#Headers],[Kosten derden exclusief btw]],""))</f>
        <v/>
      </c>
      <c r="AT152" t="str">
        <f>IF(ISNUMBER(FIND("overige",Methode_Keuze)),"",IF(Tb_Activiteiten[[#This Row],[Niet verrekenbare btw]]=1,Tb_Activiteiten[[#Headers],[Niet verrekenbare btw]],""))</f>
        <v/>
      </c>
      <c r="AU152" t="str">
        <f>IF(ISNUMBER(FIND("overige",Methode_Keuze)),"",IF(Tb_Activiteiten[[#This Row],[Grondkosten]]=1,Tb_Activiteiten[[#Headers],[Grondkosten]],""))</f>
        <v/>
      </c>
      <c r="AV152" t="str">
        <f>IF(ISNUMBER(FIND("overige",Methode_Keuze)),"",IF(Tb_Activiteiten[[#This Row],[Bijdrage in natura (overige)]]=1,Tb_Activiteiten[[#Headers],[Bijdrage in natura (overige)]],""))</f>
        <v/>
      </c>
      <c r="AW152" t="str">
        <f>IF(ISNUMBER(FIND("overige",Methode_Keuze)),"",IF(Tb_Activiteiten[[#This Row],[Bijdrage in natura (vrijwilligers)]]=1,Tb_Activiteiten[[#Headers],[Bijdrage in natura (vrijwilligers)]],""))</f>
        <v/>
      </c>
      <c r="AX152" t="str">
        <f>IF(ISNUMBER(FIND("overige",Methode_Keuze)),"",IF(Tb_Activiteiten[[#This Row],[Afschrijvingskosten]]=1,Tb_Activiteiten[[#Headers],[Afschrijvingskosten]],""))</f>
        <v/>
      </c>
      <c r="AY152" t="str">
        <f>IF(ISNUMBER(FIND("overige",Methode_Keuze)),"",IF(Tb_Activiteiten[[#This Row],[Vergoeding]]=1,Tb_Activiteiten[[#Headers],[Vergoeding]],""))</f>
        <v/>
      </c>
      <c r="AZ152" t="str">
        <f>IF(ISNUMBER(FIND("arbeid",Methode_Keuze)),"",IF(Tb_Activiteiten[[#This Row],[Arbeidskosten - vast tarief (excl eigen arbeid)]]=1,Tb_Activiteiten[[#Headers],[Arbeidskosten - vast tarief (excl eigen arbeid)]],""))</f>
        <v/>
      </c>
      <c r="BA152" t="str">
        <f>IF(ISNUMBER(FIND("overige",Methode_Keuze)),"",IF(Tb_Activiteiten[[#This Row],[Overige kosten]]=1,Tb_Activiteiten[[#Headers],[Overige kosten]],""))</f>
        <v/>
      </c>
    </row>
    <row r="153" spans="1:53" x14ac:dyDescent="0.25">
      <c r="A153" s="231"/>
      <c r="F153" s="64"/>
      <c r="G153" s="64"/>
      <c r="H153" s="275"/>
      <c r="I153" s="275"/>
      <c r="J153" s="275"/>
      <c r="K153" s="275"/>
      <c r="O153" s="56"/>
      <c r="Q153" t="str">
        <f>IFERROR(IF(VLOOKUP(Tb_Activiteiten[[#This Row],[Openstelling]],Tb_Openstelling[],2,0)=1,1,""),"")</f>
        <v/>
      </c>
      <c r="AK153" t="str">
        <f>IF(ISNUMBER(FIND("arbeid",Methode_Keuze)),"",IF(ISNUMBER(FIND("arbeid",Methode_Keuze)),"",IF(Tb_Activiteiten[[#This Row],[Loonkosten]]=1,Tb_Activiteiten[[#Headers],[Loonkosten]],"")))</f>
        <v/>
      </c>
      <c r="AL153" t="str">
        <f>IF(ISNUMBER(FIND("arbeid",Methode_Keuze)),"",IF(ISNUMBER(FIND("arbeid",Methode_Keuze)),"",IF(Tb_Activiteiten[[#This Row],[Eigen arbeid]]=1,Tb_Activiteiten[[#Headers],[Eigen arbeid]],"")))</f>
        <v/>
      </c>
      <c r="AM153" t="str">
        <f>IF(ISNUMBER(FIND("arbeid",Methode_Keuze)),"",IF(ISNUMBER(FIND("arbeid",Methode_Keuze)),"",IF(Tb_Activiteiten[[#This Row],[Projectmedewerker]]=1,Tb_Activiteiten[[#Headers],[Projectmedewerker]],"")))</f>
        <v/>
      </c>
      <c r="AN153" t="str">
        <f>IF(ISNUMBER(FIND("arbeid",Methode_Keuze)),"",IF(ISNUMBER(FIND("arbeid",Methode_Keuze)),"",IF(Tb_Activiteiten[[#This Row],[Landbouwer]]=1,Tb_Activiteiten[[#Headers],[Landbouwer]],"")))</f>
        <v/>
      </c>
      <c r="AO153" t="str">
        <f>IF(ISNUMBER(FIND("arbeid",Methode_Keuze)),"",IF(ISNUMBER(FIND("arbeid",Methode_Keuze)),"",IF(Tb_Activiteiten[[#This Row],[Adviseur]]=1,Tb_Activiteiten[[#Headers],[Adviseur]],"")))</f>
        <v/>
      </c>
      <c r="AP153" t="str">
        <f>IF(ISNUMBER(FIND("arbeid",Methode_Keuze)),"",IF(ISNUMBER(FIND("arbeid",Methode_Keuze)),"",IF(Tb_Activiteiten[[#This Row],[Projectleider/Expert]]=1,Tb_Activiteiten[[#Headers],[Projectleider/Expert]],"")))</f>
        <v/>
      </c>
      <c r="AQ153" t="str">
        <f>IF(ISNUMBER(FIND("arbeid",Methode_Keuze)),"",IF(ISNUMBER(FIND("arbeid",Methode_Keuze)),"",IF(Tb_Activiteiten[[#This Row],[Arbeidskosten]]=1,Tb_Activiteiten[[#Headers],[Arbeidskosten]],"")))</f>
        <v/>
      </c>
      <c r="AR153" t="str">
        <f>IF(ISNUMBER(FIND("arbeid",Methode_Keuze)),"",IF(ISNUMBER(FIND("arbeid",Methode_Keuze)),"",IF(Tb_Activiteiten[[#This Row],[Arbeidskosten op basis van IKS]]=1,Tb_Activiteiten[[#Headers],[Arbeidskosten op basis van IKS]],"")))</f>
        <v/>
      </c>
      <c r="AS153" t="str">
        <f>IF(ISNUMBER(FIND("overige",Methode_Keuze)),"",IF(Tb_Activiteiten[[#This Row],[Kosten derden exclusief btw]]=1,Tb_Activiteiten[[#Headers],[Kosten derden exclusief btw]],""))</f>
        <v/>
      </c>
      <c r="AT153" t="str">
        <f>IF(ISNUMBER(FIND("overige",Methode_Keuze)),"",IF(Tb_Activiteiten[[#This Row],[Niet verrekenbare btw]]=1,Tb_Activiteiten[[#Headers],[Niet verrekenbare btw]],""))</f>
        <v/>
      </c>
      <c r="AU153" t="str">
        <f>IF(ISNUMBER(FIND("overige",Methode_Keuze)),"",IF(Tb_Activiteiten[[#This Row],[Grondkosten]]=1,Tb_Activiteiten[[#Headers],[Grondkosten]],""))</f>
        <v/>
      </c>
      <c r="AV153" t="str">
        <f>IF(ISNUMBER(FIND("overige",Methode_Keuze)),"",IF(Tb_Activiteiten[[#This Row],[Bijdrage in natura (overige)]]=1,Tb_Activiteiten[[#Headers],[Bijdrage in natura (overige)]],""))</f>
        <v/>
      </c>
      <c r="AW153" t="str">
        <f>IF(ISNUMBER(FIND("overige",Methode_Keuze)),"",IF(Tb_Activiteiten[[#This Row],[Bijdrage in natura (vrijwilligers)]]=1,Tb_Activiteiten[[#Headers],[Bijdrage in natura (vrijwilligers)]],""))</f>
        <v/>
      </c>
      <c r="AX153" t="str">
        <f>IF(ISNUMBER(FIND("overige",Methode_Keuze)),"",IF(Tb_Activiteiten[[#This Row],[Afschrijvingskosten]]=1,Tb_Activiteiten[[#Headers],[Afschrijvingskosten]],""))</f>
        <v/>
      </c>
      <c r="AY153" t="str">
        <f>IF(ISNUMBER(FIND("overige",Methode_Keuze)),"",IF(Tb_Activiteiten[[#This Row],[Vergoeding]]=1,Tb_Activiteiten[[#Headers],[Vergoeding]],""))</f>
        <v/>
      </c>
      <c r="AZ153" t="str">
        <f>IF(ISNUMBER(FIND("arbeid",Methode_Keuze)),"",IF(Tb_Activiteiten[[#This Row],[Arbeidskosten - vast tarief (excl eigen arbeid)]]=1,Tb_Activiteiten[[#Headers],[Arbeidskosten - vast tarief (excl eigen arbeid)]],""))</f>
        <v/>
      </c>
      <c r="BA153" t="str">
        <f>IF(ISNUMBER(FIND("overige",Methode_Keuze)),"",IF(Tb_Activiteiten[[#This Row],[Overige kosten]]=1,Tb_Activiteiten[[#Headers],[Overige kosten]],""))</f>
        <v/>
      </c>
    </row>
    <row r="154" spans="1:53" x14ac:dyDescent="0.25">
      <c r="A154" s="231"/>
      <c r="F154" s="64"/>
      <c r="G154" s="64"/>
      <c r="H154" s="275"/>
      <c r="I154" s="275"/>
      <c r="J154" s="275"/>
      <c r="K154" s="275"/>
      <c r="O154" s="56"/>
      <c r="Q154" t="str">
        <f>IFERROR(IF(VLOOKUP(Tb_Activiteiten[[#This Row],[Openstelling]],Tb_Openstelling[],2,0)=1,1,""),"")</f>
        <v/>
      </c>
      <c r="AK154" t="str">
        <f>IF(ISNUMBER(FIND("arbeid",Methode_Keuze)),"",IF(ISNUMBER(FIND("arbeid",Methode_Keuze)),"",IF(Tb_Activiteiten[[#This Row],[Loonkosten]]=1,Tb_Activiteiten[[#Headers],[Loonkosten]],"")))</f>
        <v/>
      </c>
      <c r="AL154" t="str">
        <f>IF(ISNUMBER(FIND("arbeid",Methode_Keuze)),"",IF(ISNUMBER(FIND("arbeid",Methode_Keuze)),"",IF(Tb_Activiteiten[[#This Row],[Eigen arbeid]]=1,Tb_Activiteiten[[#Headers],[Eigen arbeid]],"")))</f>
        <v/>
      </c>
      <c r="AM154" t="str">
        <f>IF(ISNUMBER(FIND("arbeid",Methode_Keuze)),"",IF(ISNUMBER(FIND("arbeid",Methode_Keuze)),"",IF(Tb_Activiteiten[[#This Row],[Projectmedewerker]]=1,Tb_Activiteiten[[#Headers],[Projectmedewerker]],"")))</f>
        <v/>
      </c>
      <c r="AN154" t="str">
        <f>IF(ISNUMBER(FIND("arbeid",Methode_Keuze)),"",IF(ISNUMBER(FIND("arbeid",Methode_Keuze)),"",IF(Tb_Activiteiten[[#This Row],[Landbouwer]]=1,Tb_Activiteiten[[#Headers],[Landbouwer]],"")))</f>
        <v/>
      </c>
      <c r="AO154" t="str">
        <f>IF(ISNUMBER(FIND("arbeid",Methode_Keuze)),"",IF(ISNUMBER(FIND("arbeid",Methode_Keuze)),"",IF(Tb_Activiteiten[[#This Row],[Adviseur]]=1,Tb_Activiteiten[[#Headers],[Adviseur]],"")))</f>
        <v/>
      </c>
      <c r="AP154" t="str">
        <f>IF(ISNUMBER(FIND("arbeid",Methode_Keuze)),"",IF(ISNUMBER(FIND("arbeid",Methode_Keuze)),"",IF(Tb_Activiteiten[[#This Row],[Projectleider/Expert]]=1,Tb_Activiteiten[[#Headers],[Projectleider/Expert]],"")))</f>
        <v/>
      </c>
      <c r="AQ154" t="str">
        <f>IF(ISNUMBER(FIND("arbeid",Methode_Keuze)),"",IF(ISNUMBER(FIND("arbeid",Methode_Keuze)),"",IF(Tb_Activiteiten[[#This Row],[Arbeidskosten]]=1,Tb_Activiteiten[[#Headers],[Arbeidskosten]],"")))</f>
        <v/>
      </c>
      <c r="AR154" t="str">
        <f>IF(ISNUMBER(FIND("arbeid",Methode_Keuze)),"",IF(ISNUMBER(FIND("arbeid",Methode_Keuze)),"",IF(Tb_Activiteiten[[#This Row],[Arbeidskosten op basis van IKS]]=1,Tb_Activiteiten[[#Headers],[Arbeidskosten op basis van IKS]],"")))</f>
        <v/>
      </c>
      <c r="AS154" t="str">
        <f>IF(ISNUMBER(FIND("overige",Methode_Keuze)),"",IF(Tb_Activiteiten[[#This Row],[Kosten derden exclusief btw]]=1,Tb_Activiteiten[[#Headers],[Kosten derden exclusief btw]],""))</f>
        <v/>
      </c>
      <c r="AT154" t="str">
        <f>IF(ISNUMBER(FIND("overige",Methode_Keuze)),"",IF(Tb_Activiteiten[[#This Row],[Niet verrekenbare btw]]=1,Tb_Activiteiten[[#Headers],[Niet verrekenbare btw]],""))</f>
        <v/>
      </c>
      <c r="AU154" t="str">
        <f>IF(ISNUMBER(FIND("overige",Methode_Keuze)),"",IF(Tb_Activiteiten[[#This Row],[Grondkosten]]=1,Tb_Activiteiten[[#Headers],[Grondkosten]],""))</f>
        <v/>
      </c>
      <c r="AV154" t="str">
        <f>IF(ISNUMBER(FIND("overige",Methode_Keuze)),"",IF(Tb_Activiteiten[[#This Row],[Bijdrage in natura (overige)]]=1,Tb_Activiteiten[[#Headers],[Bijdrage in natura (overige)]],""))</f>
        <v/>
      </c>
      <c r="AW154" t="str">
        <f>IF(ISNUMBER(FIND("overige",Methode_Keuze)),"",IF(Tb_Activiteiten[[#This Row],[Bijdrage in natura (vrijwilligers)]]=1,Tb_Activiteiten[[#Headers],[Bijdrage in natura (vrijwilligers)]],""))</f>
        <v/>
      </c>
      <c r="AX154" t="str">
        <f>IF(ISNUMBER(FIND("overige",Methode_Keuze)),"",IF(Tb_Activiteiten[[#This Row],[Afschrijvingskosten]]=1,Tb_Activiteiten[[#Headers],[Afschrijvingskosten]],""))</f>
        <v/>
      </c>
      <c r="AY154" t="str">
        <f>IF(ISNUMBER(FIND("overige",Methode_Keuze)),"",IF(Tb_Activiteiten[[#This Row],[Vergoeding]]=1,Tb_Activiteiten[[#Headers],[Vergoeding]],""))</f>
        <v/>
      </c>
      <c r="AZ154" t="str">
        <f>IF(ISNUMBER(FIND("arbeid",Methode_Keuze)),"",IF(Tb_Activiteiten[[#This Row],[Arbeidskosten - vast tarief (excl eigen arbeid)]]=1,Tb_Activiteiten[[#Headers],[Arbeidskosten - vast tarief (excl eigen arbeid)]],""))</f>
        <v/>
      </c>
      <c r="BA154" t="str">
        <f>IF(ISNUMBER(FIND("overige",Methode_Keuze)),"",IF(Tb_Activiteiten[[#This Row],[Overige kosten]]=1,Tb_Activiteiten[[#Headers],[Overige kosten]],""))</f>
        <v/>
      </c>
    </row>
    <row r="155" spans="1:53" x14ac:dyDescent="0.25">
      <c r="A155" s="231"/>
      <c r="F155" s="64"/>
      <c r="G155" s="64"/>
      <c r="H155" s="275"/>
      <c r="I155" s="275"/>
      <c r="J155" s="275"/>
      <c r="K155" s="275"/>
      <c r="O155" s="56"/>
      <c r="Q155" t="str">
        <f>IFERROR(IF(VLOOKUP(Tb_Activiteiten[[#This Row],[Openstelling]],Tb_Openstelling[],2,0)=1,1,""),"")</f>
        <v/>
      </c>
      <c r="AK155" t="str">
        <f>IF(ISNUMBER(FIND("arbeid",Methode_Keuze)),"",IF(ISNUMBER(FIND("arbeid",Methode_Keuze)),"",IF(Tb_Activiteiten[[#This Row],[Loonkosten]]=1,Tb_Activiteiten[[#Headers],[Loonkosten]],"")))</f>
        <v/>
      </c>
      <c r="AL155" t="str">
        <f>IF(ISNUMBER(FIND("arbeid",Methode_Keuze)),"",IF(ISNUMBER(FIND("arbeid",Methode_Keuze)),"",IF(Tb_Activiteiten[[#This Row],[Eigen arbeid]]=1,Tb_Activiteiten[[#Headers],[Eigen arbeid]],"")))</f>
        <v/>
      </c>
      <c r="AM155" t="str">
        <f>IF(ISNUMBER(FIND("arbeid",Methode_Keuze)),"",IF(ISNUMBER(FIND("arbeid",Methode_Keuze)),"",IF(Tb_Activiteiten[[#This Row],[Projectmedewerker]]=1,Tb_Activiteiten[[#Headers],[Projectmedewerker]],"")))</f>
        <v/>
      </c>
      <c r="AN155" t="str">
        <f>IF(ISNUMBER(FIND("arbeid",Methode_Keuze)),"",IF(ISNUMBER(FIND("arbeid",Methode_Keuze)),"",IF(Tb_Activiteiten[[#This Row],[Landbouwer]]=1,Tb_Activiteiten[[#Headers],[Landbouwer]],"")))</f>
        <v/>
      </c>
      <c r="AO155" t="str">
        <f>IF(ISNUMBER(FIND("arbeid",Methode_Keuze)),"",IF(ISNUMBER(FIND("arbeid",Methode_Keuze)),"",IF(Tb_Activiteiten[[#This Row],[Adviseur]]=1,Tb_Activiteiten[[#Headers],[Adviseur]],"")))</f>
        <v/>
      </c>
      <c r="AP155" t="str">
        <f>IF(ISNUMBER(FIND("arbeid",Methode_Keuze)),"",IF(ISNUMBER(FIND("arbeid",Methode_Keuze)),"",IF(Tb_Activiteiten[[#This Row],[Projectleider/Expert]]=1,Tb_Activiteiten[[#Headers],[Projectleider/Expert]],"")))</f>
        <v/>
      </c>
      <c r="AQ155" t="str">
        <f>IF(ISNUMBER(FIND("arbeid",Methode_Keuze)),"",IF(ISNUMBER(FIND("arbeid",Methode_Keuze)),"",IF(Tb_Activiteiten[[#This Row],[Arbeidskosten]]=1,Tb_Activiteiten[[#Headers],[Arbeidskosten]],"")))</f>
        <v/>
      </c>
      <c r="AR155" t="str">
        <f>IF(ISNUMBER(FIND("arbeid",Methode_Keuze)),"",IF(ISNUMBER(FIND("arbeid",Methode_Keuze)),"",IF(Tb_Activiteiten[[#This Row],[Arbeidskosten op basis van IKS]]=1,Tb_Activiteiten[[#Headers],[Arbeidskosten op basis van IKS]],"")))</f>
        <v/>
      </c>
      <c r="AS155" t="str">
        <f>IF(ISNUMBER(FIND("overige",Methode_Keuze)),"",IF(Tb_Activiteiten[[#This Row],[Kosten derden exclusief btw]]=1,Tb_Activiteiten[[#Headers],[Kosten derden exclusief btw]],""))</f>
        <v/>
      </c>
      <c r="AT155" t="str">
        <f>IF(ISNUMBER(FIND("overige",Methode_Keuze)),"",IF(Tb_Activiteiten[[#This Row],[Niet verrekenbare btw]]=1,Tb_Activiteiten[[#Headers],[Niet verrekenbare btw]],""))</f>
        <v/>
      </c>
      <c r="AU155" t="str">
        <f>IF(ISNUMBER(FIND("overige",Methode_Keuze)),"",IF(Tb_Activiteiten[[#This Row],[Grondkosten]]=1,Tb_Activiteiten[[#Headers],[Grondkosten]],""))</f>
        <v/>
      </c>
      <c r="AV155" t="str">
        <f>IF(ISNUMBER(FIND("overige",Methode_Keuze)),"",IF(Tb_Activiteiten[[#This Row],[Bijdrage in natura (overige)]]=1,Tb_Activiteiten[[#Headers],[Bijdrage in natura (overige)]],""))</f>
        <v/>
      </c>
      <c r="AW155" t="str">
        <f>IF(ISNUMBER(FIND("overige",Methode_Keuze)),"",IF(Tb_Activiteiten[[#This Row],[Bijdrage in natura (vrijwilligers)]]=1,Tb_Activiteiten[[#Headers],[Bijdrage in natura (vrijwilligers)]],""))</f>
        <v/>
      </c>
      <c r="AX155" t="str">
        <f>IF(ISNUMBER(FIND("overige",Methode_Keuze)),"",IF(Tb_Activiteiten[[#This Row],[Afschrijvingskosten]]=1,Tb_Activiteiten[[#Headers],[Afschrijvingskosten]],""))</f>
        <v/>
      </c>
      <c r="AY155" t="str">
        <f>IF(ISNUMBER(FIND("overige",Methode_Keuze)),"",IF(Tb_Activiteiten[[#This Row],[Vergoeding]]=1,Tb_Activiteiten[[#Headers],[Vergoeding]],""))</f>
        <v/>
      </c>
      <c r="AZ155" t="str">
        <f>IF(ISNUMBER(FIND("arbeid",Methode_Keuze)),"",IF(Tb_Activiteiten[[#This Row],[Arbeidskosten - vast tarief (excl eigen arbeid)]]=1,Tb_Activiteiten[[#Headers],[Arbeidskosten - vast tarief (excl eigen arbeid)]],""))</f>
        <v/>
      </c>
      <c r="BA155" t="str">
        <f>IF(ISNUMBER(FIND("overige",Methode_Keuze)),"",IF(Tb_Activiteiten[[#This Row],[Overige kosten]]=1,Tb_Activiteiten[[#Headers],[Overige kosten]],""))</f>
        <v/>
      </c>
    </row>
    <row r="156" spans="1:53" x14ac:dyDescent="0.25">
      <c r="A156" s="231"/>
      <c r="F156" s="64"/>
      <c r="G156" s="64"/>
      <c r="H156" s="275"/>
      <c r="I156" s="275"/>
      <c r="J156" s="275"/>
      <c r="K156" s="275"/>
      <c r="O156" s="56"/>
      <c r="Q156" t="str">
        <f>IFERROR(IF(VLOOKUP(Tb_Activiteiten[[#This Row],[Openstelling]],Tb_Openstelling[],2,0)=1,1,""),"")</f>
        <v/>
      </c>
      <c r="AK156" t="str">
        <f>IF(ISNUMBER(FIND("arbeid",Methode_Keuze)),"",IF(ISNUMBER(FIND("arbeid",Methode_Keuze)),"",IF(Tb_Activiteiten[[#This Row],[Loonkosten]]=1,Tb_Activiteiten[[#Headers],[Loonkosten]],"")))</f>
        <v/>
      </c>
      <c r="AL156" t="str">
        <f>IF(ISNUMBER(FIND("arbeid",Methode_Keuze)),"",IF(ISNUMBER(FIND("arbeid",Methode_Keuze)),"",IF(Tb_Activiteiten[[#This Row],[Eigen arbeid]]=1,Tb_Activiteiten[[#Headers],[Eigen arbeid]],"")))</f>
        <v/>
      </c>
      <c r="AM156" t="str">
        <f>IF(ISNUMBER(FIND("arbeid",Methode_Keuze)),"",IF(ISNUMBER(FIND("arbeid",Methode_Keuze)),"",IF(Tb_Activiteiten[[#This Row],[Projectmedewerker]]=1,Tb_Activiteiten[[#Headers],[Projectmedewerker]],"")))</f>
        <v/>
      </c>
      <c r="AN156" t="str">
        <f>IF(ISNUMBER(FIND("arbeid",Methode_Keuze)),"",IF(ISNUMBER(FIND("arbeid",Methode_Keuze)),"",IF(Tb_Activiteiten[[#This Row],[Landbouwer]]=1,Tb_Activiteiten[[#Headers],[Landbouwer]],"")))</f>
        <v/>
      </c>
      <c r="AO156" t="str">
        <f>IF(ISNUMBER(FIND("arbeid",Methode_Keuze)),"",IF(ISNUMBER(FIND("arbeid",Methode_Keuze)),"",IF(Tb_Activiteiten[[#This Row],[Adviseur]]=1,Tb_Activiteiten[[#Headers],[Adviseur]],"")))</f>
        <v/>
      </c>
      <c r="AP156" t="str">
        <f>IF(ISNUMBER(FIND("arbeid",Methode_Keuze)),"",IF(ISNUMBER(FIND("arbeid",Methode_Keuze)),"",IF(Tb_Activiteiten[[#This Row],[Projectleider/Expert]]=1,Tb_Activiteiten[[#Headers],[Projectleider/Expert]],"")))</f>
        <v/>
      </c>
      <c r="AQ156" t="str">
        <f>IF(ISNUMBER(FIND("arbeid",Methode_Keuze)),"",IF(ISNUMBER(FIND("arbeid",Methode_Keuze)),"",IF(Tb_Activiteiten[[#This Row],[Arbeidskosten]]=1,Tb_Activiteiten[[#Headers],[Arbeidskosten]],"")))</f>
        <v/>
      </c>
      <c r="AR156" t="str">
        <f>IF(ISNUMBER(FIND("arbeid",Methode_Keuze)),"",IF(ISNUMBER(FIND("arbeid",Methode_Keuze)),"",IF(Tb_Activiteiten[[#This Row],[Arbeidskosten op basis van IKS]]=1,Tb_Activiteiten[[#Headers],[Arbeidskosten op basis van IKS]],"")))</f>
        <v/>
      </c>
      <c r="AS156" t="str">
        <f>IF(ISNUMBER(FIND("overige",Methode_Keuze)),"",IF(Tb_Activiteiten[[#This Row],[Kosten derden exclusief btw]]=1,Tb_Activiteiten[[#Headers],[Kosten derden exclusief btw]],""))</f>
        <v/>
      </c>
      <c r="AT156" t="str">
        <f>IF(ISNUMBER(FIND("overige",Methode_Keuze)),"",IF(Tb_Activiteiten[[#This Row],[Niet verrekenbare btw]]=1,Tb_Activiteiten[[#Headers],[Niet verrekenbare btw]],""))</f>
        <v/>
      </c>
      <c r="AU156" t="str">
        <f>IF(ISNUMBER(FIND("overige",Methode_Keuze)),"",IF(Tb_Activiteiten[[#This Row],[Grondkosten]]=1,Tb_Activiteiten[[#Headers],[Grondkosten]],""))</f>
        <v/>
      </c>
      <c r="AV156" t="str">
        <f>IF(ISNUMBER(FIND("overige",Methode_Keuze)),"",IF(Tb_Activiteiten[[#This Row],[Bijdrage in natura (overige)]]=1,Tb_Activiteiten[[#Headers],[Bijdrage in natura (overige)]],""))</f>
        <v/>
      </c>
      <c r="AW156" t="str">
        <f>IF(ISNUMBER(FIND("overige",Methode_Keuze)),"",IF(Tb_Activiteiten[[#This Row],[Bijdrage in natura (vrijwilligers)]]=1,Tb_Activiteiten[[#Headers],[Bijdrage in natura (vrijwilligers)]],""))</f>
        <v/>
      </c>
      <c r="AX156" t="str">
        <f>IF(ISNUMBER(FIND("overige",Methode_Keuze)),"",IF(Tb_Activiteiten[[#This Row],[Afschrijvingskosten]]=1,Tb_Activiteiten[[#Headers],[Afschrijvingskosten]],""))</f>
        <v/>
      </c>
      <c r="AY156" t="str">
        <f>IF(ISNUMBER(FIND("overige",Methode_Keuze)),"",IF(Tb_Activiteiten[[#This Row],[Vergoeding]]=1,Tb_Activiteiten[[#Headers],[Vergoeding]],""))</f>
        <v/>
      </c>
      <c r="AZ156" t="str">
        <f>IF(ISNUMBER(FIND("arbeid",Methode_Keuze)),"",IF(Tb_Activiteiten[[#This Row],[Arbeidskosten - vast tarief (excl eigen arbeid)]]=1,Tb_Activiteiten[[#Headers],[Arbeidskosten - vast tarief (excl eigen arbeid)]],""))</f>
        <v/>
      </c>
      <c r="BA156" t="str">
        <f>IF(ISNUMBER(FIND("overige",Methode_Keuze)),"",IF(Tb_Activiteiten[[#This Row],[Overige kosten]]=1,Tb_Activiteiten[[#Headers],[Overige kosten]],""))</f>
        <v/>
      </c>
    </row>
    <row r="157" spans="1:53" x14ac:dyDescent="0.25">
      <c r="A157" s="231"/>
      <c r="F157" s="64"/>
      <c r="G157" s="64"/>
      <c r="H157" s="275"/>
      <c r="I157" s="275"/>
      <c r="J157" s="275"/>
      <c r="K157" s="275"/>
      <c r="O157" s="56"/>
      <c r="Q157" t="str">
        <f>IFERROR(IF(VLOOKUP(Tb_Activiteiten[[#This Row],[Openstelling]],Tb_Openstelling[],2,0)=1,1,""),"")</f>
        <v/>
      </c>
      <c r="AK157" t="str">
        <f>IF(ISNUMBER(FIND("arbeid",Methode_Keuze)),"",IF(ISNUMBER(FIND("arbeid",Methode_Keuze)),"",IF(Tb_Activiteiten[[#This Row],[Loonkosten]]=1,Tb_Activiteiten[[#Headers],[Loonkosten]],"")))</f>
        <v/>
      </c>
      <c r="AL157" t="str">
        <f>IF(ISNUMBER(FIND("arbeid",Methode_Keuze)),"",IF(ISNUMBER(FIND("arbeid",Methode_Keuze)),"",IF(Tb_Activiteiten[[#This Row],[Eigen arbeid]]=1,Tb_Activiteiten[[#Headers],[Eigen arbeid]],"")))</f>
        <v/>
      </c>
      <c r="AM157" t="str">
        <f>IF(ISNUMBER(FIND("arbeid",Methode_Keuze)),"",IF(ISNUMBER(FIND("arbeid",Methode_Keuze)),"",IF(Tb_Activiteiten[[#This Row],[Projectmedewerker]]=1,Tb_Activiteiten[[#Headers],[Projectmedewerker]],"")))</f>
        <v/>
      </c>
      <c r="AN157" t="str">
        <f>IF(ISNUMBER(FIND("arbeid",Methode_Keuze)),"",IF(ISNUMBER(FIND("arbeid",Methode_Keuze)),"",IF(Tb_Activiteiten[[#This Row],[Landbouwer]]=1,Tb_Activiteiten[[#Headers],[Landbouwer]],"")))</f>
        <v/>
      </c>
      <c r="AO157" t="str">
        <f>IF(ISNUMBER(FIND("arbeid",Methode_Keuze)),"",IF(ISNUMBER(FIND("arbeid",Methode_Keuze)),"",IF(Tb_Activiteiten[[#This Row],[Adviseur]]=1,Tb_Activiteiten[[#Headers],[Adviseur]],"")))</f>
        <v/>
      </c>
      <c r="AP157" t="str">
        <f>IF(ISNUMBER(FIND("arbeid",Methode_Keuze)),"",IF(ISNUMBER(FIND("arbeid",Methode_Keuze)),"",IF(Tb_Activiteiten[[#This Row],[Projectleider/Expert]]=1,Tb_Activiteiten[[#Headers],[Projectleider/Expert]],"")))</f>
        <v/>
      </c>
      <c r="AQ157" t="str">
        <f>IF(ISNUMBER(FIND("arbeid",Methode_Keuze)),"",IF(ISNUMBER(FIND("arbeid",Methode_Keuze)),"",IF(Tb_Activiteiten[[#This Row],[Arbeidskosten]]=1,Tb_Activiteiten[[#Headers],[Arbeidskosten]],"")))</f>
        <v/>
      </c>
      <c r="AR157" t="str">
        <f>IF(ISNUMBER(FIND("arbeid",Methode_Keuze)),"",IF(ISNUMBER(FIND("arbeid",Methode_Keuze)),"",IF(Tb_Activiteiten[[#This Row],[Arbeidskosten op basis van IKS]]=1,Tb_Activiteiten[[#Headers],[Arbeidskosten op basis van IKS]],"")))</f>
        <v/>
      </c>
      <c r="AS157" t="str">
        <f>IF(ISNUMBER(FIND("overige",Methode_Keuze)),"",IF(Tb_Activiteiten[[#This Row],[Kosten derden exclusief btw]]=1,Tb_Activiteiten[[#Headers],[Kosten derden exclusief btw]],""))</f>
        <v/>
      </c>
      <c r="AT157" t="str">
        <f>IF(ISNUMBER(FIND("overige",Methode_Keuze)),"",IF(Tb_Activiteiten[[#This Row],[Niet verrekenbare btw]]=1,Tb_Activiteiten[[#Headers],[Niet verrekenbare btw]],""))</f>
        <v/>
      </c>
      <c r="AU157" t="str">
        <f>IF(ISNUMBER(FIND("overige",Methode_Keuze)),"",IF(Tb_Activiteiten[[#This Row],[Grondkosten]]=1,Tb_Activiteiten[[#Headers],[Grondkosten]],""))</f>
        <v/>
      </c>
      <c r="AV157" t="str">
        <f>IF(ISNUMBER(FIND("overige",Methode_Keuze)),"",IF(Tb_Activiteiten[[#This Row],[Bijdrage in natura (overige)]]=1,Tb_Activiteiten[[#Headers],[Bijdrage in natura (overige)]],""))</f>
        <v/>
      </c>
      <c r="AW157" t="str">
        <f>IF(ISNUMBER(FIND("overige",Methode_Keuze)),"",IF(Tb_Activiteiten[[#This Row],[Bijdrage in natura (vrijwilligers)]]=1,Tb_Activiteiten[[#Headers],[Bijdrage in natura (vrijwilligers)]],""))</f>
        <v/>
      </c>
      <c r="AX157" t="str">
        <f>IF(ISNUMBER(FIND("overige",Methode_Keuze)),"",IF(Tb_Activiteiten[[#This Row],[Afschrijvingskosten]]=1,Tb_Activiteiten[[#Headers],[Afschrijvingskosten]],""))</f>
        <v/>
      </c>
      <c r="AY157" t="str">
        <f>IF(ISNUMBER(FIND("overige",Methode_Keuze)),"",IF(Tb_Activiteiten[[#This Row],[Vergoeding]]=1,Tb_Activiteiten[[#Headers],[Vergoeding]],""))</f>
        <v/>
      </c>
      <c r="AZ157" t="str">
        <f>IF(ISNUMBER(FIND("arbeid",Methode_Keuze)),"",IF(Tb_Activiteiten[[#This Row],[Arbeidskosten - vast tarief (excl eigen arbeid)]]=1,Tb_Activiteiten[[#Headers],[Arbeidskosten - vast tarief (excl eigen arbeid)]],""))</f>
        <v/>
      </c>
      <c r="BA157" t="str">
        <f>IF(ISNUMBER(FIND("overige",Methode_Keuze)),"",IF(Tb_Activiteiten[[#This Row],[Overige kosten]]=1,Tb_Activiteiten[[#Headers],[Overige kosten]],""))</f>
        <v/>
      </c>
    </row>
    <row r="158" spans="1:53" x14ac:dyDescent="0.25">
      <c r="A158" s="231"/>
      <c r="F158" s="64"/>
      <c r="G158" s="64"/>
      <c r="H158" s="275"/>
      <c r="I158" s="275"/>
      <c r="J158" s="275"/>
      <c r="K158" s="275"/>
      <c r="O158" s="56"/>
      <c r="Q158" t="str">
        <f>IFERROR(IF(VLOOKUP(Tb_Activiteiten[[#This Row],[Openstelling]],Tb_Openstelling[],2,0)=1,1,""),"")</f>
        <v/>
      </c>
      <c r="AK158" t="str">
        <f>IF(ISNUMBER(FIND("arbeid",Methode_Keuze)),"",IF(ISNUMBER(FIND("arbeid",Methode_Keuze)),"",IF(Tb_Activiteiten[[#This Row],[Loonkosten]]=1,Tb_Activiteiten[[#Headers],[Loonkosten]],"")))</f>
        <v/>
      </c>
      <c r="AL158" t="str">
        <f>IF(ISNUMBER(FIND("arbeid",Methode_Keuze)),"",IF(ISNUMBER(FIND("arbeid",Methode_Keuze)),"",IF(Tb_Activiteiten[[#This Row],[Eigen arbeid]]=1,Tb_Activiteiten[[#Headers],[Eigen arbeid]],"")))</f>
        <v/>
      </c>
      <c r="AM158" t="str">
        <f>IF(ISNUMBER(FIND("arbeid",Methode_Keuze)),"",IF(ISNUMBER(FIND("arbeid",Methode_Keuze)),"",IF(Tb_Activiteiten[[#This Row],[Projectmedewerker]]=1,Tb_Activiteiten[[#Headers],[Projectmedewerker]],"")))</f>
        <v/>
      </c>
      <c r="AN158" t="str">
        <f>IF(ISNUMBER(FIND("arbeid",Methode_Keuze)),"",IF(ISNUMBER(FIND("arbeid",Methode_Keuze)),"",IF(Tb_Activiteiten[[#This Row],[Landbouwer]]=1,Tb_Activiteiten[[#Headers],[Landbouwer]],"")))</f>
        <v/>
      </c>
      <c r="AO158" t="str">
        <f>IF(ISNUMBER(FIND("arbeid",Methode_Keuze)),"",IF(ISNUMBER(FIND("arbeid",Methode_Keuze)),"",IF(Tb_Activiteiten[[#This Row],[Adviseur]]=1,Tb_Activiteiten[[#Headers],[Adviseur]],"")))</f>
        <v/>
      </c>
      <c r="AP158" t="str">
        <f>IF(ISNUMBER(FIND("arbeid",Methode_Keuze)),"",IF(ISNUMBER(FIND("arbeid",Methode_Keuze)),"",IF(Tb_Activiteiten[[#This Row],[Projectleider/Expert]]=1,Tb_Activiteiten[[#Headers],[Projectleider/Expert]],"")))</f>
        <v/>
      </c>
      <c r="AQ158" t="str">
        <f>IF(ISNUMBER(FIND("arbeid",Methode_Keuze)),"",IF(ISNUMBER(FIND("arbeid",Methode_Keuze)),"",IF(Tb_Activiteiten[[#This Row],[Arbeidskosten]]=1,Tb_Activiteiten[[#Headers],[Arbeidskosten]],"")))</f>
        <v/>
      </c>
      <c r="AR158" t="str">
        <f>IF(ISNUMBER(FIND("arbeid",Methode_Keuze)),"",IF(ISNUMBER(FIND("arbeid",Methode_Keuze)),"",IF(Tb_Activiteiten[[#This Row],[Arbeidskosten op basis van IKS]]=1,Tb_Activiteiten[[#Headers],[Arbeidskosten op basis van IKS]],"")))</f>
        <v/>
      </c>
      <c r="AS158" t="str">
        <f>IF(ISNUMBER(FIND("overige",Methode_Keuze)),"",IF(Tb_Activiteiten[[#This Row],[Kosten derden exclusief btw]]=1,Tb_Activiteiten[[#Headers],[Kosten derden exclusief btw]],""))</f>
        <v/>
      </c>
      <c r="AT158" t="str">
        <f>IF(ISNUMBER(FIND("overige",Methode_Keuze)),"",IF(Tb_Activiteiten[[#This Row],[Niet verrekenbare btw]]=1,Tb_Activiteiten[[#Headers],[Niet verrekenbare btw]],""))</f>
        <v/>
      </c>
      <c r="AU158" t="str">
        <f>IF(ISNUMBER(FIND("overige",Methode_Keuze)),"",IF(Tb_Activiteiten[[#This Row],[Grondkosten]]=1,Tb_Activiteiten[[#Headers],[Grondkosten]],""))</f>
        <v/>
      </c>
      <c r="AV158" t="str">
        <f>IF(ISNUMBER(FIND("overige",Methode_Keuze)),"",IF(Tb_Activiteiten[[#This Row],[Bijdrage in natura (overige)]]=1,Tb_Activiteiten[[#Headers],[Bijdrage in natura (overige)]],""))</f>
        <v/>
      </c>
      <c r="AW158" t="str">
        <f>IF(ISNUMBER(FIND("overige",Methode_Keuze)),"",IF(Tb_Activiteiten[[#This Row],[Bijdrage in natura (vrijwilligers)]]=1,Tb_Activiteiten[[#Headers],[Bijdrage in natura (vrijwilligers)]],""))</f>
        <v/>
      </c>
      <c r="AX158" t="str">
        <f>IF(ISNUMBER(FIND("overige",Methode_Keuze)),"",IF(Tb_Activiteiten[[#This Row],[Afschrijvingskosten]]=1,Tb_Activiteiten[[#Headers],[Afschrijvingskosten]],""))</f>
        <v/>
      </c>
      <c r="AY158" t="str">
        <f>IF(ISNUMBER(FIND("overige",Methode_Keuze)),"",IF(Tb_Activiteiten[[#This Row],[Vergoeding]]=1,Tb_Activiteiten[[#Headers],[Vergoeding]],""))</f>
        <v/>
      </c>
      <c r="AZ158" t="str">
        <f>IF(ISNUMBER(FIND("arbeid",Methode_Keuze)),"",IF(Tb_Activiteiten[[#This Row],[Arbeidskosten - vast tarief (excl eigen arbeid)]]=1,Tb_Activiteiten[[#Headers],[Arbeidskosten - vast tarief (excl eigen arbeid)]],""))</f>
        <v/>
      </c>
      <c r="BA158" t="str">
        <f>IF(ISNUMBER(FIND("overige",Methode_Keuze)),"",IF(Tb_Activiteiten[[#This Row],[Overige kosten]]=1,Tb_Activiteiten[[#Headers],[Overige kosten]],""))</f>
        <v/>
      </c>
    </row>
    <row r="159" spans="1:53" x14ac:dyDescent="0.25">
      <c r="A159" s="231"/>
      <c r="F159" s="64"/>
      <c r="G159" s="64"/>
      <c r="H159" s="275"/>
      <c r="I159" s="275"/>
      <c r="J159" s="275"/>
      <c r="K159" s="275"/>
      <c r="O159" s="56"/>
      <c r="Q159" t="str">
        <f>IFERROR(IF(VLOOKUP(Tb_Activiteiten[[#This Row],[Openstelling]],Tb_Openstelling[],2,0)=1,1,""),"")</f>
        <v/>
      </c>
      <c r="AK159" t="str">
        <f>IF(ISNUMBER(FIND("arbeid",Methode_Keuze)),"",IF(ISNUMBER(FIND("arbeid",Methode_Keuze)),"",IF(Tb_Activiteiten[[#This Row],[Loonkosten]]=1,Tb_Activiteiten[[#Headers],[Loonkosten]],"")))</f>
        <v/>
      </c>
      <c r="AL159" t="str">
        <f>IF(ISNUMBER(FIND("arbeid",Methode_Keuze)),"",IF(ISNUMBER(FIND("arbeid",Methode_Keuze)),"",IF(Tb_Activiteiten[[#This Row],[Eigen arbeid]]=1,Tb_Activiteiten[[#Headers],[Eigen arbeid]],"")))</f>
        <v/>
      </c>
      <c r="AM159" t="str">
        <f>IF(ISNUMBER(FIND("arbeid",Methode_Keuze)),"",IF(ISNUMBER(FIND("arbeid",Methode_Keuze)),"",IF(Tb_Activiteiten[[#This Row],[Projectmedewerker]]=1,Tb_Activiteiten[[#Headers],[Projectmedewerker]],"")))</f>
        <v/>
      </c>
      <c r="AN159" t="str">
        <f>IF(ISNUMBER(FIND("arbeid",Methode_Keuze)),"",IF(ISNUMBER(FIND("arbeid",Methode_Keuze)),"",IF(Tb_Activiteiten[[#This Row],[Landbouwer]]=1,Tb_Activiteiten[[#Headers],[Landbouwer]],"")))</f>
        <v/>
      </c>
      <c r="AO159" t="str">
        <f>IF(ISNUMBER(FIND("arbeid",Methode_Keuze)),"",IF(ISNUMBER(FIND("arbeid",Methode_Keuze)),"",IF(Tb_Activiteiten[[#This Row],[Adviseur]]=1,Tb_Activiteiten[[#Headers],[Adviseur]],"")))</f>
        <v/>
      </c>
      <c r="AP159" t="str">
        <f>IF(ISNUMBER(FIND("arbeid",Methode_Keuze)),"",IF(ISNUMBER(FIND("arbeid",Methode_Keuze)),"",IF(Tb_Activiteiten[[#This Row],[Projectleider/Expert]]=1,Tb_Activiteiten[[#Headers],[Projectleider/Expert]],"")))</f>
        <v/>
      </c>
      <c r="AQ159" t="str">
        <f>IF(ISNUMBER(FIND("arbeid",Methode_Keuze)),"",IF(ISNUMBER(FIND("arbeid",Methode_Keuze)),"",IF(Tb_Activiteiten[[#This Row],[Arbeidskosten]]=1,Tb_Activiteiten[[#Headers],[Arbeidskosten]],"")))</f>
        <v/>
      </c>
      <c r="AR159" t="str">
        <f>IF(ISNUMBER(FIND("arbeid",Methode_Keuze)),"",IF(ISNUMBER(FIND("arbeid",Methode_Keuze)),"",IF(Tb_Activiteiten[[#This Row],[Arbeidskosten op basis van IKS]]=1,Tb_Activiteiten[[#Headers],[Arbeidskosten op basis van IKS]],"")))</f>
        <v/>
      </c>
      <c r="AS159" t="str">
        <f>IF(ISNUMBER(FIND("overige",Methode_Keuze)),"",IF(Tb_Activiteiten[[#This Row],[Kosten derden exclusief btw]]=1,Tb_Activiteiten[[#Headers],[Kosten derden exclusief btw]],""))</f>
        <v/>
      </c>
      <c r="AT159" t="str">
        <f>IF(ISNUMBER(FIND("overige",Methode_Keuze)),"",IF(Tb_Activiteiten[[#This Row],[Niet verrekenbare btw]]=1,Tb_Activiteiten[[#Headers],[Niet verrekenbare btw]],""))</f>
        <v/>
      </c>
      <c r="AU159" t="str">
        <f>IF(ISNUMBER(FIND("overige",Methode_Keuze)),"",IF(Tb_Activiteiten[[#This Row],[Grondkosten]]=1,Tb_Activiteiten[[#Headers],[Grondkosten]],""))</f>
        <v/>
      </c>
      <c r="AV159" t="str">
        <f>IF(ISNUMBER(FIND("overige",Methode_Keuze)),"",IF(Tb_Activiteiten[[#This Row],[Bijdrage in natura (overige)]]=1,Tb_Activiteiten[[#Headers],[Bijdrage in natura (overige)]],""))</f>
        <v/>
      </c>
      <c r="AW159" t="str">
        <f>IF(ISNUMBER(FIND("overige",Methode_Keuze)),"",IF(Tb_Activiteiten[[#This Row],[Bijdrage in natura (vrijwilligers)]]=1,Tb_Activiteiten[[#Headers],[Bijdrage in natura (vrijwilligers)]],""))</f>
        <v/>
      </c>
      <c r="AX159" t="str">
        <f>IF(ISNUMBER(FIND("overige",Methode_Keuze)),"",IF(Tb_Activiteiten[[#This Row],[Afschrijvingskosten]]=1,Tb_Activiteiten[[#Headers],[Afschrijvingskosten]],""))</f>
        <v/>
      </c>
      <c r="AY159" t="str">
        <f>IF(ISNUMBER(FIND("overige",Methode_Keuze)),"",IF(Tb_Activiteiten[[#This Row],[Vergoeding]]=1,Tb_Activiteiten[[#Headers],[Vergoeding]],""))</f>
        <v/>
      </c>
      <c r="AZ159" t="str">
        <f>IF(ISNUMBER(FIND("arbeid",Methode_Keuze)),"",IF(Tb_Activiteiten[[#This Row],[Arbeidskosten - vast tarief (excl eigen arbeid)]]=1,Tb_Activiteiten[[#Headers],[Arbeidskosten - vast tarief (excl eigen arbeid)]],""))</f>
        <v/>
      </c>
      <c r="BA159" t="str">
        <f>IF(ISNUMBER(FIND("overige",Methode_Keuze)),"",IF(Tb_Activiteiten[[#This Row],[Overige kosten]]=1,Tb_Activiteiten[[#Headers],[Overige kosten]],""))</f>
        <v/>
      </c>
    </row>
    <row r="160" spans="1:53" x14ac:dyDescent="0.25">
      <c r="A160" s="231"/>
      <c r="F160" s="64"/>
      <c r="G160" s="64"/>
      <c r="H160" s="275"/>
      <c r="I160" s="275"/>
      <c r="J160" s="275"/>
      <c r="K160" s="275"/>
      <c r="O160" s="56"/>
      <c r="Q160" t="str">
        <f>IFERROR(IF(VLOOKUP(Tb_Activiteiten[[#This Row],[Openstelling]],Tb_Openstelling[],2,0)=1,1,""),"")</f>
        <v/>
      </c>
      <c r="AK160" t="str">
        <f>IF(ISNUMBER(FIND("arbeid",Methode_Keuze)),"",IF(ISNUMBER(FIND("arbeid",Methode_Keuze)),"",IF(Tb_Activiteiten[[#This Row],[Loonkosten]]=1,Tb_Activiteiten[[#Headers],[Loonkosten]],"")))</f>
        <v/>
      </c>
      <c r="AL160" t="str">
        <f>IF(ISNUMBER(FIND("arbeid",Methode_Keuze)),"",IF(ISNUMBER(FIND("arbeid",Methode_Keuze)),"",IF(Tb_Activiteiten[[#This Row],[Eigen arbeid]]=1,Tb_Activiteiten[[#Headers],[Eigen arbeid]],"")))</f>
        <v/>
      </c>
      <c r="AM160" t="str">
        <f>IF(ISNUMBER(FIND("arbeid",Methode_Keuze)),"",IF(ISNUMBER(FIND("arbeid",Methode_Keuze)),"",IF(Tb_Activiteiten[[#This Row],[Projectmedewerker]]=1,Tb_Activiteiten[[#Headers],[Projectmedewerker]],"")))</f>
        <v/>
      </c>
      <c r="AN160" t="str">
        <f>IF(ISNUMBER(FIND("arbeid",Methode_Keuze)),"",IF(ISNUMBER(FIND("arbeid",Methode_Keuze)),"",IF(Tb_Activiteiten[[#This Row],[Landbouwer]]=1,Tb_Activiteiten[[#Headers],[Landbouwer]],"")))</f>
        <v/>
      </c>
      <c r="AO160" t="str">
        <f>IF(ISNUMBER(FIND("arbeid",Methode_Keuze)),"",IF(ISNUMBER(FIND("arbeid",Methode_Keuze)),"",IF(Tb_Activiteiten[[#This Row],[Adviseur]]=1,Tb_Activiteiten[[#Headers],[Adviseur]],"")))</f>
        <v/>
      </c>
      <c r="AP160" t="str">
        <f>IF(ISNUMBER(FIND("arbeid",Methode_Keuze)),"",IF(ISNUMBER(FIND("arbeid",Methode_Keuze)),"",IF(Tb_Activiteiten[[#This Row],[Projectleider/Expert]]=1,Tb_Activiteiten[[#Headers],[Projectleider/Expert]],"")))</f>
        <v/>
      </c>
      <c r="AQ160" t="str">
        <f>IF(ISNUMBER(FIND("arbeid",Methode_Keuze)),"",IF(ISNUMBER(FIND("arbeid",Methode_Keuze)),"",IF(Tb_Activiteiten[[#This Row],[Arbeidskosten]]=1,Tb_Activiteiten[[#Headers],[Arbeidskosten]],"")))</f>
        <v/>
      </c>
      <c r="AR160" t="str">
        <f>IF(ISNUMBER(FIND("arbeid",Methode_Keuze)),"",IF(ISNUMBER(FIND("arbeid",Methode_Keuze)),"",IF(Tb_Activiteiten[[#This Row],[Arbeidskosten op basis van IKS]]=1,Tb_Activiteiten[[#Headers],[Arbeidskosten op basis van IKS]],"")))</f>
        <v/>
      </c>
      <c r="AS160" t="str">
        <f>IF(ISNUMBER(FIND("overige",Methode_Keuze)),"",IF(Tb_Activiteiten[[#This Row],[Kosten derden exclusief btw]]=1,Tb_Activiteiten[[#Headers],[Kosten derden exclusief btw]],""))</f>
        <v/>
      </c>
      <c r="AT160" t="str">
        <f>IF(ISNUMBER(FIND("overige",Methode_Keuze)),"",IF(Tb_Activiteiten[[#This Row],[Niet verrekenbare btw]]=1,Tb_Activiteiten[[#Headers],[Niet verrekenbare btw]],""))</f>
        <v/>
      </c>
      <c r="AU160" t="str">
        <f>IF(ISNUMBER(FIND("overige",Methode_Keuze)),"",IF(Tb_Activiteiten[[#This Row],[Grondkosten]]=1,Tb_Activiteiten[[#Headers],[Grondkosten]],""))</f>
        <v/>
      </c>
      <c r="AV160" t="str">
        <f>IF(ISNUMBER(FIND("overige",Methode_Keuze)),"",IF(Tb_Activiteiten[[#This Row],[Bijdrage in natura (overige)]]=1,Tb_Activiteiten[[#Headers],[Bijdrage in natura (overige)]],""))</f>
        <v/>
      </c>
      <c r="AW160" t="str">
        <f>IF(ISNUMBER(FIND("overige",Methode_Keuze)),"",IF(Tb_Activiteiten[[#This Row],[Bijdrage in natura (vrijwilligers)]]=1,Tb_Activiteiten[[#Headers],[Bijdrage in natura (vrijwilligers)]],""))</f>
        <v/>
      </c>
      <c r="AX160" t="str">
        <f>IF(ISNUMBER(FIND("overige",Methode_Keuze)),"",IF(Tb_Activiteiten[[#This Row],[Afschrijvingskosten]]=1,Tb_Activiteiten[[#Headers],[Afschrijvingskosten]],""))</f>
        <v/>
      </c>
      <c r="AY160" t="str">
        <f>IF(ISNUMBER(FIND("overige",Methode_Keuze)),"",IF(Tb_Activiteiten[[#This Row],[Vergoeding]]=1,Tb_Activiteiten[[#Headers],[Vergoeding]],""))</f>
        <v/>
      </c>
      <c r="AZ160" t="str">
        <f>IF(ISNUMBER(FIND("arbeid",Methode_Keuze)),"",IF(Tb_Activiteiten[[#This Row],[Arbeidskosten - vast tarief (excl eigen arbeid)]]=1,Tb_Activiteiten[[#Headers],[Arbeidskosten - vast tarief (excl eigen arbeid)]],""))</f>
        <v/>
      </c>
      <c r="BA160" t="str">
        <f>IF(ISNUMBER(FIND("overige",Methode_Keuze)),"",IF(Tb_Activiteiten[[#This Row],[Overige kosten]]=1,Tb_Activiteiten[[#Headers],[Overige kosten]],""))</f>
        <v/>
      </c>
    </row>
    <row r="161" spans="1:53" x14ac:dyDescent="0.25">
      <c r="A161" s="231"/>
      <c r="F161" s="64"/>
      <c r="G161" s="64"/>
      <c r="H161" s="275"/>
      <c r="I161" s="275"/>
      <c r="J161" s="275"/>
      <c r="K161" s="275"/>
      <c r="O161" s="56"/>
      <c r="Q161" t="str">
        <f>IFERROR(IF(VLOOKUP(Tb_Activiteiten[[#This Row],[Openstelling]],Tb_Openstelling[],2,0)=1,1,""),"")</f>
        <v/>
      </c>
      <c r="AK161" t="str">
        <f>IF(ISNUMBER(FIND("arbeid",Methode_Keuze)),"",IF(ISNUMBER(FIND("arbeid",Methode_Keuze)),"",IF(Tb_Activiteiten[[#This Row],[Loonkosten]]=1,Tb_Activiteiten[[#Headers],[Loonkosten]],"")))</f>
        <v/>
      </c>
      <c r="AL161" t="str">
        <f>IF(ISNUMBER(FIND("arbeid",Methode_Keuze)),"",IF(ISNUMBER(FIND("arbeid",Methode_Keuze)),"",IF(Tb_Activiteiten[[#This Row],[Eigen arbeid]]=1,Tb_Activiteiten[[#Headers],[Eigen arbeid]],"")))</f>
        <v/>
      </c>
      <c r="AM161" t="str">
        <f>IF(ISNUMBER(FIND("arbeid",Methode_Keuze)),"",IF(ISNUMBER(FIND("arbeid",Methode_Keuze)),"",IF(Tb_Activiteiten[[#This Row],[Projectmedewerker]]=1,Tb_Activiteiten[[#Headers],[Projectmedewerker]],"")))</f>
        <v/>
      </c>
      <c r="AN161" t="str">
        <f>IF(ISNUMBER(FIND("arbeid",Methode_Keuze)),"",IF(ISNUMBER(FIND("arbeid",Methode_Keuze)),"",IF(Tb_Activiteiten[[#This Row],[Landbouwer]]=1,Tb_Activiteiten[[#Headers],[Landbouwer]],"")))</f>
        <v/>
      </c>
      <c r="AO161" t="str">
        <f>IF(ISNUMBER(FIND("arbeid",Methode_Keuze)),"",IF(ISNUMBER(FIND("arbeid",Methode_Keuze)),"",IF(Tb_Activiteiten[[#This Row],[Adviseur]]=1,Tb_Activiteiten[[#Headers],[Adviseur]],"")))</f>
        <v/>
      </c>
      <c r="AP161" t="str">
        <f>IF(ISNUMBER(FIND("arbeid",Methode_Keuze)),"",IF(ISNUMBER(FIND("arbeid",Methode_Keuze)),"",IF(Tb_Activiteiten[[#This Row],[Projectleider/Expert]]=1,Tb_Activiteiten[[#Headers],[Projectleider/Expert]],"")))</f>
        <v/>
      </c>
      <c r="AQ161" t="str">
        <f>IF(ISNUMBER(FIND("arbeid",Methode_Keuze)),"",IF(ISNUMBER(FIND("arbeid",Methode_Keuze)),"",IF(Tb_Activiteiten[[#This Row],[Arbeidskosten]]=1,Tb_Activiteiten[[#Headers],[Arbeidskosten]],"")))</f>
        <v/>
      </c>
      <c r="AR161" t="str">
        <f>IF(ISNUMBER(FIND("arbeid",Methode_Keuze)),"",IF(ISNUMBER(FIND("arbeid",Methode_Keuze)),"",IF(Tb_Activiteiten[[#This Row],[Arbeidskosten op basis van IKS]]=1,Tb_Activiteiten[[#Headers],[Arbeidskosten op basis van IKS]],"")))</f>
        <v/>
      </c>
      <c r="AS161" t="str">
        <f>IF(ISNUMBER(FIND("overige",Methode_Keuze)),"",IF(Tb_Activiteiten[[#This Row],[Kosten derden exclusief btw]]=1,Tb_Activiteiten[[#Headers],[Kosten derden exclusief btw]],""))</f>
        <v/>
      </c>
      <c r="AT161" t="str">
        <f>IF(ISNUMBER(FIND("overige",Methode_Keuze)),"",IF(Tb_Activiteiten[[#This Row],[Niet verrekenbare btw]]=1,Tb_Activiteiten[[#Headers],[Niet verrekenbare btw]],""))</f>
        <v/>
      </c>
      <c r="AU161" t="str">
        <f>IF(ISNUMBER(FIND("overige",Methode_Keuze)),"",IF(Tb_Activiteiten[[#This Row],[Grondkosten]]=1,Tb_Activiteiten[[#Headers],[Grondkosten]],""))</f>
        <v/>
      </c>
      <c r="AV161" t="str">
        <f>IF(ISNUMBER(FIND("overige",Methode_Keuze)),"",IF(Tb_Activiteiten[[#This Row],[Bijdrage in natura (overige)]]=1,Tb_Activiteiten[[#Headers],[Bijdrage in natura (overige)]],""))</f>
        <v/>
      </c>
      <c r="AW161" t="str">
        <f>IF(ISNUMBER(FIND("overige",Methode_Keuze)),"",IF(Tb_Activiteiten[[#This Row],[Bijdrage in natura (vrijwilligers)]]=1,Tb_Activiteiten[[#Headers],[Bijdrage in natura (vrijwilligers)]],""))</f>
        <v/>
      </c>
      <c r="AX161" t="str">
        <f>IF(ISNUMBER(FIND("overige",Methode_Keuze)),"",IF(Tb_Activiteiten[[#This Row],[Afschrijvingskosten]]=1,Tb_Activiteiten[[#Headers],[Afschrijvingskosten]],""))</f>
        <v/>
      </c>
      <c r="AY161" t="str">
        <f>IF(ISNUMBER(FIND("overige",Methode_Keuze)),"",IF(Tb_Activiteiten[[#This Row],[Vergoeding]]=1,Tb_Activiteiten[[#Headers],[Vergoeding]],""))</f>
        <v/>
      </c>
      <c r="AZ161" t="str">
        <f>IF(ISNUMBER(FIND("arbeid",Methode_Keuze)),"",IF(Tb_Activiteiten[[#This Row],[Arbeidskosten - vast tarief (excl eigen arbeid)]]=1,Tb_Activiteiten[[#Headers],[Arbeidskosten - vast tarief (excl eigen arbeid)]],""))</f>
        <v/>
      </c>
      <c r="BA161" t="str">
        <f>IF(ISNUMBER(FIND("overige",Methode_Keuze)),"",IF(Tb_Activiteiten[[#This Row],[Overige kosten]]=1,Tb_Activiteiten[[#Headers],[Overige kosten]],""))</f>
        <v/>
      </c>
    </row>
    <row r="162" spans="1:53" x14ac:dyDescent="0.25">
      <c r="A162" s="231"/>
      <c r="F162" s="64"/>
      <c r="G162" s="64"/>
      <c r="H162" s="275"/>
      <c r="I162" s="275"/>
      <c r="J162" s="275"/>
      <c r="K162" s="275"/>
      <c r="O162" s="56"/>
      <c r="Q162" t="str">
        <f>IFERROR(IF(VLOOKUP(Tb_Activiteiten[[#This Row],[Openstelling]],Tb_Openstelling[],2,0)=1,1,""),"")</f>
        <v/>
      </c>
      <c r="AK162" t="str">
        <f>IF(ISNUMBER(FIND("arbeid",Methode_Keuze)),"",IF(ISNUMBER(FIND("arbeid",Methode_Keuze)),"",IF(Tb_Activiteiten[[#This Row],[Loonkosten]]=1,Tb_Activiteiten[[#Headers],[Loonkosten]],"")))</f>
        <v/>
      </c>
      <c r="AL162" t="str">
        <f>IF(ISNUMBER(FIND("arbeid",Methode_Keuze)),"",IF(ISNUMBER(FIND("arbeid",Methode_Keuze)),"",IF(Tb_Activiteiten[[#This Row],[Eigen arbeid]]=1,Tb_Activiteiten[[#Headers],[Eigen arbeid]],"")))</f>
        <v/>
      </c>
      <c r="AM162" t="str">
        <f>IF(ISNUMBER(FIND("arbeid",Methode_Keuze)),"",IF(ISNUMBER(FIND("arbeid",Methode_Keuze)),"",IF(Tb_Activiteiten[[#This Row],[Projectmedewerker]]=1,Tb_Activiteiten[[#Headers],[Projectmedewerker]],"")))</f>
        <v/>
      </c>
      <c r="AN162" t="str">
        <f>IF(ISNUMBER(FIND("arbeid",Methode_Keuze)),"",IF(ISNUMBER(FIND("arbeid",Methode_Keuze)),"",IF(Tb_Activiteiten[[#This Row],[Landbouwer]]=1,Tb_Activiteiten[[#Headers],[Landbouwer]],"")))</f>
        <v/>
      </c>
      <c r="AO162" t="str">
        <f>IF(ISNUMBER(FIND("arbeid",Methode_Keuze)),"",IF(ISNUMBER(FIND("arbeid",Methode_Keuze)),"",IF(Tb_Activiteiten[[#This Row],[Adviseur]]=1,Tb_Activiteiten[[#Headers],[Adviseur]],"")))</f>
        <v/>
      </c>
      <c r="AP162" t="str">
        <f>IF(ISNUMBER(FIND("arbeid",Methode_Keuze)),"",IF(ISNUMBER(FIND("arbeid",Methode_Keuze)),"",IF(Tb_Activiteiten[[#This Row],[Projectleider/Expert]]=1,Tb_Activiteiten[[#Headers],[Projectleider/Expert]],"")))</f>
        <v/>
      </c>
      <c r="AQ162" t="str">
        <f>IF(ISNUMBER(FIND("arbeid",Methode_Keuze)),"",IF(ISNUMBER(FIND("arbeid",Methode_Keuze)),"",IF(Tb_Activiteiten[[#This Row],[Arbeidskosten]]=1,Tb_Activiteiten[[#Headers],[Arbeidskosten]],"")))</f>
        <v/>
      </c>
      <c r="AR162" t="str">
        <f>IF(ISNUMBER(FIND("arbeid",Methode_Keuze)),"",IF(ISNUMBER(FIND("arbeid",Methode_Keuze)),"",IF(Tb_Activiteiten[[#This Row],[Arbeidskosten op basis van IKS]]=1,Tb_Activiteiten[[#Headers],[Arbeidskosten op basis van IKS]],"")))</f>
        <v/>
      </c>
      <c r="AS162" t="str">
        <f>IF(ISNUMBER(FIND("overige",Methode_Keuze)),"",IF(Tb_Activiteiten[[#This Row],[Kosten derden exclusief btw]]=1,Tb_Activiteiten[[#Headers],[Kosten derden exclusief btw]],""))</f>
        <v/>
      </c>
      <c r="AT162" t="str">
        <f>IF(ISNUMBER(FIND("overige",Methode_Keuze)),"",IF(Tb_Activiteiten[[#This Row],[Niet verrekenbare btw]]=1,Tb_Activiteiten[[#Headers],[Niet verrekenbare btw]],""))</f>
        <v/>
      </c>
      <c r="AU162" t="str">
        <f>IF(ISNUMBER(FIND("overige",Methode_Keuze)),"",IF(Tb_Activiteiten[[#This Row],[Grondkosten]]=1,Tb_Activiteiten[[#Headers],[Grondkosten]],""))</f>
        <v/>
      </c>
      <c r="AV162" t="str">
        <f>IF(ISNUMBER(FIND("overige",Methode_Keuze)),"",IF(Tb_Activiteiten[[#This Row],[Bijdrage in natura (overige)]]=1,Tb_Activiteiten[[#Headers],[Bijdrage in natura (overige)]],""))</f>
        <v/>
      </c>
      <c r="AW162" t="str">
        <f>IF(ISNUMBER(FIND("overige",Methode_Keuze)),"",IF(Tb_Activiteiten[[#This Row],[Bijdrage in natura (vrijwilligers)]]=1,Tb_Activiteiten[[#Headers],[Bijdrage in natura (vrijwilligers)]],""))</f>
        <v/>
      </c>
      <c r="AX162" t="str">
        <f>IF(ISNUMBER(FIND("overige",Methode_Keuze)),"",IF(Tb_Activiteiten[[#This Row],[Afschrijvingskosten]]=1,Tb_Activiteiten[[#Headers],[Afschrijvingskosten]],""))</f>
        <v/>
      </c>
      <c r="AY162" t="str">
        <f>IF(ISNUMBER(FIND("overige",Methode_Keuze)),"",IF(Tb_Activiteiten[[#This Row],[Vergoeding]]=1,Tb_Activiteiten[[#Headers],[Vergoeding]],""))</f>
        <v/>
      </c>
      <c r="AZ162" t="str">
        <f>IF(ISNUMBER(FIND("arbeid",Methode_Keuze)),"",IF(Tb_Activiteiten[[#This Row],[Arbeidskosten - vast tarief (excl eigen arbeid)]]=1,Tb_Activiteiten[[#Headers],[Arbeidskosten - vast tarief (excl eigen arbeid)]],""))</f>
        <v/>
      </c>
      <c r="BA162" t="str">
        <f>IF(ISNUMBER(FIND("overige",Methode_Keuze)),"",IF(Tb_Activiteiten[[#This Row],[Overige kosten]]=1,Tb_Activiteiten[[#Headers],[Overige kosten]],""))</f>
        <v/>
      </c>
    </row>
    <row r="163" spans="1:53" x14ac:dyDescent="0.25">
      <c r="A163" s="231"/>
      <c r="F163" s="64"/>
      <c r="G163" s="64"/>
      <c r="H163" s="275"/>
      <c r="I163" s="275"/>
      <c r="J163" s="275"/>
      <c r="K163" s="275"/>
      <c r="O163" s="56"/>
      <c r="Q163" t="str">
        <f>IFERROR(IF(VLOOKUP(Tb_Activiteiten[[#This Row],[Openstelling]],Tb_Openstelling[],2,0)=1,1,""),"")</f>
        <v/>
      </c>
      <c r="AK163" t="str">
        <f>IF(ISNUMBER(FIND("arbeid",Methode_Keuze)),"",IF(ISNUMBER(FIND("arbeid",Methode_Keuze)),"",IF(Tb_Activiteiten[[#This Row],[Loonkosten]]=1,Tb_Activiteiten[[#Headers],[Loonkosten]],"")))</f>
        <v/>
      </c>
      <c r="AL163" t="str">
        <f>IF(ISNUMBER(FIND("arbeid",Methode_Keuze)),"",IF(ISNUMBER(FIND("arbeid",Methode_Keuze)),"",IF(Tb_Activiteiten[[#This Row],[Eigen arbeid]]=1,Tb_Activiteiten[[#Headers],[Eigen arbeid]],"")))</f>
        <v/>
      </c>
      <c r="AM163" t="str">
        <f>IF(ISNUMBER(FIND("arbeid",Methode_Keuze)),"",IF(ISNUMBER(FIND("arbeid",Methode_Keuze)),"",IF(Tb_Activiteiten[[#This Row],[Projectmedewerker]]=1,Tb_Activiteiten[[#Headers],[Projectmedewerker]],"")))</f>
        <v/>
      </c>
      <c r="AN163" t="str">
        <f>IF(ISNUMBER(FIND("arbeid",Methode_Keuze)),"",IF(ISNUMBER(FIND("arbeid",Methode_Keuze)),"",IF(Tb_Activiteiten[[#This Row],[Landbouwer]]=1,Tb_Activiteiten[[#Headers],[Landbouwer]],"")))</f>
        <v/>
      </c>
      <c r="AO163" t="str">
        <f>IF(ISNUMBER(FIND("arbeid",Methode_Keuze)),"",IF(ISNUMBER(FIND("arbeid",Methode_Keuze)),"",IF(Tb_Activiteiten[[#This Row],[Adviseur]]=1,Tb_Activiteiten[[#Headers],[Adviseur]],"")))</f>
        <v/>
      </c>
      <c r="AP163" t="str">
        <f>IF(ISNUMBER(FIND("arbeid",Methode_Keuze)),"",IF(ISNUMBER(FIND("arbeid",Methode_Keuze)),"",IF(Tb_Activiteiten[[#This Row],[Projectleider/Expert]]=1,Tb_Activiteiten[[#Headers],[Projectleider/Expert]],"")))</f>
        <v/>
      </c>
      <c r="AQ163" t="str">
        <f>IF(ISNUMBER(FIND("arbeid",Methode_Keuze)),"",IF(ISNUMBER(FIND("arbeid",Methode_Keuze)),"",IF(Tb_Activiteiten[[#This Row],[Arbeidskosten]]=1,Tb_Activiteiten[[#Headers],[Arbeidskosten]],"")))</f>
        <v/>
      </c>
      <c r="AR163" t="str">
        <f>IF(ISNUMBER(FIND("arbeid",Methode_Keuze)),"",IF(ISNUMBER(FIND("arbeid",Methode_Keuze)),"",IF(Tb_Activiteiten[[#This Row],[Arbeidskosten op basis van IKS]]=1,Tb_Activiteiten[[#Headers],[Arbeidskosten op basis van IKS]],"")))</f>
        <v/>
      </c>
      <c r="AS163" t="str">
        <f>IF(ISNUMBER(FIND("overige",Methode_Keuze)),"",IF(Tb_Activiteiten[[#This Row],[Kosten derden exclusief btw]]=1,Tb_Activiteiten[[#Headers],[Kosten derden exclusief btw]],""))</f>
        <v/>
      </c>
      <c r="AT163" t="str">
        <f>IF(ISNUMBER(FIND("overige",Methode_Keuze)),"",IF(Tb_Activiteiten[[#This Row],[Niet verrekenbare btw]]=1,Tb_Activiteiten[[#Headers],[Niet verrekenbare btw]],""))</f>
        <v/>
      </c>
      <c r="AU163" t="str">
        <f>IF(ISNUMBER(FIND("overige",Methode_Keuze)),"",IF(Tb_Activiteiten[[#This Row],[Grondkosten]]=1,Tb_Activiteiten[[#Headers],[Grondkosten]],""))</f>
        <v/>
      </c>
      <c r="AV163" t="str">
        <f>IF(ISNUMBER(FIND("overige",Methode_Keuze)),"",IF(Tb_Activiteiten[[#This Row],[Bijdrage in natura (overige)]]=1,Tb_Activiteiten[[#Headers],[Bijdrage in natura (overige)]],""))</f>
        <v/>
      </c>
      <c r="AW163" t="str">
        <f>IF(ISNUMBER(FIND("overige",Methode_Keuze)),"",IF(Tb_Activiteiten[[#This Row],[Bijdrage in natura (vrijwilligers)]]=1,Tb_Activiteiten[[#Headers],[Bijdrage in natura (vrijwilligers)]],""))</f>
        <v/>
      </c>
      <c r="AX163" t="str">
        <f>IF(ISNUMBER(FIND("overige",Methode_Keuze)),"",IF(Tb_Activiteiten[[#This Row],[Afschrijvingskosten]]=1,Tb_Activiteiten[[#Headers],[Afschrijvingskosten]],""))</f>
        <v/>
      </c>
      <c r="AY163" t="str">
        <f>IF(ISNUMBER(FIND("overige",Methode_Keuze)),"",IF(Tb_Activiteiten[[#This Row],[Vergoeding]]=1,Tb_Activiteiten[[#Headers],[Vergoeding]],""))</f>
        <v/>
      </c>
      <c r="AZ163" t="str">
        <f>IF(ISNUMBER(FIND("arbeid",Methode_Keuze)),"",IF(Tb_Activiteiten[[#This Row],[Arbeidskosten - vast tarief (excl eigen arbeid)]]=1,Tb_Activiteiten[[#Headers],[Arbeidskosten - vast tarief (excl eigen arbeid)]],""))</f>
        <v/>
      </c>
      <c r="BA163" t="str">
        <f>IF(ISNUMBER(FIND("overige",Methode_Keuze)),"",IF(Tb_Activiteiten[[#This Row],[Overige kosten]]=1,Tb_Activiteiten[[#Headers],[Overige kosten]],""))</f>
        <v/>
      </c>
    </row>
    <row r="164" spans="1:53" x14ac:dyDescent="0.25">
      <c r="A164" s="231"/>
      <c r="F164" s="64"/>
      <c r="G164" s="64"/>
      <c r="H164" s="275"/>
      <c r="I164" s="275"/>
      <c r="J164" s="275"/>
      <c r="K164" s="275"/>
      <c r="O164" s="56"/>
      <c r="Q164" t="str">
        <f>IFERROR(IF(VLOOKUP(Tb_Activiteiten[[#This Row],[Openstelling]],Tb_Openstelling[],2,0)=1,1,""),"")</f>
        <v/>
      </c>
      <c r="AK164" t="str">
        <f>IF(ISNUMBER(FIND("arbeid",Methode_Keuze)),"",IF(ISNUMBER(FIND("arbeid",Methode_Keuze)),"",IF(Tb_Activiteiten[[#This Row],[Loonkosten]]=1,Tb_Activiteiten[[#Headers],[Loonkosten]],"")))</f>
        <v/>
      </c>
      <c r="AL164" t="str">
        <f>IF(ISNUMBER(FIND("arbeid",Methode_Keuze)),"",IF(ISNUMBER(FIND("arbeid",Methode_Keuze)),"",IF(Tb_Activiteiten[[#This Row],[Eigen arbeid]]=1,Tb_Activiteiten[[#Headers],[Eigen arbeid]],"")))</f>
        <v/>
      </c>
      <c r="AM164" t="str">
        <f>IF(ISNUMBER(FIND("arbeid",Methode_Keuze)),"",IF(ISNUMBER(FIND("arbeid",Methode_Keuze)),"",IF(Tb_Activiteiten[[#This Row],[Projectmedewerker]]=1,Tb_Activiteiten[[#Headers],[Projectmedewerker]],"")))</f>
        <v/>
      </c>
      <c r="AN164" t="str">
        <f>IF(ISNUMBER(FIND("arbeid",Methode_Keuze)),"",IF(ISNUMBER(FIND("arbeid",Methode_Keuze)),"",IF(Tb_Activiteiten[[#This Row],[Landbouwer]]=1,Tb_Activiteiten[[#Headers],[Landbouwer]],"")))</f>
        <v/>
      </c>
      <c r="AO164" t="str">
        <f>IF(ISNUMBER(FIND("arbeid",Methode_Keuze)),"",IF(ISNUMBER(FIND("arbeid",Methode_Keuze)),"",IF(Tb_Activiteiten[[#This Row],[Adviseur]]=1,Tb_Activiteiten[[#Headers],[Adviseur]],"")))</f>
        <v/>
      </c>
      <c r="AP164" t="str">
        <f>IF(ISNUMBER(FIND("arbeid",Methode_Keuze)),"",IF(ISNUMBER(FIND("arbeid",Methode_Keuze)),"",IF(Tb_Activiteiten[[#This Row],[Projectleider/Expert]]=1,Tb_Activiteiten[[#Headers],[Projectleider/Expert]],"")))</f>
        <v/>
      </c>
      <c r="AQ164" t="str">
        <f>IF(ISNUMBER(FIND("arbeid",Methode_Keuze)),"",IF(ISNUMBER(FIND("arbeid",Methode_Keuze)),"",IF(Tb_Activiteiten[[#This Row],[Arbeidskosten]]=1,Tb_Activiteiten[[#Headers],[Arbeidskosten]],"")))</f>
        <v/>
      </c>
      <c r="AR164" t="str">
        <f>IF(ISNUMBER(FIND("arbeid",Methode_Keuze)),"",IF(ISNUMBER(FIND("arbeid",Methode_Keuze)),"",IF(Tb_Activiteiten[[#This Row],[Arbeidskosten op basis van IKS]]=1,Tb_Activiteiten[[#Headers],[Arbeidskosten op basis van IKS]],"")))</f>
        <v/>
      </c>
      <c r="AS164" t="str">
        <f>IF(ISNUMBER(FIND("overige",Methode_Keuze)),"",IF(Tb_Activiteiten[[#This Row],[Kosten derden exclusief btw]]=1,Tb_Activiteiten[[#Headers],[Kosten derden exclusief btw]],""))</f>
        <v/>
      </c>
      <c r="AT164" t="str">
        <f>IF(ISNUMBER(FIND("overige",Methode_Keuze)),"",IF(Tb_Activiteiten[[#This Row],[Niet verrekenbare btw]]=1,Tb_Activiteiten[[#Headers],[Niet verrekenbare btw]],""))</f>
        <v/>
      </c>
      <c r="AU164" t="str">
        <f>IF(ISNUMBER(FIND("overige",Methode_Keuze)),"",IF(Tb_Activiteiten[[#This Row],[Grondkosten]]=1,Tb_Activiteiten[[#Headers],[Grondkosten]],""))</f>
        <v/>
      </c>
      <c r="AV164" t="str">
        <f>IF(ISNUMBER(FIND("overige",Methode_Keuze)),"",IF(Tb_Activiteiten[[#This Row],[Bijdrage in natura (overige)]]=1,Tb_Activiteiten[[#Headers],[Bijdrage in natura (overige)]],""))</f>
        <v/>
      </c>
      <c r="AW164" t="str">
        <f>IF(ISNUMBER(FIND("overige",Methode_Keuze)),"",IF(Tb_Activiteiten[[#This Row],[Bijdrage in natura (vrijwilligers)]]=1,Tb_Activiteiten[[#Headers],[Bijdrage in natura (vrijwilligers)]],""))</f>
        <v/>
      </c>
      <c r="AX164" t="str">
        <f>IF(ISNUMBER(FIND("overige",Methode_Keuze)),"",IF(Tb_Activiteiten[[#This Row],[Afschrijvingskosten]]=1,Tb_Activiteiten[[#Headers],[Afschrijvingskosten]],""))</f>
        <v/>
      </c>
      <c r="AY164" t="str">
        <f>IF(ISNUMBER(FIND("overige",Methode_Keuze)),"",IF(Tb_Activiteiten[[#This Row],[Vergoeding]]=1,Tb_Activiteiten[[#Headers],[Vergoeding]],""))</f>
        <v/>
      </c>
      <c r="AZ164" t="str">
        <f>IF(ISNUMBER(FIND("arbeid",Methode_Keuze)),"",IF(Tb_Activiteiten[[#This Row],[Arbeidskosten - vast tarief (excl eigen arbeid)]]=1,Tb_Activiteiten[[#Headers],[Arbeidskosten - vast tarief (excl eigen arbeid)]],""))</f>
        <v/>
      </c>
      <c r="BA164" t="str">
        <f>IF(ISNUMBER(FIND("overige",Methode_Keuze)),"",IF(Tb_Activiteiten[[#This Row],[Overige kosten]]=1,Tb_Activiteiten[[#Headers],[Overige kosten]],""))</f>
        <v/>
      </c>
    </row>
    <row r="165" spans="1:53" x14ac:dyDescent="0.25">
      <c r="A165" s="231"/>
      <c r="F165" s="64"/>
      <c r="G165" s="64"/>
      <c r="H165" s="275"/>
      <c r="I165" s="275"/>
      <c r="J165" s="275"/>
      <c r="K165" s="275"/>
      <c r="O165" s="56"/>
      <c r="Q165" t="str">
        <f>IFERROR(IF(VLOOKUP(Tb_Activiteiten[[#This Row],[Openstelling]],Tb_Openstelling[],2,0)=1,1,""),"")</f>
        <v/>
      </c>
      <c r="AK165" t="str">
        <f>IF(ISNUMBER(FIND("arbeid",Methode_Keuze)),"",IF(ISNUMBER(FIND("arbeid",Methode_Keuze)),"",IF(Tb_Activiteiten[[#This Row],[Loonkosten]]=1,Tb_Activiteiten[[#Headers],[Loonkosten]],"")))</f>
        <v/>
      </c>
      <c r="AL165" t="str">
        <f>IF(ISNUMBER(FIND("arbeid",Methode_Keuze)),"",IF(ISNUMBER(FIND("arbeid",Methode_Keuze)),"",IF(Tb_Activiteiten[[#This Row],[Eigen arbeid]]=1,Tb_Activiteiten[[#Headers],[Eigen arbeid]],"")))</f>
        <v/>
      </c>
      <c r="AM165" t="str">
        <f>IF(ISNUMBER(FIND("arbeid",Methode_Keuze)),"",IF(ISNUMBER(FIND("arbeid",Methode_Keuze)),"",IF(Tb_Activiteiten[[#This Row],[Projectmedewerker]]=1,Tb_Activiteiten[[#Headers],[Projectmedewerker]],"")))</f>
        <v/>
      </c>
      <c r="AN165" t="str">
        <f>IF(ISNUMBER(FIND("arbeid",Methode_Keuze)),"",IF(ISNUMBER(FIND("arbeid",Methode_Keuze)),"",IF(Tb_Activiteiten[[#This Row],[Landbouwer]]=1,Tb_Activiteiten[[#Headers],[Landbouwer]],"")))</f>
        <v/>
      </c>
      <c r="AO165" t="str">
        <f>IF(ISNUMBER(FIND("arbeid",Methode_Keuze)),"",IF(ISNUMBER(FIND("arbeid",Methode_Keuze)),"",IF(Tb_Activiteiten[[#This Row],[Adviseur]]=1,Tb_Activiteiten[[#Headers],[Adviseur]],"")))</f>
        <v/>
      </c>
      <c r="AP165" t="str">
        <f>IF(ISNUMBER(FIND("arbeid",Methode_Keuze)),"",IF(ISNUMBER(FIND("arbeid",Methode_Keuze)),"",IF(Tb_Activiteiten[[#This Row],[Projectleider/Expert]]=1,Tb_Activiteiten[[#Headers],[Projectleider/Expert]],"")))</f>
        <v/>
      </c>
      <c r="AQ165" t="str">
        <f>IF(ISNUMBER(FIND("arbeid",Methode_Keuze)),"",IF(ISNUMBER(FIND("arbeid",Methode_Keuze)),"",IF(Tb_Activiteiten[[#This Row],[Arbeidskosten]]=1,Tb_Activiteiten[[#Headers],[Arbeidskosten]],"")))</f>
        <v/>
      </c>
      <c r="AR165" t="str">
        <f>IF(ISNUMBER(FIND("arbeid",Methode_Keuze)),"",IF(ISNUMBER(FIND("arbeid",Methode_Keuze)),"",IF(Tb_Activiteiten[[#This Row],[Arbeidskosten op basis van IKS]]=1,Tb_Activiteiten[[#Headers],[Arbeidskosten op basis van IKS]],"")))</f>
        <v/>
      </c>
      <c r="AS165" t="str">
        <f>IF(ISNUMBER(FIND("overige",Methode_Keuze)),"",IF(Tb_Activiteiten[[#This Row],[Kosten derden exclusief btw]]=1,Tb_Activiteiten[[#Headers],[Kosten derden exclusief btw]],""))</f>
        <v/>
      </c>
      <c r="AT165" t="str">
        <f>IF(ISNUMBER(FIND("overige",Methode_Keuze)),"",IF(Tb_Activiteiten[[#This Row],[Niet verrekenbare btw]]=1,Tb_Activiteiten[[#Headers],[Niet verrekenbare btw]],""))</f>
        <v/>
      </c>
      <c r="AU165" t="str">
        <f>IF(ISNUMBER(FIND("overige",Methode_Keuze)),"",IF(Tb_Activiteiten[[#This Row],[Grondkosten]]=1,Tb_Activiteiten[[#Headers],[Grondkosten]],""))</f>
        <v/>
      </c>
      <c r="AV165" t="str">
        <f>IF(ISNUMBER(FIND("overige",Methode_Keuze)),"",IF(Tb_Activiteiten[[#This Row],[Bijdrage in natura (overige)]]=1,Tb_Activiteiten[[#Headers],[Bijdrage in natura (overige)]],""))</f>
        <v/>
      </c>
      <c r="AW165" t="str">
        <f>IF(ISNUMBER(FIND("overige",Methode_Keuze)),"",IF(Tb_Activiteiten[[#This Row],[Bijdrage in natura (vrijwilligers)]]=1,Tb_Activiteiten[[#Headers],[Bijdrage in natura (vrijwilligers)]],""))</f>
        <v/>
      </c>
      <c r="AX165" t="str">
        <f>IF(ISNUMBER(FIND("overige",Methode_Keuze)),"",IF(Tb_Activiteiten[[#This Row],[Afschrijvingskosten]]=1,Tb_Activiteiten[[#Headers],[Afschrijvingskosten]],""))</f>
        <v/>
      </c>
      <c r="AY165" t="str">
        <f>IF(ISNUMBER(FIND("overige",Methode_Keuze)),"",IF(Tb_Activiteiten[[#This Row],[Vergoeding]]=1,Tb_Activiteiten[[#Headers],[Vergoeding]],""))</f>
        <v/>
      </c>
      <c r="AZ165" t="str">
        <f>IF(ISNUMBER(FIND("arbeid",Methode_Keuze)),"",IF(Tb_Activiteiten[[#This Row],[Arbeidskosten - vast tarief (excl eigen arbeid)]]=1,Tb_Activiteiten[[#Headers],[Arbeidskosten - vast tarief (excl eigen arbeid)]],""))</f>
        <v/>
      </c>
      <c r="BA165" t="str">
        <f>IF(ISNUMBER(FIND("overige",Methode_Keuze)),"",IF(Tb_Activiteiten[[#This Row],[Overige kosten]]=1,Tb_Activiteiten[[#Headers],[Overige kosten]],""))</f>
        <v/>
      </c>
    </row>
    <row r="166" spans="1:53" x14ac:dyDescent="0.25">
      <c r="A166" s="231"/>
      <c r="F166" s="64"/>
      <c r="G166" s="64"/>
      <c r="H166" s="275"/>
      <c r="I166" s="275"/>
      <c r="J166" s="275"/>
      <c r="K166" s="275"/>
      <c r="O166" s="56"/>
      <c r="Q166" t="str">
        <f>IFERROR(IF(VLOOKUP(Tb_Activiteiten[[#This Row],[Openstelling]],Tb_Openstelling[],2,0)=1,1,""),"")</f>
        <v/>
      </c>
      <c r="AK166" t="str">
        <f>IF(ISNUMBER(FIND("arbeid",Methode_Keuze)),"",IF(ISNUMBER(FIND("arbeid",Methode_Keuze)),"",IF(Tb_Activiteiten[[#This Row],[Loonkosten]]=1,Tb_Activiteiten[[#Headers],[Loonkosten]],"")))</f>
        <v/>
      </c>
      <c r="AL166" t="str">
        <f>IF(ISNUMBER(FIND("arbeid",Methode_Keuze)),"",IF(ISNUMBER(FIND("arbeid",Methode_Keuze)),"",IF(Tb_Activiteiten[[#This Row],[Eigen arbeid]]=1,Tb_Activiteiten[[#Headers],[Eigen arbeid]],"")))</f>
        <v/>
      </c>
      <c r="AM166" t="str">
        <f>IF(ISNUMBER(FIND("arbeid",Methode_Keuze)),"",IF(ISNUMBER(FIND("arbeid",Methode_Keuze)),"",IF(Tb_Activiteiten[[#This Row],[Projectmedewerker]]=1,Tb_Activiteiten[[#Headers],[Projectmedewerker]],"")))</f>
        <v/>
      </c>
      <c r="AN166" t="str">
        <f>IF(ISNUMBER(FIND("arbeid",Methode_Keuze)),"",IF(ISNUMBER(FIND("arbeid",Methode_Keuze)),"",IF(Tb_Activiteiten[[#This Row],[Landbouwer]]=1,Tb_Activiteiten[[#Headers],[Landbouwer]],"")))</f>
        <v/>
      </c>
      <c r="AO166" t="str">
        <f>IF(ISNUMBER(FIND("arbeid",Methode_Keuze)),"",IF(ISNUMBER(FIND("arbeid",Methode_Keuze)),"",IF(Tb_Activiteiten[[#This Row],[Adviseur]]=1,Tb_Activiteiten[[#Headers],[Adviseur]],"")))</f>
        <v/>
      </c>
      <c r="AP166" t="str">
        <f>IF(ISNUMBER(FIND("arbeid",Methode_Keuze)),"",IF(ISNUMBER(FIND("arbeid",Methode_Keuze)),"",IF(Tb_Activiteiten[[#This Row],[Projectleider/Expert]]=1,Tb_Activiteiten[[#Headers],[Projectleider/Expert]],"")))</f>
        <v/>
      </c>
      <c r="AQ166" t="str">
        <f>IF(ISNUMBER(FIND("arbeid",Methode_Keuze)),"",IF(ISNUMBER(FIND("arbeid",Methode_Keuze)),"",IF(Tb_Activiteiten[[#This Row],[Arbeidskosten]]=1,Tb_Activiteiten[[#Headers],[Arbeidskosten]],"")))</f>
        <v/>
      </c>
      <c r="AR166" t="str">
        <f>IF(ISNUMBER(FIND("arbeid",Methode_Keuze)),"",IF(ISNUMBER(FIND("arbeid",Methode_Keuze)),"",IF(Tb_Activiteiten[[#This Row],[Arbeidskosten op basis van IKS]]=1,Tb_Activiteiten[[#Headers],[Arbeidskosten op basis van IKS]],"")))</f>
        <v/>
      </c>
      <c r="AS166" t="str">
        <f>IF(ISNUMBER(FIND("overige",Methode_Keuze)),"",IF(Tb_Activiteiten[[#This Row],[Kosten derden exclusief btw]]=1,Tb_Activiteiten[[#Headers],[Kosten derden exclusief btw]],""))</f>
        <v/>
      </c>
      <c r="AT166" t="str">
        <f>IF(ISNUMBER(FIND("overige",Methode_Keuze)),"",IF(Tb_Activiteiten[[#This Row],[Niet verrekenbare btw]]=1,Tb_Activiteiten[[#Headers],[Niet verrekenbare btw]],""))</f>
        <v/>
      </c>
      <c r="AU166" t="str">
        <f>IF(ISNUMBER(FIND("overige",Methode_Keuze)),"",IF(Tb_Activiteiten[[#This Row],[Grondkosten]]=1,Tb_Activiteiten[[#Headers],[Grondkosten]],""))</f>
        <v/>
      </c>
      <c r="AV166" t="str">
        <f>IF(ISNUMBER(FIND("overige",Methode_Keuze)),"",IF(Tb_Activiteiten[[#This Row],[Bijdrage in natura (overige)]]=1,Tb_Activiteiten[[#Headers],[Bijdrage in natura (overige)]],""))</f>
        <v/>
      </c>
      <c r="AW166" t="str">
        <f>IF(ISNUMBER(FIND("overige",Methode_Keuze)),"",IF(Tb_Activiteiten[[#This Row],[Bijdrage in natura (vrijwilligers)]]=1,Tb_Activiteiten[[#Headers],[Bijdrage in natura (vrijwilligers)]],""))</f>
        <v/>
      </c>
      <c r="AX166" t="str">
        <f>IF(ISNUMBER(FIND("overige",Methode_Keuze)),"",IF(Tb_Activiteiten[[#This Row],[Afschrijvingskosten]]=1,Tb_Activiteiten[[#Headers],[Afschrijvingskosten]],""))</f>
        <v/>
      </c>
      <c r="AY166" t="str">
        <f>IF(ISNUMBER(FIND("overige",Methode_Keuze)),"",IF(Tb_Activiteiten[[#This Row],[Vergoeding]]=1,Tb_Activiteiten[[#Headers],[Vergoeding]],""))</f>
        <v/>
      </c>
      <c r="AZ166" t="str">
        <f>IF(ISNUMBER(FIND("arbeid",Methode_Keuze)),"",IF(Tb_Activiteiten[[#This Row],[Arbeidskosten - vast tarief (excl eigen arbeid)]]=1,Tb_Activiteiten[[#Headers],[Arbeidskosten - vast tarief (excl eigen arbeid)]],""))</f>
        <v/>
      </c>
      <c r="BA166" t="str">
        <f>IF(ISNUMBER(FIND("overige",Methode_Keuze)),"",IF(Tb_Activiteiten[[#This Row],[Overige kosten]]=1,Tb_Activiteiten[[#Headers],[Overige kosten]],""))</f>
        <v/>
      </c>
    </row>
    <row r="167" spans="1:53" x14ac:dyDescent="0.25">
      <c r="A167" s="231"/>
      <c r="F167" s="64"/>
      <c r="G167" s="64"/>
      <c r="H167" s="275"/>
      <c r="I167" s="275"/>
      <c r="J167" s="275"/>
      <c r="K167" s="275"/>
      <c r="O167" s="56"/>
      <c r="Q167" t="str">
        <f>IFERROR(IF(VLOOKUP(Tb_Activiteiten[[#This Row],[Openstelling]],Tb_Openstelling[],2,0)=1,1,""),"")</f>
        <v/>
      </c>
      <c r="AK167" t="str">
        <f>IF(ISNUMBER(FIND("arbeid",Methode_Keuze)),"",IF(ISNUMBER(FIND("arbeid",Methode_Keuze)),"",IF(Tb_Activiteiten[[#This Row],[Loonkosten]]=1,Tb_Activiteiten[[#Headers],[Loonkosten]],"")))</f>
        <v/>
      </c>
      <c r="AL167" t="str">
        <f>IF(ISNUMBER(FIND("arbeid",Methode_Keuze)),"",IF(ISNUMBER(FIND("arbeid",Methode_Keuze)),"",IF(Tb_Activiteiten[[#This Row],[Eigen arbeid]]=1,Tb_Activiteiten[[#Headers],[Eigen arbeid]],"")))</f>
        <v/>
      </c>
      <c r="AM167" t="str">
        <f>IF(ISNUMBER(FIND("arbeid",Methode_Keuze)),"",IF(ISNUMBER(FIND("arbeid",Methode_Keuze)),"",IF(Tb_Activiteiten[[#This Row],[Projectmedewerker]]=1,Tb_Activiteiten[[#Headers],[Projectmedewerker]],"")))</f>
        <v/>
      </c>
      <c r="AN167" t="str">
        <f>IF(ISNUMBER(FIND("arbeid",Methode_Keuze)),"",IF(ISNUMBER(FIND("arbeid",Methode_Keuze)),"",IF(Tb_Activiteiten[[#This Row],[Landbouwer]]=1,Tb_Activiteiten[[#Headers],[Landbouwer]],"")))</f>
        <v/>
      </c>
      <c r="AO167" t="str">
        <f>IF(ISNUMBER(FIND("arbeid",Methode_Keuze)),"",IF(ISNUMBER(FIND("arbeid",Methode_Keuze)),"",IF(Tb_Activiteiten[[#This Row],[Adviseur]]=1,Tb_Activiteiten[[#Headers],[Adviseur]],"")))</f>
        <v/>
      </c>
      <c r="AP167" t="str">
        <f>IF(ISNUMBER(FIND("arbeid",Methode_Keuze)),"",IF(ISNUMBER(FIND("arbeid",Methode_Keuze)),"",IF(Tb_Activiteiten[[#This Row],[Projectleider/Expert]]=1,Tb_Activiteiten[[#Headers],[Projectleider/Expert]],"")))</f>
        <v/>
      </c>
      <c r="AQ167" t="str">
        <f>IF(ISNUMBER(FIND("arbeid",Methode_Keuze)),"",IF(ISNUMBER(FIND("arbeid",Methode_Keuze)),"",IF(Tb_Activiteiten[[#This Row],[Arbeidskosten]]=1,Tb_Activiteiten[[#Headers],[Arbeidskosten]],"")))</f>
        <v/>
      </c>
      <c r="AR167" t="str">
        <f>IF(ISNUMBER(FIND("arbeid",Methode_Keuze)),"",IF(ISNUMBER(FIND("arbeid",Methode_Keuze)),"",IF(Tb_Activiteiten[[#This Row],[Arbeidskosten op basis van IKS]]=1,Tb_Activiteiten[[#Headers],[Arbeidskosten op basis van IKS]],"")))</f>
        <v/>
      </c>
      <c r="AS167" t="str">
        <f>IF(ISNUMBER(FIND("overige",Methode_Keuze)),"",IF(Tb_Activiteiten[[#This Row],[Kosten derden exclusief btw]]=1,Tb_Activiteiten[[#Headers],[Kosten derden exclusief btw]],""))</f>
        <v/>
      </c>
      <c r="AT167" t="str">
        <f>IF(ISNUMBER(FIND("overige",Methode_Keuze)),"",IF(Tb_Activiteiten[[#This Row],[Niet verrekenbare btw]]=1,Tb_Activiteiten[[#Headers],[Niet verrekenbare btw]],""))</f>
        <v/>
      </c>
      <c r="AU167" t="str">
        <f>IF(ISNUMBER(FIND("overige",Methode_Keuze)),"",IF(Tb_Activiteiten[[#This Row],[Grondkosten]]=1,Tb_Activiteiten[[#Headers],[Grondkosten]],""))</f>
        <v/>
      </c>
      <c r="AV167" t="str">
        <f>IF(ISNUMBER(FIND("overige",Methode_Keuze)),"",IF(Tb_Activiteiten[[#This Row],[Bijdrage in natura (overige)]]=1,Tb_Activiteiten[[#Headers],[Bijdrage in natura (overige)]],""))</f>
        <v/>
      </c>
      <c r="AW167" t="str">
        <f>IF(ISNUMBER(FIND("overige",Methode_Keuze)),"",IF(Tb_Activiteiten[[#This Row],[Bijdrage in natura (vrijwilligers)]]=1,Tb_Activiteiten[[#Headers],[Bijdrage in natura (vrijwilligers)]],""))</f>
        <v/>
      </c>
      <c r="AX167" t="str">
        <f>IF(ISNUMBER(FIND("overige",Methode_Keuze)),"",IF(Tb_Activiteiten[[#This Row],[Afschrijvingskosten]]=1,Tb_Activiteiten[[#Headers],[Afschrijvingskosten]],""))</f>
        <v/>
      </c>
      <c r="AY167" t="str">
        <f>IF(ISNUMBER(FIND("overige",Methode_Keuze)),"",IF(Tb_Activiteiten[[#This Row],[Vergoeding]]=1,Tb_Activiteiten[[#Headers],[Vergoeding]],""))</f>
        <v/>
      </c>
      <c r="AZ167" t="str">
        <f>IF(ISNUMBER(FIND("arbeid",Methode_Keuze)),"",IF(Tb_Activiteiten[[#This Row],[Arbeidskosten - vast tarief (excl eigen arbeid)]]=1,Tb_Activiteiten[[#Headers],[Arbeidskosten - vast tarief (excl eigen arbeid)]],""))</f>
        <v/>
      </c>
      <c r="BA167" t="str">
        <f>IF(ISNUMBER(FIND("overige",Methode_Keuze)),"",IF(Tb_Activiteiten[[#This Row],[Overige kosten]]=1,Tb_Activiteiten[[#Headers],[Overige kosten]],""))</f>
        <v/>
      </c>
    </row>
    <row r="168" spans="1:53" x14ac:dyDescent="0.25">
      <c r="A168" s="231"/>
      <c r="F168" s="64"/>
      <c r="G168" s="64"/>
      <c r="H168" s="275"/>
      <c r="I168" s="275"/>
      <c r="J168" s="275"/>
      <c r="K168" s="275"/>
      <c r="O168" s="56"/>
      <c r="Q168" t="str">
        <f>IFERROR(IF(VLOOKUP(Tb_Activiteiten[[#This Row],[Openstelling]],Tb_Openstelling[],2,0)=1,1,""),"")</f>
        <v/>
      </c>
      <c r="AK168" t="str">
        <f>IF(ISNUMBER(FIND("arbeid",Methode_Keuze)),"",IF(ISNUMBER(FIND("arbeid",Methode_Keuze)),"",IF(Tb_Activiteiten[[#This Row],[Loonkosten]]=1,Tb_Activiteiten[[#Headers],[Loonkosten]],"")))</f>
        <v/>
      </c>
      <c r="AL168" t="str">
        <f>IF(ISNUMBER(FIND("arbeid",Methode_Keuze)),"",IF(ISNUMBER(FIND("arbeid",Methode_Keuze)),"",IF(Tb_Activiteiten[[#This Row],[Eigen arbeid]]=1,Tb_Activiteiten[[#Headers],[Eigen arbeid]],"")))</f>
        <v/>
      </c>
      <c r="AM168" t="str">
        <f>IF(ISNUMBER(FIND("arbeid",Methode_Keuze)),"",IF(ISNUMBER(FIND("arbeid",Methode_Keuze)),"",IF(Tb_Activiteiten[[#This Row],[Projectmedewerker]]=1,Tb_Activiteiten[[#Headers],[Projectmedewerker]],"")))</f>
        <v/>
      </c>
      <c r="AN168" t="str">
        <f>IF(ISNUMBER(FIND("arbeid",Methode_Keuze)),"",IF(ISNUMBER(FIND("arbeid",Methode_Keuze)),"",IF(Tb_Activiteiten[[#This Row],[Landbouwer]]=1,Tb_Activiteiten[[#Headers],[Landbouwer]],"")))</f>
        <v/>
      </c>
      <c r="AO168" t="str">
        <f>IF(ISNUMBER(FIND("arbeid",Methode_Keuze)),"",IF(ISNUMBER(FIND("arbeid",Methode_Keuze)),"",IF(Tb_Activiteiten[[#This Row],[Adviseur]]=1,Tb_Activiteiten[[#Headers],[Adviseur]],"")))</f>
        <v/>
      </c>
      <c r="AP168" t="str">
        <f>IF(ISNUMBER(FIND("arbeid",Methode_Keuze)),"",IF(ISNUMBER(FIND("arbeid",Methode_Keuze)),"",IF(Tb_Activiteiten[[#This Row],[Projectleider/Expert]]=1,Tb_Activiteiten[[#Headers],[Projectleider/Expert]],"")))</f>
        <v/>
      </c>
      <c r="AQ168" t="str">
        <f>IF(ISNUMBER(FIND("arbeid",Methode_Keuze)),"",IF(ISNUMBER(FIND("arbeid",Methode_Keuze)),"",IF(Tb_Activiteiten[[#This Row],[Arbeidskosten]]=1,Tb_Activiteiten[[#Headers],[Arbeidskosten]],"")))</f>
        <v/>
      </c>
      <c r="AR168" t="str">
        <f>IF(ISNUMBER(FIND("arbeid",Methode_Keuze)),"",IF(ISNUMBER(FIND("arbeid",Methode_Keuze)),"",IF(Tb_Activiteiten[[#This Row],[Arbeidskosten op basis van IKS]]=1,Tb_Activiteiten[[#Headers],[Arbeidskosten op basis van IKS]],"")))</f>
        <v/>
      </c>
      <c r="AS168" t="str">
        <f>IF(ISNUMBER(FIND("overige",Methode_Keuze)),"",IF(Tb_Activiteiten[[#This Row],[Kosten derden exclusief btw]]=1,Tb_Activiteiten[[#Headers],[Kosten derden exclusief btw]],""))</f>
        <v/>
      </c>
      <c r="AT168" t="str">
        <f>IF(ISNUMBER(FIND("overige",Methode_Keuze)),"",IF(Tb_Activiteiten[[#This Row],[Niet verrekenbare btw]]=1,Tb_Activiteiten[[#Headers],[Niet verrekenbare btw]],""))</f>
        <v/>
      </c>
      <c r="AU168" t="str">
        <f>IF(ISNUMBER(FIND("overige",Methode_Keuze)),"",IF(Tb_Activiteiten[[#This Row],[Grondkosten]]=1,Tb_Activiteiten[[#Headers],[Grondkosten]],""))</f>
        <v/>
      </c>
      <c r="AV168" t="str">
        <f>IF(ISNUMBER(FIND("overige",Methode_Keuze)),"",IF(Tb_Activiteiten[[#This Row],[Bijdrage in natura (overige)]]=1,Tb_Activiteiten[[#Headers],[Bijdrage in natura (overige)]],""))</f>
        <v/>
      </c>
      <c r="AW168" t="str">
        <f>IF(ISNUMBER(FIND("overige",Methode_Keuze)),"",IF(Tb_Activiteiten[[#This Row],[Bijdrage in natura (vrijwilligers)]]=1,Tb_Activiteiten[[#Headers],[Bijdrage in natura (vrijwilligers)]],""))</f>
        <v/>
      </c>
      <c r="AX168" t="str">
        <f>IF(ISNUMBER(FIND("overige",Methode_Keuze)),"",IF(Tb_Activiteiten[[#This Row],[Afschrijvingskosten]]=1,Tb_Activiteiten[[#Headers],[Afschrijvingskosten]],""))</f>
        <v/>
      </c>
      <c r="AY168" t="str">
        <f>IF(ISNUMBER(FIND("overige",Methode_Keuze)),"",IF(Tb_Activiteiten[[#This Row],[Vergoeding]]=1,Tb_Activiteiten[[#Headers],[Vergoeding]],""))</f>
        <v/>
      </c>
      <c r="AZ168" t="str">
        <f>IF(ISNUMBER(FIND("arbeid",Methode_Keuze)),"",IF(Tb_Activiteiten[[#This Row],[Arbeidskosten - vast tarief (excl eigen arbeid)]]=1,Tb_Activiteiten[[#Headers],[Arbeidskosten - vast tarief (excl eigen arbeid)]],""))</f>
        <v/>
      </c>
      <c r="BA168" t="str">
        <f>IF(ISNUMBER(FIND("overige",Methode_Keuze)),"",IF(Tb_Activiteiten[[#This Row],[Overige kosten]]=1,Tb_Activiteiten[[#Headers],[Overige kosten]],""))</f>
        <v/>
      </c>
    </row>
    <row r="169" spans="1:53" x14ac:dyDescent="0.25">
      <c r="A169" s="231"/>
      <c r="F169" s="64"/>
      <c r="G169" s="64"/>
      <c r="H169" s="275"/>
      <c r="I169" s="275"/>
      <c r="J169" s="275"/>
      <c r="K169" s="275"/>
      <c r="O169" s="56"/>
      <c r="Q169" t="str">
        <f>IFERROR(IF(VLOOKUP(Tb_Activiteiten[[#This Row],[Openstelling]],Tb_Openstelling[],2,0)=1,1,""),"")</f>
        <v/>
      </c>
      <c r="AK169" t="str">
        <f>IF(ISNUMBER(FIND("arbeid",Methode_Keuze)),"",IF(ISNUMBER(FIND("arbeid",Methode_Keuze)),"",IF(Tb_Activiteiten[[#This Row],[Loonkosten]]=1,Tb_Activiteiten[[#Headers],[Loonkosten]],"")))</f>
        <v/>
      </c>
      <c r="AL169" t="str">
        <f>IF(ISNUMBER(FIND("arbeid",Methode_Keuze)),"",IF(ISNUMBER(FIND("arbeid",Methode_Keuze)),"",IF(Tb_Activiteiten[[#This Row],[Eigen arbeid]]=1,Tb_Activiteiten[[#Headers],[Eigen arbeid]],"")))</f>
        <v/>
      </c>
      <c r="AM169" t="str">
        <f>IF(ISNUMBER(FIND("arbeid",Methode_Keuze)),"",IF(ISNUMBER(FIND("arbeid",Methode_Keuze)),"",IF(Tb_Activiteiten[[#This Row],[Projectmedewerker]]=1,Tb_Activiteiten[[#Headers],[Projectmedewerker]],"")))</f>
        <v/>
      </c>
      <c r="AN169" t="str">
        <f>IF(ISNUMBER(FIND("arbeid",Methode_Keuze)),"",IF(ISNUMBER(FIND("arbeid",Methode_Keuze)),"",IF(Tb_Activiteiten[[#This Row],[Landbouwer]]=1,Tb_Activiteiten[[#Headers],[Landbouwer]],"")))</f>
        <v/>
      </c>
      <c r="AO169" t="str">
        <f>IF(ISNUMBER(FIND("arbeid",Methode_Keuze)),"",IF(ISNUMBER(FIND("arbeid",Methode_Keuze)),"",IF(Tb_Activiteiten[[#This Row],[Adviseur]]=1,Tb_Activiteiten[[#Headers],[Adviseur]],"")))</f>
        <v/>
      </c>
      <c r="AP169" t="str">
        <f>IF(ISNUMBER(FIND("arbeid",Methode_Keuze)),"",IF(ISNUMBER(FIND("arbeid",Methode_Keuze)),"",IF(Tb_Activiteiten[[#This Row],[Projectleider/Expert]]=1,Tb_Activiteiten[[#Headers],[Projectleider/Expert]],"")))</f>
        <v/>
      </c>
      <c r="AQ169" t="str">
        <f>IF(ISNUMBER(FIND("arbeid",Methode_Keuze)),"",IF(ISNUMBER(FIND("arbeid",Methode_Keuze)),"",IF(Tb_Activiteiten[[#This Row],[Arbeidskosten]]=1,Tb_Activiteiten[[#Headers],[Arbeidskosten]],"")))</f>
        <v/>
      </c>
      <c r="AR169" t="str">
        <f>IF(ISNUMBER(FIND("arbeid",Methode_Keuze)),"",IF(ISNUMBER(FIND("arbeid",Methode_Keuze)),"",IF(Tb_Activiteiten[[#This Row],[Arbeidskosten op basis van IKS]]=1,Tb_Activiteiten[[#Headers],[Arbeidskosten op basis van IKS]],"")))</f>
        <v/>
      </c>
      <c r="AS169" t="str">
        <f>IF(ISNUMBER(FIND("overige",Methode_Keuze)),"",IF(Tb_Activiteiten[[#This Row],[Kosten derden exclusief btw]]=1,Tb_Activiteiten[[#Headers],[Kosten derden exclusief btw]],""))</f>
        <v/>
      </c>
      <c r="AT169" t="str">
        <f>IF(ISNUMBER(FIND("overige",Methode_Keuze)),"",IF(Tb_Activiteiten[[#This Row],[Niet verrekenbare btw]]=1,Tb_Activiteiten[[#Headers],[Niet verrekenbare btw]],""))</f>
        <v/>
      </c>
      <c r="AU169" t="str">
        <f>IF(ISNUMBER(FIND("overige",Methode_Keuze)),"",IF(Tb_Activiteiten[[#This Row],[Grondkosten]]=1,Tb_Activiteiten[[#Headers],[Grondkosten]],""))</f>
        <v/>
      </c>
      <c r="AV169" t="str">
        <f>IF(ISNUMBER(FIND("overige",Methode_Keuze)),"",IF(Tb_Activiteiten[[#This Row],[Bijdrage in natura (overige)]]=1,Tb_Activiteiten[[#Headers],[Bijdrage in natura (overige)]],""))</f>
        <v/>
      </c>
      <c r="AW169" t="str">
        <f>IF(ISNUMBER(FIND("overige",Methode_Keuze)),"",IF(Tb_Activiteiten[[#This Row],[Bijdrage in natura (vrijwilligers)]]=1,Tb_Activiteiten[[#Headers],[Bijdrage in natura (vrijwilligers)]],""))</f>
        <v/>
      </c>
      <c r="AX169" t="str">
        <f>IF(ISNUMBER(FIND("overige",Methode_Keuze)),"",IF(Tb_Activiteiten[[#This Row],[Afschrijvingskosten]]=1,Tb_Activiteiten[[#Headers],[Afschrijvingskosten]],""))</f>
        <v/>
      </c>
      <c r="AY169" t="str">
        <f>IF(ISNUMBER(FIND("overige",Methode_Keuze)),"",IF(Tb_Activiteiten[[#This Row],[Vergoeding]]=1,Tb_Activiteiten[[#Headers],[Vergoeding]],""))</f>
        <v/>
      </c>
      <c r="AZ169" t="str">
        <f>IF(ISNUMBER(FIND("arbeid",Methode_Keuze)),"",IF(Tb_Activiteiten[[#This Row],[Arbeidskosten - vast tarief (excl eigen arbeid)]]=1,Tb_Activiteiten[[#Headers],[Arbeidskosten - vast tarief (excl eigen arbeid)]],""))</f>
        <v/>
      </c>
      <c r="BA169" t="str">
        <f>IF(ISNUMBER(FIND("overige",Methode_Keuze)),"",IF(Tb_Activiteiten[[#This Row],[Overige kosten]]=1,Tb_Activiteiten[[#Headers],[Overige kosten]],""))</f>
        <v/>
      </c>
    </row>
    <row r="170" spans="1:53" x14ac:dyDescent="0.25">
      <c r="A170" s="231"/>
      <c r="F170" s="64"/>
      <c r="G170" s="64"/>
      <c r="H170" s="275"/>
      <c r="I170" s="275"/>
      <c r="J170" s="275"/>
      <c r="K170" s="275"/>
      <c r="O170" s="56"/>
      <c r="Q170" t="str">
        <f>IFERROR(IF(VLOOKUP(Tb_Activiteiten[[#This Row],[Openstelling]],Tb_Openstelling[],2,0)=1,1,""),"")</f>
        <v/>
      </c>
      <c r="AK170" t="str">
        <f>IF(ISNUMBER(FIND("arbeid",Methode_Keuze)),"",IF(ISNUMBER(FIND("arbeid",Methode_Keuze)),"",IF(Tb_Activiteiten[[#This Row],[Loonkosten]]=1,Tb_Activiteiten[[#Headers],[Loonkosten]],"")))</f>
        <v/>
      </c>
      <c r="AL170" t="str">
        <f>IF(ISNUMBER(FIND("arbeid",Methode_Keuze)),"",IF(ISNUMBER(FIND("arbeid",Methode_Keuze)),"",IF(Tb_Activiteiten[[#This Row],[Eigen arbeid]]=1,Tb_Activiteiten[[#Headers],[Eigen arbeid]],"")))</f>
        <v/>
      </c>
      <c r="AM170" t="str">
        <f>IF(ISNUMBER(FIND("arbeid",Methode_Keuze)),"",IF(ISNUMBER(FIND("arbeid",Methode_Keuze)),"",IF(Tb_Activiteiten[[#This Row],[Projectmedewerker]]=1,Tb_Activiteiten[[#Headers],[Projectmedewerker]],"")))</f>
        <v/>
      </c>
      <c r="AN170" t="str">
        <f>IF(ISNUMBER(FIND("arbeid",Methode_Keuze)),"",IF(ISNUMBER(FIND("arbeid",Methode_Keuze)),"",IF(Tb_Activiteiten[[#This Row],[Landbouwer]]=1,Tb_Activiteiten[[#Headers],[Landbouwer]],"")))</f>
        <v/>
      </c>
      <c r="AO170" t="str">
        <f>IF(ISNUMBER(FIND("arbeid",Methode_Keuze)),"",IF(ISNUMBER(FIND("arbeid",Methode_Keuze)),"",IF(Tb_Activiteiten[[#This Row],[Adviseur]]=1,Tb_Activiteiten[[#Headers],[Adviseur]],"")))</f>
        <v/>
      </c>
      <c r="AP170" t="str">
        <f>IF(ISNUMBER(FIND("arbeid",Methode_Keuze)),"",IF(ISNUMBER(FIND("arbeid",Methode_Keuze)),"",IF(Tb_Activiteiten[[#This Row],[Projectleider/Expert]]=1,Tb_Activiteiten[[#Headers],[Projectleider/Expert]],"")))</f>
        <v/>
      </c>
      <c r="AQ170" t="str">
        <f>IF(ISNUMBER(FIND("arbeid",Methode_Keuze)),"",IF(ISNUMBER(FIND("arbeid",Methode_Keuze)),"",IF(Tb_Activiteiten[[#This Row],[Arbeidskosten]]=1,Tb_Activiteiten[[#Headers],[Arbeidskosten]],"")))</f>
        <v/>
      </c>
      <c r="AR170" t="str">
        <f>IF(ISNUMBER(FIND("arbeid",Methode_Keuze)),"",IF(ISNUMBER(FIND("arbeid",Methode_Keuze)),"",IF(Tb_Activiteiten[[#This Row],[Arbeidskosten op basis van IKS]]=1,Tb_Activiteiten[[#Headers],[Arbeidskosten op basis van IKS]],"")))</f>
        <v/>
      </c>
      <c r="AS170" t="str">
        <f>IF(ISNUMBER(FIND("overige",Methode_Keuze)),"",IF(Tb_Activiteiten[[#This Row],[Kosten derden exclusief btw]]=1,Tb_Activiteiten[[#Headers],[Kosten derden exclusief btw]],""))</f>
        <v/>
      </c>
      <c r="AT170" t="str">
        <f>IF(ISNUMBER(FIND("overige",Methode_Keuze)),"",IF(Tb_Activiteiten[[#This Row],[Niet verrekenbare btw]]=1,Tb_Activiteiten[[#Headers],[Niet verrekenbare btw]],""))</f>
        <v/>
      </c>
      <c r="AU170" t="str">
        <f>IF(ISNUMBER(FIND("overige",Methode_Keuze)),"",IF(Tb_Activiteiten[[#This Row],[Grondkosten]]=1,Tb_Activiteiten[[#Headers],[Grondkosten]],""))</f>
        <v/>
      </c>
      <c r="AV170" t="str">
        <f>IF(ISNUMBER(FIND("overige",Methode_Keuze)),"",IF(Tb_Activiteiten[[#This Row],[Bijdrage in natura (overige)]]=1,Tb_Activiteiten[[#Headers],[Bijdrage in natura (overige)]],""))</f>
        <v/>
      </c>
      <c r="AW170" t="str">
        <f>IF(ISNUMBER(FIND("overige",Methode_Keuze)),"",IF(Tb_Activiteiten[[#This Row],[Bijdrage in natura (vrijwilligers)]]=1,Tb_Activiteiten[[#Headers],[Bijdrage in natura (vrijwilligers)]],""))</f>
        <v/>
      </c>
      <c r="AX170" t="str">
        <f>IF(ISNUMBER(FIND("overige",Methode_Keuze)),"",IF(Tb_Activiteiten[[#This Row],[Afschrijvingskosten]]=1,Tb_Activiteiten[[#Headers],[Afschrijvingskosten]],""))</f>
        <v/>
      </c>
      <c r="AY170" t="str">
        <f>IF(ISNUMBER(FIND("overige",Methode_Keuze)),"",IF(Tb_Activiteiten[[#This Row],[Vergoeding]]=1,Tb_Activiteiten[[#Headers],[Vergoeding]],""))</f>
        <v/>
      </c>
      <c r="AZ170" t="str">
        <f>IF(ISNUMBER(FIND("arbeid",Methode_Keuze)),"",IF(Tb_Activiteiten[[#This Row],[Arbeidskosten - vast tarief (excl eigen arbeid)]]=1,Tb_Activiteiten[[#Headers],[Arbeidskosten - vast tarief (excl eigen arbeid)]],""))</f>
        <v/>
      </c>
      <c r="BA170" t="str">
        <f>IF(ISNUMBER(FIND("overige",Methode_Keuze)),"",IF(Tb_Activiteiten[[#This Row],[Overige kosten]]=1,Tb_Activiteiten[[#Headers],[Overige kosten]],""))</f>
        <v/>
      </c>
    </row>
    <row r="171" spans="1:53" x14ac:dyDescent="0.25">
      <c r="A171" s="231"/>
      <c r="F171" s="64"/>
      <c r="G171" s="64"/>
      <c r="H171" s="275"/>
      <c r="I171" s="275"/>
      <c r="J171" s="275"/>
      <c r="K171" s="275"/>
      <c r="O171" s="56"/>
      <c r="Q171" t="str">
        <f>IFERROR(IF(VLOOKUP(Tb_Activiteiten[[#This Row],[Openstelling]],Tb_Openstelling[],2,0)=1,1,""),"")</f>
        <v/>
      </c>
      <c r="AK171" t="str">
        <f>IF(ISNUMBER(FIND("arbeid",Methode_Keuze)),"",IF(ISNUMBER(FIND("arbeid",Methode_Keuze)),"",IF(Tb_Activiteiten[[#This Row],[Loonkosten]]=1,Tb_Activiteiten[[#Headers],[Loonkosten]],"")))</f>
        <v/>
      </c>
      <c r="AL171" t="str">
        <f>IF(ISNUMBER(FIND("arbeid",Methode_Keuze)),"",IF(ISNUMBER(FIND("arbeid",Methode_Keuze)),"",IF(Tb_Activiteiten[[#This Row],[Eigen arbeid]]=1,Tb_Activiteiten[[#Headers],[Eigen arbeid]],"")))</f>
        <v/>
      </c>
      <c r="AM171" t="str">
        <f>IF(ISNUMBER(FIND("arbeid",Methode_Keuze)),"",IF(ISNUMBER(FIND("arbeid",Methode_Keuze)),"",IF(Tb_Activiteiten[[#This Row],[Projectmedewerker]]=1,Tb_Activiteiten[[#Headers],[Projectmedewerker]],"")))</f>
        <v/>
      </c>
      <c r="AN171" t="str">
        <f>IF(ISNUMBER(FIND("arbeid",Methode_Keuze)),"",IF(ISNUMBER(FIND("arbeid",Methode_Keuze)),"",IF(Tb_Activiteiten[[#This Row],[Landbouwer]]=1,Tb_Activiteiten[[#Headers],[Landbouwer]],"")))</f>
        <v/>
      </c>
      <c r="AO171" t="str">
        <f>IF(ISNUMBER(FIND("arbeid",Methode_Keuze)),"",IF(ISNUMBER(FIND("arbeid",Methode_Keuze)),"",IF(Tb_Activiteiten[[#This Row],[Adviseur]]=1,Tb_Activiteiten[[#Headers],[Adviseur]],"")))</f>
        <v/>
      </c>
      <c r="AP171" t="str">
        <f>IF(ISNUMBER(FIND("arbeid",Methode_Keuze)),"",IF(ISNUMBER(FIND("arbeid",Methode_Keuze)),"",IF(Tb_Activiteiten[[#This Row],[Projectleider/Expert]]=1,Tb_Activiteiten[[#Headers],[Projectleider/Expert]],"")))</f>
        <v/>
      </c>
      <c r="AQ171" t="str">
        <f>IF(ISNUMBER(FIND("arbeid",Methode_Keuze)),"",IF(ISNUMBER(FIND("arbeid",Methode_Keuze)),"",IF(Tb_Activiteiten[[#This Row],[Arbeidskosten]]=1,Tb_Activiteiten[[#Headers],[Arbeidskosten]],"")))</f>
        <v/>
      </c>
      <c r="AR171" t="str">
        <f>IF(ISNUMBER(FIND("arbeid",Methode_Keuze)),"",IF(ISNUMBER(FIND("arbeid",Methode_Keuze)),"",IF(Tb_Activiteiten[[#This Row],[Arbeidskosten op basis van IKS]]=1,Tb_Activiteiten[[#Headers],[Arbeidskosten op basis van IKS]],"")))</f>
        <v/>
      </c>
      <c r="AS171" t="str">
        <f>IF(ISNUMBER(FIND("overige",Methode_Keuze)),"",IF(Tb_Activiteiten[[#This Row],[Kosten derden exclusief btw]]=1,Tb_Activiteiten[[#Headers],[Kosten derden exclusief btw]],""))</f>
        <v/>
      </c>
      <c r="AT171" t="str">
        <f>IF(ISNUMBER(FIND("overige",Methode_Keuze)),"",IF(Tb_Activiteiten[[#This Row],[Niet verrekenbare btw]]=1,Tb_Activiteiten[[#Headers],[Niet verrekenbare btw]],""))</f>
        <v/>
      </c>
      <c r="AU171" t="str">
        <f>IF(ISNUMBER(FIND("overige",Methode_Keuze)),"",IF(Tb_Activiteiten[[#This Row],[Grondkosten]]=1,Tb_Activiteiten[[#Headers],[Grondkosten]],""))</f>
        <v/>
      </c>
      <c r="AV171" t="str">
        <f>IF(ISNUMBER(FIND("overige",Methode_Keuze)),"",IF(Tb_Activiteiten[[#This Row],[Bijdrage in natura (overige)]]=1,Tb_Activiteiten[[#Headers],[Bijdrage in natura (overige)]],""))</f>
        <v/>
      </c>
      <c r="AW171" t="str">
        <f>IF(ISNUMBER(FIND("overige",Methode_Keuze)),"",IF(Tb_Activiteiten[[#This Row],[Bijdrage in natura (vrijwilligers)]]=1,Tb_Activiteiten[[#Headers],[Bijdrage in natura (vrijwilligers)]],""))</f>
        <v/>
      </c>
      <c r="AX171" t="str">
        <f>IF(ISNUMBER(FIND("overige",Methode_Keuze)),"",IF(Tb_Activiteiten[[#This Row],[Afschrijvingskosten]]=1,Tb_Activiteiten[[#Headers],[Afschrijvingskosten]],""))</f>
        <v/>
      </c>
      <c r="AY171" t="str">
        <f>IF(ISNUMBER(FIND("overige",Methode_Keuze)),"",IF(Tb_Activiteiten[[#This Row],[Vergoeding]]=1,Tb_Activiteiten[[#Headers],[Vergoeding]],""))</f>
        <v/>
      </c>
      <c r="AZ171" t="str">
        <f>IF(ISNUMBER(FIND("arbeid",Methode_Keuze)),"",IF(Tb_Activiteiten[[#This Row],[Arbeidskosten - vast tarief (excl eigen arbeid)]]=1,Tb_Activiteiten[[#Headers],[Arbeidskosten - vast tarief (excl eigen arbeid)]],""))</f>
        <v/>
      </c>
      <c r="BA171" t="str">
        <f>IF(ISNUMBER(FIND("overige",Methode_Keuze)),"",IF(Tb_Activiteiten[[#This Row],[Overige kosten]]=1,Tb_Activiteiten[[#Headers],[Overige kosten]],""))</f>
        <v/>
      </c>
    </row>
    <row r="172" spans="1:53" x14ac:dyDescent="0.25">
      <c r="A172" s="231"/>
      <c r="F172" s="64"/>
      <c r="G172" s="64"/>
      <c r="H172" s="275"/>
      <c r="I172" s="275"/>
      <c r="J172" s="275"/>
      <c r="K172" s="275"/>
      <c r="O172" s="56"/>
      <c r="Q172" t="str">
        <f>IFERROR(IF(VLOOKUP(Tb_Activiteiten[[#This Row],[Openstelling]],Tb_Openstelling[],2,0)=1,1,""),"")</f>
        <v/>
      </c>
      <c r="AK172" t="str">
        <f>IF(ISNUMBER(FIND("arbeid",Methode_Keuze)),"",IF(ISNUMBER(FIND("arbeid",Methode_Keuze)),"",IF(Tb_Activiteiten[[#This Row],[Loonkosten]]=1,Tb_Activiteiten[[#Headers],[Loonkosten]],"")))</f>
        <v/>
      </c>
      <c r="AL172" t="str">
        <f>IF(ISNUMBER(FIND("arbeid",Methode_Keuze)),"",IF(ISNUMBER(FIND("arbeid",Methode_Keuze)),"",IF(Tb_Activiteiten[[#This Row],[Eigen arbeid]]=1,Tb_Activiteiten[[#Headers],[Eigen arbeid]],"")))</f>
        <v/>
      </c>
      <c r="AM172" t="str">
        <f>IF(ISNUMBER(FIND("arbeid",Methode_Keuze)),"",IF(ISNUMBER(FIND("arbeid",Methode_Keuze)),"",IF(Tb_Activiteiten[[#This Row],[Projectmedewerker]]=1,Tb_Activiteiten[[#Headers],[Projectmedewerker]],"")))</f>
        <v/>
      </c>
      <c r="AN172" t="str">
        <f>IF(ISNUMBER(FIND("arbeid",Methode_Keuze)),"",IF(ISNUMBER(FIND("arbeid",Methode_Keuze)),"",IF(Tb_Activiteiten[[#This Row],[Landbouwer]]=1,Tb_Activiteiten[[#Headers],[Landbouwer]],"")))</f>
        <v/>
      </c>
      <c r="AO172" t="str">
        <f>IF(ISNUMBER(FIND("arbeid",Methode_Keuze)),"",IF(ISNUMBER(FIND("arbeid",Methode_Keuze)),"",IF(Tb_Activiteiten[[#This Row],[Adviseur]]=1,Tb_Activiteiten[[#Headers],[Adviseur]],"")))</f>
        <v/>
      </c>
      <c r="AP172" t="str">
        <f>IF(ISNUMBER(FIND("arbeid",Methode_Keuze)),"",IF(ISNUMBER(FIND("arbeid",Methode_Keuze)),"",IF(Tb_Activiteiten[[#This Row],[Projectleider/Expert]]=1,Tb_Activiteiten[[#Headers],[Projectleider/Expert]],"")))</f>
        <v/>
      </c>
      <c r="AQ172" t="str">
        <f>IF(ISNUMBER(FIND("arbeid",Methode_Keuze)),"",IF(ISNUMBER(FIND("arbeid",Methode_Keuze)),"",IF(Tb_Activiteiten[[#This Row],[Arbeidskosten]]=1,Tb_Activiteiten[[#Headers],[Arbeidskosten]],"")))</f>
        <v/>
      </c>
      <c r="AR172" t="str">
        <f>IF(ISNUMBER(FIND("arbeid",Methode_Keuze)),"",IF(ISNUMBER(FIND("arbeid",Methode_Keuze)),"",IF(Tb_Activiteiten[[#This Row],[Arbeidskosten op basis van IKS]]=1,Tb_Activiteiten[[#Headers],[Arbeidskosten op basis van IKS]],"")))</f>
        <v/>
      </c>
      <c r="AS172" t="str">
        <f>IF(ISNUMBER(FIND("overige",Methode_Keuze)),"",IF(Tb_Activiteiten[[#This Row],[Kosten derden exclusief btw]]=1,Tb_Activiteiten[[#Headers],[Kosten derden exclusief btw]],""))</f>
        <v/>
      </c>
      <c r="AT172" t="str">
        <f>IF(ISNUMBER(FIND("overige",Methode_Keuze)),"",IF(Tb_Activiteiten[[#This Row],[Niet verrekenbare btw]]=1,Tb_Activiteiten[[#Headers],[Niet verrekenbare btw]],""))</f>
        <v/>
      </c>
      <c r="AU172" t="str">
        <f>IF(ISNUMBER(FIND("overige",Methode_Keuze)),"",IF(Tb_Activiteiten[[#This Row],[Grondkosten]]=1,Tb_Activiteiten[[#Headers],[Grondkosten]],""))</f>
        <v/>
      </c>
      <c r="AV172" t="str">
        <f>IF(ISNUMBER(FIND("overige",Methode_Keuze)),"",IF(Tb_Activiteiten[[#This Row],[Bijdrage in natura (overige)]]=1,Tb_Activiteiten[[#Headers],[Bijdrage in natura (overige)]],""))</f>
        <v/>
      </c>
      <c r="AW172" t="str">
        <f>IF(ISNUMBER(FIND("overige",Methode_Keuze)),"",IF(Tb_Activiteiten[[#This Row],[Bijdrage in natura (vrijwilligers)]]=1,Tb_Activiteiten[[#Headers],[Bijdrage in natura (vrijwilligers)]],""))</f>
        <v/>
      </c>
      <c r="AX172" t="str">
        <f>IF(ISNUMBER(FIND("overige",Methode_Keuze)),"",IF(Tb_Activiteiten[[#This Row],[Afschrijvingskosten]]=1,Tb_Activiteiten[[#Headers],[Afschrijvingskosten]],""))</f>
        <v/>
      </c>
      <c r="AY172" t="str">
        <f>IF(ISNUMBER(FIND("overige",Methode_Keuze)),"",IF(Tb_Activiteiten[[#This Row],[Vergoeding]]=1,Tb_Activiteiten[[#Headers],[Vergoeding]],""))</f>
        <v/>
      </c>
      <c r="AZ172" t="str">
        <f>IF(ISNUMBER(FIND("arbeid",Methode_Keuze)),"",IF(Tb_Activiteiten[[#This Row],[Arbeidskosten - vast tarief (excl eigen arbeid)]]=1,Tb_Activiteiten[[#Headers],[Arbeidskosten - vast tarief (excl eigen arbeid)]],""))</f>
        <v/>
      </c>
      <c r="BA172" t="str">
        <f>IF(ISNUMBER(FIND("overige",Methode_Keuze)),"",IF(Tb_Activiteiten[[#This Row],[Overige kosten]]=1,Tb_Activiteiten[[#Headers],[Overige kosten]],""))</f>
        <v/>
      </c>
    </row>
    <row r="173" spans="1:53" x14ac:dyDescent="0.25">
      <c r="A173" s="231"/>
      <c r="F173" s="64"/>
      <c r="G173" s="64"/>
      <c r="H173" s="275"/>
      <c r="I173" s="275"/>
      <c r="J173" s="275"/>
      <c r="K173" s="275"/>
      <c r="O173" s="56"/>
      <c r="Q173" t="str">
        <f>IFERROR(IF(VLOOKUP(Tb_Activiteiten[[#This Row],[Openstelling]],Tb_Openstelling[],2,0)=1,1,""),"")</f>
        <v/>
      </c>
      <c r="AK173" t="str">
        <f>IF(ISNUMBER(FIND("arbeid",Methode_Keuze)),"",IF(ISNUMBER(FIND("arbeid",Methode_Keuze)),"",IF(Tb_Activiteiten[[#This Row],[Loonkosten]]=1,Tb_Activiteiten[[#Headers],[Loonkosten]],"")))</f>
        <v/>
      </c>
      <c r="AL173" t="str">
        <f>IF(ISNUMBER(FIND("arbeid",Methode_Keuze)),"",IF(ISNUMBER(FIND("arbeid",Methode_Keuze)),"",IF(Tb_Activiteiten[[#This Row],[Eigen arbeid]]=1,Tb_Activiteiten[[#Headers],[Eigen arbeid]],"")))</f>
        <v/>
      </c>
      <c r="AM173" t="str">
        <f>IF(ISNUMBER(FIND("arbeid",Methode_Keuze)),"",IF(ISNUMBER(FIND("arbeid",Methode_Keuze)),"",IF(Tb_Activiteiten[[#This Row],[Projectmedewerker]]=1,Tb_Activiteiten[[#Headers],[Projectmedewerker]],"")))</f>
        <v/>
      </c>
      <c r="AN173" t="str">
        <f>IF(ISNUMBER(FIND("arbeid",Methode_Keuze)),"",IF(ISNUMBER(FIND("arbeid",Methode_Keuze)),"",IF(Tb_Activiteiten[[#This Row],[Landbouwer]]=1,Tb_Activiteiten[[#Headers],[Landbouwer]],"")))</f>
        <v/>
      </c>
      <c r="AO173" t="str">
        <f>IF(ISNUMBER(FIND("arbeid",Methode_Keuze)),"",IF(ISNUMBER(FIND("arbeid",Methode_Keuze)),"",IF(Tb_Activiteiten[[#This Row],[Adviseur]]=1,Tb_Activiteiten[[#Headers],[Adviseur]],"")))</f>
        <v/>
      </c>
      <c r="AP173" t="str">
        <f>IF(ISNUMBER(FIND("arbeid",Methode_Keuze)),"",IF(ISNUMBER(FIND("arbeid",Methode_Keuze)),"",IF(Tb_Activiteiten[[#This Row],[Projectleider/Expert]]=1,Tb_Activiteiten[[#Headers],[Projectleider/Expert]],"")))</f>
        <v/>
      </c>
      <c r="AQ173" t="str">
        <f>IF(ISNUMBER(FIND("arbeid",Methode_Keuze)),"",IF(ISNUMBER(FIND("arbeid",Methode_Keuze)),"",IF(Tb_Activiteiten[[#This Row],[Arbeidskosten]]=1,Tb_Activiteiten[[#Headers],[Arbeidskosten]],"")))</f>
        <v/>
      </c>
      <c r="AR173" t="str">
        <f>IF(ISNUMBER(FIND("arbeid",Methode_Keuze)),"",IF(ISNUMBER(FIND("arbeid",Methode_Keuze)),"",IF(Tb_Activiteiten[[#This Row],[Arbeidskosten op basis van IKS]]=1,Tb_Activiteiten[[#Headers],[Arbeidskosten op basis van IKS]],"")))</f>
        <v/>
      </c>
      <c r="AS173" t="str">
        <f>IF(ISNUMBER(FIND("overige",Methode_Keuze)),"",IF(Tb_Activiteiten[[#This Row],[Kosten derden exclusief btw]]=1,Tb_Activiteiten[[#Headers],[Kosten derden exclusief btw]],""))</f>
        <v/>
      </c>
      <c r="AT173" t="str">
        <f>IF(ISNUMBER(FIND("overige",Methode_Keuze)),"",IF(Tb_Activiteiten[[#This Row],[Niet verrekenbare btw]]=1,Tb_Activiteiten[[#Headers],[Niet verrekenbare btw]],""))</f>
        <v/>
      </c>
      <c r="AU173" t="str">
        <f>IF(ISNUMBER(FIND("overige",Methode_Keuze)),"",IF(Tb_Activiteiten[[#This Row],[Grondkosten]]=1,Tb_Activiteiten[[#Headers],[Grondkosten]],""))</f>
        <v/>
      </c>
      <c r="AV173" t="str">
        <f>IF(ISNUMBER(FIND("overige",Methode_Keuze)),"",IF(Tb_Activiteiten[[#This Row],[Bijdrage in natura (overige)]]=1,Tb_Activiteiten[[#Headers],[Bijdrage in natura (overige)]],""))</f>
        <v/>
      </c>
      <c r="AW173" t="str">
        <f>IF(ISNUMBER(FIND("overige",Methode_Keuze)),"",IF(Tb_Activiteiten[[#This Row],[Bijdrage in natura (vrijwilligers)]]=1,Tb_Activiteiten[[#Headers],[Bijdrage in natura (vrijwilligers)]],""))</f>
        <v/>
      </c>
      <c r="AX173" t="str">
        <f>IF(ISNUMBER(FIND("overige",Methode_Keuze)),"",IF(Tb_Activiteiten[[#This Row],[Afschrijvingskosten]]=1,Tb_Activiteiten[[#Headers],[Afschrijvingskosten]],""))</f>
        <v/>
      </c>
      <c r="AY173" t="str">
        <f>IF(ISNUMBER(FIND("overige",Methode_Keuze)),"",IF(Tb_Activiteiten[[#This Row],[Vergoeding]]=1,Tb_Activiteiten[[#Headers],[Vergoeding]],""))</f>
        <v/>
      </c>
      <c r="AZ173" t="str">
        <f>IF(ISNUMBER(FIND("arbeid",Methode_Keuze)),"",IF(Tb_Activiteiten[[#This Row],[Arbeidskosten - vast tarief (excl eigen arbeid)]]=1,Tb_Activiteiten[[#Headers],[Arbeidskosten - vast tarief (excl eigen arbeid)]],""))</f>
        <v/>
      </c>
      <c r="BA173" t="str">
        <f>IF(ISNUMBER(FIND("overige",Methode_Keuze)),"",IF(Tb_Activiteiten[[#This Row],[Overige kosten]]=1,Tb_Activiteiten[[#Headers],[Overige kosten]],""))</f>
        <v/>
      </c>
    </row>
    <row r="174" spans="1:53" x14ac:dyDescent="0.25">
      <c r="A174" s="231"/>
      <c r="F174" s="64"/>
      <c r="G174" s="64"/>
      <c r="H174" s="275"/>
      <c r="I174" s="275"/>
      <c r="J174" s="275"/>
      <c r="K174" s="275"/>
      <c r="O174" s="56"/>
      <c r="Q174" t="str">
        <f>IFERROR(IF(VLOOKUP(Tb_Activiteiten[[#This Row],[Openstelling]],Tb_Openstelling[],2,0)=1,1,""),"")</f>
        <v/>
      </c>
      <c r="AK174" t="str">
        <f>IF(ISNUMBER(FIND("arbeid",Methode_Keuze)),"",IF(ISNUMBER(FIND("arbeid",Methode_Keuze)),"",IF(Tb_Activiteiten[[#This Row],[Loonkosten]]=1,Tb_Activiteiten[[#Headers],[Loonkosten]],"")))</f>
        <v/>
      </c>
      <c r="AL174" t="str">
        <f>IF(ISNUMBER(FIND("arbeid",Methode_Keuze)),"",IF(ISNUMBER(FIND("arbeid",Methode_Keuze)),"",IF(Tb_Activiteiten[[#This Row],[Eigen arbeid]]=1,Tb_Activiteiten[[#Headers],[Eigen arbeid]],"")))</f>
        <v/>
      </c>
      <c r="AM174" t="str">
        <f>IF(ISNUMBER(FIND("arbeid",Methode_Keuze)),"",IF(ISNUMBER(FIND("arbeid",Methode_Keuze)),"",IF(Tb_Activiteiten[[#This Row],[Projectmedewerker]]=1,Tb_Activiteiten[[#Headers],[Projectmedewerker]],"")))</f>
        <v/>
      </c>
      <c r="AN174" t="str">
        <f>IF(ISNUMBER(FIND("arbeid",Methode_Keuze)),"",IF(ISNUMBER(FIND("arbeid",Methode_Keuze)),"",IF(Tb_Activiteiten[[#This Row],[Landbouwer]]=1,Tb_Activiteiten[[#Headers],[Landbouwer]],"")))</f>
        <v/>
      </c>
      <c r="AO174" t="str">
        <f>IF(ISNUMBER(FIND("arbeid",Methode_Keuze)),"",IF(ISNUMBER(FIND("arbeid",Methode_Keuze)),"",IF(Tb_Activiteiten[[#This Row],[Adviseur]]=1,Tb_Activiteiten[[#Headers],[Adviseur]],"")))</f>
        <v/>
      </c>
      <c r="AP174" t="str">
        <f>IF(ISNUMBER(FIND("arbeid",Methode_Keuze)),"",IF(ISNUMBER(FIND("arbeid",Methode_Keuze)),"",IF(Tb_Activiteiten[[#This Row],[Projectleider/Expert]]=1,Tb_Activiteiten[[#Headers],[Projectleider/Expert]],"")))</f>
        <v/>
      </c>
      <c r="AQ174" t="str">
        <f>IF(ISNUMBER(FIND("arbeid",Methode_Keuze)),"",IF(ISNUMBER(FIND("arbeid",Methode_Keuze)),"",IF(Tb_Activiteiten[[#This Row],[Arbeidskosten]]=1,Tb_Activiteiten[[#Headers],[Arbeidskosten]],"")))</f>
        <v/>
      </c>
      <c r="AR174" t="str">
        <f>IF(ISNUMBER(FIND("arbeid",Methode_Keuze)),"",IF(ISNUMBER(FIND("arbeid",Methode_Keuze)),"",IF(Tb_Activiteiten[[#This Row],[Arbeidskosten op basis van IKS]]=1,Tb_Activiteiten[[#Headers],[Arbeidskosten op basis van IKS]],"")))</f>
        <v/>
      </c>
      <c r="AS174" t="str">
        <f>IF(ISNUMBER(FIND("overige",Methode_Keuze)),"",IF(Tb_Activiteiten[[#This Row],[Kosten derden exclusief btw]]=1,Tb_Activiteiten[[#Headers],[Kosten derden exclusief btw]],""))</f>
        <v/>
      </c>
      <c r="AT174" t="str">
        <f>IF(ISNUMBER(FIND("overige",Methode_Keuze)),"",IF(Tb_Activiteiten[[#This Row],[Niet verrekenbare btw]]=1,Tb_Activiteiten[[#Headers],[Niet verrekenbare btw]],""))</f>
        <v/>
      </c>
      <c r="AU174" t="str">
        <f>IF(ISNUMBER(FIND("overige",Methode_Keuze)),"",IF(Tb_Activiteiten[[#This Row],[Grondkosten]]=1,Tb_Activiteiten[[#Headers],[Grondkosten]],""))</f>
        <v/>
      </c>
      <c r="AV174" t="str">
        <f>IF(ISNUMBER(FIND("overige",Methode_Keuze)),"",IF(Tb_Activiteiten[[#This Row],[Bijdrage in natura (overige)]]=1,Tb_Activiteiten[[#Headers],[Bijdrage in natura (overige)]],""))</f>
        <v/>
      </c>
      <c r="AW174" t="str">
        <f>IF(ISNUMBER(FIND("overige",Methode_Keuze)),"",IF(Tb_Activiteiten[[#This Row],[Bijdrage in natura (vrijwilligers)]]=1,Tb_Activiteiten[[#Headers],[Bijdrage in natura (vrijwilligers)]],""))</f>
        <v/>
      </c>
      <c r="AX174" t="str">
        <f>IF(ISNUMBER(FIND("overige",Methode_Keuze)),"",IF(Tb_Activiteiten[[#This Row],[Afschrijvingskosten]]=1,Tb_Activiteiten[[#Headers],[Afschrijvingskosten]],""))</f>
        <v/>
      </c>
      <c r="AY174" t="str">
        <f>IF(ISNUMBER(FIND("overige",Methode_Keuze)),"",IF(Tb_Activiteiten[[#This Row],[Vergoeding]]=1,Tb_Activiteiten[[#Headers],[Vergoeding]],""))</f>
        <v/>
      </c>
      <c r="AZ174" t="str">
        <f>IF(ISNUMBER(FIND("arbeid",Methode_Keuze)),"",IF(Tb_Activiteiten[[#This Row],[Arbeidskosten - vast tarief (excl eigen arbeid)]]=1,Tb_Activiteiten[[#Headers],[Arbeidskosten - vast tarief (excl eigen arbeid)]],""))</f>
        <v/>
      </c>
      <c r="BA174" t="str">
        <f>IF(ISNUMBER(FIND("overige",Methode_Keuze)),"",IF(Tb_Activiteiten[[#This Row],[Overige kosten]]=1,Tb_Activiteiten[[#Headers],[Overige kosten]],""))</f>
        <v/>
      </c>
    </row>
    <row r="175" spans="1:53" x14ac:dyDescent="0.25">
      <c r="A175" s="231"/>
      <c r="F175" s="64"/>
      <c r="G175" s="64"/>
      <c r="H175" s="275"/>
      <c r="I175" s="275"/>
      <c r="J175" s="275"/>
      <c r="K175" s="275"/>
      <c r="O175" s="56"/>
      <c r="Q175" t="str">
        <f>IFERROR(IF(VLOOKUP(Tb_Activiteiten[[#This Row],[Openstelling]],Tb_Openstelling[],2,0)=1,1,""),"")</f>
        <v/>
      </c>
      <c r="AK175" t="str">
        <f>IF(ISNUMBER(FIND("arbeid",Methode_Keuze)),"",IF(ISNUMBER(FIND("arbeid",Methode_Keuze)),"",IF(Tb_Activiteiten[[#This Row],[Loonkosten]]=1,Tb_Activiteiten[[#Headers],[Loonkosten]],"")))</f>
        <v/>
      </c>
      <c r="AL175" t="str">
        <f>IF(ISNUMBER(FIND("arbeid",Methode_Keuze)),"",IF(ISNUMBER(FIND("arbeid",Methode_Keuze)),"",IF(Tb_Activiteiten[[#This Row],[Eigen arbeid]]=1,Tb_Activiteiten[[#Headers],[Eigen arbeid]],"")))</f>
        <v/>
      </c>
      <c r="AM175" t="str">
        <f>IF(ISNUMBER(FIND("arbeid",Methode_Keuze)),"",IF(ISNUMBER(FIND("arbeid",Methode_Keuze)),"",IF(Tb_Activiteiten[[#This Row],[Projectmedewerker]]=1,Tb_Activiteiten[[#Headers],[Projectmedewerker]],"")))</f>
        <v/>
      </c>
      <c r="AN175" t="str">
        <f>IF(ISNUMBER(FIND("arbeid",Methode_Keuze)),"",IF(ISNUMBER(FIND("arbeid",Methode_Keuze)),"",IF(Tb_Activiteiten[[#This Row],[Landbouwer]]=1,Tb_Activiteiten[[#Headers],[Landbouwer]],"")))</f>
        <v/>
      </c>
      <c r="AO175" t="str">
        <f>IF(ISNUMBER(FIND("arbeid",Methode_Keuze)),"",IF(ISNUMBER(FIND("arbeid",Methode_Keuze)),"",IF(Tb_Activiteiten[[#This Row],[Adviseur]]=1,Tb_Activiteiten[[#Headers],[Adviseur]],"")))</f>
        <v/>
      </c>
      <c r="AP175" t="str">
        <f>IF(ISNUMBER(FIND("arbeid",Methode_Keuze)),"",IF(ISNUMBER(FIND("arbeid",Methode_Keuze)),"",IF(Tb_Activiteiten[[#This Row],[Projectleider/Expert]]=1,Tb_Activiteiten[[#Headers],[Projectleider/Expert]],"")))</f>
        <v/>
      </c>
      <c r="AQ175" t="str">
        <f>IF(ISNUMBER(FIND("arbeid",Methode_Keuze)),"",IF(ISNUMBER(FIND("arbeid",Methode_Keuze)),"",IF(Tb_Activiteiten[[#This Row],[Arbeidskosten]]=1,Tb_Activiteiten[[#Headers],[Arbeidskosten]],"")))</f>
        <v/>
      </c>
      <c r="AR175" t="str">
        <f>IF(ISNUMBER(FIND("arbeid",Methode_Keuze)),"",IF(ISNUMBER(FIND("arbeid",Methode_Keuze)),"",IF(Tb_Activiteiten[[#This Row],[Arbeidskosten op basis van IKS]]=1,Tb_Activiteiten[[#Headers],[Arbeidskosten op basis van IKS]],"")))</f>
        <v/>
      </c>
      <c r="AS175" t="str">
        <f>IF(ISNUMBER(FIND("overige",Methode_Keuze)),"",IF(Tb_Activiteiten[[#This Row],[Kosten derden exclusief btw]]=1,Tb_Activiteiten[[#Headers],[Kosten derden exclusief btw]],""))</f>
        <v/>
      </c>
      <c r="AT175" t="str">
        <f>IF(ISNUMBER(FIND("overige",Methode_Keuze)),"",IF(Tb_Activiteiten[[#This Row],[Niet verrekenbare btw]]=1,Tb_Activiteiten[[#Headers],[Niet verrekenbare btw]],""))</f>
        <v/>
      </c>
      <c r="AU175" t="str">
        <f>IF(ISNUMBER(FIND("overige",Methode_Keuze)),"",IF(Tb_Activiteiten[[#This Row],[Grondkosten]]=1,Tb_Activiteiten[[#Headers],[Grondkosten]],""))</f>
        <v/>
      </c>
      <c r="AV175" t="str">
        <f>IF(ISNUMBER(FIND("overige",Methode_Keuze)),"",IF(Tb_Activiteiten[[#This Row],[Bijdrage in natura (overige)]]=1,Tb_Activiteiten[[#Headers],[Bijdrage in natura (overige)]],""))</f>
        <v/>
      </c>
      <c r="AW175" t="str">
        <f>IF(ISNUMBER(FIND("overige",Methode_Keuze)),"",IF(Tb_Activiteiten[[#This Row],[Bijdrage in natura (vrijwilligers)]]=1,Tb_Activiteiten[[#Headers],[Bijdrage in natura (vrijwilligers)]],""))</f>
        <v/>
      </c>
      <c r="AX175" t="str">
        <f>IF(ISNUMBER(FIND("overige",Methode_Keuze)),"",IF(Tb_Activiteiten[[#This Row],[Afschrijvingskosten]]=1,Tb_Activiteiten[[#Headers],[Afschrijvingskosten]],""))</f>
        <v/>
      </c>
      <c r="AY175" t="str">
        <f>IF(ISNUMBER(FIND("overige",Methode_Keuze)),"",IF(Tb_Activiteiten[[#This Row],[Vergoeding]]=1,Tb_Activiteiten[[#Headers],[Vergoeding]],""))</f>
        <v/>
      </c>
      <c r="AZ175" t="str">
        <f>IF(ISNUMBER(FIND("arbeid",Methode_Keuze)),"",IF(Tb_Activiteiten[[#This Row],[Arbeidskosten - vast tarief (excl eigen arbeid)]]=1,Tb_Activiteiten[[#Headers],[Arbeidskosten - vast tarief (excl eigen arbeid)]],""))</f>
        <v/>
      </c>
      <c r="BA175" t="str">
        <f>IF(ISNUMBER(FIND("overige",Methode_Keuze)),"",IF(Tb_Activiteiten[[#This Row],[Overige kosten]]=1,Tb_Activiteiten[[#Headers],[Overige kosten]],""))</f>
        <v/>
      </c>
    </row>
    <row r="176" spans="1:53" x14ac:dyDescent="0.25">
      <c r="A176" s="231"/>
      <c r="F176" s="64"/>
      <c r="G176" s="64"/>
      <c r="H176" s="275"/>
      <c r="I176" s="275"/>
      <c r="J176" s="275"/>
      <c r="K176" s="275"/>
      <c r="O176" s="56"/>
      <c r="Q176" t="str">
        <f>IFERROR(IF(VLOOKUP(Tb_Activiteiten[[#This Row],[Openstelling]],Tb_Openstelling[],2,0)=1,1,""),"")</f>
        <v/>
      </c>
      <c r="AK176" t="str">
        <f>IF(ISNUMBER(FIND("arbeid",Methode_Keuze)),"",IF(ISNUMBER(FIND("arbeid",Methode_Keuze)),"",IF(Tb_Activiteiten[[#This Row],[Loonkosten]]=1,Tb_Activiteiten[[#Headers],[Loonkosten]],"")))</f>
        <v/>
      </c>
      <c r="AL176" t="str">
        <f>IF(ISNUMBER(FIND("arbeid",Methode_Keuze)),"",IF(ISNUMBER(FIND("arbeid",Methode_Keuze)),"",IF(Tb_Activiteiten[[#This Row],[Eigen arbeid]]=1,Tb_Activiteiten[[#Headers],[Eigen arbeid]],"")))</f>
        <v/>
      </c>
      <c r="AM176" t="str">
        <f>IF(ISNUMBER(FIND("arbeid",Methode_Keuze)),"",IF(ISNUMBER(FIND("arbeid",Methode_Keuze)),"",IF(Tb_Activiteiten[[#This Row],[Projectmedewerker]]=1,Tb_Activiteiten[[#Headers],[Projectmedewerker]],"")))</f>
        <v/>
      </c>
      <c r="AN176" t="str">
        <f>IF(ISNUMBER(FIND("arbeid",Methode_Keuze)),"",IF(ISNUMBER(FIND("arbeid",Methode_Keuze)),"",IF(Tb_Activiteiten[[#This Row],[Landbouwer]]=1,Tb_Activiteiten[[#Headers],[Landbouwer]],"")))</f>
        <v/>
      </c>
      <c r="AO176" t="str">
        <f>IF(ISNUMBER(FIND("arbeid",Methode_Keuze)),"",IF(ISNUMBER(FIND("arbeid",Methode_Keuze)),"",IF(Tb_Activiteiten[[#This Row],[Adviseur]]=1,Tb_Activiteiten[[#Headers],[Adviseur]],"")))</f>
        <v/>
      </c>
      <c r="AP176" t="str">
        <f>IF(ISNUMBER(FIND("arbeid",Methode_Keuze)),"",IF(ISNUMBER(FIND("arbeid",Methode_Keuze)),"",IF(Tb_Activiteiten[[#This Row],[Projectleider/Expert]]=1,Tb_Activiteiten[[#Headers],[Projectleider/Expert]],"")))</f>
        <v/>
      </c>
      <c r="AQ176" t="str">
        <f>IF(ISNUMBER(FIND("arbeid",Methode_Keuze)),"",IF(ISNUMBER(FIND("arbeid",Methode_Keuze)),"",IF(Tb_Activiteiten[[#This Row],[Arbeidskosten]]=1,Tb_Activiteiten[[#Headers],[Arbeidskosten]],"")))</f>
        <v/>
      </c>
      <c r="AR176" t="str">
        <f>IF(ISNUMBER(FIND("arbeid",Methode_Keuze)),"",IF(ISNUMBER(FIND("arbeid",Methode_Keuze)),"",IF(Tb_Activiteiten[[#This Row],[Arbeidskosten op basis van IKS]]=1,Tb_Activiteiten[[#Headers],[Arbeidskosten op basis van IKS]],"")))</f>
        <v/>
      </c>
      <c r="AS176" t="str">
        <f>IF(ISNUMBER(FIND("overige",Methode_Keuze)),"",IF(Tb_Activiteiten[[#This Row],[Kosten derden exclusief btw]]=1,Tb_Activiteiten[[#Headers],[Kosten derden exclusief btw]],""))</f>
        <v/>
      </c>
      <c r="AT176" t="str">
        <f>IF(ISNUMBER(FIND("overige",Methode_Keuze)),"",IF(Tb_Activiteiten[[#This Row],[Niet verrekenbare btw]]=1,Tb_Activiteiten[[#Headers],[Niet verrekenbare btw]],""))</f>
        <v/>
      </c>
      <c r="AU176" t="str">
        <f>IF(ISNUMBER(FIND("overige",Methode_Keuze)),"",IF(Tb_Activiteiten[[#This Row],[Grondkosten]]=1,Tb_Activiteiten[[#Headers],[Grondkosten]],""))</f>
        <v/>
      </c>
      <c r="AV176" t="str">
        <f>IF(ISNUMBER(FIND("overige",Methode_Keuze)),"",IF(Tb_Activiteiten[[#This Row],[Bijdrage in natura (overige)]]=1,Tb_Activiteiten[[#Headers],[Bijdrage in natura (overige)]],""))</f>
        <v/>
      </c>
      <c r="AW176" t="str">
        <f>IF(ISNUMBER(FIND("overige",Methode_Keuze)),"",IF(Tb_Activiteiten[[#This Row],[Bijdrage in natura (vrijwilligers)]]=1,Tb_Activiteiten[[#Headers],[Bijdrage in natura (vrijwilligers)]],""))</f>
        <v/>
      </c>
      <c r="AX176" t="str">
        <f>IF(ISNUMBER(FIND("overige",Methode_Keuze)),"",IF(Tb_Activiteiten[[#This Row],[Afschrijvingskosten]]=1,Tb_Activiteiten[[#Headers],[Afschrijvingskosten]],""))</f>
        <v/>
      </c>
      <c r="AY176" t="str">
        <f>IF(ISNUMBER(FIND("overige",Methode_Keuze)),"",IF(Tb_Activiteiten[[#This Row],[Vergoeding]]=1,Tb_Activiteiten[[#Headers],[Vergoeding]],""))</f>
        <v/>
      </c>
      <c r="AZ176" t="str">
        <f>IF(ISNUMBER(FIND("arbeid",Methode_Keuze)),"",IF(Tb_Activiteiten[[#This Row],[Arbeidskosten - vast tarief (excl eigen arbeid)]]=1,Tb_Activiteiten[[#Headers],[Arbeidskosten - vast tarief (excl eigen arbeid)]],""))</f>
        <v/>
      </c>
      <c r="BA176" t="str">
        <f>IF(ISNUMBER(FIND("overige",Methode_Keuze)),"",IF(Tb_Activiteiten[[#This Row],[Overige kosten]]=1,Tb_Activiteiten[[#Headers],[Overige kosten]],""))</f>
        <v/>
      </c>
    </row>
    <row r="177" spans="1:53" x14ac:dyDescent="0.25">
      <c r="A177" s="231"/>
      <c r="F177" s="64"/>
      <c r="G177" s="64"/>
      <c r="H177" s="275"/>
      <c r="I177" s="275"/>
      <c r="J177" s="275"/>
      <c r="K177" s="275"/>
      <c r="O177" s="56"/>
      <c r="Q177" t="str">
        <f>IFERROR(IF(VLOOKUP(Tb_Activiteiten[[#This Row],[Openstelling]],Tb_Openstelling[],2,0)=1,1,""),"")</f>
        <v/>
      </c>
      <c r="AK177" t="str">
        <f>IF(ISNUMBER(FIND("arbeid",Methode_Keuze)),"",IF(ISNUMBER(FIND("arbeid",Methode_Keuze)),"",IF(Tb_Activiteiten[[#This Row],[Loonkosten]]=1,Tb_Activiteiten[[#Headers],[Loonkosten]],"")))</f>
        <v/>
      </c>
      <c r="AL177" t="str">
        <f>IF(ISNUMBER(FIND("arbeid",Methode_Keuze)),"",IF(ISNUMBER(FIND("arbeid",Methode_Keuze)),"",IF(Tb_Activiteiten[[#This Row],[Eigen arbeid]]=1,Tb_Activiteiten[[#Headers],[Eigen arbeid]],"")))</f>
        <v/>
      </c>
      <c r="AM177" t="str">
        <f>IF(ISNUMBER(FIND("arbeid",Methode_Keuze)),"",IF(ISNUMBER(FIND("arbeid",Methode_Keuze)),"",IF(Tb_Activiteiten[[#This Row],[Projectmedewerker]]=1,Tb_Activiteiten[[#Headers],[Projectmedewerker]],"")))</f>
        <v/>
      </c>
      <c r="AN177" t="str">
        <f>IF(ISNUMBER(FIND("arbeid",Methode_Keuze)),"",IF(ISNUMBER(FIND("arbeid",Methode_Keuze)),"",IF(Tb_Activiteiten[[#This Row],[Landbouwer]]=1,Tb_Activiteiten[[#Headers],[Landbouwer]],"")))</f>
        <v/>
      </c>
      <c r="AO177" t="str">
        <f>IF(ISNUMBER(FIND("arbeid",Methode_Keuze)),"",IF(ISNUMBER(FIND("arbeid",Methode_Keuze)),"",IF(Tb_Activiteiten[[#This Row],[Adviseur]]=1,Tb_Activiteiten[[#Headers],[Adviseur]],"")))</f>
        <v/>
      </c>
      <c r="AP177" t="str">
        <f>IF(ISNUMBER(FIND("arbeid",Methode_Keuze)),"",IF(ISNUMBER(FIND("arbeid",Methode_Keuze)),"",IF(Tb_Activiteiten[[#This Row],[Projectleider/Expert]]=1,Tb_Activiteiten[[#Headers],[Projectleider/Expert]],"")))</f>
        <v/>
      </c>
      <c r="AQ177" t="str">
        <f>IF(ISNUMBER(FIND("arbeid",Methode_Keuze)),"",IF(ISNUMBER(FIND("arbeid",Methode_Keuze)),"",IF(Tb_Activiteiten[[#This Row],[Arbeidskosten]]=1,Tb_Activiteiten[[#Headers],[Arbeidskosten]],"")))</f>
        <v/>
      </c>
      <c r="AR177" t="str">
        <f>IF(ISNUMBER(FIND("arbeid",Methode_Keuze)),"",IF(ISNUMBER(FIND("arbeid",Methode_Keuze)),"",IF(Tb_Activiteiten[[#This Row],[Arbeidskosten op basis van IKS]]=1,Tb_Activiteiten[[#Headers],[Arbeidskosten op basis van IKS]],"")))</f>
        <v/>
      </c>
      <c r="AS177" t="str">
        <f>IF(ISNUMBER(FIND("overige",Methode_Keuze)),"",IF(Tb_Activiteiten[[#This Row],[Kosten derden exclusief btw]]=1,Tb_Activiteiten[[#Headers],[Kosten derden exclusief btw]],""))</f>
        <v/>
      </c>
      <c r="AT177" t="str">
        <f>IF(ISNUMBER(FIND("overige",Methode_Keuze)),"",IF(Tb_Activiteiten[[#This Row],[Niet verrekenbare btw]]=1,Tb_Activiteiten[[#Headers],[Niet verrekenbare btw]],""))</f>
        <v/>
      </c>
      <c r="AU177" t="str">
        <f>IF(ISNUMBER(FIND("overige",Methode_Keuze)),"",IF(Tb_Activiteiten[[#This Row],[Grondkosten]]=1,Tb_Activiteiten[[#Headers],[Grondkosten]],""))</f>
        <v/>
      </c>
      <c r="AV177" t="str">
        <f>IF(ISNUMBER(FIND("overige",Methode_Keuze)),"",IF(Tb_Activiteiten[[#This Row],[Bijdrage in natura (overige)]]=1,Tb_Activiteiten[[#Headers],[Bijdrage in natura (overige)]],""))</f>
        <v/>
      </c>
      <c r="AW177" t="str">
        <f>IF(ISNUMBER(FIND("overige",Methode_Keuze)),"",IF(Tb_Activiteiten[[#This Row],[Bijdrage in natura (vrijwilligers)]]=1,Tb_Activiteiten[[#Headers],[Bijdrage in natura (vrijwilligers)]],""))</f>
        <v/>
      </c>
      <c r="AX177" t="str">
        <f>IF(ISNUMBER(FIND("overige",Methode_Keuze)),"",IF(Tb_Activiteiten[[#This Row],[Afschrijvingskosten]]=1,Tb_Activiteiten[[#Headers],[Afschrijvingskosten]],""))</f>
        <v/>
      </c>
      <c r="AY177" t="str">
        <f>IF(ISNUMBER(FIND("overige",Methode_Keuze)),"",IF(Tb_Activiteiten[[#This Row],[Vergoeding]]=1,Tb_Activiteiten[[#Headers],[Vergoeding]],""))</f>
        <v/>
      </c>
      <c r="AZ177" t="str">
        <f>IF(ISNUMBER(FIND("arbeid",Methode_Keuze)),"",IF(Tb_Activiteiten[[#This Row],[Arbeidskosten - vast tarief (excl eigen arbeid)]]=1,Tb_Activiteiten[[#Headers],[Arbeidskosten - vast tarief (excl eigen arbeid)]],""))</f>
        <v/>
      </c>
      <c r="BA177" t="str">
        <f>IF(ISNUMBER(FIND("overige",Methode_Keuze)),"",IF(Tb_Activiteiten[[#This Row],[Overige kosten]]=1,Tb_Activiteiten[[#Headers],[Overige kosten]],""))</f>
        <v/>
      </c>
    </row>
    <row r="178" spans="1:53" x14ac:dyDescent="0.25">
      <c r="A178" s="231"/>
      <c r="F178" s="64"/>
      <c r="G178" s="64"/>
      <c r="H178" s="275"/>
      <c r="I178" s="275"/>
      <c r="J178" s="275"/>
      <c r="K178" s="275"/>
      <c r="O178" s="56"/>
      <c r="Q178" t="str">
        <f>IFERROR(IF(VLOOKUP(Tb_Activiteiten[[#This Row],[Openstelling]],Tb_Openstelling[],2,0)=1,1,""),"")</f>
        <v/>
      </c>
      <c r="AK178" t="str">
        <f>IF(ISNUMBER(FIND("arbeid",Methode_Keuze)),"",IF(ISNUMBER(FIND("arbeid",Methode_Keuze)),"",IF(Tb_Activiteiten[[#This Row],[Loonkosten]]=1,Tb_Activiteiten[[#Headers],[Loonkosten]],"")))</f>
        <v/>
      </c>
      <c r="AL178" t="str">
        <f>IF(ISNUMBER(FIND("arbeid",Methode_Keuze)),"",IF(ISNUMBER(FIND("arbeid",Methode_Keuze)),"",IF(Tb_Activiteiten[[#This Row],[Eigen arbeid]]=1,Tb_Activiteiten[[#Headers],[Eigen arbeid]],"")))</f>
        <v/>
      </c>
      <c r="AM178" t="str">
        <f>IF(ISNUMBER(FIND("arbeid",Methode_Keuze)),"",IF(ISNUMBER(FIND("arbeid",Methode_Keuze)),"",IF(Tb_Activiteiten[[#This Row],[Projectmedewerker]]=1,Tb_Activiteiten[[#Headers],[Projectmedewerker]],"")))</f>
        <v/>
      </c>
      <c r="AN178" t="str">
        <f>IF(ISNUMBER(FIND("arbeid",Methode_Keuze)),"",IF(ISNUMBER(FIND("arbeid",Methode_Keuze)),"",IF(Tb_Activiteiten[[#This Row],[Landbouwer]]=1,Tb_Activiteiten[[#Headers],[Landbouwer]],"")))</f>
        <v/>
      </c>
      <c r="AO178" t="str">
        <f>IF(ISNUMBER(FIND("arbeid",Methode_Keuze)),"",IF(ISNUMBER(FIND("arbeid",Methode_Keuze)),"",IF(Tb_Activiteiten[[#This Row],[Adviseur]]=1,Tb_Activiteiten[[#Headers],[Adviseur]],"")))</f>
        <v/>
      </c>
      <c r="AP178" t="str">
        <f>IF(ISNUMBER(FIND("arbeid",Methode_Keuze)),"",IF(ISNUMBER(FIND("arbeid",Methode_Keuze)),"",IF(Tb_Activiteiten[[#This Row],[Projectleider/Expert]]=1,Tb_Activiteiten[[#Headers],[Projectleider/Expert]],"")))</f>
        <v/>
      </c>
      <c r="AQ178" t="str">
        <f>IF(ISNUMBER(FIND("arbeid",Methode_Keuze)),"",IF(ISNUMBER(FIND("arbeid",Methode_Keuze)),"",IF(Tb_Activiteiten[[#This Row],[Arbeidskosten]]=1,Tb_Activiteiten[[#Headers],[Arbeidskosten]],"")))</f>
        <v/>
      </c>
      <c r="AR178" t="str">
        <f>IF(ISNUMBER(FIND("arbeid",Methode_Keuze)),"",IF(ISNUMBER(FIND("arbeid",Methode_Keuze)),"",IF(Tb_Activiteiten[[#This Row],[Arbeidskosten op basis van IKS]]=1,Tb_Activiteiten[[#Headers],[Arbeidskosten op basis van IKS]],"")))</f>
        <v/>
      </c>
      <c r="AS178" t="str">
        <f>IF(ISNUMBER(FIND("overige",Methode_Keuze)),"",IF(Tb_Activiteiten[[#This Row],[Kosten derden exclusief btw]]=1,Tb_Activiteiten[[#Headers],[Kosten derden exclusief btw]],""))</f>
        <v/>
      </c>
      <c r="AT178" t="str">
        <f>IF(ISNUMBER(FIND("overige",Methode_Keuze)),"",IF(Tb_Activiteiten[[#This Row],[Niet verrekenbare btw]]=1,Tb_Activiteiten[[#Headers],[Niet verrekenbare btw]],""))</f>
        <v/>
      </c>
      <c r="AU178" t="str">
        <f>IF(ISNUMBER(FIND("overige",Methode_Keuze)),"",IF(Tb_Activiteiten[[#This Row],[Grondkosten]]=1,Tb_Activiteiten[[#Headers],[Grondkosten]],""))</f>
        <v/>
      </c>
      <c r="AV178" t="str">
        <f>IF(ISNUMBER(FIND("overige",Methode_Keuze)),"",IF(Tb_Activiteiten[[#This Row],[Bijdrage in natura (overige)]]=1,Tb_Activiteiten[[#Headers],[Bijdrage in natura (overige)]],""))</f>
        <v/>
      </c>
      <c r="AW178" t="str">
        <f>IF(ISNUMBER(FIND("overige",Methode_Keuze)),"",IF(Tb_Activiteiten[[#This Row],[Bijdrage in natura (vrijwilligers)]]=1,Tb_Activiteiten[[#Headers],[Bijdrage in natura (vrijwilligers)]],""))</f>
        <v/>
      </c>
      <c r="AX178" t="str">
        <f>IF(ISNUMBER(FIND("overige",Methode_Keuze)),"",IF(Tb_Activiteiten[[#This Row],[Afschrijvingskosten]]=1,Tb_Activiteiten[[#Headers],[Afschrijvingskosten]],""))</f>
        <v/>
      </c>
      <c r="AY178" t="str">
        <f>IF(ISNUMBER(FIND("overige",Methode_Keuze)),"",IF(Tb_Activiteiten[[#This Row],[Vergoeding]]=1,Tb_Activiteiten[[#Headers],[Vergoeding]],""))</f>
        <v/>
      </c>
      <c r="AZ178" t="str">
        <f>IF(ISNUMBER(FIND("arbeid",Methode_Keuze)),"",IF(Tb_Activiteiten[[#This Row],[Arbeidskosten - vast tarief (excl eigen arbeid)]]=1,Tb_Activiteiten[[#Headers],[Arbeidskosten - vast tarief (excl eigen arbeid)]],""))</f>
        <v/>
      </c>
      <c r="BA178" t="str">
        <f>IF(ISNUMBER(FIND("overige",Methode_Keuze)),"",IF(Tb_Activiteiten[[#This Row],[Overige kosten]]=1,Tb_Activiteiten[[#Headers],[Overige kosten]],""))</f>
        <v/>
      </c>
    </row>
    <row r="179" spans="1:53" x14ac:dyDescent="0.25">
      <c r="A179" s="231"/>
      <c r="F179" s="64"/>
      <c r="G179" s="64"/>
      <c r="H179" s="275"/>
      <c r="I179" s="275"/>
      <c r="J179" s="275"/>
      <c r="K179" s="275"/>
      <c r="O179" s="56"/>
      <c r="Q179" t="str">
        <f>IFERROR(IF(VLOOKUP(Tb_Activiteiten[[#This Row],[Openstelling]],Tb_Openstelling[],2,0)=1,1,""),"")</f>
        <v/>
      </c>
      <c r="AK179" t="str">
        <f>IF(ISNUMBER(FIND("arbeid",Methode_Keuze)),"",IF(ISNUMBER(FIND("arbeid",Methode_Keuze)),"",IF(Tb_Activiteiten[[#This Row],[Loonkosten]]=1,Tb_Activiteiten[[#Headers],[Loonkosten]],"")))</f>
        <v/>
      </c>
      <c r="AL179" t="str">
        <f>IF(ISNUMBER(FIND("arbeid",Methode_Keuze)),"",IF(ISNUMBER(FIND("arbeid",Methode_Keuze)),"",IF(Tb_Activiteiten[[#This Row],[Eigen arbeid]]=1,Tb_Activiteiten[[#Headers],[Eigen arbeid]],"")))</f>
        <v/>
      </c>
      <c r="AM179" t="str">
        <f>IF(ISNUMBER(FIND("arbeid",Methode_Keuze)),"",IF(ISNUMBER(FIND("arbeid",Methode_Keuze)),"",IF(Tb_Activiteiten[[#This Row],[Projectmedewerker]]=1,Tb_Activiteiten[[#Headers],[Projectmedewerker]],"")))</f>
        <v/>
      </c>
      <c r="AN179" t="str">
        <f>IF(ISNUMBER(FIND("arbeid",Methode_Keuze)),"",IF(ISNUMBER(FIND("arbeid",Methode_Keuze)),"",IF(Tb_Activiteiten[[#This Row],[Landbouwer]]=1,Tb_Activiteiten[[#Headers],[Landbouwer]],"")))</f>
        <v/>
      </c>
      <c r="AO179" t="str">
        <f>IF(ISNUMBER(FIND("arbeid",Methode_Keuze)),"",IF(ISNUMBER(FIND("arbeid",Methode_Keuze)),"",IF(Tb_Activiteiten[[#This Row],[Adviseur]]=1,Tb_Activiteiten[[#Headers],[Adviseur]],"")))</f>
        <v/>
      </c>
      <c r="AP179" t="str">
        <f>IF(ISNUMBER(FIND("arbeid",Methode_Keuze)),"",IF(ISNUMBER(FIND("arbeid",Methode_Keuze)),"",IF(Tb_Activiteiten[[#This Row],[Projectleider/Expert]]=1,Tb_Activiteiten[[#Headers],[Projectleider/Expert]],"")))</f>
        <v/>
      </c>
      <c r="AQ179" t="str">
        <f>IF(ISNUMBER(FIND("arbeid",Methode_Keuze)),"",IF(ISNUMBER(FIND("arbeid",Methode_Keuze)),"",IF(Tb_Activiteiten[[#This Row],[Arbeidskosten]]=1,Tb_Activiteiten[[#Headers],[Arbeidskosten]],"")))</f>
        <v/>
      </c>
      <c r="AR179" t="str">
        <f>IF(ISNUMBER(FIND("arbeid",Methode_Keuze)),"",IF(ISNUMBER(FIND("arbeid",Methode_Keuze)),"",IF(Tb_Activiteiten[[#This Row],[Arbeidskosten op basis van IKS]]=1,Tb_Activiteiten[[#Headers],[Arbeidskosten op basis van IKS]],"")))</f>
        <v/>
      </c>
      <c r="AS179" t="str">
        <f>IF(ISNUMBER(FIND("overige",Methode_Keuze)),"",IF(Tb_Activiteiten[[#This Row],[Kosten derden exclusief btw]]=1,Tb_Activiteiten[[#Headers],[Kosten derden exclusief btw]],""))</f>
        <v/>
      </c>
      <c r="AT179" t="str">
        <f>IF(ISNUMBER(FIND("overige",Methode_Keuze)),"",IF(Tb_Activiteiten[[#This Row],[Niet verrekenbare btw]]=1,Tb_Activiteiten[[#Headers],[Niet verrekenbare btw]],""))</f>
        <v/>
      </c>
      <c r="AU179" t="str">
        <f>IF(ISNUMBER(FIND("overige",Methode_Keuze)),"",IF(Tb_Activiteiten[[#This Row],[Grondkosten]]=1,Tb_Activiteiten[[#Headers],[Grondkosten]],""))</f>
        <v/>
      </c>
      <c r="AV179" t="str">
        <f>IF(ISNUMBER(FIND("overige",Methode_Keuze)),"",IF(Tb_Activiteiten[[#This Row],[Bijdrage in natura (overige)]]=1,Tb_Activiteiten[[#Headers],[Bijdrage in natura (overige)]],""))</f>
        <v/>
      </c>
      <c r="AW179" t="str">
        <f>IF(ISNUMBER(FIND("overige",Methode_Keuze)),"",IF(Tb_Activiteiten[[#This Row],[Bijdrage in natura (vrijwilligers)]]=1,Tb_Activiteiten[[#Headers],[Bijdrage in natura (vrijwilligers)]],""))</f>
        <v/>
      </c>
      <c r="AX179" t="str">
        <f>IF(ISNUMBER(FIND("overige",Methode_Keuze)),"",IF(Tb_Activiteiten[[#This Row],[Afschrijvingskosten]]=1,Tb_Activiteiten[[#Headers],[Afschrijvingskosten]],""))</f>
        <v/>
      </c>
      <c r="AY179" t="str">
        <f>IF(ISNUMBER(FIND("overige",Methode_Keuze)),"",IF(Tb_Activiteiten[[#This Row],[Vergoeding]]=1,Tb_Activiteiten[[#Headers],[Vergoeding]],""))</f>
        <v/>
      </c>
      <c r="AZ179" t="str">
        <f>IF(ISNUMBER(FIND("arbeid",Methode_Keuze)),"",IF(Tb_Activiteiten[[#This Row],[Arbeidskosten - vast tarief (excl eigen arbeid)]]=1,Tb_Activiteiten[[#Headers],[Arbeidskosten - vast tarief (excl eigen arbeid)]],""))</f>
        <v/>
      </c>
      <c r="BA179" t="str">
        <f>IF(ISNUMBER(FIND("overige",Methode_Keuze)),"",IF(Tb_Activiteiten[[#This Row],[Overige kosten]]=1,Tb_Activiteiten[[#Headers],[Overige kosten]],""))</f>
        <v/>
      </c>
    </row>
    <row r="180" spans="1:53" x14ac:dyDescent="0.25">
      <c r="A180" s="231"/>
      <c r="F180" s="64"/>
      <c r="G180" s="64"/>
      <c r="H180" s="275"/>
      <c r="I180" s="275"/>
      <c r="J180" s="275"/>
      <c r="K180" s="275"/>
      <c r="O180" s="56"/>
      <c r="Q180" t="str">
        <f>IFERROR(IF(VLOOKUP(Tb_Activiteiten[[#This Row],[Openstelling]],Tb_Openstelling[],2,0)=1,1,""),"")</f>
        <v/>
      </c>
      <c r="AK180" t="str">
        <f>IF(ISNUMBER(FIND("arbeid",Methode_Keuze)),"",IF(ISNUMBER(FIND("arbeid",Methode_Keuze)),"",IF(Tb_Activiteiten[[#This Row],[Loonkosten]]=1,Tb_Activiteiten[[#Headers],[Loonkosten]],"")))</f>
        <v/>
      </c>
      <c r="AL180" t="str">
        <f>IF(ISNUMBER(FIND("arbeid",Methode_Keuze)),"",IF(ISNUMBER(FIND("arbeid",Methode_Keuze)),"",IF(Tb_Activiteiten[[#This Row],[Eigen arbeid]]=1,Tb_Activiteiten[[#Headers],[Eigen arbeid]],"")))</f>
        <v/>
      </c>
      <c r="AM180" t="str">
        <f>IF(ISNUMBER(FIND("arbeid",Methode_Keuze)),"",IF(ISNUMBER(FIND("arbeid",Methode_Keuze)),"",IF(Tb_Activiteiten[[#This Row],[Projectmedewerker]]=1,Tb_Activiteiten[[#Headers],[Projectmedewerker]],"")))</f>
        <v/>
      </c>
      <c r="AN180" t="str">
        <f>IF(ISNUMBER(FIND("arbeid",Methode_Keuze)),"",IF(ISNUMBER(FIND("arbeid",Methode_Keuze)),"",IF(Tb_Activiteiten[[#This Row],[Landbouwer]]=1,Tb_Activiteiten[[#Headers],[Landbouwer]],"")))</f>
        <v/>
      </c>
      <c r="AO180" t="str">
        <f>IF(ISNUMBER(FIND("arbeid",Methode_Keuze)),"",IF(ISNUMBER(FIND("arbeid",Methode_Keuze)),"",IF(Tb_Activiteiten[[#This Row],[Adviseur]]=1,Tb_Activiteiten[[#Headers],[Adviseur]],"")))</f>
        <v/>
      </c>
      <c r="AP180" t="str">
        <f>IF(ISNUMBER(FIND("arbeid",Methode_Keuze)),"",IF(ISNUMBER(FIND("arbeid",Methode_Keuze)),"",IF(Tb_Activiteiten[[#This Row],[Projectleider/Expert]]=1,Tb_Activiteiten[[#Headers],[Projectleider/Expert]],"")))</f>
        <v/>
      </c>
      <c r="AQ180" t="str">
        <f>IF(ISNUMBER(FIND("arbeid",Methode_Keuze)),"",IF(ISNUMBER(FIND("arbeid",Methode_Keuze)),"",IF(Tb_Activiteiten[[#This Row],[Arbeidskosten]]=1,Tb_Activiteiten[[#Headers],[Arbeidskosten]],"")))</f>
        <v/>
      </c>
      <c r="AR180" t="str">
        <f>IF(ISNUMBER(FIND("arbeid",Methode_Keuze)),"",IF(ISNUMBER(FIND("arbeid",Methode_Keuze)),"",IF(Tb_Activiteiten[[#This Row],[Arbeidskosten op basis van IKS]]=1,Tb_Activiteiten[[#Headers],[Arbeidskosten op basis van IKS]],"")))</f>
        <v/>
      </c>
      <c r="AS180" t="str">
        <f>IF(ISNUMBER(FIND("overige",Methode_Keuze)),"",IF(Tb_Activiteiten[[#This Row],[Kosten derden exclusief btw]]=1,Tb_Activiteiten[[#Headers],[Kosten derden exclusief btw]],""))</f>
        <v/>
      </c>
      <c r="AT180" t="str">
        <f>IF(ISNUMBER(FIND("overige",Methode_Keuze)),"",IF(Tb_Activiteiten[[#This Row],[Niet verrekenbare btw]]=1,Tb_Activiteiten[[#Headers],[Niet verrekenbare btw]],""))</f>
        <v/>
      </c>
      <c r="AU180" t="str">
        <f>IF(ISNUMBER(FIND("overige",Methode_Keuze)),"",IF(Tb_Activiteiten[[#This Row],[Grondkosten]]=1,Tb_Activiteiten[[#Headers],[Grondkosten]],""))</f>
        <v/>
      </c>
      <c r="AV180" t="str">
        <f>IF(ISNUMBER(FIND("overige",Methode_Keuze)),"",IF(Tb_Activiteiten[[#This Row],[Bijdrage in natura (overige)]]=1,Tb_Activiteiten[[#Headers],[Bijdrage in natura (overige)]],""))</f>
        <v/>
      </c>
      <c r="AW180" t="str">
        <f>IF(ISNUMBER(FIND("overige",Methode_Keuze)),"",IF(Tb_Activiteiten[[#This Row],[Bijdrage in natura (vrijwilligers)]]=1,Tb_Activiteiten[[#Headers],[Bijdrage in natura (vrijwilligers)]],""))</f>
        <v/>
      </c>
      <c r="AX180" t="str">
        <f>IF(ISNUMBER(FIND("overige",Methode_Keuze)),"",IF(Tb_Activiteiten[[#This Row],[Afschrijvingskosten]]=1,Tb_Activiteiten[[#Headers],[Afschrijvingskosten]],""))</f>
        <v/>
      </c>
      <c r="AY180" t="str">
        <f>IF(ISNUMBER(FIND("overige",Methode_Keuze)),"",IF(Tb_Activiteiten[[#This Row],[Vergoeding]]=1,Tb_Activiteiten[[#Headers],[Vergoeding]],""))</f>
        <v/>
      </c>
      <c r="AZ180" t="str">
        <f>IF(ISNUMBER(FIND("arbeid",Methode_Keuze)),"",IF(Tb_Activiteiten[[#This Row],[Arbeidskosten - vast tarief (excl eigen arbeid)]]=1,Tb_Activiteiten[[#Headers],[Arbeidskosten - vast tarief (excl eigen arbeid)]],""))</f>
        <v/>
      </c>
      <c r="BA180" t="str">
        <f>IF(ISNUMBER(FIND("overige",Methode_Keuze)),"",IF(Tb_Activiteiten[[#This Row],[Overige kosten]]=1,Tb_Activiteiten[[#Headers],[Overige kosten]],""))</f>
        <v/>
      </c>
    </row>
    <row r="181" spans="1:53" x14ac:dyDescent="0.25">
      <c r="A181" s="231"/>
      <c r="F181" s="64"/>
      <c r="G181" s="64"/>
      <c r="H181" s="275"/>
      <c r="I181" s="275"/>
      <c r="J181" s="275"/>
      <c r="K181" s="275"/>
      <c r="O181" s="56"/>
      <c r="Q181" t="str">
        <f>IFERROR(IF(VLOOKUP(Tb_Activiteiten[[#This Row],[Openstelling]],Tb_Openstelling[],2,0)=1,1,""),"")</f>
        <v/>
      </c>
      <c r="AK181" t="str">
        <f>IF(ISNUMBER(FIND("arbeid",Methode_Keuze)),"",IF(ISNUMBER(FIND("arbeid",Methode_Keuze)),"",IF(Tb_Activiteiten[[#This Row],[Loonkosten]]=1,Tb_Activiteiten[[#Headers],[Loonkosten]],"")))</f>
        <v/>
      </c>
      <c r="AL181" t="str">
        <f>IF(ISNUMBER(FIND("arbeid",Methode_Keuze)),"",IF(ISNUMBER(FIND("arbeid",Methode_Keuze)),"",IF(Tb_Activiteiten[[#This Row],[Eigen arbeid]]=1,Tb_Activiteiten[[#Headers],[Eigen arbeid]],"")))</f>
        <v/>
      </c>
      <c r="AM181" t="str">
        <f>IF(ISNUMBER(FIND("arbeid",Methode_Keuze)),"",IF(ISNUMBER(FIND("arbeid",Methode_Keuze)),"",IF(Tb_Activiteiten[[#This Row],[Projectmedewerker]]=1,Tb_Activiteiten[[#Headers],[Projectmedewerker]],"")))</f>
        <v/>
      </c>
      <c r="AN181" t="str">
        <f>IF(ISNUMBER(FIND("arbeid",Methode_Keuze)),"",IF(ISNUMBER(FIND("arbeid",Methode_Keuze)),"",IF(Tb_Activiteiten[[#This Row],[Landbouwer]]=1,Tb_Activiteiten[[#Headers],[Landbouwer]],"")))</f>
        <v/>
      </c>
      <c r="AO181" t="str">
        <f>IF(ISNUMBER(FIND("arbeid",Methode_Keuze)),"",IF(ISNUMBER(FIND("arbeid",Methode_Keuze)),"",IF(Tb_Activiteiten[[#This Row],[Adviseur]]=1,Tb_Activiteiten[[#Headers],[Adviseur]],"")))</f>
        <v/>
      </c>
      <c r="AP181" t="str">
        <f>IF(ISNUMBER(FIND("arbeid",Methode_Keuze)),"",IF(ISNUMBER(FIND("arbeid",Methode_Keuze)),"",IF(Tb_Activiteiten[[#This Row],[Projectleider/Expert]]=1,Tb_Activiteiten[[#Headers],[Projectleider/Expert]],"")))</f>
        <v/>
      </c>
      <c r="AQ181" t="str">
        <f>IF(ISNUMBER(FIND("arbeid",Methode_Keuze)),"",IF(ISNUMBER(FIND("arbeid",Methode_Keuze)),"",IF(Tb_Activiteiten[[#This Row],[Arbeidskosten]]=1,Tb_Activiteiten[[#Headers],[Arbeidskosten]],"")))</f>
        <v/>
      </c>
      <c r="AR181" t="str">
        <f>IF(ISNUMBER(FIND("arbeid",Methode_Keuze)),"",IF(ISNUMBER(FIND("arbeid",Methode_Keuze)),"",IF(Tb_Activiteiten[[#This Row],[Arbeidskosten op basis van IKS]]=1,Tb_Activiteiten[[#Headers],[Arbeidskosten op basis van IKS]],"")))</f>
        <v/>
      </c>
      <c r="AS181" t="str">
        <f>IF(ISNUMBER(FIND("overige",Methode_Keuze)),"",IF(Tb_Activiteiten[[#This Row],[Kosten derden exclusief btw]]=1,Tb_Activiteiten[[#Headers],[Kosten derden exclusief btw]],""))</f>
        <v/>
      </c>
      <c r="AT181" t="str">
        <f>IF(ISNUMBER(FIND("overige",Methode_Keuze)),"",IF(Tb_Activiteiten[[#This Row],[Niet verrekenbare btw]]=1,Tb_Activiteiten[[#Headers],[Niet verrekenbare btw]],""))</f>
        <v/>
      </c>
      <c r="AU181" t="str">
        <f>IF(ISNUMBER(FIND("overige",Methode_Keuze)),"",IF(Tb_Activiteiten[[#This Row],[Grondkosten]]=1,Tb_Activiteiten[[#Headers],[Grondkosten]],""))</f>
        <v/>
      </c>
      <c r="AV181" t="str">
        <f>IF(ISNUMBER(FIND("overige",Methode_Keuze)),"",IF(Tb_Activiteiten[[#This Row],[Bijdrage in natura (overige)]]=1,Tb_Activiteiten[[#Headers],[Bijdrage in natura (overige)]],""))</f>
        <v/>
      </c>
      <c r="AW181" t="str">
        <f>IF(ISNUMBER(FIND("overige",Methode_Keuze)),"",IF(Tb_Activiteiten[[#This Row],[Bijdrage in natura (vrijwilligers)]]=1,Tb_Activiteiten[[#Headers],[Bijdrage in natura (vrijwilligers)]],""))</f>
        <v/>
      </c>
      <c r="AX181" t="str">
        <f>IF(ISNUMBER(FIND("overige",Methode_Keuze)),"",IF(Tb_Activiteiten[[#This Row],[Afschrijvingskosten]]=1,Tb_Activiteiten[[#Headers],[Afschrijvingskosten]],""))</f>
        <v/>
      </c>
      <c r="AY181" t="str">
        <f>IF(ISNUMBER(FIND("overige",Methode_Keuze)),"",IF(Tb_Activiteiten[[#This Row],[Vergoeding]]=1,Tb_Activiteiten[[#Headers],[Vergoeding]],""))</f>
        <v/>
      </c>
      <c r="AZ181" t="str">
        <f>IF(ISNUMBER(FIND("arbeid",Methode_Keuze)),"",IF(Tb_Activiteiten[[#This Row],[Arbeidskosten - vast tarief (excl eigen arbeid)]]=1,Tb_Activiteiten[[#Headers],[Arbeidskosten - vast tarief (excl eigen arbeid)]],""))</f>
        <v/>
      </c>
      <c r="BA181" t="str">
        <f>IF(ISNUMBER(FIND("overige",Methode_Keuze)),"",IF(Tb_Activiteiten[[#This Row],[Overige kosten]]=1,Tb_Activiteiten[[#Headers],[Overige kosten]],""))</f>
        <v/>
      </c>
    </row>
    <row r="182" spans="1:53" x14ac:dyDescent="0.25">
      <c r="A182" s="231"/>
      <c r="F182" s="64"/>
      <c r="G182" s="64"/>
      <c r="H182" s="275"/>
      <c r="I182" s="275"/>
      <c r="J182" s="275"/>
      <c r="K182" s="275"/>
      <c r="O182" s="56"/>
      <c r="Q182" t="str">
        <f>IFERROR(IF(VLOOKUP(Tb_Activiteiten[[#This Row],[Openstelling]],Tb_Openstelling[],2,0)=1,1,""),"")</f>
        <v/>
      </c>
      <c r="AK182" t="str">
        <f>IF(ISNUMBER(FIND("arbeid",Methode_Keuze)),"",IF(ISNUMBER(FIND("arbeid",Methode_Keuze)),"",IF(Tb_Activiteiten[[#This Row],[Loonkosten]]=1,Tb_Activiteiten[[#Headers],[Loonkosten]],"")))</f>
        <v/>
      </c>
      <c r="AL182" t="str">
        <f>IF(ISNUMBER(FIND("arbeid",Methode_Keuze)),"",IF(ISNUMBER(FIND("arbeid",Methode_Keuze)),"",IF(Tb_Activiteiten[[#This Row],[Eigen arbeid]]=1,Tb_Activiteiten[[#Headers],[Eigen arbeid]],"")))</f>
        <v/>
      </c>
      <c r="AM182" t="str">
        <f>IF(ISNUMBER(FIND("arbeid",Methode_Keuze)),"",IF(ISNUMBER(FIND("arbeid",Methode_Keuze)),"",IF(Tb_Activiteiten[[#This Row],[Projectmedewerker]]=1,Tb_Activiteiten[[#Headers],[Projectmedewerker]],"")))</f>
        <v/>
      </c>
      <c r="AN182" t="str">
        <f>IF(ISNUMBER(FIND("arbeid",Methode_Keuze)),"",IF(ISNUMBER(FIND("arbeid",Methode_Keuze)),"",IF(Tb_Activiteiten[[#This Row],[Landbouwer]]=1,Tb_Activiteiten[[#Headers],[Landbouwer]],"")))</f>
        <v/>
      </c>
      <c r="AO182" t="str">
        <f>IF(ISNUMBER(FIND("arbeid",Methode_Keuze)),"",IF(ISNUMBER(FIND("arbeid",Methode_Keuze)),"",IF(Tb_Activiteiten[[#This Row],[Adviseur]]=1,Tb_Activiteiten[[#Headers],[Adviseur]],"")))</f>
        <v/>
      </c>
      <c r="AP182" t="str">
        <f>IF(ISNUMBER(FIND("arbeid",Methode_Keuze)),"",IF(ISNUMBER(FIND("arbeid",Methode_Keuze)),"",IF(Tb_Activiteiten[[#This Row],[Projectleider/Expert]]=1,Tb_Activiteiten[[#Headers],[Projectleider/Expert]],"")))</f>
        <v/>
      </c>
      <c r="AQ182" t="str">
        <f>IF(ISNUMBER(FIND("arbeid",Methode_Keuze)),"",IF(ISNUMBER(FIND("arbeid",Methode_Keuze)),"",IF(Tb_Activiteiten[[#This Row],[Arbeidskosten]]=1,Tb_Activiteiten[[#Headers],[Arbeidskosten]],"")))</f>
        <v/>
      </c>
      <c r="AR182" t="str">
        <f>IF(ISNUMBER(FIND("arbeid",Methode_Keuze)),"",IF(ISNUMBER(FIND("arbeid",Methode_Keuze)),"",IF(Tb_Activiteiten[[#This Row],[Arbeidskosten op basis van IKS]]=1,Tb_Activiteiten[[#Headers],[Arbeidskosten op basis van IKS]],"")))</f>
        <v/>
      </c>
      <c r="AS182" t="str">
        <f>IF(ISNUMBER(FIND("overige",Methode_Keuze)),"",IF(Tb_Activiteiten[[#This Row],[Kosten derden exclusief btw]]=1,Tb_Activiteiten[[#Headers],[Kosten derden exclusief btw]],""))</f>
        <v/>
      </c>
      <c r="AT182" t="str">
        <f>IF(ISNUMBER(FIND("overige",Methode_Keuze)),"",IF(Tb_Activiteiten[[#This Row],[Niet verrekenbare btw]]=1,Tb_Activiteiten[[#Headers],[Niet verrekenbare btw]],""))</f>
        <v/>
      </c>
      <c r="AU182" t="str">
        <f>IF(ISNUMBER(FIND("overige",Methode_Keuze)),"",IF(Tb_Activiteiten[[#This Row],[Grondkosten]]=1,Tb_Activiteiten[[#Headers],[Grondkosten]],""))</f>
        <v/>
      </c>
      <c r="AV182" t="str">
        <f>IF(ISNUMBER(FIND("overige",Methode_Keuze)),"",IF(Tb_Activiteiten[[#This Row],[Bijdrage in natura (overige)]]=1,Tb_Activiteiten[[#Headers],[Bijdrage in natura (overige)]],""))</f>
        <v/>
      </c>
      <c r="AW182" t="str">
        <f>IF(ISNUMBER(FIND("overige",Methode_Keuze)),"",IF(Tb_Activiteiten[[#This Row],[Bijdrage in natura (vrijwilligers)]]=1,Tb_Activiteiten[[#Headers],[Bijdrage in natura (vrijwilligers)]],""))</f>
        <v/>
      </c>
      <c r="AX182" t="str">
        <f>IF(ISNUMBER(FIND("overige",Methode_Keuze)),"",IF(Tb_Activiteiten[[#This Row],[Afschrijvingskosten]]=1,Tb_Activiteiten[[#Headers],[Afschrijvingskosten]],""))</f>
        <v/>
      </c>
      <c r="AY182" t="str">
        <f>IF(ISNUMBER(FIND("overige",Methode_Keuze)),"",IF(Tb_Activiteiten[[#This Row],[Vergoeding]]=1,Tb_Activiteiten[[#Headers],[Vergoeding]],""))</f>
        <v/>
      </c>
      <c r="AZ182" t="str">
        <f>IF(ISNUMBER(FIND("arbeid",Methode_Keuze)),"",IF(Tb_Activiteiten[[#This Row],[Arbeidskosten - vast tarief (excl eigen arbeid)]]=1,Tb_Activiteiten[[#Headers],[Arbeidskosten - vast tarief (excl eigen arbeid)]],""))</f>
        <v/>
      </c>
      <c r="BA182" t="str">
        <f>IF(ISNUMBER(FIND("overige",Methode_Keuze)),"",IF(Tb_Activiteiten[[#This Row],[Overige kosten]]=1,Tb_Activiteiten[[#Headers],[Overige kosten]],""))</f>
        <v/>
      </c>
    </row>
    <row r="183" spans="1:53" x14ac:dyDescent="0.25">
      <c r="A183" s="231"/>
      <c r="F183" s="64"/>
      <c r="G183" s="64"/>
      <c r="H183" s="275"/>
      <c r="I183" s="275"/>
      <c r="J183" s="275"/>
      <c r="K183" s="275"/>
      <c r="O183" s="56"/>
      <c r="Q183" t="str">
        <f>IFERROR(IF(VLOOKUP(Tb_Activiteiten[[#This Row],[Openstelling]],Tb_Openstelling[],2,0)=1,1,""),"")</f>
        <v/>
      </c>
      <c r="AK183" t="str">
        <f>IF(ISNUMBER(FIND("arbeid",Methode_Keuze)),"",IF(ISNUMBER(FIND("arbeid",Methode_Keuze)),"",IF(Tb_Activiteiten[[#This Row],[Loonkosten]]=1,Tb_Activiteiten[[#Headers],[Loonkosten]],"")))</f>
        <v/>
      </c>
      <c r="AL183" t="str">
        <f>IF(ISNUMBER(FIND("arbeid",Methode_Keuze)),"",IF(ISNUMBER(FIND("arbeid",Methode_Keuze)),"",IF(Tb_Activiteiten[[#This Row],[Eigen arbeid]]=1,Tb_Activiteiten[[#Headers],[Eigen arbeid]],"")))</f>
        <v/>
      </c>
      <c r="AM183" t="str">
        <f>IF(ISNUMBER(FIND("arbeid",Methode_Keuze)),"",IF(ISNUMBER(FIND("arbeid",Methode_Keuze)),"",IF(Tb_Activiteiten[[#This Row],[Projectmedewerker]]=1,Tb_Activiteiten[[#Headers],[Projectmedewerker]],"")))</f>
        <v/>
      </c>
      <c r="AN183" t="str">
        <f>IF(ISNUMBER(FIND("arbeid",Methode_Keuze)),"",IF(ISNUMBER(FIND("arbeid",Methode_Keuze)),"",IF(Tb_Activiteiten[[#This Row],[Landbouwer]]=1,Tb_Activiteiten[[#Headers],[Landbouwer]],"")))</f>
        <v/>
      </c>
      <c r="AO183" t="str">
        <f>IF(ISNUMBER(FIND("arbeid",Methode_Keuze)),"",IF(ISNUMBER(FIND("arbeid",Methode_Keuze)),"",IF(Tb_Activiteiten[[#This Row],[Adviseur]]=1,Tb_Activiteiten[[#Headers],[Adviseur]],"")))</f>
        <v/>
      </c>
      <c r="AP183" t="str">
        <f>IF(ISNUMBER(FIND("arbeid",Methode_Keuze)),"",IF(ISNUMBER(FIND("arbeid",Methode_Keuze)),"",IF(Tb_Activiteiten[[#This Row],[Projectleider/Expert]]=1,Tb_Activiteiten[[#Headers],[Projectleider/Expert]],"")))</f>
        <v/>
      </c>
      <c r="AQ183" t="str">
        <f>IF(ISNUMBER(FIND("arbeid",Methode_Keuze)),"",IF(ISNUMBER(FIND("arbeid",Methode_Keuze)),"",IF(Tb_Activiteiten[[#This Row],[Arbeidskosten]]=1,Tb_Activiteiten[[#Headers],[Arbeidskosten]],"")))</f>
        <v/>
      </c>
      <c r="AR183" t="str">
        <f>IF(ISNUMBER(FIND("arbeid",Methode_Keuze)),"",IF(ISNUMBER(FIND("arbeid",Methode_Keuze)),"",IF(Tb_Activiteiten[[#This Row],[Arbeidskosten op basis van IKS]]=1,Tb_Activiteiten[[#Headers],[Arbeidskosten op basis van IKS]],"")))</f>
        <v/>
      </c>
      <c r="AS183" t="str">
        <f>IF(ISNUMBER(FIND("overige",Methode_Keuze)),"",IF(Tb_Activiteiten[[#This Row],[Kosten derden exclusief btw]]=1,Tb_Activiteiten[[#Headers],[Kosten derden exclusief btw]],""))</f>
        <v/>
      </c>
      <c r="AT183" t="str">
        <f>IF(ISNUMBER(FIND("overige",Methode_Keuze)),"",IF(Tb_Activiteiten[[#This Row],[Niet verrekenbare btw]]=1,Tb_Activiteiten[[#Headers],[Niet verrekenbare btw]],""))</f>
        <v/>
      </c>
      <c r="AU183" t="str">
        <f>IF(ISNUMBER(FIND("overige",Methode_Keuze)),"",IF(Tb_Activiteiten[[#This Row],[Grondkosten]]=1,Tb_Activiteiten[[#Headers],[Grondkosten]],""))</f>
        <v/>
      </c>
      <c r="AV183" t="str">
        <f>IF(ISNUMBER(FIND("overige",Methode_Keuze)),"",IF(Tb_Activiteiten[[#This Row],[Bijdrage in natura (overige)]]=1,Tb_Activiteiten[[#Headers],[Bijdrage in natura (overige)]],""))</f>
        <v/>
      </c>
      <c r="AW183" t="str">
        <f>IF(ISNUMBER(FIND("overige",Methode_Keuze)),"",IF(Tb_Activiteiten[[#This Row],[Bijdrage in natura (vrijwilligers)]]=1,Tb_Activiteiten[[#Headers],[Bijdrage in natura (vrijwilligers)]],""))</f>
        <v/>
      </c>
      <c r="AX183" t="str">
        <f>IF(ISNUMBER(FIND("overige",Methode_Keuze)),"",IF(Tb_Activiteiten[[#This Row],[Afschrijvingskosten]]=1,Tb_Activiteiten[[#Headers],[Afschrijvingskosten]],""))</f>
        <v/>
      </c>
      <c r="AY183" t="str">
        <f>IF(ISNUMBER(FIND("overige",Methode_Keuze)),"",IF(Tb_Activiteiten[[#This Row],[Vergoeding]]=1,Tb_Activiteiten[[#Headers],[Vergoeding]],""))</f>
        <v/>
      </c>
      <c r="AZ183" t="str">
        <f>IF(ISNUMBER(FIND("arbeid",Methode_Keuze)),"",IF(Tb_Activiteiten[[#This Row],[Arbeidskosten - vast tarief (excl eigen arbeid)]]=1,Tb_Activiteiten[[#Headers],[Arbeidskosten - vast tarief (excl eigen arbeid)]],""))</f>
        <v/>
      </c>
      <c r="BA183" t="str">
        <f>IF(ISNUMBER(FIND("overige",Methode_Keuze)),"",IF(Tb_Activiteiten[[#This Row],[Overige kosten]]=1,Tb_Activiteiten[[#Headers],[Overige kosten]],""))</f>
        <v/>
      </c>
    </row>
    <row r="184" spans="1:53" x14ac:dyDescent="0.25">
      <c r="A184" s="231"/>
      <c r="F184" s="64"/>
      <c r="G184" s="64"/>
      <c r="H184" s="275"/>
      <c r="I184" s="275"/>
      <c r="J184" s="275"/>
      <c r="K184" s="275"/>
      <c r="O184" s="56"/>
      <c r="Q184" t="str">
        <f>IFERROR(IF(VLOOKUP(Tb_Activiteiten[[#This Row],[Openstelling]],Tb_Openstelling[],2,0)=1,1,""),"")</f>
        <v/>
      </c>
      <c r="AK184" t="str">
        <f>IF(ISNUMBER(FIND("arbeid",Methode_Keuze)),"",IF(ISNUMBER(FIND("arbeid",Methode_Keuze)),"",IF(Tb_Activiteiten[[#This Row],[Loonkosten]]=1,Tb_Activiteiten[[#Headers],[Loonkosten]],"")))</f>
        <v/>
      </c>
      <c r="AL184" t="str">
        <f>IF(ISNUMBER(FIND("arbeid",Methode_Keuze)),"",IF(ISNUMBER(FIND("arbeid",Methode_Keuze)),"",IF(Tb_Activiteiten[[#This Row],[Eigen arbeid]]=1,Tb_Activiteiten[[#Headers],[Eigen arbeid]],"")))</f>
        <v/>
      </c>
      <c r="AM184" t="str">
        <f>IF(ISNUMBER(FIND("arbeid",Methode_Keuze)),"",IF(ISNUMBER(FIND("arbeid",Methode_Keuze)),"",IF(Tb_Activiteiten[[#This Row],[Projectmedewerker]]=1,Tb_Activiteiten[[#Headers],[Projectmedewerker]],"")))</f>
        <v/>
      </c>
      <c r="AN184" t="str">
        <f>IF(ISNUMBER(FIND("arbeid",Methode_Keuze)),"",IF(ISNUMBER(FIND("arbeid",Methode_Keuze)),"",IF(Tb_Activiteiten[[#This Row],[Landbouwer]]=1,Tb_Activiteiten[[#Headers],[Landbouwer]],"")))</f>
        <v/>
      </c>
      <c r="AO184" t="str">
        <f>IF(ISNUMBER(FIND("arbeid",Methode_Keuze)),"",IF(ISNUMBER(FIND("arbeid",Methode_Keuze)),"",IF(Tb_Activiteiten[[#This Row],[Adviseur]]=1,Tb_Activiteiten[[#Headers],[Adviseur]],"")))</f>
        <v/>
      </c>
      <c r="AP184" t="str">
        <f>IF(ISNUMBER(FIND("arbeid",Methode_Keuze)),"",IF(ISNUMBER(FIND("arbeid",Methode_Keuze)),"",IF(Tb_Activiteiten[[#This Row],[Projectleider/Expert]]=1,Tb_Activiteiten[[#Headers],[Projectleider/Expert]],"")))</f>
        <v/>
      </c>
      <c r="AQ184" t="str">
        <f>IF(ISNUMBER(FIND("arbeid",Methode_Keuze)),"",IF(ISNUMBER(FIND("arbeid",Methode_Keuze)),"",IF(Tb_Activiteiten[[#This Row],[Arbeidskosten]]=1,Tb_Activiteiten[[#Headers],[Arbeidskosten]],"")))</f>
        <v/>
      </c>
      <c r="AR184" t="str">
        <f>IF(ISNUMBER(FIND("arbeid",Methode_Keuze)),"",IF(ISNUMBER(FIND("arbeid",Methode_Keuze)),"",IF(Tb_Activiteiten[[#This Row],[Arbeidskosten op basis van IKS]]=1,Tb_Activiteiten[[#Headers],[Arbeidskosten op basis van IKS]],"")))</f>
        <v/>
      </c>
      <c r="AS184" t="str">
        <f>IF(ISNUMBER(FIND("overige",Methode_Keuze)),"",IF(Tb_Activiteiten[[#This Row],[Kosten derden exclusief btw]]=1,Tb_Activiteiten[[#Headers],[Kosten derden exclusief btw]],""))</f>
        <v/>
      </c>
      <c r="AT184" t="str">
        <f>IF(ISNUMBER(FIND("overige",Methode_Keuze)),"",IF(Tb_Activiteiten[[#This Row],[Niet verrekenbare btw]]=1,Tb_Activiteiten[[#Headers],[Niet verrekenbare btw]],""))</f>
        <v/>
      </c>
      <c r="AU184" t="str">
        <f>IF(ISNUMBER(FIND("overige",Methode_Keuze)),"",IF(Tb_Activiteiten[[#This Row],[Grondkosten]]=1,Tb_Activiteiten[[#Headers],[Grondkosten]],""))</f>
        <v/>
      </c>
      <c r="AV184" t="str">
        <f>IF(ISNUMBER(FIND("overige",Methode_Keuze)),"",IF(Tb_Activiteiten[[#This Row],[Bijdrage in natura (overige)]]=1,Tb_Activiteiten[[#Headers],[Bijdrage in natura (overige)]],""))</f>
        <v/>
      </c>
      <c r="AW184" t="str">
        <f>IF(ISNUMBER(FIND("overige",Methode_Keuze)),"",IF(Tb_Activiteiten[[#This Row],[Bijdrage in natura (vrijwilligers)]]=1,Tb_Activiteiten[[#Headers],[Bijdrage in natura (vrijwilligers)]],""))</f>
        <v/>
      </c>
      <c r="AX184" t="str">
        <f>IF(ISNUMBER(FIND("overige",Methode_Keuze)),"",IF(Tb_Activiteiten[[#This Row],[Afschrijvingskosten]]=1,Tb_Activiteiten[[#Headers],[Afschrijvingskosten]],""))</f>
        <v/>
      </c>
      <c r="AY184" t="str">
        <f>IF(ISNUMBER(FIND("overige",Methode_Keuze)),"",IF(Tb_Activiteiten[[#This Row],[Vergoeding]]=1,Tb_Activiteiten[[#Headers],[Vergoeding]],""))</f>
        <v/>
      </c>
      <c r="AZ184" t="str">
        <f>IF(ISNUMBER(FIND("arbeid",Methode_Keuze)),"",IF(Tb_Activiteiten[[#This Row],[Arbeidskosten - vast tarief (excl eigen arbeid)]]=1,Tb_Activiteiten[[#Headers],[Arbeidskosten - vast tarief (excl eigen arbeid)]],""))</f>
        <v/>
      </c>
      <c r="BA184" t="str">
        <f>IF(ISNUMBER(FIND("overige",Methode_Keuze)),"",IF(Tb_Activiteiten[[#This Row],[Overige kosten]]=1,Tb_Activiteiten[[#Headers],[Overige kosten]],""))</f>
        <v/>
      </c>
    </row>
    <row r="185" spans="1:53" x14ac:dyDescent="0.25">
      <c r="A185" s="231"/>
      <c r="F185" s="64"/>
      <c r="G185" s="64"/>
      <c r="H185" s="275"/>
      <c r="I185" s="275"/>
      <c r="J185" s="275"/>
      <c r="K185" s="275"/>
      <c r="O185" s="56"/>
      <c r="Q185" t="str">
        <f>IFERROR(IF(VLOOKUP(Tb_Activiteiten[[#This Row],[Openstelling]],Tb_Openstelling[],2,0)=1,1,""),"")</f>
        <v/>
      </c>
      <c r="AK185" t="str">
        <f>IF(ISNUMBER(FIND("arbeid",Methode_Keuze)),"",IF(ISNUMBER(FIND("arbeid",Methode_Keuze)),"",IF(Tb_Activiteiten[[#This Row],[Loonkosten]]=1,Tb_Activiteiten[[#Headers],[Loonkosten]],"")))</f>
        <v/>
      </c>
      <c r="AL185" t="str">
        <f>IF(ISNUMBER(FIND("arbeid",Methode_Keuze)),"",IF(ISNUMBER(FIND("arbeid",Methode_Keuze)),"",IF(Tb_Activiteiten[[#This Row],[Eigen arbeid]]=1,Tb_Activiteiten[[#Headers],[Eigen arbeid]],"")))</f>
        <v/>
      </c>
      <c r="AM185" t="str">
        <f>IF(ISNUMBER(FIND("arbeid",Methode_Keuze)),"",IF(ISNUMBER(FIND("arbeid",Methode_Keuze)),"",IF(Tb_Activiteiten[[#This Row],[Projectmedewerker]]=1,Tb_Activiteiten[[#Headers],[Projectmedewerker]],"")))</f>
        <v/>
      </c>
      <c r="AN185" t="str">
        <f>IF(ISNUMBER(FIND("arbeid",Methode_Keuze)),"",IF(ISNUMBER(FIND("arbeid",Methode_Keuze)),"",IF(Tb_Activiteiten[[#This Row],[Landbouwer]]=1,Tb_Activiteiten[[#Headers],[Landbouwer]],"")))</f>
        <v/>
      </c>
      <c r="AO185" t="str">
        <f>IF(ISNUMBER(FIND("arbeid",Methode_Keuze)),"",IF(ISNUMBER(FIND("arbeid",Methode_Keuze)),"",IF(Tb_Activiteiten[[#This Row],[Adviseur]]=1,Tb_Activiteiten[[#Headers],[Adviseur]],"")))</f>
        <v/>
      </c>
      <c r="AP185" t="str">
        <f>IF(ISNUMBER(FIND("arbeid",Methode_Keuze)),"",IF(ISNUMBER(FIND("arbeid",Methode_Keuze)),"",IF(Tb_Activiteiten[[#This Row],[Projectleider/Expert]]=1,Tb_Activiteiten[[#Headers],[Projectleider/Expert]],"")))</f>
        <v/>
      </c>
      <c r="AQ185" t="str">
        <f>IF(ISNUMBER(FIND("arbeid",Methode_Keuze)),"",IF(ISNUMBER(FIND("arbeid",Methode_Keuze)),"",IF(Tb_Activiteiten[[#This Row],[Arbeidskosten]]=1,Tb_Activiteiten[[#Headers],[Arbeidskosten]],"")))</f>
        <v/>
      </c>
      <c r="AR185" t="str">
        <f>IF(ISNUMBER(FIND("arbeid",Methode_Keuze)),"",IF(ISNUMBER(FIND("arbeid",Methode_Keuze)),"",IF(Tb_Activiteiten[[#This Row],[Arbeidskosten op basis van IKS]]=1,Tb_Activiteiten[[#Headers],[Arbeidskosten op basis van IKS]],"")))</f>
        <v/>
      </c>
      <c r="AS185" t="str">
        <f>IF(ISNUMBER(FIND("overige",Methode_Keuze)),"",IF(Tb_Activiteiten[[#This Row],[Kosten derden exclusief btw]]=1,Tb_Activiteiten[[#Headers],[Kosten derden exclusief btw]],""))</f>
        <v/>
      </c>
      <c r="AT185" t="str">
        <f>IF(ISNUMBER(FIND("overige",Methode_Keuze)),"",IF(Tb_Activiteiten[[#This Row],[Niet verrekenbare btw]]=1,Tb_Activiteiten[[#Headers],[Niet verrekenbare btw]],""))</f>
        <v/>
      </c>
      <c r="AU185" t="str">
        <f>IF(ISNUMBER(FIND("overige",Methode_Keuze)),"",IF(Tb_Activiteiten[[#This Row],[Grondkosten]]=1,Tb_Activiteiten[[#Headers],[Grondkosten]],""))</f>
        <v/>
      </c>
      <c r="AV185" t="str">
        <f>IF(ISNUMBER(FIND("overige",Methode_Keuze)),"",IF(Tb_Activiteiten[[#This Row],[Bijdrage in natura (overige)]]=1,Tb_Activiteiten[[#Headers],[Bijdrage in natura (overige)]],""))</f>
        <v/>
      </c>
      <c r="AW185" t="str">
        <f>IF(ISNUMBER(FIND("overige",Methode_Keuze)),"",IF(Tb_Activiteiten[[#This Row],[Bijdrage in natura (vrijwilligers)]]=1,Tb_Activiteiten[[#Headers],[Bijdrage in natura (vrijwilligers)]],""))</f>
        <v/>
      </c>
      <c r="AX185" t="str">
        <f>IF(ISNUMBER(FIND("overige",Methode_Keuze)),"",IF(Tb_Activiteiten[[#This Row],[Afschrijvingskosten]]=1,Tb_Activiteiten[[#Headers],[Afschrijvingskosten]],""))</f>
        <v/>
      </c>
      <c r="AY185" t="str">
        <f>IF(ISNUMBER(FIND("overige",Methode_Keuze)),"",IF(Tb_Activiteiten[[#This Row],[Vergoeding]]=1,Tb_Activiteiten[[#Headers],[Vergoeding]],""))</f>
        <v/>
      </c>
      <c r="AZ185" t="str">
        <f>IF(ISNUMBER(FIND("arbeid",Methode_Keuze)),"",IF(Tb_Activiteiten[[#This Row],[Arbeidskosten - vast tarief (excl eigen arbeid)]]=1,Tb_Activiteiten[[#Headers],[Arbeidskosten - vast tarief (excl eigen arbeid)]],""))</f>
        <v/>
      </c>
      <c r="BA185" t="str">
        <f>IF(ISNUMBER(FIND("overige",Methode_Keuze)),"",IF(Tb_Activiteiten[[#This Row],[Overige kosten]]=1,Tb_Activiteiten[[#Headers],[Overige kosten]],""))</f>
        <v/>
      </c>
    </row>
    <row r="186" spans="1:53" x14ac:dyDescent="0.25">
      <c r="A186" s="231"/>
      <c r="F186" s="64"/>
      <c r="G186" s="64"/>
      <c r="H186" s="275"/>
      <c r="I186" s="275"/>
      <c r="J186" s="275"/>
      <c r="K186" s="275"/>
      <c r="O186" s="56"/>
      <c r="Q186" t="str">
        <f>IFERROR(IF(VLOOKUP(Tb_Activiteiten[[#This Row],[Openstelling]],Tb_Openstelling[],2,0)=1,1,""),"")</f>
        <v/>
      </c>
      <c r="AK186" t="str">
        <f>IF(ISNUMBER(FIND("arbeid",Methode_Keuze)),"",IF(ISNUMBER(FIND("arbeid",Methode_Keuze)),"",IF(Tb_Activiteiten[[#This Row],[Loonkosten]]=1,Tb_Activiteiten[[#Headers],[Loonkosten]],"")))</f>
        <v/>
      </c>
      <c r="AL186" t="str">
        <f>IF(ISNUMBER(FIND("arbeid",Methode_Keuze)),"",IF(ISNUMBER(FIND("arbeid",Methode_Keuze)),"",IF(Tb_Activiteiten[[#This Row],[Eigen arbeid]]=1,Tb_Activiteiten[[#Headers],[Eigen arbeid]],"")))</f>
        <v/>
      </c>
      <c r="AM186" t="str">
        <f>IF(ISNUMBER(FIND("arbeid",Methode_Keuze)),"",IF(ISNUMBER(FIND("arbeid",Methode_Keuze)),"",IF(Tb_Activiteiten[[#This Row],[Projectmedewerker]]=1,Tb_Activiteiten[[#Headers],[Projectmedewerker]],"")))</f>
        <v/>
      </c>
      <c r="AN186" t="str">
        <f>IF(ISNUMBER(FIND("arbeid",Methode_Keuze)),"",IF(ISNUMBER(FIND("arbeid",Methode_Keuze)),"",IF(Tb_Activiteiten[[#This Row],[Landbouwer]]=1,Tb_Activiteiten[[#Headers],[Landbouwer]],"")))</f>
        <v/>
      </c>
      <c r="AO186" t="str">
        <f>IF(ISNUMBER(FIND("arbeid",Methode_Keuze)),"",IF(ISNUMBER(FIND("arbeid",Methode_Keuze)),"",IF(Tb_Activiteiten[[#This Row],[Adviseur]]=1,Tb_Activiteiten[[#Headers],[Adviseur]],"")))</f>
        <v/>
      </c>
      <c r="AP186" t="str">
        <f>IF(ISNUMBER(FIND("arbeid",Methode_Keuze)),"",IF(ISNUMBER(FIND("arbeid",Methode_Keuze)),"",IF(Tb_Activiteiten[[#This Row],[Projectleider/Expert]]=1,Tb_Activiteiten[[#Headers],[Projectleider/Expert]],"")))</f>
        <v/>
      </c>
      <c r="AQ186" t="str">
        <f>IF(ISNUMBER(FIND("arbeid",Methode_Keuze)),"",IF(ISNUMBER(FIND("arbeid",Methode_Keuze)),"",IF(Tb_Activiteiten[[#This Row],[Arbeidskosten]]=1,Tb_Activiteiten[[#Headers],[Arbeidskosten]],"")))</f>
        <v/>
      </c>
      <c r="AR186" t="str">
        <f>IF(ISNUMBER(FIND("arbeid",Methode_Keuze)),"",IF(ISNUMBER(FIND("arbeid",Methode_Keuze)),"",IF(Tb_Activiteiten[[#This Row],[Arbeidskosten op basis van IKS]]=1,Tb_Activiteiten[[#Headers],[Arbeidskosten op basis van IKS]],"")))</f>
        <v/>
      </c>
      <c r="AS186" t="str">
        <f>IF(ISNUMBER(FIND("overige",Methode_Keuze)),"",IF(Tb_Activiteiten[[#This Row],[Kosten derden exclusief btw]]=1,Tb_Activiteiten[[#Headers],[Kosten derden exclusief btw]],""))</f>
        <v/>
      </c>
      <c r="AT186" t="str">
        <f>IF(ISNUMBER(FIND("overige",Methode_Keuze)),"",IF(Tb_Activiteiten[[#This Row],[Niet verrekenbare btw]]=1,Tb_Activiteiten[[#Headers],[Niet verrekenbare btw]],""))</f>
        <v/>
      </c>
      <c r="AU186" t="str">
        <f>IF(ISNUMBER(FIND("overige",Methode_Keuze)),"",IF(Tb_Activiteiten[[#This Row],[Grondkosten]]=1,Tb_Activiteiten[[#Headers],[Grondkosten]],""))</f>
        <v/>
      </c>
      <c r="AV186" t="str">
        <f>IF(ISNUMBER(FIND("overige",Methode_Keuze)),"",IF(Tb_Activiteiten[[#This Row],[Bijdrage in natura (overige)]]=1,Tb_Activiteiten[[#Headers],[Bijdrage in natura (overige)]],""))</f>
        <v/>
      </c>
      <c r="AW186" t="str">
        <f>IF(ISNUMBER(FIND("overige",Methode_Keuze)),"",IF(Tb_Activiteiten[[#This Row],[Bijdrage in natura (vrijwilligers)]]=1,Tb_Activiteiten[[#Headers],[Bijdrage in natura (vrijwilligers)]],""))</f>
        <v/>
      </c>
      <c r="AX186" t="str">
        <f>IF(ISNUMBER(FIND("overige",Methode_Keuze)),"",IF(Tb_Activiteiten[[#This Row],[Afschrijvingskosten]]=1,Tb_Activiteiten[[#Headers],[Afschrijvingskosten]],""))</f>
        <v/>
      </c>
      <c r="AY186" t="str">
        <f>IF(ISNUMBER(FIND("overige",Methode_Keuze)),"",IF(Tb_Activiteiten[[#This Row],[Vergoeding]]=1,Tb_Activiteiten[[#Headers],[Vergoeding]],""))</f>
        <v/>
      </c>
      <c r="AZ186" t="str">
        <f>IF(ISNUMBER(FIND("arbeid",Methode_Keuze)),"",IF(Tb_Activiteiten[[#This Row],[Arbeidskosten - vast tarief (excl eigen arbeid)]]=1,Tb_Activiteiten[[#Headers],[Arbeidskosten - vast tarief (excl eigen arbeid)]],""))</f>
        <v/>
      </c>
      <c r="BA186" t="str">
        <f>IF(ISNUMBER(FIND("overige",Methode_Keuze)),"",IF(Tb_Activiteiten[[#This Row],[Overige kosten]]=1,Tb_Activiteiten[[#Headers],[Overige kosten]],""))</f>
        <v/>
      </c>
    </row>
    <row r="187" spans="1:53" x14ac:dyDescent="0.25">
      <c r="A187" s="231"/>
      <c r="F187" s="64"/>
      <c r="G187" s="64"/>
      <c r="H187" s="275"/>
      <c r="I187" s="275"/>
      <c r="J187" s="275"/>
      <c r="K187" s="275"/>
      <c r="O187" s="56"/>
      <c r="Q187" t="str">
        <f>IFERROR(IF(VLOOKUP(Tb_Activiteiten[[#This Row],[Openstelling]],Tb_Openstelling[],2,0)=1,1,""),"")</f>
        <v/>
      </c>
      <c r="AK187" t="str">
        <f>IF(ISNUMBER(FIND("arbeid",Methode_Keuze)),"",IF(ISNUMBER(FIND("arbeid",Methode_Keuze)),"",IF(Tb_Activiteiten[[#This Row],[Loonkosten]]=1,Tb_Activiteiten[[#Headers],[Loonkosten]],"")))</f>
        <v/>
      </c>
      <c r="AL187" t="str">
        <f>IF(ISNUMBER(FIND("arbeid",Methode_Keuze)),"",IF(ISNUMBER(FIND("arbeid",Methode_Keuze)),"",IF(Tb_Activiteiten[[#This Row],[Eigen arbeid]]=1,Tb_Activiteiten[[#Headers],[Eigen arbeid]],"")))</f>
        <v/>
      </c>
      <c r="AM187" t="str">
        <f>IF(ISNUMBER(FIND("arbeid",Methode_Keuze)),"",IF(ISNUMBER(FIND("arbeid",Methode_Keuze)),"",IF(Tb_Activiteiten[[#This Row],[Projectmedewerker]]=1,Tb_Activiteiten[[#Headers],[Projectmedewerker]],"")))</f>
        <v/>
      </c>
      <c r="AN187" t="str">
        <f>IF(ISNUMBER(FIND("arbeid",Methode_Keuze)),"",IF(ISNUMBER(FIND("arbeid",Methode_Keuze)),"",IF(Tb_Activiteiten[[#This Row],[Landbouwer]]=1,Tb_Activiteiten[[#Headers],[Landbouwer]],"")))</f>
        <v/>
      </c>
      <c r="AO187" t="str">
        <f>IF(ISNUMBER(FIND("arbeid",Methode_Keuze)),"",IF(ISNUMBER(FIND("arbeid",Methode_Keuze)),"",IF(Tb_Activiteiten[[#This Row],[Adviseur]]=1,Tb_Activiteiten[[#Headers],[Adviseur]],"")))</f>
        <v/>
      </c>
      <c r="AP187" t="str">
        <f>IF(ISNUMBER(FIND("arbeid",Methode_Keuze)),"",IF(ISNUMBER(FIND("arbeid",Methode_Keuze)),"",IF(Tb_Activiteiten[[#This Row],[Projectleider/Expert]]=1,Tb_Activiteiten[[#Headers],[Projectleider/Expert]],"")))</f>
        <v/>
      </c>
      <c r="AQ187" t="str">
        <f>IF(ISNUMBER(FIND("arbeid",Methode_Keuze)),"",IF(ISNUMBER(FIND("arbeid",Methode_Keuze)),"",IF(Tb_Activiteiten[[#This Row],[Arbeidskosten]]=1,Tb_Activiteiten[[#Headers],[Arbeidskosten]],"")))</f>
        <v/>
      </c>
      <c r="AR187" t="str">
        <f>IF(ISNUMBER(FIND("arbeid",Methode_Keuze)),"",IF(ISNUMBER(FIND("arbeid",Methode_Keuze)),"",IF(Tb_Activiteiten[[#This Row],[Arbeidskosten op basis van IKS]]=1,Tb_Activiteiten[[#Headers],[Arbeidskosten op basis van IKS]],"")))</f>
        <v/>
      </c>
      <c r="AS187" t="str">
        <f>IF(ISNUMBER(FIND("overige",Methode_Keuze)),"",IF(Tb_Activiteiten[[#This Row],[Kosten derden exclusief btw]]=1,Tb_Activiteiten[[#Headers],[Kosten derden exclusief btw]],""))</f>
        <v/>
      </c>
      <c r="AT187" t="str">
        <f>IF(ISNUMBER(FIND("overige",Methode_Keuze)),"",IF(Tb_Activiteiten[[#This Row],[Niet verrekenbare btw]]=1,Tb_Activiteiten[[#Headers],[Niet verrekenbare btw]],""))</f>
        <v/>
      </c>
      <c r="AU187" t="str">
        <f>IF(ISNUMBER(FIND("overige",Methode_Keuze)),"",IF(Tb_Activiteiten[[#This Row],[Grondkosten]]=1,Tb_Activiteiten[[#Headers],[Grondkosten]],""))</f>
        <v/>
      </c>
      <c r="AV187" t="str">
        <f>IF(ISNUMBER(FIND("overige",Methode_Keuze)),"",IF(Tb_Activiteiten[[#This Row],[Bijdrage in natura (overige)]]=1,Tb_Activiteiten[[#Headers],[Bijdrage in natura (overige)]],""))</f>
        <v/>
      </c>
      <c r="AW187" t="str">
        <f>IF(ISNUMBER(FIND("overige",Methode_Keuze)),"",IF(Tb_Activiteiten[[#This Row],[Bijdrage in natura (vrijwilligers)]]=1,Tb_Activiteiten[[#Headers],[Bijdrage in natura (vrijwilligers)]],""))</f>
        <v/>
      </c>
      <c r="AX187" t="str">
        <f>IF(ISNUMBER(FIND("overige",Methode_Keuze)),"",IF(Tb_Activiteiten[[#This Row],[Afschrijvingskosten]]=1,Tb_Activiteiten[[#Headers],[Afschrijvingskosten]],""))</f>
        <v/>
      </c>
      <c r="AY187" t="str">
        <f>IF(ISNUMBER(FIND("overige",Methode_Keuze)),"",IF(Tb_Activiteiten[[#This Row],[Vergoeding]]=1,Tb_Activiteiten[[#Headers],[Vergoeding]],""))</f>
        <v/>
      </c>
      <c r="AZ187" t="str">
        <f>IF(ISNUMBER(FIND("arbeid",Methode_Keuze)),"",IF(Tb_Activiteiten[[#This Row],[Arbeidskosten - vast tarief (excl eigen arbeid)]]=1,Tb_Activiteiten[[#Headers],[Arbeidskosten - vast tarief (excl eigen arbeid)]],""))</f>
        <v/>
      </c>
      <c r="BA187" t="str">
        <f>IF(ISNUMBER(FIND("overige",Methode_Keuze)),"",IF(Tb_Activiteiten[[#This Row],[Overige kosten]]=1,Tb_Activiteiten[[#Headers],[Overige kosten]],""))</f>
        <v/>
      </c>
    </row>
    <row r="188" spans="1:53" x14ac:dyDescent="0.25">
      <c r="A188" s="231"/>
      <c r="F188" s="64"/>
      <c r="G188" s="64"/>
      <c r="H188" s="275"/>
      <c r="I188" s="275"/>
      <c r="J188" s="275"/>
      <c r="K188" s="275"/>
      <c r="O188" s="56"/>
      <c r="Q188" t="str">
        <f>IFERROR(IF(VLOOKUP(Tb_Activiteiten[[#This Row],[Openstelling]],Tb_Openstelling[],2,0)=1,1,""),"")</f>
        <v/>
      </c>
      <c r="AK188" t="str">
        <f>IF(ISNUMBER(FIND("arbeid",Methode_Keuze)),"",IF(ISNUMBER(FIND("arbeid",Methode_Keuze)),"",IF(Tb_Activiteiten[[#This Row],[Loonkosten]]=1,Tb_Activiteiten[[#Headers],[Loonkosten]],"")))</f>
        <v/>
      </c>
      <c r="AL188" t="str">
        <f>IF(ISNUMBER(FIND("arbeid",Methode_Keuze)),"",IF(ISNUMBER(FIND("arbeid",Methode_Keuze)),"",IF(Tb_Activiteiten[[#This Row],[Eigen arbeid]]=1,Tb_Activiteiten[[#Headers],[Eigen arbeid]],"")))</f>
        <v/>
      </c>
      <c r="AM188" t="str">
        <f>IF(ISNUMBER(FIND("arbeid",Methode_Keuze)),"",IF(ISNUMBER(FIND("arbeid",Methode_Keuze)),"",IF(Tb_Activiteiten[[#This Row],[Projectmedewerker]]=1,Tb_Activiteiten[[#Headers],[Projectmedewerker]],"")))</f>
        <v/>
      </c>
      <c r="AN188" t="str">
        <f>IF(ISNUMBER(FIND("arbeid",Methode_Keuze)),"",IF(ISNUMBER(FIND("arbeid",Methode_Keuze)),"",IF(Tb_Activiteiten[[#This Row],[Landbouwer]]=1,Tb_Activiteiten[[#Headers],[Landbouwer]],"")))</f>
        <v/>
      </c>
      <c r="AO188" t="str">
        <f>IF(ISNUMBER(FIND("arbeid",Methode_Keuze)),"",IF(ISNUMBER(FIND("arbeid",Methode_Keuze)),"",IF(Tb_Activiteiten[[#This Row],[Adviseur]]=1,Tb_Activiteiten[[#Headers],[Adviseur]],"")))</f>
        <v/>
      </c>
      <c r="AP188" t="str">
        <f>IF(ISNUMBER(FIND("arbeid",Methode_Keuze)),"",IF(ISNUMBER(FIND("arbeid",Methode_Keuze)),"",IF(Tb_Activiteiten[[#This Row],[Projectleider/Expert]]=1,Tb_Activiteiten[[#Headers],[Projectleider/Expert]],"")))</f>
        <v/>
      </c>
      <c r="AQ188" t="str">
        <f>IF(ISNUMBER(FIND("arbeid",Methode_Keuze)),"",IF(ISNUMBER(FIND("arbeid",Methode_Keuze)),"",IF(Tb_Activiteiten[[#This Row],[Arbeidskosten]]=1,Tb_Activiteiten[[#Headers],[Arbeidskosten]],"")))</f>
        <v/>
      </c>
      <c r="AR188" t="str">
        <f>IF(ISNUMBER(FIND("arbeid",Methode_Keuze)),"",IF(ISNUMBER(FIND("arbeid",Methode_Keuze)),"",IF(Tb_Activiteiten[[#This Row],[Arbeidskosten op basis van IKS]]=1,Tb_Activiteiten[[#Headers],[Arbeidskosten op basis van IKS]],"")))</f>
        <v/>
      </c>
      <c r="AS188" t="str">
        <f>IF(ISNUMBER(FIND("overige",Methode_Keuze)),"",IF(Tb_Activiteiten[[#This Row],[Kosten derden exclusief btw]]=1,Tb_Activiteiten[[#Headers],[Kosten derden exclusief btw]],""))</f>
        <v/>
      </c>
      <c r="AT188" t="str">
        <f>IF(ISNUMBER(FIND("overige",Methode_Keuze)),"",IF(Tb_Activiteiten[[#This Row],[Niet verrekenbare btw]]=1,Tb_Activiteiten[[#Headers],[Niet verrekenbare btw]],""))</f>
        <v/>
      </c>
      <c r="AU188" t="str">
        <f>IF(ISNUMBER(FIND("overige",Methode_Keuze)),"",IF(Tb_Activiteiten[[#This Row],[Grondkosten]]=1,Tb_Activiteiten[[#Headers],[Grondkosten]],""))</f>
        <v/>
      </c>
      <c r="AV188" t="str">
        <f>IF(ISNUMBER(FIND("overige",Methode_Keuze)),"",IF(Tb_Activiteiten[[#This Row],[Bijdrage in natura (overige)]]=1,Tb_Activiteiten[[#Headers],[Bijdrage in natura (overige)]],""))</f>
        <v/>
      </c>
      <c r="AW188" t="str">
        <f>IF(ISNUMBER(FIND("overige",Methode_Keuze)),"",IF(Tb_Activiteiten[[#This Row],[Bijdrage in natura (vrijwilligers)]]=1,Tb_Activiteiten[[#Headers],[Bijdrage in natura (vrijwilligers)]],""))</f>
        <v/>
      </c>
      <c r="AX188" t="str">
        <f>IF(ISNUMBER(FIND("overige",Methode_Keuze)),"",IF(Tb_Activiteiten[[#This Row],[Afschrijvingskosten]]=1,Tb_Activiteiten[[#Headers],[Afschrijvingskosten]],""))</f>
        <v/>
      </c>
      <c r="AY188" t="str">
        <f>IF(ISNUMBER(FIND("overige",Methode_Keuze)),"",IF(Tb_Activiteiten[[#This Row],[Vergoeding]]=1,Tb_Activiteiten[[#Headers],[Vergoeding]],""))</f>
        <v/>
      </c>
      <c r="AZ188" t="str">
        <f>IF(ISNUMBER(FIND("arbeid",Methode_Keuze)),"",IF(Tb_Activiteiten[[#This Row],[Arbeidskosten - vast tarief (excl eigen arbeid)]]=1,Tb_Activiteiten[[#Headers],[Arbeidskosten - vast tarief (excl eigen arbeid)]],""))</f>
        <v/>
      </c>
      <c r="BA188" t="str">
        <f>IF(ISNUMBER(FIND("overige",Methode_Keuze)),"",IF(Tb_Activiteiten[[#This Row],[Overige kosten]]=1,Tb_Activiteiten[[#Headers],[Overige kosten]],""))</f>
        <v/>
      </c>
    </row>
    <row r="189" spans="1:53" x14ac:dyDescent="0.25">
      <c r="A189" s="231"/>
      <c r="F189" s="64"/>
      <c r="G189" s="64"/>
      <c r="H189" s="275"/>
      <c r="I189" s="275"/>
      <c r="J189" s="275"/>
      <c r="K189" s="275"/>
      <c r="O189" s="56"/>
      <c r="Q189" t="str">
        <f>IFERROR(IF(VLOOKUP(Tb_Activiteiten[[#This Row],[Openstelling]],Tb_Openstelling[],2,0)=1,1,""),"")</f>
        <v/>
      </c>
      <c r="AK189" t="str">
        <f>IF(ISNUMBER(FIND("arbeid",Methode_Keuze)),"",IF(ISNUMBER(FIND("arbeid",Methode_Keuze)),"",IF(Tb_Activiteiten[[#This Row],[Loonkosten]]=1,Tb_Activiteiten[[#Headers],[Loonkosten]],"")))</f>
        <v/>
      </c>
      <c r="AL189" t="str">
        <f>IF(ISNUMBER(FIND("arbeid",Methode_Keuze)),"",IF(ISNUMBER(FIND("arbeid",Methode_Keuze)),"",IF(Tb_Activiteiten[[#This Row],[Eigen arbeid]]=1,Tb_Activiteiten[[#Headers],[Eigen arbeid]],"")))</f>
        <v/>
      </c>
      <c r="AM189" t="str">
        <f>IF(ISNUMBER(FIND("arbeid",Methode_Keuze)),"",IF(ISNUMBER(FIND("arbeid",Methode_Keuze)),"",IF(Tb_Activiteiten[[#This Row],[Projectmedewerker]]=1,Tb_Activiteiten[[#Headers],[Projectmedewerker]],"")))</f>
        <v/>
      </c>
      <c r="AN189" t="str">
        <f>IF(ISNUMBER(FIND("arbeid",Methode_Keuze)),"",IF(ISNUMBER(FIND("arbeid",Methode_Keuze)),"",IF(Tb_Activiteiten[[#This Row],[Landbouwer]]=1,Tb_Activiteiten[[#Headers],[Landbouwer]],"")))</f>
        <v/>
      </c>
      <c r="AO189" t="str">
        <f>IF(ISNUMBER(FIND("arbeid",Methode_Keuze)),"",IF(ISNUMBER(FIND("arbeid",Methode_Keuze)),"",IF(Tb_Activiteiten[[#This Row],[Adviseur]]=1,Tb_Activiteiten[[#Headers],[Adviseur]],"")))</f>
        <v/>
      </c>
      <c r="AP189" t="str">
        <f>IF(ISNUMBER(FIND("arbeid",Methode_Keuze)),"",IF(ISNUMBER(FIND("arbeid",Methode_Keuze)),"",IF(Tb_Activiteiten[[#This Row],[Projectleider/Expert]]=1,Tb_Activiteiten[[#Headers],[Projectleider/Expert]],"")))</f>
        <v/>
      </c>
      <c r="AQ189" t="str">
        <f>IF(ISNUMBER(FIND("arbeid",Methode_Keuze)),"",IF(ISNUMBER(FIND("arbeid",Methode_Keuze)),"",IF(Tb_Activiteiten[[#This Row],[Arbeidskosten]]=1,Tb_Activiteiten[[#Headers],[Arbeidskosten]],"")))</f>
        <v/>
      </c>
      <c r="AR189" t="str">
        <f>IF(ISNUMBER(FIND("arbeid",Methode_Keuze)),"",IF(ISNUMBER(FIND("arbeid",Methode_Keuze)),"",IF(Tb_Activiteiten[[#This Row],[Arbeidskosten op basis van IKS]]=1,Tb_Activiteiten[[#Headers],[Arbeidskosten op basis van IKS]],"")))</f>
        <v/>
      </c>
      <c r="AS189" t="str">
        <f>IF(ISNUMBER(FIND("overige",Methode_Keuze)),"",IF(Tb_Activiteiten[[#This Row],[Kosten derden exclusief btw]]=1,Tb_Activiteiten[[#Headers],[Kosten derden exclusief btw]],""))</f>
        <v/>
      </c>
      <c r="AT189" t="str">
        <f>IF(ISNUMBER(FIND("overige",Methode_Keuze)),"",IF(Tb_Activiteiten[[#This Row],[Niet verrekenbare btw]]=1,Tb_Activiteiten[[#Headers],[Niet verrekenbare btw]],""))</f>
        <v/>
      </c>
      <c r="AU189" t="str">
        <f>IF(ISNUMBER(FIND("overige",Methode_Keuze)),"",IF(Tb_Activiteiten[[#This Row],[Grondkosten]]=1,Tb_Activiteiten[[#Headers],[Grondkosten]],""))</f>
        <v/>
      </c>
      <c r="AV189" t="str">
        <f>IF(ISNUMBER(FIND("overige",Methode_Keuze)),"",IF(Tb_Activiteiten[[#This Row],[Bijdrage in natura (overige)]]=1,Tb_Activiteiten[[#Headers],[Bijdrage in natura (overige)]],""))</f>
        <v/>
      </c>
      <c r="AW189" t="str">
        <f>IF(ISNUMBER(FIND("overige",Methode_Keuze)),"",IF(Tb_Activiteiten[[#This Row],[Bijdrage in natura (vrijwilligers)]]=1,Tb_Activiteiten[[#Headers],[Bijdrage in natura (vrijwilligers)]],""))</f>
        <v/>
      </c>
      <c r="AX189" t="str">
        <f>IF(ISNUMBER(FIND("overige",Methode_Keuze)),"",IF(Tb_Activiteiten[[#This Row],[Afschrijvingskosten]]=1,Tb_Activiteiten[[#Headers],[Afschrijvingskosten]],""))</f>
        <v/>
      </c>
      <c r="AY189" t="str">
        <f>IF(ISNUMBER(FIND("overige",Methode_Keuze)),"",IF(Tb_Activiteiten[[#This Row],[Vergoeding]]=1,Tb_Activiteiten[[#Headers],[Vergoeding]],""))</f>
        <v/>
      </c>
      <c r="AZ189" t="str">
        <f>IF(ISNUMBER(FIND("arbeid",Methode_Keuze)),"",IF(Tb_Activiteiten[[#This Row],[Arbeidskosten - vast tarief (excl eigen arbeid)]]=1,Tb_Activiteiten[[#Headers],[Arbeidskosten - vast tarief (excl eigen arbeid)]],""))</f>
        <v/>
      </c>
      <c r="BA189" t="str">
        <f>IF(ISNUMBER(FIND("overige",Methode_Keuze)),"",IF(Tb_Activiteiten[[#This Row],[Overige kosten]]=1,Tb_Activiteiten[[#Headers],[Overige kosten]],""))</f>
        <v/>
      </c>
    </row>
    <row r="190" spans="1:53" x14ac:dyDescent="0.25">
      <c r="A190" s="231"/>
      <c r="F190" s="64"/>
      <c r="G190" s="64"/>
      <c r="H190" s="275"/>
      <c r="I190" s="275"/>
      <c r="J190" s="275"/>
      <c r="K190" s="275"/>
      <c r="O190" s="56"/>
      <c r="Q190" t="str">
        <f>IFERROR(IF(VLOOKUP(Tb_Activiteiten[[#This Row],[Openstelling]],Tb_Openstelling[],2,0)=1,1,""),"")</f>
        <v/>
      </c>
      <c r="AK190" t="str">
        <f>IF(ISNUMBER(FIND("arbeid",Methode_Keuze)),"",IF(ISNUMBER(FIND("arbeid",Methode_Keuze)),"",IF(Tb_Activiteiten[[#This Row],[Loonkosten]]=1,Tb_Activiteiten[[#Headers],[Loonkosten]],"")))</f>
        <v/>
      </c>
      <c r="AL190" t="str">
        <f>IF(ISNUMBER(FIND("arbeid",Methode_Keuze)),"",IF(ISNUMBER(FIND("arbeid",Methode_Keuze)),"",IF(Tb_Activiteiten[[#This Row],[Eigen arbeid]]=1,Tb_Activiteiten[[#Headers],[Eigen arbeid]],"")))</f>
        <v/>
      </c>
      <c r="AM190" t="str">
        <f>IF(ISNUMBER(FIND("arbeid",Methode_Keuze)),"",IF(ISNUMBER(FIND("arbeid",Methode_Keuze)),"",IF(Tb_Activiteiten[[#This Row],[Projectmedewerker]]=1,Tb_Activiteiten[[#Headers],[Projectmedewerker]],"")))</f>
        <v/>
      </c>
      <c r="AN190" t="str">
        <f>IF(ISNUMBER(FIND("arbeid",Methode_Keuze)),"",IF(ISNUMBER(FIND("arbeid",Methode_Keuze)),"",IF(Tb_Activiteiten[[#This Row],[Landbouwer]]=1,Tb_Activiteiten[[#Headers],[Landbouwer]],"")))</f>
        <v/>
      </c>
      <c r="AO190" t="str">
        <f>IF(ISNUMBER(FIND("arbeid",Methode_Keuze)),"",IF(ISNUMBER(FIND("arbeid",Methode_Keuze)),"",IF(Tb_Activiteiten[[#This Row],[Adviseur]]=1,Tb_Activiteiten[[#Headers],[Adviseur]],"")))</f>
        <v/>
      </c>
      <c r="AP190" t="str">
        <f>IF(ISNUMBER(FIND("arbeid",Methode_Keuze)),"",IF(ISNUMBER(FIND("arbeid",Methode_Keuze)),"",IF(Tb_Activiteiten[[#This Row],[Projectleider/Expert]]=1,Tb_Activiteiten[[#Headers],[Projectleider/Expert]],"")))</f>
        <v/>
      </c>
      <c r="AQ190" t="str">
        <f>IF(ISNUMBER(FIND("arbeid",Methode_Keuze)),"",IF(ISNUMBER(FIND("arbeid",Methode_Keuze)),"",IF(Tb_Activiteiten[[#This Row],[Arbeidskosten]]=1,Tb_Activiteiten[[#Headers],[Arbeidskosten]],"")))</f>
        <v/>
      </c>
      <c r="AR190" t="str">
        <f>IF(ISNUMBER(FIND("arbeid",Methode_Keuze)),"",IF(ISNUMBER(FIND("arbeid",Methode_Keuze)),"",IF(Tb_Activiteiten[[#This Row],[Arbeidskosten op basis van IKS]]=1,Tb_Activiteiten[[#Headers],[Arbeidskosten op basis van IKS]],"")))</f>
        <v/>
      </c>
      <c r="AS190" t="str">
        <f>IF(ISNUMBER(FIND("overige",Methode_Keuze)),"",IF(Tb_Activiteiten[[#This Row],[Kosten derden exclusief btw]]=1,Tb_Activiteiten[[#Headers],[Kosten derden exclusief btw]],""))</f>
        <v/>
      </c>
      <c r="AT190" t="str">
        <f>IF(ISNUMBER(FIND("overige",Methode_Keuze)),"",IF(Tb_Activiteiten[[#This Row],[Niet verrekenbare btw]]=1,Tb_Activiteiten[[#Headers],[Niet verrekenbare btw]],""))</f>
        <v/>
      </c>
      <c r="AU190" t="str">
        <f>IF(ISNUMBER(FIND("overige",Methode_Keuze)),"",IF(Tb_Activiteiten[[#This Row],[Grondkosten]]=1,Tb_Activiteiten[[#Headers],[Grondkosten]],""))</f>
        <v/>
      </c>
      <c r="AV190" t="str">
        <f>IF(ISNUMBER(FIND("overige",Methode_Keuze)),"",IF(Tb_Activiteiten[[#This Row],[Bijdrage in natura (overige)]]=1,Tb_Activiteiten[[#Headers],[Bijdrage in natura (overige)]],""))</f>
        <v/>
      </c>
      <c r="AW190" t="str">
        <f>IF(ISNUMBER(FIND("overige",Methode_Keuze)),"",IF(Tb_Activiteiten[[#This Row],[Bijdrage in natura (vrijwilligers)]]=1,Tb_Activiteiten[[#Headers],[Bijdrage in natura (vrijwilligers)]],""))</f>
        <v/>
      </c>
      <c r="AX190" t="str">
        <f>IF(ISNUMBER(FIND("overige",Methode_Keuze)),"",IF(Tb_Activiteiten[[#This Row],[Afschrijvingskosten]]=1,Tb_Activiteiten[[#Headers],[Afschrijvingskosten]],""))</f>
        <v/>
      </c>
      <c r="AY190" t="str">
        <f>IF(ISNUMBER(FIND("overige",Methode_Keuze)),"",IF(Tb_Activiteiten[[#This Row],[Vergoeding]]=1,Tb_Activiteiten[[#Headers],[Vergoeding]],""))</f>
        <v/>
      </c>
      <c r="AZ190" t="str">
        <f>IF(ISNUMBER(FIND("arbeid",Methode_Keuze)),"",IF(Tb_Activiteiten[[#This Row],[Arbeidskosten - vast tarief (excl eigen arbeid)]]=1,Tb_Activiteiten[[#Headers],[Arbeidskosten - vast tarief (excl eigen arbeid)]],""))</f>
        <v/>
      </c>
      <c r="BA190" t="str">
        <f>IF(ISNUMBER(FIND("overige",Methode_Keuze)),"",IF(Tb_Activiteiten[[#This Row],[Overige kosten]]=1,Tb_Activiteiten[[#Headers],[Overige kosten]],""))</f>
        <v/>
      </c>
    </row>
    <row r="191" spans="1:53" x14ac:dyDescent="0.25">
      <c r="A191" s="231"/>
      <c r="F191" s="64"/>
      <c r="G191" s="64"/>
      <c r="H191" s="275"/>
      <c r="I191" s="275"/>
      <c r="J191" s="275"/>
      <c r="K191" s="275"/>
      <c r="O191" s="56"/>
      <c r="Q191" t="str">
        <f>IFERROR(IF(VLOOKUP(Tb_Activiteiten[[#This Row],[Openstelling]],Tb_Openstelling[],2,0)=1,1,""),"")</f>
        <v/>
      </c>
      <c r="AK191" t="str">
        <f>IF(ISNUMBER(FIND("arbeid",Methode_Keuze)),"",IF(ISNUMBER(FIND("arbeid",Methode_Keuze)),"",IF(Tb_Activiteiten[[#This Row],[Loonkosten]]=1,Tb_Activiteiten[[#Headers],[Loonkosten]],"")))</f>
        <v/>
      </c>
      <c r="AL191" t="str">
        <f>IF(ISNUMBER(FIND("arbeid",Methode_Keuze)),"",IF(ISNUMBER(FIND("arbeid",Methode_Keuze)),"",IF(Tb_Activiteiten[[#This Row],[Eigen arbeid]]=1,Tb_Activiteiten[[#Headers],[Eigen arbeid]],"")))</f>
        <v/>
      </c>
      <c r="AM191" t="str">
        <f>IF(ISNUMBER(FIND("arbeid",Methode_Keuze)),"",IF(ISNUMBER(FIND("arbeid",Methode_Keuze)),"",IF(Tb_Activiteiten[[#This Row],[Projectmedewerker]]=1,Tb_Activiteiten[[#Headers],[Projectmedewerker]],"")))</f>
        <v/>
      </c>
      <c r="AN191" t="str">
        <f>IF(ISNUMBER(FIND("arbeid",Methode_Keuze)),"",IF(ISNUMBER(FIND("arbeid",Methode_Keuze)),"",IF(Tb_Activiteiten[[#This Row],[Landbouwer]]=1,Tb_Activiteiten[[#Headers],[Landbouwer]],"")))</f>
        <v/>
      </c>
      <c r="AO191" t="str">
        <f>IF(ISNUMBER(FIND("arbeid",Methode_Keuze)),"",IF(ISNUMBER(FIND("arbeid",Methode_Keuze)),"",IF(Tb_Activiteiten[[#This Row],[Adviseur]]=1,Tb_Activiteiten[[#Headers],[Adviseur]],"")))</f>
        <v/>
      </c>
      <c r="AP191" t="str">
        <f>IF(ISNUMBER(FIND("arbeid",Methode_Keuze)),"",IF(ISNUMBER(FIND("arbeid",Methode_Keuze)),"",IF(Tb_Activiteiten[[#This Row],[Projectleider/Expert]]=1,Tb_Activiteiten[[#Headers],[Projectleider/Expert]],"")))</f>
        <v/>
      </c>
      <c r="AQ191" t="str">
        <f>IF(ISNUMBER(FIND("arbeid",Methode_Keuze)),"",IF(ISNUMBER(FIND("arbeid",Methode_Keuze)),"",IF(Tb_Activiteiten[[#This Row],[Arbeidskosten]]=1,Tb_Activiteiten[[#Headers],[Arbeidskosten]],"")))</f>
        <v/>
      </c>
      <c r="AR191" t="str">
        <f>IF(ISNUMBER(FIND("arbeid",Methode_Keuze)),"",IF(ISNUMBER(FIND("arbeid",Methode_Keuze)),"",IF(Tb_Activiteiten[[#This Row],[Arbeidskosten op basis van IKS]]=1,Tb_Activiteiten[[#Headers],[Arbeidskosten op basis van IKS]],"")))</f>
        <v/>
      </c>
      <c r="AS191" t="str">
        <f>IF(ISNUMBER(FIND("overige",Methode_Keuze)),"",IF(Tb_Activiteiten[[#This Row],[Kosten derden exclusief btw]]=1,Tb_Activiteiten[[#Headers],[Kosten derden exclusief btw]],""))</f>
        <v/>
      </c>
      <c r="AT191" t="str">
        <f>IF(ISNUMBER(FIND("overige",Methode_Keuze)),"",IF(Tb_Activiteiten[[#This Row],[Niet verrekenbare btw]]=1,Tb_Activiteiten[[#Headers],[Niet verrekenbare btw]],""))</f>
        <v/>
      </c>
      <c r="AU191" t="str">
        <f>IF(ISNUMBER(FIND("overige",Methode_Keuze)),"",IF(Tb_Activiteiten[[#This Row],[Grondkosten]]=1,Tb_Activiteiten[[#Headers],[Grondkosten]],""))</f>
        <v/>
      </c>
      <c r="AV191" t="str">
        <f>IF(ISNUMBER(FIND("overige",Methode_Keuze)),"",IF(Tb_Activiteiten[[#This Row],[Bijdrage in natura (overige)]]=1,Tb_Activiteiten[[#Headers],[Bijdrage in natura (overige)]],""))</f>
        <v/>
      </c>
      <c r="AW191" t="str">
        <f>IF(ISNUMBER(FIND("overige",Methode_Keuze)),"",IF(Tb_Activiteiten[[#This Row],[Bijdrage in natura (vrijwilligers)]]=1,Tb_Activiteiten[[#Headers],[Bijdrage in natura (vrijwilligers)]],""))</f>
        <v/>
      </c>
      <c r="AX191" t="str">
        <f>IF(ISNUMBER(FIND("overige",Methode_Keuze)),"",IF(Tb_Activiteiten[[#This Row],[Afschrijvingskosten]]=1,Tb_Activiteiten[[#Headers],[Afschrijvingskosten]],""))</f>
        <v/>
      </c>
      <c r="AY191" t="str">
        <f>IF(ISNUMBER(FIND("overige",Methode_Keuze)),"",IF(Tb_Activiteiten[[#This Row],[Vergoeding]]=1,Tb_Activiteiten[[#Headers],[Vergoeding]],""))</f>
        <v/>
      </c>
      <c r="AZ191" t="str">
        <f>IF(ISNUMBER(FIND("arbeid",Methode_Keuze)),"",IF(Tb_Activiteiten[[#This Row],[Arbeidskosten - vast tarief (excl eigen arbeid)]]=1,Tb_Activiteiten[[#Headers],[Arbeidskosten - vast tarief (excl eigen arbeid)]],""))</f>
        <v/>
      </c>
      <c r="BA191" t="str">
        <f>IF(ISNUMBER(FIND("overige",Methode_Keuze)),"",IF(Tb_Activiteiten[[#This Row],[Overige kosten]]=1,Tb_Activiteiten[[#Headers],[Overige kosten]],""))</f>
        <v/>
      </c>
    </row>
    <row r="192" spans="1:53" x14ac:dyDescent="0.25">
      <c r="A192" s="231"/>
      <c r="F192" s="64"/>
      <c r="G192" s="64"/>
      <c r="H192" s="275"/>
      <c r="I192" s="275"/>
      <c r="J192" s="275"/>
      <c r="K192" s="275"/>
      <c r="O192" s="56"/>
      <c r="Q192" t="str">
        <f>IFERROR(IF(VLOOKUP(Tb_Activiteiten[[#This Row],[Openstelling]],Tb_Openstelling[],2,0)=1,1,""),"")</f>
        <v/>
      </c>
      <c r="AK192" t="str">
        <f>IF(ISNUMBER(FIND("arbeid",Methode_Keuze)),"",IF(ISNUMBER(FIND("arbeid",Methode_Keuze)),"",IF(Tb_Activiteiten[[#This Row],[Loonkosten]]=1,Tb_Activiteiten[[#Headers],[Loonkosten]],"")))</f>
        <v/>
      </c>
      <c r="AL192" t="str">
        <f>IF(ISNUMBER(FIND("arbeid",Methode_Keuze)),"",IF(ISNUMBER(FIND("arbeid",Methode_Keuze)),"",IF(Tb_Activiteiten[[#This Row],[Eigen arbeid]]=1,Tb_Activiteiten[[#Headers],[Eigen arbeid]],"")))</f>
        <v/>
      </c>
      <c r="AM192" t="str">
        <f>IF(ISNUMBER(FIND("arbeid",Methode_Keuze)),"",IF(ISNUMBER(FIND("arbeid",Methode_Keuze)),"",IF(Tb_Activiteiten[[#This Row],[Projectmedewerker]]=1,Tb_Activiteiten[[#Headers],[Projectmedewerker]],"")))</f>
        <v/>
      </c>
      <c r="AN192" t="str">
        <f>IF(ISNUMBER(FIND("arbeid",Methode_Keuze)),"",IF(ISNUMBER(FIND("arbeid",Methode_Keuze)),"",IF(Tb_Activiteiten[[#This Row],[Landbouwer]]=1,Tb_Activiteiten[[#Headers],[Landbouwer]],"")))</f>
        <v/>
      </c>
      <c r="AO192" t="str">
        <f>IF(ISNUMBER(FIND("arbeid",Methode_Keuze)),"",IF(ISNUMBER(FIND("arbeid",Methode_Keuze)),"",IF(Tb_Activiteiten[[#This Row],[Adviseur]]=1,Tb_Activiteiten[[#Headers],[Adviseur]],"")))</f>
        <v/>
      </c>
      <c r="AP192" t="str">
        <f>IF(ISNUMBER(FIND("arbeid",Methode_Keuze)),"",IF(ISNUMBER(FIND("arbeid",Methode_Keuze)),"",IF(Tb_Activiteiten[[#This Row],[Projectleider/Expert]]=1,Tb_Activiteiten[[#Headers],[Projectleider/Expert]],"")))</f>
        <v/>
      </c>
      <c r="AQ192" t="str">
        <f>IF(ISNUMBER(FIND("arbeid",Methode_Keuze)),"",IF(ISNUMBER(FIND("arbeid",Methode_Keuze)),"",IF(Tb_Activiteiten[[#This Row],[Arbeidskosten]]=1,Tb_Activiteiten[[#Headers],[Arbeidskosten]],"")))</f>
        <v/>
      </c>
      <c r="AR192" t="str">
        <f>IF(ISNUMBER(FIND("arbeid",Methode_Keuze)),"",IF(ISNUMBER(FIND("arbeid",Methode_Keuze)),"",IF(Tb_Activiteiten[[#This Row],[Arbeidskosten op basis van IKS]]=1,Tb_Activiteiten[[#Headers],[Arbeidskosten op basis van IKS]],"")))</f>
        <v/>
      </c>
      <c r="AS192" t="str">
        <f>IF(ISNUMBER(FIND("overige",Methode_Keuze)),"",IF(Tb_Activiteiten[[#This Row],[Kosten derden exclusief btw]]=1,Tb_Activiteiten[[#Headers],[Kosten derden exclusief btw]],""))</f>
        <v/>
      </c>
      <c r="AT192" t="str">
        <f>IF(ISNUMBER(FIND("overige",Methode_Keuze)),"",IF(Tb_Activiteiten[[#This Row],[Niet verrekenbare btw]]=1,Tb_Activiteiten[[#Headers],[Niet verrekenbare btw]],""))</f>
        <v/>
      </c>
      <c r="AU192" t="str">
        <f>IF(ISNUMBER(FIND("overige",Methode_Keuze)),"",IF(Tb_Activiteiten[[#This Row],[Grondkosten]]=1,Tb_Activiteiten[[#Headers],[Grondkosten]],""))</f>
        <v/>
      </c>
      <c r="AV192" t="str">
        <f>IF(ISNUMBER(FIND("overige",Methode_Keuze)),"",IF(Tb_Activiteiten[[#This Row],[Bijdrage in natura (overige)]]=1,Tb_Activiteiten[[#Headers],[Bijdrage in natura (overige)]],""))</f>
        <v/>
      </c>
      <c r="AW192" t="str">
        <f>IF(ISNUMBER(FIND("overige",Methode_Keuze)),"",IF(Tb_Activiteiten[[#This Row],[Bijdrage in natura (vrijwilligers)]]=1,Tb_Activiteiten[[#Headers],[Bijdrage in natura (vrijwilligers)]],""))</f>
        <v/>
      </c>
      <c r="AX192" t="str">
        <f>IF(ISNUMBER(FIND("overige",Methode_Keuze)),"",IF(Tb_Activiteiten[[#This Row],[Afschrijvingskosten]]=1,Tb_Activiteiten[[#Headers],[Afschrijvingskosten]],""))</f>
        <v/>
      </c>
      <c r="AY192" t="str">
        <f>IF(ISNUMBER(FIND("overige",Methode_Keuze)),"",IF(Tb_Activiteiten[[#This Row],[Vergoeding]]=1,Tb_Activiteiten[[#Headers],[Vergoeding]],""))</f>
        <v/>
      </c>
      <c r="AZ192" t="str">
        <f>IF(ISNUMBER(FIND("arbeid",Methode_Keuze)),"",IF(Tb_Activiteiten[[#This Row],[Arbeidskosten - vast tarief (excl eigen arbeid)]]=1,Tb_Activiteiten[[#Headers],[Arbeidskosten - vast tarief (excl eigen arbeid)]],""))</f>
        <v/>
      </c>
      <c r="BA192" t="str">
        <f>IF(ISNUMBER(FIND("overige",Methode_Keuze)),"",IF(Tb_Activiteiten[[#This Row],[Overige kosten]]=1,Tb_Activiteiten[[#Headers],[Overige kosten]],""))</f>
        <v/>
      </c>
    </row>
    <row r="193" spans="1:53" x14ac:dyDescent="0.25">
      <c r="A193" s="231"/>
      <c r="F193" s="64"/>
      <c r="G193" s="64"/>
      <c r="H193" s="275"/>
      <c r="I193" s="275"/>
      <c r="J193" s="275"/>
      <c r="K193" s="275"/>
      <c r="O193" s="56"/>
      <c r="Q193" t="str">
        <f>IFERROR(IF(VLOOKUP(Tb_Activiteiten[[#This Row],[Openstelling]],Tb_Openstelling[],2,0)=1,1,""),"")</f>
        <v/>
      </c>
      <c r="AK193" t="str">
        <f>IF(ISNUMBER(FIND("arbeid",Methode_Keuze)),"",IF(ISNUMBER(FIND("arbeid",Methode_Keuze)),"",IF(Tb_Activiteiten[[#This Row],[Loonkosten]]=1,Tb_Activiteiten[[#Headers],[Loonkosten]],"")))</f>
        <v/>
      </c>
      <c r="AL193" t="str">
        <f>IF(ISNUMBER(FIND("arbeid",Methode_Keuze)),"",IF(ISNUMBER(FIND("arbeid",Methode_Keuze)),"",IF(Tb_Activiteiten[[#This Row],[Eigen arbeid]]=1,Tb_Activiteiten[[#Headers],[Eigen arbeid]],"")))</f>
        <v/>
      </c>
      <c r="AM193" t="str">
        <f>IF(ISNUMBER(FIND("arbeid",Methode_Keuze)),"",IF(ISNUMBER(FIND("arbeid",Methode_Keuze)),"",IF(Tb_Activiteiten[[#This Row],[Projectmedewerker]]=1,Tb_Activiteiten[[#Headers],[Projectmedewerker]],"")))</f>
        <v/>
      </c>
      <c r="AN193" t="str">
        <f>IF(ISNUMBER(FIND("arbeid",Methode_Keuze)),"",IF(ISNUMBER(FIND("arbeid",Methode_Keuze)),"",IF(Tb_Activiteiten[[#This Row],[Landbouwer]]=1,Tb_Activiteiten[[#Headers],[Landbouwer]],"")))</f>
        <v/>
      </c>
      <c r="AO193" t="str">
        <f>IF(ISNUMBER(FIND("arbeid",Methode_Keuze)),"",IF(ISNUMBER(FIND("arbeid",Methode_Keuze)),"",IF(Tb_Activiteiten[[#This Row],[Adviseur]]=1,Tb_Activiteiten[[#Headers],[Adviseur]],"")))</f>
        <v/>
      </c>
      <c r="AP193" t="str">
        <f>IF(ISNUMBER(FIND("arbeid",Methode_Keuze)),"",IF(ISNUMBER(FIND("arbeid",Methode_Keuze)),"",IF(Tb_Activiteiten[[#This Row],[Projectleider/Expert]]=1,Tb_Activiteiten[[#Headers],[Projectleider/Expert]],"")))</f>
        <v/>
      </c>
      <c r="AQ193" t="str">
        <f>IF(ISNUMBER(FIND("arbeid",Methode_Keuze)),"",IF(ISNUMBER(FIND("arbeid",Methode_Keuze)),"",IF(Tb_Activiteiten[[#This Row],[Arbeidskosten]]=1,Tb_Activiteiten[[#Headers],[Arbeidskosten]],"")))</f>
        <v/>
      </c>
      <c r="AR193" t="str">
        <f>IF(ISNUMBER(FIND("arbeid",Methode_Keuze)),"",IF(ISNUMBER(FIND("arbeid",Methode_Keuze)),"",IF(Tb_Activiteiten[[#This Row],[Arbeidskosten op basis van IKS]]=1,Tb_Activiteiten[[#Headers],[Arbeidskosten op basis van IKS]],"")))</f>
        <v/>
      </c>
      <c r="AS193" t="str">
        <f>IF(ISNUMBER(FIND("overige",Methode_Keuze)),"",IF(Tb_Activiteiten[[#This Row],[Kosten derden exclusief btw]]=1,Tb_Activiteiten[[#Headers],[Kosten derden exclusief btw]],""))</f>
        <v/>
      </c>
      <c r="AT193" t="str">
        <f>IF(ISNUMBER(FIND("overige",Methode_Keuze)),"",IF(Tb_Activiteiten[[#This Row],[Niet verrekenbare btw]]=1,Tb_Activiteiten[[#Headers],[Niet verrekenbare btw]],""))</f>
        <v/>
      </c>
      <c r="AU193" t="str">
        <f>IF(ISNUMBER(FIND("overige",Methode_Keuze)),"",IF(Tb_Activiteiten[[#This Row],[Grondkosten]]=1,Tb_Activiteiten[[#Headers],[Grondkosten]],""))</f>
        <v/>
      </c>
      <c r="AV193" t="str">
        <f>IF(ISNUMBER(FIND("overige",Methode_Keuze)),"",IF(Tb_Activiteiten[[#This Row],[Bijdrage in natura (overige)]]=1,Tb_Activiteiten[[#Headers],[Bijdrage in natura (overige)]],""))</f>
        <v/>
      </c>
      <c r="AW193" t="str">
        <f>IF(ISNUMBER(FIND("overige",Methode_Keuze)),"",IF(Tb_Activiteiten[[#This Row],[Bijdrage in natura (vrijwilligers)]]=1,Tb_Activiteiten[[#Headers],[Bijdrage in natura (vrijwilligers)]],""))</f>
        <v/>
      </c>
      <c r="AX193" t="str">
        <f>IF(ISNUMBER(FIND("overige",Methode_Keuze)),"",IF(Tb_Activiteiten[[#This Row],[Afschrijvingskosten]]=1,Tb_Activiteiten[[#Headers],[Afschrijvingskosten]],""))</f>
        <v/>
      </c>
      <c r="AY193" t="str">
        <f>IF(ISNUMBER(FIND("overige",Methode_Keuze)),"",IF(Tb_Activiteiten[[#This Row],[Vergoeding]]=1,Tb_Activiteiten[[#Headers],[Vergoeding]],""))</f>
        <v/>
      </c>
      <c r="AZ193" t="str">
        <f>IF(ISNUMBER(FIND("arbeid",Methode_Keuze)),"",IF(Tb_Activiteiten[[#This Row],[Arbeidskosten - vast tarief (excl eigen arbeid)]]=1,Tb_Activiteiten[[#Headers],[Arbeidskosten - vast tarief (excl eigen arbeid)]],""))</f>
        <v/>
      </c>
      <c r="BA193" t="str">
        <f>IF(ISNUMBER(FIND("overige",Methode_Keuze)),"",IF(Tb_Activiteiten[[#This Row],[Overige kosten]]=1,Tb_Activiteiten[[#Headers],[Overige kosten]],""))</f>
        <v/>
      </c>
    </row>
    <row r="194" spans="1:53" x14ac:dyDescent="0.25">
      <c r="A194" s="231"/>
      <c r="F194" s="64"/>
      <c r="G194" s="64"/>
      <c r="H194" s="275"/>
      <c r="I194" s="275"/>
      <c r="J194" s="275"/>
      <c r="K194" s="275"/>
      <c r="O194" s="56"/>
      <c r="Q194" t="str">
        <f>IFERROR(IF(VLOOKUP(Tb_Activiteiten[[#This Row],[Openstelling]],Tb_Openstelling[],2,0)=1,1,""),"")</f>
        <v/>
      </c>
      <c r="AK194" t="str">
        <f>IF(ISNUMBER(FIND("arbeid",Methode_Keuze)),"",IF(ISNUMBER(FIND("arbeid",Methode_Keuze)),"",IF(Tb_Activiteiten[[#This Row],[Loonkosten]]=1,Tb_Activiteiten[[#Headers],[Loonkosten]],"")))</f>
        <v/>
      </c>
      <c r="AL194" t="str">
        <f>IF(ISNUMBER(FIND("arbeid",Methode_Keuze)),"",IF(ISNUMBER(FIND("arbeid",Methode_Keuze)),"",IF(Tb_Activiteiten[[#This Row],[Eigen arbeid]]=1,Tb_Activiteiten[[#Headers],[Eigen arbeid]],"")))</f>
        <v/>
      </c>
      <c r="AM194" t="str">
        <f>IF(ISNUMBER(FIND("arbeid",Methode_Keuze)),"",IF(ISNUMBER(FIND("arbeid",Methode_Keuze)),"",IF(Tb_Activiteiten[[#This Row],[Projectmedewerker]]=1,Tb_Activiteiten[[#Headers],[Projectmedewerker]],"")))</f>
        <v/>
      </c>
      <c r="AN194" t="str">
        <f>IF(ISNUMBER(FIND("arbeid",Methode_Keuze)),"",IF(ISNUMBER(FIND("arbeid",Methode_Keuze)),"",IF(Tb_Activiteiten[[#This Row],[Landbouwer]]=1,Tb_Activiteiten[[#Headers],[Landbouwer]],"")))</f>
        <v/>
      </c>
      <c r="AO194" t="str">
        <f>IF(ISNUMBER(FIND("arbeid",Methode_Keuze)),"",IF(ISNUMBER(FIND("arbeid",Methode_Keuze)),"",IF(Tb_Activiteiten[[#This Row],[Adviseur]]=1,Tb_Activiteiten[[#Headers],[Adviseur]],"")))</f>
        <v/>
      </c>
      <c r="AP194" t="str">
        <f>IF(ISNUMBER(FIND("arbeid",Methode_Keuze)),"",IF(ISNUMBER(FIND("arbeid",Methode_Keuze)),"",IF(Tb_Activiteiten[[#This Row],[Projectleider/Expert]]=1,Tb_Activiteiten[[#Headers],[Projectleider/Expert]],"")))</f>
        <v/>
      </c>
      <c r="AQ194" t="str">
        <f>IF(ISNUMBER(FIND("arbeid",Methode_Keuze)),"",IF(ISNUMBER(FIND("arbeid",Methode_Keuze)),"",IF(Tb_Activiteiten[[#This Row],[Arbeidskosten]]=1,Tb_Activiteiten[[#Headers],[Arbeidskosten]],"")))</f>
        <v/>
      </c>
      <c r="AR194" t="str">
        <f>IF(ISNUMBER(FIND("arbeid",Methode_Keuze)),"",IF(ISNUMBER(FIND("arbeid",Methode_Keuze)),"",IF(Tb_Activiteiten[[#This Row],[Arbeidskosten op basis van IKS]]=1,Tb_Activiteiten[[#Headers],[Arbeidskosten op basis van IKS]],"")))</f>
        <v/>
      </c>
      <c r="AS194" t="str">
        <f>IF(ISNUMBER(FIND("overige",Methode_Keuze)),"",IF(Tb_Activiteiten[[#This Row],[Kosten derden exclusief btw]]=1,Tb_Activiteiten[[#Headers],[Kosten derden exclusief btw]],""))</f>
        <v/>
      </c>
      <c r="AT194" t="str">
        <f>IF(ISNUMBER(FIND("overige",Methode_Keuze)),"",IF(Tb_Activiteiten[[#This Row],[Niet verrekenbare btw]]=1,Tb_Activiteiten[[#Headers],[Niet verrekenbare btw]],""))</f>
        <v/>
      </c>
      <c r="AU194" t="str">
        <f>IF(ISNUMBER(FIND("overige",Methode_Keuze)),"",IF(Tb_Activiteiten[[#This Row],[Grondkosten]]=1,Tb_Activiteiten[[#Headers],[Grondkosten]],""))</f>
        <v/>
      </c>
      <c r="AV194" t="str">
        <f>IF(ISNUMBER(FIND("overige",Methode_Keuze)),"",IF(Tb_Activiteiten[[#This Row],[Bijdrage in natura (overige)]]=1,Tb_Activiteiten[[#Headers],[Bijdrage in natura (overige)]],""))</f>
        <v/>
      </c>
      <c r="AW194" t="str">
        <f>IF(ISNUMBER(FIND("overige",Methode_Keuze)),"",IF(Tb_Activiteiten[[#This Row],[Bijdrage in natura (vrijwilligers)]]=1,Tb_Activiteiten[[#Headers],[Bijdrage in natura (vrijwilligers)]],""))</f>
        <v/>
      </c>
      <c r="AX194" t="str">
        <f>IF(ISNUMBER(FIND("overige",Methode_Keuze)),"",IF(Tb_Activiteiten[[#This Row],[Afschrijvingskosten]]=1,Tb_Activiteiten[[#Headers],[Afschrijvingskosten]],""))</f>
        <v/>
      </c>
      <c r="AY194" t="str">
        <f>IF(ISNUMBER(FIND("overige",Methode_Keuze)),"",IF(Tb_Activiteiten[[#This Row],[Vergoeding]]=1,Tb_Activiteiten[[#Headers],[Vergoeding]],""))</f>
        <v/>
      </c>
      <c r="AZ194" t="str">
        <f>IF(ISNUMBER(FIND("arbeid",Methode_Keuze)),"",IF(Tb_Activiteiten[[#This Row],[Arbeidskosten - vast tarief (excl eigen arbeid)]]=1,Tb_Activiteiten[[#Headers],[Arbeidskosten - vast tarief (excl eigen arbeid)]],""))</f>
        <v/>
      </c>
      <c r="BA194" t="str">
        <f>IF(ISNUMBER(FIND("overige",Methode_Keuze)),"",IF(Tb_Activiteiten[[#This Row],[Overige kosten]]=1,Tb_Activiteiten[[#Headers],[Overige kosten]],""))</f>
        <v/>
      </c>
    </row>
    <row r="195" spans="1:53" x14ac:dyDescent="0.25">
      <c r="A195" s="231"/>
      <c r="F195" s="64"/>
      <c r="G195" s="64"/>
      <c r="H195" s="275"/>
      <c r="I195" s="275"/>
      <c r="J195" s="275"/>
      <c r="K195" s="275"/>
      <c r="O195" s="56"/>
      <c r="Q195" t="str">
        <f>IFERROR(IF(VLOOKUP(Tb_Activiteiten[[#This Row],[Openstelling]],Tb_Openstelling[],2,0)=1,1,""),"")</f>
        <v/>
      </c>
      <c r="AK195" t="str">
        <f>IF(ISNUMBER(FIND("arbeid",Methode_Keuze)),"",IF(ISNUMBER(FIND("arbeid",Methode_Keuze)),"",IF(Tb_Activiteiten[[#This Row],[Loonkosten]]=1,Tb_Activiteiten[[#Headers],[Loonkosten]],"")))</f>
        <v/>
      </c>
      <c r="AL195" t="str">
        <f>IF(ISNUMBER(FIND("arbeid",Methode_Keuze)),"",IF(ISNUMBER(FIND("arbeid",Methode_Keuze)),"",IF(Tb_Activiteiten[[#This Row],[Eigen arbeid]]=1,Tb_Activiteiten[[#Headers],[Eigen arbeid]],"")))</f>
        <v/>
      </c>
      <c r="AM195" t="str">
        <f>IF(ISNUMBER(FIND("arbeid",Methode_Keuze)),"",IF(ISNUMBER(FIND("arbeid",Methode_Keuze)),"",IF(Tb_Activiteiten[[#This Row],[Projectmedewerker]]=1,Tb_Activiteiten[[#Headers],[Projectmedewerker]],"")))</f>
        <v/>
      </c>
      <c r="AN195" t="str">
        <f>IF(ISNUMBER(FIND("arbeid",Methode_Keuze)),"",IF(ISNUMBER(FIND("arbeid",Methode_Keuze)),"",IF(Tb_Activiteiten[[#This Row],[Landbouwer]]=1,Tb_Activiteiten[[#Headers],[Landbouwer]],"")))</f>
        <v/>
      </c>
      <c r="AO195" t="str">
        <f>IF(ISNUMBER(FIND("arbeid",Methode_Keuze)),"",IF(ISNUMBER(FIND("arbeid",Methode_Keuze)),"",IF(Tb_Activiteiten[[#This Row],[Adviseur]]=1,Tb_Activiteiten[[#Headers],[Adviseur]],"")))</f>
        <v/>
      </c>
      <c r="AP195" t="str">
        <f>IF(ISNUMBER(FIND("arbeid",Methode_Keuze)),"",IF(ISNUMBER(FIND("arbeid",Methode_Keuze)),"",IF(Tb_Activiteiten[[#This Row],[Projectleider/Expert]]=1,Tb_Activiteiten[[#Headers],[Projectleider/Expert]],"")))</f>
        <v/>
      </c>
      <c r="AQ195" t="str">
        <f>IF(ISNUMBER(FIND("arbeid",Methode_Keuze)),"",IF(ISNUMBER(FIND("arbeid",Methode_Keuze)),"",IF(Tb_Activiteiten[[#This Row],[Arbeidskosten]]=1,Tb_Activiteiten[[#Headers],[Arbeidskosten]],"")))</f>
        <v/>
      </c>
      <c r="AR195" t="str">
        <f>IF(ISNUMBER(FIND("arbeid",Methode_Keuze)),"",IF(ISNUMBER(FIND("arbeid",Methode_Keuze)),"",IF(Tb_Activiteiten[[#This Row],[Arbeidskosten op basis van IKS]]=1,Tb_Activiteiten[[#Headers],[Arbeidskosten op basis van IKS]],"")))</f>
        <v/>
      </c>
      <c r="AS195" t="str">
        <f>IF(ISNUMBER(FIND("overige",Methode_Keuze)),"",IF(Tb_Activiteiten[[#This Row],[Kosten derden exclusief btw]]=1,Tb_Activiteiten[[#Headers],[Kosten derden exclusief btw]],""))</f>
        <v/>
      </c>
      <c r="AT195" t="str">
        <f>IF(ISNUMBER(FIND("overige",Methode_Keuze)),"",IF(Tb_Activiteiten[[#This Row],[Niet verrekenbare btw]]=1,Tb_Activiteiten[[#Headers],[Niet verrekenbare btw]],""))</f>
        <v/>
      </c>
      <c r="AU195" t="str">
        <f>IF(ISNUMBER(FIND("overige",Methode_Keuze)),"",IF(Tb_Activiteiten[[#This Row],[Grondkosten]]=1,Tb_Activiteiten[[#Headers],[Grondkosten]],""))</f>
        <v/>
      </c>
      <c r="AV195" t="str">
        <f>IF(ISNUMBER(FIND("overige",Methode_Keuze)),"",IF(Tb_Activiteiten[[#This Row],[Bijdrage in natura (overige)]]=1,Tb_Activiteiten[[#Headers],[Bijdrage in natura (overige)]],""))</f>
        <v/>
      </c>
      <c r="AW195" t="str">
        <f>IF(ISNUMBER(FIND("overige",Methode_Keuze)),"",IF(Tb_Activiteiten[[#This Row],[Bijdrage in natura (vrijwilligers)]]=1,Tb_Activiteiten[[#Headers],[Bijdrage in natura (vrijwilligers)]],""))</f>
        <v/>
      </c>
      <c r="AX195" t="str">
        <f>IF(ISNUMBER(FIND("overige",Methode_Keuze)),"",IF(Tb_Activiteiten[[#This Row],[Afschrijvingskosten]]=1,Tb_Activiteiten[[#Headers],[Afschrijvingskosten]],""))</f>
        <v/>
      </c>
      <c r="AY195" t="str">
        <f>IF(ISNUMBER(FIND("overige",Methode_Keuze)),"",IF(Tb_Activiteiten[[#This Row],[Vergoeding]]=1,Tb_Activiteiten[[#Headers],[Vergoeding]],""))</f>
        <v/>
      </c>
      <c r="AZ195" t="str">
        <f>IF(ISNUMBER(FIND("arbeid",Methode_Keuze)),"",IF(Tb_Activiteiten[[#This Row],[Arbeidskosten - vast tarief (excl eigen arbeid)]]=1,Tb_Activiteiten[[#Headers],[Arbeidskosten - vast tarief (excl eigen arbeid)]],""))</f>
        <v/>
      </c>
      <c r="BA195" t="str">
        <f>IF(ISNUMBER(FIND("overige",Methode_Keuze)),"",IF(Tb_Activiteiten[[#This Row],[Overige kosten]]=1,Tb_Activiteiten[[#Headers],[Overige kosten]],""))</f>
        <v/>
      </c>
    </row>
    <row r="196" spans="1:53" x14ac:dyDescent="0.25">
      <c r="A196" s="231"/>
      <c r="F196" s="64"/>
      <c r="G196" s="64"/>
      <c r="H196" s="275"/>
      <c r="I196" s="275"/>
      <c r="J196" s="275"/>
      <c r="K196" s="275"/>
      <c r="O196" s="56"/>
      <c r="Q196" t="str">
        <f>IFERROR(IF(VLOOKUP(Tb_Activiteiten[[#This Row],[Openstelling]],Tb_Openstelling[],2,0)=1,1,""),"")</f>
        <v/>
      </c>
      <c r="AK196" t="str">
        <f>IF(ISNUMBER(FIND("arbeid",Methode_Keuze)),"",IF(ISNUMBER(FIND("arbeid",Methode_Keuze)),"",IF(Tb_Activiteiten[[#This Row],[Loonkosten]]=1,Tb_Activiteiten[[#Headers],[Loonkosten]],"")))</f>
        <v/>
      </c>
      <c r="AL196" t="str">
        <f>IF(ISNUMBER(FIND("arbeid",Methode_Keuze)),"",IF(ISNUMBER(FIND("arbeid",Methode_Keuze)),"",IF(Tb_Activiteiten[[#This Row],[Eigen arbeid]]=1,Tb_Activiteiten[[#Headers],[Eigen arbeid]],"")))</f>
        <v/>
      </c>
      <c r="AM196" t="str">
        <f>IF(ISNUMBER(FIND("arbeid",Methode_Keuze)),"",IF(ISNUMBER(FIND("arbeid",Methode_Keuze)),"",IF(Tb_Activiteiten[[#This Row],[Projectmedewerker]]=1,Tb_Activiteiten[[#Headers],[Projectmedewerker]],"")))</f>
        <v/>
      </c>
      <c r="AN196" t="str">
        <f>IF(ISNUMBER(FIND("arbeid",Methode_Keuze)),"",IF(ISNUMBER(FIND("arbeid",Methode_Keuze)),"",IF(Tb_Activiteiten[[#This Row],[Landbouwer]]=1,Tb_Activiteiten[[#Headers],[Landbouwer]],"")))</f>
        <v/>
      </c>
      <c r="AO196" t="str">
        <f>IF(ISNUMBER(FIND("arbeid",Methode_Keuze)),"",IF(ISNUMBER(FIND("arbeid",Methode_Keuze)),"",IF(Tb_Activiteiten[[#This Row],[Adviseur]]=1,Tb_Activiteiten[[#Headers],[Adviseur]],"")))</f>
        <v/>
      </c>
      <c r="AP196" t="str">
        <f>IF(ISNUMBER(FIND("arbeid",Methode_Keuze)),"",IF(ISNUMBER(FIND("arbeid",Methode_Keuze)),"",IF(Tb_Activiteiten[[#This Row],[Projectleider/Expert]]=1,Tb_Activiteiten[[#Headers],[Projectleider/Expert]],"")))</f>
        <v/>
      </c>
      <c r="AQ196" t="str">
        <f>IF(ISNUMBER(FIND("arbeid",Methode_Keuze)),"",IF(ISNUMBER(FIND("arbeid",Methode_Keuze)),"",IF(Tb_Activiteiten[[#This Row],[Arbeidskosten]]=1,Tb_Activiteiten[[#Headers],[Arbeidskosten]],"")))</f>
        <v/>
      </c>
      <c r="AR196" t="str">
        <f>IF(ISNUMBER(FIND("arbeid",Methode_Keuze)),"",IF(ISNUMBER(FIND("arbeid",Methode_Keuze)),"",IF(Tb_Activiteiten[[#This Row],[Arbeidskosten op basis van IKS]]=1,Tb_Activiteiten[[#Headers],[Arbeidskosten op basis van IKS]],"")))</f>
        <v/>
      </c>
      <c r="AS196" t="str">
        <f>IF(ISNUMBER(FIND("overige",Methode_Keuze)),"",IF(Tb_Activiteiten[[#This Row],[Kosten derden exclusief btw]]=1,Tb_Activiteiten[[#Headers],[Kosten derden exclusief btw]],""))</f>
        <v/>
      </c>
      <c r="AT196" t="str">
        <f>IF(ISNUMBER(FIND("overige",Methode_Keuze)),"",IF(Tb_Activiteiten[[#This Row],[Niet verrekenbare btw]]=1,Tb_Activiteiten[[#Headers],[Niet verrekenbare btw]],""))</f>
        <v/>
      </c>
      <c r="AU196" t="str">
        <f>IF(ISNUMBER(FIND("overige",Methode_Keuze)),"",IF(Tb_Activiteiten[[#This Row],[Grondkosten]]=1,Tb_Activiteiten[[#Headers],[Grondkosten]],""))</f>
        <v/>
      </c>
      <c r="AV196" t="str">
        <f>IF(ISNUMBER(FIND("overige",Methode_Keuze)),"",IF(Tb_Activiteiten[[#This Row],[Bijdrage in natura (overige)]]=1,Tb_Activiteiten[[#Headers],[Bijdrage in natura (overige)]],""))</f>
        <v/>
      </c>
      <c r="AW196" t="str">
        <f>IF(ISNUMBER(FIND("overige",Methode_Keuze)),"",IF(Tb_Activiteiten[[#This Row],[Bijdrage in natura (vrijwilligers)]]=1,Tb_Activiteiten[[#Headers],[Bijdrage in natura (vrijwilligers)]],""))</f>
        <v/>
      </c>
      <c r="AX196" t="str">
        <f>IF(ISNUMBER(FIND("overige",Methode_Keuze)),"",IF(Tb_Activiteiten[[#This Row],[Afschrijvingskosten]]=1,Tb_Activiteiten[[#Headers],[Afschrijvingskosten]],""))</f>
        <v/>
      </c>
      <c r="AY196" t="str">
        <f>IF(ISNUMBER(FIND("overige",Methode_Keuze)),"",IF(Tb_Activiteiten[[#This Row],[Vergoeding]]=1,Tb_Activiteiten[[#Headers],[Vergoeding]],""))</f>
        <v/>
      </c>
      <c r="AZ196" t="str">
        <f>IF(ISNUMBER(FIND("arbeid",Methode_Keuze)),"",IF(Tb_Activiteiten[[#This Row],[Arbeidskosten - vast tarief (excl eigen arbeid)]]=1,Tb_Activiteiten[[#Headers],[Arbeidskosten - vast tarief (excl eigen arbeid)]],""))</f>
        <v/>
      </c>
      <c r="BA196" t="str">
        <f>IF(ISNUMBER(FIND("overige",Methode_Keuze)),"",IF(Tb_Activiteiten[[#This Row],[Overige kosten]]=1,Tb_Activiteiten[[#Headers],[Overige kosten]],""))</f>
        <v/>
      </c>
    </row>
    <row r="197" spans="1:53" x14ac:dyDescent="0.25">
      <c r="A197" s="231"/>
      <c r="F197" s="64"/>
      <c r="G197" s="64"/>
      <c r="H197" s="275"/>
      <c r="I197" s="275"/>
      <c r="J197" s="275"/>
      <c r="K197" s="275"/>
      <c r="O197" s="56"/>
      <c r="Q197" t="str">
        <f>IFERROR(IF(VLOOKUP(Tb_Activiteiten[[#This Row],[Openstelling]],Tb_Openstelling[],2,0)=1,1,""),"")</f>
        <v/>
      </c>
      <c r="AK197" t="str">
        <f>IF(ISNUMBER(FIND("arbeid",Methode_Keuze)),"",IF(ISNUMBER(FIND("arbeid",Methode_Keuze)),"",IF(Tb_Activiteiten[[#This Row],[Loonkosten]]=1,Tb_Activiteiten[[#Headers],[Loonkosten]],"")))</f>
        <v/>
      </c>
      <c r="AL197" t="str">
        <f>IF(ISNUMBER(FIND("arbeid",Methode_Keuze)),"",IF(ISNUMBER(FIND("arbeid",Methode_Keuze)),"",IF(Tb_Activiteiten[[#This Row],[Eigen arbeid]]=1,Tb_Activiteiten[[#Headers],[Eigen arbeid]],"")))</f>
        <v/>
      </c>
      <c r="AM197" t="str">
        <f>IF(ISNUMBER(FIND("arbeid",Methode_Keuze)),"",IF(ISNUMBER(FIND("arbeid",Methode_Keuze)),"",IF(Tb_Activiteiten[[#This Row],[Projectmedewerker]]=1,Tb_Activiteiten[[#Headers],[Projectmedewerker]],"")))</f>
        <v/>
      </c>
      <c r="AN197" t="str">
        <f>IF(ISNUMBER(FIND("arbeid",Methode_Keuze)),"",IF(ISNUMBER(FIND("arbeid",Methode_Keuze)),"",IF(Tb_Activiteiten[[#This Row],[Landbouwer]]=1,Tb_Activiteiten[[#Headers],[Landbouwer]],"")))</f>
        <v/>
      </c>
      <c r="AO197" t="str">
        <f>IF(ISNUMBER(FIND("arbeid",Methode_Keuze)),"",IF(ISNUMBER(FIND("arbeid",Methode_Keuze)),"",IF(Tb_Activiteiten[[#This Row],[Adviseur]]=1,Tb_Activiteiten[[#Headers],[Adviseur]],"")))</f>
        <v/>
      </c>
      <c r="AP197" t="str">
        <f>IF(ISNUMBER(FIND("arbeid",Methode_Keuze)),"",IF(ISNUMBER(FIND("arbeid",Methode_Keuze)),"",IF(Tb_Activiteiten[[#This Row],[Projectleider/Expert]]=1,Tb_Activiteiten[[#Headers],[Projectleider/Expert]],"")))</f>
        <v/>
      </c>
      <c r="AQ197" t="str">
        <f>IF(ISNUMBER(FIND("arbeid",Methode_Keuze)),"",IF(ISNUMBER(FIND("arbeid",Methode_Keuze)),"",IF(Tb_Activiteiten[[#This Row],[Arbeidskosten]]=1,Tb_Activiteiten[[#Headers],[Arbeidskosten]],"")))</f>
        <v/>
      </c>
      <c r="AR197" t="str">
        <f>IF(ISNUMBER(FIND("arbeid",Methode_Keuze)),"",IF(ISNUMBER(FIND("arbeid",Methode_Keuze)),"",IF(Tb_Activiteiten[[#This Row],[Arbeidskosten op basis van IKS]]=1,Tb_Activiteiten[[#Headers],[Arbeidskosten op basis van IKS]],"")))</f>
        <v/>
      </c>
      <c r="AS197" t="str">
        <f>IF(ISNUMBER(FIND("overige",Methode_Keuze)),"",IF(Tb_Activiteiten[[#This Row],[Kosten derden exclusief btw]]=1,Tb_Activiteiten[[#Headers],[Kosten derden exclusief btw]],""))</f>
        <v/>
      </c>
      <c r="AT197" t="str">
        <f>IF(ISNUMBER(FIND("overige",Methode_Keuze)),"",IF(Tb_Activiteiten[[#This Row],[Niet verrekenbare btw]]=1,Tb_Activiteiten[[#Headers],[Niet verrekenbare btw]],""))</f>
        <v/>
      </c>
      <c r="AU197" t="str">
        <f>IF(ISNUMBER(FIND("overige",Methode_Keuze)),"",IF(Tb_Activiteiten[[#This Row],[Grondkosten]]=1,Tb_Activiteiten[[#Headers],[Grondkosten]],""))</f>
        <v/>
      </c>
      <c r="AV197" t="str">
        <f>IF(ISNUMBER(FIND("overige",Methode_Keuze)),"",IF(Tb_Activiteiten[[#This Row],[Bijdrage in natura (overige)]]=1,Tb_Activiteiten[[#Headers],[Bijdrage in natura (overige)]],""))</f>
        <v/>
      </c>
      <c r="AW197" t="str">
        <f>IF(ISNUMBER(FIND("overige",Methode_Keuze)),"",IF(Tb_Activiteiten[[#This Row],[Bijdrage in natura (vrijwilligers)]]=1,Tb_Activiteiten[[#Headers],[Bijdrage in natura (vrijwilligers)]],""))</f>
        <v/>
      </c>
      <c r="AX197" t="str">
        <f>IF(ISNUMBER(FIND("overige",Methode_Keuze)),"",IF(Tb_Activiteiten[[#This Row],[Afschrijvingskosten]]=1,Tb_Activiteiten[[#Headers],[Afschrijvingskosten]],""))</f>
        <v/>
      </c>
      <c r="AY197" t="str">
        <f>IF(ISNUMBER(FIND("overige",Methode_Keuze)),"",IF(Tb_Activiteiten[[#This Row],[Vergoeding]]=1,Tb_Activiteiten[[#Headers],[Vergoeding]],""))</f>
        <v/>
      </c>
      <c r="AZ197" t="str">
        <f>IF(ISNUMBER(FIND("arbeid",Methode_Keuze)),"",IF(Tb_Activiteiten[[#This Row],[Arbeidskosten - vast tarief (excl eigen arbeid)]]=1,Tb_Activiteiten[[#Headers],[Arbeidskosten - vast tarief (excl eigen arbeid)]],""))</f>
        <v/>
      </c>
      <c r="BA197" t="str">
        <f>IF(ISNUMBER(FIND("overige",Methode_Keuze)),"",IF(Tb_Activiteiten[[#This Row],[Overige kosten]]=1,Tb_Activiteiten[[#Headers],[Overige kosten]],""))</f>
        <v/>
      </c>
    </row>
    <row r="198" spans="1:53" x14ac:dyDescent="0.25">
      <c r="A198" s="231"/>
      <c r="F198" s="64"/>
      <c r="G198" s="64"/>
      <c r="H198" s="275"/>
      <c r="I198" s="275"/>
      <c r="J198" s="275"/>
      <c r="K198" s="275"/>
      <c r="O198" s="56"/>
      <c r="Q198" t="str">
        <f>IFERROR(IF(VLOOKUP(Tb_Activiteiten[[#This Row],[Openstelling]],Tb_Openstelling[],2,0)=1,1,""),"")</f>
        <v/>
      </c>
      <c r="AK198" t="str">
        <f>IF(ISNUMBER(FIND("arbeid",Methode_Keuze)),"",IF(ISNUMBER(FIND("arbeid",Methode_Keuze)),"",IF(Tb_Activiteiten[[#This Row],[Loonkosten]]=1,Tb_Activiteiten[[#Headers],[Loonkosten]],"")))</f>
        <v/>
      </c>
      <c r="AL198" t="str">
        <f>IF(ISNUMBER(FIND("arbeid",Methode_Keuze)),"",IF(ISNUMBER(FIND("arbeid",Methode_Keuze)),"",IF(Tb_Activiteiten[[#This Row],[Eigen arbeid]]=1,Tb_Activiteiten[[#Headers],[Eigen arbeid]],"")))</f>
        <v/>
      </c>
      <c r="AM198" t="str">
        <f>IF(ISNUMBER(FIND("arbeid",Methode_Keuze)),"",IF(ISNUMBER(FIND("arbeid",Methode_Keuze)),"",IF(Tb_Activiteiten[[#This Row],[Projectmedewerker]]=1,Tb_Activiteiten[[#Headers],[Projectmedewerker]],"")))</f>
        <v/>
      </c>
      <c r="AN198" t="str">
        <f>IF(ISNUMBER(FIND("arbeid",Methode_Keuze)),"",IF(ISNUMBER(FIND("arbeid",Methode_Keuze)),"",IF(Tb_Activiteiten[[#This Row],[Landbouwer]]=1,Tb_Activiteiten[[#Headers],[Landbouwer]],"")))</f>
        <v/>
      </c>
      <c r="AO198" t="str">
        <f>IF(ISNUMBER(FIND("arbeid",Methode_Keuze)),"",IF(ISNUMBER(FIND("arbeid",Methode_Keuze)),"",IF(Tb_Activiteiten[[#This Row],[Adviseur]]=1,Tb_Activiteiten[[#Headers],[Adviseur]],"")))</f>
        <v/>
      </c>
      <c r="AP198" t="str">
        <f>IF(ISNUMBER(FIND("arbeid",Methode_Keuze)),"",IF(ISNUMBER(FIND("arbeid",Methode_Keuze)),"",IF(Tb_Activiteiten[[#This Row],[Projectleider/Expert]]=1,Tb_Activiteiten[[#Headers],[Projectleider/Expert]],"")))</f>
        <v/>
      </c>
      <c r="AQ198" t="str">
        <f>IF(ISNUMBER(FIND("arbeid",Methode_Keuze)),"",IF(ISNUMBER(FIND("arbeid",Methode_Keuze)),"",IF(Tb_Activiteiten[[#This Row],[Arbeidskosten]]=1,Tb_Activiteiten[[#Headers],[Arbeidskosten]],"")))</f>
        <v/>
      </c>
      <c r="AR198" t="str">
        <f>IF(ISNUMBER(FIND("arbeid",Methode_Keuze)),"",IF(ISNUMBER(FIND("arbeid",Methode_Keuze)),"",IF(Tb_Activiteiten[[#This Row],[Arbeidskosten op basis van IKS]]=1,Tb_Activiteiten[[#Headers],[Arbeidskosten op basis van IKS]],"")))</f>
        <v/>
      </c>
      <c r="AS198" t="str">
        <f>IF(ISNUMBER(FIND("overige",Methode_Keuze)),"",IF(Tb_Activiteiten[[#This Row],[Kosten derden exclusief btw]]=1,Tb_Activiteiten[[#Headers],[Kosten derden exclusief btw]],""))</f>
        <v/>
      </c>
      <c r="AT198" t="str">
        <f>IF(ISNUMBER(FIND("overige",Methode_Keuze)),"",IF(Tb_Activiteiten[[#This Row],[Niet verrekenbare btw]]=1,Tb_Activiteiten[[#Headers],[Niet verrekenbare btw]],""))</f>
        <v/>
      </c>
      <c r="AU198" t="str">
        <f>IF(ISNUMBER(FIND("overige",Methode_Keuze)),"",IF(Tb_Activiteiten[[#This Row],[Grondkosten]]=1,Tb_Activiteiten[[#Headers],[Grondkosten]],""))</f>
        <v/>
      </c>
      <c r="AV198" t="str">
        <f>IF(ISNUMBER(FIND("overige",Methode_Keuze)),"",IF(Tb_Activiteiten[[#This Row],[Bijdrage in natura (overige)]]=1,Tb_Activiteiten[[#Headers],[Bijdrage in natura (overige)]],""))</f>
        <v/>
      </c>
      <c r="AW198" t="str">
        <f>IF(ISNUMBER(FIND("overige",Methode_Keuze)),"",IF(Tb_Activiteiten[[#This Row],[Bijdrage in natura (vrijwilligers)]]=1,Tb_Activiteiten[[#Headers],[Bijdrage in natura (vrijwilligers)]],""))</f>
        <v/>
      </c>
      <c r="AX198" t="str">
        <f>IF(ISNUMBER(FIND("overige",Methode_Keuze)),"",IF(Tb_Activiteiten[[#This Row],[Afschrijvingskosten]]=1,Tb_Activiteiten[[#Headers],[Afschrijvingskosten]],""))</f>
        <v/>
      </c>
      <c r="AY198" t="str">
        <f>IF(ISNUMBER(FIND("overige",Methode_Keuze)),"",IF(Tb_Activiteiten[[#This Row],[Vergoeding]]=1,Tb_Activiteiten[[#Headers],[Vergoeding]],""))</f>
        <v/>
      </c>
      <c r="AZ198" t="str">
        <f>IF(ISNUMBER(FIND("arbeid",Methode_Keuze)),"",IF(Tb_Activiteiten[[#This Row],[Arbeidskosten - vast tarief (excl eigen arbeid)]]=1,Tb_Activiteiten[[#Headers],[Arbeidskosten - vast tarief (excl eigen arbeid)]],""))</f>
        <v/>
      </c>
      <c r="BA198" t="str">
        <f>IF(ISNUMBER(FIND("overige",Methode_Keuze)),"",IF(Tb_Activiteiten[[#This Row],[Overige kosten]]=1,Tb_Activiteiten[[#Headers],[Overige kosten]],""))</f>
        <v/>
      </c>
    </row>
    <row r="199" spans="1:53" x14ac:dyDescent="0.25">
      <c r="A199" s="231"/>
      <c r="F199" s="64"/>
      <c r="G199" s="64"/>
      <c r="H199" s="275"/>
      <c r="I199" s="275"/>
      <c r="J199" s="275"/>
      <c r="K199" s="275"/>
      <c r="O199" s="56"/>
      <c r="Q199" t="str">
        <f>IFERROR(IF(VLOOKUP(Tb_Activiteiten[[#This Row],[Openstelling]],Tb_Openstelling[],2,0)=1,1,""),"")</f>
        <v/>
      </c>
      <c r="AK199" t="str">
        <f>IF(ISNUMBER(FIND("arbeid",Methode_Keuze)),"",IF(ISNUMBER(FIND("arbeid",Methode_Keuze)),"",IF(Tb_Activiteiten[[#This Row],[Loonkosten]]=1,Tb_Activiteiten[[#Headers],[Loonkosten]],"")))</f>
        <v/>
      </c>
      <c r="AL199" t="str">
        <f>IF(ISNUMBER(FIND("arbeid",Methode_Keuze)),"",IF(ISNUMBER(FIND("arbeid",Methode_Keuze)),"",IF(Tb_Activiteiten[[#This Row],[Eigen arbeid]]=1,Tb_Activiteiten[[#Headers],[Eigen arbeid]],"")))</f>
        <v/>
      </c>
      <c r="AM199" t="str">
        <f>IF(ISNUMBER(FIND("arbeid",Methode_Keuze)),"",IF(ISNUMBER(FIND("arbeid",Methode_Keuze)),"",IF(Tb_Activiteiten[[#This Row],[Projectmedewerker]]=1,Tb_Activiteiten[[#Headers],[Projectmedewerker]],"")))</f>
        <v/>
      </c>
      <c r="AN199" t="str">
        <f>IF(ISNUMBER(FIND("arbeid",Methode_Keuze)),"",IF(ISNUMBER(FIND("arbeid",Methode_Keuze)),"",IF(Tb_Activiteiten[[#This Row],[Landbouwer]]=1,Tb_Activiteiten[[#Headers],[Landbouwer]],"")))</f>
        <v/>
      </c>
      <c r="AO199" t="str">
        <f>IF(ISNUMBER(FIND("arbeid",Methode_Keuze)),"",IF(ISNUMBER(FIND("arbeid",Methode_Keuze)),"",IF(Tb_Activiteiten[[#This Row],[Adviseur]]=1,Tb_Activiteiten[[#Headers],[Adviseur]],"")))</f>
        <v/>
      </c>
      <c r="AP199" t="str">
        <f>IF(ISNUMBER(FIND("arbeid",Methode_Keuze)),"",IF(ISNUMBER(FIND("arbeid",Methode_Keuze)),"",IF(Tb_Activiteiten[[#This Row],[Projectleider/Expert]]=1,Tb_Activiteiten[[#Headers],[Projectleider/Expert]],"")))</f>
        <v/>
      </c>
      <c r="AQ199" t="str">
        <f>IF(ISNUMBER(FIND("arbeid",Methode_Keuze)),"",IF(ISNUMBER(FIND("arbeid",Methode_Keuze)),"",IF(Tb_Activiteiten[[#This Row],[Arbeidskosten]]=1,Tb_Activiteiten[[#Headers],[Arbeidskosten]],"")))</f>
        <v/>
      </c>
      <c r="AR199" t="str">
        <f>IF(ISNUMBER(FIND("arbeid",Methode_Keuze)),"",IF(ISNUMBER(FIND("arbeid",Methode_Keuze)),"",IF(Tb_Activiteiten[[#This Row],[Arbeidskosten op basis van IKS]]=1,Tb_Activiteiten[[#Headers],[Arbeidskosten op basis van IKS]],"")))</f>
        <v/>
      </c>
      <c r="AS199" t="str">
        <f>IF(ISNUMBER(FIND("overige",Methode_Keuze)),"",IF(Tb_Activiteiten[[#This Row],[Kosten derden exclusief btw]]=1,Tb_Activiteiten[[#Headers],[Kosten derden exclusief btw]],""))</f>
        <v/>
      </c>
      <c r="AT199" t="str">
        <f>IF(ISNUMBER(FIND("overige",Methode_Keuze)),"",IF(Tb_Activiteiten[[#This Row],[Niet verrekenbare btw]]=1,Tb_Activiteiten[[#Headers],[Niet verrekenbare btw]],""))</f>
        <v/>
      </c>
      <c r="AU199" t="str">
        <f>IF(ISNUMBER(FIND("overige",Methode_Keuze)),"",IF(Tb_Activiteiten[[#This Row],[Grondkosten]]=1,Tb_Activiteiten[[#Headers],[Grondkosten]],""))</f>
        <v/>
      </c>
      <c r="AV199" t="str">
        <f>IF(ISNUMBER(FIND("overige",Methode_Keuze)),"",IF(Tb_Activiteiten[[#This Row],[Bijdrage in natura (overige)]]=1,Tb_Activiteiten[[#Headers],[Bijdrage in natura (overige)]],""))</f>
        <v/>
      </c>
      <c r="AW199" t="str">
        <f>IF(ISNUMBER(FIND("overige",Methode_Keuze)),"",IF(Tb_Activiteiten[[#This Row],[Bijdrage in natura (vrijwilligers)]]=1,Tb_Activiteiten[[#Headers],[Bijdrage in natura (vrijwilligers)]],""))</f>
        <v/>
      </c>
      <c r="AX199" t="str">
        <f>IF(ISNUMBER(FIND("overige",Methode_Keuze)),"",IF(Tb_Activiteiten[[#This Row],[Afschrijvingskosten]]=1,Tb_Activiteiten[[#Headers],[Afschrijvingskosten]],""))</f>
        <v/>
      </c>
      <c r="AY199" t="str">
        <f>IF(ISNUMBER(FIND("overige",Methode_Keuze)),"",IF(Tb_Activiteiten[[#This Row],[Vergoeding]]=1,Tb_Activiteiten[[#Headers],[Vergoeding]],""))</f>
        <v/>
      </c>
      <c r="AZ199" t="str">
        <f>IF(ISNUMBER(FIND("arbeid",Methode_Keuze)),"",IF(Tb_Activiteiten[[#This Row],[Arbeidskosten - vast tarief (excl eigen arbeid)]]=1,Tb_Activiteiten[[#Headers],[Arbeidskosten - vast tarief (excl eigen arbeid)]],""))</f>
        <v/>
      </c>
      <c r="BA199" t="str">
        <f>IF(ISNUMBER(FIND("overige",Methode_Keuze)),"",IF(Tb_Activiteiten[[#This Row],[Overige kosten]]=1,Tb_Activiteiten[[#Headers],[Overige kosten]],""))</f>
        <v/>
      </c>
    </row>
    <row r="200" spans="1:53" x14ac:dyDescent="0.25">
      <c r="A200" s="231"/>
      <c r="F200" s="64"/>
      <c r="G200" s="64"/>
      <c r="H200" s="275"/>
      <c r="I200" s="275"/>
      <c r="J200" s="275"/>
      <c r="K200" s="275"/>
      <c r="O200" s="56"/>
      <c r="Q200" t="str">
        <f>IFERROR(IF(VLOOKUP(Tb_Activiteiten[[#This Row],[Openstelling]],Tb_Openstelling[],2,0)=1,1,""),"")</f>
        <v/>
      </c>
      <c r="AK200" t="str">
        <f>IF(ISNUMBER(FIND("arbeid",Methode_Keuze)),"",IF(ISNUMBER(FIND("arbeid",Methode_Keuze)),"",IF(Tb_Activiteiten[[#This Row],[Loonkosten]]=1,Tb_Activiteiten[[#Headers],[Loonkosten]],"")))</f>
        <v/>
      </c>
      <c r="AL200" t="str">
        <f>IF(ISNUMBER(FIND("arbeid",Methode_Keuze)),"",IF(ISNUMBER(FIND("arbeid",Methode_Keuze)),"",IF(Tb_Activiteiten[[#This Row],[Eigen arbeid]]=1,Tb_Activiteiten[[#Headers],[Eigen arbeid]],"")))</f>
        <v/>
      </c>
      <c r="AM200" t="str">
        <f>IF(ISNUMBER(FIND("arbeid",Methode_Keuze)),"",IF(ISNUMBER(FIND("arbeid",Methode_Keuze)),"",IF(Tb_Activiteiten[[#This Row],[Projectmedewerker]]=1,Tb_Activiteiten[[#Headers],[Projectmedewerker]],"")))</f>
        <v/>
      </c>
      <c r="AN200" t="str">
        <f>IF(ISNUMBER(FIND("arbeid",Methode_Keuze)),"",IF(ISNUMBER(FIND("arbeid",Methode_Keuze)),"",IF(Tb_Activiteiten[[#This Row],[Landbouwer]]=1,Tb_Activiteiten[[#Headers],[Landbouwer]],"")))</f>
        <v/>
      </c>
      <c r="AO200" t="str">
        <f>IF(ISNUMBER(FIND("arbeid",Methode_Keuze)),"",IF(ISNUMBER(FIND("arbeid",Methode_Keuze)),"",IF(Tb_Activiteiten[[#This Row],[Adviseur]]=1,Tb_Activiteiten[[#Headers],[Adviseur]],"")))</f>
        <v/>
      </c>
      <c r="AP200" t="str">
        <f>IF(ISNUMBER(FIND("arbeid",Methode_Keuze)),"",IF(ISNUMBER(FIND("arbeid",Methode_Keuze)),"",IF(Tb_Activiteiten[[#This Row],[Projectleider/Expert]]=1,Tb_Activiteiten[[#Headers],[Projectleider/Expert]],"")))</f>
        <v/>
      </c>
      <c r="AQ200" t="str">
        <f>IF(ISNUMBER(FIND("arbeid",Methode_Keuze)),"",IF(ISNUMBER(FIND("arbeid",Methode_Keuze)),"",IF(Tb_Activiteiten[[#This Row],[Arbeidskosten]]=1,Tb_Activiteiten[[#Headers],[Arbeidskosten]],"")))</f>
        <v/>
      </c>
      <c r="AR200" t="str">
        <f>IF(ISNUMBER(FIND("arbeid",Methode_Keuze)),"",IF(ISNUMBER(FIND("arbeid",Methode_Keuze)),"",IF(Tb_Activiteiten[[#This Row],[Arbeidskosten op basis van IKS]]=1,Tb_Activiteiten[[#Headers],[Arbeidskosten op basis van IKS]],"")))</f>
        <v/>
      </c>
      <c r="AS200" t="str">
        <f>IF(ISNUMBER(FIND("overige",Methode_Keuze)),"",IF(Tb_Activiteiten[[#This Row],[Kosten derden exclusief btw]]=1,Tb_Activiteiten[[#Headers],[Kosten derden exclusief btw]],""))</f>
        <v/>
      </c>
      <c r="AT200" t="str">
        <f>IF(ISNUMBER(FIND("overige",Methode_Keuze)),"",IF(Tb_Activiteiten[[#This Row],[Niet verrekenbare btw]]=1,Tb_Activiteiten[[#Headers],[Niet verrekenbare btw]],""))</f>
        <v/>
      </c>
      <c r="AU200" t="str">
        <f>IF(ISNUMBER(FIND("overige",Methode_Keuze)),"",IF(Tb_Activiteiten[[#This Row],[Grondkosten]]=1,Tb_Activiteiten[[#Headers],[Grondkosten]],""))</f>
        <v/>
      </c>
      <c r="AV200" t="str">
        <f>IF(ISNUMBER(FIND("overige",Methode_Keuze)),"",IF(Tb_Activiteiten[[#This Row],[Bijdrage in natura (overige)]]=1,Tb_Activiteiten[[#Headers],[Bijdrage in natura (overige)]],""))</f>
        <v/>
      </c>
      <c r="AW200" t="str">
        <f>IF(ISNUMBER(FIND("overige",Methode_Keuze)),"",IF(Tb_Activiteiten[[#This Row],[Bijdrage in natura (vrijwilligers)]]=1,Tb_Activiteiten[[#Headers],[Bijdrage in natura (vrijwilligers)]],""))</f>
        <v/>
      </c>
      <c r="AX200" t="str">
        <f>IF(ISNUMBER(FIND("overige",Methode_Keuze)),"",IF(Tb_Activiteiten[[#This Row],[Afschrijvingskosten]]=1,Tb_Activiteiten[[#Headers],[Afschrijvingskosten]],""))</f>
        <v/>
      </c>
      <c r="AY200" t="str">
        <f>IF(ISNUMBER(FIND("overige",Methode_Keuze)),"",IF(Tb_Activiteiten[[#This Row],[Vergoeding]]=1,Tb_Activiteiten[[#Headers],[Vergoeding]],""))</f>
        <v/>
      </c>
      <c r="AZ200" t="str">
        <f>IF(ISNUMBER(FIND("arbeid",Methode_Keuze)),"",IF(Tb_Activiteiten[[#This Row],[Arbeidskosten - vast tarief (excl eigen arbeid)]]=1,Tb_Activiteiten[[#Headers],[Arbeidskosten - vast tarief (excl eigen arbeid)]],""))</f>
        <v/>
      </c>
      <c r="BA200" t="str">
        <f>IF(ISNUMBER(FIND("overige",Methode_Keuze)),"",IF(Tb_Activiteiten[[#This Row],[Overige kosten]]=1,Tb_Activiteiten[[#Headers],[Overige kosten]],""))</f>
        <v/>
      </c>
    </row>
    <row r="201" spans="1:53" x14ac:dyDescent="0.25">
      <c r="A201" s="231"/>
      <c r="F201" s="64"/>
      <c r="G201" s="64"/>
      <c r="H201" s="275"/>
      <c r="I201" s="275"/>
      <c r="J201" s="275"/>
      <c r="K201" s="275"/>
      <c r="O201" s="56"/>
      <c r="Q201" t="str">
        <f>IFERROR(IF(VLOOKUP(Tb_Activiteiten[[#This Row],[Openstelling]],Tb_Openstelling[],2,0)=1,1,""),"")</f>
        <v/>
      </c>
      <c r="AK201" t="str">
        <f>IF(ISNUMBER(FIND("arbeid",Methode_Keuze)),"",IF(ISNUMBER(FIND("arbeid",Methode_Keuze)),"",IF(Tb_Activiteiten[[#This Row],[Loonkosten]]=1,Tb_Activiteiten[[#Headers],[Loonkosten]],"")))</f>
        <v/>
      </c>
      <c r="AL201" t="str">
        <f>IF(ISNUMBER(FIND("arbeid",Methode_Keuze)),"",IF(ISNUMBER(FIND("arbeid",Methode_Keuze)),"",IF(Tb_Activiteiten[[#This Row],[Eigen arbeid]]=1,Tb_Activiteiten[[#Headers],[Eigen arbeid]],"")))</f>
        <v/>
      </c>
      <c r="AM201" t="str">
        <f>IF(ISNUMBER(FIND("arbeid",Methode_Keuze)),"",IF(ISNUMBER(FIND("arbeid",Methode_Keuze)),"",IF(Tb_Activiteiten[[#This Row],[Projectmedewerker]]=1,Tb_Activiteiten[[#Headers],[Projectmedewerker]],"")))</f>
        <v/>
      </c>
      <c r="AN201" t="str">
        <f>IF(ISNUMBER(FIND("arbeid",Methode_Keuze)),"",IF(ISNUMBER(FIND("arbeid",Methode_Keuze)),"",IF(Tb_Activiteiten[[#This Row],[Landbouwer]]=1,Tb_Activiteiten[[#Headers],[Landbouwer]],"")))</f>
        <v/>
      </c>
      <c r="AO201" t="str">
        <f>IF(ISNUMBER(FIND("arbeid",Methode_Keuze)),"",IF(ISNUMBER(FIND("arbeid",Methode_Keuze)),"",IF(Tb_Activiteiten[[#This Row],[Adviseur]]=1,Tb_Activiteiten[[#Headers],[Adviseur]],"")))</f>
        <v/>
      </c>
      <c r="AP201" t="str">
        <f>IF(ISNUMBER(FIND("arbeid",Methode_Keuze)),"",IF(ISNUMBER(FIND("arbeid",Methode_Keuze)),"",IF(Tb_Activiteiten[[#This Row],[Projectleider/Expert]]=1,Tb_Activiteiten[[#Headers],[Projectleider/Expert]],"")))</f>
        <v/>
      </c>
      <c r="AQ201" t="str">
        <f>IF(ISNUMBER(FIND("arbeid",Methode_Keuze)),"",IF(ISNUMBER(FIND("arbeid",Methode_Keuze)),"",IF(Tb_Activiteiten[[#This Row],[Arbeidskosten]]=1,Tb_Activiteiten[[#Headers],[Arbeidskosten]],"")))</f>
        <v/>
      </c>
      <c r="AR201" t="str">
        <f>IF(ISNUMBER(FIND("arbeid",Methode_Keuze)),"",IF(ISNUMBER(FIND("arbeid",Methode_Keuze)),"",IF(Tb_Activiteiten[[#This Row],[Arbeidskosten op basis van IKS]]=1,Tb_Activiteiten[[#Headers],[Arbeidskosten op basis van IKS]],"")))</f>
        <v/>
      </c>
      <c r="AS201" t="str">
        <f>IF(ISNUMBER(FIND("overige",Methode_Keuze)),"",IF(Tb_Activiteiten[[#This Row],[Kosten derden exclusief btw]]=1,Tb_Activiteiten[[#Headers],[Kosten derden exclusief btw]],""))</f>
        <v/>
      </c>
      <c r="AT201" t="str">
        <f>IF(ISNUMBER(FIND("overige",Methode_Keuze)),"",IF(Tb_Activiteiten[[#This Row],[Niet verrekenbare btw]]=1,Tb_Activiteiten[[#Headers],[Niet verrekenbare btw]],""))</f>
        <v/>
      </c>
      <c r="AU201" t="str">
        <f>IF(ISNUMBER(FIND("overige",Methode_Keuze)),"",IF(Tb_Activiteiten[[#This Row],[Grondkosten]]=1,Tb_Activiteiten[[#Headers],[Grondkosten]],""))</f>
        <v/>
      </c>
      <c r="AV201" t="str">
        <f>IF(ISNUMBER(FIND("overige",Methode_Keuze)),"",IF(Tb_Activiteiten[[#This Row],[Bijdrage in natura (overige)]]=1,Tb_Activiteiten[[#Headers],[Bijdrage in natura (overige)]],""))</f>
        <v/>
      </c>
      <c r="AW201" t="str">
        <f>IF(ISNUMBER(FIND("overige",Methode_Keuze)),"",IF(Tb_Activiteiten[[#This Row],[Bijdrage in natura (vrijwilligers)]]=1,Tb_Activiteiten[[#Headers],[Bijdrage in natura (vrijwilligers)]],""))</f>
        <v/>
      </c>
      <c r="AX201" t="str">
        <f>IF(ISNUMBER(FIND("overige",Methode_Keuze)),"",IF(Tb_Activiteiten[[#This Row],[Afschrijvingskosten]]=1,Tb_Activiteiten[[#Headers],[Afschrijvingskosten]],""))</f>
        <v/>
      </c>
      <c r="AY201" t="str">
        <f>IF(ISNUMBER(FIND("overige",Methode_Keuze)),"",IF(Tb_Activiteiten[[#This Row],[Vergoeding]]=1,Tb_Activiteiten[[#Headers],[Vergoeding]],""))</f>
        <v/>
      </c>
      <c r="AZ201" t="str">
        <f>IF(ISNUMBER(FIND("arbeid",Methode_Keuze)),"",IF(Tb_Activiteiten[[#This Row],[Arbeidskosten - vast tarief (excl eigen arbeid)]]=1,Tb_Activiteiten[[#Headers],[Arbeidskosten - vast tarief (excl eigen arbeid)]],""))</f>
        <v/>
      </c>
      <c r="BA201" t="str">
        <f>IF(ISNUMBER(FIND("overige",Methode_Keuze)),"",IF(Tb_Activiteiten[[#This Row],[Overige kosten]]=1,Tb_Activiteiten[[#Headers],[Overige kosten]],""))</f>
        <v/>
      </c>
    </row>
    <row r="202" spans="1:53" x14ac:dyDescent="0.25">
      <c r="A202" s="231"/>
      <c r="F202" s="64"/>
      <c r="G202" s="64"/>
      <c r="H202" s="275"/>
      <c r="I202" s="275"/>
      <c r="J202" s="275"/>
      <c r="K202" s="275"/>
      <c r="O202" s="56"/>
      <c r="Q202" t="str">
        <f>IFERROR(IF(VLOOKUP(Tb_Activiteiten[[#This Row],[Openstelling]],Tb_Openstelling[],2,0)=1,1,""),"")</f>
        <v/>
      </c>
      <c r="AK202" t="str">
        <f>IF(ISNUMBER(FIND("arbeid",Methode_Keuze)),"",IF(ISNUMBER(FIND("arbeid",Methode_Keuze)),"",IF(Tb_Activiteiten[[#This Row],[Loonkosten]]=1,Tb_Activiteiten[[#Headers],[Loonkosten]],"")))</f>
        <v/>
      </c>
      <c r="AL202" t="str">
        <f>IF(ISNUMBER(FIND("arbeid",Methode_Keuze)),"",IF(ISNUMBER(FIND("arbeid",Methode_Keuze)),"",IF(Tb_Activiteiten[[#This Row],[Eigen arbeid]]=1,Tb_Activiteiten[[#Headers],[Eigen arbeid]],"")))</f>
        <v/>
      </c>
      <c r="AM202" t="str">
        <f>IF(ISNUMBER(FIND("arbeid",Methode_Keuze)),"",IF(ISNUMBER(FIND("arbeid",Methode_Keuze)),"",IF(Tb_Activiteiten[[#This Row],[Projectmedewerker]]=1,Tb_Activiteiten[[#Headers],[Projectmedewerker]],"")))</f>
        <v/>
      </c>
      <c r="AN202" t="str">
        <f>IF(ISNUMBER(FIND("arbeid",Methode_Keuze)),"",IF(ISNUMBER(FIND("arbeid",Methode_Keuze)),"",IF(Tb_Activiteiten[[#This Row],[Landbouwer]]=1,Tb_Activiteiten[[#Headers],[Landbouwer]],"")))</f>
        <v/>
      </c>
      <c r="AO202" t="str">
        <f>IF(ISNUMBER(FIND("arbeid",Methode_Keuze)),"",IF(ISNUMBER(FIND("arbeid",Methode_Keuze)),"",IF(Tb_Activiteiten[[#This Row],[Adviseur]]=1,Tb_Activiteiten[[#Headers],[Adviseur]],"")))</f>
        <v/>
      </c>
      <c r="AP202" t="str">
        <f>IF(ISNUMBER(FIND("arbeid",Methode_Keuze)),"",IF(ISNUMBER(FIND("arbeid",Methode_Keuze)),"",IF(Tb_Activiteiten[[#This Row],[Projectleider/Expert]]=1,Tb_Activiteiten[[#Headers],[Projectleider/Expert]],"")))</f>
        <v/>
      </c>
      <c r="AQ202" t="str">
        <f>IF(ISNUMBER(FIND("arbeid",Methode_Keuze)),"",IF(ISNUMBER(FIND("arbeid",Methode_Keuze)),"",IF(Tb_Activiteiten[[#This Row],[Arbeidskosten]]=1,Tb_Activiteiten[[#Headers],[Arbeidskosten]],"")))</f>
        <v/>
      </c>
      <c r="AR202" t="str">
        <f>IF(ISNUMBER(FIND("arbeid",Methode_Keuze)),"",IF(ISNUMBER(FIND("arbeid",Methode_Keuze)),"",IF(Tb_Activiteiten[[#This Row],[Arbeidskosten op basis van IKS]]=1,Tb_Activiteiten[[#Headers],[Arbeidskosten op basis van IKS]],"")))</f>
        <v/>
      </c>
      <c r="AS202" t="str">
        <f>IF(ISNUMBER(FIND("overige",Methode_Keuze)),"",IF(Tb_Activiteiten[[#This Row],[Kosten derden exclusief btw]]=1,Tb_Activiteiten[[#Headers],[Kosten derden exclusief btw]],""))</f>
        <v/>
      </c>
      <c r="AT202" t="str">
        <f>IF(ISNUMBER(FIND("overige",Methode_Keuze)),"",IF(Tb_Activiteiten[[#This Row],[Niet verrekenbare btw]]=1,Tb_Activiteiten[[#Headers],[Niet verrekenbare btw]],""))</f>
        <v/>
      </c>
      <c r="AU202" t="str">
        <f>IF(ISNUMBER(FIND("overige",Methode_Keuze)),"",IF(Tb_Activiteiten[[#This Row],[Grondkosten]]=1,Tb_Activiteiten[[#Headers],[Grondkosten]],""))</f>
        <v/>
      </c>
      <c r="AV202" t="str">
        <f>IF(ISNUMBER(FIND("overige",Methode_Keuze)),"",IF(Tb_Activiteiten[[#This Row],[Bijdrage in natura (overige)]]=1,Tb_Activiteiten[[#Headers],[Bijdrage in natura (overige)]],""))</f>
        <v/>
      </c>
      <c r="AW202" t="str">
        <f>IF(ISNUMBER(FIND("overige",Methode_Keuze)),"",IF(Tb_Activiteiten[[#This Row],[Bijdrage in natura (vrijwilligers)]]=1,Tb_Activiteiten[[#Headers],[Bijdrage in natura (vrijwilligers)]],""))</f>
        <v/>
      </c>
      <c r="AX202" t="str">
        <f>IF(ISNUMBER(FIND("overige",Methode_Keuze)),"",IF(Tb_Activiteiten[[#This Row],[Afschrijvingskosten]]=1,Tb_Activiteiten[[#Headers],[Afschrijvingskosten]],""))</f>
        <v/>
      </c>
      <c r="AY202" t="str">
        <f>IF(ISNUMBER(FIND("overige",Methode_Keuze)),"",IF(Tb_Activiteiten[[#This Row],[Vergoeding]]=1,Tb_Activiteiten[[#Headers],[Vergoeding]],""))</f>
        <v/>
      </c>
      <c r="AZ202" t="str">
        <f>IF(ISNUMBER(FIND("arbeid",Methode_Keuze)),"",IF(Tb_Activiteiten[[#This Row],[Arbeidskosten - vast tarief (excl eigen arbeid)]]=1,Tb_Activiteiten[[#Headers],[Arbeidskosten - vast tarief (excl eigen arbeid)]],""))</f>
        <v/>
      </c>
      <c r="BA202" t="str">
        <f>IF(ISNUMBER(FIND("overige",Methode_Keuze)),"",IF(Tb_Activiteiten[[#This Row],[Overige kosten]]=1,Tb_Activiteiten[[#Headers],[Overige kosten]],""))</f>
        <v/>
      </c>
    </row>
    <row r="203" spans="1:53" x14ac:dyDescent="0.25">
      <c r="A203" s="231"/>
      <c r="F203" s="64"/>
      <c r="G203" s="64"/>
      <c r="H203" s="275"/>
      <c r="I203" s="275"/>
      <c r="J203" s="275"/>
      <c r="K203" s="275"/>
      <c r="O203" s="56"/>
      <c r="Q203" t="str">
        <f>IFERROR(IF(VLOOKUP(Tb_Activiteiten[[#This Row],[Openstelling]],Tb_Openstelling[],2,0)=1,1,""),"")</f>
        <v/>
      </c>
      <c r="AK203" t="str">
        <f>IF(ISNUMBER(FIND("arbeid",Methode_Keuze)),"",IF(ISNUMBER(FIND("arbeid",Methode_Keuze)),"",IF(Tb_Activiteiten[[#This Row],[Loonkosten]]=1,Tb_Activiteiten[[#Headers],[Loonkosten]],"")))</f>
        <v/>
      </c>
      <c r="AL203" t="str">
        <f>IF(ISNUMBER(FIND("arbeid",Methode_Keuze)),"",IF(ISNUMBER(FIND("arbeid",Methode_Keuze)),"",IF(Tb_Activiteiten[[#This Row],[Eigen arbeid]]=1,Tb_Activiteiten[[#Headers],[Eigen arbeid]],"")))</f>
        <v/>
      </c>
      <c r="AM203" t="str">
        <f>IF(ISNUMBER(FIND("arbeid",Methode_Keuze)),"",IF(ISNUMBER(FIND("arbeid",Methode_Keuze)),"",IF(Tb_Activiteiten[[#This Row],[Projectmedewerker]]=1,Tb_Activiteiten[[#Headers],[Projectmedewerker]],"")))</f>
        <v/>
      </c>
      <c r="AN203" t="str">
        <f>IF(ISNUMBER(FIND("arbeid",Methode_Keuze)),"",IF(ISNUMBER(FIND("arbeid",Methode_Keuze)),"",IF(Tb_Activiteiten[[#This Row],[Landbouwer]]=1,Tb_Activiteiten[[#Headers],[Landbouwer]],"")))</f>
        <v/>
      </c>
      <c r="AO203" t="str">
        <f>IF(ISNUMBER(FIND("arbeid",Methode_Keuze)),"",IF(ISNUMBER(FIND("arbeid",Methode_Keuze)),"",IF(Tb_Activiteiten[[#This Row],[Adviseur]]=1,Tb_Activiteiten[[#Headers],[Adviseur]],"")))</f>
        <v/>
      </c>
      <c r="AP203" t="str">
        <f>IF(ISNUMBER(FIND("arbeid",Methode_Keuze)),"",IF(ISNUMBER(FIND("arbeid",Methode_Keuze)),"",IF(Tb_Activiteiten[[#This Row],[Projectleider/Expert]]=1,Tb_Activiteiten[[#Headers],[Projectleider/Expert]],"")))</f>
        <v/>
      </c>
      <c r="AQ203" t="str">
        <f>IF(ISNUMBER(FIND("arbeid",Methode_Keuze)),"",IF(ISNUMBER(FIND("arbeid",Methode_Keuze)),"",IF(Tb_Activiteiten[[#This Row],[Arbeidskosten]]=1,Tb_Activiteiten[[#Headers],[Arbeidskosten]],"")))</f>
        <v/>
      </c>
      <c r="AR203" t="str">
        <f>IF(ISNUMBER(FIND("arbeid",Methode_Keuze)),"",IF(ISNUMBER(FIND("arbeid",Methode_Keuze)),"",IF(Tb_Activiteiten[[#This Row],[Arbeidskosten op basis van IKS]]=1,Tb_Activiteiten[[#Headers],[Arbeidskosten op basis van IKS]],"")))</f>
        <v/>
      </c>
      <c r="AS203" t="str">
        <f>IF(ISNUMBER(FIND("overige",Methode_Keuze)),"",IF(Tb_Activiteiten[[#This Row],[Kosten derden exclusief btw]]=1,Tb_Activiteiten[[#Headers],[Kosten derden exclusief btw]],""))</f>
        <v/>
      </c>
      <c r="AT203" t="str">
        <f>IF(ISNUMBER(FIND("overige",Methode_Keuze)),"",IF(Tb_Activiteiten[[#This Row],[Niet verrekenbare btw]]=1,Tb_Activiteiten[[#Headers],[Niet verrekenbare btw]],""))</f>
        <v/>
      </c>
      <c r="AU203" t="str">
        <f>IF(ISNUMBER(FIND("overige",Methode_Keuze)),"",IF(Tb_Activiteiten[[#This Row],[Grondkosten]]=1,Tb_Activiteiten[[#Headers],[Grondkosten]],""))</f>
        <v/>
      </c>
      <c r="AV203" t="str">
        <f>IF(ISNUMBER(FIND("overige",Methode_Keuze)),"",IF(Tb_Activiteiten[[#This Row],[Bijdrage in natura (overige)]]=1,Tb_Activiteiten[[#Headers],[Bijdrage in natura (overige)]],""))</f>
        <v/>
      </c>
      <c r="AW203" t="str">
        <f>IF(ISNUMBER(FIND("overige",Methode_Keuze)),"",IF(Tb_Activiteiten[[#This Row],[Bijdrage in natura (vrijwilligers)]]=1,Tb_Activiteiten[[#Headers],[Bijdrage in natura (vrijwilligers)]],""))</f>
        <v/>
      </c>
      <c r="AX203" t="str">
        <f>IF(ISNUMBER(FIND("overige",Methode_Keuze)),"",IF(Tb_Activiteiten[[#This Row],[Afschrijvingskosten]]=1,Tb_Activiteiten[[#Headers],[Afschrijvingskosten]],""))</f>
        <v/>
      </c>
      <c r="AY203" t="str">
        <f>IF(ISNUMBER(FIND("overige",Methode_Keuze)),"",IF(Tb_Activiteiten[[#This Row],[Vergoeding]]=1,Tb_Activiteiten[[#Headers],[Vergoeding]],""))</f>
        <v/>
      </c>
      <c r="AZ203" t="str">
        <f>IF(ISNUMBER(FIND("arbeid",Methode_Keuze)),"",IF(Tb_Activiteiten[[#This Row],[Arbeidskosten - vast tarief (excl eigen arbeid)]]=1,Tb_Activiteiten[[#Headers],[Arbeidskosten - vast tarief (excl eigen arbeid)]],""))</f>
        <v/>
      </c>
      <c r="BA203" t="str">
        <f>IF(ISNUMBER(FIND("overige",Methode_Keuze)),"",IF(Tb_Activiteiten[[#This Row],[Overige kosten]]=1,Tb_Activiteiten[[#Headers],[Overige kosten]],""))</f>
        <v/>
      </c>
    </row>
    <row r="204" spans="1:53" x14ac:dyDescent="0.25">
      <c r="A204" s="231"/>
      <c r="F204" s="64"/>
      <c r="G204" s="64"/>
      <c r="H204" s="275"/>
      <c r="I204" s="275"/>
      <c r="J204" s="275"/>
      <c r="K204" s="275"/>
      <c r="O204" s="56"/>
      <c r="Q204" t="str">
        <f>IFERROR(IF(VLOOKUP(Tb_Activiteiten[[#This Row],[Openstelling]],Tb_Openstelling[],2,0)=1,1,""),"")</f>
        <v/>
      </c>
      <c r="AK204" t="str">
        <f>IF(ISNUMBER(FIND("arbeid",Methode_Keuze)),"",IF(ISNUMBER(FIND("arbeid",Methode_Keuze)),"",IF(Tb_Activiteiten[[#This Row],[Loonkosten]]=1,Tb_Activiteiten[[#Headers],[Loonkosten]],"")))</f>
        <v/>
      </c>
      <c r="AL204" t="str">
        <f>IF(ISNUMBER(FIND("arbeid",Methode_Keuze)),"",IF(ISNUMBER(FIND("arbeid",Methode_Keuze)),"",IF(Tb_Activiteiten[[#This Row],[Eigen arbeid]]=1,Tb_Activiteiten[[#Headers],[Eigen arbeid]],"")))</f>
        <v/>
      </c>
      <c r="AM204" t="str">
        <f>IF(ISNUMBER(FIND("arbeid",Methode_Keuze)),"",IF(ISNUMBER(FIND("arbeid",Methode_Keuze)),"",IF(Tb_Activiteiten[[#This Row],[Projectmedewerker]]=1,Tb_Activiteiten[[#Headers],[Projectmedewerker]],"")))</f>
        <v/>
      </c>
      <c r="AN204" t="str">
        <f>IF(ISNUMBER(FIND("arbeid",Methode_Keuze)),"",IF(ISNUMBER(FIND("arbeid",Methode_Keuze)),"",IF(Tb_Activiteiten[[#This Row],[Landbouwer]]=1,Tb_Activiteiten[[#Headers],[Landbouwer]],"")))</f>
        <v/>
      </c>
      <c r="AO204" t="str">
        <f>IF(ISNUMBER(FIND("arbeid",Methode_Keuze)),"",IF(ISNUMBER(FIND("arbeid",Methode_Keuze)),"",IF(Tb_Activiteiten[[#This Row],[Adviseur]]=1,Tb_Activiteiten[[#Headers],[Adviseur]],"")))</f>
        <v/>
      </c>
      <c r="AP204" t="str">
        <f>IF(ISNUMBER(FIND("arbeid",Methode_Keuze)),"",IF(ISNUMBER(FIND("arbeid",Methode_Keuze)),"",IF(Tb_Activiteiten[[#This Row],[Projectleider/Expert]]=1,Tb_Activiteiten[[#Headers],[Projectleider/Expert]],"")))</f>
        <v/>
      </c>
      <c r="AQ204" t="str">
        <f>IF(ISNUMBER(FIND("arbeid",Methode_Keuze)),"",IF(ISNUMBER(FIND("arbeid",Methode_Keuze)),"",IF(Tb_Activiteiten[[#This Row],[Arbeidskosten]]=1,Tb_Activiteiten[[#Headers],[Arbeidskosten]],"")))</f>
        <v/>
      </c>
      <c r="AR204" t="str">
        <f>IF(ISNUMBER(FIND("arbeid",Methode_Keuze)),"",IF(ISNUMBER(FIND("arbeid",Methode_Keuze)),"",IF(Tb_Activiteiten[[#This Row],[Arbeidskosten op basis van IKS]]=1,Tb_Activiteiten[[#Headers],[Arbeidskosten op basis van IKS]],"")))</f>
        <v/>
      </c>
      <c r="AS204" t="str">
        <f>IF(ISNUMBER(FIND("overige",Methode_Keuze)),"",IF(Tb_Activiteiten[[#This Row],[Kosten derden exclusief btw]]=1,Tb_Activiteiten[[#Headers],[Kosten derden exclusief btw]],""))</f>
        <v/>
      </c>
      <c r="AT204" t="str">
        <f>IF(ISNUMBER(FIND("overige",Methode_Keuze)),"",IF(Tb_Activiteiten[[#This Row],[Niet verrekenbare btw]]=1,Tb_Activiteiten[[#Headers],[Niet verrekenbare btw]],""))</f>
        <v/>
      </c>
      <c r="AU204" t="str">
        <f>IF(ISNUMBER(FIND("overige",Methode_Keuze)),"",IF(Tb_Activiteiten[[#This Row],[Grondkosten]]=1,Tb_Activiteiten[[#Headers],[Grondkosten]],""))</f>
        <v/>
      </c>
      <c r="AV204" t="str">
        <f>IF(ISNUMBER(FIND("overige",Methode_Keuze)),"",IF(Tb_Activiteiten[[#This Row],[Bijdrage in natura (overige)]]=1,Tb_Activiteiten[[#Headers],[Bijdrage in natura (overige)]],""))</f>
        <v/>
      </c>
      <c r="AW204" t="str">
        <f>IF(ISNUMBER(FIND("overige",Methode_Keuze)),"",IF(Tb_Activiteiten[[#This Row],[Bijdrage in natura (vrijwilligers)]]=1,Tb_Activiteiten[[#Headers],[Bijdrage in natura (vrijwilligers)]],""))</f>
        <v/>
      </c>
      <c r="AX204" t="str">
        <f>IF(ISNUMBER(FIND("overige",Methode_Keuze)),"",IF(Tb_Activiteiten[[#This Row],[Afschrijvingskosten]]=1,Tb_Activiteiten[[#Headers],[Afschrijvingskosten]],""))</f>
        <v/>
      </c>
      <c r="AY204" t="str">
        <f>IF(ISNUMBER(FIND("overige",Methode_Keuze)),"",IF(Tb_Activiteiten[[#This Row],[Vergoeding]]=1,Tb_Activiteiten[[#Headers],[Vergoeding]],""))</f>
        <v/>
      </c>
      <c r="AZ204" t="str">
        <f>IF(ISNUMBER(FIND("arbeid",Methode_Keuze)),"",IF(Tb_Activiteiten[[#This Row],[Arbeidskosten - vast tarief (excl eigen arbeid)]]=1,Tb_Activiteiten[[#Headers],[Arbeidskosten - vast tarief (excl eigen arbeid)]],""))</f>
        <v/>
      </c>
      <c r="BA204" t="str">
        <f>IF(ISNUMBER(FIND("overige",Methode_Keuze)),"",IF(Tb_Activiteiten[[#This Row],[Overige kosten]]=1,Tb_Activiteiten[[#Headers],[Overige kosten]],""))</f>
        <v/>
      </c>
    </row>
    <row r="205" spans="1:53" x14ac:dyDescent="0.25">
      <c r="A205" s="231"/>
      <c r="F205" s="64"/>
      <c r="G205" s="64"/>
      <c r="H205" s="275"/>
      <c r="I205" s="275"/>
      <c r="J205" s="275"/>
      <c r="K205" s="275"/>
      <c r="O205" s="56"/>
      <c r="Q205" t="str">
        <f>IFERROR(IF(VLOOKUP(Tb_Activiteiten[[#This Row],[Openstelling]],Tb_Openstelling[],2,0)=1,1,""),"")</f>
        <v/>
      </c>
      <c r="AK205" t="str">
        <f>IF(ISNUMBER(FIND("arbeid",Methode_Keuze)),"",IF(ISNUMBER(FIND("arbeid",Methode_Keuze)),"",IF(Tb_Activiteiten[[#This Row],[Loonkosten]]=1,Tb_Activiteiten[[#Headers],[Loonkosten]],"")))</f>
        <v/>
      </c>
      <c r="AL205" t="str">
        <f>IF(ISNUMBER(FIND("arbeid",Methode_Keuze)),"",IF(ISNUMBER(FIND("arbeid",Methode_Keuze)),"",IF(Tb_Activiteiten[[#This Row],[Eigen arbeid]]=1,Tb_Activiteiten[[#Headers],[Eigen arbeid]],"")))</f>
        <v/>
      </c>
      <c r="AM205" t="str">
        <f>IF(ISNUMBER(FIND("arbeid",Methode_Keuze)),"",IF(ISNUMBER(FIND("arbeid",Methode_Keuze)),"",IF(Tb_Activiteiten[[#This Row],[Projectmedewerker]]=1,Tb_Activiteiten[[#Headers],[Projectmedewerker]],"")))</f>
        <v/>
      </c>
      <c r="AN205" t="str">
        <f>IF(ISNUMBER(FIND("arbeid",Methode_Keuze)),"",IF(ISNUMBER(FIND("arbeid",Methode_Keuze)),"",IF(Tb_Activiteiten[[#This Row],[Landbouwer]]=1,Tb_Activiteiten[[#Headers],[Landbouwer]],"")))</f>
        <v/>
      </c>
      <c r="AO205" t="str">
        <f>IF(ISNUMBER(FIND("arbeid",Methode_Keuze)),"",IF(ISNUMBER(FIND("arbeid",Methode_Keuze)),"",IF(Tb_Activiteiten[[#This Row],[Adviseur]]=1,Tb_Activiteiten[[#Headers],[Adviseur]],"")))</f>
        <v/>
      </c>
      <c r="AP205" t="str">
        <f>IF(ISNUMBER(FIND("arbeid",Methode_Keuze)),"",IF(ISNUMBER(FIND("arbeid",Methode_Keuze)),"",IF(Tb_Activiteiten[[#This Row],[Projectleider/Expert]]=1,Tb_Activiteiten[[#Headers],[Projectleider/Expert]],"")))</f>
        <v/>
      </c>
      <c r="AQ205" t="str">
        <f>IF(ISNUMBER(FIND("arbeid",Methode_Keuze)),"",IF(ISNUMBER(FIND("arbeid",Methode_Keuze)),"",IF(Tb_Activiteiten[[#This Row],[Arbeidskosten]]=1,Tb_Activiteiten[[#Headers],[Arbeidskosten]],"")))</f>
        <v/>
      </c>
      <c r="AR205" t="str">
        <f>IF(ISNUMBER(FIND("arbeid",Methode_Keuze)),"",IF(ISNUMBER(FIND("arbeid",Methode_Keuze)),"",IF(Tb_Activiteiten[[#This Row],[Arbeidskosten op basis van IKS]]=1,Tb_Activiteiten[[#Headers],[Arbeidskosten op basis van IKS]],"")))</f>
        <v/>
      </c>
      <c r="AS205" t="str">
        <f>IF(ISNUMBER(FIND("overige",Methode_Keuze)),"",IF(Tb_Activiteiten[[#This Row],[Kosten derden exclusief btw]]=1,Tb_Activiteiten[[#Headers],[Kosten derden exclusief btw]],""))</f>
        <v/>
      </c>
      <c r="AT205" t="str">
        <f>IF(ISNUMBER(FIND("overige",Methode_Keuze)),"",IF(Tb_Activiteiten[[#This Row],[Niet verrekenbare btw]]=1,Tb_Activiteiten[[#Headers],[Niet verrekenbare btw]],""))</f>
        <v/>
      </c>
      <c r="AU205" t="str">
        <f>IF(ISNUMBER(FIND("overige",Methode_Keuze)),"",IF(Tb_Activiteiten[[#This Row],[Grondkosten]]=1,Tb_Activiteiten[[#Headers],[Grondkosten]],""))</f>
        <v/>
      </c>
      <c r="AV205" t="str">
        <f>IF(ISNUMBER(FIND("overige",Methode_Keuze)),"",IF(Tb_Activiteiten[[#This Row],[Bijdrage in natura (overige)]]=1,Tb_Activiteiten[[#Headers],[Bijdrage in natura (overige)]],""))</f>
        <v/>
      </c>
      <c r="AW205" t="str">
        <f>IF(ISNUMBER(FIND("overige",Methode_Keuze)),"",IF(Tb_Activiteiten[[#This Row],[Bijdrage in natura (vrijwilligers)]]=1,Tb_Activiteiten[[#Headers],[Bijdrage in natura (vrijwilligers)]],""))</f>
        <v/>
      </c>
      <c r="AX205" t="str">
        <f>IF(ISNUMBER(FIND("overige",Methode_Keuze)),"",IF(Tb_Activiteiten[[#This Row],[Afschrijvingskosten]]=1,Tb_Activiteiten[[#Headers],[Afschrijvingskosten]],""))</f>
        <v/>
      </c>
      <c r="AY205" t="str">
        <f>IF(ISNUMBER(FIND("overige",Methode_Keuze)),"",IF(Tb_Activiteiten[[#This Row],[Vergoeding]]=1,Tb_Activiteiten[[#Headers],[Vergoeding]],""))</f>
        <v/>
      </c>
      <c r="AZ205" t="str">
        <f>IF(ISNUMBER(FIND("arbeid",Methode_Keuze)),"",IF(Tb_Activiteiten[[#This Row],[Arbeidskosten - vast tarief (excl eigen arbeid)]]=1,Tb_Activiteiten[[#Headers],[Arbeidskosten - vast tarief (excl eigen arbeid)]],""))</f>
        <v/>
      </c>
      <c r="BA205" t="str">
        <f>IF(ISNUMBER(FIND("overige",Methode_Keuze)),"",IF(Tb_Activiteiten[[#This Row],[Overige kosten]]=1,Tb_Activiteiten[[#Headers],[Overige kosten]],""))</f>
        <v/>
      </c>
    </row>
    <row r="206" spans="1:53" x14ac:dyDescent="0.25">
      <c r="A206" s="231"/>
      <c r="F206" s="64"/>
      <c r="G206" s="64"/>
      <c r="H206" s="275"/>
      <c r="I206" s="275"/>
      <c r="J206" s="275"/>
      <c r="K206" s="275"/>
      <c r="O206" s="56"/>
      <c r="Q206" t="str">
        <f>IFERROR(IF(VLOOKUP(Tb_Activiteiten[[#This Row],[Openstelling]],Tb_Openstelling[],2,0)=1,1,""),"")</f>
        <v/>
      </c>
      <c r="AK206" t="str">
        <f>IF(ISNUMBER(FIND("arbeid",Methode_Keuze)),"",IF(ISNUMBER(FIND("arbeid",Methode_Keuze)),"",IF(Tb_Activiteiten[[#This Row],[Loonkosten]]=1,Tb_Activiteiten[[#Headers],[Loonkosten]],"")))</f>
        <v/>
      </c>
      <c r="AL206" t="str">
        <f>IF(ISNUMBER(FIND("arbeid",Methode_Keuze)),"",IF(ISNUMBER(FIND("arbeid",Methode_Keuze)),"",IF(Tb_Activiteiten[[#This Row],[Eigen arbeid]]=1,Tb_Activiteiten[[#Headers],[Eigen arbeid]],"")))</f>
        <v/>
      </c>
      <c r="AM206" t="str">
        <f>IF(ISNUMBER(FIND("arbeid",Methode_Keuze)),"",IF(ISNUMBER(FIND("arbeid",Methode_Keuze)),"",IF(Tb_Activiteiten[[#This Row],[Projectmedewerker]]=1,Tb_Activiteiten[[#Headers],[Projectmedewerker]],"")))</f>
        <v/>
      </c>
      <c r="AN206" t="str">
        <f>IF(ISNUMBER(FIND("arbeid",Methode_Keuze)),"",IF(ISNUMBER(FIND("arbeid",Methode_Keuze)),"",IF(Tb_Activiteiten[[#This Row],[Landbouwer]]=1,Tb_Activiteiten[[#Headers],[Landbouwer]],"")))</f>
        <v/>
      </c>
      <c r="AO206" t="str">
        <f>IF(ISNUMBER(FIND("arbeid",Methode_Keuze)),"",IF(ISNUMBER(FIND("arbeid",Methode_Keuze)),"",IF(Tb_Activiteiten[[#This Row],[Adviseur]]=1,Tb_Activiteiten[[#Headers],[Adviseur]],"")))</f>
        <v/>
      </c>
      <c r="AP206" t="str">
        <f>IF(ISNUMBER(FIND("arbeid",Methode_Keuze)),"",IF(ISNUMBER(FIND("arbeid",Methode_Keuze)),"",IF(Tb_Activiteiten[[#This Row],[Projectleider/Expert]]=1,Tb_Activiteiten[[#Headers],[Projectleider/Expert]],"")))</f>
        <v/>
      </c>
      <c r="AQ206" t="str">
        <f>IF(ISNUMBER(FIND("arbeid",Methode_Keuze)),"",IF(ISNUMBER(FIND("arbeid",Methode_Keuze)),"",IF(Tb_Activiteiten[[#This Row],[Arbeidskosten]]=1,Tb_Activiteiten[[#Headers],[Arbeidskosten]],"")))</f>
        <v/>
      </c>
      <c r="AR206" t="str">
        <f>IF(ISNUMBER(FIND("arbeid",Methode_Keuze)),"",IF(ISNUMBER(FIND("arbeid",Methode_Keuze)),"",IF(Tb_Activiteiten[[#This Row],[Arbeidskosten op basis van IKS]]=1,Tb_Activiteiten[[#Headers],[Arbeidskosten op basis van IKS]],"")))</f>
        <v/>
      </c>
      <c r="AS206" t="str">
        <f>IF(ISNUMBER(FIND("overige",Methode_Keuze)),"",IF(Tb_Activiteiten[[#This Row],[Kosten derden exclusief btw]]=1,Tb_Activiteiten[[#Headers],[Kosten derden exclusief btw]],""))</f>
        <v/>
      </c>
      <c r="AT206" t="str">
        <f>IF(ISNUMBER(FIND("overige",Methode_Keuze)),"",IF(Tb_Activiteiten[[#This Row],[Niet verrekenbare btw]]=1,Tb_Activiteiten[[#Headers],[Niet verrekenbare btw]],""))</f>
        <v/>
      </c>
      <c r="AU206" t="str">
        <f>IF(ISNUMBER(FIND("overige",Methode_Keuze)),"",IF(Tb_Activiteiten[[#This Row],[Grondkosten]]=1,Tb_Activiteiten[[#Headers],[Grondkosten]],""))</f>
        <v/>
      </c>
      <c r="AV206" t="str">
        <f>IF(ISNUMBER(FIND("overige",Methode_Keuze)),"",IF(Tb_Activiteiten[[#This Row],[Bijdrage in natura (overige)]]=1,Tb_Activiteiten[[#Headers],[Bijdrage in natura (overige)]],""))</f>
        <v/>
      </c>
      <c r="AW206" t="str">
        <f>IF(ISNUMBER(FIND("overige",Methode_Keuze)),"",IF(Tb_Activiteiten[[#This Row],[Bijdrage in natura (vrijwilligers)]]=1,Tb_Activiteiten[[#Headers],[Bijdrage in natura (vrijwilligers)]],""))</f>
        <v/>
      </c>
      <c r="AX206" t="str">
        <f>IF(ISNUMBER(FIND("overige",Methode_Keuze)),"",IF(Tb_Activiteiten[[#This Row],[Afschrijvingskosten]]=1,Tb_Activiteiten[[#Headers],[Afschrijvingskosten]],""))</f>
        <v/>
      </c>
      <c r="AY206" t="str">
        <f>IF(ISNUMBER(FIND("overige",Methode_Keuze)),"",IF(Tb_Activiteiten[[#This Row],[Vergoeding]]=1,Tb_Activiteiten[[#Headers],[Vergoeding]],""))</f>
        <v/>
      </c>
      <c r="AZ206" t="str">
        <f>IF(ISNUMBER(FIND("arbeid",Methode_Keuze)),"",IF(Tb_Activiteiten[[#This Row],[Arbeidskosten - vast tarief (excl eigen arbeid)]]=1,Tb_Activiteiten[[#Headers],[Arbeidskosten - vast tarief (excl eigen arbeid)]],""))</f>
        <v/>
      </c>
      <c r="BA206" t="str">
        <f>IF(ISNUMBER(FIND("overige",Methode_Keuze)),"",IF(Tb_Activiteiten[[#This Row],[Overige kosten]]=1,Tb_Activiteiten[[#Headers],[Overige kosten]],""))</f>
        <v/>
      </c>
    </row>
    <row r="207" spans="1:53" x14ac:dyDescent="0.25">
      <c r="A207" s="231"/>
      <c r="F207" s="64"/>
      <c r="G207" s="64"/>
      <c r="H207" s="275"/>
      <c r="I207" s="275"/>
      <c r="J207" s="275"/>
      <c r="K207" s="275"/>
      <c r="O207" s="56"/>
      <c r="Q207" t="str">
        <f>IFERROR(IF(VLOOKUP(Tb_Activiteiten[[#This Row],[Openstelling]],Tb_Openstelling[],2,0)=1,1,""),"")</f>
        <v/>
      </c>
      <c r="AK207" t="str">
        <f>IF(ISNUMBER(FIND("arbeid",Methode_Keuze)),"",IF(ISNUMBER(FIND("arbeid",Methode_Keuze)),"",IF(Tb_Activiteiten[[#This Row],[Loonkosten]]=1,Tb_Activiteiten[[#Headers],[Loonkosten]],"")))</f>
        <v/>
      </c>
      <c r="AL207" t="str">
        <f>IF(ISNUMBER(FIND("arbeid",Methode_Keuze)),"",IF(ISNUMBER(FIND("arbeid",Methode_Keuze)),"",IF(Tb_Activiteiten[[#This Row],[Eigen arbeid]]=1,Tb_Activiteiten[[#Headers],[Eigen arbeid]],"")))</f>
        <v/>
      </c>
      <c r="AM207" t="str">
        <f>IF(ISNUMBER(FIND("arbeid",Methode_Keuze)),"",IF(ISNUMBER(FIND("arbeid",Methode_Keuze)),"",IF(Tb_Activiteiten[[#This Row],[Projectmedewerker]]=1,Tb_Activiteiten[[#Headers],[Projectmedewerker]],"")))</f>
        <v/>
      </c>
      <c r="AN207" t="str">
        <f>IF(ISNUMBER(FIND("arbeid",Methode_Keuze)),"",IF(ISNUMBER(FIND("arbeid",Methode_Keuze)),"",IF(Tb_Activiteiten[[#This Row],[Landbouwer]]=1,Tb_Activiteiten[[#Headers],[Landbouwer]],"")))</f>
        <v/>
      </c>
      <c r="AO207" t="str">
        <f>IF(ISNUMBER(FIND("arbeid",Methode_Keuze)),"",IF(ISNUMBER(FIND("arbeid",Methode_Keuze)),"",IF(Tb_Activiteiten[[#This Row],[Adviseur]]=1,Tb_Activiteiten[[#Headers],[Adviseur]],"")))</f>
        <v/>
      </c>
      <c r="AP207" t="str">
        <f>IF(ISNUMBER(FIND("arbeid",Methode_Keuze)),"",IF(ISNUMBER(FIND("arbeid",Methode_Keuze)),"",IF(Tb_Activiteiten[[#This Row],[Projectleider/Expert]]=1,Tb_Activiteiten[[#Headers],[Projectleider/Expert]],"")))</f>
        <v/>
      </c>
      <c r="AQ207" t="str">
        <f>IF(ISNUMBER(FIND("arbeid",Methode_Keuze)),"",IF(ISNUMBER(FIND("arbeid",Methode_Keuze)),"",IF(Tb_Activiteiten[[#This Row],[Arbeidskosten]]=1,Tb_Activiteiten[[#Headers],[Arbeidskosten]],"")))</f>
        <v/>
      </c>
      <c r="AR207" t="str">
        <f>IF(ISNUMBER(FIND("arbeid",Methode_Keuze)),"",IF(ISNUMBER(FIND("arbeid",Methode_Keuze)),"",IF(Tb_Activiteiten[[#This Row],[Arbeidskosten op basis van IKS]]=1,Tb_Activiteiten[[#Headers],[Arbeidskosten op basis van IKS]],"")))</f>
        <v/>
      </c>
      <c r="AS207" t="str">
        <f>IF(ISNUMBER(FIND("overige",Methode_Keuze)),"",IF(Tb_Activiteiten[[#This Row],[Kosten derden exclusief btw]]=1,Tb_Activiteiten[[#Headers],[Kosten derden exclusief btw]],""))</f>
        <v/>
      </c>
      <c r="AT207" t="str">
        <f>IF(ISNUMBER(FIND("overige",Methode_Keuze)),"",IF(Tb_Activiteiten[[#This Row],[Niet verrekenbare btw]]=1,Tb_Activiteiten[[#Headers],[Niet verrekenbare btw]],""))</f>
        <v/>
      </c>
      <c r="AU207" t="str">
        <f>IF(ISNUMBER(FIND("overige",Methode_Keuze)),"",IF(Tb_Activiteiten[[#This Row],[Grondkosten]]=1,Tb_Activiteiten[[#Headers],[Grondkosten]],""))</f>
        <v/>
      </c>
      <c r="AV207" t="str">
        <f>IF(ISNUMBER(FIND("overige",Methode_Keuze)),"",IF(Tb_Activiteiten[[#This Row],[Bijdrage in natura (overige)]]=1,Tb_Activiteiten[[#Headers],[Bijdrage in natura (overige)]],""))</f>
        <v/>
      </c>
      <c r="AW207" t="str">
        <f>IF(ISNUMBER(FIND("overige",Methode_Keuze)),"",IF(Tb_Activiteiten[[#This Row],[Bijdrage in natura (vrijwilligers)]]=1,Tb_Activiteiten[[#Headers],[Bijdrage in natura (vrijwilligers)]],""))</f>
        <v/>
      </c>
      <c r="AX207" t="str">
        <f>IF(ISNUMBER(FIND("overige",Methode_Keuze)),"",IF(Tb_Activiteiten[[#This Row],[Afschrijvingskosten]]=1,Tb_Activiteiten[[#Headers],[Afschrijvingskosten]],""))</f>
        <v/>
      </c>
      <c r="AY207" t="str">
        <f>IF(ISNUMBER(FIND("overige",Methode_Keuze)),"",IF(Tb_Activiteiten[[#This Row],[Vergoeding]]=1,Tb_Activiteiten[[#Headers],[Vergoeding]],""))</f>
        <v/>
      </c>
      <c r="AZ207" t="str">
        <f>IF(ISNUMBER(FIND("arbeid",Methode_Keuze)),"",IF(Tb_Activiteiten[[#This Row],[Arbeidskosten - vast tarief (excl eigen arbeid)]]=1,Tb_Activiteiten[[#Headers],[Arbeidskosten - vast tarief (excl eigen arbeid)]],""))</f>
        <v/>
      </c>
      <c r="BA207" t="str">
        <f>IF(ISNUMBER(FIND("overige",Methode_Keuze)),"",IF(Tb_Activiteiten[[#This Row],[Overige kosten]]=1,Tb_Activiteiten[[#Headers],[Overige kosten]],""))</f>
        <v/>
      </c>
    </row>
    <row r="208" spans="1:53" x14ac:dyDescent="0.25">
      <c r="A208" s="231"/>
      <c r="F208" s="64"/>
      <c r="G208" s="64"/>
      <c r="H208" s="275"/>
      <c r="I208" s="275"/>
      <c r="J208" s="275"/>
      <c r="K208" s="275"/>
      <c r="O208" s="56"/>
      <c r="Q208" t="str">
        <f>IFERROR(IF(VLOOKUP(Tb_Activiteiten[[#This Row],[Openstelling]],Tb_Openstelling[],2,0)=1,1,""),"")</f>
        <v/>
      </c>
      <c r="AK208" t="str">
        <f>IF(ISNUMBER(FIND("arbeid",Methode_Keuze)),"",IF(ISNUMBER(FIND("arbeid",Methode_Keuze)),"",IF(Tb_Activiteiten[[#This Row],[Loonkosten]]=1,Tb_Activiteiten[[#Headers],[Loonkosten]],"")))</f>
        <v/>
      </c>
      <c r="AL208" t="str">
        <f>IF(ISNUMBER(FIND("arbeid",Methode_Keuze)),"",IF(ISNUMBER(FIND("arbeid",Methode_Keuze)),"",IF(Tb_Activiteiten[[#This Row],[Eigen arbeid]]=1,Tb_Activiteiten[[#Headers],[Eigen arbeid]],"")))</f>
        <v/>
      </c>
      <c r="AM208" t="str">
        <f>IF(ISNUMBER(FIND("arbeid",Methode_Keuze)),"",IF(ISNUMBER(FIND("arbeid",Methode_Keuze)),"",IF(Tb_Activiteiten[[#This Row],[Projectmedewerker]]=1,Tb_Activiteiten[[#Headers],[Projectmedewerker]],"")))</f>
        <v/>
      </c>
      <c r="AN208" t="str">
        <f>IF(ISNUMBER(FIND("arbeid",Methode_Keuze)),"",IF(ISNUMBER(FIND("arbeid",Methode_Keuze)),"",IF(Tb_Activiteiten[[#This Row],[Landbouwer]]=1,Tb_Activiteiten[[#Headers],[Landbouwer]],"")))</f>
        <v/>
      </c>
      <c r="AO208" t="str">
        <f>IF(ISNUMBER(FIND("arbeid",Methode_Keuze)),"",IF(ISNUMBER(FIND("arbeid",Methode_Keuze)),"",IF(Tb_Activiteiten[[#This Row],[Adviseur]]=1,Tb_Activiteiten[[#Headers],[Adviseur]],"")))</f>
        <v/>
      </c>
      <c r="AP208" t="str">
        <f>IF(ISNUMBER(FIND("arbeid",Methode_Keuze)),"",IF(ISNUMBER(FIND("arbeid",Methode_Keuze)),"",IF(Tb_Activiteiten[[#This Row],[Projectleider/Expert]]=1,Tb_Activiteiten[[#Headers],[Projectleider/Expert]],"")))</f>
        <v/>
      </c>
      <c r="AQ208" t="str">
        <f>IF(ISNUMBER(FIND("arbeid",Methode_Keuze)),"",IF(ISNUMBER(FIND("arbeid",Methode_Keuze)),"",IF(Tb_Activiteiten[[#This Row],[Arbeidskosten]]=1,Tb_Activiteiten[[#Headers],[Arbeidskosten]],"")))</f>
        <v/>
      </c>
      <c r="AR208" t="str">
        <f>IF(ISNUMBER(FIND("arbeid",Methode_Keuze)),"",IF(ISNUMBER(FIND("arbeid",Methode_Keuze)),"",IF(Tb_Activiteiten[[#This Row],[Arbeidskosten op basis van IKS]]=1,Tb_Activiteiten[[#Headers],[Arbeidskosten op basis van IKS]],"")))</f>
        <v/>
      </c>
      <c r="AS208" t="str">
        <f>IF(ISNUMBER(FIND("overige",Methode_Keuze)),"",IF(Tb_Activiteiten[[#This Row],[Kosten derden exclusief btw]]=1,Tb_Activiteiten[[#Headers],[Kosten derden exclusief btw]],""))</f>
        <v/>
      </c>
      <c r="AT208" t="str">
        <f>IF(ISNUMBER(FIND("overige",Methode_Keuze)),"",IF(Tb_Activiteiten[[#This Row],[Niet verrekenbare btw]]=1,Tb_Activiteiten[[#Headers],[Niet verrekenbare btw]],""))</f>
        <v/>
      </c>
      <c r="AU208" t="str">
        <f>IF(ISNUMBER(FIND("overige",Methode_Keuze)),"",IF(Tb_Activiteiten[[#This Row],[Grondkosten]]=1,Tb_Activiteiten[[#Headers],[Grondkosten]],""))</f>
        <v/>
      </c>
      <c r="AV208" t="str">
        <f>IF(ISNUMBER(FIND("overige",Methode_Keuze)),"",IF(Tb_Activiteiten[[#This Row],[Bijdrage in natura (overige)]]=1,Tb_Activiteiten[[#Headers],[Bijdrage in natura (overige)]],""))</f>
        <v/>
      </c>
      <c r="AW208" t="str">
        <f>IF(ISNUMBER(FIND("overige",Methode_Keuze)),"",IF(Tb_Activiteiten[[#This Row],[Bijdrage in natura (vrijwilligers)]]=1,Tb_Activiteiten[[#Headers],[Bijdrage in natura (vrijwilligers)]],""))</f>
        <v/>
      </c>
      <c r="AX208" t="str">
        <f>IF(ISNUMBER(FIND("overige",Methode_Keuze)),"",IF(Tb_Activiteiten[[#This Row],[Afschrijvingskosten]]=1,Tb_Activiteiten[[#Headers],[Afschrijvingskosten]],""))</f>
        <v/>
      </c>
      <c r="AY208" t="str">
        <f>IF(ISNUMBER(FIND("overige",Methode_Keuze)),"",IF(Tb_Activiteiten[[#This Row],[Vergoeding]]=1,Tb_Activiteiten[[#Headers],[Vergoeding]],""))</f>
        <v/>
      </c>
      <c r="AZ208" t="str">
        <f>IF(ISNUMBER(FIND("arbeid",Methode_Keuze)),"",IF(Tb_Activiteiten[[#This Row],[Arbeidskosten - vast tarief (excl eigen arbeid)]]=1,Tb_Activiteiten[[#Headers],[Arbeidskosten - vast tarief (excl eigen arbeid)]],""))</f>
        <v/>
      </c>
      <c r="BA208" t="str">
        <f>IF(ISNUMBER(FIND("overige",Methode_Keuze)),"",IF(Tb_Activiteiten[[#This Row],[Overige kosten]]=1,Tb_Activiteiten[[#Headers],[Overige kosten]],""))</f>
        <v/>
      </c>
    </row>
    <row r="209" spans="1:53" x14ac:dyDescent="0.25">
      <c r="A209" s="231"/>
      <c r="F209" s="64"/>
      <c r="G209" s="64"/>
      <c r="H209" s="275"/>
      <c r="I209" s="275"/>
      <c r="J209" s="275"/>
      <c r="K209" s="275"/>
      <c r="O209" s="56"/>
      <c r="Q209" t="str">
        <f>IFERROR(IF(VLOOKUP(Tb_Activiteiten[[#This Row],[Openstelling]],Tb_Openstelling[],2,0)=1,1,""),"")</f>
        <v/>
      </c>
      <c r="AK209" t="str">
        <f>IF(ISNUMBER(FIND("arbeid",Methode_Keuze)),"",IF(ISNUMBER(FIND("arbeid",Methode_Keuze)),"",IF(Tb_Activiteiten[[#This Row],[Loonkosten]]=1,Tb_Activiteiten[[#Headers],[Loonkosten]],"")))</f>
        <v/>
      </c>
      <c r="AL209" t="str">
        <f>IF(ISNUMBER(FIND("arbeid",Methode_Keuze)),"",IF(ISNUMBER(FIND("arbeid",Methode_Keuze)),"",IF(Tb_Activiteiten[[#This Row],[Eigen arbeid]]=1,Tb_Activiteiten[[#Headers],[Eigen arbeid]],"")))</f>
        <v/>
      </c>
      <c r="AM209" t="str">
        <f>IF(ISNUMBER(FIND("arbeid",Methode_Keuze)),"",IF(ISNUMBER(FIND("arbeid",Methode_Keuze)),"",IF(Tb_Activiteiten[[#This Row],[Projectmedewerker]]=1,Tb_Activiteiten[[#Headers],[Projectmedewerker]],"")))</f>
        <v/>
      </c>
      <c r="AN209" t="str">
        <f>IF(ISNUMBER(FIND("arbeid",Methode_Keuze)),"",IF(ISNUMBER(FIND("arbeid",Methode_Keuze)),"",IF(Tb_Activiteiten[[#This Row],[Landbouwer]]=1,Tb_Activiteiten[[#Headers],[Landbouwer]],"")))</f>
        <v/>
      </c>
      <c r="AO209" t="str">
        <f>IF(ISNUMBER(FIND("arbeid",Methode_Keuze)),"",IF(ISNUMBER(FIND("arbeid",Methode_Keuze)),"",IF(Tb_Activiteiten[[#This Row],[Adviseur]]=1,Tb_Activiteiten[[#Headers],[Adviseur]],"")))</f>
        <v/>
      </c>
      <c r="AP209" t="str">
        <f>IF(ISNUMBER(FIND("arbeid",Methode_Keuze)),"",IF(ISNUMBER(FIND("arbeid",Methode_Keuze)),"",IF(Tb_Activiteiten[[#This Row],[Projectleider/Expert]]=1,Tb_Activiteiten[[#Headers],[Projectleider/Expert]],"")))</f>
        <v/>
      </c>
      <c r="AQ209" t="str">
        <f>IF(ISNUMBER(FIND("arbeid",Methode_Keuze)),"",IF(ISNUMBER(FIND("arbeid",Methode_Keuze)),"",IF(Tb_Activiteiten[[#This Row],[Arbeidskosten]]=1,Tb_Activiteiten[[#Headers],[Arbeidskosten]],"")))</f>
        <v/>
      </c>
      <c r="AR209" t="str">
        <f>IF(ISNUMBER(FIND("arbeid",Methode_Keuze)),"",IF(ISNUMBER(FIND("arbeid",Methode_Keuze)),"",IF(Tb_Activiteiten[[#This Row],[Arbeidskosten op basis van IKS]]=1,Tb_Activiteiten[[#Headers],[Arbeidskosten op basis van IKS]],"")))</f>
        <v/>
      </c>
      <c r="AS209" t="str">
        <f>IF(ISNUMBER(FIND("overige",Methode_Keuze)),"",IF(Tb_Activiteiten[[#This Row],[Kosten derden exclusief btw]]=1,Tb_Activiteiten[[#Headers],[Kosten derden exclusief btw]],""))</f>
        <v/>
      </c>
      <c r="AT209" t="str">
        <f>IF(ISNUMBER(FIND("overige",Methode_Keuze)),"",IF(Tb_Activiteiten[[#This Row],[Niet verrekenbare btw]]=1,Tb_Activiteiten[[#Headers],[Niet verrekenbare btw]],""))</f>
        <v/>
      </c>
      <c r="AU209" t="str">
        <f>IF(ISNUMBER(FIND("overige",Methode_Keuze)),"",IF(Tb_Activiteiten[[#This Row],[Grondkosten]]=1,Tb_Activiteiten[[#Headers],[Grondkosten]],""))</f>
        <v/>
      </c>
      <c r="AV209" t="str">
        <f>IF(ISNUMBER(FIND("overige",Methode_Keuze)),"",IF(Tb_Activiteiten[[#This Row],[Bijdrage in natura (overige)]]=1,Tb_Activiteiten[[#Headers],[Bijdrage in natura (overige)]],""))</f>
        <v/>
      </c>
      <c r="AW209" t="str">
        <f>IF(ISNUMBER(FIND("overige",Methode_Keuze)),"",IF(Tb_Activiteiten[[#This Row],[Bijdrage in natura (vrijwilligers)]]=1,Tb_Activiteiten[[#Headers],[Bijdrage in natura (vrijwilligers)]],""))</f>
        <v/>
      </c>
      <c r="AX209" t="str">
        <f>IF(ISNUMBER(FIND("overige",Methode_Keuze)),"",IF(Tb_Activiteiten[[#This Row],[Afschrijvingskosten]]=1,Tb_Activiteiten[[#Headers],[Afschrijvingskosten]],""))</f>
        <v/>
      </c>
      <c r="AY209" t="str">
        <f>IF(ISNUMBER(FIND("overige",Methode_Keuze)),"",IF(Tb_Activiteiten[[#This Row],[Vergoeding]]=1,Tb_Activiteiten[[#Headers],[Vergoeding]],""))</f>
        <v/>
      </c>
      <c r="AZ209" t="str">
        <f>IF(ISNUMBER(FIND("arbeid",Methode_Keuze)),"",IF(Tb_Activiteiten[[#This Row],[Arbeidskosten - vast tarief (excl eigen arbeid)]]=1,Tb_Activiteiten[[#Headers],[Arbeidskosten - vast tarief (excl eigen arbeid)]],""))</f>
        <v/>
      </c>
      <c r="BA209" t="str">
        <f>IF(ISNUMBER(FIND("overige",Methode_Keuze)),"",IF(Tb_Activiteiten[[#This Row],[Overige kosten]]=1,Tb_Activiteiten[[#Headers],[Overige kosten]],""))</f>
        <v/>
      </c>
    </row>
    <row r="210" spans="1:53" x14ac:dyDescent="0.25">
      <c r="A210" s="231"/>
      <c r="F210" s="64"/>
      <c r="G210" s="64"/>
      <c r="H210" s="275"/>
      <c r="I210" s="275"/>
      <c r="J210" s="275"/>
      <c r="K210" s="275"/>
      <c r="O210" s="56"/>
      <c r="Q210" t="str">
        <f>IFERROR(IF(VLOOKUP(Tb_Activiteiten[[#This Row],[Openstelling]],Tb_Openstelling[],2,0)=1,1,""),"")</f>
        <v/>
      </c>
      <c r="AK210" t="str">
        <f>IF(ISNUMBER(FIND("arbeid",Methode_Keuze)),"",IF(ISNUMBER(FIND("arbeid",Methode_Keuze)),"",IF(Tb_Activiteiten[[#This Row],[Loonkosten]]=1,Tb_Activiteiten[[#Headers],[Loonkosten]],"")))</f>
        <v/>
      </c>
      <c r="AL210" t="str">
        <f>IF(ISNUMBER(FIND("arbeid",Methode_Keuze)),"",IF(ISNUMBER(FIND("arbeid",Methode_Keuze)),"",IF(Tb_Activiteiten[[#This Row],[Eigen arbeid]]=1,Tb_Activiteiten[[#Headers],[Eigen arbeid]],"")))</f>
        <v/>
      </c>
      <c r="AM210" t="str">
        <f>IF(ISNUMBER(FIND("arbeid",Methode_Keuze)),"",IF(ISNUMBER(FIND("arbeid",Methode_Keuze)),"",IF(Tb_Activiteiten[[#This Row],[Projectmedewerker]]=1,Tb_Activiteiten[[#Headers],[Projectmedewerker]],"")))</f>
        <v/>
      </c>
      <c r="AN210" t="str">
        <f>IF(ISNUMBER(FIND("arbeid",Methode_Keuze)),"",IF(ISNUMBER(FIND("arbeid",Methode_Keuze)),"",IF(Tb_Activiteiten[[#This Row],[Landbouwer]]=1,Tb_Activiteiten[[#Headers],[Landbouwer]],"")))</f>
        <v/>
      </c>
      <c r="AO210" t="str">
        <f>IF(ISNUMBER(FIND("arbeid",Methode_Keuze)),"",IF(ISNUMBER(FIND("arbeid",Methode_Keuze)),"",IF(Tb_Activiteiten[[#This Row],[Adviseur]]=1,Tb_Activiteiten[[#Headers],[Adviseur]],"")))</f>
        <v/>
      </c>
      <c r="AP210" t="str">
        <f>IF(ISNUMBER(FIND("arbeid",Methode_Keuze)),"",IF(ISNUMBER(FIND("arbeid",Methode_Keuze)),"",IF(Tb_Activiteiten[[#This Row],[Projectleider/Expert]]=1,Tb_Activiteiten[[#Headers],[Projectleider/Expert]],"")))</f>
        <v/>
      </c>
      <c r="AQ210" t="str">
        <f>IF(ISNUMBER(FIND("arbeid",Methode_Keuze)),"",IF(ISNUMBER(FIND("arbeid",Methode_Keuze)),"",IF(Tb_Activiteiten[[#This Row],[Arbeidskosten]]=1,Tb_Activiteiten[[#Headers],[Arbeidskosten]],"")))</f>
        <v/>
      </c>
      <c r="AR210" t="str">
        <f>IF(ISNUMBER(FIND("arbeid",Methode_Keuze)),"",IF(ISNUMBER(FIND("arbeid",Methode_Keuze)),"",IF(Tb_Activiteiten[[#This Row],[Arbeidskosten op basis van IKS]]=1,Tb_Activiteiten[[#Headers],[Arbeidskosten op basis van IKS]],"")))</f>
        <v/>
      </c>
      <c r="AS210" t="str">
        <f>IF(ISNUMBER(FIND("overige",Methode_Keuze)),"",IF(Tb_Activiteiten[[#This Row],[Kosten derden exclusief btw]]=1,Tb_Activiteiten[[#Headers],[Kosten derden exclusief btw]],""))</f>
        <v/>
      </c>
      <c r="AT210" t="str">
        <f>IF(ISNUMBER(FIND("overige",Methode_Keuze)),"",IF(Tb_Activiteiten[[#This Row],[Niet verrekenbare btw]]=1,Tb_Activiteiten[[#Headers],[Niet verrekenbare btw]],""))</f>
        <v/>
      </c>
      <c r="AU210" t="str">
        <f>IF(ISNUMBER(FIND("overige",Methode_Keuze)),"",IF(Tb_Activiteiten[[#This Row],[Grondkosten]]=1,Tb_Activiteiten[[#Headers],[Grondkosten]],""))</f>
        <v/>
      </c>
      <c r="AV210" t="str">
        <f>IF(ISNUMBER(FIND("overige",Methode_Keuze)),"",IF(Tb_Activiteiten[[#This Row],[Bijdrage in natura (overige)]]=1,Tb_Activiteiten[[#Headers],[Bijdrage in natura (overige)]],""))</f>
        <v/>
      </c>
      <c r="AW210" t="str">
        <f>IF(ISNUMBER(FIND("overige",Methode_Keuze)),"",IF(Tb_Activiteiten[[#This Row],[Bijdrage in natura (vrijwilligers)]]=1,Tb_Activiteiten[[#Headers],[Bijdrage in natura (vrijwilligers)]],""))</f>
        <v/>
      </c>
      <c r="AX210" t="str">
        <f>IF(ISNUMBER(FIND("overige",Methode_Keuze)),"",IF(Tb_Activiteiten[[#This Row],[Afschrijvingskosten]]=1,Tb_Activiteiten[[#Headers],[Afschrijvingskosten]],""))</f>
        <v/>
      </c>
      <c r="AY210" t="str">
        <f>IF(ISNUMBER(FIND("overige",Methode_Keuze)),"",IF(Tb_Activiteiten[[#This Row],[Vergoeding]]=1,Tb_Activiteiten[[#Headers],[Vergoeding]],""))</f>
        <v/>
      </c>
      <c r="AZ210" t="str">
        <f>IF(ISNUMBER(FIND("arbeid",Methode_Keuze)),"",IF(Tb_Activiteiten[[#This Row],[Arbeidskosten - vast tarief (excl eigen arbeid)]]=1,Tb_Activiteiten[[#Headers],[Arbeidskosten - vast tarief (excl eigen arbeid)]],""))</f>
        <v/>
      </c>
      <c r="BA210" t="str">
        <f>IF(ISNUMBER(FIND("overige",Methode_Keuze)),"",IF(Tb_Activiteiten[[#This Row],[Overige kosten]]=1,Tb_Activiteiten[[#Headers],[Overige kosten]],""))</f>
        <v/>
      </c>
    </row>
    <row r="211" spans="1:53" x14ac:dyDescent="0.25">
      <c r="A211" s="231"/>
      <c r="F211" s="64"/>
      <c r="G211" s="64"/>
      <c r="H211" s="275"/>
      <c r="I211" s="275"/>
      <c r="J211" s="275"/>
      <c r="K211" s="275"/>
      <c r="O211" s="56"/>
      <c r="Q211" t="str">
        <f>IFERROR(IF(VLOOKUP(Tb_Activiteiten[[#This Row],[Openstelling]],Tb_Openstelling[],2,0)=1,1,""),"")</f>
        <v/>
      </c>
      <c r="AK211" t="str">
        <f>IF(ISNUMBER(FIND("arbeid",Methode_Keuze)),"",IF(ISNUMBER(FIND("arbeid",Methode_Keuze)),"",IF(Tb_Activiteiten[[#This Row],[Loonkosten]]=1,Tb_Activiteiten[[#Headers],[Loonkosten]],"")))</f>
        <v/>
      </c>
      <c r="AL211" t="str">
        <f>IF(ISNUMBER(FIND("arbeid",Methode_Keuze)),"",IF(ISNUMBER(FIND("arbeid",Methode_Keuze)),"",IF(Tb_Activiteiten[[#This Row],[Eigen arbeid]]=1,Tb_Activiteiten[[#Headers],[Eigen arbeid]],"")))</f>
        <v/>
      </c>
      <c r="AM211" t="str">
        <f>IF(ISNUMBER(FIND("arbeid",Methode_Keuze)),"",IF(ISNUMBER(FIND("arbeid",Methode_Keuze)),"",IF(Tb_Activiteiten[[#This Row],[Projectmedewerker]]=1,Tb_Activiteiten[[#Headers],[Projectmedewerker]],"")))</f>
        <v/>
      </c>
      <c r="AN211" t="str">
        <f>IF(ISNUMBER(FIND("arbeid",Methode_Keuze)),"",IF(ISNUMBER(FIND("arbeid",Methode_Keuze)),"",IF(Tb_Activiteiten[[#This Row],[Landbouwer]]=1,Tb_Activiteiten[[#Headers],[Landbouwer]],"")))</f>
        <v/>
      </c>
      <c r="AO211" t="str">
        <f>IF(ISNUMBER(FIND("arbeid",Methode_Keuze)),"",IF(ISNUMBER(FIND("arbeid",Methode_Keuze)),"",IF(Tb_Activiteiten[[#This Row],[Adviseur]]=1,Tb_Activiteiten[[#Headers],[Adviseur]],"")))</f>
        <v/>
      </c>
      <c r="AP211" t="str">
        <f>IF(ISNUMBER(FIND("arbeid",Methode_Keuze)),"",IF(ISNUMBER(FIND("arbeid",Methode_Keuze)),"",IF(Tb_Activiteiten[[#This Row],[Projectleider/Expert]]=1,Tb_Activiteiten[[#Headers],[Projectleider/Expert]],"")))</f>
        <v/>
      </c>
      <c r="AQ211" t="str">
        <f>IF(ISNUMBER(FIND("arbeid",Methode_Keuze)),"",IF(ISNUMBER(FIND("arbeid",Methode_Keuze)),"",IF(Tb_Activiteiten[[#This Row],[Arbeidskosten]]=1,Tb_Activiteiten[[#Headers],[Arbeidskosten]],"")))</f>
        <v/>
      </c>
      <c r="AR211" t="str">
        <f>IF(ISNUMBER(FIND("arbeid",Methode_Keuze)),"",IF(ISNUMBER(FIND("arbeid",Methode_Keuze)),"",IF(Tb_Activiteiten[[#This Row],[Arbeidskosten op basis van IKS]]=1,Tb_Activiteiten[[#Headers],[Arbeidskosten op basis van IKS]],"")))</f>
        <v/>
      </c>
      <c r="AS211" t="str">
        <f>IF(ISNUMBER(FIND("overige",Methode_Keuze)),"",IF(Tb_Activiteiten[[#This Row],[Kosten derden exclusief btw]]=1,Tb_Activiteiten[[#Headers],[Kosten derden exclusief btw]],""))</f>
        <v/>
      </c>
      <c r="AT211" t="str">
        <f>IF(ISNUMBER(FIND("overige",Methode_Keuze)),"",IF(Tb_Activiteiten[[#This Row],[Niet verrekenbare btw]]=1,Tb_Activiteiten[[#Headers],[Niet verrekenbare btw]],""))</f>
        <v/>
      </c>
      <c r="AU211" t="str">
        <f>IF(ISNUMBER(FIND("overige",Methode_Keuze)),"",IF(Tb_Activiteiten[[#This Row],[Grondkosten]]=1,Tb_Activiteiten[[#Headers],[Grondkosten]],""))</f>
        <v/>
      </c>
      <c r="AV211" t="str">
        <f>IF(ISNUMBER(FIND("overige",Methode_Keuze)),"",IF(Tb_Activiteiten[[#This Row],[Bijdrage in natura (overige)]]=1,Tb_Activiteiten[[#Headers],[Bijdrage in natura (overige)]],""))</f>
        <v/>
      </c>
      <c r="AW211" t="str">
        <f>IF(ISNUMBER(FIND("overige",Methode_Keuze)),"",IF(Tb_Activiteiten[[#This Row],[Bijdrage in natura (vrijwilligers)]]=1,Tb_Activiteiten[[#Headers],[Bijdrage in natura (vrijwilligers)]],""))</f>
        <v/>
      </c>
      <c r="AX211" t="str">
        <f>IF(ISNUMBER(FIND("overige",Methode_Keuze)),"",IF(Tb_Activiteiten[[#This Row],[Afschrijvingskosten]]=1,Tb_Activiteiten[[#Headers],[Afschrijvingskosten]],""))</f>
        <v/>
      </c>
      <c r="AY211" t="str">
        <f>IF(ISNUMBER(FIND("overige",Methode_Keuze)),"",IF(Tb_Activiteiten[[#This Row],[Vergoeding]]=1,Tb_Activiteiten[[#Headers],[Vergoeding]],""))</f>
        <v/>
      </c>
      <c r="AZ211" t="str">
        <f>IF(ISNUMBER(FIND("arbeid",Methode_Keuze)),"",IF(Tb_Activiteiten[[#This Row],[Arbeidskosten - vast tarief (excl eigen arbeid)]]=1,Tb_Activiteiten[[#Headers],[Arbeidskosten - vast tarief (excl eigen arbeid)]],""))</f>
        <v/>
      </c>
      <c r="BA211" t="str">
        <f>IF(ISNUMBER(FIND("overige",Methode_Keuze)),"",IF(Tb_Activiteiten[[#This Row],[Overige kosten]]=1,Tb_Activiteiten[[#Headers],[Overige kosten]],""))</f>
        <v/>
      </c>
    </row>
    <row r="212" spans="1:53" x14ac:dyDescent="0.25">
      <c r="A212" s="231"/>
      <c r="F212" s="64"/>
      <c r="G212" s="64"/>
      <c r="H212" s="275"/>
      <c r="I212" s="275"/>
      <c r="J212" s="275"/>
      <c r="K212" s="275"/>
      <c r="O212" s="56"/>
      <c r="Q212" t="str">
        <f>IFERROR(IF(VLOOKUP(Tb_Activiteiten[[#This Row],[Openstelling]],Tb_Openstelling[],2,0)=1,1,""),"")</f>
        <v/>
      </c>
      <c r="AK212" t="str">
        <f>IF(ISNUMBER(FIND("arbeid",Methode_Keuze)),"",IF(ISNUMBER(FIND("arbeid",Methode_Keuze)),"",IF(Tb_Activiteiten[[#This Row],[Loonkosten]]=1,Tb_Activiteiten[[#Headers],[Loonkosten]],"")))</f>
        <v/>
      </c>
      <c r="AL212" t="str">
        <f>IF(ISNUMBER(FIND("arbeid",Methode_Keuze)),"",IF(ISNUMBER(FIND("arbeid",Methode_Keuze)),"",IF(Tb_Activiteiten[[#This Row],[Eigen arbeid]]=1,Tb_Activiteiten[[#Headers],[Eigen arbeid]],"")))</f>
        <v/>
      </c>
      <c r="AM212" t="str">
        <f>IF(ISNUMBER(FIND("arbeid",Methode_Keuze)),"",IF(ISNUMBER(FIND("arbeid",Methode_Keuze)),"",IF(Tb_Activiteiten[[#This Row],[Projectmedewerker]]=1,Tb_Activiteiten[[#Headers],[Projectmedewerker]],"")))</f>
        <v/>
      </c>
      <c r="AN212" t="str">
        <f>IF(ISNUMBER(FIND("arbeid",Methode_Keuze)),"",IF(ISNUMBER(FIND("arbeid",Methode_Keuze)),"",IF(Tb_Activiteiten[[#This Row],[Landbouwer]]=1,Tb_Activiteiten[[#Headers],[Landbouwer]],"")))</f>
        <v/>
      </c>
      <c r="AO212" t="str">
        <f>IF(ISNUMBER(FIND("arbeid",Methode_Keuze)),"",IF(ISNUMBER(FIND("arbeid",Methode_Keuze)),"",IF(Tb_Activiteiten[[#This Row],[Adviseur]]=1,Tb_Activiteiten[[#Headers],[Adviseur]],"")))</f>
        <v/>
      </c>
      <c r="AP212" t="str">
        <f>IF(ISNUMBER(FIND("arbeid",Methode_Keuze)),"",IF(ISNUMBER(FIND("arbeid",Methode_Keuze)),"",IF(Tb_Activiteiten[[#This Row],[Projectleider/Expert]]=1,Tb_Activiteiten[[#Headers],[Projectleider/Expert]],"")))</f>
        <v/>
      </c>
      <c r="AQ212" t="str">
        <f>IF(ISNUMBER(FIND("arbeid",Methode_Keuze)),"",IF(ISNUMBER(FIND("arbeid",Methode_Keuze)),"",IF(Tb_Activiteiten[[#This Row],[Arbeidskosten]]=1,Tb_Activiteiten[[#Headers],[Arbeidskosten]],"")))</f>
        <v/>
      </c>
      <c r="AR212" t="str">
        <f>IF(ISNUMBER(FIND("arbeid",Methode_Keuze)),"",IF(ISNUMBER(FIND("arbeid",Methode_Keuze)),"",IF(Tb_Activiteiten[[#This Row],[Arbeidskosten op basis van IKS]]=1,Tb_Activiteiten[[#Headers],[Arbeidskosten op basis van IKS]],"")))</f>
        <v/>
      </c>
      <c r="AS212" t="str">
        <f>IF(ISNUMBER(FIND("overige",Methode_Keuze)),"",IF(Tb_Activiteiten[[#This Row],[Kosten derden exclusief btw]]=1,Tb_Activiteiten[[#Headers],[Kosten derden exclusief btw]],""))</f>
        <v/>
      </c>
      <c r="AT212" t="str">
        <f>IF(ISNUMBER(FIND("overige",Methode_Keuze)),"",IF(Tb_Activiteiten[[#This Row],[Niet verrekenbare btw]]=1,Tb_Activiteiten[[#Headers],[Niet verrekenbare btw]],""))</f>
        <v/>
      </c>
      <c r="AU212" t="str">
        <f>IF(ISNUMBER(FIND("overige",Methode_Keuze)),"",IF(Tb_Activiteiten[[#This Row],[Grondkosten]]=1,Tb_Activiteiten[[#Headers],[Grondkosten]],""))</f>
        <v/>
      </c>
      <c r="AV212" t="str">
        <f>IF(ISNUMBER(FIND("overige",Methode_Keuze)),"",IF(Tb_Activiteiten[[#This Row],[Bijdrage in natura (overige)]]=1,Tb_Activiteiten[[#Headers],[Bijdrage in natura (overige)]],""))</f>
        <v/>
      </c>
      <c r="AW212" t="str">
        <f>IF(ISNUMBER(FIND("overige",Methode_Keuze)),"",IF(Tb_Activiteiten[[#This Row],[Bijdrage in natura (vrijwilligers)]]=1,Tb_Activiteiten[[#Headers],[Bijdrage in natura (vrijwilligers)]],""))</f>
        <v/>
      </c>
      <c r="AX212" t="str">
        <f>IF(ISNUMBER(FIND("overige",Methode_Keuze)),"",IF(Tb_Activiteiten[[#This Row],[Afschrijvingskosten]]=1,Tb_Activiteiten[[#Headers],[Afschrijvingskosten]],""))</f>
        <v/>
      </c>
      <c r="AY212" t="str">
        <f>IF(ISNUMBER(FIND("overige",Methode_Keuze)),"",IF(Tb_Activiteiten[[#This Row],[Vergoeding]]=1,Tb_Activiteiten[[#Headers],[Vergoeding]],""))</f>
        <v/>
      </c>
      <c r="AZ212" t="str">
        <f>IF(ISNUMBER(FIND("arbeid",Methode_Keuze)),"",IF(Tb_Activiteiten[[#This Row],[Arbeidskosten - vast tarief (excl eigen arbeid)]]=1,Tb_Activiteiten[[#Headers],[Arbeidskosten - vast tarief (excl eigen arbeid)]],""))</f>
        <v/>
      </c>
      <c r="BA212" t="str">
        <f>IF(ISNUMBER(FIND("overige",Methode_Keuze)),"",IF(Tb_Activiteiten[[#This Row],[Overige kosten]]=1,Tb_Activiteiten[[#Headers],[Overige kosten]],""))</f>
        <v/>
      </c>
    </row>
    <row r="213" spans="1:53" x14ac:dyDescent="0.25">
      <c r="A213" s="231"/>
      <c r="F213" s="64"/>
      <c r="G213" s="64"/>
      <c r="H213" s="275"/>
      <c r="I213" s="275"/>
      <c r="J213" s="275"/>
      <c r="K213" s="275"/>
      <c r="O213" s="56"/>
      <c r="Q213" t="str">
        <f>IFERROR(IF(VLOOKUP(Tb_Activiteiten[[#This Row],[Openstelling]],Tb_Openstelling[],2,0)=1,1,""),"")</f>
        <v/>
      </c>
      <c r="AK213" t="str">
        <f>IF(ISNUMBER(FIND("arbeid",Methode_Keuze)),"",IF(ISNUMBER(FIND("arbeid",Methode_Keuze)),"",IF(Tb_Activiteiten[[#This Row],[Loonkosten]]=1,Tb_Activiteiten[[#Headers],[Loonkosten]],"")))</f>
        <v/>
      </c>
      <c r="AL213" t="str">
        <f>IF(ISNUMBER(FIND("arbeid",Methode_Keuze)),"",IF(ISNUMBER(FIND("arbeid",Methode_Keuze)),"",IF(Tb_Activiteiten[[#This Row],[Eigen arbeid]]=1,Tb_Activiteiten[[#Headers],[Eigen arbeid]],"")))</f>
        <v/>
      </c>
      <c r="AM213" t="str">
        <f>IF(ISNUMBER(FIND("arbeid",Methode_Keuze)),"",IF(ISNUMBER(FIND("arbeid",Methode_Keuze)),"",IF(Tb_Activiteiten[[#This Row],[Projectmedewerker]]=1,Tb_Activiteiten[[#Headers],[Projectmedewerker]],"")))</f>
        <v/>
      </c>
      <c r="AN213" t="str">
        <f>IF(ISNUMBER(FIND("arbeid",Methode_Keuze)),"",IF(ISNUMBER(FIND("arbeid",Methode_Keuze)),"",IF(Tb_Activiteiten[[#This Row],[Landbouwer]]=1,Tb_Activiteiten[[#Headers],[Landbouwer]],"")))</f>
        <v/>
      </c>
      <c r="AO213" t="str">
        <f>IF(ISNUMBER(FIND("arbeid",Methode_Keuze)),"",IF(ISNUMBER(FIND("arbeid",Methode_Keuze)),"",IF(Tb_Activiteiten[[#This Row],[Adviseur]]=1,Tb_Activiteiten[[#Headers],[Adviseur]],"")))</f>
        <v/>
      </c>
      <c r="AP213" t="str">
        <f>IF(ISNUMBER(FIND("arbeid",Methode_Keuze)),"",IF(ISNUMBER(FIND("arbeid",Methode_Keuze)),"",IF(Tb_Activiteiten[[#This Row],[Projectleider/Expert]]=1,Tb_Activiteiten[[#Headers],[Projectleider/Expert]],"")))</f>
        <v/>
      </c>
      <c r="AQ213" t="str">
        <f>IF(ISNUMBER(FIND("arbeid",Methode_Keuze)),"",IF(ISNUMBER(FIND("arbeid",Methode_Keuze)),"",IF(Tb_Activiteiten[[#This Row],[Arbeidskosten]]=1,Tb_Activiteiten[[#Headers],[Arbeidskosten]],"")))</f>
        <v/>
      </c>
      <c r="AR213" t="str">
        <f>IF(ISNUMBER(FIND("arbeid",Methode_Keuze)),"",IF(ISNUMBER(FIND("arbeid",Methode_Keuze)),"",IF(Tb_Activiteiten[[#This Row],[Arbeidskosten op basis van IKS]]=1,Tb_Activiteiten[[#Headers],[Arbeidskosten op basis van IKS]],"")))</f>
        <v/>
      </c>
      <c r="AS213" t="str">
        <f>IF(ISNUMBER(FIND("overige",Methode_Keuze)),"",IF(Tb_Activiteiten[[#This Row],[Kosten derden exclusief btw]]=1,Tb_Activiteiten[[#Headers],[Kosten derden exclusief btw]],""))</f>
        <v/>
      </c>
      <c r="AT213" t="str">
        <f>IF(ISNUMBER(FIND("overige",Methode_Keuze)),"",IF(Tb_Activiteiten[[#This Row],[Niet verrekenbare btw]]=1,Tb_Activiteiten[[#Headers],[Niet verrekenbare btw]],""))</f>
        <v/>
      </c>
      <c r="AU213" t="str">
        <f>IF(ISNUMBER(FIND("overige",Methode_Keuze)),"",IF(Tb_Activiteiten[[#This Row],[Grondkosten]]=1,Tb_Activiteiten[[#Headers],[Grondkosten]],""))</f>
        <v/>
      </c>
      <c r="AV213" t="str">
        <f>IF(ISNUMBER(FIND("overige",Methode_Keuze)),"",IF(Tb_Activiteiten[[#This Row],[Bijdrage in natura (overige)]]=1,Tb_Activiteiten[[#Headers],[Bijdrage in natura (overige)]],""))</f>
        <v/>
      </c>
      <c r="AW213" t="str">
        <f>IF(ISNUMBER(FIND("overige",Methode_Keuze)),"",IF(Tb_Activiteiten[[#This Row],[Bijdrage in natura (vrijwilligers)]]=1,Tb_Activiteiten[[#Headers],[Bijdrage in natura (vrijwilligers)]],""))</f>
        <v/>
      </c>
      <c r="AX213" t="str">
        <f>IF(ISNUMBER(FIND("overige",Methode_Keuze)),"",IF(Tb_Activiteiten[[#This Row],[Afschrijvingskosten]]=1,Tb_Activiteiten[[#Headers],[Afschrijvingskosten]],""))</f>
        <v/>
      </c>
      <c r="AY213" t="str">
        <f>IF(ISNUMBER(FIND("overige",Methode_Keuze)),"",IF(Tb_Activiteiten[[#This Row],[Vergoeding]]=1,Tb_Activiteiten[[#Headers],[Vergoeding]],""))</f>
        <v/>
      </c>
      <c r="AZ213" t="str">
        <f>IF(ISNUMBER(FIND("arbeid",Methode_Keuze)),"",IF(Tb_Activiteiten[[#This Row],[Arbeidskosten - vast tarief (excl eigen arbeid)]]=1,Tb_Activiteiten[[#Headers],[Arbeidskosten - vast tarief (excl eigen arbeid)]],""))</f>
        <v/>
      </c>
      <c r="BA213" t="str">
        <f>IF(ISNUMBER(FIND("overige",Methode_Keuze)),"",IF(Tb_Activiteiten[[#This Row],[Overige kosten]]=1,Tb_Activiteiten[[#Headers],[Overige kosten]],""))</f>
        <v/>
      </c>
    </row>
    <row r="214" spans="1:53" x14ac:dyDescent="0.25">
      <c r="A214" s="231"/>
      <c r="F214" s="64"/>
      <c r="G214" s="64"/>
      <c r="H214" s="275"/>
      <c r="I214" s="275"/>
      <c r="J214" s="275"/>
      <c r="K214" s="275"/>
      <c r="O214" s="56"/>
      <c r="Q214" t="str">
        <f>IFERROR(IF(VLOOKUP(Tb_Activiteiten[[#This Row],[Openstelling]],Tb_Openstelling[],2,0)=1,1,""),"")</f>
        <v/>
      </c>
      <c r="AK214" t="str">
        <f>IF(ISNUMBER(FIND("arbeid",Methode_Keuze)),"",IF(ISNUMBER(FIND("arbeid",Methode_Keuze)),"",IF(Tb_Activiteiten[[#This Row],[Loonkosten]]=1,Tb_Activiteiten[[#Headers],[Loonkosten]],"")))</f>
        <v/>
      </c>
      <c r="AL214" t="str">
        <f>IF(ISNUMBER(FIND("arbeid",Methode_Keuze)),"",IF(ISNUMBER(FIND("arbeid",Methode_Keuze)),"",IF(Tb_Activiteiten[[#This Row],[Eigen arbeid]]=1,Tb_Activiteiten[[#Headers],[Eigen arbeid]],"")))</f>
        <v/>
      </c>
      <c r="AM214" t="str">
        <f>IF(ISNUMBER(FIND("arbeid",Methode_Keuze)),"",IF(ISNUMBER(FIND("arbeid",Methode_Keuze)),"",IF(Tb_Activiteiten[[#This Row],[Projectmedewerker]]=1,Tb_Activiteiten[[#Headers],[Projectmedewerker]],"")))</f>
        <v/>
      </c>
      <c r="AN214" t="str">
        <f>IF(ISNUMBER(FIND("arbeid",Methode_Keuze)),"",IF(ISNUMBER(FIND("arbeid",Methode_Keuze)),"",IF(Tb_Activiteiten[[#This Row],[Landbouwer]]=1,Tb_Activiteiten[[#Headers],[Landbouwer]],"")))</f>
        <v/>
      </c>
      <c r="AO214" t="str">
        <f>IF(ISNUMBER(FIND("arbeid",Methode_Keuze)),"",IF(ISNUMBER(FIND("arbeid",Methode_Keuze)),"",IF(Tb_Activiteiten[[#This Row],[Adviseur]]=1,Tb_Activiteiten[[#Headers],[Adviseur]],"")))</f>
        <v/>
      </c>
      <c r="AP214" t="str">
        <f>IF(ISNUMBER(FIND("arbeid",Methode_Keuze)),"",IF(ISNUMBER(FIND("arbeid",Methode_Keuze)),"",IF(Tb_Activiteiten[[#This Row],[Projectleider/Expert]]=1,Tb_Activiteiten[[#Headers],[Projectleider/Expert]],"")))</f>
        <v/>
      </c>
      <c r="AQ214" t="str">
        <f>IF(ISNUMBER(FIND("arbeid",Methode_Keuze)),"",IF(ISNUMBER(FIND("arbeid",Methode_Keuze)),"",IF(Tb_Activiteiten[[#This Row],[Arbeidskosten]]=1,Tb_Activiteiten[[#Headers],[Arbeidskosten]],"")))</f>
        <v/>
      </c>
      <c r="AR214" t="str">
        <f>IF(ISNUMBER(FIND("arbeid",Methode_Keuze)),"",IF(ISNUMBER(FIND("arbeid",Methode_Keuze)),"",IF(Tb_Activiteiten[[#This Row],[Arbeidskosten op basis van IKS]]=1,Tb_Activiteiten[[#Headers],[Arbeidskosten op basis van IKS]],"")))</f>
        <v/>
      </c>
      <c r="AS214" t="str">
        <f>IF(ISNUMBER(FIND("overige",Methode_Keuze)),"",IF(Tb_Activiteiten[[#This Row],[Kosten derden exclusief btw]]=1,Tb_Activiteiten[[#Headers],[Kosten derden exclusief btw]],""))</f>
        <v/>
      </c>
      <c r="AT214" t="str">
        <f>IF(ISNUMBER(FIND("overige",Methode_Keuze)),"",IF(Tb_Activiteiten[[#This Row],[Niet verrekenbare btw]]=1,Tb_Activiteiten[[#Headers],[Niet verrekenbare btw]],""))</f>
        <v/>
      </c>
      <c r="AU214" t="str">
        <f>IF(ISNUMBER(FIND("overige",Methode_Keuze)),"",IF(Tb_Activiteiten[[#This Row],[Grondkosten]]=1,Tb_Activiteiten[[#Headers],[Grondkosten]],""))</f>
        <v/>
      </c>
      <c r="AV214" t="str">
        <f>IF(ISNUMBER(FIND("overige",Methode_Keuze)),"",IF(Tb_Activiteiten[[#This Row],[Bijdrage in natura (overige)]]=1,Tb_Activiteiten[[#Headers],[Bijdrage in natura (overige)]],""))</f>
        <v/>
      </c>
      <c r="AW214" t="str">
        <f>IF(ISNUMBER(FIND("overige",Methode_Keuze)),"",IF(Tb_Activiteiten[[#This Row],[Bijdrage in natura (vrijwilligers)]]=1,Tb_Activiteiten[[#Headers],[Bijdrage in natura (vrijwilligers)]],""))</f>
        <v/>
      </c>
      <c r="AX214" t="str">
        <f>IF(ISNUMBER(FIND("overige",Methode_Keuze)),"",IF(Tb_Activiteiten[[#This Row],[Afschrijvingskosten]]=1,Tb_Activiteiten[[#Headers],[Afschrijvingskosten]],""))</f>
        <v/>
      </c>
      <c r="AY214" t="str">
        <f>IF(ISNUMBER(FIND("overige",Methode_Keuze)),"",IF(Tb_Activiteiten[[#This Row],[Vergoeding]]=1,Tb_Activiteiten[[#Headers],[Vergoeding]],""))</f>
        <v/>
      </c>
      <c r="AZ214" t="str">
        <f>IF(ISNUMBER(FIND("arbeid",Methode_Keuze)),"",IF(Tb_Activiteiten[[#This Row],[Arbeidskosten - vast tarief (excl eigen arbeid)]]=1,Tb_Activiteiten[[#Headers],[Arbeidskosten - vast tarief (excl eigen arbeid)]],""))</f>
        <v/>
      </c>
      <c r="BA214" t="str">
        <f>IF(ISNUMBER(FIND("overige",Methode_Keuze)),"",IF(Tb_Activiteiten[[#This Row],[Overige kosten]]=1,Tb_Activiteiten[[#Headers],[Overige kosten]],""))</f>
        <v/>
      </c>
    </row>
    <row r="215" spans="1:53" x14ac:dyDescent="0.25">
      <c r="A215" s="231"/>
      <c r="F215" s="64"/>
      <c r="G215" s="64"/>
      <c r="H215" s="275"/>
      <c r="I215" s="275"/>
      <c r="J215" s="275"/>
      <c r="K215" s="275"/>
      <c r="O215" s="56"/>
      <c r="Q215" t="str">
        <f>IFERROR(IF(VLOOKUP(Tb_Activiteiten[[#This Row],[Openstelling]],Tb_Openstelling[],2,0)=1,1,""),"")</f>
        <v/>
      </c>
      <c r="AK215" t="str">
        <f>IF(ISNUMBER(FIND("arbeid",Methode_Keuze)),"",IF(ISNUMBER(FIND("arbeid",Methode_Keuze)),"",IF(Tb_Activiteiten[[#This Row],[Loonkosten]]=1,Tb_Activiteiten[[#Headers],[Loonkosten]],"")))</f>
        <v/>
      </c>
      <c r="AL215" t="str">
        <f>IF(ISNUMBER(FIND("arbeid",Methode_Keuze)),"",IF(ISNUMBER(FIND("arbeid",Methode_Keuze)),"",IF(Tb_Activiteiten[[#This Row],[Eigen arbeid]]=1,Tb_Activiteiten[[#Headers],[Eigen arbeid]],"")))</f>
        <v/>
      </c>
      <c r="AM215" t="str">
        <f>IF(ISNUMBER(FIND("arbeid",Methode_Keuze)),"",IF(ISNUMBER(FIND("arbeid",Methode_Keuze)),"",IF(Tb_Activiteiten[[#This Row],[Projectmedewerker]]=1,Tb_Activiteiten[[#Headers],[Projectmedewerker]],"")))</f>
        <v/>
      </c>
      <c r="AN215" t="str">
        <f>IF(ISNUMBER(FIND("arbeid",Methode_Keuze)),"",IF(ISNUMBER(FIND("arbeid",Methode_Keuze)),"",IF(Tb_Activiteiten[[#This Row],[Landbouwer]]=1,Tb_Activiteiten[[#Headers],[Landbouwer]],"")))</f>
        <v/>
      </c>
      <c r="AO215" t="str">
        <f>IF(ISNUMBER(FIND("arbeid",Methode_Keuze)),"",IF(ISNUMBER(FIND("arbeid",Methode_Keuze)),"",IF(Tb_Activiteiten[[#This Row],[Adviseur]]=1,Tb_Activiteiten[[#Headers],[Adviseur]],"")))</f>
        <v/>
      </c>
      <c r="AP215" t="str">
        <f>IF(ISNUMBER(FIND("arbeid",Methode_Keuze)),"",IF(ISNUMBER(FIND("arbeid",Methode_Keuze)),"",IF(Tb_Activiteiten[[#This Row],[Projectleider/Expert]]=1,Tb_Activiteiten[[#Headers],[Projectleider/Expert]],"")))</f>
        <v/>
      </c>
      <c r="AQ215" t="str">
        <f>IF(ISNUMBER(FIND("arbeid",Methode_Keuze)),"",IF(ISNUMBER(FIND("arbeid",Methode_Keuze)),"",IF(Tb_Activiteiten[[#This Row],[Arbeidskosten]]=1,Tb_Activiteiten[[#Headers],[Arbeidskosten]],"")))</f>
        <v/>
      </c>
      <c r="AR215" t="str">
        <f>IF(ISNUMBER(FIND("arbeid",Methode_Keuze)),"",IF(ISNUMBER(FIND("arbeid",Methode_Keuze)),"",IF(Tb_Activiteiten[[#This Row],[Arbeidskosten op basis van IKS]]=1,Tb_Activiteiten[[#Headers],[Arbeidskosten op basis van IKS]],"")))</f>
        <v/>
      </c>
      <c r="AS215" t="str">
        <f>IF(ISNUMBER(FIND("overige",Methode_Keuze)),"",IF(Tb_Activiteiten[[#This Row],[Kosten derden exclusief btw]]=1,Tb_Activiteiten[[#Headers],[Kosten derden exclusief btw]],""))</f>
        <v/>
      </c>
      <c r="AT215" t="str">
        <f>IF(ISNUMBER(FIND("overige",Methode_Keuze)),"",IF(Tb_Activiteiten[[#This Row],[Niet verrekenbare btw]]=1,Tb_Activiteiten[[#Headers],[Niet verrekenbare btw]],""))</f>
        <v/>
      </c>
      <c r="AU215" t="str">
        <f>IF(ISNUMBER(FIND("overige",Methode_Keuze)),"",IF(Tb_Activiteiten[[#This Row],[Grondkosten]]=1,Tb_Activiteiten[[#Headers],[Grondkosten]],""))</f>
        <v/>
      </c>
      <c r="AV215" t="str">
        <f>IF(ISNUMBER(FIND("overige",Methode_Keuze)),"",IF(Tb_Activiteiten[[#This Row],[Bijdrage in natura (overige)]]=1,Tb_Activiteiten[[#Headers],[Bijdrage in natura (overige)]],""))</f>
        <v/>
      </c>
      <c r="AW215" t="str">
        <f>IF(ISNUMBER(FIND("overige",Methode_Keuze)),"",IF(Tb_Activiteiten[[#This Row],[Bijdrage in natura (vrijwilligers)]]=1,Tb_Activiteiten[[#Headers],[Bijdrage in natura (vrijwilligers)]],""))</f>
        <v/>
      </c>
      <c r="AX215" t="str">
        <f>IF(ISNUMBER(FIND("overige",Methode_Keuze)),"",IF(Tb_Activiteiten[[#This Row],[Afschrijvingskosten]]=1,Tb_Activiteiten[[#Headers],[Afschrijvingskosten]],""))</f>
        <v/>
      </c>
      <c r="AY215" t="str">
        <f>IF(ISNUMBER(FIND("overige",Methode_Keuze)),"",IF(Tb_Activiteiten[[#This Row],[Vergoeding]]=1,Tb_Activiteiten[[#Headers],[Vergoeding]],""))</f>
        <v/>
      </c>
      <c r="AZ215" t="str">
        <f>IF(ISNUMBER(FIND("arbeid",Methode_Keuze)),"",IF(Tb_Activiteiten[[#This Row],[Arbeidskosten - vast tarief (excl eigen arbeid)]]=1,Tb_Activiteiten[[#Headers],[Arbeidskosten - vast tarief (excl eigen arbeid)]],""))</f>
        <v/>
      </c>
      <c r="BA215" t="str">
        <f>IF(ISNUMBER(FIND("overige",Methode_Keuze)),"",IF(Tb_Activiteiten[[#This Row],[Overige kosten]]=1,Tb_Activiteiten[[#Headers],[Overige kosten]],""))</f>
        <v/>
      </c>
    </row>
    <row r="216" spans="1:53" x14ac:dyDescent="0.25">
      <c r="A216" s="231"/>
      <c r="F216" s="64"/>
      <c r="G216" s="64"/>
      <c r="H216" s="275"/>
      <c r="I216" s="275"/>
      <c r="J216" s="275"/>
      <c r="K216" s="275"/>
      <c r="O216" s="56"/>
      <c r="Q216" t="str">
        <f>IFERROR(IF(VLOOKUP(Tb_Activiteiten[[#This Row],[Openstelling]],Tb_Openstelling[],2,0)=1,1,""),"")</f>
        <v/>
      </c>
      <c r="AK216" t="str">
        <f>IF(ISNUMBER(FIND("arbeid",Methode_Keuze)),"",IF(ISNUMBER(FIND("arbeid",Methode_Keuze)),"",IF(Tb_Activiteiten[[#This Row],[Loonkosten]]=1,Tb_Activiteiten[[#Headers],[Loonkosten]],"")))</f>
        <v/>
      </c>
      <c r="AL216" t="str">
        <f>IF(ISNUMBER(FIND("arbeid",Methode_Keuze)),"",IF(ISNUMBER(FIND("arbeid",Methode_Keuze)),"",IF(Tb_Activiteiten[[#This Row],[Eigen arbeid]]=1,Tb_Activiteiten[[#Headers],[Eigen arbeid]],"")))</f>
        <v/>
      </c>
      <c r="AM216" t="str">
        <f>IF(ISNUMBER(FIND("arbeid",Methode_Keuze)),"",IF(ISNUMBER(FIND("arbeid",Methode_Keuze)),"",IF(Tb_Activiteiten[[#This Row],[Projectmedewerker]]=1,Tb_Activiteiten[[#Headers],[Projectmedewerker]],"")))</f>
        <v/>
      </c>
      <c r="AN216" t="str">
        <f>IF(ISNUMBER(FIND("arbeid",Methode_Keuze)),"",IF(ISNUMBER(FIND("arbeid",Methode_Keuze)),"",IF(Tb_Activiteiten[[#This Row],[Landbouwer]]=1,Tb_Activiteiten[[#Headers],[Landbouwer]],"")))</f>
        <v/>
      </c>
      <c r="AO216" t="str">
        <f>IF(ISNUMBER(FIND("arbeid",Methode_Keuze)),"",IF(ISNUMBER(FIND("arbeid",Methode_Keuze)),"",IF(Tb_Activiteiten[[#This Row],[Adviseur]]=1,Tb_Activiteiten[[#Headers],[Adviseur]],"")))</f>
        <v/>
      </c>
      <c r="AP216" t="str">
        <f>IF(ISNUMBER(FIND("arbeid",Methode_Keuze)),"",IF(ISNUMBER(FIND("arbeid",Methode_Keuze)),"",IF(Tb_Activiteiten[[#This Row],[Projectleider/Expert]]=1,Tb_Activiteiten[[#Headers],[Projectleider/Expert]],"")))</f>
        <v/>
      </c>
      <c r="AQ216" t="str">
        <f>IF(ISNUMBER(FIND("arbeid",Methode_Keuze)),"",IF(ISNUMBER(FIND("arbeid",Methode_Keuze)),"",IF(Tb_Activiteiten[[#This Row],[Arbeidskosten]]=1,Tb_Activiteiten[[#Headers],[Arbeidskosten]],"")))</f>
        <v/>
      </c>
      <c r="AR216" t="str">
        <f>IF(ISNUMBER(FIND("arbeid",Methode_Keuze)),"",IF(ISNUMBER(FIND("arbeid",Methode_Keuze)),"",IF(Tb_Activiteiten[[#This Row],[Arbeidskosten op basis van IKS]]=1,Tb_Activiteiten[[#Headers],[Arbeidskosten op basis van IKS]],"")))</f>
        <v/>
      </c>
      <c r="AS216" t="str">
        <f>IF(ISNUMBER(FIND("overige",Methode_Keuze)),"",IF(Tb_Activiteiten[[#This Row],[Kosten derden exclusief btw]]=1,Tb_Activiteiten[[#Headers],[Kosten derden exclusief btw]],""))</f>
        <v/>
      </c>
      <c r="AT216" t="str">
        <f>IF(ISNUMBER(FIND("overige",Methode_Keuze)),"",IF(Tb_Activiteiten[[#This Row],[Niet verrekenbare btw]]=1,Tb_Activiteiten[[#Headers],[Niet verrekenbare btw]],""))</f>
        <v/>
      </c>
      <c r="AU216" t="str">
        <f>IF(ISNUMBER(FIND("overige",Methode_Keuze)),"",IF(Tb_Activiteiten[[#This Row],[Grondkosten]]=1,Tb_Activiteiten[[#Headers],[Grondkosten]],""))</f>
        <v/>
      </c>
      <c r="AV216" t="str">
        <f>IF(ISNUMBER(FIND("overige",Methode_Keuze)),"",IF(Tb_Activiteiten[[#This Row],[Bijdrage in natura (overige)]]=1,Tb_Activiteiten[[#Headers],[Bijdrage in natura (overige)]],""))</f>
        <v/>
      </c>
      <c r="AW216" t="str">
        <f>IF(ISNUMBER(FIND("overige",Methode_Keuze)),"",IF(Tb_Activiteiten[[#This Row],[Bijdrage in natura (vrijwilligers)]]=1,Tb_Activiteiten[[#Headers],[Bijdrage in natura (vrijwilligers)]],""))</f>
        <v/>
      </c>
      <c r="AX216" t="str">
        <f>IF(ISNUMBER(FIND("overige",Methode_Keuze)),"",IF(Tb_Activiteiten[[#This Row],[Afschrijvingskosten]]=1,Tb_Activiteiten[[#Headers],[Afschrijvingskosten]],""))</f>
        <v/>
      </c>
      <c r="AY216" t="str">
        <f>IF(ISNUMBER(FIND("overige",Methode_Keuze)),"",IF(Tb_Activiteiten[[#This Row],[Vergoeding]]=1,Tb_Activiteiten[[#Headers],[Vergoeding]],""))</f>
        <v/>
      </c>
      <c r="AZ216" t="str">
        <f>IF(ISNUMBER(FIND("arbeid",Methode_Keuze)),"",IF(Tb_Activiteiten[[#This Row],[Arbeidskosten - vast tarief (excl eigen arbeid)]]=1,Tb_Activiteiten[[#Headers],[Arbeidskosten - vast tarief (excl eigen arbeid)]],""))</f>
        <v/>
      </c>
      <c r="BA216" t="str">
        <f>IF(ISNUMBER(FIND("overige",Methode_Keuze)),"",IF(Tb_Activiteiten[[#This Row],[Overige kosten]]=1,Tb_Activiteiten[[#Headers],[Overige kosten]],""))</f>
        <v/>
      </c>
    </row>
    <row r="217" spans="1:53" x14ac:dyDescent="0.25">
      <c r="A217" s="231"/>
      <c r="F217" s="64"/>
      <c r="G217" s="64"/>
      <c r="H217" s="275"/>
      <c r="I217" s="275"/>
      <c r="J217" s="275"/>
      <c r="K217" s="275"/>
      <c r="O217" s="56"/>
      <c r="Q217" t="str">
        <f>IFERROR(IF(VLOOKUP(Tb_Activiteiten[[#This Row],[Openstelling]],Tb_Openstelling[],2,0)=1,1,""),"")</f>
        <v/>
      </c>
      <c r="AK217" t="str">
        <f>IF(ISNUMBER(FIND("arbeid",Methode_Keuze)),"",IF(ISNUMBER(FIND("arbeid",Methode_Keuze)),"",IF(Tb_Activiteiten[[#This Row],[Loonkosten]]=1,Tb_Activiteiten[[#Headers],[Loonkosten]],"")))</f>
        <v/>
      </c>
      <c r="AL217" t="str">
        <f>IF(ISNUMBER(FIND("arbeid",Methode_Keuze)),"",IF(ISNUMBER(FIND("arbeid",Methode_Keuze)),"",IF(Tb_Activiteiten[[#This Row],[Eigen arbeid]]=1,Tb_Activiteiten[[#Headers],[Eigen arbeid]],"")))</f>
        <v/>
      </c>
      <c r="AM217" t="str">
        <f>IF(ISNUMBER(FIND("arbeid",Methode_Keuze)),"",IF(ISNUMBER(FIND("arbeid",Methode_Keuze)),"",IF(Tb_Activiteiten[[#This Row],[Projectmedewerker]]=1,Tb_Activiteiten[[#Headers],[Projectmedewerker]],"")))</f>
        <v/>
      </c>
      <c r="AN217" t="str">
        <f>IF(ISNUMBER(FIND("arbeid",Methode_Keuze)),"",IF(ISNUMBER(FIND("arbeid",Methode_Keuze)),"",IF(Tb_Activiteiten[[#This Row],[Landbouwer]]=1,Tb_Activiteiten[[#Headers],[Landbouwer]],"")))</f>
        <v/>
      </c>
      <c r="AO217" t="str">
        <f>IF(ISNUMBER(FIND("arbeid",Methode_Keuze)),"",IF(ISNUMBER(FIND("arbeid",Methode_Keuze)),"",IF(Tb_Activiteiten[[#This Row],[Adviseur]]=1,Tb_Activiteiten[[#Headers],[Adviseur]],"")))</f>
        <v/>
      </c>
      <c r="AP217" t="str">
        <f>IF(ISNUMBER(FIND("arbeid",Methode_Keuze)),"",IF(ISNUMBER(FIND("arbeid",Methode_Keuze)),"",IF(Tb_Activiteiten[[#This Row],[Projectleider/Expert]]=1,Tb_Activiteiten[[#Headers],[Projectleider/Expert]],"")))</f>
        <v/>
      </c>
      <c r="AQ217" t="str">
        <f>IF(ISNUMBER(FIND("arbeid",Methode_Keuze)),"",IF(ISNUMBER(FIND("arbeid",Methode_Keuze)),"",IF(Tb_Activiteiten[[#This Row],[Arbeidskosten]]=1,Tb_Activiteiten[[#Headers],[Arbeidskosten]],"")))</f>
        <v/>
      </c>
      <c r="AR217" t="str">
        <f>IF(ISNUMBER(FIND("arbeid",Methode_Keuze)),"",IF(ISNUMBER(FIND("arbeid",Methode_Keuze)),"",IF(Tb_Activiteiten[[#This Row],[Arbeidskosten op basis van IKS]]=1,Tb_Activiteiten[[#Headers],[Arbeidskosten op basis van IKS]],"")))</f>
        <v/>
      </c>
      <c r="AS217" t="str">
        <f>IF(ISNUMBER(FIND("overige",Methode_Keuze)),"",IF(Tb_Activiteiten[[#This Row],[Kosten derden exclusief btw]]=1,Tb_Activiteiten[[#Headers],[Kosten derden exclusief btw]],""))</f>
        <v/>
      </c>
      <c r="AT217" t="str">
        <f>IF(ISNUMBER(FIND("overige",Methode_Keuze)),"",IF(Tb_Activiteiten[[#This Row],[Niet verrekenbare btw]]=1,Tb_Activiteiten[[#Headers],[Niet verrekenbare btw]],""))</f>
        <v/>
      </c>
      <c r="AU217" t="str">
        <f>IF(ISNUMBER(FIND("overige",Methode_Keuze)),"",IF(Tb_Activiteiten[[#This Row],[Grondkosten]]=1,Tb_Activiteiten[[#Headers],[Grondkosten]],""))</f>
        <v/>
      </c>
      <c r="AV217" t="str">
        <f>IF(ISNUMBER(FIND("overige",Methode_Keuze)),"",IF(Tb_Activiteiten[[#This Row],[Bijdrage in natura (overige)]]=1,Tb_Activiteiten[[#Headers],[Bijdrage in natura (overige)]],""))</f>
        <v/>
      </c>
      <c r="AW217" t="str">
        <f>IF(ISNUMBER(FIND("overige",Methode_Keuze)),"",IF(Tb_Activiteiten[[#This Row],[Bijdrage in natura (vrijwilligers)]]=1,Tb_Activiteiten[[#Headers],[Bijdrage in natura (vrijwilligers)]],""))</f>
        <v/>
      </c>
      <c r="AX217" t="str">
        <f>IF(ISNUMBER(FIND("overige",Methode_Keuze)),"",IF(Tb_Activiteiten[[#This Row],[Afschrijvingskosten]]=1,Tb_Activiteiten[[#Headers],[Afschrijvingskosten]],""))</f>
        <v/>
      </c>
      <c r="AY217" t="str">
        <f>IF(ISNUMBER(FIND("overige",Methode_Keuze)),"",IF(Tb_Activiteiten[[#This Row],[Vergoeding]]=1,Tb_Activiteiten[[#Headers],[Vergoeding]],""))</f>
        <v/>
      </c>
      <c r="AZ217" t="str">
        <f>IF(ISNUMBER(FIND("arbeid",Methode_Keuze)),"",IF(Tb_Activiteiten[[#This Row],[Arbeidskosten - vast tarief (excl eigen arbeid)]]=1,Tb_Activiteiten[[#Headers],[Arbeidskosten - vast tarief (excl eigen arbeid)]],""))</f>
        <v/>
      </c>
      <c r="BA217" t="str">
        <f>IF(ISNUMBER(FIND("overige",Methode_Keuze)),"",IF(Tb_Activiteiten[[#This Row],[Overige kosten]]=1,Tb_Activiteiten[[#Headers],[Overige kosten]],""))</f>
        <v/>
      </c>
    </row>
    <row r="218" spans="1:53" x14ac:dyDescent="0.25">
      <c r="A218" s="231"/>
      <c r="F218" s="64"/>
      <c r="G218" s="64"/>
      <c r="H218" s="275"/>
      <c r="I218" s="275"/>
      <c r="J218" s="275"/>
      <c r="K218" s="275"/>
      <c r="O218" s="56"/>
      <c r="Q218" t="str">
        <f>IFERROR(IF(VLOOKUP(Tb_Activiteiten[[#This Row],[Openstelling]],Tb_Openstelling[],2,0)=1,1,""),"")</f>
        <v/>
      </c>
      <c r="AK218" t="str">
        <f>IF(ISNUMBER(FIND("arbeid",Methode_Keuze)),"",IF(ISNUMBER(FIND("arbeid",Methode_Keuze)),"",IF(Tb_Activiteiten[[#This Row],[Loonkosten]]=1,Tb_Activiteiten[[#Headers],[Loonkosten]],"")))</f>
        <v/>
      </c>
      <c r="AL218" t="str">
        <f>IF(ISNUMBER(FIND("arbeid",Methode_Keuze)),"",IF(ISNUMBER(FIND("arbeid",Methode_Keuze)),"",IF(Tb_Activiteiten[[#This Row],[Eigen arbeid]]=1,Tb_Activiteiten[[#Headers],[Eigen arbeid]],"")))</f>
        <v/>
      </c>
      <c r="AM218" t="str">
        <f>IF(ISNUMBER(FIND("arbeid",Methode_Keuze)),"",IF(ISNUMBER(FIND("arbeid",Methode_Keuze)),"",IF(Tb_Activiteiten[[#This Row],[Projectmedewerker]]=1,Tb_Activiteiten[[#Headers],[Projectmedewerker]],"")))</f>
        <v/>
      </c>
      <c r="AN218" t="str">
        <f>IF(ISNUMBER(FIND("arbeid",Methode_Keuze)),"",IF(ISNUMBER(FIND("arbeid",Methode_Keuze)),"",IF(Tb_Activiteiten[[#This Row],[Landbouwer]]=1,Tb_Activiteiten[[#Headers],[Landbouwer]],"")))</f>
        <v/>
      </c>
      <c r="AO218" t="str">
        <f>IF(ISNUMBER(FIND("arbeid",Methode_Keuze)),"",IF(ISNUMBER(FIND("arbeid",Methode_Keuze)),"",IF(Tb_Activiteiten[[#This Row],[Adviseur]]=1,Tb_Activiteiten[[#Headers],[Adviseur]],"")))</f>
        <v/>
      </c>
      <c r="AP218" t="str">
        <f>IF(ISNUMBER(FIND("arbeid",Methode_Keuze)),"",IF(ISNUMBER(FIND("arbeid",Methode_Keuze)),"",IF(Tb_Activiteiten[[#This Row],[Projectleider/Expert]]=1,Tb_Activiteiten[[#Headers],[Projectleider/Expert]],"")))</f>
        <v/>
      </c>
      <c r="AQ218" t="str">
        <f>IF(ISNUMBER(FIND("arbeid",Methode_Keuze)),"",IF(ISNUMBER(FIND("arbeid",Methode_Keuze)),"",IF(Tb_Activiteiten[[#This Row],[Arbeidskosten]]=1,Tb_Activiteiten[[#Headers],[Arbeidskosten]],"")))</f>
        <v/>
      </c>
      <c r="AR218" t="str">
        <f>IF(ISNUMBER(FIND("arbeid",Methode_Keuze)),"",IF(ISNUMBER(FIND("arbeid",Methode_Keuze)),"",IF(Tb_Activiteiten[[#This Row],[Arbeidskosten op basis van IKS]]=1,Tb_Activiteiten[[#Headers],[Arbeidskosten op basis van IKS]],"")))</f>
        <v/>
      </c>
      <c r="AS218" t="str">
        <f>IF(ISNUMBER(FIND("overige",Methode_Keuze)),"",IF(Tb_Activiteiten[[#This Row],[Kosten derden exclusief btw]]=1,Tb_Activiteiten[[#Headers],[Kosten derden exclusief btw]],""))</f>
        <v/>
      </c>
      <c r="AT218" t="str">
        <f>IF(ISNUMBER(FIND("overige",Methode_Keuze)),"",IF(Tb_Activiteiten[[#This Row],[Niet verrekenbare btw]]=1,Tb_Activiteiten[[#Headers],[Niet verrekenbare btw]],""))</f>
        <v/>
      </c>
      <c r="AU218" t="str">
        <f>IF(ISNUMBER(FIND("overige",Methode_Keuze)),"",IF(Tb_Activiteiten[[#This Row],[Grondkosten]]=1,Tb_Activiteiten[[#Headers],[Grondkosten]],""))</f>
        <v/>
      </c>
      <c r="AV218" t="str">
        <f>IF(ISNUMBER(FIND("overige",Methode_Keuze)),"",IF(Tb_Activiteiten[[#This Row],[Bijdrage in natura (overige)]]=1,Tb_Activiteiten[[#Headers],[Bijdrage in natura (overige)]],""))</f>
        <v/>
      </c>
      <c r="AW218" t="str">
        <f>IF(ISNUMBER(FIND("overige",Methode_Keuze)),"",IF(Tb_Activiteiten[[#This Row],[Bijdrage in natura (vrijwilligers)]]=1,Tb_Activiteiten[[#Headers],[Bijdrage in natura (vrijwilligers)]],""))</f>
        <v/>
      </c>
      <c r="AX218" t="str">
        <f>IF(ISNUMBER(FIND("overige",Methode_Keuze)),"",IF(Tb_Activiteiten[[#This Row],[Afschrijvingskosten]]=1,Tb_Activiteiten[[#Headers],[Afschrijvingskosten]],""))</f>
        <v/>
      </c>
      <c r="AY218" t="str">
        <f>IF(ISNUMBER(FIND("overige",Methode_Keuze)),"",IF(Tb_Activiteiten[[#This Row],[Vergoeding]]=1,Tb_Activiteiten[[#Headers],[Vergoeding]],""))</f>
        <v/>
      </c>
      <c r="AZ218" t="str">
        <f>IF(ISNUMBER(FIND("arbeid",Methode_Keuze)),"",IF(Tb_Activiteiten[[#This Row],[Arbeidskosten - vast tarief (excl eigen arbeid)]]=1,Tb_Activiteiten[[#Headers],[Arbeidskosten - vast tarief (excl eigen arbeid)]],""))</f>
        <v/>
      </c>
      <c r="BA218" t="str">
        <f>IF(ISNUMBER(FIND("overige",Methode_Keuze)),"",IF(Tb_Activiteiten[[#This Row],[Overige kosten]]=1,Tb_Activiteiten[[#Headers],[Overige kosten]],""))</f>
        <v/>
      </c>
    </row>
    <row r="219" spans="1:53" x14ac:dyDescent="0.25">
      <c r="A219" s="231"/>
      <c r="F219" s="64"/>
      <c r="G219" s="64"/>
      <c r="H219" s="275"/>
      <c r="I219" s="275"/>
      <c r="J219" s="275"/>
      <c r="K219" s="275"/>
      <c r="O219" s="56"/>
      <c r="Q219" t="str">
        <f>IFERROR(IF(VLOOKUP(Tb_Activiteiten[[#This Row],[Openstelling]],Tb_Openstelling[],2,0)=1,1,""),"")</f>
        <v/>
      </c>
      <c r="AK219" t="str">
        <f>IF(ISNUMBER(FIND("arbeid",Methode_Keuze)),"",IF(ISNUMBER(FIND("arbeid",Methode_Keuze)),"",IF(Tb_Activiteiten[[#This Row],[Loonkosten]]=1,Tb_Activiteiten[[#Headers],[Loonkosten]],"")))</f>
        <v/>
      </c>
      <c r="AL219" t="str">
        <f>IF(ISNUMBER(FIND("arbeid",Methode_Keuze)),"",IF(ISNUMBER(FIND("arbeid",Methode_Keuze)),"",IF(Tb_Activiteiten[[#This Row],[Eigen arbeid]]=1,Tb_Activiteiten[[#Headers],[Eigen arbeid]],"")))</f>
        <v/>
      </c>
      <c r="AM219" t="str">
        <f>IF(ISNUMBER(FIND("arbeid",Methode_Keuze)),"",IF(ISNUMBER(FIND("arbeid",Methode_Keuze)),"",IF(Tb_Activiteiten[[#This Row],[Projectmedewerker]]=1,Tb_Activiteiten[[#Headers],[Projectmedewerker]],"")))</f>
        <v/>
      </c>
      <c r="AN219" t="str">
        <f>IF(ISNUMBER(FIND("arbeid",Methode_Keuze)),"",IF(ISNUMBER(FIND("arbeid",Methode_Keuze)),"",IF(Tb_Activiteiten[[#This Row],[Landbouwer]]=1,Tb_Activiteiten[[#Headers],[Landbouwer]],"")))</f>
        <v/>
      </c>
      <c r="AO219" t="str">
        <f>IF(ISNUMBER(FIND("arbeid",Methode_Keuze)),"",IF(ISNUMBER(FIND("arbeid",Methode_Keuze)),"",IF(Tb_Activiteiten[[#This Row],[Adviseur]]=1,Tb_Activiteiten[[#Headers],[Adviseur]],"")))</f>
        <v/>
      </c>
      <c r="AP219" t="str">
        <f>IF(ISNUMBER(FIND("arbeid",Methode_Keuze)),"",IF(ISNUMBER(FIND("arbeid",Methode_Keuze)),"",IF(Tb_Activiteiten[[#This Row],[Projectleider/Expert]]=1,Tb_Activiteiten[[#Headers],[Projectleider/Expert]],"")))</f>
        <v/>
      </c>
      <c r="AQ219" t="str">
        <f>IF(ISNUMBER(FIND("arbeid",Methode_Keuze)),"",IF(ISNUMBER(FIND("arbeid",Methode_Keuze)),"",IF(Tb_Activiteiten[[#This Row],[Arbeidskosten]]=1,Tb_Activiteiten[[#Headers],[Arbeidskosten]],"")))</f>
        <v/>
      </c>
      <c r="AR219" t="str">
        <f>IF(ISNUMBER(FIND("arbeid",Methode_Keuze)),"",IF(ISNUMBER(FIND("arbeid",Methode_Keuze)),"",IF(Tb_Activiteiten[[#This Row],[Arbeidskosten op basis van IKS]]=1,Tb_Activiteiten[[#Headers],[Arbeidskosten op basis van IKS]],"")))</f>
        <v/>
      </c>
      <c r="AS219" t="str">
        <f>IF(ISNUMBER(FIND("overige",Methode_Keuze)),"",IF(Tb_Activiteiten[[#This Row],[Kosten derden exclusief btw]]=1,Tb_Activiteiten[[#Headers],[Kosten derden exclusief btw]],""))</f>
        <v/>
      </c>
      <c r="AT219" t="str">
        <f>IF(ISNUMBER(FIND("overige",Methode_Keuze)),"",IF(Tb_Activiteiten[[#This Row],[Niet verrekenbare btw]]=1,Tb_Activiteiten[[#Headers],[Niet verrekenbare btw]],""))</f>
        <v/>
      </c>
      <c r="AU219" t="str">
        <f>IF(ISNUMBER(FIND("overige",Methode_Keuze)),"",IF(Tb_Activiteiten[[#This Row],[Grondkosten]]=1,Tb_Activiteiten[[#Headers],[Grondkosten]],""))</f>
        <v/>
      </c>
      <c r="AV219" t="str">
        <f>IF(ISNUMBER(FIND("overige",Methode_Keuze)),"",IF(Tb_Activiteiten[[#This Row],[Bijdrage in natura (overige)]]=1,Tb_Activiteiten[[#Headers],[Bijdrage in natura (overige)]],""))</f>
        <v/>
      </c>
      <c r="AW219" t="str">
        <f>IF(ISNUMBER(FIND("overige",Methode_Keuze)),"",IF(Tb_Activiteiten[[#This Row],[Bijdrage in natura (vrijwilligers)]]=1,Tb_Activiteiten[[#Headers],[Bijdrage in natura (vrijwilligers)]],""))</f>
        <v/>
      </c>
      <c r="AX219" t="str">
        <f>IF(ISNUMBER(FIND("overige",Methode_Keuze)),"",IF(Tb_Activiteiten[[#This Row],[Afschrijvingskosten]]=1,Tb_Activiteiten[[#Headers],[Afschrijvingskosten]],""))</f>
        <v/>
      </c>
      <c r="AY219" t="str">
        <f>IF(ISNUMBER(FIND("overige",Methode_Keuze)),"",IF(Tb_Activiteiten[[#This Row],[Vergoeding]]=1,Tb_Activiteiten[[#Headers],[Vergoeding]],""))</f>
        <v/>
      </c>
      <c r="AZ219" t="str">
        <f>IF(ISNUMBER(FIND("arbeid",Methode_Keuze)),"",IF(Tb_Activiteiten[[#This Row],[Arbeidskosten - vast tarief (excl eigen arbeid)]]=1,Tb_Activiteiten[[#Headers],[Arbeidskosten - vast tarief (excl eigen arbeid)]],""))</f>
        <v/>
      </c>
      <c r="BA219" t="str">
        <f>IF(ISNUMBER(FIND("overige",Methode_Keuze)),"",IF(Tb_Activiteiten[[#This Row],[Overige kosten]]=1,Tb_Activiteiten[[#Headers],[Overige kosten]],""))</f>
        <v/>
      </c>
    </row>
    <row r="220" spans="1:53" x14ac:dyDescent="0.25">
      <c r="A220" s="231"/>
      <c r="F220" s="64"/>
      <c r="G220" s="64"/>
      <c r="H220" s="275"/>
      <c r="I220" s="275"/>
      <c r="J220" s="275"/>
      <c r="K220" s="275"/>
      <c r="O220" s="56"/>
      <c r="Q220" t="str">
        <f>IFERROR(IF(VLOOKUP(Tb_Activiteiten[[#This Row],[Openstelling]],Tb_Openstelling[],2,0)=1,1,""),"")</f>
        <v/>
      </c>
      <c r="AK220" t="str">
        <f>IF(ISNUMBER(FIND("arbeid",Methode_Keuze)),"",IF(ISNUMBER(FIND("arbeid",Methode_Keuze)),"",IF(Tb_Activiteiten[[#This Row],[Loonkosten]]=1,Tb_Activiteiten[[#Headers],[Loonkosten]],"")))</f>
        <v/>
      </c>
      <c r="AL220" t="str">
        <f>IF(ISNUMBER(FIND("arbeid",Methode_Keuze)),"",IF(ISNUMBER(FIND("arbeid",Methode_Keuze)),"",IF(Tb_Activiteiten[[#This Row],[Eigen arbeid]]=1,Tb_Activiteiten[[#Headers],[Eigen arbeid]],"")))</f>
        <v/>
      </c>
      <c r="AM220" t="str">
        <f>IF(ISNUMBER(FIND("arbeid",Methode_Keuze)),"",IF(ISNUMBER(FIND("arbeid",Methode_Keuze)),"",IF(Tb_Activiteiten[[#This Row],[Projectmedewerker]]=1,Tb_Activiteiten[[#Headers],[Projectmedewerker]],"")))</f>
        <v/>
      </c>
      <c r="AN220" t="str">
        <f>IF(ISNUMBER(FIND("arbeid",Methode_Keuze)),"",IF(ISNUMBER(FIND("arbeid",Methode_Keuze)),"",IF(Tb_Activiteiten[[#This Row],[Landbouwer]]=1,Tb_Activiteiten[[#Headers],[Landbouwer]],"")))</f>
        <v/>
      </c>
      <c r="AO220" t="str">
        <f>IF(ISNUMBER(FIND("arbeid",Methode_Keuze)),"",IF(ISNUMBER(FIND("arbeid",Methode_Keuze)),"",IF(Tb_Activiteiten[[#This Row],[Adviseur]]=1,Tb_Activiteiten[[#Headers],[Adviseur]],"")))</f>
        <v/>
      </c>
      <c r="AP220" t="str">
        <f>IF(ISNUMBER(FIND("arbeid",Methode_Keuze)),"",IF(ISNUMBER(FIND("arbeid",Methode_Keuze)),"",IF(Tb_Activiteiten[[#This Row],[Projectleider/Expert]]=1,Tb_Activiteiten[[#Headers],[Projectleider/Expert]],"")))</f>
        <v/>
      </c>
      <c r="AQ220" t="str">
        <f>IF(ISNUMBER(FIND("arbeid",Methode_Keuze)),"",IF(ISNUMBER(FIND("arbeid",Methode_Keuze)),"",IF(Tb_Activiteiten[[#This Row],[Arbeidskosten]]=1,Tb_Activiteiten[[#Headers],[Arbeidskosten]],"")))</f>
        <v/>
      </c>
      <c r="AR220" t="str">
        <f>IF(ISNUMBER(FIND("arbeid",Methode_Keuze)),"",IF(ISNUMBER(FIND("arbeid",Methode_Keuze)),"",IF(Tb_Activiteiten[[#This Row],[Arbeidskosten op basis van IKS]]=1,Tb_Activiteiten[[#Headers],[Arbeidskosten op basis van IKS]],"")))</f>
        <v/>
      </c>
      <c r="AS220" t="str">
        <f>IF(ISNUMBER(FIND("overige",Methode_Keuze)),"",IF(Tb_Activiteiten[[#This Row],[Kosten derden exclusief btw]]=1,Tb_Activiteiten[[#Headers],[Kosten derden exclusief btw]],""))</f>
        <v/>
      </c>
      <c r="AT220" t="str">
        <f>IF(ISNUMBER(FIND("overige",Methode_Keuze)),"",IF(Tb_Activiteiten[[#This Row],[Niet verrekenbare btw]]=1,Tb_Activiteiten[[#Headers],[Niet verrekenbare btw]],""))</f>
        <v/>
      </c>
      <c r="AU220" t="str">
        <f>IF(ISNUMBER(FIND("overige",Methode_Keuze)),"",IF(Tb_Activiteiten[[#This Row],[Grondkosten]]=1,Tb_Activiteiten[[#Headers],[Grondkosten]],""))</f>
        <v/>
      </c>
      <c r="AV220" t="str">
        <f>IF(ISNUMBER(FIND("overige",Methode_Keuze)),"",IF(Tb_Activiteiten[[#This Row],[Bijdrage in natura (overige)]]=1,Tb_Activiteiten[[#Headers],[Bijdrage in natura (overige)]],""))</f>
        <v/>
      </c>
      <c r="AW220" t="str">
        <f>IF(ISNUMBER(FIND("overige",Methode_Keuze)),"",IF(Tb_Activiteiten[[#This Row],[Bijdrage in natura (vrijwilligers)]]=1,Tb_Activiteiten[[#Headers],[Bijdrage in natura (vrijwilligers)]],""))</f>
        <v/>
      </c>
      <c r="AX220" t="str">
        <f>IF(ISNUMBER(FIND("overige",Methode_Keuze)),"",IF(Tb_Activiteiten[[#This Row],[Afschrijvingskosten]]=1,Tb_Activiteiten[[#Headers],[Afschrijvingskosten]],""))</f>
        <v/>
      </c>
      <c r="AY220" t="str">
        <f>IF(ISNUMBER(FIND("overige",Methode_Keuze)),"",IF(Tb_Activiteiten[[#This Row],[Vergoeding]]=1,Tb_Activiteiten[[#Headers],[Vergoeding]],""))</f>
        <v/>
      </c>
      <c r="AZ220" t="str">
        <f>IF(ISNUMBER(FIND("arbeid",Methode_Keuze)),"",IF(Tb_Activiteiten[[#This Row],[Arbeidskosten - vast tarief (excl eigen arbeid)]]=1,Tb_Activiteiten[[#Headers],[Arbeidskosten - vast tarief (excl eigen arbeid)]],""))</f>
        <v/>
      </c>
      <c r="BA220" t="str">
        <f>IF(ISNUMBER(FIND("overige",Methode_Keuze)),"",IF(Tb_Activiteiten[[#This Row],[Overige kosten]]=1,Tb_Activiteiten[[#Headers],[Overige kosten]],""))</f>
        <v/>
      </c>
    </row>
    <row r="221" spans="1:53" x14ac:dyDescent="0.25">
      <c r="A221" s="231"/>
      <c r="F221" s="64"/>
      <c r="G221" s="64"/>
      <c r="H221" s="275"/>
      <c r="I221" s="275"/>
      <c r="J221" s="275"/>
      <c r="K221" s="275"/>
      <c r="O221" s="56"/>
      <c r="Q221" t="str">
        <f>IFERROR(IF(VLOOKUP(Tb_Activiteiten[[#This Row],[Openstelling]],Tb_Openstelling[],2,0)=1,1,""),"")</f>
        <v/>
      </c>
      <c r="AK221" t="str">
        <f>IF(ISNUMBER(FIND("arbeid",Methode_Keuze)),"",IF(ISNUMBER(FIND("arbeid",Methode_Keuze)),"",IF(Tb_Activiteiten[[#This Row],[Loonkosten]]=1,Tb_Activiteiten[[#Headers],[Loonkosten]],"")))</f>
        <v/>
      </c>
      <c r="AL221" t="str">
        <f>IF(ISNUMBER(FIND("arbeid",Methode_Keuze)),"",IF(ISNUMBER(FIND("arbeid",Methode_Keuze)),"",IF(Tb_Activiteiten[[#This Row],[Eigen arbeid]]=1,Tb_Activiteiten[[#Headers],[Eigen arbeid]],"")))</f>
        <v/>
      </c>
      <c r="AM221" t="str">
        <f>IF(ISNUMBER(FIND("arbeid",Methode_Keuze)),"",IF(ISNUMBER(FIND("arbeid",Methode_Keuze)),"",IF(Tb_Activiteiten[[#This Row],[Projectmedewerker]]=1,Tb_Activiteiten[[#Headers],[Projectmedewerker]],"")))</f>
        <v/>
      </c>
      <c r="AN221" t="str">
        <f>IF(ISNUMBER(FIND("arbeid",Methode_Keuze)),"",IF(ISNUMBER(FIND("arbeid",Methode_Keuze)),"",IF(Tb_Activiteiten[[#This Row],[Landbouwer]]=1,Tb_Activiteiten[[#Headers],[Landbouwer]],"")))</f>
        <v/>
      </c>
      <c r="AO221" t="str">
        <f>IF(ISNUMBER(FIND("arbeid",Methode_Keuze)),"",IF(ISNUMBER(FIND("arbeid",Methode_Keuze)),"",IF(Tb_Activiteiten[[#This Row],[Adviseur]]=1,Tb_Activiteiten[[#Headers],[Adviseur]],"")))</f>
        <v/>
      </c>
      <c r="AP221" t="str">
        <f>IF(ISNUMBER(FIND("arbeid",Methode_Keuze)),"",IF(ISNUMBER(FIND("arbeid",Methode_Keuze)),"",IF(Tb_Activiteiten[[#This Row],[Projectleider/Expert]]=1,Tb_Activiteiten[[#Headers],[Projectleider/Expert]],"")))</f>
        <v/>
      </c>
      <c r="AQ221" t="str">
        <f>IF(ISNUMBER(FIND("arbeid",Methode_Keuze)),"",IF(ISNUMBER(FIND("arbeid",Methode_Keuze)),"",IF(Tb_Activiteiten[[#This Row],[Arbeidskosten]]=1,Tb_Activiteiten[[#Headers],[Arbeidskosten]],"")))</f>
        <v/>
      </c>
      <c r="AR221" t="str">
        <f>IF(ISNUMBER(FIND("arbeid",Methode_Keuze)),"",IF(ISNUMBER(FIND("arbeid",Methode_Keuze)),"",IF(Tb_Activiteiten[[#This Row],[Arbeidskosten op basis van IKS]]=1,Tb_Activiteiten[[#Headers],[Arbeidskosten op basis van IKS]],"")))</f>
        <v/>
      </c>
      <c r="AS221" t="str">
        <f>IF(ISNUMBER(FIND("overige",Methode_Keuze)),"",IF(Tb_Activiteiten[[#This Row],[Kosten derden exclusief btw]]=1,Tb_Activiteiten[[#Headers],[Kosten derden exclusief btw]],""))</f>
        <v/>
      </c>
      <c r="AT221" t="str">
        <f>IF(ISNUMBER(FIND("overige",Methode_Keuze)),"",IF(Tb_Activiteiten[[#This Row],[Niet verrekenbare btw]]=1,Tb_Activiteiten[[#Headers],[Niet verrekenbare btw]],""))</f>
        <v/>
      </c>
      <c r="AU221" t="str">
        <f>IF(ISNUMBER(FIND("overige",Methode_Keuze)),"",IF(Tb_Activiteiten[[#This Row],[Grondkosten]]=1,Tb_Activiteiten[[#Headers],[Grondkosten]],""))</f>
        <v/>
      </c>
      <c r="AV221" t="str">
        <f>IF(ISNUMBER(FIND("overige",Methode_Keuze)),"",IF(Tb_Activiteiten[[#This Row],[Bijdrage in natura (overige)]]=1,Tb_Activiteiten[[#Headers],[Bijdrage in natura (overige)]],""))</f>
        <v/>
      </c>
      <c r="AW221" t="str">
        <f>IF(ISNUMBER(FIND("overige",Methode_Keuze)),"",IF(Tb_Activiteiten[[#This Row],[Bijdrage in natura (vrijwilligers)]]=1,Tb_Activiteiten[[#Headers],[Bijdrage in natura (vrijwilligers)]],""))</f>
        <v/>
      </c>
      <c r="AX221" t="str">
        <f>IF(ISNUMBER(FIND("overige",Methode_Keuze)),"",IF(Tb_Activiteiten[[#This Row],[Afschrijvingskosten]]=1,Tb_Activiteiten[[#Headers],[Afschrijvingskosten]],""))</f>
        <v/>
      </c>
      <c r="AY221" t="str">
        <f>IF(ISNUMBER(FIND("overige",Methode_Keuze)),"",IF(Tb_Activiteiten[[#This Row],[Vergoeding]]=1,Tb_Activiteiten[[#Headers],[Vergoeding]],""))</f>
        <v/>
      </c>
      <c r="AZ221" t="str">
        <f>IF(ISNUMBER(FIND("arbeid",Methode_Keuze)),"",IF(Tb_Activiteiten[[#This Row],[Arbeidskosten - vast tarief (excl eigen arbeid)]]=1,Tb_Activiteiten[[#Headers],[Arbeidskosten - vast tarief (excl eigen arbeid)]],""))</f>
        <v/>
      </c>
      <c r="BA221" t="str">
        <f>IF(ISNUMBER(FIND("overige",Methode_Keuze)),"",IF(Tb_Activiteiten[[#This Row],[Overige kosten]]=1,Tb_Activiteiten[[#Headers],[Overige kosten]],""))</f>
        <v/>
      </c>
    </row>
    <row r="222" spans="1:53" x14ac:dyDescent="0.25">
      <c r="A222" s="231"/>
      <c r="F222" s="64"/>
      <c r="G222" s="64"/>
      <c r="H222" s="275"/>
      <c r="I222" s="275"/>
      <c r="J222" s="275"/>
      <c r="K222" s="275"/>
      <c r="O222" s="56"/>
      <c r="Q222" t="str">
        <f>IFERROR(IF(VLOOKUP(Tb_Activiteiten[[#This Row],[Openstelling]],Tb_Openstelling[],2,0)=1,1,""),"")</f>
        <v/>
      </c>
      <c r="AK222" t="str">
        <f>IF(ISNUMBER(FIND("arbeid",Methode_Keuze)),"",IF(ISNUMBER(FIND("arbeid",Methode_Keuze)),"",IF(Tb_Activiteiten[[#This Row],[Loonkosten]]=1,Tb_Activiteiten[[#Headers],[Loonkosten]],"")))</f>
        <v/>
      </c>
      <c r="AL222" t="str">
        <f>IF(ISNUMBER(FIND("arbeid",Methode_Keuze)),"",IF(ISNUMBER(FIND("arbeid",Methode_Keuze)),"",IF(Tb_Activiteiten[[#This Row],[Eigen arbeid]]=1,Tb_Activiteiten[[#Headers],[Eigen arbeid]],"")))</f>
        <v/>
      </c>
      <c r="AM222" t="str">
        <f>IF(ISNUMBER(FIND("arbeid",Methode_Keuze)),"",IF(ISNUMBER(FIND("arbeid",Methode_Keuze)),"",IF(Tb_Activiteiten[[#This Row],[Projectmedewerker]]=1,Tb_Activiteiten[[#Headers],[Projectmedewerker]],"")))</f>
        <v/>
      </c>
      <c r="AN222" t="str">
        <f>IF(ISNUMBER(FIND("arbeid",Methode_Keuze)),"",IF(ISNUMBER(FIND("arbeid",Methode_Keuze)),"",IF(Tb_Activiteiten[[#This Row],[Landbouwer]]=1,Tb_Activiteiten[[#Headers],[Landbouwer]],"")))</f>
        <v/>
      </c>
      <c r="AO222" t="str">
        <f>IF(ISNUMBER(FIND("arbeid",Methode_Keuze)),"",IF(ISNUMBER(FIND("arbeid",Methode_Keuze)),"",IF(Tb_Activiteiten[[#This Row],[Adviseur]]=1,Tb_Activiteiten[[#Headers],[Adviseur]],"")))</f>
        <v/>
      </c>
      <c r="AP222" t="str">
        <f>IF(ISNUMBER(FIND("arbeid",Methode_Keuze)),"",IF(ISNUMBER(FIND("arbeid",Methode_Keuze)),"",IF(Tb_Activiteiten[[#This Row],[Projectleider/Expert]]=1,Tb_Activiteiten[[#Headers],[Projectleider/Expert]],"")))</f>
        <v/>
      </c>
      <c r="AQ222" t="str">
        <f>IF(ISNUMBER(FIND("arbeid",Methode_Keuze)),"",IF(ISNUMBER(FIND("arbeid",Methode_Keuze)),"",IF(Tb_Activiteiten[[#This Row],[Arbeidskosten]]=1,Tb_Activiteiten[[#Headers],[Arbeidskosten]],"")))</f>
        <v/>
      </c>
      <c r="AR222" t="str">
        <f>IF(ISNUMBER(FIND("arbeid",Methode_Keuze)),"",IF(ISNUMBER(FIND("arbeid",Methode_Keuze)),"",IF(Tb_Activiteiten[[#This Row],[Arbeidskosten op basis van IKS]]=1,Tb_Activiteiten[[#Headers],[Arbeidskosten op basis van IKS]],"")))</f>
        <v/>
      </c>
      <c r="AS222" t="str">
        <f>IF(ISNUMBER(FIND("overige",Methode_Keuze)),"",IF(Tb_Activiteiten[[#This Row],[Kosten derden exclusief btw]]=1,Tb_Activiteiten[[#Headers],[Kosten derden exclusief btw]],""))</f>
        <v/>
      </c>
      <c r="AT222" t="str">
        <f>IF(ISNUMBER(FIND("overige",Methode_Keuze)),"",IF(Tb_Activiteiten[[#This Row],[Niet verrekenbare btw]]=1,Tb_Activiteiten[[#Headers],[Niet verrekenbare btw]],""))</f>
        <v/>
      </c>
      <c r="AU222" t="str">
        <f>IF(ISNUMBER(FIND("overige",Methode_Keuze)),"",IF(Tb_Activiteiten[[#This Row],[Grondkosten]]=1,Tb_Activiteiten[[#Headers],[Grondkosten]],""))</f>
        <v/>
      </c>
      <c r="AV222" t="str">
        <f>IF(ISNUMBER(FIND("overige",Methode_Keuze)),"",IF(Tb_Activiteiten[[#This Row],[Bijdrage in natura (overige)]]=1,Tb_Activiteiten[[#Headers],[Bijdrage in natura (overige)]],""))</f>
        <v/>
      </c>
      <c r="AW222" t="str">
        <f>IF(ISNUMBER(FIND("overige",Methode_Keuze)),"",IF(Tb_Activiteiten[[#This Row],[Bijdrage in natura (vrijwilligers)]]=1,Tb_Activiteiten[[#Headers],[Bijdrage in natura (vrijwilligers)]],""))</f>
        <v/>
      </c>
      <c r="AX222" t="str">
        <f>IF(ISNUMBER(FIND("overige",Methode_Keuze)),"",IF(Tb_Activiteiten[[#This Row],[Afschrijvingskosten]]=1,Tb_Activiteiten[[#Headers],[Afschrijvingskosten]],""))</f>
        <v/>
      </c>
      <c r="AY222" t="str">
        <f>IF(ISNUMBER(FIND("overige",Methode_Keuze)),"",IF(Tb_Activiteiten[[#This Row],[Vergoeding]]=1,Tb_Activiteiten[[#Headers],[Vergoeding]],""))</f>
        <v/>
      </c>
      <c r="AZ222" t="str">
        <f>IF(ISNUMBER(FIND("arbeid",Methode_Keuze)),"",IF(Tb_Activiteiten[[#This Row],[Arbeidskosten - vast tarief (excl eigen arbeid)]]=1,Tb_Activiteiten[[#Headers],[Arbeidskosten - vast tarief (excl eigen arbeid)]],""))</f>
        <v/>
      </c>
      <c r="BA222" t="str">
        <f>IF(ISNUMBER(FIND("overige",Methode_Keuze)),"",IF(Tb_Activiteiten[[#This Row],[Overige kosten]]=1,Tb_Activiteiten[[#Headers],[Overige kosten]],""))</f>
        <v/>
      </c>
    </row>
    <row r="223" spans="1:53" x14ac:dyDescent="0.25">
      <c r="A223" s="231"/>
      <c r="F223" s="64"/>
      <c r="G223" s="64"/>
      <c r="H223" s="275"/>
      <c r="I223" s="275"/>
      <c r="J223" s="275"/>
      <c r="K223" s="275"/>
      <c r="O223" s="56"/>
      <c r="Q223" t="str">
        <f>IFERROR(IF(VLOOKUP(Tb_Activiteiten[[#This Row],[Openstelling]],Tb_Openstelling[],2,0)=1,1,""),"")</f>
        <v/>
      </c>
      <c r="AK223" t="str">
        <f>IF(ISNUMBER(FIND("arbeid",Methode_Keuze)),"",IF(ISNUMBER(FIND("arbeid",Methode_Keuze)),"",IF(Tb_Activiteiten[[#This Row],[Loonkosten]]=1,Tb_Activiteiten[[#Headers],[Loonkosten]],"")))</f>
        <v/>
      </c>
      <c r="AL223" t="str">
        <f>IF(ISNUMBER(FIND("arbeid",Methode_Keuze)),"",IF(ISNUMBER(FIND("arbeid",Methode_Keuze)),"",IF(Tb_Activiteiten[[#This Row],[Eigen arbeid]]=1,Tb_Activiteiten[[#Headers],[Eigen arbeid]],"")))</f>
        <v/>
      </c>
      <c r="AM223" t="str">
        <f>IF(ISNUMBER(FIND("arbeid",Methode_Keuze)),"",IF(ISNUMBER(FIND("arbeid",Methode_Keuze)),"",IF(Tb_Activiteiten[[#This Row],[Projectmedewerker]]=1,Tb_Activiteiten[[#Headers],[Projectmedewerker]],"")))</f>
        <v/>
      </c>
      <c r="AN223" t="str">
        <f>IF(ISNUMBER(FIND("arbeid",Methode_Keuze)),"",IF(ISNUMBER(FIND("arbeid",Methode_Keuze)),"",IF(Tb_Activiteiten[[#This Row],[Landbouwer]]=1,Tb_Activiteiten[[#Headers],[Landbouwer]],"")))</f>
        <v/>
      </c>
      <c r="AO223" t="str">
        <f>IF(ISNUMBER(FIND("arbeid",Methode_Keuze)),"",IF(ISNUMBER(FIND("arbeid",Methode_Keuze)),"",IF(Tb_Activiteiten[[#This Row],[Adviseur]]=1,Tb_Activiteiten[[#Headers],[Adviseur]],"")))</f>
        <v/>
      </c>
      <c r="AP223" t="str">
        <f>IF(ISNUMBER(FIND("arbeid",Methode_Keuze)),"",IF(ISNUMBER(FIND("arbeid",Methode_Keuze)),"",IF(Tb_Activiteiten[[#This Row],[Projectleider/Expert]]=1,Tb_Activiteiten[[#Headers],[Projectleider/Expert]],"")))</f>
        <v/>
      </c>
      <c r="AQ223" t="str">
        <f>IF(ISNUMBER(FIND("arbeid",Methode_Keuze)),"",IF(ISNUMBER(FIND("arbeid",Methode_Keuze)),"",IF(Tb_Activiteiten[[#This Row],[Arbeidskosten]]=1,Tb_Activiteiten[[#Headers],[Arbeidskosten]],"")))</f>
        <v/>
      </c>
      <c r="AR223" t="str">
        <f>IF(ISNUMBER(FIND("arbeid",Methode_Keuze)),"",IF(ISNUMBER(FIND("arbeid",Methode_Keuze)),"",IF(Tb_Activiteiten[[#This Row],[Arbeidskosten op basis van IKS]]=1,Tb_Activiteiten[[#Headers],[Arbeidskosten op basis van IKS]],"")))</f>
        <v/>
      </c>
      <c r="AS223" t="str">
        <f>IF(ISNUMBER(FIND("overige",Methode_Keuze)),"",IF(Tb_Activiteiten[[#This Row],[Kosten derden exclusief btw]]=1,Tb_Activiteiten[[#Headers],[Kosten derden exclusief btw]],""))</f>
        <v/>
      </c>
      <c r="AT223" t="str">
        <f>IF(ISNUMBER(FIND("overige",Methode_Keuze)),"",IF(Tb_Activiteiten[[#This Row],[Niet verrekenbare btw]]=1,Tb_Activiteiten[[#Headers],[Niet verrekenbare btw]],""))</f>
        <v/>
      </c>
      <c r="AU223" t="str">
        <f>IF(ISNUMBER(FIND("overige",Methode_Keuze)),"",IF(Tb_Activiteiten[[#This Row],[Grondkosten]]=1,Tb_Activiteiten[[#Headers],[Grondkosten]],""))</f>
        <v/>
      </c>
      <c r="AV223" t="str">
        <f>IF(ISNUMBER(FIND("overige",Methode_Keuze)),"",IF(Tb_Activiteiten[[#This Row],[Bijdrage in natura (overige)]]=1,Tb_Activiteiten[[#Headers],[Bijdrage in natura (overige)]],""))</f>
        <v/>
      </c>
      <c r="AW223" t="str">
        <f>IF(ISNUMBER(FIND("overige",Methode_Keuze)),"",IF(Tb_Activiteiten[[#This Row],[Bijdrage in natura (vrijwilligers)]]=1,Tb_Activiteiten[[#Headers],[Bijdrage in natura (vrijwilligers)]],""))</f>
        <v/>
      </c>
      <c r="AX223" t="str">
        <f>IF(ISNUMBER(FIND("overige",Methode_Keuze)),"",IF(Tb_Activiteiten[[#This Row],[Afschrijvingskosten]]=1,Tb_Activiteiten[[#Headers],[Afschrijvingskosten]],""))</f>
        <v/>
      </c>
      <c r="AY223" t="str">
        <f>IF(ISNUMBER(FIND("overige",Methode_Keuze)),"",IF(Tb_Activiteiten[[#This Row],[Vergoeding]]=1,Tb_Activiteiten[[#Headers],[Vergoeding]],""))</f>
        <v/>
      </c>
      <c r="AZ223" t="str">
        <f>IF(ISNUMBER(FIND("arbeid",Methode_Keuze)),"",IF(Tb_Activiteiten[[#This Row],[Arbeidskosten - vast tarief (excl eigen arbeid)]]=1,Tb_Activiteiten[[#Headers],[Arbeidskosten - vast tarief (excl eigen arbeid)]],""))</f>
        <v/>
      </c>
      <c r="BA223" t="str">
        <f>IF(ISNUMBER(FIND("overige",Methode_Keuze)),"",IF(Tb_Activiteiten[[#This Row],[Overige kosten]]=1,Tb_Activiteiten[[#Headers],[Overige kosten]],""))</f>
        <v/>
      </c>
    </row>
    <row r="224" spans="1:53" x14ac:dyDescent="0.25">
      <c r="A224" s="231"/>
      <c r="F224" s="64"/>
      <c r="G224" s="64"/>
      <c r="H224" s="275"/>
      <c r="I224" s="275"/>
      <c r="J224" s="275"/>
      <c r="K224" s="275"/>
      <c r="O224" s="56"/>
      <c r="Q224" t="str">
        <f>IFERROR(IF(VLOOKUP(Tb_Activiteiten[[#This Row],[Openstelling]],Tb_Openstelling[],2,0)=1,1,""),"")</f>
        <v/>
      </c>
      <c r="AK224" t="str">
        <f>IF(ISNUMBER(FIND("arbeid",Methode_Keuze)),"",IF(ISNUMBER(FIND("arbeid",Methode_Keuze)),"",IF(Tb_Activiteiten[[#This Row],[Loonkosten]]=1,Tb_Activiteiten[[#Headers],[Loonkosten]],"")))</f>
        <v/>
      </c>
      <c r="AL224" t="str">
        <f>IF(ISNUMBER(FIND("arbeid",Methode_Keuze)),"",IF(ISNUMBER(FIND("arbeid",Methode_Keuze)),"",IF(Tb_Activiteiten[[#This Row],[Eigen arbeid]]=1,Tb_Activiteiten[[#Headers],[Eigen arbeid]],"")))</f>
        <v/>
      </c>
      <c r="AM224" t="str">
        <f>IF(ISNUMBER(FIND("arbeid",Methode_Keuze)),"",IF(ISNUMBER(FIND("arbeid",Methode_Keuze)),"",IF(Tb_Activiteiten[[#This Row],[Projectmedewerker]]=1,Tb_Activiteiten[[#Headers],[Projectmedewerker]],"")))</f>
        <v/>
      </c>
      <c r="AN224" t="str">
        <f>IF(ISNUMBER(FIND("arbeid",Methode_Keuze)),"",IF(ISNUMBER(FIND("arbeid",Methode_Keuze)),"",IF(Tb_Activiteiten[[#This Row],[Landbouwer]]=1,Tb_Activiteiten[[#Headers],[Landbouwer]],"")))</f>
        <v/>
      </c>
      <c r="AO224" t="str">
        <f>IF(ISNUMBER(FIND("arbeid",Methode_Keuze)),"",IF(ISNUMBER(FIND("arbeid",Methode_Keuze)),"",IF(Tb_Activiteiten[[#This Row],[Adviseur]]=1,Tb_Activiteiten[[#Headers],[Adviseur]],"")))</f>
        <v/>
      </c>
      <c r="AP224" t="str">
        <f>IF(ISNUMBER(FIND("arbeid",Methode_Keuze)),"",IF(ISNUMBER(FIND("arbeid",Methode_Keuze)),"",IF(Tb_Activiteiten[[#This Row],[Projectleider/Expert]]=1,Tb_Activiteiten[[#Headers],[Projectleider/Expert]],"")))</f>
        <v/>
      </c>
      <c r="AQ224" t="str">
        <f>IF(ISNUMBER(FIND("arbeid",Methode_Keuze)),"",IF(ISNUMBER(FIND("arbeid",Methode_Keuze)),"",IF(Tb_Activiteiten[[#This Row],[Arbeidskosten]]=1,Tb_Activiteiten[[#Headers],[Arbeidskosten]],"")))</f>
        <v/>
      </c>
      <c r="AR224" t="str">
        <f>IF(ISNUMBER(FIND("arbeid",Methode_Keuze)),"",IF(ISNUMBER(FIND("arbeid",Methode_Keuze)),"",IF(Tb_Activiteiten[[#This Row],[Arbeidskosten op basis van IKS]]=1,Tb_Activiteiten[[#Headers],[Arbeidskosten op basis van IKS]],"")))</f>
        <v/>
      </c>
      <c r="AS224" t="str">
        <f>IF(ISNUMBER(FIND("overige",Methode_Keuze)),"",IF(Tb_Activiteiten[[#This Row],[Kosten derden exclusief btw]]=1,Tb_Activiteiten[[#Headers],[Kosten derden exclusief btw]],""))</f>
        <v/>
      </c>
      <c r="AT224" t="str">
        <f>IF(ISNUMBER(FIND("overige",Methode_Keuze)),"",IF(Tb_Activiteiten[[#This Row],[Niet verrekenbare btw]]=1,Tb_Activiteiten[[#Headers],[Niet verrekenbare btw]],""))</f>
        <v/>
      </c>
      <c r="AU224" t="str">
        <f>IF(ISNUMBER(FIND("overige",Methode_Keuze)),"",IF(Tb_Activiteiten[[#This Row],[Grondkosten]]=1,Tb_Activiteiten[[#Headers],[Grondkosten]],""))</f>
        <v/>
      </c>
      <c r="AV224" t="str">
        <f>IF(ISNUMBER(FIND("overige",Methode_Keuze)),"",IF(Tb_Activiteiten[[#This Row],[Bijdrage in natura (overige)]]=1,Tb_Activiteiten[[#Headers],[Bijdrage in natura (overige)]],""))</f>
        <v/>
      </c>
      <c r="AW224" t="str">
        <f>IF(ISNUMBER(FIND("overige",Methode_Keuze)),"",IF(Tb_Activiteiten[[#This Row],[Bijdrage in natura (vrijwilligers)]]=1,Tb_Activiteiten[[#Headers],[Bijdrage in natura (vrijwilligers)]],""))</f>
        <v/>
      </c>
      <c r="AX224" t="str">
        <f>IF(ISNUMBER(FIND("overige",Methode_Keuze)),"",IF(Tb_Activiteiten[[#This Row],[Afschrijvingskosten]]=1,Tb_Activiteiten[[#Headers],[Afschrijvingskosten]],""))</f>
        <v/>
      </c>
      <c r="AY224" t="str">
        <f>IF(ISNUMBER(FIND("overige",Methode_Keuze)),"",IF(Tb_Activiteiten[[#This Row],[Vergoeding]]=1,Tb_Activiteiten[[#Headers],[Vergoeding]],""))</f>
        <v/>
      </c>
      <c r="AZ224" t="str">
        <f>IF(ISNUMBER(FIND("arbeid",Methode_Keuze)),"",IF(Tb_Activiteiten[[#This Row],[Arbeidskosten - vast tarief (excl eigen arbeid)]]=1,Tb_Activiteiten[[#Headers],[Arbeidskosten - vast tarief (excl eigen arbeid)]],""))</f>
        <v/>
      </c>
      <c r="BA224" t="str">
        <f>IF(ISNUMBER(FIND("overige",Methode_Keuze)),"",IF(Tb_Activiteiten[[#This Row],[Overige kosten]]=1,Tb_Activiteiten[[#Headers],[Overige kosten]],""))</f>
        <v/>
      </c>
    </row>
    <row r="225" spans="1:53" x14ac:dyDescent="0.25">
      <c r="A225" s="231"/>
      <c r="F225" s="64"/>
      <c r="G225" s="64"/>
      <c r="H225" s="275"/>
      <c r="I225" s="275"/>
      <c r="J225" s="275"/>
      <c r="K225" s="275"/>
      <c r="O225" s="56"/>
      <c r="Q225" t="str">
        <f>IFERROR(IF(VLOOKUP(Tb_Activiteiten[[#This Row],[Openstelling]],Tb_Openstelling[],2,0)=1,1,""),"")</f>
        <v/>
      </c>
      <c r="AK225" t="str">
        <f>IF(ISNUMBER(FIND("arbeid",Methode_Keuze)),"",IF(ISNUMBER(FIND("arbeid",Methode_Keuze)),"",IF(Tb_Activiteiten[[#This Row],[Loonkosten]]=1,Tb_Activiteiten[[#Headers],[Loonkosten]],"")))</f>
        <v/>
      </c>
      <c r="AL225" t="str">
        <f>IF(ISNUMBER(FIND("arbeid",Methode_Keuze)),"",IF(ISNUMBER(FIND("arbeid",Methode_Keuze)),"",IF(Tb_Activiteiten[[#This Row],[Eigen arbeid]]=1,Tb_Activiteiten[[#Headers],[Eigen arbeid]],"")))</f>
        <v/>
      </c>
      <c r="AM225" t="str">
        <f>IF(ISNUMBER(FIND("arbeid",Methode_Keuze)),"",IF(ISNUMBER(FIND("arbeid",Methode_Keuze)),"",IF(Tb_Activiteiten[[#This Row],[Projectmedewerker]]=1,Tb_Activiteiten[[#Headers],[Projectmedewerker]],"")))</f>
        <v/>
      </c>
      <c r="AN225" t="str">
        <f>IF(ISNUMBER(FIND("arbeid",Methode_Keuze)),"",IF(ISNUMBER(FIND("arbeid",Methode_Keuze)),"",IF(Tb_Activiteiten[[#This Row],[Landbouwer]]=1,Tb_Activiteiten[[#Headers],[Landbouwer]],"")))</f>
        <v/>
      </c>
      <c r="AO225" t="str">
        <f>IF(ISNUMBER(FIND("arbeid",Methode_Keuze)),"",IF(ISNUMBER(FIND("arbeid",Methode_Keuze)),"",IF(Tb_Activiteiten[[#This Row],[Adviseur]]=1,Tb_Activiteiten[[#Headers],[Adviseur]],"")))</f>
        <v/>
      </c>
      <c r="AP225" t="str">
        <f>IF(ISNUMBER(FIND("arbeid",Methode_Keuze)),"",IF(ISNUMBER(FIND("arbeid",Methode_Keuze)),"",IF(Tb_Activiteiten[[#This Row],[Projectleider/Expert]]=1,Tb_Activiteiten[[#Headers],[Projectleider/Expert]],"")))</f>
        <v/>
      </c>
      <c r="AQ225" t="str">
        <f>IF(ISNUMBER(FIND("arbeid",Methode_Keuze)),"",IF(ISNUMBER(FIND("arbeid",Methode_Keuze)),"",IF(Tb_Activiteiten[[#This Row],[Arbeidskosten]]=1,Tb_Activiteiten[[#Headers],[Arbeidskosten]],"")))</f>
        <v/>
      </c>
      <c r="AR225" t="str">
        <f>IF(ISNUMBER(FIND("arbeid",Methode_Keuze)),"",IF(ISNUMBER(FIND("arbeid",Methode_Keuze)),"",IF(Tb_Activiteiten[[#This Row],[Arbeidskosten op basis van IKS]]=1,Tb_Activiteiten[[#Headers],[Arbeidskosten op basis van IKS]],"")))</f>
        <v/>
      </c>
      <c r="AS225" t="str">
        <f>IF(ISNUMBER(FIND("overige",Methode_Keuze)),"",IF(Tb_Activiteiten[[#This Row],[Kosten derden exclusief btw]]=1,Tb_Activiteiten[[#Headers],[Kosten derden exclusief btw]],""))</f>
        <v/>
      </c>
      <c r="AT225" t="str">
        <f>IF(ISNUMBER(FIND("overige",Methode_Keuze)),"",IF(Tb_Activiteiten[[#This Row],[Niet verrekenbare btw]]=1,Tb_Activiteiten[[#Headers],[Niet verrekenbare btw]],""))</f>
        <v/>
      </c>
      <c r="AU225" t="str">
        <f>IF(ISNUMBER(FIND("overige",Methode_Keuze)),"",IF(Tb_Activiteiten[[#This Row],[Grondkosten]]=1,Tb_Activiteiten[[#Headers],[Grondkosten]],""))</f>
        <v/>
      </c>
      <c r="AV225" t="str">
        <f>IF(ISNUMBER(FIND("overige",Methode_Keuze)),"",IF(Tb_Activiteiten[[#This Row],[Bijdrage in natura (overige)]]=1,Tb_Activiteiten[[#Headers],[Bijdrage in natura (overige)]],""))</f>
        <v/>
      </c>
      <c r="AW225" t="str">
        <f>IF(ISNUMBER(FIND("overige",Methode_Keuze)),"",IF(Tb_Activiteiten[[#This Row],[Bijdrage in natura (vrijwilligers)]]=1,Tb_Activiteiten[[#Headers],[Bijdrage in natura (vrijwilligers)]],""))</f>
        <v/>
      </c>
      <c r="AX225" t="str">
        <f>IF(ISNUMBER(FIND("overige",Methode_Keuze)),"",IF(Tb_Activiteiten[[#This Row],[Afschrijvingskosten]]=1,Tb_Activiteiten[[#Headers],[Afschrijvingskosten]],""))</f>
        <v/>
      </c>
      <c r="AY225" t="str">
        <f>IF(ISNUMBER(FIND("overige",Methode_Keuze)),"",IF(Tb_Activiteiten[[#This Row],[Vergoeding]]=1,Tb_Activiteiten[[#Headers],[Vergoeding]],""))</f>
        <v/>
      </c>
      <c r="AZ225" t="str">
        <f>IF(ISNUMBER(FIND("arbeid",Methode_Keuze)),"",IF(Tb_Activiteiten[[#This Row],[Arbeidskosten - vast tarief (excl eigen arbeid)]]=1,Tb_Activiteiten[[#Headers],[Arbeidskosten - vast tarief (excl eigen arbeid)]],""))</f>
        <v/>
      </c>
      <c r="BA225" t="str">
        <f>IF(ISNUMBER(FIND("overige",Methode_Keuze)),"",IF(Tb_Activiteiten[[#This Row],[Overige kosten]]=1,Tb_Activiteiten[[#Headers],[Overige kosten]],""))</f>
        <v/>
      </c>
    </row>
    <row r="226" spans="1:53" x14ac:dyDescent="0.25">
      <c r="A226" s="231"/>
      <c r="F226" s="64"/>
      <c r="G226" s="64"/>
      <c r="H226" s="275"/>
      <c r="I226" s="275"/>
      <c r="J226" s="275"/>
      <c r="K226" s="275"/>
      <c r="O226" s="56"/>
      <c r="Q226" t="str">
        <f>IFERROR(IF(VLOOKUP(Tb_Activiteiten[[#This Row],[Openstelling]],Tb_Openstelling[],2,0)=1,1,""),"")</f>
        <v/>
      </c>
      <c r="AK226" t="str">
        <f>IF(ISNUMBER(FIND("arbeid",Methode_Keuze)),"",IF(ISNUMBER(FIND("arbeid",Methode_Keuze)),"",IF(Tb_Activiteiten[[#This Row],[Loonkosten]]=1,Tb_Activiteiten[[#Headers],[Loonkosten]],"")))</f>
        <v/>
      </c>
      <c r="AL226" t="str">
        <f>IF(ISNUMBER(FIND("arbeid",Methode_Keuze)),"",IF(ISNUMBER(FIND("arbeid",Methode_Keuze)),"",IF(Tb_Activiteiten[[#This Row],[Eigen arbeid]]=1,Tb_Activiteiten[[#Headers],[Eigen arbeid]],"")))</f>
        <v/>
      </c>
      <c r="AM226" t="str">
        <f>IF(ISNUMBER(FIND("arbeid",Methode_Keuze)),"",IF(ISNUMBER(FIND("arbeid",Methode_Keuze)),"",IF(Tb_Activiteiten[[#This Row],[Projectmedewerker]]=1,Tb_Activiteiten[[#Headers],[Projectmedewerker]],"")))</f>
        <v/>
      </c>
      <c r="AN226" t="str">
        <f>IF(ISNUMBER(FIND("arbeid",Methode_Keuze)),"",IF(ISNUMBER(FIND("arbeid",Methode_Keuze)),"",IF(Tb_Activiteiten[[#This Row],[Landbouwer]]=1,Tb_Activiteiten[[#Headers],[Landbouwer]],"")))</f>
        <v/>
      </c>
      <c r="AO226" t="str">
        <f>IF(ISNUMBER(FIND("arbeid",Methode_Keuze)),"",IF(ISNUMBER(FIND("arbeid",Methode_Keuze)),"",IF(Tb_Activiteiten[[#This Row],[Adviseur]]=1,Tb_Activiteiten[[#Headers],[Adviseur]],"")))</f>
        <v/>
      </c>
      <c r="AP226" t="str">
        <f>IF(ISNUMBER(FIND("arbeid",Methode_Keuze)),"",IF(ISNUMBER(FIND("arbeid",Methode_Keuze)),"",IF(Tb_Activiteiten[[#This Row],[Projectleider/Expert]]=1,Tb_Activiteiten[[#Headers],[Projectleider/Expert]],"")))</f>
        <v/>
      </c>
      <c r="AQ226" t="str">
        <f>IF(ISNUMBER(FIND("arbeid",Methode_Keuze)),"",IF(ISNUMBER(FIND("arbeid",Methode_Keuze)),"",IF(Tb_Activiteiten[[#This Row],[Arbeidskosten]]=1,Tb_Activiteiten[[#Headers],[Arbeidskosten]],"")))</f>
        <v/>
      </c>
      <c r="AR226" t="str">
        <f>IF(ISNUMBER(FIND("arbeid",Methode_Keuze)),"",IF(ISNUMBER(FIND("arbeid",Methode_Keuze)),"",IF(Tb_Activiteiten[[#This Row],[Arbeidskosten op basis van IKS]]=1,Tb_Activiteiten[[#Headers],[Arbeidskosten op basis van IKS]],"")))</f>
        <v/>
      </c>
      <c r="AS226" t="str">
        <f>IF(ISNUMBER(FIND("overige",Methode_Keuze)),"",IF(Tb_Activiteiten[[#This Row],[Kosten derden exclusief btw]]=1,Tb_Activiteiten[[#Headers],[Kosten derden exclusief btw]],""))</f>
        <v/>
      </c>
      <c r="AT226" t="str">
        <f>IF(ISNUMBER(FIND("overige",Methode_Keuze)),"",IF(Tb_Activiteiten[[#This Row],[Niet verrekenbare btw]]=1,Tb_Activiteiten[[#Headers],[Niet verrekenbare btw]],""))</f>
        <v/>
      </c>
      <c r="AU226" t="str">
        <f>IF(ISNUMBER(FIND("overige",Methode_Keuze)),"",IF(Tb_Activiteiten[[#This Row],[Grondkosten]]=1,Tb_Activiteiten[[#Headers],[Grondkosten]],""))</f>
        <v/>
      </c>
      <c r="AV226" t="str">
        <f>IF(ISNUMBER(FIND("overige",Methode_Keuze)),"",IF(Tb_Activiteiten[[#This Row],[Bijdrage in natura (overige)]]=1,Tb_Activiteiten[[#Headers],[Bijdrage in natura (overige)]],""))</f>
        <v/>
      </c>
      <c r="AW226" t="str">
        <f>IF(ISNUMBER(FIND("overige",Methode_Keuze)),"",IF(Tb_Activiteiten[[#This Row],[Bijdrage in natura (vrijwilligers)]]=1,Tb_Activiteiten[[#Headers],[Bijdrage in natura (vrijwilligers)]],""))</f>
        <v/>
      </c>
      <c r="AX226" t="str">
        <f>IF(ISNUMBER(FIND("overige",Methode_Keuze)),"",IF(Tb_Activiteiten[[#This Row],[Afschrijvingskosten]]=1,Tb_Activiteiten[[#Headers],[Afschrijvingskosten]],""))</f>
        <v/>
      </c>
      <c r="AY226" t="str">
        <f>IF(ISNUMBER(FIND("overige",Methode_Keuze)),"",IF(Tb_Activiteiten[[#This Row],[Vergoeding]]=1,Tb_Activiteiten[[#Headers],[Vergoeding]],""))</f>
        <v/>
      </c>
      <c r="AZ226" t="str">
        <f>IF(ISNUMBER(FIND("arbeid",Methode_Keuze)),"",IF(Tb_Activiteiten[[#This Row],[Arbeidskosten - vast tarief (excl eigen arbeid)]]=1,Tb_Activiteiten[[#Headers],[Arbeidskosten - vast tarief (excl eigen arbeid)]],""))</f>
        <v/>
      </c>
      <c r="BA226" t="str">
        <f>IF(ISNUMBER(FIND("overige",Methode_Keuze)),"",IF(Tb_Activiteiten[[#This Row],[Overige kosten]]=1,Tb_Activiteiten[[#Headers],[Overige kosten]],""))</f>
        <v/>
      </c>
    </row>
    <row r="227" spans="1:53" x14ac:dyDescent="0.25">
      <c r="A227" s="231"/>
      <c r="F227" s="64"/>
      <c r="G227" s="64"/>
      <c r="H227" s="275"/>
      <c r="I227" s="275"/>
      <c r="J227" s="275"/>
      <c r="K227" s="275"/>
      <c r="O227" s="56"/>
      <c r="Q227" t="str">
        <f>IFERROR(IF(VLOOKUP(Tb_Activiteiten[[#This Row],[Openstelling]],Tb_Openstelling[],2,0)=1,1,""),"")</f>
        <v/>
      </c>
      <c r="AK227" t="str">
        <f>IF(ISNUMBER(FIND("arbeid",Methode_Keuze)),"",IF(ISNUMBER(FIND("arbeid",Methode_Keuze)),"",IF(Tb_Activiteiten[[#This Row],[Loonkosten]]=1,Tb_Activiteiten[[#Headers],[Loonkosten]],"")))</f>
        <v/>
      </c>
      <c r="AL227" t="str">
        <f>IF(ISNUMBER(FIND("arbeid",Methode_Keuze)),"",IF(ISNUMBER(FIND("arbeid",Methode_Keuze)),"",IF(Tb_Activiteiten[[#This Row],[Eigen arbeid]]=1,Tb_Activiteiten[[#Headers],[Eigen arbeid]],"")))</f>
        <v/>
      </c>
      <c r="AM227" t="str">
        <f>IF(ISNUMBER(FIND("arbeid",Methode_Keuze)),"",IF(ISNUMBER(FIND("arbeid",Methode_Keuze)),"",IF(Tb_Activiteiten[[#This Row],[Projectmedewerker]]=1,Tb_Activiteiten[[#Headers],[Projectmedewerker]],"")))</f>
        <v/>
      </c>
      <c r="AN227" t="str">
        <f>IF(ISNUMBER(FIND("arbeid",Methode_Keuze)),"",IF(ISNUMBER(FIND("arbeid",Methode_Keuze)),"",IF(Tb_Activiteiten[[#This Row],[Landbouwer]]=1,Tb_Activiteiten[[#Headers],[Landbouwer]],"")))</f>
        <v/>
      </c>
      <c r="AO227" t="str">
        <f>IF(ISNUMBER(FIND("arbeid",Methode_Keuze)),"",IF(ISNUMBER(FIND("arbeid",Methode_Keuze)),"",IF(Tb_Activiteiten[[#This Row],[Adviseur]]=1,Tb_Activiteiten[[#Headers],[Adviseur]],"")))</f>
        <v/>
      </c>
      <c r="AP227" t="str">
        <f>IF(ISNUMBER(FIND("arbeid",Methode_Keuze)),"",IF(ISNUMBER(FIND("arbeid",Methode_Keuze)),"",IF(Tb_Activiteiten[[#This Row],[Projectleider/Expert]]=1,Tb_Activiteiten[[#Headers],[Projectleider/Expert]],"")))</f>
        <v/>
      </c>
      <c r="AQ227" t="str">
        <f>IF(ISNUMBER(FIND("arbeid",Methode_Keuze)),"",IF(ISNUMBER(FIND("arbeid",Methode_Keuze)),"",IF(Tb_Activiteiten[[#This Row],[Arbeidskosten]]=1,Tb_Activiteiten[[#Headers],[Arbeidskosten]],"")))</f>
        <v/>
      </c>
      <c r="AR227" t="str">
        <f>IF(ISNUMBER(FIND("arbeid",Methode_Keuze)),"",IF(ISNUMBER(FIND("arbeid",Methode_Keuze)),"",IF(Tb_Activiteiten[[#This Row],[Arbeidskosten op basis van IKS]]=1,Tb_Activiteiten[[#Headers],[Arbeidskosten op basis van IKS]],"")))</f>
        <v/>
      </c>
      <c r="AS227" t="str">
        <f>IF(ISNUMBER(FIND("overige",Methode_Keuze)),"",IF(Tb_Activiteiten[[#This Row],[Kosten derden exclusief btw]]=1,Tb_Activiteiten[[#Headers],[Kosten derden exclusief btw]],""))</f>
        <v/>
      </c>
      <c r="AT227" t="str">
        <f>IF(ISNUMBER(FIND("overige",Methode_Keuze)),"",IF(Tb_Activiteiten[[#This Row],[Niet verrekenbare btw]]=1,Tb_Activiteiten[[#Headers],[Niet verrekenbare btw]],""))</f>
        <v/>
      </c>
      <c r="AU227" t="str">
        <f>IF(ISNUMBER(FIND("overige",Methode_Keuze)),"",IF(Tb_Activiteiten[[#This Row],[Grondkosten]]=1,Tb_Activiteiten[[#Headers],[Grondkosten]],""))</f>
        <v/>
      </c>
      <c r="AV227" t="str">
        <f>IF(ISNUMBER(FIND("overige",Methode_Keuze)),"",IF(Tb_Activiteiten[[#This Row],[Bijdrage in natura (overige)]]=1,Tb_Activiteiten[[#Headers],[Bijdrage in natura (overige)]],""))</f>
        <v/>
      </c>
      <c r="AW227" t="str">
        <f>IF(ISNUMBER(FIND("overige",Methode_Keuze)),"",IF(Tb_Activiteiten[[#This Row],[Bijdrage in natura (vrijwilligers)]]=1,Tb_Activiteiten[[#Headers],[Bijdrage in natura (vrijwilligers)]],""))</f>
        <v/>
      </c>
      <c r="AX227" t="str">
        <f>IF(ISNUMBER(FIND("overige",Methode_Keuze)),"",IF(Tb_Activiteiten[[#This Row],[Afschrijvingskosten]]=1,Tb_Activiteiten[[#Headers],[Afschrijvingskosten]],""))</f>
        <v/>
      </c>
      <c r="AY227" t="str">
        <f>IF(ISNUMBER(FIND("overige",Methode_Keuze)),"",IF(Tb_Activiteiten[[#This Row],[Vergoeding]]=1,Tb_Activiteiten[[#Headers],[Vergoeding]],""))</f>
        <v/>
      </c>
      <c r="AZ227" t="str">
        <f>IF(ISNUMBER(FIND("arbeid",Methode_Keuze)),"",IF(Tb_Activiteiten[[#This Row],[Arbeidskosten - vast tarief (excl eigen arbeid)]]=1,Tb_Activiteiten[[#Headers],[Arbeidskosten - vast tarief (excl eigen arbeid)]],""))</f>
        <v/>
      </c>
      <c r="BA227" t="str">
        <f>IF(ISNUMBER(FIND("overige",Methode_Keuze)),"",IF(Tb_Activiteiten[[#This Row],[Overige kosten]]=1,Tb_Activiteiten[[#Headers],[Overige kosten]],""))</f>
        <v/>
      </c>
    </row>
    <row r="228" spans="1:53" x14ac:dyDescent="0.25">
      <c r="A228" s="231"/>
      <c r="F228" s="64"/>
      <c r="G228" s="64"/>
      <c r="H228" s="275"/>
      <c r="I228" s="275"/>
      <c r="J228" s="275"/>
      <c r="K228" s="275"/>
      <c r="O228" s="56"/>
      <c r="Q228" t="str">
        <f>IFERROR(IF(VLOOKUP(Tb_Activiteiten[[#This Row],[Openstelling]],Tb_Openstelling[],2,0)=1,1,""),"")</f>
        <v/>
      </c>
      <c r="AK228" t="str">
        <f>IF(ISNUMBER(FIND("arbeid",Methode_Keuze)),"",IF(ISNUMBER(FIND("arbeid",Methode_Keuze)),"",IF(Tb_Activiteiten[[#This Row],[Loonkosten]]=1,Tb_Activiteiten[[#Headers],[Loonkosten]],"")))</f>
        <v/>
      </c>
      <c r="AL228" t="str">
        <f>IF(ISNUMBER(FIND("arbeid",Methode_Keuze)),"",IF(ISNUMBER(FIND("arbeid",Methode_Keuze)),"",IF(Tb_Activiteiten[[#This Row],[Eigen arbeid]]=1,Tb_Activiteiten[[#Headers],[Eigen arbeid]],"")))</f>
        <v/>
      </c>
      <c r="AM228" t="str">
        <f>IF(ISNUMBER(FIND("arbeid",Methode_Keuze)),"",IF(ISNUMBER(FIND("arbeid",Methode_Keuze)),"",IF(Tb_Activiteiten[[#This Row],[Projectmedewerker]]=1,Tb_Activiteiten[[#Headers],[Projectmedewerker]],"")))</f>
        <v/>
      </c>
      <c r="AN228" t="str">
        <f>IF(ISNUMBER(FIND("arbeid",Methode_Keuze)),"",IF(ISNUMBER(FIND("arbeid",Methode_Keuze)),"",IF(Tb_Activiteiten[[#This Row],[Landbouwer]]=1,Tb_Activiteiten[[#Headers],[Landbouwer]],"")))</f>
        <v/>
      </c>
      <c r="AO228" t="str">
        <f>IF(ISNUMBER(FIND("arbeid",Methode_Keuze)),"",IF(ISNUMBER(FIND("arbeid",Methode_Keuze)),"",IF(Tb_Activiteiten[[#This Row],[Adviseur]]=1,Tb_Activiteiten[[#Headers],[Adviseur]],"")))</f>
        <v/>
      </c>
      <c r="AP228" t="str">
        <f>IF(ISNUMBER(FIND("arbeid",Methode_Keuze)),"",IF(ISNUMBER(FIND("arbeid",Methode_Keuze)),"",IF(Tb_Activiteiten[[#This Row],[Projectleider/Expert]]=1,Tb_Activiteiten[[#Headers],[Projectleider/Expert]],"")))</f>
        <v/>
      </c>
      <c r="AQ228" t="str">
        <f>IF(ISNUMBER(FIND("arbeid",Methode_Keuze)),"",IF(ISNUMBER(FIND("arbeid",Methode_Keuze)),"",IF(Tb_Activiteiten[[#This Row],[Arbeidskosten]]=1,Tb_Activiteiten[[#Headers],[Arbeidskosten]],"")))</f>
        <v/>
      </c>
      <c r="AR228" t="str">
        <f>IF(ISNUMBER(FIND("arbeid",Methode_Keuze)),"",IF(ISNUMBER(FIND("arbeid",Methode_Keuze)),"",IF(Tb_Activiteiten[[#This Row],[Arbeidskosten op basis van IKS]]=1,Tb_Activiteiten[[#Headers],[Arbeidskosten op basis van IKS]],"")))</f>
        <v/>
      </c>
      <c r="AS228" t="str">
        <f>IF(ISNUMBER(FIND("overige",Methode_Keuze)),"",IF(Tb_Activiteiten[[#This Row],[Kosten derden exclusief btw]]=1,Tb_Activiteiten[[#Headers],[Kosten derden exclusief btw]],""))</f>
        <v/>
      </c>
      <c r="AT228" t="str">
        <f>IF(ISNUMBER(FIND("overige",Methode_Keuze)),"",IF(Tb_Activiteiten[[#This Row],[Niet verrekenbare btw]]=1,Tb_Activiteiten[[#Headers],[Niet verrekenbare btw]],""))</f>
        <v/>
      </c>
      <c r="AU228" t="str">
        <f>IF(ISNUMBER(FIND("overige",Methode_Keuze)),"",IF(Tb_Activiteiten[[#This Row],[Grondkosten]]=1,Tb_Activiteiten[[#Headers],[Grondkosten]],""))</f>
        <v/>
      </c>
      <c r="AV228" t="str">
        <f>IF(ISNUMBER(FIND("overige",Methode_Keuze)),"",IF(Tb_Activiteiten[[#This Row],[Bijdrage in natura (overige)]]=1,Tb_Activiteiten[[#Headers],[Bijdrage in natura (overige)]],""))</f>
        <v/>
      </c>
      <c r="AW228" t="str">
        <f>IF(ISNUMBER(FIND("overige",Methode_Keuze)),"",IF(Tb_Activiteiten[[#This Row],[Bijdrage in natura (vrijwilligers)]]=1,Tb_Activiteiten[[#Headers],[Bijdrage in natura (vrijwilligers)]],""))</f>
        <v/>
      </c>
      <c r="AX228" t="str">
        <f>IF(ISNUMBER(FIND("overige",Methode_Keuze)),"",IF(Tb_Activiteiten[[#This Row],[Afschrijvingskosten]]=1,Tb_Activiteiten[[#Headers],[Afschrijvingskosten]],""))</f>
        <v/>
      </c>
      <c r="AY228" t="str">
        <f>IF(ISNUMBER(FIND("overige",Methode_Keuze)),"",IF(Tb_Activiteiten[[#This Row],[Vergoeding]]=1,Tb_Activiteiten[[#Headers],[Vergoeding]],""))</f>
        <v/>
      </c>
      <c r="AZ228" t="str">
        <f>IF(ISNUMBER(FIND("arbeid",Methode_Keuze)),"",IF(Tb_Activiteiten[[#This Row],[Arbeidskosten - vast tarief (excl eigen arbeid)]]=1,Tb_Activiteiten[[#Headers],[Arbeidskosten - vast tarief (excl eigen arbeid)]],""))</f>
        <v/>
      </c>
      <c r="BA228" t="str">
        <f>IF(ISNUMBER(FIND("overige",Methode_Keuze)),"",IF(Tb_Activiteiten[[#This Row],[Overige kosten]]=1,Tb_Activiteiten[[#Headers],[Overige kosten]],""))</f>
        <v/>
      </c>
    </row>
    <row r="229" spans="1:53" x14ac:dyDescent="0.25">
      <c r="A229" s="231"/>
      <c r="F229" s="64"/>
      <c r="G229" s="64"/>
      <c r="H229" s="275"/>
      <c r="I229" s="275"/>
      <c r="J229" s="275"/>
      <c r="K229" s="275"/>
      <c r="O229" s="56"/>
      <c r="Q229" t="str">
        <f>IFERROR(IF(VLOOKUP(Tb_Activiteiten[[#This Row],[Openstelling]],Tb_Openstelling[],2,0)=1,1,""),"")</f>
        <v/>
      </c>
      <c r="AK229" t="str">
        <f>IF(ISNUMBER(FIND("arbeid",Methode_Keuze)),"",IF(ISNUMBER(FIND("arbeid",Methode_Keuze)),"",IF(Tb_Activiteiten[[#This Row],[Loonkosten]]=1,Tb_Activiteiten[[#Headers],[Loonkosten]],"")))</f>
        <v/>
      </c>
      <c r="AL229" t="str">
        <f>IF(ISNUMBER(FIND("arbeid",Methode_Keuze)),"",IF(ISNUMBER(FIND("arbeid",Methode_Keuze)),"",IF(Tb_Activiteiten[[#This Row],[Eigen arbeid]]=1,Tb_Activiteiten[[#Headers],[Eigen arbeid]],"")))</f>
        <v/>
      </c>
      <c r="AM229" t="str">
        <f>IF(ISNUMBER(FIND("arbeid",Methode_Keuze)),"",IF(ISNUMBER(FIND("arbeid",Methode_Keuze)),"",IF(Tb_Activiteiten[[#This Row],[Projectmedewerker]]=1,Tb_Activiteiten[[#Headers],[Projectmedewerker]],"")))</f>
        <v/>
      </c>
      <c r="AN229" t="str">
        <f>IF(ISNUMBER(FIND("arbeid",Methode_Keuze)),"",IF(ISNUMBER(FIND("arbeid",Methode_Keuze)),"",IF(Tb_Activiteiten[[#This Row],[Landbouwer]]=1,Tb_Activiteiten[[#Headers],[Landbouwer]],"")))</f>
        <v/>
      </c>
      <c r="AO229" t="str">
        <f>IF(ISNUMBER(FIND("arbeid",Methode_Keuze)),"",IF(ISNUMBER(FIND("arbeid",Methode_Keuze)),"",IF(Tb_Activiteiten[[#This Row],[Adviseur]]=1,Tb_Activiteiten[[#Headers],[Adviseur]],"")))</f>
        <v/>
      </c>
      <c r="AP229" t="str">
        <f>IF(ISNUMBER(FIND("arbeid",Methode_Keuze)),"",IF(ISNUMBER(FIND("arbeid",Methode_Keuze)),"",IF(Tb_Activiteiten[[#This Row],[Projectleider/Expert]]=1,Tb_Activiteiten[[#Headers],[Projectleider/Expert]],"")))</f>
        <v/>
      </c>
      <c r="AQ229" t="str">
        <f>IF(ISNUMBER(FIND("arbeid",Methode_Keuze)),"",IF(ISNUMBER(FIND("arbeid",Methode_Keuze)),"",IF(Tb_Activiteiten[[#This Row],[Arbeidskosten]]=1,Tb_Activiteiten[[#Headers],[Arbeidskosten]],"")))</f>
        <v/>
      </c>
      <c r="AR229" t="str">
        <f>IF(ISNUMBER(FIND("arbeid",Methode_Keuze)),"",IF(ISNUMBER(FIND("arbeid",Methode_Keuze)),"",IF(Tb_Activiteiten[[#This Row],[Arbeidskosten op basis van IKS]]=1,Tb_Activiteiten[[#Headers],[Arbeidskosten op basis van IKS]],"")))</f>
        <v/>
      </c>
      <c r="AS229" t="str">
        <f>IF(ISNUMBER(FIND("overige",Methode_Keuze)),"",IF(Tb_Activiteiten[[#This Row],[Kosten derden exclusief btw]]=1,Tb_Activiteiten[[#Headers],[Kosten derden exclusief btw]],""))</f>
        <v/>
      </c>
      <c r="AT229" t="str">
        <f>IF(ISNUMBER(FIND("overige",Methode_Keuze)),"",IF(Tb_Activiteiten[[#This Row],[Niet verrekenbare btw]]=1,Tb_Activiteiten[[#Headers],[Niet verrekenbare btw]],""))</f>
        <v/>
      </c>
      <c r="AU229" t="str">
        <f>IF(ISNUMBER(FIND("overige",Methode_Keuze)),"",IF(Tb_Activiteiten[[#This Row],[Grondkosten]]=1,Tb_Activiteiten[[#Headers],[Grondkosten]],""))</f>
        <v/>
      </c>
      <c r="AV229" t="str">
        <f>IF(ISNUMBER(FIND("overige",Methode_Keuze)),"",IF(Tb_Activiteiten[[#This Row],[Bijdrage in natura (overige)]]=1,Tb_Activiteiten[[#Headers],[Bijdrage in natura (overige)]],""))</f>
        <v/>
      </c>
      <c r="AW229" t="str">
        <f>IF(ISNUMBER(FIND("overige",Methode_Keuze)),"",IF(Tb_Activiteiten[[#This Row],[Bijdrage in natura (vrijwilligers)]]=1,Tb_Activiteiten[[#Headers],[Bijdrage in natura (vrijwilligers)]],""))</f>
        <v/>
      </c>
      <c r="AX229" t="str">
        <f>IF(ISNUMBER(FIND("overige",Methode_Keuze)),"",IF(Tb_Activiteiten[[#This Row],[Afschrijvingskosten]]=1,Tb_Activiteiten[[#Headers],[Afschrijvingskosten]],""))</f>
        <v/>
      </c>
      <c r="AY229" t="str">
        <f>IF(ISNUMBER(FIND("overige",Methode_Keuze)),"",IF(Tb_Activiteiten[[#This Row],[Vergoeding]]=1,Tb_Activiteiten[[#Headers],[Vergoeding]],""))</f>
        <v/>
      </c>
      <c r="AZ229" t="str">
        <f>IF(ISNUMBER(FIND("arbeid",Methode_Keuze)),"",IF(Tb_Activiteiten[[#This Row],[Arbeidskosten - vast tarief (excl eigen arbeid)]]=1,Tb_Activiteiten[[#Headers],[Arbeidskosten - vast tarief (excl eigen arbeid)]],""))</f>
        <v/>
      </c>
      <c r="BA229" t="str">
        <f>IF(ISNUMBER(FIND("overige",Methode_Keuze)),"",IF(Tb_Activiteiten[[#This Row],[Overige kosten]]=1,Tb_Activiteiten[[#Headers],[Overige kosten]],""))</f>
        <v/>
      </c>
    </row>
    <row r="230" spans="1:53" x14ac:dyDescent="0.25">
      <c r="A230" s="231"/>
      <c r="F230" s="64"/>
      <c r="G230" s="64"/>
      <c r="H230" s="275"/>
      <c r="I230" s="275"/>
      <c r="J230" s="275"/>
      <c r="K230" s="275"/>
      <c r="O230" s="56"/>
      <c r="Q230" t="str">
        <f>IFERROR(IF(VLOOKUP(Tb_Activiteiten[[#This Row],[Openstelling]],Tb_Openstelling[],2,0)=1,1,""),"")</f>
        <v/>
      </c>
      <c r="AK230" t="str">
        <f>IF(ISNUMBER(FIND("arbeid",Methode_Keuze)),"",IF(ISNUMBER(FIND("arbeid",Methode_Keuze)),"",IF(Tb_Activiteiten[[#This Row],[Loonkosten]]=1,Tb_Activiteiten[[#Headers],[Loonkosten]],"")))</f>
        <v/>
      </c>
      <c r="AL230" t="str">
        <f>IF(ISNUMBER(FIND("arbeid",Methode_Keuze)),"",IF(ISNUMBER(FIND("arbeid",Methode_Keuze)),"",IF(Tb_Activiteiten[[#This Row],[Eigen arbeid]]=1,Tb_Activiteiten[[#Headers],[Eigen arbeid]],"")))</f>
        <v/>
      </c>
      <c r="AM230" t="str">
        <f>IF(ISNUMBER(FIND("arbeid",Methode_Keuze)),"",IF(ISNUMBER(FIND("arbeid",Methode_Keuze)),"",IF(Tb_Activiteiten[[#This Row],[Projectmedewerker]]=1,Tb_Activiteiten[[#Headers],[Projectmedewerker]],"")))</f>
        <v/>
      </c>
      <c r="AN230" t="str">
        <f>IF(ISNUMBER(FIND("arbeid",Methode_Keuze)),"",IF(ISNUMBER(FIND("arbeid",Methode_Keuze)),"",IF(Tb_Activiteiten[[#This Row],[Landbouwer]]=1,Tb_Activiteiten[[#Headers],[Landbouwer]],"")))</f>
        <v/>
      </c>
      <c r="AO230" t="str">
        <f>IF(ISNUMBER(FIND("arbeid",Methode_Keuze)),"",IF(ISNUMBER(FIND("arbeid",Methode_Keuze)),"",IF(Tb_Activiteiten[[#This Row],[Adviseur]]=1,Tb_Activiteiten[[#Headers],[Adviseur]],"")))</f>
        <v/>
      </c>
      <c r="AP230" t="str">
        <f>IF(ISNUMBER(FIND("arbeid",Methode_Keuze)),"",IF(ISNUMBER(FIND("arbeid",Methode_Keuze)),"",IF(Tb_Activiteiten[[#This Row],[Projectleider/Expert]]=1,Tb_Activiteiten[[#Headers],[Projectleider/Expert]],"")))</f>
        <v/>
      </c>
      <c r="AQ230" t="str">
        <f>IF(ISNUMBER(FIND("arbeid",Methode_Keuze)),"",IF(ISNUMBER(FIND("arbeid",Methode_Keuze)),"",IF(Tb_Activiteiten[[#This Row],[Arbeidskosten]]=1,Tb_Activiteiten[[#Headers],[Arbeidskosten]],"")))</f>
        <v/>
      </c>
      <c r="AR230" t="str">
        <f>IF(ISNUMBER(FIND("arbeid",Methode_Keuze)),"",IF(ISNUMBER(FIND("arbeid",Methode_Keuze)),"",IF(Tb_Activiteiten[[#This Row],[Arbeidskosten op basis van IKS]]=1,Tb_Activiteiten[[#Headers],[Arbeidskosten op basis van IKS]],"")))</f>
        <v/>
      </c>
      <c r="AS230" t="str">
        <f>IF(ISNUMBER(FIND("overige",Methode_Keuze)),"",IF(Tb_Activiteiten[[#This Row],[Kosten derden exclusief btw]]=1,Tb_Activiteiten[[#Headers],[Kosten derden exclusief btw]],""))</f>
        <v/>
      </c>
      <c r="AT230" t="str">
        <f>IF(ISNUMBER(FIND("overige",Methode_Keuze)),"",IF(Tb_Activiteiten[[#This Row],[Niet verrekenbare btw]]=1,Tb_Activiteiten[[#Headers],[Niet verrekenbare btw]],""))</f>
        <v/>
      </c>
      <c r="AU230" t="str">
        <f>IF(ISNUMBER(FIND("overige",Methode_Keuze)),"",IF(Tb_Activiteiten[[#This Row],[Grondkosten]]=1,Tb_Activiteiten[[#Headers],[Grondkosten]],""))</f>
        <v/>
      </c>
      <c r="AV230" t="str">
        <f>IF(ISNUMBER(FIND("overige",Methode_Keuze)),"",IF(Tb_Activiteiten[[#This Row],[Bijdrage in natura (overige)]]=1,Tb_Activiteiten[[#Headers],[Bijdrage in natura (overige)]],""))</f>
        <v/>
      </c>
      <c r="AW230" t="str">
        <f>IF(ISNUMBER(FIND("overige",Methode_Keuze)),"",IF(Tb_Activiteiten[[#This Row],[Bijdrage in natura (vrijwilligers)]]=1,Tb_Activiteiten[[#Headers],[Bijdrage in natura (vrijwilligers)]],""))</f>
        <v/>
      </c>
      <c r="AX230" t="str">
        <f>IF(ISNUMBER(FIND("overige",Methode_Keuze)),"",IF(Tb_Activiteiten[[#This Row],[Afschrijvingskosten]]=1,Tb_Activiteiten[[#Headers],[Afschrijvingskosten]],""))</f>
        <v/>
      </c>
      <c r="AY230" t="str">
        <f>IF(ISNUMBER(FIND("overige",Methode_Keuze)),"",IF(Tb_Activiteiten[[#This Row],[Vergoeding]]=1,Tb_Activiteiten[[#Headers],[Vergoeding]],""))</f>
        <v/>
      </c>
      <c r="AZ230" t="str">
        <f>IF(ISNUMBER(FIND("arbeid",Methode_Keuze)),"",IF(Tb_Activiteiten[[#This Row],[Arbeidskosten - vast tarief (excl eigen arbeid)]]=1,Tb_Activiteiten[[#Headers],[Arbeidskosten - vast tarief (excl eigen arbeid)]],""))</f>
        <v/>
      </c>
      <c r="BA230" t="str">
        <f>IF(ISNUMBER(FIND("overige",Methode_Keuze)),"",IF(Tb_Activiteiten[[#This Row],[Overige kosten]]=1,Tb_Activiteiten[[#Headers],[Overige kosten]],""))</f>
        <v/>
      </c>
    </row>
    <row r="231" spans="1:53" x14ac:dyDescent="0.25">
      <c r="A231" s="231"/>
      <c r="F231" s="64"/>
      <c r="G231" s="64"/>
      <c r="H231" s="275"/>
      <c r="I231" s="275"/>
      <c r="J231" s="275"/>
      <c r="K231" s="275"/>
      <c r="O231" s="56"/>
      <c r="Q231" t="str">
        <f>IFERROR(IF(VLOOKUP(Tb_Activiteiten[[#This Row],[Openstelling]],Tb_Openstelling[],2,0)=1,1,""),"")</f>
        <v/>
      </c>
      <c r="AK231" t="str">
        <f>IF(ISNUMBER(FIND("arbeid",Methode_Keuze)),"",IF(ISNUMBER(FIND("arbeid",Methode_Keuze)),"",IF(Tb_Activiteiten[[#This Row],[Loonkosten]]=1,Tb_Activiteiten[[#Headers],[Loonkosten]],"")))</f>
        <v/>
      </c>
      <c r="AL231" t="str">
        <f>IF(ISNUMBER(FIND("arbeid",Methode_Keuze)),"",IF(ISNUMBER(FIND("arbeid",Methode_Keuze)),"",IF(Tb_Activiteiten[[#This Row],[Eigen arbeid]]=1,Tb_Activiteiten[[#Headers],[Eigen arbeid]],"")))</f>
        <v/>
      </c>
      <c r="AM231" t="str">
        <f>IF(ISNUMBER(FIND("arbeid",Methode_Keuze)),"",IF(ISNUMBER(FIND("arbeid",Methode_Keuze)),"",IF(Tb_Activiteiten[[#This Row],[Projectmedewerker]]=1,Tb_Activiteiten[[#Headers],[Projectmedewerker]],"")))</f>
        <v/>
      </c>
      <c r="AN231" t="str">
        <f>IF(ISNUMBER(FIND("arbeid",Methode_Keuze)),"",IF(ISNUMBER(FIND("arbeid",Methode_Keuze)),"",IF(Tb_Activiteiten[[#This Row],[Landbouwer]]=1,Tb_Activiteiten[[#Headers],[Landbouwer]],"")))</f>
        <v/>
      </c>
      <c r="AO231" t="str">
        <f>IF(ISNUMBER(FIND("arbeid",Methode_Keuze)),"",IF(ISNUMBER(FIND("arbeid",Methode_Keuze)),"",IF(Tb_Activiteiten[[#This Row],[Adviseur]]=1,Tb_Activiteiten[[#Headers],[Adviseur]],"")))</f>
        <v/>
      </c>
      <c r="AP231" t="str">
        <f>IF(ISNUMBER(FIND("arbeid",Methode_Keuze)),"",IF(ISNUMBER(FIND("arbeid",Methode_Keuze)),"",IF(Tb_Activiteiten[[#This Row],[Projectleider/Expert]]=1,Tb_Activiteiten[[#Headers],[Projectleider/Expert]],"")))</f>
        <v/>
      </c>
      <c r="AQ231" t="str">
        <f>IF(ISNUMBER(FIND("arbeid",Methode_Keuze)),"",IF(ISNUMBER(FIND("arbeid",Methode_Keuze)),"",IF(Tb_Activiteiten[[#This Row],[Arbeidskosten]]=1,Tb_Activiteiten[[#Headers],[Arbeidskosten]],"")))</f>
        <v/>
      </c>
      <c r="AR231" t="str">
        <f>IF(ISNUMBER(FIND("arbeid",Methode_Keuze)),"",IF(ISNUMBER(FIND("arbeid",Methode_Keuze)),"",IF(Tb_Activiteiten[[#This Row],[Arbeidskosten op basis van IKS]]=1,Tb_Activiteiten[[#Headers],[Arbeidskosten op basis van IKS]],"")))</f>
        <v/>
      </c>
      <c r="AS231" t="str">
        <f>IF(ISNUMBER(FIND("overige",Methode_Keuze)),"",IF(Tb_Activiteiten[[#This Row],[Kosten derden exclusief btw]]=1,Tb_Activiteiten[[#Headers],[Kosten derden exclusief btw]],""))</f>
        <v/>
      </c>
      <c r="AT231" t="str">
        <f>IF(ISNUMBER(FIND("overige",Methode_Keuze)),"",IF(Tb_Activiteiten[[#This Row],[Niet verrekenbare btw]]=1,Tb_Activiteiten[[#Headers],[Niet verrekenbare btw]],""))</f>
        <v/>
      </c>
      <c r="AU231" t="str">
        <f>IF(ISNUMBER(FIND("overige",Methode_Keuze)),"",IF(Tb_Activiteiten[[#This Row],[Grondkosten]]=1,Tb_Activiteiten[[#Headers],[Grondkosten]],""))</f>
        <v/>
      </c>
      <c r="AV231" t="str">
        <f>IF(ISNUMBER(FIND("overige",Methode_Keuze)),"",IF(Tb_Activiteiten[[#This Row],[Bijdrage in natura (overige)]]=1,Tb_Activiteiten[[#Headers],[Bijdrage in natura (overige)]],""))</f>
        <v/>
      </c>
      <c r="AW231" t="str">
        <f>IF(ISNUMBER(FIND("overige",Methode_Keuze)),"",IF(Tb_Activiteiten[[#This Row],[Bijdrage in natura (vrijwilligers)]]=1,Tb_Activiteiten[[#Headers],[Bijdrage in natura (vrijwilligers)]],""))</f>
        <v/>
      </c>
      <c r="AX231" t="str">
        <f>IF(ISNUMBER(FIND("overige",Methode_Keuze)),"",IF(Tb_Activiteiten[[#This Row],[Afschrijvingskosten]]=1,Tb_Activiteiten[[#Headers],[Afschrijvingskosten]],""))</f>
        <v/>
      </c>
      <c r="AY231" t="str">
        <f>IF(ISNUMBER(FIND("overige",Methode_Keuze)),"",IF(Tb_Activiteiten[[#This Row],[Vergoeding]]=1,Tb_Activiteiten[[#Headers],[Vergoeding]],""))</f>
        <v/>
      </c>
      <c r="AZ231" t="str">
        <f>IF(ISNUMBER(FIND("arbeid",Methode_Keuze)),"",IF(Tb_Activiteiten[[#This Row],[Arbeidskosten - vast tarief (excl eigen arbeid)]]=1,Tb_Activiteiten[[#Headers],[Arbeidskosten - vast tarief (excl eigen arbeid)]],""))</f>
        <v/>
      </c>
      <c r="BA231" t="str">
        <f>IF(ISNUMBER(FIND("overige",Methode_Keuze)),"",IF(Tb_Activiteiten[[#This Row],[Overige kosten]]=1,Tb_Activiteiten[[#Headers],[Overige kosten]],""))</f>
        <v/>
      </c>
    </row>
    <row r="232" spans="1:53" x14ac:dyDescent="0.25">
      <c r="A232" s="231"/>
      <c r="F232" s="64"/>
      <c r="G232" s="64"/>
      <c r="H232" s="275"/>
      <c r="I232" s="275"/>
      <c r="J232" s="275"/>
      <c r="K232" s="275"/>
      <c r="O232" s="56"/>
      <c r="Q232" t="str">
        <f>IFERROR(IF(VLOOKUP(Tb_Activiteiten[[#This Row],[Openstelling]],Tb_Openstelling[],2,0)=1,1,""),"")</f>
        <v/>
      </c>
      <c r="AK232" t="str">
        <f>IF(ISNUMBER(FIND("arbeid",Methode_Keuze)),"",IF(ISNUMBER(FIND("arbeid",Methode_Keuze)),"",IF(Tb_Activiteiten[[#This Row],[Loonkosten]]=1,Tb_Activiteiten[[#Headers],[Loonkosten]],"")))</f>
        <v/>
      </c>
      <c r="AL232" t="str">
        <f>IF(ISNUMBER(FIND("arbeid",Methode_Keuze)),"",IF(ISNUMBER(FIND("arbeid",Methode_Keuze)),"",IF(Tb_Activiteiten[[#This Row],[Eigen arbeid]]=1,Tb_Activiteiten[[#Headers],[Eigen arbeid]],"")))</f>
        <v/>
      </c>
      <c r="AM232" t="str">
        <f>IF(ISNUMBER(FIND("arbeid",Methode_Keuze)),"",IF(ISNUMBER(FIND("arbeid",Methode_Keuze)),"",IF(Tb_Activiteiten[[#This Row],[Projectmedewerker]]=1,Tb_Activiteiten[[#Headers],[Projectmedewerker]],"")))</f>
        <v/>
      </c>
      <c r="AN232" t="str">
        <f>IF(ISNUMBER(FIND("arbeid",Methode_Keuze)),"",IF(ISNUMBER(FIND("arbeid",Methode_Keuze)),"",IF(Tb_Activiteiten[[#This Row],[Landbouwer]]=1,Tb_Activiteiten[[#Headers],[Landbouwer]],"")))</f>
        <v/>
      </c>
      <c r="AO232" t="str">
        <f>IF(ISNUMBER(FIND("arbeid",Methode_Keuze)),"",IF(ISNUMBER(FIND("arbeid",Methode_Keuze)),"",IF(Tb_Activiteiten[[#This Row],[Adviseur]]=1,Tb_Activiteiten[[#Headers],[Adviseur]],"")))</f>
        <v/>
      </c>
      <c r="AP232" t="str">
        <f>IF(ISNUMBER(FIND("arbeid",Methode_Keuze)),"",IF(ISNUMBER(FIND("arbeid",Methode_Keuze)),"",IF(Tb_Activiteiten[[#This Row],[Projectleider/Expert]]=1,Tb_Activiteiten[[#Headers],[Projectleider/Expert]],"")))</f>
        <v/>
      </c>
      <c r="AQ232" t="str">
        <f>IF(ISNUMBER(FIND("arbeid",Methode_Keuze)),"",IF(ISNUMBER(FIND("arbeid",Methode_Keuze)),"",IF(Tb_Activiteiten[[#This Row],[Arbeidskosten]]=1,Tb_Activiteiten[[#Headers],[Arbeidskosten]],"")))</f>
        <v/>
      </c>
      <c r="AR232" t="str">
        <f>IF(ISNUMBER(FIND("arbeid",Methode_Keuze)),"",IF(ISNUMBER(FIND("arbeid",Methode_Keuze)),"",IF(Tb_Activiteiten[[#This Row],[Arbeidskosten op basis van IKS]]=1,Tb_Activiteiten[[#Headers],[Arbeidskosten op basis van IKS]],"")))</f>
        <v/>
      </c>
      <c r="AS232" t="str">
        <f>IF(ISNUMBER(FIND("overige",Methode_Keuze)),"",IF(Tb_Activiteiten[[#This Row],[Kosten derden exclusief btw]]=1,Tb_Activiteiten[[#Headers],[Kosten derden exclusief btw]],""))</f>
        <v/>
      </c>
      <c r="AT232" t="str">
        <f>IF(ISNUMBER(FIND("overige",Methode_Keuze)),"",IF(Tb_Activiteiten[[#This Row],[Niet verrekenbare btw]]=1,Tb_Activiteiten[[#Headers],[Niet verrekenbare btw]],""))</f>
        <v/>
      </c>
      <c r="AU232" t="str">
        <f>IF(ISNUMBER(FIND("overige",Methode_Keuze)),"",IF(Tb_Activiteiten[[#This Row],[Grondkosten]]=1,Tb_Activiteiten[[#Headers],[Grondkosten]],""))</f>
        <v/>
      </c>
      <c r="AV232" t="str">
        <f>IF(ISNUMBER(FIND("overige",Methode_Keuze)),"",IF(Tb_Activiteiten[[#This Row],[Bijdrage in natura (overige)]]=1,Tb_Activiteiten[[#Headers],[Bijdrage in natura (overige)]],""))</f>
        <v/>
      </c>
      <c r="AW232" t="str">
        <f>IF(ISNUMBER(FIND("overige",Methode_Keuze)),"",IF(Tb_Activiteiten[[#This Row],[Bijdrage in natura (vrijwilligers)]]=1,Tb_Activiteiten[[#Headers],[Bijdrage in natura (vrijwilligers)]],""))</f>
        <v/>
      </c>
      <c r="AX232" t="str">
        <f>IF(ISNUMBER(FIND("overige",Methode_Keuze)),"",IF(Tb_Activiteiten[[#This Row],[Afschrijvingskosten]]=1,Tb_Activiteiten[[#Headers],[Afschrijvingskosten]],""))</f>
        <v/>
      </c>
      <c r="AY232" t="str">
        <f>IF(ISNUMBER(FIND("overige",Methode_Keuze)),"",IF(Tb_Activiteiten[[#This Row],[Vergoeding]]=1,Tb_Activiteiten[[#Headers],[Vergoeding]],""))</f>
        <v/>
      </c>
      <c r="AZ232" t="str">
        <f>IF(ISNUMBER(FIND("arbeid",Methode_Keuze)),"",IF(Tb_Activiteiten[[#This Row],[Arbeidskosten - vast tarief (excl eigen arbeid)]]=1,Tb_Activiteiten[[#Headers],[Arbeidskosten - vast tarief (excl eigen arbeid)]],""))</f>
        <v/>
      </c>
      <c r="BA232" t="str">
        <f>IF(ISNUMBER(FIND("overige",Methode_Keuze)),"",IF(Tb_Activiteiten[[#This Row],[Overige kosten]]=1,Tb_Activiteiten[[#Headers],[Overige kosten]],""))</f>
        <v/>
      </c>
    </row>
    <row r="233" spans="1:53" x14ac:dyDescent="0.25">
      <c r="A233" s="231"/>
      <c r="F233" s="64"/>
      <c r="G233" s="64"/>
      <c r="H233" s="275"/>
      <c r="I233" s="275"/>
      <c r="J233" s="275"/>
      <c r="K233" s="275"/>
      <c r="O233" s="56"/>
      <c r="Q233" t="str">
        <f>IFERROR(IF(VLOOKUP(Tb_Activiteiten[[#This Row],[Openstelling]],Tb_Openstelling[],2,0)=1,1,""),"")</f>
        <v/>
      </c>
      <c r="AK233" t="str">
        <f>IF(ISNUMBER(FIND("arbeid",Methode_Keuze)),"",IF(ISNUMBER(FIND("arbeid",Methode_Keuze)),"",IF(Tb_Activiteiten[[#This Row],[Loonkosten]]=1,Tb_Activiteiten[[#Headers],[Loonkosten]],"")))</f>
        <v/>
      </c>
      <c r="AL233" t="str">
        <f>IF(ISNUMBER(FIND("arbeid",Methode_Keuze)),"",IF(ISNUMBER(FIND("arbeid",Methode_Keuze)),"",IF(Tb_Activiteiten[[#This Row],[Eigen arbeid]]=1,Tb_Activiteiten[[#Headers],[Eigen arbeid]],"")))</f>
        <v/>
      </c>
      <c r="AM233" t="str">
        <f>IF(ISNUMBER(FIND("arbeid",Methode_Keuze)),"",IF(ISNUMBER(FIND("arbeid",Methode_Keuze)),"",IF(Tb_Activiteiten[[#This Row],[Projectmedewerker]]=1,Tb_Activiteiten[[#Headers],[Projectmedewerker]],"")))</f>
        <v/>
      </c>
      <c r="AN233" t="str">
        <f>IF(ISNUMBER(FIND("arbeid",Methode_Keuze)),"",IF(ISNUMBER(FIND("arbeid",Methode_Keuze)),"",IF(Tb_Activiteiten[[#This Row],[Landbouwer]]=1,Tb_Activiteiten[[#Headers],[Landbouwer]],"")))</f>
        <v/>
      </c>
      <c r="AO233" t="str">
        <f>IF(ISNUMBER(FIND("arbeid",Methode_Keuze)),"",IF(ISNUMBER(FIND("arbeid",Methode_Keuze)),"",IF(Tb_Activiteiten[[#This Row],[Adviseur]]=1,Tb_Activiteiten[[#Headers],[Adviseur]],"")))</f>
        <v/>
      </c>
      <c r="AP233" t="str">
        <f>IF(ISNUMBER(FIND("arbeid",Methode_Keuze)),"",IF(ISNUMBER(FIND("arbeid",Methode_Keuze)),"",IF(Tb_Activiteiten[[#This Row],[Projectleider/Expert]]=1,Tb_Activiteiten[[#Headers],[Projectleider/Expert]],"")))</f>
        <v/>
      </c>
      <c r="AQ233" t="str">
        <f>IF(ISNUMBER(FIND("arbeid",Methode_Keuze)),"",IF(ISNUMBER(FIND("arbeid",Methode_Keuze)),"",IF(Tb_Activiteiten[[#This Row],[Arbeidskosten]]=1,Tb_Activiteiten[[#Headers],[Arbeidskosten]],"")))</f>
        <v/>
      </c>
      <c r="AR233" t="str">
        <f>IF(ISNUMBER(FIND("arbeid",Methode_Keuze)),"",IF(ISNUMBER(FIND("arbeid",Methode_Keuze)),"",IF(Tb_Activiteiten[[#This Row],[Arbeidskosten op basis van IKS]]=1,Tb_Activiteiten[[#Headers],[Arbeidskosten op basis van IKS]],"")))</f>
        <v/>
      </c>
      <c r="AS233" t="str">
        <f>IF(ISNUMBER(FIND("overige",Methode_Keuze)),"",IF(Tb_Activiteiten[[#This Row],[Kosten derden exclusief btw]]=1,Tb_Activiteiten[[#Headers],[Kosten derden exclusief btw]],""))</f>
        <v/>
      </c>
      <c r="AT233" t="str">
        <f>IF(ISNUMBER(FIND("overige",Methode_Keuze)),"",IF(Tb_Activiteiten[[#This Row],[Niet verrekenbare btw]]=1,Tb_Activiteiten[[#Headers],[Niet verrekenbare btw]],""))</f>
        <v/>
      </c>
      <c r="AU233" t="str">
        <f>IF(ISNUMBER(FIND("overige",Methode_Keuze)),"",IF(Tb_Activiteiten[[#This Row],[Grondkosten]]=1,Tb_Activiteiten[[#Headers],[Grondkosten]],""))</f>
        <v/>
      </c>
      <c r="AV233" t="str">
        <f>IF(ISNUMBER(FIND("overige",Methode_Keuze)),"",IF(Tb_Activiteiten[[#This Row],[Bijdrage in natura (overige)]]=1,Tb_Activiteiten[[#Headers],[Bijdrage in natura (overige)]],""))</f>
        <v/>
      </c>
      <c r="AW233" t="str">
        <f>IF(ISNUMBER(FIND("overige",Methode_Keuze)),"",IF(Tb_Activiteiten[[#This Row],[Bijdrage in natura (vrijwilligers)]]=1,Tb_Activiteiten[[#Headers],[Bijdrage in natura (vrijwilligers)]],""))</f>
        <v/>
      </c>
      <c r="AX233" t="str">
        <f>IF(ISNUMBER(FIND("overige",Methode_Keuze)),"",IF(Tb_Activiteiten[[#This Row],[Afschrijvingskosten]]=1,Tb_Activiteiten[[#Headers],[Afschrijvingskosten]],""))</f>
        <v/>
      </c>
      <c r="AY233" t="str">
        <f>IF(ISNUMBER(FIND("overige",Methode_Keuze)),"",IF(Tb_Activiteiten[[#This Row],[Vergoeding]]=1,Tb_Activiteiten[[#Headers],[Vergoeding]],""))</f>
        <v/>
      </c>
      <c r="AZ233" t="str">
        <f>IF(ISNUMBER(FIND("arbeid",Methode_Keuze)),"",IF(Tb_Activiteiten[[#This Row],[Arbeidskosten - vast tarief (excl eigen arbeid)]]=1,Tb_Activiteiten[[#Headers],[Arbeidskosten - vast tarief (excl eigen arbeid)]],""))</f>
        <v/>
      </c>
      <c r="BA233" t="str">
        <f>IF(ISNUMBER(FIND("overige",Methode_Keuze)),"",IF(Tb_Activiteiten[[#This Row],[Overige kosten]]=1,Tb_Activiteiten[[#Headers],[Overige kosten]],""))</f>
        <v/>
      </c>
    </row>
    <row r="234" spans="1:53" x14ac:dyDescent="0.25">
      <c r="A234" s="231"/>
      <c r="F234" s="64"/>
      <c r="G234" s="64"/>
      <c r="H234" s="275"/>
      <c r="I234" s="275"/>
      <c r="J234" s="275"/>
      <c r="K234" s="275"/>
      <c r="O234" s="56"/>
      <c r="Q234" t="str">
        <f>IFERROR(IF(VLOOKUP(Tb_Activiteiten[[#This Row],[Openstelling]],Tb_Openstelling[],2,0)=1,1,""),"")</f>
        <v/>
      </c>
      <c r="AK234" t="str">
        <f>IF(ISNUMBER(FIND("arbeid",Methode_Keuze)),"",IF(ISNUMBER(FIND("arbeid",Methode_Keuze)),"",IF(Tb_Activiteiten[[#This Row],[Loonkosten]]=1,Tb_Activiteiten[[#Headers],[Loonkosten]],"")))</f>
        <v/>
      </c>
      <c r="AL234" t="str">
        <f>IF(ISNUMBER(FIND("arbeid",Methode_Keuze)),"",IF(ISNUMBER(FIND("arbeid",Methode_Keuze)),"",IF(Tb_Activiteiten[[#This Row],[Eigen arbeid]]=1,Tb_Activiteiten[[#Headers],[Eigen arbeid]],"")))</f>
        <v/>
      </c>
      <c r="AM234" t="str">
        <f>IF(ISNUMBER(FIND("arbeid",Methode_Keuze)),"",IF(ISNUMBER(FIND("arbeid",Methode_Keuze)),"",IF(Tb_Activiteiten[[#This Row],[Projectmedewerker]]=1,Tb_Activiteiten[[#Headers],[Projectmedewerker]],"")))</f>
        <v/>
      </c>
      <c r="AN234" t="str">
        <f>IF(ISNUMBER(FIND("arbeid",Methode_Keuze)),"",IF(ISNUMBER(FIND("arbeid",Methode_Keuze)),"",IF(Tb_Activiteiten[[#This Row],[Landbouwer]]=1,Tb_Activiteiten[[#Headers],[Landbouwer]],"")))</f>
        <v/>
      </c>
      <c r="AO234" t="str">
        <f>IF(ISNUMBER(FIND("arbeid",Methode_Keuze)),"",IF(ISNUMBER(FIND("arbeid",Methode_Keuze)),"",IF(Tb_Activiteiten[[#This Row],[Adviseur]]=1,Tb_Activiteiten[[#Headers],[Adviseur]],"")))</f>
        <v/>
      </c>
      <c r="AP234" t="str">
        <f>IF(ISNUMBER(FIND("arbeid",Methode_Keuze)),"",IF(ISNUMBER(FIND("arbeid",Methode_Keuze)),"",IF(Tb_Activiteiten[[#This Row],[Projectleider/Expert]]=1,Tb_Activiteiten[[#Headers],[Projectleider/Expert]],"")))</f>
        <v/>
      </c>
      <c r="AQ234" t="str">
        <f>IF(ISNUMBER(FIND("arbeid",Methode_Keuze)),"",IF(ISNUMBER(FIND("arbeid",Methode_Keuze)),"",IF(Tb_Activiteiten[[#This Row],[Arbeidskosten]]=1,Tb_Activiteiten[[#Headers],[Arbeidskosten]],"")))</f>
        <v/>
      </c>
      <c r="AR234" t="str">
        <f>IF(ISNUMBER(FIND("arbeid",Methode_Keuze)),"",IF(ISNUMBER(FIND("arbeid",Methode_Keuze)),"",IF(Tb_Activiteiten[[#This Row],[Arbeidskosten op basis van IKS]]=1,Tb_Activiteiten[[#Headers],[Arbeidskosten op basis van IKS]],"")))</f>
        <v/>
      </c>
      <c r="AS234" t="str">
        <f>IF(ISNUMBER(FIND("overige",Methode_Keuze)),"",IF(Tb_Activiteiten[[#This Row],[Kosten derden exclusief btw]]=1,Tb_Activiteiten[[#Headers],[Kosten derden exclusief btw]],""))</f>
        <v/>
      </c>
      <c r="AT234" t="str">
        <f>IF(ISNUMBER(FIND("overige",Methode_Keuze)),"",IF(Tb_Activiteiten[[#This Row],[Niet verrekenbare btw]]=1,Tb_Activiteiten[[#Headers],[Niet verrekenbare btw]],""))</f>
        <v/>
      </c>
      <c r="AU234" t="str">
        <f>IF(ISNUMBER(FIND("overige",Methode_Keuze)),"",IF(Tb_Activiteiten[[#This Row],[Grondkosten]]=1,Tb_Activiteiten[[#Headers],[Grondkosten]],""))</f>
        <v/>
      </c>
      <c r="AV234" t="str">
        <f>IF(ISNUMBER(FIND("overige",Methode_Keuze)),"",IF(Tb_Activiteiten[[#This Row],[Bijdrage in natura (overige)]]=1,Tb_Activiteiten[[#Headers],[Bijdrage in natura (overige)]],""))</f>
        <v/>
      </c>
      <c r="AW234" t="str">
        <f>IF(ISNUMBER(FIND("overige",Methode_Keuze)),"",IF(Tb_Activiteiten[[#This Row],[Bijdrage in natura (vrijwilligers)]]=1,Tb_Activiteiten[[#Headers],[Bijdrage in natura (vrijwilligers)]],""))</f>
        <v/>
      </c>
      <c r="AX234" t="str">
        <f>IF(ISNUMBER(FIND("overige",Methode_Keuze)),"",IF(Tb_Activiteiten[[#This Row],[Afschrijvingskosten]]=1,Tb_Activiteiten[[#Headers],[Afschrijvingskosten]],""))</f>
        <v/>
      </c>
      <c r="AY234" t="str">
        <f>IF(ISNUMBER(FIND("overige",Methode_Keuze)),"",IF(Tb_Activiteiten[[#This Row],[Vergoeding]]=1,Tb_Activiteiten[[#Headers],[Vergoeding]],""))</f>
        <v/>
      </c>
      <c r="AZ234" t="str">
        <f>IF(ISNUMBER(FIND("arbeid",Methode_Keuze)),"",IF(Tb_Activiteiten[[#This Row],[Arbeidskosten - vast tarief (excl eigen arbeid)]]=1,Tb_Activiteiten[[#Headers],[Arbeidskosten - vast tarief (excl eigen arbeid)]],""))</f>
        <v/>
      </c>
      <c r="BA234" t="str">
        <f>IF(ISNUMBER(FIND("overige",Methode_Keuze)),"",IF(Tb_Activiteiten[[#This Row],[Overige kosten]]=1,Tb_Activiteiten[[#Headers],[Overige kosten]],""))</f>
        <v/>
      </c>
    </row>
    <row r="235" spans="1:53" x14ac:dyDescent="0.25">
      <c r="A235" s="231"/>
      <c r="F235" s="64"/>
      <c r="G235" s="64"/>
      <c r="H235" s="275"/>
      <c r="I235" s="275"/>
      <c r="J235" s="275"/>
      <c r="K235" s="275"/>
      <c r="O235" s="56"/>
      <c r="Q235" t="str">
        <f>IFERROR(IF(VLOOKUP(Tb_Activiteiten[[#This Row],[Openstelling]],Tb_Openstelling[],2,0)=1,1,""),"")</f>
        <v/>
      </c>
      <c r="AK235" t="str">
        <f>IF(ISNUMBER(FIND("arbeid",Methode_Keuze)),"",IF(ISNUMBER(FIND("arbeid",Methode_Keuze)),"",IF(Tb_Activiteiten[[#This Row],[Loonkosten]]=1,Tb_Activiteiten[[#Headers],[Loonkosten]],"")))</f>
        <v/>
      </c>
      <c r="AL235" t="str">
        <f>IF(ISNUMBER(FIND("arbeid",Methode_Keuze)),"",IF(ISNUMBER(FIND("arbeid",Methode_Keuze)),"",IF(Tb_Activiteiten[[#This Row],[Eigen arbeid]]=1,Tb_Activiteiten[[#Headers],[Eigen arbeid]],"")))</f>
        <v/>
      </c>
      <c r="AM235" t="str">
        <f>IF(ISNUMBER(FIND("arbeid",Methode_Keuze)),"",IF(ISNUMBER(FIND("arbeid",Methode_Keuze)),"",IF(Tb_Activiteiten[[#This Row],[Projectmedewerker]]=1,Tb_Activiteiten[[#Headers],[Projectmedewerker]],"")))</f>
        <v/>
      </c>
      <c r="AN235" t="str">
        <f>IF(ISNUMBER(FIND("arbeid",Methode_Keuze)),"",IF(ISNUMBER(FIND("arbeid",Methode_Keuze)),"",IF(Tb_Activiteiten[[#This Row],[Landbouwer]]=1,Tb_Activiteiten[[#Headers],[Landbouwer]],"")))</f>
        <v/>
      </c>
      <c r="AO235" t="str">
        <f>IF(ISNUMBER(FIND("arbeid",Methode_Keuze)),"",IF(ISNUMBER(FIND("arbeid",Methode_Keuze)),"",IF(Tb_Activiteiten[[#This Row],[Adviseur]]=1,Tb_Activiteiten[[#Headers],[Adviseur]],"")))</f>
        <v/>
      </c>
      <c r="AP235" t="str">
        <f>IF(ISNUMBER(FIND("arbeid",Methode_Keuze)),"",IF(ISNUMBER(FIND("arbeid",Methode_Keuze)),"",IF(Tb_Activiteiten[[#This Row],[Projectleider/Expert]]=1,Tb_Activiteiten[[#Headers],[Projectleider/Expert]],"")))</f>
        <v/>
      </c>
      <c r="AQ235" t="str">
        <f>IF(ISNUMBER(FIND("arbeid",Methode_Keuze)),"",IF(ISNUMBER(FIND("arbeid",Methode_Keuze)),"",IF(Tb_Activiteiten[[#This Row],[Arbeidskosten]]=1,Tb_Activiteiten[[#Headers],[Arbeidskosten]],"")))</f>
        <v/>
      </c>
      <c r="AR235" t="str">
        <f>IF(ISNUMBER(FIND("arbeid",Methode_Keuze)),"",IF(ISNUMBER(FIND("arbeid",Methode_Keuze)),"",IF(Tb_Activiteiten[[#This Row],[Arbeidskosten op basis van IKS]]=1,Tb_Activiteiten[[#Headers],[Arbeidskosten op basis van IKS]],"")))</f>
        <v/>
      </c>
      <c r="AS235" t="str">
        <f>IF(ISNUMBER(FIND("overige",Methode_Keuze)),"",IF(Tb_Activiteiten[[#This Row],[Kosten derden exclusief btw]]=1,Tb_Activiteiten[[#Headers],[Kosten derden exclusief btw]],""))</f>
        <v/>
      </c>
      <c r="AT235" t="str">
        <f>IF(ISNUMBER(FIND("overige",Methode_Keuze)),"",IF(Tb_Activiteiten[[#This Row],[Niet verrekenbare btw]]=1,Tb_Activiteiten[[#Headers],[Niet verrekenbare btw]],""))</f>
        <v/>
      </c>
      <c r="AU235" t="str">
        <f>IF(ISNUMBER(FIND("overige",Methode_Keuze)),"",IF(Tb_Activiteiten[[#This Row],[Grondkosten]]=1,Tb_Activiteiten[[#Headers],[Grondkosten]],""))</f>
        <v/>
      </c>
      <c r="AV235" t="str">
        <f>IF(ISNUMBER(FIND("overige",Methode_Keuze)),"",IF(Tb_Activiteiten[[#This Row],[Bijdrage in natura (overige)]]=1,Tb_Activiteiten[[#Headers],[Bijdrage in natura (overige)]],""))</f>
        <v/>
      </c>
      <c r="AW235" t="str">
        <f>IF(ISNUMBER(FIND("overige",Methode_Keuze)),"",IF(Tb_Activiteiten[[#This Row],[Bijdrage in natura (vrijwilligers)]]=1,Tb_Activiteiten[[#Headers],[Bijdrage in natura (vrijwilligers)]],""))</f>
        <v/>
      </c>
      <c r="AX235" t="str">
        <f>IF(ISNUMBER(FIND("overige",Methode_Keuze)),"",IF(Tb_Activiteiten[[#This Row],[Afschrijvingskosten]]=1,Tb_Activiteiten[[#Headers],[Afschrijvingskosten]],""))</f>
        <v/>
      </c>
      <c r="AY235" t="str">
        <f>IF(ISNUMBER(FIND("overige",Methode_Keuze)),"",IF(Tb_Activiteiten[[#This Row],[Vergoeding]]=1,Tb_Activiteiten[[#Headers],[Vergoeding]],""))</f>
        <v/>
      </c>
      <c r="AZ235" t="str">
        <f>IF(ISNUMBER(FIND("arbeid",Methode_Keuze)),"",IF(Tb_Activiteiten[[#This Row],[Arbeidskosten - vast tarief (excl eigen arbeid)]]=1,Tb_Activiteiten[[#Headers],[Arbeidskosten - vast tarief (excl eigen arbeid)]],""))</f>
        <v/>
      </c>
      <c r="BA235" t="str">
        <f>IF(ISNUMBER(FIND("overige",Methode_Keuze)),"",IF(Tb_Activiteiten[[#This Row],[Overige kosten]]=1,Tb_Activiteiten[[#Headers],[Overige kosten]],""))</f>
        <v/>
      </c>
    </row>
    <row r="236" spans="1:53" x14ac:dyDescent="0.25">
      <c r="A236" s="231"/>
      <c r="F236" s="64"/>
      <c r="G236" s="64"/>
      <c r="H236" s="275"/>
      <c r="I236" s="275"/>
      <c r="J236" s="275"/>
      <c r="K236" s="275"/>
      <c r="O236" s="56"/>
      <c r="Q236" t="str">
        <f>IFERROR(IF(VLOOKUP(Tb_Activiteiten[[#This Row],[Openstelling]],Tb_Openstelling[],2,0)=1,1,""),"")</f>
        <v/>
      </c>
      <c r="AK236" t="str">
        <f>IF(ISNUMBER(FIND("arbeid",Methode_Keuze)),"",IF(ISNUMBER(FIND("arbeid",Methode_Keuze)),"",IF(Tb_Activiteiten[[#This Row],[Loonkosten]]=1,Tb_Activiteiten[[#Headers],[Loonkosten]],"")))</f>
        <v/>
      </c>
      <c r="AL236" t="str">
        <f>IF(ISNUMBER(FIND("arbeid",Methode_Keuze)),"",IF(ISNUMBER(FIND("arbeid",Methode_Keuze)),"",IF(Tb_Activiteiten[[#This Row],[Eigen arbeid]]=1,Tb_Activiteiten[[#Headers],[Eigen arbeid]],"")))</f>
        <v/>
      </c>
      <c r="AM236" t="str">
        <f>IF(ISNUMBER(FIND("arbeid",Methode_Keuze)),"",IF(ISNUMBER(FIND("arbeid",Methode_Keuze)),"",IF(Tb_Activiteiten[[#This Row],[Projectmedewerker]]=1,Tb_Activiteiten[[#Headers],[Projectmedewerker]],"")))</f>
        <v/>
      </c>
      <c r="AN236" t="str">
        <f>IF(ISNUMBER(FIND("arbeid",Methode_Keuze)),"",IF(ISNUMBER(FIND("arbeid",Methode_Keuze)),"",IF(Tb_Activiteiten[[#This Row],[Landbouwer]]=1,Tb_Activiteiten[[#Headers],[Landbouwer]],"")))</f>
        <v/>
      </c>
      <c r="AO236" t="str">
        <f>IF(ISNUMBER(FIND("arbeid",Methode_Keuze)),"",IF(ISNUMBER(FIND("arbeid",Methode_Keuze)),"",IF(Tb_Activiteiten[[#This Row],[Adviseur]]=1,Tb_Activiteiten[[#Headers],[Adviseur]],"")))</f>
        <v/>
      </c>
      <c r="AP236" t="str">
        <f>IF(ISNUMBER(FIND("arbeid",Methode_Keuze)),"",IF(ISNUMBER(FIND("arbeid",Methode_Keuze)),"",IF(Tb_Activiteiten[[#This Row],[Projectleider/Expert]]=1,Tb_Activiteiten[[#Headers],[Projectleider/Expert]],"")))</f>
        <v/>
      </c>
      <c r="AQ236" t="str">
        <f>IF(ISNUMBER(FIND("arbeid",Methode_Keuze)),"",IF(ISNUMBER(FIND("arbeid",Methode_Keuze)),"",IF(Tb_Activiteiten[[#This Row],[Arbeidskosten]]=1,Tb_Activiteiten[[#Headers],[Arbeidskosten]],"")))</f>
        <v/>
      </c>
      <c r="AR236" t="str">
        <f>IF(ISNUMBER(FIND("arbeid",Methode_Keuze)),"",IF(ISNUMBER(FIND("arbeid",Methode_Keuze)),"",IF(Tb_Activiteiten[[#This Row],[Arbeidskosten op basis van IKS]]=1,Tb_Activiteiten[[#Headers],[Arbeidskosten op basis van IKS]],"")))</f>
        <v/>
      </c>
      <c r="AS236" t="str">
        <f>IF(ISNUMBER(FIND("overige",Methode_Keuze)),"",IF(Tb_Activiteiten[[#This Row],[Kosten derden exclusief btw]]=1,Tb_Activiteiten[[#Headers],[Kosten derden exclusief btw]],""))</f>
        <v/>
      </c>
      <c r="AT236" t="str">
        <f>IF(ISNUMBER(FIND("overige",Methode_Keuze)),"",IF(Tb_Activiteiten[[#This Row],[Niet verrekenbare btw]]=1,Tb_Activiteiten[[#Headers],[Niet verrekenbare btw]],""))</f>
        <v/>
      </c>
      <c r="AU236" t="str">
        <f>IF(ISNUMBER(FIND("overige",Methode_Keuze)),"",IF(Tb_Activiteiten[[#This Row],[Grondkosten]]=1,Tb_Activiteiten[[#Headers],[Grondkosten]],""))</f>
        <v/>
      </c>
      <c r="AV236" t="str">
        <f>IF(ISNUMBER(FIND("overige",Methode_Keuze)),"",IF(Tb_Activiteiten[[#This Row],[Bijdrage in natura (overige)]]=1,Tb_Activiteiten[[#Headers],[Bijdrage in natura (overige)]],""))</f>
        <v/>
      </c>
      <c r="AW236" t="str">
        <f>IF(ISNUMBER(FIND("overige",Methode_Keuze)),"",IF(Tb_Activiteiten[[#This Row],[Bijdrage in natura (vrijwilligers)]]=1,Tb_Activiteiten[[#Headers],[Bijdrage in natura (vrijwilligers)]],""))</f>
        <v/>
      </c>
      <c r="AX236" t="str">
        <f>IF(ISNUMBER(FIND("overige",Methode_Keuze)),"",IF(Tb_Activiteiten[[#This Row],[Afschrijvingskosten]]=1,Tb_Activiteiten[[#Headers],[Afschrijvingskosten]],""))</f>
        <v/>
      </c>
      <c r="AY236" t="str">
        <f>IF(ISNUMBER(FIND("overige",Methode_Keuze)),"",IF(Tb_Activiteiten[[#This Row],[Vergoeding]]=1,Tb_Activiteiten[[#Headers],[Vergoeding]],""))</f>
        <v/>
      </c>
      <c r="AZ236" t="str">
        <f>IF(ISNUMBER(FIND("arbeid",Methode_Keuze)),"",IF(Tb_Activiteiten[[#This Row],[Arbeidskosten - vast tarief (excl eigen arbeid)]]=1,Tb_Activiteiten[[#Headers],[Arbeidskosten - vast tarief (excl eigen arbeid)]],""))</f>
        <v/>
      </c>
      <c r="BA236" t="str">
        <f>IF(ISNUMBER(FIND("overige",Methode_Keuze)),"",IF(Tb_Activiteiten[[#This Row],[Overige kosten]]=1,Tb_Activiteiten[[#Headers],[Overige kosten]],""))</f>
        <v/>
      </c>
    </row>
    <row r="237" spans="1:53" x14ac:dyDescent="0.25">
      <c r="A237" s="231"/>
      <c r="F237" s="64"/>
      <c r="G237" s="64"/>
      <c r="H237" s="275"/>
      <c r="I237" s="275"/>
      <c r="J237" s="275"/>
      <c r="K237" s="275"/>
      <c r="O237" s="56"/>
      <c r="Q237" t="str">
        <f>IFERROR(IF(VLOOKUP(Tb_Activiteiten[[#This Row],[Openstelling]],Tb_Openstelling[],2,0)=1,1,""),"")</f>
        <v/>
      </c>
      <c r="AK237" t="str">
        <f>IF(ISNUMBER(FIND("arbeid",Methode_Keuze)),"",IF(ISNUMBER(FIND("arbeid",Methode_Keuze)),"",IF(Tb_Activiteiten[[#This Row],[Loonkosten]]=1,Tb_Activiteiten[[#Headers],[Loonkosten]],"")))</f>
        <v/>
      </c>
      <c r="AL237" t="str">
        <f>IF(ISNUMBER(FIND("arbeid",Methode_Keuze)),"",IF(ISNUMBER(FIND("arbeid",Methode_Keuze)),"",IF(Tb_Activiteiten[[#This Row],[Eigen arbeid]]=1,Tb_Activiteiten[[#Headers],[Eigen arbeid]],"")))</f>
        <v/>
      </c>
      <c r="AM237" t="str">
        <f>IF(ISNUMBER(FIND("arbeid",Methode_Keuze)),"",IF(ISNUMBER(FIND("arbeid",Methode_Keuze)),"",IF(Tb_Activiteiten[[#This Row],[Projectmedewerker]]=1,Tb_Activiteiten[[#Headers],[Projectmedewerker]],"")))</f>
        <v/>
      </c>
      <c r="AN237" t="str">
        <f>IF(ISNUMBER(FIND("arbeid",Methode_Keuze)),"",IF(ISNUMBER(FIND("arbeid",Methode_Keuze)),"",IF(Tb_Activiteiten[[#This Row],[Landbouwer]]=1,Tb_Activiteiten[[#Headers],[Landbouwer]],"")))</f>
        <v/>
      </c>
      <c r="AO237" t="str">
        <f>IF(ISNUMBER(FIND("arbeid",Methode_Keuze)),"",IF(ISNUMBER(FIND("arbeid",Methode_Keuze)),"",IF(Tb_Activiteiten[[#This Row],[Adviseur]]=1,Tb_Activiteiten[[#Headers],[Adviseur]],"")))</f>
        <v/>
      </c>
      <c r="AP237" t="str">
        <f>IF(ISNUMBER(FIND("arbeid",Methode_Keuze)),"",IF(ISNUMBER(FIND("arbeid",Methode_Keuze)),"",IF(Tb_Activiteiten[[#This Row],[Projectleider/Expert]]=1,Tb_Activiteiten[[#Headers],[Projectleider/Expert]],"")))</f>
        <v/>
      </c>
      <c r="AQ237" t="str">
        <f>IF(ISNUMBER(FIND("arbeid",Methode_Keuze)),"",IF(ISNUMBER(FIND("arbeid",Methode_Keuze)),"",IF(Tb_Activiteiten[[#This Row],[Arbeidskosten]]=1,Tb_Activiteiten[[#Headers],[Arbeidskosten]],"")))</f>
        <v/>
      </c>
      <c r="AR237" t="str">
        <f>IF(ISNUMBER(FIND("arbeid",Methode_Keuze)),"",IF(ISNUMBER(FIND("arbeid",Methode_Keuze)),"",IF(Tb_Activiteiten[[#This Row],[Arbeidskosten op basis van IKS]]=1,Tb_Activiteiten[[#Headers],[Arbeidskosten op basis van IKS]],"")))</f>
        <v/>
      </c>
      <c r="AS237" t="str">
        <f>IF(ISNUMBER(FIND("overige",Methode_Keuze)),"",IF(Tb_Activiteiten[[#This Row],[Kosten derden exclusief btw]]=1,Tb_Activiteiten[[#Headers],[Kosten derden exclusief btw]],""))</f>
        <v/>
      </c>
      <c r="AT237" t="str">
        <f>IF(ISNUMBER(FIND("overige",Methode_Keuze)),"",IF(Tb_Activiteiten[[#This Row],[Niet verrekenbare btw]]=1,Tb_Activiteiten[[#Headers],[Niet verrekenbare btw]],""))</f>
        <v/>
      </c>
      <c r="AU237" t="str">
        <f>IF(ISNUMBER(FIND("overige",Methode_Keuze)),"",IF(Tb_Activiteiten[[#This Row],[Grondkosten]]=1,Tb_Activiteiten[[#Headers],[Grondkosten]],""))</f>
        <v/>
      </c>
      <c r="AV237" t="str">
        <f>IF(ISNUMBER(FIND("overige",Methode_Keuze)),"",IF(Tb_Activiteiten[[#This Row],[Bijdrage in natura (overige)]]=1,Tb_Activiteiten[[#Headers],[Bijdrage in natura (overige)]],""))</f>
        <v/>
      </c>
      <c r="AW237" t="str">
        <f>IF(ISNUMBER(FIND("overige",Methode_Keuze)),"",IF(Tb_Activiteiten[[#This Row],[Bijdrage in natura (vrijwilligers)]]=1,Tb_Activiteiten[[#Headers],[Bijdrage in natura (vrijwilligers)]],""))</f>
        <v/>
      </c>
      <c r="AX237" t="str">
        <f>IF(ISNUMBER(FIND("overige",Methode_Keuze)),"",IF(Tb_Activiteiten[[#This Row],[Afschrijvingskosten]]=1,Tb_Activiteiten[[#Headers],[Afschrijvingskosten]],""))</f>
        <v/>
      </c>
      <c r="AY237" t="str">
        <f>IF(ISNUMBER(FIND("overige",Methode_Keuze)),"",IF(Tb_Activiteiten[[#This Row],[Vergoeding]]=1,Tb_Activiteiten[[#Headers],[Vergoeding]],""))</f>
        <v/>
      </c>
      <c r="AZ237" t="str">
        <f>IF(ISNUMBER(FIND("arbeid",Methode_Keuze)),"",IF(Tb_Activiteiten[[#This Row],[Arbeidskosten - vast tarief (excl eigen arbeid)]]=1,Tb_Activiteiten[[#Headers],[Arbeidskosten - vast tarief (excl eigen arbeid)]],""))</f>
        <v/>
      </c>
      <c r="BA237" t="str">
        <f>IF(ISNUMBER(FIND("overige",Methode_Keuze)),"",IF(Tb_Activiteiten[[#This Row],[Overige kosten]]=1,Tb_Activiteiten[[#Headers],[Overige kosten]],""))</f>
        <v/>
      </c>
    </row>
    <row r="238" spans="1:53" x14ac:dyDescent="0.25">
      <c r="A238" s="231"/>
      <c r="F238" s="64"/>
      <c r="G238" s="64"/>
      <c r="H238" s="275"/>
      <c r="I238" s="275"/>
      <c r="J238" s="275"/>
      <c r="K238" s="275"/>
      <c r="O238" s="56"/>
      <c r="Q238" t="str">
        <f>IFERROR(IF(VLOOKUP(Tb_Activiteiten[[#This Row],[Openstelling]],Tb_Openstelling[],2,0)=1,1,""),"")</f>
        <v/>
      </c>
      <c r="AK238" t="str">
        <f>IF(ISNUMBER(FIND("arbeid",Methode_Keuze)),"",IF(ISNUMBER(FIND("arbeid",Methode_Keuze)),"",IF(Tb_Activiteiten[[#This Row],[Loonkosten]]=1,Tb_Activiteiten[[#Headers],[Loonkosten]],"")))</f>
        <v/>
      </c>
      <c r="AL238" t="str">
        <f>IF(ISNUMBER(FIND("arbeid",Methode_Keuze)),"",IF(ISNUMBER(FIND("arbeid",Methode_Keuze)),"",IF(Tb_Activiteiten[[#This Row],[Eigen arbeid]]=1,Tb_Activiteiten[[#Headers],[Eigen arbeid]],"")))</f>
        <v/>
      </c>
      <c r="AM238" t="str">
        <f>IF(ISNUMBER(FIND("arbeid",Methode_Keuze)),"",IF(ISNUMBER(FIND("arbeid",Methode_Keuze)),"",IF(Tb_Activiteiten[[#This Row],[Projectmedewerker]]=1,Tb_Activiteiten[[#Headers],[Projectmedewerker]],"")))</f>
        <v/>
      </c>
      <c r="AN238" t="str">
        <f>IF(ISNUMBER(FIND("arbeid",Methode_Keuze)),"",IF(ISNUMBER(FIND("arbeid",Methode_Keuze)),"",IF(Tb_Activiteiten[[#This Row],[Landbouwer]]=1,Tb_Activiteiten[[#Headers],[Landbouwer]],"")))</f>
        <v/>
      </c>
      <c r="AO238" t="str">
        <f>IF(ISNUMBER(FIND("arbeid",Methode_Keuze)),"",IF(ISNUMBER(FIND("arbeid",Methode_Keuze)),"",IF(Tb_Activiteiten[[#This Row],[Adviseur]]=1,Tb_Activiteiten[[#Headers],[Adviseur]],"")))</f>
        <v/>
      </c>
      <c r="AP238" t="str">
        <f>IF(ISNUMBER(FIND("arbeid",Methode_Keuze)),"",IF(ISNUMBER(FIND("arbeid",Methode_Keuze)),"",IF(Tb_Activiteiten[[#This Row],[Projectleider/Expert]]=1,Tb_Activiteiten[[#Headers],[Projectleider/Expert]],"")))</f>
        <v/>
      </c>
      <c r="AQ238" t="str">
        <f>IF(ISNUMBER(FIND("arbeid",Methode_Keuze)),"",IF(ISNUMBER(FIND("arbeid",Methode_Keuze)),"",IF(Tb_Activiteiten[[#This Row],[Arbeidskosten]]=1,Tb_Activiteiten[[#Headers],[Arbeidskosten]],"")))</f>
        <v/>
      </c>
      <c r="AR238" t="str">
        <f>IF(ISNUMBER(FIND("arbeid",Methode_Keuze)),"",IF(ISNUMBER(FIND("arbeid",Methode_Keuze)),"",IF(Tb_Activiteiten[[#This Row],[Arbeidskosten op basis van IKS]]=1,Tb_Activiteiten[[#Headers],[Arbeidskosten op basis van IKS]],"")))</f>
        <v/>
      </c>
      <c r="AS238" t="str">
        <f>IF(ISNUMBER(FIND("overige",Methode_Keuze)),"",IF(Tb_Activiteiten[[#This Row],[Kosten derden exclusief btw]]=1,Tb_Activiteiten[[#Headers],[Kosten derden exclusief btw]],""))</f>
        <v/>
      </c>
      <c r="AT238" t="str">
        <f>IF(ISNUMBER(FIND("overige",Methode_Keuze)),"",IF(Tb_Activiteiten[[#This Row],[Niet verrekenbare btw]]=1,Tb_Activiteiten[[#Headers],[Niet verrekenbare btw]],""))</f>
        <v/>
      </c>
      <c r="AU238" t="str">
        <f>IF(ISNUMBER(FIND("overige",Methode_Keuze)),"",IF(Tb_Activiteiten[[#This Row],[Grondkosten]]=1,Tb_Activiteiten[[#Headers],[Grondkosten]],""))</f>
        <v/>
      </c>
      <c r="AV238" t="str">
        <f>IF(ISNUMBER(FIND("overige",Methode_Keuze)),"",IF(Tb_Activiteiten[[#This Row],[Bijdrage in natura (overige)]]=1,Tb_Activiteiten[[#Headers],[Bijdrage in natura (overige)]],""))</f>
        <v/>
      </c>
      <c r="AW238" t="str">
        <f>IF(ISNUMBER(FIND("overige",Methode_Keuze)),"",IF(Tb_Activiteiten[[#This Row],[Bijdrage in natura (vrijwilligers)]]=1,Tb_Activiteiten[[#Headers],[Bijdrage in natura (vrijwilligers)]],""))</f>
        <v/>
      </c>
      <c r="AX238" t="str">
        <f>IF(ISNUMBER(FIND("overige",Methode_Keuze)),"",IF(Tb_Activiteiten[[#This Row],[Afschrijvingskosten]]=1,Tb_Activiteiten[[#Headers],[Afschrijvingskosten]],""))</f>
        <v/>
      </c>
      <c r="AY238" t="str">
        <f>IF(ISNUMBER(FIND("overige",Methode_Keuze)),"",IF(Tb_Activiteiten[[#This Row],[Vergoeding]]=1,Tb_Activiteiten[[#Headers],[Vergoeding]],""))</f>
        <v/>
      </c>
      <c r="AZ238" t="str">
        <f>IF(ISNUMBER(FIND("arbeid",Methode_Keuze)),"",IF(Tb_Activiteiten[[#This Row],[Arbeidskosten - vast tarief (excl eigen arbeid)]]=1,Tb_Activiteiten[[#Headers],[Arbeidskosten - vast tarief (excl eigen arbeid)]],""))</f>
        <v/>
      </c>
      <c r="BA238" t="str">
        <f>IF(ISNUMBER(FIND("overige",Methode_Keuze)),"",IF(Tb_Activiteiten[[#This Row],[Overige kosten]]=1,Tb_Activiteiten[[#Headers],[Overige kosten]],""))</f>
        <v/>
      </c>
    </row>
    <row r="239" spans="1:53" x14ac:dyDescent="0.25">
      <c r="A239" s="231"/>
      <c r="F239" s="64"/>
      <c r="G239" s="64"/>
      <c r="H239" s="275"/>
      <c r="I239" s="275"/>
      <c r="J239" s="275"/>
      <c r="K239" s="275"/>
      <c r="O239" s="56"/>
      <c r="Q239" t="str">
        <f>IFERROR(IF(VLOOKUP(Tb_Activiteiten[[#This Row],[Openstelling]],Tb_Openstelling[],2,0)=1,1,""),"")</f>
        <v/>
      </c>
      <c r="AK239" t="str">
        <f>IF(ISNUMBER(FIND("arbeid",Methode_Keuze)),"",IF(ISNUMBER(FIND("arbeid",Methode_Keuze)),"",IF(Tb_Activiteiten[[#This Row],[Loonkosten]]=1,Tb_Activiteiten[[#Headers],[Loonkosten]],"")))</f>
        <v/>
      </c>
      <c r="AL239" t="str">
        <f>IF(ISNUMBER(FIND("arbeid",Methode_Keuze)),"",IF(ISNUMBER(FIND("arbeid",Methode_Keuze)),"",IF(Tb_Activiteiten[[#This Row],[Eigen arbeid]]=1,Tb_Activiteiten[[#Headers],[Eigen arbeid]],"")))</f>
        <v/>
      </c>
      <c r="AM239" t="str">
        <f>IF(ISNUMBER(FIND("arbeid",Methode_Keuze)),"",IF(ISNUMBER(FIND("arbeid",Methode_Keuze)),"",IF(Tb_Activiteiten[[#This Row],[Projectmedewerker]]=1,Tb_Activiteiten[[#Headers],[Projectmedewerker]],"")))</f>
        <v/>
      </c>
      <c r="AN239" t="str">
        <f>IF(ISNUMBER(FIND("arbeid",Methode_Keuze)),"",IF(ISNUMBER(FIND("arbeid",Methode_Keuze)),"",IF(Tb_Activiteiten[[#This Row],[Landbouwer]]=1,Tb_Activiteiten[[#Headers],[Landbouwer]],"")))</f>
        <v/>
      </c>
      <c r="AO239" t="str">
        <f>IF(ISNUMBER(FIND("arbeid",Methode_Keuze)),"",IF(ISNUMBER(FIND("arbeid",Methode_Keuze)),"",IF(Tb_Activiteiten[[#This Row],[Adviseur]]=1,Tb_Activiteiten[[#Headers],[Adviseur]],"")))</f>
        <v/>
      </c>
      <c r="AP239" t="str">
        <f>IF(ISNUMBER(FIND("arbeid",Methode_Keuze)),"",IF(ISNUMBER(FIND("arbeid",Methode_Keuze)),"",IF(Tb_Activiteiten[[#This Row],[Projectleider/Expert]]=1,Tb_Activiteiten[[#Headers],[Projectleider/Expert]],"")))</f>
        <v/>
      </c>
      <c r="AQ239" t="str">
        <f>IF(ISNUMBER(FIND("arbeid",Methode_Keuze)),"",IF(ISNUMBER(FIND("arbeid",Methode_Keuze)),"",IF(Tb_Activiteiten[[#This Row],[Arbeidskosten]]=1,Tb_Activiteiten[[#Headers],[Arbeidskosten]],"")))</f>
        <v/>
      </c>
      <c r="AR239" t="str">
        <f>IF(ISNUMBER(FIND("arbeid",Methode_Keuze)),"",IF(ISNUMBER(FIND("arbeid",Methode_Keuze)),"",IF(Tb_Activiteiten[[#This Row],[Arbeidskosten op basis van IKS]]=1,Tb_Activiteiten[[#Headers],[Arbeidskosten op basis van IKS]],"")))</f>
        <v/>
      </c>
      <c r="AS239" t="str">
        <f>IF(ISNUMBER(FIND("overige",Methode_Keuze)),"",IF(Tb_Activiteiten[[#This Row],[Kosten derden exclusief btw]]=1,Tb_Activiteiten[[#Headers],[Kosten derden exclusief btw]],""))</f>
        <v/>
      </c>
      <c r="AT239" t="str">
        <f>IF(ISNUMBER(FIND("overige",Methode_Keuze)),"",IF(Tb_Activiteiten[[#This Row],[Niet verrekenbare btw]]=1,Tb_Activiteiten[[#Headers],[Niet verrekenbare btw]],""))</f>
        <v/>
      </c>
      <c r="AU239" t="str">
        <f>IF(ISNUMBER(FIND("overige",Methode_Keuze)),"",IF(Tb_Activiteiten[[#This Row],[Grondkosten]]=1,Tb_Activiteiten[[#Headers],[Grondkosten]],""))</f>
        <v/>
      </c>
      <c r="AV239" t="str">
        <f>IF(ISNUMBER(FIND("overige",Methode_Keuze)),"",IF(Tb_Activiteiten[[#This Row],[Bijdrage in natura (overige)]]=1,Tb_Activiteiten[[#Headers],[Bijdrage in natura (overige)]],""))</f>
        <v/>
      </c>
      <c r="AW239" t="str">
        <f>IF(ISNUMBER(FIND("overige",Methode_Keuze)),"",IF(Tb_Activiteiten[[#This Row],[Bijdrage in natura (vrijwilligers)]]=1,Tb_Activiteiten[[#Headers],[Bijdrage in natura (vrijwilligers)]],""))</f>
        <v/>
      </c>
      <c r="AX239" t="str">
        <f>IF(ISNUMBER(FIND("overige",Methode_Keuze)),"",IF(Tb_Activiteiten[[#This Row],[Afschrijvingskosten]]=1,Tb_Activiteiten[[#Headers],[Afschrijvingskosten]],""))</f>
        <v/>
      </c>
      <c r="AY239" t="str">
        <f>IF(ISNUMBER(FIND("overige",Methode_Keuze)),"",IF(Tb_Activiteiten[[#This Row],[Vergoeding]]=1,Tb_Activiteiten[[#Headers],[Vergoeding]],""))</f>
        <v/>
      </c>
      <c r="AZ239" t="str">
        <f>IF(ISNUMBER(FIND("arbeid",Methode_Keuze)),"",IF(Tb_Activiteiten[[#This Row],[Arbeidskosten - vast tarief (excl eigen arbeid)]]=1,Tb_Activiteiten[[#Headers],[Arbeidskosten - vast tarief (excl eigen arbeid)]],""))</f>
        <v/>
      </c>
      <c r="BA239" t="str">
        <f>IF(ISNUMBER(FIND("overige",Methode_Keuze)),"",IF(Tb_Activiteiten[[#This Row],[Overige kosten]]=1,Tb_Activiteiten[[#Headers],[Overige kosten]],""))</f>
        <v/>
      </c>
    </row>
    <row r="240" spans="1:53" x14ac:dyDescent="0.25">
      <c r="A240" s="231"/>
      <c r="F240" s="64"/>
      <c r="G240" s="64"/>
      <c r="H240" s="275"/>
      <c r="I240" s="275"/>
      <c r="J240" s="275"/>
      <c r="K240" s="275"/>
      <c r="O240" s="56"/>
      <c r="Q240" t="str">
        <f>IFERROR(IF(VLOOKUP(Tb_Activiteiten[[#This Row],[Openstelling]],Tb_Openstelling[],2,0)=1,1,""),"")</f>
        <v/>
      </c>
      <c r="AK240" t="str">
        <f>IF(ISNUMBER(FIND("arbeid",Methode_Keuze)),"",IF(ISNUMBER(FIND("arbeid",Methode_Keuze)),"",IF(Tb_Activiteiten[[#This Row],[Loonkosten]]=1,Tb_Activiteiten[[#Headers],[Loonkosten]],"")))</f>
        <v/>
      </c>
      <c r="AL240" t="str">
        <f>IF(ISNUMBER(FIND("arbeid",Methode_Keuze)),"",IF(ISNUMBER(FIND("arbeid",Methode_Keuze)),"",IF(Tb_Activiteiten[[#This Row],[Eigen arbeid]]=1,Tb_Activiteiten[[#Headers],[Eigen arbeid]],"")))</f>
        <v/>
      </c>
      <c r="AM240" t="str">
        <f>IF(ISNUMBER(FIND("arbeid",Methode_Keuze)),"",IF(ISNUMBER(FIND("arbeid",Methode_Keuze)),"",IF(Tb_Activiteiten[[#This Row],[Projectmedewerker]]=1,Tb_Activiteiten[[#Headers],[Projectmedewerker]],"")))</f>
        <v/>
      </c>
      <c r="AN240" t="str">
        <f>IF(ISNUMBER(FIND("arbeid",Methode_Keuze)),"",IF(ISNUMBER(FIND("arbeid",Methode_Keuze)),"",IF(Tb_Activiteiten[[#This Row],[Landbouwer]]=1,Tb_Activiteiten[[#Headers],[Landbouwer]],"")))</f>
        <v/>
      </c>
      <c r="AO240" t="str">
        <f>IF(ISNUMBER(FIND("arbeid",Methode_Keuze)),"",IF(ISNUMBER(FIND("arbeid",Methode_Keuze)),"",IF(Tb_Activiteiten[[#This Row],[Adviseur]]=1,Tb_Activiteiten[[#Headers],[Adviseur]],"")))</f>
        <v/>
      </c>
      <c r="AP240" t="str">
        <f>IF(ISNUMBER(FIND("arbeid",Methode_Keuze)),"",IF(ISNUMBER(FIND("arbeid",Methode_Keuze)),"",IF(Tb_Activiteiten[[#This Row],[Projectleider/Expert]]=1,Tb_Activiteiten[[#Headers],[Projectleider/Expert]],"")))</f>
        <v/>
      </c>
      <c r="AQ240" t="str">
        <f>IF(ISNUMBER(FIND("arbeid",Methode_Keuze)),"",IF(ISNUMBER(FIND("arbeid",Methode_Keuze)),"",IF(Tb_Activiteiten[[#This Row],[Arbeidskosten]]=1,Tb_Activiteiten[[#Headers],[Arbeidskosten]],"")))</f>
        <v/>
      </c>
      <c r="AR240" t="str">
        <f>IF(ISNUMBER(FIND("arbeid",Methode_Keuze)),"",IF(ISNUMBER(FIND("arbeid",Methode_Keuze)),"",IF(Tb_Activiteiten[[#This Row],[Arbeidskosten op basis van IKS]]=1,Tb_Activiteiten[[#Headers],[Arbeidskosten op basis van IKS]],"")))</f>
        <v/>
      </c>
      <c r="AS240" t="str">
        <f>IF(ISNUMBER(FIND("overige",Methode_Keuze)),"",IF(Tb_Activiteiten[[#This Row],[Kosten derden exclusief btw]]=1,Tb_Activiteiten[[#Headers],[Kosten derden exclusief btw]],""))</f>
        <v/>
      </c>
      <c r="AT240" t="str">
        <f>IF(ISNUMBER(FIND("overige",Methode_Keuze)),"",IF(Tb_Activiteiten[[#This Row],[Niet verrekenbare btw]]=1,Tb_Activiteiten[[#Headers],[Niet verrekenbare btw]],""))</f>
        <v/>
      </c>
      <c r="AU240" t="str">
        <f>IF(ISNUMBER(FIND("overige",Methode_Keuze)),"",IF(Tb_Activiteiten[[#This Row],[Grondkosten]]=1,Tb_Activiteiten[[#Headers],[Grondkosten]],""))</f>
        <v/>
      </c>
      <c r="AV240" t="str">
        <f>IF(ISNUMBER(FIND("overige",Methode_Keuze)),"",IF(Tb_Activiteiten[[#This Row],[Bijdrage in natura (overige)]]=1,Tb_Activiteiten[[#Headers],[Bijdrage in natura (overige)]],""))</f>
        <v/>
      </c>
      <c r="AW240" t="str">
        <f>IF(ISNUMBER(FIND("overige",Methode_Keuze)),"",IF(Tb_Activiteiten[[#This Row],[Bijdrage in natura (vrijwilligers)]]=1,Tb_Activiteiten[[#Headers],[Bijdrage in natura (vrijwilligers)]],""))</f>
        <v/>
      </c>
      <c r="AX240" t="str">
        <f>IF(ISNUMBER(FIND("overige",Methode_Keuze)),"",IF(Tb_Activiteiten[[#This Row],[Afschrijvingskosten]]=1,Tb_Activiteiten[[#Headers],[Afschrijvingskosten]],""))</f>
        <v/>
      </c>
      <c r="AY240" t="str">
        <f>IF(ISNUMBER(FIND("overige",Methode_Keuze)),"",IF(Tb_Activiteiten[[#This Row],[Vergoeding]]=1,Tb_Activiteiten[[#Headers],[Vergoeding]],""))</f>
        <v/>
      </c>
      <c r="AZ240" t="str">
        <f>IF(ISNUMBER(FIND("arbeid",Methode_Keuze)),"",IF(Tb_Activiteiten[[#This Row],[Arbeidskosten - vast tarief (excl eigen arbeid)]]=1,Tb_Activiteiten[[#Headers],[Arbeidskosten - vast tarief (excl eigen arbeid)]],""))</f>
        <v/>
      </c>
      <c r="BA240" t="str">
        <f>IF(ISNUMBER(FIND("overige",Methode_Keuze)),"",IF(Tb_Activiteiten[[#This Row],[Overige kosten]]=1,Tb_Activiteiten[[#Headers],[Overige kosten]],""))</f>
        <v/>
      </c>
    </row>
    <row r="241" spans="1:53" x14ac:dyDescent="0.25">
      <c r="A241" s="231"/>
      <c r="F241" s="64"/>
      <c r="G241" s="64"/>
      <c r="H241" s="275"/>
      <c r="I241" s="275"/>
      <c r="J241" s="275"/>
      <c r="K241" s="275"/>
      <c r="O241" s="56"/>
      <c r="Q241" t="str">
        <f>IFERROR(IF(VLOOKUP(Tb_Activiteiten[[#This Row],[Openstelling]],Tb_Openstelling[],2,0)=1,1,""),"")</f>
        <v/>
      </c>
      <c r="AK241" t="str">
        <f>IF(ISNUMBER(FIND("arbeid",Methode_Keuze)),"",IF(ISNUMBER(FIND("arbeid",Methode_Keuze)),"",IF(Tb_Activiteiten[[#This Row],[Loonkosten]]=1,Tb_Activiteiten[[#Headers],[Loonkosten]],"")))</f>
        <v/>
      </c>
      <c r="AL241" t="str">
        <f>IF(ISNUMBER(FIND("arbeid",Methode_Keuze)),"",IF(ISNUMBER(FIND("arbeid",Methode_Keuze)),"",IF(Tb_Activiteiten[[#This Row],[Eigen arbeid]]=1,Tb_Activiteiten[[#Headers],[Eigen arbeid]],"")))</f>
        <v/>
      </c>
      <c r="AM241" t="str">
        <f>IF(ISNUMBER(FIND("arbeid",Methode_Keuze)),"",IF(ISNUMBER(FIND("arbeid",Methode_Keuze)),"",IF(Tb_Activiteiten[[#This Row],[Projectmedewerker]]=1,Tb_Activiteiten[[#Headers],[Projectmedewerker]],"")))</f>
        <v/>
      </c>
      <c r="AN241" t="str">
        <f>IF(ISNUMBER(FIND("arbeid",Methode_Keuze)),"",IF(ISNUMBER(FIND("arbeid",Methode_Keuze)),"",IF(Tb_Activiteiten[[#This Row],[Landbouwer]]=1,Tb_Activiteiten[[#Headers],[Landbouwer]],"")))</f>
        <v/>
      </c>
      <c r="AO241" t="str">
        <f>IF(ISNUMBER(FIND("arbeid",Methode_Keuze)),"",IF(ISNUMBER(FIND("arbeid",Methode_Keuze)),"",IF(Tb_Activiteiten[[#This Row],[Adviseur]]=1,Tb_Activiteiten[[#Headers],[Adviseur]],"")))</f>
        <v/>
      </c>
      <c r="AP241" t="str">
        <f>IF(ISNUMBER(FIND("arbeid",Methode_Keuze)),"",IF(ISNUMBER(FIND("arbeid",Methode_Keuze)),"",IF(Tb_Activiteiten[[#This Row],[Projectleider/Expert]]=1,Tb_Activiteiten[[#Headers],[Projectleider/Expert]],"")))</f>
        <v/>
      </c>
      <c r="AQ241" t="str">
        <f>IF(ISNUMBER(FIND("arbeid",Methode_Keuze)),"",IF(ISNUMBER(FIND("arbeid",Methode_Keuze)),"",IF(Tb_Activiteiten[[#This Row],[Arbeidskosten]]=1,Tb_Activiteiten[[#Headers],[Arbeidskosten]],"")))</f>
        <v/>
      </c>
      <c r="AR241" t="str">
        <f>IF(ISNUMBER(FIND("arbeid",Methode_Keuze)),"",IF(ISNUMBER(FIND("arbeid",Methode_Keuze)),"",IF(Tb_Activiteiten[[#This Row],[Arbeidskosten op basis van IKS]]=1,Tb_Activiteiten[[#Headers],[Arbeidskosten op basis van IKS]],"")))</f>
        <v/>
      </c>
      <c r="AS241" t="str">
        <f>IF(ISNUMBER(FIND("overige",Methode_Keuze)),"",IF(Tb_Activiteiten[[#This Row],[Kosten derden exclusief btw]]=1,Tb_Activiteiten[[#Headers],[Kosten derden exclusief btw]],""))</f>
        <v/>
      </c>
      <c r="AT241" t="str">
        <f>IF(ISNUMBER(FIND("overige",Methode_Keuze)),"",IF(Tb_Activiteiten[[#This Row],[Niet verrekenbare btw]]=1,Tb_Activiteiten[[#Headers],[Niet verrekenbare btw]],""))</f>
        <v/>
      </c>
      <c r="AU241" t="str">
        <f>IF(ISNUMBER(FIND("overige",Methode_Keuze)),"",IF(Tb_Activiteiten[[#This Row],[Grondkosten]]=1,Tb_Activiteiten[[#Headers],[Grondkosten]],""))</f>
        <v/>
      </c>
      <c r="AV241" t="str">
        <f>IF(ISNUMBER(FIND("overige",Methode_Keuze)),"",IF(Tb_Activiteiten[[#This Row],[Bijdrage in natura (overige)]]=1,Tb_Activiteiten[[#Headers],[Bijdrage in natura (overige)]],""))</f>
        <v/>
      </c>
      <c r="AW241" t="str">
        <f>IF(ISNUMBER(FIND("overige",Methode_Keuze)),"",IF(Tb_Activiteiten[[#This Row],[Bijdrage in natura (vrijwilligers)]]=1,Tb_Activiteiten[[#Headers],[Bijdrage in natura (vrijwilligers)]],""))</f>
        <v/>
      </c>
      <c r="AX241" t="str">
        <f>IF(ISNUMBER(FIND("overige",Methode_Keuze)),"",IF(Tb_Activiteiten[[#This Row],[Afschrijvingskosten]]=1,Tb_Activiteiten[[#Headers],[Afschrijvingskosten]],""))</f>
        <v/>
      </c>
      <c r="AY241" t="str">
        <f>IF(ISNUMBER(FIND("overige",Methode_Keuze)),"",IF(Tb_Activiteiten[[#This Row],[Vergoeding]]=1,Tb_Activiteiten[[#Headers],[Vergoeding]],""))</f>
        <v/>
      </c>
      <c r="AZ241" t="str">
        <f>IF(ISNUMBER(FIND("arbeid",Methode_Keuze)),"",IF(Tb_Activiteiten[[#This Row],[Arbeidskosten - vast tarief (excl eigen arbeid)]]=1,Tb_Activiteiten[[#Headers],[Arbeidskosten - vast tarief (excl eigen arbeid)]],""))</f>
        <v/>
      </c>
      <c r="BA241" t="str">
        <f>IF(ISNUMBER(FIND("overige",Methode_Keuze)),"",IF(Tb_Activiteiten[[#This Row],[Overige kosten]]=1,Tb_Activiteiten[[#Headers],[Overige kosten]],""))</f>
        <v/>
      </c>
    </row>
    <row r="242" spans="1:53" x14ac:dyDescent="0.25">
      <c r="A242" s="231"/>
      <c r="F242" s="64"/>
      <c r="G242" s="64"/>
      <c r="H242" s="275"/>
      <c r="I242" s="275"/>
      <c r="J242" s="275"/>
      <c r="K242" s="275"/>
      <c r="O242" s="56"/>
      <c r="Q242" t="str">
        <f>IFERROR(IF(VLOOKUP(Tb_Activiteiten[[#This Row],[Openstelling]],Tb_Openstelling[],2,0)=1,1,""),"")</f>
        <v/>
      </c>
      <c r="AK242" t="str">
        <f>IF(ISNUMBER(FIND("arbeid",Methode_Keuze)),"",IF(ISNUMBER(FIND("arbeid",Methode_Keuze)),"",IF(Tb_Activiteiten[[#This Row],[Loonkosten]]=1,Tb_Activiteiten[[#Headers],[Loonkosten]],"")))</f>
        <v/>
      </c>
      <c r="AL242" t="str">
        <f>IF(ISNUMBER(FIND("arbeid",Methode_Keuze)),"",IF(ISNUMBER(FIND("arbeid",Methode_Keuze)),"",IF(Tb_Activiteiten[[#This Row],[Eigen arbeid]]=1,Tb_Activiteiten[[#Headers],[Eigen arbeid]],"")))</f>
        <v/>
      </c>
      <c r="AM242" t="str">
        <f>IF(ISNUMBER(FIND("arbeid",Methode_Keuze)),"",IF(ISNUMBER(FIND("arbeid",Methode_Keuze)),"",IF(Tb_Activiteiten[[#This Row],[Projectmedewerker]]=1,Tb_Activiteiten[[#Headers],[Projectmedewerker]],"")))</f>
        <v/>
      </c>
      <c r="AN242" t="str">
        <f>IF(ISNUMBER(FIND("arbeid",Methode_Keuze)),"",IF(ISNUMBER(FIND("arbeid",Methode_Keuze)),"",IF(Tb_Activiteiten[[#This Row],[Landbouwer]]=1,Tb_Activiteiten[[#Headers],[Landbouwer]],"")))</f>
        <v/>
      </c>
      <c r="AO242" t="str">
        <f>IF(ISNUMBER(FIND("arbeid",Methode_Keuze)),"",IF(ISNUMBER(FIND("arbeid",Methode_Keuze)),"",IF(Tb_Activiteiten[[#This Row],[Adviseur]]=1,Tb_Activiteiten[[#Headers],[Adviseur]],"")))</f>
        <v/>
      </c>
      <c r="AP242" t="str">
        <f>IF(ISNUMBER(FIND("arbeid",Methode_Keuze)),"",IF(ISNUMBER(FIND("arbeid",Methode_Keuze)),"",IF(Tb_Activiteiten[[#This Row],[Projectleider/Expert]]=1,Tb_Activiteiten[[#Headers],[Projectleider/Expert]],"")))</f>
        <v/>
      </c>
      <c r="AQ242" t="str">
        <f>IF(ISNUMBER(FIND("arbeid",Methode_Keuze)),"",IF(ISNUMBER(FIND("arbeid",Methode_Keuze)),"",IF(Tb_Activiteiten[[#This Row],[Arbeidskosten]]=1,Tb_Activiteiten[[#Headers],[Arbeidskosten]],"")))</f>
        <v/>
      </c>
      <c r="AR242" t="str">
        <f>IF(ISNUMBER(FIND("arbeid",Methode_Keuze)),"",IF(ISNUMBER(FIND("arbeid",Methode_Keuze)),"",IF(Tb_Activiteiten[[#This Row],[Arbeidskosten op basis van IKS]]=1,Tb_Activiteiten[[#Headers],[Arbeidskosten op basis van IKS]],"")))</f>
        <v/>
      </c>
      <c r="AS242" t="str">
        <f>IF(ISNUMBER(FIND("overige",Methode_Keuze)),"",IF(Tb_Activiteiten[[#This Row],[Kosten derden exclusief btw]]=1,Tb_Activiteiten[[#Headers],[Kosten derden exclusief btw]],""))</f>
        <v/>
      </c>
      <c r="AT242" t="str">
        <f>IF(ISNUMBER(FIND("overige",Methode_Keuze)),"",IF(Tb_Activiteiten[[#This Row],[Niet verrekenbare btw]]=1,Tb_Activiteiten[[#Headers],[Niet verrekenbare btw]],""))</f>
        <v/>
      </c>
      <c r="AU242" t="str">
        <f>IF(ISNUMBER(FIND("overige",Methode_Keuze)),"",IF(Tb_Activiteiten[[#This Row],[Grondkosten]]=1,Tb_Activiteiten[[#Headers],[Grondkosten]],""))</f>
        <v/>
      </c>
      <c r="AV242" t="str">
        <f>IF(ISNUMBER(FIND("overige",Methode_Keuze)),"",IF(Tb_Activiteiten[[#This Row],[Bijdrage in natura (overige)]]=1,Tb_Activiteiten[[#Headers],[Bijdrage in natura (overige)]],""))</f>
        <v/>
      </c>
      <c r="AW242" t="str">
        <f>IF(ISNUMBER(FIND("overige",Methode_Keuze)),"",IF(Tb_Activiteiten[[#This Row],[Bijdrage in natura (vrijwilligers)]]=1,Tb_Activiteiten[[#Headers],[Bijdrage in natura (vrijwilligers)]],""))</f>
        <v/>
      </c>
      <c r="AX242" t="str">
        <f>IF(ISNUMBER(FIND("overige",Methode_Keuze)),"",IF(Tb_Activiteiten[[#This Row],[Afschrijvingskosten]]=1,Tb_Activiteiten[[#Headers],[Afschrijvingskosten]],""))</f>
        <v/>
      </c>
      <c r="AY242" t="str">
        <f>IF(ISNUMBER(FIND("overige",Methode_Keuze)),"",IF(Tb_Activiteiten[[#This Row],[Vergoeding]]=1,Tb_Activiteiten[[#Headers],[Vergoeding]],""))</f>
        <v/>
      </c>
      <c r="AZ242" t="str">
        <f>IF(ISNUMBER(FIND("arbeid",Methode_Keuze)),"",IF(Tb_Activiteiten[[#This Row],[Arbeidskosten - vast tarief (excl eigen arbeid)]]=1,Tb_Activiteiten[[#Headers],[Arbeidskosten - vast tarief (excl eigen arbeid)]],""))</f>
        <v/>
      </c>
      <c r="BA242" t="str">
        <f>IF(ISNUMBER(FIND("overige",Methode_Keuze)),"",IF(Tb_Activiteiten[[#This Row],[Overige kosten]]=1,Tb_Activiteiten[[#Headers],[Overige kosten]],""))</f>
        <v/>
      </c>
    </row>
    <row r="243" spans="1:53" x14ac:dyDescent="0.25">
      <c r="A243" s="231"/>
      <c r="F243" s="64"/>
      <c r="G243" s="64"/>
      <c r="H243" s="275"/>
      <c r="I243" s="275"/>
      <c r="J243" s="275"/>
      <c r="K243" s="275"/>
      <c r="O243" s="56"/>
      <c r="Q243" t="str">
        <f>IFERROR(IF(VLOOKUP(Tb_Activiteiten[[#This Row],[Openstelling]],Tb_Openstelling[],2,0)=1,1,""),"")</f>
        <v/>
      </c>
      <c r="AK243" t="str">
        <f>IF(ISNUMBER(FIND("arbeid",Methode_Keuze)),"",IF(ISNUMBER(FIND("arbeid",Methode_Keuze)),"",IF(Tb_Activiteiten[[#This Row],[Loonkosten]]=1,Tb_Activiteiten[[#Headers],[Loonkosten]],"")))</f>
        <v/>
      </c>
      <c r="AL243" t="str">
        <f>IF(ISNUMBER(FIND("arbeid",Methode_Keuze)),"",IF(ISNUMBER(FIND("arbeid",Methode_Keuze)),"",IF(Tb_Activiteiten[[#This Row],[Eigen arbeid]]=1,Tb_Activiteiten[[#Headers],[Eigen arbeid]],"")))</f>
        <v/>
      </c>
      <c r="AM243" t="str">
        <f>IF(ISNUMBER(FIND("arbeid",Methode_Keuze)),"",IF(ISNUMBER(FIND("arbeid",Methode_Keuze)),"",IF(Tb_Activiteiten[[#This Row],[Projectmedewerker]]=1,Tb_Activiteiten[[#Headers],[Projectmedewerker]],"")))</f>
        <v/>
      </c>
      <c r="AN243" t="str">
        <f>IF(ISNUMBER(FIND("arbeid",Methode_Keuze)),"",IF(ISNUMBER(FIND("arbeid",Methode_Keuze)),"",IF(Tb_Activiteiten[[#This Row],[Landbouwer]]=1,Tb_Activiteiten[[#Headers],[Landbouwer]],"")))</f>
        <v/>
      </c>
      <c r="AO243" t="str">
        <f>IF(ISNUMBER(FIND("arbeid",Methode_Keuze)),"",IF(ISNUMBER(FIND("arbeid",Methode_Keuze)),"",IF(Tb_Activiteiten[[#This Row],[Adviseur]]=1,Tb_Activiteiten[[#Headers],[Adviseur]],"")))</f>
        <v/>
      </c>
      <c r="AP243" t="str">
        <f>IF(ISNUMBER(FIND("arbeid",Methode_Keuze)),"",IF(ISNUMBER(FIND("arbeid",Methode_Keuze)),"",IF(Tb_Activiteiten[[#This Row],[Projectleider/Expert]]=1,Tb_Activiteiten[[#Headers],[Projectleider/Expert]],"")))</f>
        <v/>
      </c>
      <c r="AQ243" t="str">
        <f>IF(ISNUMBER(FIND("arbeid",Methode_Keuze)),"",IF(ISNUMBER(FIND("arbeid",Methode_Keuze)),"",IF(Tb_Activiteiten[[#This Row],[Arbeidskosten]]=1,Tb_Activiteiten[[#Headers],[Arbeidskosten]],"")))</f>
        <v/>
      </c>
      <c r="AR243" t="str">
        <f>IF(ISNUMBER(FIND("arbeid",Methode_Keuze)),"",IF(ISNUMBER(FIND("arbeid",Methode_Keuze)),"",IF(Tb_Activiteiten[[#This Row],[Arbeidskosten op basis van IKS]]=1,Tb_Activiteiten[[#Headers],[Arbeidskosten op basis van IKS]],"")))</f>
        <v/>
      </c>
      <c r="AS243" t="str">
        <f>IF(ISNUMBER(FIND("overige",Methode_Keuze)),"",IF(Tb_Activiteiten[[#This Row],[Kosten derden exclusief btw]]=1,Tb_Activiteiten[[#Headers],[Kosten derden exclusief btw]],""))</f>
        <v/>
      </c>
      <c r="AT243" t="str">
        <f>IF(ISNUMBER(FIND("overige",Methode_Keuze)),"",IF(Tb_Activiteiten[[#This Row],[Niet verrekenbare btw]]=1,Tb_Activiteiten[[#Headers],[Niet verrekenbare btw]],""))</f>
        <v/>
      </c>
      <c r="AU243" t="str">
        <f>IF(ISNUMBER(FIND("overige",Methode_Keuze)),"",IF(Tb_Activiteiten[[#This Row],[Grondkosten]]=1,Tb_Activiteiten[[#Headers],[Grondkosten]],""))</f>
        <v/>
      </c>
      <c r="AV243" t="str">
        <f>IF(ISNUMBER(FIND("overige",Methode_Keuze)),"",IF(Tb_Activiteiten[[#This Row],[Bijdrage in natura (overige)]]=1,Tb_Activiteiten[[#Headers],[Bijdrage in natura (overige)]],""))</f>
        <v/>
      </c>
      <c r="AW243" t="str">
        <f>IF(ISNUMBER(FIND("overige",Methode_Keuze)),"",IF(Tb_Activiteiten[[#This Row],[Bijdrage in natura (vrijwilligers)]]=1,Tb_Activiteiten[[#Headers],[Bijdrage in natura (vrijwilligers)]],""))</f>
        <v/>
      </c>
      <c r="AX243" t="str">
        <f>IF(ISNUMBER(FIND("overige",Methode_Keuze)),"",IF(Tb_Activiteiten[[#This Row],[Afschrijvingskosten]]=1,Tb_Activiteiten[[#Headers],[Afschrijvingskosten]],""))</f>
        <v/>
      </c>
      <c r="AY243" t="str">
        <f>IF(ISNUMBER(FIND("overige",Methode_Keuze)),"",IF(Tb_Activiteiten[[#This Row],[Vergoeding]]=1,Tb_Activiteiten[[#Headers],[Vergoeding]],""))</f>
        <v/>
      </c>
      <c r="AZ243" t="str">
        <f>IF(ISNUMBER(FIND("arbeid",Methode_Keuze)),"",IF(Tb_Activiteiten[[#This Row],[Arbeidskosten - vast tarief (excl eigen arbeid)]]=1,Tb_Activiteiten[[#Headers],[Arbeidskosten - vast tarief (excl eigen arbeid)]],""))</f>
        <v/>
      </c>
      <c r="BA243" t="str">
        <f>IF(ISNUMBER(FIND("overige",Methode_Keuze)),"",IF(Tb_Activiteiten[[#This Row],[Overige kosten]]=1,Tb_Activiteiten[[#Headers],[Overige kosten]],""))</f>
        <v/>
      </c>
    </row>
    <row r="244" spans="1:53" x14ac:dyDescent="0.25">
      <c r="A244" s="231"/>
      <c r="F244" s="64"/>
      <c r="G244" s="64"/>
      <c r="H244" s="275"/>
      <c r="I244" s="275"/>
      <c r="J244" s="275"/>
      <c r="K244" s="275"/>
      <c r="O244" s="56"/>
      <c r="Q244" t="str">
        <f>IFERROR(IF(VLOOKUP(Tb_Activiteiten[[#This Row],[Openstelling]],Tb_Openstelling[],2,0)=1,1,""),"")</f>
        <v/>
      </c>
      <c r="AK244" t="str">
        <f>IF(ISNUMBER(FIND("arbeid",Methode_Keuze)),"",IF(ISNUMBER(FIND("arbeid",Methode_Keuze)),"",IF(Tb_Activiteiten[[#This Row],[Loonkosten]]=1,Tb_Activiteiten[[#Headers],[Loonkosten]],"")))</f>
        <v/>
      </c>
      <c r="AL244" t="str">
        <f>IF(ISNUMBER(FIND("arbeid",Methode_Keuze)),"",IF(ISNUMBER(FIND("arbeid",Methode_Keuze)),"",IF(Tb_Activiteiten[[#This Row],[Eigen arbeid]]=1,Tb_Activiteiten[[#Headers],[Eigen arbeid]],"")))</f>
        <v/>
      </c>
      <c r="AM244" t="str">
        <f>IF(ISNUMBER(FIND("arbeid",Methode_Keuze)),"",IF(ISNUMBER(FIND("arbeid",Methode_Keuze)),"",IF(Tb_Activiteiten[[#This Row],[Projectmedewerker]]=1,Tb_Activiteiten[[#Headers],[Projectmedewerker]],"")))</f>
        <v/>
      </c>
      <c r="AN244" t="str">
        <f>IF(ISNUMBER(FIND("arbeid",Methode_Keuze)),"",IF(ISNUMBER(FIND("arbeid",Methode_Keuze)),"",IF(Tb_Activiteiten[[#This Row],[Landbouwer]]=1,Tb_Activiteiten[[#Headers],[Landbouwer]],"")))</f>
        <v/>
      </c>
      <c r="AO244" t="str">
        <f>IF(ISNUMBER(FIND("arbeid",Methode_Keuze)),"",IF(ISNUMBER(FIND("arbeid",Methode_Keuze)),"",IF(Tb_Activiteiten[[#This Row],[Adviseur]]=1,Tb_Activiteiten[[#Headers],[Adviseur]],"")))</f>
        <v/>
      </c>
      <c r="AP244" t="str">
        <f>IF(ISNUMBER(FIND("arbeid",Methode_Keuze)),"",IF(ISNUMBER(FIND("arbeid",Methode_Keuze)),"",IF(Tb_Activiteiten[[#This Row],[Projectleider/Expert]]=1,Tb_Activiteiten[[#Headers],[Projectleider/Expert]],"")))</f>
        <v/>
      </c>
      <c r="AQ244" t="str">
        <f>IF(ISNUMBER(FIND("arbeid",Methode_Keuze)),"",IF(ISNUMBER(FIND("arbeid",Methode_Keuze)),"",IF(Tb_Activiteiten[[#This Row],[Arbeidskosten]]=1,Tb_Activiteiten[[#Headers],[Arbeidskosten]],"")))</f>
        <v/>
      </c>
      <c r="AR244" t="str">
        <f>IF(ISNUMBER(FIND("arbeid",Methode_Keuze)),"",IF(ISNUMBER(FIND("arbeid",Methode_Keuze)),"",IF(Tb_Activiteiten[[#This Row],[Arbeidskosten op basis van IKS]]=1,Tb_Activiteiten[[#Headers],[Arbeidskosten op basis van IKS]],"")))</f>
        <v/>
      </c>
      <c r="AS244" t="str">
        <f>IF(ISNUMBER(FIND("overige",Methode_Keuze)),"",IF(Tb_Activiteiten[[#This Row],[Kosten derden exclusief btw]]=1,Tb_Activiteiten[[#Headers],[Kosten derden exclusief btw]],""))</f>
        <v/>
      </c>
      <c r="AT244" t="str">
        <f>IF(ISNUMBER(FIND("overige",Methode_Keuze)),"",IF(Tb_Activiteiten[[#This Row],[Niet verrekenbare btw]]=1,Tb_Activiteiten[[#Headers],[Niet verrekenbare btw]],""))</f>
        <v/>
      </c>
      <c r="AU244" t="str">
        <f>IF(ISNUMBER(FIND("overige",Methode_Keuze)),"",IF(Tb_Activiteiten[[#This Row],[Grondkosten]]=1,Tb_Activiteiten[[#Headers],[Grondkosten]],""))</f>
        <v/>
      </c>
      <c r="AV244" t="str">
        <f>IF(ISNUMBER(FIND("overige",Methode_Keuze)),"",IF(Tb_Activiteiten[[#This Row],[Bijdrage in natura (overige)]]=1,Tb_Activiteiten[[#Headers],[Bijdrage in natura (overige)]],""))</f>
        <v/>
      </c>
      <c r="AW244" t="str">
        <f>IF(ISNUMBER(FIND("overige",Methode_Keuze)),"",IF(Tb_Activiteiten[[#This Row],[Bijdrage in natura (vrijwilligers)]]=1,Tb_Activiteiten[[#Headers],[Bijdrage in natura (vrijwilligers)]],""))</f>
        <v/>
      </c>
      <c r="AX244" t="str">
        <f>IF(ISNUMBER(FIND("overige",Methode_Keuze)),"",IF(Tb_Activiteiten[[#This Row],[Afschrijvingskosten]]=1,Tb_Activiteiten[[#Headers],[Afschrijvingskosten]],""))</f>
        <v/>
      </c>
      <c r="AY244" t="str">
        <f>IF(ISNUMBER(FIND("overige",Methode_Keuze)),"",IF(Tb_Activiteiten[[#This Row],[Vergoeding]]=1,Tb_Activiteiten[[#Headers],[Vergoeding]],""))</f>
        <v/>
      </c>
      <c r="AZ244" t="str">
        <f>IF(ISNUMBER(FIND("arbeid",Methode_Keuze)),"",IF(Tb_Activiteiten[[#This Row],[Arbeidskosten - vast tarief (excl eigen arbeid)]]=1,Tb_Activiteiten[[#Headers],[Arbeidskosten - vast tarief (excl eigen arbeid)]],""))</f>
        <v/>
      </c>
      <c r="BA244" t="str">
        <f>IF(ISNUMBER(FIND("overige",Methode_Keuze)),"",IF(Tb_Activiteiten[[#This Row],[Overige kosten]]=1,Tb_Activiteiten[[#Headers],[Overige kosten]],""))</f>
        <v/>
      </c>
    </row>
    <row r="245" spans="1:53" x14ac:dyDescent="0.25">
      <c r="A245" s="231"/>
      <c r="F245" s="64"/>
      <c r="G245" s="64"/>
      <c r="H245" s="275"/>
      <c r="I245" s="275"/>
      <c r="J245" s="275"/>
      <c r="K245" s="275"/>
      <c r="O245" s="56"/>
      <c r="Q245" t="str">
        <f>IFERROR(IF(VLOOKUP(Tb_Activiteiten[[#This Row],[Openstelling]],Tb_Openstelling[],2,0)=1,1,""),"")</f>
        <v/>
      </c>
      <c r="AK245" t="str">
        <f>IF(ISNUMBER(FIND("arbeid",Methode_Keuze)),"",IF(ISNUMBER(FIND("arbeid",Methode_Keuze)),"",IF(Tb_Activiteiten[[#This Row],[Loonkosten]]=1,Tb_Activiteiten[[#Headers],[Loonkosten]],"")))</f>
        <v/>
      </c>
      <c r="AL245" t="str">
        <f>IF(ISNUMBER(FIND("arbeid",Methode_Keuze)),"",IF(ISNUMBER(FIND("arbeid",Methode_Keuze)),"",IF(Tb_Activiteiten[[#This Row],[Eigen arbeid]]=1,Tb_Activiteiten[[#Headers],[Eigen arbeid]],"")))</f>
        <v/>
      </c>
      <c r="AM245" t="str">
        <f>IF(ISNUMBER(FIND("arbeid",Methode_Keuze)),"",IF(ISNUMBER(FIND("arbeid",Methode_Keuze)),"",IF(Tb_Activiteiten[[#This Row],[Projectmedewerker]]=1,Tb_Activiteiten[[#Headers],[Projectmedewerker]],"")))</f>
        <v/>
      </c>
      <c r="AN245" t="str">
        <f>IF(ISNUMBER(FIND("arbeid",Methode_Keuze)),"",IF(ISNUMBER(FIND("arbeid",Methode_Keuze)),"",IF(Tb_Activiteiten[[#This Row],[Landbouwer]]=1,Tb_Activiteiten[[#Headers],[Landbouwer]],"")))</f>
        <v/>
      </c>
      <c r="AO245" t="str">
        <f>IF(ISNUMBER(FIND("arbeid",Methode_Keuze)),"",IF(ISNUMBER(FIND("arbeid",Methode_Keuze)),"",IF(Tb_Activiteiten[[#This Row],[Adviseur]]=1,Tb_Activiteiten[[#Headers],[Adviseur]],"")))</f>
        <v/>
      </c>
      <c r="AP245" t="str">
        <f>IF(ISNUMBER(FIND("arbeid",Methode_Keuze)),"",IF(ISNUMBER(FIND("arbeid",Methode_Keuze)),"",IF(Tb_Activiteiten[[#This Row],[Projectleider/Expert]]=1,Tb_Activiteiten[[#Headers],[Projectleider/Expert]],"")))</f>
        <v/>
      </c>
      <c r="AQ245" t="str">
        <f>IF(ISNUMBER(FIND("arbeid",Methode_Keuze)),"",IF(ISNUMBER(FIND("arbeid",Methode_Keuze)),"",IF(Tb_Activiteiten[[#This Row],[Arbeidskosten]]=1,Tb_Activiteiten[[#Headers],[Arbeidskosten]],"")))</f>
        <v/>
      </c>
      <c r="AR245" t="str">
        <f>IF(ISNUMBER(FIND("arbeid",Methode_Keuze)),"",IF(ISNUMBER(FIND("arbeid",Methode_Keuze)),"",IF(Tb_Activiteiten[[#This Row],[Arbeidskosten op basis van IKS]]=1,Tb_Activiteiten[[#Headers],[Arbeidskosten op basis van IKS]],"")))</f>
        <v/>
      </c>
      <c r="AS245" t="str">
        <f>IF(ISNUMBER(FIND("overige",Methode_Keuze)),"",IF(Tb_Activiteiten[[#This Row],[Kosten derden exclusief btw]]=1,Tb_Activiteiten[[#Headers],[Kosten derden exclusief btw]],""))</f>
        <v/>
      </c>
      <c r="AT245" t="str">
        <f>IF(ISNUMBER(FIND("overige",Methode_Keuze)),"",IF(Tb_Activiteiten[[#This Row],[Niet verrekenbare btw]]=1,Tb_Activiteiten[[#Headers],[Niet verrekenbare btw]],""))</f>
        <v/>
      </c>
      <c r="AU245" t="str">
        <f>IF(ISNUMBER(FIND("overige",Methode_Keuze)),"",IF(Tb_Activiteiten[[#This Row],[Grondkosten]]=1,Tb_Activiteiten[[#Headers],[Grondkosten]],""))</f>
        <v/>
      </c>
      <c r="AV245" t="str">
        <f>IF(ISNUMBER(FIND("overige",Methode_Keuze)),"",IF(Tb_Activiteiten[[#This Row],[Bijdrage in natura (overige)]]=1,Tb_Activiteiten[[#Headers],[Bijdrage in natura (overige)]],""))</f>
        <v/>
      </c>
      <c r="AW245" t="str">
        <f>IF(ISNUMBER(FIND("overige",Methode_Keuze)),"",IF(Tb_Activiteiten[[#This Row],[Bijdrage in natura (vrijwilligers)]]=1,Tb_Activiteiten[[#Headers],[Bijdrage in natura (vrijwilligers)]],""))</f>
        <v/>
      </c>
      <c r="AX245" t="str">
        <f>IF(ISNUMBER(FIND("overige",Methode_Keuze)),"",IF(Tb_Activiteiten[[#This Row],[Afschrijvingskosten]]=1,Tb_Activiteiten[[#Headers],[Afschrijvingskosten]],""))</f>
        <v/>
      </c>
      <c r="AY245" t="str">
        <f>IF(ISNUMBER(FIND("overige",Methode_Keuze)),"",IF(Tb_Activiteiten[[#This Row],[Vergoeding]]=1,Tb_Activiteiten[[#Headers],[Vergoeding]],""))</f>
        <v/>
      </c>
      <c r="AZ245" t="str">
        <f>IF(ISNUMBER(FIND("arbeid",Methode_Keuze)),"",IF(Tb_Activiteiten[[#This Row],[Arbeidskosten - vast tarief (excl eigen arbeid)]]=1,Tb_Activiteiten[[#Headers],[Arbeidskosten - vast tarief (excl eigen arbeid)]],""))</f>
        <v/>
      </c>
      <c r="BA245" t="str">
        <f>IF(ISNUMBER(FIND("overige",Methode_Keuze)),"",IF(Tb_Activiteiten[[#This Row],[Overige kosten]]=1,Tb_Activiteiten[[#Headers],[Overige kosten]],""))</f>
        <v/>
      </c>
    </row>
    <row r="246" spans="1:53" x14ac:dyDescent="0.25">
      <c r="A246" s="231"/>
      <c r="F246" s="64"/>
      <c r="G246" s="64"/>
      <c r="H246" s="275"/>
      <c r="I246" s="275"/>
      <c r="J246" s="275"/>
      <c r="K246" s="275"/>
      <c r="O246" s="56"/>
      <c r="Q246" t="str">
        <f>IFERROR(IF(VLOOKUP(Tb_Activiteiten[[#This Row],[Openstelling]],Tb_Openstelling[],2,0)=1,1,""),"")</f>
        <v/>
      </c>
      <c r="AK246" t="str">
        <f>IF(ISNUMBER(FIND("arbeid",Methode_Keuze)),"",IF(ISNUMBER(FIND("arbeid",Methode_Keuze)),"",IF(Tb_Activiteiten[[#This Row],[Loonkosten]]=1,Tb_Activiteiten[[#Headers],[Loonkosten]],"")))</f>
        <v/>
      </c>
      <c r="AL246" t="str">
        <f>IF(ISNUMBER(FIND("arbeid",Methode_Keuze)),"",IF(ISNUMBER(FIND("arbeid",Methode_Keuze)),"",IF(Tb_Activiteiten[[#This Row],[Eigen arbeid]]=1,Tb_Activiteiten[[#Headers],[Eigen arbeid]],"")))</f>
        <v/>
      </c>
      <c r="AM246" t="str">
        <f>IF(ISNUMBER(FIND("arbeid",Methode_Keuze)),"",IF(ISNUMBER(FIND("arbeid",Methode_Keuze)),"",IF(Tb_Activiteiten[[#This Row],[Projectmedewerker]]=1,Tb_Activiteiten[[#Headers],[Projectmedewerker]],"")))</f>
        <v/>
      </c>
      <c r="AN246" t="str">
        <f>IF(ISNUMBER(FIND("arbeid",Methode_Keuze)),"",IF(ISNUMBER(FIND("arbeid",Methode_Keuze)),"",IF(Tb_Activiteiten[[#This Row],[Landbouwer]]=1,Tb_Activiteiten[[#Headers],[Landbouwer]],"")))</f>
        <v/>
      </c>
      <c r="AO246" t="str">
        <f>IF(ISNUMBER(FIND("arbeid",Methode_Keuze)),"",IF(ISNUMBER(FIND("arbeid",Methode_Keuze)),"",IF(Tb_Activiteiten[[#This Row],[Adviseur]]=1,Tb_Activiteiten[[#Headers],[Adviseur]],"")))</f>
        <v/>
      </c>
      <c r="AP246" t="str">
        <f>IF(ISNUMBER(FIND("arbeid",Methode_Keuze)),"",IF(ISNUMBER(FIND("arbeid",Methode_Keuze)),"",IF(Tb_Activiteiten[[#This Row],[Projectleider/Expert]]=1,Tb_Activiteiten[[#Headers],[Projectleider/Expert]],"")))</f>
        <v/>
      </c>
      <c r="AQ246" t="str">
        <f>IF(ISNUMBER(FIND("arbeid",Methode_Keuze)),"",IF(ISNUMBER(FIND("arbeid",Methode_Keuze)),"",IF(Tb_Activiteiten[[#This Row],[Arbeidskosten]]=1,Tb_Activiteiten[[#Headers],[Arbeidskosten]],"")))</f>
        <v/>
      </c>
      <c r="AR246" t="str">
        <f>IF(ISNUMBER(FIND("arbeid",Methode_Keuze)),"",IF(ISNUMBER(FIND("arbeid",Methode_Keuze)),"",IF(Tb_Activiteiten[[#This Row],[Arbeidskosten op basis van IKS]]=1,Tb_Activiteiten[[#Headers],[Arbeidskosten op basis van IKS]],"")))</f>
        <v/>
      </c>
      <c r="AS246" t="str">
        <f>IF(ISNUMBER(FIND("overige",Methode_Keuze)),"",IF(Tb_Activiteiten[[#This Row],[Kosten derden exclusief btw]]=1,Tb_Activiteiten[[#Headers],[Kosten derden exclusief btw]],""))</f>
        <v/>
      </c>
      <c r="AT246" t="str">
        <f>IF(ISNUMBER(FIND("overige",Methode_Keuze)),"",IF(Tb_Activiteiten[[#This Row],[Niet verrekenbare btw]]=1,Tb_Activiteiten[[#Headers],[Niet verrekenbare btw]],""))</f>
        <v/>
      </c>
      <c r="AU246" t="str">
        <f>IF(ISNUMBER(FIND("overige",Methode_Keuze)),"",IF(Tb_Activiteiten[[#This Row],[Grondkosten]]=1,Tb_Activiteiten[[#Headers],[Grondkosten]],""))</f>
        <v/>
      </c>
      <c r="AV246" t="str">
        <f>IF(ISNUMBER(FIND("overige",Methode_Keuze)),"",IF(Tb_Activiteiten[[#This Row],[Bijdrage in natura (overige)]]=1,Tb_Activiteiten[[#Headers],[Bijdrage in natura (overige)]],""))</f>
        <v/>
      </c>
      <c r="AW246" t="str">
        <f>IF(ISNUMBER(FIND("overige",Methode_Keuze)),"",IF(Tb_Activiteiten[[#This Row],[Bijdrage in natura (vrijwilligers)]]=1,Tb_Activiteiten[[#Headers],[Bijdrage in natura (vrijwilligers)]],""))</f>
        <v/>
      </c>
      <c r="AX246" t="str">
        <f>IF(ISNUMBER(FIND("overige",Methode_Keuze)),"",IF(Tb_Activiteiten[[#This Row],[Afschrijvingskosten]]=1,Tb_Activiteiten[[#Headers],[Afschrijvingskosten]],""))</f>
        <v/>
      </c>
      <c r="AY246" t="str">
        <f>IF(ISNUMBER(FIND("overige",Methode_Keuze)),"",IF(Tb_Activiteiten[[#This Row],[Vergoeding]]=1,Tb_Activiteiten[[#Headers],[Vergoeding]],""))</f>
        <v/>
      </c>
      <c r="AZ246" t="str">
        <f>IF(ISNUMBER(FIND("arbeid",Methode_Keuze)),"",IF(Tb_Activiteiten[[#This Row],[Arbeidskosten - vast tarief (excl eigen arbeid)]]=1,Tb_Activiteiten[[#Headers],[Arbeidskosten - vast tarief (excl eigen arbeid)]],""))</f>
        <v/>
      </c>
      <c r="BA246" t="str">
        <f>IF(ISNUMBER(FIND("overige",Methode_Keuze)),"",IF(Tb_Activiteiten[[#This Row],[Overige kosten]]=1,Tb_Activiteiten[[#Headers],[Overige kosten]],""))</f>
        <v/>
      </c>
    </row>
    <row r="247" spans="1:53" x14ac:dyDescent="0.25">
      <c r="A247" s="231"/>
      <c r="F247" s="64"/>
      <c r="G247" s="64"/>
      <c r="H247" s="275"/>
      <c r="I247" s="275"/>
      <c r="J247" s="275"/>
      <c r="K247" s="275"/>
      <c r="O247" s="56"/>
      <c r="Q247" t="str">
        <f>IFERROR(IF(VLOOKUP(Tb_Activiteiten[[#This Row],[Openstelling]],Tb_Openstelling[],2,0)=1,1,""),"")</f>
        <v/>
      </c>
      <c r="AK247" t="str">
        <f>IF(ISNUMBER(FIND("arbeid",Methode_Keuze)),"",IF(ISNUMBER(FIND("arbeid",Methode_Keuze)),"",IF(Tb_Activiteiten[[#This Row],[Loonkosten]]=1,Tb_Activiteiten[[#Headers],[Loonkosten]],"")))</f>
        <v/>
      </c>
      <c r="AL247" t="str">
        <f>IF(ISNUMBER(FIND("arbeid",Methode_Keuze)),"",IF(ISNUMBER(FIND("arbeid",Methode_Keuze)),"",IF(Tb_Activiteiten[[#This Row],[Eigen arbeid]]=1,Tb_Activiteiten[[#Headers],[Eigen arbeid]],"")))</f>
        <v/>
      </c>
      <c r="AM247" t="str">
        <f>IF(ISNUMBER(FIND("arbeid",Methode_Keuze)),"",IF(ISNUMBER(FIND("arbeid",Methode_Keuze)),"",IF(Tb_Activiteiten[[#This Row],[Projectmedewerker]]=1,Tb_Activiteiten[[#Headers],[Projectmedewerker]],"")))</f>
        <v/>
      </c>
      <c r="AN247" t="str">
        <f>IF(ISNUMBER(FIND("arbeid",Methode_Keuze)),"",IF(ISNUMBER(FIND("arbeid",Methode_Keuze)),"",IF(Tb_Activiteiten[[#This Row],[Landbouwer]]=1,Tb_Activiteiten[[#Headers],[Landbouwer]],"")))</f>
        <v/>
      </c>
      <c r="AO247" t="str">
        <f>IF(ISNUMBER(FIND("arbeid",Methode_Keuze)),"",IF(ISNUMBER(FIND("arbeid",Methode_Keuze)),"",IF(Tb_Activiteiten[[#This Row],[Adviseur]]=1,Tb_Activiteiten[[#Headers],[Adviseur]],"")))</f>
        <v/>
      </c>
      <c r="AP247" t="str">
        <f>IF(ISNUMBER(FIND("arbeid",Methode_Keuze)),"",IF(ISNUMBER(FIND("arbeid",Methode_Keuze)),"",IF(Tb_Activiteiten[[#This Row],[Projectleider/Expert]]=1,Tb_Activiteiten[[#Headers],[Projectleider/Expert]],"")))</f>
        <v/>
      </c>
      <c r="AQ247" t="str">
        <f>IF(ISNUMBER(FIND("arbeid",Methode_Keuze)),"",IF(ISNUMBER(FIND("arbeid",Methode_Keuze)),"",IF(Tb_Activiteiten[[#This Row],[Arbeidskosten]]=1,Tb_Activiteiten[[#Headers],[Arbeidskosten]],"")))</f>
        <v/>
      </c>
      <c r="AR247" t="str">
        <f>IF(ISNUMBER(FIND("arbeid",Methode_Keuze)),"",IF(ISNUMBER(FIND("arbeid",Methode_Keuze)),"",IF(Tb_Activiteiten[[#This Row],[Arbeidskosten op basis van IKS]]=1,Tb_Activiteiten[[#Headers],[Arbeidskosten op basis van IKS]],"")))</f>
        <v/>
      </c>
      <c r="AS247" t="str">
        <f>IF(ISNUMBER(FIND("overige",Methode_Keuze)),"",IF(Tb_Activiteiten[[#This Row],[Kosten derden exclusief btw]]=1,Tb_Activiteiten[[#Headers],[Kosten derden exclusief btw]],""))</f>
        <v/>
      </c>
      <c r="AT247" t="str">
        <f>IF(ISNUMBER(FIND("overige",Methode_Keuze)),"",IF(Tb_Activiteiten[[#This Row],[Niet verrekenbare btw]]=1,Tb_Activiteiten[[#Headers],[Niet verrekenbare btw]],""))</f>
        <v/>
      </c>
      <c r="AU247" t="str">
        <f>IF(ISNUMBER(FIND("overige",Methode_Keuze)),"",IF(Tb_Activiteiten[[#This Row],[Grondkosten]]=1,Tb_Activiteiten[[#Headers],[Grondkosten]],""))</f>
        <v/>
      </c>
      <c r="AV247" t="str">
        <f>IF(ISNUMBER(FIND("overige",Methode_Keuze)),"",IF(Tb_Activiteiten[[#This Row],[Bijdrage in natura (overige)]]=1,Tb_Activiteiten[[#Headers],[Bijdrage in natura (overige)]],""))</f>
        <v/>
      </c>
      <c r="AW247" t="str">
        <f>IF(ISNUMBER(FIND("overige",Methode_Keuze)),"",IF(Tb_Activiteiten[[#This Row],[Bijdrage in natura (vrijwilligers)]]=1,Tb_Activiteiten[[#Headers],[Bijdrage in natura (vrijwilligers)]],""))</f>
        <v/>
      </c>
      <c r="AX247" t="str">
        <f>IF(ISNUMBER(FIND("overige",Methode_Keuze)),"",IF(Tb_Activiteiten[[#This Row],[Afschrijvingskosten]]=1,Tb_Activiteiten[[#Headers],[Afschrijvingskosten]],""))</f>
        <v/>
      </c>
      <c r="AY247" t="str">
        <f>IF(ISNUMBER(FIND("overige",Methode_Keuze)),"",IF(Tb_Activiteiten[[#This Row],[Vergoeding]]=1,Tb_Activiteiten[[#Headers],[Vergoeding]],""))</f>
        <v/>
      </c>
      <c r="AZ247" t="str">
        <f>IF(ISNUMBER(FIND("arbeid",Methode_Keuze)),"",IF(Tb_Activiteiten[[#This Row],[Arbeidskosten - vast tarief (excl eigen arbeid)]]=1,Tb_Activiteiten[[#Headers],[Arbeidskosten - vast tarief (excl eigen arbeid)]],""))</f>
        <v/>
      </c>
      <c r="BA247" t="str">
        <f>IF(ISNUMBER(FIND("overige",Methode_Keuze)),"",IF(Tb_Activiteiten[[#This Row],[Overige kosten]]=1,Tb_Activiteiten[[#Headers],[Overige kosten]],""))</f>
        <v/>
      </c>
    </row>
    <row r="248" spans="1:53" x14ac:dyDescent="0.25">
      <c r="A248" s="231"/>
      <c r="F248" s="64"/>
      <c r="G248" s="64"/>
      <c r="H248" s="275"/>
      <c r="I248" s="275"/>
      <c r="J248" s="275"/>
      <c r="K248" s="275"/>
      <c r="O248" s="56"/>
      <c r="Q248" t="str">
        <f>IFERROR(IF(VLOOKUP(Tb_Activiteiten[[#This Row],[Openstelling]],Tb_Openstelling[],2,0)=1,1,""),"")</f>
        <v/>
      </c>
      <c r="AK248" t="str">
        <f>IF(ISNUMBER(FIND("arbeid",Methode_Keuze)),"",IF(ISNUMBER(FIND("arbeid",Methode_Keuze)),"",IF(Tb_Activiteiten[[#This Row],[Loonkosten]]=1,Tb_Activiteiten[[#Headers],[Loonkosten]],"")))</f>
        <v/>
      </c>
      <c r="AL248" t="str">
        <f>IF(ISNUMBER(FIND("arbeid",Methode_Keuze)),"",IF(ISNUMBER(FIND("arbeid",Methode_Keuze)),"",IF(Tb_Activiteiten[[#This Row],[Eigen arbeid]]=1,Tb_Activiteiten[[#Headers],[Eigen arbeid]],"")))</f>
        <v/>
      </c>
      <c r="AM248" t="str">
        <f>IF(ISNUMBER(FIND("arbeid",Methode_Keuze)),"",IF(ISNUMBER(FIND("arbeid",Methode_Keuze)),"",IF(Tb_Activiteiten[[#This Row],[Projectmedewerker]]=1,Tb_Activiteiten[[#Headers],[Projectmedewerker]],"")))</f>
        <v/>
      </c>
      <c r="AN248" t="str">
        <f>IF(ISNUMBER(FIND("arbeid",Methode_Keuze)),"",IF(ISNUMBER(FIND("arbeid",Methode_Keuze)),"",IF(Tb_Activiteiten[[#This Row],[Landbouwer]]=1,Tb_Activiteiten[[#Headers],[Landbouwer]],"")))</f>
        <v/>
      </c>
      <c r="AO248" t="str">
        <f>IF(ISNUMBER(FIND("arbeid",Methode_Keuze)),"",IF(ISNUMBER(FIND("arbeid",Methode_Keuze)),"",IF(Tb_Activiteiten[[#This Row],[Adviseur]]=1,Tb_Activiteiten[[#Headers],[Adviseur]],"")))</f>
        <v/>
      </c>
      <c r="AP248" t="str">
        <f>IF(ISNUMBER(FIND("arbeid",Methode_Keuze)),"",IF(ISNUMBER(FIND("arbeid",Methode_Keuze)),"",IF(Tb_Activiteiten[[#This Row],[Projectleider/Expert]]=1,Tb_Activiteiten[[#Headers],[Projectleider/Expert]],"")))</f>
        <v/>
      </c>
      <c r="AQ248" t="str">
        <f>IF(ISNUMBER(FIND("arbeid",Methode_Keuze)),"",IF(ISNUMBER(FIND("arbeid",Methode_Keuze)),"",IF(Tb_Activiteiten[[#This Row],[Arbeidskosten]]=1,Tb_Activiteiten[[#Headers],[Arbeidskosten]],"")))</f>
        <v/>
      </c>
      <c r="AR248" t="str">
        <f>IF(ISNUMBER(FIND("arbeid",Methode_Keuze)),"",IF(ISNUMBER(FIND("arbeid",Methode_Keuze)),"",IF(Tb_Activiteiten[[#This Row],[Arbeidskosten op basis van IKS]]=1,Tb_Activiteiten[[#Headers],[Arbeidskosten op basis van IKS]],"")))</f>
        <v/>
      </c>
      <c r="AS248" t="str">
        <f>IF(ISNUMBER(FIND("overige",Methode_Keuze)),"",IF(Tb_Activiteiten[[#This Row],[Kosten derden exclusief btw]]=1,Tb_Activiteiten[[#Headers],[Kosten derden exclusief btw]],""))</f>
        <v/>
      </c>
      <c r="AT248" t="str">
        <f>IF(ISNUMBER(FIND("overige",Methode_Keuze)),"",IF(Tb_Activiteiten[[#This Row],[Niet verrekenbare btw]]=1,Tb_Activiteiten[[#Headers],[Niet verrekenbare btw]],""))</f>
        <v/>
      </c>
      <c r="AU248" t="str">
        <f>IF(ISNUMBER(FIND("overige",Methode_Keuze)),"",IF(Tb_Activiteiten[[#This Row],[Grondkosten]]=1,Tb_Activiteiten[[#Headers],[Grondkosten]],""))</f>
        <v/>
      </c>
      <c r="AV248" t="str">
        <f>IF(ISNUMBER(FIND("overige",Methode_Keuze)),"",IF(Tb_Activiteiten[[#This Row],[Bijdrage in natura (overige)]]=1,Tb_Activiteiten[[#Headers],[Bijdrage in natura (overige)]],""))</f>
        <v/>
      </c>
      <c r="AW248" t="str">
        <f>IF(ISNUMBER(FIND("overige",Methode_Keuze)),"",IF(Tb_Activiteiten[[#This Row],[Bijdrage in natura (vrijwilligers)]]=1,Tb_Activiteiten[[#Headers],[Bijdrage in natura (vrijwilligers)]],""))</f>
        <v/>
      </c>
      <c r="AX248" t="str">
        <f>IF(ISNUMBER(FIND("overige",Methode_Keuze)),"",IF(Tb_Activiteiten[[#This Row],[Afschrijvingskosten]]=1,Tb_Activiteiten[[#Headers],[Afschrijvingskosten]],""))</f>
        <v/>
      </c>
      <c r="AY248" t="str">
        <f>IF(ISNUMBER(FIND("overige",Methode_Keuze)),"",IF(Tb_Activiteiten[[#This Row],[Vergoeding]]=1,Tb_Activiteiten[[#Headers],[Vergoeding]],""))</f>
        <v/>
      </c>
      <c r="AZ248" t="str">
        <f>IF(ISNUMBER(FIND("arbeid",Methode_Keuze)),"",IF(Tb_Activiteiten[[#This Row],[Arbeidskosten - vast tarief (excl eigen arbeid)]]=1,Tb_Activiteiten[[#Headers],[Arbeidskosten - vast tarief (excl eigen arbeid)]],""))</f>
        <v/>
      </c>
      <c r="BA248" t="str">
        <f>IF(ISNUMBER(FIND("overige",Methode_Keuze)),"",IF(Tb_Activiteiten[[#This Row],[Overige kosten]]=1,Tb_Activiteiten[[#Headers],[Overige kosten]],""))</f>
        <v/>
      </c>
    </row>
    <row r="249" spans="1:53" x14ac:dyDescent="0.25">
      <c r="A249" s="231"/>
      <c r="F249" s="64"/>
      <c r="G249" s="64"/>
      <c r="H249" s="275"/>
      <c r="I249" s="275"/>
      <c r="J249" s="275"/>
      <c r="K249" s="275"/>
      <c r="O249" s="56"/>
      <c r="Q249" t="str">
        <f>IFERROR(IF(VLOOKUP(Tb_Activiteiten[[#This Row],[Openstelling]],Tb_Openstelling[],2,0)=1,1,""),"")</f>
        <v/>
      </c>
      <c r="AK249" t="str">
        <f>IF(ISNUMBER(FIND("arbeid",Methode_Keuze)),"",IF(ISNUMBER(FIND("arbeid",Methode_Keuze)),"",IF(Tb_Activiteiten[[#This Row],[Loonkosten]]=1,Tb_Activiteiten[[#Headers],[Loonkosten]],"")))</f>
        <v/>
      </c>
      <c r="AL249" t="str">
        <f>IF(ISNUMBER(FIND("arbeid",Methode_Keuze)),"",IF(ISNUMBER(FIND("arbeid",Methode_Keuze)),"",IF(Tb_Activiteiten[[#This Row],[Eigen arbeid]]=1,Tb_Activiteiten[[#Headers],[Eigen arbeid]],"")))</f>
        <v/>
      </c>
      <c r="AM249" t="str">
        <f>IF(ISNUMBER(FIND("arbeid",Methode_Keuze)),"",IF(ISNUMBER(FIND("arbeid",Methode_Keuze)),"",IF(Tb_Activiteiten[[#This Row],[Projectmedewerker]]=1,Tb_Activiteiten[[#Headers],[Projectmedewerker]],"")))</f>
        <v/>
      </c>
      <c r="AN249" t="str">
        <f>IF(ISNUMBER(FIND("arbeid",Methode_Keuze)),"",IF(ISNUMBER(FIND("arbeid",Methode_Keuze)),"",IF(Tb_Activiteiten[[#This Row],[Landbouwer]]=1,Tb_Activiteiten[[#Headers],[Landbouwer]],"")))</f>
        <v/>
      </c>
      <c r="AO249" t="str">
        <f>IF(ISNUMBER(FIND("arbeid",Methode_Keuze)),"",IF(ISNUMBER(FIND("arbeid",Methode_Keuze)),"",IF(Tb_Activiteiten[[#This Row],[Adviseur]]=1,Tb_Activiteiten[[#Headers],[Adviseur]],"")))</f>
        <v/>
      </c>
      <c r="AP249" t="str">
        <f>IF(ISNUMBER(FIND("arbeid",Methode_Keuze)),"",IF(ISNUMBER(FIND("arbeid",Methode_Keuze)),"",IF(Tb_Activiteiten[[#This Row],[Projectleider/Expert]]=1,Tb_Activiteiten[[#Headers],[Projectleider/Expert]],"")))</f>
        <v/>
      </c>
      <c r="AQ249" t="str">
        <f>IF(ISNUMBER(FIND("arbeid",Methode_Keuze)),"",IF(ISNUMBER(FIND("arbeid",Methode_Keuze)),"",IF(Tb_Activiteiten[[#This Row],[Arbeidskosten]]=1,Tb_Activiteiten[[#Headers],[Arbeidskosten]],"")))</f>
        <v/>
      </c>
      <c r="AR249" t="str">
        <f>IF(ISNUMBER(FIND("arbeid",Methode_Keuze)),"",IF(ISNUMBER(FIND("arbeid",Methode_Keuze)),"",IF(Tb_Activiteiten[[#This Row],[Arbeidskosten op basis van IKS]]=1,Tb_Activiteiten[[#Headers],[Arbeidskosten op basis van IKS]],"")))</f>
        <v/>
      </c>
      <c r="AS249" t="str">
        <f>IF(ISNUMBER(FIND("overige",Methode_Keuze)),"",IF(Tb_Activiteiten[[#This Row],[Kosten derden exclusief btw]]=1,Tb_Activiteiten[[#Headers],[Kosten derden exclusief btw]],""))</f>
        <v/>
      </c>
      <c r="AT249" t="str">
        <f>IF(ISNUMBER(FIND("overige",Methode_Keuze)),"",IF(Tb_Activiteiten[[#This Row],[Niet verrekenbare btw]]=1,Tb_Activiteiten[[#Headers],[Niet verrekenbare btw]],""))</f>
        <v/>
      </c>
      <c r="AU249" t="str">
        <f>IF(ISNUMBER(FIND("overige",Methode_Keuze)),"",IF(Tb_Activiteiten[[#This Row],[Grondkosten]]=1,Tb_Activiteiten[[#Headers],[Grondkosten]],""))</f>
        <v/>
      </c>
      <c r="AV249" t="str">
        <f>IF(ISNUMBER(FIND("overige",Methode_Keuze)),"",IF(Tb_Activiteiten[[#This Row],[Bijdrage in natura (overige)]]=1,Tb_Activiteiten[[#Headers],[Bijdrage in natura (overige)]],""))</f>
        <v/>
      </c>
      <c r="AW249" t="str">
        <f>IF(ISNUMBER(FIND("overige",Methode_Keuze)),"",IF(Tb_Activiteiten[[#This Row],[Bijdrage in natura (vrijwilligers)]]=1,Tb_Activiteiten[[#Headers],[Bijdrage in natura (vrijwilligers)]],""))</f>
        <v/>
      </c>
      <c r="AX249" t="str">
        <f>IF(ISNUMBER(FIND("overige",Methode_Keuze)),"",IF(Tb_Activiteiten[[#This Row],[Afschrijvingskosten]]=1,Tb_Activiteiten[[#Headers],[Afschrijvingskosten]],""))</f>
        <v/>
      </c>
      <c r="AY249" t="str">
        <f>IF(ISNUMBER(FIND("overige",Methode_Keuze)),"",IF(Tb_Activiteiten[[#This Row],[Vergoeding]]=1,Tb_Activiteiten[[#Headers],[Vergoeding]],""))</f>
        <v/>
      </c>
      <c r="AZ249" t="str">
        <f>IF(ISNUMBER(FIND("arbeid",Methode_Keuze)),"",IF(Tb_Activiteiten[[#This Row],[Arbeidskosten - vast tarief (excl eigen arbeid)]]=1,Tb_Activiteiten[[#Headers],[Arbeidskosten - vast tarief (excl eigen arbeid)]],""))</f>
        <v/>
      </c>
      <c r="BA249" t="str">
        <f>IF(ISNUMBER(FIND("overige",Methode_Keuze)),"",IF(Tb_Activiteiten[[#This Row],[Overige kosten]]=1,Tb_Activiteiten[[#Headers],[Overige kosten]],""))</f>
        <v/>
      </c>
    </row>
    <row r="250" spans="1:53" x14ac:dyDescent="0.25">
      <c r="A250" s="231"/>
      <c r="F250" s="64"/>
      <c r="G250" s="64"/>
      <c r="H250" s="275"/>
      <c r="I250" s="275"/>
      <c r="J250" s="275"/>
      <c r="K250" s="275"/>
      <c r="O250" s="56"/>
      <c r="Q250" t="str">
        <f>IFERROR(IF(VLOOKUP(Tb_Activiteiten[[#This Row],[Openstelling]],Tb_Openstelling[],2,0)=1,1,""),"")</f>
        <v/>
      </c>
      <c r="AK250" t="str">
        <f>IF(ISNUMBER(FIND("arbeid",Methode_Keuze)),"",IF(ISNUMBER(FIND("arbeid",Methode_Keuze)),"",IF(Tb_Activiteiten[[#This Row],[Loonkosten]]=1,Tb_Activiteiten[[#Headers],[Loonkosten]],"")))</f>
        <v/>
      </c>
      <c r="AL250" t="str">
        <f>IF(ISNUMBER(FIND("arbeid",Methode_Keuze)),"",IF(ISNUMBER(FIND("arbeid",Methode_Keuze)),"",IF(Tb_Activiteiten[[#This Row],[Eigen arbeid]]=1,Tb_Activiteiten[[#Headers],[Eigen arbeid]],"")))</f>
        <v/>
      </c>
      <c r="AM250" t="str">
        <f>IF(ISNUMBER(FIND("arbeid",Methode_Keuze)),"",IF(ISNUMBER(FIND("arbeid",Methode_Keuze)),"",IF(Tb_Activiteiten[[#This Row],[Projectmedewerker]]=1,Tb_Activiteiten[[#Headers],[Projectmedewerker]],"")))</f>
        <v/>
      </c>
      <c r="AN250" t="str">
        <f>IF(ISNUMBER(FIND("arbeid",Methode_Keuze)),"",IF(ISNUMBER(FIND("arbeid",Methode_Keuze)),"",IF(Tb_Activiteiten[[#This Row],[Landbouwer]]=1,Tb_Activiteiten[[#Headers],[Landbouwer]],"")))</f>
        <v/>
      </c>
      <c r="AO250" t="str">
        <f>IF(ISNUMBER(FIND("arbeid",Methode_Keuze)),"",IF(ISNUMBER(FIND("arbeid",Methode_Keuze)),"",IF(Tb_Activiteiten[[#This Row],[Adviseur]]=1,Tb_Activiteiten[[#Headers],[Adviseur]],"")))</f>
        <v/>
      </c>
      <c r="AP250" t="str">
        <f>IF(ISNUMBER(FIND("arbeid",Methode_Keuze)),"",IF(ISNUMBER(FIND("arbeid",Methode_Keuze)),"",IF(Tb_Activiteiten[[#This Row],[Projectleider/Expert]]=1,Tb_Activiteiten[[#Headers],[Projectleider/Expert]],"")))</f>
        <v/>
      </c>
      <c r="AQ250" t="str">
        <f>IF(ISNUMBER(FIND("arbeid",Methode_Keuze)),"",IF(ISNUMBER(FIND("arbeid",Methode_Keuze)),"",IF(Tb_Activiteiten[[#This Row],[Arbeidskosten]]=1,Tb_Activiteiten[[#Headers],[Arbeidskosten]],"")))</f>
        <v/>
      </c>
      <c r="AR250" t="str">
        <f>IF(ISNUMBER(FIND("arbeid",Methode_Keuze)),"",IF(ISNUMBER(FIND("arbeid",Methode_Keuze)),"",IF(Tb_Activiteiten[[#This Row],[Arbeidskosten op basis van IKS]]=1,Tb_Activiteiten[[#Headers],[Arbeidskosten op basis van IKS]],"")))</f>
        <v/>
      </c>
      <c r="AS250" t="str">
        <f>IF(ISNUMBER(FIND("overige",Methode_Keuze)),"",IF(Tb_Activiteiten[[#This Row],[Kosten derden exclusief btw]]=1,Tb_Activiteiten[[#Headers],[Kosten derden exclusief btw]],""))</f>
        <v/>
      </c>
      <c r="AT250" t="str">
        <f>IF(ISNUMBER(FIND("overige",Methode_Keuze)),"",IF(Tb_Activiteiten[[#This Row],[Niet verrekenbare btw]]=1,Tb_Activiteiten[[#Headers],[Niet verrekenbare btw]],""))</f>
        <v/>
      </c>
      <c r="AU250" t="str">
        <f>IF(ISNUMBER(FIND("overige",Methode_Keuze)),"",IF(Tb_Activiteiten[[#This Row],[Grondkosten]]=1,Tb_Activiteiten[[#Headers],[Grondkosten]],""))</f>
        <v/>
      </c>
      <c r="AV250" t="str">
        <f>IF(ISNUMBER(FIND("overige",Methode_Keuze)),"",IF(Tb_Activiteiten[[#This Row],[Bijdrage in natura (overige)]]=1,Tb_Activiteiten[[#Headers],[Bijdrage in natura (overige)]],""))</f>
        <v/>
      </c>
      <c r="AW250" t="str">
        <f>IF(ISNUMBER(FIND("overige",Methode_Keuze)),"",IF(Tb_Activiteiten[[#This Row],[Bijdrage in natura (vrijwilligers)]]=1,Tb_Activiteiten[[#Headers],[Bijdrage in natura (vrijwilligers)]],""))</f>
        <v/>
      </c>
      <c r="AX250" t="str">
        <f>IF(ISNUMBER(FIND("overige",Methode_Keuze)),"",IF(Tb_Activiteiten[[#This Row],[Afschrijvingskosten]]=1,Tb_Activiteiten[[#Headers],[Afschrijvingskosten]],""))</f>
        <v/>
      </c>
      <c r="AY250" t="str">
        <f>IF(ISNUMBER(FIND("overige",Methode_Keuze)),"",IF(Tb_Activiteiten[[#This Row],[Vergoeding]]=1,Tb_Activiteiten[[#Headers],[Vergoeding]],""))</f>
        <v/>
      </c>
      <c r="AZ250" t="str">
        <f>IF(ISNUMBER(FIND("arbeid",Methode_Keuze)),"",IF(Tb_Activiteiten[[#This Row],[Arbeidskosten - vast tarief (excl eigen arbeid)]]=1,Tb_Activiteiten[[#Headers],[Arbeidskosten - vast tarief (excl eigen arbeid)]],""))</f>
        <v/>
      </c>
      <c r="BA250" t="str">
        <f>IF(ISNUMBER(FIND("overige",Methode_Keuze)),"",IF(Tb_Activiteiten[[#This Row],[Overige kosten]]=1,Tb_Activiteiten[[#Headers],[Overige kosten]],""))</f>
        <v/>
      </c>
    </row>
    <row r="251" spans="1:53" x14ac:dyDescent="0.25">
      <c r="A251" s="231"/>
      <c r="F251" s="64"/>
      <c r="G251" s="64"/>
      <c r="H251" s="275"/>
      <c r="I251" s="275"/>
      <c r="J251" s="275"/>
      <c r="K251" s="275"/>
      <c r="O251" s="56"/>
      <c r="Q251" t="str">
        <f>IFERROR(IF(VLOOKUP(Tb_Activiteiten[[#This Row],[Openstelling]],Tb_Openstelling[],2,0)=1,1,""),"")</f>
        <v/>
      </c>
      <c r="AK251" t="str">
        <f>IF(ISNUMBER(FIND("arbeid",Methode_Keuze)),"",IF(ISNUMBER(FIND("arbeid",Methode_Keuze)),"",IF(Tb_Activiteiten[[#This Row],[Loonkosten]]=1,Tb_Activiteiten[[#Headers],[Loonkosten]],"")))</f>
        <v/>
      </c>
      <c r="AL251" t="str">
        <f>IF(ISNUMBER(FIND("arbeid",Methode_Keuze)),"",IF(ISNUMBER(FIND("arbeid",Methode_Keuze)),"",IF(Tb_Activiteiten[[#This Row],[Eigen arbeid]]=1,Tb_Activiteiten[[#Headers],[Eigen arbeid]],"")))</f>
        <v/>
      </c>
      <c r="AM251" t="str">
        <f>IF(ISNUMBER(FIND("arbeid",Methode_Keuze)),"",IF(ISNUMBER(FIND("arbeid",Methode_Keuze)),"",IF(Tb_Activiteiten[[#This Row],[Projectmedewerker]]=1,Tb_Activiteiten[[#Headers],[Projectmedewerker]],"")))</f>
        <v/>
      </c>
      <c r="AN251" t="str">
        <f>IF(ISNUMBER(FIND("arbeid",Methode_Keuze)),"",IF(ISNUMBER(FIND("arbeid",Methode_Keuze)),"",IF(Tb_Activiteiten[[#This Row],[Landbouwer]]=1,Tb_Activiteiten[[#Headers],[Landbouwer]],"")))</f>
        <v/>
      </c>
      <c r="AO251" t="str">
        <f>IF(ISNUMBER(FIND("arbeid",Methode_Keuze)),"",IF(ISNUMBER(FIND("arbeid",Methode_Keuze)),"",IF(Tb_Activiteiten[[#This Row],[Adviseur]]=1,Tb_Activiteiten[[#Headers],[Adviseur]],"")))</f>
        <v/>
      </c>
      <c r="AP251" t="str">
        <f>IF(ISNUMBER(FIND("arbeid",Methode_Keuze)),"",IF(ISNUMBER(FIND("arbeid",Methode_Keuze)),"",IF(Tb_Activiteiten[[#This Row],[Projectleider/Expert]]=1,Tb_Activiteiten[[#Headers],[Projectleider/Expert]],"")))</f>
        <v/>
      </c>
      <c r="AQ251" t="str">
        <f>IF(ISNUMBER(FIND("arbeid",Methode_Keuze)),"",IF(ISNUMBER(FIND("arbeid",Methode_Keuze)),"",IF(Tb_Activiteiten[[#This Row],[Arbeidskosten]]=1,Tb_Activiteiten[[#Headers],[Arbeidskosten]],"")))</f>
        <v/>
      </c>
      <c r="AR251" t="str">
        <f>IF(ISNUMBER(FIND("arbeid",Methode_Keuze)),"",IF(ISNUMBER(FIND("arbeid",Methode_Keuze)),"",IF(Tb_Activiteiten[[#This Row],[Arbeidskosten op basis van IKS]]=1,Tb_Activiteiten[[#Headers],[Arbeidskosten op basis van IKS]],"")))</f>
        <v/>
      </c>
      <c r="AS251" t="str">
        <f>IF(ISNUMBER(FIND("overige",Methode_Keuze)),"",IF(Tb_Activiteiten[[#This Row],[Kosten derden exclusief btw]]=1,Tb_Activiteiten[[#Headers],[Kosten derden exclusief btw]],""))</f>
        <v/>
      </c>
      <c r="AT251" t="str">
        <f>IF(ISNUMBER(FIND("overige",Methode_Keuze)),"",IF(Tb_Activiteiten[[#This Row],[Niet verrekenbare btw]]=1,Tb_Activiteiten[[#Headers],[Niet verrekenbare btw]],""))</f>
        <v/>
      </c>
      <c r="AU251" t="str">
        <f>IF(ISNUMBER(FIND("overige",Methode_Keuze)),"",IF(Tb_Activiteiten[[#This Row],[Grondkosten]]=1,Tb_Activiteiten[[#Headers],[Grondkosten]],""))</f>
        <v/>
      </c>
      <c r="AV251" t="str">
        <f>IF(ISNUMBER(FIND("overige",Methode_Keuze)),"",IF(Tb_Activiteiten[[#This Row],[Bijdrage in natura (overige)]]=1,Tb_Activiteiten[[#Headers],[Bijdrage in natura (overige)]],""))</f>
        <v/>
      </c>
      <c r="AW251" t="str">
        <f>IF(ISNUMBER(FIND("overige",Methode_Keuze)),"",IF(Tb_Activiteiten[[#This Row],[Bijdrage in natura (vrijwilligers)]]=1,Tb_Activiteiten[[#Headers],[Bijdrage in natura (vrijwilligers)]],""))</f>
        <v/>
      </c>
      <c r="AX251" t="str">
        <f>IF(ISNUMBER(FIND("overige",Methode_Keuze)),"",IF(Tb_Activiteiten[[#This Row],[Afschrijvingskosten]]=1,Tb_Activiteiten[[#Headers],[Afschrijvingskosten]],""))</f>
        <v/>
      </c>
      <c r="AY251" t="str">
        <f>IF(ISNUMBER(FIND("overige",Methode_Keuze)),"",IF(Tb_Activiteiten[[#This Row],[Vergoeding]]=1,Tb_Activiteiten[[#Headers],[Vergoeding]],""))</f>
        <v/>
      </c>
      <c r="AZ251" t="str">
        <f>IF(ISNUMBER(FIND("arbeid",Methode_Keuze)),"",IF(Tb_Activiteiten[[#This Row],[Arbeidskosten - vast tarief (excl eigen arbeid)]]=1,Tb_Activiteiten[[#Headers],[Arbeidskosten - vast tarief (excl eigen arbeid)]],""))</f>
        <v/>
      </c>
      <c r="BA251" t="str">
        <f>IF(ISNUMBER(FIND("overige",Methode_Keuze)),"",IF(Tb_Activiteiten[[#This Row],[Overige kosten]]=1,Tb_Activiteiten[[#Headers],[Overige kosten]],""))</f>
        <v/>
      </c>
    </row>
    <row r="252" spans="1:53" x14ac:dyDescent="0.25">
      <c r="A252" s="231"/>
      <c r="F252" s="64"/>
      <c r="G252" s="64"/>
      <c r="H252" s="275"/>
      <c r="I252" s="275"/>
      <c r="J252" s="275"/>
      <c r="K252" s="275"/>
      <c r="O252" s="56"/>
      <c r="Q252" t="str">
        <f>IFERROR(IF(VLOOKUP(Tb_Activiteiten[[#This Row],[Openstelling]],Tb_Openstelling[],2,0)=1,1,""),"")</f>
        <v/>
      </c>
      <c r="AK252" t="str">
        <f>IF(ISNUMBER(FIND("arbeid",Methode_Keuze)),"",IF(ISNUMBER(FIND("arbeid",Methode_Keuze)),"",IF(Tb_Activiteiten[[#This Row],[Loonkosten]]=1,Tb_Activiteiten[[#Headers],[Loonkosten]],"")))</f>
        <v/>
      </c>
      <c r="AL252" t="str">
        <f>IF(ISNUMBER(FIND("arbeid",Methode_Keuze)),"",IF(ISNUMBER(FIND("arbeid",Methode_Keuze)),"",IF(Tb_Activiteiten[[#This Row],[Eigen arbeid]]=1,Tb_Activiteiten[[#Headers],[Eigen arbeid]],"")))</f>
        <v/>
      </c>
      <c r="AM252" t="str">
        <f>IF(ISNUMBER(FIND("arbeid",Methode_Keuze)),"",IF(ISNUMBER(FIND("arbeid",Methode_Keuze)),"",IF(Tb_Activiteiten[[#This Row],[Projectmedewerker]]=1,Tb_Activiteiten[[#Headers],[Projectmedewerker]],"")))</f>
        <v/>
      </c>
      <c r="AN252" t="str">
        <f>IF(ISNUMBER(FIND("arbeid",Methode_Keuze)),"",IF(ISNUMBER(FIND("arbeid",Methode_Keuze)),"",IF(Tb_Activiteiten[[#This Row],[Landbouwer]]=1,Tb_Activiteiten[[#Headers],[Landbouwer]],"")))</f>
        <v/>
      </c>
      <c r="AO252" t="str">
        <f>IF(ISNUMBER(FIND("arbeid",Methode_Keuze)),"",IF(ISNUMBER(FIND("arbeid",Methode_Keuze)),"",IF(Tb_Activiteiten[[#This Row],[Adviseur]]=1,Tb_Activiteiten[[#Headers],[Adviseur]],"")))</f>
        <v/>
      </c>
      <c r="AP252" t="str">
        <f>IF(ISNUMBER(FIND("arbeid",Methode_Keuze)),"",IF(ISNUMBER(FIND("arbeid",Methode_Keuze)),"",IF(Tb_Activiteiten[[#This Row],[Projectleider/Expert]]=1,Tb_Activiteiten[[#Headers],[Projectleider/Expert]],"")))</f>
        <v/>
      </c>
      <c r="AQ252" t="str">
        <f>IF(ISNUMBER(FIND("arbeid",Methode_Keuze)),"",IF(ISNUMBER(FIND("arbeid",Methode_Keuze)),"",IF(Tb_Activiteiten[[#This Row],[Arbeidskosten]]=1,Tb_Activiteiten[[#Headers],[Arbeidskosten]],"")))</f>
        <v/>
      </c>
      <c r="AR252" t="str">
        <f>IF(ISNUMBER(FIND("arbeid",Methode_Keuze)),"",IF(ISNUMBER(FIND("arbeid",Methode_Keuze)),"",IF(Tb_Activiteiten[[#This Row],[Arbeidskosten op basis van IKS]]=1,Tb_Activiteiten[[#Headers],[Arbeidskosten op basis van IKS]],"")))</f>
        <v/>
      </c>
      <c r="AS252" t="str">
        <f>IF(ISNUMBER(FIND("overige",Methode_Keuze)),"",IF(Tb_Activiteiten[[#This Row],[Kosten derden exclusief btw]]=1,Tb_Activiteiten[[#Headers],[Kosten derden exclusief btw]],""))</f>
        <v/>
      </c>
      <c r="AT252" t="str">
        <f>IF(ISNUMBER(FIND("overige",Methode_Keuze)),"",IF(Tb_Activiteiten[[#This Row],[Niet verrekenbare btw]]=1,Tb_Activiteiten[[#Headers],[Niet verrekenbare btw]],""))</f>
        <v/>
      </c>
      <c r="AU252" t="str">
        <f>IF(ISNUMBER(FIND("overige",Methode_Keuze)),"",IF(Tb_Activiteiten[[#This Row],[Grondkosten]]=1,Tb_Activiteiten[[#Headers],[Grondkosten]],""))</f>
        <v/>
      </c>
      <c r="AV252" t="str">
        <f>IF(ISNUMBER(FIND("overige",Methode_Keuze)),"",IF(Tb_Activiteiten[[#This Row],[Bijdrage in natura (overige)]]=1,Tb_Activiteiten[[#Headers],[Bijdrage in natura (overige)]],""))</f>
        <v/>
      </c>
      <c r="AW252" t="str">
        <f>IF(ISNUMBER(FIND("overige",Methode_Keuze)),"",IF(Tb_Activiteiten[[#This Row],[Bijdrage in natura (vrijwilligers)]]=1,Tb_Activiteiten[[#Headers],[Bijdrage in natura (vrijwilligers)]],""))</f>
        <v/>
      </c>
      <c r="AX252" t="str">
        <f>IF(ISNUMBER(FIND("overige",Methode_Keuze)),"",IF(Tb_Activiteiten[[#This Row],[Afschrijvingskosten]]=1,Tb_Activiteiten[[#Headers],[Afschrijvingskosten]],""))</f>
        <v/>
      </c>
      <c r="AY252" t="str">
        <f>IF(ISNUMBER(FIND("overige",Methode_Keuze)),"",IF(Tb_Activiteiten[[#This Row],[Vergoeding]]=1,Tb_Activiteiten[[#Headers],[Vergoeding]],""))</f>
        <v/>
      </c>
      <c r="AZ252" t="str">
        <f>IF(ISNUMBER(FIND("arbeid",Methode_Keuze)),"",IF(Tb_Activiteiten[[#This Row],[Arbeidskosten - vast tarief (excl eigen arbeid)]]=1,Tb_Activiteiten[[#Headers],[Arbeidskosten - vast tarief (excl eigen arbeid)]],""))</f>
        <v/>
      </c>
      <c r="BA252" t="str">
        <f>IF(ISNUMBER(FIND("overige",Methode_Keuze)),"",IF(Tb_Activiteiten[[#This Row],[Overige kosten]]=1,Tb_Activiteiten[[#Headers],[Overige kosten]],""))</f>
        <v/>
      </c>
    </row>
    <row r="253" spans="1:53" x14ac:dyDescent="0.25">
      <c r="A253" s="231"/>
      <c r="F253" s="64"/>
      <c r="G253" s="64"/>
      <c r="H253" s="275"/>
      <c r="I253" s="275"/>
      <c r="J253" s="275"/>
      <c r="K253" s="275"/>
      <c r="O253" s="56"/>
      <c r="Q253" t="str">
        <f>IFERROR(IF(VLOOKUP(Tb_Activiteiten[[#This Row],[Openstelling]],Tb_Openstelling[],2,0)=1,1,""),"")</f>
        <v/>
      </c>
      <c r="AK253" t="str">
        <f>IF(ISNUMBER(FIND("arbeid",Methode_Keuze)),"",IF(ISNUMBER(FIND("arbeid",Methode_Keuze)),"",IF(Tb_Activiteiten[[#This Row],[Loonkosten]]=1,Tb_Activiteiten[[#Headers],[Loonkosten]],"")))</f>
        <v/>
      </c>
      <c r="AL253" t="str">
        <f>IF(ISNUMBER(FIND("arbeid",Methode_Keuze)),"",IF(ISNUMBER(FIND("arbeid",Methode_Keuze)),"",IF(Tb_Activiteiten[[#This Row],[Eigen arbeid]]=1,Tb_Activiteiten[[#Headers],[Eigen arbeid]],"")))</f>
        <v/>
      </c>
      <c r="AM253" t="str">
        <f>IF(ISNUMBER(FIND("arbeid",Methode_Keuze)),"",IF(ISNUMBER(FIND("arbeid",Methode_Keuze)),"",IF(Tb_Activiteiten[[#This Row],[Projectmedewerker]]=1,Tb_Activiteiten[[#Headers],[Projectmedewerker]],"")))</f>
        <v/>
      </c>
      <c r="AN253" t="str">
        <f>IF(ISNUMBER(FIND("arbeid",Methode_Keuze)),"",IF(ISNUMBER(FIND("arbeid",Methode_Keuze)),"",IF(Tb_Activiteiten[[#This Row],[Landbouwer]]=1,Tb_Activiteiten[[#Headers],[Landbouwer]],"")))</f>
        <v/>
      </c>
      <c r="AO253" t="str">
        <f>IF(ISNUMBER(FIND("arbeid",Methode_Keuze)),"",IF(ISNUMBER(FIND("arbeid",Methode_Keuze)),"",IF(Tb_Activiteiten[[#This Row],[Adviseur]]=1,Tb_Activiteiten[[#Headers],[Adviseur]],"")))</f>
        <v/>
      </c>
      <c r="AP253" t="str">
        <f>IF(ISNUMBER(FIND("arbeid",Methode_Keuze)),"",IF(ISNUMBER(FIND("arbeid",Methode_Keuze)),"",IF(Tb_Activiteiten[[#This Row],[Projectleider/Expert]]=1,Tb_Activiteiten[[#Headers],[Projectleider/Expert]],"")))</f>
        <v/>
      </c>
      <c r="AQ253" t="str">
        <f>IF(ISNUMBER(FIND("arbeid",Methode_Keuze)),"",IF(ISNUMBER(FIND("arbeid",Methode_Keuze)),"",IF(Tb_Activiteiten[[#This Row],[Arbeidskosten]]=1,Tb_Activiteiten[[#Headers],[Arbeidskosten]],"")))</f>
        <v/>
      </c>
      <c r="AR253" t="str">
        <f>IF(ISNUMBER(FIND("arbeid",Methode_Keuze)),"",IF(ISNUMBER(FIND("arbeid",Methode_Keuze)),"",IF(Tb_Activiteiten[[#This Row],[Arbeidskosten op basis van IKS]]=1,Tb_Activiteiten[[#Headers],[Arbeidskosten op basis van IKS]],"")))</f>
        <v/>
      </c>
      <c r="AS253" t="str">
        <f>IF(ISNUMBER(FIND("overige",Methode_Keuze)),"",IF(Tb_Activiteiten[[#This Row],[Kosten derden exclusief btw]]=1,Tb_Activiteiten[[#Headers],[Kosten derden exclusief btw]],""))</f>
        <v/>
      </c>
      <c r="AT253" t="str">
        <f>IF(ISNUMBER(FIND("overige",Methode_Keuze)),"",IF(Tb_Activiteiten[[#This Row],[Niet verrekenbare btw]]=1,Tb_Activiteiten[[#Headers],[Niet verrekenbare btw]],""))</f>
        <v/>
      </c>
      <c r="AU253" t="str">
        <f>IF(ISNUMBER(FIND("overige",Methode_Keuze)),"",IF(Tb_Activiteiten[[#This Row],[Grondkosten]]=1,Tb_Activiteiten[[#Headers],[Grondkosten]],""))</f>
        <v/>
      </c>
      <c r="AV253" t="str">
        <f>IF(ISNUMBER(FIND("overige",Methode_Keuze)),"",IF(Tb_Activiteiten[[#This Row],[Bijdrage in natura (overige)]]=1,Tb_Activiteiten[[#Headers],[Bijdrage in natura (overige)]],""))</f>
        <v/>
      </c>
      <c r="AW253" t="str">
        <f>IF(ISNUMBER(FIND("overige",Methode_Keuze)),"",IF(Tb_Activiteiten[[#This Row],[Bijdrage in natura (vrijwilligers)]]=1,Tb_Activiteiten[[#Headers],[Bijdrage in natura (vrijwilligers)]],""))</f>
        <v/>
      </c>
      <c r="AX253" t="str">
        <f>IF(ISNUMBER(FIND("overige",Methode_Keuze)),"",IF(Tb_Activiteiten[[#This Row],[Afschrijvingskosten]]=1,Tb_Activiteiten[[#Headers],[Afschrijvingskosten]],""))</f>
        <v/>
      </c>
      <c r="AY253" t="str">
        <f>IF(ISNUMBER(FIND("overige",Methode_Keuze)),"",IF(Tb_Activiteiten[[#This Row],[Vergoeding]]=1,Tb_Activiteiten[[#Headers],[Vergoeding]],""))</f>
        <v/>
      </c>
      <c r="AZ253" t="str">
        <f>IF(ISNUMBER(FIND("arbeid",Methode_Keuze)),"",IF(Tb_Activiteiten[[#This Row],[Arbeidskosten - vast tarief (excl eigen arbeid)]]=1,Tb_Activiteiten[[#Headers],[Arbeidskosten - vast tarief (excl eigen arbeid)]],""))</f>
        <v/>
      </c>
      <c r="BA253" t="str">
        <f>IF(ISNUMBER(FIND("overige",Methode_Keuze)),"",IF(Tb_Activiteiten[[#This Row],[Overige kosten]]=1,Tb_Activiteiten[[#Headers],[Overige kosten]],""))</f>
        <v/>
      </c>
    </row>
    <row r="254" spans="1:53" x14ac:dyDescent="0.25">
      <c r="A254" s="231"/>
      <c r="F254" s="64"/>
      <c r="G254" s="64"/>
      <c r="H254" s="275"/>
      <c r="I254" s="275"/>
      <c r="J254" s="275"/>
      <c r="K254" s="275"/>
      <c r="O254" s="56"/>
      <c r="Q254" t="str">
        <f>IFERROR(IF(VLOOKUP(Tb_Activiteiten[[#This Row],[Openstelling]],Tb_Openstelling[],2,0)=1,1,""),"")</f>
        <v/>
      </c>
      <c r="AK254" t="str">
        <f>IF(ISNUMBER(FIND("arbeid",Methode_Keuze)),"",IF(ISNUMBER(FIND("arbeid",Methode_Keuze)),"",IF(Tb_Activiteiten[[#This Row],[Loonkosten]]=1,Tb_Activiteiten[[#Headers],[Loonkosten]],"")))</f>
        <v/>
      </c>
      <c r="AL254" t="str">
        <f>IF(ISNUMBER(FIND("arbeid",Methode_Keuze)),"",IF(ISNUMBER(FIND("arbeid",Methode_Keuze)),"",IF(Tb_Activiteiten[[#This Row],[Eigen arbeid]]=1,Tb_Activiteiten[[#Headers],[Eigen arbeid]],"")))</f>
        <v/>
      </c>
      <c r="AM254" t="str">
        <f>IF(ISNUMBER(FIND("arbeid",Methode_Keuze)),"",IF(ISNUMBER(FIND("arbeid",Methode_Keuze)),"",IF(Tb_Activiteiten[[#This Row],[Projectmedewerker]]=1,Tb_Activiteiten[[#Headers],[Projectmedewerker]],"")))</f>
        <v/>
      </c>
      <c r="AN254" t="str">
        <f>IF(ISNUMBER(FIND("arbeid",Methode_Keuze)),"",IF(ISNUMBER(FIND("arbeid",Methode_Keuze)),"",IF(Tb_Activiteiten[[#This Row],[Landbouwer]]=1,Tb_Activiteiten[[#Headers],[Landbouwer]],"")))</f>
        <v/>
      </c>
      <c r="AO254" t="str">
        <f>IF(ISNUMBER(FIND("arbeid",Methode_Keuze)),"",IF(ISNUMBER(FIND("arbeid",Methode_Keuze)),"",IF(Tb_Activiteiten[[#This Row],[Adviseur]]=1,Tb_Activiteiten[[#Headers],[Adviseur]],"")))</f>
        <v/>
      </c>
      <c r="AP254" t="str">
        <f>IF(ISNUMBER(FIND("arbeid",Methode_Keuze)),"",IF(ISNUMBER(FIND("arbeid",Methode_Keuze)),"",IF(Tb_Activiteiten[[#This Row],[Projectleider/Expert]]=1,Tb_Activiteiten[[#Headers],[Projectleider/Expert]],"")))</f>
        <v/>
      </c>
      <c r="AQ254" t="str">
        <f>IF(ISNUMBER(FIND("arbeid",Methode_Keuze)),"",IF(ISNUMBER(FIND("arbeid",Methode_Keuze)),"",IF(Tb_Activiteiten[[#This Row],[Arbeidskosten]]=1,Tb_Activiteiten[[#Headers],[Arbeidskosten]],"")))</f>
        <v/>
      </c>
      <c r="AR254" t="str">
        <f>IF(ISNUMBER(FIND("arbeid",Methode_Keuze)),"",IF(ISNUMBER(FIND("arbeid",Methode_Keuze)),"",IF(Tb_Activiteiten[[#This Row],[Arbeidskosten op basis van IKS]]=1,Tb_Activiteiten[[#Headers],[Arbeidskosten op basis van IKS]],"")))</f>
        <v/>
      </c>
      <c r="AS254" t="str">
        <f>IF(ISNUMBER(FIND("overige",Methode_Keuze)),"",IF(Tb_Activiteiten[[#This Row],[Kosten derden exclusief btw]]=1,Tb_Activiteiten[[#Headers],[Kosten derden exclusief btw]],""))</f>
        <v/>
      </c>
      <c r="AT254" t="str">
        <f>IF(ISNUMBER(FIND("overige",Methode_Keuze)),"",IF(Tb_Activiteiten[[#This Row],[Niet verrekenbare btw]]=1,Tb_Activiteiten[[#Headers],[Niet verrekenbare btw]],""))</f>
        <v/>
      </c>
      <c r="AU254" t="str">
        <f>IF(ISNUMBER(FIND("overige",Methode_Keuze)),"",IF(Tb_Activiteiten[[#This Row],[Grondkosten]]=1,Tb_Activiteiten[[#Headers],[Grondkosten]],""))</f>
        <v/>
      </c>
      <c r="AV254" t="str">
        <f>IF(ISNUMBER(FIND("overige",Methode_Keuze)),"",IF(Tb_Activiteiten[[#This Row],[Bijdrage in natura (overige)]]=1,Tb_Activiteiten[[#Headers],[Bijdrage in natura (overige)]],""))</f>
        <v/>
      </c>
      <c r="AW254" t="str">
        <f>IF(ISNUMBER(FIND("overige",Methode_Keuze)),"",IF(Tb_Activiteiten[[#This Row],[Bijdrage in natura (vrijwilligers)]]=1,Tb_Activiteiten[[#Headers],[Bijdrage in natura (vrijwilligers)]],""))</f>
        <v/>
      </c>
      <c r="AX254" t="str">
        <f>IF(ISNUMBER(FIND("overige",Methode_Keuze)),"",IF(Tb_Activiteiten[[#This Row],[Afschrijvingskosten]]=1,Tb_Activiteiten[[#Headers],[Afschrijvingskosten]],""))</f>
        <v/>
      </c>
      <c r="AY254" t="str">
        <f>IF(ISNUMBER(FIND("overige",Methode_Keuze)),"",IF(Tb_Activiteiten[[#This Row],[Vergoeding]]=1,Tb_Activiteiten[[#Headers],[Vergoeding]],""))</f>
        <v/>
      </c>
      <c r="AZ254" t="str">
        <f>IF(ISNUMBER(FIND("arbeid",Methode_Keuze)),"",IF(Tb_Activiteiten[[#This Row],[Arbeidskosten - vast tarief (excl eigen arbeid)]]=1,Tb_Activiteiten[[#Headers],[Arbeidskosten - vast tarief (excl eigen arbeid)]],""))</f>
        <v/>
      </c>
      <c r="BA254" t="str">
        <f>IF(ISNUMBER(FIND("overige",Methode_Keuze)),"",IF(Tb_Activiteiten[[#This Row],[Overige kosten]]=1,Tb_Activiteiten[[#Headers],[Overige kosten]],""))</f>
        <v/>
      </c>
    </row>
    <row r="255" spans="1:53" x14ac:dyDescent="0.25">
      <c r="A255" s="231"/>
      <c r="F255" s="64"/>
      <c r="G255" s="64"/>
      <c r="H255" s="275"/>
      <c r="I255" s="275"/>
      <c r="J255" s="275"/>
      <c r="K255" s="275"/>
      <c r="O255" s="56"/>
      <c r="Q255" t="str">
        <f>IFERROR(IF(VLOOKUP(Tb_Activiteiten[[#This Row],[Openstelling]],Tb_Openstelling[],2,0)=1,1,""),"")</f>
        <v/>
      </c>
      <c r="AK255" t="str">
        <f>IF(ISNUMBER(FIND("arbeid",Methode_Keuze)),"",IF(ISNUMBER(FIND("arbeid",Methode_Keuze)),"",IF(Tb_Activiteiten[[#This Row],[Loonkosten]]=1,Tb_Activiteiten[[#Headers],[Loonkosten]],"")))</f>
        <v/>
      </c>
      <c r="AL255" t="str">
        <f>IF(ISNUMBER(FIND("arbeid",Methode_Keuze)),"",IF(ISNUMBER(FIND("arbeid",Methode_Keuze)),"",IF(Tb_Activiteiten[[#This Row],[Eigen arbeid]]=1,Tb_Activiteiten[[#Headers],[Eigen arbeid]],"")))</f>
        <v/>
      </c>
      <c r="AM255" t="str">
        <f>IF(ISNUMBER(FIND("arbeid",Methode_Keuze)),"",IF(ISNUMBER(FIND("arbeid",Methode_Keuze)),"",IF(Tb_Activiteiten[[#This Row],[Projectmedewerker]]=1,Tb_Activiteiten[[#Headers],[Projectmedewerker]],"")))</f>
        <v/>
      </c>
      <c r="AN255" t="str">
        <f>IF(ISNUMBER(FIND("arbeid",Methode_Keuze)),"",IF(ISNUMBER(FIND("arbeid",Methode_Keuze)),"",IF(Tb_Activiteiten[[#This Row],[Landbouwer]]=1,Tb_Activiteiten[[#Headers],[Landbouwer]],"")))</f>
        <v/>
      </c>
      <c r="AO255" t="str">
        <f>IF(ISNUMBER(FIND("arbeid",Methode_Keuze)),"",IF(ISNUMBER(FIND("arbeid",Methode_Keuze)),"",IF(Tb_Activiteiten[[#This Row],[Adviseur]]=1,Tb_Activiteiten[[#Headers],[Adviseur]],"")))</f>
        <v/>
      </c>
      <c r="AP255" t="str">
        <f>IF(ISNUMBER(FIND("arbeid",Methode_Keuze)),"",IF(ISNUMBER(FIND("arbeid",Methode_Keuze)),"",IF(Tb_Activiteiten[[#This Row],[Projectleider/Expert]]=1,Tb_Activiteiten[[#Headers],[Projectleider/Expert]],"")))</f>
        <v/>
      </c>
      <c r="AQ255" t="str">
        <f>IF(ISNUMBER(FIND("arbeid",Methode_Keuze)),"",IF(ISNUMBER(FIND("arbeid",Methode_Keuze)),"",IF(Tb_Activiteiten[[#This Row],[Arbeidskosten]]=1,Tb_Activiteiten[[#Headers],[Arbeidskosten]],"")))</f>
        <v/>
      </c>
      <c r="AR255" t="str">
        <f>IF(ISNUMBER(FIND("arbeid",Methode_Keuze)),"",IF(ISNUMBER(FIND("arbeid",Methode_Keuze)),"",IF(Tb_Activiteiten[[#This Row],[Arbeidskosten op basis van IKS]]=1,Tb_Activiteiten[[#Headers],[Arbeidskosten op basis van IKS]],"")))</f>
        <v/>
      </c>
      <c r="AS255" t="str">
        <f>IF(ISNUMBER(FIND("overige",Methode_Keuze)),"",IF(Tb_Activiteiten[[#This Row],[Kosten derden exclusief btw]]=1,Tb_Activiteiten[[#Headers],[Kosten derden exclusief btw]],""))</f>
        <v/>
      </c>
      <c r="AT255" t="str">
        <f>IF(ISNUMBER(FIND("overige",Methode_Keuze)),"",IF(Tb_Activiteiten[[#This Row],[Niet verrekenbare btw]]=1,Tb_Activiteiten[[#Headers],[Niet verrekenbare btw]],""))</f>
        <v/>
      </c>
      <c r="AU255" t="str">
        <f>IF(ISNUMBER(FIND("overige",Methode_Keuze)),"",IF(Tb_Activiteiten[[#This Row],[Grondkosten]]=1,Tb_Activiteiten[[#Headers],[Grondkosten]],""))</f>
        <v/>
      </c>
      <c r="AV255" t="str">
        <f>IF(ISNUMBER(FIND("overige",Methode_Keuze)),"",IF(Tb_Activiteiten[[#This Row],[Bijdrage in natura (overige)]]=1,Tb_Activiteiten[[#Headers],[Bijdrage in natura (overige)]],""))</f>
        <v/>
      </c>
      <c r="AW255" t="str">
        <f>IF(ISNUMBER(FIND("overige",Methode_Keuze)),"",IF(Tb_Activiteiten[[#This Row],[Bijdrage in natura (vrijwilligers)]]=1,Tb_Activiteiten[[#Headers],[Bijdrage in natura (vrijwilligers)]],""))</f>
        <v/>
      </c>
      <c r="AX255" t="str">
        <f>IF(ISNUMBER(FIND("overige",Methode_Keuze)),"",IF(Tb_Activiteiten[[#This Row],[Afschrijvingskosten]]=1,Tb_Activiteiten[[#Headers],[Afschrijvingskosten]],""))</f>
        <v/>
      </c>
      <c r="AY255" t="str">
        <f>IF(ISNUMBER(FIND("overige",Methode_Keuze)),"",IF(Tb_Activiteiten[[#This Row],[Vergoeding]]=1,Tb_Activiteiten[[#Headers],[Vergoeding]],""))</f>
        <v/>
      </c>
      <c r="AZ255" t="str">
        <f>IF(ISNUMBER(FIND("arbeid",Methode_Keuze)),"",IF(Tb_Activiteiten[[#This Row],[Arbeidskosten - vast tarief (excl eigen arbeid)]]=1,Tb_Activiteiten[[#Headers],[Arbeidskosten - vast tarief (excl eigen arbeid)]],""))</f>
        <v/>
      </c>
      <c r="BA255" t="str">
        <f>IF(ISNUMBER(FIND("overige",Methode_Keuze)),"",IF(Tb_Activiteiten[[#This Row],[Overige kosten]]=1,Tb_Activiteiten[[#Headers],[Overige kosten]],""))</f>
        <v/>
      </c>
    </row>
    <row r="256" spans="1:53" x14ac:dyDescent="0.25">
      <c r="A256" s="231"/>
      <c r="F256" s="64"/>
      <c r="G256" s="64"/>
      <c r="H256" s="275"/>
      <c r="I256" s="275"/>
      <c r="J256" s="275"/>
      <c r="K256" s="275"/>
      <c r="O256" s="56"/>
      <c r="Q256" t="str">
        <f>IFERROR(IF(VLOOKUP(Tb_Activiteiten[[#This Row],[Openstelling]],Tb_Openstelling[],2,0)=1,1,""),"")</f>
        <v/>
      </c>
      <c r="AK256" t="str">
        <f>IF(ISNUMBER(FIND("arbeid",Methode_Keuze)),"",IF(ISNUMBER(FIND("arbeid",Methode_Keuze)),"",IF(Tb_Activiteiten[[#This Row],[Loonkosten]]=1,Tb_Activiteiten[[#Headers],[Loonkosten]],"")))</f>
        <v/>
      </c>
      <c r="AL256" t="str">
        <f>IF(ISNUMBER(FIND("arbeid",Methode_Keuze)),"",IF(ISNUMBER(FIND("arbeid",Methode_Keuze)),"",IF(Tb_Activiteiten[[#This Row],[Eigen arbeid]]=1,Tb_Activiteiten[[#Headers],[Eigen arbeid]],"")))</f>
        <v/>
      </c>
      <c r="AM256" t="str">
        <f>IF(ISNUMBER(FIND("arbeid",Methode_Keuze)),"",IF(ISNUMBER(FIND("arbeid",Methode_Keuze)),"",IF(Tb_Activiteiten[[#This Row],[Projectmedewerker]]=1,Tb_Activiteiten[[#Headers],[Projectmedewerker]],"")))</f>
        <v/>
      </c>
      <c r="AN256" t="str">
        <f>IF(ISNUMBER(FIND("arbeid",Methode_Keuze)),"",IF(ISNUMBER(FIND("arbeid",Methode_Keuze)),"",IF(Tb_Activiteiten[[#This Row],[Landbouwer]]=1,Tb_Activiteiten[[#Headers],[Landbouwer]],"")))</f>
        <v/>
      </c>
      <c r="AO256" t="str">
        <f>IF(ISNUMBER(FIND("arbeid",Methode_Keuze)),"",IF(ISNUMBER(FIND("arbeid",Methode_Keuze)),"",IF(Tb_Activiteiten[[#This Row],[Adviseur]]=1,Tb_Activiteiten[[#Headers],[Adviseur]],"")))</f>
        <v/>
      </c>
      <c r="AP256" t="str">
        <f>IF(ISNUMBER(FIND("arbeid",Methode_Keuze)),"",IF(ISNUMBER(FIND("arbeid",Methode_Keuze)),"",IF(Tb_Activiteiten[[#This Row],[Projectleider/Expert]]=1,Tb_Activiteiten[[#Headers],[Projectleider/Expert]],"")))</f>
        <v/>
      </c>
      <c r="AQ256" t="str">
        <f>IF(ISNUMBER(FIND("arbeid",Methode_Keuze)),"",IF(ISNUMBER(FIND("arbeid",Methode_Keuze)),"",IF(Tb_Activiteiten[[#This Row],[Arbeidskosten]]=1,Tb_Activiteiten[[#Headers],[Arbeidskosten]],"")))</f>
        <v/>
      </c>
      <c r="AR256" t="str">
        <f>IF(ISNUMBER(FIND("arbeid",Methode_Keuze)),"",IF(ISNUMBER(FIND("arbeid",Methode_Keuze)),"",IF(Tb_Activiteiten[[#This Row],[Arbeidskosten op basis van IKS]]=1,Tb_Activiteiten[[#Headers],[Arbeidskosten op basis van IKS]],"")))</f>
        <v/>
      </c>
      <c r="AS256" t="str">
        <f>IF(ISNUMBER(FIND("overige",Methode_Keuze)),"",IF(Tb_Activiteiten[[#This Row],[Kosten derden exclusief btw]]=1,Tb_Activiteiten[[#Headers],[Kosten derden exclusief btw]],""))</f>
        <v/>
      </c>
      <c r="AT256" t="str">
        <f>IF(ISNUMBER(FIND("overige",Methode_Keuze)),"",IF(Tb_Activiteiten[[#This Row],[Niet verrekenbare btw]]=1,Tb_Activiteiten[[#Headers],[Niet verrekenbare btw]],""))</f>
        <v/>
      </c>
      <c r="AU256" t="str">
        <f>IF(ISNUMBER(FIND("overige",Methode_Keuze)),"",IF(Tb_Activiteiten[[#This Row],[Grondkosten]]=1,Tb_Activiteiten[[#Headers],[Grondkosten]],""))</f>
        <v/>
      </c>
      <c r="AV256" t="str">
        <f>IF(ISNUMBER(FIND("overige",Methode_Keuze)),"",IF(Tb_Activiteiten[[#This Row],[Bijdrage in natura (overige)]]=1,Tb_Activiteiten[[#Headers],[Bijdrage in natura (overige)]],""))</f>
        <v/>
      </c>
      <c r="AW256" t="str">
        <f>IF(ISNUMBER(FIND("overige",Methode_Keuze)),"",IF(Tb_Activiteiten[[#This Row],[Bijdrage in natura (vrijwilligers)]]=1,Tb_Activiteiten[[#Headers],[Bijdrage in natura (vrijwilligers)]],""))</f>
        <v/>
      </c>
      <c r="AX256" t="str">
        <f>IF(ISNUMBER(FIND("overige",Methode_Keuze)),"",IF(Tb_Activiteiten[[#This Row],[Afschrijvingskosten]]=1,Tb_Activiteiten[[#Headers],[Afschrijvingskosten]],""))</f>
        <v/>
      </c>
      <c r="AY256" t="str">
        <f>IF(ISNUMBER(FIND("overige",Methode_Keuze)),"",IF(Tb_Activiteiten[[#This Row],[Vergoeding]]=1,Tb_Activiteiten[[#Headers],[Vergoeding]],""))</f>
        <v/>
      </c>
      <c r="AZ256" t="str">
        <f>IF(ISNUMBER(FIND("arbeid",Methode_Keuze)),"",IF(Tb_Activiteiten[[#This Row],[Arbeidskosten - vast tarief (excl eigen arbeid)]]=1,Tb_Activiteiten[[#Headers],[Arbeidskosten - vast tarief (excl eigen arbeid)]],""))</f>
        <v/>
      </c>
      <c r="BA256" t="str">
        <f>IF(ISNUMBER(FIND("overige",Methode_Keuze)),"",IF(Tb_Activiteiten[[#This Row],[Overige kosten]]=1,Tb_Activiteiten[[#Headers],[Overige kosten]],""))</f>
        <v/>
      </c>
    </row>
    <row r="257" spans="1:53" x14ac:dyDescent="0.25">
      <c r="A257" s="231"/>
      <c r="F257" s="64"/>
      <c r="G257" s="64"/>
      <c r="H257" s="275"/>
      <c r="I257" s="275"/>
      <c r="J257" s="275"/>
      <c r="K257" s="275"/>
      <c r="O257" s="56"/>
      <c r="Q257" t="str">
        <f>IFERROR(IF(VLOOKUP(Tb_Activiteiten[[#This Row],[Openstelling]],Tb_Openstelling[],2,0)=1,1,""),"")</f>
        <v/>
      </c>
      <c r="AK257" t="str">
        <f>IF(ISNUMBER(FIND("arbeid",Methode_Keuze)),"",IF(ISNUMBER(FIND("arbeid",Methode_Keuze)),"",IF(Tb_Activiteiten[[#This Row],[Loonkosten]]=1,Tb_Activiteiten[[#Headers],[Loonkosten]],"")))</f>
        <v/>
      </c>
      <c r="AL257" t="str">
        <f>IF(ISNUMBER(FIND("arbeid",Methode_Keuze)),"",IF(ISNUMBER(FIND("arbeid",Methode_Keuze)),"",IF(Tb_Activiteiten[[#This Row],[Eigen arbeid]]=1,Tb_Activiteiten[[#Headers],[Eigen arbeid]],"")))</f>
        <v/>
      </c>
      <c r="AM257" t="str">
        <f>IF(ISNUMBER(FIND("arbeid",Methode_Keuze)),"",IF(ISNUMBER(FIND("arbeid",Methode_Keuze)),"",IF(Tb_Activiteiten[[#This Row],[Projectmedewerker]]=1,Tb_Activiteiten[[#Headers],[Projectmedewerker]],"")))</f>
        <v/>
      </c>
      <c r="AN257" t="str">
        <f>IF(ISNUMBER(FIND("arbeid",Methode_Keuze)),"",IF(ISNUMBER(FIND("arbeid",Methode_Keuze)),"",IF(Tb_Activiteiten[[#This Row],[Landbouwer]]=1,Tb_Activiteiten[[#Headers],[Landbouwer]],"")))</f>
        <v/>
      </c>
      <c r="AO257" t="str">
        <f>IF(ISNUMBER(FIND("arbeid",Methode_Keuze)),"",IF(ISNUMBER(FIND("arbeid",Methode_Keuze)),"",IF(Tb_Activiteiten[[#This Row],[Adviseur]]=1,Tb_Activiteiten[[#Headers],[Adviseur]],"")))</f>
        <v/>
      </c>
      <c r="AP257" t="str">
        <f>IF(ISNUMBER(FIND("arbeid",Methode_Keuze)),"",IF(ISNUMBER(FIND("arbeid",Methode_Keuze)),"",IF(Tb_Activiteiten[[#This Row],[Projectleider/Expert]]=1,Tb_Activiteiten[[#Headers],[Projectleider/Expert]],"")))</f>
        <v/>
      </c>
      <c r="AQ257" t="str">
        <f>IF(ISNUMBER(FIND("arbeid",Methode_Keuze)),"",IF(ISNUMBER(FIND("arbeid",Methode_Keuze)),"",IF(Tb_Activiteiten[[#This Row],[Arbeidskosten]]=1,Tb_Activiteiten[[#Headers],[Arbeidskosten]],"")))</f>
        <v/>
      </c>
      <c r="AR257" t="str">
        <f>IF(ISNUMBER(FIND("arbeid",Methode_Keuze)),"",IF(ISNUMBER(FIND("arbeid",Methode_Keuze)),"",IF(Tb_Activiteiten[[#This Row],[Arbeidskosten op basis van IKS]]=1,Tb_Activiteiten[[#Headers],[Arbeidskosten op basis van IKS]],"")))</f>
        <v/>
      </c>
      <c r="AS257" t="str">
        <f>IF(ISNUMBER(FIND("overige",Methode_Keuze)),"",IF(Tb_Activiteiten[[#This Row],[Kosten derden exclusief btw]]=1,Tb_Activiteiten[[#Headers],[Kosten derden exclusief btw]],""))</f>
        <v/>
      </c>
      <c r="AT257" t="str">
        <f>IF(ISNUMBER(FIND("overige",Methode_Keuze)),"",IF(Tb_Activiteiten[[#This Row],[Niet verrekenbare btw]]=1,Tb_Activiteiten[[#Headers],[Niet verrekenbare btw]],""))</f>
        <v/>
      </c>
      <c r="AU257" t="str">
        <f>IF(ISNUMBER(FIND("overige",Methode_Keuze)),"",IF(Tb_Activiteiten[[#This Row],[Grondkosten]]=1,Tb_Activiteiten[[#Headers],[Grondkosten]],""))</f>
        <v/>
      </c>
      <c r="AV257" t="str">
        <f>IF(ISNUMBER(FIND("overige",Methode_Keuze)),"",IF(Tb_Activiteiten[[#This Row],[Bijdrage in natura (overige)]]=1,Tb_Activiteiten[[#Headers],[Bijdrage in natura (overige)]],""))</f>
        <v/>
      </c>
      <c r="AW257" t="str">
        <f>IF(ISNUMBER(FIND("overige",Methode_Keuze)),"",IF(Tb_Activiteiten[[#This Row],[Bijdrage in natura (vrijwilligers)]]=1,Tb_Activiteiten[[#Headers],[Bijdrage in natura (vrijwilligers)]],""))</f>
        <v/>
      </c>
      <c r="AX257" t="str">
        <f>IF(ISNUMBER(FIND("overige",Methode_Keuze)),"",IF(Tb_Activiteiten[[#This Row],[Afschrijvingskosten]]=1,Tb_Activiteiten[[#Headers],[Afschrijvingskosten]],""))</f>
        <v/>
      </c>
      <c r="AY257" t="str">
        <f>IF(ISNUMBER(FIND("overige",Methode_Keuze)),"",IF(Tb_Activiteiten[[#This Row],[Vergoeding]]=1,Tb_Activiteiten[[#Headers],[Vergoeding]],""))</f>
        <v/>
      </c>
      <c r="AZ257" t="str">
        <f>IF(ISNUMBER(FIND("arbeid",Methode_Keuze)),"",IF(Tb_Activiteiten[[#This Row],[Arbeidskosten - vast tarief (excl eigen arbeid)]]=1,Tb_Activiteiten[[#Headers],[Arbeidskosten - vast tarief (excl eigen arbeid)]],""))</f>
        <v/>
      </c>
      <c r="BA257" t="str">
        <f>IF(ISNUMBER(FIND("overige",Methode_Keuze)),"",IF(Tb_Activiteiten[[#This Row],[Overige kosten]]=1,Tb_Activiteiten[[#Headers],[Overige kosten]],""))</f>
        <v/>
      </c>
    </row>
    <row r="258" spans="1:53" x14ac:dyDescent="0.25">
      <c r="A258" s="231"/>
      <c r="F258" s="64"/>
      <c r="G258" s="64"/>
      <c r="H258" s="275"/>
      <c r="I258" s="275"/>
      <c r="J258" s="275"/>
      <c r="K258" s="275"/>
      <c r="O258" s="56"/>
      <c r="Q258" t="str">
        <f>IFERROR(IF(VLOOKUP(Tb_Activiteiten[[#This Row],[Openstelling]],Tb_Openstelling[],2,0)=1,1,""),"")</f>
        <v/>
      </c>
      <c r="AK258" t="str">
        <f>IF(ISNUMBER(FIND("arbeid",Methode_Keuze)),"",IF(ISNUMBER(FIND("arbeid",Methode_Keuze)),"",IF(Tb_Activiteiten[[#This Row],[Loonkosten]]=1,Tb_Activiteiten[[#Headers],[Loonkosten]],"")))</f>
        <v/>
      </c>
      <c r="AL258" t="str">
        <f>IF(ISNUMBER(FIND("arbeid",Methode_Keuze)),"",IF(ISNUMBER(FIND("arbeid",Methode_Keuze)),"",IF(Tb_Activiteiten[[#This Row],[Eigen arbeid]]=1,Tb_Activiteiten[[#Headers],[Eigen arbeid]],"")))</f>
        <v/>
      </c>
      <c r="AM258" t="str">
        <f>IF(ISNUMBER(FIND("arbeid",Methode_Keuze)),"",IF(ISNUMBER(FIND("arbeid",Methode_Keuze)),"",IF(Tb_Activiteiten[[#This Row],[Projectmedewerker]]=1,Tb_Activiteiten[[#Headers],[Projectmedewerker]],"")))</f>
        <v/>
      </c>
      <c r="AN258" t="str">
        <f>IF(ISNUMBER(FIND("arbeid",Methode_Keuze)),"",IF(ISNUMBER(FIND("arbeid",Methode_Keuze)),"",IF(Tb_Activiteiten[[#This Row],[Landbouwer]]=1,Tb_Activiteiten[[#Headers],[Landbouwer]],"")))</f>
        <v/>
      </c>
      <c r="AO258" t="str">
        <f>IF(ISNUMBER(FIND("arbeid",Methode_Keuze)),"",IF(ISNUMBER(FIND("arbeid",Methode_Keuze)),"",IF(Tb_Activiteiten[[#This Row],[Adviseur]]=1,Tb_Activiteiten[[#Headers],[Adviseur]],"")))</f>
        <v/>
      </c>
      <c r="AP258" t="str">
        <f>IF(ISNUMBER(FIND("arbeid",Methode_Keuze)),"",IF(ISNUMBER(FIND("arbeid",Methode_Keuze)),"",IF(Tb_Activiteiten[[#This Row],[Projectleider/Expert]]=1,Tb_Activiteiten[[#Headers],[Projectleider/Expert]],"")))</f>
        <v/>
      </c>
      <c r="AQ258" t="str">
        <f>IF(ISNUMBER(FIND("arbeid",Methode_Keuze)),"",IF(ISNUMBER(FIND("arbeid",Methode_Keuze)),"",IF(Tb_Activiteiten[[#This Row],[Arbeidskosten]]=1,Tb_Activiteiten[[#Headers],[Arbeidskosten]],"")))</f>
        <v/>
      </c>
      <c r="AR258" t="str">
        <f>IF(ISNUMBER(FIND("arbeid",Methode_Keuze)),"",IF(ISNUMBER(FIND("arbeid",Methode_Keuze)),"",IF(Tb_Activiteiten[[#This Row],[Arbeidskosten op basis van IKS]]=1,Tb_Activiteiten[[#Headers],[Arbeidskosten op basis van IKS]],"")))</f>
        <v/>
      </c>
      <c r="AS258" t="str">
        <f>IF(ISNUMBER(FIND("overige",Methode_Keuze)),"",IF(Tb_Activiteiten[[#This Row],[Kosten derden exclusief btw]]=1,Tb_Activiteiten[[#Headers],[Kosten derden exclusief btw]],""))</f>
        <v/>
      </c>
      <c r="AT258" t="str">
        <f>IF(ISNUMBER(FIND("overige",Methode_Keuze)),"",IF(Tb_Activiteiten[[#This Row],[Niet verrekenbare btw]]=1,Tb_Activiteiten[[#Headers],[Niet verrekenbare btw]],""))</f>
        <v/>
      </c>
      <c r="AU258" t="str">
        <f>IF(ISNUMBER(FIND("overige",Methode_Keuze)),"",IF(Tb_Activiteiten[[#This Row],[Grondkosten]]=1,Tb_Activiteiten[[#Headers],[Grondkosten]],""))</f>
        <v/>
      </c>
      <c r="AV258" t="str">
        <f>IF(ISNUMBER(FIND("overige",Methode_Keuze)),"",IF(Tb_Activiteiten[[#This Row],[Bijdrage in natura (overige)]]=1,Tb_Activiteiten[[#Headers],[Bijdrage in natura (overige)]],""))</f>
        <v/>
      </c>
      <c r="AW258" t="str">
        <f>IF(ISNUMBER(FIND("overige",Methode_Keuze)),"",IF(Tb_Activiteiten[[#This Row],[Bijdrage in natura (vrijwilligers)]]=1,Tb_Activiteiten[[#Headers],[Bijdrage in natura (vrijwilligers)]],""))</f>
        <v/>
      </c>
      <c r="AX258" t="str">
        <f>IF(ISNUMBER(FIND("overige",Methode_Keuze)),"",IF(Tb_Activiteiten[[#This Row],[Afschrijvingskosten]]=1,Tb_Activiteiten[[#Headers],[Afschrijvingskosten]],""))</f>
        <v/>
      </c>
      <c r="AY258" t="str">
        <f>IF(ISNUMBER(FIND("overige",Methode_Keuze)),"",IF(Tb_Activiteiten[[#This Row],[Vergoeding]]=1,Tb_Activiteiten[[#Headers],[Vergoeding]],""))</f>
        <v/>
      </c>
      <c r="AZ258" t="str">
        <f>IF(ISNUMBER(FIND("arbeid",Methode_Keuze)),"",IF(Tb_Activiteiten[[#This Row],[Arbeidskosten - vast tarief (excl eigen arbeid)]]=1,Tb_Activiteiten[[#Headers],[Arbeidskosten - vast tarief (excl eigen arbeid)]],""))</f>
        <v/>
      </c>
      <c r="BA258" t="str">
        <f>IF(ISNUMBER(FIND("overige",Methode_Keuze)),"",IF(Tb_Activiteiten[[#This Row],[Overige kosten]]=1,Tb_Activiteiten[[#Headers],[Overige kosten]],""))</f>
        <v/>
      </c>
    </row>
    <row r="259" spans="1:53" x14ac:dyDescent="0.25">
      <c r="A259" s="231"/>
      <c r="F259" s="64"/>
      <c r="G259" s="64"/>
      <c r="H259" s="275"/>
      <c r="I259" s="275"/>
      <c r="J259" s="275"/>
      <c r="K259" s="275"/>
      <c r="O259" s="56"/>
      <c r="Q259" t="str">
        <f>IFERROR(IF(VLOOKUP(Tb_Activiteiten[[#This Row],[Openstelling]],Tb_Openstelling[],2,0)=1,1,""),"")</f>
        <v/>
      </c>
      <c r="AK259" t="str">
        <f>IF(ISNUMBER(FIND("arbeid",Methode_Keuze)),"",IF(ISNUMBER(FIND("arbeid",Methode_Keuze)),"",IF(Tb_Activiteiten[[#This Row],[Loonkosten]]=1,Tb_Activiteiten[[#Headers],[Loonkosten]],"")))</f>
        <v/>
      </c>
      <c r="AL259" t="str">
        <f>IF(ISNUMBER(FIND("arbeid",Methode_Keuze)),"",IF(ISNUMBER(FIND("arbeid",Methode_Keuze)),"",IF(Tb_Activiteiten[[#This Row],[Eigen arbeid]]=1,Tb_Activiteiten[[#Headers],[Eigen arbeid]],"")))</f>
        <v/>
      </c>
      <c r="AM259" t="str">
        <f>IF(ISNUMBER(FIND("arbeid",Methode_Keuze)),"",IF(ISNUMBER(FIND("arbeid",Methode_Keuze)),"",IF(Tb_Activiteiten[[#This Row],[Projectmedewerker]]=1,Tb_Activiteiten[[#Headers],[Projectmedewerker]],"")))</f>
        <v/>
      </c>
      <c r="AN259" t="str">
        <f>IF(ISNUMBER(FIND("arbeid",Methode_Keuze)),"",IF(ISNUMBER(FIND("arbeid",Methode_Keuze)),"",IF(Tb_Activiteiten[[#This Row],[Landbouwer]]=1,Tb_Activiteiten[[#Headers],[Landbouwer]],"")))</f>
        <v/>
      </c>
      <c r="AO259" t="str">
        <f>IF(ISNUMBER(FIND("arbeid",Methode_Keuze)),"",IF(ISNUMBER(FIND("arbeid",Methode_Keuze)),"",IF(Tb_Activiteiten[[#This Row],[Adviseur]]=1,Tb_Activiteiten[[#Headers],[Adviseur]],"")))</f>
        <v/>
      </c>
      <c r="AP259" t="str">
        <f>IF(ISNUMBER(FIND("arbeid",Methode_Keuze)),"",IF(ISNUMBER(FIND("arbeid",Methode_Keuze)),"",IF(Tb_Activiteiten[[#This Row],[Projectleider/Expert]]=1,Tb_Activiteiten[[#Headers],[Projectleider/Expert]],"")))</f>
        <v/>
      </c>
      <c r="AQ259" t="str">
        <f>IF(ISNUMBER(FIND("arbeid",Methode_Keuze)),"",IF(ISNUMBER(FIND("arbeid",Methode_Keuze)),"",IF(Tb_Activiteiten[[#This Row],[Arbeidskosten]]=1,Tb_Activiteiten[[#Headers],[Arbeidskosten]],"")))</f>
        <v/>
      </c>
      <c r="AR259" t="str">
        <f>IF(ISNUMBER(FIND("arbeid",Methode_Keuze)),"",IF(ISNUMBER(FIND("arbeid",Methode_Keuze)),"",IF(Tb_Activiteiten[[#This Row],[Arbeidskosten op basis van IKS]]=1,Tb_Activiteiten[[#Headers],[Arbeidskosten op basis van IKS]],"")))</f>
        <v/>
      </c>
      <c r="AS259" t="str">
        <f>IF(ISNUMBER(FIND("overige",Methode_Keuze)),"",IF(Tb_Activiteiten[[#This Row],[Kosten derden exclusief btw]]=1,Tb_Activiteiten[[#Headers],[Kosten derden exclusief btw]],""))</f>
        <v/>
      </c>
      <c r="AT259" t="str">
        <f>IF(ISNUMBER(FIND("overige",Methode_Keuze)),"",IF(Tb_Activiteiten[[#This Row],[Niet verrekenbare btw]]=1,Tb_Activiteiten[[#Headers],[Niet verrekenbare btw]],""))</f>
        <v/>
      </c>
      <c r="AU259" t="str">
        <f>IF(ISNUMBER(FIND("overige",Methode_Keuze)),"",IF(Tb_Activiteiten[[#This Row],[Grondkosten]]=1,Tb_Activiteiten[[#Headers],[Grondkosten]],""))</f>
        <v/>
      </c>
      <c r="AV259" t="str">
        <f>IF(ISNUMBER(FIND("overige",Methode_Keuze)),"",IF(Tb_Activiteiten[[#This Row],[Bijdrage in natura (overige)]]=1,Tb_Activiteiten[[#Headers],[Bijdrage in natura (overige)]],""))</f>
        <v/>
      </c>
      <c r="AW259" t="str">
        <f>IF(ISNUMBER(FIND("overige",Methode_Keuze)),"",IF(Tb_Activiteiten[[#This Row],[Bijdrage in natura (vrijwilligers)]]=1,Tb_Activiteiten[[#Headers],[Bijdrage in natura (vrijwilligers)]],""))</f>
        <v/>
      </c>
      <c r="AX259" t="str">
        <f>IF(ISNUMBER(FIND("overige",Methode_Keuze)),"",IF(Tb_Activiteiten[[#This Row],[Afschrijvingskosten]]=1,Tb_Activiteiten[[#Headers],[Afschrijvingskosten]],""))</f>
        <v/>
      </c>
      <c r="AY259" t="str">
        <f>IF(ISNUMBER(FIND("overige",Methode_Keuze)),"",IF(Tb_Activiteiten[[#This Row],[Vergoeding]]=1,Tb_Activiteiten[[#Headers],[Vergoeding]],""))</f>
        <v/>
      </c>
      <c r="AZ259" t="str">
        <f>IF(ISNUMBER(FIND("arbeid",Methode_Keuze)),"",IF(Tb_Activiteiten[[#This Row],[Arbeidskosten - vast tarief (excl eigen arbeid)]]=1,Tb_Activiteiten[[#Headers],[Arbeidskosten - vast tarief (excl eigen arbeid)]],""))</f>
        <v/>
      </c>
      <c r="BA259" t="str">
        <f>IF(ISNUMBER(FIND("overige",Methode_Keuze)),"",IF(Tb_Activiteiten[[#This Row],[Overige kosten]]=1,Tb_Activiteiten[[#Headers],[Overige kosten]],""))</f>
        <v/>
      </c>
    </row>
    <row r="260" spans="1:53" x14ac:dyDescent="0.25">
      <c r="A260" s="231"/>
      <c r="F260" s="64"/>
      <c r="G260" s="64"/>
      <c r="H260" s="275"/>
      <c r="I260" s="275"/>
      <c r="J260" s="275"/>
      <c r="K260" s="275"/>
      <c r="O260" s="56"/>
      <c r="Q260" t="str">
        <f>IFERROR(IF(VLOOKUP(Tb_Activiteiten[[#This Row],[Openstelling]],Tb_Openstelling[],2,0)=1,1,""),"")</f>
        <v/>
      </c>
      <c r="AK260" t="str">
        <f>IF(ISNUMBER(FIND("arbeid",Methode_Keuze)),"",IF(ISNUMBER(FIND("arbeid",Methode_Keuze)),"",IF(Tb_Activiteiten[[#This Row],[Loonkosten]]=1,Tb_Activiteiten[[#Headers],[Loonkosten]],"")))</f>
        <v/>
      </c>
      <c r="AL260" t="str">
        <f>IF(ISNUMBER(FIND("arbeid",Methode_Keuze)),"",IF(ISNUMBER(FIND("arbeid",Methode_Keuze)),"",IF(Tb_Activiteiten[[#This Row],[Eigen arbeid]]=1,Tb_Activiteiten[[#Headers],[Eigen arbeid]],"")))</f>
        <v/>
      </c>
      <c r="AM260" t="str">
        <f>IF(ISNUMBER(FIND("arbeid",Methode_Keuze)),"",IF(ISNUMBER(FIND("arbeid",Methode_Keuze)),"",IF(Tb_Activiteiten[[#This Row],[Projectmedewerker]]=1,Tb_Activiteiten[[#Headers],[Projectmedewerker]],"")))</f>
        <v/>
      </c>
      <c r="AN260" t="str">
        <f>IF(ISNUMBER(FIND("arbeid",Methode_Keuze)),"",IF(ISNUMBER(FIND("arbeid",Methode_Keuze)),"",IF(Tb_Activiteiten[[#This Row],[Landbouwer]]=1,Tb_Activiteiten[[#Headers],[Landbouwer]],"")))</f>
        <v/>
      </c>
      <c r="AO260" t="str">
        <f>IF(ISNUMBER(FIND("arbeid",Methode_Keuze)),"",IF(ISNUMBER(FIND("arbeid",Methode_Keuze)),"",IF(Tb_Activiteiten[[#This Row],[Adviseur]]=1,Tb_Activiteiten[[#Headers],[Adviseur]],"")))</f>
        <v/>
      </c>
      <c r="AP260" t="str">
        <f>IF(ISNUMBER(FIND("arbeid",Methode_Keuze)),"",IF(ISNUMBER(FIND("arbeid",Methode_Keuze)),"",IF(Tb_Activiteiten[[#This Row],[Projectleider/Expert]]=1,Tb_Activiteiten[[#Headers],[Projectleider/Expert]],"")))</f>
        <v/>
      </c>
      <c r="AQ260" t="str">
        <f>IF(ISNUMBER(FIND("arbeid",Methode_Keuze)),"",IF(ISNUMBER(FIND("arbeid",Methode_Keuze)),"",IF(Tb_Activiteiten[[#This Row],[Arbeidskosten]]=1,Tb_Activiteiten[[#Headers],[Arbeidskosten]],"")))</f>
        <v/>
      </c>
      <c r="AR260" t="str">
        <f>IF(ISNUMBER(FIND("arbeid",Methode_Keuze)),"",IF(ISNUMBER(FIND("arbeid",Methode_Keuze)),"",IF(Tb_Activiteiten[[#This Row],[Arbeidskosten op basis van IKS]]=1,Tb_Activiteiten[[#Headers],[Arbeidskosten op basis van IKS]],"")))</f>
        <v/>
      </c>
      <c r="AS260" t="str">
        <f>IF(ISNUMBER(FIND("overige",Methode_Keuze)),"",IF(Tb_Activiteiten[[#This Row],[Kosten derden exclusief btw]]=1,Tb_Activiteiten[[#Headers],[Kosten derden exclusief btw]],""))</f>
        <v/>
      </c>
      <c r="AT260" t="str">
        <f>IF(ISNUMBER(FIND("overige",Methode_Keuze)),"",IF(Tb_Activiteiten[[#This Row],[Niet verrekenbare btw]]=1,Tb_Activiteiten[[#Headers],[Niet verrekenbare btw]],""))</f>
        <v/>
      </c>
      <c r="AU260" t="str">
        <f>IF(ISNUMBER(FIND("overige",Methode_Keuze)),"",IF(Tb_Activiteiten[[#This Row],[Grondkosten]]=1,Tb_Activiteiten[[#Headers],[Grondkosten]],""))</f>
        <v/>
      </c>
      <c r="AV260" t="str">
        <f>IF(ISNUMBER(FIND("overige",Methode_Keuze)),"",IF(Tb_Activiteiten[[#This Row],[Bijdrage in natura (overige)]]=1,Tb_Activiteiten[[#Headers],[Bijdrage in natura (overige)]],""))</f>
        <v/>
      </c>
      <c r="AW260" t="str">
        <f>IF(ISNUMBER(FIND("overige",Methode_Keuze)),"",IF(Tb_Activiteiten[[#This Row],[Bijdrage in natura (vrijwilligers)]]=1,Tb_Activiteiten[[#Headers],[Bijdrage in natura (vrijwilligers)]],""))</f>
        <v/>
      </c>
      <c r="AX260" t="str">
        <f>IF(ISNUMBER(FIND("overige",Methode_Keuze)),"",IF(Tb_Activiteiten[[#This Row],[Afschrijvingskosten]]=1,Tb_Activiteiten[[#Headers],[Afschrijvingskosten]],""))</f>
        <v/>
      </c>
      <c r="AY260" t="str">
        <f>IF(ISNUMBER(FIND("overige",Methode_Keuze)),"",IF(Tb_Activiteiten[[#This Row],[Vergoeding]]=1,Tb_Activiteiten[[#Headers],[Vergoeding]],""))</f>
        <v/>
      </c>
      <c r="AZ260" t="str">
        <f>IF(ISNUMBER(FIND("arbeid",Methode_Keuze)),"",IF(Tb_Activiteiten[[#This Row],[Arbeidskosten - vast tarief (excl eigen arbeid)]]=1,Tb_Activiteiten[[#Headers],[Arbeidskosten - vast tarief (excl eigen arbeid)]],""))</f>
        <v/>
      </c>
      <c r="BA260" t="str">
        <f>IF(ISNUMBER(FIND("overige",Methode_Keuze)),"",IF(Tb_Activiteiten[[#This Row],[Overige kosten]]=1,Tb_Activiteiten[[#Headers],[Overige kosten]],""))</f>
        <v/>
      </c>
    </row>
    <row r="261" spans="1:53" x14ac:dyDescent="0.25">
      <c r="A261" s="231"/>
      <c r="F261" s="64"/>
      <c r="G261" s="64"/>
      <c r="H261" s="275"/>
      <c r="I261" s="275"/>
      <c r="J261" s="275"/>
      <c r="K261" s="275"/>
      <c r="O261" s="56"/>
      <c r="Q261" t="str">
        <f>IFERROR(IF(VLOOKUP(Tb_Activiteiten[[#This Row],[Openstelling]],Tb_Openstelling[],2,0)=1,1,""),"")</f>
        <v/>
      </c>
      <c r="AK261" t="str">
        <f>IF(ISNUMBER(FIND("arbeid",Methode_Keuze)),"",IF(ISNUMBER(FIND("arbeid",Methode_Keuze)),"",IF(Tb_Activiteiten[[#This Row],[Loonkosten]]=1,Tb_Activiteiten[[#Headers],[Loonkosten]],"")))</f>
        <v/>
      </c>
      <c r="AL261" t="str">
        <f>IF(ISNUMBER(FIND("arbeid",Methode_Keuze)),"",IF(ISNUMBER(FIND("arbeid",Methode_Keuze)),"",IF(Tb_Activiteiten[[#This Row],[Eigen arbeid]]=1,Tb_Activiteiten[[#Headers],[Eigen arbeid]],"")))</f>
        <v/>
      </c>
      <c r="AM261" t="str">
        <f>IF(ISNUMBER(FIND("arbeid",Methode_Keuze)),"",IF(ISNUMBER(FIND("arbeid",Methode_Keuze)),"",IF(Tb_Activiteiten[[#This Row],[Projectmedewerker]]=1,Tb_Activiteiten[[#Headers],[Projectmedewerker]],"")))</f>
        <v/>
      </c>
      <c r="AN261" t="str">
        <f>IF(ISNUMBER(FIND("arbeid",Methode_Keuze)),"",IF(ISNUMBER(FIND("arbeid",Methode_Keuze)),"",IF(Tb_Activiteiten[[#This Row],[Landbouwer]]=1,Tb_Activiteiten[[#Headers],[Landbouwer]],"")))</f>
        <v/>
      </c>
      <c r="AO261" t="str">
        <f>IF(ISNUMBER(FIND("arbeid",Methode_Keuze)),"",IF(ISNUMBER(FIND("arbeid",Methode_Keuze)),"",IF(Tb_Activiteiten[[#This Row],[Adviseur]]=1,Tb_Activiteiten[[#Headers],[Adviseur]],"")))</f>
        <v/>
      </c>
      <c r="AP261" t="str">
        <f>IF(ISNUMBER(FIND("arbeid",Methode_Keuze)),"",IF(ISNUMBER(FIND("arbeid",Methode_Keuze)),"",IF(Tb_Activiteiten[[#This Row],[Projectleider/Expert]]=1,Tb_Activiteiten[[#Headers],[Projectleider/Expert]],"")))</f>
        <v/>
      </c>
      <c r="AQ261" t="str">
        <f>IF(ISNUMBER(FIND("arbeid",Methode_Keuze)),"",IF(ISNUMBER(FIND("arbeid",Methode_Keuze)),"",IF(Tb_Activiteiten[[#This Row],[Arbeidskosten]]=1,Tb_Activiteiten[[#Headers],[Arbeidskosten]],"")))</f>
        <v/>
      </c>
      <c r="AR261" t="str">
        <f>IF(ISNUMBER(FIND("arbeid",Methode_Keuze)),"",IF(ISNUMBER(FIND("arbeid",Methode_Keuze)),"",IF(Tb_Activiteiten[[#This Row],[Arbeidskosten op basis van IKS]]=1,Tb_Activiteiten[[#Headers],[Arbeidskosten op basis van IKS]],"")))</f>
        <v/>
      </c>
      <c r="AS261" t="str">
        <f>IF(ISNUMBER(FIND("overige",Methode_Keuze)),"",IF(Tb_Activiteiten[[#This Row],[Kosten derden exclusief btw]]=1,Tb_Activiteiten[[#Headers],[Kosten derden exclusief btw]],""))</f>
        <v/>
      </c>
      <c r="AT261" t="str">
        <f>IF(ISNUMBER(FIND("overige",Methode_Keuze)),"",IF(Tb_Activiteiten[[#This Row],[Niet verrekenbare btw]]=1,Tb_Activiteiten[[#Headers],[Niet verrekenbare btw]],""))</f>
        <v/>
      </c>
      <c r="AU261" t="str">
        <f>IF(ISNUMBER(FIND("overige",Methode_Keuze)),"",IF(Tb_Activiteiten[[#This Row],[Grondkosten]]=1,Tb_Activiteiten[[#Headers],[Grondkosten]],""))</f>
        <v/>
      </c>
      <c r="AV261" t="str">
        <f>IF(ISNUMBER(FIND("overige",Methode_Keuze)),"",IF(Tb_Activiteiten[[#This Row],[Bijdrage in natura (overige)]]=1,Tb_Activiteiten[[#Headers],[Bijdrage in natura (overige)]],""))</f>
        <v/>
      </c>
      <c r="AW261" t="str">
        <f>IF(ISNUMBER(FIND("overige",Methode_Keuze)),"",IF(Tb_Activiteiten[[#This Row],[Bijdrage in natura (vrijwilligers)]]=1,Tb_Activiteiten[[#Headers],[Bijdrage in natura (vrijwilligers)]],""))</f>
        <v/>
      </c>
      <c r="AX261" t="str">
        <f>IF(ISNUMBER(FIND("overige",Methode_Keuze)),"",IF(Tb_Activiteiten[[#This Row],[Afschrijvingskosten]]=1,Tb_Activiteiten[[#Headers],[Afschrijvingskosten]],""))</f>
        <v/>
      </c>
      <c r="AY261" t="str">
        <f>IF(ISNUMBER(FIND("overige",Methode_Keuze)),"",IF(Tb_Activiteiten[[#This Row],[Vergoeding]]=1,Tb_Activiteiten[[#Headers],[Vergoeding]],""))</f>
        <v/>
      </c>
      <c r="AZ261" t="str">
        <f>IF(ISNUMBER(FIND("arbeid",Methode_Keuze)),"",IF(Tb_Activiteiten[[#This Row],[Arbeidskosten - vast tarief (excl eigen arbeid)]]=1,Tb_Activiteiten[[#Headers],[Arbeidskosten - vast tarief (excl eigen arbeid)]],""))</f>
        <v/>
      </c>
      <c r="BA261" t="str">
        <f>IF(ISNUMBER(FIND("overige",Methode_Keuze)),"",IF(Tb_Activiteiten[[#This Row],[Overige kosten]]=1,Tb_Activiteiten[[#Headers],[Overige kosten]],""))</f>
        <v/>
      </c>
    </row>
    <row r="262" spans="1:53" x14ac:dyDescent="0.25">
      <c r="A262" s="231"/>
      <c r="F262" s="64"/>
      <c r="G262" s="64"/>
      <c r="H262" s="275"/>
      <c r="I262" s="275"/>
      <c r="J262" s="275"/>
      <c r="K262" s="275"/>
      <c r="O262" s="56"/>
      <c r="Q262" t="str">
        <f>IFERROR(IF(VLOOKUP(Tb_Activiteiten[[#This Row],[Openstelling]],Tb_Openstelling[],2,0)=1,1,""),"")</f>
        <v/>
      </c>
      <c r="AK262" t="str">
        <f>IF(ISNUMBER(FIND("arbeid",Methode_Keuze)),"",IF(ISNUMBER(FIND("arbeid",Methode_Keuze)),"",IF(Tb_Activiteiten[[#This Row],[Loonkosten]]=1,Tb_Activiteiten[[#Headers],[Loonkosten]],"")))</f>
        <v/>
      </c>
      <c r="AL262" t="str">
        <f>IF(ISNUMBER(FIND("arbeid",Methode_Keuze)),"",IF(ISNUMBER(FIND("arbeid",Methode_Keuze)),"",IF(Tb_Activiteiten[[#This Row],[Eigen arbeid]]=1,Tb_Activiteiten[[#Headers],[Eigen arbeid]],"")))</f>
        <v/>
      </c>
      <c r="AM262" t="str">
        <f>IF(ISNUMBER(FIND("arbeid",Methode_Keuze)),"",IF(ISNUMBER(FIND("arbeid",Methode_Keuze)),"",IF(Tb_Activiteiten[[#This Row],[Projectmedewerker]]=1,Tb_Activiteiten[[#Headers],[Projectmedewerker]],"")))</f>
        <v/>
      </c>
      <c r="AN262" t="str">
        <f>IF(ISNUMBER(FIND("arbeid",Methode_Keuze)),"",IF(ISNUMBER(FIND("arbeid",Methode_Keuze)),"",IF(Tb_Activiteiten[[#This Row],[Landbouwer]]=1,Tb_Activiteiten[[#Headers],[Landbouwer]],"")))</f>
        <v/>
      </c>
      <c r="AO262" t="str">
        <f>IF(ISNUMBER(FIND("arbeid",Methode_Keuze)),"",IF(ISNUMBER(FIND("arbeid",Methode_Keuze)),"",IF(Tb_Activiteiten[[#This Row],[Adviseur]]=1,Tb_Activiteiten[[#Headers],[Adviseur]],"")))</f>
        <v/>
      </c>
      <c r="AP262" t="str">
        <f>IF(ISNUMBER(FIND("arbeid",Methode_Keuze)),"",IF(ISNUMBER(FIND("arbeid",Methode_Keuze)),"",IF(Tb_Activiteiten[[#This Row],[Projectleider/Expert]]=1,Tb_Activiteiten[[#Headers],[Projectleider/Expert]],"")))</f>
        <v/>
      </c>
      <c r="AQ262" t="str">
        <f>IF(ISNUMBER(FIND("arbeid",Methode_Keuze)),"",IF(ISNUMBER(FIND("arbeid",Methode_Keuze)),"",IF(Tb_Activiteiten[[#This Row],[Arbeidskosten]]=1,Tb_Activiteiten[[#Headers],[Arbeidskosten]],"")))</f>
        <v/>
      </c>
      <c r="AR262" t="str">
        <f>IF(ISNUMBER(FIND("arbeid",Methode_Keuze)),"",IF(ISNUMBER(FIND("arbeid",Methode_Keuze)),"",IF(Tb_Activiteiten[[#This Row],[Arbeidskosten op basis van IKS]]=1,Tb_Activiteiten[[#Headers],[Arbeidskosten op basis van IKS]],"")))</f>
        <v/>
      </c>
      <c r="AS262" t="str">
        <f>IF(ISNUMBER(FIND("overige",Methode_Keuze)),"",IF(Tb_Activiteiten[[#This Row],[Kosten derden exclusief btw]]=1,Tb_Activiteiten[[#Headers],[Kosten derden exclusief btw]],""))</f>
        <v/>
      </c>
      <c r="AT262" t="str">
        <f>IF(ISNUMBER(FIND("overige",Methode_Keuze)),"",IF(Tb_Activiteiten[[#This Row],[Niet verrekenbare btw]]=1,Tb_Activiteiten[[#Headers],[Niet verrekenbare btw]],""))</f>
        <v/>
      </c>
      <c r="AU262" t="str">
        <f>IF(ISNUMBER(FIND("overige",Methode_Keuze)),"",IF(Tb_Activiteiten[[#This Row],[Grondkosten]]=1,Tb_Activiteiten[[#Headers],[Grondkosten]],""))</f>
        <v/>
      </c>
      <c r="AV262" t="str">
        <f>IF(ISNUMBER(FIND("overige",Methode_Keuze)),"",IF(Tb_Activiteiten[[#This Row],[Bijdrage in natura (overige)]]=1,Tb_Activiteiten[[#Headers],[Bijdrage in natura (overige)]],""))</f>
        <v/>
      </c>
      <c r="AW262" t="str">
        <f>IF(ISNUMBER(FIND("overige",Methode_Keuze)),"",IF(Tb_Activiteiten[[#This Row],[Bijdrage in natura (vrijwilligers)]]=1,Tb_Activiteiten[[#Headers],[Bijdrage in natura (vrijwilligers)]],""))</f>
        <v/>
      </c>
      <c r="AX262" t="str">
        <f>IF(ISNUMBER(FIND("overige",Methode_Keuze)),"",IF(Tb_Activiteiten[[#This Row],[Afschrijvingskosten]]=1,Tb_Activiteiten[[#Headers],[Afschrijvingskosten]],""))</f>
        <v/>
      </c>
      <c r="AY262" t="str">
        <f>IF(ISNUMBER(FIND("overige",Methode_Keuze)),"",IF(Tb_Activiteiten[[#This Row],[Vergoeding]]=1,Tb_Activiteiten[[#Headers],[Vergoeding]],""))</f>
        <v/>
      </c>
      <c r="AZ262" t="str">
        <f>IF(ISNUMBER(FIND("arbeid",Methode_Keuze)),"",IF(Tb_Activiteiten[[#This Row],[Arbeidskosten - vast tarief (excl eigen arbeid)]]=1,Tb_Activiteiten[[#Headers],[Arbeidskosten - vast tarief (excl eigen arbeid)]],""))</f>
        <v/>
      </c>
      <c r="BA262" t="str">
        <f>IF(ISNUMBER(FIND("overige",Methode_Keuze)),"",IF(Tb_Activiteiten[[#This Row],[Overige kosten]]=1,Tb_Activiteiten[[#Headers],[Overige kosten]],""))</f>
        <v/>
      </c>
    </row>
    <row r="263" spans="1:53" x14ac:dyDescent="0.25">
      <c r="A263" s="231"/>
      <c r="F263" s="64"/>
      <c r="G263" s="64"/>
      <c r="H263" s="275"/>
      <c r="I263" s="275"/>
      <c r="J263" s="275"/>
      <c r="K263" s="275"/>
      <c r="O263" s="56"/>
      <c r="Q263" t="str">
        <f>IFERROR(IF(VLOOKUP(Tb_Activiteiten[[#This Row],[Openstelling]],Tb_Openstelling[],2,0)=1,1,""),"")</f>
        <v/>
      </c>
      <c r="AK263" t="str">
        <f>IF(ISNUMBER(FIND("arbeid",Methode_Keuze)),"",IF(ISNUMBER(FIND("arbeid",Methode_Keuze)),"",IF(Tb_Activiteiten[[#This Row],[Loonkosten]]=1,Tb_Activiteiten[[#Headers],[Loonkosten]],"")))</f>
        <v/>
      </c>
      <c r="AL263" t="str">
        <f>IF(ISNUMBER(FIND("arbeid",Methode_Keuze)),"",IF(ISNUMBER(FIND("arbeid",Methode_Keuze)),"",IF(Tb_Activiteiten[[#This Row],[Eigen arbeid]]=1,Tb_Activiteiten[[#Headers],[Eigen arbeid]],"")))</f>
        <v/>
      </c>
      <c r="AM263" t="str">
        <f>IF(ISNUMBER(FIND("arbeid",Methode_Keuze)),"",IF(ISNUMBER(FIND("arbeid",Methode_Keuze)),"",IF(Tb_Activiteiten[[#This Row],[Projectmedewerker]]=1,Tb_Activiteiten[[#Headers],[Projectmedewerker]],"")))</f>
        <v/>
      </c>
      <c r="AN263" t="str">
        <f>IF(ISNUMBER(FIND("arbeid",Methode_Keuze)),"",IF(ISNUMBER(FIND("arbeid",Methode_Keuze)),"",IF(Tb_Activiteiten[[#This Row],[Landbouwer]]=1,Tb_Activiteiten[[#Headers],[Landbouwer]],"")))</f>
        <v/>
      </c>
      <c r="AO263" t="str">
        <f>IF(ISNUMBER(FIND("arbeid",Methode_Keuze)),"",IF(ISNUMBER(FIND("arbeid",Methode_Keuze)),"",IF(Tb_Activiteiten[[#This Row],[Adviseur]]=1,Tb_Activiteiten[[#Headers],[Adviseur]],"")))</f>
        <v/>
      </c>
      <c r="AP263" t="str">
        <f>IF(ISNUMBER(FIND("arbeid",Methode_Keuze)),"",IF(ISNUMBER(FIND("arbeid",Methode_Keuze)),"",IF(Tb_Activiteiten[[#This Row],[Projectleider/Expert]]=1,Tb_Activiteiten[[#Headers],[Projectleider/Expert]],"")))</f>
        <v/>
      </c>
      <c r="AQ263" t="str">
        <f>IF(ISNUMBER(FIND("arbeid",Methode_Keuze)),"",IF(ISNUMBER(FIND("arbeid",Methode_Keuze)),"",IF(Tb_Activiteiten[[#This Row],[Arbeidskosten]]=1,Tb_Activiteiten[[#Headers],[Arbeidskosten]],"")))</f>
        <v/>
      </c>
      <c r="AR263" t="str">
        <f>IF(ISNUMBER(FIND("arbeid",Methode_Keuze)),"",IF(ISNUMBER(FIND("arbeid",Methode_Keuze)),"",IF(Tb_Activiteiten[[#This Row],[Arbeidskosten op basis van IKS]]=1,Tb_Activiteiten[[#Headers],[Arbeidskosten op basis van IKS]],"")))</f>
        <v/>
      </c>
      <c r="AS263" t="str">
        <f>IF(ISNUMBER(FIND("overige",Methode_Keuze)),"",IF(Tb_Activiteiten[[#This Row],[Kosten derden exclusief btw]]=1,Tb_Activiteiten[[#Headers],[Kosten derden exclusief btw]],""))</f>
        <v/>
      </c>
      <c r="AT263" t="str">
        <f>IF(ISNUMBER(FIND("overige",Methode_Keuze)),"",IF(Tb_Activiteiten[[#This Row],[Niet verrekenbare btw]]=1,Tb_Activiteiten[[#Headers],[Niet verrekenbare btw]],""))</f>
        <v/>
      </c>
      <c r="AU263" t="str">
        <f>IF(ISNUMBER(FIND("overige",Methode_Keuze)),"",IF(Tb_Activiteiten[[#This Row],[Grondkosten]]=1,Tb_Activiteiten[[#Headers],[Grondkosten]],""))</f>
        <v/>
      </c>
      <c r="AV263" t="str">
        <f>IF(ISNUMBER(FIND("overige",Methode_Keuze)),"",IF(Tb_Activiteiten[[#This Row],[Bijdrage in natura (overige)]]=1,Tb_Activiteiten[[#Headers],[Bijdrage in natura (overige)]],""))</f>
        <v/>
      </c>
      <c r="AW263" t="str">
        <f>IF(ISNUMBER(FIND("overige",Methode_Keuze)),"",IF(Tb_Activiteiten[[#This Row],[Bijdrage in natura (vrijwilligers)]]=1,Tb_Activiteiten[[#Headers],[Bijdrage in natura (vrijwilligers)]],""))</f>
        <v/>
      </c>
      <c r="AX263" t="str">
        <f>IF(ISNUMBER(FIND("overige",Methode_Keuze)),"",IF(Tb_Activiteiten[[#This Row],[Afschrijvingskosten]]=1,Tb_Activiteiten[[#Headers],[Afschrijvingskosten]],""))</f>
        <v/>
      </c>
      <c r="AY263" t="str">
        <f>IF(ISNUMBER(FIND("overige",Methode_Keuze)),"",IF(Tb_Activiteiten[[#This Row],[Vergoeding]]=1,Tb_Activiteiten[[#Headers],[Vergoeding]],""))</f>
        <v/>
      </c>
      <c r="AZ263" t="str">
        <f>IF(ISNUMBER(FIND("arbeid",Methode_Keuze)),"",IF(Tb_Activiteiten[[#This Row],[Arbeidskosten - vast tarief (excl eigen arbeid)]]=1,Tb_Activiteiten[[#Headers],[Arbeidskosten - vast tarief (excl eigen arbeid)]],""))</f>
        <v/>
      </c>
      <c r="BA263" t="str">
        <f>IF(ISNUMBER(FIND("overige",Methode_Keuze)),"",IF(Tb_Activiteiten[[#This Row],[Overige kosten]]=1,Tb_Activiteiten[[#Headers],[Overige kosten]],""))</f>
        <v/>
      </c>
    </row>
    <row r="264" spans="1:53" x14ac:dyDescent="0.25">
      <c r="A264" s="231"/>
      <c r="F264" s="64"/>
      <c r="G264" s="64"/>
      <c r="H264" s="275"/>
      <c r="I264" s="275"/>
      <c r="J264" s="275"/>
      <c r="K264" s="275"/>
      <c r="O264" s="56"/>
      <c r="Q264" t="str">
        <f>IFERROR(IF(VLOOKUP(Tb_Activiteiten[[#This Row],[Openstelling]],Tb_Openstelling[],2,0)=1,1,""),"")</f>
        <v/>
      </c>
      <c r="AK264" t="str">
        <f>IF(ISNUMBER(FIND("arbeid",Methode_Keuze)),"",IF(ISNUMBER(FIND("arbeid",Methode_Keuze)),"",IF(Tb_Activiteiten[[#This Row],[Loonkosten]]=1,Tb_Activiteiten[[#Headers],[Loonkosten]],"")))</f>
        <v/>
      </c>
      <c r="AL264" t="str">
        <f>IF(ISNUMBER(FIND("arbeid",Methode_Keuze)),"",IF(ISNUMBER(FIND("arbeid",Methode_Keuze)),"",IF(Tb_Activiteiten[[#This Row],[Eigen arbeid]]=1,Tb_Activiteiten[[#Headers],[Eigen arbeid]],"")))</f>
        <v/>
      </c>
      <c r="AM264" t="str">
        <f>IF(ISNUMBER(FIND("arbeid",Methode_Keuze)),"",IF(ISNUMBER(FIND("arbeid",Methode_Keuze)),"",IF(Tb_Activiteiten[[#This Row],[Projectmedewerker]]=1,Tb_Activiteiten[[#Headers],[Projectmedewerker]],"")))</f>
        <v/>
      </c>
      <c r="AN264" t="str">
        <f>IF(ISNUMBER(FIND("arbeid",Methode_Keuze)),"",IF(ISNUMBER(FIND("arbeid",Methode_Keuze)),"",IF(Tb_Activiteiten[[#This Row],[Landbouwer]]=1,Tb_Activiteiten[[#Headers],[Landbouwer]],"")))</f>
        <v/>
      </c>
      <c r="AO264" t="str">
        <f>IF(ISNUMBER(FIND("arbeid",Methode_Keuze)),"",IF(ISNUMBER(FIND("arbeid",Methode_Keuze)),"",IF(Tb_Activiteiten[[#This Row],[Adviseur]]=1,Tb_Activiteiten[[#Headers],[Adviseur]],"")))</f>
        <v/>
      </c>
      <c r="AP264" t="str">
        <f>IF(ISNUMBER(FIND("arbeid",Methode_Keuze)),"",IF(ISNUMBER(FIND("arbeid",Methode_Keuze)),"",IF(Tb_Activiteiten[[#This Row],[Projectleider/Expert]]=1,Tb_Activiteiten[[#Headers],[Projectleider/Expert]],"")))</f>
        <v/>
      </c>
      <c r="AQ264" t="str">
        <f>IF(ISNUMBER(FIND("arbeid",Methode_Keuze)),"",IF(ISNUMBER(FIND("arbeid",Methode_Keuze)),"",IF(Tb_Activiteiten[[#This Row],[Arbeidskosten]]=1,Tb_Activiteiten[[#Headers],[Arbeidskosten]],"")))</f>
        <v/>
      </c>
      <c r="AR264" t="str">
        <f>IF(ISNUMBER(FIND("arbeid",Methode_Keuze)),"",IF(ISNUMBER(FIND("arbeid",Methode_Keuze)),"",IF(Tb_Activiteiten[[#This Row],[Arbeidskosten op basis van IKS]]=1,Tb_Activiteiten[[#Headers],[Arbeidskosten op basis van IKS]],"")))</f>
        <v/>
      </c>
      <c r="AS264" t="str">
        <f>IF(ISNUMBER(FIND("overige",Methode_Keuze)),"",IF(Tb_Activiteiten[[#This Row],[Kosten derden exclusief btw]]=1,Tb_Activiteiten[[#Headers],[Kosten derden exclusief btw]],""))</f>
        <v/>
      </c>
      <c r="AT264" t="str">
        <f>IF(ISNUMBER(FIND("overige",Methode_Keuze)),"",IF(Tb_Activiteiten[[#This Row],[Niet verrekenbare btw]]=1,Tb_Activiteiten[[#Headers],[Niet verrekenbare btw]],""))</f>
        <v/>
      </c>
      <c r="AU264" t="str">
        <f>IF(ISNUMBER(FIND("overige",Methode_Keuze)),"",IF(Tb_Activiteiten[[#This Row],[Grondkosten]]=1,Tb_Activiteiten[[#Headers],[Grondkosten]],""))</f>
        <v/>
      </c>
      <c r="AV264" t="str">
        <f>IF(ISNUMBER(FIND("overige",Methode_Keuze)),"",IF(Tb_Activiteiten[[#This Row],[Bijdrage in natura (overige)]]=1,Tb_Activiteiten[[#Headers],[Bijdrage in natura (overige)]],""))</f>
        <v/>
      </c>
      <c r="AW264" t="str">
        <f>IF(ISNUMBER(FIND("overige",Methode_Keuze)),"",IF(Tb_Activiteiten[[#This Row],[Bijdrage in natura (vrijwilligers)]]=1,Tb_Activiteiten[[#Headers],[Bijdrage in natura (vrijwilligers)]],""))</f>
        <v/>
      </c>
      <c r="AX264" t="str">
        <f>IF(ISNUMBER(FIND("overige",Methode_Keuze)),"",IF(Tb_Activiteiten[[#This Row],[Afschrijvingskosten]]=1,Tb_Activiteiten[[#Headers],[Afschrijvingskosten]],""))</f>
        <v/>
      </c>
      <c r="AY264" t="str">
        <f>IF(ISNUMBER(FIND("overige",Methode_Keuze)),"",IF(Tb_Activiteiten[[#This Row],[Vergoeding]]=1,Tb_Activiteiten[[#Headers],[Vergoeding]],""))</f>
        <v/>
      </c>
      <c r="AZ264" t="str">
        <f>IF(ISNUMBER(FIND("arbeid",Methode_Keuze)),"",IF(Tb_Activiteiten[[#This Row],[Arbeidskosten - vast tarief (excl eigen arbeid)]]=1,Tb_Activiteiten[[#Headers],[Arbeidskosten - vast tarief (excl eigen arbeid)]],""))</f>
        <v/>
      </c>
      <c r="BA264" t="str">
        <f>IF(ISNUMBER(FIND("overige",Methode_Keuze)),"",IF(Tb_Activiteiten[[#This Row],[Overige kosten]]=1,Tb_Activiteiten[[#Headers],[Overige kosten]],""))</f>
        <v/>
      </c>
    </row>
    <row r="265" spans="1:53" x14ac:dyDescent="0.25">
      <c r="A265" s="231"/>
      <c r="F265" s="64"/>
      <c r="G265" s="64"/>
      <c r="H265" s="275"/>
      <c r="I265" s="275"/>
      <c r="J265" s="275"/>
      <c r="K265" s="275"/>
      <c r="O265" s="56"/>
      <c r="Q265" t="str">
        <f>IFERROR(IF(VLOOKUP(Tb_Activiteiten[[#This Row],[Openstelling]],Tb_Openstelling[],2,0)=1,1,""),"")</f>
        <v/>
      </c>
      <c r="AK265" t="str">
        <f>IF(ISNUMBER(FIND("arbeid",Methode_Keuze)),"",IF(ISNUMBER(FIND("arbeid",Methode_Keuze)),"",IF(Tb_Activiteiten[[#This Row],[Loonkosten]]=1,Tb_Activiteiten[[#Headers],[Loonkosten]],"")))</f>
        <v/>
      </c>
      <c r="AL265" t="str">
        <f>IF(ISNUMBER(FIND("arbeid",Methode_Keuze)),"",IF(ISNUMBER(FIND("arbeid",Methode_Keuze)),"",IF(Tb_Activiteiten[[#This Row],[Eigen arbeid]]=1,Tb_Activiteiten[[#Headers],[Eigen arbeid]],"")))</f>
        <v/>
      </c>
      <c r="AM265" t="str">
        <f>IF(ISNUMBER(FIND("arbeid",Methode_Keuze)),"",IF(ISNUMBER(FIND("arbeid",Methode_Keuze)),"",IF(Tb_Activiteiten[[#This Row],[Projectmedewerker]]=1,Tb_Activiteiten[[#Headers],[Projectmedewerker]],"")))</f>
        <v/>
      </c>
      <c r="AN265" t="str">
        <f>IF(ISNUMBER(FIND("arbeid",Methode_Keuze)),"",IF(ISNUMBER(FIND("arbeid",Methode_Keuze)),"",IF(Tb_Activiteiten[[#This Row],[Landbouwer]]=1,Tb_Activiteiten[[#Headers],[Landbouwer]],"")))</f>
        <v/>
      </c>
      <c r="AO265" t="str">
        <f>IF(ISNUMBER(FIND("arbeid",Methode_Keuze)),"",IF(ISNUMBER(FIND("arbeid",Methode_Keuze)),"",IF(Tb_Activiteiten[[#This Row],[Adviseur]]=1,Tb_Activiteiten[[#Headers],[Adviseur]],"")))</f>
        <v/>
      </c>
      <c r="AP265" t="str">
        <f>IF(ISNUMBER(FIND("arbeid",Methode_Keuze)),"",IF(ISNUMBER(FIND("arbeid",Methode_Keuze)),"",IF(Tb_Activiteiten[[#This Row],[Projectleider/Expert]]=1,Tb_Activiteiten[[#Headers],[Projectleider/Expert]],"")))</f>
        <v/>
      </c>
      <c r="AQ265" t="str">
        <f>IF(ISNUMBER(FIND("arbeid",Methode_Keuze)),"",IF(ISNUMBER(FIND("arbeid",Methode_Keuze)),"",IF(Tb_Activiteiten[[#This Row],[Arbeidskosten]]=1,Tb_Activiteiten[[#Headers],[Arbeidskosten]],"")))</f>
        <v/>
      </c>
      <c r="AR265" t="str">
        <f>IF(ISNUMBER(FIND("arbeid",Methode_Keuze)),"",IF(ISNUMBER(FIND("arbeid",Methode_Keuze)),"",IF(Tb_Activiteiten[[#This Row],[Arbeidskosten op basis van IKS]]=1,Tb_Activiteiten[[#Headers],[Arbeidskosten op basis van IKS]],"")))</f>
        <v/>
      </c>
      <c r="AS265" t="str">
        <f>IF(ISNUMBER(FIND("overige",Methode_Keuze)),"",IF(Tb_Activiteiten[[#This Row],[Kosten derden exclusief btw]]=1,Tb_Activiteiten[[#Headers],[Kosten derden exclusief btw]],""))</f>
        <v/>
      </c>
      <c r="AT265" t="str">
        <f>IF(ISNUMBER(FIND("overige",Methode_Keuze)),"",IF(Tb_Activiteiten[[#This Row],[Niet verrekenbare btw]]=1,Tb_Activiteiten[[#Headers],[Niet verrekenbare btw]],""))</f>
        <v/>
      </c>
      <c r="AU265" t="str">
        <f>IF(ISNUMBER(FIND("overige",Methode_Keuze)),"",IF(Tb_Activiteiten[[#This Row],[Grondkosten]]=1,Tb_Activiteiten[[#Headers],[Grondkosten]],""))</f>
        <v/>
      </c>
      <c r="AV265" t="str">
        <f>IF(ISNUMBER(FIND("overige",Methode_Keuze)),"",IF(Tb_Activiteiten[[#This Row],[Bijdrage in natura (overige)]]=1,Tb_Activiteiten[[#Headers],[Bijdrage in natura (overige)]],""))</f>
        <v/>
      </c>
      <c r="AW265" t="str">
        <f>IF(ISNUMBER(FIND("overige",Methode_Keuze)),"",IF(Tb_Activiteiten[[#This Row],[Bijdrage in natura (vrijwilligers)]]=1,Tb_Activiteiten[[#Headers],[Bijdrage in natura (vrijwilligers)]],""))</f>
        <v/>
      </c>
      <c r="AX265" t="str">
        <f>IF(ISNUMBER(FIND("overige",Methode_Keuze)),"",IF(Tb_Activiteiten[[#This Row],[Afschrijvingskosten]]=1,Tb_Activiteiten[[#Headers],[Afschrijvingskosten]],""))</f>
        <v/>
      </c>
      <c r="AY265" t="str">
        <f>IF(ISNUMBER(FIND("overige",Methode_Keuze)),"",IF(Tb_Activiteiten[[#This Row],[Vergoeding]]=1,Tb_Activiteiten[[#Headers],[Vergoeding]],""))</f>
        <v/>
      </c>
      <c r="AZ265" t="str">
        <f>IF(ISNUMBER(FIND("arbeid",Methode_Keuze)),"",IF(Tb_Activiteiten[[#This Row],[Arbeidskosten - vast tarief (excl eigen arbeid)]]=1,Tb_Activiteiten[[#Headers],[Arbeidskosten - vast tarief (excl eigen arbeid)]],""))</f>
        <v/>
      </c>
      <c r="BA265" t="str">
        <f>IF(ISNUMBER(FIND("overige",Methode_Keuze)),"",IF(Tb_Activiteiten[[#This Row],[Overige kosten]]=1,Tb_Activiteiten[[#Headers],[Overige kosten]],""))</f>
        <v/>
      </c>
    </row>
    <row r="266" spans="1:53" x14ac:dyDescent="0.25">
      <c r="A266" s="231"/>
      <c r="F266" s="64"/>
      <c r="G266" s="64"/>
      <c r="H266" s="275"/>
      <c r="I266" s="275"/>
      <c r="J266" s="275"/>
      <c r="K266" s="275"/>
      <c r="O266" s="56"/>
      <c r="Q266" t="str">
        <f>IFERROR(IF(VLOOKUP(Tb_Activiteiten[[#This Row],[Openstelling]],Tb_Openstelling[],2,0)=1,1,""),"")</f>
        <v/>
      </c>
      <c r="AK266" t="str">
        <f>IF(ISNUMBER(FIND("arbeid",Methode_Keuze)),"",IF(ISNUMBER(FIND("arbeid",Methode_Keuze)),"",IF(Tb_Activiteiten[[#This Row],[Loonkosten]]=1,Tb_Activiteiten[[#Headers],[Loonkosten]],"")))</f>
        <v/>
      </c>
      <c r="AL266" t="str">
        <f>IF(ISNUMBER(FIND("arbeid",Methode_Keuze)),"",IF(ISNUMBER(FIND("arbeid",Methode_Keuze)),"",IF(Tb_Activiteiten[[#This Row],[Eigen arbeid]]=1,Tb_Activiteiten[[#Headers],[Eigen arbeid]],"")))</f>
        <v/>
      </c>
      <c r="AM266" t="str">
        <f>IF(ISNUMBER(FIND("arbeid",Methode_Keuze)),"",IF(ISNUMBER(FIND("arbeid",Methode_Keuze)),"",IF(Tb_Activiteiten[[#This Row],[Projectmedewerker]]=1,Tb_Activiteiten[[#Headers],[Projectmedewerker]],"")))</f>
        <v/>
      </c>
      <c r="AN266" t="str">
        <f>IF(ISNUMBER(FIND("arbeid",Methode_Keuze)),"",IF(ISNUMBER(FIND("arbeid",Methode_Keuze)),"",IF(Tb_Activiteiten[[#This Row],[Landbouwer]]=1,Tb_Activiteiten[[#Headers],[Landbouwer]],"")))</f>
        <v/>
      </c>
      <c r="AO266" t="str">
        <f>IF(ISNUMBER(FIND("arbeid",Methode_Keuze)),"",IF(ISNUMBER(FIND("arbeid",Methode_Keuze)),"",IF(Tb_Activiteiten[[#This Row],[Adviseur]]=1,Tb_Activiteiten[[#Headers],[Adviseur]],"")))</f>
        <v/>
      </c>
      <c r="AP266" t="str">
        <f>IF(ISNUMBER(FIND("arbeid",Methode_Keuze)),"",IF(ISNUMBER(FIND("arbeid",Methode_Keuze)),"",IF(Tb_Activiteiten[[#This Row],[Projectleider/Expert]]=1,Tb_Activiteiten[[#Headers],[Projectleider/Expert]],"")))</f>
        <v/>
      </c>
      <c r="AQ266" t="str">
        <f>IF(ISNUMBER(FIND("arbeid",Methode_Keuze)),"",IF(ISNUMBER(FIND("arbeid",Methode_Keuze)),"",IF(Tb_Activiteiten[[#This Row],[Arbeidskosten]]=1,Tb_Activiteiten[[#Headers],[Arbeidskosten]],"")))</f>
        <v/>
      </c>
      <c r="AR266" t="str">
        <f>IF(ISNUMBER(FIND("arbeid",Methode_Keuze)),"",IF(ISNUMBER(FIND("arbeid",Methode_Keuze)),"",IF(Tb_Activiteiten[[#This Row],[Arbeidskosten op basis van IKS]]=1,Tb_Activiteiten[[#Headers],[Arbeidskosten op basis van IKS]],"")))</f>
        <v/>
      </c>
      <c r="AS266" t="str">
        <f>IF(ISNUMBER(FIND("overige",Methode_Keuze)),"",IF(Tb_Activiteiten[[#This Row],[Kosten derden exclusief btw]]=1,Tb_Activiteiten[[#Headers],[Kosten derden exclusief btw]],""))</f>
        <v/>
      </c>
      <c r="AT266" t="str">
        <f>IF(ISNUMBER(FIND("overige",Methode_Keuze)),"",IF(Tb_Activiteiten[[#This Row],[Niet verrekenbare btw]]=1,Tb_Activiteiten[[#Headers],[Niet verrekenbare btw]],""))</f>
        <v/>
      </c>
      <c r="AU266" t="str">
        <f>IF(ISNUMBER(FIND("overige",Methode_Keuze)),"",IF(Tb_Activiteiten[[#This Row],[Grondkosten]]=1,Tb_Activiteiten[[#Headers],[Grondkosten]],""))</f>
        <v/>
      </c>
      <c r="AV266" t="str">
        <f>IF(ISNUMBER(FIND("overige",Methode_Keuze)),"",IF(Tb_Activiteiten[[#This Row],[Bijdrage in natura (overige)]]=1,Tb_Activiteiten[[#Headers],[Bijdrage in natura (overige)]],""))</f>
        <v/>
      </c>
      <c r="AW266" t="str">
        <f>IF(ISNUMBER(FIND("overige",Methode_Keuze)),"",IF(Tb_Activiteiten[[#This Row],[Bijdrage in natura (vrijwilligers)]]=1,Tb_Activiteiten[[#Headers],[Bijdrage in natura (vrijwilligers)]],""))</f>
        <v/>
      </c>
      <c r="AX266" t="str">
        <f>IF(ISNUMBER(FIND("overige",Methode_Keuze)),"",IF(Tb_Activiteiten[[#This Row],[Afschrijvingskosten]]=1,Tb_Activiteiten[[#Headers],[Afschrijvingskosten]],""))</f>
        <v/>
      </c>
      <c r="AY266" t="str">
        <f>IF(ISNUMBER(FIND("overige",Methode_Keuze)),"",IF(Tb_Activiteiten[[#This Row],[Vergoeding]]=1,Tb_Activiteiten[[#Headers],[Vergoeding]],""))</f>
        <v/>
      </c>
      <c r="AZ266" t="str">
        <f>IF(ISNUMBER(FIND("arbeid",Methode_Keuze)),"",IF(Tb_Activiteiten[[#This Row],[Arbeidskosten - vast tarief (excl eigen arbeid)]]=1,Tb_Activiteiten[[#Headers],[Arbeidskosten - vast tarief (excl eigen arbeid)]],""))</f>
        <v/>
      </c>
      <c r="BA266" t="str">
        <f>IF(ISNUMBER(FIND("overige",Methode_Keuze)),"",IF(Tb_Activiteiten[[#This Row],[Overige kosten]]=1,Tb_Activiteiten[[#Headers],[Overige kosten]],""))</f>
        <v/>
      </c>
    </row>
    <row r="267" spans="1:53" x14ac:dyDescent="0.25">
      <c r="A267" s="231"/>
      <c r="F267" s="64"/>
      <c r="G267" s="64"/>
      <c r="H267" s="275"/>
      <c r="I267" s="275"/>
      <c r="J267" s="275"/>
      <c r="K267" s="275"/>
      <c r="O267" s="56"/>
      <c r="Q267" t="str">
        <f>IFERROR(IF(VLOOKUP(Tb_Activiteiten[[#This Row],[Openstelling]],Tb_Openstelling[],2,0)=1,1,""),"")</f>
        <v/>
      </c>
      <c r="AK267" t="str">
        <f>IF(ISNUMBER(FIND("arbeid",Methode_Keuze)),"",IF(ISNUMBER(FIND("arbeid",Methode_Keuze)),"",IF(Tb_Activiteiten[[#This Row],[Loonkosten]]=1,Tb_Activiteiten[[#Headers],[Loonkosten]],"")))</f>
        <v/>
      </c>
      <c r="AL267" t="str">
        <f>IF(ISNUMBER(FIND("arbeid",Methode_Keuze)),"",IF(ISNUMBER(FIND("arbeid",Methode_Keuze)),"",IF(Tb_Activiteiten[[#This Row],[Eigen arbeid]]=1,Tb_Activiteiten[[#Headers],[Eigen arbeid]],"")))</f>
        <v/>
      </c>
      <c r="AM267" t="str">
        <f>IF(ISNUMBER(FIND("arbeid",Methode_Keuze)),"",IF(ISNUMBER(FIND("arbeid",Methode_Keuze)),"",IF(Tb_Activiteiten[[#This Row],[Projectmedewerker]]=1,Tb_Activiteiten[[#Headers],[Projectmedewerker]],"")))</f>
        <v/>
      </c>
      <c r="AN267" t="str">
        <f>IF(ISNUMBER(FIND("arbeid",Methode_Keuze)),"",IF(ISNUMBER(FIND("arbeid",Methode_Keuze)),"",IF(Tb_Activiteiten[[#This Row],[Landbouwer]]=1,Tb_Activiteiten[[#Headers],[Landbouwer]],"")))</f>
        <v/>
      </c>
      <c r="AO267" t="str">
        <f>IF(ISNUMBER(FIND("arbeid",Methode_Keuze)),"",IF(ISNUMBER(FIND("arbeid",Methode_Keuze)),"",IF(Tb_Activiteiten[[#This Row],[Adviseur]]=1,Tb_Activiteiten[[#Headers],[Adviseur]],"")))</f>
        <v/>
      </c>
      <c r="AP267" t="str">
        <f>IF(ISNUMBER(FIND("arbeid",Methode_Keuze)),"",IF(ISNUMBER(FIND("arbeid",Methode_Keuze)),"",IF(Tb_Activiteiten[[#This Row],[Projectleider/Expert]]=1,Tb_Activiteiten[[#Headers],[Projectleider/Expert]],"")))</f>
        <v/>
      </c>
      <c r="AQ267" t="str">
        <f>IF(ISNUMBER(FIND("arbeid",Methode_Keuze)),"",IF(ISNUMBER(FIND("arbeid",Methode_Keuze)),"",IF(Tb_Activiteiten[[#This Row],[Arbeidskosten]]=1,Tb_Activiteiten[[#Headers],[Arbeidskosten]],"")))</f>
        <v/>
      </c>
      <c r="AR267" t="str">
        <f>IF(ISNUMBER(FIND("arbeid",Methode_Keuze)),"",IF(ISNUMBER(FIND("arbeid",Methode_Keuze)),"",IF(Tb_Activiteiten[[#This Row],[Arbeidskosten op basis van IKS]]=1,Tb_Activiteiten[[#Headers],[Arbeidskosten op basis van IKS]],"")))</f>
        <v/>
      </c>
      <c r="AS267" t="str">
        <f>IF(ISNUMBER(FIND("overige",Methode_Keuze)),"",IF(Tb_Activiteiten[[#This Row],[Kosten derden exclusief btw]]=1,Tb_Activiteiten[[#Headers],[Kosten derden exclusief btw]],""))</f>
        <v/>
      </c>
      <c r="AT267" t="str">
        <f>IF(ISNUMBER(FIND("overige",Methode_Keuze)),"",IF(Tb_Activiteiten[[#This Row],[Niet verrekenbare btw]]=1,Tb_Activiteiten[[#Headers],[Niet verrekenbare btw]],""))</f>
        <v/>
      </c>
      <c r="AU267" t="str">
        <f>IF(ISNUMBER(FIND("overige",Methode_Keuze)),"",IF(Tb_Activiteiten[[#This Row],[Grondkosten]]=1,Tb_Activiteiten[[#Headers],[Grondkosten]],""))</f>
        <v/>
      </c>
      <c r="AV267" t="str">
        <f>IF(ISNUMBER(FIND("overige",Methode_Keuze)),"",IF(Tb_Activiteiten[[#This Row],[Bijdrage in natura (overige)]]=1,Tb_Activiteiten[[#Headers],[Bijdrage in natura (overige)]],""))</f>
        <v/>
      </c>
      <c r="AW267" t="str">
        <f>IF(ISNUMBER(FIND("overige",Methode_Keuze)),"",IF(Tb_Activiteiten[[#This Row],[Bijdrage in natura (vrijwilligers)]]=1,Tb_Activiteiten[[#Headers],[Bijdrage in natura (vrijwilligers)]],""))</f>
        <v/>
      </c>
      <c r="AX267" t="str">
        <f>IF(ISNUMBER(FIND("overige",Methode_Keuze)),"",IF(Tb_Activiteiten[[#This Row],[Afschrijvingskosten]]=1,Tb_Activiteiten[[#Headers],[Afschrijvingskosten]],""))</f>
        <v/>
      </c>
      <c r="AY267" t="str">
        <f>IF(ISNUMBER(FIND("overige",Methode_Keuze)),"",IF(Tb_Activiteiten[[#This Row],[Vergoeding]]=1,Tb_Activiteiten[[#Headers],[Vergoeding]],""))</f>
        <v/>
      </c>
      <c r="AZ267" t="str">
        <f>IF(ISNUMBER(FIND("arbeid",Methode_Keuze)),"",IF(Tb_Activiteiten[[#This Row],[Arbeidskosten - vast tarief (excl eigen arbeid)]]=1,Tb_Activiteiten[[#Headers],[Arbeidskosten - vast tarief (excl eigen arbeid)]],""))</f>
        <v/>
      </c>
      <c r="BA267" t="str">
        <f>IF(ISNUMBER(FIND("overige",Methode_Keuze)),"",IF(Tb_Activiteiten[[#This Row],[Overige kosten]]=1,Tb_Activiteiten[[#Headers],[Overige kosten]],""))</f>
        <v/>
      </c>
    </row>
    <row r="268" spans="1:53" x14ac:dyDescent="0.25">
      <c r="A268" s="231"/>
      <c r="F268" s="64"/>
      <c r="G268" s="64"/>
      <c r="H268" s="275"/>
      <c r="I268" s="275"/>
      <c r="J268" s="275"/>
      <c r="K268" s="275"/>
      <c r="O268" s="56"/>
      <c r="Q268" t="str">
        <f>IFERROR(IF(VLOOKUP(Tb_Activiteiten[[#This Row],[Openstelling]],Tb_Openstelling[],2,0)=1,1,""),"")</f>
        <v/>
      </c>
      <c r="AK268" t="str">
        <f>IF(ISNUMBER(FIND("arbeid",Methode_Keuze)),"",IF(ISNUMBER(FIND("arbeid",Methode_Keuze)),"",IF(Tb_Activiteiten[[#This Row],[Loonkosten]]=1,Tb_Activiteiten[[#Headers],[Loonkosten]],"")))</f>
        <v/>
      </c>
      <c r="AL268" t="str">
        <f>IF(ISNUMBER(FIND("arbeid",Methode_Keuze)),"",IF(ISNUMBER(FIND("arbeid",Methode_Keuze)),"",IF(Tb_Activiteiten[[#This Row],[Eigen arbeid]]=1,Tb_Activiteiten[[#Headers],[Eigen arbeid]],"")))</f>
        <v/>
      </c>
      <c r="AM268" t="str">
        <f>IF(ISNUMBER(FIND("arbeid",Methode_Keuze)),"",IF(ISNUMBER(FIND("arbeid",Methode_Keuze)),"",IF(Tb_Activiteiten[[#This Row],[Projectmedewerker]]=1,Tb_Activiteiten[[#Headers],[Projectmedewerker]],"")))</f>
        <v/>
      </c>
      <c r="AN268" t="str">
        <f>IF(ISNUMBER(FIND("arbeid",Methode_Keuze)),"",IF(ISNUMBER(FIND("arbeid",Methode_Keuze)),"",IF(Tb_Activiteiten[[#This Row],[Landbouwer]]=1,Tb_Activiteiten[[#Headers],[Landbouwer]],"")))</f>
        <v/>
      </c>
      <c r="AO268" t="str">
        <f>IF(ISNUMBER(FIND("arbeid",Methode_Keuze)),"",IF(ISNUMBER(FIND("arbeid",Methode_Keuze)),"",IF(Tb_Activiteiten[[#This Row],[Adviseur]]=1,Tb_Activiteiten[[#Headers],[Adviseur]],"")))</f>
        <v/>
      </c>
      <c r="AP268" t="str">
        <f>IF(ISNUMBER(FIND("arbeid",Methode_Keuze)),"",IF(ISNUMBER(FIND("arbeid",Methode_Keuze)),"",IF(Tb_Activiteiten[[#This Row],[Projectleider/Expert]]=1,Tb_Activiteiten[[#Headers],[Projectleider/Expert]],"")))</f>
        <v/>
      </c>
      <c r="AQ268" t="str">
        <f>IF(ISNUMBER(FIND("arbeid",Methode_Keuze)),"",IF(ISNUMBER(FIND("arbeid",Methode_Keuze)),"",IF(Tb_Activiteiten[[#This Row],[Arbeidskosten]]=1,Tb_Activiteiten[[#Headers],[Arbeidskosten]],"")))</f>
        <v/>
      </c>
      <c r="AR268" t="str">
        <f>IF(ISNUMBER(FIND("arbeid",Methode_Keuze)),"",IF(ISNUMBER(FIND("arbeid",Methode_Keuze)),"",IF(Tb_Activiteiten[[#This Row],[Arbeidskosten op basis van IKS]]=1,Tb_Activiteiten[[#Headers],[Arbeidskosten op basis van IKS]],"")))</f>
        <v/>
      </c>
      <c r="AS268" t="str">
        <f>IF(ISNUMBER(FIND("overige",Methode_Keuze)),"",IF(Tb_Activiteiten[[#This Row],[Kosten derden exclusief btw]]=1,Tb_Activiteiten[[#Headers],[Kosten derden exclusief btw]],""))</f>
        <v/>
      </c>
      <c r="AT268" t="str">
        <f>IF(ISNUMBER(FIND("overige",Methode_Keuze)),"",IF(Tb_Activiteiten[[#This Row],[Niet verrekenbare btw]]=1,Tb_Activiteiten[[#Headers],[Niet verrekenbare btw]],""))</f>
        <v/>
      </c>
      <c r="AU268" t="str">
        <f>IF(ISNUMBER(FIND("overige",Methode_Keuze)),"",IF(Tb_Activiteiten[[#This Row],[Grondkosten]]=1,Tb_Activiteiten[[#Headers],[Grondkosten]],""))</f>
        <v/>
      </c>
      <c r="AV268" t="str">
        <f>IF(ISNUMBER(FIND("overige",Methode_Keuze)),"",IF(Tb_Activiteiten[[#This Row],[Bijdrage in natura (overige)]]=1,Tb_Activiteiten[[#Headers],[Bijdrage in natura (overige)]],""))</f>
        <v/>
      </c>
      <c r="AW268" t="str">
        <f>IF(ISNUMBER(FIND("overige",Methode_Keuze)),"",IF(Tb_Activiteiten[[#This Row],[Bijdrage in natura (vrijwilligers)]]=1,Tb_Activiteiten[[#Headers],[Bijdrage in natura (vrijwilligers)]],""))</f>
        <v/>
      </c>
      <c r="AX268" t="str">
        <f>IF(ISNUMBER(FIND("overige",Methode_Keuze)),"",IF(Tb_Activiteiten[[#This Row],[Afschrijvingskosten]]=1,Tb_Activiteiten[[#Headers],[Afschrijvingskosten]],""))</f>
        <v/>
      </c>
      <c r="AY268" t="str">
        <f>IF(ISNUMBER(FIND("overige",Methode_Keuze)),"",IF(Tb_Activiteiten[[#This Row],[Vergoeding]]=1,Tb_Activiteiten[[#Headers],[Vergoeding]],""))</f>
        <v/>
      </c>
      <c r="AZ268" t="str">
        <f>IF(ISNUMBER(FIND("arbeid",Methode_Keuze)),"",IF(Tb_Activiteiten[[#This Row],[Arbeidskosten - vast tarief (excl eigen arbeid)]]=1,Tb_Activiteiten[[#Headers],[Arbeidskosten - vast tarief (excl eigen arbeid)]],""))</f>
        <v/>
      </c>
      <c r="BA268" t="str">
        <f>IF(ISNUMBER(FIND("overige",Methode_Keuze)),"",IF(Tb_Activiteiten[[#This Row],[Overige kosten]]=1,Tb_Activiteiten[[#Headers],[Overige kosten]],""))</f>
        <v/>
      </c>
    </row>
    <row r="269" spans="1:53" x14ac:dyDescent="0.25">
      <c r="A269" s="231"/>
      <c r="F269" s="64"/>
      <c r="G269" s="64"/>
      <c r="H269" s="275"/>
      <c r="I269" s="275"/>
      <c r="J269" s="275"/>
      <c r="K269" s="275"/>
      <c r="O269" s="56"/>
      <c r="Q269" t="str">
        <f>IFERROR(IF(VLOOKUP(Tb_Activiteiten[[#This Row],[Openstelling]],Tb_Openstelling[],2,0)=1,1,""),"")</f>
        <v/>
      </c>
      <c r="AK269" t="str">
        <f>IF(ISNUMBER(FIND("arbeid",Methode_Keuze)),"",IF(ISNUMBER(FIND("arbeid",Methode_Keuze)),"",IF(Tb_Activiteiten[[#This Row],[Loonkosten]]=1,Tb_Activiteiten[[#Headers],[Loonkosten]],"")))</f>
        <v/>
      </c>
      <c r="AL269" t="str">
        <f>IF(ISNUMBER(FIND("arbeid",Methode_Keuze)),"",IF(ISNUMBER(FIND("arbeid",Methode_Keuze)),"",IF(Tb_Activiteiten[[#This Row],[Eigen arbeid]]=1,Tb_Activiteiten[[#Headers],[Eigen arbeid]],"")))</f>
        <v/>
      </c>
      <c r="AM269" t="str">
        <f>IF(ISNUMBER(FIND("arbeid",Methode_Keuze)),"",IF(ISNUMBER(FIND("arbeid",Methode_Keuze)),"",IF(Tb_Activiteiten[[#This Row],[Projectmedewerker]]=1,Tb_Activiteiten[[#Headers],[Projectmedewerker]],"")))</f>
        <v/>
      </c>
      <c r="AN269" t="str">
        <f>IF(ISNUMBER(FIND("arbeid",Methode_Keuze)),"",IF(ISNUMBER(FIND("arbeid",Methode_Keuze)),"",IF(Tb_Activiteiten[[#This Row],[Landbouwer]]=1,Tb_Activiteiten[[#Headers],[Landbouwer]],"")))</f>
        <v/>
      </c>
      <c r="AO269" t="str">
        <f>IF(ISNUMBER(FIND("arbeid",Methode_Keuze)),"",IF(ISNUMBER(FIND("arbeid",Methode_Keuze)),"",IF(Tb_Activiteiten[[#This Row],[Adviseur]]=1,Tb_Activiteiten[[#Headers],[Adviseur]],"")))</f>
        <v/>
      </c>
      <c r="AP269" t="str">
        <f>IF(ISNUMBER(FIND("arbeid",Methode_Keuze)),"",IF(ISNUMBER(FIND("arbeid",Methode_Keuze)),"",IF(Tb_Activiteiten[[#This Row],[Projectleider/Expert]]=1,Tb_Activiteiten[[#Headers],[Projectleider/Expert]],"")))</f>
        <v/>
      </c>
      <c r="AQ269" t="str">
        <f>IF(ISNUMBER(FIND("arbeid",Methode_Keuze)),"",IF(ISNUMBER(FIND("arbeid",Methode_Keuze)),"",IF(Tb_Activiteiten[[#This Row],[Arbeidskosten]]=1,Tb_Activiteiten[[#Headers],[Arbeidskosten]],"")))</f>
        <v/>
      </c>
      <c r="AR269" t="str">
        <f>IF(ISNUMBER(FIND("arbeid",Methode_Keuze)),"",IF(ISNUMBER(FIND("arbeid",Methode_Keuze)),"",IF(Tb_Activiteiten[[#This Row],[Arbeidskosten op basis van IKS]]=1,Tb_Activiteiten[[#Headers],[Arbeidskosten op basis van IKS]],"")))</f>
        <v/>
      </c>
      <c r="AS269" t="str">
        <f>IF(ISNUMBER(FIND("overige",Methode_Keuze)),"",IF(Tb_Activiteiten[[#This Row],[Kosten derden exclusief btw]]=1,Tb_Activiteiten[[#Headers],[Kosten derden exclusief btw]],""))</f>
        <v/>
      </c>
      <c r="AT269" t="str">
        <f>IF(ISNUMBER(FIND("overige",Methode_Keuze)),"",IF(Tb_Activiteiten[[#This Row],[Niet verrekenbare btw]]=1,Tb_Activiteiten[[#Headers],[Niet verrekenbare btw]],""))</f>
        <v/>
      </c>
      <c r="AU269" t="str">
        <f>IF(ISNUMBER(FIND("overige",Methode_Keuze)),"",IF(Tb_Activiteiten[[#This Row],[Grondkosten]]=1,Tb_Activiteiten[[#Headers],[Grondkosten]],""))</f>
        <v/>
      </c>
      <c r="AV269" t="str">
        <f>IF(ISNUMBER(FIND("overige",Methode_Keuze)),"",IF(Tb_Activiteiten[[#This Row],[Bijdrage in natura (overige)]]=1,Tb_Activiteiten[[#Headers],[Bijdrage in natura (overige)]],""))</f>
        <v/>
      </c>
      <c r="AW269" t="str">
        <f>IF(ISNUMBER(FIND("overige",Methode_Keuze)),"",IF(Tb_Activiteiten[[#This Row],[Bijdrage in natura (vrijwilligers)]]=1,Tb_Activiteiten[[#Headers],[Bijdrage in natura (vrijwilligers)]],""))</f>
        <v/>
      </c>
      <c r="AX269" t="str">
        <f>IF(ISNUMBER(FIND("overige",Methode_Keuze)),"",IF(Tb_Activiteiten[[#This Row],[Afschrijvingskosten]]=1,Tb_Activiteiten[[#Headers],[Afschrijvingskosten]],""))</f>
        <v/>
      </c>
      <c r="AY269" t="str">
        <f>IF(ISNUMBER(FIND("overige",Methode_Keuze)),"",IF(Tb_Activiteiten[[#This Row],[Vergoeding]]=1,Tb_Activiteiten[[#Headers],[Vergoeding]],""))</f>
        <v/>
      </c>
      <c r="AZ269" t="str">
        <f>IF(ISNUMBER(FIND("arbeid",Methode_Keuze)),"",IF(Tb_Activiteiten[[#This Row],[Arbeidskosten - vast tarief (excl eigen arbeid)]]=1,Tb_Activiteiten[[#Headers],[Arbeidskosten - vast tarief (excl eigen arbeid)]],""))</f>
        <v/>
      </c>
      <c r="BA269" t="str">
        <f>IF(ISNUMBER(FIND("overige",Methode_Keuze)),"",IF(Tb_Activiteiten[[#This Row],[Overige kosten]]=1,Tb_Activiteiten[[#Headers],[Overige kosten]],""))</f>
        <v/>
      </c>
    </row>
    <row r="270" spans="1:53" x14ac:dyDescent="0.25">
      <c r="A270" s="231"/>
      <c r="F270" s="64"/>
      <c r="G270" s="64"/>
      <c r="H270" s="275"/>
      <c r="I270" s="275"/>
      <c r="J270" s="275"/>
      <c r="K270" s="275"/>
      <c r="O270" s="56"/>
      <c r="Q270" t="str">
        <f>IFERROR(IF(VLOOKUP(Tb_Activiteiten[[#This Row],[Openstelling]],Tb_Openstelling[],2,0)=1,1,""),"")</f>
        <v/>
      </c>
      <c r="AK270" t="str">
        <f>IF(ISNUMBER(FIND("arbeid",Methode_Keuze)),"",IF(ISNUMBER(FIND("arbeid",Methode_Keuze)),"",IF(Tb_Activiteiten[[#This Row],[Loonkosten]]=1,Tb_Activiteiten[[#Headers],[Loonkosten]],"")))</f>
        <v/>
      </c>
      <c r="AL270" t="str">
        <f>IF(ISNUMBER(FIND("arbeid",Methode_Keuze)),"",IF(ISNUMBER(FIND("arbeid",Methode_Keuze)),"",IF(Tb_Activiteiten[[#This Row],[Eigen arbeid]]=1,Tb_Activiteiten[[#Headers],[Eigen arbeid]],"")))</f>
        <v/>
      </c>
      <c r="AM270" t="str">
        <f>IF(ISNUMBER(FIND("arbeid",Methode_Keuze)),"",IF(ISNUMBER(FIND("arbeid",Methode_Keuze)),"",IF(Tb_Activiteiten[[#This Row],[Projectmedewerker]]=1,Tb_Activiteiten[[#Headers],[Projectmedewerker]],"")))</f>
        <v/>
      </c>
      <c r="AN270" t="str">
        <f>IF(ISNUMBER(FIND("arbeid",Methode_Keuze)),"",IF(ISNUMBER(FIND("arbeid",Methode_Keuze)),"",IF(Tb_Activiteiten[[#This Row],[Landbouwer]]=1,Tb_Activiteiten[[#Headers],[Landbouwer]],"")))</f>
        <v/>
      </c>
      <c r="AO270" t="str">
        <f>IF(ISNUMBER(FIND("arbeid",Methode_Keuze)),"",IF(ISNUMBER(FIND("arbeid",Methode_Keuze)),"",IF(Tb_Activiteiten[[#This Row],[Adviseur]]=1,Tb_Activiteiten[[#Headers],[Adviseur]],"")))</f>
        <v/>
      </c>
      <c r="AP270" t="str">
        <f>IF(ISNUMBER(FIND("arbeid",Methode_Keuze)),"",IF(ISNUMBER(FIND("arbeid",Methode_Keuze)),"",IF(Tb_Activiteiten[[#This Row],[Projectleider/Expert]]=1,Tb_Activiteiten[[#Headers],[Projectleider/Expert]],"")))</f>
        <v/>
      </c>
      <c r="AQ270" t="str">
        <f>IF(ISNUMBER(FIND("arbeid",Methode_Keuze)),"",IF(ISNUMBER(FIND("arbeid",Methode_Keuze)),"",IF(Tb_Activiteiten[[#This Row],[Arbeidskosten]]=1,Tb_Activiteiten[[#Headers],[Arbeidskosten]],"")))</f>
        <v/>
      </c>
      <c r="AR270" t="str">
        <f>IF(ISNUMBER(FIND("arbeid",Methode_Keuze)),"",IF(ISNUMBER(FIND("arbeid",Methode_Keuze)),"",IF(Tb_Activiteiten[[#This Row],[Arbeidskosten op basis van IKS]]=1,Tb_Activiteiten[[#Headers],[Arbeidskosten op basis van IKS]],"")))</f>
        <v/>
      </c>
      <c r="AS270" t="str">
        <f>IF(ISNUMBER(FIND("overige",Methode_Keuze)),"",IF(Tb_Activiteiten[[#This Row],[Kosten derden exclusief btw]]=1,Tb_Activiteiten[[#Headers],[Kosten derden exclusief btw]],""))</f>
        <v/>
      </c>
      <c r="AT270" t="str">
        <f>IF(ISNUMBER(FIND("overige",Methode_Keuze)),"",IF(Tb_Activiteiten[[#This Row],[Niet verrekenbare btw]]=1,Tb_Activiteiten[[#Headers],[Niet verrekenbare btw]],""))</f>
        <v/>
      </c>
      <c r="AU270" t="str">
        <f>IF(ISNUMBER(FIND("overige",Methode_Keuze)),"",IF(Tb_Activiteiten[[#This Row],[Grondkosten]]=1,Tb_Activiteiten[[#Headers],[Grondkosten]],""))</f>
        <v/>
      </c>
      <c r="AV270" t="str">
        <f>IF(ISNUMBER(FIND("overige",Methode_Keuze)),"",IF(Tb_Activiteiten[[#This Row],[Bijdrage in natura (overige)]]=1,Tb_Activiteiten[[#Headers],[Bijdrage in natura (overige)]],""))</f>
        <v/>
      </c>
      <c r="AW270" t="str">
        <f>IF(ISNUMBER(FIND("overige",Methode_Keuze)),"",IF(Tb_Activiteiten[[#This Row],[Bijdrage in natura (vrijwilligers)]]=1,Tb_Activiteiten[[#Headers],[Bijdrage in natura (vrijwilligers)]],""))</f>
        <v/>
      </c>
      <c r="AX270" t="str">
        <f>IF(ISNUMBER(FIND("overige",Methode_Keuze)),"",IF(Tb_Activiteiten[[#This Row],[Afschrijvingskosten]]=1,Tb_Activiteiten[[#Headers],[Afschrijvingskosten]],""))</f>
        <v/>
      </c>
      <c r="AY270" t="str">
        <f>IF(ISNUMBER(FIND("overige",Methode_Keuze)),"",IF(Tb_Activiteiten[[#This Row],[Vergoeding]]=1,Tb_Activiteiten[[#Headers],[Vergoeding]],""))</f>
        <v/>
      </c>
      <c r="AZ270" t="str">
        <f>IF(ISNUMBER(FIND("arbeid",Methode_Keuze)),"",IF(Tb_Activiteiten[[#This Row],[Arbeidskosten - vast tarief (excl eigen arbeid)]]=1,Tb_Activiteiten[[#Headers],[Arbeidskosten - vast tarief (excl eigen arbeid)]],""))</f>
        <v/>
      </c>
      <c r="BA270" t="str">
        <f>IF(ISNUMBER(FIND("overige",Methode_Keuze)),"",IF(Tb_Activiteiten[[#This Row],[Overige kosten]]=1,Tb_Activiteiten[[#Headers],[Overige kosten]],""))</f>
        <v/>
      </c>
    </row>
    <row r="271" spans="1:53" x14ac:dyDescent="0.25">
      <c r="A271" s="231"/>
      <c r="F271" s="64"/>
      <c r="G271" s="64"/>
      <c r="H271" s="275"/>
      <c r="I271" s="275"/>
      <c r="J271" s="275"/>
      <c r="K271" s="275"/>
      <c r="O271" s="56"/>
      <c r="Q271" t="str">
        <f>IFERROR(IF(VLOOKUP(Tb_Activiteiten[[#This Row],[Openstelling]],Tb_Openstelling[],2,0)=1,1,""),"")</f>
        <v/>
      </c>
      <c r="AK271" t="str">
        <f>IF(ISNUMBER(FIND("arbeid",Methode_Keuze)),"",IF(ISNUMBER(FIND("arbeid",Methode_Keuze)),"",IF(Tb_Activiteiten[[#This Row],[Loonkosten]]=1,Tb_Activiteiten[[#Headers],[Loonkosten]],"")))</f>
        <v/>
      </c>
      <c r="AL271" t="str">
        <f>IF(ISNUMBER(FIND("arbeid",Methode_Keuze)),"",IF(ISNUMBER(FIND("arbeid",Methode_Keuze)),"",IF(Tb_Activiteiten[[#This Row],[Eigen arbeid]]=1,Tb_Activiteiten[[#Headers],[Eigen arbeid]],"")))</f>
        <v/>
      </c>
      <c r="AM271" t="str">
        <f>IF(ISNUMBER(FIND("arbeid",Methode_Keuze)),"",IF(ISNUMBER(FIND("arbeid",Methode_Keuze)),"",IF(Tb_Activiteiten[[#This Row],[Projectmedewerker]]=1,Tb_Activiteiten[[#Headers],[Projectmedewerker]],"")))</f>
        <v/>
      </c>
      <c r="AN271" t="str">
        <f>IF(ISNUMBER(FIND("arbeid",Methode_Keuze)),"",IF(ISNUMBER(FIND("arbeid",Methode_Keuze)),"",IF(Tb_Activiteiten[[#This Row],[Landbouwer]]=1,Tb_Activiteiten[[#Headers],[Landbouwer]],"")))</f>
        <v/>
      </c>
      <c r="AO271" t="str">
        <f>IF(ISNUMBER(FIND("arbeid",Methode_Keuze)),"",IF(ISNUMBER(FIND("arbeid",Methode_Keuze)),"",IF(Tb_Activiteiten[[#This Row],[Adviseur]]=1,Tb_Activiteiten[[#Headers],[Adviseur]],"")))</f>
        <v/>
      </c>
      <c r="AP271" t="str">
        <f>IF(ISNUMBER(FIND("arbeid",Methode_Keuze)),"",IF(ISNUMBER(FIND("arbeid",Methode_Keuze)),"",IF(Tb_Activiteiten[[#This Row],[Projectleider/Expert]]=1,Tb_Activiteiten[[#Headers],[Projectleider/Expert]],"")))</f>
        <v/>
      </c>
      <c r="AQ271" t="str">
        <f>IF(ISNUMBER(FIND("arbeid",Methode_Keuze)),"",IF(ISNUMBER(FIND("arbeid",Methode_Keuze)),"",IF(Tb_Activiteiten[[#This Row],[Arbeidskosten]]=1,Tb_Activiteiten[[#Headers],[Arbeidskosten]],"")))</f>
        <v/>
      </c>
      <c r="AR271" t="str">
        <f>IF(ISNUMBER(FIND("arbeid",Methode_Keuze)),"",IF(ISNUMBER(FIND("arbeid",Methode_Keuze)),"",IF(Tb_Activiteiten[[#This Row],[Arbeidskosten op basis van IKS]]=1,Tb_Activiteiten[[#Headers],[Arbeidskosten op basis van IKS]],"")))</f>
        <v/>
      </c>
      <c r="AS271" t="str">
        <f>IF(ISNUMBER(FIND("overige",Methode_Keuze)),"",IF(Tb_Activiteiten[[#This Row],[Kosten derden exclusief btw]]=1,Tb_Activiteiten[[#Headers],[Kosten derden exclusief btw]],""))</f>
        <v/>
      </c>
      <c r="AT271" t="str">
        <f>IF(ISNUMBER(FIND("overige",Methode_Keuze)),"",IF(Tb_Activiteiten[[#This Row],[Niet verrekenbare btw]]=1,Tb_Activiteiten[[#Headers],[Niet verrekenbare btw]],""))</f>
        <v/>
      </c>
      <c r="AU271" t="str">
        <f>IF(ISNUMBER(FIND("overige",Methode_Keuze)),"",IF(Tb_Activiteiten[[#This Row],[Grondkosten]]=1,Tb_Activiteiten[[#Headers],[Grondkosten]],""))</f>
        <v/>
      </c>
      <c r="AV271" t="str">
        <f>IF(ISNUMBER(FIND("overige",Methode_Keuze)),"",IF(Tb_Activiteiten[[#This Row],[Bijdrage in natura (overige)]]=1,Tb_Activiteiten[[#Headers],[Bijdrage in natura (overige)]],""))</f>
        <v/>
      </c>
      <c r="AW271" t="str">
        <f>IF(ISNUMBER(FIND("overige",Methode_Keuze)),"",IF(Tb_Activiteiten[[#This Row],[Bijdrage in natura (vrijwilligers)]]=1,Tb_Activiteiten[[#Headers],[Bijdrage in natura (vrijwilligers)]],""))</f>
        <v/>
      </c>
      <c r="AX271" t="str">
        <f>IF(ISNUMBER(FIND("overige",Methode_Keuze)),"",IF(Tb_Activiteiten[[#This Row],[Afschrijvingskosten]]=1,Tb_Activiteiten[[#Headers],[Afschrijvingskosten]],""))</f>
        <v/>
      </c>
      <c r="AY271" t="str">
        <f>IF(ISNUMBER(FIND("overige",Methode_Keuze)),"",IF(Tb_Activiteiten[[#This Row],[Vergoeding]]=1,Tb_Activiteiten[[#Headers],[Vergoeding]],""))</f>
        <v/>
      </c>
      <c r="AZ271" t="str">
        <f>IF(ISNUMBER(FIND("arbeid",Methode_Keuze)),"",IF(Tb_Activiteiten[[#This Row],[Arbeidskosten - vast tarief (excl eigen arbeid)]]=1,Tb_Activiteiten[[#Headers],[Arbeidskosten - vast tarief (excl eigen arbeid)]],""))</f>
        <v/>
      </c>
      <c r="BA271" t="str">
        <f>IF(ISNUMBER(FIND("overige",Methode_Keuze)),"",IF(Tb_Activiteiten[[#This Row],[Overige kosten]]=1,Tb_Activiteiten[[#Headers],[Overige kosten]],""))</f>
        <v/>
      </c>
    </row>
    <row r="272" spans="1:53" x14ac:dyDescent="0.25">
      <c r="A272" s="231"/>
      <c r="F272" s="64"/>
      <c r="G272" s="64"/>
      <c r="H272" s="275"/>
      <c r="I272" s="275"/>
      <c r="J272" s="275"/>
      <c r="K272" s="275"/>
      <c r="O272" s="56"/>
      <c r="Q272" t="str">
        <f>IFERROR(IF(VLOOKUP(Tb_Activiteiten[[#This Row],[Openstelling]],Tb_Openstelling[],2,0)=1,1,""),"")</f>
        <v/>
      </c>
      <c r="AK272" t="str">
        <f>IF(ISNUMBER(FIND("arbeid",Methode_Keuze)),"",IF(ISNUMBER(FIND("arbeid",Methode_Keuze)),"",IF(Tb_Activiteiten[[#This Row],[Loonkosten]]=1,Tb_Activiteiten[[#Headers],[Loonkosten]],"")))</f>
        <v/>
      </c>
      <c r="AL272" t="str">
        <f>IF(ISNUMBER(FIND("arbeid",Methode_Keuze)),"",IF(ISNUMBER(FIND("arbeid",Methode_Keuze)),"",IF(Tb_Activiteiten[[#This Row],[Eigen arbeid]]=1,Tb_Activiteiten[[#Headers],[Eigen arbeid]],"")))</f>
        <v/>
      </c>
      <c r="AM272" t="str">
        <f>IF(ISNUMBER(FIND("arbeid",Methode_Keuze)),"",IF(ISNUMBER(FIND("arbeid",Methode_Keuze)),"",IF(Tb_Activiteiten[[#This Row],[Projectmedewerker]]=1,Tb_Activiteiten[[#Headers],[Projectmedewerker]],"")))</f>
        <v/>
      </c>
      <c r="AN272" t="str">
        <f>IF(ISNUMBER(FIND("arbeid",Methode_Keuze)),"",IF(ISNUMBER(FIND("arbeid",Methode_Keuze)),"",IF(Tb_Activiteiten[[#This Row],[Landbouwer]]=1,Tb_Activiteiten[[#Headers],[Landbouwer]],"")))</f>
        <v/>
      </c>
      <c r="AO272" t="str">
        <f>IF(ISNUMBER(FIND("arbeid",Methode_Keuze)),"",IF(ISNUMBER(FIND("arbeid",Methode_Keuze)),"",IF(Tb_Activiteiten[[#This Row],[Adviseur]]=1,Tb_Activiteiten[[#Headers],[Adviseur]],"")))</f>
        <v/>
      </c>
      <c r="AP272" t="str">
        <f>IF(ISNUMBER(FIND("arbeid",Methode_Keuze)),"",IF(ISNUMBER(FIND("arbeid",Methode_Keuze)),"",IF(Tb_Activiteiten[[#This Row],[Projectleider/Expert]]=1,Tb_Activiteiten[[#Headers],[Projectleider/Expert]],"")))</f>
        <v/>
      </c>
      <c r="AQ272" t="str">
        <f>IF(ISNUMBER(FIND("arbeid",Methode_Keuze)),"",IF(ISNUMBER(FIND("arbeid",Methode_Keuze)),"",IF(Tb_Activiteiten[[#This Row],[Arbeidskosten]]=1,Tb_Activiteiten[[#Headers],[Arbeidskosten]],"")))</f>
        <v/>
      </c>
      <c r="AR272" t="str">
        <f>IF(ISNUMBER(FIND("arbeid",Methode_Keuze)),"",IF(ISNUMBER(FIND("arbeid",Methode_Keuze)),"",IF(Tb_Activiteiten[[#This Row],[Arbeidskosten op basis van IKS]]=1,Tb_Activiteiten[[#Headers],[Arbeidskosten op basis van IKS]],"")))</f>
        <v/>
      </c>
      <c r="AS272" t="str">
        <f>IF(ISNUMBER(FIND("overige",Methode_Keuze)),"",IF(Tb_Activiteiten[[#This Row],[Kosten derden exclusief btw]]=1,Tb_Activiteiten[[#Headers],[Kosten derden exclusief btw]],""))</f>
        <v/>
      </c>
      <c r="AT272" t="str">
        <f>IF(ISNUMBER(FIND("overige",Methode_Keuze)),"",IF(Tb_Activiteiten[[#This Row],[Niet verrekenbare btw]]=1,Tb_Activiteiten[[#Headers],[Niet verrekenbare btw]],""))</f>
        <v/>
      </c>
      <c r="AU272" t="str">
        <f>IF(ISNUMBER(FIND("overige",Methode_Keuze)),"",IF(Tb_Activiteiten[[#This Row],[Grondkosten]]=1,Tb_Activiteiten[[#Headers],[Grondkosten]],""))</f>
        <v/>
      </c>
      <c r="AV272" t="str">
        <f>IF(ISNUMBER(FIND("overige",Methode_Keuze)),"",IF(Tb_Activiteiten[[#This Row],[Bijdrage in natura (overige)]]=1,Tb_Activiteiten[[#Headers],[Bijdrage in natura (overige)]],""))</f>
        <v/>
      </c>
      <c r="AW272" t="str">
        <f>IF(ISNUMBER(FIND("overige",Methode_Keuze)),"",IF(Tb_Activiteiten[[#This Row],[Bijdrage in natura (vrijwilligers)]]=1,Tb_Activiteiten[[#Headers],[Bijdrage in natura (vrijwilligers)]],""))</f>
        <v/>
      </c>
      <c r="AX272" t="str">
        <f>IF(ISNUMBER(FIND("overige",Methode_Keuze)),"",IF(Tb_Activiteiten[[#This Row],[Afschrijvingskosten]]=1,Tb_Activiteiten[[#Headers],[Afschrijvingskosten]],""))</f>
        <v/>
      </c>
      <c r="AY272" t="str">
        <f>IF(ISNUMBER(FIND("overige",Methode_Keuze)),"",IF(Tb_Activiteiten[[#This Row],[Vergoeding]]=1,Tb_Activiteiten[[#Headers],[Vergoeding]],""))</f>
        <v/>
      </c>
      <c r="AZ272" t="str">
        <f>IF(ISNUMBER(FIND("arbeid",Methode_Keuze)),"",IF(Tb_Activiteiten[[#This Row],[Arbeidskosten - vast tarief (excl eigen arbeid)]]=1,Tb_Activiteiten[[#Headers],[Arbeidskosten - vast tarief (excl eigen arbeid)]],""))</f>
        <v/>
      </c>
      <c r="BA272" t="str">
        <f>IF(ISNUMBER(FIND("overige",Methode_Keuze)),"",IF(Tb_Activiteiten[[#This Row],[Overige kosten]]=1,Tb_Activiteiten[[#Headers],[Overige kosten]],""))</f>
        <v/>
      </c>
    </row>
    <row r="273" spans="1:53" x14ac:dyDescent="0.25">
      <c r="A273" s="231"/>
      <c r="F273" s="64"/>
      <c r="G273" s="64"/>
      <c r="H273" s="275"/>
      <c r="I273" s="275"/>
      <c r="J273" s="275"/>
      <c r="K273" s="275"/>
      <c r="O273" s="56"/>
      <c r="Q273" t="str">
        <f>IFERROR(IF(VLOOKUP(Tb_Activiteiten[[#This Row],[Openstelling]],Tb_Openstelling[],2,0)=1,1,""),"")</f>
        <v/>
      </c>
      <c r="AK273" t="str">
        <f>IF(ISNUMBER(FIND("arbeid",Methode_Keuze)),"",IF(ISNUMBER(FIND("arbeid",Methode_Keuze)),"",IF(Tb_Activiteiten[[#This Row],[Loonkosten]]=1,Tb_Activiteiten[[#Headers],[Loonkosten]],"")))</f>
        <v/>
      </c>
      <c r="AL273" t="str">
        <f>IF(ISNUMBER(FIND("arbeid",Methode_Keuze)),"",IF(ISNUMBER(FIND("arbeid",Methode_Keuze)),"",IF(Tb_Activiteiten[[#This Row],[Eigen arbeid]]=1,Tb_Activiteiten[[#Headers],[Eigen arbeid]],"")))</f>
        <v/>
      </c>
      <c r="AM273" t="str">
        <f>IF(ISNUMBER(FIND("arbeid",Methode_Keuze)),"",IF(ISNUMBER(FIND("arbeid",Methode_Keuze)),"",IF(Tb_Activiteiten[[#This Row],[Projectmedewerker]]=1,Tb_Activiteiten[[#Headers],[Projectmedewerker]],"")))</f>
        <v/>
      </c>
      <c r="AN273" t="str">
        <f>IF(ISNUMBER(FIND("arbeid",Methode_Keuze)),"",IF(ISNUMBER(FIND("arbeid",Methode_Keuze)),"",IF(Tb_Activiteiten[[#This Row],[Landbouwer]]=1,Tb_Activiteiten[[#Headers],[Landbouwer]],"")))</f>
        <v/>
      </c>
      <c r="AO273" t="str">
        <f>IF(ISNUMBER(FIND("arbeid",Methode_Keuze)),"",IF(ISNUMBER(FIND("arbeid",Methode_Keuze)),"",IF(Tb_Activiteiten[[#This Row],[Adviseur]]=1,Tb_Activiteiten[[#Headers],[Adviseur]],"")))</f>
        <v/>
      </c>
      <c r="AP273" t="str">
        <f>IF(ISNUMBER(FIND("arbeid",Methode_Keuze)),"",IF(ISNUMBER(FIND("arbeid",Methode_Keuze)),"",IF(Tb_Activiteiten[[#This Row],[Projectleider/Expert]]=1,Tb_Activiteiten[[#Headers],[Projectleider/Expert]],"")))</f>
        <v/>
      </c>
      <c r="AQ273" t="str">
        <f>IF(ISNUMBER(FIND("arbeid",Methode_Keuze)),"",IF(ISNUMBER(FIND("arbeid",Methode_Keuze)),"",IF(Tb_Activiteiten[[#This Row],[Arbeidskosten]]=1,Tb_Activiteiten[[#Headers],[Arbeidskosten]],"")))</f>
        <v/>
      </c>
      <c r="AR273" t="str">
        <f>IF(ISNUMBER(FIND("arbeid",Methode_Keuze)),"",IF(ISNUMBER(FIND("arbeid",Methode_Keuze)),"",IF(Tb_Activiteiten[[#This Row],[Arbeidskosten op basis van IKS]]=1,Tb_Activiteiten[[#Headers],[Arbeidskosten op basis van IKS]],"")))</f>
        <v/>
      </c>
      <c r="AS273" t="str">
        <f>IF(ISNUMBER(FIND("overige",Methode_Keuze)),"",IF(Tb_Activiteiten[[#This Row],[Kosten derden exclusief btw]]=1,Tb_Activiteiten[[#Headers],[Kosten derden exclusief btw]],""))</f>
        <v/>
      </c>
      <c r="AT273" t="str">
        <f>IF(ISNUMBER(FIND("overige",Methode_Keuze)),"",IF(Tb_Activiteiten[[#This Row],[Niet verrekenbare btw]]=1,Tb_Activiteiten[[#Headers],[Niet verrekenbare btw]],""))</f>
        <v/>
      </c>
      <c r="AU273" t="str">
        <f>IF(ISNUMBER(FIND("overige",Methode_Keuze)),"",IF(Tb_Activiteiten[[#This Row],[Grondkosten]]=1,Tb_Activiteiten[[#Headers],[Grondkosten]],""))</f>
        <v/>
      </c>
      <c r="AV273" t="str">
        <f>IF(ISNUMBER(FIND("overige",Methode_Keuze)),"",IF(Tb_Activiteiten[[#This Row],[Bijdrage in natura (overige)]]=1,Tb_Activiteiten[[#Headers],[Bijdrage in natura (overige)]],""))</f>
        <v/>
      </c>
      <c r="AW273" t="str">
        <f>IF(ISNUMBER(FIND("overige",Methode_Keuze)),"",IF(Tb_Activiteiten[[#This Row],[Bijdrage in natura (vrijwilligers)]]=1,Tb_Activiteiten[[#Headers],[Bijdrage in natura (vrijwilligers)]],""))</f>
        <v/>
      </c>
      <c r="AX273" t="str">
        <f>IF(ISNUMBER(FIND("overige",Methode_Keuze)),"",IF(Tb_Activiteiten[[#This Row],[Afschrijvingskosten]]=1,Tb_Activiteiten[[#Headers],[Afschrijvingskosten]],""))</f>
        <v/>
      </c>
      <c r="AY273" t="str">
        <f>IF(ISNUMBER(FIND("overige",Methode_Keuze)),"",IF(Tb_Activiteiten[[#This Row],[Vergoeding]]=1,Tb_Activiteiten[[#Headers],[Vergoeding]],""))</f>
        <v/>
      </c>
      <c r="AZ273" t="str">
        <f>IF(ISNUMBER(FIND("arbeid",Methode_Keuze)),"",IF(Tb_Activiteiten[[#This Row],[Arbeidskosten - vast tarief (excl eigen arbeid)]]=1,Tb_Activiteiten[[#Headers],[Arbeidskosten - vast tarief (excl eigen arbeid)]],""))</f>
        <v/>
      </c>
      <c r="BA273" t="str">
        <f>IF(ISNUMBER(FIND("overige",Methode_Keuze)),"",IF(Tb_Activiteiten[[#This Row],[Overige kosten]]=1,Tb_Activiteiten[[#Headers],[Overige kosten]],""))</f>
        <v/>
      </c>
    </row>
    <row r="274" spans="1:53" x14ac:dyDescent="0.25">
      <c r="A274" s="231"/>
      <c r="F274" s="64"/>
      <c r="G274" s="64"/>
      <c r="H274" s="275"/>
      <c r="I274" s="275"/>
      <c r="J274" s="275"/>
      <c r="K274" s="275"/>
      <c r="O274" s="56"/>
      <c r="Q274" t="str">
        <f>IFERROR(IF(VLOOKUP(Tb_Activiteiten[[#This Row],[Openstelling]],Tb_Openstelling[],2,0)=1,1,""),"")</f>
        <v/>
      </c>
      <c r="AK274" t="str">
        <f>IF(ISNUMBER(FIND("arbeid",Methode_Keuze)),"",IF(ISNUMBER(FIND("arbeid",Methode_Keuze)),"",IF(Tb_Activiteiten[[#This Row],[Loonkosten]]=1,Tb_Activiteiten[[#Headers],[Loonkosten]],"")))</f>
        <v/>
      </c>
      <c r="AL274" t="str">
        <f>IF(ISNUMBER(FIND("arbeid",Methode_Keuze)),"",IF(ISNUMBER(FIND("arbeid",Methode_Keuze)),"",IF(Tb_Activiteiten[[#This Row],[Eigen arbeid]]=1,Tb_Activiteiten[[#Headers],[Eigen arbeid]],"")))</f>
        <v/>
      </c>
      <c r="AM274" t="str">
        <f>IF(ISNUMBER(FIND("arbeid",Methode_Keuze)),"",IF(ISNUMBER(FIND("arbeid",Methode_Keuze)),"",IF(Tb_Activiteiten[[#This Row],[Projectmedewerker]]=1,Tb_Activiteiten[[#Headers],[Projectmedewerker]],"")))</f>
        <v/>
      </c>
      <c r="AN274" t="str">
        <f>IF(ISNUMBER(FIND("arbeid",Methode_Keuze)),"",IF(ISNUMBER(FIND("arbeid",Methode_Keuze)),"",IF(Tb_Activiteiten[[#This Row],[Landbouwer]]=1,Tb_Activiteiten[[#Headers],[Landbouwer]],"")))</f>
        <v/>
      </c>
      <c r="AO274" t="str">
        <f>IF(ISNUMBER(FIND("arbeid",Methode_Keuze)),"",IF(ISNUMBER(FIND("arbeid",Methode_Keuze)),"",IF(Tb_Activiteiten[[#This Row],[Adviseur]]=1,Tb_Activiteiten[[#Headers],[Adviseur]],"")))</f>
        <v/>
      </c>
      <c r="AP274" t="str">
        <f>IF(ISNUMBER(FIND("arbeid",Methode_Keuze)),"",IF(ISNUMBER(FIND("arbeid",Methode_Keuze)),"",IF(Tb_Activiteiten[[#This Row],[Projectleider/Expert]]=1,Tb_Activiteiten[[#Headers],[Projectleider/Expert]],"")))</f>
        <v/>
      </c>
      <c r="AQ274" t="str">
        <f>IF(ISNUMBER(FIND("arbeid",Methode_Keuze)),"",IF(ISNUMBER(FIND("arbeid",Methode_Keuze)),"",IF(Tb_Activiteiten[[#This Row],[Arbeidskosten]]=1,Tb_Activiteiten[[#Headers],[Arbeidskosten]],"")))</f>
        <v/>
      </c>
      <c r="AR274" t="str">
        <f>IF(ISNUMBER(FIND("arbeid",Methode_Keuze)),"",IF(ISNUMBER(FIND("arbeid",Methode_Keuze)),"",IF(Tb_Activiteiten[[#This Row],[Arbeidskosten op basis van IKS]]=1,Tb_Activiteiten[[#Headers],[Arbeidskosten op basis van IKS]],"")))</f>
        <v/>
      </c>
      <c r="AS274" t="str">
        <f>IF(ISNUMBER(FIND("overige",Methode_Keuze)),"",IF(Tb_Activiteiten[[#This Row],[Kosten derden exclusief btw]]=1,Tb_Activiteiten[[#Headers],[Kosten derden exclusief btw]],""))</f>
        <v/>
      </c>
      <c r="AT274" t="str">
        <f>IF(ISNUMBER(FIND("overige",Methode_Keuze)),"",IF(Tb_Activiteiten[[#This Row],[Niet verrekenbare btw]]=1,Tb_Activiteiten[[#Headers],[Niet verrekenbare btw]],""))</f>
        <v/>
      </c>
      <c r="AU274" t="str">
        <f>IF(ISNUMBER(FIND("overige",Methode_Keuze)),"",IF(Tb_Activiteiten[[#This Row],[Grondkosten]]=1,Tb_Activiteiten[[#Headers],[Grondkosten]],""))</f>
        <v/>
      </c>
      <c r="AV274" t="str">
        <f>IF(ISNUMBER(FIND("overige",Methode_Keuze)),"",IF(Tb_Activiteiten[[#This Row],[Bijdrage in natura (overige)]]=1,Tb_Activiteiten[[#Headers],[Bijdrage in natura (overige)]],""))</f>
        <v/>
      </c>
      <c r="AW274" t="str">
        <f>IF(ISNUMBER(FIND("overige",Methode_Keuze)),"",IF(Tb_Activiteiten[[#This Row],[Bijdrage in natura (vrijwilligers)]]=1,Tb_Activiteiten[[#Headers],[Bijdrage in natura (vrijwilligers)]],""))</f>
        <v/>
      </c>
      <c r="AX274" t="str">
        <f>IF(ISNUMBER(FIND("overige",Methode_Keuze)),"",IF(Tb_Activiteiten[[#This Row],[Afschrijvingskosten]]=1,Tb_Activiteiten[[#Headers],[Afschrijvingskosten]],""))</f>
        <v/>
      </c>
      <c r="AY274" t="str">
        <f>IF(ISNUMBER(FIND("overige",Methode_Keuze)),"",IF(Tb_Activiteiten[[#This Row],[Vergoeding]]=1,Tb_Activiteiten[[#Headers],[Vergoeding]],""))</f>
        <v/>
      </c>
      <c r="AZ274" t="str">
        <f>IF(ISNUMBER(FIND("arbeid",Methode_Keuze)),"",IF(Tb_Activiteiten[[#This Row],[Arbeidskosten - vast tarief (excl eigen arbeid)]]=1,Tb_Activiteiten[[#Headers],[Arbeidskosten - vast tarief (excl eigen arbeid)]],""))</f>
        <v/>
      </c>
      <c r="BA274" t="str">
        <f>IF(ISNUMBER(FIND("overige",Methode_Keuze)),"",IF(Tb_Activiteiten[[#This Row],[Overige kosten]]=1,Tb_Activiteiten[[#Headers],[Overige kosten]],""))</f>
        <v/>
      </c>
    </row>
    <row r="275" spans="1:53" x14ac:dyDescent="0.25">
      <c r="A275" s="231"/>
      <c r="F275" s="64"/>
      <c r="G275" s="64"/>
      <c r="H275" s="275"/>
      <c r="I275" s="275"/>
      <c r="J275" s="275"/>
      <c r="K275" s="275"/>
      <c r="O275" s="56"/>
      <c r="Q275" t="str">
        <f>IFERROR(IF(VLOOKUP(Tb_Activiteiten[[#This Row],[Openstelling]],Tb_Openstelling[],2,0)=1,1,""),"")</f>
        <v/>
      </c>
      <c r="AK275" t="str">
        <f>IF(ISNUMBER(FIND("arbeid",Methode_Keuze)),"",IF(ISNUMBER(FIND("arbeid",Methode_Keuze)),"",IF(Tb_Activiteiten[[#This Row],[Loonkosten]]=1,Tb_Activiteiten[[#Headers],[Loonkosten]],"")))</f>
        <v/>
      </c>
      <c r="AL275" t="str">
        <f>IF(ISNUMBER(FIND("arbeid",Methode_Keuze)),"",IF(ISNUMBER(FIND("arbeid",Methode_Keuze)),"",IF(Tb_Activiteiten[[#This Row],[Eigen arbeid]]=1,Tb_Activiteiten[[#Headers],[Eigen arbeid]],"")))</f>
        <v/>
      </c>
      <c r="AM275" t="str">
        <f>IF(ISNUMBER(FIND("arbeid",Methode_Keuze)),"",IF(ISNUMBER(FIND("arbeid",Methode_Keuze)),"",IF(Tb_Activiteiten[[#This Row],[Projectmedewerker]]=1,Tb_Activiteiten[[#Headers],[Projectmedewerker]],"")))</f>
        <v/>
      </c>
      <c r="AN275" t="str">
        <f>IF(ISNUMBER(FIND("arbeid",Methode_Keuze)),"",IF(ISNUMBER(FIND("arbeid",Methode_Keuze)),"",IF(Tb_Activiteiten[[#This Row],[Landbouwer]]=1,Tb_Activiteiten[[#Headers],[Landbouwer]],"")))</f>
        <v/>
      </c>
      <c r="AO275" t="str">
        <f>IF(ISNUMBER(FIND("arbeid",Methode_Keuze)),"",IF(ISNUMBER(FIND("arbeid",Methode_Keuze)),"",IF(Tb_Activiteiten[[#This Row],[Adviseur]]=1,Tb_Activiteiten[[#Headers],[Adviseur]],"")))</f>
        <v/>
      </c>
      <c r="AP275" t="str">
        <f>IF(ISNUMBER(FIND("arbeid",Methode_Keuze)),"",IF(ISNUMBER(FIND("arbeid",Methode_Keuze)),"",IF(Tb_Activiteiten[[#This Row],[Projectleider/Expert]]=1,Tb_Activiteiten[[#Headers],[Projectleider/Expert]],"")))</f>
        <v/>
      </c>
      <c r="AQ275" t="str">
        <f>IF(ISNUMBER(FIND("arbeid",Methode_Keuze)),"",IF(ISNUMBER(FIND("arbeid",Methode_Keuze)),"",IF(Tb_Activiteiten[[#This Row],[Arbeidskosten]]=1,Tb_Activiteiten[[#Headers],[Arbeidskosten]],"")))</f>
        <v/>
      </c>
      <c r="AR275" t="str">
        <f>IF(ISNUMBER(FIND("arbeid",Methode_Keuze)),"",IF(ISNUMBER(FIND("arbeid",Methode_Keuze)),"",IF(Tb_Activiteiten[[#This Row],[Arbeidskosten op basis van IKS]]=1,Tb_Activiteiten[[#Headers],[Arbeidskosten op basis van IKS]],"")))</f>
        <v/>
      </c>
      <c r="AS275" t="str">
        <f>IF(ISNUMBER(FIND("overige",Methode_Keuze)),"",IF(Tb_Activiteiten[[#This Row],[Kosten derden exclusief btw]]=1,Tb_Activiteiten[[#Headers],[Kosten derden exclusief btw]],""))</f>
        <v/>
      </c>
      <c r="AT275" t="str">
        <f>IF(ISNUMBER(FIND("overige",Methode_Keuze)),"",IF(Tb_Activiteiten[[#This Row],[Niet verrekenbare btw]]=1,Tb_Activiteiten[[#Headers],[Niet verrekenbare btw]],""))</f>
        <v/>
      </c>
      <c r="AU275" t="str">
        <f>IF(ISNUMBER(FIND("overige",Methode_Keuze)),"",IF(Tb_Activiteiten[[#This Row],[Grondkosten]]=1,Tb_Activiteiten[[#Headers],[Grondkosten]],""))</f>
        <v/>
      </c>
      <c r="AV275" t="str">
        <f>IF(ISNUMBER(FIND("overige",Methode_Keuze)),"",IF(Tb_Activiteiten[[#This Row],[Bijdrage in natura (overige)]]=1,Tb_Activiteiten[[#Headers],[Bijdrage in natura (overige)]],""))</f>
        <v/>
      </c>
      <c r="AW275" t="str">
        <f>IF(ISNUMBER(FIND("overige",Methode_Keuze)),"",IF(Tb_Activiteiten[[#This Row],[Bijdrage in natura (vrijwilligers)]]=1,Tb_Activiteiten[[#Headers],[Bijdrage in natura (vrijwilligers)]],""))</f>
        <v/>
      </c>
      <c r="AX275" t="str">
        <f>IF(ISNUMBER(FIND("overige",Methode_Keuze)),"",IF(Tb_Activiteiten[[#This Row],[Afschrijvingskosten]]=1,Tb_Activiteiten[[#Headers],[Afschrijvingskosten]],""))</f>
        <v/>
      </c>
      <c r="AY275" t="str">
        <f>IF(ISNUMBER(FIND("overige",Methode_Keuze)),"",IF(Tb_Activiteiten[[#This Row],[Vergoeding]]=1,Tb_Activiteiten[[#Headers],[Vergoeding]],""))</f>
        <v/>
      </c>
      <c r="AZ275" t="str">
        <f>IF(ISNUMBER(FIND("arbeid",Methode_Keuze)),"",IF(Tb_Activiteiten[[#This Row],[Arbeidskosten - vast tarief (excl eigen arbeid)]]=1,Tb_Activiteiten[[#Headers],[Arbeidskosten - vast tarief (excl eigen arbeid)]],""))</f>
        <v/>
      </c>
      <c r="BA275" t="str">
        <f>IF(ISNUMBER(FIND("overige",Methode_Keuze)),"",IF(Tb_Activiteiten[[#This Row],[Overige kosten]]=1,Tb_Activiteiten[[#Headers],[Overige kosten]],""))</f>
        <v/>
      </c>
    </row>
    <row r="276" spans="1:53" x14ac:dyDescent="0.25">
      <c r="A276" s="231"/>
      <c r="F276" s="64"/>
      <c r="G276" s="64"/>
      <c r="H276" s="275"/>
      <c r="I276" s="275"/>
      <c r="J276" s="275"/>
      <c r="K276" s="275"/>
      <c r="O276" s="56"/>
      <c r="Q276" t="str">
        <f>IFERROR(IF(VLOOKUP(Tb_Activiteiten[[#This Row],[Openstelling]],Tb_Openstelling[],2,0)=1,1,""),"")</f>
        <v/>
      </c>
      <c r="AK276" t="str">
        <f>IF(ISNUMBER(FIND("arbeid",Methode_Keuze)),"",IF(ISNUMBER(FIND("arbeid",Methode_Keuze)),"",IF(Tb_Activiteiten[[#This Row],[Loonkosten]]=1,Tb_Activiteiten[[#Headers],[Loonkosten]],"")))</f>
        <v/>
      </c>
      <c r="AL276" t="str">
        <f>IF(ISNUMBER(FIND("arbeid",Methode_Keuze)),"",IF(ISNUMBER(FIND("arbeid",Methode_Keuze)),"",IF(Tb_Activiteiten[[#This Row],[Eigen arbeid]]=1,Tb_Activiteiten[[#Headers],[Eigen arbeid]],"")))</f>
        <v/>
      </c>
      <c r="AM276" t="str">
        <f>IF(ISNUMBER(FIND("arbeid",Methode_Keuze)),"",IF(ISNUMBER(FIND("arbeid",Methode_Keuze)),"",IF(Tb_Activiteiten[[#This Row],[Projectmedewerker]]=1,Tb_Activiteiten[[#Headers],[Projectmedewerker]],"")))</f>
        <v/>
      </c>
      <c r="AN276" t="str">
        <f>IF(ISNUMBER(FIND("arbeid",Methode_Keuze)),"",IF(ISNUMBER(FIND("arbeid",Methode_Keuze)),"",IF(Tb_Activiteiten[[#This Row],[Landbouwer]]=1,Tb_Activiteiten[[#Headers],[Landbouwer]],"")))</f>
        <v/>
      </c>
      <c r="AO276" t="str">
        <f>IF(ISNUMBER(FIND("arbeid",Methode_Keuze)),"",IF(ISNUMBER(FIND("arbeid",Methode_Keuze)),"",IF(Tb_Activiteiten[[#This Row],[Adviseur]]=1,Tb_Activiteiten[[#Headers],[Adviseur]],"")))</f>
        <v/>
      </c>
      <c r="AP276" t="str">
        <f>IF(ISNUMBER(FIND("arbeid",Methode_Keuze)),"",IF(ISNUMBER(FIND("arbeid",Methode_Keuze)),"",IF(Tb_Activiteiten[[#This Row],[Projectleider/Expert]]=1,Tb_Activiteiten[[#Headers],[Projectleider/Expert]],"")))</f>
        <v/>
      </c>
      <c r="AQ276" t="str">
        <f>IF(ISNUMBER(FIND("arbeid",Methode_Keuze)),"",IF(ISNUMBER(FIND("arbeid",Methode_Keuze)),"",IF(Tb_Activiteiten[[#This Row],[Arbeidskosten]]=1,Tb_Activiteiten[[#Headers],[Arbeidskosten]],"")))</f>
        <v/>
      </c>
      <c r="AR276" t="str">
        <f>IF(ISNUMBER(FIND("arbeid",Methode_Keuze)),"",IF(ISNUMBER(FIND("arbeid",Methode_Keuze)),"",IF(Tb_Activiteiten[[#This Row],[Arbeidskosten op basis van IKS]]=1,Tb_Activiteiten[[#Headers],[Arbeidskosten op basis van IKS]],"")))</f>
        <v/>
      </c>
      <c r="AS276" t="str">
        <f>IF(ISNUMBER(FIND("overige",Methode_Keuze)),"",IF(Tb_Activiteiten[[#This Row],[Kosten derden exclusief btw]]=1,Tb_Activiteiten[[#Headers],[Kosten derden exclusief btw]],""))</f>
        <v/>
      </c>
      <c r="AT276" t="str">
        <f>IF(ISNUMBER(FIND("overige",Methode_Keuze)),"",IF(Tb_Activiteiten[[#This Row],[Niet verrekenbare btw]]=1,Tb_Activiteiten[[#Headers],[Niet verrekenbare btw]],""))</f>
        <v/>
      </c>
      <c r="AU276" t="str">
        <f>IF(ISNUMBER(FIND("overige",Methode_Keuze)),"",IF(Tb_Activiteiten[[#This Row],[Grondkosten]]=1,Tb_Activiteiten[[#Headers],[Grondkosten]],""))</f>
        <v/>
      </c>
      <c r="AV276" t="str">
        <f>IF(ISNUMBER(FIND("overige",Methode_Keuze)),"",IF(Tb_Activiteiten[[#This Row],[Bijdrage in natura (overige)]]=1,Tb_Activiteiten[[#Headers],[Bijdrage in natura (overige)]],""))</f>
        <v/>
      </c>
      <c r="AW276" t="str">
        <f>IF(ISNUMBER(FIND("overige",Methode_Keuze)),"",IF(Tb_Activiteiten[[#This Row],[Bijdrage in natura (vrijwilligers)]]=1,Tb_Activiteiten[[#Headers],[Bijdrage in natura (vrijwilligers)]],""))</f>
        <v/>
      </c>
      <c r="AX276" t="str">
        <f>IF(ISNUMBER(FIND("overige",Methode_Keuze)),"",IF(Tb_Activiteiten[[#This Row],[Afschrijvingskosten]]=1,Tb_Activiteiten[[#Headers],[Afschrijvingskosten]],""))</f>
        <v/>
      </c>
      <c r="AY276" t="str">
        <f>IF(ISNUMBER(FIND("overige",Methode_Keuze)),"",IF(Tb_Activiteiten[[#This Row],[Vergoeding]]=1,Tb_Activiteiten[[#Headers],[Vergoeding]],""))</f>
        <v/>
      </c>
      <c r="AZ276" t="str">
        <f>IF(ISNUMBER(FIND("arbeid",Methode_Keuze)),"",IF(Tb_Activiteiten[[#This Row],[Arbeidskosten - vast tarief (excl eigen arbeid)]]=1,Tb_Activiteiten[[#Headers],[Arbeidskosten - vast tarief (excl eigen arbeid)]],""))</f>
        <v/>
      </c>
      <c r="BA276" t="str">
        <f>IF(ISNUMBER(FIND("overige",Methode_Keuze)),"",IF(Tb_Activiteiten[[#This Row],[Overige kosten]]=1,Tb_Activiteiten[[#Headers],[Overige kosten]],""))</f>
        <v/>
      </c>
    </row>
    <row r="277" spans="1:53" x14ac:dyDescent="0.25">
      <c r="A277" s="231"/>
      <c r="F277" s="64"/>
      <c r="G277" s="64"/>
      <c r="H277" s="275"/>
      <c r="I277" s="275"/>
      <c r="J277" s="275"/>
      <c r="K277" s="275"/>
      <c r="O277" s="56"/>
      <c r="Q277" t="str">
        <f>IFERROR(IF(VLOOKUP(Tb_Activiteiten[[#This Row],[Openstelling]],Tb_Openstelling[],2,0)=1,1,""),"")</f>
        <v/>
      </c>
      <c r="AK277" t="str">
        <f>IF(ISNUMBER(FIND("arbeid",Methode_Keuze)),"",IF(ISNUMBER(FIND("arbeid",Methode_Keuze)),"",IF(Tb_Activiteiten[[#This Row],[Loonkosten]]=1,Tb_Activiteiten[[#Headers],[Loonkosten]],"")))</f>
        <v/>
      </c>
      <c r="AL277" t="str">
        <f>IF(ISNUMBER(FIND("arbeid",Methode_Keuze)),"",IF(ISNUMBER(FIND("arbeid",Methode_Keuze)),"",IF(Tb_Activiteiten[[#This Row],[Eigen arbeid]]=1,Tb_Activiteiten[[#Headers],[Eigen arbeid]],"")))</f>
        <v/>
      </c>
      <c r="AM277" t="str">
        <f>IF(ISNUMBER(FIND("arbeid",Methode_Keuze)),"",IF(ISNUMBER(FIND("arbeid",Methode_Keuze)),"",IF(Tb_Activiteiten[[#This Row],[Projectmedewerker]]=1,Tb_Activiteiten[[#Headers],[Projectmedewerker]],"")))</f>
        <v/>
      </c>
      <c r="AN277" t="str">
        <f>IF(ISNUMBER(FIND("arbeid",Methode_Keuze)),"",IF(ISNUMBER(FIND("arbeid",Methode_Keuze)),"",IF(Tb_Activiteiten[[#This Row],[Landbouwer]]=1,Tb_Activiteiten[[#Headers],[Landbouwer]],"")))</f>
        <v/>
      </c>
      <c r="AO277" t="str">
        <f>IF(ISNUMBER(FIND("arbeid",Methode_Keuze)),"",IF(ISNUMBER(FIND("arbeid",Methode_Keuze)),"",IF(Tb_Activiteiten[[#This Row],[Adviseur]]=1,Tb_Activiteiten[[#Headers],[Adviseur]],"")))</f>
        <v/>
      </c>
      <c r="AP277" t="str">
        <f>IF(ISNUMBER(FIND("arbeid",Methode_Keuze)),"",IF(ISNUMBER(FIND("arbeid",Methode_Keuze)),"",IF(Tb_Activiteiten[[#This Row],[Projectleider/Expert]]=1,Tb_Activiteiten[[#Headers],[Projectleider/Expert]],"")))</f>
        <v/>
      </c>
      <c r="AQ277" t="str">
        <f>IF(ISNUMBER(FIND("arbeid",Methode_Keuze)),"",IF(ISNUMBER(FIND("arbeid",Methode_Keuze)),"",IF(Tb_Activiteiten[[#This Row],[Arbeidskosten]]=1,Tb_Activiteiten[[#Headers],[Arbeidskosten]],"")))</f>
        <v/>
      </c>
      <c r="AR277" t="str">
        <f>IF(ISNUMBER(FIND("arbeid",Methode_Keuze)),"",IF(ISNUMBER(FIND("arbeid",Methode_Keuze)),"",IF(Tb_Activiteiten[[#This Row],[Arbeidskosten op basis van IKS]]=1,Tb_Activiteiten[[#Headers],[Arbeidskosten op basis van IKS]],"")))</f>
        <v/>
      </c>
      <c r="AS277" t="str">
        <f>IF(ISNUMBER(FIND("overige",Methode_Keuze)),"",IF(Tb_Activiteiten[[#This Row],[Kosten derden exclusief btw]]=1,Tb_Activiteiten[[#Headers],[Kosten derden exclusief btw]],""))</f>
        <v/>
      </c>
      <c r="AT277" t="str">
        <f>IF(ISNUMBER(FIND("overige",Methode_Keuze)),"",IF(Tb_Activiteiten[[#This Row],[Niet verrekenbare btw]]=1,Tb_Activiteiten[[#Headers],[Niet verrekenbare btw]],""))</f>
        <v/>
      </c>
      <c r="AU277" t="str">
        <f>IF(ISNUMBER(FIND("overige",Methode_Keuze)),"",IF(Tb_Activiteiten[[#This Row],[Grondkosten]]=1,Tb_Activiteiten[[#Headers],[Grondkosten]],""))</f>
        <v/>
      </c>
      <c r="AV277" t="str">
        <f>IF(ISNUMBER(FIND("overige",Methode_Keuze)),"",IF(Tb_Activiteiten[[#This Row],[Bijdrage in natura (overige)]]=1,Tb_Activiteiten[[#Headers],[Bijdrage in natura (overige)]],""))</f>
        <v/>
      </c>
      <c r="AW277" t="str">
        <f>IF(ISNUMBER(FIND("overige",Methode_Keuze)),"",IF(Tb_Activiteiten[[#This Row],[Bijdrage in natura (vrijwilligers)]]=1,Tb_Activiteiten[[#Headers],[Bijdrage in natura (vrijwilligers)]],""))</f>
        <v/>
      </c>
      <c r="AX277" t="str">
        <f>IF(ISNUMBER(FIND("overige",Methode_Keuze)),"",IF(Tb_Activiteiten[[#This Row],[Afschrijvingskosten]]=1,Tb_Activiteiten[[#Headers],[Afschrijvingskosten]],""))</f>
        <v/>
      </c>
      <c r="AY277" t="str">
        <f>IF(ISNUMBER(FIND("overige",Methode_Keuze)),"",IF(Tb_Activiteiten[[#This Row],[Vergoeding]]=1,Tb_Activiteiten[[#Headers],[Vergoeding]],""))</f>
        <v/>
      </c>
      <c r="AZ277" t="str">
        <f>IF(ISNUMBER(FIND("arbeid",Methode_Keuze)),"",IF(Tb_Activiteiten[[#This Row],[Arbeidskosten - vast tarief (excl eigen arbeid)]]=1,Tb_Activiteiten[[#Headers],[Arbeidskosten - vast tarief (excl eigen arbeid)]],""))</f>
        <v/>
      </c>
      <c r="BA277" t="str">
        <f>IF(ISNUMBER(FIND("overige",Methode_Keuze)),"",IF(Tb_Activiteiten[[#This Row],[Overige kosten]]=1,Tb_Activiteiten[[#Headers],[Overige kosten]],""))</f>
        <v/>
      </c>
    </row>
    <row r="278" spans="1:53" x14ac:dyDescent="0.25">
      <c r="A278" s="231"/>
      <c r="F278" s="64"/>
      <c r="G278" s="64"/>
      <c r="H278" s="275"/>
      <c r="I278" s="275"/>
      <c r="J278" s="275"/>
      <c r="K278" s="275"/>
      <c r="O278" s="56"/>
      <c r="Q278" t="str">
        <f>IFERROR(IF(VLOOKUP(Tb_Activiteiten[[#This Row],[Openstelling]],Tb_Openstelling[],2,0)=1,1,""),"")</f>
        <v/>
      </c>
      <c r="AK278" t="str">
        <f>IF(ISNUMBER(FIND("arbeid",Methode_Keuze)),"",IF(ISNUMBER(FIND("arbeid",Methode_Keuze)),"",IF(Tb_Activiteiten[[#This Row],[Loonkosten]]=1,Tb_Activiteiten[[#Headers],[Loonkosten]],"")))</f>
        <v/>
      </c>
      <c r="AL278" t="str">
        <f>IF(ISNUMBER(FIND("arbeid",Methode_Keuze)),"",IF(ISNUMBER(FIND("arbeid",Methode_Keuze)),"",IF(Tb_Activiteiten[[#This Row],[Eigen arbeid]]=1,Tb_Activiteiten[[#Headers],[Eigen arbeid]],"")))</f>
        <v/>
      </c>
      <c r="AM278" t="str">
        <f>IF(ISNUMBER(FIND("arbeid",Methode_Keuze)),"",IF(ISNUMBER(FIND("arbeid",Methode_Keuze)),"",IF(Tb_Activiteiten[[#This Row],[Projectmedewerker]]=1,Tb_Activiteiten[[#Headers],[Projectmedewerker]],"")))</f>
        <v/>
      </c>
      <c r="AN278" t="str">
        <f>IF(ISNUMBER(FIND("arbeid",Methode_Keuze)),"",IF(ISNUMBER(FIND("arbeid",Methode_Keuze)),"",IF(Tb_Activiteiten[[#This Row],[Landbouwer]]=1,Tb_Activiteiten[[#Headers],[Landbouwer]],"")))</f>
        <v/>
      </c>
      <c r="AO278" t="str">
        <f>IF(ISNUMBER(FIND("arbeid",Methode_Keuze)),"",IF(ISNUMBER(FIND("arbeid",Methode_Keuze)),"",IF(Tb_Activiteiten[[#This Row],[Adviseur]]=1,Tb_Activiteiten[[#Headers],[Adviseur]],"")))</f>
        <v/>
      </c>
      <c r="AP278" t="str">
        <f>IF(ISNUMBER(FIND("arbeid",Methode_Keuze)),"",IF(ISNUMBER(FIND("arbeid",Methode_Keuze)),"",IF(Tb_Activiteiten[[#This Row],[Projectleider/Expert]]=1,Tb_Activiteiten[[#Headers],[Projectleider/Expert]],"")))</f>
        <v/>
      </c>
      <c r="AQ278" t="str">
        <f>IF(ISNUMBER(FIND("arbeid",Methode_Keuze)),"",IF(ISNUMBER(FIND("arbeid",Methode_Keuze)),"",IF(Tb_Activiteiten[[#This Row],[Arbeidskosten]]=1,Tb_Activiteiten[[#Headers],[Arbeidskosten]],"")))</f>
        <v/>
      </c>
      <c r="AR278" t="str">
        <f>IF(ISNUMBER(FIND("arbeid",Methode_Keuze)),"",IF(ISNUMBER(FIND("arbeid",Methode_Keuze)),"",IF(Tb_Activiteiten[[#This Row],[Arbeidskosten op basis van IKS]]=1,Tb_Activiteiten[[#Headers],[Arbeidskosten op basis van IKS]],"")))</f>
        <v/>
      </c>
      <c r="AS278" t="str">
        <f>IF(ISNUMBER(FIND("overige",Methode_Keuze)),"",IF(Tb_Activiteiten[[#This Row],[Kosten derden exclusief btw]]=1,Tb_Activiteiten[[#Headers],[Kosten derden exclusief btw]],""))</f>
        <v/>
      </c>
      <c r="AT278" t="str">
        <f>IF(ISNUMBER(FIND("overige",Methode_Keuze)),"",IF(Tb_Activiteiten[[#This Row],[Niet verrekenbare btw]]=1,Tb_Activiteiten[[#Headers],[Niet verrekenbare btw]],""))</f>
        <v/>
      </c>
      <c r="AU278" t="str">
        <f>IF(ISNUMBER(FIND("overige",Methode_Keuze)),"",IF(Tb_Activiteiten[[#This Row],[Grondkosten]]=1,Tb_Activiteiten[[#Headers],[Grondkosten]],""))</f>
        <v/>
      </c>
      <c r="AV278" t="str">
        <f>IF(ISNUMBER(FIND("overige",Methode_Keuze)),"",IF(Tb_Activiteiten[[#This Row],[Bijdrage in natura (overige)]]=1,Tb_Activiteiten[[#Headers],[Bijdrage in natura (overige)]],""))</f>
        <v/>
      </c>
      <c r="AW278" t="str">
        <f>IF(ISNUMBER(FIND("overige",Methode_Keuze)),"",IF(Tb_Activiteiten[[#This Row],[Bijdrage in natura (vrijwilligers)]]=1,Tb_Activiteiten[[#Headers],[Bijdrage in natura (vrijwilligers)]],""))</f>
        <v/>
      </c>
      <c r="AX278" t="str">
        <f>IF(ISNUMBER(FIND("overige",Methode_Keuze)),"",IF(Tb_Activiteiten[[#This Row],[Afschrijvingskosten]]=1,Tb_Activiteiten[[#Headers],[Afschrijvingskosten]],""))</f>
        <v/>
      </c>
      <c r="AY278" t="str">
        <f>IF(ISNUMBER(FIND("overige",Methode_Keuze)),"",IF(Tb_Activiteiten[[#This Row],[Vergoeding]]=1,Tb_Activiteiten[[#Headers],[Vergoeding]],""))</f>
        <v/>
      </c>
      <c r="AZ278" t="str">
        <f>IF(ISNUMBER(FIND("arbeid",Methode_Keuze)),"",IF(Tb_Activiteiten[[#This Row],[Arbeidskosten - vast tarief (excl eigen arbeid)]]=1,Tb_Activiteiten[[#Headers],[Arbeidskosten - vast tarief (excl eigen arbeid)]],""))</f>
        <v/>
      </c>
      <c r="BA278" t="str">
        <f>IF(ISNUMBER(FIND("overige",Methode_Keuze)),"",IF(Tb_Activiteiten[[#This Row],[Overige kosten]]=1,Tb_Activiteiten[[#Headers],[Overige kosten]],""))</f>
        <v/>
      </c>
    </row>
    <row r="279" spans="1:53" x14ac:dyDescent="0.25">
      <c r="A279" s="231"/>
      <c r="F279" s="64"/>
      <c r="G279" s="64"/>
      <c r="H279" s="275"/>
      <c r="I279" s="275"/>
      <c r="J279" s="275"/>
      <c r="K279" s="275"/>
      <c r="O279" s="56"/>
      <c r="Q279" t="str">
        <f>IFERROR(IF(VLOOKUP(Tb_Activiteiten[[#This Row],[Openstelling]],Tb_Openstelling[],2,0)=1,1,""),"")</f>
        <v/>
      </c>
      <c r="AK279" t="str">
        <f>IF(ISNUMBER(FIND("arbeid",Methode_Keuze)),"",IF(ISNUMBER(FIND("arbeid",Methode_Keuze)),"",IF(Tb_Activiteiten[[#This Row],[Loonkosten]]=1,Tb_Activiteiten[[#Headers],[Loonkosten]],"")))</f>
        <v/>
      </c>
      <c r="AL279" t="str">
        <f>IF(ISNUMBER(FIND("arbeid",Methode_Keuze)),"",IF(ISNUMBER(FIND("arbeid",Methode_Keuze)),"",IF(Tb_Activiteiten[[#This Row],[Eigen arbeid]]=1,Tb_Activiteiten[[#Headers],[Eigen arbeid]],"")))</f>
        <v/>
      </c>
      <c r="AM279" t="str">
        <f>IF(ISNUMBER(FIND("arbeid",Methode_Keuze)),"",IF(ISNUMBER(FIND("arbeid",Methode_Keuze)),"",IF(Tb_Activiteiten[[#This Row],[Projectmedewerker]]=1,Tb_Activiteiten[[#Headers],[Projectmedewerker]],"")))</f>
        <v/>
      </c>
      <c r="AN279" t="str">
        <f>IF(ISNUMBER(FIND("arbeid",Methode_Keuze)),"",IF(ISNUMBER(FIND("arbeid",Methode_Keuze)),"",IF(Tb_Activiteiten[[#This Row],[Landbouwer]]=1,Tb_Activiteiten[[#Headers],[Landbouwer]],"")))</f>
        <v/>
      </c>
      <c r="AO279" t="str">
        <f>IF(ISNUMBER(FIND("arbeid",Methode_Keuze)),"",IF(ISNUMBER(FIND("arbeid",Methode_Keuze)),"",IF(Tb_Activiteiten[[#This Row],[Adviseur]]=1,Tb_Activiteiten[[#Headers],[Adviseur]],"")))</f>
        <v/>
      </c>
      <c r="AP279" t="str">
        <f>IF(ISNUMBER(FIND("arbeid",Methode_Keuze)),"",IF(ISNUMBER(FIND("arbeid",Methode_Keuze)),"",IF(Tb_Activiteiten[[#This Row],[Projectleider/Expert]]=1,Tb_Activiteiten[[#Headers],[Projectleider/Expert]],"")))</f>
        <v/>
      </c>
      <c r="AQ279" t="str">
        <f>IF(ISNUMBER(FIND("arbeid",Methode_Keuze)),"",IF(ISNUMBER(FIND("arbeid",Methode_Keuze)),"",IF(Tb_Activiteiten[[#This Row],[Arbeidskosten]]=1,Tb_Activiteiten[[#Headers],[Arbeidskosten]],"")))</f>
        <v/>
      </c>
      <c r="AR279" t="str">
        <f>IF(ISNUMBER(FIND("arbeid",Methode_Keuze)),"",IF(ISNUMBER(FIND("arbeid",Methode_Keuze)),"",IF(Tb_Activiteiten[[#This Row],[Arbeidskosten op basis van IKS]]=1,Tb_Activiteiten[[#Headers],[Arbeidskosten op basis van IKS]],"")))</f>
        <v/>
      </c>
      <c r="AS279" t="str">
        <f>IF(ISNUMBER(FIND("overige",Methode_Keuze)),"",IF(Tb_Activiteiten[[#This Row],[Kosten derden exclusief btw]]=1,Tb_Activiteiten[[#Headers],[Kosten derden exclusief btw]],""))</f>
        <v/>
      </c>
      <c r="AT279" t="str">
        <f>IF(ISNUMBER(FIND("overige",Methode_Keuze)),"",IF(Tb_Activiteiten[[#This Row],[Niet verrekenbare btw]]=1,Tb_Activiteiten[[#Headers],[Niet verrekenbare btw]],""))</f>
        <v/>
      </c>
      <c r="AU279" t="str">
        <f>IF(ISNUMBER(FIND("overige",Methode_Keuze)),"",IF(Tb_Activiteiten[[#This Row],[Grondkosten]]=1,Tb_Activiteiten[[#Headers],[Grondkosten]],""))</f>
        <v/>
      </c>
      <c r="AV279" t="str">
        <f>IF(ISNUMBER(FIND("overige",Methode_Keuze)),"",IF(Tb_Activiteiten[[#This Row],[Bijdrage in natura (overige)]]=1,Tb_Activiteiten[[#Headers],[Bijdrage in natura (overige)]],""))</f>
        <v/>
      </c>
      <c r="AW279" t="str">
        <f>IF(ISNUMBER(FIND("overige",Methode_Keuze)),"",IF(Tb_Activiteiten[[#This Row],[Bijdrage in natura (vrijwilligers)]]=1,Tb_Activiteiten[[#Headers],[Bijdrage in natura (vrijwilligers)]],""))</f>
        <v/>
      </c>
      <c r="AX279" t="str">
        <f>IF(ISNUMBER(FIND("overige",Methode_Keuze)),"",IF(Tb_Activiteiten[[#This Row],[Afschrijvingskosten]]=1,Tb_Activiteiten[[#Headers],[Afschrijvingskosten]],""))</f>
        <v/>
      </c>
      <c r="AY279" t="str">
        <f>IF(ISNUMBER(FIND("overige",Methode_Keuze)),"",IF(Tb_Activiteiten[[#This Row],[Vergoeding]]=1,Tb_Activiteiten[[#Headers],[Vergoeding]],""))</f>
        <v/>
      </c>
      <c r="AZ279" t="str">
        <f>IF(ISNUMBER(FIND("arbeid",Methode_Keuze)),"",IF(Tb_Activiteiten[[#This Row],[Arbeidskosten - vast tarief (excl eigen arbeid)]]=1,Tb_Activiteiten[[#Headers],[Arbeidskosten - vast tarief (excl eigen arbeid)]],""))</f>
        <v/>
      </c>
      <c r="BA279" t="str">
        <f>IF(ISNUMBER(FIND("overige",Methode_Keuze)),"",IF(Tb_Activiteiten[[#This Row],[Overige kosten]]=1,Tb_Activiteiten[[#Headers],[Overige kosten]],""))</f>
        <v/>
      </c>
    </row>
    <row r="280" spans="1:53" x14ac:dyDescent="0.25">
      <c r="A280" s="231"/>
      <c r="F280" s="64"/>
      <c r="G280" s="64"/>
      <c r="H280" s="275"/>
      <c r="I280" s="275"/>
      <c r="J280" s="275"/>
      <c r="K280" s="275"/>
      <c r="O280" s="56"/>
      <c r="Q280" t="str">
        <f>IFERROR(IF(VLOOKUP(Tb_Activiteiten[[#This Row],[Openstelling]],Tb_Openstelling[],2,0)=1,1,""),"")</f>
        <v/>
      </c>
      <c r="AK280" t="str">
        <f>IF(ISNUMBER(FIND("arbeid",Methode_Keuze)),"",IF(ISNUMBER(FIND("arbeid",Methode_Keuze)),"",IF(Tb_Activiteiten[[#This Row],[Loonkosten]]=1,Tb_Activiteiten[[#Headers],[Loonkosten]],"")))</f>
        <v/>
      </c>
      <c r="AL280" t="str">
        <f>IF(ISNUMBER(FIND("arbeid",Methode_Keuze)),"",IF(ISNUMBER(FIND("arbeid",Methode_Keuze)),"",IF(Tb_Activiteiten[[#This Row],[Eigen arbeid]]=1,Tb_Activiteiten[[#Headers],[Eigen arbeid]],"")))</f>
        <v/>
      </c>
      <c r="AM280" t="str">
        <f>IF(ISNUMBER(FIND("arbeid",Methode_Keuze)),"",IF(ISNUMBER(FIND("arbeid",Methode_Keuze)),"",IF(Tb_Activiteiten[[#This Row],[Projectmedewerker]]=1,Tb_Activiteiten[[#Headers],[Projectmedewerker]],"")))</f>
        <v/>
      </c>
      <c r="AN280" t="str">
        <f>IF(ISNUMBER(FIND("arbeid",Methode_Keuze)),"",IF(ISNUMBER(FIND("arbeid",Methode_Keuze)),"",IF(Tb_Activiteiten[[#This Row],[Landbouwer]]=1,Tb_Activiteiten[[#Headers],[Landbouwer]],"")))</f>
        <v/>
      </c>
      <c r="AO280" t="str">
        <f>IF(ISNUMBER(FIND("arbeid",Methode_Keuze)),"",IF(ISNUMBER(FIND("arbeid",Methode_Keuze)),"",IF(Tb_Activiteiten[[#This Row],[Adviseur]]=1,Tb_Activiteiten[[#Headers],[Adviseur]],"")))</f>
        <v/>
      </c>
      <c r="AP280" t="str">
        <f>IF(ISNUMBER(FIND("arbeid",Methode_Keuze)),"",IF(ISNUMBER(FIND("arbeid",Methode_Keuze)),"",IF(Tb_Activiteiten[[#This Row],[Projectleider/Expert]]=1,Tb_Activiteiten[[#Headers],[Projectleider/Expert]],"")))</f>
        <v/>
      </c>
      <c r="AQ280" t="str">
        <f>IF(ISNUMBER(FIND("arbeid",Methode_Keuze)),"",IF(ISNUMBER(FIND("arbeid",Methode_Keuze)),"",IF(Tb_Activiteiten[[#This Row],[Arbeidskosten]]=1,Tb_Activiteiten[[#Headers],[Arbeidskosten]],"")))</f>
        <v/>
      </c>
      <c r="AR280" t="str">
        <f>IF(ISNUMBER(FIND("arbeid",Methode_Keuze)),"",IF(ISNUMBER(FIND("arbeid",Methode_Keuze)),"",IF(Tb_Activiteiten[[#This Row],[Arbeidskosten op basis van IKS]]=1,Tb_Activiteiten[[#Headers],[Arbeidskosten op basis van IKS]],"")))</f>
        <v/>
      </c>
      <c r="AS280" t="str">
        <f>IF(ISNUMBER(FIND("overige",Methode_Keuze)),"",IF(Tb_Activiteiten[[#This Row],[Kosten derden exclusief btw]]=1,Tb_Activiteiten[[#Headers],[Kosten derden exclusief btw]],""))</f>
        <v/>
      </c>
      <c r="AT280" t="str">
        <f>IF(ISNUMBER(FIND("overige",Methode_Keuze)),"",IF(Tb_Activiteiten[[#This Row],[Niet verrekenbare btw]]=1,Tb_Activiteiten[[#Headers],[Niet verrekenbare btw]],""))</f>
        <v/>
      </c>
      <c r="AU280" t="str">
        <f>IF(ISNUMBER(FIND("overige",Methode_Keuze)),"",IF(Tb_Activiteiten[[#This Row],[Grondkosten]]=1,Tb_Activiteiten[[#Headers],[Grondkosten]],""))</f>
        <v/>
      </c>
      <c r="AV280" t="str">
        <f>IF(ISNUMBER(FIND("overige",Methode_Keuze)),"",IF(Tb_Activiteiten[[#This Row],[Bijdrage in natura (overige)]]=1,Tb_Activiteiten[[#Headers],[Bijdrage in natura (overige)]],""))</f>
        <v/>
      </c>
      <c r="AW280" t="str">
        <f>IF(ISNUMBER(FIND("overige",Methode_Keuze)),"",IF(Tb_Activiteiten[[#This Row],[Bijdrage in natura (vrijwilligers)]]=1,Tb_Activiteiten[[#Headers],[Bijdrage in natura (vrijwilligers)]],""))</f>
        <v/>
      </c>
      <c r="AX280" t="str">
        <f>IF(ISNUMBER(FIND("overige",Methode_Keuze)),"",IF(Tb_Activiteiten[[#This Row],[Afschrijvingskosten]]=1,Tb_Activiteiten[[#Headers],[Afschrijvingskosten]],""))</f>
        <v/>
      </c>
      <c r="AY280" t="str">
        <f>IF(ISNUMBER(FIND("overige",Methode_Keuze)),"",IF(Tb_Activiteiten[[#This Row],[Vergoeding]]=1,Tb_Activiteiten[[#Headers],[Vergoeding]],""))</f>
        <v/>
      </c>
      <c r="AZ280" t="str">
        <f>IF(ISNUMBER(FIND("arbeid",Methode_Keuze)),"",IF(Tb_Activiteiten[[#This Row],[Arbeidskosten - vast tarief (excl eigen arbeid)]]=1,Tb_Activiteiten[[#Headers],[Arbeidskosten - vast tarief (excl eigen arbeid)]],""))</f>
        <v/>
      </c>
      <c r="BA280" t="str">
        <f>IF(ISNUMBER(FIND("overige",Methode_Keuze)),"",IF(Tb_Activiteiten[[#This Row],[Overige kosten]]=1,Tb_Activiteiten[[#Headers],[Overige kosten]],""))</f>
        <v/>
      </c>
    </row>
    <row r="281" spans="1:53" x14ac:dyDescent="0.25">
      <c r="A281" s="231"/>
      <c r="F281" s="64"/>
      <c r="G281" s="64"/>
      <c r="H281" s="275"/>
      <c r="I281" s="275"/>
      <c r="J281" s="275"/>
      <c r="K281" s="275"/>
      <c r="O281" s="56"/>
      <c r="Q281" t="str">
        <f>IFERROR(IF(VLOOKUP(Tb_Activiteiten[[#This Row],[Openstelling]],Tb_Openstelling[],2,0)=1,1,""),"")</f>
        <v/>
      </c>
      <c r="AK281" t="str">
        <f>IF(ISNUMBER(FIND("arbeid",Methode_Keuze)),"",IF(ISNUMBER(FIND("arbeid",Methode_Keuze)),"",IF(Tb_Activiteiten[[#This Row],[Loonkosten]]=1,Tb_Activiteiten[[#Headers],[Loonkosten]],"")))</f>
        <v/>
      </c>
      <c r="AL281" t="str">
        <f>IF(ISNUMBER(FIND("arbeid",Methode_Keuze)),"",IF(ISNUMBER(FIND("arbeid",Methode_Keuze)),"",IF(Tb_Activiteiten[[#This Row],[Eigen arbeid]]=1,Tb_Activiteiten[[#Headers],[Eigen arbeid]],"")))</f>
        <v/>
      </c>
      <c r="AM281" t="str">
        <f>IF(ISNUMBER(FIND("arbeid",Methode_Keuze)),"",IF(ISNUMBER(FIND("arbeid",Methode_Keuze)),"",IF(Tb_Activiteiten[[#This Row],[Projectmedewerker]]=1,Tb_Activiteiten[[#Headers],[Projectmedewerker]],"")))</f>
        <v/>
      </c>
      <c r="AN281" t="str">
        <f>IF(ISNUMBER(FIND("arbeid",Methode_Keuze)),"",IF(ISNUMBER(FIND("arbeid",Methode_Keuze)),"",IF(Tb_Activiteiten[[#This Row],[Landbouwer]]=1,Tb_Activiteiten[[#Headers],[Landbouwer]],"")))</f>
        <v/>
      </c>
      <c r="AO281" t="str">
        <f>IF(ISNUMBER(FIND("arbeid",Methode_Keuze)),"",IF(ISNUMBER(FIND("arbeid",Methode_Keuze)),"",IF(Tb_Activiteiten[[#This Row],[Adviseur]]=1,Tb_Activiteiten[[#Headers],[Adviseur]],"")))</f>
        <v/>
      </c>
      <c r="AP281" t="str">
        <f>IF(ISNUMBER(FIND("arbeid",Methode_Keuze)),"",IF(ISNUMBER(FIND("arbeid",Methode_Keuze)),"",IF(Tb_Activiteiten[[#This Row],[Projectleider/Expert]]=1,Tb_Activiteiten[[#Headers],[Projectleider/Expert]],"")))</f>
        <v/>
      </c>
      <c r="AQ281" t="str">
        <f>IF(ISNUMBER(FIND("arbeid",Methode_Keuze)),"",IF(ISNUMBER(FIND("arbeid",Methode_Keuze)),"",IF(Tb_Activiteiten[[#This Row],[Arbeidskosten]]=1,Tb_Activiteiten[[#Headers],[Arbeidskosten]],"")))</f>
        <v/>
      </c>
      <c r="AR281" t="str">
        <f>IF(ISNUMBER(FIND("arbeid",Methode_Keuze)),"",IF(ISNUMBER(FIND("arbeid",Methode_Keuze)),"",IF(Tb_Activiteiten[[#This Row],[Arbeidskosten op basis van IKS]]=1,Tb_Activiteiten[[#Headers],[Arbeidskosten op basis van IKS]],"")))</f>
        <v/>
      </c>
      <c r="AS281" t="str">
        <f>IF(ISNUMBER(FIND("overige",Methode_Keuze)),"",IF(Tb_Activiteiten[[#This Row],[Kosten derden exclusief btw]]=1,Tb_Activiteiten[[#Headers],[Kosten derden exclusief btw]],""))</f>
        <v/>
      </c>
      <c r="AT281" t="str">
        <f>IF(ISNUMBER(FIND("overige",Methode_Keuze)),"",IF(Tb_Activiteiten[[#This Row],[Niet verrekenbare btw]]=1,Tb_Activiteiten[[#Headers],[Niet verrekenbare btw]],""))</f>
        <v/>
      </c>
      <c r="AU281" t="str">
        <f>IF(ISNUMBER(FIND("overige",Methode_Keuze)),"",IF(Tb_Activiteiten[[#This Row],[Grondkosten]]=1,Tb_Activiteiten[[#Headers],[Grondkosten]],""))</f>
        <v/>
      </c>
      <c r="AV281" t="str">
        <f>IF(ISNUMBER(FIND("overige",Methode_Keuze)),"",IF(Tb_Activiteiten[[#This Row],[Bijdrage in natura (overige)]]=1,Tb_Activiteiten[[#Headers],[Bijdrage in natura (overige)]],""))</f>
        <v/>
      </c>
      <c r="AW281" t="str">
        <f>IF(ISNUMBER(FIND("overige",Methode_Keuze)),"",IF(Tb_Activiteiten[[#This Row],[Bijdrage in natura (vrijwilligers)]]=1,Tb_Activiteiten[[#Headers],[Bijdrage in natura (vrijwilligers)]],""))</f>
        <v/>
      </c>
      <c r="AX281" t="str">
        <f>IF(ISNUMBER(FIND("overige",Methode_Keuze)),"",IF(Tb_Activiteiten[[#This Row],[Afschrijvingskosten]]=1,Tb_Activiteiten[[#Headers],[Afschrijvingskosten]],""))</f>
        <v/>
      </c>
      <c r="AY281" t="str">
        <f>IF(ISNUMBER(FIND("overige",Methode_Keuze)),"",IF(Tb_Activiteiten[[#This Row],[Vergoeding]]=1,Tb_Activiteiten[[#Headers],[Vergoeding]],""))</f>
        <v/>
      </c>
      <c r="AZ281" t="str">
        <f>IF(ISNUMBER(FIND("arbeid",Methode_Keuze)),"",IF(Tb_Activiteiten[[#This Row],[Arbeidskosten - vast tarief (excl eigen arbeid)]]=1,Tb_Activiteiten[[#Headers],[Arbeidskosten - vast tarief (excl eigen arbeid)]],""))</f>
        <v/>
      </c>
      <c r="BA281" t="str">
        <f>IF(ISNUMBER(FIND("overige",Methode_Keuze)),"",IF(Tb_Activiteiten[[#This Row],[Overige kosten]]=1,Tb_Activiteiten[[#Headers],[Overige kosten]],""))</f>
        <v/>
      </c>
    </row>
    <row r="282" spans="1:53" x14ac:dyDescent="0.25">
      <c r="A282" s="231"/>
      <c r="F282" s="64"/>
      <c r="G282" s="64"/>
      <c r="H282" s="275"/>
      <c r="I282" s="275"/>
      <c r="J282" s="275"/>
      <c r="K282" s="275"/>
      <c r="O282" s="56"/>
      <c r="Q282" t="str">
        <f>IFERROR(IF(VLOOKUP(Tb_Activiteiten[[#This Row],[Openstelling]],Tb_Openstelling[],2,0)=1,1,""),"")</f>
        <v/>
      </c>
      <c r="AK282" t="str">
        <f>IF(ISNUMBER(FIND("arbeid",Methode_Keuze)),"",IF(ISNUMBER(FIND("arbeid",Methode_Keuze)),"",IF(Tb_Activiteiten[[#This Row],[Loonkosten]]=1,Tb_Activiteiten[[#Headers],[Loonkosten]],"")))</f>
        <v/>
      </c>
      <c r="AL282" t="str">
        <f>IF(ISNUMBER(FIND("arbeid",Methode_Keuze)),"",IF(ISNUMBER(FIND("arbeid",Methode_Keuze)),"",IF(Tb_Activiteiten[[#This Row],[Eigen arbeid]]=1,Tb_Activiteiten[[#Headers],[Eigen arbeid]],"")))</f>
        <v/>
      </c>
      <c r="AM282" t="str">
        <f>IF(ISNUMBER(FIND("arbeid",Methode_Keuze)),"",IF(ISNUMBER(FIND("arbeid",Methode_Keuze)),"",IF(Tb_Activiteiten[[#This Row],[Projectmedewerker]]=1,Tb_Activiteiten[[#Headers],[Projectmedewerker]],"")))</f>
        <v/>
      </c>
      <c r="AN282" t="str">
        <f>IF(ISNUMBER(FIND("arbeid",Methode_Keuze)),"",IF(ISNUMBER(FIND("arbeid",Methode_Keuze)),"",IF(Tb_Activiteiten[[#This Row],[Landbouwer]]=1,Tb_Activiteiten[[#Headers],[Landbouwer]],"")))</f>
        <v/>
      </c>
      <c r="AO282" t="str">
        <f>IF(ISNUMBER(FIND("arbeid",Methode_Keuze)),"",IF(ISNUMBER(FIND("arbeid",Methode_Keuze)),"",IF(Tb_Activiteiten[[#This Row],[Adviseur]]=1,Tb_Activiteiten[[#Headers],[Adviseur]],"")))</f>
        <v/>
      </c>
      <c r="AP282" t="str">
        <f>IF(ISNUMBER(FIND("arbeid",Methode_Keuze)),"",IF(ISNUMBER(FIND("arbeid",Methode_Keuze)),"",IF(Tb_Activiteiten[[#This Row],[Projectleider/Expert]]=1,Tb_Activiteiten[[#Headers],[Projectleider/Expert]],"")))</f>
        <v/>
      </c>
      <c r="AQ282" t="str">
        <f>IF(ISNUMBER(FIND("arbeid",Methode_Keuze)),"",IF(ISNUMBER(FIND("arbeid",Methode_Keuze)),"",IF(Tb_Activiteiten[[#This Row],[Arbeidskosten]]=1,Tb_Activiteiten[[#Headers],[Arbeidskosten]],"")))</f>
        <v/>
      </c>
      <c r="AR282" t="str">
        <f>IF(ISNUMBER(FIND("arbeid",Methode_Keuze)),"",IF(ISNUMBER(FIND("arbeid",Methode_Keuze)),"",IF(Tb_Activiteiten[[#This Row],[Arbeidskosten op basis van IKS]]=1,Tb_Activiteiten[[#Headers],[Arbeidskosten op basis van IKS]],"")))</f>
        <v/>
      </c>
      <c r="AS282" t="str">
        <f>IF(ISNUMBER(FIND("overige",Methode_Keuze)),"",IF(Tb_Activiteiten[[#This Row],[Kosten derden exclusief btw]]=1,Tb_Activiteiten[[#Headers],[Kosten derden exclusief btw]],""))</f>
        <v/>
      </c>
      <c r="AT282" t="str">
        <f>IF(ISNUMBER(FIND("overige",Methode_Keuze)),"",IF(Tb_Activiteiten[[#This Row],[Niet verrekenbare btw]]=1,Tb_Activiteiten[[#Headers],[Niet verrekenbare btw]],""))</f>
        <v/>
      </c>
      <c r="AU282" t="str">
        <f>IF(ISNUMBER(FIND("overige",Methode_Keuze)),"",IF(Tb_Activiteiten[[#This Row],[Grondkosten]]=1,Tb_Activiteiten[[#Headers],[Grondkosten]],""))</f>
        <v/>
      </c>
      <c r="AV282" t="str">
        <f>IF(ISNUMBER(FIND("overige",Methode_Keuze)),"",IF(Tb_Activiteiten[[#This Row],[Bijdrage in natura (overige)]]=1,Tb_Activiteiten[[#Headers],[Bijdrage in natura (overige)]],""))</f>
        <v/>
      </c>
      <c r="AW282" t="str">
        <f>IF(ISNUMBER(FIND("overige",Methode_Keuze)),"",IF(Tb_Activiteiten[[#This Row],[Bijdrage in natura (vrijwilligers)]]=1,Tb_Activiteiten[[#Headers],[Bijdrage in natura (vrijwilligers)]],""))</f>
        <v/>
      </c>
      <c r="AX282" t="str">
        <f>IF(ISNUMBER(FIND("overige",Methode_Keuze)),"",IF(Tb_Activiteiten[[#This Row],[Afschrijvingskosten]]=1,Tb_Activiteiten[[#Headers],[Afschrijvingskosten]],""))</f>
        <v/>
      </c>
      <c r="AY282" t="str">
        <f>IF(ISNUMBER(FIND("overige",Methode_Keuze)),"",IF(Tb_Activiteiten[[#This Row],[Vergoeding]]=1,Tb_Activiteiten[[#Headers],[Vergoeding]],""))</f>
        <v/>
      </c>
      <c r="AZ282" t="str">
        <f>IF(ISNUMBER(FIND("arbeid",Methode_Keuze)),"",IF(Tb_Activiteiten[[#This Row],[Arbeidskosten - vast tarief (excl eigen arbeid)]]=1,Tb_Activiteiten[[#Headers],[Arbeidskosten - vast tarief (excl eigen arbeid)]],""))</f>
        <v/>
      </c>
      <c r="BA282" t="str">
        <f>IF(ISNUMBER(FIND("overige",Methode_Keuze)),"",IF(Tb_Activiteiten[[#This Row],[Overige kosten]]=1,Tb_Activiteiten[[#Headers],[Overige kosten]],""))</f>
        <v/>
      </c>
    </row>
    <row r="283" spans="1:53" x14ac:dyDescent="0.25">
      <c r="A283" s="231"/>
      <c r="F283" s="64"/>
      <c r="G283" s="64"/>
      <c r="H283" s="275"/>
      <c r="I283" s="275"/>
      <c r="J283" s="275"/>
      <c r="K283" s="275"/>
      <c r="O283" s="56"/>
      <c r="Q283" t="str">
        <f>IFERROR(IF(VLOOKUP(Tb_Activiteiten[[#This Row],[Openstelling]],Tb_Openstelling[],2,0)=1,1,""),"")</f>
        <v/>
      </c>
      <c r="AK283" t="str">
        <f>IF(ISNUMBER(FIND("arbeid",Methode_Keuze)),"",IF(ISNUMBER(FIND("arbeid",Methode_Keuze)),"",IF(Tb_Activiteiten[[#This Row],[Loonkosten]]=1,Tb_Activiteiten[[#Headers],[Loonkosten]],"")))</f>
        <v/>
      </c>
      <c r="AL283" t="str">
        <f>IF(ISNUMBER(FIND("arbeid",Methode_Keuze)),"",IF(ISNUMBER(FIND("arbeid",Methode_Keuze)),"",IF(Tb_Activiteiten[[#This Row],[Eigen arbeid]]=1,Tb_Activiteiten[[#Headers],[Eigen arbeid]],"")))</f>
        <v/>
      </c>
      <c r="AM283" t="str">
        <f>IF(ISNUMBER(FIND("arbeid",Methode_Keuze)),"",IF(ISNUMBER(FIND("arbeid",Methode_Keuze)),"",IF(Tb_Activiteiten[[#This Row],[Projectmedewerker]]=1,Tb_Activiteiten[[#Headers],[Projectmedewerker]],"")))</f>
        <v/>
      </c>
      <c r="AN283" t="str">
        <f>IF(ISNUMBER(FIND("arbeid",Methode_Keuze)),"",IF(ISNUMBER(FIND("arbeid",Methode_Keuze)),"",IF(Tb_Activiteiten[[#This Row],[Landbouwer]]=1,Tb_Activiteiten[[#Headers],[Landbouwer]],"")))</f>
        <v/>
      </c>
      <c r="AO283" t="str">
        <f>IF(ISNUMBER(FIND("arbeid",Methode_Keuze)),"",IF(ISNUMBER(FIND("arbeid",Methode_Keuze)),"",IF(Tb_Activiteiten[[#This Row],[Adviseur]]=1,Tb_Activiteiten[[#Headers],[Adviseur]],"")))</f>
        <v/>
      </c>
      <c r="AP283" t="str">
        <f>IF(ISNUMBER(FIND("arbeid",Methode_Keuze)),"",IF(ISNUMBER(FIND("arbeid",Methode_Keuze)),"",IF(Tb_Activiteiten[[#This Row],[Projectleider/Expert]]=1,Tb_Activiteiten[[#Headers],[Projectleider/Expert]],"")))</f>
        <v/>
      </c>
      <c r="AQ283" t="str">
        <f>IF(ISNUMBER(FIND("arbeid",Methode_Keuze)),"",IF(ISNUMBER(FIND("arbeid",Methode_Keuze)),"",IF(Tb_Activiteiten[[#This Row],[Arbeidskosten]]=1,Tb_Activiteiten[[#Headers],[Arbeidskosten]],"")))</f>
        <v/>
      </c>
      <c r="AR283" t="str">
        <f>IF(ISNUMBER(FIND("arbeid",Methode_Keuze)),"",IF(ISNUMBER(FIND("arbeid",Methode_Keuze)),"",IF(Tb_Activiteiten[[#This Row],[Arbeidskosten op basis van IKS]]=1,Tb_Activiteiten[[#Headers],[Arbeidskosten op basis van IKS]],"")))</f>
        <v/>
      </c>
      <c r="AS283" t="str">
        <f>IF(ISNUMBER(FIND("overige",Methode_Keuze)),"",IF(Tb_Activiteiten[[#This Row],[Kosten derden exclusief btw]]=1,Tb_Activiteiten[[#Headers],[Kosten derden exclusief btw]],""))</f>
        <v/>
      </c>
      <c r="AT283" t="str">
        <f>IF(ISNUMBER(FIND("overige",Methode_Keuze)),"",IF(Tb_Activiteiten[[#This Row],[Niet verrekenbare btw]]=1,Tb_Activiteiten[[#Headers],[Niet verrekenbare btw]],""))</f>
        <v/>
      </c>
      <c r="AU283" t="str">
        <f>IF(ISNUMBER(FIND("overige",Methode_Keuze)),"",IF(Tb_Activiteiten[[#This Row],[Grondkosten]]=1,Tb_Activiteiten[[#Headers],[Grondkosten]],""))</f>
        <v/>
      </c>
      <c r="AV283" t="str">
        <f>IF(ISNUMBER(FIND("overige",Methode_Keuze)),"",IF(Tb_Activiteiten[[#This Row],[Bijdrage in natura (overige)]]=1,Tb_Activiteiten[[#Headers],[Bijdrage in natura (overige)]],""))</f>
        <v/>
      </c>
      <c r="AW283" t="str">
        <f>IF(ISNUMBER(FIND("overige",Methode_Keuze)),"",IF(Tb_Activiteiten[[#This Row],[Bijdrage in natura (vrijwilligers)]]=1,Tb_Activiteiten[[#Headers],[Bijdrage in natura (vrijwilligers)]],""))</f>
        <v/>
      </c>
      <c r="AX283" t="str">
        <f>IF(ISNUMBER(FIND("overige",Methode_Keuze)),"",IF(Tb_Activiteiten[[#This Row],[Afschrijvingskosten]]=1,Tb_Activiteiten[[#Headers],[Afschrijvingskosten]],""))</f>
        <v/>
      </c>
      <c r="AY283" t="str">
        <f>IF(ISNUMBER(FIND("overige",Methode_Keuze)),"",IF(Tb_Activiteiten[[#This Row],[Vergoeding]]=1,Tb_Activiteiten[[#Headers],[Vergoeding]],""))</f>
        <v/>
      </c>
      <c r="AZ283" t="str">
        <f>IF(ISNUMBER(FIND("arbeid",Methode_Keuze)),"",IF(Tb_Activiteiten[[#This Row],[Arbeidskosten - vast tarief (excl eigen arbeid)]]=1,Tb_Activiteiten[[#Headers],[Arbeidskosten - vast tarief (excl eigen arbeid)]],""))</f>
        <v/>
      </c>
      <c r="BA283" t="str">
        <f>IF(ISNUMBER(FIND("overige",Methode_Keuze)),"",IF(Tb_Activiteiten[[#This Row],[Overige kosten]]=1,Tb_Activiteiten[[#Headers],[Overige kosten]],""))</f>
        <v/>
      </c>
    </row>
    <row r="284" spans="1:53" x14ac:dyDescent="0.25">
      <c r="A284" s="231"/>
      <c r="F284" s="64"/>
      <c r="G284" s="64"/>
      <c r="H284" s="275"/>
      <c r="I284" s="275"/>
      <c r="J284" s="275"/>
      <c r="K284" s="275"/>
      <c r="O284" s="56"/>
      <c r="Q284" t="str">
        <f>IFERROR(IF(VLOOKUP(Tb_Activiteiten[[#This Row],[Openstelling]],Tb_Openstelling[],2,0)=1,1,""),"")</f>
        <v/>
      </c>
      <c r="AK284" t="str">
        <f>IF(ISNUMBER(FIND("arbeid",Methode_Keuze)),"",IF(ISNUMBER(FIND("arbeid",Methode_Keuze)),"",IF(Tb_Activiteiten[[#This Row],[Loonkosten]]=1,Tb_Activiteiten[[#Headers],[Loonkosten]],"")))</f>
        <v/>
      </c>
      <c r="AL284" t="str">
        <f>IF(ISNUMBER(FIND("arbeid",Methode_Keuze)),"",IF(ISNUMBER(FIND("arbeid",Methode_Keuze)),"",IF(Tb_Activiteiten[[#This Row],[Eigen arbeid]]=1,Tb_Activiteiten[[#Headers],[Eigen arbeid]],"")))</f>
        <v/>
      </c>
      <c r="AM284" t="str">
        <f>IF(ISNUMBER(FIND("arbeid",Methode_Keuze)),"",IF(ISNUMBER(FIND("arbeid",Methode_Keuze)),"",IF(Tb_Activiteiten[[#This Row],[Projectmedewerker]]=1,Tb_Activiteiten[[#Headers],[Projectmedewerker]],"")))</f>
        <v/>
      </c>
      <c r="AN284" t="str">
        <f>IF(ISNUMBER(FIND("arbeid",Methode_Keuze)),"",IF(ISNUMBER(FIND("arbeid",Methode_Keuze)),"",IF(Tb_Activiteiten[[#This Row],[Landbouwer]]=1,Tb_Activiteiten[[#Headers],[Landbouwer]],"")))</f>
        <v/>
      </c>
      <c r="AO284" t="str">
        <f>IF(ISNUMBER(FIND("arbeid",Methode_Keuze)),"",IF(ISNUMBER(FIND("arbeid",Methode_Keuze)),"",IF(Tb_Activiteiten[[#This Row],[Adviseur]]=1,Tb_Activiteiten[[#Headers],[Adviseur]],"")))</f>
        <v/>
      </c>
      <c r="AP284" t="str">
        <f>IF(ISNUMBER(FIND("arbeid",Methode_Keuze)),"",IF(ISNUMBER(FIND("arbeid",Methode_Keuze)),"",IF(Tb_Activiteiten[[#This Row],[Projectleider/Expert]]=1,Tb_Activiteiten[[#Headers],[Projectleider/Expert]],"")))</f>
        <v/>
      </c>
      <c r="AQ284" t="str">
        <f>IF(ISNUMBER(FIND("arbeid",Methode_Keuze)),"",IF(ISNUMBER(FIND("arbeid",Methode_Keuze)),"",IF(Tb_Activiteiten[[#This Row],[Arbeidskosten]]=1,Tb_Activiteiten[[#Headers],[Arbeidskosten]],"")))</f>
        <v/>
      </c>
      <c r="AR284" t="str">
        <f>IF(ISNUMBER(FIND("arbeid",Methode_Keuze)),"",IF(ISNUMBER(FIND("arbeid",Methode_Keuze)),"",IF(Tb_Activiteiten[[#This Row],[Arbeidskosten op basis van IKS]]=1,Tb_Activiteiten[[#Headers],[Arbeidskosten op basis van IKS]],"")))</f>
        <v/>
      </c>
      <c r="AS284" t="str">
        <f>IF(ISNUMBER(FIND("overige",Methode_Keuze)),"",IF(Tb_Activiteiten[[#This Row],[Kosten derden exclusief btw]]=1,Tb_Activiteiten[[#Headers],[Kosten derden exclusief btw]],""))</f>
        <v/>
      </c>
      <c r="AT284" t="str">
        <f>IF(ISNUMBER(FIND("overige",Methode_Keuze)),"",IF(Tb_Activiteiten[[#This Row],[Niet verrekenbare btw]]=1,Tb_Activiteiten[[#Headers],[Niet verrekenbare btw]],""))</f>
        <v/>
      </c>
      <c r="AU284" t="str">
        <f>IF(ISNUMBER(FIND("overige",Methode_Keuze)),"",IF(Tb_Activiteiten[[#This Row],[Grondkosten]]=1,Tb_Activiteiten[[#Headers],[Grondkosten]],""))</f>
        <v/>
      </c>
      <c r="AV284" t="str">
        <f>IF(ISNUMBER(FIND("overige",Methode_Keuze)),"",IF(Tb_Activiteiten[[#This Row],[Bijdrage in natura (overige)]]=1,Tb_Activiteiten[[#Headers],[Bijdrage in natura (overige)]],""))</f>
        <v/>
      </c>
      <c r="AW284" t="str">
        <f>IF(ISNUMBER(FIND("overige",Methode_Keuze)),"",IF(Tb_Activiteiten[[#This Row],[Bijdrage in natura (vrijwilligers)]]=1,Tb_Activiteiten[[#Headers],[Bijdrage in natura (vrijwilligers)]],""))</f>
        <v/>
      </c>
      <c r="AX284" t="str">
        <f>IF(ISNUMBER(FIND("overige",Methode_Keuze)),"",IF(Tb_Activiteiten[[#This Row],[Afschrijvingskosten]]=1,Tb_Activiteiten[[#Headers],[Afschrijvingskosten]],""))</f>
        <v/>
      </c>
      <c r="AY284" t="str">
        <f>IF(ISNUMBER(FIND("overige",Methode_Keuze)),"",IF(Tb_Activiteiten[[#This Row],[Vergoeding]]=1,Tb_Activiteiten[[#Headers],[Vergoeding]],""))</f>
        <v/>
      </c>
      <c r="AZ284" t="str">
        <f>IF(ISNUMBER(FIND("arbeid",Methode_Keuze)),"",IF(Tb_Activiteiten[[#This Row],[Arbeidskosten - vast tarief (excl eigen arbeid)]]=1,Tb_Activiteiten[[#Headers],[Arbeidskosten - vast tarief (excl eigen arbeid)]],""))</f>
        <v/>
      </c>
      <c r="BA284" t="str">
        <f>IF(ISNUMBER(FIND("overige",Methode_Keuze)),"",IF(Tb_Activiteiten[[#This Row],[Overige kosten]]=1,Tb_Activiteiten[[#Headers],[Overige kosten]],""))</f>
        <v/>
      </c>
    </row>
    <row r="285" spans="1:53" x14ac:dyDescent="0.25">
      <c r="A285" s="231"/>
      <c r="F285" s="64"/>
      <c r="G285" s="64"/>
      <c r="H285" s="275"/>
      <c r="I285" s="275"/>
      <c r="J285" s="275"/>
      <c r="K285" s="275"/>
      <c r="O285" s="56"/>
      <c r="Q285" t="str">
        <f>IFERROR(IF(VLOOKUP(Tb_Activiteiten[[#This Row],[Openstelling]],Tb_Openstelling[],2,0)=1,1,""),"")</f>
        <v/>
      </c>
      <c r="AK285" t="str">
        <f>IF(ISNUMBER(FIND("arbeid",Methode_Keuze)),"",IF(ISNUMBER(FIND("arbeid",Methode_Keuze)),"",IF(Tb_Activiteiten[[#This Row],[Loonkosten]]=1,Tb_Activiteiten[[#Headers],[Loonkosten]],"")))</f>
        <v/>
      </c>
      <c r="AL285" t="str">
        <f>IF(ISNUMBER(FIND("arbeid",Methode_Keuze)),"",IF(ISNUMBER(FIND("arbeid",Methode_Keuze)),"",IF(Tb_Activiteiten[[#This Row],[Eigen arbeid]]=1,Tb_Activiteiten[[#Headers],[Eigen arbeid]],"")))</f>
        <v/>
      </c>
      <c r="AM285" t="str">
        <f>IF(ISNUMBER(FIND("arbeid",Methode_Keuze)),"",IF(ISNUMBER(FIND("arbeid",Methode_Keuze)),"",IF(Tb_Activiteiten[[#This Row],[Projectmedewerker]]=1,Tb_Activiteiten[[#Headers],[Projectmedewerker]],"")))</f>
        <v/>
      </c>
      <c r="AN285" t="str">
        <f>IF(ISNUMBER(FIND("arbeid",Methode_Keuze)),"",IF(ISNUMBER(FIND("arbeid",Methode_Keuze)),"",IF(Tb_Activiteiten[[#This Row],[Landbouwer]]=1,Tb_Activiteiten[[#Headers],[Landbouwer]],"")))</f>
        <v/>
      </c>
      <c r="AO285" t="str">
        <f>IF(ISNUMBER(FIND("arbeid",Methode_Keuze)),"",IF(ISNUMBER(FIND("arbeid",Methode_Keuze)),"",IF(Tb_Activiteiten[[#This Row],[Adviseur]]=1,Tb_Activiteiten[[#Headers],[Adviseur]],"")))</f>
        <v/>
      </c>
      <c r="AP285" t="str">
        <f>IF(ISNUMBER(FIND("arbeid",Methode_Keuze)),"",IF(ISNUMBER(FIND("arbeid",Methode_Keuze)),"",IF(Tb_Activiteiten[[#This Row],[Projectleider/Expert]]=1,Tb_Activiteiten[[#Headers],[Projectleider/Expert]],"")))</f>
        <v/>
      </c>
      <c r="AQ285" t="str">
        <f>IF(ISNUMBER(FIND("arbeid",Methode_Keuze)),"",IF(ISNUMBER(FIND("arbeid",Methode_Keuze)),"",IF(Tb_Activiteiten[[#This Row],[Arbeidskosten]]=1,Tb_Activiteiten[[#Headers],[Arbeidskosten]],"")))</f>
        <v/>
      </c>
      <c r="AR285" t="str">
        <f>IF(ISNUMBER(FIND("arbeid",Methode_Keuze)),"",IF(ISNUMBER(FIND("arbeid",Methode_Keuze)),"",IF(Tb_Activiteiten[[#This Row],[Arbeidskosten op basis van IKS]]=1,Tb_Activiteiten[[#Headers],[Arbeidskosten op basis van IKS]],"")))</f>
        <v/>
      </c>
      <c r="AS285" t="str">
        <f>IF(ISNUMBER(FIND("overige",Methode_Keuze)),"",IF(Tb_Activiteiten[[#This Row],[Kosten derden exclusief btw]]=1,Tb_Activiteiten[[#Headers],[Kosten derden exclusief btw]],""))</f>
        <v/>
      </c>
      <c r="AT285" t="str">
        <f>IF(ISNUMBER(FIND("overige",Methode_Keuze)),"",IF(Tb_Activiteiten[[#This Row],[Niet verrekenbare btw]]=1,Tb_Activiteiten[[#Headers],[Niet verrekenbare btw]],""))</f>
        <v/>
      </c>
      <c r="AU285" t="str">
        <f>IF(ISNUMBER(FIND("overige",Methode_Keuze)),"",IF(Tb_Activiteiten[[#This Row],[Grondkosten]]=1,Tb_Activiteiten[[#Headers],[Grondkosten]],""))</f>
        <v/>
      </c>
      <c r="AV285" t="str">
        <f>IF(ISNUMBER(FIND("overige",Methode_Keuze)),"",IF(Tb_Activiteiten[[#This Row],[Bijdrage in natura (overige)]]=1,Tb_Activiteiten[[#Headers],[Bijdrage in natura (overige)]],""))</f>
        <v/>
      </c>
      <c r="AW285" t="str">
        <f>IF(ISNUMBER(FIND("overige",Methode_Keuze)),"",IF(Tb_Activiteiten[[#This Row],[Bijdrage in natura (vrijwilligers)]]=1,Tb_Activiteiten[[#Headers],[Bijdrage in natura (vrijwilligers)]],""))</f>
        <v/>
      </c>
      <c r="AX285" t="str">
        <f>IF(ISNUMBER(FIND("overige",Methode_Keuze)),"",IF(Tb_Activiteiten[[#This Row],[Afschrijvingskosten]]=1,Tb_Activiteiten[[#Headers],[Afschrijvingskosten]],""))</f>
        <v/>
      </c>
      <c r="AY285" t="str">
        <f>IF(ISNUMBER(FIND("overige",Methode_Keuze)),"",IF(Tb_Activiteiten[[#This Row],[Vergoeding]]=1,Tb_Activiteiten[[#Headers],[Vergoeding]],""))</f>
        <v/>
      </c>
      <c r="AZ285" t="str">
        <f>IF(ISNUMBER(FIND("arbeid",Methode_Keuze)),"",IF(Tb_Activiteiten[[#This Row],[Arbeidskosten - vast tarief (excl eigen arbeid)]]=1,Tb_Activiteiten[[#Headers],[Arbeidskosten - vast tarief (excl eigen arbeid)]],""))</f>
        <v/>
      </c>
      <c r="BA285" t="str">
        <f>IF(ISNUMBER(FIND("overige",Methode_Keuze)),"",IF(Tb_Activiteiten[[#This Row],[Overige kosten]]=1,Tb_Activiteiten[[#Headers],[Overige kosten]],""))</f>
        <v/>
      </c>
    </row>
    <row r="286" spans="1:53" x14ac:dyDescent="0.25">
      <c r="A286" s="231"/>
      <c r="F286" s="64"/>
      <c r="G286" s="64"/>
      <c r="H286" s="275"/>
      <c r="I286" s="275"/>
      <c r="J286" s="275"/>
      <c r="K286" s="275"/>
      <c r="O286" s="56"/>
      <c r="Q286" t="str">
        <f>IFERROR(IF(VLOOKUP(Tb_Activiteiten[[#This Row],[Openstelling]],Tb_Openstelling[],2,0)=1,1,""),"")</f>
        <v/>
      </c>
      <c r="AK286" t="str">
        <f>IF(ISNUMBER(FIND("arbeid",Methode_Keuze)),"",IF(ISNUMBER(FIND("arbeid",Methode_Keuze)),"",IF(Tb_Activiteiten[[#This Row],[Loonkosten]]=1,Tb_Activiteiten[[#Headers],[Loonkosten]],"")))</f>
        <v/>
      </c>
      <c r="AL286" t="str">
        <f>IF(ISNUMBER(FIND("arbeid",Methode_Keuze)),"",IF(ISNUMBER(FIND("arbeid",Methode_Keuze)),"",IF(Tb_Activiteiten[[#This Row],[Eigen arbeid]]=1,Tb_Activiteiten[[#Headers],[Eigen arbeid]],"")))</f>
        <v/>
      </c>
      <c r="AM286" t="str">
        <f>IF(ISNUMBER(FIND("arbeid",Methode_Keuze)),"",IF(ISNUMBER(FIND("arbeid",Methode_Keuze)),"",IF(Tb_Activiteiten[[#This Row],[Projectmedewerker]]=1,Tb_Activiteiten[[#Headers],[Projectmedewerker]],"")))</f>
        <v/>
      </c>
      <c r="AN286" t="str">
        <f>IF(ISNUMBER(FIND("arbeid",Methode_Keuze)),"",IF(ISNUMBER(FIND("arbeid",Methode_Keuze)),"",IF(Tb_Activiteiten[[#This Row],[Landbouwer]]=1,Tb_Activiteiten[[#Headers],[Landbouwer]],"")))</f>
        <v/>
      </c>
      <c r="AO286" t="str">
        <f>IF(ISNUMBER(FIND("arbeid",Methode_Keuze)),"",IF(ISNUMBER(FIND("arbeid",Methode_Keuze)),"",IF(Tb_Activiteiten[[#This Row],[Adviseur]]=1,Tb_Activiteiten[[#Headers],[Adviseur]],"")))</f>
        <v/>
      </c>
      <c r="AP286" t="str">
        <f>IF(ISNUMBER(FIND("arbeid",Methode_Keuze)),"",IF(ISNUMBER(FIND("arbeid",Methode_Keuze)),"",IF(Tb_Activiteiten[[#This Row],[Projectleider/Expert]]=1,Tb_Activiteiten[[#Headers],[Projectleider/Expert]],"")))</f>
        <v/>
      </c>
      <c r="AQ286" t="str">
        <f>IF(ISNUMBER(FIND("arbeid",Methode_Keuze)),"",IF(ISNUMBER(FIND("arbeid",Methode_Keuze)),"",IF(Tb_Activiteiten[[#This Row],[Arbeidskosten]]=1,Tb_Activiteiten[[#Headers],[Arbeidskosten]],"")))</f>
        <v/>
      </c>
      <c r="AR286" t="str">
        <f>IF(ISNUMBER(FIND("arbeid",Methode_Keuze)),"",IF(ISNUMBER(FIND("arbeid",Methode_Keuze)),"",IF(Tb_Activiteiten[[#This Row],[Arbeidskosten op basis van IKS]]=1,Tb_Activiteiten[[#Headers],[Arbeidskosten op basis van IKS]],"")))</f>
        <v/>
      </c>
      <c r="AS286" t="str">
        <f>IF(ISNUMBER(FIND("overige",Methode_Keuze)),"",IF(Tb_Activiteiten[[#This Row],[Kosten derden exclusief btw]]=1,Tb_Activiteiten[[#Headers],[Kosten derden exclusief btw]],""))</f>
        <v/>
      </c>
      <c r="AT286" t="str">
        <f>IF(ISNUMBER(FIND("overige",Methode_Keuze)),"",IF(Tb_Activiteiten[[#This Row],[Niet verrekenbare btw]]=1,Tb_Activiteiten[[#Headers],[Niet verrekenbare btw]],""))</f>
        <v/>
      </c>
      <c r="AU286" t="str">
        <f>IF(ISNUMBER(FIND("overige",Methode_Keuze)),"",IF(Tb_Activiteiten[[#This Row],[Grondkosten]]=1,Tb_Activiteiten[[#Headers],[Grondkosten]],""))</f>
        <v/>
      </c>
      <c r="AV286" t="str">
        <f>IF(ISNUMBER(FIND("overige",Methode_Keuze)),"",IF(Tb_Activiteiten[[#This Row],[Bijdrage in natura (overige)]]=1,Tb_Activiteiten[[#Headers],[Bijdrage in natura (overige)]],""))</f>
        <v/>
      </c>
      <c r="AW286" t="str">
        <f>IF(ISNUMBER(FIND("overige",Methode_Keuze)),"",IF(Tb_Activiteiten[[#This Row],[Bijdrage in natura (vrijwilligers)]]=1,Tb_Activiteiten[[#Headers],[Bijdrage in natura (vrijwilligers)]],""))</f>
        <v/>
      </c>
      <c r="AX286" t="str">
        <f>IF(ISNUMBER(FIND("overige",Methode_Keuze)),"",IF(Tb_Activiteiten[[#This Row],[Afschrijvingskosten]]=1,Tb_Activiteiten[[#Headers],[Afschrijvingskosten]],""))</f>
        <v/>
      </c>
      <c r="AY286" t="str">
        <f>IF(ISNUMBER(FIND("overige",Methode_Keuze)),"",IF(Tb_Activiteiten[[#This Row],[Vergoeding]]=1,Tb_Activiteiten[[#Headers],[Vergoeding]],""))</f>
        <v/>
      </c>
      <c r="AZ286" t="str">
        <f>IF(ISNUMBER(FIND("arbeid",Methode_Keuze)),"",IF(Tb_Activiteiten[[#This Row],[Arbeidskosten - vast tarief (excl eigen arbeid)]]=1,Tb_Activiteiten[[#Headers],[Arbeidskosten - vast tarief (excl eigen arbeid)]],""))</f>
        <v/>
      </c>
      <c r="BA286" t="str">
        <f>IF(ISNUMBER(FIND("overige",Methode_Keuze)),"",IF(Tb_Activiteiten[[#This Row],[Overige kosten]]=1,Tb_Activiteiten[[#Headers],[Overige kosten]],""))</f>
        <v/>
      </c>
    </row>
    <row r="287" spans="1:53" x14ac:dyDescent="0.25">
      <c r="A287" s="231"/>
      <c r="F287" s="64"/>
      <c r="G287" s="64"/>
      <c r="H287" s="275"/>
      <c r="I287" s="275"/>
      <c r="J287" s="275"/>
      <c r="K287" s="275"/>
      <c r="O287" s="56"/>
      <c r="Q287" t="str">
        <f>IFERROR(IF(VLOOKUP(Tb_Activiteiten[[#This Row],[Openstelling]],Tb_Openstelling[],2,0)=1,1,""),"")</f>
        <v/>
      </c>
      <c r="AK287" t="str">
        <f>IF(ISNUMBER(FIND("arbeid",Methode_Keuze)),"",IF(ISNUMBER(FIND("arbeid",Methode_Keuze)),"",IF(Tb_Activiteiten[[#This Row],[Loonkosten]]=1,Tb_Activiteiten[[#Headers],[Loonkosten]],"")))</f>
        <v/>
      </c>
      <c r="AL287" t="str">
        <f>IF(ISNUMBER(FIND("arbeid",Methode_Keuze)),"",IF(ISNUMBER(FIND("arbeid",Methode_Keuze)),"",IF(Tb_Activiteiten[[#This Row],[Eigen arbeid]]=1,Tb_Activiteiten[[#Headers],[Eigen arbeid]],"")))</f>
        <v/>
      </c>
      <c r="AM287" t="str">
        <f>IF(ISNUMBER(FIND("arbeid",Methode_Keuze)),"",IF(ISNUMBER(FIND("arbeid",Methode_Keuze)),"",IF(Tb_Activiteiten[[#This Row],[Projectmedewerker]]=1,Tb_Activiteiten[[#Headers],[Projectmedewerker]],"")))</f>
        <v/>
      </c>
      <c r="AN287" t="str">
        <f>IF(ISNUMBER(FIND("arbeid",Methode_Keuze)),"",IF(ISNUMBER(FIND("arbeid",Methode_Keuze)),"",IF(Tb_Activiteiten[[#This Row],[Landbouwer]]=1,Tb_Activiteiten[[#Headers],[Landbouwer]],"")))</f>
        <v/>
      </c>
      <c r="AO287" t="str">
        <f>IF(ISNUMBER(FIND("arbeid",Methode_Keuze)),"",IF(ISNUMBER(FIND("arbeid",Methode_Keuze)),"",IF(Tb_Activiteiten[[#This Row],[Adviseur]]=1,Tb_Activiteiten[[#Headers],[Adviseur]],"")))</f>
        <v/>
      </c>
      <c r="AP287" t="str">
        <f>IF(ISNUMBER(FIND("arbeid",Methode_Keuze)),"",IF(ISNUMBER(FIND("arbeid",Methode_Keuze)),"",IF(Tb_Activiteiten[[#This Row],[Projectleider/Expert]]=1,Tb_Activiteiten[[#Headers],[Projectleider/Expert]],"")))</f>
        <v/>
      </c>
      <c r="AQ287" t="str">
        <f>IF(ISNUMBER(FIND("arbeid",Methode_Keuze)),"",IF(ISNUMBER(FIND("arbeid",Methode_Keuze)),"",IF(Tb_Activiteiten[[#This Row],[Arbeidskosten]]=1,Tb_Activiteiten[[#Headers],[Arbeidskosten]],"")))</f>
        <v/>
      </c>
      <c r="AR287" t="str">
        <f>IF(ISNUMBER(FIND("arbeid",Methode_Keuze)),"",IF(ISNUMBER(FIND("arbeid",Methode_Keuze)),"",IF(Tb_Activiteiten[[#This Row],[Arbeidskosten op basis van IKS]]=1,Tb_Activiteiten[[#Headers],[Arbeidskosten op basis van IKS]],"")))</f>
        <v/>
      </c>
      <c r="AS287" t="str">
        <f>IF(ISNUMBER(FIND("overige",Methode_Keuze)),"",IF(Tb_Activiteiten[[#This Row],[Kosten derden exclusief btw]]=1,Tb_Activiteiten[[#Headers],[Kosten derden exclusief btw]],""))</f>
        <v/>
      </c>
      <c r="AT287" t="str">
        <f>IF(ISNUMBER(FIND("overige",Methode_Keuze)),"",IF(Tb_Activiteiten[[#This Row],[Niet verrekenbare btw]]=1,Tb_Activiteiten[[#Headers],[Niet verrekenbare btw]],""))</f>
        <v/>
      </c>
      <c r="AU287" t="str">
        <f>IF(ISNUMBER(FIND("overige",Methode_Keuze)),"",IF(Tb_Activiteiten[[#This Row],[Grondkosten]]=1,Tb_Activiteiten[[#Headers],[Grondkosten]],""))</f>
        <v/>
      </c>
      <c r="AV287" t="str">
        <f>IF(ISNUMBER(FIND("overige",Methode_Keuze)),"",IF(Tb_Activiteiten[[#This Row],[Bijdrage in natura (overige)]]=1,Tb_Activiteiten[[#Headers],[Bijdrage in natura (overige)]],""))</f>
        <v/>
      </c>
      <c r="AW287" t="str">
        <f>IF(ISNUMBER(FIND("overige",Methode_Keuze)),"",IF(Tb_Activiteiten[[#This Row],[Bijdrage in natura (vrijwilligers)]]=1,Tb_Activiteiten[[#Headers],[Bijdrage in natura (vrijwilligers)]],""))</f>
        <v/>
      </c>
      <c r="AX287" t="str">
        <f>IF(ISNUMBER(FIND("overige",Methode_Keuze)),"",IF(Tb_Activiteiten[[#This Row],[Afschrijvingskosten]]=1,Tb_Activiteiten[[#Headers],[Afschrijvingskosten]],""))</f>
        <v/>
      </c>
      <c r="AY287" t="str">
        <f>IF(ISNUMBER(FIND("overige",Methode_Keuze)),"",IF(Tb_Activiteiten[[#This Row],[Vergoeding]]=1,Tb_Activiteiten[[#Headers],[Vergoeding]],""))</f>
        <v/>
      </c>
      <c r="AZ287" t="str">
        <f>IF(ISNUMBER(FIND("arbeid",Methode_Keuze)),"",IF(Tb_Activiteiten[[#This Row],[Arbeidskosten - vast tarief (excl eigen arbeid)]]=1,Tb_Activiteiten[[#Headers],[Arbeidskosten - vast tarief (excl eigen arbeid)]],""))</f>
        <v/>
      </c>
      <c r="BA287" t="str">
        <f>IF(ISNUMBER(FIND("overige",Methode_Keuze)),"",IF(Tb_Activiteiten[[#This Row],[Overige kosten]]=1,Tb_Activiteiten[[#Headers],[Overige kosten]],""))</f>
        <v/>
      </c>
    </row>
    <row r="288" spans="1:53" x14ac:dyDescent="0.25">
      <c r="A288" s="231"/>
      <c r="F288" s="64"/>
      <c r="G288" s="64"/>
      <c r="H288" s="275"/>
      <c r="I288" s="275"/>
      <c r="J288" s="275"/>
      <c r="K288" s="275"/>
      <c r="O288" s="56"/>
      <c r="Q288" t="str">
        <f>IFERROR(IF(VLOOKUP(Tb_Activiteiten[[#This Row],[Openstelling]],Tb_Openstelling[],2,0)=1,1,""),"")</f>
        <v/>
      </c>
      <c r="AK288" t="str">
        <f>IF(ISNUMBER(FIND("arbeid",Methode_Keuze)),"",IF(ISNUMBER(FIND("arbeid",Methode_Keuze)),"",IF(Tb_Activiteiten[[#This Row],[Loonkosten]]=1,Tb_Activiteiten[[#Headers],[Loonkosten]],"")))</f>
        <v/>
      </c>
      <c r="AL288" t="str">
        <f>IF(ISNUMBER(FIND("arbeid",Methode_Keuze)),"",IF(ISNUMBER(FIND("arbeid",Methode_Keuze)),"",IF(Tb_Activiteiten[[#This Row],[Eigen arbeid]]=1,Tb_Activiteiten[[#Headers],[Eigen arbeid]],"")))</f>
        <v/>
      </c>
      <c r="AM288" t="str">
        <f>IF(ISNUMBER(FIND("arbeid",Methode_Keuze)),"",IF(ISNUMBER(FIND("arbeid",Methode_Keuze)),"",IF(Tb_Activiteiten[[#This Row],[Projectmedewerker]]=1,Tb_Activiteiten[[#Headers],[Projectmedewerker]],"")))</f>
        <v/>
      </c>
      <c r="AN288" t="str">
        <f>IF(ISNUMBER(FIND("arbeid",Methode_Keuze)),"",IF(ISNUMBER(FIND("arbeid",Methode_Keuze)),"",IF(Tb_Activiteiten[[#This Row],[Landbouwer]]=1,Tb_Activiteiten[[#Headers],[Landbouwer]],"")))</f>
        <v/>
      </c>
      <c r="AO288" t="str">
        <f>IF(ISNUMBER(FIND("arbeid",Methode_Keuze)),"",IF(ISNUMBER(FIND("arbeid",Methode_Keuze)),"",IF(Tb_Activiteiten[[#This Row],[Adviseur]]=1,Tb_Activiteiten[[#Headers],[Adviseur]],"")))</f>
        <v/>
      </c>
      <c r="AP288" t="str">
        <f>IF(ISNUMBER(FIND("arbeid",Methode_Keuze)),"",IF(ISNUMBER(FIND("arbeid",Methode_Keuze)),"",IF(Tb_Activiteiten[[#This Row],[Projectleider/Expert]]=1,Tb_Activiteiten[[#Headers],[Projectleider/Expert]],"")))</f>
        <v/>
      </c>
      <c r="AQ288" t="str">
        <f>IF(ISNUMBER(FIND("arbeid",Methode_Keuze)),"",IF(ISNUMBER(FIND("arbeid",Methode_Keuze)),"",IF(Tb_Activiteiten[[#This Row],[Arbeidskosten]]=1,Tb_Activiteiten[[#Headers],[Arbeidskosten]],"")))</f>
        <v/>
      </c>
      <c r="AR288" t="str">
        <f>IF(ISNUMBER(FIND("arbeid",Methode_Keuze)),"",IF(ISNUMBER(FIND("arbeid",Methode_Keuze)),"",IF(Tb_Activiteiten[[#This Row],[Arbeidskosten op basis van IKS]]=1,Tb_Activiteiten[[#Headers],[Arbeidskosten op basis van IKS]],"")))</f>
        <v/>
      </c>
      <c r="AS288" t="str">
        <f>IF(ISNUMBER(FIND("overige",Methode_Keuze)),"",IF(Tb_Activiteiten[[#This Row],[Kosten derden exclusief btw]]=1,Tb_Activiteiten[[#Headers],[Kosten derden exclusief btw]],""))</f>
        <v/>
      </c>
      <c r="AT288" t="str">
        <f>IF(ISNUMBER(FIND("overige",Methode_Keuze)),"",IF(Tb_Activiteiten[[#This Row],[Niet verrekenbare btw]]=1,Tb_Activiteiten[[#Headers],[Niet verrekenbare btw]],""))</f>
        <v/>
      </c>
      <c r="AU288" t="str">
        <f>IF(ISNUMBER(FIND("overige",Methode_Keuze)),"",IF(Tb_Activiteiten[[#This Row],[Grondkosten]]=1,Tb_Activiteiten[[#Headers],[Grondkosten]],""))</f>
        <v/>
      </c>
      <c r="AV288" t="str">
        <f>IF(ISNUMBER(FIND("overige",Methode_Keuze)),"",IF(Tb_Activiteiten[[#This Row],[Bijdrage in natura (overige)]]=1,Tb_Activiteiten[[#Headers],[Bijdrage in natura (overige)]],""))</f>
        <v/>
      </c>
      <c r="AW288" t="str">
        <f>IF(ISNUMBER(FIND("overige",Methode_Keuze)),"",IF(Tb_Activiteiten[[#This Row],[Bijdrage in natura (vrijwilligers)]]=1,Tb_Activiteiten[[#Headers],[Bijdrage in natura (vrijwilligers)]],""))</f>
        <v/>
      </c>
      <c r="AX288" t="str">
        <f>IF(ISNUMBER(FIND("overige",Methode_Keuze)),"",IF(Tb_Activiteiten[[#This Row],[Afschrijvingskosten]]=1,Tb_Activiteiten[[#Headers],[Afschrijvingskosten]],""))</f>
        <v/>
      </c>
      <c r="AY288" t="str">
        <f>IF(ISNUMBER(FIND("overige",Methode_Keuze)),"",IF(Tb_Activiteiten[[#This Row],[Vergoeding]]=1,Tb_Activiteiten[[#Headers],[Vergoeding]],""))</f>
        <v/>
      </c>
      <c r="AZ288" t="str">
        <f>IF(ISNUMBER(FIND("arbeid",Methode_Keuze)),"",IF(Tb_Activiteiten[[#This Row],[Arbeidskosten - vast tarief (excl eigen arbeid)]]=1,Tb_Activiteiten[[#Headers],[Arbeidskosten - vast tarief (excl eigen arbeid)]],""))</f>
        <v/>
      </c>
      <c r="BA288" t="str">
        <f>IF(ISNUMBER(FIND("overige",Methode_Keuze)),"",IF(Tb_Activiteiten[[#This Row],[Overige kosten]]=1,Tb_Activiteiten[[#Headers],[Overige kosten]],""))</f>
        <v/>
      </c>
    </row>
    <row r="289" spans="1:53" x14ac:dyDescent="0.25">
      <c r="A289" s="231"/>
      <c r="F289" s="64"/>
      <c r="G289" s="64"/>
      <c r="H289" s="275"/>
      <c r="I289" s="275"/>
      <c r="J289" s="275"/>
      <c r="K289" s="275"/>
      <c r="O289" s="56"/>
      <c r="Q289" t="str">
        <f>IFERROR(IF(VLOOKUP(Tb_Activiteiten[[#This Row],[Openstelling]],Tb_Openstelling[],2,0)=1,1,""),"")</f>
        <v/>
      </c>
      <c r="AK289" t="str">
        <f>IF(ISNUMBER(FIND("arbeid",Methode_Keuze)),"",IF(ISNUMBER(FIND("arbeid",Methode_Keuze)),"",IF(Tb_Activiteiten[[#This Row],[Loonkosten]]=1,Tb_Activiteiten[[#Headers],[Loonkosten]],"")))</f>
        <v/>
      </c>
      <c r="AL289" t="str">
        <f>IF(ISNUMBER(FIND("arbeid",Methode_Keuze)),"",IF(ISNUMBER(FIND("arbeid",Methode_Keuze)),"",IF(Tb_Activiteiten[[#This Row],[Eigen arbeid]]=1,Tb_Activiteiten[[#Headers],[Eigen arbeid]],"")))</f>
        <v/>
      </c>
      <c r="AM289" t="str">
        <f>IF(ISNUMBER(FIND("arbeid",Methode_Keuze)),"",IF(ISNUMBER(FIND("arbeid",Methode_Keuze)),"",IF(Tb_Activiteiten[[#This Row],[Projectmedewerker]]=1,Tb_Activiteiten[[#Headers],[Projectmedewerker]],"")))</f>
        <v/>
      </c>
      <c r="AN289" t="str">
        <f>IF(ISNUMBER(FIND("arbeid",Methode_Keuze)),"",IF(ISNUMBER(FIND("arbeid",Methode_Keuze)),"",IF(Tb_Activiteiten[[#This Row],[Landbouwer]]=1,Tb_Activiteiten[[#Headers],[Landbouwer]],"")))</f>
        <v/>
      </c>
      <c r="AO289" t="str">
        <f>IF(ISNUMBER(FIND("arbeid",Methode_Keuze)),"",IF(ISNUMBER(FIND("arbeid",Methode_Keuze)),"",IF(Tb_Activiteiten[[#This Row],[Adviseur]]=1,Tb_Activiteiten[[#Headers],[Adviseur]],"")))</f>
        <v/>
      </c>
      <c r="AP289" t="str">
        <f>IF(ISNUMBER(FIND("arbeid",Methode_Keuze)),"",IF(ISNUMBER(FIND("arbeid",Methode_Keuze)),"",IF(Tb_Activiteiten[[#This Row],[Projectleider/Expert]]=1,Tb_Activiteiten[[#Headers],[Projectleider/Expert]],"")))</f>
        <v/>
      </c>
      <c r="AQ289" t="str">
        <f>IF(ISNUMBER(FIND("arbeid",Methode_Keuze)),"",IF(ISNUMBER(FIND("arbeid",Methode_Keuze)),"",IF(Tb_Activiteiten[[#This Row],[Arbeidskosten]]=1,Tb_Activiteiten[[#Headers],[Arbeidskosten]],"")))</f>
        <v/>
      </c>
      <c r="AR289" t="str">
        <f>IF(ISNUMBER(FIND("arbeid",Methode_Keuze)),"",IF(ISNUMBER(FIND("arbeid",Methode_Keuze)),"",IF(Tb_Activiteiten[[#This Row],[Arbeidskosten op basis van IKS]]=1,Tb_Activiteiten[[#Headers],[Arbeidskosten op basis van IKS]],"")))</f>
        <v/>
      </c>
      <c r="AS289" t="str">
        <f>IF(ISNUMBER(FIND("overige",Methode_Keuze)),"",IF(Tb_Activiteiten[[#This Row],[Kosten derden exclusief btw]]=1,Tb_Activiteiten[[#Headers],[Kosten derden exclusief btw]],""))</f>
        <v/>
      </c>
      <c r="AT289" t="str">
        <f>IF(ISNUMBER(FIND("overige",Methode_Keuze)),"",IF(Tb_Activiteiten[[#This Row],[Niet verrekenbare btw]]=1,Tb_Activiteiten[[#Headers],[Niet verrekenbare btw]],""))</f>
        <v/>
      </c>
      <c r="AU289" t="str">
        <f>IF(ISNUMBER(FIND("overige",Methode_Keuze)),"",IF(Tb_Activiteiten[[#This Row],[Grondkosten]]=1,Tb_Activiteiten[[#Headers],[Grondkosten]],""))</f>
        <v/>
      </c>
      <c r="AV289" t="str">
        <f>IF(ISNUMBER(FIND("overige",Methode_Keuze)),"",IF(Tb_Activiteiten[[#This Row],[Bijdrage in natura (overige)]]=1,Tb_Activiteiten[[#Headers],[Bijdrage in natura (overige)]],""))</f>
        <v/>
      </c>
      <c r="AW289" t="str">
        <f>IF(ISNUMBER(FIND("overige",Methode_Keuze)),"",IF(Tb_Activiteiten[[#This Row],[Bijdrage in natura (vrijwilligers)]]=1,Tb_Activiteiten[[#Headers],[Bijdrage in natura (vrijwilligers)]],""))</f>
        <v/>
      </c>
      <c r="AX289" t="str">
        <f>IF(ISNUMBER(FIND("overige",Methode_Keuze)),"",IF(Tb_Activiteiten[[#This Row],[Afschrijvingskosten]]=1,Tb_Activiteiten[[#Headers],[Afschrijvingskosten]],""))</f>
        <v/>
      </c>
      <c r="AY289" t="str">
        <f>IF(ISNUMBER(FIND("overige",Methode_Keuze)),"",IF(Tb_Activiteiten[[#This Row],[Vergoeding]]=1,Tb_Activiteiten[[#Headers],[Vergoeding]],""))</f>
        <v/>
      </c>
      <c r="AZ289" t="str">
        <f>IF(ISNUMBER(FIND("arbeid",Methode_Keuze)),"",IF(Tb_Activiteiten[[#This Row],[Arbeidskosten - vast tarief (excl eigen arbeid)]]=1,Tb_Activiteiten[[#Headers],[Arbeidskosten - vast tarief (excl eigen arbeid)]],""))</f>
        <v/>
      </c>
      <c r="BA289" t="str">
        <f>IF(ISNUMBER(FIND("overige",Methode_Keuze)),"",IF(Tb_Activiteiten[[#This Row],[Overige kosten]]=1,Tb_Activiteiten[[#Headers],[Overige kosten]],""))</f>
        <v/>
      </c>
    </row>
    <row r="290" spans="1:53" x14ac:dyDescent="0.25">
      <c r="A290" s="231"/>
      <c r="F290" s="64"/>
      <c r="G290" s="64"/>
      <c r="H290" s="275"/>
      <c r="I290" s="275"/>
      <c r="J290" s="275"/>
      <c r="K290" s="275"/>
      <c r="O290" s="56"/>
      <c r="Q290" t="str">
        <f>IFERROR(IF(VLOOKUP(Tb_Activiteiten[[#This Row],[Openstelling]],Tb_Openstelling[],2,0)=1,1,""),"")</f>
        <v/>
      </c>
      <c r="AK290" t="str">
        <f>IF(ISNUMBER(FIND("arbeid",Methode_Keuze)),"",IF(ISNUMBER(FIND("arbeid",Methode_Keuze)),"",IF(Tb_Activiteiten[[#This Row],[Loonkosten]]=1,Tb_Activiteiten[[#Headers],[Loonkosten]],"")))</f>
        <v/>
      </c>
      <c r="AL290" t="str">
        <f>IF(ISNUMBER(FIND("arbeid",Methode_Keuze)),"",IF(ISNUMBER(FIND("arbeid",Methode_Keuze)),"",IF(Tb_Activiteiten[[#This Row],[Eigen arbeid]]=1,Tb_Activiteiten[[#Headers],[Eigen arbeid]],"")))</f>
        <v/>
      </c>
      <c r="AM290" t="str">
        <f>IF(ISNUMBER(FIND("arbeid",Methode_Keuze)),"",IF(ISNUMBER(FIND("arbeid",Methode_Keuze)),"",IF(Tb_Activiteiten[[#This Row],[Projectmedewerker]]=1,Tb_Activiteiten[[#Headers],[Projectmedewerker]],"")))</f>
        <v/>
      </c>
      <c r="AN290" t="str">
        <f>IF(ISNUMBER(FIND("arbeid",Methode_Keuze)),"",IF(ISNUMBER(FIND("arbeid",Methode_Keuze)),"",IF(Tb_Activiteiten[[#This Row],[Landbouwer]]=1,Tb_Activiteiten[[#Headers],[Landbouwer]],"")))</f>
        <v/>
      </c>
      <c r="AO290" t="str">
        <f>IF(ISNUMBER(FIND("arbeid",Methode_Keuze)),"",IF(ISNUMBER(FIND("arbeid",Methode_Keuze)),"",IF(Tb_Activiteiten[[#This Row],[Adviseur]]=1,Tb_Activiteiten[[#Headers],[Adviseur]],"")))</f>
        <v/>
      </c>
      <c r="AP290" t="str">
        <f>IF(ISNUMBER(FIND("arbeid",Methode_Keuze)),"",IF(ISNUMBER(FIND("arbeid",Methode_Keuze)),"",IF(Tb_Activiteiten[[#This Row],[Projectleider/Expert]]=1,Tb_Activiteiten[[#Headers],[Projectleider/Expert]],"")))</f>
        <v/>
      </c>
      <c r="AQ290" t="str">
        <f>IF(ISNUMBER(FIND("arbeid",Methode_Keuze)),"",IF(ISNUMBER(FIND("arbeid",Methode_Keuze)),"",IF(Tb_Activiteiten[[#This Row],[Arbeidskosten]]=1,Tb_Activiteiten[[#Headers],[Arbeidskosten]],"")))</f>
        <v/>
      </c>
      <c r="AR290" t="str">
        <f>IF(ISNUMBER(FIND("arbeid",Methode_Keuze)),"",IF(ISNUMBER(FIND("arbeid",Methode_Keuze)),"",IF(Tb_Activiteiten[[#This Row],[Arbeidskosten op basis van IKS]]=1,Tb_Activiteiten[[#Headers],[Arbeidskosten op basis van IKS]],"")))</f>
        <v/>
      </c>
      <c r="AS290" t="str">
        <f>IF(ISNUMBER(FIND("overige",Methode_Keuze)),"",IF(Tb_Activiteiten[[#This Row],[Kosten derden exclusief btw]]=1,Tb_Activiteiten[[#Headers],[Kosten derden exclusief btw]],""))</f>
        <v/>
      </c>
      <c r="AT290" t="str">
        <f>IF(ISNUMBER(FIND("overige",Methode_Keuze)),"",IF(Tb_Activiteiten[[#This Row],[Niet verrekenbare btw]]=1,Tb_Activiteiten[[#Headers],[Niet verrekenbare btw]],""))</f>
        <v/>
      </c>
      <c r="AU290" t="str">
        <f>IF(ISNUMBER(FIND("overige",Methode_Keuze)),"",IF(Tb_Activiteiten[[#This Row],[Grondkosten]]=1,Tb_Activiteiten[[#Headers],[Grondkosten]],""))</f>
        <v/>
      </c>
      <c r="AV290" t="str">
        <f>IF(ISNUMBER(FIND("overige",Methode_Keuze)),"",IF(Tb_Activiteiten[[#This Row],[Bijdrage in natura (overige)]]=1,Tb_Activiteiten[[#Headers],[Bijdrage in natura (overige)]],""))</f>
        <v/>
      </c>
      <c r="AW290" t="str">
        <f>IF(ISNUMBER(FIND("overige",Methode_Keuze)),"",IF(Tb_Activiteiten[[#This Row],[Bijdrage in natura (vrijwilligers)]]=1,Tb_Activiteiten[[#Headers],[Bijdrage in natura (vrijwilligers)]],""))</f>
        <v/>
      </c>
      <c r="AX290" t="str">
        <f>IF(ISNUMBER(FIND("overige",Methode_Keuze)),"",IF(Tb_Activiteiten[[#This Row],[Afschrijvingskosten]]=1,Tb_Activiteiten[[#Headers],[Afschrijvingskosten]],""))</f>
        <v/>
      </c>
      <c r="AY290" t="str">
        <f>IF(ISNUMBER(FIND("overige",Methode_Keuze)),"",IF(Tb_Activiteiten[[#This Row],[Vergoeding]]=1,Tb_Activiteiten[[#Headers],[Vergoeding]],""))</f>
        <v/>
      </c>
      <c r="AZ290" t="str">
        <f>IF(ISNUMBER(FIND("arbeid",Methode_Keuze)),"",IF(Tb_Activiteiten[[#This Row],[Arbeidskosten - vast tarief (excl eigen arbeid)]]=1,Tb_Activiteiten[[#Headers],[Arbeidskosten - vast tarief (excl eigen arbeid)]],""))</f>
        <v/>
      </c>
      <c r="BA290" t="str">
        <f>IF(ISNUMBER(FIND("overige",Methode_Keuze)),"",IF(Tb_Activiteiten[[#This Row],[Overige kosten]]=1,Tb_Activiteiten[[#Headers],[Overige kosten]],""))</f>
        <v/>
      </c>
    </row>
    <row r="291" spans="1:53" x14ac:dyDescent="0.25">
      <c r="A291" s="231"/>
      <c r="F291" s="64"/>
      <c r="G291" s="64"/>
      <c r="H291" s="275"/>
      <c r="I291" s="275"/>
      <c r="J291" s="275"/>
      <c r="K291" s="275"/>
      <c r="O291" s="56"/>
      <c r="Q291" t="str">
        <f>IFERROR(IF(VLOOKUP(Tb_Activiteiten[[#This Row],[Openstelling]],Tb_Openstelling[],2,0)=1,1,""),"")</f>
        <v/>
      </c>
      <c r="AK291" t="str">
        <f>IF(ISNUMBER(FIND("arbeid",Methode_Keuze)),"",IF(ISNUMBER(FIND("arbeid",Methode_Keuze)),"",IF(Tb_Activiteiten[[#This Row],[Loonkosten]]=1,Tb_Activiteiten[[#Headers],[Loonkosten]],"")))</f>
        <v/>
      </c>
      <c r="AL291" t="str">
        <f>IF(ISNUMBER(FIND("arbeid",Methode_Keuze)),"",IF(ISNUMBER(FIND("arbeid",Methode_Keuze)),"",IF(Tb_Activiteiten[[#This Row],[Eigen arbeid]]=1,Tb_Activiteiten[[#Headers],[Eigen arbeid]],"")))</f>
        <v/>
      </c>
      <c r="AM291" t="str">
        <f>IF(ISNUMBER(FIND("arbeid",Methode_Keuze)),"",IF(ISNUMBER(FIND("arbeid",Methode_Keuze)),"",IF(Tb_Activiteiten[[#This Row],[Projectmedewerker]]=1,Tb_Activiteiten[[#Headers],[Projectmedewerker]],"")))</f>
        <v/>
      </c>
      <c r="AN291" t="str">
        <f>IF(ISNUMBER(FIND("arbeid",Methode_Keuze)),"",IF(ISNUMBER(FIND("arbeid",Methode_Keuze)),"",IF(Tb_Activiteiten[[#This Row],[Landbouwer]]=1,Tb_Activiteiten[[#Headers],[Landbouwer]],"")))</f>
        <v/>
      </c>
      <c r="AO291" t="str">
        <f>IF(ISNUMBER(FIND("arbeid",Methode_Keuze)),"",IF(ISNUMBER(FIND("arbeid",Methode_Keuze)),"",IF(Tb_Activiteiten[[#This Row],[Adviseur]]=1,Tb_Activiteiten[[#Headers],[Adviseur]],"")))</f>
        <v/>
      </c>
      <c r="AP291" t="str">
        <f>IF(ISNUMBER(FIND("arbeid",Methode_Keuze)),"",IF(ISNUMBER(FIND("arbeid",Methode_Keuze)),"",IF(Tb_Activiteiten[[#This Row],[Projectleider/Expert]]=1,Tb_Activiteiten[[#Headers],[Projectleider/Expert]],"")))</f>
        <v/>
      </c>
      <c r="AQ291" t="str">
        <f>IF(ISNUMBER(FIND("arbeid",Methode_Keuze)),"",IF(ISNUMBER(FIND("arbeid",Methode_Keuze)),"",IF(Tb_Activiteiten[[#This Row],[Arbeidskosten]]=1,Tb_Activiteiten[[#Headers],[Arbeidskosten]],"")))</f>
        <v/>
      </c>
      <c r="AR291" t="str">
        <f>IF(ISNUMBER(FIND("arbeid",Methode_Keuze)),"",IF(ISNUMBER(FIND("arbeid",Methode_Keuze)),"",IF(Tb_Activiteiten[[#This Row],[Arbeidskosten op basis van IKS]]=1,Tb_Activiteiten[[#Headers],[Arbeidskosten op basis van IKS]],"")))</f>
        <v/>
      </c>
      <c r="AS291" t="str">
        <f>IF(ISNUMBER(FIND("overige",Methode_Keuze)),"",IF(Tb_Activiteiten[[#This Row],[Kosten derden exclusief btw]]=1,Tb_Activiteiten[[#Headers],[Kosten derden exclusief btw]],""))</f>
        <v/>
      </c>
      <c r="AT291" t="str">
        <f>IF(ISNUMBER(FIND("overige",Methode_Keuze)),"",IF(Tb_Activiteiten[[#This Row],[Niet verrekenbare btw]]=1,Tb_Activiteiten[[#Headers],[Niet verrekenbare btw]],""))</f>
        <v/>
      </c>
      <c r="AU291" t="str">
        <f>IF(ISNUMBER(FIND("overige",Methode_Keuze)),"",IF(Tb_Activiteiten[[#This Row],[Grondkosten]]=1,Tb_Activiteiten[[#Headers],[Grondkosten]],""))</f>
        <v/>
      </c>
      <c r="AV291" t="str">
        <f>IF(ISNUMBER(FIND("overige",Methode_Keuze)),"",IF(Tb_Activiteiten[[#This Row],[Bijdrage in natura (overige)]]=1,Tb_Activiteiten[[#Headers],[Bijdrage in natura (overige)]],""))</f>
        <v/>
      </c>
      <c r="AW291" t="str">
        <f>IF(ISNUMBER(FIND("overige",Methode_Keuze)),"",IF(Tb_Activiteiten[[#This Row],[Bijdrage in natura (vrijwilligers)]]=1,Tb_Activiteiten[[#Headers],[Bijdrage in natura (vrijwilligers)]],""))</f>
        <v/>
      </c>
      <c r="AX291" t="str">
        <f>IF(ISNUMBER(FIND("overige",Methode_Keuze)),"",IF(Tb_Activiteiten[[#This Row],[Afschrijvingskosten]]=1,Tb_Activiteiten[[#Headers],[Afschrijvingskosten]],""))</f>
        <v/>
      </c>
      <c r="AY291" t="str">
        <f>IF(ISNUMBER(FIND("overige",Methode_Keuze)),"",IF(Tb_Activiteiten[[#This Row],[Vergoeding]]=1,Tb_Activiteiten[[#Headers],[Vergoeding]],""))</f>
        <v/>
      </c>
      <c r="AZ291" t="str">
        <f>IF(ISNUMBER(FIND("arbeid",Methode_Keuze)),"",IF(Tb_Activiteiten[[#This Row],[Arbeidskosten - vast tarief (excl eigen arbeid)]]=1,Tb_Activiteiten[[#Headers],[Arbeidskosten - vast tarief (excl eigen arbeid)]],""))</f>
        <v/>
      </c>
      <c r="BA291" t="str">
        <f>IF(ISNUMBER(FIND("overige",Methode_Keuze)),"",IF(Tb_Activiteiten[[#This Row],[Overige kosten]]=1,Tb_Activiteiten[[#Headers],[Overige kosten]],""))</f>
        <v/>
      </c>
    </row>
    <row r="292" spans="1:53" x14ac:dyDescent="0.25">
      <c r="A292" s="231"/>
      <c r="F292" s="64"/>
      <c r="G292" s="64"/>
      <c r="H292" s="275"/>
      <c r="I292" s="275"/>
      <c r="J292" s="275"/>
      <c r="K292" s="275"/>
      <c r="O292" s="56"/>
      <c r="Q292" t="str">
        <f>IFERROR(IF(VLOOKUP(Tb_Activiteiten[[#This Row],[Openstelling]],Tb_Openstelling[],2,0)=1,1,""),"")</f>
        <v/>
      </c>
      <c r="AK292" t="str">
        <f>IF(ISNUMBER(FIND("arbeid",Methode_Keuze)),"",IF(ISNUMBER(FIND("arbeid",Methode_Keuze)),"",IF(Tb_Activiteiten[[#This Row],[Loonkosten]]=1,Tb_Activiteiten[[#Headers],[Loonkosten]],"")))</f>
        <v/>
      </c>
      <c r="AL292" t="str">
        <f>IF(ISNUMBER(FIND("arbeid",Methode_Keuze)),"",IF(ISNUMBER(FIND("arbeid",Methode_Keuze)),"",IF(Tb_Activiteiten[[#This Row],[Eigen arbeid]]=1,Tb_Activiteiten[[#Headers],[Eigen arbeid]],"")))</f>
        <v/>
      </c>
      <c r="AM292" t="str">
        <f>IF(ISNUMBER(FIND("arbeid",Methode_Keuze)),"",IF(ISNUMBER(FIND("arbeid",Methode_Keuze)),"",IF(Tb_Activiteiten[[#This Row],[Projectmedewerker]]=1,Tb_Activiteiten[[#Headers],[Projectmedewerker]],"")))</f>
        <v/>
      </c>
      <c r="AN292" t="str">
        <f>IF(ISNUMBER(FIND("arbeid",Methode_Keuze)),"",IF(ISNUMBER(FIND("arbeid",Methode_Keuze)),"",IF(Tb_Activiteiten[[#This Row],[Landbouwer]]=1,Tb_Activiteiten[[#Headers],[Landbouwer]],"")))</f>
        <v/>
      </c>
      <c r="AO292" t="str">
        <f>IF(ISNUMBER(FIND("arbeid",Methode_Keuze)),"",IF(ISNUMBER(FIND("arbeid",Methode_Keuze)),"",IF(Tb_Activiteiten[[#This Row],[Adviseur]]=1,Tb_Activiteiten[[#Headers],[Adviseur]],"")))</f>
        <v/>
      </c>
      <c r="AP292" t="str">
        <f>IF(ISNUMBER(FIND("arbeid",Methode_Keuze)),"",IF(ISNUMBER(FIND("arbeid",Methode_Keuze)),"",IF(Tb_Activiteiten[[#This Row],[Projectleider/Expert]]=1,Tb_Activiteiten[[#Headers],[Projectleider/Expert]],"")))</f>
        <v/>
      </c>
      <c r="AQ292" t="str">
        <f>IF(ISNUMBER(FIND("arbeid",Methode_Keuze)),"",IF(ISNUMBER(FIND("arbeid",Methode_Keuze)),"",IF(Tb_Activiteiten[[#This Row],[Arbeidskosten]]=1,Tb_Activiteiten[[#Headers],[Arbeidskosten]],"")))</f>
        <v/>
      </c>
      <c r="AR292" t="str">
        <f>IF(ISNUMBER(FIND("arbeid",Methode_Keuze)),"",IF(ISNUMBER(FIND("arbeid",Methode_Keuze)),"",IF(Tb_Activiteiten[[#This Row],[Arbeidskosten op basis van IKS]]=1,Tb_Activiteiten[[#Headers],[Arbeidskosten op basis van IKS]],"")))</f>
        <v/>
      </c>
      <c r="AS292" t="str">
        <f>IF(ISNUMBER(FIND("overige",Methode_Keuze)),"",IF(Tb_Activiteiten[[#This Row],[Kosten derden exclusief btw]]=1,Tb_Activiteiten[[#Headers],[Kosten derden exclusief btw]],""))</f>
        <v/>
      </c>
      <c r="AT292" t="str">
        <f>IF(ISNUMBER(FIND("overige",Methode_Keuze)),"",IF(Tb_Activiteiten[[#This Row],[Niet verrekenbare btw]]=1,Tb_Activiteiten[[#Headers],[Niet verrekenbare btw]],""))</f>
        <v/>
      </c>
      <c r="AU292" t="str">
        <f>IF(ISNUMBER(FIND("overige",Methode_Keuze)),"",IF(Tb_Activiteiten[[#This Row],[Grondkosten]]=1,Tb_Activiteiten[[#Headers],[Grondkosten]],""))</f>
        <v/>
      </c>
      <c r="AV292" t="str">
        <f>IF(ISNUMBER(FIND("overige",Methode_Keuze)),"",IF(Tb_Activiteiten[[#This Row],[Bijdrage in natura (overige)]]=1,Tb_Activiteiten[[#Headers],[Bijdrage in natura (overige)]],""))</f>
        <v/>
      </c>
      <c r="AW292" t="str">
        <f>IF(ISNUMBER(FIND("overige",Methode_Keuze)),"",IF(Tb_Activiteiten[[#This Row],[Bijdrage in natura (vrijwilligers)]]=1,Tb_Activiteiten[[#Headers],[Bijdrage in natura (vrijwilligers)]],""))</f>
        <v/>
      </c>
      <c r="AX292" t="str">
        <f>IF(ISNUMBER(FIND("overige",Methode_Keuze)),"",IF(Tb_Activiteiten[[#This Row],[Afschrijvingskosten]]=1,Tb_Activiteiten[[#Headers],[Afschrijvingskosten]],""))</f>
        <v/>
      </c>
      <c r="AY292" t="str">
        <f>IF(ISNUMBER(FIND("overige",Methode_Keuze)),"",IF(Tb_Activiteiten[[#This Row],[Vergoeding]]=1,Tb_Activiteiten[[#Headers],[Vergoeding]],""))</f>
        <v/>
      </c>
      <c r="AZ292" t="str">
        <f>IF(ISNUMBER(FIND("arbeid",Methode_Keuze)),"",IF(Tb_Activiteiten[[#This Row],[Arbeidskosten - vast tarief (excl eigen arbeid)]]=1,Tb_Activiteiten[[#Headers],[Arbeidskosten - vast tarief (excl eigen arbeid)]],""))</f>
        <v/>
      </c>
      <c r="BA292" t="str">
        <f>IF(ISNUMBER(FIND("overige",Methode_Keuze)),"",IF(Tb_Activiteiten[[#This Row],[Overige kosten]]=1,Tb_Activiteiten[[#Headers],[Overige kosten]],""))</f>
        <v/>
      </c>
    </row>
    <row r="293" spans="1:53" x14ac:dyDescent="0.25">
      <c r="A293" s="231"/>
      <c r="F293" s="64"/>
      <c r="G293" s="64"/>
      <c r="H293" s="275"/>
      <c r="I293" s="275"/>
      <c r="J293" s="275"/>
      <c r="K293" s="275"/>
      <c r="O293" s="56"/>
      <c r="Q293" t="str">
        <f>IFERROR(IF(VLOOKUP(Tb_Activiteiten[[#This Row],[Openstelling]],Tb_Openstelling[],2,0)=1,1,""),"")</f>
        <v/>
      </c>
      <c r="AK293" t="str">
        <f>IF(ISNUMBER(FIND("arbeid",Methode_Keuze)),"",IF(ISNUMBER(FIND("arbeid",Methode_Keuze)),"",IF(Tb_Activiteiten[[#This Row],[Loonkosten]]=1,Tb_Activiteiten[[#Headers],[Loonkosten]],"")))</f>
        <v/>
      </c>
      <c r="AL293" t="str">
        <f>IF(ISNUMBER(FIND("arbeid",Methode_Keuze)),"",IF(ISNUMBER(FIND("arbeid",Methode_Keuze)),"",IF(Tb_Activiteiten[[#This Row],[Eigen arbeid]]=1,Tb_Activiteiten[[#Headers],[Eigen arbeid]],"")))</f>
        <v/>
      </c>
      <c r="AM293" t="str">
        <f>IF(ISNUMBER(FIND("arbeid",Methode_Keuze)),"",IF(ISNUMBER(FIND("arbeid",Methode_Keuze)),"",IF(Tb_Activiteiten[[#This Row],[Projectmedewerker]]=1,Tb_Activiteiten[[#Headers],[Projectmedewerker]],"")))</f>
        <v/>
      </c>
      <c r="AN293" t="str">
        <f>IF(ISNUMBER(FIND("arbeid",Methode_Keuze)),"",IF(ISNUMBER(FIND("arbeid",Methode_Keuze)),"",IF(Tb_Activiteiten[[#This Row],[Landbouwer]]=1,Tb_Activiteiten[[#Headers],[Landbouwer]],"")))</f>
        <v/>
      </c>
      <c r="AO293" t="str">
        <f>IF(ISNUMBER(FIND("arbeid",Methode_Keuze)),"",IF(ISNUMBER(FIND("arbeid",Methode_Keuze)),"",IF(Tb_Activiteiten[[#This Row],[Adviseur]]=1,Tb_Activiteiten[[#Headers],[Adviseur]],"")))</f>
        <v/>
      </c>
      <c r="AP293" t="str">
        <f>IF(ISNUMBER(FIND("arbeid",Methode_Keuze)),"",IF(ISNUMBER(FIND("arbeid",Methode_Keuze)),"",IF(Tb_Activiteiten[[#This Row],[Projectleider/Expert]]=1,Tb_Activiteiten[[#Headers],[Projectleider/Expert]],"")))</f>
        <v/>
      </c>
      <c r="AQ293" t="str">
        <f>IF(ISNUMBER(FIND("arbeid",Methode_Keuze)),"",IF(ISNUMBER(FIND("arbeid",Methode_Keuze)),"",IF(Tb_Activiteiten[[#This Row],[Arbeidskosten]]=1,Tb_Activiteiten[[#Headers],[Arbeidskosten]],"")))</f>
        <v/>
      </c>
      <c r="AR293" t="str">
        <f>IF(ISNUMBER(FIND("arbeid",Methode_Keuze)),"",IF(ISNUMBER(FIND("arbeid",Methode_Keuze)),"",IF(Tb_Activiteiten[[#This Row],[Arbeidskosten op basis van IKS]]=1,Tb_Activiteiten[[#Headers],[Arbeidskosten op basis van IKS]],"")))</f>
        <v/>
      </c>
      <c r="AS293" t="str">
        <f>IF(ISNUMBER(FIND("overige",Methode_Keuze)),"",IF(Tb_Activiteiten[[#This Row],[Kosten derden exclusief btw]]=1,Tb_Activiteiten[[#Headers],[Kosten derden exclusief btw]],""))</f>
        <v/>
      </c>
      <c r="AT293" t="str">
        <f>IF(ISNUMBER(FIND("overige",Methode_Keuze)),"",IF(Tb_Activiteiten[[#This Row],[Niet verrekenbare btw]]=1,Tb_Activiteiten[[#Headers],[Niet verrekenbare btw]],""))</f>
        <v/>
      </c>
      <c r="AU293" t="str">
        <f>IF(ISNUMBER(FIND("overige",Methode_Keuze)),"",IF(Tb_Activiteiten[[#This Row],[Grondkosten]]=1,Tb_Activiteiten[[#Headers],[Grondkosten]],""))</f>
        <v/>
      </c>
      <c r="AV293" t="str">
        <f>IF(ISNUMBER(FIND("overige",Methode_Keuze)),"",IF(Tb_Activiteiten[[#This Row],[Bijdrage in natura (overige)]]=1,Tb_Activiteiten[[#Headers],[Bijdrage in natura (overige)]],""))</f>
        <v/>
      </c>
      <c r="AW293" t="str">
        <f>IF(ISNUMBER(FIND("overige",Methode_Keuze)),"",IF(Tb_Activiteiten[[#This Row],[Bijdrage in natura (vrijwilligers)]]=1,Tb_Activiteiten[[#Headers],[Bijdrage in natura (vrijwilligers)]],""))</f>
        <v/>
      </c>
      <c r="AX293" t="str">
        <f>IF(ISNUMBER(FIND("overige",Methode_Keuze)),"",IF(Tb_Activiteiten[[#This Row],[Afschrijvingskosten]]=1,Tb_Activiteiten[[#Headers],[Afschrijvingskosten]],""))</f>
        <v/>
      </c>
      <c r="AY293" t="str">
        <f>IF(ISNUMBER(FIND("overige",Methode_Keuze)),"",IF(Tb_Activiteiten[[#This Row],[Vergoeding]]=1,Tb_Activiteiten[[#Headers],[Vergoeding]],""))</f>
        <v/>
      </c>
      <c r="AZ293" t="str">
        <f>IF(ISNUMBER(FIND("arbeid",Methode_Keuze)),"",IF(Tb_Activiteiten[[#This Row],[Arbeidskosten - vast tarief (excl eigen arbeid)]]=1,Tb_Activiteiten[[#Headers],[Arbeidskosten - vast tarief (excl eigen arbeid)]],""))</f>
        <v/>
      </c>
      <c r="BA293" t="str">
        <f>IF(ISNUMBER(FIND("overige",Methode_Keuze)),"",IF(Tb_Activiteiten[[#This Row],[Overige kosten]]=1,Tb_Activiteiten[[#Headers],[Overige kosten]],""))</f>
        <v/>
      </c>
    </row>
    <row r="294" spans="1:53" x14ac:dyDescent="0.25">
      <c r="A294" s="231"/>
      <c r="F294" s="64"/>
      <c r="G294" s="64"/>
      <c r="H294" s="275"/>
      <c r="I294" s="275"/>
      <c r="J294" s="275"/>
      <c r="K294" s="275"/>
      <c r="O294" s="56"/>
      <c r="Q294" t="str">
        <f>IFERROR(IF(VLOOKUP(Tb_Activiteiten[[#This Row],[Openstelling]],Tb_Openstelling[],2,0)=1,1,""),"")</f>
        <v/>
      </c>
      <c r="AK294" t="str">
        <f>IF(ISNUMBER(FIND("arbeid",Methode_Keuze)),"",IF(ISNUMBER(FIND("arbeid",Methode_Keuze)),"",IF(Tb_Activiteiten[[#This Row],[Loonkosten]]=1,Tb_Activiteiten[[#Headers],[Loonkosten]],"")))</f>
        <v/>
      </c>
      <c r="AL294" t="str">
        <f>IF(ISNUMBER(FIND("arbeid",Methode_Keuze)),"",IF(ISNUMBER(FIND("arbeid",Methode_Keuze)),"",IF(Tb_Activiteiten[[#This Row],[Eigen arbeid]]=1,Tb_Activiteiten[[#Headers],[Eigen arbeid]],"")))</f>
        <v/>
      </c>
      <c r="AM294" t="str">
        <f>IF(ISNUMBER(FIND("arbeid",Methode_Keuze)),"",IF(ISNUMBER(FIND("arbeid",Methode_Keuze)),"",IF(Tb_Activiteiten[[#This Row],[Projectmedewerker]]=1,Tb_Activiteiten[[#Headers],[Projectmedewerker]],"")))</f>
        <v/>
      </c>
      <c r="AN294" t="str">
        <f>IF(ISNUMBER(FIND("arbeid",Methode_Keuze)),"",IF(ISNUMBER(FIND("arbeid",Methode_Keuze)),"",IF(Tb_Activiteiten[[#This Row],[Landbouwer]]=1,Tb_Activiteiten[[#Headers],[Landbouwer]],"")))</f>
        <v/>
      </c>
      <c r="AO294" t="str">
        <f>IF(ISNUMBER(FIND("arbeid",Methode_Keuze)),"",IF(ISNUMBER(FIND("arbeid",Methode_Keuze)),"",IF(Tb_Activiteiten[[#This Row],[Adviseur]]=1,Tb_Activiteiten[[#Headers],[Adviseur]],"")))</f>
        <v/>
      </c>
      <c r="AP294" t="str">
        <f>IF(ISNUMBER(FIND("arbeid",Methode_Keuze)),"",IF(ISNUMBER(FIND("arbeid",Methode_Keuze)),"",IF(Tb_Activiteiten[[#This Row],[Projectleider/Expert]]=1,Tb_Activiteiten[[#Headers],[Projectleider/Expert]],"")))</f>
        <v/>
      </c>
      <c r="AQ294" t="str">
        <f>IF(ISNUMBER(FIND("arbeid",Methode_Keuze)),"",IF(ISNUMBER(FIND("arbeid",Methode_Keuze)),"",IF(Tb_Activiteiten[[#This Row],[Arbeidskosten]]=1,Tb_Activiteiten[[#Headers],[Arbeidskosten]],"")))</f>
        <v/>
      </c>
      <c r="AR294" t="str">
        <f>IF(ISNUMBER(FIND("arbeid",Methode_Keuze)),"",IF(ISNUMBER(FIND("arbeid",Methode_Keuze)),"",IF(Tb_Activiteiten[[#This Row],[Arbeidskosten op basis van IKS]]=1,Tb_Activiteiten[[#Headers],[Arbeidskosten op basis van IKS]],"")))</f>
        <v/>
      </c>
      <c r="AS294" t="str">
        <f>IF(ISNUMBER(FIND("overige",Methode_Keuze)),"",IF(Tb_Activiteiten[[#This Row],[Kosten derden exclusief btw]]=1,Tb_Activiteiten[[#Headers],[Kosten derden exclusief btw]],""))</f>
        <v/>
      </c>
      <c r="AT294" t="str">
        <f>IF(ISNUMBER(FIND("overige",Methode_Keuze)),"",IF(Tb_Activiteiten[[#This Row],[Niet verrekenbare btw]]=1,Tb_Activiteiten[[#Headers],[Niet verrekenbare btw]],""))</f>
        <v/>
      </c>
      <c r="AU294" t="str">
        <f>IF(ISNUMBER(FIND("overige",Methode_Keuze)),"",IF(Tb_Activiteiten[[#This Row],[Grondkosten]]=1,Tb_Activiteiten[[#Headers],[Grondkosten]],""))</f>
        <v/>
      </c>
      <c r="AV294" t="str">
        <f>IF(ISNUMBER(FIND("overige",Methode_Keuze)),"",IF(Tb_Activiteiten[[#This Row],[Bijdrage in natura (overige)]]=1,Tb_Activiteiten[[#Headers],[Bijdrage in natura (overige)]],""))</f>
        <v/>
      </c>
      <c r="AW294" t="str">
        <f>IF(ISNUMBER(FIND("overige",Methode_Keuze)),"",IF(Tb_Activiteiten[[#This Row],[Bijdrage in natura (vrijwilligers)]]=1,Tb_Activiteiten[[#Headers],[Bijdrage in natura (vrijwilligers)]],""))</f>
        <v/>
      </c>
      <c r="AX294" t="str">
        <f>IF(ISNUMBER(FIND("overige",Methode_Keuze)),"",IF(Tb_Activiteiten[[#This Row],[Afschrijvingskosten]]=1,Tb_Activiteiten[[#Headers],[Afschrijvingskosten]],""))</f>
        <v/>
      </c>
      <c r="AY294" t="str">
        <f>IF(ISNUMBER(FIND("overige",Methode_Keuze)),"",IF(Tb_Activiteiten[[#This Row],[Vergoeding]]=1,Tb_Activiteiten[[#Headers],[Vergoeding]],""))</f>
        <v/>
      </c>
      <c r="AZ294" t="str">
        <f>IF(ISNUMBER(FIND("arbeid",Methode_Keuze)),"",IF(Tb_Activiteiten[[#This Row],[Arbeidskosten - vast tarief (excl eigen arbeid)]]=1,Tb_Activiteiten[[#Headers],[Arbeidskosten - vast tarief (excl eigen arbeid)]],""))</f>
        <v/>
      </c>
      <c r="BA294" t="str">
        <f>IF(ISNUMBER(FIND("overige",Methode_Keuze)),"",IF(Tb_Activiteiten[[#This Row],[Overige kosten]]=1,Tb_Activiteiten[[#Headers],[Overige kosten]],""))</f>
        <v/>
      </c>
    </row>
    <row r="295" spans="1:53" x14ac:dyDescent="0.25">
      <c r="A295" s="231"/>
      <c r="F295" s="64"/>
      <c r="G295" s="64"/>
      <c r="H295" s="275"/>
      <c r="I295" s="275"/>
      <c r="J295" s="275"/>
      <c r="K295" s="275"/>
      <c r="O295" s="56"/>
      <c r="Q295" t="str">
        <f>IFERROR(IF(VLOOKUP(Tb_Activiteiten[[#This Row],[Openstelling]],Tb_Openstelling[],2,0)=1,1,""),"")</f>
        <v/>
      </c>
      <c r="AK295" t="str">
        <f>IF(ISNUMBER(FIND("arbeid",Methode_Keuze)),"",IF(ISNUMBER(FIND("arbeid",Methode_Keuze)),"",IF(Tb_Activiteiten[[#This Row],[Loonkosten]]=1,Tb_Activiteiten[[#Headers],[Loonkosten]],"")))</f>
        <v/>
      </c>
      <c r="AL295" t="str">
        <f>IF(ISNUMBER(FIND("arbeid",Methode_Keuze)),"",IF(ISNUMBER(FIND("arbeid",Methode_Keuze)),"",IF(Tb_Activiteiten[[#This Row],[Eigen arbeid]]=1,Tb_Activiteiten[[#Headers],[Eigen arbeid]],"")))</f>
        <v/>
      </c>
      <c r="AM295" t="str">
        <f>IF(ISNUMBER(FIND("arbeid",Methode_Keuze)),"",IF(ISNUMBER(FIND("arbeid",Methode_Keuze)),"",IF(Tb_Activiteiten[[#This Row],[Projectmedewerker]]=1,Tb_Activiteiten[[#Headers],[Projectmedewerker]],"")))</f>
        <v/>
      </c>
      <c r="AN295" t="str">
        <f>IF(ISNUMBER(FIND("arbeid",Methode_Keuze)),"",IF(ISNUMBER(FIND("arbeid",Methode_Keuze)),"",IF(Tb_Activiteiten[[#This Row],[Landbouwer]]=1,Tb_Activiteiten[[#Headers],[Landbouwer]],"")))</f>
        <v/>
      </c>
      <c r="AO295" t="str">
        <f>IF(ISNUMBER(FIND("arbeid",Methode_Keuze)),"",IF(ISNUMBER(FIND("arbeid",Methode_Keuze)),"",IF(Tb_Activiteiten[[#This Row],[Adviseur]]=1,Tb_Activiteiten[[#Headers],[Adviseur]],"")))</f>
        <v/>
      </c>
      <c r="AP295" t="str">
        <f>IF(ISNUMBER(FIND("arbeid",Methode_Keuze)),"",IF(ISNUMBER(FIND("arbeid",Methode_Keuze)),"",IF(Tb_Activiteiten[[#This Row],[Projectleider/Expert]]=1,Tb_Activiteiten[[#Headers],[Projectleider/Expert]],"")))</f>
        <v/>
      </c>
      <c r="AQ295" t="str">
        <f>IF(ISNUMBER(FIND("arbeid",Methode_Keuze)),"",IF(ISNUMBER(FIND("arbeid",Methode_Keuze)),"",IF(Tb_Activiteiten[[#This Row],[Arbeidskosten]]=1,Tb_Activiteiten[[#Headers],[Arbeidskosten]],"")))</f>
        <v/>
      </c>
      <c r="AR295" t="str">
        <f>IF(ISNUMBER(FIND("arbeid",Methode_Keuze)),"",IF(ISNUMBER(FIND("arbeid",Methode_Keuze)),"",IF(Tb_Activiteiten[[#This Row],[Arbeidskosten op basis van IKS]]=1,Tb_Activiteiten[[#Headers],[Arbeidskosten op basis van IKS]],"")))</f>
        <v/>
      </c>
      <c r="AS295" t="str">
        <f>IF(ISNUMBER(FIND("overige",Methode_Keuze)),"",IF(Tb_Activiteiten[[#This Row],[Kosten derden exclusief btw]]=1,Tb_Activiteiten[[#Headers],[Kosten derden exclusief btw]],""))</f>
        <v/>
      </c>
      <c r="AT295" t="str">
        <f>IF(ISNUMBER(FIND("overige",Methode_Keuze)),"",IF(Tb_Activiteiten[[#This Row],[Niet verrekenbare btw]]=1,Tb_Activiteiten[[#Headers],[Niet verrekenbare btw]],""))</f>
        <v/>
      </c>
      <c r="AU295" t="str">
        <f>IF(ISNUMBER(FIND("overige",Methode_Keuze)),"",IF(Tb_Activiteiten[[#This Row],[Grondkosten]]=1,Tb_Activiteiten[[#Headers],[Grondkosten]],""))</f>
        <v/>
      </c>
      <c r="AV295" t="str">
        <f>IF(ISNUMBER(FIND("overige",Methode_Keuze)),"",IF(Tb_Activiteiten[[#This Row],[Bijdrage in natura (overige)]]=1,Tb_Activiteiten[[#Headers],[Bijdrage in natura (overige)]],""))</f>
        <v/>
      </c>
      <c r="AW295" t="str">
        <f>IF(ISNUMBER(FIND("overige",Methode_Keuze)),"",IF(Tb_Activiteiten[[#This Row],[Bijdrage in natura (vrijwilligers)]]=1,Tb_Activiteiten[[#Headers],[Bijdrage in natura (vrijwilligers)]],""))</f>
        <v/>
      </c>
      <c r="AX295" t="str">
        <f>IF(ISNUMBER(FIND("overige",Methode_Keuze)),"",IF(Tb_Activiteiten[[#This Row],[Afschrijvingskosten]]=1,Tb_Activiteiten[[#Headers],[Afschrijvingskosten]],""))</f>
        <v/>
      </c>
      <c r="AY295" t="str">
        <f>IF(ISNUMBER(FIND("overige",Methode_Keuze)),"",IF(Tb_Activiteiten[[#This Row],[Vergoeding]]=1,Tb_Activiteiten[[#Headers],[Vergoeding]],""))</f>
        <v/>
      </c>
      <c r="AZ295" t="str">
        <f>IF(ISNUMBER(FIND("arbeid",Methode_Keuze)),"",IF(Tb_Activiteiten[[#This Row],[Arbeidskosten - vast tarief (excl eigen arbeid)]]=1,Tb_Activiteiten[[#Headers],[Arbeidskosten - vast tarief (excl eigen arbeid)]],""))</f>
        <v/>
      </c>
      <c r="BA295" t="str">
        <f>IF(ISNUMBER(FIND("overige",Methode_Keuze)),"",IF(Tb_Activiteiten[[#This Row],[Overige kosten]]=1,Tb_Activiteiten[[#Headers],[Overige kosten]],""))</f>
        <v/>
      </c>
    </row>
    <row r="296" spans="1:53" x14ac:dyDescent="0.25">
      <c r="A296" s="231"/>
      <c r="F296" s="64"/>
      <c r="G296" s="64"/>
      <c r="H296" s="275"/>
      <c r="I296" s="275"/>
      <c r="J296" s="275"/>
      <c r="K296" s="275"/>
      <c r="O296" s="56"/>
      <c r="Q296" t="str">
        <f>IFERROR(IF(VLOOKUP(Tb_Activiteiten[[#This Row],[Openstelling]],Tb_Openstelling[],2,0)=1,1,""),"")</f>
        <v/>
      </c>
      <c r="AK296" t="str">
        <f>IF(ISNUMBER(FIND("arbeid",Methode_Keuze)),"",IF(ISNUMBER(FIND("arbeid",Methode_Keuze)),"",IF(Tb_Activiteiten[[#This Row],[Loonkosten]]=1,Tb_Activiteiten[[#Headers],[Loonkosten]],"")))</f>
        <v/>
      </c>
      <c r="AL296" t="str">
        <f>IF(ISNUMBER(FIND("arbeid",Methode_Keuze)),"",IF(ISNUMBER(FIND("arbeid",Methode_Keuze)),"",IF(Tb_Activiteiten[[#This Row],[Eigen arbeid]]=1,Tb_Activiteiten[[#Headers],[Eigen arbeid]],"")))</f>
        <v/>
      </c>
      <c r="AM296" t="str">
        <f>IF(ISNUMBER(FIND("arbeid",Methode_Keuze)),"",IF(ISNUMBER(FIND("arbeid",Methode_Keuze)),"",IF(Tb_Activiteiten[[#This Row],[Projectmedewerker]]=1,Tb_Activiteiten[[#Headers],[Projectmedewerker]],"")))</f>
        <v/>
      </c>
      <c r="AN296" t="str">
        <f>IF(ISNUMBER(FIND("arbeid",Methode_Keuze)),"",IF(ISNUMBER(FIND("arbeid",Methode_Keuze)),"",IF(Tb_Activiteiten[[#This Row],[Landbouwer]]=1,Tb_Activiteiten[[#Headers],[Landbouwer]],"")))</f>
        <v/>
      </c>
      <c r="AO296" t="str">
        <f>IF(ISNUMBER(FIND("arbeid",Methode_Keuze)),"",IF(ISNUMBER(FIND("arbeid",Methode_Keuze)),"",IF(Tb_Activiteiten[[#This Row],[Adviseur]]=1,Tb_Activiteiten[[#Headers],[Adviseur]],"")))</f>
        <v/>
      </c>
      <c r="AP296" t="str">
        <f>IF(ISNUMBER(FIND("arbeid",Methode_Keuze)),"",IF(ISNUMBER(FIND("arbeid",Methode_Keuze)),"",IF(Tb_Activiteiten[[#This Row],[Projectleider/Expert]]=1,Tb_Activiteiten[[#Headers],[Projectleider/Expert]],"")))</f>
        <v/>
      </c>
      <c r="AQ296" t="str">
        <f>IF(ISNUMBER(FIND("arbeid",Methode_Keuze)),"",IF(ISNUMBER(FIND("arbeid",Methode_Keuze)),"",IF(Tb_Activiteiten[[#This Row],[Arbeidskosten]]=1,Tb_Activiteiten[[#Headers],[Arbeidskosten]],"")))</f>
        <v/>
      </c>
      <c r="AR296" t="str">
        <f>IF(ISNUMBER(FIND("arbeid",Methode_Keuze)),"",IF(ISNUMBER(FIND("arbeid",Methode_Keuze)),"",IF(Tb_Activiteiten[[#This Row],[Arbeidskosten op basis van IKS]]=1,Tb_Activiteiten[[#Headers],[Arbeidskosten op basis van IKS]],"")))</f>
        <v/>
      </c>
      <c r="AS296" t="str">
        <f>IF(ISNUMBER(FIND("overige",Methode_Keuze)),"",IF(Tb_Activiteiten[[#This Row],[Kosten derden exclusief btw]]=1,Tb_Activiteiten[[#Headers],[Kosten derden exclusief btw]],""))</f>
        <v/>
      </c>
      <c r="AT296" t="str">
        <f>IF(ISNUMBER(FIND("overige",Methode_Keuze)),"",IF(Tb_Activiteiten[[#This Row],[Niet verrekenbare btw]]=1,Tb_Activiteiten[[#Headers],[Niet verrekenbare btw]],""))</f>
        <v/>
      </c>
      <c r="AU296" t="str">
        <f>IF(ISNUMBER(FIND("overige",Methode_Keuze)),"",IF(Tb_Activiteiten[[#This Row],[Grondkosten]]=1,Tb_Activiteiten[[#Headers],[Grondkosten]],""))</f>
        <v/>
      </c>
      <c r="AV296" t="str">
        <f>IF(ISNUMBER(FIND("overige",Methode_Keuze)),"",IF(Tb_Activiteiten[[#This Row],[Bijdrage in natura (overige)]]=1,Tb_Activiteiten[[#Headers],[Bijdrage in natura (overige)]],""))</f>
        <v/>
      </c>
      <c r="AW296" t="str">
        <f>IF(ISNUMBER(FIND("overige",Methode_Keuze)),"",IF(Tb_Activiteiten[[#This Row],[Bijdrage in natura (vrijwilligers)]]=1,Tb_Activiteiten[[#Headers],[Bijdrage in natura (vrijwilligers)]],""))</f>
        <v/>
      </c>
      <c r="AX296" t="str">
        <f>IF(ISNUMBER(FIND("overige",Methode_Keuze)),"",IF(Tb_Activiteiten[[#This Row],[Afschrijvingskosten]]=1,Tb_Activiteiten[[#Headers],[Afschrijvingskosten]],""))</f>
        <v/>
      </c>
      <c r="AY296" t="str">
        <f>IF(ISNUMBER(FIND("overige",Methode_Keuze)),"",IF(Tb_Activiteiten[[#This Row],[Vergoeding]]=1,Tb_Activiteiten[[#Headers],[Vergoeding]],""))</f>
        <v/>
      </c>
      <c r="AZ296" t="str">
        <f>IF(ISNUMBER(FIND("arbeid",Methode_Keuze)),"",IF(Tb_Activiteiten[[#This Row],[Arbeidskosten - vast tarief (excl eigen arbeid)]]=1,Tb_Activiteiten[[#Headers],[Arbeidskosten - vast tarief (excl eigen arbeid)]],""))</f>
        <v/>
      </c>
      <c r="BA296" t="str">
        <f>IF(ISNUMBER(FIND("overige",Methode_Keuze)),"",IF(Tb_Activiteiten[[#This Row],[Overige kosten]]=1,Tb_Activiteiten[[#Headers],[Overige kosten]],""))</f>
        <v/>
      </c>
    </row>
    <row r="297" spans="1:53" x14ac:dyDescent="0.25">
      <c r="A297" s="231"/>
      <c r="F297" s="64"/>
      <c r="G297" s="64"/>
      <c r="H297" s="275"/>
      <c r="I297" s="275"/>
      <c r="J297" s="275"/>
      <c r="K297" s="275"/>
      <c r="O297" s="56"/>
      <c r="Q297" t="str">
        <f>IFERROR(IF(VLOOKUP(Tb_Activiteiten[[#This Row],[Openstelling]],Tb_Openstelling[],2,0)=1,1,""),"")</f>
        <v/>
      </c>
      <c r="AK297" t="str">
        <f>IF(ISNUMBER(FIND("arbeid",Methode_Keuze)),"",IF(ISNUMBER(FIND("arbeid",Methode_Keuze)),"",IF(Tb_Activiteiten[[#This Row],[Loonkosten]]=1,Tb_Activiteiten[[#Headers],[Loonkosten]],"")))</f>
        <v/>
      </c>
      <c r="AL297" t="str">
        <f>IF(ISNUMBER(FIND("arbeid",Methode_Keuze)),"",IF(ISNUMBER(FIND("arbeid",Methode_Keuze)),"",IF(Tb_Activiteiten[[#This Row],[Eigen arbeid]]=1,Tb_Activiteiten[[#Headers],[Eigen arbeid]],"")))</f>
        <v/>
      </c>
      <c r="AM297" t="str">
        <f>IF(ISNUMBER(FIND("arbeid",Methode_Keuze)),"",IF(ISNUMBER(FIND("arbeid",Methode_Keuze)),"",IF(Tb_Activiteiten[[#This Row],[Projectmedewerker]]=1,Tb_Activiteiten[[#Headers],[Projectmedewerker]],"")))</f>
        <v/>
      </c>
      <c r="AN297" t="str">
        <f>IF(ISNUMBER(FIND("arbeid",Methode_Keuze)),"",IF(ISNUMBER(FIND("arbeid",Methode_Keuze)),"",IF(Tb_Activiteiten[[#This Row],[Landbouwer]]=1,Tb_Activiteiten[[#Headers],[Landbouwer]],"")))</f>
        <v/>
      </c>
      <c r="AO297" t="str">
        <f>IF(ISNUMBER(FIND("arbeid",Methode_Keuze)),"",IF(ISNUMBER(FIND("arbeid",Methode_Keuze)),"",IF(Tb_Activiteiten[[#This Row],[Adviseur]]=1,Tb_Activiteiten[[#Headers],[Adviseur]],"")))</f>
        <v/>
      </c>
      <c r="AP297" t="str">
        <f>IF(ISNUMBER(FIND("arbeid",Methode_Keuze)),"",IF(ISNUMBER(FIND("arbeid",Methode_Keuze)),"",IF(Tb_Activiteiten[[#This Row],[Projectleider/Expert]]=1,Tb_Activiteiten[[#Headers],[Projectleider/Expert]],"")))</f>
        <v/>
      </c>
      <c r="AQ297" t="str">
        <f>IF(ISNUMBER(FIND("arbeid",Methode_Keuze)),"",IF(ISNUMBER(FIND("arbeid",Methode_Keuze)),"",IF(Tb_Activiteiten[[#This Row],[Arbeidskosten]]=1,Tb_Activiteiten[[#Headers],[Arbeidskosten]],"")))</f>
        <v/>
      </c>
      <c r="AR297" t="str">
        <f>IF(ISNUMBER(FIND("arbeid",Methode_Keuze)),"",IF(ISNUMBER(FIND("arbeid",Methode_Keuze)),"",IF(Tb_Activiteiten[[#This Row],[Arbeidskosten op basis van IKS]]=1,Tb_Activiteiten[[#Headers],[Arbeidskosten op basis van IKS]],"")))</f>
        <v/>
      </c>
      <c r="AS297" t="str">
        <f>IF(ISNUMBER(FIND("overige",Methode_Keuze)),"",IF(Tb_Activiteiten[[#This Row],[Kosten derden exclusief btw]]=1,Tb_Activiteiten[[#Headers],[Kosten derden exclusief btw]],""))</f>
        <v/>
      </c>
      <c r="AT297" t="str">
        <f>IF(ISNUMBER(FIND("overige",Methode_Keuze)),"",IF(Tb_Activiteiten[[#This Row],[Niet verrekenbare btw]]=1,Tb_Activiteiten[[#Headers],[Niet verrekenbare btw]],""))</f>
        <v/>
      </c>
      <c r="AU297" t="str">
        <f>IF(ISNUMBER(FIND("overige",Methode_Keuze)),"",IF(Tb_Activiteiten[[#This Row],[Grondkosten]]=1,Tb_Activiteiten[[#Headers],[Grondkosten]],""))</f>
        <v/>
      </c>
      <c r="AV297" t="str">
        <f>IF(ISNUMBER(FIND("overige",Methode_Keuze)),"",IF(Tb_Activiteiten[[#This Row],[Bijdrage in natura (overige)]]=1,Tb_Activiteiten[[#Headers],[Bijdrage in natura (overige)]],""))</f>
        <v/>
      </c>
      <c r="AW297" t="str">
        <f>IF(ISNUMBER(FIND("overige",Methode_Keuze)),"",IF(Tb_Activiteiten[[#This Row],[Bijdrage in natura (vrijwilligers)]]=1,Tb_Activiteiten[[#Headers],[Bijdrage in natura (vrijwilligers)]],""))</f>
        <v/>
      </c>
      <c r="AX297" t="str">
        <f>IF(ISNUMBER(FIND("overige",Methode_Keuze)),"",IF(Tb_Activiteiten[[#This Row],[Afschrijvingskosten]]=1,Tb_Activiteiten[[#Headers],[Afschrijvingskosten]],""))</f>
        <v/>
      </c>
      <c r="AY297" t="str">
        <f>IF(ISNUMBER(FIND("overige",Methode_Keuze)),"",IF(Tb_Activiteiten[[#This Row],[Vergoeding]]=1,Tb_Activiteiten[[#Headers],[Vergoeding]],""))</f>
        <v/>
      </c>
      <c r="AZ297" t="str">
        <f>IF(ISNUMBER(FIND("arbeid",Methode_Keuze)),"",IF(Tb_Activiteiten[[#This Row],[Arbeidskosten - vast tarief (excl eigen arbeid)]]=1,Tb_Activiteiten[[#Headers],[Arbeidskosten - vast tarief (excl eigen arbeid)]],""))</f>
        <v/>
      </c>
      <c r="BA297" t="str">
        <f>IF(ISNUMBER(FIND("overige",Methode_Keuze)),"",IF(Tb_Activiteiten[[#This Row],[Overige kosten]]=1,Tb_Activiteiten[[#Headers],[Overige kosten]],""))</f>
        <v/>
      </c>
    </row>
    <row r="298" spans="1:53" x14ac:dyDescent="0.25">
      <c r="A298" s="231"/>
      <c r="F298" s="64"/>
      <c r="G298" s="64"/>
      <c r="H298" s="275"/>
      <c r="I298" s="275"/>
      <c r="J298" s="275"/>
      <c r="K298" s="275"/>
      <c r="O298" s="56"/>
      <c r="Q298" t="str">
        <f>IFERROR(IF(VLOOKUP(Tb_Activiteiten[[#This Row],[Openstelling]],Tb_Openstelling[],2,0)=1,1,""),"")</f>
        <v/>
      </c>
      <c r="AK298" t="str">
        <f>IF(ISNUMBER(FIND("arbeid",Methode_Keuze)),"",IF(ISNUMBER(FIND("arbeid",Methode_Keuze)),"",IF(Tb_Activiteiten[[#This Row],[Loonkosten]]=1,Tb_Activiteiten[[#Headers],[Loonkosten]],"")))</f>
        <v/>
      </c>
      <c r="AL298" t="str">
        <f>IF(ISNUMBER(FIND("arbeid",Methode_Keuze)),"",IF(ISNUMBER(FIND("arbeid",Methode_Keuze)),"",IF(Tb_Activiteiten[[#This Row],[Eigen arbeid]]=1,Tb_Activiteiten[[#Headers],[Eigen arbeid]],"")))</f>
        <v/>
      </c>
      <c r="AM298" t="str">
        <f>IF(ISNUMBER(FIND("arbeid",Methode_Keuze)),"",IF(ISNUMBER(FIND("arbeid",Methode_Keuze)),"",IF(Tb_Activiteiten[[#This Row],[Projectmedewerker]]=1,Tb_Activiteiten[[#Headers],[Projectmedewerker]],"")))</f>
        <v/>
      </c>
      <c r="AN298" t="str">
        <f>IF(ISNUMBER(FIND("arbeid",Methode_Keuze)),"",IF(ISNUMBER(FIND("arbeid",Methode_Keuze)),"",IF(Tb_Activiteiten[[#This Row],[Landbouwer]]=1,Tb_Activiteiten[[#Headers],[Landbouwer]],"")))</f>
        <v/>
      </c>
      <c r="AO298" t="str">
        <f>IF(ISNUMBER(FIND("arbeid",Methode_Keuze)),"",IF(ISNUMBER(FIND("arbeid",Methode_Keuze)),"",IF(Tb_Activiteiten[[#This Row],[Adviseur]]=1,Tb_Activiteiten[[#Headers],[Adviseur]],"")))</f>
        <v/>
      </c>
      <c r="AP298" t="str">
        <f>IF(ISNUMBER(FIND("arbeid",Methode_Keuze)),"",IF(ISNUMBER(FIND("arbeid",Methode_Keuze)),"",IF(Tb_Activiteiten[[#This Row],[Projectleider/Expert]]=1,Tb_Activiteiten[[#Headers],[Projectleider/Expert]],"")))</f>
        <v/>
      </c>
      <c r="AQ298" t="str">
        <f>IF(ISNUMBER(FIND("arbeid",Methode_Keuze)),"",IF(ISNUMBER(FIND("arbeid",Methode_Keuze)),"",IF(Tb_Activiteiten[[#This Row],[Arbeidskosten]]=1,Tb_Activiteiten[[#Headers],[Arbeidskosten]],"")))</f>
        <v/>
      </c>
      <c r="AR298" t="str">
        <f>IF(ISNUMBER(FIND("arbeid",Methode_Keuze)),"",IF(ISNUMBER(FIND("arbeid",Methode_Keuze)),"",IF(Tb_Activiteiten[[#This Row],[Arbeidskosten op basis van IKS]]=1,Tb_Activiteiten[[#Headers],[Arbeidskosten op basis van IKS]],"")))</f>
        <v/>
      </c>
      <c r="AS298" t="str">
        <f>IF(ISNUMBER(FIND("overige",Methode_Keuze)),"",IF(Tb_Activiteiten[[#This Row],[Kosten derden exclusief btw]]=1,Tb_Activiteiten[[#Headers],[Kosten derden exclusief btw]],""))</f>
        <v/>
      </c>
      <c r="AT298" t="str">
        <f>IF(ISNUMBER(FIND("overige",Methode_Keuze)),"",IF(Tb_Activiteiten[[#This Row],[Niet verrekenbare btw]]=1,Tb_Activiteiten[[#Headers],[Niet verrekenbare btw]],""))</f>
        <v/>
      </c>
      <c r="AU298" t="str">
        <f>IF(ISNUMBER(FIND("overige",Methode_Keuze)),"",IF(Tb_Activiteiten[[#This Row],[Grondkosten]]=1,Tb_Activiteiten[[#Headers],[Grondkosten]],""))</f>
        <v/>
      </c>
      <c r="AV298" t="str">
        <f>IF(ISNUMBER(FIND("overige",Methode_Keuze)),"",IF(Tb_Activiteiten[[#This Row],[Bijdrage in natura (overige)]]=1,Tb_Activiteiten[[#Headers],[Bijdrage in natura (overige)]],""))</f>
        <v/>
      </c>
      <c r="AW298" t="str">
        <f>IF(ISNUMBER(FIND("overige",Methode_Keuze)),"",IF(Tb_Activiteiten[[#This Row],[Bijdrage in natura (vrijwilligers)]]=1,Tb_Activiteiten[[#Headers],[Bijdrage in natura (vrijwilligers)]],""))</f>
        <v/>
      </c>
      <c r="AX298" t="str">
        <f>IF(ISNUMBER(FIND("overige",Methode_Keuze)),"",IF(Tb_Activiteiten[[#This Row],[Afschrijvingskosten]]=1,Tb_Activiteiten[[#Headers],[Afschrijvingskosten]],""))</f>
        <v/>
      </c>
      <c r="AY298" t="str">
        <f>IF(ISNUMBER(FIND("overige",Methode_Keuze)),"",IF(Tb_Activiteiten[[#This Row],[Vergoeding]]=1,Tb_Activiteiten[[#Headers],[Vergoeding]],""))</f>
        <v/>
      </c>
      <c r="AZ298" t="str">
        <f>IF(ISNUMBER(FIND("arbeid",Methode_Keuze)),"",IF(Tb_Activiteiten[[#This Row],[Arbeidskosten - vast tarief (excl eigen arbeid)]]=1,Tb_Activiteiten[[#Headers],[Arbeidskosten - vast tarief (excl eigen arbeid)]],""))</f>
        <v/>
      </c>
      <c r="BA298" t="str">
        <f>IF(ISNUMBER(FIND("overige",Methode_Keuze)),"",IF(Tb_Activiteiten[[#This Row],[Overige kosten]]=1,Tb_Activiteiten[[#Headers],[Overige kosten]],""))</f>
        <v/>
      </c>
    </row>
    <row r="299" spans="1:53" x14ac:dyDescent="0.25">
      <c r="A299" s="231"/>
      <c r="F299" s="64"/>
      <c r="G299" s="64"/>
      <c r="H299" s="275"/>
      <c r="I299" s="275"/>
      <c r="J299" s="275"/>
      <c r="K299" s="275"/>
      <c r="O299" s="56"/>
      <c r="Q299" t="str">
        <f>IFERROR(IF(VLOOKUP(Tb_Activiteiten[[#This Row],[Openstelling]],Tb_Openstelling[],2,0)=1,1,""),"")</f>
        <v/>
      </c>
      <c r="AK299" t="str">
        <f>IF(ISNUMBER(FIND("arbeid",Methode_Keuze)),"",IF(ISNUMBER(FIND("arbeid",Methode_Keuze)),"",IF(Tb_Activiteiten[[#This Row],[Loonkosten]]=1,Tb_Activiteiten[[#Headers],[Loonkosten]],"")))</f>
        <v/>
      </c>
      <c r="AL299" t="str">
        <f>IF(ISNUMBER(FIND("arbeid",Methode_Keuze)),"",IF(ISNUMBER(FIND("arbeid",Methode_Keuze)),"",IF(Tb_Activiteiten[[#This Row],[Eigen arbeid]]=1,Tb_Activiteiten[[#Headers],[Eigen arbeid]],"")))</f>
        <v/>
      </c>
      <c r="AM299" t="str">
        <f>IF(ISNUMBER(FIND("arbeid",Methode_Keuze)),"",IF(ISNUMBER(FIND("arbeid",Methode_Keuze)),"",IF(Tb_Activiteiten[[#This Row],[Projectmedewerker]]=1,Tb_Activiteiten[[#Headers],[Projectmedewerker]],"")))</f>
        <v/>
      </c>
      <c r="AN299" t="str">
        <f>IF(ISNUMBER(FIND("arbeid",Methode_Keuze)),"",IF(ISNUMBER(FIND("arbeid",Methode_Keuze)),"",IF(Tb_Activiteiten[[#This Row],[Landbouwer]]=1,Tb_Activiteiten[[#Headers],[Landbouwer]],"")))</f>
        <v/>
      </c>
      <c r="AO299" t="str">
        <f>IF(ISNUMBER(FIND("arbeid",Methode_Keuze)),"",IF(ISNUMBER(FIND("arbeid",Methode_Keuze)),"",IF(Tb_Activiteiten[[#This Row],[Adviseur]]=1,Tb_Activiteiten[[#Headers],[Adviseur]],"")))</f>
        <v/>
      </c>
      <c r="AP299" t="str">
        <f>IF(ISNUMBER(FIND("arbeid",Methode_Keuze)),"",IF(ISNUMBER(FIND("arbeid",Methode_Keuze)),"",IF(Tb_Activiteiten[[#This Row],[Projectleider/Expert]]=1,Tb_Activiteiten[[#Headers],[Projectleider/Expert]],"")))</f>
        <v/>
      </c>
      <c r="AQ299" t="str">
        <f>IF(ISNUMBER(FIND("arbeid",Methode_Keuze)),"",IF(ISNUMBER(FIND("arbeid",Methode_Keuze)),"",IF(Tb_Activiteiten[[#This Row],[Arbeidskosten]]=1,Tb_Activiteiten[[#Headers],[Arbeidskosten]],"")))</f>
        <v/>
      </c>
      <c r="AR299" t="str">
        <f>IF(ISNUMBER(FIND("arbeid",Methode_Keuze)),"",IF(ISNUMBER(FIND("arbeid",Methode_Keuze)),"",IF(Tb_Activiteiten[[#This Row],[Arbeidskosten op basis van IKS]]=1,Tb_Activiteiten[[#Headers],[Arbeidskosten op basis van IKS]],"")))</f>
        <v/>
      </c>
      <c r="AS299" t="str">
        <f>IF(ISNUMBER(FIND("overige",Methode_Keuze)),"",IF(Tb_Activiteiten[[#This Row],[Kosten derden exclusief btw]]=1,Tb_Activiteiten[[#Headers],[Kosten derden exclusief btw]],""))</f>
        <v/>
      </c>
      <c r="AT299" t="str">
        <f>IF(ISNUMBER(FIND("overige",Methode_Keuze)),"",IF(Tb_Activiteiten[[#This Row],[Niet verrekenbare btw]]=1,Tb_Activiteiten[[#Headers],[Niet verrekenbare btw]],""))</f>
        <v/>
      </c>
      <c r="AU299" t="str">
        <f>IF(ISNUMBER(FIND("overige",Methode_Keuze)),"",IF(Tb_Activiteiten[[#This Row],[Grondkosten]]=1,Tb_Activiteiten[[#Headers],[Grondkosten]],""))</f>
        <v/>
      </c>
      <c r="AV299" t="str">
        <f>IF(ISNUMBER(FIND("overige",Methode_Keuze)),"",IF(Tb_Activiteiten[[#This Row],[Bijdrage in natura (overige)]]=1,Tb_Activiteiten[[#Headers],[Bijdrage in natura (overige)]],""))</f>
        <v/>
      </c>
      <c r="AW299" t="str">
        <f>IF(ISNUMBER(FIND("overige",Methode_Keuze)),"",IF(Tb_Activiteiten[[#This Row],[Bijdrage in natura (vrijwilligers)]]=1,Tb_Activiteiten[[#Headers],[Bijdrage in natura (vrijwilligers)]],""))</f>
        <v/>
      </c>
      <c r="AX299" t="str">
        <f>IF(ISNUMBER(FIND("overige",Methode_Keuze)),"",IF(Tb_Activiteiten[[#This Row],[Afschrijvingskosten]]=1,Tb_Activiteiten[[#Headers],[Afschrijvingskosten]],""))</f>
        <v/>
      </c>
      <c r="AY299" t="str">
        <f>IF(ISNUMBER(FIND("overige",Methode_Keuze)),"",IF(Tb_Activiteiten[[#This Row],[Vergoeding]]=1,Tb_Activiteiten[[#Headers],[Vergoeding]],""))</f>
        <v/>
      </c>
      <c r="AZ299" t="str">
        <f>IF(ISNUMBER(FIND("arbeid",Methode_Keuze)),"",IF(Tb_Activiteiten[[#This Row],[Arbeidskosten - vast tarief (excl eigen arbeid)]]=1,Tb_Activiteiten[[#Headers],[Arbeidskosten - vast tarief (excl eigen arbeid)]],""))</f>
        <v/>
      </c>
      <c r="BA299" t="str">
        <f>IF(ISNUMBER(FIND("overige",Methode_Keuze)),"",IF(Tb_Activiteiten[[#This Row],[Overige kosten]]=1,Tb_Activiteiten[[#Headers],[Overige kosten]],""))</f>
        <v/>
      </c>
    </row>
    <row r="300" spans="1:53" x14ac:dyDescent="0.25">
      <c r="A300" s="231"/>
      <c r="F300" s="64"/>
      <c r="G300" s="64"/>
      <c r="H300" s="275"/>
      <c r="I300" s="275"/>
      <c r="J300" s="275"/>
      <c r="K300" s="275"/>
      <c r="O300" s="56"/>
      <c r="Q300" t="str">
        <f>IFERROR(IF(VLOOKUP(Tb_Activiteiten[[#This Row],[Openstelling]],Tb_Openstelling[],2,0)=1,1,""),"")</f>
        <v/>
      </c>
      <c r="AK300" t="str">
        <f>IF(ISNUMBER(FIND("arbeid",Methode_Keuze)),"",IF(ISNUMBER(FIND("arbeid",Methode_Keuze)),"",IF(Tb_Activiteiten[[#This Row],[Loonkosten]]=1,Tb_Activiteiten[[#Headers],[Loonkosten]],"")))</f>
        <v/>
      </c>
      <c r="AL300" t="str">
        <f>IF(ISNUMBER(FIND("arbeid",Methode_Keuze)),"",IF(ISNUMBER(FIND("arbeid",Methode_Keuze)),"",IF(Tb_Activiteiten[[#This Row],[Eigen arbeid]]=1,Tb_Activiteiten[[#Headers],[Eigen arbeid]],"")))</f>
        <v/>
      </c>
      <c r="AM300" t="str">
        <f>IF(ISNUMBER(FIND("arbeid",Methode_Keuze)),"",IF(ISNUMBER(FIND("arbeid",Methode_Keuze)),"",IF(Tb_Activiteiten[[#This Row],[Projectmedewerker]]=1,Tb_Activiteiten[[#Headers],[Projectmedewerker]],"")))</f>
        <v/>
      </c>
      <c r="AN300" t="str">
        <f>IF(ISNUMBER(FIND("arbeid",Methode_Keuze)),"",IF(ISNUMBER(FIND("arbeid",Methode_Keuze)),"",IF(Tb_Activiteiten[[#This Row],[Landbouwer]]=1,Tb_Activiteiten[[#Headers],[Landbouwer]],"")))</f>
        <v/>
      </c>
      <c r="AO300" t="str">
        <f>IF(ISNUMBER(FIND("arbeid",Methode_Keuze)),"",IF(ISNUMBER(FIND("arbeid",Methode_Keuze)),"",IF(Tb_Activiteiten[[#This Row],[Adviseur]]=1,Tb_Activiteiten[[#Headers],[Adviseur]],"")))</f>
        <v/>
      </c>
      <c r="AP300" t="str">
        <f>IF(ISNUMBER(FIND("arbeid",Methode_Keuze)),"",IF(ISNUMBER(FIND("arbeid",Methode_Keuze)),"",IF(Tb_Activiteiten[[#This Row],[Projectleider/Expert]]=1,Tb_Activiteiten[[#Headers],[Projectleider/Expert]],"")))</f>
        <v/>
      </c>
      <c r="AQ300" t="str">
        <f>IF(ISNUMBER(FIND("arbeid",Methode_Keuze)),"",IF(ISNUMBER(FIND("arbeid",Methode_Keuze)),"",IF(Tb_Activiteiten[[#This Row],[Arbeidskosten]]=1,Tb_Activiteiten[[#Headers],[Arbeidskosten]],"")))</f>
        <v/>
      </c>
      <c r="AR300" t="str">
        <f>IF(ISNUMBER(FIND("arbeid",Methode_Keuze)),"",IF(ISNUMBER(FIND("arbeid",Methode_Keuze)),"",IF(Tb_Activiteiten[[#This Row],[Arbeidskosten op basis van IKS]]=1,Tb_Activiteiten[[#Headers],[Arbeidskosten op basis van IKS]],"")))</f>
        <v/>
      </c>
      <c r="AS300" t="str">
        <f>IF(ISNUMBER(FIND("overige",Methode_Keuze)),"",IF(Tb_Activiteiten[[#This Row],[Kosten derden exclusief btw]]=1,Tb_Activiteiten[[#Headers],[Kosten derden exclusief btw]],""))</f>
        <v/>
      </c>
      <c r="AT300" t="str">
        <f>IF(ISNUMBER(FIND("overige",Methode_Keuze)),"",IF(Tb_Activiteiten[[#This Row],[Niet verrekenbare btw]]=1,Tb_Activiteiten[[#Headers],[Niet verrekenbare btw]],""))</f>
        <v/>
      </c>
      <c r="AU300" t="str">
        <f>IF(ISNUMBER(FIND("overige",Methode_Keuze)),"",IF(Tb_Activiteiten[[#This Row],[Grondkosten]]=1,Tb_Activiteiten[[#Headers],[Grondkosten]],""))</f>
        <v/>
      </c>
      <c r="AV300" t="str">
        <f>IF(ISNUMBER(FIND("overige",Methode_Keuze)),"",IF(Tb_Activiteiten[[#This Row],[Bijdrage in natura (overige)]]=1,Tb_Activiteiten[[#Headers],[Bijdrage in natura (overige)]],""))</f>
        <v/>
      </c>
      <c r="AW300" t="str">
        <f>IF(ISNUMBER(FIND("overige",Methode_Keuze)),"",IF(Tb_Activiteiten[[#This Row],[Bijdrage in natura (vrijwilligers)]]=1,Tb_Activiteiten[[#Headers],[Bijdrage in natura (vrijwilligers)]],""))</f>
        <v/>
      </c>
      <c r="AX300" t="str">
        <f>IF(ISNUMBER(FIND("overige",Methode_Keuze)),"",IF(Tb_Activiteiten[[#This Row],[Afschrijvingskosten]]=1,Tb_Activiteiten[[#Headers],[Afschrijvingskosten]],""))</f>
        <v/>
      </c>
      <c r="AY300" t="str">
        <f>IF(ISNUMBER(FIND("overige",Methode_Keuze)),"",IF(Tb_Activiteiten[[#This Row],[Vergoeding]]=1,Tb_Activiteiten[[#Headers],[Vergoeding]],""))</f>
        <v/>
      </c>
      <c r="AZ300" t="str">
        <f>IF(ISNUMBER(FIND("arbeid",Methode_Keuze)),"",IF(Tb_Activiteiten[[#This Row],[Arbeidskosten - vast tarief (excl eigen arbeid)]]=1,Tb_Activiteiten[[#Headers],[Arbeidskosten - vast tarief (excl eigen arbeid)]],""))</f>
        <v/>
      </c>
      <c r="BA300" t="str">
        <f>IF(ISNUMBER(FIND("overige",Methode_Keuze)),"",IF(Tb_Activiteiten[[#This Row],[Overige kosten]]=1,Tb_Activiteiten[[#Headers],[Overige kosten]],""))</f>
        <v/>
      </c>
    </row>
    <row r="301" spans="1:53" x14ac:dyDescent="0.25">
      <c r="A301" s="231"/>
      <c r="F301" s="64"/>
      <c r="G301" s="64"/>
      <c r="H301" s="275"/>
      <c r="I301" s="275"/>
      <c r="J301" s="275"/>
      <c r="K301" s="275"/>
      <c r="O301" s="56"/>
      <c r="Q301" t="str">
        <f>IFERROR(IF(VLOOKUP(Tb_Activiteiten[[#This Row],[Openstelling]],Tb_Openstelling[],2,0)=1,1,""),"")</f>
        <v/>
      </c>
      <c r="AK301" t="str">
        <f>IF(ISNUMBER(FIND("arbeid",Methode_Keuze)),"",IF(ISNUMBER(FIND("arbeid",Methode_Keuze)),"",IF(Tb_Activiteiten[[#This Row],[Loonkosten]]=1,Tb_Activiteiten[[#Headers],[Loonkosten]],"")))</f>
        <v/>
      </c>
      <c r="AL301" t="str">
        <f>IF(ISNUMBER(FIND("arbeid",Methode_Keuze)),"",IF(ISNUMBER(FIND("arbeid",Methode_Keuze)),"",IF(Tb_Activiteiten[[#This Row],[Eigen arbeid]]=1,Tb_Activiteiten[[#Headers],[Eigen arbeid]],"")))</f>
        <v/>
      </c>
      <c r="AM301" t="str">
        <f>IF(ISNUMBER(FIND("arbeid",Methode_Keuze)),"",IF(ISNUMBER(FIND("arbeid",Methode_Keuze)),"",IF(Tb_Activiteiten[[#This Row],[Projectmedewerker]]=1,Tb_Activiteiten[[#Headers],[Projectmedewerker]],"")))</f>
        <v/>
      </c>
      <c r="AN301" t="str">
        <f>IF(ISNUMBER(FIND("arbeid",Methode_Keuze)),"",IF(ISNUMBER(FIND("arbeid",Methode_Keuze)),"",IF(Tb_Activiteiten[[#This Row],[Landbouwer]]=1,Tb_Activiteiten[[#Headers],[Landbouwer]],"")))</f>
        <v/>
      </c>
      <c r="AO301" t="str">
        <f>IF(ISNUMBER(FIND("arbeid",Methode_Keuze)),"",IF(ISNUMBER(FIND("arbeid",Methode_Keuze)),"",IF(Tb_Activiteiten[[#This Row],[Adviseur]]=1,Tb_Activiteiten[[#Headers],[Adviseur]],"")))</f>
        <v/>
      </c>
      <c r="AP301" t="str">
        <f>IF(ISNUMBER(FIND("arbeid",Methode_Keuze)),"",IF(ISNUMBER(FIND("arbeid",Methode_Keuze)),"",IF(Tb_Activiteiten[[#This Row],[Projectleider/Expert]]=1,Tb_Activiteiten[[#Headers],[Projectleider/Expert]],"")))</f>
        <v/>
      </c>
      <c r="AQ301" t="str">
        <f>IF(ISNUMBER(FIND("arbeid",Methode_Keuze)),"",IF(ISNUMBER(FIND("arbeid",Methode_Keuze)),"",IF(Tb_Activiteiten[[#This Row],[Arbeidskosten]]=1,Tb_Activiteiten[[#Headers],[Arbeidskosten]],"")))</f>
        <v/>
      </c>
      <c r="AR301" t="str">
        <f>IF(ISNUMBER(FIND("arbeid",Methode_Keuze)),"",IF(ISNUMBER(FIND("arbeid",Methode_Keuze)),"",IF(Tb_Activiteiten[[#This Row],[Arbeidskosten op basis van IKS]]=1,Tb_Activiteiten[[#Headers],[Arbeidskosten op basis van IKS]],"")))</f>
        <v/>
      </c>
      <c r="AS301" t="str">
        <f>IF(ISNUMBER(FIND("overige",Methode_Keuze)),"",IF(Tb_Activiteiten[[#This Row],[Kosten derden exclusief btw]]=1,Tb_Activiteiten[[#Headers],[Kosten derden exclusief btw]],""))</f>
        <v/>
      </c>
      <c r="AT301" t="str">
        <f>IF(ISNUMBER(FIND("overige",Methode_Keuze)),"",IF(Tb_Activiteiten[[#This Row],[Niet verrekenbare btw]]=1,Tb_Activiteiten[[#Headers],[Niet verrekenbare btw]],""))</f>
        <v/>
      </c>
      <c r="AU301" t="str">
        <f>IF(ISNUMBER(FIND("overige",Methode_Keuze)),"",IF(Tb_Activiteiten[[#This Row],[Grondkosten]]=1,Tb_Activiteiten[[#Headers],[Grondkosten]],""))</f>
        <v/>
      </c>
      <c r="AV301" t="str">
        <f>IF(ISNUMBER(FIND("overige",Methode_Keuze)),"",IF(Tb_Activiteiten[[#This Row],[Bijdrage in natura (overige)]]=1,Tb_Activiteiten[[#Headers],[Bijdrage in natura (overige)]],""))</f>
        <v/>
      </c>
      <c r="AW301" t="str">
        <f>IF(ISNUMBER(FIND("overige",Methode_Keuze)),"",IF(Tb_Activiteiten[[#This Row],[Bijdrage in natura (vrijwilligers)]]=1,Tb_Activiteiten[[#Headers],[Bijdrage in natura (vrijwilligers)]],""))</f>
        <v/>
      </c>
      <c r="AX301" t="str">
        <f>IF(ISNUMBER(FIND("overige",Methode_Keuze)),"",IF(Tb_Activiteiten[[#This Row],[Afschrijvingskosten]]=1,Tb_Activiteiten[[#Headers],[Afschrijvingskosten]],""))</f>
        <v/>
      </c>
      <c r="AY301" t="str">
        <f>IF(ISNUMBER(FIND("overige",Methode_Keuze)),"",IF(Tb_Activiteiten[[#This Row],[Vergoeding]]=1,Tb_Activiteiten[[#Headers],[Vergoeding]],""))</f>
        <v/>
      </c>
      <c r="AZ301" t="str">
        <f>IF(ISNUMBER(FIND("arbeid",Methode_Keuze)),"",IF(Tb_Activiteiten[[#This Row],[Arbeidskosten - vast tarief (excl eigen arbeid)]]=1,Tb_Activiteiten[[#Headers],[Arbeidskosten - vast tarief (excl eigen arbeid)]],""))</f>
        <v/>
      </c>
      <c r="BA301" t="str">
        <f>IF(ISNUMBER(FIND("overige",Methode_Keuze)),"",IF(Tb_Activiteiten[[#This Row],[Overige kosten]]=1,Tb_Activiteiten[[#Headers],[Overige kosten]],""))</f>
        <v/>
      </c>
    </row>
    <row r="302" spans="1:53" x14ac:dyDescent="0.25">
      <c r="A302" s="231"/>
      <c r="F302" s="64"/>
      <c r="G302" s="64"/>
      <c r="H302" s="275"/>
      <c r="I302" s="275"/>
      <c r="J302" s="275"/>
      <c r="K302" s="275"/>
      <c r="O302" s="56"/>
      <c r="Q302" t="str">
        <f>IFERROR(IF(VLOOKUP(Tb_Activiteiten[[#This Row],[Openstelling]],Tb_Openstelling[],2,0)=1,1,""),"")</f>
        <v/>
      </c>
      <c r="AK302" t="str">
        <f>IF(ISNUMBER(FIND("arbeid",Methode_Keuze)),"",IF(ISNUMBER(FIND("arbeid",Methode_Keuze)),"",IF(Tb_Activiteiten[[#This Row],[Loonkosten]]=1,Tb_Activiteiten[[#Headers],[Loonkosten]],"")))</f>
        <v/>
      </c>
      <c r="AL302" t="str">
        <f>IF(ISNUMBER(FIND("arbeid",Methode_Keuze)),"",IF(ISNUMBER(FIND("arbeid",Methode_Keuze)),"",IF(Tb_Activiteiten[[#This Row],[Eigen arbeid]]=1,Tb_Activiteiten[[#Headers],[Eigen arbeid]],"")))</f>
        <v/>
      </c>
      <c r="AM302" t="str">
        <f>IF(ISNUMBER(FIND("arbeid",Methode_Keuze)),"",IF(ISNUMBER(FIND("arbeid",Methode_Keuze)),"",IF(Tb_Activiteiten[[#This Row],[Projectmedewerker]]=1,Tb_Activiteiten[[#Headers],[Projectmedewerker]],"")))</f>
        <v/>
      </c>
      <c r="AN302" t="str">
        <f>IF(ISNUMBER(FIND("arbeid",Methode_Keuze)),"",IF(ISNUMBER(FIND("arbeid",Methode_Keuze)),"",IF(Tb_Activiteiten[[#This Row],[Landbouwer]]=1,Tb_Activiteiten[[#Headers],[Landbouwer]],"")))</f>
        <v/>
      </c>
      <c r="AO302" t="str">
        <f>IF(ISNUMBER(FIND("arbeid",Methode_Keuze)),"",IF(ISNUMBER(FIND("arbeid",Methode_Keuze)),"",IF(Tb_Activiteiten[[#This Row],[Adviseur]]=1,Tb_Activiteiten[[#Headers],[Adviseur]],"")))</f>
        <v/>
      </c>
      <c r="AP302" t="str">
        <f>IF(ISNUMBER(FIND("arbeid",Methode_Keuze)),"",IF(ISNUMBER(FIND("arbeid",Methode_Keuze)),"",IF(Tb_Activiteiten[[#This Row],[Projectleider/Expert]]=1,Tb_Activiteiten[[#Headers],[Projectleider/Expert]],"")))</f>
        <v/>
      </c>
      <c r="AQ302" t="str">
        <f>IF(ISNUMBER(FIND("arbeid",Methode_Keuze)),"",IF(ISNUMBER(FIND("arbeid",Methode_Keuze)),"",IF(Tb_Activiteiten[[#This Row],[Arbeidskosten]]=1,Tb_Activiteiten[[#Headers],[Arbeidskosten]],"")))</f>
        <v/>
      </c>
      <c r="AR302" t="str">
        <f>IF(ISNUMBER(FIND("arbeid",Methode_Keuze)),"",IF(ISNUMBER(FIND("arbeid",Methode_Keuze)),"",IF(Tb_Activiteiten[[#This Row],[Arbeidskosten op basis van IKS]]=1,Tb_Activiteiten[[#Headers],[Arbeidskosten op basis van IKS]],"")))</f>
        <v/>
      </c>
      <c r="AS302" t="str">
        <f>IF(ISNUMBER(FIND("overige",Methode_Keuze)),"",IF(Tb_Activiteiten[[#This Row],[Kosten derden exclusief btw]]=1,Tb_Activiteiten[[#Headers],[Kosten derden exclusief btw]],""))</f>
        <v/>
      </c>
      <c r="AT302" t="str">
        <f>IF(ISNUMBER(FIND("overige",Methode_Keuze)),"",IF(Tb_Activiteiten[[#This Row],[Niet verrekenbare btw]]=1,Tb_Activiteiten[[#Headers],[Niet verrekenbare btw]],""))</f>
        <v/>
      </c>
      <c r="AU302" t="str">
        <f>IF(ISNUMBER(FIND("overige",Methode_Keuze)),"",IF(Tb_Activiteiten[[#This Row],[Grondkosten]]=1,Tb_Activiteiten[[#Headers],[Grondkosten]],""))</f>
        <v/>
      </c>
      <c r="AV302" t="str">
        <f>IF(ISNUMBER(FIND("overige",Methode_Keuze)),"",IF(Tb_Activiteiten[[#This Row],[Bijdrage in natura (overige)]]=1,Tb_Activiteiten[[#Headers],[Bijdrage in natura (overige)]],""))</f>
        <v/>
      </c>
      <c r="AW302" t="str">
        <f>IF(ISNUMBER(FIND("overige",Methode_Keuze)),"",IF(Tb_Activiteiten[[#This Row],[Bijdrage in natura (vrijwilligers)]]=1,Tb_Activiteiten[[#Headers],[Bijdrage in natura (vrijwilligers)]],""))</f>
        <v/>
      </c>
      <c r="AX302" t="str">
        <f>IF(ISNUMBER(FIND("overige",Methode_Keuze)),"",IF(Tb_Activiteiten[[#This Row],[Afschrijvingskosten]]=1,Tb_Activiteiten[[#Headers],[Afschrijvingskosten]],""))</f>
        <v/>
      </c>
      <c r="AY302" t="str">
        <f>IF(ISNUMBER(FIND("overige",Methode_Keuze)),"",IF(Tb_Activiteiten[[#This Row],[Vergoeding]]=1,Tb_Activiteiten[[#Headers],[Vergoeding]],""))</f>
        <v/>
      </c>
      <c r="AZ302" t="str">
        <f>IF(ISNUMBER(FIND("arbeid",Methode_Keuze)),"",IF(Tb_Activiteiten[[#This Row],[Arbeidskosten - vast tarief (excl eigen arbeid)]]=1,Tb_Activiteiten[[#Headers],[Arbeidskosten - vast tarief (excl eigen arbeid)]],""))</f>
        <v/>
      </c>
      <c r="BA302" t="str">
        <f>IF(ISNUMBER(FIND("overige",Methode_Keuze)),"",IF(Tb_Activiteiten[[#This Row],[Overige kosten]]=1,Tb_Activiteiten[[#Headers],[Overige kosten]],""))</f>
        <v/>
      </c>
    </row>
    <row r="303" spans="1:53" x14ac:dyDescent="0.25">
      <c r="A303" s="231"/>
      <c r="F303" s="64"/>
      <c r="G303" s="64"/>
      <c r="H303" s="275"/>
      <c r="I303" s="275"/>
      <c r="J303" s="275"/>
      <c r="K303" s="275"/>
      <c r="O303" s="56"/>
      <c r="Q303" t="str">
        <f>IFERROR(IF(VLOOKUP(Tb_Activiteiten[[#This Row],[Openstelling]],Tb_Openstelling[],2,0)=1,1,""),"")</f>
        <v/>
      </c>
      <c r="AK303" t="str">
        <f>IF(ISNUMBER(FIND("arbeid",Methode_Keuze)),"",IF(ISNUMBER(FIND("arbeid",Methode_Keuze)),"",IF(Tb_Activiteiten[[#This Row],[Loonkosten]]=1,Tb_Activiteiten[[#Headers],[Loonkosten]],"")))</f>
        <v/>
      </c>
      <c r="AL303" t="str">
        <f>IF(ISNUMBER(FIND("arbeid",Methode_Keuze)),"",IF(ISNUMBER(FIND("arbeid",Methode_Keuze)),"",IF(Tb_Activiteiten[[#This Row],[Eigen arbeid]]=1,Tb_Activiteiten[[#Headers],[Eigen arbeid]],"")))</f>
        <v/>
      </c>
      <c r="AM303" t="str">
        <f>IF(ISNUMBER(FIND("arbeid",Methode_Keuze)),"",IF(ISNUMBER(FIND("arbeid",Methode_Keuze)),"",IF(Tb_Activiteiten[[#This Row],[Projectmedewerker]]=1,Tb_Activiteiten[[#Headers],[Projectmedewerker]],"")))</f>
        <v/>
      </c>
      <c r="AN303" t="str">
        <f>IF(ISNUMBER(FIND("arbeid",Methode_Keuze)),"",IF(ISNUMBER(FIND("arbeid",Methode_Keuze)),"",IF(Tb_Activiteiten[[#This Row],[Landbouwer]]=1,Tb_Activiteiten[[#Headers],[Landbouwer]],"")))</f>
        <v/>
      </c>
      <c r="AO303" t="str">
        <f>IF(ISNUMBER(FIND("arbeid",Methode_Keuze)),"",IF(ISNUMBER(FIND("arbeid",Methode_Keuze)),"",IF(Tb_Activiteiten[[#This Row],[Adviseur]]=1,Tb_Activiteiten[[#Headers],[Adviseur]],"")))</f>
        <v/>
      </c>
      <c r="AP303" t="str">
        <f>IF(ISNUMBER(FIND("arbeid",Methode_Keuze)),"",IF(ISNUMBER(FIND("arbeid",Methode_Keuze)),"",IF(Tb_Activiteiten[[#This Row],[Projectleider/Expert]]=1,Tb_Activiteiten[[#Headers],[Projectleider/Expert]],"")))</f>
        <v/>
      </c>
      <c r="AQ303" t="str">
        <f>IF(ISNUMBER(FIND("arbeid",Methode_Keuze)),"",IF(ISNUMBER(FIND("arbeid",Methode_Keuze)),"",IF(Tb_Activiteiten[[#This Row],[Arbeidskosten]]=1,Tb_Activiteiten[[#Headers],[Arbeidskosten]],"")))</f>
        <v/>
      </c>
      <c r="AR303" t="str">
        <f>IF(ISNUMBER(FIND("arbeid",Methode_Keuze)),"",IF(ISNUMBER(FIND("arbeid",Methode_Keuze)),"",IF(Tb_Activiteiten[[#This Row],[Arbeidskosten op basis van IKS]]=1,Tb_Activiteiten[[#Headers],[Arbeidskosten op basis van IKS]],"")))</f>
        <v/>
      </c>
      <c r="AS303" t="str">
        <f>IF(ISNUMBER(FIND("overige",Methode_Keuze)),"",IF(Tb_Activiteiten[[#This Row],[Kosten derden exclusief btw]]=1,Tb_Activiteiten[[#Headers],[Kosten derden exclusief btw]],""))</f>
        <v/>
      </c>
      <c r="AT303" t="str">
        <f>IF(ISNUMBER(FIND("overige",Methode_Keuze)),"",IF(Tb_Activiteiten[[#This Row],[Niet verrekenbare btw]]=1,Tb_Activiteiten[[#Headers],[Niet verrekenbare btw]],""))</f>
        <v/>
      </c>
      <c r="AU303" t="str">
        <f>IF(ISNUMBER(FIND("overige",Methode_Keuze)),"",IF(Tb_Activiteiten[[#This Row],[Grondkosten]]=1,Tb_Activiteiten[[#Headers],[Grondkosten]],""))</f>
        <v/>
      </c>
      <c r="AV303" t="str">
        <f>IF(ISNUMBER(FIND("overige",Methode_Keuze)),"",IF(Tb_Activiteiten[[#This Row],[Bijdrage in natura (overige)]]=1,Tb_Activiteiten[[#Headers],[Bijdrage in natura (overige)]],""))</f>
        <v/>
      </c>
      <c r="AW303" t="str">
        <f>IF(ISNUMBER(FIND("overige",Methode_Keuze)),"",IF(Tb_Activiteiten[[#This Row],[Bijdrage in natura (vrijwilligers)]]=1,Tb_Activiteiten[[#Headers],[Bijdrage in natura (vrijwilligers)]],""))</f>
        <v/>
      </c>
      <c r="AX303" t="str">
        <f>IF(ISNUMBER(FIND("overige",Methode_Keuze)),"",IF(Tb_Activiteiten[[#This Row],[Afschrijvingskosten]]=1,Tb_Activiteiten[[#Headers],[Afschrijvingskosten]],""))</f>
        <v/>
      </c>
      <c r="AY303" t="str">
        <f>IF(ISNUMBER(FIND("overige",Methode_Keuze)),"",IF(Tb_Activiteiten[[#This Row],[Vergoeding]]=1,Tb_Activiteiten[[#Headers],[Vergoeding]],""))</f>
        <v/>
      </c>
      <c r="AZ303" t="str">
        <f>IF(ISNUMBER(FIND("arbeid",Methode_Keuze)),"",IF(Tb_Activiteiten[[#This Row],[Arbeidskosten - vast tarief (excl eigen arbeid)]]=1,Tb_Activiteiten[[#Headers],[Arbeidskosten - vast tarief (excl eigen arbeid)]],""))</f>
        <v/>
      </c>
      <c r="BA303" t="str">
        <f>IF(ISNUMBER(FIND("overige",Methode_Keuze)),"",IF(Tb_Activiteiten[[#This Row],[Overige kosten]]=1,Tb_Activiteiten[[#Headers],[Overige kosten]],""))</f>
        <v/>
      </c>
    </row>
    <row r="304" spans="1:53" x14ac:dyDescent="0.25">
      <c r="A304" s="231"/>
      <c r="F304" s="64"/>
      <c r="G304" s="64"/>
      <c r="H304" s="275"/>
      <c r="I304" s="275"/>
      <c r="J304" s="275"/>
      <c r="K304" s="275"/>
      <c r="O304" s="56"/>
      <c r="Q304" t="str">
        <f>IFERROR(IF(VLOOKUP(Tb_Activiteiten[[#This Row],[Openstelling]],Tb_Openstelling[],2,0)=1,1,""),"")</f>
        <v/>
      </c>
      <c r="AK304" t="str">
        <f>IF(ISNUMBER(FIND("arbeid",Methode_Keuze)),"",IF(ISNUMBER(FIND("arbeid",Methode_Keuze)),"",IF(Tb_Activiteiten[[#This Row],[Loonkosten]]=1,Tb_Activiteiten[[#Headers],[Loonkosten]],"")))</f>
        <v/>
      </c>
      <c r="AL304" t="str">
        <f>IF(ISNUMBER(FIND("arbeid",Methode_Keuze)),"",IF(ISNUMBER(FIND("arbeid",Methode_Keuze)),"",IF(Tb_Activiteiten[[#This Row],[Eigen arbeid]]=1,Tb_Activiteiten[[#Headers],[Eigen arbeid]],"")))</f>
        <v/>
      </c>
      <c r="AM304" t="str">
        <f>IF(ISNUMBER(FIND("arbeid",Methode_Keuze)),"",IF(ISNUMBER(FIND("arbeid",Methode_Keuze)),"",IF(Tb_Activiteiten[[#This Row],[Projectmedewerker]]=1,Tb_Activiteiten[[#Headers],[Projectmedewerker]],"")))</f>
        <v/>
      </c>
      <c r="AN304" t="str">
        <f>IF(ISNUMBER(FIND("arbeid",Methode_Keuze)),"",IF(ISNUMBER(FIND("arbeid",Methode_Keuze)),"",IF(Tb_Activiteiten[[#This Row],[Landbouwer]]=1,Tb_Activiteiten[[#Headers],[Landbouwer]],"")))</f>
        <v/>
      </c>
      <c r="AO304" t="str">
        <f>IF(ISNUMBER(FIND("arbeid",Methode_Keuze)),"",IF(ISNUMBER(FIND("arbeid",Methode_Keuze)),"",IF(Tb_Activiteiten[[#This Row],[Adviseur]]=1,Tb_Activiteiten[[#Headers],[Adviseur]],"")))</f>
        <v/>
      </c>
      <c r="AP304" t="str">
        <f>IF(ISNUMBER(FIND("arbeid",Methode_Keuze)),"",IF(ISNUMBER(FIND("arbeid",Methode_Keuze)),"",IF(Tb_Activiteiten[[#This Row],[Projectleider/Expert]]=1,Tb_Activiteiten[[#Headers],[Projectleider/Expert]],"")))</f>
        <v/>
      </c>
      <c r="AQ304" t="str">
        <f>IF(ISNUMBER(FIND("arbeid",Methode_Keuze)),"",IF(ISNUMBER(FIND("arbeid",Methode_Keuze)),"",IF(Tb_Activiteiten[[#This Row],[Arbeidskosten]]=1,Tb_Activiteiten[[#Headers],[Arbeidskosten]],"")))</f>
        <v/>
      </c>
      <c r="AR304" t="str">
        <f>IF(ISNUMBER(FIND("arbeid",Methode_Keuze)),"",IF(ISNUMBER(FIND("arbeid",Methode_Keuze)),"",IF(Tb_Activiteiten[[#This Row],[Arbeidskosten op basis van IKS]]=1,Tb_Activiteiten[[#Headers],[Arbeidskosten op basis van IKS]],"")))</f>
        <v/>
      </c>
      <c r="AS304" t="str">
        <f>IF(ISNUMBER(FIND("overige",Methode_Keuze)),"",IF(Tb_Activiteiten[[#This Row],[Kosten derden exclusief btw]]=1,Tb_Activiteiten[[#Headers],[Kosten derden exclusief btw]],""))</f>
        <v/>
      </c>
      <c r="AT304" t="str">
        <f>IF(ISNUMBER(FIND("overige",Methode_Keuze)),"",IF(Tb_Activiteiten[[#This Row],[Niet verrekenbare btw]]=1,Tb_Activiteiten[[#Headers],[Niet verrekenbare btw]],""))</f>
        <v/>
      </c>
      <c r="AU304" t="str">
        <f>IF(ISNUMBER(FIND("overige",Methode_Keuze)),"",IF(Tb_Activiteiten[[#This Row],[Grondkosten]]=1,Tb_Activiteiten[[#Headers],[Grondkosten]],""))</f>
        <v/>
      </c>
      <c r="AV304" t="str">
        <f>IF(ISNUMBER(FIND("overige",Methode_Keuze)),"",IF(Tb_Activiteiten[[#This Row],[Bijdrage in natura (overige)]]=1,Tb_Activiteiten[[#Headers],[Bijdrage in natura (overige)]],""))</f>
        <v/>
      </c>
      <c r="AW304" t="str">
        <f>IF(ISNUMBER(FIND("overige",Methode_Keuze)),"",IF(Tb_Activiteiten[[#This Row],[Bijdrage in natura (vrijwilligers)]]=1,Tb_Activiteiten[[#Headers],[Bijdrage in natura (vrijwilligers)]],""))</f>
        <v/>
      </c>
      <c r="AX304" t="str">
        <f>IF(ISNUMBER(FIND("overige",Methode_Keuze)),"",IF(Tb_Activiteiten[[#This Row],[Afschrijvingskosten]]=1,Tb_Activiteiten[[#Headers],[Afschrijvingskosten]],""))</f>
        <v/>
      </c>
      <c r="AY304" t="str">
        <f>IF(ISNUMBER(FIND("overige",Methode_Keuze)),"",IF(Tb_Activiteiten[[#This Row],[Vergoeding]]=1,Tb_Activiteiten[[#Headers],[Vergoeding]],""))</f>
        <v/>
      </c>
      <c r="AZ304" t="str">
        <f>IF(ISNUMBER(FIND("arbeid",Methode_Keuze)),"",IF(Tb_Activiteiten[[#This Row],[Arbeidskosten - vast tarief (excl eigen arbeid)]]=1,Tb_Activiteiten[[#Headers],[Arbeidskosten - vast tarief (excl eigen arbeid)]],""))</f>
        <v/>
      </c>
      <c r="BA304" t="str">
        <f>IF(ISNUMBER(FIND("overige",Methode_Keuze)),"",IF(Tb_Activiteiten[[#This Row],[Overige kosten]]=1,Tb_Activiteiten[[#Headers],[Overige kosten]],""))</f>
        <v/>
      </c>
    </row>
    <row r="305" spans="1:53" x14ac:dyDescent="0.25">
      <c r="A305" s="231"/>
      <c r="F305" s="64"/>
      <c r="G305" s="64"/>
      <c r="H305" s="275"/>
      <c r="I305" s="275"/>
      <c r="J305" s="275"/>
      <c r="K305" s="275"/>
      <c r="O305" s="56"/>
      <c r="Q305" t="str">
        <f>IFERROR(IF(VLOOKUP(Tb_Activiteiten[[#This Row],[Openstelling]],Tb_Openstelling[],2,0)=1,1,""),"")</f>
        <v/>
      </c>
      <c r="AK305" t="str">
        <f>IF(ISNUMBER(FIND("arbeid",Methode_Keuze)),"",IF(ISNUMBER(FIND("arbeid",Methode_Keuze)),"",IF(Tb_Activiteiten[[#This Row],[Loonkosten]]=1,Tb_Activiteiten[[#Headers],[Loonkosten]],"")))</f>
        <v/>
      </c>
      <c r="AL305" t="str">
        <f>IF(ISNUMBER(FIND("arbeid",Methode_Keuze)),"",IF(ISNUMBER(FIND("arbeid",Methode_Keuze)),"",IF(Tb_Activiteiten[[#This Row],[Eigen arbeid]]=1,Tb_Activiteiten[[#Headers],[Eigen arbeid]],"")))</f>
        <v/>
      </c>
      <c r="AM305" t="str">
        <f>IF(ISNUMBER(FIND("arbeid",Methode_Keuze)),"",IF(ISNUMBER(FIND("arbeid",Methode_Keuze)),"",IF(Tb_Activiteiten[[#This Row],[Projectmedewerker]]=1,Tb_Activiteiten[[#Headers],[Projectmedewerker]],"")))</f>
        <v/>
      </c>
      <c r="AN305" t="str">
        <f>IF(ISNUMBER(FIND("arbeid",Methode_Keuze)),"",IF(ISNUMBER(FIND("arbeid",Methode_Keuze)),"",IF(Tb_Activiteiten[[#This Row],[Landbouwer]]=1,Tb_Activiteiten[[#Headers],[Landbouwer]],"")))</f>
        <v/>
      </c>
      <c r="AO305" t="str">
        <f>IF(ISNUMBER(FIND("arbeid",Methode_Keuze)),"",IF(ISNUMBER(FIND("arbeid",Methode_Keuze)),"",IF(Tb_Activiteiten[[#This Row],[Adviseur]]=1,Tb_Activiteiten[[#Headers],[Adviseur]],"")))</f>
        <v/>
      </c>
      <c r="AP305" t="str">
        <f>IF(ISNUMBER(FIND("arbeid",Methode_Keuze)),"",IF(ISNUMBER(FIND("arbeid",Methode_Keuze)),"",IF(Tb_Activiteiten[[#This Row],[Projectleider/Expert]]=1,Tb_Activiteiten[[#Headers],[Projectleider/Expert]],"")))</f>
        <v/>
      </c>
      <c r="AQ305" t="str">
        <f>IF(ISNUMBER(FIND("arbeid",Methode_Keuze)),"",IF(ISNUMBER(FIND("arbeid",Methode_Keuze)),"",IF(Tb_Activiteiten[[#This Row],[Arbeidskosten]]=1,Tb_Activiteiten[[#Headers],[Arbeidskosten]],"")))</f>
        <v/>
      </c>
      <c r="AR305" t="str">
        <f>IF(ISNUMBER(FIND("arbeid",Methode_Keuze)),"",IF(ISNUMBER(FIND("arbeid",Methode_Keuze)),"",IF(Tb_Activiteiten[[#This Row],[Arbeidskosten op basis van IKS]]=1,Tb_Activiteiten[[#Headers],[Arbeidskosten op basis van IKS]],"")))</f>
        <v/>
      </c>
      <c r="AS305" t="str">
        <f>IF(ISNUMBER(FIND("overige",Methode_Keuze)),"",IF(Tb_Activiteiten[[#This Row],[Kosten derden exclusief btw]]=1,Tb_Activiteiten[[#Headers],[Kosten derden exclusief btw]],""))</f>
        <v/>
      </c>
      <c r="AT305" t="str">
        <f>IF(ISNUMBER(FIND("overige",Methode_Keuze)),"",IF(Tb_Activiteiten[[#This Row],[Niet verrekenbare btw]]=1,Tb_Activiteiten[[#Headers],[Niet verrekenbare btw]],""))</f>
        <v/>
      </c>
      <c r="AU305" t="str">
        <f>IF(ISNUMBER(FIND("overige",Methode_Keuze)),"",IF(Tb_Activiteiten[[#This Row],[Grondkosten]]=1,Tb_Activiteiten[[#Headers],[Grondkosten]],""))</f>
        <v/>
      </c>
      <c r="AV305" t="str">
        <f>IF(ISNUMBER(FIND("overige",Methode_Keuze)),"",IF(Tb_Activiteiten[[#This Row],[Bijdrage in natura (overige)]]=1,Tb_Activiteiten[[#Headers],[Bijdrage in natura (overige)]],""))</f>
        <v/>
      </c>
      <c r="AW305" t="str">
        <f>IF(ISNUMBER(FIND("overige",Methode_Keuze)),"",IF(Tb_Activiteiten[[#This Row],[Bijdrage in natura (vrijwilligers)]]=1,Tb_Activiteiten[[#Headers],[Bijdrage in natura (vrijwilligers)]],""))</f>
        <v/>
      </c>
      <c r="AX305" t="str">
        <f>IF(ISNUMBER(FIND("overige",Methode_Keuze)),"",IF(Tb_Activiteiten[[#This Row],[Afschrijvingskosten]]=1,Tb_Activiteiten[[#Headers],[Afschrijvingskosten]],""))</f>
        <v/>
      </c>
      <c r="AY305" t="str">
        <f>IF(ISNUMBER(FIND("overige",Methode_Keuze)),"",IF(Tb_Activiteiten[[#This Row],[Vergoeding]]=1,Tb_Activiteiten[[#Headers],[Vergoeding]],""))</f>
        <v/>
      </c>
      <c r="AZ305" t="str">
        <f>IF(ISNUMBER(FIND("arbeid",Methode_Keuze)),"",IF(Tb_Activiteiten[[#This Row],[Arbeidskosten - vast tarief (excl eigen arbeid)]]=1,Tb_Activiteiten[[#Headers],[Arbeidskosten - vast tarief (excl eigen arbeid)]],""))</f>
        <v/>
      </c>
      <c r="BA305" t="str">
        <f>IF(ISNUMBER(FIND("overige",Methode_Keuze)),"",IF(Tb_Activiteiten[[#This Row],[Overige kosten]]=1,Tb_Activiteiten[[#Headers],[Overige kosten]],""))</f>
        <v/>
      </c>
    </row>
    <row r="306" spans="1:53" x14ac:dyDescent="0.25">
      <c r="A306" s="231"/>
      <c r="F306" s="64"/>
      <c r="G306" s="64"/>
      <c r="H306" s="275"/>
      <c r="I306" s="275"/>
      <c r="J306" s="275"/>
      <c r="K306" s="275"/>
      <c r="O306" s="56"/>
      <c r="Q306" t="str">
        <f>IFERROR(IF(VLOOKUP(Tb_Activiteiten[[#This Row],[Openstelling]],Tb_Openstelling[],2,0)=1,1,""),"")</f>
        <v/>
      </c>
      <c r="AK306" t="str">
        <f>IF(ISNUMBER(FIND("arbeid",Methode_Keuze)),"",IF(ISNUMBER(FIND("arbeid",Methode_Keuze)),"",IF(Tb_Activiteiten[[#This Row],[Loonkosten]]=1,Tb_Activiteiten[[#Headers],[Loonkosten]],"")))</f>
        <v/>
      </c>
      <c r="AL306" t="str">
        <f>IF(ISNUMBER(FIND("arbeid",Methode_Keuze)),"",IF(ISNUMBER(FIND("arbeid",Methode_Keuze)),"",IF(Tb_Activiteiten[[#This Row],[Eigen arbeid]]=1,Tb_Activiteiten[[#Headers],[Eigen arbeid]],"")))</f>
        <v/>
      </c>
      <c r="AM306" t="str">
        <f>IF(ISNUMBER(FIND("arbeid",Methode_Keuze)),"",IF(ISNUMBER(FIND("arbeid",Methode_Keuze)),"",IF(Tb_Activiteiten[[#This Row],[Projectmedewerker]]=1,Tb_Activiteiten[[#Headers],[Projectmedewerker]],"")))</f>
        <v/>
      </c>
      <c r="AN306" t="str">
        <f>IF(ISNUMBER(FIND("arbeid",Methode_Keuze)),"",IF(ISNUMBER(FIND("arbeid",Methode_Keuze)),"",IF(Tb_Activiteiten[[#This Row],[Landbouwer]]=1,Tb_Activiteiten[[#Headers],[Landbouwer]],"")))</f>
        <v/>
      </c>
      <c r="AO306" t="str">
        <f>IF(ISNUMBER(FIND("arbeid",Methode_Keuze)),"",IF(ISNUMBER(FIND("arbeid",Methode_Keuze)),"",IF(Tb_Activiteiten[[#This Row],[Adviseur]]=1,Tb_Activiteiten[[#Headers],[Adviseur]],"")))</f>
        <v/>
      </c>
      <c r="AP306" t="str">
        <f>IF(ISNUMBER(FIND("arbeid",Methode_Keuze)),"",IF(ISNUMBER(FIND("arbeid",Methode_Keuze)),"",IF(Tb_Activiteiten[[#This Row],[Projectleider/Expert]]=1,Tb_Activiteiten[[#Headers],[Projectleider/Expert]],"")))</f>
        <v/>
      </c>
      <c r="AQ306" t="str">
        <f>IF(ISNUMBER(FIND("arbeid",Methode_Keuze)),"",IF(ISNUMBER(FIND("arbeid",Methode_Keuze)),"",IF(Tb_Activiteiten[[#This Row],[Arbeidskosten]]=1,Tb_Activiteiten[[#Headers],[Arbeidskosten]],"")))</f>
        <v/>
      </c>
      <c r="AR306" t="str">
        <f>IF(ISNUMBER(FIND("arbeid",Methode_Keuze)),"",IF(ISNUMBER(FIND("arbeid",Methode_Keuze)),"",IF(Tb_Activiteiten[[#This Row],[Arbeidskosten op basis van IKS]]=1,Tb_Activiteiten[[#Headers],[Arbeidskosten op basis van IKS]],"")))</f>
        <v/>
      </c>
      <c r="AS306" t="str">
        <f>IF(ISNUMBER(FIND("overige",Methode_Keuze)),"",IF(Tb_Activiteiten[[#This Row],[Kosten derden exclusief btw]]=1,Tb_Activiteiten[[#Headers],[Kosten derden exclusief btw]],""))</f>
        <v/>
      </c>
      <c r="AT306" t="str">
        <f>IF(ISNUMBER(FIND("overige",Methode_Keuze)),"",IF(Tb_Activiteiten[[#This Row],[Niet verrekenbare btw]]=1,Tb_Activiteiten[[#Headers],[Niet verrekenbare btw]],""))</f>
        <v/>
      </c>
      <c r="AU306" t="str">
        <f>IF(ISNUMBER(FIND("overige",Methode_Keuze)),"",IF(Tb_Activiteiten[[#This Row],[Grondkosten]]=1,Tb_Activiteiten[[#Headers],[Grondkosten]],""))</f>
        <v/>
      </c>
      <c r="AV306" t="str">
        <f>IF(ISNUMBER(FIND("overige",Methode_Keuze)),"",IF(Tb_Activiteiten[[#This Row],[Bijdrage in natura (overige)]]=1,Tb_Activiteiten[[#Headers],[Bijdrage in natura (overige)]],""))</f>
        <v/>
      </c>
      <c r="AW306" t="str">
        <f>IF(ISNUMBER(FIND("overige",Methode_Keuze)),"",IF(Tb_Activiteiten[[#This Row],[Bijdrage in natura (vrijwilligers)]]=1,Tb_Activiteiten[[#Headers],[Bijdrage in natura (vrijwilligers)]],""))</f>
        <v/>
      </c>
      <c r="AX306" t="str">
        <f>IF(ISNUMBER(FIND("overige",Methode_Keuze)),"",IF(Tb_Activiteiten[[#This Row],[Afschrijvingskosten]]=1,Tb_Activiteiten[[#Headers],[Afschrijvingskosten]],""))</f>
        <v/>
      </c>
      <c r="AY306" t="str">
        <f>IF(ISNUMBER(FIND("overige",Methode_Keuze)),"",IF(Tb_Activiteiten[[#This Row],[Vergoeding]]=1,Tb_Activiteiten[[#Headers],[Vergoeding]],""))</f>
        <v/>
      </c>
      <c r="AZ306" t="str">
        <f>IF(ISNUMBER(FIND("arbeid",Methode_Keuze)),"",IF(Tb_Activiteiten[[#This Row],[Arbeidskosten - vast tarief (excl eigen arbeid)]]=1,Tb_Activiteiten[[#Headers],[Arbeidskosten - vast tarief (excl eigen arbeid)]],""))</f>
        <v/>
      </c>
      <c r="BA306" t="str">
        <f>IF(ISNUMBER(FIND("overige",Methode_Keuze)),"",IF(Tb_Activiteiten[[#This Row],[Overige kosten]]=1,Tb_Activiteiten[[#Headers],[Overige kosten]],""))</f>
        <v/>
      </c>
    </row>
    <row r="307" spans="1:53" x14ac:dyDescent="0.25">
      <c r="A307" s="231"/>
      <c r="F307" s="64"/>
      <c r="G307" s="64"/>
      <c r="H307" s="275"/>
      <c r="I307" s="275"/>
      <c r="J307" s="275"/>
      <c r="K307" s="275"/>
      <c r="O307" s="56"/>
      <c r="Q307" t="str">
        <f>IFERROR(IF(VLOOKUP(Tb_Activiteiten[[#This Row],[Openstelling]],Tb_Openstelling[],2,0)=1,1,""),"")</f>
        <v/>
      </c>
      <c r="AK307" t="str">
        <f>IF(ISNUMBER(FIND("arbeid",Methode_Keuze)),"",IF(ISNUMBER(FIND("arbeid",Methode_Keuze)),"",IF(Tb_Activiteiten[[#This Row],[Loonkosten]]=1,Tb_Activiteiten[[#Headers],[Loonkosten]],"")))</f>
        <v/>
      </c>
      <c r="AL307" t="str">
        <f>IF(ISNUMBER(FIND("arbeid",Methode_Keuze)),"",IF(ISNUMBER(FIND("arbeid",Methode_Keuze)),"",IF(Tb_Activiteiten[[#This Row],[Eigen arbeid]]=1,Tb_Activiteiten[[#Headers],[Eigen arbeid]],"")))</f>
        <v/>
      </c>
      <c r="AM307" t="str">
        <f>IF(ISNUMBER(FIND("arbeid",Methode_Keuze)),"",IF(ISNUMBER(FIND("arbeid",Methode_Keuze)),"",IF(Tb_Activiteiten[[#This Row],[Projectmedewerker]]=1,Tb_Activiteiten[[#Headers],[Projectmedewerker]],"")))</f>
        <v/>
      </c>
      <c r="AN307" t="str">
        <f>IF(ISNUMBER(FIND("arbeid",Methode_Keuze)),"",IF(ISNUMBER(FIND("arbeid",Methode_Keuze)),"",IF(Tb_Activiteiten[[#This Row],[Landbouwer]]=1,Tb_Activiteiten[[#Headers],[Landbouwer]],"")))</f>
        <v/>
      </c>
      <c r="AO307" t="str">
        <f>IF(ISNUMBER(FIND("arbeid",Methode_Keuze)),"",IF(ISNUMBER(FIND("arbeid",Methode_Keuze)),"",IF(Tb_Activiteiten[[#This Row],[Adviseur]]=1,Tb_Activiteiten[[#Headers],[Adviseur]],"")))</f>
        <v/>
      </c>
      <c r="AP307" t="str">
        <f>IF(ISNUMBER(FIND("arbeid",Methode_Keuze)),"",IF(ISNUMBER(FIND("arbeid",Methode_Keuze)),"",IF(Tb_Activiteiten[[#This Row],[Projectleider/Expert]]=1,Tb_Activiteiten[[#Headers],[Projectleider/Expert]],"")))</f>
        <v/>
      </c>
      <c r="AQ307" t="str">
        <f>IF(ISNUMBER(FIND("arbeid",Methode_Keuze)),"",IF(ISNUMBER(FIND("arbeid",Methode_Keuze)),"",IF(Tb_Activiteiten[[#This Row],[Arbeidskosten]]=1,Tb_Activiteiten[[#Headers],[Arbeidskosten]],"")))</f>
        <v/>
      </c>
      <c r="AR307" t="str">
        <f>IF(ISNUMBER(FIND("arbeid",Methode_Keuze)),"",IF(ISNUMBER(FIND("arbeid",Methode_Keuze)),"",IF(Tb_Activiteiten[[#This Row],[Arbeidskosten op basis van IKS]]=1,Tb_Activiteiten[[#Headers],[Arbeidskosten op basis van IKS]],"")))</f>
        <v/>
      </c>
      <c r="AS307" t="str">
        <f>IF(ISNUMBER(FIND("overige",Methode_Keuze)),"",IF(Tb_Activiteiten[[#This Row],[Kosten derden exclusief btw]]=1,Tb_Activiteiten[[#Headers],[Kosten derden exclusief btw]],""))</f>
        <v/>
      </c>
      <c r="AT307" t="str">
        <f>IF(ISNUMBER(FIND("overige",Methode_Keuze)),"",IF(Tb_Activiteiten[[#This Row],[Niet verrekenbare btw]]=1,Tb_Activiteiten[[#Headers],[Niet verrekenbare btw]],""))</f>
        <v/>
      </c>
      <c r="AU307" t="str">
        <f>IF(ISNUMBER(FIND("overige",Methode_Keuze)),"",IF(Tb_Activiteiten[[#This Row],[Grondkosten]]=1,Tb_Activiteiten[[#Headers],[Grondkosten]],""))</f>
        <v/>
      </c>
      <c r="AV307" t="str">
        <f>IF(ISNUMBER(FIND("overige",Methode_Keuze)),"",IF(Tb_Activiteiten[[#This Row],[Bijdrage in natura (overige)]]=1,Tb_Activiteiten[[#Headers],[Bijdrage in natura (overige)]],""))</f>
        <v/>
      </c>
      <c r="AW307" t="str">
        <f>IF(ISNUMBER(FIND("overige",Methode_Keuze)),"",IF(Tb_Activiteiten[[#This Row],[Bijdrage in natura (vrijwilligers)]]=1,Tb_Activiteiten[[#Headers],[Bijdrage in natura (vrijwilligers)]],""))</f>
        <v/>
      </c>
      <c r="AX307" t="str">
        <f>IF(ISNUMBER(FIND("overige",Methode_Keuze)),"",IF(Tb_Activiteiten[[#This Row],[Afschrijvingskosten]]=1,Tb_Activiteiten[[#Headers],[Afschrijvingskosten]],""))</f>
        <v/>
      </c>
      <c r="AY307" t="str">
        <f>IF(ISNUMBER(FIND("overige",Methode_Keuze)),"",IF(Tb_Activiteiten[[#This Row],[Vergoeding]]=1,Tb_Activiteiten[[#Headers],[Vergoeding]],""))</f>
        <v/>
      </c>
      <c r="AZ307" t="str">
        <f>IF(ISNUMBER(FIND("arbeid",Methode_Keuze)),"",IF(Tb_Activiteiten[[#This Row],[Arbeidskosten - vast tarief (excl eigen arbeid)]]=1,Tb_Activiteiten[[#Headers],[Arbeidskosten - vast tarief (excl eigen arbeid)]],""))</f>
        <v/>
      </c>
      <c r="BA307" t="str">
        <f>IF(ISNUMBER(FIND("overige",Methode_Keuze)),"",IF(Tb_Activiteiten[[#This Row],[Overige kosten]]=1,Tb_Activiteiten[[#Headers],[Overige kosten]],""))</f>
        <v/>
      </c>
    </row>
    <row r="308" spans="1:53" x14ac:dyDescent="0.25">
      <c r="A308" s="231"/>
      <c r="F308" s="64"/>
      <c r="G308" s="64"/>
      <c r="H308" s="275"/>
      <c r="I308" s="275"/>
      <c r="J308" s="275"/>
      <c r="K308" s="275"/>
      <c r="O308" s="56"/>
      <c r="Q308" t="str">
        <f>IFERROR(IF(VLOOKUP(Tb_Activiteiten[[#This Row],[Openstelling]],Tb_Openstelling[],2,0)=1,1,""),"")</f>
        <v/>
      </c>
      <c r="AK308" t="str">
        <f>IF(ISNUMBER(FIND("arbeid",Methode_Keuze)),"",IF(ISNUMBER(FIND("arbeid",Methode_Keuze)),"",IF(Tb_Activiteiten[[#This Row],[Loonkosten]]=1,Tb_Activiteiten[[#Headers],[Loonkosten]],"")))</f>
        <v/>
      </c>
      <c r="AL308" t="str">
        <f>IF(ISNUMBER(FIND("arbeid",Methode_Keuze)),"",IF(ISNUMBER(FIND("arbeid",Methode_Keuze)),"",IF(Tb_Activiteiten[[#This Row],[Eigen arbeid]]=1,Tb_Activiteiten[[#Headers],[Eigen arbeid]],"")))</f>
        <v/>
      </c>
      <c r="AM308" t="str">
        <f>IF(ISNUMBER(FIND("arbeid",Methode_Keuze)),"",IF(ISNUMBER(FIND("arbeid",Methode_Keuze)),"",IF(Tb_Activiteiten[[#This Row],[Projectmedewerker]]=1,Tb_Activiteiten[[#Headers],[Projectmedewerker]],"")))</f>
        <v/>
      </c>
      <c r="AN308" t="str">
        <f>IF(ISNUMBER(FIND("arbeid",Methode_Keuze)),"",IF(ISNUMBER(FIND("arbeid",Methode_Keuze)),"",IF(Tb_Activiteiten[[#This Row],[Landbouwer]]=1,Tb_Activiteiten[[#Headers],[Landbouwer]],"")))</f>
        <v/>
      </c>
      <c r="AO308" t="str">
        <f>IF(ISNUMBER(FIND("arbeid",Methode_Keuze)),"",IF(ISNUMBER(FIND("arbeid",Methode_Keuze)),"",IF(Tb_Activiteiten[[#This Row],[Adviseur]]=1,Tb_Activiteiten[[#Headers],[Adviseur]],"")))</f>
        <v/>
      </c>
      <c r="AP308" t="str">
        <f>IF(ISNUMBER(FIND("arbeid",Methode_Keuze)),"",IF(ISNUMBER(FIND("arbeid",Methode_Keuze)),"",IF(Tb_Activiteiten[[#This Row],[Projectleider/Expert]]=1,Tb_Activiteiten[[#Headers],[Projectleider/Expert]],"")))</f>
        <v/>
      </c>
      <c r="AQ308" t="str">
        <f>IF(ISNUMBER(FIND("arbeid",Methode_Keuze)),"",IF(ISNUMBER(FIND("arbeid",Methode_Keuze)),"",IF(Tb_Activiteiten[[#This Row],[Arbeidskosten]]=1,Tb_Activiteiten[[#Headers],[Arbeidskosten]],"")))</f>
        <v/>
      </c>
      <c r="AR308" t="str">
        <f>IF(ISNUMBER(FIND("arbeid",Methode_Keuze)),"",IF(ISNUMBER(FIND("arbeid",Methode_Keuze)),"",IF(Tb_Activiteiten[[#This Row],[Arbeidskosten op basis van IKS]]=1,Tb_Activiteiten[[#Headers],[Arbeidskosten op basis van IKS]],"")))</f>
        <v/>
      </c>
      <c r="AS308" t="str">
        <f>IF(ISNUMBER(FIND("overige",Methode_Keuze)),"",IF(Tb_Activiteiten[[#This Row],[Kosten derden exclusief btw]]=1,Tb_Activiteiten[[#Headers],[Kosten derden exclusief btw]],""))</f>
        <v/>
      </c>
      <c r="AT308" t="str">
        <f>IF(ISNUMBER(FIND("overige",Methode_Keuze)),"",IF(Tb_Activiteiten[[#This Row],[Niet verrekenbare btw]]=1,Tb_Activiteiten[[#Headers],[Niet verrekenbare btw]],""))</f>
        <v/>
      </c>
      <c r="AU308" t="str">
        <f>IF(ISNUMBER(FIND("overige",Methode_Keuze)),"",IF(Tb_Activiteiten[[#This Row],[Grondkosten]]=1,Tb_Activiteiten[[#Headers],[Grondkosten]],""))</f>
        <v/>
      </c>
      <c r="AV308" t="str">
        <f>IF(ISNUMBER(FIND("overige",Methode_Keuze)),"",IF(Tb_Activiteiten[[#This Row],[Bijdrage in natura (overige)]]=1,Tb_Activiteiten[[#Headers],[Bijdrage in natura (overige)]],""))</f>
        <v/>
      </c>
      <c r="AW308" t="str">
        <f>IF(ISNUMBER(FIND("overige",Methode_Keuze)),"",IF(Tb_Activiteiten[[#This Row],[Bijdrage in natura (vrijwilligers)]]=1,Tb_Activiteiten[[#Headers],[Bijdrage in natura (vrijwilligers)]],""))</f>
        <v/>
      </c>
      <c r="AX308" t="str">
        <f>IF(ISNUMBER(FIND("overige",Methode_Keuze)),"",IF(Tb_Activiteiten[[#This Row],[Afschrijvingskosten]]=1,Tb_Activiteiten[[#Headers],[Afschrijvingskosten]],""))</f>
        <v/>
      </c>
      <c r="AY308" t="str">
        <f>IF(ISNUMBER(FIND("overige",Methode_Keuze)),"",IF(Tb_Activiteiten[[#This Row],[Vergoeding]]=1,Tb_Activiteiten[[#Headers],[Vergoeding]],""))</f>
        <v/>
      </c>
      <c r="AZ308" t="str">
        <f>IF(ISNUMBER(FIND("arbeid",Methode_Keuze)),"",IF(Tb_Activiteiten[[#This Row],[Arbeidskosten - vast tarief (excl eigen arbeid)]]=1,Tb_Activiteiten[[#Headers],[Arbeidskosten - vast tarief (excl eigen arbeid)]],""))</f>
        <v/>
      </c>
      <c r="BA308" t="str">
        <f>IF(ISNUMBER(FIND("overige",Methode_Keuze)),"",IF(Tb_Activiteiten[[#This Row],[Overige kosten]]=1,Tb_Activiteiten[[#Headers],[Overige kosten]],""))</f>
        <v/>
      </c>
    </row>
    <row r="309" spans="1:53" x14ac:dyDescent="0.25">
      <c r="A309" s="231"/>
      <c r="F309" s="64"/>
      <c r="G309" s="64"/>
      <c r="H309" s="275"/>
      <c r="I309" s="275"/>
      <c r="J309" s="275"/>
      <c r="K309" s="275"/>
      <c r="O309" s="56"/>
      <c r="Q309" t="str">
        <f>IFERROR(IF(VLOOKUP(Tb_Activiteiten[[#This Row],[Openstelling]],Tb_Openstelling[],2,0)=1,1,""),"")</f>
        <v/>
      </c>
      <c r="AK309" t="str">
        <f>IF(ISNUMBER(FIND("arbeid",Methode_Keuze)),"",IF(ISNUMBER(FIND("arbeid",Methode_Keuze)),"",IF(Tb_Activiteiten[[#This Row],[Loonkosten]]=1,Tb_Activiteiten[[#Headers],[Loonkosten]],"")))</f>
        <v/>
      </c>
      <c r="AL309" t="str">
        <f>IF(ISNUMBER(FIND("arbeid",Methode_Keuze)),"",IF(ISNUMBER(FIND("arbeid",Methode_Keuze)),"",IF(Tb_Activiteiten[[#This Row],[Eigen arbeid]]=1,Tb_Activiteiten[[#Headers],[Eigen arbeid]],"")))</f>
        <v/>
      </c>
      <c r="AM309" t="str">
        <f>IF(ISNUMBER(FIND("arbeid",Methode_Keuze)),"",IF(ISNUMBER(FIND("arbeid",Methode_Keuze)),"",IF(Tb_Activiteiten[[#This Row],[Projectmedewerker]]=1,Tb_Activiteiten[[#Headers],[Projectmedewerker]],"")))</f>
        <v/>
      </c>
      <c r="AN309" t="str">
        <f>IF(ISNUMBER(FIND("arbeid",Methode_Keuze)),"",IF(ISNUMBER(FIND("arbeid",Methode_Keuze)),"",IF(Tb_Activiteiten[[#This Row],[Landbouwer]]=1,Tb_Activiteiten[[#Headers],[Landbouwer]],"")))</f>
        <v/>
      </c>
      <c r="AO309" t="str">
        <f>IF(ISNUMBER(FIND("arbeid",Methode_Keuze)),"",IF(ISNUMBER(FIND("arbeid",Methode_Keuze)),"",IF(Tb_Activiteiten[[#This Row],[Adviseur]]=1,Tb_Activiteiten[[#Headers],[Adviseur]],"")))</f>
        <v/>
      </c>
      <c r="AP309" t="str">
        <f>IF(ISNUMBER(FIND("arbeid",Methode_Keuze)),"",IF(ISNUMBER(FIND("arbeid",Methode_Keuze)),"",IF(Tb_Activiteiten[[#This Row],[Projectleider/Expert]]=1,Tb_Activiteiten[[#Headers],[Projectleider/Expert]],"")))</f>
        <v/>
      </c>
      <c r="AQ309" t="str">
        <f>IF(ISNUMBER(FIND("arbeid",Methode_Keuze)),"",IF(ISNUMBER(FIND("arbeid",Methode_Keuze)),"",IF(Tb_Activiteiten[[#This Row],[Arbeidskosten]]=1,Tb_Activiteiten[[#Headers],[Arbeidskosten]],"")))</f>
        <v/>
      </c>
      <c r="AR309" t="str">
        <f>IF(ISNUMBER(FIND("arbeid",Methode_Keuze)),"",IF(ISNUMBER(FIND("arbeid",Methode_Keuze)),"",IF(Tb_Activiteiten[[#This Row],[Arbeidskosten op basis van IKS]]=1,Tb_Activiteiten[[#Headers],[Arbeidskosten op basis van IKS]],"")))</f>
        <v/>
      </c>
      <c r="AS309" t="str">
        <f>IF(ISNUMBER(FIND("overige",Methode_Keuze)),"",IF(Tb_Activiteiten[[#This Row],[Kosten derden exclusief btw]]=1,Tb_Activiteiten[[#Headers],[Kosten derden exclusief btw]],""))</f>
        <v/>
      </c>
      <c r="AT309" t="str">
        <f>IF(ISNUMBER(FIND("overige",Methode_Keuze)),"",IF(Tb_Activiteiten[[#This Row],[Niet verrekenbare btw]]=1,Tb_Activiteiten[[#Headers],[Niet verrekenbare btw]],""))</f>
        <v/>
      </c>
      <c r="AU309" t="str">
        <f>IF(ISNUMBER(FIND("overige",Methode_Keuze)),"",IF(Tb_Activiteiten[[#This Row],[Grondkosten]]=1,Tb_Activiteiten[[#Headers],[Grondkosten]],""))</f>
        <v/>
      </c>
      <c r="AV309" t="str">
        <f>IF(ISNUMBER(FIND("overige",Methode_Keuze)),"",IF(Tb_Activiteiten[[#This Row],[Bijdrage in natura (overige)]]=1,Tb_Activiteiten[[#Headers],[Bijdrage in natura (overige)]],""))</f>
        <v/>
      </c>
      <c r="AW309" t="str">
        <f>IF(ISNUMBER(FIND("overige",Methode_Keuze)),"",IF(Tb_Activiteiten[[#This Row],[Bijdrage in natura (vrijwilligers)]]=1,Tb_Activiteiten[[#Headers],[Bijdrage in natura (vrijwilligers)]],""))</f>
        <v/>
      </c>
      <c r="AX309" t="str">
        <f>IF(ISNUMBER(FIND("overige",Methode_Keuze)),"",IF(Tb_Activiteiten[[#This Row],[Afschrijvingskosten]]=1,Tb_Activiteiten[[#Headers],[Afschrijvingskosten]],""))</f>
        <v/>
      </c>
      <c r="AY309" t="str">
        <f>IF(ISNUMBER(FIND("overige",Methode_Keuze)),"",IF(Tb_Activiteiten[[#This Row],[Vergoeding]]=1,Tb_Activiteiten[[#Headers],[Vergoeding]],""))</f>
        <v/>
      </c>
      <c r="AZ309" t="str">
        <f>IF(ISNUMBER(FIND("arbeid",Methode_Keuze)),"",IF(Tb_Activiteiten[[#This Row],[Arbeidskosten - vast tarief (excl eigen arbeid)]]=1,Tb_Activiteiten[[#Headers],[Arbeidskosten - vast tarief (excl eigen arbeid)]],""))</f>
        <v/>
      </c>
      <c r="BA309" t="str">
        <f>IF(ISNUMBER(FIND("overige",Methode_Keuze)),"",IF(Tb_Activiteiten[[#This Row],[Overige kosten]]=1,Tb_Activiteiten[[#Headers],[Overige kosten]],""))</f>
        <v/>
      </c>
    </row>
    <row r="310" spans="1:53" x14ac:dyDescent="0.25">
      <c r="A310" s="231"/>
      <c r="F310" s="64"/>
      <c r="G310" s="64"/>
      <c r="H310" s="275"/>
      <c r="I310" s="275"/>
      <c r="J310" s="275"/>
      <c r="K310" s="275"/>
      <c r="O310" s="56"/>
      <c r="Q310" t="str">
        <f>IFERROR(IF(VLOOKUP(Tb_Activiteiten[[#This Row],[Openstelling]],Tb_Openstelling[],2,0)=1,1,""),"")</f>
        <v/>
      </c>
      <c r="AK310" t="str">
        <f>IF(ISNUMBER(FIND("arbeid",Methode_Keuze)),"",IF(ISNUMBER(FIND("arbeid",Methode_Keuze)),"",IF(Tb_Activiteiten[[#This Row],[Loonkosten]]=1,Tb_Activiteiten[[#Headers],[Loonkosten]],"")))</f>
        <v/>
      </c>
      <c r="AL310" t="str">
        <f>IF(ISNUMBER(FIND("arbeid",Methode_Keuze)),"",IF(ISNUMBER(FIND("arbeid",Methode_Keuze)),"",IF(Tb_Activiteiten[[#This Row],[Eigen arbeid]]=1,Tb_Activiteiten[[#Headers],[Eigen arbeid]],"")))</f>
        <v/>
      </c>
      <c r="AM310" t="str">
        <f>IF(ISNUMBER(FIND("arbeid",Methode_Keuze)),"",IF(ISNUMBER(FIND("arbeid",Methode_Keuze)),"",IF(Tb_Activiteiten[[#This Row],[Projectmedewerker]]=1,Tb_Activiteiten[[#Headers],[Projectmedewerker]],"")))</f>
        <v/>
      </c>
      <c r="AN310" t="str">
        <f>IF(ISNUMBER(FIND("arbeid",Methode_Keuze)),"",IF(ISNUMBER(FIND("arbeid",Methode_Keuze)),"",IF(Tb_Activiteiten[[#This Row],[Landbouwer]]=1,Tb_Activiteiten[[#Headers],[Landbouwer]],"")))</f>
        <v/>
      </c>
      <c r="AO310" t="str">
        <f>IF(ISNUMBER(FIND("arbeid",Methode_Keuze)),"",IF(ISNUMBER(FIND("arbeid",Methode_Keuze)),"",IF(Tb_Activiteiten[[#This Row],[Adviseur]]=1,Tb_Activiteiten[[#Headers],[Adviseur]],"")))</f>
        <v/>
      </c>
      <c r="AP310" t="str">
        <f>IF(ISNUMBER(FIND("arbeid",Methode_Keuze)),"",IF(ISNUMBER(FIND("arbeid",Methode_Keuze)),"",IF(Tb_Activiteiten[[#This Row],[Projectleider/Expert]]=1,Tb_Activiteiten[[#Headers],[Projectleider/Expert]],"")))</f>
        <v/>
      </c>
      <c r="AQ310" t="str">
        <f>IF(ISNUMBER(FIND("arbeid",Methode_Keuze)),"",IF(ISNUMBER(FIND("arbeid",Methode_Keuze)),"",IF(Tb_Activiteiten[[#This Row],[Arbeidskosten]]=1,Tb_Activiteiten[[#Headers],[Arbeidskosten]],"")))</f>
        <v/>
      </c>
      <c r="AR310" t="str">
        <f>IF(ISNUMBER(FIND("arbeid",Methode_Keuze)),"",IF(ISNUMBER(FIND("arbeid",Methode_Keuze)),"",IF(Tb_Activiteiten[[#This Row],[Arbeidskosten op basis van IKS]]=1,Tb_Activiteiten[[#Headers],[Arbeidskosten op basis van IKS]],"")))</f>
        <v/>
      </c>
      <c r="AS310" t="str">
        <f>IF(ISNUMBER(FIND("overige",Methode_Keuze)),"",IF(Tb_Activiteiten[[#This Row],[Kosten derden exclusief btw]]=1,Tb_Activiteiten[[#Headers],[Kosten derden exclusief btw]],""))</f>
        <v/>
      </c>
      <c r="AT310" t="str">
        <f>IF(ISNUMBER(FIND("overige",Methode_Keuze)),"",IF(Tb_Activiteiten[[#This Row],[Niet verrekenbare btw]]=1,Tb_Activiteiten[[#Headers],[Niet verrekenbare btw]],""))</f>
        <v/>
      </c>
      <c r="AU310" t="str">
        <f>IF(ISNUMBER(FIND("overige",Methode_Keuze)),"",IF(Tb_Activiteiten[[#This Row],[Grondkosten]]=1,Tb_Activiteiten[[#Headers],[Grondkosten]],""))</f>
        <v/>
      </c>
      <c r="AV310" t="str">
        <f>IF(ISNUMBER(FIND("overige",Methode_Keuze)),"",IF(Tb_Activiteiten[[#This Row],[Bijdrage in natura (overige)]]=1,Tb_Activiteiten[[#Headers],[Bijdrage in natura (overige)]],""))</f>
        <v/>
      </c>
      <c r="AW310" t="str">
        <f>IF(ISNUMBER(FIND("overige",Methode_Keuze)),"",IF(Tb_Activiteiten[[#This Row],[Bijdrage in natura (vrijwilligers)]]=1,Tb_Activiteiten[[#Headers],[Bijdrage in natura (vrijwilligers)]],""))</f>
        <v/>
      </c>
      <c r="AX310" t="str">
        <f>IF(ISNUMBER(FIND("overige",Methode_Keuze)),"",IF(Tb_Activiteiten[[#This Row],[Afschrijvingskosten]]=1,Tb_Activiteiten[[#Headers],[Afschrijvingskosten]],""))</f>
        <v/>
      </c>
      <c r="AY310" t="str">
        <f>IF(ISNUMBER(FIND("overige",Methode_Keuze)),"",IF(Tb_Activiteiten[[#This Row],[Vergoeding]]=1,Tb_Activiteiten[[#Headers],[Vergoeding]],""))</f>
        <v/>
      </c>
      <c r="AZ310" t="str">
        <f>IF(ISNUMBER(FIND("arbeid",Methode_Keuze)),"",IF(Tb_Activiteiten[[#This Row],[Arbeidskosten - vast tarief (excl eigen arbeid)]]=1,Tb_Activiteiten[[#Headers],[Arbeidskosten - vast tarief (excl eigen arbeid)]],""))</f>
        <v/>
      </c>
      <c r="BA310" t="str">
        <f>IF(ISNUMBER(FIND("overige",Methode_Keuze)),"",IF(Tb_Activiteiten[[#This Row],[Overige kosten]]=1,Tb_Activiteiten[[#Headers],[Overige kosten]],""))</f>
        <v/>
      </c>
    </row>
    <row r="311" spans="1:53" x14ac:dyDescent="0.25">
      <c r="A311" s="231"/>
      <c r="F311" s="64"/>
      <c r="G311" s="64"/>
      <c r="H311" s="275"/>
      <c r="I311" s="275"/>
      <c r="J311" s="275"/>
      <c r="K311" s="275"/>
      <c r="O311" s="56"/>
      <c r="Q311" t="str">
        <f>IFERROR(IF(VLOOKUP(Tb_Activiteiten[[#This Row],[Openstelling]],Tb_Openstelling[],2,0)=1,1,""),"")</f>
        <v/>
      </c>
      <c r="AK311" t="str">
        <f>IF(ISNUMBER(FIND("arbeid",Methode_Keuze)),"",IF(ISNUMBER(FIND("arbeid",Methode_Keuze)),"",IF(Tb_Activiteiten[[#This Row],[Loonkosten]]=1,Tb_Activiteiten[[#Headers],[Loonkosten]],"")))</f>
        <v/>
      </c>
      <c r="AL311" t="str">
        <f>IF(ISNUMBER(FIND("arbeid",Methode_Keuze)),"",IF(ISNUMBER(FIND("arbeid",Methode_Keuze)),"",IF(Tb_Activiteiten[[#This Row],[Eigen arbeid]]=1,Tb_Activiteiten[[#Headers],[Eigen arbeid]],"")))</f>
        <v/>
      </c>
      <c r="AM311" t="str">
        <f>IF(ISNUMBER(FIND("arbeid",Methode_Keuze)),"",IF(ISNUMBER(FIND("arbeid",Methode_Keuze)),"",IF(Tb_Activiteiten[[#This Row],[Projectmedewerker]]=1,Tb_Activiteiten[[#Headers],[Projectmedewerker]],"")))</f>
        <v/>
      </c>
      <c r="AN311" t="str">
        <f>IF(ISNUMBER(FIND("arbeid",Methode_Keuze)),"",IF(ISNUMBER(FIND("arbeid",Methode_Keuze)),"",IF(Tb_Activiteiten[[#This Row],[Landbouwer]]=1,Tb_Activiteiten[[#Headers],[Landbouwer]],"")))</f>
        <v/>
      </c>
      <c r="AO311" t="str">
        <f>IF(ISNUMBER(FIND("arbeid",Methode_Keuze)),"",IF(ISNUMBER(FIND("arbeid",Methode_Keuze)),"",IF(Tb_Activiteiten[[#This Row],[Adviseur]]=1,Tb_Activiteiten[[#Headers],[Adviseur]],"")))</f>
        <v/>
      </c>
      <c r="AP311" t="str">
        <f>IF(ISNUMBER(FIND("arbeid",Methode_Keuze)),"",IF(ISNUMBER(FIND("arbeid",Methode_Keuze)),"",IF(Tb_Activiteiten[[#This Row],[Projectleider/Expert]]=1,Tb_Activiteiten[[#Headers],[Projectleider/Expert]],"")))</f>
        <v/>
      </c>
      <c r="AQ311" t="str">
        <f>IF(ISNUMBER(FIND("arbeid",Methode_Keuze)),"",IF(ISNUMBER(FIND("arbeid",Methode_Keuze)),"",IF(Tb_Activiteiten[[#This Row],[Arbeidskosten]]=1,Tb_Activiteiten[[#Headers],[Arbeidskosten]],"")))</f>
        <v/>
      </c>
      <c r="AR311" t="str">
        <f>IF(ISNUMBER(FIND("arbeid",Methode_Keuze)),"",IF(ISNUMBER(FIND("arbeid",Methode_Keuze)),"",IF(Tb_Activiteiten[[#This Row],[Arbeidskosten op basis van IKS]]=1,Tb_Activiteiten[[#Headers],[Arbeidskosten op basis van IKS]],"")))</f>
        <v/>
      </c>
      <c r="AS311" t="str">
        <f>IF(ISNUMBER(FIND("overige",Methode_Keuze)),"",IF(Tb_Activiteiten[[#This Row],[Kosten derden exclusief btw]]=1,Tb_Activiteiten[[#Headers],[Kosten derden exclusief btw]],""))</f>
        <v/>
      </c>
      <c r="AT311" t="str">
        <f>IF(ISNUMBER(FIND("overige",Methode_Keuze)),"",IF(Tb_Activiteiten[[#This Row],[Niet verrekenbare btw]]=1,Tb_Activiteiten[[#Headers],[Niet verrekenbare btw]],""))</f>
        <v/>
      </c>
      <c r="AU311" t="str">
        <f>IF(ISNUMBER(FIND("overige",Methode_Keuze)),"",IF(Tb_Activiteiten[[#This Row],[Grondkosten]]=1,Tb_Activiteiten[[#Headers],[Grondkosten]],""))</f>
        <v/>
      </c>
      <c r="AV311" t="str">
        <f>IF(ISNUMBER(FIND("overige",Methode_Keuze)),"",IF(Tb_Activiteiten[[#This Row],[Bijdrage in natura (overige)]]=1,Tb_Activiteiten[[#Headers],[Bijdrage in natura (overige)]],""))</f>
        <v/>
      </c>
      <c r="AW311" t="str">
        <f>IF(ISNUMBER(FIND("overige",Methode_Keuze)),"",IF(Tb_Activiteiten[[#This Row],[Bijdrage in natura (vrijwilligers)]]=1,Tb_Activiteiten[[#Headers],[Bijdrage in natura (vrijwilligers)]],""))</f>
        <v/>
      </c>
      <c r="AX311" t="str">
        <f>IF(ISNUMBER(FIND("overige",Methode_Keuze)),"",IF(Tb_Activiteiten[[#This Row],[Afschrijvingskosten]]=1,Tb_Activiteiten[[#Headers],[Afschrijvingskosten]],""))</f>
        <v/>
      </c>
      <c r="AY311" t="str">
        <f>IF(ISNUMBER(FIND("overige",Methode_Keuze)),"",IF(Tb_Activiteiten[[#This Row],[Vergoeding]]=1,Tb_Activiteiten[[#Headers],[Vergoeding]],""))</f>
        <v/>
      </c>
      <c r="AZ311" t="str">
        <f>IF(ISNUMBER(FIND("arbeid",Methode_Keuze)),"",IF(Tb_Activiteiten[[#This Row],[Arbeidskosten - vast tarief (excl eigen arbeid)]]=1,Tb_Activiteiten[[#Headers],[Arbeidskosten - vast tarief (excl eigen arbeid)]],""))</f>
        <v/>
      </c>
      <c r="BA311" t="str">
        <f>IF(ISNUMBER(FIND("overige",Methode_Keuze)),"",IF(Tb_Activiteiten[[#This Row],[Overige kosten]]=1,Tb_Activiteiten[[#Headers],[Overige kosten]],""))</f>
        <v/>
      </c>
    </row>
    <row r="312" spans="1:53" x14ac:dyDescent="0.25">
      <c r="A312" s="231"/>
      <c r="F312" s="64"/>
      <c r="G312" s="64"/>
      <c r="H312" s="275"/>
      <c r="I312" s="275"/>
      <c r="J312" s="275"/>
      <c r="K312" s="275"/>
      <c r="O312" s="56"/>
      <c r="Q312" t="str">
        <f>IFERROR(IF(VLOOKUP(Tb_Activiteiten[[#This Row],[Openstelling]],Tb_Openstelling[],2,0)=1,1,""),"")</f>
        <v/>
      </c>
      <c r="AK312" t="str">
        <f>IF(ISNUMBER(FIND("arbeid",Methode_Keuze)),"",IF(ISNUMBER(FIND("arbeid",Methode_Keuze)),"",IF(Tb_Activiteiten[[#This Row],[Loonkosten]]=1,Tb_Activiteiten[[#Headers],[Loonkosten]],"")))</f>
        <v/>
      </c>
      <c r="AL312" t="str">
        <f>IF(ISNUMBER(FIND("arbeid",Methode_Keuze)),"",IF(ISNUMBER(FIND("arbeid",Methode_Keuze)),"",IF(Tb_Activiteiten[[#This Row],[Eigen arbeid]]=1,Tb_Activiteiten[[#Headers],[Eigen arbeid]],"")))</f>
        <v/>
      </c>
      <c r="AM312" t="str">
        <f>IF(ISNUMBER(FIND("arbeid",Methode_Keuze)),"",IF(ISNUMBER(FIND("arbeid",Methode_Keuze)),"",IF(Tb_Activiteiten[[#This Row],[Projectmedewerker]]=1,Tb_Activiteiten[[#Headers],[Projectmedewerker]],"")))</f>
        <v/>
      </c>
      <c r="AN312" t="str">
        <f>IF(ISNUMBER(FIND("arbeid",Methode_Keuze)),"",IF(ISNUMBER(FIND("arbeid",Methode_Keuze)),"",IF(Tb_Activiteiten[[#This Row],[Landbouwer]]=1,Tb_Activiteiten[[#Headers],[Landbouwer]],"")))</f>
        <v/>
      </c>
      <c r="AO312" t="str">
        <f>IF(ISNUMBER(FIND("arbeid",Methode_Keuze)),"",IF(ISNUMBER(FIND("arbeid",Methode_Keuze)),"",IF(Tb_Activiteiten[[#This Row],[Adviseur]]=1,Tb_Activiteiten[[#Headers],[Adviseur]],"")))</f>
        <v/>
      </c>
      <c r="AP312" t="str">
        <f>IF(ISNUMBER(FIND("arbeid",Methode_Keuze)),"",IF(ISNUMBER(FIND("arbeid",Methode_Keuze)),"",IF(Tb_Activiteiten[[#This Row],[Projectleider/Expert]]=1,Tb_Activiteiten[[#Headers],[Projectleider/Expert]],"")))</f>
        <v/>
      </c>
      <c r="AQ312" t="str">
        <f>IF(ISNUMBER(FIND("arbeid",Methode_Keuze)),"",IF(ISNUMBER(FIND("arbeid",Methode_Keuze)),"",IF(Tb_Activiteiten[[#This Row],[Arbeidskosten]]=1,Tb_Activiteiten[[#Headers],[Arbeidskosten]],"")))</f>
        <v/>
      </c>
      <c r="AR312" t="str">
        <f>IF(ISNUMBER(FIND("arbeid",Methode_Keuze)),"",IF(ISNUMBER(FIND("arbeid",Methode_Keuze)),"",IF(Tb_Activiteiten[[#This Row],[Arbeidskosten op basis van IKS]]=1,Tb_Activiteiten[[#Headers],[Arbeidskosten op basis van IKS]],"")))</f>
        <v/>
      </c>
      <c r="AS312" t="str">
        <f>IF(ISNUMBER(FIND("overige",Methode_Keuze)),"",IF(Tb_Activiteiten[[#This Row],[Kosten derden exclusief btw]]=1,Tb_Activiteiten[[#Headers],[Kosten derden exclusief btw]],""))</f>
        <v/>
      </c>
      <c r="AT312" t="str">
        <f>IF(ISNUMBER(FIND("overige",Methode_Keuze)),"",IF(Tb_Activiteiten[[#This Row],[Niet verrekenbare btw]]=1,Tb_Activiteiten[[#Headers],[Niet verrekenbare btw]],""))</f>
        <v/>
      </c>
      <c r="AU312" t="str">
        <f>IF(ISNUMBER(FIND("overige",Methode_Keuze)),"",IF(Tb_Activiteiten[[#This Row],[Grondkosten]]=1,Tb_Activiteiten[[#Headers],[Grondkosten]],""))</f>
        <v/>
      </c>
      <c r="AV312" t="str">
        <f>IF(ISNUMBER(FIND("overige",Methode_Keuze)),"",IF(Tb_Activiteiten[[#This Row],[Bijdrage in natura (overige)]]=1,Tb_Activiteiten[[#Headers],[Bijdrage in natura (overige)]],""))</f>
        <v/>
      </c>
      <c r="AW312" t="str">
        <f>IF(ISNUMBER(FIND("overige",Methode_Keuze)),"",IF(Tb_Activiteiten[[#This Row],[Bijdrage in natura (vrijwilligers)]]=1,Tb_Activiteiten[[#Headers],[Bijdrage in natura (vrijwilligers)]],""))</f>
        <v/>
      </c>
      <c r="AX312" t="str">
        <f>IF(ISNUMBER(FIND("overige",Methode_Keuze)),"",IF(Tb_Activiteiten[[#This Row],[Afschrijvingskosten]]=1,Tb_Activiteiten[[#Headers],[Afschrijvingskosten]],""))</f>
        <v/>
      </c>
      <c r="AY312" t="str">
        <f>IF(ISNUMBER(FIND("overige",Methode_Keuze)),"",IF(Tb_Activiteiten[[#This Row],[Vergoeding]]=1,Tb_Activiteiten[[#Headers],[Vergoeding]],""))</f>
        <v/>
      </c>
      <c r="AZ312" t="str">
        <f>IF(ISNUMBER(FIND("arbeid",Methode_Keuze)),"",IF(Tb_Activiteiten[[#This Row],[Arbeidskosten - vast tarief (excl eigen arbeid)]]=1,Tb_Activiteiten[[#Headers],[Arbeidskosten - vast tarief (excl eigen arbeid)]],""))</f>
        <v/>
      </c>
      <c r="BA312" t="str">
        <f>IF(ISNUMBER(FIND("overige",Methode_Keuze)),"",IF(Tb_Activiteiten[[#This Row],[Overige kosten]]=1,Tb_Activiteiten[[#Headers],[Overige kosten]],""))</f>
        <v/>
      </c>
    </row>
    <row r="313" spans="1:53" x14ac:dyDescent="0.25">
      <c r="A313" s="231"/>
      <c r="F313" s="64"/>
      <c r="G313" s="64"/>
      <c r="H313" s="275"/>
      <c r="I313" s="275"/>
      <c r="J313" s="275"/>
      <c r="K313" s="275"/>
      <c r="O313" s="56"/>
      <c r="Q313" t="str">
        <f>IFERROR(IF(VLOOKUP(Tb_Activiteiten[[#This Row],[Openstelling]],Tb_Openstelling[],2,0)=1,1,""),"")</f>
        <v/>
      </c>
      <c r="AK313" t="str">
        <f>IF(ISNUMBER(FIND("arbeid",Methode_Keuze)),"",IF(ISNUMBER(FIND("arbeid",Methode_Keuze)),"",IF(Tb_Activiteiten[[#This Row],[Loonkosten]]=1,Tb_Activiteiten[[#Headers],[Loonkosten]],"")))</f>
        <v/>
      </c>
      <c r="AL313" t="str">
        <f>IF(ISNUMBER(FIND("arbeid",Methode_Keuze)),"",IF(ISNUMBER(FIND("arbeid",Methode_Keuze)),"",IF(Tb_Activiteiten[[#This Row],[Eigen arbeid]]=1,Tb_Activiteiten[[#Headers],[Eigen arbeid]],"")))</f>
        <v/>
      </c>
      <c r="AM313" t="str">
        <f>IF(ISNUMBER(FIND("arbeid",Methode_Keuze)),"",IF(ISNUMBER(FIND("arbeid",Methode_Keuze)),"",IF(Tb_Activiteiten[[#This Row],[Projectmedewerker]]=1,Tb_Activiteiten[[#Headers],[Projectmedewerker]],"")))</f>
        <v/>
      </c>
      <c r="AN313" t="str">
        <f>IF(ISNUMBER(FIND("arbeid",Methode_Keuze)),"",IF(ISNUMBER(FIND("arbeid",Methode_Keuze)),"",IF(Tb_Activiteiten[[#This Row],[Landbouwer]]=1,Tb_Activiteiten[[#Headers],[Landbouwer]],"")))</f>
        <v/>
      </c>
      <c r="AO313" t="str">
        <f>IF(ISNUMBER(FIND("arbeid",Methode_Keuze)),"",IF(ISNUMBER(FIND("arbeid",Methode_Keuze)),"",IF(Tb_Activiteiten[[#This Row],[Adviseur]]=1,Tb_Activiteiten[[#Headers],[Adviseur]],"")))</f>
        <v/>
      </c>
      <c r="AP313" t="str">
        <f>IF(ISNUMBER(FIND("arbeid",Methode_Keuze)),"",IF(ISNUMBER(FIND("arbeid",Methode_Keuze)),"",IF(Tb_Activiteiten[[#This Row],[Projectleider/Expert]]=1,Tb_Activiteiten[[#Headers],[Projectleider/Expert]],"")))</f>
        <v/>
      </c>
      <c r="AQ313" t="str">
        <f>IF(ISNUMBER(FIND("arbeid",Methode_Keuze)),"",IF(ISNUMBER(FIND("arbeid",Methode_Keuze)),"",IF(Tb_Activiteiten[[#This Row],[Arbeidskosten]]=1,Tb_Activiteiten[[#Headers],[Arbeidskosten]],"")))</f>
        <v/>
      </c>
      <c r="AR313" t="str">
        <f>IF(ISNUMBER(FIND("arbeid",Methode_Keuze)),"",IF(ISNUMBER(FIND("arbeid",Methode_Keuze)),"",IF(Tb_Activiteiten[[#This Row],[Arbeidskosten op basis van IKS]]=1,Tb_Activiteiten[[#Headers],[Arbeidskosten op basis van IKS]],"")))</f>
        <v/>
      </c>
      <c r="AS313" t="str">
        <f>IF(ISNUMBER(FIND("overige",Methode_Keuze)),"",IF(Tb_Activiteiten[[#This Row],[Kosten derden exclusief btw]]=1,Tb_Activiteiten[[#Headers],[Kosten derden exclusief btw]],""))</f>
        <v/>
      </c>
      <c r="AT313" t="str">
        <f>IF(ISNUMBER(FIND("overige",Methode_Keuze)),"",IF(Tb_Activiteiten[[#This Row],[Niet verrekenbare btw]]=1,Tb_Activiteiten[[#Headers],[Niet verrekenbare btw]],""))</f>
        <v/>
      </c>
      <c r="AU313" t="str">
        <f>IF(ISNUMBER(FIND("overige",Methode_Keuze)),"",IF(Tb_Activiteiten[[#This Row],[Grondkosten]]=1,Tb_Activiteiten[[#Headers],[Grondkosten]],""))</f>
        <v/>
      </c>
      <c r="AV313" t="str">
        <f>IF(ISNUMBER(FIND("overige",Methode_Keuze)),"",IF(Tb_Activiteiten[[#This Row],[Bijdrage in natura (overige)]]=1,Tb_Activiteiten[[#Headers],[Bijdrage in natura (overige)]],""))</f>
        <v/>
      </c>
      <c r="AW313" t="str">
        <f>IF(ISNUMBER(FIND("overige",Methode_Keuze)),"",IF(Tb_Activiteiten[[#This Row],[Bijdrage in natura (vrijwilligers)]]=1,Tb_Activiteiten[[#Headers],[Bijdrage in natura (vrijwilligers)]],""))</f>
        <v/>
      </c>
      <c r="AX313" t="str">
        <f>IF(ISNUMBER(FIND("overige",Methode_Keuze)),"",IF(Tb_Activiteiten[[#This Row],[Afschrijvingskosten]]=1,Tb_Activiteiten[[#Headers],[Afschrijvingskosten]],""))</f>
        <v/>
      </c>
      <c r="AY313" t="str">
        <f>IF(ISNUMBER(FIND("overige",Methode_Keuze)),"",IF(Tb_Activiteiten[[#This Row],[Vergoeding]]=1,Tb_Activiteiten[[#Headers],[Vergoeding]],""))</f>
        <v/>
      </c>
      <c r="AZ313" t="str">
        <f>IF(ISNUMBER(FIND("arbeid",Methode_Keuze)),"",IF(Tb_Activiteiten[[#This Row],[Arbeidskosten - vast tarief (excl eigen arbeid)]]=1,Tb_Activiteiten[[#Headers],[Arbeidskosten - vast tarief (excl eigen arbeid)]],""))</f>
        <v/>
      </c>
      <c r="BA313" t="str">
        <f>IF(ISNUMBER(FIND("overige",Methode_Keuze)),"",IF(Tb_Activiteiten[[#This Row],[Overige kosten]]=1,Tb_Activiteiten[[#Headers],[Overige kosten]],""))</f>
        <v/>
      </c>
    </row>
    <row r="314" spans="1:53" x14ac:dyDescent="0.25">
      <c r="A314" s="231"/>
      <c r="F314" s="64"/>
      <c r="G314" s="64"/>
      <c r="H314" s="275"/>
      <c r="I314" s="275"/>
      <c r="J314" s="275"/>
      <c r="K314" s="275"/>
      <c r="O314" s="56"/>
      <c r="Q314" t="str">
        <f>IFERROR(IF(VLOOKUP(Tb_Activiteiten[[#This Row],[Openstelling]],Tb_Openstelling[],2,0)=1,1,""),"")</f>
        <v/>
      </c>
      <c r="AK314" t="str">
        <f>IF(ISNUMBER(FIND("arbeid",Methode_Keuze)),"",IF(ISNUMBER(FIND("arbeid",Methode_Keuze)),"",IF(Tb_Activiteiten[[#This Row],[Loonkosten]]=1,Tb_Activiteiten[[#Headers],[Loonkosten]],"")))</f>
        <v/>
      </c>
      <c r="AL314" t="str">
        <f>IF(ISNUMBER(FIND("arbeid",Methode_Keuze)),"",IF(ISNUMBER(FIND("arbeid",Methode_Keuze)),"",IF(Tb_Activiteiten[[#This Row],[Eigen arbeid]]=1,Tb_Activiteiten[[#Headers],[Eigen arbeid]],"")))</f>
        <v/>
      </c>
      <c r="AM314" t="str">
        <f>IF(ISNUMBER(FIND("arbeid",Methode_Keuze)),"",IF(ISNUMBER(FIND("arbeid",Methode_Keuze)),"",IF(Tb_Activiteiten[[#This Row],[Projectmedewerker]]=1,Tb_Activiteiten[[#Headers],[Projectmedewerker]],"")))</f>
        <v/>
      </c>
      <c r="AN314" t="str">
        <f>IF(ISNUMBER(FIND("arbeid",Methode_Keuze)),"",IF(ISNUMBER(FIND("arbeid",Methode_Keuze)),"",IF(Tb_Activiteiten[[#This Row],[Landbouwer]]=1,Tb_Activiteiten[[#Headers],[Landbouwer]],"")))</f>
        <v/>
      </c>
      <c r="AO314" t="str">
        <f>IF(ISNUMBER(FIND("arbeid",Methode_Keuze)),"",IF(ISNUMBER(FIND("arbeid",Methode_Keuze)),"",IF(Tb_Activiteiten[[#This Row],[Adviseur]]=1,Tb_Activiteiten[[#Headers],[Adviseur]],"")))</f>
        <v/>
      </c>
      <c r="AP314" t="str">
        <f>IF(ISNUMBER(FIND("arbeid",Methode_Keuze)),"",IF(ISNUMBER(FIND("arbeid",Methode_Keuze)),"",IF(Tb_Activiteiten[[#This Row],[Projectleider/Expert]]=1,Tb_Activiteiten[[#Headers],[Projectleider/Expert]],"")))</f>
        <v/>
      </c>
      <c r="AQ314" t="str">
        <f>IF(ISNUMBER(FIND("arbeid",Methode_Keuze)),"",IF(ISNUMBER(FIND("arbeid",Methode_Keuze)),"",IF(Tb_Activiteiten[[#This Row],[Arbeidskosten]]=1,Tb_Activiteiten[[#Headers],[Arbeidskosten]],"")))</f>
        <v/>
      </c>
      <c r="AR314" t="str">
        <f>IF(ISNUMBER(FIND("arbeid",Methode_Keuze)),"",IF(ISNUMBER(FIND("arbeid",Methode_Keuze)),"",IF(Tb_Activiteiten[[#This Row],[Arbeidskosten op basis van IKS]]=1,Tb_Activiteiten[[#Headers],[Arbeidskosten op basis van IKS]],"")))</f>
        <v/>
      </c>
      <c r="AS314" t="str">
        <f>IF(ISNUMBER(FIND("overige",Methode_Keuze)),"",IF(Tb_Activiteiten[[#This Row],[Kosten derden exclusief btw]]=1,Tb_Activiteiten[[#Headers],[Kosten derden exclusief btw]],""))</f>
        <v/>
      </c>
      <c r="AT314" t="str">
        <f>IF(ISNUMBER(FIND("overige",Methode_Keuze)),"",IF(Tb_Activiteiten[[#This Row],[Niet verrekenbare btw]]=1,Tb_Activiteiten[[#Headers],[Niet verrekenbare btw]],""))</f>
        <v/>
      </c>
      <c r="AU314" t="str">
        <f>IF(ISNUMBER(FIND("overige",Methode_Keuze)),"",IF(Tb_Activiteiten[[#This Row],[Grondkosten]]=1,Tb_Activiteiten[[#Headers],[Grondkosten]],""))</f>
        <v/>
      </c>
      <c r="AV314" t="str">
        <f>IF(ISNUMBER(FIND("overige",Methode_Keuze)),"",IF(Tb_Activiteiten[[#This Row],[Bijdrage in natura (overige)]]=1,Tb_Activiteiten[[#Headers],[Bijdrage in natura (overige)]],""))</f>
        <v/>
      </c>
      <c r="AW314" t="str">
        <f>IF(ISNUMBER(FIND("overige",Methode_Keuze)),"",IF(Tb_Activiteiten[[#This Row],[Bijdrage in natura (vrijwilligers)]]=1,Tb_Activiteiten[[#Headers],[Bijdrage in natura (vrijwilligers)]],""))</f>
        <v/>
      </c>
      <c r="AX314" t="str">
        <f>IF(ISNUMBER(FIND("overige",Methode_Keuze)),"",IF(Tb_Activiteiten[[#This Row],[Afschrijvingskosten]]=1,Tb_Activiteiten[[#Headers],[Afschrijvingskosten]],""))</f>
        <v/>
      </c>
      <c r="AY314" t="str">
        <f>IF(ISNUMBER(FIND("overige",Methode_Keuze)),"",IF(Tb_Activiteiten[[#This Row],[Vergoeding]]=1,Tb_Activiteiten[[#Headers],[Vergoeding]],""))</f>
        <v/>
      </c>
      <c r="AZ314" t="str">
        <f>IF(ISNUMBER(FIND("arbeid",Methode_Keuze)),"",IF(Tb_Activiteiten[[#This Row],[Arbeidskosten - vast tarief (excl eigen arbeid)]]=1,Tb_Activiteiten[[#Headers],[Arbeidskosten - vast tarief (excl eigen arbeid)]],""))</f>
        <v/>
      </c>
      <c r="BA314" t="str">
        <f>IF(ISNUMBER(FIND("overige",Methode_Keuze)),"",IF(Tb_Activiteiten[[#This Row],[Overige kosten]]=1,Tb_Activiteiten[[#Headers],[Overige kosten]],""))</f>
        <v/>
      </c>
    </row>
    <row r="315" spans="1:53" x14ac:dyDescent="0.25">
      <c r="A315" s="231"/>
      <c r="F315" s="64"/>
      <c r="G315" s="64"/>
      <c r="H315" s="275"/>
      <c r="I315" s="275"/>
      <c r="J315" s="275"/>
      <c r="K315" s="275"/>
      <c r="O315" s="56"/>
      <c r="Q315" t="str">
        <f>IFERROR(IF(VLOOKUP(Tb_Activiteiten[[#This Row],[Openstelling]],Tb_Openstelling[],2,0)=1,1,""),"")</f>
        <v/>
      </c>
      <c r="AK315" t="str">
        <f>IF(ISNUMBER(FIND("arbeid",Methode_Keuze)),"",IF(ISNUMBER(FIND("arbeid",Methode_Keuze)),"",IF(Tb_Activiteiten[[#This Row],[Loonkosten]]=1,Tb_Activiteiten[[#Headers],[Loonkosten]],"")))</f>
        <v/>
      </c>
      <c r="AL315" t="str">
        <f>IF(ISNUMBER(FIND("arbeid",Methode_Keuze)),"",IF(ISNUMBER(FIND("arbeid",Methode_Keuze)),"",IF(Tb_Activiteiten[[#This Row],[Eigen arbeid]]=1,Tb_Activiteiten[[#Headers],[Eigen arbeid]],"")))</f>
        <v/>
      </c>
      <c r="AM315" t="str">
        <f>IF(ISNUMBER(FIND("arbeid",Methode_Keuze)),"",IF(ISNUMBER(FIND("arbeid",Methode_Keuze)),"",IF(Tb_Activiteiten[[#This Row],[Projectmedewerker]]=1,Tb_Activiteiten[[#Headers],[Projectmedewerker]],"")))</f>
        <v/>
      </c>
      <c r="AN315" t="str">
        <f>IF(ISNUMBER(FIND("arbeid",Methode_Keuze)),"",IF(ISNUMBER(FIND("arbeid",Methode_Keuze)),"",IF(Tb_Activiteiten[[#This Row],[Landbouwer]]=1,Tb_Activiteiten[[#Headers],[Landbouwer]],"")))</f>
        <v/>
      </c>
      <c r="AO315" t="str">
        <f>IF(ISNUMBER(FIND("arbeid",Methode_Keuze)),"",IF(ISNUMBER(FIND("arbeid",Methode_Keuze)),"",IF(Tb_Activiteiten[[#This Row],[Adviseur]]=1,Tb_Activiteiten[[#Headers],[Adviseur]],"")))</f>
        <v/>
      </c>
      <c r="AP315" t="str">
        <f>IF(ISNUMBER(FIND("arbeid",Methode_Keuze)),"",IF(ISNUMBER(FIND("arbeid",Methode_Keuze)),"",IF(Tb_Activiteiten[[#This Row],[Projectleider/Expert]]=1,Tb_Activiteiten[[#Headers],[Projectleider/Expert]],"")))</f>
        <v/>
      </c>
      <c r="AQ315" t="str">
        <f>IF(ISNUMBER(FIND("arbeid",Methode_Keuze)),"",IF(ISNUMBER(FIND("arbeid",Methode_Keuze)),"",IF(Tb_Activiteiten[[#This Row],[Arbeidskosten]]=1,Tb_Activiteiten[[#Headers],[Arbeidskosten]],"")))</f>
        <v/>
      </c>
      <c r="AR315" t="str">
        <f>IF(ISNUMBER(FIND("arbeid",Methode_Keuze)),"",IF(ISNUMBER(FIND("arbeid",Methode_Keuze)),"",IF(Tb_Activiteiten[[#This Row],[Arbeidskosten op basis van IKS]]=1,Tb_Activiteiten[[#Headers],[Arbeidskosten op basis van IKS]],"")))</f>
        <v/>
      </c>
      <c r="AS315" t="str">
        <f>IF(ISNUMBER(FIND("overige",Methode_Keuze)),"",IF(Tb_Activiteiten[[#This Row],[Kosten derden exclusief btw]]=1,Tb_Activiteiten[[#Headers],[Kosten derden exclusief btw]],""))</f>
        <v/>
      </c>
      <c r="AT315" t="str">
        <f>IF(ISNUMBER(FIND("overige",Methode_Keuze)),"",IF(Tb_Activiteiten[[#This Row],[Niet verrekenbare btw]]=1,Tb_Activiteiten[[#Headers],[Niet verrekenbare btw]],""))</f>
        <v/>
      </c>
      <c r="AU315" t="str">
        <f>IF(ISNUMBER(FIND("overige",Methode_Keuze)),"",IF(Tb_Activiteiten[[#This Row],[Grondkosten]]=1,Tb_Activiteiten[[#Headers],[Grondkosten]],""))</f>
        <v/>
      </c>
      <c r="AV315" t="str">
        <f>IF(ISNUMBER(FIND("overige",Methode_Keuze)),"",IF(Tb_Activiteiten[[#This Row],[Bijdrage in natura (overige)]]=1,Tb_Activiteiten[[#Headers],[Bijdrage in natura (overige)]],""))</f>
        <v/>
      </c>
      <c r="AW315" t="str">
        <f>IF(ISNUMBER(FIND("overige",Methode_Keuze)),"",IF(Tb_Activiteiten[[#This Row],[Bijdrage in natura (vrijwilligers)]]=1,Tb_Activiteiten[[#Headers],[Bijdrage in natura (vrijwilligers)]],""))</f>
        <v/>
      </c>
      <c r="AX315" t="str">
        <f>IF(ISNUMBER(FIND("overige",Methode_Keuze)),"",IF(Tb_Activiteiten[[#This Row],[Afschrijvingskosten]]=1,Tb_Activiteiten[[#Headers],[Afschrijvingskosten]],""))</f>
        <v/>
      </c>
      <c r="AY315" t="str">
        <f>IF(ISNUMBER(FIND("overige",Methode_Keuze)),"",IF(Tb_Activiteiten[[#This Row],[Vergoeding]]=1,Tb_Activiteiten[[#Headers],[Vergoeding]],""))</f>
        <v/>
      </c>
      <c r="AZ315" t="str">
        <f>IF(ISNUMBER(FIND("arbeid",Methode_Keuze)),"",IF(Tb_Activiteiten[[#This Row],[Arbeidskosten - vast tarief (excl eigen arbeid)]]=1,Tb_Activiteiten[[#Headers],[Arbeidskosten - vast tarief (excl eigen arbeid)]],""))</f>
        <v/>
      </c>
      <c r="BA315" t="str">
        <f>IF(ISNUMBER(FIND("overige",Methode_Keuze)),"",IF(Tb_Activiteiten[[#This Row],[Overige kosten]]=1,Tb_Activiteiten[[#Headers],[Overige kosten]],""))</f>
        <v/>
      </c>
    </row>
    <row r="316" spans="1:53" x14ac:dyDescent="0.25">
      <c r="A316" s="231"/>
      <c r="F316" s="64"/>
      <c r="G316" s="64"/>
      <c r="H316" s="275"/>
      <c r="I316" s="275"/>
      <c r="J316" s="275"/>
      <c r="K316" s="275"/>
      <c r="O316" s="56"/>
      <c r="Q316" t="str">
        <f>IFERROR(IF(VLOOKUP(Tb_Activiteiten[[#This Row],[Openstelling]],Tb_Openstelling[],2,0)=1,1,""),"")</f>
        <v/>
      </c>
      <c r="AK316" t="str">
        <f>IF(ISNUMBER(FIND("arbeid",Methode_Keuze)),"",IF(ISNUMBER(FIND("arbeid",Methode_Keuze)),"",IF(Tb_Activiteiten[[#This Row],[Loonkosten]]=1,Tb_Activiteiten[[#Headers],[Loonkosten]],"")))</f>
        <v/>
      </c>
      <c r="AL316" t="str">
        <f>IF(ISNUMBER(FIND("arbeid",Methode_Keuze)),"",IF(ISNUMBER(FIND("arbeid",Methode_Keuze)),"",IF(Tb_Activiteiten[[#This Row],[Eigen arbeid]]=1,Tb_Activiteiten[[#Headers],[Eigen arbeid]],"")))</f>
        <v/>
      </c>
      <c r="AM316" t="str">
        <f>IF(ISNUMBER(FIND("arbeid",Methode_Keuze)),"",IF(ISNUMBER(FIND("arbeid",Methode_Keuze)),"",IF(Tb_Activiteiten[[#This Row],[Projectmedewerker]]=1,Tb_Activiteiten[[#Headers],[Projectmedewerker]],"")))</f>
        <v/>
      </c>
      <c r="AN316" t="str">
        <f>IF(ISNUMBER(FIND("arbeid",Methode_Keuze)),"",IF(ISNUMBER(FIND("arbeid",Methode_Keuze)),"",IF(Tb_Activiteiten[[#This Row],[Landbouwer]]=1,Tb_Activiteiten[[#Headers],[Landbouwer]],"")))</f>
        <v/>
      </c>
      <c r="AO316" t="str">
        <f>IF(ISNUMBER(FIND("arbeid",Methode_Keuze)),"",IF(ISNUMBER(FIND("arbeid",Methode_Keuze)),"",IF(Tb_Activiteiten[[#This Row],[Adviseur]]=1,Tb_Activiteiten[[#Headers],[Adviseur]],"")))</f>
        <v/>
      </c>
      <c r="AP316" t="str">
        <f>IF(ISNUMBER(FIND("arbeid",Methode_Keuze)),"",IF(ISNUMBER(FIND("arbeid",Methode_Keuze)),"",IF(Tb_Activiteiten[[#This Row],[Projectleider/Expert]]=1,Tb_Activiteiten[[#Headers],[Projectleider/Expert]],"")))</f>
        <v/>
      </c>
      <c r="AQ316" t="str">
        <f>IF(ISNUMBER(FIND("arbeid",Methode_Keuze)),"",IF(ISNUMBER(FIND("arbeid",Methode_Keuze)),"",IF(Tb_Activiteiten[[#This Row],[Arbeidskosten]]=1,Tb_Activiteiten[[#Headers],[Arbeidskosten]],"")))</f>
        <v/>
      </c>
      <c r="AR316" t="str">
        <f>IF(ISNUMBER(FIND("arbeid",Methode_Keuze)),"",IF(ISNUMBER(FIND("arbeid",Methode_Keuze)),"",IF(Tb_Activiteiten[[#This Row],[Arbeidskosten op basis van IKS]]=1,Tb_Activiteiten[[#Headers],[Arbeidskosten op basis van IKS]],"")))</f>
        <v/>
      </c>
      <c r="AS316" t="str">
        <f>IF(ISNUMBER(FIND("overige",Methode_Keuze)),"",IF(Tb_Activiteiten[[#This Row],[Kosten derden exclusief btw]]=1,Tb_Activiteiten[[#Headers],[Kosten derden exclusief btw]],""))</f>
        <v/>
      </c>
      <c r="AT316" t="str">
        <f>IF(ISNUMBER(FIND("overige",Methode_Keuze)),"",IF(Tb_Activiteiten[[#This Row],[Niet verrekenbare btw]]=1,Tb_Activiteiten[[#Headers],[Niet verrekenbare btw]],""))</f>
        <v/>
      </c>
      <c r="AU316" t="str">
        <f>IF(ISNUMBER(FIND("overige",Methode_Keuze)),"",IF(Tb_Activiteiten[[#This Row],[Grondkosten]]=1,Tb_Activiteiten[[#Headers],[Grondkosten]],""))</f>
        <v/>
      </c>
      <c r="AV316" t="str">
        <f>IF(ISNUMBER(FIND("overige",Methode_Keuze)),"",IF(Tb_Activiteiten[[#This Row],[Bijdrage in natura (overige)]]=1,Tb_Activiteiten[[#Headers],[Bijdrage in natura (overige)]],""))</f>
        <v/>
      </c>
      <c r="AW316" t="str">
        <f>IF(ISNUMBER(FIND("overige",Methode_Keuze)),"",IF(Tb_Activiteiten[[#This Row],[Bijdrage in natura (vrijwilligers)]]=1,Tb_Activiteiten[[#Headers],[Bijdrage in natura (vrijwilligers)]],""))</f>
        <v/>
      </c>
      <c r="AX316" t="str">
        <f>IF(ISNUMBER(FIND("overige",Methode_Keuze)),"",IF(Tb_Activiteiten[[#This Row],[Afschrijvingskosten]]=1,Tb_Activiteiten[[#Headers],[Afschrijvingskosten]],""))</f>
        <v/>
      </c>
      <c r="AY316" t="str">
        <f>IF(ISNUMBER(FIND("overige",Methode_Keuze)),"",IF(Tb_Activiteiten[[#This Row],[Vergoeding]]=1,Tb_Activiteiten[[#Headers],[Vergoeding]],""))</f>
        <v/>
      </c>
      <c r="AZ316" t="str">
        <f>IF(ISNUMBER(FIND("arbeid",Methode_Keuze)),"",IF(Tb_Activiteiten[[#This Row],[Arbeidskosten - vast tarief (excl eigen arbeid)]]=1,Tb_Activiteiten[[#Headers],[Arbeidskosten - vast tarief (excl eigen arbeid)]],""))</f>
        <v/>
      </c>
      <c r="BA316" t="str">
        <f>IF(ISNUMBER(FIND("overige",Methode_Keuze)),"",IF(Tb_Activiteiten[[#This Row],[Overige kosten]]=1,Tb_Activiteiten[[#Headers],[Overige kosten]],""))</f>
        <v/>
      </c>
    </row>
    <row r="317" spans="1:53" x14ac:dyDescent="0.25">
      <c r="A317" s="231"/>
      <c r="F317" s="64"/>
      <c r="G317" s="64"/>
      <c r="H317" s="275"/>
      <c r="I317" s="275"/>
      <c r="J317" s="275"/>
      <c r="K317" s="275"/>
      <c r="O317" s="56"/>
      <c r="Q317" t="str">
        <f>IFERROR(IF(VLOOKUP(Tb_Activiteiten[[#This Row],[Openstelling]],Tb_Openstelling[],2,0)=1,1,""),"")</f>
        <v/>
      </c>
      <c r="AK317" t="str">
        <f>IF(ISNUMBER(FIND("arbeid",Methode_Keuze)),"",IF(ISNUMBER(FIND("arbeid",Methode_Keuze)),"",IF(Tb_Activiteiten[[#This Row],[Loonkosten]]=1,Tb_Activiteiten[[#Headers],[Loonkosten]],"")))</f>
        <v/>
      </c>
      <c r="AL317" t="str">
        <f>IF(ISNUMBER(FIND("arbeid",Methode_Keuze)),"",IF(ISNUMBER(FIND("arbeid",Methode_Keuze)),"",IF(Tb_Activiteiten[[#This Row],[Eigen arbeid]]=1,Tb_Activiteiten[[#Headers],[Eigen arbeid]],"")))</f>
        <v/>
      </c>
      <c r="AM317" t="str">
        <f>IF(ISNUMBER(FIND("arbeid",Methode_Keuze)),"",IF(ISNUMBER(FIND("arbeid",Methode_Keuze)),"",IF(Tb_Activiteiten[[#This Row],[Projectmedewerker]]=1,Tb_Activiteiten[[#Headers],[Projectmedewerker]],"")))</f>
        <v/>
      </c>
      <c r="AN317" t="str">
        <f>IF(ISNUMBER(FIND("arbeid",Methode_Keuze)),"",IF(ISNUMBER(FIND("arbeid",Methode_Keuze)),"",IF(Tb_Activiteiten[[#This Row],[Landbouwer]]=1,Tb_Activiteiten[[#Headers],[Landbouwer]],"")))</f>
        <v/>
      </c>
      <c r="AO317" t="str">
        <f>IF(ISNUMBER(FIND("arbeid",Methode_Keuze)),"",IF(ISNUMBER(FIND("arbeid",Methode_Keuze)),"",IF(Tb_Activiteiten[[#This Row],[Adviseur]]=1,Tb_Activiteiten[[#Headers],[Adviseur]],"")))</f>
        <v/>
      </c>
      <c r="AP317" t="str">
        <f>IF(ISNUMBER(FIND("arbeid",Methode_Keuze)),"",IF(ISNUMBER(FIND("arbeid",Methode_Keuze)),"",IF(Tb_Activiteiten[[#This Row],[Projectleider/Expert]]=1,Tb_Activiteiten[[#Headers],[Projectleider/Expert]],"")))</f>
        <v/>
      </c>
      <c r="AQ317" t="str">
        <f>IF(ISNUMBER(FIND("arbeid",Methode_Keuze)),"",IF(ISNUMBER(FIND("arbeid",Methode_Keuze)),"",IF(Tb_Activiteiten[[#This Row],[Arbeidskosten]]=1,Tb_Activiteiten[[#Headers],[Arbeidskosten]],"")))</f>
        <v/>
      </c>
      <c r="AR317" t="str">
        <f>IF(ISNUMBER(FIND("arbeid",Methode_Keuze)),"",IF(ISNUMBER(FIND("arbeid",Methode_Keuze)),"",IF(Tb_Activiteiten[[#This Row],[Arbeidskosten op basis van IKS]]=1,Tb_Activiteiten[[#Headers],[Arbeidskosten op basis van IKS]],"")))</f>
        <v/>
      </c>
      <c r="AS317" t="str">
        <f>IF(ISNUMBER(FIND("overige",Methode_Keuze)),"",IF(Tb_Activiteiten[[#This Row],[Kosten derden exclusief btw]]=1,Tb_Activiteiten[[#Headers],[Kosten derden exclusief btw]],""))</f>
        <v/>
      </c>
      <c r="AT317" t="str">
        <f>IF(ISNUMBER(FIND("overige",Methode_Keuze)),"",IF(Tb_Activiteiten[[#This Row],[Niet verrekenbare btw]]=1,Tb_Activiteiten[[#Headers],[Niet verrekenbare btw]],""))</f>
        <v/>
      </c>
      <c r="AU317" t="str">
        <f>IF(ISNUMBER(FIND("overige",Methode_Keuze)),"",IF(Tb_Activiteiten[[#This Row],[Grondkosten]]=1,Tb_Activiteiten[[#Headers],[Grondkosten]],""))</f>
        <v/>
      </c>
      <c r="AV317" t="str">
        <f>IF(ISNUMBER(FIND("overige",Methode_Keuze)),"",IF(Tb_Activiteiten[[#This Row],[Bijdrage in natura (overige)]]=1,Tb_Activiteiten[[#Headers],[Bijdrage in natura (overige)]],""))</f>
        <v/>
      </c>
      <c r="AW317" t="str">
        <f>IF(ISNUMBER(FIND("overige",Methode_Keuze)),"",IF(Tb_Activiteiten[[#This Row],[Bijdrage in natura (vrijwilligers)]]=1,Tb_Activiteiten[[#Headers],[Bijdrage in natura (vrijwilligers)]],""))</f>
        <v/>
      </c>
      <c r="AX317" t="str">
        <f>IF(ISNUMBER(FIND("overige",Methode_Keuze)),"",IF(Tb_Activiteiten[[#This Row],[Afschrijvingskosten]]=1,Tb_Activiteiten[[#Headers],[Afschrijvingskosten]],""))</f>
        <v/>
      </c>
      <c r="AY317" t="str">
        <f>IF(ISNUMBER(FIND("overige",Methode_Keuze)),"",IF(Tb_Activiteiten[[#This Row],[Vergoeding]]=1,Tb_Activiteiten[[#Headers],[Vergoeding]],""))</f>
        <v/>
      </c>
      <c r="AZ317" t="str">
        <f>IF(ISNUMBER(FIND("arbeid",Methode_Keuze)),"",IF(Tb_Activiteiten[[#This Row],[Arbeidskosten - vast tarief (excl eigen arbeid)]]=1,Tb_Activiteiten[[#Headers],[Arbeidskosten - vast tarief (excl eigen arbeid)]],""))</f>
        <v/>
      </c>
      <c r="BA317" t="str">
        <f>IF(ISNUMBER(FIND("overige",Methode_Keuze)),"",IF(Tb_Activiteiten[[#This Row],[Overige kosten]]=1,Tb_Activiteiten[[#Headers],[Overige kosten]],""))</f>
        <v/>
      </c>
    </row>
    <row r="318" spans="1:53" x14ac:dyDescent="0.25">
      <c r="A318" s="231"/>
      <c r="F318" s="64"/>
      <c r="G318" s="64"/>
      <c r="H318" s="275"/>
      <c r="I318" s="275"/>
      <c r="J318" s="275"/>
      <c r="K318" s="275"/>
      <c r="O318" s="56"/>
      <c r="Q318" t="str">
        <f>IFERROR(IF(VLOOKUP(Tb_Activiteiten[[#This Row],[Openstelling]],Tb_Openstelling[],2,0)=1,1,""),"")</f>
        <v/>
      </c>
      <c r="AK318" t="str">
        <f>IF(ISNUMBER(FIND("arbeid",Methode_Keuze)),"",IF(ISNUMBER(FIND("arbeid",Methode_Keuze)),"",IF(Tb_Activiteiten[[#This Row],[Loonkosten]]=1,Tb_Activiteiten[[#Headers],[Loonkosten]],"")))</f>
        <v/>
      </c>
      <c r="AL318" t="str">
        <f>IF(ISNUMBER(FIND("arbeid",Methode_Keuze)),"",IF(ISNUMBER(FIND("arbeid",Methode_Keuze)),"",IF(Tb_Activiteiten[[#This Row],[Eigen arbeid]]=1,Tb_Activiteiten[[#Headers],[Eigen arbeid]],"")))</f>
        <v/>
      </c>
      <c r="AM318" t="str">
        <f>IF(ISNUMBER(FIND("arbeid",Methode_Keuze)),"",IF(ISNUMBER(FIND("arbeid",Methode_Keuze)),"",IF(Tb_Activiteiten[[#This Row],[Projectmedewerker]]=1,Tb_Activiteiten[[#Headers],[Projectmedewerker]],"")))</f>
        <v/>
      </c>
      <c r="AN318" t="str">
        <f>IF(ISNUMBER(FIND("arbeid",Methode_Keuze)),"",IF(ISNUMBER(FIND("arbeid",Methode_Keuze)),"",IF(Tb_Activiteiten[[#This Row],[Landbouwer]]=1,Tb_Activiteiten[[#Headers],[Landbouwer]],"")))</f>
        <v/>
      </c>
      <c r="AO318" t="str">
        <f>IF(ISNUMBER(FIND("arbeid",Methode_Keuze)),"",IF(ISNUMBER(FIND("arbeid",Methode_Keuze)),"",IF(Tb_Activiteiten[[#This Row],[Adviseur]]=1,Tb_Activiteiten[[#Headers],[Adviseur]],"")))</f>
        <v/>
      </c>
      <c r="AP318" t="str">
        <f>IF(ISNUMBER(FIND("arbeid",Methode_Keuze)),"",IF(ISNUMBER(FIND("arbeid",Methode_Keuze)),"",IF(Tb_Activiteiten[[#This Row],[Projectleider/Expert]]=1,Tb_Activiteiten[[#Headers],[Projectleider/Expert]],"")))</f>
        <v/>
      </c>
      <c r="AQ318" t="str">
        <f>IF(ISNUMBER(FIND("arbeid",Methode_Keuze)),"",IF(ISNUMBER(FIND("arbeid",Methode_Keuze)),"",IF(Tb_Activiteiten[[#This Row],[Arbeidskosten]]=1,Tb_Activiteiten[[#Headers],[Arbeidskosten]],"")))</f>
        <v/>
      </c>
      <c r="AR318" t="str">
        <f>IF(ISNUMBER(FIND("arbeid",Methode_Keuze)),"",IF(ISNUMBER(FIND("arbeid",Methode_Keuze)),"",IF(Tb_Activiteiten[[#This Row],[Arbeidskosten op basis van IKS]]=1,Tb_Activiteiten[[#Headers],[Arbeidskosten op basis van IKS]],"")))</f>
        <v/>
      </c>
      <c r="AS318" t="str">
        <f>IF(ISNUMBER(FIND("overige",Methode_Keuze)),"",IF(Tb_Activiteiten[[#This Row],[Kosten derden exclusief btw]]=1,Tb_Activiteiten[[#Headers],[Kosten derden exclusief btw]],""))</f>
        <v/>
      </c>
      <c r="AT318" t="str">
        <f>IF(ISNUMBER(FIND("overige",Methode_Keuze)),"",IF(Tb_Activiteiten[[#This Row],[Niet verrekenbare btw]]=1,Tb_Activiteiten[[#Headers],[Niet verrekenbare btw]],""))</f>
        <v/>
      </c>
      <c r="AU318" t="str">
        <f>IF(ISNUMBER(FIND("overige",Methode_Keuze)),"",IF(Tb_Activiteiten[[#This Row],[Grondkosten]]=1,Tb_Activiteiten[[#Headers],[Grondkosten]],""))</f>
        <v/>
      </c>
      <c r="AV318" t="str">
        <f>IF(ISNUMBER(FIND("overige",Methode_Keuze)),"",IF(Tb_Activiteiten[[#This Row],[Bijdrage in natura (overige)]]=1,Tb_Activiteiten[[#Headers],[Bijdrage in natura (overige)]],""))</f>
        <v/>
      </c>
      <c r="AW318" t="str">
        <f>IF(ISNUMBER(FIND("overige",Methode_Keuze)),"",IF(Tb_Activiteiten[[#This Row],[Bijdrage in natura (vrijwilligers)]]=1,Tb_Activiteiten[[#Headers],[Bijdrage in natura (vrijwilligers)]],""))</f>
        <v/>
      </c>
      <c r="AX318" t="str">
        <f>IF(ISNUMBER(FIND("overige",Methode_Keuze)),"",IF(Tb_Activiteiten[[#This Row],[Afschrijvingskosten]]=1,Tb_Activiteiten[[#Headers],[Afschrijvingskosten]],""))</f>
        <v/>
      </c>
      <c r="AY318" t="str">
        <f>IF(ISNUMBER(FIND("overige",Methode_Keuze)),"",IF(Tb_Activiteiten[[#This Row],[Vergoeding]]=1,Tb_Activiteiten[[#Headers],[Vergoeding]],""))</f>
        <v/>
      </c>
      <c r="AZ318" t="str">
        <f>IF(ISNUMBER(FIND("arbeid",Methode_Keuze)),"",IF(Tb_Activiteiten[[#This Row],[Arbeidskosten - vast tarief (excl eigen arbeid)]]=1,Tb_Activiteiten[[#Headers],[Arbeidskosten - vast tarief (excl eigen arbeid)]],""))</f>
        <v/>
      </c>
      <c r="BA318" t="str">
        <f>IF(ISNUMBER(FIND("overige",Methode_Keuze)),"",IF(Tb_Activiteiten[[#This Row],[Overige kosten]]=1,Tb_Activiteiten[[#Headers],[Overige kosten]],""))</f>
        <v/>
      </c>
    </row>
    <row r="319" spans="1:53" x14ac:dyDescent="0.25">
      <c r="A319" s="231"/>
      <c r="F319" s="64"/>
      <c r="G319" s="64"/>
      <c r="H319" s="275"/>
      <c r="I319" s="275"/>
      <c r="J319" s="275"/>
      <c r="K319" s="275"/>
      <c r="O319" s="56"/>
      <c r="Q319" t="str">
        <f>IFERROR(IF(VLOOKUP(Tb_Activiteiten[[#This Row],[Openstelling]],Tb_Openstelling[],2,0)=1,1,""),"")</f>
        <v/>
      </c>
      <c r="AK319" t="str">
        <f>IF(ISNUMBER(FIND("arbeid",Methode_Keuze)),"",IF(ISNUMBER(FIND("arbeid",Methode_Keuze)),"",IF(Tb_Activiteiten[[#This Row],[Loonkosten]]=1,Tb_Activiteiten[[#Headers],[Loonkosten]],"")))</f>
        <v/>
      </c>
      <c r="AL319" t="str">
        <f>IF(ISNUMBER(FIND("arbeid",Methode_Keuze)),"",IF(ISNUMBER(FIND("arbeid",Methode_Keuze)),"",IF(Tb_Activiteiten[[#This Row],[Eigen arbeid]]=1,Tb_Activiteiten[[#Headers],[Eigen arbeid]],"")))</f>
        <v/>
      </c>
      <c r="AM319" t="str">
        <f>IF(ISNUMBER(FIND("arbeid",Methode_Keuze)),"",IF(ISNUMBER(FIND("arbeid",Methode_Keuze)),"",IF(Tb_Activiteiten[[#This Row],[Projectmedewerker]]=1,Tb_Activiteiten[[#Headers],[Projectmedewerker]],"")))</f>
        <v/>
      </c>
      <c r="AN319" t="str">
        <f>IF(ISNUMBER(FIND("arbeid",Methode_Keuze)),"",IF(ISNUMBER(FIND("arbeid",Methode_Keuze)),"",IF(Tb_Activiteiten[[#This Row],[Landbouwer]]=1,Tb_Activiteiten[[#Headers],[Landbouwer]],"")))</f>
        <v/>
      </c>
      <c r="AO319" t="str">
        <f>IF(ISNUMBER(FIND("arbeid",Methode_Keuze)),"",IF(ISNUMBER(FIND("arbeid",Methode_Keuze)),"",IF(Tb_Activiteiten[[#This Row],[Adviseur]]=1,Tb_Activiteiten[[#Headers],[Adviseur]],"")))</f>
        <v/>
      </c>
      <c r="AP319" t="str">
        <f>IF(ISNUMBER(FIND("arbeid",Methode_Keuze)),"",IF(ISNUMBER(FIND("arbeid",Methode_Keuze)),"",IF(Tb_Activiteiten[[#This Row],[Projectleider/Expert]]=1,Tb_Activiteiten[[#Headers],[Projectleider/Expert]],"")))</f>
        <v/>
      </c>
      <c r="AQ319" t="str">
        <f>IF(ISNUMBER(FIND("arbeid",Methode_Keuze)),"",IF(ISNUMBER(FIND("arbeid",Methode_Keuze)),"",IF(Tb_Activiteiten[[#This Row],[Arbeidskosten]]=1,Tb_Activiteiten[[#Headers],[Arbeidskosten]],"")))</f>
        <v/>
      </c>
      <c r="AR319" t="str">
        <f>IF(ISNUMBER(FIND("arbeid",Methode_Keuze)),"",IF(ISNUMBER(FIND("arbeid",Methode_Keuze)),"",IF(Tb_Activiteiten[[#This Row],[Arbeidskosten op basis van IKS]]=1,Tb_Activiteiten[[#Headers],[Arbeidskosten op basis van IKS]],"")))</f>
        <v/>
      </c>
      <c r="AS319" t="str">
        <f>IF(ISNUMBER(FIND("overige",Methode_Keuze)),"",IF(Tb_Activiteiten[[#This Row],[Kosten derden exclusief btw]]=1,Tb_Activiteiten[[#Headers],[Kosten derden exclusief btw]],""))</f>
        <v/>
      </c>
      <c r="AT319" t="str">
        <f>IF(ISNUMBER(FIND("overige",Methode_Keuze)),"",IF(Tb_Activiteiten[[#This Row],[Niet verrekenbare btw]]=1,Tb_Activiteiten[[#Headers],[Niet verrekenbare btw]],""))</f>
        <v/>
      </c>
      <c r="AU319" t="str">
        <f>IF(ISNUMBER(FIND("overige",Methode_Keuze)),"",IF(Tb_Activiteiten[[#This Row],[Grondkosten]]=1,Tb_Activiteiten[[#Headers],[Grondkosten]],""))</f>
        <v/>
      </c>
      <c r="AV319" t="str">
        <f>IF(ISNUMBER(FIND("overige",Methode_Keuze)),"",IF(Tb_Activiteiten[[#This Row],[Bijdrage in natura (overige)]]=1,Tb_Activiteiten[[#Headers],[Bijdrage in natura (overige)]],""))</f>
        <v/>
      </c>
      <c r="AW319" t="str">
        <f>IF(ISNUMBER(FIND("overige",Methode_Keuze)),"",IF(Tb_Activiteiten[[#This Row],[Bijdrage in natura (vrijwilligers)]]=1,Tb_Activiteiten[[#Headers],[Bijdrage in natura (vrijwilligers)]],""))</f>
        <v/>
      </c>
      <c r="AX319" t="str">
        <f>IF(ISNUMBER(FIND("overige",Methode_Keuze)),"",IF(Tb_Activiteiten[[#This Row],[Afschrijvingskosten]]=1,Tb_Activiteiten[[#Headers],[Afschrijvingskosten]],""))</f>
        <v/>
      </c>
      <c r="AY319" t="str">
        <f>IF(ISNUMBER(FIND("overige",Methode_Keuze)),"",IF(Tb_Activiteiten[[#This Row],[Vergoeding]]=1,Tb_Activiteiten[[#Headers],[Vergoeding]],""))</f>
        <v/>
      </c>
      <c r="AZ319" t="str">
        <f>IF(ISNUMBER(FIND("arbeid",Methode_Keuze)),"",IF(Tb_Activiteiten[[#This Row],[Arbeidskosten - vast tarief (excl eigen arbeid)]]=1,Tb_Activiteiten[[#Headers],[Arbeidskosten - vast tarief (excl eigen arbeid)]],""))</f>
        <v/>
      </c>
      <c r="BA319" t="str">
        <f>IF(ISNUMBER(FIND("overige",Methode_Keuze)),"",IF(Tb_Activiteiten[[#This Row],[Overige kosten]]=1,Tb_Activiteiten[[#Headers],[Overige kosten]],""))</f>
        <v/>
      </c>
    </row>
    <row r="320" spans="1:53" x14ac:dyDescent="0.25">
      <c r="A320" s="231"/>
      <c r="F320" s="64"/>
      <c r="G320" s="64"/>
      <c r="H320" s="275"/>
      <c r="I320" s="275"/>
      <c r="J320" s="275"/>
      <c r="K320" s="275"/>
      <c r="O320" s="56"/>
      <c r="Q320" t="str">
        <f>IFERROR(IF(VLOOKUP(Tb_Activiteiten[[#This Row],[Openstelling]],Tb_Openstelling[],2,0)=1,1,""),"")</f>
        <v/>
      </c>
      <c r="AK320" t="str">
        <f>IF(ISNUMBER(FIND("arbeid",Methode_Keuze)),"",IF(ISNUMBER(FIND("arbeid",Methode_Keuze)),"",IF(Tb_Activiteiten[[#This Row],[Loonkosten]]=1,Tb_Activiteiten[[#Headers],[Loonkosten]],"")))</f>
        <v/>
      </c>
      <c r="AL320" t="str">
        <f>IF(ISNUMBER(FIND("arbeid",Methode_Keuze)),"",IF(ISNUMBER(FIND("arbeid",Methode_Keuze)),"",IF(Tb_Activiteiten[[#This Row],[Eigen arbeid]]=1,Tb_Activiteiten[[#Headers],[Eigen arbeid]],"")))</f>
        <v/>
      </c>
      <c r="AM320" t="str">
        <f>IF(ISNUMBER(FIND("arbeid",Methode_Keuze)),"",IF(ISNUMBER(FIND("arbeid",Methode_Keuze)),"",IF(Tb_Activiteiten[[#This Row],[Projectmedewerker]]=1,Tb_Activiteiten[[#Headers],[Projectmedewerker]],"")))</f>
        <v/>
      </c>
      <c r="AN320" t="str">
        <f>IF(ISNUMBER(FIND("arbeid",Methode_Keuze)),"",IF(ISNUMBER(FIND("arbeid",Methode_Keuze)),"",IF(Tb_Activiteiten[[#This Row],[Landbouwer]]=1,Tb_Activiteiten[[#Headers],[Landbouwer]],"")))</f>
        <v/>
      </c>
      <c r="AO320" t="str">
        <f>IF(ISNUMBER(FIND("arbeid",Methode_Keuze)),"",IF(ISNUMBER(FIND("arbeid",Methode_Keuze)),"",IF(Tb_Activiteiten[[#This Row],[Adviseur]]=1,Tb_Activiteiten[[#Headers],[Adviseur]],"")))</f>
        <v/>
      </c>
      <c r="AP320" t="str">
        <f>IF(ISNUMBER(FIND("arbeid",Methode_Keuze)),"",IF(ISNUMBER(FIND("arbeid",Methode_Keuze)),"",IF(Tb_Activiteiten[[#This Row],[Projectleider/Expert]]=1,Tb_Activiteiten[[#Headers],[Projectleider/Expert]],"")))</f>
        <v/>
      </c>
      <c r="AQ320" t="str">
        <f>IF(ISNUMBER(FIND("arbeid",Methode_Keuze)),"",IF(ISNUMBER(FIND("arbeid",Methode_Keuze)),"",IF(Tb_Activiteiten[[#This Row],[Arbeidskosten]]=1,Tb_Activiteiten[[#Headers],[Arbeidskosten]],"")))</f>
        <v/>
      </c>
      <c r="AR320" t="str">
        <f>IF(ISNUMBER(FIND("arbeid",Methode_Keuze)),"",IF(ISNUMBER(FIND("arbeid",Methode_Keuze)),"",IF(Tb_Activiteiten[[#This Row],[Arbeidskosten op basis van IKS]]=1,Tb_Activiteiten[[#Headers],[Arbeidskosten op basis van IKS]],"")))</f>
        <v/>
      </c>
      <c r="AS320" t="str">
        <f>IF(ISNUMBER(FIND("overige",Methode_Keuze)),"",IF(Tb_Activiteiten[[#This Row],[Kosten derden exclusief btw]]=1,Tb_Activiteiten[[#Headers],[Kosten derden exclusief btw]],""))</f>
        <v/>
      </c>
      <c r="AT320" t="str">
        <f>IF(ISNUMBER(FIND("overige",Methode_Keuze)),"",IF(Tb_Activiteiten[[#This Row],[Niet verrekenbare btw]]=1,Tb_Activiteiten[[#Headers],[Niet verrekenbare btw]],""))</f>
        <v/>
      </c>
      <c r="AU320" t="str">
        <f>IF(ISNUMBER(FIND("overige",Methode_Keuze)),"",IF(Tb_Activiteiten[[#This Row],[Grondkosten]]=1,Tb_Activiteiten[[#Headers],[Grondkosten]],""))</f>
        <v/>
      </c>
      <c r="AV320" t="str">
        <f>IF(ISNUMBER(FIND("overige",Methode_Keuze)),"",IF(Tb_Activiteiten[[#This Row],[Bijdrage in natura (overige)]]=1,Tb_Activiteiten[[#Headers],[Bijdrage in natura (overige)]],""))</f>
        <v/>
      </c>
      <c r="AW320" t="str">
        <f>IF(ISNUMBER(FIND("overige",Methode_Keuze)),"",IF(Tb_Activiteiten[[#This Row],[Bijdrage in natura (vrijwilligers)]]=1,Tb_Activiteiten[[#Headers],[Bijdrage in natura (vrijwilligers)]],""))</f>
        <v/>
      </c>
      <c r="AX320" t="str">
        <f>IF(ISNUMBER(FIND("overige",Methode_Keuze)),"",IF(Tb_Activiteiten[[#This Row],[Afschrijvingskosten]]=1,Tb_Activiteiten[[#Headers],[Afschrijvingskosten]],""))</f>
        <v/>
      </c>
      <c r="AY320" t="str">
        <f>IF(ISNUMBER(FIND("overige",Methode_Keuze)),"",IF(Tb_Activiteiten[[#This Row],[Vergoeding]]=1,Tb_Activiteiten[[#Headers],[Vergoeding]],""))</f>
        <v/>
      </c>
      <c r="AZ320" t="str">
        <f>IF(ISNUMBER(FIND("arbeid",Methode_Keuze)),"",IF(Tb_Activiteiten[[#This Row],[Arbeidskosten - vast tarief (excl eigen arbeid)]]=1,Tb_Activiteiten[[#Headers],[Arbeidskosten - vast tarief (excl eigen arbeid)]],""))</f>
        <v/>
      </c>
      <c r="BA320" t="str">
        <f>IF(ISNUMBER(FIND("overige",Methode_Keuze)),"",IF(Tb_Activiteiten[[#This Row],[Overige kosten]]=1,Tb_Activiteiten[[#Headers],[Overige kosten]],""))</f>
        <v/>
      </c>
    </row>
    <row r="321" spans="1:53" x14ac:dyDescent="0.25">
      <c r="A321" s="231"/>
      <c r="F321" s="64"/>
      <c r="G321" s="64"/>
      <c r="H321" s="275"/>
      <c r="I321" s="275"/>
      <c r="J321" s="275"/>
      <c r="K321" s="275"/>
      <c r="O321" s="56"/>
      <c r="Q321" t="str">
        <f>IFERROR(IF(VLOOKUP(Tb_Activiteiten[[#This Row],[Openstelling]],Tb_Openstelling[],2,0)=1,1,""),"")</f>
        <v/>
      </c>
      <c r="AK321" t="str">
        <f>IF(ISNUMBER(FIND("arbeid",Methode_Keuze)),"",IF(ISNUMBER(FIND("arbeid",Methode_Keuze)),"",IF(Tb_Activiteiten[[#This Row],[Loonkosten]]=1,Tb_Activiteiten[[#Headers],[Loonkosten]],"")))</f>
        <v/>
      </c>
      <c r="AL321" t="str">
        <f>IF(ISNUMBER(FIND("arbeid",Methode_Keuze)),"",IF(ISNUMBER(FIND("arbeid",Methode_Keuze)),"",IF(Tb_Activiteiten[[#This Row],[Eigen arbeid]]=1,Tb_Activiteiten[[#Headers],[Eigen arbeid]],"")))</f>
        <v/>
      </c>
      <c r="AM321" t="str">
        <f>IF(ISNUMBER(FIND("arbeid",Methode_Keuze)),"",IF(ISNUMBER(FIND("arbeid",Methode_Keuze)),"",IF(Tb_Activiteiten[[#This Row],[Projectmedewerker]]=1,Tb_Activiteiten[[#Headers],[Projectmedewerker]],"")))</f>
        <v/>
      </c>
      <c r="AN321" t="str">
        <f>IF(ISNUMBER(FIND("arbeid",Methode_Keuze)),"",IF(ISNUMBER(FIND("arbeid",Methode_Keuze)),"",IF(Tb_Activiteiten[[#This Row],[Landbouwer]]=1,Tb_Activiteiten[[#Headers],[Landbouwer]],"")))</f>
        <v/>
      </c>
      <c r="AO321" t="str">
        <f>IF(ISNUMBER(FIND("arbeid",Methode_Keuze)),"",IF(ISNUMBER(FIND("arbeid",Methode_Keuze)),"",IF(Tb_Activiteiten[[#This Row],[Adviseur]]=1,Tb_Activiteiten[[#Headers],[Adviseur]],"")))</f>
        <v/>
      </c>
      <c r="AP321" t="str">
        <f>IF(ISNUMBER(FIND("arbeid",Methode_Keuze)),"",IF(ISNUMBER(FIND("arbeid",Methode_Keuze)),"",IF(Tb_Activiteiten[[#This Row],[Projectleider/Expert]]=1,Tb_Activiteiten[[#Headers],[Projectleider/Expert]],"")))</f>
        <v/>
      </c>
      <c r="AQ321" t="str">
        <f>IF(ISNUMBER(FIND("arbeid",Methode_Keuze)),"",IF(ISNUMBER(FIND("arbeid",Methode_Keuze)),"",IF(Tb_Activiteiten[[#This Row],[Arbeidskosten]]=1,Tb_Activiteiten[[#Headers],[Arbeidskosten]],"")))</f>
        <v/>
      </c>
      <c r="AR321" t="str">
        <f>IF(ISNUMBER(FIND("arbeid",Methode_Keuze)),"",IF(ISNUMBER(FIND("arbeid",Methode_Keuze)),"",IF(Tb_Activiteiten[[#This Row],[Arbeidskosten op basis van IKS]]=1,Tb_Activiteiten[[#Headers],[Arbeidskosten op basis van IKS]],"")))</f>
        <v/>
      </c>
      <c r="AS321" t="str">
        <f>IF(ISNUMBER(FIND("overige",Methode_Keuze)),"",IF(Tb_Activiteiten[[#This Row],[Kosten derden exclusief btw]]=1,Tb_Activiteiten[[#Headers],[Kosten derden exclusief btw]],""))</f>
        <v/>
      </c>
      <c r="AT321" t="str">
        <f>IF(ISNUMBER(FIND("overige",Methode_Keuze)),"",IF(Tb_Activiteiten[[#This Row],[Niet verrekenbare btw]]=1,Tb_Activiteiten[[#Headers],[Niet verrekenbare btw]],""))</f>
        <v/>
      </c>
      <c r="AU321" t="str">
        <f>IF(ISNUMBER(FIND("overige",Methode_Keuze)),"",IF(Tb_Activiteiten[[#This Row],[Grondkosten]]=1,Tb_Activiteiten[[#Headers],[Grondkosten]],""))</f>
        <v/>
      </c>
      <c r="AV321" t="str">
        <f>IF(ISNUMBER(FIND("overige",Methode_Keuze)),"",IF(Tb_Activiteiten[[#This Row],[Bijdrage in natura (overige)]]=1,Tb_Activiteiten[[#Headers],[Bijdrage in natura (overige)]],""))</f>
        <v/>
      </c>
      <c r="AW321" t="str">
        <f>IF(ISNUMBER(FIND("overige",Methode_Keuze)),"",IF(Tb_Activiteiten[[#This Row],[Bijdrage in natura (vrijwilligers)]]=1,Tb_Activiteiten[[#Headers],[Bijdrage in natura (vrijwilligers)]],""))</f>
        <v/>
      </c>
      <c r="AX321" t="str">
        <f>IF(ISNUMBER(FIND("overige",Methode_Keuze)),"",IF(Tb_Activiteiten[[#This Row],[Afschrijvingskosten]]=1,Tb_Activiteiten[[#Headers],[Afschrijvingskosten]],""))</f>
        <v/>
      </c>
      <c r="AY321" t="str">
        <f>IF(ISNUMBER(FIND("overige",Methode_Keuze)),"",IF(Tb_Activiteiten[[#This Row],[Vergoeding]]=1,Tb_Activiteiten[[#Headers],[Vergoeding]],""))</f>
        <v/>
      </c>
      <c r="AZ321" t="str">
        <f>IF(ISNUMBER(FIND("arbeid",Methode_Keuze)),"",IF(Tb_Activiteiten[[#This Row],[Arbeidskosten - vast tarief (excl eigen arbeid)]]=1,Tb_Activiteiten[[#Headers],[Arbeidskosten - vast tarief (excl eigen arbeid)]],""))</f>
        <v/>
      </c>
      <c r="BA321" t="str">
        <f>IF(ISNUMBER(FIND("overige",Methode_Keuze)),"",IF(Tb_Activiteiten[[#This Row],[Overige kosten]]=1,Tb_Activiteiten[[#Headers],[Overige kosten]],""))</f>
        <v/>
      </c>
    </row>
    <row r="322" spans="1:53" x14ac:dyDescent="0.25">
      <c r="A322" s="231"/>
      <c r="F322" s="64"/>
      <c r="G322" s="64"/>
      <c r="H322" s="275"/>
      <c r="I322" s="275"/>
      <c r="J322" s="275"/>
      <c r="K322" s="275"/>
      <c r="O322" s="56"/>
      <c r="Q322" t="str">
        <f>IFERROR(IF(VLOOKUP(Tb_Activiteiten[[#This Row],[Openstelling]],Tb_Openstelling[],2,0)=1,1,""),"")</f>
        <v/>
      </c>
      <c r="AK322" t="str">
        <f>IF(ISNUMBER(FIND("arbeid",Methode_Keuze)),"",IF(ISNUMBER(FIND("arbeid",Methode_Keuze)),"",IF(Tb_Activiteiten[[#This Row],[Loonkosten]]=1,Tb_Activiteiten[[#Headers],[Loonkosten]],"")))</f>
        <v/>
      </c>
      <c r="AL322" t="str">
        <f>IF(ISNUMBER(FIND("arbeid",Methode_Keuze)),"",IF(ISNUMBER(FIND("arbeid",Methode_Keuze)),"",IF(Tb_Activiteiten[[#This Row],[Eigen arbeid]]=1,Tb_Activiteiten[[#Headers],[Eigen arbeid]],"")))</f>
        <v/>
      </c>
      <c r="AM322" t="str">
        <f>IF(ISNUMBER(FIND("arbeid",Methode_Keuze)),"",IF(ISNUMBER(FIND("arbeid",Methode_Keuze)),"",IF(Tb_Activiteiten[[#This Row],[Projectmedewerker]]=1,Tb_Activiteiten[[#Headers],[Projectmedewerker]],"")))</f>
        <v/>
      </c>
      <c r="AN322" t="str">
        <f>IF(ISNUMBER(FIND("arbeid",Methode_Keuze)),"",IF(ISNUMBER(FIND("arbeid",Methode_Keuze)),"",IF(Tb_Activiteiten[[#This Row],[Landbouwer]]=1,Tb_Activiteiten[[#Headers],[Landbouwer]],"")))</f>
        <v/>
      </c>
      <c r="AO322" t="str">
        <f>IF(ISNUMBER(FIND("arbeid",Methode_Keuze)),"",IF(ISNUMBER(FIND("arbeid",Methode_Keuze)),"",IF(Tb_Activiteiten[[#This Row],[Adviseur]]=1,Tb_Activiteiten[[#Headers],[Adviseur]],"")))</f>
        <v/>
      </c>
      <c r="AP322" t="str">
        <f>IF(ISNUMBER(FIND("arbeid",Methode_Keuze)),"",IF(ISNUMBER(FIND("arbeid",Methode_Keuze)),"",IF(Tb_Activiteiten[[#This Row],[Projectleider/Expert]]=1,Tb_Activiteiten[[#Headers],[Projectleider/Expert]],"")))</f>
        <v/>
      </c>
      <c r="AQ322" t="str">
        <f>IF(ISNUMBER(FIND("arbeid",Methode_Keuze)),"",IF(ISNUMBER(FIND("arbeid",Methode_Keuze)),"",IF(Tb_Activiteiten[[#This Row],[Arbeidskosten]]=1,Tb_Activiteiten[[#Headers],[Arbeidskosten]],"")))</f>
        <v/>
      </c>
      <c r="AR322" t="str">
        <f>IF(ISNUMBER(FIND("arbeid",Methode_Keuze)),"",IF(ISNUMBER(FIND("arbeid",Methode_Keuze)),"",IF(Tb_Activiteiten[[#This Row],[Arbeidskosten op basis van IKS]]=1,Tb_Activiteiten[[#Headers],[Arbeidskosten op basis van IKS]],"")))</f>
        <v/>
      </c>
      <c r="AS322" t="str">
        <f>IF(ISNUMBER(FIND("overige",Methode_Keuze)),"",IF(Tb_Activiteiten[[#This Row],[Kosten derden exclusief btw]]=1,Tb_Activiteiten[[#Headers],[Kosten derden exclusief btw]],""))</f>
        <v/>
      </c>
      <c r="AT322" t="str">
        <f>IF(ISNUMBER(FIND("overige",Methode_Keuze)),"",IF(Tb_Activiteiten[[#This Row],[Niet verrekenbare btw]]=1,Tb_Activiteiten[[#Headers],[Niet verrekenbare btw]],""))</f>
        <v/>
      </c>
      <c r="AU322" t="str">
        <f>IF(ISNUMBER(FIND("overige",Methode_Keuze)),"",IF(Tb_Activiteiten[[#This Row],[Grondkosten]]=1,Tb_Activiteiten[[#Headers],[Grondkosten]],""))</f>
        <v/>
      </c>
      <c r="AV322" t="str">
        <f>IF(ISNUMBER(FIND("overige",Methode_Keuze)),"",IF(Tb_Activiteiten[[#This Row],[Bijdrage in natura (overige)]]=1,Tb_Activiteiten[[#Headers],[Bijdrage in natura (overige)]],""))</f>
        <v/>
      </c>
      <c r="AW322" t="str">
        <f>IF(ISNUMBER(FIND("overige",Methode_Keuze)),"",IF(Tb_Activiteiten[[#This Row],[Bijdrage in natura (vrijwilligers)]]=1,Tb_Activiteiten[[#Headers],[Bijdrage in natura (vrijwilligers)]],""))</f>
        <v/>
      </c>
      <c r="AX322" t="str">
        <f>IF(ISNUMBER(FIND("overige",Methode_Keuze)),"",IF(Tb_Activiteiten[[#This Row],[Afschrijvingskosten]]=1,Tb_Activiteiten[[#Headers],[Afschrijvingskosten]],""))</f>
        <v/>
      </c>
      <c r="AY322" t="str">
        <f>IF(ISNUMBER(FIND("overige",Methode_Keuze)),"",IF(Tb_Activiteiten[[#This Row],[Vergoeding]]=1,Tb_Activiteiten[[#Headers],[Vergoeding]],""))</f>
        <v/>
      </c>
      <c r="AZ322" t="str">
        <f>IF(ISNUMBER(FIND("arbeid",Methode_Keuze)),"",IF(Tb_Activiteiten[[#This Row],[Arbeidskosten - vast tarief (excl eigen arbeid)]]=1,Tb_Activiteiten[[#Headers],[Arbeidskosten - vast tarief (excl eigen arbeid)]],""))</f>
        <v/>
      </c>
      <c r="BA322" t="str">
        <f>IF(ISNUMBER(FIND("overige",Methode_Keuze)),"",IF(Tb_Activiteiten[[#This Row],[Overige kosten]]=1,Tb_Activiteiten[[#Headers],[Overige kosten]],""))</f>
        <v/>
      </c>
    </row>
    <row r="323" spans="1:53" x14ac:dyDescent="0.25">
      <c r="A323" s="231"/>
      <c r="F323" s="64"/>
      <c r="G323" s="64"/>
      <c r="H323" s="275"/>
      <c r="I323" s="275"/>
      <c r="J323" s="275"/>
      <c r="K323" s="275"/>
      <c r="O323" s="56"/>
      <c r="Q323" t="str">
        <f>IFERROR(IF(VLOOKUP(Tb_Activiteiten[[#This Row],[Openstelling]],Tb_Openstelling[],2,0)=1,1,""),"")</f>
        <v/>
      </c>
      <c r="AK323" t="str">
        <f>IF(ISNUMBER(FIND("arbeid",Methode_Keuze)),"",IF(ISNUMBER(FIND("arbeid",Methode_Keuze)),"",IF(Tb_Activiteiten[[#This Row],[Loonkosten]]=1,Tb_Activiteiten[[#Headers],[Loonkosten]],"")))</f>
        <v/>
      </c>
      <c r="AL323" t="str">
        <f>IF(ISNUMBER(FIND("arbeid",Methode_Keuze)),"",IF(ISNUMBER(FIND("arbeid",Methode_Keuze)),"",IF(Tb_Activiteiten[[#This Row],[Eigen arbeid]]=1,Tb_Activiteiten[[#Headers],[Eigen arbeid]],"")))</f>
        <v/>
      </c>
      <c r="AM323" t="str">
        <f>IF(ISNUMBER(FIND("arbeid",Methode_Keuze)),"",IF(ISNUMBER(FIND("arbeid",Methode_Keuze)),"",IF(Tb_Activiteiten[[#This Row],[Projectmedewerker]]=1,Tb_Activiteiten[[#Headers],[Projectmedewerker]],"")))</f>
        <v/>
      </c>
      <c r="AN323" t="str">
        <f>IF(ISNUMBER(FIND("arbeid",Methode_Keuze)),"",IF(ISNUMBER(FIND("arbeid",Methode_Keuze)),"",IF(Tb_Activiteiten[[#This Row],[Landbouwer]]=1,Tb_Activiteiten[[#Headers],[Landbouwer]],"")))</f>
        <v/>
      </c>
      <c r="AO323" t="str">
        <f>IF(ISNUMBER(FIND("arbeid",Methode_Keuze)),"",IF(ISNUMBER(FIND("arbeid",Methode_Keuze)),"",IF(Tb_Activiteiten[[#This Row],[Adviseur]]=1,Tb_Activiteiten[[#Headers],[Adviseur]],"")))</f>
        <v/>
      </c>
      <c r="AP323" t="str">
        <f>IF(ISNUMBER(FIND("arbeid",Methode_Keuze)),"",IF(ISNUMBER(FIND("arbeid",Methode_Keuze)),"",IF(Tb_Activiteiten[[#This Row],[Projectleider/Expert]]=1,Tb_Activiteiten[[#Headers],[Projectleider/Expert]],"")))</f>
        <v/>
      </c>
      <c r="AQ323" t="str">
        <f>IF(ISNUMBER(FIND("arbeid",Methode_Keuze)),"",IF(ISNUMBER(FIND("arbeid",Methode_Keuze)),"",IF(Tb_Activiteiten[[#This Row],[Arbeidskosten]]=1,Tb_Activiteiten[[#Headers],[Arbeidskosten]],"")))</f>
        <v/>
      </c>
      <c r="AR323" t="str">
        <f>IF(ISNUMBER(FIND("arbeid",Methode_Keuze)),"",IF(ISNUMBER(FIND("arbeid",Methode_Keuze)),"",IF(Tb_Activiteiten[[#This Row],[Arbeidskosten op basis van IKS]]=1,Tb_Activiteiten[[#Headers],[Arbeidskosten op basis van IKS]],"")))</f>
        <v/>
      </c>
      <c r="AS323" t="str">
        <f>IF(ISNUMBER(FIND("overige",Methode_Keuze)),"",IF(Tb_Activiteiten[[#This Row],[Kosten derden exclusief btw]]=1,Tb_Activiteiten[[#Headers],[Kosten derden exclusief btw]],""))</f>
        <v/>
      </c>
      <c r="AT323" t="str">
        <f>IF(ISNUMBER(FIND("overige",Methode_Keuze)),"",IF(Tb_Activiteiten[[#This Row],[Niet verrekenbare btw]]=1,Tb_Activiteiten[[#Headers],[Niet verrekenbare btw]],""))</f>
        <v/>
      </c>
      <c r="AU323" t="str">
        <f>IF(ISNUMBER(FIND("overige",Methode_Keuze)),"",IF(Tb_Activiteiten[[#This Row],[Grondkosten]]=1,Tb_Activiteiten[[#Headers],[Grondkosten]],""))</f>
        <v/>
      </c>
      <c r="AV323" t="str">
        <f>IF(ISNUMBER(FIND("overige",Methode_Keuze)),"",IF(Tb_Activiteiten[[#This Row],[Bijdrage in natura (overige)]]=1,Tb_Activiteiten[[#Headers],[Bijdrage in natura (overige)]],""))</f>
        <v/>
      </c>
      <c r="AW323" t="str">
        <f>IF(ISNUMBER(FIND("overige",Methode_Keuze)),"",IF(Tb_Activiteiten[[#This Row],[Bijdrage in natura (vrijwilligers)]]=1,Tb_Activiteiten[[#Headers],[Bijdrage in natura (vrijwilligers)]],""))</f>
        <v/>
      </c>
      <c r="AX323" t="str">
        <f>IF(ISNUMBER(FIND("overige",Methode_Keuze)),"",IF(Tb_Activiteiten[[#This Row],[Afschrijvingskosten]]=1,Tb_Activiteiten[[#Headers],[Afschrijvingskosten]],""))</f>
        <v/>
      </c>
      <c r="AY323" t="str">
        <f>IF(ISNUMBER(FIND("overige",Methode_Keuze)),"",IF(Tb_Activiteiten[[#This Row],[Vergoeding]]=1,Tb_Activiteiten[[#Headers],[Vergoeding]],""))</f>
        <v/>
      </c>
      <c r="AZ323" t="str">
        <f>IF(ISNUMBER(FIND("arbeid",Methode_Keuze)),"",IF(Tb_Activiteiten[[#This Row],[Arbeidskosten - vast tarief (excl eigen arbeid)]]=1,Tb_Activiteiten[[#Headers],[Arbeidskosten - vast tarief (excl eigen arbeid)]],""))</f>
        <v/>
      </c>
      <c r="BA323" t="str">
        <f>IF(ISNUMBER(FIND("overige",Methode_Keuze)),"",IF(Tb_Activiteiten[[#This Row],[Overige kosten]]=1,Tb_Activiteiten[[#Headers],[Overige kosten]],""))</f>
        <v/>
      </c>
    </row>
    <row r="324" spans="1:53" x14ac:dyDescent="0.25">
      <c r="A324" s="231"/>
      <c r="F324" s="64"/>
      <c r="G324" s="64"/>
      <c r="H324" s="275"/>
      <c r="I324" s="275"/>
      <c r="J324" s="275"/>
      <c r="K324" s="275"/>
      <c r="O324" s="56"/>
      <c r="Q324" t="str">
        <f>IFERROR(IF(VLOOKUP(Tb_Activiteiten[[#This Row],[Openstelling]],Tb_Openstelling[],2,0)=1,1,""),"")</f>
        <v/>
      </c>
      <c r="AK324" t="str">
        <f>IF(ISNUMBER(FIND("arbeid",Methode_Keuze)),"",IF(ISNUMBER(FIND("arbeid",Methode_Keuze)),"",IF(Tb_Activiteiten[[#This Row],[Loonkosten]]=1,Tb_Activiteiten[[#Headers],[Loonkosten]],"")))</f>
        <v/>
      </c>
      <c r="AL324" t="str">
        <f>IF(ISNUMBER(FIND("arbeid",Methode_Keuze)),"",IF(ISNUMBER(FIND("arbeid",Methode_Keuze)),"",IF(Tb_Activiteiten[[#This Row],[Eigen arbeid]]=1,Tb_Activiteiten[[#Headers],[Eigen arbeid]],"")))</f>
        <v/>
      </c>
      <c r="AM324" t="str">
        <f>IF(ISNUMBER(FIND("arbeid",Methode_Keuze)),"",IF(ISNUMBER(FIND("arbeid",Methode_Keuze)),"",IF(Tb_Activiteiten[[#This Row],[Projectmedewerker]]=1,Tb_Activiteiten[[#Headers],[Projectmedewerker]],"")))</f>
        <v/>
      </c>
      <c r="AN324" t="str">
        <f>IF(ISNUMBER(FIND("arbeid",Methode_Keuze)),"",IF(ISNUMBER(FIND("arbeid",Methode_Keuze)),"",IF(Tb_Activiteiten[[#This Row],[Landbouwer]]=1,Tb_Activiteiten[[#Headers],[Landbouwer]],"")))</f>
        <v/>
      </c>
      <c r="AO324" t="str">
        <f>IF(ISNUMBER(FIND("arbeid",Methode_Keuze)),"",IF(ISNUMBER(FIND("arbeid",Methode_Keuze)),"",IF(Tb_Activiteiten[[#This Row],[Adviseur]]=1,Tb_Activiteiten[[#Headers],[Adviseur]],"")))</f>
        <v/>
      </c>
      <c r="AP324" t="str">
        <f>IF(ISNUMBER(FIND("arbeid",Methode_Keuze)),"",IF(ISNUMBER(FIND("arbeid",Methode_Keuze)),"",IF(Tb_Activiteiten[[#This Row],[Projectleider/Expert]]=1,Tb_Activiteiten[[#Headers],[Projectleider/Expert]],"")))</f>
        <v/>
      </c>
      <c r="AQ324" t="str">
        <f>IF(ISNUMBER(FIND("arbeid",Methode_Keuze)),"",IF(ISNUMBER(FIND("arbeid",Methode_Keuze)),"",IF(Tb_Activiteiten[[#This Row],[Arbeidskosten]]=1,Tb_Activiteiten[[#Headers],[Arbeidskosten]],"")))</f>
        <v/>
      </c>
      <c r="AR324" t="str">
        <f>IF(ISNUMBER(FIND("arbeid",Methode_Keuze)),"",IF(ISNUMBER(FIND("arbeid",Methode_Keuze)),"",IF(Tb_Activiteiten[[#This Row],[Arbeidskosten op basis van IKS]]=1,Tb_Activiteiten[[#Headers],[Arbeidskosten op basis van IKS]],"")))</f>
        <v/>
      </c>
      <c r="AS324" t="str">
        <f>IF(ISNUMBER(FIND("overige",Methode_Keuze)),"",IF(Tb_Activiteiten[[#This Row],[Kosten derden exclusief btw]]=1,Tb_Activiteiten[[#Headers],[Kosten derden exclusief btw]],""))</f>
        <v/>
      </c>
      <c r="AT324" t="str">
        <f>IF(ISNUMBER(FIND("overige",Methode_Keuze)),"",IF(Tb_Activiteiten[[#This Row],[Niet verrekenbare btw]]=1,Tb_Activiteiten[[#Headers],[Niet verrekenbare btw]],""))</f>
        <v/>
      </c>
      <c r="AU324" t="str">
        <f>IF(ISNUMBER(FIND("overige",Methode_Keuze)),"",IF(Tb_Activiteiten[[#This Row],[Grondkosten]]=1,Tb_Activiteiten[[#Headers],[Grondkosten]],""))</f>
        <v/>
      </c>
      <c r="AV324" t="str">
        <f>IF(ISNUMBER(FIND("overige",Methode_Keuze)),"",IF(Tb_Activiteiten[[#This Row],[Bijdrage in natura (overige)]]=1,Tb_Activiteiten[[#Headers],[Bijdrage in natura (overige)]],""))</f>
        <v/>
      </c>
      <c r="AW324" t="str">
        <f>IF(ISNUMBER(FIND("overige",Methode_Keuze)),"",IF(Tb_Activiteiten[[#This Row],[Bijdrage in natura (vrijwilligers)]]=1,Tb_Activiteiten[[#Headers],[Bijdrage in natura (vrijwilligers)]],""))</f>
        <v/>
      </c>
      <c r="AX324" t="str">
        <f>IF(ISNUMBER(FIND("overige",Methode_Keuze)),"",IF(Tb_Activiteiten[[#This Row],[Afschrijvingskosten]]=1,Tb_Activiteiten[[#Headers],[Afschrijvingskosten]],""))</f>
        <v/>
      </c>
      <c r="AY324" t="str">
        <f>IF(ISNUMBER(FIND("overige",Methode_Keuze)),"",IF(Tb_Activiteiten[[#This Row],[Vergoeding]]=1,Tb_Activiteiten[[#Headers],[Vergoeding]],""))</f>
        <v/>
      </c>
      <c r="AZ324" t="str">
        <f>IF(ISNUMBER(FIND("arbeid",Methode_Keuze)),"",IF(Tb_Activiteiten[[#This Row],[Arbeidskosten - vast tarief (excl eigen arbeid)]]=1,Tb_Activiteiten[[#Headers],[Arbeidskosten - vast tarief (excl eigen arbeid)]],""))</f>
        <v/>
      </c>
      <c r="BA324" t="str">
        <f>IF(ISNUMBER(FIND("overige",Methode_Keuze)),"",IF(Tb_Activiteiten[[#This Row],[Overige kosten]]=1,Tb_Activiteiten[[#Headers],[Overige kosten]],""))</f>
        <v/>
      </c>
    </row>
    <row r="325" spans="1:53" x14ac:dyDescent="0.25">
      <c r="A325" s="231"/>
      <c r="F325" s="64"/>
      <c r="G325" s="64"/>
      <c r="H325" s="275"/>
      <c r="I325" s="275"/>
      <c r="J325" s="275"/>
      <c r="K325" s="275"/>
      <c r="O325" s="56"/>
      <c r="Q325" t="str">
        <f>IFERROR(IF(VLOOKUP(Tb_Activiteiten[[#This Row],[Openstelling]],Tb_Openstelling[],2,0)=1,1,""),"")</f>
        <v/>
      </c>
      <c r="AK325" t="str">
        <f>IF(ISNUMBER(FIND("arbeid",Methode_Keuze)),"",IF(ISNUMBER(FIND("arbeid",Methode_Keuze)),"",IF(Tb_Activiteiten[[#This Row],[Loonkosten]]=1,Tb_Activiteiten[[#Headers],[Loonkosten]],"")))</f>
        <v/>
      </c>
      <c r="AL325" t="str">
        <f>IF(ISNUMBER(FIND("arbeid",Methode_Keuze)),"",IF(ISNUMBER(FIND("arbeid",Methode_Keuze)),"",IF(Tb_Activiteiten[[#This Row],[Eigen arbeid]]=1,Tb_Activiteiten[[#Headers],[Eigen arbeid]],"")))</f>
        <v/>
      </c>
      <c r="AM325" t="str">
        <f>IF(ISNUMBER(FIND("arbeid",Methode_Keuze)),"",IF(ISNUMBER(FIND("arbeid",Methode_Keuze)),"",IF(Tb_Activiteiten[[#This Row],[Projectmedewerker]]=1,Tb_Activiteiten[[#Headers],[Projectmedewerker]],"")))</f>
        <v/>
      </c>
      <c r="AN325" t="str">
        <f>IF(ISNUMBER(FIND("arbeid",Methode_Keuze)),"",IF(ISNUMBER(FIND("arbeid",Methode_Keuze)),"",IF(Tb_Activiteiten[[#This Row],[Landbouwer]]=1,Tb_Activiteiten[[#Headers],[Landbouwer]],"")))</f>
        <v/>
      </c>
      <c r="AO325" t="str">
        <f>IF(ISNUMBER(FIND("arbeid",Methode_Keuze)),"",IF(ISNUMBER(FIND("arbeid",Methode_Keuze)),"",IF(Tb_Activiteiten[[#This Row],[Adviseur]]=1,Tb_Activiteiten[[#Headers],[Adviseur]],"")))</f>
        <v/>
      </c>
      <c r="AP325" t="str">
        <f>IF(ISNUMBER(FIND("arbeid",Methode_Keuze)),"",IF(ISNUMBER(FIND("arbeid",Methode_Keuze)),"",IF(Tb_Activiteiten[[#This Row],[Projectleider/Expert]]=1,Tb_Activiteiten[[#Headers],[Projectleider/Expert]],"")))</f>
        <v/>
      </c>
      <c r="AQ325" t="str">
        <f>IF(ISNUMBER(FIND("arbeid",Methode_Keuze)),"",IF(ISNUMBER(FIND("arbeid",Methode_Keuze)),"",IF(Tb_Activiteiten[[#This Row],[Arbeidskosten]]=1,Tb_Activiteiten[[#Headers],[Arbeidskosten]],"")))</f>
        <v/>
      </c>
      <c r="AR325" t="str">
        <f>IF(ISNUMBER(FIND("arbeid",Methode_Keuze)),"",IF(ISNUMBER(FIND("arbeid",Methode_Keuze)),"",IF(Tb_Activiteiten[[#This Row],[Arbeidskosten op basis van IKS]]=1,Tb_Activiteiten[[#Headers],[Arbeidskosten op basis van IKS]],"")))</f>
        <v/>
      </c>
      <c r="AS325" t="str">
        <f>IF(ISNUMBER(FIND("overige",Methode_Keuze)),"",IF(Tb_Activiteiten[[#This Row],[Kosten derden exclusief btw]]=1,Tb_Activiteiten[[#Headers],[Kosten derden exclusief btw]],""))</f>
        <v/>
      </c>
      <c r="AT325" t="str">
        <f>IF(ISNUMBER(FIND("overige",Methode_Keuze)),"",IF(Tb_Activiteiten[[#This Row],[Niet verrekenbare btw]]=1,Tb_Activiteiten[[#Headers],[Niet verrekenbare btw]],""))</f>
        <v/>
      </c>
      <c r="AU325" t="str">
        <f>IF(ISNUMBER(FIND("overige",Methode_Keuze)),"",IF(Tb_Activiteiten[[#This Row],[Grondkosten]]=1,Tb_Activiteiten[[#Headers],[Grondkosten]],""))</f>
        <v/>
      </c>
      <c r="AV325" t="str">
        <f>IF(ISNUMBER(FIND("overige",Methode_Keuze)),"",IF(Tb_Activiteiten[[#This Row],[Bijdrage in natura (overige)]]=1,Tb_Activiteiten[[#Headers],[Bijdrage in natura (overige)]],""))</f>
        <v/>
      </c>
      <c r="AW325" t="str">
        <f>IF(ISNUMBER(FIND("overige",Methode_Keuze)),"",IF(Tb_Activiteiten[[#This Row],[Bijdrage in natura (vrijwilligers)]]=1,Tb_Activiteiten[[#Headers],[Bijdrage in natura (vrijwilligers)]],""))</f>
        <v/>
      </c>
      <c r="AX325" t="str">
        <f>IF(ISNUMBER(FIND("overige",Methode_Keuze)),"",IF(Tb_Activiteiten[[#This Row],[Afschrijvingskosten]]=1,Tb_Activiteiten[[#Headers],[Afschrijvingskosten]],""))</f>
        <v/>
      </c>
      <c r="AY325" t="str">
        <f>IF(ISNUMBER(FIND("overige",Methode_Keuze)),"",IF(Tb_Activiteiten[[#This Row],[Vergoeding]]=1,Tb_Activiteiten[[#Headers],[Vergoeding]],""))</f>
        <v/>
      </c>
      <c r="AZ325" t="str">
        <f>IF(ISNUMBER(FIND("arbeid",Methode_Keuze)),"",IF(Tb_Activiteiten[[#This Row],[Arbeidskosten - vast tarief (excl eigen arbeid)]]=1,Tb_Activiteiten[[#Headers],[Arbeidskosten - vast tarief (excl eigen arbeid)]],""))</f>
        <v/>
      </c>
      <c r="BA325" t="str">
        <f>IF(ISNUMBER(FIND("overige",Methode_Keuze)),"",IF(Tb_Activiteiten[[#This Row],[Overige kosten]]=1,Tb_Activiteiten[[#Headers],[Overige kosten]],""))</f>
        <v/>
      </c>
    </row>
    <row r="326" spans="1:53" x14ac:dyDescent="0.25">
      <c r="A326" s="231"/>
      <c r="F326" s="64"/>
      <c r="G326" s="64"/>
      <c r="H326" s="275"/>
      <c r="I326" s="275"/>
      <c r="J326" s="275"/>
      <c r="K326" s="275"/>
      <c r="O326" s="56"/>
      <c r="Q326" t="str">
        <f>IFERROR(IF(VLOOKUP(Tb_Activiteiten[[#This Row],[Openstelling]],Tb_Openstelling[],2,0)=1,1,""),"")</f>
        <v/>
      </c>
      <c r="AK326" t="str">
        <f>IF(ISNUMBER(FIND("arbeid",Methode_Keuze)),"",IF(ISNUMBER(FIND("arbeid",Methode_Keuze)),"",IF(Tb_Activiteiten[[#This Row],[Loonkosten]]=1,Tb_Activiteiten[[#Headers],[Loonkosten]],"")))</f>
        <v/>
      </c>
      <c r="AL326" t="str">
        <f>IF(ISNUMBER(FIND("arbeid",Methode_Keuze)),"",IF(ISNUMBER(FIND("arbeid",Methode_Keuze)),"",IF(Tb_Activiteiten[[#This Row],[Eigen arbeid]]=1,Tb_Activiteiten[[#Headers],[Eigen arbeid]],"")))</f>
        <v/>
      </c>
      <c r="AM326" t="str">
        <f>IF(ISNUMBER(FIND("arbeid",Methode_Keuze)),"",IF(ISNUMBER(FIND("arbeid",Methode_Keuze)),"",IF(Tb_Activiteiten[[#This Row],[Projectmedewerker]]=1,Tb_Activiteiten[[#Headers],[Projectmedewerker]],"")))</f>
        <v/>
      </c>
      <c r="AN326" t="str">
        <f>IF(ISNUMBER(FIND("arbeid",Methode_Keuze)),"",IF(ISNUMBER(FIND("arbeid",Methode_Keuze)),"",IF(Tb_Activiteiten[[#This Row],[Landbouwer]]=1,Tb_Activiteiten[[#Headers],[Landbouwer]],"")))</f>
        <v/>
      </c>
      <c r="AO326" t="str">
        <f>IF(ISNUMBER(FIND("arbeid",Methode_Keuze)),"",IF(ISNUMBER(FIND("arbeid",Methode_Keuze)),"",IF(Tb_Activiteiten[[#This Row],[Adviseur]]=1,Tb_Activiteiten[[#Headers],[Adviseur]],"")))</f>
        <v/>
      </c>
      <c r="AP326" t="str">
        <f>IF(ISNUMBER(FIND("arbeid",Methode_Keuze)),"",IF(ISNUMBER(FIND("arbeid",Methode_Keuze)),"",IF(Tb_Activiteiten[[#This Row],[Projectleider/Expert]]=1,Tb_Activiteiten[[#Headers],[Projectleider/Expert]],"")))</f>
        <v/>
      </c>
      <c r="AQ326" t="str">
        <f>IF(ISNUMBER(FIND("arbeid",Methode_Keuze)),"",IF(ISNUMBER(FIND("arbeid",Methode_Keuze)),"",IF(Tb_Activiteiten[[#This Row],[Arbeidskosten]]=1,Tb_Activiteiten[[#Headers],[Arbeidskosten]],"")))</f>
        <v/>
      </c>
      <c r="AR326" t="str">
        <f>IF(ISNUMBER(FIND("arbeid",Methode_Keuze)),"",IF(ISNUMBER(FIND("arbeid",Methode_Keuze)),"",IF(Tb_Activiteiten[[#This Row],[Arbeidskosten op basis van IKS]]=1,Tb_Activiteiten[[#Headers],[Arbeidskosten op basis van IKS]],"")))</f>
        <v/>
      </c>
      <c r="AS326" t="str">
        <f>IF(ISNUMBER(FIND("overige",Methode_Keuze)),"",IF(Tb_Activiteiten[[#This Row],[Kosten derden exclusief btw]]=1,Tb_Activiteiten[[#Headers],[Kosten derden exclusief btw]],""))</f>
        <v/>
      </c>
      <c r="AT326" t="str">
        <f>IF(ISNUMBER(FIND("overige",Methode_Keuze)),"",IF(Tb_Activiteiten[[#This Row],[Niet verrekenbare btw]]=1,Tb_Activiteiten[[#Headers],[Niet verrekenbare btw]],""))</f>
        <v/>
      </c>
      <c r="AU326" t="str">
        <f>IF(ISNUMBER(FIND("overige",Methode_Keuze)),"",IF(Tb_Activiteiten[[#This Row],[Grondkosten]]=1,Tb_Activiteiten[[#Headers],[Grondkosten]],""))</f>
        <v/>
      </c>
      <c r="AV326" t="str">
        <f>IF(ISNUMBER(FIND("overige",Methode_Keuze)),"",IF(Tb_Activiteiten[[#This Row],[Bijdrage in natura (overige)]]=1,Tb_Activiteiten[[#Headers],[Bijdrage in natura (overige)]],""))</f>
        <v/>
      </c>
      <c r="AW326" t="str">
        <f>IF(ISNUMBER(FIND("overige",Methode_Keuze)),"",IF(Tb_Activiteiten[[#This Row],[Bijdrage in natura (vrijwilligers)]]=1,Tb_Activiteiten[[#Headers],[Bijdrage in natura (vrijwilligers)]],""))</f>
        <v/>
      </c>
      <c r="AX326" t="str">
        <f>IF(ISNUMBER(FIND("overige",Methode_Keuze)),"",IF(Tb_Activiteiten[[#This Row],[Afschrijvingskosten]]=1,Tb_Activiteiten[[#Headers],[Afschrijvingskosten]],""))</f>
        <v/>
      </c>
      <c r="AY326" t="str">
        <f>IF(ISNUMBER(FIND("overige",Methode_Keuze)),"",IF(Tb_Activiteiten[[#This Row],[Vergoeding]]=1,Tb_Activiteiten[[#Headers],[Vergoeding]],""))</f>
        <v/>
      </c>
      <c r="AZ326" t="str">
        <f>IF(ISNUMBER(FIND("arbeid",Methode_Keuze)),"",IF(Tb_Activiteiten[[#This Row],[Arbeidskosten - vast tarief (excl eigen arbeid)]]=1,Tb_Activiteiten[[#Headers],[Arbeidskosten - vast tarief (excl eigen arbeid)]],""))</f>
        <v/>
      </c>
      <c r="BA326" t="str">
        <f>IF(ISNUMBER(FIND("overige",Methode_Keuze)),"",IF(Tb_Activiteiten[[#This Row],[Overige kosten]]=1,Tb_Activiteiten[[#Headers],[Overige kosten]],""))</f>
        <v/>
      </c>
    </row>
    <row r="327" spans="1:53" x14ac:dyDescent="0.25">
      <c r="A327" s="231"/>
      <c r="F327" s="64"/>
      <c r="G327" s="64"/>
      <c r="H327" s="275"/>
      <c r="I327" s="275"/>
      <c r="J327" s="275"/>
      <c r="K327" s="275"/>
      <c r="O327" s="56"/>
      <c r="Q327" t="str">
        <f>IFERROR(IF(VLOOKUP(Tb_Activiteiten[[#This Row],[Openstelling]],Tb_Openstelling[],2,0)=1,1,""),"")</f>
        <v/>
      </c>
      <c r="AK327" t="str">
        <f>IF(ISNUMBER(FIND("arbeid",Methode_Keuze)),"",IF(ISNUMBER(FIND("arbeid",Methode_Keuze)),"",IF(Tb_Activiteiten[[#This Row],[Loonkosten]]=1,Tb_Activiteiten[[#Headers],[Loonkosten]],"")))</f>
        <v/>
      </c>
      <c r="AL327" t="str">
        <f>IF(ISNUMBER(FIND("arbeid",Methode_Keuze)),"",IF(ISNUMBER(FIND("arbeid",Methode_Keuze)),"",IF(Tb_Activiteiten[[#This Row],[Eigen arbeid]]=1,Tb_Activiteiten[[#Headers],[Eigen arbeid]],"")))</f>
        <v/>
      </c>
      <c r="AM327" t="str">
        <f>IF(ISNUMBER(FIND("arbeid",Methode_Keuze)),"",IF(ISNUMBER(FIND("arbeid",Methode_Keuze)),"",IF(Tb_Activiteiten[[#This Row],[Projectmedewerker]]=1,Tb_Activiteiten[[#Headers],[Projectmedewerker]],"")))</f>
        <v/>
      </c>
      <c r="AN327" t="str">
        <f>IF(ISNUMBER(FIND("arbeid",Methode_Keuze)),"",IF(ISNUMBER(FIND("arbeid",Methode_Keuze)),"",IF(Tb_Activiteiten[[#This Row],[Landbouwer]]=1,Tb_Activiteiten[[#Headers],[Landbouwer]],"")))</f>
        <v/>
      </c>
      <c r="AO327" t="str">
        <f>IF(ISNUMBER(FIND("arbeid",Methode_Keuze)),"",IF(ISNUMBER(FIND("arbeid",Methode_Keuze)),"",IF(Tb_Activiteiten[[#This Row],[Adviseur]]=1,Tb_Activiteiten[[#Headers],[Adviseur]],"")))</f>
        <v/>
      </c>
      <c r="AP327" t="str">
        <f>IF(ISNUMBER(FIND("arbeid",Methode_Keuze)),"",IF(ISNUMBER(FIND("arbeid",Methode_Keuze)),"",IF(Tb_Activiteiten[[#This Row],[Projectleider/Expert]]=1,Tb_Activiteiten[[#Headers],[Projectleider/Expert]],"")))</f>
        <v/>
      </c>
      <c r="AQ327" t="str">
        <f>IF(ISNUMBER(FIND("arbeid",Methode_Keuze)),"",IF(ISNUMBER(FIND("arbeid",Methode_Keuze)),"",IF(Tb_Activiteiten[[#This Row],[Arbeidskosten]]=1,Tb_Activiteiten[[#Headers],[Arbeidskosten]],"")))</f>
        <v/>
      </c>
      <c r="AR327" t="str">
        <f>IF(ISNUMBER(FIND("arbeid",Methode_Keuze)),"",IF(ISNUMBER(FIND("arbeid",Methode_Keuze)),"",IF(Tb_Activiteiten[[#This Row],[Arbeidskosten op basis van IKS]]=1,Tb_Activiteiten[[#Headers],[Arbeidskosten op basis van IKS]],"")))</f>
        <v/>
      </c>
      <c r="AS327" t="str">
        <f>IF(ISNUMBER(FIND("overige",Methode_Keuze)),"",IF(Tb_Activiteiten[[#This Row],[Kosten derden exclusief btw]]=1,Tb_Activiteiten[[#Headers],[Kosten derden exclusief btw]],""))</f>
        <v/>
      </c>
      <c r="AT327" t="str">
        <f>IF(ISNUMBER(FIND("overige",Methode_Keuze)),"",IF(Tb_Activiteiten[[#This Row],[Niet verrekenbare btw]]=1,Tb_Activiteiten[[#Headers],[Niet verrekenbare btw]],""))</f>
        <v/>
      </c>
      <c r="AU327" t="str">
        <f>IF(ISNUMBER(FIND("overige",Methode_Keuze)),"",IF(Tb_Activiteiten[[#This Row],[Grondkosten]]=1,Tb_Activiteiten[[#Headers],[Grondkosten]],""))</f>
        <v/>
      </c>
      <c r="AV327" t="str">
        <f>IF(ISNUMBER(FIND("overige",Methode_Keuze)),"",IF(Tb_Activiteiten[[#This Row],[Bijdrage in natura (overige)]]=1,Tb_Activiteiten[[#Headers],[Bijdrage in natura (overige)]],""))</f>
        <v/>
      </c>
      <c r="AW327" t="str">
        <f>IF(ISNUMBER(FIND("overige",Methode_Keuze)),"",IF(Tb_Activiteiten[[#This Row],[Bijdrage in natura (vrijwilligers)]]=1,Tb_Activiteiten[[#Headers],[Bijdrage in natura (vrijwilligers)]],""))</f>
        <v/>
      </c>
      <c r="AX327" t="str">
        <f>IF(ISNUMBER(FIND("overige",Methode_Keuze)),"",IF(Tb_Activiteiten[[#This Row],[Afschrijvingskosten]]=1,Tb_Activiteiten[[#Headers],[Afschrijvingskosten]],""))</f>
        <v/>
      </c>
      <c r="AY327" t="str">
        <f>IF(ISNUMBER(FIND("overige",Methode_Keuze)),"",IF(Tb_Activiteiten[[#This Row],[Vergoeding]]=1,Tb_Activiteiten[[#Headers],[Vergoeding]],""))</f>
        <v/>
      </c>
      <c r="AZ327" t="str">
        <f>IF(ISNUMBER(FIND("arbeid",Methode_Keuze)),"",IF(Tb_Activiteiten[[#This Row],[Arbeidskosten - vast tarief (excl eigen arbeid)]]=1,Tb_Activiteiten[[#Headers],[Arbeidskosten - vast tarief (excl eigen arbeid)]],""))</f>
        <v/>
      </c>
      <c r="BA327" t="str">
        <f>IF(ISNUMBER(FIND("overige",Methode_Keuze)),"",IF(Tb_Activiteiten[[#This Row],[Overige kosten]]=1,Tb_Activiteiten[[#Headers],[Overige kosten]],""))</f>
        <v/>
      </c>
    </row>
    <row r="328" spans="1:53" x14ac:dyDescent="0.25">
      <c r="A328" s="231"/>
      <c r="F328" s="64"/>
      <c r="G328" s="64"/>
      <c r="H328" s="275"/>
      <c r="I328" s="275"/>
      <c r="J328" s="275"/>
      <c r="K328" s="275"/>
      <c r="O328" s="56"/>
      <c r="Q328" t="str">
        <f>IFERROR(IF(VLOOKUP(Tb_Activiteiten[[#This Row],[Openstelling]],Tb_Openstelling[],2,0)=1,1,""),"")</f>
        <v/>
      </c>
      <c r="AK328" t="str">
        <f>IF(ISNUMBER(FIND("arbeid",Methode_Keuze)),"",IF(ISNUMBER(FIND("arbeid",Methode_Keuze)),"",IF(Tb_Activiteiten[[#This Row],[Loonkosten]]=1,Tb_Activiteiten[[#Headers],[Loonkosten]],"")))</f>
        <v/>
      </c>
      <c r="AL328" t="str">
        <f>IF(ISNUMBER(FIND("arbeid",Methode_Keuze)),"",IF(ISNUMBER(FIND("arbeid",Methode_Keuze)),"",IF(Tb_Activiteiten[[#This Row],[Eigen arbeid]]=1,Tb_Activiteiten[[#Headers],[Eigen arbeid]],"")))</f>
        <v/>
      </c>
      <c r="AM328" t="str">
        <f>IF(ISNUMBER(FIND("arbeid",Methode_Keuze)),"",IF(ISNUMBER(FIND("arbeid",Methode_Keuze)),"",IF(Tb_Activiteiten[[#This Row],[Projectmedewerker]]=1,Tb_Activiteiten[[#Headers],[Projectmedewerker]],"")))</f>
        <v/>
      </c>
      <c r="AN328" t="str">
        <f>IF(ISNUMBER(FIND("arbeid",Methode_Keuze)),"",IF(ISNUMBER(FIND("arbeid",Methode_Keuze)),"",IF(Tb_Activiteiten[[#This Row],[Landbouwer]]=1,Tb_Activiteiten[[#Headers],[Landbouwer]],"")))</f>
        <v/>
      </c>
      <c r="AO328" t="str">
        <f>IF(ISNUMBER(FIND("arbeid",Methode_Keuze)),"",IF(ISNUMBER(FIND("arbeid",Methode_Keuze)),"",IF(Tb_Activiteiten[[#This Row],[Adviseur]]=1,Tb_Activiteiten[[#Headers],[Adviseur]],"")))</f>
        <v/>
      </c>
      <c r="AP328" t="str">
        <f>IF(ISNUMBER(FIND("arbeid",Methode_Keuze)),"",IF(ISNUMBER(FIND("arbeid",Methode_Keuze)),"",IF(Tb_Activiteiten[[#This Row],[Projectleider/Expert]]=1,Tb_Activiteiten[[#Headers],[Projectleider/Expert]],"")))</f>
        <v/>
      </c>
      <c r="AQ328" t="str">
        <f>IF(ISNUMBER(FIND("arbeid",Methode_Keuze)),"",IF(ISNUMBER(FIND("arbeid",Methode_Keuze)),"",IF(Tb_Activiteiten[[#This Row],[Arbeidskosten]]=1,Tb_Activiteiten[[#Headers],[Arbeidskosten]],"")))</f>
        <v/>
      </c>
      <c r="AR328" t="str">
        <f>IF(ISNUMBER(FIND("arbeid",Methode_Keuze)),"",IF(ISNUMBER(FIND("arbeid",Methode_Keuze)),"",IF(Tb_Activiteiten[[#This Row],[Arbeidskosten op basis van IKS]]=1,Tb_Activiteiten[[#Headers],[Arbeidskosten op basis van IKS]],"")))</f>
        <v/>
      </c>
      <c r="AS328" t="str">
        <f>IF(ISNUMBER(FIND("overige",Methode_Keuze)),"",IF(Tb_Activiteiten[[#This Row],[Kosten derden exclusief btw]]=1,Tb_Activiteiten[[#Headers],[Kosten derden exclusief btw]],""))</f>
        <v/>
      </c>
      <c r="AT328" t="str">
        <f>IF(ISNUMBER(FIND("overige",Methode_Keuze)),"",IF(Tb_Activiteiten[[#This Row],[Niet verrekenbare btw]]=1,Tb_Activiteiten[[#Headers],[Niet verrekenbare btw]],""))</f>
        <v/>
      </c>
      <c r="AU328" t="str">
        <f>IF(ISNUMBER(FIND("overige",Methode_Keuze)),"",IF(Tb_Activiteiten[[#This Row],[Grondkosten]]=1,Tb_Activiteiten[[#Headers],[Grondkosten]],""))</f>
        <v/>
      </c>
      <c r="AV328" t="str">
        <f>IF(ISNUMBER(FIND("overige",Methode_Keuze)),"",IF(Tb_Activiteiten[[#This Row],[Bijdrage in natura (overige)]]=1,Tb_Activiteiten[[#Headers],[Bijdrage in natura (overige)]],""))</f>
        <v/>
      </c>
      <c r="AW328" t="str">
        <f>IF(ISNUMBER(FIND("overige",Methode_Keuze)),"",IF(Tb_Activiteiten[[#This Row],[Bijdrage in natura (vrijwilligers)]]=1,Tb_Activiteiten[[#Headers],[Bijdrage in natura (vrijwilligers)]],""))</f>
        <v/>
      </c>
      <c r="AX328" t="str">
        <f>IF(ISNUMBER(FIND("overige",Methode_Keuze)),"",IF(Tb_Activiteiten[[#This Row],[Afschrijvingskosten]]=1,Tb_Activiteiten[[#Headers],[Afschrijvingskosten]],""))</f>
        <v/>
      </c>
      <c r="AY328" t="str">
        <f>IF(ISNUMBER(FIND("overige",Methode_Keuze)),"",IF(Tb_Activiteiten[[#This Row],[Vergoeding]]=1,Tb_Activiteiten[[#Headers],[Vergoeding]],""))</f>
        <v/>
      </c>
      <c r="AZ328" t="str">
        <f>IF(ISNUMBER(FIND("arbeid",Methode_Keuze)),"",IF(Tb_Activiteiten[[#This Row],[Arbeidskosten - vast tarief (excl eigen arbeid)]]=1,Tb_Activiteiten[[#Headers],[Arbeidskosten - vast tarief (excl eigen arbeid)]],""))</f>
        <v/>
      </c>
      <c r="BA328" t="str">
        <f>IF(ISNUMBER(FIND("overige",Methode_Keuze)),"",IF(Tb_Activiteiten[[#This Row],[Overige kosten]]=1,Tb_Activiteiten[[#Headers],[Overige kosten]],""))</f>
        <v/>
      </c>
    </row>
    <row r="329" spans="1:53" x14ac:dyDescent="0.25">
      <c r="A329" s="231"/>
      <c r="F329" s="64"/>
      <c r="G329" s="64"/>
      <c r="H329" s="275"/>
      <c r="I329" s="275"/>
      <c r="J329" s="275"/>
      <c r="K329" s="275"/>
      <c r="O329" s="56"/>
      <c r="Q329" t="str">
        <f>IFERROR(IF(VLOOKUP(Tb_Activiteiten[[#This Row],[Openstelling]],Tb_Openstelling[],2,0)=1,1,""),"")</f>
        <v/>
      </c>
      <c r="AK329" t="str">
        <f>IF(ISNUMBER(FIND("arbeid",Methode_Keuze)),"",IF(ISNUMBER(FIND("arbeid",Methode_Keuze)),"",IF(Tb_Activiteiten[[#This Row],[Loonkosten]]=1,Tb_Activiteiten[[#Headers],[Loonkosten]],"")))</f>
        <v/>
      </c>
      <c r="AL329" t="str">
        <f>IF(ISNUMBER(FIND("arbeid",Methode_Keuze)),"",IF(ISNUMBER(FIND("arbeid",Methode_Keuze)),"",IF(Tb_Activiteiten[[#This Row],[Eigen arbeid]]=1,Tb_Activiteiten[[#Headers],[Eigen arbeid]],"")))</f>
        <v/>
      </c>
      <c r="AM329" t="str">
        <f>IF(ISNUMBER(FIND("arbeid",Methode_Keuze)),"",IF(ISNUMBER(FIND("arbeid",Methode_Keuze)),"",IF(Tb_Activiteiten[[#This Row],[Projectmedewerker]]=1,Tb_Activiteiten[[#Headers],[Projectmedewerker]],"")))</f>
        <v/>
      </c>
      <c r="AN329" t="str">
        <f>IF(ISNUMBER(FIND("arbeid",Methode_Keuze)),"",IF(ISNUMBER(FIND("arbeid",Methode_Keuze)),"",IF(Tb_Activiteiten[[#This Row],[Landbouwer]]=1,Tb_Activiteiten[[#Headers],[Landbouwer]],"")))</f>
        <v/>
      </c>
      <c r="AO329" t="str">
        <f>IF(ISNUMBER(FIND("arbeid",Methode_Keuze)),"",IF(ISNUMBER(FIND("arbeid",Methode_Keuze)),"",IF(Tb_Activiteiten[[#This Row],[Adviseur]]=1,Tb_Activiteiten[[#Headers],[Adviseur]],"")))</f>
        <v/>
      </c>
      <c r="AP329" t="str">
        <f>IF(ISNUMBER(FIND("arbeid",Methode_Keuze)),"",IF(ISNUMBER(FIND("arbeid",Methode_Keuze)),"",IF(Tb_Activiteiten[[#This Row],[Projectleider/Expert]]=1,Tb_Activiteiten[[#Headers],[Projectleider/Expert]],"")))</f>
        <v/>
      </c>
      <c r="AQ329" t="str">
        <f>IF(ISNUMBER(FIND("arbeid",Methode_Keuze)),"",IF(ISNUMBER(FIND("arbeid",Methode_Keuze)),"",IF(Tb_Activiteiten[[#This Row],[Arbeidskosten]]=1,Tb_Activiteiten[[#Headers],[Arbeidskosten]],"")))</f>
        <v/>
      </c>
      <c r="AR329" t="str">
        <f>IF(ISNUMBER(FIND("arbeid",Methode_Keuze)),"",IF(ISNUMBER(FIND("arbeid",Methode_Keuze)),"",IF(Tb_Activiteiten[[#This Row],[Arbeidskosten op basis van IKS]]=1,Tb_Activiteiten[[#Headers],[Arbeidskosten op basis van IKS]],"")))</f>
        <v/>
      </c>
      <c r="AS329" t="str">
        <f>IF(ISNUMBER(FIND("overige",Methode_Keuze)),"",IF(Tb_Activiteiten[[#This Row],[Kosten derden exclusief btw]]=1,Tb_Activiteiten[[#Headers],[Kosten derden exclusief btw]],""))</f>
        <v/>
      </c>
      <c r="AT329" t="str">
        <f>IF(ISNUMBER(FIND("overige",Methode_Keuze)),"",IF(Tb_Activiteiten[[#This Row],[Niet verrekenbare btw]]=1,Tb_Activiteiten[[#Headers],[Niet verrekenbare btw]],""))</f>
        <v/>
      </c>
      <c r="AU329" t="str">
        <f>IF(ISNUMBER(FIND("overige",Methode_Keuze)),"",IF(Tb_Activiteiten[[#This Row],[Grondkosten]]=1,Tb_Activiteiten[[#Headers],[Grondkosten]],""))</f>
        <v/>
      </c>
      <c r="AV329" t="str">
        <f>IF(ISNUMBER(FIND("overige",Methode_Keuze)),"",IF(Tb_Activiteiten[[#This Row],[Bijdrage in natura (overige)]]=1,Tb_Activiteiten[[#Headers],[Bijdrage in natura (overige)]],""))</f>
        <v/>
      </c>
      <c r="AW329" t="str">
        <f>IF(ISNUMBER(FIND("overige",Methode_Keuze)),"",IF(Tb_Activiteiten[[#This Row],[Bijdrage in natura (vrijwilligers)]]=1,Tb_Activiteiten[[#Headers],[Bijdrage in natura (vrijwilligers)]],""))</f>
        <v/>
      </c>
      <c r="AX329" t="str">
        <f>IF(ISNUMBER(FIND("overige",Methode_Keuze)),"",IF(Tb_Activiteiten[[#This Row],[Afschrijvingskosten]]=1,Tb_Activiteiten[[#Headers],[Afschrijvingskosten]],""))</f>
        <v/>
      </c>
      <c r="AY329" t="str">
        <f>IF(ISNUMBER(FIND("overige",Methode_Keuze)),"",IF(Tb_Activiteiten[[#This Row],[Vergoeding]]=1,Tb_Activiteiten[[#Headers],[Vergoeding]],""))</f>
        <v/>
      </c>
      <c r="AZ329" t="str">
        <f>IF(ISNUMBER(FIND("arbeid",Methode_Keuze)),"",IF(Tb_Activiteiten[[#This Row],[Arbeidskosten - vast tarief (excl eigen arbeid)]]=1,Tb_Activiteiten[[#Headers],[Arbeidskosten - vast tarief (excl eigen arbeid)]],""))</f>
        <v/>
      </c>
      <c r="BA329" t="str">
        <f>IF(ISNUMBER(FIND("overige",Methode_Keuze)),"",IF(Tb_Activiteiten[[#This Row],[Overige kosten]]=1,Tb_Activiteiten[[#Headers],[Overige kosten]],""))</f>
        <v/>
      </c>
    </row>
    <row r="330" spans="1:53" x14ac:dyDescent="0.25">
      <c r="A330" s="231"/>
      <c r="F330" s="64"/>
      <c r="G330" s="64"/>
      <c r="H330" s="275"/>
      <c r="I330" s="275"/>
      <c r="J330" s="275"/>
      <c r="K330" s="275"/>
      <c r="O330" s="56"/>
      <c r="Q330" t="str">
        <f>IFERROR(IF(VLOOKUP(Tb_Activiteiten[[#This Row],[Openstelling]],Tb_Openstelling[],2,0)=1,1,""),"")</f>
        <v/>
      </c>
      <c r="AK330" t="str">
        <f>IF(ISNUMBER(FIND("arbeid",Methode_Keuze)),"",IF(ISNUMBER(FIND("arbeid",Methode_Keuze)),"",IF(Tb_Activiteiten[[#This Row],[Loonkosten]]=1,Tb_Activiteiten[[#Headers],[Loonkosten]],"")))</f>
        <v/>
      </c>
      <c r="AL330" t="str">
        <f>IF(ISNUMBER(FIND("arbeid",Methode_Keuze)),"",IF(ISNUMBER(FIND("arbeid",Methode_Keuze)),"",IF(Tb_Activiteiten[[#This Row],[Eigen arbeid]]=1,Tb_Activiteiten[[#Headers],[Eigen arbeid]],"")))</f>
        <v/>
      </c>
      <c r="AM330" t="str">
        <f>IF(ISNUMBER(FIND("arbeid",Methode_Keuze)),"",IF(ISNUMBER(FIND("arbeid",Methode_Keuze)),"",IF(Tb_Activiteiten[[#This Row],[Projectmedewerker]]=1,Tb_Activiteiten[[#Headers],[Projectmedewerker]],"")))</f>
        <v/>
      </c>
      <c r="AN330" t="str">
        <f>IF(ISNUMBER(FIND("arbeid",Methode_Keuze)),"",IF(ISNUMBER(FIND("arbeid",Methode_Keuze)),"",IF(Tb_Activiteiten[[#This Row],[Landbouwer]]=1,Tb_Activiteiten[[#Headers],[Landbouwer]],"")))</f>
        <v/>
      </c>
      <c r="AO330" t="str">
        <f>IF(ISNUMBER(FIND("arbeid",Methode_Keuze)),"",IF(ISNUMBER(FIND("arbeid",Methode_Keuze)),"",IF(Tb_Activiteiten[[#This Row],[Adviseur]]=1,Tb_Activiteiten[[#Headers],[Adviseur]],"")))</f>
        <v/>
      </c>
      <c r="AP330" t="str">
        <f>IF(ISNUMBER(FIND("arbeid",Methode_Keuze)),"",IF(ISNUMBER(FIND("arbeid",Methode_Keuze)),"",IF(Tb_Activiteiten[[#This Row],[Projectleider/Expert]]=1,Tb_Activiteiten[[#Headers],[Projectleider/Expert]],"")))</f>
        <v/>
      </c>
      <c r="AQ330" t="str">
        <f>IF(ISNUMBER(FIND("arbeid",Methode_Keuze)),"",IF(ISNUMBER(FIND("arbeid",Methode_Keuze)),"",IF(Tb_Activiteiten[[#This Row],[Arbeidskosten]]=1,Tb_Activiteiten[[#Headers],[Arbeidskosten]],"")))</f>
        <v/>
      </c>
      <c r="AR330" t="str">
        <f>IF(ISNUMBER(FIND("arbeid",Methode_Keuze)),"",IF(ISNUMBER(FIND("arbeid",Methode_Keuze)),"",IF(Tb_Activiteiten[[#This Row],[Arbeidskosten op basis van IKS]]=1,Tb_Activiteiten[[#Headers],[Arbeidskosten op basis van IKS]],"")))</f>
        <v/>
      </c>
      <c r="AS330" t="str">
        <f>IF(ISNUMBER(FIND("overige",Methode_Keuze)),"",IF(Tb_Activiteiten[[#This Row],[Kosten derden exclusief btw]]=1,Tb_Activiteiten[[#Headers],[Kosten derden exclusief btw]],""))</f>
        <v/>
      </c>
      <c r="AT330" t="str">
        <f>IF(ISNUMBER(FIND("overige",Methode_Keuze)),"",IF(Tb_Activiteiten[[#This Row],[Niet verrekenbare btw]]=1,Tb_Activiteiten[[#Headers],[Niet verrekenbare btw]],""))</f>
        <v/>
      </c>
      <c r="AU330" t="str">
        <f>IF(ISNUMBER(FIND("overige",Methode_Keuze)),"",IF(Tb_Activiteiten[[#This Row],[Grondkosten]]=1,Tb_Activiteiten[[#Headers],[Grondkosten]],""))</f>
        <v/>
      </c>
      <c r="AV330" t="str">
        <f>IF(ISNUMBER(FIND("overige",Methode_Keuze)),"",IF(Tb_Activiteiten[[#This Row],[Bijdrage in natura (overige)]]=1,Tb_Activiteiten[[#Headers],[Bijdrage in natura (overige)]],""))</f>
        <v/>
      </c>
      <c r="AW330" t="str">
        <f>IF(ISNUMBER(FIND("overige",Methode_Keuze)),"",IF(Tb_Activiteiten[[#This Row],[Bijdrage in natura (vrijwilligers)]]=1,Tb_Activiteiten[[#Headers],[Bijdrage in natura (vrijwilligers)]],""))</f>
        <v/>
      </c>
      <c r="AX330" t="str">
        <f>IF(ISNUMBER(FIND("overige",Methode_Keuze)),"",IF(Tb_Activiteiten[[#This Row],[Afschrijvingskosten]]=1,Tb_Activiteiten[[#Headers],[Afschrijvingskosten]],""))</f>
        <v/>
      </c>
      <c r="AY330" t="str">
        <f>IF(ISNUMBER(FIND("overige",Methode_Keuze)),"",IF(Tb_Activiteiten[[#This Row],[Vergoeding]]=1,Tb_Activiteiten[[#Headers],[Vergoeding]],""))</f>
        <v/>
      </c>
      <c r="AZ330" t="str">
        <f>IF(ISNUMBER(FIND("arbeid",Methode_Keuze)),"",IF(Tb_Activiteiten[[#This Row],[Arbeidskosten - vast tarief (excl eigen arbeid)]]=1,Tb_Activiteiten[[#Headers],[Arbeidskosten - vast tarief (excl eigen arbeid)]],""))</f>
        <v/>
      </c>
      <c r="BA330" t="str">
        <f>IF(ISNUMBER(FIND("overige",Methode_Keuze)),"",IF(Tb_Activiteiten[[#This Row],[Overige kosten]]=1,Tb_Activiteiten[[#Headers],[Overige kosten]],""))</f>
        <v/>
      </c>
    </row>
    <row r="331" spans="1:53" x14ac:dyDescent="0.25">
      <c r="A331" s="231"/>
      <c r="F331" s="64"/>
      <c r="G331" s="64"/>
      <c r="H331" s="275"/>
      <c r="I331" s="275"/>
      <c r="J331" s="275"/>
      <c r="K331" s="275"/>
      <c r="O331" s="56"/>
      <c r="Q331" t="str">
        <f>IFERROR(IF(VLOOKUP(Tb_Activiteiten[[#This Row],[Openstelling]],Tb_Openstelling[],2,0)=1,1,""),"")</f>
        <v/>
      </c>
      <c r="AK331" t="str">
        <f>IF(ISNUMBER(FIND("arbeid",Methode_Keuze)),"",IF(ISNUMBER(FIND("arbeid",Methode_Keuze)),"",IF(Tb_Activiteiten[[#This Row],[Loonkosten]]=1,Tb_Activiteiten[[#Headers],[Loonkosten]],"")))</f>
        <v/>
      </c>
      <c r="AL331" t="str">
        <f>IF(ISNUMBER(FIND("arbeid",Methode_Keuze)),"",IF(ISNUMBER(FIND("arbeid",Methode_Keuze)),"",IF(Tb_Activiteiten[[#This Row],[Eigen arbeid]]=1,Tb_Activiteiten[[#Headers],[Eigen arbeid]],"")))</f>
        <v/>
      </c>
      <c r="AM331" t="str">
        <f>IF(ISNUMBER(FIND("arbeid",Methode_Keuze)),"",IF(ISNUMBER(FIND("arbeid",Methode_Keuze)),"",IF(Tb_Activiteiten[[#This Row],[Projectmedewerker]]=1,Tb_Activiteiten[[#Headers],[Projectmedewerker]],"")))</f>
        <v/>
      </c>
      <c r="AN331" t="str">
        <f>IF(ISNUMBER(FIND("arbeid",Methode_Keuze)),"",IF(ISNUMBER(FIND("arbeid",Methode_Keuze)),"",IF(Tb_Activiteiten[[#This Row],[Landbouwer]]=1,Tb_Activiteiten[[#Headers],[Landbouwer]],"")))</f>
        <v/>
      </c>
      <c r="AO331" t="str">
        <f>IF(ISNUMBER(FIND("arbeid",Methode_Keuze)),"",IF(ISNUMBER(FIND("arbeid",Methode_Keuze)),"",IF(Tb_Activiteiten[[#This Row],[Adviseur]]=1,Tb_Activiteiten[[#Headers],[Adviseur]],"")))</f>
        <v/>
      </c>
      <c r="AP331" t="str">
        <f>IF(ISNUMBER(FIND("arbeid",Methode_Keuze)),"",IF(ISNUMBER(FIND("arbeid",Methode_Keuze)),"",IF(Tb_Activiteiten[[#This Row],[Projectleider/Expert]]=1,Tb_Activiteiten[[#Headers],[Projectleider/Expert]],"")))</f>
        <v/>
      </c>
      <c r="AQ331" t="str">
        <f>IF(ISNUMBER(FIND("arbeid",Methode_Keuze)),"",IF(ISNUMBER(FIND("arbeid",Methode_Keuze)),"",IF(Tb_Activiteiten[[#This Row],[Arbeidskosten]]=1,Tb_Activiteiten[[#Headers],[Arbeidskosten]],"")))</f>
        <v/>
      </c>
      <c r="AR331" t="str">
        <f>IF(ISNUMBER(FIND("arbeid",Methode_Keuze)),"",IF(ISNUMBER(FIND("arbeid",Methode_Keuze)),"",IF(Tb_Activiteiten[[#This Row],[Arbeidskosten op basis van IKS]]=1,Tb_Activiteiten[[#Headers],[Arbeidskosten op basis van IKS]],"")))</f>
        <v/>
      </c>
      <c r="AS331" t="str">
        <f>IF(ISNUMBER(FIND("overige",Methode_Keuze)),"",IF(Tb_Activiteiten[[#This Row],[Kosten derden exclusief btw]]=1,Tb_Activiteiten[[#Headers],[Kosten derden exclusief btw]],""))</f>
        <v/>
      </c>
      <c r="AT331" t="str">
        <f>IF(ISNUMBER(FIND("overige",Methode_Keuze)),"",IF(Tb_Activiteiten[[#This Row],[Niet verrekenbare btw]]=1,Tb_Activiteiten[[#Headers],[Niet verrekenbare btw]],""))</f>
        <v/>
      </c>
      <c r="AU331" t="str">
        <f>IF(ISNUMBER(FIND("overige",Methode_Keuze)),"",IF(Tb_Activiteiten[[#This Row],[Grondkosten]]=1,Tb_Activiteiten[[#Headers],[Grondkosten]],""))</f>
        <v/>
      </c>
      <c r="AV331" t="str">
        <f>IF(ISNUMBER(FIND("overige",Methode_Keuze)),"",IF(Tb_Activiteiten[[#This Row],[Bijdrage in natura (overige)]]=1,Tb_Activiteiten[[#Headers],[Bijdrage in natura (overige)]],""))</f>
        <v/>
      </c>
      <c r="AW331" t="str">
        <f>IF(ISNUMBER(FIND("overige",Methode_Keuze)),"",IF(Tb_Activiteiten[[#This Row],[Bijdrage in natura (vrijwilligers)]]=1,Tb_Activiteiten[[#Headers],[Bijdrage in natura (vrijwilligers)]],""))</f>
        <v/>
      </c>
      <c r="AX331" t="str">
        <f>IF(ISNUMBER(FIND("overige",Methode_Keuze)),"",IF(Tb_Activiteiten[[#This Row],[Afschrijvingskosten]]=1,Tb_Activiteiten[[#Headers],[Afschrijvingskosten]],""))</f>
        <v/>
      </c>
      <c r="AY331" t="str">
        <f>IF(ISNUMBER(FIND("overige",Methode_Keuze)),"",IF(Tb_Activiteiten[[#This Row],[Vergoeding]]=1,Tb_Activiteiten[[#Headers],[Vergoeding]],""))</f>
        <v/>
      </c>
      <c r="AZ331" t="str">
        <f>IF(ISNUMBER(FIND("arbeid",Methode_Keuze)),"",IF(Tb_Activiteiten[[#This Row],[Arbeidskosten - vast tarief (excl eigen arbeid)]]=1,Tb_Activiteiten[[#Headers],[Arbeidskosten - vast tarief (excl eigen arbeid)]],""))</f>
        <v/>
      </c>
      <c r="BA331" t="str">
        <f>IF(ISNUMBER(FIND("overige",Methode_Keuze)),"",IF(Tb_Activiteiten[[#This Row],[Overige kosten]]=1,Tb_Activiteiten[[#Headers],[Overige kosten]],""))</f>
        <v/>
      </c>
    </row>
    <row r="332" spans="1:53" x14ac:dyDescent="0.25">
      <c r="A332" s="231"/>
      <c r="F332" s="64"/>
      <c r="G332" s="64"/>
      <c r="H332" s="275"/>
      <c r="I332" s="275"/>
      <c r="J332" s="275"/>
      <c r="K332" s="275"/>
      <c r="O332" s="56"/>
      <c r="Q332" t="str">
        <f>IFERROR(IF(VLOOKUP(Tb_Activiteiten[[#This Row],[Openstelling]],Tb_Openstelling[],2,0)=1,1,""),"")</f>
        <v/>
      </c>
      <c r="AK332" t="str">
        <f>IF(ISNUMBER(FIND("arbeid",Methode_Keuze)),"",IF(ISNUMBER(FIND("arbeid",Methode_Keuze)),"",IF(Tb_Activiteiten[[#This Row],[Loonkosten]]=1,Tb_Activiteiten[[#Headers],[Loonkosten]],"")))</f>
        <v/>
      </c>
      <c r="AL332" t="str">
        <f>IF(ISNUMBER(FIND("arbeid",Methode_Keuze)),"",IF(ISNUMBER(FIND("arbeid",Methode_Keuze)),"",IF(Tb_Activiteiten[[#This Row],[Eigen arbeid]]=1,Tb_Activiteiten[[#Headers],[Eigen arbeid]],"")))</f>
        <v/>
      </c>
      <c r="AM332" t="str">
        <f>IF(ISNUMBER(FIND("arbeid",Methode_Keuze)),"",IF(ISNUMBER(FIND("arbeid",Methode_Keuze)),"",IF(Tb_Activiteiten[[#This Row],[Projectmedewerker]]=1,Tb_Activiteiten[[#Headers],[Projectmedewerker]],"")))</f>
        <v/>
      </c>
      <c r="AN332" t="str">
        <f>IF(ISNUMBER(FIND("arbeid",Methode_Keuze)),"",IF(ISNUMBER(FIND("arbeid",Methode_Keuze)),"",IF(Tb_Activiteiten[[#This Row],[Landbouwer]]=1,Tb_Activiteiten[[#Headers],[Landbouwer]],"")))</f>
        <v/>
      </c>
      <c r="AO332" t="str">
        <f>IF(ISNUMBER(FIND("arbeid",Methode_Keuze)),"",IF(ISNUMBER(FIND("arbeid",Methode_Keuze)),"",IF(Tb_Activiteiten[[#This Row],[Adviseur]]=1,Tb_Activiteiten[[#Headers],[Adviseur]],"")))</f>
        <v/>
      </c>
      <c r="AP332" t="str">
        <f>IF(ISNUMBER(FIND("arbeid",Methode_Keuze)),"",IF(ISNUMBER(FIND("arbeid",Methode_Keuze)),"",IF(Tb_Activiteiten[[#This Row],[Projectleider/Expert]]=1,Tb_Activiteiten[[#Headers],[Projectleider/Expert]],"")))</f>
        <v/>
      </c>
      <c r="AQ332" t="str">
        <f>IF(ISNUMBER(FIND("arbeid",Methode_Keuze)),"",IF(ISNUMBER(FIND("arbeid",Methode_Keuze)),"",IF(Tb_Activiteiten[[#This Row],[Arbeidskosten]]=1,Tb_Activiteiten[[#Headers],[Arbeidskosten]],"")))</f>
        <v/>
      </c>
      <c r="AR332" t="str">
        <f>IF(ISNUMBER(FIND("arbeid",Methode_Keuze)),"",IF(ISNUMBER(FIND("arbeid",Methode_Keuze)),"",IF(Tb_Activiteiten[[#This Row],[Arbeidskosten op basis van IKS]]=1,Tb_Activiteiten[[#Headers],[Arbeidskosten op basis van IKS]],"")))</f>
        <v/>
      </c>
      <c r="AS332" t="str">
        <f>IF(ISNUMBER(FIND("overige",Methode_Keuze)),"",IF(Tb_Activiteiten[[#This Row],[Kosten derden exclusief btw]]=1,Tb_Activiteiten[[#Headers],[Kosten derden exclusief btw]],""))</f>
        <v/>
      </c>
      <c r="AT332" t="str">
        <f>IF(ISNUMBER(FIND("overige",Methode_Keuze)),"",IF(Tb_Activiteiten[[#This Row],[Niet verrekenbare btw]]=1,Tb_Activiteiten[[#Headers],[Niet verrekenbare btw]],""))</f>
        <v/>
      </c>
      <c r="AU332" t="str">
        <f>IF(ISNUMBER(FIND("overige",Methode_Keuze)),"",IF(Tb_Activiteiten[[#This Row],[Grondkosten]]=1,Tb_Activiteiten[[#Headers],[Grondkosten]],""))</f>
        <v/>
      </c>
      <c r="AV332" t="str">
        <f>IF(ISNUMBER(FIND("overige",Methode_Keuze)),"",IF(Tb_Activiteiten[[#This Row],[Bijdrage in natura (overige)]]=1,Tb_Activiteiten[[#Headers],[Bijdrage in natura (overige)]],""))</f>
        <v/>
      </c>
      <c r="AW332" t="str">
        <f>IF(ISNUMBER(FIND("overige",Methode_Keuze)),"",IF(Tb_Activiteiten[[#This Row],[Bijdrage in natura (vrijwilligers)]]=1,Tb_Activiteiten[[#Headers],[Bijdrage in natura (vrijwilligers)]],""))</f>
        <v/>
      </c>
      <c r="AX332" t="str">
        <f>IF(ISNUMBER(FIND("overige",Methode_Keuze)),"",IF(Tb_Activiteiten[[#This Row],[Afschrijvingskosten]]=1,Tb_Activiteiten[[#Headers],[Afschrijvingskosten]],""))</f>
        <v/>
      </c>
      <c r="AY332" t="str">
        <f>IF(ISNUMBER(FIND("overige",Methode_Keuze)),"",IF(Tb_Activiteiten[[#This Row],[Vergoeding]]=1,Tb_Activiteiten[[#Headers],[Vergoeding]],""))</f>
        <v/>
      </c>
      <c r="AZ332" t="str">
        <f>IF(ISNUMBER(FIND("arbeid",Methode_Keuze)),"",IF(Tb_Activiteiten[[#This Row],[Arbeidskosten - vast tarief (excl eigen arbeid)]]=1,Tb_Activiteiten[[#Headers],[Arbeidskosten - vast tarief (excl eigen arbeid)]],""))</f>
        <v/>
      </c>
      <c r="BA332" t="str">
        <f>IF(ISNUMBER(FIND("overige",Methode_Keuze)),"",IF(Tb_Activiteiten[[#This Row],[Overige kosten]]=1,Tb_Activiteiten[[#Headers],[Overige kosten]],""))</f>
        <v/>
      </c>
    </row>
    <row r="333" spans="1:53" x14ac:dyDescent="0.25">
      <c r="A333" s="231"/>
      <c r="F333" s="64"/>
      <c r="G333" s="64"/>
      <c r="H333" s="275"/>
      <c r="I333" s="275"/>
      <c r="J333" s="275"/>
      <c r="K333" s="275"/>
      <c r="O333" s="56"/>
      <c r="Q333" t="str">
        <f>IFERROR(IF(VLOOKUP(Tb_Activiteiten[[#This Row],[Openstelling]],Tb_Openstelling[],2,0)=1,1,""),"")</f>
        <v/>
      </c>
      <c r="AK333" t="str">
        <f>IF(ISNUMBER(FIND("arbeid",Methode_Keuze)),"",IF(ISNUMBER(FIND("arbeid",Methode_Keuze)),"",IF(Tb_Activiteiten[[#This Row],[Loonkosten]]=1,Tb_Activiteiten[[#Headers],[Loonkosten]],"")))</f>
        <v/>
      </c>
      <c r="AL333" t="str">
        <f>IF(ISNUMBER(FIND("arbeid",Methode_Keuze)),"",IF(ISNUMBER(FIND("arbeid",Methode_Keuze)),"",IF(Tb_Activiteiten[[#This Row],[Eigen arbeid]]=1,Tb_Activiteiten[[#Headers],[Eigen arbeid]],"")))</f>
        <v/>
      </c>
      <c r="AM333" t="str">
        <f>IF(ISNUMBER(FIND("arbeid",Methode_Keuze)),"",IF(ISNUMBER(FIND("arbeid",Methode_Keuze)),"",IF(Tb_Activiteiten[[#This Row],[Projectmedewerker]]=1,Tb_Activiteiten[[#Headers],[Projectmedewerker]],"")))</f>
        <v/>
      </c>
      <c r="AN333" t="str">
        <f>IF(ISNUMBER(FIND("arbeid",Methode_Keuze)),"",IF(ISNUMBER(FIND("arbeid",Methode_Keuze)),"",IF(Tb_Activiteiten[[#This Row],[Landbouwer]]=1,Tb_Activiteiten[[#Headers],[Landbouwer]],"")))</f>
        <v/>
      </c>
      <c r="AO333" t="str">
        <f>IF(ISNUMBER(FIND("arbeid",Methode_Keuze)),"",IF(ISNUMBER(FIND("arbeid",Methode_Keuze)),"",IF(Tb_Activiteiten[[#This Row],[Adviseur]]=1,Tb_Activiteiten[[#Headers],[Adviseur]],"")))</f>
        <v/>
      </c>
      <c r="AP333" t="str">
        <f>IF(ISNUMBER(FIND("arbeid",Methode_Keuze)),"",IF(ISNUMBER(FIND("arbeid",Methode_Keuze)),"",IF(Tb_Activiteiten[[#This Row],[Projectleider/Expert]]=1,Tb_Activiteiten[[#Headers],[Projectleider/Expert]],"")))</f>
        <v/>
      </c>
      <c r="AQ333" t="str">
        <f>IF(ISNUMBER(FIND("arbeid",Methode_Keuze)),"",IF(ISNUMBER(FIND("arbeid",Methode_Keuze)),"",IF(Tb_Activiteiten[[#This Row],[Arbeidskosten]]=1,Tb_Activiteiten[[#Headers],[Arbeidskosten]],"")))</f>
        <v/>
      </c>
      <c r="AR333" t="str">
        <f>IF(ISNUMBER(FIND("arbeid",Methode_Keuze)),"",IF(ISNUMBER(FIND("arbeid",Methode_Keuze)),"",IF(Tb_Activiteiten[[#This Row],[Arbeidskosten op basis van IKS]]=1,Tb_Activiteiten[[#Headers],[Arbeidskosten op basis van IKS]],"")))</f>
        <v/>
      </c>
      <c r="AS333" t="str">
        <f>IF(ISNUMBER(FIND("overige",Methode_Keuze)),"",IF(Tb_Activiteiten[[#This Row],[Kosten derden exclusief btw]]=1,Tb_Activiteiten[[#Headers],[Kosten derden exclusief btw]],""))</f>
        <v/>
      </c>
      <c r="AT333" t="str">
        <f>IF(ISNUMBER(FIND("overige",Methode_Keuze)),"",IF(Tb_Activiteiten[[#This Row],[Niet verrekenbare btw]]=1,Tb_Activiteiten[[#Headers],[Niet verrekenbare btw]],""))</f>
        <v/>
      </c>
      <c r="AU333" t="str">
        <f>IF(ISNUMBER(FIND("overige",Methode_Keuze)),"",IF(Tb_Activiteiten[[#This Row],[Grondkosten]]=1,Tb_Activiteiten[[#Headers],[Grondkosten]],""))</f>
        <v/>
      </c>
      <c r="AV333" t="str">
        <f>IF(ISNUMBER(FIND("overige",Methode_Keuze)),"",IF(Tb_Activiteiten[[#This Row],[Bijdrage in natura (overige)]]=1,Tb_Activiteiten[[#Headers],[Bijdrage in natura (overige)]],""))</f>
        <v/>
      </c>
      <c r="AW333" t="str">
        <f>IF(ISNUMBER(FIND("overige",Methode_Keuze)),"",IF(Tb_Activiteiten[[#This Row],[Bijdrage in natura (vrijwilligers)]]=1,Tb_Activiteiten[[#Headers],[Bijdrage in natura (vrijwilligers)]],""))</f>
        <v/>
      </c>
      <c r="AX333" t="str">
        <f>IF(ISNUMBER(FIND("overige",Methode_Keuze)),"",IF(Tb_Activiteiten[[#This Row],[Afschrijvingskosten]]=1,Tb_Activiteiten[[#Headers],[Afschrijvingskosten]],""))</f>
        <v/>
      </c>
      <c r="AY333" t="str">
        <f>IF(ISNUMBER(FIND("overige",Methode_Keuze)),"",IF(Tb_Activiteiten[[#This Row],[Vergoeding]]=1,Tb_Activiteiten[[#Headers],[Vergoeding]],""))</f>
        <v/>
      </c>
      <c r="AZ333" t="str">
        <f>IF(ISNUMBER(FIND("arbeid",Methode_Keuze)),"",IF(Tb_Activiteiten[[#This Row],[Arbeidskosten - vast tarief (excl eigen arbeid)]]=1,Tb_Activiteiten[[#Headers],[Arbeidskosten - vast tarief (excl eigen arbeid)]],""))</f>
        <v/>
      </c>
      <c r="BA333" t="str">
        <f>IF(ISNUMBER(FIND("overige",Methode_Keuze)),"",IF(Tb_Activiteiten[[#This Row],[Overige kosten]]=1,Tb_Activiteiten[[#Headers],[Overige kosten]],""))</f>
        <v/>
      </c>
    </row>
    <row r="334" spans="1:53" x14ac:dyDescent="0.25">
      <c r="A334" s="231"/>
      <c r="F334" s="64"/>
      <c r="G334" s="64"/>
      <c r="H334" s="275"/>
      <c r="I334" s="275"/>
      <c r="J334" s="275"/>
      <c r="K334" s="275"/>
      <c r="O334" s="56"/>
      <c r="Q334" t="str">
        <f>IFERROR(IF(VLOOKUP(Tb_Activiteiten[[#This Row],[Openstelling]],Tb_Openstelling[],2,0)=1,1,""),"")</f>
        <v/>
      </c>
      <c r="AK334" t="str">
        <f>IF(ISNUMBER(FIND("arbeid",Methode_Keuze)),"",IF(ISNUMBER(FIND("arbeid",Methode_Keuze)),"",IF(Tb_Activiteiten[[#This Row],[Loonkosten]]=1,Tb_Activiteiten[[#Headers],[Loonkosten]],"")))</f>
        <v/>
      </c>
      <c r="AL334" t="str">
        <f>IF(ISNUMBER(FIND("arbeid",Methode_Keuze)),"",IF(ISNUMBER(FIND("arbeid",Methode_Keuze)),"",IF(Tb_Activiteiten[[#This Row],[Eigen arbeid]]=1,Tb_Activiteiten[[#Headers],[Eigen arbeid]],"")))</f>
        <v/>
      </c>
      <c r="AM334" t="str">
        <f>IF(ISNUMBER(FIND("arbeid",Methode_Keuze)),"",IF(ISNUMBER(FIND("arbeid",Methode_Keuze)),"",IF(Tb_Activiteiten[[#This Row],[Projectmedewerker]]=1,Tb_Activiteiten[[#Headers],[Projectmedewerker]],"")))</f>
        <v/>
      </c>
      <c r="AN334" t="str">
        <f>IF(ISNUMBER(FIND("arbeid",Methode_Keuze)),"",IF(ISNUMBER(FIND("arbeid",Methode_Keuze)),"",IF(Tb_Activiteiten[[#This Row],[Landbouwer]]=1,Tb_Activiteiten[[#Headers],[Landbouwer]],"")))</f>
        <v/>
      </c>
      <c r="AO334" t="str">
        <f>IF(ISNUMBER(FIND("arbeid",Methode_Keuze)),"",IF(ISNUMBER(FIND("arbeid",Methode_Keuze)),"",IF(Tb_Activiteiten[[#This Row],[Adviseur]]=1,Tb_Activiteiten[[#Headers],[Adviseur]],"")))</f>
        <v/>
      </c>
      <c r="AP334" t="str">
        <f>IF(ISNUMBER(FIND("arbeid",Methode_Keuze)),"",IF(ISNUMBER(FIND("arbeid",Methode_Keuze)),"",IF(Tb_Activiteiten[[#This Row],[Projectleider/Expert]]=1,Tb_Activiteiten[[#Headers],[Projectleider/Expert]],"")))</f>
        <v/>
      </c>
      <c r="AQ334" t="str">
        <f>IF(ISNUMBER(FIND("arbeid",Methode_Keuze)),"",IF(ISNUMBER(FIND("arbeid",Methode_Keuze)),"",IF(Tb_Activiteiten[[#This Row],[Arbeidskosten]]=1,Tb_Activiteiten[[#Headers],[Arbeidskosten]],"")))</f>
        <v/>
      </c>
      <c r="AR334" t="str">
        <f>IF(ISNUMBER(FIND("arbeid",Methode_Keuze)),"",IF(ISNUMBER(FIND("arbeid",Methode_Keuze)),"",IF(Tb_Activiteiten[[#This Row],[Arbeidskosten op basis van IKS]]=1,Tb_Activiteiten[[#Headers],[Arbeidskosten op basis van IKS]],"")))</f>
        <v/>
      </c>
      <c r="AS334" t="str">
        <f>IF(ISNUMBER(FIND("overige",Methode_Keuze)),"",IF(Tb_Activiteiten[[#This Row],[Kosten derden exclusief btw]]=1,Tb_Activiteiten[[#Headers],[Kosten derden exclusief btw]],""))</f>
        <v/>
      </c>
      <c r="AT334" t="str">
        <f>IF(ISNUMBER(FIND("overige",Methode_Keuze)),"",IF(Tb_Activiteiten[[#This Row],[Niet verrekenbare btw]]=1,Tb_Activiteiten[[#Headers],[Niet verrekenbare btw]],""))</f>
        <v/>
      </c>
      <c r="AU334" t="str">
        <f>IF(ISNUMBER(FIND("overige",Methode_Keuze)),"",IF(Tb_Activiteiten[[#This Row],[Grondkosten]]=1,Tb_Activiteiten[[#Headers],[Grondkosten]],""))</f>
        <v/>
      </c>
      <c r="AV334" t="str">
        <f>IF(ISNUMBER(FIND("overige",Methode_Keuze)),"",IF(Tb_Activiteiten[[#This Row],[Bijdrage in natura (overige)]]=1,Tb_Activiteiten[[#Headers],[Bijdrage in natura (overige)]],""))</f>
        <v/>
      </c>
      <c r="AW334" t="str">
        <f>IF(ISNUMBER(FIND("overige",Methode_Keuze)),"",IF(Tb_Activiteiten[[#This Row],[Bijdrage in natura (vrijwilligers)]]=1,Tb_Activiteiten[[#Headers],[Bijdrage in natura (vrijwilligers)]],""))</f>
        <v/>
      </c>
      <c r="AX334" t="str">
        <f>IF(ISNUMBER(FIND("overige",Methode_Keuze)),"",IF(Tb_Activiteiten[[#This Row],[Afschrijvingskosten]]=1,Tb_Activiteiten[[#Headers],[Afschrijvingskosten]],""))</f>
        <v/>
      </c>
      <c r="AY334" t="str">
        <f>IF(ISNUMBER(FIND("overige",Methode_Keuze)),"",IF(Tb_Activiteiten[[#This Row],[Vergoeding]]=1,Tb_Activiteiten[[#Headers],[Vergoeding]],""))</f>
        <v/>
      </c>
      <c r="AZ334" t="str">
        <f>IF(ISNUMBER(FIND("arbeid",Methode_Keuze)),"",IF(Tb_Activiteiten[[#This Row],[Arbeidskosten - vast tarief (excl eigen arbeid)]]=1,Tb_Activiteiten[[#Headers],[Arbeidskosten - vast tarief (excl eigen arbeid)]],""))</f>
        <v/>
      </c>
      <c r="BA334" t="str">
        <f>IF(ISNUMBER(FIND("overige",Methode_Keuze)),"",IF(Tb_Activiteiten[[#This Row],[Overige kosten]]=1,Tb_Activiteiten[[#Headers],[Overige kosten]],""))</f>
        <v/>
      </c>
    </row>
    <row r="335" spans="1:53" x14ac:dyDescent="0.25">
      <c r="A335" s="231"/>
      <c r="F335" s="64"/>
      <c r="G335" s="64"/>
      <c r="H335" s="275"/>
      <c r="I335" s="275"/>
      <c r="J335" s="275"/>
      <c r="K335" s="275"/>
      <c r="O335" s="56"/>
      <c r="Q335" t="str">
        <f>IFERROR(IF(VLOOKUP(Tb_Activiteiten[[#This Row],[Openstelling]],Tb_Openstelling[],2,0)=1,1,""),"")</f>
        <v/>
      </c>
      <c r="AK335" t="str">
        <f>IF(ISNUMBER(FIND("arbeid",Methode_Keuze)),"",IF(ISNUMBER(FIND("arbeid",Methode_Keuze)),"",IF(Tb_Activiteiten[[#This Row],[Loonkosten]]=1,Tb_Activiteiten[[#Headers],[Loonkosten]],"")))</f>
        <v/>
      </c>
      <c r="AL335" t="str">
        <f>IF(ISNUMBER(FIND("arbeid",Methode_Keuze)),"",IF(ISNUMBER(FIND("arbeid",Methode_Keuze)),"",IF(Tb_Activiteiten[[#This Row],[Eigen arbeid]]=1,Tb_Activiteiten[[#Headers],[Eigen arbeid]],"")))</f>
        <v/>
      </c>
      <c r="AM335" t="str">
        <f>IF(ISNUMBER(FIND("arbeid",Methode_Keuze)),"",IF(ISNUMBER(FIND("arbeid",Methode_Keuze)),"",IF(Tb_Activiteiten[[#This Row],[Projectmedewerker]]=1,Tb_Activiteiten[[#Headers],[Projectmedewerker]],"")))</f>
        <v/>
      </c>
      <c r="AN335" t="str">
        <f>IF(ISNUMBER(FIND("arbeid",Methode_Keuze)),"",IF(ISNUMBER(FIND("arbeid",Methode_Keuze)),"",IF(Tb_Activiteiten[[#This Row],[Landbouwer]]=1,Tb_Activiteiten[[#Headers],[Landbouwer]],"")))</f>
        <v/>
      </c>
      <c r="AO335" t="str">
        <f>IF(ISNUMBER(FIND("arbeid",Methode_Keuze)),"",IF(ISNUMBER(FIND("arbeid",Methode_Keuze)),"",IF(Tb_Activiteiten[[#This Row],[Adviseur]]=1,Tb_Activiteiten[[#Headers],[Adviseur]],"")))</f>
        <v/>
      </c>
      <c r="AP335" t="str">
        <f>IF(ISNUMBER(FIND("arbeid",Methode_Keuze)),"",IF(ISNUMBER(FIND("arbeid",Methode_Keuze)),"",IF(Tb_Activiteiten[[#This Row],[Projectleider/Expert]]=1,Tb_Activiteiten[[#Headers],[Projectleider/Expert]],"")))</f>
        <v/>
      </c>
      <c r="AQ335" t="str">
        <f>IF(ISNUMBER(FIND("arbeid",Methode_Keuze)),"",IF(ISNUMBER(FIND("arbeid",Methode_Keuze)),"",IF(Tb_Activiteiten[[#This Row],[Arbeidskosten]]=1,Tb_Activiteiten[[#Headers],[Arbeidskosten]],"")))</f>
        <v/>
      </c>
      <c r="AR335" t="str">
        <f>IF(ISNUMBER(FIND("arbeid",Methode_Keuze)),"",IF(ISNUMBER(FIND("arbeid",Methode_Keuze)),"",IF(Tb_Activiteiten[[#This Row],[Arbeidskosten op basis van IKS]]=1,Tb_Activiteiten[[#Headers],[Arbeidskosten op basis van IKS]],"")))</f>
        <v/>
      </c>
      <c r="AS335" t="str">
        <f>IF(ISNUMBER(FIND("overige",Methode_Keuze)),"",IF(Tb_Activiteiten[[#This Row],[Kosten derden exclusief btw]]=1,Tb_Activiteiten[[#Headers],[Kosten derden exclusief btw]],""))</f>
        <v/>
      </c>
      <c r="AT335" t="str">
        <f>IF(ISNUMBER(FIND("overige",Methode_Keuze)),"",IF(Tb_Activiteiten[[#This Row],[Niet verrekenbare btw]]=1,Tb_Activiteiten[[#Headers],[Niet verrekenbare btw]],""))</f>
        <v/>
      </c>
      <c r="AU335" t="str">
        <f>IF(ISNUMBER(FIND("overige",Methode_Keuze)),"",IF(Tb_Activiteiten[[#This Row],[Grondkosten]]=1,Tb_Activiteiten[[#Headers],[Grondkosten]],""))</f>
        <v/>
      </c>
      <c r="AV335" t="str">
        <f>IF(ISNUMBER(FIND("overige",Methode_Keuze)),"",IF(Tb_Activiteiten[[#This Row],[Bijdrage in natura (overige)]]=1,Tb_Activiteiten[[#Headers],[Bijdrage in natura (overige)]],""))</f>
        <v/>
      </c>
      <c r="AW335" t="str">
        <f>IF(ISNUMBER(FIND("overige",Methode_Keuze)),"",IF(Tb_Activiteiten[[#This Row],[Bijdrage in natura (vrijwilligers)]]=1,Tb_Activiteiten[[#Headers],[Bijdrage in natura (vrijwilligers)]],""))</f>
        <v/>
      </c>
      <c r="AX335" t="str">
        <f>IF(ISNUMBER(FIND("overige",Methode_Keuze)),"",IF(Tb_Activiteiten[[#This Row],[Afschrijvingskosten]]=1,Tb_Activiteiten[[#Headers],[Afschrijvingskosten]],""))</f>
        <v/>
      </c>
      <c r="AY335" t="str">
        <f>IF(ISNUMBER(FIND("overige",Methode_Keuze)),"",IF(Tb_Activiteiten[[#This Row],[Vergoeding]]=1,Tb_Activiteiten[[#Headers],[Vergoeding]],""))</f>
        <v/>
      </c>
      <c r="AZ335" t="str">
        <f>IF(ISNUMBER(FIND("arbeid",Methode_Keuze)),"",IF(Tb_Activiteiten[[#This Row],[Arbeidskosten - vast tarief (excl eigen arbeid)]]=1,Tb_Activiteiten[[#Headers],[Arbeidskosten - vast tarief (excl eigen arbeid)]],""))</f>
        <v/>
      </c>
      <c r="BA335" t="str">
        <f>IF(ISNUMBER(FIND("overige",Methode_Keuze)),"",IF(Tb_Activiteiten[[#This Row],[Overige kosten]]=1,Tb_Activiteiten[[#Headers],[Overige kosten]],""))</f>
        <v/>
      </c>
    </row>
    <row r="336" spans="1:53" x14ac:dyDescent="0.25">
      <c r="A336" s="231"/>
      <c r="F336" s="64"/>
      <c r="G336" s="64"/>
      <c r="H336" s="275"/>
      <c r="I336" s="275"/>
      <c r="J336" s="275"/>
      <c r="K336" s="275"/>
      <c r="O336" s="56"/>
      <c r="Q336" t="str">
        <f>IFERROR(IF(VLOOKUP(Tb_Activiteiten[[#This Row],[Openstelling]],Tb_Openstelling[],2,0)=1,1,""),"")</f>
        <v/>
      </c>
      <c r="AK336" t="str">
        <f>IF(ISNUMBER(FIND("arbeid",Methode_Keuze)),"",IF(ISNUMBER(FIND("arbeid",Methode_Keuze)),"",IF(Tb_Activiteiten[[#This Row],[Loonkosten]]=1,Tb_Activiteiten[[#Headers],[Loonkosten]],"")))</f>
        <v/>
      </c>
      <c r="AL336" t="str">
        <f>IF(ISNUMBER(FIND("arbeid",Methode_Keuze)),"",IF(ISNUMBER(FIND("arbeid",Methode_Keuze)),"",IF(Tb_Activiteiten[[#This Row],[Eigen arbeid]]=1,Tb_Activiteiten[[#Headers],[Eigen arbeid]],"")))</f>
        <v/>
      </c>
      <c r="AM336" t="str">
        <f>IF(ISNUMBER(FIND("arbeid",Methode_Keuze)),"",IF(ISNUMBER(FIND("arbeid",Methode_Keuze)),"",IF(Tb_Activiteiten[[#This Row],[Projectmedewerker]]=1,Tb_Activiteiten[[#Headers],[Projectmedewerker]],"")))</f>
        <v/>
      </c>
      <c r="AN336" t="str">
        <f>IF(ISNUMBER(FIND("arbeid",Methode_Keuze)),"",IF(ISNUMBER(FIND("arbeid",Methode_Keuze)),"",IF(Tb_Activiteiten[[#This Row],[Landbouwer]]=1,Tb_Activiteiten[[#Headers],[Landbouwer]],"")))</f>
        <v/>
      </c>
      <c r="AO336" t="str">
        <f>IF(ISNUMBER(FIND("arbeid",Methode_Keuze)),"",IF(ISNUMBER(FIND("arbeid",Methode_Keuze)),"",IF(Tb_Activiteiten[[#This Row],[Adviseur]]=1,Tb_Activiteiten[[#Headers],[Adviseur]],"")))</f>
        <v/>
      </c>
      <c r="AP336" t="str">
        <f>IF(ISNUMBER(FIND("arbeid",Methode_Keuze)),"",IF(ISNUMBER(FIND("arbeid",Methode_Keuze)),"",IF(Tb_Activiteiten[[#This Row],[Projectleider/Expert]]=1,Tb_Activiteiten[[#Headers],[Projectleider/Expert]],"")))</f>
        <v/>
      </c>
      <c r="AQ336" t="str">
        <f>IF(ISNUMBER(FIND("arbeid",Methode_Keuze)),"",IF(ISNUMBER(FIND("arbeid",Methode_Keuze)),"",IF(Tb_Activiteiten[[#This Row],[Arbeidskosten]]=1,Tb_Activiteiten[[#Headers],[Arbeidskosten]],"")))</f>
        <v/>
      </c>
      <c r="AR336" t="str">
        <f>IF(ISNUMBER(FIND("arbeid",Methode_Keuze)),"",IF(ISNUMBER(FIND("arbeid",Methode_Keuze)),"",IF(Tb_Activiteiten[[#This Row],[Arbeidskosten op basis van IKS]]=1,Tb_Activiteiten[[#Headers],[Arbeidskosten op basis van IKS]],"")))</f>
        <v/>
      </c>
      <c r="AS336" t="str">
        <f>IF(ISNUMBER(FIND("overige",Methode_Keuze)),"",IF(Tb_Activiteiten[[#This Row],[Kosten derden exclusief btw]]=1,Tb_Activiteiten[[#Headers],[Kosten derden exclusief btw]],""))</f>
        <v/>
      </c>
      <c r="AT336" t="str">
        <f>IF(ISNUMBER(FIND("overige",Methode_Keuze)),"",IF(Tb_Activiteiten[[#This Row],[Niet verrekenbare btw]]=1,Tb_Activiteiten[[#Headers],[Niet verrekenbare btw]],""))</f>
        <v/>
      </c>
      <c r="AU336" t="str">
        <f>IF(ISNUMBER(FIND("overige",Methode_Keuze)),"",IF(Tb_Activiteiten[[#This Row],[Grondkosten]]=1,Tb_Activiteiten[[#Headers],[Grondkosten]],""))</f>
        <v/>
      </c>
      <c r="AV336" t="str">
        <f>IF(ISNUMBER(FIND("overige",Methode_Keuze)),"",IF(Tb_Activiteiten[[#This Row],[Bijdrage in natura (overige)]]=1,Tb_Activiteiten[[#Headers],[Bijdrage in natura (overige)]],""))</f>
        <v/>
      </c>
      <c r="AW336" t="str">
        <f>IF(ISNUMBER(FIND("overige",Methode_Keuze)),"",IF(Tb_Activiteiten[[#This Row],[Bijdrage in natura (vrijwilligers)]]=1,Tb_Activiteiten[[#Headers],[Bijdrage in natura (vrijwilligers)]],""))</f>
        <v/>
      </c>
      <c r="AX336" t="str">
        <f>IF(ISNUMBER(FIND("overige",Methode_Keuze)),"",IF(Tb_Activiteiten[[#This Row],[Afschrijvingskosten]]=1,Tb_Activiteiten[[#Headers],[Afschrijvingskosten]],""))</f>
        <v/>
      </c>
      <c r="AY336" t="str">
        <f>IF(ISNUMBER(FIND("overige",Methode_Keuze)),"",IF(Tb_Activiteiten[[#This Row],[Vergoeding]]=1,Tb_Activiteiten[[#Headers],[Vergoeding]],""))</f>
        <v/>
      </c>
      <c r="AZ336" t="str">
        <f>IF(ISNUMBER(FIND("arbeid",Methode_Keuze)),"",IF(Tb_Activiteiten[[#This Row],[Arbeidskosten - vast tarief (excl eigen arbeid)]]=1,Tb_Activiteiten[[#Headers],[Arbeidskosten - vast tarief (excl eigen arbeid)]],""))</f>
        <v/>
      </c>
      <c r="BA336" t="str">
        <f>IF(ISNUMBER(FIND("overige",Methode_Keuze)),"",IF(Tb_Activiteiten[[#This Row],[Overige kosten]]=1,Tb_Activiteiten[[#Headers],[Overige kosten]],""))</f>
        <v/>
      </c>
    </row>
    <row r="337" spans="1:53" x14ac:dyDescent="0.25">
      <c r="A337" s="231"/>
      <c r="F337" s="64"/>
      <c r="G337" s="64"/>
      <c r="H337" s="275"/>
      <c r="I337" s="275"/>
      <c r="J337" s="275"/>
      <c r="K337" s="275"/>
      <c r="O337" s="56"/>
      <c r="Q337" t="str">
        <f>IFERROR(IF(VLOOKUP(Tb_Activiteiten[[#This Row],[Openstelling]],Tb_Openstelling[],2,0)=1,1,""),"")</f>
        <v/>
      </c>
      <c r="AK337" t="str">
        <f>IF(ISNUMBER(FIND("arbeid",Methode_Keuze)),"",IF(ISNUMBER(FIND("arbeid",Methode_Keuze)),"",IF(Tb_Activiteiten[[#This Row],[Loonkosten]]=1,Tb_Activiteiten[[#Headers],[Loonkosten]],"")))</f>
        <v/>
      </c>
      <c r="AL337" t="str">
        <f>IF(ISNUMBER(FIND("arbeid",Methode_Keuze)),"",IF(ISNUMBER(FIND("arbeid",Methode_Keuze)),"",IF(Tb_Activiteiten[[#This Row],[Eigen arbeid]]=1,Tb_Activiteiten[[#Headers],[Eigen arbeid]],"")))</f>
        <v/>
      </c>
      <c r="AM337" t="str">
        <f>IF(ISNUMBER(FIND("arbeid",Methode_Keuze)),"",IF(ISNUMBER(FIND("arbeid",Methode_Keuze)),"",IF(Tb_Activiteiten[[#This Row],[Projectmedewerker]]=1,Tb_Activiteiten[[#Headers],[Projectmedewerker]],"")))</f>
        <v/>
      </c>
      <c r="AN337" t="str">
        <f>IF(ISNUMBER(FIND("arbeid",Methode_Keuze)),"",IF(ISNUMBER(FIND("arbeid",Methode_Keuze)),"",IF(Tb_Activiteiten[[#This Row],[Landbouwer]]=1,Tb_Activiteiten[[#Headers],[Landbouwer]],"")))</f>
        <v/>
      </c>
      <c r="AO337" t="str">
        <f>IF(ISNUMBER(FIND("arbeid",Methode_Keuze)),"",IF(ISNUMBER(FIND("arbeid",Methode_Keuze)),"",IF(Tb_Activiteiten[[#This Row],[Adviseur]]=1,Tb_Activiteiten[[#Headers],[Adviseur]],"")))</f>
        <v/>
      </c>
      <c r="AP337" t="str">
        <f>IF(ISNUMBER(FIND("arbeid",Methode_Keuze)),"",IF(ISNUMBER(FIND("arbeid",Methode_Keuze)),"",IF(Tb_Activiteiten[[#This Row],[Projectleider/Expert]]=1,Tb_Activiteiten[[#Headers],[Projectleider/Expert]],"")))</f>
        <v/>
      </c>
      <c r="AQ337" t="str">
        <f>IF(ISNUMBER(FIND("arbeid",Methode_Keuze)),"",IF(ISNUMBER(FIND("arbeid",Methode_Keuze)),"",IF(Tb_Activiteiten[[#This Row],[Arbeidskosten]]=1,Tb_Activiteiten[[#Headers],[Arbeidskosten]],"")))</f>
        <v/>
      </c>
      <c r="AR337" t="str">
        <f>IF(ISNUMBER(FIND("arbeid",Methode_Keuze)),"",IF(ISNUMBER(FIND("arbeid",Methode_Keuze)),"",IF(Tb_Activiteiten[[#This Row],[Arbeidskosten op basis van IKS]]=1,Tb_Activiteiten[[#Headers],[Arbeidskosten op basis van IKS]],"")))</f>
        <v/>
      </c>
      <c r="AS337" t="str">
        <f>IF(ISNUMBER(FIND("overige",Methode_Keuze)),"",IF(Tb_Activiteiten[[#This Row],[Kosten derden exclusief btw]]=1,Tb_Activiteiten[[#Headers],[Kosten derden exclusief btw]],""))</f>
        <v/>
      </c>
      <c r="AT337" t="str">
        <f>IF(ISNUMBER(FIND("overige",Methode_Keuze)),"",IF(Tb_Activiteiten[[#This Row],[Niet verrekenbare btw]]=1,Tb_Activiteiten[[#Headers],[Niet verrekenbare btw]],""))</f>
        <v/>
      </c>
      <c r="AU337" t="str">
        <f>IF(ISNUMBER(FIND("overige",Methode_Keuze)),"",IF(Tb_Activiteiten[[#This Row],[Grondkosten]]=1,Tb_Activiteiten[[#Headers],[Grondkosten]],""))</f>
        <v/>
      </c>
      <c r="AV337" t="str">
        <f>IF(ISNUMBER(FIND("overige",Methode_Keuze)),"",IF(Tb_Activiteiten[[#This Row],[Bijdrage in natura (overige)]]=1,Tb_Activiteiten[[#Headers],[Bijdrage in natura (overige)]],""))</f>
        <v/>
      </c>
      <c r="AW337" t="str">
        <f>IF(ISNUMBER(FIND("overige",Methode_Keuze)),"",IF(Tb_Activiteiten[[#This Row],[Bijdrage in natura (vrijwilligers)]]=1,Tb_Activiteiten[[#Headers],[Bijdrage in natura (vrijwilligers)]],""))</f>
        <v/>
      </c>
      <c r="AX337" t="str">
        <f>IF(ISNUMBER(FIND("overige",Methode_Keuze)),"",IF(Tb_Activiteiten[[#This Row],[Afschrijvingskosten]]=1,Tb_Activiteiten[[#Headers],[Afschrijvingskosten]],""))</f>
        <v/>
      </c>
      <c r="AY337" t="str">
        <f>IF(ISNUMBER(FIND("overige",Methode_Keuze)),"",IF(Tb_Activiteiten[[#This Row],[Vergoeding]]=1,Tb_Activiteiten[[#Headers],[Vergoeding]],""))</f>
        <v/>
      </c>
      <c r="AZ337" t="str">
        <f>IF(ISNUMBER(FIND("arbeid",Methode_Keuze)),"",IF(Tb_Activiteiten[[#This Row],[Arbeidskosten - vast tarief (excl eigen arbeid)]]=1,Tb_Activiteiten[[#Headers],[Arbeidskosten - vast tarief (excl eigen arbeid)]],""))</f>
        <v/>
      </c>
      <c r="BA337" t="str">
        <f>IF(ISNUMBER(FIND("overige",Methode_Keuze)),"",IF(Tb_Activiteiten[[#This Row],[Overige kosten]]=1,Tb_Activiteiten[[#Headers],[Overige kosten]],""))</f>
        <v/>
      </c>
    </row>
    <row r="338" spans="1:53" x14ac:dyDescent="0.25">
      <c r="A338" s="231"/>
      <c r="F338" s="64"/>
      <c r="G338" s="64"/>
      <c r="H338" s="275"/>
      <c r="I338" s="275"/>
      <c r="J338" s="275"/>
      <c r="K338" s="275"/>
      <c r="O338" s="56"/>
      <c r="Q338" t="str">
        <f>IFERROR(IF(VLOOKUP(Tb_Activiteiten[[#This Row],[Openstelling]],Tb_Openstelling[],2,0)=1,1,""),"")</f>
        <v/>
      </c>
      <c r="AK338" t="str">
        <f>IF(ISNUMBER(FIND("arbeid",Methode_Keuze)),"",IF(ISNUMBER(FIND("arbeid",Methode_Keuze)),"",IF(Tb_Activiteiten[[#This Row],[Loonkosten]]=1,Tb_Activiteiten[[#Headers],[Loonkosten]],"")))</f>
        <v/>
      </c>
      <c r="AL338" t="str">
        <f>IF(ISNUMBER(FIND("arbeid",Methode_Keuze)),"",IF(ISNUMBER(FIND("arbeid",Methode_Keuze)),"",IF(Tb_Activiteiten[[#This Row],[Eigen arbeid]]=1,Tb_Activiteiten[[#Headers],[Eigen arbeid]],"")))</f>
        <v/>
      </c>
      <c r="AM338" t="str">
        <f>IF(ISNUMBER(FIND("arbeid",Methode_Keuze)),"",IF(ISNUMBER(FIND("arbeid",Methode_Keuze)),"",IF(Tb_Activiteiten[[#This Row],[Projectmedewerker]]=1,Tb_Activiteiten[[#Headers],[Projectmedewerker]],"")))</f>
        <v/>
      </c>
      <c r="AN338" t="str">
        <f>IF(ISNUMBER(FIND("arbeid",Methode_Keuze)),"",IF(ISNUMBER(FIND("arbeid",Methode_Keuze)),"",IF(Tb_Activiteiten[[#This Row],[Landbouwer]]=1,Tb_Activiteiten[[#Headers],[Landbouwer]],"")))</f>
        <v/>
      </c>
      <c r="AO338" t="str">
        <f>IF(ISNUMBER(FIND("arbeid",Methode_Keuze)),"",IF(ISNUMBER(FIND("arbeid",Methode_Keuze)),"",IF(Tb_Activiteiten[[#This Row],[Adviseur]]=1,Tb_Activiteiten[[#Headers],[Adviseur]],"")))</f>
        <v/>
      </c>
      <c r="AP338" t="str">
        <f>IF(ISNUMBER(FIND("arbeid",Methode_Keuze)),"",IF(ISNUMBER(FIND("arbeid",Methode_Keuze)),"",IF(Tb_Activiteiten[[#This Row],[Projectleider/Expert]]=1,Tb_Activiteiten[[#Headers],[Projectleider/Expert]],"")))</f>
        <v/>
      </c>
      <c r="AQ338" t="str">
        <f>IF(ISNUMBER(FIND("arbeid",Methode_Keuze)),"",IF(ISNUMBER(FIND("arbeid",Methode_Keuze)),"",IF(Tb_Activiteiten[[#This Row],[Arbeidskosten]]=1,Tb_Activiteiten[[#Headers],[Arbeidskosten]],"")))</f>
        <v/>
      </c>
      <c r="AR338" t="str">
        <f>IF(ISNUMBER(FIND("arbeid",Methode_Keuze)),"",IF(ISNUMBER(FIND("arbeid",Methode_Keuze)),"",IF(Tb_Activiteiten[[#This Row],[Arbeidskosten op basis van IKS]]=1,Tb_Activiteiten[[#Headers],[Arbeidskosten op basis van IKS]],"")))</f>
        <v/>
      </c>
      <c r="AS338" t="str">
        <f>IF(ISNUMBER(FIND("overige",Methode_Keuze)),"",IF(Tb_Activiteiten[[#This Row],[Kosten derden exclusief btw]]=1,Tb_Activiteiten[[#Headers],[Kosten derden exclusief btw]],""))</f>
        <v/>
      </c>
      <c r="AT338" t="str">
        <f>IF(ISNUMBER(FIND("overige",Methode_Keuze)),"",IF(Tb_Activiteiten[[#This Row],[Niet verrekenbare btw]]=1,Tb_Activiteiten[[#Headers],[Niet verrekenbare btw]],""))</f>
        <v/>
      </c>
      <c r="AU338" t="str">
        <f>IF(ISNUMBER(FIND("overige",Methode_Keuze)),"",IF(Tb_Activiteiten[[#This Row],[Grondkosten]]=1,Tb_Activiteiten[[#Headers],[Grondkosten]],""))</f>
        <v/>
      </c>
      <c r="AV338" t="str">
        <f>IF(ISNUMBER(FIND("overige",Methode_Keuze)),"",IF(Tb_Activiteiten[[#This Row],[Bijdrage in natura (overige)]]=1,Tb_Activiteiten[[#Headers],[Bijdrage in natura (overige)]],""))</f>
        <v/>
      </c>
      <c r="AW338" t="str">
        <f>IF(ISNUMBER(FIND("overige",Methode_Keuze)),"",IF(Tb_Activiteiten[[#This Row],[Bijdrage in natura (vrijwilligers)]]=1,Tb_Activiteiten[[#Headers],[Bijdrage in natura (vrijwilligers)]],""))</f>
        <v/>
      </c>
      <c r="AX338" t="str">
        <f>IF(ISNUMBER(FIND("overige",Methode_Keuze)),"",IF(Tb_Activiteiten[[#This Row],[Afschrijvingskosten]]=1,Tb_Activiteiten[[#Headers],[Afschrijvingskosten]],""))</f>
        <v/>
      </c>
      <c r="AY338" t="str">
        <f>IF(ISNUMBER(FIND("overige",Methode_Keuze)),"",IF(Tb_Activiteiten[[#This Row],[Vergoeding]]=1,Tb_Activiteiten[[#Headers],[Vergoeding]],""))</f>
        <v/>
      </c>
      <c r="AZ338" t="str">
        <f>IF(ISNUMBER(FIND("arbeid",Methode_Keuze)),"",IF(Tb_Activiteiten[[#This Row],[Arbeidskosten - vast tarief (excl eigen arbeid)]]=1,Tb_Activiteiten[[#Headers],[Arbeidskosten - vast tarief (excl eigen arbeid)]],""))</f>
        <v/>
      </c>
      <c r="BA338" t="str">
        <f>IF(ISNUMBER(FIND("overige",Methode_Keuze)),"",IF(Tb_Activiteiten[[#This Row],[Overige kosten]]=1,Tb_Activiteiten[[#Headers],[Overige kosten]],""))</f>
        <v/>
      </c>
    </row>
    <row r="339" spans="1:53" x14ac:dyDescent="0.25">
      <c r="A339" s="231"/>
      <c r="F339" s="64"/>
      <c r="G339" s="64"/>
      <c r="H339" s="275"/>
      <c r="I339" s="275"/>
      <c r="J339" s="275"/>
      <c r="K339" s="275"/>
      <c r="O339" s="56"/>
      <c r="Q339" t="str">
        <f>IFERROR(IF(VLOOKUP(Tb_Activiteiten[[#This Row],[Openstelling]],Tb_Openstelling[],2,0)=1,1,""),"")</f>
        <v/>
      </c>
      <c r="AK339" t="str">
        <f>IF(ISNUMBER(FIND("arbeid",Methode_Keuze)),"",IF(ISNUMBER(FIND("arbeid",Methode_Keuze)),"",IF(Tb_Activiteiten[[#This Row],[Loonkosten]]=1,Tb_Activiteiten[[#Headers],[Loonkosten]],"")))</f>
        <v/>
      </c>
      <c r="AL339" t="str">
        <f>IF(ISNUMBER(FIND("arbeid",Methode_Keuze)),"",IF(ISNUMBER(FIND("arbeid",Methode_Keuze)),"",IF(Tb_Activiteiten[[#This Row],[Eigen arbeid]]=1,Tb_Activiteiten[[#Headers],[Eigen arbeid]],"")))</f>
        <v/>
      </c>
      <c r="AM339" t="str">
        <f>IF(ISNUMBER(FIND("arbeid",Methode_Keuze)),"",IF(ISNUMBER(FIND("arbeid",Methode_Keuze)),"",IF(Tb_Activiteiten[[#This Row],[Projectmedewerker]]=1,Tb_Activiteiten[[#Headers],[Projectmedewerker]],"")))</f>
        <v/>
      </c>
      <c r="AN339" t="str">
        <f>IF(ISNUMBER(FIND("arbeid",Methode_Keuze)),"",IF(ISNUMBER(FIND("arbeid",Methode_Keuze)),"",IF(Tb_Activiteiten[[#This Row],[Landbouwer]]=1,Tb_Activiteiten[[#Headers],[Landbouwer]],"")))</f>
        <v/>
      </c>
      <c r="AO339" t="str">
        <f>IF(ISNUMBER(FIND("arbeid",Methode_Keuze)),"",IF(ISNUMBER(FIND("arbeid",Methode_Keuze)),"",IF(Tb_Activiteiten[[#This Row],[Adviseur]]=1,Tb_Activiteiten[[#Headers],[Adviseur]],"")))</f>
        <v/>
      </c>
      <c r="AP339" t="str">
        <f>IF(ISNUMBER(FIND("arbeid",Methode_Keuze)),"",IF(ISNUMBER(FIND("arbeid",Methode_Keuze)),"",IF(Tb_Activiteiten[[#This Row],[Projectleider/Expert]]=1,Tb_Activiteiten[[#Headers],[Projectleider/Expert]],"")))</f>
        <v/>
      </c>
      <c r="AQ339" t="str">
        <f>IF(ISNUMBER(FIND("arbeid",Methode_Keuze)),"",IF(ISNUMBER(FIND("arbeid",Methode_Keuze)),"",IF(Tb_Activiteiten[[#This Row],[Arbeidskosten]]=1,Tb_Activiteiten[[#Headers],[Arbeidskosten]],"")))</f>
        <v/>
      </c>
      <c r="AR339" t="str">
        <f>IF(ISNUMBER(FIND("arbeid",Methode_Keuze)),"",IF(ISNUMBER(FIND("arbeid",Methode_Keuze)),"",IF(Tb_Activiteiten[[#This Row],[Arbeidskosten op basis van IKS]]=1,Tb_Activiteiten[[#Headers],[Arbeidskosten op basis van IKS]],"")))</f>
        <v/>
      </c>
      <c r="AS339" t="str">
        <f>IF(ISNUMBER(FIND("overige",Methode_Keuze)),"",IF(Tb_Activiteiten[[#This Row],[Kosten derden exclusief btw]]=1,Tb_Activiteiten[[#Headers],[Kosten derden exclusief btw]],""))</f>
        <v/>
      </c>
      <c r="AT339" t="str">
        <f>IF(ISNUMBER(FIND("overige",Methode_Keuze)),"",IF(Tb_Activiteiten[[#This Row],[Niet verrekenbare btw]]=1,Tb_Activiteiten[[#Headers],[Niet verrekenbare btw]],""))</f>
        <v/>
      </c>
      <c r="AU339" t="str">
        <f>IF(ISNUMBER(FIND("overige",Methode_Keuze)),"",IF(Tb_Activiteiten[[#This Row],[Grondkosten]]=1,Tb_Activiteiten[[#Headers],[Grondkosten]],""))</f>
        <v/>
      </c>
      <c r="AV339" t="str">
        <f>IF(ISNUMBER(FIND("overige",Methode_Keuze)),"",IF(Tb_Activiteiten[[#This Row],[Bijdrage in natura (overige)]]=1,Tb_Activiteiten[[#Headers],[Bijdrage in natura (overige)]],""))</f>
        <v/>
      </c>
      <c r="AW339" t="str">
        <f>IF(ISNUMBER(FIND("overige",Methode_Keuze)),"",IF(Tb_Activiteiten[[#This Row],[Bijdrage in natura (vrijwilligers)]]=1,Tb_Activiteiten[[#Headers],[Bijdrage in natura (vrijwilligers)]],""))</f>
        <v/>
      </c>
      <c r="AX339" t="str">
        <f>IF(ISNUMBER(FIND("overige",Methode_Keuze)),"",IF(Tb_Activiteiten[[#This Row],[Afschrijvingskosten]]=1,Tb_Activiteiten[[#Headers],[Afschrijvingskosten]],""))</f>
        <v/>
      </c>
      <c r="AY339" t="str">
        <f>IF(ISNUMBER(FIND("overige",Methode_Keuze)),"",IF(Tb_Activiteiten[[#This Row],[Vergoeding]]=1,Tb_Activiteiten[[#Headers],[Vergoeding]],""))</f>
        <v/>
      </c>
      <c r="AZ339" t="str">
        <f>IF(ISNUMBER(FIND("arbeid",Methode_Keuze)),"",IF(Tb_Activiteiten[[#This Row],[Arbeidskosten - vast tarief (excl eigen arbeid)]]=1,Tb_Activiteiten[[#Headers],[Arbeidskosten - vast tarief (excl eigen arbeid)]],""))</f>
        <v/>
      </c>
      <c r="BA339" t="str">
        <f>IF(ISNUMBER(FIND("overige",Methode_Keuze)),"",IF(Tb_Activiteiten[[#This Row],[Overige kosten]]=1,Tb_Activiteiten[[#Headers],[Overige kosten]],""))</f>
        <v/>
      </c>
    </row>
    <row r="340" spans="1:53" x14ac:dyDescent="0.25">
      <c r="A340" s="231"/>
      <c r="F340" s="64"/>
      <c r="G340" s="64"/>
      <c r="H340" s="275"/>
      <c r="I340" s="275"/>
      <c r="J340" s="275"/>
      <c r="K340" s="275"/>
      <c r="O340" s="56"/>
      <c r="Q340" t="str">
        <f>IFERROR(IF(VLOOKUP(Tb_Activiteiten[[#This Row],[Openstelling]],Tb_Openstelling[],2,0)=1,1,""),"")</f>
        <v/>
      </c>
      <c r="AK340" t="str">
        <f>IF(ISNUMBER(FIND("arbeid",Methode_Keuze)),"",IF(ISNUMBER(FIND("arbeid",Methode_Keuze)),"",IF(Tb_Activiteiten[[#This Row],[Loonkosten]]=1,Tb_Activiteiten[[#Headers],[Loonkosten]],"")))</f>
        <v/>
      </c>
      <c r="AL340" t="str">
        <f>IF(ISNUMBER(FIND("arbeid",Methode_Keuze)),"",IF(ISNUMBER(FIND("arbeid",Methode_Keuze)),"",IF(Tb_Activiteiten[[#This Row],[Eigen arbeid]]=1,Tb_Activiteiten[[#Headers],[Eigen arbeid]],"")))</f>
        <v/>
      </c>
      <c r="AM340" t="str">
        <f>IF(ISNUMBER(FIND("arbeid",Methode_Keuze)),"",IF(ISNUMBER(FIND("arbeid",Methode_Keuze)),"",IF(Tb_Activiteiten[[#This Row],[Projectmedewerker]]=1,Tb_Activiteiten[[#Headers],[Projectmedewerker]],"")))</f>
        <v/>
      </c>
      <c r="AN340" t="str">
        <f>IF(ISNUMBER(FIND("arbeid",Methode_Keuze)),"",IF(ISNUMBER(FIND("arbeid",Methode_Keuze)),"",IF(Tb_Activiteiten[[#This Row],[Landbouwer]]=1,Tb_Activiteiten[[#Headers],[Landbouwer]],"")))</f>
        <v/>
      </c>
      <c r="AO340" t="str">
        <f>IF(ISNUMBER(FIND("arbeid",Methode_Keuze)),"",IF(ISNUMBER(FIND("arbeid",Methode_Keuze)),"",IF(Tb_Activiteiten[[#This Row],[Adviseur]]=1,Tb_Activiteiten[[#Headers],[Adviseur]],"")))</f>
        <v/>
      </c>
      <c r="AP340" t="str">
        <f>IF(ISNUMBER(FIND("arbeid",Methode_Keuze)),"",IF(ISNUMBER(FIND("arbeid",Methode_Keuze)),"",IF(Tb_Activiteiten[[#This Row],[Projectleider/Expert]]=1,Tb_Activiteiten[[#Headers],[Projectleider/Expert]],"")))</f>
        <v/>
      </c>
      <c r="AQ340" t="str">
        <f>IF(ISNUMBER(FIND("arbeid",Methode_Keuze)),"",IF(ISNUMBER(FIND("arbeid",Methode_Keuze)),"",IF(Tb_Activiteiten[[#This Row],[Arbeidskosten]]=1,Tb_Activiteiten[[#Headers],[Arbeidskosten]],"")))</f>
        <v/>
      </c>
      <c r="AR340" t="str">
        <f>IF(ISNUMBER(FIND("arbeid",Methode_Keuze)),"",IF(ISNUMBER(FIND("arbeid",Methode_Keuze)),"",IF(Tb_Activiteiten[[#This Row],[Arbeidskosten op basis van IKS]]=1,Tb_Activiteiten[[#Headers],[Arbeidskosten op basis van IKS]],"")))</f>
        <v/>
      </c>
      <c r="AS340" t="str">
        <f>IF(ISNUMBER(FIND("overige",Methode_Keuze)),"",IF(Tb_Activiteiten[[#This Row],[Kosten derden exclusief btw]]=1,Tb_Activiteiten[[#Headers],[Kosten derden exclusief btw]],""))</f>
        <v/>
      </c>
      <c r="AT340" t="str">
        <f>IF(ISNUMBER(FIND("overige",Methode_Keuze)),"",IF(Tb_Activiteiten[[#This Row],[Niet verrekenbare btw]]=1,Tb_Activiteiten[[#Headers],[Niet verrekenbare btw]],""))</f>
        <v/>
      </c>
      <c r="AU340" t="str">
        <f>IF(ISNUMBER(FIND("overige",Methode_Keuze)),"",IF(Tb_Activiteiten[[#This Row],[Grondkosten]]=1,Tb_Activiteiten[[#Headers],[Grondkosten]],""))</f>
        <v/>
      </c>
      <c r="AV340" t="str">
        <f>IF(ISNUMBER(FIND("overige",Methode_Keuze)),"",IF(Tb_Activiteiten[[#This Row],[Bijdrage in natura (overige)]]=1,Tb_Activiteiten[[#Headers],[Bijdrage in natura (overige)]],""))</f>
        <v/>
      </c>
      <c r="AW340" t="str">
        <f>IF(ISNUMBER(FIND("overige",Methode_Keuze)),"",IF(Tb_Activiteiten[[#This Row],[Bijdrage in natura (vrijwilligers)]]=1,Tb_Activiteiten[[#Headers],[Bijdrage in natura (vrijwilligers)]],""))</f>
        <v/>
      </c>
      <c r="AX340" t="str">
        <f>IF(ISNUMBER(FIND("overige",Methode_Keuze)),"",IF(Tb_Activiteiten[[#This Row],[Afschrijvingskosten]]=1,Tb_Activiteiten[[#Headers],[Afschrijvingskosten]],""))</f>
        <v/>
      </c>
      <c r="AY340" t="str">
        <f>IF(ISNUMBER(FIND("overige",Methode_Keuze)),"",IF(Tb_Activiteiten[[#This Row],[Vergoeding]]=1,Tb_Activiteiten[[#Headers],[Vergoeding]],""))</f>
        <v/>
      </c>
      <c r="AZ340" t="str">
        <f>IF(ISNUMBER(FIND("arbeid",Methode_Keuze)),"",IF(Tb_Activiteiten[[#This Row],[Arbeidskosten - vast tarief (excl eigen arbeid)]]=1,Tb_Activiteiten[[#Headers],[Arbeidskosten - vast tarief (excl eigen arbeid)]],""))</f>
        <v/>
      </c>
      <c r="BA340" t="str">
        <f>IF(ISNUMBER(FIND("overige",Methode_Keuze)),"",IF(Tb_Activiteiten[[#This Row],[Overige kosten]]=1,Tb_Activiteiten[[#Headers],[Overige kosten]],""))</f>
        <v/>
      </c>
    </row>
    <row r="341" spans="1:53" x14ac:dyDescent="0.25">
      <c r="A341" s="231"/>
      <c r="F341" s="64"/>
      <c r="G341" s="64"/>
      <c r="H341" s="275"/>
      <c r="I341" s="275"/>
      <c r="J341" s="275"/>
      <c r="K341" s="275"/>
      <c r="O341" s="56"/>
      <c r="Q341" t="str">
        <f>IFERROR(IF(VLOOKUP(Tb_Activiteiten[[#This Row],[Openstelling]],Tb_Openstelling[],2,0)=1,1,""),"")</f>
        <v/>
      </c>
      <c r="AK341" t="str">
        <f>IF(ISNUMBER(FIND("arbeid",Methode_Keuze)),"",IF(ISNUMBER(FIND("arbeid",Methode_Keuze)),"",IF(Tb_Activiteiten[[#This Row],[Loonkosten]]=1,Tb_Activiteiten[[#Headers],[Loonkosten]],"")))</f>
        <v/>
      </c>
      <c r="AL341" t="str">
        <f>IF(ISNUMBER(FIND("arbeid",Methode_Keuze)),"",IF(ISNUMBER(FIND("arbeid",Methode_Keuze)),"",IF(Tb_Activiteiten[[#This Row],[Eigen arbeid]]=1,Tb_Activiteiten[[#Headers],[Eigen arbeid]],"")))</f>
        <v/>
      </c>
      <c r="AM341" t="str">
        <f>IF(ISNUMBER(FIND("arbeid",Methode_Keuze)),"",IF(ISNUMBER(FIND("arbeid",Methode_Keuze)),"",IF(Tb_Activiteiten[[#This Row],[Projectmedewerker]]=1,Tb_Activiteiten[[#Headers],[Projectmedewerker]],"")))</f>
        <v/>
      </c>
      <c r="AN341" t="str">
        <f>IF(ISNUMBER(FIND("arbeid",Methode_Keuze)),"",IF(ISNUMBER(FIND("arbeid",Methode_Keuze)),"",IF(Tb_Activiteiten[[#This Row],[Landbouwer]]=1,Tb_Activiteiten[[#Headers],[Landbouwer]],"")))</f>
        <v/>
      </c>
      <c r="AO341" t="str">
        <f>IF(ISNUMBER(FIND("arbeid",Methode_Keuze)),"",IF(ISNUMBER(FIND("arbeid",Methode_Keuze)),"",IF(Tb_Activiteiten[[#This Row],[Adviseur]]=1,Tb_Activiteiten[[#Headers],[Adviseur]],"")))</f>
        <v/>
      </c>
      <c r="AP341" t="str">
        <f>IF(ISNUMBER(FIND("arbeid",Methode_Keuze)),"",IF(ISNUMBER(FIND("arbeid",Methode_Keuze)),"",IF(Tb_Activiteiten[[#This Row],[Projectleider/Expert]]=1,Tb_Activiteiten[[#Headers],[Projectleider/Expert]],"")))</f>
        <v/>
      </c>
      <c r="AQ341" t="str">
        <f>IF(ISNUMBER(FIND("arbeid",Methode_Keuze)),"",IF(ISNUMBER(FIND("arbeid",Methode_Keuze)),"",IF(Tb_Activiteiten[[#This Row],[Arbeidskosten]]=1,Tb_Activiteiten[[#Headers],[Arbeidskosten]],"")))</f>
        <v/>
      </c>
      <c r="AR341" t="str">
        <f>IF(ISNUMBER(FIND("arbeid",Methode_Keuze)),"",IF(ISNUMBER(FIND("arbeid",Methode_Keuze)),"",IF(Tb_Activiteiten[[#This Row],[Arbeidskosten op basis van IKS]]=1,Tb_Activiteiten[[#Headers],[Arbeidskosten op basis van IKS]],"")))</f>
        <v/>
      </c>
      <c r="AS341" t="str">
        <f>IF(ISNUMBER(FIND("overige",Methode_Keuze)),"",IF(Tb_Activiteiten[[#This Row],[Kosten derden exclusief btw]]=1,Tb_Activiteiten[[#Headers],[Kosten derden exclusief btw]],""))</f>
        <v/>
      </c>
      <c r="AT341" t="str">
        <f>IF(ISNUMBER(FIND("overige",Methode_Keuze)),"",IF(Tb_Activiteiten[[#This Row],[Niet verrekenbare btw]]=1,Tb_Activiteiten[[#Headers],[Niet verrekenbare btw]],""))</f>
        <v/>
      </c>
      <c r="AU341" t="str">
        <f>IF(ISNUMBER(FIND("overige",Methode_Keuze)),"",IF(Tb_Activiteiten[[#This Row],[Grondkosten]]=1,Tb_Activiteiten[[#Headers],[Grondkosten]],""))</f>
        <v/>
      </c>
      <c r="AV341" t="str">
        <f>IF(ISNUMBER(FIND("overige",Methode_Keuze)),"",IF(Tb_Activiteiten[[#This Row],[Bijdrage in natura (overige)]]=1,Tb_Activiteiten[[#Headers],[Bijdrage in natura (overige)]],""))</f>
        <v/>
      </c>
      <c r="AW341" t="str">
        <f>IF(ISNUMBER(FIND("overige",Methode_Keuze)),"",IF(Tb_Activiteiten[[#This Row],[Bijdrage in natura (vrijwilligers)]]=1,Tb_Activiteiten[[#Headers],[Bijdrage in natura (vrijwilligers)]],""))</f>
        <v/>
      </c>
      <c r="AX341" t="str">
        <f>IF(ISNUMBER(FIND("overige",Methode_Keuze)),"",IF(Tb_Activiteiten[[#This Row],[Afschrijvingskosten]]=1,Tb_Activiteiten[[#Headers],[Afschrijvingskosten]],""))</f>
        <v/>
      </c>
      <c r="AY341" t="str">
        <f>IF(ISNUMBER(FIND("overige",Methode_Keuze)),"",IF(Tb_Activiteiten[[#This Row],[Vergoeding]]=1,Tb_Activiteiten[[#Headers],[Vergoeding]],""))</f>
        <v/>
      </c>
      <c r="AZ341" t="str">
        <f>IF(ISNUMBER(FIND("arbeid",Methode_Keuze)),"",IF(Tb_Activiteiten[[#This Row],[Arbeidskosten - vast tarief (excl eigen arbeid)]]=1,Tb_Activiteiten[[#Headers],[Arbeidskosten - vast tarief (excl eigen arbeid)]],""))</f>
        <v/>
      </c>
      <c r="BA341" t="str">
        <f>IF(ISNUMBER(FIND("overige",Methode_Keuze)),"",IF(Tb_Activiteiten[[#This Row],[Overige kosten]]=1,Tb_Activiteiten[[#Headers],[Overige kosten]],""))</f>
        <v/>
      </c>
    </row>
    <row r="342" spans="1:53" x14ac:dyDescent="0.25">
      <c r="A342" s="231"/>
      <c r="F342" s="64"/>
      <c r="G342" s="64"/>
      <c r="H342" s="275"/>
      <c r="I342" s="275"/>
      <c r="J342" s="275"/>
      <c r="K342" s="275"/>
      <c r="O342" s="56"/>
      <c r="Q342" t="str">
        <f>IFERROR(IF(VLOOKUP(Tb_Activiteiten[[#This Row],[Openstelling]],Tb_Openstelling[],2,0)=1,1,""),"")</f>
        <v/>
      </c>
      <c r="AK342" t="str">
        <f>IF(ISNUMBER(FIND("arbeid",Methode_Keuze)),"",IF(ISNUMBER(FIND("arbeid",Methode_Keuze)),"",IF(Tb_Activiteiten[[#This Row],[Loonkosten]]=1,Tb_Activiteiten[[#Headers],[Loonkosten]],"")))</f>
        <v/>
      </c>
      <c r="AL342" t="str">
        <f>IF(ISNUMBER(FIND("arbeid",Methode_Keuze)),"",IF(ISNUMBER(FIND("arbeid",Methode_Keuze)),"",IF(Tb_Activiteiten[[#This Row],[Eigen arbeid]]=1,Tb_Activiteiten[[#Headers],[Eigen arbeid]],"")))</f>
        <v/>
      </c>
      <c r="AM342" t="str">
        <f>IF(ISNUMBER(FIND("arbeid",Methode_Keuze)),"",IF(ISNUMBER(FIND("arbeid",Methode_Keuze)),"",IF(Tb_Activiteiten[[#This Row],[Projectmedewerker]]=1,Tb_Activiteiten[[#Headers],[Projectmedewerker]],"")))</f>
        <v/>
      </c>
      <c r="AN342" t="str">
        <f>IF(ISNUMBER(FIND("arbeid",Methode_Keuze)),"",IF(ISNUMBER(FIND("arbeid",Methode_Keuze)),"",IF(Tb_Activiteiten[[#This Row],[Landbouwer]]=1,Tb_Activiteiten[[#Headers],[Landbouwer]],"")))</f>
        <v/>
      </c>
      <c r="AO342" t="str">
        <f>IF(ISNUMBER(FIND("arbeid",Methode_Keuze)),"",IF(ISNUMBER(FIND("arbeid",Methode_Keuze)),"",IF(Tb_Activiteiten[[#This Row],[Adviseur]]=1,Tb_Activiteiten[[#Headers],[Adviseur]],"")))</f>
        <v/>
      </c>
      <c r="AP342" t="str">
        <f>IF(ISNUMBER(FIND("arbeid",Methode_Keuze)),"",IF(ISNUMBER(FIND("arbeid",Methode_Keuze)),"",IF(Tb_Activiteiten[[#This Row],[Projectleider/Expert]]=1,Tb_Activiteiten[[#Headers],[Projectleider/Expert]],"")))</f>
        <v/>
      </c>
      <c r="AQ342" t="str">
        <f>IF(ISNUMBER(FIND("arbeid",Methode_Keuze)),"",IF(ISNUMBER(FIND("arbeid",Methode_Keuze)),"",IF(Tb_Activiteiten[[#This Row],[Arbeidskosten]]=1,Tb_Activiteiten[[#Headers],[Arbeidskosten]],"")))</f>
        <v/>
      </c>
      <c r="AR342" t="str">
        <f>IF(ISNUMBER(FIND("arbeid",Methode_Keuze)),"",IF(ISNUMBER(FIND("arbeid",Methode_Keuze)),"",IF(Tb_Activiteiten[[#This Row],[Arbeidskosten op basis van IKS]]=1,Tb_Activiteiten[[#Headers],[Arbeidskosten op basis van IKS]],"")))</f>
        <v/>
      </c>
      <c r="AS342" t="str">
        <f>IF(ISNUMBER(FIND("overige",Methode_Keuze)),"",IF(Tb_Activiteiten[[#This Row],[Kosten derden exclusief btw]]=1,Tb_Activiteiten[[#Headers],[Kosten derden exclusief btw]],""))</f>
        <v/>
      </c>
      <c r="AT342" t="str">
        <f>IF(ISNUMBER(FIND("overige",Methode_Keuze)),"",IF(Tb_Activiteiten[[#This Row],[Niet verrekenbare btw]]=1,Tb_Activiteiten[[#Headers],[Niet verrekenbare btw]],""))</f>
        <v/>
      </c>
      <c r="AU342" t="str">
        <f>IF(ISNUMBER(FIND("overige",Methode_Keuze)),"",IF(Tb_Activiteiten[[#This Row],[Grondkosten]]=1,Tb_Activiteiten[[#Headers],[Grondkosten]],""))</f>
        <v/>
      </c>
      <c r="AV342" t="str">
        <f>IF(ISNUMBER(FIND("overige",Methode_Keuze)),"",IF(Tb_Activiteiten[[#This Row],[Bijdrage in natura (overige)]]=1,Tb_Activiteiten[[#Headers],[Bijdrage in natura (overige)]],""))</f>
        <v/>
      </c>
      <c r="AW342" t="str">
        <f>IF(ISNUMBER(FIND("overige",Methode_Keuze)),"",IF(Tb_Activiteiten[[#This Row],[Bijdrage in natura (vrijwilligers)]]=1,Tb_Activiteiten[[#Headers],[Bijdrage in natura (vrijwilligers)]],""))</f>
        <v/>
      </c>
      <c r="AX342" t="str">
        <f>IF(ISNUMBER(FIND("overige",Methode_Keuze)),"",IF(Tb_Activiteiten[[#This Row],[Afschrijvingskosten]]=1,Tb_Activiteiten[[#Headers],[Afschrijvingskosten]],""))</f>
        <v/>
      </c>
      <c r="AY342" t="str">
        <f>IF(ISNUMBER(FIND("overige",Methode_Keuze)),"",IF(Tb_Activiteiten[[#This Row],[Vergoeding]]=1,Tb_Activiteiten[[#Headers],[Vergoeding]],""))</f>
        <v/>
      </c>
      <c r="AZ342" t="str">
        <f>IF(ISNUMBER(FIND("arbeid",Methode_Keuze)),"",IF(Tb_Activiteiten[[#This Row],[Arbeidskosten - vast tarief (excl eigen arbeid)]]=1,Tb_Activiteiten[[#Headers],[Arbeidskosten - vast tarief (excl eigen arbeid)]],""))</f>
        <v/>
      </c>
      <c r="BA342" t="str">
        <f>IF(ISNUMBER(FIND("overige",Methode_Keuze)),"",IF(Tb_Activiteiten[[#This Row],[Overige kosten]]=1,Tb_Activiteiten[[#Headers],[Overige kosten]],""))</f>
        <v/>
      </c>
    </row>
    <row r="343" spans="1:53" x14ac:dyDescent="0.25">
      <c r="A343" s="231"/>
      <c r="F343" s="64"/>
      <c r="G343" s="64"/>
      <c r="H343" s="275"/>
      <c r="I343" s="275"/>
      <c r="J343" s="275"/>
      <c r="K343" s="275"/>
      <c r="O343" s="56"/>
      <c r="Q343" t="str">
        <f>IFERROR(IF(VLOOKUP(Tb_Activiteiten[[#This Row],[Openstelling]],Tb_Openstelling[],2,0)=1,1,""),"")</f>
        <v/>
      </c>
      <c r="AK343" t="str">
        <f>IF(ISNUMBER(FIND("arbeid",Methode_Keuze)),"",IF(ISNUMBER(FIND("arbeid",Methode_Keuze)),"",IF(Tb_Activiteiten[[#This Row],[Loonkosten]]=1,Tb_Activiteiten[[#Headers],[Loonkosten]],"")))</f>
        <v/>
      </c>
      <c r="AL343" t="str">
        <f>IF(ISNUMBER(FIND("arbeid",Methode_Keuze)),"",IF(ISNUMBER(FIND("arbeid",Methode_Keuze)),"",IF(Tb_Activiteiten[[#This Row],[Eigen arbeid]]=1,Tb_Activiteiten[[#Headers],[Eigen arbeid]],"")))</f>
        <v/>
      </c>
      <c r="AM343" t="str">
        <f>IF(ISNUMBER(FIND("arbeid",Methode_Keuze)),"",IF(ISNUMBER(FIND("arbeid",Methode_Keuze)),"",IF(Tb_Activiteiten[[#This Row],[Projectmedewerker]]=1,Tb_Activiteiten[[#Headers],[Projectmedewerker]],"")))</f>
        <v/>
      </c>
      <c r="AN343" t="str">
        <f>IF(ISNUMBER(FIND("arbeid",Methode_Keuze)),"",IF(ISNUMBER(FIND("arbeid",Methode_Keuze)),"",IF(Tb_Activiteiten[[#This Row],[Landbouwer]]=1,Tb_Activiteiten[[#Headers],[Landbouwer]],"")))</f>
        <v/>
      </c>
      <c r="AO343" t="str">
        <f>IF(ISNUMBER(FIND("arbeid",Methode_Keuze)),"",IF(ISNUMBER(FIND("arbeid",Methode_Keuze)),"",IF(Tb_Activiteiten[[#This Row],[Adviseur]]=1,Tb_Activiteiten[[#Headers],[Adviseur]],"")))</f>
        <v/>
      </c>
      <c r="AP343" t="str">
        <f>IF(ISNUMBER(FIND("arbeid",Methode_Keuze)),"",IF(ISNUMBER(FIND("arbeid",Methode_Keuze)),"",IF(Tb_Activiteiten[[#This Row],[Projectleider/Expert]]=1,Tb_Activiteiten[[#Headers],[Projectleider/Expert]],"")))</f>
        <v/>
      </c>
      <c r="AQ343" t="str">
        <f>IF(ISNUMBER(FIND("arbeid",Methode_Keuze)),"",IF(ISNUMBER(FIND("arbeid",Methode_Keuze)),"",IF(Tb_Activiteiten[[#This Row],[Arbeidskosten]]=1,Tb_Activiteiten[[#Headers],[Arbeidskosten]],"")))</f>
        <v/>
      </c>
      <c r="AR343" t="str">
        <f>IF(ISNUMBER(FIND("arbeid",Methode_Keuze)),"",IF(ISNUMBER(FIND("arbeid",Methode_Keuze)),"",IF(Tb_Activiteiten[[#This Row],[Arbeidskosten op basis van IKS]]=1,Tb_Activiteiten[[#Headers],[Arbeidskosten op basis van IKS]],"")))</f>
        <v/>
      </c>
      <c r="AS343" t="str">
        <f>IF(ISNUMBER(FIND("overige",Methode_Keuze)),"",IF(Tb_Activiteiten[[#This Row],[Kosten derden exclusief btw]]=1,Tb_Activiteiten[[#Headers],[Kosten derden exclusief btw]],""))</f>
        <v/>
      </c>
      <c r="AT343" t="str">
        <f>IF(ISNUMBER(FIND("overige",Methode_Keuze)),"",IF(Tb_Activiteiten[[#This Row],[Niet verrekenbare btw]]=1,Tb_Activiteiten[[#Headers],[Niet verrekenbare btw]],""))</f>
        <v/>
      </c>
      <c r="AU343" t="str">
        <f>IF(ISNUMBER(FIND("overige",Methode_Keuze)),"",IF(Tb_Activiteiten[[#This Row],[Grondkosten]]=1,Tb_Activiteiten[[#Headers],[Grondkosten]],""))</f>
        <v/>
      </c>
      <c r="AV343" t="str">
        <f>IF(ISNUMBER(FIND("overige",Methode_Keuze)),"",IF(Tb_Activiteiten[[#This Row],[Bijdrage in natura (overige)]]=1,Tb_Activiteiten[[#Headers],[Bijdrage in natura (overige)]],""))</f>
        <v/>
      </c>
      <c r="AW343" t="str">
        <f>IF(ISNUMBER(FIND("overige",Methode_Keuze)),"",IF(Tb_Activiteiten[[#This Row],[Bijdrage in natura (vrijwilligers)]]=1,Tb_Activiteiten[[#Headers],[Bijdrage in natura (vrijwilligers)]],""))</f>
        <v/>
      </c>
      <c r="AX343" t="str">
        <f>IF(ISNUMBER(FIND("overige",Methode_Keuze)),"",IF(Tb_Activiteiten[[#This Row],[Afschrijvingskosten]]=1,Tb_Activiteiten[[#Headers],[Afschrijvingskosten]],""))</f>
        <v/>
      </c>
      <c r="AY343" t="str">
        <f>IF(ISNUMBER(FIND("overige",Methode_Keuze)),"",IF(Tb_Activiteiten[[#This Row],[Vergoeding]]=1,Tb_Activiteiten[[#Headers],[Vergoeding]],""))</f>
        <v/>
      </c>
      <c r="AZ343" t="str">
        <f>IF(ISNUMBER(FIND("arbeid",Methode_Keuze)),"",IF(Tb_Activiteiten[[#This Row],[Arbeidskosten - vast tarief (excl eigen arbeid)]]=1,Tb_Activiteiten[[#Headers],[Arbeidskosten - vast tarief (excl eigen arbeid)]],""))</f>
        <v/>
      </c>
      <c r="BA343" t="str">
        <f>IF(ISNUMBER(FIND("overige",Methode_Keuze)),"",IF(Tb_Activiteiten[[#This Row],[Overige kosten]]=1,Tb_Activiteiten[[#Headers],[Overige kosten]],""))</f>
        <v/>
      </c>
    </row>
    <row r="344" spans="1:53" x14ac:dyDescent="0.25">
      <c r="A344" s="231"/>
      <c r="F344" s="64"/>
      <c r="G344" s="64"/>
      <c r="H344" s="275"/>
      <c r="I344" s="275"/>
      <c r="J344" s="275"/>
      <c r="K344" s="275"/>
      <c r="O344" s="56"/>
      <c r="Q344" t="str">
        <f>IFERROR(IF(VLOOKUP(Tb_Activiteiten[[#This Row],[Openstelling]],Tb_Openstelling[],2,0)=1,1,""),"")</f>
        <v/>
      </c>
      <c r="AK344" t="str">
        <f>IF(ISNUMBER(FIND("arbeid",Methode_Keuze)),"",IF(ISNUMBER(FIND("arbeid",Methode_Keuze)),"",IF(Tb_Activiteiten[[#This Row],[Loonkosten]]=1,Tb_Activiteiten[[#Headers],[Loonkosten]],"")))</f>
        <v/>
      </c>
      <c r="AL344" t="str">
        <f>IF(ISNUMBER(FIND("arbeid",Methode_Keuze)),"",IF(ISNUMBER(FIND("arbeid",Methode_Keuze)),"",IF(Tb_Activiteiten[[#This Row],[Eigen arbeid]]=1,Tb_Activiteiten[[#Headers],[Eigen arbeid]],"")))</f>
        <v/>
      </c>
      <c r="AM344" t="str">
        <f>IF(ISNUMBER(FIND("arbeid",Methode_Keuze)),"",IF(ISNUMBER(FIND("arbeid",Methode_Keuze)),"",IF(Tb_Activiteiten[[#This Row],[Projectmedewerker]]=1,Tb_Activiteiten[[#Headers],[Projectmedewerker]],"")))</f>
        <v/>
      </c>
      <c r="AN344" t="str">
        <f>IF(ISNUMBER(FIND("arbeid",Methode_Keuze)),"",IF(ISNUMBER(FIND("arbeid",Methode_Keuze)),"",IF(Tb_Activiteiten[[#This Row],[Landbouwer]]=1,Tb_Activiteiten[[#Headers],[Landbouwer]],"")))</f>
        <v/>
      </c>
      <c r="AO344" t="str">
        <f>IF(ISNUMBER(FIND("arbeid",Methode_Keuze)),"",IF(ISNUMBER(FIND("arbeid",Methode_Keuze)),"",IF(Tb_Activiteiten[[#This Row],[Adviseur]]=1,Tb_Activiteiten[[#Headers],[Adviseur]],"")))</f>
        <v/>
      </c>
      <c r="AP344" t="str">
        <f>IF(ISNUMBER(FIND("arbeid",Methode_Keuze)),"",IF(ISNUMBER(FIND("arbeid",Methode_Keuze)),"",IF(Tb_Activiteiten[[#This Row],[Projectleider/Expert]]=1,Tb_Activiteiten[[#Headers],[Projectleider/Expert]],"")))</f>
        <v/>
      </c>
      <c r="AQ344" t="str">
        <f>IF(ISNUMBER(FIND("arbeid",Methode_Keuze)),"",IF(ISNUMBER(FIND("arbeid",Methode_Keuze)),"",IF(Tb_Activiteiten[[#This Row],[Arbeidskosten]]=1,Tb_Activiteiten[[#Headers],[Arbeidskosten]],"")))</f>
        <v/>
      </c>
      <c r="AR344" t="str">
        <f>IF(ISNUMBER(FIND("arbeid",Methode_Keuze)),"",IF(ISNUMBER(FIND("arbeid",Methode_Keuze)),"",IF(Tb_Activiteiten[[#This Row],[Arbeidskosten op basis van IKS]]=1,Tb_Activiteiten[[#Headers],[Arbeidskosten op basis van IKS]],"")))</f>
        <v/>
      </c>
      <c r="AS344" t="str">
        <f>IF(ISNUMBER(FIND("overige",Methode_Keuze)),"",IF(Tb_Activiteiten[[#This Row],[Kosten derden exclusief btw]]=1,Tb_Activiteiten[[#Headers],[Kosten derden exclusief btw]],""))</f>
        <v/>
      </c>
      <c r="AT344" t="str">
        <f>IF(ISNUMBER(FIND("overige",Methode_Keuze)),"",IF(Tb_Activiteiten[[#This Row],[Niet verrekenbare btw]]=1,Tb_Activiteiten[[#Headers],[Niet verrekenbare btw]],""))</f>
        <v/>
      </c>
      <c r="AU344" t="str">
        <f>IF(ISNUMBER(FIND("overige",Methode_Keuze)),"",IF(Tb_Activiteiten[[#This Row],[Grondkosten]]=1,Tb_Activiteiten[[#Headers],[Grondkosten]],""))</f>
        <v/>
      </c>
      <c r="AV344" t="str">
        <f>IF(ISNUMBER(FIND("overige",Methode_Keuze)),"",IF(Tb_Activiteiten[[#This Row],[Bijdrage in natura (overige)]]=1,Tb_Activiteiten[[#Headers],[Bijdrage in natura (overige)]],""))</f>
        <v/>
      </c>
      <c r="AW344" t="str">
        <f>IF(ISNUMBER(FIND("overige",Methode_Keuze)),"",IF(Tb_Activiteiten[[#This Row],[Bijdrage in natura (vrijwilligers)]]=1,Tb_Activiteiten[[#Headers],[Bijdrage in natura (vrijwilligers)]],""))</f>
        <v/>
      </c>
      <c r="AX344" t="str">
        <f>IF(ISNUMBER(FIND("overige",Methode_Keuze)),"",IF(Tb_Activiteiten[[#This Row],[Afschrijvingskosten]]=1,Tb_Activiteiten[[#Headers],[Afschrijvingskosten]],""))</f>
        <v/>
      </c>
      <c r="AY344" t="str">
        <f>IF(ISNUMBER(FIND("overige",Methode_Keuze)),"",IF(Tb_Activiteiten[[#This Row],[Vergoeding]]=1,Tb_Activiteiten[[#Headers],[Vergoeding]],""))</f>
        <v/>
      </c>
      <c r="AZ344" t="str">
        <f>IF(ISNUMBER(FIND("arbeid",Methode_Keuze)),"",IF(Tb_Activiteiten[[#This Row],[Arbeidskosten - vast tarief (excl eigen arbeid)]]=1,Tb_Activiteiten[[#Headers],[Arbeidskosten - vast tarief (excl eigen arbeid)]],""))</f>
        <v/>
      </c>
      <c r="BA344" t="str">
        <f>IF(ISNUMBER(FIND("overige",Methode_Keuze)),"",IF(Tb_Activiteiten[[#This Row],[Overige kosten]]=1,Tb_Activiteiten[[#Headers],[Overige kosten]],""))</f>
        <v/>
      </c>
    </row>
    <row r="345" spans="1:53" x14ac:dyDescent="0.25">
      <c r="A345" s="231"/>
      <c r="F345" s="64"/>
      <c r="G345" s="64"/>
      <c r="H345" s="275"/>
      <c r="I345" s="275"/>
      <c r="J345" s="275"/>
      <c r="K345" s="275"/>
      <c r="O345" s="56"/>
      <c r="Q345" t="str">
        <f>IFERROR(IF(VLOOKUP(Tb_Activiteiten[[#This Row],[Openstelling]],Tb_Openstelling[],2,0)=1,1,""),"")</f>
        <v/>
      </c>
      <c r="AK345" t="str">
        <f>IF(ISNUMBER(FIND("arbeid",Methode_Keuze)),"",IF(ISNUMBER(FIND("arbeid",Methode_Keuze)),"",IF(Tb_Activiteiten[[#This Row],[Loonkosten]]=1,Tb_Activiteiten[[#Headers],[Loonkosten]],"")))</f>
        <v/>
      </c>
      <c r="AL345" t="str">
        <f>IF(ISNUMBER(FIND("arbeid",Methode_Keuze)),"",IF(ISNUMBER(FIND("arbeid",Methode_Keuze)),"",IF(Tb_Activiteiten[[#This Row],[Eigen arbeid]]=1,Tb_Activiteiten[[#Headers],[Eigen arbeid]],"")))</f>
        <v/>
      </c>
      <c r="AM345" t="str">
        <f>IF(ISNUMBER(FIND("arbeid",Methode_Keuze)),"",IF(ISNUMBER(FIND("arbeid",Methode_Keuze)),"",IF(Tb_Activiteiten[[#This Row],[Projectmedewerker]]=1,Tb_Activiteiten[[#Headers],[Projectmedewerker]],"")))</f>
        <v/>
      </c>
      <c r="AN345" t="str">
        <f>IF(ISNUMBER(FIND("arbeid",Methode_Keuze)),"",IF(ISNUMBER(FIND("arbeid",Methode_Keuze)),"",IF(Tb_Activiteiten[[#This Row],[Landbouwer]]=1,Tb_Activiteiten[[#Headers],[Landbouwer]],"")))</f>
        <v/>
      </c>
      <c r="AO345" t="str">
        <f>IF(ISNUMBER(FIND("arbeid",Methode_Keuze)),"",IF(ISNUMBER(FIND("arbeid",Methode_Keuze)),"",IF(Tb_Activiteiten[[#This Row],[Adviseur]]=1,Tb_Activiteiten[[#Headers],[Adviseur]],"")))</f>
        <v/>
      </c>
      <c r="AP345" t="str">
        <f>IF(ISNUMBER(FIND("arbeid",Methode_Keuze)),"",IF(ISNUMBER(FIND("arbeid",Methode_Keuze)),"",IF(Tb_Activiteiten[[#This Row],[Projectleider/Expert]]=1,Tb_Activiteiten[[#Headers],[Projectleider/Expert]],"")))</f>
        <v/>
      </c>
      <c r="AQ345" t="str">
        <f>IF(ISNUMBER(FIND("arbeid",Methode_Keuze)),"",IF(ISNUMBER(FIND("arbeid",Methode_Keuze)),"",IF(Tb_Activiteiten[[#This Row],[Arbeidskosten]]=1,Tb_Activiteiten[[#Headers],[Arbeidskosten]],"")))</f>
        <v/>
      </c>
      <c r="AR345" t="str">
        <f>IF(ISNUMBER(FIND("arbeid",Methode_Keuze)),"",IF(ISNUMBER(FIND("arbeid",Methode_Keuze)),"",IF(Tb_Activiteiten[[#This Row],[Arbeidskosten op basis van IKS]]=1,Tb_Activiteiten[[#Headers],[Arbeidskosten op basis van IKS]],"")))</f>
        <v/>
      </c>
      <c r="AS345" t="str">
        <f>IF(ISNUMBER(FIND("overige",Methode_Keuze)),"",IF(Tb_Activiteiten[[#This Row],[Kosten derden exclusief btw]]=1,Tb_Activiteiten[[#Headers],[Kosten derden exclusief btw]],""))</f>
        <v/>
      </c>
      <c r="AT345" t="str">
        <f>IF(ISNUMBER(FIND("overige",Methode_Keuze)),"",IF(Tb_Activiteiten[[#This Row],[Niet verrekenbare btw]]=1,Tb_Activiteiten[[#Headers],[Niet verrekenbare btw]],""))</f>
        <v/>
      </c>
      <c r="AU345" t="str">
        <f>IF(ISNUMBER(FIND("overige",Methode_Keuze)),"",IF(Tb_Activiteiten[[#This Row],[Grondkosten]]=1,Tb_Activiteiten[[#Headers],[Grondkosten]],""))</f>
        <v/>
      </c>
      <c r="AV345" t="str">
        <f>IF(ISNUMBER(FIND("overige",Methode_Keuze)),"",IF(Tb_Activiteiten[[#This Row],[Bijdrage in natura (overige)]]=1,Tb_Activiteiten[[#Headers],[Bijdrage in natura (overige)]],""))</f>
        <v/>
      </c>
      <c r="AW345" t="str">
        <f>IF(ISNUMBER(FIND("overige",Methode_Keuze)),"",IF(Tb_Activiteiten[[#This Row],[Bijdrage in natura (vrijwilligers)]]=1,Tb_Activiteiten[[#Headers],[Bijdrage in natura (vrijwilligers)]],""))</f>
        <v/>
      </c>
      <c r="AX345" t="str">
        <f>IF(ISNUMBER(FIND("overige",Methode_Keuze)),"",IF(Tb_Activiteiten[[#This Row],[Afschrijvingskosten]]=1,Tb_Activiteiten[[#Headers],[Afschrijvingskosten]],""))</f>
        <v/>
      </c>
      <c r="AY345" t="str">
        <f>IF(ISNUMBER(FIND("overige",Methode_Keuze)),"",IF(Tb_Activiteiten[[#This Row],[Vergoeding]]=1,Tb_Activiteiten[[#Headers],[Vergoeding]],""))</f>
        <v/>
      </c>
      <c r="AZ345" t="str">
        <f>IF(ISNUMBER(FIND("arbeid",Methode_Keuze)),"",IF(Tb_Activiteiten[[#This Row],[Arbeidskosten - vast tarief (excl eigen arbeid)]]=1,Tb_Activiteiten[[#Headers],[Arbeidskosten - vast tarief (excl eigen arbeid)]],""))</f>
        <v/>
      </c>
      <c r="BA345" t="str">
        <f>IF(ISNUMBER(FIND("overige",Methode_Keuze)),"",IF(Tb_Activiteiten[[#This Row],[Overige kosten]]=1,Tb_Activiteiten[[#Headers],[Overige kosten]],""))</f>
        <v/>
      </c>
    </row>
    <row r="346" spans="1:53" x14ac:dyDescent="0.25">
      <c r="A346" s="231"/>
      <c r="F346" s="64"/>
      <c r="G346" s="64"/>
      <c r="H346" s="275"/>
      <c r="I346" s="275"/>
      <c r="J346" s="275"/>
      <c r="K346" s="275"/>
      <c r="O346" s="56"/>
      <c r="Q346" t="str">
        <f>IFERROR(IF(VLOOKUP(Tb_Activiteiten[[#This Row],[Openstelling]],Tb_Openstelling[],2,0)=1,1,""),"")</f>
        <v/>
      </c>
      <c r="AK346" t="str">
        <f>IF(ISNUMBER(FIND("arbeid",Methode_Keuze)),"",IF(ISNUMBER(FIND("arbeid",Methode_Keuze)),"",IF(Tb_Activiteiten[[#This Row],[Loonkosten]]=1,Tb_Activiteiten[[#Headers],[Loonkosten]],"")))</f>
        <v/>
      </c>
      <c r="AL346" t="str">
        <f>IF(ISNUMBER(FIND("arbeid",Methode_Keuze)),"",IF(ISNUMBER(FIND("arbeid",Methode_Keuze)),"",IF(Tb_Activiteiten[[#This Row],[Eigen arbeid]]=1,Tb_Activiteiten[[#Headers],[Eigen arbeid]],"")))</f>
        <v/>
      </c>
      <c r="AM346" t="str">
        <f>IF(ISNUMBER(FIND("arbeid",Methode_Keuze)),"",IF(ISNUMBER(FIND("arbeid",Methode_Keuze)),"",IF(Tb_Activiteiten[[#This Row],[Projectmedewerker]]=1,Tb_Activiteiten[[#Headers],[Projectmedewerker]],"")))</f>
        <v/>
      </c>
      <c r="AN346" t="str">
        <f>IF(ISNUMBER(FIND("arbeid",Methode_Keuze)),"",IF(ISNUMBER(FIND("arbeid",Methode_Keuze)),"",IF(Tb_Activiteiten[[#This Row],[Landbouwer]]=1,Tb_Activiteiten[[#Headers],[Landbouwer]],"")))</f>
        <v/>
      </c>
      <c r="AO346" t="str">
        <f>IF(ISNUMBER(FIND("arbeid",Methode_Keuze)),"",IF(ISNUMBER(FIND("arbeid",Methode_Keuze)),"",IF(Tb_Activiteiten[[#This Row],[Adviseur]]=1,Tb_Activiteiten[[#Headers],[Adviseur]],"")))</f>
        <v/>
      </c>
      <c r="AP346" t="str">
        <f>IF(ISNUMBER(FIND("arbeid",Methode_Keuze)),"",IF(ISNUMBER(FIND("arbeid",Methode_Keuze)),"",IF(Tb_Activiteiten[[#This Row],[Projectleider/Expert]]=1,Tb_Activiteiten[[#Headers],[Projectleider/Expert]],"")))</f>
        <v/>
      </c>
      <c r="AQ346" t="str">
        <f>IF(ISNUMBER(FIND("arbeid",Methode_Keuze)),"",IF(ISNUMBER(FIND("arbeid",Methode_Keuze)),"",IF(Tb_Activiteiten[[#This Row],[Arbeidskosten]]=1,Tb_Activiteiten[[#Headers],[Arbeidskosten]],"")))</f>
        <v/>
      </c>
      <c r="AR346" t="str">
        <f>IF(ISNUMBER(FIND("arbeid",Methode_Keuze)),"",IF(ISNUMBER(FIND("arbeid",Methode_Keuze)),"",IF(Tb_Activiteiten[[#This Row],[Arbeidskosten op basis van IKS]]=1,Tb_Activiteiten[[#Headers],[Arbeidskosten op basis van IKS]],"")))</f>
        <v/>
      </c>
      <c r="AS346" t="str">
        <f>IF(ISNUMBER(FIND("overige",Methode_Keuze)),"",IF(Tb_Activiteiten[[#This Row],[Kosten derden exclusief btw]]=1,Tb_Activiteiten[[#Headers],[Kosten derden exclusief btw]],""))</f>
        <v/>
      </c>
      <c r="AT346" t="str">
        <f>IF(ISNUMBER(FIND("overige",Methode_Keuze)),"",IF(Tb_Activiteiten[[#This Row],[Niet verrekenbare btw]]=1,Tb_Activiteiten[[#Headers],[Niet verrekenbare btw]],""))</f>
        <v/>
      </c>
      <c r="AU346" t="str">
        <f>IF(ISNUMBER(FIND("overige",Methode_Keuze)),"",IF(Tb_Activiteiten[[#This Row],[Grondkosten]]=1,Tb_Activiteiten[[#Headers],[Grondkosten]],""))</f>
        <v/>
      </c>
      <c r="AV346" t="str">
        <f>IF(ISNUMBER(FIND("overige",Methode_Keuze)),"",IF(Tb_Activiteiten[[#This Row],[Bijdrage in natura (overige)]]=1,Tb_Activiteiten[[#Headers],[Bijdrage in natura (overige)]],""))</f>
        <v/>
      </c>
      <c r="AW346" t="str">
        <f>IF(ISNUMBER(FIND("overige",Methode_Keuze)),"",IF(Tb_Activiteiten[[#This Row],[Bijdrage in natura (vrijwilligers)]]=1,Tb_Activiteiten[[#Headers],[Bijdrage in natura (vrijwilligers)]],""))</f>
        <v/>
      </c>
      <c r="AX346" t="str">
        <f>IF(ISNUMBER(FIND("overige",Methode_Keuze)),"",IF(Tb_Activiteiten[[#This Row],[Afschrijvingskosten]]=1,Tb_Activiteiten[[#Headers],[Afschrijvingskosten]],""))</f>
        <v/>
      </c>
      <c r="AY346" t="str">
        <f>IF(ISNUMBER(FIND("overige",Methode_Keuze)),"",IF(Tb_Activiteiten[[#This Row],[Vergoeding]]=1,Tb_Activiteiten[[#Headers],[Vergoeding]],""))</f>
        <v/>
      </c>
      <c r="AZ346" t="str">
        <f>IF(ISNUMBER(FIND("arbeid",Methode_Keuze)),"",IF(Tb_Activiteiten[[#This Row],[Arbeidskosten - vast tarief (excl eigen arbeid)]]=1,Tb_Activiteiten[[#Headers],[Arbeidskosten - vast tarief (excl eigen arbeid)]],""))</f>
        <v/>
      </c>
      <c r="BA346" t="str">
        <f>IF(ISNUMBER(FIND("overige",Methode_Keuze)),"",IF(Tb_Activiteiten[[#This Row],[Overige kosten]]=1,Tb_Activiteiten[[#Headers],[Overige kosten]],""))</f>
        <v/>
      </c>
    </row>
    <row r="347" spans="1:53" x14ac:dyDescent="0.25">
      <c r="A347" s="231"/>
      <c r="F347" s="64"/>
      <c r="G347" s="64"/>
      <c r="H347" s="275"/>
      <c r="I347" s="275"/>
      <c r="J347" s="275"/>
      <c r="K347" s="275"/>
      <c r="O347" s="56"/>
      <c r="Q347" t="str">
        <f>IFERROR(IF(VLOOKUP(Tb_Activiteiten[[#This Row],[Openstelling]],Tb_Openstelling[],2,0)=1,1,""),"")</f>
        <v/>
      </c>
      <c r="AK347" t="str">
        <f>IF(ISNUMBER(FIND("arbeid",Methode_Keuze)),"",IF(ISNUMBER(FIND("arbeid",Methode_Keuze)),"",IF(Tb_Activiteiten[[#This Row],[Loonkosten]]=1,Tb_Activiteiten[[#Headers],[Loonkosten]],"")))</f>
        <v/>
      </c>
      <c r="AL347" t="str">
        <f>IF(ISNUMBER(FIND("arbeid",Methode_Keuze)),"",IF(ISNUMBER(FIND("arbeid",Methode_Keuze)),"",IF(Tb_Activiteiten[[#This Row],[Eigen arbeid]]=1,Tb_Activiteiten[[#Headers],[Eigen arbeid]],"")))</f>
        <v/>
      </c>
      <c r="AM347" t="str">
        <f>IF(ISNUMBER(FIND("arbeid",Methode_Keuze)),"",IF(ISNUMBER(FIND("arbeid",Methode_Keuze)),"",IF(Tb_Activiteiten[[#This Row],[Projectmedewerker]]=1,Tb_Activiteiten[[#Headers],[Projectmedewerker]],"")))</f>
        <v/>
      </c>
      <c r="AN347" t="str">
        <f>IF(ISNUMBER(FIND("arbeid",Methode_Keuze)),"",IF(ISNUMBER(FIND("arbeid",Methode_Keuze)),"",IF(Tb_Activiteiten[[#This Row],[Landbouwer]]=1,Tb_Activiteiten[[#Headers],[Landbouwer]],"")))</f>
        <v/>
      </c>
      <c r="AO347" t="str">
        <f>IF(ISNUMBER(FIND("arbeid",Methode_Keuze)),"",IF(ISNUMBER(FIND("arbeid",Methode_Keuze)),"",IF(Tb_Activiteiten[[#This Row],[Adviseur]]=1,Tb_Activiteiten[[#Headers],[Adviseur]],"")))</f>
        <v/>
      </c>
      <c r="AP347" t="str">
        <f>IF(ISNUMBER(FIND("arbeid",Methode_Keuze)),"",IF(ISNUMBER(FIND("arbeid",Methode_Keuze)),"",IF(Tb_Activiteiten[[#This Row],[Projectleider/Expert]]=1,Tb_Activiteiten[[#Headers],[Projectleider/Expert]],"")))</f>
        <v/>
      </c>
      <c r="AQ347" t="str">
        <f>IF(ISNUMBER(FIND("arbeid",Methode_Keuze)),"",IF(ISNUMBER(FIND("arbeid",Methode_Keuze)),"",IF(Tb_Activiteiten[[#This Row],[Arbeidskosten]]=1,Tb_Activiteiten[[#Headers],[Arbeidskosten]],"")))</f>
        <v/>
      </c>
      <c r="AR347" t="str">
        <f>IF(ISNUMBER(FIND("arbeid",Methode_Keuze)),"",IF(ISNUMBER(FIND("arbeid",Methode_Keuze)),"",IF(Tb_Activiteiten[[#This Row],[Arbeidskosten op basis van IKS]]=1,Tb_Activiteiten[[#Headers],[Arbeidskosten op basis van IKS]],"")))</f>
        <v/>
      </c>
      <c r="AS347" t="str">
        <f>IF(ISNUMBER(FIND("overige",Methode_Keuze)),"",IF(Tb_Activiteiten[[#This Row],[Kosten derden exclusief btw]]=1,Tb_Activiteiten[[#Headers],[Kosten derden exclusief btw]],""))</f>
        <v/>
      </c>
      <c r="AT347" t="str">
        <f>IF(ISNUMBER(FIND("overige",Methode_Keuze)),"",IF(Tb_Activiteiten[[#This Row],[Niet verrekenbare btw]]=1,Tb_Activiteiten[[#Headers],[Niet verrekenbare btw]],""))</f>
        <v/>
      </c>
      <c r="AU347" t="str">
        <f>IF(ISNUMBER(FIND("overige",Methode_Keuze)),"",IF(Tb_Activiteiten[[#This Row],[Grondkosten]]=1,Tb_Activiteiten[[#Headers],[Grondkosten]],""))</f>
        <v/>
      </c>
      <c r="AV347" t="str">
        <f>IF(ISNUMBER(FIND("overige",Methode_Keuze)),"",IF(Tb_Activiteiten[[#This Row],[Bijdrage in natura (overige)]]=1,Tb_Activiteiten[[#Headers],[Bijdrage in natura (overige)]],""))</f>
        <v/>
      </c>
      <c r="AW347" t="str">
        <f>IF(ISNUMBER(FIND("overige",Methode_Keuze)),"",IF(Tb_Activiteiten[[#This Row],[Bijdrage in natura (vrijwilligers)]]=1,Tb_Activiteiten[[#Headers],[Bijdrage in natura (vrijwilligers)]],""))</f>
        <v/>
      </c>
      <c r="AX347" t="str">
        <f>IF(ISNUMBER(FIND("overige",Methode_Keuze)),"",IF(Tb_Activiteiten[[#This Row],[Afschrijvingskosten]]=1,Tb_Activiteiten[[#Headers],[Afschrijvingskosten]],""))</f>
        <v/>
      </c>
      <c r="AY347" t="str">
        <f>IF(ISNUMBER(FIND("overige",Methode_Keuze)),"",IF(Tb_Activiteiten[[#This Row],[Vergoeding]]=1,Tb_Activiteiten[[#Headers],[Vergoeding]],""))</f>
        <v/>
      </c>
      <c r="AZ347" t="str">
        <f>IF(ISNUMBER(FIND("arbeid",Methode_Keuze)),"",IF(Tb_Activiteiten[[#This Row],[Arbeidskosten - vast tarief (excl eigen arbeid)]]=1,Tb_Activiteiten[[#Headers],[Arbeidskosten - vast tarief (excl eigen arbeid)]],""))</f>
        <v/>
      </c>
      <c r="BA347" t="str">
        <f>IF(ISNUMBER(FIND("overige",Methode_Keuze)),"",IF(Tb_Activiteiten[[#This Row],[Overige kosten]]=1,Tb_Activiteiten[[#Headers],[Overige kosten]],""))</f>
        <v/>
      </c>
    </row>
    <row r="348" spans="1:53" x14ac:dyDescent="0.25">
      <c r="A348" s="231"/>
      <c r="F348" s="64"/>
      <c r="G348" s="64"/>
      <c r="H348" s="275"/>
      <c r="I348" s="275"/>
      <c r="J348" s="275"/>
      <c r="K348" s="275"/>
      <c r="O348" s="56"/>
      <c r="Q348" t="str">
        <f>IFERROR(IF(VLOOKUP(Tb_Activiteiten[[#This Row],[Openstelling]],Tb_Openstelling[],2,0)=1,1,""),"")</f>
        <v/>
      </c>
      <c r="AK348" t="str">
        <f>IF(ISNUMBER(FIND("arbeid",Methode_Keuze)),"",IF(ISNUMBER(FIND("arbeid",Methode_Keuze)),"",IF(Tb_Activiteiten[[#This Row],[Loonkosten]]=1,Tb_Activiteiten[[#Headers],[Loonkosten]],"")))</f>
        <v/>
      </c>
      <c r="AL348" t="str">
        <f>IF(ISNUMBER(FIND("arbeid",Methode_Keuze)),"",IF(ISNUMBER(FIND("arbeid",Methode_Keuze)),"",IF(Tb_Activiteiten[[#This Row],[Eigen arbeid]]=1,Tb_Activiteiten[[#Headers],[Eigen arbeid]],"")))</f>
        <v/>
      </c>
      <c r="AM348" t="str">
        <f>IF(ISNUMBER(FIND("arbeid",Methode_Keuze)),"",IF(ISNUMBER(FIND("arbeid",Methode_Keuze)),"",IF(Tb_Activiteiten[[#This Row],[Projectmedewerker]]=1,Tb_Activiteiten[[#Headers],[Projectmedewerker]],"")))</f>
        <v/>
      </c>
      <c r="AN348" t="str">
        <f>IF(ISNUMBER(FIND("arbeid",Methode_Keuze)),"",IF(ISNUMBER(FIND("arbeid",Methode_Keuze)),"",IF(Tb_Activiteiten[[#This Row],[Landbouwer]]=1,Tb_Activiteiten[[#Headers],[Landbouwer]],"")))</f>
        <v/>
      </c>
      <c r="AO348" t="str">
        <f>IF(ISNUMBER(FIND("arbeid",Methode_Keuze)),"",IF(ISNUMBER(FIND("arbeid",Methode_Keuze)),"",IF(Tb_Activiteiten[[#This Row],[Adviseur]]=1,Tb_Activiteiten[[#Headers],[Adviseur]],"")))</f>
        <v/>
      </c>
      <c r="AP348" t="str">
        <f>IF(ISNUMBER(FIND("arbeid",Methode_Keuze)),"",IF(ISNUMBER(FIND("arbeid",Methode_Keuze)),"",IF(Tb_Activiteiten[[#This Row],[Projectleider/Expert]]=1,Tb_Activiteiten[[#Headers],[Projectleider/Expert]],"")))</f>
        <v/>
      </c>
      <c r="AQ348" t="str">
        <f>IF(ISNUMBER(FIND("arbeid",Methode_Keuze)),"",IF(ISNUMBER(FIND("arbeid",Methode_Keuze)),"",IF(Tb_Activiteiten[[#This Row],[Arbeidskosten]]=1,Tb_Activiteiten[[#Headers],[Arbeidskosten]],"")))</f>
        <v/>
      </c>
      <c r="AR348" t="str">
        <f>IF(ISNUMBER(FIND("arbeid",Methode_Keuze)),"",IF(ISNUMBER(FIND("arbeid",Methode_Keuze)),"",IF(Tb_Activiteiten[[#This Row],[Arbeidskosten op basis van IKS]]=1,Tb_Activiteiten[[#Headers],[Arbeidskosten op basis van IKS]],"")))</f>
        <v/>
      </c>
      <c r="AS348" t="str">
        <f>IF(ISNUMBER(FIND("overige",Methode_Keuze)),"",IF(Tb_Activiteiten[[#This Row],[Kosten derden exclusief btw]]=1,Tb_Activiteiten[[#Headers],[Kosten derden exclusief btw]],""))</f>
        <v/>
      </c>
      <c r="AT348" t="str">
        <f>IF(ISNUMBER(FIND("overige",Methode_Keuze)),"",IF(Tb_Activiteiten[[#This Row],[Niet verrekenbare btw]]=1,Tb_Activiteiten[[#Headers],[Niet verrekenbare btw]],""))</f>
        <v/>
      </c>
      <c r="AU348" t="str">
        <f>IF(ISNUMBER(FIND("overige",Methode_Keuze)),"",IF(Tb_Activiteiten[[#This Row],[Grondkosten]]=1,Tb_Activiteiten[[#Headers],[Grondkosten]],""))</f>
        <v/>
      </c>
      <c r="AV348" t="str">
        <f>IF(ISNUMBER(FIND("overige",Methode_Keuze)),"",IF(Tb_Activiteiten[[#This Row],[Bijdrage in natura (overige)]]=1,Tb_Activiteiten[[#Headers],[Bijdrage in natura (overige)]],""))</f>
        <v/>
      </c>
      <c r="AW348" t="str">
        <f>IF(ISNUMBER(FIND("overige",Methode_Keuze)),"",IF(Tb_Activiteiten[[#This Row],[Bijdrage in natura (vrijwilligers)]]=1,Tb_Activiteiten[[#Headers],[Bijdrage in natura (vrijwilligers)]],""))</f>
        <v/>
      </c>
      <c r="AX348" t="str">
        <f>IF(ISNUMBER(FIND("overige",Methode_Keuze)),"",IF(Tb_Activiteiten[[#This Row],[Afschrijvingskosten]]=1,Tb_Activiteiten[[#Headers],[Afschrijvingskosten]],""))</f>
        <v/>
      </c>
      <c r="AY348" t="str">
        <f>IF(ISNUMBER(FIND("overige",Methode_Keuze)),"",IF(Tb_Activiteiten[[#This Row],[Vergoeding]]=1,Tb_Activiteiten[[#Headers],[Vergoeding]],""))</f>
        <v/>
      </c>
      <c r="AZ348" t="str">
        <f>IF(ISNUMBER(FIND("arbeid",Methode_Keuze)),"",IF(Tb_Activiteiten[[#This Row],[Arbeidskosten - vast tarief (excl eigen arbeid)]]=1,Tb_Activiteiten[[#Headers],[Arbeidskosten - vast tarief (excl eigen arbeid)]],""))</f>
        <v/>
      </c>
      <c r="BA348" t="str">
        <f>IF(ISNUMBER(FIND("overige",Methode_Keuze)),"",IF(Tb_Activiteiten[[#This Row],[Overige kosten]]=1,Tb_Activiteiten[[#Headers],[Overige kosten]],""))</f>
        <v/>
      </c>
    </row>
    <row r="349" spans="1:53" x14ac:dyDescent="0.25">
      <c r="A349" s="231"/>
      <c r="F349" s="64"/>
      <c r="G349" s="64"/>
      <c r="H349" s="275"/>
      <c r="I349" s="275"/>
      <c r="J349" s="275"/>
      <c r="K349" s="275"/>
      <c r="O349" s="56"/>
      <c r="Q349" t="str">
        <f>IFERROR(IF(VLOOKUP(Tb_Activiteiten[[#This Row],[Openstelling]],Tb_Openstelling[],2,0)=1,1,""),"")</f>
        <v/>
      </c>
      <c r="AK349" t="str">
        <f>IF(ISNUMBER(FIND("arbeid",Methode_Keuze)),"",IF(ISNUMBER(FIND("arbeid",Methode_Keuze)),"",IF(Tb_Activiteiten[[#This Row],[Loonkosten]]=1,Tb_Activiteiten[[#Headers],[Loonkosten]],"")))</f>
        <v/>
      </c>
      <c r="AL349" t="str">
        <f>IF(ISNUMBER(FIND("arbeid",Methode_Keuze)),"",IF(ISNUMBER(FIND("arbeid",Methode_Keuze)),"",IF(Tb_Activiteiten[[#This Row],[Eigen arbeid]]=1,Tb_Activiteiten[[#Headers],[Eigen arbeid]],"")))</f>
        <v/>
      </c>
      <c r="AM349" t="str">
        <f>IF(ISNUMBER(FIND("arbeid",Methode_Keuze)),"",IF(ISNUMBER(FIND("arbeid",Methode_Keuze)),"",IF(Tb_Activiteiten[[#This Row],[Projectmedewerker]]=1,Tb_Activiteiten[[#Headers],[Projectmedewerker]],"")))</f>
        <v/>
      </c>
      <c r="AN349" t="str">
        <f>IF(ISNUMBER(FIND("arbeid",Methode_Keuze)),"",IF(ISNUMBER(FIND("arbeid",Methode_Keuze)),"",IF(Tb_Activiteiten[[#This Row],[Landbouwer]]=1,Tb_Activiteiten[[#Headers],[Landbouwer]],"")))</f>
        <v/>
      </c>
      <c r="AO349" t="str">
        <f>IF(ISNUMBER(FIND("arbeid",Methode_Keuze)),"",IF(ISNUMBER(FIND("arbeid",Methode_Keuze)),"",IF(Tb_Activiteiten[[#This Row],[Adviseur]]=1,Tb_Activiteiten[[#Headers],[Adviseur]],"")))</f>
        <v/>
      </c>
      <c r="AP349" t="str">
        <f>IF(ISNUMBER(FIND("arbeid",Methode_Keuze)),"",IF(ISNUMBER(FIND("arbeid",Methode_Keuze)),"",IF(Tb_Activiteiten[[#This Row],[Projectleider/Expert]]=1,Tb_Activiteiten[[#Headers],[Projectleider/Expert]],"")))</f>
        <v/>
      </c>
      <c r="AQ349" t="str">
        <f>IF(ISNUMBER(FIND("arbeid",Methode_Keuze)),"",IF(ISNUMBER(FIND("arbeid",Methode_Keuze)),"",IF(Tb_Activiteiten[[#This Row],[Arbeidskosten]]=1,Tb_Activiteiten[[#Headers],[Arbeidskosten]],"")))</f>
        <v/>
      </c>
      <c r="AR349" t="str">
        <f>IF(ISNUMBER(FIND("arbeid",Methode_Keuze)),"",IF(ISNUMBER(FIND("arbeid",Methode_Keuze)),"",IF(Tb_Activiteiten[[#This Row],[Arbeidskosten op basis van IKS]]=1,Tb_Activiteiten[[#Headers],[Arbeidskosten op basis van IKS]],"")))</f>
        <v/>
      </c>
      <c r="AS349" t="str">
        <f>IF(ISNUMBER(FIND("overige",Methode_Keuze)),"",IF(Tb_Activiteiten[[#This Row],[Kosten derden exclusief btw]]=1,Tb_Activiteiten[[#Headers],[Kosten derden exclusief btw]],""))</f>
        <v/>
      </c>
      <c r="AT349" t="str">
        <f>IF(ISNUMBER(FIND("overige",Methode_Keuze)),"",IF(Tb_Activiteiten[[#This Row],[Niet verrekenbare btw]]=1,Tb_Activiteiten[[#Headers],[Niet verrekenbare btw]],""))</f>
        <v/>
      </c>
      <c r="AU349" t="str">
        <f>IF(ISNUMBER(FIND("overige",Methode_Keuze)),"",IF(Tb_Activiteiten[[#This Row],[Grondkosten]]=1,Tb_Activiteiten[[#Headers],[Grondkosten]],""))</f>
        <v/>
      </c>
      <c r="AV349" t="str">
        <f>IF(ISNUMBER(FIND("overige",Methode_Keuze)),"",IF(Tb_Activiteiten[[#This Row],[Bijdrage in natura (overige)]]=1,Tb_Activiteiten[[#Headers],[Bijdrage in natura (overige)]],""))</f>
        <v/>
      </c>
      <c r="AW349" t="str">
        <f>IF(ISNUMBER(FIND("overige",Methode_Keuze)),"",IF(Tb_Activiteiten[[#This Row],[Bijdrage in natura (vrijwilligers)]]=1,Tb_Activiteiten[[#Headers],[Bijdrage in natura (vrijwilligers)]],""))</f>
        <v/>
      </c>
      <c r="AX349" t="str">
        <f>IF(ISNUMBER(FIND("overige",Methode_Keuze)),"",IF(Tb_Activiteiten[[#This Row],[Afschrijvingskosten]]=1,Tb_Activiteiten[[#Headers],[Afschrijvingskosten]],""))</f>
        <v/>
      </c>
      <c r="AY349" t="str">
        <f>IF(ISNUMBER(FIND("overige",Methode_Keuze)),"",IF(Tb_Activiteiten[[#This Row],[Vergoeding]]=1,Tb_Activiteiten[[#Headers],[Vergoeding]],""))</f>
        <v/>
      </c>
      <c r="AZ349" t="str">
        <f>IF(ISNUMBER(FIND("arbeid",Methode_Keuze)),"",IF(Tb_Activiteiten[[#This Row],[Arbeidskosten - vast tarief (excl eigen arbeid)]]=1,Tb_Activiteiten[[#Headers],[Arbeidskosten - vast tarief (excl eigen arbeid)]],""))</f>
        <v/>
      </c>
      <c r="BA349" t="str">
        <f>IF(ISNUMBER(FIND("overige",Methode_Keuze)),"",IF(Tb_Activiteiten[[#This Row],[Overige kosten]]=1,Tb_Activiteiten[[#Headers],[Overige kosten]],""))</f>
        <v/>
      </c>
    </row>
    <row r="350" spans="1:53" x14ac:dyDescent="0.25">
      <c r="A350" s="231"/>
      <c r="F350" s="64"/>
      <c r="G350" s="64"/>
      <c r="H350" s="275"/>
      <c r="I350" s="275"/>
      <c r="J350" s="275"/>
      <c r="K350" s="275"/>
      <c r="O350" s="56"/>
      <c r="Q350" t="str">
        <f>IFERROR(IF(VLOOKUP(Tb_Activiteiten[[#This Row],[Openstelling]],Tb_Openstelling[],2,0)=1,1,""),"")</f>
        <v/>
      </c>
      <c r="AK350" t="str">
        <f>IF(ISNUMBER(FIND("arbeid",Methode_Keuze)),"",IF(ISNUMBER(FIND("arbeid",Methode_Keuze)),"",IF(Tb_Activiteiten[[#This Row],[Loonkosten]]=1,Tb_Activiteiten[[#Headers],[Loonkosten]],"")))</f>
        <v/>
      </c>
      <c r="AL350" t="str">
        <f>IF(ISNUMBER(FIND("arbeid",Methode_Keuze)),"",IF(ISNUMBER(FIND("arbeid",Methode_Keuze)),"",IF(Tb_Activiteiten[[#This Row],[Eigen arbeid]]=1,Tb_Activiteiten[[#Headers],[Eigen arbeid]],"")))</f>
        <v/>
      </c>
      <c r="AM350" t="str">
        <f>IF(ISNUMBER(FIND("arbeid",Methode_Keuze)),"",IF(ISNUMBER(FIND("arbeid",Methode_Keuze)),"",IF(Tb_Activiteiten[[#This Row],[Projectmedewerker]]=1,Tb_Activiteiten[[#Headers],[Projectmedewerker]],"")))</f>
        <v/>
      </c>
      <c r="AN350" t="str">
        <f>IF(ISNUMBER(FIND("arbeid",Methode_Keuze)),"",IF(ISNUMBER(FIND("arbeid",Methode_Keuze)),"",IF(Tb_Activiteiten[[#This Row],[Landbouwer]]=1,Tb_Activiteiten[[#Headers],[Landbouwer]],"")))</f>
        <v/>
      </c>
      <c r="AO350" t="str">
        <f>IF(ISNUMBER(FIND("arbeid",Methode_Keuze)),"",IF(ISNUMBER(FIND("arbeid",Methode_Keuze)),"",IF(Tb_Activiteiten[[#This Row],[Adviseur]]=1,Tb_Activiteiten[[#Headers],[Adviseur]],"")))</f>
        <v/>
      </c>
      <c r="AP350" t="str">
        <f>IF(ISNUMBER(FIND("arbeid",Methode_Keuze)),"",IF(ISNUMBER(FIND("arbeid",Methode_Keuze)),"",IF(Tb_Activiteiten[[#This Row],[Projectleider/Expert]]=1,Tb_Activiteiten[[#Headers],[Projectleider/Expert]],"")))</f>
        <v/>
      </c>
      <c r="AQ350" t="str">
        <f>IF(ISNUMBER(FIND("arbeid",Methode_Keuze)),"",IF(ISNUMBER(FIND("arbeid",Methode_Keuze)),"",IF(Tb_Activiteiten[[#This Row],[Arbeidskosten]]=1,Tb_Activiteiten[[#Headers],[Arbeidskosten]],"")))</f>
        <v/>
      </c>
      <c r="AR350" t="str">
        <f>IF(ISNUMBER(FIND("arbeid",Methode_Keuze)),"",IF(ISNUMBER(FIND("arbeid",Methode_Keuze)),"",IF(Tb_Activiteiten[[#This Row],[Arbeidskosten op basis van IKS]]=1,Tb_Activiteiten[[#Headers],[Arbeidskosten op basis van IKS]],"")))</f>
        <v/>
      </c>
      <c r="AS350" t="str">
        <f>IF(ISNUMBER(FIND("overige",Methode_Keuze)),"",IF(Tb_Activiteiten[[#This Row],[Kosten derden exclusief btw]]=1,Tb_Activiteiten[[#Headers],[Kosten derden exclusief btw]],""))</f>
        <v/>
      </c>
      <c r="AT350" t="str">
        <f>IF(ISNUMBER(FIND("overige",Methode_Keuze)),"",IF(Tb_Activiteiten[[#This Row],[Niet verrekenbare btw]]=1,Tb_Activiteiten[[#Headers],[Niet verrekenbare btw]],""))</f>
        <v/>
      </c>
      <c r="AU350" t="str">
        <f>IF(ISNUMBER(FIND("overige",Methode_Keuze)),"",IF(Tb_Activiteiten[[#This Row],[Grondkosten]]=1,Tb_Activiteiten[[#Headers],[Grondkosten]],""))</f>
        <v/>
      </c>
      <c r="AV350" t="str">
        <f>IF(ISNUMBER(FIND("overige",Methode_Keuze)),"",IF(Tb_Activiteiten[[#This Row],[Bijdrage in natura (overige)]]=1,Tb_Activiteiten[[#Headers],[Bijdrage in natura (overige)]],""))</f>
        <v/>
      </c>
      <c r="AW350" t="str">
        <f>IF(ISNUMBER(FIND("overige",Methode_Keuze)),"",IF(Tb_Activiteiten[[#This Row],[Bijdrage in natura (vrijwilligers)]]=1,Tb_Activiteiten[[#Headers],[Bijdrage in natura (vrijwilligers)]],""))</f>
        <v/>
      </c>
      <c r="AX350" t="str">
        <f>IF(ISNUMBER(FIND("overige",Methode_Keuze)),"",IF(Tb_Activiteiten[[#This Row],[Afschrijvingskosten]]=1,Tb_Activiteiten[[#Headers],[Afschrijvingskosten]],""))</f>
        <v/>
      </c>
      <c r="AY350" t="str">
        <f>IF(ISNUMBER(FIND("overige",Methode_Keuze)),"",IF(Tb_Activiteiten[[#This Row],[Vergoeding]]=1,Tb_Activiteiten[[#Headers],[Vergoeding]],""))</f>
        <v/>
      </c>
      <c r="AZ350" t="str">
        <f>IF(ISNUMBER(FIND("arbeid",Methode_Keuze)),"",IF(Tb_Activiteiten[[#This Row],[Arbeidskosten - vast tarief (excl eigen arbeid)]]=1,Tb_Activiteiten[[#Headers],[Arbeidskosten - vast tarief (excl eigen arbeid)]],""))</f>
        <v/>
      </c>
      <c r="BA350" t="str">
        <f>IF(ISNUMBER(FIND("overige",Methode_Keuze)),"",IF(Tb_Activiteiten[[#This Row],[Overige kosten]]=1,Tb_Activiteiten[[#Headers],[Overige kosten]],""))</f>
        <v/>
      </c>
    </row>
    <row r="351" spans="1:53" x14ac:dyDescent="0.25">
      <c r="A351" s="231"/>
      <c r="F351" s="64"/>
      <c r="G351" s="64"/>
      <c r="H351" s="275"/>
      <c r="I351" s="275"/>
      <c r="J351" s="275"/>
      <c r="K351" s="275"/>
      <c r="O351" s="56"/>
      <c r="Q351" t="str">
        <f>IFERROR(IF(VLOOKUP(Tb_Activiteiten[[#This Row],[Openstelling]],Tb_Openstelling[],2,0)=1,1,""),"")</f>
        <v/>
      </c>
      <c r="AK351" t="str">
        <f>IF(ISNUMBER(FIND("arbeid",Methode_Keuze)),"",IF(ISNUMBER(FIND("arbeid",Methode_Keuze)),"",IF(Tb_Activiteiten[[#This Row],[Loonkosten]]=1,Tb_Activiteiten[[#Headers],[Loonkosten]],"")))</f>
        <v/>
      </c>
      <c r="AL351" t="str">
        <f>IF(ISNUMBER(FIND("arbeid",Methode_Keuze)),"",IF(ISNUMBER(FIND("arbeid",Methode_Keuze)),"",IF(Tb_Activiteiten[[#This Row],[Eigen arbeid]]=1,Tb_Activiteiten[[#Headers],[Eigen arbeid]],"")))</f>
        <v/>
      </c>
      <c r="AM351" t="str">
        <f>IF(ISNUMBER(FIND("arbeid",Methode_Keuze)),"",IF(ISNUMBER(FIND("arbeid",Methode_Keuze)),"",IF(Tb_Activiteiten[[#This Row],[Projectmedewerker]]=1,Tb_Activiteiten[[#Headers],[Projectmedewerker]],"")))</f>
        <v/>
      </c>
      <c r="AN351" t="str">
        <f>IF(ISNUMBER(FIND("arbeid",Methode_Keuze)),"",IF(ISNUMBER(FIND("arbeid",Methode_Keuze)),"",IF(Tb_Activiteiten[[#This Row],[Landbouwer]]=1,Tb_Activiteiten[[#Headers],[Landbouwer]],"")))</f>
        <v/>
      </c>
      <c r="AO351" t="str">
        <f>IF(ISNUMBER(FIND("arbeid",Methode_Keuze)),"",IF(ISNUMBER(FIND("arbeid",Methode_Keuze)),"",IF(Tb_Activiteiten[[#This Row],[Adviseur]]=1,Tb_Activiteiten[[#Headers],[Adviseur]],"")))</f>
        <v/>
      </c>
      <c r="AP351" t="str">
        <f>IF(ISNUMBER(FIND("arbeid",Methode_Keuze)),"",IF(ISNUMBER(FIND("arbeid",Methode_Keuze)),"",IF(Tb_Activiteiten[[#This Row],[Projectleider/Expert]]=1,Tb_Activiteiten[[#Headers],[Projectleider/Expert]],"")))</f>
        <v/>
      </c>
      <c r="AQ351" t="str">
        <f>IF(ISNUMBER(FIND("arbeid",Methode_Keuze)),"",IF(ISNUMBER(FIND("arbeid",Methode_Keuze)),"",IF(Tb_Activiteiten[[#This Row],[Arbeidskosten]]=1,Tb_Activiteiten[[#Headers],[Arbeidskosten]],"")))</f>
        <v/>
      </c>
      <c r="AR351" t="str">
        <f>IF(ISNUMBER(FIND("arbeid",Methode_Keuze)),"",IF(ISNUMBER(FIND("arbeid",Methode_Keuze)),"",IF(Tb_Activiteiten[[#This Row],[Arbeidskosten op basis van IKS]]=1,Tb_Activiteiten[[#Headers],[Arbeidskosten op basis van IKS]],"")))</f>
        <v/>
      </c>
      <c r="AS351" t="str">
        <f>IF(ISNUMBER(FIND("overige",Methode_Keuze)),"",IF(Tb_Activiteiten[[#This Row],[Kosten derden exclusief btw]]=1,Tb_Activiteiten[[#Headers],[Kosten derden exclusief btw]],""))</f>
        <v/>
      </c>
      <c r="AT351" t="str">
        <f>IF(ISNUMBER(FIND("overige",Methode_Keuze)),"",IF(Tb_Activiteiten[[#This Row],[Niet verrekenbare btw]]=1,Tb_Activiteiten[[#Headers],[Niet verrekenbare btw]],""))</f>
        <v/>
      </c>
      <c r="AU351" t="str">
        <f>IF(ISNUMBER(FIND("overige",Methode_Keuze)),"",IF(Tb_Activiteiten[[#This Row],[Grondkosten]]=1,Tb_Activiteiten[[#Headers],[Grondkosten]],""))</f>
        <v/>
      </c>
      <c r="AV351" t="str">
        <f>IF(ISNUMBER(FIND("overige",Methode_Keuze)),"",IF(Tb_Activiteiten[[#This Row],[Bijdrage in natura (overige)]]=1,Tb_Activiteiten[[#Headers],[Bijdrage in natura (overige)]],""))</f>
        <v/>
      </c>
      <c r="AW351" t="str">
        <f>IF(ISNUMBER(FIND("overige",Methode_Keuze)),"",IF(Tb_Activiteiten[[#This Row],[Bijdrage in natura (vrijwilligers)]]=1,Tb_Activiteiten[[#Headers],[Bijdrage in natura (vrijwilligers)]],""))</f>
        <v/>
      </c>
      <c r="AX351" t="str">
        <f>IF(ISNUMBER(FIND("overige",Methode_Keuze)),"",IF(Tb_Activiteiten[[#This Row],[Afschrijvingskosten]]=1,Tb_Activiteiten[[#Headers],[Afschrijvingskosten]],""))</f>
        <v/>
      </c>
      <c r="AY351" t="str">
        <f>IF(ISNUMBER(FIND("overige",Methode_Keuze)),"",IF(Tb_Activiteiten[[#This Row],[Vergoeding]]=1,Tb_Activiteiten[[#Headers],[Vergoeding]],""))</f>
        <v/>
      </c>
      <c r="AZ351" t="str">
        <f>IF(ISNUMBER(FIND("arbeid",Methode_Keuze)),"",IF(Tb_Activiteiten[[#This Row],[Arbeidskosten - vast tarief (excl eigen arbeid)]]=1,Tb_Activiteiten[[#Headers],[Arbeidskosten - vast tarief (excl eigen arbeid)]],""))</f>
        <v/>
      </c>
      <c r="BA351" t="str">
        <f>IF(ISNUMBER(FIND("overige",Methode_Keuze)),"",IF(Tb_Activiteiten[[#This Row],[Overige kosten]]=1,Tb_Activiteiten[[#Headers],[Overige kosten]],""))</f>
        <v/>
      </c>
    </row>
    <row r="352" spans="1:53" x14ac:dyDescent="0.25">
      <c r="A352" s="231"/>
      <c r="F352" s="64"/>
      <c r="G352" s="64"/>
      <c r="H352" s="275"/>
      <c r="I352" s="275"/>
      <c r="J352" s="275"/>
      <c r="K352" s="275"/>
      <c r="O352" s="56"/>
      <c r="Q352" t="str">
        <f>IFERROR(IF(VLOOKUP(Tb_Activiteiten[[#This Row],[Openstelling]],Tb_Openstelling[],2,0)=1,1,""),"")</f>
        <v/>
      </c>
      <c r="AK352" t="str">
        <f>IF(ISNUMBER(FIND("arbeid",Methode_Keuze)),"",IF(ISNUMBER(FIND("arbeid",Methode_Keuze)),"",IF(Tb_Activiteiten[[#This Row],[Loonkosten]]=1,Tb_Activiteiten[[#Headers],[Loonkosten]],"")))</f>
        <v/>
      </c>
      <c r="AL352" t="str">
        <f>IF(ISNUMBER(FIND("arbeid",Methode_Keuze)),"",IF(ISNUMBER(FIND("arbeid",Methode_Keuze)),"",IF(Tb_Activiteiten[[#This Row],[Eigen arbeid]]=1,Tb_Activiteiten[[#Headers],[Eigen arbeid]],"")))</f>
        <v/>
      </c>
      <c r="AM352" t="str">
        <f>IF(ISNUMBER(FIND("arbeid",Methode_Keuze)),"",IF(ISNUMBER(FIND("arbeid",Methode_Keuze)),"",IF(Tb_Activiteiten[[#This Row],[Projectmedewerker]]=1,Tb_Activiteiten[[#Headers],[Projectmedewerker]],"")))</f>
        <v/>
      </c>
      <c r="AN352" t="str">
        <f>IF(ISNUMBER(FIND("arbeid",Methode_Keuze)),"",IF(ISNUMBER(FIND("arbeid",Methode_Keuze)),"",IF(Tb_Activiteiten[[#This Row],[Landbouwer]]=1,Tb_Activiteiten[[#Headers],[Landbouwer]],"")))</f>
        <v/>
      </c>
      <c r="AO352" t="str">
        <f>IF(ISNUMBER(FIND("arbeid",Methode_Keuze)),"",IF(ISNUMBER(FIND("arbeid",Methode_Keuze)),"",IF(Tb_Activiteiten[[#This Row],[Adviseur]]=1,Tb_Activiteiten[[#Headers],[Adviseur]],"")))</f>
        <v/>
      </c>
      <c r="AP352" t="str">
        <f>IF(ISNUMBER(FIND("arbeid",Methode_Keuze)),"",IF(ISNUMBER(FIND("arbeid",Methode_Keuze)),"",IF(Tb_Activiteiten[[#This Row],[Projectleider/Expert]]=1,Tb_Activiteiten[[#Headers],[Projectleider/Expert]],"")))</f>
        <v/>
      </c>
      <c r="AQ352" t="str">
        <f>IF(ISNUMBER(FIND("arbeid",Methode_Keuze)),"",IF(ISNUMBER(FIND("arbeid",Methode_Keuze)),"",IF(Tb_Activiteiten[[#This Row],[Arbeidskosten]]=1,Tb_Activiteiten[[#Headers],[Arbeidskosten]],"")))</f>
        <v/>
      </c>
      <c r="AR352" t="str">
        <f>IF(ISNUMBER(FIND("arbeid",Methode_Keuze)),"",IF(ISNUMBER(FIND("arbeid",Methode_Keuze)),"",IF(Tb_Activiteiten[[#This Row],[Arbeidskosten op basis van IKS]]=1,Tb_Activiteiten[[#Headers],[Arbeidskosten op basis van IKS]],"")))</f>
        <v/>
      </c>
      <c r="AS352" t="str">
        <f>IF(ISNUMBER(FIND("overige",Methode_Keuze)),"",IF(Tb_Activiteiten[[#This Row],[Kosten derden exclusief btw]]=1,Tb_Activiteiten[[#Headers],[Kosten derden exclusief btw]],""))</f>
        <v/>
      </c>
      <c r="AT352" t="str">
        <f>IF(ISNUMBER(FIND("overige",Methode_Keuze)),"",IF(Tb_Activiteiten[[#This Row],[Niet verrekenbare btw]]=1,Tb_Activiteiten[[#Headers],[Niet verrekenbare btw]],""))</f>
        <v/>
      </c>
      <c r="AU352" t="str">
        <f>IF(ISNUMBER(FIND("overige",Methode_Keuze)),"",IF(Tb_Activiteiten[[#This Row],[Grondkosten]]=1,Tb_Activiteiten[[#Headers],[Grondkosten]],""))</f>
        <v/>
      </c>
      <c r="AV352" t="str">
        <f>IF(ISNUMBER(FIND("overige",Methode_Keuze)),"",IF(Tb_Activiteiten[[#This Row],[Bijdrage in natura (overige)]]=1,Tb_Activiteiten[[#Headers],[Bijdrage in natura (overige)]],""))</f>
        <v/>
      </c>
      <c r="AW352" t="str">
        <f>IF(ISNUMBER(FIND("overige",Methode_Keuze)),"",IF(Tb_Activiteiten[[#This Row],[Bijdrage in natura (vrijwilligers)]]=1,Tb_Activiteiten[[#Headers],[Bijdrage in natura (vrijwilligers)]],""))</f>
        <v/>
      </c>
      <c r="AX352" t="str">
        <f>IF(ISNUMBER(FIND("overige",Methode_Keuze)),"",IF(Tb_Activiteiten[[#This Row],[Afschrijvingskosten]]=1,Tb_Activiteiten[[#Headers],[Afschrijvingskosten]],""))</f>
        <v/>
      </c>
      <c r="AY352" t="str">
        <f>IF(ISNUMBER(FIND("overige",Methode_Keuze)),"",IF(Tb_Activiteiten[[#This Row],[Vergoeding]]=1,Tb_Activiteiten[[#Headers],[Vergoeding]],""))</f>
        <v/>
      </c>
      <c r="AZ352" t="str">
        <f>IF(ISNUMBER(FIND("arbeid",Methode_Keuze)),"",IF(Tb_Activiteiten[[#This Row],[Arbeidskosten - vast tarief (excl eigen arbeid)]]=1,Tb_Activiteiten[[#Headers],[Arbeidskosten - vast tarief (excl eigen arbeid)]],""))</f>
        <v/>
      </c>
      <c r="BA352" t="str">
        <f>IF(ISNUMBER(FIND("overige",Methode_Keuze)),"",IF(Tb_Activiteiten[[#This Row],[Overige kosten]]=1,Tb_Activiteiten[[#Headers],[Overige kosten]],""))</f>
        <v/>
      </c>
    </row>
    <row r="353" spans="1:53" x14ac:dyDescent="0.25">
      <c r="A353" s="231"/>
      <c r="F353" s="64"/>
      <c r="G353" s="64"/>
      <c r="H353" s="275"/>
      <c r="I353" s="275"/>
      <c r="J353" s="275"/>
      <c r="K353" s="275"/>
      <c r="O353" s="56"/>
      <c r="Q353" t="str">
        <f>IFERROR(IF(VLOOKUP(Tb_Activiteiten[[#This Row],[Openstelling]],Tb_Openstelling[],2,0)=1,1,""),"")</f>
        <v/>
      </c>
      <c r="AK353" t="str">
        <f>IF(ISNUMBER(FIND("arbeid",Methode_Keuze)),"",IF(ISNUMBER(FIND("arbeid",Methode_Keuze)),"",IF(Tb_Activiteiten[[#This Row],[Loonkosten]]=1,Tb_Activiteiten[[#Headers],[Loonkosten]],"")))</f>
        <v/>
      </c>
      <c r="AL353" t="str">
        <f>IF(ISNUMBER(FIND("arbeid",Methode_Keuze)),"",IF(ISNUMBER(FIND("arbeid",Methode_Keuze)),"",IF(Tb_Activiteiten[[#This Row],[Eigen arbeid]]=1,Tb_Activiteiten[[#Headers],[Eigen arbeid]],"")))</f>
        <v/>
      </c>
      <c r="AM353" t="str">
        <f>IF(ISNUMBER(FIND("arbeid",Methode_Keuze)),"",IF(ISNUMBER(FIND("arbeid",Methode_Keuze)),"",IF(Tb_Activiteiten[[#This Row],[Projectmedewerker]]=1,Tb_Activiteiten[[#Headers],[Projectmedewerker]],"")))</f>
        <v/>
      </c>
      <c r="AN353" t="str">
        <f>IF(ISNUMBER(FIND("arbeid",Methode_Keuze)),"",IF(ISNUMBER(FIND("arbeid",Methode_Keuze)),"",IF(Tb_Activiteiten[[#This Row],[Landbouwer]]=1,Tb_Activiteiten[[#Headers],[Landbouwer]],"")))</f>
        <v/>
      </c>
      <c r="AO353" t="str">
        <f>IF(ISNUMBER(FIND("arbeid",Methode_Keuze)),"",IF(ISNUMBER(FIND("arbeid",Methode_Keuze)),"",IF(Tb_Activiteiten[[#This Row],[Adviseur]]=1,Tb_Activiteiten[[#Headers],[Adviseur]],"")))</f>
        <v/>
      </c>
      <c r="AP353" t="str">
        <f>IF(ISNUMBER(FIND("arbeid",Methode_Keuze)),"",IF(ISNUMBER(FIND("arbeid",Methode_Keuze)),"",IF(Tb_Activiteiten[[#This Row],[Projectleider/Expert]]=1,Tb_Activiteiten[[#Headers],[Projectleider/Expert]],"")))</f>
        <v/>
      </c>
      <c r="AQ353" t="str">
        <f>IF(ISNUMBER(FIND("arbeid",Methode_Keuze)),"",IF(ISNUMBER(FIND("arbeid",Methode_Keuze)),"",IF(Tb_Activiteiten[[#This Row],[Arbeidskosten]]=1,Tb_Activiteiten[[#Headers],[Arbeidskosten]],"")))</f>
        <v/>
      </c>
      <c r="AR353" t="str">
        <f>IF(ISNUMBER(FIND("arbeid",Methode_Keuze)),"",IF(ISNUMBER(FIND("arbeid",Methode_Keuze)),"",IF(Tb_Activiteiten[[#This Row],[Arbeidskosten op basis van IKS]]=1,Tb_Activiteiten[[#Headers],[Arbeidskosten op basis van IKS]],"")))</f>
        <v/>
      </c>
      <c r="AS353" t="str">
        <f>IF(ISNUMBER(FIND("overige",Methode_Keuze)),"",IF(Tb_Activiteiten[[#This Row],[Kosten derden exclusief btw]]=1,Tb_Activiteiten[[#Headers],[Kosten derden exclusief btw]],""))</f>
        <v/>
      </c>
      <c r="AT353" t="str">
        <f>IF(ISNUMBER(FIND("overige",Methode_Keuze)),"",IF(Tb_Activiteiten[[#This Row],[Niet verrekenbare btw]]=1,Tb_Activiteiten[[#Headers],[Niet verrekenbare btw]],""))</f>
        <v/>
      </c>
      <c r="AU353" t="str">
        <f>IF(ISNUMBER(FIND("overige",Methode_Keuze)),"",IF(Tb_Activiteiten[[#This Row],[Grondkosten]]=1,Tb_Activiteiten[[#Headers],[Grondkosten]],""))</f>
        <v/>
      </c>
      <c r="AV353" t="str">
        <f>IF(ISNUMBER(FIND("overige",Methode_Keuze)),"",IF(Tb_Activiteiten[[#This Row],[Bijdrage in natura (overige)]]=1,Tb_Activiteiten[[#Headers],[Bijdrage in natura (overige)]],""))</f>
        <v/>
      </c>
      <c r="AW353" t="str">
        <f>IF(ISNUMBER(FIND("overige",Methode_Keuze)),"",IF(Tb_Activiteiten[[#This Row],[Bijdrage in natura (vrijwilligers)]]=1,Tb_Activiteiten[[#Headers],[Bijdrage in natura (vrijwilligers)]],""))</f>
        <v/>
      </c>
      <c r="AX353" t="str">
        <f>IF(ISNUMBER(FIND("overige",Methode_Keuze)),"",IF(Tb_Activiteiten[[#This Row],[Afschrijvingskosten]]=1,Tb_Activiteiten[[#Headers],[Afschrijvingskosten]],""))</f>
        <v/>
      </c>
      <c r="AY353" t="str">
        <f>IF(ISNUMBER(FIND("overige",Methode_Keuze)),"",IF(Tb_Activiteiten[[#This Row],[Vergoeding]]=1,Tb_Activiteiten[[#Headers],[Vergoeding]],""))</f>
        <v/>
      </c>
      <c r="AZ353" t="str">
        <f>IF(ISNUMBER(FIND("arbeid",Methode_Keuze)),"",IF(Tb_Activiteiten[[#This Row],[Arbeidskosten - vast tarief (excl eigen arbeid)]]=1,Tb_Activiteiten[[#Headers],[Arbeidskosten - vast tarief (excl eigen arbeid)]],""))</f>
        <v/>
      </c>
      <c r="BA353" t="str">
        <f>IF(ISNUMBER(FIND("overige",Methode_Keuze)),"",IF(Tb_Activiteiten[[#This Row],[Overige kosten]]=1,Tb_Activiteiten[[#Headers],[Overige kosten]],""))</f>
        <v/>
      </c>
    </row>
    <row r="354" spans="1:53" x14ac:dyDescent="0.25">
      <c r="A354" s="231"/>
      <c r="F354" s="64"/>
      <c r="G354" s="64"/>
      <c r="H354" s="275"/>
      <c r="I354" s="275"/>
      <c r="J354" s="275"/>
      <c r="K354" s="275"/>
      <c r="O354" s="56"/>
      <c r="Q354" t="str">
        <f>IFERROR(IF(VLOOKUP(Tb_Activiteiten[[#This Row],[Openstelling]],Tb_Openstelling[],2,0)=1,1,""),"")</f>
        <v/>
      </c>
      <c r="AK354" t="str">
        <f>IF(ISNUMBER(FIND("arbeid",Methode_Keuze)),"",IF(ISNUMBER(FIND("arbeid",Methode_Keuze)),"",IF(Tb_Activiteiten[[#This Row],[Loonkosten]]=1,Tb_Activiteiten[[#Headers],[Loonkosten]],"")))</f>
        <v/>
      </c>
      <c r="AL354" t="str">
        <f>IF(ISNUMBER(FIND("arbeid",Methode_Keuze)),"",IF(ISNUMBER(FIND("arbeid",Methode_Keuze)),"",IF(Tb_Activiteiten[[#This Row],[Eigen arbeid]]=1,Tb_Activiteiten[[#Headers],[Eigen arbeid]],"")))</f>
        <v/>
      </c>
      <c r="AM354" t="str">
        <f>IF(ISNUMBER(FIND("arbeid",Methode_Keuze)),"",IF(ISNUMBER(FIND("arbeid",Methode_Keuze)),"",IF(Tb_Activiteiten[[#This Row],[Projectmedewerker]]=1,Tb_Activiteiten[[#Headers],[Projectmedewerker]],"")))</f>
        <v/>
      </c>
      <c r="AN354" t="str">
        <f>IF(ISNUMBER(FIND("arbeid",Methode_Keuze)),"",IF(ISNUMBER(FIND("arbeid",Methode_Keuze)),"",IF(Tb_Activiteiten[[#This Row],[Landbouwer]]=1,Tb_Activiteiten[[#Headers],[Landbouwer]],"")))</f>
        <v/>
      </c>
      <c r="AO354" t="str">
        <f>IF(ISNUMBER(FIND("arbeid",Methode_Keuze)),"",IF(ISNUMBER(FIND("arbeid",Methode_Keuze)),"",IF(Tb_Activiteiten[[#This Row],[Adviseur]]=1,Tb_Activiteiten[[#Headers],[Adviseur]],"")))</f>
        <v/>
      </c>
      <c r="AP354" t="str">
        <f>IF(ISNUMBER(FIND("arbeid",Methode_Keuze)),"",IF(ISNUMBER(FIND("arbeid",Methode_Keuze)),"",IF(Tb_Activiteiten[[#This Row],[Projectleider/Expert]]=1,Tb_Activiteiten[[#Headers],[Projectleider/Expert]],"")))</f>
        <v/>
      </c>
      <c r="AQ354" t="str">
        <f>IF(ISNUMBER(FIND("arbeid",Methode_Keuze)),"",IF(ISNUMBER(FIND("arbeid",Methode_Keuze)),"",IF(Tb_Activiteiten[[#This Row],[Arbeidskosten]]=1,Tb_Activiteiten[[#Headers],[Arbeidskosten]],"")))</f>
        <v/>
      </c>
      <c r="AR354" t="str">
        <f>IF(ISNUMBER(FIND("arbeid",Methode_Keuze)),"",IF(ISNUMBER(FIND("arbeid",Methode_Keuze)),"",IF(Tb_Activiteiten[[#This Row],[Arbeidskosten op basis van IKS]]=1,Tb_Activiteiten[[#Headers],[Arbeidskosten op basis van IKS]],"")))</f>
        <v/>
      </c>
      <c r="AS354" t="str">
        <f>IF(ISNUMBER(FIND("overige",Methode_Keuze)),"",IF(Tb_Activiteiten[[#This Row],[Kosten derden exclusief btw]]=1,Tb_Activiteiten[[#Headers],[Kosten derden exclusief btw]],""))</f>
        <v/>
      </c>
      <c r="AT354" t="str">
        <f>IF(ISNUMBER(FIND("overige",Methode_Keuze)),"",IF(Tb_Activiteiten[[#This Row],[Niet verrekenbare btw]]=1,Tb_Activiteiten[[#Headers],[Niet verrekenbare btw]],""))</f>
        <v/>
      </c>
      <c r="AU354" t="str">
        <f>IF(ISNUMBER(FIND("overige",Methode_Keuze)),"",IF(Tb_Activiteiten[[#This Row],[Grondkosten]]=1,Tb_Activiteiten[[#Headers],[Grondkosten]],""))</f>
        <v/>
      </c>
      <c r="AV354" t="str">
        <f>IF(ISNUMBER(FIND("overige",Methode_Keuze)),"",IF(Tb_Activiteiten[[#This Row],[Bijdrage in natura (overige)]]=1,Tb_Activiteiten[[#Headers],[Bijdrage in natura (overige)]],""))</f>
        <v/>
      </c>
      <c r="AW354" t="str">
        <f>IF(ISNUMBER(FIND("overige",Methode_Keuze)),"",IF(Tb_Activiteiten[[#This Row],[Bijdrage in natura (vrijwilligers)]]=1,Tb_Activiteiten[[#Headers],[Bijdrage in natura (vrijwilligers)]],""))</f>
        <v/>
      </c>
      <c r="AX354" t="str">
        <f>IF(ISNUMBER(FIND("overige",Methode_Keuze)),"",IF(Tb_Activiteiten[[#This Row],[Afschrijvingskosten]]=1,Tb_Activiteiten[[#Headers],[Afschrijvingskosten]],""))</f>
        <v/>
      </c>
      <c r="AY354" t="str">
        <f>IF(ISNUMBER(FIND("overige",Methode_Keuze)),"",IF(Tb_Activiteiten[[#This Row],[Vergoeding]]=1,Tb_Activiteiten[[#Headers],[Vergoeding]],""))</f>
        <v/>
      </c>
      <c r="AZ354" t="str">
        <f>IF(ISNUMBER(FIND("arbeid",Methode_Keuze)),"",IF(Tb_Activiteiten[[#This Row],[Arbeidskosten - vast tarief (excl eigen arbeid)]]=1,Tb_Activiteiten[[#Headers],[Arbeidskosten - vast tarief (excl eigen arbeid)]],""))</f>
        <v/>
      </c>
      <c r="BA354" t="str">
        <f>IF(ISNUMBER(FIND("overige",Methode_Keuze)),"",IF(Tb_Activiteiten[[#This Row],[Overige kosten]]=1,Tb_Activiteiten[[#Headers],[Overige kosten]],""))</f>
        <v/>
      </c>
    </row>
    <row r="355" spans="1:53" x14ac:dyDescent="0.25">
      <c r="A355" s="231"/>
      <c r="F355" s="64"/>
      <c r="G355" s="64"/>
      <c r="H355" s="275"/>
      <c r="I355" s="275"/>
      <c r="J355" s="275"/>
      <c r="K355" s="275"/>
      <c r="O355" s="56"/>
      <c r="Q355" t="str">
        <f>IFERROR(IF(VLOOKUP(Tb_Activiteiten[[#This Row],[Openstelling]],Tb_Openstelling[],2,0)=1,1,""),"")</f>
        <v/>
      </c>
      <c r="AK355" t="str">
        <f>IF(ISNUMBER(FIND("arbeid",Methode_Keuze)),"",IF(ISNUMBER(FIND("arbeid",Methode_Keuze)),"",IF(Tb_Activiteiten[[#This Row],[Loonkosten]]=1,Tb_Activiteiten[[#Headers],[Loonkosten]],"")))</f>
        <v/>
      </c>
      <c r="AL355" t="str">
        <f>IF(ISNUMBER(FIND("arbeid",Methode_Keuze)),"",IF(ISNUMBER(FIND("arbeid",Methode_Keuze)),"",IF(Tb_Activiteiten[[#This Row],[Eigen arbeid]]=1,Tb_Activiteiten[[#Headers],[Eigen arbeid]],"")))</f>
        <v/>
      </c>
      <c r="AM355" t="str">
        <f>IF(ISNUMBER(FIND("arbeid",Methode_Keuze)),"",IF(ISNUMBER(FIND("arbeid",Methode_Keuze)),"",IF(Tb_Activiteiten[[#This Row],[Projectmedewerker]]=1,Tb_Activiteiten[[#Headers],[Projectmedewerker]],"")))</f>
        <v/>
      </c>
      <c r="AN355" t="str">
        <f>IF(ISNUMBER(FIND("arbeid",Methode_Keuze)),"",IF(ISNUMBER(FIND("arbeid",Methode_Keuze)),"",IF(Tb_Activiteiten[[#This Row],[Landbouwer]]=1,Tb_Activiteiten[[#Headers],[Landbouwer]],"")))</f>
        <v/>
      </c>
      <c r="AO355" t="str">
        <f>IF(ISNUMBER(FIND("arbeid",Methode_Keuze)),"",IF(ISNUMBER(FIND("arbeid",Methode_Keuze)),"",IF(Tb_Activiteiten[[#This Row],[Adviseur]]=1,Tb_Activiteiten[[#Headers],[Adviseur]],"")))</f>
        <v/>
      </c>
      <c r="AP355" t="str">
        <f>IF(ISNUMBER(FIND("arbeid",Methode_Keuze)),"",IF(ISNUMBER(FIND("arbeid",Methode_Keuze)),"",IF(Tb_Activiteiten[[#This Row],[Projectleider/Expert]]=1,Tb_Activiteiten[[#Headers],[Projectleider/Expert]],"")))</f>
        <v/>
      </c>
      <c r="AQ355" t="str">
        <f>IF(ISNUMBER(FIND("arbeid",Methode_Keuze)),"",IF(ISNUMBER(FIND("arbeid",Methode_Keuze)),"",IF(Tb_Activiteiten[[#This Row],[Arbeidskosten]]=1,Tb_Activiteiten[[#Headers],[Arbeidskosten]],"")))</f>
        <v/>
      </c>
      <c r="AR355" t="str">
        <f>IF(ISNUMBER(FIND("arbeid",Methode_Keuze)),"",IF(ISNUMBER(FIND("arbeid",Methode_Keuze)),"",IF(Tb_Activiteiten[[#This Row],[Arbeidskosten op basis van IKS]]=1,Tb_Activiteiten[[#Headers],[Arbeidskosten op basis van IKS]],"")))</f>
        <v/>
      </c>
      <c r="AS355" t="str">
        <f>IF(ISNUMBER(FIND("overige",Methode_Keuze)),"",IF(Tb_Activiteiten[[#This Row],[Kosten derden exclusief btw]]=1,Tb_Activiteiten[[#Headers],[Kosten derden exclusief btw]],""))</f>
        <v/>
      </c>
      <c r="AT355" t="str">
        <f>IF(ISNUMBER(FIND("overige",Methode_Keuze)),"",IF(Tb_Activiteiten[[#This Row],[Niet verrekenbare btw]]=1,Tb_Activiteiten[[#Headers],[Niet verrekenbare btw]],""))</f>
        <v/>
      </c>
      <c r="AU355" t="str">
        <f>IF(ISNUMBER(FIND("overige",Methode_Keuze)),"",IF(Tb_Activiteiten[[#This Row],[Grondkosten]]=1,Tb_Activiteiten[[#Headers],[Grondkosten]],""))</f>
        <v/>
      </c>
      <c r="AV355" t="str">
        <f>IF(ISNUMBER(FIND("overige",Methode_Keuze)),"",IF(Tb_Activiteiten[[#This Row],[Bijdrage in natura (overige)]]=1,Tb_Activiteiten[[#Headers],[Bijdrage in natura (overige)]],""))</f>
        <v/>
      </c>
      <c r="AW355" t="str">
        <f>IF(ISNUMBER(FIND("overige",Methode_Keuze)),"",IF(Tb_Activiteiten[[#This Row],[Bijdrage in natura (vrijwilligers)]]=1,Tb_Activiteiten[[#Headers],[Bijdrage in natura (vrijwilligers)]],""))</f>
        <v/>
      </c>
      <c r="AX355" t="str">
        <f>IF(ISNUMBER(FIND("overige",Methode_Keuze)),"",IF(Tb_Activiteiten[[#This Row],[Afschrijvingskosten]]=1,Tb_Activiteiten[[#Headers],[Afschrijvingskosten]],""))</f>
        <v/>
      </c>
      <c r="AY355" t="str">
        <f>IF(ISNUMBER(FIND("overige",Methode_Keuze)),"",IF(Tb_Activiteiten[[#This Row],[Vergoeding]]=1,Tb_Activiteiten[[#Headers],[Vergoeding]],""))</f>
        <v/>
      </c>
      <c r="AZ355" t="str">
        <f>IF(ISNUMBER(FIND("arbeid",Methode_Keuze)),"",IF(Tb_Activiteiten[[#This Row],[Arbeidskosten - vast tarief (excl eigen arbeid)]]=1,Tb_Activiteiten[[#Headers],[Arbeidskosten - vast tarief (excl eigen arbeid)]],""))</f>
        <v/>
      </c>
      <c r="BA355" t="str">
        <f>IF(ISNUMBER(FIND("overige",Methode_Keuze)),"",IF(Tb_Activiteiten[[#This Row],[Overige kosten]]=1,Tb_Activiteiten[[#Headers],[Overige kosten]],""))</f>
        <v/>
      </c>
    </row>
    <row r="356" spans="1:53" x14ac:dyDescent="0.25">
      <c r="A356" s="231"/>
      <c r="F356" s="64"/>
      <c r="G356" s="64"/>
      <c r="H356" s="275"/>
      <c r="I356" s="275"/>
      <c r="J356" s="275"/>
      <c r="K356" s="275"/>
      <c r="O356" s="56"/>
      <c r="Q356" t="str">
        <f>IFERROR(IF(VLOOKUP(Tb_Activiteiten[[#This Row],[Openstelling]],Tb_Openstelling[],2,0)=1,1,""),"")</f>
        <v/>
      </c>
      <c r="AK356" t="str">
        <f>IF(ISNUMBER(FIND("arbeid",Methode_Keuze)),"",IF(ISNUMBER(FIND("arbeid",Methode_Keuze)),"",IF(Tb_Activiteiten[[#This Row],[Loonkosten]]=1,Tb_Activiteiten[[#Headers],[Loonkosten]],"")))</f>
        <v/>
      </c>
      <c r="AL356" t="str">
        <f>IF(ISNUMBER(FIND("arbeid",Methode_Keuze)),"",IF(ISNUMBER(FIND("arbeid",Methode_Keuze)),"",IF(Tb_Activiteiten[[#This Row],[Eigen arbeid]]=1,Tb_Activiteiten[[#Headers],[Eigen arbeid]],"")))</f>
        <v/>
      </c>
      <c r="AM356" t="str">
        <f>IF(ISNUMBER(FIND("arbeid",Methode_Keuze)),"",IF(ISNUMBER(FIND("arbeid",Methode_Keuze)),"",IF(Tb_Activiteiten[[#This Row],[Projectmedewerker]]=1,Tb_Activiteiten[[#Headers],[Projectmedewerker]],"")))</f>
        <v/>
      </c>
      <c r="AN356" t="str">
        <f>IF(ISNUMBER(FIND("arbeid",Methode_Keuze)),"",IF(ISNUMBER(FIND("arbeid",Methode_Keuze)),"",IF(Tb_Activiteiten[[#This Row],[Landbouwer]]=1,Tb_Activiteiten[[#Headers],[Landbouwer]],"")))</f>
        <v/>
      </c>
      <c r="AO356" t="str">
        <f>IF(ISNUMBER(FIND("arbeid",Methode_Keuze)),"",IF(ISNUMBER(FIND("arbeid",Methode_Keuze)),"",IF(Tb_Activiteiten[[#This Row],[Adviseur]]=1,Tb_Activiteiten[[#Headers],[Adviseur]],"")))</f>
        <v/>
      </c>
      <c r="AP356" t="str">
        <f>IF(ISNUMBER(FIND("arbeid",Methode_Keuze)),"",IF(ISNUMBER(FIND("arbeid",Methode_Keuze)),"",IF(Tb_Activiteiten[[#This Row],[Projectleider/Expert]]=1,Tb_Activiteiten[[#Headers],[Projectleider/Expert]],"")))</f>
        <v/>
      </c>
      <c r="AQ356" t="str">
        <f>IF(ISNUMBER(FIND("arbeid",Methode_Keuze)),"",IF(ISNUMBER(FIND("arbeid",Methode_Keuze)),"",IF(Tb_Activiteiten[[#This Row],[Arbeidskosten]]=1,Tb_Activiteiten[[#Headers],[Arbeidskosten]],"")))</f>
        <v/>
      </c>
      <c r="AR356" t="str">
        <f>IF(ISNUMBER(FIND("arbeid",Methode_Keuze)),"",IF(ISNUMBER(FIND("arbeid",Methode_Keuze)),"",IF(Tb_Activiteiten[[#This Row],[Arbeidskosten op basis van IKS]]=1,Tb_Activiteiten[[#Headers],[Arbeidskosten op basis van IKS]],"")))</f>
        <v/>
      </c>
      <c r="AS356" t="str">
        <f>IF(ISNUMBER(FIND("overige",Methode_Keuze)),"",IF(Tb_Activiteiten[[#This Row],[Kosten derden exclusief btw]]=1,Tb_Activiteiten[[#Headers],[Kosten derden exclusief btw]],""))</f>
        <v/>
      </c>
      <c r="AT356" t="str">
        <f>IF(ISNUMBER(FIND("overige",Methode_Keuze)),"",IF(Tb_Activiteiten[[#This Row],[Niet verrekenbare btw]]=1,Tb_Activiteiten[[#Headers],[Niet verrekenbare btw]],""))</f>
        <v/>
      </c>
      <c r="AU356" t="str">
        <f>IF(ISNUMBER(FIND("overige",Methode_Keuze)),"",IF(Tb_Activiteiten[[#This Row],[Grondkosten]]=1,Tb_Activiteiten[[#Headers],[Grondkosten]],""))</f>
        <v/>
      </c>
      <c r="AV356" t="str">
        <f>IF(ISNUMBER(FIND("overige",Methode_Keuze)),"",IF(Tb_Activiteiten[[#This Row],[Bijdrage in natura (overige)]]=1,Tb_Activiteiten[[#Headers],[Bijdrage in natura (overige)]],""))</f>
        <v/>
      </c>
      <c r="AW356" t="str">
        <f>IF(ISNUMBER(FIND("overige",Methode_Keuze)),"",IF(Tb_Activiteiten[[#This Row],[Bijdrage in natura (vrijwilligers)]]=1,Tb_Activiteiten[[#Headers],[Bijdrage in natura (vrijwilligers)]],""))</f>
        <v/>
      </c>
      <c r="AX356" t="str">
        <f>IF(ISNUMBER(FIND("overige",Methode_Keuze)),"",IF(Tb_Activiteiten[[#This Row],[Afschrijvingskosten]]=1,Tb_Activiteiten[[#Headers],[Afschrijvingskosten]],""))</f>
        <v/>
      </c>
      <c r="AY356" t="str">
        <f>IF(ISNUMBER(FIND("overige",Methode_Keuze)),"",IF(Tb_Activiteiten[[#This Row],[Vergoeding]]=1,Tb_Activiteiten[[#Headers],[Vergoeding]],""))</f>
        <v/>
      </c>
      <c r="AZ356" t="str">
        <f>IF(ISNUMBER(FIND("arbeid",Methode_Keuze)),"",IF(Tb_Activiteiten[[#This Row],[Arbeidskosten - vast tarief (excl eigen arbeid)]]=1,Tb_Activiteiten[[#Headers],[Arbeidskosten - vast tarief (excl eigen arbeid)]],""))</f>
        <v/>
      </c>
      <c r="BA356" t="str">
        <f>IF(ISNUMBER(FIND("overige",Methode_Keuze)),"",IF(Tb_Activiteiten[[#This Row],[Overige kosten]]=1,Tb_Activiteiten[[#Headers],[Overige kosten]],""))</f>
        <v/>
      </c>
    </row>
    <row r="357" spans="1:53" x14ac:dyDescent="0.25">
      <c r="A357" s="231"/>
      <c r="F357" s="64"/>
      <c r="G357" s="64"/>
      <c r="H357" s="275"/>
      <c r="I357" s="275"/>
      <c r="J357" s="275"/>
      <c r="K357" s="275"/>
      <c r="O357" s="56"/>
      <c r="Q357" t="str">
        <f>IFERROR(IF(VLOOKUP(Tb_Activiteiten[[#This Row],[Openstelling]],Tb_Openstelling[],2,0)=1,1,""),"")</f>
        <v/>
      </c>
      <c r="AK357" t="str">
        <f>IF(ISNUMBER(FIND("arbeid",Methode_Keuze)),"",IF(ISNUMBER(FIND("arbeid",Methode_Keuze)),"",IF(Tb_Activiteiten[[#This Row],[Loonkosten]]=1,Tb_Activiteiten[[#Headers],[Loonkosten]],"")))</f>
        <v/>
      </c>
      <c r="AL357" t="str">
        <f>IF(ISNUMBER(FIND("arbeid",Methode_Keuze)),"",IF(ISNUMBER(FIND("arbeid",Methode_Keuze)),"",IF(Tb_Activiteiten[[#This Row],[Eigen arbeid]]=1,Tb_Activiteiten[[#Headers],[Eigen arbeid]],"")))</f>
        <v/>
      </c>
      <c r="AM357" t="str">
        <f>IF(ISNUMBER(FIND("arbeid",Methode_Keuze)),"",IF(ISNUMBER(FIND("arbeid",Methode_Keuze)),"",IF(Tb_Activiteiten[[#This Row],[Projectmedewerker]]=1,Tb_Activiteiten[[#Headers],[Projectmedewerker]],"")))</f>
        <v/>
      </c>
      <c r="AN357" t="str">
        <f>IF(ISNUMBER(FIND("arbeid",Methode_Keuze)),"",IF(ISNUMBER(FIND("arbeid",Methode_Keuze)),"",IF(Tb_Activiteiten[[#This Row],[Landbouwer]]=1,Tb_Activiteiten[[#Headers],[Landbouwer]],"")))</f>
        <v/>
      </c>
      <c r="AO357" t="str">
        <f>IF(ISNUMBER(FIND("arbeid",Methode_Keuze)),"",IF(ISNUMBER(FIND("arbeid",Methode_Keuze)),"",IF(Tb_Activiteiten[[#This Row],[Adviseur]]=1,Tb_Activiteiten[[#Headers],[Adviseur]],"")))</f>
        <v/>
      </c>
      <c r="AP357" t="str">
        <f>IF(ISNUMBER(FIND("arbeid",Methode_Keuze)),"",IF(ISNUMBER(FIND("arbeid",Methode_Keuze)),"",IF(Tb_Activiteiten[[#This Row],[Projectleider/Expert]]=1,Tb_Activiteiten[[#Headers],[Projectleider/Expert]],"")))</f>
        <v/>
      </c>
      <c r="AQ357" t="str">
        <f>IF(ISNUMBER(FIND("arbeid",Methode_Keuze)),"",IF(ISNUMBER(FIND("arbeid",Methode_Keuze)),"",IF(Tb_Activiteiten[[#This Row],[Arbeidskosten]]=1,Tb_Activiteiten[[#Headers],[Arbeidskosten]],"")))</f>
        <v/>
      </c>
      <c r="AR357" t="str">
        <f>IF(ISNUMBER(FIND("arbeid",Methode_Keuze)),"",IF(ISNUMBER(FIND("arbeid",Methode_Keuze)),"",IF(Tb_Activiteiten[[#This Row],[Arbeidskosten op basis van IKS]]=1,Tb_Activiteiten[[#Headers],[Arbeidskosten op basis van IKS]],"")))</f>
        <v/>
      </c>
      <c r="AS357" t="str">
        <f>IF(ISNUMBER(FIND("overige",Methode_Keuze)),"",IF(Tb_Activiteiten[[#This Row],[Kosten derden exclusief btw]]=1,Tb_Activiteiten[[#Headers],[Kosten derden exclusief btw]],""))</f>
        <v/>
      </c>
      <c r="AT357" t="str">
        <f>IF(ISNUMBER(FIND("overige",Methode_Keuze)),"",IF(Tb_Activiteiten[[#This Row],[Niet verrekenbare btw]]=1,Tb_Activiteiten[[#Headers],[Niet verrekenbare btw]],""))</f>
        <v/>
      </c>
      <c r="AU357" t="str">
        <f>IF(ISNUMBER(FIND("overige",Methode_Keuze)),"",IF(Tb_Activiteiten[[#This Row],[Grondkosten]]=1,Tb_Activiteiten[[#Headers],[Grondkosten]],""))</f>
        <v/>
      </c>
      <c r="AV357" t="str">
        <f>IF(ISNUMBER(FIND("overige",Methode_Keuze)),"",IF(Tb_Activiteiten[[#This Row],[Bijdrage in natura (overige)]]=1,Tb_Activiteiten[[#Headers],[Bijdrage in natura (overige)]],""))</f>
        <v/>
      </c>
      <c r="AW357" t="str">
        <f>IF(ISNUMBER(FIND("overige",Methode_Keuze)),"",IF(Tb_Activiteiten[[#This Row],[Bijdrage in natura (vrijwilligers)]]=1,Tb_Activiteiten[[#Headers],[Bijdrage in natura (vrijwilligers)]],""))</f>
        <v/>
      </c>
      <c r="AX357" t="str">
        <f>IF(ISNUMBER(FIND("overige",Methode_Keuze)),"",IF(Tb_Activiteiten[[#This Row],[Afschrijvingskosten]]=1,Tb_Activiteiten[[#Headers],[Afschrijvingskosten]],""))</f>
        <v/>
      </c>
      <c r="AY357" t="str">
        <f>IF(ISNUMBER(FIND("overige",Methode_Keuze)),"",IF(Tb_Activiteiten[[#This Row],[Vergoeding]]=1,Tb_Activiteiten[[#Headers],[Vergoeding]],""))</f>
        <v/>
      </c>
      <c r="AZ357" t="str">
        <f>IF(ISNUMBER(FIND("arbeid",Methode_Keuze)),"",IF(Tb_Activiteiten[[#This Row],[Arbeidskosten - vast tarief (excl eigen arbeid)]]=1,Tb_Activiteiten[[#Headers],[Arbeidskosten - vast tarief (excl eigen arbeid)]],""))</f>
        <v/>
      </c>
      <c r="BA357" t="str">
        <f>IF(ISNUMBER(FIND("overige",Methode_Keuze)),"",IF(Tb_Activiteiten[[#This Row],[Overige kosten]]=1,Tb_Activiteiten[[#Headers],[Overige kosten]],""))</f>
        <v/>
      </c>
    </row>
    <row r="358" spans="1:53" x14ac:dyDescent="0.25">
      <c r="A358" s="231"/>
      <c r="F358" s="64"/>
      <c r="G358" s="64"/>
      <c r="H358" s="275"/>
      <c r="I358" s="275"/>
      <c r="J358" s="275"/>
      <c r="K358" s="275"/>
      <c r="O358" s="56"/>
      <c r="Q358" t="str">
        <f>IFERROR(IF(VLOOKUP(Tb_Activiteiten[[#This Row],[Openstelling]],Tb_Openstelling[],2,0)=1,1,""),"")</f>
        <v/>
      </c>
      <c r="AK358" t="str">
        <f>IF(ISNUMBER(FIND("arbeid",Methode_Keuze)),"",IF(ISNUMBER(FIND("arbeid",Methode_Keuze)),"",IF(Tb_Activiteiten[[#This Row],[Loonkosten]]=1,Tb_Activiteiten[[#Headers],[Loonkosten]],"")))</f>
        <v/>
      </c>
      <c r="AL358" t="str">
        <f>IF(ISNUMBER(FIND("arbeid",Methode_Keuze)),"",IF(ISNUMBER(FIND("arbeid",Methode_Keuze)),"",IF(Tb_Activiteiten[[#This Row],[Eigen arbeid]]=1,Tb_Activiteiten[[#Headers],[Eigen arbeid]],"")))</f>
        <v/>
      </c>
      <c r="AM358" t="str">
        <f>IF(ISNUMBER(FIND("arbeid",Methode_Keuze)),"",IF(ISNUMBER(FIND("arbeid",Methode_Keuze)),"",IF(Tb_Activiteiten[[#This Row],[Projectmedewerker]]=1,Tb_Activiteiten[[#Headers],[Projectmedewerker]],"")))</f>
        <v/>
      </c>
      <c r="AN358" t="str">
        <f>IF(ISNUMBER(FIND("arbeid",Methode_Keuze)),"",IF(ISNUMBER(FIND("arbeid",Methode_Keuze)),"",IF(Tb_Activiteiten[[#This Row],[Landbouwer]]=1,Tb_Activiteiten[[#Headers],[Landbouwer]],"")))</f>
        <v/>
      </c>
      <c r="AO358" t="str">
        <f>IF(ISNUMBER(FIND("arbeid",Methode_Keuze)),"",IF(ISNUMBER(FIND("arbeid",Methode_Keuze)),"",IF(Tb_Activiteiten[[#This Row],[Adviseur]]=1,Tb_Activiteiten[[#Headers],[Adviseur]],"")))</f>
        <v/>
      </c>
      <c r="AP358" t="str">
        <f>IF(ISNUMBER(FIND("arbeid",Methode_Keuze)),"",IF(ISNUMBER(FIND("arbeid",Methode_Keuze)),"",IF(Tb_Activiteiten[[#This Row],[Projectleider/Expert]]=1,Tb_Activiteiten[[#Headers],[Projectleider/Expert]],"")))</f>
        <v/>
      </c>
      <c r="AQ358" t="str">
        <f>IF(ISNUMBER(FIND("arbeid",Methode_Keuze)),"",IF(ISNUMBER(FIND("arbeid",Methode_Keuze)),"",IF(Tb_Activiteiten[[#This Row],[Arbeidskosten]]=1,Tb_Activiteiten[[#Headers],[Arbeidskosten]],"")))</f>
        <v/>
      </c>
      <c r="AR358" t="str">
        <f>IF(ISNUMBER(FIND("arbeid",Methode_Keuze)),"",IF(ISNUMBER(FIND("arbeid",Methode_Keuze)),"",IF(Tb_Activiteiten[[#This Row],[Arbeidskosten op basis van IKS]]=1,Tb_Activiteiten[[#Headers],[Arbeidskosten op basis van IKS]],"")))</f>
        <v/>
      </c>
      <c r="AS358" t="str">
        <f>IF(ISNUMBER(FIND("overige",Methode_Keuze)),"",IF(Tb_Activiteiten[[#This Row],[Kosten derden exclusief btw]]=1,Tb_Activiteiten[[#Headers],[Kosten derden exclusief btw]],""))</f>
        <v/>
      </c>
      <c r="AT358" t="str">
        <f>IF(ISNUMBER(FIND("overige",Methode_Keuze)),"",IF(Tb_Activiteiten[[#This Row],[Niet verrekenbare btw]]=1,Tb_Activiteiten[[#Headers],[Niet verrekenbare btw]],""))</f>
        <v/>
      </c>
      <c r="AU358" t="str">
        <f>IF(ISNUMBER(FIND("overige",Methode_Keuze)),"",IF(Tb_Activiteiten[[#This Row],[Grondkosten]]=1,Tb_Activiteiten[[#Headers],[Grondkosten]],""))</f>
        <v/>
      </c>
      <c r="AV358" t="str">
        <f>IF(ISNUMBER(FIND("overige",Methode_Keuze)),"",IF(Tb_Activiteiten[[#This Row],[Bijdrage in natura (overige)]]=1,Tb_Activiteiten[[#Headers],[Bijdrage in natura (overige)]],""))</f>
        <v/>
      </c>
      <c r="AW358" t="str">
        <f>IF(ISNUMBER(FIND("overige",Methode_Keuze)),"",IF(Tb_Activiteiten[[#This Row],[Bijdrage in natura (vrijwilligers)]]=1,Tb_Activiteiten[[#Headers],[Bijdrage in natura (vrijwilligers)]],""))</f>
        <v/>
      </c>
      <c r="AX358" t="str">
        <f>IF(ISNUMBER(FIND("overige",Methode_Keuze)),"",IF(Tb_Activiteiten[[#This Row],[Afschrijvingskosten]]=1,Tb_Activiteiten[[#Headers],[Afschrijvingskosten]],""))</f>
        <v/>
      </c>
      <c r="AY358" t="str">
        <f>IF(ISNUMBER(FIND("overige",Methode_Keuze)),"",IF(Tb_Activiteiten[[#This Row],[Vergoeding]]=1,Tb_Activiteiten[[#Headers],[Vergoeding]],""))</f>
        <v/>
      </c>
      <c r="AZ358" t="str">
        <f>IF(ISNUMBER(FIND("arbeid",Methode_Keuze)),"",IF(Tb_Activiteiten[[#This Row],[Arbeidskosten - vast tarief (excl eigen arbeid)]]=1,Tb_Activiteiten[[#Headers],[Arbeidskosten - vast tarief (excl eigen arbeid)]],""))</f>
        <v/>
      </c>
      <c r="BA358" t="str">
        <f>IF(ISNUMBER(FIND("overige",Methode_Keuze)),"",IF(Tb_Activiteiten[[#This Row],[Overige kosten]]=1,Tb_Activiteiten[[#Headers],[Overige kosten]],""))</f>
        <v/>
      </c>
    </row>
    <row r="359" spans="1:53" x14ac:dyDescent="0.25">
      <c r="A359" s="231"/>
      <c r="F359" s="64"/>
      <c r="G359" s="64"/>
      <c r="H359" s="275"/>
      <c r="I359" s="275"/>
      <c r="J359" s="275"/>
      <c r="K359" s="275"/>
      <c r="O359" s="56"/>
      <c r="Q359" t="str">
        <f>IFERROR(IF(VLOOKUP(Tb_Activiteiten[[#This Row],[Openstelling]],Tb_Openstelling[],2,0)=1,1,""),"")</f>
        <v/>
      </c>
      <c r="AK359" t="str">
        <f>IF(ISNUMBER(FIND("arbeid",Methode_Keuze)),"",IF(ISNUMBER(FIND("arbeid",Methode_Keuze)),"",IF(Tb_Activiteiten[[#This Row],[Loonkosten]]=1,Tb_Activiteiten[[#Headers],[Loonkosten]],"")))</f>
        <v/>
      </c>
      <c r="AL359" t="str">
        <f>IF(ISNUMBER(FIND("arbeid",Methode_Keuze)),"",IF(ISNUMBER(FIND("arbeid",Methode_Keuze)),"",IF(Tb_Activiteiten[[#This Row],[Eigen arbeid]]=1,Tb_Activiteiten[[#Headers],[Eigen arbeid]],"")))</f>
        <v/>
      </c>
      <c r="AM359" t="str">
        <f>IF(ISNUMBER(FIND("arbeid",Methode_Keuze)),"",IF(ISNUMBER(FIND("arbeid",Methode_Keuze)),"",IF(Tb_Activiteiten[[#This Row],[Projectmedewerker]]=1,Tb_Activiteiten[[#Headers],[Projectmedewerker]],"")))</f>
        <v/>
      </c>
      <c r="AN359" t="str">
        <f>IF(ISNUMBER(FIND("arbeid",Methode_Keuze)),"",IF(ISNUMBER(FIND("arbeid",Methode_Keuze)),"",IF(Tb_Activiteiten[[#This Row],[Landbouwer]]=1,Tb_Activiteiten[[#Headers],[Landbouwer]],"")))</f>
        <v/>
      </c>
      <c r="AO359" t="str">
        <f>IF(ISNUMBER(FIND("arbeid",Methode_Keuze)),"",IF(ISNUMBER(FIND("arbeid",Methode_Keuze)),"",IF(Tb_Activiteiten[[#This Row],[Adviseur]]=1,Tb_Activiteiten[[#Headers],[Adviseur]],"")))</f>
        <v/>
      </c>
      <c r="AP359" t="str">
        <f>IF(ISNUMBER(FIND("arbeid",Methode_Keuze)),"",IF(ISNUMBER(FIND("arbeid",Methode_Keuze)),"",IF(Tb_Activiteiten[[#This Row],[Projectleider/Expert]]=1,Tb_Activiteiten[[#Headers],[Projectleider/Expert]],"")))</f>
        <v/>
      </c>
      <c r="AQ359" t="str">
        <f>IF(ISNUMBER(FIND("arbeid",Methode_Keuze)),"",IF(ISNUMBER(FIND("arbeid",Methode_Keuze)),"",IF(Tb_Activiteiten[[#This Row],[Arbeidskosten]]=1,Tb_Activiteiten[[#Headers],[Arbeidskosten]],"")))</f>
        <v/>
      </c>
      <c r="AR359" t="str">
        <f>IF(ISNUMBER(FIND("arbeid",Methode_Keuze)),"",IF(ISNUMBER(FIND("arbeid",Methode_Keuze)),"",IF(Tb_Activiteiten[[#This Row],[Arbeidskosten op basis van IKS]]=1,Tb_Activiteiten[[#Headers],[Arbeidskosten op basis van IKS]],"")))</f>
        <v/>
      </c>
      <c r="AS359" t="str">
        <f>IF(ISNUMBER(FIND("overige",Methode_Keuze)),"",IF(Tb_Activiteiten[[#This Row],[Kosten derden exclusief btw]]=1,Tb_Activiteiten[[#Headers],[Kosten derden exclusief btw]],""))</f>
        <v/>
      </c>
      <c r="AT359" t="str">
        <f>IF(ISNUMBER(FIND("overige",Methode_Keuze)),"",IF(Tb_Activiteiten[[#This Row],[Niet verrekenbare btw]]=1,Tb_Activiteiten[[#Headers],[Niet verrekenbare btw]],""))</f>
        <v/>
      </c>
      <c r="AU359" t="str">
        <f>IF(ISNUMBER(FIND("overige",Methode_Keuze)),"",IF(Tb_Activiteiten[[#This Row],[Grondkosten]]=1,Tb_Activiteiten[[#Headers],[Grondkosten]],""))</f>
        <v/>
      </c>
      <c r="AV359" t="str">
        <f>IF(ISNUMBER(FIND("overige",Methode_Keuze)),"",IF(Tb_Activiteiten[[#This Row],[Bijdrage in natura (overige)]]=1,Tb_Activiteiten[[#Headers],[Bijdrage in natura (overige)]],""))</f>
        <v/>
      </c>
      <c r="AW359" t="str">
        <f>IF(ISNUMBER(FIND("overige",Methode_Keuze)),"",IF(Tb_Activiteiten[[#This Row],[Bijdrage in natura (vrijwilligers)]]=1,Tb_Activiteiten[[#Headers],[Bijdrage in natura (vrijwilligers)]],""))</f>
        <v/>
      </c>
      <c r="AX359" t="str">
        <f>IF(ISNUMBER(FIND("overige",Methode_Keuze)),"",IF(Tb_Activiteiten[[#This Row],[Afschrijvingskosten]]=1,Tb_Activiteiten[[#Headers],[Afschrijvingskosten]],""))</f>
        <v/>
      </c>
      <c r="AY359" t="str">
        <f>IF(ISNUMBER(FIND("overige",Methode_Keuze)),"",IF(Tb_Activiteiten[[#This Row],[Vergoeding]]=1,Tb_Activiteiten[[#Headers],[Vergoeding]],""))</f>
        <v/>
      </c>
      <c r="AZ359" t="str">
        <f>IF(ISNUMBER(FIND("arbeid",Methode_Keuze)),"",IF(Tb_Activiteiten[[#This Row],[Arbeidskosten - vast tarief (excl eigen arbeid)]]=1,Tb_Activiteiten[[#Headers],[Arbeidskosten - vast tarief (excl eigen arbeid)]],""))</f>
        <v/>
      </c>
      <c r="BA359" t="str">
        <f>IF(ISNUMBER(FIND("overige",Methode_Keuze)),"",IF(Tb_Activiteiten[[#This Row],[Overige kosten]]=1,Tb_Activiteiten[[#Headers],[Overige kosten]],""))</f>
        <v/>
      </c>
    </row>
    <row r="360" spans="1:53" x14ac:dyDescent="0.25">
      <c r="A360" s="231"/>
      <c r="F360" s="64"/>
      <c r="G360" s="64"/>
      <c r="H360" s="275"/>
      <c r="I360" s="275"/>
      <c r="J360" s="275"/>
      <c r="K360" s="275"/>
      <c r="O360" s="56"/>
      <c r="Q360" t="str">
        <f>IFERROR(IF(VLOOKUP(Tb_Activiteiten[[#This Row],[Openstelling]],Tb_Openstelling[],2,0)=1,1,""),"")</f>
        <v/>
      </c>
      <c r="AK360" t="str">
        <f>IF(ISNUMBER(FIND("arbeid",Methode_Keuze)),"",IF(ISNUMBER(FIND("arbeid",Methode_Keuze)),"",IF(Tb_Activiteiten[[#This Row],[Loonkosten]]=1,Tb_Activiteiten[[#Headers],[Loonkosten]],"")))</f>
        <v/>
      </c>
      <c r="AL360" t="str">
        <f>IF(ISNUMBER(FIND("arbeid",Methode_Keuze)),"",IF(ISNUMBER(FIND("arbeid",Methode_Keuze)),"",IF(Tb_Activiteiten[[#This Row],[Eigen arbeid]]=1,Tb_Activiteiten[[#Headers],[Eigen arbeid]],"")))</f>
        <v/>
      </c>
      <c r="AM360" t="str">
        <f>IF(ISNUMBER(FIND("arbeid",Methode_Keuze)),"",IF(ISNUMBER(FIND("arbeid",Methode_Keuze)),"",IF(Tb_Activiteiten[[#This Row],[Projectmedewerker]]=1,Tb_Activiteiten[[#Headers],[Projectmedewerker]],"")))</f>
        <v/>
      </c>
      <c r="AN360" t="str">
        <f>IF(ISNUMBER(FIND("arbeid",Methode_Keuze)),"",IF(ISNUMBER(FIND("arbeid",Methode_Keuze)),"",IF(Tb_Activiteiten[[#This Row],[Landbouwer]]=1,Tb_Activiteiten[[#Headers],[Landbouwer]],"")))</f>
        <v/>
      </c>
      <c r="AO360" t="str">
        <f>IF(ISNUMBER(FIND("arbeid",Methode_Keuze)),"",IF(ISNUMBER(FIND("arbeid",Methode_Keuze)),"",IF(Tb_Activiteiten[[#This Row],[Adviseur]]=1,Tb_Activiteiten[[#Headers],[Adviseur]],"")))</f>
        <v/>
      </c>
      <c r="AP360" t="str">
        <f>IF(ISNUMBER(FIND("arbeid",Methode_Keuze)),"",IF(ISNUMBER(FIND("arbeid",Methode_Keuze)),"",IF(Tb_Activiteiten[[#This Row],[Projectleider/Expert]]=1,Tb_Activiteiten[[#Headers],[Projectleider/Expert]],"")))</f>
        <v/>
      </c>
      <c r="AQ360" t="str">
        <f>IF(ISNUMBER(FIND("arbeid",Methode_Keuze)),"",IF(ISNUMBER(FIND("arbeid",Methode_Keuze)),"",IF(Tb_Activiteiten[[#This Row],[Arbeidskosten]]=1,Tb_Activiteiten[[#Headers],[Arbeidskosten]],"")))</f>
        <v/>
      </c>
      <c r="AR360" t="str">
        <f>IF(ISNUMBER(FIND("arbeid",Methode_Keuze)),"",IF(ISNUMBER(FIND("arbeid",Methode_Keuze)),"",IF(Tb_Activiteiten[[#This Row],[Arbeidskosten op basis van IKS]]=1,Tb_Activiteiten[[#Headers],[Arbeidskosten op basis van IKS]],"")))</f>
        <v/>
      </c>
      <c r="AS360" t="str">
        <f>IF(ISNUMBER(FIND("overige",Methode_Keuze)),"",IF(Tb_Activiteiten[[#This Row],[Kosten derden exclusief btw]]=1,Tb_Activiteiten[[#Headers],[Kosten derden exclusief btw]],""))</f>
        <v/>
      </c>
      <c r="AT360" t="str">
        <f>IF(ISNUMBER(FIND("overige",Methode_Keuze)),"",IF(Tb_Activiteiten[[#This Row],[Niet verrekenbare btw]]=1,Tb_Activiteiten[[#Headers],[Niet verrekenbare btw]],""))</f>
        <v/>
      </c>
      <c r="AU360" t="str">
        <f>IF(ISNUMBER(FIND("overige",Methode_Keuze)),"",IF(Tb_Activiteiten[[#This Row],[Grondkosten]]=1,Tb_Activiteiten[[#Headers],[Grondkosten]],""))</f>
        <v/>
      </c>
      <c r="AV360" t="str">
        <f>IF(ISNUMBER(FIND("overige",Methode_Keuze)),"",IF(Tb_Activiteiten[[#This Row],[Bijdrage in natura (overige)]]=1,Tb_Activiteiten[[#Headers],[Bijdrage in natura (overige)]],""))</f>
        <v/>
      </c>
      <c r="AW360" t="str">
        <f>IF(ISNUMBER(FIND("overige",Methode_Keuze)),"",IF(Tb_Activiteiten[[#This Row],[Bijdrage in natura (vrijwilligers)]]=1,Tb_Activiteiten[[#Headers],[Bijdrage in natura (vrijwilligers)]],""))</f>
        <v/>
      </c>
      <c r="AX360" t="str">
        <f>IF(ISNUMBER(FIND("overige",Methode_Keuze)),"",IF(Tb_Activiteiten[[#This Row],[Afschrijvingskosten]]=1,Tb_Activiteiten[[#Headers],[Afschrijvingskosten]],""))</f>
        <v/>
      </c>
      <c r="AY360" t="str">
        <f>IF(ISNUMBER(FIND("overige",Methode_Keuze)),"",IF(Tb_Activiteiten[[#This Row],[Vergoeding]]=1,Tb_Activiteiten[[#Headers],[Vergoeding]],""))</f>
        <v/>
      </c>
      <c r="AZ360" t="str">
        <f>IF(ISNUMBER(FIND("arbeid",Methode_Keuze)),"",IF(Tb_Activiteiten[[#This Row],[Arbeidskosten - vast tarief (excl eigen arbeid)]]=1,Tb_Activiteiten[[#Headers],[Arbeidskosten - vast tarief (excl eigen arbeid)]],""))</f>
        <v/>
      </c>
      <c r="BA360" t="str">
        <f>IF(ISNUMBER(FIND("overige",Methode_Keuze)),"",IF(Tb_Activiteiten[[#This Row],[Overige kosten]]=1,Tb_Activiteiten[[#Headers],[Overige kosten]],""))</f>
        <v/>
      </c>
    </row>
    <row r="361" spans="1:53" x14ac:dyDescent="0.25">
      <c r="A361" s="231"/>
      <c r="F361" s="64"/>
      <c r="G361" s="64"/>
      <c r="H361" s="275"/>
      <c r="I361" s="275"/>
      <c r="J361" s="275"/>
      <c r="K361" s="275"/>
      <c r="O361" s="56"/>
      <c r="Q361" t="str">
        <f>IFERROR(IF(VLOOKUP(Tb_Activiteiten[[#This Row],[Openstelling]],Tb_Openstelling[],2,0)=1,1,""),"")</f>
        <v/>
      </c>
      <c r="AK361" t="str">
        <f>IF(ISNUMBER(FIND("arbeid",Methode_Keuze)),"",IF(ISNUMBER(FIND("arbeid",Methode_Keuze)),"",IF(Tb_Activiteiten[[#This Row],[Loonkosten]]=1,Tb_Activiteiten[[#Headers],[Loonkosten]],"")))</f>
        <v/>
      </c>
      <c r="AL361" t="str">
        <f>IF(ISNUMBER(FIND("arbeid",Methode_Keuze)),"",IF(ISNUMBER(FIND("arbeid",Methode_Keuze)),"",IF(Tb_Activiteiten[[#This Row],[Eigen arbeid]]=1,Tb_Activiteiten[[#Headers],[Eigen arbeid]],"")))</f>
        <v/>
      </c>
      <c r="AM361" t="str">
        <f>IF(ISNUMBER(FIND("arbeid",Methode_Keuze)),"",IF(ISNUMBER(FIND("arbeid",Methode_Keuze)),"",IF(Tb_Activiteiten[[#This Row],[Projectmedewerker]]=1,Tb_Activiteiten[[#Headers],[Projectmedewerker]],"")))</f>
        <v/>
      </c>
      <c r="AN361" t="str">
        <f>IF(ISNUMBER(FIND("arbeid",Methode_Keuze)),"",IF(ISNUMBER(FIND("arbeid",Methode_Keuze)),"",IF(Tb_Activiteiten[[#This Row],[Landbouwer]]=1,Tb_Activiteiten[[#Headers],[Landbouwer]],"")))</f>
        <v/>
      </c>
      <c r="AO361" t="str">
        <f>IF(ISNUMBER(FIND("arbeid",Methode_Keuze)),"",IF(ISNUMBER(FIND("arbeid",Methode_Keuze)),"",IF(Tb_Activiteiten[[#This Row],[Adviseur]]=1,Tb_Activiteiten[[#Headers],[Adviseur]],"")))</f>
        <v/>
      </c>
      <c r="AP361" t="str">
        <f>IF(ISNUMBER(FIND("arbeid",Methode_Keuze)),"",IF(ISNUMBER(FIND("arbeid",Methode_Keuze)),"",IF(Tb_Activiteiten[[#This Row],[Projectleider/Expert]]=1,Tb_Activiteiten[[#Headers],[Projectleider/Expert]],"")))</f>
        <v/>
      </c>
      <c r="AQ361" t="str">
        <f>IF(ISNUMBER(FIND("arbeid",Methode_Keuze)),"",IF(ISNUMBER(FIND("arbeid",Methode_Keuze)),"",IF(Tb_Activiteiten[[#This Row],[Arbeidskosten]]=1,Tb_Activiteiten[[#Headers],[Arbeidskosten]],"")))</f>
        <v/>
      </c>
      <c r="AR361" t="str">
        <f>IF(ISNUMBER(FIND("arbeid",Methode_Keuze)),"",IF(ISNUMBER(FIND("arbeid",Methode_Keuze)),"",IF(Tb_Activiteiten[[#This Row],[Arbeidskosten op basis van IKS]]=1,Tb_Activiteiten[[#Headers],[Arbeidskosten op basis van IKS]],"")))</f>
        <v/>
      </c>
      <c r="AS361" t="str">
        <f>IF(ISNUMBER(FIND("overige",Methode_Keuze)),"",IF(Tb_Activiteiten[[#This Row],[Kosten derden exclusief btw]]=1,Tb_Activiteiten[[#Headers],[Kosten derden exclusief btw]],""))</f>
        <v/>
      </c>
      <c r="AT361" t="str">
        <f>IF(ISNUMBER(FIND("overige",Methode_Keuze)),"",IF(Tb_Activiteiten[[#This Row],[Niet verrekenbare btw]]=1,Tb_Activiteiten[[#Headers],[Niet verrekenbare btw]],""))</f>
        <v/>
      </c>
      <c r="AU361" t="str">
        <f>IF(ISNUMBER(FIND("overige",Methode_Keuze)),"",IF(Tb_Activiteiten[[#This Row],[Grondkosten]]=1,Tb_Activiteiten[[#Headers],[Grondkosten]],""))</f>
        <v/>
      </c>
      <c r="AV361" t="str">
        <f>IF(ISNUMBER(FIND("overige",Methode_Keuze)),"",IF(Tb_Activiteiten[[#This Row],[Bijdrage in natura (overige)]]=1,Tb_Activiteiten[[#Headers],[Bijdrage in natura (overige)]],""))</f>
        <v/>
      </c>
      <c r="AW361" t="str">
        <f>IF(ISNUMBER(FIND("overige",Methode_Keuze)),"",IF(Tb_Activiteiten[[#This Row],[Bijdrage in natura (vrijwilligers)]]=1,Tb_Activiteiten[[#Headers],[Bijdrage in natura (vrijwilligers)]],""))</f>
        <v/>
      </c>
      <c r="AX361" t="str">
        <f>IF(ISNUMBER(FIND("overige",Methode_Keuze)),"",IF(Tb_Activiteiten[[#This Row],[Afschrijvingskosten]]=1,Tb_Activiteiten[[#Headers],[Afschrijvingskosten]],""))</f>
        <v/>
      </c>
      <c r="AY361" t="str">
        <f>IF(ISNUMBER(FIND("overige",Methode_Keuze)),"",IF(Tb_Activiteiten[[#This Row],[Vergoeding]]=1,Tb_Activiteiten[[#Headers],[Vergoeding]],""))</f>
        <v/>
      </c>
      <c r="AZ361" t="str">
        <f>IF(ISNUMBER(FIND("arbeid",Methode_Keuze)),"",IF(Tb_Activiteiten[[#This Row],[Arbeidskosten - vast tarief (excl eigen arbeid)]]=1,Tb_Activiteiten[[#Headers],[Arbeidskosten - vast tarief (excl eigen arbeid)]],""))</f>
        <v/>
      </c>
      <c r="BA361" t="str">
        <f>IF(ISNUMBER(FIND("overige",Methode_Keuze)),"",IF(Tb_Activiteiten[[#This Row],[Overige kosten]]=1,Tb_Activiteiten[[#Headers],[Overige kosten]],""))</f>
        <v/>
      </c>
    </row>
    <row r="362" spans="1:53" x14ac:dyDescent="0.25">
      <c r="A362" s="231"/>
      <c r="F362" s="64"/>
      <c r="G362" s="64"/>
      <c r="H362" s="275"/>
      <c r="I362" s="275"/>
      <c r="J362" s="275"/>
      <c r="K362" s="275"/>
      <c r="O362" s="56"/>
      <c r="Q362" t="str">
        <f>IFERROR(IF(VLOOKUP(Tb_Activiteiten[[#This Row],[Openstelling]],Tb_Openstelling[],2,0)=1,1,""),"")</f>
        <v/>
      </c>
      <c r="AK362" t="str">
        <f>IF(ISNUMBER(FIND("arbeid",Methode_Keuze)),"",IF(ISNUMBER(FIND("arbeid",Methode_Keuze)),"",IF(Tb_Activiteiten[[#This Row],[Loonkosten]]=1,Tb_Activiteiten[[#Headers],[Loonkosten]],"")))</f>
        <v/>
      </c>
      <c r="AL362" t="str">
        <f>IF(ISNUMBER(FIND("arbeid",Methode_Keuze)),"",IF(ISNUMBER(FIND("arbeid",Methode_Keuze)),"",IF(Tb_Activiteiten[[#This Row],[Eigen arbeid]]=1,Tb_Activiteiten[[#Headers],[Eigen arbeid]],"")))</f>
        <v/>
      </c>
      <c r="AM362" t="str">
        <f>IF(ISNUMBER(FIND("arbeid",Methode_Keuze)),"",IF(ISNUMBER(FIND("arbeid",Methode_Keuze)),"",IF(Tb_Activiteiten[[#This Row],[Projectmedewerker]]=1,Tb_Activiteiten[[#Headers],[Projectmedewerker]],"")))</f>
        <v/>
      </c>
      <c r="AN362" t="str">
        <f>IF(ISNUMBER(FIND("arbeid",Methode_Keuze)),"",IF(ISNUMBER(FIND("arbeid",Methode_Keuze)),"",IF(Tb_Activiteiten[[#This Row],[Landbouwer]]=1,Tb_Activiteiten[[#Headers],[Landbouwer]],"")))</f>
        <v/>
      </c>
      <c r="AO362" t="str">
        <f>IF(ISNUMBER(FIND("arbeid",Methode_Keuze)),"",IF(ISNUMBER(FIND("arbeid",Methode_Keuze)),"",IF(Tb_Activiteiten[[#This Row],[Adviseur]]=1,Tb_Activiteiten[[#Headers],[Adviseur]],"")))</f>
        <v/>
      </c>
      <c r="AP362" t="str">
        <f>IF(ISNUMBER(FIND("arbeid",Methode_Keuze)),"",IF(ISNUMBER(FIND("arbeid",Methode_Keuze)),"",IF(Tb_Activiteiten[[#This Row],[Projectleider/Expert]]=1,Tb_Activiteiten[[#Headers],[Projectleider/Expert]],"")))</f>
        <v/>
      </c>
      <c r="AQ362" t="str">
        <f>IF(ISNUMBER(FIND("arbeid",Methode_Keuze)),"",IF(ISNUMBER(FIND("arbeid",Methode_Keuze)),"",IF(Tb_Activiteiten[[#This Row],[Arbeidskosten]]=1,Tb_Activiteiten[[#Headers],[Arbeidskosten]],"")))</f>
        <v/>
      </c>
      <c r="AR362" t="str">
        <f>IF(ISNUMBER(FIND("arbeid",Methode_Keuze)),"",IF(ISNUMBER(FIND("arbeid",Methode_Keuze)),"",IF(Tb_Activiteiten[[#This Row],[Arbeidskosten op basis van IKS]]=1,Tb_Activiteiten[[#Headers],[Arbeidskosten op basis van IKS]],"")))</f>
        <v/>
      </c>
      <c r="AS362" t="str">
        <f>IF(ISNUMBER(FIND("overige",Methode_Keuze)),"",IF(Tb_Activiteiten[[#This Row],[Kosten derden exclusief btw]]=1,Tb_Activiteiten[[#Headers],[Kosten derden exclusief btw]],""))</f>
        <v/>
      </c>
      <c r="AT362" t="str">
        <f>IF(ISNUMBER(FIND("overige",Methode_Keuze)),"",IF(Tb_Activiteiten[[#This Row],[Niet verrekenbare btw]]=1,Tb_Activiteiten[[#Headers],[Niet verrekenbare btw]],""))</f>
        <v/>
      </c>
      <c r="AU362" t="str">
        <f>IF(ISNUMBER(FIND("overige",Methode_Keuze)),"",IF(Tb_Activiteiten[[#This Row],[Grondkosten]]=1,Tb_Activiteiten[[#Headers],[Grondkosten]],""))</f>
        <v/>
      </c>
      <c r="AV362" t="str">
        <f>IF(ISNUMBER(FIND("overige",Methode_Keuze)),"",IF(Tb_Activiteiten[[#This Row],[Bijdrage in natura (overige)]]=1,Tb_Activiteiten[[#Headers],[Bijdrage in natura (overige)]],""))</f>
        <v/>
      </c>
      <c r="AW362" t="str">
        <f>IF(ISNUMBER(FIND("overige",Methode_Keuze)),"",IF(Tb_Activiteiten[[#This Row],[Bijdrage in natura (vrijwilligers)]]=1,Tb_Activiteiten[[#Headers],[Bijdrage in natura (vrijwilligers)]],""))</f>
        <v/>
      </c>
      <c r="AX362" t="str">
        <f>IF(ISNUMBER(FIND("overige",Methode_Keuze)),"",IF(Tb_Activiteiten[[#This Row],[Afschrijvingskosten]]=1,Tb_Activiteiten[[#Headers],[Afschrijvingskosten]],""))</f>
        <v/>
      </c>
      <c r="AY362" t="str">
        <f>IF(ISNUMBER(FIND("overige",Methode_Keuze)),"",IF(Tb_Activiteiten[[#This Row],[Vergoeding]]=1,Tb_Activiteiten[[#Headers],[Vergoeding]],""))</f>
        <v/>
      </c>
      <c r="AZ362" t="str">
        <f>IF(ISNUMBER(FIND("arbeid",Methode_Keuze)),"",IF(Tb_Activiteiten[[#This Row],[Arbeidskosten - vast tarief (excl eigen arbeid)]]=1,Tb_Activiteiten[[#Headers],[Arbeidskosten - vast tarief (excl eigen arbeid)]],""))</f>
        <v/>
      </c>
      <c r="BA362" t="str">
        <f>IF(ISNUMBER(FIND("overige",Methode_Keuze)),"",IF(Tb_Activiteiten[[#This Row],[Overige kosten]]=1,Tb_Activiteiten[[#Headers],[Overige kosten]],""))</f>
        <v/>
      </c>
    </row>
    <row r="363" spans="1:53" x14ac:dyDescent="0.25">
      <c r="A363" s="231"/>
      <c r="F363" s="64"/>
      <c r="G363" s="64"/>
      <c r="H363" s="275"/>
      <c r="I363" s="275"/>
      <c r="J363" s="275"/>
      <c r="K363" s="275"/>
      <c r="O363" s="56"/>
      <c r="Q363" t="str">
        <f>IFERROR(IF(VLOOKUP(Tb_Activiteiten[[#This Row],[Openstelling]],Tb_Openstelling[],2,0)=1,1,""),"")</f>
        <v/>
      </c>
      <c r="AK363" t="str">
        <f>IF(ISNUMBER(FIND("arbeid",Methode_Keuze)),"",IF(ISNUMBER(FIND("arbeid",Methode_Keuze)),"",IF(Tb_Activiteiten[[#This Row],[Loonkosten]]=1,Tb_Activiteiten[[#Headers],[Loonkosten]],"")))</f>
        <v/>
      </c>
      <c r="AL363" t="str">
        <f>IF(ISNUMBER(FIND("arbeid",Methode_Keuze)),"",IF(ISNUMBER(FIND("arbeid",Methode_Keuze)),"",IF(Tb_Activiteiten[[#This Row],[Eigen arbeid]]=1,Tb_Activiteiten[[#Headers],[Eigen arbeid]],"")))</f>
        <v/>
      </c>
      <c r="AM363" t="str">
        <f>IF(ISNUMBER(FIND("arbeid",Methode_Keuze)),"",IF(ISNUMBER(FIND("arbeid",Methode_Keuze)),"",IF(Tb_Activiteiten[[#This Row],[Projectmedewerker]]=1,Tb_Activiteiten[[#Headers],[Projectmedewerker]],"")))</f>
        <v/>
      </c>
      <c r="AN363" t="str">
        <f>IF(ISNUMBER(FIND("arbeid",Methode_Keuze)),"",IF(ISNUMBER(FIND("arbeid",Methode_Keuze)),"",IF(Tb_Activiteiten[[#This Row],[Landbouwer]]=1,Tb_Activiteiten[[#Headers],[Landbouwer]],"")))</f>
        <v/>
      </c>
      <c r="AO363" t="str">
        <f>IF(ISNUMBER(FIND("arbeid",Methode_Keuze)),"",IF(ISNUMBER(FIND("arbeid",Methode_Keuze)),"",IF(Tb_Activiteiten[[#This Row],[Adviseur]]=1,Tb_Activiteiten[[#Headers],[Adviseur]],"")))</f>
        <v/>
      </c>
      <c r="AP363" t="str">
        <f>IF(ISNUMBER(FIND("arbeid",Methode_Keuze)),"",IF(ISNUMBER(FIND("arbeid",Methode_Keuze)),"",IF(Tb_Activiteiten[[#This Row],[Projectleider/Expert]]=1,Tb_Activiteiten[[#Headers],[Projectleider/Expert]],"")))</f>
        <v/>
      </c>
      <c r="AQ363" t="str">
        <f>IF(ISNUMBER(FIND("arbeid",Methode_Keuze)),"",IF(ISNUMBER(FIND("arbeid",Methode_Keuze)),"",IF(Tb_Activiteiten[[#This Row],[Arbeidskosten]]=1,Tb_Activiteiten[[#Headers],[Arbeidskosten]],"")))</f>
        <v/>
      </c>
      <c r="AR363" t="str">
        <f>IF(ISNUMBER(FIND("arbeid",Methode_Keuze)),"",IF(ISNUMBER(FIND("arbeid",Methode_Keuze)),"",IF(Tb_Activiteiten[[#This Row],[Arbeidskosten op basis van IKS]]=1,Tb_Activiteiten[[#Headers],[Arbeidskosten op basis van IKS]],"")))</f>
        <v/>
      </c>
      <c r="AS363" t="str">
        <f>IF(ISNUMBER(FIND("overige",Methode_Keuze)),"",IF(Tb_Activiteiten[[#This Row],[Kosten derden exclusief btw]]=1,Tb_Activiteiten[[#Headers],[Kosten derden exclusief btw]],""))</f>
        <v/>
      </c>
      <c r="AT363" t="str">
        <f>IF(ISNUMBER(FIND("overige",Methode_Keuze)),"",IF(Tb_Activiteiten[[#This Row],[Niet verrekenbare btw]]=1,Tb_Activiteiten[[#Headers],[Niet verrekenbare btw]],""))</f>
        <v/>
      </c>
      <c r="AU363" t="str">
        <f>IF(ISNUMBER(FIND("overige",Methode_Keuze)),"",IF(Tb_Activiteiten[[#This Row],[Grondkosten]]=1,Tb_Activiteiten[[#Headers],[Grondkosten]],""))</f>
        <v/>
      </c>
      <c r="AV363" t="str">
        <f>IF(ISNUMBER(FIND("overige",Methode_Keuze)),"",IF(Tb_Activiteiten[[#This Row],[Bijdrage in natura (overige)]]=1,Tb_Activiteiten[[#Headers],[Bijdrage in natura (overige)]],""))</f>
        <v/>
      </c>
      <c r="AW363" t="str">
        <f>IF(ISNUMBER(FIND("overige",Methode_Keuze)),"",IF(Tb_Activiteiten[[#This Row],[Bijdrage in natura (vrijwilligers)]]=1,Tb_Activiteiten[[#Headers],[Bijdrage in natura (vrijwilligers)]],""))</f>
        <v/>
      </c>
      <c r="AX363" t="str">
        <f>IF(ISNUMBER(FIND("overige",Methode_Keuze)),"",IF(Tb_Activiteiten[[#This Row],[Afschrijvingskosten]]=1,Tb_Activiteiten[[#Headers],[Afschrijvingskosten]],""))</f>
        <v/>
      </c>
      <c r="AY363" t="str">
        <f>IF(ISNUMBER(FIND("overige",Methode_Keuze)),"",IF(Tb_Activiteiten[[#This Row],[Vergoeding]]=1,Tb_Activiteiten[[#Headers],[Vergoeding]],""))</f>
        <v/>
      </c>
      <c r="AZ363" t="str">
        <f>IF(ISNUMBER(FIND("arbeid",Methode_Keuze)),"",IF(Tb_Activiteiten[[#This Row],[Arbeidskosten - vast tarief (excl eigen arbeid)]]=1,Tb_Activiteiten[[#Headers],[Arbeidskosten - vast tarief (excl eigen arbeid)]],""))</f>
        <v/>
      </c>
      <c r="BA363" t="str">
        <f>IF(ISNUMBER(FIND("overige",Methode_Keuze)),"",IF(Tb_Activiteiten[[#This Row],[Overige kosten]]=1,Tb_Activiteiten[[#Headers],[Overige kosten]],""))</f>
        <v/>
      </c>
    </row>
    <row r="364" spans="1:53" x14ac:dyDescent="0.25">
      <c r="A364" s="231"/>
      <c r="F364" s="64"/>
      <c r="G364" s="64"/>
      <c r="H364" s="275"/>
      <c r="I364" s="275"/>
      <c r="J364" s="275"/>
      <c r="K364" s="275"/>
      <c r="O364" s="56"/>
      <c r="Q364" t="str">
        <f>IFERROR(IF(VLOOKUP(Tb_Activiteiten[[#This Row],[Openstelling]],Tb_Openstelling[],2,0)=1,1,""),"")</f>
        <v/>
      </c>
      <c r="AK364" t="str">
        <f>IF(ISNUMBER(FIND("arbeid",Methode_Keuze)),"",IF(ISNUMBER(FIND("arbeid",Methode_Keuze)),"",IF(Tb_Activiteiten[[#This Row],[Loonkosten]]=1,Tb_Activiteiten[[#Headers],[Loonkosten]],"")))</f>
        <v/>
      </c>
      <c r="AL364" t="str">
        <f>IF(ISNUMBER(FIND("arbeid",Methode_Keuze)),"",IF(ISNUMBER(FIND("arbeid",Methode_Keuze)),"",IF(Tb_Activiteiten[[#This Row],[Eigen arbeid]]=1,Tb_Activiteiten[[#Headers],[Eigen arbeid]],"")))</f>
        <v/>
      </c>
      <c r="AM364" t="str">
        <f>IF(ISNUMBER(FIND("arbeid",Methode_Keuze)),"",IF(ISNUMBER(FIND("arbeid",Methode_Keuze)),"",IF(Tb_Activiteiten[[#This Row],[Projectmedewerker]]=1,Tb_Activiteiten[[#Headers],[Projectmedewerker]],"")))</f>
        <v/>
      </c>
      <c r="AN364" t="str">
        <f>IF(ISNUMBER(FIND("arbeid",Methode_Keuze)),"",IF(ISNUMBER(FIND("arbeid",Methode_Keuze)),"",IF(Tb_Activiteiten[[#This Row],[Landbouwer]]=1,Tb_Activiteiten[[#Headers],[Landbouwer]],"")))</f>
        <v/>
      </c>
      <c r="AO364" t="str">
        <f>IF(ISNUMBER(FIND("arbeid",Methode_Keuze)),"",IF(ISNUMBER(FIND("arbeid",Methode_Keuze)),"",IF(Tb_Activiteiten[[#This Row],[Adviseur]]=1,Tb_Activiteiten[[#Headers],[Adviseur]],"")))</f>
        <v/>
      </c>
      <c r="AP364" t="str">
        <f>IF(ISNUMBER(FIND("arbeid",Methode_Keuze)),"",IF(ISNUMBER(FIND("arbeid",Methode_Keuze)),"",IF(Tb_Activiteiten[[#This Row],[Projectleider/Expert]]=1,Tb_Activiteiten[[#Headers],[Projectleider/Expert]],"")))</f>
        <v/>
      </c>
      <c r="AQ364" t="str">
        <f>IF(ISNUMBER(FIND("arbeid",Methode_Keuze)),"",IF(ISNUMBER(FIND("arbeid",Methode_Keuze)),"",IF(Tb_Activiteiten[[#This Row],[Arbeidskosten]]=1,Tb_Activiteiten[[#Headers],[Arbeidskosten]],"")))</f>
        <v/>
      </c>
      <c r="AR364" t="str">
        <f>IF(ISNUMBER(FIND("arbeid",Methode_Keuze)),"",IF(ISNUMBER(FIND("arbeid",Methode_Keuze)),"",IF(Tb_Activiteiten[[#This Row],[Arbeidskosten op basis van IKS]]=1,Tb_Activiteiten[[#Headers],[Arbeidskosten op basis van IKS]],"")))</f>
        <v/>
      </c>
      <c r="AS364" t="str">
        <f>IF(ISNUMBER(FIND("overige",Methode_Keuze)),"",IF(Tb_Activiteiten[[#This Row],[Kosten derden exclusief btw]]=1,Tb_Activiteiten[[#Headers],[Kosten derden exclusief btw]],""))</f>
        <v/>
      </c>
      <c r="AT364" t="str">
        <f>IF(ISNUMBER(FIND("overige",Methode_Keuze)),"",IF(Tb_Activiteiten[[#This Row],[Niet verrekenbare btw]]=1,Tb_Activiteiten[[#Headers],[Niet verrekenbare btw]],""))</f>
        <v/>
      </c>
      <c r="AU364" t="str">
        <f>IF(ISNUMBER(FIND("overige",Methode_Keuze)),"",IF(Tb_Activiteiten[[#This Row],[Grondkosten]]=1,Tb_Activiteiten[[#Headers],[Grondkosten]],""))</f>
        <v/>
      </c>
      <c r="AV364" t="str">
        <f>IF(ISNUMBER(FIND("overige",Methode_Keuze)),"",IF(Tb_Activiteiten[[#This Row],[Bijdrage in natura (overige)]]=1,Tb_Activiteiten[[#Headers],[Bijdrage in natura (overige)]],""))</f>
        <v/>
      </c>
      <c r="AW364" t="str">
        <f>IF(ISNUMBER(FIND("overige",Methode_Keuze)),"",IF(Tb_Activiteiten[[#This Row],[Bijdrage in natura (vrijwilligers)]]=1,Tb_Activiteiten[[#Headers],[Bijdrage in natura (vrijwilligers)]],""))</f>
        <v/>
      </c>
      <c r="AX364" t="str">
        <f>IF(ISNUMBER(FIND("overige",Methode_Keuze)),"",IF(Tb_Activiteiten[[#This Row],[Afschrijvingskosten]]=1,Tb_Activiteiten[[#Headers],[Afschrijvingskosten]],""))</f>
        <v/>
      </c>
      <c r="AY364" t="str">
        <f>IF(ISNUMBER(FIND("overige",Methode_Keuze)),"",IF(Tb_Activiteiten[[#This Row],[Vergoeding]]=1,Tb_Activiteiten[[#Headers],[Vergoeding]],""))</f>
        <v/>
      </c>
      <c r="AZ364" t="str">
        <f>IF(ISNUMBER(FIND("arbeid",Methode_Keuze)),"",IF(Tb_Activiteiten[[#This Row],[Arbeidskosten - vast tarief (excl eigen arbeid)]]=1,Tb_Activiteiten[[#Headers],[Arbeidskosten - vast tarief (excl eigen arbeid)]],""))</f>
        <v/>
      </c>
      <c r="BA364" t="str">
        <f>IF(ISNUMBER(FIND("overige",Methode_Keuze)),"",IF(Tb_Activiteiten[[#This Row],[Overige kosten]]=1,Tb_Activiteiten[[#Headers],[Overige kosten]],""))</f>
        <v/>
      </c>
    </row>
    <row r="365" spans="1:53" x14ac:dyDescent="0.25">
      <c r="A365" s="231"/>
      <c r="F365" s="64"/>
      <c r="G365" s="64"/>
      <c r="H365" s="275"/>
      <c r="I365" s="275"/>
      <c r="J365" s="275"/>
      <c r="K365" s="275"/>
      <c r="O365" s="56"/>
      <c r="Q365" t="str">
        <f>IFERROR(IF(VLOOKUP(Tb_Activiteiten[[#This Row],[Openstelling]],Tb_Openstelling[],2,0)=1,1,""),"")</f>
        <v/>
      </c>
      <c r="AK365" t="str">
        <f>IF(ISNUMBER(FIND("arbeid",Methode_Keuze)),"",IF(ISNUMBER(FIND("arbeid",Methode_Keuze)),"",IF(Tb_Activiteiten[[#This Row],[Loonkosten]]=1,Tb_Activiteiten[[#Headers],[Loonkosten]],"")))</f>
        <v/>
      </c>
      <c r="AL365" t="str">
        <f>IF(ISNUMBER(FIND("arbeid",Methode_Keuze)),"",IF(ISNUMBER(FIND("arbeid",Methode_Keuze)),"",IF(Tb_Activiteiten[[#This Row],[Eigen arbeid]]=1,Tb_Activiteiten[[#Headers],[Eigen arbeid]],"")))</f>
        <v/>
      </c>
      <c r="AM365" t="str">
        <f>IF(ISNUMBER(FIND("arbeid",Methode_Keuze)),"",IF(ISNUMBER(FIND("arbeid",Methode_Keuze)),"",IF(Tb_Activiteiten[[#This Row],[Projectmedewerker]]=1,Tb_Activiteiten[[#Headers],[Projectmedewerker]],"")))</f>
        <v/>
      </c>
      <c r="AN365" t="str">
        <f>IF(ISNUMBER(FIND("arbeid",Methode_Keuze)),"",IF(ISNUMBER(FIND("arbeid",Methode_Keuze)),"",IF(Tb_Activiteiten[[#This Row],[Landbouwer]]=1,Tb_Activiteiten[[#Headers],[Landbouwer]],"")))</f>
        <v/>
      </c>
      <c r="AO365" t="str">
        <f>IF(ISNUMBER(FIND("arbeid",Methode_Keuze)),"",IF(ISNUMBER(FIND("arbeid",Methode_Keuze)),"",IF(Tb_Activiteiten[[#This Row],[Adviseur]]=1,Tb_Activiteiten[[#Headers],[Adviseur]],"")))</f>
        <v/>
      </c>
      <c r="AP365" t="str">
        <f>IF(ISNUMBER(FIND("arbeid",Methode_Keuze)),"",IF(ISNUMBER(FIND("arbeid",Methode_Keuze)),"",IF(Tb_Activiteiten[[#This Row],[Projectleider/Expert]]=1,Tb_Activiteiten[[#Headers],[Projectleider/Expert]],"")))</f>
        <v/>
      </c>
      <c r="AQ365" t="str">
        <f>IF(ISNUMBER(FIND("arbeid",Methode_Keuze)),"",IF(ISNUMBER(FIND("arbeid",Methode_Keuze)),"",IF(Tb_Activiteiten[[#This Row],[Arbeidskosten]]=1,Tb_Activiteiten[[#Headers],[Arbeidskosten]],"")))</f>
        <v/>
      </c>
      <c r="AR365" t="str">
        <f>IF(ISNUMBER(FIND("arbeid",Methode_Keuze)),"",IF(ISNUMBER(FIND("arbeid",Methode_Keuze)),"",IF(Tb_Activiteiten[[#This Row],[Arbeidskosten op basis van IKS]]=1,Tb_Activiteiten[[#Headers],[Arbeidskosten op basis van IKS]],"")))</f>
        <v/>
      </c>
      <c r="AS365" t="str">
        <f>IF(ISNUMBER(FIND("overige",Methode_Keuze)),"",IF(Tb_Activiteiten[[#This Row],[Kosten derden exclusief btw]]=1,Tb_Activiteiten[[#Headers],[Kosten derden exclusief btw]],""))</f>
        <v/>
      </c>
      <c r="AT365" t="str">
        <f>IF(ISNUMBER(FIND("overige",Methode_Keuze)),"",IF(Tb_Activiteiten[[#This Row],[Niet verrekenbare btw]]=1,Tb_Activiteiten[[#Headers],[Niet verrekenbare btw]],""))</f>
        <v/>
      </c>
      <c r="AU365" t="str">
        <f>IF(ISNUMBER(FIND("overige",Methode_Keuze)),"",IF(Tb_Activiteiten[[#This Row],[Grondkosten]]=1,Tb_Activiteiten[[#Headers],[Grondkosten]],""))</f>
        <v/>
      </c>
      <c r="AV365" t="str">
        <f>IF(ISNUMBER(FIND("overige",Methode_Keuze)),"",IF(Tb_Activiteiten[[#This Row],[Bijdrage in natura (overige)]]=1,Tb_Activiteiten[[#Headers],[Bijdrage in natura (overige)]],""))</f>
        <v/>
      </c>
      <c r="AW365" t="str">
        <f>IF(ISNUMBER(FIND("overige",Methode_Keuze)),"",IF(Tb_Activiteiten[[#This Row],[Bijdrage in natura (vrijwilligers)]]=1,Tb_Activiteiten[[#Headers],[Bijdrage in natura (vrijwilligers)]],""))</f>
        <v/>
      </c>
      <c r="AX365" t="str">
        <f>IF(ISNUMBER(FIND("overige",Methode_Keuze)),"",IF(Tb_Activiteiten[[#This Row],[Afschrijvingskosten]]=1,Tb_Activiteiten[[#Headers],[Afschrijvingskosten]],""))</f>
        <v/>
      </c>
      <c r="AY365" t="str">
        <f>IF(ISNUMBER(FIND("overige",Methode_Keuze)),"",IF(Tb_Activiteiten[[#This Row],[Vergoeding]]=1,Tb_Activiteiten[[#Headers],[Vergoeding]],""))</f>
        <v/>
      </c>
      <c r="AZ365" t="str">
        <f>IF(ISNUMBER(FIND("arbeid",Methode_Keuze)),"",IF(Tb_Activiteiten[[#This Row],[Arbeidskosten - vast tarief (excl eigen arbeid)]]=1,Tb_Activiteiten[[#Headers],[Arbeidskosten - vast tarief (excl eigen arbeid)]],""))</f>
        <v/>
      </c>
      <c r="BA365" t="str">
        <f>IF(ISNUMBER(FIND("overige",Methode_Keuze)),"",IF(Tb_Activiteiten[[#This Row],[Overige kosten]]=1,Tb_Activiteiten[[#Headers],[Overige kosten]],""))</f>
        <v/>
      </c>
    </row>
    <row r="366" spans="1:53" x14ac:dyDescent="0.25">
      <c r="A366" s="231"/>
      <c r="F366" s="64"/>
      <c r="G366" s="64"/>
      <c r="H366" s="275"/>
      <c r="I366" s="275"/>
      <c r="J366" s="275"/>
      <c r="K366" s="275"/>
      <c r="O366" s="56"/>
      <c r="Q366" t="str">
        <f>IFERROR(IF(VLOOKUP(Tb_Activiteiten[[#This Row],[Openstelling]],Tb_Openstelling[],2,0)=1,1,""),"")</f>
        <v/>
      </c>
      <c r="AK366" t="str">
        <f>IF(ISNUMBER(FIND("arbeid",Methode_Keuze)),"",IF(ISNUMBER(FIND("arbeid",Methode_Keuze)),"",IF(Tb_Activiteiten[[#This Row],[Loonkosten]]=1,Tb_Activiteiten[[#Headers],[Loonkosten]],"")))</f>
        <v/>
      </c>
      <c r="AL366" t="str">
        <f>IF(ISNUMBER(FIND("arbeid",Methode_Keuze)),"",IF(ISNUMBER(FIND("arbeid",Methode_Keuze)),"",IF(Tb_Activiteiten[[#This Row],[Eigen arbeid]]=1,Tb_Activiteiten[[#Headers],[Eigen arbeid]],"")))</f>
        <v/>
      </c>
      <c r="AM366" t="str">
        <f>IF(ISNUMBER(FIND("arbeid",Methode_Keuze)),"",IF(ISNUMBER(FIND("arbeid",Methode_Keuze)),"",IF(Tb_Activiteiten[[#This Row],[Projectmedewerker]]=1,Tb_Activiteiten[[#Headers],[Projectmedewerker]],"")))</f>
        <v/>
      </c>
      <c r="AN366" t="str">
        <f>IF(ISNUMBER(FIND("arbeid",Methode_Keuze)),"",IF(ISNUMBER(FIND("arbeid",Methode_Keuze)),"",IF(Tb_Activiteiten[[#This Row],[Landbouwer]]=1,Tb_Activiteiten[[#Headers],[Landbouwer]],"")))</f>
        <v/>
      </c>
      <c r="AO366" t="str">
        <f>IF(ISNUMBER(FIND("arbeid",Methode_Keuze)),"",IF(ISNUMBER(FIND("arbeid",Methode_Keuze)),"",IF(Tb_Activiteiten[[#This Row],[Adviseur]]=1,Tb_Activiteiten[[#Headers],[Adviseur]],"")))</f>
        <v/>
      </c>
      <c r="AP366" t="str">
        <f>IF(ISNUMBER(FIND("arbeid",Methode_Keuze)),"",IF(ISNUMBER(FIND("arbeid",Methode_Keuze)),"",IF(Tb_Activiteiten[[#This Row],[Projectleider/Expert]]=1,Tb_Activiteiten[[#Headers],[Projectleider/Expert]],"")))</f>
        <v/>
      </c>
      <c r="AQ366" t="str">
        <f>IF(ISNUMBER(FIND("arbeid",Methode_Keuze)),"",IF(ISNUMBER(FIND("arbeid",Methode_Keuze)),"",IF(Tb_Activiteiten[[#This Row],[Arbeidskosten]]=1,Tb_Activiteiten[[#Headers],[Arbeidskosten]],"")))</f>
        <v/>
      </c>
      <c r="AR366" t="str">
        <f>IF(ISNUMBER(FIND("arbeid",Methode_Keuze)),"",IF(ISNUMBER(FIND("arbeid",Methode_Keuze)),"",IF(Tb_Activiteiten[[#This Row],[Arbeidskosten op basis van IKS]]=1,Tb_Activiteiten[[#Headers],[Arbeidskosten op basis van IKS]],"")))</f>
        <v/>
      </c>
      <c r="AS366" t="str">
        <f>IF(ISNUMBER(FIND("overige",Methode_Keuze)),"",IF(Tb_Activiteiten[[#This Row],[Kosten derden exclusief btw]]=1,Tb_Activiteiten[[#Headers],[Kosten derden exclusief btw]],""))</f>
        <v/>
      </c>
      <c r="AT366" t="str">
        <f>IF(ISNUMBER(FIND("overige",Methode_Keuze)),"",IF(Tb_Activiteiten[[#This Row],[Niet verrekenbare btw]]=1,Tb_Activiteiten[[#Headers],[Niet verrekenbare btw]],""))</f>
        <v/>
      </c>
      <c r="AU366" t="str">
        <f>IF(ISNUMBER(FIND("overige",Methode_Keuze)),"",IF(Tb_Activiteiten[[#This Row],[Grondkosten]]=1,Tb_Activiteiten[[#Headers],[Grondkosten]],""))</f>
        <v/>
      </c>
      <c r="AV366" t="str">
        <f>IF(ISNUMBER(FIND("overige",Methode_Keuze)),"",IF(Tb_Activiteiten[[#This Row],[Bijdrage in natura (overige)]]=1,Tb_Activiteiten[[#Headers],[Bijdrage in natura (overige)]],""))</f>
        <v/>
      </c>
      <c r="AW366" t="str">
        <f>IF(ISNUMBER(FIND("overige",Methode_Keuze)),"",IF(Tb_Activiteiten[[#This Row],[Bijdrage in natura (vrijwilligers)]]=1,Tb_Activiteiten[[#Headers],[Bijdrage in natura (vrijwilligers)]],""))</f>
        <v/>
      </c>
      <c r="AX366" t="str">
        <f>IF(ISNUMBER(FIND("overige",Methode_Keuze)),"",IF(Tb_Activiteiten[[#This Row],[Afschrijvingskosten]]=1,Tb_Activiteiten[[#Headers],[Afschrijvingskosten]],""))</f>
        <v/>
      </c>
      <c r="AY366" t="str">
        <f>IF(ISNUMBER(FIND("overige",Methode_Keuze)),"",IF(Tb_Activiteiten[[#This Row],[Vergoeding]]=1,Tb_Activiteiten[[#Headers],[Vergoeding]],""))</f>
        <v/>
      </c>
      <c r="AZ366" t="str">
        <f>IF(ISNUMBER(FIND("arbeid",Methode_Keuze)),"",IF(Tb_Activiteiten[[#This Row],[Arbeidskosten - vast tarief (excl eigen arbeid)]]=1,Tb_Activiteiten[[#Headers],[Arbeidskosten - vast tarief (excl eigen arbeid)]],""))</f>
        <v/>
      </c>
      <c r="BA366" t="str">
        <f>IF(ISNUMBER(FIND("overige",Methode_Keuze)),"",IF(Tb_Activiteiten[[#This Row],[Overige kosten]]=1,Tb_Activiteiten[[#Headers],[Overige kosten]],""))</f>
        <v/>
      </c>
    </row>
    <row r="367" spans="1:53" x14ac:dyDescent="0.25">
      <c r="A367" s="231"/>
      <c r="F367" s="64"/>
      <c r="G367" s="64"/>
      <c r="H367" s="275"/>
      <c r="I367" s="275"/>
      <c r="J367" s="275"/>
      <c r="K367" s="275"/>
      <c r="O367" s="56"/>
      <c r="Q367" t="str">
        <f>IFERROR(IF(VLOOKUP(Tb_Activiteiten[[#This Row],[Openstelling]],Tb_Openstelling[],2,0)=1,1,""),"")</f>
        <v/>
      </c>
      <c r="AK367" t="str">
        <f>IF(ISNUMBER(FIND("arbeid",Methode_Keuze)),"",IF(ISNUMBER(FIND("arbeid",Methode_Keuze)),"",IF(Tb_Activiteiten[[#This Row],[Loonkosten]]=1,Tb_Activiteiten[[#Headers],[Loonkosten]],"")))</f>
        <v/>
      </c>
      <c r="AL367" t="str">
        <f>IF(ISNUMBER(FIND("arbeid",Methode_Keuze)),"",IF(ISNUMBER(FIND("arbeid",Methode_Keuze)),"",IF(Tb_Activiteiten[[#This Row],[Eigen arbeid]]=1,Tb_Activiteiten[[#Headers],[Eigen arbeid]],"")))</f>
        <v/>
      </c>
      <c r="AM367" t="str">
        <f>IF(ISNUMBER(FIND("arbeid",Methode_Keuze)),"",IF(ISNUMBER(FIND("arbeid",Methode_Keuze)),"",IF(Tb_Activiteiten[[#This Row],[Projectmedewerker]]=1,Tb_Activiteiten[[#Headers],[Projectmedewerker]],"")))</f>
        <v/>
      </c>
      <c r="AN367" t="str">
        <f>IF(ISNUMBER(FIND("arbeid",Methode_Keuze)),"",IF(ISNUMBER(FIND("arbeid",Methode_Keuze)),"",IF(Tb_Activiteiten[[#This Row],[Landbouwer]]=1,Tb_Activiteiten[[#Headers],[Landbouwer]],"")))</f>
        <v/>
      </c>
      <c r="AO367" t="str">
        <f>IF(ISNUMBER(FIND("arbeid",Methode_Keuze)),"",IF(ISNUMBER(FIND("arbeid",Methode_Keuze)),"",IF(Tb_Activiteiten[[#This Row],[Adviseur]]=1,Tb_Activiteiten[[#Headers],[Adviseur]],"")))</f>
        <v/>
      </c>
      <c r="AP367" t="str">
        <f>IF(ISNUMBER(FIND("arbeid",Methode_Keuze)),"",IF(ISNUMBER(FIND("arbeid",Methode_Keuze)),"",IF(Tb_Activiteiten[[#This Row],[Projectleider/Expert]]=1,Tb_Activiteiten[[#Headers],[Projectleider/Expert]],"")))</f>
        <v/>
      </c>
      <c r="AQ367" t="str">
        <f>IF(ISNUMBER(FIND("arbeid",Methode_Keuze)),"",IF(ISNUMBER(FIND("arbeid",Methode_Keuze)),"",IF(Tb_Activiteiten[[#This Row],[Arbeidskosten]]=1,Tb_Activiteiten[[#Headers],[Arbeidskosten]],"")))</f>
        <v/>
      </c>
      <c r="AR367" t="str">
        <f>IF(ISNUMBER(FIND("arbeid",Methode_Keuze)),"",IF(ISNUMBER(FIND("arbeid",Methode_Keuze)),"",IF(Tb_Activiteiten[[#This Row],[Arbeidskosten op basis van IKS]]=1,Tb_Activiteiten[[#Headers],[Arbeidskosten op basis van IKS]],"")))</f>
        <v/>
      </c>
      <c r="AS367" t="str">
        <f>IF(ISNUMBER(FIND("overige",Methode_Keuze)),"",IF(Tb_Activiteiten[[#This Row],[Kosten derden exclusief btw]]=1,Tb_Activiteiten[[#Headers],[Kosten derden exclusief btw]],""))</f>
        <v/>
      </c>
      <c r="AT367" t="str">
        <f>IF(ISNUMBER(FIND("overige",Methode_Keuze)),"",IF(Tb_Activiteiten[[#This Row],[Niet verrekenbare btw]]=1,Tb_Activiteiten[[#Headers],[Niet verrekenbare btw]],""))</f>
        <v/>
      </c>
      <c r="AU367" t="str">
        <f>IF(ISNUMBER(FIND("overige",Methode_Keuze)),"",IF(Tb_Activiteiten[[#This Row],[Grondkosten]]=1,Tb_Activiteiten[[#Headers],[Grondkosten]],""))</f>
        <v/>
      </c>
      <c r="AV367" t="str">
        <f>IF(ISNUMBER(FIND("overige",Methode_Keuze)),"",IF(Tb_Activiteiten[[#This Row],[Bijdrage in natura (overige)]]=1,Tb_Activiteiten[[#Headers],[Bijdrage in natura (overige)]],""))</f>
        <v/>
      </c>
      <c r="AW367" t="str">
        <f>IF(ISNUMBER(FIND("overige",Methode_Keuze)),"",IF(Tb_Activiteiten[[#This Row],[Bijdrage in natura (vrijwilligers)]]=1,Tb_Activiteiten[[#Headers],[Bijdrage in natura (vrijwilligers)]],""))</f>
        <v/>
      </c>
      <c r="AX367" t="str">
        <f>IF(ISNUMBER(FIND("overige",Methode_Keuze)),"",IF(Tb_Activiteiten[[#This Row],[Afschrijvingskosten]]=1,Tb_Activiteiten[[#Headers],[Afschrijvingskosten]],""))</f>
        <v/>
      </c>
      <c r="AY367" t="str">
        <f>IF(ISNUMBER(FIND("overige",Methode_Keuze)),"",IF(Tb_Activiteiten[[#This Row],[Vergoeding]]=1,Tb_Activiteiten[[#Headers],[Vergoeding]],""))</f>
        <v/>
      </c>
      <c r="AZ367" t="str">
        <f>IF(ISNUMBER(FIND("arbeid",Methode_Keuze)),"",IF(Tb_Activiteiten[[#This Row],[Arbeidskosten - vast tarief (excl eigen arbeid)]]=1,Tb_Activiteiten[[#Headers],[Arbeidskosten - vast tarief (excl eigen arbeid)]],""))</f>
        <v/>
      </c>
      <c r="BA367" t="str">
        <f>IF(ISNUMBER(FIND("overige",Methode_Keuze)),"",IF(Tb_Activiteiten[[#This Row],[Overige kosten]]=1,Tb_Activiteiten[[#Headers],[Overige kosten]],""))</f>
        <v/>
      </c>
    </row>
    <row r="368" spans="1:53" x14ac:dyDescent="0.25">
      <c r="A368" s="231"/>
      <c r="F368" s="64"/>
      <c r="G368" s="64"/>
      <c r="H368" s="275"/>
      <c r="I368" s="275"/>
      <c r="J368" s="275"/>
      <c r="K368" s="275"/>
      <c r="O368" s="56"/>
      <c r="Q368" t="str">
        <f>IFERROR(IF(VLOOKUP(Tb_Activiteiten[[#This Row],[Openstelling]],Tb_Openstelling[],2,0)=1,1,""),"")</f>
        <v/>
      </c>
      <c r="AK368" t="str">
        <f>IF(ISNUMBER(FIND("arbeid",Methode_Keuze)),"",IF(ISNUMBER(FIND("arbeid",Methode_Keuze)),"",IF(Tb_Activiteiten[[#This Row],[Loonkosten]]=1,Tb_Activiteiten[[#Headers],[Loonkosten]],"")))</f>
        <v/>
      </c>
      <c r="AL368" t="str">
        <f>IF(ISNUMBER(FIND("arbeid",Methode_Keuze)),"",IF(ISNUMBER(FIND("arbeid",Methode_Keuze)),"",IF(Tb_Activiteiten[[#This Row],[Eigen arbeid]]=1,Tb_Activiteiten[[#Headers],[Eigen arbeid]],"")))</f>
        <v/>
      </c>
      <c r="AM368" t="str">
        <f>IF(ISNUMBER(FIND("arbeid",Methode_Keuze)),"",IF(ISNUMBER(FIND("arbeid",Methode_Keuze)),"",IF(Tb_Activiteiten[[#This Row],[Projectmedewerker]]=1,Tb_Activiteiten[[#Headers],[Projectmedewerker]],"")))</f>
        <v/>
      </c>
      <c r="AN368" t="str">
        <f>IF(ISNUMBER(FIND("arbeid",Methode_Keuze)),"",IF(ISNUMBER(FIND("arbeid",Methode_Keuze)),"",IF(Tb_Activiteiten[[#This Row],[Landbouwer]]=1,Tb_Activiteiten[[#Headers],[Landbouwer]],"")))</f>
        <v/>
      </c>
      <c r="AO368" t="str">
        <f>IF(ISNUMBER(FIND("arbeid",Methode_Keuze)),"",IF(ISNUMBER(FIND("arbeid",Methode_Keuze)),"",IF(Tb_Activiteiten[[#This Row],[Adviseur]]=1,Tb_Activiteiten[[#Headers],[Adviseur]],"")))</f>
        <v/>
      </c>
      <c r="AP368" t="str">
        <f>IF(ISNUMBER(FIND("arbeid",Methode_Keuze)),"",IF(ISNUMBER(FIND("arbeid",Methode_Keuze)),"",IF(Tb_Activiteiten[[#This Row],[Projectleider/Expert]]=1,Tb_Activiteiten[[#Headers],[Projectleider/Expert]],"")))</f>
        <v/>
      </c>
      <c r="AQ368" t="str">
        <f>IF(ISNUMBER(FIND("arbeid",Methode_Keuze)),"",IF(ISNUMBER(FIND("arbeid",Methode_Keuze)),"",IF(Tb_Activiteiten[[#This Row],[Arbeidskosten]]=1,Tb_Activiteiten[[#Headers],[Arbeidskosten]],"")))</f>
        <v/>
      </c>
      <c r="AR368" t="str">
        <f>IF(ISNUMBER(FIND("arbeid",Methode_Keuze)),"",IF(ISNUMBER(FIND("arbeid",Methode_Keuze)),"",IF(Tb_Activiteiten[[#This Row],[Arbeidskosten op basis van IKS]]=1,Tb_Activiteiten[[#Headers],[Arbeidskosten op basis van IKS]],"")))</f>
        <v/>
      </c>
      <c r="AS368" t="str">
        <f>IF(ISNUMBER(FIND("overige",Methode_Keuze)),"",IF(Tb_Activiteiten[[#This Row],[Kosten derden exclusief btw]]=1,Tb_Activiteiten[[#Headers],[Kosten derden exclusief btw]],""))</f>
        <v/>
      </c>
      <c r="AT368" t="str">
        <f>IF(ISNUMBER(FIND("overige",Methode_Keuze)),"",IF(Tb_Activiteiten[[#This Row],[Niet verrekenbare btw]]=1,Tb_Activiteiten[[#Headers],[Niet verrekenbare btw]],""))</f>
        <v/>
      </c>
      <c r="AU368" t="str">
        <f>IF(ISNUMBER(FIND("overige",Methode_Keuze)),"",IF(Tb_Activiteiten[[#This Row],[Grondkosten]]=1,Tb_Activiteiten[[#Headers],[Grondkosten]],""))</f>
        <v/>
      </c>
      <c r="AV368" t="str">
        <f>IF(ISNUMBER(FIND("overige",Methode_Keuze)),"",IF(Tb_Activiteiten[[#This Row],[Bijdrage in natura (overige)]]=1,Tb_Activiteiten[[#Headers],[Bijdrage in natura (overige)]],""))</f>
        <v/>
      </c>
      <c r="AW368" t="str">
        <f>IF(ISNUMBER(FIND("overige",Methode_Keuze)),"",IF(Tb_Activiteiten[[#This Row],[Bijdrage in natura (vrijwilligers)]]=1,Tb_Activiteiten[[#Headers],[Bijdrage in natura (vrijwilligers)]],""))</f>
        <v/>
      </c>
      <c r="AX368" t="str">
        <f>IF(ISNUMBER(FIND("overige",Methode_Keuze)),"",IF(Tb_Activiteiten[[#This Row],[Afschrijvingskosten]]=1,Tb_Activiteiten[[#Headers],[Afschrijvingskosten]],""))</f>
        <v/>
      </c>
      <c r="AY368" t="str">
        <f>IF(ISNUMBER(FIND("overige",Methode_Keuze)),"",IF(Tb_Activiteiten[[#This Row],[Vergoeding]]=1,Tb_Activiteiten[[#Headers],[Vergoeding]],""))</f>
        <v/>
      </c>
      <c r="AZ368" t="str">
        <f>IF(ISNUMBER(FIND("arbeid",Methode_Keuze)),"",IF(Tb_Activiteiten[[#This Row],[Arbeidskosten - vast tarief (excl eigen arbeid)]]=1,Tb_Activiteiten[[#Headers],[Arbeidskosten - vast tarief (excl eigen arbeid)]],""))</f>
        <v/>
      </c>
      <c r="BA368" t="str">
        <f>IF(ISNUMBER(FIND("overige",Methode_Keuze)),"",IF(Tb_Activiteiten[[#This Row],[Overige kosten]]=1,Tb_Activiteiten[[#Headers],[Overige kosten]],""))</f>
        <v/>
      </c>
    </row>
    <row r="369" spans="1:53" x14ac:dyDescent="0.25">
      <c r="A369" s="231"/>
      <c r="F369" s="64"/>
      <c r="G369" s="64"/>
      <c r="H369" s="275"/>
      <c r="I369" s="275"/>
      <c r="J369" s="275"/>
      <c r="K369" s="275"/>
      <c r="O369" s="56"/>
      <c r="Q369" t="str">
        <f>IFERROR(IF(VLOOKUP(Tb_Activiteiten[[#This Row],[Openstelling]],Tb_Openstelling[],2,0)=1,1,""),"")</f>
        <v/>
      </c>
      <c r="AK369" t="str">
        <f>IF(ISNUMBER(FIND("arbeid",Methode_Keuze)),"",IF(ISNUMBER(FIND("arbeid",Methode_Keuze)),"",IF(Tb_Activiteiten[[#This Row],[Loonkosten]]=1,Tb_Activiteiten[[#Headers],[Loonkosten]],"")))</f>
        <v/>
      </c>
      <c r="AL369" t="str">
        <f>IF(ISNUMBER(FIND("arbeid",Methode_Keuze)),"",IF(ISNUMBER(FIND("arbeid",Methode_Keuze)),"",IF(Tb_Activiteiten[[#This Row],[Eigen arbeid]]=1,Tb_Activiteiten[[#Headers],[Eigen arbeid]],"")))</f>
        <v/>
      </c>
      <c r="AM369" t="str">
        <f>IF(ISNUMBER(FIND("arbeid",Methode_Keuze)),"",IF(ISNUMBER(FIND("arbeid",Methode_Keuze)),"",IF(Tb_Activiteiten[[#This Row],[Projectmedewerker]]=1,Tb_Activiteiten[[#Headers],[Projectmedewerker]],"")))</f>
        <v/>
      </c>
      <c r="AN369" t="str">
        <f>IF(ISNUMBER(FIND("arbeid",Methode_Keuze)),"",IF(ISNUMBER(FIND("arbeid",Methode_Keuze)),"",IF(Tb_Activiteiten[[#This Row],[Landbouwer]]=1,Tb_Activiteiten[[#Headers],[Landbouwer]],"")))</f>
        <v/>
      </c>
      <c r="AO369" t="str">
        <f>IF(ISNUMBER(FIND("arbeid",Methode_Keuze)),"",IF(ISNUMBER(FIND("arbeid",Methode_Keuze)),"",IF(Tb_Activiteiten[[#This Row],[Adviseur]]=1,Tb_Activiteiten[[#Headers],[Adviseur]],"")))</f>
        <v/>
      </c>
      <c r="AP369" t="str">
        <f>IF(ISNUMBER(FIND("arbeid",Methode_Keuze)),"",IF(ISNUMBER(FIND("arbeid",Methode_Keuze)),"",IF(Tb_Activiteiten[[#This Row],[Projectleider/Expert]]=1,Tb_Activiteiten[[#Headers],[Projectleider/Expert]],"")))</f>
        <v/>
      </c>
      <c r="AQ369" t="str">
        <f>IF(ISNUMBER(FIND("arbeid",Methode_Keuze)),"",IF(ISNUMBER(FIND("arbeid",Methode_Keuze)),"",IF(Tb_Activiteiten[[#This Row],[Arbeidskosten]]=1,Tb_Activiteiten[[#Headers],[Arbeidskosten]],"")))</f>
        <v/>
      </c>
      <c r="AR369" t="str">
        <f>IF(ISNUMBER(FIND("arbeid",Methode_Keuze)),"",IF(ISNUMBER(FIND("arbeid",Methode_Keuze)),"",IF(Tb_Activiteiten[[#This Row],[Arbeidskosten op basis van IKS]]=1,Tb_Activiteiten[[#Headers],[Arbeidskosten op basis van IKS]],"")))</f>
        <v/>
      </c>
      <c r="AS369" t="str">
        <f>IF(ISNUMBER(FIND("overige",Methode_Keuze)),"",IF(Tb_Activiteiten[[#This Row],[Kosten derden exclusief btw]]=1,Tb_Activiteiten[[#Headers],[Kosten derden exclusief btw]],""))</f>
        <v/>
      </c>
      <c r="AT369" t="str">
        <f>IF(ISNUMBER(FIND("overige",Methode_Keuze)),"",IF(Tb_Activiteiten[[#This Row],[Niet verrekenbare btw]]=1,Tb_Activiteiten[[#Headers],[Niet verrekenbare btw]],""))</f>
        <v/>
      </c>
      <c r="AU369" t="str">
        <f>IF(ISNUMBER(FIND("overige",Methode_Keuze)),"",IF(Tb_Activiteiten[[#This Row],[Grondkosten]]=1,Tb_Activiteiten[[#Headers],[Grondkosten]],""))</f>
        <v/>
      </c>
      <c r="AV369" t="str">
        <f>IF(ISNUMBER(FIND("overige",Methode_Keuze)),"",IF(Tb_Activiteiten[[#This Row],[Bijdrage in natura (overige)]]=1,Tb_Activiteiten[[#Headers],[Bijdrage in natura (overige)]],""))</f>
        <v/>
      </c>
      <c r="AW369" t="str">
        <f>IF(ISNUMBER(FIND("overige",Methode_Keuze)),"",IF(Tb_Activiteiten[[#This Row],[Bijdrage in natura (vrijwilligers)]]=1,Tb_Activiteiten[[#Headers],[Bijdrage in natura (vrijwilligers)]],""))</f>
        <v/>
      </c>
      <c r="AX369" t="str">
        <f>IF(ISNUMBER(FIND("overige",Methode_Keuze)),"",IF(Tb_Activiteiten[[#This Row],[Afschrijvingskosten]]=1,Tb_Activiteiten[[#Headers],[Afschrijvingskosten]],""))</f>
        <v/>
      </c>
      <c r="AY369" t="str">
        <f>IF(ISNUMBER(FIND("overige",Methode_Keuze)),"",IF(Tb_Activiteiten[[#This Row],[Vergoeding]]=1,Tb_Activiteiten[[#Headers],[Vergoeding]],""))</f>
        <v/>
      </c>
      <c r="AZ369" t="str">
        <f>IF(ISNUMBER(FIND("arbeid",Methode_Keuze)),"",IF(Tb_Activiteiten[[#This Row],[Arbeidskosten - vast tarief (excl eigen arbeid)]]=1,Tb_Activiteiten[[#Headers],[Arbeidskosten - vast tarief (excl eigen arbeid)]],""))</f>
        <v/>
      </c>
      <c r="BA369" t="str">
        <f>IF(ISNUMBER(FIND("overige",Methode_Keuze)),"",IF(Tb_Activiteiten[[#This Row],[Overige kosten]]=1,Tb_Activiteiten[[#Headers],[Overige kosten]],""))</f>
        <v/>
      </c>
    </row>
    <row r="370" spans="1:53" x14ac:dyDescent="0.25">
      <c r="A370" s="231"/>
      <c r="F370" s="64"/>
      <c r="G370" s="64"/>
      <c r="H370" s="275"/>
      <c r="I370" s="275"/>
      <c r="J370" s="275"/>
      <c r="K370" s="275"/>
      <c r="O370" s="56"/>
      <c r="Q370" t="str">
        <f>IFERROR(IF(VLOOKUP(Tb_Activiteiten[[#This Row],[Openstelling]],Tb_Openstelling[],2,0)=1,1,""),"")</f>
        <v/>
      </c>
      <c r="AK370" t="str">
        <f>IF(ISNUMBER(FIND("arbeid",Methode_Keuze)),"",IF(ISNUMBER(FIND("arbeid",Methode_Keuze)),"",IF(Tb_Activiteiten[[#This Row],[Loonkosten]]=1,Tb_Activiteiten[[#Headers],[Loonkosten]],"")))</f>
        <v/>
      </c>
      <c r="AL370" t="str">
        <f>IF(ISNUMBER(FIND("arbeid",Methode_Keuze)),"",IF(ISNUMBER(FIND("arbeid",Methode_Keuze)),"",IF(Tb_Activiteiten[[#This Row],[Eigen arbeid]]=1,Tb_Activiteiten[[#Headers],[Eigen arbeid]],"")))</f>
        <v/>
      </c>
      <c r="AM370" t="str">
        <f>IF(ISNUMBER(FIND("arbeid",Methode_Keuze)),"",IF(ISNUMBER(FIND("arbeid",Methode_Keuze)),"",IF(Tb_Activiteiten[[#This Row],[Projectmedewerker]]=1,Tb_Activiteiten[[#Headers],[Projectmedewerker]],"")))</f>
        <v/>
      </c>
      <c r="AN370" t="str">
        <f>IF(ISNUMBER(FIND("arbeid",Methode_Keuze)),"",IF(ISNUMBER(FIND("arbeid",Methode_Keuze)),"",IF(Tb_Activiteiten[[#This Row],[Landbouwer]]=1,Tb_Activiteiten[[#Headers],[Landbouwer]],"")))</f>
        <v/>
      </c>
      <c r="AO370" t="str">
        <f>IF(ISNUMBER(FIND("arbeid",Methode_Keuze)),"",IF(ISNUMBER(FIND("arbeid",Methode_Keuze)),"",IF(Tb_Activiteiten[[#This Row],[Adviseur]]=1,Tb_Activiteiten[[#Headers],[Adviseur]],"")))</f>
        <v/>
      </c>
      <c r="AP370" t="str">
        <f>IF(ISNUMBER(FIND("arbeid",Methode_Keuze)),"",IF(ISNUMBER(FIND("arbeid",Methode_Keuze)),"",IF(Tb_Activiteiten[[#This Row],[Projectleider/Expert]]=1,Tb_Activiteiten[[#Headers],[Projectleider/Expert]],"")))</f>
        <v/>
      </c>
      <c r="AQ370" t="str">
        <f>IF(ISNUMBER(FIND("arbeid",Methode_Keuze)),"",IF(ISNUMBER(FIND("arbeid",Methode_Keuze)),"",IF(Tb_Activiteiten[[#This Row],[Arbeidskosten]]=1,Tb_Activiteiten[[#Headers],[Arbeidskosten]],"")))</f>
        <v/>
      </c>
      <c r="AR370" t="str">
        <f>IF(ISNUMBER(FIND("arbeid",Methode_Keuze)),"",IF(ISNUMBER(FIND("arbeid",Methode_Keuze)),"",IF(Tb_Activiteiten[[#This Row],[Arbeidskosten op basis van IKS]]=1,Tb_Activiteiten[[#Headers],[Arbeidskosten op basis van IKS]],"")))</f>
        <v/>
      </c>
      <c r="AS370" t="str">
        <f>IF(ISNUMBER(FIND("overige",Methode_Keuze)),"",IF(Tb_Activiteiten[[#This Row],[Kosten derden exclusief btw]]=1,Tb_Activiteiten[[#Headers],[Kosten derden exclusief btw]],""))</f>
        <v/>
      </c>
      <c r="AT370" t="str">
        <f>IF(ISNUMBER(FIND("overige",Methode_Keuze)),"",IF(Tb_Activiteiten[[#This Row],[Niet verrekenbare btw]]=1,Tb_Activiteiten[[#Headers],[Niet verrekenbare btw]],""))</f>
        <v/>
      </c>
      <c r="AU370" t="str">
        <f>IF(ISNUMBER(FIND("overige",Methode_Keuze)),"",IF(Tb_Activiteiten[[#This Row],[Grondkosten]]=1,Tb_Activiteiten[[#Headers],[Grondkosten]],""))</f>
        <v/>
      </c>
      <c r="AV370" t="str">
        <f>IF(ISNUMBER(FIND("overige",Methode_Keuze)),"",IF(Tb_Activiteiten[[#This Row],[Bijdrage in natura (overige)]]=1,Tb_Activiteiten[[#Headers],[Bijdrage in natura (overige)]],""))</f>
        <v/>
      </c>
      <c r="AW370" t="str">
        <f>IF(ISNUMBER(FIND("overige",Methode_Keuze)),"",IF(Tb_Activiteiten[[#This Row],[Bijdrage in natura (vrijwilligers)]]=1,Tb_Activiteiten[[#Headers],[Bijdrage in natura (vrijwilligers)]],""))</f>
        <v/>
      </c>
      <c r="AX370" t="str">
        <f>IF(ISNUMBER(FIND("overige",Methode_Keuze)),"",IF(Tb_Activiteiten[[#This Row],[Afschrijvingskosten]]=1,Tb_Activiteiten[[#Headers],[Afschrijvingskosten]],""))</f>
        <v/>
      </c>
      <c r="AY370" t="str">
        <f>IF(ISNUMBER(FIND("overige",Methode_Keuze)),"",IF(Tb_Activiteiten[[#This Row],[Vergoeding]]=1,Tb_Activiteiten[[#Headers],[Vergoeding]],""))</f>
        <v/>
      </c>
      <c r="AZ370" t="str">
        <f>IF(ISNUMBER(FIND("arbeid",Methode_Keuze)),"",IF(Tb_Activiteiten[[#This Row],[Arbeidskosten - vast tarief (excl eigen arbeid)]]=1,Tb_Activiteiten[[#Headers],[Arbeidskosten - vast tarief (excl eigen arbeid)]],""))</f>
        <v/>
      </c>
      <c r="BA370" t="str">
        <f>IF(ISNUMBER(FIND("overige",Methode_Keuze)),"",IF(Tb_Activiteiten[[#This Row],[Overige kosten]]=1,Tb_Activiteiten[[#Headers],[Overige kosten]],""))</f>
        <v/>
      </c>
    </row>
    <row r="371" spans="1:53" x14ac:dyDescent="0.25">
      <c r="A371" s="231"/>
      <c r="F371" s="64"/>
      <c r="G371" s="64"/>
      <c r="H371" s="275"/>
      <c r="I371" s="275"/>
      <c r="J371" s="275"/>
      <c r="K371" s="275"/>
      <c r="O371" s="56"/>
      <c r="Q371" t="str">
        <f>IFERROR(IF(VLOOKUP(Tb_Activiteiten[[#This Row],[Openstelling]],Tb_Openstelling[],2,0)=1,1,""),"")</f>
        <v/>
      </c>
      <c r="AK371" t="str">
        <f>IF(ISNUMBER(FIND("arbeid",Methode_Keuze)),"",IF(ISNUMBER(FIND("arbeid",Methode_Keuze)),"",IF(Tb_Activiteiten[[#This Row],[Loonkosten]]=1,Tb_Activiteiten[[#Headers],[Loonkosten]],"")))</f>
        <v/>
      </c>
      <c r="AL371" t="str">
        <f>IF(ISNUMBER(FIND("arbeid",Methode_Keuze)),"",IF(ISNUMBER(FIND("arbeid",Methode_Keuze)),"",IF(Tb_Activiteiten[[#This Row],[Eigen arbeid]]=1,Tb_Activiteiten[[#Headers],[Eigen arbeid]],"")))</f>
        <v/>
      </c>
      <c r="AM371" t="str">
        <f>IF(ISNUMBER(FIND("arbeid",Methode_Keuze)),"",IF(ISNUMBER(FIND("arbeid",Methode_Keuze)),"",IF(Tb_Activiteiten[[#This Row],[Projectmedewerker]]=1,Tb_Activiteiten[[#Headers],[Projectmedewerker]],"")))</f>
        <v/>
      </c>
      <c r="AN371" t="str">
        <f>IF(ISNUMBER(FIND("arbeid",Methode_Keuze)),"",IF(ISNUMBER(FIND("arbeid",Methode_Keuze)),"",IF(Tb_Activiteiten[[#This Row],[Landbouwer]]=1,Tb_Activiteiten[[#Headers],[Landbouwer]],"")))</f>
        <v/>
      </c>
      <c r="AO371" t="str">
        <f>IF(ISNUMBER(FIND("arbeid",Methode_Keuze)),"",IF(ISNUMBER(FIND("arbeid",Methode_Keuze)),"",IF(Tb_Activiteiten[[#This Row],[Adviseur]]=1,Tb_Activiteiten[[#Headers],[Adviseur]],"")))</f>
        <v/>
      </c>
      <c r="AP371" t="str">
        <f>IF(ISNUMBER(FIND("arbeid",Methode_Keuze)),"",IF(ISNUMBER(FIND("arbeid",Methode_Keuze)),"",IF(Tb_Activiteiten[[#This Row],[Projectleider/Expert]]=1,Tb_Activiteiten[[#Headers],[Projectleider/Expert]],"")))</f>
        <v/>
      </c>
      <c r="AQ371" t="str">
        <f>IF(ISNUMBER(FIND("arbeid",Methode_Keuze)),"",IF(ISNUMBER(FIND("arbeid",Methode_Keuze)),"",IF(Tb_Activiteiten[[#This Row],[Arbeidskosten]]=1,Tb_Activiteiten[[#Headers],[Arbeidskosten]],"")))</f>
        <v/>
      </c>
      <c r="AR371" t="str">
        <f>IF(ISNUMBER(FIND("arbeid",Methode_Keuze)),"",IF(ISNUMBER(FIND("arbeid",Methode_Keuze)),"",IF(Tb_Activiteiten[[#This Row],[Arbeidskosten op basis van IKS]]=1,Tb_Activiteiten[[#Headers],[Arbeidskosten op basis van IKS]],"")))</f>
        <v/>
      </c>
      <c r="AS371" t="str">
        <f>IF(ISNUMBER(FIND("overige",Methode_Keuze)),"",IF(Tb_Activiteiten[[#This Row],[Kosten derden exclusief btw]]=1,Tb_Activiteiten[[#Headers],[Kosten derden exclusief btw]],""))</f>
        <v/>
      </c>
      <c r="AT371" t="str">
        <f>IF(ISNUMBER(FIND("overige",Methode_Keuze)),"",IF(Tb_Activiteiten[[#This Row],[Niet verrekenbare btw]]=1,Tb_Activiteiten[[#Headers],[Niet verrekenbare btw]],""))</f>
        <v/>
      </c>
      <c r="AU371" t="str">
        <f>IF(ISNUMBER(FIND("overige",Methode_Keuze)),"",IF(Tb_Activiteiten[[#This Row],[Grondkosten]]=1,Tb_Activiteiten[[#Headers],[Grondkosten]],""))</f>
        <v/>
      </c>
      <c r="AV371" t="str">
        <f>IF(ISNUMBER(FIND("overige",Methode_Keuze)),"",IF(Tb_Activiteiten[[#This Row],[Bijdrage in natura (overige)]]=1,Tb_Activiteiten[[#Headers],[Bijdrage in natura (overige)]],""))</f>
        <v/>
      </c>
      <c r="AW371" t="str">
        <f>IF(ISNUMBER(FIND("overige",Methode_Keuze)),"",IF(Tb_Activiteiten[[#This Row],[Bijdrage in natura (vrijwilligers)]]=1,Tb_Activiteiten[[#Headers],[Bijdrage in natura (vrijwilligers)]],""))</f>
        <v/>
      </c>
      <c r="AX371" t="str">
        <f>IF(ISNUMBER(FIND("overige",Methode_Keuze)),"",IF(Tb_Activiteiten[[#This Row],[Afschrijvingskosten]]=1,Tb_Activiteiten[[#Headers],[Afschrijvingskosten]],""))</f>
        <v/>
      </c>
      <c r="AY371" t="str">
        <f>IF(ISNUMBER(FIND("overige",Methode_Keuze)),"",IF(Tb_Activiteiten[[#This Row],[Vergoeding]]=1,Tb_Activiteiten[[#Headers],[Vergoeding]],""))</f>
        <v/>
      </c>
      <c r="AZ371" t="str">
        <f>IF(ISNUMBER(FIND("arbeid",Methode_Keuze)),"",IF(Tb_Activiteiten[[#This Row],[Arbeidskosten - vast tarief (excl eigen arbeid)]]=1,Tb_Activiteiten[[#Headers],[Arbeidskosten - vast tarief (excl eigen arbeid)]],""))</f>
        <v/>
      </c>
      <c r="BA371" t="str">
        <f>IF(ISNUMBER(FIND("overige",Methode_Keuze)),"",IF(Tb_Activiteiten[[#This Row],[Overige kosten]]=1,Tb_Activiteiten[[#Headers],[Overige kosten]],""))</f>
        <v/>
      </c>
    </row>
    <row r="372" spans="1:53" x14ac:dyDescent="0.25">
      <c r="A372" s="231"/>
      <c r="F372" s="64"/>
      <c r="G372" s="64"/>
      <c r="H372" s="275"/>
      <c r="I372" s="275"/>
      <c r="J372" s="275"/>
      <c r="K372" s="275"/>
      <c r="O372" s="56"/>
      <c r="Q372" t="str">
        <f>IFERROR(IF(VLOOKUP(Tb_Activiteiten[[#This Row],[Openstelling]],Tb_Openstelling[],2,0)=1,1,""),"")</f>
        <v/>
      </c>
      <c r="AK372" t="str">
        <f>IF(ISNUMBER(FIND("arbeid",Methode_Keuze)),"",IF(ISNUMBER(FIND("arbeid",Methode_Keuze)),"",IF(Tb_Activiteiten[[#This Row],[Loonkosten]]=1,Tb_Activiteiten[[#Headers],[Loonkosten]],"")))</f>
        <v/>
      </c>
      <c r="AL372" t="str">
        <f>IF(ISNUMBER(FIND("arbeid",Methode_Keuze)),"",IF(ISNUMBER(FIND("arbeid",Methode_Keuze)),"",IF(Tb_Activiteiten[[#This Row],[Eigen arbeid]]=1,Tb_Activiteiten[[#Headers],[Eigen arbeid]],"")))</f>
        <v/>
      </c>
      <c r="AM372" t="str">
        <f>IF(ISNUMBER(FIND("arbeid",Methode_Keuze)),"",IF(ISNUMBER(FIND("arbeid",Methode_Keuze)),"",IF(Tb_Activiteiten[[#This Row],[Projectmedewerker]]=1,Tb_Activiteiten[[#Headers],[Projectmedewerker]],"")))</f>
        <v/>
      </c>
      <c r="AN372" t="str">
        <f>IF(ISNUMBER(FIND("arbeid",Methode_Keuze)),"",IF(ISNUMBER(FIND("arbeid",Methode_Keuze)),"",IF(Tb_Activiteiten[[#This Row],[Landbouwer]]=1,Tb_Activiteiten[[#Headers],[Landbouwer]],"")))</f>
        <v/>
      </c>
      <c r="AO372" t="str">
        <f>IF(ISNUMBER(FIND("arbeid",Methode_Keuze)),"",IF(ISNUMBER(FIND("arbeid",Methode_Keuze)),"",IF(Tb_Activiteiten[[#This Row],[Adviseur]]=1,Tb_Activiteiten[[#Headers],[Adviseur]],"")))</f>
        <v/>
      </c>
      <c r="AP372" t="str">
        <f>IF(ISNUMBER(FIND("arbeid",Methode_Keuze)),"",IF(ISNUMBER(FIND("arbeid",Methode_Keuze)),"",IF(Tb_Activiteiten[[#This Row],[Projectleider/Expert]]=1,Tb_Activiteiten[[#Headers],[Projectleider/Expert]],"")))</f>
        <v/>
      </c>
      <c r="AQ372" t="str">
        <f>IF(ISNUMBER(FIND("arbeid",Methode_Keuze)),"",IF(ISNUMBER(FIND("arbeid",Methode_Keuze)),"",IF(Tb_Activiteiten[[#This Row],[Arbeidskosten]]=1,Tb_Activiteiten[[#Headers],[Arbeidskosten]],"")))</f>
        <v/>
      </c>
      <c r="AR372" t="str">
        <f>IF(ISNUMBER(FIND("arbeid",Methode_Keuze)),"",IF(ISNUMBER(FIND("arbeid",Methode_Keuze)),"",IF(Tb_Activiteiten[[#This Row],[Arbeidskosten op basis van IKS]]=1,Tb_Activiteiten[[#Headers],[Arbeidskosten op basis van IKS]],"")))</f>
        <v/>
      </c>
      <c r="AS372" t="str">
        <f>IF(ISNUMBER(FIND("overige",Methode_Keuze)),"",IF(Tb_Activiteiten[[#This Row],[Kosten derden exclusief btw]]=1,Tb_Activiteiten[[#Headers],[Kosten derden exclusief btw]],""))</f>
        <v/>
      </c>
      <c r="AT372" t="str">
        <f>IF(ISNUMBER(FIND("overige",Methode_Keuze)),"",IF(Tb_Activiteiten[[#This Row],[Niet verrekenbare btw]]=1,Tb_Activiteiten[[#Headers],[Niet verrekenbare btw]],""))</f>
        <v/>
      </c>
      <c r="AU372" t="str">
        <f>IF(ISNUMBER(FIND("overige",Methode_Keuze)),"",IF(Tb_Activiteiten[[#This Row],[Grondkosten]]=1,Tb_Activiteiten[[#Headers],[Grondkosten]],""))</f>
        <v/>
      </c>
      <c r="AV372" t="str">
        <f>IF(ISNUMBER(FIND("overige",Methode_Keuze)),"",IF(Tb_Activiteiten[[#This Row],[Bijdrage in natura (overige)]]=1,Tb_Activiteiten[[#Headers],[Bijdrage in natura (overige)]],""))</f>
        <v/>
      </c>
      <c r="AW372" t="str">
        <f>IF(ISNUMBER(FIND("overige",Methode_Keuze)),"",IF(Tb_Activiteiten[[#This Row],[Bijdrage in natura (vrijwilligers)]]=1,Tb_Activiteiten[[#Headers],[Bijdrage in natura (vrijwilligers)]],""))</f>
        <v/>
      </c>
      <c r="AX372" t="str">
        <f>IF(ISNUMBER(FIND("overige",Methode_Keuze)),"",IF(Tb_Activiteiten[[#This Row],[Afschrijvingskosten]]=1,Tb_Activiteiten[[#Headers],[Afschrijvingskosten]],""))</f>
        <v/>
      </c>
      <c r="AY372" t="str">
        <f>IF(ISNUMBER(FIND("overige",Methode_Keuze)),"",IF(Tb_Activiteiten[[#This Row],[Vergoeding]]=1,Tb_Activiteiten[[#Headers],[Vergoeding]],""))</f>
        <v/>
      </c>
      <c r="AZ372" t="str">
        <f>IF(ISNUMBER(FIND("arbeid",Methode_Keuze)),"",IF(Tb_Activiteiten[[#This Row],[Arbeidskosten - vast tarief (excl eigen arbeid)]]=1,Tb_Activiteiten[[#Headers],[Arbeidskosten - vast tarief (excl eigen arbeid)]],""))</f>
        <v/>
      </c>
      <c r="BA372" t="str">
        <f>IF(ISNUMBER(FIND("overige",Methode_Keuze)),"",IF(Tb_Activiteiten[[#This Row],[Overige kosten]]=1,Tb_Activiteiten[[#Headers],[Overige kosten]],""))</f>
        <v/>
      </c>
    </row>
    <row r="373" spans="1:53" x14ac:dyDescent="0.25">
      <c r="A373" s="231"/>
      <c r="F373" s="64"/>
      <c r="G373" s="64"/>
      <c r="H373" s="275"/>
      <c r="I373" s="275"/>
      <c r="J373" s="275"/>
      <c r="K373" s="275"/>
      <c r="O373" s="56"/>
      <c r="Q373" t="str">
        <f>IFERROR(IF(VLOOKUP(Tb_Activiteiten[[#This Row],[Openstelling]],Tb_Openstelling[],2,0)=1,1,""),"")</f>
        <v/>
      </c>
      <c r="AK373" t="str">
        <f>IF(ISNUMBER(FIND("arbeid",Methode_Keuze)),"",IF(ISNUMBER(FIND("arbeid",Methode_Keuze)),"",IF(Tb_Activiteiten[[#This Row],[Loonkosten]]=1,Tb_Activiteiten[[#Headers],[Loonkosten]],"")))</f>
        <v/>
      </c>
      <c r="AL373" t="str">
        <f>IF(ISNUMBER(FIND("arbeid",Methode_Keuze)),"",IF(ISNUMBER(FIND("arbeid",Methode_Keuze)),"",IF(Tb_Activiteiten[[#This Row],[Eigen arbeid]]=1,Tb_Activiteiten[[#Headers],[Eigen arbeid]],"")))</f>
        <v/>
      </c>
      <c r="AM373" t="str">
        <f>IF(ISNUMBER(FIND("arbeid",Methode_Keuze)),"",IF(ISNUMBER(FIND("arbeid",Methode_Keuze)),"",IF(Tb_Activiteiten[[#This Row],[Projectmedewerker]]=1,Tb_Activiteiten[[#Headers],[Projectmedewerker]],"")))</f>
        <v/>
      </c>
      <c r="AN373" t="str">
        <f>IF(ISNUMBER(FIND("arbeid",Methode_Keuze)),"",IF(ISNUMBER(FIND("arbeid",Methode_Keuze)),"",IF(Tb_Activiteiten[[#This Row],[Landbouwer]]=1,Tb_Activiteiten[[#Headers],[Landbouwer]],"")))</f>
        <v/>
      </c>
      <c r="AO373" t="str">
        <f>IF(ISNUMBER(FIND("arbeid",Methode_Keuze)),"",IF(ISNUMBER(FIND("arbeid",Methode_Keuze)),"",IF(Tb_Activiteiten[[#This Row],[Adviseur]]=1,Tb_Activiteiten[[#Headers],[Adviseur]],"")))</f>
        <v/>
      </c>
      <c r="AP373" t="str">
        <f>IF(ISNUMBER(FIND("arbeid",Methode_Keuze)),"",IF(ISNUMBER(FIND("arbeid",Methode_Keuze)),"",IF(Tb_Activiteiten[[#This Row],[Projectleider/Expert]]=1,Tb_Activiteiten[[#Headers],[Projectleider/Expert]],"")))</f>
        <v/>
      </c>
      <c r="AQ373" t="str">
        <f>IF(ISNUMBER(FIND("arbeid",Methode_Keuze)),"",IF(ISNUMBER(FIND("arbeid",Methode_Keuze)),"",IF(Tb_Activiteiten[[#This Row],[Arbeidskosten]]=1,Tb_Activiteiten[[#Headers],[Arbeidskosten]],"")))</f>
        <v/>
      </c>
      <c r="AR373" t="str">
        <f>IF(ISNUMBER(FIND("arbeid",Methode_Keuze)),"",IF(ISNUMBER(FIND("arbeid",Methode_Keuze)),"",IF(Tb_Activiteiten[[#This Row],[Arbeidskosten op basis van IKS]]=1,Tb_Activiteiten[[#Headers],[Arbeidskosten op basis van IKS]],"")))</f>
        <v/>
      </c>
      <c r="AS373" t="str">
        <f>IF(ISNUMBER(FIND("overige",Methode_Keuze)),"",IF(Tb_Activiteiten[[#This Row],[Kosten derden exclusief btw]]=1,Tb_Activiteiten[[#Headers],[Kosten derden exclusief btw]],""))</f>
        <v/>
      </c>
      <c r="AT373" t="str">
        <f>IF(ISNUMBER(FIND("overige",Methode_Keuze)),"",IF(Tb_Activiteiten[[#This Row],[Niet verrekenbare btw]]=1,Tb_Activiteiten[[#Headers],[Niet verrekenbare btw]],""))</f>
        <v/>
      </c>
      <c r="AU373" t="str">
        <f>IF(ISNUMBER(FIND("overige",Methode_Keuze)),"",IF(Tb_Activiteiten[[#This Row],[Grondkosten]]=1,Tb_Activiteiten[[#Headers],[Grondkosten]],""))</f>
        <v/>
      </c>
      <c r="AV373" t="str">
        <f>IF(ISNUMBER(FIND("overige",Methode_Keuze)),"",IF(Tb_Activiteiten[[#This Row],[Bijdrage in natura (overige)]]=1,Tb_Activiteiten[[#Headers],[Bijdrage in natura (overige)]],""))</f>
        <v/>
      </c>
      <c r="AW373" t="str">
        <f>IF(ISNUMBER(FIND("overige",Methode_Keuze)),"",IF(Tb_Activiteiten[[#This Row],[Bijdrage in natura (vrijwilligers)]]=1,Tb_Activiteiten[[#Headers],[Bijdrage in natura (vrijwilligers)]],""))</f>
        <v/>
      </c>
      <c r="AX373" t="str">
        <f>IF(ISNUMBER(FIND("overige",Methode_Keuze)),"",IF(Tb_Activiteiten[[#This Row],[Afschrijvingskosten]]=1,Tb_Activiteiten[[#Headers],[Afschrijvingskosten]],""))</f>
        <v/>
      </c>
      <c r="AY373" t="str">
        <f>IF(ISNUMBER(FIND("overige",Methode_Keuze)),"",IF(Tb_Activiteiten[[#This Row],[Vergoeding]]=1,Tb_Activiteiten[[#Headers],[Vergoeding]],""))</f>
        <v/>
      </c>
      <c r="AZ373" t="str">
        <f>IF(ISNUMBER(FIND("arbeid",Methode_Keuze)),"",IF(Tb_Activiteiten[[#This Row],[Arbeidskosten - vast tarief (excl eigen arbeid)]]=1,Tb_Activiteiten[[#Headers],[Arbeidskosten - vast tarief (excl eigen arbeid)]],""))</f>
        <v/>
      </c>
      <c r="BA373" t="str">
        <f>IF(ISNUMBER(FIND("overige",Methode_Keuze)),"",IF(Tb_Activiteiten[[#This Row],[Overige kosten]]=1,Tb_Activiteiten[[#Headers],[Overige kosten]],""))</f>
        <v/>
      </c>
    </row>
    <row r="374" spans="1:53" x14ac:dyDescent="0.25">
      <c r="A374" s="231"/>
      <c r="F374" s="64"/>
      <c r="G374" s="64"/>
      <c r="H374" s="275"/>
      <c r="I374" s="275"/>
      <c r="J374" s="275"/>
      <c r="K374" s="275"/>
      <c r="O374" s="56"/>
      <c r="Q374" t="str">
        <f>IFERROR(IF(VLOOKUP(Tb_Activiteiten[[#This Row],[Openstelling]],Tb_Openstelling[],2,0)=1,1,""),"")</f>
        <v/>
      </c>
      <c r="AK374" t="str">
        <f>IF(ISNUMBER(FIND("arbeid",Methode_Keuze)),"",IF(ISNUMBER(FIND("arbeid",Methode_Keuze)),"",IF(Tb_Activiteiten[[#This Row],[Loonkosten]]=1,Tb_Activiteiten[[#Headers],[Loonkosten]],"")))</f>
        <v/>
      </c>
      <c r="AL374" t="str">
        <f>IF(ISNUMBER(FIND("arbeid",Methode_Keuze)),"",IF(ISNUMBER(FIND("arbeid",Methode_Keuze)),"",IF(Tb_Activiteiten[[#This Row],[Eigen arbeid]]=1,Tb_Activiteiten[[#Headers],[Eigen arbeid]],"")))</f>
        <v/>
      </c>
      <c r="AM374" t="str">
        <f>IF(ISNUMBER(FIND("arbeid",Methode_Keuze)),"",IF(ISNUMBER(FIND("arbeid",Methode_Keuze)),"",IF(Tb_Activiteiten[[#This Row],[Projectmedewerker]]=1,Tb_Activiteiten[[#Headers],[Projectmedewerker]],"")))</f>
        <v/>
      </c>
      <c r="AN374" t="str">
        <f>IF(ISNUMBER(FIND("arbeid",Methode_Keuze)),"",IF(ISNUMBER(FIND("arbeid",Methode_Keuze)),"",IF(Tb_Activiteiten[[#This Row],[Landbouwer]]=1,Tb_Activiteiten[[#Headers],[Landbouwer]],"")))</f>
        <v/>
      </c>
      <c r="AO374" t="str">
        <f>IF(ISNUMBER(FIND("arbeid",Methode_Keuze)),"",IF(ISNUMBER(FIND("arbeid",Methode_Keuze)),"",IF(Tb_Activiteiten[[#This Row],[Adviseur]]=1,Tb_Activiteiten[[#Headers],[Adviseur]],"")))</f>
        <v/>
      </c>
      <c r="AP374" t="str">
        <f>IF(ISNUMBER(FIND("arbeid",Methode_Keuze)),"",IF(ISNUMBER(FIND("arbeid",Methode_Keuze)),"",IF(Tb_Activiteiten[[#This Row],[Projectleider/Expert]]=1,Tb_Activiteiten[[#Headers],[Projectleider/Expert]],"")))</f>
        <v/>
      </c>
      <c r="AQ374" t="str">
        <f>IF(ISNUMBER(FIND("arbeid",Methode_Keuze)),"",IF(ISNUMBER(FIND("arbeid",Methode_Keuze)),"",IF(Tb_Activiteiten[[#This Row],[Arbeidskosten]]=1,Tb_Activiteiten[[#Headers],[Arbeidskosten]],"")))</f>
        <v/>
      </c>
      <c r="AR374" t="str">
        <f>IF(ISNUMBER(FIND("arbeid",Methode_Keuze)),"",IF(ISNUMBER(FIND("arbeid",Methode_Keuze)),"",IF(Tb_Activiteiten[[#This Row],[Arbeidskosten op basis van IKS]]=1,Tb_Activiteiten[[#Headers],[Arbeidskosten op basis van IKS]],"")))</f>
        <v/>
      </c>
      <c r="AS374" t="str">
        <f>IF(ISNUMBER(FIND("overige",Methode_Keuze)),"",IF(Tb_Activiteiten[[#This Row],[Kosten derden exclusief btw]]=1,Tb_Activiteiten[[#Headers],[Kosten derden exclusief btw]],""))</f>
        <v/>
      </c>
      <c r="AT374" t="str">
        <f>IF(ISNUMBER(FIND("overige",Methode_Keuze)),"",IF(Tb_Activiteiten[[#This Row],[Niet verrekenbare btw]]=1,Tb_Activiteiten[[#Headers],[Niet verrekenbare btw]],""))</f>
        <v/>
      </c>
      <c r="AU374" t="str">
        <f>IF(ISNUMBER(FIND("overige",Methode_Keuze)),"",IF(Tb_Activiteiten[[#This Row],[Grondkosten]]=1,Tb_Activiteiten[[#Headers],[Grondkosten]],""))</f>
        <v/>
      </c>
      <c r="AV374" t="str">
        <f>IF(ISNUMBER(FIND("overige",Methode_Keuze)),"",IF(Tb_Activiteiten[[#This Row],[Bijdrage in natura (overige)]]=1,Tb_Activiteiten[[#Headers],[Bijdrage in natura (overige)]],""))</f>
        <v/>
      </c>
      <c r="AW374" t="str">
        <f>IF(ISNUMBER(FIND("overige",Methode_Keuze)),"",IF(Tb_Activiteiten[[#This Row],[Bijdrage in natura (vrijwilligers)]]=1,Tb_Activiteiten[[#Headers],[Bijdrage in natura (vrijwilligers)]],""))</f>
        <v/>
      </c>
      <c r="AX374" t="str">
        <f>IF(ISNUMBER(FIND("overige",Methode_Keuze)),"",IF(Tb_Activiteiten[[#This Row],[Afschrijvingskosten]]=1,Tb_Activiteiten[[#Headers],[Afschrijvingskosten]],""))</f>
        <v/>
      </c>
      <c r="AY374" t="str">
        <f>IF(ISNUMBER(FIND("overige",Methode_Keuze)),"",IF(Tb_Activiteiten[[#This Row],[Vergoeding]]=1,Tb_Activiteiten[[#Headers],[Vergoeding]],""))</f>
        <v/>
      </c>
      <c r="AZ374" t="str">
        <f>IF(ISNUMBER(FIND("arbeid",Methode_Keuze)),"",IF(Tb_Activiteiten[[#This Row],[Arbeidskosten - vast tarief (excl eigen arbeid)]]=1,Tb_Activiteiten[[#Headers],[Arbeidskosten - vast tarief (excl eigen arbeid)]],""))</f>
        <v/>
      </c>
      <c r="BA374" t="str">
        <f>IF(ISNUMBER(FIND("overige",Methode_Keuze)),"",IF(Tb_Activiteiten[[#This Row],[Overige kosten]]=1,Tb_Activiteiten[[#Headers],[Overige kosten]],""))</f>
        <v/>
      </c>
    </row>
    <row r="375" spans="1:53" x14ac:dyDescent="0.25">
      <c r="A375" s="231"/>
      <c r="F375" s="64"/>
      <c r="G375" s="64"/>
      <c r="H375" s="275"/>
      <c r="I375" s="275"/>
      <c r="J375" s="275"/>
      <c r="K375" s="275"/>
      <c r="O375" s="56"/>
      <c r="Q375" t="str">
        <f>IFERROR(IF(VLOOKUP(Tb_Activiteiten[[#This Row],[Openstelling]],Tb_Openstelling[],2,0)=1,1,""),"")</f>
        <v/>
      </c>
      <c r="AK375" t="str">
        <f>IF(ISNUMBER(FIND("arbeid",Methode_Keuze)),"",IF(ISNUMBER(FIND("arbeid",Methode_Keuze)),"",IF(Tb_Activiteiten[[#This Row],[Loonkosten]]=1,Tb_Activiteiten[[#Headers],[Loonkosten]],"")))</f>
        <v/>
      </c>
      <c r="AL375" t="str">
        <f>IF(ISNUMBER(FIND("arbeid",Methode_Keuze)),"",IF(ISNUMBER(FIND("arbeid",Methode_Keuze)),"",IF(Tb_Activiteiten[[#This Row],[Eigen arbeid]]=1,Tb_Activiteiten[[#Headers],[Eigen arbeid]],"")))</f>
        <v/>
      </c>
      <c r="AM375" t="str">
        <f>IF(ISNUMBER(FIND("arbeid",Methode_Keuze)),"",IF(ISNUMBER(FIND("arbeid",Methode_Keuze)),"",IF(Tb_Activiteiten[[#This Row],[Projectmedewerker]]=1,Tb_Activiteiten[[#Headers],[Projectmedewerker]],"")))</f>
        <v/>
      </c>
      <c r="AN375" t="str">
        <f>IF(ISNUMBER(FIND("arbeid",Methode_Keuze)),"",IF(ISNUMBER(FIND("arbeid",Methode_Keuze)),"",IF(Tb_Activiteiten[[#This Row],[Landbouwer]]=1,Tb_Activiteiten[[#Headers],[Landbouwer]],"")))</f>
        <v/>
      </c>
      <c r="AO375" t="str">
        <f>IF(ISNUMBER(FIND("arbeid",Methode_Keuze)),"",IF(ISNUMBER(FIND("arbeid",Methode_Keuze)),"",IF(Tb_Activiteiten[[#This Row],[Adviseur]]=1,Tb_Activiteiten[[#Headers],[Adviseur]],"")))</f>
        <v/>
      </c>
      <c r="AP375" t="str">
        <f>IF(ISNUMBER(FIND("arbeid",Methode_Keuze)),"",IF(ISNUMBER(FIND("arbeid",Methode_Keuze)),"",IF(Tb_Activiteiten[[#This Row],[Projectleider/Expert]]=1,Tb_Activiteiten[[#Headers],[Projectleider/Expert]],"")))</f>
        <v/>
      </c>
      <c r="AQ375" t="str">
        <f>IF(ISNUMBER(FIND("arbeid",Methode_Keuze)),"",IF(ISNUMBER(FIND("arbeid",Methode_Keuze)),"",IF(Tb_Activiteiten[[#This Row],[Arbeidskosten]]=1,Tb_Activiteiten[[#Headers],[Arbeidskosten]],"")))</f>
        <v/>
      </c>
      <c r="AR375" t="str">
        <f>IF(ISNUMBER(FIND("arbeid",Methode_Keuze)),"",IF(ISNUMBER(FIND("arbeid",Methode_Keuze)),"",IF(Tb_Activiteiten[[#This Row],[Arbeidskosten op basis van IKS]]=1,Tb_Activiteiten[[#Headers],[Arbeidskosten op basis van IKS]],"")))</f>
        <v/>
      </c>
      <c r="AS375" t="str">
        <f>IF(ISNUMBER(FIND("overige",Methode_Keuze)),"",IF(Tb_Activiteiten[[#This Row],[Kosten derden exclusief btw]]=1,Tb_Activiteiten[[#Headers],[Kosten derden exclusief btw]],""))</f>
        <v/>
      </c>
      <c r="AT375" t="str">
        <f>IF(ISNUMBER(FIND("overige",Methode_Keuze)),"",IF(Tb_Activiteiten[[#This Row],[Niet verrekenbare btw]]=1,Tb_Activiteiten[[#Headers],[Niet verrekenbare btw]],""))</f>
        <v/>
      </c>
      <c r="AU375" t="str">
        <f>IF(ISNUMBER(FIND("overige",Methode_Keuze)),"",IF(Tb_Activiteiten[[#This Row],[Grondkosten]]=1,Tb_Activiteiten[[#Headers],[Grondkosten]],""))</f>
        <v/>
      </c>
      <c r="AV375" t="str">
        <f>IF(ISNUMBER(FIND("overige",Methode_Keuze)),"",IF(Tb_Activiteiten[[#This Row],[Bijdrage in natura (overige)]]=1,Tb_Activiteiten[[#Headers],[Bijdrage in natura (overige)]],""))</f>
        <v/>
      </c>
      <c r="AW375" t="str">
        <f>IF(ISNUMBER(FIND("overige",Methode_Keuze)),"",IF(Tb_Activiteiten[[#This Row],[Bijdrage in natura (vrijwilligers)]]=1,Tb_Activiteiten[[#Headers],[Bijdrage in natura (vrijwilligers)]],""))</f>
        <v/>
      </c>
      <c r="AX375" t="str">
        <f>IF(ISNUMBER(FIND("overige",Methode_Keuze)),"",IF(Tb_Activiteiten[[#This Row],[Afschrijvingskosten]]=1,Tb_Activiteiten[[#Headers],[Afschrijvingskosten]],""))</f>
        <v/>
      </c>
      <c r="AY375" t="str">
        <f>IF(ISNUMBER(FIND("overige",Methode_Keuze)),"",IF(Tb_Activiteiten[[#This Row],[Vergoeding]]=1,Tb_Activiteiten[[#Headers],[Vergoeding]],""))</f>
        <v/>
      </c>
      <c r="AZ375" t="str">
        <f>IF(ISNUMBER(FIND("arbeid",Methode_Keuze)),"",IF(Tb_Activiteiten[[#This Row],[Arbeidskosten - vast tarief (excl eigen arbeid)]]=1,Tb_Activiteiten[[#Headers],[Arbeidskosten - vast tarief (excl eigen arbeid)]],""))</f>
        <v/>
      </c>
      <c r="BA375" t="str">
        <f>IF(ISNUMBER(FIND("overige",Methode_Keuze)),"",IF(Tb_Activiteiten[[#This Row],[Overige kosten]]=1,Tb_Activiteiten[[#Headers],[Overige kosten]],""))</f>
        <v/>
      </c>
    </row>
    <row r="376" spans="1:53" x14ac:dyDescent="0.25">
      <c r="A376" s="231"/>
      <c r="F376" s="64"/>
      <c r="G376" s="64"/>
      <c r="H376" s="275"/>
      <c r="I376" s="275"/>
      <c r="J376" s="275"/>
      <c r="K376" s="275"/>
      <c r="O376" s="56"/>
      <c r="Q376" t="str">
        <f>IFERROR(IF(VLOOKUP(Tb_Activiteiten[[#This Row],[Openstelling]],Tb_Openstelling[],2,0)=1,1,""),"")</f>
        <v/>
      </c>
      <c r="AK376" t="str">
        <f>IF(ISNUMBER(FIND("arbeid",Methode_Keuze)),"",IF(ISNUMBER(FIND("arbeid",Methode_Keuze)),"",IF(Tb_Activiteiten[[#This Row],[Loonkosten]]=1,Tb_Activiteiten[[#Headers],[Loonkosten]],"")))</f>
        <v/>
      </c>
      <c r="AL376" t="str">
        <f>IF(ISNUMBER(FIND("arbeid",Methode_Keuze)),"",IF(ISNUMBER(FIND("arbeid",Methode_Keuze)),"",IF(Tb_Activiteiten[[#This Row],[Eigen arbeid]]=1,Tb_Activiteiten[[#Headers],[Eigen arbeid]],"")))</f>
        <v/>
      </c>
      <c r="AM376" t="str">
        <f>IF(ISNUMBER(FIND("arbeid",Methode_Keuze)),"",IF(ISNUMBER(FIND("arbeid",Methode_Keuze)),"",IF(Tb_Activiteiten[[#This Row],[Projectmedewerker]]=1,Tb_Activiteiten[[#Headers],[Projectmedewerker]],"")))</f>
        <v/>
      </c>
      <c r="AN376" t="str">
        <f>IF(ISNUMBER(FIND("arbeid",Methode_Keuze)),"",IF(ISNUMBER(FIND("arbeid",Methode_Keuze)),"",IF(Tb_Activiteiten[[#This Row],[Landbouwer]]=1,Tb_Activiteiten[[#Headers],[Landbouwer]],"")))</f>
        <v/>
      </c>
      <c r="AO376" t="str">
        <f>IF(ISNUMBER(FIND("arbeid",Methode_Keuze)),"",IF(ISNUMBER(FIND("arbeid",Methode_Keuze)),"",IF(Tb_Activiteiten[[#This Row],[Adviseur]]=1,Tb_Activiteiten[[#Headers],[Adviseur]],"")))</f>
        <v/>
      </c>
      <c r="AP376" t="str">
        <f>IF(ISNUMBER(FIND("arbeid",Methode_Keuze)),"",IF(ISNUMBER(FIND("arbeid",Methode_Keuze)),"",IF(Tb_Activiteiten[[#This Row],[Projectleider/Expert]]=1,Tb_Activiteiten[[#Headers],[Projectleider/Expert]],"")))</f>
        <v/>
      </c>
      <c r="AQ376" t="str">
        <f>IF(ISNUMBER(FIND("arbeid",Methode_Keuze)),"",IF(ISNUMBER(FIND("arbeid",Methode_Keuze)),"",IF(Tb_Activiteiten[[#This Row],[Arbeidskosten]]=1,Tb_Activiteiten[[#Headers],[Arbeidskosten]],"")))</f>
        <v/>
      </c>
      <c r="AR376" t="str">
        <f>IF(ISNUMBER(FIND("arbeid",Methode_Keuze)),"",IF(ISNUMBER(FIND("arbeid",Methode_Keuze)),"",IF(Tb_Activiteiten[[#This Row],[Arbeidskosten op basis van IKS]]=1,Tb_Activiteiten[[#Headers],[Arbeidskosten op basis van IKS]],"")))</f>
        <v/>
      </c>
      <c r="AS376" t="str">
        <f>IF(ISNUMBER(FIND("overige",Methode_Keuze)),"",IF(Tb_Activiteiten[[#This Row],[Kosten derden exclusief btw]]=1,Tb_Activiteiten[[#Headers],[Kosten derden exclusief btw]],""))</f>
        <v/>
      </c>
      <c r="AT376" t="str">
        <f>IF(ISNUMBER(FIND("overige",Methode_Keuze)),"",IF(Tb_Activiteiten[[#This Row],[Niet verrekenbare btw]]=1,Tb_Activiteiten[[#Headers],[Niet verrekenbare btw]],""))</f>
        <v/>
      </c>
      <c r="AU376" t="str">
        <f>IF(ISNUMBER(FIND("overige",Methode_Keuze)),"",IF(Tb_Activiteiten[[#This Row],[Grondkosten]]=1,Tb_Activiteiten[[#Headers],[Grondkosten]],""))</f>
        <v/>
      </c>
      <c r="AV376" t="str">
        <f>IF(ISNUMBER(FIND("overige",Methode_Keuze)),"",IF(Tb_Activiteiten[[#This Row],[Bijdrage in natura (overige)]]=1,Tb_Activiteiten[[#Headers],[Bijdrage in natura (overige)]],""))</f>
        <v/>
      </c>
      <c r="AW376" t="str">
        <f>IF(ISNUMBER(FIND("overige",Methode_Keuze)),"",IF(Tb_Activiteiten[[#This Row],[Bijdrage in natura (vrijwilligers)]]=1,Tb_Activiteiten[[#Headers],[Bijdrage in natura (vrijwilligers)]],""))</f>
        <v/>
      </c>
      <c r="AX376" t="str">
        <f>IF(ISNUMBER(FIND("overige",Methode_Keuze)),"",IF(Tb_Activiteiten[[#This Row],[Afschrijvingskosten]]=1,Tb_Activiteiten[[#Headers],[Afschrijvingskosten]],""))</f>
        <v/>
      </c>
      <c r="AY376" t="str">
        <f>IF(ISNUMBER(FIND("overige",Methode_Keuze)),"",IF(Tb_Activiteiten[[#This Row],[Vergoeding]]=1,Tb_Activiteiten[[#Headers],[Vergoeding]],""))</f>
        <v/>
      </c>
      <c r="AZ376" t="str">
        <f>IF(ISNUMBER(FIND("arbeid",Methode_Keuze)),"",IF(Tb_Activiteiten[[#This Row],[Arbeidskosten - vast tarief (excl eigen arbeid)]]=1,Tb_Activiteiten[[#Headers],[Arbeidskosten - vast tarief (excl eigen arbeid)]],""))</f>
        <v/>
      </c>
      <c r="BA376" t="str">
        <f>IF(ISNUMBER(FIND("overige",Methode_Keuze)),"",IF(Tb_Activiteiten[[#This Row],[Overige kosten]]=1,Tb_Activiteiten[[#Headers],[Overige kosten]],""))</f>
        <v/>
      </c>
    </row>
    <row r="377" spans="1:53" x14ac:dyDescent="0.25">
      <c r="A377" s="231"/>
      <c r="F377" s="64"/>
      <c r="G377" s="64"/>
      <c r="H377" s="275"/>
      <c r="I377" s="275"/>
      <c r="J377" s="275"/>
      <c r="K377" s="275"/>
      <c r="O377" s="56"/>
      <c r="Q377" t="str">
        <f>IFERROR(IF(VLOOKUP(Tb_Activiteiten[[#This Row],[Openstelling]],Tb_Openstelling[],2,0)=1,1,""),"")</f>
        <v/>
      </c>
      <c r="AK377" t="str">
        <f>IF(ISNUMBER(FIND("arbeid",Methode_Keuze)),"",IF(ISNUMBER(FIND("arbeid",Methode_Keuze)),"",IF(Tb_Activiteiten[[#This Row],[Loonkosten]]=1,Tb_Activiteiten[[#Headers],[Loonkosten]],"")))</f>
        <v/>
      </c>
      <c r="AL377" t="str">
        <f>IF(ISNUMBER(FIND("arbeid",Methode_Keuze)),"",IF(ISNUMBER(FIND("arbeid",Methode_Keuze)),"",IF(Tb_Activiteiten[[#This Row],[Eigen arbeid]]=1,Tb_Activiteiten[[#Headers],[Eigen arbeid]],"")))</f>
        <v/>
      </c>
      <c r="AM377" t="str">
        <f>IF(ISNUMBER(FIND("arbeid",Methode_Keuze)),"",IF(ISNUMBER(FIND("arbeid",Methode_Keuze)),"",IF(Tb_Activiteiten[[#This Row],[Projectmedewerker]]=1,Tb_Activiteiten[[#Headers],[Projectmedewerker]],"")))</f>
        <v/>
      </c>
      <c r="AN377" t="str">
        <f>IF(ISNUMBER(FIND("arbeid",Methode_Keuze)),"",IF(ISNUMBER(FIND("arbeid",Methode_Keuze)),"",IF(Tb_Activiteiten[[#This Row],[Landbouwer]]=1,Tb_Activiteiten[[#Headers],[Landbouwer]],"")))</f>
        <v/>
      </c>
      <c r="AO377" t="str">
        <f>IF(ISNUMBER(FIND("arbeid",Methode_Keuze)),"",IF(ISNUMBER(FIND("arbeid",Methode_Keuze)),"",IF(Tb_Activiteiten[[#This Row],[Adviseur]]=1,Tb_Activiteiten[[#Headers],[Adviseur]],"")))</f>
        <v/>
      </c>
      <c r="AP377" t="str">
        <f>IF(ISNUMBER(FIND("arbeid",Methode_Keuze)),"",IF(ISNUMBER(FIND("arbeid",Methode_Keuze)),"",IF(Tb_Activiteiten[[#This Row],[Projectleider/Expert]]=1,Tb_Activiteiten[[#Headers],[Projectleider/Expert]],"")))</f>
        <v/>
      </c>
      <c r="AQ377" t="str">
        <f>IF(ISNUMBER(FIND("arbeid",Methode_Keuze)),"",IF(ISNUMBER(FIND("arbeid",Methode_Keuze)),"",IF(Tb_Activiteiten[[#This Row],[Arbeidskosten]]=1,Tb_Activiteiten[[#Headers],[Arbeidskosten]],"")))</f>
        <v/>
      </c>
      <c r="AR377" t="str">
        <f>IF(ISNUMBER(FIND("arbeid",Methode_Keuze)),"",IF(ISNUMBER(FIND("arbeid",Methode_Keuze)),"",IF(Tb_Activiteiten[[#This Row],[Arbeidskosten op basis van IKS]]=1,Tb_Activiteiten[[#Headers],[Arbeidskosten op basis van IKS]],"")))</f>
        <v/>
      </c>
      <c r="AS377" t="str">
        <f>IF(ISNUMBER(FIND("overige",Methode_Keuze)),"",IF(Tb_Activiteiten[[#This Row],[Kosten derden exclusief btw]]=1,Tb_Activiteiten[[#Headers],[Kosten derden exclusief btw]],""))</f>
        <v/>
      </c>
      <c r="AT377" t="str">
        <f>IF(ISNUMBER(FIND("overige",Methode_Keuze)),"",IF(Tb_Activiteiten[[#This Row],[Niet verrekenbare btw]]=1,Tb_Activiteiten[[#Headers],[Niet verrekenbare btw]],""))</f>
        <v/>
      </c>
      <c r="AU377" t="str">
        <f>IF(ISNUMBER(FIND("overige",Methode_Keuze)),"",IF(Tb_Activiteiten[[#This Row],[Grondkosten]]=1,Tb_Activiteiten[[#Headers],[Grondkosten]],""))</f>
        <v/>
      </c>
      <c r="AV377" t="str">
        <f>IF(ISNUMBER(FIND("overige",Methode_Keuze)),"",IF(Tb_Activiteiten[[#This Row],[Bijdrage in natura (overige)]]=1,Tb_Activiteiten[[#Headers],[Bijdrage in natura (overige)]],""))</f>
        <v/>
      </c>
      <c r="AW377" t="str">
        <f>IF(ISNUMBER(FIND("overige",Methode_Keuze)),"",IF(Tb_Activiteiten[[#This Row],[Bijdrage in natura (vrijwilligers)]]=1,Tb_Activiteiten[[#Headers],[Bijdrage in natura (vrijwilligers)]],""))</f>
        <v/>
      </c>
      <c r="AX377" t="str">
        <f>IF(ISNUMBER(FIND("overige",Methode_Keuze)),"",IF(Tb_Activiteiten[[#This Row],[Afschrijvingskosten]]=1,Tb_Activiteiten[[#Headers],[Afschrijvingskosten]],""))</f>
        <v/>
      </c>
      <c r="AY377" t="str">
        <f>IF(ISNUMBER(FIND("overige",Methode_Keuze)),"",IF(Tb_Activiteiten[[#This Row],[Vergoeding]]=1,Tb_Activiteiten[[#Headers],[Vergoeding]],""))</f>
        <v/>
      </c>
      <c r="AZ377" t="str">
        <f>IF(ISNUMBER(FIND("arbeid",Methode_Keuze)),"",IF(Tb_Activiteiten[[#This Row],[Arbeidskosten - vast tarief (excl eigen arbeid)]]=1,Tb_Activiteiten[[#Headers],[Arbeidskosten - vast tarief (excl eigen arbeid)]],""))</f>
        <v/>
      </c>
      <c r="BA377" t="str">
        <f>IF(ISNUMBER(FIND("overige",Methode_Keuze)),"",IF(Tb_Activiteiten[[#This Row],[Overige kosten]]=1,Tb_Activiteiten[[#Headers],[Overige kosten]],""))</f>
        <v/>
      </c>
    </row>
    <row r="378" spans="1:53" x14ac:dyDescent="0.25">
      <c r="A378" s="231"/>
      <c r="F378" s="64"/>
      <c r="G378" s="64"/>
      <c r="H378" s="275"/>
      <c r="I378" s="275"/>
      <c r="J378" s="275"/>
      <c r="K378" s="275"/>
      <c r="O378" s="56"/>
      <c r="Q378" t="str">
        <f>IFERROR(IF(VLOOKUP(Tb_Activiteiten[[#This Row],[Openstelling]],Tb_Openstelling[],2,0)=1,1,""),"")</f>
        <v/>
      </c>
      <c r="AK378" t="str">
        <f>IF(ISNUMBER(FIND("arbeid",Methode_Keuze)),"",IF(ISNUMBER(FIND("arbeid",Methode_Keuze)),"",IF(Tb_Activiteiten[[#This Row],[Loonkosten]]=1,Tb_Activiteiten[[#Headers],[Loonkosten]],"")))</f>
        <v/>
      </c>
      <c r="AL378" t="str">
        <f>IF(ISNUMBER(FIND("arbeid",Methode_Keuze)),"",IF(ISNUMBER(FIND("arbeid",Methode_Keuze)),"",IF(Tb_Activiteiten[[#This Row],[Eigen arbeid]]=1,Tb_Activiteiten[[#Headers],[Eigen arbeid]],"")))</f>
        <v/>
      </c>
      <c r="AM378" t="str">
        <f>IF(ISNUMBER(FIND("arbeid",Methode_Keuze)),"",IF(ISNUMBER(FIND("arbeid",Methode_Keuze)),"",IF(Tb_Activiteiten[[#This Row],[Projectmedewerker]]=1,Tb_Activiteiten[[#Headers],[Projectmedewerker]],"")))</f>
        <v/>
      </c>
      <c r="AN378" t="str">
        <f>IF(ISNUMBER(FIND("arbeid",Methode_Keuze)),"",IF(ISNUMBER(FIND("arbeid",Methode_Keuze)),"",IF(Tb_Activiteiten[[#This Row],[Landbouwer]]=1,Tb_Activiteiten[[#Headers],[Landbouwer]],"")))</f>
        <v/>
      </c>
      <c r="AO378" t="str">
        <f>IF(ISNUMBER(FIND("arbeid",Methode_Keuze)),"",IF(ISNUMBER(FIND("arbeid",Methode_Keuze)),"",IF(Tb_Activiteiten[[#This Row],[Adviseur]]=1,Tb_Activiteiten[[#Headers],[Adviseur]],"")))</f>
        <v/>
      </c>
      <c r="AP378" t="str">
        <f>IF(ISNUMBER(FIND("arbeid",Methode_Keuze)),"",IF(ISNUMBER(FIND("arbeid",Methode_Keuze)),"",IF(Tb_Activiteiten[[#This Row],[Projectleider/Expert]]=1,Tb_Activiteiten[[#Headers],[Projectleider/Expert]],"")))</f>
        <v/>
      </c>
      <c r="AQ378" t="str">
        <f>IF(ISNUMBER(FIND("arbeid",Methode_Keuze)),"",IF(ISNUMBER(FIND("arbeid",Methode_Keuze)),"",IF(Tb_Activiteiten[[#This Row],[Arbeidskosten]]=1,Tb_Activiteiten[[#Headers],[Arbeidskosten]],"")))</f>
        <v/>
      </c>
      <c r="AR378" t="str">
        <f>IF(ISNUMBER(FIND("arbeid",Methode_Keuze)),"",IF(ISNUMBER(FIND("arbeid",Methode_Keuze)),"",IF(Tb_Activiteiten[[#This Row],[Arbeidskosten op basis van IKS]]=1,Tb_Activiteiten[[#Headers],[Arbeidskosten op basis van IKS]],"")))</f>
        <v/>
      </c>
      <c r="AS378" t="str">
        <f>IF(ISNUMBER(FIND("overige",Methode_Keuze)),"",IF(Tb_Activiteiten[[#This Row],[Kosten derden exclusief btw]]=1,Tb_Activiteiten[[#Headers],[Kosten derden exclusief btw]],""))</f>
        <v/>
      </c>
      <c r="AT378" t="str">
        <f>IF(ISNUMBER(FIND("overige",Methode_Keuze)),"",IF(Tb_Activiteiten[[#This Row],[Niet verrekenbare btw]]=1,Tb_Activiteiten[[#Headers],[Niet verrekenbare btw]],""))</f>
        <v/>
      </c>
      <c r="AU378" t="str">
        <f>IF(ISNUMBER(FIND("overige",Methode_Keuze)),"",IF(Tb_Activiteiten[[#This Row],[Grondkosten]]=1,Tb_Activiteiten[[#Headers],[Grondkosten]],""))</f>
        <v/>
      </c>
      <c r="AV378" t="str">
        <f>IF(ISNUMBER(FIND("overige",Methode_Keuze)),"",IF(Tb_Activiteiten[[#This Row],[Bijdrage in natura (overige)]]=1,Tb_Activiteiten[[#Headers],[Bijdrage in natura (overige)]],""))</f>
        <v/>
      </c>
      <c r="AW378" t="str">
        <f>IF(ISNUMBER(FIND("overige",Methode_Keuze)),"",IF(Tb_Activiteiten[[#This Row],[Bijdrage in natura (vrijwilligers)]]=1,Tb_Activiteiten[[#Headers],[Bijdrage in natura (vrijwilligers)]],""))</f>
        <v/>
      </c>
      <c r="AX378" t="str">
        <f>IF(ISNUMBER(FIND("overige",Methode_Keuze)),"",IF(Tb_Activiteiten[[#This Row],[Afschrijvingskosten]]=1,Tb_Activiteiten[[#Headers],[Afschrijvingskosten]],""))</f>
        <v/>
      </c>
      <c r="AY378" t="str">
        <f>IF(ISNUMBER(FIND("overige",Methode_Keuze)),"",IF(Tb_Activiteiten[[#This Row],[Vergoeding]]=1,Tb_Activiteiten[[#Headers],[Vergoeding]],""))</f>
        <v/>
      </c>
      <c r="AZ378" t="str">
        <f>IF(ISNUMBER(FIND("arbeid",Methode_Keuze)),"",IF(Tb_Activiteiten[[#This Row],[Arbeidskosten - vast tarief (excl eigen arbeid)]]=1,Tb_Activiteiten[[#Headers],[Arbeidskosten - vast tarief (excl eigen arbeid)]],""))</f>
        <v/>
      </c>
      <c r="BA378" t="str">
        <f>IF(ISNUMBER(FIND("overige",Methode_Keuze)),"",IF(Tb_Activiteiten[[#This Row],[Overige kosten]]=1,Tb_Activiteiten[[#Headers],[Overige kosten]],""))</f>
        <v/>
      </c>
    </row>
    <row r="379" spans="1:53" x14ac:dyDescent="0.25">
      <c r="A379" s="231"/>
      <c r="F379" s="64"/>
      <c r="G379" s="64"/>
      <c r="H379" s="275"/>
      <c r="I379" s="275"/>
      <c r="J379" s="275"/>
      <c r="K379" s="275"/>
      <c r="O379" s="56"/>
      <c r="Q379" t="str">
        <f>IFERROR(IF(VLOOKUP(Tb_Activiteiten[[#This Row],[Openstelling]],Tb_Openstelling[],2,0)=1,1,""),"")</f>
        <v/>
      </c>
      <c r="AK379" t="str">
        <f>IF(ISNUMBER(FIND("arbeid",Methode_Keuze)),"",IF(ISNUMBER(FIND("arbeid",Methode_Keuze)),"",IF(Tb_Activiteiten[[#This Row],[Loonkosten]]=1,Tb_Activiteiten[[#Headers],[Loonkosten]],"")))</f>
        <v/>
      </c>
      <c r="AL379" t="str">
        <f>IF(ISNUMBER(FIND("arbeid",Methode_Keuze)),"",IF(ISNUMBER(FIND("arbeid",Methode_Keuze)),"",IF(Tb_Activiteiten[[#This Row],[Eigen arbeid]]=1,Tb_Activiteiten[[#Headers],[Eigen arbeid]],"")))</f>
        <v/>
      </c>
      <c r="AM379" t="str">
        <f>IF(ISNUMBER(FIND("arbeid",Methode_Keuze)),"",IF(ISNUMBER(FIND("arbeid",Methode_Keuze)),"",IF(Tb_Activiteiten[[#This Row],[Projectmedewerker]]=1,Tb_Activiteiten[[#Headers],[Projectmedewerker]],"")))</f>
        <v/>
      </c>
      <c r="AN379" t="str">
        <f>IF(ISNUMBER(FIND("arbeid",Methode_Keuze)),"",IF(ISNUMBER(FIND("arbeid",Methode_Keuze)),"",IF(Tb_Activiteiten[[#This Row],[Landbouwer]]=1,Tb_Activiteiten[[#Headers],[Landbouwer]],"")))</f>
        <v/>
      </c>
      <c r="AO379" t="str">
        <f>IF(ISNUMBER(FIND("arbeid",Methode_Keuze)),"",IF(ISNUMBER(FIND("arbeid",Methode_Keuze)),"",IF(Tb_Activiteiten[[#This Row],[Adviseur]]=1,Tb_Activiteiten[[#Headers],[Adviseur]],"")))</f>
        <v/>
      </c>
      <c r="AP379" t="str">
        <f>IF(ISNUMBER(FIND("arbeid",Methode_Keuze)),"",IF(ISNUMBER(FIND("arbeid",Methode_Keuze)),"",IF(Tb_Activiteiten[[#This Row],[Projectleider/Expert]]=1,Tb_Activiteiten[[#Headers],[Projectleider/Expert]],"")))</f>
        <v/>
      </c>
      <c r="AQ379" t="str">
        <f>IF(ISNUMBER(FIND("arbeid",Methode_Keuze)),"",IF(ISNUMBER(FIND("arbeid",Methode_Keuze)),"",IF(Tb_Activiteiten[[#This Row],[Arbeidskosten]]=1,Tb_Activiteiten[[#Headers],[Arbeidskosten]],"")))</f>
        <v/>
      </c>
      <c r="AR379" t="str">
        <f>IF(ISNUMBER(FIND("arbeid",Methode_Keuze)),"",IF(ISNUMBER(FIND("arbeid",Methode_Keuze)),"",IF(Tb_Activiteiten[[#This Row],[Arbeidskosten op basis van IKS]]=1,Tb_Activiteiten[[#Headers],[Arbeidskosten op basis van IKS]],"")))</f>
        <v/>
      </c>
      <c r="AS379" t="str">
        <f>IF(ISNUMBER(FIND("overige",Methode_Keuze)),"",IF(Tb_Activiteiten[[#This Row],[Kosten derden exclusief btw]]=1,Tb_Activiteiten[[#Headers],[Kosten derden exclusief btw]],""))</f>
        <v/>
      </c>
      <c r="AT379" t="str">
        <f>IF(ISNUMBER(FIND("overige",Methode_Keuze)),"",IF(Tb_Activiteiten[[#This Row],[Niet verrekenbare btw]]=1,Tb_Activiteiten[[#Headers],[Niet verrekenbare btw]],""))</f>
        <v/>
      </c>
      <c r="AU379" t="str">
        <f>IF(ISNUMBER(FIND("overige",Methode_Keuze)),"",IF(Tb_Activiteiten[[#This Row],[Grondkosten]]=1,Tb_Activiteiten[[#Headers],[Grondkosten]],""))</f>
        <v/>
      </c>
      <c r="AV379" t="str">
        <f>IF(ISNUMBER(FIND("overige",Methode_Keuze)),"",IF(Tb_Activiteiten[[#This Row],[Bijdrage in natura (overige)]]=1,Tb_Activiteiten[[#Headers],[Bijdrage in natura (overige)]],""))</f>
        <v/>
      </c>
      <c r="AW379" t="str">
        <f>IF(ISNUMBER(FIND("overige",Methode_Keuze)),"",IF(Tb_Activiteiten[[#This Row],[Bijdrage in natura (vrijwilligers)]]=1,Tb_Activiteiten[[#Headers],[Bijdrage in natura (vrijwilligers)]],""))</f>
        <v/>
      </c>
      <c r="AX379" t="str">
        <f>IF(ISNUMBER(FIND("overige",Methode_Keuze)),"",IF(Tb_Activiteiten[[#This Row],[Afschrijvingskosten]]=1,Tb_Activiteiten[[#Headers],[Afschrijvingskosten]],""))</f>
        <v/>
      </c>
      <c r="AY379" t="str">
        <f>IF(ISNUMBER(FIND("overige",Methode_Keuze)),"",IF(Tb_Activiteiten[[#This Row],[Vergoeding]]=1,Tb_Activiteiten[[#Headers],[Vergoeding]],""))</f>
        <v/>
      </c>
      <c r="AZ379" t="str">
        <f>IF(ISNUMBER(FIND("arbeid",Methode_Keuze)),"",IF(Tb_Activiteiten[[#This Row],[Arbeidskosten - vast tarief (excl eigen arbeid)]]=1,Tb_Activiteiten[[#Headers],[Arbeidskosten - vast tarief (excl eigen arbeid)]],""))</f>
        <v/>
      </c>
      <c r="BA379" t="str">
        <f>IF(ISNUMBER(FIND("overige",Methode_Keuze)),"",IF(Tb_Activiteiten[[#This Row],[Overige kosten]]=1,Tb_Activiteiten[[#Headers],[Overige kosten]],""))</f>
        <v/>
      </c>
    </row>
    <row r="380" spans="1:53" x14ac:dyDescent="0.25">
      <c r="A380" s="231"/>
      <c r="F380" s="64"/>
      <c r="G380" s="64"/>
      <c r="H380" s="275"/>
      <c r="I380" s="275"/>
      <c r="J380" s="275"/>
      <c r="K380" s="275"/>
      <c r="O380" s="56"/>
      <c r="Q380" t="str">
        <f>IFERROR(IF(VLOOKUP(Tb_Activiteiten[[#This Row],[Openstelling]],Tb_Openstelling[],2,0)=1,1,""),"")</f>
        <v/>
      </c>
      <c r="AK380" t="str">
        <f>IF(ISNUMBER(FIND("arbeid",Methode_Keuze)),"",IF(ISNUMBER(FIND("arbeid",Methode_Keuze)),"",IF(Tb_Activiteiten[[#This Row],[Loonkosten]]=1,Tb_Activiteiten[[#Headers],[Loonkosten]],"")))</f>
        <v/>
      </c>
      <c r="AL380" t="str">
        <f>IF(ISNUMBER(FIND("arbeid",Methode_Keuze)),"",IF(ISNUMBER(FIND("arbeid",Methode_Keuze)),"",IF(Tb_Activiteiten[[#This Row],[Eigen arbeid]]=1,Tb_Activiteiten[[#Headers],[Eigen arbeid]],"")))</f>
        <v/>
      </c>
      <c r="AM380" t="str">
        <f>IF(ISNUMBER(FIND("arbeid",Methode_Keuze)),"",IF(ISNUMBER(FIND("arbeid",Methode_Keuze)),"",IF(Tb_Activiteiten[[#This Row],[Projectmedewerker]]=1,Tb_Activiteiten[[#Headers],[Projectmedewerker]],"")))</f>
        <v/>
      </c>
      <c r="AN380" t="str">
        <f>IF(ISNUMBER(FIND("arbeid",Methode_Keuze)),"",IF(ISNUMBER(FIND("arbeid",Methode_Keuze)),"",IF(Tb_Activiteiten[[#This Row],[Landbouwer]]=1,Tb_Activiteiten[[#Headers],[Landbouwer]],"")))</f>
        <v/>
      </c>
      <c r="AO380" t="str">
        <f>IF(ISNUMBER(FIND("arbeid",Methode_Keuze)),"",IF(ISNUMBER(FIND("arbeid",Methode_Keuze)),"",IF(Tb_Activiteiten[[#This Row],[Adviseur]]=1,Tb_Activiteiten[[#Headers],[Adviseur]],"")))</f>
        <v/>
      </c>
      <c r="AP380" t="str">
        <f>IF(ISNUMBER(FIND("arbeid",Methode_Keuze)),"",IF(ISNUMBER(FIND("arbeid",Methode_Keuze)),"",IF(Tb_Activiteiten[[#This Row],[Projectleider/Expert]]=1,Tb_Activiteiten[[#Headers],[Projectleider/Expert]],"")))</f>
        <v/>
      </c>
      <c r="AQ380" t="str">
        <f>IF(ISNUMBER(FIND("arbeid",Methode_Keuze)),"",IF(ISNUMBER(FIND("arbeid",Methode_Keuze)),"",IF(Tb_Activiteiten[[#This Row],[Arbeidskosten]]=1,Tb_Activiteiten[[#Headers],[Arbeidskosten]],"")))</f>
        <v/>
      </c>
      <c r="AR380" t="str">
        <f>IF(ISNUMBER(FIND("arbeid",Methode_Keuze)),"",IF(ISNUMBER(FIND("arbeid",Methode_Keuze)),"",IF(Tb_Activiteiten[[#This Row],[Arbeidskosten op basis van IKS]]=1,Tb_Activiteiten[[#Headers],[Arbeidskosten op basis van IKS]],"")))</f>
        <v/>
      </c>
      <c r="AS380" t="str">
        <f>IF(ISNUMBER(FIND("overige",Methode_Keuze)),"",IF(Tb_Activiteiten[[#This Row],[Kosten derden exclusief btw]]=1,Tb_Activiteiten[[#Headers],[Kosten derden exclusief btw]],""))</f>
        <v/>
      </c>
      <c r="AT380" t="str">
        <f>IF(ISNUMBER(FIND("overige",Methode_Keuze)),"",IF(Tb_Activiteiten[[#This Row],[Niet verrekenbare btw]]=1,Tb_Activiteiten[[#Headers],[Niet verrekenbare btw]],""))</f>
        <v/>
      </c>
      <c r="AU380" t="str">
        <f>IF(ISNUMBER(FIND("overige",Methode_Keuze)),"",IF(Tb_Activiteiten[[#This Row],[Grondkosten]]=1,Tb_Activiteiten[[#Headers],[Grondkosten]],""))</f>
        <v/>
      </c>
      <c r="AV380" t="str">
        <f>IF(ISNUMBER(FIND("overige",Methode_Keuze)),"",IF(Tb_Activiteiten[[#This Row],[Bijdrage in natura (overige)]]=1,Tb_Activiteiten[[#Headers],[Bijdrage in natura (overige)]],""))</f>
        <v/>
      </c>
      <c r="AW380" t="str">
        <f>IF(ISNUMBER(FIND("overige",Methode_Keuze)),"",IF(Tb_Activiteiten[[#This Row],[Bijdrage in natura (vrijwilligers)]]=1,Tb_Activiteiten[[#Headers],[Bijdrage in natura (vrijwilligers)]],""))</f>
        <v/>
      </c>
      <c r="AX380" t="str">
        <f>IF(ISNUMBER(FIND("overige",Methode_Keuze)),"",IF(Tb_Activiteiten[[#This Row],[Afschrijvingskosten]]=1,Tb_Activiteiten[[#Headers],[Afschrijvingskosten]],""))</f>
        <v/>
      </c>
      <c r="AY380" t="str">
        <f>IF(ISNUMBER(FIND("overige",Methode_Keuze)),"",IF(Tb_Activiteiten[[#This Row],[Vergoeding]]=1,Tb_Activiteiten[[#Headers],[Vergoeding]],""))</f>
        <v/>
      </c>
      <c r="AZ380" t="str">
        <f>IF(ISNUMBER(FIND("arbeid",Methode_Keuze)),"",IF(Tb_Activiteiten[[#This Row],[Arbeidskosten - vast tarief (excl eigen arbeid)]]=1,Tb_Activiteiten[[#Headers],[Arbeidskosten - vast tarief (excl eigen arbeid)]],""))</f>
        <v/>
      </c>
      <c r="BA380" t="str">
        <f>IF(ISNUMBER(FIND("overige",Methode_Keuze)),"",IF(Tb_Activiteiten[[#This Row],[Overige kosten]]=1,Tb_Activiteiten[[#Headers],[Overige kosten]],""))</f>
        <v/>
      </c>
    </row>
    <row r="381" spans="1:53" x14ac:dyDescent="0.25">
      <c r="A381" s="231"/>
      <c r="F381" s="64"/>
      <c r="G381" s="64"/>
      <c r="H381" s="275"/>
      <c r="I381" s="275"/>
      <c r="J381" s="275"/>
      <c r="K381" s="275"/>
      <c r="O381" s="56"/>
      <c r="Q381" t="str">
        <f>IFERROR(IF(VLOOKUP(Tb_Activiteiten[[#This Row],[Openstelling]],Tb_Openstelling[],2,0)=1,1,""),"")</f>
        <v/>
      </c>
      <c r="AK381" t="str">
        <f>IF(ISNUMBER(FIND("arbeid",Methode_Keuze)),"",IF(ISNUMBER(FIND("arbeid",Methode_Keuze)),"",IF(Tb_Activiteiten[[#This Row],[Loonkosten]]=1,Tb_Activiteiten[[#Headers],[Loonkosten]],"")))</f>
        <v/>
      </c>
      <c r="AL381" t="str">
        <f>IF(ISNUMBER(FIND("arbeid",Methode_Keuze)),"",IF(ISNUMBER(FIND("arbeid",Methode_Keuze)),"",IF(Tb_Activiteiten[[#This Row],[Eigen arbeid]]=1,Tb_Activiteiten[[#Headers],[Eigen arbeid]],"")))</f>
        <v/>
      </c>
      <c r="AM381" t="str">
        <f>IF(ISNUMBER(FIND("arbeid",Methode_Keuze)),"",IF(ISNUMBER(FIND("arbeid",Methode_Keuze)),"",IF(Tb_Activiteiten[[#This Row],[Projectmedewerker]]=1,Tb_Activiteiten[[#Headers],[Projectmedewerker]],"")))</f>
        <v/>
      </c>
      <c r="AN381" t="str">
        <f>IF(ISNUMBER(FIND("arbeid",Methode_Keuze)),"",IF(ISNUMBER(FIND("arbeid",Methode_Keuze)),"",IF(Tb_Activiteiten[[#This Row],[Landbouwer]]=1,Tb_Activiteiten[[#Headers],[Landbouwer]],"")))</f>
        <v/>
      </c>
      <c r="AO381" t="str">
        <f>IF(ISNUMBER(FIND("arbeid",Methode_Keuze)),"",IF(ISNUMBER(FIND("arbeid",Methode_Keuze)),"",IF(Tb_Activiteiten[[#This Row],[Adviseur]]=1,Tb_Activiteiten[[#Headers],[Adviseur]],"")))</f>
        <v/>
      </c>
      <c r="AP381" t="str">
        <f>IF(ISNUMBER(FIND("arbeid",Methode_Keuze)),"",IF(ISNUMBER(FIND("arbeid",Methode_Keuze)),"",IF(Tb_Activiteiten[[#This Row],[Projectleider/Expert]]=1,Tb_Activiteiten[[#Headers],[Projectleider/Expert]],"")))</f>
        <v/>
      </c>
      <c r="AQ381" t="str">
        <f>IF(ISNUMBER(FIND("arbeid",Methode_Keuze)),"",IF(ISNUMBER(FIND("arbeid",Methode_Keuze)),"",IF(Tb_Activiteiten[[#This Row],[Arbeidskosten]]=1,Tb_Activiteiten[[#Headers],[Arbeidskosten]],"")))</f>
        <v/>
      </c>
      <c r="AR381" t="str">
        <f>IF(ISNUMBER(FIND("arbeid",Methode_Keuze)),"",IF(ISNUMBER(FIND("arbeid",Methode_Keuze)),"",IF(Tb_Activiteiten[[#This Row],[Arbeidskosten op basis van IKS]]=1,Tb_Activiteiten[[#Headers],[Arbeidskosten op basis van IKS]],"")))</f>
        <v/>
      </c>
      <c r="AS381" t="str">
        <f>IF(ISNUMBER(FIND("overige",Methode_Keuze)),"",IF(Tb_Activiteiten[[#This Row],[Kosten derden exclusief btw]]=1,Tb_Activiteiten[[#Headers],[Kosten derden exclusief btw]],""))</f>
        <v/>
      </c>
      <c r="AT381" t="str">
        <f>IF(ISNUMBER(FIND("overige",Methode_Keuze)),"",IF(Tb_Activiteiten[[#This Row],[Niet verrekenbare btw]]=1,Tb_Activiteiten[[#Headers],[Niet verrekenbare btw]],""))</f>
        <v/>
      </c>
      <c r="AU381" t="str">
        <f>IF(ISNUMBER(FIND("overige",Methode_Keuze)),"",IF(Tb_Activiteiten[[#This Row],[Grondkosten]]=1,Tb_Activiteiten[[#Headers],[Grondkosten]],""))</f>
        <v/>
      </c>
      <c r="AV381" t="str">
        <f>IF(ISNUMBER(FIND("overige",Methode_Keuze)),"",IF(Tb_Activiteiten[[#This Row],[Bijdrage in natura (overige)]]=1,Tb_Activiteiten[[#Headers],[Bijdrage in natura (overige)]],""))</f>
        <v/>
      </c>
      <c r="AW381" t="str">
        <f>IF(ISNUMBER(FIND("overige",Methode_Keuze)),"",IF(Tb_Activiteiten[[#This Row],[Bijdrage in natura (vrijwilligers)]]=1,Tb_Activiteiten[[#Headers],[Bijdrage in natura (vrijwilligers)]],""))</f>
        <v/>
      </c>
      <c r="AX381" t="str">
        <f>IF(ISNUMBER(FIND("overige",Methode_Keuze)),"",IF(Tb_Activiteiten[[#This Row],[Afschrijvingskosten]]=1,Tb_Activiteiten[[#Headers],[Afschrijvingskosten]],""))</f>
        <v/>
      </c>
      <c r="AY381" t="str">
        <f>IF(ISNUMBER(FIND("overige",Methode_Keuze)),"",IF(Tb_Activiteiten[[#This Row],[Vergoeding]]=1,Tb_Activiteiten[[#Headers],[Vergoeding]],""))</f>
        <v/>
      </c>
      <c r="AZ381" t="str">
        <f>IF(ISNUMBER(FIND("arbeid",Methode_Keuze)),"",IF(Tb_Activiteiten[[#This Row],[Arbeidskosten - vast tarief (excl eigen arbeid)]]=1,Tb_Activiteiten[[#Headers],[Arbeidskosten - vast tarief (excl eigen arbeid)]],""))</f>
        <v/>
      </c>
      <c r="BA381" t="str">
        <f>IF(ISNUMBER(FIND("overige",Methode_Keuze)),"",IF(Tb_Activiteiten[[#This Row],[Overige kosten]]=1,Tb_Activiteiten[[#Headers],[Overige kosten]],""))</f>
        <v/>
      </c>
    </row>
    <row r="382" spans="1:53" x14ac:dyDescent="0.25">
      <c r="A382" s="231"/>
      <c r="F382" s="64"/>
      <c r="G382" s="64"/>
      <c r="H382" s="275"/>
      <c r="I382" s="275"/>
      <c r="J382" s="275"/>
      <c r="K382" s="275"/>
      <c r="O382" s="56"/>
      <c r="Q382" t="str">
        <f>IFERROR(IF(VLOOKUP(Tb_Activiteiten[[#This Row],[Openstelling]],Tb_Openstelling[],2,0)=1,1,""),"")</f>
        <v/>
      </c>
      <c r="AK382" t="str">
        <f>IF(ISNUMBER(FIND("arbeid",Methode_Keuze)),"",IF(ISNUMBER(FIND("arbeid",Methode_Keuze)),"",IF(Tb_Activiteiten[[#This Row],[Loonkosten]]=1,Tb_Activiteiten[[#Headers],[Loonkosten]],"")))</f>
        <v/>
      </c>
      <c r="AL382" t="str">
        <f>IF(ISNUMBER(FIND("arbeid",Methode_Keuze)),"",IF(ISNUMBER(FIND("arbeid",Methode_Keuze)),"",IF(Tb_Activiteiten[[#This Row],[Eigen arbeid]]=1,Tb_Activiteiten[[#Headers],[Eigen arbeid]],"")))</f>
        <v/>
      </c>
      <c r="AM382" t="str">
        <f>IF(ISNUMBER(FIND("arbeid",Methode_Keuze)),"",IF(ISNUMBER(FIND("arbeid",Methode_Keuze)),"",IF(Tb_Activiteiten[[#This Row],[Projectmedewerker]]=1,Tb_Activiteiten[[#Headers],[Projectmedewerker]],"")))</f>
        <v/>
      </c>
      <c r="AN382" t="str">
        <f>IF(ISNUMBER(FIND("arbeid",Methode_Keuze)),"",IF(ISNUMBER(FIND("arbeid",Methode_Keuze)),"",IF(Tb_Activiteiten[[#This Row],[Landbouwer]]=1,Tb_Activiteiten[[#Headers],[Landbouwer]],"")))</f>
        <v/>
      </c>
      <c r="AO382" t="str">
        <f>IF(ISNUMBER(FIND("arbeid",Methode_Keuze)),"",IF(ISNUMBER(FIND("arbeid",Methode_Keuze)),"",IF(Tb_Activiteiten[[#This Row],[Adviseur]]=1,Tb_Activiteiten[[#Headers],[Adviseur]],"")))</f>
        <v/>
      </c>
      <c r="AP382" t="str">
        <f>IF(ISNUMBER(FIND("arbeid",Methode_Keuze)),"",IF(ISNUMBER(FIND("arbeid",Methode_Keuze)),"",IF(Tb_Activiteiten[[#This Row],[Projectleider/Expert]]=1,Tb_Activiteiten[[#Headers],[Projectleider/Expert]],"")))</f>
        <v/>
      </c>
      <c r="AQ382" t="str">
        <f>IF(ISNUMBER(FIND("arbeid",Methode_Keuze)),"",IF(ISNUMBER(FIND("arbeid",Methode_Keuze)),"",IF(Tb_Activiteiten[[#This Row],[Arbeidskosten]]=1,Tb_Activiteiten[[#Headers],[Arbeidskosten]],"")))</f>
        <v/>
      </c>
      <c r="AR382" t="str">
        <f>IF(ISNUMBER(FIND("arbeid",Methode_Keuze)),"",IF(ISNUMBER(FIND("arbeid",Methode_Keuze)),"",IF(Tb_Activiteiten[[#This Row],[Arbeidskosten op basis van IKS]]=1,Tb_Activiteiten[[#Headers],[Arbeidskosten op basis van IKS]],"")))</f>
        <v/>
      </c>
      <c r="AS382" t="str">
        <f>IF(ISNUMBER(FIND("overige",Methode_Keuze)),"",IF(Tb_Activiteiten[[#This Row],[Kosten derden exclusief btw]]=1,Tb_Activiteiten[[#Headers],[Kosten derden exclusief btw]],""))</f>
        <v/>
      </c>
      <c r="AT382" t="str">
        <f>IF(ISNUMBER(FIND("overige",Methode_Keuze)),"",IF(Tb_Activiteiten[[#This Row],[Niet verrekenbare btw]]=1,Tb_Activiteiten[[#Headers],[Niet verrekenbare btw]],""))</f>
        <v/>
      </c>
      <c r="AU382" t="str">
        <f>IF(ISNUMBER(FIND("overige",Methode_Keuze)),"",IF(Tb_Activiteiten[[#This Row],[Grondkosten]]=1,Tb_Activiteiten[[#Headers],[Grondkosten]],""))</f>
        <v/>
      </c>
      <c r="AV382" t="str">
        <f>IF(ISNUMBER(FIND("overige",Methode_Keuze)),"",IF(Tb_Activiteiten[[#This Row],[Bijdrage in natura (overige)]]=1,Tb_Activiteiten[[#Headers],[Bijdrage in natura (overige)]],""))</f>
        <v/>
      </c>
      <c r="AW382" t="str">
        <f>IF(ISNUMBER(FIND("overige",Methode_Keuze)),"",IF(Tb_Activiteiten[[#This Row],[Bijdrage in natura (vrijwilligers)]]=1,Tb_Activiteiten[[#Headers],[Bijdrage in natura (vrijwilligers)]],""))</f>
        <v/>
      </c>
      <c r="AX382" t="str">
        <f>IF(ISNUMBER(FIND("overige",Methode_Keuze)),"",IF(Tb_Activiteiten[[#This Row],[Afschrijvingskosten]]=1,Tb_Activiteiten[[#Headers],[Afschrijvingskosten]],""))</f>
        <v/>
      </c>
      <c r="AY382" t="str">
        <f>IF(ISNUMBER(FIND("overige",Methode_Keuze)),"",IF(Tb_Activiteiten[[#This Row],[Vergoeding]]=1,Tb_Activiteiten[[#Headers],[Vergoeding]],""))</f>
        <v/>
      </c>
      <c r="AZ382" t="str">
        <f>IF(ISNUMBER(FIND("arbeid",Methode_Keuze)),"",IF(Tb_Activiteiten[[#This Row],[Arbeidskosten - vast tarief (excl eigen arbeid)]]=1,Tb_Activiteiten[[#Headers],[Arbeidskosten - vast tarief (excl eigen arbeid)]],""))</f>
        <v/>
      </c>
      <c r="BA382" t="str">
        <f>IF(ISNUMBER(FIND("overige",Methode_Keuze)),"",IF(Tb_Activiteiten[[#This Row],[Overige kosten]]=1,Tb_Activiteiten[[#Headers],[Overige kosten]],""))</f>
        <v/>
      </c>
    </row>
    <row r="383" spans="1:53" x14ac:dyDescent="0.25">
      <c r="A383" s="231"/>
      <c r="F383" s="64"/>
      <c r="G383" s="64"/>
      <c r="H383" s="275"/>
      <c r="I383" s="275"/>
      <c r="J383" s="275"/>
      <c r="K383" s="275"/>
      <c r="O383" s="56"/>
      <c r="Q383" t="str">
        <f>IFERROR(IF(VLOOKUP(Tb_Activiteiten[[#This Row],[Openstelling]],Tb_Openstelling[],2,0)=1,1,""),"")</f>
        <v/>
      </c>
      <c r="AK383" t="str">
        <f>IF(ISNUMBER(FIND("arbeid",Methode_Keuze)),"",IF(ISNUMBER(FIND("arbeid",Methode_Keuze)),"",IF(Tb_Activiteiten[[#This Row],[Loonkosten]]=1,Tb_Activiteiten[[#Headers],[Loonkosten]],"")))</f>
        <v/>
      </c>
      <c r="AL383" t="str">
        <f>IF(ISNUMBER(FIND("arbeid",Methode_Keuze)),"",IF(ISNUMBER(FIND("arbeid",Methode_Keuze)),"",IF(Tb_Activiteiten[[#This Row],[Eigen arbeid]]=1,Tb_Activiteiten[[#Headers],[Eigen arbeid]],"")))</f>
        <v/>
      </c>
      <c r="AM383" t="str">
        <f>IF(ISNUMBER(FIND("arbeid",Methode_Keuze)),"",IF(ISNUMBER(FIND("arbeid",Methode_Keuze)),"",IF(Tb_Activiteiten[[#This Row],[Projectmedewerker]]=1,Tb_Activiteiten[[#Headers],[Projectmedewerker]],"")))</f>
        <v/>
      </c>
      <c r="AN383" t="str">
        <f>IF(ISNUMBER(FIND("arbeid",Methode_Keuze)),"",IF(ISNUMBER(FIND("arbeid",Methode_Keuze)),"",IF(Tb_Activiteiten[[#This Row],[Landbouwer]]=1,Tb_Activiteiten[[#Headers],[Landbouwer]],"")))</f>
        <v/>
      </c>
      <c r="AO383" t="str">
        <f>IF(ISNUMBER(FIND("arbeid",Methode_Keuze)),"",IF(ISNUMBER(FIND("arbeid",Methode_Keuze)),"",IF(Tb_Activiteiten[[#This Row],[Adviseur]]=1,Tb_Activiteiten[[#Headers],[Adviseur]],"")))</f>
        <v/>
      </c>
      <c r="AP383" t="str">
        <f>IF(ISNUMBER(FIND("arbeid",Methode_Keuze)),"",IF(ISNUMBER(FIND("arbeid",Methode_Keuze)),"",IF(Tb_Activiteiten[[#This Row],[Projectleider/Expert]]=1,Tb_Activiteiten[[#Headers],[Projectleider/Expert]],"")))</f>
        <v/>
      </c>
      <c r="AQ383" t="str">
        <f>IF(ISNUMBER(FIND("arbeid",Methode_Keuze)),"",IF(ISNUMBER(FIND("arbeid",Methode_Keuze)),"",IF(Tb_Activiteiten[[#This Row],[Arbeidskosten]]=1,Tb_Activiteiten[[#Headers],[Arbeidskosten]],"")))</f>
        <v/>
      </c>
      <c r="AR383" t="str">
        <f>IF(ISNUMBER(FIND("arbeid",Methode_Keuze)),"",IF(ISNUMBER(FIND("arbeid",Methode_Keuze)),"",IF(Tb_Activiteiten[[#This Row],[Arbeidskosten op basis van IKS]]=1,Tb_Activiteiten[[#Headers],[Arbeidskosten op basis van IKS]],"")))</f>
        <v/>
      </c>
      <c r="AS383" t="str">
        <f>IF(ISNUMBER(FIND("overige",Methode_Keuze)),"",IF(Tb_Activiteiten[[#This Row],[Kosten derden exclusief btw]]=1,Tb_Activiteiten[[#Headers],[Kosten derden exclusief btw]],""))</f>
        <v/>
      </c>
      <c r="AT383" t="str">
        <f>IF(ISNUMBER(FIND("overige",Methode_Keuze)),"",IF(Tb_Activiteiten[[#This Row],[Niet verrekenbare btw]]=1,Tb_Activiteiten[[#Headers],[Niet verrekenbare btw]],""))</f>
        <v/>
      </c>
      <c r="AU383" t="str">
        <f>IF(ISNUMBER(FIND("overige",Methode_Keuze)),"",IF(Tb_Activiteiten[[#This Row],[Grondkosten]]=1,Tb_Activiteiten[[#Headers],[Grondkosten]],""))</f>
        <v/>
      </c>
      <c r="AV383" t="str">
        <f>IF(ISNUMBER(FIND("overige",Methode_Keuze)),"",IF(Tb_Activiteiten[[#This Row],[Bijdrage in natura (overige)]]=1,Tb_Activiteiten[[#Headers],[Bijdrage in natura (overige)]],""))</f>
        <v/>
      </c>
      <c r="AW383" t="str">
        <f>IF(ISNUMBER(FIND("overige",Methode_Keuze)),"",IF(Tb_Activiteiten[[#This Row],[Bijdrage in natura (vrijwilligers)]]=1,Tb_Activiteiten[[#Headers],[Bijdrage in natura (vrijwilligers)]],""))</f>
        <v/>
      </c>
      <c r="AX383" t="str">
        <f>IF(ISNUMBER(FIND("overige",Methode_Keuze)),"",IF(Tb_Activiteiten[[#This Row],[Afschrijvingskosten]]=1,Tb_Activiteiten[[#Headers],[Afschrijvingskosten]],""))</f>
        <v/>
      </c>
      <c r="AY383" t="str">
        <f>IF(ISNUMBER(FIND("overige",Methode_Keuze)),"",IF(Tb_Activiteiten[[#This Row],[Vergoeding]]=1,Tb_Activiteiten[[#Headers],[Vergoeding]],""))</f>
        <v/>
      </c>
      <c r="AZ383" t="str">
        <f>IF(ISNUMBER(FIND("arbeid",Methode_Keuze)),"",IF(Tb_Activiteiten[[#This Row],[Arbeidskosten - vast tarief (excl eigen arbeid)]]=1,Tb_Activiteiten[[#Headers],[Arbeidskosten - vast tarief (excl eigen arbeid)]],""))</f>
        <v/>
      </c>
      <c r="BA383" t="str">
        <f>IF(ISNUMBER(FIND("overige",Methode_Keuze)),"",IF(Tb_Activiteiten[[#This Row],[Overige kosten]]=1,Tb_Activiteiten[[#Headers],[Overige kosten]],""))</f>
        <v/>
      </c>
    </row>
    <row r="384" spans="1:53" x14ac:dyDescent="0.25">
      <c r="A384" s="231"/>
      <c r="F384" s="64"/>
      <c r="G384" s="64"/>
      <c r="H384" s="275"/>
      <c r="I384" s="275"/>
      <c r="J384" s="275"/>
      <c r="K384" s="275"/>
      <c r="O384" s="56"/>
      <c r="Q384" t="str">
        <f>IFERROR(IF(VLOOKUP(Tb_Activiteiten[[#This Row],[Openstelling]],Tb_Openstelling[],2,0)=1,1,""),"")</f>
        <v/>
      </c>
      <c r="AK384" t="str">
        <f>IF(ISNUMBER(FIND("arbeid",Methode_Keuze)),"",IF(ISNUMBER(FIND("arbeid",Methode_Keuze)),"",IF(Tb_Activiteiten[[#This Row],[Loonkosten]]=1,Tb_Activiteiten[[#Headers],[Loonkosten]],"")))</f>
        <v/>
      </c>
      <c r="AL384" t="str">
        <f>IF(ISNUMBER(FIND("arbeid",Methode_Keuze)),"",IF(ISNUMBER(FIND("arbeid",Methode_Keuze)),"",IF(Tb_Activiteiten[[#This Row],[Eigen arbeid]]=1,Tb_Activiteiten[[#Headers],[Eigen arbeid]],"")))</f>
        <v/>
      </c>
      <c r="AM384" t="str">
        <f>IF(ISNUMBER(FIND("arbeid",Methode_Keuze)),"",IF(ISNUMBER(FIND("arbeid",Methode_Keuze)),"",IF(Tb_Activiteiten[[#This Row],[Projectmedewerker]]=1,Tb_Activiteiten[[#Headers],[Projectmedewerker]],"")))</f>
        <v/>
      </c>
      <c r="AN384" t="str">
        <f>IF(ISNUMBER(FIND("arbeid",Methode_Keuze)),"",IF(ISNUMBER(FIND("arbeid",Methode_Keuze)),"",IF(Tb_Activiteiten[[#This Row],[Landbouwer]]=1,Tb_Activiteiten[[#Headers],[Landbouwer]],"")))</f>
        <v/>
      </c>
      <c r="AO384" t="str">
        <f>IF(ISNUMBER(FIND("arbeid",Methode_Keuze)),"",IF(ISNUMBER(FIND("arbeid",Methode_Keuze)),"",IF(Tb_Activiteiten[[#This Row],[Adviseur]]=1,Tb_Activiteiten[[#Headers],[Adviseur]],"")))</f>
        <v/>
      </c>
      <c r="AP384" t="str">
        <f>IF(ISNUMBER(FIND("arbeid",Methode_Keuze)),"",IF(ISNUMBER(FIND("arbeid",Methode_Keuze)),"",IF(Tb_Activiteiten[[#This Row],[Projectleider/Expert]]=1,Tb_Activiteiten[[#Headers],[Projectleider/Expert]],"")))</f>
        <v/>
      </c>
      <c r="AQ384" t="str">
        <f>IF(ISNUMBER(FIND("arbeid",Methode_Keuze)),"",IF(ISNUMBER(FIND("arbeid",Methode_Keuze)),"",IF(Tb_Activiteiten[[#This Row],[Arbeidskosten]]=1,Tb_Activiteiten[[#Headers],[Arbeidskosten]],"")))</f>
        <v/>
      </c>
      <c r="AR384" t="str">
        <f>IF(ISNUMBER(FIND("arbeid",Methode_Keuze)),"",IF(ISNUMBER(FIND("arbeid",Methode_Keuze)),"",IF(Tb_Activiteiten[[#This Row],[Arbeidskosten op basis van IKS]]=1,Tb_Activiteiten[[#Headers],[Arbeidskosten op basis van IKS]],"")))</f>
        <v/>
      </c>
      <c r="AS384" t="str">
        <f>IF(ISNUMBER(FIND("overige",Methode_Keuze)),"",IF(Tb_Activiteiten[[#This Row],[Kosten derden exclusief btw]]=1,Tb_Activiteiten[[#Headers],[Kosten derden exclusief btw]],""))</f>
        <v/>
      </c>
      <c r="AT384" t="str">
        <f>IF(ISNUMBER(FIND("overige",Methode_Keuze)),"",IF(Tb_Activiteiten[[#This Row],[Niet verrekenbare btw]]=1,Tb_Activiteiten[[#Headers],[Niet verrekenbare btw]],""))</f>
        <v/>
      </c>
      <c r="AU384" t="str">
        <f>IF(ISNUMBER(FIND("overige",Methode_Keuze)),"",IF(Tb_Activiteiten[[#This Row],[Grondkosten]]=1,Tb_Activiteiten[[#Headers],[Grondkosten]],""))</f>
        <v/>
      </c>
      <c r="AV384" t="str">
        <f>IF(ISNUMBER(FIND("overige",Methode_Keuze)),"",IF(Tb_Activiteiten[[#This Row],[Bijdrage in natura (overige)]]=1,Tb_Activiteiten[[#Headers],[Bijdrage in natura (overige)]],""))</f>
        <v/>
      </c>
      <c r="AW384" t="str">
        <f>IF(ISNUMBER(FIND("overige",Methode_Keuze)),"",IF(Tb_Activiteiten[[#This Row],[Bijdrage in natura (vrijwilligers)]]=1,Tb_Activiteiten[[#Headers],[Bijdrage in natura (vrijwilligers)]],""))</f>
        <v/>
      </c>
      <c r="AX384" t="str">
        <f>IF(ISNUMBER(FIND("overige",Methode_Keuze)),"",IF(Tb_Activiteiten[[#This Row],[Afschrijvingskosten]]=1,Tb_Activiteiten[[#Headers],[Afschrijvingskosten]],""))</f>
        <v/>
      </c>
      <c r="AY384" t="str">
        <f>IF(ISNUMBER(FIND("overige",Methode_Keuze)),"",IF(Tb_Activiteiten[[#This Row],[Vergoeding]]=1,Tb_Activiteiten[[#Headers],[Vergoeding]],""))</f>
        <v/>
      </c>
      <c r="AZ384" t="str">
        <f>IF(ISNUMBER(FIND("arbeid",Methode_Keuze)),"",IF(Tb_Activiteiten[[#This Row],[Arbeidskosten - vast tarief (excl eigen arbeid)]]=1,Tb_Activiteiten[[#Headers],[Arbeidskosten - vast tarief (excl eigen arbeid)]],""))</f>
        <v/>
      </c>
      <c r="BA384" t="str">
        <f>IF(ISNUMBER(FIND("overige",Methode_Keuze)),"",IF(Tb_Activiteiten[[#This Row],[Overige kosten]]=1,Tb_Activiteiten[[#Headers],[Overige kosten]],""))</f>
        <v/>
      </c>
    </row>
    <row r="385" spans="1:53" x14ac:dyDescent="0.25">
      <c r="A385" s="231"/>
      <c r="F385" s="64"/>
      <c r="G385" s="64"/>
      <c r="H385" s="275"/>
      <c r="I385" s="275"/>
      <c r="J385" s="275"/>
      <c r="K385" s="275"/>
      <c r="O385" s="56"/>
      <c r="Q385" t="str">
        <f>IFERROR(IF(VLOOKUP(Tb_Activiteiten[[#This Row],[Openstelling]],Tb_Openstelling[],2,0)=1,1,""),"")</f>
        <v/>
      </c>
      <c r="AK385" t="str">
        <f>IF(ISNUMBER(FIND("arbeid",Methode_Keuze)),"",IF(ISNUMBER(FIND("arbeid",Methode_Keuze)),"",IF(Tb_Activiteiten[[#This Row],[Loonkosten]]=1,Tb_Activiteiten[[#Headers],[Loonkosten]],"")))</f>
        <v/>
      </c>
      <c r="AL385" t="str">
        <f>IF(ISNUMBER(FIND("arbeid",Methode_Keuze)),"",IF(ISNUMBER(FIND("arbeid",Methode_Keuze)),"",IF(Tb_Activiteiten[[#This Row],[Eigen arbeid]]=1,Tb_Activiteiten[[#Headers],[Eigen arbeid]],"")))</f>
        <v/>
      </c>
      <c r="AM385" t="str">
        <f>IF(ISNUMBER(FIND("arbeid",Methode_Keuze)),"",IF(ISNUMBER(FIND("arbeid",Methode_Keuze)),"",IF(Tb_Activiteiten[[#This Row],[Projectmedewerker]]=1,Tb_Activiteiten[[#Headers],[Projectmedewerker]],"")))</f>
        <v/>
      </c>
      <c r="AN385" t="str">
        <f>IF(ISNUMBER(FIND("arbeid",Methode_Keuze)),"",IF(ISNUMBER(FIND("arbeid",Methode_Keuze)),"",IF(Tb_Activiteiten[[#This Row],[Landbouwer]]=1,Tb_Activiteiten[[#Headers],[Landbouwer]],"")))</f>
        <v/>
      </c>
      <c r="AO385" t="str">
        <f>IF(ISNUMBER(FIND("arbeid",Methode_Keuze)),"",IF(ISNUMBER(FIND("arbeid",Methode_Keuze)),"",IF(Tb_Activiteiten[[#This Row],[Adviseur]]=1,Tb_Activiteiten[[#Headers],[Adviseur]],"")))</f>
        <v/>
      </c>
      <c r="AP385" t="str">
        <f>IF(ISNUMBER(FIND("arbeid",Methode_Keuze)),"",IF(ISNUMBER(FIND("arbeid",Methode_Keuze)),"",IF(Tb_Activiteiten[[#This Row],[Projectleider/Expert]]=1,Tb_Activiteiten[[#Headers],[Projectleider/Expert]],"")))</f>
        <v/>
      </c>
      <c r="AQ385" t="str">
        <f>IF(ISNUMBER(FIND("arbeid",Methode_Keuze)),"",IF(ISNUMBER(FIND("arbeid",Methode_Keuze)),"",IF(Tb_Activiteiten[[#This Row],[Arbeidskosten]]=1,Tb_Activiteiten[[#Headers],[Arbeidskosten]],"")))</f>
        <v/>
      </c>
      <c r="AR385" t="str">
        <f>IF(ISNUMBER(FIND("arbeid",Methode_Keuze)),"",IF(ISNUMBER(FIND("arbeid",Methode_Keuze)),"",IF(Tb_Activiteiten[[#This Row],[Arbeidskosten op basis van IKS]]=1,Tb_Activiteiten[[#Headers],[Arbeidskosten op basis van IKS]],"")))</f>
        <v/>
      </c>
      <c r="AS385" t="str">
        <f>IF(ISNUMBER(FIND("overige",Methode_Keuze)),"",IF(Tb_Activiteiten[[#This Row],[Kosten derden exclusief btw]]=1,Tb_Activiteiten[[#Headers],[Kosten derden exclusief btw]],""))</f>
        <v/>
      </c>
      <c r="AT385" t="str">
        <f>IF(ISNUMBER(FIND("overige",Methode_Keuze)),"",IF(Tb_Activiteiten[[#This Row],[Niet verrekenbare btw]]=1,Tb_Activiteiten[[#Headers],[Niet verrekenbare btw]],""))</f>
        <v/>
      </c>
      <c r="AU385" t="str">
        <f>IF(ISNUMBER(FIND("overige",Methode_Keuze)),"",IF(Tb_Activiteiten[[#This Row],[Grondkosten]]=1,Tb_Activiteiten[[#Headers],[Grondkosten]],""))</f>
        <v/>
      </c>
      <c r="AV385" t="str">
        <f>IF(ISNUMBER(FIND("overige",Methode_Keuze)),"",IF(Tb_Activiteiten[[#This Row],[Bijdrage in natura (overige)]]=1,Tb_Activiteiten[[#Headers],[Bijdrage in natura (overige)]],""))</f>
        <v/>
      </c>
      <c r="AW385" t="str">
        <f>IF(ISNUMBER(FIND("overige",Methode_Keuze)),"",IF(Tb_Activiteiten[[#This Row],[Bijdrage in natura (vrijwilligers)]]=1,Tb_Activiteiten[[#Headers],[Bijdrage in natura (vrijwilligers)]],""))</f>
        <v/>
      </c>
      <c r="AX385" t="str">
        <f>IF(ISNUMBER(FIND("overige",Methode_Keuze)),"",IF(Tb_Activiteiten[[#This Row],[Afschrijvingskosten]]=1,Tb_Activiteiten[[#Headers],[Afschrijvingskosten]],""))</f>
        <v/>
      </c>
      <c r="AY385" t="str">
        <f>IF(ISNUMBER(FIND("overige",Methode_Keuze)),"",IF(Tb_Activiteiten[[#This Row],[Vergoeding]]=1,Tb_Activiteiten[[#Headers],[Vergoeding]],""))</f>
        <v/>
      </c>
      <c r="AZ385" t="str">
        <f>IF(ISNUMBER(FIND("arbeid",Methode_Keuze)),"",IF(Tb_Activiteiten[[#This Row],[Arbeidskosten - vast tarief (excl eigen arbeid)]]=1,Tb_Activiteiten[[#Headers],[Arbeidskosten - vast tarief (excl eigen arbeid)]],""))</f>
        <v/>
      </c>
      <c r="BA385" t="str">
        <f>IF(ISNUMBER(FIND("overige",Methode_Keuze)),"",IF(Tb_Activiteiten[[#This Row],[Overige kosten]]=1,Tb_Activiteiten[[#Headers],[Overige kosten]],""))</f>
        <v/>
      </c>
    </row>
    <row r="386" spans="1:53" x14ac:dyDescent="0.25">
      <c r="A386" s="231"/>
      <c r="F386" s="64"/>
      <c r="G386" s="64"/>
      <c r="H386" s="275"/>
      <c r="I386" s="275"/>
      <c r="J386" s="275"/>
      <c r="K386" s="275"/>
      <c r="O386" s="56"/>
      <c r="Q386" t="str">
        <f>IFERROR(IF(VLOOKUP(Tb_Activiteiten[[#This Row],[Openstelling]],Tb_Openstelling[],2,0)=1,1,""),"")</f>
        <v/>
      </c>
      <c r="AK386" t="str">
        <f>IF(ISNUMBER(FIND("arbeid",Methode_Keuze)),"",IF(ISNUMBER(FIND("arbeid",Methode_Keuze)),"",IF(Tb_Activiteiten[[#This Row],[Loonkosten]]=1,Tb_Activiteiten[[#Headers],[Loonkosten]],"")))</f>
        <v/>
      </c>
      <c r="AL386" t="str">
        <f>IF(ISNUMBER(FIND("arbeid",Methode_Keuze)),"",IF(ISNUMBER(FIND("arbeid",Methode_Keuze)),"",IF(Tb_Activiteiten[[#This Row],[Eigen arbeid]]=1,Tb_Activiteiten[[#Headers],[Eigen arbeid]],"")))</f>
        <v/>
      </c>
      <c r="AM386" t="str">
        <f>IF(ISNUMBER(FIND("arbeid",Methode_Keuze)),"",IF(ISNUMBER(FIND("arbeid",Methode_Keuze)),"",IF(Tb_Activiteiten[[#This Row],[Projectmedewerker]]=1,Tb_Activiteiten[[#Headers],[Projectmedewerker]],"")))</f>
        <v/>
      </c>
      <c r="AN386" t="str">
        <f>IF(ISNUMBER(FIND("arbeid",Methode_Keuze)),"",IF(ISNUMBER(FIND("arbeid",Methode_Keuze)),"",IF(Tb_Activiteiten[[#This Row],[Landbouwer]]=1,Tb_Activiteiten[[#Headers],[Landbouwer]],"")))</f>
        <v/>
      </c>
      <c r="AO386" t="str">
        <f>IF(ISNUMBER(FIND("arbeid",Methode_Keuze)),"",IF(ISNUMBER(FIND("arbeid",Methode_Keuze)),"",IF(Tb_Activiteiten[[#This Row],[Adviseur]]=1,Tb_Activiteiten[[#Headers],[Adviseur]],"")))</f>
        <v/>
      </c>
      <c r="AP386" t="str">
        <f>IF(ISNUMBER(FIND("arbeid",Methode_Keuze)),"",IF(ISNUMBER(FIND("arbeid",Methode_Keuze)),"",IF(Tb_Activiteiten[[#This Row],[Projectleider/Expert]]=1,Tb_Activiteiten[[#Headers],[Projectleider/Expert]],"")))</f>
        <v/>
      </c>
      <c r="AQ386" t="str">
        <f>IF(ISNUMBER(FIND("arbeid",Methode_Keuze)),"",IF(ISNUMBER(FIND("arbeid",Methode_Keuze)),"",IF(Tb_Activiteiten[[#This Row],[Arbeidskosten]]=1,Tb_Activiteiten[[#Headers],[Arbeidskosten]],"")))</f>
        <v/>
      </c>
      <c r="AR386" t="str">
        <f>IF(ISNUMBER(FIND("arbeid",Methode_Keuze)),"",IF(ISNUMBER(FIND("arbeid",Methode_Keuze)),"",IF(Tb_Activiteiten[[#This Row],[Arbeidskosten op basis van IKS]]=1,Tb_Activiteiten[[#Headers],[Arbeidskosten op basis van IKS]],"")))</f>
        <v/>
      </c>
      <c r="AS386" t="str">
        <f>IF(ISNUMBER(FIND("overige",Methode_Keuze)),"",IF(Tb_Activiteiten[[#This Row],[Kosten derden exclusief btw]]=1,Tb_Activiteiten[[#Headers],[Kosten derden exclusief btw]],""))</f>
        <v/>
      </c>
      <c r="AT386" t="str">
        <f>IF(ISNUMBER(FIND("overige",Methode_Keuze)),"",IF(Tb_Activiteiten[[#This Row],[Niet verrekenbare btw]]=1,Tb_Activiteiten[[#Headers],[Niet verrekenbare btw]],""))</f>
        <v/>
      </c>
      <c r="AU386" t="str">
        <f>IF(ISNUMBER(FIND("overige",Methode_Keuze)),"",IF(Tb_Activiteiten[[#This Row],[Grondkosten]]=1,Tb_Activiteiten[[#Headers],[Grondkosten]],""))</f>
        <v/>
      </c>
      <c r="AV386" t="str">
        <f>IF(ISNUMBER(FIND("overige",Methode_Keuze)),"",IF(Tb_Activiteiten[[#This Row],[Bijdrage in natura (overige)]]=1,Tb_Activiteiten[[#Headers],[Bijdrage in natura (overige)]],""))</f>
        <v/>
      </c>
      <c r="AW386" t="str">
        <f>IF(ISNUMBER(FIND("overige",Methode_Keuze)),"",IF(Tb_Activiteiten[[#This Row],[Bijdrage in natura (vrijwilligers)]]=1,Tb_Activiteiten[[#Headers],[Bijdrage in natura (vrijwilligers)]],""))</f>
        <v/>
      </c>
      <c r="AX386" t="str">
        <f>IF(ISNUMBER(FIND("overige",Methode_Keuze)),"",IF(Tb_Activiteiten[[#This Row],[Afschrijvingskosten]]=1,Tb_Activiteiten[[#Headers],[Afschrijvingskosten]],""))</f>
        <v/>
      </c>
      <c r="AY386" t="str">
        <f>IF(ISNUMBER(FIND("overige",Methode_Keuze)),"",IF(Tb_Activiteiten[[#This Row],[Vergoeding]]=1,Tb_Activiteiten[[#Headers],[Vergoeding]],""))</f>
        <v/>
      </c>
      <c r="AZ386" t="str">
        <f>IF(ISNUMBER(FIND("arbeid",Methode_Keuze)),"",IF(Tb_Activiteiten[[#This Row],[Arbeidskosten - vast tarief (excl eigen arbeid)]]=1,Tb_Activiteiten[[#Headers],[Arbeidskosten - vast tarief (excl eigen arbeid)]],""))</f>
        <v/>
      </c>
      <c r="BA386" t="str">
        <f>IF(ISNUMBER(FIND("overige",Methode_Keuze)),"",IF(Tb_Activiteiten[[#This Row],[Overige kosten]]=1,Tb_Activiteiten[[#Headers],[Overige kosten]],""))</f>
        <v/>
      </c>
    </row>
    <row r="387" spans="1:53" x14ac:dyDescent="0.25">
      <c r="A387" s="231"/>
      <c r="F387" s="64"/>
      <c r="G387" s="64"/>
      <c r="H387" s="275"/>
      <c r="I387" s="275"/>
      <c r="J387" s="275"/>
      <c r="K387" s="275"/>
      <c r="O387" s="56"/>
      <c r="Q387" t="str">
        <f>IFERROR(IF(VLOOKUP(Tb_Activiteiten[[#This Row],[Openstelling]],Tb_Openstelling[],2,0)=1,1,""),"")</f>
        <v/>
      </c>
      <c r="AK387" t="str">
        <f>IF(ISNUMBER(FIND("arbeid",Methode_Keuze)),"",IF(ISNUMBER(FIND("arbeid",Methode_Keuze)),"",IF(Tb_Activiteiten[[#This Row],[Loonkosten]]=1,Tb_Activiteiten[[#Headers],[Loonkosten]],"")))</f>
        <v/>
      </c>
      <c r="AL387" t="str">
        <f>IF(ISNUMBER(FIND("arbeid",Methode_Keuze)),"",IF(ISNUMBER(FIND("arbeid",Methode_Keuze)),"",IF(Tb_Activiteiten[[#This Row],[Eigen arbeid]]=1,Tb_Activiteiten[[#Headers],[Eigen arbeid]],"")))</f>
        <v/>
      </c>
      <c r="AM387" t="str">
        <f>IF(ISNUMBER(FIND("arbeid",Methode_Keuze)),"",IF(ISNUMBER(FIND("arbeid",Methode_Keuze)),"",IF(Tb_Activiteiten[[#This Row],[Projectmedewerker]]=1,Tb_Activiteiten[[#Headers],[Projectmedewerker]],"")))</f>
        <v/>
      </c>
      <c r="AN387" t="str">
        <f>IF(ISNUMBER(FIND("arbeid",Methode_Keuze)),"",IF(ISNUMBER(FIND("arbeid",Methode_Keuze)),"",IF(Tb_Activiteiten[[#This Row],[Landbouwer]]=1,Tb_Activiteiten[[#Headers],[Landbouwer]],"")))</f>
        <v/>
      </c>
      <c r="AO387" t="str">
        <f>IF(ISNUMBER(FIND("arbeid",Methode_Keuze)),"",IF(ISNUMBER(FIND("arbeid",Methode_Keuze)),"",IF(Tb_Activiteiten[[#This Row],[Adviseur]]=1,Tb_Activiteiten[[#Headers],[Adviseur]],"")))</f>
        <v/>
      </c>
      <c r="AP387" t="str">
        <f>IF(ISNUMBER(FIND("arbeid",Methode_Keuze)),"",IF(ISNUMBER(FIND("arbeid",Methode_Keuze)),"",IF(Tb_Activiteiten[[#This Row],[Projectleider/Expert]]=1,Tb_Activiteiten[[#Headers],[Projectleider/Expert]],"")))</f>
        <v/>
      </c>
      <c r="AQ387" t="str">
        <f>IF(ISNUMBER(FIND("arbeid",Methode_Keuze)),"",IF(ISNUMBER(FIND("arbeid",Methode_Keuze)),"",IF(Tb_Activiteiten[[#This Row],[Arbeidskosten]]=1,Tb_Activiteiten[[#Headers],[Arbeidskosten]],"")))</f>
        <v/>
      </c>
      <c r="AR387" t="str">
        <f>IF(ISNUMBER(FIND("arbeid",Methode_Keuze)),"",IF(ISNUMBER(FIND("arbeid",Methode_Keuze)),"",IF(Tb_Activiteiten[[#This Row],[Arbeidskosten op basis van IKS]]=1,Tb_Activiteiten[[#Headers],[Arbeidskosten op basis van IKS]],"")))</f>
        <v/>
      </c>
      <c r="AS387" t="str">
        <f>IF(ISNUMBER(FIND("overige",Methode_Keuze)),"",IF(Tb_Activiteiten[[#This Row],[Kosten derden exclusief btw]]=1,Tb_Activiteiten[[#Headers],[Kosten derden exclusief btw]],""))</f>
        <v/>
      </c>
      <c r="AT387" t="str">
        <f>IF(ISNUMBER(FIND("overige",Methode_Keuze)),"",IF(Tb_Activiteiten[[#This Row],[Niet verrekenbare btw]]=1,Tb_Activiteiten[[#Headers],[Niet verrekenbare btw]],""))</f>
        <v/>
      </c>
      <c r="AU387" t="str">
        <f>IF(ISNUMBER(FIND("overige",Methode_Keuze)),"",IF(Tb_Activiteiten[[#This Row],[Grondkosten]]=1,Tb_Activiteiten[[#Headers],[Grondkosten]],""))</f>
        <v/>
      </c>
      <c r="AV387" t="str">
        <f>IF(ISNUMBER(FIND("overige",Methode_Keuze)),"",IF(Tb_Activiteiten[[#This Row],[Bijdrage in natura (overige)]]=1,Tb_Activiteiten[[#Headers],[Bijdrage in natura (overige)]],""))</f>
        <v/>
      </c>
      <c r="AW387" t="str">
        <f>IF(ISNUMBER(FIND("overige",Methode_Keuze)),"",IF(Tb_Activiteiten[[#This Row],[Bijdrage in natura (vrijwilligers)]]=1,Tb_Activiteiten[[#Headers],[Bijdrage in natura (vrijwilligers)]],""))</f>
        <v/>
      </c>
      <c r="AX387" t="str">
        <f>IF(ISNUMBER(FIND("overige",Methode_Keuze)),"",IF(Tb_Activiteiten[[#This Row],[Afschrijvingskosten]]=1,Tb_Activiteiten[[#Headers],[Afschrijvingskosten]],""))</f>
        <v/>
      </c>
      <c r="AY387" t="str">
        <f>IF(ISNUMBER(FIND("overige",Methode_Keuze)),"",IF(Tb_Activiteiten[[#This Row],[Vergoeding]]=1,Tb_Activiteiten[[#Headers],[Vergoeding]],""))</f>
        <v/>
      </c>
      <c r="AZ387" t="str">
        <f>IF(ISNUMBER(FIND("arbeid",Methode_Keuze)),"",IF(Tb_Activiteiten[[#This Row],[Arbeidskosten - vast tarief (excl eigen arbeid)]]=1,Tb_Activiteiten[[#Headers],[Arbeidskosten - vast tarief (excl eigen arbeid)]],""))</f>
        <v/>
      </c>
      <c r="BA387" t="str">
        <f>IF(ISNUMBER(FIND("overige",Methode_Keuze)),"",IF(Tb_Activiteiten[[#This Row],[Overige kosten]]=1,Tb_Activiteiten[[#Headers],[Overige kosten]],""))</f>
        <v/>
      </c>
    </row>
    <row r="388" spans="1:53" x14ac:dyDescent="0.25">
      <c r="A388" s="231"/>
      <c r="F388" s="64"/>
      <c r="G388" s="64"/>
      <c r="H388" s="275"/>
      <c r="I388" s="275"/>
      <c r="J388" s="275"/>
      <c r="K388" s="275"/>
      <c r="O388" s="56"/>
      <c r="Q388" t="str">
        <f>IFERROR(IF(VLOOKUP(Tb_Activiteiten[[#This Row],[Openstelling]],Tb_Openstelling[],2,0)=1,1,""),"")</f>
        <v/>
      </c>
      <c r="AK388" t="str">
        <f>IF(ISNUMBER(FIND("arbeid",Methode_Keuze)),"",IF(ISNUMBER(FIND("arbeid",Methode_Keuze)),"",IF(Tb_Activiteiten[[#This Row],[Loonkosten]]=1,Tb_Activiteiten[[#Headers],[Loonkosten]],"")))</f>
        <v/>
      </c>
      <c r="AL388" t="str">
        <f>IF(ISNUMBER(FIND("arbeid",Methode_Keuze)),"",IF(ISNUMBER(FIND("arbeid",Methode_Keuze)),"",IF(Tb_Activiteiten[[#This Row],[Eigen arbeid]]=1,Tb_Activiteiten[[#Headers],[Eigen arbeid]],"")))</f>
        <v/>
      </c>
      <c r="AM388" t="str">
        <f>IF(ISNUMBER(FIND("arbeid",Methode_Keuze)),"",IF(ISNUMBER(FIND("arbeid",Methode_Keuze)),"",IF(Tb_Activiteiten[[#This Row],[Projectmedewerker]]=1,Tb_Activiteiten[[#Headers],[Projectmedewerker]],"")))</f>
        <v/>
      </c>
      <c r="AN388" t="str">
        <f>IF(ISNUMBER(FIND("arbeid",Methode_Keuze)),"",IF(ISNUMBER(FIND("arbeid",Methode_Keuze)),"",IF(Tb_Activiteiten[[#This Row],[Landbouwer]]=1,Tb_Activiteiten[[#Headers],[Landbouwer]],"")))</f>
        <v/>
      </c>
      <c r="AO388" t="str">
        <f>IF(ISNUMBER(FIND("arbeid",Methode_Keuze)),"",IF(ISNUMBER(FIND("arbeid",Methode_Keuze)),"",IF(Tb_Activiteiten[[#This Row],[Adviseur]]=1,Tb_Activiteiten[[#Headers],[Adviseur]],"")))</f>
        <v/>
      </c>
      <c r="AP388" t="str">
        <f>IF(ISNUMBER(FIND("arbeid",Methode_Keuze)),"",IF(ISNUMBER(FIND("arbeid",Methode_Keuze)),"",IF(Tb_Activiteiten[[#This Row],[Projectleider/Expert]]=1,Tb_Activiteiten[[#Headers],[Projectleider/Expert]],"")))</f>
        <v/>
      </c>
      <c r="AQ388" t="str">
        <f>IF(ISNUMBER(FIND("arbeid",Methode_Keuze)),"",IF(ISNUMBER(FIND("arbeid",Methode_Keuze)),"",IF(Tb_Activiteiten[[#This Row],[Arbeidskosten]]=1,Tb_Activiteiten[[#Headers],[Arbeidskosten]],"")))</f>
        <v/>
      </c>
      <c r="AR388" t="str">
        <f>IF(ISNUMBER(FIND("arbeid",Methode_Keuze)),"",IF(ISNUMBER(FIND("arbeid",Methode_Keuze)),"",IF(Tb_Activiteiten[[#This Row],[Arbeidskosten op basis van IKS]]=1,Tb_Activiteiten[[#Headers],[Arbeidskosten op basis van IKS]],"")))</f>
        <v/>
      </c>
      <c r="AS388" t="str">
        <f>IF(ISNUMBER(FIND("overige",Methode_Keuze)),"",IF(Tb_Activiteiten[[#This Row],[Kosten derden exclusief btw]]=1,Tb_Activiteiten[[#Headers],[Kosten derden exclusief btw]],""))</f>
        <v/>
      </c>
      <c r="AT388" t="str">
        <f>IF(ISNUMBER(FIND("overige",Methode_Keuze)),"",IF(Tb_Activiteiten[[#This Row],[Niet verrekenbare btw]]=1,Tb_Activiteiten[[#Headers],[Niet verrekenbare btw]],""))</f>
        <v/>
      </c>
      <c r="AU388" t="str">
        <f>IF(ISNUMBER(FIND("overige",Methode_Keuze)),"",IF(Tb_Activiteiten[[#This Row],[Grondkosten]]=1,Tb_Activiteiten[[#Headers],[Grondkosten]],""))</f>
        <v/>
      </c>
      <c r="AV388" t="str">
        <f>IF(ISNUMBER(FIND("overige",Methode_Keuze)),"",IF(Tb_Activiteiten[[#This Row],[Bijdrage in natura (overige)]]=1,Tb_Activiteiten[[#Headers],[Bijdrage in natura (overige)]],""))</f>
        <v/>
      </c>
      <c r="AW388" t="str">
        <f>IF(ISNUMBER(FIND("overige",Methode_Keuze)),"",IF(Tb_Activiteiten[[#This Row],[Bijdrage in natura (vrijwilligers)]]=1,Tb_Activiteiten[[#Headers],[Bijdrage in natura (vrijwilligers)]],""))</f>
        <v/>
      </c>
      <c r="AX388" t="str">
        <f>IF(ISNUMBER(FIND("overige",Methode_Keuze)),"",IF(Tb_Activiteiten[[#This Row],[Afschrijvingskosten]]=1,Tb_Activiteiten[[#Headers],[Afschrijvingskosten]],""))</f>
        <v/>
      </c>
      <c r="AY388" t="str">
        <f>IF(ISNUMBER(FIND("overige",Methode_Keuze)),"",IF(Tb_Activiteiten[[#This Row],[Vergoeding]]=1,Tb_Activiteiten[[#Headers],[Vergoeding]],""))</f>
        <v/>
      </c>
      <c r="AZ388" t="str">
        <f>IF(ISNUMBER(FIND("arbeid",Methode_Keuze)),"",IF(Tb_Activiteiten[[#This Row],[Arbeidskosten - vast tarief (excl eigen arbeid)]]=1,Tb_Activiteiten[[#Headers],[Arbeidskosten - vast tarief (excl eigen arbeid)]],""))</f>
        <v/>
      </c>
      <c r="BA388" t="str">
        <f>IF(ISNUMBER(FIND("overige",Methode_Keuze)),"",IF(Tb_Activiteiten[[#This Row],[Overige kosten]]=1,Tb_Activiteiten[[#Headers],[Overige kosten]],""))</f>
        <v/>
      </c>
    </row>
    <row r="389" spans="1:53" x14ac:dyDescent="0.25">
      <c r="A389" s="231"/>
      <c r="F389" s="64"/>
      <c r="G389" s="64"/>
      <c r="H389" s="275"/>
      <c r="I389" s="275"/>
      <c r="J389" s="275"/>
      <c r="K389" s="275"/>
      <c r="O389" s="56"/>
      <c r="Q389" t="str">
        <f>IFERROR(IF(VLOOKUP(Tb_Activiteiten[[#This Row],[Openstelling]],Tb_Openstelling[],2,0)=1,1,""),"")</f>
        <v/>
      </c>
      <c r="AK389" t="str">
        <f>IF(ISNUMBER(FIND("arbeid",Methode_Keuze)),"",IF(ISNUMBER(FIND("arbeid",Methode_Keuze)),"",IF(Tb_Activiteiten[[#This Row],[Loonkosten]]=1,Tb_Activiteiten[[#Headers],[Loonkosten]],"")))</f>
        <v/>
      </c>
      <c r="AL389" t="str">
        <f>IF(ISNUMBER(FIND("arbeid",Methode_Keuze)),"",IF(ISNUMBER(FIND("arbeid",Methode_Keuze)),"",IF(Tb_Activiteiten[[#This Row],[Eigen arbeid]]=1,Tb_Activiteiten[[#Headers],[Eigen arbeid]],"")))</f>
        <v/>
      </c>
      <c r="AM389" t="str">
        <f>IF(ISNUMBER(FIND("arbeid",Methode_Keuze)),"",IF(ISNUMBER(FIND("arbeid",Methode_Keuze)),"",IF(Tb_Activiteiten[[#This Row],[Projectmedewerker]]=1,Tb_Activiteiten[[#Headers],[Projectmedewerker]],"")))</f>
        <v/>
      </c>
      <c r="AN389" t="str">
        <f>IF(ISNUMBER(FIND("arbeid",Methode_Keuze)),"",IF(ISNUMBER(FIND("arbeid",Methode_Keuze)),"",IF(Tb_Activiteiten[[#This Row],[Landbouwer]]=1,Tb_Activiteiten[[#Headers],[Landbouwer]],"")))</f>
        <v/>
      </c>
      <c r="AO389" t="str">
        <f>IF(ISNUMBER(FIND("arbeid",Methode_Keuze)),"",IF(ISNUMBER(FIND("arbeid",Methode_Keuze)),"",IF(Tb_Activiteiten[[#This Row],[Adviseur]]=1,Tb_Activiteiten[[#Headers],[Adviseur]],"")))</f>
        <v/>
      </c>
      <c r="AP389" t="str">
        <f>IF(ISNUMBER(FIND("arbeid",Methode_Keuze)),"",IF(ISNUMBER(FIND("arbeid",Methode_Keuze)),"",IF(Tb_Activiteiten[[#This Row],[Projectleider/Expert]]=1,Tb_Activiteiten[[#Headers],[Projectleider/Expert]],"")))</f>
        <v/>
      </c>
      <c r="AQ389" t="str">
        <f>IF(ISNUMBER(FIND("arbeid",Methode_Keuze)),"",IF(ISNUMBER(FIND("arbeid",Methode_Keuze)),"",IF(Tb_Activiteiten[[#This Row],[Arbeidskosten]]=1,Tb_Activiteiten[[#Headers],[Arbeidskosten]],"")))</f>
        <v/>
      </c>
      <c r="AR389" t="str">
        <f>IF(ISNUMBER(FIND("arbeid",Methode_Keuze)),"",IF(ISNUMBER(FIND("arbeid",Methode_Keuze)),"",IF(Tb_Activiteiten[[#This Row],[Arbeidskosten op basis van IKS]]=1,Tb_Activiteiten[[#Headers],[Arbeidskosten op basis van IKS]],"")))</f>
        <v/>
      </c>
      <c r="AS389" t="str">
        <f>IF(ISNUMBER(FIND("overige",Methode_Keuze)),"",IF(Tb_Activiteiten[[#This Row],[Kosten derden exclusief btw]]=1,Tb_Activiteiten[[#Headers],[Kosten derden exclusief btw]],""))</f>
        <v/>
      </c>
      <c r="AT389" t="str">
        <f>IF(ISNUMBER(FIND("overige",Methode_Keuze)),"",IF(Tb_Activiteiten[[#This Row],[Niet verrekenbare btw]]=1,Tb_Activiteiten[[#Headers],[Niet verrekenbare btw]],""))</f>
        <v/>
      </c>
      <c r="AU389" t="str">
        <f>IF(ISNUMBER(FIND("overige",Methode_Keuze)),"",IF(Tb_Activiteiten[[#This Row],[Grondkosten]]=1,Tb_Activiteiten[[#Headers],[Grondkosten]],""))</f>
        <v/>
      </c>
      <c r="AV389" t="str">
        <f>IF(ISNUMBER(FIND("overige",Methode_Keuze)),"",IF(Tb_Activiteiten[[#This Row],[Bijdrage in natura (overige)]]=1,Tb_Activiteiten[[#Headers],[Bijdrage in natura (overige)]],""))</f>
        <v/>
      </c>
      <c r="AW389" t="str">
        <f>IF(ISNUMBER(FIND("overige",Methode_Keuze)),"",IF(Tb_Activiteiten[[#This Row],[Bijdrage in natura (vrijwilligers)]]=1,Tb_Activiteiten[[#Headers],[Bijdrage in natura (vrijwilligers)]],""))</f>
        <v/>
      </c>
      <c r="AX389" t="str">
        <f>IF(ISNUMBER(FIND("overige",Methode_Keuze)),"",IF(Tb_Activiteiten[[#This Row],[Afschrijvingskosten]]=1,Tb_Activiteiten[[#Headers],[Afschrijvingskosten]],""))</f>
        <v/>
      </c>
      <c r="AY389" t="str">
        <f>IF(ISNUMBER(FIND("overige",Methode_Keuze)),"",IF(Tb_Activiteiten[[#This Row],[Vergoeding]]=1,Tb_Activiteiten[[#Headers],[Vergoeding]],""))</f>
        <v/>
      </c>
      <c r="AZ389" t="str">
        <f>IF(ISNUMBER(FIND("arbeid",Methode_Keuze)),"",IF(Tb_Activiteiten[[#This Row],[Arbeidskosten - vast tarief (excl eigen arbeid)]]=1,Tb_Activiteiten[[#Headers],[Arbeidskosten - vast tarief (excl eigen arbeid)]],""))</f>
        <v/>
      </c>
      <c r="BA389" t="str">
        <f>IF(ISNUMBER(FIND("overige",Methode_Keuze)),"",IF(Tb_Activiteiten[[#This Row],[Overige kosten]]=1,Tb_Activiteiten[[#Headers],[Overige kosten]],""))</f>
        <v/>
      </c>
    </row>
    <row r="390" spans="1:53" x14ac:dyDescent="0.25">
      <c r="A390" s="231"/>
      <c r="F390" s="64"/>
      <c r="G390" s="64"/>
      <c r="H390" s="275"/>
      <c r="I390" s="275"/>
      <c r="J390" s="275"/>
      <c r="K390" s="275"/>
      <c r="O390" s="56"/>
      <c r="Q390" t="str">
        <f>IFERROR(IF(VLOOKUP(Tb_Activiteiten[[#This Row],[Openstelling]],Tb_Openstelling[],2,0)=1,1,""),"")</f>
        <v/>
      </c>
      <c r="AK390" t="str">
        <f>IF(ISNUMBER(FIND("arbeid",Methode_Keuze)),"",IF(ISNUMBER(FIND("arbeid",Methode_Keuze)),"",IF(Tb_Activiteiten[[#This Row],[Loonkosten]]=1,Tb_Activiteiten[[#Headers],[Loonkosten]],"")))</f>
        <v/>
      </c>
      <c r="AL390" t="str">
        <f>IF(ISNUMBER(FIND("arbeid",Methode_Keuze)),"",IF(ISNUMBER(FIND("arbeid",Methode_Keuze)),"",IF(Tb_Activiteiten[[#This Row],[Eigen arbeid]]=1,Tb_Activiteiten[[#Headers],[Eigen arbeid]],"")))</f>
        <v/>
      </c>
      <c r="AM390" t="str">
        <f>IF(ISNUMBER(FIND("arbeid",Methode_Keuze)),"",IF(ISNUMBER(FIND("arbeid",Methode_Keuze)),"",IF(Tb_Activiteiten[[#This Row],[Projectmedewerker]]=1,Tb_Activiteiten[[#Headers],[Projectmedewerker]],"")))</f>
        <v/>
      </c>
      <c r="AN390" t="str">
        <f>IF(ISNUMBER(FIND("arbeid",Methode_Keuze)),"",IF(ISNUMBER(FIND("arbeid",Methode_Keuze)),"",IF(Tb_Activiteiten[[#This Row],[Landbouwer]]=1,Tb_Activiteiten[[#Headers],[Landbouwer]],"")))</f>
        <v/>
      </c>
      <c r="AO390" t="str">
        <f>IF(ISNUMBER(FIND("arbeid",Methode_Keuze)),"",IF(ISNUMBER(FIND("arbeid",Methode_Keuze)),"",IF(Tb_Activiteiten[[#This Row],[Adviseur]]=1,Tb_Activiteiten[[#Headers],[Adviseur]],"")))</f>
        <v/>
      </c>
      <c r="AP390" t="str">
        <f>IF(ISNUMBER(FIND("arbeid",Methode_Keuze)),"",IF(ISNUMBER(FIND("arbeid",Methode_Keuze)),"",IF(Tb_Activiteiten[[#This Row],[Projectleider/Expert]]=1,Tb_Activiteiten[[#Headers],[Projectleider/Expert]],"")))</f>
        <v/>
      </c>
      <c r="AQ390" t="str">
        <f>IF(ISNUMBER(FIND("arbeid",Methode_Keuze)),"",IF(ISNUMBER(FIND("arbeid",Methode_Keuze)),"",IF(Tb_Activiteiten[[#This Row],[Arbeidskosten]]=1,Tb_Activiteiten[[#Headers],[Arbeidskosten]],"")))</f>
        <v/>
      </c>
      <c r="AR390" t="str">
        <f>IF(ISNUMBER(FIND("arbeid",Methode_Keuze)),"",IF(ISNUMBER(FIND("arbeid",Methode_Keuze)),"",IF(Tb_Activiteiten[[#This Row],[Arbeidskosten op basis van IKS]]=1,Tb_Activiteiten[[#Headers],[Arbeidskosten op basis van IKS]],"")))</f>
        <v/>
      </c>
      <c r="AS390" t="str">
        <f>IF(ISNUMBER(FIND("overige",Methode_Keuze)),"",IF(Tb_Activiteiten[[#This Row],[Kosten derden exclusief btw]]=1,Tb_Activiteiten[[#Headers],[Kosten derden exclusief btw]],""))</f>
        <v/>
      </c>
      <c r="AT390" t="str">
        <f>IF(ISNUMBER(FIND("overige",Methode_Keuze)),"",IF(Tb_Activiteiten[[#This Row],[Niet verrekenbare btw]]=1,Tb_Activiteiten[[#Headers],[Niet verrekenbare btw]],""))</f>
        <v/>
      </c>
      <c r="AU390" t="str">
        <f>IF(ISNUMBER(FIND("overige",Methode_Keuze)),"",IF(Tb_Activiteiten[[#This Row],[Grondkosten]]=1,Tb_Activiteiten[[#Headers],[Grondkosten]],""))</f>
        <v/>
      </c>
      <c r="AV390" t="str">
        <f>IF(ISNUMBER(FIND("overige",Methode_Keuze)),"",IF(Tb_Activiteiten[[#This Row],[Bijdrage in natura (overige)]]=1,Tb_Activiteiten[[#Headers],[Bijdrage in natura (overige)]],""))</f>
        <v/>
      </c>
      <c r="AW390" t="str">
        <f>IF(ISNUMBER(FIND("overige",Methode_Keuze)),"",IF(Tb_Activiteiten[[#This Row],[Bijdrage in natura (vrijwilligers)]]=1,Tb_Activiteiten[[#Headers],[Bijdrage in natura (vrijwilligers)]],""))</f>
        <v/>
      </c>
      <c r="AX390" t="str">
        <f>IF(ISNUMBER(FIND("overige",Methode_Keuze)),"",IF(Tb_Activiteiten[[#This Row],[Afschrijvingskosten]]=1,Tb_Activiteiten[[#Headers],[Afschrijvingskosten]],""))</f>
        <v/>
      </c>
      <c r="AY390" t="str">
        <f>IF(ISNUMBER(FIND("overige",Methode_Keuze)),"",IF(Tb_Activiteiten[[#This Row],[Vergoeding]]=1,Tb_Activiteiten[[#Headers],[Vergoeding]],""))</f>
        <v/>
      </c>
      <c r="AZ390" t="str">
        <f>IF(ISNUMBER(FIND("arbeid",Methode_Keuze)),"",IF(Tb_Activiteiten[[#This Row],[Arbeidskosten - vast tarief (excl eigen arbeid)]]=1,Tb_Activiteiten[[#Headers],[Arbeidskosten - vast tarief (excl eigen arbeid)]],""))</f>
        <v/>
      </c>
      <c r="BA390" t="str">
        <f>IF(ISNUMBER(FIND("overige",Methode_Keuze)),"",IF(Tb_Activiteiten[[#This Row],[Overige kosten]]=1,Tb_Activiteiten[[#Headers],[Overige kosten]],""))</f>
        <v/>
      </c>
    </row>
    <row r="391" spans="1:53" x14ac:dyDescent="0.25">
      <c r="A391" s="231"/>
      <c r="F391" s="64"/>
      <c r="G391" s="64"/>
      <c r="H391" s="275"/>
      <c r="I391" s="275"/>
      <c r="J391" s="275"/>
      <c r="K391" s="275"/>
      <c r="O391" s="56"/>
      <c r="Q391" t="str">
        <f>IFERROR(IF(VLOOKUP(Tb_Activiteiten[[#This Row],[Openstelling]],Tb_Openstelling[],2,0)=1,1,""),"")</f>
        <v/>
      </c>
      <c r="AK391" t="str">
        <f>IF(ISNUMBER(FIND("arbeid",Methode_Keuze)),"",IF(ISNUMBER(FIND("arbeid",Methode_Keuze)),"",IF(Tb_Activiteiten[[#This Row],[Loonkosten]]=1,Tb_Activiteiten[[#Headers],[Loonkosten]],"")))</f>
        <v/>
      </c>
      <c r="AL391" t="str">
        <f>IF(ISNUMBER(FIND("arbeid",Methode_Keuze)),"",IF(ISNUMBER(FIND("arbeid",Methode_Keuze)),"",IF(Tb_Activiteiten[[#This Row],[Eigen arbeid]]=1,Tb_Activiteiten[[#Headers],[Eigen arbeid]],"")))</f>
        <v/>
      </c>
      <c r="AM391" t="str">
        <f>IF(ISNUMBER(FIND("arbeid",Methode_Keuze)),"",IF(ISNUMBER(FIND("arbeid",Methode_Keuze)),"",IF(Tb_Activiteiten[[#This Row],[Projectmedewerker]]=1,Tb_Activiteiten[[#Headers],[Projectmedewerker]],"")))</f>
        <v/>
      </c>
      <c r="AN391" t="str">
        <f>IF(ISNUMBER(FIND("arbeid",Methode_Keuze)),"",IF(ISNUMBER(FIND("arbeid",Methode_Keuze)),"",IF(Tb_Activiteiten[[#This Row],[Landbouwer]]=1,Tb_Activiteiten[[#Headers],[Landbouwer]],"")))</f>
        <v/>
      </c>
      <c r="AO391" t="str">
        <f>IF(ISNUMBER(FIND("arbeid",Methode_Keuze)),"",IF(ISNUMBER(FIND("arbeid",Methode_Keuze)),"",IF(Tb_Activiteiten[[#This Row],[Adviseur]]=1,Tb_Activiteiten[[#Headers],[Adviseur]],"")))</f>
        <v/>
      </c>
      <c r="AP391" t="str">
        <f>IF(ISNUMBER(FIND("arbeid",Methode_Keuze)),"",IF(ISNUMBER(FIND("arbeid",Methode_Keuze)),"",IF(Tb_Activiteiten[[#This Row],[Projectleider/Expert]]=1,Tb_Activiteiten[[#Headers],[Projectleider/Expert]],"")))</f>
        <v/>
      </c>
      <c r="AQ391" t="str">
        <f>IF(ISNUMBER(FIND("arbeid",Methode_Keuze)),"",IF(ISNUMBER(FIND("arbeid",Methode_Keuze)),"",IF(Tb_Activiteiten[[#This Row],[Arbeidskosten]]=1,Tb_Activiteiten[[#Headers],[Arbeidskosten]],"")))</f>
        <v/>
      </c>
      <c r="AR391" t="str">
        <f>IF(ISNUMBER(FIND("arbeid",Methode_Keuze)),"",IF(ISNUMBER(FIND("arbeid",Methode_Keuze)),"",IF(Tb_Activiteiten[[#This Row],[Arbeidskosten op basis van IKS]]=1,Tb_Activiteiten[[#Headers],[Arbeidskosten op basis van IKS]],"")))</f>
        <v/>
      </c>
      <c r="AS391" t="str">
        <f>IF(ISNUMBER(FIND("overige",Methode_Keuze)),"",IF(Tb_Activiteiten[[#This Row],[Kosten derden exclusief btw]]=1,Tb_Activiteiten[[#Headers],[Kosten derden exclusief btw]],""))</f>
        <v/>
      </c>
      <c r="AT391" t="str">
        <f>IF(ISNUMBER(FIND("overige",Methode_Keuze)),"",IF(Tb_Activiteiten[[#This Row],[Niet verrekenbare btw]]=1,Tb_Activiteiten[[#Headers],[Niet verrekenbare btw]],""))</f>
        <v/>
      </c>
      <c r="AU391" t="str">
        <f>IF(ISNUMBER(FIND("overige",Methode_Keuze)),"",IF(Tb_Activiteiten[[#This Row],[Grondkosten]]=1,Tb_Activiteiten[[#Headers],[Grondkosten]],""))</f>
        <v/>
      </c>
      <c r="AV391" t="str">
        <f>IF(ISNUMBER(FIND("overige",Methode_Keuze)),"",IF(Tb_Activiteiten[[#This Row],[Bijdrage in natura (overige)]]=1,Tb_Activiteiten[[#Headers],[Bijdrage in natura (overige)]],""))</f>
        <v/>
      </c>
      <c r="AW391" t="str">
        <f>IF(ISNUMBER(FIND("overige",Methode_Keuze)),"",IF(Tb_Activiteiten[[#This Row],[Bijdrage in natura (vrijwilligers)]]=1,Tb_Activiteiten[[#Headers],[Bijdrage in natura (vrijwilligers)]],""))</f>
        <v/>
      </c>
      <c r="AX391" t="str">
        <f>IF(ISNUMBER(FIND("overige",Methode_Keuze)),"",IF(Tb_Activiteiten[[#This Row],[Afschrijvingskosten]]=1,Tb_Activiteiten[[#Headers],[Afschrijvingskosten]],""))</f>
        <v/>
      </c>
      <c r="AY391" t="str">
        <f>IF(ISNUMBER(FIND("overige",Methode_Keuze)),"",IF(Tb_Activiteiten[[#This Row],[Vergoeding]]=1,Tb_Activiteiten[[#Headers],[Vergoeding]],""))</f>
        <v/>
      </c>
      <c r="AZ391" t="str">
        <f>IF(ISNUMBER(FIND("arbeid",Methode_Keuze)),"",IF(Tb_Activiteiten[[#This Row],[Arbeidskosten - vast tarief (excl eigen arbeid)]]=1,Tb_Activiteiten[[#Headers],[Arbeidskosten - vast tarief (excl eigen arbeid)]],""))</f>
        <v/>
      </c>
      <c r="BA391" t="str">
        <f>IF(ISNUMBER(FIND("overige",Methode_Keuze)),"",IF(Tb_Activiteiten[[#This Row],[Overige kosten]]=1,Tb_Activiteiten[[#Headers],[Overige kosten]],""))</f>
        <v/>
      </c>
    </row>
    <row r="392" spans="1:53" x14ac:dyDescent="0.25">
      <c r="A392" s="231"/>
      <c r="F392" s="64"/>
      <c r="G392" s="64"/>
      <c r="H392" s="275"/>
      <c r="I392" s="275"/>
      <c r="J392" s="275"/>
      <c r="K392" s="275"/>
      <c r="O392" s="56"/>
      <c r="Q392" t="str">
        <f>IFERROR(IF(VLOOKUP(Tb_Activiteiten[[#This Row],[Openstelling]],Tb_Openstelling[],2,0)=1,1,""),"")</f>
        <v/>
      </c>
      <c r="AK392" t="str">
        <f>IF(ISNUMBER(FIND("arbeid",Methode_Keuze)),"",IF(ISNUMBER(FIND("arbeid",Methode_Keuze)),"",IF(Tb_Activiteiten[[#This Row],[Loonkosten]]=1,Tb_Activiteiten[[#Headers],[Loonkosten]],"")))</f>
        <v/>
      </c>
      <c r="AL392" t="str">
        <f>IF(ISNUMBER(FIND("arbeid",Methode_Keuze)),"",IF(ISNUMBER(FIND("arbeid",Methode_Keuze)),"",IF(Tb_Activiteiten[[#This Row],[Eigen arbeid]]=1,Tb_Activiteiten[[#Headers],[Eigen arbeid]],"")))</f>
        <v/>
      </c>
      <c r="AM392" t="str">
        <f>IF(ISNUMBER(FIND("arbeid",Methode_Keuze)),"",IF(ISNUMBER(FIND("arbeid",Methode_Keuze)),"",IF(Tb_Activiteiten[[#This Row],[Projectmedewerker]]=1,Tb_Activiteiten[[#Headers],[Projectmedewerker]],"")))</f>
        <v/>
      </c>
      <c r="AN392" t="str">
        <f>IF(ISNUMBER(FIND("arbeid",Methode_Keuze)),"",IF(ISNUMBER(FIND("arbeid",Methode_Keuze)),"",IF(Tb_Activiteiten[[#This Row],[Landbouwer]]=1,Tb_Activiteiten[[#Headers],[Landbouwer]],"")))</f>
        <v/>
      </c>
      <c r="AO392" t="str">
        <f>IF(ISNUMBER(FIND("arbeid",Methode_Keuze)),"",IF(ISNUMBER(FIND("arbeid",Methode_Keuze)),"",IF(Tb_Activiteiten[[#This Row],[Adviseur]]=1,Tb_Activiteiten[[#Headers],[Adviseur]],"")))</f>
        <v/>
      </c>
      <c r="AP392" t="str">
        <f>IF(ISNUMBER(FIND("arbeid",Methode_Keuze)),"",IF(ISNUMBER(FIND("arbeid",Methode_Keuze)),"",IF(Tb_Activiteiten[[#This Row],[Projectleider/Expert]]=1,Tb_Activiteiten[[#Headers],[Projectleider/Expert]],"")))</f>
        <v/>
      </c>
      <c r="AQ392" t="str">
        <f>IF(ISNUMBER(FIND("arbeid",Methode_Keuze)),"",IF(ISNUMBER(FIND("arbeid",Methode_Keuze)),"",IF(Tb_Activiteiten[[#This Row],[Arbeidskosten]]=1,Tb_Activiteiten[[#Headers],[Arbeidskosten]],"")))</f>
        <v/>
      </c>
      <c r="AR392" t="str">
        <f>IF(ISNUMBER(FIND("arbeid",Methode_Keuze)),"",IF(ISNUMBER(FIND("arbeid",Methode_Keuze)),"",IF(Tb_Activiteiten[[#This Row],[Arbeidskosten op basis van IKS]]=1,Tb_Activiteiten[[#Headers],[Arbeidskosten op basis van IKS]],"")))</f>
        <v/>
      </c>
      <c r="AS392" t="str">
        <f>IF(ISNUMBER(FIND("overige",Methode_Keuze)),"",IF(Tb_Activiteiten[[#This Row],[Kosten derden exclusief btw]]=1,Tb_Activiteiten[[#Headers],[Kosten derden exclusief btw]],""))</f>
        <v/>
      </c>
      <c r="AT392" t="str">
        <f>IF(ISNUMBER(FIND("overige",Methode_Keuze)),"",IF(Tb_Activiteiten[[#This Row],[Niet verrekenbare btw]]=1,Tb_Activiteiten[[#Headers],[Niet verrekenbare btw]],""))</f>
        <v/>
      </c>
      <c r="AU392" t="str">
        <f>IF(ISNUMBER(FIND("overige",Methode_Keuze)),"",IF(Tb_Activiteiten[[#This Row],[Grondkosten]]=1,Tb_Activiteiten[[#Headers],[Grondkosten]],""))</f>
        <v/>
      </c>
      <c r="AV392" t="str">
        <f>IF(ISNUMBER(FIND("overige",Methode_Keuze)),"",IF(Tb_Activiteiten[[#This Row],[Bijdrage in natura (overige)]]=1,Tb_Activiteiten[[#Headers],[Bijdrage in natura (overige)]],""))</f>
        <v/>
      </c>
      <c r="AW392" t="str">
        <f>IF(ISNUMBER(FIND("overige",Methode_Keuze)),"",IF(Tb_Activiteiten[[#This Row],[Bijdrage in natura (vrijwilligers)]]=1,Tb_Activiteiten[[#Headers],[Bijdrage in natura (vrijwilligers)]],""))</f>
        <v/>
      </c>
      <c r="AX392" t="str">
        <f>IF(ISNUMBER(FIND("overige",Methode_Keuze)),"",IF(Tb_Activiteiten[[#This Row],[Afschrijvingskosten]]=1,Tb_Activiteiten[[#Headers],[Afschrijvingskosten]],""))</f>
        <v/>
      </c>
      <c r="AY392" t="str">
        <f>IF(ISNUMBER(FIND("overige",Methode_Keuze)),"",IF(Tb_Activiteiten[[#This Row],[Vergoeding]]=1,Tb_Activiteiten[[#Headers],[Vergoeding]],""))</f>
        <v/>
      </c>
      <c r="AZ392" t="str">
        <f>IF(ISNUMBER(FIND("arbeid",Methode_Keuze)),"",IF(Tb_Activiteiten[[#This Row],[Arbeidskosten - vast tarief (excl eigen arbeid)]]=1,Tb_Activiteiten[[#Headers],[Arbeidskosten - vast tarief (excl eigen arbeid)]],""))</f>
        <v/>
      </c>
      <c r="BA392" t="str">
        <f>IF(ISNUMBER(FIND("overige",Methode_Keuze)),"",IF(Tb_Activiteiten[[#This Row],[Overige kosten]]=1,Tb_Activiteiten[[#Headers],[Overige kosten]],""))</f>
        <v/>
      </c>
    </row>
    <row r="393" spans="1:53" x14ac:dyDescent="0.25">
      <c r="A393" s="231"/>
      <c r="F393" s="64"/>
      <c r="G393" s="64"/>
      <c r="H393" s="275"/>
      <c r="I393" s="275"/>
      <c r="J393" s="275"/>
      <c r="K393" s="275"/>
      <c r="O393" s="56"/>
      <c r="Q393" t="str">
        <f>IFERROR(IF(VLOOKUP(Tb_Activiteiten[[#This Row],[Openstelling]],Tb_Openstelling[],2,0)=1,1,""),"")</f>
        <v/>
      </c>
      <c r="AK393" t="str">
        <f>IF(ISNUMBER(FIND("arbeid",Methode_Keuze)),"",IF(ISNUMBER(FIND("arbeid",Methode_Keuze)),"",IF(Tb_Activiteiten[[#This Row],[Loonkosten]]=1,Tb_Activiteiten[[#Headers],[Loonkosten]],"")))</f>
        <v/>
      </c>
      <c r="AL393" t="str">
        <f>IF(ISNUMBER(FIND("arbeid",Methode_Keuze)),"",IF(ISNUMBER(FIND("arbeid",Methode_Keuze)),"",IF(Tb_Activiteiten[[#This Row],[Eigen arbeid]]=1,Tb_Activiteiten[[#Headers],[Eigen arbeid]],"")))</f>
        <v/>
      </c>
      <c r="AM393" t="str">
        <f>IF(ISNUMBER(FIND("arbeid",Methode_Keuze)),"",IF(ISNUMBER(FIND("arbeid",Methode_Keuze)),"",IF(Tb_Activiteiten[[#This Row],[Projectmedewerker]]=1,Tb_Activiteiten[[#Headers],[Projectmedewerker]],"")))</f>
        <v/>
      </c>
      <c r="AN393" t="str">
        <f>IF(ISNUMBER(FIND("arbeid",Methode_Keuze)),"",IF(ISNUMBER(FIND("arbeid",Methode_Keuze)),"",IF(Tb_Activiteiten[[#This Row],[Landbouwer]]=1,Tb_Activiteiten[[#Headers],[Landbouwer]],"")))</f>
        <v/>
      </c>
      <c r="AO393" t="str">
        <f>IF(ISNUMBER(FIND("arbeid",Methode_Keuze)),"",IF(ISNUMBER(FIND("arbeid",Methode_Keuze)),"",IF(Tb_Activiteiten[[#This Row],[Adviseur]]=1,Tb_Activiteiten[[#Headers],[Adviseur]],"")))</f>
        <v/>
      </c>
      <c r="AP393" t="str">
        <f>IF(ISNUMBER(FIND("arbeid",Methode_Keuze)),"",IF(ISNUMBER(FIND("arbeid",Methode_Keuze)),"",IF(Tb_Activiteiten[[#This Row],[Projectleider/Expert]]=1,Tb_Activiteiten[[#Headers],[Projectleider/Expert]],"")))</f>
        <v/>
      </c>
      <c r="AQ393" t="str">
        <f>IF(ISNUMBER(FIND("arbeid",Methode_Keuze)),"",IF(ISNUMBER(FIND("arbeid",Methode_Keuze)),"",IF(Tb_Activiteiten[[#This Row],[Arbeidskosten]]=1,Tb_Activiteiten[[#Headers],[Arbeidskosten]],"")))</f>
        <v/>
      </c>
      <c r="AR393" t="str">
        <f>IF(ISNUMBER(FIND("arbeid",Methode_Keuze)),"",IF(ISNUMBER(FIND("arbeid",Methode_Keuze)),"",IF(Tb_Activiteiten[[#This Row],[Arbeidskosten op basis van IKS]]=1,Tb_Activiteiten[[#Headers],[Arbeidskosten op basis van IKS]],"")))</f>
        <v/>
      </c>
      <c r="AS393" t="str">
        <f>IF(ISNUMBER(FIND("overige",Methode_Keuze)),"",IF(Tb_Activiteiten[[#This Row],[Kosten derden exclusief btw]]=1,Tb_Activiteiten[[#Headers],[Kosten derden exclusief btw]],""))</f>
        <v/>
      </c>
      <c r="AT393" t="str">
        <f>IF(ISNUMBER(FIND("overige",Methode_Keuze)),"",IF(Tb_Activiteiten[[#This Row],[Niet verrekenbare btw]]=1,Tb_Activiteiten[[#Headers],[Niet verrekenbare btw]],""))</f>
        <v/>
      </c>
      <c r="AU393" t="str">
        <f>IF(ISNUMBER(FIND("overige",Methode_Keuze)),"",IF(Tb_Activiteiten[[#This Row],[Grondkosten]]=1,Tb_Activiteiten[[#Headers],[Grondkosten]],""))</f>
        <v/>
      </c>
      <c r="AV393" t="str">
        <f>IF(ISNUMBER(FIND("overige",Methode_Keuze)),"",IF(Tb_Activiteiten[[#This Row],[Bijdrage in natura (overige)]]=1,Tb_Activiteiten[[#Headers],[Bijdrage in natura (overige)]],""))</f>
        <v/>
      </c>
      <c r="AW393" t="str">
        <f>IF(ISNUMBER(FIND("overige",Methode_Keuze)),"",IF(Tb_Activiteiten[[#This Row],[Bijdrage in natura (vrijwilligers)]]=1,Tb_Activiteiten[[#Headers],[Bijdrage in natura (vrijwilligers)]],""))</f>
        <v/>
      </c>
      <c r="AX393" t="str">
        <f>IF(ISNUMBER(FIND("overige",Methode_Keuze)),"",IF(Tb_Activiteiten[[#This Row],[Afschrijvingskosten]]=1,Tb_Activiteiten[[#Headers],[Afschrijvingskosten]],""))</f>
        <v/>
      </c>
      <c r="AY393" t="str">
        <f>IF(ISNUMBER(FIND("overige",Methode_Keuze)),"",IF(Tb_Activiteiten[[#This Row],[Vergoeding]]=1,Tb_Activiteiten[[#Headers],[Vergoeding]],""))</f>
        <v/>
      </c>
      <c r="AZ393" t="str">
        <f>IF(ISNUMBER(FIND("arbeid",Methode_Keuze)),"",IF(Tb_Activiteiten[[#This Row],[Arbeidskosten - vast tarief (excl eigen arbeid)]]=1,Tb_Activiteiten[[#Headers],[Arbeidskosten - vast tarief (excl eigen arbeid)]],""))</f>
        <v/>
      </c>
      <c r="BA393" t="str">
        <f>IF(ISNUMBER(FIND("overige",Methode_Keuze)),"",IF(Tb_Activiteiten[[#This Row],[Overige kosten]]=1,Tb_Activiteiten[[#Headers],[Overige kosten]],""))</f>
        <v/>
      </c>
    </row>
    <row r="394" spans="1:53" x14ac:dyDescent="0.25">
      <c r="A394" s="231"/>
      <c r="F394" s="64"/>
      <c r="G394" s="64"/>
      <c r="H394" s="275"/>
      <c r="I394" s="275"/>
      <c r="J394" s="275"/>
      <c r="K394" s="275"/>
      <c r="O394" s="56"/>
      <c r="Q394" t="str">
        <f>IFERROR(IF(VLOOKUP(Tb_Activiteiten[[#This Row],[Openstelling]],Tb_Openstelling[],2,0)=1,1,""),"")</f>
        <v/>
      </c>
      <c r="AK394" t="str">
        <f>IF(ISNUMBER(FIND("arbeid",Methode_Keuze)),"",IF(ISNUMBER(FIND("arbeid",Methode_Keuze)),"",IF(Tb_Activiteiten[[#This Row],[Loonkosten]]=1,Tb_Activiteiten[[#Headers],[Loonkosten]],"")))</f>
        <v/>
      </c>
      <c r="AL394" t="str">
        <f>IF(ISNUMBER(FIND("arbeid",Methode_Keuze)),"",IF(ISNUMBER(FIND("arbeid",Methode_Keuze)),"",IF(Tb_Activiteiten[[#This Row],[Eigen arbeid]]=1,Tb_Activiteiten[[#Headers],[Eigen arbeid]],"")))</f>
        <v/>
      </c>
      <c r="AM394" t="str">
        <f>IF(ISNUMBER(FIND("arbeid",Methode_Keuze)),"",IF(ISNUMBER(FIND("arbeid",Methode_Keuze)),"",IF(Tb_Activiteiten[[#This Row],[Projectmedewerker]]=1,Tb_Activiteiten[[#Headers],[Projectmedewerker]],"")))</f>
        <v/>
      </c>
      <c r="AN394" t="str">
        <f>IF(ISNUMBER(FIND("arbeid",Methode_Keuze)),"",IF(ISNUMBER(FIND("arbeid",Methode_Keuze)),"",IF(Tb_Activiteiten[[#This Row],[Landbouwer]]=1,Tb_Activiteiten[[#Headers],[Landbouwer]],"")))</f>
        <v/>
      </c>
      <c r="AO394" t="str">
        <f>IF(ISNUMBER(FIND("arbeid",Methode_Keuze)),"",IF(ISNUMBER(FIND("arbeid",Methode_Keuze)),"",IF(Tb_Activiteiten[[#This Row],[Adviseur]]=1,Tb_Activiteiten[[#Headers],[Adviseur]],"")))</f>
        <v/>
      </c>
      <c r="AP394" t="str">
        <f>IF(ISNUMBER(FIND("arbeid",Methode_Keuze)),"",IF(ISNUMBER(FIND("arbeid",Methode_Keuze)),"",IF(Tb_Activiteiten[[#This Row],[Projectleider/Expert]]=1,Tb_Activiteiten[[#Headers],[Projectleider/Expert]],"")))</f>
        <v/>
      </c>
      <c r="AQ394" t="str">
        <f>IF(ISNUMBER(FIND("arbeid",Methode_Keuze)),"",IF(ISNUMBER(FIND("arbeid",Methode_Keuze)),"",IF(Tb_Activiteiten[[#This Row],[Arbeidskosten]]=1,Tb_Activiteiten[[#Headers],[Arbeidskosten]],"")))</f>
        <v/>
      </c>
      <c r="AR394" t="str">
        <f>IF(ISNUMBER(FIND("arbeid",Methode_Keuze)),"",IF(ISNUMBER(FIND("arbeid",Methode_Keuze)),"",IF(Tb_Activiteiten[[#This Row],[Arbeidskosten op basis van IKS]]=1,Tb_Activiteiten[[#Headers],[Arbeidskosten op basis van IKS]],"")))</f>
        <v/>
      </c>
      <c r="AS394" t="str">
        <f>IF(ISNUMBER(FIND("overige",Methode_Keuze)),"",IF(Tb_Activiteiten[[#This Row],[Kosten derden exclusief btw]]=1,Tb_Activiteiten[[#Headers],[Kosten derden exclusief btw]],""))</f>
        <v/>
      </c>
      <c r="AT394" t="str">
        <f>IF(ISNUMBER(FIND("overige",Methode_Keuze)),"",IF(Tb_Activiteiten[[#This Row],[Niet verrekenbare btw]]=1,Tb_Activiteiten[[#Headers],[Niet verrekenbare btw]],""))</f>
        <v/>
      </c>
      <c r="AU394" t="str">
        <f>IF(ISNUMBER(FIND("overige",Methode_Keuze)),"",IF(Tb_Activiteiten[[#This Row],[Grondkosten]]=1,Tb_Activiteiten[[#Headers],[Grondkosten]],""))</f>
        <v/>
      </c>
      <c r="AV394" t="str">
        <f>IF(ISNUMBER(FIND("overige",Methode_Keuze)),"",IF(Tb_Activiteiten[[#This Row],[Bijdrage in natura (overige)]]=1,Tb_Activiteiten[[#Headers],[Bijdrage in natura (overige)]],""))</f>
        <v/>
      </c>
      <c r="AW394" t="str">
        <f>IF(ISNUMBER(FIND("overige",Methode_Keuze)),"",IF(Tb_Activiteiten[[#This Row],[Bijdrage in natura (vrijwilligers)]]=1,Tb_Activiteiten[[#Headers],[Bijdrage in natura (vrijwilligers)]],""))</f>
        <v/>
      </c>
      <c r="AX394" t="str">
        <f>IF(ISNUMBER(FIND("overige",Methode_Keuze)),"",IF(Tb_Activiteiten[[#This Row],[Afschrijvingskosten]]=1,Tb_Activiteiten[[#Headers],[Afschrijvingskosten]],""))</f>
        <v/>
      </c>
      <c r="AY394" t="str">
        <f>IF(ISNUMBER(FIND("overige",Methode_Keuze)),"",IF(Tb_Activiteiten[[#This Row],[Vergoeding]]=1,Tb_Activiteiten[[#Headers],[Vergoeding]],""))</f>
        <v/>
      </c>
      <c r="AZ394" t="str">
        <f>IF(ISNUMBER(FIND("arbeid",Methode_Keuze)),"",IF(Tb_Activiteiten[[#This Row],[Arbeidskosten - vast tarief (excl eigen arbeid)]]=1,Tb_Activiteiten[[#Headers],[Arbeidskosten - vast tarief (excl eigen arbeid)]],""))</f>
        <v/>
      </c>
      <c r="BA394" t="str">
        <f>IF(ISNUMBER(FIND("overige",Methode_Keuze)),"",IF(Tb_Activiteiten[[#This Row],[Overige kosten]]=1,Tb_Activiteiten[[#Headers],[Overige kosten]],""))</f>
        <v/>
      </c>
    </row>
    <row r="395" spans="1:53" x14ac:dyDescent="0.25">
      <c r="A395" s="231"/>
      <c r="F395" s="64"/>
      <c r="G395" s="64"/>
      <c r="H395" s="275"/>
      <c r="I395" s="275"/>
      <c r="J395" s="275"/>
      <c r="K395" s="275"/>
      <c r="O395" s="56"/>
      <c r="Q395" t="str">
        <f>IFERROR(IF(VLOOKUP(Tb_Activiteiten[[#This Row],[Openstelling]],Tb_Openstelling[],2,0)=1,1,""),"")</f>
        <v/>
      </c>
      <c r="AK395" t="str">
        <f>IF(ISNUMBER(FIND("arbeid",Methode_Keuze)),"",IF(ISNUMBER(FIND("arbeid",Methode_Keuze)),"",IF(Tb_Activiteiten[[#This Row],[Loonkosten]]=1,Tb_Activiteiten[[#Headers],[Loonkosten]],"")))</f>
        <v/>
      </c>
      <c r="AL395" t="str">
        <f>IF(ISNUMBER(FIND("arbeid",Methode_Keuze)),"",IF(ISNUMBER(FIND("arbeid",Methode_Keuze)),"",IF(Tb_Activiteiten[[#This Row],[Eigen arbeid]]=1,Tb_Activiteiten[[#Headers],[Eigen arbeid]],"")))</f>
        <v/>
      </c>
      <c r="AM395" t="str">
        <f>IF(ISNUMBER(FIND("arbeid",Methode_Keuze)),"",IF(ISNUMBER(FIND("arbeid",Methode_Keuze)),"",IF(Tb_Activiteiten[[#This Row],[Projectmedewerker]]=1,Tb_Activiteiten[[#Headers],[Projectmedewerker]],"")))</f>
        <v/>
      </c>
      <c r="AN395" t="str">
        <f>IF(ISNUMBER(FIND("arbeid",Methode_Keuze)),"",IF(ISNUMBER(FIND("arbeid",Methode_Keuze)),"",IF(Tb_Activiteiten[[#This Row],[Landbouwer]]=1,Tb_Activiteiten[[#Headers],[Landbouwer]],"")))</f>
        <v/>
      </c>
      <c r="AO395" t="str">
        <f>IF(ISNUMBER(FIND("arbeid",Methode_Keuze)),"",IF(ISNUMBER(FIND("arbeid",Methode_Keuze)),"",IF(Tb_Activiteiten[[#This Row],[Adviseur]]=1,Tb_Activiteiten[[#Headers],[Adviseur]],"")))</f>
        <v/>
      </c>
      <c r="AP395" t="str">
        <f>IF(ISNUMBER(FIND("arbeid",Methode_Keuze)),"",IF(ISNUMBER(FIND("arbeid",Methode_Keuze)),"",IF(Tb_Activiteiten[[#This Row],[Projectleider/Expert]]=1,Tb_Activiteiten[[#Headers],[Projectleider/Expert]],"")))</f>
        <v/>
      </c>
      <c r="AQ395" t="str">
        <f>IF(ISNUMBER(FIND("arbeid",Methode_Keuze)),"",IF(ISNUMBER(FIND("arbeid",Methode_Keuze)),"",IF(Tb_Activiteiten[[#This Row],[Arbeidskosten]]=1,Tb_Activiteiten[[#Headers],[Arbeidskosten]],"")))</f>
        <v/>
      </c>
      <c r="AR395" t="str">
        <f>IF(ISNUMBER(FIND("arbeid",Methode_Keuze)),"",IF(ISNUMBER(FIND("arbeid",Methode_Keuze)),"",IF(Tb_Activiteiten[[#This Row],[Arbeidskosten op basis van IKS]]=1,Tb_Activiteiten[[#Headers],[Arbeidskosten op basis van IKS]],"")))</f>
        <v/>
      </c>
      <c r="AS395" t="str">
        <f>IF(ISNUMBER(FIND("overige",Methode_Keuze)),"",IF(Tb_Activiteiten[[#This Row],[Kosten derden exclusief btw]]=1,Tb_Activiteiten[[#Headers],[Kosten derden exclusief btw]],""))</f>
        <v/>
      </c>
      <c r="AT395" t="str">
        <f>IF(ISNUMBER(FIND("overige",Methode_Keuze)),"",IF(Tb_Activiteiten[[#This Row],[Niet verrekenbare btw]]=1,Tb_Activiteiten[[#Headers],[Niet verrekenbare btw]],""))</f>
        <v/>
      </c>
      <c r="AU395" t="str">
        <f>IF(ISNUMBER(FIND("overige",Methode_Keuze)),"",IF(Tb_Activiteiten[[#This Row],[Grondkosten]]=1,Tb_Activiteiten[[#Headers],[Grondkosten]],""))</f>
        <v/>
      </c>
      <c r="AV395" t="str">
        <f>IF(ISNUMBER(FIND("overige",Methode_Keuze)),"",IF(Tb_Activiteiten[[#This Row],[Bijdrage in natura (overige)]]=1,Tb_Activiteiten[[#Headers],[Bijdrage in natura (overige)]],""))</f>
        <v/>
      </c>
      <c r="AW395" t="str">
        <f>IF(ISNUMBER(FIND("overige",Methode_Keuze)),"",IF(Tb_Activiteiten[[#This Row],[Bijdrage in natura (vrijwilligers)]]=1,Tb_Activiteiten[[#Headers],[Bijdrage in natura (vrijwilligers)]],""))</f>
        <v/>
      </c>
      <c r="AX395" t="str">
        <f>IF(ISNUMBER(FIND("overige",Methode_Keuze)),"",IF(Tb_Activiteiten[[#This Row],[Afschrijvingskosten]]=1,Tb_Activiteiten[[#Headers],[Afschrijvingskosten]],""))</f>
        <v/>
      </c>
      <c r="AY395" t="str">
        <f>IF(ISNUMBER(FIND("overige",Methode_Keuze)),"",IF(Tb_Activiteiten[[#This Row],[Vergoeding]]=1,Tb_Activiteiten[[#Headers],[Vergoeding]],""))</f>
        <v/>
      </c>
      <c r="AZ395" t="str">
        <f>IF(ISNUMBER(FIND("arbeid",Methode_Keuze)),"",IF(Tb_Activiteiten[[#This Row],[Arbeidskosten - vast tarief (excl eigen arbeid)]]=1,Tb_Activiteiten[[#Headers],[Arbeidskosten - vast tarief (excl eigen arbeid)]],""))</f>
        <v/>
      </c>
      <c r="BA395" t="str">
        <f>IF(ISNUMBER(FIND("overige",Methode_Keuze)),"",IF(Tb_Activiteiten[[#This Row],[Overige kosten]]=1,Tb_Activiteiten[[#Headers],[Overige kosten]],""))</f>
        <v/>
      </c>
    </row>
    <row r="396" spans="1:53" x14ac:dyDescent="0.25">
      <c r="A396" s="231"/>
      <c r="F396" s="64"/>
      <c r="G396" s="64"/>
      <c r="H396" s="275"/>
      <c r="I396" s="275"/>
      <c r="J396" s="275"/>
      <c r="K396" s="275"/>
      <c r="O396" s="56"/>
      <c r="Q396" t="str">
        <f>IFERROR(IF(VLOOKUP(Tb_Activiteiten[[#This Row],[Openstelling]],Tb_Openstelling[],2,0)=1,1,""),"")</f>
        <v/>
      </c>
      <c r="AK396" t="str">
        <f>IF(ISNUMBER(FIND("arbeid",Methode_Keuze)),"",IF(ISNUMBER(FIND("arbeid",Methode_Keuze)),"",IF(Tb_Activiteiten[[#This Row],[Loonkosten]]=1,Tb_Activiteiten[[#Headers],[Loonkosten]],"")))</f>
        <v/>
      </c>
      <c r="AL396" t="str">
        <f>IF(ISNUMBER(FIND("arbeid",Methode_Keuze)),"",IF(ISNUMBER(FIND("arbeid",Methode_Keuze)),"",IF(Tb_Activiteiten[[#This Row],[Eigen arbeid]]=1,Tb_Activiteiten[[#Headers],[Eigen arbeid]],"")))</f>
        <v/>
      </c>
      <c r="AM396" t="str">
        <f>IF(ISNUMBER(FIND("arbeid",Methode_Keuze)),"",IF(ISNUMBER(FIND("arbeid",Methode_Keuze)),"",IF(Tb_Activiteiten[[#This Row],[Projectmedewerker]]=1,Tb_Activiteiten[[#Headers],[Projectmedewerker]],"")))</f>
        <v/>
      </c>
      <c r="AN396" t="str">
        <f>IF(ISNUMBER(FIND("arbeid",Methode_Keuze)),"",IF(ISNUMBER(FIND("arbeid",Methode_Keuze)),"",IF(Tb_Activiteiten[[#This Row],[Landbouwer]]=1,Tb_Activiteiten[[#Headers],[Landbouwer]],"")))</f>
        <v/>
      </c>
      <c r="AO396" t="str">
        <f>IF(ISNUMBER(FIND("arbeid",Methode_Keuze)),"",IF(ISNUMBER(FIND("arbeid",Methode_Keuze)),"",IF(Tb_Activiteiten[[#This Row],[Adviseur]]=1,Tb_Activiteiten[[#Headers],[Adviseur]],"")))</f>
        <v/>
      </c>
      <c r="AP396" t="str">
        <f>IF(ISNUMBER(FIND("arbeid",Methode_Keuze)),"",IF(ISNUMBER(FIND("arbeid",Methode_Keuze)),"",IF(Tb_Activiteiten[[#This Row],[Projectleider/Expert]]=1,Tb_Activiteiten[[#Headers],[Projectleider/Expert]],"")))</f>
        <v/>
      </c>
      <c r="AQ396" t="str">
        <f>IF(ISNUMBER(FIND("arbeid",Methode_Keuze)),"",IF(ISNUMBER(FIND("arbeid",Methode_Keuze)),"",IF(Tb_Activiteiten[[#This Row],[Arbeidskosten]]=1,Tb_Activiteiten[[#Headers],[Arbeidskosten]],"")))</f>
        <v/>
      </c>
      <c r="AR396" t="str">
        <f>IF(ISNUMBER(FIND("arbeid",Methode_Keuze)),"",IF(ISNUMBER(FIND("arbeid",Methode_Keuze)),"",IF(Tb_Activiteiten[[#This Row],[Arbeidskosten op basis van IKS]]=1,Tb_Activiteiten[[#Headers],[Arbeidskosten op basis van IKS]],"")))</f>
        <v/>
      </c>
      <c r="AS396" t="str">
        <f>IF(ISNUMBER(FIND("overige",Methode_Keuze)),"",IF(Tb_Activiteiten[[#This Row],[Kosten derden exclusief btw]]=1,Tb_Activiteiten[[#Headers],[Kosten derden exclusief btw]],""))</f>
        <v/>
      </c>
      <c r="AT396" t="str">
        <f>IF(ISNUMBER(FIND("overige",Methode_Keuze)),"",IF(Tb_Activiteiten[[#This Row],[Niet verrekenbare btw]]=1,Tb_Activiteiten[[#Headers],[Niet verrekenbare btw]],""))</f>
        <v/>
      </c>
      <c r="AU396" t="str">
        <f>IF(ISNUMBER(FIND("overige",Methode_Keuze)),"",IF(Tb_Activiteiten[[#This Row],[Grondkosten]]=1,Tb_Activiteiten[[#Headers],[Grondkosten]],""))</f>
        <v/>
      </c>
      <c r="AV396" t="str">
        <f>IF(ISNUMBER(FIND("overige",Methode_Keuze)),"",IF(Tb_Activiteiten[[#This Row],[Bijdrage in natura (overige)]]=1,Tb_Activiteiten[[#Headers],[Bijdrage in natura (overige)]],""))</f>
        <v/>
      </c>
      <c r="AW396" t="str">
        <f>IF(ISNUMBER(FIND("overige",Methode_Keuze)),"",IF(Tb_Activiteiten[[#This Row],[Bijdrage in natura (vrijwilligers)]]=1,Tb_Activiteiten[[#Headers],[Bijdrage in natura (vrijwilligers)]],""))</f>
        <v/>
      </c>
      <c r="AX396" t="str">
        <f>IF(ISNUMBER(FIND("overige",Methode_Keuze)),"",IF(Tb_Activiteiten[[#This Row],[Afschrijvingskosten]]=1,Tb_Activiteiten[[#Headers],[Afschrijvingskosten]],""))</f>
        <v/>
      </c>
      <c r="AY396" t="str">
        <f>IF(ISNUMBER(FIND("overige",Methode_Keuze)),"",IF(Tb_Activiteiten[[#This Row],[Vergoeding]]=1,Tb_Activiteiten[[#Headers],[Vergoeding]],""))</f>
        <v/>
      </c>
      <c r="AZ396" t="str">
        <f>IF(ISNUMBER(FIND("arbeid",Methode_Keuze)),"",IF(Tb_Activiteiten[[#This Row],[Arbeidskosten - vast tarief (excl eigen arbeid)]]=1,Tb_Activiteiten[[#Headers],[Arbeidskosten - vast tarief (excl eigen arbeid)]],""))</f>
        <v/>
      </c>
      <c r="BA396" t="str">
        <f>IF(ISNUMBER(FIND("overige",Methode_Keuze)),"",IF(Tb_Activiteiten[[#This Row],[Overige kosten]]=1,Tb_Activiteiten[[#Headers],[Overige kosten]],""))</f>
        <v/>
      </c>
    </row>
    <row r="397" spans="1:53" x14ac:dyDescent="0.25">
      <c r="A397" s="231"/>
      <c r="F397" s="64"/>
      <c r="G397" s="64"/>
      <c r="H397" s="275"/>
      <c r="I397" s="275"/>
      <c r="J397" s="275"/>
      <c r="K397" s="275"/>
      <c r="O397" s="56"/>
      <c r="Q397" t="str">
        <f>IFERROR(IF(VLOOKUP(Tb_Activiteiten[[#This Row],[Openstelling]],Tb_Openstelling[],2,0)=1,1,""),"")</f>
        <v/>
      </c>
      <c r="AK397" t="str">
        <f>IF(ISNUMBER(FIND("arbeid",Methode_Keuze)),"",IF(ISNUMBER(FIND("arbeid",Methode_Keuze)),"",IF(Tb_Activiteiten[[#This Row],[Loonkosten]]=1,Tb_Activiteiten[[#Headers],[Loonkosten]],"")))</f>
        <v/>
      </c>
      <c r="AL397" t="str">
        <f>IF(ISNUMBER(FIND("arbeid",Methode_Keuze)),"",IF(ISNUMBER(FIND("arbeid",Methode_Keuze)),"",IF(Tb_Activiteiten[[#This Row],[Eigen arbeid]]=1,Tb_Activiteiten[[#Headers],[Eigen arbeid]],"")))</f>
        <v/>
      </c>
      <c r="AM397" t="str">
        <f>IF(ISNUMBER(FIND("arbeid",Methode_Keuze)),"",IF(ISNUMBER(FIND("arbeid",Methode_Keuze)),"",IF(Tb_Activiteiten[[#This Row],[Projectmedewerker]]=1,Tb_Activiteiten[[#Headers],[Projectmedewerker]],"")))</f>
        <v/>
      </c>
      <c r="AN397" t="str">
        <f>IF(ISNUMBER(FIND("arbeid",Methode_Keuze)),"",IF(ISNUMBER(FIND("arbeid",Methode_Keuze)),"",IF(Tb_Activiteiten[[#This Row],[Landbouwer]]=1,Tb_Activiteiten[[#Headers],[Landbouwer]],"")))</f>
        <v/>
      </c>
      <c r="AO397" t="str">
        <f>IF(ISNUMBER(FIND("arbeid",Methode_Keuze)),"",IF(ISNUMBER(FIND("arbeid",Methode_Keuze)),"",IF(Tb_Activiteiten[[#This Row],[Adviseur]]=1,Tb_Activiteiten[[#Headers],[Adviseur]],"")))</f>
        <v/>
      </c>
      <c r="AP397" t="str">
        <f>IF(ISNUMBER(FIND("arbeid",Methode_Keuze)),"",IF(ISNUMBER(FIND("arbeid",Methode_Keuze)),"",IF(Tb_Activiteiten[[#This Row],[Projectleider/Expert]]=1,Tb_Activiteiten[[#Headers],[Projectleider/Expert]],"")))</f>
        <v/>
      </c>
      <c r="AQ397" t="str">
        <f>IF(ISNUMBER(FIND("arbeid",Methode_Keuze)),"",IF(ISNUMBER(FIND("arbeid",Methode_Keuze)),"",IF(Tb_Activiteiten[[#This Row],[Arbeidskosten]]=1,Tb_Activiteiten[[#Headers],[Arbeidskosten]],"")))</f>
        <v/>
      </c>
      <c r="AR397" t="str">
        <f>IF(ISNUMBER(FIND("arbeid",Methode_Keuze)),"",IF(ISNUMBER(FIND("arbeid",Methode_Keuze)),"",IF(Tb_Activiteiten[[#This Row],[Arbeidskosten op basis van IKS]]=1,Tb_Activiteiten[[#Headers],[Arbeidskosten op basis van IKS]],"")))</f>
        <v/>
      </c>
      <c r="AS397" t="str">
        <f>IF(ISNUMBER(FIND("overige",Methode_Keuze)),"",IF(Tb_Activiteiten[[#This Row],[Kosten derden exclusief btw]]=1,Tb_Activiteiten[[#Headers],[Kosten derden exclusief btw]],""))</f>
        <v/>
      </c>
      <c r="AT397" t="str">
        <f>IF(ISNUMBER(FIND("overige",Methode_Keuze)),"",IF(Tb_Activiteiten[[#This Row],[Niet verrekenbare btw]]=1,Tb_Activiteiten[[#Headers],[Niet verrekenbare btw]],""))</f>
        <v/>
      </c>
      <c r="AU397" t="str">
        <f>IF(ISNUMBER(FIND("overige",Methode_Keuze)),"",IF(Tb_Activiteiten[[#This Row],[Grondkosten]]=1,Tb_Activiteiten[[#Headers],[Grondkosten]],""))</f>
        <v/>
      </c>
      <c r="AV397" t="str">
        <f>IF(ISNUMBER(FIND("overige",Methode_Keuze)),"",IF(Tb_Activiteiten[[#This Row],[Bijdrage in natura (overige)]]=1,Tb_Activiteiten[[#Headers],[Bijdrage in natura (overige)]],""))</f>
        <v/>
      </c>
      <c r="AW397" t="str">
        <f>IF(ISNUMBER(FIND("overige",Methode_Keuze)),"",IF(Tb_Activiteiten[[#This Row],[Bijdrage in natura (vrijwilligers)]]=1,Tb_Activiteiten[[#Headers],[Bijdrage in natura (vrijwilligers)]],""))</f>
        <v/>
      </c>
      <c r="AX397" t="str">
        <f>IF(ISNUMBER(FIND("overige",Methode_Keuze)),"",IF(Tb_Activiteiten[[#This Row],[Afschrijvingskosten]]=1,Tb_Activiteiten[[#Headers],[Afschrijvingskosten]],""))</f>
        <v/>
      </c>
      <c r="AY397" t="str">
        <f>IF(ISNUMBER(FIND("overige",Methode_Keuze)),"",IF(Tb_Activiteiten[[#This Row],[Vergoeding]]=1,Tb_Activiteiten[[#Headers],[Vergoeding]],""))</f>
        <v/>
      </c>
      <c r="AZ397" t="str">
        <f>IF(ISNUMBER(FIND("arbeid",Methode_Keuze)),"",IF(Tb_Activiteiten[[#This Row],[Arbeidskosten - vast tarief (excl eigen arbeid)]]=1,Tb_Activiteiten[[#Headers],[Arbeidskosten - vast tarief (excl eigen arbeid)]],""))</f>
        <v/>
      </c>
      <c r="BA397" t="str">
        <f>IF(ISNUMBER(FIND("overige",Methode_Keuze)),"",IF(Tb_Activiteiten[[#This Row],[Overige kosten]]=1,Tb_Activiteiten[[#Headers],[Overige kosten]],""))</f>
        <v/>
      </c>
    </row>
    <row r="398" spans="1:53" x14ac:dyDescent="0.25">
      <c r="A398" s="231"/>
      <c r="F398" s="64"/>
      <c r="G398" s="64"/>
      <c r="H398" s="275"/>
      <c r="I398" s="275"/>
      <c r="J398" s="275"/>
      <c r="K398" s="275"/>
      <c r="O398" s="56"/>
      <c r="Q398" t="str">
        <f>IFERROR(IF(VLOOKUP(Tb_Activiteiten[[#This Row],[Openstelling]],Tb_Openstelling[],2,0)=1,1,""),"")</f>
        <v/>
      </c>
      <c r="AK398" t="str">
        <f>IF(ISNUMBER(FIND("arbeid",Methode_Keuze)),"",IF(ISNUMBER(FIND("arbeid",Methode_Keuze)),"",IF(Tb_Activiteiten[[#This Row],[Loonkosten]]=1,Tb_Activiteiten[[#Headers],[Loonkosten]],"")))</f>
        <v/>
      </c>
      <c r="AL398" t="str">
        <f>IF(ISNUMBER(FIND("arbeid",Methode_Keuze)),"",IF(ISNUMBER(FIND("arbeid",Methode_Keuze)),"",IF(Tb_Activiteiten[[#This Row],[Eigen arbeid]]=1,Tb_Activiteiten[[#Headers],[Eigen arbeid]],"")))</f>
        <v/>
      </c>
      <c r="AM398" t="str">
        <f>IF(ISNUMBER(FIND("arbeid",Methode_Keuze)),"",IF(ISNUMBER(FIND("arbeid",Methode_Keuze)),"",IF(Tb_Activiteiten[[#This Row],[Projectmedewerker]]=1,Tb_Activiteiten[[#Headers],[Projectmedewerker]],"")))</f>
        <v/>
      </c>
      <c r="AN398" t="str">
        <f>IF(ISNUMBER(FIND("arbeid",Methode_Keuze)),"",IF(ISNUMBER(FIND("arbeid",Methode_Keuze)),"",IF(Tb_Activiteiten[[#This Row],[Landbouwer]]=1,Tb_Activiteiten[[#Headers],[Landbouwer]],"")))</f>
        <v/>
      </c>
      <c r="AO398" t="str">
        <f>IF(ISNUMBER(FIND("arbeid",Methode_Keuze)),"",IF(ISNUMBER(FIND("arbeid",Methode_Keuze)),"",IF(Tb_Activiteiten[[#This Row],[Adviseur]]=1,Tb_Activiteiten[[#Headers],[Adviseur]],"")))</f>
        <v/>
      </c>
      <c r="AP398" t="str">
        <f>IF(ISNUMBER(FIND("arbeid",Methode_Keuze)),"",IF(ISNUMBER(FIND("arbeid",Methode_Keuze)),"",IF(Tb_Activiteiten[[#This Row],[Projectleider/Expert]]=1,Tb_Activiteiten[[#Headers],[Projectleider/Expert]],"")))</f>
        <v/>
      </c>
      <c r="AQ398" t="str">
        <f>IF(ISNUMBER(FIND("arbeid",Methode_Keuze)),"",IF(ISNUMBER(FIND("arbeid",Methode_Keuze)),"",IF(Tb_Activiteiten[[#This Row],[Arbeidskosten]]=1,Tb_Activiteiten[[#Headers],[Arbeidskosten]],"")))</f>
        <v/>
      </c>
      <c r="AR398" t="str">
        <f>IF(ISNUMBER(FIND("arbeid",Methode_Keuze)),"",IF(ISNUMBER(FIND("arbeid",Methode_Keuze)),"",IF(Tb_Activiteiten[[#This Row],[Arbeidskosten op basis van IKS]]=1,Tb_Activiteiten[[#Headers],[Arbeidskosten op basis van IKS]],"")))</f>
        <v/>
      </c>
      <c r="AS398" t="str">
        <f>IF(ISNUMBER(FIND("overige",Methode_Keuze)),"",IF(Tb_Activiteiten[[#This Row],[Kosten derden exclusief btw]]=1,Tb_Activiteiten[[#Headers],[Kosten derden exclusief btw]],""))</f>
        <v/>
      </c>
      <c r="AT398" t="str">
        <f>IF(ISNUMBER(FIND("overige",Methode_Keuze)),"",IF(Tb_Activiteiten[[#This Row],[Niet verrekenbare btw]]=1,Tb_Activiteiten[[#Headers],[Niet verrekenbare btw]],""))</f>
        <v/>
      </c>
      <c r="AU398" t="str">
        <f>IF(ISNUMBER(FIND("overige",Methode_Keuze)),"",IF(Tb_Activiteiten[[#This Row],[Grondkosten]]=1,Tb_Activiteiten[[#Headers],[Grondkosten]],""))</f>
        <v/>
      </c>
      <c r="AV398" t="str">
        <f>IF(ISNUMBER(FIND("overige",Methode_Keuze)),"",IF(Tb_Activiteiten[[#This Row],[Bijdrage in natura (overige)]]=1,Tb_Activiteiten[[#Headers],[Bijdrage in natura (overige)]],""))</f>
        <v/>
      </c>
      <c r="AW398" t="str">
        <f>IF(ISNUMBER(FIND("overige",Methode_Keuze)),"",IF(Tb_Activiteiten[[#This Row],[Bijdrage in natura (vrijwilligers)]]=1,Tb_Activiteiten[[#Headers],[Bijdrage in natura (vrijwilligers)]],""))</f>
        <v/>
      </c>
      <c r="AX398" t="str">
        <f>IF(ISNUMBER(FIND("overige",Methode_Keuze)),"",IF(Tb_Activiteiten[[#This Row],[Afschrijvingskosten]]=1,Tb_Activiteiten[[#Headers],[Afschrijvingskosten]],""))</f>
        <v/>
      </c>
      <c r="AY398" t="str">
        <f>IF(ISNUMBER(FIND("overige",Methode_Keuze)),"",IF(Tb_Activiteiten[[#This Row],[Vergoeding]]=1,Tb_Activiteiten[[#Headers],[Vergoeding]],""))</f>
        <v/>
      </c>
      <c r="AZ398" t="str">
        <f>IF(ISNUMBER(FIND("arbeid",Methode_Keuze)),"",IF(Tb_Activiteiten[[#This Row],[Arbeidskosten - vast tarief (excl eigen arbeid)]]=1,Tb_Activiteiten[[#Headers],[Arbeidskosten - vast tarief (excl eigen arbeid)]],""))</f>
        <v/>
      </c>
      <c r="BA398" t="str">
        <f>IF(ISNUMBER(FIND("overige",Methode_Keuze)),"",IF(Tb_Activiteiten[[#This Row],[Overige kosten]]=1,Tb_Activiteiten[[#Headers],[Overige kosten]],""))</f>
        <v/>
      </c>
    </row>
    <row r="399" spans="1:53" x14ac:dyDescent="0.25">
      <c r="A399" s="231"/>
      <c r="F399" s="64"/>
      <c r="G399" s="64"/>
      <c r="H399" s="275"/>
      <c r="I399" s="275"/>
      <c r="J399" s="275"/>
      <c r="K399" s="275"/>
      <c r="O399" s="56"/>
      <c r="Q399" t="str">
        <f>IFERROR(IF(VLOOKUP(Tb_Activiteiten[[#This Row],[Openstelling]],Tb_Openstelling[],2,0)=1,1,""),"")</f>
        <v/>
      </c>
      <c r="AK399" t="str">
        <f>IF(ISNUMBER(FIND("arbeid",Methode_Keuze)),"",IF(ISNUMBER(FIND("arbeid",Methode_Keuze)),"",IF(Tb_Activiteiten[[#This Row],[Loonkosten]]=1,Tb_Activiteiten[[#Headers],[Loonkosten]],"")))</f>
        <v/>
      </c>
      <c r="AL399" t="str">
        <f>IF(ISNUMBER(FIND("arbeid",Methode_Keuze)),"",IF(ISNUMBER(FIND("arbeid",Methode_Keuze)),"",IF(Tb_Activiteiten[[#This Row],[Eigen arbeid]]=1,Tb_Activiteiten[[#Headers],[Eigen arbeid]],"")))</f>
        <v/>
      </c>
      <c r="AM399" t="str">
        <f>IF(ISNUMBER(FIND("arbeid",Methode_Keuze)),"",IF(ISNUMBER(FIND("arbeid",Methode_Keuze)),"",IF(Tb_Activiteiten[[#This Row],[Projectmedewerker]]=1,Tb_Activiteiten[[#Headers],[Projectmedewerker]],"")))</f>
        <v/>
      </c>
      <c r="AN399" t="str">
        <f>IF(ISNUMBER(FIND("arbeid",Methode_Keuze)),"",IF(ISNUMBER(FIND("arbeid",Methode_Keuze)),"",IF(Tb_Activiteiten[[#This Row],[Landbouwer]]=1,Tb_Activiteiten[[#Headers],[Landbouwer]],"")))</f>
        <v/>
      </c>
      <c r="AO399" t="str">
        <f>IF(ISNUMBER(FIND("arbeid",Methode_Keuze)),"",IF(ISNUMBER(FIND("arbeid",Methode_Keuze)),"",IF(Tb_Activiteiten[[#This Row],[Adviseur]]=1,Tb_Activiteiten[[#Headers],[Adviseur]],"")))</f>
        <v/>
      </c>
      <c r="AP399" t="str">
        <f>IF(ISNUMBER(FIND("arbeid",Methode_Keuze)),"",IF(ISNUMBER(FIND("arbeid",Methode_Keuze)),"",IF(Tb_Activiteiten[[#This Row],[Projectleider/Expert]]=1,Tb_Activiteiten[[#Headers],[Projectleider/Expert]],"")))</f>
        <v/>
      </c>
      <c r="AQ399" t="str">
        <f>IF(ISNUMBER(FIND("arbeid",Methode_Keuze)),"",IF(ISNUMBER(FIND("arbeid",Methode_Keuze)),"",IF(Tb_Activiteiten[[#This Row],[Arbeidskosten]]=1,Tb_Activiteiten[[#Headers],[Arbeidskosten]],"")))</f>
        <v/>
      </c>
      <c r="AR399" t="str">
        <f>IF(ISNUMBER(FIND("arbeid",Methode_Keuze)),"",IF(ISNUMBER(FIND("arbeid",Methode_Keuze)),"",IF(Tb_Activiteiten[[#This Row],[Arbeidskosten op basis van IKS]]=1,Tb_Activiteiten[[#Headers],[Arbeidskosten op basis van IKS]],"")))</f>
        <v/>
      </c>
      <c r="AS399" t="str">
        <f>IF(ISNUMBER(FIND("overige",Methode_Keuze)),"",IF(Tb_Activiteiten[[#This Row],[Kosten derden exclusief btw]]=1,Tb_Activiteiten[[#Headers],[Kosten derden exclusief btw]],""))</f>
        <v/>
      </c>
      <c r="AT399" t="str">
        <f>IF(ISNUMBER(FIND("overige",Methode_Keuze)),"",IF(Tb_Activiteiten[[#This Row],[Niet verrekenbare btw]]=1,Tb_Activiteiten[[#Headers],[Niet verrekenbare btw]],""))</f>
        <v/>
      </c>
      <c r="AU399" t="str">
        <f>IF(ISNUMBER(FIND("overige",Methode_Keuze)),"",IF(Tb_Activiteiten[[#This Row],[Grondkosten]]=1,Tb_Activiteiten[[#Headers],[Grondkosten]],""))</f>
        <v/>
      </c>
      <c r="AV399" t="str">
        <f>IF(ISNUMBER(FIND("overige",Methode_Keuze)),"",IF(Tb_Activiteiten[[#This Row],[Bijdrage in natura (overige)]]=1,Tb_Activiteiten[[#Headers],[Bijdrage in natura (overige)]],""))</f>
        <v/>
      </c>
      <c r="AW399" t="str">
        <f>IF(ISNUMBER(FIND("overige",Methode_Keuze)),"",IF(Tb_Activiteiten[[#This Row],[Bijdrage in natura (vrijwilligers)]]=1,Tb_Activiteiten[[#Headers],[Bijdrage in natura (vrijwilligers)]],""))</f>
        <v/>
      </c>
      <c r="AX399" t="str">
        <f>IF(ISNUMBER(FIND("overige",Methode_Keuze)),"",IF(Tb_Activiteiten[[#This Row],[Afschrijvingskosten]]=1,Tb_Activiteiten[[#Headers],[Afschrijvingskosten]],""))</f>
        <v/>
      </c>
      <c r="AY399" t="str">
        <f>IF(ISNUMBER(FIND("overige",Methode_Keuze)),"",IF(Tb_Activiteiten[[#This Row],[Vergoeding]]=1,Tb_Activiteiten[[#Headers],[Vergoeding]],""))</f>
        <v/>
      </c>
      <c r="AZ399" t="str">
        <f>IF(ISNUMBER(FIND("arbeid",Methode_Keuze)),"",IF(Tb_Activiteiten[[#This Row],[Arbeidskosten - vast tarief (excl eigen arbeid)]]=1,Tb_Activiteiten[[#Headers],[Arbeidskosten - vast tarief (excl eigen arbeid)]],""))</f>
        <v/>
      </c>
      <c r="BA399" t="str">
        <f>IF(ISNUMBER(FIND("overige",Methode_Keuze)),"",IF(Tb_Activiteiten[[#This Row],[Overige kosten]]=1,Tb_Activiteiten[[#Headers],[Overige kosten]],""))</f>
        <v/>
      </c>
    </row>
    <row r="400" spans="1:53" x14ac:dyDescent="0.25">
      <c r="A400" s="231"/>
      <c r="F400" s="64"/>
      <c r="G400" s="64"/>
      <c r="H400" s="275"/>
      <c r="I400" s="275"/>
      <c r="J400" s="275"/>
      <c r="K400" s="275"/>
      <c r="O400" s="56"/>
      <c r="Q400" t="str">
        <f>IFERROR(IF(VLOOKUP(Tb_Activiteiten[[#This Row],[Openstelling]],Tb_Openstelling[],2,0)=1,1,""),"")</f>
        <v/>
      </c>
      <c r="AK400" t="str">
        <f>IF(ISNUMBER(FIND("arbeid",Methode_Keuze)),"",IF(ISNUMBER(FIND("arbeid",Methode_Keuze)),"",IF(Tb_Activiteiten[[#This Row],[Loonkosten]]=1,Tb_Activiteiten[[#Headers],[Loonkosten]],"")))</f>
        <v/>
      </c>
      <c r="AL400" t="str">
        <f>IF(ISNUMBER(FIND("arbeid",Methode_Keuze)),"",IF(ISNUMBER(FIND("arbeid",Methode_Keuze)),"",IF(Tb_Activiteiten[[#This Row],[Eigen arbeid]]=1,Tb_Activiteiten[[#Headers],[Eigen arbeid]],"")))</f>
        <v/>
      </c>
      <c r="AM400" t="str">
        <f>IF(ISNUMBER(FIND("arbeid",Methode_Keuze)),"",IF(ISNUMBER(FIND("arbeid",Methode_Keuze)),"",IF(Tb_Activiteiten[[#This Row],[Projectmedewerker]]=1,Tb_Activiteiten[[#Headers],[Projectmedewerker]],"")))</f>
        <v/>
      </c>
      <c r="AN400" t="str">
        <f>IF(ISNUMBER(FIND("arbeid",Methode_Keuze)),"",IF(ISNUMBER(FIND("arbeid",Methode_Keuze)),"",IF(Tb_Activiteiten[[#This Row],[Landbouwer]]=1,Tb_Activiteiten[[#Headers],[Landbouwer]],"")))</f>
        <v/>
      </c>
      <c r="AO400" t="str">
        <f>IF(ISNUMBER(FIND("arbeid",Methode_Keuze)),"",IF(ISNUMBER(FIND("arbeid",Methode_Keuze)),"",IF(Tb_Activiteiten[[#This Row],[Adviseur]]=1,Tb_Activiteiten[[#Headers],[Adviseur]],"")))</f>
        <v/>
      </c>
      <c r="AP400" t="str">
        <f>IF(ISNUMBER(FIND("arbeid",Methode_Keuze)),"",IF(ISNUMBER(FIND("arbeid",Methode_Keuze)),"",IF(Tb_Activiteiten[[#This Row],[Projectleider/Expert]]=1,Tb_Activiteiten[[#Headers],[Projectleider/Expert]],"")))</f>
        <v/>
      </c>
      <c r="AQ400" t="str">
        <f>IF(ISNUMBER(FIND("arbeid",Methode_Keuze)),"",IF(ISNUMBER(FIND("arbeid",Methode_Keuze)),"",IF(Tb_Activiteiten[[#This Row],[Arbeidskosten]]=1,Tb_Activiteiten[[#Headers],[Arbeidskosten]],"")))</f>
        <v/>
      </c>
      <c r="AR400" t="str">
        <f>IF(ISNUMBER(FIND("arbeid",Methode_Keuze)),"",IF(ISNUMBER(FIND("arbeid",Methode_Keuze)),"",IF(Tb_Activiteiten[[#This Row],[Arbeidskosten op basis van IKS]]=1,Tb_Activiteiten[[#Headers],[Arbeidskosten op basis van IKS]],"")))</f>
        <v/>
      </c>
      <c r="AS400" t="str">
        <f>IF(ISNUMBER(FIND("overige",Methode_Keuze)),"",IF(Tb_Activiteiten[[#This Row],[Kosten derden exclusief btw]]=1,Tb_Activiteiten[[#Headers],[Kosten derden exclusief btw]],""))</f>
        <v/>
      </c>
      <c r="AT400" t="str">
        <f>IF(ISNUMBER(FIND("overige",Methode_Keuze)),"",IF(Tb_Activiteiten[[#This Row],[Niet verrekenbare btw]]=1,Tb_Activiteiten[[#Headers],[Niet verrekenbare btw]],""))</f>
        <v/>
      </c>
      <c r="AU400" t="str">
        <f>IF(ISNUMBER(FIND("overige",Methode_Keuze)),"",IF(Tb_Activiteiten[[#This Row],[Grondkosten]]=1,Tb_Activiteiten[[#Headers],[Grondkosten]],""))</f>
        <v/>
      </c>
      <c r="AV400" t="str">
        <f>IF(ISNUMBER(FIND("overige",Methode_Keuze)),"",IF(Tb_Activiteiten[[#This Row],[Bijdrage in natura (overige)]]=1,Tb_Activiteiten[[#Headers],[Bijdrage in natura (overige)]],""))</f>
        <v/>
      </c>
      <c r="AW400" t="str">
        <f>IF(ISNUMBER(FIND("overige",Methode_Keuze)),"",IF(Tb_Activiteiten[[#This Row],[Bijdrage in natura (vrijwilligers)]]=1,Tb_Activiteiten[[#Headers],[Bijdrage in natura (vrijwilligers)]],""))</f>
        <v/>
      </c>
      <c r="AX400" t="str">
        <f>IF(ISNUMBER(FIND("overige",Methode_Keuze)),"",IF(Tb_Activiteiten[[#This Row],[Afschrijvingskosten]]=1,Tb_Activiteiten[[#Headers],[Afschrijvingskosten]],""))</f>
        <v/>
      </c>
      <c r="AY400" t="str">
        <f>IF(ISNUMBER(FIND("overige",Methode_Keuze)),"",IF(Tb_Activiteiten[[#This Row],[Vergoeding]]=1,Tb_Activiteiten[[#Headers],[Vergoeding]],""))</f>
        <v/>
      </c>
      <c r="AZ400" t="str">
        <f>IF(ISNUMBER(FIND("arbeid",Methode_Keuze)),"",IF(Tb_Activiteiten[[#This Row],[Arbeidskosten - vast tarief (excl eigen arbeid)]]=1,Tb_Activiteiten[[#Headers],[Arbeidskosten - vast tarief (excl eigen arbeid)]],""))</f>
        <v/>
      </c>
      <c r="BA400" t="str">
        <f>IF(ISNUMBER(FIND("overige",Methode_Keuze)),"",IF(Tb_Activiteiten[[#This Row],[Overige kosten]]=1,Tb_Activiteiten[[#Headers],[Overige kosten]],""))</f>
        <v/>
      </c>
    </row>
    <row r="401" spans="1:53" x14ac:dyDescent="0.25">
      <c r="A401" s="231"/>
      <c r="F401" s="64"/>
      <c r="G401" s="64"/>
      <c r="H401" s="275"/>
      <c r="I401" s="275"/>
      <c r="J401" s="275"/>
      <c r="K401" s="275"/>
      <c r="O401" s="56"/>
      <c r="Q401" t="str">
        <f>IFERROR(IF(VLOOKUP(Tb_Activiteiten[[#This Row],[Openstelling]],Tb_Openstelling[],2,0)=1,1,""),"")</f>
        <v/>
      </c>
      <c r="AK401" t="str">
        <f>IF(ISNUMBER(FIND("arbeid",Methode_Keuze)),"",IF(ISNUMBER(FIND("arbeid",Methode_Keuze)),"",IF(Tb_Activiteiten[[#This Row],[Loonkosten]]=1,Tb_Activiteiten[[#Headers],[Loonkosten]],"")))</f>
        <v/>
      </c>
      <c r="AL401" t="str">
        <f>IF(ISNUMBER(FIND("arbeid",Methode_Keuze)),"",IF(ISNUMBER(FIND("arbeid",Methode_Keuze)),"",IF(Tb_Activiteiten[[#This Row],[Eigen arbeid]]=1,Tb_Activiteiten[[#Headers],[Eigen arbeid]],"")))</f>
        <v/>
      </c>
      <c r="AM401" t="str">
        <f>IF(ISNUMBER(FIND("arbeid",Methode_Keuze)),"",IF(ISNUMBER(FIND("arbeid",Methode_Keuze)),"",IF(Tb_Activiteiten[[#This Row],[Projectmedewerker]]=1,Tb_Activiteiten[[#Headers],[Projectmedewerker]],"")))</f>
        <v/>
      </c>
      <c r="AN401" t="str">
        <f>IF(ISNUMBER(FIND("arbeid",Methode_Keuze)),"",IF(ISNUMBER(FIND("arbeid",Methode_Keuze)),"",IF(Tb_Activiteiten[[#This Row],[Landbouwer]]=1,Tb_Activiteiten[[#Headers],[Landbouwer]],"")))</f>
        <v/>
      </c>
      <c r="AO401" t="str">
        <f>IF(ISNUMBER(FIND("arbeid",Methode_Keuze)),"",IF(ISNUMBER(FIND("arbeid",Methode_Keuze)),"",IF(Tb_Activiteiten[[#This Row],[Adviseur]]=1,Tb_Activiteiten[[#Headers],[Adviseur]],"")))</f>
        <v/>
      </c>
      <c r="AP401" t="str">
        <f>IF(ISNUMBER(FIND("arbeid",Methode_Keuze)),"",IF(ISNUMBER(FIND("arbeid",Methode_Keuze)),"",IF(Tb_Activiteiten[[#This Row],[Projectleider/Expert]]=1,Tb_Activiteiten[[#Headers],[Projectleider/Expert]],"")))</f>
        <v/>
      </c>
      <c r="AQ401" t="str">
        <f>IF(ISNUMBER(FIND("arbeid",Methode_Keuze)),"",IF(ISNUMBER(FIND("arbeid",Methode_Keuze)),"",IF(Tb_Activiteiten[[#This Row],[Arbeidskosten]]=1,Tb_Activiteiten[[#Headers],[Arbeidskosten]],"")))</f>
        <v/>
      </c>
      <c r="AR401" t="str">
        <f>IF(ISNUMBER(FIND("arbeid",Methode_Keuze)),"",IF(ISNUMBER(FIND("arbeid",Methode_Keuze)),"",IF(Tb_Activiteiten[[#This Row],[Arbeidskosten op basis van IKS]]=1,Tb_Activiteiten[[#Headers],[Arbeidskosten op basis van IKS]],"")))</f>
        <v/>
      </c>
      <c r="AS401" t="str">
        <f>IF(ISNUMBER(FIND("overige",Methode_Keuze)),"",IF(Tb_Activiteiten[[#This Row],[Kosten derden exclusief btw]]=1,Tb_Activiteiten[[#Headers],[Kosten derden exclusief btw]],""))</f>
        <v/>
      </c>
      <c r="AT401" t="str">
        <f>IF(ISNUMBER(FIND("overige",Methode_Keuze)),"",IF(Tb_Activiteiten[[#This Row],[Niet verrekenbare btw]]=1,Tb_Activiteiten[[#Headers],[Niet verrekenbare btw]],""))</f>
        <v/>
      </c>
      <c r="AU401" t="str">
        <f>IF(ISNUMBER(FIND("overige",Methode_Keuze)),"",IF(Tb_Activiteiten[[#This Row],[Grondkosten]]=1,Tb_Activiteiten[[#Headers],[Grondkosten]],""))</f>
        <v/>
      </c>
      <c r="AV401" t="str">
        <f>IF(ISNUMBER(FIND("overige",Methode_Keuze)),"",IF(Tb_Activiteiten[[#This Row],[Bijdrage in natura (overige)]]=1,Tb_Activiteiten[[#Headers],[Bijdrage in natura (overige)]],""))</f>
        <v/>
      </c>
      <c r="AW401" t="str">
        <f>IF(ISNUMBER(FIND("overige",Methode_Keuze)),"",IF(Tb_Activiteiten[[#This Row],[Bijdrage in natura (vrijwilligers)]]=1,Tb_Activiteiten[[#Headers],[Bijdrage in natura (vrijwilligers)]],""))</f>
        <v/>
      </c>
      <c r="AX401" t="str">
        <f>IF(ISNUMBER(FIND("overige",Methode_Keuze)),"",IF(Tb_Activiteiten[[#This Row],[Afschrijvingskosten]]=1,Tb_Activiteiten[[#Headers],[Afschrijvingskosten]],""))</f>
        <v/>
      </c>
      <c r="AY401" t="str">
        <f>IF(ISNUMBER(FIND("overige",Methode_Keuze)),"",IF(Tb_Activiteiten[[#This Row],[Vergoeding]]=1,Tb_Activiteiten[[#Headers],[Vergoeding]],""))</f>
        <v/>
      </c>
      <c r="AZ401" t="str">
        <f>IF(ISNUMBER(FIND("arbeid",Methode_Keuze)),"",IF(Tb_Activiteiten[[#This Row],[Arbeidskosten - vast tarief (excl eigen arbeid)]]=1,Tb_Activiteiten[[#Headers],[Arbeidskosten - vast tarief (excl eigen arbeid)]],""))</f>
        <v/>
      </c>
      <c r="BA401" t="str">
        <f>IF(ISNUMBER(FIND("overige",Methode_Keuze)),"",IF(Tb_Activiteiten[[#This Row],[Overige kosten]]=1,Tb_Activiteiten[[#Headers],[Overige kosten]],""))</f>
        <v/>
      </c>
    </row>
    <row r="402" spans="1:53" x14ac:dyDescent="0.25">
      <c r="A402" s="231"/>
      <c r="F402" s="64"/>
      <c r="G402" s="64"/>
      <c r="H402" s="275"/>
      <c r="I402" s="275"/>
      <c r="J402" s="275"/>
      <c r="K402" s="275"/>
      <c r="O402" s="56"/>
      <c r="Q402" t="str">
        <f>IFERROR(IF(VLOOKUP(Tb_Activiteiten[[#This Row],[Openstelling]],Tb_Openstelling[],2,0)=1,1,""),"")</f>
        <v/>
      </c>
      <c r="AK402" t="str">
        <f>IF(ISNUMBER(FIND("arbeid",Methode_Keuze)),"",IF(ISNUMBER(FIND("arbeid",Methode_Keuze)),"",IF(Tb_Activiteiten[[#This Row],[Loonkosten]]=1,Tb_Activiteiten[[#Headers],[Loonkosten]],"")))</f>
        <v/>
      </c>
      <c r="AL402" t="str">
        <f>IF(ISNUMBER(FIND("arbeid",Methode_Keuze)),"",IF(ISNUMBER(FIND("arbeid",Methode_Keuze)),"",IF(Tb_Activiteiten[[#This Row],[Eigen arbeid]]=1,Tb_Activiteiten[[#Headers],[Eigen arbeid]],"")))</f>
        <v/>
      </c>
      <c r="AM402" t="str">
        <f>IF(ISNUMBER(FIND("arbeid",Methode_Keuze)),"",IF(ISNUMBER(FIND("arbeid",Methode_Keuze)),"",IF(Tb_Activiteiten[[#This Row],[Projectmedewerker]]=1,Tb_Activiteiten[[#Headers],[Projectmedewerker]],"")))</f>
        <v/>
      </c>
      <c r="AN402" t="str">
        <f>IF(ISNUMBER(FIND("arbeid",Methode_Keuze)),"",IF(ISNUMBER(FIND("arbeid",Methode_Keuze)),"",IF(Tb_Activiteiten[[#This Row],[Landbouwer]]=1,Tb_Activiteiten[[#Headers],[Landbouwer]],"")))</f>
        <v/>
      </c>
      <c r="AO402" t="str">
        <f>IF(ISNUMBER(FIND("arbeid",Methode_Keuze)),"",IF(ISNUMBER(FIND("arbeid",Methode_Keuze)),"",IF(Tb_Activiteiten[[#This Row],[Adviseur]]=1,Tb_Activiteiten[[#Headers],[Adviseur]],"")))</f>
        <v/>
      </c>
      <c r="AP402" t="str">
        <f>IF(ISNUMBER(FIND("arbeid",Methode_Keuze)),"",IF(ISNUMBER(FIND("arbeid",Methode_Keuze)),"",IF(Tb_Activiteiten[[#This Row],[Projectleider/Expert]]=1,Tb_Activiteiten[[#Headers],[Projectleider/Expert]],"")))</f>
        <v/>
      </c>
      <c r="AQ402" t="str">
        <f>IF(ISNUMBER(FIND("arbeid",Methode_Keuze)),"",IF(ISNUMBER(FIND("arbeid",Methode_Keuze)),"",IF(Tb_Activiteiten[[#This Row],[Arbeidskosten]]=1,Tb_Activiteiten[[#Headers],[Arbeidskosten]],"")))</f>
        <v/>
      </c>
      <c r="AR402" t="str">
        <f>IF(ISNUMBER(FIND("arbeid",Methode_Keuze)),"",IF(ISNUMBER(FIND("arbeid",Methode_Keuze)),"",IF(Tb_Activiteiten[[#This Row],[Arbeidskosten op basis van IKS]]=1,Tb_Activiteiten[[#Headers],[Arbeidskosten op basis van IKS]],"")))</f>
        <v/>
      </c>
      <c r="AS402" t="str">
        <f>IF(ISNUMBER(FIND("overige",Methode_Keuze)),"",IF(Tb_Activiteiten[[#This Row],[Kosten derden exclusief btw]]=1,Tb_Activiteiten[[#Headers],[Kosten derden exclusief btw]],""))</f>
        <v/>
      </c>
      <c r="AT402" t="str">
        <f>IF(ISNUMBER(FIND("overige",Methode_Keuze)),"",IF(Tb_Activiteiten[[#This Row],[Niet verrekenbare btw]]=1,Tb_Activiteiten[[#Headers],[Niet verrekenbare btw]],""))</f>
        <v/>
      </c>
      <c r="AU402" t="str">
        <f>IF(ISNUMBER(FIND("overige",Methode_Keuze)),"",IF(Tb_Activiteiten[[#This Row],[Grondkosten]]=1,Tb_Activiteiten[[#Headers],[Grondkosten]],""))</f>
        <v/>
      </c>
      <c r="AV402" t="str">
        <f>IF(ISNUMBER(FIND("overige",Methode_Keuze)),"",IF(Tb_Activiteiten[[#This Row],[Bijdrage in natura (overige)]]=1,Tb_Activiteiten[[#Headers],[Bijdrage in natura (overige)]],""))</f>
        <v/>
      </c>
      <c r="AW402" t="str">
        <f>IF(ISNUMBER(FIND("overige",Methode_Keuze)),"",IF(Tb_Activiteiten[[#This Row],[Bijdrage in natura (vrijwilligers)]]=1,Tb_Activiteiten[[#Headers],[Bijdrage in natura (vrijwilligers)]],""))</f>
        <v/>
      </c>
      <c r="AX402" t="str">
        <f>IF(ISNUMBER(FIND("overige",Methode_Keuze)),"",IF(Tb_Activiteiten[[#This Row],[Afschrijvingskosten]]=1,Tb_Activiteiten[[#Headers],[Afschrijvingskosten]],""))</f>
        <v/>
      </c>
      <c r="AY402" t="str">
        <f>IF(ISNUMBER(FIND("overige",Methode_Keuze)),"",IF(Tb_Activiteiten[[#This Row],[Vergoeding]]=1,Tb_Activiteiten[[#Headers],[Vergoeding]],""))</f>
        <v/>
      </c>
      <c r="AZ402" t="str">
        <f>IF(ISNUMBER(FIND("arbeid",Methode_Keuze)),"",IF(Tb_Activiteiten[[#This Row],[Arbeidskosten - vast tarief (excl eigen arbeid)]]=1,Tb_Activiteiten[[#Headers],[Arbeidskosten - vast tarief (excl eigen arbeid)]],""))</f>
        <v/>
      </c>
      <c r="BA402" t="str">
        <f>IF(ISNUMBER(FIND("overige",Methode_Keuze)),"",IF(Tb_Activiteiten[[#This Row],[Overige kosten]]=1,Tb_Activiteiten[[#Headers],[Overige kosten]],""))</f>
        <v/>
      </c>
    </row>
    <row r="403" spans="1:53" x14ac:dyDescent="0.25">
      <c r="A403" s="231"/>
      <c r="F403" s="64"/>
      <c r="G403" s="64"/>
      <c r="H403" s="275"/>
      <c r="I403" s="275"/>
      <c r="J403" s="275"/>
      <c r="K403" s="275"/>
      <c r="O403" s="56"/>
      <c r="Q403" t="str">
        <f>IFERROR(IF(VLOOKUP(Tb_Activiteiten[[#This Row],[Openstelling]],Tb_Openstelling[],2,0)=1,1,""),"")</f>
        <v/>
      </c>
      <c r="AK403" t="str">
        <f>IF(ISNUMBER(FIND("arbeid",Methode_Keuze)),"",IF(ISNUMBER(FIND("arbeid",Methode_Keuze)),"",IF(Tb_Activiteiten[[#This Row],[Loonkosten]]=1,Tb_Activiteiten[[#Headers],[Loonkosten]],"")))</f>
        <v/>
      </c>
      <c r="AL403" t="str">
        <f>IF(ISNUMBER(FIND("arbeid",Methode_Keuze)),"",IF(ISNUMBER(FIND("arbeid",Methode_Keuze)),"",IF(Tb_Activiteiten[[#This Row],[Eigen arbeid]]=1,Tb_Activiteiten[[#Headers],[Eigen arbeid]],"")))</f>
        <v/>
      </c>
      <c r="AM403" t="str">
        <f>IF(ISNUMBER(FIND("arbeid",Methode_Keuze)),"",IF(ISNUMBER(FIND("arbeid",Methode_Keuze)),"",IF(Tb_Activiteiten[[#This Row],[Projectmedewerker]]=1,Tb_Activiteiten[[#Headers],[Projectmedewerker]],"")))</f>
        <v/>
      </c>
      <c r="AN403" t="str">
        <f>IF(ISNUMBER(FIND("arbeid",Methode_Keuze)),"",IF(ISNUMBER(FIND("arbeid",Methode_Keuze)),"",IF(Tb_Activiteiten[[#This Row],[Landbouwer]]=1,Tb_Activiteiten[[#Headers],[Landbouwer]],"")))</f>
        <v/>
      </c>
      <c r="AO403" t="str">
        <f>IF(ISNUMBER(FIND("arbeid",Methode_Keuze)),"",IF(ISNUMBER(FIND("arbeid",Methode_Keuze)),"",IF(Tb_Activiteiten[[#This Row],[Adviseur]]=1,Tb_Activiteiten[[#Headers],[Adviseur]],"")))</f>
        <v/>
      </c>
      <c r="AP403" t="str">
        <f>IF(ISNUMBER(FIND("arbeid",Methode_Keuze)),"",IF(ISNUMBER(FIND("arbeid",Methode_Keuze)),"",IF(Tb_Activiteiten[[#This Row],[Projectleider/Expert]]=1,Tb_Activiteiten[[#Headers],[Projectleider/Expert]],"")))</f>
        <v/>
      </c>
      <c r="AQ403" t="str">
        <f>IF(ISNUMBER(FIND("arbeid",Methode_Keuze)),"",IF(ISNUMBER(FIND("arbeid",Methode_Keuze)),"",IF(Tb_Activiteiten[[#This Row],[Arbeidskosten]]=1,Tb_Activiteiten[[#Headers],[Arbeidskosten]],"")))</f>
        <v/>
      </c>
      <c r="AR403" t="str">
        <f>IF(ISNUMBER(FIND("arbeid",Methode_Keuze)),"",IF(ISNUMBER(FIND("arbeid",Methode_Keuze)),"",IF(Tb_Activiteiten[[#This Row],[Arbeidskosten op basis van IKS]]=1,Tb_Activiteiten[[#Headers],[Arbeidskosten op basis van IKS]],"")))</f>
        <v/>
      </c>
      <c r="AS403" t="str">
        <f>IF(ISNUMBER(FIND("overige",Methode_Keuze)),"",IF(Tb_Activiteiten[[#This Row],[Kosten derden exclusief btw]]=1,Tb_Activiteiten[[#Headers],[Kosten derden exclusief btw]],""))</f>
        <v/>
      </c>
      <c r="AT403" t="str">
        <f>IF(ISNUMBER(FIND("overige",Methode_Keuze)),"",IF(Tb_Activiteiten[[#This Row],[Niet verrekenbare btw]]=1,Tb_Activiteiten[[#Headers],[Niet verrekenbare btw]],""))</f>
        <v/>
      </c>
      <c r="AU403" t="str">
        <f>IF(ISNUMBER(FIND("overige",Methode_Keuze)),"",IF(Tb_Activiteiten[[#This Row],[Grondkosten]]=1,Tb_Activiteiten[[#Headers],[Grondkosten]],""))</f>
        <v/>
      </c>
      <c r="AV403" t="str">
        <f>IF(ISNUMBER(FIND("overige",Methode_Keuze)),"",IF(Tb_Activiteiten[[#This Row],[Bijdrage in natura (overige)]]=1,Tb_Activiteiten[[#Headers],[Bijdrage in natura (overige)]],""))</f>
        <v/>
      </c>
      <c r="AW403" t="str">
        <f>IF(ISNUMBER(FIND("overige",Methode_Keuze)),"",IF(Tb_Activiteiten[[#This Row],[Bijdrage in natura (vrijwilligers)]]=1,Tb_Activiteiten[[#Headers],[Bijdrage in natura (vrijwilligers)]],""))</f>
        <v/>
      </c>
      <c r="AX403" t="str">
        <f>IF(ISNUMBER(FIND("overige",Methode_Keuze)),"",IF(Tb_Activiteiten[[#This Row],[Afschrijvingskosten]]=1,Tb_Activiteiten[[#Headers],[Afschrijvingskosten]],""))</f>
        <v/>
      </c>
      <c r="AY403" t="str">
        <f>IF(ISNUMBER(FIND("overige",Methode_Keuze)),"",IF(Tb_Activiteiten[[#This Row],[Vergoeding]]=1,Tb_Activiteiten[[#Headers],[Vergoeding]],""))</f>
        <v/>
      </c>
      <c r="AZ403" t="str">
        <f>IF(ISNUMBER(FIND("arbeid",Methode_Keuze)),"",IF(Tb_Activiteiten[[#This Row],[Arbeidskosten - vast tarief (excl eigen arbeid)]]=1,Tb_Activiteiten[[#Headers],[Arbeidskosten - vast tarief (excl eigen arbeid)]],""))</f>
        <v/>
      </c>
      <c r="BA403" t="str">
        <f>IF(ISNUMBER(FIND("overige",Methode_Keuze)),"",IF(Tb_Activiteiten[[#This Row],[Overige kosten]]=1,Tb_Activiteiten[[#Headers],[Overige kosten]],""))</f>
        <v/>
      </c>
    </row>
    <row r="404" spans="1:53" x14ac:dyDescent="0.25">
      <c r="A404" s="231"/>
      <c r="F404" s="64"/>
      <c r="G404" s="64"/>
      <c r="H404" s="275"/>
      <c r="I404" s="275"/>
      <c r="J404" s="275"/>
      <c r="K404" s="275"/>
      <c r="O404" s="56"/>
      <c r="Q404" t="str">
        <f>IFERROR(IF(VLOOKUP(Tb_Activiteiten[[#This Row],[Openstelling]],Tb_Openstelling[],2,0)=1,1,""),"")</f>
        <v/>
      </c>
      <c r="AK404" t="str">
        <f>IF(ISNUMBER(FIND("arbeid",Methode_Keuze)),"",IF(ISNUMBER(FIND("arbeid",Methode_Keuze)),"",IF(Tb_Activiteiten[[#This Row],[Loonkosten]]=1,Tb_Activiteiten[[#Headers],[Loonkosten]],"")))</f>
        <v/>
      </c>
      <c r="AL404" t="str">
        <f>IF(ISNUMBER(FIND("arbeid",Methode_Keuze)),"",IF(ISNUMBER(FIND("arbeid",Methode_Keuze)),"",IF(Tb_Activiteiten[[#This Row],[Eigen arbeid]]=1,Tb_Activiteiten[[#Headers],[Eigen arbeid]],"")))</f>
        <v/>
      </c>
      <c r="AM404" t="str">
        <f>IF(ISNUMBER(FIND("arbeid",Methode_Keuze)),"",IF(ISNUMBER(FIND("arbeid",Methode_Keuze)),"",IF(Tb_Activiteiten[[#This Row],[Projectmedewerker]]=1,Tb_Activiteiten[[#Headers],[Projectmedewerker]],"")))</f>
        <v/>
      </c>
      <c r="AN404" t="str">
        <f>IF(ISNUMBER(FIND("arbeid",Methode_Keuze)),"",IF(ISNUMBER(FIND("arbeid",Methode_Keuze)),"",IF(Tb_Activiteiten[[#This Row],[Landbouwer]]=1,Tb_Activiteiten[[#Headers],[Landbouwer]],"")))</f>
        <v/>
      </c>
      <c r="AO404" t="str">
        <f>IF(ISNUMBER(FIND("arbeid",Methode_Keuze)),"",IF(ISNUMBER(FIND("arbeid",Methode_Keuze)),"",IF(Tb_Activiteiten[[#This Row],[Adviseur]]=1,Tb_Activiteiten[[#Headers],[Adviseur]],"")))</f>
        <v/>
      </c>
      <c r="AP404" t="str">
        <f>IF(ISNUMBER(FIND("arbeid",Methode_Keuze)),"",IF(ISNUMBER(FIND("arbeid",Methode_Keuze)),"",IF(Tb_Activiteiten[[#This Row],[Projectleider/Expert]]=1,Tb_Activiteiten[[#Headers],[Projectleider/Expert]],"")))</f>
        <v/>
      </c>
      <c r="AQ404" t="str">
        <f>IF(ISNUMBER(FIND("arbeid",Methode_Keuze)),"",IF(ISNUMBER(FIND("arbeid",Methode_Keuze)),"",IF(Tb_Activiteiten[[#This Row],[Arbeidskosten]]=1,Tb_Activiteiten[[#Headers],[Arbeidskosten]],"")))</f>
        <v/>
      </c>
      <c r="AR404" t="str">
        <f>IF(ISNUMBER(FIND("arbeid",Methode_Keuze)),"",IF(ISNUMBER(FIND("arbeid",Methode_Keuze)),"",IF(Tb_Activiteiten[[#This Row],[Arbeidskosten op basis van IKS]]=1,Tb_Activiteiten[[#Headers],[Arbeidskosten op basis van IKS]],"")))</f>
        <v/>
      </c>
      <c r="AS404" t="str">
        <f>IF(ISNUMBER(FIND("overige",Methode_Keuze)),"",IF(Tb_Activiteiten[[#This Row],[Kosten derden exclusief btw]]=1,Tb_Activiteiten[[#Headers],[Kosten derden exclusief btw]],""))</f>
        <v/>
      </c>
      <c r="AT404" t="str">
        <f>IF(ISNUMBER(FIND("overige",Methode_Keuze)),"",IF(Tb_Activiteiten[[#This Row],[Niet verrekenbare btw]]=1,Tb_Activiteiten[[#Headers],[Niet verrekenbare btw]],""))</f>
        <v/>
      </c>
      <c r="AU404" t="str">
        <f>IF(ISNUMBER(FIND("overige",Methode_Keuze)),"",IF(Tb_Activiteiten[[#This Row],[Grondkosten]]=1,Tb_Activiteiten[[#Headers],[Grondkosten]],""))</f>
        <v/>
      </c>
      <c r="AV404" t="str">
        <f>IF(ISNUMBER(FIND("overige",Methode_Keuze)),"",IF(Tb_Activiteiten[[#This Row],[Bijdrage in natura (overige)]]=1,Tb_Activiteiten[[#Headers],[Bijdrage in natura (overige)]],""))</f>
        <v/>
      </c>
      <c r="AW404" t="str">
        <f>IF(ISNUMBER(FIND("overige",Methode_Keuze)),"",IF(Tb_Activiteiten[[#This Row],[Bijdrage in natura (vrijwilligers)]]=1,Tb_Activiteiten[[#Headers],[Bijdrage in natura (vrijwilligers)]],""))</f>
        <v/>
      </c>
      <c r="AX404" t="str">
        <f>IF(ISNUMBER(FIND("overige",Methode_Keuze)),"",IF(Tb_Activiteiten[[#This Row],[Afschrijvingskosten]]=1,Tb_Activiteiten[[#Headers],[Afschrijvingskosten]],""))</f>
        <v/>
      </c>
      <c r="AY404" t="str">
        <f>IF(ISNUMBER(FIND("overige",Methode_Keuze)),"",IF(Tb_Activiteiten[[#This Row],[Vergoeding]]=1,Tb_Activiteiten[[#Headers],[Vergoeding]],""))</f>
        <v/>
      </c>
      <c r="AZ404" t="str">
        <f>IF(ISNUMBER(FIND("arbeid",Methode_Keuze)),"",IF(Tb_Activiteiten[[#This Row],[Arbeidskosten - vast tarief (excl eigen arbeid)]]=1,Tb_Activiteiten[[#Headers],[Arbeidskosten - vast tarief (excl eigen arbeid)]],""))</f>
        <v/>
      </c>
      <c r="BA404" t="str">
        <f>IF(ISNUMBER(FIND("overige",Methode_Keuze)),"",IF(Tb_Activiteiten[[#This Row],[Overige kosten]]=1,Tb_Activiteiten[[#Headers],[Overige kosten]],""))</f>
        <v/>
      </c>
    </row>
    <row r="405" spans="1:53" x14ac:dyDescent="0.25">
      <c r="A405" s="231"/>
      <c r="F405" s="64"/>
      <c r="G405" s="64"/>
      <c r="H405" s="275"/>
      <c r="I405" s="275"/>
      <c r="J405" s="275"/>
      <c r="K405" s="275"/>
      <c r="O405" s="56"/>
      <c r="Q405" t="str">
        <f>IFERROR(IF(VLOOKUP(Tb_Activiteiten[[#This Row],[Openstelling]],Tb_Openstelling[],2,0)=1,1,""),"")</f>
        <v/>
      </c>
      <c r="AK405" t="str">
        <f>IF(ISNUMBER(FIND("arbeid",Methode_Keuze)),"",IF(ISNUMBER(FIND("arbeid",Methode_Keuze)),"",IF(Tb_Activiteiten[[#This Row],[Loonkosten]]=1,Tb_Activiteiten[[#Headers],[Loonkosten]],"")))</f>
        <v/>
      </c>
      <c r="AL405" t="str">
        <f>IF(ISNUMBER(FIND("arbeid",Methode_Keuze)),"",IF(ISNUMBER(FIND("arbeid",Methode_Keuze)),"",IF(Tb_Activiteiten[[#This Row],[Eigen arbeid]]=1,Tb_Activiteiten[[#Headers],[Eigen arbeid]],"")))</f>
        <v/>
      </c>
      <c r="AM405" t="str">
        <f>IF(ISNUMBER(FIND("arbeid",Methode_Keuze)),"",IF(ISNUMBER(FIND("arbeid",Methode_Keuze)),"",IF(Tb_Activiteiten[[#This Row],[Projectmedewerker]]=1,Tb_Activiteiten[[#Headers],[Projectmedewerker]],"")))</f>
        <v/>
      </c>
      <c r="AN405" t="str">
        <f>IF(ISNUMBER(FIND("arbeid",Methode_Keuze)),"",IF(ISNUMBER(FIND("arbeid",Methode_Keuze)),"",IF(Tb_Activiteiten[[#This Row],[Landbouwer]]=1,Tb_Activiteiten[[#Headers],[Landbouwer]],"")))</f>
        <v/>
      </c>
      <c r="AO405" t="str">
        <f>IF(ISNUMBER(FIND("arbeid",Methode_Keuze)),"",IF(ISNUMBER(FIND("arbeid",Methode_Keuze)),"",IF(Tb_Activiteiten[[#This Row],[Adviseur]]=1,Tb_Activiteiten[[#Headers],[Adviseur]],"")))</f>
        <v/>
      </c>
      <c r="AP405" t="str">
        <f>IF(ISNUMBER(FIND("arbeid",Methode_Keuze)),"",IF(ISNUMBER(FIND("arbeid",Methode_Keuze)),"",IF(Tb_Activiteiten[[#This Row],[Projectleider/Expert]]=1,Tb_Activiteiten[[#Headers],[Projectleider/Expert]],"")))</f>
        <v/>
      </c>
      <c r="AQ405" t="str">
        <f>IF(ISNUMBER(FIND("arbeid",Methode_Keuze)),"",IF(ISNUMBER(FIND("arbeid",Methode_Keuze)),"",IF(Tb_Activiteiten[[#This Row],[Arbeidskosten]]=1,Tb_Activiteiten[[#Headers],[Arbeidskosten]],"")))</f>
        <v/>
      </c>
      <c r="AR405" t="str">
        <f>IF(ISNUMBER(FIND("arbeid",Methode_Keuze)),"",IF(ISNUMBER(FIND("arbeid",Methode_Keuze)),"",IF(Tb_Activiteiten[[#This Row],[Arbeidskosten op basis van IKS]]=1,Tb_Activiteiten[[#Headers],[Arbeidskosten op basis van IKS]],"")))</f>
        <v/>
      </c>
      <c r="AS405" t="str">
        <f>IF(ISNUMBER(FIND("overige",Methode_Keuze)),"",IF(Tb_Activiteiten[[#This Row],[Kosten derden exclusief btw]]=1,Tb_Activiteiten[[#Headers],[Kosten derden exclusief btw]],""))</f>
        <v/>
      </c>
      <c r="AT405" t="str">
        <f>IF(ISNUMBER(FIND("overige",Methode_Keuze)),"",IF(Tb_Activiteiten[[#This Row],[Niet verrekenbare btw]]=1,Tb_Activiteiten[[#Headers],[Niet verrekenbare btw]],""))</f>
        <v/>
      </c>
      <c r="AU405" t="str">
        <f>IF(ISNUMBER(FIND("overige",Methode_Keuze)),"",IF(Tb_Activiteiten[[#This Row],[Grondkosten]]=1,Tb_Activiteiten[[#Headers],[Grondkosten]],""))</f>
        <v/>
      </c>
      <c r="AV405" t="str">
        <f>IF(ISNUMBER(FIND("overige",Methode_Keuze)),"",IF(Tb_Activiteiten[[#This Row],[Bijdrage in natura (overige)]]=1,Tb_Activiteiten[[#Headers],[Bijdrage in natura (overige)]],""))</f>
        <v/>
      </c>
      <c r="AW405" t="str">
        <f>IF(ISNUMBER(FIND("overige",Methode_Keuze)),"",IF(Tb_Activiteiten[[#This Row],[Bijdrage in natura (vrijwilligers)]]=1,Tb_Activiteiten[[#Headers],[Bijdrage in natura (vrijwilligers)]],""))</f>
        <v/>
      </c>
      <c r="AX405" t="str">
        <f>IF(ISNUMBER(FIND("overige",Methode_Keuze)),"",IF(Tb_Activiteiten[[#This Row],[Afschrijvingskosten]]=1,Tb_Activiteiten[[#Headers],[Afschrijvingskosten]],""))</f>
        <v/>
      </c>
      <c r="AY405" t="str">
        <f>IF(ISNUMBER(FIND("overige",Methode_Keuze)),"",IF(Tb_Activiteiten[[#This Row],[Vergoeding]]=1,Tb_Activiteiten[[#Headers],[Vergoeding]],""))</f>
        <v/>
      </c>
      <c r="AZ405" t="str">
        <f>IF(ISNUMBER(FIND("arbeid",Methode_Keuze)),"",IF(Tb_Activiteiten[[#This Row],[Arbeidskosten - vast tarief (excl eigen arbeid)]]=1,Tb_Activiteiten[[#Headers],[Arbeidskosten - vast tarief (excl eigen arbeid)]],""))</f>
        <v/>
      </c>
      <c r="BA405" t="str">
        <f>IF(ISNUMBER(FIND("overige",Methode_Keuze)),"",IF(Tb_Activiteiten[[#This Row],[Overige kosten]]=1,Tb_Activiteiten[[#Headers],[Overige kosten]],""))</f>
        <v/>
      </c>
    </row>
    <row r="406" spans="1:53" x14ac:dyDescent="0.25">
      <c r="A406" s="231"/>
      <c r="F406" s="64"/>
      <c r="G406" s="64"/>
      <c r="H406" s="275"/>
      <c r="I406" s="275"/>
      <c r="J406" s="275"/>
      <c r="K406" s="275"/>
      <c r="O406" s="56"/>
      <c r="Q406" t="str">
        <f>IFERROR(IF(VLOOKUP(Tb_Activiteiten[[#This Row],[Openstelling]],Tb_Openstelling[],2,0)=1,1,""),"")</f>
        <v/>
      </c>
      <c r="AK406" t="str">
        <f>IF(ISNUMBER(FIND("arbeid",Methode_Keuze)),"",IF(ISNUMBER(FIND("arbeid",Methode_Keuze)),"",IF(Tb_Activiteiten[[#This Row],[Loonkosten]]=1,Tb_Activiteiten[[#Headers],[Loonkosten]],"")))</f>
        <v/>
      </c>
      <c r="AL406" t="str">
        <f>IF(ISNUMBER(FIND("arbeid",Methode_Keuze)),"",IF(ISNUMBER(FIND("arbeid",Methode_Keuze)),"",IF(Tb_Activiteiten[[#This Row],[Eigen arbeid]]=1,Tb_Activiteiten[[#Headers],[Eigen arbeid]],"")))</f>
        <v/>
      </c>
      <c r="AM406" t="str">
        <f>IF(ISNUMBER(FIND("arbeid",Methode_Keuze)),"",IF(ISNUMBER(FIND("arbeid",Methode_Keuze)),"",IF(Tb_Activiteiten[[#This Row],[Projectmedewerker]]=1,Tb_Activiteiten[[#Headers],[Projectmedewerker]],"")))</f>
        <v/>
      </c>
      <c r="AN406" t="str">
        <f>IF(ISNUMBER(FIND("arbeid",Methode_Keuze)),"",IF(ISNUMBER(FIND("arbeid",Methode_Keuze)),"",IF(Tb_Activiteiten[[#This Row],[Landbouwer]]=1,Tb_Activiteiten[[#Headers],[Landbouwer]],"")))</f>
        <v/>
      </c>
      <c r="AO406" t="str">
        <f>IF(ISNUMBER(FIND("arbeid",Methode_Keuze)),"",IF(ISNUMBER(FIND("arbeid",Methode_Keuze)),"",IF(Tb_Activiteiten[[#This Row],[Adviseur]]=1,Tb_Activiteiten[[#Headers],[Adviseur]],"")))</f>
        <v/>
      </c>
      <c r="AP406" t="str">
        <f>IF(ISNUMBER(FIND("arbeid",Methode_Keuze)),"",IF(ISNUMBER(FIND("arbeid",Methode_Keuze)),"",IF(Tb_Activiteiten[[#This Row],[Projectleider/Expert]]=1,Tb_Activiteiten[[#Headers],[Projectleider/Expert]],"")))</f>
        <v/>
      </c>
      <c r="AQ406" t="str">
        <f>IF(ISNUMBER(FIND("arbeid",Methode_Keuze)),"",IF(ISNUMBER(FIND("arbeid",Methode_Keuze)),"",IF(Tb_Activiteiten[[#This Row],[Arbeidskosten]]=1,Tb_Activiteiten[[#Headers],[Arbeidskosten]],"")))</f>
        <v/>
      </c>
      <c r="AR406" t="str">
        <f>IF(ISNUMBER(FIND("arbeid",Methode_Keuze)),"",IF(ISNUMBER(FIND("arbeid",Methode_Keuze)),"",IF(Tb_Activiteiten[[#This Row],[Arbeidskosten op basis van IKS]]=1,Tb_Activiteiten[[#Headers],[Arbeidskosten op basis van IKS]],"")))</f>
        <v/>
      </c>
      <c r="AS406" t="str">
        <f>IF(ISNUMBER(FIND("overige",Methode_Keuze)),"",IF(Tb_Activiteiten[[#This Row],[Kosten derden exclusief btw]]=1,Tb_Activiteiten[[#Headers],[Kosten derden exclusief btw]],""))</f>
        <v/>
      </c>
      <c r="AT406" t="str">
        <f>IF(ISNUMBER(FIND("overige",Methode_Keuze)),"",IF(Tb_Activiteiten[[#This Row],[Niet verrekenbare btw]]=1,Tb_Activiteiten[[#Headers],[Niet verrekenbare btw]],""))</f>
        <v/>
      </c>
      <c r="AU406" t="str">
        <f>IF(ISNUMBER(FIND("overige",Methode_Keuze)),"",IF(Tb_Activiteiten[[#This Row],[Grondkosten]]=1,Tb_Activiteiten[[#Headers],[Grondkosten]],""))</f>
        <v/>
      </c>
      <c r="AV406" t="str">
        <f>IF(ISNUMBER(FIND("overige",Methode_Keuze)),"",IF(Tb_Activiteiten[[#This Row],[Bijdrage in natura (overige)]]=1,Tb_Activiteiten[[#Headers],[Bijdrage in natura (overige)]],""))</f>
        <v/>
      </c>
      <c r="AW406" t="str">
        <f>IF(ISNUMBER(FIND("overige",Methode_Keuze)),"",IF(Tb_Activiteiten[[#This Row],[Bijdrage in natura (vrijwilligers)]]=1,Tb_Activiteiten[[#Headers],[Bijdrage in natura (vrijwilligers)]],""))</f>
        <v/>
      </c>
      <c r="AX406" t="str">
        <f>IF(ISNUMBER(FIND("overige",Methode_Keuze)),"",IF(Tb_Activiteiten[[#This Row],[Afschrijvingskosten]]=1,Tb_Activiteiten[[#Headers],[Afschrijvingskosten]],""))</f>
        <v/>
      </c>
      <c r="AY406" t="str">
        <f>IF(ISNUMBER(FIND("overige",Methode_Keuze)),"",IF(Tb_Activiteiten[[#This Row],[Vergoeding]]=1,Tb_Activiteiten[[#Headers],[Vergoeding]],""))</f>
        <v/>
      </c>
      <c r="AZ406" t="str">
        <f>IF(ISNUMBER(FIND("arbeid",Methode_Keuze)),"",IF(Tb_Activiteiten[[#This Row],[Arbeidskosten - vast tarief (excl eigen arbeid)]]=1,Tb_Activiteiten[[#Headers],[Arbeidskosten - vast tarief (excl eigen arbeid)]],""))</f>
        <v/>
      </c>
      <c r="BA406" t="str">
        <f>IF(ISNUMBER(FIND("overige",Methode_Keuze)),"",IF(Tb_Activiteiten[[#This Row],[Overige kosten]]=1,Tb_Activiteiten[[#Headers],[Overige kosten]],""))</f>
        <v/>
      </c>
    </row>
    <row r="407" spans="1:53" x14ac:dyDescent="0.25">
      <c r="A407" s="231"/>
      <c r="F407" s="64"/>
      <c r="G407" s="64"/>
      <c r="H407" s="275"/>
      <c r="I407" s="275"/>
      <c r="J407" s="275"/>
      <c r="K407" s="275"/>
      <c r="O407" s="56"/>
      <c r="Q407" t="str">
        <f>IFERROR(IF(VLOOKUP(Tb_Activiteiten[[#This Row],[Openstelling]],Tb_Openstelling[],2,0)=1,1,""),"")</f>
        <v/>
      </c>
      <c r="AK407" t="str">
        <f>IF(ISNUMBER(FIND("arbeid",Methode_Keuze)),"",IF(ISNUMBER(FIND("arbeid",Methode_Keuze)),"",IF(Tb_Activiteiten[[#This Row],[Loonkosten]]=1,Tb_Activiteiten[[#Headers],[Loonkosten]],"")))</f>
        <v/>
      </c>
      <c r="AL407" t="str">
        <f>IF(ISNUMBER(FIND("arbeid",Methode_Keuze)),"",IF(ISNUMBER(FIND("arbeid",Methode_Keuze)),"",IF(Tb_Activiteiten[[#This Row],[Eigen arbeid]]=1,Tb_Activiteiten[[#Headers],[Eigen arbeid]],"")))</f>
        <v/>
      </c>
      <c r="AM407" t="str">
        <f>IF(ISNUMBER(FIND("arbeid",Methode_Keuze)),"",IF(ISNUMBER(FIND("arbeid",Methode_Keuze)),"",IF(Tb_Activiteiten[[#This Row],[Projectmedewerker]]=1,Tb_Activiteiten[[#Headers],[Projectmedewerker]],"")))</f>
        <v/>
      </c>
      <c r="AN407" t="str">
        <f>IF(ISNUMBER(FIND("arbeid",Methode_Keuze)),"",IF(ISNUMBER(FIND("arbeid",Methode_Keuze)),"",IF(Tb_Activiteiten[[#This Row],[Landbouwer]]=1,Tb_Activiteiten[[#Headers],[Landbouwer]],"")))</f>
        <v/>
      </c>
      <c r="AO407" t="str">
        <f>IF(ISNUMBER(FIND("arbeid",Methode_Keuze)),"",IF(ISNUMBER(FIND("arbeid",Methode_Keuze)),"",IF(Tb_Activiteiten[[#This Row],[Adviseur]]=1,Tb_Activiteiten[[#Headers],[Adviseur]],"")))</f>
        <v/>
      </c>
      <c r="AP407" t="str">
        <f>IF(ISNUMBER(FIND("arbeid",Methode_Keuze)),"",IF(ISNUMBER(FIND("arbeid",Methode_Keuze)),"",IF(Tb_Activiteiten[[#This Row],[Projectleider/Expert]]=1,Tb_Activiteiten[[#Headers],[Projectleider/Expert]],"")))</f>
        <v/>
      </c>
      <c r="AQ407" t="str">
        <f>IF(ISNUMBER(FIND("arbeid",Methode_Keuze)),"",IF(ISNUMBER(FIND("arbeid",Methode_Keuze)),"",IF(Tb_Activiteiten[[#This Row],[Arbeidskosten]]=1,Tb_Activiteiten[[#Headers],[Arbeidskosten]],"")))</f>
        <v/>
      </c>
      <c r="AR407" t="str">
        <f>IF(ISNUMBER(FIND("arbeid",Methode_Keuze)),"",IF(ISNUMBER(FIND("arbeid",Methode_Keuze)),"",IF(Tb_Activiteiten[[#This Row],[Arbeidskosten op basis van IKS]]=1,Tb_Activiteiten[[#Headers],[Arbeidskosten op basis van IKS]],"")))</f>
        <v/>
      </c>
      <c r="AS407" t="str">
        <f>IF(ISNUMBER(FIND("overige",Methode_Keuze)),"",IF(Tb_Activiteiten[[#This Row],[Kosten derden exclusief btw]]=1,Tb_Activiteiten[[#Headers],[Kosten derden exclusief btw]],""))</f>
        <v/>
      </c>
      <c r="AT407" t="str">
        <f>IF(ISNUMBER(FIND("overige",Methode_Keuze)),"",IF(Tb_Activiteiten[[#This Row],[Niet verrekenbare btw]]=1,Tb_Activiteiten[[#Headers],[Niet verrekenbare btw]],""))</f>
        <v/>
      </c>
      <c r="AU407" t="str">
        <f>IF(ISNUMBER(FIND("overige",Methode_Keuze)),"",IF(Tb_Activiteiten[[#This Row],[Grondkosten]]=1,Tb_Activiteiten[[#Headers],[Grondkosten]],""))</f>
        <v/>
      </c>
      <c r="AV407" t="str">
        <f>IF(ISNUMBER(FIND("overige",Methode_Keuze)),"",IF(Tb_Activiteiten[[#This Row],[Bijdrage in natura (overige)]]=1,Tb_Activiteiten[[#Headers],[Bijdrage in natura (overige)]],""))</f>
        <v/>
      </c>
      <c r="AW407" t="str">
        <f>IF(ISNUMBER(FIND("overige",Methode_Keuze)),"",IF(Tb_Activiteiten[[#This Row],[Bijdrage in natura (vrijwilligers)]]=1,Tb_Activiteiten[[#Headers],[Bijdrage in natura (vrijwilligers)]],""))</f>
        <v/>
      </c>
      <c r="AX407" t="str">
        <f>IF(ISNUMBER(FIND("overige",Methode_Keuze)),"",IF(Tb_Activiteiten[[#This Row],[Afschrijvingskosten]]=1,Tb_Activiteiten[[#Headers],[Afschrijvingskosten]],""))</f>
        <v/>
      </c>
      <c r="AY407" t="str">
        <f>IF(ISNUMBER(FIND("overige",Methode_Keuze)),"",IF(Tb_Activiteiten[[#This Row],[Vergoeding]]=1,Tb_Activiteiten[[#Headers],[Vergoeding]],""))</f>
        <v/>
      </c>
      <c r="AZ407" t="str">
        <f>IF(ISNUMBER(FIND("arbeid",Methode_Keuze)),"",IF(Tb_Activiteiten[[#This Row],[Arbeidskosten - vast tarief (excl eigen arbeid)]]=1,Tb_Activiteiten[[#Headers],[Arbeidskosten - vast tarief (excl eigen arbeid)]],""))</f>
        <v/>
      </c>
      <c r="BA407" t="str">
        <f>IF(ISNUMBER(FIND("overige",Methode_Keuze)),"",IF(Tb_Activiteiten[[#This Row],[Overige kosten]]=1,Tb_Activiteiten[[#Headers],[Overige kosten]],""))</f>
        <v/>
      </c>
    </row>
    <row r="408" spans="1:53" x14ac:dyDescent="0.25">
      <c r="A408" s="231"/>
      <c r="F408" s="64"/>
      <c r="G408" s="64"/>
      <c r="H408" s="275"/>
      <c r="I408" s="275"/>
      <c r="J408" s="275"/>
      <c r="K408" s="275"/>
      <c r="O408" s="56"/>
      <c r="Q408" t="str">
        <f>IFERROR(IF(VLOOKUP(Tb_Activiteiten[[#This Row],[Openstelling]],Tb_Openstelling[],2,0)=1,1,""),"")</f>
        <v/>
      </c>
      <c r="AK408" t="str">
        <f>IF(ISNUMBER(FIND("arbeid",Methode_Keuze)),"",IF(ISNUMBER(FIND("arbeid",Methode_Keuze)),"",IF(Tb_Activiteiten[[#This Row],[Loonkosten]]=1,Tb_Activiteiten[[#Headers],[Loonkosten]],"")))</f>
        <v/>
      </c>
      <c r="AL408" t="str">
        <f>IF(ISNUMBER(FIND("arbeid",Methode_Keuze)),"",IF(ISNUMBER(FIND("arbeid",Methode_Keuze)),"",IF(Tb_Activiteiten[[#This Row],[Eigen arbeid]]=1,Tb_Activiteiten[[#Headers],[Eigen arbeid]],"")))</f>
        <v/>
      </c>
      <c r="AM408" t="str">
        <f>IF(ISNUMBER(FIND("arbeid",Methode_Keuze)),"",IF(ISNUMBER(FIND("arbeid",Methode_Keuze)),"",IF(Tb_Activiteiten[[#This Row],[Projectmedewerker]]=1,Tb_Activiteiten[[#Headers],[Projectmedewerker]],"")))</f>
        <v/>
      </c>
      <c r="AN408" t="str">
        <f>IF(ISNUMBER(FIND("arbeid",Methode_Keuze)),"",IF(ISNUMBER(FIND("arbeid",Methode_Keuze)),"",IF(Tb_Activiteiten[[#This Row],[Landbouwer]]=1,Tb_Activiteiten[[#Headers],[Landbouwer]],"")))</f>
        <v/>
      </c>
      <c r="AO408" t="str">
        <f>IF(ISNUMBER(FIND("arbeid",Methode_Keuze)),"",IF(ISNUMBER(FIND("arbeid",Methode_Keuze)),"",IF(Tb_Activiteiten[[#This Row],[Adviseur]]=1,Tb_Activiteiten[[#Headers],[Adviseur]],"")))</f>
        <v/>
      </c>
      <c r="AP408" t="str">
        <f>IF(ISNUMBER(FIND("arbeid",Methode_Keuze)),"",IF(ISNUMBER(FIND("arbeid",Methode_Keuze)),"",IF(Tb_Activiteiten[[#This Row],[Projectleider/Expert]]=1,Tb_Activiteiten[[#Headers],[Projectleider/Expert]],"")))</f>
        <v/>
      </c>
      <c r="AQ408" t="str">
        <f>IF(ISNUMBER(FIND("arbeid",Methode_Keuze)),"",IF(ISNUMBER(FIND("arbeid",Methode_Keuze)),"",IF(Tb_Activiteiten[[#This Row],[Arbeidskosten]]=1,Tb_Activiteiten[[#Headers],[Arbeidskosten]],"")))</f>
        <v/>
      </c>
      <c r="AR408" t="str">
        <f>IF(ISNUMBER(FIND("arbeid",Methode_Keuze)),"",IF(ISNUMBER(FIND("arbeid",Methode_Keuze)),"",IF(Tb_Activiteiten[[#This Row],[Arbeidskosten op basis van IKS]]=1,Tb_Activiteiten[[#Headers],[Arbeidskosten op basis van IKS]],"")))</f>
        <v/>
      </c>
      <c r="AS408" t="str">
        <f>IF(ISNUMBER(FIND("overige",Methode_Keuze)),"",IF(Tb_Activiteiten[[#This Row],[Kosten derden exclusief btw]]=1,Tb_Activiteiten[[#Headers],[Kosten derden exclusief btw]],""))</f>
        <v/>
      </c>
      <c r="AT408" t="str">
        <f>IF(ISNUMBER(FIND("overige",Methode_Keuze)),"",IF(Tb_Activiteiten[[#This Row],[Niet verrekenbare btw]]=1,Tb_Activiteiten[[#Headers],[Niet verrekenbare btw]],""))</f>
        <v/>
      </c>
      <c r="AU408" t="str">
        <f>IF(ISNUMBER(FIND("overige",Methode_Keuze)),"",IF(Tb_Activiteiten[[#This Row],[Grondkosten]]=1,Tb_Activiteiten[[#Headers],[Grondkosten]],""))</f>
        <v/>
      </c>
      <c r="AV408" t="str">
        <f>IF(ISNUMBER(FIND("overige",Methode_Keuze)),"",IF(Tb_Activiteiten[[#This Row],[Bijdrage in natura (overige)]]=1,Tb_Activiteiten[[#Headers],[Bijdrage in natura (overige)]],""))</f>
        <v/>
      </c>
      <c r="AW408" t="str">
        <f>IF(ISNUMBER(FIND("overige",Methode_Keuze)),"",IF(Tb_Activiteiten[[#This Row],[Bijdrage in natura (vrijwilligers)]]=1,Tb_Activiteiten[[#Headers],[Bijdrage in natura (vrijwilligers)]],""))</f>
        <v/>
      </c>
      <c r="AX408" t="str">
        <f>IF(ISNUMBER(FIND("overige",Methode_Keuze)),"",IF(Tb_Activiteiten[[#This Row],[Afschrijvingskosten]]=1,Tb_Activiteiten[[#Headers],[Afschrijvingskosten]],""))</f>
        <v/>
      </c>
      <c r="AY408" t="str">
        <f>IF(ISNUMBER(FIND("overige",Methode_Keuze)),"",IF(Tb_Activiteiten[[#This Row],[Vergoeding]]=1,Tb_Activiteiten[[#Headers],[Vergoeding]],""))</f>
        <v/>
      </c>
      <c r="AZ408" t="str">
        <f>IF(ISNUMBER(FIND("arbeid",Methode_Keuze)),"",IF(Tb_Activiteiten[[#This Row],[Arbeidskosten - vast tarief (excl eigen arbeid)]]=1,Tb_Activiteiten[[#Headers],[Arbeidskosten - vast tarief (excl eigen arbeid)]],""))</f>
        <v/>
      </c>
      <c r="BA408" t="str">
        <f>IF(ISNUMBER(FIND("overige",Methode_Keuze)),"",IF(Tb_Activiteiten[[#This Row],[Overige kosten]]=1,Tb_Activiteiten[[#Headers],[Overige kosten]],""))</f>
        <v/>
      </c>
    </row>
    <row r="409" spans="1:53" x14ac:dyDescent="0.25">
      <c r="A409" s="231"/>
      <c r="F409" s="64"/>
      <c r="G409" s="64"/>
      <c r="H409" s="275"/>
      <c r="I409" s="275"/>
      <c r="J409" s="275"/>
      <c r="K409" s="275"/>
      <c r="O409" s="56"/>
      <c r="Q409" t="str">
        <f>IFERROR(IF(VLOOKUP(Tb_Activiteiten[[#This Row],[Openstelling]],Tb_Openstelling[],2,0)=1,1,""),"")</f>
        <v/>
      </c>
      <c r="AK409" t="str">
        <f>IF(ISNUMBER(FIND("arbeid",Methode_Keuze)),"",IF(ISNUMBER(FIND("arbeid",Methode_Keuze)),"",IF(Tb_Activiteiten[[#This Row],[Loonkosten]]=1,Tb_Activiteiten[[#Headers],[Loonkosten]],"")))</f>
        <v/>
      </c>
      <c r="AL409" t="str">
        <f>IF(ISNUMBER(FIND("arbeid",Methode_Keuze)),"",IF(ISNUMBER(FIND("arbeid",Methode_Keuze)),"",IF(Tb_Activiteiten[[#This Row],[Eigen arbeid]]=1,Tb_Activiteiten[[#Headers],[Eigen arbeid]],"")))</f>
        <v/>
      </c>
      <c r="AM409" t="str">
        <f>IF(ISNUMBER(FIND("arbeid",Methode_Keuze)),"",IF(ISNUMBER(FIND("arbeid",Methode_Keuze)),"",IF(Tb_Activiteiten[[#This Row],[Projectmedewerker]]=1,Tb_Activiteiten[[#Headers],[Projectmedewerker]],"")))</f>
        <v/>
      </c>
      <c r="AN409" t="str">
        <f>IF(ISNUMBER(FIND("arbeid",Methode_Keuze)),"",IF(ISNUMBER(FIND("arbeid",Methode_Keuze)),"",IF(Tb_Activiteiten[[#This Row],[Landbouwer]]=1,Tb_Activiteiten[[#Headers],[Landbouwer]],"")))</f>
        <v/>
      </c>
      <c r="AO409" t="str">
        <f>IF(ISNUMBER(FIND("arbeid",Methode_Keuze)),"",IF(ISNUMBER(FIND("arbeid",Methode_Keuze)),"",IF(Tb_Activiteiten[[#This Row],[Adviseur]]=1,Tb_Activiteiten[[#Headers],[Adviseur]],"")))</f>
        <v/>
      </c>
      <c r="AP409" t="str">
        <f>IF(ISNUMBER(FIND("arbeid",Methode_Keuze)),"",IF(ISNUMBER(FIND("arbeid",Methode_Keuze)),"",IF(Tb_Activiteiten[[#This Row],[Projectleider/Expert]]=1,Tb_Activiteiten[[#Headers],[Projectleider/Expert]],"")))</f>
        <v/>
      </c>
      <c r="AQ409" t="str">
        <f>IF(ISNUMBER(FIND("arbeid",Methode_Keuze)),"",IF(ISNUMBER(FIND("arbeid",Methode_Keuze)),"",IF(Tb_Activiteiten[[#This Row],[Arbeidskosten]]=1,Tb_Activiteiten[[#Headers],[Arbeidskosten]],"")))</f>
        <v/>
      </c>
      <c r="AR409" t="str">
        <f>IF(ISNUMBER(FIND("arbeid",Methode_Keuze)),"",IF(ISNUMBER(FIND("arbeid",Methode_Keuze)),"",IF(Tb_Activiteiten[[#This Row],[Arbeidskosten op basis van IKS]]=1,Tb_Activiteiten[[#Headers],[Arbeidskosten op basis van IKS]],"")))</f>
        <v/>
      </c>
      <c r="AS409" t="str">
        <f>IF(ISNUMBER(FIND("overige",Methode_Keuze)),"",IF(Tb_Activiteiten[[#This Row],[Kosten derden exclusief btw]]=1,Tb_Activiteiten[[#Headers],[Kosten derden exclusief btw]],""))</f>
        <v/>
      </c>
      <c r="AT409" t="str">
        <f>IF(ISNUMBER(FIND("overige",Methode_Keuze)),"",IF(Tb_Activiteiten[[#This Row],[Niet verrekenbare btw]]=1,Tb_Activiteiten[[#Headers],[Niet verrekenbare btw]],""))</f>
        <v/>
      </c>
      <c r="AU409" t="str">
        <f>IF(ISNUMBER(FIND("overige",Methode_Keuze)),"",IF(Tb_Activiteiten[[#This Row],[Grondkosten]]=1,Tb_Activiteiten[[#Headers],[Grondkosten]],""))</f>
        <v/>
      </c>
      <c r="AV409" t="str">
        <f>IF(ISNUMBER(FIND("overige",Methode_Keuze)),"",IF(Tb_Activiteiten[[#This Row],[Bijdrage in natura (overige)]]=1,Tb_Activiteiten[[#Headers],[Bijdrage in natura (overige)]],""))</f>
        <v/>
      </c>
      <c r="AW409" t="str">
        <f>IF(ISNUMBER(FIND("overige",Methode_Keuze)),"",IF(Tb_Activiteiten[[#This Row],[Bijdrage in natura (vrijwilligers)]]=1,Tb_Activiteiten[[#Headers],[Bijdrage in natura (vrijwilligers)]],""))</f>
        <v/>
      </c>
      <c r="AX409" t="str">
        <f>IF(ISNUMBER(FIND("overige",Methode_Keuze)),"",IF(Tb_Activiteiten[[#This Row],[Afschrijvingskosten]]=1,Tb_Activiteiten[[#Headers],[Afschrijvingskosten]],""))</f>
        <v/>
      </c>
      <c r="AY409" t="str">
        <f>IF(ISNUMBER(FIND("overige",Methode_Keuze)),"",IF(Tb_Activiteiten[[#This Row],[Vergoeding]]=1,Tb_Activiteiten[[#Headers],[Vergoeding]],""))</f>
        <v/>
      </c>
      <c r="AZ409" t="str">
        <f>IF(ISNUMBER(FIND("arbeid",Methode_Keuze)),"",IF(Tb_Activiteiten[[#This Row],[Arbeidskosten - vast tarief (excl eigen arbeid)]]=1,Tb_Activiteiten[[#Headers],[Arbeidskosten - vast tarief (excl eigen arbeid)]],""))</f>
        <v/>
      </c>
      <c r="BA409" t="str">
        <f>IF(ISNUMBER(FIND("overige",Methode_Keuze)),"",IF(Tb_Activiteiten[[#This Row],[Overige kosten]]=1,Tb_Activiteiten[[#Headers],[Overige kosten]],""))</f>
        <v/>
      </c>
    </row>
    <row r="410" spans="1:53" x14ac:dyDescent="0.25">
      <c r="A410" s="231"/>
      <c r="F410" s="64"/>
      <c r="G410" s="64"/>
      <c r="H410" s="275"/>
      <c r="I410" s="275"/>
      <c r="J410" s="275"/>
      <c r="K410" s="275"/>
      <c r="O410" s="56"/>
      <c r="Q410" t="str">
        <f>IFERROR(IF(VLOOKUP(Tb_Activiteiten[[#This Row],[Openstelling]],Tb_Openstelling[],2,0)=1,1,""),"")</f>
        <v/>
      </c>
      <c r="AK410" t="str">
        <f>IF(ISNUMBER(FIND("arbeid",Methode_Keuze)),"",IF(ISNUMBER(FIND("arbeid",Methode_Keuze)),"",IF(Tb_Activiteiten[[#This Row],[Loonkosten]]=1,Tb_Activiteiten[[#Headers],[Loonkosten]],"")))</f>
        <v/>
      </c>
      <c r="AL410" t="str">
        <f>IF(ISNUMBER(FIND("arbeid",Methode_Keuze)),"",IF(ISNUMBER(FIND("arbeid",Methode_Keuze)),"",IF(Tb_Activiteiten[[#This Row],[Eigen arbeid]]=1,Tb_Activiteiten[[#Headers],[Eigen arbeid]],"")))</f>
        <v/>
      </c>
      <c r="AM410" t="str">
        <f>IF(ISNUMBER(FIND("arbeid",Methode_Keuze)),"",IF(ISNUMBER(FIND("arbeid",Methode_Keuze)),"",IF(Tb_Activiteiten[[#This Row],[Projectmedewerker]]=1,Tb_Activiteiten[[#Headers],[Projectmedewerker]],"")))</f>
        <v/>
      </c>
      <c r="AN410" t="str">
        <f>IF(ISNUMBER(FIND("arbeid",Methode_Keuze)),"",IF(ISNUMBER(FIND("arbeid",Methode_Keuze)),"",IF(Tb_Activiteiten[[#This Row],[Landbouwer]]=1,Tb_Activiteiten[[#Headers],[Landbouwer]],"")))</f>
        <v/>
      </c>
      <c r="AO410" t="str">
        <f>IF(ISNUMBER(FIND("arbeid",Methode_Keuze)),"",IF(ISNUMBER(FIND("arbeid",Methode_Keuze)),"",IF(Tb_Activiteiten[[#This Row],[Adviseur]]=1,Tb_Activiteiten[[#Headers],[Adviseur]],"")))</f>
        <v/>
      </c>
      <c r="AP410" t="str">
        <f>IF(ISNUMBER(FIND("arbeid",Methode_Keuze)),"",IF(ISNUMBER(FIND("arbeid",Methode_Keuze)),"",IF(Tb_Activiteiten[[#This Row],[Projectleider/Expert]]=1,Tb_Activiteiten[[#Headers],[Projectleider/Expert]],"")))</f>
        <v/>
      </c>
      <c r="AQ410" t="str">
        <f>IF(ISNUMBER(FIND("arbeid",Methode_Keuze)),"",IF(ISNUMBER(FIND("arbeid",Methode_Keuze)),"",IF(Tb_Activiteiten[[#This Row],[Arbeidskosten]]=1,Tb_Activiteiten[[#Headers],[Arbeidskosten]],"")))</f>
        <v/>
      </c>
      <c r="AR410" t="str">
        <f>IF(ISNUMBER(FIND("arbeid",Methode_Keuze)),"",IF(ISNUMBER(FIND("arbeid",Methode_Keuze)),"",IF(Tb_Activiteiten[[#This Row],[Arbeidskosten op basis van IKS]]=1,Tb_Activiteiten[[#Headers],[Arbeidskosten op basis van IKS]],"")))</f>
        <v/>
      </c>
      <c r="AS410" t="str">
        <f>IF(ISNUMBER(FIND("overige",Methode_Keuze)),"",IF(Tb_Activiteiten[[#This Row],[Kosten derden exclusief btw]]=1,Tb_Activiteiten[[#Headers],[Kosten derden exclusief btw]],""))</f>
        <v/>
      </c>
      <c r="AT410" t="str">
        <f>IF(ISNUMBER(FIND("overige",Methode_Keuze)),"",IF(Tb_Activiteiten[[#This Row],[Niet verrekenbare btw]]=1,Tb_Activiteiten[[#Headers],[Niet verrekenbare btw]],""))</f>
        <v/>
      </c>
      <c r="AU410" t="str">
        <f>IF(ISNUMBER(FIND("overige",Methode_Keuze)),"",IF(Tb_Activiteiten[[#This Row],[Grondkosten]]=1,Tb_Activiteiten[[#Headers],[Grondkosten]],""))</f>
        <v/>
      </c>
      <c r="AV410" t="str">
        <f>IF(ISNUMBER(FIND("overige",Methode_Keuze)),"",IF(Tb_Activiteiten[[#This Row],[Bijdrage in natura (overige)]]=1,Tb_Activiteiten[[#Headers],[Bijdrage in natura (overige)]],""))</f>
        <v/>
      </c>
      <c r="AW410" t="str">
        <f>IF(ISNUMBER(FIND("overige",Methode_Keuze)),"",IF(Tb_Activiteiten[[#This Row],[Bijdrage in natura (vrijwilligers)]]=1,Tb_Activiteiten[[#Headers],[Bijdrage in natura (vrijwilligers)]],""))</f>
        <v/>
      </c>
      <c r="AX410" t="str">
        <f>IF(ISNUMBER(FIND("overige",Methode_Keuze)),"",IF(Tb_Activiteiten[[#This Row],[Afschrijvingskosten]]=1,Tb_Activiteiten[[#Headers],[Afschrijvingskosten]],""))</f>
        <v/>
      </c>
      <c r="AY410" t="str">
        <f>IF(ISNUMBER(FIND("overige",Methode_Keuze)),"",IF(Tb_Activiteiten[[#This Row],[Vergoeding]]=1,Tb_Activiteiten[[#Headers],[Vergoeding]],""))</f>
        <v/>
      </c>
      <c r="AZ410" t="str">
        <f>IF(ISNUMBER(FIND("arbeid",Methode_Keuze)),"",IF(Tb_Activiteiten[[#This Row],[Arbeidskosten - vast tarief (excl eigen arbeid)]]=1,Tb_Activiteiten[[#Headers],[Arbeidskosten - vast tarief (excl eigen arbeid)]],""))</f>
        <v/>
      </c>
      <c r="BA410" t="str">
        <f>IF(ISNUMBER(FIND("overige",Methode_Keuze)),"",IF(Tb_Activiteiten[[#This Row],[Overige kosten]]=1,Tb_Activiteiten[[#Headers],[Overige kosten]],""))</f>
        <v/>
      </c>
    </row>
    <row r="411" spans="1:53" x14ac:dyDescent="0.25">
      <c r="A411" s="231"/>
      <c r="F411" s="64"/>
      <c r="G411" s="64"/>
      <c r="H411" s="275"/>
      <c r="I411" s="275"/>
      <c r="J411" s="275"/>
      <c r="K411" s="275"/>
      <c r="O411" s="56"/>
      <c r="Q411" t="str">
        <f>IFERROR(IF(VLOOKUP(Tb_Activiteiten[[#This Row],[Openstelling]],Tb_Openstelling[],2,0)=1,1,""),"")</f>
        <v/>
      </c>
      <c r="AK411" t="str">
        <f>IF(ISNUMBER(FIND("arbeid",Methode_Keuze)),"",IF(ISNUMBER(FIND("arbeid",Methode_Keuze)),"",IF(Tb_Activiteiten[[#This Row],[Loonkosten]]=1,Tb_Activiteiten[[#Headers],[Loonkosten]],"")))</f>
        <v/>
      </c>
      <c r="AL411" t="str">
        <f>IF(ISNUMBER(FIND("arbeid",Methode_Keuze)),"",IF(ISNUMBER(FIND("arbeid",Methode_Keuze)),"",IF(Tb_Activiteiten[[#This Row],[Eigen arbeid]]=1,Tb_Activiteiten[[#Headers],[Eigen arbeid]],"")))</f>
        <v/>
      </c>
      <c r="AM411" t="str">
        <f>IF(ISNUMBER(FIND("arbeid",Methode_Keuze)),"",IF(ISNUMBER(FIND("arbeid",Methode_Keuze)),"",IF(Tb_Activiteiten[[#This Row],[Projectmedewerker]]=1,Tb_Activiteiten[[#Headers],[Projectmedewerker]],"")))</f>
        <v/>
      </c>
      <c r="AN411" t="str">
        <f>IF(ISNUMBER(FIND("arbeid",Methode_Keuze)),"",IF(ISNUMBER(FIND("arbeid",Methode_Keuze)),"",IF(Tb_Activiteiten[[#This Row],[Landbouwer]]=1,Tb_Activiteiten[[#Headers],[Landbouwer]],"")))</f>
        <v/>
      </c>
      <c r="AO411" t="str">
        <f>IF(ISNUMBER(FIND("arbeid",Methode_Keuze)),"",IF(ISNUMBER(FIND("arbeid",Methode_Keuze)),"",IF(Tb_Activiteiten[[#This Row],[Adviseur]]=1,Tb_Activiteiten[[#Headers],[Adviseur]],"")))</f>
        <v/>
      </c>
      <c r="AP411" t="str">
        <f>IF(ISNUMBER(FIND("arbeid",Methode_Keuze)),"",IF(ISNUMBER(FIND("arbeid",Methode_Keuze)),"",IF(Tb_Activiteiten[[#This Row],[Projectleider/Expert]]=1,Tb_Activiteiten[[#Headers],[Projectleider/Expert]],"")))</f>
        <v/>
      </c>
      <c r="AQ411" t="str">
        <f>IF(ISNUMBER(FIND("arbeid",Methode_Keuze)),"",IF(ISNUMBER(FIND("arbeid",Methode_Keuze)),"",IF(Tb_Activiteiten[[#This Row],[Arbeidskosten]]=1,Tb_Activiteiten[[#Headers],[Arbeidskosten]],"")))</f>
        <v/>
      </c>
      <c r="AR411" t="str">
        <f>IF(ISNUMBER(FIND("arbeid",Methode_Keuze)),"",IF(ISNUMBER(FIND("arbeid",Methode_Keuze)),"",IF(Tb_Activiteiten[[#This Row],[Arbeidskosten op basis van IKS]]=1,Tb_Activiteiten[[#Headers],[Arbeidskosten op basis van IKS]],"")))</f>
        <v/>
      </c>
      <c r="AS411" t="str">
        <f>IF(ISNUMBER(FIND("overige",Methode_Keuze)),"",IF(Tb_Activiteiten[[#This Row],[Kosten derden exclusief btw]]=1,Tb_Activiteiten[[#Headers],[Kosten derden exclusief btw]],""))</f>
        <v/>
      </c>
      <c r="AT411" t="str">
        <f>IF(ISNUMBER(FIND("overige",Methode_Keuze)),"",IF(Tb_Activiteiten[[#This Row],[Niet verrekenbare btw]]=1,Tb_Activiteiten[[#Headers],[Niet verrekenbare btw]],""))</f>
        <v/>
      </c>
      <c r="AU411" t="str">
        <f>IF(ISNUMBER(FIND("overige",Methode_Keuze)),"",IF(Tb_Activiteiten[[#This Row],[Grondkosten]]=1,Tb_Activiteiten[[#Headers],[Grondkosten]],""))</f>
        <v/>
      </c>
      <c r="AV411" t="str">
        <f>IF(ISNUMBER(FIND("overige",Methode_Keuze)),"",IF(Tb_Activiteiten[[#This Row],[Bijdrage in natura (overige)]]=1,Tb_Activiteiten[[#Headers],[Bijdrage in natura (overige)]],""))</f>
        <v/>
      </c>
      <c r="AW411" t="str">
        <f>IF(ISNUMBER(FIND("overige",Methode_Keuze)),"",IF(Tb_Activiteiten[[#This Row],[Bijdrage in natura (vrijwilligers)]]=1,Tb_Activiteiten[[#Headers],[Bijdrage in natura (vrijwilligers)]],""))</f>
        <v/>
      </c>
      <c r="AX411" t="str">
        <f>IF(ISNUMBER(FIND("overige",Methode_Keuze)),"",IF(Tb_Activiteiten[[#This Row],[Afschrijvingskosten]]=1,Tb_Activiteiten[[#Headers],[Afschrijvingskosten]],""))</f>
        <v/>
      </c>
      <c r="AY411" t="str">
        <f>IF(ISNUMBER(FIND("overige",Methode_Keuze)),"",IF(Tb_Activiteiten[[#This Row],[Vergoeding]]=1,Tb_Activiteiten[[#Headers],[Vergoeding]],""))</f>
        <v/>
      </c>
      <c r="AZ411" t="str">
        <f>IF(ISNUMBER(FIND("arbeid",Methode_Keuze)),"",IF(Tb_Activiteiten[[#This Row],[Arbeidskosten - vast tarief (excl eigen arbeid)]]=1,Tb_Activiteiten[[#Headers],[Arbeidskosten - vast tarief (excl eigen arbeid)]],""))</f>
        <v/>
      </c>
      <c r="BA411" t="str">
        <f>IF(ISNUMBER(FIND("overige",Methode_Keuze)),"",IF(Tb_Activiteiten[[#This Row],[Overige kosten]]=1,Tb_Activiteiten[[#Headers],[Overige kosten]],""))</f>
        <v/>
      </c>
    </row>
    <row r="412" spans="1:53" x14ac:dyDescent="0.25">
      <c r="A412" s="231"/>
      <c r="F412" s="64"/>
      <c r="G412" s="64"/>
      <c r="H412" s="275"/>
      <c r="I412" s="275"/>
      <c r="J412" s="275"/>
      <c r="K412" s="275"/>
      <c r="O412" s="56"/>
      <c r="Q412" t="str">
        <f>IFERROR(IF(VLOOKUP(Tb_Activiteiten[[#This Row],[Openstelling]],Tb_Openstelling[],2,0)=1,1,""),"")</f>
        <v/>
      </c>
      <c r="AK412" t="str">
        <f>IF(ISNUMBER(FIND("arbeid",Methode_Keuze)),"",IF(ISNUMBER(FIND("arbeid",Methode_Keuze)),"",IF(Tb_Activiteiten[[#This Row],[Loonkosten]]=1,Tb_Activiteiten[[#Headers],[Loonkosten]],"")))</f>
        <v/>
      </c>
      <c r="AL412" t="str">
        <f>IF(ISNUMBER(FIND("arbeid",Methode_Keuze)),"",IF(ISNUMBER(FIND("arbeid",Methode_Keuze)),"",IF(Tb_Activiteiten[[#This Row],[Eigen arbeid]]=1,Tb_Activiteiten[[#Headers],[Eigen arbeid]],"")))</f>
        <v/>
      </c>
      <c r="AM412" t="str">
        <f>IF(ISNUMBER(FIND("arbeid",Methode_Keuze)),"",IF(ISNUMBER(FIND("arbeid",Methode_Keuze)),"",IF(Tb_Activiteiten[[#This Row],[Projectmedewerker]]=1,Tb_Activiteiten[[#Headers],[Projectmedewerker]],"")))</f>
        <v/>
      </c>
      <c r="AN412" t="str">
        <f>IF(ISNUMBER(FIND("arbeid",Methode_Keuze)),"",IF(ISNUMBER(FIND("arbeid",Methode_Keuze)),"",IF(Tb_Activiteiten[[#This Row],[Landbouwer]]=1,Tb_Activiteiten[[#Headers],[Landbouwer]],"")))</f>
        <v/>
      </c>
      <c r="AO412" t="str">
        <f>IF(ISNUMBER(FIND("arbeid",Methode_Keuze)),"",IF(ISNUMBER(FIND("arbeid",Methode_Keuze)),"",IF(Tb_Activiteiten[[#This Row],[Adviseur]]=1,Tb_Activiteiten[[#Headers],[Adviseur]],"")))</f>
        <v/>
      </c>
      <c r="AP412" t="str">
        <f>IF(ISNUMBER(FIND("arbeid",Methode_Keuze)),"",IF(ISNUMBER(FIND("arbeid",Methode_Keuze)),"",IF(Tb_Activiteiten[[#This Row],[Projectleider/Expert]]=1,Tb_Activiteiten[[#Headers],[Projectleider/Expert]],"")))</f>
        <v/>
      </c>
      <c r="AQ412" t="str">
        <f>IF(ISNUMBER(FIND("arbeid",Methode_Keuze)),"",IF(ISNUMBER(FIND("arbeid",Methode_Keuze)),"",IF(Tb_Activiteiten[[#This Row],[Arbeidskosten]]=1,Tb_Activiteiten[[#Headers],[Arbeidskosten]],"")))</f>
        <v/>
      </c>
      <c r="AR412" t="str">
        <f>IF(ISNUMBER(FIND("arbeid",Methode_Keuze)),"",IF(ISNUMBER(FIND("arbeid",Methode_Keuze)),"",IF(Tb_Activiteiten[[#This Row],[Arbeidskosten op basis van IKS]]=1,Tb_Activiteiten[[#Headers],[Arbeidskosten op basis van IKS]],"")))</f>
        <v/>
      </c>
      <c r="AS412" t="str">
        <f>IF(ISNUMBER(FIND("overige",Methode_Keuze)),"",IF(Tb_Activiteiten[[#This Row],[Kosten derden exclusief btw]]=1,Tb_Activiteiten[[#Headers],[Kosten derden exclusief btw]],""))</f>
        <v/>
      </c>
      <c r="AT412" t="str">
        <f>IF(ISNUMBER(FIND("overige",Methode_Keuze)),"",IF(Tb_Activiteiten[[#This Row],[Niet verrekenbare btw]]=1,Tb_Activiteiten[[#Headers],[Niet verrekenbare btw]],""))</f>
        <v/>
      </c>
      <c r="AU412" t="str">
        <f>IF(ISNUMBER(FIND("overige",Methode_Keuze)),"",IF(Tb_Activiteiten[[#This Row],[Grondkosten]]=1,Tb_Activiteiten[[#Headers],[Grondkosten]],""))</f>
        <v/>
      </c>
      <c r="AV412" t="str">
        <f>IF(ISNUMBER(FIND("overige",Methode_Keuze)),"",IF(Tb_Activiteiten[[#This Row],[Bijdrage in natura (overige)]]=1,Tb_Activiteiten[[#Headers],[Bijdrage in natura (overige)]],""))</f>
        <v/>
      </c>
      <c r="AW412" t="str">
        <f>IF(ISNUMBER(FIND("overige",Methode_Keuze)),"",IF(Tb_Activiteiten[[#This Row],[Bijdrage in natura (vrijwilligers)]]=1,Tb_Activiteiten[[#Headers],[Bijdrage in natura (vrijwilligers)]],""))</f>
        <v/>
      </c>
      <c r="AX412" t="str">
        <f>IF(ISNUMBER(FIND("overige",Methode_Keuze)),"",IF(Tb_Activiteiten[[#This Row],[Afschrijvingskosten]]=1,Tb_Activiteiten[[#Headers],[Afschrijvingskosten]],""))</f>
        <v/>
      </c>
      <c r="AY412" t="str">
        <f>IF(ISNUMBER(FIND("overige",Methode_Keuze)),"",IF(Tb_Activiteiten[[#This Row],[Vergoeding]]=1,Tb_Activiteiten[[#Headers],[Vergoeding]],""))</f>
        <v/>
      </c>
      <c r="AZ412" t="str">
        <f>IF(ISNUMBER(FIND("arbeid",Methode_Keuze)),"",IF(Tb_Activiteiten[[#This Row],[Arbeidskosten - vast tarief (excl eigen arbeid)]]=1,Tb_Activiteiten[[#Headers],[Arbeidskosten - vast tarief (excl eigen arbeid)]],""))</f>
        <v/>
      </c>
      <c r="BA412" t="str">
        <f>IF(ISNUMBER(FIND("overige",Methode_Keuze)),"",IF(Tb_Activiteiten[[#This Row],[Overige kosten]]=1,Tb_Activiteiten[[#Headers],[Overige kosten]],""))</f>
        <v/>
      </c>
    </row>
    <row r="413" spans="1:53" x14ac:dyDescent="0.25">
      <c r="A413" s="231"/>
      <c r="F413" s="64"/>
      <c r="G413" s="64"/>
      <c r="H413" s="275"/>
      <c r="I413" s="275"/>
      <c r="J413" s="275"/>
      <c r="K413" s="275"/>
      <c r="O413" s="56"/>
      <c r="Q413" t="str">
        <f>IFERROR(IF(VLOOKUP(Tb_Activiteiten[[#This Row],[Openstelling]],Tb_Openstelling[],2,0)=1,1,""),"")</f>
        <v/>
      </c>
      <c r="AK413" t="str">
        <f>IF(ISNUMBER(FIND("arbeid",Methode_Keuze)),"",IF(ISNUMBER(FIND("arbeid",Methode_Keuze)),"",IF(Tb_Activiteiten[[#This Row],[Loonkosten]]=1,Tb_Activiteiten[[#Headers],[Loonkosten]],"")))</f>
        <v/>
      </c>
      <c r="AL413" t="str">
        <f>IF(ISNUMBER(FIND("arbeid",Methode_Keuze)),"",IF(ISNUMBER(FIND("arbeid",Methode_Keuze)),"",IF(Tb_Activiteiten[[#This Row],[Eigen arbeid]]=1,Tb_Activiteiten[[#Headers],[Eigen arbeid]],"")))</f>
        <v/>
      </c>
      <c r="AM413" t="str">
        <f>IF(ISNUMBER(FIND("arbeid",Methode_Keuze)),"",IF(ISNUMBER(FIND("arbeid",Methode_Keuze)),"",IF(Tb_Activiteiten[[#This Row],[Projectmedewerker]]=1,Tb_Activiteiten[[#Headers],[Projectmedewerker]],"")))</f>
        <v/>
      </c>
      <c r="AN413" t="str">
        <f>IF(ISNUMBER(FIND("arbeid",Methode_Keuze)),"",IF(ISNUMBER(FIND("arbeid",Methode_Keuze)),"",IF(Tb_Activiteiten[[#This Row],[Landbouwer]]=1,Tb_Activiteiten[[#Headers],[Landbouwer]],"")))</f>
        <v/>
      </c>
      <c r="AO413" t="str">
        <f>IF(ISNUMBER(FIND("arbeid",Methode_Keuze)),"",IF(ISNUMBER(FIND("arbeid",Methode_Keuze)),"",IF(Tb_Activiteiten[[#This Row],[Adviseur]]=1,Tb_Activiteiten[[#Headers],[Adviseur]],"")))</f>
        <v/>
      </c>
      <c r="AP413" t="str">
        <f>IF(ISNUMBER(FIND("arbeid",Methode_Keuze)),"",IF(ISNUMBER(FIND("arbeid",Methode_Keuze)),"",IF(Tb_Activiteiten[[#This Row],[Projectleider/Expert]]=1,Tb_Activiteiten[[#Headers],[Projectleider/Expert]],"")))</f>
        <v/>
      </c>
      <c r="AQ413" t="str">
        <f>IF(ISNUMBER(FIND("arbeid",Methode_Keuze)),"",IF(ISNUMBER(FIND("arbeid",Methode_Keuze)),"",IF(Tb_Activiteiten[[#This Row],[Arbeidskosten]]=1,Tb_Activiteiten[[#Headers],[Arbeidskosten]],"")))</f>
        <v/>
      </c>
      <c r="AR413" t="str">
        <f>IF(ISNUMBER(FIND("arbeid",Methode_Keuze)),"",IF(ISNUMBER(FIND("arbeid",Methode_Keuze)),"",IF(Tb_Activiteiten[[#This Row],[Arbeidskosten op basis van IKS]]=1,Tb_Activiteiten[[#Headers],[Arbeidskosten op basis van IKS]],"")))</f>
        <v/>
      </c>
      <c r="AS413" t="str">
        <f>IF(ISNUMBER(FIND("overige",Methode_Keuze)),"",IF(Tb_Activiteiten[[#This Row],[Kosten derden exclusief btw]]=1,Tb_Activiteiten[[#Headers],[Kosten derden exclusief btw]],""))</f>
        <v/>
      </c>
      <c r="AT413" t="str">
        <f>IF(ISNUMBER(FIND("overige",Methode_Keuze)),"",IF(Tb_Activiteiten[[#This Row],[Niet verrekenbare btw]]=1,Tb_Activiteiten[[#Headers],[Niet verrekenbare btw]],""))</f>
        <v/>
      </c>
      <c r="AU413" t="str">
        <f>IF(ISNUMBER(FIND("overige",Methode_Keuze)),"",IF(Tb_Activiteiten[[#This Row],[Grondkosten]]=1,Tb_Activiteiten[[#Headers],[Grondkosten]],""))</f>
        <v/>
      </c>
      <c r="AV413" t="str">
        <f>IF(ISNUMBER(FIND("overige",Methode_Keuze)),"",IF(Tb_Activiteiten[[#This Row],[Bijdrage in natura (overige)]]=1,Tb_Activiteiten[[#Headers],[Bijdrage in natura (overige)]],""))</f>
        <v/>
      </c>
      <c r="AW413" t="str">
        <f>IF(ISNUMBER(FIND("overige",Methode_Keuze)),"",IF(Tb_Activiteiten[[#This Row],[Bijdrage in natura (vrijwilligers)]]=1,Tb_Activiteiten[[#Headers],[Bijdrage in natura (vrijwilligers)]],""))</f>
        <v/>
      </c>
      <c r="AX413" t="str">
        <f>IF(ISNUMBER(FIND("overige",Methode_Keuze)),"",IF(Tb_Activiteiten[[#This Row],[Afschrijvingskosten]]=1,Tb_Activiteiten[[#Headers],[Afschrijvingskosten]],""))</f>
        <v/>
      </c>
      <c r="AY413" t="str">
        <f>IF(ISNUMBER(FIND("overige",Methode_Keuze)),"",IF(Tb_Activiteiten[[#This Row],[Vergoeding]]=1,Tb_Activiteiten[[#Headers],[Vergoeding]],""))</f>
        <v/>
      </c>
      <c r="AZ413" t="str">
        <f>IF(ISNUMBER(FIND("arbeid",Methode_Keuze)),"",IF(Tb_Activiteiten[[#This Row],[Arbeidskosten - vast tarief (excl eigen arbeid)]]=1,Tb_Activiteiten[[#Headers],[Arbeidskosten - vast tarief (excl eigen arbeid)]],""))</f>
        <v/>
      </c>
      <c r="BA413" t="str">
        <f>IF(ISNUMBER(FIND("overige",Methode_Keuze)),"",IF(Tb_Activiteiten[[#This Row],[Overige kosten]]=1,Tb_Activiteiten[[#Headers],[Overige kosten]],""))</f>
        <v/>
      </c>
    </row>
    <row r="414" spans="1:53" x14ac:dyDescent="0.25">
      <c r="A414" s="231"/>
      <c r="F414" s="64"/>
      <c r="G414" s="64"/>
      <c r="H414" s="275"/>
      <c r="I414" s="275"/>
      <c r="J414" s="275"/>
      <c r="K414" s="275"/>
      <c r="O414" s="56"/>
      <c r="Q414" t="str">
        <f>IFERROR(IF(VLOOKUP(Tb_Activiteiten[[#This Row],[Openstelling]],Tb_Openstelling[],2,0)=1,1,""),"")</f>
        <v/>
      </c>
      <c r="AK414" t="str">
        <f>IF(ISNUMBER(FIND("arbeid",Methode_Keuze)),"",IF(ISNUMBER(FIND("arbeid",Methode_Keuze)),"",IF(Tb_Activiteiten[[#This Row],[Loonkosten]]=1,Tb_Activiteiten[[#Headers],[Loonkosten]],"")))</f>
        <v/>
      </c>
      <c r="AL414" t="str">
        <f>IF(ISNUMBER(FIND("arbeid",Methode_Keuze)),"",IF(ISNUMBER(FIND("arbeid",Methode_Keuze)),"",IF(Tb_Activiteiten[[#This Row],[Eigen arbeid]]=1,Tb_Activiteiten[[#Headers],[Eigen arbeid]],"")))</f>
        <v/>
      </c>
      <c r="AM414" t="str">
        <f>IF(ISNUMBER(FIND("arbeid",Methode_Keuze)),"",IF(ISNUMBER(FIND("arbeid",Methode_Keuze)),"",IF(Tb_Activiteiten[[#This Row],[Projectmedewerker]]=1,Tb_Activiteiten[[#Headers],[Projectmedewerker]],"")))</f>
        <v/>
      </c>
      <c r="AN414" t="str">
        <f>IF(ISNUMBER(FIND("arbeid",Methode_Keuze)),"",IF(ISNUMBER(FIND("arbeid",Methode_Keuze)),"",IF(Tb_Activiteiten[[#This Row],[Landbouwer]]=1,Tb_Activiteiten[[#Headers],[Landbouwer]],"")))</f>
        <v/>
      </c>
      <c r="AO414" t="str">
        <f>IF(ISNUMBER(FIND("arbeid",Methode_Keuze)),"",IF(ISNUMBER(FIND("arbeid",Methode_Keuze)),"",IF(Tb_Activiteiten[[#This Row],[Adviseur]]=1,Tb_Activiteiten[[#Headers],[Adviseur]],"")))</f>
        <v/>
      </c>
      <c r="AP414" t="str">
        <f>IF(ISNUMBER(FIND("arbeid",Methode_Keuze)),"",IF(ISNUMBER(FIND("arbeid",Methode_Keuze)),"",IF(Tb_Activiteiten[[#This Row],[Projectleider/Expert]]=1,Tb_Activiteiten[[#Headers],[Projectleider/Expert]],"")))</f>
        <v/>
      </c>
      <c r="AQ414" t="str">
        <f>IF(ISNUMBER(FIND("arbeid",Methode_Keuze)),"",IF(ISNUMBER(FIND("arbeid",Methode_Keuze)),"",IF(Tb_Activiteiten[[#This Row],[Arbeidskosten]]=1,Tb_Activiteiten[[#Headers],[Arbeidskosten]],"")))</f>
        <v/>
      </c>
      <c r="AR414" t="str">
        <f>IF(ISNUMBER(FIND("arbeid",Methode_Keuze)),"",IF(ISNUMBER(FIND("arbeid",Methode_Keuze)),"",IF(Tb_Activiteiten[[#This Row],[Arbeidskosten op basis van IKS]]=1,Tb_Activiteiten[[#Headers],[Arbeidskosten op basis van IKS]],"")))</f>
        <v/>
      </c>
      <c r="AS414" t="str">
        <f>IF(ISNUMBER(FIND("overige",Methode_Keuze)),"",IF(Tb_Activiteiten[[#This Row],[Kosten derden exclusief btw]]=1,Tb_Activiteiten[[#Headers],[Kosten derden exclusief btw]],""))</f>
        <v/>
      </c>
      <c r="AT414" t="str">
        <f>IF(ISNUMBER(FIND("overige",Methode_Keuze)),"",IF(Tb_Activiteiten[[#This Row],[Niet verrekenbare btw]]=1,Tb_Activiteiten[[#Headers],[Niet verrekenbare btw]],""))</f>
        <v/>
      </c>
      <c r="AU414" t="str">
        <f>IF(ISNUMBER(FIND("overige",Methode_Keuze)),"",IF(Tb_Activiteiten[[#This Row],[Grondkosten]]=1,Tb_Activiteiten[[#Headers],[Grondkosten]],""))</f>
        <v/>
      </c>
      <c r="AV414" t="str">
        <f>IF(ISNUMBER(FIND("overige",Methode_Keuze)),"",IF(Tb_Activiteiten[[#This Row],[Bijdrage in natura (overige)]]=1,Tb_Activiteiten[[#Headers],[Bijdrage in natura (overige)]],""))</f>
        <v/>
      </c>
      <c r="AW414" t="str">
        <f>IF(ISNUMBER(FIND("overige",Methode_Keuze)),"",IF(Tb_Activiteiten[[#This Row],[Bijdrage in natura (vrijwilligers)]]=1,Tb_Activiteiten[[#Headers],[Bijdrage in natura (vrijwilligers)]],""))</f>
        <v/>
      </c>
      <c r="AX414" t="str">
        <f>IF(ISNUMBER(FIND("overige",Methode_Keuze)),"",IF(Tb_Activiteiten[[#This Row],[Afschrijvingskosten]]=1,Tb_Activiteiten[[#Headers],[Afschrijvingskosten]],""))</f>
        <v/>
      </c>
      <c r="AY414" t="str">
        <f>IF(ISNUMBER(FIND("overige",Methode_Keuze)),"",IF(Tb_Activiteiten[[#This Row],[Vergoeding]]=1,Tb_Activiteiten[[#Headers],[Vergoeding]],""))</f>
        <v/>
      </c>
      <c r="AZ414" t="str">
        <f>IF(ISNUMBER(FIND("arbeid",Methode_Keuze)),"",IF(Tb_Activiteiten[[#This Row],[Arbeidskosten - vast tarief (excl eigen arbeid)]]=1,Tb_Activiteiten[[#Headers],[Arbeidskosten - vast tarief (excl eigen arbeid)]],""))</f>
        <v/>
      </c>
      <c r="BA414" t="str">
        <f>IF(ISNUMBER(FIND("overige",Methode_Keuze)),"",IF(Tb_Activiteiten[[#This Row],[Overige kosten]]=1,Tb_Activiteiten[[#Headers],[Overige kosten]],""))</f>
        <v/>
      </c>
    </row>
    <row r="415" spans="1:53" x14ac:dyDescent="0.25">
      <c r="A415" s="231"/>
      <c r="F415" s="64"/>
      <c r="G415" s="64"/>
      <c r="H415" s="275"/>
      <c r="I415" s="275"/>
      <c r="J415" s="275"/>
      <c r="K415" s="275"/>
      <c r="O415" s="56"/>
      <c r="Q415" t="str">
        <f>IFERROR(IF(VLOOKUP(Tb_Activiteiten[[#This Row],[Openstelling]],Tb_Openstelling[],2,0)=1,1,""),"")</f>
        <v/>
      </c>
      <c r="AK415" t="str">
        <f>IF(ISNUMBER(FIND("arbeid",Methode_Keuze)),"",IF(ISNUMBER(FIND("arbeid",Methode_Keuze)),"",IF(Tb_Activiteiten[[#This Row],[Loonkosten]]=1,Tb_Activiteiten[[#Headers],[Loonkosten]],"")))</f>
        <v/>
      </c>
      <c r="AL415" t="str">
        <f>IF(ISNUMBER(FIND("arbeid",Methode_Keuze)),"",IF(ISNUMBER(FIND("arbeid",Methode_Keuze)),"",IF(Tb_Activiteiten[[#This Row],[Eigen arbeid]]=1,Tb_Activiteiten[[#Headers],[Eigen arbeid]],"")))</f>
        <v/>
      </c>
      <c r="AM415" t="str">
        <f>IF(ISNUMBER(FIND("arbeid",Methode_Keuze)),"",IF(ISNUMBER(FIND("arbeid",Methode_Keuze)),"",IF(Tb_Activiteiten[[#This Row],[Projectmedewerker]]=1,Tb_Activiteiten[[#Headers],[Projectmedewerker]],"")))</f>
        <v/>
      </c>
      <c r="AN415" t="str">
        <f>IF(ISNUMBER(FIND("arbeid",Methode_Keuze)),"",IF(ISNUMBER(FIND("arbeid",Methode_Keuze)),"",IF(Tb_Activiteiten[[#This Row],[Landbouwer]]=1,Tb_Activiteiten[[#Headers],[Landbouwer]],"")))</f>
        <v/>
      </c>
      <c r="AO415" t="str">
        <f>IF(ISNUMBER(FIND("arbeid",Methode_Keuze)),"",IF(ISNUMBER(FIND("arbeid",Methode_Keuze)),"",IF(Tb_Activiteiten[[#This Row],[Adviseur]]=1,Tb_Activiteiten[[#Headers],[Adviseur]],"")))</f>
        <v/>
      </c>
      <c r="AP415" t="str">
        <f>IF(ISNUMBER(FIND("arbeid",Methode_Keuze)),"",IF(ISNUMBER(FIND("arbeid",Methode_Keuze)),"",IF(Tb_Activiteiten[[#This Row],[Projectleider/Expert]]=1,Tb_Activiteiten[[#Headers],[Projectleider/Expert]],"")))</f>
        <v/>
      </c>
      <c r="AQ415" t="str">
        <f>IF(ISNUMBER(FIND("arbeid",Methode_Keuze)),"",IF(ISNUMBER(FIND("arbeid",Methode_Keuze)),"",IF(Tb_Activiteiten[[#This Row],[Arbeidskosten]]=1,Tb_Activiteiten[[#Headers],[Arbeidskosten]],"")))</f>
        <v/>
      </c>
      <c r="AR415" t="str">
        <f>IF(ISNUMBER(FIND("arbeid",Methode_Keuze)),"",IF(ISNUMBER(FIND("arbeid",Methode_Keuze)),"",IF(Tb_Activiteiten[[#This Row],[Arbeidskosten op basis van IKS]]=1,Tb_Activiteiten[[#Headers],[Arbeidskosten op basis van IKS]],"")))</f>
        <v/>
      </c>
      <c r="AS415" t="str">
        <f>IF(ISNUMBER(FIND("overige",Methode_Keuze)),"",IF(Tb_Activiteiten[[#This Row],[Kosten derden exclusief btw]]=1,Tb_Activiteiten[[#Headers],[Kosten derden exclusief btw]],""))</f>
        <v/>
      </c>
      <c r="AT415" t="str">
        <f>IF(ISNUMBER(FIND("overige",Methode_Keuze)),"",IF(Tb_Activiteiten[[#This Row],[Niet verrekenbare btw]]=1,Tb_Activiteiten[[#Headers],[Niet verrekenbare btw]],""))</f>
        <v/>
      </c>
      <c r="AU415" t="str">
        <f>IF(ISNUMBER(FIND("overige",Methode_Keuze)),"",IF(Tb_Activiteiten[[#This Row],[Grondkosten]]=1,Tb_Activiteiten[[#Headers],[Grondkosten]],""))</f>
        <v/>
      </c>
      <c r="AV415" t="str">
        <f>IF(ISNUMBER(FIND("overige",Methode_Keuze)),"",IF(Tb_Activiteiten[[#This Row],[Bijdrage in natura (overige)]]=1,Tb_Activiteiten[[#Headers],[Bijdrage in natura (overige)]],""))</f>
        <v/>
      </c>
      <c r="AW415" t="str">
        <f>IF(ISNUMBER(FIND("overige",Methode_Keuze)),"",IF(Tb_Activiteiten[[#This Row],[Bijdrage in natura (vrijwilligers)]]=1,Tb_Activiteiten[[#Headers],[Bijdrage in natura (vrijwilligers)]],""))</f>
        <v/>
      </c>
      <c r="AX415" t="str">
        <f>IF(ISNUMBER(FIND("overige",Methode_Keuze)),"",IF(Tb_Activiteiten[[#This Row],[Afschrijvingskosten]]=1,Tb_Activiteiten[[#Headers],[Afschrijvingskosten]],""))</f>
        <v/>
      </c>
      <c r="AY415" t="str">
        <f>IF(ISNUMBER(FIND("overige",Methode_Keuze)),"",IF(Tb_Activiteiten[[#This Row],[Vergoeding]]=1,Tb_Activiteiten[[#Headers],[Vergoeding]],""))</f>
        <v/>
      </c>
      <c r="AZ415" t="str">
        <f>IF(ISNUMBER(FIND("arbeid",Methode_Keuze)),"",IF(Tb_Activiteiten[[#This Row],[Arbeidskosten - vast tarief (excl eigen arbeid)]]=1,Tb_Activiteiten[[#Headers],[Arbeidskosten - vast tarief (excl eigen arbeid)]],""))</f>
        <v/>
      </c>
      <c r="BA415" t="str">
        <f>IF(ISNUMBER(FIND("overige",Methode_Keuze)),"",IF(Tb_Activiteiten[[#This Row],[Overige kosten]]=1,Tb_Activiteiten[[#Headers],[Overige kosten]],""))</f>
        <v/>
      </c>
    </row>
    <row r="416" spans="1:53" x14ac:dyDescent="0.25">
      <c r="A416" s="231"/>
      <c r="F416" s="64"/>
      <c r="G416" s="64"/>
      <c r="H416" s="275"/>
      <c r="I416" s="275"/>
      <c r="J416" s="275"/>
      <c r="K416" s="275"/>
      <c r="O416" s="56"/>
      <c r="Q416" t="str">
        <f>IFERROR(IF(VLOOKUP(Tb_Activiteiten[[#This Row],[Openstelling]],Tb_Openstelling[],2,0)=1,1,""),"")</f>
        <v/>
      </c>
      <c r="AK416" t="str">
        <f>IF(ISNUMBER(FIND("arbeid",Methode_Keuze)),"",IF(ISNUMBER(FIND("arbeid",Methode_Keuze)),"",IF(Tb_Activiteiten[[#This Row],[Loonkosten]]=1,Tb_Activiteiten[[#Headers],[Loonkosten]],"")))</f>
        <v/>
      </c>
      <c r="AL416" t="str">
        <f>IF(ISNUMBER(FIND("arbeid",Methode_Keuze)),"",IF(ISNUMBER(FIND("arbeid",Methode_Keuze)),"",IF(Tb_Activiteiten[[#This Row],[Eigen arbeid]]=1,Tb_Activiteiten[[#Headers],[Eigen arbeid]],"")))</f>
        <v/>
      </c>
      <c r="AM416" t="str">
        <f>IF(ISNUMBER(FIND("arbeid",Methode_Keuze)),"",IF(ISNUMBER(FIND("arbeid",Methode_Keuze)),"",IF(Tb_Activiteiten[[#This Row],[Projectmedewerker]]=1,Tb_Activiteiten[[#Headers],[Projectmedewerker]],"")))</f>
        <v/>
      </c>
      <c r="AN416" t="str">
        <f>IF(ISNUMBER(FIND("arbeid",Methode_Keuze)),"",IF(ISNUMBER(FIND("arbeid",Methode_Keuze)),"",IF(Tb_Activiteiten[[#This Row],[Landbouwer]]=1,Tb_Activiteiten[[#Headers],[Landbouwer]],"")))</f>
        <v/>
      </c>
      <c r="AO416" t="str">
        <f>IF(ISNUMBER(FIND("arbeid",Methode_Keuze)),"",IF(ISNUMBER(FIND("arbeid",Methode_Keuze)),"",IF(Tb_Activiteiten[[#This Row],[Adviseur]]=1,Tb_Activiteiten[[#Headers],[Adviseur]],"")))</f>
        <v/>
      </c>
      <c r="AP416" t="str">
        <f>IF(ISNUMBER(FIND("arbeid",Methode_Keuze)),"",IF(ISNUMBER(FIND("arbeid",Methode_Keuze)),"",IF(Tb_Activiteiten[[#This Row],[Projectleider/Expert]]=1,Tb_Activiteiten[[#Headers],[Projectleider/Expert]],"")))</f>
        <v/>
      </c>
      <c r="AQ416" t="str">
        <f>IF(ISNUMBER(FIND("arbeid",Methode_Keuze)),"",IF(ISNUMBER(FIND("arbeid",Methode_Keuze)),"",IF(Tb_Activiteiten[[#This Row],[Arbeidskosten]]=1,Tb_Activiteiten[[#Headers],[Arbeidskosten]],"")))</f>
        <v/>
      </c>
      <c r="AR416" t="str">
        <f>IF(ISNUMBER(FIND("arbeid",Methode_Keuze)),"",IF(ISNUMBER(FIND("arbeid",Methode_Keuze)),"",IF(Tb_Activiteiten[[#This Row],[Arbeidskosten op basis van IKS]]=1,Tb_Activiteiten[[#Headers],[Arbeidskosten op basis van IKS]],"")))</f>
        <v/>
      </c>
      <c r="AS416" t="str">
        <f>IF(ISNUMBER(FIND("overige",Methode_Keuze)),"",IF(Tb_Activiteiten[[#This Row],[Kosten derden exclusief btw]]=1,Tb_Activiteiten[[#Headers],[Kosten derden exclusief btw]],""))</f>
        <v/>
      </c>
      <c r="AT416" t="str">
        <f>IF(ISNUMBER(FIND("overige",Methode_Keuze)),"",IF(Tb_Activiteiten[[#This Row],[Niet verrekenbare btw]]=1,Tb_Activiteiten[[#Headers],[Niet verrekenbare btw]],""))</f>
        <v/>
      </c>
      <c r="AU416" t="str">
        <f>IF(ISNUMBER(FIND("overige",Methode_Keuze)),"",IF(Tb_Activiteiten[[#This Row],[Grondkosten]]=1,Tb_Activiteiten[[#Headers],[Grondkosten]],""))</f>
        <v/>
      </c>
      <c r="AV416" t="str">
        <f>IF(ISNUMBER(FIND("overige",Methode_Keuze)),"",IF(Tb_Activiteiten[[#This Row],[Bijdrage in natura (overige)]]=1,Tb_Activiteiten[[#Headers],[Bijdrage in natura (overige)]],""))</f>
        <v/>
      </c>
      <c r="AW416" t="str">
        <f>IF(ISNUMBER(FIND("overige",Methode_Keuze)),"",IF(Tb_Activiteiten[[#This Row],[Bijdrage in natura (vrijwilligers)]]=1,Tb_Activiteiten[[#Headers],[Bijdrage in natura (vrijwilligers)]],""))</f>
        <v/>
      </c>
      <c r="AX416" t="str">
        <f>IF(ISNUMBER(FIND("overige",Methode_Keuze)),"",IF(Tb_Activiteiten[[#This Row],[Afschrijvingskosten]]=1,Tb_Activiteiten[[#Headers],[Afschrijvingskosten]],""))</f>
        <v/>
      </c>
      <c r="AY416" t="str">
        <f>IF(ISNUMBER(FIND("overige",Methode_Keuze)),"",IF(Tb_Activiteiten[[#This Row],[Vergoeding]]=1,Tb_Activiteiten[[#Headers],[Vergoeding]],""))</f>
        <v/>
      </c>
      <c r="AZ416" t="str">
        <f>IF(ISNUMBER(FIND("arbeid",Methode_Keuze)),"",IF(Tb_Activiteiten[[#This Row],[Arbeidskosten - vast tarief (excl eigen arbeid)]]=1,Tb_Activiteiten[[#Headers],[Arbeidskosten - vast tarief (excl eigen arbeid)]],""))</f>
        <v/>
      </c>
      <c r="BA416" t="str">
        <f>IF(ISNUMBER(FIND("overige",Methode_Keuze)),"",IF(Tb_Activiteiten[[#This Row],[Overige kosten]]=1,Tb_Activiteiten[[#Headers],[Overige kosten]],""))</f>
        <v/>
      </c>
    </row>
    <row r="417" spans="1:53" x14ac:dyDescent="0.25">
      <c r="A417" s="231"/>
      <c r="F417" s="64"/>
      <c r="G417" s="64"/>
      <c r="H417" s="275"/>
      <c r="I417" s="275"/>
      <c r="J417" s="275"/>
      <c r="K417" s="275"/>
      <c r="O417" s="56"/>
      <c r="Q417" t="str">
        <f>IFERROR(IF(VLOOKUP(Tb_Activiteiten[[#This Row],[Openstelling]],Tb_Openstelling[],2,0)=1,1,""),"")</f>
        <v/>
      </c>
      <c r="AK417" t="str">
        <f>IF(ISNUMBER(FIND("arbeid",Methode_Keuze)),"",IF(ISNUMBER(FIND("arbeid",Methode_Keuze)),"",IF(Tb_Activiteiten[[#This Row],[Loonkosten]]=1,Tb_Activiteiten[[#Headers],[Loonkosten]],"")))</f>
        <v/>
      </c>
      <c r="AL417" t="str">
        <f>IF(ISNUMBER(FIND("arbeid",Methode_Keuze)),"",IF(ISNUMBER(FIND("arbeid",Methode_Keuze)),"",IF(Tb_Activiteiten[[#This Row],[Eigen arbeid]]=1,Tb_Activiteiten[[#Headers],[Eigen arbeid]],"")))</f>
        <v/>
      </c>
      <c r="AM417" t="str">
        <f>IF(ISNUMBER(FIND("arbeid",Methode_Keuze)),"",IF(ISNUMBER(FIND("arbeid",Methode_Keuze)),"",IF(Tb_Activiteiten[[#This Row],[Projectmedewerker]]=1,Tb_Activiteiten[[#Headers],[Projectmedewerker]],"")))</f>
        <v/>
      </c>
      <c r="AN417" t="str">
        <f>IF(ISNUMBER(FIND("arbeid",Methode_Keuze)),"",IF(ISNUMBER(FIND("arbeid",Methode_Keuze)),"",IF(Tb_Activiteiten[[#This Row],[Landbouwer]]=1,Tb_Activiteiten[[#Headers],[Landbouwer]],"")))</f>
        <v/>
      </c>
      <c r="AO417" t="str">
        <f>IF(ISNUMBER(FIND("arbeid",Methode_Keuze)),"",IF(ISNUMBER(FIND("arbeid",Methode_Keuze)),"",IF(Tb_Activiteiten[[#This Row],[Adviseur]]=1,Tb_Activiteiten[[#Headers],[Adviseur]],"")))</f>
        <v/>
      </c>
      <c r="AP417" t="str">
        <f>IF(ISNUMBER(FIND("arbeid",Methode_Keuze)),"",IF(ISNUMBER(FIND("arbeid",Methode_Keuze)),"",IF(Tb_Activiteiten[[#This Row],[Projectleider/Expert]]=1,Tb_Activiteiten[[#Headers],[Projectleider/Expert]],"")))</f>
        <v/>
      </c>
      <c r="AQ417" t="str">
        <f>IF(ISNUMBER(FIND("arbeid",Methode_Keuze)),"",IF(ISNUMBER(FIND("arbeid",Methode_Keuze)),"",IF(Tb_Activiteiten[[#This Row],[Arbeidskosten]]=1,Tb_Activiteiten[[#Headers],[Arbeidskosten]],"")))</f>
        <v/>
      </c>
      <c r="AR417" t="str">
        <f>IF(ISNUMBER(FIND("arbeid",Methode_Keuze)),"",IF(ISNUMBER(FIND("arbeid",Methode_Keuze)),"",IF(Tb_Activiteiten[[#This Row],[Arbeidskosten op basis van IKS]]=1,Tb_Activiteiten[[#Headers],[Arbeidskosten op basis van IKS]],"")))</f>
        <v/>
      </c>
      <c r="AS417" t="str">
        <f>IF(ISNUMBER(FIND("overige",Methode_Keuze)),"",IF(Tb_Activiteiten[[#This Row],[Kosten derden exclusief btw]]=1,Tb_Activiteiten[[#Headers],[Kosten derden exclusief btw]],""))</f>
        <v/>
      </c>
      <c r="AT417" t="str">
        <f>IF(ISNUMBER(FIND("overige",Methode_Keuze)),"",IF(Tb_Activiteiten[[#This Row],[Niet verrekenbare btw]]=1,Tb_Activiteiten[[#Headers],[Niet verrekenbare btw]],""))</f>
        <v/>
      </c>
      <c r="AU417" t="str">
        <f>IF(ISNUMBER(FIND("overige",Methode_Keuze)),"",IF(Tb_Activiteiten[[#This Row],[Grondkosten]]=1,Tb_Activiteiten[[#Headers],[Grondkosten]],""))</f>
        <v/>
      </c>
      <c r="AV417" t="str">
        <f>IF(ISNUMBER(FIND("overige",Methode_Keuze)),"",IF(Tb_Activiteiten[[#This Row],[Bijdrage in natura (overige)]]=1,Tb_Activiteiten[[#Headers],[Bijdrage in natura (overige)]],""))</f>
        <v/>
      </c>
      <c r="AW417" t="str">
        <f>IF(ISNUMBER(FIND("overige",Methode_Keuze)),"",IF(Tb_Activiteiten[[#This Row],[Bijdrage in natura (vrijwilligers)]]=1,Tb_Activiteiten[[#Headers],[Bijdrage in natura (vrijwilligers)]],""))</f>
        <v/>
      </c>
      <c r="AX417" t="str">
        <f>IF(ISNUMBER(FIND("overige",Methode_Keuze)),"",IF(Tb_Activiteiten[[#This Row],[Afschrijvingskosten]]=1,Tb_Activiteiten[[#Headers],[Afschrijvingskosten]],""))</f>
        <v/>
      </c>
      <c r="AY417" t="str">
        <f>IF(ISNUMBER(FIND("overige",Methode_Keuze)),"",IF(Tb_Activiteiten[[#This Row],[Vergoeding]]=1,Tb_Activiteiten[[#Headers],[Vergoeding]],""))</f>
        <v/>
      </c>
      <c r="AZ417" t="str">
        <f>IF(ISNUMBER(FIND("arbeid",Methode_Keuze)),"",IF(Tb_Activiteiten[[#This Row],[Arbeidskosten - vast tarief (excl eigen arbeid)]]=1,Tb_Activiteiten[[#Headers],[Arbeidskosten - vast tarief (excl eigen arbeid)]],""))</f>
        <v/>
      </c>
      <c r="BA417" t="str">
        <f>IF(ISNUMBER(FIND("overige",Methode_Keuze)),"",IF(Tb_Activiteiten[[#This Row],[Overige kosten]]=1,Tb_Activiteiten[[#Headers],[Overige kosten]],""))</f>
        <v/>
      </c>
    </row>
    <row r="418" spans="1:53" x14ac:dyDescent="0.25">
      <c r="A418" s="231"/>
      <c r="F418" s="64"/>
      <c r="G418" s="64"/>
      <c r="H418" s="275"/>
      <c r="I418" s="275"/>
      <c r="J418" s="275"/>
      <c r="K418" s="275"/>
      <c r="O418" s="56"/>
      <c r="Q418" t="str">
        <f>IFERROR(IF(VLOOKUP(Tb_Activiteiten[[#This Row],[Openstelling]],Tb_Openstelling[],2,0)=1,1,""),"")</f>
        <v/>
      </c>
      <c r="AK418" t="str">
        <f>IF(ISNUMBER(FIND("arbeid",Methode_Keuze)),"",IF(ISNUMBER(FIND("arbeid",Methode_Keuze)),"",IF(Tb_Activiteiten[[#This Row],[Loonkosten]]=1,Tb_Activiteiten[[#Headers],[Loonkosten]],"")))</f>
        <v/>
      </c>
      <c r="AL418" t="str">
        <f>IF(ISNUMBER(FIND("arbeid",Methode_Keuze)),"",IF(ISNUMBER(FIND("arbeid",Methode_Keuze)),"",IF(Tb_Activiteiten[[#This Row],[Eigen arbeid]]=1,Tb_Activiteiten[[#Headers],[Eigen arbeid]],"")))</f>
        <v/>
      </c>
      <c r="AM418" t="str">
        <f>IF(ISNUMBER(FIND("arbeid",Methode_Keuze)),"",IF(ISNUMBER(FIND("arbeid",Methode_Keuze)),"",IF(Tb_Activiteiten[[#This Row],[Projectmedewerker]]=1,Tb_Activiteiten[[#Headers],[Projectmedewerker]],"")))</f>
        <v/>
      </c>
      <c r="AN418" t="str">
        <f>IF(ISNUMBER(FIND("arbeid",Methode_Keuze)),"",IF(ISNUMBER(FIND("arbeid",Methode_Keuze)),"",IF(Tb_Activiteiten[[#This Row],[Landbouwer]]=1,Tb_Activiteiten[[#Headers],[Landbouwer]],"")))</f>
        <v/>
      </c>
      <c r="AO418" t="str">
        <f>IF(ISNUMBER(FIND("arbeid",Methode_Keuze)),"",IF(ISNUMBER(FIND("arbeid",Methode_Keuze)),"",IF(Tb_Activiteiten[[#This Row],[Adviseur]]=1,Tb_Activiteiten[[#Headers],[Adviseur]],"")))</f>
        <v/>
      </c>
      <c r="AP418" t="str">
        <f>IF(ISNUMBER(FIND("arbeid",Methode_Keuze)),"",IF(ISNUMBER(FIND("arbeid",Methode_Keuze)),"",IF(Tb_Activiteiten[[#This Row],[Projectleider/Expert]]=1,Tb_Activiteiten[[#Headers],[Projectleider/Expert]],"")))</f>
        <v/>
      </c>
      <c r="AQ418" t="str">
        <f>IF(ISNUMBER(FIND("arbeid",Methode_Keuze)),"",IF(ISNUMBER(FIND("arbeid",Methode_Keuze)),"",IF(Tb_Activiteiten[[#This Row],[Arbeidskosten]]=1,Tb_Activiteiten[[#Headers],[Arbeidskosten]],"")))</f>
        <v/>
      </c>
      <c r="AR418" t="str">
        <f>IF(ISNUMBER(FIND("arbeid",Methode_Keuze)),"",IF(ISNUMBER(FIND("arbeid",Methode_Keuze)),"",IF(Tb_Activiteiten[[#This Row],[Arbeidskosten op basis van IKS]]=1,Tb_Activiteiten[[#Headers],[Arbeidskosten op basis van IKS]],"")))</f>
        <v/>
      </c>
      <c r="AS418" t="str">
        <f>IF(ISNUMBER(FIND("overige",Methode_Keuze)),"",IF(Tb_Activiteiten[[#This Row],[Kosten derden exclusief btw]]=1,Tb_Activiteiten[[#Headers],[Kosten derden exclusief btw]],""))</f>
        <v/>
      </c>
      <c r="AT418" t="str">
        <f>IF(ISNUMBER(FIND("overige",Methode_Keuze)),"",IF(Tb_Activiteiten[[#This Row],[Niet verrekenbare btw]]=1,Tb_Activiteiten[[#Headers],[Niet verrekenbare btw]],""))</f>
        <v/>
      </c>
      <c r="AU418" t="str">
        <f>IF(ISNUMBER(FIND("overige",Methode_Keuze)),"",IF(Tb_Activiteiten[[#This Row],[Grondkosten]]=1,Tb_Activiteiten[[#Headers],[Grondkosten]],""))</f>
        <v/>
      </c>
      <c r="AV418" t="str">
        <f>IF(ISNUMBER(FIND("overige",Methode_Keuze)),"",IF(Tb_Activiteiten[[#This Row],[Bijdrage in natura (overige)]]=1,Tb_Activiteiten[[#Headers],[Bijdrage in natura (overige)]],""))</f>
        <v/>
      </c>
      <c r="AW418" t="str">
        <f>IF(ISNUMBER(FIND("overige",Methode_Keuze)),"",IF(Tb_Activiteiten[[#This Row],[Bijdrage in natura (vrijwilligers)]]=1,Tb_Activiteiten[[#Headers],[Bijdrage in natura (vrijwilligers)]],""))</f>
        <v/>
      </c>
      <c r="AX418" t="str">
        <f>IF(ISNUMBER(FIND("overige",Methode_Keuze)),"",IF(Tb_Activiteiten[[#This Row],[Afschrijvingskosten]]=1,Tb_Activiteiten[[#Headers],[Afschrijvingskosten]],""))</f>
        <v/>
      </c>
      <c r="AY418" t="str">
        <f>IF(ISNUMBER(FIND("overige",Methode_Keuze)),"",IF(Tb_Activiteiten[[#This Row],[Vergoeding]]=1,Tb_Activiteiten[[#Headers],[Vergoeding]],""))</f>
        <v/>
      </c>
      <c r="AZ418" t="str">
        <f>IF(ISNUMBER(FIND("arbeid",Methode_Keuze)),"",IF(Tb_Activiteiten[[#This Row],[Arbeidskosten - vast tarief (excl eigen arbeid)]]=1,Tb_Activiteiten[[#Headers],[Arbeidskosten - vast tarief (excl eigen arbeid)]],""))</f>
        <v/>
      </c>
      <c r="BA418" t="str">
        <f>IF(ISNUMBER(FIND("overige",Methode_Keuze)),"",IF(Tb_Activiteiten[[#This Row],[Overige kosten]]=1,Tb_Activiteiten[[#Headers],[Overige kosten]],""))</f>
        <v/>
      </c>
    </row>
    <row r="419" spans="1:53" x14ac:dyDescent="0.25">
      <c r="A419" s="231"/>
      <c r="F419" s="64"/>
      <c r="G419" s="64"/>
      <c r="H419" s="275"/>
      <c r="I419" s="275"/>
      <c r="J419" s="275"/>
      <c r="K419" s="275"/>
      <c r="O419" s="56"/>
      <c r="Q419" t="str">
        <f>IFERROR(IF(VLOOKUP(Tb_Activiteiten[[#This Row],[Openstelling]],Tb_Openstelling[],2,0)=1,1,""),"")</f>
        <v/>
      </c>
      <c r="AK419" t="str">
        <f>IF(ISNUMBER(FIND("arbeid",Methode_Keuze)),"",IF(ISNUMBER(FIND("arbeid",Methode_Keuze)),"",IF(Tb_Activiteiten[[#This Row],[Loonkosten]]=1,Tb_Activiteiten[[#Headers],[Loonkosten]],"")))</f>
        <v/>
      </c>
      <c r="AL419" t="str">
        <f>IF(ISNUMBER(FIND("arbeid",Methode_Keuze)),"",IF(ISNUMBER(FIND("arbeid",Methode_Keuze)),"",IF(Tb_Activiteiten[[#This Row],[Eigen arbeid]]=1,Tb_Activiteiten[[#Headers],[Eigen arbeid]],"")))</f>
        <v/>
      </c>
      <c r="AM419" t="str">
        <f>IF(ISNUMBER(FIND("arbeid",Methode_Keuze)),"",IF(ISNUMBER(FIND("arbeid",Methode_Keuze)),"",IF(Tb_Activiteiten[[#This Row],[Projectmedewerker]]=1,Tb_Activiteiten[[#Headers],[Projectmedewerker]],"")))</f>
        <v/>
      </c>
      <c r="AN419" t="str">
        <f>IF(ISNUMBER(FIND("arbeid",Methode_Keuze)),"",IF(ISNUMBER(FIND("arbeid",Methode_Keuze)),"",IF(Tb_Activiteiten[[#This Row],[Landbouwer]]=1,Tb_Activiteiten[[#Headers],[Landbouwer]],"")))</f>
        <v/>
      </c>
      <c r="AO419" t="str">
        <f>IF(ISNUMBER(FIND("arbeid",Methode_Keuze)),"",IF(ISNUMBER(FIND("arbeid",Methode_Keuze)),"",IF(Tb_Activiteiten[[#This Row],[Adviseur]]=1,Tb_Activiteiten[[#Headers],[Adviseur]],"")))</f>
        <v/>
      </c>
      <c r="AP419" t="str">
        <f>IF(ISNUMBER(FIND("arbeid",Methode_Keuze)),"",IF(ISNUMBER(FIND("arbeid",Methode_Keuze)),"",IF(Tb_Activiteiten[[#This Row],[Projectleider/Expert]]=1,Tb_Activiteiten[[#Headers],[Projectleider/Expert]],"")))</f>
        <v/>
      </c>
      <c r="AQ419" t="str">
        <f>IF(ISNUMBER(FIND("arbeid",Methode_Keuze)),"",IF(ISNUMBER(FIND("arbeid",Methode_Keuze)),"",IF(Tb_Activiteiten[[#This Row],[Arbeidskosten]]=1,Tb_Activiteiten[[#Headers],[Arbeidskosten]],"")))</f>
        <v/>
      </c>
      <c r="AR419" t="str">
        <f>IF(ISNUMBER(FIND("arbeid",Methode_Keuze)),"",IF(ISNUMBER(FIND("arbeid",Methode_Keuze)),"",IF(Tb_Activiteiten[[#This Row],[Arbeidskosten op basis van IKS]]=1,Tb_Activiteiten[[#Headers],[Arbeidskosten op basis van IKS]],"")))</f>
        <v/>
      </c>
      <c r="AS419" t="str">
        <f>IF(ISNUMBER(FIND("overige",Methode_Keuze)),"",IF(Tb_Activiteiten[[#This Row],[Kosten derden exclusief btw]]=1,Tb_Activiteiten[[#Headers],[Kosten derden exclusief btw]],""))</f>
        <v/>
      </c>
      <c r="AT419" t="str">
        <f>IF(ISNUMBER(FIND("overige",Methode_Keuze)),"",IF(Tb_Activiteiten[[#This Row],[Niet verrekenbare btw]]=1,Tb_Activiteiten[[#Headers],[Niet verrekenbare btw]],""))</f>
        <v/>
      </c>
      <c r="AU419" t="str">
        <f>IF(ISNUMBER(FIND("overige",Methode_Keuze)),"",IF(Tb_Activiteiten[[#This Row],[Grondkosten]]=1,Tb_Activiteiten[[#Headers],[Grondkosten]],""))</f>
        <v/>
      </c>
      <c r="AV419" t="str">
        <f>IF(ISNUMBER(FIND("overige",Methode_Keuze)),"",IF(Tb_Activiteiten[[#This Row],[Bijdrage in natura (overige)]]=1,Tb_Activiteiten[[#Headers],[Bijdrage in natura (overige)]],""))</f>
        <v/>
      </c>
      <c r="AW419" t="str">
        <f>IF(ISNUMBER(FIND("overige",Methode_Keuze)),"",IF(Tb_Activiteiten[[#This Row],[Bijdrage in natura (vrijwilligers)]]=1,Tb_Activiteiten[[#Headers],[Bijdrage in natura (vrijwilligers)]],""))</f>
        <v/>
      </c>
      <c r="AX419" t="str">
        <f>IF(ISNUMBER(FIND("overige",Methode_Keuze)),"",IF(Tb_Activiteiten[[#This Row],[Afschrijvingskosten]]=1,Tb_Activiteiten[[#Headers],[Afschrijvingskosten]],""))</f>
        <v/>
      </c>
      <c r="AY419" t="str">
        <f>IF(ISNUMBER(FIND("overige",Methode_Keuze)),"",IF(Tb_Activiteiten[[#This Row],[Vergoeding]]=1,Tb_Activiteiten[[#Headers],[Vergoeding]],""))</f>
        <v/>
      </c>
      <c r="AZ419" t="str">
        <f>IF(ISNUMBER(FIND("arbeid",Methode_Keuze)),"",IF(Tb_Activiteiten[[#This Row],[Arbeidskosten - vast tarief (excl eigen arbeid)]]=1,Tb_Activiteiten[[#Headers],[Arbeidskosten - vast tarief (excl eigen arbeid)]],""))</f>
        <v/>
      </c>
      <c r="BA419" t="str">
        <f>IF(ISNUMBER(FIND("overige",Methode_Keuze)),"",IF(Tb_Activiteiten[[#This Row],[Overige kosten]]=1,Tb_Activiteiten[[#Headers],[Overige kosten]],""))</f>
        <v/>
      </c>
    </row>
    <row r="420" spans="1:53" x14ac:dyDescent="0.25">
      <c r="A420" s="231"/>
      <c r="F420" s="64"/>
      <c r="G420" s="64"/>
      <c r="H420" s="275"/>
      <c r="I420" s="275"/>
      <c r="J420" s="275"/>
      <c r="K420" s="275"/>
      <c r="O420" s="56"/>
      <c r="Q420" t="str">
        <f>IFERROR(IF(VLOOKUP(Tb_Activiteiten[[#This Row],[Openstelling]],Tb_Openstelling[],2,0)=1,1,""),"")</f>
        <v/>
      </c>
      <c r="AK420" t="str">
        <f>IF(ISNUMBER(FIND("arbeid",Methode_Keuze)),"",IF(ISNUMBER(FIND("arbeid",Methode_Keuze)),"",IF(Tb_Activiteiten[[#This Row],[Loonkosten]]=1,Tb_Activiteiten[[#Headers],[Loonkosten]],"")))</f>
        <v/>
      </c>
      <c r="AL420" t="str">
        <f>IF(ISNUMBER(FIND("arbeid",Methode_Keuze)),"",IF(ISNUMBER(FIND("arbeid",Methode_Keuze)),"",IF(Tb_Activiteiten[[#This Row],[Eigen arbeid]]=1,Tb_Activiteiten[[#Headers],[Eigen arbeid]],"")))</f>
        <v/>
      </c>
      <c r="AM420" t="str">
        <f>IF(ISNUMBER(FIND("arbeid",Methode_Keuze)),"",IF(ISNUMBER(FIND("arbeid",Methode_Keuze)),"",IF(Tb_Activiteiten[[#This Row],[Projectmedewerker]]=1,Tb_Activiteiten[[#Headers],[Projectmedewerker]],"")))</f>
        <v/>
      </c>
      <c r="AN420" t="str">
        <f>IF(ISNUMBER(FIND("arbeid",Methode_Keuze)),"",IF(ISNUMBER(FIND("arbeid",Methode_Keuze)),"",IF(Tb_Activiteiten[[#This Row],[Landbouwer]]=1,Tb_Activiteiten[[#Headers],[Landbouwer]],"")))</f>
        <v/>
      </c>
      <c r="AO420" t="str">
        <f>IF(ISNUMBER(FIND("arbeid",Methode_Keuze)),"",IF(ISNUMBER(FIND("arbeid",Methode_Keuze)),"",IF(Tb_Activiteiten[[#This Row],[Adviseur]]=1,Tb_Activiteiten[[#Headers],[Adviseur]],"")))</f>
        <v/>
      </c>
      <c r="AP420" t="str">
        <f>IF(ISNUMBER(FIND("arbeid",Methode_Keuze)),"",IF(ISNUMBER(FIND("arbeid",Methode_Keuze)),"",IF(Tb_Activiteiten[[#This Row],[Projectleider/Expert]]=1,Tb_Activiteiten[[#Headers],[Projectleider/Expert]],"")))</f>
        <v/>
      </c>
      <c r="AQ420" t="str">
        <f>IF(ISNUMBER(FIND("arbeid",Methode_Keuze)),"",IF(ISNUMBER(FIND("arbeid",Methode_Keuze)),"",IF(Tb_Activiteiten[[#This Row],[Arbeidskosten]]=1,Tb_Activiteiten[[#Headers],[Arbeidskosten]],"")))</f>
        <v/>
      </c>
      <c r="AR420" t="str">
        <f>IF(ISNUMBER(FIND("arbeid",Methode_Keuze)),"",IF(ISNUMBER(FIND("arbeid",Methode_Keuze)),"",IF(Tb_Activiteiten[[#This Row],[Arbeidskosten op basis van IKS]]=1,Tb_Activiteiten[[#Headers],[Arbeidskosten op basis van IKS]],"")))</f>
        <v/>
      </c>
      <c r="AS420" t="str">
        <f>IF(ISNUMBER(FIND("overige",Methode_Keuze)),"",IF(Tb_Activiteiten[[#This Row],[Kosten derden exclusief btw]]=1,Tb_Activiteiten[[#Headers],[Kosten derden exclusief btw]],""))</f>
        <v/>
      </c>
      <c r="AT420" t="str">
        <f>IF(ISNUMBER(FIND("overige",Methode_Keuze)),"",IF(Tb_Activiteiten[[#This Row],[Niet verrekenbare btw]]=1,Tb_Activiteiten[[#Headers],[Niet verrekenbare btw]],""))</f>
        <v/>
      </c>
      <c r="AU420" t="str">
        <f>IF(ISNUMBER(FIND("overige",Methode_Keuze)),"",IF(Tb_Activiteiten[[#This Row],[Grondkosten]]=1,Tb_Activiteiten[[#Headers],[Grondkosten]],""))</f>
        <v/>
      </c>
      <c r="AV420" t="str">
        <f>IF(ISNUMBER(FIND("overige",Methode_Keuze)),"",IF(Tb_Activiteiten[[#This Row],[Bijdrage in natura (overige)]]=1,Tb_Activiteiten[[#Headers],[Bijdrage in natura (overige)]],""))</f>
        <v/>
      </c>
      <c r="AW420" t="str">
        <f>IF(ISNUMBER(FIND("overige",Methode_Keuze)),"",IF(Tb_Activiteiten[[#This Row],[Bijdrage in natura (vrijwilligers)]]=1,Tb_Activiteiten[[#Headers],[Bijdrage in natura (vrijwilligers)]],""))</f>
        <v/>
      </c>
      <c r="AX420" t="str">
        <f>IF(ISNUMBER(FIND("overige",Methode_Keuze)),"",IF(Tb_Activiteiten[[#This Row],[Afschrijvingskosten]]=1,Tb_Activiteiten[[#Headers],[Afschrijvingskosten]],""))</f>
        <v/>
      </c>
      <c r="AY420" t="str">
        <f>IF(ISNUMBER(FIND("overige",Methode_Keuze)),"",IF(Tb_Activiteiten[[#This Row],[Vergoeding]]=1,Tb_Activiteiten[[#Headers],[Vergoeding]],""))</f>
        <v/>
      </c>
      <c r="AZ420" t="str">
        <f>IF(ISNUMBER(FIND("arbeid",Methode_Keuze)),"",IF(Tb_Activiteiten[[#This Row],[Arbeidskosten - vast tarief (excl eigen arbeid)]]=1,Tb_Activiteiten[[#Headers],[Arbeidskosten - vast tarief (excl eigen arbeid)]],""))</f>
        <v/>
      </c>
      <c r="BA420" t="str">
        <f>IF(ISNUMBER(FIND("overige",Methode_Keuze)),"",IF(Tb_Activiteiten[[#This Row],[Overige kosten]]=1,Tb_Activiteiten[[#Headers],[Overige kosten]],""))</f>
        <v/>
      </c>
    </row>
    <row r="421" spans="1:53" x14ac:dyDescent="0.25">
      <c r="A421" s="231"/>
      <c r="F421" s="64"/>
      <c r="G421" s="64"/>
      <c r="H421" s="275"/>
      <c r="I421" s="275"/>
      <c r="J421" s="275"/>
      <c r="K421" s="275"/>
      <c r="O421" s="56"/>
      <c r="Q421" t="str">
        <f>IFERROR(IF(VLOOKUP(Tb_Activiteiten[[#This Row],[Openstelling]],Tb_Openstelling[],2,0)=1,1,""),"")</f>
        <v/>
      </c>
      <c r="AK421" t="str">
        <f>IF(ISNUMBER(FIND("arbeid",Methode_Keuze)),"",IF(ISNUMBER(FIND("arbeid",Methode_Keuze)),"",IF(Tb_Activiteiten[[#This Row],[Loonkosten]]=1,Tb_Activiteiten[[#Headers],[Loonkosten]],"")))</f>
        <v/>
      </c>
      <c r="AL421" t="str">
        <f>IF(ISNUMBER(FIND("arbeid",Methode_Keuze)),"",IF(ISNUMBER(FIND("arbeid",Methode_Keuze)),"",IF(Tb_Activiteiten[[#This Row],[Eigen arbeid]]=1,Tb_Activiteiten[[#Headers],[Eigen arbeid]],"")))</f>
        <v/>
      </c>
      <c r="AM421" t="str">
        <f>IF(ISNUMBER(FIND("arbeid",Methode_Keuze)),"",IF(ISNUMBER(FIND("arbeid",Methode_Keuze)),"",IF(Tb_Activiteiten[[#This Row],[Projectmedewerker]]=1,Tb_Activiteiten[[#Headers],[Projectmedewerker]],"")))</f>
        <v/>
      </c>
      <c r="AN421" t="str">
        <f>IF(ISNUMBER(FIND("arbeid",Methode_Keuze)),"",IF(ISNUMBER(FIND("arbeid",Methode_Keuze)),"",IF(Tb_Activiteiten[[#This Row],[Landbouwer]]=1,Tb_Activiteiten[[#Headers],[Landbouwer]],"")))</f>
        <v/>
      </c>
      <c r="AO421" t="str">
        <f>IF(ISNUMBER(FIND("arbeid",Methode_Keuze)),"",IF(ISNUMBER(FIND("arbeid",Methode_Keuze)),"",IF(Tb_Activiteiten[[#This Row],[Adviseur]]=1,Tb_Activiteiten[[#Headers],[Adviseur]],"")))</f>
        <v/>
      </c>
      <c r="AP421" t="str">
        <f>IF(ISNUMBER(FIND("arbeid",Methode_Keuze)),"",IF(ISNUMBER(FIND("arbeid",Methode_Keuze)),"",IF(Tb_Activiteiten[[#This Row],[Projectleider/Expert]]=1,Tb_Activiteiten[[#Headers],[Projectleider/Expert]],"")))</f>
        <v/>
      </c>
      <c r="AQ421" t="str">
        <f>IF(ISNUMBER(FIND("arbeid",Methode_Keuze)),"",IF(ISNUMBER(FIND("arbeid",Methode_Keuze)),"",IF(Tb_Activiteiten[[#This Row],[Arbeidskosten]]=1,Tb_Activiteiten[[#Headers],[Arbeidskosten]],"")))</f>
        <v/>
      </c>
      <c r="AR421" t="str">
        <f>IF(ISNUMBER(FIND("arbeid",Methode_Keuze)),"",IF(ISNUMBER(FIND("arbeid",Methode_Keuze)),"",IF(Tb_Activiteiten[[#This Row],[Arbeidskosten op basis van IKS]]=1,Tb_Activiteiten[[#Headers],[Arbeidskosten op basis van IKS]],"")))</f>
        <v/>
      </c>
      <c r="AS421" t="str">
        <f>IF(ISNUMBER(FIND("overige",Methode_Keuze)),"",IF(Tb_Activiteiten[[#This Row],[Kosten derden exclusief btw]]=1,Tb_Activiteiten[[#Headers],[Kosten derden exclusief btw]],""))</f>
        <v/>
      </c>
      <c r="AT421" t="str">
        <f>IF(ISNUMBER(FIND("overige",Methode_Keuze)),"",IF(Tb_Activiteiten[[#This Row],[Niet verrekenbare btw]]=1,Tb_Activiteiten[[#Headers],[Niet verrekenbare btw]],""))</f>
        <v/>
      </c>
      <c r="AU421" t="str">
        <f>IF(ISNUMBER(FIND("overige",Methode_Keuze)),"",IF(Tb_Activiteiten[[#This Row],[Grondkosten]]=1,Tb_Activiteiten[[#Headers],[Grondkosten]],""))</f>
        <v/>
      </c>
      <c r="AV421" t="str">
        <f>IF(ISNUMBER(FIND("overige",Methode_Keuze)),"",IF(Tb_Activiteiten[[#This Row],[Bijdrage in natura (overige)]]=1,Tb_Activiteiten[[#Headers],[Bijdrage in natura (overige)]],""))</f>
        <v/>
      </c>
      <c r="AW421" t="str">
        <f>IF(ISNUMBER(FIND("overige",Methode_Keuze)),"",IF(Tb_Activiteiten[[#This Row],[Bijdrage in natura (vrijwilligers)]]=1,Tb_Activiteiten[[#Headers],[Bijdrage in natura (vrijwilligers)]],""))</f>
        <v/>
      </c>
      <c r="AX421" t="str">
        <f>IF(ISNUMBER(FIND("overige",Methode_Keuze)),"",IF(Tb_Activiteiten[[#This Row],[Afschrijvingskosten]]=1,Tb_Activiteiten[[#Headers],[Afschrijvingskosten]],""))</f>
        <v/>
      </c>
      <c r="AY421" t="str">
        <f>IF(ISNUMBER(FIND("overige",Methode_Keuze)),"",IF(Tb_Activiteiten[[#This Row],[Vergoeding]]=1,Tb_Activiteiten[[#Headers],[Vergoeding]],""))</f>
        <v/>
      </c>
      <c r="AZ421" t="str">
        <f>IF(ISNUMBER(FIND("arbeid",Methode_Keuze)),"",IF(Tb_Activiteiten[[#This Row],[Arbeidskosten - vast tarief (excl eigen arbeid)]]=1,Tb_Activiteiten[[#Headers],[Arbeidskosten - vast tarief (excl eigen arbeid)]],""))</f>
        <v/>
      </c>
      <c r="BA421" t="str">
        <f>IF(ISNUMBER(FIND("overige",Methode_Keuze)),"",IF(Tb_Activiteiten[[#This Row],[Overige kosten]]=1,Tb_Activiteiten[[#Headers],[Overige kosten]],""))</f>
        <v/>
      </c>
    </row>
    <row r="422" spans="1:53" x14ac:dyDescent="0.25">
      <c r="A422" s="231"/>
      <c r="F422" s="64"/>
      <c r="G422" s="64"/>
      <c r="H422" s="275"/>
      <c r="I422" s="275"/>
      <c r="J422" s="275"/>
      <c r="K422" s="275"/>
      <c r="O422" s="56"/>
      <c r="Q422" t="str">
        <f>IFERROR(IF(VLOOKUP(Tb_Activiteiten[[#This Row],[Openstelling]],Tb_Openstelling[],2,0)=1,1,""),"")</f>
        <v/>
      </c>
      <c r="AK422" t="str">
        <f>IF(ISNUMBER(FIND("arbeid",Methode_Keuze)),"",IF(ISNUMBER(FIND("arbeid",Methode_Keuze)),"",IF(Tb_Activiteiten[[#This Row],[Loonkosten]]=1,Tb_Activiteiten[[#Headers],[Loonkosten]],"")))</f>
        <v/>
      </c>
      <c r="AL422" t="str">
        <f>IF(ISNUMBER(FIND("arbeid",Methode_Keuze)),"",IF(ISNUMBER(FIND("arbeid",Methode_Keuze)),"",IF(Tb_Activiteiten[[#This Row],[Eigen arbeid]]=1,Tb_Activiteiten[[#Headers],[Eigen arbeid]],"")))</f>
        <v/>
      </c>
      <c r="AM422" t="str">
        <f>IF(ISNUMBER(FIND("arbeid",Methode_Keuze)),"",IF(ISNUMBER(FIND("arbeid",Methode_Keuze)),"",IF(Tb_Activiteiten[[#This Row],[Projectmedewerker]]=1,Tb_Activiteiten[[#Headers],[Projectmedewerker]],"")))</f>
        <v/>
      </c>
      <c r="AN422" t="str">
        <f>IF(ISNUMBER(FIND("arbeid",Methode_Keuze)),"",IF(ISNUMBER(FIND("arbeid",Methode_Keuze)),"",IF(Tb_Activiteiten[[#This Row],[Landbouwer]]=1,Tb_Activiteiten[[#Headers],[Landbouwer]],"")))</f>
        <v/>
      </c>
      <c r="AO422" t="str">
        <f>IF(ISNUMBER(FIND("arbeid",Methode_Keuze)),"",IF(ISNUMBER(FIND("arbeid",Methode_Keuze)),"",IF(Tb_Activiteiten[[#This Row],[Adviseur]]=1,Tb_Activiteiten[[#Headers],[Adviseur]],"")))</f>
        <v/>
      </c>
      <c r="AP422" t="str">
        <f>IF(ISNUMBER(FIND("arbeid",Methode_Keuze)),"",IF(ISNUMBER(FIND("arbeid",Methode_Keuze)),"",IF(Tb_Activiteiten[[#This Row],[Projectleider/Expert]]=1,Tb_Activiteiten[[#Headers],[Projectleider/Expert]],"")))</f>
        <v/>
      </c>
      <c r="AQ422" t="str">
        <f>IF(ISNUMBER(FIND("arbeid",Methode_Keuze)),"",IF(ISNUMBER(FIND("arbeid",Methode_Keuze)),"",IF(Tb_Activiteiten[[#This Row],[Arbeidskosten]]=1,Tb_Activiteiten[[#Headers],[Arbeidskosten]],"")))</f>
        <v/>
      </c>
      <c r="AR422" t="str">
        <f>IF(ISNUMBER(FIND("arbeid",Methode_Keuze)),"",IF(ISNUMBER(FIND("arbeid",Methode_Keuze)),"",IF(Tb_Activiteiten[[#This Row],[Arbeidskosten op basis van IKS]]=1,Tb_Activiteiten[[#Headers],[Arbeidskosten op basis van IKS]],"")))</f>
        <v/>
      </c>
      <c r="AS422" t="str">
        <f>IF(ISNUMBER(FIND("overige",Methode_Keuze)),"",IF(Tb_Activiteiten[[#This Row],[Kosten derden exclusief btw]]=1,Tb_Activiteiten[[#Headers],[Kosten derden exclusief btw]],""))</f>
        <v/>
      </c>
      <c r="AT422" t="str">
        <f>IF(ISNUMBER(FIND("overige",Methode_Keuze)),"",IF(Tb_Activiteiten[[#This Row],[Niet verrekenbare btw]]=1,Tb_Activiteiten[[#Headers],[Niet verrekenbare btw]],""))</f>
        <v/>
      </c>
      <c r="AU422" t="str">
        <f>IF(ISNUMBER(FIND("overige",Methode_Keuze)),"",IF(Tb_Activiteiten[[#This Row],[Grondkosten]]=1,Tb_Activiteiten[[#Headers],[Grondkosten]],""))</f>
        <v/>
      </c>
      <c r="AV422" t="str">
        <f>IF(ISNUMBER(FIND("overige",Methode_Keuze)),"",IF(Tb_Activiteiten[[#This Row],[Bijdrage in natura (overige)]]=1,Tb_Activiteiten[[#Headers],[Bijdrage in natura (overige)]],""))</f>
        <v/>
      </c>
      <c r="AW422" t="str">
        <f>IF(ISNUMBER(FIND("overige",Methode_Keuze)),"",IF(Tb_Activiteiten[[#This Row],[Bijdrage in natura (vrijwilligers)]]=1,Tb_Activiteiten[[#Headers],[Bijdrage in natura (vrijwilligers)]],""))</f>
        <v/>
      </c>
      <c r="AX422" t="str">
        <f>IF(ISNUMBER(FIND("overige",Methode_Keuze)),"",IF(Tb_Activiteiten[[#This Row],[Afschrijvingskosten]]=1,Tb_Activiteiten[[#Headers],[Afschrijvingskosten]],""))</f>
        <v/>
      </c>
      <c r="AY422" t="str">
        <f>IF(ISNUMBER(FIND("overige",Methode_Keuze)),"",IF(Tb_Activiteiten[[#This Row],[Vergoeding]]=1,Tb_Activiteiten[[#Headers],[Vergoeding]],""))</f>
        <v/>
      </c>
      <c r="AZ422" t="str">
        <f>IF(ISNUMBER(FIND("arbeid",Methode_Keuze)),"",IF(Tb_Activiteiten[[#This Row],[Arbeidskosten - vast tarief (excl eigen arbeid)]]=1,Tb_Activiteiten[[#Headers],[Arbeidskosten - vast tarief (excl eigen arbeid)]],""))</f>
        <v/>
      </c>
      <c r="BA422" t="str">
        <f>IF(ISNUMBER(FIND("overige",Methode_Keuze)),"",IF(Tb_Activiteiten[[#This Row],[Overige kosten]]=1,Tb_Activiteiten[[#Headers],[Overige kosten]],""))</f>
        <v/>
      </c>
    </row>
    <row r="423" spans="1:53" x14ac:dyDescent="0.25">
      <c r="A423" s="231"/>
      <c r="F423" s="64"/>
      <c r="G423" s="64"/>
      <c r="H423" s="275"/>
      <c r="I423" s="275"/>
      <c r="J423" s="275"/>
      <c r="K423" s="275"/>
      <c r="O423" s="56"/>
      <c r="Q423" t="str">
        <f>IFERROR(IF(VLOOKUP(Tb_Activiteiten[[#This Row],[Openstelling]],Tb_Openstelling[],2,0)=1,1,""),"")</f>
        <v/>
      </c>
      <c r="AK423" t="str">
        <f>IF(ISNUMBER(FIND("arbeid",Methode_Keuze)),"",IF(ISNUMBER(FIND("arbeid",Methode_Keuze)),"",IF(Tb_Activiteiten[[#This Row],[Loonkosten]]=1,Tb_Activiteiten[[#Headers],[Loonkosten]],"")))</f>
        <v/>
      </c>
      <c r="AL423" t="str">
        <f>IF(ISNUMBER(FIND("arbeid",Methode_Keuze)),"",IF(ISNUMBER(FIND("arbeid",Methode_Keuze)),"",IF(Tb_Activiteiten[[#This Row],[Eigen arbeid]]=1,Tb_Activiteiten[[#Headers],[Eigen arbeid]],"")))</f>
        <v/>
      </c>
      <c r="AM423" t="str">
        <f>IF(ISNUMBER(FIND("arbeid",Methode_Keuze)),"",IF(ISNUMBER(FIND("arbeid",Methode_Keuze)),"",IF(Tb_Activiteiten[[#This Row],[Projectmedewerker]]=1,Tb_Activiteiten[[#Headers],[Projectmedewerker]],"")))</f>
        <v/>
      </c>
      <c r="AN423" t="str">
        <f>IF(ISNUMBER(FIND("arbeid",Methode_Keuze)),"",IF(ISNUMBER(FIND("arbeid",Methode_Keuze)),"",IF(Tb_Activiteiten[[#This Row],[Landbouwer]]=1,Tb_Activiteiten[[#Headers],[Landbouwer]],"")))</f>
        <v/>
      </c>
      <c r="AO423" t="str">
        <f>IF(ISNUMBER(FIND("arbeid",Methode_Keuze)),"",IF(ISNUMBER(FIND("arbeid",Methode_Keuze)),"",IF(Tb_Activiteiten[[#This Row],[Adviseur]]=1,Tb_Activiteiten[[#Headers],[Adviseur]],"")))</f>
        <v/>
      </c>
      <c r="AP423" t="str">
        <f>IF(ISNUMBER(FIND("arbeid",Methode_Keuze)),"",IF(ISNUMBER(FIND("arbeid",Methode_Keuze)),"",IF(Tb_Activiteiten[[#This Row],[Projectleider/Expert]]=1,Tb_Activiteiten[[#Headers],[Projectleider/Expert]],"")))</f>
        <v/>
      </c>
      <c r="AQ423" t="str">
        <f>IF(ISNUMBER(FIND("arbeid",Methode_Keuze)),"",IF(ISNUMBER(FIND("arbeid",Methode_Keuze)),"",IF(Tb_Activiteiten[[#This Row],[Arbeidskosten]]=1,Tb_Activiteiten[[#Headers],[Arbeidskosten]],"")))</f>
        <v/>
      </c>
      <c r="AR423" t="str">
        <f>IF(ISNUMBER(FIND("arbeid",Methode_Keuze)),"",IF(ISNUMBER(FIND("arbeid",Methode_Keuze)),"",IF(Tb_Activiteiten[[#This Row],[Arbeidskosten op basis van IKS]]=1,Tb_Activiteiten[[#Headers],[Arbeidskosten op basis van IKS]],"")))</f>
        <v/>
      </c>
      <c r="AS423" t="str">
        <f>IF(ISNUMBER(FIND("overige",Methode_Keuze)),"",IF(Tb_Activiteiten[[#This Row],[Kosten derden exclusief btw]]=1,Tb_Activiteiten[[#Headers],[Kosten derden exclusief btw]],""))</f>
        <v/>
      </c>
      <c r="AT423" t="str">
        <f>IF(ISNUMBER(FIND("overige",Methode_Keuze)),"",IF(Tb_Activiteiten[[#This Row],[Niet verrekenbare btw]]=1,Tb_Activiteiten[[#Headers],[Niet verrekenbare btw]],""))</f>
        <v/>
      </c>
      <c r="AU423" t="str">
        <f>IF(ISNUMBER(FIND("overige",Methode_Keuze)),"",IF(Tb_Activiteiten[[#This Row],[Grondkosten]]=1,Tb_Activiteiten[[#Headers],[Grondkosten]],""))</f>
        <v/>
      </c>
      <c r="AV423" t="str">
        <f>IF(ISNUMBER(FIND("overige",Methode_Keuze)),"",IF(Tb_Activiteiten[[#This Row],[Bijdrage in natura (overige)]]=1,Tb_Activiteiten[[#Headers],[Bijdrage in natura (overige)]],""))</f>
        <v/>
      </c>
      <c r="AW423" t="str">
        <f>IF(ISNUMBER(FIND("overige",Methode_Keuze)),"",IF(Tb_Activiteiten[[#This Row],[Bijdrage in natura (vrijwilligers)]]=1,Tb_Activiteiten[[#Headers],[Bijdrage in natura (vrijwilligers)]],""))</f>
        <v/>
      </c>
      <c r="AX423" t="str">
        <f>IF(ISNUMBER(FIND("overige",Methode_Keuze)),"",IF(Tb_Activiteiten[[#This Row],[Afschrijvingskosten]]=1,Tb_Activiteiten[[#Headers],[Afschrijvingskosten]],""))</f>
        <v/>
      </c>
      <c r="AY423" t="str">
        <f>IF(ISNUMBER(FIND("overige",Methode_Keuze)),"",IF(Tb_Activiteiten[[#This Row],[Vergoeding]]=1,Tb_Activiteiten[[#Headers],[Vergoeding]],""))</f>
        <v/>
      </c>
      <c r="AZ423" t="str">
        <f>IF(ISNUMBER(FIND("arbeid",Methode_Keuze)),"",IF(Tb_Activiteiten[[#This Row],[Arbeidskosten - vast tarief (excl eigen arbeid)]]=1,Tb_Activiteiten[[#Headers],[Arbeidskosten - vast tarief (excl eigen arbeid)]],""))</f>
        <v/>
      </c>
      <c r="BA423" t="str">
        <f>IF(ISNUMBER(FIND("overige",Methode_Keuze)),"",IF(Tb_Activiteiten[[#This Row],[Overige kosten]]=1,Tb_Activiteiten[[#Headers],[Overige kosten]],""))</f>
        <v/>
      </c>
    </row>
    <row r="424" spans="1:53" x14ac:dyDescent="0.25">
      <c r="A424" s="231"/>
      <c r="F424" s="64"/>
      <c r="G424" s="64"/>
      <c r="H424" s="275"/>
      <c r="I424" s="275"/>
      <c r="J424" s="275"/>
      <c r="K424" s="275"/>
      <c r="O424" s="56"/>
      <c r="Q424" t="str">
        <f>IFERROR(IF(VLOOKUP(Tb_Activiteiten[[#This Row],[Openstelling]],Tb_Openstelling[],2,0)=1,1,""),"")</f>
        <v/>
      </c>
      <c r="AK424" t="str">
        <f>IF(ISNUMBER(FIND("arbeid",Methode_Keuze)),"",IF(ISNUMBER(FIND("arbeid",Methode_Keuze)),"",IF(Tb_Activiteiten[[#This Row],[Loonkosten]]=1,Tb_Activiteiten[[#Headers],[Loonkosten]],"")))</f>
        <v/>
      </c>
      <c r="AL424" t="str">
        <f>IF(ISNUMBER(FIND("arbeid",Methode_Keuze)),"",IF(ISNUMBER(FIND("arbeid",Methode_Keuze)),"",IF(Tb_Activiteiten[[#This Row],[Eigen arbeid]]=1,Tb_Activiteiten[[#Headers],[Eigen arbeid]],"")))</f>
        <v/>
      </c>
      <c r="AM424" t="str">
        <f>IF(ISNUMBER(FIND("arbeid",Methode_Keuze)),"",IF(ISNUMBER(FIND("arbeid",Methode_Keuze)),"",IF(Tb_Activiteiten[[#This Row],[Projectmedewerker]]=1,Tb_Activiteiten[[#Headers],[Projectmedewerker]],"")))</f>
        <v/>
      </c>
      <c r="AN424" t="str">
        <f>IF(ISNUMBER(FIND("arbeid",Methode_Keuze)),"",IF(ISNUMBER(FIND("arbeid",Methode_Keuze)),"",IF(Tb_Activiteiten[[#This Row],[Landbouwer]]=1,Tb_Activiteiten[[#Headers],[Landbouwer]],"")))</f>
        <v/>
      </c>
      <c r="AO424" t="str">
        <f>IF(ISNUMBER(FIND("arbeid",Methode_Keuze)),"",IF(ISNUMBER(FIND("arbeid",Methode_Keuze)),"",IF(Tb_Activiteiten[[#This Row],[Adviseur]]=1,Tb_Activiteiten[[#Headers],[Adviseur]],"")))</f>
        <v/>
      </c>
      <c r="AP424" t="str">
        <f>IF(ISNUMBER(FIND("arbeid",Methode_Keuze)),"",IF(ISNUMBER(FIND("arbeid",Methode_Keuze)),"",IF(Tb_Activiteiten[[#This Row],[Projectleider/Expert]]=1,Tb_Activiteiten[[#Headers],[Projectleider/Expert]],"")))</f>
        <v/>
      </c>
      <c r="AQ424" t="str">
        <f>IF(ISNUMBER(FIND("arbeid",Methode_Keuze)),"",IF(ISNUMBER(FIND("arbeid",Methode_Keuze)),"",IF(Tb_Activiteiten[[#This Row],[Arbeidskosten]]=1,Tb_Activiteiten[[#Headers],[Arbeidskosten]],"")))</f>
        <v/>
      </c>
      <c r="AR424" t="str">
        <f>IF(ISNUMBER(FIND("arbeid",Methode_Keuze)),"",IF(ISNUMBER(FIND("arbeid",Methode_Keuze)),"",IF(Tb_Activiteiten[[#This Row],[Arbeidskosten op basis van IKS]]=1,Tb_Activiteiten[[#Headers],[Arbeidskosten op basis van IKS]],"")))</f>
        <v/>
      </c>
      <c r="AS424" t="str">
        <f>IF(ISNUMBER(FIND("overige",Methode_Keuze)),"",IF(Tb_Activiteiten[[#This Row],[Kosten derden exclusief btw]]=1,Tb_Activiteiten[[#Headers],[Kosten derden exclusief btw]],""))</f>
        <v/>
      </c>
      <c r="AT424" t="str">
        <f>IF(ISNUMBER(FIND("overige",Methode_Keuze)),"",IF(Tb_Activiteiten[[#This Row],[Niet verrekenbare btw]]=1,Tb_Activiteiten[[#Headers],[Niet verrekenbare btw]],""))</f>
        <v/>
      </c>
      <c r="AU424" t="str">
        <f>IF(ISNUMBER(FIND("overige",Methode_Keuze)),"",IF(Tb_Activiteiten[[#This Row],[Grondkosten]]=1,Tb_Activiteiten[[#Headers],[Grondkosten]],""))</f>
        <v/>
      </c>
      <c r="AV424" t="str">
        <f>IF(ISNUMBER(FIND("overige",Methode_Keuze)),"",IF(Tb_Activiteiten[[#This Row],[Bijdrage in natura (overige)]]=1,Tb_Activiteiten[[#Headers],[Bijdrage in natura (overige)]],""))</f>
        <v/>
      </c>
      <c r="AW424" t="str">
        <f>IF(ISNUMBER(FIND("overige",Methode_Keuze)),"",IF(Tb_Activiteiten[[#This Row],[Bijdrage in natura (vrijwilligers)]]=1,Tb_Activiteiten[[#Headers],[Bijdrage in natura (vrijwilligers)]],""))</f>
        <v/>
      </c>
      <c r="AX424" t="str">
        <f>IF(ISNUMBER(FIND("overige",Methode_Keuze)),"",IF(Tb_Activiteiten[[#This Row],[Afschrijvingskosten]]=1,Tb_Activiteiten[[#Headers],[Afschrijvingskosten]],""))</f>
        <v/>
      </c>
      <c r="AY424" t="str">
        <f>IF(ISNUMBER(FIND("overige",Methode_Keuze)),"",IF(Tb_Activiteiten[[#This Row],[Vergoeding]]=1,Tb_Activiteiten[[#Headers],[Vergoeding]],""))</f>
        <v/>
      </c>
      <c r="AZ424" t="str">
        <f>IF(ISNUMBER(FIND("arbeid",Methode_Keuze)),"",IF(Tb_Activiteiten[[#This Row],[Arbeidskosten - vast tarief (excl eigen arbeid)]]=1,Tb_Activiteiten[[#Headers],[Arbeidskosten - vast tarief (excl eigen arbeid)]],""))</f>
        <v/>
      </c>
      <c r="BA424" t="str">
        <f>IF(ISNUMBER(FIND("overige",Methode_Keuze)),"",IF(Tb_Activiteiten[[#This Row],[Overige kosten]]=1,Tb_Activiteiten[[#Headers],[Overige kosten]],""))</f>
        <v/>
      </c>
    </row>
    <row r="425" spans="1:53" x14ac:dyDescent="0.25">
      <c r="A425" s="231"/>
      <c r="F425" s="64"/>
      <c r="G425" s="64"/>
      <c r="H425" s="275"/>
      <c r="I425" s="275"/>
      <c r="J425" s="275"/>
      <c r="K425" s="275"/>
      <c r="O425" s="56"/>
      <c r="Q425" t="str">
        <f>IFERROR(IF(VLOOKUP(Tb_Activiteiten[[#This Row],[Openstelling]],Tb_Openstelling[],2,0)=1,1,""),"")</f>
        <v/>
      </c>
      <c r="AK425" t="str">
        <f>IF(ISNUMBER(FIND("arbeid",Methode_Keuze)),"",IF(ISNUMBER(FIND("arbeid",Methode_Keuze)),"",IF(Tb_Activiteiten[[#This Row],[Loonkosten]]=1,Tb_Activiteiten[[#Headers],[Loonkosten]],"")))</f>
        <v/>
      </c>
      <c r="AL425" t="str">
        <f>IF(ISNUMBER(FIND("arbeid",Methode_Keuze)),"",IF(ISNUMBER(FIND("arbeid",Methode_Keuze)),"",IF(Tb_Activiteiten[[#This Row],[Eigen arbeid]]=1,Tb_Activiteiten[[#Headers],[Eigen arbeid]],"")))</f>
        <v/>
      </c>
      <c r="AM425" t="str">
        <f>IF(ISNUMBER(FIND("arbeid",Methode_Keuze)),"",IF(ISNUMBER(FIND("arbeid",Methode_Keuze)),"",IF(Tb_Activiteiten[[#This Row],[Projectmedewerker]]=1,Tb_Activiteiten[[#Headers],[Projectmedewerker]],"")))</f>
        <v/>
      </c>
      <c r="AN425" t="str">
        <f>IF(ISNUMBER(FIND("arbeid",Methode_Keuze)),"",IF(ISNUMBER(FIND("arbeid",Methode_Keuze)),"",IF(Tb_Activiteiten[[#This Row],[Landbouwer]]=1,Tb_Activiteiten[[#Headers],[Landbouwer]],"")))</f>
        <v/>
      </c>
      <c r="AO425" t="str">
        <f>IF(ISNUMBER(FIND("arbeid",Methode_Keuze)),"",IF(ISNUMBER(FIND("arbeid",Methode_Keuze)),"",IF(Tb_Activiteiten[[#This Row],[Adviseur]]=1,Tb_Activiteiten[[#Headers],[Adviseur]],"")))</f>
        <v/>
      </c>
      <c r="AP425" t="str">
        <f>IF(ISNUMBER(FIND("arbeid",Methode_Keuze)),"",IF(ISNUMBER(FIND("arbeid",Methode_Keuze)),"",IF(Tb_Activiteiten[[#This Row],[Projectleider/Expert]]=1,Tb_Activiteiten[[#Headers],[Projectleider/Expert]],"")))</f>
        <v/>
      </c>
      <c r="AQ425" t="str">
        <f>IF(ISNUMBER(FIND("arbeid",Methode_Keuze)),"",IF(ISNUMBER(FIND("arbeid",Methode_Keuze)),"",IF(Tb_Activiteiten[[#This Row],[Arbeidskosten]]=1,Tb_Activiteiten[[#Headers],[Arbeidskosten]],"")))</f>
        <v/>
      </c>
      <c r="AR425" t="str">
        <f>IF(ISNUMBER(FIND("arbeid",Methode_Keuze)),"",IF(ISNUMBER(FIND("arbeid",Methode_Keuze)),"",IF(Tb_Activiteiten[[#This Row],[Arbeidskosten op basis van IKS]]=1,Tb_Activiteiten[[#Headers],[Arbeidskosten op basis van IKS]],"")))</f>
        <v/>
      </c>
      <c r="AS425" t="str">
        <f>IF(ISNUMBER(FIND("overige",Methode_Keuze)),"",IF(Tb_Activiteiten[[#This Row],[Kosten derden exclusief btw]]=1,Tb_Activiteiten[[#Headers],[Kosten derden exclusief btw]],""))</f>
        <v/>
      </c>
      <c r="AT425" t="str">
        <f>IF(ISNUMBER(FIND("overige",Methode_Keuze)),"",IF(Tb_Activiteiten[[#This Row],[Niet verrekenbare btw]]=1,Tb_Activiteiten[[#Headers],[Niet verrekenbare btw]],""))</f>
        <v/>
      </c>
      <c r="AU425" t="str">
        <f>IF(ISNUMBER(FIND("overige",Methode_Keuze)),"",IF(Tb_Activiteiten[[#This Row],[Grondkosten]]=1,Tb_Activiteiten[[#Headers],[Grondkosten]],""))</f>
        <v/>
      </c>
      <c r="AV425" t="str">
        <f>IF(ISNUMBER(FIND("overige",Methode_Keuze)),"",IF(Tb_Activiteiten[[#This Row],[Bijdrage in natura (overige)]]=1,Tb_Activiteiten[[#Headers],[Bijdrage in natura (overige)]],""))</f>
        <v/>
      </c>
      <c r="AW425" t="str">
        <f>IF(ISNUMBER(FIND("overige",Methode_Keuze)),"",IF(Tb_Activiteiten[[#This Row],[Bijdrage in natura (vrijwilligers)]]=1,Tb_Activiteiten[[#Headers],[Bijdrage in natura (vrijwilligers)]],""))</f>
        <v/>
      </c>
      <c r="AX425" t="str">
        <f>IF(ISNUMBER(FIND("overige",Methode_Keuze)),"",IF(Tb_Activiteiten[[#This Row],[Afschrijvingskosten]]=1,Tb_Activiteiten[[#Headers],[Afschrijvingskosten]],""))</f>
        <v/>
      </c>
      <c r="AY425" t="str">
        <f>IF(ISNUMBER(FIND("overige",Methode_Keuze)),"",IF(Tb_Activiteiten[[#This Row],[Vergoeding]]=1,Tb_Activiteiten[[#Headers],[Vergoeding]],""))</f>
        <v/>
      </c>
      <c r="AZ425" t="str">
        <f>IF(ISNUMBER(FIND("arbeid",Methode_Keuze)),"",IF(Tb_Activiteiten[[#This Row],[Arbeidskosten - vast tarief (excl eigen arbeid)]]=1,Tb_Activiteiten[[#Headers],[Arbeidskosten - vast tarief (excl eigen arbeid)]],""))</f>
        <v/>
      </c>
      <c r="BA425" t="str">
        <f>IF(ISNUMBER(FIND("overige",Methode_Keuze)),"",IF(Tb_Activiteiten[[#This Row],[Overige kosten]]=1,Tb_Activiteiten[[#Headers],[Overige kosten]],""))</f>
        <v/>
      </c>
    </row>
    <row r="426" spans="1:53" x14ac:dyDescent="0.25">
      <c r="A426" s="231"/>
      <c r="F426" s="64"/>
      <c r="G426" s="64"/>
      <c r="H426" s="275"/>
      <c r="I426" s="275"/>
      <c r="J426" s="275"/>
      <c r="K426" s="275"/>
      <c r="O426" s="56"/>
      <c r="Q426" t="str">
        <f>IFERROR(IF(VLOOKUP(Tb_Activiteiten[[#This Row],[Openstelling]],Tb_Openstelling[],2,0)=1,1,""),"")</f>
        <v/>
      </c>
      <c r="AK426" t="str">
        <f>IF(ISNUMBER(FIND("arbeid",Methode_Keuze)),"",IF(ISNUMBER(FIND("arbeid",Methode_Keuze)),"",IF(Tb_Activiteiten[[#This Row],[Loonkosten]]=1,Tb_Activiteiten[[#Headers],[Loonkosten]],"")))</f>
        <v/>
      </c>
      <c r="AL426" t="str">
        <f>IF(ISNUMBER(FIND("arbeid",Methode_Keuze)),"",IF(ISNUMBER(FIND("arbeid",Methode_Keuze)),"",IF(Tb_Activiteiten[[#This Row],[Eigen arbeid]]=1,Tb_Activiteiten[[#Headers],[Eigen arbeid]],"")))</f>
        <v/>
      </c>
      <c r="AM426" t="str">
        <f>IF(ISNUMBER(FIND("arbeid",Methode_Keuze)),"",IF(ISNUMBER(FIND("arbeid",Methode_Keuze)),"",IF(Tb_Activiteiten[[#This Row],[Projectmedewerker]]=1,Tb_Activiteiten[[#Headers],[Projectmedewerker]],"")))</f>
        <v/>
      </c>
      <c r="AN426" t="str">
        <f>IF(ISNUMBER(FIND("arbeid",Methode_Keuze)),"",IF(ISNUMBER(FIND("arbeid",Methode_Keuze)),"",IF(Tb_Activiteiten[[#This Row],[Landbouwer]]=1,Tb_Activiteiten[[#Headers],[Landbouwer]],"")))</f>
        <v/>
      </c>
      <c r="AO426" t="str">
        <f>IF(ISNUMBER(FIND("arbeid",Methode_Keuze)),"",IF(ISNUMBER(FIND("arbeid",Methode_Keuze)),"",IF(Tb_Activiteiten[[#This Row],[Adviseur]]=1,Tb_Activiteiten[[#Headers],[Adviseur]],"")))</f>
        <v/>
      </c>
      <c r="AP426" t="str">
        <f>IF(ISNUMBER(FIND("arbeid",Methode_Keuze)),"",IF(ISNUMBER(FIND("arbeid",Methode_Keuze)),"",IF(Tb_Activiteiten[[#This Row],[Projectleider/Expert]]=1,Tb_Activiteiten[[#Headers],[Projectleider/Expert]],"")))</f>
        <v/>
      </c>
      <c r="AQ426" t="str">
        <f>IF(ISNUMBER(FIND("arbeid",Methode_Keuze)),"",IF(ISNUMBER(FIND("arbeid",Methode_Keuze)),"",IF(Tb_Activiteiten[[#This Row],[Arbeidskosten]]=1,Tb_Activiteiten[[#Headers],[Arbeidskosten]],"")))</f>
        <v/>
      </c>
      <c r="AR426" t="str">
        <f>IF(ISNUMBER(FIND("arbeid",Methode_Keuze)),"",IF(ISNUMBER(FIND("arbeid",Methode_Keuze)),"",IF(Tb_Activiteiten[[#This Row],[Arbeidskosten op basis van IKS]]=1,Tb_Activiteiten[[#Headers],[Arbeidskosten op basis van IKS]],"")))</f>
        <v/>
      </c>
      <c r="AS426" t="str">
        <f>IF(ISNUMBER(FIND("overige",Methode_Keuze)),"",IF(Tb_Activiteiten[[#This Row],[Kosten derden exclusief btw]]=1,Tb_Activiteiten[[#Headers],[Kosten derden exclusief btw]],""))</f>
        <v/>
      </c>
      <c r="AT426" t="str">
        <f>IF(ISNUMBER(FIND("overige",Methode_Keuze)),"",IF(Tb_Activiteiten[[#This Row],[Niet verrekenbare btw]]=1,Tb_Activiteiten[[#Headers],[Niet verrekenbare btw]],""))</f>
        <v/>
      </c>
      <c r="AU426" t="str">
        <f>IF(ISNUMBER(FIND("overige",Methode_Keuze)),"",IF(Tb_Activiteiten[[#This Row],[Grondkosten]]=1,Tb_Activiteiten[[#Headers],[Grondkosten]],""))</f>
        <v/>
      </c>
      <c r="AV426" t="str">
        <f>IF(ISNUMBER(FIND("overige",Methode_Keuze)),"",IF(Tb_Activiteiten[[#This Row],[Bijdrage in natura (overige)]]=1,Tb_Activiteiten[[#Headers],[Bijdrage in natura (overige)]],""))</f>
        <v/>
      </c>
      <c r="AW426" t="str">
        <f>IF(ISNUMBER(FIND("overige",Methode_Keuze)),"",IF(Tb_Activiteiten[[#This Row],[Bijdrage in natura (vrijwilligers)]]=1,Tb_Activiteiten[[#Headers],[Bijdrage in natura (vrijwilligers)]],""))</f>
        <v/>
      </c>
      <c r="AX426" t="str">
        <f>IF(ISNUMBER(FIND("overige",Methode_Keuze)),"",IF(Tb_Activiteiten[[#This Row],[Afschrijvingskosten]]=1,Tb_Activiteiten[[#Headers],[Afschrijvingskosten]],""))</f>
        <v/>
      </c>
      <c r="AY426" t="str">
        <f>IF(ISNUMBER(FIND("overige",Methode_Keuze)),"",IF(Tb_Activiteiten[[#This Row],[Vergoeding]]=1,Tb_Activiteiten[[#Headers],[Vergoeding]],""))</f>
        <v/>
      </c>
      <c r="AZ426" t="str">
        <f>IF(ISNUMBER(FIND("arbeid",Methode_Keuze)),"",IF(Tb_Activiteiten[[#This Row],[Arbeidskosten - vast tarief (excl eigen arbeid)]]=1,Tb_Activiteiten[[#Headers],[Arbeidskosten - vast tarief (excl eigen arbeid)]],""))</f>
        <v/>
      </c>
      <c r="BA426" t="str">
        <f>IF(ISNUMBER(FIND("overige",Methode_Keuze)),"",IF(Tb_Activiteiten[[#This Row],[Overige kosten]]=1,Tb_Activiteiten[[#Headers],[Overige kosten]],""))</f>
        <v/>
      </c>
    </row>
    <row r="427" spans="1:53" x14ac:dyDescent="0.25">
      <c r="A427" s="231"/>
      <c r="F427" s="64"/>
      <c r="G427" s="64"/>
      <c r="H427" s="275"/>
      <c r="I427" s="275"/>
      <c r="J427" s="275"/>
      <c r="K427" s="275"/>
      <c r="O427" s="56"/>
      <c r="Q427" t="str">
        <f>IFERROR(IF(VLOOKUP(Tb_Activiteiten[[#This Row],[Openstelling]],Tb_Openstelling[],2,0)=1,1,""),"")</f>
        <v/>
      </c>
      <c r="AK427" t="str">
        <f>IF(ISNUMBER(FIND("arbeid",Methode_Keuze)),"",IF(ISNUMBER(FIND("arbeid",Methode_Keuze)),"",IF(Tb_Activiteiten[[#This Row],[Loonkosten]]=1,Tb_Activiteiten[[#Headers],[Loonkosten]],"")))</f>
        <v/>
      </c>
      <c r="AL427" t="str">
        <f>IF(ISNUMBER(FIND("arbeid",Methode_Keuze)),"",IF(ISNUMBER(FIND("arbeid",Methode_Keuze)),"",IF(Tb_Activiteiten[[#This Row],[Eigen arbeid]]=1,Tb_Activiteiten[[#Headers],[Eigen arbeid]],"")))</f>
        <v/>
      </c>
      <c r="AM427" t="str">
        <f>IF(ISNUMBER(FIND("arbeid",Methode_Keuze)),"",IF(ISNUMBER(FIND("arbeid",Methode_Keuze)),"",IF(Tb_Activiteiten[[#This Row],[Projectmedewerker]]=1,Tb_Activiteiten[[#Headers],[Projectmedewerker]],"")))</f>
        <v/>
      </c>
      <c r="AN427" t="str">
        <f>IF(ISNUMBER(FIND("arbeid",Methode_Keuze)),"",IF(ISNUMBER(FIND("arbeid",Methode_Keuze)),"",IF(Tb_Activiteiten[[#This Row],[Landbouwer]]=1,Tb_Activiteiten[[#Headers],[Landbouwer]],"")))</f>
        <v/>
      </c>
      <c r="AO427" t="str">
        <f>IF(ISNUMBER(FIND("arbeid",Methode_Keuze)),"",IF(ISNUMBER(FIND("arbeid",Methode_Keuze)),"",IF(Tb_Activiteiten[[#This Row],[Adviseur]]=1,Tb_Activiteiten[[#Headers],[Adviseur]],"")))</f>
        <v/>
      </c>
      <c r="AP427" t="str">
        <f>IF(ISNUMBER(FIND("arbeid",Methode_Keuze)),"",IF(ISNUMBER(FIND("arbeid",Methode_Keuze)),"",IF(Tb_Activiteiten[[#This Row],[Projectleider/Expert]]=1,Tb_Activiteiten[[#Headers],[Projectleider/Expert]],"")))</f>
        <v/>
      </c>
      <c r="AQ427" t="str">
        <f>IF(ISNUMBER(FIND("arbeid",Methode_Keuze)),"",IF(ISNUMBER(FIND("arbeid",Methode_Keuze)),"",IF(Tb_Activiteiten[[#This Row],[Arbeidskosten]]=1,Tb_Activiteiten[[#Headers],[Arbeidskosten]],"")))</f>
        <v/>
      </c>
      <c r="AR427" t="str">
        <f>IF(ISNUMBER(FIND("arbeid",Methode_Keuze)),"",IF(ISNUMBER(FIND("arbeid",Methode_Keuze)),"",IF(Tb_Activiteiten[[#This Row],[Arbeidskosten op basis van IKS]]=1,Tb_Activiteiten[[#Headers],[Arbeidskosten op basis van IKS]],"")))</f>
        <v/>
      </c>
      <c r="AS427" t="str">
        <f>IF(ISNUMBER(FIND("overige",Methode_Keuze)),"",IF(Tb_Activiteiten[[#This Row],[Kosten derden exclusief btw]]=1,Tb_Activiteiten[[#Headers],[Kosten derden exclusief btw]],""))</f>
        <v/>
      </c>
      <c r="AT427" t="str">
        <f>IF(ISNUMBER(FIND("overige",Methode_Keuze)),"",IF(Tb_Activiteiten[[#This Row],[Niet verrekenbare btw]]=1,Tb_Activiteiten[[#Headers],[Niet verrekenbare btw]],""))</f>
        <v/>
      </c>
      <c r="AU427" t="str">
        <f>IF(ISNUMBER(FIND("overige",Methode_Keuze)),"",IF(Tb_Activiteiten[[#This Row],[Grondkosten]]=1,Tb_Activiteiten[[#Headers],[Grondkosten]],""))</f>
        <v/>
      </c>
      <c r="AV427" t="str">
        <f>IF(ISNUMBER(FIND("overige",Methode_Keuze)),"",IF(Tb_Activiteiten[[#This Row],[Bijdrage in natura (overige)]]=1,Tb_Activiteiten[[#Headers],[Bijdrage in natura (overige)]],""))</f>
        <v/>
      </c>
      <c r="AW427" t="str">
        <f>IF(ISNUMBER(FIND("overige",Methode_Keuze)),"",IF(Tb_Activiteiten[[#This Row],[Bijdrage in natura (vrijwilligers)]]=1,Tb_Activiteiten[[#Headers],[Bijdrage in natura (vrijwilligers)]],""))</f>
        <v/>
      </c>
      <c r="AX427" t="str">
        <f>IF(ISNUMBER(FIND("overige",Methode_Keuze)),"",IF(Tb_Activiteiten[[#This Row],[Afschrijvingskosten]]=1,Tb_Activiteiten[[#Headers],[Afschrijvingskosten]],""))</f>
        <v/>
      </c>
      <c r="AY427" t="str">
        <f>IF(ISNUMBER(FIND("overige",Methode_Keuze)),"",IF(Tb_Activiteiten[[#This Row],[Vergoeding]]=1,Tb_Activiteiten[[#Headers],[Vergoeding]],""))</f>
        <v/>
      </c>
      <c r="AZ427" t="str">
        <f>IF(ISNUMBER(FIND("arbeid",Methode_Keuze)),"",IF(Tb_Activiteiten[[#This Row],[Arbeidskosten - vast tarief (excl eigen arbeid)]]=1,Tb_Activiteiten[[#Headers],[Arbeidskosten - vast tarief (excl eigen arbeid)]],""))</f>
        <v/>
      </c>
      <c r="BA427" t="str">
        <f>IF(ISNUMBER(FIND("overige",Methode_Keuze)),"",IF(Tb_Activiteiten[[#This Row],[Overige kosten]]=1,Tb_Activiteiten[[#Headers],[Overige kosten]],""))</f>
        <v/>
      </c>
    </row>
    <row r="428" spans="1:53" x14ac:dyDescent="0.25">
      <c r="A428" s="231"/>
      <c r="F428" s="64"/>
      <c r="G428" s="64"/>
      <c r="H428" s="275"/>
      <c r="I428" s="275"/>
      <c r="J428" s="275"/>
      <c r="K428" s="275"/>
      <c r="O428" s="56"/>
      <c r="Q428" t="str">
        <f>IFERROR(IF(VLOOKUP(Tb_Activiteiten[[#This Row],[Openstelling]],Tb_Openstelling[],2,0)=1,1,""),"")</f>
        <v/>
      </c>
      <c r="AK428" t="str">
        <f>IF(ISNUMBER(FIND("arbeid",Methode_Keuze)),"",IF(ISNUMBER(FIND("arbeid",Methode_Keuze)),"",IF(Tb_Activiteiten[[#This Row],[Loonkosten]]=1,Tb_Activiteiten[[#Headers],[Loonkosten]],"")))</f>
        <v/>
      </c>
      <c r="AL428" t="str">
        <f>IF(ISNUMBER(FIND("arbeid",Methode_Keuze)),"",IF(ISNUMBER(FIND("arbeid",Methode_Keuze)),"",IF(Tb_Activiteiten[[#This Row],[Eigen arbeid]]=1,Tb_Activiteiten[[#Headers],[Eigen arbeid]],"")))</f>
        <v/>
      </c>
      <c r="AM428" t="str">
        <f>IF(ISNUMBER(FIND("arbeid",Methode_Keuze)),"",IF(ISNUMBER(FIND("arbeid",Methode_Keuze)),"",IF(Tb_Activiteiten[[#This Row],[Projectmedewerker]]=1,Tb_Activiteiten[[#Headers],[Projectmedewerker]],"")))</f>
        <v/>
      </c>
      <c r="AN428" t="str">
        <f>IF(ISNUMBER(FIND("arbeid",Methode_Keuze)),"",IF(ISNUMBER(FIND("arbeid",Methode_Keuze)),"",IF(Tb_Activiteiten[[#This Row],[Landbouwer]]=1,Tb_Activiteiten[[#Headers],[Landbouwer]],"")))</f>
        <v/>
      </c>
      <c r="AO428" t="str">
        <f>IF(ISNUMBER(FIND("arbeid",Methode_Keuze)),"",IF(ISNUMBER(FIND("arbeid",Methode_Keuze)),"",IF(Tb_Activiteiten[[#This Row],[Adviseur]]=1,Tb_Activiteiten[[#Headers],[Adviseur]],"")))</f>
        <v/>
      </c>
      <c r="AP428" t="str">
        <f>IF(ISNUMBER(FIND("arbeid",Methode_Keuze)),"",IF(ISNUMBER(FIND("arbeid",Methode_Keuze)),"",IF(Tb_Activiteiten[[#This Row],[Projectleider/Expert]]=1,Tb_Activiteiten[[#Headers],[Projectleider/Expert]],"")))</f>
        <v/>
      </c>
      <c r="AQ428" t="str">
        <f>IF(ISNUMBER(FIND("arbeid",Methode_Keuze)),"",IF(ISNUMBER(FIND("arbeid",Methode_Keuze)),"",IF(Tb_Activiteiten[[#This Row],[Arbeidskosten]]=1,Tb_Activiteiten[[#Headers],[Arbeidskosten]],"")))</f>
        <v/>
      </c>
      <c r="AR428" t="str">
        <f>IF(ISNUMBER(FIND("arbeid",Methode_Keuze)),"",IF(ISNUMBER(FIND("arbeid",Methode_Keuze)),"",IF(Tb_Activiteiten[[#This Row],[Arbeidskosten op basis van IKS]]=1,Tb_Activiteiten[[#Headers],[Arbeidskosten op basis van IKS]],"")))</f>
        <v/>
      </c>
      <c r="AS428" t="str">
        <f>IF(ISNUMBER(FIND("overige",Methode_Keuze)),"",IF(Tb_Activiteiten[[#This Row],[Kosten derden exclusief btw]]=1,Tb_Activiteiten[[#Headers],[Kosten derden exclusief btw]],""))</f>
        <v/>
      </c>
      <c r="AT428" t="str">
        <f>IF(ISNUMBER(FIND("overige",Methode_Keuze)),"",IF(Tb_Activiteiten[[#This Row],[Niet verrekenbare btw]]=1,Tb_Activiteiten[[#Headers],[Niet verrekenbare btw]],""))</f>
        <v/>
      </c>
      <c r="AU428" t="str">
        <f>IF(ISNUMBER(FIND("overige",Methode_Keuze)),"",IF(Tb_Activiteiten[[#This Row],[Grondkosten]]=1,Tb_Activiteiten[[#Headers],[Grondkosten]],""))</f>
        <v/>
      </c>
      <c r="AV428" t="str">
        <f>IF(ISNUMBER(FIND("overige",Methode_Keuze)),"",IF(Tb_Activiteiten[[#This Row],[Bijdrage in natura (overige)]]=1,Tb_Activiteiten[[#Headers],[Bijdrage in natura (overige)]],""))</f>
        <v/>
      </c>
      <c r="AW428" t="str">
        <f>IF(ISNUMBER(FIND("overige",Methode_Keuze)),"",IF(Tb_Activiteiten[[#This Row],[Bijdrage in natura (vrijwilligers)]]=1,Tb_Activiteiten[[#Headers],[Bijdrage in natura (vrijwilligers)]],""))</f>
        <v/>
      </c>
      <c r="AX428" t="str">
        <f>IF(ISNUMBER(FIND("overige",Methode_Keuze)),"",IF(Tb_Activiteiten[[#This Row],[Afschrijvingskosten]]=1,Tb_Activiteiten[[#Headers],[Afschrijvingskosten]],""))</f>
        <v/>
      </c>
      <c r="AY428" t="str">
        <f>IF(ISNUMBER(FIND("overige",Methode_Keuze)),"",IF(Tb_Activiteiten[[#This Row],[Vergoeding]]=1,Tb_Activiteiten[[#Headers],[Vergoeding]],""))</f>
        <v/>
      </c>
      <c r="AZ428" t="str">
        <f>IF(ISNUMBER(FIND("arbeid",Methode_Keuze)),"",IF(Tb_Activiteiten[[#This Row],[Arbeidskosten - vast tarief (excl eigen arbeid)]]=1,Tb_Activiteiten[[#Headers],[Arbeidskosten - vast tarief (excl eigen arbeid)]],""))</f>
        <v/>
      </c>
      <c r="BA428" t="str">
        <f>IF(ISNUMBER(FIND("overige",Methode_Keuze)),"",IF(Tb_Activiteiten[[#This Row],[Overige kosten]]=1,Tb_Activiteiten[[#Headers],[Overige kosten]],""))</f>
        <v/>
      </c>
    </row>
    <row r="429" spans="1:53" x14ac:dyDescent="0.25">
      <c r="A429" s="231"/>
      <c r="F429" s="64"/>
      <c r="G429" s="64"/>
      <c r="H429" s="275"/>
      <c r="I429" s="275"/>
      <c r="J429" s="275"/>
      <c r="K429" s="275"/>
      <c r="O429" s="56"/>
      <c r="Q429" t="str">
        <f>IFERROR(IF(VLOOKUP(Tb_Activiteiten[[#This Row],[Openstelling]],Tb_Openstelling[],2,0)=1,1,""),"")</f>
        <v/>
      </c>
      <c r="AK429" t="str">
        <f>IF(ISNUMBER(FIND("arbeid",Methode_Keuze)),"",IF(ISNUMBER(FIND("arbeid",Methode_Keuze)),"",IF(Tb_Activiteiten[[#This Row],[Loonkosten]]=1,Tb_Activiteiten[[#Headers],[Loonkosten]],"")))</f>
        <v/>
      </c>
      <c r="AL429" t="str">
        <f>IF(ISNUMBER(FIND("arbeid",Methode_Keuze)),"",IF(ISNUMBER(FIND("arbeid",Methode_Keuze)),"",IF(Tb_Activiteiten[[#This Row],[Eigen arbeid]]=1,Tb_Activiteiten[[#Headers],[Eigen arbeid]],"")))</f>
        <v/>
      </c>
      <c r="AM429" t="str">
        <f>IF(ISNUMBER(FIND("arbeid",Methode_Keuze)),"",IF(ISNUMBER(FIND("arbeid",Methode_Keuze)),"",IF(Tb_Activiteiten[[#This Row],[Projectmedewerker]]=1,Tb_Activiteiten[[#Headers],[Projectmedewerker]],"")))</f>
        <v/>
      </c>
      <c r="AN429" t="str">
        <f>IF(ISNUMBER(FIND("arbeid",Methode_Keuze)),"",IF(ISNUMBER(FIND("arbeid",Methode_Keuze)),"",IF(Tb_Activiteiten[[#This Row],[Landbouwer]]=1,Tb_Activiteiten[[#Headers],[Landbouwer]],"")))</f>
        <v/>
      </c>
      <c r="AO429" t="str">
        <f>IF(ISNUMBER(FIND("arbeid",Methode_Keuze)),"",IF(ISNUMBER(FIND("arbeid",Methode_Keuze)),"",IF(Tb_Activiteiten[[#This Row],[Adviseur]]=1,Tb_Activiteiten[[#Headers],[Adviseur]],"")))</f>
        <v/>
      </c>
      <c r="AP429" t="str">
        <f>IF(ISNUMBER(FIND("arbeid",Methode_Keuze)),"",IF(ISNUMBER(FIND("arbeid",Methode_Keuze)),"",IF(Tb_Activiteiten[[#This Row],[Projectleider/Expert]]=1,Tb_Activiteiten[[#Headers],[Projectleider/Expert]],"")))</f>
        <v/>
      </c>
      <c r="AQ429" t="str">
        <f>IF(ISNUMBER(FIND("arbeid",Methode_Keuze)),"",IF(ISNUMBER(FIND("arbeid",Methode_Keuze)),"",IF(Tb_Activiteiten[[#This Row],[Arbeidskosten]]=1,Tb_Activiteiten[[#Headers],[Arbeidskosten]],"")))</f>
        <v/>
      </c>
      <c r="AR429" t="str">
        <f>IF(ISNUMBER(FIND("arbeid",Methode_Keuze)),"",IF(ISNUMBER(FIND("arbeid",Methode_Keuze)),"",IF(Tb_Activiteiten[[#This Row],[Arbeidskosten op basis van IKS]]=1,Tb_Activiteiten[[#Headers],[Arbeidskosten op basis van IKS]],"")))</f>
        <v/>
      </c>
      <c r="AS429" t="str">
        <f>IF(ISNUMBER(FIND("overige",Methode_Keuze)),"",IF(Tb_Activiteiten[[#This Row],[Kosten derden exclusief btw]]=1,Tb_Activiteiten[[#Headers],[Kosten derden exclusief btw]],""))</f>
        <v/>
      </c>
      <c r="AT429" t="str">
        <f>IF(ISNUMBER(FIND("overige",Methode_Keuze)),"",IF(Tb_Activiteiten[[#This Row],[Niet verrekenbare btw]]=1,Tb_Activiteiten[[#Headers],[Niet verrekenbare btw]],""))</f>
        <v/>
      </c>
      <c r="AU429" t="str">
        <f>IF(ISNUMBER(FIND("overige",Methode_Keuze)),"",IF(Tb_Activiteiten[[#This Row],[Grondkosten]]=1,Tb_Activiteiten[[#Headers],[Grondkosten]],""))</f>
        <v/>
      </c>
      <c r="AV429" t="str">
        <f>IF(ISNUMBER(FIND("overige",Methode_Keuze)),"",IF(Tb_Activiteiten[[#This Row],[Bijdrage in natura (overige)]]=1,Tb_Activiteiten[[#Headers],[Bijdrage in natura (overige)]],""))</f>
        <v/>
      </c>
      <c r="AW429" t="str">
        <f>IF(ISNUMBER(FIND("overige",Methode_Keuze)),"",IF(Tb_Activiteiten[[#This Row],[Bijdrage in natura (vrijwilligers)]]=1,Tb_Activiteiten[[#Headers],[Bijdrage in natura (vrijwilligers)]],""))</f>
        <v/>
      </c>
      <c r="AX429" t="str">
        <f>IF(ISNUMBER(FIND("overige",Methode_Keuze)),"",IF(Tb_Activiteiten[[#This Row],[Afschrijvingskosten]]=1,Tb_Activiteiten[[#Headers],[Afschrijvingskosten]],""))</f>
        <v/>
      </c>
      <c r="AY429" t="str">
        <f>IF(ISNUMBER(FIND("overige",Methode_Keuze)),"",IF(Tb_Activiteiten[[#This Row],[Vergoeding]]=1,Tb_Activiteiten[[#Headers],[Vergoeding]],""))</f>
        <v/>
      </c>
      <c r="AZ429" t="str">
        <f>IF(ISNUMBER(FIND("arbeid",Methode_Keuze)),"",IF(Tb_Activiteiten[[#This Row],[Arbeidskosten - vast tarief (excl eigen arbeid)]]=1,Tb_Activiteiten[[#Headers],[Arbeidskosten - vast tarief (excl eigen arbeid)]],""))</f>
        <v/>
      </c>
      <c r="BA429" t="str">
        <f>IF(ISNUMBER(FIND("overige",Methode_Keuze)),"",IF(Tb_Activiteiten[[#This Row],[Overige kosten]]=1,Tb_Activiteiten[[#Headers],[Overige kosten]],""))</f>
        <v/>
      </c>
    </row>
    <row r="430" spans="1:53" x14ac:dyDescent="0.25">
      <c r="A430" s="231"/>
      <c r="F430" s="64"/>
      <c r="G430" s="64"/>
      <c r="H430" s="275"/>
      <c r="I430" s="275"/>
      <c r="J430" s="275"/>
      <c r="K430" s="275"/>
      <c r="O430" s="56"/>
      <c r="Q430" t="str">
        <f>IFERROR(IF(VLOOKUP(Tb_Activiteiten[[#This Row],[Openstelling]],Tb_Openstelling[],2,0)=1,1,""),"")</f>
        <v/>
      </c>
      <c r="AK430" t="str">
        <f>IF(ISNUMBER(FIND("arbeid",Methode_Keuze)),"",IF(ISNUMBER(FIND("arbeid",Methode_Keuze)),"",IF(Tb_Activiteiten[[#This Row],[Loonkosten]]=1,Tb_Activiteiten[[#Headers],[Loonkosten]],"")))</f>
        <v/>
      </c>
      <c r="AL430" t="str">
        <f>IF(ISNUMBER(FIND("arbeid",Methode_Keuze)),"",IF(ISNUMBER(FIND("arbeid",Methode_Keuze)),"",IF(Tb_Activiteiten[[#This Row],[Eigen arbeid]]=1,Tb_Activiteiten[[#Headers],[Eigen arbeid]],"")))</f>
        <v/>
      </c>
      <c r="AM430" t="str">
        <f>IF(ISNUMBER(FIND("arbeid",Methode_Keuze)),"",IF(ISNUMBER(FIND("arbeid",Methode_Keuze)),"",IF(Tb_Activiteiten[[#This Row],[Projectmedewerker]]=1,Tb_Activiteiten[[#Headers],[Projectmedewerker]],"")))</f>
        <v/>
      </c>
      <c r="AN430" t="str">
        <f>IF(ISNUMBER(FIND("arbeid",Methode_Keuze)),"",IF(ISNUMBER(FIND("arbeid",Methode_Keuze)),"",IF(Tb_Activiteiten[[#This Row],[Landbouwer]]=1,Tb_Activiteiten[[#Headers],[Landbouwer]],"")))</f>
        <v/>
      </c>
      <c r="AO430" t="str">
        <f>IF(ISNUMBER(FIND("arbeid",Methode_Keuze)),"",IF(ISNUMBER(FIND("arbeid",Methode_Keuze)),"",IF(Tb_Activiteiten[[#This Row],[Adviseur]]=1,Tb_Activiteiten[[#Headers],[Adviseur]],"")))</f>
        <v/>
      </c>
      <c r="AP430" t="str">
        <f>IF(ISNUMBER(FIND("arbeid",Methode_Keuze)),"",IF(ISNUMBER(FIND("arbeid",Methode_Keuze)),"",IF(Tb_Activiteiten[[#This Row],[Projectleider/Expert]]=1,Tb_Activiteiten[[#Headers],[Projectleider/Expert]],"")))</f>
        <v/>
      </c>
      <c r="AQ430" t="str">
        <f>IF(ISNUMBER(FIND("arbeid",Methode_Keuze)),"",IF(ISNUMBER(FIND("arbeid",Methode_Keuze)),"",IF(Tb_Activiteiten[[#This Row],[Arbeidskosten]]=1,Tb_Activiteiten[[#Headers],[Arbeidskosten]],"")))</f>
        <v/>
      </c>
      <c r="AR430" t="str">
        <f>IF(ISNUMBER(FIND("arbeid",Methode_Keuze)),"",IF(ISNUMBER(FIND("arbeid",Methode_Keuze)),"",IF(Tb_Activiteiten[[#This Row],[Arbeidskosten op basis van IKS]]=1,Tb_Activiteiten[[#Headers],[Arbeidskosten op basis van IKS]],"")))</f>
        <v/>
      </c>
      <c r="AS430" t="str">
        <f>IF(ISNUMBER(FIND("overige",Methode_Keuze)),"",IF(Tb_Activiteiten[[#This Row],[Kosten derden exclusief btw]]=1,Tb_Activiteiten[[#Headers],[Kosten derden exclusief btw]],""))</f>
        <v/>
      </c>
      <c r="AT430" t="str">
        <f>IF(ISNUMBER(FIND("overige",Methode_Keuze)),"",IF(Tb_Activiteiten[[#This Row],[Niet verrekenbare btw]]=1,Tb_Activiteiten[[#Headers],[Niet verrekenbare btw]],""))</f>
        <v/>
      </c>
      <c r="AU430" t="str">
        <f>IF(ISNUMBER(FIND("overige",Methode_Keuze)),"",IF(Tb_Activiteiten[[#This Row],[Grondkosten]]=1,Tb_Activiteiten[[#Headers],[Grondkosten]],""))</f>
        <v/>
      </c>
      <c r="AV430" t="str">
        <f>IF(ISNUMBER(FIND("overige",Methode_Keuze)),"",IF(Tb_Activiteiten[[#This Row],[Bijdrage in natura (overige)]]=1,Tb_Activiteiten[[#Headers],[Bijdrage in natura (overige)]],""))</f>
        <v/>
      </c>
      <c r="AW430" t="str">
        <f>IF(ISNUMBER(FIND("overige",Methode_Keuze)),"",IF(Tb_Activiteiten[[#This Row],[Bijdrage in natura (vrijwilligers)]]=1,Tb_Activiteiten[[#Headers],[Bijdrage in natura (vrijwilligers)]],""))</f>
        <v/>
      </c>
      <c r="AX430" t="str">
        <f>IF(ISNUMBER(FIND("overige",Methode_Keuze)),"",IF(Tb_Activiteiten[[#This Row],[Afschrijvingskosten]]=1,Tb_Activiteiten[[#Headers],[Afschrijvingskosten]],""))</f>
        <v/>
      </c>
      <c r="AY430" t="str">
        <f>IF(ISNUMBER(FIND("overige",Methode_Keuze)),"",IF(Tb_Activiteiten[[#This Row],[Vergoeding]]=1,Tb_Activiteiten[[#Headers],[Vergoeding]],""))</f>
        <v/>
      </c>
      <c r="AZ430" t="str">
        <f>IF(ISNUMBER(FIND("arbeid",Methode_Keuze)),"",IF(Tb_Activiteiten[[#This Row],[Arbeidskosten - vast tarief (excl eigen arbeid)]]=1,Tb_Activiteiten[[#Headers],[Arbeidskosten - vast tarief (excl eigen arbeid)]],""))</f>
        <v/>
      </c>
      <c r="BA430" t="str">
        <f>IF(ISNUMBER(FIND("overige",Methode_Keuze)),"",IF(Tb_Activiteiten[[#This Row],[Overige kosten]]=1,Tb_Activiteiten[[#Headers],[Overige kosten]],""))</f>
        <v/>
      </c>
    </row>
    <row r="431" spans="1:53" x14ac:dyDescent="0.25">
      <c r="A431" s="231"/>
      <c r="F431" s="64"/>
      <c r="G431" s="64"/>
      <c r="H431" s="275"/>
      <c r="I431" s="275"/>
      <c r="J431" s="275"/>
      <c r="K431" s="275"/>
      <c r="O431" s="56"/>
      <c r="Q431" t="str">
        <f>IFERROR(IF(VLOOKUP(Tb_Activiteiten[[#This Row],[Openstelling]],Tb_Openstelling[],2,0)=1,1,""),"")</f>
        <v/>
      </c>
      <c r="AK431" t="str">
        <f>IF(ISNUMBER(FIND("arbeid",Methode_Keuze)),"",IF(ISNUMBER(FIND("arbeid",Methode_Keuze)),"",IF(Tb_Activiteiten[[#This Row],[Loonkosten]]=1,Tb_Activiteiten[[#Headers],[Loonkosten]],"")))</f>
        <v/>
      </c>
      <c r="AL431" t="str">
        <f>IF(ISNUMBER(FIND("arbeid",Methode_Keuze)),"",IF(ISNUMBER(FIND("arbeid",Methode_Keuze)),"",IF(Tb_Activiteiten[[#This Row],[Eigen arbeid]]=1,Tb_Activiteiten[[#Headers],[Eigen arbeid]],"")))</f>
        <v/>
      </c>
      <c r="AM431" t="str">
        <f>IF(ISNUMBER(FIND("arbeid",Methode_Keuze)),"",IF(ISNUMBER(FIND("arbeid",Methode_Keuze)),"",IF(Tb_Activiteiten[[#This Row],[Projectmedewerker]]=1,Tb_Activiteiten[[#Headers],[Projectmedewerker]],"")))</f>
        <v/>
      </c>
      <c r="AN431" t="str">
        <f>IF(ISNUMBER(FIND("arbeid",Methode_Keuze)),"",IF(ISNUMBER(FIND("arbeid",Methode_Keuze)),"",IF(Tb_Activiteiten[[#This Row],[Landbouwer]]=1,Tb_Activiteiten[[#Headers],[Landbouwer]],"")))</f>
        <v/>
      </c>
      <c r="AO431" t="str">
        <f>IF(ISNUMBER(FIND("arbeid",Methode_Keuze)),"",IF(ISNUMBER(FIND("arbeid",Methode_Keuze)),"",IF(Tb_Activiteiten[[#This Row],[Adviseur]]=1,Tb_Activiteiten[[#Headers],[Adviseur]],"")))</f>
        <v/>
      </c>
      <c r="AP431" t="str">
        <f>IF(ISNUMBER(FIND("arbeid",Methode_Keuze)),"",IF(ISNUMBER(FIND("arbeid",Methode_Keuze)),"",IF(Tb_Activiteiten[[#This Row],[Projectleider/Expert]]=1,Tb_Activiteiten[[#Headers],[Projectleider/Expert]],"")))</f>
        <v/>
      </c>
      <c r="AQ431" t="str">
        <f>IF(ISNUMBER(FIND("arbeid",Methode_Keuze)),"",IF(ISNUMBER(FIND("arbeid",Methode_Keuze)),"",IF(Tb_Activiteiten[[#This Row],[Arbeidskosten]]=1,Tb_Activiteiten[[#Headers],[Arbeidskosten]],"")))</f>
        <v/>
      </c>
      <c r="AR431" t="str">
        <f>IF(ISNUMBER(FIND("arbeid",Methode_Keuze)),"",IF(ISNUMBER(FIND("arbeid",Methode_Keuze)),"",IF(Tb_Activiteiten[[#This Row],[Arbeidskosten op basis van IKS]]=1,Tb_Activiteiten[[#Headers],[Arbeidskosten op basis van IKS]],"")))</f>
        <v/>
      </c>
      <c r="AS431" t="str">
        <f>IF(ISNUMBER(FIND("overige",Methode_Keuze)),"",IF(Tb_Activiteiten[[#This Row],[Kosten derden exclusief btw]]=1,Tb_Activiteiten[[#Headers],[Kosten derden exclusief btw]],""))</f>
        <v/>
      </c>
      <c r="AT431" t="str">
        <f>IF(ISNUMBER(FIND("overige",Methode_Keuze)),"",IF(Tb_Activiteiten[[#This Row],[Niet verrekenbare btw]]=1,Tb_Activiteiten[[#Headers],[Niet verrekenbare btw]],""))</f>
        <v/>
      </c>
      <c r="AU431" t="str">
        <f>IF(ISNUMBER(FIND("overige",Methode_Keuze)),"",IF(Tb_Activiteiten[[#This Row],[Grondkosten]]=1,Tb_Activiteiten[[#Headers],[Grondkosten]],""))</f>
        <v/>
      </c>
      <c r="AV431" t="str">
        <f>IF(ISNUMBER(FIND("overige",Methode_Keuze)),"",IF(Tb_Activiteiten[[#This Row],[Bijdrage in natura (overige)]]=1,Tb_Activiteiten[[#Headers],[Bijdrage in natura (overige)]],""))</f>
        <v/>
      </c>
      <c r="AW431" t="str">
        <f>IF(ISNUMBER(FIND("overige",Methode_Keuze)),"",IF(Tb_Activiteiten[[#This Row],[Bijdrage in natura (vrijwilligers)]]=1,Tb_Activiteiten[[#Headers],[Bijdrage in natura (vrijwilligers)]],""))</f>
        <v/>
      </c>
      <c r="AX431" t="str">
        <f>IF(ISNUMBER(FIND("overige",Methode_Keuze)),"",IF(Tb_Activiteiten[[#This Row],[Afschrijvingskosten]]=1,Tb_Activiteiten[[#Headers],[Afschrijvingskosten]],""))</f>
        <v/>
      </c>
      <c r="AY431" t="str">
        <f>IF(ISNUMBER(FIND("overige",Methode_Keuze)),"",IF(Tb_Activiteiten[[#This Row],[Vergoeding]]=1,Tb_Activiteiten[[#Headers],[Vergoeding]],""))</f>
        <v/>
      </c>
      <c r="AZ431" t="str">
        <f>IF(ISNUMBER(FIND("arbeid",Methode_Keuze)),"",IF(Tb_Activiteiten[[#This Row],[Arbeidskosten - vast tarief (excl eigen arbeid)]]=1,Tb_Activiteiten[[#Headers],[Arbeidskosten - vast tarief (excl eigen arbeid)]],""))</f>
        <v/>
      </c>
      <c r="BA431" t="str">
        <f>IF(ISNUMBER(FIND("overige",Methode_Keuze)),"",IF(Tb_Activiteiten[[#This Row],[Overige kosten]]=1,Tb_Activiteiten[[#Headers],[Overige kosten]],""))</f>
        <v/>
      </c>
    </row>
    <row r="432" spans="1:53" x14ac:dyDescent="0.25">
      <c r="A432" s="231"/>
      <c r="F432" s="64"/>
      <c r="G432" s="64"/>
      <c r="H432" s="275"/>
      <c r="I432" s="275"/>
      <c r="J432" s="275"/>
      <c r="K432" s="275"/>
      <c r="O432" s="56"/>
      <c r="Q432" t="str">
        <f>IFERROR(IF(VLOOKUP(Tb_Activiteiten[[#This Row],[Openstelling]],Tb_Openstelling[],2,0)=1,1,""),"")</f>
        <v/>
      </c>
      <c r="AK432" t="str">
        <f>IF(ISNUMBER(FIND("arbeid",Methode_Keuze)),"",IF(ISNUMBER(FIND("arbeid",Methode_Keuze)),"",IF(Tb_Activiteiten[[#This Row],[Loonkosten]]=1,Tb_Activiteiten[[#Headers],[Loonkosten]],"")))</f>
        <v/>
      </c>
      <c r="AL432" t="str">
        <f>IF(ISNUMBER(FIND("arbeid",Methode_Keuze)),"",IF(ISNUMBER(FIND("arbeid",Methode_Keuze)),"",IF(Tb_Activiteiten[[#This Row],[Eigen arbeid]]=1,Tb_Activiteiten[[#Headers],[Eigen arbeid]],"")))</f>
        <v/>
      </c>
      <c r="AM432" t="str">
        <f>IF(ISNUMBER(FIND("arbeid",Methode_Keuze)),"",IF(ISNUMBER(FIND("arbeid",Methode_Keuze)),"",IF(Tb_Activiteiten[[#This Row],[Projectmedewerker]]=1,Tb_Activiteiten[[#Headers],[Projectmedewerker]],"")))</f>
        <v/>
      </c>
      <c r="AN432" t="str">
        <f>IF(ISNUMBER(FIND("arbeid",Methode_Keuze)),"",IF(ISNUMBER(FIND("arbeid",Methode_Keuze)),"",IF(Tb_Activiteiten[[#This Row],[Landbouwer]]=1,Tb_Activiteiten[[#Headers],[Landbouwer]],"")))</f>
        <v/>
      </c>
      <c r="AO432" t="str">
        <f>IF(ISNUMBER(FIND("arbeid",Methode_Keuze)),"",IF(ISNUMBER(FIND("arbeid",Methode_Keuze)),"",IF(Tb_Activiteiten[[#This Row],[Adviseur]]=1,Tb_Activiteiten[[#Headers],[Adviseur]],"")))</f>
        <v/>
      </c>
      <c r="AP432" t="str">
        <f>IF(ISNUMBER(FIND("arbeid",Methode_Keuze)),"",IF(ISNUMBER(FIND("arbeid",Methode_Keuze)),"",IF(Tb_Activiteiten[[#This Row],[Projectleider/Expert]]=1,Tb_Activiteiten[[#Headers],[Projectleider/Expert]],"")))</f>
        <v/>
      </c>
      <c r="AQ432" t="str">
        <f>IF(ISNUMBER(FIND("arbeid",Methode_Keuze)),"",IF(ISNUMBER(FIND("arbeid",Methode_Keuze)),"",IF(Tb_Activiteiten[[#This Row],[Arbeidskosten]]=1,Tb_Activiteiten[[#Headers],[Arbeidskosten]],"")))</f>
        <v/>
      </c>
      <c r="AR432" t="str">
        <f>IF(ISNUMBER(FIND("arbeid",Methode_Keuze)),"",IF(ISNUMBER(FIND("arbeid",Methode_Keuze)),"",IF(Tb_Activiteiten[[#This Row],[Arbeidskosten op basis van IKS]]=1,Tb_Activiteiten[[#Headers],[Arbeidskosten op basis van IKS]],"")))</f>
        <v/>
      </c>
      <c r="AS432" t="str">
        <f>IF(ISNUMBER(FIND("overige",Methode_Keuze)),"",IF(Tb_Activiteiten[[#This Row],[Kosten derden exclusief btw]]=1,Tb_Activiteiten[[#Headers],[Kosten derden exclusief btw]],""))</f>
        <v/>
      </c>
      <c r="AT432" t="str">
        <f>IF(ISNUMBER(FIND("overige",Methode_Keuze)),"",IF(Tb_Activiteiten[[#This Row],[Niet verrekenbare btw]]=1,Tb_Activiteiten[[#Headers],[Niet verrekenbare btw]],""))</f>
        <v/>
      </c>
      <c r="AU432" t="str">
        <f>IF(ISNUMBER(FIND("overige",Methode_Keuze)),"",IF(Tb_Activiteiten[[#This Row],[Grondkosten]]=1,Tb_Activiteiten[[#Headers],[Grondkosten]],""))</f>
        <v/>
      </c>
      <c r="AV432" t="str">
        <f>IF(ISNUMBER(FIND("overige",Methode_Keuze)),"",IF(Tb_Activiteiten[[#This Row],[Bijdrage in natura (overige)]]=1,Tb_Activiteiten[[#Headers],[Bijdrage in natura (overige)]],""))</f>
        <v/>
      </c>
      <c r="AW432" t="str">
        <f>IF(ISNUMBER(FIND("overige",Methode_Keuze)),"",IF(Tb_Activiteiten[[#This Row],[Bijdrage in natura (vrijwilligers)]]=1,Tb_Activiteiten[[#Headers],[Bijdrage in natura (vrijwilligers)]],""))</f>
        <v/>
      </c>
      <c r="AX432" t="str">
        <f>IF(ISNUMBER(FIND("overige",Methode_Keuze)),"",IF(Tb_Activiteiten[[#This Row],[Afschrijvingskosten]]=1,Tb_Activiteiten[[#Headers],[Afschrijvingskosten]],""))</f>
        <v/>
      </c>
      <c r="AY432" t="str">
        <f>IF(ISNUMBER(FIND("overige",Methode_Keuze)),"",IF(Tb_Activiteiten[[#This Row],[Vergoeding]]=1,Tb_Activiteiten[[#Headers],[Vergoeding]],""))</f>
        <v/>
      </c>
      <c r="AZ432" t="str">
        <f>IF(ISNUMBER(FIND("arbeid",Methode_Keuze)),"",IF(Tb_Activiteiten[[#This Row],[Arbeidskosten - vast tarief (excl eigen arbeid)]]=1,Tb_Activiteiten[[#Headers],[Arbeidskosten - vast tarief (excl eigen arbeid)]],""))</f>
        <v/>
      </c>
      <c r="BA432" t="str">
        <f>IF(ISNUMBER(FIND("overige",Methode_Keuze)),"",IF(Tb_Activiteiten[[#This Row],[Overige kosten]]=1,Tb_Activiteiten[[#Headers],[Overige kosten]],""))</f>
        <v/>
      </c>
    </row>
    <row r="433" spans="1:53" x14ac:dyDescent="0.25">
      <c r="A433" s="231"/>
      <c r="F433" s="64"/>
      <c r="G433" s="64"/>
      <c r="H433" s="275"/>
      <c r="I433" s="275"/>
      <c r="J433" s="275"/>
      <c r="K433" s="275"/>
      <c r="O433" s="56"/>
      <c r="Q433" t="str">
        <f>IFERROR(IF(VLOOKUP(Tb_Activiteiten[[#This Row],[Openstelling]],Tb_Openstelling[],2,0)=1,1,""),"")</f>
        <v/>
      </c>
      <c r="AK433" t="str">
        <f>IF(ISNUMBER(FIND("arbeid",Methode_Keuze)),"",IF(ISNUMBER(FIND("arbeid",Methode_Keuze)),"",IF(Tb_Activiteiten[[#This Row],[Loonkosten]]=1,Tb_Activiteiten[[#Headers],[Loonkosten]],"")))</f>
        <v/>
      </c>
      <c r="AL433" t="str">
        <f>IF(ISNUMBER(FIND("arbeid",Methode_Keuze)),"",IF(ISNUMBER(FIND("arbeid",Methode_Keuze)),"",IF(Tb_Activiteiten[[#This Row],[Eigen arbeid]]=1,Tb_Activiteiten[[#Headers],[Eigen arbeid]],"")))</f>
        <v/>
      </c>
      <c r="AM433" t="str">
        <f>IF(ISNUMBER(FIND("arbeid",Methode_Keuze)),"",IF(ISNUMBER(FIND("arbeid",Methode_Keuze)),"",IF(Tb_Activiteiten[[#This Row],[Projectmedewerker]]=1,Tb_Activiteiten[[#Headers],[Projectmedewerker]],"")))</f>
        <v/>
      </c>
      <c r="AN433" t="str">
        <f>IF(ISNUMBER(FIND("arbeid",Methode_Keuze)),"",IF(ISNUMBER(FIND("arbeid",Methode_Keuze)),"",IF(Tb_Activiteiten[[#This Row],[Landbouwer]]=1,Tb_Activiteiten[[#Headers],[Landbouwer]],"")))</f>
        <v/>
      </c>
      <c r="AO433" t="str">
        <f>IF(ISNUMBER(FIND("arbeid",Methode_Keuze)),"",IF(ISNUMBER(FIND("arbeid",Methode_Keuze)),"",IF(Tb_Activiteiten[[#This Row],[Adviseur]]=1,Tb_Activiteiten[[#Headers],[Adviseur]],"")))</f>
        <v/>
      </c>
      <c r="AP433" t="str">
        <f>IF(ISNUMBER(FIND("arbeid",Methode_Keuze)),"",IF(ISNUMBER(FIND("arbeid",Methode_Keuze)),"",IF(Tb_Activiteiten[[#This Row],[Projectleider/Expert]]=1,Tb_Activiteiten[[#Headers],[Projectleider/Expert]],"")))</f>
        <v/>
      </c>
      <c r="AQ433" t="str">
        <f>IF(ISNUMBER(FIND("arbeid",Methode_Keuze)),"",IF(ISNUMBER(FIND("arbeid",Methode_Keuze)),"",IF(Tb_Activiteiten[[#This Row],[Arbeidskosten]]=1,Tb_Activiteiten[[#Headers],[Arbeidskosten]],"")))</f>
        <v/>
      </c>
      <c r="AR433" t="str">
        <f>IF(ISNUMBER(FIND("arbeid",Methode_Keuze)),"",IF(ISNUMBER(FIND("arbeid",Methode_Keuze)),"",IF(Tb_Activiteiten[[#This Row],[Arbeidskosten op basis van IKS]]=1,Tb_Activiteiten[[#Headers],[Arbeidskosten op basis van IKS]],"")))</f>
        <v/>
      </c>
      <c r="AS433" t="str">
        <f>IF(ISNUMBER(FIND("overige",Methode_Keuze)),"",IF(Tb_Activiteiten[[#This Row],[Kosten derden exclusief btw]]=1,Tb_Activiteiten[[#Headers],[Kosten derden exclusief btw]],""))</f>
        <v/>
      </c>
      <c r="AT433" t="str">
        <f>IF(ISNUMBER(FIND("overige",Methode_Keuze)),"",IF(Tb_Activiteiten[[#This Row],[Niet verrekenbare btw]]=1,Tb_Activiteiten[[#Headers],[Niet verrekenbare btw]],""))</f>
        <v/>
      </c>
      <c r="AU433" t="str">
        <f>IF(ISNUMBER(FIND("overige",Methode_Keuze)),"",IF(Tb_Activiteiten[[#This Row],[Grondkosten]]=1,Tb_Activiteiten[[#Headers],[Grondkosten]],""))</f>
        <v/>
      </c>
      <c r="AV433" t="str">
        <f>IF(ISNUMBER(FIND("overige",Methode_Keuze)),"",IF(Tb_Activiteiten[[#This Row],[Bijdrage in natura (overige)]]=1,Tb_Activiteiten[[#Headers],[Bijdrage in natura (overige)]],""))</f>
        <v/>
      </c>
      <c r="AW433" t="str">
        <f>IF(ISNUMBER(FIND("overige",Methode_Keuze)),"",IF(Tb_Activiteiten[[#This Row],[Bijdrage in natura (vrijwilligers)]]=1,Tb_Activiteiten[[#Headers],[Bijdrage in natura (vrijwilligers)]],""))</f>
        <v/>
      </c>
      <c r="AX433" t="str">
        <f>IF(ISNUMBER(FIND("overige",Methode_Keuze)),"",IF(Tb_Activiteiten[[#This Row],[Afschrijvingskosten]]=1,Tb_Activiteiten[[#Headers],[Afschrijvingskosten]],""))</f>
        <v/>
      </c>
      <c r="AY433" t="str">
        <f>IF(ISNUMBER(FIND("overige",Methode_Keuze)),"",IF(Tb_Activiteiten[[#This Row],[Vergoeding]]=1,Tb_Activiteiten[[#Headers],[Vergoeding]],""))</f>
        <v/>
      </c>
      <c r="AZ433" t="str">
        <f>IF(ISNUMBER(FIND("arbeid",Methode_Keuze)),"",IF(Tb_Activiteiten[[#This Row],[Arbeidskosten - vast tarief (excl eigen arbeid)]]=1,Tb_Activiteiten[[#Headers],[Arbeidskosten - vast tarief (excl eigen arbeid)]],""))</f>
        <v/>
      </c>
      <c r="BA433" t="str">
        <f>IF(ISNUMBER(FIND("overige",Methode_Keuze)),"",IF(Tb_Activiteiten[[#This Row],[Overige kosten]]=1,Tb_Activiteiten[[#Headers],[Overige kosten]],""))</f>
        <v/>
      </c>
    </row>
    <row r="434" spans="1:53" x14ac:dyDescent="0.25">
      <c r="A434" s="231"/>
      <c r="F434" s="64"/>
      <c r="G434" s="64"/>
      <c r="H434" s="275"/>
      <c r="I434" s="275"/>
      <c r="J434" s="275"/>
      <c r="K434" s="275"/>
      <c r="O434" s="56"/>
      <c r="Q434" t="str">
        <f>IFERROR(IF(VLOOKUP(Tb_Activiteiten[[#This Row],[Openstelling]],Tb_Openstelling[],2,0)=1,1,""),"")</f>
        <v/>
      </c>
      <c r="AK434" t="str">
        <f>IF(ISNUMBER(FIND("arbeid",Methode_Keuze)),"",IF(ISNUMBER(FIND("arbeid",Methode_Keuze)),"",IF(Tb_Activiteiten[[#This Row],[Loonkosten]]=1,Tb_Activiteiten[[#Headers],[Loonkosten]],"")))</f>
        <v/>
      </c>
      <c r="AL434" t="str">
        <f>IF(ISNUMBER(FIND("arbeid",Methode_Keuze)),"",IF(ISNUMBER(FIND("arbeid",Methode_Keuze)),"",IF(Tb_Activiteiten[[#This Row],[Eigen arbeid]]=1,Tb_Activiteiten[[#Headers],[Eigen arbeid]],"")))</f>
        <v/>
      </c>
      <c r="AM434" t="str">
        <f>IF(ISNUMBER(FIND("arbeid",Methode_Keuze)),"",IF(ISNUMBER(FIND("arbeid",Methode_Keuze)),"",IF(Tb_Activiteiten[[#This Row],[Projectmedewerker]]=1,Tb_Activiteiten[[#Headers],[Projectmedewerker]],"")))</f>
        <v/>
      </c>
      <c r="AN434" t="str">
        <f>IF(ISNUMBER(FIND("arbeid",Methode_Keuze)),"",IF(ISNUMBER(FIND("arbeid",Methode_Keuze)),"",IF(Tb_Activiteiten[[#This Row],[Landbouwer]]=1,Tb_Activiteiten[[#Headers],[Landbouwer]],"")))</f>
        <v/>
      </c>
      <c r="AO434" t="str">
        <f>IF(ISNUMBER(FIND("arbeid",Methode_Keuze)),"",IF(ISNUMBER(FIND("arbeid",Methode_Keuze)),"",IF(Tb_Activiteiten[[#This Row],[Adviseur]]=1,Tb_Activiteiten[[#Headers],[Adviseur]],"")))</f>
        <v/>
      </c>
      <c r="AP434" t="str">
        <f>IF(ISNUMBER(FIND("arbeid",Methode_Keuze)),"",IF(ISNUMBER(FIND("arbeid",Methode_Keuze)),"",IF(Tb_Activiteiten[[#This Row],[Projectleider/Expert]]=1,Tb_Activiteiten[[#Headers],[Projectleider/Expert]],"")))</f>
        <v/>
      </c>
      <c r="AQ434" t="str">
        <f>IF(ISNUMBER(FIND("arbeid",Methode_Keuze)),"",IF(ISNUMBER(FIND("arbeid",Methode_Keuze)),"",IF(Tb_Activiteiten[[#This Row],[Arbeidskosten]]=1,Tb_Activiteiten[[#Headers],[Arbeidskosten]],"")))</f>
        <v/>
      </c>
      <c r="AR434" t="str">
        <f>IF(ISNUMBER(FIND("arbeid",Methode_Keuze)),"",IF(ISNUMBER(FIND("arbeid",Methode_Keuze)),"",IF(Tb_Activiteiten[[#This Row],[Arbeidskosten op basis van IKS]]=1,Tb_Activiteiten[[#Headers],[Arbeidskosten op basis van IKS]],"")))</f>
        <v/>
      </c>
      <c r="AS434" t="str">
        <f>IF(ISNUMBER(FIND("overige",Methode_Keuze)),"",IF(Tb_Activiteiten[[#This Row],[Kosten derden exclusief btw]]=1,Tb_Activiteiten[[#Headers],[Kosten derden exclusief btw]],""))</f>
        <v/>
      </c>
      <c r="AT434" t="str">
        <f>IF(ISNUMBER(FIND("overige",Methode_Keuze)),"",IF(Tb_Activiteiten[[#This Row],[Niet verrekenbare btw]]=1,Tb_Activiteiten[[#Headers],[Niet verrekenbare btw]],""))</f>
        <v/>
      </c>
      <c r="AU434" t="str">
        <f>IF(ISNUMBER(FIND("overige",Methode_Keuze)),"",IF(Tb_Activiteiten[[#This Row],[Grondkosten]]=1,Tb_Activiteiten[[#Headers],[Grondkosten]],""))</f>
        <v/>
      </c>
      <c r="AV434" t="str">
        <f>IF(ISNUMBER(FIND("overige",Methode_Keuze)),"",IF(Tb_Activiteiten[[#This Row],[Bijdrage in natura (overige)]]=1,Tb_Activiteiten[[#Headers],[Bijdrage in natura (overige)]],""))</f>
        <v/>
      </c>
      <c r="AW434" t="str">
        <f>IF(ISNUMBER(FIND("overige",Methode_Keuze)),"",IF(Tb_Activiteiten[[#This Row],[Bijdrage in natura (vrijwilligers)]]=1,Tb_Activiteiten[[#Headers],[Bijdrage in natura (vrijwilligers)]],""))</f>
        <v/>
      </c>
      <c r="AX434" t="str">
        <f>IF(ISNUMBER(FIND("overige",Methode_Keuze)),"",IF(Tb_Activiteiten[[#This Row],[Afschrijvingskosten]]=1,Tb_Activiteiten[[#Headers],[Afschrijvingskosten]],""))</f>
        <v/>
      </c>
      <c r="AY434" t="str">
        <f>IF(ISNUMBER(FIND("overige",Methode_Keuze)),"",IF(Tb_Activiteiten[[#This Row],[Vergoeding]]=1,Tb_Activiteiten[[#Headers],[Vergoeding]],""))</f>
        <v/>
      </c>
      <c r="AZ434" t="str">
        <f>IF(ISNUMBER(FIND("arbeid",Methode_Keuze)),"",IF(Tb_Activiteiten[[#This Row],[Arbeidskosten - vast tarief (excl eigen arbeid)]]=1,Tb_Activiteiten[[#Headers],[Arbeidskosten - vast tarief (excl eigen arbeid)]],""))</f>
        <v/>
      </c>
      <c r="BA434" t="str">
        <f>IF(ISNUMBER(FIND("overige",Methode_Keuze)),"",IF(Tb_Activiteiten[[#This Row],[Overige kosten]]=1,Tb_Activiteiten[[#Headers],[Overige kosten]],""))</f>
        <v/>
      </c>
    </row>
    <row r="435" spans="1:53" x14ac:dyDescent="0.25">
      <c r="A435" s="231"/>
      <c r="F435" s="64"/>
      <c r="G435" s="64"/>
      <c r="H435" s="275"/>
      <c r="I435" s="275"/>
      <c r="J435" s="275"/>
      <c r="K435" s="275"/>
      <c r="O435" s="56"/>
      <c r="Q435" t="str">
        <f>IFERROR(IF(VLOOKUP(Tb_Activiteiten[[#This Row],[Openstelling]],Tb_Openstelling[],2,0)=1,1,""),"")</f>
        <v/>
      </c>
      <c r="AK435" t="str">
        <f>IF(ISNUMBER(FIND("arbeid",Methode_Keuze)),"",IF(ISNUMBER(FIND("arbeid",Methode_Keuze)),"",IF(Tb_Activiteiten[[#This Row],[Loonkosten]]=1,Tb_Activiteiten[[#Headers],[Loonkosten]],"")))</f>
        <v/>
      </c>
      <c r="AL435" t="str">
        <f>IF(ISNUMBER(FIND("arbeid",Methode_Keuze)),"",IF(ISNUMBER(FIND("arbeid",Methode_Keuze)),"",IF(Tb_Activiteiten[[#This Row],[Eigen arbeid]]=1,Tb_Activiteiten[[#Headers],[Eigen arbeid]],"")))</f>
        <v/>
      </c>
      <c r="AM435" t="str">
        <f>IF(ISNUMBER(FIND("arbeid",Methode_Keuze)),"",IF(ISNUMBER(FIND("arbeid",Methode_Keuze)),"",IF(Tb_Activiteiten[[#This Row],[Projectmedewerker]]=1,Tb_Activiteiten[[#Headers],[Projectmedewerker]],"")))</f>
        <v/>
      </c>
      <c r="AN435" t="str">
        <f>IF(ISNUMBER(FIND("arbeid",Methode_Keuze)),"",IF(ISNUMBER(FIND("arbeid",Methode_Keuze)),"",IF(Tb_Activiteiten[[#This Row],[Landbouwer]]=1,Tb_Activiteiten[[#Headers],[Landbouwer]],"")))</f>
        <v/>
      </c>
      <c r="AO435" t="str">
        <f>IF(ISNUMBER(FIND("arbeid",Methode_Keuze)),"",IF(ISNUMBER(FIND("arbeid",Methode_Keuze)),"",IF(Tb_Activiteiten[[#This Row],[Adviseur]]=1,Tb_Activiteiten[[#Headers],[Adviseur]],"")))</f>
        <v/>
      </c>
      <c r="AP435" t="str">
        <f>IF(ISNUMBER(FIND("arbeid",Methode_Keuze)),"",IF(ISNUMBER(FIND("arbeid",Methode_Keuze)),"",IF(Tb_Activiteiten[[#This Row],[Projectleider/Expert]]=1,Tb_Activiteiten[[#Headers],[Projectleider/Expert]],"")))</f>
        <v/>
      </c>
      <c r="AQ435" t="str">
        <f>IF(ISNUMBER(FIND("arbeid",Methode_Keuze)),"",IF(ISNUMBER(FIND("arbeid",Methode_Keuze)),"",IF(Tb_Activiteiten[[#This Row],[Arbeidskosten]]=1,Tb_Activiteiten[[#Headers],[Arbeidskosten]],"")))</f>
        <v/>
      </c>
      <c r="AR435" t="str">
        <f>IF(ISNUMBER(FIND("arbeid",Methode_Keuze)),"",IF(ISNUMBER(FIND("arbeid",Methode_Keuze)),"",IF(Tb_Activiteiten[[#This Row],[Arbeidskosten op basis van IKS]]=1,Tb_Activiteiten[[#Headers],[Arbeidskosten op basis van IKS]],"")))</f>
        <v/>
      </c>
      <c r="AS435" t="str">
        <f>IF(ISNUMBER(FIND("overige",Methode_Keuze)),"",IF(Tb_Activiteiten[[#This Row],[Kosten derden exclusief btw]]=1,Tb_Activiteiten[[#Headers],[Kosten derden exclusief btw]],""))</f>
        <v/>
      </c>
      <c r="AT435" t="str">
        <f>IF(ISNUMBER(FIND("overige",Methode_Keuze)),"",IF(Tb_Activiteiten[[#This Row],[Niet verrekenbare btw]]=1,Tb_Activiteiten[[#Headers],[Niet verrekenbare btw]],""))</f>
        <v/>
      </c>
      <c r="AU435" t="str">
        <f>IF(ISNUMBER(FIND("overige",Methode_Keuze)),"",IF(Tb_Activiteiten[[#This Row],[Grondkosten]]=1,Tb_Activiteiten[[#Headers],[Grondkosten]],""))</f>
        <v/>
      </c>
      <c r="AV435" t="str">
        <f>IF(ISNUMBER(FIND("overige",Methode_Keuze)),"",IF(Tb_Activiteiten[[#This Row],[Bijdrage in natura (overige)]]=1,Tb_Activiteiten[[#Headers],[Bijdrage in natura (overige)]],""))</f>
        <v/>
      </c>
      <c r="AW435" t="str">
        <f>IF(ISNUMBER(FIND("overige",Methode_Keuze)),"",IF(Tb_Activiteiten[[#This Row],[Bijdrage in natura (vrijwilligers)]]=1,Tb_Activiteiten[[#Headers],[Bijdrage in natura (vrijwilligers)]],""))</f>
        <v/>
      </c>
      <c r="AX435" t="str">
        <f>IF(ISNUMBER(FIND("overige",Methode_Keuze)),"",IF(Tb_Activiteiten[[#This Row],[Afschrijvingskosten]]=1,Tb_Activiteiten[[#Headers],[Afschrijvingskosten]],""))</f>
        <v/>
      </c>
      <c r="AY435" t="str">
        <f>IF(ISNUMBER(FIND("overige",Methode_Keuze)),"",IF(Tb_Activiteiten[[#This Row],[Vergoeding]]=1,Tb_Activiteiten[[#Headers],[Vergoeding]],""))</f>
        <v/>
      </c>
      <c r="AZ435" t="str">
        <f>IF(ISNUMBER(FIND("arbeid",Methode_Keuze)),"",IF(Tb_Activiteiten[[#This Row],[Arbeidskosten - vast tarief (excl eigen arbeid)]]=1,Tb_Activiteiten[[#Headers],[Arbeidskosten - vast tarief (excl eigen arbeid)]],""))</f>
        <v/>
      </c>
      <c r="BA435" t="str">
        <f>IF(ISNUMBER(FIND("overige",Methode_Keuze)),"",IF(Tb_Activiteiten[[#This Row],[Overige kosten]]=1,Tb_Activiteiten[[#Headers],[Overige kosten]],""))</f>
        <v/>
      </c>
    </row>
    <row r="436" spans="1:53" x14ac:dyDescent="0.25">
      <c r="A436" s="231"/>
      <c r="F436" s="64"/>
      <c r="G436" s="64"/>
      <c r="H436" s="275"/>
      <c r="I436" s="275"/>
      <c r="J436" s="275"/>
      <c r="K436" s="275"/>
      <c r="O436" s="56"/>
      <c r="Q436" t="str">
        <f>IFERROR(IF(VLOOKUP(Tb_Activiteiten[[#This Row],[Openstelling]],Tb_Openstelling[],2,0)=1,1,""),"")</f>
        <v/>
      </c>
      <c r="AK436" t="str">
        <f>IF(ISNUMBER(FIND("arbeid",Methode_Keuze)),"",IF(ISNUMBER(FIND("arbeid",Methode_Keuze)),"",IF(Tb_Activiteiten[[#This Row],[Loonkosten]]=1,Tb_Activiteiten[[#Headers],[Loonkosten]],"")))</f>
        <v/>
      </c>
      <c r="AL436" t="str">
        <f>IF(ISNUMBER(FIND("arbeid",Methode_Keuze)),"",IF(ISNUMBER(FIND("arbeid",Methode_Keuze)),"",IF(Tb_Activiteiten[[#This Row],[Eigen arbeid]]=1,Tb_Activiteiten[[#Headers],[Eigen arbeid]],"")))</f>
        <v/>
      </c>
      <c r="AM436" t="str">
        <f>IF(ISNUMBER(FIND("arbeid",Methode_Keuze)),"",IF(ISNUMBER(FIND("arbeid",Methode_Keuze)),"",IF(Tb_Activiteiten[[#This Row],[Projectmedewerker]]=1,Tb_Activiteiten[[#Headers],[Projectmedewerker]],"")))</f>
        <v/>
      </c>
      <c r="AN436" t="str">
        <f>IF(ISNUMBER(FIND("arbeid",Methode_Keuze)),"",IF(ISNUMBER(FIND("arbeid",Methode_Keuze)),"",IF(Tb_Activiteiten[[#This Row],[Landbouwer]]=1,Tb_Activiteiten[[#Headers],[Landbouwer]],"")))</f>
        <v/>
      </c>
      <c r="AO436" t="str">
        <f>IF(ISNUMBER(FIND("arbeid",Methode_Keuze)),"",IF(ISNUMBER(FIND("arbeid",Methode_Keuze)),"",IF(Tb_Activiteiten[[#This Row],[Adviseur]]=1,Tb_Activiteiten[[#Headers],[Adviseur]],"")))</f>
        <v/>
      </c>
      <c r="AP436" t="str">
        <f>IF(ISNUMBER(FIND("arbeid",Methode_Keuze)),"",IF(ISNUMBER(FIND("arbeid",Methode_Keuze)),"",IF(Tb_Activiteiten[[#This Row],[Projectleider/Expert]]=1,Tb_Activiteiten[[#Headers],[Projectleider/Expert]],"")))</f>
        <v/>
      </c>
      <c r="AQ436" t="str">
        <f>IF(ISNUMBER(FIND("arbeid",Methode_Keuze)),"",IF(ISNUMBER(FIND("arbeid",Methode_Keuze)),"",IF(Tb_Activiteiten[[#This Row],[Arbeidskosten]]=1,Tb_Activiteiten[[#Headers],[Arbeidskosten]],"")))</f>
        <v/>
      </c>
      <c r="AR436" t="str">
        <f>IF(ISNUMBER(FIND("arbeid",Methode_Keuze)),"",IF(ISNUMBER(FIND("arbeid",Methode_Keuze)),"",IF(Tb_Activiteiten[[#This Row],[Arbeidskosten op basis van IKS]]=1,Tb_Activiteiten[[#Headers],[Arbeidskosten op basis van IKS]],"")))</f>
        <v/>
      </c>
      <c r="AS436" t="str">
        <f>IF(ISNUMBER(FIND("overige",Methode_Keuze)),"",IF(Tb_Activiteiten[[#This Row],[Kosten derden exclusief btw]]=1,Tb_Activiteiten[[#Headers],[Kosten derden exclusief btw]],""))</f>
        <v/>
      </c>
      <c r="AT436" t="str">
        <f>IF(ISNUMBER(FIND("overige",Methode_Keuze)),"",IF(Tb_Activiteiten[[#This Row],[Niet verrekenbare btw]]=1,Tb_Activiteiten[[#Headers],[Niet verrekenbare btw]],""))</f>
        <v/>
      </c>
      <c r="AU436" t="str">
        <f>IF(ISNUMBER(FIND("overige",Methode_Keuze)),"",IF(Tb_Activiteiten[[#This Row],[Grondkosten]]=1,Tb_Activiteiten[[#Headers],[Grondkosten]],""))</f>
        <v/>
      </c>
      <c r="AV436" t="str">
        <f>IF(ISNUMBER(FIND("overige",Methode_Keuze)),"",IF(Tb_Activiteiten[[#This Row],[Bijdrage in natura (overige)]]=1,Tb_Activiteiten[[#Headers],[Bijdrage in natura (overige)]],""))</f>
        <v/>
      </c>
      <c r="AW436" t="str">
        <f>IF(ISNUMBER(FIND("overige",Methode_Keuze)),"",IF(Tb_Activiteiten[[#This Row],[Bijdrage in natura (vrijwilligers)]]=1,Tb_Activiteiten[[#Headers],[Bijdrage in natura (vrijwilligers)]],""))</f>
        <v/>
      </c>
      <c r="AX436" t="str">
        <f>IF(ISNUMBER(FIND("overige",Methode_Keuze)),"",IF(Tb_Activiteiten[[#This Row],[Afschrijvingskosten]]=1,Tb_Activiteiten[[#Headers],[Afschrijvingskosten]],""))</f>
        <v/>
      </c>
      <c r="AY436" t="str">
        <f>IF(ISNUMBER(FIND("overige",Methode_Keuze)),"",IF(Tb_Activiteiten[[#This Row],[Vergoeding]]=1,Tb_Activiteiten[[#Headers],[Vergoeding]],""))</f>
        <v/>
      </c>
      <c r="AZ436" t="str">
        <f>IF(ISNUMBER(FIND("arbeid",Methode_Keuze)),"",IF(Tb_Activiteiten[[#This Row],[Arbeidskosten - vast tarief (excl eigen arbeid)]]=1,Tb_Activiteiten[[#Headers],[Arbeidskosten - vast tarief (excl eigen arbeid)]],""))</f>
        <v/>
      </c>
      <c r="BA436" t="str">
        <f>IF(ISNUMBER(FIND("overige",Methode_Keuze)),"",IF(Tb_Activiteiten[[#This Row],[Overige kosten]]=1,Tb_Activiteiten[[#Headers],[Overige kosten]],""))</f>
        <v/>
      </c>
    </row>
    <row r="437" spans="1:53" x14ac:dyDescent="0.25">
      <c r="A437" s="231"/>
      <c r="F437" s="64"/>
      <c r="G437" s="64"/>
      <c r="H437" s="275"/>
      <c r="I437" s="275"/>
      <c r="J437" s="275"/>
      <c r="K437" s="275"/>
      <c r="O437" s="56"/>
      <c r="Q437" t="str">
        <f>IFERROR(IF(VLOOKUP(Tb_Activiteiten[[#This Row],[Openstelling]],Tb_Openstelling[],2,0)=1,1,""),"")</f>
        <v/>
      </c>
      <c r="AK437" t="str">
        <f>IF(ISNUMBER(FIND("arbeid",Methode_Keuze)),"",IF(ISNUMBER(FIND("arbeid",Methode_Keuze)),"",IF(Tb_Activiteiten[[#This Row],[Loonkosten]]=1,Tb_Activiteiten[[#Headers],[Loonkosten]],"")))</f>
        <v/>
      </c>
      <c r="AL437" t="str">
        <f>IF(ISNUMBER(FIND("arbeid",Methode_Keuze)),"",IF(ISNUMBER(FIND("arbeid",Methode_Keuze)),"",IF(Tb_Activiteiten[[#This Row],[Eigen arbeid]]=1,Tb_Activiteiten[[#Headers],[Eigen arbeid]],"")))</f>
        <v/>
      </c>
      <c r="AM437" t="str">
        <f>IF(ISNUMBER(FIND("arbeid",Methode_Keuze)),"",IF(ISNUMBER(FIND("arbeid",Methode_Keuze)),"",IF(Tb_Activiteiten[[#This Row],[Projectmedewerker]]=1,Tb_Activiteiten[[#Headers],[Projectmedewerker]],"")))</f>
        <v/>
      </c>
      <c r="AN437" t="str">
        <f>IF(ISNUMBER(FIND("arbeid",Methode_Keuze)),"",IF(ISNUMBER(FIND("arbeid",Methode_Keuze)),"",IF(Tb_Activiteiten[[#This Row],[Landbouwer]]=1,Tb_Activiteiten[[#Headers],[Landbouwer]],"")))</f>
        <v/>
      </c>
      <c r="AO437" t="str">
        <f>IF(ISNUMBER(FIND("arbeid",Methode_Keuze)),"",IF(ISNUMBER(FIND("arbeid",Methode_Keuze)),"",IF(Tb_Activiteiten[[#This Row],[Adviseur]]=1,Tb_Activiteiten[[#Headers],[Adviseur]],"")))</f>
        <v/>
      </c>
      <c r="AP437" t="str">
        <f>IF(ISNUMBER(FIND("arbeid",Methode_Keuze)),"",IF(ISNUMBER(FIND("arbeid",Methode_Keuze)),"",IF(Tb_Activiteiten[[#This Row],[Projectleider/Expert]]=1,Tb_Activiteiten[[#Headers],[Projectleider/Expert]],"")))</f>
        <v/>
      </c>
      <c r="AQ437" t="str">
        <f>IF(ISNUMBER(FIND("arbeid",Methode_Keuze)),"",IF(ISNUMBER(FIND("arbeid",Methode_Keuze)),"",IF(Tb_Activiteiten[[#This Row],[Arbeidskosten]]=1,Tb_Activiteiten[[#Headers],[Arbeidskosten]],"")))</f>
        <v/>
      </c>
      <c r="AR437" t="str">
        <f>IF(ISNUMBER(FIND("arbeid",Methode_Keuze)),"",IF(ISNUMBER(FIND("arbeid",Methode_Keuze)),"",IF(Tb_Activiteiten[[#This Row],[Arbeidskosten op basis van IKS]]=1,Tb_Activiteiten[[#Headers],[Arbeidskosten op basis van IKS]],"")))</f>
        <v/>
      </c>
      <c r="AS437" t="str">
        <f>IF(ISNUMBER(FIND("overige",Methode_Keuze)),"",IF(Tb_Activiteiten[[#This Row],[Kosten derden exclusief btw]]=1,Tb_Activiteiten[[#Headers],[Kosten derden exclusief btw]],""))</f>
        <v/>
      </c>
      <c r="AT437" t="str">
        <f>IF(ISNUMBER(FIND("overige",Methode_Keuze)),"",IF(Tb_Activiteiten[[#This Row],[Niet verrekenbare btw]]=1,Tb_Activiteiten[[#Headers],[Niet verrekenbare btw]],""))</f>
        <v/>
      </c>
      <c r="AU437" t="str">
        <f>IF(ISNUMBER(FIND("overige",Methode_Keuze)),"",IF(Tb_Activiteiten[[#This Row],[Grondkosten]]=1,Tb_Activiteiten[[#Headers],[Grondkosten]],""))</f>
        <v/>
      </c>
      <c r="AV437" t="str">
        <f>IF(ISNUMBER(FIND("overige",Methode_Keuze)),"",IF(Tb_Activiteiten[[#This Row],[Bijdrage in natura (overige)]]=1,Tb_Activiteiten[[#Headers],[Bijdrage in natura (overige)]],""))</f>
        <v/>
      </c>
      <c r="AW437" t="str">
        <f>IF(ISNUMBER(FIND("overige",Methode_Keuze)),"",IF(Tb_Activiteiten[[#This Row],[Bijdrage in natura (vrijwilligers)]]=1,Tb_Activiteiten[[#Headers],[Bijdrage in natura (vrijwilligers)]],""))</f>
        <v/>
      </c>
      <c r="AX437" t="str">
        <f>IF(ISNUMBER(FIND("overige",Methode_Keuze)),"",IF(Tb_Activiteiten[[#This Row],[Afschrijvingskosten]]=1,Tb_Activiteiten[[#Headers],[Afschrijvingskosten]],""))</f>
        <v/>
      </c>
      <c r="AY437" t="str">
        <f>IF(ISNUMBER(FIND("overige",Methode_Keuze)),"",IF(Tb_Activiteiten[[#This Row],[Vergoeding]]=1,Tb_Activiteiten[[#Headers],[Vergoeding]],""))</f>
        <v/>
      </c>
      <c r="AZ437" t="str">
        <f>IF(ISNUMBER(FIND("arbeid",Methode_Keuze)),"",IF(Tb_Activiteiten[[#This Row],[Arbeidskosten - vast tarief (excl eigen arbeid)]]=1,Tb_Activiteiten[[#Headers],[Arbeidskosten - vast tarief (excl eigen arbeid)]],""))</f>
        <v/>
      </c>
      <c r="BA437" t="str">
        <f>IF(ISNUMBER(FIND("overige",Methode_Keuze)),"",IF(Tb_Activiteiten[[#This Row],[Overige kosten]]=1,Tb_Activiteiten[[#Headers],[Overige kosten]],""))</f>
        <v/>
      </c>
    </row>
    <row r="438" spans="1:53" x14ac:dyDescent="0.25">
      <c r="A438" s="231"/>
      <c r="F438" s="64"/>
      <c r="G438" s="64"/>
      <c r="H438" s="275"/>
      <c r="I438" s="275"/>
      <c r="J438" s="275"/>
      <c r="K438" s="275"/>
      <c r="O438" s="56"/>
      <c r="Q438" t="str">
        <f>IFERROR(IF(VLOOKUP(Tb_Activiteiten[[#This Row],[Openstelling]],Tb_Openstelling[],2,0)=1,1,""),"")</f>
        <v/>
      </c>
      <c r="AK438" t="str">
        <f>IF(ISNUMBER(FIND("arbeid",Methode_Keuze)),"",IF(ISNUMBER(FIND("arbeid",Methode_Keuze)),"",IF(Tb_Activiteiten[[#This Row],[Loonkosten]]=1,Tb_Activiteiten[[#Headers],[Loonkosten]],"")))</f>
        <v/>
      </c>
      <c r="AL438" t="str">
        <f>IF(ISNUMBER(FIND("arbeid",Methode_Keuze)),"",IF(ISNUMBER(FIND("arbeid",Methode_Keuze)),"",IF(Tb_Activiteiten[[#This Row],[Eigen arbeid]]=1,Tb_Activiteiten[[#Headers],[Eigen arbeid]],"")))</f>
        <v/>
      </c>
      <c r="AM438" t="str">
        <f>IF(ISNUMBER(FIND("arbeid",Methode_Keuze)),"",IF(ISNUMBER(FIND("arbeid",Methode_Keuze)),"",IF(Tb_Activiteiten[[#This Row],[Projectmedewerker]]=1,Tb_Activiteiten[[#Headers],[Projectmedewerker]],"")))</f>
        <v/>
      </c>
      <c r="AN438" t="str">
        <f>IF(ISNUMBER(FIND("arbeid",Methode_Keuze)),"",IF(ISNUMBER(FIND("arbeid",Methode_Keuze)),"",IF(Tb_Activiteiten[[#This Row],[Landbouwer]]=1,Tb_Activiteiten[[#Headers],[Landbouwer]],"")))</f>
        <v/>
      </c>
      <c r="AO438" t="str">
        <f>IF(ISNUMBER(FIND("arbeid",Methode_Keuze)),"",IF(ISNUMBER(FIND("arbeid",Methode_Keuze)),"",IF(Tb_Activiteiten[[#This Row],[Adviseur]]=1,Tb_Activiteiten[[#Headers],[Adviseur]],"")))</f>
        <v/>
      </c>
      <c r="AP438" t="str">
        <f>IF(ISNUMBER(FIND("arbeid",Methode_Keuze)),"",IF(ISNUMBER(FIND("arbeid",Methode_Keuze)),"",IF(Tb_Activiteiten[[#This Row],[Projectleider/Expert]]=1,Tb_Activiteiten[[#Headers],[Projectleider/Expert]],"")))</f>
        <v/>
      </c>
      <c r="AQ438" t="str">
        <f>IF(ISNUMBER(FIND("arbeid",Methode_Keuze)),"",IF(ISNUMBER(FIND("arbeid",Methode_Keuze)),"",IF(Tb_Activiteiten[[#This Row],[Arbeidskosten]]=1,Tb_Activiteiten[[#Headers],[Arbeidskosten]],"")))</f>
        <v/>
      </c>
      <c r="AR438" t="str">
        <f>IF(ISNUMBER(FIND("arbeid",Methode_Keuze)),"",IF(ISNUMBER(FIND("arbeid",Methode_Keuze)),"",IF(Tb_Activiteiten[[#This Row],[Arbeidskosten op basis van IKS]]=1,Tb_Activiteiten[[#Headers],[Arbeidskosten op basis van IKS]],"")))</f>
        <v/>
      </c>
      <c r="AS438" t="str">
        <f>IF(ISNUMBER(FIND("overige",Methode_Keuze)),"",IF(Tb_Activiteiten[[#This Row],[Kosten derden exclusief btw]]=1,Tb_Activiteiten[[#Headers],[Kosten derden exclusief btw]],""))</f>
        <v/>
      </c>
      <c r="AT438" t="str">
        <f>IF(ISNUMBER(FIND("overige",Methode_Keuze)),"",IF(Tb_Activiteiten[[#This Row],[Niet verrekenbare btw]]=1,Tb_Activiteiten[[#Headers],[Niet verrekenbare btw]],""))</f>
        <v/>
      </c>
      <c r="AU438" t="str">
        <f>IF(ISNUMBER(FIND("overige",Methode_Keuze)),"",IF(Tb_Activiteiten[[#This Row],[Grondkosten]]=1,Tb_Activiteiten[[#Headers],[Grondkosten]],""))</f>
        <v/>
      </c>
      <c r="AV438" t="str">
        <f>IF(ISNUMBER(FIND("overige",Methode_Keuze)),"",IF(Tb_Activiteiten[[#This Row],[Bijdrage in natura (overige)]]=1,Tb_Activiteiten[[#Headers],[Bijdrage in natura (overige)]],""))</f>
        <v/>
      </c>
      <c r="AW438" t="str">
        <f>IF(ISNUMBER(FIND("overige",Methode_Keuze)),"",IF(Tb_Activiteiten[[#This Row],[Bijdrage in natura (vrijwilligers)]]=1,Tb_Activiteiten[[#Headers],[Bijdrage in natura (vrijwilligers)]],""))</f>
        <v/>
      </c>
      <c r="AX438" t="str">
        <f>IF(ISNUMBER(FIND("overige",Methode_Keuze)),"",IF(Tb_Activiteiten[[#This Row],[Afschrijvingskosten]]=1,Tb_Activiteiten[[#Headers],[Afschrijvingskosten]],""))</f>
        <v/>
      </c>
      <c r="AY438" t="str">
        <f>IF(ISNUMBER(FIND("overige",Methode_Keuze)),"",IF(Tb_Activiteiten[[#This Row],[Vergoeding]]=1,Tb_Activiteiten[[#Headers],[Vergoeding]],""))</f>
        <v/>
      </c>
      <c r="AZ438" t="str">
        <f>IF(ISNUMBER(FIND("arbeid",Methode_Keuze)),"",IF(Tb_Activiteiten[[#This Row],[Arbeidskosten - vast tarief (excl eigen arbeid)]]=1,Tb_Activiteiten[[#Headers],[Arbeidskosten - vast tarief (excl eigen arbeid)]],""))</f>
        <v/>
      </c>
      <c r="BA438" t="str">
        <f>IF(ISNUMBER(FIND("overige",Methode_Keuze)),"",IF(Tb_Activiteiten[[#This Row],[Overige kosten]]=1,Tb_Activiteiten[[#Headers],[Overige kosten]],""))</f>
        <v/>
      </c>
    </row>
    <row r="439" spans="1:53" x14ac:dyDescent="0.25">
      <c r="A439" s="231"/>
      <c r="F439" s="64"/>
      <c r="G439" s="64"/>
      <c r="H439" s="275"/>
      <c r="I439" s="275"/>
      <c r="J439" s="275"/>
      <c r="K439" s="275"/>
      <c r="O439" s="56"/>
      <c r="Q439" t="str">
        <f>IFERROR(IF(VLOOKUP(Tb_Activiteiten[[#This Row],[Openstelling]],Tb_Openstelling[],2,0)=1,1,""),"")</f>
        <v/>
      </c>
      <c r="AK439" t="str">
        <f>IF(ISNUMBER(FIND("arbeid",Methode_Keuze)),"",IF(ISNUMBER(FIND("arbeid",Methode_Keuze)),"",IF(Tb_Activiteiten[[#This Row],[Loonkosten]]=1,Tb_Activiteiten[[#Headers],[Loonkosten]],"")))</f>
        <v/>
      </c>
      <c r="AL439" t="str">
        <f>IF(ISNUMBER(FIND("arbeid",Methode_Keuze)),"",IF(ISNUMBER(FIND("arbeid",Methode_Keuze)),"",IF(Tb_Activiteiten[[#This Row],[Eigen arbeid]]=1,Tb_Activiteiten[[#Headers],[Eigen arbeid]],"")))</f>
        <v/>
      </c>
      <c r="AM439" t="str">
        <f>IF(ISNUMBER(FIND("arbeid",Methode_Keuze)),"",IF(ISNUMBER(FIND("arbeid",Methode_Keuze)),"",IF(Tb_Activiteiten[[#This Row],[Projectmedewerker]]=1,Tb_Activiteiten[[#Headers],[Projectmedewerker]],"")))</f>
        <v/>
      </c>
      <c r="AN439" t="str">
        <f>IF(ISNUMBER(FIND("arbeid",Methode_Keuze)),"",IF(ISNUMBER(FIND("arbeid",Methode_Keuze)),"",IF(Tb_Activiteiten[[#This Row],[Landbouwer]]=1,Tb_Activiteiten[[#Headers],[Landbouwer]],"")))</f>
        <v/>
      </c>
      <c r="AO439" t="str">
        <f>IF(ISNUMBER(FIND("arbeid",Methode_Keuze)),"",IF(ISNUMBER(FIND("arbeid",Methode_Keuze)),"",IF(Tb_Activiteiten[[#This Row],[Adviseur]]=1,Tb_Activiteiten[[#Headers],[Adviseur]],"")))</f>
        <v/>
      </c>
      <c r="AP439" t="str">
        <f>IF(ISNUMBER(FIND("arbeid",Methode_Keuze)),"",IF(ISNUMBER(FIND("arbeid",Methode_Keuze)),"",IF(Tb_Activiteiten[[#This Row],[Projectleider/Expert]]=1,Tb_Activiteiten[[#Headers],[Projectleider/Expert]],"")))</f>
        <v/>
      </c>
      <c r="AQ439" t="str">
        <f>IF(ISNUMBER(FIND("arbeid",Methode_Keuze)),"",IF(ISNUMBER(FIND("arbeid",Methode_Keuze)),"",IF(Tb_Activiteiten[[#This Row],[Arbeidskosten]]=1,Tb_Activiteiten[[#Headers],[Arbeidskosten]],"")))</f>
        <v/>
      </c>
      <c r="AR439" t="str">
        <f>IF(ISNUMBER(FIND("arbeid",Methode_Keuze)),"",IF(ISNUMBER(FIND("arbeid",Methode_Keuze)),"",IF(Tb_Activiteiten[[#This Row],[Arbeidskosten op basis van IKS]]=1,Tb_Activiteiten[[#Headers],[Arbeidskosten op basis van IKS]],"")))</f>
        <v/>
      </c>
      <c r="AS439" t="str">
        <f>IF(ISNUMBER(FIND("overige",Methode_Keuze)),"",IF(Tb_Activiteiten[[#This Row],[Kosten derden exclusief btw]]=1,Tb_Activiteiten[[#Headers],[Kosten derden exclusief btw]],""))</f>
        <v/>
      </c>
      <c r="AT439" t="str">
        <f>IF(ISNUMBER(FIND("overige",Methode_Keuze)),"",IF(Tb_Activiteiten[[#This Row],[Niet verrekenbare btw]]=1,Tb_Activiteiten[[#Headers],[Niet verrekenbare btw]],""))</f>
        <v/>
      </c>
      <c r="AU439" t="str">
        <f>IF(ISNUMBER(FIND("overige",Methode_Keuze)),"",IF(Tb_Activiteiten[[#This Row],[Grondkosten]]=1,Tb_Activiteiten[[#Headers],[Grondkosten]],""))</f>
        <v/>
      </c>
      <c r="AV439" t="str">
        <f>IF(ISNUMBER(FIND("overige",Methode_Keuze)),"",IF(Tb_Activiteiten[[#This Row],[Bijdrage in natura (overige)]]=1,Tb_Activiteiten[[#Headers],[Bijdrage in natura (overige)]],""))</f>
        <v/>
      </c>
      <c r="AW439" t="str">
        <f>IF(ISNUMBER(FIND("overige",Methode_Keuze)),"",IF(Tb_Activiteiten[[#This Row],[Bijdrage in natura (vrijwilligers)]]=1,Tb_Activiteiten[[#Headers],[Bijdrage in natura (vrijwilligers)]],""))</f>
        <v/>
      </c>
      <c r="AX439" t="str">
        <f>IF(ISNUMBER(FIND("overige",Methode_Keuze)),"",IF(Tb_Activiteiten[[#This Row],[Afschrijvingskosten]]=1,Tb_Activiteiten[[#Headers],[Afschrijvingskosten]],""))</f>
        <v/>
      </c>
      <c r="AY439" t="str">
        <f>IF(ISNUMBER(FIND("overige",Methode_Keuze)),"",IF(Tb_Activiteiten[[#This Row],[Vergoeding]]=1,Tb_Activiteiten[[#Headers],[Vergoeding]],""))</f>
        <v/>
      </c>
      <c r="AZ439" t="str">
        <f>IF(ISNUMBER(FIND("arbeid",Methode_Keuze)),"",IF(Tb_Activiteiten[[#This Row],[Arbeidskosten - vast tarief (excl eigen arbeid)]]=1,Tb_Activiteiten[[#Headers],[Arbeidskosten - vast tarief (excl eigen arbeid)]],""))</f>
        <v/>
      </c>
      <c r="BA439" t="str">
        <f>IF(ISNUMBER(FIND("overige",Methode_Keuze)),"",IF(Tb_Activiteiten[[#This Row],[Overige kosten]]=1,Tb_Activiteiten[[#Headers],[Overige kosten]],""))</f>
        <v/>
      </c>
    </row>
    <row r="440" spans="1:53" x14ac:dyDescent="0.25">
      <c r="A440" s="231"/>
      <c r="F440" s="64"/>
      <c r="G440" s="64"/>
      <c r="H440" s="275"/>
      <c r="I440" s="275"/>
      <c r="J440" s="275"/>
      <c r="K440" s="275"/>
      <c r="O440" s="56"/>
      <c r="Q440" t="str">
        <f>IFERROR(IF(VLOOKUP(Tb_Activiteiten[[#This Row],[Openstelling]],Tb_Openstelling[],2,0)=1,1,""),"")</f>
        <v/>
      </c>
      <c r="AK440" t="str">
        <f>IF(ISNUMBER(FIND("arbeid",Methode_Keuze)),"",IF(ISNUMBER(FIND("arbeid",Methode_Keuze)),"",IF(Tb_Activiteiten[[#This Row],[Loonkosten]]=1,Tb_Activiteiten[[#Headers],[Loonkosten]],"")))</f>
        <v/>
      </c>
      <c r="AL440" t="str">
        <f>IF(ISNUMBER(FIND("arbeid",Methode_Keuze)),"",IF(ISNUMBER(FIND("arbeid",Methode_Keuze)),"",IF(Tb_Activiteiten[[#This Row],[Eigen arbeid]]=1,Tb_Activiteiten[[#Headers],[Eigen arbeid]],"")))</f>
        <v/>
      </c>
      <c r="AM440" t="str">
        <f>IF(ISNUMBER(FIND("arbeid",Methode_Keuze)),"",IF(ISNUMBER(FIND("arbeid",Methode_Keuze)),"",IF(Tb_Activiteiten[[#This Row],[Projectmedewerker]]=1,Tb_Activiteiten[[#Headers],[Projectmedewerker]],"")))</f>
        <v/>
      </c>
      <c r="AN440" t="str">
        <f>IF(ISNUMBER(FIND("arbeid",Methode_Keuze)),"",IF(ISNUMBER(FIND("arbeid",Methode_Keuze)),"",IF(Tb_Activiteiten[[#This Row],[Landbouwer]]=1,Tb_Activiteiten[[#Headers],[Landbouwer]],"")))</f>
        <v/>
      </c>
      <c r="AO440" t="str">
        <f>IF(ISNUMBER(FIND("arbeid",Methode_Keuze)),"",IF(ISNUMBER(FIND("arbeid",Methode_Keuze)),"",IF(Tb_Activiteiten[[#This Row],[Adviseur]]=1,Tb_Activiteiten[[#Headers],[Adviseur]],"")))</f>
        <v/>
      </c>
      <c r="AP440" t="str">
        <f>IF(ISNUMBER(FIND("arbeid",Methode_Keuze)),"",IF(ISNUMBER(FIND("arbeid",Methode_Keuze)),"",IF(Tb_Activiteiten[[#This Row],[Projectleider/Expert]]=1,Tb_Activiteiten[[#Headers],[Projectleider/Expert]],"")))</f>
        <v/>
      </c>
      <c r="AQ440" t="str">
        <f>IF(ISNUMBER(FIND("arbeid",Methode_Keuze)),"",IF(ISNUMBER(FIND("arbeid",Methode_Keuze)),"",IF(Tb_Activiteiten[[#This Row],[Arbeidskosten]]=1,Tb_Activiteiten[[#Headers],[Arbeidskosten]],"")))</f>
        <v/>
      </c>
      <c r="AR440" t="str">
        <f>IF(ISNUMBER(FIND("arbeid",Methode_Keuze)),"",IF(ISNUMBER(FIND("arbeid",Methode_Keuze)),"",IF(Tb_Activiteiten[[#This Row],[Arbeidskosten op basis van IKS]]=1,Tb_Activiteiten[[#Headers],[Arbeidskosten op basis van IKS]],"")))</f>
        <v/>
      </c>
      <c r="AS440" t="str">
        <f>IF(ISNUMBER(FIND("overige",Methode_Keuze)),"",IF(Tb_Activiteiten[[#This Row],[Kosten derden exclusief btw]]=1,Tb_Activiteiten[[#Headers],[Kosten derden exclusief btw]],""))</f>
        <v/>
      </c>
      <c r="AT440" t="str">
        <f>IF(ISNUMBER(FIND("overige",Methode_Keuze)),"",IF(Tb_Activiteiten[[#This Row],[Niet verrekenbare btw]]=1,Tb_Activiteiten[[#Headers],[Niet verrekenbare btw]],""))</f>
        <v/>
      </c>
      <c r="AU440" t="str">
        <f>IF(ISNUMBER(FIND("overige",Methode_Keuze)),"",IF(Tb_Activiteiten[[#This Row],[Grondkosten]]=1,Tb_Activiteiten[[#Headers],[Grondkosten]],""))</f>
        <v/>
      </c>
      <c r="AV440" t="str">
        <f>IF(ISNUMBER(FIND("overige",Methode_Keuze)),"",IF(Tb_Activiteiten[[#This Row],[Bijdrage in natura (overige)]]=1,Tb_Activiteiten[[#Headers],[Bijdrage in natura (overige)]],""))</f>
        <v/>
      </c>
      <c r="AW440" t="str">
        <f>IF(ISNUMBER(FIND("overige",Methode_Keuze)),"",IF(Tb_Activiteiten[[#This Row],[Bijdrage in natura (vrijwilligers)]]=1,Tb_Activiteiten[[#Headers],[Bijdrage in natura (vrijwilligers)]],""))</f>
        <v/>
      </c>
      <c r="AX440" t="str">
        <f>IF(ISNUMBER(FIND("overige",Methode_Keuze)),"",IF(Tb_Activiteiten[[#This Row],[Afschrijvingskosten]]=1,Tb_Activiteiten[[#Headers],[Afschrijvingskosten]],""))</f>
        <v/>
      </c>
      <c r="AY440" t="str">
        <f>IF(ISNUMBER(FIND("overige",Methode_Keuze)),"",IF(Tb_Activiteiten[[#This Row],[Vergoeding]]=1,Tb_Activiteiten[[#Headers],[Vergoeding]],""))</f>
        <v/>
      </c>
      <c r="AZ440" t="str">
        <f>IF(ISNUMBER(FIND("arbeid",Methode_Keuze)),"",IF(Tb_Activiteiten[[#This Row],[Arbeidskosten - vast tarief (excl eigen arbeid)]]=1,Tb_Activiteiten[[#Headers],[Arbeidskosten - vast tarief (excl eigen arbeid)]],""))</f>
        <v/>
      </c>
      <c r="BA440" t="str">
        <f>IF(ISNUMBER(FIND("overige",Methode_Keuze)),"",IF(Tb_Activiteiten[[#This Row],[Overige kosten]]=1,Tb_Activiteiten[[#Headers],[Overige kosten]],""))</f>
        <v/>
      </c>
    </row>
    <row r="441" spans="1:53" x14ac:dyDescent="0.25">
      <c r="A441" s="231"/>
      <c r="F441" s="64"/>
      <c r="G441" s="64"/>
      <c r="H441" s="275"/>
      <c r="I441" s="275"/>
      <c r="J441" s="275"/>
      <c r="K441" s="275"/>
      <c r="O441" s="56"/>
      <c r="Q441" t="str">
        <f>IFERROR(IF(VLOOKUP(Tb_Activiteiten[[#This Row],[Openstelling]],Tb_Openstelling[],2,0)=1,1,""),"")</f>
        <v/>
      </c>
      <c r="AK441" t="str">
        <f>IF(ISNUMBER(FIND("arbeid",Methode_Keuze)),"",IF(ISNUMBER(FIND("arbeid",Methode_Keuze)),"",IF(Tb_Activiteiten[[#This Row],[Loonkosten]]=1,Tb_Activiteiten[[#Headers],[Loonkosten]],"")))</f>
        <v/>
      </c>
      <c r="AL441" t="str">
        <f>IF(ISNUMBER(FIND("arbeid",Methode_Keuze)),"",IF(ISNUMBER(FIND("arbeid",Methode_Keuze)),"",IF(Tb_Activiteiten[[#This Row],[Eigen arbeid]]=1,Tb_Activiteiten[[#Headers],[Eigen arbeid]],"")))</f>
        <v/>
      </c>
      <c r="AM441" t="str">
        <f>IF(ISNUMBER(FIND("arbeid",Methode_Keuze)),"",IF(ISNUMBER(FIND("arbeid",Methode_Keuze)),"",IF(Tb_Activiteiten[[#This Row],[Projectmedewerker]]=1,Tb_Activiteiten[[#Headers],[Projectmedewerker]],"")))</f>
        <v/>
      </c>
      <c r="AN441" t="str">
        <f>IF(ISNUMBER(FIND("arbeid",Methode_Keuze)),"",IF(ISNUMBER(FIND("arbeid",Methode_Keuze)),"",IF(Tb_Activiteiten[[#This Row],[Landbouwer]]=1,Tb_Activiteiten[[#Headers],[Landbouwer]],"")))</f>
        <v/>
      </c>
      <c r="AO441" t="str">
        <f>IF(ISNUMBER(FIND("arbeid",Methode_Keuze)),"",IF(ISNUMBER(FIND("arbeid",Methode_Keuze)),"",IF(Tb_Activiteiten[[#This Row],[Adviseur]]=1,Tb_Activiteiten[[#Headers],[Adviseur]],"")))</f>
        <v/>
      </c>
      <c r="AP441" t="str">
        <f>IF(ISNUMBER(FIND("arbeid",Methode_Keuze)),"",IF(ISNUMBER(FIND("arbeid",Methode_Keuze)),"",IF(Tb_Activiteiten[[#This Row],[Projectleider/Expert]]=1,Tb_Activiteiten[[#Headers],[Projectleider/Expert]],"")))</f>
        <v/>
      </c>
      <c r="AQ441" t="str">
        <f>IF(ISNUMBER(FIND("arbeid",Methode_Keuze)),"",IF(ISNUMBER(FIND("arbeid",Methode_Keuze)),"",IF(Tb_Activiteiten[[#This Row],[Arbeidskosten]]=1,Tb_Activiteiten[[#Headers],[Arbeidskosten]],"")))</f>
        <v/>
      </c>
      <c r="AR441" t="str">
        <f>IF(ISNUMBER(FIND("arbeid",Methode_Keuze)),"",IF(ISNUMBER(FIND("arbeid",Methode_Keuze)),"",IF(Tb_Activiteiten[[#This Row],[Arbeidskosten op basis van IKS]]=1,Tb_Activiteiten[[#Headers],[Arbeidskosten op basis van IKS]],"")))</f>
        <v/>
      </c>
      <c r="AS441" t="str">
        <f>IF(ISNUMBER(FIND("overige",Methode_Keuze)),"",IF(Tb_Activiteiten[[#This Row],[Kosten derden exclusief btw]]=1,Tb_Activiteiten[[#Headers],[Kosten derden exclusief btw]],""))</f>
        <v/>
      </c>
      <c r="AT441" t="str">
        <f>IF(ISNUMBER(FIND("overige",Methode_Keuze)),"",IF(Tb_Activiteiten[[#This Row],[Niet verrekenbare btw]]=1,Tb_Activiteiten[[#Headers],[Niet verrekenbare btw]],""))</f>
        <v/>
      </c>
      <c r="AU441" t="str">
        <f>IF(ISNUMBER(FIND("overige",Methode_Keuze)),"",IF(Tb_Activiteiten[[#This Row],[Grondkosten]]=1,Tb_Activiteiten[[#Headers],[Grondkosten]],""))</f>
        <v/>
      </c>
      <c r="AV441" t="str">
        <f>IF(ISNUMBER(FIND("overige",Methode_Keuze)),"",IF(Tb_Activiteiten[[#This Row],[Bijdrage in natura (overige)]]=1,Tb_Activiteiten[[#Headers],[Bijdrage in natura (overige)]],""))</f>
        <v/>
      </c>
      <c r="AW441" t="str">
        <f>IF(ISNUMBER(FIND("overige",Methode_Keuze)),"",IF(Tb_Activiteiten[[#This Row],[Bijdrage in natura (vrijwilligers)]]=1,Tb_Activiteiten[[#Headers],[Bijdrage in natura (vrijwilligers)]],""))</f>
        <v/>
      </c>
      <c r="AX441" t="str">
        <f>IF(ISNUMBER(FIND("overige",Methode_Keuze)),"",IF(Tb_Activiteiten[[#This Row],[Afschrijvingskosten]]=1,Tb_Activiteiten[[#Headers],[Afschrijvingskosten]],""))</f>
        <v/>
      </c>
      <c r="AY441" t="str">
        <f>IF(ISNUMBER(FIND("overige",Methode_Keuze)),"",IF(Tb_Activiteiten[[#This Row],[Vergoeding]]=1,Tb_Activiteiten[[#Headers],[Vergoeding]],""))</f>
        <v/>
      </c>
      <c r="AZ441" t="str">
        <f>IF(ISNUMBER(FIND("arbeid",Methode_Keuze)),"",IF(Tb_Activiteiten[[#This Row],[Arbeidskosten - vast tarief (excl eigen arbeid)]]=1,Tb_Activiteiten[[#Headers],[Arbeidskosten - vast tarief (excl eigen arbeid)]],""))</f>
        <v/>
      </c>
      <c r="BA441" t="str">
        <f>IF(ISNUMBER(FIND("overige",Methode_Keuze)),"",IF(Tb_Activiteiten[[#This Row],[Overige kosten]]=1,Tb_Activiteiten[[#Headers],[Overige kosten]],""))</f>
        <v/>
      </c>
    </row>
    <row r="442" spans="1:53" x14ac:dyDescent="0.25">
      <c r="A442" s="231"/>
      <c r="F442" s="64"/>
      <c r="G442" s="64"/>
      <c r="H442" s="275"/>
      <c r="I442" s="275"/>
      <c r="J442" s="275"/>
      <c r="K442" s="275"/>
      <c r="O442" s="56"/>
      <c r="Q442" t="str">
        <f>IFERROR(IF(VLOOKUP(Tb_Activiteiten[[#This Row],[Openstelling]],Tb_Openstelling[],2,0)=1,1,""),"")</f>
        <v/>
      </c>
      <c r="AK442" t="str">
        <f>IF(ISNUMBER(FIND("arbeid",Methode_Keuze)),"",IF(ISNUMBER(FIND("arbeid",Methode_Keuze)),"",IF(Tb_Activiteiten[[#This Row],[Loonkosten]]=1,Tb_Activiteiten[[#Headers],[Loonkosten]],"")))</f>
        <v/>
      </c>
      <c r="AL442" t="str">
        <f>IF(ISNUMBER(FIND("arbeid",Methode_Keuze)),"",IF(ISNUMBER(FIND("arbeid",Methode_Keuze)),"",IF(Tb_Activiteiten[[#This Row],[Eigen arbeid]]=1,Tb_Activiteiten[[#Headers],[Eigen arbeid]],"")))</f>
        <v/>
      </c>
      <c r="AM442" t="str">
        <f>IF(ISNUMBER(FIND("arbeid",Methode_Keuze)),"",IF(ISNUMBER(FIND("arbeid",Methode_Keuze)),"",IF(Tb_Activiteiten[[#This Row],[Projectmedewerker]]=1,Tb_Activiteiten[[#Headers],[Projectmedewerker]],"")))</f>
        <v/>
      </c>
      <c r="AN442" t="str">
        <f>IF(ISNUMBER(FIND("arbeid",Methode_Keuze)),"",IF(ISNUMBER(FIND("arbeid",Methode_Keuze)),"",IF(Tb_Activiteiten[[#This Row],[Landbouwer]]=1,Tb_Activiteiten[[#Headers],[Landbouwer]],"")))</f>
        <v/>
      </c>
      <c r="AO442" t="str">
        <f>IF(ISNUMBER(FIND("arbeid",Methode_Keuze)),"",IF(ISNUMBER(FIND("arbeid",Methode_Keuze)),"",IF(Tb_Activiteiten[[#This Row],[Adviseur]]=1,Tb_Activiteiten[[#Headers],[Adviseur]],"")))</f>
        <v/>
      </c>
      <c r="AP442" t="str">
        <f>IF(ISNUMBER(FIND("arbeid",Methode_Keuze)),"",IF(ISNUMBER(FIND("arbeid",Methode_Keuze)),"",IF(Tb_Activiteiten[[#This Row],[Projectleider/Expert]]=1,Tb_Activiteiten[[#Headers],[Projectleider/Expert]],"")))</f>
        <v/>
      </c>
      <c r="AQ442" t="str">
        <f>IF(ISNUMBER(FIND("arbeid",Methode_Keuze)),"",IF(ISNUMBER(FIND("arbeid",Methode_Keuze)),"",IF(Tb_Activiteiten[[#This Row],[Arbeidskosten]]=1,Tb_Activiteiten[[#Headers],[Arbeidskosten]],"")))</f>
        <v/>
      </c>
      <c r="AR442" t="str">
        <f>IF(ISNUMBER(FIND("arbeid",Methode_Keuze)),"",IF(ISNUMBER(FIND("arbeid",Methode_Keuze)),"",IF(Tb_Activiteiten[[#This Row],[Arbeidskosten op basis van IKS]]=1,Tb_Activiteiten[[#Headers],[Arbeidskosten op basis van IKS]],"")))</f>
        <v/>
      </c>
      <c r="AS442" t="str">
        <f>IF(ISNUMBER(FIND("overige",Methode_Keuze)),"",IF(Tb_Activiteiten[[#This Row],[Kosten derden exclusief btw]]=1,Tb_Activiteiten[[#Headers],[Kosten derden exclusief btw]],""))</f>
        <v/>
      </c>
      <c r="AT442" t="str">
        <f>IF(ISNUMBER(FIND("overige",Methode_Keuze)),"",IF(Tb_Activiteiten[[#This Row],[Niet verrekenbare btw]]=1,Tb_Activiteiten[[#Headers],[Niet verrekenbare btw]],""))</f>
        <v/>
      </c>
      <c r="AU442" t="str">
        <f>IF(ISNUMBER(FIND("overige",Methode_Keuze)),"",IF(Tb_Activiteiten[[#This Row],[Grondkosten]]=1,Tb_Activiteiten[[#Headers],[Grondkosten]],""))</f>
        <v/>
      </c>
      <c r="AV442" t="str">
        <f>IF(ISNUMBER(FIND("overige",Methode_Keuze)),"",IF(Tb_Activiteiten[[#This Row],[Bijdrage in natura (overige)]]=1,Tb_Activiteiten[[#Headers],[Bijdrage in natura (overige)]],""))</f>
        <v/>
      </c>
      <c r="AW442" t="str">
        <f>IF(ISNUMBER(FIND("overige",Methode_Keuze)),"",IF(Tb_Activiteiten[[#This Row],[Bijdrage in natura (vrijwilligers)]]=1,Tb_Activiteiten[[#Headers],[Bijdrage in natura (vrijwilligers)]],""))</f>
        <v/>
      </c>
      <c r="AX442" t="str">
        <f>IF(ISNUMBER(FIND("overige",Methode_Keuze)),"",IF(Tb_Activiteiten[[#This Row],[Afschrijvingskosten]]=1,Tb_Activiteiten[[#Headers],[Afschrijvingskosten]],""))</f>
        <v/>
      </c>
      <c r="AY442" t="str">
        <f>IF(ISNUMBER(FIND("overige",Methode_Keuze)),"",IF(Tb_Activiteiten[[#This Row],[Vergoeding]]=1,Tb_Activiteiten[[#Headers],[Vergoeding]],""))</f>
        <v/>
      </c>
      <c r="AZ442" t="str">
        <f>IF(ISNUMBER(FIND("arbeid",Methode_Keuze)),"",IF(Tb_Activiteiten[[#This Row],[Arbeidskosten - vast tarief (excl eigen arbeid)]]=1,Tb_Activiteiten[[#Headers],[Arbeidskosten - vast tarief (excl eigen arbeid)]],""))</f>
        <v/>
      </c>
      <c r="BA442" t="str">
        <f>IF(ISNUMBER(FIND("overige",Methode_Keuze)),"",IF(Tb_Activiteiten[[#This Row],[Overige kosten]]=1,Tb_Activiteiten[[#Headers],[Overige kosten]],""))</f>
        <v/>
      </c>
    </row>
    <row r="443" spans="1:53" x14ac:dyDescent="0.25">
      <c r="A443" s="231"/>
      <c r="F443" s="64"/>
      <c r="G443" s="64"/>
      <c r="H443" s="275"/>
      <c r="I443" s="275"/>
      <c r="J443" s="275"/>
      <c r="K443" s="275"/>
      <c r="O443" s="56"/>
      <c r="Q443" t="str">
        <f>IFERROR(IF(VLOOKUP(Tb_Activiteiten[[#This Row],[Openstelling]],Tb_Openstelling[],2,0)=1,1,""),"")</f>
        <v/>
      </c>
      <c r="AK443" t="str">
        <f>IF(ISNUMBER(FIND("arbeid",Methode_Keuze)),"",IF(ISNUMBER(FIND("arbeid",Methode_Keuze)),"",IF(Tb_Activiteiten[[#This Row],[Loonkosten]]=1,Tb_Activiteiten[[#Headers],[Loonkosten]],"")))</f>
        <v/>
      </c>
      <c r="AL443" t="str">
        <f>IF(ISNUMBER(FIND("arbeid",Methode_Keuze)),"",IF(ISNUMBER(FIND("arbeid",Methode_Keuze)),"",IF(Tb_Activiteiten[[#This Row],[Eigen arbeid]]=1,Tb_Activiteiten[[#Headers],[Eigen arbeid]],"")))</f>
        <v/>
      </c>
      <c r="AM443" t="str">
        <f>IF(ISNUMBER(FIND("arbeid",Methode_Keuze)),"",IF(ISNUMBER(FIND("arbeid",Methode_Keuze)),"",IF(Tb_Activiteiten[[#This Row],[Projectmedewerker]]=1,Tb_Activiteiten[[#Headers],[Projectmedewerker]],"")))</f>
        <v/>
      </c>
      <c r="AN443" t="str">
        <f>IF(ISNUMBER(FIND("arbeid",Methode_Keuze)),"",IF(ISNUMBER(FIND("arbeid",Methode_Keuze)),"",IF(Tb_Activiteiten[[#This Row],[Landbouwer]]=1,Tb_Activiteiten[[#Headers],[Landbouwer]],"")))</f>
        <v/>
      </c>
      <c r="AO443" t="str">
        <f>IF(ISNUMBER(FIND("arbeid",Methode_Keuze)),"",IF(ISNUMBER(FIND("arbeid",Methode_Keuze)),"",IF(Tb_Activiteiten[[#This Row],[Adviseur]]=1,Tb_Activiteiten[[#Headers],[Adviseur]],"")))</f>
        <v/>
      </c>
      <c r="AP443" t="str">
        <f>IF(ISNUMBER(FIND("arbeid",Methode_Keuze)),"",IF(ISNUMBER(FIND("arbeid",Methode_Keuze)),"",IF(Tb_Activiteiten[[#This Row],[Projectleider/Expert]]=1,Tb_Activiteiten[[#Headers],[Projectleider/Expert]],"")))</f>
        <v/>
      </c>
      <c r="AQ443" t="str">
        <f>IF(ISNUMBER(FIND("arbeid",Methode_Keuze)),"",IF(ISNUMBER(FIND("arbeid",Methode_Keuze)),"",IF(Tb_Activiteiten[[#This Row],[Arbeidskosten]]=1,Tb_Activiteiten[[#Headers],[Arbeidskosten]],"")))</f>
        <v/>
      </c>
      <c r="AR443" t="str">
        <f>IF(ISNUMBER(FIND("arbeid",Methode_Keuze)),"",IF(ISNUMBER(FIND("arbeid",Methode_Keuze)),"",IF(Tb_Activiteiten[[#This Row],[Arbeidskosten op basis van IKS]]=1,Tb_Activiteiten[[#Headers],[Arbeidskosten op basis van IKS]],"")))</f>
        <v/>
      </c>
      <c r="AS443" t="str">
        <f>IF(ISNUMBER(FIND("overige",Methode_Keuze)),"",IF(Tb_Activiteiten[[#This Row],[Kosten derden exclusief btw]]=1,Tb_Activiteiten[[#Headers],[Kosten derden exclusief btw]],""))</f>
        <v/>
      </c>
      <c r="AT443" t="str">
        <f>IF(ISNUMBER(FIND("overige",Methode_Keuze)),"",IF(Tb_Activiteiten[[#This Row],[Niet verrekenbare btw]]=1,Tb_Activiteiten[[#Headers],[Niet verrekenbare btw]],""))</f>
        <v/>
      </c>
      <c r="AU443" t="str">
        <f>IF(ISNUMBER(FIND("overige",Methode_Keuze)),"",IF(Tb_Activiteiten[[#This Row],[Grondkosten]]=1,Tb_Activiteiten[[#Headers],[Grondkosten]],""))</f>
        <v/>
      </c>
      <c r="AV443" t="str">
        <f>IF(ISNUMBER(FIND("overige",Methode_Keuze)),"",IF(Tb_Activiteiten[[#This Row],[Bijdrage in natura (overige)]]=1,Tb_Activiteiten[[#Headers],[Bijdrage in natura (overige)]],""))</f>
        <v/>
      </c>
      <c r="AW443" t="str">
        <f>IF(ISNUMBER(FIND("overige",Methode_Keuze)),"",IF(Tb_Activiteiten[[#This Row],[Bijdrage in natura (vrijwilligers)]]=1,Tb_Activiteiten[[#Headers],[Bijdrage in natura (vrijwilligers)]],""))</f>
        <v/>
      </c>
      <c r="AX443" t="str">
        <f>IF(ISNUMBER(FIND("overige",Methode_Keuze)),"",IF(Tb_Activiteiten[[#This Row],[Afschrijvingskosten]]=1,Tb_Activiteiten[[#Headers],[Afschrijvingskosten]],""))</f>
        <v/>
      </c>
      <c r="AY443" t="str">
        <f>IF(ISNUMBER(FIND("overige",Methode_Keuze)),"",IF(Tb_Activiteiten[[#This Row],[Vergoeding]]=1,Tb_Activiteiten[[#Headers],[Vergoeding]],""))</f>
        <v/>
      </c>
      <c r="AZ443" t="str">
        <f>IF(ISNUMBER(FIND("arbeid",Methode_Keuze)),"",IF(Tb_Activiteiten[[#This Row],[Arbeidskosten - vast tarief (excl eigen arbeid)]]=1,Tb_Activiteiten[[#Headers],[Arbeidskosten - vast tarief (excl eigen arbeid)]],""))</f>
        <v/>
      </c>
      <c r="BA443" t="str">
        <f>IF(ISNUMBER(FIND("overige",Methode_Keuze)),"",IF(Tb_Activiteiten[[#This Row],[Overige kosten]]=1,Tb_Activiteiten[[#Headers],[Overige kosten]],""))</f>
        <v/>
      </c>
    </row>
    <row r="444" spans="1:53" x14ac:dyDescent="0.25">
      <c r="A444" s="231"/>
      <c r="F444" s="64"/>
      <c r="G444" s="64"/>
      <c r="H444" s="275"/>
      <c r="I444" s="275"/>
      <c r="J444" s="275"/>
      <c r="K444" s="275"/>
      <c r="O444" s="56"/>
      <c r="Q444" t="str">
        <f>IFERROR(IF(VLOOKUP(Tb_Activiteiten[[#This Row],[Openstelling]],Tb_Openstelling[],2,0)=1,1,""),"")</f>
        <v/>
      </c>
      <c r="AK444" t="str">
        <f>IF(ISNUMBER(FIND("arbeid",Methode_Keuze)),"",IF(ISNUMBER(FIND("arbeid",Methode_Keuze)),"",IF(Tb_Activiteiten[[#This Row],[Loonkosten]]=1,Tb_Activiteiten[[#Headers],[Loonkosten]],"")))</f>
        <v/>
      </c>
      <c r="AL444" t="str">
        <f>IF(ISNUMBER(FIND("arbeid",Methode_Keuze)),"",IF(ISNUMBER(FIND("arbeid",Methode_Keuze)),"",IF(Tb_Activiteiten[[#This Row],[Eigen arbeid]]=1,Tb_Activiteiten[[#Headers],[Eigen arbeid]],"")))</f>
        <v/>
      </c>
      <c r="AM444" t="str">
        <f>IF(ISNUMBER(FIND("arbeid",Methode_Keuze)),"",IF(ISNUMBER(FIND("arbeid",Methode_Keuze)),"",IF(Tb_Activiteiten[[#This Row],[Projectmedewerker]]=1,Tb_Activiteiten[[#Headers],[Projectmedewerker]],"")))</f>
        <v/>
      </c>
      <c r="AN444" t="str">
        <f>IF(ISNUMBER(FIND("arbeid",Methode_Keuze)),"",IF(ISNUMBER(FIND("arbeid",Methode_Keuze)),"",IF(Tb_Activiteiten[[#This Row],[Landbouwer]]=1,Tb_Activiteiten[[#Headers],[Landbouwer]],"")))</f>
        <v/>
      </c>
      <c r="AO444" t="str">
        <f>IF(ISNUMBER(FIND("arbeid",Methode_Keuze)),"",IF(ISNUMBER(FIND("arbeid",Methode_Keuze)),"",IF(Tb_Activiteiten[[#This Row],[Adviseur]]=1,Tb_Activiteiten[[#Headers],[Adviseur]],"")))</f>
        <v/>
      </c>
      <c r="AP444" t="str">
        <f>IF(ISNUMBER(FIND("arbeid",Methode_Keuze)),"",IF(ISNUMBER(FIND("arbeid",Methode_Keuze)),"",IF(Tb_Activiteiten[[#This Row],[Projectleider/Expert]]=1,Tb_Activiteiten[[#Headers],[Projectleider/Expert]],"")))</f>
        <v/>
      </c>
      <c r="AQ444" t="str">
        <f>IF(ISNUMBER(FIND("arbeid",Methode_Keuze)),"",IF(ISNUMBER(FIND("arbeid",Methode_Keuze)),"",IF(Tb_Activiteiten[[#This Row],[Arbeidskosten]]=1,Tb_Activiteiten[[#Headers],[Arbeidskosten]],"")))</f>
        <v/>
      </c>
      <c r="AR444" t="str">
        <f>IF(ISNUMBER(FIND("arbeid",Methode_Keuze)),"",IF(ISNUMBER(FIND("arbeid",Methode_Keuze)),"",IF(Tb_Activiteiten[[#This Row],[Arbeidskosten op basis van IKS]]=1,Tb_Activiteiten[[#Headers],[Arbeidskosten op basis van IKS]],"")))</f>
        <v/>
      </c>
      <c r="AS444" t="str">
        <f>IF(ISNUMBER(FIND("overige",Methode_Keuze)),"",IF(Tb_Activiteiten[[#This Row],[Kosten derden exclusief btw]]=1,Tb_Activiteiten[[#Headers],[Kosten derden exclusief btw]],""))</f>
        <v/>
      </c>
      <c r="AT444" t="str">
        <f>IF(ISNUMBER(FIND("overige",Methode_Keuze)),"",IF(Tb_Activiteiten[[#This Row],[Niet verrekenbare btw]]=1,Tb_Activiteiten[[#Headers],[Niet verrekenbare btw]],""))</f>
        <v/>
      </c>
      <c r="AU444" t="str">
        <f>IF(ISNUMBER(FIND("overige",Methode_Keuze)),"",IF(Tb_Activiteiten[[#This Row],[Grondkosten]]=1,Tb_Activiteiten[[#Headers],[Grondkosten]],""))</f>
        <v/>
      </c>
      <c r="AV444" t="str">
        <f>IF(ISNUMBER(FIND("overige",Methode_Keuze)),"",IF(Tb_Activiteiten[[#This Row],[Bijdrage in natura (overige)]]=1,Tb_Activiteiten[[#Headers],[Bijdrage in natura (overige)]],""))</f>
        <v/>
      </c>
      <c r="AW444" t="str">
        <f>IF(ISNUMBER(FIND("overige",Methode_Keuze)),"",IF(Tb_Activiteiten[[#This Row],[Bijdrage in natura (vrijwilligers)]]=1,Tb_Activiteiten[[#Headers],[Bijdrage in natura (vrijwilligers)]],""))</f>
        <v/>
      </c>
      <c r="AX444" t="str">
        <f>IF(ISNUMBER(FIND("overige",Methode_Keuze)),"",IF(Tb_Activiteiten[[#This Row],[Afschrijvingskosten]]=1,Tb_Activiteiten[[#Headers],[Afschrijvingskosten]],""))</f>
        <v/>
      </c>
      <c r="AY444" t="str">
        <f>IF(ISNUMBER(FIND("overige",Methode_Keuze)),"",IF(Tb_Activiteiten[[#This Row],[Vergoeding]]=1,Tb_Activiteiten[[#Headers],[Vergoeding]],""))</f>
        <v/>
      </c>
      <c r="AZ444" t="str">
        <f>IF(ISNUMBER(FIND("arbeid",Methode_Keuze)),"",IF(Tb_Activiteiten[[#This Row],[Arbeidskosten - vast tarief (excl eigen arbeid)]]=1,Tb_Activiteiten[[#Headers],[Arbeidskosten - vast tarief (excl eigen arbeid)]],""))</f>
        <v/>
      </c>
      <c r="BA444" t="str">
        <f>IF(ISNUMBER(FIND("overige",Methode_Keuze)),"",IF(Tb_Activiteiten[[#This Row],[Overige kosten]]=1,Tb_Activiteiten[[#Headers],[Overige kosten]],""))</f>
        <v/>
      </c>
    </row>
    <row r="445" spans="1:53" x14ac:dyDescent="0.25">
      <c r="A445" s="231"/>
      <c r="F445" s="64"/>
      <c r="G445" s="64"/>
      <c r="H445" s="275"/>
      <c r="I445" s="275"/>
      <c r="J445" s="275"/>
      <c r="K445" s="275"/>
      <c r="O445" s="56"/>
      <c r="Q445" t="str">
        <f>IFERROR(IF(VLOOKUP(Tb_Activiteiten[[#This Row],[Openstelling]],Tb_Openstelling[],2,0)=1,1,""),"")</f>
        <v/>
      </c>
      <c r="AK445" t="str">
        <f>IF(ISNUMBER(FIND("arbeid",Methode_Keuze)),"",IF(ISNUMBER(FIND("arbeid",Methode_Keuze)),"",IF(Tb_Activiteiten[[#This Row],[Loonkosten]]=1,Tb_Activiteiten[[#Headers],[Loonkosten]],"")))</f>
        <v/>
      </c>
      <c r="AL445" t="str">
        <f>IF(ISNUMBER(FIND("arbeid",Methode_Keuze)),"",IF(ISNUMBER(FIND("arbeid",Methode_Keuze)),"",IF(Tb_Activiteiten[[#This Row],[Eigen arbeid]]=1,Tb_Activiteiten[[#Headers],[Eigen arbeid]],"")))</f>
        <v/>
      </c>
      <c r="AM445" t="str">
        <f>IF(ISNUMBER(FIND("arbeid",Methode_Keuze)),"",IF(ISNUMBER(FIND("arbeid",Methode_Keuze)),"",IF(Tb_Activiteiten[[#This Row],[Projectmedewerker]]=1,Tb_Activiteiten[[#Headers],[Projectmedewerker]],"")))</f>
        <v/>
      </c>
      <c r="AN445" t="str">
        <f>IF(ISNUMBER(FIND("arbeid",Methode_Keuze)),"",IF(ISNUMBER(FIND("arbeid",Methode_Keuze)),"",IF(Tb_Activiteiten[[#This Row],[Landbouwer]]=1,Tb_Activiteiten[[#Headers],[Landbouwer]],"")))</f>
        <v/>
      </c>
      <c r="AO445" t="str">
        <f>IF(ISNUMBER(FIND("arbeid",Methode_Keuze)),"",IF(ISNUMBER(FIND("arbeid",Methode_Keuze)),"",IF(Tb_Activiteiten[[#This Row],[Adviseur]]=1,Tb_Activiteiten[[#Headers],[Adviseur]],"")))</f>
        <v/>
      </c>
      <c r="AP445" t="str">
        <f>IF(ISNUMBER(FIND("arbeid",Methode_Keuze)),"",IF(ISNUMBER(FIND("arbeid",Methode_Keuze)),"",IF(Tb_Activiteiten[[#This Row],[Projectleider/Expert]]=1,Tb_Activiteiten[[#Headers],[Projectleider/Expert]],"")))</f>
        <v/>
      </c>
      <c r="AQ445" t="str">
        <f>IF(ISNUMBER(FIND("arbeid",Methode_Keuze)),"",IF(ISNUMBER(FIND("arbeid",Methode_Keuze)),"",IF(Tb_Activiteiten[[#This Row],[Arbeidskosten]]=1,Tb_Activiteiten[[#Headers],[Arbeidskosten]],"")))</f>
        <v/>
      </c>
      <c r="AR445" t="str">
        <f>IF(ISNUMBER(FIND("arbeid",Methode_Keuze)),"",IF(ISNUMBER(FIND("arbeid",Methode_Keuze)),"",IF(Tb_Activiteiten[[#This Row],[Arbeidskosten op basis van IKS]]=1,Tb_Activiteiten[[#Headers],[Arbeidskosten op basis van IKS]],"")))</f>
        <v/>
      </c>
      <c r="AS445" t="str">
        <f>IF(ISNUMBER(FIND("overige",Methode_Keuze)),"",IF(Tb_Activiteiten[[#This Row],[Kosten derden exclusief btw]]=1,Tb_Activiteiten[[#Headers],[Kosten derden exclusief btw]],""))</f>
        <v/>
      </c>
      <c r="AT445" t="str">
        <f>IF(ISNUMBER(FIND("overige",Methode_Keuze)),"",IF(Tb_Activiteiten[[#This Row],[Niet verrekenbare btw]]=1,Tb_Activiteiten[[#Headers],[Niet verrekenbare btw]],""))</f>
        <v/>
      </c>
      <c r="AU445" t="str">
        <f>IF(ISNUMBER(FIND("overige",Methode_Keuze)),"",IF(Tb_Activiteiten[[#This Row],[Grondkosten]]=1,Tb_Activiteiten[[#Headers],[Grondkosten]],""))</f>
        <v/>
      </c>
      <c r="AV445" t="str">
        <f>IF(ISNUMBER(FIND("overige",Methode_Keuze)),"",IF(Tb_Activiteiten[[#This Row],[Bijdrage in natura (overige)]]=1,Tb_Activiteiten[[#Headers],[Bijdrage in natura (overige)]],""))</f>
        <v/>
      </c>
      <c r="AW445" t="str">
        <f>IF(ISNUMBER(FIND("overige",Methode_Keuze)),"",IF(Tb_Activiteiten[[#This Row],[Bijdrage in natura (vrijwilligers)]]=1,Tb_Activiteiten[[#Headers],[Bijdrage in natura (vrijwilligers)]],""))</f>
        <v/>
      </c>
      <c r="AX445" t="str">
        <f>IF(ISNUMBER(FIND("overige",Methode_Keuze)),"",IF(Tb_Activiteiten[[#This Row],[Afschrijvingskosten]]=1,Tb_Activiteiten[[#Headers],[Afschrijvingskosten]],""))</f>
        <v/>
      </c>
      <c r="AY445" t="str">
        <f>IF(ISNUMBER(FIND("overige",Methode_Keuze)),"",IF(Tb_Activiteiten[[#This Row],[Vergoeding]]=1,Tb_Activiteiten[[#Headers],[Vergoeding]],""))</f>
        <v/>
      </c>
      <c r="AZ445" t="str">
        <f>IF(ISNUMBER(FIND("arbeid",Methode_Keuze)),"",IF(Tb_Activiteiten[[#This Row],[Arbeidskosten - vast tarief (excl eigen arbeid)]]=1,Tb_Activiteiten[[#Headers],[Arbeidskosten - vast tarief (excl eigen arbeid)]],""))</f>
        <v/>
      </c>
      <c r="BA445" t="str">
        <f>IF(ISNUMBER(FIND("overige",Methode_Keuze)),"",IF(Tb_Activiteiten[[#This Row],[Overige kosten]]=1,Tb_Activiteiten[[#Headers],[Overige kosten]],""))</f>
        <v/>
      </c>
    </row>
    <row r="446" spans="1:53" x14ac:dyDescent="0.25">
      <c r="A446" s="231"/>
      <c r="F446" s="64"/>
      <c r="G446" s="64"/>
      <c r="H446" s="275"/>
      <c r="I446" s="275"/>
      <c r="J446" s="275"/>
      <c r="K446" s="275"/>
      <c r="O446" s="56"/>
      <c r="Q446" t="str">
        <f>IFERROR(IF(VLOOKUP(Tb_Activiteiten[[#This Row],[Openstelling]],Tb_Openstelling[],2,0)=1,1,""),"")</f>
        <v/>
      </c>
      <c r="AK446" t="str">
        <f>IF(ISNUMBER(FIND("arbeid",Methode_Keuze)),"",IF(ISNUMBER(FIND("arbeid",Methode_Keuze)),"",IF(Tb_Activiteiten[[#This Row],[Loonkosten]]=1,Tb_Activiteiten[[#Headers],[Loonkosten]],"")))</f>
        <v/>
      </c>
      <c r="AL446" t="str">
        <f>IF(ISNUMBER(FIND("arbeid",Methode_Keuze)),"",IF(ISNUMBER(FIND("arbeid",Methode_Keuze)),"",IF(Tb_Activiteiten[[#This Row],[Eigen arbeid]]=1,Tb_Activiteiten[[#Headers],[Eigen arbeid]],"")))</f>
        <v/>
      </c>
      <c r="AM446" t="str">
        <f>IF(ISNUMBER(FIND("arbeid",Methode_Keuze)),"",IF(ISNUMBER(FIND("arbeid",Methode_Keuze)),"",IF(Tb_Activiteiten[[#This Row],[Projectmedewerker]]=1,Tb_Activiteiten[[#Headers],[Projectmedewerker]],"")))</f>
        <v/>
      </c>
      <c r="AN446" t="str">
        <f>IF(ISNUMBER(FIND("arbeid",Methode_Keuze)),"",IF(ISNUMBER(FIND("arbeid",Methode_Keuze)),"",IF(Tb_Activiteiten[[#This Row],[Landbouwer]]=1,Tb_Activiteiten[[#Headers],[Landbouwer]],"")))</f>
        <v/>
      </c>
      <c r="AO446" t="str">
        <f>IF(ISNUMBER(FIND("arbeid",Methode_Keuze)),"",IF(ISNUMBER(FIND("arbeid",Methode_Keuze)),"",IF(Tb_Activiteiten[[#This Row],[Adviseur]]=1,Tb_Activiteiten[[#Headers],[Adviseur]],"")))</f>
        <v/>
      </c>
      <c r="AP446" t="str">
        <f>IF(ISNUMBER(FIND("arbeid",Methode_Keuze)),"",IF(ISNUMBER(FIND("arbeid",Methode_Keuze)),"",IF(Tb_Activiteiten[[#This Row],[Projectleider/Expert]]=1,Tb_Activiteiten[[#Headers],[Projectleider/Expert]],"")))</f>
        <v/>
      </c>
      <c r="AQ446" t="str">
        <f>IF(ISNUMBER(FIND("arbeid",Methode_Keuze)),"",IF(ISNUMBER(FIND("arbeid",Methode_Keuze)),"",IF(Tb_Activiteiten[[#This Row],[Arbeidskosten]]=1,Tb_Activiteiten[[#Headers],[Arbeidskosten]],"")))</f>
        <v/>
      </c>
      <c r="AR446" t="str">
        <f>IF(ISNUMBER(FIND("arbeid",Methode_Keuze)),"",IF(ISNUMBER(FIND("arbeid",Methode_Keuze)),"",IF(Tb_Activiteiten[[#This Row],[Arbeidskosten op basis van IKS]]=1,Tb_Activiteiten[[#Headers],[Arbeidskosten op basis van IKS]],"")))</f>
        <v/>
      </c>
      <c r="AS446" t="str">
        <f>IF(ISNUMBER(FIND("overige",Methode_Keuze)),"",IF(Tb_Activiteiten[[#This Row],[Kosten derden exclusief btw]]=1,Tb_Activiteiten[[#Headers],[Kosten derden exclusief btw]],""))</f>
        <v/>
      </c>
      <c r="AT446" t="str">
        <f>IF(ISNUMBER(FIND("overige",Methode_Keuze)),"",IF(Tb_Activiteiten[[#This Row],[Niet verrekenbare btw]]=1,Tb_Activiteiten[[#Headers],[Niet verrekenbare btw]],""))</f>
        <v/>
      </c>
      <c r="AU446" t="str">
        <f>IF(ISNUMBER(FIND("overige",Methode_Keuze)),"",IF(Tb_Activiteiten[[#This Row],[Grondkosten]]=1,Tb_Activiteiten[[#Headers],[Grondkosten]],""))</f>
        <v/>
      </c>
      <c r="AV446" t="str">
        <f>IF(ISNUMBER(FIND("overige",Methode_Keuze)),"",IF(Tb_Activiteiten[[#This Row],[Bijdrage in natura (overige)]]=1,Tb_Activiteiten[[#Headers],[Bijdrage in natura (overige)]],""))</f>
        <v/>
      </c>
      <c r="AW446" t="str">
        <f>IF(ISNUMBER(FIND("overige",Methode_Keuze)),"",IF(Tb_Activiteiten[[#This Row],[Bijdrage in natura (vrijwilligers)]]=1,Tb_Activiteiten[[#Headers],[Bijdrage in natura (vrijwilligers)]],""))</f>
        <v/>
      </c>
      <c r="AX446" t="str">
        <f>IF(ISNUMBER(FIND("overige",Methode_Keuze)),"",IF(Tb_Activiteiten[[#This Row],[Afschrijvingskosten]]=1,Tb_Activiteiten[[#Headers],[Afschrijvingskosten]],""))</f>
        <v/>
      </c>
      <c r="AY446" t="str">
        <f>IF(ISNUMBER(FIND("overige",Methode_Keuze)),"",IF(Tb_Activiteiten[[#This Row],[Vergoeding]]=1,Tb_Activiteiten[[#Headers],[Vergoeding]],""))</f>
        <v/>
      </c>
      <c r="AZ446" t="str">
        <f>IF(ISNUMBER(FIND("arbeid",Methode_Keuze)),"",IF(Tb_Activiteiten[[#This Row],[Arbeidskosten - vast tarief (excl eigen arbeid)]]=1,Tb_Activiteiten[[#Headers],[Arbeidskosten - vast tarief (excl eigen arbeid)]],""))</f>
        <v/>
      </c>
      <c r="BA446" t="str">
        <f>IF(ISNUMBER(FIND("overige",Methode_Keuze)),"",IF(Tb_Activiteiten[[#This Row],[Overige kosten]]=1,Tb_Activiteiten[[#Headers],[Overige kosten]],""))</f>
        <v/>
      </c>
    </row>
    <row r="447" spans="1:53" x14ac:dyDescent="0.25">
      <c r="A447" s="231"/>
      <c r="F447" s="64"/>
      <c r="G447" s="64"/>
      <c r="H447" s="275"/>
      <c r="I447" s="275"/>
      <c r="J447" s="275"/>
      <c r="K447" s="275"/>
      <c r="O447" s="56"/>
      <c r="Q447" t="str">
        <f>IFERROR(IF(VLOOKUP(Tb_Activiteiten[[#This Row],[Openstelling]],Tb_Openstelling[],2,0)=1,1,""),"")</f>
        <v/>
      </c>
      <c r="AK447" t="str">
        <f>IF(ISNUMBER(FIND("arbeid",Methode_Keuze)),"",IF(ISNUMBER(FIND("arbeid",Methode_Keuze)),"",IF(Tb_Activiteiten[[#This Row],[Loonkosten]]=1,Tb_Activiteiten[[#Headers],[Loonkosten]],"")))</f>
        <v/>
      </c>
      <c r="AL447" t="str">
        <f>IF(ISNUMBER(FIND("arbeid",Methode_Keuze)),"",IF(ISNUMBER(FIND("arbeid",Methode_Keuze)),"",IF(Tb_Activiteiten[[#This Row],[Eigen arbeid]]=1,Tb_Activiteiten[[#Headers],[Eigen arbeid]],"")))</f>
        <v/>
      </c>
      <c r="AM447" t="str">
        <f>IF(ISNUMBER(FIND("arbeid",Methode_Keuze)),"",IF(ISNUMBER(FIND("arbeid",Methode_Keuze)),"",IF(Tb_Activiteiten[[#This Row],[Projectmedewerker]]=1,Tb_Activiteiten[[#Headers],[Projectmedewerker]],"")))</f>
        <v/>
      </c>
      <c r="AN447" t="str">
        <f>IF(ISNUMBER(FIND("arbeid",Methode_Keuze)),"",IF(ISNUMBER(FIND("arbeid",Methode_Keuze)),"",IF(Tb_Activiteiten[[#This Row],[Landbouwer]]=1,Tb_Activiteiten[[#Headers],[Landbouwer]],"")))</f>
        <v/>
      </c>
      <c r="AO447" t="str">
        <f>IF(ISNUMBER(FIND("arbeid",Methode_Keuze)),"",IF(ISNUMBER(FIND("arbeid",Methode_Keuze)),"",IF(Tb_Activiteiten[[#This Row],[Adviseur]]=1,Tb_Activiteiten[[#Headers],[Adviseur]],"")))</f>
        <v/>
      </c>
      <c r="AP447" t="str">
        <f>IF(ISNUMBER(FIND("arbeid",Methode_Keuze)),"",IF(ISNUMBER(FIND("arbeid",Methode_Keuze)),"",IF(Tb_Activiteiten[[#This Row],[Projectleider/Expert]]=1,Tb_Activiteiten[[#Headers],[Projectleider/Expert]],"")))</f>
        <v/>
      </c>
      <c r="AQ447" t="str">
        <f>IF(ISNUMBER(FIND("arbeid",Methode_Keuze)),"",IF(ISNUMBER(FIND("arbeid",Methode_Keuze)),"",IF(Tb_Activiteiten[[#This Row],[Arbeidskosten]]=1,Tb_Activiteiten[[#Headers],[Arbeidskosten]],"")))</f>
        <v/>
      </c>
      <c r="AR447" t="str">
        <f>IF(ISNUMBER(FIND("arbeid",Methode_Keuze)),"",IF(ISNUMBER(FIND("arbeid",Methode_Keuze)),"",IF(Tb_Activiteiten[[#This Row],[Arbeidskosten op basis van IKS]]=1,Tb_Activiteiten[[#Headers],[Arbeidskosten op basis van IKS]],"")))</f>
        <v/>
      </c>
      <c r="AS447" t="str">
        <f>IF(ISNUMBER(FIND("overige",Methode_Keuze)),"",IF(Tb_Activiteiten[[#This Row],[Kosten derden exclusief btw]]=1,Tb_Activiteiten[[#Headers],[Kosten derden exclusief btw]],""))</f>
        <v/>
      </c>
      <c r="AT447" t="str">
        <f>IF(ISNUMBER(FIND("overige",Methode_Keuze)),"",IF(Tb_Activiteiten[[#This Row],[Niet verrekenbare btw]]=1,Tb_Activiteiten[[#Headers],[Niet verrekenbare btw]],""))</f>
        <v/>
      </c>
      <c r="AU447" t="str">
        <f>IF(ISNUMBER(FIND("overige",Methode_Keuze)),"",IF(Tb_Activiteiten[[#This Row],[Grondkosten]]=1,Tb_Activiteiten[[#Headers],[Grondkosten]],""))</f>
        <v/>
      </c>
      <c r="AV447" t="str">
        <f>IF(ISNUMBER(FIND("overige",Methode_Keuze)),"",IF(Tb_Activiteiten[[#This Row],[Bijdrage in natura (overige)]]=1,Tb_Activiteiten[[#Headers],[Bijdrage in natura (overige)]],""))</f>
        <v/>
      </c>
      <c r="AW447" t="str">
        <f>IF(ISNUMBER(FIND("overige",Methode_Keuze)),"",IF(Tb_Activiteiten[[#This Row],[Bijdrage in natura (vrijwilligers)]]=1,Tb_Activiteiten[[#Headers],[Bijdrage in natura (vrijwilligers)]],""))</f>
        <v/>
      </c>
      <c r="AX447" t="str">
        <f>IF(ISNUMBER(FIND("overige",Methode_Keuze)),"",IF(Tb_Activiteiten[[#This Row],[Afschrijvingskosten]]=1,Tb_Activiteiten[[#Headers],[Afschrijvingskosten]],""))</f>
        <v/>
      </c>
      <c r="AY447" t="str">
        <f>IF(ISNUMBER(FIND("overige",Methode_Keuze)),"",IF(Tb_Activiteiten[[#This Row],[Vergoeding]]=1,Tb_Activiteiten[[#Headers],[Vergoeding]],""))</f>
        <v/>
      </c>
      <c r="AZ447" t="str">
        <f>IF(ISNUMBER(FIND("arbeid",Methode_Keuze)),"",IF(Tb_Activiteiten[[#This Row],[Arbeidskosten - vast tarief (excl eigen arbeid)]]=1,Tb_Activiteiten[[#Headers],[Arbeidskosten - vast tarief (excl eigen arbeid)]],""))</f>
        <v/>
      </c>
      <c r="BA447" t="str">
        <f>IF(ISNUMBER(FIND("overige",Methode_Keuze)),"",IF(Tb_Activiteiten[[#This Row],[Overige kosten]]=1,Tb_Activiteiten[[#Headers],[Overige kosten]],""))</f>
        <v/>
      </c>
    </row>
    <row r="448" spans="1:53" x14ac:dyDescent="0.25">
      <c r="A448" s="231"/>
      <c r="F448" s="64"/>
      <c r="G448" s="64"/>
      <c r="H448" s="275"/>
      <c r="I448" s="275"/>
      <c r="J448" s="275"/>
      <c r="K448" s="275"/>
      <c r="O448" s="56"/>
      <c r="Q448" t="str">
        <f>IFERROR(IF(VLOOKUP(Tb_Activiteiten[[#This Row],[Openstelling]],Tb_Openstelling[],2,0)=1,1,""),"")</f>
        <v/>
      </c>
      <c r="AK448" t="str">
        <f>IF(ISNUMBER(FIND("arbeid",Methode_Keuze)),"",IF(ISNUMBER(FIND("arbeid",Methode_Keuze)),"",IF(Tb_Activiteiten[[#This Row],[Loonkosten]]=1,Tb_Activiteiten[[#Headers],[Loonkosten]],"")))</f>
        <v/>
      </c>
      <c r="AL448" t="str">
        <f>IF(ISNUMBER(FIND("arbeid",Methode_Keuze)),"",IF(ISNUMBER(FIND("arbeid",Methode_Keuze)),"",IF(Tb_Activiteiten[[#This Row],[Eigen arbeid]]=1,Tb_Activiteiten[[#Headers],[Eigen arbeid]],"")))</f>
        <v/>
      </c>
      <c r="AM448" t="str">
        <f>IF(ISNUMBER(FIND("arbeid",Methode_Keuze)),"",IF(ISNUMBER(FIND("arbeid",Methode_Keuze)),"",IF(Tb_Activiteiten[[#This Row],[Projectmedewerker]]=1,Tb_Activiteiten[[#Headers],[Projectmedewerker]],"")))</f>
        <v/>
      </c>
      <c r="AN448" t="str">
        <f>IF(ISNUMBER(FIND("arbeid",Methode_Keuze)),"",IF(ISNUMBER(FIND("arbeid",Methode_Keuze)),"",IF(Tb_Activiteiten[[#This Row],[Landbouwer]]=1,Tb_Activiteiten[[#Headers],[Landbouwer]],"")))</f>
        <v/>
      </c>
      <c r="AO448" t="str">
        <f>IF(ISNUMBER(FIND("arbeid",Methode_Keuze)),"",IF(ISNUMBER(FIND("arbeid",Methode_Keuze)),"",IF(Tb_Activiteiten[[#This Row],[Adviseur]]=1,Tb_Activiteiten[[#Headers],[Adviseur]],"")))</f>
        <v/>
      </c>
      <c r="AP448" t="str">
        <f>IF(ISNUMBER(FIND("arbeid",Methode_Keuze)),"",IF(ISNUMBER(FIND("arbeid",Methode_Keuze)),"",IF(Tb_Activiteiten[[#This Row],[Projectleider/Expert]]=1,Tb_Activiteiten[[#Headers],[Projectleider/Expert]],"")))</f>
        <v/>
      </c>
      <c r="AQ448" t="str">
        <f>IF(ISNUMBER(FIND("arbeid",Methode_Keuze)),"",IF(ISNUMBER(FIND("arbeid",Methode_Keuze)),"",IF(Tb_Activiteiten[[#This Row],[Arbeidskosten]]=1,Tb_Activiteiten[[#Headers],[Arbeidskosten]],"")))</f>
        <v/>
      </c>
      <c r="AR448" t="str">
        <f>IF(ISNUMBER(FIND("arbeid",Methode_Keuze)),"",IF(ISNUMBER(FIND("arbeid",Methode_Keuze)),"",IF(Tb_Activiteiten[[#This Row],[Arbeidskosten op basis van IKS]]=1,Tb_Activiteiten[[#Headers],[Arbeidskosten op basis van IKS]],"")))</f>
        <v/>
      </c>
      <c r="AS448" t="str">
        <f>IF(ISNUMBER(FIND("overige",Methode_Keuze)),"",IF(Tb_Activiteiten[[#This Row],[Kosten derden exclusief btw]]=1,Tb_Activiteiten[[#Headers],[Kosten derden exclusief btw]],""))</f>
        <v/>
      </c>
      <c r="AT448" t="str">
        <f>IF(ISNUMBER(FIND("overige",Methode_Keuze)),"",IF(Tb_Activiteiten[[#This Row],[Niet verrekenbare btw]]=1,Tb_Activiteiten[[#Headers],[Niet verrekenbare btw]],""))</f>
        <v/>
      </c>
      <c r="AU448" t="str">
        <f>IF(ISNUMBER(FIND("overige",Methode_Keuze)),"",IF(Tb_Activiteiten[[#This Row],[Grondkosten]]=1,Tb_Activiteiten[[#Headers],[Grondkosten]],""))</f>
        <v/>
      </c>
      <c r="AV448" t="str">
        <f>IF(ISNUMBER(FIND("overige",Methode_Keuze)),"",IF(Tb_Activiteiten[[#This Row],[Bijdrage in natura (overige)]]=1,Tb_Activiteiten[[#Headers],[Bijdrage in natura (overige)]],""))</f>
        <v/>
      </c>
      <c r="AW448" t="str">
        <f>IF(ISNUMBER(FIND("overige",Methode_Keuze)),"",IF(Tb_Activiteiten[[#This Row],[Bijdrage in natura (vrijwilligers)]]=1,Tb_Activiteiten[[#Headers],[Bijdrage in natura (vrijwilligers)]],""))</f>
        <v/>
      </c>
      <c r="AX448" t="str">
        <f>IF(ISNUMBER(FIND("overige",Methode_Keuze)),"",IF(Tb_Activiteiten[[#This Row],[Afschrijvingskosten]]=1,Tb_Activiteiten[[#Headers],[Afschrijvingskosten]],""))</f>
        <v/>
      </c>
      <c r="AY448" t="str">
        <f>IF(ISNUMBER(FIND("overige",Methode_Keuze)),"",IF(Tb_Activiteiten[[#This Row],[Vergoeding]]=1,Tb_Activiteiten[[#Headers],[Vergoeding]],""))</f>
        <v/>
      </c>
      <c r="AZ448" t="str">
        <f>IF(ISNUMBER(FIND("arbeid",Methode_Keuze)),"",IF(Tb_Activiteiten[[#This Row],[Arbeidskosten - vast tarief (excl eigen arbeid)]]=1,Tb_Activiteiten[[#Headers],[Arbeidskosten - vast tarief (excl eigen arbeid)]],""))</f>
        <v/>
      </c>
      <c r="BA448" t="str">
        <f>IF(ISNUMBER(FIND("overige",Methode_Keuze)),"",IF(Tb_Activiteiten[[#This Row],[Overige kosten]]=1,Tb_Activiteiten[[#Headers],[Overige kosten]],""))</f>
        <v/>
      </c>
    </row>
    <row r="449" spans="1:53" x14ac:dyDescent="0.25">
      <c r="A449" s="231"/>
      <c r="F449" s="64"/>
      <c r="G449" s="64"/>
      <c r="H449" s="275"/>
      <c r="I449" s="275"/>
      <c r="J449" s="275"/>
      <c r="K449" s="275"/>
      <c r="O449" s="56"/>
      <c r="Q449" t="str">
        <f>IFERROR(IF(VLOOKUP(Tb_Activiteiten[[#This Row],[Openstelling]],Tb_Openstelling[],2,0)=1,1,""),"")</f>
        <v/>
      </c>
      <c r="AK449" t="str">
        <f>IF(ISNUMBER(FIND("arbeid",Methode_Keuze)),"",IF(ISNUMBER(FIND("arbeid",Methode_Keuze)),"",IF(Tb_Activiteiten[[#This Row],[Loonkosten]]=1,Tb_Activiteiten[[#Headers],[Loonkosten]],"")))</f>
        <v/>
      </c>
      <c r="AL449" t="str">
        <f>IF(ISNUMBER(FIND("arbeid",Methode_Keuze)),"",IF(ISNUMBER(FIND("arbeid",Methode_Keuze)),"",IF(Tb_Activiteiten[[#This Row],[Eigen arbeid]]=1,Tb_Activiteiten[[#Headers],[Eigen arbeid]],"")))</f>
        <v/>
      </c>
      <c r="AM449" t="str">
        <f>IF(ISNUMBER(FIND("arbeid",Methode_Keuze)),"",IF(ISNUMBER(FIND("arbeid",Methode_Keuze)),"",IF(Tb_Activiteiten[[#This Row],[Projectmedewerker]]=1,Tb_Activiteiten[[#Headers],[Projectmedewerker]],"")))</f>
        <v/>
      </c>
      <c r="AN449" t="str">
        <f>IF(ISNUMBER(FIND("arbeid",Methode_Keuze)),"",IF(ISNUMBER(FIND("arbeid",Methode_Keuze)),"",IF(Tb_Activiteiten[[#This Row],[Landbouwer]]=1,Tb_Activiteiten[[#Headers],[Landbouwer]],"")))</f>
        <v/>
      </c>
      <c r="AO449" t="str">
        <f>IF(ISNUMBER(FIND("arbeid",Methode_Keuze)),"",IF(ISNUMBER(FIND("arbeid",Methode_Keuze)),"",IF(Tb_Activiteiten[[#This Row],[Adviseur]]=1,Tb_Activiteiten[[#Headers],[Adviseur]],"")))</f>
        <v/>
      </c>
      <c r="AP449" t="str">
        <f>IF(ISNUMBER(FIND("arbeid",Methode_Keuze)),"",IF(ISNUMBER(FIND("arbeid",Methode_Keuze)),"",IF(Tb_Activiteiten[[#This Row],[Projectleider/Expert]]=1,Tb_Activiteiten[[#Headers],[Projectleider/Expert]],"")))</f>
        <v/>
      </c>
      <c r="AQ449" t="str">
        <f>IF(ISNUMBER(FIND("arbeid",Methode_Keuze)),"",IF(ISNUMBER(FIND("arbeid",Methode_Keuze)),"",IF(Tb_Activiteiten[[#This Row],[Arbeidskosten]]=1,Tb_Activiteiten[[#Headers],[Arbeidskosten]],"")))</f>
        <v/>
      </c>
      <c r="AR449" t="str">
        <f>IF(ISNUMBER(FIND("arbeid",Methode_Keuze)),"",IF(ISNUMBER(FIND("arbeid",Methode_Keuze)),"",IF(Tb_Activiteiten[[#This Row],[Arbeidskosten op basis van IKS]]=1,Tb_Activiteiten[[#Headers],[Arbeidskosten op basis van IKS]],"")))</f>
        <v/>
      </c>
      <c r="AS449" t="str">
        <f>IF(ISNUMBER(FIND("overige",Methode_Keuze)),"",IF(Tb_Activiteiten[[#This Row],[Kosten derden exclusief btw]]=1,Tb_Activiteiten[[#Headers],[Kosten derden exclusief btw]],""))</f>
        <v/>
      </c>
      <c r="AT449" t="str">
        <f>IF(ISNUMBER(FIND("overige",Methode_Keuze)),"",IF(Tb_Activiteiten[[#This Row],[Niet verrekenbare btw]]=1,Tb_Activiteiten[[#Headers],[Niet verrekenbare btw]],""))</f>
        <v/>
      </c>
      <c r="AU449" t="str">
        <f>IF(ISNUMBER(FIND("overige",Methode_Keuze)),"",IF(Tb_Activiteiten[[#This Row],[Grondkosten]]=1,Tb_Activiteiten[[#Headers],[Grondkosten]],""))</f>
        <v/>
      </c>
      <c r="AV449" t="str">
        <f>IF(ISNUMBER(FIND("overige",Methode_Keuze)),"",IF(Tb_Activiteiten[[#This Row],[Bijdrage in natura (overige)]]=1,Tb_Activiteiten[[#Headers],[Bijdrage in natura (overige)]],""))</f>
        <v/>
      </c>
      <c r="AW449" t="str">
        <f>IF(ISNUMBER(FIND("overige",Methode_Keuze)),"",IF(Tb_Activiteiten[[#This Row],[Bijdrage in natura (vrijwilligers)]]=1,Tb_Activiteiten[[#Headers],[Bijdrage in natura (vrijwilligers)]],""))</f>
        <v/>
      </c>
      <c r="AX449" t="str">
        <f>IF(ISNUMBER(FIND("overige",Methode_Keuze)),"",IF(Tb_Activiteiten[[#This Row],[Afschrijvingskosten]]=1,Tb_Activiteiten[[#Headers],[Afschrijvingskosten]],""))</f>
        <v/>
      </c>
      <c r="AY449" t="str">
        <f>IF(ISNUMBER(FIND("overige",Methode_Keuze)),"",IF(Tb_Activiteiten[[#This Row],[Vergoeding]]=1,Tb_Activiteiten[[#Headers],[Vergoeding]],""))</f>
        <v/>
      </c>
      <c r="AZ449" t="str">
        <f>IF(ISNUMBER(FIND("arbeid",Methode_Keuze)),"",IF(Tb_Activiteiten[[#This Row],[Arbeidskosten - vast tarief (excl eigen arbeid)]]=1,Tb_Activiteiten[[#Headers],[Arbeidskosten - vast tarief (excl eigen arbeid)]],""))</f>
        <v/>
      </c>
      <c r="BA449" t="str">
        <f>IF(ISNUMBER(FIND("overige",Methode_Keuze)),"",IF(Tb_Activiteiten[[#This Row],[Overige kosten]]=1,Tb_Activiteiten[[#Headers],[Overige kosten]],""))</f>
        <v/>
      </c>
    </row>
    <row r="450" spans="1:53" x14ac:dyDescent="0.25">
      <c r="A450" s="231"/>
      <c r="F450" s="64"/>
      <c r="G450" s="64"/>
      <c r="H450" s="275"/>
      <c r="I450" s="275"/>
      <c r="J450" s="275"/>
      <c r="K450" s="275"/>
      <c r="O450" s="56"/>
      <c r="Q450" t="str">
        <f>IFERROR(IF(VLOOKUP(Tb_Activiteiten[[#This Row],[Openstelling]],Tb_Openstelling[],2,0)=1,1,""),"")</f>
        <v/>
      </c>
      <c r="AK450" t="str">
        <f>IF(ISNUMBER(FIND("arbeid",Methode_Keuze)),"",IF(ISNUMBER(FIND("arbeid",Methode_Keuze)),"",IF(Tb_Activiteiten[[#This Row],[Loonkosten]]=1,Tb_Activiteiten[[#Headers],[Loonkosten]],"")))</f>
        <v/>
      </c>
      <c r="AL450" t="str">
        <f>IF(ISNUMBER(FIND("arbeid",Methode_Keuze)),"",IF(ISNUMBER(FIND("arbeid",Methode_Keuze)),"",IF(Tb_Activiteiten[[#This Row],[Eigen arbeid]]=1,Tb_Activiteiten[[#Headers],[Eigen arbeid]],"")))</f>
        <v/>
      </c>
      <c r="AM450" t="str">
        <f>IF(ISNUMBER(FIND("arbeid",Methode_Keuze)),"",IF(ISNUMBER(FIND("arbeid",Methode_Keuze)),"",IF(Tb_Activiteiten[[#This Row],[Projectmedewerker]]=1,Tb_Activiteiten[[#Headers],[Projectmedewerker]],"")))</f>
        <v/>
      </c>
      <c r="AN450" t="str">
        <f>IF(ISNUMBER(FIND("arbeid",Methode_Keuze)),"",IF(ISNUMBER(FIND("arbeid",Methode_Keuze)),"",IF(Tb_Activiteiten[[#This Row],[Landbouwer]]=1,Tb_Activiteiten[[#Headers],[Landbouwer]],"")))</f>
        <v/>
      </c>
      <c r="AO450" t="str">
        <f>IF(ISNUMBER(FIND("arbeid",Methode_Keuze)),"",IF(ISNUMBER(FIND("arbeid",Methode_Keuze)),"",IF(Tb_Activiteiten[[#This Row],[Adviseur]]=1,Tb_Activiteiten[[#Headers],[Adviseur]],"")))</f>
        <v/>
      </c>
      <c r="AP450" t="str">
        <f>IF(ISNUMBER(FIND("arbeid",Methode_Keuze)),"",IF(ISNUMBER(FIND("arbeid",Methode_Keuze)),"",IF(Tb_Activiteiten[[#This Row],[Projectleider/Expert]]=1,Tb_Activiteiten[[#Headers],[Projectleider/Expert]],"")))</f>
        <v/>
      </c>
      <c r="AQ450" t="str">
        <f>IF(ISNUMBER(FIND("arbeid",Methode_Keuze)),"",IF(ISNUMBER(FIND("arbeid",Methode_Keuze)),"",IF(Tb_Activiteiten[[#This Row],[Arbeidskosten]]=1,Tb_Activiteiten[[#Headers],[Arbeidskosten]],"")))</f>
        <v/>
      </c>
      <c r="AR450" t="str">
        <f>IF(ISNUMBER(FIND("arbeid",Methode_Keuze)),"",IF(ISNUMBER(FIND("arbeid",Methode_Keuze)),"",IF(Tb_Activiteiten[[#This Row],[Arbeidskosten op basis van IKS]]=1,Tb_Activiteiten[[#Headers],[Arbeidskosten op basis van IKS]],"")))</f>
        <v/>
      </c>
      <c r="AS450" t="str">
        <f>IF(ISNUMBER(FIND("overige",Methode_Keuze)),"",IF(Tb_Activiteiten[[#This Row],[Kosten derden exclusief btw]]=1,Tb_Activiteiten[[#Headers],[Kosten derden exclusief btw]],""))</f>
        <v/>
      </c>
      <c r="AT450" t="str">
        <f>IF(ISNUMBER(FIND("overige",Methode_Keuze)),"",IF(Tb_Activiteiten[[#This Row],[Niet verrekenbare btw]]=1,Tb_Activiteiten[[#Headers],[Niet verrekenbare btw]],""))</f>
        <v/>
      </c>
      <c r="AU450" t="str">
        <f>IF(ISNUMBER(FIND("overige",Methode_Keuze)),"",IF(Tb_Activiteiten[[#This Row],[Grondkosten]]=1,Tb_Activiteiten[[#Headers],[Grondkosten]],""))</f>
        <v/>
      </c>
      <c r="AV450" t="str">
        <f>IF(ISNUMBER(FIND("overige",Methode_Keuze)),"",IF(Tb_Activiteiten[[#This Row],[Bijdrage in natura (overige)]]=1,Tb_Activiteiten[[#Headers],[Bijdrage in natura (overige)]],""))</f>
        <v/>
      </c>
      <c r="AW450" t="str">
        <f>IF(ISNUMBER(FIND("overige",Methode_Keuze)),"",IF(Tb_Activiteiten[[#This Row],[Bijdrage in natura (vrijwilligers)]]=1,Tb_Activiteiten[[#Headers],[Bijdrage in natura (vrijwilligers)]],""))</f>
        <v/>
      </c>
      <c r="AX450" t="str">
        <f>IF(ISNUMBER(FIND("overige",Methode_Keuze)),"",IF(Tb_Activiteiten[[#This Row],[Afschrijvingskosten]]=1,Tb_Activiteiten[[#Headers],[Afschrijvingskosten]],""))</f>
        <v/>
      </c>
      <c r="AY450" t="str">
        <f>IF(ISNUMBER(FIND("overige",Methode_Keuze)),"",IF(Tb_Activiteiten[[#This Row],[Vergoeding]]=1,Tb_Activiteiten[[#Headers],[Vergoeding]],""))</f>
        <v/>
      </c>
      <c r="AZ450" t="str">
        <f>IF(ISNUMBER(FIND("arbeid",Methode_Keuze)),"",IF(Tb_Activiteiten[[#This Row],[Arbeidskosten - vast tarief (excl eigen arbeid)]]=1,Tb_Activiteiten[[#Headers],[Arbeidskosten - vast tarief (excl eigen arbeid)]],""))</f>
        <v/>
      </c>
      <c r="BA450" t="str">
        <f>IF(ISNUMBER(FIND("overige",Methode_Keuze)),"",IF(Tb_Activiteiten[[#This Row],[Overige kosten]]=1,Tb_Activiteiten[[#Headers],[Overige kosten]],""))</f>
        <v/>
      </c>
    </row>
    <row r="451" spans="1:53" x14ac:dyDescent="0.25">
      <c r="A451" s="231"/>
      <c r="F451" s="64"/>
      <c r="G451" s="64"/>
      <c r="H451" s="275"/>
      <c r="I451" s="275"/>
      <c r="J451" s="275"/>
      <c r="K451" s="275"/>
      <c r="O451" s="56"/>
      <c r="Q451" t="str">
        <f>IFERROR(IF(VLOOKUP(Tb_Activiteiten[[#This Row],[Openstelling]],Tb_Openstelling[],2,0)=1,1,""),"")</f>
        <v/>
      </c>
      <c r="AK451" t="str">
        <f>IF(ISNUMBER(FIND("arbeid",Methode_Keuze)),"",IF(ISNUMBER(FIND("arbeid",Methode_Keuze)),"",IF(Tb_Activiteiten[[#This Row],[Loonkosten]]=1,Tb_Activiteiten[[#Headers],[Loonkosten]],"")))</f>
        <v/>
      </c>
      <c r="AL451" t="str">
        <f>IF(ISNUMBER(FIND("arbeid",Methode_Keuze)),"",IF(ISNUMBER(FIND("arbeid",Methode_Keuze)),"",IF(Tb_Activiteiten[[#This Row],[Eigen arbeid]]=1,Tb_Activiteiten[[#Headers],[Eigen arbeid]],"")))</f>
        <v/>
      </c>
      <c r="AM451" t="str">
        <f>IF(ISNUMBER(FIND("arbeid",Methode_Keuze)),"",IF(ISNUMBER(FIND("arbeid",Methode_Keuze)),"",IF(Tb_Activiteiten[[#This Row],[Projectmedewerker]]=1,Tb_Activiteiten[[#Headers],[Projectmedewerker]],"")))</f>
        <v/>
      </c>
      <c r="AN451" t="str">
        <f>IF(ISNUMBER(FIND("arbeid",Methode_Keuze)),"",IF(ISNUMBER(FIND("arbeid",Methode_Keuze)),"",IF(Tb_Activiteiten[[#This Row],[Landbouwer]]=1,Tb_Activiteiten[[#Headers],[Landbouwer]],"")))</f>
        <v/>
      </c>
      <c r="AO451" t="str">
        <f>IF(ISNUMBER(FIND("arbeid",Methode_Keuze)),"",IF(ISNUMBER(FIND("arbeid",Methode_Keuze)),"",IF(Tb_Activiteiten[[#This Row],[Adviseur]]=1,Tb_Activiteiten[[#Headers],[Adviseur]],"")))</f>
        <v/>
      </c>
      <c r="AP451" t="str">
        <f>IF(ISNUMBER(FIND("arbeid",Methode_Keuze)),"",IF(ISNUMBER(FIND("arbeid",Methode_Keuze)),"",IF(Tb_Activiteiten[[#This Row],[Projectleider/Expert]]=1,Tb_Activiteiten[[#Headers],[Projectleider/Expert]],"")))</f>
        <v/>
      </c>
      <c r="AQ451" t="str">
        <f>IF(ISNUMBER(FIND("arbeid",Methode_Keuze)),"",IF(ISNUMBER(FIND("arbeid",Methode_Keuze)),"",IF(Tb_Activiteiten[[#This Row],[Arbeidskosten]]=1,Tb_Activiteiten[[#Headers],[Arbeidskosten]],"")))</f>
        <v/>
      </c>
      <c r="AR451" t="str">
        <f>IF(ISNUMBER(FIND("arbeid",Methode_Keuze)),"",IF(ISNUMBER(FIND("arbeid",Methode_Keuze)),"",IF(Tb_Activiteiten[[#This Row],[Arbeidskosten op basis van IKS]]=1,Tb_Activiteiten[[#Headers],[Arbeidskosten op basis van IKS]],"")))</f>
        <v/>
      </c>
      <c r="AS451" t="str">
        <f>IF(ISNUMBER(FIND("overige",Methode_Keuze)),"",IF(Tb_Activiteiten[[#This Row],[Kosten derden exclusief btw]]=1,Tb_Activiteiten[[#Headers],[Kosten derden exclusief btw]],""))</f>
        <v/>
      </c>
      <c r="AT451" t="str">
        <f>IF(ISNUMBER(FIND("overige",Methode_Keuze)),"",IF(Tb_Activiteiten[[#This Row],[Niet verrekenbare btw]]=1,Tb_Activiteiten[[#Headers],[Niet verrekenbare btw]],""))</f>
        <v/>
      </c>
      <c r="AU451" t="str">
        <f>IF(ISNUMBER(FIND("overige",Methode_Keuze)),"",IF(Tb_Activiteiten[[#This Row],[Grondkosten]]=1,Tb_Activiteiten[[#Headers],[Grondkosten]],""))</f>
        <v/>
      </c>
      <c r="AV451" t="str">
        <f>IF(ISNUMBER(FIND("overige",Methode_Keuze)),"",IF(Tb_Activiteiten[[#This Row],[Bijdrage in natura (overige)]]=1,Tb_Activiteiten[[#Headers],[Bijdrage in natura (overige)]],""))</f>
        <v/>
      </c>
      <c r="AW451" t="str">
        <f>IF(ISNUMBER(FIND("overige",Methode_Keuze)),"",IF(Tb_Activiteiten[[#This Row],[Bijdrage in natura (vrijwilligers)]]=1,Tb_Activiteiten[[#Headers],[Bijdrage in natura (vrijwilligers)]],""))</f>
        <v/>
      </c>
      <c r="AX451" t="str">
        <f>IF(ISNUMBER(FIND("overige",Methode_Keuze)),"",IF(Tb_Activiteiten[[#This Row],[Afschrijvingskosten]]=1,Tb_Activiteiten[[#Headers],[Afschrijvingskosten]],""))</f>
        <v/>
      </c>
      <c r="AY451" t="str">
        <f>IF(ISNUMBER(FIND("overige",Methode_Keuze)),"",IF(Tb_Activiteiten[[#This Row],[Vergoeding]]=1,Tb_Activiteiten[[#Headers],[Vergoeding]],""))</f>
        <v/>
      </c>
      <c r="AZ451" t="str">
        <f>IF(ISNUMBER(FIND("arbeid",Methode_Keuze)),"",IF(Tb_Activiteiten[[#This Row],[Arbeidskosten - vast tarief (excl eigen arbeid)]]=1,Tb_Activiteiten[[#Headers],[Arbeidskosten - vast tarief (excl eigen arbeid)]],""))</f>
        <v/>
      </c>
      <c r="BA451" t="str">
        <f>IF(ISNUMBER(FIND("overige",Methode_Keuze)),"",IF(Tb_Activiteiten[[#This Row],[Overige kosten]]=1,Tb_Activiteiten[[#Headers],[Overige kosten]],""))</f>
        <v/>
      </c>
    </row>
    <row r="452" spans="1:53" x14ac:dyDescent="0.25">
      <c r="A452" s="231"/>
      <c r="F452" s="64"/>
      <c r="G452" s="64"/>
      <c r="H452" s="275"/>
      <c r="I452" s="275"/>
      <c r="J452" s="275"/>
      <c r="K452" s="275"/>
      <c r="O452" s="56"/>
      <c r="Q452" t="str">
        <f>IFERROR(IF(VLOOKUP(Tb_Activiteiten[[#This Row],[Openstelling]],Tb_Openstelling[],2,0)=1,1,""),"")</f>
        <v/>
      </c>
      <c r="AK452" t="str">
        <f>IF(ISNUMBER(FIND("arbeid",Methode_Keuze)),"",IF(ISNUMBER(FIND("arbeid",Methode_Keuze)),"",IF(Tb_Activiteiten[[#This Row],[Loonkosten]]=1,Tb_Activiteiten[[#Headers],[Loonkosten]],"")))</f>
        <v/>
      </c>
      <c r="AL452" t="str">
        <f>IF(ISNUMBER(FIND("arbeid",Methode_Keuze)),"",IF(ISNUMBER(FIND("arbeid",Methode_Keuze)),"",IF(Tb_Activiteiten[[#This Row],[Eigen arbeid]]=1,Tb_Activiteiten[[#Headers],[Eigen arbeid]],"")))</f>
        <v/>
      </c>
      <c r="AM452" t="str">
        <f>IF(ISNUMBER(FIND("arbeid",Methode_Keuze)),"",IF(ISNUMBER(FIND("arbeid",Methode_Keuze)),"",IF(Tb_Activiteiten[[#This Row],[Projectmedewerker]]=1,Tb_Activiteiten[[#Headers],[Projectmedewerker]],"")))</f>
        <v/>
      </c>
      <c r="AN452" t="str">
        <f>IF(ISNUMBER(FIND("arbeid",Methode_Keuze)),"",IF(ISNUMBER(FIND("arbeid",Methode_Keuze)),"",IF(Tb_Activiteiten[[#This Row],[Landbouwer]]=1,Tb_Activiteiten[[#Headers],[Landbouwer]],"")))</f>
        <v/>
      </c>
      <c r="AO452" t="str">
        <f>IF(ISNUMBER(FIND("arbeid",Methode_Keuze)),"",IF(ISNUMBER(FIND("arbeid",Methode_Keuze)),"",IF(Tb_Activiteiten[[#This Row],[Adviseur]]=1,Tb_Activiteiten[[#Headers],[Adviseur]],"")))</f>
        <v/>
      </c>
      <c r="AP452" t="str">
        <f>IF(ISNUMBER(FIND("arbeid",Methode_Keuze)),"",IF(ISNUMBER(FIND("arbeid",Methode_Keuze)),"",IF(Tb_Activiteiten[[#This Row],[Projectleider/Expert]]=1,Tb_Activiteiten[[#Headers],[Projectleider/Expert]],"")))</f>
        <v/>
      </c>
      <c r="AQ452" t="str">
        <f>IF(ISNUMBER(FIND("arbeid",Methode_Keuze)),"",IF(ISNUMBER(FIND("arbeid",Methode_Keuze)),"",IF(Tb_Activiteiten[[#This Row],[Arbeidskosten]]=1,Tb_Activiteiten[[#Headers],[Arbeidskosten]],"")))</f>
        <v/>
      </c>
      <c r="AR452" t="str">
        <f>IF(ISNUMBER(FIND("arbeid",Methode_Keuze)),"",IF(ISNUMBER(FIND("arbeid",Methode_Keuze)),"",IF(Tb_Activiteiten[[#This Row],[Arbeidskosten op basis van IKS]]=1,Tb_Activiteiten[[#Headers],[Arbeidskosten op basis van IKS]],"")))</f>
        <v/>
      </c>
      <c r="AS452" t="str">
        <f>IF(ISNUMBER(FIND("overige",Methode_Keuze)),"",IF(Tb_Activiteiten[[#This Row],[Kosten derden exclusief btw]]=1,Tb_Activiteiten[[#Headers],[Kosten derden exclusief btw]],""))</f>
        <v/>
      </c>
      <c r="AT452" t="str">
        <f>IF(ISNUMBER(FIND("overige",Methode_Keuze)),"",IF(Tb_Activiteiten[[#This Row],[Niet verrekenbare btw]]=1,Tb_Activiteiten[[#Headers],[Niet verrekenbare btw]],""))</f>
        <v/>
      </c>
      <c r="AU452" t="str">
        <f>IF(ISNUMBER(FIND("overige",Methode_Keuze)),"",IF(Tb_Activiteiten[[#This Row],[Grondkosten]]=1,Tb_Activiteiten[[#Headers],[Grondkosten]],""))</f>
        <v/>
      </c>
      <c r="AV452" t="str">
        <f>IF(ISNUMBER(FIND("overige",Methode_Keuze)),"",IF(Tb_Activiteiten[[#This Row],[Bijdrage in natura (overige)]]=1,Tb_Activiteiten[[#Headers],[Bijdrage in natura (overige)]],""))</f>
        <v/>
      </c>
      <c r="AW452" t="str">
        <f>IF(ISNUMBER(FIND("overige",Methode_Keuze)),"",IF(Tb_Activiteiten[[#This Row],[Bijdrage in natura (vrijwilligers)]]=1,Tb_Activiteiten[[#Headers],[Bijdrage in natura (vrijwilligers)]],""))</f>
        <v/>
      </c>
      <c r="AX452" t="str">
        <f>IF(ISNUMBER(FIND("overige",Methode_Keuze)),"",IF(Tb_Activiteiten[[#This Row],[Afschrijvingskosten]]=1,Tb_Activiteiten[[#Headers],[Afschrijvingskosten]],""))</f>
        <v/>
      </c>
      <c r="AY452" t="str">
        <f>IF(ISNUMBER(FIND("overige",Methode_Keuze)),"",IF(Tb_Activiteiten[[#This Row],[Vergoeding]]=1,Tb_Activiteiten[[#Headers],[Vergoeding]],""))</f>
        <v/>
      </c>
      <c r="AZ452" t="str">
        <f>IF(ISNUMBER(FIND("arbeid",Methode_Keuze)),"",IF(Tb_Activiteiten[[#This Row],[Arbeidskosten - vast tarief (excl eigen arbeid)]]=1,Tb_Activiteiten[[#Headers],[Arbeidskosten - vast tarief (excl eigen arbeid)]],""))</f>
        <v/>
      </c>
      <c r="BA452" t="str">
        <f>IF(ISNUMBER(FIND("overige",Methode_Keuze)),"",IF(Tb_Activiteiten[[#This Row],[Overige kosten]]=1,Tb_Activiteiten[[#Headers],[Overige kosten]],""))</f>
        <v/>
      </c>
    </row>
    <row r="453" spans="1:53" x14ac:dyDescent="0.25">
      <c r="A453" s="231"/>
      <c r="F453" s="64"/>
      <c r="G453" s="64"/>
      <c r="H453" s="275"/>
      <c r="I453" s="275"/>
      <c r="J453" s="275"/>
      <c r="K453" s="275"/>
      <c r="O453" s="56"/>
      <c r="Q453" t="str">
        <f>IFERROR(IF(VLOOKUP(Tb_Activiteiten[[#This Row],[Openstelling]],Tb_Openstelling[],2,0)=1,1,""),"")</f>
        <v/>
      </c>
      <c r="AK453" t="str">
        <f>IF(ISNUMBER(FIND("arbeid",Methode_Keuze)),"",IF(ISNUMBER(FIND("arbeid",Methode_Keuze)),"",IF(Tb_Activiteiten[[#This Row],[Loonkosten]]=1,Tb_Activiteiten[[#Headers],[Loonkosten]],"")))</f>
        <v/>
      </c>
      <c r="AL453" t="str">
        <f>IF(ISNUMBER(FIND("arbeid",Methode_Keuze)),"",IF(ISNUMBER(FIND("arbeid",Methode_Keuze)),"",IF(Tb_Activiteiten[[#This Row],[Eigen arbeid]]=1,Tb_Activiteiten[[#Headers],[Eigen arbeid]],"")))</f>
        <v/>
      </c>
      <c r="AM453" t="str">
        <f>IF(ISNUMBER(FIND("arbeid",Methode_Keuze)),"",IF(ISNUMBER(FIND("arbeid",Methode_Keuze)),"",IF(Tb_Activiteiten[[#This Row],[Projectmedewerker]]=1,Tb_Activiteiten[[#Headers],[Projectmedewerker]],"")))</f>
        <v/>
      </c>
      <c r="AN453" t="str">
        <f>IF(ISNUMBER(FIND("arbeid",Methode_Keuze)),"",IF(ISNUMBER(FIND("arbeid",Methode_Keuze)),"",IF(Tb_Activiteiten[[#This Row],[Landbouwer]]=1,Tb_Activiteiten[[#Headers],[Landbouwer]],"")))</f>
        <v/>
      </c>
      <c r="AO453" t="str">
        <f>IF(ISNUMBER(FIND("arbeid",Methode_Keuze)),"",IF(ISNUMBER(FIND("arbeid",Methode_Keuze)),"",IF(Tb_Activiteiten[[#This Row],[Adviseur]]=1,Tb_Activiteiten[[#Headers],[Adviseur]],"")))</f>
        <v/>
      </c>
      <c r="AP453" t="str">
        <f>IF(ISNUMBER(FIND("arbeid",Methode_Keuze)),"",IF(ISNUMBER(FIND("arbeid",Methode_Keuze)),"",IF(Tb_Activiteiten[[#This Row],[Projectleider/Expert]]=1,Tb_Activiteiten[[#Headers],[Projectleider/Expert]],"")))</f>
        <v/>
      </c>
      <c r="AQ453" t="str">
        <f>IF(ISNUMBER(FIND("arbeid",Methode_Keuze)),"",IF(ISNUMBER(FIND("arbeid",Methode_Keuze)),"",IF(Tb_Activiteiten[[#This Row],[Arbeidskosten]]=1,Tb_Activiteiten[[#Headers],[Arbeidskosten]],"")))</f>
        <v/>
      </c>
      <c r="AR453" t="str">
        <f>IF(ISNUMBER(FIND("arbeid",Methode_Keuze)),"",IF(ISNUMBER(FIND("arbeid",Methode_Keuze)),"",IF(Tb_Activiteiten[[#This Row],[Arbeidskosten op basis van IKS]]=1,Tb_Activiteiten[[#Headers],[Arbeidskosten op basis van IKS]],"")))</f>
        <v/>
      </c>
      <c r="AS453" t="str">
        <f>IF(ISNUMBER(FIND("overige",Methode_Keuze)),"",IF(Tb_Activiteiten[[#This Row],[Kosten derden exclusief btw]]=1,Tb_Activiteiten[[#Headers],[Kosten derden exclusief btw]],""))</f>
        <v/>
      </c>
      <c r="AT453" t="str">
        <f>IF(ISNUMBER(FIND("overige",Methode_Keuze)),"",IF(Tb_Activiteiten[[#This Row],[Niet verrekenbare btw]]=1,Tb_Activiteiten[[#Headers],[Niet verrekenbare btw]],""))</f>
        <v/>
      </c>
      <c r="AU453" t="str">
        <f>IF(ISNUMBER(FIND("overige",Methode_Keuze)),"",IF(Tb_Activiteiten[[#This Row],[Grondkosten]]=1,Tb_Activiteiten[[#Headers],[Grondkosten]],""))</f>
        <v/>
      </c>
      <c r="AV453" t="str">
        <f>IF(ISNUMBER(FIND("overige",Methode_Keuze)),"",IF(Tb_Activiteiten[[#This Row],[Bijdrage in natura (overige)]]=1,Tb_Activiteiten[[#Headers],[Bijdrage in natura (overige)]],""))</f>
        <v/>
      </c>
      <c r="AW453" t="str">
        <f>IF(ISNUMBER(FIND("overige",Methode_Keuze)),"",IF(Tb_Activiteiten[[#This Row],[Bijdrage in natura (vrijwilligers)]]=1,Tb_Activiteiten[[#Headers],[Bijdrage in natura (vrijwilligers)]],""))</f>
        <v/>
      </c>
      <c r="AX453" t="str">
        <f>IF(ISNUMBER(FIND("overige",Methode_Keuze)),"",IF(Tb_Activiteiten[[#This Row],[Afschrijvingskosten]]=1,Tb_Activiteiten[[#Headers],[Afschrijvingskosten]],""))</f>
        <v/>
      </c>
      <c r="AY453" t="str">
        <f>IF(ISNUMBER(FIND("overige",Methode_Keuze)),"",IF(Tb_Activiteiten[[#This Row],[Vergoeding]]=1,Tb_Activiteiten[[#Headers],[Vergoeding]],""))</f>
        <v/>
      </c>
      <c r="AZ453" t="str">
        <f>IF(ISNUMBER(FIND("arbeid",Methode_Keuze)),"",IF(Tb_Activiteiten[[#This Row],[Arbeidskosten - vast tarief (excl eigen arbeid)]]=1,Tb_Activiteiten[[#Headers],[Arbeidskosten - vast tarief (excl eigen arbeid)]],""))</f>
        <v/>
      </c>
      <c r="BA453" t="str">
        <f>IF(ISNUMBER(FIND("overige",Methode_Keuze)),"",IF(Tb_Activiteiten[[#This Row],[Overige kosten]]=1,Tb_Activiteiten[[#Headers],[Overige kosten]],""))</f>
        <v/>
      </c>
    </row>
    <row r="454" spans="1:53" x14ac:dyDescent="0.25">
      <c r="A454" s="231"/>
      <c r="F454" s="64"/>
      <c r="G454" s="64"/>
      <c r="H454" s="275"/>
      <c r="I454" s="275"/>
      <c r="J454" s="275"/>
      <c r="K454" s="275"/>
      <c r="O454" s="56"/>
      <c r="Q454" t="str">
        <f>IFERROR(IF(VLOOKUP(Tb_Activiteiten[[#This Row],[Openstelling]],Tb_Openstelling[],2,0)=1,1,""),"")</f>
        <v/>
      </c>
      <c r="AK454" t="str">
        <f>IF(ISNUMBER(FIND("arbeid",Methode_Keuze)),"",IF(ISNUMBER(FIND("arbeid",Methode_Keuze)),"",IF(Tb_Activiteiten[[#This Row],[Loonkosten]]=1,Tb_Activiteiten[[#Headers],[Loonkosten]],"")))</f>
        <v/>
      </c>
      <c r="AL454" t="str">
        <f>IF(ISNUMBER(FIND("arbeid",Methode_Keuze)),"",IF(ISNUMBER(FIND("arbeid",Methode_Keuze)),"",IF(Tb_Activiteiten[[#This Row],[Eigen arbeid]]=1,Tb_Activiteiten[[#Headers],[Eigen arbeid]],"")))</f>
        <v/>
      </c>
      <c r="AM454" t="str">
        <f>IF(ISNUMBER(FIND("arbeid",Methode_Keuze)),"",IF(ISNUMBER(FIND("arbeid",Methode_Keuze)),"",IF(Tb_Activiteiten[[#This Row],[Projectmedewerker]]=1,Tb_Activiteiten[[#Headers],[Projectmedewerker]],"")))</f>
        <v/>
      </c>
      <c r="AN454" t="str">
        <f>IF(ISNUMBER(FIND("arbeid",Methode_Keuze)),"",IF(ISNUMBER(FIND("arbeid",Methode_Keuze)),"",IF(Tb_Activiteiten[[#This Row],[Landbouwer]]=1,Tb_Activiteiten[[#Headers],[Landbouwer]],"")))</f>
        <v/>
      </c>
      <c r="AO454" t="str">
        <f>IF(ISNUMBER(FIND("arbeid",Methode_Keuze)),"",IF(ISNUMBER(FIND("arbeid",Methode_Keuze)),"",IF(Tb_Activiteiten[[#This Row],[Adviseur]]=1,Tb_Activiteiten[[#Headers],[Adviseur]],"")))</f>
        <v/>
      </c>
      <c r="AP454" t="str">
        <f>IF(ISNUMBER(FIND("arbeid",Methode_Keuze)),"",IF(ISNUMBER(FIND("arbeid",Methode_Keuze)),"",IF(Tb_Activiteiten[[#This Row],[Projectleider/Expert]]=1,Tb_Activiteiten[[#Headers],[Projectleider/Expert]],"")))</f>
        <v/>
      </c>
      <c r="AQ454" t="str">
        <f>IF(ISNUMBER(FIND("arbeid",Methode_Keuze)),"",IF(ISNUMBER(FIND("arbeid",Methode_Keuze)),"",IF(Tb_Activiteiten[[#This Row],[Arbeidskosten]]=1,Tb_Activiteiten[[#Headers],[Arbeidskosten]],"")))</f>
        <v/>
      </c>
      <c r="AR454" t="str">
        <f>IF(ISNUMBER(FIND("arbeid",Methode_Keuze)),"",IF(ISNUMBER(FIND("arbeid",Methode_Keuze)),"",IF(Tb_Activiteiten[[#This Row],[Arbeidskosten op basis van IKS]]=1,Tb_Activiteiten[[#Headers],[Arbeidskosten op basis van IKS]],"")))</f>
        <v/>
      </c>
      <c r="AS454" t="str">
        <f>IF(ISNUMBER(FIND("overige",Methode_Keuze)),"",IF(Tb_Activiteiten[[#This Row],[Kosten derden exclusief btw]]=1,Tb_Activiteiten[[#Headers],[Kosten derden exclusief btw]],""))</f>
        <v/>
      </c>
      <c r="AT454" t="str">
        <f>IF(ISNUMBER(FIND("overige",Methode_Keuze)),"",IF(Tb_Activiteiten[[#This Row],[Niet verrekenbare btw]]=1,Tb_Activiteiten[[#Headers],[Niet verrekenbare btw]],""))</f>
        <v/>
      </c>
      <c r="AU454" t="str">
        <f>IF(ISNUMBER(FIND("overige",Methode_Keuze)),"",IF(Tb_Activiteiten[[#This Row],[Grondkosten]]=1,Tb_Activiteiten[[#Headers],[Grondkosten]],""))</f>
        <v/>
      </c>
      <c r="AV454" t="str">
        <f>IF(ISNUMBER(FIND("overige",Methode_Keuze)),"",IF(Tb_Activiteiten[[#This Row],[Bijdrage in natura (overige)]]=1,Tb_Activiteiten[[#Headers],[Bijdrage in natura (overige)]],""))</f>
        <v/>
      </c>
      <c r="AW454" t="str">
        <f>IF(ISNUMBER(FIND("overige",Methode_Keuze)),"",IF(Tb_Activiteiten[[#This Row],[Bijdrage in natura (vrijwilligers)]]=1,Tb_Activiteiten[[#Headers],[Bijdrage in natura (vrijwilligers)]],""))</f>
        <v/>
      </c>
      <c r="AX454" t="str">
        <f>IF(ISNUMBER(FIND("overige",Methode_Keuze)),"",IF(Tb_Activiteiten[[#This Row],[Afschrijvingskosten]]=1,Tb_Activiteiten[[#Headers],[Afschrijvingskosten]],""))</f>
        <v/>
      </c>
      <c r="AY454" t="str">
        <f>IF(ISNUMBER(FIND("overige",Methode_Keuze)),"",IF(Tb_Activiteiten[[#This Row],[Vergoeding]]=1,Tb_Activiteiten[[#Headers],[Vergoeding]],""))</f>
        <v/>
      </c>
      <c r="AZ454" t="str">
        <f>IF(ISNUMBER(FIND("arbeid",Methode_Keuze)),"",IF(Tb_Activiteiten[[#This Row],[Arbeidskosten - vast tarief (excl eigen arbeid)]]=1,Tb_Activiteiten[[#Headers],[Arbeidskosten - vast tarief (excl eigen arbeid)]],""))</f>
        <v/>
      </c>
      <c r="BA454" t="str">
        <f>IF(ISNUMBER(FIND("overige",Methode_Keuze)),"",IF(Tb_Activiteiten[[#This Row],[Overige kosten]]=1,Tb_Activiteiten[[#Headers],[Overige kosten]],""))</f>
        <v/>
      </c>
    </row>
    <row r="455" spans="1:53" x14ac:dyDescent="0.25">
      <c r="A455" s="231"/>
      <c r="F455" s="64"/>
      <c r="G455" s="64"/>
      <c r="H455" s="275"/>
      <c r="I455" s="275"/>
      <c r="J455" s="275"/>
      <c r="K455" s="275"/>
      <c r="O455" s="56"/>
      <c r="Q455" t="str">
        <f>IFERROR(IF(VLOOKUP(Tb_Activiteiten[[#This Row],[Openstelling]],Tb_Openstelling[],2,0)=1,1,""),"")</f>
        <v/>
      </c>
      <c r="AK455" t="str">
        <f>IF(ISNUMBER(FIND("arbeid",Methode_Keuze)),"",IF(ISNUMBER(FIND("arbeid",Methode_Keuze)),"",IF(Tb_Activiteiten[[#This Row],[Loonkosten]]=1,Tb_Activiteiten[[#Headers],[Loonkosten]],"")))</f>
        <v/>
      </c>
      <c r="AL455" t="str">
        <f>IF(ISNUMBER(FIND("arbeid",Methode_Keuze)),"",IF(ISNUMBER(FIND("arbeid",Methode_Keuze)),"",IF(Tb_Activiteiten[[#This Row],[Eigen arbeid]]=1,Tb_Activiteiten[[#Headers],[Eigen arbeid]],"")))</f>
        <v/>
      </c>
      <c r="AM455" t="str">
        <f>IF(ISNUMBER(FIND("arbeid",Methode_Keuze)),"",IF(ISNUMBER(FIND("arbeid",Methode_Keuze)),"",IF(Tb_Activiteiten[[#This Row],[Projectmedewerker]]=1,Tb_Activiteiten[[#Headers],[Projectmedewerker]],"")))</f>
        <v/>
      </c>
      <c r="AN455" t="str">
        <f>IF(ISNUMBER(FIND("arbeid",Methode_Keuze)),"",IF(ISNUMBER(FIND("arbeid",Methode_Keuze)),"",IF(Tb_Activiteiten[[#This Row],[Landbouwer]]=1,Tb_Activiteiten[[#Headers],[Landbouwer]],"")))</f>
        <v/>
      </c>
      <c r="AO455" t="str">
        <f>IF(ISNUMBER(FIND("arbeid",Methode_Keuze)),"",IF(ISNUMBER(FIND("arbeid",Methode_Keuze)),"",IF(Tb_Activiteiten[[#This Row],[Adviseur]]=1,Tb_Activiteiten[[#Headers],[Adviseur]],"")))</f>
        <v/>
      </c>
      <c r="AP455" t="str">
        <f>IF(ISNUMBER(FIND("arbeid",Methode_Keuze)),"",IF(ISNUMBER(FIND("arbeid",Methode_Keuze)),"",IF(Tb_Activiteiten[[#This Row],[Projectleider/Expert]]=1,Tb_Activiteiten[[#Headers],[Projectleider/Expert]],"")))</f>
        <v/>
      </c>
      <c r="AQ455" t="str">
        <f>IF(ISNUMBER(FIND("arbeid",Methode_Keuze)),"",IF(ISNUMBER(FIND("arbeid",Methode_Keuze)),"",IF(Tb_Activiteiten[[#This Row],[Arbeidskosten]]=1,Tb_Activiteiten[[#Headers],[Arbeidskosten]],"")))</f>
        <v/>
      </c>
      <c r="AR455" t="str">
        <f>IF(ISNUMBER(FIND("arbeid",Methode_Keuze)),"",IF(ISNUMBER(FIND("arbeid",Methode_Keuze)),"",IF(Tb_Activiteiten[[#This Row],[Arbeidskosten op basis van IKS]]=1,Tb_Activiteiten[[#Headers],[Arbeidskosten op basis van IKS]],"")))</f>
        <v/>
      </c>
      <c r="AS455" t="str">
        <f>IF(ISNUMBER(FIND("overige",Methode_Keuze)),"",IF(Tb_Activiteiten[[#This Row],[Kosten derden exclusief btw]]=1,Tb_Activiteiten[[#Headers],[Kosten derden exclusief btw]],""))</f>
        <v/>
      </c>
      <c r="AT455" t="str">
        <f>IF(ISNUMBER(FIND("overige",Methode_Keuze)),"",IF(Tb_Activiteiten[[#This Row],[Niet verrekenbare btw]]=1,Tb_Activiteiten[[#Headers],[Niet verrekenbare btw]],""))</f>
        <v/>
      </c>
      <c r="AU455" t="str">
        <f>IF(ISNUMBER(FIND("overige",Methode_Keuze)),"",IF(Tb_Activiteiten[[#This Row],[Grondkosten]]=1,Tb_Activiteiten[[#Headers],[Grondkosten]],""))</f>
        <v/>
      </c>
      <c r="AV455" t="str">
        <f>IF(ISNUMBER(FIND("overige",Methode_Keuze)),"",IF(Tb_Activiteiten[[#This Row],[Bijdrage in natura (overige)]]=1,Tb_Activiteiten[[#Headers],[Bijdrage in natura (overige)]],""))</f>
        <v/>
      </c>
      <c r="AW455" t="str">
        <f>IF(ISNUMBER(FIND("overige",Methode_Keuze)),"",IF(Tb_Activiteiten[[#This Row],[Bijdrage in natura (vrijwilligers)]]=1,Tb_Activiteiten[[#Headers],[Bijdrage in natura (vrijwilligers)]],""))</f>
        <v/>
      </c>
      <c r="AX455" t="str">
        <f>IF(ISNUMBER(FIND("overige",Methode_Keuze)),"",IF(Tb_Activiteiten[[#This Row],[Afschrijvingskosten]]=1,Tb_Activiteiten[[#Headers],[Afschrijvingskosten]],""))</f>
        <v/>
      </c>
      <c r="AY455" t="str">
        <f>IF(ISNUMBER(FIND("overige",Methode_Keuze)),"",IF(Tb_Activiteiten[[#This Row],[Vergoeding]]=1,Tb_Activiteiten[[#Headers],[Vergoeding]],""))</f>
        <v/>
      </c>
      <c r="AZ455" t="str">
        <f>IF(ISNUMBER(FIND("arbeid",Methode_Keuze)),"",IF(Tb_Activiteiten[[#This Row],[Arbeidskosten - vast tarief (excl eigen arbeid)]]=1,Tb_Activiteiten[[#Headers],[Arbeidskosten - vast tarief (excl eigen arbeid)]],""))</f>
        <v/>
      </c>
      <c r="BA455" t="str">
        <f>IF(ISNUMBER(FIND("overige",Methode_Keuze)),"",IF(Tb_Activiteiten[[#This Row],[Overige kosten]]=1,Tb_Activiteiten[[#Headers],[Overige kosten]],""))</f>
        <v/>
      </c>
    </row>
    <row r="456" spans="1:53" x14ac:dyDescent="0.25">
      <c r="A456" s="231"/>
      <c r="F456" s="64"/>
      <c r="G456" s="64"/>
      <c r="H456" s="275"/>
      <c r="I456" s="275"/>
      <c r="J456" s="275"/>
      <c r="K456" s="275"/>
      <c r="O456" s="56"/>
      <c r="Q456" t="str">
        <f>IFERROR(IF(VLOOKUP(Tb_Activiteiten[[#This Row],[Openstelling]],Tb_Openstelling[],2,0)=1,1,""),"")</f>
        <v/>
      </c>
      <c r="AK456" t="str">
        <f>IF(ISNUMBER(FIND("arbeid",Methode_Keuze)),"",IF(ISNUMBER(FIND("arbeid",Methode_Keuze)),"",IF(Tb_Activiteiten[[#This Row],[Loonkosten]]=1,Tb_Activiteiten[[#Headers],[Loonkosten]],"")))</f>
        <v/>
      </c>
      <c r="AL456" t="str">
        <f>IF(ISNUMBER(FIND("arbeid",Methode_Keuze)),"",IF(ISNUMBER(FIND("arbeid",Methode_Keuze)),"",IF(Tb_Activiteiten[[#This Row],[Eigen arbeid]]=1,Tb_Activiteiten[[#Headers],[Eigen arbeid]],"")))</f>
        <v/>
      </c>
      <c r="AM456" t="str">
        <f>IF(ISNUMBER(FIND("arbeid",Methode_Keuze)),"",IF(ISNUMBER(FIND("arbeid",Methode_Keuze)),"",IF(Tb_Activiteiten[[#This Row],[Projectmedewerker]]=1,Tb_Activiteiten[[#Headers],[Projectmedewerker]],"")))</f>
        <v/>
      </c>
      <c r="AN456" t="str">
        <f>IF(ISNUMBER(FIND("arbeid",Methode_Keuze)),"",IF(ISNUMBER(FIND("arbeid",Methode_Keuze)),"",IF(Tb_Activiteiten[[#This Row],[Landbouwer]]=1,Tb_Activiteiten[[#Headers],[Landbouwer]],"")))</f>
        <v/>
      </c>
      <c r="AO456" t="str">
        <f>IF(ISNUMBER(FIND("arbeid",Methode_Keuze)),"",IF(ISNUMBER(FIND("arbeid",Methode_Keuze)),"",IF(Tb_Activiteiten[[#This Row],[Adviseur]]=1,Tb_Activiteiten[[#Headers],[Adviseur]],"")))</f>
        <v/>
      </c>
      <c r="AP456" t="str">
        <f>IF(ISNUMBER(FIND("arbeid",Methode_Keuze)),"",IF(ISNUMBER(FIND("arbeid",Methode_Keuze)),"",IF(Tb_Activiteiten[[#This Row],[Projectleider/Expert]]=1,Tb_Activiteiten[[#Headers],[Projectleider/Expert]],"")))</f>
        <v/>
      </c>
      <c r="AQ456" t="str">
        <f>IF(ISNUMBER(FIND("arbeid",Methode_Keuze)),"",IF(ISNUMBER(FIND("arbeid",Methode_Keuze)),"",IF(Tb_Activiteiten[[#This Row],[Arbeidskosten]]=1,Tb_Activiteiten[[#Headers],[Arbeidskosten]],"")))</f>
        <v/>
      </c>
      <c r="AR456" t="str">
        <f>IF(ISNUMBER(FIND("arbeid",Methode_Keuze)),"",IF(ISNUMBER(FIND("arbeid",Methode_Keuze)),"",IF(Tb_Activiteiten[[#This Row],[Arbeidskosten op basis van IKS]]=1,Tb_Activiteiten[[#Headers],[Arbeidskosten op basis van IKS]],"")))</f>
        <v/>
      </c>
      <c r="AS456" t="str">
        <f>IF(ISNUMBER(FIND("overige",Methode_Keuze)),"",IF(Tb_Activiteiten[[#This Row],[Kosten derden exclusief btw]]=1,Tb_Activiteiten[[#Headers],[Kosten derden exclusief btw]],""))</f>
        <v/>
      </c>
      <c r="AT456" t="str">
        <f>IF(ISNUMBER(FIND("overige",Methode_Keuze)),"",IF(Tb_Activiteiten[[#This Row],[Niet verrekenbare btw]]=1,Tb_Activiteiten[[#Headers],[Niet verrekenbare btw]],""))</f>
        <v/>
      </c>
      <c r="AU456" t="str">
        <f>IF(ISNUMBER(FIND("overige",Methode_Keuze)),"",IF(Tb_Activiteiten[[#This Row],[Grondkosten]]=1,Tb_Activiteiten[[#Headers],[Grondkosten]],""))</f>
        <v/>
      </c>
      <c r="AV456" t="str">
        <f>IF(ISNUMBER(FIND("overige",Methode_Keuze)),"",IF(Tb_Activiteiten[[#This Row],[Bijdrage in natura (overige)]]=1,Tb_Activiteiten[[#Headers],[Bijdrage in natura (overige)]],""))</f>
        <v/>
      </c>
      <c r="AW456" t="str">
        <f>IF(ISNUMBER(FIND("overige",Methode_Keuze)),"",IF(Tb_Activiteiten[[#This Row],[Bijdrage in natura (vrijwilligers)]]=1,Tb_Activiteiten[[#Headers],[Bijdrage in natura (vrijwilligers)]],""))</f>
        <v/>
      </c>
      <c r="AX456" t="str">
        <f>IF(ISNUMBER(FIND("overige",Methode_Keuze)),"",IF(Tb_Activiteiten[[#This Row],[Afschrijvingskosten]]=1,Tb_Activiteiten[[#Headers],[Afschrijvingskosten]],""))</f>
        <v/>
      </c>
      <c r="AY456" t="str">
        <f>IF(ISNUMBER(FIND("overige",Methode_Keuze)),"",IF(Tb_Activiteiten[[#This Row],[Vergoeding]]=1,Tb_Activiteiten[[#Headers],[Vergoeding]],""))</f>
        <v/>
      </c>
      <c r="AZ456" t="str">
        <f>IF(ISNUMBER(FIND("arbeid",Methode_Keuze)),"",IF(Tb_Activiteiten[[#This Row],[Arbeidskosten - vast tarief (excl eigen arbeid)]]=1,Tb_Activiteiten[[#Headers],[Arbeidskosten - vast tarief (excl eigen arbeid)]],""))</f>
        <v/>
      </c>
      <c r="BA456" t="str">
        <f>IF(ISNUMBER(FIND("overige",Methode_Keuze)),"",IF(Tb_Activiteiten[[#This Row],[Overige kosten]]=1,Tb_Activiteiten[[#Headers],[Overige kosten]],""))</f>
        <v/>
      </c>
    </row>
    <row r="457" spans="1:53" x14ac:dyDescent="0.25">
      <c r="A457" s="231"/>
      <c r="F457" s="64"/>
      <c r="G457" s="64"/>
      <c r="H457" s="275"/>
      <c r="I457" s="275"/>
      <c r="J457" s="275"/>
      <c r="K457" s="275"/>
      <c r="O457" s="56"/>
      <c r="Q457" t="str">
        <f>IFERROR(IF(VLOOKUP(Tb_Activiteiten[[#This Row],[Openstelling]],Tb_Openstelling[],2,0)=1,1,""),"")</f>
        <v/>
      </c>
      <c r="AK457" t="str">
        <f>IF(ISNUMBER(FIND("arbeid",Methode_Keuze)),"",IF(ISNUMBER(FIND("arbeid",Methode_Keuze)),"",IF(Tb_Activiteiten[[#This Row],[Loonkosten]]=1,Tb_Activiteiten[[#Headers],[Loonkosten]],"")))</f>
        <v/>
      </c>
      <c r="AL457" t="str">
        <f>IF(ISNUMBER(FIND("arbeid",Methode_Keuze)),"",IF(ISNUMBER(FIND("arbeid",Methode_Keuze)),"",IF(Tb_Activiteiten[[#This Row],[Eigen arbeid]]=1,Tb_Activiteiten[[#Headers],[Eigen arbeid]],"")))</f>
        <v/>
      </c>
      <c r="AM457" t="str">
        <f>IF(ISNUMBER(FIND("arbeid",Methode_Keuze)),"",IF(ISNUMBER(FIND("arbeid",Methode_Keuze)),"",IF(Tb_Activiteiten[[#This Row],[Projectmedewerker]]=1,Tb_Activiteiten[[#Headers],[Projectmedewerker]],"")))</f>
        <v/>
      </c>
      <c r="AN457" t="str">
        <f>IF(ISNUMBER(FIND("arbeid",Methode_Keuze)),"",IF(ISNUMBER(FIND("arbeid",Methode_Keuze)),"",IF(Tb_Activiteiten[[#This Row],[Landbouwer]]=1,Tb_Activiteiten[[#Headers],[Landbouwer]],"")))</f>
        <v/>
      </c>
      <c r="AO457" t="str">
        <f>IF(ISNUMBER(FIND("arbeid",Methode_Keuze)),"",IF(ISNUMBER(FIND("arbeid",Methode_Keuze)),"",IF(Tb_Activiteiten[[#This Row],[Adviseur]]=1,Tb_Activiteiten[[#Headers],[Adviseur]],"")))</f>
        <v/>
      </c>
      <c r="AP457" t="str">
        <f>IF(ISNUMBER(FIND("arbeid",Methode_Keuze)),"",IF(ISNUMBER(FIND("arbeid",Methode_Keuze)),"",IF(Tb_Activiteiten[[#This Row],[Projectleider/Expert]]=1,Tb_Activiteiten[[#Headers],[Projectleider/Expert]],"")))</f>
        <v/>
      </c>
      <c r="AQ457" t="str">
        <f>IF(ISNUMBER(FIND("arbeid",Methode_Keuze)),"",IF(ISNUMBER(FIND("arbeid",Methode_Keuze)),"",IF(Tb_Activiteiten[[#This Row],[Arbeidskosten]]=1,Tb_Activiteiten[[#Headers],[Arbeidskosten]],"")))</f>
        <v/>
      </c>
      <c r="AR457" t="str">
        <f>IF(ISNUMBER(FIND("arbeid",Methode_Keuze)),"",IF(ISNUMBER(FIND("arbeid",Methode_Keuze)),"",IF(Tb_Activiteiten[[#This Row],[Arbeidskosten op basis van IKS]]=1,Tb_Activiteiten[[#Headers],[Arbeidskosten op basis van IKS]],"")))</f>
        <v/>
      </c>
      <c r="AS457" t="str">
        <f>IF(ISNUMBER(FIND("overige",Methode_Keuze)),"",IF(Tb_Activiteiten[[#This Row],[Kosten derden exclusief btw]]=1,Tb_Activiteiten[[#Headers],[Kosten derden exclusief btw]],""))</f>
        <v/>
      </c>
      <c r="AT457" t="str">
        <f>IF(ISNUMBER(FIND("overige",Methode_Keuze)),"",IF(Tb_Activiteiten[[#This Row],[Niet verrekenbare btw]]=1,Tb_Activiteiten[[#Headers],[Niet verrekenbare btw]],""))</f>
        <v/>
      </c>
      <c r="AU457" t="str">
        <f>IF(ISNUMBER(FIND("overige",Methode_Keuze)),"",IF(Tb_Activiteiten[[#This Row],[Grondkosten]]=1,Tb_Activiteiten[[#Headers],[Grondkosten]],""))</f>
        <v/>
      </c>
      <c r="AV457" t="str">
        <f>IF(ISNUMBER(FIND("overige",Methode_Keuze)),"",IF(Tb_Activiteiten[[#This Row],[Bijdrage in natura (overige)]]=1,Tb_Activiteiten[[#Headers],[Bijdrage in natura (overige)]],""))</f>
        <v/>
      </c>
      <c r="AW457" t="str">
        <f>IF(ISNUMBER(FIND("overige",Methode_Keuze)),"",IF(Tb_Activiteiten[[#This Row],[Bijdrage in natura (vrijwilligers)]]=1,Tb_Activiteiten[[#Headers],[Bijdrage in natura (vrijwilligers)]],""))</f>
        <v/>
      </c>
      <c r="AX457" t="str">
        <f>IF(ISNUMBER(FIND("overige",Methode_Keuze)),"",IF(Tb_Activiteiten[[#This Row],[Afschrijvingskosten]]=1,Tb_Activiteiten[[#Headers],[Afschrijvingskosten]],""))</f>
        <v/>
      </c>
      <c r="AY457" t="str">
        <f>IF(ISNUMBER(FIND("overige",Methode_Keuze)),"",IF(Tb_Activiteiten[[#This Row],[Vergoeding]]=1,Tb_Activiteiten[[#Headers],[Vergoeding]],""))</f>
        <v/>
      </c>
      <c r="AZ457" t="str">
        <f>IF(ISNUMBER(FIND("arbeid",Methode_Keuze)),"",IF(Tb_Activiteiten[[#This Row],[Arbeidskosten - vast tarief (excl eigen arbeid)]]=1,Tb_Activiteiten[[#Headers],[Arbeidskosten - vast tarief (excl eigen arbeid)]],""))</f>
        <v/>
      </c>
      <c r="BA457" t="str">
        <f>IF(ISNUMBER(FIND("overige",Methode_Keuze)),"",IF(Tb_Activiteiten[[#This Row],[Overige kosten]]=1,Tb_Activiteiten[[#Headers],[Overige kosten]],""))</f>
        <v/>
      </c>
    </row>
    <row r="458" spans="1:53" x14ac:dyDescent="0.25">
      <c r="A458" s="231"/>
      <c r="F458" s="64"/>
      <c r="G458" s="64"/>
      <c r="H458" s="275"/>
      <c r="I458" s="275"/>
      <c r="J458" s="275"/>
      <c r="K458" s="275"/>
      <c r="O458" s="56"/>
      <c r="Q458" t="str">
        <f>IFERROR(IF(VLOOKUP(Tb_Activiteiten[[#This Row],[Openstelling]],Tb_Openstelling[],2,0)=1,1,""),"")</f>
        <v/>
      </c>
      <c r="AK458" t="str">
        <f>IF(ISNUMBER(FIND("arbeid",Methode_Keuze)),"",IF(ISNUMBER(FIND("arbeid",Methode_Keuze)),"",IF(Tb_Activiteiten[[#This Row],[Loonkosten]]=1,Tb_Activiteiten[[#Headers],[Loonkosten]],"")))</f>
        <v/>
      </c>
      <c r="AL458" t="str">
        <f>IF(ISNUMBER(FIND("arbeid",Methode_Keuze)),"",IF(ISNUMBER(FIND("arbeid",Methode_Keuze)),"",IF(Tb_Activiteiten[[#This Row],[Eigen arbeid]]=1,Tb_Activiteiten[[#Headers],[Eigen arbeid]],"")))</f>
        <v/>
      </c>
      <c r="AM458" t="str">
        <f>IF(ISNUMBER(FIND("arbeid",Methode_Keuze)),"",IF(ISNUMBER(FIND("arbeid",Methode_Keuze)),"",IF(Tb_Activiteiten[[#This Row],[Projectmedewerker]]=1,Tb_Activiteiten[[#Headers],[Projectmedewerker]],"")))</f>
        <v/>
      </c>
      <c r="AN458" t="str">
        <f>IF(ISNUMBER(FIND("arbeid",Methode_Keuze)),"",IF(ISNUMBER(FIND("arbeid",Methode_Keuze)),"",IF(Tb_Activiteiten[[#This Row],[Landbouwer]]=1,Tb_Activiteiten[[#Headers],[Landbouwer]],"")))</f>
        <v/>
      </c>
      <c r="AO458" t="str">
        <f>IF(ISNUMBER(FIND("arbeid",Methode_Keuze)),"",IF(ISNUMBER(FIND("arbeid",Methode_Keuze)),"",IF(Tb_Activiteiten[[#This Row],[Adviseur]]=1,Tb_Activiteiten[[#Headers],[Adviseur]],"")))</f>
        <v/>
      </c>
      <c r="AP458" t="str">
        <f>IF(ISNUMBER(FIND("arbeid",Methode_Keuze)),"",IF(ISNUMBER(FIND("arbeid",Methode_Keuze)),"",IF(Tb_Activiteiten[[#This Row],[Projectleider/Expert]]=1,Tb_Activiteiten[[#Headers],[Projectleider/Expert]],"")))</f>
        <v/>
      </c>
      <c r="AQ458" t="str">
        <f>IF(ISNUMBER(FIND("arbeid",Methode_Keuze)),"",IF(ISNUMBER(FIND("arbeid",Methode_Keuze)),"",IF(Tb_Activiteiten[[#This Row],[Arbeidskosten]]=1,Tb_Activiteiten[[#Headers],[Arbeidskosten]],"")))</f>
        <v/>
      </c>
      <c r="AR458" t="str">
        <f>IF(ISNUMBER(FIND("arbeid",Methode_Keuze)),"",IF(ISNUMBER(FIND("arbeid",Methode_Keuze)),"",IF(Tb_Activiteiten[[#This Row],[Arbeidskosten op basis van IKS]]=1,Tb_Activiteiten[[#Headers],[Arbeidskosten op basis van IKS]],"")))</f>
        <v/>
      </c>
      <c r="AS458" t="str">
        <f>IF(ISNUMBER(FIND("overige",Methode_Keuze)),"",IF(Tb_Activiteiten[[#This Row],[Kosten derden exclusief btw]]=1,Tb_Activiteiten[[#Headers],[Kosten derden exclusief btw]],""))</f>
        <v/>
      </c>
      <c r="AT458" t="str">
        <f>IF(ISNUMBER(FIND("overige",Methode_Keuze)),"",IF(Tb_Activiteiten[[#This Row],[Niet verrekenbare btw]]=1,Tb_Activiteiten[[#Headers],[Niet verrekenbare btw]],""))</f>
        <v/>
      </c>
      <c r="AU458" t="str">
        <f>IF(ISNUMBER(FIND("overige",Methode_Keuze)),"",IF(Tb_Activiteiten[[#This Row],[Grondkosten]]=1,Tb_Activiteiten[[#Headers],[Grondkosten]],""))</f>
        <v/>
      </c>
      <c r="AV458" t="str">
        <f>IF(ISNUMBER(FIND("overige",Methode_Keuze)),"",IF(Tb_Activiteiten[[#This Row],[Bijdrage in natura (overige)]]=1,Tb_Activiteiten[[#Headers],[Bijdrage in natura (overige)]],""))</f>
        <v/>
      </c>
      <c r="AW458" t="str">
        <f>IF(ISNUMBER(FIND("overige",Methode_Keuze)),"",IF(Tb_Activiteiten[[#This Row],[Bijdrage in natura (vrijwilligers)]]=1,Tb_Activiteiten[[#Headers],[Bijdrage in natura (vrijwilligers)]],""))</f>
        <v/>
      </c>
      <c r="AX458" t="str">
        <f>IF(ISNUMBER(FIND("overige",Methode_Keuze)),"",IF(Tb_Activiteiten[[#This Row],[Afschrijvingskosten]]=1,Tb_Activiteiten[[#Headers],[Afschrijvingskosten]],""))</f>
        <v/>
      </c>
      <c r="AY458" t="str">
        <f>IF(ISNUMBER(FIND("overige",Methode_Keuze)),"",IF(Tb_Activiteiten[[#This Row],[Vergoeding]]=1,Tb_Activiteiten[[#Headers],[Vergoeding]],""))</f>
        <v/>
      </c>
      <c r="AZ458" t="str">
        <f>IF(ISNUMBER(FIND("arbeid",Methode_Keuze)),"",IF(Tb_Activiteiten[[#This Row],[Arbeidskosten - vast tarief (excl eigen arbeid)]]=1,Tb_Activiteiten[[#Headers],[Arbeidskosten - vast tarief (excl eigen arbeid)]],""))</f>
        <v/>
      </c>
      <c r="BA458" t="str">
        <f>IF(ISNUMBER(FIND("overige",Methode_Keuze)),"",IF(Tb_Activiteiten[[#This Row],[Overige kosten]]=1,Tb_Activiteiten[[#Headers],[Overige kosten]],""))</f>
        <v/>
      </c>
    </row>
    <row r="459" spans="1:53" x14ac:dyDescent="0.25">
      <c r="A459" s="231"/>
      <c r="F459" s="64"/>
      <c r="G459" s="64"/>
      <c r="H459" s="275"/>
      <c r="I459" s="275"/>
      <c r="J459" s="275"/>
      <c r="K459" s="275"/>
      <c r="O459" s="56"/>
      <c r="Q459" t="str">
        <f>IFERROR(IF(VLOOKUP(Tb_Activiteiten[[#This Row],[Openstelling]],Tb_Openstelling[],2,0)=1,1,""),"")</f>
        <v/>
      </c>
      <c r="AK459" t="str">
        <f>IF(ISNUMBER(FIND("arbeid",Methode_Keuze)),"",IF(ISNUMBER(FIND("arbeid",Methode_Keuze)),"",IF(Tb_Activiteiten[[#This Row],[Loonkosten]]=1,Tb_Activiteiten[[#Headers],[Loonkosten]],"")))</f>
        <v/>
      </c>
      <c r="AL459" t="str">
        <f>IF(ISNUMBER(FIND("arbeid",Methode_Keuze)),"",IF(ISNUMBER(FIND("arbeid",Methode_Keuze)),"",IF(Tb_Activiteiten[[#This Row],[Eigen arbeid]]=1,Tb_Activiteiten[[#Headers],[Eigen arbeid]],"")))</f>
        <v/>
      </c>
      <c r="AM459" t="str">
        <f>IF(ISNUMBER(FIND("arbeid",Methode_Keuze)),"",IF(ISNUMBER(FIND("arbeid",Methode_Keuze)),"",IF(Tb_Activiteiten[[#This Row],[Projectmedewerker]]=1,Tb_Activiteiten[[#Headers],[Projectmedewerker]],"")))</f>
        <v/>
      </c>
      <c r="AN459" t="str">
        <f>IF(ISNUMBER(FIND("arbeid",Methode_Keuze)),"",IF(ISNUMBER(FIND("arbeid",Methode_Keuze)),"",IF(Tb_Activiteiten[[#This Row],[Landbouwer]]=1,Tb_Activiteiten[[#Headers],[Landbouwer]],"")))</f>
        <v/>
      </c>
      <c r="AO459" t="str">
        <f>IF(ISNUMBER(FIND("arbeid",Methode_Keuze)),"",IF(ISNUMBER(FIND("arbeid",Methode_Keuze)),"",IF(Tb_Activiteiten[[#This Row],[Adviseur]]=1,Tb_Activiteiten[[#Headers],[Adviseur]],"")))</f>
        <v/>
      </c>
      <c r="AP459" t="str">
        <f>IF(ISNUMBER(FIND("arbeid",Methode_Keuze)),"",IF(ISNUMBER(FIND("arbeid",Methode_Keuze)),"",IF(Tb_Activiteiten[[#This Row],[Projectleider/Expert]]=1,Tb_Activiteiten[[#Headers],[Projectleider/Expert]],"")))</f>
        <v/>
      </c>
      <c r="AQ459" t="str">
        <f>IF(ISNUMBER(FIND("arbeid",Methode_Keuze)),"",IF(ISNUMBER(FIND("arbeid",Methode_Keuze)),"",IF(Tb_Activiteiten[[#This Row],[Arbeidskosten]]=1,Tb_Activiteiten[[#Headers],[Arbeidskosten]],"")))</f>
        <v/>
      </c>
      <c r="AR459" t="str">
        <f>IF(ISNUMBER(FIND("arbeid",Methode_Keuze)),"",IF(ISNUMBER(FIND("arbeid",Methode_Keuze)),"",IF(Tb_Activiteiten[[#This Row],[Arbeidskosten op basis van IKS]]=1,Tb_Activiteiten[[#Headers],[Arbeidskosten op basis van IKS]],"")))</f>
        <v/>
      </c>
      <c r="AS459" t="str">
        <f>IF(ISNUMBER(FIND("overige",Methode_Keuze)),"",IF(Tb_Activiteiten[[#This Row],[Kosten derden exclusief btw]]=1,Tb_Activiteiten[[#Headers],[Kosten derden exclusief btw]],""))</f>
        <v/>
      </c>
      <c r="AT459" t="str">
        <f>IF(ISNUMBER(FIND("overige",Methode_Keuze)),"",IF(Tb_Activiteiten[[#This Row],[Niet verrekenbare btw]]=1,Tb_Activiteiten[[#Headers],[Niet verrekenbare btw]],""))</f>
        <v/>
      </c>
      <c r="AU459" t="str">
        <f>IF(ISNUMBER(FIND("overige",Methode_Keuze)),"",IF(Tb_Activiteiten[[#This Row],[Grondkosten]]=1,Tb_Activiteiten[[#Headers],[Grondkosten]],""))</f>
        <v/>
      </c>
      <c r="AV459" t="str">
        <f>IF(ISNUMBER(FIND("overige",Methode_Keuze)),"",IF(Tb_Activiteiten[[#This Row],[Bijdrage in natura (overige)]]=1,Tb_Activiteiten[[#Headers],[Bijdrage in natura (overige)]],""))</f>
        <v/>
      </c>
      <c r="AW459" t="str">
        <f>IF(ISNUMBER(FIND("overige",Methode_Keuze)),"",IF(Tb_Activiteiten[[#This Row],[Bijdrage in natura (vrijwilligers)]]=1,Tb_Activiteiten[[#Headers],[Bijdrage in natura (vrijwilligers)]],""))</f>
        <v/>
      </c>
      <c r="AX459" t="str">
        <f>IF(ISNUMBER(FIND("overige",Methode_Keuze)),"",IF(Tb_Activiteiten[[#This Row],[Afschrijvingskosten]]=1,Tb_Activiteiten[[#Headers],[Afschrijvingskosten]],""))</f>
        <v/>
      </c>
      <c r="AY459" t="str">
        <f>IF(ISNUMBER(FIND("overige",Methode_Keuze)),"",IF(Tb_Activiteiten[[#This Row],[Vergoeding]]=1,Tb_Activiteiten[[#Headers],[Vergoeding]],""))</f>
        <v/>
      </c>
      <c r="AZ459" t="str">
        <f>IF(ISNUMBER(FIND("arbeid",Methode_Keuze)),"",IF(Tb_Activiteiten[[#This Row],[Arbeidskosten - vast tarief (excl eigen arbeid)]]=1,Tb_Activiteiten[[#Headers],[Arbeidskosten - vast tarief (excl eigen arbeid)]],""))</f>
        <v/>
      </c>
      <c r="BA459" t="str">
        <f>IF(ISNUMBER(FIND("overige",Methode_Keuze)),"",IF(Tb_Activiteiten[[#This Row],[Overige kosten]]=1,Tb_Activiteiten[[#Headers],[Overige kosten]],""))</f>
        <v/>
      </c>
    </row>
    <row r="460" spans="1:53" x14ac:dyDescent="0.25">
      <c r="A460" s="231"/>
      <c r="F460" s="64"/>
      <c r="G460" s="64"/>
      <c r="H460" s="275"/>
      <c r="I460" s="275"/>
      <c r="J460" s="275"/>
      <c r="K460" s="275"/>
      <c r="O460" s="56"/>
      <c r="Q460" t="str">
        <f>IFERROR(IF(VLOOKUP(Tb_Activiteiten[[#This Row],[Openstelling]],Tb_Openstelling[],2,0)=1,1,""),"")</f>
        <v/>
      </c>
      <c r="AK460" t="str">
        <f>IF(ISNUMBER(FIND("arbeid",Methode_Keuze)),"",IF(ISNUMBER(FIND("arbeid",Methode_Keuze)),"",IF(Tb_Activiteiten[[#This Row],[Loonkosten]]=1,Tb_Activiteiten[[#Headers],[Loonkosten]],"")))</f>
        <v/>
      </c>
      <c r="AL460" t="str">
        <f>IF(ISNUMBER(FIND("arbeid",Methode_Keuze)),"",IF(ISNUMBER(FIND("arbeid",Methode_Keuze)),"",IF(Tb_Activiteiten[[#This Row],[Eigen arbeid]]=1,Tb_Activiteiten[[#Headers],[Eigen arbeid]],"")))</f>
        <v/>
      </c>
      <c r="AM460" t="str">
        <f>IF(ISNUMBER(FIND("arbeid",Methode_Keuze)),"",IF(ISNUMBER(FIND("arbeid",Methode_Keuze)),"",IF(Tb_Activiteiten[[#This Row],[Projectmedewerker]]=1,Tb_Activiteiten[[#Headers],[Projectmedewerker]],"")))</f>
        <v/>
      </c>
      <c r="AN460" t="str">
        <f>IF(ISNUMBER(FIND("arbeid",Methode_Keuze)),"",IF(ISNUMBER(FIND("arbeid",Methode_Keuze)),"",IF(Tb_Activiteiten[[#This Row],[Landbouwer]]=1,Tb_Activiteiten[[#Headers],[Landbouwer]],"")))</f>
        <v/>
      </c>
      <c r="AO460" t="str">
        <f>IF(ISNUMBER(FIND("arbeid",Methode_Keuze)),"",IF(ISNUMBER(FIND("arbeid",Methode_Keuze)),"",IF(Tb_Activiteiten[[#This Row],[Adviseur]]=1,Tb_Activiteiten[[#Headers],[Adviseur]],"")))</f>
        <v/>
      </c>
      <c r="AP460" t="str">
        <f>IF(ISNUMBER(FIND("arbeid",Methode_Keuze)),"",IF(ISNUMBER(FIND("arbeid",Methode_Keuze)),"",IF(Tb_Activiteiten[[#This Row],[Projectleider/Expert]]=1,Tb_Activiteiten[[#Headers],[Projectleider/Expert]],"")))</f>
        <v/>
      </c>
      <c r="AQ460" t="str">
        <f>IF(ISNUMBER(FIND("arbeid",Methode_Keuze)),"",IF(ISNUMBER(FIND("arbeid",Methode_Keuze)),"",IF(Tb_Activiteiten[[#This Row],[Arbeidskosten]]=1,Tb_Activiteiten[[#Headers],[Arbeidskosten]],"")))</f>
        <v/>
      </c>
      <c r="AR460" t="str">
        <f>IF(ISNUMBER(FIND("arbeid",Methode_Keuze)),"",IF(ISNUMBER(FIND("arbeid",Methode_Keuze)),"",IF(Tb_Activiteiten[[#This Row],[Arbeidskosten op basis van IKS]]=1,Tb_Activiteiten[[#Headers],[Arbeidskosten op basis van IKS]],"")))</f>
        <v/>
      </c>
      <c r="AS460" t="str">
        <f>IF(ISNUMBER(FIND("overige",Methode_Keuze)),"",IF(Tb_Activiteiten[[#This Row],[Kosten derden exclusief btw]]=1,Tb_Activiteiten[[#Headers],[Kosten derden exclusief btw]],""))</f>
        <v/>
      </c>
      <c r="AT460" t="str">
        <f>IF(ISNUMBER(FIND("overige",Methode_Keuze)),"",IF(Tb_Activiteiten[[#This Row],[Niet verrekenbare btw]]=1,Tb_Activiteiten[[#Headers],[Niet verrekenbare btw]],""))</f>
        <v/>
      </c>
      <c r="AU460" t="str">
        <f>IF(ISNUMBER(FIND("overige",Methode_Keuze)),"",IF(Tb_Activiteiten[[#This Row],[Grondkosten]]=1,Tb_Activiteiten[[#Headers],[Grondkosten]],""))</f>
        <v/>
      </c>
      <c r="AV460" t="str">
        <f>IF(ISNUMBER(FIND("overige",Methode_Keuze)),"",IF(Tb_Activiteiten[[#This Row],[Bijdrage in natura (overige)]]=1,Tb_Activiteiten[[#Headers],[Bijdrage in natura (overige)]],""))</f>
        <v/>
      </c>
      <c r="AW460" t="str">
        <f>IF(ISNUMBER(FIND("overige",Methode_Keuze)),"",IF(Tb_Activiteiten[[#This Row],[Bijdrage in natura (vrijwilligers)]]=1,Tb_Activiteiten[[#Headers],[Bijdrage in natura (vrijwilligers)]],""))</f>
        <v/>
      </c>
      <c r="AX460" t="str">
        <f>IF(ISNUMBER(FIND("overige",Methode_Keuze)),"",IF(Tb_Activiteiten[[#This Row],[Afschrijvingskosten]]=1,Tb_Activiteiten[[#Headers],[Afschrijvingskosten]],""))</f>
        <v/>
      </c>
      <c r="AY460" t="str">
        <f>IF(ISNUMBER(FIND("overige",Methode_Keuze)),"",IF(Tb_Activiteiten[[#This Row],[Vergoeding]]=1,Tb_Activiteiten[[#Headers],[Vergoeding]],""))</f>
        <v/>
      </c>
      <c r="AZ460" t="str">
        <f>IF(ISNUMBER(FIND("arbeid",Methode_Keuze)),"",IF(Tb_Activiteiten[[#This Row],[Arbeidskosten - vast tarief (excl eigen arbeid)]]=1,Tb_Activiteiten[[#Headers],[Arbeidskosten - vast tarief (excl eigen arbeid)]],""))</f>
        <v/>
      </c>
      <c r="BA460" t="str">
        <f>IF(ISNUMBER(FIND("overige",Methode_Keuze)),"",IF(Tb_Activiteiten[[#This Row],[Overige kosten]]=1,Tb_Activiteiten[[#Headers],[Overige kosten]],""))</f>
        <v/>
      </c>
    </row>
    <row r="461" spans="1:53" x14ac:dyDescent="0.25">
      <c r="A461" s="231"/>
      <c r="F461" s="64"/>
      <c r="G461" s="64"/>
      <c r="H461" s="275"/>
      <c r="I461" s="275"/>
      <c r="J461" s="275"/>
      <c r="K461" s="275"/>
      <c r="O461" s="56"/>
      <c r="Q461" t="str">
        <f>IFERROR(IF(VLOOKUP(Tb_Activiteiten[[#This Row],[Openstelling]],Tb_Openstelling[],2,0)=1,1,""),"")</f>
        <v/>
      </c>
      <c r="AK461" t="str">
        <f>IF(ISNUMBER(FIND("arbeid",Methode_Keuze)),"",IF(ISNUMBER(FIND("arbeid",Methode_Keuze)),"",IF(Tb_Activiteiten[[#This Row],[Loonkosten]]=1,Tb_Activiteiten[[#Headers],[Loonkosten]],"")))</f>
        <v/>
      </c>
      <c r="AL461" t="str">
        <f>IF(ISNUMBER(FIND("arbeid",Methode_Keuze)),"",IF(ISNUMBER(FIND("arbeid",Methode_Keuze)),"",IF(Tb_Activiteiten[[#This Row],[Eigen arbeid]]=1,Tb_Activiteiten[[#Headers],[Eigen arbeid]],"")))</f>
        <v/>
      </c>
      <c r="AM461" t="str">
        <f>IF(ISNUMBER(FIND("arbeid",Methode_Keuze)),"",IF(ISNUMBER(FIND("arbeid",Methode_Keuze)),"",IF(Tb_Activiteiten[[#This Row],[Projectmedewerker]]=1,Tb_Activiteiten[[#Headers],[Projectmedewerker]],"")))</f>
        <v/>
      </c>
      <c r="AN461" t="str">
        <f>IF(ISNUMBER(FIND("arbeid",Methode_Keuze)),"",IF(ISNUMBER(FIND("arbeid",Methode_Keuze)),"",IF(Tb_Activiteiten[[#This Row],[Landbouwer]]=1,Tb_Activiteiten[[#Headers],[Landbouwer]],"")))</f>
        <v/>
      </c>
      <c r="AO461" t="str">
        <f>IF(ISNUMBER(FIND("arbeid",Methode_Keuze)),"",IF(ISNUMBER(FIND("arbeid",Methode_Keuze)),"",IF(Tb_Activiteiten[[#This Row],[Adviseur]]=1,Tb_Activiteiten[[#Headers],[Adviseur]],"")))</f>
        <v/>
      </c>
      <c r="AP461" t="str">
        <f>IF(ISNUMBER(FIND("arbeid",Methode_Keuze)),"",IF(ISNUMBER(FIND("arbeid",Methode_Keuze)),"",IF(Tb_Activiteiten[[#This Row],[Projectleider/Expert]]=1,Tb_Activiteiten[[#Headers],[Projectleider/Expert]],"")))</f>
        <v/>
      </c>
      <c r="AQ461" t="str">
        <f>IF(ISNUMBER(FIND("arbeid",Methode_Keuze)),"",IF(ISNUMBER(FIND("arbeid",Methode_Keuze)),"",IF(Tb_Activiteiten[[#This Row],[Arbeidskosten]]=1,Tb_Activiteiten[[#Headers],[Arbeidskosten]],"")))</f>
        <v/>
      </c>
      <c r="AR461" t="str">
        <f>IF(ISNUMBER(FIND("arbeid",Methode_Keuze)),"",IF(ISNUMBER(FIND("arbeid",Methode_Keuze)),"",IF(Tb_Activiteiten[[#This Row],[Arbeidskosten op basis van IKS]]=1,Tb_Activiteiten[[#Headers],[Arbeidskosten op basis van IKS]],"")))</f>
        <v/>
      </c>
      <c r="AS461" t="str">
        <f>IF(ISNUMBER(FIND("overige",Methode_Keuze)),"",IF(Tb_Activiteiten[[#This Row],[Kosten derden exclusief btw]]=1,Tb_Activiteiten[[#Headers],[Kosten derden exclusief btw]],""))</f>
        <v/>
      </c>
      <c r="AT461" t="str">
        <f>IF(ISNUMBER(FIND("overige",Methode_Keuze)),"",IF(Tb_Activiteiten[[#This Row],[Niet verrekenbare btw]]=1,Tb_Activiteiten[[#Headers],[Niet verrekenbare btw]],""))</f>
        <v/>
      </c>
      <c r="AU461" t="str">
        <f>IF(ISNUMBER(FIND("overige",Methode_Keuze)),"",IF(Tb_Activiteiten[[#This Row],[Grondkosten]]=1,Tb_Activiteiten[[#Headers],[Grondkosten]],""))</f>
        <v/>
      </c>
      <c r="AV461" t="str">
        <f>IF(ISNUMBER(FIND("overige",Methode_Keuze)),"",IF(Tb_Activiteiten[[#This Row],[Bijdrage in natura (overige)]]=1,Tb_Activiteiten[[#Headers],[Bijdrage in natura (overige)]],""))</f>
        <v/>
      </c>
      <c r="AW461" t="str">
        <f>IF(ISNUMBER(FIND("overige",Methode_Keuze)),"",IF(Tb_Activiteiten[[#This Row],[Bijdrage in natura (vrijwilligers)]]=1,Tb_Activiteiten[[#Headers],[Bijdrage in natura (vrijwilligers)]],""))</f>
        <v/>
      </c>
      <c r="AX461" t="str">
        <f>IF(ISNUMBER(FIND("overige",Methode_Keuze)),"",IF(Tb_Activiteiten[[#This Row],[Afschrijvingskosten]]=1,Tb_Activiteiten[[#Headers],[Afschrijvingskosten]],""))</f>
        <v/>
      </c>
      <c r="AY461" t="str">
        <f>IF(ISNUMBER(FIND("overige",Methode_Keuze)),"",IF(Tb_Activiteiten[[#This Row],[Vergoeding]]=1,Tb_Activiteiten[[#Headers],[Vergoeding]],""))</f>
        <v/>
      </c>
      <c r="AZ461" t="str">
        <f>IF(ISNUMBER(FIND("arbeid",Methode_Keuze)),"",IF(Tb_Activiteiten[[#This Row],[Arbeidskosten - vast tarief (excl eigen arbeid)]]=1,Tb_Activiteiten[[#Headers],[Arbeidskosten - vast tarief (excl eigen arbeid)]],""))</f>
        <v/>
      </c>
      <c r="BA461" t="str">
        <f>IF(ISNUMBER(FIND("overige",Methode_Keuze)),"",IF(Tb_Activiteiten[[#This Row],[Overige kosten]]=1,Tb_Activiteiten[[#Headers],[Overige kosten]],""))</f>
        <v/>
      </c>
    </row>
    <row r="462" spans="1:53" x14ac:dyDescent="0.25">
      <c r="A462" s="231"/>
      <c r="F462" s="64"/>
      <c r="G462" s="64"/>
      <c r="H462" s="275"/>
      <c r="I462" s="275"/>
      <c r="J462" s="275"/>
      <c r="K462" s="275"/>
      <c r="O462" s="56"/>
      <c r="Q462" t="str">
        <f>IFERROR(IF(VLOOKUP(Tb_Activiteiten[[#This Row],[Openstelling]],Tb_Openstelling[],2,0)=1,1,""),"")</f>
        <v/>
      </c>
      <c r="AK462" t="str">
        <f>IF(ISNUMBER(FIND("arbeid",Methode_Keuze)),"",IF(ISNUMBER(FIND("arbeid",Methode_Keuze)),"",IF(Tb_Activiteiten[[#This Row],[Loonkosten]]=1,Tb_Activiteiten[[#Headers],[Loonkosten]],"")))</f>
        <v/>
      </c>
      <c r="AL462" t="str">
        <f>IF(ISNUMBER(FIND("arbeid",Methode_Keuze)),"",IF(ISNUMBER(FIND("arbeid",Methode_Keuze)),"",IF(Tb_Activiteiten[[#This Row],[Eigen arbeid]]=1,Tb_Activiteiten[[#Headers],[Eigen arbeid]],"")))</f>
        <v/>
      </c>
      <c r="AM462" t="str">
        <f>IF(ISNUMBER(FIND("arbeid",Methode_Keuze)),"",IF(ISNUMBER(FIND("arbeid",Methode_Keuze)),"",IF(Tb_Activiteiten[[#This Row],[Projectmedewerker]]=1,Tb_Activiteiten[[#Headers],[Projectmedewerker]],"")))</f>
        <v/>
      </c>
      <c r="AN462" t="str">
        <f>IF(ISNUMBER(FIND("arbeid",Methode_Keuze)),"",IF(ISNUMBER(FIND("arbeid",Methode_Keuze)),"",IF(Tb_Activiteiten[[#This Row],[Landbouwer]]=1,Tb_Activiteiten[[#Headers],[Landbouwer]],"")))</f>
        <v/>
      </c>
      <c r="AO462" t="str">
        <f>IF(ISNUMBER(FIND("arbeid",Methode_Keuze)),"",IF(ISNUMBER(FIND("arbeid",Methode_Keuze)),"",IF(Tb_Activiteiten[[#This Row],[Adviseur]]=1,Tb_Activiteiten[[#Headers],[Adviseur]],"")))</f>
        <v/>
      </c>
      <c r="AP462" t="str">
        <f>IF(ISNUMBER(FIND("arbeid",Methode_Keuze)),"",IF(ISNUMBER(FIND("arbeid",Methode_Keuze)),"",IF(Tb_Activiteiten[[#This Row],[Projectleider/Expert]]=1,Tb_Activiteiten[[#Headers],[Projectleider/Expert]],"")))</f>
        <v/>
      </c>
      <c r="AQ462" t="str">
        <f>IF(ISNUMBER(FIND("arbeid",Methode_Keuze)),"",IF(ISNUMBER(FIND("arbeid",Methode_Keuze)),"",IF(Tb_Activiteiten[[#This Row],[Arbeidskosten]]=1,Tb_Activiteiten[[#Headers],[Arbeidskosten]],"")))</f>
        <v/>
      </c>
      <c r="AR462" t="str">
        <f>IF(ISNUMBER(FIND("arbeid",Methode_Keuze)),"",IF(ISNUMBER(FIND("arbeid",Methode_Keuze)),"",IF(Tb_Activiteiten[[#This Row],[Arbeidskosten op basis van IKS]]=1,Tb_Activiteiten[[#Headers],[Arbeidskosten op basis van IKS]],"")))</f>
        <v/>
      </c>
      <c r="AS462" t="str">
        <f>IF(ISNUMBER(FIND("overige",Methode_Keuze)),"",IF(Tb_Activiteiten[[#This Row],[Kosten derden exclusief btw]]=1,Tb_Activiteiten[[#Headers],[Kosten derden exclusief btw]],""))</f>
        <v/>
      </c>
      <c r="AT462" t="str">
        <f>IF(ISNUMBER(FIND("overige",Methode_Keuze)),"",IF(Tb_Activiteiten[[#This Row],[Niet verrekenbare btw]]=1,Tb_Activiteiten[[#Headers],[Niet verrekenbare btw]],""))</f>
        <v/>
      </c>
      <c r="AU462" t="str">
        <f>IF(ISNUMBER(FIND("overige",Methode_Keuze)),"",IF(Tb_Activiteiten[[#This Row],[Grondkosten]]=1,Tb_Activiteiten[[#Headers],[Grondkosten]],""))</f>
        <v/>
      </c>
      <c r="AV462" t="str">
        <f>IF(ISNUMBER(FIND("overige",Methode_Keuze)),"",IF(Tb_Activiteiten[[#This Row],[Bijdrage in natura (overige)]]=1,Tb_Activiteiten[[#Headers],[Bijdrage in natura (overige)]],""))</f>
        <v/>
      </c>
      <c r="AW462" t="str">
        <f>IF(ISNUMBER(FIND("overige",Methode_Keuze)),"",IF(Tb_Activiteiten[[#This Row],[Bijdrage in natura (vrijwilligers)]]=1,Tb_Activiteiten[[#Headers],[Bijdrage in natura (vrijwilligers)]],""))</f>
        <v/>
      </c>
      <c r="AX462" t="str">
        <f>IF(ISNUMBER(FIND("overige",Methode_Keuze)),"",IF(Tb_Activiteiten[[#This Row],[Afschrijvingskosten]]=1,Tb_Activiteiten[[#Headers],[Afschrijvingskosten]],""))</f>
        <v/>
      </c>
      <c r="AY462" t="str">
        <f>IF(ISNUMBER(FIND("overige",Methode_Keuze)),"",IF(Tb_Activiteiten[[#This Row],[Vergoeding]]=1,Tb_Activiteiten[[#Headers],[Vergoeding]],""))</f>
        <v/>
      </c>
      <c r="AZ462" t="str">
        <f>IF(ISNUMBER(FIND("arbeid",Methode_Keuze)),"",IF(Tb_Activiteiten[[#This Row],[Arbeidskosten - vast tarief (excl eigen arbeid)]]=1,Tb_Activiteiten[[#Headers],[Arbeidskosten - vast tarief (excl eigen arbeid)]],""))</f>
        <v/>
      </c>
      <c r="BA462" t="str">
        <f>IF(ISNUMBER(FIND("overige",Methode_Keuze)),"",IF(Tb_Activiteiten[[#This Row],[Overige kosten]]=1,Tb_Activiteiten[[#Headers],[Overige kosten]],""))</f>
        <v/>
      </c>
    </row>
    <row r="463" spans="1:53" x14ac:dyDescent="0.25">
      <c r="A463" s="231"/>
      <c r="F463" s="64"/>
      <c r="G463" s="64"/>
      <c r="H463" s="275"/>
      <c r="I463" s="275"/>
      <c r="J463" s="275"/>
      <c r="K463" s="275"/>
      <c r="O463" s="56"/>
      <c r="Q463" t="str">
        <f>IFERROR(IF(VLOOKUP(Tb_Activiteiten[[#This Row],[Openstelling]],Tb_Openstelling[],2,0)=1,1,""),"")</f>
        <v/>
      </c>
      <c r="AK463" t="str">
        <f>IF(ISNUMBER(FIND("arbeid",Methode_Keuze)),"",IF(ISNUMBER(FIND("arbeid",Methode_Keuze)),"",IF(Tb_Activiteiten[[#This Row],[Loonkosten]]=1,Tb_Activiteiten[[#Headers],[Loonkosten]],"")))</f>
        <v/>
      </c>
      <c r="AL463" t="str">
        <f>IF(ISNUMBER(FIND("arbeid",Methode_Keuze)),"",IF(ISNUMBER(FIND("arbeid",Methode_Keuze)),"",IF(Tb_Activiteiten[[#This Row],[Eigen arbeid]]=1,Tb_Activiteiten[[#Headers],[Eigen arbeid]],"")))</f>
        <v/>
      </c>
      <c r="AM463" t="str">
        <f>IF(ISNUMBER(FIND("arbeid",Methode_Keuze)),"",IF(ISNUMBER(FIND("arbeid",Methode_Keuze)),"",IF(Tb_Activiteiten[[#This Row],[Projectmedewerker]]=1,Tb_Activiteiten[[#Headers],[Projectmedewerker]],"")))</f>
        <v/>
      </c>
      <c r="AN463" t="str">
        <f>IF(ISNUMBER(FIND("arbeid",Methode_Keuze)),"",IF(ISNUMBER(FIND("arbeid",Methode_Keuze)),"",IF(Tb_Activiteiten[[#This Row],[Landbouwer]]=1,Tb_Activiteiten[[#Headers],[Landbouwer]],"")))</f>
        <v/>
      </c>
      <c r="AO463" t="str">
        <f>IF(ISNUMBER(FIND("arbeid",Methode_Keuze)),"",IF(ISNUMBER(FIND("arbeid",Methode_Keuze)),"",IF(Tb_Activiteiten[[#This Row],[Adviseur]]=1,Tb_Activiteiten[[#Headers],[Adviseur]],"")))</f>
        <v/>
      </c>
      <c r="AP463" t="str">
        <f>IF(ISNUMBER(FIND("arbeid",Methode_Keuze)),"",IF(ISNUMBER(FIND("arbeid",Methode_Keuze)),"",IF(Tb_Activiteiten[[#This Row],[Projectleider/Expert]]=1,Tb_Activiteiten[[#Headers],[Projectleider/Expert]],"")))</f>
        <v/>
      </c>
      <c r="AQ463" t="str">
        <f>IF(ISNUMBER(FIND("arbeid",Methode_Keuze)),"",IF(ISNUMBER(FIND("arbeid",Methode_Keuze)),"",IF(Tb_Activiteiten[[#This Row],[Arbeidskosten]]=1,Tb_Activiteiten[[#Headers],[Arbeidskosten]],"")))</f>
        <v/>
      </c>
      <c r="AR463" t="str">
        <f>IF(ISNUMBER(FIND("arbeid",Methode_Keuze)),"",IF(ISNUMBER(FIND("arbeid",Methode_Keuze)),"",IF(Tb_Activiteiten[[#This Row],[Arbeidskosten op basis van IKS]]=1,Tb_Activiteiten[[#Headers],[Arbeidskosten op basis van IKS]],"")))</f>
        <v/>
      </c>
      <c r="AS463" t="str">
        <f>IF(ISNUMBER(FIND("overige",Methode_Keuze)),"",IF(Tb_Activiteiten[[#This Row],[Kosten derden exclusief btw]]=1,Tb_Activiteiten[[#Headers],[Kosten derden exclusief btw]],""))</f>
        <v/>
      </c>
      <c r="AT463" t="str">
        <f>IF(ISNUMBER(FIND("overige",Methode_Keuze)),"",IF(Tb_Activiteiten[[#This Row],[Niet verrekenbare btw]]=1,Tb_Activiteiten[[#Headers],[Niet verrekenbare btw]],""))</f>
        <v/>
      </c>
      <c r="AU463" t="str">
        <f>IF(ISNUMBER(FIND("overige",Methode_Keuze)),"",IF(Tb_Activiteiten[[#This Row],[Grondkosten]]=1,Tb_Activiteiten[[#Headers],[Grondkosten]],""))</f>
        <v/>
      </c>
      <c r="AV463" t="str">
        <f>IF(ISNUMBER(FIND("overige",Methode_Keuze)),"",IF(Tb_Activiteiten[[#This Row],[Bijdrage in natura (overige)]]=1,Tb_Activiteiten[[#Headers],[Bijdrage in natura (overige)]],""))</f>
        <v/>
      </c>
      <c r="AW463" t="str">
        <f>IF(ISNUMBER(FIND("overige",Methode_Keuze)),"",IF(Tb_Activiteiten[[#This Row],[Bijdrage in natura (vrijwilligers)]]=1,Tb_Activiteiten[[#Headers],[Bijdrage in natura (vrijwilligers)]],""))</f>
        <v/>
      </c>
      <c r="AX463" t="str">
        <f>IF(ISNUMBER(FIND("overige",Methode_Keuze)),"",IF(Tb_Activiteiten[[#This Row],[Afschrijvingskosten]]=1,Tb_Activiteiten[[#Headers],[Afschrijvingskosten]],""))</f>
        <v/>
      </c>
      <c r="AY463" t="str">
        <f>IF(ISNUMBER(FIND("overige",Methode_Keuze)),"",IF(Tb_Activiteiten[[#This Row],[Vergoeding]]=1,Tb_Activiteiten[[#Headers],[Vergoeding]],""))</f>
        <v/>
      </c>
      <c r="AZ463" t="str">
        <f>IF(ISNUMBER(FIND("arbeid",Methode_Keuze)),"",IF(Tb_Activiteiten[[#This Row],[Arbeidskosten - vast tarief (excl eigen arbeid)]]=1,Tb_Activiteiten[[#Headers],[Arbeidskosten - vast tarief (excl eigen arbeid)]],""))</f>
        <v/>
      </c>
      <c r="BA463" t="str">
        <f>IF(ISNUMBER(FIND("overige",Methode_Keuze)),"",IF(Tb_Activiteiten[[#This Row],[Overige kosten]]=1,Tb_Activiteiten[[#Headers],[Overige kosten]],""))</f>
        <v/>
      </c>
    </row>
    <row r="464" spans="1:53" x14ac:dyDescent="0.25">
      <c r="A464" s="231"/>
      <c r="F464" s="64"/>
      <c r="G464" s="64"/>
      <c r="H464" s="275"/>
      <c r="I464" s="275"/>
      <c r="J464" s="275"/>
      <c r="K464" s="275"/>
      <c r="O464" s="56"/>
      <c r="Q464" t="str">
        <f>IFERROR(IF(VLOOKUP(Tb_Activiteiten[[#This Row],[Openstelling]],Tb_Openstelling[],2,0)=1,1,""),"")</f>
        <v/>
      </c>
      <c r="AK464" t="str">
        <f>IF(ISNUMBER(FIND("arbeid",Methode_Keuze)),"",IF(ISNUMBER(FIND("arbeid",Methode_Keuze)),"",IF(Tb_Activiteiten[[#This Row],[Loonkosten]]=1,Tb_Activiteiten[[#Headers],[Loonkosten]],"")))</f>
        <v/>
      </c>
      <c r="AL464" t="str">
        <f>IF(ISNUMBER(FIND("arbeid",Methode_Keuze)),"",IF(ISNUMBER(FIND("arbeid",Methode_Keuze)),"",IF(Tb_Activiteiten[[#This Row],[Eigen arbeid]]=1,Tb_Activiteiten[[#Headers],[Eigen arbeid]],"")))</f>
        <v/>
      </c>
      <c r="AM464" t="str">
        <f>IF(ISNUMBER(FIND("arbeid",Methode_Keuze)),"",IF(ISNUMBER(FIND("arbeid",Methode_Keuze)),"",IF(Tb_Activiteiten[[#This Row],[Projectmedewerker]]=1,Tb_Activiteiten[[#Headers],[Projectmedewerker]],"")))</f>
        <v/>
      </c>
      <c r="AN464" t="str">
        <f>IF(ISNUMBER(FIND("arbeid",Methode_Keuze)),"",IF(ISNUMBER(FIND("arbeid",Methode_Keuze)),"",IF(Tb_Activiteiten[[#This Row],[Landbouwer]]=1,Tb_Activiteiten[[#Headers],[Landbouwer]],"")))</f>
        <v/>
      </c>
      <c r="AO464" t="str">
        <f>IF(ISNUMBER(FIND("arbeid",Methode_Keuze)),"",IF(ISNUMBER(FIND("arbeid",Methode_Keuze)),"",IF(Tb_Activiteiten[[#This Row],[Adviseur]]=1,Tb_Activiteiten[[#Headers],[Adviseur]],"")))</f>
        <v/>
      </c>
      <c r="AP464" t="str">
        <f>IF(ISNUMBER(FIND("arbeid",Methode_Keuze)),"",IF(ISNUMBER(FIND("arbeid",Methode_Keuze)),"",IF(Tb_Activiteiten[[#This Row],[Projectleider/Expert]]=1,Tb_Activiteiten[[#Headers],[Projectleider/Expert]],"")))</f>
        <v/>
      </c>
      <c r="AQ464" t="str">
        <f>IF(ISNUMBER(FIND("arbeid",Methode_Keuze)),"",IF(ISNUMBER(FIND("arbeid",Methode_Keuze)),"",IF(Tb_Activiteiten[[#This Row],[Arbeidskosten]]=1,Tb_Activiteiten[[#Headers],[Arbeidskosten]],"")))</f>
        <v/>
      </c>
      <c r="AR464" t="str">
        <f>IF(ISNUMBER(FIND("arbeid",Methode_Keuze)),"",IF(ISNUMBER(FIND("arbeid",Methode_Keuze)),"",IF(Tb_Activiteiten[[#This Row],[Arbeidskosten op basis van IKS]]=1,Tb_Activiteiten[[#Headers],[Arbeidskosten op basis van IKS]],"")))</f>
        <v/>
      </c>
      <c r="AS464" t="str">
        <f>IF(ISNUMBER(FIND("overige",Methode_Keuze)),"",IF(Tb_Activiteiten[[#This Row],[Kosten derden exclusief btw]]=1,Tb_Activiteiten[[#Headers],[Kosten derden exclusief btw]],""))</f>
        <v/>
      </c>
      <c r="AT464" t="str">
        <f>IF(ISNUMBER(FIND("overige",Methode_Keuze)),"",IF(Tb_Activiteiten[[#This Row],[Niet verrekenbare btw]]=1,Tb_Activiteiten[[#Headers],[Niet verrekenbare btw]],""))</f>
        <v/>
      </c>
      <c r="AU464" t="str">
        <f>IF(ISNUMBER(FIND("overige",Methode_Keuze)),"",IF(Tb_Activiteiten[[#This Row],[Grondkosten]]=1,Tb_Activiteiten[[#Headers],[Grondkosten]],""))</f>
        <v/>
      </c>
      <c r="AV464" t="str">
        <f>IF(ISNUMBER(FIND("overige",Methode_Keuze)),"",IF(Tb_Activiteiten[[#This Row],[Bijdrage in natura (overige)]]=1,Tb_Activiteiten[[#Headers],[Bijdrage in natura (overige)]],""))</f>
        <v/>
      </c>
      <c r="AW464" t="str">
        <f>IF(ISNUMBER(FIND("overige",Methode_Keuze)),"",IF(Tb_Activiteiten[[#This Row],[Bijdrage in natura (vrijwilligers)]]=1,Tb_Activiteiten[[#Headers],[Bijdrage in natura (vrijwilligers)]],""))</f>
        <v/>
      </c>
      <c r="AX464" t="str">
        <f>IF(ISNUMBER(FIND("overige",Methode_Keuze)),"",IF(Tb_Activiteiten[[#This Row],[Afschrijvingskosten]]=1,Tb_Activiteiten[[#Headers],[Afschrijvingskosten]],""))</f>
        <v/>
      </c>
      <c r="AY464" t="str">
        <f>IF(ISNUMBER(FIND("overige",Methode_Keuze)),"",IF(Tb_Activiteiten[[#This Row],[Vergoeding]]=1,Tb_Activiteiten[[#Headers],[Vergoeding]],""))</f>
        <v/>
      </c>
      <c r="AZ464" t="str">
        <f>IF(ISNUMBER(FIND("arbeid",Methode_Keuze)),"",IF(Tb_Activiteiten[[#This Row],[Arbeidskosten - vast tarief (excl eigen arbeid)]]=1,Tb_Activiteiten[[#Headers],[Arbeidskosten - vast tarief (excl eigen arbeid)]],""))</f>
        <v/>
      </c>
      <c r="BA464" t="str">
        <f>IF(ISNUMBER(FIND("overige",Methode_Keuze)),"",IF(Tb_Activiteiten[[#This Row],[Overige kosten]]=1,Tb_Activiteiten[[#Headers],[Overige kosten]],""))</f>
        <v/>
      </c>
    </row>
    <row r="465" spans="1:53" x14ac:dyDescent="0.25">
      <c r="A465" s="231"/>
      <c r="F465" s="64"/>
      <c r="G465" s="64"/>
      <c r="H465" s="275"/>
      <c r="I465" s="275"/>
      <c r="J465" s="275"/>
      <c r="K465" s="275"/>
      <c r="O465" s="56"/>
      <c r="Q465" t="str">
        <f>IFERROR(IF(VLOOKUP(Tb_Activiteiten[[#This Row],[Openstelling]],Tb_Openstelling[],2,0)=1,1,""),"")</f>
        <v/>
      </c>
      <c r="AK465" t="str">
        <f>IF(ISNUMBER(FIND("arbeid",Methode_Keuze)),"",IF(ISNUMBER(FIND("arbeid",Methode_Keuze)),"",IF(Tb_Activiteiten[[#This Row],[Loonkosten]]=1,Tb_Activiteiten[[#Headers],[Loonkosten]],"")))</f>
        <v/>
      </c>
      <c r="AL465" t="str">
        <f>IF(ISNUMBER(FIND("arbeid",Methode_Keuze)),"",IF(ISNUMBER(FIND("arbeid",Methode_Keuze)),"",IF(Tb_Activiteiten[[#This Row],[Eigen arbeid]]=1,Tb_Activiteiten[[#Headers],[Eigen arbeid]],"")))</f>
        <v/>
      </c>
      <c r="AM465" t="str">
        <f>IF(ISNUMBER(FIND("arbeid",Methode_Keuze)),"",IF(ISNUMBER(FIND("arbeid",Methode_Keuze)),"",IF(Tb_Activiteiten[[#This Row],[Projectmedewerker]]=1,Tb_Activiteiten[[#Headers],[Projectmedewerker]],"")))</f>
        <v/>
      </c>
      <c r="AN465" t="str">
        <f>IF(ISNUMBER(FIND("arbeid",Methode_Keuze)),"",IF(ISNUMBER(FIND("arbeid",Methode_Keuze)),"",IF(Tb_Activiteiten[[#This Row],[Landbouwer]]=1,Tb_Activiteiten[[#Headers],[Landbouwer]],"")))</f>
        <v/>
      </c>
      <c r="AO465" t="str">
        <f>IF(ISNUMBER(FIND("arbeid",Methode_Keuze)),"",IF(ISNUMBER(FIND("arbeid",Methode_Keuze)),"",IF(Tb_Activiteiten[[#This Row],[Adviseur]]=1,Tb_Activiteiten[[#Headers],[Adviseur]],"")))</f>
        <v/>
      </c>
      <c r="AP465" t="str">
        <f>IF(ISNUMBER(FIND("arbeid",Methode_Keuze)),"",IF(ISNUMBER(FIND("arbeid",Methode_Keuze)),"",IF(Tb_Activiteiten[[#This Row],[Projectleider/Expert]]=1,Tb_Activiteiten[[#Headers],[Projectleider/Expert]],"")))</f>
        <v/>
      </c>
      <c r="AQ465" t="str">
        <f>IF(ISNUMBER(FIND("arbeid",Methode_Keuze)),"",IF(ISNUMBER(FIND("arbeid",Methode_Keuze)),"",IF(Tb_Activiteiten[[#This Row],[Arbeidskosten]]=1,Tb_Activiteiten[[#Headers],[Arbeidskosten]],"")))</f>
        <v/>
      </c>
      <c r="AR465" t="str">
        <f>IF(ISNUMBER(FIND("arbeid",Methode_Keuze)),"",IF(ISNUMBER(FIND("arbeid",Methode_Keuze)),"",IF(Tb_Activiteiten[[#This Row],[Arbeidskosten op basis van IKS]]=1,Tb_Activiteiten[[#Headers],[Arbeidskosten op basis van IKS]],"")))</f>
        <v/>
      </c>
      <c r="AS465" t="str">
        <f>IF(ISNUMBER(FIND("overige",Methode_Keuze)),"",IF(Tb_Activiteiten[[#This Row],[Kosten derden exclusief btw]]=1,Tb_Activiteiten[[#Headers],[Kosten derden exclusief btw]],""))</f>
        <v/>
      </c>
      <c r="AT465" t="str">
        <f>IF(ISNUMBER(FIND("overige",Methode_Keuze)),"",IF(Tb_Activiteiten[[#This Row],[Niet verrekenbare btw]]=1,Tb_Activiteiten[[#Headers],[Niet verrekenbare btw]],""))</f>
        <v/>
      </c>
      <c r="AU465" t="str">
        <f>IF(ISNUMBER(FIND("overige",Methode_Keuze)),"",IF(Tb_Activiteiten[[#This Row],[Grondkosten]]=1,Tb_Activiteiten[[#Headers],[Grondkosten]],""))</f>
        <v/>
      </c>
      <c r="AV465" t="str">
        <f>IF(ISNUMBER(FIND("overige",Methode_Keuze)),"",IF(Tb_Activiteiten[[#This Row],[Bijdrage in natura (overige)]]=1,Tb_Activiteiten[[#Headers],[Bijdrage in natura (overige)]],""))</f>
        <v/>
      </c>
      <c r="AW465" t="str">
        <f>IF(ISNUMBER(FIND("overige",Methode_Keuze)),"",IF(Tb_Activiteiten[[#This Row],[Bijdrage in natura (vrijwilligers)]]=1,Tb_Activiteiten[[#Headers],[Bijdrage in natura (vrijwilligers)]],""))</f>
        <v/>
      </c>
      <c r="AX465" t="str">
        <f>IF(ISNUMBER(FIND("overige",Methode_Keuze)),"",IF(Tb_Activiteiten[[#This Row],[Afschrijvingskosten]]=1,Tb_Activiteiten[[#Headers],[Afschrijvingskosten]],""))</f>
        <v/>
      </c>
      <c r="AY465" t="str">
        <f>IF(ISNUMBER(FIND("overige",Methode_Keuze)),"",IF(Tb_Activiteiten[[#This Row],[Vergoeding]]=1,Tb_Activiteiten[[#Headers],[Vergoeding]],""))</f>
        <v/>
      </c>
      <c r="AZ465" t="str">
        <f>IF(ISNUMBER(FIND("arbeid",Methode_Keuze)),"",IF(Tb_Activiteiten[[#This Row],[Arbeidskosten - vast tarief (excl eigen arbeid)]]=1,Tb_Activiteiten[[#Headers],[Arbeidskosten - vast tarief (excl eigen arbeid)]],""))</f>
        <v/>
      </c>
      <c r="BA465" t="str">
        <f>IF(ISNUMBER(FIND("overige",Methode_Keuze)),"",IF(Tb_Activiteiten[[#This Row],[Overige kosten]]=1,Tb_Activiteiten[[#Headers],[Overige kosten]],""))</f>
        <v/>
      </c>
    </row>
    <row r="466" spans="1:53" x14ac:dyDescent="0.25">
      <c r="A466" s="231"/>
      <c r="F466" s="64"/>
      <c r="G466" s="64"/>
      <c r="H466" s="275"/>
      <c r="I466" s="275"/>
      <c r="J466" s="275"/>
      <c r="K466" s="275"/>
      <c r="O466" s="56"/>
      <c r="Q466" t="str">
        <f>IFERROR(IF(VLOOKUP(Tb_Activiteiten[[#This Row],[Openstelling]],Tb_Openstelling[],2,0)=1,1,""),"")</f>
        <v/>
      </c>
      <c r="AK466" t="str">
        <f>IF(ISNUMBER(FIND("arbeid",Methode_Keuze)),"",IF(ISNUMBER(FIND("arbeid",Methode_Keuze)),"",IF(Tb_Activiteiten[[#This Row],[Loonkosten]]=1,Tb_Activiteiten[[#Headers],[Loonkosten]],"")))</f>
        <v/>
      </c>
      <c r="AL466" t="str">
        <f>IF(ISNUMBER(FIND("arbeid",Methode_Keuze)),"",IF(ISNUMBER(FIND("arbeid",Methode_Keuze)),"",IF(Tb_Activiteiten[[#This Row],[Eigen arbeid]]=1,Tb_Activiteiten[[#Headers],[Eigen arbeid]],"")))</f>
        <v/>
      </c>
      <c r="AM466" t="str">
        <f>IF(ISNUMBER(FIND("arbeid",Methode_Keuze)),"",IF(ISNUMBER(FIND("arbeid",Methode_Keuze)),"",IF(Tb_Activiteiten[[#This Row],[Projectmedewerker]]=1,Tb_Activiteiten[[#Headers],[Projectmedewerker]],"")))</f>
        <v/>
      </c>
      <c r="AN466" t="str">
        <f>IF(ISNUMBER(FIND("arbeid",Methode_Keuze)),"",IF(ISNUMBER(FIND("arbeid",Methode_Keuze)),"",IF(Tb_Activiteiten[[#This Row],[Landbouwer]]=1,Tb_Activiteiten[[#Headers],[Landbouwer]],"")))</f>
        <v/>
      </c>
      <c r="AO466" t="str">
        <f>IF(ISNUMBER(FIND("arbeid",Methode_Keuze)),"",IF(ISNUMBER(FIND("arbeid",Methode_Keuze)),"",IF(Tb_Activiteiten[[#This Row],[Adviseur]]=1,Tb_Activiteiten[[#Headers],[Adviseur]],"")))</f>
        <v/>
      </c>
      <c r="AP466" t="str">
        <f>IF(ISNUMBER(FIND("arbeid",Methode_Keuze)),"",IF(ISNUMBER(FIND("arbeid",Methode_Keuze)),"",IF(Tb_Activiteiten[[#This Row],[Projectleider/Expert]]=1,Tb_Activiteiten[[#Headers],[Projectleider/Expert]],"")))</f>
        <v/>
      </c>
      <c r="AQ466" t="str">
        <f>IF(ISNUMBER(FIND("arbeid",Methode_Keuze)),"",IF(ISNUMBER(FIND("arbeid",Methode_Keuze)),"",IF(Tb_Activiteiten[[#This Row],[Arbeidskosten]]=1,Tb_Activiteiten[[#Headers],[Arbeidskosten]],"")))</f>
        <v/>
      </c>
      <c r="AR466" t="str">
        <f>IF(ISNUMBER(FIND("arbeid",Methode_Keuze)),"",IF(ISNUMBER(FIND("arbeid",Methode_Keuze)),"",IF(Tb_Activiteiten[[#This Row],[Arbeidskosten op basis van IKS]]=1,Tb_Activiteiten[[#Headers],[Arbeidskosten op basis van IKS]],"")))</f>
        <v/>
      </c>
      <c r="AS466" t="str">
        <f>IF(ISNUMBER(FIND("overige",Methode_Keuze)),"",IF(Tb_Activiteiten[[#This Row],[Kosten derden exclusief btw]]=1,Tb_Activiteiten[[#Headers],[Kosten derden exclusief btw]],""))</f>
        <v/>
      </c>
      <c r="AT466" t="str">
        <f>IF(ISNUMBER(FIND("overige",Methode_Keuze)),"",IF(Tb_Activiteiten[[#This Row],[Niet verrekenbare btw]]=1,Tb_Activiteiten[[#Headers],[Niet verrekenbare btw]],""))</f>
        <v/>
      </c>
      <c r="AU466" t="str">
        <f>IF(ISNUMBER(FIND("overige",Methode_Keuze)),"",IF(Tb_Activiteiten[[#This Row],[Grondkosten]]=1,Tb_Activiteiten[[#Headers],[Grondkosten]],""))</f>
        <v/>
      </c>
      <c r="AV466" t="str">
        <f>IF(ISNUMBER(FIND("overige",Methode_Keuze)),"",IF(Tb_Activiteiten[[#This Row],[Bijdrage in natura (overige)]]=1,Tb_Activiteiten[[#Headers],[Bijdrage in natura (overige)]],""))</f>
        <v/>
      </c>
      <c r="AW466" t="str">
        <f>IF(ISNUMBER(FIND("overige",Methode_Keuze)),"",IF(Tb_Activiteiten[[#This Row],[Bijdrage in natura (vrijwilligers)]]=1,Tb_Activiteiten[[#Headers],[Bijdrage in natura (vrijwilligers)]],""))</f>
        <v/>
      </c>
      <c r="AX466" t="str">
        <f>IF(ISNUMBER(FIND("overige",Methode_Keuze)),"",IF(Tb_Activiteiten[[#This Row],[Afschrijvingskosten]]=1,Tb_Activiteiten[[#Headers],[Afschrijvingskosten]],""))</f>
        <v/>
      </c>
      <c r="AY466" t="str">
        <f>IF(ISNUMBER(FIND("overige",Methode_Keuze)),"",IF(Tb_Activiteiten[[#This Row],[Vergoeding]]=1,Tb_Activiteiten[[#Headers],[Vergoeding]],""))</f>
        <v/>
      </c>
      <c r="AZ466" t="str">
        <f>IF(ISNUMBER(FIND("arbeid",Methode_Keuze)),"",IF(Tb_Activiteiten[[#This Row],[Arbeidskosten - vast tarief (excl eigen arbeid)]]=1,Tb_Activiteiten[[#Headers],[Arbeidskosten - vast tarief (excl eigen arbeid)]],""))</f>
        <v/>
      </c>
      <c r="BA466" t="str">
        <f>IF(ISNUMBER(FIND("overige",Methode_Keuze)),"",IF(Tb_Activiteiten[[#This Row],[Overige kosten]]=1,Tb_Activiteiten[[#Headers],[Overige kosten]],""))</f>
        <v/>
      </c>
    </row>
    <row r="467" spans="1:53" x14ac:dyDescent="0.25">
      <c r="A467" s="231"/>
      <c r="F467" s="64"/>
      <c r="G467" s="64"/>
      <c r="H467" s="275"/>
      <c r="I467" s="275"/>
      <c r="J467" s="275"/>
      <c r="K467" s="275"/>
      <c r="O467" s="56"/>
      <c r="Q467" t="str">
        <f>IFERROR(IF(VLOOKUP(Tb_Activiteiten[[#This Row],[Openstelling]],Tb_Openstelling[],2,0)=1,1,""),"")</f>
        <v/>
      </c>
      <c r="AK467" t="str">
        <f>IF(ISNUMBER(FIND("arbeid",Methode_Keuze)),"",IF(ISNUMBER(FIND("arbeid",Methode_Keuze)),"",IF(Tb_Activiteiten[[#This Row],[Loonkosten]]=1,Tb_Activiteiten[[#Headers],[Loonkosten]],"")))</f>
        <v/>
      </c>
      <c r="AL467" t="str">
        <f>IF(ISNUMBER(FIND("arbeid",Methode_Keuze)),"",IF(ISNUMBER(FIND("arbeid",Methode_Keuze)),"",IF(Tb_Activiteiten[[#This Row],[Eigen arbeid]]=1,Tb_Activiteiten[[#Headers],[Eigen arbeid]],"")))</f>
        <v/>
      </c>
      <c r="AM467" t="str">
        <f>IF(ISNUMBER(FIND("arbeid",Methode_Keuze)),"",IF(ISNUMBER(FIND("arbeid",Methode_Keuze)),"",IF(Tb_Activiteiten[[#This Row],[Projectmedewerker]]=1,Tb_Activiteiten[[#Headers],[Projectmedewerker]],"")))</f>
        <v/>
      </c>
      <c r="AN467" t="str">
        <f>IF(ISNUMBER(FIND("arbeid",Methode_Keuze)),"",IF(ISNUMBER(FIND("arbeid",Methode_Keuze)),"",IF(Tb_Activiteiten[[#This Row],[Landbouwer]]=1,Tb_Activiteiten[[#Headers],[Landbouwer]],"")))</f>
        <v/>
      </c>
      <c r="AO467" t="str">
        <f>IF(ISNUMBER(FIND("arbeid",Methode_Keuze)),"",IF(ISNUMBER(FIND("arbeid",Methode_Keuze)),"",IF(Tb_Activiteiten[[#This Row],[Adviseur]]=1,Tb_Activiteiten[[#Headers],[Adviseur]],"")))</f>
        <v/>
      </c>
      <c r="AP467" t="str">
        <f>IF(ISNUMBER(FIND("arbeid",Methode_Keuze)),"",IF(ISNUMBER(FIND("arbeid",Methode_Keuze)),"",IF(Tb_Activiteiten[[#This Row],[Projectleider/Expert]]=1,Tb_Activiteiten[[#Headers],[Projectleider/Expert]],"")))</f>
        <v/>
      </c>
      <c r="AQ467" t="str">
        <f>IF(ISNUMBER(FIND("arbeid",Methode_Keuze)),"",IF(ISNUMBER(FIND("arbeid",Methode_Keuze)),"",IF(Tb_Activiteiten[[#This Row],[Arbeidskosten]]=1,Tb_Activiteiten[[#Headers],[Arbeidskosten]],"")))</f>
        <v/>
      </c>
      <c r="AR467" t="str">
        <f>IF(ISNUMBER(FIND("arbeid",Methode_Keuze)),"",IF(ISNUMBER(FIND("arbeid",Methode_Keuze)),"",IF(Tb_Activiteiten[[#This Row],[Arbeidskosten op basis van IKS]]=1,Tb_Activiteiten[[#Headers],[Arbeidskosten op basis van IKS]],"")))</f>
        <v/>
      </c>
      <c r="AS467" t="str">
        <f>IF(ISNUMBER(FIND("overige",Methode_Keuze)),"",IF(Tb_Activiteiten[[#This Row],[Kosten derden exclusief btw]]=1,Tb_Activiteiten[[#Headers],[Kosten derden exclusief btw]],""))</f>
        <v/>
      </c>
      <c r="AT467" t="str">
        <f>IF(ISNUMBER(FIND("overige",Methode_Keuze)),"",IF(Tb_Activiteiten[[#This Row],[Niet verrekenbare btw]]=1,Tb_Activiteiten[[#Headers],[Niet verrekenbare btw]],""))</f>
        <v/>
      </c>
      <c r="AU467" t="str">
        <f>IF(ISNUMBER(FIND("overige",Methode_Keuze)),"",IF(Tb_Activiteiten[[#This Row],[Grondkosten]]=1,Tb_Activiteiten[[#Headers],[Grondkosten]],""))</f>
        <v/>
      </c>
      <c r="AV467" t="str">
        <f>IF(ISNUMBER(FIND("overige",Methode_Keuze)),"",IF(Tb_Activiteiten[[#This Row],[Bijdrage in natura (overige)]]=1,Tb_Activiteiten[[#Headers],[Bijdrage in natura (overige)]],""))</f>
        <v/>
      </c>
      <c r="AW467" t="str">
        <f>IF(ISNUMBER(FIND("overige",Methode_Keuze)),"",IF(Tb_Activiteiten[[#This Row],[Bijdrage in natura (vrijwilligers)]]=1,Tb_Activiteiten[[#Headers],[Bijdrage in natura (vrijwilligers)]],""))</f>
        <v/>
      </c>
      <c r="AX467" t="str">
        <f>IF(ISNUMBER(FIND("overige",Methode_Keuze)),"",IF(Tb_Activiteiten[[#This Row],[Afschrijvingskosten]]=1,Tb_Activiteiten[[#Headers],[Afschrijvingskosten]],""))</f>
        <v/>
      </c>
      <c r="AY467" t="str">
        <f>IF(ISNUMBER(FIND("overige",Methode_Keuze)),"",IF(Tb_Activiteiten[[#This Row],[Vergoeding]]=1,Tb_Activiteiten[[#Headers],[Vergoeding]],""))</f>
        <v/>
      </c>
      <c r="AZ467" t="str">
        <f>IF(ISNUMBER(FIND("arbeid",Methode_Keuze)),"",IF(Tb_Activiteiten[[#This Row],[Arbeidskosten - vast tarief (excl eigen arbeid)]]=1,Tb_Activiteiten[[#Headers],[Arbeidskosten - vast tarief (excl eigen arbeid)]],""))</f>
        <v/>
      </c>
      <c r="BA467" t="str">
        <f>IF(ISNUMBER(FIND("overige",Methode_Keuze)),"",IF(Tb_Activiteiten[[#This Row],[Overige kosten]]=1,Tb_Activiteiten[[#Headers],[Overige kosten]],""))</f>
        <v/>
      </c>
    </row>
    <row r="468" spans="1:53" x14ac:dyDescent="0.25">
      <c r="A468" s="231"/>
      <c r="F468" s="64"/>
      <c r="G468" s="64"/>
      <c r="H468" s="275"/>
      <c r="I468" s="275"/>
      <c r="J468" s="275"/>
      <c r="K468" s="275"/>
      <c r="O468" s="56"/>
      <c r="Q468" t="str">
        <f>IFERROR(IF(VLOOKUP(Tb_Activiteiten[[#This Row],[Openstelling]],Tb_Openstelling[],2,0)=1,1,""),"")</f>
        <v/>
      </c>
      <c r="AK468" t="str">
        <f>IF(ISNUMBER(FIND("arbeid",Methode_Keuze)),"",IF(ISNUMBER(FIND("arbeid",Methode_Keuze)),"",IF(Tb_Activiteiten[[#This Row],[Loonkosten]]=1,Tb_Activiteiten[[#Headers],[Loonkosten]],"")))</f>
        <v/>
      </c>
      <c r="AL468" t="str">
        <f>IF(ISNUMBER(FIND("arbeid",Methode_Keuze)),"",IF(ISNUMBER(FIND("arbeid",Methode_Keuze)),"",IF(Tb_Activiteiten[[#This Row],[Eigen arbeid]]=1,Tb_Activiteiten[[#Headers],[Eigen arbeid]],"")))</f>
        <v/>
      </c>
      <c r="AM468" t="str">
        <f>IF(ISNUMBER(FIND("arbeid",Methode_Keuze)),"",IF(ISNUMBER(FIND("arbeid",Methode_Keuze)),"",IF(Tb_Activiteiten[[#This Row],[Projectmedewerker]]=1,Tb_Activiteiten[[#Headers],[Projectmedewerker]],"")))</f>
        <v/>
      </c>
      <c r="AN468" t="str">
        <f>IF(ISNUMBER(FIND("arbeid",Methode_Keuze)),"",IF(ISNUMBER(FIND("arbeid",Methode_Keuze)),"",IF(Tb_Activiteiten[[#This Row],[Landbouwer]]=1,Tb_Activiteiten[[#Headers],[Landbouwer]],"")))</f>
        <v/>
      </c>
      <c r="AO468" t="str">
        <f>IF(ISNUMBER(FIND("arbeid",Methode_Keuze)),"",IF(ISNUMBER(FIND("arbeid",Methode_Keuze)),"",IF(Tb_Activiteiten[[#This Row],[Adviseur]]=1,Tb_Activiteiten[[#Headers],[Adviseur]],"")))</f>
        <v/>
      </c>
      <c r="AP468" t="str">
        <f>IF(ISNUMBER(FIND("arbeid",Methode_Keuze)),"",IF(ISNUMBER(FIND("arbeid",Methode_Keuze)),"",IF(Tb_Activiteiten[[#This Row],[Projectleider/Expert]]=1,Tb_Activiteiten[[#Headers],[Projectleider/Expert]],"")))</f>
        <v/>
      </c>
      <c r="AQ468" t="str">
        <f>IF(ISNUMBER(FIND("arbeid",Methode_Keuze)),"",IF(ISNUMBER(FIND("arbeid",Methode_Keuze)),"",IF(Tb_Activiteiten[[#This Row],[Arbeidskosten]]=1,Tb_Activiteiten[[#Headers],[Arbeidskosten]],"")))</f>
        <v/>
      </c>
      <c r="AR468" t="str">
        <f>IF(ISNUMBER(FIND("arbeid",Methode_Keuze)),"",IF(ISNUMBER(FIND("arbeid",Methode_Keuze)),"",IF(Tb_Activiteiten[[#This Row],[Arbeidskosten op basis van IKS]]=1,Tb_Activiteiten[[#Headers],[Arbeidskosten op basis van IKS]],"")))</f>
        <v/>
      </c>
      <c r="AS468" t="str">
        <f>IF(ISNUMBER(FIND("overige",Methode_Keuze)),"",IF(Tb_Activiteiten[[#This Row],[Kosten derden exclusief btw]]=1,Tb_Activiteiten[[#Headers],[Kosten derden exclusief btw]],""))</f>
        <v/>
      </c>
      <c r="AT468" t="str">
        <f>IF(ISNUMBER(FIND("overige",Methode_Keuze)),"",IF(Tb_Activiteiten[[#This Row],[Niet verrekenbare btw]]=1,Tb_Activiteiten[[#Headers],[Niet verrekenbare btw]],""))</f>
        <v/>
      </c>
      <c r="AU468" t="str">
        <f>IF(ISNUMBER(FIND("overige",Methode_Keuze)),"",IF(Tb_Activiteiten[[#This Row],[Grondkosten]]=1,Tb_Activiteiten[[#Headers],[Grondkosten]],""))</f>
        <v/>
      </c>
      <c r="AV468" t="str">
        <f>IF(ISNUMBER(FIND("overige",Methode_Keuze)),"",IF(Tb_Activiteiten[[#This Row],[Bijdrage in natura (overige)]]=1,Tb_Activiteiten[[#Headers],[Bijdrage in natura (overige)]],""))</f>
        <v/>
      </c>
      <c r="AW468" t="str">
        <f>IF(ISNUMBER(FIND("overige",Methode_Keuze)),"",IF(Tb_Activiteiten[[#This Row],[Bijdrage in natura (vrijwilligers)]]=1,Tb_Activiteiten[[#Headers],[Bijdrage in natura (vrijwilligers)]],""))</f>
        <v/>
      </c>
      <c r="AX468" t="str">
        <f>IF(ISNUMBER(FIND("overige",Methode_Keuze)),"",IF(Tb_Activiteiten[[#This Row],[Afschrijvingskosten]]=1,Tb_Activiteiten[[#Headers],[Afschrijvingskosten]],""))</f>
        <v/>
      </c>
      <c r="AY468" t="str">
        <f>IF(ISNUMBER(FIND("overige",Methode_Keuze)),"",IF(Tb_Activiteiten[[#This Row],[Vergoeding]]=1,Tb_Activiteiten[[#Headers],[Vergoeding]],""))</f>
        <v/>
      </c>
      <c r="AZ468" t="str">
        <f>IF(ISNUMBER(FIND("arbeid",Methode_Keuze)),"",IF(Tb_Activiteiten[[#This Row],[Arbeidskosten - vast tarief (excl eigen arbeid)]]=1,Tb_Activiteiten[[#Headers],[Arbeidskosten - vast tarief (excl eigen arbeid)]],""))</f>
        <v/>
      </c>
      <c r="BA468" t="str">
        <f>IF(ISNUMBER(FIND("overige",Methode_Keuze)),"",IF(Tb_Activiteiten[[#This Row],[Overige kosten]]=1,Tb_Activiteiten[[#Headers],[Overige kosten]],""))</f>
        <v/>
      </c>
    </row>
    <row r="469" spans="1:53" x14ac:dyDescent="0.25">
      <c r="A469" s="231"/>
      <c r="F469" s="64"/>
      <c r="G469" s="64"/>
      <c r="H469" s="275"/>
      <c r="I469" s="275"/>
      <c r="J469" s="275"/>
      <c r="K469" s="275"/>
      <c r="O469" s="56"/>
      <c r="Q469" t="str">
        <f>IFERROR(IF(VLOOKUP(Tb_Activiteiten[[#This Row],[Openstelling]],Tb_Openstelling[],2,0)=1,1,""),"")</f>
        <v/>
      </c>
      <c r="AK469" t="str">
        <f>IF(ISNUMBER(FIND("arbeid",Methode_Keuze)),"",IF(ISNUMBER(FIND("arbeid",Methode_Keuze)),"",IF(Tb_Activiteiten[[#This Row],[Loonkosten]]=1,Tb_Activiteiten[[#Headers],[Loonkosten]],"")))</f>
        <v/>
      </c>
      <c r="AL469" t="str">
        <f>IF(ISNUMBER(FIND("arbeid",Methode_Keuze)),"",IF(ISNUMBER(FIND("arbeid",Methode_Keuze)),"",IF(Tb_Activiteiten[[#This Row],[Eigen arbeid]]=1,Tb_Activiteiten[[#Headers],[Eigen arbeid]],"")))</f>
        <v/>
      </c>
      <c r="AM469" t="str">
        <f>IF(ISNUMBER(FIND("arbeid",Methode_Keuze)),"",IF(ISNUMBER(FIND("arbeid",Methode_Keuze)),"",IF(Tb_Activiteiten[[#This Row],[Projectmedewerker]]=1,Tb_Activiteiten[[#Headers],[Projectmedewerker]],"")))</f>
        <v/>
      </c>
      <c r="AN469" t="str">
        <f>IF(ISNUMBER(FIND("arbeid",Methode_Keuze)),"",IF(ISNUMBER(FIND("arbeid",Methode_Keuze)),"",IF(Tb_Activiteiten[[#This Row],[Landbouwer]]=1,Tb_Activiteiten[[#Headers],[Landbouwer]],"")))</f>
        <v/>
      </c>
      <c r="AO469" t="str">
        <f>IF(ISNUMBER(FIND("arbeid",Methode_Keuze)),"",IF(ISNUMBER(FIND("arbeid",Methode_Keuze)),"",IF(Tb_Activiteiten[[#This Row],[Adviseur]]=1,Tb_Activiteiten[[#Headers],[Adviseur]],"")))</f>
        <v/>
      </c>
      <c r="AP469" t="str">
        <f>IF(ISNUMBER(FIND("arbeid",Methode_Keuze)),"",IF(ISNUMBER(FIND("arbeid",Methode_Keuze)),"",IF(Tb_Activiteiten[[#This Row],[Projectleider/Expert]]=1,Tb_Activiteiten[[#Headers],[Projectleider/Expert]],"")))</f>
        <v/>
      </c>
      <c r="AQ469" t="str">
        <f>IF(ISNUMBER(FIND("arbeid",Methode_Keuze)),"",IF(ISNUMBER(FIND("arbeid",Methode_Keuze)),"",IF(Tb_Activiteiten[[#This Row],[Arbeidskosten]]=1,Tb_Activiteiten[[#Headers],[Arbeidskosten]],"")))</f>
        <v/>
      </c>
      <c r="AR469" t="str">
        <f>IF(ISNUMBER(FIND("arbeid",Methode_Keuze)),"",IF(ISNUMBER(FIND("arbeid",Methode_Keuze)),"",IF(Tb_Activiteiten[[#This Row],[Arbeidskosten op basis van IKS]]=1,Tb_Activiteiten[[#Headers],[Arbeidskosten op basis van IKS]],"")))</f>
        <v/>
      </c>
      <c r="AS469" t="str">
        <f>IF(ISNUMBER(FIND("overige",Methode_Keuze)),"",IF(Tb_Activiteiten[[#This Row],[Kosten derden exclusief btw]]=1,Tb_Activiteiten[[#Headers],[Kosten derden exclusief btw]],""))</f>
        <v/>
      </c>
      <c r="AT469" t="str">
        <f>IF(ISNUMBER(FIND("overige",Methode_Keuze)),"",IF(Tb_Activiteiten[[#This Row],[Niet verrekenbare btw]]=1,Tb_Activiteiten[[#Headers],[Niet verrekenbare btw]],""))</f>
        <v/>
      </c>
      <c r="AU469" t="str">
        <f>IF(ISNUMBER(FIND("overige",Methode_Keuze)),"",IF(Tb_Activiteiten[[#This Row],[Grondkosten]]=1,Tb_Activiteiten[[#Headers],[Grondkosten]],""))</f>
        <v/>
      </c>
      <c r="AV469" t="str">
        <f>IF(ISNUMBER(FIND("overige",Methode_Keuze)),"",IF(Tb_Activiteiten[[#This Row],[Bijdrage in natura (overige)]]=1,Tb_Activiteiten[[#Headers],[Bijdrage in natura (overige)]],""))</f>
        <v/>
      </c>
      <c r="AW469" t="str">
        <f>IF(ISNUMBER(FIND("overige",Methode_Keuze)),"",IF(Tb_Activiteiten[[#This Row],[Bijdrage in natura (vrijwilligers)]]=1,Tb_Activiteiten[[#Headers],[Bijdrage in natura (vrijwilligers)]],""))</f>
        <v/>
      </c>
      <c r="AX469" t="str">
        <f>IF(ISNUMBER(FIND("overige",Methode_Keuze)),"",IF(Tb_Activiteiten[[#This Row],[Afschrijvingskosten]]=1,Tb_Activiteiten[[#Headers],[Afschrijvingskosten]],""))</f>
        <v/>
      </c>
      <c r="AY469" t="str">
        <f>IF(ISNUMBER(FIND("overige",Methode_Keuze)),"",IF(Tb_Activiteiten[[#This Row],[Vergoeding]]=1,Tb_Activiteiten[[#Headers],[Vergoeding]],""))</f>
        <v/>
      </c>
      <c r="AZ469" t="str">
        <f>IF(ISNUMBER(FIND("arbeid",Methode_Keuze)),"",IF(Tb_Activiteiten[[#This Row],[Arbeidskosten - vast tarief (excl eigen arbeid)]]=1,Tb_Activiteiten[[#Headers],[Arbeidskosten - vast tarief (excl eigen arbeid)]],""))</f>
        <v/>
      </c>
      <c r="BA469" t="str">
        <f>IF(ISNUMBER(FIND("overige",Methode_Keuze)),"",IF(Tb_Activiteiten[[#This Row],[Overige kosten]]=1,Tb_Activiteiten[[#Headers],[Overige kosten]],""))</f>
        <v/>
      </c>
    </row>
    <row r="470" spans="1:53" x14ac:dyDescent="0.25">
      <c r="A470" s="231"/>
      <c r="F470" s="64"/>
      <c r="G470" s="64"/>
      <c r="H470" s="275"/>
      <c r="I470" s="275"/>
      <c r="J470" s="275"/>
      <c r="K470" s="275"/>
      <c r="O470" s="56"/>
      <c r="Q470" t="str">
        <f>IFERROR(IF(VLOOKUP(Tb_Activiteiten[[#This Row],[Openstelling]],Tb_Openstelling[],2,0)=1,1,""),"")</f>
        <v/>
      </c>
      <c r="AK470" t="str">
        <f>IF(ISNUMBER(FIND("arbeid",Methode_Keuze)),"",IF(ISNUMBER(FIND("arbeid",Methode_Keuze)),"",IF(Tb_Activiteiten[[#This Row],[Loonkosten]]=1,Tb_Activiteiten[[#Headers],[Loonkosten]],"")))</f>
        <v/>
      </c>
      <c r="AL470" t="str">
        <f>IF(ISNUMBER(FIND("arbeid",Methode_Keuze)),"",IF(ISNUMBER(FIND("arbeid",Methode_Keuze)),"",IF(Tb_Activiteiten[[#This Row],[Eigen arbeid]]=1,Tb_Activiteiten[[#Headers],[Eigen arbeid]],"")))</f>
        <v/>
      </c>
      <c r="AM470" t="str">
        <f>IF(ISNUMBER(FIND("arbeid",Methode_Keuze)),"",IF(ISNUMBER(FIND("arbeid",Methode_Keuze)),"",IF(Tb_Activiteiten[[#This Row],[Projectmedewerker]]=1,Tb_Activiteiten[[#Headers],[Projectmedewerker]],"")))</f>
        <v/>
      </c>
      <c r="AN470" t="str">
        <f>IF(ISNUMBER(FIND("arbeid",Methode_Keuze)),"",IF(ISNUMBER(FIND("arbeid",Methode_Keuze)),"",IF(Tb_Activiteiten[[#This Row],[Landbouwer]]=1,Tb_Activiteiten[[#Headers],[Landbouwer]],"")))</f>
        <v/>
      </c>
      <c r="AO470" t="str">
        <f>IF(ISNUMBER(FIND("arbeid",Methode_Keuze)),"",IF(ISNUMBER(FIND("arbeid",Methode_Keuze)),"",IF(Tb_Activiteiten[[#This Row],[Adviseur]]=1,Tb_Activiteiten[[#Headers],[Adviseur]],"")))</f>
        <v/>
      </c>
      <c r="AP470" t="str">
        <f>IF(ISNUMBER(FIND("arbeid",Methode_Keuze)),"",IF(ISNUMBER(FIND("arbeid",Methode_Keuze)),"",IF(Tb_Activiteiten[[#This Row],[Projectleider/Expert]]=1,Tb_Activiteiten[[#Headers],[Projectleider/Expert]],"")))</f>
        <v/>
      </c>
      <c r="AQ470" t="str">
        <f>IF(ISNUMBER(FIND("arbeid",Methode_Keuze)),"",IF(ISNUMBER(FIND("arbeid",Methode_Keuze)),"",IF(Tb_Activiteiten[[#This Row],[Arbeidskosten]]=1,Tb_Activiteiten[[#Headers],[Arbeidskosten]],"")))</f>
        <v/>
      </c>
      <c r="AR470" t="str">
        <f>IF(ISNUMBER(FIND("arbeid",Methode_Keuze)),"",IF(ISNUMBER(FIND("arbeid",Methode_Keuze)),"",IF(Tb_Activiteiten[[#This Row],[Arbeidskosten op basis van IKS]]=1,Tb_Activiteiten[[#Headers],[Arbeidskosten op basis van IKS]],"")))</f>
        <v/>
      </c>
      <c r="AS470" t="str">
        <f>IF(ISNUMBER(FIND("overige",Methode_Keuze)),"",IF(Tb_Activiteiten[[#This Row],[Kosten derden exclusief btw]]=1,Tb_Activiteiten[[#Headers],[Kosten derden exclusief btw]],""))</f>
        <v/>
      </c>
      <c r="AT470" t="str">
        <f>IF(ISNUMBER(FIND("overige",Methode_Keuze)),"",IF(Tb_Activiteiten[[#This Row],[Niet verrekenbare btw]]=1,Tb_Activiteiten[[#Headers],[Niet verrekenbare btw]],""))</f>
        <v/>
      </c>
      <c r="AU470" t="str">
        <f>IF(ISNUMBER(FIND("overige",Methode_Keuze)),"",IF(Tb_Activiteiten[[#This Row],[Grondkosten]]=1,Tb_Activiteiten[[#Headers],[Grondkosten]],""))</f>
        <v/>
      </c>
      <c r="AV470" t="str">
        <f>IF(ISNUMBER(FIND("overige",Methode_Keuze)),"",IF(Tb_Activiteiten[[#This Row],[Bijdrage in natura (overige)]]=1,Tb_Activiteiten[[#Headers],[Bijdrage in natura (overige)]],""))</f>
        <v/>
      </c>
      <c r="AW470" t="str">
        <f>IF(ISNUMBER(FIND("overige",Methode_Keuze)),"",IF(Tb_Activiteiten[[#This Row],[Bijdrage in natura (vrijwilligers)]]=1,Tb_Activiteiten[[#Headers],[Bijdrage in natura (vrijwilligers)]],""))</f>
        <v/>
      </c>
      <c r="AX470" t="str">
        <f>IF(ISNUMBER(FIND("overige",Methode_Keuze)),"",IF(Tb_Activiteiten[[#This Row],[Afschrijvingskosten]]=1,Tb_Activiteiten[[#Headers],[Afschrijvingskosten]],""))</f>
        <v/>
      </c>
      <c r="AY470" t="str">
        <f>IF(ISNUMBER(FIND("overige",Methode_Keuze)),"",IF(Tb_Activiteiten[[#This Row],[Vergoeding]]=1,Tb_Activiteiten[[#Headers],[Vergoeding]],""))</f>
        <v/>
      </c>
      <c r="AZ470" t="str">
        <f>IF(ISNUMBER(FIND("arbeid",Methode_Keuze)),"",IF(Tb_Activiteiten[[#This Row],[Arbeidskosten - vast tarief (excl eigen arbeid)]]=1,Tb_Activiteiten[[#Headers],[Arbeidskosten - vast tarief (excl eigen arbeid)]],""))</f>
        <v/>
      </c>
      <c r="BA470" t="str">
        <f>IF(ISNUMBER(FIND("overige",Methode_Keuze)),"",IF(Tb_Activiteiten[[#This Row],[Overige kosten]]=1,Tb_Activiteiten[[#Headers],[Overige kosten]],""))</f>
        <v/>
      </c>
    </row>
    <row r="471" spans="1:53" x14ac:dyDescent="0.25">
      <c r="A471" s="231"/>
      <c r="F471" s="64"/>
      <c r="G471" s="64"/>
      <c r="H471" s="275"/>
      <c r="I471" s="275"/>
      <c r="J471" s="275"/>
      <c r="K471" s="275"/>
      <c r="O471" s="56"/>
      <c r="Q471" t="str">
        <f>IFERROR(IF(VLOOKUP(Tb_Activiteiten[[#This Row],[Openstelling]],Tb_Openstelling[],2,0)=1,1,""),"")</f>
        <v/>
      </c>
      <c r="AK471" t="str">
        <f>IF(ISNUMBER(FIND("arbeid",Methode_Keuze)),"",IF(ISNUMBER(FIND("arbeid",Methode_Keuze)),"",IF(Tb_Activiteiten[[#This Row],[Loonkosten]]=1,Tb_Activiteiten[[#Headers],[Loonkosten]],"")))</f>
        <v/>
      </c>
      <c r="AL471" t="str">
        <f>IF(ISNUMBER(FIND("arbeid",Methode_Keuze)),"",IF(ISNUMBER(FIND("arbeid",Methode_Keuze)),"",IF(Tb_Activiteiten[[#This Row],[Eigen arbeid]]=1,Tb_Activiteiten[[#Headers],[Eigen arbeid]],"")))</f>
        <v/>
      </c>
      <c r="AM471" t="str">
        <f>IF(ISNUMBER(FIND("arbeid",Methode_Keuze)),"",IF(ISNUMBER(FIND("arbeid",Methode_Keuze)),"",IF(Tb_Activiteiten[[#This Row],[Projectmedewerker]]=1,Tb_Activiteiten[[#Headers],[Projectmedewerker]],"")))</f>
        <v/>
      </c>
      <c r="AN471" t="str">
        <f>IF(ISNUMBER(FIND("arbeid",Methode_Keuze)),"",IF(ISNUMBER(FIND("arbeid",Methode_Keuze)),"",IF(Tb_Activiteiten[[#This Row],[Landbouwer]]=1,Tb_Activiteiten[[#Headers],[Landbouwer]],"")))</f>
        <v/>
      </c>
      <c r="AO471" t="str">
        <f>IF(ISNUMBER(FIND("arbeid",Methode_Keuze)),"",IF(ISNUMBER(FIND("arbeid",Methode_Keuze)),"",IF(Tb_Activiteiten[[#This Row],[Adviseur]]=1,Tb_Activiteiten[[#Headers],[Adviseur]],"")))</f>
        <v/>
      </c>
      <c r="AP471" t="str">
        <f>IF(ISNUMBER(FIND("arbeid",Methode_Keuze)),"",IF(ISNUMBER(FIND("arbeid",Methode_Keuze)),"",IF(Tb_Activiteiten[[#This Row],[Projectleider/Expert]]=1,Tb_Activiteiten[[#Headers],[Projectleider/Expert]],"")))</f>
        <v/>
      </c>
      <c r="AQ471" t="str">
        <f>IF(ISNUMBER(FIND("arbeid",Methode_Keuze)),"",IF(ISNUMBER(FIND("arbeid",Methode_Keuze)),"",IF(Tb_Activiteiten[[#This Row],[Arbeidskosten]]=1,Tb_Activiteiten[[#Headers],[Arbeidskosten]],"")))</f>
        <v/>
      </c>
      <c r="AR471" t="str">
        <f>IF(ISNUMBER(FIND("arbeid",Methode_Keuze)),"",IF(ISNUMBER(FIND("arbeid",Methode_Keuze)),"",IF(Tb_Activiteiten[[#This Row],[Arbeidskosten op basis van IKS]]=1,Tb_Activiteiten[[#Headers],[Arbeidskosten op basis van IKS]],"")))</f>
        <v/>
      </c>
      <c r="AS471" t="str">
        <f>IF(ISNUMBER(FIND("overige",Methode_Keuze)),"",IF(Tb_Activiteiten[[#This Row],[Kosten derden exclusief btw]]=1,Tb_Activiteiten[[#Headers],[Kosten derden exclusief btw]],""))</f>
        <v/>
      </c>
      <c r="AT471" t="str">
        <f>IF(ISNUMBER(FIND("overige",Methode_Keuze)),"",IF(Tb_Activiteiten[[#This Row],[Niet verrekenbare btw]]=1,Tb_Activiteiten[[#Headers],[Niet verrekenbare btw]],""))</f>
        <v/>
      </c>
      <c r="AU471" t="str">
        <f>IF(ISNUMBER(FIND("overige",Methode_Keuze)),"",IF(Tb_Activiteiten[[#This Row],[Grondkosten]]=1,Tb_Activiteiten[[#Headers],[Grondkosten]],""))</f>
        <v/>
      </c>
      <c r="AV471" t="str">
        <f>IF(ISNUMBER(FIND("overige",Methode_Keuze)),"",IF(Tb_Activiteiten[[#This Row],[Bijdrage in natura (overige)]]=1,Tb_Activiteiten[[#Headers],[Bijdrage in natura (overige)]],""))</f>
        <v/>
      </c>
      <c r="AW471" t="str">
        <f>IF(ISNUMBER(FIND("overige",Methode_Keuze)),"",IF(Tb_Activiteiten[[#This Row],[Bijdrage in natura (vrijwilligers)]]=1,Tb_Activiteiten[[#Headers],[Bijdrage in natura (vrijwilligers)]],""))</f>
        <v/>
      </c>
      <c r="AX471" t="str">
        <f>IF(ISNUMBER(FIND("overige",Methode_Keuze)),"",IF(Tb_Activiteiten[[#This Row],[Afschrijvingskosten]]=1,Tb_Activiteiten[[#Headers],[Afschrijvingskosten]],""))</f>
        <v/>
      </c>
      <c r="AY471" t="str">
        <f>IF(ISNUMBER(FIND("overige",Methode_Keuze)),"",IF(Tb_Activiteiten[[#This Row],[Vergoeding]]=1,Tb_Activiteiten[[#Headers],[Vergoeding]],""))</f>
        <v/>
      </c>
      <c r="AZ471" t="str">
        <f>IF(ISNUMBER(FIND("arbeid",Methode_Keuze)),"",IF(Tb_Activiteiten[[#This Row],[Arbeidskosten - vast tarief (excl eigen arbeid)]]=1,Tb_Activiteiten[[#Headers],[Arbeidskosten - vast tarief (excl eigen arbeid)]],""))</f>
        <v/>
      </c>
      <c r="BA471" t="str">
        <f>IF(ISNUMBER(FIND("overige",Methode_Keuze)),"",IF(Tb_Activiteiten[[#This Row],[Overige kosten]]=1,Tb_Activiteiten[[#Headers],[Overige kosten]],""))</f>
        <v/>
      </c>
    </row>
    <row r="472" spans="1:53" x14ac:dyDescent="0.25">
      <c r="A472" s="231"/>
      <c r="F472" s="64"/>
      <c r="G472" s="64"/>
      <c r="H472" s="275"/>
      <c r="I472" s="275"/>
      <c r="J472" s="275"/>
      <c r="K472" s="275"/>
      <c r="O472" s="56"/>
      <c r="Q472" t="str">
        <f>IFERROR(IF(VLOOKUP(Tb_Activiteiten[[#This Row],[Openstelling]],Tb_Openstelling[],2,0)=1,1,""),"")</f>
        <v/>
      </c>
      <c r="AK472" t="str">
        <f>IF(ISNUMBER(FIND("arbeid",Methode_Keuze)),"",IF(ISNUMBER(FIND("arbeid",Methode_Keuze)),"",IF(Tb_Activiteiten[[#This Row],[Loonkosten]]=1,Tb_Activiteiten[[#Headers],[Loonkosten]],"")))</f>
        <v/>
      </c>
      <c r="AL472" t="str">
        <f>IF(ISNUMBER(FIND("arbeid",Methode_Keuze)),"",IF(ISNUMBER(FIND("arbeid",Methode_Keuze)),"",IF(Tb_Activiteiten[[#This Row],[Eigen arbeid]]=1,Tb_Activiteiten[[#Headers],[Eigen arbeid]],"")))</f>
        <v/>
      </c>
      <c r="AM472" t="str">
        <f>IF(ISNUMBER(FIND("arbeid",Methode_Keuze)),"",IF(ISNUMBER(FIND("arbeid",Methode_Keuze)),"",IF(Tb_Activiteiten[[#This Row],[Projectmedewerker]]=1,Tb_Activiteiten[[#Headers],[Projectmedewerker]],"")))</f>
        <v/>
      </c>
      <c r="AN472" t="str">
        <f>IF(ISNUMBER(FIND("arbeid",Methode_Keuze)),"",IF(ISNUMBER(FIND("arbeid",Methode_Keuze)),"",IF(Tb_Activiteiten[[#This Row],[Landbouwer]]=1,Tb_Activiteiten[[#Headers],[Landbouwer]],"")))</f>
        <v/>
      </c>
      <c r="AO472" t="str">
        <f>IF(ISNUMBER(FIND("arbeid",Methode_Keuze)),"",IF(ISNUMBER(FIND("arbeid",Methode_Keuze)),"",IF(Tb_Activiteiten[[#This Row],[Adviseur]]=1,Tb_Activiteiten[[#Headers],[Adviseur]],"")))</f>
        <v/>
      </c>
      <c r="AP472" t="str">
        <f>IF(ISNUMBER(FIND("arbeid",Methode_Keuze)),"",IF(ISNUMBER(FIND("arbeid",Methode_Keuze)),"",IF(Tb_Activiteiten[[#This Row],[Projectleider/Expert]]=1,Tb_Activiteiten[[#Headers],[Projectleider/Expert]],"")))</f>
        <v/>
      </c>
      <c r="AQ472" t="str">
        <f>IF(ISNUMBER(FIND("arbeid",Methode_Keuze)),"",IF(ISNUMBER(FIND("arbeid",Methode_Keuze)),"",IF(Tb_Activiteiten[[#This Row],[Arbeidskosten]]=1,Tb_Activiteiten[[#Headers],[Arbeidskosten]],"")))</f>
        <v/>
      </c>
      <c r="AR472" t="str">
        <f>IF(ISNUMBER(FIND("arbeid",Methode_Keuze)),"",IF(ISNUMBER(FIND("arbeid",Methode_Keuze)),"",IF(Tb_Activiteiten[[#This Row],[Arbeidskosten op basis van IKS]]=1,Tb_Activiteiten[[#Headers],[Arbeidskosten op basis van IKS]],"")))</f>
        <v/>
      </c>
      <c r="AS472" t="str">
        <f>IF(ISNUMBER(FIND("overige",Methode_Keuze)),"",IF(Tb_Activiteiten[[#This Row],[Kosten derden exclusief btw]]=1,Tb_Activiteiten[[#Headers],[Kosten derden exclusief btw]],""))</f>
        <v/>
      </c>
      <c r="AT472" t="str">
        <f>IF(ISNUMBER(FIND("overige",Methode_Keuze)),"",IF(Tb_Activiteiten[[#This Row],[Niet verrekenbare btw]]=1,Tb_Activiteiten[[#Headers],[Niet verrekenbare btw]],""))</f>
        <v/>
      </c>
      <c r="AU472" t="str">
        <f>IF(ISNUMBER(FIND("overige",Methode_Keuze)),"",IF(Tb_Activiteiten[[#This Row],[Grondkosten]]=1,Tb_Activiteiten[[#Headers],[Grondkosten]],""))</f>
        <v/>
      </c>
      <c r="AV472" t="str">
        <f>IF(ISNUMBER(FIND("overige",Methode_Keuze)),"",IF(Tb_Activiteiten[[#This Row],[Bijdrage in natura (overige)]]=1,Tb_Activiteiten[[#Headers],[Bijdrage in natura (overige)]],""))</f>
        <v/>
      </c>
      <c r="AW472" t="str">
        <f>IF(ISNUMBER(FIND("overige",Methode_Keuze)),"",IF(Tb_Activiteiten[[#This Row],[Bijdrage in natura (vrijwilligers)]]=1,Tb_Activiteiten[[#Headers],[Bijdrage in natura (vrijwilligers)]],""))</f>
        <v/>
      </c>
      <c r="AX472" t="str">
        <f>IF(ISNUMBER(FIND("overige",Methode_Keuze)),"",IF(Tb_Activiteiten[[#This Row],[Afschrijvingskosten]]=1,Tb_Activiteiten[[#Headers],[Afschrijvingskosten]],""))</f>
        <v/>
      </c>
      <c r="AY472" t="str">
        <f>IF(ISNUMBER(FIND("overige",Methode_Keuze)),"",IF(Tb_Activiteiten[[#This Row],[Vergoeding]]=1,Tb_Activiteiten[[#Headers],[Vergoeding]],""))</f>
        <v/>
      </c>
      <c r="AZ472" t="str">
        <f>IF(ISNUMBER(FIND("arbeid",Methode_Keuze)),"",IF(Tb_Activiteiten[[#This Row],[Arbeidskosten - vast tarief (excl eigen arbeid)]]=1,Tb_Activiteiten[[#Headers],[Arbeidskosten - vast tarief (excl eigen arbeid)]],""))</f>
        <v/>
      </c>
      <c r="BA472" t="str">
        <f>IF(ISNUMBER(FIND("overige",Methode_Keuze)),"",IF(Tb_Activiteiten[[#This Row],[Overige kosten]]=1,Tb_Activiteiten[[#Headers],[Overige kosten]],""))</f>
        <v/>
      </c>
    </row>
    <row r="473" spans="1:53" x14ac:dyDescent="0.25">
      <c r="A473" s="231"/>
      <c r="F473" s="64"/>
      <c r="G473" s="64"/>
      <c r="H473" s="275"/>
      <c r="I473" s="275"/>
      <c r="J473" s="275"/>
      <c r="K473" s="275"/>
      <c r="O473" s="56"/>
      <c r="Q473" t="str">
        <f>IFERROR(IF(VLOOKUP(Tb_Activiteiten[[#This Row],[Openstelling]],Tb_Openstelling[],2,0)=1,1,""),"")</f>
        <v/>
      </c>
      <c r="AK473" t="str">
        <f>IF(ISNUMBER(FIND("arbeid",Methode_Keuze)),"",IF(ISNUMBER(FIND("arbeid",Methode_Keuze)),"",IF(Tb_Activiteiten[[#This Row],[Loonkosten]]=1,Tb_Activiteiten[[#Headers],[Loonkosten]],"")))</f>
        <v/>
      </c>
      <c r="AL473" t="str">
        <f>IF(ISNUMBER(FIND("arbeid",Methode_Keuze)),"",IF(ISNUMBER(FIND("arbeid",Methode_Keuze)),"",IF(Tb_Activiteiten[[#This Row],[Eigen arbeid]]=1,Tb_Activiteiten[[#Headers],[Eigen arbeid]],"")))</f>
        <v/>
      </c>
      <c r="AM473" t="str">
        <f>IF(ISNUMBER(FIND("arbeid",Methode_Keuze)),"",IF(ISNUMBER(FIND("arbeid",Methode_Keuze)),"",IF(Tb_Activiteiten[[#This Row],[Projectmedewerker]]=1,Tb_Activiteiten[[#Headers],[Projectmedewerker]],"")))</f>
        <v/>
      </c>
      <c r="AN473" t="str">
        <f>IF(ISNUMBER(FIND("arbeid",Methode_Keuze)),"",IF(ISNUMBER(FIND("arbeid",Methode_Keuze)),"",IF(Tb_Activiteiten[[#This Row],[Landbouwer]]=1,Tb_Activiteiten[[#Headers],[Landbouwer]],"")))</f>
        <v/>
      </c>
      <c r="AO473" t="str">
        <f>IF(ISNUMBER(FIND("arbeid",Methode_Keuze)),"",IF(ISNUMBER(FIND("arbeid",Methode_Keuze)),"",IF(Tb_Activiteiten[[#This Row],[Adviseur]]=1,Tb_Activiteiten[[#Headers],[Adviseur]],"")))</f>
        <v/>
      </c>
      <c r="AP473" t="str">
        <f>IF(ISNUMBER(FIND("arbeid",Methode_Keuze)),"",IF(ISNUMBER(FIND("arbeid",Methode_Keuze)),"",IF(Tb_Activiteiten[[#This Row],[Projectleider/Expert]]=1,Tb_Activiteiten[[#Headers],[Projectleider/Expert]],"")))</f>
        <v/>
      </c>
      <c r="AQ473" t="str">
        <f>IF(ISNUMBER(FIND("arbeid",Methode_Keuze)),"",IF(ISNUMBER(FIND("arbeid",Methode_Keuze)),"",IF(Tb_Activiteiten[[#This Row],[Arbeidskosten]]=1,Tb_Activiteiten[[#Headers],[Arbeidskosten]],"")))</f>
        <v/>
      </c>
      <c r="AR473" t="str">
        <f>IF(ISNUMBER(FIND("arbeid",Methode_Keuze)),"",IF(ISNUMBER(FIND("arbeid",Methode_Keuze)),"",IF(Tb_Activiteiten[[#This Row],[Arbeidskosten op basis van IKS]]=1,Tb_Activiteiten[[#Headers],[Arbeidskosten op basis van IKS]],"")))</f>
        <v/>
      </c>
      <c r="AS473" t="str">
        <f>IF(ISNUMBER(FIND("overige",Methode_Keuze)),"",IF(Tb_Activiteiten[[#This Row],[Kosten derden exclusief btw]]=1,Tb_Activiteiten[[#Headers],[Kosten derden exclusief btw]],""))</f>
        <v/>
      </c>
      <c r="AT473" t="str">
        <f>IF(ISNUMBER(FIND("overige",Methode_Keuze)),"",IF(Tb_Activiteiten[[#This Row],[Niet verrekenbare btw]]=1,Tb_Activiteiten[[#Headers],[Niet verrekenbare btw]],""))</f>
        <v/>
      </c>
      <c r="AU473" t="str">
        <f>IF(ISNUMBER(FIND("overige",Methode_Keuze)),"",IF(Tb_Activiteiten[[#This Row],[Grondkosten]]=1,Tb_Activiteiten[[#Headers],[Grondkosten]],""))</f>
        <v/>
      </c>
      <c r="AV473" t="str">
        <f>IF(ISNUMBER(FIND("overige",Methode_Keuze)),"",IF(Tb_Activiteiten[[#This Row],[Bijdrage in natura (overige)]]=1,Tb_Activiteiten[[#Headers],[Bijdrage in natura (overige)]],""))</f>
        <v/>
      </c>
      <c r="AW473" t="str">
        <f>IF(ISNUMBER(FIND("overige",Methode_Keuze)),"",IF(Tb_Activiteiten[[#This Row],[Bijdrage in natura (vrijwilligers)]]=1,Tb_Activiteiten[[#Headers],[Bijdrage in natura (vrijwilligers)]],""))</f>
        <v/>
      </c>
      <c r="AX473" t="str">
        <f>IF(ISNUMBER(FIND("overige",Methode_Keuze)),"",IF(Tb_Activiteiten[[#This Row],[Afschrijvingskosten]]=1,Tb_Activiteiten[[#Headers],[Afschrijvingskosten]],""))</f>
        <v/>
      </c>
      <c r="AY473" t="str">
        <f>IF(ISNUMBER(FIND("overige",Methode_Keuze)),"",IF(Tb_Activiteiten[[#This Row],[Vergoeding]]=1,Tb_Activiteiten[[#Headers],[Vergoeding]],""))</f>
        <v/>
      </c>
      <c r="AZ473" t="str">
        <f>IF(ISNUMBER(FIND("arbeid",Methode_Keuze)),"",IF(Tb_Activiteiten[[#This Row],[Arbeidskosten - vast tarief (excl eigen arbeid)]]=1,Tb_Activiteiten[[#Headers],[Arbeidskosten - vast tarief (excl eigen arbeid)]],""))</f>
        <v/>
      </c>
      <c r="BA473" t="str">
        <f>IF(ISNUMBER(FIND("overige",Methode_Keuze)),"",IF(Tb_Activiteiten[[#This Row],[Overige kosten]]=1,Tb_Activiteiten[[#Headers],[Overige kosten]],""))</f>
        <v/>
      </c>
    </row>
    <row r="474" spans="1:53" x14ac:dyDescent="0.25">
      <c r="A474" s="231"/>
      <c r="F474" s="64"/>
      <c r="G474" s="64"/>
      <c r="H474" s="275"/>
      <c r="I474" s="275"/>
      <c r="J474" s="275"/>
      <c r="K474" s="275"/>
      <c r="O474" s="56"/>
      <c r="Q474" t="str">
        <f>IFERROR(IF(VLOOKUP(Tb_Activiteiten[[#This Row],[Openstelling]],Tb_Openstelling[],2,0)=1,1,""),"")</f>
        <v/>
      </c>
      <c r="AK474" t="str">
        <f>IF(ISNUMBER(FIND("arbeid",Methode_Keuze)),"",IF(ISNUMBER(FIND("arbeid",Methode_Keuze)),"",IF(Tb_Activiteiten[[#This Row],[Loonkosten]]=1,Tb_Activiteiten[[#Headers],[Loonkosten]],"")))</f>
        <v/>
      </c>
      <c r="AL474" t="str">
        <f>IF(ISNUMBER(FIND("arbeid",Methode_Keuze)),"",IF(ISNUMBER(FIND("arbeid",Methode_Keuze)),"",IF(Tb_Activiteiten[[#This Row],[Eigen arbeid]]=1,Tb_Activiteiten[[#Headers],[Eigen arbeid]],"")))</f>
        <v/>
      </c>
      <c r="AM474" t="str">
        <f>IF(ISNUMBER(FIND("arbeid",Methode_Keuze)),"",IF(ISNUMBER(FIND("arbeid",Methode_Keuze)),"",IF(Tb_Activiteiten[[#This Row],[Projectmedewerker]]=1,Tb_Activiteiten[[#Headers],[Projectmedewerker]],"")))</f>
        <v/>
      </c>
      <c r="AN474" t="str">
        <f>IF(ISNUMBER(FIND("arbeid",Methode_Keuze)),"",IF(ISNUMBER(FIND("arbeid",Methode_Keuze)),"",IF(Tb_Activiteiten[[#This Row],[Landbouwer]]=1,Tb_Activiteiten[[#Headers],[Landbouwer]],"")))</f>
        <v/>
      </c>
      <c r="AO474" t="str">
        <f>IF(ISNUMBER(FIND("arbeid",Methode_Keuze)),"",IF(ISNUMBER(FIND("arbeid",Methode_Keuze)),"",IF(Tb_Activiteiten[[#This Row],[Adviseur]]=1,Tb_Activiteiten[[#Headers],[Adviseur]],"")))</f>
        <v/>
      </c>
      <c r="AP474" t="str">
        <f>IF(ISNUMBER(FIND("arbeid",Methode_Keuze)),"",IF(ISNUMBER(FIND("arbeid",Methode_Keuze)),"",IF(Tb_Activiteiten[[#This Row],[Projectleider/Expert]]=1,Tb_Activiteiten[[#Headers],[Projectleider/Expert]],"")))</f>
        <v/>
      </c>
      <c r="AQ474" t="str">
        <f>IF(ISNUMBER(FIND("arbeid",Methode_Keuze)),"",IF(ISNUMBER(FIND("arbeid",Methode_Keuze)),"",IF(Tb_Activiteiten[[#This Row],[Arbeidskosten]]=1,Tb_Activiteiten[[#Headers],[Arbeidskosten]],"")))</f>
        <v/>
      </c>
      <c r="AR474" t="str">
        <f>IF(ISNUMBER(FIND("arbeid",Methode_Keuze)),"",IF(ISNUMBER(FIND("arbeid",Methode_Keuze)),"",IF(Tb_Activiteiten[[#This Row],[Arbeidskosten op basis van IKS]]=1,Tb_Activiteiten[[#Headers],[Arbeidskosten op basis van IKS]],"")))</f>
        <v/>
      </c>
      <c r="AS474" t="str">
        <f>IF(ISNUMBER(FIND("overige",Methode_Keuze)),"",IF(Tb_Activiteiten[[#This Row],[Kosten derden exclusief btw]]=1,Tb_Activiteiten[[#Headers],[Kosten derden exclusief btw]],""))</f>
        <v/>
      </c>
      <c r="AT474" t="str">
        <f>IF(ISNUMBER(FIND("overige",Methode_Keuze)),"",IF(Tb_Activiteiten[[#This Row],[Niet verrekenbare btw]]=1,Tb_Activiteiten[[#Headers],[Niet verrekenbare btw]],""))</f>
        <v/>
      </c>
      <c r="AU474" t="str">
        <f>IF(ISNUMBER(FIND("overige",Methode_Keuze)),"",IF(Tb_Activiteiten[[#This Row],[Grondkosten]]=1,Tb_Activiteiten[[#Headers],[Grondkosten]],""))</f>
        <v/>
      </c>
      <c r="AV474" t="str">
        <f>IF(ISNUMBER(FIND("overige",Methode_Keuze)),"",IF(Tb_Activiteiten[[#This Row],[Bijdrage in natura (overige)]]=1,Tb_Activiteiten[[#Headers],[Bijdrage in natura (overige)]],""))</f>
        <v/>
      </c>
      <c r="AW474" t="str">
        <f>IF(ISNUMBER(FIND("overige",Methode_Keuze)),"",IF(Tb_Activiteiten[[#This Row],[Bijdrage in natura (vrijwilligers)]]=1,Tb_Activiteiten[[#Headers],[Bijdrage in natura (vrijwilligers)]],""))</f>
        <v/>
      </c>
      <c r="AX474" t="str">
        <f>IF(ISNUMBER(FIND("overige",Methode_Keuze)),"",IF(Tb_Activiteiten[[#This Row],[Afschrijvingskosten]]=1,Tb_Activiteiten[[#Headers],[Afschrijvingskosten]],""))</f>
        <v/>
      </c>
      <c r="AY474" t="str">
        <f>IF(ISNUMBER(FIND("overige",Methode_Keuze)),"",IF(Tb_Activiteiten[[#This Row],[Vergoeding]]=1,Tb_Activiteiten[[#Headers],[Vergoeding]],""))</f>
        <v/>
      </c>
      <c r="AZ474" t="str">
        <f>IF(ISNUMBER(FIND("arbeid",Methode_Keuze)),"",IF(Tb_Activiteiten[[#This Row],[Arbeidskosten - vast tarief (excl eigen arbeid)]]=1,Tb_Activiteiten[[#Headers],[Arbeidskosten - vast tarief (excl eigen arbeid)]],""))</f>
        <v/>
      </c>
      <c r="BA474" t="str">
        <f>IF(ISNUMBER(FIND("overige",Methode_Keuze)),"",IF(Tb_Activiteiten[[#This Row],[Overige kosten]]=1,Tb_Activiteiten[[#Headers],[Overige kosten]],""))</f>
        <v/>
      </c>
    </row>
    <row r="475" spans="1:53" x14ac:dyDescent="0.25">
      <c r="A475" s="231"/>
      <c r="F475" s="64"/>
      <c r="G475" s="64"/>
      <c r="H475" s="275"/>
      <c r="I475" s="275"/>
      <c r="J475" s="275"/>
      <c r="K475" s="275"/>
      <c r="O475" s="56"/>
      <c r="Q475" t="str">
        <f>IFERROR(IF(VLOOKUP(Tb_Activiteiten[[#This Row],[Openstelling]],Tb_Openstelling[],2,0)=1,1,""),"")</f>
        <v/>
      </c>
      <c r="AK475" t="str">
        <f>IF(ISNUMBER(FIND("arbeid",Methode_Keuze)),"",IF(ISNUMBER(FIND("arbeid",Methode_Keuze)),"",IF(Tb_Activiteiten[[#This Row],[Loonkosten]]=1,Tb_Activiteiten[[#Headers],[Loonkosten]],"")))</f>
        <v/>
      </c>
      <c r="AL475" t="str">
        <f>IF(ISNUMBER(FIND("arbeid",Methode_Keuze)),"",IF(ISNUMBER(FIND("arbeid",Methode_Keuze)),"",IF(Tb_Activiteiten[[#This Row],[Eigen arbeid]]=1,Tb_Activiteiten[[#Headers],[Eigen arbeid]],"")))</f>
        <v/>
      </c>
      <c r="AM475" t="str">
        <f>IF(ISNUMBER(FIND("arbeid",Methode_Keuze)),"",IF(ISNUMBER(FIND("arbeid",Methode_Keuze)),"",IF(Tb_Activiteiten[[#This Row],[Projectmedewerker]]=1,Tb_Activiteiten[[#Headers],[Projectmedewerker]],"")))</f>
        <v/>
      </c>
      <c r="AN475" t="str">
        <f>IF(ISNUMBER(FIND("arbeid",Methode_Keuze)),"",IF(ISNUMBER(FIND("arbeid",Methode_Keuze)),"",IF(Tb_Activiteiten[[#This Row],[Landbouwer]]=1,Tb_Activiteiten[[#Headers],[Landbouwer]],"")))</f>
        <v/>
      </c>
      <c r="AO475" t="str">
        <f>IF(ISNUMBER(FIND("arbeid",Methode_Keuze)),"",IF(ISNUMBER(FIND("arbeid",Methode_Keuze)),"",IF(Tb_Activiteiten[[#This Row],[Adviseur]]=1,Tb_Activiteiten[[#Headers],[Adviseur]],"")))</f>
        <v/>
      </c>
      <c r="AP475" t="str">
        <f>IF(ISNUMBER(FIND("arbeid",Methode_Keuze)),"",IF(ISNUMBER(FIND("arbeid",Methode_Keuze)),"",IF(Tb_Activiteiten[[#This Row],[Projectleider/Expert]]=1,Tb_Activiteiten[[#Headers],[Projectleider/Expert]],"")))</f>
        <v/>
      </c>
      <c r="AQ475" t="str">
        <f>IF(ISNUMBER(FIND("arbeid",Methode_Keuze)),"",IF(ISNUMBER(FIND("arbeid",Methode_Keuze)),"",IF(Tb_Activiteiten[[#This Row],[Arbeidskosten]]=1,Tb_Activiteiten[[#Headers],[Arbeidskosten]],"")))</f>
        <v/>
      </c>
      <c r="AR475" t="str">
        <f>IF(ISNUMBER(FIND("arbeid",Methode_Keuze)),"",IF(ISNUMBER(FIND("arbeid",Methode_Keuze)),"",IF(Tb_Activiteiten[[#This Row],[Arbeidskosten op basis van IKS]]=1,Tb_Activiteiten[[#Headers],[Arbeidskosten op basis van IKS]],"")))</f>
        <v/>
      </c>
      <c r="AS475" t="str">
        <f>IF(ISNUMBER(FIND("overige",Methode_Keuze)),"",IF(Tb_Activiteiten[[#This Row],[Kosten derden exclusief btw]]=1,Tb_Activiteiten[[#Headers],[Kosten derden exclusief btw]],""))</f>
        <v/>
      </c>
      <c r="AT475" t="str">
        <f>IF(ISNUMBER(FIND("overige",Methode_Keuze)),"",IF(Tb_Activiteiten[[#This Row],[Niet verrekenbare btw]]=1,Tb_Activiteiten[[#Headers],[Niet verrekenbare btw]],""))</f>
        <v/>
      </c>
      <c r="AU475" t="str">
        <f>IF(ISNUMBER(FIND("overige",Methode_Keuze)),"",IF(Tb_Activiteiten[[#This Row],[Grondkosten]]=1,Tb_Activiteiten[[#Headers],[Grondkosten]],""))</f>
        <v/>
      </c>
      <c r="AV475" t="str">
        <f>IF(ISNUMBER(FIND("overige",Methode_Keuze)),"",IF(Tb_Activiteiten[[#This Row],[Bijdrage in natura (overige)]]=1,Tb_Activiteiten[[#Headers],[Bijdrage in natura (overige)]],""))</f>
        <v/>
      </c>
      <c r="AW475" t="str">
        <f>IF(ISNUMBER(FIND("overige",Methode_Keuze)),"",IF(Tb_Activiteiten[[#This Row],[Bijdrage in natura (vrijwilligers)]]=1,Tb_Activiteiten[[#Headers],[Bijdrage in natura (vrijwilligers)]],""))</f>
        <v/>
      </c>
      <c r="AX475" t="str">
        <f>IF(ISNUMBER(FIND("overige",Methode_Keuze)),"",IF(Tb_Activiteiten[[#This Row],[Afschrijvingskosten]]=1,Tb_Activiteiten[[#Headers],[Afschrijvingskosten]],""))</f>
        <v/>
      </c>
      <c r="AY475" t="str">
        <f>IF(ISNUMBER(FIND("overige",Methode_Keuze)),"",IF(Tb_Activiteiten[[#This Row],[Vergoeding]]=1,Tb_Activiteiten[[#Headers],[Vergoeding]],""))</f>
        <v/>
      </c>
      <c r="AZ475" t="str">
        <f>IF(ISNUMBER(FIND("arbeid",Methode_Keuze)),"",IF(Tb_Activiteiten[[#This Row],[Arbeidskosten - vast tarief (excl eigen arbeid)]]=1,Tb_Activiteiten[[#Headers],[Arbeidskosten - vast tarief (excl eigen arbeid)]],""))</f>
        <v/>
      </c>
      <c r="BA475" t="str">
        <f>IF(ISNUMBER(FIND("overige",Methode_Keuze)),"",IF(Tb_Activiteiten[[#This Row],[Overige kosten]]=1,Tb_Activiteiten[[#Headers],[Overige kosten]],""))</f>
        <v/>
      </c>
    </row>
    <row r="476" spans="1:53" x14ac:dyDescent="0.25">
      <c r="A476" s="231"/>
      <c r="F476" s="64"/>
      <c r="G476" s="64"/>
      <c r="H476" s="275"/>
      <c r="I476" s="275"/>
      <c r="J476" s="275"/>
      <c r="K476" s="275"/>
      <c r="O476" s="56"/>
      <c r="Q476" t="str">
        <f>IFERROR(IF(VLOOKUP(Tb_Activiteiten[[#This Row],[Openstelling]],Tb_Openstelling[],2,0)=1,1,""),"")</f>
        <v/>
      </c>
      <c r="AK476" t="str">
        <f>IF(ISNUMBER(FIND("arbeid",Methode_Keuze)),"",IF(ISNUMBER(FIND("arbeid",Methode_Keuze)),"",IF(Tb_Activiteiten[[#This Row],[Loonkosten]]=1,Tb_Activiteiten[[#Headers],[Loonkosten]],"")))</f>
        <v/>
      </c>
      <c r="AL476" t="str">
        <f>IF(ISNUMBER(FIND("arbeid",Methode_Keuze)),"",IF(ISNUMBER(FIND("arbeid",Methode_Keuze)),"",IF(Tb_Activiteiten[[#This Row],[Eigen arbeid]]=1,Tb_Activiteiten[[#Headers],[Eigen arbeid]],"")))</f>
        <v/>
      </c>
      <c r="AM476" t="str">
        <f>IF(ISNUMBER(FIND("arbeid",Methode_Keuze)),"",IF(ISNUMBER(FIND("arbeid",Methode_Keuze)),"",IF(Tb_Activiteiten[[#This Row],[Projectmedewerker]]=1,Tb_Activiteiten[[#Headers],[Projectmedewerker]],"")))</f>
        <v/>
      </c>
      <c r="AN476" t="str">
        <f>IF(ISNUMBER(FIND("arbeid",Methode_Keuze)),"",IF(ISNUMBER(FIND("arbeid",Methode_Keuze)),"",IF(Tb_Activiteiten[[#This Row],[Landbouwer]]=1,Tb_Activiteiten[[#Headers],[Landbouwer]],"")))</f>
        <v/>
      </c>
      <c r="AO476" t="str">
        <f>IF(ISNUMBER(FIND("arbeid",Methode_Keuze)),"",IF(ISNUMBER(FIND("arbeid",Methode_Keuze)),"",IF(Tb_Activiteiten[[#This Row],[Adviseur]]=1,Tb_Activiteiten[[#Headers],[Adviseur]],"")))</f>
        <v/>
      </c>
      <c r="AP476" t="str">
        <f>IF(ISNUMBER(FIND("arbeid",Methode_Keuze)),"",IF(ISNUMBER(FIND("arbeid",Methode_Keuze)),"",IF(Tb_Activiteiten[[#This Row],[Projectleider/Expert]]=1,Tb_Activiteiten[[#Headers],[Projectleider/Expert]],"")))</f>
        <v/>
      </c>
      <c r="AQ476" t="str">
        <f>IF(ISNUMBER(FIND("arbeid",Methode_Keuze)),"",IF(ISNUMBER(FIND("arbeid",Methode_Keuze)),"",IF(Tb_Activiteiten[[#This Row],[Arbeidskosten]]=1,Tb_Activiteiten[[#Headers],[Arbeidskosten]],"")))</f>
        <v/>
      </c>
      <c r="AR476" t="str">
        <f>IF(ISNUMBER(FIND("arbeid",Methode_Keuze)),"",IF(ISNUMBER(FIND("arbeid",Methode_Keuze)),"",IF(Tb_Activiteiten[[#This Row],[Arbeidskosten op basis van IKS]]=1,Tb_Activiteiten[[#Headers],[Arbeidskosten op basis van IKS]],"")))</f>
        <v/>
      </c>
      <c r="AS476" t="str">
        <f>IF(ISNUMBER(FIND("overige",Methode_Keuze)),"",IF(Tb_Activiteiten[[#This Row],[Kosten derden exclusief btw]]=1,Tb_Activiteiten[[#Headers],[Kosten derden exclusief btw]],""))</f>
        <v/>
      </c>
      <c r="AT476" t="str">
        <f>IF(ISNUMBER(FIND("overige",Methode_Keuze)),"",IF(Tb_Activiteiten[[#This Row],[Niet verrekenbare btw]]=1,Tb_Activiteiten[[#Headers],[Niet verrekenbare btw]],""))</f>
        <v/>
      </c>
      <c r="AU476" t="str">
        <f>IF(ISNUMBER(FIND("overige",Methode_Keuze)),"",IF(Tb_Activiteiten[[#This Row],[Grondkosten]]=1,Tb_Activiteiten[[#Headers],[Grondkosten]],""))</f>
        <v/>
      </c>
      <c r="AV476" t="str">
        <f>IF(ISNUMBER(FIND("overige",Methode_Keuze)),"",IF(Tb_Activiteiten[[#This Row],[Bijdrage in natura (overige)]]=1,Tb_Activiteiten[[#Headers],[Bijdrage in natura (overige)]],""))</f>
        <v/>
      </c>
      <c r="AW476" t="str">
        <f>IF(ISNUMBER(FIND("overige",Methode_Keuze)),"",IF(Tb_Activiteiten[[#This Row],[Bijdrage in natura (vrijwilligers)]]=1,Tb_Activiteiten[[#Headers],[Bijdrage in natura (vrijwilligers)]],""))</f>
        <v/>
      </c>
      <c r="AX476" t="str">
        <f>IF(ISNUMBER(FIND("overige",Methode_Keuze)),"",IF(Tb_Activiteiten[[#This Row],[Afschrijvingskosten]]=1,Tb_Activiteiten[[#Headers],[Afschrijvingskosten]],""))</f>
        <v/>
      </c>
      <c r="AY476" t="str">
        <f>IF(ISNUMBER(FIND("overige",Methode_Keuze)),"",IF(Tb_Activiteiten[[#This Row],[Vergoeding]]=1,Tb_Activiteiten[[#Headers],[Vergoeding]],""))</f>
        <v/>
      </c>
      <c r="AZ476" t="str">
        <f>IF(ISNUMBER(FIND("arbeid",Methode_Keuze)),"",IF(Tb_Activiteiten[[#This Row],[Arbeidskosten - vast tarief (excl eigen arbeid)]]=1,Tb_Activiteiten[[#Headers],[Arbeidskosten - vast tarief (excl eigen arbeid)]],""))</f>
        <v/>
      </c>
      <c r="BA476" t="str">
        <f>IF(ISNUMBER(FIND("overige",Methode_Keuze)),"",IF(Tb_Activiteiten[[#This Row],[Overige kosten]]=1,Tb_Activiteiten[[#Headers],[Overige kosten]],""))</f>
        <v/>
      </c>
    </row>
    <row r="477" spans="1:53" x14ac:dyDescent="0.25">
      <c r="A477" s="231"/>
      <c r="F477" s="64"/>
      <c r="G477" s="64"/>
      <c r="H477" s="275"/>
      <c r="I477" s="275"/>
      <c r="J477" s="275"/>
      <c r="K477" s="275"/>
      <c r="O477" s="56"/>
      <c r="Q477" t="str">
        <f>IFERROR(IF(VLOOKUP(Tb_Activiteiten[[#This Row],[Openstelling]],Tb_Openstelling[],2,0)=1,1,""),"")</f>
        <v/>
      </c>
      <c r="AK477" t="str">
        <f>IF(ISNUMBER(FIND("arbeid",Methode_Keuze)),"",IF(ISNUMBER(FIND("arbeid",Methode_Keuze)),"",IF(Tb_Activiteiten[[#This Row],[Loonkosten]]=1,Tb_Activiteiten[[#Headers],[Loonkosten]],"")))</f>
        <v/>
      </c>
      <c r="AL477" t="str">
        <f>IF(ISNUMBER(FIND("arbeid",Methode_Keuze)),"",IF(ISNUMBER(FIND("arbeid",Methode_Keuze)),"",IF(Tb_Activiteiten[[#This Row],[Eigen arbeid]]=1,Tb_Activiteiten[[#Headers],[Eigen arbeid]],"")))</f>
        <v/>
      </c>
      <c r="AM477" t="str">
        <f>IF(ISNUMBER(FIND("arbeid",Methode_Keuze)),"",IF(ISNUMBER(FIND("arbeid",Methode_Keuze)),"",IF(Tb_Activiteiten[[#This Row],[Projectmedewerker]]=1,Tb_Activiteiten[[#Headers],[Projectmedewerker]],"")))</f>
        <v/>
      </c>
      <c r="AN477" t="str">
        <f>IF(ISNUMBER(FIND("arbeid",Methode_Keuze)),"",IF(ISNUMBER(FIND("arbeid",Methode_Keuze)),"",IF(Tb_Activiteiten[[#This Row],[Landbouwer]]=1,Tb_Activiteiten[[#Headers],[Landbouwer]],"")))</f>
        <v/>
      </c>
      <c r="AO477" t="str">
        <f>IF(ISNUMBER(FIND("arbeid",Methode_Keuze)),"",IF(ISNUMBER(FIND("arbeid",Methode_Keuze)),"",IF(Tb_Activiteiten[[#This Row],[Adviseur]]=1,Tb_Activiteiten[[#Headers],[Adviseur]],"")))</f>
        <v/>
      </c>
      <c r="AP477" t="str">
        <f>IF(ISNUMBER(FIND("arbeid",Methode_Keuze)),"",IF(ISNUMBER(FIND("arbeid",Methode_Keuze)),"",IF(Tb_Activiteiten[[#This Row],[Projectleider/Expert]]=1,Tb_Activiteiten[[#Headers],[Projectleider/Expert]],"")))</f>
        <v/>
      </c>
      <c r="AQ477" t="str">
        <f>IF(ISNUMBER(FIND("arbeid",Methode_Keuze)),"",IF(ISNUMBER(FIND("arbeid",Methode_Keuze)),"",IF(Tb_Activiteiten[[#This Row],[Arbeidskosten]]=1,Tb_Activiteiten[[#Headers],[Arbeidskosten]],"")))</f>
        <v/>
      </c>
      <c r="AR477" t="str">
        <f>IF(ISNUMBER(FIND("arbeid",Methode_Keuze)),"",IF(ISNUMBER(FIND("arbeid",Methode_Keuze)),"",IF(Tb_Activiteiten[[#This Row],[Arbeidskosten op basis van IKS]]=1,Tb_Activiteiten[[#Headers],[Arbeidskosten op basis van IKS]],"")))</f>
        <v/>
      </c>
      <c r="AS477" t="str">
        <f>IF(ISNUMBER(FIND("overige",Methode_Keuze)),"",IF(Tb_Activiteiten[[#This Row],[Kosten derden exclusief btw]]=1,Tb_Activiteiten[[#Headers],[Kosten derden exclusief btw]],""))</f>
        <v/>
      </c>
      <c r="AT477" t="str">
        <f>IF(ISNUMBER(FIND("overige",Methode_Keuze)),"",IF(Tb_Activiteiten[[#This Row],[Niet verrekenbare btw]]=1,Tb_Activiteiten[[#Headers],[Niet verrekenbare btw]],""))</f>
        <v/>
      </c>
      <c r="AU477" t="str">
        <f>IF(ISNUMBER(FIND("overige",Methode_Keuze)),"",IF(Tb_Activiteiten[[#This Row],[Grondkosten]]=1,Tb_Activiteiten[[#Headers],[Grondkosten]],""))</f>
        <v/>
      </c>
      <c r="AV477" t="str">
        <f>IF(ISNUMBER(FIND("overige",Methode_Keuze)),"",IF(Tb_Activiteiten[[#This Row],[Bijdrage in natura (overige)]]=1,Tb_Activiteiten[[#Headers],[Bijdrage in natura (overige)]],""))</f>
        <v/>
      </c>
      <c r="AW477" t="str">
        <f>IF(ISNUMBER(FIND("overige",Methode_Keuze)),"",IF(Tb_Activiteiten[[#This Row],[Bijdrage in natura (vrijwilligers)]]=1,Tb_Activiteiten[[#Headers],[Bijdrage in natura (vrijwilligers)]],""))</f>
        <v/>
      </c>
      <c r="AX477" t="str">
        <f>IF(ISNUMBER(FIND("overige",Methode_Keuze)),"",IF(Tb_Activiteiten[[#This Row],[Afschrijvingskosten]]=1,Tb_Activiteiten[[#Headers],[Afschrijvingskosten]],""))</f>
        <v/>
      </c>
      <c r="AY477" t="str">
        <f>IF(ISNUMBER(FIND("overige",Methode_Keuze)),"",IF(Tb_Activiteiten[[#This Row],[Vergoeding]]=1,Tb_Activiteiten[[#Headers],[Vergoeding]],""))</f>
        <v/>
      </c>
      <c r="AZ477" t="str">
        <f>IF(ISNUMBER(FIND("arbeid",Methode_Keuze)),"",IF(Tb_Activiteiten[[#This Row],[Arbeidskosten - vast tarief (excl eigen arbeid)]]=1,Tb_Activiteiten[[#Headers],[Arbeidskosten - vast tarief (excl eigen arbeid)]],""))</f>
        <v/>
      </c>
      <c r="BA477" t="str">
        <f>IF(ISNUMBER(FIND("overige",Methode_Keuze)),"",IF(Tb_Activiteiten[[#This Row],[Overige kosten]]=1,Tb_Activiteiten[[#Headers],[Overige kosten]],""))</f>
        <v/>
      </c>
    </row>
    <row r="478" spans="1:53" x14ac:dyDescent="0.25">
      <c r="A478" s="231"/>
      <c r="F478" s="64"/>
      <c r="G478" s="64"/>
      <c r="H478" s="275"/>
      <c r="I478" s="275"/>
      <c r="J478" s="275"/>
      <c r="K478" s="275"/>
      <c r="O478" s="56"/>
      <c r="Q478" t="str">
        <f>IFERROR(IF(VLOOKUP(Tb_Activiteiten[[#This Row],[Openstelling]],Tb_Openstelling[],2,0)=1,1,""),"")</f>
        <v/>
      </c>
      <c r="AK478" t="str">
        <f>IF(ISNUMBER(FIND("arbeid",Methode_Keuze)),"",IF(ISNUMBER(FIND("arbeid",Methode_Keuze)),"",IF(Tb_Activiteiten[[#This Row],[Loonkosten]]=1,Tb_Activiteiten[[#Headers],[Loonkosten]],"")))</f>
        <v/>
      </c>
      <c r="AL478" t="str">
        <f>IF(ISNUMBER(FIND("arbeid",Methode_Keuze)),"",IF(ISNUMBER(FIND("arbeid",Methode_Keuze)),"",IF(Tb_Activiteiten[[#This Row],[Eigen arbeid]]=1,Tb_Activiteiten[[#Headers],[Eigen arbeid]],"")))</f>
        <v/>
      </c>
      <c r="AM478" t="str">
        <f>IF(ISNUMBER(FIND("arbeid",Methode_Keuze)),"",IF(ISNUMBER(FIND("arbeid",Methode_Keuze)),"",IF(Tb_Activiteiten[[#This Row],[Projectmedewerker]]=1,Tb_Activiteiten[[#Headers],[Projectmedewerker]],"")))</f>
        <v/>
      </c>
      <c r="AN478" t="str">
        <f>IF(ISNUMBER(FIND("arbeid",Methode_Keuze)),"",IF(ISNUMBER(FIND("arbeid",Methode_Keuze)),"",IF(Tb_Activiteiten[[#This Row],[Landbouwer]]=1,Tb_Activiteiten[[#Headers],[Landbouwer]],"")))</f>
        <v/>
      </c>
      <c r="AO478" t="str">
        <f>IF(ISNUMBER(FIND("arbeid",Methode_Keuze)),"",IF(ISNUMBER(FIND("arbeid",Methode_Keuze)),"",IF(Tb_Activiteiten[[#This Row],[Adviseur]]=1,Tb_Activiteiten[[#Headers],[Adviseur]],"")))</f>
        <v/>
      </c>
      <c r="AP478" t="str">
        <f>IF(ISNUMBER(FIND("arbeid",Methode_Keuze)),"",IF(ISNUMBER(FIND("arbeid",Methode_Keuze)),"",IF(Tb_Activiteiten[[#This Row],[Projectleider/Expert]]=1,Tb_Activiteiten[[#Headers],[Projectleider/Expert]],"")))</f>
        <v/>
      </c>
      <c r="AQ478" t="str">
        <f>IF(ISNUMBER(FIND("arbeid",Methode_Keuze)),"",IF(ISNUMBER(FIND("arbeid",Methode_Keuze)),"",IF(Tb_Activiteiten[[#This Row],[Arbeidskosten]]=1,Tb_Activiteiten[[#Headers],[Arbeidskosten]],"")))</f>
        <v/>
      </c>
      <c r="AR478" t="str">
        <f>IF(ISNUMBER(FIND("arbeid",Methode_Keuze)),"",IF(ISNUMBER(FIND("arbeid",Methode_Keuze)),"",IF(Tb_Activiteiten[[#This Row],[Arbeidskosten op basis van IKS]]=1,Tb_Activiteiten[[#Headers],[Arbeidskosten op basis van IKS]],"")))</f>
        <v/>
      </c>
      <c r="AS478" t="str">
        <f>IF(ISNUMBER(FIND("overige",Methode_Keuze)),"",IF(Tb_Activiteiten[[#This Row],[Kosten derden exclusief btw]]=1,Tb_Activiteiten[[#Headers],[Kosten derden exclusief btw]],""))</f>
        <v/>
      </c>
      <c r="AT478" t="str">
        <f>IF(ISNUMBER(FIND("overige",Methode_Keuze)),"",IF(Tb_Activiteiten[[#This Row],[Niet verrekenbare btw]]=1,Tb_Activiteiten[[#Headers],[Niet verrekenbare btw]],""))</f>
        <v/>
      </c>
      <c r="AU478" t="str">
        <f>IF(ISNUMBER(FIND("overige",Methode_Keuze)),"",IF(Tb_Activiteiten[[#This Row],[Grondkosten]]=1,Tb_Activiteiten[[#Headers],[Grondkosten]],""))</f>
        <v/>
      </c>
      <c r="AV478" t="str">
        <f>IF(ISNUMBER(FIND("overige",Methode_Keuze)),"",IF(Tb_Activiteiten[[#This Row],[Bijdrage in natura (overige)]]=1,Tb_Activiteiten[[#Headers],[Bijdrage in natura (overige)]],""))</f>
        <v/>
      </c>
      <c r="AW478" t="str">
        <f>IF(ISNUMBER(FIND("overige",Methode_Keuze)),"",IF(Tb_Activiteiten[[#This Row],[Bijdrage in natura (vrijwilligers)]]=1,Tb_Activiteiten[[#Headers],[Bijdrage in natura (vrijwilligers)]],""))</f>
        <v/>
      </c>
      <c r="AX478" t="str">
        <f>IF(ISNUMBER(FIND("overige",Methode_Keuze)),"",IF(Tb_Activiteiten[[#This Row],[Afschrijvingskosten]]=1,Tb_Activiteiten[[#Headers],[Afschrijvingskosten]],""))</f>
        <v/>
      </c>
      <c r="AY478" t="str">
        <f>IF(ISNUMBER(FIND("overige",Methode_Keuze)),"",IF(Tb_Activiteiten[[#This Row],[Vergoeding]]=1,Tb_Activiteiten[[#Headers],[Vergoeding]],""))</f>
        <v/>
      </c>
      <c r="AZ478" t="str">
        <f>IF(ISNUMBER(FIND("arbeid",Methode_Keuze)),"",IF(Tb_Activiteiten[[#This Row],[Arbeidskosten - vast tarief (excl eigen arbeid)]]=1,Tb_Activiteiten[[#Headers],[Arbeidskosten - vast tarief (excl eigen arbeid)]],""))</f>
        <v/>
      </c>
      <c r="BA478" t="str">
        <f>IF(ISNUMBER(FIND("overige",Methode_Keuze)),"",IF(Tb_Activiteiten[[#This Row],[Overige kosten]]=1,Tb_Activiteiten[[#Headers],[Overige kosten]],""))</f>
        <v/>
      </c>
    </row>
    <row r="479" spans="1:53" x14ac:dyDescent="0.25">
      <c r="A479" s="231"/>
      <c r="F479" s="64"/>
      <c r="G479" s="64"/>
      <c r="H479" s="275"/>
      <c r="I479" s="275"/>
      <c r="J479" s="275"/>
      <c r="K479" s="275"/>
      <c r="O479" s="56"/>
      <c r="Q479" t="str">
        <f>IFERROR(IF(VLOOKUP(Tb_Activiteiten[[#This Row],[Openstelling]],Tb_Openstelling[],2,0)=1,1,""),"")</f>
        <v/>
      </c>
      <c r="AK479" t="str">
        <f>IF(ISNUMBER(FIND("arbeid",Methode_Keuze)),"",IF(ISNUMBER(FIND("arbeid",Methode_Keuze)),"",IF(Tb_Activiteiten[[#This Row],[Loonkosten]]=1,Tb_Activiteiten[[#Headers],[Loonkosten]],"")))</f>
        <v/>
      </c>
      <c r="AL479" t="str">
        <f>IF(ISNUMBER(FIND("arbeid",Methode_Keuze)),"",IF(ISNUMBER(FIND("arbeid",Methode_Keuze)),"",IF(Tb_Activiteiten[[#This Row],[Eigen arbeid]]=1,Tb_Activiteiten[[#Headers],[Eigen arbeid]],"")))</f>
        <v/>
      </c>
      <c r="AM479" t="str">
        <f>IF(ISNUMBER(FIND("arbeid",Methode_Keuze)),"",IF(ISNUMBER(FIND("arbeid",Methode_Keuze)),"",IF(Tb_Activiteiten[[#This Row],[Projectmedewerker]]=1,Tb_Activiteiten[[#Headers],[Projectmedewerker]],"")))</f>
        <v/>
      </c>
      <c r="AN479" t="str">
        <f>IF(ISNUMBER(FIND("arbeid",Methode_Keuze)),"",IF(ISNUMBER(FIND("arbeid",Methode_Keuze)),"",IF(Tb_Activiteiten[[#This Row],[Landbouwer]]=1,Tb_Activiteiten[[#Headers],[Landbouwer]],"")))</f>
        <v/>
      </c>
      <c r="AO479" t="str">
        <f>IF(ISNUMBER(FIND("arbeid",Methode_Keuze)),"",IF(ISNUMBER(FIND("arbeid",Methode_Keuze)),"",IF(Tb_Activiteiten[[#This Row],[Adviseur]]=1,Tb_Activiteiten[[#Headers],[Adviseur]],"")))</f>
        <v/>
      </c>
      <c r="AP479" t="str">
        <f>IF(ISNUMBER(FIND("arbeid",Methode_Keuze)),"",IF(ISNUMBER(FIND("arbeid",Methode_Keuze)),"",IF(Tb_Activiteiten[[#This Row],[Projectleider/Expert]]=1,Tb_Activiteiten[[#Headers],[Projectleider/Expert]],"")))</f>
        <v/>
      </c>
      <c r="AQ479" t="str">
        <f>IF(ISNUMBER(FIND("arbeid",Methode_Keuze)),"",IF(ISNUMBER(FIND("arbeid",Methode_Keuze)),"",IF(Tb_Activiteiten[[#This Row],[Arbeidskosten]]=1,Tb_Activiteiten[[#Headers],[Arbeidskosten]],"")))</f>
        <v/>
      </c>
      <c r="AR479" t="str">
        <f>IF(ISNUMBER(FIND("arbeid",Methode_Keuze)),"",IF(ISNUMBER(FIND("arbeid",Methode_Keuze)),"",IF(Tb_Activiteiten[[#This Row],[Arbeidskosten op basis van IKS]]=1,Tb_Activiteiten[[#Headers],[Arbeidskosten op basis van IKS]],"")))</f>
        <v/>
      </c>
      <c r="AS479" t="str">
        <f>IF(ISNUMBER(FIND("overige",Methode_Keuze)),"",IF(Tb_Activiteiten[[#This Row],[Kosten derden exclusief btw]]=1,Tb_Activiteiten[[#Headers],[Kosten derden exclusief btw]],""))</f>
        <v/>
      </c>
      <c r="AT479" t="str">
        <f>IF(ISNUMBER(FIND("overige",Methode_Keuze)),"",IF(Tb_Activiteiten[[#This Row],[Niet verrekenbare btw]]=1,Tb_Activiteiten[[#Headers],[Niet verrekenbare btw]],""))</f>
        <v/>
      </c>
      <c r="AU479" t="str">
        <f>IF(ISNUMBER(FIND("overige",Methode_Keuze)),"",IF(Tb_Activiteiten[[#This Row],[Grondkosten]]=1,Tb_Activiteiten[[#Headers],[Grondkosten]],""))</f>
        <v/>
      </c>
      <c r="AV479" t="str">
        <f>IF(ISNUMBER(FIND("overige",Methode_Keuze)),"",IF(Tb_Activiteiten[[#This Row],[Bijdrage in natura (overige)]]=1,Tb_Activiteiten[[#Headers],[Bijdrage in natura (overige)]],""))</f>
        <v/>
      </c>
      <c r="AW479" t="str">
        <f>IF(ISNUMBER(FIND("overige",Methode_Keuze)),"",IF(Tb_Activiteiten[[#This Row],[Bijdrage in natura (vrijwilligers)]]=1,Tb_Activiteiten[[#Headers],[Bijdrage in natura (vrijwilligers)]],""))</f>
        <v/>
      </c>
      <c r="AX479" t="str">
        <f>IF(ISNUMBER(FIND("overige",Methode_Keuze)),"",IF(Tb_Activiteiten[[#This Row],[Afschrijvingskosten]]=1,Tb_Activiteiten[[#Headers],[Afschrijvingskosten]],""))</f>
        <v/>
      </c>
      <c r="AY479" t="str">
        <f>IF(ISNUMBER(FIND("overige",Methode_Keuze)),"",IF(Tb_Activiteiten[[#This Row],[Vergoeding]]=1,Tb_Activiteiten[[#Headers],[Vergoeding]],""))</f>
        <v/>
      </c>
      <c r="AZ479" t="str">
        <f>IF(ISNUMBER(FIND("arbeid",Methode_Keuze)),"",IF(Tb_Activiteiten[[#This Row],[Arbeidskosten - vast tarief (excl eigen arbeid)]]=1,Tb_Activiteiten[[#Headers],[Arbeidskosten - vast tarief (excl eigen arbeid)]],""))</f>
        <v/>
      </c>
      <c r="BA479" t="str">
        <f>IF(ISNUMBER(FIND("overige",Methode_Keuze)),"",IF(Tb_Activiteiten[[#This Row],[Overige kosten]]=1,Tb_Activiteiten[[#Headers],[Overige kosten]],""))</f>
        <v/>
      </c>
    </row>
    <row r="480" spans="1:53" x14ac:dyDescent="0.25">
      <c r="A480" s="231"/>
      <c r="F480" s="64"/>
      <c r="G480" s="64"/>
      <c r="H480" s="275"/>
      <c r="I480" s="275"/>
      <c r="J480" s="275"/>
      <c r="K480" s="275"/>
      <c r="O480" s="56"/>
      <c r="Q480" t="str">
        <f>IFERROR(IF(VLOOKUP(Tb_Activiteiten[[#This Row],[Openstelling]],Tb_Openstelling[],2,0)=1,1,""),"")</f>
        <v/>
      </c>
      <c r="AK480" t="str">
        <f>IF(ISNUMBER(FIND("arbeid",Methode_Keuze)),"",IF(ISNUMBER(FIND("arbeid",Methode_Keuze)),"",IF(Tb_Activiteiten[[#This Row],[Loonkosten]]=1,Tb_Activiteiten[[#Headers],[Loonkosten]],"")))</f>
        <v/>
      </c>
      <c r="AL480" t="str">
        <f>IF(ISNUMBER(FIND("arbeid",Methode_Keuze)),"",IF(ISNUMBER(FIND("arbeid",Methode_Keuze)),"",IF(Tb_Activiteiten[[#This Row],[Eigen arbeid]]=1,Tb_Activiteiten[[#Headers],[Eigen arbeid]],"")))</f>
        <v/>
      </c>
      <c r="AM480" t="str">
        <f>IF(ISNUMBER(FIND("arbeid",Methode_Keuze)),"",IF(ISNUMBER(FIND("arbeid",Methode_Keuze)),"",IF(Tb_Activiteiten[[#This Row],[Projectmedewerker]]=1,Tb_Activiteiten[[#Headers],[Projectmedewerker]],"")))</f>
        <v/>
      </c>
      <c r="AN480" t="str">
        <f>IF(ISNUMBER(FIND("arbeid",Methode_Keuze)),"",IF(ISNUMBER(FIND("arbeid",Methode_Keuze)),"",IF(Tb_Activiteiten[[#This Row],[Landbouwer]]=1,Tb_Activiteiten[[#Headers],[Landbouwer]],"")))</f>
        <v/>
      </c>
      <c r="AO480" t="str">
        <f>IF(ISNUMBER(FIND("arbeid",Methode_Keuze)),"",IF(ISNUMBER(FIND("arbeid",Methode_Keuze)),"",IF(Tb_Activiteiten[[#This Row],[Adviseur]]=1,Tb_Activiteiten[[#Headers],[Adviseur]],"")))</f>
        <v/>
      </c>
      <c r="AP480" t="str">
        <f>IF(ISNUMBER(FIND("arbeid",Methode_Keuze)),"",IF(ISNUMBER(FIND("arbeid",Methode_Keuze)),"",IF(Tb_Activiteiten[[#This Row],[Projectleider/Expert]]=1,Tb_Activiteiten[[#Headers],[Projectleider/Expert]],"")))</f>
        <v/>
      </c>
      <c r="AQ480" t="str">
        <f>IF(ISNUMBER(FIND("arbeid",Methode_Keuze)),"",IF(ISNUMBER(FIND("arbeid",Methode_Keuze)),"",IF(Tb_Activiteiten[[#This Row],[Arbeidskosten]]=1,Tb_Activiteiten[[#Headers],[Arbeidskosten]],"")))</f>
        <v/>
      </c>
      <c r="AR480" t="str">
        <f>IF(ISNUMBER(FIND("arbeid",Methode_Keuze)),"",IF(ISNUMBER(FIND("arbeid",Methode_Keuze)),"",IF(Tb_Activiteiten[[#This Row],[Arbeidskosten op basis van IKS]]=1,Tb_Activiteiten[[#Headers],[Arbeidskosten op basis van IKS]],"")))</f>
        <v/>
      </c>
      <c r="AS480" t="str">
        <f>IF(ISNUMBER(FIND("overige",Methode_Keuze)),"",IF(Tb_Activiteiten[[#This Row],[Kosten derden exclusief btw]]=1,Tb_Activiteiten[[#Headers],[Kosten derden exclusief btw]],""))</f>
        <v/>
      </c>
      <c r="AT480" t="str">
        <f>IF(ISNUMBER(FIND("overige",Methode_Keuze)),"",IF(Tb_Activiteiten[[#This Row],[Niet verrekenbare btw]]=1,Tb_Activiteiten[[#Headers],[Niet verrekenbare btw]],""))</f>
        <v/>
      </c>
      <c r="AU480" t="str">
        <f>IF(ISNUMBER(FIND("overige",Methode_Keuze)),"",IF(Tb_Activiteiten[[#This Row],[Grondkosten]]=1,Tb_Activiteiten[[#Headers],[Grondkosten]],""))</f>
        <v/>
      </c>
      <c r="AV480" t="str">
        <f>IF(ISNUMBER(FIND("overige",Methode_Keuze)),"",IF(Tb_Activiteiten[[#This Row],[Bijdrage in natura (overige)]]=1,Tb_Activiteiten[[#Headers],[Bijdrage in natura (overige)]],""))</f>
        <v/>
      </c>
      <c r="AW480" t="str">
        <f>IF(ISNUMBER(FIND("overige",Methode_Keuze)),"",IF(Tb_Activiteiten[[#This Row],[Bijdrage in natura (vrijwilligers)]]=1,Tb_Activiteiten[[#Headers],[Bijdrage in natura (vrijwilligers)]],""))</f>
        <v/>
      </c>
      <c r="AX480" t="str">
        <f>IF(ISNUMBER(FIND("overige",Methode_Keuze)),"",IF(Tb_Activiteiten[[#This Row],[Afschrijvingskosten]]=1,Tb_Activiteiten[[#Headers],[Afschrijvingskosten]],""))</f>
        <v/>
      </c>
      <c r="AY480" t="str">
        <f>IF(ISNUMBER(FIND("overige",Methode_Keuze)),"",IF(Tb_Activiteiten[[#This Row],[Vergoeding]]=1,Tb_Activiteiten[[#Headers],[Vergoeding]],""))</f>
        <v/>
      </c>
      <c r="AZ480" t="str">
        <f>IF(ISNUMBER(FIND("arbeid",Methode_Keuze)),"",IF(Tb_Activiteiten[[#This Row],[Arbeidskosten - vast tarief (excl eigen arbeid)]]=1,Tb_Activiteiten[[#Headers],[Arbeidskosten - vast tarief (excl eigen arbeid)]],""))</f>
        <v/>
      </c>
      <c r="BA480" t="str">
        <f>IF(ISNUMBER(FIND("overige",Methode_Keuze)),"",IF(Tb_Activiteiten[[#This Row],[Overige kosten]]=1,Tb_Activiteiten[[#Headers],[Overige kosten]],""))</f>
        <v/>
      </c>
    </row>
    <row r="481" spans="1:53" x14ac:dyDescent="0.25">
      <c r="A481" s="231"/>
      <c r="F481" s="64"/>
      <c r="G481" s="64"/>
      <c r="H481" s="275"/>
      <c r="I481" s="275"/>
      <c r="J481" s="275"/>
      <c r="K481" s="275"/>
      <c r="O481" s="56"/>
      <c r="Q481" t="str">
        <f>IFERROR(IF(VLOOKUP(Tb_Activiteiten[[#This Row],[Openstelling]],Tb_Openstelling[],2,0)=1,1,""),"")</f>
        <v/>
      </c>
      <c r="AK481" t="str">
        <f>IF(ISNUMBER(FIND("arbeid",Methode_Keuze)),"",IF(ISNUMBER(FIND("arbeid",Methode_Keuze)),"",IF(Tb_Activiteiten[[#This Row],[Loonkosten]]=1,Tb_Activiteiten[[#Headers],[Loonkosten]],"")))</f>
        <v/>
      </c>
      <c r="AL481" t="str">
        <f>IF(ISNUMBER(FIND("arbeid",Methode_Keuze)),"",IF(ISNUMBER(FIND("arbeid",Methode_Keuze)),"",IF(Tb_Activiteiten[[#This Row],[Eigen arbeid]]=1,Tb_Activiteiten[[#Headers],[Eigen arbeid]],"")))</f>
        <v/>
      </c>
      <c r="AM481" t="str">
        <f>IF(ISNUMBER(FIND("arbeid",Methode_Keuze)),"",IF(ISNUMBER(FIND("arbeid",Methode_Keuze)),"",IF(Tb_Activiteiten[[#This Row],[Projectmedewerker]]=1,Tb_Activiteiten[[#Headers],[Projectmedewerker]],"")))</f>
        <v/>
      </c>
      <c r="AN481" t="str">
        <f>IF(ISNUMBER(FIND("arbeid",Methode_Keuze)),"",IF(ISNUMBER(FIND("arbeid",Methode_Keuze)),"",IF(Tb_Activiteiten[[#This Row],[Landbouwer]]=1,Tb_Activiteiten[[#Headers],[Landbouwer]],"")))</f>
        <v/>
      </c>
      <c r="AO481" t="str">
        <f>IF(ISNUMBER(FIND("arbeid",Methode_Keuze)),"",IF(ISNUMBER(FIND("arbeid",Methode_Keuze)),"",IF(Tb_Activiteiten[[#This Row],[Adviseur]]=1,Tb_Activiteiten[[#Headers],[Adviseur]],"")))</f>
        <v/>
      </c>
      <c r="AP481" t="str">
        <f>IF(ISNUMBER(FIND("arbeid",Methode_Keuze)),"",IF(ISNUMBER(FIND("arbeid",Methode_Keuze)),"",IF(Tb_Activiteiten[[#This Row],[Projectleider/Expert]]=1,Tb_Activiteiten[[#Headers],[Projectleider/Expert]],"")))</f>
        <v/>
      </c>
      <c r="AQ481" t="str">
        <f>IF(ISNUMBER(FIND("arbeid",Methode_Keuze)),"",IF(ISNUMBER(FIND("arbeid",Methode_Keuze)),"",IF(Tb_Activiteiten[[#This Row],[Arbeidskosten]]=1,Tb_Activiteiten[[#Headers],[Arbeidskosten]],"")))</f>
        <v/>
      </c>
      <c r="AR481" t="str">
        <f>IF(ISNUMBER(FIND("arbeid",Methode_Keuze)),"",IF(ISNUMBER(FIND("arbeid",Methode_Keuze)),"",IF(Tb_Activiteiten[[#This Row],[Arbeidskosten op basis van IKS]]=1,Tb_Activiteiten[[#Headers],[Arbeidskosten op basis van IKS]],"")))</f>
        <v/>
      </c>
      <c r="AS481" t="str">
        <f>IF(ISNUMBER(FIND("overige",Methode_Keuze)),"",IF(Tb_Activiteiten[[#This Row],[Kosten derden exclusief btw]]=1,Tb_Activiteiten[[#Headers],[Kosten derden exclusief btw]],""))</f>
        <v/>
      </c>
      <c r="AT481" t="str">
        <f>IF(ISNUMBER(FIND("overige",Methode_Keuze)),"",IF(Tb_Activiteiten[[#This Row],[Niet verrekenbare btw]]=1,Tb_Activiteiten[[#Headers],[Niet verrekenbare btw]],""))</f>
        <v/>
      </c>
      <c r="AU481" t="str">
        <f>IF(ISNUMBER(FIND("overige",Methode_Keuze)),"",IF(Tb_Activiteiten[[#This Row],[Grondkosten]]=1,Tb_Activiteiten[[#Headers],[Grondkosten]],""))</f>
        <v/>
      </c>
      <c r="AV481" t="str">
        <f>IF(ISNUMBER(FIND("overige",Methode_Keuze)),"",IF(Tb_Activiteiten[[#This Row],[Bijdrage in natura (overige)]]=1,Tb_Activiteiten[[#Headers],[Bijdrage in natura (overige)]],""))</f>
        <v/>
      </c>
      <c r="AW481" t="str">
        <f>IF(ISNUMBER(FIND("overige",Methode_Keuze)),"",IF(Tb_Activiteiten[[#This Row],[Bijdrage in natura (vrijwilligers)]]=1,Tb_Activiteiten[[#Headers],[Bijdrage in natura (vrijwilligers)]],""))</f>
        <v/>
      </c>
      <c r="AX481" t="str">
        <f>IF(ISNUMBER(FIND("overige",Methode_Keuze)),"",IF(Tb_Activiteiten[[#This Row],[Afschrijvingskosten]]=1,Tb_Activiteiten[[#Headers],[Afschrijvingskosten]],""))</f>
        <v/>
      </c>
      <c r="AY481" t="str">
        <f>IF(ISNUMBER(FIND("overige",Methode_Keuze)),"",IF(Tb_Activiteiten[[#This Row],[Vergoeding]]=1,Tb_Activiteiten[[#Headers],[Vergoeding]],""))</f>
        <v/>
      </c>
      <c r="AZ481" t="str">
        <f>IF(ISNUMBER(FIND("arbeid",Methode_Keuze)),"",IF(Tb_Activiteiten[[#This Row],[Arbeidskosten - vast tarief (excl eigen arbeid)]]=1,Tb_Activiteiten[[#Headers],[Arbeidskosten - vast tarief (excl eigen arbeid)]],""))</f>
        <v/>
      </c>
      <c r="BA481" t="str">
        <f>IF(ISNUMBER(FIND("overige",Methode_Keuze)),"",IF(Tb_Activiteiten[[#This Row],[Overige kosten]]=1,Tb_Activiteiten[[#Headers],[Overige kosten]],""))</f>
        <v/>
      </c>
    </row>
    <row r="482" spans="1:53" x14ac:dyDescent="0.25">
      <c r="A482" s="231"/>
      <c r="F482" s="64"/>
      <c r="G482" s="64"/>
      <c r="H482" s="275"/>
      <c r="I482" s="275"/>
      <c r="J482" s="275"/>
      <c r="K482" s="275"/>
      <c r="O482" s="56"/>
      <c r="Q482" t="str">
        <f>IFERROR(IF(VLOOKUP(Tb_Activiteiten[[#This Row],[Openstelling]],Tb_Openstelling[],2,0)=1,1,""),"")</f>
        <v/>
      </c>
      <c r="AK482" t="str">
        <f>IF(ISNUMBER(FIND("arbeid",Methode_Keuze)),"",IF(ISNUMBER(FIND("arbeid",Methode_Keuze)),"",IF(Tb_Activiteiten[[#This Row],[Loonkosten]]=1,Tb_Activiteiten[[#Headers],[Loonkosten]],"")))</f>
        <v/>
      </c>
      <c r="AL482" t="str">
        <f>IF(ISNUMBER(FIND("arbeid",Methode_Keuze)),"",IF(ISNUMBER(FIND("arbeid",Methode_Keuze)),"",IF(Tb_Activiteiten[[#This Row],[Eigen arbeid]]=1,Tb_Activiteiten[[#Headers],[Eigen arbeid]],"")))</f>
        <v/>
      </c>
      <c r="AM482" t="str">
        <f>IF(ISNUMBER(FIND("arbeid",Methode_Keuze)),"",IF(ISNUMBER(FIND("arbeid",Methode_Keuze)),"",IF(Tb_Activiteiten[[#This Row],[Projectmedewerker]]=1,Tb_Activiteiten[[#Headers],[Projectmedewerker]],"")))</f>
        <v/>
      </c>
      <c r="AN482" t="str">
        <f>IF(ISNUMBER(FIND("arbeid",Methode_Keuze)),"",IF(ISNUMBER(FIND("arbeid",Methode_Keuze)),"",IF(Tb_Activiteiten[[#This Row],[Landbouwer]]=1,Tb_Activiteiten[[#Headers],[Landbouwer]],"")))</f>
        <v/>
      </c>
      <c r="AO482" t="str">
        <f>IF(ISNUMBER(FIND("arbeid",Methode_Keuze)),"",IF(ISNUMBER(FIND("arbeid",Methode_Keuze)),"",IF(Tb_Activiteiten[[#This Row],[Adviseur]]=1,Tb_Activiteiten[[#Headers],[Adviseur]],"")))</f>
        <v/>
      </c>
      <c r="AP482" t="str">
        <f>IF(ISNUMBER(FIND("arbeid",Methode_Keuze)),"",IF(ISNUMBER(FIND("arbeid",Methode_Keuze)),"",IF(Tb_Activiteiten[[#This Row],[Projectleider/Expert]]=1,Tb_Activiteiten[[#Headers],[Projectleider/Expert]],"")))</f>
        <v/>
      </c>
      <c r="AQ482" t="str">
        <f>IF(ISNUMBER(FIND("arbeid",Methode_Keuze)),"",IF(ISNUMBER(FIND("arbeid",Methode_Keuze)),"",IF(Tb_Activiteiten[[#This Row],[Arbeidskosten]]=1,Tb_Activiteiten[[#Headers],[Arbeidskosten]],"")))</f>
        <v/>
      </c>
      <c r="AR482" t="str">
        <f>IF(ISNUMBER(FIND("arbeid",Methode_Keuze)),"",IF(ISNUMBER(FIND("arbeid",Methode_Keuze)),"",IF(Tb_Activiteiten[[#This Row],[Arbeidskosten op basis van IKS]]=1,Tb_Activiteiten[[#Headers],[Arbeidskosten op basis van IKS]],"")))</f>
        <v/>
      </c>
      <c r="AS482" t="str">
        <f>IF(ISNUMBER(FIND("overige",Methode_Keuze)),"",IF(Tb_Activiteiten[[#This Row],[Kosten derden exclusief btw]]=1,Tb_Activiteiten[[#Headers],[Kosten derden exclusief btw]],""))</f>
        <v/>
      </c>
      <c r="AT482" t="str">
        <f>IF(ISNUMBER(FIND("overige",Methode_Keuze)),"",IF(Tb_Activiteiten[[#This Row],[Niet verrekenbare btw]]=1,Tb_Activiteiten[[#Headers],[Niet verrekenbare btw]],""))</f>
        <v/>
      </c>
      <c r="AU482" t="str">
        <f>IF(ISNUMBER(FIND("overige",Methode_Keuze)),"",IF(Tb_Activiteiten[[#This Row],[Grondkosten]]=1,Tb_Activiteiten[[#Headers],[Grondkosten]],""))</f>
        <v/>
      </c>
      <c r="AV482" t="str">
        <f>IF(ISNUMBER(FIND("overige",Methode_Keuze)),"",IF(Tb_Activiteiten[[#This Row],[Bijdrage in natura (overige)]]=1,Tb_Activiteiten[[#Headers],[Bijdrage in natura (overige)]],""))</f>
        <v/>
      </c>
      <c r="AW482" t="str">
        <f>IF(ISNUMBER(FIND("overige",Methode_Keuze)),"",IF(Tb_Activiteiten[[#This Row],[Bijdrage in natura (vrijwilligers)]]=1,Tb_Activiteiten[[#Headers],[Bijdrage in natura (vrijwilligers)]],""))</f>
        <v/>
      </c>
      <c r="AX482" t="str">
        <f>IF(ISNUMBER(FIND("overige",Methode_Keuze)),"",IF(Tb_Activiteiten[[#This Row],[Afschrijvingskosten]]=1,Tb_Activiteiten[[#Headers],[Afschrijvingskosten]],""))</f>
        <v/>
      </c>
      <c r="AY482" t="str">
        <f>IF(ISNUMBER(FIND("overige",Methode_Keuze)),"",IF(Tb_Activiteiten[[#This Row],[Vergoeding]]=1,Tb_Activiteiten[[#Headers],[Vergoeding]],""))</f>
        <v/>
      </c>
      <c r="AZ482" t="str">
        <f>IF(ISNUMBER(FIND("arbeid",Methode_Keuze)),"",IF(Tb_Activiteiten[[#This Row],[Arbeidskosten - vast tarief (excl eigen arbeid)]]=1,Tb_Activiteiten[[#Headers],[Arbeidskosten - vast tarief (excl eigen arbeid)]],""))</f>
        <v/>
      </c>
      <c r="BA482" t="str">
        <f>IF(ISNUMBER(FIND("overige",Methode_Keuze)),"",IF(Tb_Activiteiten[[#This Row],[Overige kosten]]=1,Tb_Activiteiten[[#Headers],[Overige kosten]],""))</f>
        <v/>
      </c>
    </row>
    <row r="483" spans="1:53" x14ac:dyDescent="0.25">
      <c r="A483" s="231"/>
      <c r="F483" s="64"/>
      <c r="G483" s="64"/>
      <c r="H483" s="275"/>
      <c r="I483" s="275"/>
      <c r="J483" s="275"/>
      <c r="K483" s="275"/>
      <c r="O483" s="56"/>
      <c r="Q483" t="str">
        <f>IFERROR(IF(VLOOKUP(Tb_Activiteiten[[#This Row],[Openstelling]],Tb_Openstelling[],2,0)=1,1,""),"")</f>
        <v/>
      </c>
      <c r="AK483" t="str">
        <f>IF(ISNUMBER(FIND("arbeid",Methode_Keuze)),"",IF(ISNUMBER(FIND("arbeid",Methode_Keuze)),"",IF(Tb_Activiteiten[[#This Row],[Loonkosten]]=1,Tb_Activiteiten[[#Headers],[Loonkosten]],"")))</f>
        <v/>
      </c>
      <c r="AL483" t="str">
        <f>IF(ISNUMBER(FIND("arbeid",Methode_Keuze)),"",IF(ISNUMBER(FIND("arbeid",Methode_Keuze)),"",IF(Tb_Activiteiten[[#This Row],[Eigen arbeid]]=1,Tb_Activiteiten[[#Headers],[Eigen arbeid]],"")))</f>
        <v/>
      </c>
      <c r="AM483" t="str">
        <f>IF(ISNUMBER(FIND("arbeid",Methode_Keuze)),"",IF(ISNUMBER(FIND("arbeid",Methode_Keuze)),"",IF(Tb_Activiteiten[[#This Row],[Projectmedewerker]]=1,Tb_Activiteiten[[#Headers],[Projectmedewerker]],"")))</f>
        <v/>
      </c>
      <c r="AN483" t="str">
        <f>IF(ISNUMBER(FIND("arbeid",Methode_Keuze)),"",IF(ISNUMBER(FIND("arbeid",Methode_Keuze)),"",IF(Tb_Activiteiten[[#This Row],[Landbouwer]]=1,Tb_Activiteiten[[#Headers],[Landbouwer]],"")))</f>
        <v/>
      </c>
      <c r="AO483" t="str">
        <f>IF(ISNUMBER(FIND("arbeid",Methode_Keuze)),"",IF(ISNUMBER(FIND("arbeid",Methode_Keuze)),"",IF(Tb_Activiteiten[[#This Row],[Adviseur]]=1,Tb_Activiteiten[[#Headers],[Adviseur]],"")))</f>
        <v/>
      </c>
      <c r="AP483" t="str">
        <f>IF(ISNUMBER(FIND("arbeid",Methode_Keuze)),"",IF(ISNUMBER(FIND("arbeid",Methode_Keuze)),"",IF(Tb_Activiteiten[[#This Row],[Projectleider/Expert]]=1,Tb_Activiteiten[[#Headers],[Projectleider/Expert]],"")))</f>
        <v/>
      </c>
      <c r="AQ483" t="str">
        <f>IF(ISNUMBER(FIND("arbeid",Methode_Keuze)),"",IF(ISNUMBER(FIND("arbeid",Methode_Keuze)),"",IF(Tb_Activiteiten[[#This Row],[Arbeidskosten]]=1,Tb_Activiteiten[[#Headers],[Arbeidskosten]],"")))</f>
        <v/>
      </c>
      <c r="AR483" t="str">
        <f>IF(ISNUMBER(FIND("arbeid",Methode_Keuze)),"",IF(ISNUMBER(FIND("arbeid",Methode_Keuze)),"",IF(Tb_Activiteiten[[#This Row],[Arbeidskosten op basis van IKS]]=1,Tb_Activiteiten[[#Headers],[Arbeidskosten op basis van IKS]],"")))</f>
        <v/>
      </c>
      <c r="AS483" t="str">
        <f>IF(ISNUMBER(FIND("overige",Methode_Keuze)),"",IF(Tb_Activiteiten[[#This Row],[Kosten derden exclusief btw]]=1,Tb_Activiteiten[[#Headers],[Kosten derden exclusief btw]],""))</f>
        <v/>
      </c>
      <c r="AT483" t="str">
        <f>IF(ISNUMBER(FIND("overige",Methode_Keuze)),"",IF(Tb_Activiteiten[[#This Row],[Niet verrekenbare btw]]=1,Tb_Activiteiten[[#Headers],[Niet verrekenbare btw]],""))</f>
        <v/>
      </c>
      <c r="AU483" t="str">
        <f>IF(ISNUMBER(FIND("overige",Methode_Keuze)),"",IF(Tb_Activiteiten[[#This Row],[Grondkosten]]=1,Tb_Activiteiten[[#Headers],[Grondkosten]],""))</f>
        <v/>
      </c>
      <c r="AV483" t="str">
        <f>IF(ISNUMBER(FIND("overige",Methode_Keuze)),"",IF(Tb_Activiteiten[[#This Row],[Bijdrage in natura (overige)]]=1,Tb_Activiteiten[[#Headers],[Bijdrage in natura (overige)]],""))</f>
        <v/>
      </c>
      <c r="AW483" t="str">
        <f>IF(ISNUMBER(FIND("overige",Methode_Keuze)),"",IF(Tb_Activiteiten[[#This Row],[Bijdrage in natura (vrijwilligers)]]=1,Tb_Activiteiten[[#Headers],[Bijdrage in natura (vrijwilligers)]],""))</f>
        <v/>
      </c>
      <c r="AX483" t="str">
        <f>IF(ISNUMBER(FIND("overige",Methode_Keuze)),"",IF(Tb_Activiteiten[[#This Row],[Afschrijvingskosten]]=1,Tb_Activiteiten[[#Headers],[Afschrijvingskosten]],""))</f>
        <v/>
      </c>
      <c r="AY483" t="str">
        <f>IF(ISNUMBER(FIND("overige",Methode_Keuze)),"",IF(Tb_Activiteiten[[#This Row],[Vergoeding]]=1,Tb_Activiteiten[[#Headers],[Vergoeding]],""))</f>
        <v/>
      </c>
      <c r="AZ483" t="str">
        <f>IF(ISNUMBER(FIND("arbeid",Methode_Keuze)),"",IF(Tb_Activiteiten[[#This Row],[Arbeidskosten - vast tarief (excl eigen arbeid)]]=1,Tb_Activiteiten[[#Headers],[Arbeidskosten - vast tarief (excl eigen arbeid)]],""))</f>
        <v/>
      </c>
      <c r="BA483" t="str">
        <f>IF(ISNUMBER(FIND("overige",Methode_Keuze)),"",IF(Tb_Activiteiten[[#This Row],[Overige kosten]]=1,Tb_Activiteiten[[#Headers],[Overige kosten]],""))</f>
        <v/>
      </c>
    </row>
    <row r="484" spans="1:53" x14ac:dyDescent="0.25">
      <c r="A484" s="231"/>
      <c r="F484" s="64"/>
      <c r="G484" s="64"/>
      <c r="H484" s="275"/>
      <c r="I484" s="275"/>
      <c r="J484" s="275"/>
      <c r="K484" s="275"/>
      <c r="O484" s="56"/>
      <c r="Q484" t="str">
        <f>IFERROR(IF(VLOOKUP(Tb_Activiteiten[[#This Row],[Openstelling]],Tb_Openstelling[],2,0)=1,1,""),"")</f>
        <v/>
      </c>
      <c r="AK484" t="str">
        <f>IF(ISNUMBER(FIND("arbeid",Methode_Keuze)),"",IF(ISNUMBER(FIND("arbeid",Methode_Keuze)),"",IF(Tb_Activiteiten[[#This Row],[Loonkosten]]=1,Tb_Activiteiten[[#Headers],[Loonkosten]],"")))</f>
        <v/>
      </c>
      <c r="AL484" t="str">
        <f>IF(ISNUMBER(FIND("arbeid",Methode_Keuze)),"",IF(ISNUMBER(FIND("arbeid",Methode_Keuze)),"",IF(Tb_Activiteiten[[#This Row],[Eigen arbeid]]=1,Tb_Activiteiten[[#Headers],[Eigen arbeid]],"")))</f>
        <v/>
      </c>
      <c r="AM484" t="str">
        <f>IF(ISNUMBER(FIND("arbeid",Methode_Keuze)),"",IF(ISNUMBER(FIND("arbeid",Methode_Keuze)),"",IF(Tb_Activiteiten[[#This Row],[Projectmedewerker]]=1,Tb_Activiteiten[[#Headers],[Projectmedewerker]],"")))</f>
        <v/>
      </c>
      <c r="AN484" t="str">
        <f>IF(ISNUMBER(FIND("arbeid",Methode_Keuze)),"",IF(ISNUMBER(FIND("arbeid",Methode_Keuze)),"",IF(Tb_Activiteiten[[#This Row],[Landbouwer]]=1,Tb_Activiteiten[[#Headers],[Landbouwer]],"")))</f>
        <v/>
      </c>
      <c r="AO484" t="str">
        <f>IF(ISNUMBER(FIND("arbeid",Methode_Keuze)),"",IF(ISNUMBER(FIND("arbeid",Methode_Keuze)),"",IF(Tb_Activiteiten[[#This Row],[Adviseur]]=1,Tb_Activiteiten[[#Headers],[Adviseur]],"")))</f>
        <v/>
      </c>
      <c r="AP484" t="str">
        <f>IF(ISNUMBER(FIND("arbeid",Methode_Keuze)),"",IF(ISNUMBER(FIND("arbeid",Methode_Keuze)),"",IF(Tb_Activiteiten[[#This Row],[Projectleider/Expert]]=1,Tb_Activiteiten[[#Headers],[Projectleider/Expert]],"")))</f>
        <v/>
      </c>
      <c r="AQ484" t="str">
        <f>IF(ISNUMBER(FIND("arbeid",Methode_Keuze)),"",IF(ISNUMBER(FIND("arbeid",Methode_Keuze)),"",IF(Tb_Activiteiten[[#This Row],[Arbeidskosten]]=1,Tb_Activiteiten[[#Headers],[Arbeidskosten]],"")))</f>
        <v/>
      </c>
      <c r="AR484" t="str">
        <f>IF(ISNUMBER(FIND("arbeid",Methode_Keuze)),"",IF(ISNUMBER(FIND("arbeid",Methode_Keuze)),"",IF(Tb_Activiteiten[[#This Row],[Arbeidskosten op basis van IKS]]=1,Tb_Activiteiten[[#Headers],[Arbeidskosten op basis van IKS]],"")))</f>
        <v/>
      </c>
      <c r="AS484" t="str">
        <f>IF(ISNUMBER(FIND("overige",Methode_Keuze)),"",IF(Tb_Activiteiten[[#This Row],[Kosten derden exclusief btw]]=1,Tb_Activiteiten[[#Headers],[Kosten derden exclusief btw]],""))</f>
        <v/>
      </c>
      <c r="AT484" t="str">
        <f>IF(ISNUMBER(FIND("overige",Methode_Keuze)),"",IF(Tb_Activiteiten[[#This Row],[Niet verrekenbare btw]]=1,Tb_Activiteiten[[#Headers],[Niet verrekenbare btw]],""))</f>
        <v/>
      </c>
      <c r="AU484" t="str">
        <f>IF(ISNUMBER(FIND("overige",Methode_Keuze)),"",IF(Tb_Activiteiten[[#This Row],[Grondkosten]]=1,Tb_Activiteiten[[#Headers],[Grondkosten]],""))</f>
        <v/>
      </c>
      <c r="AV484" t="str">
        <f>IF(ISNUMBER(FIND("overige",Methode_Keuze)),"",IF(Tb_Activiteiten[[#This Row],[Bijdrage in natura (overige)]]=1,Tb_Activiteiten[[#Headers],[Bijdrage in natura (overige)]],""))</f>
        <v/>
      </c>
      <c r="AW484" t="str">
        <f>IF(ISNUMBER(FIND("overige",Methode_Keuze)),"",IF(Tb_Activiteiten[[#This Row],[Bijdrage in natura (vrijwilligers)]]=1,Tb_Activiteiten[[#Headers],[Bijdrage in natura (vrijwilligers)]],""))</f>
        <v/>
      </c>
      <c r="AX484" t="str">
        <f>IF(ISNUMBER(FIND("overige",Methode_Keuze)),"",IF(Tb_Activiteiten[[#This Row],[Afschrijvingskosten]]=1,Tb_Activiteiten[[#Headers],[Afschrijvingskosten]],""))</f>
        <v/>
      </c>
      <c r="AY484" t="str">
        <f>IF(ISNUMBER(FIND("overige",Methode_Keuze)),"",IF(Tb_Activiteiten[[#This Row],[Vergoeding]]=1,Tb_Activiteiten[[#Headers],[Vergoeding]],""))</f>
        <v/>
      </c>
      <c r="AZ484" t="str">
        <f>IF(ISNUMBER(FIND("arbeid",Methode_Keuze)),"",IF(Tb_Activiteiten[[#This Row],[Arbeidskosten - vast tarief (excl eigen arbeid)]]=1,Tb_Activiteiten[[#Headers],[Arbeidskosten - vast tarief (excl eigen arbeid)]],""))</f>
        <v/>
      </c>
      <c r="BA484" t="str">
        <f>IF(ISNUMBER(FIND("overige",Methode_Keuze)),"",IF(Tb_Activiteiten[[#This Row],[Overige kosten]]=1,Tb_Activiteiten[[#Headers],[Overige kosten]],""))</f>
        <v/>
      </c>
    </row>
    <row r="485" spans="1:53" x14ac:dyDescent="0.25">
      <c r="A485" s="231"/>
      <c r="F485" s="64"/>
      <c r="G485" s="64"/>
      <c r="H485" s="275"/>
      <c r="I485" s="275"/>
      <c r="J485" s="275"/>
      <c r="K485" s="275"/>
      <c r="O485" s="56"/>
      <c r="Q485" t="str">
        <f>IFERROR(IF(VLOOKUP(Tb_Activiteiten[[#This Row],[Openstelling]],Tb_Openstelling[],2,0)=1,1,""),"")</f>
        <v/>
      </c>
      <c r="AK485" t="str">
        <f>IF(ISNUMBER(FIND("arbeid",Methode_Keuze)),"",IF(ISNUMBER(FIND("arbeid",Methode_Keuze)),"",IF(Tb_Activiteiten[[#This Row],[Loonkosten]]=1,Tb_Activiteiten[[#Headers],[Loonkosten]],"")))</f>
        <v/>
      </c>
      <c r="AL485" t="str">
        <f>IF(ISNUMBER(FIND("arbeid",Methode_Keuze)),"",IF(ISNUMBER(FIND("arbeid",Methode_Keuze)),"",IF(Tb_Activiteiten[[#This Row],[Eigen arbeid]]=1,Tb_Activiteiten[[#Headers],[Eigen arbeid]],"")))</f>
        <v/>
      </c>
      <c r="AM485" t="str">
        <f>IF(ISNUMBER(FIND("arbeid",Methode_Keuze)),"",IF(ISNUMBER(FIND("arbeid",Methode_Keuze)),"",IF(Tb_Activiteiten[[#This Row],[Projectmedewerker]]=1,Tb_Activiteiten[[#Headers],[Projectmedewerker]],"")))</f>
        <v/>
      </c>
      <c r="AN485" t="str">
        <f>IF(ISNUMBER(FIND("arbeid",Methode_Keuze)),"",IF(ISNUMBER(FIND("arbeid",Methode_Keuze)),"",IF(Tb_Activiteiten[[#This Row],[Landbouwer]]=1,Tb_Activiteiten[[#Headers],[Landbouwer]],"")))</f>
        <v/>
      </c>
      <c r="AO485" t="str">
        <f>IF(ISNUMBER(FIND("arbeid",Methode_Keuze)),"",IF(ISNUMBER(FIND("arbeid",Methode_Keuze)),"",IF(Tb_Activiteiten[[#This Row],[Adviseur]]=1,Tb_Activiteiten[[#Headers],[Adviseur]],"")))</f>
        <v/>
      </c>
      <c r="AP485" t="str">
        <f>IF(ISNUMBER(FIND("arbeid",Methode_Keuze)),"",IF(ISNUMBER(FIND("arbeid",Methode_Keuze)),"",IF(Tb_Activiteiten[[#This Row],[Projectleider/Expert]]=1,Tb_Activiteiten[[#Headers],[Projectleider/Expert]],"")))</f>
        <v/>
      </c>
      <c r="AQ485" t="str">
        <f>IF(ISNUMBER(FIND("arbeid",Methode_Keuze)),"",IF(ISNUMBER(FIND("arbeid",Methode_Keuze)),"",IF(Tb_Activiteiten[[#This Row],[Arbeidskosten]]=1,Tb_Activiteiten[[#Headers],[Arbeidskosten]],"")))</f>
        <v/>
      </c>
      <c r="AR485" t="str">
        <f>IF(ISNUMBER(FIND("arbeid",Methode_Keuze)),"",IF(ISNUMBER(FIND("arbeid",Methode_Keuze)),"",IF(Tb_Activiteiten[[#This Row],[Arbeidskosten op basis van IKS]]=1,Tb_Activiteiten[[#Headers],[Arbeidskosten op basis van IKS]],"")))</f>
        <v/>
      </c>
      <c r="AS485" t="str">
        <f>IF(ISNUMBER(FIND("overige",Methode_Keuze)),"",IF(Tb_Activiteiten[[#This Row],[Kosten derden exclusief btw]]=1,Tb_Activiteiten[[#Headers],[Kosten derden exclusief btw]],""))</f>
        <v/>
      </c>
      <c r="AT485" t="str">
        <f>IF(ISNUMBER(FIND("overige",Methode_Keuze)),"",IF(Tb_Activiteiten[[#This Row],[Niet verrekenbare btw]]=1,Tb_Activiteiten[[#Headers],[Niet verrekenbare btw]],""))</f>
        <v/>
      </c>
      <c r="AU485" t="str">
        <f>IF(ISNUMBER(FIND("overige",Methode_Keuze)),"",IF(Tb_Activiteiten[[#This Row],[Grondkosten]]=1,Tb_Activiteiten[[#Headers],[Grondkosten]],""))</f>
        <v/>
      </c>
      <c r="AV485" t="str">
        <f>IF(ISNUMBER(FIND("overige",Methode_Keuze)),"",IF(Tb_Activiteiten[[#This Row],[Bijdrage in natura (overige)]]=1,Tb_Activiteiten[[#Headers],[Bijdrage in natura (overige)]],""))</f>
        <v/>
      </c>
      <c r="AW485" t="str">
        <f>IF(ISNUMBER(FIND("overige",Methode_Keuze)),"",IF(Tb_Activiteiten[[#This Row],[Bijdrage in natura (vrijwilligers)]]=1,Tb_Activiteiten[[#Headers],[Bijdrage in natura (vrijwilligers)]],""))</f>
        <v/>
      </c>
      <c r="AX485" t="str">
        <f>IF(ISNUMBER(FIND("overige",Methode_Keuze)),"",IF(Tb_Activiteiten[[#This Row],[Afschrijvingskosten]]=1,Tb_Activiteiten[[#Headers],[Afschrijvingskosten]],""))</f>
        <v/>
      </c>
      <c r="AY485" t="str">
        <f>IF(ISNUMBER(FIND("overige",Methode_Keuze)),"",IF(Tb_Activiteiten[[#This Row],[Vergoeding]]=1,Tb_Activiteiten[[#Headers],[Vergoeding]],""))</f>
        <v/>
      </c>
      <c r="AZ485" t="str">
        <f>IF(ISNUMBER(FIND("arbeid",Methode_Keuze)),"",IF(Tb_Activiteiten[[#This Row],[Arbeidskosten - vast tarief (excl eigen arbeid)]]=1,Tb_Activiteiten[[#Headers],[Arbeidskosten - vast tarief (excl eigen arbeid)]],""))</f>
        <v/>
      </c>
      <c r="BA485" t="str">
        <f>IF(ISNUMBER(FIND("overige",Methode_Keuze)),"",IF(Tb_Activiteiten[[#This Row],[Overige kosten]]=1,Tb_Activiteiten[[#Headers],[Overige kosten]],""))</f>
        <v/>
      </c>
    </row>
    <row r="486" spans="1:53" x14ac:dyDescent="0.25">
      <c r="A486" s="231"/>
      <c r="F486" s="64"/>
      <c r="G486" s="64"/>
      <c r="H486" s="275"/>
      <c r="I486" s="275"/>
      <c r="J486" s="275"/>
      <c r="K486" s="275"/>
      <c r="O486" s="56"/>
      <c r="Q486" t="str">
        <f>IFERROR(IF(VLOOKUP(Tb_Activiteiten[[#This Row],[Openstelling]],Tb_Openstelling[],2,0)=1,1,""),"")</f>
        <v/>
      </c>
      <c r="AK486" t="str">
        <f>IF(ISNUMBER(FIND("arbeid",Methode_Keuze)),"",IF(ISNUMBER(FIND("arbeid",Methode_Keuze)),"",IF(Tb_Activiteiten[[#This Row],[Loonkosten]]=1,Tb_Activiteiten[[#Headers],[Loonkosten]],"")))</f>
        <v/>
      </c>
      <c r="AL486" t="str">
        <f>IF(ISNUMBER(FIND("arbeid",Methode_Keuze)),"",IF(ISNUMBER(FIND("arbeid",Methode_Keuze)),"",IF(Tb_Activiteiten[[#This Row],[Eigen arbeid]]=1,Tb_Activiteiten[[#Headers],[Eigen arbeid]],"")))</f>
        <v/>
      </c>
      <c r="AM486" t="str">
        <f>IF(ISNUMBER(FIND("arbeid",Methode_Keuze)),"",IF(ISNUMBER(FIND("arbeid",Methode_Keuze)),"",IF(Tb_Activiteiten[[#This Row],[Projectmedewerker]]=1,Tb_Activiteiten[[#Headers],[Projectmedewerker]],"")))</f>
        <v/>
      </c>
      <c r="AN486" t="str">
        <f>IF(ISNUMBER(FIND("arbeid",Methode_Keuze)),"",IF(ISNUMBER(FIND("arbeid",Methode_Keuze)),"",IF(Tb_Activiteiten[[#This Row],[Landbouwer]]=1,Tb_Activiteiten[[#Headers],[Landbouwer]],"")))</f>
        <v/>
      </c>
      <c r="AO486" t="str">
        <f>IF(ISNUMBER(FIND("arbeid",Methode_Keuze)),"",IF(ISNUMBER(FIND("arbeid",Methode_Keuze)),"",IF(Tb_Activiteiten[[#This Row],[Adviseur]]=1,Tb_Activiteiten[[#Headers],[Adviseur]],"")))</f>
        <v/>
      </c>
      <c r="AP486" t="str">
        <f>IF(ISNUMBER(FIND("arbeid",Methode_Keuze)),"",IF(ISNUMBER(FIND("arbeid",Methode_Keuze)),"",IF(Tb_Activiteiten[[#This Row],[Projectleider/Expert]]=1,Tb_Activiteiten[[#Headers],[Projectleider/Expert]],"")))</f>
        <v/>
      </c>
      <c r="AQ486" t="str">
        <f>IF(ISNUMBER(FIND("arbeid",Methode_Keuze)),"",IF(ISNUMBER(FIND("arbeid",Methode_Keuze)),"",IF(Tb_Activiteiten[[#This Row],[Arbeidskosten]]=1,Tb_Activiteiten[[#Headers],[Arbeidskosten]],"")))</f>
        <v/>
      </c>
      <c r="AR486" t="str">
        <f>IF(ISNUMBER(FIND("arbeid",Methode_Keuze)),"",IF(ISNUMBER(FIND("arbeid",Methode_Keuze)),"",IF(Tb_Activiteiten[[#This Row],[Arbeidskosten op basis van IKS]]=1,Tb_Activiteiten[[#Headers],[Arbeidskosten op basis van IKS]],"")))</f>
        <v/>
      </c>
      <c r="AS486" t="str">
        <f>IF(ISNUMBER(FIND("overige",Methode_Keuze)),"",IF(Tb_Activiteiten[[#This Row],[Kosten derden exclusief btw]]=1,Tb_Activiteiten[[#Headers],[Kosten derden exclusief btw]],""))</f>
        <v/>
      </c>
      <c r="AT486" t="str">
        <f>IF(ISNUMBER(FIND("overige",Methode_Keuze)),"",IF(Tb_Activiteiten[[#This Row],[Niet verrekenbare btw]]=1,Tb_Activiteiten[[#Headers],[Niet verrekenbare btw]],""))</f>
        <v/>
      </c>
      <c r="AU486" t="str">
        <f>IF(ISNUMBER(FIND("overige",Methode_Keuze)),"",IF(Tb_Activiteiten[[#This Row],[Grondkosten]]=1,Tb_Activiteiten[[#Headers],[Grondkosten]],""))</f>
        <v/>
      </c>
      <c r="AV486" t="str">
        <f>IF(ISNUMBER(FIND("overige",Methode_Keuze)),"",IF(Tb_Activiteiten[[#This Row],[Bijdrage in natura (overige)]]=1,Tb_Activiteiten[[#Headers],[Bijdrage in natura (overige)]],""))</f>
        <v/>
      </c>
      <c r="AW486" t="str">
        <f>IF(ISNUMBER(FIND("overige",Methode_Keuze)),"",IF(Tb_Activiteiten[[#This Row],[Bijdrage in natura (vrijwilligers)]]=1,Tb_Activiteiten[[#Headers],[Bijdrage in natura (vrijwilligers)]],""))</f>
        <v/>
      </c>
      <c r="AX486" t="str">
        <f>IF(ISNUMBER(FIND("overige",Methode_Keuze)),"",IF(Tb_Activiteiten[[#This Row],[Afschrijvingskosten]]=1,Tb_Activiteiten[[#Headers],[Afschrijvingskosten]],""))</f>
        <v/>
      </c>
      <c r="AY486" t="str">
        <f>IF(ISNUMBER(FIND("overige",Methode_Keuze)),"",IF(Tb_Activiteiten[[#This Row],[Vergoeding]]=1,Tb_Activiteiten[[#Headers],[Vergoeding]],""))</f>
        <v/>
      </c>
      <c r="AZ486" t="str">
        <f>IF(ISNUMBER(FIND("arbeid",Methode_Keuze)),"",IF(Tb_Activiteiten[[#This Row],[Arbeidskosten - vast tarief (excl eigen arbeid)]]=1,Tb_Activiteiten[[#Headers],[Arbeidskosten - vast tarief (excl eigen arbeid)]],""))</f>
        <v/>
      </c>
      <c r="BA486" t="str">
        <f>IF(ISNUMBER(FIND("overige",Methode_Keuze)),"",IF(Tb_Activiteiten[[#This Row],[Overige kosten]]=1,Tb_Activiteiten[[#Headers],[Overige kosten]],""))</f>
        <v/>
      </c>
    </row>
    <row r="487" spans="1:53" x14ac:dyDescent="0.25">
      <c r="A487" s="231"/>
      <c r="F487" s="64"/>
      <c r="G487" s="64"/>
      <c r="H487" s="275"/>
      <c r="I487" s="275"/>
      <c r="J487" s="275"/>
      <c r="K487" s="275"/>
      <c r="O487" s="56"/>
      <c r="Q487" t="str">
        <f>IFERROR(IF(VLOOKUP(Tb_Activiteiten[[#This Row],[Openstelling]],Tb_Openstelling[],2,0)=1,1,""),"")</f>
        <v/>
      </c>
      <c r="AK487" t="str">
        <f>IF(ISNUMBER(FIND("arbeid",Methode_Keuze)),"",IF(ISNUMBER(FIND("arbeid",Methode_Keuze)),"",IF(Tb_Activiteiten[[#This Row],[Loonkosten]]=1,Tb_Activiteiten[[#Headers],[Loonkosten]],"")))</f>
        <v/>
      </c>
      <c r="AL487" t="str">
        <f>IF(ISNUMBER(FIND("arbeid",Methode_Keuze)),"",IF(ISNUMBER(FIND("arbeid",Methode_Keuze)),"",IF(Tb_Activiteiten[[#This Row],[Eigen arbeid]]=1,Tb_Activiteiten[[#Headers],[Eigen arbeid]],"")))</f>
        <v/>
      </c>
      <c r="AM487" t="str">
        <f>IF(ISNUMBER(FIND("arbeid",Methode_Keuze)),"",IF(ISNUMBER(FIND("arbeid",Methode_Keuze)),"",IF(Tb_Activiteiten[[#This Row],[Projectmedewerker]]=1,Tb_Activiteiten[[#Headers],[Projectmedewerker]],"")))</f>
        <v/>
      </c>
      <c r="AN487" t="str">
        <f>IF(ISNUMBER(FIND("arbeid",Methode_Keuze)),"",IF(ISNUMBER(FIND("arbeid",Methode_Keuze)),"",IF(Tb_Activiteiten[[#This Row],[Landbouwer]]=1,Tb_Activiteiten[[#Headers],[Landbouwer]],"")))</f>
        <v/>
      </c>
      <c r="AO487" t="str">
        <f>IF(ISNUMBER(FIND("arbeid",Methode_Keuze)),"",IF(ISNUMBER(FIND("arbeid",Methode_Keuze)),"",IF(Tb_Activiteiten[[#This Row],[Adviseur]]=1,Tb_Activiteiten[[#Headers],[Adviseur]],"")))</f>
        <v/>
      </c>
      <c r="AP487" t="str">
        <f>IF(ISNUMBER(FIND("arbeid",Methode_Keuze)),"",IF(ISNUMBER(FIND("arbeid",Methode_Keuze)),"",IF(Tb_Activiteiten[[#This Row],[Projectleider/Expert]]=1,Tb_Activiteiten[[#Headers],[Projectleider/Expert]],"")))</f>
        <v/>
      </c>
      <c r="AQ487" t="str">
        <f>IF(ISNUMBER(FIND("arbeid",Methode_Keuze)),"",IF(ISNUMBER(FIND("arbeid",Methode_Keuze)),"",IF(Tb_Activiteiten[[#This Row],[Arbeidskosten]]=1,Tb_Activiteiten[[#Headers],[Arbeidskosten]],"")))</f>
        <v/>
      </c>
      <c r="AR487" t="str">
        <f>IF(ISNUMBER(FIND("arbeid",Methode_Keuze)),"",IF(ISNUMBER(FIND("arbeid",Methode_Keuze)),"",IF(Tb_Activiteiten[[#This Row],[Arbeidskosten op basis van IKS]]=1,Tb_Activiteiten[[#Headers],[Arbeidskosten op basis van IKS]],"")))</f>
        <v/>
      </c>
      <c r="AS487" t="str">
        <f>IF(ISNUMBER(FIND("overige",Methode_Keuze)),"",IF(Tb_Activiteiten[[#This Row],[Kosten derden exclusief btw]]=1,Tb_Activiteiten[[#Headers],[Kosten derden exclusief btw]],""))</f>
        <v/>
      </c>
      <c r="AT487" t="str">
        <f>IF(ISNUMBER(FIND("overige",Methode_Keuze)),"",IF(Tb_Activiteiten[[#This Row],[Niet verrekenbare btw]]=1,Tb_Activiteiten[[#Headers],[Niet verrekenbare btw]],""))</f>
        <v/>
      </c>
      <c r="AU487" t="str">
        <f>IF(ISNUMBER(FIND("overige",Methode_Keuze)),"",IF(Tb_Activiteiten[[#This Row],[Grondkosten]]=1,Tb_Activiteiten[[#Headers],[Grondkosten]],""))</f>
        <v/>
      </c>
      <c r="AV487" t="str">
        <f>IF(ISNUMBER(FIND("overige",Methode_Keuze)),"",IF(Tb_Activiteiten[[#This Row],[Bijdrage in natura (overige)]]=1,Tb_Activiteiten[[#Headers],[Bijdrage in natura (overige)]],""))</f>
        <v/>
      </c>
      <c r="AW487" t="str">
        <f>IF(ISNUMBER(FIND("overige",Methode_Keuze)),"",IF(Tb_Activiteiten[[#This Row],[Bijdrage in natura (vrijwilligers)]]=1,Tb_Activiteiten[[#Headers],[Bijdrage in natura (vrijwilligers)]],""))</f>
        <v/>
      </c>
      <c r="AX487" t="str">
        <f>IF(ISNUMBER(FIND("overige",Methode_Keuze)),"",IF(Tb_Activiteiten[[#This Row],[Afschrijvingskosten]]=1,Tb_Activiteiten[[#Headers],[Afschrijvingskosten]],""))</f>
        <v/>
      </c>
      <c r="AY487" t="str">
        <f>IF(ISNUMBER(FIND("overige",Methode_Keuze)),"",IF(Tb_Activiteiten[[#This Row],[Vergoeding]]=1,Tb_Activiteiten[[#Headers],[Vergoeding]],""))</f>
        <v/>
      </c>
      <c r="AZ487" t="str">
        <f>IF(ISNUMBER(FIND("arbeid",Methode_Keuze)),"",IF(Tb_Activiteiten[[#This Row],[Arbeidskosten - vast tarief (excl eigen arbeid)]]=1,Tb_Activiteiten[[#Headers],[Arbeidskosten - vast tarief (excl eigen arbeid)]],""))</f>
        <v/>
      </c>
      <c r="BA487" t="str">
        <f>IF(ISNUMBER(FIND("overige",Methode_Keuze)),"",IF(Tb_Activiteiten[[#This Row],[Overige kosten]]=1,Tb_Activiteiten[[#Headers],[Overige kosten]],""))</f>
        <v/>
      </c>
    </row>
    <row r="488" spans="1:53" x14ac:dyDescent="0.25">
      <c r="A488" s="231"/>
      <c r="F488" s="64"/>
      <c r="G488" s="64"/>
      <c r="H488" s="275"/>
      <c r="I488" s="275"/>
      <c r="J488" s="275"/>
      <c r="K488" s="275"/>
      <c r="O488" s="56"/>
      <c r="Q488" t="str">
        <f>IFERROR(IF(VLOOKUP(Tb_Activiteiten[[#This Row],[Openstelling]],Tb_Openstelling[],2,0)=1,1,""),"")</f>
        <v/>
      </c>
      <c r="AK488" t="str">
        <f>IF(ISNUMBER(FIND("arbeid",Methode_Keuze)),"",IF(ISNUMBER(FIND("arbeid",Methode_Keuze)),"",IF(Tb_Activiteiten[[#This Row],[Loonkosten]]=1,Tb_Activiteiten[[#Headers],[Loonkosten]],"")))</f>
        <v/>
      </c>
      <c r="AL488" t="str">
        <f>IF(ISNUMBER(FIND("arbeid",Methode_Keuze)),"",IF(ISNUMBER(FIND("arbeid",Methode_Keuze)),"",IF(Tb_Activiteiten[[#This Row],[Eigen arbeid]]=1,Tb_Activiteiten[[#Headers],[Eigen arbeid]],"")))</f>
        <v/>
      </c>
      <c r="AM488" t="str">
        <f>IF(ISNUMBER(FIND("arbeid",Methode_Keuze)),"",IF(ISNUMBER(FIND("arbeid",Methode_Keuze)),"",IF(Tb_Activiteiten[[#This Row],[Projectmedewerker]]=1,Tb_Activiteiten[[#Headers],[Projectmedewerker]],"")))</f>
        <v/>
      </c>
      <c r="AN488" t="str">
        <f>IF(ISNUMBER(FIND("arbeid",Methode_Keuze)),"",IF(ISNUMBER(FIND("arbeid",Methode_Keuze)),"",IF(Tb_Activiteiten[[#This Row],[Landbouwer]]=1,Tb_Activiteiten[[#Headers],[Landbouwer]],"")))</f>
        <v/>
      </c>
      <c r="AO488" t="str">
        <f>IF(ISNUMBER(FIND("arbeid",Methode_Keuze)),"",IF(ISNUMBER(FIND("arbeid",Methode_Keuze)),"",IF(Tb_Activiteiten[[#This Row],[Adviseur]]=1,Tb_Activiteiten[[#Headers],[Adviseur]],"")))</f>
        <v/>
      </c>
      <c r="AP488" t="str">
        <f>IF(ISNUMBER(FIND("arbeid",Methode_Keuze)),"",IF(ISNUMBER(FIND("arbeid",Methode_Keuze)),"",IF(Tb_Activiteiten[[#This Row],[Projectleider/Expert]]=1,Tb_Activiteiten[[#Headers],[Projectleider/Expert]],"")))</f>
        <v/>
      </c>
      <c r="AQ488" t="str">
        <f>IF(ISNUMBER(FIND("arbeid",Methode_Keuze)),"",IF(ISNUMBER(FIND("arbeid",Methode_Keuze)),"",IF(Tb_Activiteiten[[#This Row],[Arbeidskosten]]=1,Tb_Activiteiten[[#Headers],[Arbeidskosten]],"")))</f>
        <v/>
      </c>
      <c r="AR488" t="str">
        <f>IF(ISNUMBER(FIND("arbeid",Methode_Keuze)),"",IF(ISNUMBER(FIND("arbeid",Methode_Keuze)),"",IF(Tb_Activiteiten[[#This Row],[Arbeidskosten op basis van IKS]]=1,Tb_Activiteiten[[#Headers],[Arbeidskosten op basis van IKS]],"")))</f>
        <v/>
      </c>
      <c r="AS488" t="str">
        <f>IF(ISNUMBER(FIND("overige",Methode_Keuze)),"",IF(Tb_Activiteiten[[#This Row],[Kosten derden exclusief btw]]=1,Tb_Activiteiten[[#Headers],[Kosten derden exclusief btw]],""))</f>
        <v/>
      </c>
      <c r="AT488" t="str">
        <f>IF(ISNUMBER(FIND("overige",Methode_Keuze)),"",IF(Tb_Activiteiten[[#This Row],[Niet verrekenbare btw]]=1,Tb_Activiteiten[[#Headers],[Niet verrekenbare btw]],""))</f>
        <v/>
      </c>
      <c r="AU488" t="str">
        <f>IF(ISNUMBER(FIND("overige",Methode_Keuze)),"",IF(Tb_Activiteiten[[#This Row],[Grondkosten]]=1,Tb_Activiteiten[[#Headers],[Grondkosten]],""))</f>
        <v/>
      </c>
      <c r="AV488" t="str">
        <f>IF(ISNUMBER(FIND("overige",Methode_Keuze)),"",IF(Tb_Activiteiten[[#This Row],[Bijdrage in natura (overige)]]=1,Tb_Activiteiten[[#Headers],[Bijdrage in natura (overige)]],""))</f>
        <v/>
      </c>
      <c r="AW488" t="str">
        <f>IF(ISNUMBER(FIND("overige",Methode_Keuze)),"",IF(Tb_Activiteiten[[#This Row],[Bijdrage in natura (vrijwilligers)]]=1,Tb_Activiteiten[[#Headers],[Bijdrage in natura (vrijwilligers)]],""))</f>
        <v/>
      </c>
      <c r="AX488" t="str">
        <f>IF(ISNUMBER(FIND("overige",Methode_Keuze)),"",IF(Tb_Activiteiten[[#This Row],[Afschrijvingskosten]]=1,Tb_Activiteiten[[#Headers],[Afschrijvingskosten]],""))</f>
        <v/>
      </c>
      <c r="AY488" t="str">
        <f>IF(ISNUMBER(FIND("overige",Methode_Keuze)),"",IF(Tb_Activiteiten[[#This Row],[Vergoeding]]=1,Tb_Activiteiten[[#Headers],[Vergoeding]],""))</f>
        <v/>
      </c>
      <c r="AZ488" t="str">
        <f>IF(ISNUMBER(FIND("arbeid",Methode_Keuze)),"",IF(Tb_Activiteiten[[#This Row],[Arbeidskosten - vast tarief (excl eigen arbeid)]]=1,Tb_Activiteiten[[#Headers],[Arbeidskosten - vast tarief (excl eigen arbeid)]],""))</f>
        <v/>
      </c>
      <c r="BA488" t="str">
        <f>IF(ISNUMBER(FIND("overige",Methode_Keuze)),"",IF(Tb_Activiteiten[[#This Row],[Overige kosten]]=1,Tb_Activiteiten[[#Headers],[Overige kosten]],""))</f>
        <v/>
      </c>
    </row>
    <row r="489" spans="1:53" x14ac:dyDescent="0.25">
      <c r="A489" s="231"/>
      <c r="F489" s="64"/>
      <c r="G489" s="64"/>
      <c r="H489" s="275"/>
      <c r="I489" s="275"/>
      <c r="J489" s="275"/>
      <c r="K489" s="275"/>
      <c r="O489" s="56"/>
      <c r="Q489" t="str">
        <f>IFERROR(IF(VLOOKUP(Tb_Activiteiten[[#This Row],[Openstelling]],Tb_Openstelling[],2,0)=1,1,""),"")</f>
        <v/>
      </c>
      <c r="AK489" t="str">
        <f>IF(ISNUMBER(FIND("arbeid",Methode_Keuze)),"",IF(ISNUMBER(FIND("arbeid",Methode_Keuze)),"",IF(Tb_Activiteiten[[#This Row],[Loonkosten]]=1,Tb_Activiteiten[[#Headers],[Loonkosten]],"")))</f>
        <v/>
      </c>
      <c r="AL489" t="str">
        <f>IF(ISNUMBER(FIND("arbeid",Methode_Keuze)),"",IF(ISNUMBER(FIND("arbeid",Methode_Keuze)),"",IF(Tb_Activiteiten[[#This Row],[Eigen arbeid]]=1,Tb_Activiteiten[[#Headers],[Eigen arbeid]],"")))</f>
        <v/>
      </c>
      <c r="AM489" t="str">
        <f>IF(ISNUMBER(FIND("arbeid",Methode_Keuze)),"",IF(ISNUMBER(FIND("arbeid",Methode_Keuze)),"",IF(Tb_Activiteiten[[#This Row],[Projectmedewerker]]=1,Tb_Activiteiten[[#Headers],[Projectmedewerker]],"")))</f>
        <v/>
      </c>
      <c r="AN489" t="str">
        <f>IF(ISNUMBER(FIND("arbeid",Methode_Keuze)),"",IF(ISNUMBER(FIND("arbeid",Methode_Keuze)),"",IF(Tb_Activiteiten[[#This Row],[Landbouwer]]=1,Tb_Activiteiten[[#Headers],[Landbouwer]],"")))</f>
        <v/>
      </c>
      <c r="AO489" t="str">
        <f>IF(ISNUMBER(FIND("arbeid",Methode_Keuze)),"",IF(ISNUMBER(FIND("arbeid",Methode_Keuze)),"",IF(Tb_Activiteiten[[#This Row],[Adviseur]]=1,Tb_Activiteiten[[#Headers],[Adviseur]],"")))</f>
        <v/>
      </c>
      <c r="AP489" t="str">
        <f>IF(ISNUMBER(FIND("arbeid",Methode_Keuze)),"",IF(ISNUMBER(FIND("arbeid",Methode_Keuze)),"",IF(Tb_Activiteiten[[#This Row],[Projectleider/Expert]]=1,Tb_Activiteiten[[#Headers],[Projectleider/Expert]],"")))</f>
        <v/>
      </c>
      <c r="AQ489" t="str">
        <f>IF(ISNUMBER(FIND("arbeid",Methode_Keuze)),"",IF(ISNUMBER(FIND("arbeid",Methode_Keuze)),"",IF(Tb_Activiteiten[[#This Row],[Arbeidskosten]]=1,Tb_Activiteiten[[#Headers],[Arbeidskosten]],"")))</f>
        <v/>
      </c>
      <c r="AR489" t="str">
        <f>IF(ISNUMBER(FIND("arbeid",Methode_Keuze)),"",IF(ISNUMBER(FIND("arbeid",Methode_Keuze)),"",IF(Tb_Activiteiten[[#This Row],[Arbeidskosten op basis van IKS]]=1,Tb_Activiteiten[[#Headers],[Arbeidskosten op basis van IKS]],"")))</f>
        <v/>
      </c>
      <c r="AS489" t="str">
        <f>IF(ISNUMBER(FIND("overige",Methode_Keuze)),"",IF(Tb_Activiteiten[[#This Row],[Kosten derden exclusief btw]]=1,Tb_Activiteiten[[#Headers],[Kosten derden exclusief btw]],""))</f>
        <v/>
      </c>
      <c r="AT489" t="str">
        <f>IF(ISNUMBER(FIND("overige",Methode_Keuze)),"",IF(Tb_Activiteiten[[#This Row],[Niet verrekenbare btw]]=1,Tb_Activiteiten[[#Headers],[Niet verrekenbare btw]],""))</f>
        <v/>
      </c>
      <c r="AU489" t="str">
        <f>IF(ISNUMBER(FIND("overige",Methode_Keuze)),"",IF(Tb_Activiteiten[[#This Row],[Grondkosten]]=1,Tb_Activiteiten[[#Headers],[Grondkosten]],""))</f>
        <v/>
      </c>
      <c r="AV489" t="str">
        <f>IF(ISNUMBER(FIND("overige",Methode_Keuze)),"",IF(Tb_Activiteiten[[#This Row],[Bijdrage in natura (overige)]]=1,Tb_Activiteiten[[#Headers],[Bijdrage in natura (overige)]],""))</f>
        <v/>
      </c>
      <c r="AW489" t="str">
        <f>IF(ISNUMBER(FIND("overige",Methode_Keuze)),"",IF(Tb_Activiteiten[[#This Row],[Bijdrage in natura (vrijwilligers)]]=1,Tb_Activiteiten[[#Headers],[Bijdrage in natura (vrijwilligers)]],""))</f>
        <v/>
      </c>
      <c r="AX489" t="str">
        <f>IF(ISNUMBER(FIND("overige",Methode_Keuze)),"",IF(Tb_Activiteiten[[#This Row],[Afschrijvingskosten]]=1,Tb_Activiteiten[[#Headers],[Afschrijvingskosten]],""))</f>
        <v/>
      </c>
      <c r="AY489" t="str">
        <f>IF(ISNUMBER(FIND("overige",Methode_Keuze)),"",IF(Tb_Activiteiten[[#This Row],[Vergoeding]]=1,Tb_Activiteiten[[#Headers],[Vergoeding]],""))</f>
        <v/>
      </c>
      <c r="AZ489" t="str">
        <f>IF(ISNUMBER(FIND("arbeid",Methode_Keuze)),"",IF(Tb_Activiteiten[[#This Row],[Arbeidskosten - vast tarief (excl eigen arbeid)]]=1,Tb_Activiteiten[[#Headers],[Arbeidskosten - vast tarief (excl eigen arbeid)]],""))</f>
        <v/>
      </c>
      <c r="BA489" t="str">
        <f>IF(ISNUMBER(FIND("overige",Methode_Keuze)),"",IF(Tb_Activiteiten[[#This Row],[Overige kosten]]=1,Tb_Activiteiten[[#Headers],[Overige kosten]],""))</f>
        <v/>
      </c>
    </row>
    <row r="490" spans="1:53" x14ac:dyDescent="0.25">
      <c r="A490" s="231"/>
      <c r="F490" s="64"/>
      <c r="G490" s="64"/>
      <c r="H490" s="275"/>
      <c r="I490" s="275"/>
      <c r="J490" s="275"/>
      <c r="K490" s="275"/>
      <c r="O490" s="56"/>
      <c r="Q490" t="str">
        <f>IFERROR(IF(VLOOKUP(Tb_Activiteiten[[#This Row],[Openstelling]],Tb_Openstelling[],2,0)=1,1,""),"")</f>
        <v/>
      </c>
      <c r="AK490" t="str">
        <f>IF(ISNUMBER(FIND("arbeid",Methode_Keuze)),"",IF(ISNUMBER(FIND("arbeid",Methode_Keuze)),"",IF(Tb_Activiteiten[[#This Row],[Loonkosten]]=1,Tb_Activiteiten[[#Headers],[Loonkosten]],"")))</f>
        <v/>
      </c>
      <c r="AL490" t="str">
        <f>IF(ISNUMBER(FIND("arbeid",Methode_Keuze)),"",IF(ISNUMBER(FIND("arbeid",Methode_Keuze)),"",IF(Tb_Activiteiten[[#This Row],[Eigen arbeid]]=1,Tb_Activiteiten[[#Headers],[Eigen arbeid]],"")))</f>
        <v/>
      </c>
      <c r="AM490" t="str">
        <f>IF(ISNUMBER(FIND("arbeid",Methode_Keuze)),"",IF(ISNUMBER(FIND("arbeid",Methode_Keuze)),"",IF(Tb_Activiteiten[[#This Row],[Projectmedewerker]]=1,Tb_Activiteiten[[#Headers],[Projectmedewerker]],"")))</f>
        <v/>
      </c>
      <c r="AN490" t="str">
        <f>IF(ISNUMBER(FIND("arbeid",Methode_Keuze)),"",IF(ISNUMBER(FIND("arbeid",Methode_Keuze)),"",IF(Tb_Activiteiten[[#This Row],[Landbouwer]]=1,Tb_Activiteiten[[#Headers],[Landbouwer]],"")))</f>
        <v/>
      </c>
      <c r="AO490" t="str">
        <f>IF(ISNUMBER(FIND("arbeid",Methode_Keuze)),"",IF(ISNUMBER(FIND("arbeid",Methode_Keuze)),"",IF(Tb_Activiteiten[[#This Row],[Adviseur]]=1,Tb_Activiteiten[[#Headers],[Adviseur]],"")))</f>
        <v/>
      </c>
      <c r="AP490" t="str">
        <f>IF(ISNUMBER(FIND("arbeid",Methode_Keuze)),"",IF(ISNUMBER(FIND("arbeid",Methode_Keuze)),"",IF(Tb_Activiteiten[[#This Row],[Projectleider/Expert]]=1,Tb_Activiteiten[[#Headers],[Projectleider/Expert]],"")))</f>
        <v/>
      </c>
      <c r="AQ490" t="str">
        <f>IF(ISNUMBER(FIND("arbeid",Methode_Keuze)),"",IF(ISNUMBER(FIND("arbeid",Methode_Keuze)),"",IF(Tb_Activiteiten[[#This Row],[Arbeidskosten]]=1,Tb_Activiteiten[[#Headers],[Arbeidskosten]],"")))</f>
        <v/>
      </c>
      <c r="AR490" t="str">
        <f>IF(ISNUMBER(FIND("arbeid",Methode_Keuze)),"",IF(ISNUMBER(FIND("arbeid",Methode_Keuze)),"",IF(Tb_Activiteiten[[#This Row],[Arbeidskosten op basis van IKS]]=1,Tb_Activiteiten[[#Headers],[Arbeidskosten op basis van IKS]],"")))</f>
        <v/>
      </c>
      <c r="AS490" t="str">
        <f>IF(ISNUMBER(FIND("overige",Methode_Keuze)),"",IF(Tb_Activiteiten[[#This Row],[Kosten derden exclusief btw]]=1,Tb_Activiteiten[[#Headers],[Kosten derden exclusief btw]],""))</f>
        <v/>
      </c>
      <c r="AT490" t="str">
        <f>IF(ISNUMBER(FIND("overige",Methode_Keuze)),"",IF(Tb_Activiteiten[[#This Row],[Niet verrekenbare btw]]=1,Tb_Activiteiten[[#Headers],[Niet verrekenbare btw]],""))</f>
        <v/>
      </c>
      <c r="AU490" t="str">
        <f>IF(ISNUMBER(FIND("overige",Methode_Keuze)),"",IF(Tb_Activiteiten[[#This Row],[Grondkosten]]=1,Tb_Activiteiten[[#Headers],[Grondkosten]],""))</f>
        <v/>
      </c>
      <c r="AV490" t="str">
        <f>IF(ISNUMBER(FIND("overige",Methode_Keuze)),"",IF(Tb_Activiteiten[[#This Row],[Bijdrage in natura (overige)]]=1,Tb_Activiteiten[[#Headers],[Bijdrage in natura (overige)]],""))</f>
        <v/>
      </c>
      <c r="AW490" t="str">
        <f>IF(ISNUMBER(FIND("overige",Methode_Keuze)),"",IF(Tb_Activiteiten[[#This Row],[Bijdrage in natura (vrijwilligers)]]=1,Tb_Activiteiten[[#Headers],[Bijdrage in natura (vrijwilligers)]],""))</f>
        <v/>
      </c>
      <c r="AX490" t="str">
        <f>IF(ISNUMBER(FIND("overige",Methode_Keuze)),"",IF(Tb_Activiteiten[[#This Row],[Afschrijvingskosten]]=1,Tb_Activiteiten[[#Headers],[Afschrijvingskosten]],""))</f>
        <v/>
      </c>
      <c r="AY490" t="str">
        <f>IF(ISNUMBER(FIND("overige",Methode_Keuze)),"",IF(Tb_Activiteiten[[#This Row],[Vergoeding]]=1,Tb_Activiteiten[[#Headers],[Vergoeding]],""))</f>
        <v/>
      </c>
      <c r="AZ490" t="str">
        <f>IF(ISNUMBER(FIND("arbeid",Methode_Keuze)),"",IF(Tb_Activiteiten[[#This Row],[Arbeidskosten - vast tarief (excl eigen arbeid)]]=1,Tb_Activiteiten[[#Headers],[Arbeidskosten - vast tarief (excl eigen arbeid)]],""))</f>
        <v/>
      </c>
      <c r="BA490" t="str">
        <f>IF(ISNUMBER(FIND("overige",Methode_Keuze)),"",IF(Tb_Activiteiten[[#This Row],[Overige kosten]]=1,Tb_Activiteiten[[#Headers],[Overige kosten]],""))</f>
        <v/>
      </c>
    </row>
    <row r="491" spans="1:53" x14ac:dyDescent="0.25">
      <c r="A491" s="231"/>
      <c r="F491" s="64"/>
      <c r="G491" s="64"/>
      <c r="H491" s="275"/>
      <c r="I491" s="275"/>
      <c r="J491" s="275"/>
      <c r="K491" s="275"/>
      <c r="O491" s="56"/>
      <c r="Q491" t="str">
        <f>IFERROR(IF(VLOOKUP(Tb_Activiteiten[[#This Row],[Openstelling]],Tb_Openstelling[],2,0)=1,1,""),"")</f>
        <v/>
      </c>
      <c r="AK491" t="str">
        <f>IF(ISNUMBER(FIND("arbeid",Methode_Keuze)),"",IF(ISNUMBER(FIND("arbeid",Methode_Keuze)),"",IF(Tb_Activiteiten[[#This Row],[Loonkosten]]=1,Tb_Activiteiten[[#Headers],[Loonkosten]],"")))</f>
        <v/>
      </c>
      <c r="AL491" t="str">
        <f>IF(ISNUMBER(FIND("arbeid",Methode_Keuze)),"",IF(ISNUMBER(FIND("arbeid",Methode_Keuze)),"",IF(Tb_Activiteiten[[#This Row],[Eigen arbeid]]=1,Tb_Activiteiten[[#Headers],[Eigen arbeid]],"")))</f>
        <v/>
      </c>
      <c r="AM491" t="str">
        <f>IF(ISNUMBER(FIND("arbeid",Methode_Keuze)),"",IF(ISNUMBER(FIND("arbeid",Methode_Keuze)),"",IF(Tb_Activiteiten[[#This Row],[Projectmedewerker]]=1,Tb_Activiteiten[[#Headers],[Projectmedewerker]],"")))</f>
        <v/>
      </c>
      <c r="AN491" t="str">
        <f>IF(ISNUMBER(FIND("arbeid",Methode_Keuze)),"",IF(ISNUMBER(FIND("arbeid",Methode_Keuze)),"",IF(Tb_Activiteiten[[#This Row],[Landbouwer]]=1,Tb_Activiteiten[[#Headers],[Landbouwer]],"")))</f>
        <v/>
      </c>
      <c r="AO491" t="str">
        <f>IF(ISNUMBER(FIND("arbeid",Methode_Keuze)),"",IF(ISNUMBER(FIND("arbeid",Methode_Keuze)),"",IF(Tb_Activiteiten[[#This Row],[Adviseur]]=1,Tb_Activiteiten[[#Headers],[Adviseur]],"")))</f>
        <v/>
      </c>
      <c r="AP491" t="str">
        <f>IF(ISNUMBER(FIND("arbeid",Methode_Keuze)),"",IF(ISNUMBER(FIND("arbeid",Methode_Keuze)),"",IF(Tb_Activiteiten[[#This Row],[Projectleider/Expert]]=1,Tb_Activiteiten[[#Headers],[Projectleider/Expert]],"")))</f>
        <v/>
      </c>
      <c r="AQ491" t="str">
        <f>IF(ISNUMBER(FIND("arbeid",Methode_Keuze)),"",IF(ISNUMBER(FIND("arbeid",Methode_Keuze)),"",IF(Tb_Activiteiten[[#This Row],[Arbeidskosten]]=1,Tb_Activiteiten[[#Headers],[Arbeidskosten]],"")))</f>
        <v/>
      </c>
      <c r="AR491" t="str">
        <f>IF(ISNUMBER(FIND("arbeid",Methode_Keuze)),"",IF(ISNUMBER(FIND("arbeid",Methode_Keuze)),"",IF(Tb_Activiteiten[[#This Row],[Arbeidskosten op basis van IKS]]=1,Tb_Activiteiten[[#Headers],[Arbeidskosten op basis van IKS]],"")))</f>
        <v/>
      </c>
      <c r="AS491" t="str">
        <f>IF(ISNUMBER(FIND("overige",Methode_Keuze)),"",IF(Tb_Activiteiten[[#This Row],[Kosten derden exclusief btw]]=1,Tb_Activiteiten[[#Headers],[Kosten derden exclusief btw]],""))</f>
        <v/>
      </c>
      <c r="AT491" t="str">
        <f>IF(ISNUMBER(FIND("overige",Methode_Keuze)),"",IF(Tb_Activiteiten[[#This Row],[Niet verrekenbare btw]]=1,Tb_Activiteiten[[#Headers],[Niet verrekenbare btw]],""))</f>
        <v/>
      </c>
      <c r="AU491" t="str">
        <f>IF(ISNUMBER(FIND("overige",Methode_Keuze)),"",IF(Tb_Activiteiten[[#This Row],[Grondkosten]]=1,Tb_Activiteiten[[#Headers],[Grondkosten]],""))</f>
        <v/>
      </c>
      <c r="AV491" t="str">
        <f>IF(ISNUMBER(FIND("overige",Methode_Keuze)),"",IF(Tb_Activiteiten[[#This Row],[Bijdrage in natura (overige)]]=1,Tb_Activiteiten[[#Headers],[Bijdrage in natura (overige)]],""))</f>
        <v/>
      </c>
      <c r="AW491" t="str">
        <f>IF(ISNUMBER(FIND("overige",Methode_Keuze)),"",IF(Tb_Activiteiten[[#This Row],[Bijdrage in natura (vrijwilligers)]]=1,Tb_Activiteiten[[#Headers],[Bijdrage in natura (vrijwilligers)]],""))</f>
        <v/>
      </c>
      <c r="AX491" t="str">
        <f>IF(ISNUMBER(FIND("overige",Methode_Keuze)),"",IF(Tb_Activiteiten[[#This Row],[Afschrijvingskosten]]=1,Tb_Activiteiten[[#Headers],[Afschrijvingskosten]],""))</f>
        <v/>
      </c>
      <c r="AY491" t="str">
        <f>IF(ISNUMBER(FIND("overige",Methode_Keuze)),"",IF(Tb_Activiteiten[[#This Row],[Vergoeding]]=1,Tb_Activiteiten[[#Headers],[Vergoeding]],""))</f>
        <v/>
      </c>
      <c r="AZ491" t="str">
        <f>IF(ISNUMBER(FIND("arbeid",Methode_Keuze)),"",IF(Tb_Activiteiten[[#This Row],[Arbeidskosten - vast tarief (excl eigen arbeid)]]=1,Tb_Activiteiten[[#Headers],[Arbeidskosten - vast tarief (excl eigen arbeid)]],""))</f>
        <v/>
      </c>
      <c r="BA491" t="str">
        <f>IF(ISNUMBER(FIND("overige",Methode_Keuze)),"",IF(Tb_Activiteiten[[#This Row],[Overige kosten]]=1,Tb_Activiteiten[[#Headers],[Overige kosten]],""))</f>
        <v/>
      </c>
    </row>
    <row r="492" spans="1:53" x14ac:dyDescent="0.25">
      <c r="A492" s="231"/>
      <c r="F492" s="64"/>
      <c r="G492" s="64"/>
      <c r="H492" s="275"/>
      <c r="I492" s="275"/>
      <c r="J492" s="275"/>
      <c r="K492" s="275"/>
      <c r="O492" s="56"/>
      <c r="Q492" t="str">
        <f>IFERROR(IF(VLOOKUP(Tb_Activiteiten[[#This Row],[Openstelling]],Tb_Openstelling[],2,0)=1,1,""),"")</f>
        <v/>
      </c>
      <c r="AK492" t="str">
        <f>IF(ISNUMBER(FIND("arbeid",Methode_Keuze)),"",IF(ISNUMBER(FIND("arbeid",Methode_Keuze)),"",IF(Tb_Activiteiten[[#This Row],[Loonkosten]]=1,Tb_Activiteiten[[#Headers],[Loonkosten]],"")))</f>
        <v/>
      </c>
      <c r="AL492" t="str">
        <f>IF(ISNUMBER(FIND("arbeid",Methode_Keuze)),"",IF(ISNUMBER(FIND("arbeid",Methode_Keuze)),"",IF(Tb_Activiteiten[[#This Row],[Eigen arbeid]]=1,Tb_Activiteiten[[#Headers],[Eigen arbeid]],"")))</f>
        <v/>
      </c>
      <c r="AM492" t="str">
        <f>IF(ISNUMBER(FIND("arbeid",Methode_Keuze)),"",IF(ISNUMBER(FIND("arbeid",Methode_Keuze)),"",IF(Tb_Activiteiten[[#This Row],[Projectmedewerker]]=1,Tb_Activiteiten[[#Headers],[Projectmedewerker]],"")))</f>
        <v/>
      </c>
      <c r="AN492" t="str">
        <f>IF(ISNUMBER(FIND("arbeid",Methode_Keuze)),"",IF(ISNUMBER(FIND("arbeid",Methode_Keuze)),"",IF(Tb_Activiteiten[[#This Row],[Landbouwer]]=1,Tb_Activiteiten[[#Headers],[Landbouwer]],"")))</f>
        <v/>
      </c>
      <c r="AO492" t="str">
        <f>IF(ISNUMBER(FIND("arbeid",Methode_Keuze)),"",IF(ISNUMBER(FIND("arbeid",Methode_Keuze)),"",IF(Tb_Activiteiten[[#This Row],[Adviseur]]=1,Tb_Activiteiten[[#Headers],[Adviseur]],"")))</f>
        <v/>
      </c>
      <c r="AP492" t="str">
        <f>IF(ISNUMBER(FIND("arbeid",Methode_Keuze)),"",IF(ISNUMBER(FIND("arbeid",Methode_Keuze)),"",IF(Tb_Activiteiten[[#This Row],[Projectleider/Expert]]=1,Tb_Activiteiten[[#Headers],[Projectleider/Expert]],"")))</f>
        <v/>
      </c>
      <c r="AQ492" t="str">
        <f>IF(ISNUMBER(FIND("arbeid",Methode_Keuze)),"",IF(ISNUMBER(FIND("arbeid",Methode_Keuze)),"",IF(Tb_Activiteiten[[#This Row],[Arbeidskosten]]=1,Tb_Activiteiten[[#Headers],[Arbeidskosten]],"")))</f>
        <v/>
      </c>
      <c r="AR492" t="str">
        <f>IF(ISNUMBER(FIND("arbeid",Methode_Keuze)),"",IF(ISNUMBER(FIND("arbeid",Methode_Keuze)),"",IF(Tb_Activiteiten[[#This Row],[Arbeidskosten op basis van IKS]]=1,Tb_Activiteiten[[#Headers],[Arbeidskosten op basis van IKS]],"")))</f>
        <v/>
      </c>
      <c r="AS492" t="str">
        <f>IF(ISNUMBER(FIND("overige",Methode_Keuze)),"",IF(Tb_Activiteiten[[#This Row],[Kosten derden exclusief btw]]=1,Tb_Activiteiten[[#Headers],[Kosten derden exclusief btw]],""))</f>
        <v/>
      </c>
      <c r="AT492" t="str">
        <f>IF(ISNUMBER(FIND("overige",Methode_Keuze)),"",IF(Tb_Activiteiten[[#This Row],[Niet verrekenbare btw]]=1,Tb_Activiteiten[[#Headers],[Niet verrekenbare btw]],""))</f>
        <v/>
      </c>
      <c r="AU492" t="str">
        <f>IF(ISNUMBER(FIND("overige",Methode_Keuze)),"",IF(Tb_Activiteiten[[#This Row],[Grondkosten]]=1,Tb_Activiteiten[[#Headers],[Grondkosten]],""))</f>
        <v/>
      </c>
      <c r="AV492" t="str">
        <f>IF(ISNUMBER(FIND("overige",Methode_Keuze)),"",IF(Tb_Activiteiten[[#This Row],[Bijdrage in natura (overige)]]=1,Tb_Activiteiten[[#Headers],[Bijdrage in natura (overige)]],""))</f>
        <v/>
      </c>
      <c r="AW492" t="str">
        <f>IF(ISNUMBER(FIND("overige",Methode_Keuze)),"",IF(Tb_Activiteiten[[#This Row],[Bijdrage in natura (vrijwilligers)]]=1,Tb_Activiteiten[[#Headers],[Bijdrage in natura (vrijwilligers)]],""))</f>
        <v/>
      </c>
      <c r="AX492" t="str">
        <f>IF(ISNUMBER(FIND("overige",Methode_Keuze)),"",IF(Tb_Activiteiten[[#This Row],[Afschrijvingskosten]]=1,Tb_Activiteiten[[#Headers],[Afschrijvingskosten]],""))</f>
        <v/>
      </c>
      <c r="AY492" t="str">
        <f>IF(ISNUMBER(FIND("overige",Methode_Keuze)),"",IF(Tb_Activiteiten[[#This Row],[Vergoeding]]=1,Tb_Activiteiten[[#Headers],[Vergoeding]],""))</f>
        <v/>
      </c>
      <c r="AZ492" t="str">
        <f>IF(ISNUMBER(FIND("arbeid",Methode_Keuze)),"",IF(Tb_Activiteiten[[#This Row],[Arbeidskosten - vast tarief (excl eigen arbeid)]]=1,Tb_Activiteiten[[#Headers],[Arbeidskosten - vast tarief (excl eigen arbeid)]],""))</f>
        <v/>
      </c>
      <c r="BA492" t="str">
        <f>IF(ISNUMBER(FIND("overige",Methode_Keuze)),"",IF(Tb_Activiteiten[[#This Row],[Overige kosten]]=1,Tb_Activiteiten[[#Headers],[Overige kosten]],""))</f>
        <v/>
      </c>
    </row>
    <row r="493" spans="1:53" x14ac:dyDescent="0.25">
      <c r="A493" s="231"/>
      <c r="F493" s="64"/>
      <c r="G493" s="64"/>
      <c r="H493" s="275"/>
      <c r="I493" s="275"/>
      <c r="J493" s="275"/>
      <c r="K493" s="275"/>
      <c r="O493" s="56"/>
      <c r="Q493" t="str">
        <f>IFERROR(IF(VLOOKUP(Tb_Activiteiten[[#This Row],[Openstelling]],Tb_Openstelling[],2,0)=1,1,""),"")</f>
        <v/>
      </c>
      <c r="AK493" t="str">
        <f>IF(ISNUMBER(FIND("arbeid",Methode_Keuze)),"",IF(ISNUMBER(FIND("arbeid",Methode_Keuze)),"",IF(Tb_Activiteiten[[#This Row],[Loonkosten]]=1,Tb_Activiteiten[[#Headers],[Loonkosten]],"")))</f>
        <v/>
      </c>
      <c r="AL493" t="str">
        <f>IF(ISNUMBER(FIND("arbeid",Methode_Keuze)),"",IF(ISNUMBER(FIND("arbeid",Methode_Keuze)),"",IF(Tb_Activiteiten[[#This Row],[Eigen arbeid]]=1,Tb_Activiteiten[[#Headers],[Eigen arbeid]],"")))</f>
        <v/>
      </c>
      <c r="AM493" t="str">
        <f>IF(ISNUMBER(FIND("arbeid",Methode_Keuze)),"",IF(ISNUMBER(FIND("arbeid",Methode_Keuze)),"",IF(Tb_Activiteiten[[#This Row],[Projectmedewerker]]=1,Tb_Activiteiten[[#Headers],[Projectmedewerker]],"")))</f>
        <v/>
      </c>
      <c r="AN493" t="str">
        <f>IF(ISNUMBER(FIND("arbeid",Methode_Keuze)),"",IF(ISNUMBER(FIND("arbeid",Methode_Keuze)),"",IF(Tb_Activiteiten[[#This Row],[Landbouwer]]=1,Tb_Activiteiten[[#Headers],[Landbouwer]],"")))</f>
        <v/>
      </c>
      <c r="AO493" t="str">
        <f>IF(ISNUMBER(FIND("arbeid",Methode_Keuze)),"",IF(ISNUMBER(FIND("arbeid",Methode_Keuze)),"",IF(Tb_Activiteiten[[#This Row],[Adviseur]]=1,Tb_Activiteiten[[#Headers],[Adviseur]],"")))</f>
        <v/>
      </c>
      <c r="AP493" t="str">
        <f>IF(ISNUMBER(FIND("arbeid",Methode_Keuze)),"",IF(ISNUMBER(FIND("arbeid",Methode_Keuze)),"",IF(Tb_Activiteiten[[#This Row],[Projectleider/Expert]]=1,Tb_Activiteiten[[#Headers],[Projectleider/Expert]],"")))</f>
        <v/>
      </c>
      <c r="AQ493" t="str">
        <f>IF(ISNUMBER(FIND("arbeid",Methode_Keuze)),"",IF(ISNUMBER(FIND("arbeid",Methode_Keuze)),"",IF(Tb_Activiteiten[[#This Row],[Arbeidskosten]]=1,Tb_Activiteiten[[#Headers],[Arbeidskosten]],"")))</f>
        <v/>
      </c>
      <c r="AR493" t="str">
        <f>IF(ISNUMBER(FIND("arbeid",Methode_Keuze)),"",IF(ISNUMBER(FIND("arbeid",Methode_Keuze)),"",IF(Tb_Activiteiten[[#This Row],[Arbeidskosten op basis van IKS]]=1,Tb_Activiteiten[[#Headers],[Arbeidskosten op basis van IKS]],"")))</f>
        <v/>
      </c>
      <c r="AS493" t="str">
        <f>IF(ISNUMBER(FIND("overige",Methode_Keuze)),"",IF(Tb_Activiteiten[[#This Row],[Kosten derden exclusief btw]]=1,Tb_Activiteiten[[#Headers],[Kosten derden exclusief btw]],""))</f>
        <v/>
      </c>
      <c r="AT493" t="str">
        <f>IF(ISNUMBER(FIND("overige",Methode_Keuze)),"",IF(Tb_Activiteiten[[#This Row],[Niet verrekenbare btw]]=1,Tb_Activiteiten[[#Headers],[Niet verrekenbare btw]],""))</f>
        <v/>
      </c>
      <c r="AU493" t="str">
        <f>IF(ISNUMBER(FIND("overige",Methode_Keuze)),"",IF(Tb_Activiteiten[[#This Row],[Grondkosten]]=1,Tb_Activiteiten[[#Headers],[Grondkosten]],""))</f>
        <v/>
      </c>
      <c r="AV493" t="str">
        <f>IF(ISNUMBER(FIND("overige",Methode_Keuze)),"",IF(Tb_Activiteiten[[#This Row],[Bijdrage in natura (overige)]]=1,Tb_Activiteiten[[#Headers],[Bijdrage in natura (overige)]],""))</f>
        <v/>
      </c>
      <c r="AW493" t="str">
        <f>IF(ISNUMBER(FIND("overige",Methode_Keuze)),"",IF(Tb_Activiteiten[[#This Row],[Bijdrage in natura (vrijwilligers)]]=1,Tb_Activiteiten[[#Headers],[Bijdrage in natura (vrijwilligers)]],""))</f>
        <v/>
      </c>
      <c r="AX493" t="str">
        <f>IF(ISNUMBER(FIND("overige",Methode_Keuze)),"",IF(Tb_Activiteiten[[#This Row],[Afschrijvingskosten]]=1,Tb_Activiteiten[[#Headers],[Afschrijvingskosten]],""))</f>
        <v/>
      </c>
      <c r="AY493" t="str">
        <f>IF(ISNUMBER(FIND("overige",Methode_Keuze)),"",IF(Tb_Activiteiten[[#This Row],[Vergoeding]]=1,Tb_Activiteiten[[#Headers],[Vergoeding]],""))</f>
        <v/>
      </c>
      <c r="AZ493" t="str">
        <f>IF(ISNUMBER(FIND("arbeid",Methode_Keuze)),"",IF(Tb_Activiteiten[[#This Row],[Arbeidskosten - vast tarief (excl eigen arbeid)]]=1,Tb_Activiteiten[[#Headers],[Arbeidskosten - vast tarief (excl eigen arbeid)]],""))</f>
        <v/>
      </c>
      <c r="BA493" t="str">
        <f>IF(ISNUMBER(FIND("overige",Methode_Keuze)),"",IF(Tb_Activiteiten[[#This Row],[Overige kosten]]=1,Tb_Activiteiten[[#Headers],[Overige kosten]],""))</f>
        <v/>
      </c>
    </row>
    <row r="494" spans="1:53" x14ac:dyDescent="0.25">
      <c r="A494" s="231"/>
      <c r="F494" s="64"/>
      <c r="G494" s="64"/>
      <c r="H494" s="275"/>
      <c r="I494" s="275"/>
      <c r="J494" s="275"/>
      <c r="K494" s="275"/>
      <c r="O494" s="56"/>
      <c r="Q494" t="str">
        <f>IFERROR(IF(VLOOKUP(Tb_Activiteiten[[#This Row],[Openstelling]],Tb_Openstelling[],2,0)=1,1,""),"")</f>
        <v/>
      </c>
      <c r="AK494" t="str">
        <f>IF(ISNUMBER(FIND("arbeid",Methode_Keuze)),"",IF(ISNUMBER(FIND("arbeid",Methode_Keuze)),"",IF(Tb_Activiteiten[[#This Row],[Loonkosten]]=1,Tb_Activiteiten[[#Headers],[Loonkosten]],"")))</f>
        <v/>
      </c>
      <c r="AL494" t="str">
        <f>IF(ISNUMBER(FIND("arbeid",Methode_Keuze)),"",IF(ISNUMBER(FIND("arbeid",Methode_Keuze)),"",IF(Tb_Activiteiten[[#This Row],[Eigen arbeid]]=1,Tb_Activiteiten[[#Headers],[Eigen arbeid]],"")))</f>
        <v/>
      </c>
      <c r="AM494" t="str">
        <f>IF(ISNUMBER(FIND("arbeid",Methode_Keuze)),"",IF(ISNUMBER(FIND("arbeid",Methode_Keuze)),"",IF(Tb_Activiteiten[[#This Row],[Projectmedewerker]]=1,Tb_Activiteiten[[#Headers],[Projectmedewerker]],"")))</f>
        <v/>
      </c>
      <c r="AN494" t="str">
        <f>IF(ISNUMBER(FIND("arbeid",Methode_Keuze)),"",IF(ISNUMBER(FIND("arbeid",Methode_Keuze)),"",IF(Tb_Activiteiten[[#This Row],[Landbouwer]]=1,Tb_Activiteiten[[#Headers],[Landbouwer]],"")))</f>
        <v/>
      </c>
      <c r="AO494" t="str">
        <f>IF(ISNUMBER(FIND("arbeid",Methode_Keuze)),"",IF(ISNUMBER(FIND("arbeid",Methode_Keuze)),"",IF(Tb_Activiteiten[[#This Row],[Adviseur]]=1,Tb_Activiteiten[[#Headers],[Adviseur]],"")))</f>
        <v/>
      </c>
      <c r="AP494" t="str">
        <f>IF(ISNUMBER(FIND("arbeid",Methode_Keuze)),"",IF(ISNUMBER(FIND("arbeid",Methode_Keuze)),"",IF(Tb_Activiteiten[[#This Row],[Projectleider/Expert]]=1,Tb_Activiteiten[[#Headers],[Projectleider/Expert]],"")))</f>
        <v/>
      </c>
      <c r="AQ494" t="str">
        <f>IF(ISNUMBER(FIND("arbeid",Methode_Keuze)),"",IF(ISNUMBER(FIND("arbeid",Methode_Keuze)),"",IF(Tb_Activiteiten[[#This Row],[Arbeidskosten]]=1,Tb_Activiteiten[[#Headers],[Arbeidskosten]],"")))</f>
        <v/>
      </c>
      <c r="AR494" t="str">
        <f>IF(ISNUMBER(FIND("arbeid",Methode_Keuze)),"",IF(ISNUMBER(FIND("arbeid",Methode_Keuze)),"",IF(Tb_Activiteiten[[#This Row],[Arbeidskosten op basis van IKS]]=1,Tb_Activiteiten[[#Headers],[Arbeidskosten op basis van IKS]],"")))</f>
        <v/>
      </c>
      <c r="AS494" t="str">
        <f>IF(ISNUMBER(FIND("overige",Methode_Keuze)),"",IF(Tb_Activiteiten[[#This Row],[Kosten derden exclusief btw]]=1,Tb_Activiteiten[[#Headers],[Kosten derden exclusief btw]],""))</f>
        <v/>
      </c>
      <c r="AT494" t="str">
        <f>IF(ISNUMBER(FIND("overige",Methode_Keuze)),"",IF(Tb_Activiteiten[[#This Row],[Niet verrekenbare btw]]=1,Tb_Activiteiten[[#Headers],[Niet verrekenbare btw]],""))</f>
        <v/>
      </c>
      <c r="AU494" t="str">
        <f>IF(ISNUMBER(FIND("overige",Methode_Keuze)),"",IF(Tb_Activiteiten[[#This Row],[Grondkosten]]=1,Tb_Activiteiten[[#Headers],[Grondkosten]],""))</f>
        <v/>
      </c>
      <c r="AV494" t="str">
        <f>IF(ISNUMBER(FIND("overige",Methode_Keuze)),"",IF(Tb_Activiteiten[[#This Row],[Bijdrage in natura (overige)]]=1,Tb_Activiteiten[[#Headers],[Bijdrage in natura (overige)]],""))</f>
        <v/>
      </c>
      <c r="AW494" t="str">
        <f>IF(ISNUMBER(FIND("overige",Methode_Keuze)),"",IF(Tb_Activiteiten[[#This Row],[Bijdrage in natura (vrijwilligers)]]=1,Tb_Activiteiten[[#Headers],[Bijdrage in natura (vrijwilligers)]],""))</f>
        <v/>
      </c>
      <c r="AX494" t="str">
        <f>IF(ISNUMBER(FIND("overige",Methode_Keuze)),"",IF(Tb_Activiteiten[[#This Row],[Afschrijvingskosten]]=1,Tb_Activiteiten[[#Headers],[Afschrijvingskosten]],""))</f>
        <v/>
      </c>
      <c r="AY494" t="str">
        <f>IF(ISNUMBER(FIND("overige",Methode_Keuze)),"",IF(Tb_Activiteiten[[#This Row],[Vergoeding]]=1,Tb_Activiteiten[[#Headers],[Vergoeding]],""))</f>
        <v/>
      </c>
      <c r="AZ494" t="str">
        <f>IF(ISNUMBER(FIND("arbeid",Methode_Keuze)),"",IF(Tb_Activiteiten[[#This Row],[Arbeidskosten - vast tarief (excl eigen arbeid)]]=1,Tb_Activiteiten[[#Headers],[Arbeidskosten - vast tarief (excl eigen arbeid)]],""))</f>
        <v/>
      </c>
      <c r="BA494" t="str">
        <f>IF(ISNUMBER(FIND("overige",Methode_Keuze)),"",IF(Tb_Activiteiten[[#This Row],[Overige kosten]]=1,Tb_Activiteiten[[#Headers],[Overige kosten]],""))</f>
        <v/>
      </c>
    </row>
    <row r="495" spans="1:53" x14ac:dyDescent="0.25">
      <c r="A495" s="231"/>
      <c r="F495" s="64"/>
      <c r="G495" s="64"/>
      <c r="H495" s="275"/>
      <c r="I495" s="275"/>
      <c r="J495" s="275"/>
      <c r="K495" s="275"/>
      <c r="O495" s="56"/>
      <c r="Q495" t="str">
        <f>IFERROR(IF(VLOOKUP(Tb_Activiteiten[[#This Row],[Openstelling]],Tb_Openstelling[],2,0)=1,1,""),"")</f>
        <v/>
      </c>
      <c r="AK495" t="str">
        <f>IF(ISNUMBER(FIND("arbeid",Methode_Keuze)),"",IF(ISNUMBER(FIND("arbeid",Methode_Keuze)),"",IF(Tb_Activiteiten[[#This Row],[Loonkosten]]=1,Tb_Activiteiten[[#Headers],[Loonkosten]],"")))</f>
        <v/>
      </c>
      <c r="AL495" t="str">
        <f>IF(ISNUMBER(FIND("arbeid",Methode_Keuze)),"",IF(ISNUMBER(FIND("arbeid",Methode_Keuze)),"",IF(Tb_Activiteiten[[#This Row],[Eigen arbeid]]=1,Tb_Activiteiten[[#Headers],[Eigen arbeid]],"")))</f>
        <v/>
      </c>
      <c r="AM495" t="str">
        <f>IF(ISNUMBER(FIND("arbeid",Methode_Keuze)),"",IF(ISNUMBER(FIND("arbeid",Methode_Keuze)),"",IF(Tb_Activiteiten[[#This Row],[Projectmedewerker]]=1,Tb_Activiteiten[[#Headers],[Projectmedewerker]],"")))</f>
        <v/>
      </c>
      <c r="AN495" t="str">
        <f>IF(ISNUMBER(FIND("arbeid",Methode_Keuze)),"",IF(ISNUMBER(FIND("arbeid",Methode_Keuze)),"",IF(Tb_Activiteiten[[#This Row],[Landbouwer]]=1,Tb_Activiteiten[[#Headers],[Landbouwer]],"")))</f>
        <v/>
      </c>
      <c r="AO495" t="str">
        <f>IF(ISNUMBER(FIND("arbeid",Methode_Keuze)),"",IF(ISNUMBER(FIND("arbeid",Methode_Keuze)),"",IF(Tb_Activiteiten[[#This Row],[Adviseur]]=1,Tb_Activiteiten[[#Headers],[Adviseur]],"")))</f>
        <v/>
      </c>
      <c r="AP495" t="str">
        <f>IF(ISNUMBER(FIND("arbeid",Methode_Keuze)),"",IF(ISNUMBER(FIND("arbeid",Methode_Keuze)),"",IF(Tb_Activiteiten[[#This Row],[Projectleider/Expert]]=1,Tb_Activiteiten[[#Headers],[Projectleider/Expert]],"")))</f>
        <v/>
      </c>
      <c r="AQ495" t="str">
        <f>IF(ISNUMBER(FIND("arbeid",Methode_Keuze)),"",IF(ISNUMBER(FIND("arbeid",Methode_Keuze)),"",IF(Tb_Activiteiten[[#This Row],[Arbeidskosten]]=1,Tb_Activiteiten[[#Headers],[Arbeidskosten]],"")))</f>
        <v/>
      </c>
      <c r="AR495" t="str">
        <f>IF(ISNUMBER(FIND("arbeid",Methode_Keuze)),"",IF(ISNUMBER(FIND("arbeid",Methode_Keuze)),"",IF(Tb_Activiteiten[[#This Row],[Arbeidskosten op basis van IKS]]=1,Tb_Activiteiten[[#Headers],[Arbeidskosten op basis van IKS]],"")))</f>
        <v/>
      </c>
      <c r="AS495" t="str">
        <f>IF(ISNUMBER(FIND("overige",Methode_Keuze)),"",IF(Tb_Activiteiten[[#This Row],[Kosten derden exclusief btw]]=1,Tb_Activiteiten[[#Headers],[Kosten derden exclusief btw]],""))</f>
        <v/>
      </c>
      <c r="AT495" t="str">
        <f>IF(ISNUMBER(FIND("overige",Methode_Keuze)),"",IF(Tb_Activiteiten[[#This Row],[Niet verrekenbare btw]]=1,Tb_Activiteiten[[#Headers],[Niet verrekenbare btw]],""))</f>
        <v/>
      </c>
      <c r="AU495" t="str">
        <f>IF(ISNUMBER(FIND("overige",Methode_Keuze)),"",IF(Tb_Activiteiten[[#This Row],[Grondkosten]]=1,Tb_Activiteiten[[#Headers],[Grondkosten]],""))</f>
        <v/>
      </c>
      <c r="AV495" t="str">
        <f>IF(ISNUMBER(FIND("overige",Methode_Keuze)),"",IF(Tb_Activiteiten[[#This Row],[Bijdrage in natura (overige)]]=1,Tb_Activiteiten[[#Headers],[Bijdrage in natura (overige)]],""))</f>
        <v/>
      </c>
      <c r="AW495" t="str">
        <f>IF(ISNUMBER(FIND("overige",Methode_Keuze)),"",IF(Tb_Activiteiten[[#This Row],[Bijdrage in natura (vrijwilligers)]]=1,Tb_Activiteiten[[#Headers],[Bijdrage in natura (vrijwilligers)]],""))</f>
        <v/>
      </c>
      <c r="AX495" t="str">
        <f>IF(ISNUMBER(FIND("overige",Methode_Keuze)),"",IF(Tb_Activiteiten[[#This Row],[Afschrijvingskosten]]=1,Tb_Activiteiten[[#Headers],[Afschrijvingskosten]],""))</f>
        <v/>
      </c>
      <c r="AY495" t="str">
        <f>IF(ISNUMBER(FIND("overige",Methode_Keuze)),"",IF(Tb_Activiteiten[[#This Row],[Vergoeding]]=1,Tb_Activiteiten[[#Headers],[Vergoeding]],""))</f>
        <v/>
      </c>
      <c r="AZ495" t="str">
        <f>IF(ISNUMBER(FIND("arbeid",Methode_Keuze)),"",IF(Tb_Activiteiten[[#This Row],[Arbeidskosten - vast tarief (excl eigen arbeid)]]=1,Tb_Activiteiten[[#Headers],[Arbeidskosten - vast tarief (excl eigen arbeid)]],""))</f>
        <v/>
      </c>
      <c r="BA495" t="str">
        <f>IF(ISNUMBER(FIND("overige",Methode_Keuze)),"",IF(Tb_Activiteiten[[#This Row],[Overige kosten]]=1,Tb_Activiteiten[[#Headers],[Overige kosten]],""))</f>
        <v/>
      </c>
    </row>
    <row r="496" spans="1:53" x14ac:dyDescent="0.25">
      <c r="A496" s="231"/>
      <c r="F496" s="64"/>
      <c r="G496" s="64"/>
      <c r="H496" s="275"/>
      <c r="I496" s="275"/>
      <c r="J496" s="275"/>
      <c r="K496" s="275"/>
      <c r="O496" s="56"/>
      <c r="Q496" t="str">
        <f>IFERROR(IF(VLOOKUP(Tb_Activiteiten[[#This Row],[Openstelling]],Tb_Openstelling[],2,0)=1,1,""),"")</f>
        <v/>
      </c>
      <c r="AK496" t="str">
        <f>IF(ISNUMBER(FIND("arbeid",Methode_Keuze)),"",IF(ISNUMBER(FIND("arbeid",Methode_Keuze)),"",IF(Tb_Activiteiten[[#This Row],[Loonkosten]]=1,Tb_Activiteiten[[#Headers],[Loonkosten]],"")))</f>
        <v/>
      </c>
      <c r="AL496" t="str">
        <f>IF(ISNUMBER(FIND("arbeid",Methode_Keuze)),"",IF(ISNUMBER(FIND("arbeid",Methode_Keuze)),"",IF(Tb_Activiteiten[[#This Row],[Eigen arbeid]]=1,Tb_Activiteiten[[#Headers],[Eigen arbeid]],"")))</f>
        <v/>
      </c>
      <c r="AM496" t="str">
        <f>IF(ISNUMBER(FIND("arbeid",Methode_Keuze)),"",IF(ISNUMBER(FIND("arbeid",Methode_Keuze)),"",IF(Tb_Activiteiten[[#This Row],[Projectmedewerker]]=1,Tb_Activiteiten[[#Headers],[Projectmedewerker]],"")))</f>
        <v/>
      </c>
      <c r="AN496" t="str">
        <f>IF(ISNUMBER(FIND("arbeid",Methode_Keuze)),"",IF(ISNUMBER(FIND("arbeid",Methode_Keuze)),"",IF(Tb_Activiteiten[[#This Row],[Landbouwer]]=1,Tb_Activiteiten[[#Headers],[Landbouwer]],"")))</f>
        <v/>
      </c>
      <c r="AO496" t="str">
        <f>IF(ISNUMBER(FIND("arbeid",Methode_Keuze)),"",IF(ISNUMBER(FIND("arbeid",Methode_Keuze)),"",IF(Tb_Activiteiten[[#This Row],[Adviseur]]=1,Tb_Activiteiten[[#Headers],[Adviseur]],"")))</f>
        <v/>
      </c>
      <c r="AP496" t="str">
        <f>IF(ISNUMBER(FIND("arbeid",Methode_Keuze)),"",IF(ISNUMBER(FIND("arbeid",Methode_Keuze)),"",IF(Tb_Activiteiten[[#This Row],[Projectleider/Expert]]=1,Tb_Activiteiten[[#Headers],[Projectleider/Expert]],"")))</f>
        <v/>
      </c>
      <c r="AQ496" t="str">
        <f>IF(ISNUMBER(FIND("arbeid",Methode_Keuze)),"",IF(ISNUMBER(FIND("arbeid",Methode_Keuze)),"",IF(Tb_Activiteiten[[#This Row],[Arbeidskosten]]=1,Tb_Activiteiten[[#Headers],[Arbeidskosten]],"")))</f>
        <v/>
      </c>
      <c r="AR496" t="str">
        <f>IF(ISNUMBER(FIND("arbeid",Methode_Keuze)),"",IF(ISNUMBER(FIND("arbeid",Methode_Keuze)),"",IF(Tb_Activiteiten[[#This Row],[Arbeidskosten op basis van IKS]]=1,Tb_Activiteiten[[#Headers],[Arbeidskosten op basis van IKS]],"")))</f>
        <v/>
      </c>
      <c r="AS496" t="str">
        <f>IF(ISNUMBER(FIND("overige",Methode_Keuze)),"",IF(Tb_Activiteiten[[#This Row],[Kosten derden exclusief btw]]=1,Tb_Activiteiten[[#Headers],[Kosten derden exclusief btw]],""))</f>
        <v/>
      </c>
      <c r="AT496" t="str">
        <f>IF(ISNUMBER(FIND("overige",Methode_Keuze)),"",IF(Tb_Activiteiten[[#This Row],[Niet verrekenbare btw]]=1,Tb_Activiteiten[[#Headers],[Niet verrekenbare btw]],""))</f>
        <v/>
      </c>
      <c r="AU496" t="str">
        <f>IF(ISNUMBER(FIND("overige",Methode_Keuze)),"",IF(Tb_Activiteiten[[#This Row],[Grondkosten]]=1,Tb_Activiteiten[[#Headers],[Grondkosten]],""))</f>
        <v/>
      </c>
      <c r="AV496" t="str">
        <f>IF(ISNUMBER(FIND("overige",Methode_Keuze)),"",IF(Tb_Activiteiten[[#This Row],[Bijdrage in natura (overige)]]=1,Tb_Activiteiten[[#Headers],[Bijdrage in natura (overige)]],""))</f>
        <v/>
      </c>
      <c r="AW496" t="str">
        <f>IF(ISNUMBER(FIND("overige",Methode_Keuze)),"",IF(Tb_Activiteiten[[#This Row],[Bijdrage in natura (vrijwilligers)]]=1,Tb_Activiteiten[[#Headers],[Bijdrage in natura (vrijwilligers)]],""))</f>
        <v/>
      </c>
      <c r="AX496" t="str">
        <f>IF(ISNUMBER(FIND("overige",Methode_Keuze)),"",IF(Tb_Activiteiten[[#This Row],[Afschrijvingskosten]]=1,Tb_Activiteiten[[#Headers],[Afschrijvingskosten]],""))</f>
        <v/>
      </c>
      <c r="AY496" t="str">
        <f>IF(ISNUMBER(FIND("overige",Methode_Keuze)),"",IF(Tb_Activiteiten[[#This Row],[Vergoeding]]=1,Tb_Activiteiten[[#Headers],[Vergoeding]],""))</f>
        <v/>
      </c>
      <c r="AZ496" t="str">
        <f>IF(ISNUMBER(FIND("arbeid",Methode_Keuze)),"",IF(Tb_Activiteiten[[#This Row],[Arbeidskosten - vast tarief (excl eigen arbeid)]]=1,Tb_Activiteiten[[#Headers],[Arbeidskosten - vast tarief (excl eigen arbeid)]],""))</f>
        <v/>
      </c>
      <c r="BA496" t="str">
        <f>IF(ISNUMBER(FIND("overige",Methode_Keuze)),"",IF(Tb_Activiteiten[[#This Row],[Overige kosten]]=1,Tb_Activiteiten[[#Headers],[Overige kosten]],""))</f>
        <v/>
      </c>
    </row>
    <row r="497" spans="1:53" x14ac:dyDescent="0.25">
      <c r="A497" s="231"/>
      <c r="F497" s="64"/>
      <c r="G497" s="64"/>
      <c r="H497" s="275"/>
      <c r="I497" s="275"/>
      <c r="J497" s="275"/>
      <c r="K497" s="275"/>
      <c r="O497" s="56"/>
      <c r="Q497" t="str">
        <f>IFERROR(IF(VLOOKUP(Tb_Activiteiten[[#This Row],[Openstelling]],Tb_Openstelling[],2,0)=1,1,""),"")</f>
        <v/>
      </c>
      <c r="AK497" t="str">
        <f>IF(ISNUMBER(FIND("arbeid",Methode_Keuze)),"",IF(ISNUMBER(FIND("arbeid",Methode_Keuze)),"",IF(Tb_Activiteiten[[#This Row],[Loonkosten]]=1,Tb_Activiteiten[[#Headers],[Loonkosten]],"")))</f>
        <v/>
      </c>
      <c r="AL497" t="str">
        <f>IF(ISNUMBER(FIND("arbeid",Methode_Keuze)),"",IF(ISNUMBER(FIND("arbeid",Methode_Keuze)),"",IF(Tb_Activiteiten[[#This Row],[Eigen arbeid]]=1,Tb_Activiteiten[[#Headers],[Eigen arbeid]],"")))</f>
        <v/>
      </c>
      <c r="AM497" t="str">
        <f>IF(ISNUMBER(FIND("arbeid",Methode_Keuze)),"",IF(ISNUMBER(FIND("arbeid",Methode_Keuze)),"",IF(Tb_Activiteiten[[#This Row],[Projectmedewerker]]=1,Tb_Activiteiten[[#Headers],[Projectmedewerker]],"")))</f>
        <v/>
      </c>
      <c r="AN497" t="str">
        <f>IF(ISNUMBER(FIND("arbeid",Methode_Keuze)),"",IF(ISNUMBER(FIND("arbeid",Methode_Keuze)),"",IF(Tb_Activiteiten[[#This Row],[Landbouwer]]=1,Tb_Activiteiten[[#Headers],[Landbouwer]],"")))</f>
        <v/>
      </c>
      <c r="AO497" t="str">
        <f>IF(ISNUMBER(FIND("arbeid",Methode_Keuze)),"",IF(ISNUMBER(FIND("arbeid",Methode_Keuze)),"",IF(Tb_Activiteiten[[#This Row],[Adviseur]]=1,Tb_Activiteiten[[#Headers],[Adviseur]],"")))</f>
        <v/>
      </c>
      <c r="AP497" t="str">
        <f>IF(ISNUMBER(FIND("arbeid",Methode_Keuze)),"",IF(ISNUMBER(FIND("arbeid",Methode_Keuze)),"",IF(Tb_Activiteiten[[#This Row],[Projectleider/Expert]]=1,Tb_Activiteiten[[#Headers],[Projectleider/Expert]],"")))</f>
        <v/>
      </c>
      <c r="AQ497" t="str">
        <f>IF(ISNUMBER(FIND("arbeid",Methode_Keuze)),"",IF(ISNUMBER(FIND("arbeid",Methode_Keuze)),"",IF(Tb_Activiteiten[[#This Row],[Arbeidskosten]]=1,Tb_Activiteiten[[#Headers],[Arbeidskosten]],"")))</f>
        <v/>
      </c>
      <c r="AR497" t="str">
        <f>IF(ISNUMBER(FIND("arbeid",Methode_Keuze)),"",IF(ISNUMBER(FIND("arbeid",Methode_Keuze)),"",IF(Tb_Activiteiten[[#This Row],[Arbeidskosten op basis van IKS]]=1,Tb_Activiteiten[[#Headers],[Arbeidskosten op basis van IKS]],"")))</f>
        <v/>
      </c>
      <c r="AS497" t="str">
        <f>IF(ISNUMBER(FIND("overige",Methode_Keuze)),"",IF(Tb_Activiteiten[[#This Row],[Kosten derden exclusief btw]]=1,Tb_Activiteiten[[#Headers],[Kosten derden exclusief btw]],""))</f>
        <v/>
      </c>
      <c r="AT497" t="str">
        <f>IF(ISNUMBER(FIND("overige",Methode_Keuze)),"",IF(Tb_Activiteiten[[#This Row],[Niet verrekenbare btw]]=1,Tb_Activiteiten[[#Headers],[Niet verrekenbare btw]],""))</f>
        <v/>
      </c>
      <c r="AU497" t="str">
        <f>IF(ISNUMBER(FIND("overige",Methode_Keuze)),"",IF(Tb_Activiteiten[[#This Row],[Grondkosten]]=1,Tb_Activiteiten[[#Headers],[Grondkosten]],""))</f>
        <v/>
      </c>
      <c r="AV497" t="str">
        <f>IF(ISNUMBER(FIND("overige",Methode_Keuze)),"",IF(Tb_Activiteiten[[#This Row],[Bijdrage in natura (overige)]]=1,Tb_Activiteiten[[#Headers],[Bijdrage in natura (overige)]],""))</f>
        <v/>
      </c>
      <c r="AW497" t="str">
        <f>IF(ISNUMBER(FIND("overige",Methode_Keuze)),"",IF(Tb_Activiteiten[[#This Row],[Bijdrage in natura (vrijwilligers)]]=1,Tb_Activiteiten[[#Headers],[Bijdrage in natura (vrijwilligers)]],""))</f>
        <v/>
      </c>
      <c r="AX497" t="str">
        <f>IF(ISNUMBER(FIND("overige",Methode_Keuze)),"",IF(Tb_Activiteiten[[#This Row],[Afschrijvingskosten]]=1,Tb_Activiteiten[[#Headers],[Afschrijvingskosten]],""))</f>
        <v/>
      </c>
      <c r="AY497" t="str">
        <f>IF(ISNUMBER(FIND("overige",Methode_Keuze)),"",IF(Tb_Activiteiten[[#This Row],[Vergoeding]]=1,Tb_Activiteiten[[#Headers],[Vergoeding]],""))</f>
        <v/>
      </c>
      <c r="AZ497" t="str">
        <f>IF(ISNUMBER(FIND("arbeid",Methode_Keuze)),"",IF(Tb_Activiteiten[[#This Row],[Arbeidskosten - vast tarief (excl eigen arbeid)]]=1,Tb_Activiteiten[[#Headers],[Arbeidskosten - vast tarief (excl eigen arbeid)]],""))</f>
        <v/>
      </c>
      <c r="BA497" t="str">
        <f>IF(ISNUMBER(FIND("overige",Methode_Keuze)),"",IF(Tb_Activiteiten[[#This Row],[Overige kosten]]=1,Tb_Activiteiten[[#Headers],[Overige kosten]],""))</f>
        <v/>
      </c>
    </row>
    <row r="498" spans="1:53" x14ac:dyDescent="0.25">
      <c r="A498" s="231"/>
      <c r="F498" s="64"/>
      <c r="G498" s="64"/>
      <c r="H498" s="275"/>
      <c r="I498" s="275"/>
      <c r="J498" s="275"/>
      <c r="K498" s="275"/>
      <c r="O498" s="56"/>
      <c r="Q498" t="str">
        <f>IFERROR(IF(VLOOKUP(Tb_Activiteiten[[#This Row],[Openstelling]],Tb_Openstelling[],2,0)=1,1,""),"")</f>
        <v/>
      </c>
      <c r="AK498" t="str">
        <f>IF(ISNUMBER(FIND("arbeid",Methode_Keuze)),"",IF(ISNUMBER(FIND("arbeid",Methode_Keuze)),"",IF(Tb_Activiteiten[[#This Row],[Loonkosten]]=1,Tb_Activiteiten[[#Headers],[Loonkosten]],"")))</f>
        <v/>
      </c>
      <c r="AL498" t="str">
        <f>IF(ISNUMBER(FIND("arbeid",Methode_Keuze)),"",IF(ISNUMBER(FIND("arbeid",Methode_Keuze)),"",IF(Tb_Activiteiten[[#This Row],[Eigen arbeid]]=1,Tb_Activiteiten[[#Headers],[Eigen arbeid]],"")))</f>
        <v/>
      </c>
      <c r="AM498" t="str">
        <f>IF(ISNUMBER(FIND("arbeid",Methode_Keuze)),"",IF(ISNUMBER(FIND("arbeid",Methode_Keuze)),"",IF(Tb_Activiteiten[[#This Row],[Projectmedewerker]]=1,Tb_Activiteiten[[#Headers],[Projectmedewerker]],"")))</f>
        <v/>
      </c>
      <c r="AN498" t="str">
        <f>IF(ISNUMBER(FIND("arbeid",Methode_Keuze)),"",IF(ISNUMBER(FIND("arbeid",Methode_Keuze)),"",IF(Tb_Activiteiten[[#This Row],[Landbouwer]]=1,Tb_Activiteiten[[#Headers],[Landbouwer]],"")))</f>
        <v/>
      </c>
      <c r="AO498" t="str">
        <f>IF(ISNUMBER(FIND("arbeid",Methode_Keuze)),"",IF(ISNUMBER(FIND("arbeid",Methode_Keuze)),"",IF(Tb_Activiteiten[[#This Row],[Adviseur]]=1,Tb_Activiteiten[[#Headers],[Adviseur]],"")))</f>
        <v/>
      </c>
      <c r="AP498" t="str">
        <f>IF(ISNUMBER(FIND("arbeid",Methode_Keuze)),"",IF(ISNUMBER(FIND("arbeid",Methode_Keuze)),"",IF(Tb_Activiteiten[[#This Row],[Projectleider/Expert]]=1,Tb_Activiteiten[[#Headers],[Projectleider/Expert]],"")))</f>
        <v/>
      </c>
      <c r="AQ498" t="str">
        <f>IF(ISNUMBER(FIND("arbeid",Methode_Keuze)),"",IF(ISNUMBER(FIND("arbeid",Methode_Keuze)),"",IF(Tb_Activiteiten[[#This Row],[Arbeidskosten]]=1,Tb_Activiteiten[[#Headers],[Arbeidskosten]],"")))</f>
        <v/>
      </c>
      <c r="AR498" t="str">
        <f>IF(ISNUMBER(FIND("arbeid",Methode_Keuze)),"",IF(ISNUMBER(FIND("arbeid",Methode_Keuze)),"",IF(Tb_Activiteiten[[#This Row],[Arbeidskosten op basis van IKS]]=1,Tb_Activiteiten[[#Headers],[Arbeidskosten op basis van IKS]],"")))</f>
        <v/>
      </c>
      <c r="AS498" t="str">
        <f>IF(ISNUMBER(FIND("overige",Methode_Keuze)),"",IF(Tb_Activiteiten[[#This Row],[Kosten derden exclusief btw]]=1,Tb_Activiteiten[[#Headers],[Kosten derden exclusief btw]],""))</f>
        <v/>
      </c>
      <c r="AT498" t="str">
        <f>IF(ISNUMBER(FIND("overige",Methode_Keuze)),"",IF(Tb_Activiteiten[[#This Row],[Niet verrekenbare btw]]=1,Tb_Activiteiten[[#Headers],[Niet verrekenbare btw]],""))</f>
        <v/>
      </c>
      <c r="AU498" t="str">
        <f>IF(ISNUMBER(FIND("overige",Methode_Keuze)),"",IF(Tb_Activiteiten[[#This Row],[Grondkosten]]=1,Tb_Activiteiten[[#Headers],[Grondkosten]],""))</f>
        <v/>
      </c>
      <c r="AV498" t="str">
        <f>IF(ISNUMBER(FIND("overige",Methode_Keuze)),"",IF(Tb_Activiteiten[[#This Row],[Bijdrage in natura (overige)]]=1,Tb_Activiteiten[[#Headers],[Bijdrage in natura (overige)]],""))</f>
        <v/>
      </c>
      <c r="AW498" t="str">
        <f>IF(ISNUMBER(FIND("overige",Methode_Keuze)),"",IF(Tb_Activiteiten[[#This Row],[Bijdrage in natura (vrijwilligers)]]=1,Tb_Activiteiten[[#Headers],[Bijdrage in natura (vrijwilligers)]],""))</f>
        <v/>
      </c>
      <c r="AX498" t="str">
        <f>IF(ISNUMBER(FIND("overige",Methode_Keuze)),"",IF(Tb_Activiteiten[[#This Row],[Afschrijvingskosten]]=1,Tb_Activiteiten[[#Headers],[Afschrijvingskosten]],""))</f>
        <v/>
      </c>
      <c r="AY498" t="str">
        <f>IF(ISNUMBER(FIND("overige",Methode_Keuze)),"",IF(Tb_Activiteiten[[#This Row],[Vergoeding]]=1,Tb_Activiteiten[[#Headers],[Vergoeding]],""))</f>
        <v/>
      </c>
      <c r="AZ498" t="str">
        <f>IF(ISNUMBER(FIND("arbeid",Methode_Keuze)),"",IF(Tb_Activiteiten[[#This Row],[Arbeidskosten - vast tarief (excl eigen arbeid)]]=1,Tb_Activiteiten[[#Headers],[Arbeidskosten - vast tarief (excl eigen arbeid)]],""))</f>
        <v/>
      </c>
      <c r="BA498" t="str">
        <f>IF(ISNUMBER(FIND("overige",Methode_Keuze)),"",IF(Tb_Activiteiten[[#This Row],[Overige kosten]]=1,Tb_Activiteiten[[#Headers],[Overige kosten]],""))</f>
        <v/>
      </c>
    </row>
    <row r="499" spans="1:53" x14ac:dyDescent="0.25">
      <c r="A499" s="231"/>
      <c r="F499" s="64"/>
      <c r="G499" s="64"/>
      <c r="H499" s="275"/>
      <c r="I499" s="275"/>
      <c r="J499" s="275"/>
      <c r="K499" s="275"/>
      <c r="O499" s="56"/>
      <c r="Q499" t="str">
        <f>IFERROR(IF(VLOOKUP(Tb_Activiteiten[[#This Row],[Openstelling]],Tb_Openstelling[],2,0)=1,1,""),"")</f>
        <v/>
      </c>
      <c r="AK499" t="str">
        <f>IF(ISNUMBER(FIND("arbeid",Methode_Keuze)),"",IF(ISNUMBER(FIND("arbeid",Methode_Keuze)),"",IF(Tb_Activiteiten[[#This Row],[Loonkosten]]=1,Tb_Activiteiten[[#Headers],[Loonkosten]],"")))</f>
        <v/>
      </c>
      <c r="AL499" t="str">
        <f>IF(ISNUMBER(FIND("arbeid",Methode_Keuze)),"",IF(ISNUMBER(FIND("arbeid",Methode_Keuze)),"",IF(Tb_Activiteiten[[#This Row],[Eigen arbeid]]=1,Tb_Activiteiten[[#Headers],[Eigen arbeid]],"")))</f>
        <v/>
      </c>
      <c r="AM499" t="str">
        <f>IF(ISNUMBER(FIND("arbeid",Methode_Keuze)),"",IF(ISNUMBER(FIND("arbeid",Methode_Keuze)),"",IF(Tb_Activiteiten[[#This Row],[Projectmedewerker]]=1,Tb_Activiteiten[[#Headers],[Projectmedewerker]],"")))</f>
        <v/>
      </c>
      <c r="AN499" t="str">
        <f>IF(ISNUMBER(FIND("arbeid",Methode_Keuze)),"",IF(ISNUMBER(FIND("arbeid",Methode_Keuze)),"",IF(Tb_Activiteiten[[#This Row],[Landbouwer]]=1,Tb_Activiteiten[[#Headers],[Landbouwer]],"")))</f>
        <v/>
      </c>
      <c r="AO499" t="str">
        <f>IF(ISNUMBER(FIND("arbeid",Methode_Keuze)),"",IF(ISNUMBER(FIND("arbeid",Methode_Keuze)),"",IF(Tb_Activiteiten[[#This Row],[Adviseur]]=1,Tb_Activiteiten[[#Headers],[Adviseur]],"")))</f>
        <v/>
      </c>
      <c r="AP499" t="str">
        <f>IF(ISNUMBER(FIND("arbeid",Methode_Keuze)),"",IF(ISNUMBER(FIND("arbeid",Methode_Keuze)),"",IF(Tb_Activiteiten[[#This Row],[Projectleider/Expert]]=1,Tb_Activiteiten[[#Headers],[Projectleider/Expert]],"")))</f>
        <v/>
      </c>
      <c r="AQ499" t="str">
        <f>IF(ISNUMBER(FIND("arbeid",Methode_Keuze)),"",IF(ISNUMBER(FIND("arbeid",Methode_Keuze)),"",IF(Tb_Activiteiten[[#This Row],[Arbeidskosten]]=1,Tb_Activiteiten[[#Headers],[Arbeidskosten]],"")))</f>
        <v/>
      </c>
      <c r="AR499" t="str">
        <f>IF(ISNUMBER(FIND("arbeid",Methode_Keuze)),"",IF(ISNUMBER(FIND("arbeid",Methode_Keuze)),"",IF(Tb_Activiteiten[[#This Row],[Arbeidskosten op basis van IKS]]=1,Tb_Activiteiten[[#Headers],[Arbeidskosten op basis van IKS]],"")))</f>
        <v/>
      </c>
      <c r="AS499" t="str">
        <f>IF(ISNUMBER(FIND("overige",Methode_Keuze)),"",IF(Tb_Activiteiten[[#This Row],[Kosten derden exclusief btw]]=1,Tb_Activiteiten[[#Headers],[Kosten derden exclusief btw]],""))</f>
        <v/>
      </c>
      <c r="AT499" t="str">
        <f>IF(ISNUMBER(FIND("overige",Methode_Keuze)),"",IF(Tb_Activiteiten[[#This Row],[Niet verrekenbare btw]]=1,Tb_Activiteiten[[#Headers],[Niet verrekenbare btw]],""))</f>
        <v/>
      </c>
      <c r="AU499" t="str">
        <f>IF(ISNUMBER(FIND("overige",Methode_Keuze)),"",IF(Tb_Activiteiten[[#This Row],[Grondkosten]]=1,Tb_Activiteiten[[#Headers],[Grondkosten]],""))</f>
        <v/>
      </c>
      <c r="AV499" t="str">
        <f>IF(ISNUMBER(FIND("overige",Methode_Keuze)),"",IF(Tb_Activiteiten[[#This Row],[Bijdrage in natura (overige)]]=1,Tb_Activiteiten[[#Headers],[Bijdrage in natura (overige)]],""))</f>
        <v/>
      </c>
      <c r="AW499" t="str">
        <f>IF(ISNUMBER(FIND("overige",Methode_Keuze)),"",IF(Tb_Activiteiten[[#This Row],[Bijdrage in natura (vrijwilligers)]]=1,Tb_Activiteiten[[#Headers],[Bijdrage in natura (vrijwilligers)]],""))</f>
        <v/>
      </c>
      <c r="AX499" t="str">
        <f>IF(ISNUMBER(FIND("overige",Methode_Keuze)),"",IF(Tb_Activiteiten[[#This Row],[Afschrijvingskosten]]=1,Tb_Activiteiten[[#Headers],[Afschrijvingskosten]],""))</f>
        <v/>
      </c>
      <c r="AY499" t="str">
        <f>IF(ISNUMBER(FIND("overige",Methode_Keuze)),"",IF(Tb_Activiteiten[[#This Row],[Vergoeding]]=1,Tb_Activiteiten[[#Headers],[Vergoeding]],""))</f>
        <v/>
      </c>
      <c r="AZ499" t="str">
        <f>IF(ISNUMBER(FIND("arbeid",Methode_Keuze)),"",IF(Tb_Activiteiten[[#This Row],[Arbeidskosten - vast tarief (excl eigen arbeid)]]=1,Tb_Activiteiten[[#Headers],[Arbeidskosten - vast tarief (excl eigen arbeid)]],""))</f>
        <v/>
      </c>
      <c r="BA499" t="str">
        <f>IF(ISNUMBER(FIND("overige",Methode_Keuze)),"",IF(Tb_Activiteiten[[#This Row],[Overige kosten]]=1,Tb_Activiteiten[[#Headers],[Overige kosten]],""))</f>
        <v/>
      </c>
    </row>
    <row r="500" spans="1:53" x14ac:dyDescent="0.25">
      <c r="A500" s="231"/>
      <c r="F500" s="64"/>
      <c r="G500" s="64"/>
      <c r="H500" s="275"/>
      <c r="I500" s="275"/>
      <c r="J500" s="275"/>
      <c r="K500" s="275"/>
      <c r="O500" s="56"/>
      <c r="Q500" t="str">
        <f>IFERROR(IF(VLOOKUP(Tb_Activiteiten[[#This Row],[Openstelling]],Tb_Openstelling[],2,0)=1,1,""),"")</f>
        <v/>
      </c>
      <c r="AK500" t="str">
        <f>IF(ISNUMBER(FIND("arbeid",Methode_Keuze)),"",IF(ISNUMBER(FIND("arbeid",Methode_Keuze)),"",IF(Tb_Activiteiten[[#This Row],[Loonkosten]]=1,Tb_Activiteiten[[#Headers],[Loonkosten]],"")))</f>
        <v/>
      </c>
      <c r="AL500" t="str">
        <f>IF(ISNUMBER(FIND("arbeid",Methode_Keuze)),"",IF(ISNUMBER(FIND("arbeid",Methode_Keuze)),"",IF(Tb_Activiteiten[[#This Row],[Eigen arbeid]]=1,Tb_Activiteiten[[#Headers],[Eigen arbeid]],"")))</f>
        <v/>
      </c>
      <c r="AM500" t="str">
        <f>IF(ISNUMBER(FIND("arbeid",Methode_Keuze)),"",IF(ISNUMBER(FIND("arbeid",Methode_Keuze)),"",IF(Tb_Activiteiten[[#This Row],[Projectmedewerker]]=1,Tb_Activiteiten[[#Headers],[Projectmedewerker]],"")))</f>
        <v/>
      </c>
      <c r="AN500" t="str">
        <f>IF(ISNUMBER(FIND("arbeid",Methode_Keuze)),"",IF(ISNUMBER(FIND("arbeid",Methode_Keuze)),"",IF(Tb_Activiteiten[[#This Row],[Landbouwer]]=1,Tb_Activiteiten[[#Headers],[Landbouwer]],"")))</f>
        <v/>
      </c>
      <c r="AO500" t="str">
        <f>IF(ISNUMBER(FIND("arbeid",Methode_Keuze)),"",IF(ISNUMBER(FIND("arbeid",Methode_Keuze)),"",IF(Tb_Activiteiten[[#This Row],[Adviseur]]=1,Tb_Activiteiten[[#Headers],[Adviseur]],"")))</f>
        <v/>
      </c>
      <c r="AP500" t="str">
        <f>IF(ISNUMBER(FIND("arbeid",Methode_Keuze)),"",IF(ISNUMBER(FIND("arbeid",Methode_Keuze)),"",IF(Tb_Activiteiten[[#This Row],[Projectleider/Expert]]=1,Tb_Activiteiten[[#Headers],[Projectleider/Expert]],"")))</f>
        <v/>
      </c>
      <c r="AQ500" t="str">
        <f>IF(ISNUMBER(FIND("arbeid",Methode_Keuze)),"",IF(ISNUMBER(FIND("arbeid",Methode_Keuze)),"",IF(Tb_Activiteiten[[#This Row],[Arbeidskosten]]=1,Tb_Activiteiten[[#Headers],[Arbeidskosten]],"")))</f>
        <v/>
      </c>
      <c r="AR500" t="str">
        <f>IF(ISNUMBER(FIND("arbeid",Methode_Keuze)),"",IF(ISNUMBER(FIND("arbeid",Methode_Keuze)),"",IF(Tb_Activiteiten[[#This Row],[Arbeidskosten op basis van IKS]]=1,Tb_Activiteiten[[#Headers],[Arbeidskosten op basis van IKS]],"")))</f>
        <v/>
      </c>
      <c r="AS500" t="str">
        <f>IF(ISNUMBER(FIND("overige",Methode_Keuze)),"",IF(Tb_Activiteiten[[#This Row],[Kosten derden exclusief btw]]=1,Tb_Activiteiten[[#Headers],[Kosten derden exclusief btw]],""))</f>
        <v/>
      </c>
      <c r="AT500" t="str">
        <f>IF(ISNUMBER(FIND("overige",Methode_Keuze)),"",IF(Tb_Activiteiten[[#This Row],[Niet verrekenbare btw]]=1,Tb_Activiteiten[[#Headers],[Niet verrekenbare btw]],""))</f>
        <v/>
      </c>
      <c r="AU500" t="str">
        <f>IF(ISNUMBER(FIND("overige",Methode_Keuze)),"",IF(Tb_Activiteiten[[#This Row],[Grondkosten]]=1,Tb_Activiteiten[[#Headers],[Grondkosten]],""))</f>
        <v/>
      </c>
      <c r="AV500" t="str">
        <f>IF(ISNUMBER(FIND("overige",Methode_Keuze)),"",IF(Tb_Activiteiten[[#This Row],[Bijdrage in natura (overige)]]=1,Tb_Activiteiten[[#Headers],[Bijdrage in natura (overige)]],""))</f>
        <v/>
      </c>
      <c r="AW500" t="str">
        <f>IF(ISNUMBER(FIND("overige",Methode_Keuze)),"",IF(Tb_Activiteiten[[#This Row],[Bijdrage in natura (vrijwilligers)]]=1,Tb_Activiteiten[[#Headers],[Bijdrage in natura (vrijwilligers)]],""))</f>
        <v/>
      </c>
      <c r="AX500" t="str">
        <f>IF(ISNUMBER(FIND("overige",Methode_Keuze)),"",IF(Tb_Activiteiten[[#This Row],[Afschrijvingskosten]]=1,Tb_Activiteiten[[#Headers],[Afschrijvingskosten]],""))</f>
        <v/>
      </c>
      <c r="AY500" t="str">
        <f>IF(ISNUMBER(FIND("overige",Methode_Keuze)),"",IF(Tb_Activiteiten[[#This Row],[Vergoeding]]=1,Tb_Activiteiten[[#Headers],[Vergoeding]],""))</f>
        <v/>
      </c>
      <c r="AZ500" t="str">
        <f>IF(ISNUMBER(FIND("arbeid",Methode_Keuze)),"",IF(Tb_Activiteiten[[#This Row],[Arbeidskosten - vast tarief (excl eigen arbeid)]]=1,Tb_Activiteiten[[#Headers],[Arbeidskosten - vast tarief (excl eigen arbeid)]],""))</f>
        <v/>
      </c>
      <c r="BA500" t="str">
        <f>IF(ISNUMBER(FIND("overige",Methode_Keuze)),"",IF(Tb_Activiteiten[[#This Row],[Overige kosten]]=1,Tb_Activiteiten[[#Headers],[Overige kosten]],""))</f>
        <v/>
      </c>
    </row>
    <row r="501" spans="1:53" x14ac:dyDescent="0.25">
      <c r="A501" s="231"/>
      <c r="F501" s="64"/>
      <c r="G501" s="64"/>
      <c r="H501" s="275"/>
      <c r="I501" s="275"/>
      <c r="J501" s="275"/>
      <c r="K501" s="275"/>
      <c r="O501" s="56"/>
      <c r="Q501" t="str">
        <f>IFERROR(IF(VLOOKUP(Tb_Activiteiten[[#This Row],[Openstelling]],Tb_Openstelling[],2,0)=1,1,""),"")</f>
        <v/>
      </c>
      <c r="AK501" t="str">
        <f>IF(ISNUMBER(FIND("arbeid",Methode_Keuze)),"",IF(ISNUMBER(FIND("arbeid",Methode_Keuze)),"",IF(Tb_Activiteiten[[#This Row],[Loonkosten]]=1,Tb_Activiteiten[[#Headers],[Loonkosten]],"")))</f>
        <v/>
      </c>
      <c r="AL501" t="str">
        <f>IF(ISNUMBER(FIND("arbeid",Methode_Keuze)),"",IF(ISNUMBER(FIND("arbeid",Methode_Keuze)),"",IF(Tb_Activiteiten[[#This Row],[Eigen arbeid]]=1,Tb_Activiteiten[[#Headers],[Eigen arbeid]],"")))</f>
        <v/>
      </c>
      <c r="AM501" t="str">
        <f>IF(ISNUMBER(FIND("arbeid",Methode_Keuze)),"",IF(ISNUMBER(FIND("arbeid",Methode_Keuze)),"",IF(Tb_Activiteiten[[#This Row],[Projectmedewerker]]=1,Tb_Activiteiten[[#Headers],[Projectmedewerker]],"")))</f>
        <v/>
      </c>
      <c r="AN501" t="str">
        <f>IF(ISNUMBER(FIND("arbeid",Methode_Keuze)),"",IF(ISNUMBER(FIND("arbeid",Methode_Keuze)),"",IF(Tb_Activiteiten[[#This Row],[Landbouwer]]=1,Tb_Activiteiten[[#Headers],[Landbouwer]],"")))</f>
        <v/>
      </c>
      <c r="AO501" t="str">
        <f>IF(ISNUMBER(FIND("arbeid",Methode_Keuze)),"",IF(ISNUMBER(FIND("arbeid",Methode_Keuze)),"",IF(Tb_Activiteiten[[#This Row],[Adviseur]]=1,Tb_Activiteiten[[#Headers],[Adviseur]],"")))</f>
        <v/>
      </c>
      <c r="AP501" t="str">
        <f>IF(ISNUMBER(FIND("arbeid",Methode_Keuze)),"",IF(ISNUMBER(FIND("arbeid",Methode_Keuze)),"",IF(Tb_Activiteiten[[#This Row],[Projectleider/Expert]]=1,Tb_Activiteiten[[#Headers],[Projectleider/Expert]],"")))</f>
        <v/>
      </c>
      <c r="AQ501" t="str">
        <f>IF(ISNUMBER(FIND("arbeid",Methode_Keuze)),"",IF(ISNUMBER(FIND("arbeid",Methode_Keuze)),"",IF(Tb_Activiteiten[[#This Row],[Arbeidskosten]]=1,Tb_Activiteiten[[#Headers],[Arbeidskosten]],"")))</f>
        <v/>
      </c>
      <c r="AR501" t="str">
        <f>IF(ISNUMBER(FIND("arbeid",Methode_Keuze)),"",IF(ISNUMBER(FIND("arbeid",Methode_Keuze)),"",IF(Tb_Activiteiten[[#This Row],[Arbeidskosten op basis van IKS]]=1,Tb_Activiteiten[[#Headers],[Arbeidskosten op basis van IKS]],"")))</f>
        <v/>
      </c>
      <c r="AS501" t="str">
        <f>IF(ISNUMBER(FIND("overige",Methode_Keuze)),"",IF(Tb_Activiteiten[[#This Row],[Kosten derden exclusief btw]]=1,Tb_Activiteiten[[#Headers],[Kosten derden exclusief btw]],""))</f>
        <v/>
      </c>
      <c r="AT501" t="str">
        <f>IF(ISNUMBER(FIND("overige",Methode_Keuze)),"",IF(Tb_Activiteiten[[#This Row],[Niet verrekenbare btw]]=1,Tb_Activiteiten[[#Headers],[Niet verrekenbare btw]],""))</f>
        <v/>
      </c>
      <c r="AU501" t="str">
        <f>IF(ISNUMBER(FIND("overige",Methode_Keuze)),"",IF(Tb_Activiteiten[[#This Row],[Grondkosten]]=1,Tb_Activiteiten[[#Headers],[Grondkosten]],""))</f>
        <v/>
      </c>
      <c r="AV501" t="str">
        <f>IF(ISNUMBER(FIND("overige",Methode_Keuze)),"",IF(Tb_Activiteiten[[#This Row],[Bijdrage in natura (overige)]]=1,Tb_Activiteiten[[#Headers],[Bijdrage in natura (overige)]],""))</f>
        <v/>
      </c>
      <c r="AW501" t="str">
        <f>IF(ISNUMBER(FIND("overige",Methode_Keuze)),"",IF(Tb_Activiteiten[[#This Row],[Bijdrage in natura (vrijwilligers)]]=1,Tb_Activiteiten[[#Headers],[Bijdrage in natura (vrijwilligers)]],""))</f>
        <v/>
      </c>
      <c r="AX501" t="str">
        <f>IF(ISNUMBER(FIND("overige",Methode_Keuze)),"",IF(Tb_Activiteiten[[#This Row],[Afschrijvingskosten]]=1,Tb_Activiteiten[[#Headers],[Afschrijvingskosten]],""))</f>
        <v/>
      </c>
      <c r="AY501" t="str">
        <f>IF(ISNUMBER(FIND("overige",Methode_Keuze)),"",IF(Tb_Activiteiten[[#This Row],[Vergoeding]]=1,Tb_Activiteiten[[#Headers],[Vergoeding]],""))</f>
        <v/>
      </c>
      <c r="AZ501" t="str">
        <f>IF(ISNUMBER(FIND("arbeid",Methode_Keuze)),"",IF(Tb_Activiteiten[[#This Row],[Arbeidskosten - vast tarief (excl eigen arbeid)]]=1,Tb_Activiteiten[[#Headers],[Arbeidskosten - vast tarief (excl eigen arbeid)]],""))</f>
        <v/>
      </c>
      <c r="BA501" t="str">
        <f>IF(ISNUMBER(FIND("overige",Methode_Keuze)),"",IF(Tb_Activiteiten[[#This Row],[Overige kosten]]=1,Tb_Activiteiten[[#Headers],[Overige kosten]],""))</f>
        <v/>
      </c>
    </row>
    <row r="502" spans="1:53" x14ac:dyDescent="0.25">
      <c r="A502" s="231"/>
      <c r="F502" s="64"/>
      <c r="G502" s="64"/>
      <c r="H502" s="275"/>
      <c r="I502" s="275"/>
      <c r="J502" s="275"/>
      <c r="K502" s="275"/>
      <c r="O502" s="56"/>
      <c r="Q502" t="str">
        <f>IFERROR(IF(VLOOKUP(Tb_Activiteiten[[#This Row],[Openstelling]],Tb_Openstelling[],2,0)=1,1,""),"")</f>
        <v/>
      </c>
      <c r="AK502" t="str">
        <f>IF(ISNUMBER(FIND("arbeid",Methode_Keuze)),"",IF(ISNUMBER(FIND("arbeid",Methode_Keuze)),"",IF(Tb_Activiteiten[[#This Row],[Loonkosten]]=1,Tb_Activiteiten[[#Headers],[Loonkosten]],"")))</f>
        <v/>
      </c>
      <c r="AL502" t="str">
        <f>IF(ISNUMBER(FIND("arbeid",Methode_Keuze)),"",IF(ISNUMBER(FIND("arbeid",Methode_Keuze)),"",IF(Tb_Activiteiten[[#This Row],[Eigen arbeid]]=1,Tb_Activiteiten[[#Headers],[Eigen arbeid]],"")))</f>
        <v/>
      </c>
      <c r="AM502" t="str">
        <f>IF(ISNUMBER(FIND("arbeid",Methode_Keuze)),"",IF(ISNUMBER(FIND("arbeid",Methode_Keuze)),"",IF(Tb_Activiteiten[[#This Row],[Projectmedewerker]]=1,Tb_Activiteiten[[#Headers],[Projectmedewerker]],"")))</f>
        <v/>
      </c>
      <c r="AN502" t="str">
        <f>IF(ISNUMBER(FIND("arbeid",Methode_Keuze)),"",IF(ISNUMBER(FIND("arbeid",Methode_Keuze)),"",IF(Tb_Activiteiten[[#This Row],[Landbouwer]]=1,Tb_Activiteiten[[#Headers],[Landbouwer]],"")))</f>
        <v/>
      </c>
      <c r="AO502" t="str">
        <f>IF(ISNUMBER(FIND("arbeid",Methode_Keuze)),"",IF(ISNUMBER(FIND("arbeid",Methode_Keuze)),"",IF(Tb_Activiteiten[[#This Row],[Adviseur]]=1,Tb_Activiteiten[[#Headers],[Adviseur]],"")))</f>
        <v/>
      </c>
      <c r="AP502" t="str">
        <f>IF(ISNUMBER(FIND("arbeid",Methode_Keuze)),"",IF(ISNUMBER(FIND("arbeid",Methode_Keuze)),"",IF(Tb_Activiteiten[[#This Row],[Projectleider/Expert]]=1,Tb_Activiteiten[[#Headers],[Projectleider/Expert]],"")))</f>
        <v/>
      </c>
      <c r="AQ502" t="str">
        <f>IF(ISNUMBER(FIND("arbeid",Methode_Keuze)),"",IF(ISNUMBER(FIND("arbeid",Methode_Keuze)),"",IF(Tb_Activiteiten[[#This Row],[Arbeidskosten]]=1,Tb_Activiteiten[[#Headers],[Arbeidskosten]],"")))</f>
        <v/>
      </c>
      <c r="AR502" t="str">
        <f>IF(ISNUMBER(FIND("arbeid",Methode_Keuze)),"",IF(ISNUMBER(FIND("arbeid",Methode_Keuze)),"",IF(Tb_Activiteiten[[#This Row],[Arbeidskosten op basis van IKS]]=1,Tb_Activiteiten[[#Headers],[Arbeidskosten op basis van IKS]],"")))</f>
        <v/>
      </c>
      <c r="AS502" t="str">
        <f>IF(ISNUMBER(FIND("overige",Methode_Keuze)),"",IF(Tb_Activiteiten[[#This Row],[Kosten derden exclusief btw]]=1,Tb_Activiteiten[[#Headers],[Kosten derden exclusief btw]],""))</f>
        <v/>
      </c>
      <c r="AT502" t="str">
        <f>IF(ISNUMBER(FIND("overige",Methode_Keuze)),"",IF(Tb_Activiteiten[[#This Row],[Niet verrekenbare btw]]=1,Tb_Activiteiten[[#Headers],[Niet verrekenbare btw]],""))</f>
        <v/>
      </c>
      <c r="AU502" t="str">
        <f>IF(ISNUMBER(FIND("overige",Methode_Keuze)),"",IF(Tb_Activiteiten[[#This Row],[Grondkosten]]=1,Tb_Activiteiten[[#Headers],[Grondkosten]],""))</f>
        <v/>
      </c>
      <c r="AV502" t="str">
        <f>IF(ISNUMBER(FIND("overige",Methode_Keuze)),"",IF(Tb_Activiteiten[[#This Row],[Bijdrage in natura (overige)]]=1,Tb_Activiteiten[[#Headers],[Bijdrage in natura (overige)]],""))</f>
        <v/>
      </c>
      <c r="AW502" t="str">
        <f>IF(ISNUMBER(FIND("overige",Methode_Keuze)),"",IF(Tb_Activiteiten[[#This Row],[Bijdrage in natura (vrijwilligers)]]=1,Tb_Activiteiten[[#Headers],[Bijdrage in natura (vrijwilligers)]],""))</f>
        <v/>
      </c>
      <c r="AX502" t="str">
        <f>IF(ISNUMBER(FIND("overige",Methode_Keuze)),"",IF(Tb_Activiteiten[[#This Row],[Afschrijvingskosten]]=1,Tb_Activiteiten[[#Headers],[Afschrijvingskosten]],""))</f>
        <v/>
      </c>
      <c r="AY502" t="str">
        <f>IF(ISNUMBER(FIND("overige",Methode_Keuze)),"",IF(Tb_Activiteiten[[#This Row],[Vergoeding]]=1,Tb_Activiteiten[[#Headers],[Vergoeding]],""))</f>
        <v/>
      </c>
      <c r="AZ502" t="str">
        <f>IF(ISNUMBER(FIND("arbeid",Methode_Keuze)),"",IF(Tb_Activiteiten[[#This Row],[Arbeidskosten - vast tarief (excl eigen arbeid)]]=1,Tb_Activiteiten[[#Headers],[Arbeidskosten - vast tarief (excl eigen arbeid)]],""))</f>
        <v/>
      </c>
      <c r="BA502" t="str">
        <f>IF(ISNUMBER(FIND("overige",Methode_Keuze)),"",IF(Tb_Activiteiten[[#This Row],[Overige kosten]]=1,Tb_Activiteiten[[#Headers],[Overige kosten]],""))</f>
        <v/>
      </c>
    </row>
    <row r="503" spans="1:53" x14ac:dyDescent="0.25">
      <c r="A503" s="231"/>
      <c r="F503" s="64"/>
      <c r="G503" s="64"/>
      <c r="H503" s="275"/>
      <c r="I503" s="275"/>
      <c r="J503" s="275"/>
      <c r="K503" s="275"/>
      <c r="O503" s="56"/>
      <c r="Q503" t="str">
        <f>IFERROR(IF(VLOOKUP(Tb_Activiteiten[[#This Row],[Openstelling]],Tb_Openstelling[],2,0)=1,1,""),"")</f>
        <v/>
      </c>
      <c r="AK503" t="str">
        <f>IF(ISNUMBER(FIND("arbeid",Methode_Keuze)),"",IF(ISNUMBER(FIND("arbeid",Methode_Keuze)),"",IF(Tb_Activiteiten[[#This Row],[Loonkosten]]=1,Tb_Activiteiten[[#Headers],[Loonkosten]],"")))</f>
        <v/>
      </c>
      <c r="AL503" t="str">
        <f>IF(ISNUMBER(FIND("arbeid",Methode_Keuze)),"",IF(ISNUMBER(FIND("arbeid",Methode_Keuze)),"",IF(Tb_Activiteiten[[#This Row],[Eigen arbeid]]=1,Tb_Activiteiten[[#Headers],[Eigen arbeid]],"")))</f>
        <v/>
      </c>
      <c r="AM503" t="str">
        <f>IF(ISNUMBER(FIND("arbeid",Methode_Keuze)),"",IF(ISNUMBER(FIND("arbeid",Methode_Keuze)),"",IF(Tb_Activiteiten[[#This Row],[Projectmedewerker]]=1,Tb_Activiteiten[[#Headers],[Projectmedewerker]],"")))</f>
        <v/>
      </c>
      <c r="AN503" t="str">
        <f>IF(ISNUMBER(FIND("arbeid",Methode_Keuze)),"",IF(ISNUMBER(FIND("arbeid",Methode_Keuze)),"",IF(Tb_Activiteiten[[#This Row],[Landbouwer]]=1,Tb_Activiteiten[[#Headers],[Landbouwer]],"")))</f>
        <v/>
      </c>
      <c r="AO503" t="str">
        <f>IF(ISNUMBER(FIND("arbeid",Methode_Keuze)),"",IF(ISNUMBER(FIND("arbeid",Methode_Keuze)),"",IF(Tb_Activiteiten[[#This Row],[Adviseur]]=1,Tb_Activiteiten[[#Headers],[Adviseur]],"")))</f>
        <v/>
      </c>
      <c r="AP503" t="str">
        <f>IF(ISNUMBER(FIND("arbeid",Methode_Keuze)),"",IF(ISNUMBER(FIND("arbeid",Methode_Keuze)),"",IF(Tb_Activiteiten[[#This Row],[Projectleider/Expert]]=1,Tb_Activiteiten[[#Headers],[Projectleider/Expert]],"")))</f>
        <v/>
      </c>
      <c r="AQ503" t="str">
        <f>IF(ISNUMBER(FIND("arbeid",Methode_Keuze)),"",IF(ISNUMBER(FIND("arbeid",Methode_Keuze)),"",IF(Tb_Activiteiten[[#This Row],[Arbeidskosten]]=1,Tb_Activiteiten[[#Headers],[Arbeidskosten]],"")))</f>
        <v/>
      </c>
      <c r="AR503" t="str">
        <f>IF(ISNUMBER(FIND("arbeid",Methode_Keuze)),"",IF(ISNUMBER(FIND("arbeid",Methode_Keuze)),"",IF(Tb_Activiteiten[[#This Row],[Arbeidskosten op basis van IKS]]=1,Tb_Activiteiten[[#Headers],[Arbeidskosten op basis van IKS]],"")))</f>
        <v/>
      </c>
      <c r="AS503" t="str">
        <f>IF(ISNUMBER(FIND("overige",Methode_Keuze)),"",IF(Tb_Activiteiten[[#This Row],[Kosten derden exclusief btw]]=1,Tb_Activiteiten[[#Headers],[Kosten derden exclusief btw]],""))</f>
        <v/>
      </c>
      <c r="AT503" t="str">
        <f>IF(ISNUMBER(FIND("overige",Methode_Keuze)),"",IF(Tb_Activiteiten[[#This Row],[Niet verrekenbare btw]]=1,Tb_Activiteiten[[#Headers],[Niet verrekenbare btw]],""))</f>
        <v/>
      </c>
      <c r="AU503" t="str">
        <f>IF(ISNUMBER(FIND("overige",Methode_Keuze)),"",IF(Tb_Activiteiten[[#This Row],[Grondkosten]]=1,Tb_Activiteiten[[#Headers],[Grondkosten]],""))</f>
        <v/>
      </c>
      <c r="AV503" t="str">
        <f>IF(ISNUMBER(FIND("overige",Methode_Keuze)),"",IF(Tb_Activiteiten[[#This Row],[Bijdrage in natura (overige)]]=1,Tb_Activiteiten[[#Headers],[Bijdrage in natura (overige)]],""))</f>
        <v/>
      </c>
      <c r="AW503" t="str">
        <f>IF(ISNUMBER(FIND("overige",Methode_Keuze)),"",IF(Tb_Activiteiten[[#This Row],[Bijdrage in natura (vrijwilligers)]]=1,Tb_Activiteiten[[#Headers],[Bijdrage in natura (vrijwilligers)]],""))</f>
        <v/>
      </c>
      <c r="AX503" t="str">
        <f>IF(ISNUMBER(FIND("overige",Methode_Keuze)),"",IF(Tb_Activiteiten[[#This Row],[Afschrijvingskosten]]=1,Tb_Activiteiten[[#Headers],[Afschrijvingskosten]],""))</f>
        <v/>
      </c>
      <c r="AY503" t="str">
        <f>IF(ISNUMBER(FIND("overige",Methode_Keuze)),"",IF(Tb_Activiteiten[[#This Row],[Vergoeding]]=1,Tb_Activiteiten[[#Headers],[Vergoeding]],""))</f>
        <v/>
      </c>
      <c r="AZ503" t="str">
        <f>IF(ISNUMBER(FIND("arbeid",Methode_Keuze)),"",IF(Tb_Activiteiten[[#This Row],[Arbeidskosten - vast tarief (excl eigen arbeid)]]=1,Tb_Activiteiten[[#Headers],[Arbeidskosten - vast tarief (excl eigen arbeid)]],""))</f>
        <v/>
      </c>
      <c r="BA503" t="str">
        <f>IF(ISNUMBER(FIND("overige",Methode_Keuze)),"",IF(Tb_Activiteiten[[#This Row],[Overige kosten]]=1,Tb_Activiteiten[[#Headers],[Overige kosten]],""))</f>
        <v/>
      </c>
    </row>
    <row r="504" spans="1:53" x14ac:dyDescent="0.25">
      <c r="A504" s="231"/>
      <c r="F504" s="64"/>
      <c r="G504" s="64"/>
      <c r="H504" s="275"/>
      <c r="I504" s="275"/>
      <c r="J504" s="275"/>
      <c r="K504" s="275"/>
      <c r="O504" s="56"/>
      <c r="Q504" t="str">
        <f>IFERROR(IF(VLOOKUP(Tb_Activiteiten[[#This Row],[Openstelling]],Tb_Openstelling[],2,0)=1,1,""),"")</f>
        <v/>
      </c>
      <c r="AK504" t="str">
        <f>IF(ISNUMBER(FIND("arbeid",Methode_Keuze)),"",IF(ISNUMBER(FIND("arbeid",Methode_Keuze)),"",IF(Tb_Activiteiten[[#This Row],[Loonkosten]]=1,Tb_Activiteiten[[#Headers],[Loonkosten]],"")))</f>
        <v/>
      </c>
      <c r="AL504" t="str">
        <f>IF(ISNUMBER(FIND("arbeid",Methode_Keuze)),"",IF(ISNUMBER(FIND("arbeid",Methode_Keuze)),"",IF(Tb_Activiteiten[[#This Row],[Eigen arbeid]]=1,Tb_Activiteiten[[#Headers],[Eigen arbeid]],"")))</f>
        <v/>
      </c>
      <c r="AM504" t="str">
        <f>IF(ISNUMBER(FIND("arbeid",Methode_Keuze)),"",IF(ISNUMBER(FIND("arbeid",Methode_Keuze)),"",IF(Tb_Activiteiten[[#This Row],[Projectmedewerker]]=1,Tb_Activiteiten[[#Headers],[Projectmedewerker]],"")))</f>
        <v/>
      </c>
      <c r="AN504" t="str">
        <f>IF(ISNUMBER(FIND("arbeid",Methode_Keuze)),"",IF(ISNUMBER(FIND("arbeid",Methode_Keuze)),"",IF(Tb_Activiteiten[[#This Row],[Landbouwer]]=1,Tb_Activiteiten[[#Headers],[Landbouwer]],"")))</f>
        <v/>
      </c>
      <c r="AO504" t="str">
        <f>IF(ISNUMBER(FIND("arbeid",Methode_Keuze)),"",IF(ISNUMBER(FIND("arbeid",Methode_Keuze)),"",IF(Tb_Activiteiten[[#This Row],[Adviseur]]=1,Tb_Activiteiten[[#Headers],[Adviseur]],"")))</f>
        <v/>
      </c>
      <c r="AP504" t="str">
        <f>IF(ISNUMBER(FIND("arbeid",Methode_Keuze)),"",IF(ISNUMBER(FIND("arbeid",Methode_Keuze)),"",IF(Tb_Activiteiten[[#This Row],[Projectleider/Expert]]=1,Tb_Activiteiten[[#Headers],[Projectleider/Expert]],"")))</f>
        <v/>
      </c>
      <c r="AQ504" t="str">
        <f>IF(ISNUMBER(FIND("arbeid",Methode_Keuze)),"",IF(ISNUMBER(FIND("arbeid",Methode_Keuze)),"",IF(Tb_Activiteiten[[#This Row],[Arbeidskosten]]=1,Tb_Activiteiten[[#Headers],[Arbeidskosten]],"")))</f>
        <v/>
      </c>
      <c r="AR504" t="str">
        <f>IF(ISNUMBER(FIND("arbeid",Methode_Keuze)),"",IF(ISNUMBER(FIND("arbeid",Methode_Keuze)),"",IF(Tb_Activiteiten[[#This Row],[Arbeidskosten op basis van IKS]]=1,Tb_Activiteiten[[#Headers],[Arbeidskosten op basis van IKS]],"")))</f>
        <v/>
      </c>
      <c r="AS504" t="str">
        <f>IF(ISNUMBER(FIND("overige",Methode_Keuze)),"",IF(Tb_Activiteiten[[#This Row],[Kosten derden exclusief btw]]=1,Tb_Activiteiten[[#Headers],[Kosten derden exclusief btw]],""))</f>
        <v/>
      </c>
      <c r="AT504" t="str">
        <f>IF(ISNUMBER(FIND("overige",Methode_Keuze)),"",IF(Tb_Activiteiten[[#This Row],[Niet verrekenbare btw]]=1,Tb_Activiteiten[[#Headers],[Niet verrekenbare btw]],""))</f>
        <v/>
      </c>
      <c r="AU504" t="str">
        <f>IF(ISNUMBER(FIND("overige",Methode_Keuze)),"",IF(Tb_Activiteiten[[#This Row],[Grondkosten]]=1,Tb_Activiteiten[[#Headers],[Grondkosten]],""))</f>
        <v/>
      </c>
      <c r="AV504" t="str">
        <f>IF(ISNUMBER(FIND("overige",Methode_Keuze)),"",IF(Tb_Activiteiten[[#This Row],[Bijdrage in natura (overige)]]=1,Tb_Activiteiten[[#Headers],[Bijdrage in natura (overige)]],""))</f>
        <v/>
      </c>
      <c r="AW504" t="str">
        <f>IF(ISNUMBER(FIND("overige",Methode_Keuze)),"",IF(Tb_Activiteiten[[#This Row],[Bijdrage in natura (vrijwilligers)]]=1,Tb_Activiteiten[[#Headers],[Bijdrage in natura (vrijwilligers)]],""))</f>
        <v/>
      </c>
      <c r="AX504" t="str">
        <f>IF(ISNUMBER(FIND("overige",Methode_Keuze)),"",IF(Tb_Activiteiten[[#This Row],[Afschrijvingskosten]]=1,Tb_Activiteiten[[#Headers],[Afschrijvingskosten]],""))</f>
        <v/>
      </c>
      <c r="AY504" t="str">
        <f>IF(ISNUMBER(FIND("overige",Methode_Keuze)),"",IF(Tb_Activiteiten[[#This Row],[Vergoeding]]=1,Tb_Activiteiten[[#Headers],[Vergoeding]],""))</f>
        <v/>
      </c>
      <c r="AZ504" t="str">
        <f>IF(ISNUMBER(FIND("arbeid",Methode_Keuze)),"",IF(Tb_Activiteiten[[#This Row],[Arbeidskosten - vast tarief (excl eigen arbeid)]]=1,Tb_Activiteiten[[#Headers],[Arbeidskosten - vast tarief (excl eigen arbeid)]],""))</f>
        <v/>
      </c>
      <c r="BA504" t="str">
        <f>IF(ISNUMBER(FIND("overige",Methode_Keuze)),"",IF(Tb_Activiteiten[[#This Row],[Overige kosten]]=1,Tb_Activiteiten[[#Headers],[Overige kosten]],""))</f>
        <v/>
      </c>
    </row>
    <row r="505" spans="1:53" x14ac:dyDescent="0.25">
      <c r="A505" s="231"/>
      <c r="F505" s="64"/>
      <c r="G505" s="64"/>
      <c r="H505" s="275"/>
      <c r="I505" s="275"/>
      <c r="J505" s="275"/>
      <c r="K505" s="275"/>
      <c r="O505" s="56"/>
      <c r="Q505" t="str">
        <f>IFERROR(IF(VLOOKUP(Tb_Activiteiten[[#This Row],[Openstelling]],Tb_Openstelling[],2,0)=1,1,""),"")</f>
        <v/>
      </c>
      <c r="AK505" t="str">
        <f>IF(ISNUMBER(FIND("arbeid",Methode_Keuze)),"",IF(ISNUMBER(FIND("arbeid",Methode_Keuze)),"",IF(Tb_Activiteiten[[#This Row],[Loonkosten]]=1,Tb_Activiteiten[[#Headers],[Loonkosten]],"")))</f>
        <v/>
      </c>
      <c r="AL505" t="str">
        <f>IF(ISNUMBER(FIND("arbeid",Methode_Keuze)),"",IF(ISNUMBER(FIND("arbeid",Methode_Keuze)),"",IF(Tb_Activiteiten[[#This Row],[Eigen arbeid]]=1,Tb_Activiteiten[[#Headers],[Eigen arbeid]],"")))</f>
        <v/>
      </c>
      <c r="AM505" t="str">
        <f>IF(ISNUMBER(FIND("arbeid",Methode_Keuze)),"",IF(ISNUMBER(FIND("arbeid",Methode_Keuze)),"",IF(Tb_Activiteiten[[#This Row],[Projectmedewerker]]=1,Tb_Activiteiten[[#Headers],[Projectmedewerker]],"")))</f>
        <v/>
      </c>
      <c r="AN505" t="str">
        <f>IF(ISNUMBER(FIND("arbeid",Methode_Keuze)),"",IF(ISNUMBER(FIND("arbeid",Methode_Keuze)),"",IF(Tb_Activiteiten[[#This Row],[Landbouwer]]=1,Tb_Activiteiten[[#Headers],[Landbouwer]],"")))</f>
        <v/>
      </c>
      <c r="AO505" t="str">
        <f>IF(ISNUMBER(FIND("arbeid",Methode_Keuze)),"",IF(ISNUMBER(FIND("arbeid",Methode_Keuze)),"",IF(Tb_Activiteiten[[#This Row],[Adviseur]]=1,Tb_Activiteiten[[#Headers],[Adviseur]],"")))</f>
        <v/>
      </c>
      <c r="AP505" t="str">
        <f>IF(ISNUMBER(FIND("arbeid",Methode_Keuze)),"",IF(ISNUMBER(FIND("arbeid",Methode_Keuze)),"",IF(Tb_Activiteiten[[#This Row],[Projectleider/Expert]]=1,Tb_Activiteiten[[#Headers],[Projectleider/Expert]],"")))</f>
        <v/>
      </c>
      <c r="AQ505" t="str">
        <f>IF(ISNUMBER(FIND("arbeid",Methode_Keuze)),"",IF(ISNUMBER(FIND("arbeid",Methode_Keuze)),"",IF(Tb_Activiteiten[[#This Row],[Arbeidskosten]]=1,Tb_Activiteiten[[#Headers],[Arbeidskosten]],"")))</f>
        <v/>
      </c>
      <c r="AR505" t="str">
        <f>IF(ISNUMBER(FIND("arbeid",Methode_Keuze)),"",IF(ISNUMBER(FIND("arbeid",Methode_Keuze)),"",IF(Tb_Activiteiten[[#This Row],[Arbeidskosten op basis van IKS]]=1,Tb_Activiteiten[[#Headers],[Arbeidskosten op basis van IKS]],"")))</f>
        <v/>
      </c>
      <c r="AS505" t="str">
        <f>IF(ISNUMBER(FIND("overige",Methode_Keuze)),"",IF(Tb_Activiteiten[[#This Row],[Kosten derden exclusief btw]]=1,Tb_Activiteiten[[#Headers],[Kosten derden exclusief btw]],""))</f>
        <v/>
      </c>
      <c r="AT505" t="str">
        <f>IF(ISNUMBER(FIND("overige",Methode_Keuze)),"",IF(Tb_Activiteiten[[#This Row],[Niet verrekenbare btw]]=1,Tb_Activiteiten[[#Headers],[Niet verrekenbare btw]],""))</f>
        <v/>
      </c>
      <c r="AU505" t="str">
        <f>IF(ISNUMBER(FIND("overige",Methode_Keuze)),"",IF(Tb_Activiteiten[[#This Row],[Grondkosten]]=1,Tb_Activiteiten[[#Headers],[Grondkosten]],""))</f>
        <v/>
      </c>
      <c r="AV505" t="str">
        <f>IF(ISNUMBER(FIND("overige",Methode_Keuze)),"",IF(Tb_Activiteiten[[#This Row],[Bijdrage in natura (overige)]]=1,Tb_Activiteiten[[#Headers],[Bijdrage in natura (overige)]],""))</f>
        <v/>
      </c>
      <c r="AW505" t="str">
        <f>IF(ISNUMBER(FIND("overige",Methode_Keuze)),"",IF(Tb_Activiteiten[[#This Row],[Bijdrage in natura (vrijwilligers)]]=1,Tb_Activiteiten[[#Headers],[Bijdrage in natura (vrijwilligers)]],""))</f>
        <v/>
      </c>
      <c r="AX505" t="str">
        <f>IF(ISNUMBER(FIND("overige",Methode_Keuze)),"",IF(Tb_Activiteiten[[#This Row],[Afschrijvingskosten]]=1,Tb_Activiteiten[[#Headers],[Afschrijvingskosten]],""))</f>
        <v/>
      </c>
      <c r="AY505" t="str">
        <f>IF(ISNUMBER(FIND("overige",Methode_Keuze)),"",IF(Tb_Activiteiten[[#This Row],[Vergoeding]]=1,Tb_Activiteiten[[#Headers],[Vergoeding]],""))</f>
        <v/>
      </c>
      <c r="AZ505" t="str">
        <f>IF(ISNUMBER(FIND("arbeid",Methode_Keuze)),"",IF(Tb_Activiteiten[[#This Row],[Arbeidskosten - vast tarief (excl eigen arbeid)]]=1,Tb_Activiteiten[[#Headers],[Arbeidskosten - vast tarief (excl eigen arbeid)]],""))</f>
        <v/>
      </c>
      <c r="BA505" t="str">
        <f>IF(ISNUMBER(FIND("overige",Methode_Keuze)),"",IF(Tb_Activiteiten[[#This Row],[Overige kosten]]=1,Tb_Activiteiten[[#Headers],[Overige kosten]],""))</f>
        <v/>
      </c>
    </row>
    <row r="506" spans="1:53" x14ac:dyDescent="0.25">
      <c r="A506" s="231"/>
      <c r="F506" s="64"/>
      <c r="G506" s="64"/>
      <c r="H506" s="275"/>
      <c r="I506" s="275"/>
      <c r="J506" s="275"/>
      <c r="K506" s="275"/>
      <c r="O506" s="56"/>
      <c r="Q506" t="str">
        <f>IFERROR(IF(VLOOKUP(Tb_Activiteiten[[#This Row],[Openstelling]],Tb_Openstelling[],2,0)=1,1,""),"")</f>
        <v/>
      </c>
      <c r="AK506" t="str">
        <f>IF(ISNUMBER(FIND("arbeid",Methode_Keuze)),"",IF(ISNUMBER(FIND("arbeid",Methode_Keuze)),"",IF(Tb_Activiteiten[[#This Row],[Loonkosten]]=1,Tb_Activiteiten[[#Headers],[Loonkosten]],"")))</f>
        <v/>
      </c>
      <c r="AL506" t="str">
        <f>IF(ISNUMBER(FIND("arbeid",Methode_Keuze)),"",IF(ISNUMBER(FIND("arbeid",Methode_Keuze)),"",IF(Tb_Activiteiten[[#This Row],[Eigen arbeid]]=1,Tb_Activiteiten[[#Headers],[Eigen arbeid]],"")))</f>
        <v/>
      </c>
      <c r="AM506" t="str">
        <f>IF(ISNUMBER(FIND("arbeid",Methode_Keuze)),"",IF(ISNUMBER(FIND("arbeid",Methode_Keuze)),"",IF(Tb_Activiteiten[[#This Row],[Projectmedewerker]]=1,Tb_Activiteiten[[#Headers],[Projectmedewerker]],"")))</f>
        <v/>
      </c>
      <c r="AN506" t="str">
        <f>IF(ISNUMBER(FIND("arbeid",Methode_Keuze)),"",IF(ISNUMBER(FIND("arbeid",Methode_Keuze)),"",IF(Tb_Activiteiten[[#This Row],[Landbouwer]]=1,Tb_Activiteiten[[#Headers],[Landbouwer]],"")))</f>
        <v/>
      </c>
      <c r="AO506" t="str">
        <f>IF(ISNUMBER(FIND("arbeid",Methode_Keuze)),"",IF(ISNUMBER(FIND("arbeid",Methode_Keuze)),"",IF(Tb_Activiteiten[[#This Row],[Adviseur]]=1,Tb_Activiteiten[[#Headers],[Adviseur]],"")))</f>
        <v/>
      </c>
      <c r="AP506" t="str">
        <f>IF(ISNUMBER(FIND("arbeid",Methode_Keuze)),"",IF(ISNUMBER(FIND("arbeid",Methode_Keuze)),"",IF(Tb_Activiteiten[[#This Row],[Projectleider/Expert]]=1,Tb_Activiteiten[[#Headers],[Projectleider/Expert]],"")))</f>
        <v/>
      </c>
      <c r="AQ506" t="str">
        <f>IF(ISNUMBER(FIND("arbeid",Methode_Keuze)),"",IF(ISNUMBER(FIND("arbeid",Methode_Keuze)),"",IF(Tb_Activiteiten[[#This Row],[Arbeidskosten]]=1,Tb_Activiteiten[[#Headers],[Arbeidskosten]],"")))</f>
        <v/>
      </c>
      <c r="AR506" t="str">
        <f>IF(ISNUMBER(FIND("arbeid",Methode_Keuze)),"",IF(ISNUMBER(FIND("arbeid",Methode_Keuze)),"",IF(Tb_Activiteiten[[#This Row],[Arbeidskosten op basis van IKS]]=1,Tb_Activiteiten[[#Headers],[Arbeidskosten op basis van IKS]],"")))</f>
        <v/>
      </c>
      <c r="AS506" t="str">
        <f>IF(ISNUMBER(FIND("overige",Methode_Keuze)),"",IF(Tb_Activiteiten[[#This Row],[Kosten derden exclusief btw]]=1,Tb_Activiteiten[[#Headers],[Kosten derden exclusief btw]],""))</f>
        <v/>
      </c>
      <c r="AT506" t="str">
        <f>IF(ISNUMBER(FIND("overige",Methode_Keuze)),"",IF(Tb_Activiteiten[[#This Row],[Niet verrekenbare btw]]=1,Tb_Activiteiten[[#Headers],[Niet verrekenbare btw]],""))</f>
        <v/>
      </c>
      <c r="AU506" t="str">
        <f>IF(ISNUMBER(FIND("overige",Methode_Keuze)),"",IF(Tb_Activiteiten[[#This Row],[Grondkosten]]=1,Tb_Activiteiten[[#Headers],[Grondkosten]],""))</f>
        <v/>
      </c>
      <c r="AV506" t="str">
        <f>IF(ISNUMBER(FIND("overige",Methode_Keuze)),"",IF(Tb_Activiteiten[[#This Row],[Bijdrage in natura (overige)]]=1,Tb_Activiteiten[[#Headers],[Bijdrage in natura (overige)]],""))</f>
        <v/>
      </c>
      <c r="AW506" t="str">
        <f>IF(ISNUMBER(FIND("overige",Methode_Keuze)),"",IF(Tb_Activiteiten[[#This Row],[Bijdrage in natura (vrijwilligers)]]=1,Tb_Activiteiten[[#Headers],[Bijdrage in natura (vrijwilligers)]],""))</f>
        <v/>
      </c>
      <c r="AX506" t="str">
        <f>IF(ISNUMBER(FIND("overige",Methode_Keuze)),"",IF(Tb_Activiteiten[[#This Row],[Afschrijvingskosten]]=1,Tb_Activiteiten[[#Headers],[Afschrijvingskosten]],""))</f>
        <v/>
      </c>
      <c r="AY506" t="str">
        <f>IF(ISNUMBER(FIND("overige",Methode_Keuze)),"",IF(Tb_Activiteiten[[#This Row],[Vergoeding]]=1,Tb_Activiteiten[[#Headers],[Vergoeding]],""))</f>
        <v/>
      </c>
      <c r="AZ506" t="str">
        <f>IF(ISNUMBER(FIND("arbeid",Methode_Keuze)),"",IF(Tb_Activiteiten[[#This Row],[Arbeidskosten - vast tarief (excl eigen arbeid)]]=1,Tb_Activiteiten[[#Headers],[Arbeidskosten - vast tarief (excl eigen arbeid)]],""))</f>
        <v/>
      </c>
      <c r="BA506" t="str">
        <f>IF(ISNUMBER(FIND("overige",Methode_Keuze)),"",IF(Tb_Activiteiten[[#This Row],[Overige kosten]]=1,Tb_Activiteiten[[#Headers],[Overige kosten]],""))</f>
        <v/>
      </c>
    </row>
    <row r="507" spans="1:53" x14ac:dyDescent="0.25">
      <c r="A507" s="231"/>
      <c r="F507" s="64"/>
      <c r="G507" s="64"/>
      <c r="H507" s="275"/>
      <c r="I507" s="275"/>
      <c r="J507" s="275"/>
      <c r="K507" s="275"/>
      <c r="O507" s="56"/>
      <c r="Q507" t="str">
        <f>IFERROR(IF(VLOOKUP(Tb_Activiteiten[[#This Row],[Openstelling]],Tb_Openstelling[],2,0)=1,1,""),"")</f>
        <v/>
      </c>
      <c r="AK507" t="str">
        <f>IF(ISNUMBER(FIND("arbeid",Methode_Keuze)),"",IF(ISNUMBER(FIND("arbeid",Methode_Keuze)),"",IF(Tb_Activiteiten[[#This Row],[Loonkosten]]=1,Tb_Activiteiten[[#Headers],[Loonkosten]],"")))</f>
        <v/>
      </c>
      <c r="AL507" t="str">
        <f>IF(ISNUMBER(FIND("arbeid",Methode_Keuze)),"",IF(ISNUMBER(FIND("arbeid",Methode_Keuze)),"",IF(Tb_Activiteiten[[#This Row],[Eigen arbeid]]=1,Tb_Activiteiten[[#Headers],[Eigen arbeid]],"")))</f>
        <v/>
      </c>
      <c r="AM507" t="str">
        <f>IF(ISNUMBER(FIND("arbeid",Methode_Keuze)),"",IF(ISNUMBER(FIND("arbeid",Methode_Keuze)),"",IF(Tb_Activiteiten[[#This Row],[Projectmedewerker]]=1,Tb_Activiteiten[[#Headers],[Projectmedewerker]],"")))</f>
        <v/>
      </c>
      <c r="AN507" t="str">
        <f>IF(ISNUMBER(FIND("arbeid",Methode_Keuze)),"",IF(ISNUMBER(FIND("arbeid",Methode_Keuze)),"",IF(Tb_Activiteiten[[#This Row],[Landbouwer]]=1,Tb_Activiteiten[[#Headers],[Landbouwer]],"")))</f>
        <v/>
      </c>
      <c r="AO507" t="str">
        <f>IF(ISNUMBER(FIND("arbeid",Methode_Keuze)),"",IF(ISNUMBER(FIND("arbeid",Methode_Keuze)),"",IF(Tb_Activiteiten[[#This Row],[Adviseur]]=1,Tb_Activiteiten[[#Headers],[Adviseur]],"")))</f>
        <v/>
      </c>
      <c r="AP507" t="str">
        <f>IF(ISNUMBER(FIND("arbeid",Methode_Keuze)),"",IF(ISNUMBER(FIND("arbeid",Methode_Keuze)),"",IF(Tb_Activiteiten[[#This Row],[Projectleider/Expert]]=1,Tb_Activiteiten[[#Headers],[Projectleider/Expert]],"")))</f>
        <v/>
      </c>
      <c r="AQ507" t="str">
        <f>IF(ISNUMBER(FIND("arbeid",Methode_Keuze)),"",IF(ISNUMBER(FIND("arbeid",Methode_Keuze)),"",IF(Tb_Activiteiten[[#This Row],[Arbeidskosten]]=1,Tb_Activiteiten[[#Headers],[Arbeidskosten]],"")))</f>
        <v/>
      </c>
      <c r="AR507" t="str">
        <f>IF(ISNUMBER(FIND("arbeid",Methode_Keuze)),"",IF(ISNUMBER(FIND("arbeid",Methode_Keuze)),"",IF(Tb_Activiteiten[[#This Row],[Arbeidskosten op basis van IKS]]=1,Tb_Activiteiten[[#Headers],[Arbeidskosten op basis van IKS]],"")))</f>
        <v/>
      </c>
      <c r="AS507" t="str">
        <f>IF(ISNUMBER(FIND("overige",Methode_Keuze)),"",IF(Tb_Activiteiten[[#This Row],[Kosten derden exclusief btw]]=1,Tb_Activiteiten[[#Headers],[Kosten derden exclusief btw]],""))</f>
        <v/>
      </c>
      <c r="AT507" t="str">
        <f>IF(ISNUMBER(FIND("overige",Methode_Keuze)),"",IF(Tb_Activiteiten[[#This Row],[Niet verrekenbare btw]]=1,Tb_Activiteiten[[#Headers],[Niet verrekenbare btw]],""))</f>
        <v/>
      </c>
      <c r="AU507" t="str">
        <f>IF(ISNUMBER(FIND("overige",Methode_Keuze)),"",IF(Tb_Activiteiten[[#This Row],[Grondkosten]]=1,Tb_Activiteiten[[#Headers],[Grondkosten]],""))</f>
        <v/>
      </c>
      <c r="AV507" t="str">
        <f>IF(ISNUMBER(FIND("overige",Methode_Keuze)),"",IF(Tb_Activiteiten[[#This Row],[Bijdrage in natura (overige)]]=1,Tb_Activiteiten[[#Headers],[Bijdrage in natura (overige)]],""))</f>
        <v/>
      </c>
      <c r="AW507" t="str">
        <f>IF(ISNUMBER(FIND("overige",Methode_Keuze)),"",IF(Tb_Activiteiten[[#This Row],[Bijdrage in natura (vrijwilligers)]]=1,Tb_Activiteiten[[#Headers],[Bijdrage in natura (vrijwilligers)]],""))</f>
        <v/>
      </c>
      <c r="AX507" t="str">
        <f>IF(ISNUMBER(FIND("overige",Methode_Keuze)),"",IF(Tb_Activiteiten[[#This Row],[Afschrijvingskosten]]=1,Tb_Activiteiten[[#Headers],[Afschrijvingskosten]],""))</f>
        <v/>
      </c>
      <c r="AY507" t="str">
        <f>IF(ISNUMBER(FIND("overige",Methode_Keuze)),"",IF(Tb_Activiteiten[[#This Row],[Vergoeding]]=1,Tb_Activiteiten[[#Headers],[Vergoeding]],""))</f>
        <v/>
      </c>
      <c r="AZ507" t="str">
        <f>IF(ISNUMBER(FIND("arbeid",Methode_Keuze)),"",IF(Tb_Activiteiten[[#This Row],[Arbeidskosten - vast tarief (excl eigen arbeid)]]=1,Tb_Activiteiten[[#Headers],[Arbeidskosten - vast tarief (excl eigen arbeid)]],""))</f>
        <v/>
      </c>
      <c r="BA507" t="str">
        <f>IF(ISNUMBER(FIND("overige",Methode_Keuze)),"",IF(Tb_Activiteiten[[#This Row],[Overige kosten]]=1,Tb_Activiteiten[[#Headers],[Overige kosten]],""))</f>
        <v/>
      </c>
    </row>
    <row r="508" spans="1:53" x14ac:dyDescent="0.25">
      <c r="A508" s="231"/>
      <c r="F508" s="64"/>
      <c r="G508" s="64"/>
      <c r="H508" s="275"/>
      <c r="I508" s="275"/>
      <c r="J508" s="275"/>
      <c r="K508" s="275"/>
      <c r="O508" s="56"/>
      <c r="Q508" t="str">
        <f>IFERROR(IF(VLOOKUP(Tb_Activiteiten[[#This Row],[Openstelling]],Tb_Openstelling[],2,0)=1,1,""),"")</f>
        <v/>
      </c>
      <c r="AK508" t="str">
        <f>IF(ISNUMBER(FIND("arbeid",Methode_Keuze)),"",IF(ISNUMBER(FIND("arbeid",Methode_Keuze)),"",IF(Tb_Activiteiten[[#This Row],[Loonkosten]]=1,Tb_Activiteiten[[#Headers],[Loonkosten]],"")))</f>
        <v/>
      </c>
      <c r="AL508" t="str">
        <f>IF(ISNUMBER(FIND("arbeid",Methode_Keuze)),"",IF(ISNUMBER(FIND("arbeid",Methode_Keuze)),"",IF(Tb_Activiteiten[[#This Row],[Eigen arbeid]]=1,Tb_Activiteiten[[#Headers],[Eigen arbeid]],"")))</f>
        <v/>
      </c>
      <c r="AM508" t="str">
        <f>IF(ISNUMBER(FIND("arbeid",Methode_Keuze)),"",IF(ISNUMBER(FIND("arbeid",Methode_Keuze)),"",IF(Tb_Activiteiten[[#This Row],[Projectmedewerker]]=1,Tb_Activiteiten[[#Headers],[Projectmedewerker]],"")))</f>
        <v/>
      </c>
      <c r="AN508" t="str">
        <f>IF(ISNUMBER(FIND("arbeid",Methode_Keuze)),"",IF(ISNUMBER(FIND("arbeid",Methode_Keuze)),"",IF(Tb_Activiteiten[[#This Row],[Landbouwer]]=1,Tb_Activiteiten[[#Headers],[Landbouwer]],"")))</f>
        <v/>
      </c>
      <c r="AO508" t="str">
        <f>IF(ISNUMBER(FIND("arbeid",Methode_Keuze)),"",IF(ISNUMBER(FIND("arbeid",Methode_Keuze)),"",IF(Tb_Activiteiten[[#This Row],[Adviseur]]=1,Tb_Activiteiten[[#Headers],[Adviseur]],"")))</f>
        <v/>
      </c>
      <c r="AP508" t="str">
        <f>IF(ISNUMBER(FIND("arbeid",Methode_Keuze)),"",IF(ISNUMBER(FIND("arbeid",Methode_Keuze)),"",IF(Tb_Activiteiten[[#This Row],[Projectleider/Expert]]=1,Tb_Activiteiten[[#Headers],[Projectleider/Expert]],"")))</f>
        <v/>
      </c>
      <c r="AQ508" t="str">
        <f>IF(ISNUMBER(FIND("arbeid",Methode_Keuze)),"",IF(ISNUMBER(FIND("arbeid",Methode_Keuze)),"",IF(Tb_Activiteiten[[#This Row],[Arbeidskosten]]=1,Tb_Activiteiten[[#Headers],[Arbeidskosten]],"")))</f>
        <v/>
      </c>
      <c r="AR508" t="str">
        <f>IF(ISNUMBER(FIND("arbeid",Methode_Keuze)),"",IF(ISNUMBER(FIND("arbeid",Methode_Keuze)),"",IF(Tb_Activiteiten[[#This Row],[Arbeidskosten op basis van IKS]]=1,Tb_Activiteiten[[#Headers],[Arbeidskosten op basis van IKS]],"")))</f>
        <v/>
      </c>
      <c r="AS508" t="str">
        <f>IF(ISNUMBER(FIND("overige",Methode_Keuze)),"",IF(Tb_Activiteiten[[#This Row],[Kosten derden exclusief btw]]=1,Tb_Activiteiten[[#Headers],[Kosten derden exclusief btw]],""))</f>
        <v/>
      </c>
      <c r="AT508" t="str">
        <f>IF(ISNUMBER(FIND("overige",Methode_Keuze)),"",IF(Tb_Activiteiten[[#This Row],[Niet verrekenbare btw]]=1,Tb_Activiteiten[[#Headers],[Niet verrekenbare btw]],""))</f>
        <v/>
      </c>
      <c r="AU508" t="str">
        <f>IF(ISNUMBER(FIND("overige",Methode_Keuze)),"",IF(Tb_Activiteiten[[#This Row],[Grondkosten]]=1,Tb_Activiteiten[[#Headers],[Grondkosten]],""))</f>
        <v/>
      </c>
      <c r="AV508" t="str">
        <f>IF(ISNUMBER(FIND("overige",Methode_Keuze)),"",IF(Tb_Activiteiten[[#This Row],[Bijdrage in natura (overige)]]=1,Tb_Activiteiten[[#Headers],[Bijdrage in natura (overige)]],""))</f>
        <v/>
      </c>
      <c r="AW508" t="str">
        <f>IF(ISNUMBER(FIND("overige",Methode_Keuze)),"",IF(Tb_Activiteiten[[#This Row],[Bijdrage in natura (vrijwilligers)]]=1,Tb_Activiteiten[[#Headers],[Bijdrage in natura (vrijwilligers)]],""))</f>
        <v/>
      </c>
      <c r="AX508" t="str">
        <f>IF(ISNUMBER(FIND("overige",Methode_Keuze)),"",IF(Tb_Activiteiten[[#This Row],[Afschrijvingskosten]]=1,Tb_Activiteiten[[#Headers],[Afschrijvingskosten]],""))</f>
        <v/>
      </c>
      <c r="AY508" t="str">
        <f>IF(ISNUMBER(FIND("overige",Methode_Keuze)),"",IF(Tb_Activiteiten[[#This Row],[Vergoeding]]=1,Tb_Activiteiten[[#Headers],[Vergoeding]],""))</f>
        <v/>
      </c>
      <c r="AZ508" t="str">
        <f>IF(ISNUMBER(FIND("arbeid",Methode_Keuze)),"",IF(Tb_Activiteiten[[#This Row],[Arbeidskosten - vast tarief (excl eigen arbeid)]]=1,Tb_Activiteiten[[#Headers],[Arbeidskosten - vast tarief (excl eigen arbeid)]],""))</f>
        <v/>
      </c>
      <c r="BA508" t="str">
        <f>IF(ISNUMBER(FIND("overige",Methode_Keuze)),"",IF(Tb_Activiteiten[[#This Row],[Overige kosten]]=1,Tb_Activiteiten[[#Headers],[Overige kosten]],""))</f>
        <v/>
      </c>
    </row>
    <row r="509" spans="1:53" x14ac:dyDescent="0.25">
      <c r="A509" s="231"/>
      <c r="F509" s="64"/>
      <c r="G509" s="64"/>
      <c r="H509" s="275"/>
      <c r="I509" s="275"/>
      <c r="J509" s="275"/>
      <c r="K509" s="275"/>
      <c r="O509" s="56"/>
      <c r="Q509" t="str">
        <f>IFERROR(IF(VLOOKUP(Tb_Activiteiten[[#This Row],[Openstelling]],Tb_Openstelling[],2,0)=1,1,""),"")</f>
        <v/>
      </c>
      <c r="AK509" t="str">
        <f>IF(ISNUMBER(FIND("arbeid",Methode_Keuze)),"",IF(ISNUMBER(FIND("arbeid",Methode_Keuze)),"",IF(Tb_Activiteiten[[#This Row],[Loonkosten]]=1,Tb_Activiteiten[[#Headers],[Loonkosten]],"")))</f>
        <v/>
      </c>
      <c r="AL509" t="str">
        <f>IF(ISNUMBER(FIND("arbeid",Methode_Keuze)),"",IF(ISNUMBER(FIND("arbeid",Methode_Keuze)),"",IF(Tb_Activiteiten[[#This Row],[Eigen arbeid]]=1,Tb_Activiteiten[[#Headers],[Eigen arbeid]],"")))</f>
        <v/>
      </c>
      <c r="AM509" t="str">
        <f>IF(ISNUMBER(FIND("arbeid",Methode_Keuze)),"",IF(ISNUMBER(FIND("arbeid",Methode_Keuze)),"",IF(Tb_Activiteiten[[#This Row],[Projectmedewerker]]=1,Tb_Activiteiten[[#Headers],[Projectmedewerker]],"")))</f>
        <v/>
      </c>
      <c r="AN509" t="str">
        <f>IF(ISNUMBER(FIND("arbeid",Methode_Keuze)),"",IF(ISNUMBER(FIND("arbeid",Methode_Keuze)),"",IF(Tb_Activiteiten[[#This Row],[Landbouwer]]=1,Tb_Activiteiten[[#Headers],[Landbouwer]],"")))</f>
        <v/>
      </c>
      <c r="AO509" t="str">
        <f>IF(ISNUMBER(FIND("arbeid",Methode_Keuze)),"",IF(ISNUMBER(FIND("arbeid",Methode_Keuze)),"",IF(Tb_Activiteiten[[#This Row],[Adviseur]]=1,Tb_Activiteiten[[#Headers],[Adviseur]],"")))</f>
        <v/>
      </c>
      <c r="AP509" t="str">
        <f>IF(ISNUMBER(FIND("arbeid",Methode_Keuze)),"",IF(ISNUMBER(FIND("arbeid",Methode_Keuze)),"",IF(Tb_Activiteiten[[#This Row],[Projectleider/Expert]]=1,Tb_Activiteiten[[#Headers],[Projectleider/Expert]],"")))</f>
        <v/>
      </c>
      <c r="AQ509" t="str">
        <f>IF(ISNUMBER(FIND("arbeid",Methode_Keuze)),"",IF(ISNUMBER(FIND("arbeid",Methode_Keuze)),"",IF(Tb_Activiteiten[[#This Row],[Arbeidskosten]]=1,Tb_Activiteiten[[#Headers],[Arbeidskosten]],"")))</f>
        <v/>
      </c>
      <c r="AR509" t="str">
        <f>IF(ISNUMBER(FIND("arbeid",Methode_Keuze)),"",IF(ISNUMBER(FIND("arbeid",Methode_Keuze)),"",IF(Tb_Activiteiten[[#This Row],[Arbeidskosten op basis van IKS]]=1,Tb_Activiteiten[[#Headers],[Arbeidskosten op basis van IKS]],"")))</f>
        <v/>
      </c>
      <c r="AS509" t="str">
        <f>IF(ISNUMBER(FIND("overige",Methode_Keuze)),"",IF(Tb_Activiteiten[[#This Row],[Kosten derden exclusief btw]]=1,Tb_Activiteiten[[#Headers],[Kosten derden exclusief btw]],""))</f>
        <v/>
      </c>
      <c r="AT509" t="str">
        <f>IF(ISNUMBER(FIND("overige",Methode_Keuze)),"",IF(Tb_Activiteiten[[#This Row],[Niet verrekenbare btw]]=1,Tb_Activiteiten[[#Headers],[Niet verrekenbare btw]],""))</f>
        <v/>
      </c>
      <c r="AU509" t="str">
        <f>IF(ISNUMBER(FIND("overige",Methode_Keuze)),"",IF(Tb_Activiteiten[[#This Row],[Grondkosten]]=1,Tb_Activiteiten[[#Headers],[Grondkosten]],""))</f>
        <v/>
      </c>
      <c r="AV509" t="str">
        <f>IF(ISNUMBER(FIND("overige",Methode_Keuze)),"",IF(Tb_Activiteiten[[#This Row],[Bijdrage in natura (overige)]]=1,Tb_Activiteiten[[#Headers],[Bijdrage in natura (overige)]],""))</f>
        <v/>
      </c>
      <c r="AW509" t="str">
        <f>IF(ISNUMBER(FIND("overige",Methode_Keuze)),"",IF(Tb_Activiteiten[[#This Row],[Bijdrage in natura (vrijwilligers)]]=1,Tb_Activiteiten[[#Headers],[Bijdrage in natura (vrijwilligers)]],""))</f>
        <v/>
      </c>
      <c r="AX509" t="str">
        <f>IF(ISNUMBER(FIND("overige",Methode_Keuze)),"",IF(Tb_Activiteiten[[#This Row],[Afschrijvingskosten]]=1,Tb_Activiteiten[[#Headers],[Afschrijvingskosten]],""))</f>
        <v/>
      </c>
      <c r="AY509" t="str">
        <f>IF(ISNUMBER(FIND("overige",Methode_Keuze)),"",IF(Tb_Activiteiten[[#This Row],[Vergoeding]]=1,Tb_Activiteiten[[#Headers],[Vergoeding]],""))</f>
        <v/>
      </c>
      <c r="AZ509" t="str">
        <f>IF(ISNUMBER(FIND("arbeid",Methode_Keuze)),"",IF(Tb_Activiteiten[[#This Row],[Arbeidskosten - vast tarief (excl eigen arbeid)]]=1,Tb_Activiteiten[[#Headers],[Arbeidskosten - vast tarief (excl eigen arbeid)]],""))</f>
        <v/>
      </c>
      <c r="BA509" t="str">
        <f>IF(ISNUMBER(FIND("overige",Methode_Keuze)),"",IF(Tb_Activiteiten[[#This Row],[Overige kosten]]=1,Tb_Activiteiten[[#Headers],[Overige kosten]],""))</f>
        <v/>
      </c>
    </row>
    <row r="510" spans="1:53" x14ac:dyDescent="0.25">
      <c r="A510" s="231"/>
      <c r="F510" s="64"/>
      <c r="G510" s="64"/>
      <c r="H510" s="275"/>
      <c r="I510" s="275"/>
      <c r="J510" s="275"/>
      <c r="K510" s="275"/>
      <c r="O510" s="56"/>
      <c r="Q510" t="str">
        <f>IFERROR(IF(VLOOKUP(Tb_Activiteiten[[#This Row],[Openstelling]],Tb_Openstelling[],2,0)=1,1,""),"")</f>
        <v/>
      </c>
      <c r="AK510" t="str">
        <f>IF(ISNUMBER(FIND("arbeid",Methode_Keuze)),"",IF(ISNUMBER(FIND("arbeid",Methode_Keuze)),"",IF(Tb_Activiteiten[[#This Row],[Loonkosten]]=1,Tb_Activiteiten[[#Headers],[Loonkosten]],"")))</f>
        <v/>
      </c>
      <c r="AL510" t="str">
        <f>IF(ISNUMBER(FIND("arbeid",Methode_Keuze)),"",IF(ISNUMBER(FIND("arbeid",Methode_Keuze)),"",IF(Tb_Activiteiten[[#This Row],[Eigen arbeid]]=1,Tb_Activiteiten[[#Headers],[Eigen arbeid]],"")))</f>
        <v/>
      </c>
      <c r="AM510" t="str">
        <f>IF(ISNUMBER(FIND("arbeid",Methode_Keuze)),"",IF(ISNUMBER(FIND("arbeid",Methode_Keuze)),"",IF(Tb_Activiteiten[[#This Row],[Projectmedewerker]]=1,Tb_Activiteiten[[#Headers],[Projectmedewerker]],"")))</f>
        <v/>
      </c>
      <c r="AN510" t="str">
        <f>IF(ISNUMBER(FIND("arbeid",Methode_Keuze)),"",IF(ISNUMBER(FIND("arbeid",Methode_Keuze)),"",IF(Tb_Activiteiten[[#This Row],[Landbouwer]]=1,Tb_Activiteiten[[#Headers],[Landbouwer]],"")))</f>
        <v/>
      </c>
      <c r="AO510" t="str">
        <f>IF(ISNUMBER(FIND("arbeid",Methode_Keuze)),"",IF(ISNUMBER(FIND("arbeid",Methode_Keuze)),"",IF(Tb_Activiteiten[[#This Row],[Adviseur]]=1,Tb_Activiteiten[[#Headers],[Adviseur]],"")))</f>
        <v/>
      </c>
      <c r="AP510" t="str">
        <f>IF(ISNUMBER(FIND("arbeid",Methode_Keuze)),"",IF(ISNUMBER(FIND("arbeid",Methode_Keuze)),"",IF(Tb_Activiteiten[[#This Row],[Projectleider/Expert]]=1,Tb_Activiteiten[[#Headers],[Projectleider/Expert]],"")))</f>
        <v/>
      </c>
      <c r="AQ510" t="str">
        <f>IF(ISNUMBER(FIND("arbeid",Methode_Keuze)),"",IF(ISNUMBER(FIND("arbeid",Methode_Keuze)),"",IF(Tb_Activiteiten[[#This Row],[Arbeidskosten]]=1,Tb_Activiteiten[[#Headers],[Arbeidskosten]],"")))</f>
        <v/>
      </c>
      <c r="AR510" t="str">
        <f>IF(ISNUMBER(FIND("arbeid",Methode_Keuze)),"",IF(ISNUMBER(FIND("arbeid",Methode_Keuze)),"",IF(Tb_Activiteiten[[#This Row],[Arbeidskosten op basis van IKS]]=1,Tb_Activiteiten[[#Headers],[Arbeidskosten op basis van IKS]],"")))</f>
        <v/>
      </c>
      <c r="AS510" t="str">
        <f>IF(ISNUMBER(FIND("overige",Methode_Keuze)),"",IF(Tb_Activiteiten[[#This Row],[Kosten derden exclusief btw]]=1,Tb_Activiteiten[[#Headers],[Kosten derden exclusief btw]],""))</f>
        <v/>
      </c>
      <c r="AT510" t="str">
        <f>IF(ISNUMBER(FIND("overige",Methode_Keuze)),"",IF(Tb_Activiteiten[[#This Row],[Niet verrekenbare btw]]=1,Tb_Activiteiten[[#Headers],[Niet verrekenbare btw]],""))</f>
        <v/>
      </c>
      <c r="AU510" t="str">
        <f>IF(ISNUMBER(FIND("overige",Methode_Keuze)),"",IF(Tb_Activiteiten[[#This Row],[Grondkosten]]=1,Tb_Activiteiten[[#Headers],[Grondkosten]],""))</f>
        <v/>
      </c>
      <c r="AV510" t="str">
        <f>IF(ISNUMBER(FIND("overige",Methode_Keuze)),"",IF(Tb_Activiteiten[[#This Row],[Bijdrage in natura (overige)]]=1,Tb_Activiteiten[[#Headers],[Bijdrage in natura (overige)]],""))</f>
        <v/>
      </c>
      <c r="AW510" t="str">
        <f>IF(ISNUMBER(FIND("overige",Methode_Keuze)),"",IF(Tb_Activiteiten[[#This Row],[Bijdrage in natura (vrijwilligers)]]=1,Tb_Activiteiten[[#Headers],[Bijdrage in natura (vrijwilligers)]],""))</f>
        <v/>
      </c>
      <c r="AX510" t="str">
        <f>IF(ISNUMBER(FIND("overige",Methode_Keuze)),"",IF(Tb_Activiteiten[[#This Row],[Afschrijvingskosten]]=1,Tb_Activiteiten[[#Headers],[Afschrijvingskosten]],""))</f>
        <v/>
      </c>
      <c r="AY510" t="str">
        <f>IF(ISNUMBER(FIND("overige",Methode_Keuze)),"",IF(Tb_Activiteiten[[#This Row],[Vergoeding]]=1,Tb_Activiteiten[[#Headers],[Vergoeding]],""))</f>
        <v/>
      </c>
      <c r="AZ510" t="str">
        <f>IF(ISNUMBER(FIND("arbeid",Methode_Keuze)),"",IF(Tb_Activiteiten[[#This Row],[Arbeidskosten - vast tarief (excl eigen arbeid)]]=1,Tb_Activiteiten[[#Headers],[Arbeidskosten - vast tarief (excl eigen arbeid)]],""))</f>
        <v/>
      </c>
      <c r="BA510" t="str">
        <f>IF(ISNUMBER(FIND("overige",Methode_Keuze)),"",IF(Tb_Activiteiten[[#This Row],[Overige kosten]]=1,Tb_Activiteiten[[#Headers],[Overige kosten]],""))</f>
        <v/>
      </c>
    </row>
    <row r="511" spans="1:53" x14ac:dyDescent="0.25">
      <c r="A511" s="231"/>
      <c r="F511" s="64"/>
      <c r="G511" s="64"/>
      <c r="H511" s="275"/>
      <c r="I511" s="275"/>
      <c r="J511" s="275"/>
      <c r="K511" s="275"/>
      <c r="O511" s="56"/>
      <c r="Q511" t="str">
        <f>IFERROR(IF(VLOOKUP(Tb_Activiteiten[[#This Row],[Openstelling]],Tb_Openstelling[],2,0)=1,1,""),"")</f>
        <v/>
      </c>
      <c r="AK511" t="str">
        <f>IF(ISNUMBER(FIND("arbeid",Methode_Keuze)),"",IF(ISNUMBER(FIND("arbeid",Methode_Keuze)),"",IF(Tb_Activiteiten[[#This Row],[Loonkosten]]=1,Tb_Activiteiten[[#Headers],[Loonkosten]],"")))</f>
        <v/>
      </c>
      <c r="AL511" t="str">
        <f>IF(ISNUMBER(FIND("arbeid",Methode_Keuze)),"",IF(ISNUMBER(FIND("arbeid",Methode_Keuze)),"",IF(Tb_Activiteiten[[#This Row],[Eigen arbeid]]=1,Tb_Activiteiten[[#Headers],[Eigen arbeid]],"")))</f>
        <v/>
      </c>
      <c r="AM511" t="str">
        <f>IF(ISNUMBER(FIND("arbeid",Methode_Keuze)),"",IF(ISNUMBER(FIND("arbeid",Methode_Keuze)),"",IF(Tb_Activiteiten[[#This Row],[Projectmedewerker]]=1,Tb_Activiteiten[[#Headers],[Projectmedewerker]],"")))</f>
        <v/>
      </c>
      <c r="AN511" t="str">
        <f>IF(ISNUMBER(FIND("arbeid",Methode_Keuze)),"",IF(ISNUMBER(FIND("arbeid",Methode_Keuze)),"",IF(Tb_Activiteiten[[#This Row],[Landbouwer]]=1,Tb_Activiteiten[[#Headers],[Landbouwer]],"")))</f>
        <v/>
      </c>
      <c r="AO511" t="str">
        <f>IF(ISNUMBER(FIND("arbeid",Methode_Keuze)),"",IF(ISNUMBER(FIND("arbeid",Methode_Keuze)),"",IF(Tb_Activiteiten[[#This Row],[Adviseur]]=1,Tb_Activiteiten[[#Headers],[Adviseur]],"")))</f>
        <v/>
      </c>
      <c r="AP511" t="str">
        <f>IF(ISNUMBER(FIND("arbeid",Methode_Keuze)),"",IF(ISNUMBER(FIND("arbeid",Methode_Keuze)),"",IF(Tb_Activiteiten[[#This Row],[Projectleider/Expert]]=1,Tb_Activiteiten[[#Headers],[Projectleider/Expert]],"")))</f>
        <v/>
      </c>
      <c r="AQ511" t="str">
        <f>IF(ISNUMBER(FIND("arbeid",Methode_Keuze)),"",IF(ISNUMBER(FIND("arbeid",Methode_Keuze)),"",IF(Tb_Activiteiten[[#This Row],[Arbeidskosten]]=1,Tb_Activiteiten[[#Headers],[Arbeidskosten]],"")))</f>
        <v/>
      </c>
      <c r="AR511" t="str">
        <f>IF(ISNUMBER(FIND("arbeid",Methode_Keuze)),"",IF(ISNUMBER(FIND("arbeid",Methode_Keuze)),"",IF(Tb_Activiteiten[[#This Row],[Arbeidskosten op basis van IKS]]=1,Tb_Activiteiten[[#Headers],[Arbeidskosten op basis van IKS]],"")))</f>
        <v/>
      </c>
      <c r="AS511" t="str">
        <f>IF(ISNUMBER(FIND("overige",Methode_Keuze)),"",IF(Tb_Activiteiten[[#This Row],[Kosten derden exclusief btw]]=1,Tb_Activiteiten[[#Headers],[Kosten derden exclusief btw]],""))</f>
        <v/>
      </c>
      <c r="AT511" t="str">
        <f>IF(ISNUMBER(FIND("overige",Methode_Keuze)),"",IF(Tb_Activiteiten[[#This Row],[Niet verrekenbare btw]]=1,Tb_Activiteiten[[#Headers],[Niet verrekenbare btw]],""))</f>
        <v/>
      </c>
      <c r="AU511" t="str">
        <f>IF(ISNUMBER(FIND("overige",Methode_Keuze)),"",IF(Tb_Activiteiten[[#This Row],[Grondkosten]]=1,Tb_Activiteiten[[#Headers],[Grondkosten]],""))</f>
        <v/>
      </c>
      <c r="AV511" t="str">
        <f>IF(ISNUMBER(FIND("overige",Methode_Keuze)),"",IF(Tb_Activiteiten[[#This Row],[Bijdrage in natura (overige)]]=1,Tb_Activiteiten[[#Headers],[Bijdrage in natura (overige)]],""))</f>
        <v/>
      </c>
      <c r="AW511" t="str">
        <f>IF(ISNUMBER(FIND("overige",Methode_Keuze)),"",IF(Tb_Activiteiten[[#This Row],[Bijdrage in natura (vrijwilligers)]]=1,Tb_Activiteiten[[#Headers],[Bijdrage in natura (vrijwilligers)]],""))</f>
        <v/>
      </c>
      <c r="AX511" t="str">
        <f>IF(ISNUMBER(FIND("overige",Methode_Keuze)),"",IF(Tb_Activiteiten[[#This Row],[Afschrijvingskosten]]=1,Tb_Activiteiten[[#Headers],[Afschrijvingskosten]],""))</f>
        <v/>
      </c>
      <c r="AY511" t="str">
        <f>IF(ISNUMBER(FIND("overige",Methode_Keuze)),"",IF(Tb_Activiteiten[[#This Row],[Vergoeding]]=1,Tb_Activiteiten[[#Headers],[Vergoeding]],""))</f>
        <v/>
      </c>
      <c r="AZ511" t="str">
        <f>IF(ISNUMBER(FIND("arbeid",Methode_Keuze)),"",IF(Tb_Activiteiten[[#This Row],[Arbeidskosten - vast tarief (excl eigen arbeid)]]=1,Tb_Activiteiten[[#Headers],[Arbeidskosten - vast tarief (excl eigen arbeid)]],""))</f>
        <v/>
      </c>
      <c r="BA511" t="str">
        <f>IF(ISNUMBER(FIND("overige",Methode_Keuze)),"",IF(Tb_Activiteiten[[#This Row],[Overige kosten]]=1,Tb_Activiteiten[[#Headers],[Overige kosten]],""))</f>
        <v/>
      </c>
    </row>
    <row r="512" spans="1:53" x14ac:dyDescent="0.25">
      <c r="A512" s="231"/>
      <c r="F512" s="64"/>
      <c r="G512" s="64"/>
      <c r="H512" s="275"/>
      <c r="I512" s="275"/>
      <c r="J512" s="275"/>
      <c r="K512" s="275"/>
      <c r="O512" s="56"/>
      <c r="Q512" t="str">
        <f>IFERROR(IF(VLOOKUP(Tb_Activiteiten[[#This Row],[Openstelling]],Tb_Openstelling[],2,0)=1,1,""),"")</f>
        <v/>
      </c>
      <c r="AK512" t="str">
        <f>IF(ISNUMBER(FIND("arbeid",Methode_Keuze)),"",IF(ISNUMBER(FIND("arbeid",Methode_Keuze)),"",IF(Tb_Activiteiten[[#This Row],[Loonkosten]]=1,Tb_Activiteiten[[#Headers],[Loonkosten]],"")))</f>
        <v/>
      </c>
      <c r="AL512" t="str">
        <f>IF(ISNUMBER(FIND("arbeid",Methode_Keuze)),"",IF(ISNUMBER(FIND("arbeid",Methode_Keuze)),"",IF(Tb_Activiteiten[[#This Row],[Eigen arbeid]]=1,Tb_Activiteiten[[#Headers],[Eigen arbeid]],"")))</f>
        <v/>
      </c>
      <c r="AM512" t="str">
        <f>IF(ISNUMBER(FIND("arbeid",Methode_Keuze)),"",IF(ISNUMBER(FIND("arbeid",Methode_Keuze)),"",IF(Tb_Activiteiten[[#This Row],[Projectmedewerker]]=1,Tb_Activiteiten[[#Headers],[Projectmedewerker]],"")))</f>
        <v/>
      </c>
      <c r="AN512" t="str">
        <f>IF(ISNUMBER(FIND("arbeid",Methode_Keuze)),"",IF(ISNUMBER(FIND("arbeid",Methode_Keuze)),"",IF(Tb_Activiteiten[[#This Row],[Landbouwer]]=1,Tb_Activiteiten[[#Headers],[Landbouwer]],"")))</f>
        <v/>
      </c>
      <c r="AO512" t="str">
        <f>IF(ISNUMBER(FIND("arbeid",Methode_Keuze)),"",IF(ISNUMBER(FIND("arbeid",Methode_Keuze)),"",IF(Tb_Activiteiten[[#This Row],[Adviseur]]=1,Tb_Activiteiten[[#Headers],[Adviseur]],"")))</f>
        <v/>
      </c>
      <c r="AP512" t="str">
        <f>IF(ISNUMBER(FIND("arbeid",Methode_Keuze)),"",IF(ISNUMBER(FIND("arbeid",Methode_Keuze)),"",IF(Tb_Activiteiten[[#This Row],[Projectleider/Expert]]=1,Tb_Activiteiten[[#Headers],[Projectleider/Expert]],"")))</f>
        <v/>
      </c>
      <c r="AQ512" t="str">
        <f>IF(ISNUMBER(FIND("arbeid",Methode_Keuze)),"",IF(ISNUMBER(FIND("arbeid",Methode_Keuze)),"",IF(Tb_Activiteiten[[#This Row],[Arbeidskosten]]=1,Tb_Activiteiten[[#Headers],[Arbeidskosten]],"")))</f>
        <v/>
      </c>
      <c r="AR512" t="str">
        <f>IF(ISNUMBER(FIND("arbeid",Methode_Keuze)),"",IF(ISNUMBER(FIND("arbeid",Methode_Keuze)),"",IF(Tb_Activiteiten[[#This Row],[Arbeidskosten op basis van IKS]]=1,Tb_Activiteiten[[#Headers],[Arbeidskosten op basis van IKS]],"")))</f>
        <v/>
      </c>
      <c r="AS512" t="str">
        <f>IF(ISNUMBER(FIND("overige",Methode_Keuze)),"",IF(Tb_Activiteiten[[#This Row],[Kosten derden exclusief btw]]=1,Tb_Activiteiten[[#Headers],[Kosten derden exclusief btw]],""))</f>
        <v/>
      </c>
      <c r="AT512" t="str">
        <f>IF(ISNUMBER(FIND("overige",Methode_Keuze)),"",IF(Tb_Activiteiten[[#This Row],[Niet verrekenbare btw]]=1,Tb_Activiteiten[[#Headers],[Niet verrekenbare btw]],""))</f>
        <v/>
      </c>
      <c r="AU512" t="str">
        <f>IF(ISNUMBER(FIND("overige",Methode_Keuze)),"",IF(Tb_Activiteiten[[#This Row],[Grondkosten]]=1,Tb_Activiteiten[[#Headers],[Grondkosten]],""))</f>
        <v/>
      </c>
      <c r="AV512" t="str">
        <f>IF(ISNUMBER(FIND("overige",Methode_Keuze)),"",IF(Tb_Activiteiten[[#This Row],[Bijdrage in natura (overige)]]=1,Tb_Activiteiten[[#Headers],[Bijdrage in natura (overige)]],""))</f>
        <v/>
      </c>
      <c r="AW512" t="str">
        <f>IF(ISNUMBER(FIND("overige",Methode_Keuze)),"",IF(Tb_Activiteiten[[#This Row],[Bijdrage in natura (vrijwilligers)]]=1,Tb_Activiteiten[[#Headers],[Bijdrage in natura (vrijwilligers)]],""))</f>
        <v/>
      </c>
      <c r="AX512" t="str">
        <f>IF(ISNUMBER(FIND("overige",Methode_Keuze)),"",IF(Tb_Activiteiten[[#This Row],[Afschrijvingskosten]]=1,Tb_Activiteiten[[#Headers],[Afschrijvingskosten]],""))</f>
        <v/>
      </c>
      <c r="AY512" t="str">
        <f>IF(ISNUMBER(FIND("overige",Methode_Keuze)),"",IF(Tb_Activiteiten[[#This Row],[Vergoeding]]=1,Tb_Activiteiten[[#Headers],[Vergoeding]],""))</f>
        <v/>
      </c>
      <c r="AZ512" t="str">
        <f>IF(ISNUMBER(FIND("arbeid",Methode_Keuze)),"",IF(Tb_Activiteiten[[#This Row],[Arbeidskosten - vast tarief (excl eigen arbeid)]]=1,Tb_Activiteiten[[#Headers],[Arbeidskosten - vast tarief (excl eigen arbeid)]],""))</f>
        <v/>
      </c>
      <c r="BA512" t="str">
        <f>IF(ISNUMBER(FIND("overige",Methode_Keuze)),"",IF(Tb_Activiteiten[[#This Row],[Overige kosten]]=1,Tb_Activiteiten[[#Headers],[Overige kosten]],""))</f>
        <v/>
      </c>
    </row>
    <row r="513" spans="1:53" x14ac:dyDescent="0.25">
      <c r="A513" s="231"/>
      <c r="F513" s="64"/>
      <c r="G513" s="64"/>
      <c r="H513" s="275"/>
      <c r="I513" s="275"/>
      <c r="J513" s="275"/>
      <c r="K513" s="275"/>
      <c r="O513" s="56"/>
      <c r="Q513" t="str">
        <f>IFERROR(IF(VLOOKUP(Tb_Activiteiten[[#This Row],[Openstelling]],Tb_Openstelling[],2,0)=1,1,""),"")</f>
        <v/>
      </c>
      <c r="AK513" t="str">
        <f>IF(ISNUMBER(FIND("arbeid",Methode_Keuze)),"",IF(ISNUMBER(FIND("arbeid",Methode_Keuze)),"",IF(Tb_Activiteiten[[#This Row],[Loonkosten]]=1,Tb_Activiteiten[[#Headers],[Loonkosten]],"")))</f>
        <v/>
      </c>
      <c r="AL513" t="str">
        <f>IF(ISNUMBER(FIND("arbeid",Methode_Keuze)),"",IF(ISNUMBER(FIND("arbeid",Methode_Keuze)),"",IF(Tb_Activiteiten[[#This Row],[Eigen arbeid]]=1,Tb_Activiteiten[[#Headers],[Eigen arbeid]],"")))</f>
        <v/>
      </c>
      <c r="AM513" t="str">
        <f>IF(ISNUMBER(FIND("arbeid",Methode_Keuze)),"",IF(ISNUMBER(FIND("arbeid",Methode_Keuze)),"",IF(Tb_Activiteiten[[#This Row],[Projectmedewerker]]=1,Tb_Activiteiten[[#Headers],[Projectmedewerker]],"")))</f>
        <v/>
      </c>
      <c r="AN513" t="str">
        <f>IF(ISNUMBER(FIND("arbeid",Methode_Keuze)),"",IF(ISNUMBER(FIND("arbeid",Methode_Keuze)),"",IF(Tb_Activiteiten[[#This Row],[Landbouwer]]=1,Tb_Activiteiten[[#Headers],[Landbouwer]],"")))</f>
        <v/>
      </c>
      <c r="AO513" t="str">
        <f>IF(ISNUMBER(FIND("arbeid",Methode_Keuze)),"",IF(ISNUMBER(FIND("arbeid",Methode_Keuze)),"",IF(Tb_Activiteiten[[#This Row],[Adviseur]]=1,Tb_Activiteiten[[#Headers],[Adviseur]],"")))</f>
        <v/>
      </c>
      <c r="AP513" t="str">
        <f>IF(ISNUMBER(FIND("arbeid",Methode_Keuze)),"",IF(ISNUMBER(FIND("arbeid",Methode_Keuze)),"",IF(Tb_Activiteiten[[#This Row],[Projectleider/Expert]]=1,Tb_Activiteiten[[#Headers],[Projectleider/Expert]],"")))</f>
        <v/>
      </c>
      <c r="AQ513" t="str">
        <f>IF(ISNUMBER(FIND("arbeid",Methode_Keuze)),"",IF(ISNUMBER(FIND("arbeid",Methode_Keuze)),"",IF(Tb_Activiteiten[[#This Row],[Arbeidskosten]]=1,Tb_Activiteiten[[#Headers],[Arbeidskosten]],"")))</f>
        <v/>
      </c>
      <c r="AR513" t="str">
        <f>IF(ISNUMBER(FIND("arbeid",Methode_Keuze)),"",IF(ISNUMBER(FIND("arbeid",Methode_Keuze)),"",IF(Tb_Activiteiten[[#This Row],[Arbeidskosten op basis van IKS]]=1,Tb_Activiteiten[[#Headers],[Arbeidskosten op basis van IKS]],"")))</f>
        <v/>
      </c>
      <c r="AS513" t="str">
        <f>IF(ISNUMBER(FIND("overige",Methode_Keuze)),"",IF(Tb_Activiteiten[[#This Row],[Kosten derden exclusief btw]]=1,Tb_Activiteiten[[#Headers],[Kosten derden exclusief btw]],""))</f>
        <v/>
      </c>
      <c r="AT513" t="str">
        <f>IF(ISNUMBER(FIND("overige",Methode_Keuze)),"",IF(Tb_Activiteiten[[#This Row],[Niet verrekenbare btw]]=1,Tb_Activiteiten[[#Headers],[Niet verrekenbare btw]],""))</f>
        <v/>
      </c>
      <c r="AU513" t="str">
        <f>IF(ISNUMBER(FIND("overige",Methode_Keuze)),"",IF(Tb_Activiteiten[[#This Row],[Grondkosten]]=1,Tb_Activiteiten[[#Headers],[Grondkosten]],""))</f>
        <v/>
      </c>
      <c r="AV513" t="str">
        <f>IF(ISNUMBER(FIND("overige",Methode_Keuze)),"",IF(Tb_Activiteiten[[#This Row],[Bijdrage in natura (overige)]]=1,Tb_Activiteiten[[#Headers],[Bijdrage in natura (overige)]],""))</f>
        <v/>
      </c>
      <c r="AW513" t="str">
        <f>IF(ISNUMBER(FIND("overige",Methode_Keuze)),"",IF(Tb_Activiteiten[[#This Row],[Bijdrage in natura (vrijwilligers)]]=1,Tb_Activiteiten[[#Headers],[Bijdrage in natura (vrijwilligers)]],""))</f>
        <v/>
      </c>
      <c r="AX513" t="str">
        <f>IF(ISNUMBER(FIND("overige",Methode_Keuze)),"",IF(Tb_Activiteiten[[#This Row],[Afschrijvingskosten]]=1,Tb_Activiteiten[[#Headers],[Afschrijvingskosten]],""))</f>
        <v/>
      </c>
      <c r="AY513" t="str">
        <f>IF(ISNUMBER(FIND("overige",Methode_Keuze)),"",IF(Tb_Activiteiten[[#This Row],[Vergoeding]]=1,Tb_Activiteiten[[#Headers],[Vergoeding]],""))</f>
        <v/>
      </c>
      <c r="AZ513" t="str">
        <f>IF(ISNUMBER(FIND("arbeid",Methode_Keuze)),"",IF(Tb_Activiteiten[[#This Row],[Arbeidskosten - vast tarief (excl eigen arbeid)]]=1,Tb_Activiteiten[[#Headers],[Arbeidskosten - vast tarief (excl eigen arbeid)]],""))</f>
        <v/>
      </c>
      <c r="BA513" t="str">
        <f>IF(ISNUMBER(FIND("overige",Methode_Keuze)),"",IF(Tb_Activiteiten[[#This Row],[Overige kosten]]=1,Tb_Activiteiten[[#Headers],[Overige kosten]],""))</f>
        <v/>
      </c>
    </row>
    <row r="514" spans="1:53" x14ac:dyDescent="0.25">
      <c r="A514" s="231"/>
      <c r="F514" s="64"/>
      <c r="G514" s="64"/>
      <c r="H514" s="275"/>
      <c r="I514" s="275"/>
      <c r="J514" s="275"/>
      <c r="K514" s="275"/>
      <c r="O514" s="56"/>
      <c r="Q514" t="str">
        <f>IFERROR(IF(VLOOKUP(Tb_Activiteiten[[#This Row],[Openstelling]],Tb_Openstelling[],2,0)=1,1,""),"")</f>
        <v/>
      </c>
      <c r="AK514" t="str">
        <f>IF(ISNUMBER(FIND("arbeid",Methode_Keuze)),"",IF(ISNUMBER(FIND("arbeid",Methode_Keuze)),"",IF(Tb_Activiteiten[[#This Row],[Loonkosten]]=1,Tb_Activiteiten[[#Headers],[Loonkosten]],"")))</f>
        <v/>
      </c>
      <c r="AL514" t="str">
        <f>IF(ISNUMBER(FIND("arbeid",Methode_Keuze)),"",IF(ISNUMBER(FIND("arbeid",Methode_Keuze)),"",IF(Tb_Activiteiten[[#This Row],[Eigen arbeid]]=1,Tb_Activiteiten[[#Headers],[Eigen arbeid]],"")))</f>
        <v/>
      </c>
      <c r="AM514" t="str">
        <f>IF(ISNUMBER(FIND("arbeid",Methode_Keuze)),"",IF(ISNUMBER(FIND("arbeid",Methode_Keuze)),"",IF(Tb_Activiteiten[[#This Row],[Projectmedewerker]]=1,Tb_Activiteiten[[#Headers],[Projectmedewerker]],"")))</f>
        <v/>
      </c>
      <c r="AN514" t="str">
        <f>IF(ISNUMBER(FIND("arbeid",Methode_Keuze)),"",IF(ISNUMBER(FIND("arbeid",Methode_Keuze)),"",IF(Tb_Activiteiten[[#This Row],[Landbouwer]]=1,Tb_Activiteiten[[#Headers],[Landbouwer]],"")))</f>
        <v/>
      </c>
      <c r="AO514" t="str">
        <f>IF(ISNUMBER(FIND("arbeid",Methode_Keuze)),"",IF(ISNUMBER(FIND("arbeid",Methode_Keuze)),"",IF(Tb_Activiteiten[[#This Row],[Adviseur]]=1,Tb_Activiteiten[[#Headers],[Adviseur]],"")))</f>
        <v/>
      </c>
      <c r="AP514" t="str">
        <f>IF(ISNUMBER(FIND("arbeid",Methode_Keuze)),"",IF(ISNUMBER(FIND("arbeid",Methode_Keuze)),"",IF(Tb_Activiteiten[[#This Row],[Projectleider/Expert]]=1,Tb_Activiteiten[[#Headers],[Projectleider/Expert]],"")))</f>
        <v/>
      </c>
      <c r="AQ514" t="str">
        <f>IF(ISNUMBER(FIND("arbeid",Methode_Keuze)),"",IF(ISNUMBER(FIND("arbeid",Methode_Keuze)),"",IF(Tb_Activiteiten[[#This Row],[Arbeidskosten]]=1,Tb_Activiteiten[[#Headers],[Arbeidskosten]],"")))</f>
        <v/>
      </c>
      <c r="AR514" t="str">
        <f>IF(ISNUMBER(FIND("arbeid",Methode_Keuze)),"",IF(ISNUMBER(FIND("arbeid",Methode_Keuze)),"",IF(Tb_Activiteiten[[#This Row],[Arbeidskosten op basis van IKS]]=1,Tb_Activiteiten[[#Headers],[Arbeidskosten op basis van IKS]],"")))</f>
        <v/>
      </c>
      <c r="AS514" t="str">
        <f>IF(ISNUMBER(FIND("overige",Methode_Keuze)),"",IF(Tb_Activiteiten[[#This Row],[Kosten derden exclusief btw]]=1,Tb_Activiteiten[[#Headers],[Kosten derden exclusief btw]],""))</f>
        <v/>
      </c>
      <c r="AT514" t="str">
        <f>IF(ISNUMBER(FIND("overige",Methode_Keuze)),"",IF(Tb_Activiteiten[[#This Row],[Niet verrekenbare btw]]=1,Tb_Activiteiten[[#Headers],[Niet verrekenbare btw]],""))</f>
        <v/>
      </c>
      <c r="AU514" t="str">
        <f>IF(ISNUMBER(FIND("overige",Methode_Keuze)),"",IF(Tb_Activiteiten[[#This Row],[Grondkosten]]=1,Tb_Activiteiten[[#Headers],[Grondkosten]],""))</f>
        <v/>
      </c>
      <c r="AV514" t="str">
        <f>IF(ISNUMBER(FIND("overige",Methode_Keuze)),"",IF(Tb_Activiteiten[[#This Row],[Bijdrage in natura (overige)]]=1,Tb_Activiteiten[[#Headers],[Bijdrage in natura (overige)]],""))</f>
        <v/>
      </c>
      <c r="AW514" t="str">
        <f>IF(ISNUMBER(FIND("overige",Methode_Keuze)),"",IF(Tb_Activiteiten[[#This Row],[Bijdrage in natura (vrijwilligers)]]=1,Tb_Activiteiten[[#Headers],[Bijdrage in natura (vrijwilligers)]],""))</f>
        <v/>
      </c>
      <c r="AX514" t="str">
        <f>IF(ISNUMBER(FIND("overige",Methode_Keuze)),"",IF(Tb_Activiteiten[[#This Row],[Afschrijvingskosten]]=1,Tb_Activiteiten[[#Headers],[Afschrijvingskosten]],""))</f>
        <v/>
      </c>
      <c r="AY514" t="str">
        <f>IF(ISNUMBER(FIND("overige",Methode_Keuze)),"",IF(Tb_Activiteiten[[#This Row],[Vergoeding]]=1,Tb_Activiteiten[[#Headers],[Vergoeding]],""))</f>
        <v/>
      </c>
      <c r="AZ514" t="str">
        <f>IF(ISNUMBER(FIND("arbeid",Methode_Keuze)),"",IF(Tb_Activiteiten[[#This Row],[Arbeidskosten - vast tarief (excl eigen arbeid)]]=1,Tb_Activiteiten[[#Headers],[Arbeidskosten - vast tarief (excl eigen arbeid)]],""))</f>
        <v/>
      </c>
      <c r="BA514" t="str">
        <f>IF(ISNUMBER(FIND("overige",Methode_Keuze)),"",IF(Tb_Activiteiten[[#This Row],[Overige kosten]]=1,Tb_Activiteiten[[#Headers],[Overige kosten]],""))</f>
        <v/>
      </c>
    </row>
    <row r="515" spans="1:53" x14ac:dyDescent="0.25">
      <c r="A515" s="231"/>
      <c r="F515" s="64"/>
      <c r="G515" s="64"/>
      <c r="H515" s="275"/>
      <c r="I515" s="275"/>
      <c r="J515" s="275"/>
      <c r="K515" s="275"/>
      <c r="O515" s="56"/>
      <c r="Q515" t="str">
        <f>IFERROR(IF(VLOOKUP(Tb_Activiteiten[[#This Row],[Openstelling]],Tb_Openstelling[],2,0)=1,1,""),"")</f>
        <v/>
      </c>
      <c r="AK515" t="str">
        <f>IF(ISNUMBER(FIND("arbeid",Methode_Keuze)),"",IF(ISNUMBER(FIND("arbeid",Methode_Keuze)),"",IF(Tb_Activiteiten[[#This Row],[Loonkosten]]=1,Tb_Activiteiten[[#Headers],[Loonkosten]],"")))</f>
        <v/>
      </c>
      <c r="AL515" t="str">
        <f>IF(ISNUMBER(FIND("arbeid",Methode_Keuze)),"",IF(ISNUMBER(FIND("arbeid",Methode_Keuze)),"",IF(Tb_Activiteiten[[#This Row],[Eigen arbeid]]=1,Tb_Activiteiten[[#Headers],[Eigen arbeid]],"")))</f>
        <v/>
      </c>
      <c r="AM515" t="str">
        <f>IF(ISNUMBER(FIND("arbeid",Methode_Keuze)),"",IF(ISNUMBER(FIND("arbeid",Methode_Keuze)),"",IF(Tb_Activiteiten[[#This Row],[Projectmedewerker]]=1,Tb_Activiteiten[[#Headers],[Projectmedewerker]],"")))</f>
        <v/>
      </c>
      <c r="AN515" t="str">
        <f>IF(ISNUMBER(FIND("arbeid",Methode_Keuze)),"",IF(ISNUMBER(FIND("arbeid",Methode_Keuze)),"",IF(Tb_Activiteiten[[#This Row],[Landbouwer]]=1,Tb_Activiteiten[[#Headers],[Landbouwer]],"")))</f>
        <v/>
      </c>
      <c r="AO515" t="str">
        <f>IF(ISNUMBER(FIND("arbeid",Methode_Keuze)),"",IF(ISNUMBER(FIND("arbeid",Methode_Keuze)),"",IF(Tb_Activiteiten[[#This Row],[Adviseur]]=1,Tb_Activiteiten[[#Headers],[Adviseur]],"")))</f>
        <v/>
      </c>
      <c r="AP515" t="str">
        <f>IF(ISNUMBER(FIND("arbeid",Methode_Keuze)),"",IF(ISNUMBER(FIND("arbeid",Methode_Keuze)),"",IF(Tb_Activiteiten[[#This Row],[Projectleider/Expert]]=1,Tb_Activiteiten[[#Headers],[Projectleider/Expert]],"")))</f>
        <v/>
      </c>
      <c r="AQ515" t="str">
        <f>IF(ISNUMBER(FIND("arbeid",Methode_Keuze)),"",IF(ISNUMBER(FIND("arbeid",Methode_Keuze)),"",IF(Tb_Activiteiten[[#This Row],[Arbeidskosten]]=1,Tb_Activiteiten[[#Headers],[Arbeidskosten]],"")))</f>
        <v/>
      </c>
      <c r="AR515" t="str">
        <f>IF(ISNUMBER(FIND("arbeid",Methode_Keuze)),"",IF(ISNUMBER(FIND("arbeid",Methode_Keuze)),"",IF(Tb_Activiteiten[[#This Row],[Arbeidskosten op basis van IKS]]=1,Tb_Activiteiten[[#Headers],[Arbeidskosten op basis van IKS]],"")))</f>
        <v/>
      </c>
      <c r="AS515" t="str">
        <f>IF(ISNUMBER(FIND("overige",Methode_Keuze)),"",IF(Tb_Activiteiten[[#This Row],[Kosten derden exclusief btw]]=1,Tb_Activiteiten[[#Headers],[Kosten derden exclusief btw]],""))</f>
        <v/>
      </c>
      <c r="AT515" t="str">
        <f>IF(ISNUMBER(FIND("overige",Methode_Keuze)),"",IF(Tb_Activiteiten[[#This Row],[Niet verrekenbare btw]]=1,Tb_Activiteiten[[#Headers],[Niet verrekenbare btw]],""))</f>
        <v/>
      </c>
      <c r="AU515" t="str">
        <f>IF(ISNUMBER(FIND("overige",Methode_Keuze)),"",IF(Tb_Activiteiten[[#This Row],[Grondkosten]]=1,Tb_Activiteiten[[#Headers],[Grondkosten]],""))</f>
        <v/>
      </c>
      <c r="AV515" t="str">
        <f>IF(ISNUMBER(FIND("overige",Methode_Keuze)),"",IF(Tb_Activiteiten[[#This Row],[Bijdrage in natura (overige)]]=1,Tb_Activiteiten[[#Headers],[Bijdrage in natura (overige)]],""))</f>
        <v/>
      </c>
      <c r="AW515" t="str">
        <f>IF(ISNUMBER(FIND("overige",Methode_Keuze)),"",IF(Tb_Activiteiten[[#This Row],[Bijdrage in natura (vrijwilligers)]]=1,Tb_Activiteiten[[#Headers],[Bijdrage in natura (vrijwilligers)]],""))</f>
        <v/>
      </c>
      <c r="AX515" t="str">
        <f>IF(ISNUMBER(FIND("overige",Methode_Keuze)),"",IF(Tb_Activiteiten[[#This Row],[Afschrijvingskosten]]=1,Tb_Activiteiten[[#Headers],[Afschrijvingskosten]],""))</f>
        <v/>
      </c>
      <c r="AY515" t="str">
        <f>IF(ISNUMBER(FIND("overige",Methode_Keuze)),"",IF(Tb_Activiteiten[[#This Row],[Vergoeding]]=1,Tb_Activiteiten[[#Headers],[Vergoeding]],""))</f>
        <v/>
      </c>
      <c r="AZ515" t="str">
        <f>IF(ISNUMBER(FIND("arbeid",Methode_Keuze)),"",IF(Tb_Activiteiten[[#This Row],[Arbeidskosten - vast tarief (excl eigen arbeid)]]=1,Tb_Activiteiten[[#Headers],[Arbeidskosten - vast tarief (excl eigen arbeid)]],""))</f>
        <v/>
      </c>
      <c r="BA515" t="str">
        <f>IF(ISNUMBER(FIND("overige",Methode_Keuze)),"",IF(Tb_Activiteiten[[#This Row],[Overige kosten]]=1,Tb_Activiteiten[[#Headers],[Overige kosten]],""))</f>
        <v/>
      </c>
    </row>
    <row r="516" spans="1:53" x14ac:dyDescent="0.25">
      <c r="A516" s="231"/>
      <c r="F516" s="64"/>
      <c r="G516" s="64"/>
      <c r="H516" s="275"/>
      <c r="I516" s="275"/>
      <c r="J516" s="275"/>
      <c r="K516" s="275"/>
      <c r="O516" s="56"/>
      <c r="Q516" t="str">
        <f>IFERROR(IF(VLOOKUP(Tb_Activiteiten[[#This Row],[Openstelling]],Tb_Openstelling[],2,0)=1,1,""),"")</f>
        <v/>
      </c>
      <c r="AK516" t="str">
        <f>IF(ISNUMBER(FIND("arbeid",Methode_Keuze)),"",IF(ISNUMBER(FIND("arbeid",Methode_Keuze)),"",IF(Tb_Activiteiten[[#This Row],[Loonkosten]]=1,Tb_Activiteiten[[#Headers],[Loonkosten]],"")))</f>
        <v/>
      </c>
      <c r="AL516" t="str">
        <f>IF(ISNUMBER(FIND("arbeid",Methode_Keuze)),"",IF(ISNUMBER(FIND("arbeid",Methode_Keuze)),"",IF(Tb_Activiteiten[[#This Row],[Eigen arbeid]]=1,Tb_Activiteiten[[#Headers],[Eigen arbeid]],"")))</f>
        <v/>
      </c>
      <c r="AM516" t="str">
        <f>IF(ISNUMBER(FIND("arbeid",Methode_Keuze)),"",IF(ISNUMBER(FIND("arbeid",Methode_Keuze)),"",IF(Tb_Activiteiten[[#This Row],[Projectmedewerker]]=1,Tb_Activiteiten[[#Headers],[Projectmedewerker]],"")))</f>
        <v/>
      </c>
      <c r="AN516" t="str">
        <f>IF(ISNUMBER(FIND("arbeid",Methode_Keuze)),"",IF(ISNUMBER(FIND("arbeid",Methode_Keuze)),"",IF(Tb_Activiteiten[[#This Row],[Landbouwer]]=1,Tb_Activiteiten[[#Headers],[Landbouwer]],"")))</f>
        <v/>
      </c>
      <c r="AO516" t="str">
        <f>IF(ISNUMBER(FIND("arbeid",Methode_Keuze)),"",IF(ISNUMBER(FIND("arbeid",Methode_Keuze)),"",IF(Tb_Activiteiten[[#This Row],[Adviseur]]=1,Tb_Activiteiten[[#Headers],[Adviseur]],"")))</f>
        <v/>
      </c>
      <c r="AP516" t="str">
        <f>IF(ISNUMBER(FIND("arbeid",Methode_Keuze)),"",IF(ISNUMBER(FIND("arbeid",Methode_Keuze)),"",IF(Tb_Activiteiten[[#This Row],[Projectleider/Expert]]=1,Tb_Activiteiten[[#Headers],[Projectleider/Expert]],"")))</f>
        <v/>
      </c>
      <c r="AQ516" t="str">
        <f>IF(ISNUMBER(FIND("arbeid",Methode_Keuze)),"",IF(ISNUMBER(FIND("arbeid",Methode_Keuze)),"",IF(Tb_Activiteiten[[#This Row],[Arbeidskosten]]=1,Tb_Activiteiten[[#Headers],[Arbeidskosten]],"")))</f>
        <v/>
      </c>
      <c r="AR516" t="str">
        <f>IF(ISNUMBER(FIND("arbeid",Methode_Keuze)),"",IF(ISNUMBER(FIND("arbeid",Methode_Keuze)),"",IF(Tb_Activiteiten[[#This Row],[Arbeidskosten op basis van IKS]]=1,Tb_Activiteiten[[#Headers],[Arbeidskosten op basis van IKS]],"")))</f>
        <v/>
      </c>
      <c r="AS516" t="str">
        <f>IF(ISNUMBER(FIND("overige",Methode_Keuze)),"",IF(Tb_Activiteiten[[#This Row],[Kosten derden exclusief btw]]=1,Tb_Activiteiten[[#Headers],[Kosten derden exclusief btw]],""))</f>
        <v/>
      </c>
      <c r="AT516" t="str">
        <f>IF(ISNUMBER(FIND("overige",Methode_Keuze)),"",IF(Tb_Activiteiten[[#This Row],[Niet verrekenbare btw]]=1,Tb_Activiteiten[[#Headers],[Niet verrekenbare btw]],""))</f>
        <v/>
      </c>
      <c r="AU516" t="str">
        <f>IF(ISNUMBER(FIND("overige",Methode_Keuze)),"",IF(Tb_Activiteiten[[#This Row],[Grondkosten]]=1,Tb_Activiteiten[[#Headers],[Grondkosten]],""))</f>
        <v/>
      </c>
      <c r="AV516" t="str">
        <f>IF(ISNUMBER(FIND("overige",Methode_Keuze)),"",IF(Tb_Activiteiten[[#This Row],[Bijdrage in natura (overige)]]=1,Tb_Activiteiten[[#Headers],[Bijdrage in natura (overige)]],""))</f>
        <v/>
      </c>
      <c r="AW516" t="str">
        <f>IF(ISNUMBER(FIND("overige",Methode_Keuze)),"",IF(Tb_Activiteiten[[#This Row],[Bijdrage in natura (vrijwilligers)]]=1,Tb_Activiteiten[[#Headers],[Bijdrage in natura (vrijwilligers)]],""))</f>
        <v/>
      </c>
      <c r="AX516" t="str">
        <f>IF(ISNUMBER(FIND("overige",Methode_Keuze)),"",IF(Tb_Activiteiten[[#This Row],[Afschrijvingskosten]]=1,Tb_Activiteiten[[#Headers],[Afschrijvingskosten]],""))</f>
        <v/>
      </c>
      <c r="AY516" t="str">
        <f>IF(ISNUMBER(FIND("overige",Methode_Keuze)),"",IF(Tb_Activiteiten[[#This Row],[Vergoeding]]=1,Tb_Activiteiten[[#Headers],[Vergoeding]],""))</f>
        <v/>
      </c>
      <c r="AZ516" t="str">
        <f>IF(ISNUMBER(FIND("arbeid",Methode_Keuze)),"",IF(Tb_Activiteiten[[#This Row],[Arbeidskosten - vast tarief (excl eigen arbeid)]]=1,Tb_Activiteiten[[#Headers],[Arbeidskosten - vast tarief (excl eigen arbeid)]],""))</f>
        <v/>
      </c>
      <c r="BA516" t="str">
        <f>IF(ISNUMBER(FIND("overige",Methode_Keuze)),"",IF(Tb_Activiteiten[[#This Row],[Overige kosten]]=1,Tb_Activiteiten[[#Headers],[Overige kosten]],""))</f>
        <v/>
      </c>
    </row>
    <row r="517" spans="1:53" x14ac:dyDescent="0.25">
      <c r="A517" s="231"/>
      <c r="F517" s="64"/>
      <c r="G517" s="64"/>
      <c r="H517" s="275"/>
      <c r="I517" s="275"/>
      <c r="J517" s="275"/>
      <c r="K517" s="275"/>
      <c r="O517" s="56"/>
      <c r="Q517" t="str">
        <f>IFERROR(IF(VLOOKUP(Tb_Activiteiten[[#This Row],[Openstelling]],Tb_Openstelling[],2,0)=1,1,""),"")</f>
        <v/>
      </c>
      <c r="AK517" t="str">
        <f>IF(ISNUMBER(FIND("arbeid",Methode_Keuze)),"",IF(ISNUMBER(FIND("arbeid",Methode_Keuze)),"",IF(Tb_Activiteiten[[#This Row],[Loonkosten]]=1,Tb_Activiteiten[[#Headers],[Loonkosten]],"")))</f>
        <v/>
      </c>
      <c r="AL517" t="str">
        <f>IF(ISNUMBER(FIND("arbeid",Methode_Keuze)),"",IF(ISNUMBER(FIND("arbeid",Methode_Keuze)),"",IF(Tb_Activiteiten[[#This Row],[Eigen arbeid]]=1,Tb_Activiteiten[[#Headers],[Eigen arbeid]],"")))</f>
        <v/>
      </c>
      <c r="AM517" t="str">
        <f>IF(ISNUMBER(FIND("arbeid",Methode_Keuze)),"",IF(ISNUMBER(FIND("arbeid",Methode_Keuze)),"",IF(Tb_Activiteiten[[#This Row],[Projectmedewerker]]=1,Tb_Activiteiten[[#Headers],[Projectmedewerker]],"")))</f>
        <v/>
      </c>
      <c r="AN517" t="str">
        <f>IF(ISNUMBER(FIND("arbeid",Methode_Keuze)),"",IF(ISNUMBER(FIND("arbeid",Methode_Keuze)),"",IF(Tb_Activiteiten[[#This Row],[Landbouwer]]=1,Tb_Activiteiten[[#Headers],[Landbouwer]],"")))</f>
        <v/>
      </c>
      <c r="AO517" t="str">
        <f>IF(ISNUMBER(FIND("arbeid",Methode_Keuze)),"",IF(ISNUMBER(FIND("arbeid",Methode_Keuze)),"",IF(Tb_Activiteiten[[#This Row],[Adviseur]]=1,Tb_Activiteiten[[#Headers],[Adviseur]],"")))</f>
        <v/>
      </c>
      <c r="AP517" t="str">
        <f>IF(ISNUMBER(FIND("arbeid",Methode_Keuze)),"",IF(ISNUMBER(FIND("arbeid",Methode_Keuze)),"",IF(Tb_Activiteiten[[#This Row],[Projectleider/Expert]]=1,Tb_Activiteiten[[#Headers],[Projectleider/Expert]],"")))</f>
        <v/>
      </c>
      <c r="AQ517" t="str">
        <f>IF(ISNUMBER(FIND("arbeid",Methode_Keuze)),"",IF(ISNUMBER(FIND("arbeid",Methode_Keuze)),"",IF(Tb_Activiteiten[[#This Row],[Arbeidskosten]]=1,Tb_Activiteiten[[#Headers],[Arbeidskosten]],"")))</f>
        <v/>
      </c>
      <c r="AR517" t="str">
        <f>IF(ISNUMBER(FIND("arbeid",Methode_Keuze)),"",IF(ISNUMBER(FIND("arbeid",Methode_Keuze)),"",IF(Tb_Activiteiten[[#This Row],[Arbeidskosten op basis van IKS]]=1,Tb_Activiteiten[[#Headers],[Arbeidskosten op basis van IKS]],"")))</f>
        <v/>
      </c>
      <c r="AS517" t="str">
        <f>IF(ISNUMBER(FIND("overige",Methode_Keuze)),"",IF(Tb_Activiteiten[[#This Row],[Kosten derden exclusief btw]]=1,Tb_Activiteiten[[#Headers],[Kosten derden exclusief btw]],""))</f>
        <v/>
      </c>
      <c r="AT517" t="str">
        <f>IF(ISNUMBER(FIND("overige",Methode_Keuze)),"",IF(Tb_Activiteiten[[#This Row],[Niet verrekenbare btw]]=1,Tb_Activiteiten[[#Headers],[Niet verrekenbare btw]],""))</f>
        <v/>
      </c>
      <c r="AU517" t="str">
        <f>IF(ISNUMBER(FIND("overige",Methode_Keuze)),"",IF(Tb_Activiteiten[[#This Row],[Grondkosten]]=1,Tb_Activiteiten[[#Headers],[Grondkosten]],""))</f>
        <v/>
      </c>
      <c r="AV517" t="str">
        <f>IF(ISNUMBER(FIND("overige",Methode_Keuze)),"",IF(Tb_Activiteiten[[#This Row],[Bijdrage in natura (overige)]]=1,Tb_Activiteiten[[#Headers],[Bijdrage in natura (overige)]],""))</f>
        <v/>
      </c>
      <c r="AW517" t="str">
        <f>IF(ISNUMBER(FIND("overige",Methode_Keuze)),"",IF(Tb_Activiteiten[[#This Row],[Bijdrage in natura (vrijwilligers)]]=1,Tb_Activiteiten[[#Headers],[Bijdrage in natura (vrijwilligers)]],""))</f>
        <v/>
      </c>
      <c r="AX517" t="str">
        <f>IF(ISNUMBER(FIND("overige",Methode_Keuze)),"",IF(Tb_Activiteiten[[#This Row],[Afschrijvingskosten]]=1,Tb_Activiteiten[[#Headers],[Afschrijvingskosten]],""))</f>
        <v/>
      </c>
      <c r="AY517" t="str">
        <f>IF(ISNUMBER(FIND("overige",Methode_Keuze)),"",IF(Tb_Activiteiten[[#This Row],[Vergoeding]]=1,Tb_Activiteiten[[#Headers],[Vergoeding]],""))</f>
        <v/>
      </c>
      <c r="AZ517" t="str">
        <f>IF(ISNUMBER(FIND("arbeid",Methode_Keuze)),"",IF(Tb_Activiteiten[[#This Row],[Arbeidskosten - vast tarief (excl eigen arbeid)]]=1,Tb_Activiteiten[[#Headers],[Arbeidskosten - vast tarief (excl eigen arbeid)]],""))</f>
        <v/>
      </c>
      <c r="BA517" t="str">
        <f>IF(ISNUMBER(FIND("overige",Methode_Keuze)),"",IF(Tb_Activiteiten[[#This Row],[Overige kosten]]=1,Tb_Activiteiten[[#Headers],[Overige kosten]],""))</f>
        <v/>
      </c>
    </row>
    <row r="518" spans="1:53" x14ac:dyDescent="0.25">
      <c r="A518" s="231"/>
      <c r="F518" s="64"/>
      <c r="G518" s="64"/>
      <c r="H518" s="275"/>
      <c r="I518" s="275"/>
      <c r="J518" s="275"/>
      <c r="K518" s="275"/>
      <c r="O518" s="56"/>
      <c r="Q518" t="str">
        <f>IFERROR(IF(VLOOKUP(Tb_Activiteiten[[#This Row],[Openstelling]],Tb_Openstelling[],2,0)=1,1,""),"")</f>
        <v/>
      </c>
      <c r="AK518" t="str">
        <f>IF(ISNUMBER(FIND("arbeid",Methode_Keuze)),"",IF(ISNUMBER(FIND("arbeid",Methode_Keuze)),"",IF(Tb_Activiteiten[[#This Row],[Loonkosten]]=1,Tb_Activiteiten[[#Headers],[Loonkosten]],"")))</f>
        <v/>
      </c>
      <c r="AL518" t="str">
        <f>IF(ISNUMBER(FIND("arbeid",Methode_Keuze)),"",IF(ISNUMBER(FIND("arbeid",Methode_Keuze)),"",IF(Tb_Activiteiten[[#This Row],[Eigen arbeid]]=1,Tb_Activiteiten[[#Headers],[Eigen arbeid]],"")))</f>
        <v/>
      </c>
      <c r="AM518" t="str">
        <f>IF(ISNUMBER(FIND("arbeid",Methode_Keuze)),"",IF(ISNUMBER(FIND("arbeid",Methode_Keuze)),"",IF(Tb_Activiteiten[[#This Row],[Projectmedewerker]]=1,Tb_Activiteiten[[#Headers],[Projectmedewerker]],"")))</f>
        <v/>
      </c>
      <c r="AN518" t="str">
        <f>IF(ISNUMBER(FIND("arbeid",Methode_Keuze)),"",IF(ISNUMBER(FIND("arbeid",Methode_Keuze)),"",IF(Tb_Activiteiten[[#This Row],[Landbouwer]]=1,Tb_Activiteiten[[#Headers],[Landbouwer]],"")))</f>
        <v/>
      </c>
      <c r="AO518" t="str">
        <f>IF(ISNUMBER(FIND("arbeid",Methode_Keuze)),"",IF(ISNUMBER(FIND("arbeid",Methode_Keuze)),"",IF(Tb_Activiteiten[[#This Row],[Adviseur]]=1,Tb_Activiteiten[[#Headers],[Adviseur]],"")))</f>
        <v/>
      </c>
      <c r="AP518" t="str">
        <f>IF(ISNUMBER(FIND("arbeid",Methode_Keuze)),"",IF(ISNUMBER(FIND("arbeid",Methode_Keuze)),"",IF(Tb_Activiteiten[[#This Row],[Projectleider/Expert]]=1,Tb_Activiteiten[[#Headers],[Projectleider/Expert]],"")))</f>
        <v/>
      </c>
      <c r="AQ518" t="str">
        <f>IF(ISNUMBER(FIND("arbeid",Methode_Keuze)),"",IF(ISNUMBER(FIND("arbeid",Methode_Keuze)),"",IF(Tb_Activiteiten[[#This Row],[Arbeidskosten]]=1,Tb_Activiteiten[[#Headers],[Arbeidskosten]],"")))</f>
        <v/>
      </c>
      <c r="AR518" t="str">
        <f>IF(ISNUMBER(FIND("arbeid",Methode_Keuze)),"",IF(ISNUMBER(FIND("arbeid",Methode_Keuze)),"",IF(Tb_Activiteiten[[#This Row],[Arbeidskosten op basis van IKS]]=1,Tb_Activiteiten[[#Headers],[Arbeidskosten op basis van IKS]],"")))</f>
        <v/>
      </c>
      <c r="AS518" t="str">
        <f>IF(ISNUMBER(FIND("overige",Methode_Keuze)),"",IF(Tb_Activiteiten[[#This Row],[Kosten derden exclusief btw]]=1,Tb_Activiteiten[[#Headers],[Kosten derden exclusief btw]],""))</f>
        <v/>
      </c>
      <c r="AT518" t="str">
        <f>IF(ISNUMBER(FIND("overige",Methode_Keuze)),"",IF(Tb_Activiteiten[[#This Row],[Niet verrekenbare btw]]=1,Tb_Activiteiten[[#Headers],[Niet verrekenbare btw]],""))</f>
        <v/>
      </c>
      <c r="AU518" t="str">
        <f>IF(ISNUMBER(FIND("overige",Methode_Keuze)),"",IF(Tb_Activiteiten[[#This Row],[Grondkosten]]=1,Tb_Activiteiten[[#Headers],[Grondkosten]],""))</f>
        <v/>
      </c>
      <c r="AV518" t="str">
        <f>IF(ISNUMBER(FIND("overige",Methode_Keuze)),"",IF(Tb_Activiteiten[[#This Row],[Bijdrage in natura (overige)]]=1,Tb_Activiteiten[[#Headers],[Bijdrage in natura (overige)]],""))</f>
        <v/>
      </c>
      <c r="AW518" t="str">
        <f>IF(ISNUMBER(FIND("overige",Methode_Keuze)),"",IF(Tb_Activiteiten[[#This Row],[Bijdrage in natura (vrijwilligers)]]=1,Tb_Activiteiten[[#Headers],[Bijdrage in natura (vrijwilligers)]],""))</f>
        <v/>
      </c>
      <c r="AX518" t="str">
        <f>IF(ISNUMBER(FIND("overige",Methode_Keuze)),"",IF(Tb_Activiteiten[[#This Row],[Afschrijvingskosten]]=1,Tb_Activiteiten[[#Headers],[Afschrijvingskosten]],""))</f>
        <v/>
      </c>
      <c r="AY518" t="str">
        <f>IF(ISNUMBER(FIND("overige",Methode_Keuze)),"",IF(Tb_Activiteiten[[#This Row],[Vergoeding]]=1,Tb_Activiteiten[[#Headers],[Vergoeding]],""))</f>
        <v/>
      </c>
      <c r="AZ518" t="str">
        <f>IF(ISNUMBER(FIND("arbeid",Methode_Keuze)),"",IF(Tb_Activiteiten[[#This Row],[Arbeidskosten - vast tarief (excl eigen arbeid)]]=1,Tb_Activiteiten[[#Headers],[Arbeidskosten - vast tarief (excl eigen arbeid)]],""))</f>
        <v/>
      </c>
      <c r="BA518" t="str">
        <f>IF(ISNUMBER(FIND("overige",Methode_Keuze)),"",IF(Tb_Activiteiten[[#This Row],[Overige kosten]]=1,Tb_Activiteiten[[#Headers],[Overige kosten]],""))</f>
        <v/>
      </c>
    </row>
    <row r="519" spans="1:53" x14ac:dyDescent="0.25">
      <c r="A519" s="231"/>
      <c r="F519" s="64"/>
      <c r="G519" s="64"/>
      <c r="H519" s="275"/>
      <c r="I519" s="275"/>
      <c r="J519" s="275"/>
      <c r="K519" s="275"/>
      <c r="O519" s="56"/>
      <c r="Q519" t="str">
        <f>IFERROR(IF(VLOOKUP(Tb_Activiteiten[[#This Row],[Openstelling]],Tb_Openstelling[],2,0)=1,1,""),"")</f>
        <v/>
      </c>
      <c r="AK519" t="str">
        <f>IF(ISNUMBER(FIND("arbeid",Methode_Keuze)),"",IF(ISNUMBER(FIND("arbeid",Methode_Keuze)),"",IF(Tb_Activiteiten[[#This Row],[Loonkosten]]=1,Tb_Activiteiten[[#Headers],[Loonkosten]],"")))</f>
        <v/>
      </c>
      <c r="AL519" t="str">
        <f>IF(ISNUMBER(FIND("arbeid",Methode_Keuze)),"",IF(ISNUMBER(FIND("arbeid",Methode_Keuze)),"",IF(Tb_Activiteiten[[#This Row],[Eigen arbeid]]=1,Tb_Activiteiten[[#Headers],[Eigen arbeid]],"")))</f>
        <v/>
      </c>
      <c r="AM519" t="str">
        <f>IF(ISNUMBER(FIND("arbeid",Methode_Keuze)),"",IF(ISNUMBER(FIND("arbeid",Methode_Keuze)),"",IF(Tb_Activiteiten[[#This Row],[Projectmedewerker]]=1,Tb_Activiteiten[[#Headers],[Projectmedewerker]],"")))</f>
        <v/>
      </c>
      <c r="AN519" t="str">
        <f>IF(ISNUMBER(FIND("arbeid",Methode_Keuze)),"",IF(ISNUMBER(FIND("arbeid",Methode_Keuze)),"",IF(Tb_Activiteiten[[#This Row],[Landbouwer]]=1,Tb_Activiteiten[[#Headers],[Landbouwer]],"")))</f>
        <v/>
      </c>
      <c r="AO519" t="str">
        <f>IF(ISNUMBER(FIND("arbeid",Methode_Keuze)),"",IF(ISNUMBER(FIND("arbeid",Methode_Keuze)),"",IF(Tb_Activiteiten[[#This Row],[Adviseur]]=1,Tb_Activiteiten[[#Headers],[Adviseur]],"")))</f>
        <v/>
      </c>
      <c r="AP519" t="str">
        <f>IF(ISNUMBER(FIND("arbeid",Methode_Keuze)),"",IF(ISNUMBER(FIND("arbeid",Methode_Keuze)),"",IF(Tb_Activiteiten[[#This Row],[Projectleider/Expert]]=1,Tb_Activiteiten[[#Headers],[Projectleider/Expert]],"")))</f>
        <v/>
      </c>
      <c r="AQ519" t="str">
        <f>IF(ISNUMBER(FIND("arbeid",Methode_Keuze)),"",IF(ISNUMBER(FIND("arbeid",Methode_Keuze)),"",IF(Tb_Activiteiten[[#This Row],[Arbeidskosten]]=1,Tb_Activiteiten[[#Headers],[Arbeidskosten]],"")))</f>
        <v/>
      </c>
      <c r="AR519" t="str">
        <f>IF(ISNUMBER(FIND("arbeid",Methode_Keuze)),"",IF(ISNUMBER(FIND("arbeid",Methode_Keuze)),"",IF(Tb_Activiteiten[[#This Row],[Arbeidskosten op basis van IKS]]=1,Tb_Activiteiten[[#Headers],[Arbeidskosten op basis van IKS]],"")))</f>
        <v/>
      </c>
      <c r="AS519" t="str">
        <f>IF(ISNUMBER(FIND("overige",Methode_Keuze)),"",IF(Tb_Activiteiten[[#This Row],[Kosten derden exclusief btw]]=1,Tb_Activiteiten[[#Headers],[Kosten derden exclusief btw]],""))</f>
        <v/>
      </c>
      <c r="AT519" t="str">
        <f>IF(ISNUMBER(FIND("overige",Methode_Keuze)),"",IF(Tb_Activiteiten[[#This Row],[Niet verrekenbare btw]]=1,Tb_Activiteiten[[#Headers],[Niet verrekenbare btw]],""))</f>
        <v/>
      </c>
      <c r="AU519" t="str">
        <f>IF(ISNUMBER(FIND("overige",Methode_Keuze)),"",IF(Tb_Activiteiten[[#This Row],[Grondkosten]]=1,Tb_Activiteiten[[#Headers],[Grondkosten]],""))</f>
        <v/>
      </c>
      <c r="AV519" t="str">
        <f>IF(ISNUMBER(FIND("overige",Methode_Keuze)),"",IF(Tb_Activiteiten[[#This Row],[Bijdrage in natura (overige)]]=1,Tb_Activiteiten[[#Headers],[Bijdrage in natura (overige)]],""))</f>
        <v/>
      </c>
      <c r="AW519" t="str">
        <f>IF(ISNUMBER(FIND("overige",Methode_Keuze)),"",IF(Tb_Activiteiten[[#This Row],[Bijdrage in natura (vrijwilligers)]]=1,Tb_Activiteiten[[#Headers],[Bijdrage in natura (vrijwilligers)]],""))</f>
        <v/>
      </c>
      <c r="AX519" t="str">
        <f>IF(ISNUMBER(FIND("overige",Methode_Keuze)),"",IF(Tb_Activiteiten[[#This Row],[Afschrijvingskosten]]=1,Tb_Activiteiten[[#Headers],[Afschrijvingskosten]],""))</f>
        <v/>
      </c>
      <c r="AY519" t="str">
        <f>IF(ISNUMBER(FIND("overige",Methode_Keuze)),"",IF(Tb_Activiteiten[[#This Row],[Vergoeding]]=1,Tb_Activiteiten[[#Headers],[Vergoeding]],""))</f>
        <v/>
      </c>
      <c r="AZ519" t="str">
        <f>IF(ISNUMBER(FIND("arbeid",Methode_Keuze)),"",IF(Tb_Activiteiten[[#This Row],[Arbeidskosten - vast tarief (excl eigen arbeid)]]=1,Tb_Activiteiten[[#Headers],[Arbeidskosten - vast tarief (excl eigen arbeid)]],""))</f>
        <v/>
      </c>
      <c r="BA519" t="str">
        <f>IF(ISNUMBER(FIND("overige",Methode_Keuze)),"",IF(Tb_Activiteiten[[#This Row],[Overige kosten]]=1,Tb_Activiteiten[[#Headers],[Overige kosten]],""))</f>
        <v/>
      </c>
    </row>
    <row r="520" spans="1:53" x14ac:dyDescent="0.25">
      <c r="A520" s="231"/>
      <c r="F520" s="64"/>
      <c r="G520" s="64"/>
      <c r="H520" s="275"/>
      <c r="I520" s="275"/>
      <c r="J520" s="275"/>
      <c r="K520" s="275"/>
      <c r="O520" s="56"/>
      <c r="Q520" t="str">
        <f>IFERROR(IF(VLOOKUP(Tb_Activiteiten[[#This Row],[Openstelling]],Tb_Openstelling[],2,0)=1,1,""),"")</f>
        <v/>
      </c>
      <c r="AK520" t="str">
        <f>IF(ISNUMBER(FIND("arbeid",Methode_Keuze)),"",IF(ISNUMBER(FIND("arbeid",Methode_Keuze)),"",IF(Tb_Activiteiten[[#This Row],[Loonkosten]]=1,Tb_Activiteiten[[#Headers],[Loonkosten]],"")))</f>
        <v/>
      </c>
      <c r="AL520" t="str">
        <f>IF(ISNUMBER(FIND("arbeid",Methode_Keuze)),"",IF(ISNUMBER(FIND("arbeid",Methode_Keuze)),"",IF(Tb_Activiteiten[[#This Row],[Eigen arbeid]]=1,Tb_Activiteiten[[#Headers],[Eigen arbeid]],"")))</f>
        <v/>
      </c>
      <c r="AM520" t="str">
        <f>IF(ISNUMBER(FIND("arbeid",Methode_Keuze)),"",IF(ISNUMBER(FIND("arbeid",Methode_Keuze)),"",IF(Tb_Activiteiten[[#This Row],[Projectmedewerker]]=1,Tb_Activiteiten[[#Headers],[Projectmedewerker]],"")))</f>
        <v/>
      </c>
      <c r="AN520" t="str">
        <f>IF(ISNUMBER(FIND("arbeid",Methode_Keuze)),"",IF(ISNUMBER(FIND("arbeid",Methode_Keuze)),"",IF(Tb_Activiteiten[[#This Row],[Landbouwer]]=1,Tb_Activiteiten[[#Headers],[Landbouwer]],"")))</f>
        <v/>
      </c>
      <c r="AO520" t="str">
        <f>IF(ISNUMBER(FIND("arbeid",Methode_Keuze)),"",IF(ISNUMBER(FIND("arbeid",Methode_Keuze)),"",IF(Tb_Activiteiten[[#This Row],[Adviseur]]=1,Tb_Activiteiten[[#Headers],[Adviseur]],"")))</f>
        <v/>
      </c>
      <c r="AP520" t="str">
        <f>IF(ISNUMBER(FIND("arbeid",Methode_Keuze)),"",IF(ISNUMBER(FIND("arbeid",Methode_Keuze)),"",IF(Tb_Activiteiten[[#This Row],[Projectleider/Expert]]=1,Tb_Activiteiten[[#Headers],[Projectleider/Expert]],"")))</f>
        <v/>
      </c>
      <c r="AQ520" t="str">
        <f>IF(ISNUMBER(FIND("arbeid",Methode_Keuze)),"",IF(ISNUMBER(FIND("arbeid",Methode_Keuze)),"",IF(Tb_Activiteiten[[#This Row],[Arbeidskosten]]=1,Tb_Activiteiten[[#Headers],[Arbeidskosten]],"")))</f>
        <v/>
      </c>
      <c r="AR520" t="str">
        <f>IF(ISNUMBER(FIND("arbeid",Methode_Keuze)),"",IF(ISNUMBER(FIND("arbeid",Methode_Keuze)),"",IF(Tb_Activiteiten[[#This Row],[Arbeidskosten op basis van IKS]]=1,Tb_Activiteiten[[#Headers],[Arbeidskosten op basis van IKS]],"")))</f>
        <v/>
      </c>
      <c r="AS520" t="str">
        <f>IF(ISNUMBER(FIND("overige",Methode_Keuze)),"",IF(Tb_Activiteiten[[#This Row],[Kosten derden exclusief btw]]=1,Tb_Activiteiten[[#Headers],[Kosten derden exclusief btw]],""))</f>
        <v/>
      </c>
      <c r="AT520" t="str">
        <f>IF(ISNUMBER(FIND("overige",Methode_Keuze)),"",IF(Tb_Activiteiten[[#This Row],[Niet verrekenbare btw]]=1,Tb_Activiteiten[[#Headers],[Niet verrekenbare btw]],""))</f>
        <v/>
      </c>
      <c r="AU520" t="str">
        <f>IF(ISNUMBER(FIND("overige",Methode_Keuze)),"",IF(Tb_Activiteiten[[#This Row],[Grondkosten]]=1,Tb_Activiteiten[[#Headers],[Grondkosten]],""))</f>
        <v/>
      </c>
      <c r="AV520" t="str">
        <f>IF(ISNUMBER(FIND("overige",Methode_Keuze)),"",IF(Tb_Activiteiten[[#This Row],[Bijdrage in natura (overige)]]=1,Tb_Activiteiten[[#Headers],[Bijdrage in natura (overige)]],""))</f>
        <v/>
      </c>
      <c r="AW520" t="str">
        <f>IF(ISNUMBER(FIND("overige",Methode_Keuze)),"",IF(Tb_Activiteiten[[#This Row],[Bijdrage in natura (vrijwilligers)]]=1,Tb_Activiteiten[[#Headers],[Bijdrage in natura (vrijwilligers)]],""))</f>
        <v/>
      </c>
      <c r="AX520" t="str">
        <f>IF(ISNUMBER(FIND("overige",Methode_Keuze)),"",IF(Tb_Activiteiten[[#This Row],[Afschrijvingskosten]]=1,Tb_Activiteiten[[#Headers],[Afschrijvingskosten]],""))</f>
        <v/>
      </c>
      <c r="AY520" t="str">
        <f>IF(ISNUMBER(FIND("overige",Methode_Keuze)),"",IF(Tb_Activiteiten[[#This Row],[Vergoeding]]=1,Tb_Activiteiten[[#Headers],[Vergoeding]],""))</f>
        <v/>
      </c>
      <c r="AZ520" t="str">
        <f>IF(ISNUMBER(FIND("arbeid",Methode_Keuze)),"",IF(Tb_Activiteiten[[#This Row],[Arbeidskosten - vast tarief (excl eigen arbeid)]]=1,Tb_Activiteiten[[#Headers],[Arbeidskosten - vast tarief (excl eigen arbeid)]],""))</f>
        <v/>
      </c>
      <c r="BA520" t="str">
        <f>IF(ISNUMBER(FIND("overige",Methode_Keuze)),"",IF(Tb_Activiteiten[[#This Row],[Overige kosten]]=1,Tb_Activiteiten[[#Headers],[Overige kosten]],""))</f>
        <v/>
      </c>
    </row>
    <row r="521" spans="1:53" x14ac:dyDescent="0.25">
      <c r="A521" s="231"/>
      <c r="F521" s="64"/>
      <c r="G521" s="64"/>
      <c r="H521" s="275"/>
      <c r="I521" s="275"/>
      <c r="J521" s="275"/>
      <c r="K521" s="275"/>
      <c r="O521" s="56"/>
      <c r="Q521" t="str">
        <f>IFERROR(IF(VLOOKUP(Tb_Activiteiten[[#This Row],[Openstelling]],Tb_Openstelling[],2,0)=1,1,""),"")</f>
        <v/>
      </c>
      <c r="AK521" t="str">
        <f>IF(ISNUMBER(FIND("arbeid",Methode_Keuze)),"",IF(ISNUMBER(FIND("arbeid",Methode_Keuze)),"",IF(Tb_Activiteiten[[#This Row],[Loonkosten]]=1,Tb_Activiteiten[[#Headers],[Loonkosten]],"")))</f>
        <v/>
      </c>
      <c r="AL521" t="str">
        <f>IF(ISNUMBER(FIND("arbeid",Methode_Keuze)),"",IF(ISNUMBER(FIND("arbeid",Methode_Keuze)),"",IF(Tb_Activiteiten[[#This Row],[Eigen arbeid]]=1,Tb_Activiteiten[[#Headers],[Eigen arbeid]],"")))</f>
        <v/>
      </c>
      <c r="AM521" t="str">
        <f>IF(ISNUMBER(FIND("arbeid",Methode_Keuze)),"",IF(ISNUMBER(FIND("arbeid",Methode_Keuze)),"",IF(Tb_Activiteiten[[#This Row],[Projectmedewerker]]=1,Tb_Activiteiten[[#Headers],[Projectmedewerker]],"")))</f>
        <v/>
      </c>
      <c r="AN521" t="str">
        <f>IF(ISNUMBER(FIND("arbeid",Methode_Keuze)),"",IF(ISNUMBER(FIND("arbeid",Methode_Keuze)),"",IF(Tb_Activiteiten[[#This Row],[Landbouwer]]=1,Tb_Activiteiten[[#Headers],[Landbouwer]],"")))</f>
        <v/>
      </c>
      <c r="AO521" t="str">
        <f>IF(ISNUMBER(FIND("arbeid",Methode_Keuze)),"",IF(ISNUMBER(FIND("arbeid",Methode_Keuze)),"",IF(Tb_Activiteiten[[#This Row],[Adviseur]]=1,Tb_Activiteiten[[#Headers],[Adviseur]],"")))</f>
        <v/>
      </c>
      <c r="AP521" t="str">
        <f>IF(ISNUMBER(FIND("arbeid",Methode_Keuze)),"",IF(ISNUMBER(FIND("arbeid",Methode_Keuze)),"",IF(Tb_Activiteiten[[#This Row],[Projectleider/Expert]]=1,Tb_Activiteiten[[#Headers],[Projectleider/Expert]],"")))</f>
        <v/>
      </c>
      <c r="AQ521" t="str">
        <f>IF(ISNUMBER(FIND("arbeid",Methode_Keuze)),"",IF(ISNUMBER(FIND("arbeid",Methode_Keuze)),"",IF(Tb_Activiteiten[[#This Row],[Arbeidskosten]]=1,Tb_Activiteiten[[#Headers],[Arbeidskosten]],"")))</f>
        <v/>
      </c>
      <c r="AR521" t="str">
        <f>IF(ISNUMBER(FIND("arbeid",Methode_Keuze)),"",IF(ISNUMBER(FIND("arbeid",Methode_Keuze)),"",IF(Tb_Activiteiten[[#This Row],[Arbeidskosten op basis van IKS]]=1,Tb_Activiteiten[[#Headers],[Arbeidskosten op basis van IKS]],"")))</f>
        <v/>
      </c>
      <c r="AS521" t="str">
        <f>IF(ISNUMBER(FIND("overige",Methode_Keuze)),"",IF(Tb_Activiteiten[[#This Row],[Kosten derden exclusief btw]]=1,Tb_Activiteiten[[#Headers],[Kosten derden exclusief btw]],""))</f>
        <v/>
      </c>
      <c r="AT521" t="str">
        <f>IF(ISNUMBER(FIND("overige",Methode_Keuze)),"",IF(Tb_Activiteiten[[#This Row],[Niet verrekenbare btw]]=1,Tb_Activiteiten[[#Headers],[Niet verrekenbare btw]],""))</f>
        <v/>
      </c>
      <c r="AU521" t="str">
        <f>IF(ISNUMBER(FIND("overige",Methode_Keuze)),"",IF(Tb_Activiteiten[[#This Row],[Grondkosten]]=1,Tb_Activiteiten[[#Headers],[Grondkosten]],""))</f>
        <v/>
      </c>
      <c r="AV521" t="str">
        <f>IF(ISNUMBER(FIND("overige",Methode_Keuze)),"",IF(Tb_Activiteiten[[#This Row],[Bijdrage in natura (overige)]]=1,Tb_Activiteiten[[#Headers],[Bijdrage in natura (overige)]],""))</f>
        <v/>
      </c>
      <c r="AW521" t="str">
        <f>IF(ISNUMBER(FIND("overige",Methode_Keuze)),"",IF(Tb_Activiteiten[[#This Row],[Bijdrage in natura (vrijwilligers)]]=1,Tb_Activiteiten[[#Headers],[Bijdrage in natura (vrijwilligers)]],""))</f>
        <v/>
      </c>
      <c r="AX521" t="str">
        <f>IF(ISNUMBER(FIND("overige",Methode_Keuze)),"",IF(Tb_Activiteiten[[#This Row],[Afschrijvingskosten]]=1,Tb_Activiteiten[[#Headers],[Afschrijvingskosten]],""))</f>
        <v/>
      </c>
      <c r="AY521" t="str">
        <f>IF(ISNUMBER(FIND("overige",Methode_Keuze)),"",IF(Tb_Activiteiten[[#This Row],[Vergoeding]]=1,Tb_Activiteiten[[#Headers],[Vergoeding]],""))</f>
        <v/>
      </c>
      <c r="AZ521" t="str">
        <f>IF(ISNUMBER(FIND("arbeid",Methode_Keuze)),"",IF(Tb_Activiteiten[[#This Row],[Arbeidskosten - vast tarief (excl eigen arbeid)]]=1,Tb_Activiteiten[[#Headers],[Arbeidskosten - vast tarief (excl eigen arbeid)]],""))</f>
        <v/>
      </c>
      <c r="BA521" t="str">
        <f>IF(ISNUMBER(FIND("overige",Methode_Keuze)),"",IF(Tb_Activiteiten[[#This Row],[Overige kosten]]=1,Tb_Activiteiten[[#Headers],[Overige kosten]],""))</f>
        <v/>
      </c>
    </row>
    <row r="522" spans="1:53" x14ac:dyDescent="0.25">
      <c r="A522" s="231"/>
      <c r="F522" s="64"/>
      <c r="G522" s="64"/>
      <c r="H522" s="275"/>
      <c r="I522" s="275"/>
      <c r="J522" s="275"/>
      <c r="K522" s="275"/>
      <c r="O522" s="56"/>
      <c r="Q522" t="str">
        <f>IFERROR(IF(VLOOKUP(Tb_Activiteiten[[#This Row],[Openstelling]],Tb_Openstelling[],2,0)=1,1,""),"")</f>
        <v/>
      </c>
      <c r="AK522" t="str">
        <f>IF(ISNUMBER(FIND("arbeid",Methode_Keuze)),"",IF(ISNUMBER(FIND("arbeid",Methode_Keuze)),"",IF(Tb_Activiteiten[[#This Row],[Loonkosten]]=1,Tb_Activiteiten[[#Headers],[Loonkosten]],"")))</f>
        <v/>
      </c>
      <c r="AL522" t="str">
        <f>IF(ISNUMBER(FIND("arbeid",Methode_Keuze)),"",IF(ISNUMBER(FIND("arbeid",Methode_Keuze)),"",IF(Tb_Activiteiten[[#This Row],[Eigen arbeid]]=1,Tb_Activiteiten[[#Headers],[Eigen arbeid]],"")))</f>
        <v/>
      </c>
      <c r="AM522" t="str">
        <f>IF(ISNUMBER(FIND("arbeid",Methode_Keuze)),"",IF(ISNUMBER(FIND("arbeid",Methode_Keuze)),"",IF(Tb_Activiteiten[[#This Row],[Projectmedewerker]]=1,Tb_Activiteiten[[#Headers],[Projectmedewerker]],"")))</f>
        <v/>
      </c>
      <c r="AN522" t="str">
        <f>IF(ISNUMBER(FIND("arbeid",Methode_Keuze)),"",IF(ISNUMBER(FIND("arbeid",Methode_Keuze)),"",IF(Tb_Activiteiten[[#This Row],[Landbouwer]]=1,Tb_Activiteiten[[#Headers],[Landbouwer]],"")))</f>
        <v/>
      </c>
      <c r="AO522" t="str">
        <f>IF(ISNUMBER(FIND("arbeid",Methode_Keuze)),"",IF(ISNUMBER(FIND("arbeid",Methode_Keuze)),"",IF(Tb_Activiteiten[[#This Row],[Adviseur]]=1,Tb_Activiteiten[[#Headers],[Adviseur]],"")))</f>
        <v/>
      </c>
      <c r="AP522" t="str">
        <f>IF(ISNUMBER(FIND("arbeid",Methode_Keuze)),"",IF(ISNUMBER(FIND("arbeid",Methode_Keuze)),"",IF(Tb_Activiteiten[[#This Row],[Projectleider/Expert]]=1,Tb_Activiteiten[[#Headers],[Projectleider/Expert]],"")))</f>
        <v/>
      </c>
      <c r="AQ522" t="str">
        <f>IF(ISNUMBER(FIND("arbeid",Methode_Keuze)),"",IF(ISNUMBER(FIND("arbeid",Methode_Keuze)),"",IF(Tb_Activiteiten[[#This Row],[Arbeidskosten]]=1,Tb_Activiteiten[[#Headers],[Arbeidskosten]],"")))</f>
        <v/>
      </c>
      <c r="AR522" t="str">
        <f>IF(ISNUMBER(FIND("arbeid",Methode_Keuze)),"",IF(ISNUMBER(FIND("arbeid",Methode_Keuze)),"",IF(Tb_Activiteiten[[#This Row],[Arbeidskosten op basis van IKS]]=1,Tb_Activiteiten[[#Headers],[Arbeidskosten op basis van IKS]],"")))</f>
        <v/>
      </c>
      <c r="AS522" t="str">
        <f>IF(ISNUMBER(FIND("overige",Methode_Keuze)),"",IF(Tb_Activiteiten[[#This Row],[Kosten derden exclusief btw]]=1,Tb_Activiteiten[[#Headers],[Kosten derden exclusief btw]],""))</f>
        <v/>
      </c>
      <c r="AT522" t="str">
        <f>IF(ISNUMBER(FIND("overige",Methode_Keuze)),"",IF(Tb_Activiteiten[[#This Row],[Niet verrekenbare btw]]=1,Tb_Activiteiten[[#Headers],[Niet verrekenbare btw]],""))</f>
        <v/>
      </c>
      <c r="AU522" t="str">
        <f>IF(ISNUMBER(FIND("overige",Methode_Keuze)),"",IF(Tb_Activiteiten[[#This Row],[Grondkosten]]=1,Tb_Activiteiten[[#Headers],[Grondkosten]],""))</f>
        <v/>
      </c>
      <c r="AV522" t="str">
        <f>IF(ISNUMBER(FIND("overige",Methode_Keuze)),"",IF(Tb_Activiteiten[[#This Row],[Bijdrage in natura (overige)]]=1,Tb_Activiteiten[[#Headers],[Bijdrage in natura (overige)]],""))</f>
        <v/>
      </c>
      <c r="AW522" t="str">
        <f>IF(ISNUMBER(FIND("overige",Methode_Keuze)),"",IF(Tb_Activiteiten[[#This Row],[Bijdrage in natura (vrijwilligers)]]=1,Tb_Activiteiten[[#Headers],[Bijdrage in natura (vrijwilligers)]],""))</f>
        <v/>
      </c>
      <c r="AX522" t="str">
        <f>IF(ISNUMBER(FIND("overige",Methode_Keuze)),"",IF(Tb_Activiteiten[[#This Row],[Afschrijvingskosten]]=1,Tb_Activiteiten[[#Headers],[Afschrijvingskosten]],""))</f>
        <v/>
      </c>
      <c r="AY522" t="str">
        <f>IF(ISNUMBER(FIND("overige",Methode_Keuze)),"",IF(Tb_Activiteiten[[#This Row],[Vergoeding]]=1,Tb_Activiteiten[[#Headers],[Vergoeding]],""))</f>
        <v/>
      </c>
      <c r="AZ522" t="str">
        <f>IF(ISNUMBER(FIND("arbeid",Methode_Keuze)),"",IF(Tb_Activiteiten[[#This Row],[Arbeidskosten - vast tarief (excl eigen arbeid)]]=1,Tb_Activiteiten[[#Headers],[Arbeidskosten - vast tarief (excl eigen arbeid)]],""))</f>
        <v/>
      </c>
      <c r="BA522" t="str">
        <f>IF(ISNUMBER(FIND("overige",Methode_Keuze)),"",IF(Tb_Activiteiten[[#This Row],[Overige kosten]]=1,Tb_Activiteiten[[#Headers],[Overige kosten]],""))</f>
        <v/>
      </c>
    </row>
    <row r="523" spans="1:53" x14ac:dyDescent="0.25">
      <c r="A523" s="231"/>
      <c r="F523" s="64"/>
      <c r="G523" s="64"/>
      <c r="H523" s="275"/>
      <c r="I523" s="275"/>
      <c r="J523" s="275"/>
      <c r="K523" s="275"/>
      <c r="O523" s="56"/>
      <c r="Q523" t="str">
        <f>IFERROR(IF(VLOOKUP(Tb_Activiteiten[[#This Row],[Openstelling]],Tb_Openstelling[],2,0)=1,1,""),"")</f>
        <v/>
      </c>
      <c r="AK523" t="str">
        <f>IF(ISNUMBER(FIND("arbeid",Methode_Keuze)),"",IF(ISNUMBER(FIND("arbeid",Methode_Keuze)),"",IF(Tb_Activiteiten[[#This Row],[Loonkosten]]=1,Tb_Activiteiten[[#Headers],[Loonkosten]],"")))</f>
        <v/>
      </c>
      <c r="AL523" t="str">
        <f>IF(ISNUMBER(FIND("arbeid",Methode_Keuze)),"",IF(ISNUMBER(FIND("arbeid",Methode_Keuze)),"",IF(Tb_Activiteiten[[#This Row],[Eigen arbeid]]=1,Tb_Activiteiten[[#Headers],[Eigen arbeid]],"")))</f>
        <v/>
      </c>
      <c r="AM523" t="str">
        <f>IF(ISNUMBER(FIND("arbeid",Methode_Keuze)),"",IF(ISNUMBER(FIND("arbeid",Methode_Keuze)),"",IF(Tb_Activiteiten[[#This Row],[Projectmedewerker]]=1,Tb_Activiteiten[[#Headers],[Projectmedewerker]],"")))</f>
        <v/>
      </c>
      <c r="AN523" t="str">
        <f>IF(ISNUMBER(FIND("arbeid",Methode_Keuze)),"",IF(ISNUMBER(FIND("arbeid",Methode_Keuze)),"",IF(Tb_Activiteiten[[#This Row],[Landbouwer]]=1,Tb_Activiteiten[[#Headers],[Landbouwer]],"")))</f>
        <v/>
      </c>
      <c r="AO523" t="str">
        <f>IF(ISNUMBER(FIND("arbeid",Methode_Keuze)),"",IF(ISNUMBER(FIND("arbeid",Methode_Keuze)),"",IF(Tb_Activiteiten[[#This Row],[Adviseur]]=1,Tb_Activiteiten[[#Headers],[Adviseur]],"")))</f>
        <v/>
      </c>
      <c r="AP523" t="str">
        <f>IF(ISNUMBER(FIND("arbeid",Methode_Keuze)),"",IF(ISNUMBER(FIND("arbeid",Methode_Keuze)),"",IF(Tb_Activiteiten[[#This Row],[Projectleider/Expert]]=1,Tb_Activiteiten[[#Headers],[Projectleider/Expert]],"")))</f>
        <v/>
      </c>
      <c r="AQ523" t="str">
        <f>IF(ISNUMBER(FIND("arbeid",Methode_Keuze)),"",IF(ISNUMBER(FIND("arbeid",Methode_Keuze)),"",IF(Tb_Activiteiten[[#This Row],[Arbeidskosten]]=1,Tb_Activiteiten[[#Headers],[Arbeidskosten]],"")))</f>
        <v/>
      </c>
      <c r="AR523" t="str">
        <f>IF(ISNUMBER(FIND("arbeid",Methode_Keuze)),"",IF(ISNUMBER(FIND("arbeid",Methode_Keuze)),"",IF(Tb_Activiteiten[[#This Row],[Arbeidskosten op basis van IKS]]=1,Tb_Activiteiten[[#Headers],[Arbeidskosten op basis van IKS]],"")))</f>
        <v/>
      </c>
      <c r="AS523" t="str">
        <f>IF(ISNUMBER(FIND("overige",Methode_Keuze)),"",IF(Tb_Activiteiten[[#This Row],[Kosten derden exclusief btw]]=1,Tb_Activiteiten[[#Headers],[Kosten derden exclusief btw]],""))</f>
        <v/>
      </c>
      <c r="AT523" t="str">
        <f>IF(ISNUMBER(FIND("overige",Methode_Keuze)),"",IF(Tb_Activiteiten[[#This Row],[Niet verrekenbare btw]]=1,Tb_Activiteiten[[#Headers],[Niet verrekenbare btw]],""))</f>
        <v/>
      </c>
      <c r="AU523" t="str">
        <f>IF(ISNUMBER(FIND("overige",Methode_Keuze)),"",IF(Tb_Activiteiten[[#This Row],[Grondkosten]]=1,Tb_Activiteiten[[#Headers],[Grondkosten]],""))</f>
        <v/>
      </c>
      <c r="AV523" t="str">
        <f>IF(ISNUMBER(FIND("overige",Methode_Keuze)),"",IF(Tb_Activiteiten[[#This Row],[Bijdrage in natura (overige)]]=1,Tb_Activiteiten[[#Headers],[Bijdrage in natura (overige)]],""))</f>
        <v/>
      </c>
      <c r="AW523" t="str">
        <f>IF(ISNUMBER(FIND("overige",Methode_Keuze)),"",IF(Tb_Activiteiten[[#This Row],[Bijdrage in natura (vrijwilligers)]]=1,Tb_Activiteiten[[#Headers],[Bijdrage in natura (vrijwilligers)]],""))</f>
        <v/>
      </c>
      <c r="AX523" t="str">
        <f>IF(ISNUMBER(FIND("overige",Methode_Keuze)),"",IF(Tb_Activiteiten[[#This Row],[Afschrijvingskosten]]=1,Tb_Activiteiten[[#Headers],[Afschrijvingskosten]],""))</f>
        <v/>
      </c>
      <c r="AY523" t="str">
        <f>IF(ISNUMBER(FIND("overige",Methode_Keuze)),"",IF(Tb_Activiteiten[[#This Row],[Vergoeding]]=1,Tb_Activiteiten[[#Headers],[Vergoeding]],""))</f>
        <v/>
      </c>
      <c r="AZ523" t="str">
        <f>IF(ISNUMBER(FIND("arbeid",Methode_Keuze)),"",IF(Tb_Activiteiten[[#This Row],[Arbeidskosten - vast tarief (excl eigen arbeid)]]=1,Tb_Activiteiten[[#Headers],[Arbeidskosten - vast tarief (excl eigen arbeid)]],""))</f>
        <v/>
      </c>
      <c r="BA523" t="str">
        <f>IF(ISNUMBER(FIND("overige",Methode_Keuze)),"",IF(Tb_Activiteiten[[#This Row],[Overige kosten]]=1,Tb_Activiteiten[[#Headers],[Overige kosten]],""))</f>
        <v/>
      </c>
    </row>
    <row r="524" spans="1:53" x14ac:dyDescent="0.25">
      <c r="A524" s="231"/>
      <c r="F524" s="64"/>
      <c r="G524" s="64"/>
      <c r="H524" s="275"/>
      <c r="I524" s="275"/>
      <c r="J524" s="275"/>
      <c r="K524" s="275"/>
      <c r="O524" s="56"/>
      <c r="Q524" t="str">
        <f>IFERROR(IF(VLOOKUP(Tb_Activiteiten[[#This Row],[Openstelling]],Tb_Openstelling[],2,0)=1,1,""),"")</f>
        <v/>
      </c>
      <c r="AK524" t="str">
        <f>IF(ISNUMBER(FIND("arbeid",Methode_Keuze)),"",IF(ISNUMBER(FIND("arbeid",Methode_Keuze)),"",IF(Tb_Activiteiten[[#This Row],[Loonkosten]]=1,Tb_Activiteiten[[#Headers],[Loonkosten]],"")))</f>
        <v/>
      </c>
      <c r="AL524" t="str">
        <f>IF(ISNUMBER(FIND("arbeid",Methode_Keuze)),"",IF(ISNUMBER(FIND("arbeid",Methode_Keuze)),"",IF(Tb_Activiteiten[[#This Row],[Eigen arbeid]]=1,Tb_Activiteiten[[#Headers],[Eigen arbeid]],"")))</f>
        <v/>
      </c>
      <c r="AM524" t="str">
        <f>IF(ISNUMBER(FIND("arbeid",Methode_Keuze)),"",IF(ISNUMBER(FIND("arbeid",Methode_Keuze)),"",IF(Tb_Activiteiten[[#This Row],[Projectmedewerker]]=1,Tb_Activiteiten[[#Headers],[Projectmedewerker]],"")))</f>
        <v/>
      </c>
      <c r="AN524" t="str">
        <f>IF(ISNUMBER(FIND("arbeid",Methode_Keuze)),"",IF(ISNUMBER(FIND("arbeid",Methode_Keuze)),"",IF(Tb_Activiteiten[[#This Row],[Landbouwer]]=1,Tb_Activiteiten[[#Headers],[Landbouwer]],"")))</f>
        <v/>
      </c>
      <c r="AO524" t="str">
        <f>IF(ISNUMBER(FIND("arbeid",Methode_Keuze)),"",IF(ISNUMBER(FIND("arbeid",Methode_Keuze)),"",IF(Tb_Activiteiten[[#This Row],[Adviseur]]=1,Tb_Activiteiten[[#Headers],[Adviseur]],"")))</f>
        <v/>
      </c>
      <c r="AP524" t="str">
        <f>IF(ISNUMBER(FIND("arbeid",Methode_Keuze)),"",IF(ISNUMBER(FIND("arbeid",Methode_Keuze)),"",IF(Tb_Activiteiten[[#This Row],[Projectleider/Expert]]=1,Tb_Activiteiten[[#Headers],[Projectleider/Expert]],"")))</f>
        <v/>
      </c>
      <c r="AQ524" t="str">
        <f>IF(ISNUMBER(FIND("arbeid",Methode_Keuze)),"",IF(ISNUMBER(FIND("arbeid",Methode_Keuze)),"",IF(Tb_Activiteiten[[#This Row],[Arbeidskosten]]=1,Tb_Activiteiten[[#Headers],[Arbeidskosten]],"")))</f>
        <v/>
      </c>
      <c r="AR524" t="str">
        <f>IF(ISNUMBER(FIND("arbeid",Methode_Keuze)),"",IF(ISNUMBER(FIND("arbeid",Methode_Keuze)),"",IF(Tb_Activiteiten[[#This Row],[Arbeidskosten op basis van IKS]]=1,Tb_Activiteiten[[#Headers],[Arbeidskosten op basis van IKS]],"")))</f>
        <v/>
      </c>
      <c r="AS524" t="str">
        <f>IF(ISNUMBER(FIND("overige",Methode_Keuze)),"",IF(Tb_Activiteiten[[#This Row],[Kosten derden exclusief btw]]=1,Tb_Activiteiten[[#Headers],[Kosten derden exclusief btw]],""))</f>
        <v/>
      </c>
      <c r="AT524" t="str">
        <f>IF(ISNUMBER(FIND("overige",Methode_Keuze)),"",IF(Tb_Activiteiten[[#This Row],[Niet verrekenbare btw]]=1,Tb_Activiteiten[[#Headers],[Niet verrekenbare btw]],""))</f>
        <v/>
      </c>
      <c r="AU524" t="str">
        <f>IF(ISNUMBER(FIND("overige",Methode_Keuze)),"",IF(Tb_Activiteiten[[#This Row],[Grondkosten]]=1,Tb_Activiteiten[[#Headers],[Grondkosten]],""))</f>
        <v/>
      </c>
      <c r="AV524" t="str">
        <f>IF(ISNUMBER(FIND("overige",Methode_Keuze)),"",IF(Tb_Activiteiten[[#This Row],[Bijdrage in natura (overige)]]=1,Tb_Activiteiten[[#Headers],[Bijdrage in natura (overige)]],""))</f>
        <v/>
      </c>
      <c r="AW524" t="str">
        <f>IF(ISNUMBER(FIND("overige",Methode_Keuze)),"",IF(Tb_Activiteiten[[#This Row],[Bijdrage in natura (vrijwilligers)]]=1,Tb_Activiteiten[[#Headers],[Bijdrage in natura (vrijwilligers)]],""))</f>
        <v/>
      </c>
      <c r="AX524" t="str">
        <f>IF(ISNUMBER(FIND("overige",Methode_Keuze)),"",IF(Tb_Activiteiten[[#This Row],[Afschrijvingskosten]]=1,Tb_Activiteiten[[#Headers],[Afschrijvingskosten]],""))</f>
        <v/>
      </c>
      <c r="AY524" t="str">
        <f>IF(ISNUMBER(FIND("overige",Methode_Keuze)),"",IF(Tb_Activiteiten[[#This Row],[Vergoeding]]=1,Tb_Activiteiten[[#Headers],[Vergoeding]],""))</f>
        <v/>
      </c>
      <c r="AZ524" t="str">
        <f>IF(ISNUMBER(FIND("arbeid",Methode_Keuze)),"",IF(Tb_Activiteiten[[#This Row],[Arbeidskosten - vast tarief (excl eigen arbeid)]]=1,Tb_Activiteiten[[#Headers],[Arbeidskosten - vast tarief (excl eigen arbeid)]],""))</f>
        <v/>
      </c>
      <c r="BA524" t="str">
        <f>IF(ISNUMBER(FIND("overige",Methode_Keuze)),"",IF(Tb_Activiteiten[[#This Row],[Overige kosten]]=1,Tb_Activiteiten[[#Headers],[Overige kosten]],""))</f>
        <v/>
      </c>
    </row>
    <row r="525" spans="1:53" x14ac:dyDescent="0.25">
      <c r="A525" s="231"/>
      <c r="F525" s="64"/>
      <c r="G525" s="64"/>
      <c r="H525" s="275"/>
      <c r="I525" s="275"/>
      <c r="J525" s="275"/>
      <c r="K525" s="275"/>
      <c r="O525" s="56"/>
      <c r="Q525" t="str">
        <f>IFERROR(IF(VLOOKUP(Tb_Activiteiten[[#This Row],[Openstelling]],Tb_Openstelling[],2,0)=1,1,""),"")</f>
        <v/>
      </c>
      <c r="AK525" t="str">
        <f>IF(ISNUMBER(FIND("arbeid",Methode_Keuze)),"",IF(ISNUMBER(FIND("arbeid",Methode_Keuze)),"",IF(Tb_Activiteiten[[#This Row],[Loonkosten]]=1,Tb_Activiteiten[[#Headers],[Loonkosten]],"")))</f>
        <v/>
      </c>
      <c r="AL525" t="str">
        <f>IF(ISNUMBER(FIND("arbeid",Methode_Keuze)),"",IF(ISNUMBER(FIND("arbeid",Methode_Keuze)),"",IF(Tb_Activiteiten[[#This Row],[Eigen arbeid]]=1,Tb_Activiteiten[[#Headers],[Eigen arbeid]],"")))</f>
        <v/>
      </c>
      <c r="AM525" t="str">
        <f>IF(ISNUMBER(FIND("arbeid",Methode_Keuze)),"",IF(ISNUMBER(FIND("arbeid",Methode_Keuze)),"",IF(Tb_Activiteiten[[#This Row],[Projectmedewerker]]=1,Tb_Activiteiten[[#Headers],[Projectmedewerker]],"")))</f>
        <v/>
      </c>
      <c r="AN525" t="str">
        <f>IF(ISNUMBER(FIND("arbeid",Methode_Keuze)),"",IF(ISNUMBER(FIND("arbeid",Methode_Keuze)),"",IF(Tb_Activiteiten[[#This Row],[Landbouwer]]=1,Tb_Activiteiten[[#Headers],[Landbouwer]],"")))</f>
        <v/>
      </c>
      <c r="AO525" t="str">
        <f>IF(ISNUMBER(FIND("arbeid",Methode_Keuze)),"",IF(ISNUMBER(FIND("arbeid",Methode_Keuze)),"",IF(Tb_Activiteiten[[#This Row],[Adviseur]]=1,Tb_Activiteiten[[#Headers],[Adviseur]],"")))</f>
        <v/>
      </c>
      <c r="AP525" t="str">
        <f>IF(ISNUMBER(FIND("arbeid",Methode_Keuze)),"",IF(ISNUMBER(FIND("arbeid",Methode_Keuze)),"",IF(Tb_Activiteiten[[#This Row],[Projectleider/Expert]]=1,Tb_Activiteiten[[#Headers],[Projectleider/Expert]],"")))</f>
        <v/>
      </c>
      <c r="AQ525" t="str">
        <f>IF(ISNUMBER(FIND("arbeid",Methode_Keuze)),"",IF(ISNUMBER(FIND("arbeid",Methode_Keuze)),"",IF(Tb_Activiteiten[[#This Row],[Arbeidskosten]]=1,Tb_Activiteiten[[#Headers],[Arbeidskosten]],"")))</f>
        <v/>
      </c>
      <c r="AR525" t="str">
        <f>IF(ISNUMBER(FIND("arbeid",Methode_Keuze)),"",IF(ISNUMBER(FIND("arbeid",Methode_Keuze)),"",IF(Tb_Activiteiten[[#This Row],[Arbeidskosten op basis van IKS]]=1,Tb_Activiteiten[[#Headers],[Arbeidskosten op basis van IKS]],"")))</f>
        <v/>
      </c>
      <c r="AS525" t="str">
        <f>IF(ISNUMBER(FIND("overige",Methode_Keuze)),"",IF(Tb_Activiteiten[[#This Row],[Kosten derden exclusief btw]]=1,Tb_Activiteiten[[#Headers],[Kosten derden exclusief btw]],""))</f>
        <v/>
      </c>
      <c r="AT525" t="str">
        <f>IF(ISNUMBER(FIND("overige",Methode_Keuze)),"",IF(Tb_Activiteiten[[#This Row],[Niet verrekenbare btw]]=1,Tb_Activiteiten[[#Headers],[Niet verrekenbare btw]],""))</f>
        <v/>
      </c>
      <c r="AU525" t="str">
        <f>IF(ISNUMBER(FIND("overige",Methode_Keuze)),"",IF(Tb_Activiteiten[[#This Row],[Grondkosten]]=1,Tb_Activiteiten[[#Headers],[Grondkosten]],""))</f>
        <v/>
      </c>
      <c r="AV525" t="str">
        <f>IF(ISNUMBER(FIND("overige",Methode_Keuze)),"",IF(Tb_Activiteiten[[#This Row],[Bijdrage in natura (overige)]]=1,Tb_Activiteiten[[#Headers],[Bijdrage in natura (overige)]],""))</f>
        <v/>
      </c>
      <c r="AW525" t="str">
        <f>IF(ISNUMBER(FIND("overige",Methode_Keuze)),"",IF(Tb_Activiteiten[[#This Row],[Bijdrage in natura (vrijwilligers)]]=1,Tb_Activiteiten[[#Headers],[Bijdrage in natura (vrijwilligers)]],""))</f>
        <v/>
      </c>
      <c r="AX525" t="str">
        <f>IF(ISNUMBER(FIND("overige",Methode_Keuze)),"",IF(Tb_Activiteiten[[#This Row],[Afschrijvingskosten]]=1,Tb_Activiteiten[[#Headers],[Afschrijvingskosten]],""))</f>
        <v/>
      </c>
      <c r="AY525" t="str">
        <f>IF(ISNUMBER(FIND("overige",Methode_Keuze)),"",IF(Tb_Activiteiten[[#This Row],[Vergoeding]]=1,Tb_Activiteiten[[#Headers],[Vergoeding]],""))</f>
        <v/>
      </c>
      <c r="AZ525" t="str">
        <f>IF(ISNUMBER(FIND("arbeid",Methode_Keuze)),"",IF(Tb_Activiteiten[[#This Row],[Arbeidskosten - vast tarief (excl eigen arbeid)]]=1,Tb_Activiteiten[[#Headers],[Arbeidskosten - vast tarief (excl eigen arbeid)]],""))</f>
        <v/>
      </c>
      <c r="BA525" t="str">
        <f>IF(ISNUMBER(FIND("overige",Methode_Keuze)),"",IF(Tb_Activiteiten[[#This Row],[Overige kosten]]=1,Tb_Activiteiten[[#Headers],[Overige kosten]],""))</f>
        <v/>
      </c>
    </row>
    <row r="526" spans="1:53" x14ac:dyDescent="0.25">
      <c r="A526" s="231"/>
      <c r="F526" s="64"/>
      <c r="G526" s="64"/>
      <c r="H526" s="275"/>
      <c r="I526" s="275"/>
      <c r="J526" s="275"/>
      <c r="K526" s="275"/>
      <c r="O526" s="56"/>
      <c r="Q526" t="str">
        <f>IFERROR(IF(VLOOKUP(Tb_Activiteiten[[#This Row],[Openstelling]],Tb_Openstelling[],2,0)=1,1,""),"")</f>
        <v/>
      </c>
      <c r="AK526" t="str">
        <f>IF(ISNUMBER(FIND("arbeid",Methode_Keuze)),"",IF(ISNUMBER(FIND("arbeid",Methode_Keuze)),"",IF(Tb_Activiteiten[[#This Row],[Loonkosten]]=1,Tb_Activiteiten[[#Headers],[Loonkosten]],"")))</f>
        <v/>
      </c>
      <c r="AL526" t="str">
        <f>IF(ISNUMBER(FIND("arbeid",Methode_Keuze)),"",IF(ISNUMBER(FIND("arbeid",Methode_Keuze)),"",IF(Tb_Activiteiten[[#This Row],[Eigen arbeid]]=1,Tb_Activiteiten[[#Headers],[Eigen arbeid]],"")))</f>
        <v/>
      </c>
      <c r="AM526" t="str">
        <f>IF(ISNUMBER(FIND("arbeid",Methode_Keuze)),"",IF(ISNUMBER(FIND("arbeid",Methode_Keuze)),"",IF(Tb_Activiteiten[[#This Row],[Projectmedewerker]]=1,Tb_Activiteiten[[#Headers],[Projectmedewerker]],"")))</f>
        <v/>
      </c>
      <c r="AN526" t="str">
        <f>IF(ISNUMBER(FIND("arbeid",Methode_Keuze)),"",IF(ISNUMBER(FIND("arbeid",Methode_Keuze)),"",IF(Tb_Activiteiten[[#This Row],[Landbouwer]]=1,Tb_Activiteiten[[#Headers],[Landbouwer]],"")))</f>
        <v/>
      </c>
      <c r="AO526" t="str">
        <f>IF(ISNUMBER(FIND("arbeid",Methode_Keuze)),"",IF(ISNUMBER(FIND("arbeid",Methode_Keuze)),"",IF(Tb_Activiteiten[[#This Row],[Adviseur]]=1,Tb_Activiteiten[[#Headers],[Adviseur]],"")))</f>
        <v/>
      </c>
      <c r="AP526" t="str">
        <f>IF(ISNUMBER(FIND("arbeid",Methode_Keuze)),"",IF(ISNUMBER(FIND("arbeid",Methode_Keuze)),"",IF(Tb_Activiteiten[[#This Row],[Projectleider/Expert]]=1,Tb_Activiteiten[[#Headers],[Projectleider/Expert]],"")))</f>
        <v/>
      </c>
      <c r="AQ526" t="str">
        <f>IF(ISNUMBER(FIND("arbeid",Methode_Keuze)),"",IF(ISNUMBER(FIND("arbeid",Methode_Keuze)),"",IF(Tb_Activiteiten[[#This Row],[Arbeidskosten]]=1,Tb_Activiteiten[[#Headers],[Arbeidskosten]],"")))</f>
        <v/>
      </c>
      <c r="AR526" t="str">
        <f>IF(ISNUMBER(FIND("arbeid",Methode_Keuze)),"",IF(ISNUMBER(FIND("arbeid",Methode_Keuze)),"",IF(Tb_Activiteiten[[#This Row],[Arbeidskosten op basis van IKS]]=1,Tb_Activiteiten[[#Headers],[Arbeidskosten op basis van IKS]],"")))</f>
        <v/>
      </c>
      <c r="AS526" t="str">
        <f>IF(ISNUMBER(FIND("overige",Methode_Keuze)),"",IF(Tb_Activiteiten[[#This Row],[Kosten derden exclusief btw]]=1,Tb_Activiteiten[[#Headers],[Kosten derden exclusief btw]],""))</f>
        <v/>
      </c>
      <c r="AT526" t="str">
        <f>IF(ISNUMBER(FIND("overige",Methode_Keuze)),"",IF(Tb_Activiteiten[[#This Row],[Niet verrekenbare btw]]=1,Tb_Activiteiten[[#Headers],[Niet verrekenbare btw]],""))</f>
        <v/>
      </c>
      <c r="AU526" t="str">
        <f>IF(ISNUMBER(FIND("overige",Methode_Keuze)),"",IF(Tb_Activiteiten[[#This Row],[Grondkosten]]=1,Tb_Activiteiten[[#Headers],[Grondkosten]],""))</f>
        <v/>
      </c>
      <c r="AV526" t="str">
        <f>IF(ISNUMBER(FIND("overige",Methode_Keuze)),"",IF(Tb_Activiteiten[[#This Row],[Bijdrage in natura (overige)]]=1,Tb_Activiteiten[[#Headers],[Bijdrage in natura (overige)]],""))</f>
        <v/>
      </c>
      <c r="AW526" t="str">
        <f>IF(ISNUMBER(FIND("overige",Methode_Keuze)),"",IF(Tb_Activiteiten[[#This Row],[Bijdrage in natura (vrijwilligers)]]=1,Tb_Activiteiten[[#Headers],[Bijdrage in natura (vrijwilligers)]],""))</f>
        <v/>
      </c>
      <c r="AX526" t="str">
        <f>IF(ISNUMBER(FIND("overige",Methode_Keuze)),"",IF(Tb_Activiteiten[[#This Row],[Afschrijvingskosten]]=1,Tb_Activiteiten[[#Headers],[Afschrijvingskosten]],""))</f>
        <v/>
      </c>
      <c r="AY526" t="str">
        <f>IF(ISNUMBER(FIND("overige",Methode_Keuze)),"",IF(Tb_Activiteiten[[#This Row],[Vergoeding]]=1,Tb_Activiteiten[[#Headers],[Vergoeding]],""))</f>
        <v/>
      </c>
      <c r="AZ526" t="str">
        <f>IF(ISNUMBER(FIND("arbeid",Methode_Keuze)),"",IF(Tb_Activiteiten[[#This Row],[Arbeidskosten - vast tarief (excl eigen arbeid)]]=1,Tb_Activiteiten[[#Headers],[Arbeidskosten - vast tarief (excl eigen arbeid)]],""))</f>
        <v/>
      </c>
      <c r="BA526" t="str">
        <f>IF(ISNUMBER(FIND("overige",Methode_Keuze)),"",IF(Tb_Activiteiten[[#This Row],[Overige kosten]]=1,Tb_Activiteiten[[#Headers],[Overige kosten]],""))</f>
        <v/>
      </c>
    </row>
    <row r="527" spans="1:53" x14ac:dyDescent="0.25">
      <c r="A527" s="231"/>
      <c r="F527" s="64"/>
      <c r="G527" s="64"/>
      <c r="H527" s="275"/>
      <c r="I527" s="275"/>
      <c r="J527" s="275"/>
      <c r="K527" s="275"/>
      <c r="O527" s="56"/>
      <c r="Q527" t="str">
        <f>IFERROR(IF(VLOOKUP(Tb_Activiteiten[[#This Row],[Openstelling]],Tb_Openstelling[],2,0)=1,1,""),"")</f>
        <v/>
      </c>
      <c r="AK527" t="str">
        <f>IF(ISNUMBER(FIND("arbeid",Methode_Keuze)),"",IF(ISNUMBER(FIND("arbeid",Methode_Keuze)),"",IF(Tb_Activiteiten[[#This Row],[Loonkosten]]=1,Tb_Activiteiten[[#Headers],[Loonkosten]],"")))</f>
        <v/>
      </c>
      <c r="AL527" t="str">
        <f>IF(ISNUMBER(FIND("arbeid",Methode_Keuze)),"",IF(ISNUMBER(FIND("arbeid",Methode_Keuze)),"",IF(Tb_Activiteiten[[#This Row],[Eigen arbeid]]=1,Tb_Activiteiten[[#Headers],[Eigen arbeid]],"")))</f>
        <v/>
      </c>
      <c r="AM527" t="str">
        <f>IF(ISNUMBER(FIND("arbeid",Methode_Keuze)),"",IF(ISNUMBER(FIND("arbeid",Methode_Keuze)),"",IF(Tb_Activiteiten[[#This Row],[Projectmedewerker]]=1,Tb_Activiteiten[[#Headers],[Projectmedewerker]],"")))</f>
        <v/>
      </c>
      <c r="AN527" t="str">
        <f>IF(ISNUMBER(FIND("arbeid",Methode_Keuze)),"",IF(ISNUMBER(FIND("arbeid",Methode_Keuze)),"",IF(Tb_Activiteiten[[#This Row],[Landbouwer]]=1,Tb_Activiteiten[[#Headers],[Landbouwer]],"")))</f>
        <v/>
      </c>
      <c r="AO527" t="str">
        <f>IF(ISNUMBER(FIND("arbeid",Methode_Keuze)),"",IF(ISNUMBER(FIND("arbeid",Methode_Keuze)),"",IF(Tb_Activiteiten[[#This Row],[Adviseur]]=1,Tb_Activiteiten[[#Headers],[Adviseur]],"")))</f>
        <v/>
      </c>
      <c r="AP527" t="str">
        <f>IF(ISNUMBER(FIND("arbeid",Methode_Keuze)),"",IF(ISNUMBER(FIND("arbeid",Methode_Keuze)),"",IF(Tb_Activiteiten[[#This Row],[Projectleider/Expert]]=1,Tb_Activiteiten[[#Headers],[Projectleider/Expert]],"")))</f>
        <v/>
      </c>
      <c r="AQ527" t="str">
        <f>IF(ISNUMBER(FIND("arbeid",Methode_Keuze)),"",IF(ISNUMBER(FIND("arbeid",Methode_Keuze)),"",IF(Tb_Activiteiten[[#This Row],[Arbeidskosten]]=1,Tb_Activiteiten[[#Headers],[Arbeidskosten]],"")))</f>
        <v/>
      </c>
      <c r="AR527" t="str">
        <f>IF(ISNUMBER(FIND("arbeid",Methode_Keuze)),"",IF(ISNUMBER(FIND("arbeid",Methode_Keuze)),"",IF(Tb_Activiteiten[[#This Row],[Arbeidskosten op basis van IKS]]=1,Tb_Activiteiten[[#Headers],[Arbeidskosten op basis van IKS]],"")))</f>
        <v/>
      </c>
      <c r="AS527" t="str">
        <f>IF(ISNUMBER(FIND("overige",Methode_Keuze)),"",IF(Tb_Activiteiten[[#This Row],[Kosten derden exclusief btw]]=1,Tb_Activiteiten[[#Headers],[Kosten derden exclusief btw]],""))</f>
        <v/>
      </c>
      <c r="AT527" t="str">
        <f>IF(ISNUMBER(FIND("overige",Methode_Keuze)),"",IF(Tb_Activiteiten[[#This Row],[Niet verrekenbare btw]]=1,Tb_Activiteiten[[#Headers],[Niet verrekenbare btw]],""))</f>
        <v/>
      </c>
      <c r="AU527" t="str">
        <f>IF(ISNUMBER(FIND("overige",Methode_Keuze)),"",IF(Tb_Activiteiten[[#This Row],[Grondkosten]]=1,Tb_Activiteiten[[#Headers],[Grondkosten]],""))</f>
        <v/>
      </c>
      <c r="AV527" t="str">
        <f>IF(ISNUMBER(FIND("overige",Methode_Keuze)),"",IF(Tb_Activiteiten[[#This Row],[Bijdrage in natura (overige)]]=1,Tb_Activiteiten[[#Headers],[Bijdrage in natura (overige)]],""))</f>
        <v/>
      </c>
      <c r="AW527" t="str">
        <f>IF(ISNUMBER(FIND("overige",Methode_Keuze)),"",IF(Tb_Activiteiten[[#This Row],[Bijdrage in natura (vrijwilligers)]]=1,Tb_Activiteiten[[#Headers],[Bijdrage in natura (vrijwilligers)]],""))</f>
        <v/>
      </c>
      <c r="AX527" t="str">
        <f>IF(ISNUMBER(FIND("overige",Methode_Keuze)),"",IF(Tb_Activiteiten[[#This Row],[Afschrijvingskosten]]=1,Tb_Activiteiten[[#Headers],[Afschrijvingskosten]],""))</f>
        <v/>
      </c>
      <c r="AY527" t="str">
        <f>IF(ISNUMBER(FIND("overige",Methode_Keuze)),"",IF(Tb_Activiteiten[[#This Row],[Vergoeding]]=1,Tb_Activiteiten[[#Headers],[Vergoeding]],""))</f>
        <v/>
      </c>
      <c r="AZ527" t="str">
        <f>IF(ISNUMBER(FIND("arbeid",Methode_Keuze)),"",IF(Tb_Activiteiten[[#This Row],[Arbeidskosten - vast tarief (excl eigen arbeid)]]=1,Tb_Activiteiten[[#Headers],[Arbeidskosten - vast tarief (excl eigen arbeid)]],""))</f>
        <v/>
      </c>
      <c r="BA527" t="str">
        <f>IF(ISNUMBER(FIND("overige",Methode_Keuze)),"",IF(Tb_Activiteiten[[#This Row],[Overige kosten]]=1,Tb_Activiteiten[[#Headers],[Overige kosten]],""))</f>
        <v/>
      </c>
    </row>
    <row r="528" spans="1:53" x14ac:dyDescent="0.25">
      <c r="A528" s="231"/>
      <c r="F528" s="64"/>
      <c r="G528" s="64"/>
      <c r="H528" s="275"/>
      <c r="I528" s="275"/>
      <c r="J528" s="275"/>
      <c r="K528" s="275"/>
      <c r="O528" s="56"/>
      <c r="Q528" t="str">
        <f>IFERROR(IF(VLOOKUP(Tb_Activiteiten[[#This Row],[Openstelling]],Tb_Openstelling[],2,0)=1,1,""),"")</f>
        <v/>
      </c>
      <c r="AK528" t="str">
        <f>IF(ISNUMBER(FIND("arbeid",Methode_Keuze)),"",IF(ISNUMBER(FIND("arbeid",Methode_Keuze)),"",IF(Tb_Activiteiten[[#This Row],[Loonkosten]]=1,Tb_Activiteiten[[#Headers],[Loonkosten]],"")))</f>
        <v/>
      </c>
      <c r="AL528" t="str">
        <f>IF(ISNUMBER(FIND("arbeid",Methode_Keuze)),"",IF(ISNUMBER(FIND("arbeid",Methode_Keuze)),"",IF(Tb_Activiteiten[[#This Row],[Eigen arbeid]]=1,Tb_Activiteiten[[#Headers],[Eigen arbeid]],"")))</f>
        <v/>
      </c>
      <c r="AM528" t="str">
        <f>IF(ISNUMBER(FIND("arbeid",Methode_Keuze)),"",IF(ISNUMBER(FIND("arbeid",Methode_Keuze)),"",IF(Tb_Activiteiten[[#This Row],[Projectmedewerker]]=1,Tb_Activiteiten[[#Headers],[Projectmedewerker]],"")))</f>
        <v/>
      </c>
      <c r="AN528" t="str">
        <f>IF(ISNUMBER(FIND("arbeid",Methode_Keuze)),"",IF(ISNUMBER(FIND("arbeid",Methode_Keuze)),"",IF(Tb_Activiteiten[[#This Row],[Landbouwer]]=1,Tb_Activiteiten[[#Headers],[Landbouwer]],"")))</f>
        <v/>
      </c>
      <c r="AO528" t="str">
        <f>IF(ISNUMBER(FIND("arbeid",Methode_Keuze)),"",IF(ISNUMBER(FIND("arbeid",Methode_Keuze)),"",IF(Tb_Activiteiten[[#This Row],[Adviseur]]=1,Tb_Activiteiten[[#Headers],[Adviseur]],"")))</f>
        <v/>
      </c>
      <c r="AP528" t="str">
        <f>IF(ISNUMBER(FIND("arbeid",Methode_Keuze)),"",IF(ISNUMBER(FIND("arbeid",Methode_Keuze)),"",IF(Tb_Activiteiten[[#This Row],[Projectleider/Expert]]=1,Tb_Activiteiten[[#Headers],[Projectleider/Expert]],"")))</f>
        <v/>
      </c>
      <c r="AQ528" t="str">
        <f>IF(ISNUMBER(FIND("arbeid",Methode_Keuze)),"",IF(ISNUMBER(FIND("arbeid",Methode_Keuze)),"",IF(Tb_Activiteiten[[#This Row],[Arbeidskosten]]=1,Tb_Activiteiten[[#Headers],[Arbeidskosten]],"")))</f>
        <v/>
      </c>
      <c r="AR528" t="str">
        <f>IF(ISNUMBER(FIND("arbeid",Methode_Keuze)),"",IF(ISNUMBER(FIND("arbeid",Methode_Keuze)),"",IF(Tb_Activiteiten[[#This Row],[Arbeidskosten op basis van IKS]]=1,Tb_Activiteiten[[#Headers],[Arbeidskosten op basis van IKS]],"")))</f>
        <v/>
      </c>
      <c r="AS528" t="str">
        <f>IF(ISNUMBER(FIND("overige",Methode_Keuze)),"",IF(Tb_Activiteiten[[#This Row],[Kosten derden exclusief btw]]=1,Tb_Activiteiten[[#Headers],[Kosten derden exclusief btw]],""))</f>
        <v/>
      </c>
      <c r="AT528" t="str">
        <f>IF(ISNUMBER(FIND("overige",Methode_Keuze)),"",IF(Tb_Activiteiten[[#This Row],[Niet verrekenbare btw]]=1,Tb_Activiteiten[[#Headers],[Niet verrekenbare btw]],""))</f>
        <v/>
      </c>
      <c r="AU528" t="str">
        <f>IF(ISNUMBER(FIND("overige",Methode_Keuze)),"",IF(Tb_Activiteiten[[#This Row],[Grondkosten]]=1,Tb_Activiteiten[[#Headers],[Grondkosten]],""))</f>
        <v/>
      </c>
      <c r="AV528" t="str">
        <f>IF(ISNUMBER(FIND("overige",Methode_Keuze)),"",IF(Tb_Activiteiten[[#This Row],[Bijdrage in natura (overige)]]=1,Tb_Activiteiten[[#Headers],[Bijdrage in natura (overige)]],""))</f>
        <v/>
      </c>
      <c r="AW528" t="str">
        <f>IF(ISNUMBER(FIND("overige",Methode_Keuze)),"",IF(Tb_Activiteiten[[#This Row],[Bijdrage in natura (vrijwilligers)]]=1,Tb_Activiteiten[[#Headers],[Bijdrage in natura (vrijwilligers)]],""))</f>
        <v/>
      </c>
      <c r="AX528" t="str">
        <f>IF(ISNUMBER(FIND("overige",Methode_Keuze)),"",IF(Tb_Activiteiten[[#This Row],[Afschrijvingskosten]]=1,Tb_Activiteiten[[#Headers],[Afschrijvingskosten]],""))</f>
        <v/>
      </c>
      <c r="AY528" t="str">
        <f>IF(ISNUMBER(FIND("overige",Methode_Keuze)),"",IF(Tb_Activiteiten[[#This Row],[Vergoeding]]=1,Tb_Activiteiten[[#Headers],[Vergoeding]],""))</f>
        <v/>
      </c>
      <c r="AZ528" t="str">
        <f>IF(ISNUMBER(FIND("arbeid",Methode_Keuze)),"",IF(Tb_Activiteiten[[#This Row],[Arbeidskosten - vast tarief (excl eigen arbeid)]]=1,Tb_Activiteiten[[#Headers],[Arbeidskosten - vast tarief (excl eigen arbeid)]],""))</f>
        <v/>
      </c>
      <c r="BA528" t="str">
        <f>IF(ISNUMBER(FIND("overige",Methode_Keuze)),"",IF(Tb_Activiteiten[[#This Row],[Overige kosten]]=1,Tb_Activiteiten[[#Headers],[Overige kosten]],""))</f>
        <v/>
      </c>
    </row>
    <row r="529" spans="1:53" x14ac:dyDescent="0.25">
      <c r="A529" s="231"/>
      <c r="F529" s="64"/>
      <c r="G529" s="64"/>
      <c r="H529" s="275"/>
      <c r="I529" s="275"/>
      <c r="J529" s="275"/>
      <c r="K529" s="275"/>
      <c r="O529" s="56"/>
      <c r="Q529" t="str">
        <f>IFERROR(IF(VLOOKUP(Tb_Activiteiten[[#This Row],[Openstelling]],Tb_Openstelling[],2,0)=1,1,""),"")</f>
        <v/>
      </c>
      <c r="AK529" t="str">
        <f>IF(ISNUMBER(FIND("arbeid",Methode_Keuze)),"",IF(ISNUMBER(FIND("arbeid",Methode_Keuze)),"",IF(Tb_Activiteiten[[#This Row],[Loonkosten]]=1,Tb_Activiteiten[[#Headers],[Loonkosten]],"")))</f>
        <v/>
      </c>
      <c r="AL529" t="str">
        <f>IF(ISNUMBER(FIND("arbeid",Methode_Keuze)),"",IF(ISNUMBER(FIND("arbeid",Methode_Keuze)),"",IF(Tb_Activiteiten[[#This Row],[Eigen arbeid]]=1,Tb_Activiteiten[[#Headers],[Eigen arbeid]],"")))</f>
        <v/>
      </c>
      <c r="AM529" t="str">
        <f>IF(ISNUMBER(FIND("arbeid",Methode_Keuze)),"",IF(ISNUMBER(FIND("arbeid",Methode_Keuze)),"",IF(Tb_Activiteiten[[#This Row],[Projectmedewerker]]=1,Tb_Activiteiten[[#Headers],[Projectmedewerker]],"")))</f>
        <v/>
      </c>
      <c r="AN529" t="str">
        <f>IF(ISNUMBER(FIND("arbeid",Methode_Keuze)),"",IF(ISNUMBER(FIND("arbeid",Methode_Keuze)),"",IF(Tb_Activiteiten[[#This Row],[Landbouwer]]=1,Tb_Activiteiten[[#Headers],[Landbouwer]],"")))</f>
        <v/>
      </c>
      <c r="AO529" t="str">
        <f>IF(ISNUMBER(FIND("arbeid",Methode_Keuze)),"",IF(ISNUMBER(FIND("arbeid",Methode_Keuze)),"",IF(Tb_Activiteiten[[#This Row],[Adviseur]]=1,Tb_Activiteiten[[#Headers],[Adviseur]],"")))</f>
        <v/>
      </c>
      <c r="AP529" t="str">
        <f>IF(ISNUMBER(FIND("arbeid",Methode_Keuze)),"",IF(ISNUMBER(FIND("arbeid",Methode_Keuze)),"",IF(Tb_Activiteiten[[#This Row],[Projectleider/Expert]]=1,Tb_Activiteiten[[#Headers],[Projectleider/Expert]],"")))</f>
        <v/>
      </c>
      <c r="AQ529" t="str">
        <f>IF(ISNUMBER(FIND("arbeid",Methode_Keuze)),"",IF(ISNUMBER(FIND("arbeid",Methode_Keuze)),"",IF(Tb_Activiteiten[[#This Row],[Arbeidskosten]]=1,Tb_Activiteiten[[#Headers],[Arbeidskosten]],"")))</f>
        <v/>
      </c>
      <c r="AR529" t="str">
        <f>IF(ISNUMBER(FIND("arbeid",Methode_Keuze)),"",IF(ISNUMBER(FIND("arbeid",Methode_Keuze)),"",IF(Tb_Activiteiten[[#This Row],[Arbeidskosten op basis van IKS]]=1,Tb_Activiteiten[[#Headers],[Arbeidskosten op basis van IKS]],"")))</f>
        <v/>
      </c>
      <c r="AS529" t="str">
        <f>IF(ISNUMBER(FIND("overige",Methode_Keuze)),"",IF(Tb_Activiteiten[[#This Row],[Kosten derden exclusief btw]]=1,Tb_Activiteiten[[#Headers],[Kosten derden exclusief btw]],""))</f>
        <v/>
      </c>
      <c r="AT529" t="str">
        <f>IF(ISNUMBER(FIND("overige",Methode_Keuze)),"",IF(Tb_Activiteiten[[#This Row],[Niet verrekenbare btw]]=1,Tb_Activiteiten[[#Headers],[Niet verrekenbare btw]],""))</f>
        <v/>
      </c>
      <c r="AU529" t="str">
        <f>IF(ISNUMBER(FIND("overige",Methode_Keuze)),"",IF(Tb_Activiteiten[[#This Row],[Grondkosten]]=1,Tb_Activiteiten[[#Headers],[Grondkosten]],""))</f>
        <v/>
      </c>
      <c r="AV529" t="str">
        <f>IF(ISNUMBER(FIND("overige",Methode_Keuze)),"",IF(Tb_Activiteiten[[#This Row],[Bijdrage in natura (overige)]]=1,Tb_Activiteiten[[#Headers],[Bijdrage in natura (overige)]],""))</f>
        <v/>
      </c>
      <c r="AW529" t="str">
        <f>IF(ISNUMBER(FIND("overige",Methode_Keuze)),"",IF(Tb_Activiteiten[[#This Row],[Bijdrage in natura (vrijwilligers)]]=1,Tb_Activiteiten[[#Headers],[Bijdrage in natura (vrijwilligers)]],""))</f>
        <v/>
      </c>
      <c r="AX529" t="str">
        <f>IF(ISNUMBER(FIND("overige",Methode_Keuze)),"",IF(Tb_Activiteiten[[#This Row],[Afschrijvingskosten]]=1,Tb_Activiteiten[[#Headers],[Afschrijvingskosten]],""))</f>
        <v/>
      </c>
      <c r="AY529" t="str">
        <f>IF(ISNUMBER(FIND("overige",Methode_Keuze)),"",IF(Tb_Activiteiten[[#This Row],[Vergoeding]]=1,Tb_Activiteiten[[#Headers],[Vergoeding]],""))</f>
        <v/>
      </c>
      <c r="AZ529" t="str">
        <f>IF(ISNUMBER(FIND("arbeid",Methode_Keuze)),"",IF(Tb_Activiteiten[[#This Row],[Arbeidskosten - vast tarief (excl eigen arbeid)]]=1,Tb_Activiteiten[[#Headers],[Arbeidskosten - vast tarief (excl eigen arbeid)]],""))</f>
        <v/>
      </c>
      <c r="BA529" t="str">
        <f>IF(ISNUMBER(FIND("overige",Methode_Keuze)),"",IF(Tb_Activiteiten[[#This Row],[Overige kosten]]=1,Tb_Activiteiten[[#Headers],[Overige kosten]],""))</f>
        <v/>
      </c>
    </row>
    <row r="530" spans="1:53" x14ac:dyDescent="0.25">
      <c r="A530" s="231"/>
      <c r="F530" s="64"/>
      <c r="G530" s="64"/>
      <c r="H530" s="275"/>
      <c r="I530" s="275"/>
      <c r="J530" s="275"/>
      <c r="K530" s="275"/>
      <c r="O530" s="56"/>
      <c r="Q530" t="str">
        <f>IFERROR(IF(VLOOKUP(Tb_Activiteiten[[#This Row],[Openstelling]],Tb_Openstelling[],2,0)=1,1,""),"")</f>
        <v/>
      </c>
      <c r="AK530" t="str">
        <f>IF(ISNUMBER(FIND("arbeid",Methode_Keuze)),"",IF(ISNUMBER(FIND("arbeid",Methode_Keuze)),"",IF(Tb_Activiteiten[[#This Row],[Loonkosten]]=1,Tb_Activiteiten[[#Headers],[Loonkosten]],"")))</f>
        <v/>
      </c>
      <c r="AL530" t="str">
        <f>IF(ISNUMBER(FIND("arbeid",Methode_Keuze)),"",IF(ISNUMBER(FIND("arbeid",Methode_Keuze)),"",IF(Tb_Activiteiten[[#This Row],[Eigen arbeid]]=1,Tb_Activiteiten[[#Headers],[Eigen arbeid]],"")))</f>
        <v/>
      </c>
      <c r="AM530" t="str">
        <f>IF(ISNUMBER(FIND("arbeid",Methode_Keuze)),"",IF(ISNUMBER(FIND("arbeid",Methode_Keuze)),"",IF(Tb_Activiteiten[[#This Row],[Projectmedewerker]]=1,Tb_Activiteiten[[#Headers],[Projectmedewerker]],"")))</f>
        <v/>
      </c>
      <c r="AN530" t="str">
        <f>IF(ISNUMBER(FIND("arbeid",Methode_Keuze)),"",IF(ISNUMBER(FIND("arbeid",Methode_Keuze)),"",IF(Tb_Activiteiten[[#This Row],[Landbouwer]]=1,Tb_Activiteiten[[#Headers],[Landbouwer]],"")))</f>
        <v/>
      </c>
      <c r="AO530" t="str">
        <f>IF(ISNUMBER(FIND("arbeid",Methode_Keuze)),"",IF(ISNUMBER(FIND("arbeid",Methode_Keuze)),"",IF(Tb_Activiteiten[[#This Row],[Adviseur]]=1,Tb_Activiteiten[[#Headers],[Adviseur]],"")))</f>
        <v/>
      </c>
      <c r="AP530" t="str">
        <f>IF(ISNUMBER(FIND("arbeid",Methode_Keuze)),"",IF(ISNUMBER(FIND("arbeid",Methode_Keuze)),"",IF(Tb_Activiteiten[[#This Row],[Projectleider/Expert]]=1,Tb_Activiteiten[[#Headers],[Projectleider/Expert]],"")))</f>
        <v/>
      </c>
      <c r="AQ530" t="str">
        <f>IF(ISNUMBER(FIND("arbeid",Methode_Keuze)),"",IF(ISNUMBER(FIND("arbeid",Methode_Keuze)),"",IF(Tb_Activiteiten[[#This Row],[Arbeidskosten]]=1,Tb_Activiteiten[[#Headers],[Arbeidskosten]],"")))</f>
        <v/>
      </c>
      <c r="AR530" t="str">
        <f>IF(ISNUMBER(FIND("arbeid",Methode_Keuze)),"",IF(ISNUMBER(FIND("arbeid",Methode_Keuze)),"",IF(Tb_Activiteiten[[#This Row],[Arbeidskosten op basis van IKS]]=1,Tb_Activiteiten[[#Headers],[Arbeidskosten op basis van IKS]],"")))</f>
        <v/>
      </c>
      <c r="AS530" t="str">
        <f>IF(ISNUMBER(FIND("overige",Methode_Keuze)),"",IF(Tb_Activiteiten[[#This Row],[Kosten derden exclusief btw]]=1,Tb_Activiteiten[[#Headers],[Kosten derden exclusief btw]],""))</f>
        <v/>
      </c>
      <c r="AT530" t="str">
        <f>IF(ISNUMBER(FIND("overige",Methode_Keuze)),"",IF(Tb_Activiteiten[[#This Row],[Niet verrekenbare btw]]=1,Tb_Activiteiten[[#Headers],[Niet verrekenbare btw]],""))</f>
        <v/>
      </c>
      <c r="AU530" t="str">
        <f>IF(ISNUMBER(FIND("overige",Methode_Keuze)),"",IF(Tb_Activiteiten[[#This Row],[Grondkosten]]=1,Tb_Activiteiten[[#Headers],[Grondkosten]],""))</f>
        <v/>
      </c>
      <c r="AV530" t="str">
        <f>IF(ISNUMBER(FIND("overige",Methode_Keuze)),"",IF(Tb_Activiteiten[[#This Row],[Bijdrage in natura (overige)]]=1,Tb_Activiteiten[[#Headers],[Bijdrage in natura (overige)]],""))</f>
        <v/>
      </c>
      <c r="AW530" t="str">
        <f>IF(ISNUMBER(FIND("overige",Methode_Keuze)),"",IF(Tb_Activiteiten[[#This Row],[Bijdrage in natura (vrijwilligers)]]=1,Tb_Activiteiten[[#Headers],[Bijdrage in natura (vrijwilligers)]],""))</f>
        <v/>
      </c>
      <c r="AX530" t="str">
        <f>IF(ISNUMBER(FIND("overige",Methode_Keuze)),"",IF(Tb_Activiteiten[[#This Row],[Afschrijvingskosten]]=1,Tb_Activiteiten[[#Headers],[Afschrijvingskosten]],""))</f>
        <v/>
      </c>
      <c r="AY530" t="str">
        <f>IF(ISNUMBER(FIND("overige",Methode_Keuze)),"",IF(Tb_Activiteiten[[#This Row],[Vergoeding]]=1,Tb_Activiteiten[[#Headers],[Vergoeding]],""))</f>
        <v/>
      </c>
      <c r="AZ530" t="str">
        <f>IF(ISNUMBER(FIND("arbeid",Methode_Keuze)),"",IF(Tb_Activiteiten[[#This Row],[Arbeidskosten - vast tarief (excl eigen arbeid)]]=1,Tb_Activiteiten[[#Headers],[Arbeidskosten - vast tarief (excl eigen arbeid)]],""))</f>
        <v/>
      </c>
      <c r="BA530" t="str">
        <f>IF(ISNUMBER(FIND("overige",Methode_Keuze)),"",IF(Tb_Activiteiten[[#This Row],[Overige kosten]]=1,Tb_Activiteiten[[#Headers],[Overige kosten]],""))</f>
        <v/>
      </c>
    </row>
    <row r="531" spans="1:53" x14ac:dyDescent="0.25">
      <c r="A531" s="231"/>
      <c r="F531" s="64"/>
      <c r="G531" s="64"/>
      <c r="H531" s="275"/>
      <c r="I531" s="275"/>
      <c r="J531" s="275"/>
      <c r="K531" s="275"/>
      <c r="O531" s="56"/>
      <c r="Q531" t="str">
        <f>IFERROR(IF(VLOOKUP(Tb_Activiteiten[[#This Row],[Openstelling]],Tb_Openstelling[],2,0)=1,1,""),"")</f>
        <v/>
      </c>
      <c r="AK531" t="str">
        <f>IF(ISNUMBER(FIND("arbeid",Methode_Keuze)),"",IF(ISNUMBER(FIND("arbeid",Methode_Keuze)),"",IF(Tb_Activiteiten[[#This Row],[Loonkosten]]=1,Tb_Activiteiten[[#Headers],[Loonkosten]],"")))</f>
        <v/>
      </c>
      <c r="AL531" t="str">
        <f>IF(ISNUMBER(FIND("arbeid",Methode_Keuze)),"",IF(ISNUMBER(FIND("arbeid",Methode_Keuze)),"",IF(Tb_Activiteiten[[#This Row],[Eigen arbeid]]=1,Tb_Activiteiten[[#Headers],[Eigen arbeid]],"")))</f>
        <v/>
      </c>
      <c r="AM531" t="str">
        <f>IF(ISNUMBER(FIND("arbeid",Methode_Keuze)),"",IF(ISNUMBER(FIND("arbeid",Methode_Keuze)),"",IF(Tb_Activiteiten[[#This Row],[Projectmedewerker]]=1,Tb_Activiteiten[[#Headers],[Projectmedewerker]],"")))</f>
        <v/>
      </c>
      <c r="AN531" t="str">
        <f>IF(ISNUMBER(FIND("arbeid",Methode_Keuze)),"",IF(ISNUMBER(FIND("arbeid",Methode_Keuze)),"",IF(Tb_Activiteiten[[#This Row],[Landbouwer]]=1,Tb_Activiteiten[[#Headers],[Landbouwer]],"")))</f>
        <v/>
      </c>
      <c r="AO531" t="str">
        <f>IF(ISNUMBER(FIND("arbeid",Methode_Keuze)),"",IF(ISNUMBER(FIND("arbeid",Methode_Keuze)),"",IF(Tb_Activiteiten[[#This Row],[Adviseur]]=1,Tb_Activiteiten[[#Headers],[Adviseur]],"")))</f>
        <v/>
      </c>
      <c r="AP531" t="str">
        <f>IF(ISNUMBER(FIND("arbeid",Methode_Keuze)),"",IF(ISNUMBER(FIND("arbeid",Methode_Keuze)),"",IF(Tb_Activiteiten[[#This Row],[Projectleider/Expert]]=1,Tb_Activiteiten[[#Headers],[Projectleider/Expert]],"")))</f>
        <v/>
      </c>
      <c r="AQ531" t="str">
        <f>IF(ISNUMBER(FIND("arbeid",Methode_Keuze)),"",IF(ISNUMBER(FIND("arbeid",Methode_Keuze)),"",IF(Tb_Activiteiten[[#This Row],[Arbeidskosten]]=1,Tb_Activiteiten[[#Headers],[Arbeidskosten]],"")))</f>
        <v/>
      </c>
      <c r="AR531" t="str">
        <f>IF(ISNUMBER(FIND("arbeid",Methode_Keuze)),"",IF(ISNUMBER(FIND("arbeid",Methode_Keuze)),"",IF(Tb_Activiteiten[[#This Row],[Arbeidskosten op basis van IKS]]=1,Tb_Activiteiten[[#Headers],[Arbeidskosten op basis van IKS]],"")))</f>
        <v/>
      </c>
      <c r="AS531" t="str">
        <f>IF(ISNUMBER(FIND("overige",Methode_Keuze)),"",IF(Tb_Activiteiten[[#This Row],[Kosten derden exclusief btw]]=1,Tb_Activiteiten[[#Headers],[Kosten derden exclusief btw]],""))</f>
        <v/>
      </c>
      <c r="AT531" t="str">
        <f>IF(ISNUMBER(FIND("overige",Methode_Keuze)),"",IF(Tb_Activiteiten[[#This Row],[Niet verrekenbare btw]]=1,Tb_Activiteiten[[#Headers],[Niet verrekenbare btw]],""))</f>
        <v/>
      </c>
      <c r="AU531" t="str">
        <f>IF(ISNUMBER(FIND("overige",Methode_Keuze)),"",IF(Tb_Activiteiten[[#This Row],[Grondkosten]]=1,Tb_Activiteiten[[#Headers],[Grondkosten]],""))</f>
        <v/>
      </c>
      <c r="AV531" t="str">
        <f>IF(ISNUMBER(FIND("overige",Methode_Keuze)),"",IF(Tb_Activiteiten[[#This Row],[Bijdrage in natura (overige)]]=1,Tb_Activiteiten[[#Headers],[Bijdrage in natura (overige)]],""))</f>
        <v/>
      </c>
      <c r="AW531" t="str">
        <f>IF(ISNUMBER(FIND("overige",Methode_Keuze)),"",IF(Tb_Activiteiten[[#This Row],[Bijdrage in natura (vrijwilligers)]]=1,Tb_Activiteiten[[#Headers],[Bijdrage in natura (vrijwilligers)]],""))</f>
        <v/>
      </c>
      <c r="AX531" t="str">
        <f>IF(ISNUMBER(FIND("overige",Methode_Keuze)),"",IF(Tb_Activiteiten[[#This Row],[Afschrijvingskosten]]=1,Tb_Activiteiten[[#Headers],[Afschrijvingskosten]],""))</f>
        <v/>
      </c>
      <c r="AY531" t="str">
        <f>IF(ISNUMBER(FIND("overige",Methode_Keuze)),"",IF(Tb_Activiteiten[[#This Row],[Vergoeding]]=1,Tb_Activiteiten[[#Headers],[Vergoeding]],""))</f>
        <v/>
      </c>
      <c r="AZ531" t="str">
        <f>IF(ISNUMBER(FIND("arbeid",Methode_Keuze)),"",IF(Tb_Activiteiten[[#This Row],[Arbeidskosten - vast tarief (excl eigen arbeid)]]=1,Tb_Activiteiten[[#Headers],[Arbeidskosten - vast tarief (excl eigen arbeid)]],""))</f>
        <v/>
      </c>
      <c r="BA531" t="str">
        <f>IF(ISNUMBER(FIND("overige",Methode_Keuze)),"",IF(Tb_Activiteiten[[#This Row],[Overige kosten]]=1,Tb_Activiteiten[[#Headers],[Overige kosten]],""))</f>
        <v/>
      </c>
    </row>
    <row r="532" spans="1:53" x14ac:dyDescent="0.25">
      <c r="A532" s="231"/>
      <c r="F532" s="64"/>
      <c r="G532" s="64"/>
      <c r="H532" s="275"/>
      <c r="I532" s="275"/>
      <c r="J532" s="275"/>
      <c r="K532" s="275"/>
      <c r="O532" s="56"/>
      <c r="Q532" t="str">
        <f>IFERROR(IF(VLOOKUP(Tb_Activiteiten[[#This Row],[Openstelling]],Tb_Openstelling[],2,0)=1,1,""),"")</f>
        <v/>
      </c>
      <c r="AK532" t="str">
        <f>IF(ISNUMBER(FIND("arbeid",Methode_Keuze)),"",IF(ISNUMBER(FIND("arbeid",Methode_Keuze)),"",IF(Tb_Activiteiten[[#This Row],[Loonkosten]]=1,Tb_Activiteiten[[#Headers],[Loonkosten]],"")))</f>
        <v/>
      </c>
      <c r="AL532" t="str">
        <f>IF(ISNUMBER(FIND("arbeid",Methode_Keuze)),"",IF(ISNUMBER(FIND("arbeid",Methode_Keuze)),"",IF(Tb_Activiteiten[[#This Row],[Eigen arbeid]]=1,Tb_Activiteiten[[#Headers],[Eigen arbeid]],"")))</f>
        <v/>
      </c>
      <c r="AM532" t="str">
        <f>IF(ISNUMBER(FIND("arbeid",Methode_Keuze)),"",IF(ISNUMBER(FIND("arbeid",Methode_Keuze)),"",IF(Tb_Activiteiten[[#This Row],[Projectmedewerker]]=1,Tb_Activiteiten[[#Headers],[Projectmedewerker]],"")))</f>
        <v/>
      </c>
      <c r="AN532" t="str">
        <f>IF(ISNUMBER(FIND("arbeid",Methode_Keuze)),"",IF(ISNUMBER(FIND("arbeid",Methode_Keuze)),"",IF(Tb_Activiteiten[[#This Row],[Landbouwer]]=1,Tb_Activiteiten[[#Headers],[Landbouwer]],"")))</f>
        <v/>
      </c>
      <c r="AO532" t="str">
        <f>IF(ISNUMBER(FIND("arbeid",Methode_Keuze)),"",IF(ISNUMBER(FIND("arbeid",Methode_Keuze)),"",IF(Tb_Activiteiten[[#This Row],[Adviseur]]=1,Tb_Activiteiten[[#Headers],[Adviseur]],"")))</f>
        <v/>
      </c>
      <c r="AP532" t="str">
        <f>IF(ISNUMBER(FIND("arbeid",Methode_Keuze)),"",IF(ISNUMBER(FIND("arbeid",Methode_Keuze)),"",IF(Tb_Activiteiten[[#This Row],[Projectleider/Expert]]=1,Tb_Activiteiten[[#Headers],[Projectleider/Expert]],"")))</f>
        <v/>
      </c>
      <c r="AQ532" t="str">
        <f>IF(ISNUMBER(FIND("arbeid",Methode_Keuze)),"",IF(ISNUMBER(FIND("arbeid",Methode_Keuze)),"",IF(Tb_Activiteiten[[#This Row],[Arbeidskosten]]=1,Tb_Activiteiten[[#Headers],[Arbeidskosten]],"")))</f>
        <v/>
      </c>
      <c r="AR532" t="str">
        <f>IF(ISNUMBER(FIND("arbeid",Methode_Keuze)),"",IF(ISNUMBER(FIND("arbeid",Methode_Keuze)),"",IF(Tb_Activiteiten[[#This Row],[Arbeidskosten op basis van IKS]]=1,Tb_Activiteiten[[#Headers],[Arbeidskosten op basis van IKS]],"")))</f>
        <v/>
      </c>
      <c r="AS532" t="str">
        <f>IF(ISNUMBER(FIND("overige",Methode_Keuze)),"",IF(Tb_Activiteiten[[#This Row],[Kosten derden exclusief btw]]=1,Tb_Activiteiten[[#Headers],[Kosten derden exclusief btw]],""))</f>
        <v/>
      </c>
      <c r="AT532" t="str">
        <f>IF(ISNUMBER(FIND("overige",Methode_Keuze)),"",IF(Tb_Activiteiten[[#This Row],[Niet verrekenbare btw]]=1,Tb_Activiteiten[[#Headers],[Niet verrekenbare btw]],""))</f>
        <v/>
      </c>
      <c r="AU532" t="str">
        <f>IF(ISNUMBER(FIND("overige",Methode_Keuze)),"",IF(Tb_Activiteiten[[#This Row],[Grondkosten]]=1,Tb_Activiteiten[[#Headers],[Grondkosten]],""))</f>
        <v/>
      </c>
      <c r="AV532" t="str">
        <f>IF(ISNUMBER(FIND("overige",Methode_Keuze)),"",IF(Tb_Activiteiten[[#This Row],[Bijdrage in natura (overige)]]=1,Tb_Activiteiten[[#Headers],[Bijdrage in natura (overige)]],""))</f>
        <v/>
      </c>
      <c r="AW532" t="str">
        <f>IF(ISNUMBER(FIND("overige",Methode_Keuze)),"",IF(Tb_Activiteiten[[#This Row],[Bijdrage in natura (vrijwilligers)]]=1,Tb_Activiteiten[[#Headers],[Bijdrage in natura (vrijwilligers)]],""))</f>
        <v/>
      </c>
      <c r="AX532" t="str">
        <f>IF(ISNUMBER(FIND("overige",Methode_Keuze)),"",IF(Tb_Activiteiten[[#This Row],[Afschrijvingskosten]]=1,Tb_Activiteiten[[#Headers],[Afschrijvingskosten]],""))</f>
        <v/>
      </c>
      <c r="AY532" t="str">
        <f>IF(ISNUMBER(FIND("overige",Methode_Keuze)),"",IF(Tb_Activiteiten[[#This Row],[Vergoeding]]=1,Tb_Activiteiten[[#Headers],[Vergoeding]],""))</f>
        <v/>
      </c>
      <c r="AZ532" t="str">
        <f>IF(ISNUMBER(FIND("arbeid",Methode_Keuze)),"",IF(Tb_Activiteiten[[#This Row],[Arbeidskosten - vast tarief (excl eigen arbeid)]]=1,Tb_Activiteiten[[#Headers],[Arbeidskosten - vast tarief (excl eigen arbeid)]],""))</f>
        <v/>
      </c>
      <c r="BA532" t="str">
        <f>IF(ISNUMBER(FIND("overige",Methode_Keuze)),"",IF(Tb_Activiteiten[[#This Row],[Overige kosten]]=1,Tb_Activiteiten[[#Headers],[Overige kosten]],""))</f>
        <v/>
      </c>
    </row>
    <row r="533" spans="1:53" x14ac:dyDescent="0.25">
      <c r="A533" s="231"/>
      <c r="F533" s="64"/>
      <c r="G533" s="64"/>
      <c r="H533" s="275"/>
      <c r="I533" s="275"/>
      <c r="J533" s="275"/>
      <c r="K533" s="275"/>
      <c r="O533" s="56"/>
      <c r="Q533" t="str">
        <f>IFERROR(IF(VLOOKUP(Tb_Activiteiten[[#This Row],[Openstelling]],Tb_Openstelling[],2,0)=1,1,""),"")</f>
        <v/>
      </c>
      <c r="AK533" t="str">
        <f>IF(ISNUMBER(FIND("arbeid",Methode_Keuze)),"",IF(ISNUMBER(FIND("arbeid",Methode_Keuze)),"",IF(Tb_Activiteiten[[#This Row],[Loonkosten]]=1,Tb_Activiteiten[[#Headers],[Loonkosten]],"")))</f>
        <v/>
      </c>
      <c r="AL533" t="str">
        <f>IF(ISNUMBER(FIND("arbeid",Methode_Keuze)),"",IF(ISNUMBER(FIND("arbeid",Methode_Keuze)),"",IF(Tb_Activiteiten[[#This Row],[Eigen arbeid]]=1,Tb_Activiteiten[[#Headers],[Eigen arbeid]],"")))</f>
        <v/>
      </c>
      <c r="AM533" t="str">
        <f>IF(ISNUMBER(FIND("arbeid",Methode_Keuze)),"",IF(ISNUMBER(FIND("arbeid",Methode_Keuze)),"",IF(Tb_Activiteiten[[#This Row],[Projectmedewerker]]=1,Tb_Activiteiten[[#Headers],[Projectmedewerker]],"")))</f>
        <v/>
      </c>
      <c r="AN533" t="str">
        <f>IF(ISNUMBER(FIND("arbeid",Methode_Keuze)),"",IF(ISNUMBER(FIND("arbeid",Methode_Keuze)),"",IF(Tb_Activiteiten[[#This Row],[Landbouwer]]=1,Tb_Activiteiten[[#Headers],[Landbouwer]],"")))</f>
        <v/>
      </c>
      <c r="AO533" t="str">
        <f>IF(ISNUMBER(FIND("arbeid",Methode_Keuze)),"",IF(ISNUMBER(FIND("arbeid",Methode_Keuze)),"",IF(Tb_Activiteiten[[#This Row],[Adviseur]]=1,Tb_Activiteiten[[#Headers],[Adviseur]],"")))</f>
        <v/>
      </c>
      <c r="AP533" t="str">
        <f>IF(ISNUMBER(FIND("arbeid",Methode_Keuze)),"",IF(ISNUMBER(FIND("arbeid",Methode_Keuze)),"",IF(Tb_Activiteiten[[#This Row],[Projectleider/Expert]]=1,Tb_Activiteiten[[#Headers],[Projectleider/Expert]],"")))</f>
        <v/>
      </c>
      <c r="AQ533" t="str">
        <f>IF(ISNUMBER(FIND("arbeid",Methode_Keuze)),"",IF(ISNUMBER(FIND("arbeid",Methode_Keuze)),"",IF(Tb_Activiteiten[[#This Row],[Arbeidskosten]]=1,Tb_Activiteiten[[#Headers],[Arbeidskosten]],"")))</f>
        <v/>
      </c>
      <c r="AR533" t="str">
        <f>IF(ISNUMBER(FIND("arbeid",Methode_Keuze)),"",IF(ISNUMBER(FIND("arbeid",Methode_Keuze)),"",IF(Tb_Activiteiten[[#This Row],[Arbeidskosten op basis van IKS]]=1,Tb_Activiteiten[[#Headers],[Arbeidskosten op basis van IKS]],"")))</f>
        <v/>
      </c>
      <c r="AS533" t="str">
        <f>IF(ISNUMBER(FIND("overige",Methode_Keuze)),"",IF(Tb_Activiteiten[[#This Row],[Kosten derden exclusief btw]]=1,Tb_Activiteiten[[#Headers],[Kosten derden exclusief btw]],""))</f>
        <v/>
      </c>
      <c r="AT533" t="str">
        <f>IF(ISNUMBER(FIND("overige",Methode_Keuze)),"",IF(Tb_Activiteiten[[#This Row],[Niet verrekenbare btw]]=1,Tb_Activiteiten[[#Headers],[Niet verrekenbare btw]],""))</f>
        <v/>
      </c>
      <c r="AU533" t="str">
        <f>IF(ISNUMBER(FIND("overige",Methode_Keuze)),"",IF(Tb_Activiteiten[[#This Row],[Grondkosten]]=1,Tb_Activiteiten[[#Headers],[Grondkosten]],""))</f>
        <v/>
      </c>
      <c r="AV533" t="str">
        <f>IF(ISNUMBER(FIND("overige",Methode_Keuze)),"",IF(Tb_Activiteiten[[#This Row],[Bijdrage in natura (overige)]]=1,Tb_Activiteiten[[#Headers],[Bijdrage in natura (overige)]],""))</f>
        <v/>
      </c>
      <c r="AW533" t="str">
        <f>IF(ISNUMBER(FIND("overige",Methode_Keuze)),"",IF(Tb_Activiteiten[[#This Row],[Bijdrage in natura (vrijwilligers)]]=1,Tb_Activiteiten[[#Headers],[Bijdrage in natura (vrijwilligers)]],""))</f>
        <v/>
      </c>
      <c r="AX533" t="str">
        <f>IF(ISNUMBER(FIND("overige",Methode_Keuze)),"",IF(Tb_Activiteiten[[#This Row],[Afschrijvingskosten]]=1,Tb_Activiteiten[[#Headers],[Afschrijvingskosten]],""))</f>
        <v/>
      </c>
      <c r="AY533" t="str">
        <f>IF(ISNUMBER(FIND("overige",Methode_Keuze)),"",IF(Tb_Activiteiten[[#This Row],[Vergoeding]]=1,Tb_Activiteiten[[#Headers],[Vergoeding]],""))</f>
        <v/>
      </c>
      <c r="AZ533" t="str">
        <f>IF(ISNUMBER(FIND("arbeid",Methode_Keuze)),"",IF(Tb_Activiteiten[[#This Row],[Arbeidskosten - vast tarief (excl eigen arbeid)]]=1,Tb_Activiteiten[[#Headers],[Arbeidskosten - vast tarief (excl eigen arbeid)]],""))</f>
        <v/>
      </c>
      <c r="BA533" t="str">
        <f>IF(ISNUMBER(FIND("overige",Methode_Keuze)),"",IF(Tb_Activiteiten[[#This Row],[Overige kosten]]=1,Tb_Activiteiten[[#Headers],[Overige kosten]],""))</f>
        <v/>
      </c>
    </row>
    <row r="534" spans="1:53" x14ac:dyDescent="0.25">
      <c r="A534" s="231"/>
      <c r="F534" s="64"/>
      <c r="G534" s="64"/>
      <c r="H534" s="275"/>
      <c r="I534" s="275"/>
      <c r="J534" s="275"/>
      <c r="K534" s="275"/>
      <c r="O534" s="56"/>
      <c r="Q534" t="str">
        <f>IFERROR(IF(VLOOKUP(Tb_Activiteiten[[#This Row],[Openstelling]],Tb_Openstelling[],2,0)=1,1,""),"")</f>
        <v/>
      </c>
      <c r="AK534" t="str">
        <f>IF(ISNUMBER(FIND("arbeid",Methode_Keuze)),"",IF(ISNUMBER(FIND("arbeid",Methode_Keuze)),"",IF(Tb_Activiteiten[[#This Row],[Loonkosten]]=1,Tb_Activiteiten[[#Headers],[Loonkosten]],"")))</f>
        <v/>
      </c>
      <c r="AL534" t="str">
        <f>IF(ISNUMBER(FIND("arbeid",Methode_Keuze)),"",IF(ISNUMBER(FIND("arbeid",Methode_Keuze)),"",IF(Tb_Activiteiten[[#This Row],[Eigen arbeid]]=1,Tb_Activiteiten[[#Headers],[Eigen arbeid]],"")))</f>
        <v/>
      </c>
      <c r="AM534" t="str">
        <f>IF(ISNUMBER(FIND("arbeid",Methode_Keuze)),"",IF(ISNUMBER(FIND("arbeid",Methode_Keuze)),"",IF(Tb_Activiteiten[[#This Row],[Projectmedewerker]]=1,Tb_Activiteiten[[#Headers],[Projectmedewerker]],"")))</f>
        <v/>
      </c>
      <c r="AN534" t="str">
        <f>IF(ISNUMBER(FIND("arbeid",Methode_Keuze)),"",IF(ISNUMBER(FIND("arbeid",Methode_Keuze)),"",IF(Tb_Activiteiten[[#This Row],[Landbouwer]]=1,Tb_Activiteiten[[#Headers],[Landbouwer]],"")))</f>
        <v/>
      </c>
      <c r="AO534" t="str">
        <f>IF(ISNUMBER(FIND("arbeid",Methode_Keuze)),"",IF(ISNUMBER(FIND("arbeid",Methode_Keuze)),"",IF(Tb_Activiteiten[[#This Row],[Adviseur]]=1,Tb_Activiteiten[[#Headers],[Adviseur]],"")))</f>
        <v/>
      </c>
      <c r="AP534" t="str">
        <f>IF(ISNUMBER(FIND("arbeid",Methode_Keuze)),"",IF(ISNUMBER(FIND("arbeid",Methode_Keuze)),"",IF(Tb_Activiteiten[[#This Row],[Projectleider/Expert]]=1,Tb_Activiteiten[[#Headers],[Projectleider/Expert]],"")))</f>
        <v/>
      </c>
      <c r="AQ534" t="str">
        <f>IF(ISNUMBER(FIND("arbeid",Methode_Keuze)),"",IF(ISNUMBER(FIND("arbeid",Methode_Keuze)),"",IF(Tb_Activiteiten[[#This Row],[Arbeidskosten]]=1,Tb_Activiteiten[[#Headers],[Arbeidskosten]],"")))</f>
        <v/>
      </c>
      <c r="AR534" t="str">
        <f>IF(ISNUMBER(FIND("arbeid",Methode_Keuze)),"",IF(ISNUMBER(FIND("arbeid",Methode_Keuze)),"",IF(Tb_Activiteiten[[#This Row],[Arbeidskosten op basis van IKS]]=1,Tb_Activiteiten[[#Headers],[Arbeidskosten op basis van IKS]],"")))</f>
        <v/>
      </c>
      <c r="AS534" t="str">
        <f>IF(ISNUMBER(FIND("overige",Methode_Keuze)),"",IF(Tb_Activiteiten[[#This Row],[Kosten derden exclusief btw]]=1,Tb_Activiteiten[[#Headers],[Kosten derden exclusief btw]],""))</f>
        <v/>
      </c>
      <c r="AT534" t="str">
        <f>IF(ISNUMBER(FIND("overige",Methode_Keuze)),"",IF(Tb_Activiteiten[[#This Row],[Niet verrekenbare btw]]=1,Tb_Activiteiten[[#Headers],[Niet verrekenbare btw]],""))</f>
        <v/>
      </c>
      <c r="AU534" t="str">
        <f>IF(ISNUMBER(FIND("overige",Methode_Keuze)),"",IF(Tb_Activiteiten[[#This Row],[Grondkosten]]=1,Tb_Activiteiten[[#Headers],[Grondkosten]],""))</f>
        <v/>
      </c>
      <c r="AV534" t="str">
        <f>IF(ISNUMBER(FIND("overige",Methode_Keuze)),"",IF(Tb_Activiteiten[[#This Row],[Bijdrage in natura (overige)]]=1,Tb_Activiteiten[[#Headers],[Bijdrage in natura (overige)]],""))</f>
        <v/>
      </c>
      <c r="AW534" t="str">
        <f>IF(ISNUMBER(FIND("overige",Methode_Keuze)),"",IF(Tb_Activiteiten[[#This Row],[Bijdrage in natura (vrijwilligers)]]=1,Tb_Activiteiten[[#Headers],[Bijdrage in natura (vrijwilligers)]],""))</f>
        <v/>
      </c>
      <c r="AX534" t="str">
        <f>IF(ISNUMBER(FIND("overige",Methode_Keuze)),"",IF(Tb_Activiteiten[[#This Row],[Afschrijvingskosten]]=1,Tb_Activiteiten[[#Headers],[Afschrijvingskosten]],""))</f>
        <v/>
      </c>
      <c r="AY534" t="str">
        <f>IF(ISNUMBER(FIND("overige",Methode_Keuze)),"",IF(Tb_Activiteiten[[#This Row],[Vergoeding]]=1,Tb_Activiteiten[[#Headers],[Vergoeding]],""))</f>
        <v/>
      </c>
      <c r="AZ534" t="str">
        <f>IF(ISNUMBER(FIND("arbeid",Methode_Keuze)),"",IF(Tb_Activiteiten[[#This Row],[Arbeidskosten - vast tarief (excl eigen arbeid)]]=1,Tb_Activiteiten[[#Headers],[Arbeidskosten - vast tarief (excl eigen arbeid)]],""))</f>
        <v/>
      </c>
      <c r="BA534" t="str">
        <f>IF(ISNUMBER(FIND("overige",Methode_Keuze)),"",IF(Tb_Activiteiten[[#This Row],[Overige kosten]]=1,Tb_Activiteiten[[#Headers],[Overige kosten]],""))</f>
        <v/>
      </c>
    </row>
    <row r="535" spans="1:53" x14ac:dyDescent="0.25">
      <c r="A535" s="231"/>
      <c r="F535" s="64"/>
      <c r="G535" s="64"/>
      <c r="H535" s="275"/>
      <c r="I535" s="275"/>
      <c r="J535" s="275"/>
      <c r="K535" s="275"/>
      <c r="O535" s="56"/>
      <c r="Q535" t="str">
        <f>IFERROR(IF(VLOOKUP(Tb_Activiteiten[[#This Row],[Openstelling]],Tb_Openstelling[],2,0)=1,1,""),"")</f>
        <v/>
      </c>
      <c r="AK535" t="str">
        <f>IF(ISNUMBER(FIND("arbeid",Methode_Keuze)),"",IF(ISNUMBER(FIND("arbeid",Methode_Keuze)),"",IF(Tb_Activiteiten[[#This Row],[Loonkosten]]=1,Tb_Activiteiten[[#Headers],[Loonkosten]],"")))</f>
        <v/>
      </c>
      <c r="AL535" t="str">
        <f>IF(ISNUMBER(FIND("arbeid",Methode_Keuze)),"",IF(ISNUMBER(FIND("arbeid",Methode_Keuze)),"",IF(Tb_Activiteiten[[#This Row],[Eigen arbeid]]=1,Tb_Activiteiten[[#Headers],[Eigen arbeid]],"")))</f>
        <v/>
      </c>
      <c r="AM535" t="str">
        <f>IF(ISNUMBER(FIND("arbeid",Methode_Keuze)),"",IF(ISNUMBER(FIND("arbeid",Methode_Keuze)),"",IF(Tb_Activiteiten[[#This Row],[Projectmedewerker]]=1,Tb_Activiteiten[[#Headers],[Projectmedewerker]],"")))</f>
        <v/>
      </c>
      <c r="AN535" t="str">
        <f>IF(ISNUMBER(FIND("arbeid",Methode_Keuze)),"",IF(ISNUMBER(FIND("arbeid",Methode_Keuze)),"",IF(Tb_Activiteiten[[#This Row],[Landbouwer]]=1,Tb_Activiteiten[[#Headers],[Landbouwer]],"")))</f>
        <v/>
      </c>
      <c r="AO535" t="str">
        <f>IF(ISNUMBER(FIND("arbeid",Methode_Keuze)),"",IF(ISNUMBER(FIND("arbeid",Methode_Keuze)),"",IF(Tb_Activiteiten[[#This Row],[Adviseur]]=1,Tb_Activiteiten[[#Headers],[Adviseur]],"")))</f>
        <v/>
      </c>
      <c r="AP535" t="str">
        <f>IF(ISNUMBER(FIND("arbeid",Methode_Keuze)),"",IF(ISNUMBER(FIND("arbeid",Methode_Keuze)),"",IF(Tb_Activiteiten[[#This Row],[Projectleider/Expert]]=1,Tb_Activiteiten[[#Headers],[Projectleider/Expert]],"")))</f>
        <v/>
      </c>
      <c r="AQ535" t="str">
        <f>IF(ISNUMBER(FIND("arbeid",Methode_Keuze)),"",IF(ISNUMBER(FIND("arbeid",Methode_Keuze)),"",IF(Tb_Activiteiten[[#This Row],[Arbeidskosten]]=1,Tb_Activiteiten[[#Headers],[Arbeidskosten]],"")))</f>
        <v/>
      </c>
      <c r="AR535" t="str">
        <f>IF(ISNUMBER(FIND("arbeid",Methode_Keuze)),"",IF(ISNUMBER(FIND("arbeid",Methode_Keuze)),"",IF(Tb_Activiteiten[[#This Row],[Arbeidskosten op basis van IKS]]=1,Tb_Activiteiten[[#Headers],[Arbeidskosten op basis van IKS]],"")))</f>
        <v/>
      </c>
      <c r="AS535" t="str">
        <f>IF(ISNUMBER(FIND("overige",Methode_Keuze)),"",IF(Tb_Activiteiten[[#This Row],[Kosten derden exclusief btw]]=1,Tb_Activiteiten[[#Headers],[Kosten derden exclusief btw]],""))</f>
        <v/>
      </c>
      <c r="AT535" t="str">
        <f>IF(ISNUMBER(FIND("overige",Methode_Keuze)),"",IF(Tb_Activiteiten[[#This Row],[Niet verrekenbare btw]]=1,Tb_Activiteiten[[#Headers],[Niet verrekenbare btw]],""))</f>
        <v/>
      </c>
      <c r="AU535" t="str">
        <f>IF(ISNUMBER(FIND("overige",Methode_Keuze)),"",IF(Tb_Activiteiten[[#This Row],[Grondkosten]]=1,Tb_Activiteiten[[#Headers],[Grondkosten]],""))</f>
        <v/>
      </c>
      <c r="AV535" t="str">
        <f>IF(ISNUMBER(FIND("overige",Methode_Keuze)),"",IF(Tb_Activiteiten[[#This Row],[Bijdrage in natura (overige)]]=1,Tb_Activiteiten[[#Headers],[Bijdrage in natura (overige)]],""))</f>
        <v/>
      </c>
      <c r="AW535" t="str">
        <f>IF(ISNUMBER(FIND("overige",Methode_Keuze)),"",IF(Tb_Activiteiten[[#This Row],[Bijdrage in natura (vrijwilligers)]]=1,Tb_Activiteiten[[#Headers],[Bijdrage in natura (vrijwilligers)]],""))</f>
        <v/>
      </c>
      <c r="AX535" t="str">
        <f>IF(ISNUMBER(FIND("overige",Methode_Keuze)),"",IF(Tb_Activiteiten[[#This Row],[Afschrijvingskosten]]=1,Tb_Activiteiten[[#Headers],[Afschrijvingskosten]],""))</f>
        <v/>
      </c>
      <c r="AY535" t="str">
        <f>IF(ISNUMBER(FIND("overige",Methode_Keuze)),"",IF(Tb_Activiteiten[[#This Row],[Vergoeding]]=1,Tb_Activiteiten[[#Headers],[Vergoeding]],""))</f>
        <v/>
      </c>
      <c r="AZ535" t="str">
        <f>IF(ISNUMBER(FIND("arbeid",Methode_Keuze)),"",IF(Tb_Activiteiten[[#This Row],[Arbeidskosten - vast tarief (excl eigen arbeid)]]=1,Tb_Activiteiten[[#Headers],[Arbeidskosten - vast tarief (excl eigen arbeid)]],""))</f>
        <v/>
      </c>
      <c r="BA535" t="str">
        <f>IF(ISNUMBER(FIND("overige",Methode_Keuze)),"",IF(Tb_Activiteiten[[#This Row],[Overige kosten]]=1,Tb_Activiteiten[[#Headers],[Overige kosten]],""))</f>
        <v/>
      </c>
    </row>
    <row r="536" spans="1:53" x14ac:dyDescent="0.25">
      <c r="A536" s="231"/>
      <c r="F536" s="64"/>
      <c r="G536" s="64"/>
      <c r="H536" s="275"/>
      <c r="I536" s="275"/>
      <c r="J536" s="275"/>
      <c r="K536" s="275"/>
      <c r="O536" s="56"/>
      <c r="Q536" t="str">
        <f>IFERROR(IF(VLOOKUP(Tb_Activiteiten[[#This Row],[Openstelling]],Tb_Openstelling[],2,0)=1,1,""),"")</f>
        <v/>
      </c>
      <c r="AK536" t="str">
        <f>IF(ISNUMBER(FIND("arbeid",Methode_Keuze)),"",IF(ISNUMBER(FIND("arbeid",Methode_Keuze)),"",IF(Tb_Activiteiten[[#This Row],[Loonkosten]]=1,Tb_Activiteiten[[#Headers],[Loonkosten]],"")))</f>
        <v/>
      </c>
      <c r="AL536" t="str">
        <f>IF(ISNUMBER(FIND("arbeid",Methode_Keuze)),"",IF(ISNUMBER(FIND("arbeid",Methode_Keuze)),"",IF(Tb_Activiteiten[[#This Row],[Eigen arbeid]]=1,Tb_Activiteiten[[#Headers],[Eigen arbeid]],"")))</f>
        <v/>
      </c>
      <c r="AM536" t="str">
        <f>IF(ISNUMBER(FIND("arbeid",Methode_Keuze)),"",IF(ISNUMBER(FIND("arbeid",Methode_Keuze)),"",IF(Tb_Activiteiten[[#This Row],[Projectmedewerker]]=1,Tb_Activiteiten[[#Headers],[Projectmedewerker]],"")))</f>
        <v/>
      </c>
      <c r="AN536" t="str">
        <f>IF(ISNUMBER(FIND("arbeid",Methode_Keuze)),"",IF(ISNUMBER(FIND("arbeid",Methode_Keuze)),"",IF(Tb_Activiteiten[[#This Row],[Landbouwer]]=1,Tb_Activiteiten[[#Headers],[Landbouwer]],"")))</f>
        <v/>
      </c>
      <c r="AO536" t="str">
        <f>IF(ISNUMBER(FIND("arbeid",Methode_Keuze)),"",IF(ISNUMBER(FIND("arbeid",Methode_Keuze)),"",IF(Tb_Activiteiten[[#This Row],[Adviseur]]=1,Tb_Activiteiten[[#Headers],[Adviseur]],"")))</f>
        <v/>
      </c>
      <c r="AP536" t="str">
        <f>IF(ISNUMBER(FIND("arbeid",Methode_Keuze)),"",IF(ISNUMBER(FIND("arbeid",Methode_Keuze)),"",IF(Tb_Activiteiten[[#This Row],[Projectleider/Expert]]=1,Tb_Activiteiten[[#Headers],[Projectleider/Expert]],"")))</f>
        <v/>
      </c>
      <c r="AQ536" t="str">
        <f>IF(ISNUMBER(FIND("arbeid",Methode_Keuze)),"",IF(ISNUMBER(FIND("arbeid",Methode_Keuze)),"",IF(Tb_Activiteiten[[#This Row],[Arbeidskosten]]=1,Tb_Activiteiten[[#Headers],[Arbeidskosten]],"")))</f>
        <v/>
      </c>
      <c r="AR536" t="str">
        <f>IF(ISNUMBER(FIND("arbeid",Methode_Keuze)),"",IF(ISNUMBER(FIND("arbeid",Methode_Keuze)),"",IF(Tb_Activiteiten[[#This Row],[Arbeidskosten op basis van IKS]]=1,Tb_Activiteiten[[#Headers],[Arbeidskosten op basis van IKS]],"")))</f>
        <v/>
      </c>
      <c r="AS536" t="str">
        <f>IF(ISNUMBER(FIND("overige",Methode_Keuze)),"",IF(Tb_Activiteiten[[#This Row],[Kosten derden exclusief btw]]=1,Tb_Activiteiten[[#Headers],[Kosten derden exclusief btw]],""))</f>
        <v/>
      </c>
      <c r="AT536" t="str">
        <f>IF(ISNUMBER(FIND("overige",Methode_Keuze)),"",IF(Tb_Activiteiten[[#This Row],[Niet verrekenbare btw]]=1,Tb_Activiteiten[[#Headers],[Niet verrekenbare btw]],""))</f>
        <v/>
      </c>
      <c r="AU536" t="str">
        <f>IF(ISNUMBER(FIND("overige",Methode_Keuze)),"",IF(Tb_Activiteiten[[#This Row],[Grondkosten]]=1,Tb_Activiteiten[[#Headers],[Grondkosten]],""))</f>
        <v/>
      </c>
      <c r="AV536" t="str">
        <f>IF(ISNUMBER(FIND("overige",Methode_Keuze)),"",IF(Tb_Activiteiten[[#This Row],[Bijdrage in natura (overige)]]=1,Tb_Activiteiten[[#Headers],[Bijdrage in natura (overige)]],""))</f>
        <v/>
      </c>
      <c r="AW536" t="str">
        <f>IF(ISNUMBER(FIND("overige",Methode_Keuze)),"",IF(Tb_Activiteiten[[#This Row],[Bijdrage in natura (vrijwilligers)]]=1,Tb_Activiteiten[[#Headers],[Bijdrage in natura (vrijwilligers)]],""))</f>
        <v/>
      </c>
      <c r="AX536" t="str">
        <f>IF(ISNUMBER(FIND("overige",Methode_Keuze)),"",IF(Tb_Activiteiten[[#This Row],[Afschrijvingskosten]]=1,Tb_Activiteiten[[#Headers],[Afschrijvingskosten]],""))</f>
        <v/>
      </c>
      <c r="AY536" t="str">
        <f>IF(ISNUMBER(FIND("overige",Methode_Keuze)),"",IF(Tb_Activiteiten[[#This Row],[Vergoeding]]=1,Tb_Activiteiten[[#Headers],[Vergoeding]],""))</f>
        <v/>
      </c>
      <c r="AZ536" t="str">
        <f>IF(ISNUMBER(FIND("arbeid",Methode_Keuze)),"",IF(Tb_Activiteiten[[#This Row],[Arbeidskosten - vast tarief (excl eigen arbeid)]]=1,Tb_Activiteiten[[#Headers],[Arbeidskosten - vast tarief (excl eigen arbeid)]],""))</f>
        <v/>
      </c>
      <c r="BA536" t="str">
        <f>IF(ISNUMBER(FIND("overige",Methode_Keuze)),"",IF(Tb_Activiteiten[[#This Row],[Overige kosten]]=1,Tb_Activiteiten[[#Headers],[Overige kosten]],""))</f>
        <v/>
      </c>
    </row>
    <row r="537" spans="1:53" x14ac:dyDescent="0.25">
      <c r="A537" s="231"/>
      <c r="F537" s="64"/>
      <c r="G537" s="64"/>
      <c r="H537" s="275"/>
      <c r="I537" s="275"/>
      <c r="J537" s="275"/>
      <c r="K537" s="275"/>
      <c r="O537" s="56"/>
      <c r="Q537" t="str">
        <f>IFERROR(IF(VLOOKUP(Tb_Activiteiten[[#This Row],[Openstelling]],Tb_Openstelling[],2,0)=1,1,""),"")</f>
        <v/>
      </c>
      <c r="AK537" t="str">
        <f>IF(ISNUMBER(FIND("arbeid",Methode_Keuze)),"",IF(ISNUMBER(FIND("arbeid",Methode_Keuze)),"",IF(Tb_Activiteiten[[#This Row],[Loonkosten]]=1,Tb_Activiteiten[[#Headers],[Loonkosten]],"")))</f>
        <v/>
      </c>
      <c r="AL537" t="str">
        <f>IF(ISNUMBER(FIND("arbeid",Methode_Keuze)),"",IF(ISNUMBER(FIND("arbeid",Methode_Keuze)),"",IF(Tb_Activiteiten[[#This Row],[Eigen arbeid]]=1,Tb_Activiteiten[[#Headers],[Eigen arbeid]],"")))</f>
        <v/>
      </c>
      <c r="AM537" t="str">
        <f>IF(ISNUMBER(FIND("arbeid",Methode_Keuze)),"",IF(ISNUMBER(FIND("arbeid",Methode_Keuze)),"",IF(Tb_Activiteiten[[#This Row],[Projectmedewerker]]=1,Tb_Activiteiten[[#Headers],[Projectmedewerker]],"")))</f>
        <v/>
      </c>
      <c r="AN537" t="str">
        <f>IF(ISNUMBER(FIND("arbeid",Methode_Keuze)),"",IF(ISNUMBER(FIND("arbeid",Methode_Keuze)),"",IF(Tb_Activiteiten[[#This Row],[Landbouwer]]=1,Tb_Activiteiten[[#Headers],[Landbouwer]],"")))</f>
        <v/>
      </c>
      <c r="AO537" t="str">
        <f>IF(ISNUMBER(FIND("arbeid",Methode_Keuze)),"",IF(ISNUMBER(FIND("arbeid",Methode_Keuze)),"",IF(Tb_Activiteiten[[#This Row],[Adviseur]]=1,Tb_Activiteiten[[#Headers],[Adviseur]],"")))</f>
        <v/>
      </c>
      <c r="AP537" t="str">
        <f>IF(ISNUMBER(FIND("arbeid",Methode_Keuze)),"",IF(ISNUMBER(FIND("arbeid",Methode_Keuze)),"",IF(Tb_Activiteiten[[#This Row],[Projectleider/Expert]]=1,Tb_Activiteiten[[#Headers],[Projectleider/Expert]],"")))</f>
        <v/>
      </c>
      <c r="AQ537" t="str">
        <f>IF(ISNUMBER(FIND("arbeid",Methode_Keuze)),"",IF(ISNUMBER(FIND("arbeid",Methode_Keuze)),"",IF(Tb_Activiteiten[[#This Row],[Arbeidskosten]]=1,Tb_Activiteiten[[#Headers],[Arbeidskosten]],"")))</f>
        <v/>
      </c>
      <c r="AR537" t="str">
        <f>IF(ISNUMBER(FIND("arbeid",Methode_Keuze)),"",IF(ISNUMBER(FIND("arbeid",Methode_Keuze)),"",IF(Tb_Activiteiten[[#This Row],[Arbeidskosten op basis van IKS]]=1,Tb_Activiteiten[[#Headers],[Arbeidskosten op basis van IKS]],"")))</f>
        <v/>
      </c>
      <c r="AS537" t="str">
        <f>IF(ISNUMBER(FIND("overige",Methode_Keuze)),"",IF(Tb_Activiteiten[[#This Row],[Kosten derden exclusief btw]]=1,Tb_Activiteiten[[#Headers],[Kosten derden exclusief btw]],""))</f>
        <v/>
      </c>
      <c r="AT537" t="str">
        <f>IF(ISNUMBER(FIND("overige",Methode_Keuze)),"",IF(Tb_Activiteiten[[#This Row],[Niet verrekenbare btw]]=1,Tb_Activiteiten[[#Headers],[Niet verrekenbare btw]],""))</f>
        <v/>
      </c>
      <c r="AU537" t="str">
        <f>IF(ISNUMBER(FIND("overige",Methode_Keuze)),"",IF(Tb_Activiteiten[[#This Row],[Grondkosten]]=1,Tb_Activiteiten[[#Headers],[Grondkosten]],""))</f>
        <v/>
      </c>
      <c r="AV537" t="str">
        <f>IF(ISNUMBER(FIND("overige",Methode_Keuze)),"",IF(Tb_Activiteiten[[#This Row],[Bijdrage in natura (overige)]]=1,Tb_Activiteiten[[#Headers],[Bijdrage in natura (overige)]],""))</f>
        <v/>
      </c>
      <c r="AW537" t="str">
        <f>IF(ISNUMBER(FIND("overige",Methode_Keuze)),"",IF(Tb_Activiteiten[[#This Row],[Bijdrage in natura (vrijwilligers)]]=1,Tb_Activiteiten[[#Headers],[Bijdrage in natura (vrijwilligers)]],""))</f>
        <v/>
      </c>
      <c r="AX537" t="str">
        <f>IF(ISNUMBER(FIND("overige",Methode_Keuze)),"",IF(Tb_Activiteiten[[#This Row],[Afschrijvingskosten]]=1,Tb_Activiteiten[[#Headers],[Afschrijvingskosten]],""))</f>
        <v/>
      </c>
      <c r="AY537" t="str">
        <f>IF(ISNUMBER(FIND("overige",Methode_Keuze)),"",IF(Tb_Activiteiten[[#This Row],[Vergoeding]]=1,Tb_Activiteiten[[#Headers],[Vergoeding]],""))</f>
        <v/>
      </c>
      <c r="AZ537" t="str">
        <f>IF(ISNUMBER(FIND("arbeid",Methode_Keuze)),"",IF(Tb_Activiteiten[[#This Row],[Arbeidskosten - vast tarief (excl eigen arbeid)]]=1,Tb_Activiteiten[[#Headers],[Arbeidskosten - vast tarief (excl eigen arbeid)]],""))</f>
        <v/>
      </c>
      <c r="BA537" t="str">
        <f>IF(ISNUMBER(FIND("overige",Methode_Keuze)),"",IF(Tb_Activiteiten[[#This Row],[Overige kosten]]=1,Tb_Activiteiten[[#Headers],[Overige kosten]],""))</f>
        <v/>
      </c>
    </row>
    <row r="538" spans="1:53" x14ac:dyDescent="0.25">
      <c r="A538" s="231"/>
      <c r="F538" s="64"/>
      <c r="G538" s="64"/>
      <c r="H538" s="275"/>
      <c r="I538" s="275"/>
      <c r="J538" s="275"/>
      <c r="K538" s="275"/>
      <c r="O538" s="56"/>
      <c r="Q538" t="str">
        <f>IFERROR(IF(VLOOKUP(Tb_Activiteiten[[#This Row],[Openstelling]],Tb_Openstelling[],2,0)=1,1,""),"")</f>
        <v/>
      </c>
      <c r="AK538" t="str">
        <f>IF(ISNUMBER(FIND("arbeid",Methode_Keuze)),"",IF(ISNUMBER(FIND("arbeid",Methode_Keuze)),"",IF(Tb_Activiteiten[[#This Row],[Loonkosten]]=1,Tb_Activiteiten[[#Headers],[Loonkosten]],"")))</f>
        <v/>
      </c>
      <c r="AL538" t="str">
        <f>IF(ISNUMBER(FIND("arbeid",Methode_Keuze)),"",IF(ISNUMBER(FIND("arbeid",Methode_Keuze)),"",IF(Tb_Activiteiten[[#This Row],[Eigen arbeid]]=1,Tb_Activiteiten[[#Headers],[Eigen arbeid]],"")))</f>
        <v/>
      </c>
      <c r="AM538" t="str">
        <f>IF(ISNUMBER(FIND("arbeid",Methode_Keuze)),"",IF(ISNUMBER(FIND("arbeid",Methode_Keuze)),"",IF(Tb_Activiteiten[[#This Row],[Projectmedewerker]]=1,Tb_Activiteiten[[#Headers],[Projectmedewerker]],"")))</f>
        <v/>
      </c>
      <c r="AN538" t="str">
        <f>IF(ISNUMBER(FIND("arbeid",Methode_Keuze)),"",IF(ISNUMBER(FIND("arbeid",Methode_Keuze)),"",IF(Tb_Activiteiten[[#This Row],[Landbouwer]]=1,Tb_Activiteiten[[#Headers],[Landbouwer]],"")))</f>
        <v/>
      </c>
      <c r="AO538" t="str">
        <f>IF(ISNUMBER(FIND("arbeid",Methode_Keuze)),"",IF(ISNUMBER(FIND("arbeid",Methode_Keuze)),"",IF(Tb_Activiteiten[[#This Row],[Adviseur]]=1,Tb_Activiteiten[[#Headers],[Adviseur]],"")))</f>
        <v/>
      </c>
      <c r="AP538" t="str">
        <f>IF(ISNUMBER(FIND("arbeid",Methode_Keuze)),"",IF(ISNUMBER(FIND("arbeid",Methode_Keuze)),"",IF(Tb_Activiteiten[[#This Row],[Projectleider/Expert]]=1,Tb_Activiteiten[[#Headers],[Projectleider/Expert]],"")))</f>
        <v/>
      </c>
      <c r="AQ538" t="str">
        <f>IF(ISNUMBER(FIND("arbeid",Methode_Keuze)),"",IF(ISNUMBER(FIND("arbeid",Methode_Keuze)),"",IF(Tb_Activiteiten[[#This Row],[Arbeidskosten]]=1,Tb_Activiteiten[[#Headers],[Arbeidskosten]],"")))</f>
        <v/>
      </c>
      <c r="AR538" t="str">
        <f>IF(ISNUMBER(FIND("arbeid",Methode_Keuze)),"",IF(ISNUMBER(FIND("arbeid",Methode_Keuze)),"",IF(Tb_Activiteiten[[#This Row],[Arbeidskosten op basis van IKS]]=1,Tb_Activiteiten[[#Headers],[Arbeidskosten op basis van IKS]],"")))</f>
        <v/>
      </c>
      <c r="AS538" t="str">
        <f>IF(ISNUMBER(FIND("overige",Methode_Keuze)),"",IF(Tb_Activiteiten[[#This Row],[Kosten derden exclusief btw]]=1,Tb_Activiteiten[[#Headers],[Kosten derden exclusief btw]],""))</f>
        <v/>
      </c>
      <c r="AT538" t="str">
        <f>IF(ISNUMBER(FIND("overige",Methode_Keuze)),"",IF(Tb_Activiteiten[[#This Row],[Niet verrekenbare btw]]=1,Tb_Activiteiten[[#Headers],[Niet verrekenbare btw]],""))</f>
        <v/>
      </c>
      <c r="AU538" t="str">
        <f>IF(ISNUMBER(FIND("overige",Methode_Keuze)),"",IF(Tb_Activiteiten[[#This Row],[Grondkosten]]=1,Tb_Activiteiten[[#Headers],[Grondkosten]],""))</f>
        <v/>
      </c>
      <c r="AV538" t="str">
        <f>IF(ISNUMBER(FIND("overige",Methode_Keuze)),"",IF(Tb_Activiteiten[[#This Row],[Bijdrage in natura (overige)]]=1,Tb_Activiteiten[[#Headers],[Bijdrage in natura (overige)]],""))</f>
        <v/>
      </c>
      <c r="AW538" t="str">
        <f>IF(ISNUMBER(FIND("overige",Methode_Keuze)),"",IF(Tb_Activiteiten[[#This Row],[Bijdrage in natura (vrijwilligers)]]=1,Tb_Activiteiten[[#Headers],[Bijdrage in natura (vrijwilligers)]],""))</f>
        <v/>
      </c>
      <c r="AX538" t="str">
        <f>IF(ISNUMBER(FIND("overige",Methode_Keuze)),"",IF(Tb_Activiteiten[[#This Row],[Afschrijvingskosten]]=1,Tb_Activiteiten[[#Headers],[Afschrijvingskosten]],""))</f>
        <v/>
      </c>
      <c r="AY538" t="str">
        <f>IF(ISNUMBER(FIND("overige",Methode_Keuze)),"",IF(Tb_Activiteiten[[#This Row],[Vergoeding]]=1,Tb_Activiteiten[[#Headers],[Vergoeding]],""))</f>
        <v/>
      </c>
      <c r="AZ538" t="str">
        <f>IF(ISNUMBER(FIND("arbeid",Methode_Keuze)),"",IF(Tb_Activiteiten[[#This Row],[Arbeidskosten - vast tarief (excl eigen arbeid)]]=1,Tb_Activiteiten[[#Headers],[Arbeidskosten - vast tarief (excl eigen arbeid)]],""))</f>
        <v/>
      </c>
      <c r="BA538" t="str">
        <f>IF(ISNUMBER(FIND("overige",Methode_Keuze)),"",IF(Tb_Activiteiten[[#This Row],[Overige kosten]]=1,Tb_Activiteiten[[#Headers],[Overige kosten]],""))</f>
        <v/>
      </c>
    </row>
    <row r="539" spans="1:53" x14ac:dyDescent="0.25">
      <c r="A539" s="231"/>
      <c r="F539" s="64"/>
      <c r="G539" s="64"/>
      <c r="H539" s="275"/>
      <c r="I539" s="275"/>
      <c r="J539" s="275"/>
      <c r="K539" s="275"/>
      <c r="O539" s="56"/>
      <c r="Q539" t="str">
        <f>IFERROR(IF(VLOOKUP(Tb_Activiteiten[[#This Row],[Openstelling]],Tb_Openstelling[],2,0)=1,1,""),"")</f>
        <v/>
      </c>
      <c r="AK539" t="str">
        <f>IF(ISNUMBER(FIND("arbeid",Methode_Keuze)),"",IF(ISNUMBER(FIND("arbeid",Methode_Keuze)),"",IF(Tb_Activiteiten[[#This Row],[Loonkosten]]=1,Tb_Activiteiten[[#Headers],[Loonkosten]],"")))</f>
        <v/>
      </c>
      <c r="AL539" t="str">
        <f>IF(ISNUMBER(FIND("arbeid",Methode_Keuze)),"",IF(ISNUMBER(FIND("arbeid",Methode_Keuze)),"",IF(Tb_Activiteiten[[#This Row],[Eigen arbeid]]=1,Tb_Activiteiten[[#Headers],[Eigen arbeid]],"")))</f>
        <v/>
      </c>
      <c r="AM539" t="str">
        <f>IF(ISNUMBER(FIND("arbeid",Methode_Keuze)),"",IF(ISNUMBER(FIND("arbeid",Methode_Keuze)),"",IF(Tb_Activiteiten[[#This Row],[Projectmedewerker]]=1,Tb_Activiteiten[[#Headers],[Projectmedewerker]],"")))</f>
        <v/>
      </c>
      <c r="AN539" t="str">
        <f>IF(ISNUMBER(FIND("arbeid",Methode_Keuze)),"",IF(ISNUMBER(FIND("arbeid",Methode_Keuze)),"",IF(Tb_Activiteiten[[#This Row],[Landbouwer]]=1,Tb_Activiteiten[[#Headers],[Landbouwer]],"")))</f>
        <v/>
      </c>
      <c r="AO539" t="str">
        <f>IF(ISNUMBER(FIND("arbeid",Methode_Keuze)),"",IF(ISNUMBER(FIND("arbeid",Methode_Keuze)),"",IF(Tb_Activiteiten[[#This Row],[Adviseur]]=1,Tb_Activiteiten[[#Headers],[Adviseur]],"")))</f>
        <v/>
      </c>
      <c r="AP539" t="str">
        <f>IF(ISNUMBER(FIND("arbeid",Methode_Keuze)),"",IF(ISNUMBER(FIND("arbeid",Methode_Keuze)),"",IF(Tb_Activiteiten[[#This Row],[Projectleider/Expert]]=1,Tb_Activiteiten[[#Headers],[Projectleider/Expert]],"")))</f>
        <v/>
      </c>
      <c r="AQ539" t="str">
        <f>IF(ISNUMBER(FIND("arbeid",Methode_Keuze)),"",IF(ISNUMBER(FIND("arbeid",Methode_Keuze)),"",IF(Tb_Activiteiten[[#This Row],[Arbeidskosten]]=1,Tb_Activiteiten[[#Headers],[Arbeidskosten]],"")))</f>
        <v/>
      </c>
      <c r="AR539" t="str">
        <f>IF(ISNUMBER(FIND("arbeid",Methode_Keuze)),"",IF(ISNUMBER(FIND("arbeid",Methode_Keuze)),"",IF(Tb_Activiteiten[[#This Row],[Arbeidskosten op basis van IKS]]=1,Tb_Activiteiten[[#Headers],[Arbeidskosten op basis van IKS]],"")))</f>
        <v/>
      </c>
      <c r="AS539" t="str">
        <f>IF(ISNUMBER(FIND("overige",Methode_Keuze)),"",IF(Tb_Activiteiten[[#This Row],[Kosten derden exclusief btw]]=1,Tb_Activiteiten[[#Headers],[Kosten derden exclusief btw]],""))</f>
        <v/>
      </c>
      <c r="AT539" t="str">
        <f>IF(ISNUMBER(FIND("overige",Methode_Keuze)),"",IF(Tb_Activiteiten[[#This Row],[Niet verrekenbare btw]]=1,Tb_Activiteiten[[#Headers],[Niet verrekenbare btw]],""))</f>
        <v/>
      </c>
      <c r="AU539" t="str">
        <f>IF(ISNUMBER(FIND("overige",Methode_Keuze)),"",IF(Tb_Activiteiten[[#This Row],[Grondkosten]]=1,Tb_Activiteiten[[#Headers],[Grondkosten]],""))</f>
        <v/>
      </c>
      <c r="AV539" t="str">
        <f>IF(ISNUMBER(FIND("overige",Methode_Keuze)),"",IF(Tb_Activiteiten[[#This Row],[Bijdrage in natura (overige)]]=1,Tb_Activiteiten[[#Headers],[Bijdrage in natura (overige)]],""))</f>
        <v/>
      </c>
      <c r="AW539" t="str">
        <f>IF(ISNUMBER(FIND("overige",Methode_Keuze)),"",IF(Tb_Activiteiten[[#This Row],[Bijdrage in natura (vrijwilligers)]]=1,Tb_Activiteiten[[#Headers],[Bijdrage in natura (vrijwilligers)]],""))</f>
        <v/>
      </c>
      <c r="AX539" t="str">
        <f>IF(ISNUMBER(FIND("overige",Methode_Keuze)),"",IF(Tb_Activiteiten[[#This Row],[Afschrijvingskosten]]=1,Tb_Activiteiten[[#Headers],[Afschrijvingskosten]],""))</f>
        <v/>
      </c>
      <c r="AY539" t="str">
        <f>IF(ISNUMBER(FIND("overige",Methode_Keuze)),"",IF(Tb_Activiteiten[[#This Row],[Vergoeding]]=1,Tb_Activiteiten[[#Headers],[Vergoeding]],""))</f>
        <v/>
      </c>
      <c r="AZ539" t="str">
        <f>IF(ISNUMBER(FIND("arbeid",Methode_Keuze)),"",IF(Tb_Activiteiten[[#This Row],[Arbeidskosten - vast tarief (excl eigen arbeid)]]=1,Tb_Activiteiten[[#Headers],[Arbeidskosten - vast tarief (excl eigen arbeid)]],""))</f>
        <v/>
      </c>
      <c r="BA539" t="str">
        <f>IF(ISNUMBER(FIND("overige",Methode_Keuze)),"",IF(Tb_Activiteiten[[#This Row],[Overige kosten]]=1,Tb_Activiteiten[[#Headers],[Overige kosten]],""))</f>
        <v/>
      </c>
    </row>
    <row r="540" spans="1:53" x14ac:dyDescent="0.25">
      <c r="A540" s="231"/>
      <c r="F540" s="64"/>
      <c r="G540" s="64"/>
      <c r="H540" s="275"/>
      <c r="I540" s="275"/>
      <c r="J540" s="275"/>
      <c r="K540" s="275"/>
      <c r="O540" s="56"/>
      <c r="Q540" t="str">
        <f>IFERROR(IF(VLOOKUP(Tb_Activiteiten[[#This Row],[Openstelling]],Tb_Openstelling[],2,0)=1,1,""),"")</f>
        <v/>
      </c>
      <c r="AK540" t="str">
        <f>IF(ISNUMBER(FIND("arbeid",Methode_Keuze)),"",IF(ISNUMBER(FIND("arbeid",Methode_Keuze)),"",IF(Tb_Activiteiten[[#This Row],[Loonkosten]]=1,Tb_Activiteiten[[#Headers],[Loonkosten]],"")))</f>
        <v/>
      </c>
      <c r="AL540" t="str">
        <f>IF(ISNUMBER(FIND("arbeid",Methode_Keuze)),"",IF(ISNUMBER(FIND("arbeid",Methode_Keuze)),"",IF(Tb_Activiteiten[[#This Row],[Eigen arbeid]]=1,Tb_Activiteiten[[#Headers],[Eigen arbeid]],"")))</f>
        <v/>
      </c>
      <c r="AM540" t="str">
        <f>IF(ISNUMBER(FIND("arbeid",Methode_Keuze)),"",IF(ISNUMBER(FIND("arbeid",Methode_Keuze)),"",IF(Tb_Activiteiten[[#This Row],[Projectmedewerker]]=1,Tb_Activiteiten[[#Headers],[Projectmedewerker]],"")))</f>
        <v/>
      </c>
      <c r="AN540" t="str">
        <f>IF(ISNUMBER(FIND("arbeid",Methode_Keuze)),"",IF(ISNUMBER(FIND("arbeid",Methode_Keuze)),"",IF(Tb_Activiteiten[[#This Row],[Landbouwer]]=1,Tb_Activiteiten[[#Headers],[Landbouwer]],"")))</f>
        <v/>
      </c>
      <c r="AO540" t="str">
        <f>IF(ISNUMBER(FIND("arbeid",Methode_Keuze)),"",IF(ISNUMBER(FIND("arbeid",Methode_Keuze)),"",IF(Tb_Activiteiten[[#This Row],[Adviseur]]=1,Tb_Activiteiten[[#Headers],[Adviseur]],"")))</f>
        <v/>
      </c>
      <c r="AP540" t="str">
        <f>IF(ISNUMBER(FIND("arbeid",Methode_Keuze)),"",IF(ISNUMBER(FIND("arbeid",Methode_Keuze)),"",IF(Tb_Activiteiten[[#This Row],[Projectleider/Expert]]=1,Tb_Activiteiten[[#Headers],[Projectleider/Expert]],"")))</f>
        <v/>
      </c>
      <c r="AQ540" t="str">
        <f>IF(ISNUMBER(FIND("arbeid",Methode_Keuze)),"",IF(ISNUMBER(FIND("arbeid",Methode_Keuze)),"",IF(Tb_Activiteiten[[#This Row],[Arbeidskosten]]=1,Tb_Activiteiten[[#Headers],[Arbeidskosten]],"")))</f>
        <v/>
      </c>
      <c r="AR540" t="str">
        <f>IF(ISNUMBER(FIND("arbeid",Methode_Keuze)),"",IF(ISNUMBER(FIND("arbeid",Methode_Keuze)),"",IF(Tb_Activiteiten[[#This Row],[Arbeidskosten op basis van IKS]]=1,Tb_Activiteiten[[#Headers],[Arbeidskosten op basis van IKS]],"")))</f>
        <v/>
      </c>
      <c r="AS540" t="str">
        <f>IF(ISNUMBER(FIND("overige",Methode_Keuze)),"",IF(Tb_Activiteiten[[#This Row],[Kosten derden exclusief btw]]=1,Tb_Activiteiten[[#Headers],[Kosten derden exclusief btw]],""))</f>
        <v/>
      </c>
      <c r="AT540" t="str">
        <f>IF(ISNUMBER(FIND("overige",Methode_Keuze)),"",IF(Tb_Activiteiten[[#This Row],[Niet verrekenbare btw]]=1,Tb_Activiteiten[[#Headers],[Niet verrekenbare btw]],""))</f>
        <v/>
      </c>
      <c r="AU540" t="str">
        <f>IF(ISNUMBER(FIND("overige",Methode_Keuze)),"",IF(Tb_Activiteiten[[#This Row],[Grondkosten]]=1,Tb_Activiteiten[[#Headers],[Grondkosten]],""))</f>
        <v/>
      </c>
      <c r="AV540" t="str">
        <f>IF(ISNUMBER(FIND("overige",Methode_Keuze)),"",IF(Tb_Activiteiten[[#This Row],[Bijdrage in natura (overige)]]=1,Tb_Activiteiten[[#Headers],[Bijdrage in natura (overige)]],""))</f>
        <v/>
      </c>
      <c r="AW540" t="str">
        <f>IF(ISNUMBER(FIND("overige",Methode_Keuze)),"",IF(Tb_Activiteiten[[#This Row],[Bijdrage in natura (vrijwilligers)]]=1,Tb_Activiteiten[[#Headers],[Bijdrage in natura (vrijwilligers)]],""))</f>
        <v/>
      </c>
      <c r="AX540" t="str">
        <f>IF(ISNUMBER(FIND("overige",Methode_Keuze)),"",IF(Tb_Activiteiten[[#This Row],[Afschrijvingskosten]]=1,Tb_Activiteiten[[#Headers],[Afschrijvingskosten]],""))</f>
        <v/>
      </c>
      <c r="AY540" t="str">
        <f>IF(ISNUMBER(FIND("overige",Methode_Keuze)),"",IF(Tb_Activiteiten[[#This Row],[Vergoeding]]=1,Tb_Activiteiten[[#Headers],[Vergoeding]],""))</f>
        <v/>
      </c>
      <c r="AZ540" t="str">
        <f>IF(ISNUMBER(FIND("arbeid",Methode_Keuze)),"",IF(Tb_Activiteiten[[#This Row],[Arbeidskosten - vast tarief (excl eigen arbeid)]]=1,Tb_Activiteiten[[#Headers],[Arbeidskosten - vast tarief (excl eigen arbeid)]],""))</f>
        <v/>
      </c>
      <c r="BA540" t="str">
        <f>IF(ISNUMBER(FIND("overige",Methode_Keuze)),"",IF(Tb_Activiteiten[[#This Row],[Overige kosten]]=1,Tb_Activiteiten[[#Headers],[Overige kosten]],""))</f>
        <v/>
      </c>
    </row>
    <row r="541" spans="1:53" x14ac:dyDescent="0.25">
      <c r="A541" s="231"/>
      <c r="F541" s="64"/>
      <c r="G541" s="64"/>
      <c r="H541" s="275"/>
      <c r="I541" s="275"/>
      <c r="J541" s="275"/>
      <c r="K541" s="275"/>
      <c r="O541" s="56"/>
      <c r="Q541" t="str">
        <f>IFERROR(IF(VLOOKUP(Tb_Activiteiten[[#This Row],[Openstelling]],Tb_Openstelling[],2,0)=1,1,""),"")</f>
        <v/>
      </c>
      <c r="AK541" t="str">
        <f>IF(ISNUMBER(FIND("arbeid",Methode_Keuze)),"",IF(ISNUMBER(FIND("arbeid",Methode_Keuze)),"",IF(Tb_Activiteiten[[#This Row],[Loonkosten]]=1,Tb_Activiteiten[[#Headers],[Loonkosten]],"")))</f>
        <v/>
      </c>
      <c r="AL541" t="str">
        <f>IF(ISNUMBER(FIND("arbeid",Methode_Keuze)),"",IF(ISNUMBER(FIND("arbeid",Methode_Keuze)),"",IF(Tb_Activiteiten[[#This Row],[Eigen arbeid]]=1,Tb_Activiteiten[[#Headers],[Eigen arbeid]],"")))</f>
        <v/>
      </c>
      <c r="AM541" t="str">
        <f>IF(ISNUMBER(FIND("arbeid",Methode_Keuze)),"",IF(ISNUMBER(FIND("arbeid",Methode_Keuze)),"",IF(Tb_Activiteiten[[#This Row],[Projectmedewerker]]=1,Tb_Activiteiten[[#Headers],[Projectmedewerker]],"")))</f>
        <v/>
      </c>
      <c r="AN541" t="str">
        <f>IF(ISNUMBER(FIND("arbeid",Methode_Keuze)),"",IF(ISNUMBER(FIND("arbeid",Methode_Keuze)),"",IF(Tb_Activiteiten[[#This Row],[Landbouwer]]=1,Tb_Activiteiten[[#Headers],[Landbouwer]],"")))</f>
        <v/>
      </c>
      <c r="AO541" t="str">
        <f>IF(ISNUMBER(FIND("arbeid",Methode_Keuze)),"",IF(ISNUMBER(FIND("arbeid",Methode_Keuze)),"",IF(Tb_Activiteiten[[#This Row],[Adviseur]]=1,Tb_Activiteiten[[#Headers],[Adviseur]],"")))</f>
        <v/>
      </c>
      <c r="AP541" t="str">
        <f>IF(ISNUMBER(FIND("arbeid",Methode_Keuze)),"",IF(ISNUMBER(FIND("arbeid",Methode_Keuze)),"",IF(Tb_Activiteiten[[#This Row],[Projectleider/Expert]]=1,Tb_Activiteiten[[#Headers],[Projectleider/Expert]],"")))</f>
        <v/>
      </c>
      <c r="AQ541" t="str">
        <f>IF(ISNUMBER(FIND("arbeid",Methode_Keuze)),"",IF(ISNUMBER(FIND("arbeid",Methode_Keuze)),"",IF(Tb_Activiteiten[[#This Row],[Arbeidskosten]]=1,Tb_Activiteiten[[#Headers],[Arbeidskosten]],"")))</f>
        <v/>
      </c>
      <c r="AR541" t="str">
        <f>IF(ISNUMBER(FIND("arbeid",Methode_Keuze)),"",IF(ISNUMBER(FIND("arbeid",Methode_Keuze)),"",IF(Tb_Activiteiten[[#This Row],[Arbeidskosten op basis van IKS]]=1,Tb_Activiteiten[[#Headers],[Arbeidskosten op basis van IKS]],"")))</f>
        <v/>
      </c>
      <c r="AS541" t="str">
        <f>IF(ISNUMBER(FIND("overige",Methode_Keuze)),"",IF(Tb_Activiteiten[[#This Row],[Kosten derden exclusief btw]]=1,Tb_Activiteiten[[#Headers],[Kosten derden exclusief btw]],""))</f>
        <v/>
      </c>
      <c r="AT541" t="str">
        <f>IF(ISNUMBER(FIND("overige",Methode_Keuze)),"",IF(Tb_Activiteiten[[#This Row],[Niet verrekenbare btw]]=1,Tb_Activiteiten[[#Headers],[Niet verrekenbare btw]],""))</f>
        <v/>
      </c>
      <c r="AU541" t="str">
        <f>IF(ISNUMBER(FIND("overige",Methode_Keuze)),"",IF(Tb_Activiteiten[[#This Row],[Grondkosten]]=1,Tb_Activiteiten[[#Headers],[Grondkosten]],""))</f>
        <v/>
      </c>
      <c r="AV541" t="str">
        <f>IF(ISNUMBER(FIND("overige",Methode_Keuze)),"",IF(Tb_Activiteiten[[#This Row],[Bijdrage in natura (overige)]]=1,Tb_Activiteiten[[#Headers],[Bijdrage in natura (overige)]],""))</f>
        <v/>
      </c>
      <c r="AW541" t="str">
        <f>IF(ISNUMBER(FIND("overige",Methode_Keuze)),"",IF(Tb_Activiteiten[[#This Row],[Bijdrage in natura (vrijwilligers)]]=1,Tb_Activiteiten[[#Headers],[Bijdrage in natura (vrijwilligers)]],""))</f>
        <v/>
      </c>
      <c r="AX541" t="str">
        <f>IF(ISNUMBER(FIND("overige",Methode_Keuze)),"",IF(Tb_Activiteiten[[#This Row],[Afschrijvingskosten]]=1,Tb_Activiteiten[[#Headers],[Afschrijvingskosten]],""))</f>
        <v/>
      </c>
      <c r="AY541" t="str">
        <f>IF(ISNUMBER(FIND("overige",Methode_Keuze)),"",IF(Tb_Activiteiten[[#This Row],[Vergoeding]]=1,Tb_Activiteiten[[#Headers],[Vergoeding]],""))</f>
        <v/>
      </c>
      <c r="AZ541" t="str">
        <f>IF(ISNUMBER(FIND("arbeid",Methode_Keuze)),"",IF(Tb_Activiteiten[[#This Row],[Arbeidskosten - vast tarief (excl eigen arbeid)]]=1,Tb_Activiteiten[[#Headers],[Arbeidskosten - vast tarief (excl eigen arbeid)]],""))</f>
        <v/>
      </c>
      <c r="BA541" t="str">
        <f>IF(ISNUMBER(FIND("overige",Methode_Keuze)),"",IF(Tb_Activiteiten[[#This Row],[Overige kosten]]=1,Tb_Activiteiten[[#Headers],[Overige kosten]],""))</f>
        <v/>
      </c>
    </row>
    <row r="542" spans="1:53" x14ac:dyDescent="0.25">
      <c r="A542" s="231"/>
      <c r="F542" s="64"/>
      <c r="G542" s="64"/>
      <c r="H542" s="275"/>
      <c r="I542" s="275"/>
      <c r="J542" s="275"/>
      <c r="K542" s="275"/>
      <c r="O542" s="56"/>
      <c r="Q542" t="str">
        <f>IFERROR(IF(VLOOKUP(Tb_Activiteiten[[#This Row],[Openstelling]],Tb_Openstelling[],2,0)=1,1,""),"")</f>
        <v/>
      </c>
      <c r="AK542" t="str">
        <f>IF(ISNUMBER(FIND("arbeid",Methode_Keuze)),"",IF(ISNUMBER(FIND("arbeid",Methode_Keuze)),"",IF(Tb_Activiteiten[[#This Row],[Loonkosten]]=1,Tb_Activiteiten[[#Headers],[Loonkosten]],"")))</f>
        <v/>
      </c>
      <c r="AL542" t="str">
        <f>IF(ISNUMBER(FIND("arbeid",Methode_Keuze)),"",IF(ISNUMBER(FIND("arbeid",Methode_Keuze)),"",IF(Tb_Activiteiten[[#This Row],[Eigen arbeid]]=1,Tb_Activiteiten[[#Headers],[Eigen arbeid]],"")))</f>
        <v/>
      </c>
      <c r="AM542" t="str">
        <f>IF(ISNUMBER(FIND("arbeid",Methode_Keuze)),"",IF(ISNUMBER(FIND("arbeid",Methode_Keuze)),"",IF(Tb_Activiteiten[[#This Row],[Projectmedewerker]]=1,Tb_Activiteiten[[#Headers],[Projectmedewerker]],"")))</f>
        <v/>
      </c>
      <c r="AN542" t="str">
        <f>IF(ISNUMBER(FIND("arbeid",Methode_Keuze)),"",IF(ISNUMBER(FIND("arbeid",Methode_Keuze)),"",IF(Tb_Activiteiten[[#This Row],[Landbouwer]]=1,Tb_Activiteiten[[#Headers],[Landbouwer]],"")))</f>
        <v/>
      </c>
      <c r="AO542" t="str">
        <f>IF(ISNUMBER(FIND("arbeid",Methode_Keuze)),"",IF(ISNUMBER(FIND("arbeid",Methode_Keuze)),"",IF(Tb_Activiteiten[[#This Row],[Adviseur]]=1,Tb_Activiteiten[[#Headers],[Adviseur]],"")))</f>
        <v/>
      </c>
      <c r="AP542" t="str">
        <f>IF(ISNUMBER(FIND("arbeid",Methode_Keuze)),"",IF(ISNUMBER(FIND("arbeid",Methode_Keuze)),"",IF(Tb_Activiteiten[[#This Row],[Projectleider/Expert]]=1,Tb_Activiteiten[[#Headers],[Projectleider/Expert]],"")))</f>
        <v/>
      </c>
      <c r="AQ542" t="str">
        <f>IF(ISNUMBER(FIND("arbeid",Methode_Keuze)),"",IF(ISNUMBER(FIND("arbeid",Methode_Keuze)),"",IF(Tb_Activiteiten[[#This Row],[Arbeidskosten]]=1,Tb_Activiteiten[[#Headers],[Arbeidskosten]],"")))</f>
        <v/>
      </c>
      <c r="AR542" t="str">
        <f>IF(ISNUMBER(FIND("arbeid",Methode_Keuze)),"",IF(ISNUMBER(FIND("arbeid",Methode_Keuze)),"",IF(Tb_Activiteiten[[#This Row],[Arbeidskosten op basis van IKS]]=1,Tb_Activiteiten[[#Headers],[Arbeidskosten op basis van IKS]],"")))</f>
        <v/>
      </c>
      <c r="AS542" t="str">
        <f>IF(ISNUMBER(FIND("overige",Methode_Keuze)),"",IF(Tb_Activiteiten[[#This Row],[Kosten derden exclusief btw]]=1,Tb_Activiteiten[[#Headers],[Kosten derden exclusief btw]],""))</f>
        <v/>
      </c>
      <c r="AT542" t="str">
        <f>IF(ISNUMBER(FIND("overige",Methode_Keuze)),"",IF(Tb_Activiteiten[[#This Row],[Niet verrekenbare btw]]=1,Tb_Activiteiten[[#Headers],[Niet verrekenbare btw]],""))</f>
        <v/>
      </c>
      <c r="AU542" t="str">
        <f>IF(ISNUMBER(FIND("overige",Methode_Keuze)),"",IF(Tb_Activiteiten[[#This Row],[Grondkosten]]=1,Tb_Activiteiten[[#Headers],[Grondkosten]],""))</f>
        <v/>
      </c>
      <c r="AV542" t="str">
        <f>IF(ISNUMBER(FIND("overige",Methode_Keuze)),"",IF(Tb_Activiteiten[[#This Row],[Bijdrage in natura (overige)]]=1,Tb_Activiteiten[[#Headers],[Bijdrage in natura (overige)]],""))</f>
        <v/>
      </c>
      <c r="AW542" t="str">
        <f>IF(ISNUMBER(FIND("overige",Methode_Keuze)),"",IF(Tb_Activiteiten[[#This Row],[Bijdrage in natura (vrijwilligers)]]=1,Tb_Activiteiten[[#Headers],[Bijdrage in natura (vrijwilligers)]],""))</f>
        <v/>
      </c>
      <c r="AX542" t="str">
        <f>IF(ISNUMBER(FIND("overige",Methode_Keuze)),"",IF(Tb_Activiteiten[[#This Row],[Afschrijvingskosten]]=1,Tb_Activiteiten[[#Headers],[Afschrijvingskosten]],""))</f>
        <v/>
      </c>
      <c r="AY542" t="str">
        <f>IF(ISNUMBER(FIND("overige",Methode_Keuze)),"",IF(Tb_Activiteiten[[#This Row],[Vergoeding]]=1,Tb_Activiteiten[[#Headers],[Vergoeding]],""))</f>
        <v/>
      </c>
      <c r="AZ542" t="str">
        <f>IF(ISNUMBER(FIND("arbeid",Methode_Keuze)),"",IF(Tb_Activiteiten[[#This Row],[Arbeidskosten - vast tarief (excl eigen arbeid)]]=1,Tb_Activiteiten[[#Headers],[Arbeidskosten - vast tarief (excl eigen arbeid)]],""))</f>
        <v/>
      </c>
      <c r="BA542" t="str">
        <f>IF(ISNUMBER(FIND("overige",Methode_Keuze)),"",IF(Tb_Activiteiten[[#This Row],[Overige kosten]]=1,Tb_Activiteiten[[#Headers],[Overige kosten]],""))</f>
        <v/>
      </c>
    </row>
    <row r="543" spans="1:53" x14ac:dyDescent="0.25">
      <c r="A543" s="231"/>
      <c r="F543" s="64"/>
      <c r="G543" s="64"/>
      <c r="H543" s="275"/>
      <c r="I543" s="275"/>
      <c r="J543" s="275"/>
      <c r="K543" s="275"/>
      <c r="O543" s="56"/>
      <c r="Q543" t="str">
        <f>IFERROR(IF(VLOOKUP(Tb_Activiteiten[[#This Row],[Openstelling]],Tb_Openstelling[],2,0)=1,1,""),"")</f>
        <v/>
      </c>
      <c r="AK543" t="str">
        <f>IF(ISNUMBER(FIND("arbeid",Methode_Keuze)),"",IF(ISNUMBER(FIND("arbeid",Methode_Keuze)),"",IF(Tb_Activiteiten[[#This Row],[Loonkosten]]=1,Tb_Activiteiten[[#Headers],[Loonkosten]],"")))</f>
        <v/>
      </c>
      <c r="AL543" t="str">
        <f>IF(ISNUMBER(FIND("arbeid",Methode_Keuze)),"",IF(ISNUMBER(FIND("arbeid",Methode_Keuze)),"",IF(Tb_Activiteiten[[#This Row],[Eigen arbeid]]=1,Tb_Activiteiten[[#Headers],[Eigen arbeid]],"")))</f>
        <v/>
      </c>
      <c r="AM543" t="str">
        <f>IF(ISNUMBER(FIND("arbeid",Methode_Keuze)),"",IF(ISNUMBER(FIND("arbeid",Methode_Keuze)),"",IF(Tb_Activiteiten[[#This Row],[Projectmedewerker]]=1,Tb_Activiteiten[[#Headers],[Projectmedewerker]],"")))</f>
        <v/>
      </c>
      <c r="AN543" t="str">
        <f>IF(ISNUMBER(FIND("arbeid",Methode_Keuze)),"",IF(ISNUMBER(FIND("arbeid",Methode_Keuze)),"",IF(Tb_Activiteiten[[#This Row],[Landbouwer]]=1,Tb_Activiteiten[[#Headers],[Landbouwer]],"")))</f>
        <v/>
      </c>
      <c r="AO543" t="str">
        <f>IF(ISNUMBER(FIND("arbeid",Methode_Keuze)),"",IF(ISNUMBER(FIND("arbeid",Methode_Keuze)),"",IF(Tb_Activiteiten[[#This Row],[Adviseur]]=1,Tb_Activiteiten[[#Headers],[Adviseur]],"")))</f>
        <v/>
      </c>
      <c r="AP543" t="str">
        <f>IF(ISNUMBER(FIND("arbeid",Methode_Keuze)),"",IF(ISNUMBER(FIND("arbeid",Methode_Keuze)),"",IF(Tb_Activiteiten[[#This Row],[Projectleider/Expert]]=1,Tb_Activiteiten[[#Headers],[Projectleider/Expert]],"")))</f>
        <v/>
      </c>
      <c r="AQ543" t="str">
        <f>IF(ISNUMBER(FIND("arbeid",Methode_Keuze)),"",IF(ISNUMBER(FIND("arbeid",Methode_Keuze)),"",IF(Tb_Activiteiten[[#This Row],[Arbeidskosten]]=1,Tb_Activiteiten[[#Headers],[Arbeidskosten]],"")))</f>
        <v/>
      </c>
      <c r="AR543" t="str">
        <f>IF(ISNUMBER(FIND("arbeid",Methode_Keuze)),"",IF(ISNUMBER(FIND("arbeid",Methode_Keuze)),"",IF(Tb_Activiteiten[[#This Row],[Arbeidskosten op basis van IKS]]=1,Tb_Activiteiten[[#Headers],[Arbeidskosten op basis van IKS]],"")))</f>
        <v/>
      </c>
      <c r="AS543" t="str">
        <f>IF(ISNUMBER(FIND("overige",Methode_Keuze)),"",IF(Tb_Activiteiten[[#This Row],[Kosten derden exclusief btw]]=1,Tb_Activiteiten[[#Headers],[Kosten derden exclusief btw]],""))</f>
        <v/>
      </c>
      <c r="AT543" t="str">
        <f>IF(ISNUMBER(FIND("overige",Methode_Keuze)),"",IF(Tb_Activiteiten[[#This Row],[Niet verrekenbare btw]]=1,Tb_Activiteiten[[#Headers],[Niet verrekenbare btw]],""))</f>
        <v/>
      </c>
      <c r="AU543" t="str">
        <f>IF(ISNUMBER(FIND("overige",Methode_Keuze)),"",IF(Tb_Activiteiten[[#This Row],[Grondkosten]]=1,Tb_Activiteiten[[#Headers],[Grondkosten]],""))</f>
        <v/>
      </c>
      <c r="AV543" t="str">
        <f>IF(ISNUMBER(FIND("overige",Methode_Keuze)),"",IF(Tb_Activiteiten[[#This Row],[Bijdrage in natura (overige)]]=1,Tb_Activiteiten[[#Headers],[Bijdrage in natura (overige)]],""))</f>
        <v/>
      </c>
      <c r="AW543" t="str">
        <f>IF(ISNUMBER(FIND("overige",Methode_Keuze)),"",IF(Tb_Activiteiten[[#This Row],[Bijdrage in natura (vrijwilligers)]]=1,Tb_Activiteiten[[#Headers],[Bijdrage in natura (vrijwilligers)]],""))</f>
        <v/>
      </c>
      <c r="AX543" t="str">
        <f>IF(ISNUMBER(FIND("overige",Methode_Keuze)),"",IF(Tb_Activiteiten[[#This Row],[Afschrijvingskosten]]=1,Tb_Activiteiten[[#Headers],[Afschrijvingskosten]],""))</f>
        <v/>
      </c>
      <c r="AY543" t="str">
        <f>IF(ISNUMBER(FIND("overige",Methode_Keuze)),"",IF(Tb_Activiteiten[[#This Row],[Vergoeding]]=1,Tb_Activiteiten[[#Headers],[Vergoeding]],""))</f>
        <v/>
      </c>
      <c r="AZ543" t="str">
        <f>IF(ISNUMBER(FIND("arbeid",Methode_Keuze)),"",IF(Tb_Activiteiten[[#This Row],[Arbeidskosten - vast tarief (excl eigen arbeid)]]=1,Tb_Activiteiten[[#Headers],[Arbeidskosten - vast tarief (excl eigen arbeid)]],""))</f>
        <v/>
      </c>
      <c r="BA543" t="str">
        <f>IF(ISNUMBER(FIND("overige",Methode_Keuze)),"",IF(Tb_Activiteiten[[#This Row],[Overige kosten]]=1,Tb_Activiteiten[[#Headers],[Overige kosten]],""))</f>
        <v/>
      </c>
    </row>
    <row r="544" spans="1:53" x14ac:dyDescent="0.25">
      <c r="A544" s="231"/>
      <c r="F544" s="64"/>
      <c r="G544" s="64"/>
      <c r="H544" s="275"/>
      <c r="I544" s="275"/>
      <c r="J544" s="275"/>
      <c r="K544" s="275"/>
      <c r="O544" s="56"/>
      <c r="Q544" t="str">
        <f>IFERROR(IF(VLOOKUP(Tb_Activiteiten[[#This Row],[Openstelling]],Tb_Openstelling[],2,0)=1,1,""),"")</f>
        <v/>
      </c>
      <c r="AK544" t="str">
        <f>IF(ISNUMBER(FIND("arbeid",Methode_Keuze)),"",IF(ISNUMBER(FIND("arbeid",Methode_Keuze)),"",IF(Tb_Activiteiten[[#This Row],[Loonkosten]]=1,Tb_Activiteiten[[#Headers],[Loonkosten]],"")))</f>
        <v/>
      </c>
      <c r="AL544" t="str">
        <f>IF(ISNUMBER(FIND("arbeid",Methode_Keuze)),"",IF(ISNUMBER(FIND("arbeid",Methode_Keuze)),"",IF(Tb_Activiteiten[[#This Row],[Eigen arbeid]]=1,Tb_Activiteiten[[#Headers],[Eigen arbeid]],"")))</f>
        <v/>
      </c>
      <c r="AM544" t="str">
        <f>IF(ISNUMBER(FIND("arbeid",Methode_Keuze)),"",IF(ISNUMBER(FIND("arbeid",Methode_Keuze)),"",IF(Tb_Activiteiten[[#This Row],[Projectmedewerker]]=1,Tb_Activiteiten[[#Headers],[Projectmedewerker]],"")))</f>
        <v/>
      </c>
      <c r="AN544" t="str">
        <f>IF(ISNUMBER(FIND("arbeid",Methode_Keuze)),"",IF(ISNUMBER(FIND("arbeid",Methode_Keuze)),"",IF(Tb_Activiteiten[[#This Row],[Landbouwer]]=1,Tb_Activiteiten[[#Headers],[Landbouwer]],"")))</f>
        <v/>
      </c>
      <c r="AO544" t="str">
        <f>IF(ISNUMBER(FIND("arbeid",Methode_Keuze)),"",IF(ISNUMBER(FIND("arbeid",Methode_Keuze)),"",IF(Tb_Activiteiten[[#This Row],[Adviseur]]=1,Tb_Activiteiten[[#Headers],[Adviseur]],"")))</f>
        <v/>
      </c>
      <c r="AP544" t="str">
        <f>IF(ISNUMBER(FIND("arbeid",Methode_Keuze)),"",IF(ISNUMBER(FIND("arbeid",Methode_Keuze)),"",IF(Tb_Activiteiten[[#This Row],[Projectleider/Expert]]=1,Tb_Activiteiten[[#Headers],[Projectleider/Expert]],"")))</f>
        <v/>
      </c>
      <c r="AQ544" t="str">
        <f>IF(ISNUMBER(FIND("arbeid",Methode_Keuze)),"",IF(ISNUMBER(FIND("arbeid",Methode_Keuze)),"",IF(Tb_Activiteiten[[#This Row],[Arbeidskosten]]=1,Tb_Activiteiten[[#Headers],[Arbeidskosten]],"")))</f>
        <v/>
      </c>
      <c r="AR544" t="str">
        <f>IF(ISNUMBER(FIND("arbeid",Methode_Keuze)),"",IF(ISNUMBER(FIND("arbeid",Methode_Keuze)),"",IF(Tb_Activiteiten[[#This Row],[Arbeidskosten op basis van IKS]]=1,Tb_Activiteiten[[#Headers],[Arbeidskosten op basis van IKS]],"")))</f>
        <v/>
      </c>
      <c r="AS544" t="str">
        <f>IF(ISNUMBER(FIND("overige",Methode_Keuze)),"",IF(Tb_Activiteiten[[#This Row],[Kosten derden exclusief btw]]=1,Tb_Activiteiten[[#Headers],[Kosten derden exclusief btw]],""))</f>
        <v/>
      </c>
      <c r="AT544" t="str">
        <f>IF(ISNUMBER(FIND("overige",Methode_Keuze)),"",IF(Tb_Activiteiten[[#This Row],[Niet verrekenbare btw]]=1,Tb_Activiteiten[[#Headers],[Niet verrekenbare btw]],""))</f>
        <v/>
      </c>
      <c r="AU544" t="str">
        <f>IF(ISNUMBER(FIND("overige",Methode_Keuze)),"",IF(Tb_Activiteiten[[#This Row],[Grondkosten]]=1,Tb_Activiteiten[[#Headers],[Grondkosten]],""))</f>
        <v/>
      </c>
      <c r="AV544" t="str">
        <f>IF(ISNUMBER(FIND("overige",Methode_Keuze)),"",IF(Tb_Activiteiten[[#This Row],[Bijdrage in natura (overige)]]=1,Tb_Activiteiten[[#Headers],[Bijdrage in natura (overige)]],""))</f>
        <v/>
      </c>
      <c r="AW544" t="str">
        <f>IF(ISNUMBER(FIND("overige",Methode_Keuze)),"",IF(Tb_Activiteiten[[#This Row],[Bijdrage in natura (vrijwilligers)]]=1,Tb_Activiteiten[[#Headers],[Bijdrage in natura (vrijwilligers)]],""))</f>
        <v/>
      </c>
      <c r="AX544" t="str">
        <f>IF(ISNUMBER(FIND("overige",Methode_Keuze)),"",IF(Tb_Activiteiten[[#This Row],[Afschrijvingskosten]]=1,Tb_Activiteiten[[#Headers],[Afschrijvingskosten]],""))</f>
        <v/>
      </c>
      <c r="AY544" t="str">
        <f>IF(ISNUMBER(FIND("overige",Methode_Keuze)),"",IF(Tb_Activiteiten[[#This Row],[Vergoeding]]=1,Tb_Activiteiten[[#Headers],[Vergoeding]],""))</f>
        <v/>
      </c>
      <c r="AZ544" t="str">
        <f>IF(ISNUMBER(FIND("arbeid",Methode_Keuze)),"",IF(Tb_Activiteiten[[#This Row],[Arbeidskosten - vast tarief (excl eigen arbeid)]]=1,Tb_Activiteiten[[#Headers],[Arbeidskosten - vast tarief (excl eigen arbeid)]],""))</f>
        <v/>
      </c>
      <c r="BA544" t="str">
        <f>IF(ISNUMBER(FIND("overige",Methode_Keuze)),"",IF(Tb_Activiteiten[[#This Row],[Overige kosten]]=1,Tb_Activiteiten[[#Headers],[Overige kosten]],""))</f>
        <v/>
      </c>
    </row>
    <row r="545" spans="1:53" x14ac:dyDescent="0.25">
      <c r="A545" s="231"/>
      <c r="F545" s="64"/>
      <c r="G545" s="64"/>
      <c r="H545" s="275"/>
      <c r="I545" s="275"/>
      <c r="J545" s="275"/>
      <c r="K545" s="275"/>
      <c r="O545" s="56"/>
      <c r="Q545" t="str">
        <f>IFERROR(IF(VLOOKUP(Tb_Activiteiten[[#This Row],[Openstelling]],Tb_Openstelling[],2,0)=1,1,""),"")</f>
        <v/>
      </c>
      <c r="AK545" t="str">
        <f>IF(ISNUMBER(FIND("arbeid",Methode_Keuze)),"",IF(ISNUMBER(FIND("arbeid",Methode_Keuze)),"",IF(Tb_Activiteiten[[#This Row],[Loonkosten]]=1,Tb_Activiteiten[[#Headers],[Loonkosten]],"")))</f>
        <v/>
      </c>
      <c r="AL545" t="str">
        <f>IF(ISNUMBER(FIND("arbeid",Methode_Keuze)),"",IF(ISNUMBER(FIND("arbeid",Methode_Keuze)),"",IF(Tb_Activiteiten[[#This Row],[Eigen arbeid]]=1,Tb_Activiteiten[[#Headers],[Eigen arbeid]],"")))</f>
        <v/>
      </c>
      <c r="AM545" t="str">
        <f>IF(ISNUMBER(FIND("arbeid",Methode_Keuze)),"",IF(ISNUMBER(FIND("arbeid",Methode_Keuze)),"",IF(Tb_Activiteiten[[#This Row],[Projectmedewerker]]=1,Tb_Activiteiten[[#Headers],[Projectmedewerker]],"")))</f>
        <v/>
      </c>
      <c r="AN545" t="str">
        <f>IF(ISNUMBER(FIND("arbeid",Methode_Keuze)),"",IF(ISNUMBER(FIND("arbeid",Methode_Keuze)),"",IF(Tb_Activiteiten[[#This Row],[Landbouwer]]=1,Tb_Activiteiten[[#Headers],[Landbouwer]],"")))</f>
        <v/>
      </c>
      <c r="AO545" t="str">
        <f>IF(ISNUMBER(FIND("arbeid",Methode_Keuze)),"",IF(ISNUMBER(FIND("arbeid",Methode_Keuze)),"",IF(Tb_Activiteiten[[#This Row],[Adviseur]]=1,Tb_Activiteiten[[#Headers],[Adviseur]],"")))</f>
        <v/>
      </c>
      <c r="AP545" t="str">
        <f>IF(ISNUMBER(FIND("arbeid",Methode_Keuze)),"",IF(ISNUMBER(FIND("arbeid",Methode_Keuze)),"",IF(Tb_Activiteiten[[#This Row],[Projectleider/Expert]]=1,Tb_Activiteiten[[#Headers],[Projectleider/Expert]],"")))</f>
        <v/>
      </c>
      <c r="AQ545" t="str">
        <f>IF(ISNUMBER(FIND("arbeid",Methode_Keuze)),"",IF(ISNUMBER(FIND("arbeid",Methode_Keuze)),"",IF(Tb_Activiteiten[[#This Row],[Arbeidskosten]]=1,Tb_Activiteiten[[#Headers],[Arbeidskosten]],"")))</f>
        <v/>
      </c>
      <c r="AR545" t="str">
        <f>IF(ISNUMBER(FIND("arbeid",Methode_Keuze)),"",IF(ISNUMBER(FIND("arbeid",Methode_Keuze)),"",IF(Tb_Activiteiten[[#This Row],[Arbeidskosten op basis van IKS]]=1,Tb_Activiteiten[[#Headers],[Arbeidskosten op basis van IKS]],"")))</f>
        <v/>
      </c>
      <c r="AS545" t="str">
        <f>IF(ISNUMBER(FIND("overige",Methode_Keuze)),"",IF(Tb_Activiteiten[[#This Row],[Kosten derden exclusief btw]]=1,Tb_Activiteiten[[#Headers],[Kosten derden exclusief btw]],""))</f>
        <v/>
      </c>
      <c r="AT545" t="str">
        <f>IF(ISNUMBER(FIND("overige",Methode_Keuze)),"",IF(Tb_Activiteiten[[#This Row],[Niet verrekenbare btw]]=1,Tb_Activiteiten[[#Headers],[Niet verrekenbare btw]],""))</f>
        <v/>
      </c>
      <c r="AU545" t="str">
        <f>IF(ISNUMBER(FIND("overige",Methode_Keuze)),"",IF(Tb_Activiteiten[[#This Row],[Grondkosten]]=1,Tb_Activiteiten[[#Headers],[Grondkosten]],""))</f>
        <v/>
      </c>
      <c r="AV545" t="str">
        <f>IF(ISNUMBER(FIND("overige",Methode_Keuze)),"",IF(Tb_Activiteiten[[#This Row],[Bijdrage in natura (overige)]]=1,Tb_Activiteiten[[#Headers],[Bijdrage in natura (overige)]],""))</f>
        <v/>
      </c>
      <c r="AW545" t="str">
        <f>IF(ISNUMBER(FIND("overige",Methode_Keuze)),"",IF(Tb_Activiteiten[[#This Row],[Bijdrage in natura (vrijwilligers)]]=1,Tb_Activiteiten[[#Headers],[Bijdrage in natura (vrijwilligers)]],""))</f>
        <v/>
      </c>
      <c r="AX545" t="str">
        <f>IF(ISNUMBER(FIND("overige",Methode_Keuze)),"",IF(Tb_Activiteiten[[#This Row],[Afschrijvingskosten]]=1,Tb_Activiteiten[[#Headers],[Afschrijvingskosten]],""))</f>
        <v/>
      </c>
      <c r="AY545" t="str">
        <f>IF(ISNUMBER(FIND("overige",Methode_Keuze)),"",IF(Tb_Activiteiten[[#This Row],[Vergoeding]]=1,Tb_Activiteiten[[#Headers],[Vergoeding]],""))</f>
        <v/>
      </c>
      <c r="AZ545" t="str">
        <f>IF(ISNUMBER(FIND("arbeid",Methode_Keuze)),"",IF(Tb_Activiteiten[[#This Row],[Arbeidskosten - vast tarief (excl eigen arbeid)]]=1,Tb_Activiteiten[[#Headers],[Arbeidskosten - vast tarief (excl eigen arbeid)]],""))</f>
        <v/>
      </c>
      <c r="BA545" t="str">
        <f>IF(ISNUMBER(FIND("overige",Methode_Keuze)),"",IF(Tb_Activiteiten[[#This Row],[Overige kosten]]=1,Tb_Activiteiten[[#Headers],[Overige kosten]],""))</f>
        <v/>
      </c>
    </row>
    <row r="546" spans="1:53" x14ac:dyDescent="0.25">
      <c r="A546" s="231"/>
      <c r="F546" s="64"/>
      <c r="G546" s="64"/>
      <c r="H546" s="275"/>
      <c r="I546" s="275"/>
      <c r="J546" s="275"/>
      <c r="K546" s="275"/>
      <c r="O546" s="56"/>
      <c r="Q546" t="str">
        <f>IFERROR(IF(VLOOKUP(Tb_Activiteiten[[#This Row],[Openstelling]],Tb_Openstelling[],2,0)=1,1,""),"")</f>
        <v/>
      </c>
      <c r="AK546" t="str">
        <f>IF(ISNUMBER(FIND("arbeid",Methode_Keuze)),"",IF(ISNUMBER(FIND("arbeid",Methode_Keuze)),"",IF(Tb_Activiteiten[[#This Row],[Loonkosten]]=1,Tb_Activiteiten[[#Headers],[Loonkosten]],"")))</f>
        <v/>
      </c>
      <c r="AL546" t="str">
        <f>IF(ISNUMBER(FIND("arbeid",Methode_Keuze)),"",IF(ISNUMBER(FIND("arbeid",Methode_Keuze)),"",IF(Tb_Activiteiten[[#This Row],[Eigen arbeid]]=1,Tb_Activiteiten[[#Headers],[Eigen arbeid]],"")))</f>
        <v/>
      </c>
      <c r="AM546" t="str">
        <f>IF(ISNUMBER(FIND("arbeid",Methode_Keuze)),"",IF(ISNUMBER(FIND("arbeid",Methode_Keuze)),"",IF(Tb_Activiteiten[[#This Row],[Projectmedewerker]]=1,Tb_Activiteiten[[#Headers],[Projectmedewerker]],"")))</f>
        <v/>
      </c>
      <c r="AN546" t="str">
        <f>IF(ISNUMBER(FIND("arbeid",Methode_Keuze)),"",IF(ISNUMBER(FIND("arbeid",Methode_Keuze)),"",IF(Tb_Activiteiten[[#This Row],[Landbouwer]]=1,Tb_Activiteiten[[#Headers],[Landbouwer]],"")))</f>
        <v/>
      </c>
      <c r="AO546" t="str">
        <f>IF(ISNUMBER(FIND("arbeid",Methode_Keuze)),"",IF(ISNUMBER(FIND("arbeid",Methode_Keuze)),"",IF(Tb_Activiteiten[[#This Row],[Adviseur]]=1,Tb_Activiteiten[[#Headers],[Adviseur]],"")))</f>
        <v/>
      </c>
      <c r="AP546" t="str">
        <f>IF(ISNUMBER(FIND("arbeid",Methode_Keuze)),"",IF(ISNUMBER(FIND("arbeid",Methode_Keuze)),"",IF(Tb_Activiteiten[[#This Row],[Projectleider/Expert]]=1,Tb_Activiteiten[[#Headers],[Projectleider/Expert]],"")))</f>
        <v/>
      </c>
      <c r="AQ546" t="str">
        <f>IF(ISNUMBER(FIND("arbeid",Methode_Keuze)),"",IF(ISNUMBER(FIND("arbeid",Methode_Keuze)),"",IF(Tb_Activiteiten[[#This Row],[Arbeidskosten]]=1,Tb_Activiteiten[[#Headers],[Arbeidskosten]],"")))</f>
        <v/>
      </c>
      <c r="AR546" t="str">
        <f>IF(ISNUMBER(FIND("arbeid",Methode_Keuze)),"",IF(ISNUMBER(FIND("arbeid",Methode_Keuze)),"",IF(Tb_Activiteiten[[#This Row],[Arbeidskosten op basis van IKS]]=1,Tb_Activiteiten[[#Headers],[Arbeidskosten op basis van IKS]],"")))</f>
        <v/>
      </c>
      <c r="AS546" t="str">
        <f>IF(ISNUMBER(FIND("overige",Methode_Keuze)),"",IF(Tb_Activiteiten[[#This Row],[Kosten derden exclusief btw]]=1,Tb_Activiteiten[[#Headers],[Kosten derden exclusief btw]],""))</f>
        <v/>
      </c>
      <c r="AT546" t="str">
        <f>IF(ISNUMBER(FIND("overige",Methode_Keuze)),"",IF(Tb_Activiteiten[[#This Row],[Niet verrekenbare btw]]=1,Tb_Activiteiten[[#Headers],[Niet verrekenbare btw]],""))</f>
        <v/>
      </c>
      <c r="AU546" t="str">
        <f>IF(ISNUMBER(FIND("overige",Methode_Keuze)),"",IF(Tb_Activiteiten[[#This Row],[Grondkosten]]=1,Tb_Activiteiten[[#Headers],[Grondkosten]],""))</f>
        <v/>
      </c>
      <c r="AV546" t="str">
        <f>IF(ISNUMBER(FIND("overige",Methode_Keuze)),"",IF(Tb_Activiteiten[[#This Row],[Bijdrage in natura (overige)]]=1,Tb_Activiteiten[[#Headers],[Bijdrage in natura (overige)]],""))</f>
        <v/>
      </c>
      <c r="AW546" t="str">
        <f>IF(ISNUMBER(FIND("overige",Methode_Keuze)),"",IF(Tb_Activiteiten[[#This Row],[Bijdrage in natura (vrijwilligers)]]=1,Tb_Activiteiten[[#Headers],[Bijdrage in natura (vrijwilligers)]],""))</f>
        <v/>
      </c>
      <c r="AX546" t="str">
        <f>IF(ISNUMBER(FIND("overige",Methode_Keuze)),"",IF(Tb_Activiteiten[[#This Row],[Afschrijvingskosten]]=1,Tb_Activiteiten[[#Headers],[Afschrijvingskosten]],""))</f>
        <v/>
      </c>
      <c r="AY546" t="str">
        <f>IF(ISNUMBER(FIND("overige",Methode_Keuze)),"",IF(Tb_Activiteiten[[#This Row],[Vergoeding]]=1,Tb_Activiteiten[[#Headers],[Vergoeding]],""))</f>
        <v/>
      </c>
      <c r="AZ546" t="str">
        <f>IF(ISNUMBER(FIND("arbeid",Methode_Keuze)),"",IF(Tb_Activiteiten[[#This Row],[Arbeidskosten - vast tarief (excl eigen arbeid)]]=1,Tb_Activiteiten[[#Headers],[Arbeidskosten - vast tarief (excl eigen arbeid)]],""))</f>
        <v/>
      </c>
      <c r="BA546" t="str">
        <f>IF(ISNUMBER(FIND("overige",Methode_Keuze)),"",IF(Tb_Activiteiten[[#This Row],[Overige kosten]]=1,Tb_Activiteiten[[#Headers],[Overige kosten]],""))</f>
        <v/>
      </c>
    </row>
    <row r="547" spans="1:53" x14ac:dyDescent="0.25">
      <c r="A547" s="231"/>
      <c r="F547" s="64"/>
      <c r="G547" s="64"/>
      <c r="H547" s="275"/>
      <c r="I547" s="275"/>
      <c r="J547" s="275"/>
      <c r="K547" s="275"/>
      <c r="O547" s="56"/>
      <c r="Q547" t="str">
        <f>IFERROR(IF(VLOOKUP(Tb_Activiteiten[[#This Row],[Openstelling]],Tb_Openstelling[],2,0)=1,1,""),"")</f>
        <v/>
      </c>
      <c r="AK547" t="str">
        <f>IF(ISNUMBER(FIND("arbeid",Methode_Keuze)),"",IF(ISNUMBER(FIND("arbeid",Methode_Keuze)),"",IF(Tb_Activiteiten[[#This Row],[Loonkosten]]=1,Tb_Activiteiten[[#Headers],[Loonkosten]],"")))</f>
        <v/>
      </c>
      <c r="AL547" t="str">
        <f>IF(ISNUMBER(FIND("arbeid",Methode_Keuze)),"",IF(ISNUMBER(FIND("arbeid",Methode_Keuze)),"",IF(Tb_Activiteiten[[#This Row],[Eigen arbeid]]=1,Tb_Activiteiten[[#Headers],[Eigen arbeid]],"")))</f>
        <v/>
      </c>
      <c r="AM547" t="str">
        <f>IF(ISNUMBER(FIND("arbeid",Methode_Keuze)),"",IF(ISNUMBER(FIND("arbeid",Methode_Keuze)),"",IF(Tb_Activiteiten[[#This Row],[Projectmedewerker]]=1,Tb_Activiteiten[[#Headers],[Projectmedewerker]],"")))</f>
        <v/>
      </c>
      <c r="AN547" t="str">
        <f>IF(ISNUMBER(FIND("arbeid",Methode_Keuze)),"",IF(ISNUMBER(FIND("arbeid",Methode_Keuze)),"",IF(Tb_Activiteiten[[#This Row],[Landbouwer]]=1,Tb_Activiteiten[[#Headers],[Landbouwer]],"")))</f>
        <v/>
      </c>
      <c r="AO547" t="str">
        <f>IF(ISNUMBER(FIND("arbeid",Methode_Keuze)),"",IF(ISNUMBER(FIND("arbeid",Methode_Keuze)),"",IF(Tb_Activiteiten[[#This Row],[Adviseur]]=1,Tb_Activiteiten[[#Headers],[Adviseur]],"")))</f>
        <v/>
      </c>
      <c r="AP547" t="str">
        <f>IF(ISNUMBER(FIND("arbeid",Methode_Keuze)),"",IF(ISNUMBER(FIND("arbeid",Methode_Keuze)),"",IF(Tb_Activiteiten[[#This Row],[Projectleider/Expert]]=1,Tb_Activiteiten[[#Headers],[Projectleider/Expert]],"")))</f>
        <v/>
      </c>
      <c r="AQ547" t="str">
        <f>IF(ISNUMBER(FIND("arbeid",Methode_Keuze)),"",IF(ISNUMBER(FIND("arbeid",Methode_Keuze)),"",IF(Tb_Activiteiten[[#This Row],[Arbeidskosten]]=1,Tb_Activiteiten[[#Headers],[Arbeidskosten]],"")))</f>
        <v/>
      </c>
      <c r="AR547" t="str">
        <f>IF(ISNUMBER(FIND("arbeid",Methode_Keuze)),"",IF(ISNUMBER(FIND("arbeid",Methode_Keuze)),"",IF(Tb_Activiteiten[[#This Row],[Arbeidskosten op basis van IKS]]=1,Tb_Activiteiten[[#Headers],[Arbeidskosten op basis van IKS]],"")))</f>
        <v/>
      </c>
      <c r="AS547" t="str">
        <f>IF(ISNUMBER(FIND("overige",Methode_Keuze)),"",IF(Tb_Activiteiten[[#This Row],[Kosten derden exclusief btw]]=1,Tb_Activiteiten[[#Headers],[Kosten derden exclusief btw]],""))</f>
        <v/>
      </c>
      <c r="AT547" t="str">
        <f>IF(ISNUMBER(FIND("overige",Methode_Keuze)),"",IF(Tb_Activiteiten[[#This Row],[Niet verrekenbare btw]]=1,Tb_Activiteiten[[#Headers],[Niet verrekenbare btw]],""))</f>
        <v/>
      </c>
      <c r="AU547" t="str">
        <f>IF(ISNUMBER(FIND("overige",Methode_Keuze)),"",IF(Tb_Activiteiten[[#This Row],[Grondkosten]]=1,Tb_Activiteiten[[#Headers],[Grondkosten]],""))</f>
        <v/>
      </c>
      <c r="AV547" t="str">
        <f>IF(ISNUMBER(FIND("overige",Methode_Keuze)),"",IF(Tb_Activiteiten[[#This Row],[Bijdrage in natura (overige)]]=1,Tb_Activiteiten[[#Headers],[Bijdrage in natura (overige)]],""))</f>
        <v/>
      </c>
      <c r="AW547" t="str">
        <f>IF(ISNUMBER(FIND("overige",Methode_Keuze)),"",IF(Tb_Activiteiten[[#This Row],[Bijdrage in natura (vrijwilligers)]]=1,Tb_Activiteiten[[#Headers],[Bijdrage in natura (vrijwilligers)]],""))</f>
        <v/>
      </c>
      <c r="AX547" t="str">
        <f>IF(ISNUMBER(FIND("overige",Methode_Keuze)),"",IF(Tb_Activiteiten[[#This Row],[Afschrijvingskosten]]=1,Tb_Activiteiten[[#Headers],[Afschrijvingskosten]],""))</f>
        <v/>
      </c>
      <c r="AY547" t="str">
        <f>IF(ISNUMBER(FIND("overige",Methode_Keuze)),"",IF(Tb_Activiteiten[[#This Row],[Vergoeding]]=1,Tb_Activiteiten[[#Headers],[Vergoeding]],""))</f>
        <v/>
      </c>
      <c r="AZ547" t="str">
        <f>IF(ISNUMBER(FIND("arbeid",Methode_Keuze)),"",IF(Tb_Activiteiten[[#This Row],[Arbeidskosten - vast tarief (excl eigen arbeid)]]=1,Tb_Activiteiten[[#Headers],[Arbeidskosten - vast tarief (excl eigen arbeid)]],""))</f>
        <v/>
      </c>
      <c r="BA547" t="str">
        <f>IF(ISNUMBER(FIND("overige",Methode_Keuze)),"",IF(Tb_Activiteiten[[#This Row],[Overige kosten]]=1,Tb_Activiteiten[[#Headers],[Overige kosten]],""))</f>
        <v/>
      </c>
    </row>
    <row r="548" spans="1:53" x14ac:dyDescent="0.25">
      <c r="A548" s="231"/>
      <c r="F548" s="64"/>
      <c r="G548" s="64"/>
      <c r="H548" s="275"/>
      <c r="I548" s="275"/>
      <c r="J548" s="275"/>
      <c r="K548" s="275"/>
      <c r="O548" s="56"/>
      <c r="Q548" t="str">
        <f>IFERROR(IF(VLOOKUP(Tb_Activiteiten[[#This Row],[Openstelling]],Tb_Openstelling[],2,0)=1,1,""),"")</f>
        <v/>
      </c>
      <c r="AK548" t="str">
        <f>IF(ISNUMBER(FIND("arbeid",Methode_Keuze)),"",IF(ISNUMBER(FIND("arbeid",Methode_Keuze)),"",IF(Tb_Activiteiten[[#This Row],[Loonkosten]]=1,Tb_Activiteiten[[#Headers],[Loonkosten]],"")))</f>
        <v/>
      </c>
      <c r="AL548" t="str">
        <f>IF(ISNUMBER(FIND("arbeid",Methode_Keuze)),"",IF(ISNUMBER(FIND("arbeid",Methode_Keuze)),"",IF(Tb_Activiteiten[[#This Row],[Eigen arbeid]]=1,Tb_Activiteiten[[#Headers],[Eigen arbeid]],"")))</f>
        <v/>
      </c>
      <c r="AM548" t="str">
        <f>IF(ISNUMBER(FIND("arbeid",Methode_Keuze)),"",IF(ISNUMBER(FIND("arbeid",Methode_Keuze)),"",IF(Tb_Activiteiten[[#This Row],[Projectmedewerker]]=1,Tb_Activiteiten[[#Headers],[Projectmedewerker]],"")))</f>
        <v/>
      </c>
      <c r="AN548" t="str">
        <f>IF(ISNUMBER(FIND("arbeid",Methode_Keuze)),"",IF(ISNUMBER(FIND("arbeid",Methode_Keuze)),"",IF(Tb_Activiteiten[[#This Row],[Landbouwer]]=1,Tb_Activiteiten[[#Headers],[Landbouwer]],"")))</f>
        <v/>
      </c>
      <c r="AO548" t="str">
        <f>IF(ISNUMBER(FIND("arbeid",Methode_Keuze)),"",IF(ISNUMBER(FIND("arbeid",Methode_Keuze)),"",IF(Tb_Activiteiten[[#This Row],[Adviseur]]=1,Tb_Activiteiten[[#Headers],[Adviseur]],"")))</f>
        <v/>
      </c>
      <c r="AP548" t="str">
        <f>IF(ISNUMBER(FIND("arbeid",Methode_Keuze)),"",IF(ISNUMBER(FIND("arbeid",Methode_Keuze)),"",IF(Tb_Activiteiten[[#This Row],[Projectleider/Expert]]=1,Tb_Activiteiten[[#Headers],[Projectleider/Expert]],"")))</f>
        <v/>
      </c>
      <c r="AQ548" t="str">
        <f>IF(ISNUMBER(FIND("arbeid",Methode_Keuze)),"",IF(ISNUMBER(FIND("arbeid",Methode_Keuze)),"",IF(Tb_Activiteiten[[#This Row],[Arbeidskosten]]=1,Tb_Activiteiten[[#Headers],[Arbeidskosten]],"")))</f>
        <v/>
      </c>
      <c r="AR548" t="str">
        <f>IF(ISNUMBER(FIND("arbeid",Methode_Keuze)),"",IF(ISNUMBER(FIND("arbeid",Methode_Keuze)),"",IF(Tb_Activiteiten[[#This Row],[Arbeidskosten op basis van IKS]]=1,Tb_Activiteiten[[#Headers],[Arbeidskosten op basis van IKS]],"")))</f>
        <v/>
      </c>
      <c r="AS548" t="str">
        <f>IF(ISNUMBER(FIND("overige",Methode_Keuze)),"",IF(Tb_Activiteiten[[#This Row],[Kosten derden exclusief btw]]=1,Tb_Activiteiten[[#Headers],[Kosten derden exclusief btw]],""))</f>
        <v/>
      </c>
      <c r="AT548" t="str">
        <f>IF(ISNUMBER(FIND("overige",Methode_Keuze)),"",IF(Tb_Activiteiten[[#This Row],[Niet verrekenbare btw]]=1,Tb_Activiteiten[[#Headers],[Niet verrekenbare btw]],""))</f>
        <v/>
      </c>
      <c r="AU548" t="str">
        <f>IF(ISNUMBER(FIND("overige",Methode_Keuze)),"",IF(Tb_Activiteiten[[#This Row],[Grondkosten]]=1,Tb_Activiteiten[[#Headers],[Grondkosten]],""))</f>
        <v/>
      </c>
      <c r="AV548" t="str">
        <f>IF(ISNUMBER(FIND("overige",Methode_Keuze)),"",IF(Tb_Activiteiten[[#This Row],[Bijdrage in natura (overige)]]=1,Tb_Activiteiten[[#Headers],[Bijdrage in natura (overige)]],""))</f>
        <v/>
      </c>
      <c r="AW548" t="str">
        <f>IF(ISNUMBER(FIND("overige",Methode_Keuze)),"",IF(Tb_Activiteiten[[#This Row],[Bijdrage in natura (vrijwilligers)]]=1,Tb_Activiteiten[[#Headers],[Bijdrage in natura (vrijwilligers)]],""))</f>
        <v/>
      </c>
      <c r="AX548" t="str">
        <f>IF(ISNUMBER(FIND("overige",Methode_Keuze)),"",IF(Tb_Activiteiten[[#This Row],[Afschrijvingskosten]]=1,Tb_Activiteiten[[#Headers],[Afschrijvingskosten]],""))</f>
        <v/>
      </c>
      <c r="AY548" t="str">
        <f>IF(ISNUMBER(FIND("overige",Methode_Keuze)),"",IF(Tb_Activiteiten[[#This Row],[Vergoeding]]=1,Tb_Activiteiten[[#Headers],[Vergoeding]],""))</f>
        <v/>
      </c>
      <c r="AZ548" t="str">
        <f>IF(ISNUMBER(FIND("arbeid",Methode_Keuze)),"",IF(Tb_Activiteiten[[#This Row],[Arbeidskosten - vast tarief (excl eigen arbeid)]]=1,Tb_Activiteiten[[#Headers],[Arbeidskosten - vast tarief (excl eigen arbeid)]],""))</f>
        <v/>
      </c>
      <c r="BA548" t="str">
        <f>IF(ISNUMBER(FIND("overige",Methode_Keuze)),"",IF(Tb_Activiteiten[[#This Row],[Overige kosten]]=1,Tb_Activiteiten[[#Headers],[Overige kosten]],""))</f>
        <v/>
      </c>
    </row>
    <row r="549" spans="1:53" x14ac:dyDescent="0.25">
      <c r="A549" s="231"/>
      <c r="F549" s="64"/>
      <c r="G549" s="64"/>
      <c r="H549" s="275"/>
      <c r="I549" s="275"/>
      <c r="J549" s="275"/>
      <c r="K549" s="275"/>
      <c r="O549" s="56"/>
      <c r="Q549" t="str">
        <f>IFERROR(IF(VLOOKUP(Tb_Activiteiten[[#This Row],[Openstelling]],Tb_Openstelling[],2,0)=1,1,""),"")</f>
        <v/>
      </c>
      <c r="AK549" t="str">
        <f>IF(ISNUMBER(FIND("arbeid",Methode_Keuze)),"",IF(ISNUMBER(FIND("arbeid",Methode_Keuze)),"",IF(Tb_Activiteiten[[#This Row],[Loonkosten]]=1,Tb_Activiteiten[[#Headers],[Loonkosten]],"")))</f>
        <v/>
      </c>
      <c r="AL549" t="str">
        <f>IF(ISNUMBER(FIND("arbeid",Methode_Keuze)),"",IF(ISNUMBER(FIND("arbeid",Methode_Keuze)),"",IF(Tb_Activiteiten[[#This Row],[Eigen arbeid]]=1,Tb_Activiteiten[[#Headers],[Eigen arbeid]],"")))</f>
        <v/>
      </c>
      <c r="AM549" t="str">
        <f>IF(ISNUMBER(FIND("arbeid",Methode_Keuze)),"",IF(ISNUMBER(FIND("arbeid",Methode_Keuze)),"",IF(Tb_Activiteiten[[#This Row],[Projectmedewerker]]=1,Tb_Activiteiten[[#Headers],[Projectmedewerker]],"")))</f>
        <v/>
      </c>
      <c r="AN549" t="str">
        <f>IF(ISNUMBER(FIND("arbeid",Methode_Keuze)),"",IF(ISNUMBER(FIND("arbeid",Methode_Keuze)),"",IF(Tb_Activiteiten[[#This Row],[Landbouwer]]=1,Tb_Activiteiten[[#Headers],[Landbouwer]],"")))</f>
        <v/>
      </c>
      <c r="AO549" t="str">
        <f>IF(ISNUMBER(FIND("arbeid",Methode_Keuze)),"",IF(ISNUMBER(FIND("arbeid",Methode_Keuze)),"",IF(Tb_Activiteiten[[#This Row],[Adviseur]]=1,Tb_Activiteiten[[#Headers],[Adviseur]],"")))</f>
        <v/>
      </c>
      <c r="AP549" t="str">
        <f>IF(ISNUMBER(FIND("arbeid",Methode_Keuze)),"",IF(ISNUMBER(FIND("arbeid",Methode_Keuze)),"",IF(Tb_Activiteiten[[#This Row],[Projectleider/Expert]]=1,Tb_Activiteiten[[#Headers],[Projectleider/Expert]],"")))</f>
        <v/>
      </c>
      <c r="AQ549" t="str">
        <f>IF(ISNUMBER(FIND("arbeid",Methode_Keuze)),"",IF(ISNUMBER(FIND("arbeid",Methode_Keuze)),"",IF(Tb_Activiteiten[[#This Row],[Arbeidskosten]]=1,Tb_Activiteiten[[#Headers],[Arbeidskosten]],"")))</f>
        <v/>
      </c>
      <c r="AR549" t="str">
        <f>IF(ISNUMBER(FIND("arbeid",Methode_Keuze)),"",IF(ISNUMBER(FIND("arbeid",Methode_Keuze)),"",IF(Tb_Activiteiten[[#This Row],[Arbeidskosten op basis van IKS]]=1,Tb_Activiteiten[[#Headers],[Arbeidskosten op basis van IKS]],"")))</f>
        <v/>
      </c>
      <c r="AS549" t="str">
        <f>IF(ISNUMBER(FIND("overige",Methode_Keuze)),"",IF(Tb_Activiteiten[[#This Row],[Kosten derden exclusief btw]]=1,Tb_Activiteiten[[#Headers],[Kosten derden exclusief btw]],""))</f>
        <v/>
      </c>
      <c r="AT549" t="str">
        <f>IF(ISNUMBER(FIND("overige",Methode_Keuze)),"",IF(Tb_Activiteiten[[#This Row],[Niet verrekenbare btw]]=1,Tb_Activiteiten[[#Headers],[Niet verrekenbare btw]],""))</f>
        <v/>
      </c>
      <c r="AU549" t="str">
        <f>IF(ISNUMBER(FIND("overige",Methode_Keuze)),"",IF(Tb_Activiteiten[[#This Row],[Grondkosten]]=1,Tb_Activiteiten[[#Headers],[Grondkosten]],""))</f>
        <v/>
      </c>
      <c r="AV549" t="str">
        <f>IF(ISNUMBER(FIND("overige",Methode_Keuze)),"",IF(Tb_Activiteiten[[#This Row],[Bijdrage in natura (overige)]]=1,Tb_Activiteiten[[#Headers],[Bijdrage in natura (overige)]],""))</f>
        <v/>
      </c>
      <c r="AW549" t="str">
        <f>IF(ISNUMBER(FIND("overige",Methode_Keuze)),"",IF(Tb_Activiteiten[[#This Row],[Bijdrage in natura (vrijwilligers)]]=1,Tb_Activiteiten[[#Headers],[Bijdrage in natura (vrijwilligers)]],""))</f>
        <v/>
      </c>
      <c r="AX549" t="str">
        <f>IF(ISNUMBER(FIND("overige",Methode_Keuze)),"",IF(Tb_Activiteiten[[#This Row],[Afschrijvingskosten]]=1,Tb_Activiteiten[[#Headers],[Afschrijvingskosten]],""))</f>
        <v/>
      </c>
      <c r="AY549" t="str">
        <f>IF(ISNUMBER(FIND("overige",Methode_Keuze)),"",IF(Tb_Activiteiten[[#This Row],[Vergoeding]]=1,Tb_Activiteiten[[#Headers],[Vergoeding]],""))</f>
        <v/>
      </c>
      <c r="AZ549" t="str">
        <f>IF(ISNUMBER(FIND("arbeid",Methode_Keuze)),"",IF(Tb_Activiteiten[[#This Row],[Arbeidskosten - vast tarief (excl eigen arbeid)]]=1,Tb_Activiteiten[[#Headers],[Arbeidskosten - vast tarief (excl eigen arbeid)]],""))</f>
        <v/>
      </c>
      <c r="BA549" t="str">
        <f>IF(ISNUMBER(FIND("overige",Methode_Keuze)),"",IF(Tb_Activiteiten[[#This Row],[Overige kosten]]=1,Tb_Activiteiten[[#Headers],[Overige kosten]],""))</f>
        <v/>
      </c>
    </row>
    <row r="550" spans="1:53" x14ac:dyDescent="0.25">
      <c r="A550" s="231"/>
      <c r="F550" s="64"/>
      <c r="G550" s="64"/>
      <c r="H550" s="275"/>
      <c r="I550" s="275"/>
      <c r="J550" s="275"/>
      <c r="K550" s="275"/>
      <c r="O550" s="56"/>
      <c r="Q550" t="str">
        <f>IFERROR(IF(VLOOKUP(Tb_Activiteiten[[#This Row],[Openstelling]],Tb_Openstelling[],2,0)=1,1,""),"")</f>
        <v/>
      </c>
      <c r="AK550" t="str">
        <f>IF(ISNUMBER(FIND("arbeid",Methode_Keuze)),"",IF(ISNUMBER(FIND("arbeid",Methode_Keuze)),"",IF(Tb_Activiteiten[[#This Row],[Loonkosten]]=1,Tb_Activiteiten[[#Headers],[Loonkosten]],"")))</f>
        <v/>
      </c>
      <c r="AL550" t="str">
        <f>IF(ISNUMBER(FIND("arbeid",Methode_Keuze)),"",IF(ISNUMBER(FIND("arbeid",Methode_Keuze)),"",IF(Tb_Activiteiten[[#This Row],[Eigen arbeid]]=1,Tb_Activiteiten[[#Headers],[Eigen arbeid]],"")))</f>
        <v/>
      </c>
      <c r="AM550" t="str">
        <f>IF(ISNUMBER(FIND("arbeid",Methode_Keuze)),"",IF(ISNUMBER(FIND("arbeid",Methode_Keuze)),"",IF(Tb_Activiteiten[[#This Row],[Projectmedewerker]]=1,Tb_Activiteiten[[#Headers],[Projectmedewerker]],"")))</f>
        <v/>
      </c>
      <c r="AN550" t="str">
        <f>IF(ISNUMBER(FIND("arbeid",Methode_Keuze)),"",IF(ISNUMBER(FIND("arbeid",Methode_Keuze)),"",IF(Tb_Activiteiten[[#This Row],[Landbouwer]]=1,Tb_Activiteiten[[#Headers],[Landbouwer]],"")))</f>
        <v/>
      </c>
      <c r="AO550" t="str">
        <f>IF(ISNUMBER(FIND("arbeid",Methode_Keuze)),"",IF(ISNUMBER(FIND("arbeid",Methode_Keuze)),"",IF(Tb_Activiteiten[[#This Row],[Adviseur]]=1,Tb_Activiteiten[[#Headers],[Adviseur]],"")))</f>
        <v/>
      </c>
      <c r="AP550" t="str">
        <f>IF(ISNUMBER(FIND("arbeid",Methode_Keuze)),"",IF(ISNUMBER(FIND("arbeid",Methode_Keuze)),"",IF(Tb_Activiteiten[[#This Row],[Projectleider/Expert]]=1,Tb_Activiteiten[[#Headers],[Projectleider/Expert]],"")))</f>
        <v/>
      </c>
      <c r="AQ550" t="str">
        <f>IF(ISNUMBER(FIND("arbeid",Methode_Keuze)),"",IF(ISNUMBER(FIND("arbeid",Methode_Keuze)),"",IF(Tb_Activiteiten[[#This Row],[Arbeidskosten]]=1,Tb_Activiteiten[[#Headers],[Arbeidskosten]],"")))</f>
        <v/>
      </c>
      <c r="AR550" t="str">
        <f>IF(ISNUMBER(FIND("arbeid",Methode_Keuze)),"",IF(ISNUMBER(FIND("arbeid",Methode_Keuze)),"",IF(Tb_Activiteiten[[#This Row],[Arbeidskosten op basis van IKS]]=1,Tb_Activiteiten[[#Headers],[Arbeidskosten op basis van IKS]],"")))</f>
        <v/>
      </c>
      <c r="AS550" t="str">
        <f>IF(ISNUMBER(FIND("overige",Methode_Keuze)),"",IF(Tb_Activiteiten[[#This Row],[Kosten derden exclusief btw]]=1,Tb_Activiteiten[[#Headers],[Kosten derden exclusief btw]],""))</f>
        <v/>
      </c>
      <c r="AT550" t="str">
        <f>IF(ISNUMBER(FIND("overige",Methode_Keuze)),"",IF(Tb_Activiteiten[[#This Row],[Niet verrekenbare btw]]=1,Tb_Activiteiten[[#Headers],[Niet verrekenbare btw]],""))</f>
        <v/>
      </c>
      <c r="AU550" t="str">
        <f>IF(ISNUMBER(FIND("overige",Methode_Keuze)),"",IF(Tb_Activiteiten[[#This Row],[Grondkosten]]=1,Tb_Activiteiten[[#Headers],[Grondkosten]],""))</f>
        <v/>
      </c>
      <c r="AV550" t="str">
        <f>IF(ISNUMBER(FIND("overige",Methode_Keuze)),"",IF(Tb_Activiteiten[[#This Row],[Bijdrage in natura (overige)]]=1,Tb_Activiteiten[[#Headers],[Bijdrage in natura (overige)]],""))</f>
        <v/>
      </c>
      <c r="AW550" t="str">
        <f>IF(ISNUMBER(FIND("overige",Methode_Keuze)),"",IF(Tb_Activiteiten[[#This Row],[Bijdrage in natura (vrijwilligers)]]=1,Tb_Activiteiten[[#Headers],[Bijdrage in natura (vrijwilligers)]],""))</f>
        <v/>
      </c>
      <c r="AX550" t="str">
        <f>IF(ISNUMBER(FIND("overige",Methode_Keuze)),"",IF(Tb_Activiteiten[[#This Row],[Afschrijvingskosten]]=1,Tb_Activiteiten[[#Headers],[Afschrijvingskosten]],""))</f>
        <v/>
      </c>
      <c r="AY550" t="str">
        <f>IF(ISNUMBER(FIND("overige",Methode_Keuze)),"",IF(Tb_Activiteiten[[#This Row],[Vergoeding]]=1,Tb_Activiteiten[[#Headers],[Vergoeding]],""))</f>
        <v/>
      </c>
      <c r="AZ550" t="str">
        <f>IF(ISNUMBER(FIND("arbeid",Methode_Keuze)),"",IF(Tb_Activiteiten[[#This Row],[Arbeidskosten - vast tarief (excl eigen arbeid)]]=1,Tb_Activiteiten[[#Headers],[Arbeidskosten - vast tarief (excl eigen arbeid)]],""))</f>
        <v/>
      </c>
      <c r="BA550" t="str">
        <f>IF(ISNUMBER(FIND("overige",Methode_Keuze)),"",IF(Tb_Activiteiten[[#This Row],[Overige kosten]]=1,Tb_Activiteiten[[#Headers],[Overige kosten]],""))</f>
        <v/>
      </c>
    </row>
    <row r="551" spans="1:53" x14ac:dyDescent="0.25">
      <c r="A551" s="231"/>
      <c r="F551" s="64"/>
      <c r="G551" s="64"/>
      <c r="H551" s="275"/>
      <c r="I551" s="275"/>
      <c r="J551" s="275"/>
      <c r="K551" s="275"/>
      <c r="O551" s="56"/>
      <c r="Q551" t="str">
        <f>IFERROR(IF(VLOOKUP(Tb_Activiteiten[[#This Row],[Openstelling]],Tb_Openstelling[],2,0)=1,1,""),"")</f>
        <v/>
      </c>
      <c r="AK551" t="str">
        <f>IF(ISNUMBER(FIND("arbeid",Methode_Keuze)),"",IF(ISNUMBER(FIND("arbeid",Methode_Keuze)),"",IF(Tb_Activiteiten[[#This Row],[Loonkosten]]=1,Tb_Activiteiten[[#Headers],[Loonkosten]],"")))</f>
        <v/>
      </c>
      <c r="AL551" t="str">
        <f>IF(ISNUMBER(FIND("arbeid",Methode_Keuze)),"",IF(ISNUMBER(FIND("arbeid",Methode_Keuze)),"",IF(Tb_Activiteiten[[#This Row],[Eigen arbeid]]=1,Tb_Activiteiten[[#Headers],[Eigen arbeid]],"")))</f>
        <v/>
      </c>
      <c r="AM551" t="str">
        <f>IF(ISNUMBER(FIND("arbeid",Methode_Keuze)),"",IF(ISNUMBER(FIND("arbeid",Methode_Keuze)),"",IF(Tb_Activiteiten[[#This Row],[Projectmedewerker]]=1,Tb_Activiteiten[[#Headers],[Projectmedewerker]],"")))</f>
        <v/>
      </c>
      <c r="AN551" t="str">
        <f>IF(ISNUMBER(FIND("arbeid",Methode_Keuze)),"",IF(ISNUMBER(FIND("arbeid",Methode_Keuze)),"",IF(Tb_Activiteiten[[#This Row],[Landbouwer]]=1,Tb_Activiteiten[[#Headers],[Landbouwer]],"")))</f>
        <v/>
      </c>
      <c r="AO551" t="str">
        <f>IF(ISNUMBER(FIND("arbeid",Methode_Keuze)),"",IF(ISNUMBER(FIND("arbeid",Methode_Keuze)),"",IF(Tb_Activiteiten[[#This Row],[Adviseur]]=1,Tb_Activiteiten[[#Headers],[Adviseur]],"")))</f>
        <v/>
      </c>
      <c r="AP551" t="str">
        <f>IF(ISNUMBER(FIND("arbeid",Methode_Keuze)),"",IF(ISNUMBER(FIND("arbeid",Methode_Keuze)),"",IF(Tb_Activiteiten[[#This Row],[Projectleider/Expert]]=1,Tb_Activiteiten[[#Headers],[Projectleider/Expert]],"")))</f>
        <v/>
      </c>
      <c r="AQ551" t="str">
        <f>IF(ISNUMBER(FIND("arbeid",Methode_Keuze)),"",IF(ISNUMBER(FIND("arbeid",Methode_Keuze)),"",IF(Tb_Activiteiten[[#This Row],[Arbeidskosten]]=1,Tb_Activiteiten[[#Headers],[Arbeidskosten]],"")))</f>
        <v/>
      </c>
      <c r="AR551" t="str">
        <f>IF(ISNUMBER(FIND("arbeid",Methode_Keuze)),"",IF(ISNUMBER(FIND("arbeid",Methode_Keuze)),"",IF(Tb_Activiteiten[[#This Row],[Arbeidskosten op basis van IKS]]=1,Tb_Activiteiten[[#Headers],[Arbeidskosten op basis van IKS]],"")))</f>
        <v/>
      </c>
      <c r="AS551" t="str">
        <f>IF(ISNUMBER(FIND("overige",Methode_Keuze)),"",IF(Tb_Activiteiten[[#This Row],[Kosten derden exclusief btw]]=1,Tb_Activiteiten[[#Headers],[Kosten derden exclusief btw]],""))</f>
        <v/>
      </c>
      <c r="AT551" t="str">
        <f>IF(ISNUMBER(FIND("overige",Methode_Keuze)),"",IF(Tb_Activiteiten[[#This Row],[Niet verrekenbare btw]]=1,Tb_Activiteiten[[#Headers],[Niet verrekenbare btw]],""))</f>
        <v/>
      </c>
      <c r="AU551" t="str">
        <f>IF(ISNUMBER(FIND("overige",Methode_Keuze)),"",IF(Tb_Activiteiten[[#This Row],[Grondkosten]]=1,Tb_Activiteiten[[#Headers],[Grondkosten]],""))</f>
        <v/>
      </c>
      <c r="AV551" t="str">
        <f>IF(ISNUMBER(FIND("overige",Methode_Keuze)),"",IF(Tb_Activiteiten[[#This Row],[Bijdrage in natura (overige)]]=1,Tb_Activiteiten[[#Headers],[Bijdrage in natura (overige)]],""))</f>
        <v/>
      </c>
      <c r="AW551" t="str">
        <f>IF(ISNUMBER(FIND("overige",Methode_Keuze)),"",IF(Tb_Activiteiten[[#This Row],[Bijdrage in natura (vrijwilligers)]]=1,Tb_Activiteiten[[#Headers],[Bijdrage in natura (vrijwilligers)]],""))</f>
        <v/>
      </c>
      <c r="AX551" t="str">
        <f>IF(ISNUMBER(FIND("overige",Methode_Keuze)),"",IF(Tb_Activiteiten[[#This Row],[Afschrijvingskosten]]=1,Tb_Activiteiten[[#Headers],[Afschrijvingskosten]],""))</f>
        <v/>
      </c>
      <c r="AY551" t="str">
        <f>IF(ISNUMBER(FIND("overige",Methode_Keuze)),"",IF(Tb_Activiteiten[[#This Row],[Vergoeding]]=1,Tb_Activiteiten[[#Headers],[Vergoeding]],""))</f>
        <v/>
      </c>
      <c r="AZ551" t="str">
        <f>IF(ISNUMBER(FIND("arbeid",Methode_Keuze)),"",IF(Tb_Activiteiten[[#This Row],[Arbeidskosten - vast tarief (excl eigen arbeid)]]=1,Tb_Activiteiten[[#Headers],[Arbeidskosten - vast tarief (excl eigen arbeid)]],""))</f>
        <v/>
      </c>
      <c r="BA551" t="str">
        <f>IF(ISNUMBER(FIND("overige",Methode_Keuze)),"",IF(Tb_Activiteiten[[#This Row],[Overige kosten]]=1,Tb_Activiteiten[[#Headers],[Overige kosten]],""))</f>
        <v/>
      </c>
    </row>
    <row r="552" spans="1:53" x14ac:dyDescent="0.25">
      <c r="A552" s="231"/>
      <c r="F552" s="64"/>
      <c r="G552" s="64"/>
      <c r="H552" s="275"/>
      <c r="I552" s="275"/>
      <c r="J552" s="275"/>
      <c r="K552" s="275"/>
      <c r="O552" s="56"/>
      <c r="Q552" t="str">
        <f>IFERROR(IF(VLOOKUP(Tb_Activiteiten[[#This Row],[Openstelling]],Tb_Openstelling[],2,0)=1,1,""),"")</f>
        <v/>
      </c>
      <c r="AK552" t="str">
        <f>IF(ISNUMBER(FIND("arbeid",Methode_Keuze)),"",IF(ISNUMBER(FIND("arbeid",Methode_Keuze)),"",IF(Tb_Activiteiten[[#This Row],[Loonkosten]]=1,Tb_Activiteiten[[#Headers],[Loonkosten]],"")))</f>
        <v/>
      </c>
      <c r="AL552" t="str">
        <f>IF(ISNUMBER(FIND("arbeid",Methode_Keuze)),"",IF(ISNUMBER(FIND("arbeid",Methode_Keuze)),"",IF(Tb_Activiteiten[[#This Row],[Eigen arbeid]]=1,Tb_Activiteiten[[#Headers],[Eigen arbeid]],"")))</f>
        <v/>
      </c>
      <c r="AM552" t="str">
        <f>IF(ISNUMBER(FIND("arbeid",Methode_Keuze)),"",IF(ISNUMBER(FIND("arbeid",Methode_Keuze)),"",IF(Tb_Activiteiten[[#This Row],[Projectmedewerker]]=1,Tb_Activiteiten[[#Headers],[Projectmedewerker]],"")))</f>
        <v/>
      </c>
      <c r="AN552" t="str">
        <f>IF(ISNUMBER(FIND("arbeid",Methode_Keuze)),"",IF(ISNUMBER(FIND("arbeid",Methode_Keuze)),"",IF(Tb_Activiteiten[[#This Row],[Landbouwer]]=1,Tb_Activiteiten[[#Headers],[Landbouwer]],"")))</f>
        <v/>
      </c>
      <c r="AO552" t="str">
        <f>IF(ISNUMBER(FIND("arbeid",Methode_Keuze)),"",IF(ISNUMBER(FIND("arbeid",Methode_Keuze)),"",IF(Tb_Activiteiten[[#This Row],[Adviseur]]=1,Tb_Activiteiten[[#Headers],[Adviseur]],"")))</f>
        <v/>
      </c>
      <c r="AP552" t="str">
        <f>IF(ISNUMBER(FIND("arbeid",Methode_Keuze)),"",IF(ISNUMBER(FIND("arbeid",Methode_Keuze)),"",IF(Tb_Activiteiten[[#This Row],[Projectleider/Expert]]=1,Tb_Activiteiten[[#Headers],[Projectleider/Expert]],"")))</f>
        <v/>
      </c>
      <c r="AQ552" t="str">
        <f>IF(ISNUMBER(FIND("arbeid",Methode_Keuze)),"",IF(ISNUMBER(FIND("arbeid",Methode_Keuze)),"",IF(Tb_Activiteiten[[#This Row],[Arbeidskosten]]=1,Tb_Activiteiten[[#Headers],[Arbeidskosten]],"")))</f>
        <v/>
      </c>
      <c r="AR552" t="str">
        <f>IF(ISNUMBER(FIND("arbeid",Methode_Keuze)),"",IF(ISNUMBER(FIND("arbeid",Methode_Keuze)),"",IF(Tb_Activiteiten[[#This Row],[Arbeidskosten op basis van IKS]]=1,Tb_Activiteiten[[#Headers],[Arbeidskosten op basis van IKS]],"")))</f>
        <v/>
      </c>
      <c r="AS552" t="str">
        <f>IF(ISNUMBER(FIND("overige",Methode_Keuze)),"",IF(Tb_Activiteiten[[#This Row],[Kosten derden exclusief btw]]=1,Tb_Activiteiten[[#Headers],[Kosten derden exclusief btw]],""))</f>
        <v/>
      </c>
      <c r="AT552" t="str">
        <f>IF(ISNUMBER(FIND("overige",Methode_Keuze)),"",IF(Tb_Activiteiten[[#This Row],[Niet verrekenbare btw]]=1,Tb_Activiteiten[[#Headers],[Niet verrekenbare btw]],""))</f>
        <v/>
      </c>
      <c r="AU552" t="str">
        <f>IF(ISNUMBER(FIND("overige",Methode_Keuze)),"",IF(Tb_Activiteiten[[#This Row],[Grondkosten]]=1,Tb_Activiteiten[[#Headers],[Grondkosten]],""))</f>
        <v/>
      </c>
      <c r="AV552" t="str">
        <f>IF(ISNUMBER(FIND("overige",Methode_Keuze)),"",IF(Tb_Activiteiten[[#This Row],[Bijdrage in natura (overige)]]=1,Tb_Activiteiten[[#Headers],[Bijdrage in natura (overige)]],""))</f>
        <v/>
      </c>
      <c r="AW552" t="str">
        <f>IF(ISNUMBER(FIND("overige",Methode_Keuze)),"",IF(Tb_Activiteiten[[#This Row],[Bijdrage in natura (vrijwilligers)]]=1,Tb_Activiteiten[[#Headers],[Bijdrage in natura (vrijwilligers)]],""))</f>
        <v/>
      </c>
      <c r="AX552" t="str">
        <f>IF(ISNUMBER(FIND("overige",Methode_Keuze)),"",IF(Tb_Activiteiten[[#This Row],[Afschrijvingskosten]]=1,Tb_Activiteiten[[#Headers],[Afschrijvingskosten]],""))</f>
        <v/>
      </c>
      <c r="AY552" t="str">
        <f>IF(ISNUMBER(FIND("overige",Methode_Keuze)),"",IF(Tb_Activiteiten[[#This Row],[Vergoeding]]=1,Tb_Activiteiten[[#Headers],[Vergoeding]],""))</f>
        <v/>
      </c>
      <c r="AZ552" t="str">
        <f>IF(ISNUMBER(FIND("arbeid",Methode_Keuze)),"",IF(Tb_Activiteiten[[#This Row],[Arbeidskosten - vast tarief (excl eigen arbeid)]]=1,Tb_Activiteiten[[#Headers],[Arbeidskosten - vast tarief (excl eigen arbeid)]],""))</f>
        <v/>
      </c>
      <c r="BA552" t="str">
        <f>IF(ISNUMBER(FIND("overige",Methode_Keuze)),"",IF(Tb_Activiteiten[[#This Row],[Overige kosten]]=1,Tb_Activiteiten[[#Headers],[Overige kosten]],""))</f>
        <v/>
      </c>
    </row>
    <row r="553" spans="1:53" x14ac:dyDescent="0.25">
      <c r="A553" s="231"/>
      <c r="F553" s="64"/>
      <c r="G553" s="64"/>
      <c r="H553" s="275"/>
      <c r="I553" s="275"/>
      <c r="J553" s="275"/>
      <c r="K553" s="275"/>
      <c r="O553" s="56"/>
      <c r="Q553" t="str">
        <f>IFERROR(IF(VLOOKUP(Tb_Activiteiten[[#This Row],[Openstelling]],Tb_Openstelling[],2,0)=1,1,""),"")</f>
        <v/>
      </c>
      <c r="AK553" t="str">
        <f>IF(ISNUMBER(FIND("arbeid",Methode_Keuze)),"",IF(ISNUMBER(FIND("arbeid",Methode_Keuze)),"",IF(Tb_Activiteiten[[#This Row],[Loonkosten]]=1,Tb_Activiteiten[[#Headers],[Loonkosten]],"")))</f>
        <v/>
      </c>
      <c r="AL553" t="str">
        <f>IF(ISNUMBER(FIND("arbeid",Methode_Keuze)),"",IF(ISNUMBER(FIND("arbeid",Methode_Keuze)),"",IF(Tb_Activiteiten[[#This Row],[Eigen arbeid]]=1,Tb_Activiteiten[[#Headers],[Eigen arbeid]],"")))</f>
        <v/>
      </c>
      <c r="AM553" t="str">
        <f>IF(ISNUMBER(FIND("arbeid",Methode_Keuze)),"",IF(ISNUMBER(FIND("arbeid",Methode_Keuze)),"",IF(Tb_Activiteiten[[#This Row],[Projectmedewerker]]=1,Tb_Activiteiten[[#Headers],[Projectmedewerker]],"")))</f>
        <v/>
      </c>
      <c r="AN553" t="str">
        <f>IF(ISNUMBER(FIND("arbeid",Methode_Keuze)),"",IF(ISNUMBER(FIND("arbeid",Methode_Keuze)),"",IF(Tb_Activiteiten[[#This Row],[Landbouwer]]=1,Tb_Activiteiten[[#Headers],[Landbouwer]],"")))</f>
        <v/>
      </c>
      <c r="AO553" t="str">
        <f>IF(ISNUMBER(FIND("arbeid",Methode_Keuze)),"",IF(ISNUMBER(FIND("arbeid",Methode_Keuze)),"",IF(Tb_Activiteiten[[#This Row],[Adviseur]]=1,Tb_Activiteiten[[#Headers],[Adviseur]],"")))</f>
        <v/>
      </c>
      <c r="AP553" t="str">
        <f>IF(ISNUMBER(FIND("arbeid",Methode_Keuze)),"",IF(ISNUMBER(FIND("arbeid",Methode_Keuze)),"",IF(Tb_Activiteiten[[#This Row],[Projectleider/Expert]]=1,Tb_Activiteiten[[#Headers],[Projectleider/Expert]],"")))</f>
        <v/>
      </c>
      <c r="AQ553" t="str">
        <f>IF(ISNUMBER(FIND("arbeid",Methode_Keuze)),"",IF(ISNUMBER(FIND("arbeid",Methode_Keuze)),"",IF(Tb_Activiteiten[[#This Row],[Arbeidskosten]]=1,Tb_Activiteiten[[#Headers],[Arbeidskosten]],"")))</f>
        <v/>
      </c>
      <c r="AR553" t="str">
        <f>IF(ISNUMBER(FIND("arbeid",Methode_Keuze)),"",IF(ISNUMBER(FIND("arbeid",Methode_Keuze)),"",IF(Tb_Activiteiten[[#This Row],[Arbeidskosten op basis van IKS]]=1,Tb_Activiteiten[[#Headers],[Arbeidskosten op basis van IKS]],"")))</f>
        <v/>
      </c>
      <c r="AS553" t="str">
        <f>IF(ISNUMBER(FIND("overige",Methode_Keuze)),"",IF(Tb_Activiteiten[[#This Row],[Kosten derden exclusief btw]]=1,Tb_Activiteiten[[#Headers],[Kosten derden exclusief btw]],""))</f>
        <v/>
      </c>
      <c r="AT553" t="str">
        <f>IF(ISNUMBER(FIND("overige",Methode_Keuze)),"",IF(Tb_Activiteiten[[#This Row],[Niet verrekenbare btw]]=1,Tb_Activiteiten[[#Headers],[Niet verrekenbare btw]],""))</f>
        <v/>
      </c>
      <c r="AU553" t="str">
        <f>IF(ISNUMBER(FIND("overige",Methode_Keuze)),"",IF(Tb_Activiteiten[[#This Row],[Grondkosten]]=1,Tb_Activiteiten[[#Headers],[Grondkosten]],""))</f>
        <v/>
      </c>
      <c r="AV553" t="str">
        <f>IF(ISNUMBER(FIND("overige",Methode_Keuze)),"",IF(Tb_Activiteiten[[#This Row],[Bijdrage in natura (overige)]]=1,Tb_Activiteiten[[#Headers],[Bijdrage in natura (overige)]],""))</f>
        <v/>
      </c>
      <c r="AW553" t="str">
        <f>IF(ISNUMBER(FIND("overige",Methode_Keuze)),"",IF(Tb_Activiteiten[[#This Row],[Bijdrage in natura (vrijwilligers)]]=1,Tb_Activiteiten[[#Headers],[Bijdrage in natura (vrijwilligers)]],""))</f>
        <v/>
      </c>
      <c r="AX553" t="str">
        <f>IF(ISNUMBER(FIND("overige",Methode_Keuze)),"",IF(Tb_Activiteiten[[#This Row],[Afschrijvingskosten]]=1,Tb_Activiteiten[[#Headers],[Afschrijvingskosten]],""))</f>
        <v/>
      </c>
      <c r="AY553" t="str">
        <f>IF(ISNUMBER(FIND("overige",Methode_Keuze)),"",IF(Tb_Activiteiten[[#This Row],[Vergoeding]]=1,Tb_Activiteiten[[#Headers],[Vergoeding]],""))</f>
        <v/>
      </c>
      <c r="AZ553" t="str">
        <f>IF(ISNUMBER(FIND("arbeid",Methode_Keuze)),"",IF(Tb_Activiteiten[[#This Row],[Arbeidskosten - vast tarief (excl eigen arbeid)]]=1,Tb_Activiteiten[[#Headers],[Arbeidskosten - vast tarief (excl eigen arbeid)]],""))</f>
        <v/>
      </c>
      <c r="BA553" t="str">
        <f>IF(ISNUMBER(FIND("overige",Methode_Keuze)),"",IF(Tb_Activiteiten[[#This Row],[Overige kosten]]=1,Tb_Activiteiten[[#Headers],[Overige kosten]],""))</f>
        <v/>
      </c>
    </row>
    <row r="554" spans="1:53" x14ac:dyDescent="0.25">
      <c r="A554" s="231"/>
      <c r="F554" s="64"/>
      <c r="G554" s="64"/>
      <c r="H554" s="275"/>
      <c r="I554" s="275"/>
      <c r="J554" s="275"/>
      <c r="K554" s="275"/>
      <c r="O554" s="56"/>
      <c r="Q554" t="str">
        <f>IFERROR(IF(VLOOKUP(Tb_Activiteiten[[#This Row],[Openstelling]],Tb_Openstelling[],2,0)=1,1,""),"")</f>
        <v/>
      </c>
      <c r="AK554" t="str">
        <f>IF(ISNUMBER(FIND("arbeid",Methode_Keuze)),"",IF(ISNUMBER(FIND("arbeid",Methode_Keuze)),"",IF(Tb_Activiteiten[[#This Row],[Loonkosten]]=1,Tb_Activiteiten[[#Headers],[Loonkosten]],"")))</f>
        <v/>
      </c>
      <c r="AL554" t="str">
        <f>IF(ISNUMBER(FIND("arbeid",Methode_Keuze)),"",IF(ISNUMBER(FIND("arbeid",Methode_Keuze)),"",IF(Tb_Activiteiten[[#This Row],[Eigen arbeid]]=1,Tb_Activiteiten[[#Headers],[Eigen arbeid]],"")))</f>
        <v/>
      </c>
      <c r="AM554" t="str">
        <f>IF(ISNUMBER(FIND("arbeid",Methode_Keuze)),"",IF(ISNUMBER(FIND("arbeid",Methode_Keuze)),"",IF(Tb_Activiteiten[[#This Row],[Projectmedewerker]]=1,Tb_Activiteiten[[#Headers],[Projectmedewerker]],"")))</f>
        <v/>
      </c>
      <c r="AN554" t="str">
        <f>IF(ISNUMBER(FIND("arbeid",Methode_Keuze)),"",IF(ISNUMBER(FIND("arbeid",Methode_Keuze)),"",IF(Tb_Activiteiten[[#This Row],[Landbouwer]]=1,Tb_Activiteiten[[#Headers],[Landbouwer]],"")))</f>
        <v/>
      </c>
      <c r="AO554" t="str">
        <f>IF(ISNUMBER(FIND("arbeid",Methode_Keuze)),"",IF(ISNUMBER(FIND("arbeid",Methode_Keuze)),"",IF(Tb_Activiteiten[[#This Row],[Adviseur]]=1,Tb_Activiteiten[[#Headers],[Adviseur]],"")))</f>
        <v/>
      </c>
      <c r="AP554" t="str">
        <f>IF(ISNUMBER(FIND("arbeid",Methode_Keuze)),"",IF(ISNUMBER(FIND("arbeid",Methode_Keuze)),"",IF(Tb_Activiteiten[[#This Row],[Projectleider/Expert]]=1,Tb_Activiteiten[[#Headers],[Projectleider/Expert]],"")))</f>
        <v/>
      </c>
      <c r="AQ554" t="str">
        <f>IF(ISNUMBER(FIND("arbeid",Methode_Keuze)),"",IF(ISNUMBER(FIND("arbeid",Methode_Keuze)),"",IF(Tb_Activiteiten[[#This Row],[Arbeidskosten]]=1,Tb_Activiteiten[[#Headers],[Arbeidskosten]],"")))</f>
        <v/>
      </c>
      <c r="AR554" t="str">
        <f>IF(ISNUMBER(FIND("arbeid",Methode_Keuze)),"",IF(ISNUMBER(FIND("arbeid",Methode_Keuze)),"",IF(Tb_Activiteiten[[#This Row],[Arbeidskosten op basis van IKS]]=1,Tb_Activiteiten[[#Headers],[Arbeidskosten op basis van IKS]],"")))</f>
        <v/>
      </c>
      <c r="AS554" t="str">
        <f>IF(ISNUMBER(FIND("overige",Methode_Keuze)),"",IF(Tb_Activiteiten[[#This Row],[Kosten derden exclusief btw]]=1,Tb_Activiteiten[[#Headers],[Kosten derden exclusief btw]],""))</f>
        <v/>
      </c>
      <c r="AT554" t="str">
        <f>IF(ISNUMBER(FIND("overige",Methode_Keuze)),"",IF(Tb_Activiteiten[[#This Row],[Niet verrekenbare btw]]=1,Tb_Activiteiten[[#Headers],[Niet verrekenbare btw]],""))</f>
        <v/>
      </c>
      <c r="AU554" t="str">
        <f>IF(ISNUMBER(FIND("overige",Methode_Keuze)),"",IF(Tb_Activiteiten[[#This Row],[Grondkosten]]=1,Tb_Activiteiten[[#Headers],[Grondkosten]],""))</f>
        <v/>
      </c>
      <c r="AV554" t="str">
        <f>IF(ISNUMBER(FIND("overige",Methode_Keuze)),"",IF(Tb_Activiteiten[[#This Row],[Bijdrage in natura (overige)]]=1,Tb_Activiteiten[[#Headers],[Bijdrage in natura (overige)]],""))</f>
        <v/>
      </c>
      <c r="AW554" t="str">
        <f>IF(ISNUMBER(FIND("overige",Methode_Keuze)),"",IF(Tb_Activiteiten[[#This Row],[Bijdrage in natura (vrijwilligers)]]=1,Tb_Activiteiten[[#Headers],[Bijdrage in natura (vrijwilligers)]],""))</f>
        <v/>
      </c>
      <c r="AX554" t="str">
        <f>IF(ISNUMBER(FIND("overige",Methode_Keuze)),"",IF(Tb_Activiteiten[[#This Row],[Afschrijvingskosten]]=1,Tb_Activiteiten[[#Headers],[Afschrijvingskosten]],""))</f>
        <v/>
      </c>
      <c r="AY554" t="str">
        <f>IF(ISNUMBER(FIND("overige",Methode_Keuze)),"",IF(Tb_Activiteiten[[#This Row],[Vergoeding]]=1,Tb_Activiteiten[[#Headers],[Vergoeding]],""))</f>
        <v/>
      </c>
      <c r="AZ554" t="str">
        <f>IF(ISNUMBER(FIND("arbeid",Methode_Keuze)),"",IF(Tb_Activiteiten[[#This Row],[Arbeidskosten - vast tarief (excl eigen arbeid)]]=1,Tb_Activiteiten[[#Headers],[Arbeidskosten - vast tarief (excl eigen arbeid)]],""))</f>
        <v/>
      </c>
      <c r="BA554" t="str">
        <f>IF(ISNUMBER(FIND("overige",Methode_Keuze)),"",IF(Tb_Activiteiten[[#This Row],[Overige kosten]]=1,Tb_Activiteiten[[#Headers],[Overige kosten]],""))</f>
        <v/>
      </c>
    </row>
    <row r="555" spans="1:53" x14ac:dyDescent="0.25">
      <c r="A555" s="231"/>
      <c r="F555" s="64"/>
      <c r="G555" s="64"/>
      <c r="H555" s="275"/>
      <c r="I555" s="275"/>
      <c r="J555" s="275"/>
      <c r="K555" s="275"/>
      <c r="O555" s="56"/>
      <c r="Q555" t="str">
        <f>IFERROR(IF(VLOOKUP(Tb_Activiteiten[[#This Row],[Openstelling]],Tb_Openstelling[],2,0)=1,1,""),"")</f>
        <v/>
      </c>
      <c r="AK555" t="str">
        <f>IF(ISNUMBER(FIND("arbeid",Methode_Keuze)),"",IF(ISNUMBER(FIND("arbeid",Methode_Keuze)),"",IF(Tb_Activiteiten[[#This Row],[Loonkosten]]=1,Tb_Activiteiten[[#Headers],[Loonkosten]],"")))</f>
        <v/>
      </c>
      <c r="AL555" t="str">
        <f>IF(ISNUMBER(FIND("arbeid",Methode_Keuze)),"",IF(ISNUMBER(FIND("arbeid",Methode_Keuze)),"",IF(Tb_Activiteiten[[#This Row],[Eigen arbeid]]=1,Tb_Activiteiten[[#Headers],[Eigen arbeid]],"")))</f>
        <v/>
      </c>
      <c r="AM555" t="str">
        <f>IF(ISNUMBER(FIND("arbeid",Methode_Keuze)),"",IF(ISNUMBER(FIND("arbeid",Methode_Keuze)),"",IF(Tb_Activiteiten[[#This Row],[Projectmedewerker]]=1,Tb_Activiteiten[[#Headers],[Projectmedewerker]],"")))</f>
        <v/>
      </c>
      <c r="AN555" t="str">
        <f>IF(ISNUMBER(FIND("arbeid",Methode_Keuze)),"",IF(ISNUMBER(FIND("arbeid",Methode_Keuze)),"",IF(Tb_Activiteiten[[#This Row],[Landbouwer]]=1,Tb_Activiteiten[[#Headers],[Landbouwer]],"")))</f>
        <v/>
      </c>
      <c r="AO555" t="str">
        <f>IF(ISNUMBER(FIND("arbeid",Methode_Keuze)),"",IF(ISNUMBER(FIND("arbeid",Methode_Keuze)),"",IF(Tb_Activiteiten[[#This Row],[Adviseur]]=1,Tb_Activiteiten[[#Headers],[Adviseur]],"")))</f>
        <v/>
      </c>
      <c r="AP555" t="str">
        <f>IF(ISNUMBER(FIND("arbeid",Methode_Keuze)),"",IF(ISNUMBER(FIND("arbeid",Methode_Keuze)),"",IF(Tb_Activiteiten[[#This Row],[Projectleider/Expert]]=1,Tb_Activiteiten[[#Headers],[Projectleider/Expert]],"")))</f>
        <v/>
      </c>
      <c r="AQ555" t="str">
        <f>IF(ISNUMBER(FIND("arbeid",Methode_Keuze)),"",IF(ISNUMBER(FIND("arbeid",Methode_Keuze)),"",IF(Tb_Activiteiten[[#This Row],[Arbeidskosten]]=1,Tb_Activiteiten[[#Headers],[Arbeidskosten]],"")))</f>
        <v/>
      </c>
      <c r="AR555" t="str">
        <f>IF(ISNUMBER(FIND("arbeid",Methode_Keuze)),"",IF(ISNUMBER(FIND("arbeid",Methode_Keuze)),"",IF(Tb_Activiteiten[[#This Row],[Arbeidskosten op basis van IKS]]=1,Tb_Activiteiten[[#Headers],[Arbeidskosten op basis van IKS]],"")))</f>
        <v/>
      </c>
      <c r="AS555" t="str">
        <f>IF(ISNUMBER(FIND("overige",Methode_Keuze)),"",IF(Tb_Activiteiten[[#This Row],[Kosten derden exclusief btw]]=1,Tb_Activiteiten[[#Headers],[Kosten derden exclusief btw]],""))</f>
        <v/>
      </c>
      <c r="AT555" t="str">
        <f>IF(ISNUMBER(FIND("overige",Methode_Keuze)),"",IF(Tb_Activiteiten[[#This Row],[Niet verrekenbare btw]]=1,Tb_Activiteiten[[#Headers],[Niet verrekenbare btw]],""))</f>
        <v/>
      </c>
      <c r="AU555" t="str">
        <f>IF(ISNUMBER(FIND("overige",Methode_Keuze)),"",IF(Tb_Activiteiten[[#This Row],[Grondkosten]]=1,Tb_Activiteiten[[#Headers],[Grondkosten]],""))</f>
        <v/>
      </c>
      <c r="AV555" t="str">
        <f>IF(ISNUMBER(FIND("overige",Methode_Keuze)),"",IF(Tb_Activiteiten[[#This Row],[Bijdrage in natura (overige)]]=1,Tb_Activiteiten[[#Headers],[Bijdrage in natura (overige)]],""))</f>
        <v/>
      </c>
      <c r="AW555" t="str">
        <f>IF(ISNUMBER(FIND("overige",Methode_Keuze)),"",IF(Tb_Activiteiten[[#This Row],[Bijdrage in natura (vrijwilligers)]]=1,Tb_Activiteiten[[#Headers],[Bijdrage in natura (vrijwilligers)]],""))</f>
        <v/>
      </c>
      <c r="AX555" t="str">
        <f>IF(ISNUMBER(FIND("overige",Methode_Keuze)),"",IF(Tb_Activiteiten[[#This Row],[Afschrijvingskosten]]=1,Tb_Activiteiten[[#Headers],[Afschrijvingskosten]],""))</f>
        <v/>
      </c>
      <c r="AY555" t="str">
        <f>IF(ISNUMBER(FIND("overige",Methode_Keuze)),"",IF(Tb_Activiteiten[[#This Row],[Vergoeding]]=1,Tb_Activiteiten[[#Headers],[Vergoeding]],""))</f>
        <v/>
      </c>
      <c r="AZ555" t="str">
        <f>IF(ISNUMBER(FIND("arbeid",Methode_Keuze)),"",IF(Tb_Activiteiten[[#This Row],[Arbeidskosten - vast tarief (excl eigen arbeid)]]=1,Tb_Activiteiten[[#Headers],[Arbeidskosten - vast tarief (excl eigen arbeid)]],""))</f>
        <v/>
      </c>
      <c r="BA555" t="str">
        <f>IF(ISNUMBER(FIND("overige",Methode_Keuze)),"",IF(Tb_Activiteiten[[#This Row],[Overige kosten]]=1,Tb_Activiteiten[[#Headers],[Overige kosten]],""))</f>
        <v/>
      </c>
    </row>
    <row r="556" spans="1:53" x14ac:dyDescent="0.25">
      <c r="A556" s="231"/>
      <c r="F556" s="64"/>
      <c r="G556" s="64"/>
      <c r="H556" s="275"/>
      <c r="I556" s="275"/>
      <c r="J556" s="275"/>
      <c r="K556" s="275"/>
      <c r="O556" s="56"/>
      <c r="Q556" t="str">
        <f>IFERROR(IF(VLOOKUP(Tb_Activiteiten[[#This Row],[Openstelling]],Tb_Openstelling[],2,0)=1,1,""),"")</f>
        <v/>
      </c>
      <c r="AK556" t="str">
        <f>IF(ISNUMBER(FIND("arbeid",Methode_Keuze)),"",IF(ISNUMBER(FIND("arbeid",Methode_Keuze)),"",IF(Tb_Activiteiten[[#This Row],[Loonkosten]]=1,Tb_Activiteiten[[#Headers],[Loonkosten]],"")))</f>
        <v/>
      </c>
      <c r="AL556" t="str">
        <f>IF(ISNUMBER(FIND("arbeid",Methode_Keuze)),"",IF(ISNUMBER(FIND("arbeid",Methode_Keuze)),"",IF(Tb_Activiteiten[[#This Row],[Eigen arbeid]]=1,Tb_Activiteiten[[#Headers],[Eigen arbeid]],"")))</f>
        <v/>
      </c>
      <c r="AM556" t="str">
        <f>IF(ISNUMBER(FIND("arbeid",Methode_Keuze)),"",IF(ISNUMBER(FIND("arbeid",Methode_Keuze)),"",IF(Tb_Activiteiten[[#This Row],[Projectmedewerker]]=1,Tb_Activiteiten[[#Headers],[Projectmedewerker]],"")))</f>
        <v/>
      </c>
      <c r="AN556" t="str">
        <f>IF(ISNUMBER(FIND("arbeid",Methode_Keuze)),"",IF(ISNUMBER(FIND("arbeid",Methode_Keuze)),"",IF(Tb_Activiteiten[[#This Row],[Landbouwer]]=1,Tb_Activiteiten[[#Headers],[Landbouwer]],"")))</f>
        <v/>
      </c>
      <c r="AO556" t="str">
        <f>IF(ISNUMBER(FIND("arbeid",Methode_Keuze)),"",IF(ISNUMBER(FIND("arbeid",Methode_Keuze)),"",IF(Tb_Activiteiten[[#This Row],[Adviseur]]=1,Tb_Activiteiten[[#Headers],[Adviseur]],"")))</f>
        <v/>
      </c>
      <c r="AP556" t="str">
        <f>IF(ISNUMBER(FIND("arbeid",Methode_Keuze)),"",IF(ISNUMBER(FIND("arbeid",Methode_Keuze)),"",IF(Tb_Activiteiten[[#This Row],[Projectleider/Expert]]=1,Tb_Activiteiten[[#Headers],[Projectleider/Expert]],"")))</f>
        <v/>
      </c>
      <c r="AQ556" t="str">
        <f>IF(ISNUMBER(FIND("arbeid",Methode_Keuze)),"",IF(ISNUMBER(FIND("arbeid",Methode_Keuze)),"",IF(Tb_Activiteiten[[#This Row],[Arbeidskosten]]=1,Tb_Activiteiten[[#Headers],[Arbeidskosten]],"")))</f>
        <v/>
      </c>
      <c r="AR556" t="str">
        <f>IF(ISNUMBER(FIND("arbeid",Methode_Keuze)),"",IF(ISNUMBER(FIND("arbeid",Methode_Keuze)),"",IF(Tb_Activiteiten[[#This Row],[Arbeidskosten op basis van IKS]]=1,Tb_Activiteiten[[#Headers],[Arbeidskosten op basis van IKS]],"")))</f>
        <v/>
      </c>
      <c r="AS556" t="str">
        <f>IF(ISNUMBER(FIND("overige",Methode_Keuze)),"",IF(Tb_Activiteiten[[#This Row],[Kosten derden exclusief btw]]=1,Tb_Activiteiten[[#Headers],[Kosten derden exclusief btw]],""))</f>
        <v/>
      </c>
      <c r="AT556" t="str">
        <f>IF(ISNUMBER(FIND("overige",Methode_Keuze)),"",IF(Tb_Activiteiten[[#This Row],[Niet verrekenbare btw]]=1,Tb_Activiteiten[[#Headers],[Niet verrekenbare btw]],""))</f>
        <v/>
      </c>
      <c r="AU556" t="str">
        <f>IF(ISNUMBER(FIND("overige",Methode_Keuze)),"",IF(Tb_Activiteiten[[#This Row],[Grondkosten]]=1,Tb_Activiteiten[[#Headers],[Grondkosten]],""))</f>
        <v/>
      </c>
      <c r="AV556" t="str">
        <f>IF(ISNUMBER(FIND("overige",Methode_Keuze)),"",IF(Tb_Activiteiten[[#This Row],[Bijdrage in natura (overige)]]=1,Tb_Activiteiten[[#Headers],[Bijdrage in natura (overige)]],""))</f>
        <v/>
      </c>
      <c r="AW556" t="str">
        <f>IF(ISNUMBER(FIND("overige",Methode_Keuze)),"",IF(Tb_Activiteiten[[#This Row],[Bijdrage in natura (vrijwilligers)]]=1,Tb_Activiteiten[[#Headers],[Bijdrage in natura (vrijwilligers)]],""))</f>
        <v/>
      </c>
      <c r="AX556" t="str">
        <f>IF(ISNUMBER(FIND("overige",Methode_Keuze)),"",IF(Tb_Activiteiten[[#This Row],[Afschrijvingskosten]]=1,Tb_Activiteiten[[#Headers],[Afschrijvingskosten]],""))</f>
        <v/>
      </c>
      <c r="AY556" t="str">
        <f>IF(ISNUMBER(FIND("overige",Methode_Keuze)),"",IF(Tb_Activiteiten[[#This Row],[Vergoeding]]=1,Tb_Activiteiten[[#Headers],[Vergoeding]],""))</f>
        <v/>
      </c>
      <c r="AZ556" t="str">
        <f>IF(ISNUMBER(FIND("arbeid",Methode_Keuze)),"",IF(Tb_Activiteiten[[#This Row],[Arbeidskosten - vast tarief (excl eigen arbeid)]]=1,Tb_Activiteiten[[#Headers],[Arbeidskosten - vast tarief (excl eigen arbeid)]],""))</f>
        <v/>
      </c>
      <c r="BA556" t="str">
        <f>IF(ISNUMBER(FIND("overige",Methode_Keuze)),"",IF(Tb_Activiteiten[[#This Row],[Overige kosten]]=1,Tb_Activiteiten[[#Headers],[Overige kosten]],""))</f>
        <v/>
      </c>
    </row>
    <row r="557" spans="1:53" x14ac:dyDescent="0.25">
      <c r="A557" s="231"/>
      <c r="F557" s="64"/>
      <c r="G557" s="64"/>
      <c r="H557" s="275"/>
      <c r="I557" s="275"/>
      <c r="J557" s="275"/>
      <c r="K557" s="275"/>
      <c r="O557" s="56"/>
      <c r="Q557" t="str">
        <f>IFERROR(IF(VLOOKUP(Tb_Activiteiten[[#This Row],[Openstelling]],Tb_Openstelling[],2,0)=1,1,""),"")</f>
        <v/>
      </c>
      <c r="AK557" t="str">
        <f>IF(ISNUMBER(FIND("arbeid",Methode_Keuze)),"",IF(ISNUMBER(FIND("arbeid",Methode_Keuze)),"",IF(Tb_Activiteiten[[#This Row],[Loonkosten]]=1,Tb_Activiteiten[[#Headers],[Loonkosten]],"")))</f>
        <v/>
      </c>
      <c r="AL557" t="str">
        <f>IF(ISNUMBER(FIND("arbeid",Methode_Keuze)),"",IF(ISNUMBER(FIND("arbeid",Methode_Keuze)),"",IF(Tb_Activiteiten[[#This Row],[Eigen arbeid]]=1,Tb_Activiteiten[[#Headers],[Eigen arbeid]],"")))</f>
        <v/>
      </c>
      <c r="AM557" t="str">
        <f>IF(ISNUMBER(FIND("arbeid",Methode_Keuze)),"",IF(ISNUMBER(FIND("arbeid",Methode_Keuze)),"",IF(Tb_Activiteiten[[#This Row],[Projectmedewerker]]=1,Tb_Activiteiten[[#Headers],[Projectmedewerker]],"")))</f>
        <v/>
      </c>
      <c r="AN557" t="str">
        <f>IF(ISNUMBER(FIND("arbeid",Methode_Keuze)),"",IF(ISNUMBER(FIND("arbeid",Methode_Keuze)),"",IF(Tb_Activiteiten[[#This Row],[Landbouwer]]=1,Tb_Activiteiten[[#Headers],[Landbouwer]],"")))</f>
        <v/>
      </c>
      <c r="AO557" t="str">
        <f>IF(ISNUMBER(FIND("arbeid",Methode_Keuze)),"",IF(ISNUMBER(FIND("arbeid",Methode_Keuze)),"",IF(Tb_Activiteiten[[#This Row],[Adviseur]]=1,Tb_Activiteiten[[#Headers],[Adviseur]],"")))</f>
        <v/>
      </c>
      <c r="AP557" t="str">
        <f>IF(ISNUMBER(FIND("arbeid",Methode_Keuze)),"",IF(ISNUMBER(FIND("arbeid",Methode_Keuze)),"",IF(Tb_Activiteiten[[#This Row],[Projectleider/Expert]]=1,Tb_Activiteiten[[#Headers],[Projectleider/Expert]],"")))</f>
        <v/>
      </c>
      <c r="AQ557" t="str">
        <f>IF(ISNUMBER(FIND("arbeid",Methode_Keuze)),"",IF(ISNUMBER(FIND("arbeid",Methode_Keuze)),"",IF(Tb_Activiteiten[[#This Row],[Arbeidskosten]]=1,Tb_Activiteiten[[#Headers],[Arbeidskosten]],"")))</f>
        <v/>
      </c>
      <c r="AR557" t="str">
        <f>IF(ISNUMBER(FIND("arbeid",Methode_Keuze)),"",IF(ISNUMBER(FIND("arbeid",Methode_Keuze)),"",IF(Tb_Activiteiten[[#This Row],[Arbeidskosten op basis van IKS]]=1,Tb_Activiteiten[[#Headers],[Arbeidskosten op basis van IKS]],"")))</f>
        <v/>
      </c>
      <c r="AS557" t="str">
        <f>IF(ISNUMBER(FIND("overige",Methode_Keuze)),"",IF(Tb_Activiteiten[[#This Row],[Kosten derden exclusief btw]]=1,Tb_Activiteiten[[#Headers],[Kosten derden exclusief btw]],""))</f>
        <v/>
      </c>
      <c r="AT557" t="str">
        <f>IF(ISNUMBER(FIND("overige",Methode_Keuze)),"",IF(Tb_Activiteiten[[#This Row],[Niet verrekenbare btw]]=1,Tb_Activiteiten[[#Headers],[Niet verrekenbare btw]],""))</f>
        <v/>
      </c>
      <c r="AU557" t="str">
        <f>IF(ISNUMBER(FIND("overige",Methode_Keuze)),"",IF(Tb_Activiteiten[[#This Row],[Grondkosten]]=1,Tb_Activiteiten[[#Headers],[Grondkosten]],""))</f>
        <v/>
      </c>
      <c r="AV557" t="str">
        <f>IF(ISNUMBER(FIND("overige",Methode_Keuze)),"",IF(Tb_Activiteiten[[#This Row],[Bijdrage in natura (overige)]]=1,Tb_Activiteiten[[#Headers],[Bijdrage in natura (overige)]],""))</f>
        <v/>
      </c>
      <c r="AW557" t="str">
        <f>IF(ISNUMBER(FIND("overige",Methode_Keuze)),"",IF(Tb_Activiteiten[[#This Row],[Bijdrage in natura (vrijwilligers)]]=1,Tb_Activiteiten[[#Headers],[Bijdrage in natura (vrijwilligers)]],""))</f>
        <v/>
      </c>
      <c r="AX557" t="str">
        <f>IF(ISNUMBER(FIND("overige",Methode_Keuze)),"",IF(Tb_Activiteiten[[#This Row],[Afschrijvingskosten]]=1,Tb_Activiteiten[[#Headers],[Afschrijvingskosten]],""))</f>
        <v/>
      </c>
      <c r="AY557" t="str">
        <f>IF(ISNUMBER(FIND("overige",Methode_Keuze)),"",IF(Tb_Activiteiten[[#This Row],[Vergoeding]]=1,Tb_Activiteiten[[#Headers],[Vergoeding]],""))</f>
        <v/>
      </c>
      <c r="AZ557" t="str">
        <f>IF(ISNUMBER(FIND("arbeid",Methode_Keuze)),"",IF(Tb_Activiteiten[[#This Row],[Arbeidskosten - vast tarief (excl eigen arbeid)]]=1,Tb_Activiteiten[[#Headers],[Arbeidskosten - vast tarief (excl eigen arbeid)]],""))</f>
        <v/>
      </c>
      <c r="BA557" t="str">
        <f>IF(ISNUMBER(FIND("overige",Methode_Keuze)),"",IF(Tb_Activiteiten[[#This Row],[Overige kosten]]=1,Tb_Activiteiten[[#Headers],[Overige kosten]],""))</f>
        <v/>
      </c>
    </row>
    <row r="558" spans="1:53" x14ac:dyDescent="0.25">
      <c r="A558" s="231"/>
      <c r="F558" s="64"/>
      <c r="G558" s="64"/>
      <c r="H558" s="275"/>
      <c r="I558" s="275"/>
      <c r="J558" s="275"/>
      <c r="K558" s="275"/>
      <c r="O558" s="56"/>
      <c r="Q558" t="str">
        <f>IFERROR(IF(VLOOKUP(Tb_Activiteiten[[#This Row],[Openstelling]],Tb_Openstelling[],2,0)=1,1,""),"")</f>
        <v/>
      </c>
      <c r="AK558" t="str">
        <f>IF(ISNUMBER(FIND("arbeid",Methode_Keuze)),"",IF(ISNUMBER(FIND("arbeid",Methode_Keuze)),"",IF(Tb_Activiteiten[[#This Row],[Loonkosten]]=1,Tb_Activiteiten[[#Headers],[Loonkosten]],"")))</f>
        <v/>
      </c>
      <c r="AL558" t="str">
        <f>IF(ISNUMBER(FIND("arbeid",Methode_Keuze)),"",IF(ISNUMBER(FIND("arbeid",Methode_Keuze)),"",IF(Tb_Activiteiten[[#This Row],[Eigen arbeid]]=1,Tb_Activiteiten[[#Headers],[Eigen arbeid]],"")))</f>
        <v/>
      </c>
      <c r="AM558" t="str">
        <f>IF(ISNUMBER(FIND("arbeid",Methode_Keuze)),"",IF(ISNUMBER(FIND("arbeid",Methode_Keuze)),"",IF(Tb_Activiteiten[[#This Row],[Projectmedewerker]]=1,Tb_Activiteiten[[#Headers],[Projectmedewerker]],"")))</f>
        <v/>
      </c>
      <c r="AN558" t="str">
        <f>IF(ISNUMBER(FIND("arbeid",Methode_Keuze)),"",IF(ISNUMBER(FIND("arbeid",Methode_Keuze)),"",IF(Tb_Activiteiten[[#This Row],[Landbouwer]]=1,Tb_Activiteiten[[#Headers],[Landbouwer]],"")))</f>
        <v/>
      </c>
      <c r="AO558" t="str">
        <f>IF(ISNUMBER(FIND("arbeid",Methode_Keuze)),"",IF(ISNUMBER(FIND("arbeid",Methode_Keuze)),"",IF(Tb_Activiteiten[[#This Row],[Adviseur]]=1,Tb_Activiteiten[[#Headers],[Adviseur]],"")))</f>
        <v/>
      </c>
      <c r="AP558" t="str">
        <f>IF(ISNUMBER(FIND("arbeid",Methode_Keuze)),"",IF(ISNUMBER(FIND("arbeid",Methode_Keuze)),"",IF(Tb_Activiteiten[[#This Row],[Projectleider/Expert]]=1,Tb_Activiteiten[[#Headers],[Projectleider/Expert]],"")))</f>
        <v/>
      </c>
      <c r="AQ558" t="str">
        <f>IF(ISNUMBER(FIND("arbeid",Methode_Keuze)),"",IF(ISNUMBER(FIND("arbeid",Methode_Keuze)),"",IF(Tb_Activiteiten[[#This Row],[Arbeidskosten]]=1,Tb_Activiteiten[[#Headers],[Arbeidskosten]],"")))</f>
        <v/>
      </c>
      <c r="AR558" t="str">
        <f>IF(ISNUMBER(FIND("arbeid",Methode_Keuze)),"",IF(ISNUMBER(FIND("arbeid",Methode_Keuze)),"",IF(Tb_Activiteiten[[#This Row],[Arbeidskosten op basis van IKS]]=1,Tb_Activiteiten[[#Headers],[Arbeidskosten op basis van IKS]],"")))</f>
        <v/>
      </c>
      <c r="AS558" t="str">
        <f>IF(ISNUMBER(FIND("overige",Methode_Keuze)),"",IF(Tb_Activiteiten[[#This Row],[Kosten derden exclusief btw]]=1,Tb_Activiteiten[[#Headers],[Kosten derden exclusief btw]],""))</f>
        <v/>
      </c>
      <c r="AT558" t="str">
        <f>IF(ISNUMBER(FIND("overige",Methode_Keuze)),"",IF(Tb_Activiteiten[[#This Row],[Niet verrekenbare btw]]=1,Tb_Activiteiten[[#Headers],[Niet verrekenbare btw]],""))</f>
        <v/>
      </c>
      <c r="AU558" t="str">
        <f>IF(ISNUMBER(FIND("overige",Methode_Keuze)),"",IF(Tb_Activiteiten[[#This Row],[Grondkosten]]=1,Tb_Activiteiten[[#Headers],[Grondkosten]],""))</f>
        <v/>
      </c>
      <c r="AV558" t="str">
        <f>IF(ISNUMBER(FIND("overige",Methode_Keuze)),"",IF(Tb_Activiteiten[[#This Row],[Bijdrage in natura (overige)]]=1,Tb_Activiteiten[[#Headers],[Bijdrage in natura (overige)]],""))</f>
        <v/>
      </c>
      <c r="AW558" t="str">
        <f>IF(ISNUMBER(FIND("overige",Methode_Keuze)),"",IF(Tb_Activiteiten[[#This Row],[Bijdrage in natura (vrijwilligers)]]=1,Tb_Activiteiten[[#Headers],[Bijdrage in natura (vrijwilligers)]],""))</f>
        <v/>
      </c>
      <c r="AX558" t="str">
        <f>IF(ISNUMBER(FIND("overige",Methode_Keuze)),"",IF(Tb_Activiteiten[[#This Row],[Afschrijvingskosten]]=1,Tb_Activiteiten[[#Headers],[Afschrijvingskosten]],""))</f>
        <v/>
      </c>
      <c r="AY558" t="str">
        <f>IF(ISNUMBER(FIND("overige",Methode_Keuze)),"",IF(Tb_Activiteiten[[#This Row],[Vergoeding]]=1,Tb_Activiteiten[[#Headers],[Vergoeding]],""))</f>
        <v/>
      </c>
      <c r="AZ558" t="str">
        <f>IF(ISNUMBER(FIND("arbeid",Methode_Keuze)),"",IF(Tb_Activiteiten[[#This Row],[Arbeidskosten - vast tarief (excl eigen arbeid)]]=1,Tb_Activiteiten[[#Headers],[Arbeidskosten - vast tarief (excl eigen arbeid)]],""))</f>
        <v/>
      </c>
      <c r="BA558" t="str">
        <f>IF(ISNUMBER(FIND("overige",Methode_Keuze)),"",IF(Tb_Activiteiten[[#This Row],[Overige kosten]]=1,Tb_Activiteiten[[#Headers],[Overige kosten]],""))</f>
        <v/>
      </c>
    </row>
    <row r="559" spans="1:53" x14ac:dyDescent="0.25">
      <c r="A559" s="231"/>
      <c r="F559" s="64"/>
      <c r="G559" s="64"/>
      <c r="H559" s="275"/>
      <c r="I559" s="275"/>
      <c r="J559" s="275"/>
      <c r="K559" s="275"/>
      <c r="O559" s="56"/>
      <c r="Q559" t="str">
        <f>IFERROR(IF(VLOOKUP(Tb_Activiteiten[[#This Row],[Openstelling]],Tb_Openstelling[],2,0)=1,1,""),"")</f>
        <v/>
      </c>
      <c r="AK559" t="str">
        <f>IF(ISNUMBER(FIND("arbeid",Methode_Keuze)),"",IF(ISNUMBER(FIND("arbeid",Methode_Keuze)),"",IF(Tb_Activiteiten[[#This Row],[Loonkosten]]=1,Tb_Activiteiten[[#Headers],[Loonkosten]],"")))</f>
        <v/>
      </c>
      <c r="AL559" t="str">
        <f>IF(ISNUMBER(FIND("arbeid",Methode_Keuze)),"",IF(ISNUMBER(FIND("arbeid",Methode_Keuze)),"",IF(Tb_Activiteiten[[#This Row],[Eigen arbeid]]=1,Tb_Activiteiten[[#Headers],[Eigen arbeid]],"")))</f>
        <v/>
      </c>
      <c r="AM559" t="str">
        <f>IF(ISNUMBER(FIND("arbeid",Methode_Keuze)),"",IF(ISNUMBER(FIND("arbeid",Methode_Keuze)),"",IF(Tb_Activiteiten[[#This Row],[Projectmedewerker]]=1,Tb_Activiteiten[[#Headers],[Projectmedewerker]],"")))</f>
        <v/>
      </c>
      <c r="AN559" t="str">
        <f>IF(ISNUMBER(FIND("arbeid",Methode_Keuze)),"",IF(ISNUMBER(FIND("arbeid",Methode_Keuze)),"",IF(Tb_Activiteiten[[#This Row],[Landbouwer]]=1,Tb_Activiteiten[[#Headers],[Landbouwer]],"")))</f>
        <v/>
      </c>
      <c r="AO559" t="str">
        <f>IF(ISNUMBER(FIND("arbeid",Methode_Keuze)),"",IF(ISNUMBER(FIND("arbeid",Methode_Keuze)),"",IF(Tb_Activiteiten[[#This Row],[Adviseur]]=1,Tb_Activiteiten[[#Headers],[Adviseur]],"")))</f>
        <v/>
      </c>
      <c r="AP559" t="str">
        <f>IF(ISNUMBER(FIND("arbeid",Methode_Keuze)),"",IF(ISNUMBER(FIND("arbeid",Methode_Keuze)),"",IF(Tb_Activiteiten[[#This Row],[Projectleider/Expert]]=1,Tb_Activiteiten[[#Headers],[Projectleider/Expert]],"")))</f>
        <v/>
      </c>
      <c r="AQ559" t="str">
        <f>IF(ISNUMBER(FIND("arbeid",Methode_Keuze)),"",IF(ISNUMBER(FIND("arbeid",Methode_Keuze)),"",IF(Tb_Activiteiten[[#This Row],[Arbeidskosten]]=1,Tb_Activiteiten[[#Headers],[Arbeidskosten]],"")))</f>
        <v/>
      </c>
      <c r="AR559" t="str">
        <f>IF(ISNUMBER(FIND("arbeid",Methode_Keuze)),"",IF(ISNUMBER(FIND("arbeid",Methode_Keuze)),"",IF(Tb_Activiteiten[[#This Row],[Arbeidskosten op basis van IKS]]=1,Tb_Activiteiten[[#Headers],[Arbeidskosten op basis van IKS]],"")))</f>
        <v/>
      </c>
      <c r="AS559" t="str">
        <f>IF(ISNUMBER(FIND("overige",Methode_Keuze)),"",IF(Tb_Activiteiten[[#This Row],[Kosten derden exclusief btw]]=1,Tb_Activiteiten[[#Headers],[Kosten derden exclusief btw]],""))</f>
        <v/>
      </c>
      <c r="AT559" t="str">
        <f>IF(ISNUMBER(FIND("overige",Methode_Keuze)),"",IF(Tb_Activiteiten[[#This Row],[Niet verrekenbare btw]]=1,Tb_Activiteiten[[#Headers],[Niet verrekenbare btw]],""))</f>
        <v/>
      </c>
      <c r="AU559" t="str">
        <f>IF(ISNUMBER(FIND("overige",Methode_Keuze)),"",IF(Tb_Activiteiten[[#This Row],[Grondkosten]]=1,Tb_Activiteiten[[#Headers],[Grondkosten]],""))</f>
        <v/>
      </c>
      <c r="AV559" t="str">
        <f>IF(ISNUMBER(FIND("overige",Methode_Keuze)),"",IF(Tb_Activiteiten[[#This Row],[Bijdrage in natura (overige)]]=1,Tb_Activiteiten[[#Headers],[Bijdrage in natura (overige)]],""))</f>
        <v/>
      </c>
      <c r="AW559" t="str">
        <f>IF(ISNUMBER(FIND("overige",Methode_Keuze)),"",IF(Tb_Activiteiten[[#This Row],[Bijdrage in natura (vrijwilligers)]]=1,Tb_Activiteiten[[#Headers],[Bijdrage in natura (vrijwilligers)]],""))</f>
        <v/>
      </c>
      <c r="AX559" t="str">
        <f>IF(ISNUMBER(FIND("overige",Methode_Keuze)),"",IF(Tb_Activiteiten[[#This Row],[Afschrijvingskosten]]=1,Tb_Activiteiten[[#Headers],[Afschrijvingskosten]],""))</f>
        <v/>
      </c>
      <c r="AY559" t="str">
        <f>IF(ISNUMBER(FIND("overige",Methode_Keuze)),"",IF(Tb_Activiteiten[[#This Row],[Vergoeding]]=1,Tb_Activiteiten[[#Headers],[Vergoeding]],""))</f>
        <v/>
      </c>
      <c r="AZ559" t="str">
        <f>IF(ISNUMBER(FIND("arbeid",Methode_Keuze)),"",IF(Tb_Activiteiten[[#This Row],[Arbeidskosten - vast tarief (excl eigen arbeid)]]=1,Tb_Activiteiten[[#Headers],[Arbeidskosten - vast tarief (excl eigen arbeid)]],""))</f>
        <v/>
      </c>
      <c r="BA559" t="str">
        <f>IF(ISNUMBER(FIND("overige",Methode_Keuze)),"",IF(Tb_Activiteiten[[#This Row],[Overige kosten]]=1,Tb_Activiteiten[[#Headers],[Overige kosten]],""))</f>
        <v/>
      </c>
    </row>
    <row r="560" spans="1:53" x14ac:dyDescent="0.25">
      <c r="A560" s="231"/>
      <c r="F560" s="64"/>
      <c r="G560" s="64"/>
      <c r="H560" s="275"/>
      <c r="I560" s="275"/>
      <c r="J560" s="275"/>
      <c r="K560" s="275"/>
      <c r="O560" s="56"/>
      <c r="Q560" t="str">
        <f>IFERROR(IF(VLOOKUP(Tb_Activiteiten[[#This Row],[Openstelling]],Tb_Openstelling[],2,0)=1,1,""),"")</f>
        <v/>
      </c>
      <c r="AK560" t="str">
        <f>IF(ISNUMBER(FIND("arbeid",Methode_Keuze)),"",IF(ISNUMBER(FIND("arbeid",Methode_Keuze)),"",IF(Tb_Activiteiten[[#This Row],[Loonkosten]]=1,Tb_Activiteiten[[#Headers],[Loonkosten]],"")))</f>
        <v/>
      </c>
      <c r="AL560" t="str">
        <f>IF(ISNUMBER(FIND("arbeid",Methode_Keuze)),"",IF(ISNUMBER(FIND("arbeid",Methode_Keuze)),"",IF(Tb_Activiteiten[[#This Row],[Eigen arbeid]]=1,Tb_Activiteiten[[#Headers],[Eigen arbeid]],"")))</f>
        <v/>
      </c>
      <c r="AM560" t="str">
        <f>IF(ISNUMBER(FIND("arbeid",Methode_Keuze)),"",IF(ISNUMBER(FIND("arbeid",Methode_Keuze)),"",IF(Tb_Activiteiten[[#This Row],[Projectmedewerker]]=1,Tb_Activiteiten[[#Headers],[Projectmedewerker]],"")))</f>
        <v/>
      </c>
      <c r="AN560" t="str">
        <f>IF(ISNUMBER(FIND("arbeid",Methode_Keuze)),"",IF(ISNUMBER(FIND("arbeid",Methode_Keuze)),"",IF(Tb_Activiteiten[[#This Row],[Landbouwer]]=1,Tb_Activiteiten[[#Headers],[Landbouwer]],"")))</f>
        <v/>
      </c>
      <c r="AO560" t="str">
        <f>IF(ISNUMBER(FIND("arbeid",Methode_Keuze)),"",IF(ISNUMBER(FIND("arbeid",Methode_Keuze)),"",IF(Tb_Activiteiten[[#This Row],[Adviseur]]=1,Tb_Activiteiten[[#Headers],[Adviseur]],"")))</f>
        <v/>
      </c>
      <c r="AP560" t="str">
        <f>IF(ISNUMBER(FIND("arbeid",Methode_Keuze)),"",IF(ISNUMBER(FIND("arbeid",Methode_Keuze)),"",IF(Tb_Activiteiten[[#This Row],[Projectleider/Expert]]=1,Tb_Activiteiten[[#Headers],[Projectleider/Expert]],"")))</f>
        <v/>
      </c>
      <c r="AQ560" t="str">
        <f>IF(ISNUMBER(FIND("arbeid",Methode_Keuze)),"",IF(ISNUMBER(FIND("arbeid",Methode_Keuze)),"",IF(Tb_Activiteiten[[#This Row],[Arbeidskosten]]=1,Tb_Activiteiten[[#Headers],[Arbeidskosten]],"")))</f>
        <v/>
      </c>
      <c r="AR560" t="str">
        <f>IF(ISNUMBER(FIND("arbeid",Methode_Keuze)),"",IF(ISNUMBER(FIND("arbeid",Methode_Keuze)),"",IF(Tb_Activiteiten[[#This Row],[Arbeidskosten op basis van IKS]]=1,Tb_Activiteiten[[#Headers],[Arbeidskosten op basis van IKS]],"")))</f>
        <v/>
      </c>
      <c r="AS560" t="str">
        <f>IF(ISNUMBER(FIND("overige",Methode_Keuze)),"",IF(Tb_Activiteiten[[#This Row],[Kosten derden exclusief btw]]=1,Tb_Activiteiten[[#Headers],[Kosten derden exclusief btw]],""))</f>
        <v/>
      </c>
      <c r="AT560" t="str">
        <f>IF(ISNUMBER(FIND("overige",Methode_Keuze)),"",IF(Tb_Activiteiten[[#This Row],[Niet verrekenbare btw]]=1,Tb_Activiteiten[[#Headers],[Niet verrekenbare btw]],""))</f>
        <v/>
      </c>
      <c r="AU560" t="str">
        <f>IF(ISNUMBER(FIND("overige",Methode_Keuze)),"",IF(Tb_Activiteiten[[#This Row],[Grondkosten]]=1,Tb_Activiteiten[[#Headers],[Grondkosten]],""))</f>
        <v/>
      </c>
      <c r="AV560" t="str">
        <f>IF(ISNUMBER(FIND("overige",Methode_Keuze)),"",IF(Tb_Activiteiten[[#This Row],[Bijdrage in natura (overige)]]=1,Tb_Activiteiten[[#Headers],[Bijdrage in natura (overige)]],""))</f>
        <v/>
      </c>
      <c r="AW560" t="str">
        <f>IF(ISNUMBER(FIND("overige",Methode_Keuze)),"",IF(Tb_Activiteiten[[#This Row],[Bijdrage in natura (vrijwilligers)]]=1,Tb_Activiteiten[[#Headers],[Bijdrage in natura (vrijwilligers)]],""))</f>
        <v/>
      </c>
      <c r="AX560" t="str">
        <f>IF(ISNUMBER(FIND("overige",Methode_Keuze)),"",IF(Tb_Activiteiten[[#This Row],[Afschrijvingskosten]]=1,Tb_Activiteiten[[#Headers],[Afschrijvingskosten]],""))</f>
        <v/>
      </c>
      <c r="AY560" t="str">
        <f>IF(ISNUMBER(FIND("overige",Methode_Keuze)),"",IF(Tb_Activiteiten[[#This Row],[Vergoeding]]=1,Tb_Activiteiten[[#Headers],[Vergoeding]],""))</f>
        <v/>
      </c>
      <c r="AZ560" t="str">
        <f>IF(ISNUMBER(FIND("arbeid",Methode_Keuze)),"",IF(Tb_Activiteiten[[#This Row],[Arbeidskosten - vast tarief (excl eigen arbeid)]]=1,Tb_Activiteiten[[#Headers],[Arbeidskosten - vast tarief (excl eigen arbeid)]],""))</f>
        <v/>
      </c>
      <c r="BA560" t="str">
        <f>IF(ISNUMBER(FIND("overige",Methode_Keuze)),"",IF(Tb_Activiteiten[[#This Row],[Overige kosten]]=1,Tb_Activiteiten[[#Headers],[Overige kosten]],""))</f>
        <v/>
      </c>
    </row>
    <row r="561" spans="1:53" x14ac:dyDescent="0.25">
      <c r="A561" s="231"/>
      <c r="F561" s="64"/>
      <c r="G561" s="64"/>
      <c r="H561" s="275"/>
      <c r="I561" s="275"/>
      <c r="J561" s="275"/>
      <c r="K561" s="275"/>
      <c r="O561" s="56"/>
      <c r="Q561" t="str">
        <f>IFERROR(IF(VLOOKUP(Tb_Activiteiten[[#This Row],[Openstelling]],Tb_Openstelling[],2,0)=1,1,""),"")</f>
        <v/>
      </c>
      <c r="AK561" t="str">
        <f>IF(ISNUMBER(FIND("arbeid",Methode_Keuze)),"",IF(ISNUMBER(FIND("arbeid",Methode_Keuze)),"",IF(Tb_Activiteiten[[#This Row],[Loonkosten]]=1,Tb_Activiteiten[[#Headers],[Loonkosten]],"")))</f>
        <v/>
      </c>
      <c r="AL561" t="str">
        <f>IF(ISNUMBER(FIND("arbeid",Methode_Keuze)),"",IF(ISNUMBER(FIND("arbeid",Methode_Keuze)),"",IF(Tb_Activiteiten[[#This Row],[Eigen arbeid]]=1,Tb_Activiteiten[[#Headers],[Eigen arbeid]],"")))</f>
        <v/>
      </c>
      <c r="AM561" t="str">
        <f>IF(ISNUMBER(FIND("arbeid",Methode_Keuze)),"",IF(ISNUMBER(FIND("arbeid",Methode_Keuze)),"",IF(Tb_Activiteiten[[#This Row],[Projectmedewerker]]=1,Tb_Activiteiten[[#Headers],[Projectmedewerker]],"")))</f>
        <v/>
      </c>
      <c r="AN561" t="str">
        <f>IF(ISNUMBER(FIND("arbeid",Methode_Keuze)),"",IF(ISNUMBER(FIND("arbeid",Methode_Keuze)),"",IF(Tb_Activiteiten[[#This Row],[Landbouwer]]=1,Tb_Activiteiten[[#Headers],[Landbouwer]],"")))</f>
        <v/>
      </c>
      <c r="AO561" t="str">
        <f>IF(ISNUMBER(FIND("arbeid",Methode_Keuze)),"",IF(ISNUMBER(FIND("arbeid",Methode_Keuze)),"",IF(Tb_Activiteiten[[#This Row],[Adviseur]]=1,Tb_Activiteiten[[#Headers],[Adviseur]],"")))</f>
        <v/>
      </c>
      <c r="AP561" t="str">
        <f>IF(ISNUMBER(FIND("arbeid",Methode_Keuze)),"",IF(ISNUMBER(FIND("arbeid",Methode_Keuze)),"",IF(Tb_Activiteiten[[#This Row],[Projectleider/Expert]]=1,Tb_Activiteiten[[#Headers],[Projectleider/Expert]],"")))</f>
        <v/>
      </c>
      <c r="AQ561" t="str">
        <f>IF(ISNUMBER(FIND("arbeid",Methode_Keuze)),"",IF(ISNUMBER(FIND("arbeid",Methode_Keuze)),"",IF(Tb_Activiteiten[[#This Row],[Arbeidskosten]]=1,Tb_Activiteiten[[#Headers],[Arbeidskosten]],"")))</f>
        <v/>
      </c>
      <c r="AR561" t="str">
        <f>IF(ISNUMBER(FIND("arbeid",Methode_Keuze)),"",IF(ISNUMBER(FIND("arbeid",Methode_Keuze)),"",IF(Tb_Activiteiten[[#This Row],[Arbeidskosten op basis van IKS]]=1,Tb_Activiteiten[[#Headers],[Arbeidskosten op basis van IKS]],"")))</f>
        <v/>
      </c>
      <c r="AS561" t="str">
        <f>IF(ISNUMBER(FIND("overige",Methode_Keuze)),"",IF(Tb_Activiteiten[[#This Row],[Kosten derden exclusief btw]]=1,Tb_Activiteiten[[#Headers],[Kosten derden exclusief btw]],""))</f>
        <v/>
      </c>
      <c r="AT561" t="str">
        <f>IF(ISNUMBER(FIND("overige",Methode_Keuze)),"",IF(Tb_Activiteiten[[#This Row],[Niet verrekenbare btw]]=1,Tb_Activiteiten[[#Headers],[Niet verrekenbare btw]],""))</f>
        <v/>
      </c>
      <c r="AU561" t="str">
        <f>IF(ISNUMBER(FIND("overige",Methode_Keuze)),"",IF(Tb_Activiteiten[[#This Row],[Grondkosten]]=1,Tb_Activiteiten[[#Headers],[Grondkosten]],""))</f>
        <v/>
      </c>
      <c r="AV561" t="str">
        <f>IF(ISNUMBER(FIND("overige",Methode_Keuze)),"",IF(Tb_Activiteiten[[#This Row],[Bijdrage in natura (overige)]]=1,Tb_Activiteiten[[#Headers],[Bijdrage in natura (overige)]],""))</f>
        <v/>
      </c>
      <c r="AW561" t="str">
        <f>IF(ISNUMBER(FIND("overige",Methode_Keuze)),"",IF(Tb_Activiteiten[[#This Row],[Bijdrage in natura (vrijwilligers)]]=1,Tb_Activiteiten[[#Headers],[Bijdrage in natura (vrijwilligers)]],""))</f>
        <v/>
      </c>
      <c r="AX561" t="str">
        <f>IF(ISNUMBER(FIND("overige",Methode_Keuze)),"",IF(Tb_Activiteiten[[#This Row],[Afschrijvingskosten]]=1,Tb_Activiteiten[[#Headers],[Afschrijvingskosten]],""))</f>
        <v/>
      </c>
      <c r="AY561" t="str">
        <f>IF(ISNUMBER(FIND("overige",Methode_Keuze)),"",IF(Tb_Activiteiten[[#This Row],[Vergoeding]]=1,Tb_Activiteiten[[#Headers],[Vergoeding]],""))</f>
        <v/>
      </c>
      <c r="AZ561" t="str">
        <f>IF(ISNUMBER(FIND("arbeid",Methode_Keuze)),"",IF(Tb_Activiteiten[[#This Row],[Arbeidskosten - vast tarief (excl eigen arbeid)]]=1,Tb_Activiteiten[[#Headers],[Arbeidskosten - vast tarief (excl eigen arbeid)]],""))</f>
        <v/>
      </c>
      <c r="BA561" t="str">
        <f>IF(ISNUMBER(FIND("overige",Methode_Keuze)),"",IF(Tb_Activiteiten[[#This Row],[Overige kosten]]=1,Tb_Activiteiten[[#Headers],[Overige kosten]],""))</f>
        <v/>
      </c>
    </row>
    <row r="562" spans="1:53" x14ac:dyDescent="0.25">
      <c r="A562" s="231"/>
      <c r="F562" s="64"/>
      <c r="G562" s="64"/>
      <c r="H562" s="275"/>
      <c r="I562" s="275"/>
      <c r="J562" s="275"/>
      <c r="K562" s="275"/>
      <c r="O562" s="56"/>
      <c r="Q562" t="str">
        <f>IFERROR(IF(VLOOKUP(Tb_Activiteiten[[#This Row],[Openstelling]],Tb_Openstelling[],2,0)=1,1,""),"")</f>
        <v/>
      </c>
      <c r="AK562" t="str">
        <f>IF(ISNUMBER(FIND("arbeid",Methode_Keuze)),"",IF(ISNUMBER(FIND("arbeid",Methode_Keuze)),"",IF(Tb_Activiteiten[[#This Row],[Loonkosten]]=1,Tb_Activiteiten[[#Headers],[Loonkosten]],"")))</f>
        <v/>
      </c>
      <c r="AL562" t="str">
        <f>IF(ISNUMBER(FIND("arbeid",Methode_Keuze)),"",IF(ISNUMBER(FIND("arbeid",Methode_Keuze)),"",IF(Tb_Activiteiten[[#This Row],[Eigen arbeid]]=1,Tb_Activiteiten[[#Headers],[Eigen arbeid]],"")))</f>
        <v/>
      </c>
      <c r="AM562" t="str">
        <f>IF(ISNUMBER(FIND("arbeid",Methode_Keuze)),"",IF(ISNUMBER(FIND("arbeid",Methode_Keuze)),"",IF(Tb_Activiteiten[[#This Row],[Projectmedewerker]]=1,Tb_Activiteiten[[#Headers],[Projectmedewerker]],"")))</f>
        <v/>
      </c>
      <c r="AN562" t="str">
        <f>IF(ISNUMBER(FIND("arbeid",Methode_Keuze)),"",IF(ISNUMBER(FIND("arbeid",Methode_Keuze)),"",IF(Tb_Activiteiten[[#This Row],[Landbouwer]]=1,Tb_Activiteiten[[#Headers],[Landbouwer]],"")))</f>
        <v/>
      </c>
      <c r="AO562" t="str">
        <f>IF(ISNUMBER(FIND("arbeid",Methode_Keuze)),"",IF(ISNUMBER(FIND("arbeid",Methode_Keuze)),"",IF(Tb_Activiteiten[[#This Row],[Adviseur]]=1,Tb_Activiteiten[[#Headers],[Adviseur]],"")))</f>
        <v/>
      </c>
      <c r="AP562" t="str">
        <f>IF(ISNUMBER(FIND("arbeid",Methode_Keuze)),"",IF(ISNUMBER(FIND("arbeid",Methode_Keuze)),"",IF(Tb_Activiteiten[[#This Row],[Projectleider/Expert]]=1,Tb_Activiteiten[[#Headers],[Projectleider/Expert]],"")))</f>
        <v/>
      </c>
      <c r="AQ562" t="str">
        <f>IF(ISNUMBER(FIND("arbeid",Methode_Keuze)),"",IF(ISNUMBER(FIND("arbeid",Methode_Keuze)),"",IF(Tb_Activiteiten[[#This Row],[Arbeidskosten]]=1,Tb_Activiteiten[[#Headers],[Arbeidskosten]],"")))</f>
        <v/>
      </c>
      <c r="AR562" t="str">
        <f>IF(ISNUMBER(FIND("arbeid",Methode_Keuze)),"",IF(ISNUMBER(FIND("arbeid",Methode_Keuze)),"",IF(Tb_Activiteiten[[#This Row],[Arbeidskosten op basis van IKS]]=1,Tb_Activiteiten[[#Headers],[Arbeidskosten op basis van IKS]],"")))</f>
        <v/>
      </c>
      <c r="AS562" t="str">
        <f>IF(ISNUMBER(FIND("overige",Methode_Keuze)),"",IF(Tb_Activiteiten[[#This Row],[Kosten derden exclusief btw]]=1,Tb_Activiteiten[[#Headers],[Kosten derden exclusief btw]],""))</f>
        <v/>
      </c>
      <c r="AT562" t="str">
        <f>IF(ISNUMBER(FIND("overige",Methode_Keuze)),"",IF(Tb_Activiteiten[[#This Row],[Niet verrekenbare btw]]=1,Tb_Activiteiten[[#Headers],[Niet verrekenbare btw]],""))</f>
        <v/>
      </c>
      <c r="AU562" t="str">
        <f>IF(ISNUMBER(FIND("overige",Methode_Keuze)),"",IF(Tb_Activiteiten[[#This Row],[Grondkosten]]=1,Tb_Activiteiten[[#Headers],[Grondkosten]],""))</f>
        <v/>
      </c>
      <c r="AV562" t="str">
        <f>IF(ISNUMBER(FIND("overige",Methode_Keuze)),"",IF(Tb_Activiteiten[[#This Row],[Bijdrage in natura (overige)]]=1,Tb_Activiteiten[[#Headers],[Bijdrage in natura (overige)]],""))</f>
        <v/>
      </c>
      <c r="AW562" t="str">
        <f>IF(ISNUMBER(FIND("overige",Methode_Keuze)),"",IF(Tb_Activiteiten[[#This Row],[Bijdrage in natura (vrijwilligers)]]=1,Tb_Activiteiten[[#Headers],[Bijdrage in natura (vrijwilligers)]],""))</f>
        <v/>
      </c>
      <c r="AX562" t="str">
        <f>IF(ISNUMBER(FIND("overige",Methode_Keuze)),"",IF(Tb_Activiteiten[[#This Row],[Afschrijvingskosten]]=1,Tb_Activiteiten[[#Headers],[Afschrijvingskosten]],""))</f>
        <v/>
      </c>
      <c r="AY562" t="str">
        <f>IF(ISNUMBER(FIND("overige",Methode_Keuze)),"",IF(Tb_Activiteiten[[#This Row],[Vergoeding]]=1,Tb_Activiteiten[[#Headers],[Vergoeding]],""))</f>
        <v/>
      </c>
      <c r="AZ562" t="str">
        <f>IF(ISNUMBER(FIND("arbeid",Methode_Keuze)),"",IF(Tb_Activiteiten[[#This Row],[Arbeidskosten - vast tarief (excl eigen arbeid)]]=1,Tb_Activiteiten[[#Headers],[Arbeidskosten - vast tarief (excl eigen arbeid)]],""))</f>
        <v/>
      </c>
      <c r="BA562" t="str">
        <f>IF(ISNUMBER(FIND("overige",Methode_Keuze)),"",IF(Tb_Activiteiten[[#This Row],[Overige kosten]]=1,Tb_Activiteiten[[#Headers],[Overige kosten]],""))</f>
        <v/>
      </c>
    </row>
    <row r="563" spans="1:53" x14ac:dyDescent="0.25">
      <c r="A563" s="231"/>
      <c r="F563" s="64"/>
      <c r="G563" s="64"/>
      <c r="H563" s="275"/>
      <c r="I563" s="275"/>
      <c r="J563" s="275"/>
      <c r="K563" s="275"/>
      <c r="O563" s="56"/>
      <c r="Q563" t="str">
        <f>IFERROR(IF(VLOOKUP(Tb_Activiteiten[[#This Row],[Openstelling]],Tb_Openstelling[],2,0)=1,1,""),"")</f>
        <v/>
      </c>
      <c r="AK563" t="str">
        <f>IF(ISNUMBER(FIND("arbeid",Methode_Keuze)),"",IF(ISNUMBER(FIND("arbeid",Methode_Keuze)),"",IF(Tb_Activiteiten[[#This Row],[Loonkosten]]=1,Tb_Activiteiten[[#Headers],[Loonkosten]],"")))</f>
        <v/>
      </c>
      <c r="AL563" t="str">
        <f>IF(ISNUMBER(FIND("arbeid",Methode_Keuze)),"",IF(ISNUMBER(FIND("arbeid",Methode_Keuze)),"",IF(Tb_Activiteiten[[#This Row],[Eigen arbeid]]=1,Tb_Activiteiten[[#Headers],[Eigen arbeid]],"")))</f>
        <v/>
      </c>
      <c r="AM563" t="str">
        <f>IF(ISNUMBER(FIND("arbeid",Methode_Keuze)),"",IF(ISNUMBER(FIND("arbeid",Methode_Keuze)),"",IF(Tb_Activiteiten[[#This Row],[Projectmedewerker]]=1,Tb_Activiteiten[[#Headers],[Projectmedewerker]],"")))</f>
        <v/>
      </c>
      <c r="AN563" t="str">
        <f>IF(ISNUMBER(FIND("arbeid",Methode_Keuze)),"",IF(ISNUMBER(FIND("arbeid",Methode_Keuze)),"",IF(Tb_Activiteiten[[#This Row],[Landbouwer]]=1,Tb_Activiteiten[[#Headers],[Landbouwer]],"")))</f>
        <v/>
      </c>
      <c r="AO563" t="str">
        <f>IF(ISNUMBER(FIND("arbeid",Methode_Keuze)),"",IF(ISNUMBER(FIND("arbeid",Methode_Keuze)),"",IF(Tb_Activiteiten[[#This Row],[Adviseur]]=1,Tb_Activiteiten[[#Headers],[Adviseur]],"")))</f>
        <v/>
      </c>
      <c r="AP563" t="str">
        <f>IF(ISNUMBER(FIND("arbeid",Methode_Keuze)),"",IF(ISNUMBER(FIND("arbeid",Methode_Keuze)),"",IF(Tb_Activiteiten[[#This Row],[Projectleider/Expert]]=1,Tb_Activiteiten[[#Headers],[Projectleider/Expert]],"")))</f>
        <v/>
      </c>
      <c r="AQ563" t="str">
        <f>IF(ISNUMBER(FIND("arbeid",Methode_Keuze)),"",IF(ISNUMBER(FIND("arbeid",Methode_Keuze)),"",IF(Tb_Activiteiten[[#This Row],[Arbeidskosten]]=1,Tb_Activiteiten[[#Headers],[Arbeidskosten]],"")))</f>
        <v/>
      </c>
      <c r="AR563" t="str">
        <f>IF(ISNUMBER(FIND("arbeid",Methode_Keuze)),"",IF(ISNUMBER(FIND("arbeid",Methode_Keuze)),"",IF(Tb_Activiteiten[[#This Row],[Arbeidskosten op basis van IKS]]=1,Tb_Activiteiten[[#Headers],[Arbeidskosten op basis van IKS]],"")))</f>
        <v/>
      </c>
      <c r="AS563" t="str">
        <f>IF(ISNUMBER(FIND("overige",Methode_Keuze)),"",IF(Tb_Activiteiten[[#This Row],[Kosten derden exclusief btw]]=1,Tb_Activiteiten[[#Headers],[Kosten derden exclusief btw]],""))</f>
        <v/>
      </c>
      <c r="AT563" t="str">
        <f>IF(ISNUMBER(FIND("overige",Methode_Keuze)),"",IF(Tb_Activiteiten[[#This Row],[Niet verrekenbare btw]]=1,Tb_Activiteiten[[#Headers],[Niet verrekenbare btw]],""))</f>
        <v/>
      </c>
      <c r="AU563" t="str">
        <f>IF(ISNUMBER(FIND("overige",Methode_Keuze)),"",IF(Tb_Activiteiten[[#This Row],[Grondkosten]]=1,Tb_Activiteiten[[#Headers],[Grondkosten]],""))</f>
        <v/>
      </c>
      <c r="AV563" t="str">
        <f>IF(ISNUMBER(FIND("overige",Methode_Keuze)),"",IF(Tb_Activiteiten[[#This Row],[Bijdrage in natura (overige)]]=1,Tb_Activiteiten[[#Headers],[Bijdrage in natura (overige)]],""))</f>
        <v/>
      </c>
      <c r="AW563" t="str">
        <f>IF(ISNUMBER(FIND("overige",Methode_Keuze)),"",IF(Tb_Activiteiten[[#This Row],[Bijdrage in natura (vrijwilligers)]]=1,Tb_Activiteiten[[#Headers],[Bijdrage in natura (vrijwilligers)]],""))</f>
        <v/>
      </c>
      <c r="AX563" t="str">
        <f>IF(ISNUMBER(FIND("overige",Methode_Keuze)),"",IF(Tb_Activiteiten[[#This Row],[Afschrijvingskosten]]=1,Tb_Activiteiten[[#Headers],[Afschrijvingskosten]],""))</f>
        <v/>
      </c>
      <c r="AY563" t="str">
        <f>IF(ISNUMBER(FIND("overige",Methode_Keuze)),"",IF(Tb_Activiteiten[[#This Row],[Vergoeding]]=1,Tb_Activiteiten[[#Headers],[Vergoeding]],""))</f>
        <v/>
      </c>
      <c r="AZ563" t="str">
        <f>IF(ISNUMBER(FIND("arbeid",Methode_Keuze)),"",IF(Tb_Activiteiten[[#This Row],[Arbeidskosten - vast tarief (excl eigen arbeid)]]=1,Tb_Activiteiten[[#Headers],[Arbeidskosten - vast tarief (excl eigen arbeid)]],""))</f>
        <v/>
      </c>
      <c r="BA563" t="str">
        <f>IF(ISNUMBER(FIND("overige",Methode_Keuze)),"",IF(Tb_Activiteiten[[#This Row],[Overige kosten]]=1,Tb_Activiteiten[[#Headers],[Overige kosten]],""))</f>
        <v/>
      </c>
    </row>
    <row r="564" spans="1:53" x14ac:dyDescent="0.25">
      <c r="A564" s="231"/>
      <c r="F564" s="64"/>
      <c r="G564" s="64"/>
      <c r="H564" s="275"/>
      <c r="I564" s="275"/>
      <c r="J564" s="275"/>
      <c r="K564" s="275"/>
      <c r="O564" s="56"/>
      <c r="Q564" t="str">
        <f>IFERROR(IF(VLOOKUP(Tb_Activiteiten[[#This Row],[Openstelling]],Tb_Openstelling[],2,0)=1,1,""),"")</f>
        <v/>
      </c>
      <c r="AK564" t="str">
        <f>IF(ISNUMBER(FIND("arbeid",Methode_Keuze)),"",IF(ISNUMBER(FIND("arbeid",Methode_Keuze)),"",IF(Tb_Activiteiten[[#This Row],[Loonkosten]]=1,Tb_Activiteiten[[#Headers],[Loonkosten]],"")))</f>
        <v/>
      </c>
      <c r="AL564" t="str">
        <f>IF(ISNUMBER(FIND("arbeid",Methode_Keuze)),"",IF(ISNUMBER(FIND("arbeid",Methode_Keuze)),"",IF(Tb_Activiteiten[[#This Row],[Eigen arbeid]]=1,Tb_Activiteiten[[#Headers],[Eigen arbeid]],"")))</f>
        <v/>
      </c>
      <c r="AM564" t="str">
        <f>IF(ISNUMBER(FIND("arbeid",Methode_Keuze)),"",IF(ISNUMBER(FIND("arbeid",Methode_Keuze)),"",IF(Tb_Activiteiten[[#This Row],[Projectmedewerker]]=1,Tb_Activiteiten[[#Headers],[Projectmedewerker]],"")))</f>
        <v/>
      </c>
      <c r="AN564" t="str">
        <f>IF(ISNUMBER(FIND("arbeid",Methode_Keuze)),"",IF(ISNUMBER(FIND("arbeid",Methode_Keuze)),"",IF(Tb_Activiteiten[[#This Row],[Landbouwer]]=1,Tb_Activiteiten[[#Headers],[Landbouwer]],"")))</f>
        <v/>
      </c>
      <c r="AO564" t="str">
        <f>IF(ISNUMBER(FIND("arbeid",Methode_Keuze)),"",IF(ISNUMBER(FIND("arbeid",Methode_Keuze)),"",IF(Tb_Activiteiten[[#This Row],[Adviseur]]=1,Tb_Activiteiten[[#Headers],[Adviseur]],"")))</f>
        <v/>
      </c>
      <c r="AP564" t="str">
        <f>IF(ISNUMBER(FIND("arbeid",Methode_Keuze)),"",IF(ISNUMBER(FIND("arbeid",Methode_Keuze)),"",IF(Tb_Activiteiten[[#This Row],[Projectleider/Expert]]=1,Tb_Activiteiten[[#Headers],[Projectleider/Expert]],"")))</f>
        <v/>
      </c>
      <c r="AQ564" t="str">
        <f>IF(ISNUMBER(FIND("arbeid",Methode_Keuze)),"",IF(ISNUMBER(FIND("arbeid",Methode_Keuze)),"",IF(Tb_Activiteiten[[#This Row],[Arbeidskosten]]=1,Tb_Activiteiten[[#Headers],[Arbeidskosten]],"")))</f>
        <v/>
      </c>
      <c r="AR564" t="str">
        <f>IF(ISNUMBER(FIND("arbeid",Methode_Keuze)),"",IF(ISNUMBER(FIND("arbeid",Methode_Keuze)),"",IF(Tb_Activiteiten[[#This Row],[Arbeidskosten op basis van IKS]]=1,Tb_Activiteiten[[#Headers],[Arbeidskosten op basis van IKS]],"")))</f>
        <v/>
      </c>
      <c r="AS564" t="str">
        <f>IF(ISNUMBER(FIND("overige",Methode_Keuze)),"",IF(Tb_Activiteiten[[#This Row],[Kosten derden exclusief btw]]=1,Tb_Activiteiten[[#Headers],[Kosten derden exclusief btw]],""))</f>
        <v/>
      </c>
      <c r="AT564" t="str">
        <f>IF(ISNUMBER(FIND("overige",Methode_Keuze)),"",IF(Tb_Activiteiten[[#This Row],[Niet verrekenbare btw]]=1,Tb_Activiteiten[[#Headers],[Niet verrekenbare btw]],""))</f>
        <v/>
      </c>
      <c r="AU564" t="str">
        <f>IF(ISNUMBER(FIND("overige",Methode_Keuze)),"",IF(Tb_Activiteiten[[#This Row],[Grondkosten]]=1,Tb_Activiteiten[[#Headers],[Grondkosten]],""))</f>
        <v/>
      </c>
      <c r="AV564" t="str">
        <f>IF(ISNUMBER(FIND("overige",Methode_Keuze)),"",IF(Tb_Activiteiten[[#This Row],[Bijdrage in natura (overige)]]=1,Tb_Activiteiten[[#Headers],[Bijdrage in natura (overige)]],""))</f>
        <v/>
      </c>
      <c r="AW564" t="str">
        <f>IF(ISNUMBER(FIND("overige",Methode_Keuze)),"",IF(Tb_Activiteiten[[#This Row],[Bijdrage in natura (vrijwilligers)]]=1,Tb_Activiteiten[[#Headers],[Bijdrage in natura (vrijwilligers)]],""))</f>
        <v/>
      </c>
      <c r="AX564" t="str">
        <f>IF(ISNUMBER(FIND("overige",Methode_Keuze)),"",IF(Tb_Activiteiten[[#This Row],[Afschrijvingskosten]]=1,Tb_Activiteiten[[#Headers],[Afschrijvingskosten]],""))</f>
        <v/>
      </c>
      <c r="AY564" t="str">
        <f>IF(ISNUMBER(FIND("overige",Methode_Keuze)),"",IF(Tb_Activiteiten[[#This Row],[Vergoeding]]=1,Tb_Activiteiten[[#Headers],[Vergoeding]],""))</f>
        <v/>
      </c>
      <c r="AZ564" t="str">
        <f>IF(ISNUMBER(FIND("arbeid",Methode_Keuze)),"",IF(Tb_Activiteiten[[#This Row],[Arbeidskosten - vast tarief (excl eigen arbeid)]]=1,Tb_Activiteiten[[#Headers],[Arbeidskosten - vast tarief (excl eigen arbeid)]],""))</f>
        <v/>
      </c>
      <c r="BA564" t="str">
        <f>IF(ISNUMBER(FIND("overige",Methode_Keuze)),"",IF(Tb_Activiteiten[[#This Row],[Overige kosten]]=1,Tb_Activiteiten[[#Headers],[Overige kosten]],""))</f>
        <v/>
      </c>
    </row>
    <row r="565" spans="1:53" x14ac:dyDescent="0.25">
      <c r="A565" s="231"/>
      <c r="F565" s="64"/>
      <c r="G565" s="64"/>
      <c r="H565" s="275"/>
      <c r="I565" s="275"/>
      <c r="J565" s="275"/>
      <c r="K565" s="275"/>
      <c r="O565" s="56"/>
      <c r="Q565" t="str">
        <f>IFERROR(IF(VLOOKUP(Tb_Activiteiten[[#This Row],[Openstelling]],Tb_Openstelling[],2,0)=1,1,""),"")</f>
        <v/>
      </c>
      <c r="AK565" t="str">
        <f>IF(ISNUMBER(FIND("arbeid",Methode_Keuze)),"",IF(ISNUMBER(FIND("arbeid",Methode_Keuze)),"",IF(Tb_Activiteiten[[#This Row],[Loonkosten]]=1,Tb_Activiteiten[[#Headers],[Loonkosten]],"")))</f>
        <v/>
      </c>
      <c r="AL565" t="str">
        <f>IF(ISNUMBER(FIND("arbeid",Methode_Keuze)),"",IF(ISNUMBER(FIND("arbeid",Methode_Keuze)),"",IF(Tb_Activiteiten[[#This Row],[Eigen arbeid]]=1,Tb_Activiteiten[[#Headers],[Eigen arbeid]],"")))</f>
        <v/>
      </c>
      <c r="AM565" t="str">
        <f>IF(ISNUMBER(FIND("arbeid",Methode_Keuze)),"",IF(ISNUMBER(FIND("arbeid",Methode_Keuze)),"",IF(Tb_Activiteiten[[#This Row],[Projectmedewerker]]=1,Tb_Activiteiten[[#Headers],[Projectmedewerker]],"")))</f>
        <v/>
      </c>
      <c r="AN565" t="str">
        <f>IF(ISNUMBER(FIND("arbeid",Methode_Keuze)),"",IF(ISNUMBER(FIND("arbeid",Methode_Keuze)),"",IF(Tb_Activiteiten[[#This Row],[Landbouwer]]=1,Tb_Activiteiten[[#Headers],[Landbouwer]],"")))</f>
        <v/>
      </c>
      <c r="AO565" t="str">
        <f>IF(ISNUMBER(FIND("arbeid",Methode_Keuze)),"",IF(ISNUMBER(FIND("arbeid",Methode_Keuze)),"",IF(Tb_Activiteiten[[#This Row],[Adviseur]]=1,Tb_Activiteiten[[#Headers],[Adviseur]],"")))</f>
        <v/>
      </c>
      <c r="AP565" t="str">
        <f>IF(ISNUMBER(FIND("arbeid",Methode_Keuze)),"",IF(ISNUMBER(FIND("arbeid",Methode_Keuze)),"",IF(Tb_Activiteiten[[#This Row],[Projectleider/Expert]]=1,Tb_Activiteiten[[#Headers],[Projectleider/Expert]],"")))</f>
        <v/>
      </c>
      <c r="AQ565" t="str">
        <f>IF(ISNUMBER(FIND("arbeid",Methode_Keuze)),"",IF(ISNUMBER(FIND("arbeid",Methode_Keuze)),"",IF(Tb_Activiteiten[[#This Row],[Arbeidskosten]]=1,Tb_Activiteiten[[#Headers],[Arbeidskosten]],"")))</f>
        <v/>
      </c>
      <c r="AR565" t="str">
        <f>IF(ISNUMBER(FIND("arbeid",Methode_Keuze)),"",IF(ISNUMBER(FIND("arbeid",Methode_Keuze)),"",IF(Tb_Activiteiten[[#This Row],[Arbeidskosten op basis van IKS]]=1,Tb_Activiteiten[[#Headers],[Arbeidskosten op basis van IKS]],"")))</f>
        <v/>
      </c>
      <c r="AS565" t="str">
        <f>IF(ISNUMBER(FIND("overige",Methode_Keuze)),"",IF(Tb_Activiteiten[[#This Row],[Kosten derden exclusief btw]]=1,Tb_Activiteiten[[#Headers],[Kosten derden exclusief btw]],""))</f>
        <v/>
      </c>
      <c r="AT565" t="str">
        <f>IF(ISNUMBER(FIND("overige",Methode_Keuze)),"",IF(Tb_Activiteiten[[#This Row],[Niet verrekenbare btw]]=1,Tb_Activiteiten[[#Headers],[Niet verrekenbare btw]],""))</f>
        <v/>
      </c>
      <c r="AU565" t="str">
        <f>IF(ISNUMBER(FIND("overige",Methode_Keuze)),"",IF(Tb_Activiteiten[[#This Row],[Grondkosten]]=1,Tb_Activiteiten[[#Headers],[Grondkosten]],""))</f>
        <v/>
      </c>
      <c r="AV565" t="str">
        <f>IF(ISNUMBER(FIND("overige",Methode_Keuze)),"",IF(Tb_Activiteiten[[#This Row],[Bijdrage in natura (overige)]]=1,Tb_Activiteiten[[#Headers],[Bijdrage in natura (overige)]],""))</f>
        <v/>
      </c>
      <c r="AW565" t="str">
        <f>IF(ISNUMBER(FIND("overige",Methode_Keuze)),"",IF(Tb_Activiteiten[[#This Row],[Bijdrage in natura (vrijwilligers)]]=1,Tb_Activiteiten[[#Headers],[Bijdrage in natura (vrijwilligers)]],""))</f>
        <v/>
      </c>
      <c r="AX565" t="str">
        <f>IF(ISNUMBER(FIND("overige",Methode_Keuze)),"",IF(Tb_Activiteiten[[#This Row],[Afschrijvingskosten]]=1,Tb_Activiteiten[[#Headers],[Afschrijvingskosten]],""))</f>
        <v/>
      </c>
      <c r="AY565" t="str">
        <f>IF(ISNUMBER(FIND("overige",Methode_Keuze)),"",IF(Tb_Activiteiten[[#This Row],[Vergoeding]]=1,Tb_Activiteiten[[#Headers],[Vergoeding]],""))</f>
        <v/>
      </c>
      <c r="AZ565" t="str">
        <f>IF(ISNUMBER(FIND("arbeid",Methode_Keuze)),"",IF(Tb_Activiteiten[[#This Row],[Arbeidskosten - vast tarief (excl eigen arbeid)]]=1,Tb_Activiteiten[[#Headers],[Arbeidskosten - vast tarief (excl eigen arbeid)]],""))</f>
        <v/>
      </c>
      <c r="BA565" t="str">
        <f>IF(ISNUMBER(FIND("overige",Methode_Keuze)),"",IF(Tb_Activiteiten[[#This Row],[Overige kosten]]=1,Tb_Activiteiten[[#Headers],[Overige kosten]],""))</f>
        <v/>
      </c>
    </row>
    <row r="566" spans="1:53" x14ac:dyDescent="0.25">
      <c r="A566" s="231"/>
      <c r="F566" s="64"/>
      <c r="G566" s="64"/>
      <c r="H566" s="275"/>
      <c r="I566" s="275"/>
      <c r="J566" s="275"/>
      <c r="K566" s="275"/>
      <c r="O566" s="56"/>
      <c r="Q566" t="str">
        <f>IFERROR(IF(VLOOKUP(Tb_Activiteiten[[#This Row],[Openstelling]],Tb_Openstelling[],2,0)=1,1,""),"")</f>
        <v/>
      </c>
      <c r="AK566" t="str">
        <f>IF(ISNUMBER(FIND("arbeid",Methode_Keuze)),"",IF(ISNUMBER(FIND("arbeid",Methode_Keuze)),"",IF(Tb_Activiteiten[[#This Row],[Loonkosten]]=1,Tb_Activiteiten[[#Headers],[Loonkosten]],"")))</f>
        <v/>
      </c>
      <c r="AL566" t="str">
        <f>IF(ISNUMBER(FIND("arbeid",Methode_Keuze)),"",IF(ISNUMBER(FIND("arbeid",Methode_Keuze)),"",IF(Tb_Activiteiten[[#This Row],[Eigen arbeid]]=1,Tb_Activiteiten[[#Headers],[Eigen arbeid]],"")))</f>
        <v/>
      </c>
      <c r="AM566" t="str">
        <f>IF(ISNUMBER(FIND("arbeid",Methode_Keuze)),"",IF(ISNUMBER(FIND("arbeid",Methode_Keuze)),"",IF(Tb_Activiteiten[[#This Row],[Projectmedewerker]]=1,Tb_Activiteiten[[#Headers],[Projectmedewerker]],"")))</f>
        <v/>
      </c>
      <c r="AN566" t="str">
        <f>IF(ISNUMBER(FIND("arbeid",Methode_Keuze)),"",IF(ISNUMBER(FIND("arbeid",Methode_Keuze)),"",IF(Tb_Activiteiten[[#This Row],[Landbouwer]]=1,Tb_Activiteiten[[#Headers],[Landbouwer]],"")))</f>
        <v/>
      </c>
      <c r="AO566" t="str">
        <f>IF(ISNUMBER(FIND("arbeid",Methode_Keuze)),"",IF(ISNUMBER(FIND("arbeid",Methode_Keuze)),"",IF(Tb_Activiteiten[[#This Row],[Adviseur]]=1,Tb_Activiteiten[[#Headers],[Adviseur]],"")))</f>
        <v/>
      </c>
      <c r="AP566" t="str">
        <f>IF(ISNUMBER(FIND("arbeid",Methode_Keuze)),"",IF(ISNUMBER(FIND("arbeid",Methode_Keuze)),"",IF(Tb_Activiteiten[[#This Row],[Projectleider/Expert]]=1,Tb_Activiteiten[[#Headers],[Projectleider/Expert]],"")))</f>
        <v/>
      </c>
      <c r="AQ566" t="str">
        <f>IF(ISNUMBER(FIND("arbeid",Methode_Keuze)),"",IF(ISNUMBER(FIND("arbeid",Methode_Keuze)),"",IF(Tb_Activiteiten[[#This Row],[Arbeidskosten]]=1,Tb_Activiteiten[[#Headers],[Arbeidskosten]],"")))</f>
        <v/>
      </c>
      <c r="AR566" t="str">
        <f>IF(ISNUMBER(FIND("arbeid",Methode_Keuze)),"",IF(ISNUMBER(FIND("arbeid",Methode_Keuze)),"",IF(Tb_Activiteiten[[#This Row],[Arbeidskosten op basis van IKS]]=1,Tb_Activiteiten[[#Headers],[Arbeidskosten op basis van IKS]],"")))</f>
        <v/>
      </c>
      <c r="AS566" t="str">
        <f>IF(ISNUMBER(FIND("overige",Methode_Keuze)),"",IF(Tb_Activiteiten[[#This Row],[Kosten derden exclusief btw]]=1,Tb_Activiteiten[[#Headers],[Kosten derden exclusief btw]],""))</f>
        <v/>
      </c>
      <c r="AT566" t="str">
        <f>IF(ISNUMBER(FIND("overige",Methode_Keuze)),"",IF(Tb_Activiteiten[[#This Row],[Niet verrekenbare btw]]=1,Tb_Activiteiten[[#Headers],[Niet verrekenbare btw]],""))</f>
        <v/>
      </c>
      <c r="AU566" t="str">
        <f>IF(ISNUMBER(FIND("overige",Methode_Keuze)),"",IF(Tb_Activiteiten[[#This Row],[Grondkosten]]=1,Tb_Activiteiten[[#Headers],[Grondkosten]],""))</f>
        <v/>
      </c>
      <c r="AV566" t="str">
        <f>IF(ISNUMBER(FIND("overige",Methode_Keuze)),"",IF(Tb_Activiteiten[[#This Row],[Bijdrage in natura (overige)]]=1,Tb_Activiteiten[[#Headers],[Bijdrage in natura (overige)]],""))</f>
        <v/>
      </c>
      <c r="AW566" t="str">
        <f>IF(ISNUMBER(FIND("overige",Methode_Keuze)),"",IF(Tb_Activiteiten[[#This Row],[Bijdrage in natura (vrijwilligers)]]=1,Tb_Activiteiten[[#Headers],[Bijdrage in natura (vrijwilligers)]],""))</f>
        <v/>
      </c>
      <c r="AX566" t="str">
        <f>IF(ISNUMBER(FIND("overige",Methode_Keuze)),"",IF(Tb_Activiteiten[[#This Row],[Afschrijvingskosten]]=1,Tb_Activiteiten[[#Headers],[Afschrijvingskosten]],""))</f>
        <v/>
      </c>
      <c r="AY566" t="str">
        <f>IF(ISNUMBER(FIND("overige",Methode_Keuze)),"",IF(Tb_Activiteiten[[#This Row],[Vergoeding]]=1,Tb_Activiteiten[[#Headers],[Vergoeding]],""))</f>
        <v/>
      </c>
      <c r="AZ566" t="str">
        <f>IF(ISNUMBER(FIND("arbeid",Methode_Keuze)),"",IF(Tb_Activiteiten[[#This Row],[Arbeidskosten - vast tarief (excl eigen arbeid)]]=1,Tb_Activiteiten[[#Headers],[Arbeidskosten - vast tarief (excl eigen arbeid)]],""))</f>
        <v/>
      </c>
      <c r="BA566" t="str">
        <f>IF(ISNUMBER(FIND("overige",Methode_Keuze)),"",IF(Tb_Activiteiten[[#This Row],[Overige kosten]]=1,Tb_Activiteiten[[#Headers],[Overige kosten]],""))</f>
        <v/>
      </c>
    </row>
    <row r="567" spans="1:53" x14ac:dyDescent="0.25">
      <c r="A567" s="231"/>
      <c r="F567" s="64"/>
      <c r="G567" s="64"/>
      <c r="H567" s="275"/>
      <c r="I567" s="275"/>
      <c r="J567" s="275"/>
      <c r="K567" s="275"/>
      <c r="O567" s="56"/>
      <c r="Q567" t="str">
        <f>IFERROR(IF(VLOOKUP(Tb_Activiteiten[[#This Row],[Openstelling]],Tb_Openstelling[],2,0)=1,1,""),"")</f>
        <v/>
      </c>
      <c r="AK567" t="str">
        <f>IF(ISNUMBER(FIND("arbeid",Methode_Keuze)),"",IF(ISNUMBER(FIND("arbeid",Methode_Keuze)),"",IF(Tb_Activiteiten[[#This Row],[Loonkosten]]=1,Tb_Activiteiten[[#Headers],[Loonkosten]],"")))</f>
        <v/>
      </c>
      <c r="AL567" t="str">
        <f>IF(ISNUMBER(FIND("arbeid",Methode_Keuze)),"",IF(ISNUMBER(FIND("arbeid",Methode_Keuze)),"",IF(Tb_Activiteiten[[#This Row],[Eigen arbeid]]=1,Tb_Activiteiten[[#Headers],[Eigen arbeid]],"")))</f>
        <v/>
      </c>
      <c r="AM567" t="str">
        <f>IF(ISNUMBER(FIND("arbeid",Methode_Keuze)),"",IF(ISNUMBER(FIND("arbeid",Methode_Keuze)),"",IF(Tb_Activiteiten[[#This Row],[Projectmedewerker]]=1,Tb_Activiteiten[[#Headers],[Projectmedewerker]],"")))</f>
        <v/>
      </c>
      <c r="AN567" t="str">
        <f>IF(ISNUMBER(FIND("arbeid",Methode_Keuze)),"",IF(ISNUMBER(FIND("arbeid",Methode_Keuze)),"",IF(Tb_Activiteiten[[#This Row],[Landbouwer]]=1,Tb_Activiteiten[[#Headers],[Landbouwer]],"")))</f>
        <v/>
      </c>
      <c r="AO567" t="str">
        <f>IF(ISNUMBER(FIND("arbeid",Methode_Keuze)),"",IF(ISNUMBER(FIND("arbeid",Methode_Keuze)),"",IF(Tb_Activiteiten[[#This Row],[Adviseur]]=1,Tb_Activiteiten[[#Headers],[Adviseur]],"")))</f>
        <v/>
      </c>
      <c r="AP567" t="str">
        <f>IF(ISNUMBER(FIND("arbeid",Methode_Keuze)),"",IF(ISNUMBER(FIND("arbeid",Methode_Keuze)),"",IF(Tb_Activiteiten[[#This Row],[Projectleider/Expert]]=1,Tb_Activiteiten[[#Headers],[Projectleider/Expert]],"")))</f>
        <v/>
      </c>
      <c r="AQ567" t="str">
        <f>IF(ISNUMBER(FIND("arbeid",Methode_Keuze)),"",IF(ISNUMBER(FIND("arbeid",Methode_Keuze)),"",IF(Tb_Activiteiten[[#This Row],[Arbeidskosten]]=1,Tb_Activiteiten[[#Headers],[Arbeidskosten]],"")))</f>
        <v/>
      </c>
      <c r="AR567" t="str">
        <f>IF(ISNUMBER(FIND("arbeid",Methode_Keuze)),"",IF(ISNUMBER(FIND("arbeid",Methode_Keuze)),"",IF(Tb_Activiteiten[[#This Row],[Arbeidskosten op basis van IKS]]=1,Tb_Activiteiten[[#Headers],[Arbeidskosten op basis van IKS]],"")))</f>
        <v/>
      </c>
      <c r="AS567" t="str">
        <f>IF(ISNUMBER(FIND("overige",Methode_Keuze)),"",IF(Tb_Activiteiten[[#This Row],[Kosten derden exclusief btw]]=1,Tb_Activiteiten[[#Headers],[Kosten derden exclusief btw]],""))</f>
        <v/>
      </c>
      <c r="AT567" t="str">
        <f>IF(ISNUMBER(FIND("overige",Methode_Keuze)),"",IF(Tb_Activiteiten[[#This Row],[Niet verrekenbare btw]]=1,Tb_Activiteiten[[#Headers],[Niet verrekenbare btw]],""))</f>
        <v/>
      </c>
      <c r="AU567" t="str">
        <f>IF(ISNUMBER(FIND("overige",Methode_Keuze)),"",IF(Tb_Activiteiten[[#This Row],[Grondkosten]]=1,Tb_Activiteiten[[#Headers],[Grondkosten]],""))</f>
        <v/>
      </c>
      <c r="AV567" t="str">
        <f>IF(ISNUMBER(FIND("overige",Methode_Keuze)),"",IF(Tb_Activiteiten[[#This Row],[Bijdrage in natura (overige)]]=1,Tb_Activiteiten[[#Headers],[Bijdrage in natura (overige)]],""))</f>
        <v/>
      </c>
      <c r="AW567" t="str">
        <f>IF(ISNUMBER(FIND("overige",Methode_Keuze)),"",IF(Tb_Activiteiten[[#This Row],[Bijdrage in natura (vrijwilligers)]]=1,Tb_Activiteiten[[#Headers],[Bijdrage in natura (vrijwilligers)]],""))</f>
        <v/>
      </c>
      <c r="AX567" t="str">
        <f>IF(ISNUMBER(FIND("overige",Methode_Keuze)),"",IF(Tb_Activiteiten[[#This Row],[Afschrijvingskosten]]=1,Tb_Activiteiten[[#Headers],[Afschrijvingskosten]],""))</f>
        <v/>
      </c>
      <c r="AY567" t="str">
        <f>IF(ISNUMBER(FIND("overige",Methode_Keuze)),"",IF(Tb_Activiteiten[[#This Row],[Vergoeding]]=1,Tb_Activiteiten[[#Headers],[Vergoeding]],""))</f>
        <v/>
      </c>
      <c r="AZ567" t="str">
        <f>IF(ISNUMBER(FIND("arbeid",Methode_Keuze)),"",IF(Tb_Activiteiten[[#This Row],[Arbeidskosten - vast tarief (excl eigen arbeid)]]=1,Tb_Activiteiten[[#Headers],[Arbeidskosten - vast tarief (excl eigen arbeid)]],""))</f>
        <v/>
      </c>
      <c r="BA567" t="str">
        <f>IF(ISNUMBER(FIND("overige",Methode_Keuze)),"",IF(Tb_Activiteiten[[#This Row],[Overige kosten]]=1,Tb_Activiteiten[[#Headers],[Overige kosten]],""))</f>
        <v/>
      </c>
    </row>
    <row r="568" spans="1:53" x14ac:dyDescent="0.25">
      <c r="A568" s="231"/>
      <c r="F568" s="64"/>
      <c r="G568" s="64"/>
      <c r="H568" s="275"/>
      <c r="I568" s="275"/>
      <c r="J568" s="275"/>
      <c r="K568" s="275"/>
      <c r="O568" s="56"/>
      <c r="Q568" t="str">
        <f>IFERROR(IF(VLOOKUP(Tb_Activiteiten[[#This Row],[Openstelling]],Tb_Openstelling[],2,0)=1,1,""),"")</f>
        <v/>
      </c>
      <c r="AK568" t="str">
        <f>IF(ISNUMBER(FIND("arbeid",Methode_Keuze)),"",IF(ISNUMBER(FIND("arbeid",Methode_Keuze)),"",IF(Tb_Activiteiten[[#This Row],[Loonkosten]]=1,Tb_Activiteiten[[#Headers],[Loonkosten]],"")))</f>
        <v/>
      </c>
      <c r="AL568" t="str">
        <f>IF(ISNUMBER(FIND("arbeid",Methode_Keuze)),"",IF(ISNUMBER(FIND("arbeid",Methode_Keuze)),"",IF(Tb_Activiteiten[[#This Row],[Eigen arbeid]]=1,Tb_Activiteiten[[#Headers],[Eigen arbeid]],"")))</f>
        <v/>
      </c>
      <c r="AM568" t="str">
        <f>IF(ISNUMBER(FIND("arbeid",Methode_Keuze)),"",IF(ISNUMBER(FIND("arbeid",Methode_Keuze)),"",IF(Tb_Activiteiten[[#This Row],[Projectmedewerker]]=1,Tb_Activiteiten[[#Headers],[Projectmedewerker]],"")))</f>
        <v/>
      </c>
      <c r="AN568" t="str">
        <f>IF(ISNUMBER(FIND("arbeid",Methode_Keuze)),"",IF(ISNUMBER(FIND("arbeid",Methode_Keuze)),"",IF(Tb_Activiteiten[[#This Row],[Landbouwer]]=1,Tb_Activiteiten[[#Headers],[Landbouwer]],"")))</f>
        <v/>
      </c>
      <c r="AO568" t="str">
        <f>IF(ISNUMBER(FIND("arbeid",Methode_Keuze)),"",IF(ISNUMBER(FIND("arbeid",Methode_Keuze)),"",IF(Tb_Activiteiten[[#This Row],[Adviseur]]=1,Tb_Activiteiten[[#Headers],[Adviseur]],"")))</f>
        <v/>
      </c>
      <c r="AP568" t="str">
        <f>IF(ISNUMBER(FIND("arbeid",Methode_Keuze)),"",IF(ISNUMBER(FIND("arbeid",Methode_Keuze)),"",IF(Tb_Activiteiten[[#This Row],[Projectleider/Expert]]=1,Tb_Activiteiten[[#Headers],[Projectleider/Expert]],"")))</f>
        <v/>
      </c>
      <c r="AQ568" t="str">
        <f>IF(ISNUMBER(FIND("arbeid",Methode_Keuze)),"",IF(ISNUMBER(FIND("arbeid",Methode_Keuze)),"",IF(Tb_Activiteiten[[#This Row],[Arbeidskosten]]=1,Tb_Activiteiten[[#Headers],[Arbeidskosten]],"")))</f>
        <v/>
      </c>
      <c r="AR568" t="str">
        <f>IF(ISNUMBER(FIND("arbeid",Methode_Keuze)),"",IF(ISNUMBER(FIND("arbeid",Methode_Keuze)),"",IF(Tb_Activiteiten[[#This Row],[Arbeidskosten op basis van IKS]]=1,Tb_Activiteiten[[#Headers],[Arbeidskosten op basis van IKS]],"")))</f>
        <v/>
      </c>
      <c r="AS568" t="str">
        <f>IF(ISNUMBER(FIND("overige",Methode_Keuze)),"",IF(Tb_Activiteiten[[#This Row],[Kosten derden exclusief btw]]=1,Tb_Activiteiten[[#Headers],[Kosten derden exclusief btw]],""))</f>
        <v/>
      </c>
      <c r="AT568" t="str">
        <f>IF(ISNUMBER(FIND("overige",Methode_Keuze)),"",IF(Tb_Activiteiten[[#This Row],[Niet verrekenbare btw]]=1,Tb_Activiteiten[[#Headers],[Niet verrekenbare btw]],""))</f>
        <v/>
      </c>
      <c r="AU568" t="str">
        <f>IF(ISNUMBER(FIND("overige",Methode_Keuze)),"",IF(Tb_Activiteiten[[#This Row],[Grondkosten]]=1,Tb_Activiteiten[[#Headers],[Grondkosten]],""))</f>
        <v/>
      </c>
      <c r="AV568" t="str">
        <f>IF(ISNUMBER(FIND("overige",Methode_Keuze)),"",IF(Tb_Activiteiten[[#This Row],[Bijdrage in natura (overige)]]=1,Tb_Activiteiten[[#Headers],[Bijdrage in natura (overige)]],""))</f>
        <v/>
      </c>
      <c r="AW568" t="str">
        <f>IF(ISNUMBER(FIND("overige",Methode_Keuze)),"",IF(Tb_Activiteiten[[#This Row],[Bijdrage in natura (vrijwilligers)]]=1,Tb_Activiteiten[[#Headers],[Bijdrage in natura (vrijwilligers)]],""))</f>
        <v/>
      </c>
      <c r="AX568" t="str">
        <f>IF(ISNUMBER(FIND("overige",Methode_Keuze)),"",IF(Tb_Activiteiten[[#This Row],[Afschrijvingskosten]]=1,Tb_Activiteiten[[#Headers],[Afschrijvingskosten]],""))</f>
        <v/>
      </c>
      <c r="AY568" t="str">
        <f>IF(ISNUMBER(FIND("overige",Methode_Keuze)),"",IF(Tb_Activiteiten[[#This Row],[Vergoeding]]=1,Tb_Activiteiten[[#Headers],[Vergoeding]],""))</f>
        <v/>
      </c>
      <c r="AZ568" t="str">
        <f>IF(ISNUMBER(FIND("arbeid",Methode_Keuze)),"",IF(Tb_Activiteiten[[#This Row],[Arbeidskosten - vast tarief (excl eigen arbeid)]]=1,Tb_Activiteiten[[#Headers],[Arbeidskosten - vast tarief (excl eigen arbeid)]],""))</f>
        <v/>
      </c>
      <c r="BA568" t="str">
        <f>IF(ISNUMBER(FIND("overige",Methode_Keuze)),"",IF(Tb_Activiteiten[[#This Row],[Overige kosten]]=1,Tb_Activiteiten[[#Headers],[Overige kosten]],""))</f>
        <v/>
      </c>
    </row>
    <row r="569" spans="1:53" x14ac:dyDescent="0.25">
      <c r="A569" s="231"/>
      <c r="F569" s="64"/>
      <c r="G569" s="64"/>
      <c r="H569" s="275"/>
      <c r="I569" s="275"/>
      <c r="J569" s="275"/>
      <c r="K569" s="275"/>
      <c r="O569" s="56"/>
      <c r="Q569" t="str">
        <f>IFERROR(IF(VLOOKUP(Tb_Activiteiten[[#This Row],[Openstelling]],Tb_Openstelling[],2,0)=1,1,""),"")</f>
        <v/>
      </c>
      <c r="AK569" t="str">
        <f>IF(ISNUMBER(FIND("arbeid",Methode_Keuze)),"",IF(ISNUMBER(FIND("arbeid",Methode_Keuze)),"",IF(Tb_Activiteiten[[#This Row],[Loonkosten]]=1,Tb_Activiteiten[[#Headers],[Loonkosten]],"")))</f>
        <v/>
      </c>
      <c r="AL569" t="str">
        <f>IF(ISNUMBER(FIND("arbeid",Methode_Keuze)),"",IF(ISNUMBER(FIND("arbeid",Methode_Keuze)),"",IF(Tb_Activiteiten[[#This Row],[Eigen arbeid]]=1,Tb_Activiteiten[[#Headers],[Eigen arbeid]],"")))</f>
        <v/>
      </c>
      <c r="AM569" t="str">
        <f>IF(ISNUMBER(FIND("arbeid",Methode_Keuze)),"",IF(ISNUMBER(FIND("arbeid",Methode_Keuze)),"",IF(Tb_Activiteiten[[#This Row],[Projectmedewerker]]=1,Tb_Activiteiten[[#Headers],[Projectmedewerker]],"")))</f>
        <v/>
      </c>
      <c r="AN569" t="str">
        <f>IF(ISNUMBER(FIND("arbeid",Methode_Keuze)),"",IF(ISNUMBER(FIND("arbeid",Methode_Keuze)),"",IF(Tb_Activiteiten[[#This Row],[Landbouwer]]=1,Tb_Activiteiten[[#Headers],[Landbouwer]],"")))</f>
        <v/>
      </c>
      <c r="AO569" t="str">
        <f>IF(ISNUMBER(FIND("arbeid",Methode_Keuze)),"",IF(ISNUMBER(FIND("arbeid",Methode_Keuze)),"",IF(Tb_Activiteiten[[#This Row],[Adviseur]]=1,Tb_Activiteiten[[#Headers],[Adviseur]],"")))</f>
        <v/>
      </c>
      <c r="AP569" t="str">
        <f>IF(ISNUMBER(FIND("arbeid",Methode_Keuze)),"",IF(ISNUMBER(FIND("arbeid",Methode_Keuze)),"",IF(Tb_Activiteiten[[#This Row],[Projectleider/Expert]]=1,Tb_Activiteiten[[#Headers],[Projectleider/Expert]],"")))</f>
        <v/>
      </c>
      <c r="AQ569" t="str">
        <f>IF(ISNUMBER(FIND("arbeid",Methode_Keuze)),"",IF(ISNUMBER(FIND("arbeid",Methode_Keuze)),"",IF(Tb_Activiteiten[[#This Row],[Arbeidskosten]]=1,Tb_Activiteiten[[#Headers],[Arbeidskosten]],"")))</f>
        <v/>
      </c>
      <c r="AR569" t="str">
        <f>IF(ISNUMBER(FIND("arbeid",Methode_Keuze)),"",IF(ISNUMBER(FIND("arbeid",Methode_Keuze)),"",IF(Tb_Activiteiten[[#This Row],[Arbeidskosten op basis van IKS]]=1,Tb_Activiteiten[[#Headers],[Arbeidskosten op basis van IKS]],"")))</f>
        <v/>
      </c>
      <c r="AS569" t="str">
        <f>IF(ISNUMBER(FIND("overige",Methode_Keuze)),"",IF(Tb_Activiteiten[[#This Row],[Kosten derden exclusief btw]]=1,Tb_Activiteiten[[#Headers],[Kosten derden exclusief btw]],""))</f>
        <v/>
      </c>
      <c r="AT569" t="str">
        <f>IF(ISNUMBER(FIND("overige",Methode_Keuze)),"",IF(Tb_Activiteiten[[#This Row],[Niet verrekenbare btw]]=1,Tb_Activiteiten[[#Headers],[Niet verrekenbare btw]],""))</f>
        <v/>
      </c>
      <c r="AU569" t="str">
        <f>IF(ISNUMBER(FIND("overige",Methode_Keuze)),"",IF(Tb_Activiteiten[[#This Row],[Grondkosten]]=1,Tb_Activiteiten[[#Headers],[Grondkosten]],""))</f>
        <v/>
      </c>
      <c r="AV569" t="str">
        <f>IF(ISNUMBER(FIND("overige",Methode_Keuze)),"",IF(Tb_Activiteiten[[#This Row],[Bijdrage in natura (overige)]]=1,Tb_Activiteiten[[#Headers],[Bijdrage in natura (overige)]],""))</f>
        <v/>
      </c>
      <c r="AW569" t="str">
        <f>IF(ISNUMBER(FIND("overige",Methode_Keuze)),"",IF(Tb_Activiteiten[[#This Row],[Bijdrage in natura (vrijwilligers)]]=1,Tb_Activiteiten[[#Headers],[Bijdrage in natura (vrijwilligers)]],""))</f>
        <v/>
      </c>
      <c r="AX569" t="str">
        <f>IF(ISNUMBER(FIND("overige",Methode_Keuze)),"",IF(Tb_Activiteiten[[#This Row],[Afschrijvingskosten]]=1,Tb_Activiteiten[[#Headers],[Afschrijvingskosten]],""))</f>
        <v/>
      </c>
      <c r="AY569" t="str">
        <f>IF(ISNUMBER(FIND("overige",Methode_Keuze)),"",IF(Tb_Activiteiten[[#This Row],[Vergoeding]]=1,Tb_Activiteiten[[#Headers],[Vergoeding]],""))</f>
        <v/>
      </c>
      <c r="AZ569" t="str">
        <f>IF(ISNUMBER(FIND("arbeid",Methode_Keuze)),"",IF(Tb_Activiteiten[[#This Row],[Arbeidskosten - vast tarief (excl eigen arbeid)]]=1,Tb_Activiteiten[[#Headers],[Arbeidskosten - vast tarief (excl eigen arbeid)]],""))</f>
        <v/>
      </c>
      <c r="BA569" t="str">
        <f>IF(ISNUMBER(FIND("overige",Methode_Keuze)),"",IF(Tb_Activiteiten[[#This Row],[Overige kosten]]=1,Tb_Activiteiten[[#Headers],[Overige kosten]],""))</f>
        <v/>
      </c>
    </row>
    <row r="570" spans="1:53" x14ac:dyDescent="0.25">
      <c r="A570" s="231"/>
      <c r="F570" s="64"/>
      <c r="G570" s="64"/>
      <c r="H570" s="275"/>
      <c r="I570" s="275"/>
      <c r="J570" s="275"/>
      <c r="K570" s="275"/>
      <c r="O570" s="56"/>
      <c r="Q570" t="str">
        <f>IFERROR(IF(VLOOKUP(Tb_Activiteiten[[#This Row],[Openstelling]],Tb_Openstelling[],2,0)=1,1,""),"")</f>
        <v/>
      </c>
      <c r="AK570" t="str">
        <f>IF(ISNUMBER(FIND("arbeid",Methode_Keuze)),"",IF(ISNUMBER(FIND("arbeid",Methode_Keuze)),"",IF(Tb_Activiteiten[[#This Row],[Loonkosten]]=1,Tb_Activiteiten[[#Headers],[Loonkosten]],"")))</f>
        <v/>
      </c>
      <c r="AL570" t="str">
        <f>IF(ISNUMBER(FIND("arbeid",Methode_Keuze)),"",IF(ISNUMBER(FIND("arbeid",Methode_Keuze)),"",IF(Tb_Activiteiten[[#This Row],[Eigen arbeid]]=1,Tb_Activiteiten[[#Headers],[Eigen arbeid]],"")))</f>
        <v/>
      </c>
      <c r="AM570" t="str">
        <f>IF(ISNUMBER(FIND("arbeid",Methode_Keuze)),"",IF(ISNUMBER(FIND("arbeid",Methode_Keuze)),"",IF(Tb_Activiteiten[[#This Row],[Projectmedewerker]]=1,Tb_Activiteiten[[#Headers],[Projectmedewerker]],"")))</f>
        <v/>
      </c>
      <c r="AN570" t="str">
        <f>IF(ISNUMBER(FIND("arbeid",Methode_Keuze)),"",IF(ISNUMBER(FIND("arbeid",Methode_Keuze)),"",IF(Tb_Activiteiten[[#This Row],[Landbouwer]]=1,Tb_Activiteiten[[#Headers],[Landbouwer]],"")))</f>
        <v/>
      </c>
      <c r="AO570" t="str">
        <f>IF(ISNUMBER(FIND("arbeid",Methode_Keuze)),"",IF(ISNUMBER(FIND("arbeid",Methode_Keuze)),"",IF(Tb_Activiteiten[[#This Row],[Adviseur]]=1,Tb_Activiteiten[[#Headers],[Adviseur]],"")))</f>
        <v/>
      </c>
      <c r="AP570" t="str">
        <f>IF(ISNUMBER(FIND("arbeid",Methode_Keuze)),"",IF(ISNUMBER(FIND("arbeid",Methode_Keuze)),"",IF(Tb_Activiteiten[[#This Row],[Projectleider/Expert]]=1,Tb_Activiteiten[[#Headers],[Projectleider/Expert]],"")))</f>
        <v/>
      </c>
      <c r="AQ570" t="str">
        <f>IF(ISNUMBER(FIND("arbeid",Methode_Keuze)),"",IF(ISNUMBER(FIND("arbeid",Methode_Keuze)),"",IF(Tb_Activiteiten[[#This Row],[Arbeidskosten]]=1,Tb_Activiteiten[[#Headers],[Arbeidskosten]],"")))</f>
        <v/>
      </c>
      <c r="AR570" t="str">
        <f>IF(ISNUMBER(FIND("arbeid",Methode_Keuze)),"",IF(ISNUMBER(FIND("arbeid",Methode_Keuze)),"",IF(Tb_Activiteiten[[#This Row],[Arbeidskosten op basis van IKS]]=1,Tb_Activiteiten[[#Headers],[Arbeidskosten op basis van IKS]],"")))</f>
        <v/>
      </c>
      <c r="AS570" t="str">
        <f>IF(ISNUMBER(FIND("overige",Methode_Keuze)),"",IF(Tb_Activiteiten[[#This Row],[Kosten derden exclusief btw]]=1,Tb_Activiteiten[[#Headers],[Kosten derden exclusief btw]],""))</f>
        <v/>
      </c>
      <c r="AT570" t="str">
        <f>IF(ISNUMBER(FIND("overige",Methode_Keuze)),"",IF(Tb_Activiteiten[[#This Row],[Niet verrekenbare btw]]=1,Tb_Activiteiten[[#Headers],[Niet verrekenbare btw]],""))</f>
        <v/>
      </c>
      <c r="AU570" t="str">
        <f>IF(ISNUMBER(FIND("overige",Methode_Keuze)),"",IF(Tb_Activiteiten[[#This Row],[Grondkosten]]=1,Tb_Activiteiten[[#Headers],[Grondkosten]],""))</f>
        <v/>
      </c>
      <c r="AV570" t="str">
        <f>IF(ISNUMBER(FIND("overige",Methode_Keuze)),"",IF(Tb_Activiteiten[[#This Row],[Bijdrage in natura (overige)]]=1,Tb_Activiteiten[[#Headers],[Bijdrage in natura (overige)]],""))</f>
        <v/>
      </c>
      <c r="AW570" t="str">
        <f>IF(ISNUMBER(FIND("overige",Methode_Keuze)),"",IF(Tb_Activiteiten[[#This Row],[Bijdrage in natura (vrijwilligers)]]=1,Tb_Activiteiten[[#Headers],[Bijdrage in natura (vrijwilligers)]],""))</f>
        <v/>
      </c>
      <c r="AX570" t="str">
        <f>IF(ISNUMBER(FIND("overige",Methode_Keuze)),"",IF(Tb_Activiteiten[[#This Row],[Afschrijvingskosten]]=1,Tb_Activiteiten[[#Headers],[Afschrijvingskosten]],""))</f>
        <v/>
      </c>
      <c r="AY570" t="str">
        <f>IF(ISNUMBER(FIND("overige",Methode_Keuze)),"",IF(Tb_Activiteiten[[#This Row],[Vergoeding]]=1,Tb_Activiteiten[[#Headers],[Vergoeding]],""))</f>
        <v/>
      </c>
      <c r="AZ570" t="str">
        <f>IF(ISNUMBER(FIND("arbeid",Methode_Keuze)),"",IF(Tb_Activiteiten[[#This Row],[Arbeidskosten - vast tarief (excl eigen arbeid)]]=1,Tb_Activiteiten[[#Headers],[Arbeidskosten - vast tarief (excl eigen arbeid)]],""))</f>
        <v/>
      </c>
      <c r="BA570" t="str">
        <f>IF(ISNUMBER(FIND("overige",Methode_Keuze)),"",IF(Tb_Activiteiten[[#This Row],[Overige kosten]]=1,Tb_Activiteiten[[#Headers],[Overige kosten]],""))</f>
        <v/>
      </c>
    </row>
    <row r="571" spans="1:53" x14ac:dyDescent="0.25">
      <c r="A571" s="231"/>
      <c r="F571" s="64"/>
      <c r="G571" s="64"/>
      <c r="H571" s="275"/>
      <c r="I571" s="275"/>
      <c r="J571" s="275"/>
      <c r="K571" s="275"/>
      <c r="O571" s="56"/>
      <c r="Q571" t="str">
        <f>IFERROR(IF(VLOOKUP(Tb_Activiteiten[[#This Row],[Openstelling]],Tb_Openstelling[],2,0)=1,1,""),"")</f>
        <v/>
      </c>
      <c r="AK571" t="str">
        <f>IF(ISNUMBER(FIND("arbeid",Methode_Keuze)),"",IF(ISNUMBER(FIND("arbeid",Methode_Keuze)),"",IF(Tb_Activiteiten[[#This Row],[Loonkosten]]=1,Tb_Activiteiten[[#Headers],[Loonkosten]],"")))</f>
        <v/>
      </c>
      <c r="AL571" t="str">
        <f>IF(ISNUMBER(FIND("arbeid",Methode_Keuze)),"",IF(ISNUMBER(FIND("arbeid",Methode_Keuze)),"",IF(Tb_Activiteiten[[#This Row],[Eigen arbeid]]=1,Tb_Activiteiten[[#Headers],[Eigen arbeid]],"")))</f>
        <v/>
      </c>
      <c r="AM571" t="str">
        <f>IF(ISNUMBER(FIND("arbeid",Methode_Keuze)),"",IF(ISNUMBER(FIND("arbeid",Methode_Keuze)),"",IF(Tb_Activiteiten[[#This Row],[Projectmedewerker]]=1,Tb_Activiteiten[[#Headers],[Projectmedewerker]],"")))</f>
        <v/>
      </c>
      <c r="AN571" t="str">
        <f>IF(ISNUMBER(FIND("arbeid",Methode_Keuze)),"",IF(ISNUMBER(FIND("arbeid",Methode_Keuze)),"",IF(Tb_Activiteiten[[#This Row],[Landbouwer]]=1,Tb_Activiteiten[[#Headers],[Landbouwer]],"")))</f>
        <v/>
      </c>
      <c r="AO571" t="str">
        <f>IF(ISNUMBER(FIND("arbeid",Methode_Keuze)),"",IF(ISNUMBER(FIND("arbeid",Methode_Keuze)),"",IF(Tb_Activiteiten[[#This Row],[Adviseur]]=1,Tb_Activiteiten[[#Headers],[Adviseur]],"")))</f>
        <v/>
      </c>
      <c r="AP571" t="str">
        <f>IF(ISNUMBER(FIND("arbeid",Methode_Keuze)),"",IF(ISNUMBER(FIND("arbeid",Methode_Keuze)),"",IF(Tb_Activiteiten[[#This Row],[Projectleider/Expert]]=1,Tb_Activiteiten[[#Headers],[Projectleider/Expert]],"")))</f>
        <v/>
      </c>
      <c r="AQ571" t="str">
        <f>IF(ISNUMBER(FIND("arbeid",Methode_Keuze)),"",IF(ISNUMBER(FIND("arbeid",Methode_Keuze)),"",IF(Tb_Activiteiten[[#This Row],[Arbeidskosten]]=1,Tb_Activiteiten[[#Headers],[Arbeidskosten]],"")))</f>
        <v/>
      </c>
      <c r="AR571" t="str">
        <f>IF(ISNUMBER(FIND("arbeid",Methode_Keuze)),"",IF(ISNUMBER(FIND("arbeid",Methode_Keuze)),"",IF(Tb_Activiteiten[[#This Row],[Arbeidskosten op basis van IKS]]=1,Tb_Activiteiten[[#Headers],[Arbeidskosten op basis van IKS]],"")))</f>
        <v/>
      </c>
      <c r="AS571" t="str">
        <f>IF(ISNUMBER(FIND("overige",Methode_Keuze)),"",IF(Tb_Activiteiten[[#This Row],[Kosten derden exclusief btw]]=1,Tb_Activiteiten[[#Headers],[Kosten derden exclusief btw]],""))</f>
        <v/>
      </c>
      <c r="AT571" t="str">
        <f>IF(ISNUMBER(FIND("overige",Methode_Keuze)),"",IF(Tb_Activiteiten[[#This Row],[Niet verrekenbare btw]]=1,Tb_Activiteiten[[#Headers],[Niet verrekenbare btw]],""))</f>
        <v/>
      </c>
      <c r="AU571" t="str">
        <f>IF(ISNUMBER(FIND("overige",Methode_Keuze)),"",IF(Tb_Activiteiten[[#This Row],[Grondkosten]]=1,Tb_Activiteiten[[#Headers],[Grondkosten]],""))</f>
        <v/>
      </c>
      <c r="AV571" t="str">
        <f>IF(ISNUMBER(FIND("overige",Methode_Keuze)),"",IF(Tb_Activiteiten[[#This Row],[Bijdrage in natura (overige)]]=1,Tb_Activiteiten[[#Headers],[Bijdrage in natura (overige)]],""))</f>
        <v/>
      </c>
      <c r="AW571" t="str">
        <f>IF(ISNUMBER(FIND("overige",Methode_Keuze)),"",IF(Tb_Activiteiten[[#This Row],[Bijdrage in natura (vrijwilligers)]]=1,Tb_Activiteiten[[#Headers],[Bijdrage in natura (vrijwilligers)]],""))</f>
        <v/>
      </c>
      <c r="AX571" t="str">
        <f>IF(ISNUMBER(FIND("overige",Methode_Keuze)),"",IF(Tb_Activiteiten[[#This Row],[Afschrijvingskosten]]=1,Tb_Activiteiten[[#Headers],[Afschrijvingskosten]],""))</f>
        <v/>
      </c>
      <c r="AY571" t="str">
        <f>IF(ISNUMBER(FIND("overige",Methode_Keuze)),"",IF(Tb_Activiteiten[[#This Row],[Vergoeding]]=1,Tb_Activiteiten[[#Headers],[Vergoeding]],""))</f>
        <v/>
      </c>
      <c r="AZ571" t="str">
        <f>IF(ISNUMBER(FIND("arbeid",Methode_Keuze)),"",IF(Tb_Activiteiten[[#This Row],[Arbeidskosten - vast tarief (excl eigen arbeid)]]=1,Tb_Activiteiten[[#Headers],[Arbeidskosten - vast tarief (excl eigen arbeid)]],""))</f>
        <v/>
      </c>
      <c r="BA571" t="str">
        <f>IF(ISNUMBER(FIND("overige",Methode_Keuze)),"",IF(Tb_Activiteiten[[#This Row],[Overige kosten]]=1,Tb_Activiteiten[[#Headers],[Overige kosten]],""))</f>
        <v/>
      </c>
    </row>
    <row r="572" spans="1:53" x14ac:dyDescent="0.25">
      <c r="A572" s="231"/>
      <c r="F572" s="64"/>
      <c r="G572" s="64"/>
      <c r="H572" s="275"/>
      <c r="I572" s="275"/>
      <c r="J572" s="275"/>
      <c r="K572" s="275"/>
      <c r="O572" s="56"/>
      <c r="Q572" t="str">
        <f>IFERROR(IF(VLOOKUP(Tb_Activiteiten[[#This Row],[Openstelling]],Tb_Openstelling[],2,0)=1,1,""),"")</f>
        <v/>
      </c>
      <c r="AK572" t="str">
        <f>IF(ISNUMBER(FIND("arbeid",Methode_Keuze)),"",IF(ISNUMBER(FIND("arbeid",Methode_Keuze)),"",IF(Tb_Activiteiten[[#This Row],[Loonkosten]]=1,Tb_Activiteiten[[#Headers],[Loonkosten]],"")))</f>
        <v/>
      </c>
      <c r="AL572" t="str">
        <f>IF(ISNUMBER(FIND("arbeid",Methode_Keuze)),"",IF(ISNUMBER(FIND("arbeid",Methode_Keuze)),"",IF(Tb_Activiteiten[[#This Row],[Eigen arbeid]]=1,Tb_Activiteiten[[#Headers],[Eigen arbeid]],"")))</f>
        <v/>
      </c>
      <c r="AM572" t="str">
        <f>IF(ISNUMBER(FIND("arbeid",Methode_Keuze)),"",IF(ISNUMBER(FIND("arbeid",Methode_Keuze)),"",IF(Tb_Activiteiten[[#This Row],[Projectmedewerker]]=1,Tb_Activiteiten[[#Headers],[Projectmedewerker]],"")))</f>
        <v/>
      </c>
      <c r="AN572" t="str">
        <f>IF(ISNUMBER(FIND("arbeid",Methode_Keuze)),"",IF(ISNUMBER(FIND("arbeid",Methode_Keuze)),"",IF(Tb_Activiteiten[[#This Row],[Landbouwer]]=1,Tb_Activiteiten[[#Headers],[Landbouwer]],"")))</f>
        <v/>
      </c>
      <c r="AO572" t="str">
        <f>IF(ISNUMBER(FIND("arbeid",Methode_Keuze)),"",IF(ISNUMBER(FIND("arbeid",Methode_Keuze)),"",IF(Tb_Activiteiten[[#This Row],[Adviseur]]=1,Tb_Activiteiten[[#Headers],[Adviseur]],"")))</f>
        <v/>
      </c>
      <c r="AP572" t="str">
        <f>IF(ISNUMBER(FIND("arbeid",Methode_Keuze)),"",IF(ISNUMBER(FIND("arbeid",Methode_Keuze)),"",IF(Tb_Activiteiten[[#This Row],[Projectleider/Expert]]=1,Tb_Activiteiten[[#Headers],[Projectleider/Expert]],"")))</f>
        <v/>
      </c>
      <c r="AQ572" t="str">
        <f>IF(ISNUMBER(FIND("arbeid",Methode_Keuze)),"",IF(ISNUMBER(FIND("arbeid",Methode_Keuze)),"",IF(Tb_Activiteiten[[#This Row],[Arbeidskosten]]=1,Tb_Activiteiten[[#Headers],[Arbeidskosten]],"")))</f>
        <v/>
      </c>
      <c r="AR572" t="str">
        <f>IF(ISNUMBER(FIND("arbeid",Methode_Keuze)),"",IF(ISNUMBER(FIND("arbeid",Methode_Keuze)),"",IF(Tb_Activiteiten[[#This Row],[Arbeidskosten op basis van IKS]]=1,Tb_Activiteiten[[#Headers],[Arbeidskosten op basis van IKS]],"")))</f>
        <v/>
      </c>
      <c r="AS572" t="str">
        <f>IF(ISNUMBER(FIND("overige",Methode_Keuze)),"",IF(Tb_Activiteiten[[#This Row],[Kosten derden exclusief btw]]=1,Tb_Activiteiten[[#Headers],[Kosten derden exclusief btw]],""))</f>
        <v/>
      </c>
      <c r="AT572" t="str">
        <f>IF(ISNUMBER(FIND("overige",Methode_Keuze)),"",IF(Tb_Activiteiten[[#This Row],[Niet verrekenbare btw]]=1,Tb_Activiteiten[[#Headers],[Niet verrekenbare btw]],""))</f>
        <v/>
      </c>
      <c r="AU572" t="str">
        <f>IF(ISNUMBER(FIND("overige",Methode_Keuze)),"",IF(Tb_Activiteiten[[#This Row],[Grondkosten]]=1,Tb_Activiteiten[[#Headers],[Grondkosten]],""))</f>
        <v/>
      </c>
      <c r="AV572" t="str">
        <f>IF(ISNUMBER(FIND("overige",Methode_Keuze)),"",IF(Tb_Activiteiten[[#This Row],[Bijdrage in natura (overige)]]=1,Tb_Activiteiten[[#Headers],[Bijdrage in natura (overige)]],""))</f>
        <v/>
      </c>
      <c r="AW572" t="str">
        <f>IF(ISNUMBER(FIND("overige",Methode_Keuze)),"",IF(Tb_Activiteiten[[#This Row],[Bijdrage in natura (vrijwilligers)]]=1,Tb_Activiteiten[[#Headers],[Bijdrage in natura (vrijwilligers)]],""))</f>
        <v/>
      </c>
      <c r="AX572" t="str">
        <f>IF(ISNUMBER(FIND("overige",Methode_Keuze)),"",IF(Tb_Activiteiten[[#This Row],[Afschrijvingskosten]]=1,Tb_Activiteiten[[#Headers],[Afschrijvingskosten]],""))</f>
        <v/>
      </c>
      <c r="AY572" t="str">
        <f>IF(ISNUMBER(FIND("overige",Methode_Keuze)),"",IF(Tb_Activiteiten[[#This Row],[Vergoeding]]=1,Tb_Activiteiten[[#Headers],[Vergoeding]],""))</f>
        <v/>
      </c>
      <c r="AZ572" t="str">
        <f>IF(ISNUMBER(FIND("arbeid",Methode_Keuze)),"",IF(Tb_Activiteiten[[#This Row],[Arbeidskosten - vast tarief (excl eigen arbeid)]]=1,Tb_Activiteiten[[#Headers],[Arbeidskosten - vast tarief (excl eigen arbeid)]],""))</f>
        <v/>
      </c>
      <c r="BA572" t="str">
        <f>IF(ISNUMBER(FIND("overige",Methode_Keuze)),"",IF(Tb_Activiteiten[[#This Row],[Overige kosten]]=1,Tb_Activiteiten[[#Headers],[Overige kosten]],""))</f>
        <v/>
      </c>
    </row>
    <row r="573" spans="1:53" x14ac:dyDescent="0.25">
      <c r="A573" s="231"/>
      <c r="F573" s="64"/>
      <c r="G573" s="64"/>
      <c r="H573" s="275"/>
      <c r="I573" s="275"/>
      <c r="J573" s="275"/>
      <c r="K573" s="275"/>
      <c r="O573" s="56"/>
      <c r="Q573" t="str">
        <f>IFERROR(IF(VLOOKUP(Tb_Activiteiten[[#This Row],[Openstelling]],Tb_Openstelling[],2,0)=1,1,""),"")</f>
        <v/>
      </c>
      <c r="AK573" t="str">
        <f>IF(ISNUMBER(FIND("arbeid",Methode_Keuze)),"",IF(ISNUMBER(FIND("arbeid",Methode_Keuze)),"",IF(Tb_Activiteiten[[#This Row],[Loonkosten]]=1,Tb_Activiteiten[[#Headers],[Loonkosten]],"")))</f>
        <v/>
      </c>
      <c r="AL573" t="str">
        <f>IF(ISNUMBER(FIND("arbeid",Methode_Keuze)),"",IF(ISNUMBER(FIND("arbeid",Methode_Keuze)),"",IF(Tb_Activiteiten[[#This Row],[Eigen arbeid]]=1,Tb_Activiteiten[[#Headers],[Eigen arbeid]],"")))</f>
        <v/>
      </c>
      <c r="AM573" t="str">
        <f>IF(ISNUMBER(FIND("arbeid",Methode_Keuze)),"",IF(ISNUMBER(FIND("arbeid",Methode_Keuze)),"",IF(Tb_Activiteiten[[#This Row],[Projectmedewerker]]=1,Tb_Activiteiten[[#Headers],[Projectmedewerker]],"")))</f>
        <v/>
      </c>
      <c r="AN573" t="str">
        <f>IF(ISNUMBER(FIND("arbeid",Methode_Keuze)),"",IF(ISNUMBER(FIND("arbeid",Methode_Keuze)),"",IF(Tb_Activiteiten[[#This Row],[Landbouwer]]=1,Tb_Activiteiten[[#Headers],[Landbouwer]],"")))</f>
        <v/>
      </c>
      <c r="AO573" t="str">
        <f>IF(ISNUMBER(FIND("arbeid",Methode_Keuze)),"",IF(ISNUMBER(FIND("arbeid",Methode_Keuze)),"",IF(Tb_Activiteiten[[#This Row],[Adviseur]]=1,Tb_Activiteiten[[#Headers],[Adviseur]],"")))</f>
        <v/>
      </c>
      <c r="AP573" t="str">
        <f>IF(ISNUMBER(FIND("arbeid",Methode_Keuze)),"",IF(ISNUMBER(FIND("arbeid",Methode_Keuze)),"",IF(Tb_Activiteiten[[#This Row],[Projectleider/Expert]]=1,Tb_Activiteiten[[#Headers],[Projectleider/Expert]],"")))</f>
        <v/>
      </c>
      <c r="AQ573" t="str">
        <f>IF(ISNUMBER(FIND("arbeid",Methode_Keuze)),"",IF(ISNUMBER(FIND("arbeid",Methode_Keuze)),"",IF(Tb_Activiteiten[[#This Row],[Arbeidskosten]]=1,Tb_Activiteiten[[#Headers],[Arbeidskosten]],"")))</f>
        <v/>
      </c>
      <c r="AR573" t="str">
        <f>IF(ISNUMBER(FIND("arbeid",Methode_Keuze)),"",IF(ISNUMBER(FIND("arbeid",Methode_Keuze)),"",IF(Tb_Activiteiten[[#This Row],[Arbeidskosten op basis van IKS]]=1,Tb_Activiteiten[[#Headers],[Arbeidskosten op basis van IKS]],"")))</f>
        <v/>
      </c>
      <c r="AS573" t="str">
        <f>IF(ISNUMBER(FIND("overige",Methode_Keuze)),"",IF(Tb_Activiteiten[[#This Row],[Kosten derden exclusief btw]]=1,Tb_Activiteiten[[#Headers],[Kosten derden exclusief btw]],""))</f>
        <v/>
      </c>
      <c r="AT573" t="str">
        <f>IF(ISNUMBER(FIND("overige",Methode_Keuze)),"",IF(Tb_Activiteiten[[#This Row],[Niet verrekenbare btw]]=1,Tb_Activiteiten[[#Headers],[Niet verrekenbare btw]],""))</f>
        <v/>
      </c>
      <c r="AU573" t="str">
        <f>IF(ISNUMBER(FIND("overige",Methode_Keuze)),"",IF(Tb_Activiteiten[[#This Row],[Grondkosten]]=1,Tb_Activiteiten[[#Headers],[Grondkosten]],""))</f>
        <v/>
      </c>
      <c r="AV573" t="str">
        <f>IF(ISNUMBER(FIND("overige",Methode_Keuze)),"",IF(Tb_Activiteiten[[#This Row],[Bijdrage in natura (overige)]]=1,Tb_Activiteiten[[#Headers],[Bijdrage in natura (overige)]],""))</f>
        <v/>
      </c>
      <c r="AW573" t="str">
        <f>IF(ISNUMBER(FIND("overige",Methode_Keuze)),"",IF(Tb_Activiteiten[[#This Row],[Bijdrage in natura (vrijwilligers)]]=1,Tb_Activiteiten[[#Headers],[Bijdrage in natura (vrijwilligers)]],""))</f>
        <v/>
      </c>
      <c r="AX573" t="str">
        <f>IF(ISNUMBER(FIND("overige",Methode_Keuze)),"",IF(Tb_Activiteiten[[#This Row],[Afschrijvingskosten]]=1,Tb_Activiteiten[[#Headers],[Afschrijvingskosten]],""))</f>
        <v/>
      </c>
      <c r="AY573" t="str">
        <f>IF(ISNUMBER(FIND("overige",Methode_Keuze)),"",IF(Tb_Activiteiten[[#This Row],[Vergoeding]]=1,Tb_Activiteiten[[#Headers],[Vergoeding]],""))</f>
        <v/>
      </c>
      <c r="AZ573" t="str">
        <f>IF(ISNUMBER(FIND("arbeid",Methode_Keuze)),"",IF(Tb_Activiteiten[[#This Row],[Arbeidskosten - vast tarief (excl eigen arbeid)]]=1,Tb_Activiteiten[[#Headers],[Arbeidskosten - vast tarief (excl eigen arbeid)]],""))</f>
        <v/>
      </c>
      <c r="BA573" t="str">
        <f>IF(ISNUMBER(FIND("overige",Methode_Keuze)),"",IF(Tb_Activiteiten[[#This Row],[Overige kosten]]=1,Tb_Activiteiten[[#Headers],[Overige kosten]],""))</f>
        <v/>
      </c>
    </row>
    <row r="574" spans="1:53" x14ac:dyDescent="0.25">
      <c r="A574" s="231"/>
      <c r="F574" s="64"/>
      <c r="G574" s="64"/>
      <c r="H574" s="275"/>
      <c r="I574" s="275"/>
      <c r="J574" s="275"/>
      <c r="K574" s="275"/>
      <c r="O574" s="56"/>
      <c r="Q574" t="str">
        <f>IFERROR(IF(VLOOKUP(Tb_Activiteiten[[#This Row],[Openstelling]],Tb_Openstelling[],2,0)=1,1,""),"")</f>
        <v/>
      </c>
      <c r="AK574" t="str">
        <f>IF(ISNUMBER(FIND("arbeid",Methode_Keuze)),"",IF(ISNUMBER(FIND("arbeid",Methode_Keuze)),"",IF(Tb_Activiteiten[[#This Row],[Loonkosten]]=1,Tb_Activiteiten[[#Headers],[Loonkosten]],"")))</f>
        <v/>
      </c>
      <c r="AL574" t="str">
        <f>IF(ISNUMBER(FIND("arbeid",Methode_Keuze)),"",IF(ISNUMBER(FIND("arbeid",Methode_Keuze)),"",IF(Tb_Activiteiten[[#This Row],[Eigen arbeid]]=1,Tb_Activiteiten[[#Headers],[Eigen arbeid]],"")))</f>
        <v/>
      </c>
      <c r="AM574" t="str">
        <f>IF(ISNUMBER(FIND("arbeid",Methode_Keuze)),"",IF(ISNUMBER(FIND("arbeid",Methode_Keuze)),"",IF(Tb_Activiteiten[[#This Row],[Projectmedewerker]]=1,Tb_Activiteiten[[#Headers],[Projectmedewerker]],"")))</f>
        <v/>
      </c>
      <c r="AN574" t="str">
        <f>IF(ISNUMBER(FIND("arbeid",Methode_Keuze)),"",IF(ISNUMBER(FIND("arbeid",Methode_Keuze)),"",IF(Tb_Activiteiten[[#This Row],[Landbouwer]]=1,Tb_Activiteiten[[#Headers],[Landbouwer]],"")))</f>
        <v/>
      </c>
      <c r="AO574" t="str">
        <f>IF(ISNUMBER(FIND("arbeid",Methode_Keuze)),"",IF(ISNUMBER(FIND("arbeid",Methode_Keuze)),"",IF(Tb_Activiteiten[[#This Row],[Adviseur]]=1,Tb_Activiteiten[[#Headers],[Adviseur]],"")))</f>
        <v/>
      </c>
      <c r="AP574" t="str">
        <f>IF(ISNUMBER(FIND("arbeid",Methode_Keuze)),"",IF(ISNUMBER(FIND("arbeid",Methode_Keuze)),"",IF(Tb_Activiteiten[[#This Row],[Projectleider/Expert]]=1,Tb_Activiteiten[[#Headers],[Projectleider/Expert]],"")))</f>
        <v/>
      </c>
      <c r="AQ574" t="str">
        <f>IF(ISNUMBER(FIND("arbeid",Methode_Keuze)),"",IF(ISNUMBER(FIND("arbeid",Methode_Keuze)),"",IF(Tb_Activiteiten[[#This Row],[Arbeidskosten]]=1,Tb_Activiteiten[[#Headers],[Arbeidskosten]],"")))</f>
        <v/>
      </c>
      <c r="AR574" t="str">
        <f>IF(ISNUMBER(FIND("arbeid",Methode_Keuze)),"",IF(ISNUMBER(FIND("arbeid",Methode_Keuze)),"",IF(Tb_Activiteiten[[#This Row],[Arbeidskosten op basis van IKS]]=1,Tb_Activiteiten[[#Headers],[Arbeidskosten op basis van IKS]],"")))</f>
        <v/>
      </c>
      <c r="AS574" t="str">
        <f>IF(ISNUMBER(FIND("overige",Methode_Keuze)),"",IF(Tb_Activiteiten[[#This Row],[Kosten derden exclusief btw]]=1,Tb_Activiteiten[[#Headers],[Kosten derden exclusief btw]],""))</f>
        <v/>
      </c>
      <c r="AT574" t="str">
        <f>IF(ISNUMBER(FIND("overige",Methode_Keuze)),"",IF(Tb_Activiteiten[[#This Row],[Niet verrekenbare btw]]=1,Tb_Activiteiten[[#Headers],[Niet verrekenbare btw]],""))</f>
        <v/>
      </c>
      <c r="AU574" t="str">
        <f>IF(ISNUMBER(FIND("overige",Methode_Keuze)),"",IF(Tb_Activiteiten[[#This Row],[Grondkosten]]=1,Tb_Activiteiten[[#Headers],[Grondkosten]],""))</f>
        <v/>
      </c>
      <c r="AV574" t="str">
        <f>IF(ISNUMBER(FIND("overige",Methode_Keuze)),"",IF(Tb_Activiteiten[[#This Row],[Bijdrage in natura (overige)]]=1,Tb_Activiteiten[[#Headers],[Bijdrage in natura (overige)]],""))</f>
        <v/>
      </c>
      <c r="AW574" t="str">
        <f>IF(ISNUMBER(FIND("overige",Methode_Keuze)),"",IF(Tb_Activiteiten[[#This Row],[Bijdrage in natura (vrijwilligers)]]=1,Tb_Activiteiten[[#Headers],[Bijdrage in natura (vrijwilligers)]],""))</f>
        <v/>
      </c>
      <c r="AX574" t="str">
        <f>IF(ISNUMBER(FIND("overige",Methode_Keuze)),"",IF(Tb_Activiteiten[[#This Row],[Afschrijvingskosten]]=1,Tb_Activiteiten[[#Headers],[Afschrijvingskosten]],""))</f>
        <v/>
      </c>
      <c r="AY574" t="str">
        <f>IF(ISNUMBER(FIND("overige",Methode_Keuze)),"",IF(Tb_Activiteiten[[#This Row],[Vergoeding]]=1,Tb_Activiteiten[[#Headers],[Vergoeding]],""))</f>
        <v/>
      </c>
      <c r="AZ574" t="str">
        <f>IF(ISNUMBER(FIND("arbeid",Methode_Keuze)),"",IF(Tb_Activiteiten[[#This Row],[Arbeidskosten - vast tarief (excl eigen arbeid)]]=1,Tb_Activiteiten[[#Headers],[Arbeidskosten - vast tarief (excl eigen arbeid)]],""))</f>
        <v/>
      </c>
      <c r="BA574" t="str">
        <f>IF(ISNUMBER(FIND("overige",Methode_Keuze)),"",IF(Tb_Activiteiten[[#This Row],[Overige kosten]]=1,Tb_Activiteiten[[#Headers],[Overige kosten]],""))</f>
        <v/>
      </c>
    </row>
    <row r="575" spans="1:53" x14ac:dyDescent="0.25">
      <c r="A575" s="231"/>
      <c r="F575" s="64"/>
      <c r="G575" s="64"/>
      <c r="H575" s="275"/>
      <c r="I575" s="275"/>
      <c r="J575" s="275"/>
      <c r="K575" s="275"/>
      <c r="O575" s="56"/>
      <c r="Q575" t="str">
        <f>IFERROR(IF(VLOOKUP(Tb_Activiteiten[[#This Row],[Openstelling]],Tb_Openstelling[],2,0)=1,1,""),"")</f>
        <v/>
      </c>
      <c r="AK575" t="str">
        <f>IF(ISNUMBER(FIND("arbeid",Methode_Keuze)),"",IF(ISNUMBER(FIND("arbeid",Methode_Keuze)),"",IF(Tb_Activiteiten[[#This Row],[Loonkosten]]=1,Tb_Activiteiten[[#Headers],[Loonkosten]],"")))</f>
        <v/>
      </c>
      <c r="AL575" t="str">
        <f>IF(ISNUMBER(FIND("arbeid",Methode_Keuze)),"",IF(ISNUMBER(FIND("arbeid",Methode_Keuze)),"",IF(Tb_Activiteiten[[#This Row],[Eigen arbeid]]=1,Tb_Activiteiten[[#Headers],[Eigen arbeid]],"")))</f>
        <v/>
      </c>
      <c r="AM575" t="str">
        <f>IF(ISNUMBER(FIND("arbeid",Methode_Keuze)),"",IF(ISNUMBER(FIND("arbeid",Methode_Keuze)),"",IF(Tb_Activiteiten[[#This Row],[Projectmedewerker]]=1,Tb_Activiteiten[[#Headers],[Projectmedewerker]],"")))</f>
        <v/>
      </c>
      <c r="AN575" t="str">
        <f>IF(ISNUMBER(FIND("arbeid",Methode_Keuze)),"",IF(ISNUMBER(FIND("arbeid",Methode_Keuze)),"",IF(Tb_Activiteiten[[#This Row],[Landbouwer]]=1,Tb_Activiteiten[[#Headers],[Landbouwer]],"")))</f>
        <v/>
      </c>
      <c r="AO575" t="str">
        <f>IF(ISNUMBER(FIND("arbeid",Methode_Keuze)),"",IF(ISNUMBER(FIND("arbeid",Methode_Keuze)),"",IF(Tb_Activiteiten[[#This Row],[Adviseur]]=1,Tb_Activiteiten[[#Headers],[Adviseur]],"")))</f>
        <v/>
      </c>
      <c r="AP575" t="str">
        <f>IF(ISNUMBER(FIND("arbeid",Methode_Keuze)),"",IF(ISNUMBER(FIND("arbeid",Methode_Keuze)),"",IF(Tb_Activiteiten[[#This Row],[Projectleider/Expert]]=1,Tb_Activiteiten[[#Headers],[Projectleider/Expert]],"")))</f>
        <v/>
      </c>
      <c r="AQ575" t="str">
        <f>IF(ISNUMBER(FIND("arbeid",Methode_Keuze)),"",IF(ISNUMBER(FIND("arbeid",Methode_Keuze)),"",IF(Tb_Activiteiten[[#This Row],[Arbeidskosten]]=1,Tb_Activiteiten[[#Headers],[Arbeidskosten]],"")))</f>
        <v/>
      </c>
      <c r="AR575" t="str">
        <f>IF(ISNUMBER(FIND("arbeid",Methode_Keuze)),"",IF(ISNUMBER(FIND("arbeid",Methode_Keuze)),"",IF(Tb_Activiteiten[[#This Row],[Arbeidskosten op basis van IKS]]=1,Tb_Activiteiten[[#Headers],[Arbeidskosten op basis van IKS]],"")))</f>
        <v/>
      </c>
      <c r="AS575" t="str">
        <f>IF(ISNUMBER(FIND("overige",Methode_Keuze)),"",IF(Tb_Activiteiten[[#This Row],[Kosten derden exclusief btw]]=1,Tb_Activiteiten[[#Headers],[Kosten derden exclusief btw]],""))</f>
        <v/>
      </c>
      <c r="AT575" t="str">
        <f>IF(ISNUMBER(FIND("overige",Methode_Keuze)),"",IF(Tb_Activiteiten[[#This Row],[Niet verrekenbare btw]]=1,Tb_Activiteiten[[#Headers],[Niet verrekenbare btw]],""))</f>
        <v/>
      </c>
      <c r="AU575" t="str">
        <f>IF(ISNUMBER(FIND("overige",Methode_Keuze)),"",IF(Tb_Activiteiten[[#This Row],[Grondkosten]]=1,Tb_Activiteiten[[#Headers],[Grondkosten]],""))</f>
        <v/>
      </c>
      <c r="AV575" t="str">
        <f>IF(ISNUMBER(FIND("overige",Methode_Keuze)),"",IF(Tb_Activiteiten[[#This Row],[Bijdrage in natura (overige)]]=1,Tb_Activiteiten[[#Headers],[Bijdrage in natura (overige)]],""))</f>
        <v/>
      </c>
      <c r="AW575" t="str">
        <f>IF(ISNUMBER(FIND("overige",Methode_Keuze)),"",IF(Tb_Activiteiten[[#This Row],[Bijdrage in natura (vrijwilligers)]]=1,Tb_Activiteiten[[#Headers],[Bijdrage in natura (vrijwilligers)]],""))</f>
        <v/>
      </c>
      <c r="AX575" t="str">
        <f>IF(ISNUMBER(FIND("overige",Methode_Keuze)),"",IF(Tb_Activiteiten[[#This Row],[Afschrijvingskosten]]=1,Tb_Activiteiten[[#Headers],[Afschrijvingskosten]],""))</f>
        <v/>
      </c>
      <c r="AY575" t="str">
        <f>IF(ISNUMBER(FIND("overige",Methode_Keuze)),"",IF(Tb_Activiteiten[[#This Row],[Vergoeding]]=1,Tb_Activiteiten[[#Headers],[Vergoeding]],""))</f>
        <v/>
      </c>
      <c r="AZ575" t="str">
        <f>IF(ISNUMBER(FIND("arbeid",Methode_Keuze)),"",IF(Tb_Activiteiten[[#This Row],[Arbeidskosten - vast tarief (excl eigen arbeid)]]=1,Tb_Activiteiten[[#Headers],[Arbeidskosten - vast tarief (excl eigen arbeid)]],""))</f>
        <v/>
      </c>
      <c r="BA575" t="str">
        <f>IF(ISNUMBER(FIND("overige",Methode_Keuze)),"",IF(Tb_Activiteiten[[#This Row],[Overige kosten]]=1,Tb_Activiteiten[[#Headers],[Overige kosten]],""))</f>
        <v/>
      </c>
    </row>
    <row r="576" spans="1:53" x14ac:dyDescent="0.25">
      <c r="A576" s="231"/>
      <c r="F576" s="64"/>
      <c r="G576" s="64"/>
      <c r="H576" s="275"/>
      <c r="I576" s="275"/>
      <c r="J576" s="275"/>
      <c r="K576" s="275"/>
      <c r="O576" s="56"/>
      <c r="Q576" t="str">
        <f>IFERROR(IF(VLOOKUP(Tb_Activiteiten[[#This Row],[Openstelling]],Tb_Openstelling[],2,0)=1,1,""),"")</f>
        <v/>
      </c>
      <c r="AK576" t="str">
        <f>IF(ISNUMBER(FIND("arbeid",Methode_Keuze)),"",IF(ISNUMBER(FIND("arbeid",Methode_Keuze)),"",IF(Tb_Activiteiten[[#This Row],[Loonkosten]]=1,Tb_Activiteiten[[#Headers],[Loonkosten]],"")))</f>
        <v/>
      </c>
      <c r="AL576" t="str">
        <f>IF(ISNUMBER(FIND("arbeid",Methode_Keuze)),"",IF(ISNUMBER(FIND("arbeid",Methode_Keuze)),"",IF(Tb_Activiteiten[[#This Row],[Eigen arbeid]]=1,Tb_Activiteiten[[#Headers],[Eigen arbeid]],"")))</f>
        <v/>
      </c>
      <c r="AM576" t="str">
        <f>IF(ISNUMBER(FIND("arbeid",Methode_Keuze)),"",IF(ISNUMBER(FIND("arbeid",Methode_Keuze)),"",IF(Tb_Activiteiten[[#This Row],[Projectmedewerker]]=1,Tb_Activiteiten[[#Headers],[Projectmedewerker]],"")))</f>
        <v/>
      </c>
      <c r="AN576" t="str">
        <f>IF(ISNUMBER(FIND("arbeid",Methode_Keuze)),"",IF(ISNUMBER(FIND("arbeid",Methode_Keuze)),"",IF(Tb_Activiteiten[[#This Row],[Landbouwer]]=1,Tb_Activiteiten[[#Headers],[Landbouwer]],"")))</f>
        <v/>
      </c>
      <c r="AO576" t="str">
        <f>IF(ISNUMBER(FIND("arbeid",Methode_Keuze)),"",IF(ISNUMBER(FIND("arbeid",Methode_Keuze)),"",IF(Tb_Activiteiten[[#This Row],[Adviseur]]=1,Tb_Activiteiten[[#Headers],[Adviseur]],"")))</f>
        <v/>
      </c>
      <c r="AP576" t="str">
        <f>IF(ISNUMBER(FIND("arbeid",Methode_Keuze)),"",IF(ISNUMBER(FIND("arbeid",Methode_Keuze)),"",IF(Tb_Activiteiten[[#This Row],[Projectleider/Expert]]=1,Tb_Activiteiten[[#Headers],[Projectleider/Expert]],"")))</f>
        <v/>
      </c>
      <c r="AQ576" t="str">
        <f>IF(ISNUMBER(FIND("arbeid",Methode_Keuze)),"",IF(ISNUMBER(FIND("arbeid",Methode_Keuze)),"",IF(Tb_Activiteiten[[#This Row],[Arbeidskosten]]=1,Tb_Activiteiten[[#Headers],[Arbeidskosten]],"")))</f>
        <v/>
      </c>
      <c r="AR576" t="str">
        <f>IF(ISNUMBER(FIND("arbeid",Methode_Keuze)),"",IF(ISNUMBER(FIND("arbeid",Methode_Keuze)),"",IF(Tb_Activiteiten[[#This Row],[Arbeidskosten op basis van IKS]]=1,Tb_Activiteiten[[#Headers],[Arbeidskosten op basis van IKS]],"")))</f>
        <v/>
      </c>
      <c r="AS576" t="str">
        <f>IF(ISNUMBER(FIND("overige",Methode_Keuze)),"",IF(Tb_Activiteiten[[#This Row],[Kosten derden exclusief btw]]=1,Tb_Activiteiten[[#Headers],[Kosten derden exclusief btw]],""))</f>
        <v/>
      </c>
      <c r="AT576" t="str">
        <f>IF(ISNUMBER(FIND("overige",Methode_Keuze)),"",IF(Tb_Activiteiten[[#This Row],[Niet verrekenbare btw]]=1,Tb_Activiteiten[[#Headers],[Niet verrekenbare btw]],""))</f>
        <v/>
      </c>
      <c r="AU576" t="str">
        <f>IF(ISNUMBER(FIND("overige",Methode_Keuze)),"",IF(Tb_Activiteiten[[#This Row],[Grondkosten]]=1,Tb_Activiteiten[[#Headers],[Grondkosten]],""))</f>
        <v/>
      </c>
      <c r="AV576" t="str">
        <f>IF(ISNUMBER(FIND("overige",Methode_Keuze)),"",IF(Tb_Activiteiten[[#This Row],[Bijdrage in natura (overige)]]=1,Tb_Activiteiten[[#Headers],[Bijdrage in natura (overige)]],""))</f>
        <v/>
      </c>
      <c r="AW576" t="str">
        <f>IF(ISNUMBER(FIND("overige",Methode_Keuze)),"",IF(Tb_Activiteiten[[#This Row],[Bijdrage in natura (vrijwilligers)]]=1,Tb_Activiteiten[[#Headers],[Bijdrage in natura (vrijwilligers)]],""))</f>
        <v/>
      </c>
      <c r="AX576" t="str">
        <f>IF(ISNUMBER(FIND("overige",Methode_Keuze)),"",IF(Tb_Activiteiten[[#This Row],[Afschrijvingskosten]]=1,Tb_Activiteiten[[#Headers],[Afschrijvingskosten]],""))</f>
        <v/>
      </c>
      <c r="AY576" t="str">
        <f>IF(ISNUMBER(FIND("overige",Methode_Keuze)),"",IF(Tb_Activiteiten[[#This Row],[Vergoeding]]=1,Tb_Activiteiten[[#Headers],[Vergoeding]],""))</f>
        <v/>
      </c>
      <c r="AZ576" t="str">
        <f>IF(ISNUMBER(FIND("arbeid",Methode_Keuze)),"",IF(Tb_Activiteiten[[#This Row],[Arbeidskosten - vast tarief (excl eigen arbeid)]]=1,Tb_Activiteiten[[#Headers],[Arbeidskosten - vast tarief (excl eigen arbeid)]],""))</f>
        <v/>
      </c>
      <c r="BA576" t="str">
        <f>IF(ISNUMBER(FIND("overige",Methode_Keuze)),"",IF(Tb_Activiteiten[[#This Row],[Overige kosten]]=1,Tb_Activiteiten[[#Headers],[Overige kosten]],""))</f>
        <v/>
      </c>
    </row>
    <row r="577" spans="1:53" x14ac:dyDescent="0.25">
      <c r="A577" s="231"/>
      <c r="F577" s="64"/>
      <c r="G577" s="64"/>
      <c r="H577" s="275"/>
      <c r="I577" s="275"/>
      <c r="J577" s="275"/>
      <c r="K577" s="275"/>
      <c r="O577" s="56"/>
      <c r="Q577" t="str">
        <f>IFERROR(IF(VLOOKUP(Tb_Activiteiten[[#This Row],[Openstelling]],Tb_Openstelling[],2,0)=1,1,""),"")</f>
        <v/>
      </c>
      <c r="AK577" t="str">
        <f>IF(ISNUMBER(FIND("arbeid",Methode_Keuze)),"",IF(ISNUMBER(FIND("arbeid",Methode_Keuze)),"",IF(Tb_Activiteiten[[#This Row],[Loonkosten]]=1,Tb_Activiteiten[[#Headers],[Loonkosten]],"")))</f>
        <v/>
      </c>
      <c r="AL577" t="str">
        <f>IF(ISNUMBER(FIND("arbeid",Methode_Keuze)),"",IF(ISNUMBER(FIND("arbeid",Methode_Keuze)),"",IF(Tb_Activiteiten[[#This Row],[Eigen arbeid]]=1,Tb_Activiteiten[[#Headers],[Eigen arbeid]],"")))</f>
        <v/>
      </c>
      <c r="AM577" t="str">
        <f>IF(ISNUMBER(FIND("arbeid",Methode_Keuze)),"",IF(ISNUMBER(FIND("arbeid",Methode_Keuze)),"",IF(Tb_Activiteiten[[#This Row],[Projectmedewerker]]=1,Tb_Activiteiten[[#Headers],[Projectmedewerker]],"")))</f>
        <v/>
      </c>
      <c r="AN577" t="str">
        <f>IF(ISNUMBER(FIND("arbeid",Methode_Keuze)),"",IF(ISNUMBER(FIND("arbeid",Methode_Keuze)),"",IF(Tb_Activiteiten[[#This Row],[Landbouwer]]=1,Tb_Activiteiten[[#Headers],[Landbouwer]],"")))</f>
        <v/>
      </c>
      <c r="AO577" t="str">
        <f>IF(ISNUMBER(FIND("arbeid",Methode_Keuze)),"",IF(ISNUMBER(FIND("arbeid",Methode_Keuze)),"",IF(Tb_Activiteiten[[#This Row],[Adviseur]]=1,Tb_Activiteiten[[#Headers],[Adviseur]],"")))</f>
        <v/>
      </c>
      <c r="AP577" t="str">
        <f>IF(ISNUMBER(FIND("arbeid",Methode_Keuze)),"",IF(ISNUMBER(FIND("arbeid",Methode_Keuze)),"",IF(Tb_Activiteiten[[#This Row],[Projectleider/Expert]]=1,Tb_Activiteiten[[#Headers],[Projectleider/Expert]],"")))</f>
        <v/>
      </c>
      <c r="AQ577" t="str">
        <f>IF(ISNUMBER(FIND("arbeid",Methode_Keuze)),"",IF(ISNUMBER(FIND("arbeid",Methode_Keuze)),"",IF(Tb_Activiteiten[[#This Row],[Arbeidskosten]]=1,Tb_Activiteiten[[#Headers],[Arbeidskosten]],"")))</f>
        <v/>
      </c>
      <c r="AR577" t="str">
        <f>IF(ISNUMBER(FIND("arbeid",Methode_Keuze)),"",IF(ISNUMBER(FIND("arbeid",Methode_Keuze)),"",IF(Tb_Activiteiten[[#This Row],[Arbeidskosten op basis van IKS]]=1,Tb_Activiteiten[[#Headers],[Arbeidskosten op basis van IKS]],"")))</f>
        <v/>
      </c>
      <c r="AS577" t="str">
        <f>IF(ISNUMBER(FIND("overige",Methode_Keuze)),"",IF(Tb_Activiteiten[[#This Row],[Kosten derden exclusief btw]]=1,Tb_Activiteiten[[#Headers],[Kosten derden exclusief btw]],""))</f>
        <v/>
      </c>
      <c r="AT577" t="str">
        <f>IF(ISNUMBER(FIND("overige",Methode_Keuze)),"",IF(Tb_Activiteiten[[#This Row],[Niet verrekenbare btw]]=1,Tb_Activiteiten[[#Headers],[Niet verrekenbare btw]],""))</f>
        <v/>
      </c>
      <c r="AU577" t="str">
        <f>IF(ISNUMBER(FIND("overige",Methode_Keuze)),"",IF(Tb_Activiteiten[[#This Row],[Grondkosten]]=1,Tb_Activiteiten[[#Headers],[Grondkosten]],""))</f>
        <v/>
      </c>
      <c r="AV577" t="str">
        <f>IF(ISNUMBER(FIND("overige",Methode_Keuze)),"",IF(Tb_Activiteiten[[#This Row],[Bijdrage in natura (overige)]]=1,Tb_Activiteiten[[#Headers],[Bijdrage in natura (overige)]],""))</f>
        <v/>
      </c>
      <c r="AW577" t="str">
        <f>IF(ISNUMBER(FIND("overige",Methode_Keuze)),"",IF(Tb_Activiteiten[[#This Row],[Bijdrage in natura (vrijwilligers)]]=1,Tb_Activiteiten[[#Headers],[Bijdrage in natura (vrijwilligers)]],""))</f>
        <v/>
      </c>
      <c r="AX577" t="str">
        <f>IF(ISNUMBER(FIND("overige",Methode_Keuze)),"",IF(Tb_Activiteiten[[#This Row],[Afschrijvingskosten]]=1,Tb_Activiteiten[[#Headers],[Afschrijvingskosten]],""))</f>
        <v/>
      </c>
      <c r="AY577" t="str">
        <f>IF(ISNUMBER(FIND("overige",Methode_Keuze)),"",IF(Tb_Activiteiten[[#This Row],[Vergoeding]]=1,Tb_Activiteiten[[#Headers],[Vergoeding]],""))</f>
        <v/>
      </c>
      <c r="AZ577" t="str">
        <f>IF(ISNUMBER(FIND("arbeid",Methode_Keuze)),"",IF(Tb_Activiteiten[[#This Row],[Arbeidskosten - vast tarief (excl eigen arbeid)]]=1,Tb_Activiteiten[[#Headers],[Arbeidskosten - vast tarief (excl eigen arbeid)]],""))</f>
        <v/>
      </c>
      <c r="BA577" t="str">
        <f>IF(ISNUMBER(FIND("overige",Methode_Keuze)),"",IF(Tb_Activiteiten[[#This Row],[Overige kosten]]=1,Tb_Activiteiten[[#Headers],[Overige kosten]],""))</f>
        <v/>
      </c>
    </row>
    <row r="578" spans="1:53" x14ac:dyDescent="0.25">
      <c r="A578" s="231"/>
      <c r="F578" s="64"/>
      <c r="G578" s="64"/>
      <c r="H578" s="275"/>
      <c r="I578" s="275"/>
      <c r="J578" s="275"/>
      <c r="K578" s="275"/>
      <c r="O578" s="56"/>
      <c r="Q578" t="str">
        <f>IFERROR(IF(VLOOKUP(Tb_Activiteiten[[#This Row],[Openstelling]],Tb_Openstelling[],2,0)=1,1,""),"")</f>
        <v/>
      </c>
      <c r="AK578" t="str">
        <f>IF(ISNUMBER(FIND("arbeid",Methode_Keuze)),"",IF(ISNUMBER(FIND("arbeid",Methode_Keuze)),"",IF(Tb_Activiteiten[[#This Row],[Loonkosten]]=1,Tb_Activiteiten[[#Headers],[Loonkosten]],"")))</f>
        <v/>
      </c>
      <c r="AL578" t="str">
        <f>IF(ISNUMBER(FIND("arbeid",Methode_Keuze)),"",IF(ISNUMBER(FIND("arbeid",Methode_Keuze)),"",IF(Tb_Activiteiten[[#This Row],[Eigen arbeid]]=1,Tb_Activiteiten[[#Headers],[Eigen arbeid]],"")))</f>
        <v/>
      </c>
      <c r="AM578" t="str">
        <f>IF(ISNUMBER(FIND("arbeid",Methode_Keuze)),"",IF(ISNUMBER(FIND("arbeid",Methode_Keuze)),"",IF(Tb_Activiteiten[[#This Row],[Projectmedewerker]]=1,Tb_Activiteiten[[#Headers],[Projectmedewerker]],"")))</f>
        <v/>
      </c>
      <c r="AN578" t="str">
        <f>IF(ISNUMBER(FIND("arbeid",Methode_Keuze)),"",IF(ISNUMBER(FIND("arbeid",Methode_Keuze)),"",IF(Tb_Activiteiten[[#This Row],[Landbouwer]]=1,Tb_Activiteiten[[#Headers],[Landbouwer]],"")))</f>
        <v/>
      </c>
      <c r="AO578" t="str">
        <f>IF(ISNUMBER(FIND("arbeid",Methode_Keuze)),"",IF(ISNUMBER(FIND("arbeid",Methode_Keuze)),"",IF(Tb_Activiteiten[[#This Row],[Adviseur]]=1,Tb_Activiteiten[[#Headers],[Adviseur]],"")))</f>
        <v/>
      </c>
      <c r="AP578" t="str">
        <f>IF(ISNUMBER(FIND("arbeid",Methode_Keuze)),"",IF(ISNUMBER(FIND("arbeid",Methode_Keuze)),"",IF(Tb_Activiteiten[[#This Row],[Projectleider/Expert]]=1,Tb_Activiteiten[[#Headers],[Projectleider/Expert]],"")))</f>
        <v/>
      </c>
      <c r="AQ578" t="str">
        <f>IF(ISNUMBER(FIND("arbeid",Methode_Keuze)),"",IF(ISNUMBER(FIND("arbeid",Methode_Keuze)),"",IF(Tb_Activiteiten[[#This Row],[Arbeidskosten]]=1,Tb_Activiteiten[[#Headers],[Arbeidskosten]],"")))</f>
        <v/>
      </c>
      <c r="AR578" t="str">
        <f>IF(ISNUMBER(FIND("arbeid",Methode_Keuze)),"",IF(ISNUMBER(FIND("arbeid",Methode_Keuze)),"",IF(Tb_Activiteiten[[#This Row],[Arbeidskosten op basis van IKS]]=1,Tb_Activiteiten[[#Headers],[Arbeidskosten op basis van IKS]],"")))</f>
        <v/>
      </c>
      <c r="AS578" t="str">
        <f>IF(ISNUMBER(FIND("overige",Methode_Keuze)),"",IF(Tb_Activiteiten[[#This Row],[Kosten derden exclusief btw]]=1,Tb_Activiteiten[[#Headers],[Kosten derden exclusief btw]],""))</f>
        <v/>
      </c>
      <c r="AT578" t="str">
        <f>IF(ISNUMBER(FIND("overige",Methode_Keuze)),"",IF(Tb_Activiteiten[[#This Row],[Niet verrekenbare btw]]=1,Tb_Activiteiten[[#Headers],[Niet verrekenbare btw]],""))</f>
        <v/>
      </c>
      <c r="AU578" t="str">
        <f>IF(ISNUMBER(FIND("overige",Methode_Keuze)),"",IF(Tb_Activiteiten[[#This Row],[Grondkosten]]=1,Tb_Activiteiten[[#Headers],[Grondkosten]],""))</f>
        <v/>
      </c>
      <c r="AV578" t="str">
        <f>IF(ISNUMBER(FIND("overige",Methode_Keuze)),"",IF(Tb_Activiteiten[[#This Row],[Bijdrage in natura (overige)]]=1,Tb_Activiteiten[[#Headers],[Bijdrage in natura (overige)]],""))</f>
        <v/>
      </c>
      <c r="AW578" t="str">
        <f>IF(ISNUMBER(FIND("overige",Methode_Keuze)),"",IF(Tb_Activiteiten[[#This Row],[Bijdrage in natura (vrijwilligers)]]=1,Tb_Activiteiten[[#Headers],[Bijdrage in natura (vrijwilligers)]],""))</f>
        <v/>
      </c>
      <c r="AX578" t="str">
        <f>IF(ISNUMBER(FIND("overige",Methode_Keuze)),"",IF(Tb_Activiteiten[[#This Row],[Afschrijvingskosten]]=1,Tb_Activiteiten[[#Headers],[Afschrijvingskosten]],""))</f>
        <v/>
      </c>
      <c r="AY578" t="str">
        <f>IF(ISNUMBER(FIND("overige",Methode_Keuze)),"",IF(Tb_Activiteiten[[#This Row],[Vergoeding]]=1,Tb_Activiteiten[[#Headers],[Vergoeding]],""))</f>
        <v/>
      </c>
      <c r="AZ578" t="str">
        <f>IF(ISNUMBER(FIND("arbeid",Methode_Keuze)),"",IF(Tb_Activiteiten[[#This Row],[Arbeidskosten - vast tarief (excl eigen arbeid)]]=1,Tb_Activiteiten[[#Headers],[Arbeidskosten - vast tarief (excl eigen arbeid)]],""))</f>
        <v/>
      </c>
      <c r="BA578" t="str">
        <f>IF(ISNUMBER(FIND("overige",Methode_Keuze)),"",IF(Tb_Activiteiten[[#This Row],[Overige kosten]]=1,Tb_Activiteiten[[#Headers],[Overige kosten]],""))</f>
        <v/>
      </c>
    </row>
    <row r="579" spans="1:53" x14ac:dyDescent="0.25">
      <c r="A579" s="231"/>
      <c r="F579" s="64"/>
      <c r="G579" s="64"/>
      <c r="H579" s="275"/>
      <c r="I579" s="275"/>
      <c r="J579" s="275"/>
      <c r="K579" s="275"/>
      <c r="O579" s="56"/>
      <c r="Q579" t="str">
        <f>IFERROR(IF(VLOOKUP(Tb_Activiteiten[[#This Row],[Openstelling]],Tb_Openstelling[],2,0)=1,1,""),"")</f>
        <v/>
      </c>
      <c r="AK579" t="str">
        <f>IF(ISNUMBER(FIND("arbeid",Methode_Keuze)),"",IF(ISNUMBER(FIND("arbeid",Methode_Keuze)),"",IF(Tb_Activiteiten[[#This Row],[Loonkosten]]=1,Tb_Activiteiten[[#Headers],[Loonkosten]],"")))</f>
        <v/>
      </c>
      <c r="AL579" t="str">
        <f>IF(ISNUMBER(FIND("arbeid",Methode_Keuze)),"",IF(ISNUMBER(FIND("arbeid",Methode_Keuze)),"",IF(Tb_Activiteiten[[#This Row],[Eigen arbeid]]=1,Tb_Activiteiten[[#Headers],[Eigen arbeid]],"")))</f>
        <v/>
      </c>
      <c r="AM579" t="str">
        <f>IF(ISNUMBER(FIND("arbeid",Methode_Keuze)),"",IF(ISNUMBER(FIND("arbeid",Methode_Keuze)),"",IF(Tb_Activiteiten[[#This Row],[Projectmedewerker]]=1,Tb_Activiteiten[[#Headers],[Projectmedewerker]],"")))</f>
        <v/>
      </c>
      <c r="AN579" t="str">
        <f>IF(ISNUMBER(FIND("arbeid",Methode_Keuze)),"",IF(ISNUMBER(FIND("arbeid",Methode_Keuze)),"",IF(Tb_Activiteiten[[#This Row],[Landbouwer]]=1,Tb_Activiteiten[[#Headers],[Landbouwer]],"")))</f>
        <v/>
      </c>
      <c r="AO579" t="str">
        <f>IF(ISNUMBER(FIND("arbeid",Methode_Keuze)),"",IF(ISNUMBER(FIND("arbeid",Methode_Keuze)),"",IF(Tb_Activiteiten[[#This Row],[Adviseur]]=1,Tb_Activiteiten[[#Headers],[Adviseur]],"")))</f>
        <v/>
      </c>
      <c r="AP579" t="str">
        <f>IF(ISNUMBER(FIND("arbeid",Methode_Keuze)),"",IF(ISNUMBER(FIND("arbeid",Methode_Keuze)),"",IF(Tb_Activiteiten[[#This Row],[Projectleider/Expert]]=1,Tb_Activiteiten[[#Headers],[Projectleider/Expert]],"")))</f>
        <v/>
      </c>
      <c r="AQ579" t="str">
        <f>IF(ISNUMBER(FIND("arbeid",Methode_Keuze)),"",IF(ISNUMBER(FIND("arbeid",Methode_Keuze)),"",IF(Tb_Activiteiten[[#This Row],[Arbeidskosten]]=1,Tb_Activiteiten[[#Headers],[Arbeidskosten]],"")))</f>
        <v/>
      </c>
      <c r="AR579" t="str">
        <f>IF(ISNUMBER(FIND("arbeid",Methode_Keuze)),"",IF(ISNUMBER(FIND("arbeid",Methode_Keuze)),"",IF(Tb_Activiteiten[[#This Row],[Arbeidskosten op basis van IKS]]=1,Tb_Activiteiten[[#Headers],[Arbeidskosten op basis van IKS]],"")))</f>
        <v/>
      </c>
      <c r="AS579" t="str">
        <f>IF(ISNUMBER(FIND("overige",Methode_Keuze)),"",IF(Tb_Activiteiten[[#This Row],[Kosten derden exclusief btw]]=1,Tb_Activiteiten[[#Headers],[Kosten derden exclusief btw]],""))</f>
        <v/>
      </c>
      <c r="AT579" t="str">
        <f>IF(ISNUMBER(FIND("overige",Methode_Keuze)),"",IF(Tb_Activiteiten[[#This Row],[Niet verrekenbare btw]]=1,Tb_Activiteiten[[#Headers],[Niet verrekenbare btw]],""))</f>
        <v/>
      </c>
      <c r="AU579" t="str">
        <f>IF(ISNUMBER(FIND("overige",Methode_Keuze)),"",IF(Tb_Activiteiten[[#This Row],[Grondkosten]]=1,Tb_Activiteiten[[#Headers],[Grondkosten]],""))</f>
        <v/>
      </c>
      <c r="AV579" t="str">
        <f>IF(ISNUMBER(FIND("overige",Methode_Keuze)),"",IF(Tb_Activiteiten[[#This Row],[Bijdrage in natura (overige)]]=1,Tb_Activiteiten[[#Headers],[Bijdrage in natura (overige)]],""))</f>
        <v/>
      </c>
      <c r="AW579" t="str">
        <f>IF(ISNUMBER(FIND("overige",Methode_Keuze)),"",IF(Tb_Activiteiten[[#This Row],[Bijdrage in natura (vrijwilligers)]]=1,Tb_Activiteiten[[#Headers],[Bijdrage in natura (vrijwilligers)]],""))</f>
        <v/>
      </c>
      <c r="AX579" t="str">
        <f>IF(ISNUMBER(FIND("overige",Methode_Keuze)),"",IF(Tb_Activiteiten[[#This Row],[Afschrijvingskosten]]=1,Tb_Activiteiten[[#Headers],[Afschrijvingskosten]],""))</f>
        <v/>
      </c>
      <c r="AY579" t="str">
        <f>IF(ISNUMBER(FIND("overige",Methode_Keuze)),"",IF(Tb_Activiteiten[[#This Row],[Vergoeding]]=1,Tb_Activiteiten[[#Headers],[Vergoeding]],""))</f>
        <v/>
      </c>
      <c r="AZ579" t="str">
        <f>IF(ISNUMBER(FIND("arbeid",Methode_Keuze)),"",IF(Tb_Activiteiten[[#This Row],[Arbeidskosten - vast tarief (excl eigen arbeid)]]=1,Tb_Activiteiten[[#Headers],[Arbeidskosten - vast tarief (excl eigen arbeid)]],""))</f>
        <v/>
      </c>
      <c r="BA579" t="str">
        <f>IF(ISNUMBER(FIND("overige",Methode_Keuze)),"",IF(Tb_Activiteiten[[#This Row],[Overige kosten]]=1,Tb_Activiteiten[[#Headers],[Overige kosten]],""))</f>
        <v/>
      </c>
    </row>
    <row r="580" spans="1:53" x14ac:dyDescent="0.25">
      <c r="A580" s="231"/>
      <c r="F580" s="64"/>
      <c r="G580" s="64"/>
      <c r="H580" s="275"/>
      <c r="I580" s="275"/>
      <c r="J580" s="275"/>
      <c r="K580" s="275"/>
      <c r="O580" s="56"/>
      <c r="Q580" t="str">
        <f>IFERROR(IF(VLOOKUP(Tb_Activiteiten[[#This Row],[Openstelling]],Tb_Openstelling[],2,0)=1,1,""),"")</f>
        <v/>
      </c>
      <c r="AK580" t="str">
        <f>IF(ISNUMBER(FIND("arbeid",Methode_Keuze)),"",IF(ISNUMBER(FIND("arbeid",Methode_Keuze)),"",IF(Tb_Activiteiten[[#This Row],[Loonkosten]]=1,Tb_Activiteiten[[#Headers],[Loonkosten]],"")))</f>
        <v/>
      </c>
      <c r="AL580" t="str">
        <f>IF(ISNUMBER(FIND("arbeid",Methode_Keuze)),"",IF(ISNUMBER(FIND("arbeid",Methode_Keuze)),"",IF(Tb_Activiteiten[[#This Row],[Eigen arbeid]]=1,Tb_Activiteiten[[#Headers],[Eigen arbeid]],"")))</f>
        <v/>
      </c>
      <c r="AM580" t="str">
        <f>IF(ISNUMBER(FIND("arbeid",Methode_Keuze)),"",IF(ISNUMBER(FIND("arbeid",Methode_Keuze)),"",IF(Tb_Activiteiten[[#This Row],[Projectmedewerker]]=1,Tb_Activiteiten[[#Headers],[Projectmedewerker]],"")))</f>
        <v/>
      </c>
      <c r="AN580" t="str">
        <f>IF(ISNUMBER(FIND("arbeid",Methode_Keuze)),"",IF(ISNUMBER(FIND("arbeid",Methode_Keuze)),"",IF(Tb_Activiteiten[[#This Row],[Landbouwer]]=1,Tb_Activiteiten[[#Headers],[Landbouwer]],"")))</f>
        <v/>
      </c>
      <c r="AO580" t="str">
        <f>IF(ISNUMBER(FIND("arbeid",Methode_Keuze)),"",IF(ISNUMBER(FIND("arbeid",Methode_Keuze)),"",IF(Tb_Activiteiten[[#This Row],[Adviseur]]=1,Tb_Activiteiten[[#Headers],[Adviseur]],"")))</f>
        <v/>
      </c>
      <c r="AP580" t="str">
        <f>IF(ISNUMBER(FIND("arbeid",Methode_Keuze)),"",IF(ISNUMBER(FIND("arbeid",Methode_Keuze)),"",IF(Tb_Activiteiten[[#This Row],[Projectleider/Expert]]=1,Tb_Activiteiten[[#Headers],[Projectleider/Expert]],"")))</f>
        <v/>
      </c>
      <c r="AQ580" t="str">
        <f>IF(ISNUMBER(FIND("arbeid",Methode_Keuze)),"",IF(ISNUMBER(FIND("arbeid",Methode_Keuze)),"",IF(Tb_Activiteiten[[#This Row],[Arbeidskosten]]=1,Tb_Activiteiten[[#Headers],[Arbeidskosten]],"")))</f>
        <v/>
      </c>
      <c r="AR580" t="str">
        <f>IF(ISNUMBER(FIND("arbeid",Methode_Keuze)),"",IF(ISNUMBER(FIND("arbeid",Methode_Keuze)),"",IF(Tb_Activiteiten[[#This Row],[Arbeidskosten op basis van IKS]]=1,Tb_Activiteiten[[#Headers],[Arbeidskosten op basis van IKS]],"")))</f>
        <v/>
      </c>
      <c r="AS580" t="str">
        <f>IF(ISNUMBER(FIND("overige",Methode_Keuze)),"",IF(Tb_Activiteiten[[#This Row],[Kosten derden exclusief btw]]=1,Tb_Activiteiten[[#Headers],[Kosten derden exclusief btw]],""))</f>
        <v/>
      </c>
      <c r="AT580" t="str">
        <f>IF(ISNUMBER(FIND("overige",Methode_Keuze)),"",IF(Tb_Activiteiten[[#This Row],[Niet verrekenbare btw]]=1,Tb_Activiteiten[[#Headers],[Niet verrekenbare btw]],""))</f>
        <v/>
      </c>
      <c r="AU580" t="str">
        <f>IF(ISNUMBER(FIND("overige",Methode_Keuze)),"",IF(Tb_Activiteiten[[#This Row],[Grondkosten]]=1,Tb_Activiteiten[[#Headers],[Grondkosten]],""))</f>
        <v/>
      </c>
      <c r="AV580" t="str">
        <f>IF(ISNUMBER(FIND("overige",Methode_Keuze)),"",IF(Tb_Activiteiten[[#This Row],[Bijdrage in natura (overige)]]=1,Tb_Activiteiten[[#Headers],[Bijdrage in natura (overige)]],""))</f>
        <v/>
      </c>
      <c r="AW580" t="str">
        <f>IF(ISNUMBER(FIND("overige",Methode_Keuze)),"",IF(Tb_Activiteiten[[#This Row],[Bijdrage in natura (vrijwilligers)]]=1,Tb_Activiteiten[[#Headers],[Bijdrage in natura (vrijwilligers)]],""))</f>
        <v/>
      </c>
      <c r="AX580" t="str">
        <f>IF(ISNUMBER(FIND("overige",Methode_Keuze)),"",IF(Tb_Activiteiten[[#This Row],[Afschrijvingskosten]]=1,Tb_Activiteiten[[#Headers],[Afschrijvingskosten]],""))</f>
        <v/>
      </c>
      <c r="AY580" t="str">
        <f>IF(ISNUMBER(FIND("overige",Methode_Keuze)),"",IF(Tb_Activiteiten[[#This Row],[Vergoeding]]=1,Tb_Activiteiten[[#Headers],[Vergoeding]],""))</f>
        <v/>
      </c>
      <c r="AZ580" t="str">
        <f>IF(ISNUMBER(FIND("arbeid",Methode_Keuze)),"",IF(Tb_Activiteiten[[#This Row],[Arbeidskosten - vast tarief (excl eigen arbeid)]]=1,Tb_Activiteiten[[#Headers],[Arbeidskosten - vast tarief (excl eigen arbeid)]],""))</f>
        <v/>
      </c>
      <c r="BA580" t="str">
        <f>IF(ISNUMBER(FIND("overige",Methode_Keuze)),"",IF(Tb_Activiteiten[[#This Row],[Overige kosten]]=1,Tb_Activiteiten[[#Headers],[Overige kosten]],""))</f>
        <v/>
      </c>
    </row>
    <row r="581" spans="1:53" x14ac:dyDescent="0.25">
      <c r="A581" s="231"/>
      <c r="F581" s="64"/>
      <c r="G581" s="64"/>
      <c r="H581" s="275"/>
      <c r="I581" s="275"/>
      <c r="J581" s="275"/>
      <c r="K581" s="275"/>
      <c r="O581" s="56"/>
      <c r="Q581" t="str">
        <f>IFERROR(IF(VLOOKUP(Tb_Activiteiten[[#This Row],[Openstelling]],Tb_Openstelling[],2,0)=1,1,""),"")</f>
        <v/>
      </c>
      <c r="AK581" t="str">
        <f>IF(ISNUMBER(FIND("arbeid",Methode_Keuze)),"",IF(ISNUMBER(FIND("arbeid",Methode_Keuze)),"",IF(Tb_Activiteiten[[#This Row],[Loonkosten]]=1,Tb_Activiteiten[[#Headers],[Loonkosten]],"")))</f>
        <v/>
      </c>
      <c r="AL581" t="str">
        <f>IF(ISNUMBER(FIND("arbeid",Methode_Keuze)),"",IF(ISNUMBER(FIND("arbeid",Methode_Keuze)),"",IF(Tb_Activiteiten[[#This Row],[Eigen arbeid]]=1,Tb_Activiteiten[[#Headers],[Eigen arbeid]],"")))</f>
        <v/>
      </c>
      <c r="AM581" t="str">
        <f>IF(ISNUMBER(FIND("arbeid",Methode_Keuze)),"",IF(ISNUMBER(FIND("arbeid",Methode_Keuze)),"",IF(Tb_Activiteiten[[#This Row],[Projectmedewerker]]=1,Tb_Activiteiten[[#Headers],[Projectmedewerker]],"")))</f>
        <v/>
      </c>
      <c r="AN581" t="str">
        <f>IF(ISNUMBER(FIND("arbeid",Methode_Keuze)),"",IF(ISNUMBER(FIND("arbeid",Methode_Keuze)),"",IF(Tb_Activiteiten[[#This Row],[Landbouwer]]=1,Tb_Activiteiten[[#Headers],[Landbouwer]],"")))</f>
        <v/>
      </c>
      <c r="AO581" t="str">
        <f>IF(ISNUMBER(FIND("arbeid",Methode_Keuze)),"",IF(ISNUMBER(FIND("arbeid",Methode_Keuze)),"",IF(Tb_Activiteiten[[#This Row],[Adviseur]]=1,Tb_Activiteiten[[#Headers],[Adviseur]],"")))</f>
        <v/>
      </c>
      <c r="AP581" t="str">
        <f>IF(ISNUMBER(FIND("arbeid",Methode_Keuze)),"",IF(ISNUMBER(FIND("arbeid",Methode_Keuze)),"",IF(Tb_Activiteiten[[#This Row],[Projectleider/Expert]]=1,Tb_Activiteiten[[#Headers],[Projectleider/Expert]],"")))</f>
        <v/>
      </c>
      <c r="AQ581" t="str">
        <f>IF(ISNUMBER(FIND("arbeid",Methode_Keuze)),"",IF(ISNUMBER(FIND("arbeid",Methode_Keuze)),"",IF(Tb_Activiteiten[[#This Row],[Arbeidskosten]]=1,Tb_Activiteiten[[#Headers],[Arbeidskosten]],"")))</f>
        <v/>
      </c>
      <c r="AR581" t="str">
        <f>IF(ISNUMBER(FIND("arbeid",Methode_Keuze)),"",IF(ISNUMBER(FIND("arbeid",Methode_Keuze)),"",IF(Tb_Activiteiten[[#This Row],[Arbeidskosten op basis van IKS]]=1,Tb_Activiteiten[[#Headers],[Arbeidskosten op basis van IKS]],"")))</f>
        <v/>
      </c>
      <c r="AS581" t="str">
        <f>IF(ISNUMBER(FIND("overige",Methode_Keuze)),"",IF(Tb_Activiteiten[[#This Row],[Kosten derden exclusief btw]]=1,Tb_Activiteiten[[#Headers],[Kosten derden exclusief btw]],""))</f>
        <v/>
      </c>
      <c r="AT581" t="str">
        <f>IF(ISNUMBER(FIND("overige",Methode_Keuze)),"",IF(Tb_Activiteiten[[#This Row],[Niet verrekenbare btw]]=1,Tb_Activiteiten[[#Headers],[Niet verrekenbare btw]],""))</f>
        <v/>
      </c>
      <c r="AU581" t="str">
        <f>IF(ISNUMBER(FIND("overige",Methode_Keuze)),"",IF(Tb_Activiteiten[[#This Row],[Grondkosten]]=1,Tb_Activiteiten[[#Headers],[Grondkosten]],""))</f>
        <v/>
      </c>
      <c r="AV581" t="str">
        <f>IF(ISNUMBER(FIND("overige",Methode_Keuze)),"",IF(Tb_Activiteiten[[#This Row],[Bijdrage in natura (overige)]]=1,Tb_Activiteiten[[#Headers],[Bijdrage in natura (overige)]],""))</f>
        <v/>
      </c>
      <c r="AW581" t="str">
        <f>IF(ISNUMBER(FIND("overige",Methode_Keuze)),"",IF(Tb_Activiteiten[[#This Row],[Bijdrage in natura (vrijwilligers)]]=1,Tb_Activiteiten[[#Headers],[Bijdrage in natura (vrijwilligers)]],""))</f>
        <v/>
      </c>
      <c r="AX581" t="str">
        <f>IF(ISNUMBER(FIND("overige",Methode_Keuze)),"",IF(Tb_Activiteiten[[#This Row],[Afschrijvingskosten]]=1,Tb_Activiteiten[[#Headers],[Afschrijvingskosten]],""))</f>
        <v/>
      </c>
      <c r="AY581" t="str">
        <f>IF(ISNUMBER(FIND("overige",Methode_Keuze)),"",IF(Tb_Activiteiten[[#This Row],[Vergoeding]]=1,Tb_Activiteiten[[#Headers],[Vergoeding]],""))</f>
        <v/>
      </c>
      <c r="AZ581" t="str">
        <f>IF(ISNUMBER(FIND("arbeid",Methode_Keuze)),"",IF(Tb_Activiteiten[[#This Row],[Arbeidskosten - vast tarief (excl eigen arbeid)]]=1,Tb_Activiteiten[[#Headers],[Arbeidskosten - vast tarief (excl eigen arbeid)]],""))</f>
        <v/>
      </c>
      <c r="BA581" t="str">
        <f>IF(ISNUMBER(FIND("overige",Methode_Keuze)),"",IF(Tb_Activiteiten[[#This Row],[Overige kosten]]=1,Tb_Activiteiten[[#Headers],[Overige kosten]],""))</f>
        <v/>
      </c>
    </row>
    <row r="582" spans="1:53" x14ac:dyDescent="0.25">
      <c r="A582" s="231"/>
      <c r="F582" s="64"/>
      <c r="G582" s="64"/>
      <c r="H582" s="275"/>
      <c r="I582" s="275"/>
      <c r="J582" s="275"/>
      <c r="K582" s="275"/>
      <c r="O582" s="56"/>
      <c r="Q582" t="str">
        <f>IFERROR(IF(VLOOKUP(Tb_Activiteiten[[#This Row],[Openstelling]],Tb_Openstelling[],2,0)=1,1,""),"")</f>
        <v/>
      </c>
      <c r="AK582" t="str">
        <f>IF(ISNUMBER(FIND("arbeid",Methode_Keuze)),"",IF(ISNUMBER(FIND("arbeid",Methode_Keuze)),"",IF(Tb_Activiteiten[[#This Row],[Loonkosten]]=1,Tb_Activiteiten[[#Headers],[Loonkosten]],"")))</f>
        <v/>
      </c>
      <c r="AL582" t="str">
        <f>IF(ISNUMBER(FIND("arbeid",Methode_Keuze)),"",IF(ISNUMBER(FIND("arbeid",Methode_Keuze)),"",IF(Tb_Activiteiten[[#This Row],[Eigen arbeid]]=1,Tb_Activiteiten[[#Headers],[Eigen arbeid]],"")))</f>
        <v/>
      </c>
      <c r="AM582" t="str">
        <f>IF(ISNUMBER(FIND("arbeid",Methode_Keuze)),"",IF(ISNUMBER(FIND("arbeid",Methode_Keuze)),"",IF(Tb_Activiteiten[[#This Row],[Projectmedewerker]]=1,Tb_Activiteiten[[#Headers],[Projectmedewerker]],"")))</f>
        <v/>
      </c>
      <c r="AN582" t="str">
        <f>IF(ISNUMBER(FIND("arbeid",Methode_Keuze)),"",IF(ISNUMBER(FIND("arbeid",Methode_Keuze)),"",IF(Tb_Activiteiten[[#This Row],[Landbouwer]]=1,Tb_Activiteiten[[#Headers],[Landbouwer]],"")))</f>
        <v/>
      </c>
      <c r="AO582" t="str">
        <f>IF(ISNUMBER(FIND("arbeid",Methode_Keuze)),"",IF(ISNUMBER(FIND("arbeid",Methode_Keuze)),"",IF(Tb_Activiteiten[[#This Row],[Adviseur]]=1,Tb_Activiteiten[[#Headers],[Adviseur]],"")))</f>
        <v/>
      </c>
      <c r="AP582" t="str">
        <f>IF(ISNUMBER(FIND("arbeid",Methode_Keuze)),"",IF(ISNUMBER(FIND("arbeid",Methode_Keuze)),"",IF(Tb_Activiteiten[[#This Row],[Projectleider/Expert]]=1,Tb_Activiteiten[[#Headers],[Projectleider/Expert]],"")))</f>
        <v/>
      </c>
      <c r="AQ582" t="str">
        <f>IF(ISNUMBER(FIND("arbeid",Methode_Keuze)),"",IF(ISNUMBER(FIND("arbeid",Methode_Keuze)),"",IF(Tb_Activiteiten[[#This Row],[Arbeidskosten]]=1,Tb_Activiteiten[[#Headers],[Arbeidskosten]],"")))</f>
        <v/>
      </c>
      <c r="AR582" t="str">
        <f>IF(ISNUMBER(FIND("arbeid",Methode_Keuze)),"",IF(ISNUMBER(FIND("arbeid",Methode_Keuze)),"",IF(Tb_Activiteiten[[#This Row],[Arbeidskosten op basis van IKS]]=1,Tb_Activiteiten[[#Headers],[Arbeidskosten op basis van IKS]],"")))</f>
        <v/>
      </c>
      <c r="AS582" t="str">
        <f>IF(ISNUMBER(FIND("overige",Methode_Keuze)),"",IF(Tb_Activiteiten[[#This Row],[Kosten derden exclusief btw]]=1,Tb_Activiteiten[[#Headers],[Kosten derden exclusief btw]],""))</f>
        <v/>
      </c>
      <c r="AT582" t="str">
        <f>IF(ISNUMBER(FIND("overige",Methode_Keuze)),"",IF(Tb_Activiteiten[[#This Row],[Niet verrekenbare btw]]=1,Tb_Activiteiten[[#Headers],[Niet verrekenbare btw]],""))</f>
        <v/>
      </c>
      <c r="AU582" t="str">
        <f>IF(ISNUMBER(FIND("overige",Methode_Keuze)),"",IF(Tb_Activiteiten[[#This Row],[Grondkosten]]=1,Tb_Activiteiten[[#Headers],[Grondkosten]],""))</f>
        <v/>
      </c>
      <c r="AV582" t="str">
        <f>IF(ISNUMBER(FIND("overige",Methode_Keuze)),"",IF(Tb_Activiteiten[[#This Row],[Bijdrage in natura (overige)]]=1,Tb_Activiteiten[[#Headers],[Bijdrage in natura (overige)]],""))</f>
        <v/>
      </c>
      <c r="AW582" t="str">
        <f>IF(ISNUMBER(FIND("overige",Methode_Keuze)),"",IF(Tb_Activiteiten[[#This Row],[Bijdrage in natura (vrijwilligers)]]=1,Tb_Activiteiten[[#Headers],[Bijdrage in natura (vrijwilligers)]],""))</f>
        <v/>
      </c>
      <c r="AX582" t="str">
        <f>IF(ISNUMBER(FIND("overige",Methode_Keuze)),"",IF(Tb_Activiteiten[[#This Row],[Afschrijvingskosten]]=1,Tb_Activiteiten[[#Headers],[Afschrijvingskosten]],""))</f>
        <v/>
      </c>
      <c r="AY582" t="str">
        <f>IF(ISNUMBER(FIND("overige",Methode_Keuze)),"",IF(Tb_Activiteiten[[#This Row],[Vergoeding]]=1,Tb_Activiteiten[[#Headers],[Vergoeding]],""))</f>
        <v/>
      </c>
      <c r="AZ582" t="str">
        <f>IF(ISNUMBER(FIND("arbeid",Methode_Keuze)),"",IF(Tb_Activiteiten[[#This Row],[Arbeidskosten - vast tarief (excl eigen arbeid)]]=1,Tb_Activiteiten[[#Headers],[Arbeidskosten - vast tarief (excl eigen arbeid)]],""))</f>
        <v/>
      </c>
      <c r="BA582" t="str">
        <f>IF(ISNUMBER(FIND("overige",Methode_Keuze)),"",IF(Tb_Activiteiten[[#This Row],[Overige kosten]]=1,Tb_Activiteiten[[#Headers],[Overige kosten]],""))</f>
        <v/>
      </c>
    </row>
    <row r="583" spans="1:53" x14ac:dyDescent="0.25">
      <c r="A583" s="231"/>
      <c r="F583" s="64"/>
      <c r="G583" s="64"/>
      <c r="H583" s="275"/>
      <c r="I583" s="275"/>
      <c r="J583" s="275"/>
      <c r="K583" s="275"/>
      <c r="O583" s="56"/>
      <c r="Q583" t="str">
        <f>IFERROR(IF(VLOOKUP(Tb_Activiteiten[[#This Row],[Openstelling]],Tb_Openstelling[],2,0)=1,1,""),"")</f>
        <v/>
      </c>
      <c r="AK583" t="str">
        <f>IF(ISNUMBER(FIND("arbeid",Methode_Keuze)),"",IF(ISNUMBER(FIND("arbeid",Methode_Keuze)),"",IF(Tb_Activiteiten[[#This Row],[Loonkosten]]=1,Tb_Activiteiten[[#Headers],[Loonkosten]],"")))</f>
        <v/>
      </c>
      <c r="AL583" t="str">
        <f>IF(ISNUMBER(FIND("arbeid",Methode_Keuze)),"",IF(ISNUMBER(FIND("arbeid",Methode_Keuze)),"",IF(Tb_Activiteiten[[#This Row],[Eigen arbeid]]=1,Tb_Activiteiten[[#Headers],[Eigen arbeid]],"")))</f>
        <v/>
      </c>
      <c r="AM583" t="str">
        <f>IF(ISNUMBER(FIND("arbeid",Methode_Keuze)),"",IF(ISNUMBER(FIND("arbeid",Methode_Keuze)),"",IF(Tb_Activiteiten[[#This Row],[Projectmedewerker]]=1,Tb_Activiteiten[[#Headers],[Projectmedewerker]],"")))</f>
        <v/>
      </c>
      <c r="AN583" t="str">
        <f>IF(ISNUMBER(FIND("arbeid",Methode_Keuze)),"",IF(ISNUMBER(FIND("arbeid",Methode_Keuze)),"",IF(Tb_Activiteiten[[#This Row],[Landbouwer]]=1,Tb_Activiteiten[[#Headers],[Landbouwer]],"")))</f>
        <v/>
      </c>
      <c r="AO583" t="str">
        <f>IF(ISNUMBER(FIND("arbeid",Methode_Keuze)),"",IF(ISNUMBER(FIND("arbeid",Methode_Keuze)),"",IF(Tb_Activiteiten[[#This Row],[Adviseur]]=1,Tb_Activiteiten[[#Headers],[Adviseur]],"")))</f>
        <v/>
      </c>
      <c r="AP583" t="str">
        <f>IF(ISNUMBER(FIND("arbeid",Methode_Keuze)),"",IF(ISNUMBER(FIND("arbeid",Methode_Keuze)),"",IF(Tb_Activiteiten[[#This Row],[Projectleider/Expert]]=1,Tb_Activiteiten[[#Headers],[Projectleider/Expert]],"")))</f>
        <v/>
      </c>
      <c r="AQ583" t="str">
        <f>IF(ISNUMBER(FIND("arbeid",Methode_Keuze)),"",IF(ISNUMBER(FIND("arbeid",Methode_Keuze)),"",IF(Tb_Activiteiten[[#This Row],[Arbeidskosten]]=1,Tb_Activiteiten[[#Headers],[Arbeidskosten]],"")))</f>
        <v/>
      </c>
      <c r="AR583" t="str">
        <f>IF(ISNUMBER(FIND("arbeid",Methode_Keuze)),"",IF(ISNUMBER(FIND("arbeid",Methode_Keuze)),"",IF(Tb_Activiteiten[[#This Row],[Arbeidskosten op basis van IKS]]=1,Tb_Activiteiten[[#Headers],[Arbeidskosten op basis van IKS]],"")))</f>
        <v/>
      </c>
      <c r="AS583" t="str">
        <f>IF(ISNUMBER(FIND("overige",Methode_Keuze)),"",IF(Tb_Activiteiten[[#This Row],[Kosten derden exclusief btw]]=1,Tb_Activiteiten[[#Headers],[Kosten derden exclusief btw]],""))</f>
        <v/>
      </c>
      <c r="AT583" t="str">
        <f>IF(ISNUMBER(FIND("overige",Methode_Keuze)),"",IF(Tb_Activiteiten[[#This Row],[Niet verrekenbare btw]]=1,Tb_Activiteiten[[#Headers],[Niet verrekenbare btw]],""))</f>
        <v/>
      </c>
      <c r="AU583" t="str">
        <f>IF(ISNUMBER(FIND("overige",Methode_Keuze)),"",IF(Tb_Activiteiten[[#This Row],[Grondkosten]]=1,Tb_Activiteiten[[#Headers],[Grondkosten]],""))</f>
        <v/>
      </c>
      <c r="AV583" t="str">
        <f>IF(ISNUMBER(FIND("overige",Methode_Keuze)),"",IF(Tb_Activiteiten[[#This Row],[Bijdrage in natura (overige)]]=1,Tb_Activiteiten[[#Headers],[Bijdrage in natura (overige)]],""))</f>
        <v/>
      </c>
      <c r="AW583" t="str">
        <f>IF(ISNUMBER(FIND("overige",Methode_Keuze)),"",IF(Tb_Activiteiten[[#This Row],[Bijdrage in natura (vrijwilligers)]]=1,Tb_Activiteiten[[#Headers],[Bijdrage in natura (vrijwilligers)]],""))</f>
        <v/>
      </c>
      <c r="AX583" t="str">
        <f>IF(ISNUMBER(FIND("overige",Methode_Keuze)),"",IF(Tb_Activiteiten[[#This Row],[Afschrijvingskosten]]=1,Tb_Activiteiten[[#Headers],[Afschrijvingskosten]],""))</f>
        <v/>
      </c>
      <c r="AY583" t="str">
        <f>IF(ISNUMBER(FIND("overige",Methode_Keuze)),"",IF(Tb_Activiteiten[[#This Row],[Vergoeding]]=1,Tb_Activiteiten[[#Headers],[Vergoeding]],""))</f>
        <v/>
      </c>
      <c r="AZ583" t="str">
        <f>IF(ISNUMBER(FIND("arbeid",Methode_Keuze)),"",IF(Tb_Activiteiten[[#This Row],[Arbeidskosten - vast tarief (excl eigen arbeid)]]=1,Tb_Activiteiten[[#Headers],[Arbeidskosten - vast tarief (excl eigen arbeid)]],""))</f>
        <v/>
      </c>
      <c r="BA583" t="str">
        <f>IF(ISNUMBER(FIND("overige",Methode_Keuze)),"",IF(Tb_Activiteiten[[#This Row],[Overige kosten]]=1,Tb_Activiteiten[[#Headers],[Overige kosten]],""))</f>
        <v/>
      </c>
    </row>
    <row r="584" spans="1:53" x14ac:dyDescent="0.25">
      <c r="A584" s="231"/>
      <c r="F584" s="64"/>
      <c r="G584" s="64"/>
      <c r="H584" s="275"/>
      <c r="I584" s="275"/>
      <c r="J584" s="275"/>
      <c r="K584" s="275"/>
      <c r="O584" s="56"/>
      <c r="Q584" t="str">
        <f>IFERROR(IF(VLOOKUP(Tb_Activiteiten[[#This Row],[Openstelling]],Tb_Openstelling[],2,0)=1,1,""),"")</f>
        <v/>
      </c>
      <c r="AK584" t="str">
        <f>IF(ISNUMBER(FIND("arbeid",Methode_Keuze)),"",IF(ISNUMBER(FIND("arbeid",Methode_Keuze)),"",IF(Tb_Activiteiten[[#This Row],[Loonkosten]]=1,Tb_Activiteiten[[#Headers],[Loonkosten]],"")))</f>
        <v/>
      </c>
      <c r="AL584" t="str">
        <f>IF(ISNUMBER(FIND("arbeid",Methode_Keuze)),"",IF(ISNUMBER(FIND("arbeid",Methode_Keuze)),"",IF(Tb_Activiteiten[[#This Row],[Eigen arbeid]]=1,Tb_Activiteiten[[#Headers],[Eigen arbeid]],"")))</f>
        <v/>
      </c>
      <c r="AM584" t="str">
        <f>IF(ISNUMBER(FIND("arbeid",Methode_Keuze)),"",IF(ISNUMBER(FIND("arbeid",Methode_Keuze)),"",IF(Tb_Activiteiten[[#This Row],[Projectmedewerker]]=1,Tb_Activiteiten[[#Headers],[Projectmedewerker]],"")))</f>
        <v/>
      </c>
      <c r="AN584" t="str">
        <f>IF(ISNUMBER(FIND("arbeid",Methode_Keuze)),"",IF(ISNUMBER(FIND("arbeid",Methode_Keuze)),"",IF(Tb_Activiteiten[[#This Row],[Landbouwer]]=1,Tb_Activiteiten[[#Headers],[Landbouwer]],"")))</f>
        <v/>
      </c>
      <c r="AO584" t="str">
        <f>IF(ISNUMBER(FIND("arbeid",Methode_Keuze)),"",IF(ISNUMBER(FIND("arbeid",Methode_Keuze)),"",IF(Tb_Activiteiten[[#This Row],[Adviseur]]=1,Tb_Activiteiten[[#Headers],[Adviseur]],"")))</f>
        <v/>
      </c>
      <c r="AP584" t="str">
        <f>IF(ISNUMBER(FIND("arbeid",Methode_Keuze)),"",IF(ISNUMBER(FIND("arbeid",Methode_Keuze)),"",IF(Tb_Activiteiten[[#This Row],[Projectleider/Expert]]=1,Tb_Activiteiten[[#Headers],[Projectleider/Expert]],"")))</f>
        <v/>
      </c>
      <c r="AQ584" t="str">
        <f>IF(ISNUMBER(FIND("arbeid",Methode_Keuze)),"",IF(ISNUMBER(FIND("arbeid",Methode_Keuze)),"",IF(Tb_Activiteiten[[#This Row],[Arbeidskosten]]=1,Tb_Activiteiten[[#Headers],[Arbeidskosten]],"")))</f>
        <v/>
      </c>
      <c r="AR584" t="str">
        <f>IF(ISNUMBER(FIND("arbeid",Methode_Keuze)),"",IF(ISNUMBER(FIND("arbeid",Methode_Keuze)),"",IF(Tb_Activiteiten[[#This Row],[Arbeidskosten op basis van IKS]]=1,Tb_Activiteiten[[#Headers],[Arbeidskosten op basis van IKS]],"")))</f>
        <v/>
      </c>
      <c r="AS584" t="str">
        <f>IF(ISNUMBER(FIND("overige",Methode_Keuze)),"",IF(Tb_Activiteiten[[#This Row],[Kosten derden exclusief btw]]=1,Tb_Activiteiten[[#Headers],[Kosten derden exclusief btw]],""))</f>
        <v/>
      </c>
      <c r="AT584" t="str">
        <f>IF(ISNUMBER(FIND("overige",Methode_Keuze)),"",IF(Tb_Activiteiten[[#This Row],[Niet verrekenbare btw]]=1,Tb_Activiteiten[[#Headers],[Niet verrekenbare btw]],""))</f>
        <v/>
      </c>
      <c r="AU584" t="str">
        <f>IF(ISNUMBER(FIND("overige",Methode_Keuze)),"",IF(Tb_Activiteiten[[#This Row],[Grondkosten]]=1,Tb_Activiteiten[[#Headers],[Grondkosten]],""))</f>
        <v/>
      </c>
      <c r="AV584" t="str">
        <f>IF(ISNUMBER(FIND("overige",Methode_Keuze)),"",IF(Tb_Activiteiten[[#This Row],[Bijdrage in natura (overige)]]=1,Tb_Activiteiten[[#Headers],[Bijdrage in natura (overige)]],""))</f>
        <v/>
      </c>
      <c r="AW584" t="str">
        <f>IF(ISNUMBER(FIND("overige",Methode_Keuze)),"",IF(Tb_Activiteiten[[#This Row],[Bijdrage in natura (vrijwilligers)]]=1,Tb_Activiteiten[[#Headers],[Bijdrage in natura (vrijwilligers)]],""))</f>
        <v/>
      </c>
      <c r="AX584" t="str">
        <f>IF(ISNUMBER(FIND("overige",Methode_Keuze)),"",IF(Tb_Activiteiten[[#This Row],[Afschrijvingskosten]]=1,Tb_Activiteiten[[#Headers],[Afschrijvingskosten]],""))</f>
        <v/>
      </c>
      <c r="AY584" t="str">
        <f>IF(ISNUMBER(FIND("overige",Methode_Keuze)),"",IF(Tb_Activiteiten[[#This Row],[Vergoeding]]=1,Tb_Activiteiten[[#Headers],[Vergoeding]],""))</f>
        <v/>
      </c>
      <c r="AZ584" t="str">
        <f>IF(ISNUMBER(FIND("arbeid",Methode_Keuze)),"",IF(Tb_Activiteiten[[#This Row],[Arbeidskosten - vast tarief (excl eigen arbeid)]]=1,Tb_Activiteiten[[#Headers],[Arbeidskosten - vast tarief (excl eigen arbeid)]],""))</f>
        <v/>
      </c>
      <c r="BA584" t="str">
        <f>IF(ISNUMBER(FIND("overige",Methode_Keuze)),"",IF(Tb_Activiteiten[[#This Row],[Overige kosten]]=1,Tb_Activiteiten[[#Headers],[Overige kosten]],""))</f>
        <v/>
      </c>
    </row>
    <row r="585" spans="1:53" x14ac:dyDescent="0.25">
      <c r="A585" s="231"/>
      <c r="F585" s="64"/>
      <c r="G585" s="64"/>
      <c r="H585" s="275"/>
      <c r="I585" s="275"/>
      <c r="J585" s="275"/>
      <c r="K585" s="275"/>
      <c r="O585" s="56"/>
      <c r="Q585" t="str">
        <f>IFERROR(IF(VLOOKUP(Tb_Activiteiten[[#This Row],[Openstelling]],Tb_Openstelling[],2,0)=1,1,""),"")</f>
        <v/>
      </c>
      <c r="AK585" t="str">
        <f>IF(ISNUMBER(FIND("arbeid",Methode_Keuze)),"",IF(ISNUMBER(FIND("arbeid",Methode_Keuze)),"",IF(Tb_Activiteiten[[#This Row],[Loonkosten]]=1,Tb_Activiteiten[[#Headers],[Loonkosten]],"")))</f>
        <v/>
      </c>
      <c r="AL585" t="str">
        <f>IF(ISNUMBER(FIND("arbeid",Methode_Keuze)),"",IF(ISNUMBER(FIND("arbeid",Methode_Keuze)),"",IF(Tb_Activiteiten[[#This Row],[Eigen arbeid]]=1,Tb_Activiteiten[[#Headers],[Eigen arbeid]],"")))</f>
        <v/>
      </c>
      <c r="AM585" t="str">
        <f>IF(ISNUMBER(FIND("arbeid",Methode_Keuze)),"",IF(ISNUMBER(FIND("arbeid",Methode_Keuze)),"",IF(Tb_Activiteiten[[#This Row],[Projectmedewerker]]=1,Tb_Activiteiten[[#Headers],[Projectmedewerker]],"")))</f>
        <v/>
      </c>
      <c r="AN585" t="str">
        <f>IF(ISNUMBER(FIND("arbeid",Methode_Keuze)),"",IF(ISNUMBER(FIND("arbeid",Methode_Keuze)),"",IF(Tb_Activiteiten[[#This Row],[Landbouwer]]=1,Tb_Activiteiten[[#Headers],[Landbouwer]],"")))</f>
        <v/>
      </c>
      <c r="AO585" t="str">
        <f>IF(ISNUMBER(FIND("arbeid",Methode_Keuze)),"",IF(ISNUMBER(FIND("arbeid",Methode_Keuze)),"",IF(Tb_Activiteiten[[#This Row],[Adviseur]]=1,Tb_Activiteiten[[#Headers],[Adviseur]],"")))</f>
        <v/>
      </c>
      <c r="AP585" t="str">
        <f>IF(ISNUMBER(FIND("arbeid",Methode_Keuze)),"",IF(ISNUMBER(FIND("arbeid",Methode_Keuze)),"",IF(Tb_Activiteiten[[#This Row],[Projectleider/Expert]]=1,Tb_Activiteiten[[#Headers],[Projectleider/Expert]],"")))</f>
        <v/>
      </c>
      <c r="AQ585" t="str">
        <f>IF(ISNUMBER(FIND("arbeid",Methode_Keuze)),"",IF(ISNUMBER(FIND("arbeid",Methode_Keuze)),"",IF(Tb_Activiteiten[[#This Row],[Arbeidskosten]]=1,Tb_Activiteiten[[#Headers],[Arbeidskosten]],"")))</f>
        <v/>
      </c>
      <c r="AR585" t="str">
        <f>IF(ISNUMBER(FIND("arbeid",Methode_Keuze)),"",IF(ISNUMBER(FIND("arbeid",Methode_Keuze)),"",IF(Tb_Activiteiten[[#This Row],[Arbeidskosten op basis van IKS]]=1,Tb_Activiteiten[[#Headers],[Arbeidskosten op basis van IKS]],"")))</f>
        <v/>
      </c>
      <c r="AS585" t="str">
        <f>IF(ISNUMBER(FIND("overige",Methode_Keuze)),"",IF(Tb_Activiteiten[[#This Row],[Kosten derden exclusief btw]]=1,Tb_Activiteiten[[#Headers],[Kosten derden exclusief btw]],""))</f>
        <v/>
      </c>
      <c r="AT585" t="str">
        <f>IF(ISNUMBER(FIND("overige",Methode_Keuze)),"",IF(Tb_Activiteiten[[#This Row],[Niet verrekenbare btw]]=1,Tb_Activiteiten[[#Headers],[Niet verrekenbare btw]],""))</f>
        <v/>
      </c>
      <c r="AU585" t="str">
        <f>IF(ISNUMBER(FIND("overige",Methode_Keuze)),"",IF(Tb_Activiteiten[[#This Row],[Grondkosten]]=1,Tb_Activiteiten[[#Headers],[Grondkosten]],""))</f>
        <v/>
      </c>
      <c r="AV585" t="str">
        <f>IF(ISNUMBER(FIND("overige",Methode_Keuze)),"",IF(Tb_Activiteiten[[#This Row],[Bijdrage in natura (overige)]]=1,Tb_Activiteiten[[#Headers],[Bijdrage in natura (overige)]],""))</f>
        <v/>
      </c>
      <c r="AW585" t="str">
        <f>IF(ISNUMBER(FIND("overige",Methode_Keuze)),"",IF(Tb_Activiteiten[[#This Row],[Bijdrage in natura (vrijwilligers)]]=1,Tb_Activiteiten[[#Headers],[Bijdrage in natura (vrijwilligers)]],""))</f>
        <v/>
      </c>
      <c r="AX585" t="str">
        <f>IF(ISNUMBER(FIND("overige",Methode_Keuze)),"",IF(Tb_Activiteiten[[#This Row],[Afschrijvingskosten]]=1,Tb_Activiteiten[[#Headers],[Afschrijvingskosten]],""))</f>
        <v/>
      </c>
      <c r="AY585" t="str">
        <f>IF(ISNUMBER(FIND("overige",Methode_Keuze)),"",IF(Tb_Activiteiten[[#This Row],[Vergoeding]]=1,Tb_Activiteiten[[#Headers],[Vergoeding]],""))</f>
        <v/>
      </c>
      <c r="AZ585" t="str">
        <f>IF(ISNUMBER(FIND("arbeid",Methode_Keuze)),"",IF(Tb_Activiteiten[[#This Row],[Arbeidskosten - vast tarief (excl eigen arbeid)]]=1,Tb_Activiteiten[[#Headers],[Arbeidskosten - vast tarief (excl eigen arbeid)]],""))</f>
        <v/>
      </c>
      <c r="BA585" t="str">
        <f>IF(ISNUMBER(FIND("overige",Methode_Keuze)),"",IF(Tb_Activiteiten[[#This Row],[Overige kosten]]=1,Tb_Activiteiten[[#Headers],[Overige kosten]],""))</f>
        <v/>
      </c>
    </row>
    <row r="586" spans="1:53" x14ac:dyDescent="0.25">
      <c r="A586" s="231"/>
      <c r="F586" s="64"/>
      <c r="G586" s="64"/>
      <c r="H586" s="275"/>
      <c r="I586" s="275"/>
      <c r="J586" s="275"/>
      <c r="K586" s="275"/>
      <c r="O586" s="56"/>
      <c r="Q586" t="str">
        <f>IFERROR(IF(VLOOKUP(Tb_Activiteiten[[#This Row],[Openstelling]],Tb_Openstelling[],2,0)=1,1,""),"")</f>
        <v/>
      </c>
      <c r="AK586" t="str">
        <f>IF(ISNUMBER(FIND("arbeid",Methode_Keuze)),"",IF(ISNUMBER(FIND("arbeid",Methode_Keuze)),"",IF(Tb_Activiteiten[[#This Row],[Loonkosten]]=1,Tb_Activiteiten[[#Headers],[Loonkosten]],"")))</f>
        <v/>
      </c>
      <c r="AL586" t="str">
        <f>IF(ISNUMBER(FIND("arbeid",Methode_Keuze)),"",IF(ISNUMBER(FIND("arbeid",Methode_Keuze)),"",IF(Tb_Activiteiten[[#This Row],[Eigen arbeid]]=1,Tb_Activiteiten[[#Headers],[Eigen arbeid]],"")))</f>
        <v/>
      </c>
      <c r="AM586" t="str">
        <f>IF(ISNUMBER(FIND("arbeid",Methode_Keuze)),"",IF(ISNUMBER(FIND("arbeid",Methode_Keuze)),"",IF(Tb_Activiteiten[[#This Row],[Projectmedewerker]]=1,Tb_Activiteiten[[#Headers],[Projectmedewerker]],"")))</f>
        <v/>
      </c>
      <c r="AN586" t="str">
        <f>IF(ISNUMBER(FIND("arbeid",Methode_Keuze)),"",IF(ISNUMBER(FIND("arbeid",Methode_Keuze)),"",IF(Tb_Activiteiten[[#This Row],[Landbouwer]]=1,Tb_Activiteiten[[#Headers],[Landbouwer]],"")))</f>
        <v/>
      </c>
      <c r="AO586" t="str">
        <f>IF(ISNUMBER(FIND("arbeid",Methode_Keuze)),"",IF(ISNUMBER(FIND("arbeid",Methode_Keuze)),"",IF(Tb_Activiteiten[[#This Row],[Adviseur]]=1,Tb_Activiteiten[[#Headers],[Adviseur]],"")))</f>
        <v/>
      </c>
      <c r="AP586" t="str">
        <f>IF(ISNUMBER(FIND("arbeid",Methode_Keuze)),"",IF(ISNUMBER(FIND("arbeid",Methode_Keuze)),"",IF(Tb_Activiteiten[[#This Row],[Projectleider/Expert]]=1,Tb_Activiteiten[[#Headers],[Projectleider/Expert]],"")))</f>
        <v/>
      </c>
      <c r="AQ586" t="str">
        <f>IF(ISNUMBER(FIND("arbeid",Methode_Keuze)),"",IF(ISNUMBER(FIND("arbeid",Methode_Keuze)),"",IF(Tb_Activiteiten[[#This Row],[Arbeidskosten]]=1,Tb_Activiteiten[[#Headers],[Arbeidskosten]],"")))</f>
        <v/>
      </c>
      <c r="AR586" t="str">
        <f>IF(ISNUMBER(FIND("arbeid",Methode_Keuze)),"",IF(ISNUMBER(FIND("arbeid",Methode_Keuze)),"",IF(Tb_Activiteiten[[#This Row],[Arbeidskosten op basis van IKS]]=1,Tb_Activiteiten[[#Headers],[Arbeidskosten op basis van IKS]],"")))</f>
        <v/>
      </c>
      <c r="AS586" t="str">
        <f>IF(ISNUMBER(FIND("overige",Methode_Keuze)),"",IF(Tb_Activiteiten[[#This Row],[Kosten derden exclusief btw]]=1,Tb_Activiteiten[[#Headers],[Kosten derden exclusief btw]],""))</f>
        <v/>
      </c>
      <c r="AT586" t="str">
        <f>IF(ISNUMBER(FIND("overige",Methode_Keuze)),"",IF(Tb_Activiteiten[[#This Row],[Niet verrekenbare btw]]=1,Tb_Activiteiten[[#Headers],[Niet verrekenbare btw]],""))</f>
        <v/>
      </c>
      <c r="AU586" t="str">
        <f>IF(ISNUMBER(FIND("overige",Methode_Keuze)),"",IF(Tb_Activiteiten[[#This Row],[Grondkosten]]=1,Tb_Activiteiten[[#Headers],[Grondkosten]],""))</f>
        <v/>
      </c>
      <c r="AV586" t="str">
        <f>IF(ISNUMBER(FIND("overige",Methode_Keuze)),"",IF(Tb_Activiteiten[[#This Row],[Bijdrage in natura (overige)]]=1,Tb_Activiteiten[[#Headers],[Bijdrage in natura (overige)]],""))</f>
        <v/>
      </c>
      <c r="AW586" t="str">
        <f>IF(ISNUMBER(FIND("overige",Methode_Keuze)),"",IF(Tb_Activiteiten[[#This Row],[Bijdrage in natura (vrijwilligers)]]=1,Tb_Activiteiten[[#Headers],[Bijdrage in natura (vrijwilligers)]],""))</f>
        <v/>
      </c>
      <c r="AX586" t="str">
        <f>IF(ISNUMBER(FIND("overige",Methode_Keuze)),"",IF(Tb_Activiteiten[[#This Row],[Afschrijvingskosten]]=1,Tb_Activiteiten[[#Headers],[Afschrijvingskosten]],""))</f>
        <v/>
      </c>
      <c r="AY586" t="str">
        <f>IF(ISNUMBER(FIND("overige",Methode_Keuze)),"",IF(Tb_Activiteiten[[#This Row],[Vergoeding]]=1,Tb_Activiteiten[[#Headers],[Vergoeding]],""))</f>
        <v/>
      </c>
      <c r="AZ586" t="str">
        <f>IF(ISNUMBER(FIND("arbeid",Methode_Keuze)),"",IF(Tb_Activiteiten[[#This Row],[Arbeidskosten - vast tarief (excl eigen arbeid)]]=1,Tb_Activiteiten[[#Headers],[Arbeidskosten - vast tarief (excl eigen arbeid)]],""))</f>
        <v/>
      </c>
      <c r="BA586" t="str">
        <f>IF(ISNUMBER(FIND("overige",Methode_Keuze)),"",IF(Tb_Activiteiten[[#This Row],[Overige kosten]]=1,Tb_Activiteiten[[#Headers],[Overige kosten]],""))</f>
        <v/>
      </c>
    </row>
    <row r="587" spans="1:53" x14ac:dyDescent="0.25">
      <c r="A587" s="231"/>
      <c r="F587" s="64"/>
      <c r="G587" s="64"/>
      <c r="H587" s="275"/>
      <c r="I587" s="275"/>
      <c r="J587" s="275"/>
      <c r="K587" s="275"/>
      <c r="O587" s="56"/>
      <c r="Q587" t="str">
        <f>IFERROR(IF(VLOOKUP(Tb_Activiteiten[[#This Row],[Openstelling]],Tb_Openstelling[],2,0)=1,1,""),"")</f>
        <v/>
      </c>
      <c r="AK587" t="str">
        <f>IF(ISNUMBER(FIND("arbeid",Methode_Keuze)),"",IF(ISNUMBER(FIND("arbeid",Methode_Keuze)),"",IF(Tb_Activiteiten[[#This Row],[Loonkosten]]=1,Tb_Activiteiten[[#Headers],[Loonkosten]],"")))</f>
        <v/>
      </c>
      <c r="AL587" t="str">
        <f>IF(ISNUMBER(FIND("arbeid",Methode_Keuze)),"",IF(ISNUMBER(FIND("arbeid",Methode_Keuze)),"",IF(Tb_Activiteiten[[#This Row],[Eigen arbeid]]=1,Tb_Activiteiten[[#Headers],[Eigen arbeid]],"")))</f>
        <v/>
      </c>
      <c r="AM587" t="str">
        <f>IF(ISNUMBER(FIND("arbeid",Methode_Keuze)),"",IF(ISNUMBER(FIND("arbeid",Methode_Keuze)),"",IF(Tb_Activiteiten[[#This Row],[Projectmedewerker]]=1,Tb_Activiteiten[[#Headers],[Projectmedewerker]],"")))</f>
        <v/>
      </c>
      <c r="AN587" t="str">
        <f>IF(ISNUMBER(FIND("arbeid",Methode_Keuze)),"",IF(ISNUMBER(FIND("arbeid",Methode_Keuze)),"",IF(Tb_Activiteiten[[#This Row],[Landbouwer]]=1,Tb_Activiteiten[[#Headers],[Landbouwer]],"")))</f>
        <v/>
      </c>
      <c r="AO587" t="str">
        <f>IF(ISNUMBER(FIND("arbeid",Methode_Keuze)),"",IF(ISNUMBER(FIND("arbeid",Methode_Keuze)),"",IF(Tb_Activiteiten[[#This Row],[Adviseur]]=1,Tb_Activiteiten[[#Headers],[Adviseur]],"")))</f>
        <v/>
      </c>
      <c r="AP587" t="str">
        <f>IF(ISNUMBER(FIND("arbeid",Methode_Keuze)),"",IF(ISNUMBER(FIND("arbeid",Methode_Keuze)),"",IF(Tb_Activiteiten[[#This Row],[Projectleider/Expert]]=1,Tb_Activiteiten[[#Headers],[Projectleider/Expert]],"")))</f>
        <v/>
      </c>
      <c r="AQ587" t="str">
        <f>IF(ISNUMBER(FIND("arbeid",Methode_Keuze)),"",IF(ISNUMBER(FIND("arbeid",Methode_Keuze)),"",IF(Tb_Activiteiten[[#This Row],[Arbeidskosten]]=1,Tb_Activiteiten[[#Headers],[Arbeidskosten]],"")))</f>
        <v/>
      </c>
      <c r="AR587" t="str">
        <f>IF(ISNUMBER(FIND("arbeid",Methode_Keuze)),"",IF(ISNUMBER(FIND("arbeid",Methode_Keuze)),"",IF(Tb_Activiteiten[[#This Row],[Arbeidskosten op basis van IKS]]=1,Tb_Activiteiten[[#Headers],[Arbeidskosten op basis van IKS]],"")))</f>
        <v/>
      </c>
      <c r="AS587" t="str">
        <f>IF(ISNUMBER(FIND("overige",Methode_Keuze)),"",IF(Tb_Activiteiten[[#This Row],[Kosten derden exclusief btw]]=1,Tb_Activiteiten[[#Headers],[Kosten derden exclusief btw]],""))</f>
        <v/>
      </c>
      <c r="AT587" t="str">
        <f>IF(ISNUMBER(FIND("overige",Methode_Keuze)),"",IF(Tb_Activiteiten[[#This Row],[Niet verrekenbare btw]]=1,Tb_Activiteiten[[#Headers],[Niet verrekenbare btw]],""))</f>
        <v/>
      </c>
      <c r="AU587" t="str">
        <f>IF(ISNUMBER(FIND("overige",Methode_Keuze)),"",IF(Tb_Activiteiten[[#This Row],[Grondkosten]]=1,Tb_Activiteiten[[#Headers],[Grondkosten]],""))</f>
        <v/>
      </c>
      <c r="AV587" t="str">
        <f>IF(ISNUMBER(FIND("overige",Methode_Keuze)),"",IF(Tb_Activiteiten[[#This Row],[Bijdrage in natura (overige)]]=1,Tb_Activiteiten[[#Headers],[Bijdrage in natura (overige)]],""))</f>
        <v/>
      </c>
      <c r="AW587" t="str">
        <f>IF(ISNUMBER(FIND("overige",Methode_Keuze)),"",IF(Tb_Activiteiten[[#This Row],[Bijdrage in natura (vrijwilligers)]]=1,Tb_Activiteiten[[#Headers],[Bijdrage in natura (vrijwilligers)]],""))</f>
        <v/>
      </c>
      <c r="AX587" t="str">
        <f>IF(ISNUMBER(FIND("overige",Methode_Keuze)),"",IF(Tb_Activiteiten[[#This Row],[Afschrijvingskosten]]=1,Tb_Activiteiten[[#Headers],[Afschrijvingskosten]],""))</f>
        <v/>
      </c>
      <c r="AY587" t="str">
        <f>IF(ISNUMBER(FIND("overige",Methode_Keuze)),"",IF(Tb_Activiteiten[[#This Row],[Vergoeding]]=1,Tb_Activiteiten[[#Headers],[Vergoeding]],""))</f>
        <v/>
      </c>
      <c r="AZ587" t="str">
        <f>IF(ISNUMBER(FIND("arbeid",Methode_Keuze)),"",IF(Tb_Activiteiten[[#This Row],[Arbeidskosten - vast tarief (excl eigen arbeid)]]=1,Tb_Activiteiten[[#Headers],[Arbeidskosten - vast tarief (excl eigen arbeid)]],""))</f>
        <v/>
      </c>
      <c r="BA587" t="str">
        <f>IF(ISNUMBER(FIND("overige",Methode_Keuze)),"",IF(Tb_Activiteiten[[#This Row],[Overige kosten]]=1,Tb_Activiteiten[[#Headers],[Overige kosten]],""))</f>
        <v/>
      </c>
    </row>
    <row r="588" spans="1:53" x14ac:dyDescent="0.25">
      <c r="A588" s="231"/>
      <c r="F588" s="64"/>
      <c r="G588" s="64"/>
      <c r="H588" s="275"/>
      <c r="I588" s="275"/>
      <c r="J588" s="275"/>
      <c r="K588" s="275"/>
      <c r="O588" s="56"/>
      <c r="Q588" t="str">
        <f>IFERROR(IF(VLOOKUP(Tb_Activiteiten[[#This Row],[Openstelling]],Tb_Openstelling[],2,0)=1,1,""),"")</f>
        <v/>
      </c>
      <c r="AK588" t="str">
        <f>IF(ISNUMBER(FIND("arbeid",Methode_Keuze)),"",IF(ISNUMBER(FIND("arbeid",Methode_Keuze)),"",IF(Tb_Activiteiten[[#This Row],[Loonkosten]]=1,Tb_Activiteiten[[#Headers],[Loonkosten]],"")))</f>
        <v/>
      </c>
      <c r="AL588" t="str">
        <f>IF(ISNUMBER(FIND("arbeid",Methode_Keuze)),"",IF(ISNUMBER(FIND("arbeid",Methode_Keuze)),"",IF(Tb_Activiteiten[[#This Row],[Eigen arbeid]]=1,Tb_Activiteiten[[#Headers],[Eigen arbeid]],"")))</f>
        <v/>
      </c>
      <c r="AM588" t="str">
        <f>IF(ISNUMBER(FIND("arbeid",Methode_Keuze)),"",IF(ISNUMBER(FIND("arbeid",Methode_Keuze)),"",IF(Tb_Activiteiten[[#This Row],[Projectmedewerker]]=1,Tb_Activiteiten[[#Headers],[Projectmedewerker]],"")))</f>
        <v/>
      </c>
      <c r="AN588" t="str">
        <f>IF(ISNUMBER(FIND("arbeid",Methode_Keuze)),"",IF(ISNUMBER(FIND("arbeid",Methode_Keuze)),"",IF(Tb_Activiteiten[[#This Row],[Landbouwer]]=1,Tb_Activiteiten[[#Headers],[Landbouwer]],"")))</f>
        <v/>
      </c>
      <c r="AO588" t="str">
        <f>IF(ISNUMBER(FIND("arbeid",Methode_Keuze)),"",IF(ISNUMBER(FIND("arbeid",Methode_Keuze)),"",IF(Tb_Activiteiten[[#This Row],[Adviseur]]=1,Tb_Activiteiten[[#Headers],[Adviseur]],"")))</f>
        <v/>
      </c>
      <c r="AP588" t="str">
        <f>IF(ISNUMBER(FIND("arbeid",Methode_Keuze)),"",IF(ISNUMBER(FIND("arbeid",Methode_Keuze)),"",IF(Tb_Activiteiten[[#This Row],[Projectleider/Expert]]=1,Tb_Activiteiten[[#Headers],[Projectleider/Expert]],"")))</f>
        <v/>
      </c>
      <c r="AQ588" t="str">
        <f>IF(ISNUMBER(FIND("arbeid",Methode_Keuze)),"",IF(ISNUMBER(FIND("arbeid",Methode_Keuze)),"",IF(Tb_Activiteiten[[#This Row],[Arbeidskosten]]=1,Tb_Activiteiten[[#Headers],[Arbeidskosten]],"")))</f>
        <v/>
      </c>
      <c r="AR588" t="str">
        <f>IF(ISNUMBER(FIND("arbeid",Methode_Keuze)),"",IF(ISNUMBER(FIND("arbeid",Methode_Keuze)),"",IF(Tb_Activiteiten[[#This Row],[Arbeidskosten op basis van IKS]]=1,Tb_Activiteiten[[#Headers],[Arbeidskosten op basis van IKS]],"")))</f>
        <v/>
      </c>
      <c r="AS588" t="str">
        <f>IF(ISNUMBER(FIND("overige",Methode_Keuze)),"",IF(Tb_Activiteiten[[#This Row],[Kosten derden exclusief btw]]=1,Tb_Activiteiten[[#Headers],[Kosten derden exclusief btw]],""))</f>
        <v/>
      </c>
      <c r="AT588" t="str">
        <f>IF(ISNUMBER(FIND("overige",Methode_Keuze)),"",IF(Tb_Activiteiten[[#This Row],[Niet verrekenbare btw]]=1,Tb_Activiteiten[[#Headers],[Niet verrekenbare btw]],""))</f>
        <v/>
      </c>
      <c r="AU588" t="str">
        <f>IF(ISNUMBER(FIND("overige",Methode_Keuze)),"",IF(Tb_Activiteiten[[#This Row],[Grondkosten]]=1,Tb_Activiteiten[[#Headers],[Grondkosten]],""))</f>
        <v/>
      </c>
      <c r="AV588" t="str">
        <f>IF(ISNUMBER(FIND("overige",Methode_Keuze)),"",IF(Tb_Activiteiten[[#This Row],[Bijdrage in natura (overige)]]=1,Tb_Activiteiten[[#Headers],[Bijdrage in natura (overige)]],""))</f>
        <v/>
      </c>
      <c r="AW588" t="str">
        <f>IF(ISNUMBER(FIND("overige",Methode_Keuze)),"",IF(Tb_Activiteiten[[#This Row],[Bijdrage in natura (vrijwilligers)]]=1,Tb_Activiteiten[[#Headers],[Bijdrage in natura (vrijwilligers)]],""))</f>
        <v/>
      </c>
      <c r="AX588" t="str">
        <f>IF(ISNUMBER(FIND("overige",Methode_Keuze)),"",IF(Tb_Activiteiten[[#This Row],[Afschrijvingskosten]]=1,Tb_Activiteiten[[#Headers],[Afschrijvingskosten]],""))</f>
        <v/>
      </c>
      <c r="AY588" t="str">
        <f>IF(ISNUMBER(FIND("overige",Methode_Keuze)),"",IF(Tb_Activiteiten[[#This Row],[Vergoeding]]=1,Tb_Activiteiten[[#Headers],[Vergoeding]],""))</f>
        <v/>
      </c>
      <c r="AZ588" t="str">
        <f>IF(ISNUMBER(FIND("arbeid",Methode_Keuze)),"",IF(Tb_Activiteiten[[#This Row],[Arbeidskosten - vast tarief (excl eigen arbeid)]]=1,Tb_Activiteiten[[#Headers],[Arbeidskosten - vast tarief (excl eigen arbeid)]],""))</f>
        <v/>
      </c>
      <c r="BA588" t="str">
        <f>IF(ISNUMBER(FIND("overige",Methode_Keuze)),"",IF(Tb_Activiteiten[[#This Row],[Overige kosten]]=1,Tb_Activiteiten[[#Headers],[Overige kosten]],""))</f>
        <v/>
      </c>
    </row>
    <row r="589" spans="1:53" x14ac:dyDescent="0.25">
      <c r="A589" s="231"/>
      <c r="F589" s="64"/>
      <c r="G589" s="64"/>
      <c r="H589" s="275"/>
      <c r="I589" s="275"/>
      <c r="J589" s="275"/>
      <c r="K589" s="275"/>
      <c r="O589" s="56"/>
      <c r="Q589" t="str">
        <f>IFERROR(IF(VLOOKUP(Tb_Activiteiten[[#This Row],[Openstelling]],Tb_Openstelling[],2,0)=1,1,""),"")</f>
        <v/>
      </c>
      <c r="AK589" t="str">
        <f>IF(ISNUMBER(FIND("arbeid",Methode_Keuze)),"",IF(ISNUMBER(FIND("arbeid",Methode_Keuze)),"",IF(Tb_Activiteiten[[#This Row],[Loonkosten]]=1,Tb_Activiteiten[[#Headers],[Loonkosten]],"")))</f>
        <v/>
      </c>
      <c r="AL589" t="str">
        <f>IF(ISNUMBER(FIND("arbeid",Methode_Keuze)),"",IF(ISNUMBER(FIND("arbeid",Methode_Keuze)),"",IF(Tb_Activiteiten[[#This Row],[Eigen arbeid]]=1,Tb_Activiteiten[[#Headers],[Eigen arbeid]],"")))</f>
        <v/>
      </c>
      <c r="AM589" t="str">
        <f>IF(ISNUMBER(FIND("arbeid",Methode_Keuze)),"",IF(ISNUMBER(FIND("arbeid",Methode_Keuze)),"",IF(Tb_Activiteiten[[#This Row],[Projectmedewerker]]=1,Tb_Activiteiten[[#Headers],[Projectmedewerker]],"")))</f>
        <v/>
      </c>
      <c r="AN589" t="str">
        <f>IF(ISNUMBER(FIND("arbeid",Methode_Keuze)),"",IF(ISNUMBER(FIND("arbeid",Methode_Keuze)),"",IF(Tb_Activiteiten[[#This Row],[Landbouwer]]=1,Tb_Activiteiten[[#Headers],[Landbouwer]],"")))</f>
        <v/>
      </c>
      <c r="AO589" t="str">
        <f>IF(ISNUMBER(FIND("arbeid",Methode_Keuze)),"",IF(ISNUMBER(FIND("arbeid",Methode_Keuze)),"",IF(Tb_Activiteiten[[#This Row],[Adviseur]]=1,Tb_Activiteiten[[#Headers],[Adviseur]],"")))</f>
        <v/>
      </c>
      <c r="AP589" t="str">
        <f>IF(ISNUMBER(FIND("arbeid",Methode_Keuze)),"",IF(ISNUMBER(FIND("arbeid",Methode_Keuze)),"",IF(Tb_Activiteiten[[#This Row],[Projectleider/Expert]]=1,Tb_Activiteiten[[#Headers],[Projectleider/Expert]],"")))</f>
        <v/>
      </c>
      <c r="AQ589" t="str">
        <f>IF(ISNUMBER(FIND("arbeid",Methode_Keuze)),"",IF(ISNUMBER(FIND("arbeid",Methode_Keuze)),"",IF(Tb_Activiteiten[[#This Row],[Arbeidskosten]]=1,Tb_Activiteiten[[#Headers],[Arbeidskosten]],"")))</f>
        <v/>
      </c>
      <c r="AR589" t="str">
        <f>IF(ISNUMBER(FIND("arbeid",Methode_Keuze)),"",IF(ISNUMBER(FIND("arbeid",Methode_Keuze)),"",IF(Tb_Activiteiten[[#This Row],[Arbeidskosten op basis van IKS]]=1,Tb_Activiteiten[[#Headers],[Arbeidskosten op basis van IKS]],"")))</f>
        <v/>
      </c>
      <c r="AS589" t="str">
        <f>IF(ISNUMBER(FIND("overige",Methode_Keuze)),"",IF(Tb_Activiteiten[[#This Row],[Kosten derden exclusief btw]]=1,Tb_Activiteiten[[#Headers],[Kosten derden exclusief btw]],""))</f>
        <v/>
      </c>
      <c r="AT589" t="str">
        <f>IF(ISNUMBER(FIND("overige",Methode_Keuze)),"",IF(Tb_Activiteiten[[#This Row],[Niet verrekenbare btw]]=1,Tb_Activiteiten[[#Headers],[Niet verrekenbare btw]],""))</f>
        <v/>
      </c>
      <c r="AU589" t="str">
        <f>IF(ISNUMBER(FIND("overige",Methode_Keuze)),"",IF(Tb_Activiteiten[[#This Row],[Grondkosten]]=1,Tb_Activiteiten[[#Headers],[Grondkosten]],""))</f>
        <v/>
      </c>
      <c r="AV589" t="str">
        <f>IF(ISNUMBER(FIND("overige",Methode_Keuze)),"",IF(Tb_Activiteiten[[#This Row],[Bijdrage in natura (overige)]]=1,Tb_Activiteiten[[#Headers],[Bijdrage in natura (overige)]],""))</f>
        <v/>
      </c>
      <c r="AW589" t="str">
        <f>IF(ISNUMBER(FIND("overige",Methode_Keuze)),"",IF(Tb_Activiteiten[[#This Row],[Bijdrage in natura (vrijwilligers)]]=1,Tb_Activiteiten[[#Headers],[Bijdrage in natura (vrijwilligers)]],""))</f>
        <v/>
      </c>
      <c r="AX589" t="str">
        <f>IF(ISNUMBER(FIND("overige",Methode_Keuze)),"",IF(Tb_Activiteiten[[#This Row],[Afschrijvingskosten]]=1,Tb_Activiteiten[[#Headers],[Afschrijvingskosten]],""))</f>
        <v/>
      </c>
      <c r="AY589" t="str">
        <f>IF(ISNUMBER(FIND("overige",Methode_Keuze)),"",IF(Tb_Activiteiten[[#This Row],[Vergoeding]]=1,Tb_Activiteiten[[#Headers],[Vergoeding]],""))</f>
        <v/>
      </c>
      <c r="AZ589" t="str">
        <f>IF(ISNUMBER(FIND("arbeid",Methode_Keuze)),"",IF(Tb_Activiteiten[[#This Row],[Arbeidskosten - vast tarief (excl eigen arbeid)]]=1,Tb_Activiteiten[[#Headers],[Arbeidskosten - vast tarief (excl eigen arbeid)]],""))</f>
        <v/>
      </c>
      <c r="BA589" t="str">
        <f>IF(ISNUMBER(FIND("overige",Methode_Keuze)),"",IF(Tb_Activiteiten[[#This Row],[Overige kosten]]=1,Tb_Activiteiten[[#Headers],[Overige kosten]],""))</f>
        <v/>
      </c>
    </row>
    <row r="590" spans="1:53" x14ac:dyDescent="0.25">
      <c r="A590" s="231"/>
      <c r="F590" s="64"/>
      <c r="G590" s="64"/>
      <c r="H590" s="275"/>
      <c r="I590" s="275"/>
      <c r="J590" s="275"/>
      <c r="K590" s="275"/>
      <c r="O590" s="56"/>
      <c r="Q590" t="str">
        <f>IFERROR(IF(VLOOKUP(Tb_Activiteiten[[#This Row],[Openstelling]],Tb_Openstelling[],2,0)=1,1,""),"")</f>
        <v/>
      </c>
      <c r="AK590" t="str">
        <f>IF(ISNUMBER(FIND("arbeid",Methode_Keuze)),"",IF(ISNUMBER(FIND("arbeid",Methode_Keuze)),"",IF(Tb_Activiteiten[[#This Row],[Loonkosten]]=1,Tb_Activiteiten[[#Headers],[Loonkosten]],"")))</f>
        <v/>
      </c>
      <c r="AL590" t="str">
        <f>IF(ISNUMBER(FIND("arbeid",Methode_Keuze)),"",IF(ISNUMBER(FIND("arbeid",Methode_Keuze)),"",IF(Tb_Activiteiten[[#This Row],[Eigen arbeid]]=1,Tb_Activiteiten[[#Headers],[Eigen arbeid]],"")))</f>
        <v/>
      </c>
      <c r="AM590" t="str">
        <f>IF(ISNUMBER(FIND("arbeid",Methode_Keuze)),"",IF(ISNUMBER(FIND("arbeid",Methode_Keuze)),"",IF(Tb_Activiteiten[[#This Row],[Projectmedewerker]]=1,Tb_Activiteiten[[#Headers],[Projectmedewerker]],"")))</f>
        <v/>
      </c>
      <c r="AN590" t="str">
        <f>IF(ISNUMBER(FIND("arbeid",Methode_Keuze)),"",IF(ISNUMBER(FIND("arbeid",Methode_Keuze)),"",IF(Tb_Activiteiten[[#This Row],[Landbouwer]]=1,Tb_Activiteiten[[#Headers],[Landbouwer]],"")))</f>
        <v/>
      </c>
      <c r="AO590" t="str">
        <f>IF(ISNUMBER(FIND("arbeid",Methode_Keuze)),"",IF(ISNUMBER(FIND("arbeid",Methode_Keuze)),"",IF(Tb_Activiteiten[[#This Row],[Adviseur]]=1,Tb_Activiteiten[[#Headers],[Adviseur]],"")))</f>
        <v/>
      </c>
      <c r="AP590" t="str">
        <f>IF(ISNUMBER(FIND("arbeid",Methode_Keuze)),"",IF(ISNUMBER(FIND("arbeid",Methode_Keuze)),"",IF(Tb_Activiteiten[[#This Row],[Projectleider/Expert]]=1,Tb_Activiteiten[[#Headers],[Projectleider/Expert]],"")))</f>
        <v/>
      </c>
      <c r="AQ590" t="str">
        <f>IF(ISNUMBER(FIND("arbeid",Methode_Keuze)),"",IF(ISNUMBER(FIND("arbeid",Methode_Keuze)),"",IF(Tb_Activiteiten[[#This Row],[Arbeidskosten]]=1,Tb_Activiteiten[[#Headers],[Arbeidskosten]],"")))</f>
        <v/>
      </c>
      <c r="AR590" t="str">
        <f>IF(ISNUMBER(FIND("arbeid",Methode_Keuze)),"",IF(ISNUMBER(FIND("arbeid",Methode_Keuze)),"",IF(Tb_Activiteiten[[#This Row],[Arbeidskosten op basis van IKS]]=1,Tb_Activiteiten[[#Headers],[Arbeidskosten op basis van IKS]],"")))</f>
        <v/>
      </c>
      <c r="AS590" t="str">
        <f>IF(ISNUMBER(FIND("overige",Methode_Keuze)),"",IF(Tb_Activiteiten[[#This Row],[Kosten derden exclusief btw]]=1,Tb_Activiteiten[[#Headers],[Kosten derden exclusief btw]],""))</f>
        <v/>
      </c>
      <c r="AT590" t="str">
        <f>IF(ISNUMBER(FIND("overige",Methode_Keuze)),"",IF(Tb_Activiteiten[[#This Row],[Niet verrekenbare btw]]=1,Tb_Activiteiten[[#Headers],[Niet verrekenbare btw]],""))</f>
        <v/>
      </c>
      <c r="AU590" t="str">
        <f>IF(ISNUMBER(FIND("overige",Methode_Keuze)),"",IF(Tb_Activiteiten[[#This Row],[Grondkosten]]=1,Tb_Activiteiten[[#Headers],[Grondkosten]],""))</f>
        <v/>
      </c>
      <c r="AV590" t="str">
        <f>IF(ISNUMBER(FIND("overige",Methode_Keuze)),"",IF(Tb_Activiteiten[[#This Row],[Bijdrage in natura (overige)]]=1,Tb_Activiteiten[[#Headers],[Bijdrage in natura (overige)]],""))</f>
        <v/>
      </c>
      <c r="AW590" t="str">
        <f>IF(ISNUMBER(FIND("overige",Methode_Keuze)),"",IF(Tb_Activiteiten[[#This Row],[Bijdrage in natura (vrijwilligers)]]=1,Tb_Activiteiten[[#Headers],[Bijdrage in natura (vrijwilligers)]],""))</f>
        <v/>
      </c>
      <c r="AX590" t="str">
        <f>IF(ISNUMBER(FIND("overige",Methode_Keuze)),"",IF(Tb_Activiteiten[[#This Row],[Afschrijvingskosten]]=1,Tb_Activiteiten[[#Headers],[Afschrijvingskosten]],""))</f>
        <v/>
      </c>
      <c r="AY590" t="str">
        <f>IF(ISNUMBER(FIND("overige",Methode_Keuze)),"",IF(Tb_Activiteiten[[#This Row],[Vergoeding]]=1,Tb_Activiteiten[[#Headers],[Vergoeding]],""))</f>
        <v/>
      </c>
      <c r="AZ590" t="str">
        <f>IF(ISNUMBER(FIND("arbeid",Methode_Keuze)),"",IF(Tb_Activiteiten[[#This Row],[Arbeidskosten - vast tarief (excl eigen arbeid)]]=1,Tb_Activiteiten[[#Headers],[Arbeidskosten - vast tarief (excl eigen arbeid)]],""))</f>
        <v/>
      </c>
      <c r="BA590" t="str">
        <f>IF(ISNUMBER(FIND("overige",Methode_Keuze)),"",IF(Tb_Activiteiten[[#This Row],[Overige kosten]]=1,Tb_Activiteiten[[#Headers],[Overige kosten]],""))</f>
        <v/>
      </c>
    </row>
    <row r="591" spans="1:53" x14ac:dyDescent="0.25">
      <c r="A591" s="231"/>
      <c r="F591" s="64"/>
      <c r="G591" s="64"/>
      <c r="H591" s="275"/>
      <c r="I591" s="275"/>
      <c r="J591" s="275"/>
      <c r="K591" s="275"/>
      <c r="O591" s="56"/>
      <c r="Q591" t="str">
        <f>IFERROR(IF(VLOOKUP(Tb_Activiteiten[[#This Row],[Openstelling]],Tb_Openstelling[],2,0)=1,1,""),"")</f>
        <v/>
      </c>
      <c r="AK591" t="str">
        <f>IF(ISNUMBER(FIND("arbeid",Methode_Keuze)),"",IF(ISNUMBER(FIND("arbeid",Methode_Keuze)),"",IF(Tb_Activiteiten[[#This Row],[Loonkosten]]=1,Tb_Activiteiten[[#Headers],[Loonkosten]],"")))</f>
        <v/>
      </c>
      <c r="AL591" t="str">
        <f>IF(ISNUMBER(FIND("arbeid",Methode_Keuze)),"",IF(ISNUMBER(FIND("arbeid",Methode_Keuze)),"",IF(Tb_Activiteiten[[#This Row],[Eigen arbeid]]=1,Tb_Activiteiten[[#Headers],[Eigen arbeid]],"")))</f>
        <v/>
      </c>
      <c r="AM591" t="str">
        <f>IF(ISNUMBER(FIND("arbeid",Methode_Keuze)),"",IF(ISNUMBER(FIND("arbeid",Methode_Keuze)),"",IF(Tb_Activiteiten[[#This Row],[Projectmedewerker]]=1,Tb_Activiteiten[[#Headers],[Projectmedewerker]],"")))</f>
        <v/>
      </c>
      <c r="AN591" t="str">
        <f>IF(ISNUMBER(FIND("arbeid",Methode_Keuze)),"",IF(ISNUMBER(FIND("arbeid",Methode_Keuze)),"",IF(Tb_Activiteiten[[#This Row],[Landbouwer]]=1,Tb_Activiteiten[[#Headers],[Landbouwer]],"")))</f>
        <v/>
      </c>
      <c r="AO591" t="str">
        <f>IF(ISNUMBER(FIND("arbeid",Methode_Keuze)),"",IF(ISNUMBER(FIND("arbeid",Methode_Keuze)),"",IF(Tb_Activiteiten[[#This Row],[Adviseur]]=1,Tb_Activiteiten[[#Headers],[Adviseur]],"")))</f>
        <v/>
      </c>
      <c r="AP591" t="str">
        <f>IF(ISNUMBER(FIND("arbeid",Methode_Keuze)),"",IF(ISNUMBER(FIND("arbeid",Methode_Keuze)),"",IF(Tb_Activiteiten[[#This Row],[Projectleider/Expert]]=1,Tb_Activiteiten[[#Headers],[Projectleider/Expert]],"")))</f>
        <v/>
      </c>
      <c r="AQ591" t="str">
        <f>IF(ISNUMBER(FIND("arbeid",Methode_Keuze)),"",IF(ISNUMBER(FIND("arbeid",Methode_Keuze)),"",IF(Tb_Activiteiten[[#This Row],[Arbeidskosten]]=1,Tb_Activiteiten[[#Headers],[Arbeidskosten]],"")))</f>
        <v/>
      </c>
      <c r="AR591" t="str">
        <f>IF(ISNUMBER(FIND("arbeid",Methode_Keuze)),"",IF(ISNUMBER(FIND("arbeid",Methode_Keuze)),"",IF(Tb_Activiteiten[[#This Row],[Arbeidskosten op basis van IKS]]=1,Tb_Activiteiten[[#Headers],[Arbeidskosten op basis van IKS]],"")))</f>
        <v/>
      </c>
      <c r="AS591" t="str">
        <f>IF(ISNUMBER(FIND("overige",Methode_Keuze)),"",IF(Tb_Activiteiten[[#This Row],[Kosten derden exclusief btw]]=1,Tb_Activiteiten[[#Headers],[Kosten derden exclusief btw]],""))</f>
        <v/>
      </c>
      <c r="AT591" t="str">
        <f>IF(ISNUMBER(FIND("overige",Methode_Keuze)),"",IF(Tb_Activiteiten[[#This Row],[Niet verrekenbare btw]]=1,Tb_Activiteiten[[#Headers],[Niet verrekenbare btw]],""))</f>
        <v/>
      </c>
      <c r="AU591" t="str">
        <f>IF(ISNUMBER(FIND("overige",Methode_Keuze)),"",IF(Tb_Activiteiten[[#This Row],[Grondkosten]]=1,Tb_Activiteiten[[#Headers],[Grondkosten]],""))</f>
        <v/>
      </c>
      <c r="AV591" t="str">
        <f>IF(ISNUMBER(FIND("overige",Methode_Keuze)),"",IF(Tb_Activiteiten[[#This Row],[Bijdrage in natura (overige)]]=1,Tb_Activiteiten[[#Headers],[Bijdrage in natura (overige)]],""))</f>
        <v/>
      </c>
      <c r="AW591" t="str">
        <f>IF(ISNUMBER(FIND("overige",Methode_Keuze)),"",IF(Tb_Activiteiten[[#This Row],[Bijdrage in natura (vrijwilligers)]]=1,Tb_Activiteiten[[#Headers],[Bijdrage in natura (vrijwilligers)]],""))</f>
        <v/>
      </c>
      <c r="AX591" t="str">
        <f>IF(ISNUMBER(FIND("overige",Methode_Keuze)),"",IF(Tb_Activiteiten[[#This Row],[Afschrijvingskosten]]=1,Tb_Activiteiten[[#Headers],[Afschrijvingskosten]],""))</f>
        <v/>
      </c>
      <c r="AY591" t="str">
        <f>IF(ISNUMBER(FIND("overige",Methode_Keuze)),"",IF(Tb_Activiteiten[[#This Row],[Vergoeding]]=1,Tb_Activiteiten[[#Headers],[Vergoeding]],""))</f>
        <v/>
      </c>
      <c r="AZ591" t="str">
        <f>IF(ISNUMBER(FIND("arbeid",Methode_Keuze)),"",IF(Tb_Activiteiten[[#This Row],[Arbeidskosten - vast tarief (excl eigen arbeid)]]=1,Tb_Activiteiten[[#Headers],[Arbeidskosten - vast tarief (excl eigen arbeid)]],""))</f>
        <v/>
      </c>
      <c r="BA591" t="str">
        <f>IF(ISNUMBER(FIND("overige",Methode_Keuze)),"",IF(Tb_Activiteiten[[#This Row],[Overige kosten]]=1,Tb_Activiteiten[[#Headers],[Overige kosten]],""))</f>
        <v/>
      </c>
    </row>
    <row r="592" spans="1:53" x14ac:dyDescent="0.25">
      <c r="A592" s="231"/>
      <c r="F592" s="64"/>
      <c r="G592" s="64"/>
      <c r="H592" s="275"/>
      <c r="I592" s="275"/>
      <c r="J592" s="275"/>
      <c r="K592" s="275"/>
      <c r="O592" s="56"/>
      <c r="Q592" t="str">
        <f>IFERROR(IF(VLOOKUP(Tb_Activiteiten[[#This Row],[Openstelling]],Tb_Openstelling[],2,0)=1,1,""),"")</f>
        <v/>
      </c>
      <c r="AK592" t="str">
        <f>IF(ISNUMBER(FIND("arbeid",Methode_Keuze)),"",IF(ISNUMBER(FIND("arbeid",Methode_Keuze)),"",IF(Tb_Activiteiten[[#This Row],[Loonkosten]]=1,Tb_Activiteiten[[#Headers],[Loonkosten]],"")))</f>
        <v/>
      </c>
      <c r="AL592" t="str">
        <f>IF(ISNUMBER(FIND("arbeid",Methode_Keuze)),"",IF(ISNUMBER(FIND("arbeid",Methode_Keuze)),"",IF(Tb_Activiteiten[[#This Row],[Eigen arbeid]]=1,Tb_Activiteiten[[#Headers],[Eigen arbeid]],"")))</f>
        <v/>
      </c>
      <c r="AM592" t="str">
        <f>IF(ISNUMBER(FIND("arbeid",Methode_Keuze)),"",IF(ISNUMBER(FIND("arbeid",Methode_Keuze)),"",IF(Tb_Activiteiten[[#This Row],[Projectmedewerker]]=1,Tb_Activiteiten[[#Headers],[Projectmedewerker]],"")))</f>
        <v/>
      </c>
      <c r="AN592" t="str">
        <f>IF(ISNUMBER(FIND("arbeid",Methode_Keuze)),"",IF(ISNUMBER(FIND("arbeid",Methode_Keuze)),"",IF(Tb_Activiteiten[[#This Row],[Landbouwer]]=1,Tb_Activiteiten[[#Headers],[Landbouwer]],"")))</f>
        <v/>
      </c>
      <c r="AO592" t="str">
        <f>IF(ISNUMBER(FIND("arbeid",Methode_Keuze)),"",IF(ISNUMBER(FIND("arbeid",Methode_Keuze)),"",IF(Tb_Activiteiten[[#This Row],[Adviseur]]=1,Tb_Activiteiten[[#Headers],[Adviseur]],"")))</f>
        <v/>
      </c>
      <c r="AP592" t="str">
        <f>IF(ISNUMBER(FIND("arbeid",Methode_Keuze)),"",IF(ISNUMBER(FIND("arbeid",Methode_Keuze)),"",IF(Tb_Activiteiten[[#This Row],[Projectleider/Expert]]=1,Tb_Activiteiten[[#Headers],[Projectleider/Expert]],"")))</f>
        <v/>
      </c>
      <c r="AQ592" t="str">
        <f>IF(ISNUMBER(FIND("arbeid",Methode_Keuze)),"",IF(ISNUMBER(FIND("arbeid",Methode_Keuze)),"",IF(Tb_Activiteiten[[#This Row],[Arbeidskosten]]=1,Tb_Activiteiten[[#Headers],[Arbeidskosten]],"")))</f>
        <v/>
      </c>
      <c r="AR592" t="str">
        <f>IF(ISNUMBER(FIND("arbeid",Methode_Keuze)),"",IF(ISNUMBER(FIND("arbeid",Methode_Keuze)),"",IF(Tb_Activiteiten[[#This Row],[Arbeidskosten op basis van IKS]]=1,Tb_Activiteiten[[#Headers],[Arbeidskosten op basis van IKS]],"")))</f>
        <v/>
      </c>
      <c r="AS592" t="str">
        <f>IF(ISNUMBER(FIND("overige",Methode_Keuze)),"",IF(Tb_Activiteiten[[#This Row],[Kosten derden exclusief btw]]=1,Tb_Activiteiten[[#Headers],[Kosten derden exclusief btw]],""))</f>
        <v/>
      </c>
      <c r="AT592" t="str">
        <f>IF(ISNUMBER(FIND("overige",Methode_Keuze)),"",IF(Tb_Activiteiten[[#This Row],[Niet verrekenbare btw]]=1,Tb_Activiteiten[[#Headers],[Niet verrekenbare btw]],""))</f>
        <v/>
      </c>
      <c r="AU592" t="str">
        <f>IF(ISNUMBER(FIND("overige",Methode_Keuze)),"",IF(Tb_Activiteiten[[#This Row],[Grondkosten]]=1,Tb_Activiteiten[[#Headers],[Grondkosten]],""))</f>
        <v/>
      </c>
      <c r="AV592" t="str">
        <f>IF(ISNUMBER(FIND("overige",Methode_Keuze)),"",IF(Tb_Activiteiten[[#This Row],[Bijdrage in natura (overige)]]=1,Tb_Activiteiten[[#Headers],[Bijdrage in natura (overige)]],""))</f>
        <v/>
      </c>
      <c r="AW592" t="str">
        <f>IF(ISNUMBER(FIND("overige",Methode_Keuze)),"",IF(Tb_Activiteiten[[#This Row],[Bijdrage in natura (vrijwilligers)]]=1,Tb_Activiteiten[[#Headers],[Bijdrage in natura (vrijwilligers)]],""))</f>
        <v/>
      </c>
      <c r="AX592" t="str">
        <f>IF(ISNUMBER(FIND("overige",Methode_Keuze)),"",IF(Tb_Activiteiten[[#This Row],[Afschrijvingskosten]]=1,Tb_Activiteiten[[#Headers],[Afschrijvingskosten]],""))</f>
        <v/>
      </c>
      <c r="AY592" t="str">
        <f>IF(ISNUMBER(FIND("overige",Methode_Keuze)),"",IF(Tb_Activiteiten[[#This Row],[Vergoeding]]=1,Tb_Activiteiten[[#Headers],[Vergoeding]],""))</f>
        <v/>
      </c>
      <c r="AZ592" t="str">
        <f>IF(ISNUMBER(FIND("arbeid",Methode_Keuze)),"",IF(Tb_Activiteiten[[#This Row],[Arbeidskosten - vast tarief (excl eigen arbeid)]]=1,Tb_Activiteiten[[#Headers],[Arbeidskosten - vast tarief (excl eigen arbeid)]],""))</f>
        <v/>
      </c>
      <c r="BA592" t="str">
        <f>IF(ISNUMBER(FIND("overige",Methode_Keuze)),"",IF(Tb_Activiteiten[[#This Row],[Overige kosten]]=1,Tb_Activiteiten[[#Headers],[Overige kosten]],""))</f>
        <v/>
      </c>
    </row>
    <row r="593" spans="1:53" x14ac:dyDescent="0.25">
      <c r="A593" s="231"/>
      <c r="F593" s="64"/>
      <c r="G593" s="64"/>
      <c r="H593" s="275"/>
      <c r="I593" s="275"/>
      <c r="J593" s="275"/>
      <c r="K593" s="275"/>
      <c r="O593" s="56"/>
      <c r="Q593" t="str">
        <f>IFERROR(IF(VLOOKUP(Tb_Activiteiten[[#This Row],[Openstelling]],Tb_Openstelling[],2,0)=1,1,""),"")</f>
        <v/>
      </c>
      <c r="AK593" t="str">
        <f>IF(ISNUMBER(FIND("arbeid",Methode_Keuze)),"",IF(ISNUMBER(FIND("arbeid",Methode_Keuze)),"",IF(Tb_Activiteiten[[#This Row],[Loonkosten]]=1,Tb_Activiteiten[[#Headers],[Loonkosten]],"")))</f>
        <v/>
      </c>
      <c r="AL593" t="str">
        <f>IF(ISNUMBER(FIND("arbeid",Methode_Keuze)),"",IF(ISNUMBER(FIND("arbeid",Methode_Keuze)),"",IF(Tb_Activiteiten[[#This Row],[Eigen arbeid]]=1,Tb_Activiteiten[[#Headers],[Eigen arbeid]],"")))</f>
        <v/>
      </c>
      <c r="AM593" t="str">
        <f>IF(ISNUMBER(FIND("arbeid",Methode_Keuze)),"",IF(ISNUMBER(FIND("arbeid",Methode_Keuze)),"",IF(Tb_Activiteiten[[#This Row],[Projectmedewerker]]=1,Tb_Activiteiten[[#Headers],[Projectmedewerker]],"")))</f>
        <v/>
      </c>
      <c r="AN593" t="str">
        <f>IF(ISNUMBER(FIND("arbeid",Methode_Keuze)),"",IF(ISNUMBER(FIND("arbeid",Methode_Keuze)),"",IF(Tb_Activiteiten[[#This Row],[Landbouwer]]=1,Tb_Activiteiten[[#Headers],[Landbouwer]],"")))</f>
        <v/>
      </c>
      <c r="AO593" t="str">
        <f>IF(ISNUMBER(FIND("arbeid",Methode_Keuze)),"",IF(ISNUMBER(FIND("arbeid",Methode_Keuze)),"",IF(Tb_Activiteiten[[#This Row],[Adviseur]]=1,Tb_Activiteiten[[#Headers],[Adviseur]],"")))</f>
        <v/>
      </c>
      <c r="AP593" t="str">
        <f>IF(ISNUMBER(FIND("arbeid",Methode_Keuze)),"",IF(ISNUMBER(FIND("arbeid",Methode_Keuze)),"",IF(Tb_Activiteiten[[#This Row],[Projectleider/Expert]]=1,Tb_Activiteiten[[#Headers],[Projectleider/Expert]],"")))</f>
        <v/>
      </c>
      <c r="AQ593" t="str">
        <f>IF(ISNUMBER(FIND("arbeid",Methode_Keuze)),"",IF(ISNUMBER(FIND("arbeid",Methode_Keuze)),"",IF(Tb_Activiteiten[[#This Row],[Arbeidskosten]]=1,Tb_Activiteiten[[#Headers],[Arbeidskosten]],"")))</f>
        <v/>
      </c>
      <c r="AR593" t="str">
        <f>IF(ISNUMBER(FIND("arbeid",Methode_Keuze)),"",IF(ISNUMBER(FIND("arbeid",Methode_Keuze)),"",IF(Tb_Activiteiten[[#This Row],[Arbeidskosten op basis van IKS]]=1,Tb_Activiteiten[[#Headers],[Arbeidskosten op basis van IKS]],"")))</f>
        <v/>
      </c>
      <c r="AS593" t="str">
        <f>IF(ISNUMBER(FIND("overige",Methode_Keuze)),"",IF(Tb_Activiteiten[[#This Row],[Kosten derden exclusief btw]]=1,Tb_Activiteiten[[#Headers],[Kosten derden exclusief btw]],""))</f>
        <v/>
      </c>
      <c r="AT593" t="str">
        <f>IF(ISNUMBER(FIND("overige",Methode_Keuze)),"",IF(Tb_Activiteiten[[#This Row],[Niet verrekenbare btw]]=1,Tb_Activiteiten[[#Headers],[Niet verrekenbare btw]],""))</f>
        <v/>
      </c>
      <c r="AU593" t="str">
        <f>IF(ISNUMBER(FIND("overige",Methode_Keuze)),"",IF(Tb_Activiteiten[[#This Row],[Grondkosten]]=1,Tb_Activiteiten[[#Headers],[Grondkosten]],""))</f>
        <v/>
      </c>
      <c r="AV593" t="str">
        <f>IF(ISNUMBER(FIND("overige",Methode_Keuze)),"",IF(Tb_Activiteiten[[#This Row],[Bijdrage in natura (overige)]]=1,Tb_Activiteiten[[#Headers],[Bijdrage in natura (overige)]],""))</f>
        <v/>
      </c>
      <c r="AW593" t="str">
        <f>IF(ISNUMBER(FIND("overige",Methode_Keuze)),"",IF(Tb_Activiteiten[[#This Row],[Bijdrage in natura (vrijwilligers)]]=1,Tb_Activiteiten[[#Headers],[Bijdrage in natura (vrijwilligers)]],""))</f>
        <v/>
      </c>
      <c r="AX593" t="str">
        <f>IF(ISNUMBER(FIND("overige",Methode_Keuze)),"",IF(Tb_Activiteiten[[#This Row],[Afschrijvingskosten]]=1,Tb_Activiteiten[[#Headers],[Afschrijvingskosten]],""))</f>
        <v/>
      </c>
      <c r="AY593" t="str">
        <f>IF(ISNUMBER(FIND("overige",Methode_Keuze)),"",IF(Tb_Activiteiten[[#This Row],[Vergoeding]]=1,Tb_Activiteiten[[#Headers],[Vergoeding]],""))</f>
        <v/>
      </c>
      <c r="AZ593" t="str">
        <f>IF(ISNUMBER(FIND("arbeid",Methode_Keuze)),"",IF(Tb_Activiteiten[[#This Row],[Arbeidskosten - vast tarief (excl eigen arbeid)]]=1,Tb_Activiteiten[[#Headers],[Arbeidskosten - vast tarief (excl eigen arbeid)]],""))</f>
        <v/>
      </c>
      <c r="BA593" t="str">
        <f>IF(ISNUMBER(FIND("overige",Methode_Keuze)),"",IF(Tb_Activiteiten[[#This Row],[Overige kosten]]=1,Tb_Activiteiten[[#Headers],[Overige kosten]],""))</f>
        <v/>
      </c>
    </row>
    <row r="594" spans="1:53" x14ac:dyDescent="0.25">
      <c r="A594" s="231"/>
      <c r="F594" s="64"/>
      <c r="G594" s="64"/>
      <c r="H594" s="275"/>
      <c r="I594" s="275"/>
      <c r="J594" s="275"/>
      <c r="K594" s="275"/>
      <c r="O594" s="56"/>
      <c r="Q594" t="str">
        <f>IFERROR(IF(VLOOKUP(Tb_Activiteiten[[#This Row],[Openstelling]],Tb_Openstelling[],2,0)=1,1,""),"")</f>
        <v/>
      </c>
      <c r="AK594" t="str">
        <f>IF(ISNUMBER(FIND("arbeid",Methode_Keuze)),"",IF(ISNUMBER(FIND("arbeid",Methode_Keuze)),"",IF(Tb_Activiteiten[[#This Row],[Loonkosten]]=1,Tb_Activiteiten[[#Headers],[Loonkosten]],"")))</f>
        <v/>
      </c>
      <c r="AL594" t="str">
        <f>IF(ISNUMBER(FIND("arbeid",Methode_Keuze)),"",IF(ISNUMBER(FIND("arbeid",Methode_Keuze)),"",IF(Tb_Activiteiten[[#This Row],[Eigen arbeid]]=1,Tb_Activiteiten[[#Headers],[Eigen arbeid]],"")))</f>
        <v/>
      </c>
      <c r="AM594" t="str">
        <f>IF(ISNUMBER(FIND("arbeid",Methode_Keuze)),"",IF(ISNUMBER(FIND("arbeid",Methode_Keuze)),"",IF(Tb_Activiteiten[[#This Row],[Projectmedewerker]]=1,Tb_Activiteiten[[#Headers],[Projectmedewerker]],"")))</f>
        <v/>
      </c>
      <c r="AN594" t="str">
        <f>IF(ISNUMBER(FIND("arbeid",Methode_Keuze)),"",IF(ISNUMBER(FIND("arbeid",Methode_Keuze)),"",IF(Tb_Activiteiten[[#This Row],[Landbouwer]]=1,Tb_Activiteiten[[#Headers],[Landbouwer]],"")))</f>
        <v/>
      </c>
      <c r="AO594" t="str">
        <f>IF(ISNUMBER(FIND("arbeid",Methode_Keuze)),"",IF(ISNUMBER(FIND("arbeid",Methode_Keuze)),"",IF(Tb_Activiteiten[[#This Row],[Adviseur]]=1,Tb_Activiteiten[[#Headers],[Adviseur]],"")))</f>
        <v/>
      </c>
      <c r="AP594" t="str">
        <f>IF(ISNUMBER(FIND("arbeid",Methode_Keuze)),"",IF(ISNUMBER(FIND("arbeid",Methode_Keuze)),"",IF(Tb_Activiteiten[[#This Row],[Projectleider/Expert]]=1,Tb_Activiteiten[[#Headers],[Projectleider/Expert]],"")))</f>
        <v/>
      </c>
      <c r="AQ594" t="str">
        <f>IF(ISNUMBER(FIND("arbeid",Methode_Keuze)),"",IF(ISNUMBER(FIND("arbeid",Methode_Keuze)),"",IF(Tb_Activiteiten[[#This Row],[Arbeidskosten]]=1,Tb_Activiteiten[[#Headers],[Arbeidskosten]],"")))</f>
        <v/>
      </c>
      <c r="AR594" t="str">
        <f>IF(ISNUMBER(FIND("arbeid",Methode_Keuze)),"",IF(ISNUMBER(FIND("arbeid",Methode_Keuze)),"",IF(Tb_Activiteiten[[#This Row],[Arbeidskosten op basis van IKS]]=1,Tb_Activiteiten[[#Headers],[Arbeidskosten op basis van IKS]],"")))</f>
        <v/>
      </c>
      <c r="AS594" t="str">
        <f>IF(ISNUMBER(FIND("overige",Methode_Keuze)),"",IF(Tb_Activiteiten[[#This Row],[Kosten derden exclusief btw]]=1,Tb_Activiteiten[[#Headers],[Kosten derden exclusief btw]],""))</f>
        <v/>
      </c>
      <c r="AT594" t="str">
        <f>IF(ISNUMBER(FIND("overige",Methode_Keuze)),"",IF(Tb_Activiteiten[[#This Row],[Niet verrekenbare btw]]=1,Tb_Activiteiten[[#Headers],[Niet verrekenbare btw]],""))</f>
        <v/>
      </c>
      <c r="AU594" t="str">
        <f>IF(ISNUMBER(FIND("overige",Methode_Keuze)),"",IF(Tb_Activiteiten[[#This Row],[Grondkosten]]=1,Tb_Activiteiten[[#Headers],[Grondkosten]],""))</f>
        <v/>
      </c>
      <c r="AV594" t="str">
        <f>IF(ISNUMBER(FIND("overige",Methode_Keuze)),"",IF(Tb_Activiteiten[[#This Row],[Bijdrage in natura (overige)]]=1,Tb_Activiteiten[[#Headers],[Bijdrage in natura (overige)]],""))</f>
        <v/>
      </c>
      <c r="AW594" t="str">
        <f>IF(ISNUMBER(FIND("overige",Methode_Keuze)),"",IF(Tb_Activiteiten[[#This Row],[Bijdrage in natura (vrijwilligers)]]=1,Tb_Activiteiten[[#Headers],[Bijdrage in natura (vrijwilligers)]],""))</f>
        <v/>
      </c>
      <c r="AX594" t="str">
        <f>IF(ISNUMBER(FIND("overige",Methode_Keuze)),"",IF(Tb_Activiteiten[[#This Row],[Afschrijvingskosten]]=1,Tb_Activiteiten[[#Headers],[Afschrijvingskosten]],""))</f>
        <v/>
      </c>
      <c r="AY594" t="str">
        <f>IF(ISNUMBER(FIND("overige",Methode_Keuze)),"",IF(Tb_Activiteiten[[#This Row],[Vergoeding]]=1,Tb_Activiteiten[[#Headers],[Vergoeding]],""))</f>
        <v/>
      </c>
      <c r="AZ594" t="str">
        <f>IF(ISNUMBER(FIND("arbeid",Methode_Keuze)),"",IF(Tb_Activiteiten[[#This Row],[Arbeidskosten - vast tarief (excl eigen arbeid)]]=1,Tb_Activiteiten[[#Headers],[Arbeidskosten - vast tarief (excl eigen arbeid)]],""))</f>
        <v/>
      </c>
      <c r="BA594" t="str">
        <f>IF(ISNUMBER(FIND("overige",Methode_Keuze)),"",IF(Tb_Activiteiten[[#This Row],[Overige kosten]]=1,Tb_Activiteiten[[#Headers],[Overige kosten]],""))</f>
        <v/>
      </c>
    </row>
    <row r="595" spans="1:53" x14ac:dyDescent="0.25">
      <c r="A595" s="231"/>
      <c r="F595" s="64"/>
      <c r="G595" s="64"/>
      <c r="H595" s="275"/>
      <c r="I595" s="275"/>
      <c r="J595" s="275"/>
      <c r="K595" s="275"/>
      <c r="O595" s="56"/>
      <c r="Q595" t="str">
        <f>IFERROR(IF(VLOOKUP(Tb_Activiteiten[[#This Row],[Openstelling]],Tb_Openstelling[],2,0)=1,1,""),"")</f>
        <v/>
      </c>
      <c r="AK595" t="str">
        <f>IF(ISNUMBER(FIND("arbeid",Methode_Keuze)),"",IF(ISNUMBER(FIND("arbeid",Methode_Keuze)),"",IF(Tb_Activiteiten[[#This Row],[Loonkosten]]=1,Tb_Activiteiten[[#Headers],[Loonkosten]],"")))</f>
        <v/>
      </c>
      <c r="AL595" t="str">
        <f>IF(ISNUMBER(FIND("arbeid",Methode_Keuze)),"",IF(ISNUMBER(FIND("arbeid",Methode_Keuze)),"",IF(Tb_Activiteiten[[#This Row],[Eigen arbeid]]=1,Tb_Activiteiten[[#Headers],[Eigen arbeid]],"")))</f>
        <v/>
      </c>
      <c r="AM595" t="str">
        <f>IF(ISNUMBER(FIND("arbeid",Methode_Keuze)),"",IF(ISNUMBER(FIND("arbeid",Methode_Keuze)),"",IF(Tb_Activiteiten[[#This Row],[Projectmedewerker]]=1,Tb_Activiteiten[[#Headers],[Projectmedewerker]],"")))</f>
        <v/>
      </c>
      <c r="AN595" t="str">
        <f>IF(ISNUMBER(FIND("arbeid",Methode_Keuze)),"",IF(ISNUMBER(FIND("arbeid",Methode_Keuze)),"",IF(Tb_Activiteiten[[#This Row],[Landbouwer]]=1,Tb_Activiteiten[[#Headers],[Landbouwer]],"")))</f>
        <v/>
      </c>
      <c r="AO595" t="str">
        <f>IF(ISNUMBER(FIND("arbeid",Methode_Keuze)),"",IF(ISNUMBER(FIND("arbeid",Methode_Keuze)),"",IF(Tb_Activiteiten[[#This Row],[Adviseur]]=1,Tb_Activiteiten[[#Headers],[Adviseur]],"")))</f>
        <v/>
      </c>
      <c r="AP595" t="str">
        <f>IF(ISNUMBER(FIND("arbeid",Methode_Keuze)),"",IF(ISNUMBER(FIND("arbeid",Methode_Keuze)),"",IF(Tb_Activiteiten[[#This Row],[Projectleider/Expert]]=1,Tb_Activiteiten[[#Headers],[Projectleider/Expert]],"")))</f>
        <v/>
      </c>
      <c r="AQ595" t="str">
        <f>IF(ISNUMBER(FIND("arbeid",Methode_Keuze)),"",IF(ISNUMBER(FIND("arbeid",Methode_Keuze)),"",IF(Tb_Activiteiten[[#This Row],[Arbeidskosten]]=1,Tb_Activiteiten[[#Headers],[Arbeidskosten]],"")))</f>
        <v/>
      </c>
      <c r="AR595" t="str">
        <f>IF(ISNUMBER(FIND("arbeid",Methode_Keuze)),"",IF(ISNUMBER(FIND("arbeid",Methode_Keuze)),"",IF(Tb_Activiteiten[[#This Row],[Arbeidskosten op basis van IKS]]=1,Tb_Activiteiten[[#Headers],[Arbeidskosten op basis van IKS]],"")))</f>
        <v/>
      </c>
      <c r="AS595" t="str">
        <f>IF(ISNUMBER(FIND("overige",Methode_Keuze)),"",IF(Tb_Activiteiten[[#This Row],[Kosten derden exclusief btw]]=1,Tb_Activiteiten[[#Headers],[Kosten derden exclusief btw]],""))</f>
        <v/>
      </c>
      <c r="AT595" t="str">
        <f>IF(ISNUMBER(FIND("overige",Methode_Keuze)),"",IF(Tb_Activiteiten[[#This Row],[Niet verrekenbare btw]]=1,Tb_Activiteiten[[#Headers],[Niet verrekenbare btw]],""))</f>
        <v/>
      </c>
      <c r="AU595" t="str">
        <f>IF(ISNUMBER(FIND("overige",Methode_Keuze)),"",IF(Tb_Activiteiten[[#This Row],[Grondkosten]]=1,Tb_Activiteiten[[#Headers],[Grondkosten]],""))</f>
        <v/>
      </c>
      <c r="AV595" t="str">
        <f>IF(ISNUMBER(FIND("overige",Methode_Keuze)),"",IF(Tb_Activiteiten[[#This Row],[Bijdrage in natura (overige)]]=1,Tb_Activiteiten[[#Headers],[Bijdrage in natura (overige)]],""))</f>
        <v/>
      </c>
      <c r="AW595" t="str">
        <f>IF(ISNUMBER(FIND("overige",Methode_Keuze)),"",IF(Tb_Activiteiten[[#This Row],[Bijdrage in natura (vrijwilligers)]]=1,Tb_Activiteiten[[#Headers],[Bijdrage in natura (vrijwilligers)]],""))</f>
        <v/>
      </c>
      <c r="AX595" t="str">
        <f>IF(ISNUMBER(FIND("overige",Methode_Keuze)),"",IF(Tb_Activiteiten[[#This Row],[Afschrijvingskosten]]=1,Tb_Activiteiten[[#Headers],[Afschrijvingskosten]],""))</f>
        <v/>
      </c>
      <c r="AY595" t="str">
        <f>IF(ISNUMBER(FIND("overige",Methode_Keuze)),"",IF(Tb_Activiteiten[[#This Row],[Vergoeding]]=1,Tb_Activiteiten[[#Headers],[Vergoeding]],""))</f>
        <v/>
      </c>
      <c r="AZ595" t="str">
        <f>IF(ISNUMBER(FIND("arbeid",Methode_Keuze)),"",IF(Tb_Activiteiten[[#This Row],[Arbeidskosten - vast tarief (excl eigen arbeid)]]=1,Tb_Activiteiten[[#Headers],[Arbeidskosten - vast tarief (excl eigen arbeid)]],""))</f>
        <v/>
      </c>
      <c r="BA595" t="str">
        <f>IF(ISNUMBER(FIND("overige",Methode_Keuze)),"",IF(Tb_Activiteiten[[#This Row],[Overige kosten]]=1,Tb_Activiteiten[[#Headers],[Overige kosten]],""))</f>
        <v/>
      </c>
    </row>
    <row r="596" spans="1:53" x14ac:dyDescent="0.25">
      <c r="A596" s="231"/>
      <c r="F596" s="64"/>
      <c r="G596" s="64"/>
      <c r="H596" s="275"/>
      <c r="I596" s="275"/>
      <c r="J596" s="275"/>
      <c r="K596" s="275"/>
      <c r="O596" s="56"/>
      <c r="Q596" t="str">
        <f>IFERROR(IF(VLOOKUP(Tb_Activiteiten[[#This Row],[Openstelling]],Tb_Openstelling[],2,0)=1,1,""),"")</f>
        <v/>
      </c>
      <c r="AK596" t="str">
        <f>IF(ISNUMBER(FIND("arbeid",Methode_Keuze)),"",IF(ISNUMBER(FIND("arbeid",Methode_Keuze)),"",IF(Tb_Activiteiten[[#This Row],[Loonkosten]]=1,Tb_Activiteiten[[#Headers],[Loonkosten]],"")))</f>
        <v/>
      </c>
      <c r="AL596" t="str">
        <f>IF(ISNUMBER(FIND("arbeid",Methode_Keuze)),"",IF(ISNUMBER(FIND("arbeid",Methode_Keuze)),"",IF(Tb_Activiteiten[[#This Row],[Eigen arbeid]]=1,Tb_Activiteiten[[#Headers],[Eigen arbeid]],"")))</f>
        <v/>
      </c>
      <c r="AM596" t="str">
        <f>IF(ISNUMBER(FIND("arbeid",Methode_Keuze)),"",IF(ISNUMBER(FIND("arbeid",Methode_Keuze)),"",IF(Tb_Activiteiten[[#This Row],[Projectmedewerker]]=1,Tb_Activiteiten[[#Headers],[Projectmedewerker]],"")))</f>
        <v/>
      </c>
      <c r="AN596" t="str">
        <f>IF(ISNUMBER(FIND("arbeid",Methode_Keuze)),"",IF(ISNUMBER(FIND("arbeid",Methode_Keuze)),"",IF(Tb_Activiteiten[[#This Row],[Landbouwer]]=1,Tb_Activiteiten[[#Headers],[Landbouwer]],"")))</f>
        <v/>
      </c>
      <c r="AO596" t="str">
        <f>IF(ISNUMBER(FIND("arbeid",Methode_Keuze)),"",IF(ISNUMBER(FIND("arbeid",Methode_Keuze)),"",IF(Tb_Activiteiten[[#This Row],[Adviseur]]=1,Tb_Activiteiten[[#Headers],[Adviseur]],"")))</f>
        <v/>
      </c>
      <c r="AP596" t="str">
        <f>IF(ISNUMBER(FIND("arbeid",Methode_Keuze)),"",IF(ISNUMBER(FIND("arbeid",Methode_Keuze)),"",IF(Tb_Activiteiten[[#This Row],[Projectleider/Expert]]=1,Tb_Activiteiten[[#Headers],[Projectleider/Expert]],"")))</f>
        <v/>
      </c>
      <c r="AQ596" t="str">
        <f>IF(ISNUMBER(FIND("arbeid",Methode_Keuze)),"",IF(ISNUMBER(FIND("arbeid",Methode_Keuze)),"",IF(Tb_Activiteiten[[#This Row],[Arbeidskosten]]=1,Tb_Activiteiten[[#Headers],[Arbeidskosten]],"")))</f>
        <v/>
      </c>
      <c r="AR596" t="str">
        <f>IF(ISNUMBER(FIND("arbeid",Methode_Keuze)),"",IF(ISNUMBER(FIND("arbeid",Methode_Keuze)),"",IF(Tb_Activiteiten[[#This Row],[Arbeidskosten op basis van IKS]]=1,Tb_Activiteiten[[#Headers],[Arbeidskosten op basis van IKS]],"")))</f>
        <v/>
      </c>
      <c r="AS596" t="str">
        <f>IF(ISNUMBER(FIND("overige",Methode_Keuze)),"",IF(Tb_Activiteiten[[#This Row],[Kosten derden exclusief btw]]=1,Tb_Activiteiten[[#Headers],[Kosten derden exclusief btw]],""))</f>
        <v/>
      </c>
      <c r="AT596" t="str">
        <f>IF(ISNUMBER(FIND("overige",Methode_Keuze)),"",IF(Tb_Activiteiten[[#This Row],[Niet verrekenbare btw]]=1,Tb_Activiteiten[[#Headers],[Niet verrekenbare btw]],""))</f>
        <v/>
      </c>
      <c r="AU596" t="str">
        <f>IF(ISNUMBER(FIND("overige",Methode_Keuze)),"",IF(Tb_Activiteiten[[#This Row],[Grondkosten]]=1,Tb_Activiteiten[[#Headers],[Grondkosten]],""))</f>
        <v/>
      </c>
      <c r="AV596" t="str">
        <f>IF(ISNUMBER(FIND("overige",Methode_Keuze)),"",IF(Tb_Activiteiten[[#This Row],[Bijdrage in natura (overige)]]=1,Tb_Activiteiten[[#Headers],[Bijdrage in natura (overige)]],""))</f>
        <v/>
      </c>
      <c r="AW596" t="str">
        <f>IF(ISNUMBER(FIND("overige",Methode_Keuze)),"",IF(Tb_Activiteiten[[#This Row],[Bijdrage in natura (vrijwilligers)]]=1,Tb_Activiteiten[[#Headers],[Bijdrage in natura (vrijwilligers)]],""))</f>
        <v/>
      </c>
      <c r="AX596" t="str">
        <f>IF(ISNUMBER(FIND("overige",Methode_Keuze)),"",IF(Tb_Activiteiten[[#This Row],[Afschrijvingskosten]]=1,Tb_Activiteiten[[#Headers],[Afschrijvingskosten]],""))</f>
        <v/>
      </c>
      <c r="AY596" t="str">
        <f>IF(ISNUMBER(FIND("overige",Methode_Keuze)),"",IF(Tb_Activiteiten[[#This Row],[Vergoeding]]=1,Tb_Activiteiten[[#Headers],[Vergoeding]],""))</f>
        <v/>
      </c>
      <c r="AZ596" t="str">
        <f>IF(ISNUMBER(FIND("arbeid",Methode_Keuze)),"",IF(Tb_Activiteiten[[#This Row],[Arbeidskosten - vast tarief (excl eigen arbeid)]]=1,Tb_Activiteiten[[#Headers],[Arbeidskosten - vast tarief (excl eigen arbeid)]],""))</f>
        <v/>
      </c>
      <c r="BA596" t="str">
        <f>IF(ISNUMBER(FIND("overige",Methode_Keuze)),"",IF(Tb_Activiteiten[[#This Row],[Overige kosten]]=1,Tb_Activiteiten[[#Headers],[Overige kosten]],""))</f>
        <v/>
      </c>
    </row>
    <row r="597" spans="1:53" x14ac:dyDescent="0.25">
      <c r="A597" s="231"/>
      <c r="F597" s="64"/>
      <c r="G597" s="64"/>
      <c r="H597" s="275"/>
      <c r="I597" s="275"/>
      <c r="J597" s="275"/>
      <c r="K597" s="275"/>
      <c r="O597" s="56"/>
      <c r="Q597" t="str">
        <f>IFERROR(IF(VLOOKUP(Tb_Activiteiten[[#This Row],[Openstelling]],Tb_Openstelling[],2,0)=1,1,""),"")</f>
        <v/>
      </c>
      <c r="AK597" t="str">
        <f>IF(ISNUMBER(FIND("arbeid",Methode_Keuze)),"",IF(ISNUMBER(FIND("arbeid",Methode_Keuze)),"",IF(Tb_Activiteiten[[#This Row],[Loonkosten]]=1,Tb_Activiteiten[[#Headers],[Loonkosten]],"")))</f>
        <v/>
      </c>
      <c r="AL597" t="str">
        <f>IF(ISNUMBER(FIND("arbeid",Methode_Keuze)),"",IF(ISNUMBER(FIND("arbeid",Methode_Keuze)),"",IF(Tb_Activiteiten[[#This Row],[Eigen arbeid]]=1,Tb_Activiteiten[[#Headers],[Eigen arbeid]],"")))</f>
        <v/>
      </c>
      <c r="AM597" t="str">
        <f>IF(ISNUMBER(FIND("arbeid",Methode_Keuze)),"",IF(ISNUMBER(FIND("arbeid",Methode_Keuze)),"",IF(Tb_Activiteiten[[#This Row],[Projectmedewerker]]=1,Tb_Activiteiten[[#Headers],[Projectmedewerker]],"")))</f>
        <v/>
      </c>
      <c r="AN597" t="str">
        <f>IF(ISNUMBER(FIND("arbeid",Methode_Keuze)),"",IF(ISNUMBER(FIND("arbeid",Methode_Keuze)),"",IF(Tb_Activiteiten[[#This Row],[Landbouwer]]=1,Tb_Activiteiten[[#Headers],[Landbouwer]],"")))</f>
        <v/>
      </c>
      <c r="AO597" t="str">
        <f>IF(ISNUMBER(FIND("arbeid",Methode_Keuze)),"",IF(ISNUMBER(FIND("arbeid",Methode_Keuze)),"",IF(Tb_Activiteiten[[#This Row],[Adviseur]]=1,Tb_Activiteiten[[#Headers],[Adviseur]],"")))</f>
        <v/>
      </c>
      <c r="AP597" t="str">
        <f>IF(ISNUMBER(FIND("arbeid",Methode_Keuze)),"",IF(ISNUMBER(FIND("arbeid",Methode_Keuze)),"",IF(Tb_Activiteiten[[#This Row],[Projectleider/Expert]]=1,Tb_Activiteiten[[#Headers],[Projectleider/Expert]],"")))</f>
        <v/>
      </c>
      <c r="AQ597" t="str">
        <f>IF(ISNUMBER(FIND("arbeid",Methode_Keuze)),"",IF(ISNUMBER(FIND("arbeid",Methode_Keuze)),"",IF(Tb_Activiteiten[[#This Row],[Arbeidskosten]]=1,Tb_Activiteiten[[#Headers],[Arbeidskosten]],"")))</f>
        <v/>
      </c>
      <c r="AR597" t="str">
        <f>IF(ISNUMBER(FIND("arbeid",Methode_Keuze)),"",IF(ISNUMBER(FIND("arbeid",Methode_Keuze)),"",IF(Tb_Activiteiten[[#This Row],[Arbeidskosten op basis van IKS]]=1,Tb_Activiteiten[[#Headers],[Arbeidskosten op basis van IKS]],"")))</f>
        <v/>
      </c>
      <c r="AS597" t="str">
        <f>IF(ISNUMBER(FIND("overige",Methode_Keuze)),"",IF(Tb_Activiteiten[[#This Row],[Kosten derden exclusief btw]]=1,Tb_Activiteiten[[#Headers],[Kosten derden exclusief btw]],""))</f>
        <v/>
      </c>
      <c r="AT597" t="str">
        <f>IF(ISNUMBER(FIND("overige",Methode_Keuze)),"",IF(Tb_Activiteiten[[#This Row],[Niet verrekenbare btw]]=1,Tb_Activiteiten[[#Headers],[Niet verrekenbare btw]],""))</f>
        <v/>
      </c>
      <c r="AU597" t="str">
        <f>IF(ISNUMBER(FIND("overige",Methode_Keuze)),"",IF(Tb_Activiteiten[[#This Row],[Grondkosten]]=1,Tb_Activiteiten[[#Headers],[Grondkosten]],""))</f>
        <v/>
      </c>
      <c r="AV597" t="str">
        <f>IF(ISNUMBER(FIND("overige",Methode_Keuze)),"",IF(Tb_Activiteiten[[#This Row],[Bijdrage in natura (overige)]]=1,Tb_Activiteiten[[#Headers],[Bijdrage in natura (overige)]],""))</f>
        <v/>
      </c>
      <c r="AW597" t="str">
        <f>IF(ISNUMBER(FIND("overige",Methode_Keuze)),"",IF(Tb_Activiteiten[[#This Row],[Bijdrage in natura (vrijwilligers)]]=1,Tb_Activiteiten[[#Headers],[Bijdrage in natura (vrijwilligers)]],""))</f>
        <v/>
      </c>
      <c r="AX597" t="str">
        <f>IF(ISNUMBER(FIND("overige",Methode_Keuze)),"",IF(Tb_Activiteiten[[#This Row],[Afschrijvingskosten]]=1,Tb_Activiteiten[[#Headers],[Afschrijvingskosten]],""))</f>
        <v/>
      </c>
      <c r="AY597" t="str">
        <f>IF(ISNUMBER(FIND("overige",Methode_Keuze)),"",IF(Tb_Activiteiten[[#This Row],[Vergoeding]]=1,Tb_Activiteiten[[#Headers],[Vergoeding]],""))</f>
        <v/>
      </c>
      <c r="AZ597" t="str">
        <f>IF(ISNUMBER(FIND("arbeid",Methode_Keuze)),"",IF(Tb_Activiteiten[[#This Row],[Arbeidskosten - vast tarief (excl eigen arbeid)]]=1,Tb_Activiteiten[[#Headers],[Arbeidskosten - vast tarief (excl eigen arbeid)]],""))</f>
        <v/>
      </c>
      <c r="BA597" t="str">
        <f>IF(ISNUMBER(FIND("overige",Methode_Keuze)),"",IF(Tb_Activiteiten[[#This Row],[Overige kosten]]=1,Tb_Activiteiten[[#Headers],[Overige kosten]],""))</f>
        <v/>
      </c>
    </row>
    <row r="598" spans="1:53" x14ac:dyDescent="0.25">
      <c r="A598" s="231"/>
      <c r="F598" s="64"/>
      <c r="G598" s="64"/>
      <c r="H598" s="275"/>
      <c r="I598" s="275"/>
      <c r="J598" s="275"/>
      <c r="K598" s="275"/>
      <c r="O598" s="56"/>
      <c r="Q598" t="str">
        <f>IFERROR(IF(VLOOKUP(Tb_Activiteiten[[#This Row],[Openstelling]],Tb_Openstelling[],2,0)=1,1,""),"")</f>
        <v/>
      </c>
      <c r="AK598" t="str">
        <f>IF(ISNUMBER(FIND("arbeid",Methode_Keuze)),"",IF(ISNUMBER(FIND("arbeid",Methode_Keuze)),"",IF(Tb_Activiteiten[[#This Row],[Loonkosten]]=1,Tb_Activiteiten[[#Headers],[Loonkosten]],"")))</f>
        <v/>
      </c>
      <c r="AL598" t="str">
        <f>IF(ISNUMBER(FIND("arbeid",Methode_Keuze)),"",IF(ISNUMBER(FIND("arbeid",Methode_Keuze)),"",IF(Tb_Activiteiten[[#This Row],[Eigen arbeid]]=1,Tb_Activiteiten[[#Headers],[Eigen arbeid]],"")))</f>
        <v/>
      </c>
      <c r="AM598" t="str">
        <f>IF(ISNUMBER(FIND("arbeid",Methode_Keuze)),"",IF(ISNUMBER(FIND("arbeid",Methode_Keuze)),"",IF(Tb_Activiteiten[[#This Row],[Projectmedewerker]]=1,Tb_Activiteiten[[#Headers],[Projectmedewerker]],"")))</f>
        <v/>
      </c>
      <c r="AN598" t="str">
        <f>IF(ISNUMBER(FIND("arbeid",Methode_Keuze)),"",IF(ISNUMBER(FIND("arbeid",Methode_Keuze)),"",IF(Tb_Activiteiten[[#This Row],[Landbouwer]]=1,Tb_Activiteiten[[#Headers],[Landbouwer]],"")))</f>
        <v/>
      </c>
      <c r="AO598" t="str">
        <f>IF(ISNUMBER(FIND("arbeid",Methode_Keuze)),"",IF(ISNUMBER(FIND("arbeid",Methode_Keuze)),"",IF(Tb_Activiteiten[[#This Row],[Adviseur]]=1,Tb_Activiteiten[[#Headers],[Adviseur]],"")))</f>
        <v/>
      </c>
      <c r="AP598" t="str">
        <f>IF(ISNUMBER(FIND("arbeid",Methode_Keuze)),"",IF(ISNUMBER(FIND("arbeid",Methode_Keuze)),"",IF(Tb_Activiteiten[[#This Row],[Projectleider/Expert]]=1,Tb_Activiteiten[[#Headers],[Projectleider/Expert]],"")))</f>
        <v/>
      </c>
      <c r="AQ598" t="str">
        <f>IF(ISNUMBER(FIND("arbeid",Methode_Keuze)),"",IF(ISNUMBER(FIND("arbeid",Methode_Keuze)),"",IF(Tb_Activiteiten[[#This Row],[Arbeidskosten]]=1,Tb_Activiteiten[[#Headers],[Arbeidskosten]],"")))</f>
        <v/>
      </c>
      <c r="AR598" t="str">
        <f>IF(ISNUMBER(FIND("arbeid",Methode_Keuze)),"",IF(ISNUMBER(FIND("arbeid",Methode_Keuze)),"",IF(Tb_Activiteiten[[#This Row],[Arbeidskosten op basis van IKS]]=1,Tb_Activiteiten[[#Headers],[Arbeidskosten op basis van IKS]],"")))</f>
        <v/>
      </c>
      <c r="AS598" t="str">
        <f>IF(ISNUMBER(FIND("overige",Methode_Keuze)),"",IF(Tb_Activiteiten[[#This Row],[Kosten derden exclusief btw]]=1,Tb_Activiteiten[[#Headers],[Kosten derden exclusief btw]],""))</f>
        <v/>
      </c>
      <c r="AT598" t="str">
        <f>IF(ISNUMBER(FIND("overige",Methode_Keuze)),"",IF(Tb_Activiteiten[[#This Row],[Niet verrekenbare btw]]=1,Tb_Activiteiten[[#Headers],[Niet verrekenbare btw]],""))</f>
        <v/>
      </c>
      <c r="AU598" t="str">
        <f>IF(ISNUMBER(FIND("overige",Methode_Keuze)),"",IF(Tb_Activiteiten[[#This Row],[Grondkosten]]=1,Tb_Activiteiten[[#Headers],[Grondkosten]],""))</f>
        <v/>
      </c>
      <c r="AV598" t="str">
        <f>IF(ISNUMBER(FIND("overige",Methode_Keuze)),"",IF(Tb_Activiteiten[[#This Row],[Bijdrage in natura (overige)]]=1,Tb_Activiteiten[[#Headers],[Bijdrage in natura (overige)]],""))</f>
        <v/>
      </c>
      <c r="AW598" t="str">
        <f>IF(ISNUMBER(FIND("overige",Methode_Keuze)),"",IF(Tb_Activiteiten[[#This Row],[Bijdrage in natura (vrijwilligers)]]=1,Tb_Activiteiten[[#Headers],[Bijdrage in natura (vrijwilligers)]],""))</f>
        <v/>
      </c>
      <c r="AX598" t="str">
        <f>IF(ISNUMBER(FIND("overige",Methode_Keuze)),"",IF(Tb_Activiteiten[[#This Row],[Afschrijvingskosten]]=1,Tb_Activiteiten[[#Headers],[Afschrijvingskosten]],""))</f>
        <v/>
      </c>
      <c r="AY598" t="str">
        <f>IF(ISNUMBER(FIND("overige",Methode_Keuze)),"",IF(Tb_Activiteiten[[#This Row],[Vergoeding]]=1,Tb_Activiteiten[[#Headers],[Vergoeding]],""))</f>
        <v/>
      </c>
      <c r="AZ598" t="str">
        <f>IF(ISNUMBER(FIND("arbeid",Methode_Keuze)),"",IF(Tb_Activiteiten[[#This Row],[Arbeidskosten - vast tarief (excl eigen arbeid)]]=1,Tb_Activiteiten[[#Headers],[Arbeidskosten - vast tarief (excl eigen arbeid)]],""))</f>
        <v/>
      </c>
      <c r="BA598" t="str">
        <f>IF(ISNUMBER(FIND("overige",Methode_Keuze)),"",IF(Tb_Activiteiten[[#This Row],[Overige kosten]]=1,Tb_Activiteiten[[#Headers],[Overige kosten]],""))</f>
        <v/>
      </c>
    </row>
    <row r="599" spans="1:53" x14ac:dyDescent="0.25">
      <c r="A599" s="231"/>
      <c r="F599" s="64"/>
      <c r="G599" s="64"/>
      <c r="H599" s="275"/>
      <c r="I599" s="275"/>
      <c r="J599" s="275"/>
      <c r="K599" s="275"/>
      <c r="O599" s="56"/>
      <c r="Q599" t="str">
        <f>IFERROR(IF(VLOOKUP(Tb_Activiteiten[[#This Row],[Openstelling]],Tb_Openstelling[],2,0)=1,1,""),"")</f>
        <v/>
      </c>
      <c r="AK599" t="str">
        <f>IF(ISNUMBER(FIND("arbeid",Methode_Keuze)),"",IF(ISNUMBER(FIND("arbeid",Methode_Keuze)),"",IF(Tb_Activiteiten[[#This Row],[Loonkosten]]=1,Tb_Activiteiten[[#Headers],[Loonkosten]],"")))</f>
        <v/>
      </c>
      <c r="AL599" t="str">
        <f>IF(ISNUMBER(FIND("arbeid",Methode_Keuze)),"",IF(ISNUMBER(FIND("arbeid",Methode_Keuze)),"",IF(Tb_Activiteiten[[#This Row],[Eigen arbeid]]=1,Tb_Activiteiten[[#Headers],[Eigen arbeid]],"")))</f>
        <v/>
      </c>
      <c r="AM599" t="str">
        <f>IF(ISNUMBER(FIND("arbeid",Methode_Keuze)),"",IF(ISNUMBER(FIND("arbeid",Methode_Keuze)),"",IF(Tb_Activiteiten[[#This Row],[Projectmedewerker]]=1,Tb_Activiteiten[[#Headers],[Projectmedewerker]],"")))</f>
        <v/>
      </c>
      <c r="AN599" t="str">
        <f>IF(ISNUMBER(FIND("arbeid",Methode_Keuze)),"",IF(ISNUMBER(FIND("arbeid",Methode_Keuze)),"",IF(Tb_Activiteiten[[#This Row],[Landbouwer]]=1,Tb_Activiteiten[[#Headers],[Landbouwer]],"")))</f>
        <v/>
      </c>
      <c r="AO599" t="str">
        <f>IF(ISNUMBER(FIND("arbeid",Methode_Keuze)),"",IF(ISNUMBER(FIND("arbeid",Methode_Keuze)),"",IF(Tb_Activiteiten[[#This Row],[Adviseur]]=1,Tb_Activiteiten[[#Headers],[Adviseur]],"")))</f>
        <v/>
      </c>
      <c r="AP599" t="str">
        <f>IF(ISNUMBER(FIND("arbeid",Methode_Keuze)),"",IF(ISNUMBER(FIND("arbeid",Methode_Keuze)),"",IF(Tb_Activiteiten[[#This Row],[Projectleider/Expert]]=1,Tb_Activiteiten[[#Headers],[Projectleider/Expert]],"")))</f>
        <v/>
      </c>
      <c r="AQ599" t="str">
        <f>IF(ISNUMBER(FIND("arbeid",Methode_Keuze)),"",IF(ISNUMBER(FIND("arbeid",Methode_Keuze)),"",IF(Tb_Activiteiten[[#This Row],[Arbeidskosten]]=1,Tb_Activiteiten[[#Headers],[Arbeidskosten]],"")))</f>
        <v/>
      </c>
      <c r="AR599" t="str">
        <f>IF(ISNUMBER(FIND("arbeid",Methode_Keuze)),"",IF(ISNUMBER(FIND("arbeid",Methode_Keuze)),"",IF(Tb_Activiteiten[[#This Row],[Arbeidskosten op basis van IKS]]=1,Tb_Activiteiten[[#Headers],[Arbeidskosten op basis van IKS]],"")))</f>
        <v/>
      </c>
      <c r="AS599" t="str">
        <f>IF(ISNUMBER(FIND("overige",Methode_Keuze)),"",IF(Tb_Activiteiten[[#This Row],[Kosten derden exclusief btw]]=1,Tb_Activiteiten[[#Headers],[Kosten derden exclusief btw]],""))</f>
        <v/>
      </c>
      <c r="AT599" t="str">
        <f>IF(ISNUMBER(FIND("overige",Methode_Keuze)),"",IF(Tb_Activiteiten[[#This Row],[Niet verrekenbare btw]]=1,Tb_Activiteiten[[#Headers],[Niet verrekenbare btw]],""))</f>
        <v/>
      </c>
      <c r="AU599" t="str">
        <f>IF(ISNUMBER(FIND("overige",Methode_Keuze)),"",IF(Tb_Activiteiten[[#This Row],[Grondkosten]]=1,Tb_Activiteiten[[#Headers],[Grondkosten]],""))</f>
        <v/>
      </c>
      <c r="AV599" t="str">
        <f>IF(ISNUMBER(FIND("overige",Methode_Keuze)),"",IF(Tb_Activiteiten[[#This Row],[Bijdrage in natura (overige)]]=1,Tb_Activiteiten[[#Headers],[Bijdrage in natura (overige)]],""))</f>
        <v/>
      </c>
      <c r="AW599" t="str">
        <f>IF(ISNUMBER(FIND("overige",Methode_Keuze)),"",IF(Tb_Activiteiten[[#This Row],[Bijdrage in natura (vrijwilligers)]]=1,Tb_Activiteiten[[#Headers],[Bijdrage in natura (vrijwilligers)]],""))</f>
        <v/>
      </c>
      <c r="AX599" t="str">
        <f>IF(ISNUMBER(FIND("overige",Methode_Keuze)),"",IF(Tb_Activiteiten[[#This Row],[Afschrijvingskosten]]=1,Tb_Activiteiten[[#Headers],[Afschrijvingskosten]],""))</f>
        <v/>
      </c>
      <c r="AY599" t="str">
        <f>IF(ISNUMBER(FIND("overige",Methode_Keuze)),"",IF(Tb_Activiteiten[[#This Row],[Vergoeding]]=1,Tb_Activiteiten[[#Headers],[Vergoeding]],""))</f>
        <v/>
      </c>
      <c r="AZ599" t="str">
        <f>IF(ISNUMBER(FIND("arbeid",Methode_Keuze)),"",IF(Tb_Activiteiten[[#This Row],[Arbeidskosten - vast tarief (excl eigen arbeid)]]=1,Tb_Activiteiten[[#Headers],[Arbeidskosten - vast tarief (excl eigen arbeid)]],""))</f>
        <v/>
      </c>
      <c r="BA599" t="str">
        <f>IF(ISNUMBER(FIND("overige",Methode_Keuze)),"",IF(Tb_Activiteiten[[#This Row],[Overige kosten]]=1,Tb_Activiteiten[[#Headers],[Overige kosten]],""))</f>
        <v/>
      </c>
    </row>
    <row r="600" spans="1:53" x14ac:dyDescent="0.25">
      <c r="A600" s="231"/>
      <c r="F600" s="64"/>
      <c r="G600" s="64"/>
      <c r="H600" s="275"/>
      <c r="I600" s="275"/>
      <c r="J600" s="275"/>
      <c r="K600" s="275"/>
      <c r="O600" s="56"/>
      <c r="Q600" t="str">
        <f>IFERROR(IF(VLOOKUP(Tb_Activiteiten[[#This Row],[Openstelling]],Tb_Openstelling[],2,0)=1,1,""),"")</f>
        <v/>
      </c>
      <c r="AK600" t="str">
        <f>IF(ISNUMBER(FIND("arbeid",Methode_Keuze)),"",IF(ISNUMBER(FIND("arbeid",Methode_Keuze)),"",IF(Tb_Activiteiten[[#This Row],[Loonkosten]]=1,Tb_Activiteiten[[#Headers],[Loonkosten]],"")))</f>
        <v/>
      </c>
      <c r="AL600" t="str">
        <f>IF(ISNUMBER(FIND("arbeid",Methode_Keuze)),"",IF(ISNUMBER(FIND("arbeid",Methode_Keuze)),"",IF(Tb_Activiteiten[[#This Row],[Eigen arbeid]]=1,Tb_Activiteiten[[#Headers],[Eigen arbeid]],"")))</f>
        <v/>
      </c>
      <c r="AM600" t="str">
        <f>IF(ISNUMBER(FIND("arbeid",Methode_Keuze)),"",IF(ISNUMBER(FIND("arbeid",Methode_Keuze)),"",IF(Tb_Activiteiten[[#This Row],[Projectmedewerker]]=1,Tb_Activiteiten[[#Headers],[Projectmedewerker]],"")))</f>
        <v/>
      </c>
      <c r="AN600" t="str">
        <f>IF(ISNUMBER(FIND("arbeid",Methode_Keuze)),"",IF(ISNUMBER(FIND("arbeid",Methode_Keuze)),"",IF(Tb_Activiteiten[[#This Row],[Landbouwer]]=1,Tb_Activiteiten[[#Headers],[Landbouwer]],"")))</f>
        <v/>
      </c>
      <c r="AO600" t="str">
        <f>IF(ISNUMBER(FIND("arbeid",Methode_Keuze)),"",IF(ISNUMBER(FIND("arbeid",Methode_Keuze)),"",IF(Tb_Activiteiten[[#This Row],[Adviseur]]=1,Tb_Activiteiten[[#Headers],[Adviseur]],"")))</f>
        <v/>
      </c>
      <c r="AP600" t="str">
        <f>IF(ISNUMBER(FIND("arbeid",Methode_Keuze)),"",IF(ISNUMBER(FIND("arbeid",Methode_Keuze)),"",IF(Tb_Activiteiten[[#This Row],[Projectleider/Expert]]=1,Tb_Activiteiten[[#Headers],[Projectleider/Expert]],"")))</f>
        <v/>
      </c>
      <c r="AQ600" t="str">
        <f>IF(ISNUMBER(FIND("arbeid",Methode_Keuze)),"",IF(ISNUMBER(FIND("arbeid",Methode_Keuze)),"",IF(Tb_Activiteiten[[#This Row],[Arbeidskosten]]=1,Tb_Activiteiten[[#Headers],[Arbeidskosten]],"")))</f>
        <v/>
      </c>
      <c r="AR600" t="str">
        <f>IF(ISNUMBER(FIND("arbeid",Methode_Keuze)),"",IF(ISNUMBER(FIND("arbeid",Methode_Keuze)),"",IF(Tb_Activiteiten[[#This Row],[Arbeidskosten op basis van IKS]]=1,Tb_Activiteiten[[#Headers],[Arbeidskosten op basis van IKS]],"")))</f>
        <v/>
      </c>
      <c r="AS600" t="str">
        <f>IF(ISNUMBER(FIND("overige",Methode_Keuze)),"",IF(Tb_Activiteiten[[#This Row],[Kosten derden exclusief btw]]=1,Tb_Activiteiten[[#Headers],[Kosten derden exclusief btw]],""))</f>
        <v/>
      </c>
      <c r="AT600" t="str">
        <f>IF(ISNUMBER(FIND("overige",Methode_Keuze)),"",IF(Tb_Activiteiten[[#This Row],[Niet verrekenbare btw]]=1,Tb_Activiteiten[[#Headers],[Niet verrekenbare btw]],""))</f>
        <v/>
      </c>
      <c r="AU600" t="str">
        <f>IF(ISNUMBER(FIND("overige",Methode_Keuze)),"",IF(Tb_Activiteiten[[#This Row],[Grondkosten]]=1,Tb_Activiteiten[[#Headers],[Grondkosten]],""))</f>
        <v/>
      </c>
      <c r="AV600" t="str">
        <f>IF(ISNUMBER(FIND("overige",Methode_Keuze)),"",IF(Tb_Activiteiten[[#This Row],[Bijdrage in natura (overige)]]=1,Tb_Activiteiten[[#Headers],[Bijdrage in natura (overige)]],""))</f>
        <v/>
      </c>
      <c r="AW600" t="str">
        <f>IF(ISNUMBER(FIND("overige",Methode_Keuze)),"",IF(Tb_Activiteiten[[#This Row],[Bijdrage in natura (vrijwilligers)]]=1,Tb_Activiteiten[[#Headers],[Bijdrage in natura (vrijwilligers)]],""))</f>
        <v/>
      </c>
      <c r="AX600" t="str">
        <f>IF(ISNUMBER(FIND("overige",Methode_Keuze)),"",IF(Tb_Activiteiten[[#This Row],[Afschrijvingskosten]]=1,Tb_Activiteiten[[#Headers],[Afschrijvingskosten]],""))</f>
        <v/>
      </c>
      <c r="AY600" t="str">
        <f>IF(ISNUMBER(FIND("overige",Methode_Keuze)),"",IF(Tb_Activiteiten[[#This Row],[Vergoeding]]=1,Tb_Activiteiten[[#Headers],[Vergoeding]],""))</f>
        <v/>
      </c>
      <c r="AZ600" t="str">
        <f>IF(ISNUMBER(FIND("arbeid",Methode_Keuze)),"",IF(Tb_Activiteiten[[#This Row],[Arbeidskosten - vast tarief (excl eigen arbeid)]]=1,Tb_Activiteiten[[#Headers],[Arbeidskosten - vast tarief (excl eigen arbeid)]],""))</f>
        <v/>
      </c>
      <c r="BA600" t="str">
        <f>IF(ISNUMBER(FIND("overige",Methode_Keuze)),"",IF(Tb_Activiteiten[[#This Row],[Overige kosten]]=1,Tb_Activiteiten[[#Headers],[Overige kosten]],""))</f>
        <v/>
      </c>
    </row>
    <row r="601" spans="1:53" x14ac:dyDescent="0.25">
      <c r="A601" s="231"/>
      <c r="F601" s="64"/>
      <c r="G601" s="64"/>
      <c r="H601" s="275"/>
      <c r="I601" s="275"/>
      <c r="J601" s="275"/>
      <c r="K601" s="275"/>
      <c r="O601" s="56"/>
      <c r="Q601" t="str">
        <f>IFERROR(IF(VLOOKUP(Tb_Activiteiten[[#This Row],[Openstelling]],Tb_Openstelling[],2,0)=1,1,""),"")</f>
        <v/>
      </c>
      <c r="AK601" t="str">
        <f>IF(ISNUMBER(FIND("arbeid",Methode_Keuze)),"",IF(ISNUMBER(FIND("arbeid",Methode_Keuze)),"",IF(Tb_Activiteiten[[#This Row],[Loonkosten]]=1,Tb_Activiteiten[[#Headers],[Loonkosten]],"")))</f>
        <v/>
      </c>
      <c r="AL601" t="str">
        <f>IF(ISNUMBER(FIND("arbeid",Methode_Keuze)),"",IF(ISNUMBER(FIND("arbeid",Methode_Keuze)),"",IF(Tb_Activiteiten[[#This Row],[Eigen arbeid]]=1,Tb_Activiteiten[[#Headers],[Eigen arbeid]],"")))</f>
        <v/>
      </c>
      <c r="AM601" t="str">
        <f>IF(ISNUMBER(FIND("arbeid",Methode_Keuze)),"",IF(ISNUMBER(FIND("arbeid",Methode_Keuze)),"",IF(Tb_Activiteiten[[#This Row],[Projectmedewerker]]=1,Tb_Activiteiten[[#Headers],[Projectmedewerker]],"")))</f>
        <v/>
      </c>
      <c r="AN601" t="str">
        <f>IF(ISNUMBER(FIND("arbeid",Methode_Keuze)),"",IF(ISNUMBER(FIND("arbeid",Methode_Keuze)),"",IF(Tb_Activiteiten[[#This Row],[Landbouwer]]=1,Tb_Activiteiten[[#Headers],[Landbouwer]],"")))</f>
        <v/>
      </c>
      <c r="AO601" t="str">
        <f>IF(ISNUMBER(FIND("arbeid",Methode_Keuze)),"",IF(ISNUMBER(FIND("arbeid",Methode_Keuze)),"",IF(Tb_Activiteiten[[#This Row],[Adviseur]]=1,Tb_Activiteiten[[#Headers],[Adviseur]],"")))</f>
        <v/>
      </c>
      <c r="AP601" t="str">
        <f>IF(ISNUMBER(FIND("arbeid",Methode_Keuze)),"",IF(ISNUMBER(FIND("arbeid",Methode_Keuze)),"",IF(Tb_Activiteiten[[#This Row],[Projectleider/Expert]]=1,Tb_Activiteiten[[#Headers],[Projectleider/Expert]],"")))</f>
        <v/>
      </c>
      <c r="AQ601" t="str">
        <f>IF(ISNUMBER(FIND("arbeid",Methode_Keuze)),"",IF(ISNUMBER(FIND("arbeid",Methode_Keuze)),"",IF(Tb_Activiteiten[[#This Row],[Arbeidskosten]]=1,Tb_Activiteiten[[#Headers],[Arbeidskosten]],"")))</f>
        <v/>
      </c>
      <c r="AR601" t="str">
        <f>IF(ISNUMBER(FIND("arbeid",Methode_Keuze)),"",IF(ISNUMBER(FIND("arbeid",Methode_Keuze)),"",IF(Tb_Activiteiten[[#This Row],[Arbeidskosten op basis van IKS]]=1,Tb_Activiteiten[[#Headers],[Arbeidskosten op basis van IKS]],"")))</f>
        <v/>
      </c>
      <c r="AS601" t="str">
        <f>IF(ISNUMBER(FIND("overige",Methode_Keuze)),"",IF(Tb_Activiteiten[[#This Row],[Kosten derden exclusief btw]]=1,Tb_Activiteiten[[#Headers],[Kosten derden exclusief btw]],""))</f>
        <v/>
      </c>
      <c r="AT601" t="str">
        <f>IF(ISNUMBER(FIND("overige",Methode_Keuze)),"",IF(Tb_Activiteiten[[#This Row],[Niet verrekenbare btw]]=1,Tb_Activiteiten[[#Headers],[Niet verrekenbare btw]],""))</f>
        <v/>
      </c>
      <c r="AU601" t="str">
        <f>IF(ISNUMBER(FIND("overige",Methode_Keuze)),"",IF(Tb_Activiteiten[[#This Row],[Grondkosten]]=1,Tb_Activiteiten[[#Headers],[Grondkosten]],""))</f>
        <v/>
      </c>
      <c r="AV601" t="str">
        <f>IF(ISNUMBER(FIND("overige",Methode_Keuze)),"",IF(Tb_Activiteiten[[#This Row],[Bijdrage in natura (overige)]]=1,Tb_Activiteiten[[#Headers],[Bijdrage in natura (overige)]],""))</f>
        <v/>
      </c>
      <c r="AW601" t="str">
        <f>IF(ISNUMBER(FIND("overige",Methode_Keuze)),"",IF(Tb_Activiteiten[[#This Row],[Bijdrage in natura (vrijwilligers)]]=1,Tb_Activiteiten[[#Headers],[Bijdrage in natura (vrijwilligers)]],""))</f>
        <v/>
      </c>
      <c r="AX601" t="str">
        <f>IF(ISNUMBER(FIND("overige",Methode_Keuze)),"",IF(Tb_Activiteiten[[#This Row],[Afschrijvingskosten]]=1,Tb_Activiteiten[[#Headers],[Afschrijvingskosten]],""))</f>
        <v/>
      </c>
      <c r="AY601" t="str">
        <f>IF(ISNUMBER(FIND("overige",Methode_Keuze)),"",IF(Tb_Activiteiten[[#This Row],[Vergoeding]]=1,Tb_Activiteiten[[#Headers],[Vergoeding]],""))</f>
        <v/>
      </c>
      <c r="AZ601" t="str">
        <f>IF(ISNUMBER(FIND("arbeid",Methode_Keuze)),"",IF(Tb_Activiteiten[[#This Row],[Arbeidskosten - vast tarief (excl eigen arbeid)]]=1,Tb_Activiteiten[[#Headers],[Arbeidskosten - vast tarief (excl eigen arbeid)]],""))</f>
        <v/>
      </c>
      <c r="BA601" t="str">
        <f>IF(ISNUMBER(FIND("overige",Methode_Keuze)),"",IF(Tb_Activiteiten[[#This Row],[Overige kosten]]=1,Tb_Activiteiten[[#Headers],[Overige kosten]],""))</f>
        <v/>
      </c>
    </row>
    <row r="602" spans="1:53" x14ac:dyDescent="0.25">
      <c r="A602" s="231"/>
      <c r="F602" s="64"/>
      <c r="G602" s="64"/>
      <c r="H602" s="275"/>
      <c r="I602" s="275"/>
      <c r="J602" s="275"/>
      <c r="K602" s="275"/>
      <c r="O602" s="56"/>
      <c r="Q602" t="str">
        <f>IFERROR(IF(VLOOKUP(Tb_Activiteiten[[#This Row],[Openstelling]],Tb_Openstelling[],2,0)=1,1,""),"")</f>
        <v/>
      </c>
      <c r="AK602" t="str">
        <f>IF(ISNUMBER(FIND("arbeid",Methode_Keuze)),"",IF(ISNUMBER(FIND("arbeid",Methode_Keuze)),"",IF(Tb_Activiteiten[[#This Row],[Loonkosten]]=1,Tb_Activiteiten[[#Headers],[Loonkosten]],"")))</f>
        <v/>
      </c>
      <c r="AL602" t="str">
        <f>IF(ISNUMBER(FIND("arbeid",Methode_Keuze)),"",IF(ISNUMBER(FIND("arbeid",Methode_Keuze)),"",IF(Tb_Activiteiten[[#This Row],[Eigen arbeid]]=1,Tb_Activiteiten[[#Headers],[Eigen arbeid]],"")))</f>
        <v/>
      </c>
      <c r="AM602" t="str">
        <f>IF(ISNUMBER(FIND("arbeid",Methode_Keuze)),"",IF(ISNUMBER(FIND("arbeid",Methode_Keuze)),"",IF(Tb_Activiteiten[[#This Row],[Projectmedewerker]]=1,Tb_Activiteiten[[#Headers],[Projectmedewerker]],"")))</f>
        <v/>
      </c>
      <c r="AN602" t="str">
        <f>IF(ISNUMBER(FIND("arbeid",Methode_Keuze)),"",IF(ISNUMBER(FIND("arbeid",Methode_Keuze)),"",IF(Tb_Activiteiten[[#This Row],[Landbouwer]]=1,Tb_Activiteiten[[#Headers],[Landbouwer]],"")))</f>
        <v/>
      </c>
      <c r="AO602" t="str">
        <f>IF(ISNUMBER(FIND("arbeid",Methode_Keuze)),"",IF(ISNUMBER(FIND("arbeid",Methode_Keuze)),"",IF(Tb_Activiteiten[[#This Row],[Adviseur]]=1,Tb_Activiteiten[[#Headers],[Adviseur]],"")))</f>
        <v/>
      </c>
      <c r="AP602" t="str">
        <f>IF(ISNUMBER(FIND("arbeid",Methode_Keuze)),"",IF(ISNUMBER(FIND("arbeid",Methode_Keuze)),"",IF(Tb_Activiteiten[[#This Row],[Projectleider/Expert]]=1,Tb_Activiteiten[[#Headers],[Projectleider/Expert]],"")))</f>
        <v/>
      </c>
      <c r="AQ602" t="str">
        <f>IF(ISNUMBER(FIND("arbeid",Methode_Keuze)),"",IF(ISNUMBER(FIND("arbeid",Methode_Keuze)),"",IF(Tb_Activiteiten[[#This Row],[Arbeidskosten]]=1,Tb_Activiteiten[[#Headers],[Arbeidskosten]],"")))</f>
        <v/>
      </c>
      <c r="AR602" t="str">
        <f>IF(ISNUMBER(FIND("arbeid",Methode_Keuze)),"",IF(ISNUMBER(FIND("arbeid",Methode_Keuze)),"",IF(Tb_Activiteiten[[#This Row],[Arbeidskosten op basis van IKS]]=1,Tb_Activiteiten[[#Headers],[Arbeidskosten op basis van IKS]],"")))</f>
        <v/>
      </c>
      <c r="AS602" t="str">
        <f>IF(ISNUMBER(FIND("overige",Methode_Keuze)),"",IF(Tb_Activiteiten[[#This Row],[Kosten derden exclusief btw]]=1,Tb_Activiteiten[[#Headers],[Kosten derden exclusief btw]],""))</f>
        <v/>
      </c>
      <c r="AT602" t="str">
        <f>IF(ISNUMBER(FIND("overige",Methode_Keuze)),"",IF(Tb_Activiteiten[[#This Row],[Niet verrekenbare btw]]=1,Tb_Activiteiten[[#Headers],[Niet verrekenbare btw]],""))</f>
        <v/>
      </c>
      <c r="AU602" t="str">
        <f>IF(ISNUMBER(FIND("overige",Methode_Keuze)),"",IF(Tb_Activiteiten[[#This Row],[Grondkosten]]=1,Tb_Activiteiten[[#Headers],[Grondkosten]],""))</f>
        <v/>
      </c>
      <c r="AV602" t="str">
        <f>IF(ISNUMBER(FIND("overige",Methode_Keuze)),"",IF(Tb_Activiteiten[[#This Row],[Bijdrage in natura (overige)]]=1,Tb_Activiteiten[[#Headers],[Bijdrage in natura (overige)]],""))</f>
        <v/>
      </c>
      <c r="AW602" t="str">
        <f>IF(ISNUMBER(FIND("overige",Methode_Keuze)),"",IF(Tb_Activiteiten[[#This Row],[Bijdrage in natura (vrijwilligers)]]=1,Tb_Activiteiten[[#Headers],[Bijdrage in natura (vrijwilligers)]],""))</f>
        <v/>
      </c>
      <c r="AX602" t="str">
        <f>IF(ISNUMBER(FIND("overige",Methode_Keuze)),"",IF(Tb_Activiteiten[[#This Row],[Afschrijvingskosten]]=1,Tb_Activiteiten[[#Headers],[Afschrijvingskosten]],""))</f>
        <v/>
      </c>
      <c r="AY602" t="str">
        <f>IF(ISNUMBER(FIND("overige",Methode_Keuze)),"",IF(Tb_Activiteiten[[#This Row],[Vergoeding]]=1,Tb_Activiteiten[[#Headers],[Vergoeding]],""))</f>
        <v/>
      </c>
      <c r="AZ602" t="str">
        <f>IF(ISNUMBER(FIND("arbeid",Methode_Keuze)),"",IF(Tb_Activiteiten[[#This Row],[Arbeidskosten - vast tarief (excl eigen arbeid)]]=1,Tb_Activiteiten[[#Headers],[Arbeidskosten - vast tarief (excl eigen arbeid)]],""))</f>
        <v/>
      </c>
      <c r="BA602" t="str">
        <f>IF(ISNUMBER(FIND("overige",Methode_Keuze)),"",IF(Tb_Activiteiten[[#This Row],[Overige kosten]]=1,Tb_Activiteiten[[#Headers],[Overige kosten]],""))</f>
        <v/>
      </c>
    </row>
    <row r="603" spans="1:53" x14ac:dyDescent="0.25">
      <c r="A603" s="231"/>
      <c r="F603" s="64"/>
      <c r="G603" s="64"/>
      <c r="H603" s="275"/>
      <c r="I603" s="275"/>
      <c r="J603" s="275"/>
      <c r="K603" s="275"/>
      <c r="O603" s="56"/>
      <c r="Q603" t="str">
        <f>IFERROR(IF(VLOOKUP(Tb_Activiteiten[[#This Row],[Openstelling]],Tb_Openstelling[],2,0)=1,1,""),"")</f>
        <v/>
      </c>
      <c r="AK603" t="str">
        <f>IF(ISNUMBER(FIND("arbeid",Methode_Keuze)),"",IF(ISNUMBER(FIND("arbeid",Methode_Keuze)),"",IF(Tb_Activiteiten[[#This Row],[Loonkosten]]=1,Tb_Activiteiten[[#Headers],[Loonkosten]],"")))</f>
        <v/>
      </c>
      <c r="AL603" t="str">
        <f>IF(ISNUMBER(FIND("arbeid",Methode_Keuze)),"",IF(ISNUMBER(FIND("arbeid",Methode_Keuze)),"",IF(Tb_Activiteiten[[#This Row],[Eigen arbeid]]=1,Tb_Activiteiten[[#Headers],[Eigen arbeid]],"")))</f>
        <v/>
      </c>
      <c r="AM603" t="str">
        <f>IF(ISNUMBER(FIND("arbeid",Methode_Keuze)),"",IF(ISNUMBER(FIND("arbeid",Methode_Keuze)),"",IF(Tb_Activiteiten[[#This Row],[Projectmedewerker]]=1,Tb_Activiteiten[[#Headers],[Projectmedewerker]],"")))</f>
        <v/>
      </c>
      <c r="AN603" t="str">
        <f>IF(ISNUMBER(FIND("arbeid",Methode_Keuze)),"",IF(ISNUMBER(FIND("arbeid",Methode_Keuze)),"",IF(Tb_Activiteiten[[#This Row],[Landbouwer]]=1,Tb_Activiteiten[[#Headers],[Landbouwer]],"")))</f>
        <v/>
      </c>
      <c r="AO603" t="str">
        <f>IF(ISNUMBER(FIND("arbeid",Methode_Keuze)),"",IF(ISNUMBER(FIND("arbeid",Methode_Keuze)),"",IF(Tb_Activiteiten[[#This Row],[Adviseur]]=1,Tb_Activiteiten[[#Headers],[Adviseur]],"")))</f>
        <v/>
      </c>
      <c r="AP603" t="str">
        <f>IF(ISNUMBER(FIND("arbeid",Methode_Keuze)),"",IF(ISNUMBER(FIND("arbeid",Methode_Keuze)),"",IF(Tb_Activiteiten[[#This Row],[Projectleider/Expert]]=1,Tb_Activiteiten[[#Headers],[Projectleider/Expert]],"")))</f>
        <v/>
      </c>
      <c r="AQ603" t="str">
        <f>IF(ISNUMBER(FIND("arbeid",Methode_Keuze)),"",IF(ISNUMBER(FIND("arbeid",Methode_Keuze)),"",IF(Tb_Activiteiten[[#This Row],[Arbeidskosten]]=1,Tb_Activiteiten[[#Headers],[Arbeidskosten]],"")))</f>
        <v/>
      </c>
      <c r="AR603" t="str">
        <f>IF(ISNUMBER(FIND("arbeid",Methode_Keuze)),"",IF(ISNUMBER(FIND("arbeid",Methode_Keuze)),"",IF(Tb_Activiteiten[[#This Row],[Arbeidskosten op basis van IKS]]=1,Tb_Activiteiten[[#Headers],[Arbeidskosten op basis van IKS]],"")))</f>
        <v/>
      </c>
      <c r="AS603" t="str">
        <f>IF(ISNUMBER(FIND("overige",Methode_Keuze)),"",IF(Tb_Activiteiten[[#This Row],[Kosten derden exclusief btw]]=1,Tb_Activiteiten[[#Headers],[Kosten derden exclusief btw]],""))</f>
        <v/>
      </c>
      <c r="AT603" t="str">
        <f>IF(ISNUMBER(FIND("overige",Methode_Keuze)),"",IF(Tb_Activiteiten[[#This Row],[Niet verrekenbare btw]]=1,Tb_Activiteiten[[#Headers],[Niet verrekenbare btw]],""))</f>
        <v/>
      </c>
      <c r="AU603" t="str">
        <f>IF(ISNUMBER(FIND("overige",Methode_Keuze)),"",IF(Tb_Activiteiten[[#This Row],[Grondkosten]]=1,Tb_Activiteiten[[#Headers],[Grondkosten]],""))</f>
        <v/>
      </c>
      <c r="AV603" t="str">
        <f>IF(ISNUMBER(FIND("overige",Methode_Keuze)),"",IF(Tb_Activiteiten[[#This Row],[Bijdrage in natura (overige)]]=1,Tb_Activiteiten[[#Headers],[Bijdrage in natura (overige)]],""))</f>
        <v/>
      </c>
      <c r="AW603" t="str">
        <f>IF(ISNUMBER(FIND("overige",Methode_Keuze)),"",IF(Tb_Activiteiten[[#This Row],[Bijdrage in natura (vrijwilligers)]]=1,Tb_Activiteiten[[#Headers],[Bijdrage in natura (vrijwilligers)]],""))</f>
        <v/>
      </c>
      <c r="AX603" t="str">
        <f>IF(ISNUMBER(FIND("overige",Methode_Keuze)),"",IF(Tb_Activiteiten[[#This Row],[Afschrijvingskosten]]=1,Tb_Activiteiten[[#Headers],[Afschrijvingskosten]],""))</f>
        <v/>
      </c>
      <c r="AY603" t="str">
        <f>IF(ISNUMBER(FIND("overige",Methode_Keuze)),"",IF(Tb_Activiteiten[[#This Row],[Vergoeding]]=1,Tb_Activiteiten[[#Headers],[Vergoeding]],""))</f>
        <v/>
      </c>
      <c r="AZ603" t="str">
        <f>IF(ISNUMBER(FIND("arbeid",Methode_Keuze)),"",IF(Tb_Activiteiten[[#This Row],[Arbeidskosten - vast tarief (excl eigen arbeid)]]=1,Tb_Activiteiten[[#Headers],[Arbeidskosten - vast tarief (excl eigen arbeid)]],""))</f>
        <v/>
      </c>
      <c r="BA603" t="str">
        <f>IF(ISNUMBER(FIND("overige",Methode_Keuze)),"",IF(Tb_Activiteiten[[#This Row],[Overige kosten]]=1,Tb_Activiteiten[[#Headers],[Overige kosten]],""))</f>
        <v/>
      </c>
    </row>
    <row r="604" spans="1:53" x14ac:dyDescent="0.25">
      <c r="A604" s="231"/>
      <c r="F604" s="64"/>
      <c r="G604" s="64"/>
      <c r="H604" s="275"/>
      <c r="I604" s="275"/>
      <c r="J604" s="275"/>
      <c r="K604" s="275"/>
      <c r="O604" s="56"/>
      <c r="Q604" t="str">
        <f>IFERROR(IF(VLOOKUP(Tb_Activiteiten[[#This Row],[Openstelling]],Tb_Openstelling[],2,0)=1,1,""),"")</f>
        <v/>
      </c>
      <c r="AK604" t="str">
        <f>IF(ISNUMBER(FIND("arbeid",Methode_Keuze)),"",IF(ISNUMBER(FIND("arbeid",Methode_Keuze)),"",IF(Tb_Activiteiten[[#This Row],[Loonkosten]]=1,Tb_Activiteiten[[#Headers],[Loonkosten]],"")))</f>
        <v/>
      </c>
      <c r="AL604" t="str">
        <f>IF(ISNUMBER(FIND("arbeid",Methode_Keuze)),"",IF(ISNUMBER(FIND("arbeid",Methode_Keuze)),"",IF(Tb_Activiteiten[[#This Row],[Eigen arbeid]]=1,Tb_Activiteiten[[#Headers],[Eigen arbeid]],"")))</f>
        <v/>
      </c>
      <c r="AM604" t="str">
        <f>IF(ISNUMBER(FIND("arbeid",Methode_Keuze)),"",IF(ISNUMBER(FIND("arbeid",Methode_Keuze)),"",IF(Tb_Activiteiten[[#This Row],[Projectmedewerker]]=1,Tb_Activiteiten[[#Headers],[Projectmedewerker]],"")))</f>
        <v/>
      </c>
      <c r="AN604" t="str">
        <f>IF(ISNUMBER(FIND("arbeid",Methode_Keuze)),"",IF(ISNUMBER(FIND("arbeid",Methode_Keuze)),"",IF(Tb_Activiteiten[[#This Row],[Landbouwer]]=1,Tb_Activiteiten[[#Headers],[Landbouwer]],"")))</f>
        <v/>
      </c>
      <c r="AO604" t="str">
        <f>IF(ISNUMBER(FIND("arbeid",Methode_Keuze)),"",IF(ISNUMBER(FIND("arbeid",Methode_Keuze)),"",IF(Tb_Activiteiten[[#This Row],[Adviseur]]=1,Tb_Activiteiten[[#Headers],[Adviseur]],"")))</f>
        <v/>
      </c>
      <c r="AP604" t="str">
        <f>IF(ISNUMBER(FIND("arbeid",Methode_Keuze)),"",IF(ISNUMBER(FIND("arbeid",Methode_Keuze)),"",IF(Tb_Activiteiten[[#This Row],[Projectleider/Expert]]=1,Tb_Activiteiten[[#Headers],[Projectleider/Expert]],"")))</f>
        <v/>
      </c>
      <c r="AQ604" t="str">
        <f>IF(ISNUMBER(FIND("arbeid",Methode_Keuze)),"",IF(ISNUMBER(FIND("arbeid",Methode_Keuze)),"",IF(Tb_Activiteiten[[#This Row],[Arbeidskosten]]=1,Tb_Activiteiten[[#Headers],[Arbeidskosten]],"")))</f>
        <v/>
      </c>
      <c r="AR604" t="str">
        <f>IF(ISNUMBER(FIND("arbeid",Methode_Keuze)),"",IF(ISNUMBER(FIND("arbeid",Methode_Keuze)),"",IF(Tb_Activiteiten[[#This Row],[Arbeidskosten op basis van IKS]]=1,Tb_Activiteiten[[#Headers],[Arbeidskosten op basis van IKS]],"")))</f>
        <v/>
      </c>
      <c r="AS604" t="str">
        <f>IF(ISNUMBER(FIND("overige",Methode_Keuze)),"",IF(Tb_Activiteiten[[#This Row],[Kosten derden exclusief btw]]=1,Tb_Activiteiten[[#Headers],[Kosten derden exclusief btw]],""))</f>
        <v/>
      </c>
      <c r="AT604" t="str">
        <f>IF(ISNUMBER(FIND("overige",Methode_Keuze)),"",IF(Tb_Activiteiten[[#This Row],[Niet verrekenbare btw]]=1,Tb_Activiteiten[[#Headers],[Niet verrekenbare btw]],""))</f>
        <v/>
      </c>
      <c r="AU604" t="str">
        <f>IF(ISNUMBER(FIND("overige",Methode_Keuze)),"",IF(Tb_Activiteiten[[#This Row],[Grondkosten]]=1,Tb_Activiteiten[[#Headers],[Grondkosten]],""))</f>
        <v/>
      </c>
      <c r="AV604" t="str">
        <f>IF(ISNUMBER(FIND("overige",Methode_Keuze)),"",IF(Tb_Activiteiten[[#This Row],[Bijdrage in natura (overige)]]=1,Tb_Activiteiten[[#Headers],[Bijdrage in natura (overige)]],""))</f>
        <v/>
      </c>
      <c r="AW604" t="str">
        <f>IF(ISNUMBER(FIND("overige",Methode_Keuze)),"",IF(Tb_Activiteiten[[#This Row],[Bijdrage in natura (vrijwilligers)]]=1,Tb_Activiteiten[[#Headers],[Bijdrage in natura (vrijwilligers)]],""))</f>
        <v/>
      </c>
      <c r="AX604" t="str">
        <f>IF(ISNUMBER(FIND("overige",Methode_Keuze)),"",IF(Tb_Activiteiten[[#This Row],[Afschrijvingskosten]]=1,Tb_Activiteiten[[#Headers],[Afschrijvingskosten]],""))</f>
        <v/>
      </c>
      <c r="AY604" t="str">
        <f>IF(ISNUMBER(FIND("overige",Methode_Keuze)),"",IF(Tb_Activiteiten[[#This Row],[Vergoeding]]=1,Tb_Activiteiten[[#Headers],[Vergoeding]],""))</f>
        <v/>
      </c>
      <c r="AZ604" t="str">
        <f>IF(ISNUMBER(FIND("arbeid",Methode_Keuze)),"",IF(Tb_Activiteiten[[#This Row],[Arbeidskosten - vast tarief (excl eigen arbeid)]]=1,Tb_Activiteiten[[#Headers],[Arbeidskosten - vast tarief (excl eigen arbeid)]],""))</f>
        <v/>
      </c>
      <c r="BA604" t="str">
        <f>IF(ISNUMBER(FIND("overige",Methode_Keuze)),"",IF(Tb_Activiteiten[[#This Row],[Overige kosten]]=1,Tb_Activiteiten[[#Headers],[Overige kosten]],""))</f>
        <v/>
      </c>
    </row>
    <row r="605" spans="1:53" x14ac:dyDescent="0.25">
      <c r="A605" s="231"/>
      <c r="F605" s="64"/>
      <c r="G605" s="64"/>
      <c r="H605" s="275"/>
      <c r="I605" s="275"/>
      <c r="J605" s="275"/>
      <c r="K605" s="275"/>
      <c r="O605" s="56"/>
      <c r="Q605" t="str">
        <f>IFERROR(IF(VLOOKUP(Tb_Activiteiten[[#This Row],[Openstelling]],Tb_Openstelling[],2,0)=1,1,""),"")</f>
        <v/>
      </c>
      <c r="AK605" t="str">
        <f>IF(ISNUMBER(FIND("arbeid",Methode_Keuze)),"",IF(ISNUMBER(FIND("arbeid",Methode_Keuze)),"",IF(Tb_Activiteiten[[#This Row],[Loonkosten]]=1,Tb_Activiteiten[[#Headers],[Loonkosten]],"")))</f>
        <v/>
      </c>
      <c r="AL605" t="str">
        <f>IF(ISNUMBER(FIND("arbeid",Methode_Keuze)),"",IF(ISNUMBER(FIND("arbeid",Methode_Keuze)),"",IF(Tb_Activiteiten[[#This Row],[Eigen arbeid]]=1,Tb_Activiteiten[[#Headers],[Eigen arbeid]],"")))</f>
        <v/>
      </c>
      <c r="AM605" t="str">
        <f>IF(ISNUMBER(FIND("arbeid",Methode_Keuze)),"",IF(ISNUMBER(FIND("arbeid",Methode_Keuze)),"",IF(Tb_Activiteiten[[#This Row],[Projectmedewerker]]=1,Tb_Activiteiten[[#Headers],[Projectmedewerker]],"")))</f>
        <v/>
      </c>
      <c r="AN605" t="str">
        <f>IF(ISNUMBER(FIND("arbeid",Methode_Keuze)),"",IF(ISNUMBER(FIND("arbeid",Methode_Keuze)),"",IF(Tb_Activiteiten[[#This Row],[Landbouwer]]=1,Tb_Activiteiten[[#Headers],[Landbouwer]],"")))</f>
        <v/>
      </c>
      <c r="AO605" t="str">
        <f>IF(ISNUMBER(FIND("arbeid",Methode_Keuze)),"",IF(ISNUMBER(FIND("arbeid",Methode_Keuze)),"",IF(Tb_Activiteiten[[#This Row],[Adviseur]]=1,Tb_Activiteiten[[#Headers],[Adviseur]],"")))</f>
        <v/>
      </c>
      <c r="AP605" t="str">
        <f>IF(ISNUMBER(FIND("arbeid",Methode_Keuze)),"",IF(ISNUMBER(FIND("arbeid",Methode_Keuze)),"",IF(Tb_Activiteiten[[#This Row],[Projectleider/Expert]]=1,Tb_Activiteiten[[#Headers],[Projectleider/Expert]],"")))</f>
        <v/>
      </c>
      <c r="AQ605" t="str">
        <f>IF(ISNUMBER(FIND("arbeid",Methode_Keuze)),"",IF(ISNUMBER(FIND("arbeid",Methode_Keuze)),"",IF(Tb_Activiteiten[[#This Row],[Arbeidskosten]]=1,Tb_Activiteiten[[#Headers],[Arbeidskosten]],"")))</f>
        <v/>
      </c>
      <c r="AR605" t="str">
        <f>IF(ISNUMBER(FIND("arbeid",Methode_Keuze)),"",IF(ISNUMBER(FIND("arbeid",Methode_Keuze)),"",IF(Tb_Activiteiten[[#This Row],[Arbeidskosten op basis van IKS]]=1,Tb_Activiteiten[[#Headers],[Arbeidskosten op basis van IKS]],"")))</f>
        <v/>
      </c>
      <c r="AS605" t="str">
        <f>IF(ISNUMBER(FIND("overige",Methode_Keuze)),"",IF(Tb_Activiteiten[[#This Row],[Kosten derden exclusief btw]]=1,Tb_Activiteiten[[#Headers],[Kosten derden exclusief btw]],""))</f>
        <v/>
      </c>
      <c r="AT605" t="str">
        <f>IF(ISNUMBER(FIND("overige",Methode_Keuze)),"",IF(Tb_Activiteiten[[#This Row],[Niet verrekenbare btw]]=1,Tb_Activiteiten[[#Headers],[Niet verrekenbare btw]],""))</f>
        <v/>
      </c>
      <c r="AU605" t="str">
        <f>IF(ISNUMBER(FIND("overige",Methode_Keuze)),"",IF(Tb_Activiteiten[[#This Row],[Grondkosten]]=1,Tb_Activiteiten[[#Headers],[Grondkosten]],""))</f>
        <v/>
      </c>
      <c r="AV605" t="str">
        <f>IF(ISNUMBER(FIND("overige",Methode_Keuze)),"",IF(Tb_Activiteiten[[#This Row],[Bijdrage in natura (overige)]]=1,Tb_Activiteiten[[#Headers],[Bijdrage in natura (overige)]],""))</f>
        <v/>
      </c>
      <c r="AW605" t="str">
        <f>IF(ISNUMBER(FIND("overige",Methode_Keuze)),"",IF(Tb_Activiteiten[[#This Row],[Bijdrage in natura (vrijwilligers)]]=1,Tb_Activiteiten[[#Headers],[Bijdrage in natura (vrijwilligers)]],""))</f>
        <v/>
      </c>
      <c r="AX605" t="str">
        <f>IF(ISNUMBER(FIND("overige",Methode_Keuze)),"",IF(Tb_Activiteiten[[#This Row],[Afschrijvingskosten]]=1,Tb_Activiteiten[[#Headers],[Afschrijvingskosten]],""))</f>
        <v/>
      </c>
      <c r="AY605" t="str">
        <f>IF(ISNUMBER(FIND("overige",Methode_Keuze)),"",IF(Tb_Activiteiten[[#This Row],[Vergoeding]]=1,Tb_Activiteiten[[#Headers],[Vergoeding]],""))</f>
        <v/>
      </c>
      <c r="AZ605" t="str">
        <f>IF(ISNUMBER(FIND("arbeid",Methode_Keuze)),"",IF(Tb_Activiteiten[[#This Row],[Arbeidskosten - vast tarief (excl eigen arbeid)]]=1,Tb_Activiteiten[[#Headers],[Arbeidskosten - vast tarief (excl eigen arbeid)]],""))</f>
        <v/>
      </c>
      <c r="BA605" t="str">
        <f>IF(ISNUMBER(FIND("overige",Methode_Keuze)),"",IF(Tb_Activiteiten[[#This Row],[Overige kosten]]=1,Tb_Activiteiten[[#Headers],[Overige kosten]],""))</f>
        <v/>
      </c>
    </row>
    <row r="606" spans="1:53" x14ac:dyDescent="0.25">
      <c r="A606" s="231"/>
      <c r="F606" s="64"/>
      <c r="G606" s="64"/>
      <c r="H606" s="275"/>
      <c r="I606" s="275"/>
      <c r="J606" s="275"/>
      <c r="K606" s="275"/>
      <c r="O606" s="56"/>
      <c r="Q606" t="str">
        <f>IFERROR(IF(VLOOKUP(Tb_Activiteiten[[#This Row],[Openstelling]],Tb_Openstelling[],2,0)=1,1,""),"")</f>
        <v/>
      </c>
      <c r="AK606" t="str">
        <f>IF(ISNUMBER(FIND("arbeid",Methode_Keuze)),"",IF(ISNUMBER(FIND("arbeid",Methode_Keuze)),"",IF(Tb_Activiteiten[[#This Row],[Loonkosten]]=1,Tb_Activiteiten[[#Headers],[Loonkosten]],"")))</f>
        <v/>
      </c>
      <c r="AL606" t="str">
        <f>IF(ISNUMBER(FIND("arbeid",Methode_Keuze)),"",IF(ISNUMBER(FIND("arbeid",Methode_Keuze)),"",IF(Tb_Activiteiten[[#This Row],[Eigen arbeid]]=1,Tb_Activiteiten[[#Headers],[Eigen arbeid]],"")))</f>
        <v/>
      </c>
      <c r="AM606" t="str">
        <f>IF(ISNUMBER(FIND("arbeid",Methode_Keuze)),"",IF(ISNUMBER(FIND("arbeid",Methode_Keuze)),"",IF(Tb_Activiteiten[[#This Row],[Projectmedewerker]]=1,Tb_Activiteiten[[#Headers],[Projectmedewerker]],"")))</f>
        <v/>
      </c>
      <c r="AN606" t="str">
        <f>IF(ISNUMBER(FIND("arbeid",Methode_Keuze)),"",IF(ISNUMBER(FIND("arbeid",Methode_Keuze)),"",IF(Tb_Activiteiten[[#This Row],[Landbouwer]]=1,Tb_Activiteiten[[#Headers],[Landbouwer]],"")))</f>
        <v/>
      </c>
      <c r="AO606" t="str">
        <f>IF(ISNUMBER(FIND("arbeid",Methode_Keuze)),"",IF(ISNUMBER(FIND("arbeid",Methode_Keuze)),"",IF(Tb_Activiteiten[[#This Row],[Adviseur]]=1,Tb_Activiteiten[[#Headers],[Adviseur]],"")))</f>
        <v/>
      </c>
      <c r="AP606" t="str">
        <f>IF(ISNUMBER(FIND("arbeid",Methode_Keuze)),"",IF(ISNUMBER(FIND("arbeid",Methode_Keuze)),"",IF(Tb_Activiteiten[[#This Row],[Projectleider/Expert]]=1,Tb_Activiteiten[[#Headers],[Projectleider/Expert]],"")))</f>
        <v/>
      </c>
      <c r="AQ606" t="str">
        <f>IF(ISNUMBER(FIND("arbeid",Methode_Keuze)),"",IF(ISNUMBER(FIND("arbeid",Methode_Keuze)),"",IF(Tb_Activiteiten[[#This Row],[Arbeidskosten]]=1,Tb_Activiteiten[[#Headers],[Arbeidskosten]],"")))</f>
        <v/>
      </c>
      <c r="AR606" t="str">
        <f>IF(ISNUMBER(FIND("arbeid",Methode_Keuze)),"",IF(ISNUMBER(FIND("arbeid",Methode_Keuze)),"",IF(Tb_Activiteiten[[#This Row],[Arbeidskosten op basis van IKS]]=1,Tb_Activiteiten[[#Headers],[Arbeidskosten op basis van IKS]],"")))</f>
        <v/>
      </c>
      <c r="AS606" t="str">
        <f>IF(ISNUMBER(FIND("overige",Methode_Keuze)),"",IF(Tb_Activiteiten[[#This Row],[Kosten derden exclusief btw]]=1,Tb_Activiteiten[[#Headers],[Kosten derden exclusief btw]],""))</f>
        <v/>
      </c>
      <c r="AT606" t="str">
        <f>IF(ISNUMBER(FIND("overige",Methode_Keuze)),"",IF(Tb_Activiteiten[[#This Row],[Niet verrekenbare btw]]=1,Tb_Activiteiten[[#Headers],[Niet verrekenbare btw]],""))</f>
        <v/>
      </c>
      <c r="AU606" t="str">
        <f>IF(ISNUMBER(FIND("overige",Methode_Keuze)),"",IF(Tb_Activiteiten[[#This Row],[Grondkosten]]=1,Tb_Activiteiten[[#Headers],[Grondkosten]],""))</f>
        <v/>
      </c>
      <c r="AV606" t="str">
        <f>IF(ISNUMBER(FIND("overige",Methode_Keuze)),"",IF(Tb_Activiteiten[[#This Row],[Bijdrage in natura (overige)]]=1,Tb_Activiteiten[[#Headers],[Bijdrage in natura (overige)]],""))</f>
        <v/>
      </c>
      <c r="AW606" t="str">
        <f>IF(ISNUMBER(FIND("overige",Methode_Keuze)),"",IF(Tb_Activiteiten[[#This Row],[Bijdrage in natura (vrijwilligers)]]=1,Tb_Activiteiten[[#Headers],[Bijdrage in natura (vrijwilligers)]],""))</f>
        <v/>
      </c>
      <c r="AX606" t="str">
        <f>IF(ISNUMBER(FIND("overige",Methode_Keuze)),"",IF(Tb_Activiteiten[[#This Row],[Afschrijvingskosten]]=1,Tb_Activiteiten[[#Headers],[Afschrijvingskosten]],""))</f>
        <v/>
      </c>
      <c r="AY606" t="str">
        <f>IF(ISNUMBER(FIND("overige",Methode_Keuze)),"",IF(Tb_Activiteiten[[#This Row],[Vergoeding]]=1,Tb_Activiteiten[[#Headers],[Vergoeding]],""))</f>
        <v/>
      </c>
      <c r="AZ606" t="str">
        <f>IF(ISNUMBER(FIND("arbeid",Methode_Keuze)),"",IF(Tb_Activiteiten[[#This Row],[Arbeidskosten - vast tarief (excl eigen arbeid)]]=1,Tb_Activiteiten[[#Headers],[Arbeidskosten - vast tarief (excl eigen arbeid)]],""))</f>
        <v/>
      </c>
      <c r="BA606" t="str">
        <f>IF(ISNUMBER(FIND("overige",Methode_Keuze)),"",IF(Tb_Activiteiten[[#This Row],[Overige kosten]]=1,Tb_Activiteiten[[#Headers],[Overige kosten]],""))</f>
        <v/>
      </c>
    </row>
    <row r="607" spans="1:53" x14ac:dyDescent="0.25">
      <c r="A607" s="231"/>
      <c r="F607" s="64"/>
      <c r="G607" s="64"/>
      <c r="H607" s="275"/>
      <c r="I607" s="275"/>
      <c r="J607" s="275"/>
      <c r="K607" s="275"/>
      <c r="O607" s="56"/>
      <c r="Q607" t="str">
        <f>IFERROR(IF(VLOOKUP(Tb_Activiteiten[[#This Row],[Openstelling]],Tb_Openstelling[],2,0)=1,1,""),"")</f>
        <v/>
      </c>
      <c r="AK607" t="str">
        <f>IF(ISNUMBER(FIND("arbeid",Methode_Keuze)),"",IF(ISNUMBER(FIND("arbeid",Methode_Keuze)),"",IF(Tb_Activiteiten[[#This Row],[Loonkosten]]=1,Tb_Activiteiten[[#Headers],[Loonkosten]],"")))</f>
        <v/>
      </c>
      <c r="AL607" t="str">
        <f>IF(ISNUMBER(FIND("arbeid",Methode_Keuze)),"",IF(ISNUMBER(FIND("arbeid",Methode_Keuze)),"",IF(Tb_Activiteiten[[#This Row],[Eigen arbeid]]=1,Tb_Activiteiten[[#Headers],[Eigen arbeid]],"")))</f>
        <v/>
      </c>
      <c r="AM607" t="str">
        <f>IF(ISNUMBER(FIND("arbeid",Methode_Keuze)),"",IF(ISNUMBER(FIND("arbeid",Methode_Keuze)),"",IF(Tb_Activiteiten[[#This Row],[Projectmedewerker]]=1,Tb_Activiteiten[[#Headers],[Projectmedewerker]],"")))</f>
        <v/>
      </c>
      <c r="AN607" t="str">
        <f>IF(ISNUMBER(FIND("arbeid",Methode_Keuze)),"",IF(ISNUMBER(FIND("arbeid",Methode_Keuze)),"",IF(Tb_Activiteiten[[#This Row],[Landbouwer]]=1,Tb_Activiteiten[[#Headers],[Landbouwer]],"")))</f>
        <v/>
      </c>
      <c r="AO607" t="str">
        <f>IF(ISNUMBER(FIND("arbeid",Methode_Keuze)),"",IF(ISNUMBER(FIND("arbeid",Methode_Keuze)),"",IF(Tb_Activiteiten[[#This Row],[Adviseur]]=1,Tb_Activiteiten[[#Headers],[Adviseur]],"")))</f>
        <v/>
      </c>
      <c r="AP607" t="str">
        <f>IF(ISNUMBER(FIND("arbeid",Methode_Keuze)),"",IF(ISNUMBER(FIND("arbeid",Methode_Keuze)),"",IF(Tb_Activiteiten[[#This Row],[Projectleider/Expert]]=1,Tb_Activiteiten[[#Headers],[Projectleider/Expert]],"")))</f>
        <v/>
      </c>
      <c r="AQ607" t="str">
        <f>IF(ISNUMBER(FIND("arbeid",Methode_Keuze)),"",IF(ISNUMBER(FIND("arbeid",Methode_Keuze)),"",IF(Tb_Activiteiten[[#This Row],[Arbeidskosten]]=1,Tb_Activiteiten[[#Headers],[Arbeidskosten]],"")))</f>
        <v/>
      </c>
      <c r="AR607" t="str">
        <f>IF(ISNUMBER(FIND("arbeid",Methode_Keuze)),"",IF(ISNUMBER(FIND("arbeid",Methode_Keuze)),"",IF(Tb_Activiteiten[[#This Row],[Arbeidskosten op basis van IKS]]=1,Tb_Activiteiten[[#Headers],[Arbeidskosten op basis van IKS]],"")))</f>
        <v/>
      </c>
      <c r="AS607" t="str">
        <f>IF(ISNUMBER(FIND("overige",Methode_Keuze)),"",IF(Tb_Activiteiten[[#This Row],[Kosten derden exclusief btw]]=1,Tb_Activiteiten[[#Headers],[Kosten derden exclusief btw]],""))</f>
        <v/>
      </c>
      <c r="AT607" t="str">
        <f>IF(ISNUMBER(FIND("overige",Methode_Keuze)),"",IF(Tb_Activiteiten[[#This Row],[Niet verrekenbare btw]]=1,Tb_Activiteiten[[#Headers],[Niet verrekenbare btw]],""))</f>
        <v/>
      </c>
      <c r="AU607" t="str">
        <f>IF(ISNUMBER(FIND("overige",Methode_Keuze)),"",IF(Tb_Activiteiten[[#This Row],[Grondkosten]]=1,Tb_Activiteiten[[#Headers],[Grondkosten]],""))</f>
        <v/>
      </c>
      <c r="AV607" t="str">
        <f>IF(ISNUMBER(FIND("overige",Methode_Keuze)),"",IF(Tb_Activiteiten[[#This Row],[Bijdrage in natura (overige)]]=1,Tb_Activiteiten[[#Headers],[Bijdrage in natura (overige)]],""))</f>
        <v/>
      </c>
      <c r="AW607" t="str">
        <f>IF(ISNUMBER(FIND("overige",Methode_Keuze)),"",IF(Tb_Activiteiten[[#This Row],[Bijdrage in natura (vrijwilligers)]]=1,Tb_Activiteiten[[#Headers],[Bijdrage in natura (vrijwilligers)]],""))</f>
        <v/>
      </c>
      <c r="AX607" t="str">
        <f>IF(ISNUMBER(FIND("overige",Methode_Keuze)),"",IF(Tb_Activiteiten[[#This Row],[Afschrijvingskosten]]=1,Tb_Activiteiten[[#Headers],[Afschrijvingskosten]],""))</f>
        <v/>
      </c>
      <c r="AY607" t="str">
        <f>IF(ISNUMBER(FIND("overige",Methode_Keuze)),"",IF(Tb_Activiteiten[[#This Row],[Vergoeding]]=1,Tb_Activiteiten[[#Headers],[Vergoeding]],""))</f>
        <v/>
      </c>
      <c r="AZ607" t="str">
        <f>IF(ISNUMBER(FIND("arbeid",Methode_Keuze)),"",IF(Tb_Activiteiten[[#This Row],[Arbeidskosten - vast tarief (excl eigen arbeid)]]=1,Tb_Activiteiten[[#Headers],[Arbeidskosten - vast tarief (excl eigen arbeid)]],""))</f>
        <v/>
      </c>
      <c r="BA607" t="str">
        <f>IF(ISNUMBER(FIND("overige",Methode_Keuze)),"",IF(Tb_Activiteiten[[#This Row],[Overige kosten]]=1,Tb_Activiteiten[[#Headers],[Overige kosten]],""))</f>
        <v/>
      </c>
    </row>
    <row r="608" spans="1:53" x14ac:dyDescent="0.25">
      <c r="A608" s="231"/>
      <c r="F608" s="64"/>
      <c r="G608" s="64"/>
      <c r="H608" s="275"/>
      <c r="I608" s="275"/>
      <c r="J608" s="275"/>
      <c r="K608" s="275"/>
      <c r="O608" s="56"/>
      <c r="Q608" t="str">
        <f>IFERROR(IF(VLOOKUP(Tb_Activiteiten[[#This Row],[Openstelling]],Tb_Openstelling[],2,0)=1,1,""),"")</f>
        <v/>
      </c>
      <c r="AK608" t="str">
        <f>IF(ISNUMBER(FIND("arbeid",Methode_Keuze)),"",IF(ISNUMBER(FIND("arbeid",Methode_Keuze)),"",IF(Tb_Activiteiten[[#This Row],[Loonkosten]]=1,Tb_Activiteiten[[#Headers],[Loonkosten]],"")))</f>
        <v/>
      </c>
      <c r="AL608" t="str">
        <f>IF(ISNUMBER(FIND("arbeid",Methode_Keuze)),"",IF(ISNUMBER(FIND("arbeid",Methode_Keuze)),"",IF(Tb_Activiteiten[[#This Row],[Eigen arbeid]]=1,Tb_Activiteiten[[#Headers],[Eigen arbeid]],"")))</f>
        <v/>
      </c>
      <c r="AM608" t="str">
        <f>IF(ISNUMBER(FIND("arbeid",Methode_Keuze)),"",IF(ISNUMBER(FIND("arbeid",Methode_Keuze)),"",IF(Tb_Activiteiten[[#This Row],[Projectmedewerker]]=1,Tb_Activiteiten[[#Headers],[Projectmedewerker]],"")))</f>
        <v/>
      </c>
      <c r="AN608" t="str">
        <f>IF(ISNUMBER(FIND("arbeid",Methode_Keuze)),"",IF(ISNUMBER(FIND("arbeid",Methode_Keuze)),"",IF(Tb_Activiteiten[[#This Row],[Landbouwer]]=1,Tb_Activiteiten[[#Headers],[Landbouwer]],"")))</f>
        <v/>
      </c>
      <c r="AO608" t="str">
        <f>IF(ISNUMBER(FIND("arbeid",Methode_Keuze)),"",IF(ISNUMBER(FIND("arbeid",Methode_Keuze)),"",IF(Tb_Activiteiten[[#This Row],[Adviseur]]=1,Tb_Activiteiten[[#Headers],[Adviseur]],"")))</f>
        <v/>
      </c>
      <c r="AP608" t="str">
        <f>IF(ISNUMBER(FIND("arbeid",Methode_Keuze)),"",IF(ISNUMBER(FIND("arbeid",Methode_Keuze)),"",IF(Tb_Activiteiten[[#This Row],[Projectleider/Expert]]=1,Tb_Activiteiten[[#Headers],[Projectleider/Expert]],"")))</f>
        <v/>
      </c>
      <c r="AQ608" t="str">
        <f>IF(ISNUMBER(FIND("arbeid",Methode_Keuze)),"",IF(ISNUMBER(FIND("arbeid",Methode_Keuze)),"",IF(Tb_Activiteiten[[#This Row],[Arbeidskosten]]=1,Tb_Activiteiten[[#Headers],[Arbeidskosten]],"")))</f>
        <v/>
      </c>
      <c r="AR608" t="str">
        <f>IF(ISNUMBER(FIND("arbeid",Methode_Keuze)),"",IF(ISNUMBER(FIND("arbeid",Methode_Keuze)),"",IF(Tb_Activiteiten[[#This Row],[Arbeidskosten op basis van IKS]]=1,Tb_Activiteiten[[#Headers],[Arbeidskosten op basis van IKS]],"")))</f>
        <v/>
      </c>
      <c r="AS608" t="str">
        <f>IF(ISNUMBER(FIND("overige",Methode_Keuze)),"",IF(Tb_Activiteiten[[#This Row],[Kosten derden exclusief btw]]=1,Tb_Activiteiten[[#Headers],[Kosten derden exclusief btw]],""))</f>
        <v/>
      </c>
      <c r="AT608" t="str">
        <f>IF(ISNUMBER(FIND("overige",Methode_Keuze)),"",IF(Tb_Activiteiten[[#This Row],[Niet verrekenbare btw]]=1,Tb_Activiteiten[[#Headers],[Niet verrekenbare btw]],""))</f>
        <v/>
      </c>
      <c r="AU608" t="str">
        <f>IF(ISNUMBER(FIND("overige",Methode_Keuze)),"",IF(Tb_Activiteiten[[#This Row],[Grondkosten]]=1,Tb_Activiteiten[[#Headers],[Grondkosten]],""))</f>
        <v/>
      </c>
      <c r="AV608" t="str">
        <f>IF(ISNUMBER(FIND("overige",Methode_Keuze)),"",IF(Tb_Activiteiten[[#This Row],[Bijdrage in natura (overige)]]=1,Tb_Activiteiten[[#Headers],[Bijdrage in natura (overige)]],""))</f>
        <v/>
      </c>
      <c r="AW608" t="str">
        <f>IF(ISNUMBER(FIND("overige",Methode_Keuze)),"",IF(Tb_Activiteiten[[#This Row],[Bijdrage in natura (vrijwilligers)]]=1,Tb_Activiteiten[[#Headers],[Bijdrage in natura (vrijwilligers)]],""))</f>
        <v/>
      </c>
      <c r="AX608" t="str">
        <f>IF(ISNUMBER(FIND("overige",Methode_Keuze)),"",IF(Tb_Activiteiten[[#This Row],[Afschrijvingskosten]]=1,Tb_Activiteiten[[#Headers],[Afschrijvingskosten]],""))</f>
        <v/>
      </c>
      <c r="AY608" t="str">
        <f>IF(ISNUMBER(FIND("overige",Methode_Keuze)),"",IF(Tb_Activiteiten[[#This Row],[Vergoeding]]=1,Tb_Activiteiten[[#Headers],[Vergoeding]],""))</f>
        <v/>
      </c>
      <c r="AZ608" t="str">
        <f>IF(ISNUMBER(FIND("arbeid",Methode_Keuze)),"",IF(Tb_Activiteiten[[#This Row],[Arbeidskosten - vast tarief (excl eigen arbeid)]]=1,Tb_Activiteiten[[#Headers],[Arbeidskosten - vast tarief (excl eigen arbeid)]],""))</f>
        <v/>
      </c>
      <c r="BA608" t="str">
        <f>IF(ISNUMBER(FIND("overige",Methode_Keuze)),"",IF(Tb_Activiteiten[[#This Row],[Overige kosten]]=1,Tb_Activiteiten[[#Headers],[Overige kosten]],""))</f>
        <v/>
      </c>
    </row>
    <row r="609" spans="1:53" x14ac:dyDescent="0.25">
      <c r="A609" s="231"/>
      <c r="F609" s="64"/>
      <c r="G609" s="64"/>
      <c r="H609" s="275"/>
      <c r="I609" s="275"/>
      <c r="J609" s="275"/>
      <c r="K609" s="275"/>
      <c r="O609" s="56"/>
      <c r="Q609" t="str">
        <f>IFERROR(IF(VLOOKUP(Tb_Activiteiten[[#This Row],[Openstelling]],Tb_Openstelling[],2,0)=1,1,""),"")</f>
        <v/>
      </c>
      <c r="AK609" t="str">
        <f>IF(ISNUMBER(FIND("arbeid",Methode_Keuze)),"",IF(ISNUMBER(FIND("arbeid",Methode_Keuze)),"",IF(Tb_Activiteiten[[#This Row],[Loonkosten]]=1,Tb_Activiteiten[[#Headers],[Loonkosten]],"")))</f>
        <v/>
      </c>
      <c r="AL609" t="str">
        <f>IF(ISNUMBER(FIND("arbeid",Methode_Keuze)),"",IF(ISNUMBER(FIND("arbeid",Methode_Keuze)),"",IF(Tb_Activiteiten[[#This Row],[Eigen arbeid]]=1,Tb_Activiteiten[[#Headers],[Eigen arbeid]],"")))</f>
        <v/>
      </c>
      <c r="AM609" t="str">
        <f>IF(ISNUMBER(FIND("arbeid",Methode_Keuze)),"",IF(ISNUMBER(FIND("arbeid",Methode_Keuze)),"",IF(Tb_Activiteiten[[#This Row],[Projectmedewerker]]=1,Tb_Activiteiten[[#Headers],[Projectmedewerker]],"")))</f>
        <v/>
      </c>
      <c r="AN609" t="str">
        <f>IF(ISNUMBER(FIND("arbeid",Methode_Keuze)),"",IF(ISNUMBER(FIND("arbeid",Methode_Keuze)),"",IF(Tb_Activiteiten[[#This Row],[Landbouwer]]=1,Tb_Activiteiten[[#Headers],[Landbouwer]],"")))</f>
        <v/>
      </c>
      <c r="AO609" t="str">
        <f>IF(ISNUMBER(FIND("arbeid",Methode_Keuze)),"",IF(ISNUMBER(FIND("arbeid",Methode_Keuze)),"",IF(Tb_Activiteiten[[#This Row],[Adviseur]]=1,Tb_Activiteiten[[#Headers],[Adviseur]],"")))</f>
        <v/>
      </c>
      <c r="AP609" t="str">
        <f>IF(ISNUMBER(FIND("arbeid",Methode_Keuze)),"",IF(ISNUMBER(FIND("arbeid",Methode_Keuze)),"",IF(Tb_Activiteiten[[#This Row],[Projectleider/Expert]]=1,Tb_Activiteiten[[#Headers],[Projectleider/Expert]],"")))</f>
        <v/>
      </c>
      <c r="AQ609" t="str">
        <f>IF(ISNUMBER(FIND("arbeid",Methode_Keuze)),"",IF(ISNUMBER(FIND("arbeid",Methode_Keuze)),"",IF(Tb_Activiteiten[[#This Row],[Arbeidskosten]]=1,Tb_Activiteiten[[#Headers],[Arbeidskosten]],"")))</f>
        <v/>
      </c>
      <c r="AR609" t="str">
        <f>IF(ISNUMBER(FIND("arbeid",Methode_Keuze)),"",IF(ISNUMBER(FIND("arbeid",Methode_Keuze)),"",IF(Tb_Activiteiten[[#This Row],[Arbeidskosten op basis van IKS]]=1,Tb_Activiteiten[[#Headers],[Arbeidskosten op basis van IKS]],"")))</f>
        <v/>
      </c>
      <c r="AS609" t="str">
        <f>IF(ISNUMBER(FIND("overige",Methode_Keuze)),"",IF(Tb_Activiteiten[[#This Row],[Kosten derden exclusief btw]]=1,Tb_Activiteiten[[#Headers],[Kosten derden exclusief btw]],""))</f>
        <v/>
      </c>
      <c r="AT609" t="str">
        <f>IF(ISNUMBER(FIND("overige",Methode_Keuze)),"",IF(Tb_Activiteiten[[#This Row],[Niet verrekenbare btw]]=1,Tb_Activiteiten[[#Headers],[Niet verrekenbare btw]],""))</f>
        <v/>
      </c>
      <c r="AU609" t="str">
        <f>IF(ISNUMBER(FIND("overige",Methode_Keuze)),"",IF(Tb_Activiteiten[[#This Row],[Grondkosten]]=1,Tb_Activiteiten[[#Headers],[Grondkosten]],""))</f>
        <v/>
      </c>
      <c r="AV609" t="str">
        <f>IF(ISNUMBER(FIND("overige",Methode_Keuze)),"",IF(Tb_Activiteiten[[#This Row],[Bijdrage in natura (overige)]]=1,Tb_Activiteiten[[#Headers],[Bijdrage in natura (overige)]],""))</f>
        <v/>
      </c>
      <c r="AW609" t="str">
        <f>IF(ISNUMBER(FIND("overige",Methode_Keuze)),"",IF(Tb_Activiteiten[[#This Row],[Bijdrage in natura (vrijwilligers)]]=1,Tb_Activiteiten[[#Headers],[Bijdrage in natura (vrijwilligers)]],""))</f>
        <v/>
      </c>
      <c r="AX609" t="str">
        <f>IF(ISNUMBER(FIND("overige",Methode_Keuze)),"",IF(Tb_Activiteiten[[#This Row],[Afschrijvingskosten]]=1,Tb_Activiteiten[[#Headers],[Afschrijvingskosten]],""))</f>
        <v/>
      </c>
      <c r="AY609" t="str">
        <f>IF(ISNUMBER(FIND("overige",Methode_Keuze)),"",IF(Tb_Activiteiten[[#This Row],[Vergoeding]]=1,Tb_Activiteiten[[#Headers],[Vergoeding]],""))</f>
        <v/>
      </c>
      <c r="AZ609" t="str">
        <f>IF(ISNUMBER(FIND("arbeid",Methode_Keuze)),"",IF(Tb_Activiteiten[[#This Row],[Arbeidskosten - vast tarief (excl eigen arbeid)]]=1,Tb_Activiteiten[[#Headers],[Arbeidskosten - vast tarief (excl eigen arbeid)]],""))</f>
        <v/>
      </c>
      <c r="BA609" t="str">
        <f>IF(ISNUMBER(FIND("overige",Methode_Keuze)),"",IF(Tb_Activiteiten[[#This Row],[Overige kosten]]=1,Tb_Activiteiten[[#Headers],[Overige kosten]],""))</f>
        <v/>
      </c>
    </row>
    <row r="610" spans="1:53" x14ac:dyDescent="0.25">
      <c r="A610" s="231"/>
      <c r="F610" s="64"/>
      <c r="G610" s="64"/>
      <c r="H610" s="275"/>
      <c r="I610" s="275"/>
      <c r="J610" s="275"/>
      <c r="K610" s="275"/>
      <c r="O610" s="56"/>
      <c r="Q610" t="str">
        <f>IFERROR(IF(VLOOKUP(Tb_Activiteiten[[#This Row],[Openstelling]],Tb_Openstelling[],2,0)=1,1,""),"")</f>
        <v/>
      </c>
      <c r="AK610" t="str">
        <f>IF(ISNUMBER(FIND("arbeid",Methode_Keuze)),"",IF(ISNUMBER(FIND("arbeid",Methode_Keuze)),"",IF(Tb_Activiteiten[[#This Row],[Loonkosten]]=1,Tb_Activiteiten[[#Headers],[Loonkosten]],"")))</f>
        <v/>
      </c>
      <c r="AL610" t="str">
        <f>IF(ISNUMBER(FIND("arbeid",Methode_Keuze)),"",IF(ISNUMBER(FIND("arbeid",Methode_Keuze)),"",IF(Tb_Activiteiten[[#This Row],[Eigen arbeid]]=1,Tb_Activiteiten[[#Headers],[Eigen arbeid]],"")))</f>
        <v/>
      </c>
      <c r="AM610" t="str">
        <f>IF(ISNUMBER(FIND("arbeid",Methode_Keuze)),"",IF(ISNUMBER(FIND("arbeid",Methode_Keuze)),"",IF(Tb_Activiteiten[[#This Row],[Projectmedewerker]]=1,Tb_Activiteiten[[#Headers],[Projectmedewerker]],"")))</f>
        <v/>
      </c>
      <c r="AN610" t="str">
        <f>IF(ISNUMBER(FIND("arbeid",Methode_Keuze)),"",IF(ISNUMBER(FIND("arbeid",Methode_Keuze)),"",IF(Tb_Activiteiten[[#This Row],[Landbouwer]]=1,Tb_Activiteiten[[#Headers],[Landbouwer]],"")))</f>
        <v/>
      </c>
      <c r="AO610" t="str">
        <f>IF(ISNUMBER(FIND("arbeid",Methode_Keuze)),"",IF(ISNUMBER(FIND("arbeid",Methode_Keuze)),"",IF(Tb_Activiteiten[[#This Row],[Adviseur]]=1,Tb_Activiteiten[[#Headers],[Adviseur]],"")))</f>
        <v/>
      </c>
      <c r="AP610" t="str">
        <f>IF(ISNUMBER(FIND("arbeid",Methode_Keuze)),"",IF(ISNUMBER(FIND("arbeid",Methode_Keuze)),"",IF(Tb_Activiteiten[[#This Row],[Projectleider/Expert]]=1,Tb_Activiteiten[[#Headers],[Projectleider/Expert]],"")))</f>
        <v/>
      </c>
      <c r="AQ610" t="str">
        <f>IF(ISNUMBER(FIND("arbeid",Methode_Keuze)),"",IF(ISNUMBER(FIND("arbeid",Methode_Keuze)),"",IF(Tb_Activiteiten[[#This Row],[Arbeidskosten]]=1,Tb_Activiteiten[[#Headers],[Arbeidskosten]],"")))</f>
        <v/>
      </c>
      <c r="AR610" t="str">
        <f>IF(ISNUMBER(FIND("arbeid",Methode_Keuze)),"",IF(ISNUMBER(FIND("arbeid",Methode_Keuze)),"",IF(Tb_Activiteiten[[#This Row],[Arbeidskosten op basis van IKS]]=1,Tb_Activiteiten[[#Headers],[Arbeidskosten op basis van IKS]],"")))</f>
        <v/>
      </c>
      <c r="AS610" t="str">
        <f>IF(ISNUMBER(FIND("overige",Methode_Keuze)),"",IF(Tb_Activiteiten[[#This Row],[Kosten derden exclusief btw]]=1,Tb_Activiteiten[[#Headers],[Kosten derden exclusief btw]],""))</f>
        <v/>
      </c>
      <c r="AT610" t="str">
        <f>IF(ISNUMBER(FIND("overige",Methode_Keuze)),"",IF(Tb_Activiteiten[[#This Row],[Niet verrekenbare btw]]=1,Tb_Activiteiten[[#Headers],[Niet verrekenbare btw]],""))</f>
        <v/>
      </c>
      <c r="AU610" t="str">
        <f>IF(ISNUMBER(FIND("overige",Methode_Keuze)),"",IF(Tb_Activiteiten[[#This Row],[Grondkosten]]=1,Tb_Activiteiten[[#Headers],[Grondkosten]],""))</f>
        <v/>
      </c>
      <c r="AV610" t="str">
        <f>IF(ISNUMBER(FIND("overige",Methode_Keuze)),"",IF(Tb_Activiteiten[[#This Row],[Bijdrage in natura (overige)]]=1,Tb_Activiteiten[[#Headers],[Bijdrage in natura (overige)]],""))</f>
        <v/>
      </c>
      <c r="AW610" t="str">
        <f>IF(ISNUMBER(FIND("overige",Methode_Keuze)),"",IF(Tb_Activiteiten[[#This Row],[Bijdrage in natura (vrijwilligers)]]=1,Tb_Activiteiten[[#Headers],[Bijdrage in natura (vrijwilligers)]],""))</f>
        <v/>
      </c>
      <c r="AX610" t="str">
        <f>IF(ISNUMBER(FIND("overige",Methode_Keuze)),"",IF(Tb_Activiteiten[[#This Row],[Afschrijvingskosten]]=1,Tb_Activiteiten[[#Headers],[Afschrijvingskosten]],""))</f>
        <v/>
      </c>
      <c r="AY610" t="str">
        <f>IF(ISNUMBER(FIND("overige",Methode_Keuze)),"",IF(Tb_Activiteiten[[#This Row],[Vergoeding]]=1,Tb_Activiteiten[[#Headers],[Vergoeding]],""))</f>
        <v/>
      </c>
      <c r="AZ610" t="str">
        <f>IF(ISNUMBER(FIND("arbeid",Methode_Keuze)),"",IF(Tb_Activiteiten[[#This Row],[Arbeidskosten - vast tarief (excl eigen arbeid)]]=1,Tb_Activiteiten[[#Headers],[Arbeidskosten - vast tarief (excl eigen arbeid)]],""))</f>
        <v/>
      </c>
      <c r="BA610" t="str">
        <f>IF(ISNUMBER(FIND("overige",Methode_Keuze)),"",IF(Tb_Activiteiten[[#This Row],[Overige kosten]]=1,Tb_Activiteiten[[#Headers],[Overige kosten]],""))</f>
        <v/>
      </c>
    </row>
    <row r="611" spans="1:53" x14ac:dyDescent="0.25">
      <c r="A611" s="231"/>
      <c r="F611" s="64"/>
      <c r="G611" s="64"/>
      <c r="H611" s="275"/>
      <c r="I611" s="275"/>
      <c r="J611" s="275"/>
      <c r="K611" s="275"/>
      <c r="O611" s="56"/>
      <c r="Q611" t="str">
        <f>IFERROR(IF(VLOOKUP(Tb_Activiteiten[[#This Row],[Openstelling]],Tb_Openstelling[],2,0)=1,1,""),"")</f>
        <v/>
      </c>
      <c r="AK611" t="str">
        <f>IF(ISNUMBER(FIND("arbeid",Methode_Keuze)),"",IF(ISNUMBER(FIND("arbeid",Methode_Keuze)),"",IF(Tb_Activiteiten[[#This Row],[Loonkosten]]=1,Tb_Activiteiten[[#Headers],[Loonkosten]],"")))</f>
        <v/>
      </c>
      <c r="AL611" t="str">
        <f>IF(ISNUMBER(FIND("arbeid",Methode_Keuze)),"",IF(ISNUMBER(FIND("arbeid",Methode_Keuze)),"",IF(Tb_Activiteiten[[#This Row],[Eigen arbeid]]=1,Tb_Activiteiten[[#Headers],[Eigen arbeid]],"")))</f>
        <v/>
      </c>
      <c r="AM611" t="str">
        <f>IF(ISNUMBER(FIND("arbeid",Methode_Keuze)),"",IF(ISNUMBER(FIND("arbeid",Methode_Keuze)),"",IF(Tb_Activiteiten[[#This Row],[Projectmedewerker]]=1,Tb_Activiteiten[[#Headers],[Projectmedewerker]],"")))</f>
        <v/>
      </c>
      <c r="AN611" t="str">
        <f>IF(ISNUMBER(FIND("arbeid",Methode_Keuze)),"",IF(ISNUMBER(FIND("arbeid",Methode_Keuze)),"",IF(Tb_Activiteiten[[#This Row],[Landbouwer]]=1,Tb_Activiteiten[[#Headers],[Landbouwer]],"")))</f>
        <v/>
      </c>
      <c r="AO611" t="str">
        <f>IF(ISNUMBER(FIND("arbeid",Methode_Keuze)),"",IF(ISNUMBER(FIND("arbeid",Methode_Keuze)),"",IF(Tb_Activiteiten[[#This Row],[Adviseur]]=1,Tb_Activiteiten[[#Headers],[Adviseur]],"")))</f>
        <v/>
      </c>
      <c r="AP611" t="str">
        <f>IF(ISNUMBER(FIND("arbeid",Methode_Keuze)),"",IF(ISNUMBER(FIND("arbeid",Methode_Keuze)),"",IF(Tb_Activiteiten[[#This Row],[Projectleider/Expert]]=1,Tb_Activiteiten[[#Headers],[Projectleider/Expert]],"")))</f>
        <v/>
      </c>
      <c r="AQ611" t="str">
        <f>IF(ISNUMBER(FIND("arbeid",Methode_Keuze)),"",IF(ISNUMBER(FIND("arbeid",Methode_Keuze)),"",IF(Tb_Activiteiten[[#This Row],[Arbeidskosten]]=1,Tb_Activiteiten[[#Headers],[Arbeidskosten]],"")))</f>
        <v/>
      </c>
      <c r="AR611" t="str">
        <f>IF(ISNUMBER(FIND("arbeid",Methode_Keuze)),"",IF(ISNUMBER(FIND("arbeid",Methode_Keuze)),"",IF(Tb_Activiteiten[[#This Row],[Arbeidskosten op basis van IKS]]=1,Tb_Activiteiten[[#Headers],[Arbeidskosten op basis van IKS]],"")))</f>
        <v/>
      </c>
      <c r="AS611" t="str">
        <f>IF(ISNUMBER(FIND("overige",Methode_Keuze)),"",IF(Tb_Activiteiten[[#This Row],[Kosten derden exclusief btw]]=1,Tb_Activiteiten[[#Headers],[Kosten derden exclusief btw]],""))</f>
        <v/>
      </c>
      <c r="AT611" t="str">
        <f>IF(ISNUMBER(FIND("overige",Methode_Keuze)),"",IF(Tb_Activiteiten[[#This Row],[Niet verrekenbare btw]]=1,Tb_Activiteiten[[#Headers],[Niet verrekenbare btw]],""))</f>
        <v/>
      </c>
      <c r="AU611" t="str">
        <f>IF(ISNUMBER(FIND("overige",Methode_Keuze)),"",IF(Tb_Activiteiten[[#This Row],[Grondkosten]]=1,Tb_Activiteiten[[#Headers],[Grondkosten]],""))</f>
        <v/>
      </c>
      <c r="AV611" t="str">
        <f>IF(ISNUMBER(FIND("overige",Methode_Keuze)),"",IF(Tb_Activiteiten[[#This Row],[Bijdrage in natura (overige)]]=1,Tb_Activiteiten[[#Headers],[Bijdrage in natura (overige)]],""))</f>
        <v/>
      </c>
      <c r="AW611" t="str">
        <f>IF(ISNUMBER(FIND("overige",Methode_Keuze)),"",IF(Tb_Activiteiten[[#This Row],[Bijdrage in natura (vrijwilligers)]]=1,Tb_Activiteiten[[#Headers],[Bijdrage in natura (vrijwilligers)]],""))</f>
        <v/>
      </c>
      <c r="AX611" t="str">
        <f>IF(ISNUMBER(FIND("overige",Methode_Keuze)),"",IF(Tb_Activiteiten[[#This Row],[Afschrijvingskosten]]=1,Tb_Activiteiten[[#Headers],[Afschrijvingskosten]],""))</f>
        <v/>
      </c>
      <c r="AY611" t="str">
        <f>IF(ISNUMBER(FIND("overige",Methode_Keuze)),"",IF(Tb_Activiteiten[[#This Row],[Vergoeding]]=1,Tb_Activiteiten[[#Headers],[Vergoeding]],""))</f>
        <v/>
      </c>
      <c r="AZ611" t="str">
        <f>IF(ISNUMBER(FIND("arbeid",Methode_Keuze)),"",IF(Tb_Activiteiten[[#This Row],[Arbeidskosten - vast tarief (excl eigen arbeid)]]=1,Tb_Activiteiten[[#Headers],[Arbeidskosten - vast tarief (excl eigen arbeid)]],""))</f>
        <v/>
      </c>
      <c r="BA611" t="str">
        <f>IF(ISNUMBER(FIND("overige",Methode_Keuze)),"",IF(Tb_Activiteiten[[#This Row],[Overige kosten]]=1,Tb_Activiteiten[[#Headers],[Overige kosten]],""))</f>
        <v/>
      </c>
    </row>
    <row r="612" spans="1:53" x14ac:dyDescent="0.25">
      <c r="A612" s="231"/>
      <c r="F612" s="64"/>
      <c r="G612" s="64"/>
      <c r="H612" s="275"/>
      <c r="I612" s="275"/>
      <c r="J612" s="275"/>
      <c r="K612" s="275"/>
      <c r="O612" s="56"/>
      <c r="Q612" t="str">
        <f>IFERROR(IF(VLOOKUP(Tb_Activiteiten[[#This Row],[Openstelling]],Tb_Openstelling[],2,0)=1,1,""),"")</f>
        <v/>
      </c>
      <c r="AK612" t="str">
        <f>IF(ISNUMBER(FIND("arbeid",Methode_Keuze)),"",IF(ISNUMBER(FIND("arbeid",Methode_Keuze)),"",IF(Tb_Activiteiten[[#This Row],[Loonkosten]]=1,Tb_Activiteiten[[#Headers],[Loonkosten]],"")))</f>
        <v/>
      </c>
      <c r="AL612" t="str">
        <f>IF(ISNUMBER(FIND("arbeid",Methode_Keuze)),"",IF(ISNUMBER(FIND("arbeid",Methode_Keuze)),"",IF(Tb_Activiteiten[[#This Row],[Eigen arbeid]]=1,Tb_Activiteiten[[#Headers],[Eigen arbeid]],"")))</f>
        <v/>
      </c>
      <c r="AM612" t="str">
        <f>IF(ISNUMBER(FIND("arbeid",Methode_Keuze)),"",IF(ISNUMBER(FIND("arbeid",Methode_Keuze)),"",IF(Tb_Activiteiten[[#This Row],[Projectmedewerker]]=1,Tb_Activiteiten[[#Headers],[Projectmedewerker]],"")))</f>
        <v/>
      </c>
      <c r="AN612" t="str">
        <f>IF(ISNUMBER(FIND("arbeid",Methode_Keuze)),"",IF(ISNUMBER(FIND("arbeid",Methode_Keuze)),"",IF(Tb_Activiteiten[[#This Row],[Landbouwer]]=1,Tb_Activiteiten[[#Headers],[Landbouwer]],"")))</f>
        <v/>
      </c>
      <c r="AO612" t="str">
        <f>IF(ISNUMBER(FIND("arbeid",Methode_Keuze)),"",IF(ISNUMBER(FIND("arbeid",Methode_Keuze)),"",IF(Tb_Activiteiten[[#This Row],[Adviseur]]=1,Tb_Activiteiten[[#Headers],[Adviseur]],"")))</f>
        <v/>
      </c>
      <c r="AP612" t="str">
        <f>IF(ISNUMBER(FIND("arbeid",Methode_Keuze)),"",IF(ISNUMBER(FIND("arbeid",Methode_Keuze)),"",IF(Tb_Activiteiten[[#This Row],[Projectleider/Expert]]=1,Tb_Activiteiten[[#Headers],[Projectleider/Expert]],"")))</f>
        <v/>
      </c>
      <c r="AQ612" t="str">
        <f>IF(ISNUMBER(FIND("arbeid",Methode_Keuze)),"",IF(ISNUMBER(FIND("arbeid",Methode_Keuze)),"",IF(Tb_Activiteiten[[#This Row],[Arbeidskosten]]=1,Tb_Activiteiten[[#Headers],[Arbeidskosten]],"")))</f>
        <v/>
      </c>
      <c r="AR612" t="str">
        <f>IF(ISNUMBER(FIND("arbeid",Methode_Keuze)),"",IF(ISNUMBER(FIND("arbeid",Methode_Keuze)),"",IF(Tb_Activiteiten[[#This Row],[Arbeidskosten op basis van IKS]]=1,Tb_Activiteiten[[#Headers],[Arbeidskosten op basis van IKS]],"")))</f>
        <v/>
      </c>
      <c r="AS612" t="str">
        <f>IF(ISNUMBER(FIND("overige",Methode_Keuze)),"",IF(Tb_Activiteiten[[#This Row],[Kosten derden exclusief btw]]=1,Tb_Activiteiten[[#Headers],[Kosten derden exclusief btw]],""))</f>
        <v/>
      </c>
      <c r="AT612" t="str">
        <f>IF(ISNUMBER(FIND("overige",Methode_Keuze)),"",IF(Tb_Activiteiten[[#This Row],[Niet verrekenbare btw]]=1,Tb_Activiteiten[[#Headers],[Niet verrekenbare btw]],""))</f>
        <v/>
      </c>
      <c r="AU612" t="str">
        <f>IF(ISNUMBER(FIND("overige",Methode_Keuze)),"",IF(Tb_Activiteiten[[#This Row],[Grondkosten]]=1,Tb_Activiteiten[[#Headers],[Grondkosten]],""))</f>
        <v/>
      </c>
      <c r="AV612" t="str">
        <f>IF(ISNUMBER(FIND("overige",Methode_Keuze)),"",IF(Tb_Activiteiten[[#This Row],[Bijdrage in natura (overige)]]=1,Tb_Activiteiten[[#Headers],[Bijdrage in natura (overige)]],""))</f>
        <v/>
      </c>
      <c r="AW612" t="str">
        <f>IF(ISNUMBER(FIND("overige",Methode_Keuze)),"",IF(Tb_Activiteiten[[#This Row],[Bijdrage in natura (vrijwilligers)]]=1,Tb_Activiteiten[[#Headers],[Bijdrage in natura (vrijwilligers)]],""))</f>
        <v/>
      </c>
      <c r="AX612" t="str">
        <f>IF(ISNUMBER(FIND("overige",Methode_Keuze)),"",IF(Tb_Activiteiten[[#This Row],[Afschrijvingskosten]]=1,Tb_Activiteiten[[#Headers],[Afschrijvingskosten]],""))</f>
        <v/>
      </c>
      <c r="AY612" t="str">
        <f>IF(ISNUMBER(FIND("overige",Methode_Keuze)),"",IF(Tb_Activiteiten[[#This Row],[Vergoeding]]=1,Tb_Activiteiten[[#Headers],[Vergoeding]],""))</f>
        <v/>
      </c>
      <c r="AZ612" t="str">
        <f>IF(ISNUMBER(FIND("arbeid",Methode_Keuze)),"",IF(Tb_Activiteiten[[#This Row],[Arbeidskosten - vast tarief (excl eigen arbeid)]]=1,Tb_Activiteiten[[#Headers],[Arbeidskosten - vast tarief (excl eigen arbeid)]],""))</f>
        <v/>
      </c>
      <c r="BA612" t="str">
        <f>IF(ISNUMBER(FIND("overige",Methode_Keuze)),"",IF(Tb_Activiteiten[[#This Row],[Overige kosten]]=1,Tb_Activiteiten[[#Headers],[Overige kosten]],""))</f>
        <v/>
      </c>
    </row>
    <row r="613" spans="1:53" x14ac:dyDescent="0.25">
      <c r="A613" s="231"/>
      <c r="F613" s="64"/>
      <c r="G613" s="64"/>
      <c r="H613" s="275"/>
      <c r="I613" s="275"/>
      <c r="J613" s="275"/>
      <c r="K613" s="275"/>
      <c r="O613" s="56"/>
      <c r="Q613" t="str">
        <f>IFERROR(IF(VLOOKUP(Tb_Activiteiten[[#This Row],[Openstelling]],Tb_Openstelling[],2,0)=1,1,""),"")</f>
        <v/>
      </c>
      <c r="AK613" t="str">
        <f>IF(ISNUMBER(FIND("arbeid",Methode_Keuze)),"",IF(ISNUMBER(FIND("arbeid",Methode_Keuze)),"",IF(Tb_Activiteiten[[#This Row],[Loonkosten]]=1,Tb_Activiteiten[[#Headers],[Loonkosten]],"")))</f>
        <v/>
      </c>
      <c r="AL613" t="str">
        <f>IF(ISNUMBER(FIND("arbeid",Methode_Keuze)),"",IF(ISNUMBER(FIND("arbeid",Methode_Keuze)),"",IF(Tb_Activiteiten[[#This Row],[Eigen arbeid]]=1,Tb_Activiteiten[[#Headers],[Eigen arbeid]],"")))</f>
        <v/>
      </c>
      <c r="AM613" t="str">
        <f>IF(ISNUMBER(FIND("arbeid",Methode_Keuze)),"",IF(ISNUMBER(FIND("arbeid",Methode_Keuze)),"",IF(Tb_Activiteiten[[#This Row],[Projectmedewerker]]=1,Tb_Activiteiten[[#Headers],[Projectmedewerker]],"")))</f>
        <v/>
      </c>
      <c r="AN613" t="str">
        <f>IF(ISNUMBER(FIND("arbeid",Methode_Keuze)),"",IF(ISNUMBER(FIND("arbeid",Methode_Keuze)),"",IF(Tb_Activiteiten[[#This Row],[Landbouwer]]=1,Tb_Activiteiten[[#Headers],[Landbouwer]],"")))</f>
        <v/>
      </c>
      <c r="AO613" t="str">
        <f>IF(ISNUMBER(FIND("arbeid",Methode_Keuze)),"",IF(ISNUMBER(FIND("arbeid",Methode_Keuze)),"",IF(Tb_Activiteiten[[#This Row],[Adviseur]]=1,Tb_Activiteiten[[#Headers],[Adviseur]],"")))</f>
        <v/>
      </c>
      <c r="AP613" t="str">
        <f>IF(ISNUMBER(FIND("arbeid",Methode_Keuze)),"",IF(ISNUMBER(FIND("arbeid",Methode_Keuze)),"",IF(Tb_Activiteiten[[#This Row],[Projectleider/Expert]]=1,Tb_Activiteiten[[#Headers],[Projectleider/Expert]],"")))</f>
        <v/>
      </c>
      <c r="AQ613" t="str">
        <f>IF(ISNUMBER(FIND("arbeid",Methode_Keuze)),"",IF(ISNUMBER(FIND("arbeid",Methode_Keuze)),"",IF(Tb_Activiteiten[[#This Row],[Arbeidskosten]]=1,Tb_Activiteiten[[#Headers],[Arbeidskosten]],"")))</f>
        <v/>
      </c>
      <c r="AR613" t="str">
        <f>IF(ISNUMBER(FIND("arbeid",Methode_Keuze)),"",IF(ISNUMBER(FIND("arbeid",Methode_Keuze)),"",IF(Tb_Activiteiten[[#This Row],[Arbeidskosten op basis van IKS]]=1,Tb_Activiteiten[[#Headers],[Arbeidskosten op basis van IKS]],"")))</f>
        <v/>
      </c>
      <c r="AS613" t="str">
        <f>IF(ISNUMBER(FIND("overige",Methode_Keuze)),"",IF(Tb_Activiteiten[[#This Row],[Kosten derden exclusief btw]]=1,Tb_Activiteiten[[#Headers],[Kosten derden exclusief btw]],""))</f>
        <v/>
      </c>
      <c r="AT613" t="str">
        <f>IF(ISNUMBER(FIND("overige",Methode_Keuze)),"",IF(Tb_Activiteiten[[#This Row],[Niet verrekenbare btw]]=1,Tb_Activiteiten[[#Headers],[Niet verrekenbare btw]],""))</f>
        <v/>
      </c>
      <c r="AU613" t="str">
        <f>IF(ISNUMBER(FIND("overige",Methode_Keuze)),"",IF(Tb_Activiteiten[[#This Row],[Grondkosten]]=1,Tb_Activiteiten[[#Headers],[Grondkosten]],""))</f>
        <v/>
      </c>
      <c r="AV613" t="str">
        <f>IF(ISNUMBER(FIND("overige",Methode_Keuze)),"",IF(Tb_Activiteiten[[#This Row],[Bijdrage in natura (overige)]]=1,Tb_Activiteiten[[#Headers],[Bijdrage in natura (overige)]],""))</f>
        <v/>
      </c>
      <c r="AW613" t="str">
        <f>IF(ISNUMBER(FIND("overige",Methode_Keuze)),"",IF(Tb_Activiteiten[[#This Row],[Bijdrage in natura (vrijwilligers)]]=1,Tb_Activiteiten[[#Headers],[Bijdrage in natura (vrijwilligers)]],""))</f>
        <v/>
      </c>
      <c r="AX613" t="str">
        <f>IF(ISNUMBER(FIND("overige",Methode_Keuze)),"",IF(Tb_Activiteiten[[#This Row],[Afschrijvingskosten]]=1,Tb_Activiteiten[[#Headers],[Afschrijvingskosten]],""))</f>
        <v/>
      </c>
      <c r="AY613" t="str">
        <f>IF(ISNUMBER(FIND("overige",Methode_Keuze)),"",IF(Tb_Activiteiten[[#This Row],[Vergoeding]]=1,Tb_Activiteiten[[#Headers],[Vergoeding]],""))</f>
        <v/>
      </c>
      <c r="AZ613" t="str">
        <f>IF(ISNUMBER(FIND("arbeid",Methode_Keuze)),"",IF(Tb_Activiteiten[[#This Row],[Arbeidskosten - vast tarief (excl eigen arbeid)]]=1,Tb_Activiteiten[[#Headers],[Arbeidskosten - vast tarief (excl eigen arbeid)]],""))</f>
        <v/>
      </c>
      <c r="BA613" t="str">
        <f>IF(ISNUMBER(FIND("overige",Methode_Keuze)),"",IF(Tb_Activiteiten[[#This Row],[Overige kosten]]=1,Tb_Activiteiten[[#Headers],[Overige kosten]],""))</f>
        <v/>
      </c>
    </row>
    <row r="614" spans="1:53" x14ac:dyDescent="0.25">
      <c r="A614" s="231"/>
      <c r="F614" s="64"/>
      <c r="G614" s="64"/>
      <c r="H614" s="275"/>
      <c r="I614" s="275"/>
      <c r="J614" s="275"/>
      <c r="K614" s="275"/>
      <c r="O614" s="56"/>
      <c r="Q614" t="str">
        <f>IFERROR(IF(VLOOKUP(Tb_Activiteiten[[#This Row],[Openstelling]],Tb_Openstelling[],2,0)=1,1,""),"")</f>
        <v/>
      </c>
      <c r="AK614" t="str">
        <f>IF(ISNUMBER(FIND("arbeid",Methode_Keuze)),"",IF(ISNUMBER(FIND("arbeid",Methode_Keuze)),"",IF(Tb_Activiteiten[[#This Row],[Loonkosten]]=1,Tb_Activiteiten[[#Headers],[Loonkosten]],"")))</f>
        <v/>
      </c>
      <c r="AL614" t="str">
        <f>IF(ISNUMBER(FIND("arbeid",Methode_Keuze)),"",IF(ISNUMBER(FIND("arbeid",Methode_Keuze)),"",IF(Tb_Activiteiten[[#This Row],[Eigen arbeid]]=1,Tb_Activiteiten[[#Headers],[Eigen arbeid]],"")))</f>
        <v/>
      </c>
      <c r="AM614" t="str">
        <f>IF(ISNUMBER(FIND("arbeid",Methode_Keuze)),"",IF(ISNUMBER(FIND("arbeid",Methode_Keuze)),"",IF(Tb_Activiteiten[[#This Row],[Projectmedewerker]]=1,Tb_Activiteiten[[#Headers],[Projectmedewerker]],"")))</f>
        <v/>
      </c>
      <c r="AN614" t="str">
        <f>IF(ISNUMBER(FIND("arbeid",Methode_Keuze)),"",IF(ISNUMBER(FIND("arbeid",Methode_Keuze)),"",IF(Tb_Activiteiten[[#This Row],[Landbouwer]]=1,Tb_Activiteiten[[#Headers],[Landbouwer]],"")))</f>
        <v/>
      </c>
      <c r="AO614" t="str">
        <f>IF(ISNUMBER(FIND("arbeid",Methode_Keuze)),"",IF(ISNUMBER(FIND("arbeid",Methode_Keuze)),"",IF(Tb_Activiteiten[[#This Row],[Adviseur]]=1,Tb_Activiteiten[[#Headers],[Adviseur]],"")))</f>
        <v/>
      </c>
      <c r="AP614" t="str">
        <f>IF(ISNUMBER(FIND("arbeid",Methode_Keuze)),"",IF(ISNUMBER(FIND("arbeid",Methode_Keuze)),"",IF(Tb_Activiteiten[[#This Row],[Projectleider/Expert]]=1,Tb_Activiteiten[[#Headers],[Projectleider/Expert]],"")))</f>
        <v/>
      </c>
      <c r="AQ614" t="str">
        <f>IF(ISNUMBER(FIND("arbeid",Methode_Keuze)),"",IF(ISNUMBER(FIND("arbeid",Methode_Keuze)),"",IF(Tb_Activiteiten[[#This Row],[Arbeidskosten]]=1,Tb_Activiteiten[[#Headers],[Arbeidskosten]],"")))</f>
        <v/>
      </c>
      <c r="AR614" t="str">
        <f>IF(ISNUMBER(FIND("arbeid",Methode_Keuze)),"",IF(ISNUMBER(FIND("arbeid",Methode_Keuze)),"",IF(Tb_Activiteiten[[#This Row],[Arbeidskosten op basis van IKS]]=1,Tb_Activiteiten[[#Headers],[Arbeidskosten op basis van IKS]],"")))</f>
        <v/>
      </c>
      <c r="AS614" t="str">
        <f>IF(ISNUMBER(FIND("overige",Methode_Keuze)),"",IF(Tb_Activiteiten[[#This Row],[Kosten derden exclusief btw]]=1,Tb_Activiteiten[[#Headers],[Kosten derden exclusief btw]],""))</f>
        <v/>
      </c>
      <c r="AT614" t="str">
        <f>IF(ISNUMBER(FIND("overige",Methode_Keuze)),"",IF(Tb_Activiteiten[[#This Row],[Niet verrekenbare btw]]=1,Tb_Activiteiten[[#Headers],[Niet verrekenbare btw]],""))</f>
        <v/>
      </c>
      <c r="AU614" t="str">
        <f>IF(ISNUMBER(FIND("overige",Methode_Keuze)),"",IF(Tb_Activiteiten[[#This Row],[Grondkosten]]=1,Tb_Activiteiten[[#Headers],[Grondkosten]],""))</f>
        <v/>
      </c>
      <c r="AV614" t="str">
        <f>IF(ISNUMBER(FIND("overige",Methode_Keuze)),"",IF(Tb_Activiteiten[[#This Row],[Bijdrage in natura (overige)]]=1,Tb_Activiteiten[[#Headers],[Bijdrage in natura (overige)]],""))</f>
        <v/>
      </c>
      <c r="AW614" t="str">
        <f>IF(ISNUMBER(FIND("overige",Methode_Keuze)),"",IF(Tb_Activiteiten[[#This Row],[Bijdrage in natura (vrijwilligers)]]=1,Tb_Activiteiten[[#Headers],[Bijdrage in natura (vrijwilligers)]],""))</f>
        <v/>
      </c>
      <c r="AX614" t="str">
        <f>IF(ISNUMBER(FIND("overige",Methode_Keuze)),"",IF(Tb_Activiteiten[[#This Row],[Afschrijvingskosten]]=1,Tb_Activiteiten[[#Headers],[Afschrijvingskosten]],""))</f>
        <v/>
      </c>
      <c r="AY614" t="str">
        <f>IF(ISNUMBER(FIND("overige",Methode_Keuze)),"",IF(Tb_Activiteiten[[#This Row],[Vergoeding]]=1,Tb_Activiteiten[[#Headers],[Vergoeding]],""))</f>
        <v/>
      </c>
      <c r="AZ614" t="str">
        <f>IF(ISNUMBER(FIND("arbeid",Methode_Keuze)),"",IF(Tb_Activiteiten[[#This Row],[Arbeidskosten - vast tarief (excl eigen arbeid)]]=1,Tb_Activiteiten[[#Headers],[Arbeidskosten - vast tarief (excl eigen arbeid)]],""))</f>
        <v/>
      </c>
      <c r="BA614" t="str">
        <f>IF(ISNUMBER(FIND("overige",Methode_Keuze)),"",IF(Tb_Activiteiten[[#This Row],[Overige kosten]]=1,Tb_Activiteiten[[#Headers],[Overige kosten]],""))</f>
        <v/>
      </c>
    </row>
    <row r="615" spans="1:53" x14ac:dyDescent="0.25">
      <c r="A615" s="231"/>
      <c r="F615" s="64"/>
      <c r="G615" s="64"/>
      <c r="H615" s="275"/>
      <c r="I615" s="275"/>
      <c r="J615" s="275"/>
      <c r="K615" s="275"/>
      <c r="O615" s="56"/>
      <c r="Q615" t="str">
        <f>IFERROR(IF(VLOOKUP(Tb_Activiteiten[[#This Row],[Openstelling]],Tb_Openstelling[],2,0)=1,1,""),"")</f>
        <v/>
      </c>
      <c r="AK615" t="str">
        <f>IF(ISNUMBER(FIND("arbeid",Methode_Keuze)),"",IF(ISNUMBER(FIND("arbeid",Methode_Keuze)),"",IF(Tb_Activiteiten[[#This Row],[Loonkosten]]=1,Tb_Activiteiten[[#Headers],[Loonkosten]],"")))</f>
        <v/>
      </c>
      <c r="AL615" t="str">
        <f>IF(ISNUMBER(FIND("arbeid",Methode_Keuze)),"",IF(ISNUMBER(FIND("arbeid",Methode_Keuze)),"",IF(Tb_Activiteiten[[#This Row],[Eigen arbeid]]=1,Tb_Activiteiten[[#Headers],[Eigen arbeid]],"")))</f>
        <v/>
      </c>
      <c r="AM615" t="str">
        <f>IF(ISNUMBER(FIND("arbeid",Methode_Keuze)),"",IF(ISNUMBER(FIND("arbeid",Methode_Keuze)),"",IF(Tb_Activiteiten[[#This Row],[Projectmedewerker]]=1,Tb_Activiteiten[[#Headers],[Projectmedewerker]],"")))</f>
        <v/>
      </c>
      <c r="AN615" t="str">
        <f>IF(ISNUMBER(FIND("arbeid",Methode_Keuze)),"",IF(ISNUMBER(FIND("arbeid",Methode_Keuze)),"",IF(Tb_Activiteiten[[#This Row],[Landbouwer]]=1,Tb_Activiteiten[[#Headers],[Landbouwer]],"")))</f>
        <v/>
      </c>
      <c r="AO615" t="str">
        <f>IF(ISNUMBER(FIND("arbeid",Methode_Keuze)),"",IF(ISNUMBER(FIND("arbeid",Methode_Keuze)),"",IF(Tb_Activiteiten[[#This Row],[Adviseur]]=1,Tb_Activiteiten[[#Headers],[Adviseur]],"")))</f>
        <v/>
      </c>
      <c r="AP615" t="str">
        <f>IF(ISNUMBER(FIND("arbeid",Methode_Keuze)),"",IF(ISNUMBER(FIND("arbeid",Methode_Keuze)),"",IF(Tb_Activiteiten[[#This Row],[Projectleider/Expert]]=1,Tb_Activiteiten[[#Headers],[Projectleider/Expert]],"")))</f>
        <v/>
      </c>
      <c r="AQ615" t="str">
        <f>IF(ISNUMBER(FIND("arbeid",Methode_Keuze)),"",IF(ISNUMBER(FIND("arbeid",Methode_Keuze)),"",IF(Tb_Activiteiten[[#This Row],[Arbeidskosten]]=1,Tb_Activiteiten[[#Headers],[Arbeidskosten]],"")))</f>
        <v/>
      </c>
      <c r="AR615" t="str">
        <f>IF(ISNUMBER(FIND("arbeid",Methode_Keuze)),"",IF(ISNUMBER(FIND("arbeid",Methode_Keuze)),"",IF(Tb_Activiteiten[[#This Row],[Arbeidskosten op basis van IKS]]=1,Tb_Activiteiten[[#Headers],[Arbeidskosten op basis van IKS]],"")))</f>
        <v/>
      </c>
      <c r="AS615" t="str">
        <f>IF(ISNUMBER(FIND("overige",Methode_Keuze)),"",IF(Tb_Activiteiten[[#This Row],[Kosten derden exclusief btw]]=1,Tb_Activiteiten[[#Headers],[Kosten derden exclusief btw]],""))</f>
        <v/>
      </c>
      <c r="AT615" t="str">
        <f>IF(ISNUMBER(FIND("overige",Methode_Keuze)),"",IF(Tb_Activiteiten[[#This Row],[Niet verrekenbare btw]]=1,Tb_Activiteiten[[#Headers],[Niet verrekenbare btw]],""))</f>
        <v/>
      </c>
      <c r="AU615" t="str">
        <f>IF(ISNUMBER(FIND("overige",Methode_Keuze)),"",IF(Tb_Activiteiten[[#This Row],[Grondkosten]]=1,Tb_Activiteiten[[#Headers],[Grondkosten]],""))</f>
        <v/>
      </c>
      <c r="AV615" t="str">
        <f>IF(ISNUMBER(FIND("overige",Methode_Keuze)),"",IF(Tb_Activiteiten[[#This Row],[Bijdrage in natura (overige)]]=1,Tb_Activiteiten[[#Headers],[Bijdrage in natura (overige)]],""))</f>
        <v/>
      </c>
      <c r="AW615" t="str">
        <f>IF(ISNUMBER(FIND("overige",Methode_Keuze)),"",IF(Tb_Activiteiten[[#This Row],[Bijdrage in natura (vrijwilligers)]]=1,Tb_Activiteiten[[#Headers],[Bijdrage in natura (vrijwilligers)]],""))</f>
        <v/>
      </c>
      <c r="AX615" t="str">
        <f>IF(ISNUMBER(FIND("overige",Methode_Keuze)),"",IF(Tb_Activiteiten[[#This Row],[Afschrijvingskosten]]=1,Tb_Activiteiten[[#Headers],[Afschrijvingskosten]],""))</f>
        <v/>
      </c>
      <c r="AY615" t="str">
        <f>IF(ISNUMBER(FIND("overige",Methode_Keuze)),"",IF(Tb_Activiteiten[[#This Row],[Vergoeding]]=1,Tb_Activiteiten[[#Headers],[Vergoeding]],""))</f>
        <v/>
      </c>
      <c r="AZ615" t="str">
        <f>IF(ISNUMBER(FIND("arbeid",Methode_Keuze)),"",IF(Tb_Activiteiten[[#This Row],[Arbeidskosten - vast tarief (excl eigen arbeid)]]=1,Tb_Activiteiten[[#Headers],[Arbeidskosten - vast tarief (excl eigen arbeid)]],""))</f>
        <v/>
      </c>
      <c r="BA615" t="str">
        <f>IF(ISNUMBER(FIND("overige",Methode_Keuze)),"",IF(Tb_Activiteiten[[#This Row],[Overige kosten]]=1,Tb_Activiteiten[[#Headers],[Overige kosten]],""))</f>
        <v/>
      </c>
    </row>
    <row r="616" spans="1:53" x14ac:dyDescent="0.25">
      <c r="A616" s="231"/>
      <c r="F616" s="64"/>
      <c r="G616" s="64"/>
      <c r="H616" s="275"/>
      <c r="I616" s="275"/>
      <c r="J616" s="275"/>
      <c r="K616" s="275"/>
      <c r="O616" s="56"/>
      <c r="Q616" t="str">
        <f>IFERROR(IF(VLOOKUP(Tb_Activiteiten[[#This Row],[Openstelling]],Tb_Openstelling[],2,0)=1,1,""),"")</f>
        <v/>
      </c>
      <c r="AK616" t="str">
        <f>IF(ISNUMBER(FIND("arbeid",Methode_Keuze)),"",IF(ISNUMBER(FIND("arbeid",Methode_Keuze)),"",IF(Tb_Activiteiten[[#This Row],[Loonkosten]]=1,Tb_Activiteiten[[#Headers],[Loonkosten]],"")))</f>
        <v/>
      </c>
      <c r="AL616" t="str">
        <f>IF(ISNUMBER(FIND("arbeid",Methode_Keuze)),"",IF(ISNUMBER(FIND("arbeid",Methode_Keuze)),"",IF(Tb_Activiteiten[[#This Row],[Eigen arbeid]]=1,Tb_Activiteiten[[#Headers],[Eigen arbeid]],"")))</f>
        <v/>
      </c>
      <c r="AM616" t="str">
        <f>IF(ISNUMBER(FIND("arbeid",Methode_Keuze)),"",IF(ISNUMBER(FIND("arbeid",Methode_Keuze)),"",IF(Tb_Activiteiten[[#This Row],[Projectmedewerker]]=1,Tb_Activiteiten[[#Headers],[Projectmedewerker]],"")))</f>
        <v/>
      </c>
      <c r="AN616" t="str">
        <f>IF(ISNUMBER(FIND("arbeid",Methode_Keuze)),"",IF(ISNUMBER(FIND("arbeid",Methode_Keuze)),"",IF(Tb_Activiteiten[[#This Row],[Landbouwer]]=1,Tb_Activiteiten[[#Headers],[Landbouwer]],"")))</f>
        <v/>
      </c>
      <c r="AO616" t="str">
        <f>IF(ISNUMBER(FIND("arbeid",Methode_Keuze)),"",IF(ISNUMBER(FIND("arbeid",Methode_Keuze)),"",IF(Tb_Activiteiten[[#This Row],[Adviseur]]=1,Tb_Activiteiten[[#Headers],[Adviseur]],"")))</f>
        <v/>
      </c>
      <c r="AP616" t="str">
        <f>IF(ISNUMBER(FIND("arbeid",Methode_Keuze)),"",IF(ISNUMBER(FIND("arbeid",Methode_Keuze)),"",IF(Tb_Activiteiten[[#This Row],[Projectleider/Expert]]=1,Tb_Activiteiten[[#Headers],[Projectleider/Expert]],"")))</f>
        <v/>
      </c>
      <c r="AQ616" t="str">
        <f>IF(ISNUMBER(FIND("arbeid",Methode_Keuze)),"",IF(ISNUMBER(FIND("arbeid",Methode_Keuze)),"",IF(Tb_Activiteiten[[#This Row],[Arbeidskosten]]=1,Tb_Activiteiten[[#Headers],[Arbeidskosten]],"")))</f>
        <v/>
      </c>
      <c r="AR616" t="str">
        <f>IF(ISNUMBER(FIND("arbeid",Methode_Keuze)),"",IF(ISNUMBER(FIND("arbeid",Methode_Keuze)),"",IF(Tb_Activiteiten[[#This Row],[Arbeidskosten op basis van IKS]]=1,Tb_Activiteiten[[#Headers],[Arbeidskosten op basis van IKS]],"")))</f>
        <v/>
      </c>
      <c r="AS616" t="str">
        <f>IF(ISNUMBER(FIND("overige",Methode_Keuze)),"",IF(Tb_Activiteiten[[#This Row],[Kosten derden exclusief btw]]=1,Tb_Activiteiten[[#Headers],[Kosten derden exclusief btw]],""))</f>
        <v/>
      </c>
      <c r="AT616" t="str">
        <f>IF(ISNUMBER(FIND("overige",Methode_Keuze)),"",IF(Tb_Activiteiten[[#This Row],[Niet verrekenbare btw]]=1,Tb_Activiteiten[[#Headers],[Niet verrekenbare btw]],""))</f>
        <v/>
      </c>
      <c r="AU616" t="str">
        <f>IF(ISNUMBER(FIND("overige",Methode_Keuze)),"",IF(Tb_Activiteiten[[#This Row],[Grondkosten]]=1,Tb_Activiteiten[[#Headers],[Grondkosten]],""))</f>
        <v/>
      </c>
      <c r="AV616" t="str">
        <f>IF(ISNUMBER(FIND("overige",Methode_Keuze)),"",IF(Tb_Activiteiten[[#This Row],[Bijdrage in natura (overige)]]=1,Tb_Activiteiten[[#Headers],[Bijdrage in natura (overige)]],""))</f>
        <v/>
      </c>
      <c r="AW616" t="str">
        <f>IF(ISNUMBER(FIND("overige",Methode_Keuze)),"",IF(Tb_Activiteiten[[#This Row],[Bijdrage in natura (vrijwilligers)]]=1,Tb_Activiteiten[[#Headers],[Bijdrage in natura (vrijwilligers)]],""))</f>
        <v/>
      </c>
      <c r="AX616" t="str">
        <f>IF(ISNUMBER(FIND("overige",Methode_Keuze)),"",IF(Tb_Activiteiten[[#This Row],[Afschrijvingskosten]]=1,Tb_Activiteiten[[#Headers],[Afschrijvingskosten]],""))</f>
        <v/>
      </c>
      <c r="AY616" t="str">
        <f>IF(ISNUMBER(FIND("overige",Methode_Keuze)),"",IF(Tb_Activiteiten[[#This Row],[Vergoeding]]=1,Tb_Activiteiten[[#Headers],[Vergoeding]],""))</f>
        <v/>
      </c>
      <c r="AZ616" t="str">
        <f>IF(ISNUMBER(FIND("arbeid",Methode_Keuze)),"",IF(Tb_Activiteiten[[#This Row],[Arbeidskosten - vast tarief (excl eigen arbeid)]]=1,Tb_Activiteiten[[#Headers],[Arbeidskosten - vast tarief (excl eigen arbeid)]],""))</f>
        <v/>
      </c>
      <c r="BA616" t="str">
        <f>IF(ISNUMBER(FIND("overige",Methode_Keuze)),"",IF(Tb_Activiteiten[[#This Row],[Overige kosten]]=1,Tb_Activiteiten[[#Headers],[Overige kosten]],""))</f>
        <v/>
      </c>
    </row>
    <row r="617" spans="1:53" x14ac:dyDescent="0.25">
      <c r="A617" s="231"/>
      <c r="F617" s="64"/>
      <c r="G617" s="64"/>
      <c r="H617" s="275"/>
      <c r="I617" s="275"/>
      <c r="J617" s="275"/>
      <c r="K617" s="275"/>
      <c r="O617" s="56"/>
      <c r="Q617" t="str">
        <f>IFERROR(IF(VLOOKUP(Tb_Activiteiten[[#This Row],[Openstelling]],Tb_Openstelling[],2,0)=1,1,""),"")</f>
        <v/>
      </c>
      <c r="AK617" t="str">
        <f>IF(ISNUMBER(FIND("arbeid",Methode_Keuze)),"",IF(ISNUMBER(FIND("arbeid",Methode_Keuze)),"",IF(Tb_Activiteiten[[#This Row],[Loonkosten]]=1,Tb_Activiteiten[[#Headers],[Loonkosten]],"")))</f>
        <v/>
      </c>
      <c r="AL617" t="str">
        <f>IF(ISNUMBER(FIND("arbeid",Methode_Keuze)),"",IF(ISNUMBER(FIND("arbeid",Methode_Keuze)),"",IF(Tb_Activiteiten[[#This Row],[Eigen arbeid]]=1,Tb_Activiteiten[[#Headers],[Eigen arbeid]],"")))</f>
        <v/>
      </c>
      <c r="AM617" t="str">
        <f>IF(ISNUMBER(FIND("arbeid",Methode_Keuze)),"",IF(ISNUMBER(FIND("arbeid",Methode_Keuze)),"",IF(Tb_Activiteiten[[#This Row],[Projectmedewerker]]=1,Tb_Activiteiten[[#Headers],[Projectmedewerker]],"")))</f>
        <v/>
      </c>
      <c r="AN617" t="str">
        <f>IF(ISNUMBER(FIND("arbeid",Methode_Keuze)),"",IF(ISNUMBER(FIND("arbeid",Methode_Keuze)),"",IF(Tb_Activiteiten[[#This Row],[Landbouwer]]=1,Tb_Activiteiten[[#Headers],[Landbouwer]],"")))</f>
        <v/>
      </c>
      <c r="AO617" t="str">
        <f>IF(ISNUMBER(FIND("arbeid",Methode_Keuze)),"",IF(ISNUMBER(FIND("arbeid",Methode_Keuze)),"",IF(Tb_Activiteiten[[#This Row],[Adviseur]]=1,Tb_Activiteiten[[#Headers],[Adviseur]],"")))</f>
        <v/>
      </c>
      <c r="AP617" t="str">
        <f>IF(ISNUMBER(FIND("arbeid",Methode_Keuze)),"",IF(ISNUMBER(FIND("arbeid",Methode_Keuze)),"",IF(Tb_Activiteiten[[#This Row],[Projectleider/Expert]]=1,Tb_Activiteiten[[#Headers],[Projectleider/Expert]],"")))</f>
        <v/>
      </c>
      <c r="AQ617" t="str">
        <f>IF(ISNUMBER(FIND("arbeid",Methode_Keuze)),"",IF(ISNUMBER(FIND("arbeid",Methode_Keuze)),"",IF(Tb_Activiteiten[[#This Row],[Arbeidskosten]]=1,Tb_Activiteiten[[#Headers],[Arbeidskosten]],"")))</f>
        <v/>
      </c>
      <c r="AR617" t="str">
        <f>IF(ISNUMBER(FIND("arbeid",Methode_Keuze)),"",IF(ISNUMBER(FIND("arbeid",Methode_Keuze)),"",IF(Tb_Activiteiten[[#This Row],[Arbeidskosten op basis van IKS]]=1,Tb_Activiteiten[[#Headers],[Arbeidskosten op basis van IKS]],"")))</f>
        <v/>
      </c>
      <c r="AS617" t="str">
        <f>IF(ISNUMBER(FIND("overige",Methode_Keuze)),"",IF(Tb_Activiteiten[[#This Row],[Kosten derden exclusief btw]]=1,Tb_Activiteiten[[#Headers],[Kosten derden exclusief btw]],""))</f>
        <v/>
      </c>
      <c r="AT617" t="str">
        <f>IF(ISNUMBER(FIND("overige",Methode_Keuze)),"",IF(Tb_Activiteiten[[#This Row],[Niet verrekenbare btw]]=1,Tb_Activiteiten[[#Headers],[Niet verrekenbare btw]],""))</f>
        <v/>
      </c>
      <c r="AU617" t="str">
        <f>IF(ISNUMBER(FIND("overige",Methode_Keuze)),"",IF(Tb_Activiteiten[[#This Row],[Grondkosten]]=1,Tb_Activiteiten[[#Headers],[Grondkosten]],""))</f>
        <v/>
      </c>
      <c r="AV617" t="str">
        <f>IF(ISNUMBER(FIND("overige",Methode_Keuze)),"",IF(Tb_Activiteiten[[#This Row],[Bijdrage in natura (overige)]]=1,Tb_Activiteiten[[#Headers],[Bijdrage in natura (overige)]],""))</f>
        <v/>
      </c>
      <c r="AW617" t="str">
        <f>IF(ISNUMBER(FIND("overige",Methode_Keuze)),"",IF(Tb_Activiteiten[[#This Row],[Bijdrage in natura (vrijwilligers)]]=1,Tb_Activiteiten[[#Headers],[Bijdrage in natura (vrijwilligers)]],""))</f>
        <v/>
      </c>
      <c r="AX617" t="str">
        <f>IF(ISNUMBER(FIND("overige",Methode_Keuze)),"",IF(Tb_Activiteiten[[#This Row],[Afschrijvingskosten]]=1,Tb_Activiteiten[[#Headers],[Afschrijvingskosten]],""))</f>
        <v/>
      </c>
      <c r="AY617" t="str">
        <f>IF(ISNUMBER(FIND("overige",Methode_Keuze)),"",IF(Tb_Activiteiten[[#This Row],[Vergoeding]]=1,Tb_Activiteiten[[#Headers],[Vergoeding]],""))</f>
        <v/>
      </c>
      <c r="AZ617" t="str">
        <f>IF(ISNUMBER(FIND("arbeid",Methode_Keuze)),"",IF(Tb_Activiteiten[[#This Row],[Arbeidskosten - vast tarief (excl eigen arbeid)]]=1,Tb_Activiteiten[[#Headers],[Arbeidskosten - vast tarief (excl eigen arbeid)]],""))</f>
        <v/>
      </c>
      <c r="BA617" t="str">
        <f>IF(ISNUMBER(FIND("overige",Methode_Keuze)),"",IF(Tb_Activiteiten[[#This Row],[Overige kosten]]=1,Tb_Activiteiten[[#Headers],[Overige kosten]],""))</f>
        <v/>
      </c>
    </row>
    <row r="618" spans="1:53" x14ac:dyDescent="0.25">
      <c r="A618" s="231"/>
      <c r="F618" s="64"/>
      <c r="G618" s="64"/>
      <c r="H618" s="275"/>
      <c r="I618" s="275"/>
      <c r="J618" s="275"/>
      <c r="K618" s="275"/>
      <c r="O618" s="56"/>
      <c r="Q618" t="str">
        <f>IFERROR(IF(VLOOKUP(Tb_Activiteiten[[#This Row],[Openstelling]],Tb_Openstelling[],2,0)=1,1,""),"")</f>
        <v/>
      </c>
      <c r="AK618" t="str">
        <f>IF(ISNUMBER(FIND("arbeid",Methode_Keuze)),"",IF(ISNUMBER(FIND("arbeid",Methode_Keuze)),"",IF(Tb_Activiteiten[[#This Row],[Loonkosten]]=1,Tb_Activiteiten[[#Headers],[Loonkosten]],"")))</f>
        <v/>
      </c>
      <c r="AL618" t="str">
        <f>IF(ISNUMBER(FIND("arbeid",Methode_Keuze)),"",IF(ISNUMBER(FIND("arbeid",Methode_Keuze)),"",IF(Tb_Activiteiten[[#This Row],[Eigen arbeid]]=1,Tb_Activiteiten[[#Headers],[Eigen arbeid]],"")))</f>
        <v/>
      </c>
      <c r="AM618" t="str">
        <f>IF(ISNUMBER(FIND("arbeid",Methode_Keuze)),"",IF(ISNUMBER(FIND("arbeid",Methode_Keuze)),"",IF(Tb_Activiteiten[[#This Row],[Projectmedewerker]]=1,Tb_Activiteiten[[#Headers],[Projectmedewerker]],"")))</f>
        <v/>
      </c>
      <c r="AN618" t="str">
        <f>IF(ISNUMBER(FIND("arbeid",Methode_Keuze)),"",IF(ISNUMBER(FIND("arbeid",Methode_Keuze)),"",IF(Tb_Activiteiten[[#This Row],[Landbouwer]]=1,Tb_Activiteiten[[#Headers],[Landbouwer]],"")))</f>
        <v/>
      </c>
      <c r="AO618" t="str">
        <f>IF(ISNUMBER(FIND("arbeid",Methode_Keuze)),"",IF(ISNUMBER(FIND("arbeid",Methode_Keuze)),"",IF(Tb_Activiteiten[[#This Row],[Adviseur]]=1,Tb_Activiteiten[[#Headers],[Adviseur]],"")))</f>
        <v/>
      </c>
      <c r="AP618" t="str">
        <f>IF(ISNUMBER(FIND("arbeid",Methode_Keuze)),"",IF(ISNUMBER(FIND("arbeid",Methode_Keuze)),"",IF(Tb_Activiteiten[[#This Row],[Projectleider/Expert]]=1,Tb_Activiteiten[[#Headers],[Projectleider/Expert]],"")))</f>
        <v/>
      </c>
      <c r="AQ618" t="str">
        <f>IF(ISNUMBER(FIND("arbeid",Methode_Keuze)),"",IF(ISNUMBER(FIND("arbeid",Methode_Keuze)),"",IF(Tb_Activiteiten[[#This Row],[Arbeidskosten]]=1,Tb_Activiteiten[[#Headers],[Arbeidskosten]],"")))</f>
        <v/>
      </c>
      <c r="AR618" t="str">
        <f>IF(ISNUMBER(FIND("arbeid",Methode_Keuze)),"",IF(ISNUMBER(FIND("arbeid",Methode_Keuze)),"",IF(Tb_Activiteiten[[#This Row],[Arbeidskosten op basis van IKS]]=1,Tb_Activiteiten[[#Headers],[Arbeidskosten op basis van IKS]],"")))</f>
        <v/>
      </c>
      <c r="AS618" t="str">
        <f>IF(ISNUMBER(FIND("overige",Methode_Keuze)),"",IF(Tb_Activiteiten[[#This Row],[Kosten derden exclusief btw]]=1,Tb_Activiteiten[[#Headers],[Kosten derden exclusief btw]],""))</f>
        <v/>
      </c>
      <c r="AT618" t="str">
        <f>IF(ISNUMBER(FIND("overige",Methode_Keuze)),"",IF(Tb_Activiteiten[[#This Row],[Niet verrekenbare btw]]=1,Tb_Activiteiten[[#Headers],[Niet verrekenbare btw]],""))</f>
        <v/>
      </c>
      <c r="AU618" t="str">
        <f>IF(ISNUMBER(FIND("overige",Methode_Keuze)),"",IF(Tb_Activiteiten[[#This Row],[Grondkosten]]=1,Tb_Activiteiten[[#Headers],[Grondkosten]],""))</f>
        <v/>
      </c>
      <c r="AV618" t="str">
        <f>IF(ISNUMBER(FIND("overige",Methode_Keuze)),"",IF(Tb_Activiteiten[[#This Row],[Bijdrage in natura (overige)]]=1,Tb_Activiteiten[[#Headers],[Bijdrage in natura (overige)]],""))</f>
        <v/>
      </c>
      <c r="AW618" t="str">
        <f>IF(ISNUMBER(FIND("overige",Methode_Keuze)),"",IF(Tb_Activiteiten[[#This Row],[Bijdrage in natura (vrijwilligers)]]=1,Tb_Activiteiten[[#Headers],[Bijdrage in natura (vrijwilligers)]],""))</f>
        <v/>
      </c>
      <c r="AX618" t="str">
        <f>IF(ISNUMBER(FIND("overige",Methode_Keuze)),"",IF(Tb_Activiteiten[[#This Row],[Afschrijvingskosten]]=1,Tb_Activiteiten[[#Headers],[Afschrijvingskosten]],""))</f>
        <v/>
      </c>
      <c r="AY618" t="str">
        <f>IF(ISNUMBER(FIND("overige",Methode_Keuze)),"",IF(Tb_Activiteiten[[#This Row],[Vergoeding]]=1,Tb_Activiteiten[[#Headers],[Vergoeding]],""))</f>
        <v/>
      </c>
      <c r="AZ618" t="str">
        <f>IF(ISNUMBER(FIND("arbeid",Methode_Keuze)),"",IF(Tb_Activiteiten[[#This Row],[Arbeidskosten - vast tarief (excl eigen arbeid)]]=1,Tb_Activiteiten[[#Headers],[Arbeidskosten - vast tarief (excl eigen arbeid)]],""))</f>
        <v/>
      </c>
      <c r="BA618" t="str">
        <f>IF(ISNUMBER(FIND("overige",Methode_Keuze)),"",IF(Tb_Activiteiten[[#This Row],[Overige kosten]]=1,Tb_Activiteiten[[#Headers],[Overige kosten]],""))</f>
        <v/>
      </c>
    </row>
    <row r="619" spans="1:53" x14ac:dyDescent="0.25">
      <c r="A619" s="231"/>
      <c r="F619" s="64"/>
      <c r="G619" s="64"/>
      <c r="H619" s="275"/>
      <c r="I619" s="275"/>
      <c r="J619" s="275"/>
      <c r="K619" s="275"/>
      <c r="O619" s="56"/>
      <c r="Q619" t="str">
        <f>IFERROR(IF(VLOOKUP(Tb_Activiteiten[[#This Row],[Openstelling]],Tb_Openstelling[],2,0)=1,1,""),"")</f>
        <v/>
      </c>
      <c r="AK619" t="str">
        <f>IF(ISNUMBER(FIND("arbeid",Methode_Keuze)),"",IF(ISNUMBER(FIND("arbeid",Methode_Keuze)),"",IF(Tb_Activiteiten[[#This Row],[Loonkosten]]=1,Tb_Activiteiten[[#Headers],[Loonkosten]],"")))</f>
        <v/>
      </c>
      <c r="AL619" t="str">
        <f>IF(ISNUMBER(FIND("arbeid",Methode_Keuze)),"",IF(ISNUMBER(FIND("arbeid",Methode_Keuze)),"",IF(Tb_Activiteiten[[#This Row],[Eigen arbeid]]=1,Tb_Activiteiten[[#Headers],[Eigen arbeid]],"")))</f>
        <v/>
      </c>
      <c r="AM619" t="str">
        <f>IF(ISNUMBER(FIND("arbeid",Methode_Keuze)),"",IF(ISNUMBER(FIND("arbeid",Methode_Keuze)),"",IF(Tb_Activiteiten[[#This Row],[Projectmedewerker]]=1,Tb_Activiteiten[[#Headers],[Projectmedewerker]],"")))</f>
        <v/>
      </c>
      <c r="AN619" t="str">
        <f>IF(ISNUMBER(FIND("arbeid",Methode_Keuze)),"",IF(ISNUMBER(FIND("arbeid",Methode_Keuze)),"",IF(Tb_Activiteiten[[#This Row],[Landbouwer]]=1,Tb_Activiteiten[[#Headers],[Landbouwer]],"")))</f>
        <v/>
      </c>
      <c r="AO619" t="str">
        <f>IF(ISNUMBER(FIND("arbeid",Methode_Keuze)),"",IF(ISNUMBER(FIND("arbeid",Methode_Keuze)),"",IF(Tb_Activiteiten[[#This Row],[Adviseur]]=1,Tb_Activiteiten[[#Headers],[Adviseur]],"")))</f>
        <v/>
      </c>
      <c r="AP619" t="str">
        <f>IF(ISNUMBER(FIND("arbeid",Methode_Keuze)),"",IF(ISNUMBER(FIND("arbeid",Methode_Keuze)),"",IF(Tb_Activiteiten[[#This Row],[Projectleider/Expert]]=1,Tb_Activiteiten[[#Headers],[Projectleider/Expert]],"")))</f>
        <v/>
      </c>
      <c r="AQ619" t="str">
        <f>IF(ISNUMBER(FIND("arbeid",Methode_Keuze)),"",IF(ISNUMBER(FIND("arbeid",Methode_Keuze)),"",IF(Tb_Activiteiten[[#This Row],[Arbeidskosten]]=1,Tb_Activiteiten[[#Headers],[Arbeidskosten]],"")))</f>
        <v/>
      </c>
      <c r="AR619" t="str">
        <f>IF(ISNUMBER(FIND("arbeid",Methode_Keuze)),"",IF(ISNUMBER(FIND("arbeid",Methode_Keuze)),"",IF(Tb_Activiteiten[[#This Row],[Arbeidskosten op basis van IKS]]=1,Tb_Activiteiten[[#Headers],[Arbeidskosten op basis van IKS]],"")))</f>
        <v/>
      </c>
      <c r="AS619" t="str">
        <f>IF(ISNUMBER(FIND("overige",Methode_Keuze)),"",IF(Tb_Activiteiten[[#This Row],[Kosten derden exclusief btw]]=1,Tb_Activiteiten[[#Headers],[Kosten derden exclusief btw]],""))</f>
        <v/>
      </c>
      <c r="AT619" t="str">
        <f>IF(ISNUMBER(FIND("overige",Methode_Keuze)),"",IF(Tb_Activiteiten[[#This Row],[Niet verrekenbare btw]]=1,Tb_Activiteiten[[#Headers],[Niet verrekenbare btw]],""))</f>
        <v/>
      </c>
      <c r="AU619" t="str">
        <f>IF(ISNUMBER(FIND("overige",Methode_Keuze)),"",IF(Tb_Activiteiten[[#This Row],[Grondkosten]]=1,Tb_Activiteiten[[#Headers],[Grondkosten]],""))</f>
        <v/>
      </c>
      <c r="AV619" t="str">
        <f>IF(ISNUMBER(FIND("overige",Methode_Keuze)),"",IF(Tb_Activiteiten[[#This Row],[Bijdrage in natura (overige)]]=1,Tb_Activiteiten[[#Headers],[Bijdrage in natura (overige)]],""))</f>
        <v/>
      </c>
      <c r="AW619" t="str">
        <f>IF(ISNUMBER(FIND("overige",Methode_Keuze)),"",IF(Tb_Activiteiten[[#This Row],[Bijdrage in natura (vrijwilligers)]]=1,Tb_Activiteiten[[#Headers],[Bijdrage in natura (vrijwilligers)]],""))</f>
        <v/>
      </c>
      <c r="AX619" t="str">
        <f>IF(ISNUMBER(FIND("overige",Methode_Keuze)),"",IF(Tb_Activiteiten[[#This Row],[Afschrijvingskosten]]=1,Tb_Activiteiten[[#Headers],[Afschrijvingskosten]],""))</f>
        <v/>
      </c>
      <c r="AY619" t="str">
        <f>IF(ISNUMBER(FIND("overige",Methode_Keuze)),"",IF(Tb_Activiteiten[[#This Row],[Vergoeding]]=1,Tb_Activiteiten[[#Headers],[Vergoeding]],""))</f>
        <v/>
      </c>
      <c r="AZ619" t="str">
        <f>IF(ISNUMBER(FIND("arbeid",Methode_Keuze)),"",IF(Tb_Activiteiten[[#This Row],[Arbeidskosten - vast tarief (excl eigen arbeid)]]=1,Tb_Activiteiten[[#Headers],[Arbeidskosten - vast tarief (excl eigen arbeid)]],""))</f>
        <v/>
      </c>
      <c r="BA619" t="str">
        <f>IF(ISNUMBER(FIND("overige",Methode_Keuze)),"",IF(Tb_Activiteiten[[#This Row],[Overige kosten]]=1,Tb_Activiteiten[[#Headers],[Overige kosten]],""))</f>
        <v/>
      </c>
    </row>
    <row r="620" spans="1:53" x14ac:dyDescent="0.25">
      <c r="A620" s="231"/>
      <c r="F620" s="64"/>
      <c r="G620" s="64"/>
      <c r="H620" s="275"/>
      <c r="I620" s="275"/>
      <c r="J620" s="275"/>
      <c r="K620" s="275"/>
      <c r="O620" s="56"/>
      <c r="Q620" t="str">
        <f>IFERROR(IF(VLOOKUP(Tb_Activiteiten[[#This Row],[Openstelling]],Tb_Openstelling[],2,0)=1,1,""),"")</f>
        <v/>
      </c>
      <c r="AK620" t="str">
        <f>IF(ISNUMBER(FIND("arbeid",Methode_Keuze)),"",IF(ISNUMBER(FIND("arbeid",Methode_Keuze)),"",IF(Tb_Activiteiten[[#This Row],[Loonkosten]]=1,Tb_Activiteiten[[#Headers],[Loonkosten]],"")))</f>
        <v/>
      </c>
      <c r="AL620" t="str">
        <f>IF(ISNUMBER(FIND("arbeid",Methode_Keuze)),"",IF(ISNUMBER(FIND("arbeid",Methode_Keuze)),"",IF(Tb_Activiteiten[[#This Row],[Eigen arbeid]]=1,Tb_Activiteiten[[#Headers],[Eigen arbeid]],"")))</f>
        <v/>
      </c>
      <c r="AM620" t="str">
        <f>IF(ISNUMBER(FIND("arbeid",Methode_Keuze)),"",IF(ISNUMBER(FIND("arbeid",Methode_Keuze)),"",IF(Tb_Activiteiten[[#This Row],[Projectmedewerker]]=1,Tb_Activiteiten[[#Headers],[Projectmedewerker]],"")))</f>
        <v/>
      </c>
      <c r="AN620" t="str">
        <f>IF(ISNUMBER(FIND("arbeid",Methode_Keuze)),"",IF(ISNUMBER(FIND("arbeid",Methode_Keuze)),"",IF(Tb_Activiteiten[[#This Row],[Landbouwer]]=1,Tb_Activiteiten[[#Headers],[Landbouwer]],"")))</f>
        <v/>
      </c>
      <c r="AO620" t="str">
        <f>IF(ISNUMBER(FIND("arbeid",Methode_Keuze)),"",IF(ISNUMBER(FIND("arbeid",Methode_Keuze)),"",IF(Tb_Activiteiten[[#This Row],[Adviseur]]=1,Tb_Activiteiten[[#Headers],[Adviseur]],"")))</f>
        <v/>
      </c>
      <c r="AP620" t="str">
        <f>IF(ISNUMBER(FIND("arbeid",Methode_Keuze)),"",IF(ISNUMBER(FIND("arbeid",Methode_Keuze)),"",IF(Tb_Activiteiten[[#This Row],[Projectleider/Expert]]=1,Tb_Activiteiten[[#Headers],[Projectleider/Expert]],"")))</f>
        <v/>
      </c>
      <c r="AQ620" t="str">
        <f>IF(ISNUMBER(FIND("arbeid",Methode_Keuze)),"",IF(ISNUMBER(FIND("arbeid",Methode_Keuze)),"",IF(Tb_Activiteiten[[#This Row],[Arbeidskosten]]=1,Tb_Activiteiten[[#Headers],[Arbeidskosten]],"")))</f>
        <v/>
      </c>
      <c r="AR620" t="str">
        <f>IF(ISNUMBER(FIND("arbeid",Methode_Keuze)),"",IF(ISNUMBER(FIND("arbeid",Methode_Keuze)),"",IF(Tb_Activiteiten[[#This Row],[Arbeidskosten op basis van IKS]]=1,Tb_Activiteiten[[#Headers],[Arbeidskosten op basis van IKS]],"")))</f>
        <v/>
      </c>
      <c r="AS620" t="str">
        <f>IF(ISNUMBER(FIND("overige",Methode_Keuze)),"",IF(Tb_Activiteiten[[#This Row],[Kosten derden exclusief btw]]=1,Tb_Activiteiten[[#Headers],[Kosten derden exclusief btw]],""))</f>
        <v/>
      </c>
      <c r="AT620" t="str">
        <f>IF(ISNUMBER(FIND("overige",Methode_Keuze)),"",IF(Tb_Activiteiten[[#This Row],[Niet verrekenbare btw]]=1,Tb_Activiteiten[[#Headers],[Niet verrekenbare btw]],""))</f>
        <v/>
      </c>
      <c r="AU620" t="str">
        <f>IF(ISNUMBER(FIND("overige",Methode_Keuze)),"",IF(Tb_Activiteiten[[#This Row],[Grondkosten]]=1,Tb_Activiteiten[[#Headers],[Grondkosten]],""))</f>
        <v/>
      </c>
      <c r="AV620" t="str">
        <f>IF(ISNUMBER(FIND("overige",Methode_Keuze)),"",IF(Tb_Activiteiten[[#This Row],[Bijdrage in natura (overige)]]=1,Tb_Activiteiten[[#Headers],[Bijdrage in natura (overige)]],""))</f>
        <v/>
      </c>
      <c r="AW620" t="str">
        <f>IF(ISNUMBER(FIND("overige",Methode_Keuze)),"",IF(Tb_Activiteiten[[#This Row],[Bijdrage in natura (vrijwilligers)]]=1,Tb_Activiteiten[[#Headers],[Bijdrage in natura (vrijwilligers)]],""))</f>
        <v/>
      </c>
      <c r="AX620" t="str">
        <f>IF(ISNUMBER(FIND("overige",Methode_Keuze)),"",IF(Tb_Activiteiten[[#This Row],[Afschrijvingskosten]]=1,Tb_Activiteiten[[#Headers],[Afschrijvingskosten]],""))</f>
        <v/>
      </c>
      <c r="AY620" t="str">
        <f>IF(ISNUMBER(FIND("overige",Methode_Keuze)),"",IF(Tb_Activiteiten[[#This Row],[Vergoeding]]=1,Tb_Activiteiten[[#Headers],[Vergoeding]],""))</f>
        <v/>
      </c>
      <c r="AZ620" t="str">
        <f>IF(ISNUMBER(FIND("arbeid",Methode_Keuze)),"",IF(Tb_Activiteiten[[#This Row],[Arbeidskosten - vast tarief (excl eigen arbeid)]]=1,Tb_Activiteiten[[#Headers],[Arbeidskosten - vast tarief (excl eigen arbeid)]],""))</f>
        <v/>
      </c>
      <c r="BA620" t="str">
        <f>IF(ISNUMBER(FIND("overige",Methode_Keuze)),"",IF(Tb_Activiteiten[[#This Row],[Overige kosten]]=1,Tb_Activiteiten[[#Headers],[Overige kosten]],""))</f>
        <v/>
      </c>
    </row>
    <row r="621" spans="1:53" x14ac:dyDescent="0.25">
      <c r="A621" s="231"/>
      <c r="F621" s="64"/>
      <c r="G621" s="64"/>
      <c r="H621" s="275"/>
      <c r="I621" s="275"/>
      <c r="J621" s="275"/>
      <c r="K621" s="275"/>
      <c r="O621" s="56"/>
      <c r="Q621" t="str">
        <f>IFERROR(IF(VLOOKUP(Tb_Activiteiten[[#This Row],[Openstelling]],Tb_Openstelling[],2,0)=1,1,""),"")</f>
        <v/>
      </c>
      <c r="AK621" t="str">
        <f>IF(ISNUMBER(FIND("arbeid",Methode_Keuze)),"",IF(ISNUMBER(FIND("arbeid",Methode_Keuze)),"",IF(Tb_Activiteiten[[#This Row],[Loonkosten]]=1,Tb_Activiteiten[[#Headers],[Loonkosten]],"")))</f>
        <v/>
      </c>
      <c r="AL621" t="str">
        <f>IF(ISNUMBER(FIND("arbeid",Methode_Keuze)),"",IF(ISNUMBER(FIND("arbeid",Methode_Keuze)),"",IF(Tb_Activiteiten[[#This Row],[Eigen arbeid]]=1,Tb_Activiteiten[[#Headers],[Eigen arbeid]],"")))</f>
        <v/>
      </c>
      <c r="AM621" t="str">
        <f>IF(ISNUMBER(FIND("arbeid",Methode_Keuze)),"",IF(ISNUMBER(FIND("arbeid",Methode_Keuze)),"",IF(Tb_Activiteiten[[#This Row],[Projectmedewerker]]=1,Tb_Activiteiten[[#Headers],[Projectmedewerker]],"")))</f>
        <v/>
      </c>
      <c r="AN621" t="str">
        <f>IF(ISNUMBER(FIND("arbeid",Methode_Keuze)),"",IF(ISNUMBER(FIND("arbeid",Methode_Keuze)),"",IF(Tb_Activiteiten[[#This Row],[Landbouwer]]=1,Tb_Activiteiten[[#Headers],[Landbouwer]],"")))</f>
        <v/>
      </c>
      <c r="AO621" t="str">
        <f>IF(ISNUMBER(FIND("arbeid",Methode_Keuze)),"",IF(ISNUMBER(FIND("arbeid",Methode_Keuze)),"",IF(Tb_Activiteiten[[#This Row],[Adviseur]]=1,Tb_Activiteiten[[#Headers],[Adviseur]],"")))</f>
        <v/>
      </c>
      <c r="AP621" t="str">
        <f>IF(ISNUMBER(FIND("arbeid",Methode_Keuze)),"",IF(ISNUMBER(FIND("arbeid",Methode_Keuze)),"",IF(Tb_Activiteiten[[#This Row],[Projectleider/Expert]]=1,Tb_Activiteiten[[#Headers],[Projectleider/Expert]],"")))</f>
        <v/>
      </c>
      <c r="AQ621" t="str">
        <f>IF(ISNUMBER(FIND("arbeid",Methode_Keuze)),"",IF(ISNUMBER(FIND("arbeid",Methode_Keuze)),"",IF(Tb_Activiteiten[[#This Row],[Arbeidskosten]]=1,Tb_Activiteiten[[#Headers],[Arbeidskosten]],"")))</f>
        <v/>
      </c>
      <c r="AR621" t="str">
        <f>IF(ISNUMBER(FIND("arbeid",Methode_Keuze)),"",IF(ISNUMBER(FIND("arbeid",Methode_Keuze)),"",IF(Tb_Activiteiten[[#This Row],[Arbeidskosten op basis van IKS]]=1,Tb_Activiteiten[[#Headers],[Arbeidskosten op basis van IKS]],"")))</f>
        <v/>
      </c>
      <c r="AS621" t="str">
        <f>IF(ISNUMBER(FIND("overige",Methode_Keuze)),"",IF(Tb_Activiteiten[[#This Row],[Kosten derden exclusief btw]]=1,Tb_Activiteiten[[#Headers],[Kosten derden exclusief btw]],""))</f>
        <v/>
      </c>
      <c r="AT621" t="str">
        <f>IF(ISNUMBER(FIND("overige",Methode_Keuze)),"",IF(Tb_Activiteiten[[#This Row],[Niet verrekenbare btw]]=1,Tb_Activiteiten[[#Headers],[Niet verrekenbare btw]],""))</f>
        <v/>
      </c>
      <c r="AU621" t="str">
        <f>IF(ISNUMBER(FIND("overige",Methode_Keuze)),"",IF(Tb_Activiteiten[[#This Row],[Grondkosten]]=1,Tb_Activiteiten[[#Headers],[Grondkosten]],""))</f>
        <v/>
      </c>
      <c r="AV621" t="str">
        <f>IF(ISNUMBER(FIND("overige",Methode_Keuze)),"",IF(Tb_Activiteiten[[#This Row],[Bijdrage in natura (overige)]]=1,Tb_Activiteiten[[#Headers],[Bijdrage in natura (overige)]],""))</f>
        <v/>
      </c>
      <c r="AW621" t="str">
        <f>IF(ISNUMBER(FIND("overige",Methode_Keuze)),"",IF(Tb_Activiteiten[[#This Row],[Bijdrage in natura (vrijwilligers)]]=1,Tb_Activiteiten[[#Headers],[Bijdrage in natura (vrijwilligers)]],""))</f>
        <v/>
      </c>
      <c r="AX621" t="str">
        <f>IF(ISNUMBER(FIND("overige",Methode_Keuze)),"",IF(Tb_Activiteiten[[#This Row],[Afschrijvingskosten]]=1,Tb_Activiteiten[[#Headers],[Afschrijvingskosten]],""))</f>
        <v/>
      </c>
      <c r="AY621" t="str">
        <f>IF(ISNUMBER(FIND("overige",Methode_Keuze)),"",IF(Tb_Activiteiten[[#This Row],[Vergoeding]]=1,Tb_Activiteiten[[#Headers],[Vergoeding]],""))</f>
        <v/>
      </c>
      <c r="AZ621" t="str">
        <f>IF(ISNUMBER(FIND("arbeid",Methode_Keuze)),"",IF(Tb_Activiteiten[[#This Row],[Arbeidskosten - vast tarief (excl eigen arbeid)]]=1,Tb_Activiteiten[[#Headers],[Arbeidskosten - vast tarief (excl eigen arbeid)]],""))</f>
        <v/>
      </c>
      <c r="BA621" t="str">
        <f>IF(ISNUMBER(FIND("overige",Methode_Keuze)),"",IF(Tb_Activiteiten[[#This Row],[Overige kosten]]=1,Tb_Activiteiten[[#Headers],[Overige kosten]],""))</f>
        <v/>
      </c>
    </row>
    <row r="622" spans="1:53" x14ac:dyDescent="0.25">
      <c r="A622" s="231"/>
      <c r="F622" s="64"/>
      <c r="G622" s="64"/>
      <c r="H622" s="275"/>
      <c r="I622" s="275"/>
      <c r="J622" s="275"/>
      <c r="K622" s="275"/>
      <c r="O622" s="56"/>
      <c r="Q622" t="str">
        <f>IFERROR(IF(VLOOKUP(Tb_Activiteiten[[#This Row],[Openstelling]],Tb_Openstelling[],2,0)=1,1,""),"")</f>
        <v/>
      </c>
      <c r="AK622" t="str">
        <f>IF(ISNUMBER(FIND("arbeid",Methode_Keuze)),"",IF(ISNUMBER(FIND("arbeid",Methode_Keuze)),"",IF(Tb_Activiteiten[[#This Row],[Loonkosten]]=1,Tb_Activiteiten[[#Headers],[Loonkosten]],"")))</f>
        <v/>
      </c>
      <c r="AL622" t="str">
        <f>IF(ISNUMBER(FIND("arbeid",Methode_Keuze)),"",IF(ISNUMBER(FIND("arbeid",Methode_Keuze)),"",IF(Tb_Activiteiten[[#This Row],[Eigen arbeid]]=1,Tb_Activiteiten[[#Headers],[Eigen arbeid]],"")))</f>
        <v/>
      </c>
      <c r="AM622" t="str">
        <f>IF(ISNUMBER(FIND("arbeid",Methode_Keuze)),"",IF(ISNUMBER(FIND("arbeid",Methode_Keuze)),"",IF(Tb_Activiteiten[[#This Row],[Projectmedewerker]]=1,Tb_Activiteiten[[#Headers],[Projectmedewerker]],"")))</f>
        <v/>
      </c>
      <c r="AN622" t="str">
        <f>IF(ISNUMBER(FIND("arbeid",Methode_Keuze)),"",IF(ISNUMBER(FIND("arbeid",Methode_Keuze)),"",IF(Tb_Activiteiten[[#This Row],[Landbouwer]]=1,Tb_Activiteiten[[#Headers],[Landbouwer]],"")))</f>
        <v/>
      </c>
      <c r="AO622" t="str">
        <f>IF(ISNUMBER(FIND("arbeid",Methode_Keuze)),"",IF(ISNUMBER(FIND("arbeid",Methode_Keuze)),"",IF(Tb_Activiteiten[[#This Row],[Adviseur]]=1,Tb_Activiteiten[[#Headers],[Adviseur]],"")))</f>
        <v/>
      </c>
      <c r="AP622" t="str">
        <f>IF(ISNUMBER(FIND("arbeid",Methode_Keuze)),"",IF(ISNUMBER(FIND("arbeid",Methode_Keuze)),"",IF(Tb_Activiteiten[[#This Row],[Projectleider/Expert]]=1,Tb_Activiteiten[[#Headers],[Projectleider/Expert]],"")))</f>
        <v/>
      </c>
      <c r="AQ622" t="str">
        <f>IF(ISNUMBER(FIND("arbeid",Methode_Keuze)),"",IF(ISNUMBER(FIND("arbeid",Methode_Keuze)),"",IF(Tb_Activiteiten[[#This Row],[Arbeidskosten]]=1,Tb_Activiteiten[[#Headers],[Arbeidskosten]],"")))</f>
        <v/>
      </c>
      <c r="AR622" t="str">
        <f>IF(ISNUMBER(FIND("arbeid",Methode_Keuze)),"",IF(ISNUMBER(FIND("arbeid",Methode_Keuze)),"",IF(Tb_Activiteiten[[#This Row],[Arbeidskosten op basis van IKS]]=1,Tb_Activiteiten[[#Headers],[Arbeidskosten op basis van IKS]],"")))</f>
        <v/>
      </c>
      <c r="AS622" t="str">
        <f>IF(ISNUMBER(FIND("overige",Methode_Keuze)),"",IF(Tb_Activiteiten[[#This Row],[Kosten derden exclusief btw]]=1,Tb_Activiteiten[[#Headers],[Kosten derden exclusief btw]],""))</f>
        <v/>
      </c>
      <c r="AT622" t="str">
        <f>IF(ISNUMBER(FIND("overige",Methode_Keuze)),"",IF(Tb_Activiteiten[[#This Row],[Niet verrekenbare btw]]=1,Tb_Activiteiten[[#Headers],[Niet verrekenbare btw]],""))</f>
        <v/>
      </c>
      <c r="AU622" t="str">
        <f>IF(ISNUMBER(FIND("overige",Methode_Keuze)),"",IF(Tb_Activiteiten[[#This Row],[Grondkosten]]=1,Tb_Activiteiten[[#Headers],[Grondkosten]],""))</f>
        <v/>
      </c>
      <c r="AV622" t="str">
        <f>IF(ISNUMBER(FIND("overige",Methode_Keuze)),"",IF(Tb_Activiteiten[[#This Row],[Bijdrage in natura (overige)]]=1,Tb_Activiteiten[[#Headers],[Bijdrage in natura (overige)]],""))</f>
        <v/>
      </c>
      <c r="AW622" t="str">
        <f>IF(ISNUMBER(FIND("overige",Methode_Keuze)),"",IF(Tb_Activiteiten[[#This Row],[Bijdrage in natura (vrijwilligers)]]=1,Tb_Activiteiten[[#Headers],[Bijdrage in natura (vrijwilligers)]],""))</f>
        <v/>
      </c>
      <c r="AX622" t="str">
        <f>IF(ISNUMBER(FIND("overige",Methode_Keuze)),"",IF(Tb_Activiteiten[[#This Row],[Afschrijvingskosten]]=1,Tb_Activiteiten[[#Headers],[Afschrijvingskosten]],""))</f>
        <v/>
      </c>
      <c r="AY622" t="str">
        <f>IF(ISNUMBER(FIND("overige",Methode_Keuze)),"",IF(Tb_Activiteiten[[#This Row],[Vergoeding]]=1,Tb_Activiteiten[[#Headers],[Vergoeding]],""))</f>
        <v/>
      </c>
      <c r="AZ622" t="str">
        <f>IF(ISNUMBER(FIND("arbeid",Methode_Keuze)),"",IF(Tb_Activiteiten[[#This Row],[Arbeidskosten - vast tarief (excl eigen arbeid)]]=1,Tb_Activiteiten[[#Headers],[Arbeidskosten - vast tarief (excl eigen arbeid)]],""))</f>
        <v/>
      </c>
      <c r="BA622" t="str">
        <f>IF(ISNUMBER(FIND("overige",Methode_Keuze)),"",IF(Tb_Activiteiten[[#This Row],[Overige kosten]]=1,Tb_Activiteiten[[#Headers],[Overige kosten]],""))</f>
        <v/>
      </c>
    </row>
    <row r="623" spans="1:53" x14ac:dyDescent="0.25">
      <c r="A623" s="231"/>
      <c r="F623" s="64"/>
      <c r="G623" s="64"/>
      <c r="H623" s="275"/>
      <c r="I623" s="275"/>
      <c r="J623" s="275"/>
      <c r="K623" s="275"/>
      <c r="O623" s="56"/>
      <c r="Q623" t="str">
        <f>IFERROR(IF(VLOOKUP(Tb_Activiteiten[[#This Row],[Openstelling]],Tb_Openstelling[],2,0)=1,1,""),"")</f>
        <v/>
      </c>
      <c r="AK623" t="str">
        <f>IF(ISNUMBER(FIND("arbeid",Methode_Keuze)),"",IF(ISNUMBER(FIND("arbeid",Methode_Keuze)),"",IF(Tb_Activiteiten[[#This Row],[Loonkosten]]=1,Tb_Activiteiten[[#Headers],[Loonkosten]],"")))</f>
        <v/>
      </c>
      <c r="AL623" t="str">
        <f>IF(ISNUMBER(FIND("arbeid",Methode_Keuze)),"",IF(ISNUMBER(FIND("arbeid",Methode_Keuze)),"",IF(Tb_Activiteiten[[#This Row],[Eigen arbeid]]=1,Tb_Activiteiten[[#Headers],[Eigen arbeid]],"")))</f>
        <v/>
      </c>
      <c r="AM623" t="str">
        <f>IF(ISNUMBER(FIND("arbeid",Methode_Keuze)),"",IF(ISNUMBER(FIND("arbeid",Methode_Keuze)),"",IF(Tb_Activiteiten[[#This Row],[Projectmedewerker]]=1,Tb_Activiteiten[[#Headers],[Projectmedewerker]],"")))</f>
        <v/>
      </c>
      <c r="AN623" t="str">
        <f>IF(ISNUMBER(FIND("arbeid",Methode_Keuze)),"",IF(ISNUMBER(FIND("arbeid",Methode_Keuze)),"",IF(Tb_Activiteiten[[#This Row],[Landbouwer]]=1,Tb_Activiteiten[[#Headers],[Landbouwer]],"")))</f>
        <v/>
      </c>
      <c r="AO623" t="str">
        <f>IF(ISNUMBER(FIND("arbeid",Methode_Keuze)),"",IF(ISNUMBER(FIND("arbeid",Methode_Keuze)),"",IF(Tb_Activiteiten[[#This Row],[Adviseur]]=1,Tb_Activiteiten[[#Headers],[Adviseur]],"")))</f>
        <v/>
      </c>
      <c r="AP623" t="str">
        <f>IF(ISNUMBER(FIND("arbeid",Methode_Keuze)),"",IF(ISNUMBER(FIND("arbeid",Methode_Keuze)),"",IF(Tb_Activiteiten[[#This Row],[Projectleider/Expert]]=1,Tb_Activiteiten[[#Headers],[Projectleider/Expert]],"")))</f>
        <v/>
      </c>
      <c r="AQ623" t="str">
        <f>IF(ISNUMBER(FIND("arbeid",Methode_Keuze)),"",IF(ISNUMBER(FIND("arbeid",Methode_Keuze)),"",IF(Tb_Activiteiten[[#This Row],[Arbeidskosten]]=1,Tb_Activiteiten[[#Headers],[Arbeidskosten]],"")))</f>
        <v/>
      </c>
      <c r="AR623" t="str">
        <f>IF(ISNUMBER(FIND("arbeid",Methode_Keuze)),"",IF(ISNUMBER(FIND("arbeid",Methode_Keuze)),"",IF(Tb_Activiteiten[[#This Row],[Arbeidskosten op basis van IKS]]=1,Tb_Activiteiten[[#Headers],[Arbeidskosten op basis van IKS]],"")))</f>
        <v/>
      </c>
      <c r="AS623" t="str">
        <f>IF(ISNUMBER(FIND("overige",Methode_Keuze)),"",IF(Tb_Activiteiten[[#This Row],[Kosten derden exclusief btw]]=1,Tb_Activiteiten[[#Headers],[Kosten derden exclusief btw]],""))</f>
        <v/>
      </c>
      <c r="AT623" t="str">
        <f>IF(ISNUMBER(FIND("overige",Methode_Keuze)),"",IF(Tb_Activiteiten[[#This Row],[Niet verrekenbare btw]]=1,Tb_Activiteiten[[#Headers],[Niet verrekenbare btw]],""))</f>
        <v/>
      </c>
      <c r="AU623" t="str">
        <f>IF(ISNUMBER(FIND("overige",Methode_Keuze)),"",IF(Tb_Activiteiten[[#This Row],[Grondkosten]]=1,Tb_Activiteiten[[#Headers],[Grondkosten]],""))</f>
        <v/>
      </c>
      <c r="AV623" t="str">
        <f>IF(ISNUMBER(FIND("overige",Methode_Keuze)),"",IF(Tb_Activiteiten[[#This Row],[Bijdrage in natura (overige)]]=1,Tb_Activiteiten[[#Headers],[Bijdrage in natura (overige)]],""))</f>
        <v/>
      </c>
      <c r="AW623" t="str">
        <f>IF(ISNUMBER(FIND("overige",Methode_Keuze)),"",IF(Tb_Activiteiten[[#This Row],[Bijdrage in natura (vrijwilligers)]]=1,Tb_Activiteiten[[#Headers],[Bijdrage in natura (vrijwilligers)]],""))</f>
        <v/>
      </c>
      <c r="AX623" t="str">
        <f>IF(ISNUMBER(FIND("overige",Methode_Keuze)),"",IF(Tb_Activiteiten[[#This Row],[Afschrijvingskosten]]=1,Tb_Activiteiten[[#Headers],[Afschrijvingskosten]],""))</f>
        <v/>
      </c>
      <c r="AY623" t="str">
        <f>IF(ISNUMBER(FIND("overige",Methode_Keuze)),"",IF(Tb_Activiteiten[[#This Row],[Vergoeding]]=1,Tb_Activiteiten[[#Headers],[Vergoeding]],""))</f>
        <v/>
      </c>
      <c r="AZ623" t="str">
        <f>IF(ISNUMBER(FIND("arbeid",Methode_Keuze)),"",IF(Tb_Activiteiten[[#This Row],[Arbeidskosten - vast tarief (excl eigen arbeid)]]=1,Tb_Activiteiten[[#Headers],[Arbeidskosten - vast tarief (excl eigen arbeid)]],""))</f>
        <v/>
      </c>
      <c r="BA623" t="str">
        <f>IF(ISNUMBER(FIND("overige",Methode_Keuze)),"",IF(Tb_Activiteiten[[#This Row],[Overige kosten]]=1,Tb_Activiteiten[[#Headers],[Overige kosten]],""))</f>
        <v/>
      </c>
    </row>
    <row r="624" spans="1:53" x14ac:dyDescent="0.25">
      <c r="A624" s="231"/>
      <c r="F624" s="64"/>
      <c r="G624" s="64"/>
      <c r="H624" s="275"/>
      <c r="I624" s="275"/>
      <c r="J624" s="275"/>
      <c r="K624" s="275"/>
      <c r="O624" s="56"/>
      <c r="Q624" t="str">
        <f>IFERROR(IF(VLOOKUP(Tb_Activiteiten[[#This Row],[Openstelling]],Tb_Openstelling[],2,0)=1,1,""),"")</f>
        <v/>
      </c>
      <c r="AK624" t="str">
        <f>IF(ISNUMBER(FIND("arbeid",Methode_Keuze)),"",IF(ISNUMBER(FIND("arbeid",Methode_Keuze)),"",IF(Tb_Activiteiten[[#This Row],[Loonkosten]]=1,Tb_Activiteiten[[#Headers],[Loonkosten]],"")))</f>
        <v/>
      </c>
      <c r="AL624" t="str">
        <f>IF(ISNUMBER(FIND("arbeid",Methode_Keuze)),"",IF(ISNUMBER(FIND("arbeid",Methode_Keuze)),"",IF(Tb_Activiteiten[[#This Row],[Eigen arbeid]]=1,Tb_Activiteiten[[#Headers],[Eigen arbeid]],"")))</f>
        <v/>
      </c>
      <c r="AM624" t="str">
        <f>IF(ISNUMBER(FIND("arbeid",Methode_Keuze)),"",IF(ISNUMBER(FIND("arbeid",Methode_Keuze)),"",IF(Tb_Activiteiten[[#This Row],[Projectmedewerker]]=1,Tb_Activiteiten[[#Headers],[Projectmedewerker]],"")))</f>
        <v/>
      </c>
      <c r="AN624" t="str">
        <f>IF(ISNUMBER(FIND("arbeid",Methode_Keuze)),"",IF(ISNUMBER(FIND("arbeid",Methode_Keuze)),"",IF(Tb_Activiteiten[[#This Row],[Landbouwer]]=1,Tb_Activiteiten[[#Headers],[Landbouwer]],"")))</f>
        <v/>
      </c>
      <c r="AO624" t="str">
        <f>IF(ISNUMBER(FIND("arbeid",Methode_Keuze)),"",IF(ISNUMBER(FIND("arbeid",Methode_Keuze)),"",IF(Tb_Activiteiten[[#This Row],[Adviseur]]=1,Tb_Activiteiten[[#Headers],[Adviseur]],"")))</f>
        <v/>
      </c>
      <c r="AP624" t="str">
        <f>IF(ISNUMBER(FIND("arbeid",Methode_Keuze)),"",IF(ISNUMBER(FIND("arbeid",Methode_Keuze)),"",IF(Tb_Activiteiten[[#This Row],[Projectleider/Expert]]=1,Tb_Activiteiten[[#Headers],[Projectleider/Expert]],"")))</f>
        <v/>
      </c>
      <c r="AQ624" t="str">
        <f>IF(ISNUMBER(FIND("arbeid",Methode_Keuze)),"",IF(ISNUMBER(FIND("arbeid",Methode_Keuze)),"",IF(Tb_Activiteiten[[#This Row],[Arbeidskosten]]=1,Tb_Activiteiten[[#Headers],[Arbeidskosten]],"")))</f>
        <v/>
      </c>
      <c r="AR624" t="str">
        <f>IF(ISNUMBER(FIND("arbeid",Methode_Keuze)),"",IF(ISNUMBER(FIND("arbeid",Methode_Keuze)),"",IF(Tb_Activiteiten[[#This Row],[Arbeidskosten op basis van IKS]]=1,Tb_Activiteiten[[#Headers],[Arbeidskosten op basis van IKS]],"")))</f>
        <v/>
      </c>
      <c r="AS624" t="str">
        <f>IF(ISNUMBER(FIND("overige",Methode_Keuze)),"",IF(Tb_Activiteiten[[#This Row],[Kosten derden exclusief btw]]=1,Tb_Activiteiten[[#Headers],[Kosten derden exclusief btw]],""))</f>
        <v/>
      </c>
      <c r="AT624" t="str">
        <f>IF(ISNUMBER(FIND("overige",Methode_Keuze)),"",IF(Tb_Activiteiten[[#This Row],[Niet verrekenbare btw]]=1,Tb_Activiteiten[[#Headers],[Niet verrekenbare btw]],""))</f>
        <v/>
      </c>
      <c r="AU624" t="str">
        <f>IF(ISNUMBER(FIND("overige",Methode_Keuze)),"",IF(Tb_Activiteiten[[#This Row],[Grondkosten]]=1,Tb_Activiteiten[[#Headers],[Grondkosten]],""))</f>
        <v/>
      </c>
      <c r="AV624" t="str">
        <f>IF(ISNUMBER(FIND("overige",Methode_Keuze)),"",IF(Tb_Activiteiten[[#This Row],[Bijdrage in natura (overige)]]=1,Tb_Activiteiten[[#Headers],[Bijdrage in natura (overige)]],""))</f>
        <v/>
      </c>
      <c r="AW624" t="str">
        <f>IF(ISNUMBER(FIND("overige",Methode_Keuze)),"",IF(Tb_Activiteiten[[#This Row],[Bijdrage in natura (vrijwilligers)]]=1,Tb_Activiteiten[[#Headers],[Bijdrage in natura (vrijwilligers)]],""))</f>
        <v/>
      </c>
      <c r="AX624" t="str">
        <f>IF(ISNUMBER(FIND("overige",Methode_Keuze)),"",IF(Tb_Activiteiten[[#This Row],[Afschrijvingskosten]]=1,Tb_Activiteiten[[#Headers],[Afschrijvingskosten]],""))</f>
        <v/>
      </c>
      <c r="AY624" t="str">
        <f>IF(ISNUMBER(FIND("overige",Methode_Keuze)),"",IF(Tb_Activiteiten[[#This Row],[Vergoeding]]=1,Tb_Activiteiten[[#Headers],[Vergoeding]],""))</f>
        <v/>
      </c>
      <c r="AZ624" t="str">
        <f>IF(ISNUMBER(FIND("arbeid",Methode_Keuze)),"",IF(Tb_Activiteiten[[#This Row],[Arbeidskosten - vast tarief (excl eigen arbeid)]]=1,Tb_Activiteiten[[#Headers],[Arbeidskosten - vast tarief (excl eigen arbeid)]],""))</f>
        <v/>
      </c>
      <c r="BA624" t="str">
        <f>IF(ISNUMBER(FIND("overige",Methode_Keuze)),"",IF(Tb_Activiteiten[[#This Row],[Overige kosten]]=1,Tb_Activiteiten[[#Headers],[Overige kosten]],""))</f>
        <v/>
      </c>
    </row>
    <row r="625" spans="1:53" x14ac:dyDescent="0.25">
      <c r="A625" s="231"/>
      <c r="F625" s="64"/>
      <c r="G625" s="64"/>
      <c r="H625" s="275"/>
      <c r="I625" s="275"/>
      <c r="J625" s="275"/>
      <c r="K625" s="275"/>
      <c r="O625" s="56"/>
      <c r="Q625" t="str">
        <f>IFERROR(IF(VLOOKUP(Tb_Activiteiten[[#This Row],[Openstelling]],Tb_Openstelling[],2,0)=1,1,""),"")</f>
        <v/>
      </c>
      <c r="AK625" t="str">
        <f>IF(ISNUMBER(FIND("arbeid",Methode_Keuze)),"",IF(ISNUMBER(FIND("arbeid",Methode_Keuze)),"",IF(Tb_Activiteiten[[#This Row],[Loonkosten]]=1,Tb_Activiteiten[[#Headers],[Loonkosten]],"")))</f>
        <v/>
      </c>
      <c r="AL625" t="str">
        <f>IF(ISNUMBER(FIND("arbeid",Methode_Keuze)),"",IF(ISNUMBER(FIND("arbeid",Methode_Keuze)),"",IF(Tb_Activiteiten[[#This Row],[Eigen arbeid]]=1,Tb_Activiteiten[[#Headers],[Eigen arbeid]],"")))</f>
        <v/>
      </c>
      <c r="AM625" t="str">
        <f>IF(ISNUMBER(FIND("arbeid",Methode_Keuze)),"",IF(ISNUMBER(FIND("arbeid",Methode_Keuze)),"",IF(Tb_Activiteiten[[#This Row],[Projectmedewerker]]=1,Tb_Activiteiten[[#Headers],[Projectmedewerker]],"")))</f>
        <v/>
      </c>
      <c r="AN625" t="str">
        <f>IF(ISNUMBER(FIND("arbeid",Methode_Keuze)),"",IF(ISNUMBER(FIND("arbeid",Methode_Keuze)),"",IF(Tb_Activiteiten[[#This Row],[Landbouwer]]=1,Tb_Activiteiten[[#Headers],[Landbouwer]],"")))</f>
        <v/>
      </c>
      <c r="AO625" t="str">
        <f>IF(ISNUMBER(FIND("arbeid",Methode_Keuze)),"",IF(ISNUMBER(FIND("arbeid",Methode_Keuze)),"",IF(Tb_Activiteiten[[#This Row],[Adviseur]]=1,Tb_Activiteiten[[#Headers],[Adviseur]],"")))</f>
        <v/>
      </c>
      <c r="AP625" t="str">
        <f>IF(ISNUMBER(FIND("arbeid",Methode_Keuze)),"",IF(ISNUMBER(FIND("arbeid",Methode_Keuze)),"",IF(Tb_Activiteiten[[#This Row],[Projectleider/Expert]]=1,Tb_Activiteiten[[#Headers],[Projectleider/Expert]],"")))</f>
        <v/>
      </c>
      <c r="AQ625" t="str">
        <f>IF(ISNUMBER(FIND("arbeid",Methode_Keuze)),"",IF(ISNUMBER(FIND("arbeid",Methode_Keuze)),"",IF(Tb_Activiteiten[[#This Row],[Arbeidskosten]]=1,Tb_Activiteiten[[#Headers],[Arbeidskosten]],"")))</f>
        <v/>
      </c>
      <c r="AR625" t="str">
        <f>IF(ISNUMBER(FIND("arbeid",Methode_Keuze)),"",IF(ISNUMBER(FIND("arbeid",Methode_Keuze)),"",IF(Tb_Activiteiten[[#This Row],[Arbeidskosten op basis van IKS]]=1,Tb_Activiteiten[[#Headers],[Arbeidskosten op basis van IKS]],"")))</f>
        <v/>
      </c>
      <c r="AS625" t="str">
        <f>IF(ISNUMBER(FIND("overige",Methode_Keuze)),"",IF(Tb_Activiteiten[[#This Row],[Kosten derden exclusief btw]]=1,Tb_Activiteiten[[#Headers],[Kosten derden exclusief btw]],""))</f>
        <v/>
      </c>
      <c r="AT625" t="str">
        <f>IF(ISNUMBER(FIND("overige",Methode_Keuze)),"",IF(Tb_Activiteiten[[#This Row],[Niet verrekenbare btw]]=1,Tb_Activiteiten[[#Headers],[Niet verrekenbare btw]],""))</f>
        <v/>
      </c>
      <c r="AU625" t="str">
        <f>IF(ISNUMBER(FIND("overige",Methode_Keuze)),"",IF(Tb_Activiteiten[[#This Row],[Grondkosten]]=1,Tb_Activiteiten[[#Headers],[Grondkosten]],""))</f>
        <v/>
      </c>
      <c r="AV625" t="str">
        <f>IF(ISNUMBER(FIND("overige",Methode_Keuze)),"",IF(Tb_Activiteiten[[#This Row],[Bijdrage in natura (overige)]]=1,Tb_Activiteiten[[#Headers],[Bijdrage in natura (overige)]],""))</f>
        <v/>
      </c>
      <c r="AW625" t="str">
        <f>IF(ISNUMBER(FIND("overige",Methode_Keuze)),"",IF(Tb_Activiteiten[[#This Row],[Bijdrage in natura (vrijwilligers)]]=1,Tb_Activiteiten[[#Headers],[Bijdrage in natura (vrijwilligers)]],""))</f>
        <v/>
      </c>
      <c r="AX625" t="str">
        <f>IF(ISNUMBER(FIND("overige",Methode_Keuze)),"",IF(Tb_Activiteiten[[#This Row],[Afschrijvingskosten]]=1,Tb_Activiteiten[[#Headers],[Afschrijvingskosten]],""))</f>
        <v/>
      </c>
      <c r="AY625" t="str">
        <f>IF(ISNUMBER(FIND("overige",Methode_Keuze)),"",IF(Tb_Activiteiten[[#This Row],[Vergoeding]]=1,Tb_Activiteiten[[#Headers],[Vergoeding]],""))</f>
        <v/>
      </c>
      <c r="AZ625" t="str">
        <f>IF(ISNUMBER(FIND("arbeid",Methode_Keuze)),"",IF(Tb_Activiteiten[[#This Row],[Arbeidskosten - vast tarief (excl eigen arbeid)]]=1,Tb_Activiteiten[[#Headers],[Arbeidskosten - vast tarief (excl eigen arbeid)]],""))</f>
        <v/>
      </c>
      <c r="BA625" t="str">
        <f>IF(ISNUMBER(FIND("overige",Methode_Keuze)),"",IF(Tb_Activiteiten[[#This Row],[Overige kosten]]=1,Tb_Activiteiten[[#Headers],[Overige kosten]],""))</f>
        <v/>
      </c>
    </row>
    <row r="626" spans="1:53" x14ac:dyDescent="0.25">
      <c r="A626" s="231"/>
      <c r="F626" s="64"/>
      <c r="G626" s="64"/>
      <c r="H626" s="275"/>
      <c r="I626" s="275"/>
      <c r="J626" s="275"/>
      <c r="K626" s="275"/>
      <c r="O626" s="56"/>
      <c r="Q626" t="str">
        <f>IFERROR(IF(VLOOKUP(Tb_Activiteiten[[#This Row],[Openstelling]],Tb_Openstelling[],2,0)=1,1,""),"")</f>
        <v/>
      </c>
      <c r="AK626" t="str">
        <f>IF(ISNUMBER(FIND("arbeid",Methode_Keuze)),"",IF(ISNUMBER(FIND("arbeid",Methode_Keuze)),"",IF(Tb_Activiteiten[[#This Row],[Loonkosten]]=1,Tb_Activiteiten[[#Headers],[Loonkosten]],"")))</f>
        <v/>
      </c>
      <c r="AL626" t="str">
        <f>IF(ISNUMBER(FIND("arbeid",Methode_Keuze)),"",IF(ISNUMBER(FIND("arbeid",Methode_Keuze)),"",IF(Tb_Activiteiten[[#This Row],[Eigen arbeid]]=1,Tb_Activiteiten[[#Headers],[Eigen arbeid]],"")))</f>
        <v/>
      </c>
      <c r="AM626" t="str">
        <f>IF(ISNUMBER(FIND("arbeid",Methode_Keuze)),"",IF(ISNUMBER(FIND("arbeid",Methode_Keuze)),"",IF(Tb_Activiteiten[[#This Row],[Projectmedewerker]]=1,Tb_Activiteiten[[#Headers],[Projectmedewerker]],"")))</f>
        <v/>
      </c>
      <c r="AN626" t="str">
        <f>IF(ISNUMBER(FIND("arbeid",Methode_Keuze)),"",IF(ISNUMBER(FIND("arbeid",Methode_Keuze)),"",IF(Tb_Activiteiten[[#This Row],[Landbouwer]]=1,Tb_Activiteiten[[#Headers],[Landbouwer]],"")))</f>
        <v/>
      </c>
      <c r="AO626" t="str">
        <f>IF(ISNUMBER(FIND("arbeid",Methode_Keuze)),"",IF(ISNUMBER(FIND("arbeid",Methode_Keuze)),"",IF(Tb_Activiteiten[[#This Row],[Adviseur]]=1,Tb_Activiteiten[[#Headers],[Adviseur]],"")))</f>
        <v/>
      </c>
      <c r="AP626" t="str">
        <f>IF(ISNUMBER(FIND("arbeid",Methode_Keuze)),"",IF(ISNUMBER(FIND("arbeid",Methode_Keuze)),"",IF(Tb_Activiteiten[[#This Row],[Projectleider/Expert]]=1,Tb_Activiteiten[[#Headers],[Projectleider/Expert]],"")))</f>
        <v/>
      </c>
      <c r="AQ626" t="str">
        <f>IF(ISNUMBER(FIND("arbeid",Methode_Keuze)),"",IF(ISNUMBER(FIND("arbeid",Methode_Keuze)),"",IF(Tb_Activiteiten[[#This Row],[Arbeidskosten]]=1,Tb_Activiteiten[[#Headers],[Arbeidskosten]],"")))</f>
        <v/>
      </c>
      <c r="AR626" t="str">
        <f>IF(ISNUMBER(FIND("arbeid",Methode_Keuze)),"",IF(ISNUMBER(FIND("arbeid",Methode_Keuze)),"",IF(Tb_Activiteiten[[#This Row],[Arbeidskosten op basis van IKS]]=1,Tb_Activiteiten[[#Headers],[Arbeidskosten op basis van IKS]],"")))</f>
        <v/>
      </c>
      <c r="AS626" t="str">
        <f>IF(ISNUMBER(FIND("overige",Methode_Keuze)),"",IF(Tb_Activiteiten[[#This Row],[Kosten derden exclusief btw]]=1,Tb_Activiteiten[[#Headers],[Kosten derden exclusief btw]],""))</f>
        <v/>
      </c>
      <c r="AT626" t="str">
        <f>IF(ISNUMBER(FIND("overige",Methode_Keuze)),"",IF(Tb_Activiteiten[[#This Row],[Niet verrekenbare btw]]=1,Tb_Activiteiten[[#Headers],[Niet verrekenbare btw]],""))</f>
        <v/>
      </c>
      <c r="AU626" t="str">
        <f>IF(ISNUMBER(FIND("overige",Methode_Keuze)),"",IF(Tb_Activiteiten[[#This Row],[Grondkosten]]=1,Tb_Activiteiten[[#Headers],[Grondkosten]],""))</f>
        <v/>
      </c>
      <c r="AV626" t="str">
        <f>IF(ISNUMBER(FIND("overige",Methode_Keuze)),"",IF(Tb_Activiteiten[[#This Row],[Bijdrage in natura (overige)]]=1,Tb_Activiteiten[[#Headers],[Bijdrage in natura (overige)]],""))</f>
        <v/>
      </c>
      <c r="AW626" t="str">
        <f>IF(ISNUMBER(FIND("overige",Methode_Keuze)),"",IF(Tb_Activiteiten[[#This Row],[Bijdrage in natura (vrijwilligers)]]=1,Tb_Activiteiten[[#Headers],[Bijdrage in natura (vrijwilligers)]],""))</f>
        <v/>
      </c>
      <c r="AX626" t="str">
        <f>IF(ISNUMBER(FIND("overige",Methode_Keuze)),"",IF(Tb_Activiteiten[[#This Row],[Afschrijvingskosten]]=1,Tb_Activiteiten[[#Headers],[Afschrijvingskosten]],""))</f>
        <v/>
      </c>
      <c r="AY626" t="str">
        <f>IF(ISNUMBER(FIND("overige",Methode_Keuze)),"",IF(Tb_Activiteiten[[#This Row],[Vergoeding]]=1,Tb_Activiteiten[[#Headers],[Vergoeding]],""))</f>
        <v/>
      </c>
      <c r="AZ626" t="str">
        <f>IF(ISNUMBER(FIND("arbeid",Methode_Keuze)),"",IF(Tb_Activiteiten[[#This Row],[Arbeidskosten - vast tarief (excl eigen arbeid)]]=1,Tb_Activiteiten[[#Headers],[Arbeidskosten - vast tarief (excl eigen arbeid)]],""))</f>
        <v/>
      </c>
      <c r="BA626" t="str">
        <f>IF(ISNUMBER(FIND("overige",Methode_Keuze)),"",IF(Tb_Activiteiten[[#This Row],[Overige kosten]]=1,Tb_Activiteiten[[#Headers],[Overige kosten]],""))</f>
        <v/>
      </c>
    </row>
    <row r="627" spans="1:53" x14ac:dyDescent="0.25">
      <c r="A627" s="231"/>
      <c r="F627" s="64"/>
      <c r="G627" s="64"/>
      <c r="H627" s="275"/>
      <c r="I627" s="275"/>
      <c r="J627" s="275"/>
      <c r="K627" s="275"/>
      <c r="O627" s="56"/>
      <c r="Q627" t="str">
        <f>IFERROR(IF(VLOOKUP(Tb_Activiteiten[[#This Row],[Openstelling]],Tb_Openstelling[],2,0)=1,1,""),"")</f>
        <v/>
      </c>
      <c r="AK627" t="str">
        <f>IF(ISNUMBER(FIND("arbeid",Methode_Keuze)),"",IF(ISNUMBER(FIND("arbeid",Methode_Keuze)),"",IF(Tb_Activiteiten[[#This Row],[Loonkosten]]=1,Tb_Activiteiten[[#Headers],[Loonkosten]],"")))</f>
        <v/>
      </c>
      <c r="AL627" t="str">
        <f>IF(ISNUMBER(FIND("arbeid",Methode_Keuze)),"",IF(ISNUMBER(FIND("arbeid",Methode_Keuze)),"",IF(Tb_Activiteiten[[#This Row],[Eigen arbeid]]=1,Tb_Activiteiten[[#Headers],[Eigen arbeid]],"")))</f>
        <v/>
      </c>
      <c r="AM627" t="str">
        <f>IF(ISNUMBER(FIND("arbeid",Methode_Keuze)),"",IF(ISNUMBER(FIND("arbeid",Methode_Keuze)),"",IF(Tb_Activiteiten[[#This Row],[Projectmedewerker]]=1,Tb_Activiteiten[[#Headers],[Projectmedewerker]],"")))</f>
        <v/>
      </c>
      <c r="AN627" t="str">
        <f>IF(ISNUMBER(FIND("arbeid",Methode_Keuze)),"",IF(ISNUMBER(FIND("arbeid",Methode_Keuze)),"",IF(Tb_Activiteiten[[#This Row],[Landbouwer]]=1,Tb_Activiteiten[[#Headers],[Landbouwer]],"")))</f>
        <v/>
      </c>
      <c r="AO627" t="str">
        <f>IF(ISNUMBER(FIND("arbeid",Methode_Keuze)),"",IF(ISNUMBER(FIND("arbeid",Methode_Keuze)),"",IF(Tb_Activiteiten[[#This Row],[Adviseur]]=1,Tb_Activiteiten[[#Headers],[Adviseur]],"")))</f>
        <v/>
      </c>
      <c r="AP627" t="str">
        <f>IF(ISNUMBER(FIND("arbeid",Methode_Keuze)),"",IF(ISNUMBER(FIND("arbeid",Methode_Keuze)),"",IF(Tb_Activiteiten[[#This Row],[Projectleider/Expert]]=1,Tb_Activiteiten[[#Headers],[Projectleider/Expert]],"")))</f>
        <v/>
      </c>
      <c r="AQ627" t="str">
        <f>IF(ISNUMBER(FIND("arbeid",Methode_Keuze)),"",IF(ISNUMBER(FIND("arbeid",Methode_Keuze)),"",IF(Tb_Activiteiten[[#This Row],[Arbeidskosten]]=1,Tb_Activiteiten[[#Headers],[Arbeidskosten]],"")))</f>
        <v/>
      </c>
      <c r="AR627" t="str">
        <f>IF(ISNUMBER(FIND("arbeid",Methode_Keuze)),"",IF(ISNUMBER(FIND("arbeid",Methode_Keuze)),"",IF(Tb_Activiteiten[[#This Row],[Arbeidskosten op basis van IKS]]=1,Tb_Activiteiten[[#Headers],[Arbeidskosten op basis van IKS]],"")))</f>
        <v/>
      </c>
      <c r="AS627" t="str">
        <f>IF(ISNUMBER(FIND("overige",Methode_Keuze)),"",IF(Tb_Activiteiten[[#This Row],[Kosten derden exclusief btw]]=1,Tb_Activiteiten[[#Headers],[Kosten derden exclusief btw]],""))</f>
        <v/>
      </c>
      <c r="AT627" t="str">
        <f>IF(ISNUMBER(FIND("overige",Methode_Keuze)),"",IF(Tb_Activiteiten[[#This Row],[Niet verrekenbare btw]]=1,Tb_Activiteiten[[#Headers],[Niet verrekenbare btw]],""))</f>
        <v/>
      </c>
      <c r="AU627" t="str">
        <f>IF(ISNUMBER(FIND("overige",Methode_Keuze)),"",IF(Tb_Activiteiten[[#This Row],[Grondkosten]]=1,Tb_Activiteiten[[#Headers],[Grondkosten]],""))</f>
        <v/>
      </c>
      <c r="AV627" t="str">
        <f>IF(ISNUMBER(FIND("overige",Methode_Keuze)),"",IF(Tb_Activiteiten[[#This Row],[Bijdrage in natura (overige)]]=1,Tb_Activiteiten[[#Headers],[Bijdrage in natura (overige)]],""))</f>
        <v/>
      </c>
      <c r="AW627" t="str">
        <f>IF(ISNUMBER(FIND("overige",Methode_Keuze)),"",IF(Tb_Activiteiten[[#This Row],[Bijdrage in natura (vrijwilligers)]]=1,Tb_Activiteiten[[#Headers],[Bijdrage in natura (vrijwilligers)]],""))</f>
        <v/>
      </c>
      <c r="AX627" t="str">
        <f>IF(ISNUMBER(FIND("overige",Methode_Keuze)),"",IF(Tb_Activiteiten[[#This Row],[Afschrijvingskosten]]=1,Tb_Activiteiten[[#Headers],[Afschrijvingskosten]],""))</f>
        <v/>
      </c>
      <c r="AY627" t="str">
        <f>IF(ISNUMBER(FIND("overige",Methode_Keuze)),"",IF(Tb_Activiteiten[[#This Row],[Vergoeding]]=1,Tb_Activiteiten[[#Headers],[Vergoeding]],""))</f>
        <v/>
      </c>
      <c r="AZ627" t="str">
        <f>IF(ISNUMBER(FIND("arbeid",Methode_Keuze)),"",IF(Tb_Activiteiten[[#This Row],[Arbeidskosten - vast tarief (excl eigen arbeid)]]=1,Tb_Activiteiten[[#Headers],[Arbeidskosten - vast tarief (excl eigen arbeid)]],""))</f>
        <v/>
      </c>
      <c r="BA627" t="str">
        <f>IF(ISNUMBER(FIND("overige",Methode_Keuze)),"",IF(Tb_Activiteiten[[#This Row],[Overige kosten]]=1,Tb_Activiteiten[[#Headers],[Overige kosten]],""))</f>
        <v/>
      </c>
    </row>
    <row r="628" spans="1:53" x14ac:dyDescent="0.25">
      <c r="A628" s="231"/>
      <c r="F628" s="64"/>
      <c r="G628" s="64"/>
      <c r="H628" s="275"/>
      <c r="I628" s="275"/>
      <c r="J628" s="275"/>
      <c r="K628" s="275"/>
      <c r="O628" s="56"/>
      <c r="Q628" t="str">
        <f>IFERROR(IF(VLOOKUP(Tb_Activiteiten[[#This Row],[Openstelling]],Tb_Openstelling[],2,0)=1,1,""),"")</f>
        <v/>
      </c>
      <c r="AK628" t="str">
        <f>IF(ISNUMBER(FIND("arbeid",Methode_Keuze)),"",IF(ISNUMBER(FIND("arbeid",Methode_Keuze)),"",IF(Tb_Activiteiten[[#This Row],[Loonkosten]]=1,Tb_Activiteiten[[#Headers],[Loonkosten]],"")))</f>
        <v/>
      </c>
      <c r="AL628" t="str">
        <f>IF(ISNUMBER(FIND("arbeid",Methode_Keuze)),"",IF(ISNUMBER(FIND("arbeid",Methode_Keuze)),"",IF(Tb_Activiteiten[[#This Row],[Eigen arbeid]]=1,Tb_Activiteiten[[#Headers],[Eigen arbeid]],"")))</f>
        <v/>
      </c>
      <c r="AM628" t="str">
        <f>IF(ISNUMBER(FIND("arbeid",Methode_Keuze)),"",IF(ISNUMBER(FIND("arbeid",Methode_Keuze)),"",IF(Tb_Activiteiten[[#This Row],[Projectmedewerker]]=1,Tb_Activiteiten[[#Headers],[Projectmedewerker]],"")))</f>
        <v/>
      </c>
      <c r="AN628" t="str">
        <f>IF(ISNUMBER(FIND("arbeid",Methode_Keuze)),"",IF(ISNUMBER(FIND("arbeid",Methode_Keuze)),"",IF(Tb_Activiteiten[[#This Row],[Landbouwer]]=1,Tb_Activiteiten[[#Headers],[Landbouwer]],"")))</f>
        <v/>
      </c>
      <c r="AO628" t="str">
        <f>IF(ISNUMBER(FIND("arbeid",Methode_Keuze)),"",IF(ISNUMBER(FIND("arbeid",Methode_Keuze)),"",IF(Tb_Activiteiten[[#This Row],[Adviseur]]=1,Tb_Activiteiten[[#Headers],[Adviseur]],"")))</f>
        <v/>
      </c>
      <c r="AP628" t="str">
        <f>IF(ISNUMBER(FIND("arbeid",Methode_Keuze)),"",IF(ISNUMBER(FIND("arbeid",Methode_Keuze)),"",IF(Tb_Activiteiten[[#This Row],[Projectleider/Expert]]=1,Tb_Activiteiten[[#Headers],[Projectleider/Expert]],"")))</f>
        <v/>
      </c>
      <c r="AQ628" t="str">
        <f>IF(ISNUMBER(FIND("arbeid",Methode_Keuze)),"",IF(ISNUMBER(FIND("arbeid",Methode_Keuze)),"",IF(Tb_Activiteiten[[#This Row],[Arbeidskosten]]=1,Tb_Activiteiten[[#Headers],[Arbeidskosten]],"")))</f>
        <v/>
      </c>
      <c r="AR628" t="str">
        <f>IF(ISNUMBER(FIND("arbeid",Methode_Keuze)),"",IF(ISNUMBER(FIND("arbeid",Methode_Keuze)),"",IF(Tb_Activiteiten[[#This Row],[Arbeidskosten op basis van IKS]]=1,Tb_Activiteiten[[#Headers],[Arbeidskosten op basis van IKS]],"")))</f>
        <v/>
      </c>
      <c r="AS628" t="str">
        <f>IF(ISNUMBER(FIND("overige",Methode_Keuze)),"",IF(Tb_Activiteiten[[#This Row],[Kosten derden exclusief btw]]=1,Tb_Activiteiten[[#Headers],[Kosten derden exclusief btw]],""))</f>
        <v/>
      </c>
      <c r="AT628" t="str">
        <f>IF(ISNUMBER(FIND("overige",Methode_Keuze)),"",IF(Tb_Activiteiten[[#This Row],[Niet verrekenbare btw]]=1,Tb_Activiteiten[[#Headers],[Niet verrekenbare btw]],""))</f>
        <v/>
      </c>
      <c r="AU628" t="str">
        <f>IF(ISNUMBER(FIND("overige",Methode_Keuze)),"",IF(Tb_Activiteiten[[#This Row],[Grondkosten]]=1,Tb_Activiteiten[[#Headers],[Grondkosten]],""))</f>
        <v/>
      </c>
      <c r="AV628" t="str">
        <f>IF(ISNUMBER(FIND("overige",Methode_Keuze)),"",IF(Tb_Activiteiten[[#This Row],[Bijdrage in natura (overige)]]=1,Tb_Activiteiten[[#Headers],[Bijdrage in natura (overige)]],""))</f>
        <v/>
      </c>
      <c r="AW628" t="str">
        <f>IF(ISNUMBER(FIND("overige",Methode_Keuze)),"",IF(Tb_Activiteiten[[#This Row],[Bijdrage in natura (vrijwilligers)]]=1,Tb_Activiteiten[[#Headers],[Bijdrage in natura (vrijwilligers)]],""))</f>
        <v/>
      </c>
      <c r="AX628" t="str">
        <f>IF(ISNUMBER(FIND("overige",Methode_Keuze)),"",IF(Tb_Activiteiten[[#This Row],[Afschrijvingskosten]]=1,Tb_Activiteiten[[#Headers],[Afschrijvingskosten]],""))</f>
        <v/>
      </c>
      <c r="AY628" t="str">
        <f>IF(ISNUMBER(FIND("overige",Methode_Keuze)),"",IF(Tb_Activiteiten[[#This Row],[Vergoeding]]=1,Tb_Activiteiten[[#Headers],[Vergoeding]],""))</f>
        <v/>
      </c>
      <c r="AZ628" t="str">
        <f>IF(ISNUMBER(FIND("arbeid",Methode_Keuze)),"",IF(Tb_Activiteiten[[#This Row],[Arbeidskosten - vast tarief (excl eigen arbeid)]]=1,Tb_Activiteiten[[#Headers],[Arbeidskosten - vast tarief (excl eigen arbeid)]],""))</f>
        <v/>
      </c>
      <c r="BA628" t="str">
        <f>IF(ISNUMBER(FIND("overige",Methode_Keuze)),"",IF(Tb_Activiteiten[[#This Row],[Overige kosten]]=1,Tb_Activiteiten[[#Headers],[Overige kosten]],""))</f>
        <v/>
      </c>
    </row>
    <row r="629" spans="1:53" x14ac:dyDescent="0.25">
      <c r="A629" s="231"/>
      <c r="F629" s="64"/>
      <c r="G629" s="64"/>
      <c r="H629" s="275"/>
      <c r="I629" s="275"/>
      <c r="J629" s="275"/>
      <c r="K629" s="275"/>
      <c r="O629" s="56"/>
      <c r="Q629" t="str">
        <f>IFERROR(IF(VLOOKUP(Tb_Activiteiten[[#This Row],[Openstelling]],Tb_Openstelling[],2,0)=1,1,""),"")</f>
        <v/>
      </c>
      <c r="AK629" t="str">
        <f>IF(ISNUMBER(FIND("arbeid",Methode_Keuze)),"",IF(ISNUMBER(FIND("arbeid",Methode_Keuze)),"",IF(Tb_Activiteiten[[#This Row],[Loonkosten]]=1,Tb_Activiteiten[[#Headers],[Loonkosten]],"")))</f>
        <v/>
      </c>
      <c r="AL629" t="str">
        <f>IF(ISNUMBER(FIND("arbeid",Methode_Keuze)),"",IF(ISNUMBER(FIND("arbeid",Methode_Keuze)),"",IF(Tb_Activiteiten[[#This Row],[Eigen arbeid]]=1,Tb_Activiteiten[[#Headers],[Eigen arbeid]],"")))</f>
        <v/>
      </c>
      <c r="AM629" t="str">
        <f>IF(ISNUMBER(FIND("arbeid",Methode_Keuze)),"",IF(ISNUMBER(FIND("arbeid",Methode_Keuze)),"",IF(Tb_Activiteiten[[#This Row],[Projectmedewerker]]=1,Tb_Activiteiten[[#Headers],[Projectmedewerker]],"")))</f>
        <v/>
      </c>
      <c r="AN629" t="str">
        <f>IF(ISNUMBER(FIND("arbeid",Methode_Keuze)),"",IF(ISNUMBER(FIND("arbeid",Methode_Keuze)),"",IF(Tb_Activiteiten[[#This Row],[Landbouwer]]=1,Tb_Activiteiten[[#Headers],[Landbouwer]],"")))</f>
        <v/>
      </c>
      <c r="AO629" t="str">
        <f>IF(ISNUMBER(FIND("arbeid",Methode_Keuze)),"",IF(ISNUMBER(FIND("arbeid",Methode_Keuze)),"",IF(Tb_Activiteiten[[#This Row],[Adviseur]]=1,Tb_Activiteiten[[#Headers],[Adviseur]],"")))</f>
        <v/>
      </c>
      <c r="AP629" t="str">
        <f>IF(ISNUMBER(FIND("arbeid",Methode_Keuze)),"",IF(ISNUMBER(FIND("arbeid",Methode_Keuze)),"",IF(Tb_Activiteiten[[#This Row],[Projectleider/Expert]]=1,Tb_Activiteiten[[#Headers],[Projectleider/Expert]],"")))</f>
        <v/>
      </c>
      <c r="AQ629" t="str">
        <f>IF(ISNUMBER(FIND("arbeid",Methode_Keuze)),"",IF(ISNUMBER(FIND("arbeid",Methode_Keuze)),"",IF(Tb_Activiteiten[[#This Row],[Arbeidskosten]]=1,Tb_Activiteiten[[#Headers],[Arbeidskosten]],"")))</f>
        <v/>
      </c>
      <c r="AR629" t="str">
        <f>IF(ISNUMBER(FIND("arbeid",Methode_Keuze)),"",IF(ISNUMBER(FIND("arbeid",Methode_Keuze)),"",IF(Tb_Activiteiten[[#This Row],[Arbeidskosten op basis van IKS]]=1,Tb_Activiteiten[[#Headers],[Arbeidskosten op basis van IKS]],"")))</f>
        <v/>
      </c>
      <c r="AS629" t="str">
        <f>IF(ISNUMBER(FIND("overige",Methode_Keuze)),"",IF(Tb_Activiteiten[[#This Row],[Kosten derden exclusief btw]]=1,Tb_Activiteiten[[#Headers],[Kosten derden exclusief btw]],""))</f>
        <v/>
      </c>
      <c r="AT629" t="str">
        <f>IF(ISNUMBER(FIND("overige",Methode_Keuze)),"",IF(Tb_Activiteiten[[#This Row],[Niet verrekenbare btw]]=1,Tb_Activiteiten[[#Headers],[Niet verrekenbare btw]],""))</f>
        <v/>
      </c>
      <c r="AU629" t="str">
        <f>IF(ISNUMBER(FIND("overige",Methode_Keuze)),"",IF(Tb_Activiteiten[[#This Row],[Grondkosten]]=1,Tb_Activiteiten[[#Headers],[Grondkosten]],""))</f>
        <v/>
      </c>
      <c r="AV629" t="str">
        <f>IF(ISNUMBER(FIND("overige",Methode_Keuze)),"",IF(Tb_Activiteiten[[#This Row],[Bijdrage in natura (overige)]]=1,Tb_Activiteiten[[#Headers],[Bijdrage in natura (overige)]],""))</f>
        <v/>
      </c>
      <c r="AW629" t="str">
        <f>IF(ISNUMBER(FIND("overige",Methode_Keuze)),"",IF(Tb_Activiteiten[[#This Row],[Bijdrage in natura (vrijwilligers)]]=1,Tb_Activiteiten[[#Headers],[Bijdrage in natura (vrijwilligers)]],""))</f>
        <v/>
      </c>
      <c r="AX629" t="str">
        <f>IF(ISNUMBER(FIND("overige",Methode_Keuze)),"",IF(Tb_Activiteiten[[#This Row],[Afschrijvingskosten]]=1,Tb_Activiteiten[[#Headers],[Afschrijvingskosten]],""))</f>
        <v/>
      </c>
      <c r="AY629" t="str">
        <f>IF(ISNUMBER(FIND("overige",Methode_Keuze)),"",IF(Tb_Activiteiten[[#This Row],[Vergoeding]]=1,Tb_Activiteiten[[#Headers],[Vergoeding]],""))</f>
        <v/>
      </c>
      <c r="AZ629" t="str">
        <f>IF(ISNUMBER(FIND("arbeid",Methode_Keuze)),"",IF(Tb_Activiteiten[[#This Row],[Arbeidskosten - vast tarief (excl eigen arbeid)]]=1,Tb_Activiteiten[[#Headers],[Arbeidskosten - vast tarief (excl eigen arbeid)]],""))</f>
        <v/>
      </c>
      <c r="BA629" t="str">
        <f>IF(ISNUMBER(FIND("overige",Methode_Keuze)),"",IF(Tb_Activiteiten[[#This Row],[Overige kosten]]=1,Tb_Activiteiten[[#Headers],[Overige kosten]],""))</f>
        <v/>
      </c>
    </row>
    <row r="630" spans="1:53" x14ac:dyDescent="0.25">
      <c r="A630" s="231"/>
      <c r="F630" s="64"/>
      <c r="G630" s="64"/>
      <c r="H630" s="275"/>
      <c r="I630" s="275"/>
      <c r="J630" s="275"/>
      <c r="K630" s="275"/>
      <c r="O630" s="56"/>
      <c r="Q630" t="str">
        <f>IFERROR(IF(VLOOKUP(Tb_Activiteiten[[#This Row],[Openstelling]],Tb_Openstelling[],2,0)=1,1,""),"")</f>
        <v/>
      </c>
      <c r="AK630" t="str">
        <f>IF(ISNUMBER(FIND("arbeid",Methode_Keuze)),"",IF(ISNUMBER(FIND("arbeid",Methode_Keuze)),"",IF(Tb_Activiteiten[[#This Row],[Loonkosten]]=1,Tb_Activiteiten[[#Headers],[Loonkosten]],"")))</f>
        <v/>
      </c>
      <c r="AL630" t="str">
        <f>IF(ISNUMBER(FIND("arbeid",Methode_Keuze)),"",IF(ISNUMBER(FIND("arbeid",Methode_Keuze)),"",IF(Tb_Activiteiten[[#This Row],[Eigen arbeid]]=1,Tb_Activiteiten[[#Headers],[Eigen arbeid]],"")))</f>
        <v/>
      </c>
      <c r="AM630" t="str">
        <f>IF(ISNUMBER(FIND("arbeid",Methode_Keuze)),"",IF(ISNUMBER(FIND("arbeid",Methode_Keuze)),"",IF(Tb_Activiteiten[[#This Row],[Projectmedewerker]]=1,Tb_Activiteiten[[#Headers],[Projectmedewerker]],"")))</f>
        <v/>
      </c>
      <c r="AN630" t="str">
        <f>IF(ISNUMBER(FIND("arbeid",Methode_Keuze)),"",IF(ISNUMBER(FIND("arbeid",Methode_Keuze)),"",IF(Tb_Activiteiten[[#This Row],[Landbouwer]]=1,Tb_Activiteiten[[#Headers],[Landbouwer]],"")))</f>
        <v/>
      </c>
      <c r="AO630" t="str">
        <f>IF(ISNUMBER(FIND("arbeid",Methode_Keuze)),"",IF(ISNUMBER(FIND("arbeid",Methode_Keuze)),"",IF(Tb_Activiteiten[[#This Row],[Adviseur]]=1,Tb_Activiteiten[[#Headers],[Adviseur]],"")))</f>
        <v/>
      </c>
      <c r="AP630" t="str">
        <f>IF(ISNUMBER(FIND("arbeid",Methode_Keuze)),"",IF(ISNUMBER(FIND("arbeid",Methode_Keuze)),"",IF(Tb_Activiteiten[[#This Row],[Projectleider/Expert]]=1,Tb_Activiteiten[[#Headers],[Projectleider/Expert]],"")))</f>
        <v/>
      </c>
      <c r="AQ630" t="str">
        <f>IF(ISNUMBER(FIND("arbeid",Methode_Keuze)),"",IF(ISNUMBER(FIND("arbeid",Methode_Keuze)),"",IF(Tb_Activiteiten[[#This Row],[Arbeidskosten]]=1,Tb_Activiteiten[[#Headers],[Arbeidskosten]],"")))</f>
        <v/>
      </c>
      <c r="AR630" t="str">
        <f>IF(ISNUMBER(FIND("arbeid",Methode_Keuze)),"",IF(ISNUMBER(FIND("arbeid",Methode_Keuze)),"",IF(Tb_Activiteiten[[#This Row],[Arbeidskosten op basis van IKS]]=1,Tb_Activiteiten[[#Headers],[Arbeidskosten op basis van IKS]],"")))</f>
        <v/>
      </c>
      <c r="AS630" t="str">
        <f>IF(ISNUMBER(FIND("overige",Methode_Keuze)),"",IF(Tb_Activiteiten[[#This Row],[Kosten derden exclusief btw]]=1,Tb_Activiteiten[[#Headers],[Kosten derden exclusief btw]],""))</f>
        <v/>
      </c>
      <c r="AT630" t="str">
        <f>IF(ISNUMBER(FIND("overige",Methode_Keuze)),"",IF(Tb_Activiteiten[[#This Row],[Niet verrekenbare btw]]=1,Tb_Activiteiten[[#Headers],[Niet verrekenbare btw]],""))</f>
        <v/>
      </c>
      <c r="AU630" t="str">
        <f>IF(ISNUMBER(FIND("overige",Methode_Keuze)),"",IF(Tb_Activiteiten[[#This Row],[Grondkosten]]=1,Tb_Activiteiten[[#Headers],[Grondkosten]],""))</f>
        <v/>
      </c>
      <c r="AV630" t="str">
        <f>IF(ISNUMBER(FIND("overige",Methode_Keuze)),"",IF(Tb_Activiteiten[[#This Row],[Bijdrage in natura (overige)]]=1,Tb_Activiteiten[[#Headers],[Bijdrage in natura (overige)]],""))</f>
        <v/>
      </c>
      <c r="AW630" t="str">
        <f>IF(ISNUMBER(FIND("overige",Methode_Keuze)),"",IF(Tb_Activiteiten[[#This Row],[Bijdrage in natura (vrijwilligers)]]=1,Tb_Activiteiten[[#Headers],[Bijdrage in natura (vrijwilligers)]],""))</f>
        <v/>
      </c>
      <c r="AX630" t="str">
        <f>IF(ISNUMBER(FIND("overige",Methode_Keuze)),"",IF(Tb_Activiteiten[[#This Row],[Afschrijvingskosten]]=1,Tb_Activiteiten[[#Headers],[Afschrijvingskosten]],""))</f>
        <v/>
      </c>
      <c r="AY630" t="str">
        <f>IF(ISNUMBER(FIND("overige",Methode_Keuze)),"",IF(Tb_Activiteiten[[#This Row],[Vergoeding]]=1,Tb_Activiteiten[[#Headers],[Vergoeding]],""))</f>
        <v/>
      </c>
      <c r="AZ630" t="str">
        <f>IF(ISNUMBER(FIND("arbeid",Methode_Keuze)),"",IF(Tb_Activiteiten[[#This Row],[Arbeidskosten - vast tarief (excl eigen arbeid)]]=1,Tb_Activiteiten[[#Headers],[Arbeidskosten - vast tarief (excl eigen arbeid)]],""))</f>
        <v/>
      </c>
      <c r="BA630" t="str">
        <f>IF(ISNUMBER(FIND("overige",Methode_Keuze)),"",IF(Tb_Activiteiten[[#This Row],[Overige kosten]]=1,Tb_Activiteiten[[#Headers],[Overige kosten]],""))</f>
        <v/>
      </c>
    </row>
    <row r="631" spans="1:53" x14ac:dyDescent="0.25">
      <c r="A631" s="231"/>
      <c r="F631" s="64"/>
      <c r="G631" s="64"/>
      <c r="H631" s="275"/>
      <c r="I631" s="275"/>
      <c r="J631" s="275"/>
      <c r="K631" s="275"/>
      <c r="O631" s="56"/>
      <c r="Q631" t="str">
        <f>IFERROR(IF(VLOOKUP(Tb_Activiteiten[[#This Row],[Openstelling]],Tb_Openstelling[],2,0)=1,1,""),"")</f>
        <v/>
      </c>
      <c r="AK631" t="str">
        <f>IF(ISNUMBER(FIND("arbeid",Methode_Keuze)),"",IF(ISNUMBER(FIND("arbeid",Methode_Keuze)),"",IF(Tb_Activiteiten[[#This Row],[Loonkosten]]=1,Tb_Activiteiten[[#Headers],[Loonkosten]],"")))</f>
        <v/>
      </c>
      <c r="AL631" t="str">
        <f>IF(ISNUMBER(FIND("arbeid",Methode_Keuze)),"",IF(ISNUMBER(FIND("arbeid",Methode_Keuze)),"",IF(Tb_Activiteiten[[#This Row],[Eigen arbeid]]=1,Tb_Activiteiten[[#Headers],[Eigen arbeid]],"")))</f>
        <v/>
      </c>
      <c r="AM631" t="str">
        <f>IF(ISNUMBER(FIND("arbeid",Methode_Keuze)),"",IF(ISNUMBER(FIND("arbeid",Methode_Keuze)),"",IF(Tb_Activiteiten[[#This Row],[Projectmedewerker]]=1,Tb_Activiteiten[[#Headers],[Projectmedewerker]],"")))</f>
        <v/>
      </c>
      <c r="AN631" t="str">
        <f>IF(ISNUMBER(FIND("arbeid",Methode_Keuze)),"",IF(ISNUMBER(FIND("arbeid",Methode_Keuze)),"",IF(Tb_Activiteiten[[#This Row],[Landbouwer]]=1,Tb_Activiteiten[[#Headers],[Landbouwer]],"")))</f>
        <v/>
      </c>
      <c r="AO631" t="str">
        <f>IF(ISNUMBER(FIND("arbeid",Methode_Keuze)),"",IF(ISNUMBER(FIND("arbeid",Methode_Keuze)),"",IF(Tb_Activiteiten[[#This Row],[Adviseur]]=1,Tb_Activiteiten[[#Headers],[Adviseur]],"")))</f>
        <v/>
      </c>
      <c r="AP631" t="str">
        <f>IF(ISNUMBER(FIND("arbeid",Methode_Keuze)),"",IF(ISNUMBER(FIND("arbeid",Methode_Keuze)),"",IF(Tb_Activiteiten[[#This Row],[Projectleider/Expert]]=1,Tb_Activiteiten[[#Headers],[Projectleider/Expert]],"")))</f>
        <v/>
      </c>
      <c r="AQ631" t="str">
        <f>IF(ISNUMBER(FIND("arbeid",Methode_Keuze)),"",IF(ISNUMBER(FIND("arbeid",Methode_Keuze)),"",IF(Tb_Activiteiten[[#This Row],[Arbeidskosten]]=1,Tb_Activiteiten[[#Headers],[Arbeidskosten]],"")))</f>
        <v/>
      </c>
      <c r="AR631" t="str">
        <f>IF(ISNUMBER(FIND("arbeid",Methode_Keuze)),"",IF(ISNUMBER(FIND("arbeid",Methode_Keuze)),"",IF(Tb_Activiteiten[[#This Row],[Arbeidskosten op basis van IKS]]=1,Tb_Activiteiten[[#Headers],[Arbeidskosten op basis van IKS]],"")))</f>
        <v/>
      </c>
      <c r="AS631" t="str">
        <f>IF(ISNUMBER(FIND("overige",Methode_Keuze)),"",IF(Tb_Activiteiten[[#This Row],[Kosten derden exclusief btw]]=1,Tb_Activiteiten[[#Headers],[Kosten derden exclusief btw]],""))</f>
        <v/>
      </c>
      <c r="AT631" t="str">
        <f>IF(ISNUMBER(FIND("overige",Methode_Keuze)),"",IF(Tb_Activiteiten[[#This Row],[Niet verrekenbare btw]]=1,Tb_Activiteiten[[#Headers],[Niet verrekenbare btw]],""))</f>
        <v/>
      </c>
      <c r="AU631" t="str">
        <f>IF(ISNUMBER(FIND("overige",Methode_Keuze)),"",IF(Tb_Activiteiten[[#This Row],[Grondkosten]]=1,Tb_Activiteiten[[#Headers],[Grondkosten]],""))</f>
        <v/>
      </c>
      <c r="AV631" t="str">
        <f>IF(ISNUMBER(FIND("overige",Methode_Keuze)),"",IF(Tb_Activiteiten[[#This Row],[Bijdrage in natura (overige)]]=1,Tb_Activiteiten[[#Headers],[Bijdrage in natura (overige)]],""))</f>
        <v/>
      </c>
      <c r="AW631" t="str">
        <f>IF(ISNUMBER(FIND("overige",Methode_Keuze)),"",IF(Tb_Activiteiten[[#This Row],[Bijdrage in natura (vrijwilligers)]]=1,Tb_Activiteiten[[#Headers],[Bijdrage in natura (vrijwilligers)]],""))</f>
        <v/>
      </c>
      <c r="AX631" t="str">
        <f>IF(ISNUMBER(FIND("overige",Methode_Keuze)),"",IF(Tb_Activiteiten[[#This Row],[Afschrijvingskosten]]=1,Tb_Activiteiten[[#Headers],[Afschrijvingskosten]],""))</f>
        <v/>
      </c>
      <c r="AY631" t="str">
        <f>IF(ISNUMBER(FIND("overige",Methode_Keuze)),"",IF(Tb_Activiteiten[[#This Row],[Vergoeding]]=1,Tb_Activiteiten[[#Headers],[Vergoeding]],""))</f>
        <v/>
      </c>
      <c r="AZ631" t="str">
        <f>IF(ISNUMBER(FIND("arbeid",Methode_Keuze)),"",IF(Tb_Activiteiten[[#This Row],[Arbeidskosten - vast tarief (excl eigen arbeid)]]=1,Tb_Activiteiten[[#Headers],[Arbeidskosten - vast tarief (excl eigen arbeid)]],""))</f>
        <v/>
      </c>
      <c r="BA631" t="str">
        <f>IF(ISNUMBER(FIND("overige",Methode_Keuze)),"",IF(Tb_Activiteiten[[#This Row],[Overige kosten]]=1,Tb_Activiteiten[[#Headers],[Overige kosten]],""))</f>
        <v/>
      </c>
    </row>
    <row r="632" spans="1:53" x14ac:dyDescent="0.25">
      <c r="A632" s="231"/>
      <c r="F632" s="64"/>
      <c r="G632" s="64"/>
      <c r="H632" s="275"/>
      <c r="I632" s="275"/>
      <c r="J632" s="275"/>
      <c r="K632" s="275"/>
      <c r="O632" s="56"/>
      <c r="Q632" t="str">
        <f>IFERROR(IF(VLOOKUP(Tb_Activiteiten[[#This Row],[Openstelling]],Tb_Openstelling[],2,0)=1,1,""),"")</f>
        <v/>
      </c>
      <c r="AK632" t="str">
        <f>IF(ISNUMBER(FIND("arbeid",Methode_Keuze)),"",IF(ISNUMBER(FIND("arbeid",Methode_Keuze)),"",IF(Tb_Activiteiten[[#This Row],[Loonkosten]]=1,Tb_Activiteiten[[#Headers],[Loonkosten]],"")))</f>
        <v/>
      </c>
      <c r="AL632" t="str">
        <f>IF(ISNUMBER(FIND("arbeid",Methode_Keuze)),"",IF(ISNUMBER(FIND("arbeid",Methode_Keuze)),"",IF(Tb_Activiteiten[[#This Row],[Eigen arbeid]]=1,Tb_Activiteiten[[#Headers],[Eigen arbeid]],"")))</f>
        <v/>
      </c>
      <c r="AM632" t="str">
        <f>IF(ISNUMBER(FIND("arbeid",Methode_Keuze)),"",IF(ISNUMBER(FIND("arbeid",Methode_Keuze)),"",IF(Tb_Activiteiten[[#This Row],[Projectmedewerker]]=1,Tb_Activiteiten[[#Headers],[Projectmedewerker]],"")))</f>
        <v/>
      </c>
      <c r="AN632" t="str">
        <f>IF(ISNUMBER(FIND("arbeid",Methode_Keuze)),"",IF(ISNUMBER(FIND("arbeid",Methode_Keuze)),"",IF(Tb_Activiteiten[[#This Row],[Landbouwer]]=1,Tb_Activiteiten[[#Headers],[Landbouwer]],"")))</f>
        <v/>
      </c>
      <c r="AO632" t="str">
        <f>IF(ISNUMBER(FIND("arbeid",Methode_Keuze)),"",IF(ISNUMBER(FIND("arbeid",Methode_Keuze)),"",IF(Tb_Activiteiten[[#This Row],[Adviseur]]=1,Tb_Activiteiten[[#Headers],[Adviseur]],"")))</f>
        <v/>
      </c>
      <c r="AP632" t="str">
        <f>IF(ISNUMBER(FIND("arbeid",Methode_Keuze)),"",IF(ISNUMBER(FIND("arbeid",Methode_Keuze)),"",IF(Tb_Activiteiten[[#This Row],[Projectleider/Expert]]=1,Tb_Activiteiten[[#Headers],[Projectleider/Expert]],"")))</f>
        <v/>
      </c>
      <c r="AQ632" t="str">
        <f>IF(ISNUMBER(FIND("arbeid",Methode_Keuze)),"",IF(ISNUMBER(FIND("arbeid",Methode_Keuze)),"",IF(Tb_Activiteiten[[#This Row],[Arbeidskosten]]=1,Tb_Activiteiten[[#Headers],[Arbeidskosten]],"")))</f>
        <v/>
      </c>
      <c r="AR632" t="str">
        <f>IF(ISNUMBER(FIND("arbeid",Methode_Keuze)),"",IF(ISNUMBER(FIND("arbeid",Methode_Keuze)),"",IF(Tb_Activiteiten[[#This Row],[Arbeidskosten op basis van IKS]]=1,Tb_Activiteiten[[#Headers],[Arbeidskosten op basis van IKS]],"")))</f>
        <v/>
      </c>
      <c r="AS632" t="str">
        <f>IF(ISNUMBER(FIND("overige",Methode_Keuze)),"",IF(Tb_Activiteiten[[#This Row],[Kosten derden exclusief btw]]=1,Tb_Activiteiten[[#Headers],[Kosten derden exclusief btw]],""))</f>
        <v/>
      </c>
      <c r="AT632" t="str">
        <f>IF(ISNUMBER(FIND("overige",Methode_Keuze)),"",IF(Tb_Activiteiten[[#This Row],[Niet verrekenbare btw]]=1,Tb_Activiteiten[[#Headers],[Niet verrekenbare btw]],""))</f>
        <v/>
      </c>
      <c r="AU632" t="str">
        <f>IF(ISNUMBER(FIND("overige",Methode_Keuze)),"",IF(Tb_Activiteiten[[#This Row],[Grondkosten]]=1,Tb_Activiteiten[[#Headers],[Grondkosten]],""))</f>
        <v/>
      </c>
      <c r="AV632" t="str">
        <f>IF(ISNUMBER(FIND("overige",Methode_Keuze)),"",IF(Tb_Activiteiten[[#This Row],[Bijdrage in natura (overige)]]=1,Tb_Activiteiten[[#Headers],[Bijdrage in natura (overige)]],""))</f>
        <v/>
      </c>
      <c r="AW632" t="str">
        <f>IF(ISNUMBER(FIND("overige",Methode_Keuze)),"",IF(Tb_Activiteiten[[#This Row],[Bijdrage in natura (vrijwilligers)]]=1,Tb_Activiteiten[[#Headers],[Bijdrage in natura (vrijwilligers)]],""))</f>
        <v/>
      </c>
      <c r="AX632" t="str">
        <f>IF(ISNUMBER(FIND("overige",Methode_Keuze)),"",IF(Tb_Activiteiten[[#This Row],[Afschrijvingskosten]]=1,Tb_Activiteiten[[#Headers],[Afschrijvingskosten]],""))</f>
        <v/>
      </c>
      <c r="AY632" t="str">
        <f>IF(ISNUMBER(FIND("overige",Methode_Keuze)),"",IF(Tb_Activiteiten[[#This Row],[Vergoeding]]=1,Tb_Activiteiten[[#Headers],[Vergoeding]],""))</f>
        <v/>
      </c>
      <c r="AZ632" t="str">
        <f>IF(ISNUMBER(FIND("arbeid",Methode_Keuze)),"",IF(Tb_Activiteiten[[#This Row],[Arbeidskosten - vast tarief (excl eigen arbeid)]]=1,Tb_Activiteiten[[#Headers],[Arbeidskosten - vast tarief (excl eigen arbeid)]],""))</f>
        <v/>
      </c>
      <c r="BA632" t="str">
        <f>IF(ISNUMBER(FIND("overige",Methode_Keuze)),"",IF(Tb_Activiteiten[[#This Row],[Overige kosten]]=1,Tb_Activiteiten[[#Headers],[Overige kosten]],""))</f>
        <v/>
      </c>
    </row>
    <row r="633" spans="1:53" x14ac:dyDescent="0.25">
      <c r="A633" s="231"/>
      <c r="F633" s="64"/>
      <c r="G633" s="64"/>
      <c r="H633" s="275"/>
      <c r="I633" s="275"/>
      <c r="J633" s="275"/>
      <c r="K633" s="275"/>
      <c r="O633" s="56"/>
      <c r="Q633" t="str">
        <f>IFERROR(IF(VLOOKUP(Tb_Activiteiten[[#This Row],[Openstelling]],Tb_Openstelling[],2,0)=1,1,""),"")</f>
        <v/>
      </c>
      <c r="AK633" t="str">
        <f>IF(ISNUMBER(FIND("arbeid",Methode_Keuze)),"",IF(ISNUMBER(FIND("arbeid",Methode_Keuze)),"",IF(Tb_Activiteiten[[#This Row],[Loonkosten]]=1,Tb_Activiteiten[[#Headers],[Loonkosten]],"")))</f>
        <v/>
      </c>
      <c r="AL633" t="str">
        <f>IF(ISNUMBER(FIND("arbeid",Methode_Keuze)),"",IF(ISNUMBER(FIND("arbeid",Methode_Keuze)),"",IF(Tb_Activiteiten[[#This Row],[Eigen arbeid]]=1,Tb_Activiteiten[[#Headers],[Eigen arbeid]],"")))</f>
        <v/>
      </c>
      <c r="AM633" t="str">
        <f>IF(ISNUMBER(FIND("arbeid",Methode_Keuze)),"",IF(ISNUMBER(FIND("arbeid",Methode_Keuze)),"",IF(Tb_Activiteiten[[#This Row],[Projectmedewerker]]=1,Tb_Activiteiten[[#Headers],[Projectmedewerker]],"")))</f>
        <v/>
      </c>
      <c r="AN633" t="str">
        <f>IF(ISNUMBER(FIND("arbeid",Methode_Keuze)),"",IF(ISNUMBER(FIND("arbeid",Methode_Keuze)),"",IF(Tb_Activiteiten[[#This Row],[Landbouwer]]=1,Tb_Activiteiten[[#Headers],[Landbouwer]],"")))</f>
        <v/>
      </c>
      <c r="AO633" t="str">
        <f>IF(ISNUMBER(FIND("arbeid",Methode_Keuze)),"",IF(ISNUMBER(FIND("arbeid",Methode_Keuze)),"",IF(Tb_Activiteiten[[#This Row],[Adviseur]]=1,Tb_Activiteiten[[#Headers],[Adviseur]],"")))</f>
        <v/>
      </c>
      <c r="AP633" t="str">
        <f>IF(ISNUMBER(FIND("arbeid",Methode_Keuze)),"",IF(ISNUMBER(FIND("arbeid",Methode_Keuze)),"",IF(Tb_Activiteiten[[#This Row],[Projectleider/Expert]]=1,Tb_Activiteiten[[#Headers],[Projectleider/Expert]],"")))</f>
        <v/>
      </c>
      <c r="AQ633" t="str">
        <f>IF(ISNUMBER(FIND("arbeid",Methode_Keuze)),"",IF(ISNUMBER(FIND("arbeid",Methode_Keuze)),"",IF(Tb_Activiteiten[[#This Row],[Arbeidskosten]]=1,Tb_Activiteiten[[#Headers],[Arbeidskosten]],"")))</f>
        <v/>
      </c>
      <c r="AR633" t="str">
        <f>IF(ISNUMBER(FIND("arbeid",Methode_Keuze)),"",IF(ISNUMBER(FIND("arbeid",Methode_Keuze)),"",IF(Tb_Activiteiten[[#This Row],[Arbeidskosten op basis van IKS]]=1,Tb_Activiteiten[[#Headers],[Arbeidskosten op basis van IKS]],"")))</f>
        <v/>
      </c>
      <c r="AS633" t="str">
        <f>IF(ISNUMBER(FIND("overige",Methode_Keuze)),"",IF(Tb_Activiteiten[[#This Row],[Kosten derden exclusief btw]]=1,Tb_Activiteiten[[#Headers],[Kosten derden exclusief btw]],""))</f>
        <v/>
      </c>
      <c r="AT633" t="str">
        <f>IF(ISNUMBER(FIND("overige",Methode_Keuze)),"",IF(Tb_Activiteiten[[#This Row],[Niet verrekenbare btw]]=1,Tb_Activiteiten[[#Headers],[Niet verrekenbare btw]],""))</f>
        <v/>
      </c>
      <c r="AU633" t="str">
        <f>IF(ISNUMBER(FIND("overige",Methode_Keuze)),"",IF(Tb_Activiteiten[[#This Row],[Grondkosten]]=1,Tb_Activiteiten[[#Headers],[Grondkosten]],""))</f>
        <v/>
      </c>
      <c r="AV633" t="str">
        <f>IF(ISNUMBER(FIND("overige",Methode_Keuze)),"",IF(Tb_Activiteiten[[#This Row],[Bijdrage in natura (overige)]]=1,Tb_Activiteiten[[#Headers],[Bijdrage in natura (overige)]],""))</f>
        <v/>
      </c>
      <c r="AW633" t="str">
        <f>IF(ISNUMBER(FIND("overige",Methode_Keuze)),"",IF(Tb_Activiteiten[[#This Row],[Bijdrage in natura (vrijwilligers)]]=1,Tb_Activiteiten[[#Headers],[Bijdrage in natura (vrijwilligers)]],""))</f>
        <v/>
      </c>
      <c r="AX633" t="str">
        <f>IF(ISNUMBER(FIND("overige",Methode_Keuze)),"",IF(Tb_Activiteiten[[#This Row],[Afschrijvingskosten]]=1,Tb_Activiteiten[[#Headers],[Afschrijvingskosten]],""))</f>
        <v/>
      </c>
      <c r="AY633" t="str">
        <f>IF(ISNUMBER(FIND("overige",Methode_Keuze)),"",IF(Tb_Activiteiten[[#This Row],[Vergoeding]]=1,Tb_Activiteiten[[#Headers],[Vergoeding]],""))</f>
        <v/>
      </c>
      <c r="AZ633" t="str">
        <f>IF(ISNUMBER(FIND("arbeid",Methode_Keuze)),"",IF(Tb_Activiteiten[[#This Row],[Arbeidskosten - vast tarief (excl eigen arbeid)]]=1,Tb_Activiteiten[[#Headers],[Arbeidskosten - vast tarief (excl eigen arbeid)]],""))</f>
        <v/>
      </c>
      <c r="BA633" t="str">
        <f>IF(ISNUMBER(FIND("overige",Methode_Keuze)),"",IF(Tb_Activiteiten[[#This Row],[Overige kosten]]=1,Tb_Activiteiten[[#Headers],[Overige kosten]],""))</f>
        <v/>
      </c>
    </row>
    <row r="634" spans="1:53" x14ac:dyDescent="0.25">
      <c r="A634" s="231"/>
      <c r="F634" s="64"/>
      <c r="G634" s="64"/>
      <c r="H634" s="275"/>
      <c r="I634" s="275"/>
      <c r="J634" s="275"/>
      <c r="K634" s="275"/>
      <c r="O634" s="56"/>
      <c r="Q634" t="str">
        <f>IFERROR(IF(VLOOKUP(Tb_Activiteiten[[#This Row],[Openstelling]],Tb_Openstelling[],2,0)=1,1,""),"")</f>
        <v/>
      </c>
      <c r="AK634" t="str">
        <f>IF(ISNUMBER(FIND("arbeid",Methode_Keuze)),"",IF(ISNUMBER(FIND("arbeid",Methode_Keuze)),"",IF(Tb_Activiteiten[[#This Row],[Loonkosten]]=1,Tb_Activiteiten[[#Headers],[Loonkosten]],"")))</f>
        <v/>
      </c>
      <c r="AL634" t="str">
        <f>IF(ISNUMBER(FIND("arbeid",Methode_Keuze)),"",IF(ISNUMBER(FIND("arbeid",Methode_Keuze)),"",IF(Tb_Activiteiten[[#This Row],[Eigen arbeid]]=1,Tb_Activiteiten[[#Headers],[Eigen arbeid]],"")))</f>
        <v/>
      </c>
      <c r="AM634" t="str">
        <f>IF(ISNUMBER(FIND("arbeid",Methode_Keuze)),"",IF(ISNUMBER(FIND("arbeid",Methode_Keuze)),"",IF(Tb_Activiteiten[[#This Row],[Projectmedewerker]]=1,Tb_Activiteiten[[#Headers],[Projectmedewerker]],"")))</f>
        <v/>
      </c>
      <c r="AN634" t="str">
        <f>IF(ISNUMBER(FIND("arbeid",Methode_Keuze)),"",IF(ISNUMBER(FIND("arbeid",Methode_Keuze)),"",IF(Tb_Activiteiten[[#This Row],[Landbouwer]]=1,Tb_Activiteiten[[#Headers],[Landbouwer]],"")))</f>
        <v/>
      </c>
      <c r="AO634" t="str">
        <f>IF(ISNUMBER(FIND("arbeid",Methode_Keuze)),"",IF(ISNUMBER(FIND("arbeid",Methode_Keuze)),"",IF(Tb_Activiteiten[[#This Row],[Adviseur]]=1,Tb_Activiteiten[[#Headers],[Adviseur]],"")))</f>
        <v/>
      </c>
      <c r="AP634" t="str">
        <f>IF(ISNUMBER(FIND("arbeid",Methode_Keuze)),"",IF(ISNUMBER(FIND("arbeid",Methode_Keuze)),"",IF(Tb_Activiteiten[[#This Row],[Projectleider/Expert]]=1,Tb_Activiteiten[[#Headers],[Projectleider/Expert]],"")))</f>
        <v/>
      </c>
      <c r="AQ634" t="str">
        <f>IF(ISNUMBER(FIND("arbeid",Methode_Keuze)),"",IF(ISNUMBER(FIND("arbeid",Methode_Keuze)),"",IF(Tb_Activiteiten[[#This Row],[Arbeidskosten]]=1,Tb_Activiteiten[[#Headers],[Arbeidskosten]],"")))</f>
        <v/>
      </c>
      <c r="AR634" t="str">
        <f>IF(ISNUMBER(FIND("arbeid",Methode_Keuze)),"",IF(ISNUMBER(FIND("arbeid",Methode_Keuze)),"",IF(Tb_Activiteiten[[#This Row],[Arbeidskosten op basis van IKS]]=1,Tb_Activiteiten[[#Headers],[Arbeidskosten op basis van IKS]],"")))</f>
        <v/>
      </c>
      <c r="AS634" t="str">
        <f>IF(ISNUMBER(FIND("overige",Methode_Keuze)),"",IF(Tb_Activiteiten[[#This Row],[Kosten derden exclusief btw]]=1,Tb_Activiteiten[[#Headers],[Kosten derden exclusief btw]],""))</f>
        <v/>
      </c>
      <c r="AT634" t="str">
        <f>IF(ISNUMBER(FIND("overige",Methode_Keuze)),"",IF(Tb_Activiteiten[[#This Row],[Niet verrekenbare btw]]=1,Tb_Activiteiten[[#Headers],[Niet verrekenbare btw]],""))</f>
        <v/>
      </c>
      <c r="AU634" t="str">
        <f>IF(ISNUMBER(FIND("overige",Methode_Keuze)),"",IF(Tb_Activiteiten[[#This Row],[Grondkosten]]=1,Tb_Activiteiten[[#Headers],[Grondkosten]],""))</f>
        <v/>
      </c>
      <c r="AV634" t="str">
        <f>IF(ISNUMBER(FIND("overige",Methode_Keuze)),"",IF(Tb_Activiteiten[[#This Row],[Bijdrage in natura (overige)]]=1,Tb_Activiteiten[[#Headers],[Bijdrage in natura (overige)]],""))</f>
        <v/>
      </c>
      <c r="AW634" t="str">
        <f>IF(ISNUMBER(FIND("overige",Methode_Keuze)),"",IF(Tb_Activiteiten[[#This Row],[Bijdrage in natura (vrijwilligers)]]=1,Tb_Activiteiten[[#Headers],[Bijdrage in natura (vrijwilligers)]],""))</f>
        <v/>
      </c>
      <c r="AX634" t="str">
        <f>IF(ISNUMBER(FIND("overige",Methode_Keuze)),"",IF(Tb_Activiteiten[[#This Row],[Afschrijvingskosten]]=1,Tb_Activiteiten[[#Headers],[Afschrijvingskosten]],""))</f>
        <v/>
      </c>
      <c r="AY634" t="str">
        <f>IF(ISNUMBER(FIND("overige",Methode_Keuze)),"",IF(Tb_Activiteiten[[#This Row],[Vergoeding]]=1,Tb_Activiteiten[[#Headers],[Vergoeding]],""))</f>
        <v/>
      </c>
      <c r="AZ634" t="str">
        <f>IF(ISNUMBER(FIND("arbeid",Methode_Keuze)),"",IF(Tb_Activiteiten[[#This Row],[Arbeidskosten - vast tarief (excl eigen arbeid)]]=1,Tb_Activiteiten[[#Headers],[Arbeidskosten - vast tarief (excl eigen arbeid)]],""))</f>
        <v/>
      </c>
      <c r="BA634" t="str">
        <f>IF(ISNUMBER(FIND("overige",Methode_Keuze)),"",IF(Tb_Activiteiten[[#This Row],[Overige kosten]]=1,Tb_Activiteiten[[#Headers],[Overige kosten]],""))</f>
        <v/>
      </c>
    </row>
    <row r="635" spans="1:53" x14ac:dyDescent="0.25">
      <c r="A635" s="231"/>
      <c r="F635" s="64"/>
      <c r="G635" s="64"/>
      <c r="H635" s="275"/>
      <c r="I635" s="275"/>
      <c r="J635" s="275"/>
      <c r="K635" s="275"/>
      <c r="O635" s="56"/>
      <c r="Q635" t="str">
        <f>IFERROR(IF(VLOOKUP(Tb_Activiteiten[[#This Row],[Openstelling]],Tb_Openstelling[],2,0)=1,1,""),"")</f>
        <v/>
      </c>
      <c r="AK635" t="str">
        <f>IF(ISNUMBER(FIND("arbeid",Methode_Keuze)),"",IF(ISNUMBER(FIND("arbeid",Methode_Keuze)),"",IF(Tb_Activiteiten[[#This Row],[Loonkosten]]=1,Tb_Activiteiten[[#Headers],[Loonkosten]],"")))</f>
        <v/>
      </c>
      <c r="AL635" t="str">
        <f>IF(ISNUMBER(FIND("arbeid",Methode_Keuze)),"",IF(ISNUMBER(FIND("arbeid",Methode_Keuze)),"",IF(Tb_Activiteiten[[#This Row],[Eigen arbeid]]=1,Tb_Activiteiten[[#Headers],[Eigen arbeid]],"")))</f>
        <v/>
      </c>
      <c r="AM635" t="str">
        <f>IF(ISNUMBER(FIND("arbeid",Methode_Keuze)),"",IF(ISNUMBER(FIND("arbeid",Methode_Keuze)),"",IF(Tb_Activiteiten[[#This Row],[Projectmedewerker]]=1,Tb_Activiteiten[[#Headers],[Projectmedewerker]],"")))</f>
        <v/>
      </c>
      <c r="AN635" t="str">
        <f>IF(ISNUMBER(FIND("arbeid",Methode_Keuze)),"",IF(ISNUMBER(FIND("arbeid",Methode_Keuze)),"",IF(Tb_Activiteiten[[#This Row],[Landbouwer]]=1,Tb_Activiteiten[[#Headers],[Landbouwer]],"")))</f>
        <v/>
      </c>
      <c r="AO635" t="str">
        <f>IF(ISNUMBER(FIND("arbeid",Methode_Keuze)),"",IF(ISNUMBER(FIND("arbeid",Methode_Keuze)),"",IF(Tb_Activiteiten[[#This Row],[Adviseur]]=1,Tb_Activiteiten[[#Headers],[Adviseur]],"")))</f>
        <v/>
      </c>
      <c r="AP635" t="str">
        <f>IF(ISNUMBER(FIND("arbeid",Methode_Keuze)),"",IF(ISNUMBER(FIND("arbeid",Methode_Keuze)),"",IF(Tb_Activiteiten[[#This Row],[Projectleider/Expert]]=1,Tb_Activiteiten[[#Headers],[Projectleider/Expert]],"")))</f>
        <v/>
      </c>
      <c r="AQ635" t="str">
        <f>IF(ISNUMBER(FIND("arbeid",Methode_Keuze)),"",IF(ISNUMBER(FIND("arbeid",Methode_Keuze)),"",IF(Tb_Activiteiten[[#This Row],[Arbeidskosten]]=1,Tb_Activiteiten[[#Headers],[Arbeidskosten]],"")))</f>
        <v/>
      </c>
      <c r="AR635" t="str">
        <f>IF(ISNUMBER(FIND("arbeid",Methode_Keuze)),"",IF(ISNUMBER(FIND("arbeid",Methode_Keuze)),"",IF(Tb_Activiteiten[[#This Row],[Arbeidskosten op basis van IKS]]=1,Tb_Activiteiten[[#Headers],[Arbeidskosten op basis van IKS]],"")))</f>
        <v/>
      </c>
      <c r="AS635" t="str">
        <f>IF(ISNUMBER(FIND("overige",Methode_Keuze)),"",IF(Tb_Activiteiten[[#This Row],[Kosten derden exclusief btw]]=1,Tb_Activiteiten[[#Headers],[Kosten derden exclusief btw]],""))</f>
        <v/>
      </c>
      <c r="AT635" t="str">
        <f>IF(ISNUMBER(FIND("overige",Methode_Keuze)),"",IF(Tb_Activiteiten[[#This Row],[Niet verrekenbare btw]]=1,Tb_Activiteiten[[#Headers],[Niet verrekenbare btw]],""))</f>
        <v/>
      </c>
      <c r="AU635" t="str">
        <f>IF(ISNUMBER(FIND("overige",Methode_Keuze)),"",IF(Tb_Activiteiten[[#This Row],[Grondkosten]]=1,Tb_Activiteiten[[#Headers],[Grondkosten]],""))</f>
        <v/>
      </c>
      <c r="AV635" t="str">
        <f>IF(ISNUMBER(FIND("overige",Methode_Keuze)),"",IF(Tb_Activiteiten[[#This Row],[Bijdrage in natura (overige)]]=1,Tb_Activiteiten[[#Headers],[Bijdrage in natura (overige)]],""))</f>
        <v/>
      </c>
      <c r="AW635" t="str">
        <f>IF(ISNUMBER(FIND("overige",Methode_Keuze)),"",IF(Tb_Activiteiten[[#This Row],[Bijdrage in natura (vrijwilligers)]]=1,Tb_Activiteiten[[#Headers],[Bijdrage in natura (vrijwilligers)]],""))</f>
        <v/>
      </c>
      <c r="AX635" t="str">
        <f>IF(ISNUMBER(FIND("overige",Methode_Keuze)),"",IF(Tb_Activiteiten[[#This Row],[Afschrijvingskosten]]=1,Tb_Activiteiten[[#Headers],[Afschrijvingskosten]],""))</f>
        <v/>
      </c>
      <c r="AY635" t="str">
        <f>IF(ISNUMBER(FIND("overige",Methode_Keuze)),"",IF(Tb_Activiteiten[[#This Row],[Vergoeding]]=1,Tb_Activiteiten[[#Headers],[Vergoeding]],""))</f>
        <v/>
      </c>
      <c r="AZ635" t="str">
        <f>IF(ISNUMBER(FIND("arbeid",Methode_Keuze)),"",IF(Tb_Activiteiten[[#This Row],[Arbeidskosten - vast tarief (excl eigen arbeid)]]=1,Tb_Activiteiten[[#Headers],[Arbeidskosten - vast tarief (excl eigen arbeid)]],""))</f>
        <v/>
      </c>
      <c r="BA635" t="str">
        <f>IF(ISNUMBER(FIND("overige",Methode_Keuze)),"",IF(Tb_Activiteiten[[#This Row],[Overige kosten]]=1,Tb_Activiteiten[[#Headers],[Overige kosten]],""))</f>
        <v/>
      </c>
    </row>
    <row r="636" spans="1:53" x14ac:dyDescent="0.25">
      <c r="A636" s="231"/>
      <c r="F636" s="64"/>
      <c r="G636" s="64"/>
      <c r="H636" s="275"/>
      <c r="I636" s="275"/>
      <c r="J636" s="275"/>
      <c r="K636" s="275"/>
      <c r="O636" s="56"/>
      <c r="Q636" t="str">
        <f>IFERROR(IF(VLOOKUP(Tb_Activiteiten[[#This Row],[Openstelling]],Tb_Openstelling[],2,0)=1,1,""),"")</f>
        <v/>
      </c>
      <c r="AK636" t="str">
        <f>IF(ISNUMBER(FIND("arbeid",Methode_Keuze)),"",IF(ISNUMBER(FIND("arbeid",Methode_Keuze)),"",IF(Tb_Activiteiten[[#This Row],[Loonkosten]]=1,Tb_Activiteiten[[#Headers],[Loonkosten]],"")))</f>
        <v/>
      </c>
      <c r="AL636" t="str">
        <f>IF(ISNUMBER(FIND("arbeid",Methode_Keuze)),"",IF(ISNUMBER(FIND("arbeid",Methode_Keuze)),"",IF(Tb_Activiteiten[[#This Row],[Eigen arbeid]]=1,Tb_Activiteiten[[#Headers],[Eigen arbeid]],"")))</f>
        <v/>
      </c>
      <c r="AM636" t="str">
        <f>IF(ISNUMBER(FIND("arbeid",Methode_Keuze)),"",IF(ISNUMBER(FIND("arbeid",Methode_Keuze)),"",IF(Tb_Activiteiten[[#This Row],[Projectmedewerker]]=1,Tb_Activiteiten[[#Headers],[Projectmedewerker]],"")))</f>
        <v/>
      </c>
      <c r="AN636" t="str">
        <f>IF(ISNUMBER(FIND("arbeid",Methode_Keuze)),"",IF(ISNUMBER(FIND("arbeid",Methode_Keuze)),"",IF(Tb_Activiteiten[[#This Row],[Landbouwer]]=1,Tb_Activiteiten[[#Headers],[Landbouwer]],"")))</f>
        <v/>
      </c>
      <c r="AO636" t="str">
        <f>IF(ISNUMBER(FIND("arbeid",Methode_Keuze)),"",IF(ISNUMBER(FIND("arbeid",Methode_Keuze)),"",IF(Tb_Activiteiten[[#This Row],[Adviseur]]=1,Tb_Activiteiten[[#Headers],[Adviseur]],"")))</f>
        <v/>
      </c>
      <c r="AP636" t="str">
        <f>IF(ISNUMBER(FIND("arbeid",Methode_Keuze)),"",IF(ISNUMBER(FIND("arbeid",Methode_Keuze)),"",IF(Tb_Activiteiten[[#This Row],[Projectleider/Expert]]=1,Tb_Activiteiten[[#Headers],[Projectleider/Expert]],"")))</f>
        <v/>
      </c>
      <c r="AQ636" t="str">
        <f>IF(ISNUMBER(FIND("arbeid",Methode_Keuze)),"",IF(ISNUMBER(FIND("arbeid",Methode_Keuze)),"",IF(Tb_Activiteiten[[#This Row],[Arbeidskosten]]=1,Tb_Activiteiten[[#Headers],[Arbeidskosten]],"")))</f>
        <v/>
      </c>
      <c r="AR636" t="str">
        <f>IF(ISNUMBER(FIND("arbeid",Methode_Keuze)),"",IF(ISNUMBER(FIND("arbeid",Methode_Keuze)),"",IF(Tb_Activiteiten[[#This Row],[Arbeidskosten op basis van IKS]]=1,Tb_Activiteiten[[#Headers],[Arbeidskosten op basis van IKS]],"")))</f>
        <v/>
      </c>
      <c r="AS636" t="str">
        <f>IF(ISNUMBER(FIND("overige",Methode_Keuze)),"",IF(Tb_Activiteiten[[#This Row],[Kosten derden exclusief btw]]=1,Tb_Activiteiten[[#Headers],[Kosten derden exclusief btw]],""))</f>
        <v/>
      </c>
      <c r="AT636" t="str">
        <f>IF(ISNUMBER(FIND("overige",Methode_Keuze)),"",IF(Tb_Activiteiten[[#This Row],[Niet verrekenbare btw]]=1,Tb_Activiteiten[[#Headers],[Niet verrekenbare btw]],""))</f>
        <v/>
      </c>
      <c r="AU636" t="str">
        <f>IF(ISNUMBER(FIND("overige",Methode_Keuze)),"",IF(Tb_Activiteiten[[#This Row],[Grondkosten]]=1,Tb_Activiteiten[[#Headers],[Grondkosten]],""))</f>
        <v/>
      </c>
      <c r="AV636" t="str">
        <f>IF(ISNUMBER(FIND("overige",Methode_Keuze)),"",IF(Tb_Activiteiten[[#This Row],[Bijdrage in natura (overige)]]=1,Tb_Activiteiten[[#Headers],[Bijdrage in natura (overige)]],""))</f>
        <v/>
      </c>
      <c r="AW636" t="str">
        <f>IF(ISNUMBER(FIND("overige",Methode_Keuze)),"",IF(Tb_Activiteiten[[#This Row],[Bijdrage in natura (vrijwilligers)]]=1,Tb_Activiteiten[[#Headers],[Bijdrage in natura (vrijwilligers)]],""))</f>
        <v/>
      </c>
      <c r="AX636" t="str">
        <f>IF(ISNUMBER(FIND("overige",Methode_Keuze)),"",IF(Tb_Activiteiten[[#This Row],[Afschrijvingskosten]]=1,Tb_Activiteiten[[#Headers],[Afschrijvingskosten]],""))</f>
        <v/>
      </c>
      <c r="AY636" t="str">
        <f>IF(ISNUMBER(FIND("overige",Methode_Keuze)),"",IF(Tb_Activiteiten[[#This Row],[Vergoeding]]=1,Tb_Activiteiten[[#Headers],[Vergoeding]],""))</f>
        <v/>
      </c>
      <c r="AZ636" t="str">
        <f>IF(ISNUMBER(FIND("arbeid",Methode_Keuze)),"",IF(Tb_Activiteiten[[#This Row],[Arbeidskosten - vast tarief (excl eigen arbeid)]]=1,Tb_Activiteiten[[#Headers],[Arbeidskosten - vast tarief (excl eigen arbeid)]],""))</f>
        <v/>
      </c>
      <c r="BA636" t="str">
        <f>IF(ISNUMBER(FIND("overige",Methode_Keuze)),"",IF(Tb_Activiteiten[[#This Row],[Overige kosten]]=1,Tb_Activiteiten[[#Headers],[Overige kosten]],""))</f>
        <v/>
      </c>
    </row>
    <row r="637" spans="1:53" x14ac:dyDescent="0.25">
      <c r="A637" s="231"/>
      <c r="F637" s="64"/>
      <c r="G637" s="64"/>
      <c r="H637" s="275"/>
      <c r="I637" s="275"/>
      <c r="J637" s="275"/>
      <c r="K637" s="275"/>
      <c r="O637" s="56"/>
      <c r="Q637" t="str">
        <f>IFERROR(IF(VLOOKUP(Tb_Activiteiten[[#This Row],[Openstelling]],Tb_Openstelling[],2,0)=1,1,""),"")</f>
        <v/>
      </c>
      <c r="AK637" t="str">
        <f>IF(ISNUMBER(FIND("arbeid",Methode_Keuze)),"",IF(ISNUMBER(FIND("arbeid",Methode_Keuze)),"",IF(Tb_Activiteiten[[#This Row],[Loonkosten]]=1,Tb_Activiteiten[[#Headers],[Loonkosten]],"")))</f>
        <v/>
      </c>
      <c r="AL637" t="str">
        <f>IF(ISNUMBER(FIND("arbeid",Methode_Keuze)),"",IF(ISNUMBER(FIND("arbeid",Methode_Keuze)),"",IF(Tb_Activiteiten[[#This Row],[Eigen arbeid]]=1,Tb_Activiteiten[[#Headers],[Eigen arbeid]],"")))</f>
        <v/>
      </c>
      <c r="AM637" t="str">
        <f>IF(ISNUMBER(FIND("arbeid",Methode_Keuze)),"",IF(ISNUMBER(FIND("arbeid",Methode_Keuze)),"",IF(Tb_Activiteiten[[#This Row],[Projectmedewerker]]=1,Tb_Activiteiten[[#Headers],[Projectmedewerker]],"")))</f>
        <v/>
      </c>
      <c r="AN637" t="str">
        <f>IF(ISNUMBER(FIND("arbeid",Methode_Keuze)),"",IF(ISNUMBER(FIND("arbeid",Methode_Keuze)),"",IF(Tb_Activiteiten[[#This Row],[Landbouwer]]=1,Tb_Activiteiten[[#Headers],[Landbouwer]],"")))</f>
        <v/>
      </c>
      <c r="AO637" t="str">
        <f>IF(ISNUMBER(FIND("arbeid",Methode_Keuze)),"",IF(ISNUMBER(FIND("arbeid",Methode_Keuze)),"",IF(Tb_Activiteiten[[#This Row],[Adviseur]]=1,Tb_Activiteiten[[#Headers],[Adviseur]],"")))</f>
        <v/>
      </c>
      <c r="AP637" t="str">
        <f>IF(ISNUMBER(FIND("arbeid",Methode_Keuze)),"",IF(ISNUMBER(FIND("arbeid",Methode_Keuze)),"",IF(Tb_Activiteiten[[#This Row],[Projectleider/Expert]]=1,Tb_Activiteiten[[#Headers],[Projectleider/Expert]],"")))</f>
        <v/>
      </c>
      <c r="AQ637" t="str">
        <f>IF(ISNUMBER(FIND("arbeid",Methode_Keuze)),"",IF(ISNUMBER(FIND("arbeid",Methode_Keuze)),"",IF(Tb_Activiteiten[[#This Row],[Arbeidskosten]]=1,Tb_Activiteiten[[#Headers],[Arbeidskosten]],"")))</f>
        <v/>
      </c>
      <c r="AR637" t="str">
        <f>IF(ISNUMBER(FIND("arbeid",Methode_Keuze)),"",IF(ISNUMBER(FIND("arbeid",Methode_Keuze)),"",IF(Tb_Activiteiten[[#This Row],[Arbeidskosten op basis van IKS]]=1,Tb_Activiteiten[[#Headers],[Arbeidskosten op basis van IKS]],"")))</f>
        <v/>
      </c>
      <c r="AS637" t="str">
        <f>IF(ISNUMBER(FIND("overige",Methode_Keuze)),"",IF(Tb_Activiteiten[[#This Row],[Kosten derden exclusief btw]]=1,Tb_Activiteiten[[#Headers],[Kosten derden exclusief btw]],""))</f>
        <v/>
      </c>
      <c r="AT637" t="str">
        <f>IF(ISNUMBER(FIND("overige",Methode_Keuze)),"",IF(Tb_Activiteiten[[#This Row],[Niet verrekenbare btw]]=1,Tb_Activiteiten[[#Headers],[Niet verrekenbare btw]],""))</f>
        <v/>
      </c>
      <c r="AU637" t="str">
        <f>IF(ISNUMBER(FIND("overige",Methode_Keuze)),"",IF(Tb_Activiteiten[[#This Row],[Grondkosten]]=1,Tb_Activiteiten[[#Headers],[Grondkosten]],""))</f>
        <v/>
      </c>
      <c r="AV637" t="str">
        <f>IF(ISNUMBER(FIND("overige",Methode_Keuze)),"",IF(Tb_Activiteiten[[#This Row],[Bijdrage in natura (overige)]]=1,Tb_Activiteiten[[#Headers],[Bijdrage in natura (overige)]],""))</f>
        <v/>
      </c>
      <c r="AW637" t="str">
        <f>IF(ISNUMBER(FIND("overige",Methode_Keuze)),"",IF(Tb_Activiteiten[[#This Row],[Bijdrage in natura (vrijwilligers)]]=1,Tb_Activiteiten[[#Headers],[Bijdrage in natura (vrijwilligers)]],""))</f>
        <v/>
      </c>
      <c r="AX637" t="str">
        <f>IF(ISNUMBER(FIND("overige",Methode_Keuze)),"",IF(Tb_Activiteiten[[#This Row],[Afschrijvingskosten]]=1,Tb_Activiteiten[[#Headers],[Afschrijvingskosten]],""))</f>
        <v/>
      </c>
      <c r="AY637" t="str">
        <f>IF(ISNUMBER(FIND("overige",Methode_Keuze)),"",IF(Tb_Activiteiten[[#This Row],[Vergoeding]]=1,Tb_Activiteiten[[#Headers],[Vergoeding]],""))</f>
        <v/>
      </c>
      <c r="AZ637" t="str">
        <f>IF(ISNUMBER(FIND("arbeid",Methode_Keuze)),"",IF(Tb_Activiteiten[[#This Row],[Arbeidskosten - vast tarief (excl eigen arbeid)]]=1,Tb_Activiteiten[[#Headers],[Arbeidskosten - vast tarief (excl eigen arbeid)]],""))</f>
        <v/>
      </c>
      <c r="BA637" t="str">
        <f>IF(ISNUMBER(FIND("overige",Methode_Keuze)),"",IF(Tb_Activiteiten[[#This Row],[Overige kosten]]=1,Tb_Activiteiten[[#Headers],[Overige kosten]],""))</f>
        <v/>
      </c>
    </row>
    <row r="638" spans="1:53" x14ac:dyDescent="0.25">
      <c r="A638" s="231"/>
      <c r="F638" s="64"/>
      <c r="G638" s="64"/>
      <c r="H638" s="275"/>
      <c r="I638" s="275"/>
      <c r="J638" s="275"/>
      <c r="K638" s="275"/>
      <c r="O638" s="56"/>
      <c r="Q638" t="str">
        <f>IFERROR(IF(VLOOKUP(Tb_Activiteiten[[#This Row],[Openstelling]],Tb_Openstelling[],2,0)=1,1,""),"")</f>
        <v/>
      </c>
      <c r="AK638" t="str">
        <f>IF(ISNUMBER(FIND("arbeid",Methode_Keuze)),"",IF(ISNUMBER(FIND("arbeid",Methode_Keuze)),"",IF(Tb_Activiteiten[[#This Row],[Loonkosten]]=1,Tb_Activiteiten[[#Headers],[Loonkosten]],"")))</f>
        <v/>
      </c>
      <c r="AL638" t="str">
        <f>IF(ISNUMBER(FIND("arbeid",Methode_Keuze)),"",IF(ISNUMBER(FIND("arbeid",Methode_Keuze)),"",IF(Tb_Activiteiten[[#This Row],[Eigen arbeid]]=1,Tb_Activiteiten[[#Headers],[Eigen arbeid]],"")))</f>
        <v/>
      </c>
      <c r="AM638" t="str">
        <f>IF(ISNUMBER(FIND("arbeid",Methode_Keuze)),"",IF(ISNUMBER(FIND("arbeid",Methode_Keuze)),"",IF(Tb_Activiteiten[[#This Row],[Projectmedewerker]]=1,Tb_Activiteiten[[#Headers],[Projectmedewerker]],"")))</f>
        <v/>
      </c>
      <c r="AN638" t="str">
        <f>IF(ISNUMBER(FIND("arbeid",Methode_Keuze)),"",IF(ISNUMBER(FIND("arbeid",Methode_Keuze)),"",IF(Tb_Activiteiten[[#This Row],[Landbouwer]]=1,Tb_Activiteiten[[#Headers],[Landbouwer]],"")))</f>
        <v/>
      </c>
      <c r="AO638" t="str">
        <f>IF(ISNUMBER(FIND("arbeid",Methode_Keuze)),"",IF(ISNUMBER(FIND("arbeid",Methode_Keuze)),"",IF(Tb_Activiteiten[[#This Row],[Adviseur]]=1,Tb_Activiteiten[[#Headers],[Adviseur]],"")))</f>
        <v/>
      </c>
      <c r="AP638" t="str">
        <f>IF(ISNUMBER(FIND("arbeid",Methode_Keuze)),"",IF(ISNUMBER(FIND("arbeid",Methode_Keuze)),"",IF(Tb_Activiteiten[[#This Row],[Projectleider/Expert]]=1,Tb_Activiteiten[[#Headers],[Projectleider/Expert]],"")))</f>
        <v/>
      </c>
      <c r="AQ638" t="str">
        <f>IF(ISNUMBER(FIND("arbeid",Methode_Keuze)),"",IF(ISNUMBER(FIND("arbeid",Methode_Keuze)),"",IF(Tb_Activiteiten[[#This Row],[Arbeidskosten]]=1,Tb_Activiteiten[[#Headers],[Arbeidskosten]],"")))</f>
        <v/>
      </c>
      <c r="AR638" t="str">
        <f>IF(ISNUMBER(FIND("arbeid",Methode_Keuze)),"",IF(ISNUMBER(FIND("arbeid",Methode_Keuze)),"",IF(Tb_Activiteiten[[#This Row],[Arbeidskosten op basis van IKS]]=1,Tb_Activiteiten[[#Headers],[Arbeidskosten op basis van IKS]],"")))</f>
        <v/>
      </c>
      <c r="AS638" t="str">
        <f>IF(ISNUMBER(FIND("overige",Methode_Keuze)),"",IF(Tb_Activiteiten[[#This Row],[Kosten derden exclusief btw]]=1,Tb_Activiteiten[[#Headers],[Kosten derden exclusief btw]],""))</f>
        <v/>
      </c>
      <c r="AT638" t="str">
        <f>IF(ISNUMBER(FIND("overige",Methode_Keuze)),"",IF(Tb_Activiteiten[[#This Row],[Niet verrekenbare btw]]=1,Tb_Activiteiten[[#Headers],[Niet verrekenbare btw]],""))</f>
        <v/>
      </c>
      <c r="AU638" t="str">
        <f>IF(ISNUMBER(FIND("overige",Methode_Keuze)),"",IF(Tb_Activiteiten[[#This Row],[Grondkosten]]=1,Tb_Activiteiten[[#Headers],[Grondkosten]],""))</f>
        <v/>
      </c>
      <c r="AV638" t="str">
        <f>IF(ISNUMBER(FIND("overige",Methode_Keuze)),"",IF(Tb_Activiteiten[[#This Row],[Bijdrage in natura (overige)]]=1,Tb_Activiteiten[[#Headers],[Bijdrage in natura (overige)]],""))</f>
        <v/>
      </c>
      <c r="AW638" t="str">
        <f>IF(ISNUMBER(FIND("overige",Methode_Keuze)),"",IF(Tb_Activiteiten[[#This Row],[Bijdrage in natura (vrijwilligers)]]=1,Tb_Activiteiten[[#Headers],[Bijdrage in natura (vrijwilligers)]],""))</f>
        <v/>
      </c>
      <c r="AX638" t="str">
        <f>IF(ISNUMBER(FIND("overige",Methode_Keuze)),"",IF(Tb_Activiteiten[[#This Row],[Afschrijvingskosten]]=1,Tb_Activiteiten[[#Headers],[Afschrijvingskosten]],""))</f>
        <v/>
      </c>
      <c r="AY638" t="str">
        <f>IF(ISNUMBER(FIND("overige",Methode_Keuze)),"",IF(Tb_Activiteiten[[#This Row],[Vergoeding]]=1,Tb_Activiteiten[[#Headers],[Vergoeding]],""))</f>
        <v/>
      </c>
      <c r="AZ638" t="str">
        <f>IF(ISNUMBER(FIND("arbeid",Methode_Keuze)),"",IF(Tb_Activiteiten[[#This Row],[Arbeidskosten - vast tarief (excl eigen arbeid)]]=1,Tb_Activiteiten[[#Headers],[Arbeidskosten - vast tarief (excl eigen arbeid)]],""))</f>
        <v/>
      </c>
      <c r="BA638" t="str">
        <f>IF(ISNUMBER(FIND("overige",Methode_Keuze)),"",IF(Tb_Activiteiten[[#This Row],[Overige kosten]]=1,Tb_Activiteiten[[#Headers],[Overige kosten]],""))</f>
        <v/>
      </c>
    </row>
    <row r="639" spans="1:53" x14ac:dyDescent="0.25">
      <c r="A639" s="231"/>
      <c r="F639" s="64"/>
      <c r="G639" s="64"/>
      <c r="H639" s="275"/>
      <c r="I639" s="275"/>
      <c r="J639" s="275"/>
      <c r="K639" s="275"/>
      <c r="O639" s="56"/>
      <c r="Q639" t="str">
        <f>IFERROR(IF(VLOOKUP(Tb_Activiteiten[[#This Row],[Openstelling]],Tb_Openstelling[],2,0)=1,1,""),"")</f>
        <v/>
      </c>
      <c r="AK639" t="str">
        <f>IF(ISNUMBER(FIND("arbeid",Methode_Keuze)),"",IF(ISNUMBER(FIND("arbeid",Methode_Keuze)),"",IF(Tb_Activiteiten[[#This Row],[Loonkosten]]=1,Tb_Activiteiten[[#Headers],[Loonkosten]],"")))</f>
        <v/>
      </c>
      <c r="AL639" t="str">
        <f>IF(ISNUMBER(FIND("arbeid",Methode_Keuze)),"",IF(ISNUMBER(FIND("arbeid",Methode_Keuze)),"",IF(Tb_Activiteiten[[#This Row],[Eigen arbeid]]=1,Tb_Activiteiten[[#Headers],[Eigen arbeid]],"")))</f>
        <v/>
      </c>
      <c r="AM639" t="str">
        <f>IF(ISNUMBER(FIND("arbeid",Methode_Keuze)),"",IF(ISNUMBER(FIND("arbeid",Methode_Keuze)),"",IF(Tb_Activiteiten[[#This Row],[Projectmedewerker]]=1,Tb_Activiteiten[[#Headers],[Projectmedewerker]],"")))</f>
        <v/>
      </c>
      <c r="AN639" t="str">
        <f>IF(ISNUMBER(FIND("arbeid",Methode_Keuze)),"",IF(ISNUMBER(FIND("arbeid",Methode_Keuze)),"",IF(Tb_Activiteiten[[#This Row],[Landbouwer]]=1,Tb_Activiteiten[[#Headers],[Landbouwer]],"")))</f>
        <v/>
      </c>
      <c r="AO639" t="str">
        <f>IF(ISNUMBER(FIND("arbeid",Methode_Keuze)),"",IF(ISNUMBER(FIND("arbeid",Methode_Keuze)),"",IF(Tb_Activiteiten[[#This Row],[Adviseur]]=1,Tb_Activiteiten[[#Headers],[Adviseur]],"")))</f>
        <v/>
      </c>
      <c r="AP639" t="str">
        <f>IF(ISNUMBER(FIND("arbeid",Methode_Keuze)),"",IF(ISNUMBER(FIND("arbeid",Methode_Keuze)),"",IF(Tb_Activiteiten[[#This Row],[Projectleider/Expert]]=1,Tb_Activiteiten[[#Headers],[Projectleider/Expert]],"")))</f>
        <v/>
      </c>
      <c r="AQ639" t="str">
        <f>IF(ISNUMBER(FIND("arbeid",Methode_Keuze)),"",IF(ISNUMBER(FIND("arbeid",Methode_Keuze)),"",IF(Tb_Activiteiten[[#This Row],[Arbeidskosten]]=1,Tb_Activiteiten[[#Headers],[Arbeidskosten]],"")))</f>
        <v/>
      </c>
      <c r="AR639" t="str">
        <f>IF(ISNUMBER(FIND("arbeid",Methode_Keuze)),"",IF(ISNUMBER(FIND("arbeid",Methode_Keuze)),"",IF(Tb_Activiteiten[[#This Row],[Arbeidskosten op basis van IKS]]=1,Tb_Activiteiten[[#Headers],[Arbeidskosten op basis van IKS]],"")))</f>
        <v/>
      </c>
      <c r="AS639" t="str">
        <f>IF(ISNUMBER(FIND("overige",Methode_Keuze)),"",IF(Tb_Activiteiten[[#This Row],[Kosten derden exclusief btw]]=1,Tb_Activiteiten[[#Headers],[Kosten derden exclusief btw]],""))</f>
        <v/>
      </c>
      <c r="AT639" t="str">
        <f>IF(ISNUMBER(FIND("overige",Methode_Keuze)),"",IF(Tb_Activiteiten[[#This Row],[Niet verrekenbare btw]]=1,Tb_Activiteiten[[#Headers],[Niet verrekenbare btw]],""))</f>
        <v/>
      </c>
      <c r="AU639" t="str">
        <f>IF(ISNUMBER(FIND("overige",Methode_Keuze)),"",IF(Tb_Activiteiten[[#This Row],[Grondkosten]]=1,Tb_Activiteiten[[#Headers],[Grondkosten]],""))</f>
        <v/>
      </c>
      <c r="AV639" t="str">
        <f>IF(ISNUMBER(FIND("overige",Methode_Keuze)),"",IF(Tb_Activiteiten[[#This Row],[Bijdrage in natura (overige)]]=1,Tb_Activiteiten[[#Headers],[Bijdrage in natura (overige)]],""))</f>
        <v/>
      </c>
      <c r="AW639" t="str">
        <f>IF(ISNUMBER(FIND("overige",Methode_Keuze)),"",IF(Tb_Activiteiten[[#This Row],[Bijdrage in natura (vrijwilligers)]]=1,Tb_Activiteiten[[#Headers],[Bijdrage in natura (vrijwilligers)]],""))</f>
        <v/>
      </c>
      <c r="AX639" t="str">
        <f>IF(ISNUMBER(FIND("overige",Methode_Keuze)),"",IF(Tb_Activiteiten[[#This Row],[Afschrijvingskosten]]=1,Tb_Activiteiten[[#Headers],[Afschrijvingskosten]],""))</f>
        <v/>
      </c>
      <c r="AY639" t="str">
        <f>IF(ISNUMBER(FIND("overige",Methode_Keuze)),"",IF(Tb_Activiteiten[[#This Row],[Vergoeding]]=1,Tb_Activiteiten[[#Headers],[Vergoeding]],""))</f>
        <v/>
      </c>
      <c r="AZ639" t="str">
        <f>IF(ISNUMBER(FIND("arbeid",Methode_Keuze)),"",IF(Tb_Activiteiten[[#This Row],[Arbeidskosten - vast tarief (excl eigen arbeid)]]=1,Tb_Activiteiten[[#Headers],[Arbeidskosten - vast tarief (excl eigen arbeid)]],""))</f>
        <v/>
      </c>
      <c r="BA639" t="str">
        <f>IF(ISNUMBER(FIND("overige",Methode_Keuze)),"",IF(Tb_Activiteiten[[#This Row],[Overige kosten]]=1,Tb_Activiteiten[[#Headers],[Overige kosten]],""))</f>
        <v/>
      </c>
    </row>
    <row r="640" spans="1:53" x14ac:dyDescent="0.25">
      <c r="A640" s="231"/>
      <c r="F640" s="64"/>
      <c r="G640" s="64"/>
      <c r="H640" s="275"/>
      <c r="I640" s="275"/>
      <c r="J640" s="275"/>
      <c r="K640" s="275"/>
      <c r="O640" s="56"/>
      <c r="Q640" t="str">
        <f>IFERROR(IF(VLOOKUP(Tb_Activiteiten[[#This Row],[Openstelling]],Tb_Openstelling[],2,0)=1,1,""),"")</f>
        <v/>
      </c>
      <c r="AK640" t="str">
        <f>IF(ISNUMBER(FIND("arbeid",Methode_Keuze)),"",IF(ISNUMBER(FIND("arbeid",Methode_Keuze)),"",IF(Tb_Activiteiten[[#This Row],[Loonkosten]]=1,Tb_Activiteiten[[#Headers],[Loonkosten]],"")))</f>
        <v/>
      </c>
      <c r="AL640" t="str">
        <f>IF(ISNUMBER(FIND("arbeid",Methode_Keuze)),"",IF(ISNUMBER(FIND("arbeid",Methode_Keuze)),"",IF(Tb_Activiteiten[[#This Row],[Eigen arbeid]]=1,Tb_Activiteiten[[#Headers],[Eigen arbeid]],"")))</f>
        <v/>
      </c>
      <c r="AM640" t="str">
        <f>IF(ISNUMBER(FIND("arbeid",Methode_Keuze)),"",IF(ISNUMBER(FIND("arbeid",Methode_Keuze)),"",IF(Tb_Activiteiten[[#This Row],[Projectmedewerker]]=1,Tb_Activiteiten[[#Headers],[Projectmedewerker]],"")))</f>
        <v/>
      </c>
      <c r="AN640" t="str">
        <f>IF(ISNUMBER(FIND("arbeid",Methode_Keuze)),"",IF(ISNUMBER(FIND("arbeid",Methode_Keuze)),"",IF(Tb_Activiteiten[[#This Row],[Landbouwer]]=1,Tb_Activiteiten[[#Headers],[Landbouwer]],"")))</f>
        <v/>
      </c>
      <c r="AO640" t="str">
        <f>IF(ISNUMBER(FIND("arbeid",Methode_Keuze)),"",IF(ISNUMBER(FIND("arbeid",Methode_Keuze)),"",IF(Tb_Activiteiten[[#This Row],[Adviseur]]=1,Tb_Activiteiten[[#Headers],[Adviseur]],"")))</f>
        <v/>
      </c>
      <c r="AP640" t="str">
        <f>IF(ISNUMBER(FIND("arbeid",Methode_Keuze)),"",IF(ISNUMBER(FIND("arbeid",Methode_Keuze)),"",IF(Tb_Activiteiten[[#This Row],[Projectleider/Expert]]=1,Tb_Activiteiten[[#Headers],[Projectleider/Expert]],"")))</f>
        <v/>
      </c>
      <c r="AQ640" t="str">
        <f>IF(ISNUMBER(FIND("arbeid",Methode_Keuze)),"",IF(ISNUMBER(FIND("arbeid",Methode_Keuze)),"",IF(Tb_Activiteiten[[#This Row],[Arbeidskosten]]=1,Tb_Activiteiten[[#Headers],[Arbeidskosten]],"")))</f>
        <v/>
      </c>
      <c r="AR640" t="str">
        <f>IF(ISNUMBER(FIND("arbeid",Methode_Keuze)),"",IF(ISNUMBER(FIND("arbeid",Methode_Keuze)),"",IF(Tb_Activiteiten[[#This Row],[Arbeidskosten op basis van IKS]]=1,Tb_Activiteiten[[#Headers],[Arbeidskosten op basis van IKS]],"")))</f>
        <v/>
      </c>
      <c r="AS640" t="str">
        <f>IF(ISNUMBER(FIND("overige",Methode_Keuze)),"",IF(Tb_Activiteiten[[#This Row],[Kosten derden exclusief btw]]=1,Tb_Activiteiten[[#Headers],[Kosten derden exclusief btw]],""))</f>
        <v/>
      </c>
      <c r="AT640" t="str">
        <f>IF(ISNUMBER(FIND("overige",Methode_Keuze)),"",IF(Tb_Activiteiten[[#This Row],[Niet verrekenbare btw]]=1,Tb_Activiteiten[[#Headers],[Niet verrekenbare btw]],""))</f>
        <v/>
      </c>
      <c r="AU640" t="str">
        <f>IF(ISNUMBER(FIND("overige",Methode_Keuze)),"",IF(Tb_Activiteiten[[#This Row],[Grondkosten]]=1,Tb_Activiteiten[[#Headers],[Grondkosten]],""))</f>
        <v/>
      </c>
      <c r="AV640" t="str">
        <f>IF(ISNUMBER(FIND("overige",Methode_Keuze)),"",IF(Tb_Activiteiten[[#This Row],[Bijdrage in natura (overige)]]=1,Tb_Activiteiten[[#Headers],[Bijdrage in natura (overige)]],""))</f>
        <v/>
      </c>
      <c r="AW640" t="str">
        <f>IF(ISNUMBER(FIND("overige",Methode_Keuze)),"",IF(Tb_Activiteiten[[#This Row],[Bijdrage in natura (vrijwilligers)]]=1,Tb_Activiteiten[[#Headers],[Bijdrage in natura (vrijwilligers)]],""))</f>
        <v/>
      </c>
      <c r="AX640" t="str">
        <f>IF(ISNUMBER(FIND("overige",Methode_Keuze)),"",IF(Tb_Activiteiten[[#This Row],[Afschrijvingskosten]]=1,Tb_Activiteiten[[#Headers],[Afschrijvingskosten]],""))</f>
        <v/>
      </c>
      <c r="AY640" t="str">
        <f>IF(ISNUMBER(FIND("overige",Methode_Keuze)),"",IF(Tb_Activiteiten[[#This Row],[Vergoeding]]=1,Tb_Activiteiten[[#Headers],[Vergoeding]],""))</f>
        <v/>
      </c>
      <c r="AZ640" t="str">
        <f>IF(ISNUMBER(FIND("arbeid",Methode_Keuze)),"",IF(Tb_Activiteiten[[#This Row],[Arbeidskosten - vast tarief (excl eigen arbeid)]]=1,Tb_Activiteiten[[#Headers],[Arbeidskosten - vast tarief (excl eigen arbeid)]],""))</f>
        <v/>
      </c>
      <c r="BA640" t="str">
        <f>IF(ISNUMBER(FIND("overige",Methode_Keuze)),"",IF(Tb_Activiteiten[[#This Row],[Overige kosten]]=1,Tb_Activiteiten[[#Headers],[Overige kosten]],""))</f>
        <v/>
      </c>
    </row>
    <row r="641" spans="1:53" x14ac:dyDescent="0.25">
      <c r="A641" s="231"/>
      <c r="F641" s="64"/>
      <c r="G641" s="64"/>
      <c r="H641" s="275"/>
      <c r="I641" s="275"/>
      <c r="J641" s="275"/>
      <c r="K641" s="275"/>
      <c r="O641" s="56"/>
      <c r="Q641" t="str">
        <f>IFERROR(IF(VLOOKUP(Tb_Activiteiten[[#This Row],[Openstelling]],Tb_Openstelling[],2,0)=1,1,""),"")</f>
        <v/>
      </c>
      <c r="AK641" t="str">
        <f>IF(ISNUMBER(FIND("arbeid",Methode_Keuze)),"",IF(ISNUMBER(FIND("arbeid",Methode_Keuze)),"",IF(Tb_Activiteiten[[#This Row],[Loonkosten]]=1,Tb_Activiteiten[[#Headers],[Loonkosten]],"")))</f>
        <v/>
      </c>
      <c r="AL641" t="str">
        <f>IF(ISNUMBER(FIND("arbeid",Methode_Keuze)),"",IF(ISNUMBER(FIND("arbeid",Methode_Keuze)),"",IF(Tb_Activiteiten[[#This Row],[Eigen arbeid]]=1,Tb_Activiteiten[[#Headers],[Eigen arbeid]],"")))</f>
        <v/>
      </c>
      <c r="AM641" t="str">
        <f>IF(ISNUMBER(FIND("arbeid",Methode_Keuze)),"",IF(ISNUMBER(FIND("arbeid",Methode_Keuze)),"",IF(Tb_Activiteiten[[#This Row],[Projectmedewerker]]=1,Tb_Activiteiten[[#Headers],[Projectmedewerker]],"")))</f>
        <v/>
      </c>
      <c r="AN641" t="str">
        <f>IF(ISNUMBER(FIND("arbeid",Methode_Keuze)),"",IF(ISNUMBER(FIND("arbeid",Methode_Keuze)),"",IF(Tb_Activiteiten[[#This Row],[Landbouwer]]=1,Tb_Activiteiten[[#Headers],[Landbouwer]],"")))</f>
        <v/>
      </c>
      <c r="AO641" t="str">
        <f>IF(ISNUMBER(FIND("arbeid",Methode_Keuze)),"",IF(ISNUMBER(FIND("arbeid",Methode_Keuze)),"",IF(Tb_Activiteiten[[#This Row],[Adviseur]]=1,Tb_Activiteiten[[#Headers],[Adviseur]],"")))</f>
        <v/>
      </c>
      <c r="AP641" t="str">
        <f>IF(ISNUMBER(FIND("arbeid",Methode_Keuze)),"",IF(ISNUMBER(FIND("arbeid",Methode_Keuze)),"",IF(Tb_Activiteiten[[#This Row],[Projectleider/Expert]]=1,Tb_Activiteiten[[#Headers],[Projectleider/Expert]],"")))</f>
        <v/>
      </c>
      <c r="AQ641" t="str">
        <f>IF(ISNUMBER(FIND("arbeid",Methode_Keuze)),"",IF(ISNUMBER(FIND("arbeid",Methode_Keuze)),"",IF(Tb_Activiteiten[[#This Row],[Arbeidskosten]]=1,Tb_Activiteiten[[#Headers],[Arbeidskosten]],"")))</f>
        <v/>
      </c>
      <c r="AR641" t="str">
        <f>IF(ISNUMBER(FIND("arbeid",Methode_Keuze)),"",IF(ISNUMBER(FIND("arbeid",Methode_Keuze)),"",IF(Tb_Activiteiten[[#This Row],[Arbeidskosten op basis van IKS]]=1,Tb_Activiteiten[[#Headers],[Arbeidskosten op basis van IKS]],"")))</f>
        <v/>
      </c>
      <c r="AS641" t="str">
        <f>IF(ISNUMBER(FIND("overige",Methode_Keuze)),"",IF(Tb_Activiteiten[[#This Row],[Kosten derden exclusief btw]]=1,Tb_Activiteiten[[#Headers],[Kosten derden exclusief btw]],""))</f>
        <v/>
      </c>
      <c r="AT641" t="str">
        <f>IF(ISNUMBER(FIND("overige",Methode_Keuze)),"",IF(Tb_Activiteiten[[#This Row],[Niet verrekenbare btw]]=1,Tb_Activiteiten[[#Headers],[Niet verrekenbare btw]],""))</f>
        <v/>
      </c>
      <c r="AU641" t="str">
        <f>IF(ISNUMBER(FIND("overige",Methode_Keuze)),"",IF(Tb_Activiteiten[[#This Row],[Grondkosten]]=1,Tb_Activiteiten[[#Headers],[Grondkosten]],""))</f>
        <v/>
      </c>
      <c r="AV641" t="str">
        <f>IF(ISNUMBER(FIND("overige",Methode_Keuze)),"",IF(Tb_Activiteiten[[#This Row],[Bijdrage in natura (overige)]]=1,Tb_Activiteiten[[#Headers],[Bijdrage in natura (overige)]],""))</f>
        <v/>
      </c>
      <c r="AW641" t="str">
        <f>IF(ISNUMBER(FIND("overige",Methode_Keuze)),"",IF(Tb_Activiteiten[[#This Row],[Bijdrage in natura (vrijwilligers)]]=1,Tb_Activiteiten[[#Headers],[Bijdrage in natura (vrijwilligers)]],""))</f>
        <v/>
      </c>
      <c r="AX641" t="str">
        <f>IF(ISNUMBER(FIND("overige",Methode_Keuze)),"",IF(Tb_Activiteiten[[#This Row],[Afschrijvingskosten]]=1,Tb_Activiteiten[[#Headers],[Afschrijvingskosten]],""))</f>
        <v/>
      </c>
      <c r="AY641" t="str">
        <f>IF(ISNUMBER(FIND("overige",Methode_Keuze)),"",IF(Tb_Activiteiten[[#This Row],[Vergoeding]]=1,Tb_Activiteiten[[#Headers],[Vergoeding]],""))</f>
        <v/>
      </c>
      <c r="AZ641" t="str">
        <f>IF(ISNUMBER(FIND("arbeid",Methode_Keuze)),"",IF(Tb_Activiteiten[[#This Row],[Arbeidskosten - vast tarief (excl eigen arbeid)]]=1,Tb_Activiteiten[[#Headers],[Arbeidskosten - vast tarief (excl eigen arbeid)]],""))</f>
        <v/>
      </c>
      <c r="BA641" t="str">
        <f>IF(ISNUMBER(FIND("overige",Methode_Keuze)),"",IF(Tb_Activiteiten[[#This Row],[Overige kosten]]=1,Tb_Activiteiten[[#Headers],[Overige kosten]],""))</f>
        <v/>
      </c>
    </row>
    <row r="642" spans="1:53" x14ac:dyDescent="0.25">
      <c r="A642" s="231"/>
      <c r="F642" s="64"/>
      <c r="G642" s="64"/>
      <c r="H642" s="275"/>
      <c r="I642" s="275"/>
      <c r="J642" s="275"/>
      <c r="K642" s="275"/>
      <c r="O642" s="56"/>
      <c r="Q642" t="str">
        <f>IFERROR(IF(VLOOKUP(Tb_Activiteiten[[#This Row],[Openstelling]],Tb_Openstelling[],2,0)=1,1,""),"")</f>
        <v/>
      </c>
      <c r="AK642" t="str">
        <f>IF(ISNUMBER(FIND("arbeid",Methode_Keuze)),"",IF(ISNUMBER(FIND("arbeid",Methode_Keuze)),"",IF(Tb_Activiteiten[[#This Row],[Loonkosten]]=1,Tb_Activiteiten[[#Headers],[Loonkosten]],"")))</f>
        <v/>
      </c>
      <c r="AL642" t="str">
        <f>IF(ISNUMBER(FIND("arbeid",Methode_Keuze)),"",IF(ISNUMBER(FIND("arbeid",Methode_Keuze)),"",IF(Tb_Activiteiten[[#This Row],[Eigen arbeid]]=1,Tb_Activiteiten[[#Headers],[Eigen arbeid]],"")))</f>
        <v/>
      </c>
      <c r="AM642" t="str">
        <f>IF(ISNUMBER(FIND("arbeid",Methode_Keuze)),"",IF(ISNUMBER(FIND("arbeid",Methode_Keuze)),"",IF(Tb_Activiteiten[[#This Row],[Projectmedewerker]]=1,Tb_Activiteiten[[#Headers],[Projectmedewerker]],"")))</f>
        <v/>
      </c>
      <c r="AN642" t="str">
        <f>IF(ISNUMBER(FIND("arbeid",Methode_Keuze)),"",IF(ISNUMBER(FIND("arbeid",Methode_Keuze)),"",IF(Tb_Activiteiten[[#This Row],[Landbouwer]]=1,Tb_Activiteiten[[#Headers],[Landbouwer]],"")))</f>
        <v/>
      </c>
      <c r="AO642" t="str">
        <f>IF(ISNUMBER(FIND("arbeid",Methode_Keuze)),"",IF(ISNUMBER(FIND("arbeid",Methode_Keuze)),"",IF(Tb_Activiteiten[[#This Row],[Adviseur]]=1,Tb_Activiteiten[[#Headers],[Adviseur]],"")))</f>
        <v/>
      </c>
      <c r="AP642" t="str">
        <f>IF(ISNUMBER(FIND("arbeid",Methode_Keuze)),"",IF(ISNUMBER(FIND("arbeid",Methode_Keuze)),"",IF(Tb_Activiteiten[[#This Row],[Projectleider/Expert]]=1,Tb_Activiteiten[[#Headers],[Projectleider/Expert]],"")))</f>
        <v/>
      </c>
      <c r="AQ642" t="str">
        <f>IF(ISNUMBER(FIND("arbeid",Methode_Keuze)),"",IF(ISNUMBER(FIND("arbeid",Methode_Keuze)),"",IF(Tb_Activiteiten[[#This Row],[Arbeidskosten]]=1,Tb_Activiteiten[[#Headers],[Arbeidskosten]],"")))</f>
        <v/>
      </c>
      <c r="AR642" t="str">
        <f>IF(ISNUMBER(FIND("arbeid",Methode_Keuze)),"",IF(ISNUMBER(FIND("arbeid",Methode_Keuze)),"",IF(Tb_Activiteiten[[#This Row],[Arbeidskosten op basis van IKS]]=1,Tb_Activiteiten[[#Headers],[Arbeidskosten op basis van IKS]],"")))</f>
        <v/>
      </c>
      <c r="AS642" t="str">
        <f>IF(ISNUMBER(FIND("overige",Methode_Keuze)),"",IF(Tb_Activiteiten[[#This Row],[Kosten derden exclusief btw]]=1,Tb_Activiteiten[[#Headers],[Kosten derden exclusief btw]],""))</f>
        <v/>
      </c>
      <c r="AT642" t="str">
        <f>IF(ISNUMBER(FIND("overige",Methode_Keuze)),"",IF(Tb_Activiteiten[[#This Row],[Niet verrekenbare btw]]=1,Tb_Activiteiten[[#Headers],[Niet verrekenbare btw]],""))</f>
        <v/>
      </c>
      <c r="AU642" t="str">
        <f>IF(ISNUMBER(FIND("overige",Methode_Keuze)),"",IF(Tb_Activiteiten[[#This Row],[Grondkosten]]=1,Tb_Activiteiten[[#Headers],[Grondkosten]],""))</f>
        <v/>
      </c>
      <c r="AV642" t="str">
        <f>IF(ISNUMBER(FIND("overige",Methode_Keuze)),"",IF(Tb_Activiteiten[[#This Row],[Bijdrage in natura (overige)]]=1,Tb_Activiteiten[[#Headers],[Bijdrage in natura (overige)]],""))</f>
        <v/>
      </c>
      <c r="AW642" t="str">
        <f>IF(ISNUMBER(FIND("overige",Methode_Keuze)),"",IF(Tb_Activiteiten[[#This Row],[Bijdrage in natura (vrijwilligers)]]=1,Tb_Activiteiten[[#Headers],[Bijdrage in natura (vrijwilligers)]],""))</f>
        <v/>
      </c>
      <c r="AX642" t="str">
        <f>IF(ISNUMBER(FIND("overige",Methode_Keuze)),"",IF(Tb_Activiteiten[[#This Row],[Afschrijvingskosten]]=1,Tb_Activiteiten[[#Headers],[Afschrijvingskosten]],""))</f>
        <v/>
      </c>
      <c r="AY642" t="str">
        <f>IF(ISNUMBER(FIND("overige",Methode_Keuze)),"",IF(Tb_Activiteiten[[#This Row],[Vergoeding]]=1,Tb_Activiteiten[[#Headers],[Vergoeding]],""))</f>
        <v/>
      </c>
      <c r="AZ642" t="str">
        <f>IF(ISNUMBER(FIND("arbeid",Methode_Keuze)),"",IF(Tb_Activiteiten[[#This Row],[Arbeidskosten - vast tarief (excl eigen arbeid)]]=1,Tb_Activiteiten[[#Headers],[Arbeidskosten - vast tarief (excl eigen arbeid)]],""))</f>
        <v/>
      </c>
      <c r="BA642" t="str">
        <f>IF(ISNUMBER(FIND("overige",Methode_Keuze)),"",IF(Tb_Activiteiten[[#This Row],[Overige kosten]]=1,Tb_Activiteiten[[#Headers],[Overige kosten]],""))</f>
        <v/>
      </c>
    </row>
    <row r="643" spans="1:53" x14ac:dyDescent="0.25">
      <c r="A643" s="231"/>
      <c r="F643" s="64"/>
      <c r="G643" s="64"/>
      <c r="H643" s="275"/>
      <c r="I643" s="275"/>
      <c r="J643" s="275"/>
      <c r="K643" s="275"/>
      <c r="O643" s="56"/>
      <c r="Q643" t="str">
        <f>IFERROR(IF(VLOOKUP(Tb_Activiteiten[[#This Row],[Openstelling]],Tb_Openstelling[],2,0)=1,1,""),"")</f>
        <v/>
      </c>
      <c r="AK643" t="str">
        <f>IF(ISNUMBER(FIND("arbeid",Methode_Keuze)),"",IF(ISNUMBER(FIND("arbeid",Methode_Keuze)),"",IF(Tb_Activiteiten[[#This Row],[Loonkosten]]=1,Tb_Activiteiten[[#Headers],[Loonkosten]],"")))</f>
        <v/>
      </c>
      <c r="AL643" t="str">
        <f>IF(ISNUMBER(FIND("arbeid",Methode_Keuze)),"",IF(ISNUMBER(FIND("arbeid",Methode_Keuze)),"",IF(Tb_Activiteiten[[#This Row],[Eigen arbeid]]=1,Tb_Activiteiten[[#Headers],[Eigen arbeid]],"")))</f>
        <v/>
      </c>
      <c r="AM643" t="str">
        <f>IF(ISNUMBER(FIND("arbeid",Methode_Keuze)),"",IF(ISNUMBER(FIND("arbeid",Methode_Keuze)),"",IF(Tb_Activiteiten[[#This Row],[Projectmedewerker]]=1,Tb_Activiteiten[[#Headers],[Projectmedewerker]],"")))</f>
        <v/>
      </c>
      <c r="AN643" t="str">
        <f>IF(ISNUMBER(FIND("arbeid",Methode_Keuze)),"",IF(ISNUMBER(FIND("arbeid",Methode_Keuze)),"",IF(Tb_Activiteiten[[#This Row],[Landbouwer]]=1,Tb_Activiteiten[[#Headers],[Landbouwer]],"")))</f>
        <v/>
      </c>
      <c r="AO643" t="str">
        <f>IF(ISNUMBER(FIND("arbeid",Methode_Keuze)),"",IF(ISNUMBER(FIND("arbeid",Methode_Keuze)),"",IF(Tb_Activiteiten[[#This Row],[Adviseur]]=1,Tb_Activiteiten[[#Headers],[Adviseur]],"")))</f>
        <v/>
      </c>
      <c r="AP643" t="str">
        <f>IF(ISNUMBER(FIND("arbeid",Methode_Keuze)),"",IF(ISNUMBER(FIND("arbeid",Methode_Keuze)),"",IF(Tb_Activiteiten[[#This Row],[Projectleider/Expert]]=1,Tb_Activiteiten[[#Headers],[Projectleider/Expert]],"")))</f>
        <v/>
      </c>
      <c r="AQ643" t="str">
        <f>IF(ISNUMBER(FIND("arbeid",Methode_Keuze)),"",IF(ISNUMBER(FIND("arbeid",Methode_Keuze)),"",IF(Tb_Activiteiten[[#This Row],[Arbeidskosten]]=1,Tb_Activiteiten[[#Headers],[Arbeidskosten]],"")))</f>
        <v/>
      </c>
      <c r="AR643" t="str">
        <f>IF(ISNUMBER(FIND("arbeid",Methode_Keuze)),"",IF(ISNUMBER(FIND("arbeid",Methode_Keuze)),"",IF(Tb_Activiteiten[[#This Row],[Arbeidskosten op basis van IKS]]=1,Tb_Activiteiten[[#Headers],[Arbeidskosten op basis van IKS]],"")))</f>
        <v/>
      </c>
      <c r="AS643" t="str">
        <f>IF(ISNUMBER(FIND("overige",Methode_Keuze)),"",IF(Tb_Activiteiten[[#This Row],[Kosten derden exclusief btw]]=1,Tb_Activiteiten[[#Headers],[Kosten derden exclusief btw]],""))</f>
        <v/>
      </c>
      <c r="AT643" t="str">
        <f>IF(ISNUMBER(FIND("overige",Methode_Keuze)),"",IF(Tb_Activiteiten[[#This Row],[Niet verrekenbare btw]]=1,Tb_Activiteiten[[#Headers],[Niet verrekenbare btw]],""))</f>
        <v/>
      </c>
      <c r="AU643" t="str">
        <f>IF(ISNUMBER(FIND("overige",Methode_Keuze)),"",IF(Tb_Activiteiten[[#This Row],[Grondkosten]]=1,Tb_Activiteiten[[#Headers],[Grondkosten]],""))</f>
        <v/>
      </c>
      <c r="AV643" t="str">
        <f>IF(ISNUMBER(FIND("overige",Methode_Keuze)),"",IF(Tb_Activiteiten[[#This Row],[Bijdrage in natura (overige)]]=1,Tb_Activiteiten[[#Headers],[Bijdrage in natura (overige)]],""))</f>
        <v/>
      </c>
      <c r="AW643" t="str">
        <f>IF(ISNUMBER(FIND("overige",Methode_Keuze)),"",IF(Tb_Activiteiten[[#This Row],[Bijdrage in natura (vrijwilligers)]]=1,Tb_Activiteiten[[#Headers],[Bijdrage in natura (vrijwilligers)]],""))</f>
        <v/>
      </c>
      <c r="AX643" t="str">
        <f>IF(ISNUMBER(FIND("overige",Methode_Keuze)),"",IF(Tb_Activiteiten[[#This Row],[Afschrijvingskosten]]=1,Tb_Activiteiten[[#Headers],[Afschrijvingskosten]],""))</f>
        <v/>
      </c>
      <c r="AY643" t="str">
        <f>IF(ISNUMBER(FIND("overige",Methode_Keuze)),"",IF(Tb_Activiteiten[[#This Row],[Vergoeding]]=1,Tb_Activiteiten[[#Headers],[Vergoeding]],""))</f>
        <v/>
      </c>
      <c r="AZ643" t="str">
        <f>IF(ISNUMBER(FIND("arbeid",Methode_Keuze)),"",IF(Tb_Activiteiten[[#This Row],[Arbeidskosten - vast tarief (excl eigen arbeid)]]=1,Tb_Activiteiten[[#Headers],[Arbeidskosten - vast tarief (excl eigen arbeid)]],""))</f>
        <v/>
      </c>
      <c r="BA643" t="str">
        <f>IF(ISNUMBER(FIND("overige",Methode_Keuze)),"",IF(Tb_Activiteiten[[#This Row],[Overige kosten]]=1,Tb_Activiteiten[[#Headers],[Overige kosten]],""))</f>
        <v/>
      </c>
    </row>
    <row r="644" spans="1:53" x14ac:dyDescent="0.25">
      <c r="A644" s="231"/>
      <c r="F644" s="64"/>
      <c r="G644" s="64"/>
      <c r="H644" s="275"/>
      <c r="I644" s="275"/>
      <c r="J644" s="275"/>
      <c r="K644" s="275"/>
      <c r="O644" s="56"/>
      <c r="Q644" t="str">
        <f>IFERROR(IF(VLOOKUP(Tb_Activiteiten[[#This Row],[Openstelling]],Tb_Openstelling[],2,0)=1,1,""),"")</f>
        <v/>
      </c>
      <c r="AK644" t="str">
        <f>IF(ISNUMBER(FIND("arbeid",Methode_Keuze)),"",IF(ISNUMBER(FIND("arbeid",Methode_Keuze)),"",IF(Tb_Activiteiten[[#This Row],[Loonkosten]]=1,Tb_Activiteiten[[#Headers],[Loonkosten]],"")))</f>
        <v/>
      </c>
      <c r="AL644" t="str">
        <f>IF(ISNUMBER(FIND("arbeid",Methode_Keuze)),"",IF(ISNUMBER(FIND("arbeid",Methode_Keuze)),"",IF(Tb_Activiteiten[[#This Row],[Eigen arbeid]]=1,Tb_Activiteiten[[#Headers],[Eigen arbeid]],"")))</f>
        <v/>
      </c>
      <c r="AM644" t="str">
        <f>IF(ISNUMBER(FIND("arbeid",Methode_Keuze)),"",IF(ISNUMBER(FIND("arbeid",Methode_Keuze)),"",IF(Tb_Activiteiten[[#This Row],[Projectmedewerker]]=1,Tb_Activiteiten[[#Headers],[Projectmedewerker]],"")))</f>
        <v/>
      </c>
      <c r="AN644" t="str">
        <f>IF(ISNUMBER(FIND("arbeid",Methode_Keuze)),"",IF(ISNUMBER(FIND("arbeid",Methode_Keuze)),"",IF(Tb_Activiteiten[[#This Row],[Landbouwer]]=1,Tb_Activiteiten[[#Headers],[Landbouwer]],"")))</f>
        <v/>
      </c>
      <c r="AO644" t="str">
        <f>IF(ISNUMBER(FIND("arbeid",Methode_Keuze)),"",IF(ISNUMBER(FIND("arbeid",Methode_Keuze)),"",IF(Tb_Activiteiten[[#This Row],[Adviseur]]=1,Tb_Activiteiten[[#Headers],[Adviseur]],"")))</f>
        <v/>
      </c>
      <c r="AP644" t="str">
        <f>IF(ISNUMBER(FIND("arbeid",Methode_Keuze)),"",IF(ISNUMBER(FIND("arbeid",Methode_Keuze)),"",IF(Tb_Activiteiten[[#This Row],[Projectleider/Expert]]=1,Tb_Activiteiten[[#Headers],[Projectleider/Expert]],"")))</f>
        <v/>
      </c>
      <c r="AQ644" t="str">
        <f>IF(ISNUMBER(FIND("arbeid",Methode_Keuze)),"",IF(ISNUMBER(FIND("arbeid",Methode_Keuze)),"",IF(Tb_Activiteiten[[#This Row],[Arbeidskosten]]=1,Tb_Activiteiten[[#Headers],[Arbeidskosten]],"")))</f>
        <v/>
      </c>
      <c r="AR644" t="str">
        <f>IF(ISNUMBER(FIND("arbeid",Methode_Keuze)),"",IF(ISNUMBER(FIND("arbeid",Methode_Keuze)),"",IF(Tb_Activiteiten[[#This Row],[Arbeidskosten op basis van IKS]]=1,Tb_Activiteiten[[#Headers],[Arbeidskosten op basis van IKS]],"")))</f>
        <v/>
      </c>
      <c r="AS644" t="str">
        <f>IF(ISNUMBER(FIND("overige",Methode_Keuze)),"",IF(Tb_Activiteiten[[#This Row],[Kosten derden exclusief btw]]=1,Tb_Activiteiten[[#Headers],[Kosten derden exclusief btw]],""))</f>
        <v/>
      </c>
      <c r="AT644" t="str">
        <f>IF(ISNUMBER(FIND("overige",Methode_Keuze)),"",IF(Tb_Activiteiten[[#This Row],[Niet verrekenbare btw]]=1,Tb_Activiteiten[[#Headers],[Niet verrekenbare btw]],""))</f>
        <v/>
      </c>
      <c r="AU644" t="str">
        <f>IF(ISNUMBER(FIND("overige",Methode_Keuze)),"",IF(Tb_Activiteiten[[#This Row],[Grondkosten]]=1,Tb_Activiteiten[[#Headers],[Grondkosten]],""))</f>
        <v/>
      </c>
      <c r="AV644" t="str">
        <f>IF(ISNUMBER(FIND("overige",Methode_Keuze)),"",IF(Tb_Activiteiten[[#This Row],[Bijdrage in natura (overige)]]=1,Tb_Activiteiten[[#Headers],[Bijdrage in natura (overige)]],""))</f>
        <v/>
      </c>
      <c r="AW644" t="str">
        <f>IF(ISNUMBER(FIND("overige",Methode_Keuze)),"",IF(Tb_Activiteiten[[#This Row],[Bijdrage in natura (vrijwilligers)]]=1,Tb_Activiteiten[[#Headers],[Bijdrage in natura (vrijwilligers)]],""))</f>
        <v/>
      </c>
      <c r="AX644" t="str">
        <f>IF(ISNUMBER(FIND("overige",Methode_Keuze)),"",IF(Tb_Activiteiten[[#This Row],[Afschrijvingskosten]]=1,Tb_Activiteiten[[#Headers],[Afschrijvingskosten]],""))</f>
        <v/>
      </c>
      <c r="AY644" t="str">
        <f>IF(ISNUMBER(FIND("overige",Methode_Keuze)),"",IF(Tb_Activiteiten[[#This Row],[Vergoeding]]=1,Tb_Activiteiten[[#Headers],[Vergoeding]],""))</f>
        <v/>
      </c>
      <c r="AZ644" t="str">
        <f>IF(ISNUMBER(FIND("arbeid",Methode_Keuze)),"",IF(Tb_Activiteiten[[#This Row],[Arbeidskosten - vast tarief (excl eigen arbeid)]]=1,Tb_Activiteiten[[#Headers],[Arbeidskosten - vast tarief (excl eigen arbeid)]],""))</f>
        <v/>
      </c>
      <c r="BA644" t="str">
        <f>IF(ISNUMBER(FIND("overige",Methode_Keuze)),"",IF(Tb_Activiteiten[[#This Row],[Overige kosten]]=1,Tb_Activiteiten[[#Headers],[Overige kosten]],""))</f>
        <v/>
      </c>
    </row>
    <row r="645" spans="1:53" x14ac:dyDescent="0.25">
      <c r="A645" s="231"/>
      <c r="F645" s="64"/>
      <c r="G645" s="64"/>
      <c r="H645" s="275"/>
      <c r="I645" s="275"/>
      <c r="J645" s="275"/>
      <c r="K645" s="275"/>
      <c r="O645" s="56"/>
      <c r="Q645" t="str">
        <f>IFERROR(IF(VLOOKUP(Tb_Activiteiten[[#This Row],[Openstelling]],Tb_Openstelling[],2,0)=1,1,""),"")</f>
        <v/>
      </c>
      <c r="AK645" t="str">
        <f>IF(ISNUMBER(FIND("arbeid",Methode_Keuze)),"",IF(ISNUMBER(FIND("arbeid",Methode_Keuze)),"",IF(Tb_Activiteiten[[#This Row],[Loonkosten]]=1,Tb_Activiteiten[[#Headers],[Loonkosten]],"")))</f>
        <v/>
      </c>
      <c r="AL645" t="str">
        <f>IF(ISNUMBER(FIND("arbeid",Methode_Keuze)),"",IF(ISNUMBER(FIND("arbeid",Methode_Keuze)),"",IF(Tb_Activiteiten[[#This Row],[Eigen arbeid]]=1,Tb_Activiteiten[[#Headers],[Eigen arbeid]],"")))</f>
        <v/>
      </c>
      <c r="AM645" t="str">
        <f>IF(ISNUMBER(FIND("arbeid",Methode_Keuze)),"",IF(ISNUMBER(FIND("arbeid",Methode_Keuze)),"",IF(Tb_Activiteiten[[#This Row],[Projectmedewerker]]=1,Tb_Activiteiten[[#Headers],[Projectmedewerker]],"")))</f>
        <v/>
      </c>
      <c r="AN645" t="str">
        <f>IF(ISNUMBER(FIND("arbeid",Methode_Keuze)),"",IF(ISNUMBER(FIND("arbeid",Methode_Keuze)),"",IF(Tb_Activiteiten[[#This Row],[Landbouwer]]=1,Tb_Activiteiten[[#Headers],[Landbouwer]],"")))</f>
        <v/>
      </c>
      <c r="AO645" t="str">
        <f>IF(ISNUMBER(FIND("arbeid",Methode_Keuze)),"",IF(ISNUMBER(FIND("arbeid",Methode_Keuze)),"",IF(Tb_Activiteiten[[#This Row],[Adviseur]]=1,Tb_Activiteiten[[#Headers],[Adviseur]],"")))</f>
        <v/>
      </c>
      <c r="AP645" t="str">
        <f>IF(ISNUMBER(FIND("arbeid",Methode_Keuze)),"",IF(ISNUMBER(FIND("arbeid",Methode_Keuze)),"",IF(Tb_Activiteiten[[#This Row],[Projectleider/Expert]]=1,Tb_Activiteiten[[#Headers],[Projectleider/Expert]],"")))</f>
        <v/>
      </c>
      <c r="AQ645" t="str">
        <f>IF(ISNUMBER(FIND("arbeid",Methode_Keuze)),"",IF(ISNUMBER(FIND("arbeid",Methode_Keuze)),"",IF(Tb_Activiteiten[[#This Row],[Arbeidskosten]]=1,Tb_Activiteiten[[#Headers],[Arbeidskosten]],"")))</f>
        <v/>
      </c>
      <c r="AR645" t="str">
        <f>IF(ISNUMBER(FIND("arbeid",Methode_Keuze)),"",IF(ISNUMBER(FIND("arbeid",Methode_Keuze)),"",IF(Tb_Activiteiten[[#This Row],[Arbeidskosten op basis van IKS]]=1,Tb_Activiteiten[[#Headers],[Arbeidskosten op basis van IKS]],"")))</f>
        <v/>
      </c>
      <c r="AS645" t="str">
        <f>IF(ISNUMBER(FIND("overige",Methode_Keuze)),"",IF(Tb_Activiteiten[[#This Row],[Kosten derden exclusief btw]]=1,Tb_Activiteiten[[#Headers],[Kosten derden exclusief btw]],""))</f>
        <v/>
      </c>
      <c r="AT645" t="str">
        <f>IF(ISNUMBER(FIND("overige",Methode_Keuze)),"",IF(Tb_Activiteiten[[#This Row],[Niet verrekenbare btw]]=1,Tb_Activiteiten[[#Headers],[Niet verrekenbare btw]],""))</f>
        <v/>
      </c>
      <c r="AU645" t="str">
        <f>IF(ISNUMBER(FIND("overige",Methode_Keuze)),"",IF(Tb_Activiteiten[[#This Row],[Grondkosten]]=1,Tb_Activiteiten[[#Headers],[Grondkosten]],""))</f>
        <v/>
      </c>
      <c r="AV645" t="str">
        <f>IF(ISNUMBER(FIND("overige",Methode_Keuze)),"",IF(Tb_Activiteiten[[#This Row],[Bijdrage in natura (overige)]]=1,Tb_Activiteiten[[#Headers],[Bijdrage in natura (overige)]],""))</f>
        <v/>
      </c>
      <c r="AW645" t="str">
        <f>IF(ISNUMBER(FIND("overige",Methode_Keuze)),"",IF(Tb_Activiteiten[[#This Row],[Bijdrage in natura (vrijwilligers)]]=1,Tb_Activiteiten[[#Headers],[Bijdrage in natura (vrijwilligers)]],""))</f>
        <v/>
      </c>
      <c r="AX645" t="str">
        <f>IF(ISNUMBER(FIND("overige",Methode_Keuze)),"",IF(Tb_Activiteiten[[#This Row],[Afschrijvingskosten]]=1,Tb_Activiteiten[[#Headers],[Afschrijvingskosten]],""))</f>
        <v/>
      </c>
      <c r="AY645" t="str">
        <f>IF(ISNUMBER(FIND("overige",Methode_Keuze)),"",IF(Tb_Activiteiten[[#This Row],[Vergoeding]]=1,Tb_Activiteiten[[#Headers],[Vergoeding]],""))</f>
        <v/>
      </c>
      <c r="AZ645" t="str">
        <f>IF(ISNUMBER(FIND("arbeid",Methode_Keuze)),"",IF(Tb_Activiteiten[[#This Row],[Arbeidskosten - vast tarief (excl eigen arbeid)]]=1,Tb_Activiteiten[[#Headers],[Arbeidskosten - vast tarief (excl eigen arbeid)]],""))</f>
        <v/>
      </c>
      <c r="BA645" t="str">
        <f>IF(ISNUMBER(FIND("overige",Methode_Keuze)),"",IF(Tb_Activiteiten[[#This Row],[Overige kosten]]=1,Tb_Activiteiten[[#Headers],[Overige kosten]],""))</f>
        <v/>
      </c>
    </row>
    <row r="646" spans="1:53" x14ac:dyDescent="0.25">
      <c r="A646" s="231"/>
      <c r="F646" s="64"/>
      <c r="G646" s="64"/>
      <c r="H646" s="275"/>
      <c r="I646" s="275"/>
      <c r="J646" s="275"/>
      <c r="K646" s="275"/>
      <c r="O646" s="56"/>
      <c r="Q646" t="str">
        <f>IFERROR(IF(VLOOKUP(Tb_Activiteiten[[#This Row],[Openstelling]],Tb_Openstelling[],2,0)=1,1,""),"")</f>
        <v/>
      </c>
      <c r="AK646" t="str">
        <f>IF(ISNUMBER(FIND("arbeid",Methode_Keuze)),"",IF(ISNUMBER(FIND("arbeid",Methode_Keuze)),"",IF(Tb_Activiteiten[[#This Row],[Loonkosten]]=1,Tb_Activiteiten[[#Headers],[Loonkosten]],"")))</f>
        <v/>
      </c>
      <c r="AL646" t="str">
        <f>IF(ISNUMBER(FIND("arbeid",Methode_Keuze)),"",IF(ISNUMBER(FIND("arbeid",Methode_Keuze)),"",IF(Tb_Activiteiten[[#This Row],[Eigen arbeid]]=1,Tb_Activiteiten[[#Headers],[Eigen arbeid]],"")))</f>
        <v/>
      </c>
      <c r="AM646" t="str">
        <f>IF(ISNUMBER(FIND("arbeid",Methode_Keuze)),"",IF(ISNUMBER(FIND("arbeid",Methode_Keuze)),"",IF(Tb_Activiteiten[[#This Row],[Projectmedewerker]]=1,Tb_Activiteiten[[#Headers],[Projectmedewerker]],"")))</f>
        <v/>
      </c>
      <c r="AN646" t="str">
        <f>IF(ISNUMBER(FIND("arbeid",Methode_Keuze)),"",IF(ISNUMBER(FIND("arbeid",Methode_Keuze)),"",IF(Tb_Activiteiten[[#This Row],[Landbouwer]]=1,Tb_Activiteiten[[#Headers],[Landbouwer]],"")))</f>
        <v/>
      </c>
      <c r="AO646" t="str">
        <f>IF(ISNUMBER(FIND("arbeid",Methode_Keuze)),"",IF(ISNUMBER(FIND("arbeid",Methode_Keuze)),"",IF(Tb_Activiteiten[[#This Row],[Adviseur]]=1,Tb_Activiteiten[[#Headers],[Adviseur]],"")))</f>
        <v/>
      </c>
      <c r="AP646" t="str">
        <f>IF(ISNUMBER(FIND("arbeid",Methode_Keuze)),"",IF(ISNUMBER(FIND("arbeid",Methode_Keuze)),"",IF(Tb_Activiteiten[[#This Row],[Projectleider/Expert]]=1,Tb_Activiteiten[[#Headers],[Projectleider/Expert]],"")))</f>
        <v/>
      </c>
      <c r="AQ646" t="str">
        <f>IF(ISNUMBER(FIND("arbeid",Methode_Keuze)),"",IF(ISNUMBER(FIND("arbeid",Methode_Keuze)),"",IF(Tb_Activiteiten[[#This Row],[Arbeidskosten]]=1,Tb_Activiteiten[[#Headers],[Arbeidskosten]],"")))</f>
        <v/>
      </c>
      <c r="AR646" t="str">
        <f>IF(ISNUMBER(FIND("arbeid",Methode_Keuze)),"",IF(ISNUMBER(FIND("arbeid",Methode_Keuze)),"",IF(Tb_Activiteiten[[#This Row],[Arbeidskosten op basis van IKS]]=1,Tb_Activiteiten[[#Headers],[Arbeidskosten op basis van IKS]],"")))</f>
        <v/>
      </c>
      <c r="AS646" t="str">
        <f>IF(ISNUMBER(FIND("overige",Methode_Keuze)),"",IF(Tb_Activiteiten[[#This Row],[Kosten derden exclusief btw]]=1,Tb_Activiteiten[[#Headers],[Kosten derden exclusief btw]],""))</f>
        <v/>
      </c>
      <c r="AT646" t="str">
        <f>IF(ISNUMBER(FIND("overige",Methode_Keuze)),"",IF(Tb_Activiteiten[[#This Row],[Niet verrekenbare btw]]=1,Tb_Activiteiten[[#Headers],[Niet verrekenbare btw]],""))</f>
        <v/>
      </c>
      <c r="AU646" t="str">
        <f>IF(ISNUMBER(FIND("overige",Methode_Keuze)),"",IF(Tb_Activiteiten[[#This Row],[Grondkosten]]=1,Tb_Activiteiten[[#Headers],[Grondkosten]],""))</f>
        <v/>
      </c>
      <c r="AV646" t="str">
        <f>IF(ISNUMBER(FIND("overige",Methode_Keuze)),"",IF(Tb_Activiteiten[[#This Row],[Bijdrage in natura (overige)]]=1,Tb_Activiteiten[[#Headers],[Bijdrage in natura (overige)]],""))</f>
        <v/>
      </c>
      <c r="AW646" t="str">
        <f>IF(ISNUMBER(FIND("overige",Methode_Keuze)),"",IF(Tb_Activiteiten[[#This Row],[Bijdrage in natura (vrijwilligers)]]=1,Tb_Activiteiten[[#Headers],[Bijdrage in natura (vrijwilligers)]],""))</f>
        <v/>
      </c>
      <c r="AX646" t="str">
        <f>IF(ISNUMBER(FIND("overige",Methode_Keuze)),"",IF(Tb_Activiteiten[[#This Row],[Afschrijvingskosten]]=1,Tb_Activiteiten[[#Headers],[Afschrijvingskosten]],""))</f>
        <v/>
      </c>
      <c r="AY646" t="str">
        <f>IF(ISNUMBER(FIND("overige",Methode_Keuze)),"",IF(Tb_Activiteiten[[#This Row],[Vergoeding]]=1,Tb_Activiteiten[[#Headers],[Vergoeding]],""))</f>
        <v/>
      </c>
      <c r="AZ646" t="str">
        <f>IF(ISNUMBER(FIND("arbeid",Methode_Keuze)),"",IF(Tb_Activiteiten[[#This Row],[Arbeidskosten - vast tarief (excl eigen arbeid)]]=1,Tb_Activiteiten[[#Headers],[Arbeidskosten - vast tarief (excl eigen arbeid)]],""))</f>
        <v/>
      </c>
      <c r="BA646" t="str">
        <f>IF(ISNUMBER(FIND("overige",Methode_Keuze)),"",IF(Tb_Activiteiten[[#This Row],[Overige kosten]]=1,Tb_Activiteiten[[#Headers],[Overige kosten]],""))</f>
        <v/>
      </c>
    </row>
    <row r="647" spans="1:53" x14ac:dyDescent="0.25">
      <c r="A647" s="231"/>
      <c r="F647" s="64"/>
      <c r="G647" s="64"/>
      <c r="H647" s="275"/>
      <c r="I647" s="275"/>
      <c r="J647" s="275"/>
      <c r="K647" s="275"/>
      <c r="O647" s="56"/>
      <c r="Q647" t="str">
        <f>IFERROR(IF(VLOOKUP(Tb_Activiteiten[[#This Row],[Openstelling]],Tb_Openstelling[],2,0)=1,1,""),"")</f>
        <v/>
      </c>
      <c r="AK647" t="str">
        <f>IF(ISNUMBER(FIND("arbeid",Methode_Keuze)),"",IF(ISNUMBER(FIND("arbeid",Methode_Keuze)),"",IF(Tb_Activiteiten[[#This Row],[Loonkosten]]=1,Tb_Activiteiten[[#Headers],[Loonkosten]],"")))</f>
        <v/>
      </c>
      <c r="AL647" t="str">
        <f>IF(ISNUMBER(FIND("arbeid",Methode_Keuze)),"",IF(ISNUMBER(FIND("arbeid",Methode_Keuze)),"",IF(Tb_Activiteiten[[#This Row],[Eigen arbeid]]=1,Tb_Activiteiten[[#Headers],[Eigen arbeid]],"")))</f>
        <v/>
      </c>
      <c r="AM647" t="str">
        <f>IF(ISNUMBER(FIND("arbeid",Methode_Keuze)),"",IF(ISNUMBER(FIND("arbeid",Methode_Keuze)),"",IF(Tb_Activiteiten[[#This Row],[Projectmedewerker]]=1,Tb_Activiteiten[[#Headers],[Projectmedewerker]],"")))</f>
        <v/>
      </c>
      <c r="AN647" t="str">
        <f>IF(ISNUMBER(FIND("arbeid",Methode_Keuze)),"",IF(ISNUMBER(FIND("arbeid",Methode_Keuze)),"",IF(Tb_Activiteiten[[#This Row],[Landbouwer]]=1,Tb_Activiteiten[[#Headers],[Landbouwer]],"")))</f>
        <v/>
      </c>
      <c r="AO647" t="str">
        <f>IF(ISNUMBER(FIND("arbeid",Methode_Keuze)),"",IF(ISNUMBER(FIND("arbeid",Methode_Keuze)),"",IF(Tb_Activiteiten[[#This Row],[Adviseur]]=1,Tb_Activiteiten[[#Headers],[Adviseur]],"")))</f>
        <v/>
      </c>
      <c r="AP647" t="str">
        <f>IF(ISNUMBER(FIND("arbeid",Methode_Keuze)),"",IF(ISNUMBER(FIND("arbeid",Methode_Keuze)),"",IF(Tb_Activiteiten[[#This Row],[Projectleider/Expert]]=1,Tb_Activiteiten[[#Headers],[Projectleider/Expert]],"")))</f>
        <v/>
      </c>
      <c r="AQ647" t="str">
        <f>IF(ISNUMBER(FIND("arbeid",Methode_Keuze)),"",IF(ISNUMBER(FIND("arbeid",Methode_Keuze)),"",IF(Tb_Activiteiten[[#This Row],[Arbeidskosten]]=1,Tb_Activiteiten[[#Headers],[Arbeidskosten]],"")))</f>
        <v/>
      </c>
      <c r="AR647" t="str">
        <f>IF(ISNUMBER(FIND("arbeid",Methode_Keuze)),"",IF(ISNUMBER(FIND("arbeid",Methode_Keuze)),"",IF(Tb_Activiteiten[[#This Row],[Arbeidskosten op basis van IKS]]=1,Tb_Activiteiten[[#Headers],[Arbeidskosten op basis van IKS]],"")))</f>
        <v/>
      </c>
      <c r="AS647" t="str">
        <f>IF(ISNUMBER(FIND("overige",Methode_Keuze)),"",IF(Tb_Activiteiten[[#This Row],[Kosten derden exclusief btw]]=1,Tb_Activiteiten[[#Headers],[Kosten derden exclusief btw]],""))</f>
        <v/>
      </c>
      <c r="AT647" t="str">
        <f>IF(ISNUMBER(FIND("overige",Methode_Keuze)),"",IF(Tb_Activiteiten[[#This Row],[Niet verrekenbare btw]]=1,Tb_Activiteiten[[#Headers],[Niet verrekenbare btw]],""))</f>
        <v/>
      </c>
      <c r="AU647" t="str">
        <f>IF(ISNUMBER(FIND("overige",Methode_Keuze)),"",IF(Tb_Activiteiten[[#This Row],[Grondkosten]]=1,Tb_Activiteiten[[#Headers],[Grondkosten]],""))</f>
        <v/>
      </c>
      <c r="AV647" t="str">
        <f>IF(ISNUMBER(FIND("overige",Methode_Keuze)),"",IF(Tb_Activiteiten[[#This Row],[Bijdrage in natura (overige)]]=1,Tb_Activiteiten[[#Headers],[Bijdrage in natura (overige)]],""))</f>
        <v/>
      </c>
      <c r="AW647" t="str">
        <f>IF(ISNUMBER(FIND("overige",Methode_Keuze)),"",IF(Tb_Activiteiten[[#This Row],[Bijdrage in natura (vrijwilligers)]]=1,Tb_Activiteiten[[#Headers],[Bijdrage in natura (vrijwilligers)]],""))</f>
        <v/>
      </c>
      <c r="AX647" t="str">
        <f>IF(ISNUMBER(FIND("overige",Methode_Keuze)),"",IF(Tb_Activiteiten[[#This Row],[Afschrijvingskosten]]=1,Tb_Activiteiten[[#Headers],[Afschrijvingskosten]],""))</f>
        <v/>
      </c>
      <c r="AY647" t="str">
        <f>IF(ISNUMBER(FIND("overige",Methode_Keuze)),"",IF(Tb_Activiteiten[[#This Row],[Vergoeding]]=1,Tb_Activiteiten[[#Headers],[Vergoeding]],""))</f>
        <v/>
      </c>
      <c r="AZ647" t="str">
        <f>IF(ISNUMBER(FIND("arbeid",Methode_Keuze)),"",IF(Tb_Activiteiten[[#This Row],[Arbeidskosten - vast tarief (excl eigen arbeid)]]=1,Tb_Activiteiten[[#Headers],[Arbeidskosten - vast tarief (excl eigen arbeid)]],""))</f>
        <v/>
      </c>
      <c r="BA647" t="str">
        <f>IF(ISNUMBER(FIND("overige",Methode_Keuze)),"",IF(Tb_Activiteiten[[#This Row],[Overige kosten]]=1,Tb_Activiteiten[[#Headers],[Overige kosten]],""))</f>
        <v/>
      </c>
    </row>
    <row r="648" spans="1:53" x14ac:dyDescent="0.25">
      <c r="A648" s="231"/>
      <c r="F648" s="64"/>
      <c r="G648" s="64"/>
      <c r="H648" s="275"/>
      <c r="I648" s="275"/>
      <c r="J648" s="275"/>
      <c r="K648" s="275"/>
      <c r="O648" s="56"/>
      <c r="Q648" t="str">
        <f>IFERROR(IF(VLOOKUP(Tb_Activiteiten[[#This Row],[Openstelling]],Tb_Openstelling[],2,0)=1,1,""),"")</f>
        <v/>
      </c>
      <c r="AK648" t="str">
        <f>IF(ISNUMBER(FIND("arbeid",Methode_Keuze)),"",IF(ISNUMBER(FIND("arbeid",Methode_Keuze)),"",IF(Tb_Activiteiten[[#This Row],[Loonkosten]]=1,Tb_Activiteiten[[#Headers],[Loonkosten]],"")))</f>
        <v/>
      </c>
      <c r="AL648" t="str">
        <f>IF(ISNUMBER(FIND("arbeid",Methode_Keuze)),"",IF(ISNUMBER(FIND("arbeid",Methode_Keuze)),"",IF(Tb_Activiteiten[[#This Row],[Eigen arbeid]]=1,Tb_Activiteiten[[#Headers],[Eigen arbeid]],"")))</f>
        <v/>
      </c>
      <c r="AM648" t="str">
        <f>IF(ISNUMBER(FIND("arbeid",Methode_Keuze)),"",IF(ISNUMBER(FIND("arbeid",Methode_Keuze)),"",IF(Tb_Activiteiten[[#This Row],[Projectmedewerker]]=1,Tb_Activiteiten[[#Headers],[Projectmedewerker]],"")))</f>
        <v/>
      </c>
      <c r="AN648" t="str">
        <f>IF(ISNUMBER(FIND("arbeid",Methode_Keuze)),"",IF(ISNUMBER(FIND("arbeid",Methode_Keuze)),"",IF(Tb_Activiteiten[[#This Row],[Landbouwer]]=1,Tb_Activiteiten[[#Headers],[Landbouwer]],"")))</f>
        <v/>
      </c>
      <c r="AO648" t="str">
        <f>IF(ISNUMBER(FIND("arbeid",Methode_Keuze)),"",IF(ISNUMBER(FIND("arbeid",Methode_Keuze)),"",IF(Tb_Activiteiten[[#This Row],[Adviseur]]=1,Tb_Activiteiten[[#Headers],[Adviseur]],"")))</f>
        <v/>
      </c>
      <c r="AP648" t="str">
        <f>IF(ISNUMBER(FIND("arbeid",Methode_Keuze)),"",IF(ISNUMBER(FIND("arbeid",Methode_Keuze)),"",IF(Tb_Activiteiten[[#This Row],[Projectleider/Expert]]=1,Tb_Activiteiten[[#Headers],[Projectleider/Expert]],"")))</f>
        <v/>
      </c>
      <c r="AQ648" t="str">
        <f>IF(ISNUMBER(FIND("arbeid",Methode_Keuze)),"",IF(ISNUMBER(FIND("arbeid",Methode_Keuze)),"",IF(Tb_Activiteiten[[#This Row],[Arbeidskosten]]=1,Tb_Activiteiten[[#Headers],[Arbeidskosten]],"")))</f>
        <v/>
      </c>
      <c r="AR648" t="str">
        <f>IF(ISNUMBER(FIND("arbeid",Methode_Keuze)),"",IF(ISNUMBER(FIND("arbeid",Methode_Keuze)),"",IF(Tb_Activiteiten[[#This Row],[Arbeidskosten op basis van IKS]]=1,Tb_Activiteiten[[#Headers],[Arbeidskosten op basis van IKS]],"")))</f>
        <v/>
      </c>
      <c r="AS648" t="str">
        <f>IF(ISNUMBER(FIND("overige",Methode_Keuze)),"",IF(Tb_Activiteiten[[#This Row],[Kosten derden exclusief btw]]=1,Tb_Activiteiten[[#Headers],[Kosten derden exclusief btw]],""))</f>
        <v/>
      </c>
      <c r="AT648" t="str">
        <f>IF(ISNUMBER(FIND("overige",Methode_Keuze)),"",IF(Tb_Activiteiten[[#This Row],[Niet verrekenbare btw]]=1,Tb_Activiteiten[[#Headers],[Niet verrekenbare btw]],""))</f>
        <v/>
      </c>
      <c r="AU648" t="str">
        <f>IF(ISNUMBER(FIND("overige",Methode_Keuze)),"",IF(Tb_Activiteiten[[#This Row],[Grondkosten]]=1,Tb_Activiteiten[[#Headers],[Grondkosten]],""))</f>
        <v/>
      </c>
      <c r="AV648" t="str">
        <f>IF(ISNUMBER(FIND("overige",Methode_Keuze)),"",IF(Tb_Activiteiten[[#This Row],[Bijdrage in natura (overige)]]=1,Tb_Activiteiten[[#Headers],[Bijdrage in natura (overige)]],""))</f>
        <v/>
      </c>
      <c r="AW648" t="str">
        <f>IF(ISNUMBER(FIND("overige",Methode_Keuze)),"",IF(Tb_Activiteiten[[#This Row],[Bijdrage in natura (vrijwilligers)]]=1,Tb_Activiteiten[[#Headers],[Bijdrage in natura (vrijwilligers)]],""))</f>
        <v/>
      </c>
      <c r="AX648" t="str">
        <f>IF(ISNUMBER(FIND("overige",Methode_Keuze)),"",IF(Tb_Activiteiten[[#This Row],[Afschrijvingskosten]]=1,Tb_Activiteiten[[#Headers],[Afschrijvingskosten]],""))</f>
        <v/>
      </c>
      <c r="AY648" t="str">
        <f>IF(ISNUMBER(FIND("overige",Methode_Keuze)),"",IF(Tb_Activiteiten[[#This Row],[Vergoeding]]=1,Tb_Activiteiten[[#Headers],[Vergoeding]],""))</f>
        <v/>
      </c>
      <c r="AZ648" t="str">
        <f>IF(ISNUMBER(FIND("arbeid",Methode_Keuze)),"",IF(Tb_Activiteiten[[#This Row],[Arbeidskosten - vast tarief (excl eigen arbeid)]]=1,Tb_Activiteiten[[#Headers],[Arbeidskosten - vast tarief (excl eigen arbeid)]],""))</f>
        <v/>
      </c>
      <c r="BA648" t="str">
        <f>IF(ISNUMBER(FIND("overige",Methode_Keuze)),"",IF(Tb_Activiteiten[[#This Row],[Overige kosten]]=1,Tb_Activiteiten[[#Headers],[Overige kosten]],""))</f>
        <v/>
      </c>
    </row>
    <row r="649" spans="1:53" x14ac:dyDescent="0.25">
      <c r="A649" s="231"/>
      <c r="F649" s="64"/>
      <c r="G649" s="64"/>
      <c r="H649" s="275"/>
      <c r="I649" s="275"/>
      <c r="J649" s="275"/>
      <c r="K649" s="275"/>
      <c r="O649" s="56"/>
      <c r="Q649" t="str">
        <f>IFERROR(IF(VLOOKUP(Tb_Activiteiten[[#This Row],[Openstelling]],Tb_Openstelling[],2,0)=1,1,""),"")</f>
        <v/>
      </c>
      <c r="AK649" t="str">
        <f>IF(ISNUMBER(FIND("arbeid",Methode_Keuze)),"",IF(ISNUMBER(FIND("arbeid",Methode_Keuze)),"",IF(Tb_Activiteiten[[#This Row],[Loonkosten]]=1,Tb_Activiteiten[[#Headers],[Loonkosten]],"")))</f>
        <v/>
      </c>
      <c r="AL649" t="str">
        <f>IF(ISNUMBER(FIND("arbeid",Methode_Keuze)),"",IF(ISNUMBER(FIND("arbeid",Methode_Keuze)),"",IF(Tb_Activiteiten[[#This Row],[Eigen arbeid]]=1,Tb_Activiteiten[[#Headers],[Eigen arbeid]],"")))</f>
        <v/>
      </c>
      <c r="AM649" t="str">
        <f>IF(ISNUMBER(FIND("arbeid",Methode_Keuze)),"",IF(ISNUMBER(FIND("arbeid",Methode_Keuze)),"",IF(Tb_Activiteiten[[#This Row],[Projectmedewerker]]=1,Tb_Activiteiten[[#Headers],[Projectmedewerker]],"")))</f>
        <v/>
      </c>
      <c r="AN649" t="str">
        <f>IF(ISNUMBER(FIND("arbeid",Methode_Keuze)),"",IF(ISNUMBER(FIND("arbeid",Methode_Keuze)),"",IF(Tb_Activiteiten[[#This Row],[Landbouwer]]=1,Tb_Activiteiten[[#Headers],[Landbouwer]],"")))</f>
        <v/>
      </c>
      <c r="AO649" t="str">
        <f>IF(ISNUMBER(FIND("arbeid",Methode_Keuze)),"",IF(ISNUMBER(FIND("arbeid",Methode_Keuze)),"",IF(Tb_Activiteiten[[#This Row],[Adviseur]]=1,Tb_Activiteiten[[#Headers],[Adviseur]],"")))</f>
        <v/>
      </c>
      <c r="AP649" t="str">
        <f>IF(ISNUMBER(FIND("arbeid",Methode_Keuze)),"",IF(ISNUMBER(FIND("arbeid",Methode_Keuze)),"",IF(Tb_Activiteiten[[#This Row],[Projectleider/Expert]]=1,Tb_Activiteiten[[#Headers],[Projectleider/Expert]],"")))</f>
        <v/>
      </c>
      <c r="AQ649" t="str">
        <f>IF(ISNUMBER(FIND("arbeid",Methode_Keuze)),"",IF(ISNUMBER(FIND("arbeid",Methode_Keuze)),"",IF(Tb_Activiteiten[[#This Row],[Arbeidskosten]]=1,Tb_Activiteiten[[#Headers],[Arbeidskosten]],"")))</f>
        <v/>
      </c>
      <c r="AR649" t="str">
        <f>IF(ISNUMBER(FIND("arbeid",Methode_Keuze)),"",IF(ISNUMBER(FIND("arbeid",Methode_Keuze)),"",IF(Tb_Activiteiten[[#This Row],[Arbeidskosten op basis van IKS]]=1,Tb_Activiteiten[[#Headers],[Arbeidskosten op basis van IKS]],"")))</f>
        <v/>
      </c>
      <c r="AS649" t="str">
        <f>IF(ISNUMBER(FIND("overige",Methode_Keuze)),"",IF(Tb_Activiteiten[[#This Row],[Kosten derden exclusief btw]]=1,Tb_Activiteiten[[#Headers],[Kosten derden exclusief btw]],""))</f>
        <v/>
      </c>
      <c r="AT649" t="str">
        <f>IF(ISNUMBER(FIND("overige",Methode_Keuze)),"",IF(Tb_Activiteiten[[#This Row],[Niet verrekenbare btw]]=1,Tb_Activiteiten[[#Headers],[Niet verrekenbare btw]],""))</f>
        <v/>
      </c>
      <c r="AU649" t="str">
        <f>IF(ISNUMBER(FIND("overige",Methode_Keuze)),"",IF(Tb_Activiteiten[[#This Row],[Grondkosten]]=1,Tb_Activiteiten[[#Headers],[Grondkosten]],""))</f>
        <v/>
      </c>
      <c r="AV649" t="str">
        <f>IF(ISNUMBER(FIND("overige",Methode_Keuze)),"",IF(Tb_Activiteiten[[#This Row],[Bijdrage in natura (overige)]]=1,Tb_Activiteiten[[#Headers],[Bijdrage in natura (overige)]],""))</f>
        <v/>
      </c>
      <c r="AW649" t="str">
        <f>IF(ISNUMBER(FIND("overige",Methode_Keuze)),"",IF(Tb_Activiteiten[[#This Row],[Bijdrage in natura (vrijwilligers)]]=1,Tb_Activiteiten[[#Headers],[Bijdrage in natura (vrijwilligers)]],""))</f>
        <v/>
      </c>
      <c r="AX649" t="str">
        <f>IF(ISNUMBER(FIND("overige",Methode_Keuze)),"",IF(Tb_Activiteiten[[#This Row],[Afschrijvingskosten]]=1,Tb_Activiteiten[[#Headers],[Afschrijvingskosten]],""))</f>
        <v/>
      </c>
      <c r="AY649" t="str">
        <f>IF(ISNUMBER(FIND("overige",Methode_Keuze)),"",IF(Tb_Activiteiten[[#This Row],[Vergoeding]]=1,Tb_Activiteiten[[#Headers],[Vergoeding]],""))</f>
        <v/>
      </c>
      <c r="AZ649" t="str">
        <f>IF(ISNUMBER(FIND("arbeid",Methode_Keuze)),"",IF(Tb_Activiteiten[[#This Row],[Arbeidskosten - vast tarief (excl eigen arbeid)]]=1,Tb_Activiteiten[[#Headers],[Arbeidskosten - vast tarief (excl eigen arbeid)]],""))</f>
        <v/>
      </c>
      <c r="BA649" t="str">
        <f>IF(ISNUMBER(FIND("overige",Methode_Keuze)),"",IF(Tb_Activiteiten[[#This Row],[Overige kosten]]=1,Tb_Activiteiten[[#Headers],[Overige kosten]],""))</f>
        <v/>
      </c>
    </row>
    <row r="650" spans="1:53" x14ac:dyDescent="0.25">
      <c r="A650" s="231"/>
      <c r="F650" s="64"/>
      <c r="G650" s="64"/>
      <c r="H650" s="275"/>
      <c r="I650" s="275"/>
      <c r="J650" s="275"/>
      <c r="K650" s="275"/>
      <c r="O650" s="56"/>
      <c r="Q650" t="str">
        <f>IFERROR(IF(VLOOKUP(Tb_Activiteiten[[#This Row],[Openstelling]],Tb_Openstelling[],2,0)=1,1,""),"")</f>
        <v/>
      </c>
      <c r="AK650" t="str">
        <f>IF(ISNUMBER(FIND("arbeid",Methode_Keuze)),"",IF(ISNUMBER(FIND("arbeid",Methode_Keuze)),"",IF(Tb_Activiteiten[[#This Row],[Loonkosten]]=1,Tb_Activiteiten[[#Headers],[Loonkosten]],"")))</f>
        <v/>
      </c>
      <c r="AL650" t="str">
        <f>IF(ISNUMBER(FIND("arbeid",Methode_Keuze)),"",IF(ISNUMBER(FIND("arbeid",Methode_Keuze)),"",IF(Tb_Activiteiten[[#This Row],[Eigen arbeid]]=1,Tb_Activiteiten[[#Headers],[Eigen arbeid]],"")))</f>
        <v/>
      </c>
      <c r="AM650" t="str">
        <f>IF(ISNUMBER(FIND("arbeid",Methode_Keuze)),"",IF(ISNUMBER(FIND("arbeid",Methode_Keuze)),"",IF(Tb_Activiteiten[[#This Row],[Projectmedewerker]]=1,Tb_Activiteiten[[#Headers],[Projectmedewerker]],"")))</f>
        <v/>
      </c>
      <c r="AN650" t="str">
        <f>IF(ISNUMBER(FIND("arbeid",Methode_Keuze)),"",IF(ISNUMBER(FIND("arbeid",Methode_Keuze)),"",IF(Tb_Activiteiten[[#This Row],[Landbouwer]]=1,Tb_Activiteiten[[#Headers],[Landbouwer]],"")))</f>
        <v/>
      </c>
      <c r="AO650" t="str">
        <f>IF(ISNUMBER(FIND("arbeid",Methode_Keuze)),"",IF(ISNUMBER(FIND("arbeid",Methode_Keuze)),"",IF(Tb_Activiteiten[[#This Row],[Adviseur]]=1,Tb_Activiteiten[[#Headers],[Adviseur]],"")))</f>
        <v/>
      </c>
      <c r="AP650" t="str">
        <f>IF(ISNUMBER(FIND("arbeid",Methode_Keuze)),"",IF(ISNUMBER(FIND("arbeid",Methode_Keuze)),"",IF(Tb_Activiteiten[[#This Row],[Projectleider/Expert]]=1,Tb_Activiteiten[[#Headers],[Projectleider/Expert]],"")))</f>
        <v/>
      </c>
      <c r="AQ650" t="str">
        <f>IF(ISNUMBER(FIND("arbeid",Methode_Keuze)),"",IF(ISNUMBER(FIND("arbeid",Methode_Keuze)),"",IF(Tb_Activiteiten[[#This Row],[Arbeidskosten]]=1,Tb_Activiteiten[[#Headers],[Arbeidskosten]],"")))</f>
        <v/>
      </c>
      <c r="AR650" t="str">
        <f>IF(ISNUMBER(FIND("arbeid",Methode_Keuze)),"",IF(ISNUMBER(FIND("arbeid",Methode_Keuze)),"",IF(Tb_Activiteiten[[#This Row],[Arbeidskosten op basis van IKS]]=1,Tb_Activiteiten[[#Headers],[Arbeidskosten op basis van IKS]],"")))</f>
        <v/>
      </c>
      <c r="AS650" t="str">
        <f>IF(ISNUMBER(FIND("overige",Methode_Keuze)),"",IF(Tb_Activiteiten[[#This Row],[Kosten derden exclusief btw]]=1,Tb_Activiteiten[[#Headers],[Kosten derden exclusief btw]],""))</f>
        <v/>
      </c>
      <c r="AT650" t="str">
        <f>IF(ISNUMBER(FIND("overige",Methode_Keuze)),"",IF(Tb_Activiteiten[[#This Row],[Niet verrekenbare btw]]=1,Tb_Activiteiten[[#Headers],[Niet verrekenbare btw]],""))</f>
        <v/>
      </c>
      <c r="AU650" t="str">
        <f>IF(ISNUMBER(FIND("overige",Methode_Keuze)),"",IF(Tb_Activiteiten[[#This Row],[Grondkosten]]=1,Tb_Activiteiten[[#Headers],[Grondkosten]],""))</f>
        <v/>
      </c>
      <c r="AV650" t="str">
        <f>IF(ISNUMBER(FIND("overige",Methode_Keuze)),"",IF(Tb_Activiteiten[[#This Row],[Bijdrage in natura (overige)]]=1,Tb_Activiteiten[[#Headers],[Bijdrage in natura (overige)]],""))</f>
        <v/>
      </c>
      <c r="AW650" t="str">
        <f>IF(ISNUMBER(FIND("overige",Methode_Keuze)),"",IF(Tb_Activiteiten[[#This Row],[Bijdrage in natura (vrijwilligers)]]=1,Tb_Activiteiten[[#Headers],[Bijdrage in natura (vrijwilligers)]],""))</f>
        <v/>
      </c>
      <c r="AX650" t="str">
        <f>IF(ISNUMBER(FIND("overige",Methode_Keuze)),"",IF(Tb_Activiteiten[[#This Row],[Afschrijvingskosten]]=1,Tb_Activiteiten[[#Headers],[Afschrijvingskosten]],""))</f>
        <v/>
      </c>
      <c r="AY650" t="str">
        <f>IF(ISNUMBER(FIND("overige",Methode_Keuze)),"",IF(Tb_Activiteiten[[#This Row],[Vergoeding]]=1,Tb_Activiteiten[[#Headers],[Vergoeding]],""))</f>
        <v/>
      </c>
      <c r="AZ650" t="str">
        <f>IF(ISNUMBER(FIND("arbeid",Methode_Keuze)),"",IF(Tb_Activiteiten[[#This Row],[Arbeidskosten - vast tarief (excl eigen arbeid)]]=1,Tb_Activiteiten[[#Headers],[Arbeidskosten - vast tarief (excl eigen arbeid)]],""))</f>
        <v/>
      </c>
      <c r="BA650" t="str">
        <f>IF(ISNUMBER(FIND("overige",Methode_Keuze)),"",IF(Tb_Activiteiten[[#This Row],[Overige kosten]]=1,Tb_Activiteiten[[#Headers],[Overige kosten]],""))</f>
        <v/>
      </c>
    </row>
    <row r="651" spans="1:53" x14ac:dyDescent="0.25">
      <c r="A651" s="231"/>
      <c r="F651" s="64"/>
      <c r="G651" s="64"/>
      <c r="H651" s="275"/>
      <c r="I651" s="275"/>
      <c r="J651" s="275"/>
      <c r="K651" s="275"/>
      <c r="O651" s="56"/>
      <c r="Q651" t="str">
        <f>IFERROR(IF(VLOOKUP(Tb_Activiteiten[[#This Row],[Openstelling]],Tb_Openstelling[],2,0)=1,1,""),"")</f>
        <v/>
      </c>
      <c r="AK651" t="str">
        <f>IF(ISNUMBER(FIND("arbeid",Methode_Keuze)),"",IF(ISNUMBER(FIND("arbeid",Methode_Keuze)),"",IF(Tb_Activiteiten[[#This Row],[Loonkosten]]=1,Tb_Activiteiten[[#Headers],[Loonkosten]],"")))</f>
        <v/>
      </c>
      <c r="AL651" t="str">
        <f>IF(ISNUMBER(FIND("arbeid",Methode_Keuze)),"",IF(ISNUMBER(FIND("arbeid",Methode_Keuze)),"",IF(Tb_Activiteiten[[#This Row],[Eigen arbeid]]=1,Tb_Activiteiten[[#Headers],[Eigen arbeid]],"")))</f>
        <v/>
      </c>
      <c r="AM651" t="str">
        <f>IF(ISNUMBER(FIND("arbeid",Methode_Keuze)),"",IF(ISNUMBER(FIND("arbeid",Methode_Keuze)),"",IF(Tb_Activiteiten[[#This Row],[Projectmedewerker]]=1,Tb_Activiteiten[[#Headers],[Projectmedewerker]],"")))</f>
        <v/>
      </c>
      <c r="AN651" t="str">
        <f>IF(ISNUMBER(FIND("arbeid",Methode_Keuze)),"",IF(ISNUMBER(FIND("arbeid",Methode_Keuze)),"",IF(Tb_Activiteiten[[#This Row],[Landbouwer]]=1,Tb_Activiteiten[[#Headers],[Landbouwer]],"")))</f>
        <v/>
      </c>
      <c r="AO651" t="str">
        <f>IF(ISNUMBER(FIND("arbeid",Methode_Keuze)),"",IF(ISNUMBER(FIND("arbeid",Methode_Keuze)),"",IF(Tb_Activiteiten[[#This Row],[Adviseur]]=1,Tb_Activiteiten[[#Headers],[Adviseur]],"")))</f>
        <v/>
      </c>
      <c r="AP651" t="str">
        <f>IF(ISNUMBER(FIND("arbeid",Methode_Keuze)),"",IF(ISNUMBER(FIND("arbeid",Methode_Keuze)),"",IF(Tb_Activiteiten[[#This Row],[Projectleider/Expert]]=1,Tb_Activiteiten[[#Headers],[Projectleider/Expert]],"")))</f>
        <v/>
      </c>
      <c r="AQ651" t="str">
        <f>IF(ISNUMBER(FIND("arbeid",Methode_Keuze)),"",IF(ISNUMBER(FIND("arbeid",Methode_Keuze)),"",IF(Tb_Activiteiten[[#This Row],[Arbeidskosten]]=1,Tb_Activiteiten[[#Headers],[Arbeidskosten]],"")))</f>
        <v/>
      </c>
      <c r="AR651" t="str">
        <f>IF(ISNUMBER(FIND("arbeid",Methode_Keuze)),"",IF(ISNUMBER(FIND("arbeid",Methode_Keuze)),"",IF(Tb_Activiteiten[[#This Row],[Arbeidskosten op basis van IKS]]=1,Tb_Activiteiten[[#Headers],[Arbeidskosten op basis van IKS]],"")))</f>
        <v/>
      </c>
      <c r="AS651" t="str">
        <f>IF(ISNUMBER(FIND("overige",Methode_Keuze)),"",IF(Tb_Activiteiten[[#This Row],[Kosten derden exclusief btw]]=1,Tb_Activiteiten[[#Headers],[Kosten derden exclusief btw]],""))</f>
        <v/>
      </c>
      <c r="AT651" t="str">
        <f>IF(ISNUMBER(FIND("overige",Methode_Keuze)),"",IF(Tb_Activiteiten[[#This Row],[Niet verrekenbare btw]]=1,Tb_Activiteiten[[#Headers],[Niet verrekenbare btw]],""))</f>
        <v/>
      </c>
      <c r="AU651" t="str">
        <f>IF(ISNUMBER(FIND("overige",Methode_Keuze)),"",IF(Tb_Activiteiten[[#This Row],[Grondkosten]]=1,Tb_Activiteiten[[#Headers],[Grondkosten]],""))</f>
        <v/>
      </c>
      <c r="AV651" t="str">
        <f>IF(ISNUMBER(FIND("overige",Methode_Keuze)),"",IF(Tb_Activiteiten[[#This Row],[Bijdrage in natura (overige)]]=1,Tb_Activiteiten[[#Headers],[Bijdrage in natura (overige)]],""))</f>
        <v/>
      </c>
      <c r="AW651" t="str">
        <f>IF(ISNUMBER(FIND("overige",Methode_Keuze)),"",IF(Tb_Activiteiten[[#This Row],[Bijdrage in natura (vrijwilligers)]]=1,Tb_Activiteiten[[#Headers],[Bijdrage in natura (vrijwilligers)]],""))</f>
        <v/>
      </c>
      <c r="AX651" t="str">
        <f>IF(ISNUMBER(FIND("overige",Methode_Keuze)),"",IF(Tb_Activiteiten[[#This Row],[Afschrijvingskosten]]=1,Tb_Activiteiten[[#Headers],[Afschrijvingskosten]],""))</f>
        <v/>
      </c>
      <c r="AY651" t="str">
        <f>IF(ISNUMBER(FIND("overige",Methode_Keuze)),"",IF(Tb_Activiteiten[[#This Row],[Vergoeding]]=1,Tb_Activiteiten[[#Headers],[Vergoeding]],""))</f>
        <v/>
      </c>
      <c r="AZ651" t="str">
        <f>IF(ISNUMBER(FIND("arbeid",Methode_Keuze)),"",IF(Tb_Activiteiten[[#This Row],[Arbeidskosten - vast tarief (excl eigen arbeid)]]=1,Tb_Activiteiten[[#Headers],[Arbeidskosten - vast tarief (excl eigen arbeid)]],""))</f>
        <v/>
      </c>
      <c r="BA651" t="str">
        <f>IF(ISNUMBER(FIND("overige",Methode_Keuze)),"",IF(Tb_Activiteiten[[#This Row],[Overige kosten]]=1,Tb_Activiteiten[[#Headers],[Overige kosten]],""))</f>
        <v/>
      </c>
    </row>
    <row r="652" spans="1:53" x14ac:dyDescent="0.25">
      <c r="A652" s="231"/>
      <c r="F652" s="64"/>
      <c r="G652" s="64"/>
      <c r="H652" s="275"/>
      <c r="I652" s="275"/>
      <c r="J652" s="275"/>
      <c r="K652" s="275"/>
      <c r="O652" s="56"/>
      <c r="Q652" t="str">
        <f>IFERROR(IF(VLOOKUP(Tb_Activiteiten[[#This Row],[Openstelling]],Tb_Openstelling[],2,0)=1,1,""),"")</f>
        <v/>
      </c>
      <c r="AK652" t="str">
        <f>IF(ISNUMBER(FIND("arbeid",Methode_Keuze)),"",IF(ISNUMBER(FIND("arbeid",Methode_Keuze)),"",IF(Tb_Activiteiten[[#This Row],[Loonkosten]]=1,Tb_Activiteiten[[#Headers],[Loonkosten]],"")))</f>
        <v/>
      </c>
      <c r="AL652" t="str">
        <f>IF(ISNUMBER(FIND("arbeid",Methode_Keuze)),"",IF(ISNUMBER(FIND("arbeid",Methode_Keuze)),"",IF(Tb_Activiteiten[[#This Row],[Eigen arbeid]]=1,Tb_Activiteiten[[#Headers],[Eigen arbeid]],"")))</f>
        <v/>
      </c>
      <c r="AM652" t="str">
        <f>IF(ISNUMBER(FIND("arbeid",Methode_Keuze)),"",IF(ISNUMBER(FIND("arbeid",Methode_Keuze)),"",IF(Tb_Activiteiten[[#This Row],[Projectmedewerker]]=1,Tb_Activiteiten[[#Headers],[Projectmedewerker]],"")))</f>
        <v/>
      </c>
      <c r="AN652" t="str">
        <f>IF(ISNUMBER(FIND("arbeid",Methode_Keuze)),"",IF(ISNUMBER(FIND("arbeid",Methode_Keuze)),"",IF(Tb_Activiteiten[[#This Row],[Landbouwer]]=1,Tb_Activiteiten[[#Headers],[Landbouwer]],"")))</f>
        <v/>
      </c>
      <c r="AO652" t="str">
        <f>IF(ISNUMBER(FIND("arbeid",Methode_Keuze)),"",IF(ISNUMBER(FIND("arbeid",Methode_Keuze)),"",IF(Tb_Activiteiten[[#This Row],[Adviseur]]=1,Tb_Activiteiten[[#Headers],[Adviseur]],"")))</f>
        <v/>
      </c>
      <c r="AP652" t="str">
        <f>IF(ISNUMBER(FIND("arbeid",Methode_Keuze)),"",IF(ISNUMBER(FIND("arbeid",Methode_Keuze)),"",IF(Tb_Activiteiten[[#This Row],[Projectleider/Expert]]=1,Tb_Activiteiten[[#Headers],[Projectleider/Expert]],"")))</f>
        <v/>
      </c>
      <c r="AQ652" t="str">
        <f>IF(ISNUMBER(FIND("arbeid",Methode_Keuze)),"",IF(ISNUMBER(FIND("arbeid",Methode_Keuze)),"",IF(Tb_Activiteiten[[#This Row],[Arbeidskosten]]=1,Tb_Activiteiten[[#Headers],[Arbeidskosten]],"")))</f>
        <v/>
      </c>
      <c r="AR652" t="str">
        <f>IF(ISNUMBER(FIND("arbeid",Methode_Keuze)),"",IF(ISNUMBER(FIND("arbeid",Methode_Keuze)),"",IF(Tb_Activiteiten[[#This Row],[Arbeidskosten op basis van IKS]]=1,Tb_Activiteiten[[#Headers],[Arbeidskosten op basis van IKS]],"")))</f>
        <v/>
      </c>
      <c r="AS652" t="str">
        <f>IF(ISNUMBER(FIND("overige",Methode_Keuze)),"",IF(Tb_Activiteiten[[#This Row],[Kosten derden exclusief btw]]=1,Tb_Activiteiten[[#Headers],[Kosten derden exclusief btw]],""))</f>
        <v/>
      </c>
      <c r="AT652" t="str">
        <f>IF(ISNUMBER(FIND("overige",Methode_Keuze)),"",IF(Tb_Activiteiten[[#This Row],[Niet verrekenbare btw]]=1,Tb_Activiteiten[[#Headers],[Niet verrekenbare btw]],""))</f>
        <v/>
      </c>
      <c r="AU652" t="str">
        <f>IF(ISNUMBER(FIND("overige",Methode_Keuze)),"",IF(Tb_Activiteiten[[#This Row],[Grondkosten]]=1,Tb_Activiteiten[[#Headers],[Grondkosten]],""))</f>
        <v/>
      </c>
      <c r="AV652" t="str">
        <f>IF(ISNUMBER(FIND("overige",Methode_Keuze)),"",IF(Tb_Activiteiten[[#This Row],[Bijdrage in natura (overige)]]=1,Tb_Activiteiten[[#Headers],[Bijdrage in natura (overige)]],""))</f>
        <v/>
      </c>
      <c r="AW652" t="str">
        <f>IF(ISNUMBER(FIND("overige",Methode_Keuze)),"",IF(Tb_Activiteiten[[#This Row],[Bijdrage in natura (vrijwilligers)]]=1,Tb_Activiteiten[[#Headers],[Bijdrage in natura (vrijwilligers)]],""))</f>
        <v/>
      </c>
      <c r="AX652" t="str">
        <f>IF(ISNUMBER(FIND("overige",Methode_Keuze)),"",IF(Tb_Activiteiten[[#This Row],[Afschrijvingskosten]]=1,Tb_Activiteiten[[#Headers],[Afschrijvingskosten]],""))</f>
        <v/>
      </c>
      <c r="AY652" t="str">
        <f>IF(ISNUMBER(FIND("overige",Methode_Keuze)),"",IF(Tb_Activiteiten[[#This Row],[Vergoeding]]=1,Tb_Activiteiten[[#Headers],[Vergoeding]],""))</f>
        <v/>
      </c>
      <c r="AZ652" t="str">
        <f>IF(ISNUMBER(FIND("arbeid",Methode_Keuze)),"",IF(Tb_Activiteiten[[#This Row],[Arbeidskosten - vast tarief (excl eigen arbeid)]]=1,Tb_Activiteiten[[#Headers],[Arbeidskosten - vast tarief (excl eigen arbeid)]],""))</f>
        <v/>
      </c>
      <c r="BA652" t="str">
        <f>IF(ISNUMBER(FIND("overige",Methode_Keuze)),"",IF(Tb_Activiteiten[[#This Row],[Overige kosten]]=1,Tb_Activiteiten[[#Headers],[Overige kosten]],""))</f>
        <v/>
      </c>
    </row>
    <row r="653" spans="1:53" x14ac:dyDescent="0.25">
      <c r="A653" s="231"/>
      <c r="F653" s="64"/>
      <c r="G653" s="64"/>
      <c r="H653" s="275"/>
      <c r="I653" s="275"/>
      <c r="J653" s="275"/>
      <c r="K653" s="275"/>
      <c r="O653" s="56"/>
      <c r="Q653" t="str">
        <f>IFERROR(IF(VLOOKUP(Tb_Activiteiten[[#This Row],[Openstelling]],Tb_Openstelling[],2,0)=1,1,""),"")</f>
        <v/>
      </c>
      <c r="AK653" t="str">
        <f>IF(ISNUMBER(FIND("arbeid",Methode_Keuze)),"",IF(ISNUMBER(FIND("arbeid",Methode_Keuze)),"",IF(Tb_Activiteiten[[#This Row],[Loonkosten]]=1,Tb_Activiteiten[[#Headers],[Loonkosten]],"")))</f>
        <v/>
      </c>
      <c r="AL653" t="str">
        <f>IF(ISNUMBER(FIND("arbeid",Methode_Keuze)),"",IF(ISNUMBER(FIND("arbeid",Methode_Keuze)),"",IF(Tb_Activiteiten[[#This Row],[Eigen arbeid]]=1,Tb_Activiteiten[[#Headers],[Eigen arbeid]],"")))</f>
        <v/>
      </c>
      <c r="AM653" t="str">
        <f>IF(ISNUMBER(FIND("arbeid",Methode_Keuze)),"",IF(ISNUMBER(FIND("arbeid",Methode_Keuze)),"",IF(Tb_Activiteiten[[#This Row],[Projectmedewerker]]=1,Tb_Activiteiten[[#Headers],[Projectmedewerker]],"")))</f>
        <v/>
      </c>
      <c r="AN653" t="str">
        <f>IF(ISNUMBER(FIND("arbeid",Methode_Keuze)),"",IF(ISNUMBER(FIND("arbeid",Methode_Keuze)),"",IF(Tb_Activiteiten[[#This Row],[Landbouwer]]=1,Tb_Activiteiten[[#Headers],[Landbouwer]],"")))</f>
        <v/>
      </c>
      <c r="AO653" t="str">
        <f>IF(ISNUMBER(FIND("arbeid",Methode_Keuze)),"",IF(ISNUMBER(FIND("arbeid",Methode_Keuze)),"",IF(Tb_Activiteiten[[#This Row],[Adviseur]]=1,Tb_Activiteiten[[#Headers],[Adviseur]],"")))</f>
        <v/>
      </c>
      <c r="AP653" t="str">
        <f>IF(ISNUMBER(FIND("arbeid",Methode_Keuze)),"",IF(ISNUMBER(FIND("arbeid",Methode_Keuze)),"",IF(Tb_Activiteiten[[#This Row],[Projectleider/Expert]]=1,Tb_Activiteiten[[#Headers],[Projectleider/Expert]],"")))</f>
        <v/>
      </c>
      <c r="AQ653" t="str">
        <f>IF(ISNUMBER(FIND("arbeid",Methode_Keuze)),"",IF(ISNUMBER(FIND("arbeid",Methode_Keuze)),"",IF(Tb_Activiteiten[[#This Row],[Arbeidskosten]]=1,Tb_Activiteiten[[#Headers],[Arbeidskosten]],"")))</f>
        <v/>
      </c>
      <c r="AR653" t="str">
        <f>IF(ISNUMBER(FIND("arbeid",Methode_Keuze)),"",IF(ISNUMBER(FIND("arbeid",Methode_Keuze)),"",IF(Tb_Activiteiten[[#This Row],[Arbeidskosten op basis van IKS]]=1,Tb_Activiteiten[[#Headers],[Arbeidskosten op basis van IKS]],"")))</f>
        <v/>
      </c>
      <c r="AS653" t="str">
        <f>IF(ISNUMBER(FIND("overige",Methode_Keuze)),"",IF(Tb_Activiteiten[[#This Row],[Kosten derden exclusief btw]]=1,Tb_Activiteiten[[#Headers],[Kosten derden exclusief btw]],""))</f>
        <v/>
      </c>
      <c r="AT653" t="str">
        <f>IF(ISNUMBER(FIND("overige",Methode_Keuze)),"",IF(Tb_Activiteiten[[#This Row],[Niet verrekenbare btw]]=1,Tb_Activiteiten[[#Headers],[Niet verrekenbare btw]],""))</f>
        <v/>
      </c>
      <c r="AU653" t="str">
        <f>IF(ISNUMBER(FIND("overige",Methode_Keuze)),"",IF(Tb_Activiteiten[[#This Row],[Grondkosten]]=1,Tb_Activiteiten[[#Headers],[Grondkosten]],""))</f>
        <v/>
      </c>
      <c r="AV653" t="str">
        <f>IF(ISNUMBER(FIND("overige",Methode_Keuze)),"",IF(Tb_Activiteiten[[#This Row],[Bijdrage in natura (overige)]]=1,Tb_Activiteiten[[#Headers],[Bijdrage in natura (overige)]],""))</f>
        <v/>
      </c>
      <c r="AW653" t="str">
        <f>IF(ISNUMBER(FIND("overige",Methode_Keuze)),"",IF(Tb_Activiteiten[[#This Row],[Bijdrage in natura (vrijwilligers)]]=1,Tb_Activiteiten[[#Headers],[Bijdrage in natura (vrijwilligers)]],""))</f>
        <v/>
      </c>
      <c r="AX653" t="str">
        <f>IF(ISNUMBER(FIND("overige",Methode_Keuze)),"",IF(Tb_Activiteiten[[#This Row],[Afschrijvingskosten]]=1,Tb_Activiteiten[[#Headers],[Afschrijvingskosten]],""))</f>
        <v/>
      </c>
      <c r="AY653" t="str">
        <f>IF(ISNUMBER(FIND("overige",Methode_Keuze)),"",IF(Tb_Activiteiten[[#This Row],[Vergoeding]]=1,Tb_Activiteiten[[#Headers],[Vergoeding]],""))</f>
        <v/>
      </c>
      <c r="AZ653" t="str">
        <f>IF(ISNUMBER(FIND("arbeid",Methode_Keuze)),"",IF(Tb_Activiteiten[[#This Row],[Arbeidskosten - vast tarief (excl eigen arbeid)]]=1,Tb_Activiteiten[[#Headers],[Arbeidskosten - vast tarief (excl eigen arbeid)]],""))</f>
        <v/>
      </c>
      <c r="BA653" t="str">
        <f>IF(ISNUMBER(FIND("overige",Methode_Keuze)),"",IF(Tb_Activiteiten[[#This Row],[Overige kosten]]=1,Tb_Activiteiten[[#Headers],[Overige kosten]],""))</f>
        <v/>
      </c>
    </row>
    <row r="654" spans="1:53" x14ac:dyDescent="0.25">
      <c r="A654" s="231"/>
      <c r="F654" s="64"/>
      <c r="G654" s="64"/>
      <c r="H654" s="275"/>
      <c r="I654" s="275"/>
      <c r="J654" s="275"/>
      <c r="K654" s="275"/>
      <c r="O654" s="56"/>
      <c r="Q654" t="str">
        <f>IFERROR(IF(VLOOKUP(Tb_Activiteiten[[#This Row],[Openstelling]],Tb_Openstelling[],2,0)=1,1,""),"")</f>
        <v/>
      </c>
      <c r="AK654" t="str">
        <f>IF(ISNUMBER(FIND("arbeid",Methode_Keuze)),"",IF(ISNUMBER(FIND("arbeid",Methode_Keuze)),"",IF(Tb_Activiteiten[[#This Row],[Loonkosten]]=1,Tb_Activiteiten[[#Headers],[Loonkosten]],"")))</f>
        <v/>
      </c>
      <c r="AL654" t="str">
        <f>IF(ISNUMBER(FIND("arbeid",Methode_Keuze)),"",IF(ISNUMBER(FIND("arbeid",Methode_Keuze)),"",IF(Tb_Activiteiten[[#This Row],[Eigen arbeid]]=1,Tb_Activiteiten[[#Headers],[Eigen arbeid]],"")))</f>
        <v/>
      </c>
      <c r="AM654" t="str">
        <f>IF(ISNUMBER(FIND("arbeid",Methode_Keuze)),"",IF(ISNUMBER(FIND("arbeid",Methode_Keuze)),"",IF(Tb_Activiteiten[[#This Row],[Projectmedewerker]]=1,Tb_Activiteiten[[#Headers],[Projectmedewerker]],"")))</f>
        <v/>
      </c>
      <c r="AN654" t="str">
        <f>IF(ISNUMBER(FIND("arbeid",Methode_Keuze)),"",IF(ISNUMBER(FIND("arbeid",Methode_Keuze)),"",IF(Tb_Activiteiten[[#This Row],[Landbouwer]]=1,Tb_Activiteiten[[#Headers],[Landbouwer]],"")))</f>
        <v/>
      </c>
      <c r="AO654" t="str">
        <f>IF(ISNUMBER(FIND("arbeid",Methode_Keuze)),"",IF(ISNUMBER(FIND("arbeid",Methode_Keuze)),"",IF(Tb_Activiteiten[[#This Row],[Adviseur]]=1,Tb_Activiteiten[[#Headers],[Adviseur]],"")))</f>
        <v/>
      </c>
      <c r="AP654" t="str">
        <f>IF(ISNUMBER(FIND("arbeid",Methode_Keuze)),"",IF(ISNUMBER(FIND("arbeid",Methode_Keuze)),"",IF(Tb_Activiteiten[[#This Row],[Projectleider/Expert]]=1,Tb_Activiteiten[[#Headers],[Projectleider/Expert]],"")))</f>
        <v/>
      </c>
      <c r="AQ654" t="str">
        <f>IF(ISNUMBER(FIND("arbeid",Methode_Keuze)),"",IF(ISNUMBER(FIND("arbeid",Methode_Keuze)),"",IF(Tb_Activiteiten[[#This Row],[Arbeidskosten]]=1,Tb_Activiteiten[[#Headers],[Arbeidskosten]],"")))</f>
        <v/>
      </c>
      <c r="AR654" t="str">
        <f>IF(ISNUMBER(FIND("arbeid",Methode_Keuze)),"",IF(ISNUMBER(FIND("arbeid",Methode_Keuze)),"",IF(Tb_Activiteiten[[#This Row],[Arbeidskosten op basis van IKS]]=1,Tb_Activiteiten[[#Headers],[Arbeidskosten op basis van IKS]],"")))</f>
        <v/>
      </c>
      <c r="AS654" t="str">
        <f>IF(ISNUMBER(FIND("overige",Methode_Keuze)),"",IF(Tb_Activiteiten[[#This Row],[Kosten derden exclusief btw]]=1,Tb_Activiteiten[[#Headers],[Kosten derden exclusief btw]],""))</f>
        <v/>
      </c>
      <c r="AT654" t="str">
        <f>IF(ISNUMBER(FIND("overige",Methode_Keuze)),"",IF(Tb_Activiteiten[[#This Row],[Niet verrekenbare btw]]=1,Tb_Activiteiten[[#Headers],[Niet verrekenbare btw]],""))</f>
        <v/>
      </c>
      <c r="AU654" t="str">
        <f>IF(ISNUMBER(FIND("overige",Methode_Keuze)),"",IF(Tb_Activiteiten[[#This Row],[Grondkosten]]=1,Tb_Activiteiten[[#Headers],[Grondkosten]],""))</f>
        <v/>
      </c>
      <c r="AV654" t="str">
        <f>IF(ISNUMBER(FIND("overige",Methode_Keuze)),"",IF(Tb_Activiteiten[[#This Row],[Bijdrage in natura (overige)]]=1,Tb_Activiteiten[[#Headers],[Bijdrage in natura (overige)]],""))</f>
        <v/>
      </c>
      <c r="AW654" t="str">
        <f>IF(ISNUMBER(FIND("overige",Methode_Keuze)),"",IF(Tb_Activiteiten[[#This Row],[Bijdrage in natura (vrijwilligers)]]=1,Tb_Activiteiten[[#Headers],[Bijdrage in natura (vrijwilligers)]],""))</f>
        <v/>
      </c>
      <c r="AX654" t="str">
        <f>IF(ISNUMBER(FIND("overige",Methode_Keuze)),"",IF(Tb_Activiteiten[[#This Row],[Afschrijvingskosten]]=1,Tb_Activiteiten[[#Headers],[Afschrijvingskosten]],""))</f>
        <v/>
      </c>
      <c r="AY654" t="str">
        <f>IF(ISNUMBER(FIND("overige",Methode_Keuze)),"",IF(Tb_Activiteiten[[#This Row],[Vergoeding]]=1,Tb_Activiteiten[[#Headers],[Vergoeding]],""))</f>
        <v/>
      </c>
      <c r="AZ654" t="str">
        <f>IF(ISNUMBER(FIND("arbeid",Methode_Keuze)),"",IF(Tb_Activiteiten[[#This Row],[Arbeidskosten - vast tarief (excl eigen arbeid)]]=1,Tb_Activiteiten[[#Headers],[Arbeidskosten - vast tarief (excl eigen arbeid)]],""))</f>
        <v/>
      </c>
      <c r="BA654" t="str">
        <f>IF(ISNUMBER(FIND("overige",Methode_Keuze)),"",IF(Tb_Activiteiten[[#This Row],[Overige kosten]]=1,Tb_Activiteiten[[#Headers],[Overige kosten]],""))</f>
        <v/>
      </c>
    </row>
    <row r="655" spans="1:53" x14ac:dyDescent="0.25">
      <c r="A655" s="231"/>
      <c r="F655" s="64"/>
      <c r="G655" s="64"/>
      <c r="H655" s="275"/>
      <c r="I655" s="275"/>
      <c r="J655" s="275"/>
      <c r="K655" s="275"/>
      <c r="O655" s="56"/>
      <c r="Q655" t="str">
        <f>IFERROR(IF(VLOOKUP(Tb_Activiteiten[[#This Row],[Openstelling]],Tb_Openstelling[],2,0)=1,1,""),"")</f>
        <v/>
      </c>
      <c r="AK655" t="str">
        <f>IF(ISNUMBER(FIND("arbeid",Methode_Keuze)),"",IF(ISNUMBER(FIND("arbeid",Methode_Keuze)),"",IF(Tb_Activiteiten[[#This Row],[Loonkosten]]=1,Tb_Activiteiten[[#Headers],[Loonkosten]],"")))</f>
        <v/>
      </c>
      <c r="AL655" t="str">
        <f>IF(ISNUMBER(FIND("arbeid",Methode_Keuze)),"",IF(ISNUMBER(FIND("arbeid",Methode_Keuze)),"",IF(Tb_Activiteiten[[#This Row],[Eigen arbeid]]=1,Tb_Activiteiten[[#Headers],[Eigen arbeid]],"")))</f>
        <v/>
      </c>
      <c r="AM655" t="str">
        <f>IF(ISNUMBER(FIND("arbeid",Methode_Keuze)),"",IF(ISNUMBER(FIND("arbeid",Methode_Keuze)),"",IF(Tb_Activiteiten[[#This Row],[Projectmedewerker]]=1,Tb_Activiteiten[[#Headers],[Projectmedewerker]],"")))</f>
        <v/>
      </c>
      <c r="AN655" t="str">
        <f>IF(ISNUMBER(FIND("arbeid",Methode_Keuze)),"",IF(ISNUMBER(FIND("arbeid",Methode_Keuze)),"",IF(Tb_Activiteiten[[#This Row],[Landbouwer]]=1,Tb_Activiteiten[[#Headers],[Landbouwer]],"")))</f>
        <v/>
      </c>
      <c r="AO655" t="str">
        <f>IF(ISNUMBER(FIND("arbeid",Methode_Keuze)),"",IF(ISNUMBER(FIND("arbeid",Methode_Keuze)),"",IF(Tb_Activiteiten[[#This Row],[Adviseur]]=1,Tb_Activiteiten[[#Headers],[Adviseur]],"")))</f>
        <v/>
      </c>
      <c r="AP655" t="str">
        <f>IF(ISNUMBER(FIND("arbeid",Methode_Keuze)),"",IF(ISNUMBER(FIND("arbeid",Methode_Keuze)),"",IF(Tb_Activiteiten[[#This Row],[Projectleider/Expert]]=1,Tb_Activiteiten[[#Headers],[Projectleider/Expert]],"")))</f>
        <v/>
      </c>
      <c r="AQ655" t="str">
        <f>IF(ISNUMBER(FIND("arbeid",Methode_Keuze)),"",IF(ISNUMBER(FIND("arbeid",Methode_Keuze)),"",IF(Tb_Activiteiten[[#This Row],[Arbeidskosten]]=1,Tb_Activiteiten[[#Headers],[Arbeidskosten]],"")))</f>
        <v/>
      </c>
      <c r="AR655" t="str">
        <f>IF(ISNUMBER(FIND("arbeid",Methode_Keuze)),"",IF(ISNUMBER(FIND("arbeid",Methode_Keuze)),"",IF(Tb_Activiteiten[[#This Row],[Arbeidskosten op basis van IKS]]=1,Tb_Activiteiten[[#Headers],[Arbeidskosten op basis van IKS]],"")))</f>
        <v/>
      </c>
      <c r="AS655" t="str">
        <f>IF(ISNUMBER(FIND("overige",Methode_Keuze)),"",IF(Tb_Activiteiten[[#This Row],[Kosten derden exclusief btw]]=1,Tb_Activiteiten[[#Headers],[Kosten derden exclusief btw]],""))</f>
        <v/>
      </c>
      <c r="AT655" t="str">
        <f>IF(ISNUMBER(FIND("overige",Methode_Keuze)),"",IF(Tb_Activiteiten[[#This Row],[Niet verrekenbare btw]]=1,Tb_Activiteiten[[#Headers],[Niet verrekenbare btw]],""))</f>
        <v/>
      </c>
      <c r="AU655" t="str">
        <f>IF(ISNUMBER(FIND("overige",Methode_Keuze)),"",IF(Tb_Activiteiten[[#This Row],[Grondkosten]]=1,Tb_Activiteiten[[#Headers],[Grondkosten]],""))</f>
        <v/>
      </c>
      <c r="AV655" t="str">
        <f>IF(ISNUMBER(FIND("overige",Methode_Keuze)),"",IF(Tb_Activiteiten[[#This Row],[Bijdrage in natura (overige)]]=1,Tb_Activiteiten[[#Headers],[Bijdrage in natura (overige)]],""))</f>
        <v/>
      </c>
      <c r="AW655" t="str">
        <f>IF(ISNUMBER(FIND("overige",Methode_Keuze)),"",IF(Tb_Activiteiten[[#This Row],[Bijdrage in natura (vrijwilligers)]]=1,Tb_Activiteiten[[#Headers],[Bijdrage in natura (vrijwilligers)]],""))</f>
        <v/>
      </c>
      <c r="AX655" t="str">
        <f>IF(ISNUMBER(FIND("overige",Methode_Keuze)),"",IF(Tb_Activiteiten[[#This Row],[Afschrijvingskosten]]=1,Tb_Activiteiten[[#Headers],[Afschrijvingskosten]],""))</f>
        <v/>
      </c>
      <c r="AY655" t="str">
        <f>IF(ISNUMBER(FIND("overige",Methode_Keuze)),"",IF(Tb_Activiteiten[[#This Row],[Vergoeding]]=1,Tb_Activiteiten[[#Headers],[Vergoeding]],""))</f>
        <v/>
      </c>
      <c r="AZ655" t="str">
        <f>IF(ISNUMBER(FIND("arbeid",Methode_Keuze)),"",IF(Tb_Activiteiten[[#This Row],[Arbeidskosten - vast tarief (excl eigen arbeid)]]=1,Tb_Activiteiten[[#Headers],[Arbeidskosten - vast tarief (excl eigen arbeid)]],""))</f>
        <v/>
      </c>
      <c r="BA655" t="str">
        <f>IF(ISNUMBER(FIND("overige",Methode_Keuze)),"",IF(Tb_Activiteiten[[#This Row],[Overige kosten]]=1,Tb_Activiteiten[[#Headers],[Overige kosten]],""))</f>
        <v/>
      </c>
    </row>
    <row r="656" spans="1:53" x14ac:dyDescent="0.25">
      <c r="A656" s="231"/>
      <c r="F656" s="64"/>
      <c r="G656" s="64"/>
      <c r="H656" s="275"/>
      <c r="I656" s="275"/>
      <c r="J656" s="275"/>
      <c r="K656" s="275"/>
      <c r="O656" s="56"/>
      <c r="Q656" t="str">
        <f>IFERROR(IF(VLOOKUP(Tb_Activiteiten[[#This Row],[Openstelling]],Tb_Openstelling[],2,0)=1,1,""),"")</f>
        <v/>
      </c>
      <c r="AK656" t="str">
        <f>IF(ISNUMBER(FIND("arbeid",Methode_Keuze)),"",IF(ISNUMBER(FIND("arbeid",Methode_Keuze)),"",IF(Tb_Activiteiten[[#This Row],[Loonkosten]]=1,Tb_Activiteiten[[#Headers],[Loonkosten]],"")))</f>
        <v/>
      </c>
      <c r="AL656" t="str">
        <f>IF(ISNUMBER(FIND("arbeid",Methode_Keuze)),"",IF(ISNUMBER(FIND("arbeid",Methode_Keuze)),"",IF(Tb_Activiteiten[[#This Row],[Eigen arbeid]]=1,Tb_Activiteiten[[#Headers],[Eigen arbeid]],"")))</f>
        <v/>
      </c>
      <c r="AM656" t="str">
        <f>IF(ISNUMBER(FIND("arbeid",Methode_Keuze)),"",IF(ISNUMBER(FIND("arbeid",Methode_Keuze)),"",IF(Tb_Activiteiten[[#This Row],[Projectmedewerker]]=1,Tb_Activiteiten[[#Headers],[Projectmedewerker]],"")))</f>
        <v/>
      </c>
      <c r="AN656" t="str">
        <f>IF(ISNUMBER(FIND("arbeid",Methode_Keuze)),"",IF(ISNUMBER(FIND("arbeid",Methode_Keuze)),"",IF(Tb_Activiteiten[[#This Row],[Landbouwer]]=1,Tb_Activiteiten[[#Headers],[Landbouwer]],"")))</f>
        <v/>
      </c>
      <c r="AO656" t="str">
        <f>IF(ISNUMBER(FIND("arbeid",Methode_Keuze)),"",IF(ISNUMBER(FIND("arbeid",Methode_Keuze)),"",IF(Tb_Activiteiten[[#This Row],[Adviseur]]=1,Tb_Activiteiten[[#Headers],[Adviseur]],"")))</f>
        <v/>
      </c>
      <c r="AP656" t="str">
        <f>IF(ISNUMBER(FIND("arbeid",Methode_Keuze)),"",IF(ISNUMBER(FIND("arbeid",Methode_Keuze)),"",IF(Tb_Activiteiten[[#This Row],[Projectleider/Expert]]=1,Tb_Activiteiten[[#Headers],[Projectleider/Expert]],"")))</f>
        <v/>
      </c>
      <c r="AQ656" t="str">
        <f>IF(ISNUMBER(FIND("arbeid",Methode_Keuze)),"",IF(ISNUMBER(FIND("arbeid",Methode_Keuze)),"",IF(Tb_Activiteiten[[#This Row],[Arbeidskosten]]=1,Tb_Activiteiten[[#Headers],[Arbeidskosten]],"")))</f>
        <v/>
      </c>
      <c r="AR656" t="str">
        <f>IF(ISNUMBER(FIND("arbeid",Methode_Keuze)),"",IF(ISNUMBER(FIND("arbeid",Methode_Keuze)),"",IF(Tb_Activiteiten[[#This Row],[Arbeidskosten op basis van IKS]]=1,Tb_Activiteiten[[#Headers],[Arbeidskosten op basis van IKS]],"")))</f>
        <v/>
      </c>
      <c r="AS656" t="str">
        <f>IF(ISNUMBER(FIND("overige",Methode_Keuze)),"",IF(Tb_Activiteiten[[#This Row],[Kosten derden exclusief btw]]=1,Tb_Activiteiten[[#Headers],[Kosten derden exclusief btw]],""))</f>
        <v/>
      </c>
      <c r="AT656" t="str">
        <f>IF(ISNUMBER(FIND("overige",Methode_Keuze)),"",IF(Tb_Activiteiten[[#This Row],[Niet verrekenbare btw]]=1,Tb_Activiteiten[[#Headers],[Niet verrekenbare btw]],""))</f>
        <v/>
      </c>
      <c r="AU656" t="str">
        <f>IF(ISNUMBER(FIND("overige",Methode_Keuze)),"",IF(Tb_Activiteiten[[#This Row],[Grondkosten]]=1,Tb_Activiteiten[[#Headers],[Grondkosten]],""))</f>
        <v/>
      </c>
      <c r="AV656" t="str">
        <f>IF(ISNUMBER(FIND("overige",Methode_Keuze)),"",IF(Tb_Activiteiten[[#This Row],[Bijdrage in natura (overige)]]=1,Tb_Activiteiten[[#Headers],[Bijdrage in natura (overige)]],""))</f>
        <v/>
      </c>
      <c r="AW656" t="str">
        <f>IF(ISNUMBER(FIND("overige",Methode_Keuze)),"",IF(Tb_Activiteiten[[#This Row],[Bijdrage in natura (vrijwilligers)]]=1,Tb_Activiteiten[[#Headers],[Bijdrage in natura (vrijwilligers)]],""))</f>
        <v/>
      </c>
      <c r="AX656" t="str">
        <f>IF(ISNUMBER(FIND("overige",Methode_Keuze)),"",IF(Tb_Activiteiten[[#This Row],[Afschrijvingskosten]]=1,Tb_Activiteiten[[#Headers],[Afschrijvingskosten]],""))</f>
        <v/>
      </c>
      <c r="AY656" t="str">
        <f>IF(ISNUMBER(FIND("overige",Methode_Keuze)),"",IF(Tb_Activiteiten[[#This Row],[Vergoeding]]=1,Tb_Activiteiten[[#Headers],[Vergoeding]],""))</f>
        <v/>
      </c>
      <c r="AZ656" t="str">
        <f>IF(ISNUMBER(FIND("arbeid",Methode_Keuze)),"",IF(Tb_Activiteiten[[#This Row],[Arbeidskosten - vast tarief (excl eigen arbeid)]]=1,Tb_Activiteiten[[#Headers],[Arbeidskosten - vast tarief (excl eigen arbeid)]],""))</f>
        <v/>
      </c>
      <c r="BA656" t="str">
        <f>IF(ISNUMBER(FIND("overige",Methode_Keuze)),"",IF(Tb_Activiteiten[[#This Row],[Overige kosten]]=1,Tb_Activiteiten[[#Headers],[Overige kosten]],""))</f>
        <v/>
      </c>
    </row>
    <row r="657" spans="1:53" x14ac:dyDescent="0.25">
      <c r="A657" s="231"/>
      <c r="F657" s="64"/>
      <c r="G657" s="64"/>
      <c r="H657" s="275"/>
      <c r="I657" s="275"/>
      <c r="J657" s="275"/>
      <c r="K657" s="275"/>
      <c r="O657" s="56"/>
      <c r="Q657" t="str">
        <f>IFERROR(IF(VLOOKUP(Tb_Activiteiten[[#This Row],[Openstelling]],Tb_Openstelling[],2,0)=1,1,""),"")</f>
        <v/>
      </c>
      <c r="AK657" t="str">
        <f>IF(ISNUMBER(FIND("arbeid",Methode_Keuze)),"",IF(ISNUMBER(FIND("arbeid",Methode_Keuze)),"",IF(Tb_Activiteiten[[#This Row],[Loonkosten]]=1,Tb_Activiteiten[[#Headers],[Loonkosten]],"")))</f>
        <v/>
      </c>
      <c r="AL657" t="str">
        <f>IF(ISNUMBER(FIND("arbeid",Methode_Keuze)),"",IF(ISNUMBER(FIND("arbeid",Methode_Keuze)),"",IF(Tb_Activiteiten[[#This Row],[Eigen arbeid]]=1,Tb_Activiteiten[[#Headers],[Eigen arbeid]],"")))</f>
        <v/>
      </c>
      <c r="AM657" t="str">
        <f>IF(ISNUMBER(FIND("arbeid",Methode_Keuze)),"",IF(ISNUMBER(FIND("arbeid",Methode_Keuze)),"",IF(Tb_Activiteiten[[#This Row],[Projectmedewerker]]=1,Tb_Activiteiten[[#Headers],[Projectmedewerker]],"")))</f>
        <v/>
      </c>
      <c r="AN657" t="str">
        <f>IF(ISNUMBER(FIND("arbeid",Methode_Keuze)),"",IF(ISNUMBER(FIND("arbeid",Methode_Keuze)),"",IF(Tb_Activiteiten[[#This Row],[Landbouwer]]=1,Tb_Activiteiten[[#Headers],[Landbouwer]],"")))</f>
        <v/>
      </c>
      <c r="AO657" t="str">
        <f>IF(ISNUMBER(FIND("arbeid",Methode_Keuze)),"",IF(ISNUMBER(FIND("arbeid",Methode_Keuze)),"",IF(Tb_Activiteiten[[#This Row],[Adviseur]]=1,Tb_Activiteiten[[#Headers],[Adviseur]],"")))</f>
        <v/>
      </c>
      <c r="AP657" t="str">
        <f>IF(ISNUMBER(FIND("arbeid",Methode_Keuze)),"",IF(ISNUMBER(FIND("arbeid",Methode_Keuze)),"",IF(Tb_Activiteiten[[#This Row],[Projectleider/Expert]]=1,Tb_Activiteiten[[#Headers],[Projectleider/Expert]],"")))</f>
        <v/>
      </c>
      <c r="AQ657" t="str">
        <f>IF(ISNUMBER(FIND("arbeid",Methode_Keuze)),"",IF(ISNUMBER(FIND("arbeid",Methode_Keuze)),"",IF(Tb_Activiteiten[[#This Row],[Arbeidskosten]]=1,Tb_Activiteiten[[#Headers],[Arbeidskosten]],"")))</f>
        <v/>
      </c>
      <c r="AR657" t="str">
        <f>IF(ISNUMBER(FIND("arbeid",Methode_Keuze)),"",IF(ISNUMBER(FIND("arbeid",Methode_Keuze)),"",IF(Tb_Activiteiten[[#This Row],[Arbeidskosten op basis van IKS]]=1,Tb_Activiteiten[[#Headers],[Arbeidskosten op basis van IKS]],"")))</f>
        <v/>
      </c>
      <c r="AS657" t="str">
        <f>IF(ISNUMBER(FIND("overige",Methode_Keuze)),"",IF(Tb_Activiteiten[[#This Row],[Kosten derden exclusief btw]]=1,Tb_Activiteiten[[#Headers],[Kosten derden exclusief btw]],""))</f>
        <v/>
      </c>
      <c r="AT657" t="str">
        <f>IF(ISNUMBER(FIND("overige",Methode_Keuze)),"",IF(Tb_Activiteiten[[#This Row],[Niet verrekenbare btw]]=1,Tb_Activiteiten[[#Headers],[Niet verrekenbare btw]],""))</f>
        <v/>
      </c>
      <c r="AU657" t="str">
        <f>IF(ISNUMBER(FIND("overige",Methode_Keuze)),"",IF(Tb_Activiteiten[[#This Row],[Grondkosten]]=1,Tb_Activiteiten[[#Headers],[Grondkosten]],""))</f>
        <v/>
      </c>
      <c r="AV657" t="str">
        <f>IF(ISNUMBER(FIND("overige",Methode_Keuze)),"",IF(Tb_Activiteiten[[#This Row],[Bijdrage in natura (overige)]]=1,Tb_Activiteiten[[#Headers],[Bijdrage in natura (overige)]],""))</f>
        <v/>
      </c>
      <c r="AW657" t="str">
        <f>IF(ISNUMBER(FIND("overige",Methode_Keuze)),"",IF(Tb_Activiteiten[[#This Row],[Bijdrage in natura (vrijwilligers)]]=1,Tb_Activiteiten[[#Headers],[Bijdrage in natura (vrijwilligers)]],""))</f>
        <v/>
      </c>
      <c r="AX657" t="str">
        <f>IF(ISNUMBER(FIND("overige",Methode_Keuze)),"",IF(Tb_Activiteiten[[#This Row],[Afschrijvingskosten]]=1,Tb_Activiteiten[[#Headers],[Afschrijvingskosten]],""))</f>
        <v/>
      </c>
      <c r="AY657" t="str">
        <f>IF(ISNUMBER(FIND("overige",Methode_Keuze)),"",IF(Tb_Activiteiten[[#This Row],[Vergoeding]]=1,Tb_Activiteiten[[#Headers],[Vergoeding]],""))</f>
        <v/>
      </c>
      <c r="AZ657" t="str">
        <f>IF(ISNUMBER(FIND("arbeid",Methode_Keuze)),"",IF(Tb_Activiteiten[[#This Row],[Arbeidskosten - vast tarief (excl eigen arbeid)]]=1,Tb_Activiteiten[[#Headers],[Arbeidskosten - vast tarief (excl eigen arbeid)]],""))</f>
        <v/>
      </c>
      <c r="BA657" t="str">
        <f>IF(ISNUMBER(FIND("overige",Methode_Keuze)),"",IF(Tb_Activiteiten[[#This Row],[Overige kosten]]=1,Tb_Activiteiten[[#Headers],[Overige kosten]],""))</f>
        <v/>
      </c>
    </row>
    <row r="658" spans="1:53" x14ac:dyDescent="0.25">
      <c r="A658" s="231"/>
      <c r="F658" s="64"/>
      <c r="G658" s="64"/>
      <c r="H658" s="275"/>
      <c r="I658" s="275"/>
      <c r="J658" s="275"/>
      <c r="K658" s="275"/>
      <c r="O658" s="56"/>
      <c r="Q658" t="str">
        <f>IFERROR(IF(VLOOKUP(Tb_Activiteiten[[#This Row],[Openstelling]],Tb_Openstelling[],2,0)=1,1,""),"")</f>
        <v/>
      </c>
      <c r="AK658" t="str">
        <f>IF(ISNUMBER(FIND("arbeid",Methode_Keuze)),"",IF(ISNUMBER(FIND("arbeid",Methode_Keuze)),"",IF(Tb_Activiteiten[[#This Row],[Loonkosten]]=1,Tb_Activiteiten[[#Headers],[Loonkosten]],"")))</f>
        <v/>
      </c>
      <c r="AL658" t="str">
        <f>IF(ISNUMBER(FIND("arbeid",Methode_Keuze)),"",IF(ISNUMBER(FIND("arbeid",Methode_Keuze)),"",IF(Tb_Activiteiten[[#This Row],[Eigen arbeid]]=1,Tb_Activiteiten[[#Headers],[Eigen arbeid]],"")))</f>
        <v/>
      </c>
      <c r="AM658" t="str">
        <f>IF(ISNUMBER(FIND("arbeid",Methode_Keuze)),"",IF(ISNUMBER(FIND("arbeid",Methode_Keuze)),"",IF(Tb_Activiteiten[[#This Row],[Projectmedewerker]]=1,Tb_Activiteiten[[#Headers],[Projectmedewerker]],"")))</f>
        <v/>
      </c>
      <c r="AN658" t="str">
        <f>IF(ISNUMBER(FIND("arbeid",Methode_Keuze)),"",IF(ISNUMBER(FIND("arbeid",Methode_Keuze)),"",IF(Tb_Activiteiten[[#This Row],[Landbouwer]]=1,Tb_Activiteiten[[#Headers],[Landbouwer]],"")))</f>
        <v/>
      </c>
      <c r="AO658" t="str">
        <f>IF(ISNUMBER(FIND("arbeid",Methode_Keuze)),"",IF(ISNUMBER(FIND("arbeid",Methode_Keuze)),"",IF(Tb_Activiteiten[[#This Row],[Adviseur]]=1,Tb_Activiteiten[[#Headers],[Adviseur]],"")))</f>
        <v/>
      </c>
      <c r="AP658" t="str">
        <f>IF(ISNUMBER(FIND("arbeid",Methode_Keuze)),"",IF(ISNUMBER(FIND("arbeid",Methode_Keuze)),"",IF(Tb_Activiteiten[[#This Row],[Projectleider/Expert]]=1,Tb_Activiteiten[[#Headers],[Projectleider/Expert]],"")))</f>
        <v/>
      </c>
      <c r="AQ658" t="str">
        <f>IF(ISNUMBER(FIND("arbeid",Methode_Keuze)),"",IF(ISNUMBER(FIND("arbeid",Methode_Keuze)),"",IF(Tb_Activiteiten[[#This Row],[Arbeidskosten]]=1,Tb_Activiteiten[[#Headers],[Arbeidskosten]],"")))</f>
        <v/>
      </c>
      <c r="AR658" t="str">
        <f>IF(ISNUMBER(FIND("arbeid",Methode_Keuze)),"",IF(ISNUMBER(FIND("arbeid",Methode_Keuze)),"",IF(Tb_Activiteiten[[#This Row],[Arbeidskosten op basis van IKS]]=1,Tb_Activiteiten[[#Headers],[Arbeidskosten op basis van IKS]],"")))</f>
        <v/>
      </c>
      <c r="AS658" t="str">
        <f>IF(ISNUMBER(FIND("overige",Methode_Keuze)),"",IF(Tb_Activiteiten[[#This Row],[Kosten derden exclusief btw]]=1,Tb_Activiteiten[[#Headers],[Kosten derden exclusief btw]],""))</f>
        <v/>
      </c>
      <c r="AT658" t="str">
        <f>IF(ISNUMBER(FIND("overige",Methode_Keuze)),"",IF(Tb_Activiteiten[[#This Row],[Niet verrekenbare btw]]=1,Tb_Activiteiten[[#Headers],[Niet verrekenbare btw]],""))</f>
        <v/>
      </c>
      <c r="AU658" t="str">
        <f>IF(ISNUMBER(FIND("overige",Methode_Keuze)),"",IF(Tb_Activiteiten[[#This Row],[Grondkosten]]=1,Tb_Activiteiten[[#Headers],[Grondkosten]],""))</f>
        <v/>
      </c>
      <c r="AV658" t="str">
        <f>IF(ISNUMBER(FIND("overige",Methode_Keuze)),"",IF(Tb_Activiteiten[[#This Row],[Bijdrage in natura (overige)]]=1,Tb_Activiteiten[[#Headers],[Bijdrage in natura (overige)]],""))</f>
        <v/>
      </c>
      <c r="AW658" t="str">
        <f>IF(ISNUMBER(FIND("overige",Methode_Keuze)),"",IF(Tb_Activiteiten[[#This Row],[Bijdrage in natura (vrijwilligers)]]=1,Tb_Activiteiten[[#Headers],[Bijdrage in natura (vrijwilligers)]],""))</f>
        <v/>
      </c>
      <c r="AX658" t="str">
        <f>IF(ISNUMBER(FIND("overige",Methode_Keuze)),"",IF(Tb_Activiteiten[[#This Row],[Afschrijvingskosten]]=1,Tb_Activiteiten[[#Headers],[Afschrijvingskosten]],""))</f>
        <v/>
      </c>
      <c r="AY658" t="str">
        <f>IF(ISNUMBER(FIND("overige",Methode_Keuze)),"",IF(Tb_Activiteiten[[#This Row],[Vergoeding]]=1,Tb_Activiteiten[[#Headers],[Vergoeding]],""))</f>
        <v/>
      </c>
      <c r="AZ658" t="str">
        <f>IF(ISNUMBER(FIND("arbeid",Methode_Keuze)),"",IF(Tb_Activiteiten[[#This Row],[Arbeidskosten - vast tarief (excl eigen arbeid)]]=1,Tb_Activiteiten[[#Headers],[Arbeidskosten - vast tarief (excl eigen arbeid)]],""))</f>
        <v/>
      </c>
      <c r="BA658" t="str">
        <f>IF(ISNUMBER(FIND("overige",Methode_Keuze)),"",IF(Tb_Activiteiten[[#This Row],[Overige kosten]]=1,Tb_Activiteiten[[#Headers],[Overige kosten]],""))</f>
        <v/>
      </c>
    </row>
    <row r="659" spans="1:53" x14ac:dyDescent="0.25">
      <c r="A659" s="231"/>
      <c r="F659" s="64"/>
      <c r="G659" s="64"/>
      <c r="H659" s="275"/>
      <c r="I659" s="275"/>
      <c r="J659" s="275"/>
      <c r="K659" s="275"/>
      <c r="O659" s="56"/>
      <c r="Q659" t="str">
        <f>IFERROR(IF(VLOOKUP(Tb_Activiteiten[[#This Row],[Openstelling]],Tb_Openstelling[],2,0)=1,1,""),"")</f>
        <v/>
      </c>
      <c r="AK659" t="str">
        <f>IF(ISNUMBER(FIND("arbeid",Methode_Keuze)),"",IF(ISNUMBER(FIND("arbeid",Methode_Keuze)),"",IF(Tb_Activiteiten[[#This Row],[Loonkosten]]=1,Tb_Activiteiten[[#Headers],[Loonkosten]],"")))</f>
        <v/>
      </c>
      <c r="AL659" t="str">
        <f>IF(ISNUMBER(FIND("arbeid",Methode_Keuze)),"",IF(ISNUMBER(FIND("arbeid",Methode_Keuze)),"",IF(Tb_Activiteiten[[#This Row],[Eigen arbeid]]=1,Tb_Activiteiten[[#Headers],[Eigen arbeid]],"")))</f>
        <v/>
      </c>
      <c r="AM659" t="str">
        <f>IF(ISNUMBER(FIND("arbeid",Methode_Keuze)),"",IF(ISNUMBER(FIND("arbeid",Methode_Keuze)),"",IF(Tb_Activiteiten[[#This Row],[Projectmedewerker]]=1,Tb_Activiteiten[[#Headers],[Projectmedewerker]],"")))</f>
        <v/>
      </c>
      <c r="AN659" t="str">
        <f>IF(ISNUMBER(FIND("arbeid",Methode_Keuze)),"",IF(ISNUMBER(FIND("arbeid",Methode_Keuze)),"",IF(Tb_Activiteiten[[#This Row],[Landbouwer]]=1,Tb_Activiteiten[[#Headers],[Landbouwer]],"")))</f>
        <v/>
      </c>
      <c r="AO659" t="str">
        <f>IF(ISNUMBER(FIND("arbeid",Methode_Keuze)),"",IF(ISNUMBER(FIND("arbeid",Methode_Keuze)),"",IF(Tb_Activiteiten[[#This Row],[Adviseur]]=1,Tb_Activiteiten[[#Headers],[Adviseur]],"")))</f>
        <v/>
      </c>
      <c r="AP659" t="str">
        <f>IF(ISNUMBER(FIND("arbeid",Methode_Keuze)),"",IF(ISNUMBER(FIND("arbeid",Methode_Keuze)),"",IF(Tb_Activiteiten[[#This Row],[Projectleider/Expert]]=1,Tb_Activiteiten[[#Headers],[Projectleider/Expert]],"")))</f>
        <v/>
      </c>
      <c r="AQ659" t="str">
        <f>IF(ISNUMBER(FIND("arbeid",Methode_Keuze)),"",IF(ISNUMBER(FIND("arbeid",Methode_Keuze)),"",IF(Tb_Activiteiten[[#This Row],[Arbeidskosten]]=1,Tb_Activiteiten[[#Headers],[Arbeidskosten]],"")))</f>
        <v/>
      </c>
      <c r="AR659" t="str">
        <f>IF(ISNUMBER(FIND("arbeid",Methode_Keuze)),"",IF(ISNUMBER(FIND("arbeid",Methode_Keuze)),"",IF(Tb_Activiteiten[[#This Row],[Arbeidskosten op basis van IKS]]=1,Tb_Activiteiten[[#Headers],[Arbeidskosten op basis van IKS]],"")))</f>
        <v/>
      </c>
      <c r="AS659" t="str">
        <f>IF(ISNUMBER(FIND("overige",Methode_Keuze)),"",IF(Tb_Activiteiten[[#This Row],[Kosten derden exclusief btw]]=1,Tb_Activiteiten[[#Headers],[Kosten derden exclusief btw]],""))</f>
        <v/>
      </c>
      <c r="AT659" t="str">
        <f>IF(ISNUMBER(FIND("overige",Methode_Keuze)),"",IF(Tb_Activiteiten[[#This Row],[Niet verrekenbare btw]]=1,Tb_Activiteiten[[#Headers],[Niet verrekenbare btw]],""))</f>
        <v/>
      </c>
      <c r="AU659" t="str">
        <f>IF(ISNUMBER(FIND("overige",Methode_Keuze)),"",IF(Tb_Activiteiten[[#This Row],[Grondkosten]]=1,Tb_Activiteiten[[#Headers],[Grondkosten]],""))</f>
        <v/>
      </c>
      <c r="AV659" t="str">
        <f>IF(ISNUMBER(FIND("overige",Methode_Keuze)),"",IF(Tb_Activiteiten[[#This Row],[Bijdrage in natura (overige)]]=1,Tb_Activiteiten[[#Headers],[Bijdrage in natura (overige)]],""))</f>
        <v/>
      </c>
      <c r="AW659" t="str">
        <f>IF(ISNUMBER(FIND("overige",Methode_Keuze)),"",IF(Tb_Activiteiten[[#This Row],[Bijdrage in natura (vrijwilligers)]]=1,Tb_Activiteiten[[#Headers],[Bijdrage in natura (vrijwilligers)]],""))</f>
        <v/>
      </c>
      <c r="AX659" t="str">
        <f>IF(ISNUMBER(FIND("overige",Methode_Keuze)),"",IF(Tb_Activiteiten[[#This Row],[Afschrijvingskosten]]=1,Tb_Activiteiten[[#Headers],[Afschrijvingskosten]],""))</f>
        <v/>
      </c>
      <c r="AY659" t="str">
        <f>IF(ISNUMBER(FIND("overige",Methode_Keuze)),"",IF(Tb_Activiteiten[[#This Row],[Vergoeding]]=1,Tb_Activiteiten[[#Headers],[Vergoeding]],""))</f>
        <v/>
      </c>
      <c r="AZ659" t="str">
        <f>IF(ISNUMBER(FIND("arbeid",Methode_Keuze)),"",IF(Tb_Activiteiten[[#This Row],[Arbeidskosten - vast tarief (excl eigen arbeid)]]=1,Tb_Activiteiten[[#Headers],[Arbeidskosten - vast tarief (excl eigen arbeid)]],""))</f>
        <v/>
      </c>
      <c r="BA659" t="str">
        <f>IF(ISNUMBER(FIND("overige",Methode_Keuze)),"",IF(Tb_Activiteiten[[#This Row],[Overige kosten]]=1,Tb_Activiteiten[[#Headers],[Overige kosten]],""))</f>
        <v/>
      </c>
    </row>
    <row r="660" spans="1:53" x14ac:dyDescent="0.25">
      <c r="A660" s="231"/>
      <c r="F660" s="64"/>
      <c r="G660" s="64"/>
      <c r="H660" s="275"/>
      <c r="I660" s="275"/>
      <c r="J660" s="275"/>
      <c r="K660" s="275"/>
      <c r="O660" s="56"/>
      <c r="Q660" t="str">
        <f>IFERROR(IF(VLOOKUP(Tb_Activiteiten[[#This Row],[Openstelling]],Tb_Openstelling[],2,0)=1,1,""),"")</f>
        <v/>
      </c>
      <c r="AK660" t="str">
        <f>IF(ISNUMBER(FIND("arbeid",Methode_Keuze)),"",IF(ISNUMBER(FIND("arbeid",Methode_Keuze)),"",IF(Tb_Activiteiten[[#This Row],[Loonkosten]]=1,Tb_Activiteiten[[#Headers],[Loonkosten]],"")))</f>
        <v/>
      </c>
      <c r="AL660" t="str">
        <f>IF(ISNUMBER(FIND("arbeid",Methode_Keuze)),"",IF(ISNUMBER(FIND("arbeid",Methode_Keuze)),"",IF(Tb_Activiteiten[[#This Row],[Eigen arbeid]]=1,Tb_Activiteiten[[#Headers],[Eigen arbeid]],"")))</f>
        <v/>
      </c>
      <c r="AM660" t="str">
        <f>IF(ISNUMBER(FIND("arbeid",Methode_Keuze)),"",IF(ISNUMBER(FIND("arbeid",Methode_Keuze)),"",IF(Tb_Activiteiten[[#This Row],[Projectmedewerker]]=1,Tb_Activiteiten[[#Headers],[Projectmedewerker]],"")))</f>
        <v/>
      </c>
      <c r="AN660" t="str">
        <f>IF(ISNUMBER(FIND("arbeid",Methode_Keuze)),"",IF(ISNUMBER(FIND("arbeid",Methode_Keuze)),"",IF(Tb_Activiteiten[[#This Row],[Landbouwer]]=1,Tb_Activiteiten[[#Headers],[Landbouwer]],"")))</f>
        <v/>
      </c>
      <c r="AO660" t="str">
        <f>IF(ISNUMBER(FIND("arbeid",Methode_Keuze)),"",IF(ISNUMBER(FIND("arbeid",Methode_Keuze)),"",IF(Tb_Activiteiten[[#This Row],[Adviseur]]=1,Tb_Activiteiten[[#Headers],[Adviseur]],"")))</f>
        <v/>
      </c>
      <c r="AP660" t="str">
        <f>IF(ISNUMBER(FIND("arbeid",Methode_Keuze)),"",IF(ISNUMBER(FIND("arbeid",Methode_Keuze)),"",IF(Tb_Activiteiten[[#This Row],[Projectleider/Expert]]=1,Tb_Activiteiten[[#Headers],[Projectleider/Expert]],"")))</f>
        <v/>
      </c>
      <c r="AQ660" t="str">
        <f>IF(ISNUMBER(FIND("arbeid",Methode_Keuze)),"",IF(ISNUMBER(FIND("arbeid",Methode_Keuze)),"",IF(Tb_Activiteiten[[#This Row],[Arbeidskosten]]=1,Tb_Activiteiten[[#Headers],[Arbeidskosten]],"")))</f>
        <v/>
      </c>
      <c r="AR660" t="str">
        <f>IF(ISNUMBER(FIND("arbeid",Methode_Keuze)),"",IF(ISNUMBER(FIND("arbeid",Methode_Keuze)),"",IF(Tb_Activiteiten[[#This Row],[Arbeidskosten op basis van IKS]]=1,Tb_Activiteiten[[#Headers],[Arbeidskosten op basis van IKS]],"")))</f>
        <v/>
      </c>
      <c r="AS660" t="str">
        <f>IF(ISNUMBER(FIND("overige",Methode_Keuze)),"",IF(Tb_Activiteiten[[#This Row],[Kosten derden exclusief btw]]=1,Tb_Activiteiten[[#Headers],[Kosten derden exclusief btw]],""))</f>
        <v/>
      </c>
      <c r="AT660" t="str">
        <f>IF(ISNUMBER(FIND("overige",Methode_Keuze)),"",IF(Tb_Activiteiten[[#This Row],[Niet verrekenbare btw]]=1,Tb_Activiteiten[[#Headers],[Niet verrekenbare btw]],""))</f>
        <v/>
      </c>
      <c r="AU660" t="str">
        <f>IF(ISNUMBER(FIND("overige",Methode_Keuze)),"",IF(Tb_Activiteiten[[#This Row],[Grondkosten]]=1,Tb_Activiteiten[[#Headers],[Grondkosten]],""))</f>
        <v/>
      </c>
      <c r="AV660" t="str">
        <f>IF(ISNUMBER(FIND("overige",Methode_Keuze)),"",IF(Tb_Activiteiten[[#This Row],[Bijdrage in natura (overige)]]=1,Tb_Activiteiten[[#Headers],[Bijdrage in natura (overige)]],""))</f>
        <v/>
      </c>
      <c r="AW660" t="str">
        <f>IF(ISNUMBER(FIND("overige",Methode_Keuze)),"",IF(Tb_Activiteiten[[#This Row],[Bijdrage in natura (vrijwilligers)]]=1,Tb_Activiteiten[[#Headers],[Bijdrage in natura (vrijwilligers)]],""))</f>
        <v/>
      </c>
      <c r="AX660" t="str">
        <f>IF(ISNUMBER(FIND("overige",Methode_Keuze)),"",IF(Tb_Activiteiten[[#This Row],[Afschrijvingskosten]]=1,Tb_Activiteiten[[#Headers],[Afschrijvingskosten]],""))</f>
        <v/>
      </c>
      <c r="AY660" t="str">
        <f>IF(ISNUMBER(FIND("overige",Methode_Keuze)),"",IF(Tb_Activiteiten[[#This Row],[Vergoeding]]=1,Tb_Activiteiten[[#Headers],[Vergoeding]],""))</f>
        <v/>
      </c>
      <c r="AZ660" t="str">
        <f>IF(ISNUMBER(FIND("arbeid",Methode_Keuze)),"",IF(Tb_Activiteiten[[#This Row],[Arbeidskosten - vast tarief (excl eigen arbeid)]]=1,Tb_Activiteiten[[#Headers],[Arbeidskosten - vast tarief (excl eigen arbeid)]],""))</f>
        <v/>
      </c>
      <c r="BA660" t="str">
        <f>IF(ISNUMBER(FIND("overige",Methode_Keuze)),"",IF(Tb_Activiteiten[[#This Row],[Overige kosten]]=1,Tb_Activiteiten[[#Headers],[Overige kosten]],""))</f>
        <v/>
      </c>
    </row>
    <row r="661" spans="1:53" x14ac:dyDescent="0.25">
      <c r="A661" s="231"/>
      <c r="F661" s="64"/>
      <c r="G661" s="64"/>
      <c r="H661" s="275"/>
      <c r="I661" s="275"/>
      <c r="J661" s="275"/>
      <c r="K661" s="275"/>
      <c r="O661" s="56"/>
      <c r="Q661" t="str">
        <f>IFERROR(IF(VLOOKUP(Tb_Activiteiten[[#This Row],[Openstelling]],Tb_Openstelling[],2,0)=1,1,""),"")</f>
        <v/>
      </c>
      <c r="AK661" t="str">
        <f>IF(ISNUMBER(FIND("arbeid",Methode_Keuze)),"",IF(ISNUMBER(FIND("arbeid",Methode_Keuze)),"",IF(Tb_Activiteiten[[#This Row],[Loonkosten]]=1,Tb_Activiteiten[[#Headers],[Loonkosten]],"")))</f>
        <v/>
      </c>
      <c r="AL661" t="str">
        <f>IF(ISNUMBER(FIND("arbeid",Methode_Keuze)),"",IF(ISNUMBER(FIND("arbeid",Methode_Keuze)),"",IF(Tb_Activiteiten[[#This Row],[Eigen arbeid]]=1,Tb_Activiteiten[[#Headers],[Eigen arbeid]],"")))</f>
        <v/>
      </c>
      <c r="AM661" t="str">
        <f>IF(ISNUMBER(FIND("arbeid",Methode_Keuze)),"",IF(ISNUMBER(FIND("arbeid",Methode_Keuze)),"",IF(Tb_Activiteiten[[#This Row],[Projectmedewerker]]=1,Tb_Activiteiten[[#Headers],[Projectmedewerker]],"")))</f>
        <v/>
      </c>
      <c r="AN661" t="str">
        <f>IF(ISNUMBER(FIND("arbeid",Methode_Keuze)),"",IF(ISNUMBER(FIND("arbeid",Methode_Keuze)),"",IF(Tb_Activiteiten[[#This Row],[Landbouwer]]=1,Tb_Activiteiten[[#Headers],[Landbouwer]],"")))</f>
        <v/>
      </c>
      <c r="AO661" t="str">
        <f>IF(ISNUMBER(FIND("arbeid",Methode_Keuze)),"",IF(ISNUMBER(FIND("arbeid",Methode_Keuze)),"",IF(Tb_Activiteiten[[#This Row],[Adviseur]]=1,Tb_Activiteiten[[#Headers],[Adviseur]],"")))</f>
        <v/>
      </c>
      <c r="AP661" t="str">
        <f>IF(ISNUMBER(FIND("arbeid",Methode_Keuze)),"",IF(ISNUMBER(FIND("arbeid",Methode_Keuze)),"",IF(Tb_Activiteiten[[#This Row],[Projectleider/Expert]]=1,Tb_Activiteiten[[#Headers],[Projectleider/Expert]],"")))</f>
        <v/>
      </c>
      <c r="AQ661" t="str">
        <f>IF(ISNUMBER(FIND("arbeid",Methode_Keuze)),"",IF(ISNUMBER(FIND("arbeid",Methode_Keuze)),"",IF(Tb_Activiteiten[[#This Row],[Arbeidskosten]]=1,Tb_Activiteiten[[#Headers],[Arbeidskosten]],"")))</f>
        <v/>
      </c>
      <c r="AR661" t="str">
        <f>IF(ISNUMBER(FIND("arbeid",Methode_Keuze)),"",IF(ISNUMBER(FIND("arbeid",Methode_Keuze)),"",IF(Tb_Activiteiten[[#This Row],[Arbeidskosten op basis van IKS]]=1,Tb_Activiteiten[[#Headers],[Arbeidskosten op basis van IKS]],"")))</f>
        <v/>
      </c>
      <c r="AS661" t="str">
        <f>IF(ISNUMBER(FIND("overige",Methode_Keuze)),"",IF(Tb_Activiteiten[[#This Row],[Kosten derden exclusief btw]]=1,Tb_Activiteiten[[#Headers],[Kosten derden exclusief btw]],""))</f>
        <v/>
      </c>
      <c r="AT661" t="str">
        <f>IF(ISNUMBER(FIND("overige",Methode_Keuze)),"",IF(Tb_Activiteiten[[#This Row],[Niet verrekenbare btw]]=1,Tb_Activiteiten[[#Headers],[Niet verrekenbare btw]],""))</f>
        <v/>
      </c>
      <c r="AU661" t="str">
        <f>IF(ISNUMBER(FIND("overige",Methode_Keuze)),"",IF(Tb_Activiteiten[[#This Row],[Grondkosten]]=1,Tb_Activiteiten[[#Headers],[Grondkosten]],""))</f>
        <v/>
      </c>
      <c r="AV661" t="str">
        <f>IF(ISNUMBER(FIND("overige",Methode_Keuze)),"",IF(Tb_Activiteiten[[#This Row],[Bijdrage in natura (overige)]]=1,Tb_Activiteiten[[#Headers],[Bijdrage in natura (overige)]],""))</f>
        <v/>
      </c>
      <c r="AW661" t="str">
        <f>IF(ISNUMBER(FIND("overige",Methode_Keuze)),"",IF(Tb_Activiteiten[[#This Row],[Bijdrage in natura (vrijwilligers)]]=1,Tb_Activiteiten[[#Headers],[Bijdrage in natura (vrijwilligers)]],""))</f>
        <v/>
      </c>
      <c r="AX661" t="str">
        <f>IF(ISNUMBER(FIND("overige",Methode_Keuze)),"",IF(Tb_Activiteiten[[#This Row],[Afschrijvingskosten]]=1,Tb_Activiteiten[[#Headers],[Afschrijvingskosten]],""))</f>
        <v/>
      </c>
      <c r="AY661" t="str">
        <f>IF(ISNUMBER(FIND("overige",Methode_Keuze)),"",IF(Tb_Activiteiten[[#This Row],[Vergoeding]]=1,Tb_Activiteiten[[#Headers],[Vergoeding]],""))</f>
        <v/>
      </c>
      <c r="AZ661" t="str">
        <f>IF(ISNUMBER(FIND("arbeid",Methode_Keuze)),"",IF(Tb_Activiteiten[[#This Row],[Arbeidskosten - vast tarief (excl eigen arbeid)]]=1,Tb_Activiteiten[[#Headers],[Arbeidskosten - vast tarief (excl eigen arbeid)]],""))</f>
        <v/>
      </c>
      <c r="BA661" t="str">
        <f>IF(ISNUMBER(FIND("overige",Methode_Keuze)),"",IF(Tb_Activiteiten[[#This Row],[Overige kosten]]=1,Tb_Activiteiten[[#Headers],[Overige kosten]],""))</f>
        <v/>
      </c>
    </row>
    <row r="662" spans="1:53" x14ac:dyDescent="0.25">
      <c r="A662" s="231"/>
      <c r="F662" s="64"/>
      <c r="G662" s="64"/>
      <c r="H662" s="275"/>
      <c r="I662" s="275"/>
      <c r="J662" s="275"/>
      <c r="K662" s="275"/>
      <c r="O662" s="56"/>
      <c r="Q662" t="str">
        <f>IFERROR(IF(VLOOKUP(Tb_Activiteiten[[#This Row],[Openstelling]],Tb_Openstelling[],2,0)=1,1,""),"")</f>
        <v/>
      </c>
      <c r="AK662" t="str">
        <f>IF(ISNUMBER(FIND("arbeid",Methode_Keuze)),"",IF(ISNUMBER(FIND("arbeid",Methode_Keuze)),"",IF(Tb_Activiteiten[[#This Row],[Loonkosten]]=1,Tb_Activiteiten[[#Headers],[Loonkosten]],"")))</f>
        <v/>
      </c>
      <c r="AL662" t="str">
        <f>IF(ISNUMBER(FIND("arbeid",Methode_Keuze)),"",IF(ISNUMBER(FIND("arbeid",Methode_Keuze)),"",IF(Tb_Activiteiten[[#This Row],[Eigen arbeid]]=1,Tb_Activiteiten[[#Headers],[Eigen arbeid]],"")))</f>
        <v/>
      </c>
      <c r="AM662" t="str">
        <f>IF(ISNUMBER(FIND("arbeid",Methode_Keuze)),"",IF(ISNUMBER(FIND("arbeid",Methode_Keuze)),"",IF(Tb_Activiteiten[[#This Row],[Projectmedewerker]]=1,Tb_Activiteiten[[#Headers],[Projectmedewerker]],"")))</f>
        <v/>
      </c>
      <c r="AN662" t="str">
        <f>IF(ISNUMBER(FIND("arbeid",Methode_Keuze)),"",IF(ISNUMBER(FIND("arbeid",Methode_Keuze)),"",IF(Tb_Activiteiten[[#This Row],[Landbouwer]]=1,Tb_Activiteiten[[#Headers],[Landbouwer]],"")))</f>
        <v/>
      </c>
      <c r="AO662" t="str">
        <f>IF(ISNUMBER(FIND("arbeid",Methode_Keuze)),"",IF(ISNUMBER(FIND("arbeid",Methode_Keuze)),"",IF(Tb_Activiteiten[[#This Row],[Adviseur]]=1,Tb_Activiteiten[[#Headers],[Adviseur]],"")))</f>
        <v/>
      </c>
      <c r="AP662" t="str">
        <f>IF(ISNUMBER(FIND("arbeid",Methode_Keuze)),"",IF(ISNUMBER(FIND("arbeid",Methode_Keuze)),"",IF(Tb_Activiteiten[[#This Row],[Projectleider/Expert]]=1,Tb_Activiteiten[[#Headers],[Projectleider/Expert]],"")))</f>
        <v/>
      </c>
      <c r="AQ662" t="str">
        <f>IF(ISNUMBER(FIND("arbeid",Methode_Keuze)),"",IF(ISNUMBER(FIND("arbeid",Methode_Keuze)),"",IF(Tb_Activiteiten[[#This Row],[Arbeidskosten]]=1,Tb_Activiteiten[[#Headers],[Arbeidskosten]],"")))</f>
        <v/>
      </c>
      <c r="AR662" t="str">
        <f>IF(ISNUMBER(FIND("arbeid",Methode_Keuze)),"",IF(ISNUMBER(FIND("arbeid",Methode_Keuze)),"",IF(Tb_Activiteiten[[#This Row],[Arbeidskosten op basis van IKS]]=1,Tb_Activiteiten[[#Headers],[Arbeidskosten op basis van IKS]],"")))</f>
        <v/>
      </c>
      <c r="AS662" t="str">
        <f>IF(ISNUMBER(FIND("overige",Methode_Keuze)),"",IF(Tb_Activiteiten[[#This Row],[Kosten derden exclusief btw]]=1,Tb_Activiteiten[[#Headers],[Kosten derden exclusief btw]],""))</f>
        <v/>
      </c>
      <c r="AT662" t="str">
        <f>IF(ISNUMBER(FIND("overige",Methode_Keuze)),"",IF(Tb_Activiteiten[[#This Row],[Niet verrekenbare btw]]=1,Tb_Activiteiten[[#Headers],[Niet verrekenbare btw]],""))</f>
        <v/>
      </c>
      <c r="AU662" t="str">
        <f>IF(ISNUMBER(FIND("overige",Methode_Keuze)),"",IF(Tb_Activiteiten[[#This Row],[Grondkosten]]=1,Tb_Activiteiten[[#Headers],[Grondkosten]],""))</f>
        <v/>
      </c>
      <c r="AV662" t="str">
        <f>IF(ISNUMBER(FIND("overige",Methode_Keuze)),"",IF(Tb_Activiteiten[[#This Row],[Bijdrage in natura (overige)]]=1,Tb_Activiteiten[[#Headers],[Bijdrage in natura (overige)]],""))</f>
        <v/>
      </c>
      <c r="AW662" t="str">
        <f>IF(ISNUMBER(FIND("overige",Methode_Keuze)),"",IF(Tb_Activiteiten[[#This Row],[Bijdrage in natura (vrijwilligers)]]=1,Tb_Activiteiten[[#Headers],[Bijdrage in natura (vrijwilligers)]],""))</f>
        <v/>
      </c>
      <c r="AX662" t="str">
        <f>IF(ISNUMBER(FIND("overige",Methode_Keuze)),"",IF(Tb_Activiteiten[[#This Row],[Afschrijvingskosten]]=1,Tb_Activiteiten[[#Headers],[Afschrijvingskosten]],""))</f>
        <v/>
      </c>
      <c r="AY662" t="str">
        <f>IF(ISNUMBER(FIND("overige",Methode_Keuze)),"",IF(Tb_Activiteiten[[#This Row],[Vergoeding]]=1,Tb_Activiteiten[[#Headers],[Vergoeding]],""))</f>
        <v/>
      </c>
      <c r="AZ662" t="str">
        <f>IF(ISNUMBER(FIND("arbeid",Methode_Keuze)),"",IF(Tb_Activiteiten[[#This Row],[Arbeidskosten - vast tarief (excl eigen arbeid)]]=1,Tb_Activiteiten[[#Headers],[Arbeidskosten - vast tarief (excl eigen arbeid)]],""))</f>
        <v/>
      </c>
      <c r="BA662" t="str">
        <f>IF(ISNUMBER(FIND("overige",Methode_Keuze)),"",IF(Tb_Activiteiten[[#This Row],[Overige kosten]]=1,Tb_Activiteiten[[#Headers],[Overige kosten]],""))</f>
        <v/>
      </c>
    </row>
    <row r="663" spans="1:53" x14ac:dyDescent="0.25">
      <c r="A663" s="231"/>
      <c r="F663" s="64"/>
      <c r="G663" s="64"/>
      <c r="H663" s="275"/>
      <c r="I663" s="275"/>
      <c r="J663" s="275"/>
      <c r="K663" s="275"/>
      <c r="O663" s="56"/>
      <c r="Q663" t="str">
        <f>IFERROR(IF(VLOOKUP(Tb_Activiteiten[[#This Row],[Openstelling]],Tb_Openstelling[],2,0)=1,1,""),"")</f>
        <v/>
      </c>
      <c r="AK663" t="str">
        <f>IF(ISNUMBER(FIND("arbeid",Methode_Keuze)),"",IF(ISNUMBER(FIND("arbeid",Methode_Keuze)),"",IF(Tb_Activiteiten[[#This Row],[Loonkosten]]=1,Tb_Activiteiten[[#Headers],[Loonkosten]],"")))</f>
        <v/>
      </c>
      <c r="AL663" t="str">
        <f>IF(ISNUMBER(FIND("arbeid",Methode_Keuze)),"",IF(ISNUMBER(FIND("arbeid",Methode_Keuze)),"",IF(Tb_Activiteiten[[#This Row],[Eigen arbeid]]=1,Tb_Activiteiten[[#Headers],[Eigen arbeid]],"")))</f>
        <v/>
      </c>
      <c r="AM663" t="str">
        <f>IF(ISNUMBER(FIND("arbeid",Methode_Keuze)),"",IF(ISNUMBER(FIND("arbeid",Methode_Keuze)),"",IF(Tb_Activiteiten[[#This Row],[Projectmedewerker]]=1,Tb_Activiteiten[[#Headers],[Projectmedewerker]],"")))</f>
        <v/>
      </c>
      <c r="AN663" t="str">
        <f>IF(ISNUMBER(FIND("arbeid",Methode_Keuze)),"",IF(ISNUMBER(FIND("arbeid",Methode_Keuze)),"",IF(Tb_Activiteiten[[#This Row],[Landbouwer]]=1,Tb_Activiteiten[[#Headers],[Landbouwer]],"")))</f>
        <v/>
      </c>
      <c r="AO663" t="str">
        <f>IF(ISNUMBER(FIND("arbeid",Methode_Keuze)),"",IF(ISNUMBER(FIND("arbeid",Methode_Keuze)),"",IF(Tb_Activiteiten[[#This Row],[Adviseur]]=1,Tb_Activiteiten[[#Headers],[Adviseur]],"")))</f>
        <v/>
      </c>
      <c r="AP663" t="str">
        <f>IF(ISNUMBER(FIND("arbeid",Methode_Keuze)),"",IF(ISNUMBER(FIND("arbeid",Methode_Keuze)),"",IF(Tb_Activiteiten[[#This Row],[Projectleider/Expert]]=1,Tb_Activiteiten[[#Headers],[Projectleider/Expert]],"")))</f>
        <v/>
      </c>
      <c r="AQ663" t="str">
        <f>IF(ISNUMBER(FIND("arbeid",Methode_Keuze)),"",IF(ISNUMBER(FIND("arbeid",Methode_Keuze)),"",IF(Tb_Activiteiten[[#This Row],[Arbeidskosten]]=1,Tb_Activiteiten[[#Headers],[Arbeidskosten]],"")))</f>
        <v/>
      </c>
      <c r="AR663" t="str">
        <f>IF(ISNUMBER(FIND("arbeid",Methode_Keuze)),"",IF(ISNUMBER(FIND("arbeid",Methode_Keuze)),"",IF(Tb_Activiteiten[[#This Row],[Arbeidskosten op basis van IKS]]=1,Tb_Activiteiten[[#Headers],[Arbeidskosten op basis van IKS]],"")))</f>
        <v/>
      </c>
      <c r="AS663" t="str">
        <f>IF(ISNUMBER(FIND("overige",Methode_Keuze)),"",IF(Tb_Activiteiten[[#This Row],[Kosten derden exclusief btw]]=1,Tb_Activiteiten[[#Headers],[Kosten derden exclusief btw]],""))</f>
        <v/>
      </c>
      <c r="AT663" t="str">
        <f>IF(ISNUMBER(FIND("overige",Methode_Keuze)),"",IF(Tb_Activiteiten[[#This Row],[Niet verrekenbare btw]]=1,Tb_Activiteiten[[#Headers],[Niet verrekenbare btw]],""))</f>
        <v/>
      </c>
      <c r="AU663" t="str">
        <f>IF(ISNUMBER(FIND("overige",Methode_Keuze)),"",IF(Tb_Activiteiten[[#This Row],[Grondkosten]]=1,Tb_Activiteiten[[#Headers],[Grondkosten]],""))</f>
        <v/>
      </c>
      <c r="AV663" t="str">
        <f>IF(ISNUMBER(FIND("overige",Methode_Keuze)),"",IF(Tb_Activiteiten[[#This Row],[Bijdrage in natura (overige)]]=1,Tb_Activiteiten[[#Headers],[Bijdrage in natura (overige)]],""))</f>
        <v/>
      </c>
      <c r="AW663" t="str">
        <f>IF(ISNUMBER(FIND("overige",Methode_Keuze)),"",IF(Tb_Activiteiten[[#This Row],[Bijdrage in natura (vrijwilligers)]]=1,Tb_Activiteiten[[#Headers],[Bijdrage in natura (vrijwilligers)]],""))</f>
        <v/>
      </c>
      <c r="AX663" t="str">
        <f>IF(ISNUMBER(FIND("overige",Methode_Keuze)),"",IF(Tb_Activiteiten[[#This Row],[Afschrijvingskosten]]=1,Tb_Activiteiten[[#Headers],[Afschrijvingskosten]],""))</f>
        <v/>
      </c>
      <c r="AY663" t="str">
        <f>IF(ISNUMBER(FIND("overige",Methode_Keuze)),"",IF(Tb_Activiteiten[[#This Row],[Vergoeding]]=1,Tb_Activiteiten[[#Headers],[Vergoeding]],""))</f>
        <v/>
      </c>
      <c r="AZ663" t="str">
        <f>IF(ISNUMBER(FIND("arbeid",Methode_Keuze)),"",IF(Tb_Activiteiten[[#This Row],[Arbeidskosten - vast tarief (excl eigen arbeid)]]=1,Tb_Activiteiten[[#Headers],[Arbeidskosten - vast tarief (excl eigen arbeid)]],""))</f>
        <v/>
      </c>
      <c r="BA663" t="str">
        <f>IF(ISNUMBER(FIND("overige",Methode_Keuze)),"",IF(Tb_Activiteiten[[#This Row],[Overige kosten]]=1,Tb_Activiteiten[[#Headers],[Overige kosten]],""))</f>
        <v/>
      </c>
    </row>
    <row r="664" spans="1:53" x14ac:dyDescent="0.25">
      <c r="A664" s="231"/>
      <c r="F664" s="64"/>
      <c r="G664" s="64"/>
      <c r="H664" s="275"/>
      <c r="I664" s="275"/>
      <c r="J664" s="275"/>
      <c r="K664" s="275"/>
      <c r="O664" s="56"/>
      <c r="Q664" t="str">
        <f>IFERROR(IF(VLOOKUP(Tb_Activiteiten[[#This Row],[Openstelling]],Tb_Openstelling[],2,0)=1,1,""),"")</f>
        <v/>
      </c>
      <c r="AK664" t="str">
        <f>IF(ISNUMBER(FIND("arbeid",Methode_Keuze)),"",IF(ISNUMBER(FIND("arbeid",Methode_Keuze)),"",IF(Tb_Activiteiten[[#This Row],[Loonkosten]]=1,Tb_Activiteiten[[#Headers],[Loonkosten]],"")))</f>
        <v/>
      </c>
      <c r="AL664" t="str">
        <f>IF(ISNUMBER(FIND("arbeid",Methode_Keuze)),"",IF(ISNUMBER(FIND("arbeid",Methode_Keuze)),"",IF(Tb_Activiteiten[[#This Row],[Eigen arbeid]]=1,Tb_Activiteiten[[#Headers],[Eigen arbeid]],"")))</f>
        <v/>
      </c>
      <c r="AM664" t="str">
        <f>IF(ISNUMBER(FIND("arbeid",Methode_Keuze)),"",IF(ISNUMBER(FIND("arbeid",Methode_Keuze)),"",IF(Tb_Activiteiten[[#This Row],[Projectmedewerker]]=1,Tb_Activiteiten[[#Headers],[Projectmedewerker]],"")))</f>
        <v/>
      </c>
      <c r="AN664" t="str">
        <f>IF(ISNUMBER(FIND("arbeid",Methode_Keuze)),"",IF(ISNUMBER(FIND("arbeid",Methode_Keuze)),"",IF(Tb_Activiteiten[[#This Row],[Landbouwer]]=1,Tb_Activiteiten[[#Headers],[Landbouwer]],"")))</f>
        <v/>
      </c>
      <c r="AO664" t="str">
        <f>IF(ISNUMBER(FIND("arbeid",Methode_Keuze)),"",IF(ISNUMBER(FIND("arbeid",Methode_Keuze)),"",IF(Tb_Activiteiten[[#This Row],[Adviseur]]=1,Tb_Activiteiten[[#Headers],[Adviseur]],"")))</f>
        <v/>
      </c>
      <c r="AP664" t="str">
        <f>IF(ISNUMBER(FIND("arbeid",Methode_Keuze)),"",IF(ISNUMBER(FIND("arbeid",Methode_Keuze)),"",IF(Tb_Activiteiten[[#This Row],[Projectleider/Expert]]=1,Tb_Activiteiten[[#Headers],[Projectleider/Expert]],"")))</f>
        <v/>
      </c>
      <c r="AQ664" t="str">
        <f>IF(ISNUMBER(FIND("arbeid",Methode_Keuze)),"",IF(ISNUMBER(FIND("arbeid",Methode_Keuze)),"",IF(Tb_Activiteiten[[#This Row],[Arbeidskosten]]=1,Tb_Activiteiten[[#Headers],[Arbeidskosten]],"")))</f>
        <v/>
      </c>
      <c r="AR664" t="str">
        <f>IF(ISNUMBER(FIND("arbeid",Methode_Keuze)),"",IF(ISNUMBER(FIND("arbeid",Methode_Keuze)),"",IF(Tb_Activiteiten[[#This Row],[Arbeidskosten op basis van IKS]]=1,Tb_Activiteiten[[#Headers],[Arbeidskosten op basis van IKS]],"")))</f>
        <v/>
      </c>
      <c r="AS664" t="str">
        <f>IF(ISNUMBER(FIND("overige",Methode_Keuze)),"",IF(Tb_Activiteiten[[#This Row],[Kosten derden exclusief btw]]=1,Tb_Activiteiten[[#Headers],[Kosten derden exclusief btw]],""))</f>
        <v/>
      </c>
      <c r="AT664" t="str">
        <f>IF(ISNUMBER(FIND("overige",Methode_Keuze)),"",IF(Tb_Activiteiten[[#This Row],[Niet verrekenbare btw]]=1,Tb_Activiteiten[[#Headers],[Niet verrekenbare btw]],""))</f>
        <v/>
      </c>
      <c r="AU664" t="str">
        <f>IF(ISNUMBER(FIND("overige",Methode_Keuze)),"",IF(Tb_Activiteiten[[#This Row],[Grondkosten]]=1,Tb_Activiteiten[[#Headers],[Grondkosten]],""))</f>
        <v/>
      </c>
      <c r="AV664" t="str">
        <f>IF(ISNUMBER(FIND("overige",Methode_Keuze)),"",IF(Tb_Activiteiten[[#This Row],[Bijdrage in natura (overige)]]=1,Tb_Activiteiten[[#Headers],[Bijdrage in natura (overige)]],""))</f>
        <v/>
      </c>
      <c r="AW664" t="str">
        <f>IF(ISNUMBER(FIND("overige",Methode_Keuze)),"",IF(Tb_Activiteiten[[#This Row],[Bijdrage in natura (vrijwilligers)]]=1,Tb_Activiteiten[[#Headers],[Bijdrage in natura (vrijwilligers)]],""))</f>
        <v/>
      </c>
      <c r="AX664" t="str">
        <f>IF(ISNUMBER(FIND("overige",Methode_Keuze)),"",IF(Tb_Activiteiten[[#This Row],[Afschrijvingskosten]]=1,Tb_Activiteiten[[#Headers],[Afschrijvingskosten]],""))</f>
        <v/>
      </c>
      <c r="AY664" t="str">
        <f>IF(ISNUMBER(FIND("overige",Methode_Keuze)),"",IF(Tb_Activiteiten[[#This Row],[Vergoeding]]=1,Tb_Activiteiten[[#Headers],[Vergoeding]],""))</f>
        <v/>
      </c>
      <c r="AZ664" t="str">
        <f>IF(ISNUMBER(FIND("arbeid",Methode_Keuze)),"",IF(Tb_Activiteiten[[#This Row],[Arbeidskosten - vast tarief (excl eigen arbeid)]]=1,Tb_Activiteiten[[#Headers],[Arbeidskosten - vast tarief (excl eigen arbeid)]],""))</f>
        <v/>
      </c>
      <c r="BA664" t="str">
        <f>IF(ISNUMBER(FIND("overige",Methode_Keuze)),"",IF(Tb_Activiteiten[[#This Row],[Overige kosten]]=1,Tb_Activiteiten[[#Headers],[Overige kosten]],""))</f>
        <v/>
      </c>
    </row>
    <row r="665" spans="1:53" x14ac:dyDescent="0.25">
      <c r="A665" s="231"/>
      <c r="F665" s="64"/>
      <c r="G665" s="64"/>
      <c r="H665" s="275"/>
      <c r="I665" s="275"/>
      <c r="J665" s="275"/>
      <c r="K665" s="275"/>
      <c r="O665" s="56"/>
      <c r="Q665" t="str">
        <f>IFERROR(IF(VLOOKUP(Tb_Activiteiten[[#This Row],[Openstelling]],Tb_Openstelling[],2,0)=1,1,""),"")</f>
        <v/>
      </c>
      <c r="AK665" t="str">
        <f>IF(ISNUMBER(FIND("arbeid",Methode_Keuze)),"",IF(ISNUMBER(FIND("arbeid",Methode_Keuze)),"",IF(Tb_Activiteiten[[#This Row],[Loonkosten]]=1,Tb_Activiteiten[[#Headers],[Loonkosten]],"")))</f>
        <v/>
      </c>
      <c r="AL665" t="str">
        <f>IF(ISNUMBER(FIND("arbeid",Methode_Keuze)),"",IF(ISNUMBER(FIND("arbeid",Methode_Keuze)),"",IF(Tb_Activiteiten[[#This Row],[Eigen arbeid]]=1,Tb_Activiteiten[[#Headers],[Eigen arbeid]],"")))</f>
        <v/>
      </c>
      <c r="AM665" t="str">
        <f>IF(ISNUMBER(FIND("arbeid",Methode_Keuze)),"",IF(ISNUMBER(FIND("arbeid",Methode_Keuze)),"",IF(Tb_Activiteiten[[#This Row],[Projectmedewerker]]=1,Tb_Activiteiten[[#Headers],[Projectmedewerker]],"")))</f>
        <v/>
      </c>
      <c r="AN665" t="str">
        <f>IF(ISNUMBER(FIND("arbeid",Methode_Keuze)),"",IF(ISNUMBER(FIND("arbeid",Methode_Keuze)),"",IF(Tb_Activiteiten[[#This Row],[Landbouwer]]=1,Tb_Activiteiten[[#Headers],[Landbouwer]],"")))</f>
        <v/>
      </c>
      <c r="AO665" t="str">
        <f>IF(ISNUMBER(FIND("arbeid",Methode_Keuze)),"",IF(ISNUMBER(FIND("arbeid",Methode_Keuze)),"",IF(Tb_Activiteiten[[#This Row],[Adviseur]]=1,Tb_Activiteiten[[#Headers],[Adviseur]],"")))</f>
        <v/>
      </c>
      <c r="AP665" t="str">
        <f>IF(ISNUMBER(FIND("arbeid",Methode_Keuze)),"",IF(ISNUMBER(FIND("arbeid",Methode_Keuze)),"",IF(Tb_Activiteiten[[#This Row],[Projectleider/Expert]]=1,Tb_Activiteiten[[#Headers],[Projectleider/Expert]],"")))</f>
        <v/>
      </c>
      <c r="AQ665" t="str">
        <f>IF(ISNUMBER(FIND("arbeid",Methode_Keuze)),"",IF(ISNUMBER(FIND("arbeid",Methode_Keuze)),"",IF(Tb_Activiteiten[[#This Row],[Arbeidskosten]]=1,Tb_Activiteiten[[#Headers],[Arbeidskosten]],"")))</f>
        <v/>
      </c>
      <c r="AR665" t="str">
        <f>IF(ISNUMBER(FIND("arbeid",Methode_Keuze)),"",IF(ISNUMBER(FIND("arbeid",Methode_Keuze)),"",IF(Tb_Activiteiten[[#This Row],[Arbeidskosten op basis van IKS]]=1,Tb_Activiteiten[[#Headers],[Arbeidskosten op basis van IKS]],"")))</f>
        <v/>
      </c>
      <c r="AS665" t="str">
        <f>IF(ISNUMBER(FIND("overige",Methode_Keuze)),"",IF(Tb_Activiteiten[[#This Row],[Kosten derden exclusief btw]]=1,Tb_Activiteiten[[#Headers],[Kosten derden exclusief btw]],""))</f>
        <v/>
      </c>
      <c r="AT665" t="str">
        <f>IF(ISNUMBER(FIND("overige",Methode_Keuze)),"",IF(Tb_Activiteiten[[#This Row],[Niet verrekenbare btw]]=1,Tb_Activiteiten[[#Headers],[Niet verrekenbare btw]],""))</f>
        <v/>
      </c>
      <c r="AU665" t="str">
        <f>IF(ISNUMBER(FIND("overige",Methode_Keuze)),"",IF(Tb_Activiteiten[[#This Row],[Grondkosten]]=1,Tb_Activiteiten[[#Headers],[Grondkosten]],""))</f>
        <v/>
      </c>
      <c r="AV665" t="str">
        <f>IF(ISNUMBER(FIND("overige",Methode_Keuze)),"",IF(Tb_Activiteiten[[#This Row],[Bijdrage in natura (overige)]]=1,Tb_Activiteiten[[#Headers],[Bijdrage in natura (overige)]],""))</f>
        <v/>
      </c>
      <c r="AW665" t="str">
        <f>IF(ISNUMBER(FIND("overige",Methode_Keuze)),"",IF(Tb_Activiteiten[[#This Row],[Bijdrage in natura (vrijwilligers)]]=1,Tb_Activiteiten[[#Headers],[Bijdrage in natura (vrijwilligers)]],""))</f>
        <v/>
      </c>
      <c r="AX665" t="str">
        <f>IF(ISNUMBER(FIND("overige",Methode_Keuze)),"",IF(Tb_Activiteiten[[#This Row],[Afschrijvingskosten]]=1,Tb_Activiteiten[[#Headers],[Afschrijvingskosten]],""))</f>
        <v/>
      </c>
      <c r="AY665" t="str">
        <f>IF(ISNUMBER(FIND("overige",Methode_Keuze)),"",IF(Tb_Activiteiten[[#This Row],[Vergoeding]]=1,Tb_Activiteiten[[#Headers],[Vergoeding]],""))</f>
        <v/>
      </c>
      <c r="AZ665" t="str">
        <f>IF(ISNUMBER(FIND("arbeid",Methode_Keuze)),"",IF(Tb_Activiteiten[[#This Row],[Arbeidskosten - vast tarief (excl eigen arbeid)]]=1,Tb_Activiteiten[[#Headers],[Arbeidskosten - vast tarief (excl eigen arbeid)]],""))</f>
        <v/>
      </c>
      <c r="BA665" t="str">
        <f>IF(ISNUMBER(FIND("overige",Methode_Keuze)),"",IF(Tb_Activiteiten[[#This Row],[Overige kosten]]=1,Tb_Activiteiten[[#Headers],[Overige kosten]],""))</f>
        <v/>
      </c>
    </row>
    <row r="666" spans="1:53" x14ac:dyDescent="0.25">
      <c r="A666" s="231"/>
      <c r="F666" s="64"/>
      <c r="G666" s="64"/>
      <c r="H666" s="275"/>
      <c r="I666" s="275"/>
      <c r="J666" s="275"/>
      <c r="K666" s="275"/>
      <c r="O666" s="56"/>
      <c r="Q666" t="str">
        <f>IFERROR(IF(VLOOKUP(Tb_Activiteiten[[#This Row],[Openstelling]],Tb_Openstelling[],2,0)=1,1,""),"")</f>
        <v/>
      </c>
      <c r="AK666" t="str">
        <f>IF(ISNUMBER(FIND("arbeid",Methode_Keuze)),"",IF(ISNUMBER(FIND("arbeid",Methode_Keuze)),"",IF(Tb_Activiteiten[[#This Row],[Loonkosten]]=1,Tb_Activiteiten[[#Headers],[Loonkosten]],"")))</f>
        <v/>
      </c>
      <c r="AL666" t="str">
        <f>IF(ISNUMBER(FIND("arbeid",Methode_Keuze)),"",IF(ISNUMBER(FIND("arbeid",Methode_Keuze)),"",IF(Tb_Activiteiten[[#This Row],[Eigen arbeid]]=1,Tb_Activiteiten[[#Headers],[Eigen arbeid]],"")))</f>
        <v/>
      </c>
      <c r="AM666" t="str">
        <f>IF(ISNUMBER(FIND("arbeid",Methode_Keuze)),"",IF(ISNUMBER(FIND("arbeid",Methode_Keuze)),"",IF(Tb_Activiteiten[[#This Row],[Projectmedewerker]]=1,Tb_Activiteiten[[#Headers],[Projectmedewerker]],"")))</f>
        <v/>
      </c>
      <c r="AN666" t="str">
        <f>IF(ISNUMBER(FIND("arbeid",Methode_Keuze)),"",IF(ISNUMBER(FIND("arbeid",Methode_Keuze)),"",IF(Tb_Activiteiten[[#This Row],[Landbouwer]]=1,Tb_Activiteiten[[#Headers],[Landbouwer]],"")))</f>
        <v/>
      </c>
      <c r="AO666" t="str">
        <f>IF(ISNUMBER(FIND("arbeid",Methode_Keuze)),"",IF(ISNUMBER(FIND("arbeid",Methode_Keuze)),"",IF(Tb_Activiteiten[[#This Row],[Adviseur]]=1,Tb_Activiteiten[[#Headers],[Adviseur]],"")))</f>
        <v/>
      </c>
      <c r="AP666" t="str">
        <f>IF(ISNUMBER(FIND("arbeid",Methode_Keuze)),"",IF(ISNUMBER(FIND("arbeid",Methode_Keuze)),"",IF(Tb_Activiteiten[[#This Row],[Projectleider/Expert]]=1,Tb_Activiteiten[[#Headers],[Projectleider/Expert]],"")))</f>
        <v/>
      </c>
      <c r="AQ666" t="str">
        <f>IF(ISNUMBER(FIND("arbeid",Methode_Keuze)),"",IF(ISNUMBER(FIND("arbeid",Methode_Keuze)),"",IF(Tb_Activiteiten[[#This Row],[Arbeidskosten]]=1,Tb_Activiteiten[[#Headers],[Arbeidskosten]],"")))</f>
        <v/>
      </c>
      <c r="AR666" t="str">
        <f>IF(ISNUMBER(FIND("arbeid",Methode_Keuze)),"",IF(ISNUMBER(FIND("arbeid",Methode_Keuze)),"",IF(Tb_Activiteiten[[#This Row],[Arbeidskosten op basis van IKS]]=1,Tb_Activiteiten[[#Headers],[Arbeidskosten op basis van IKS]],"")))</f>
        <v/>
      </c>
      <c r="AS666" t="str">
        <f>IF(ISNUMBER(FIND("overige",Methode_Keuze)),"",IF(Tb_Activiteiten[[#This Row],[Kosten derden exclusief btw]]=1,Tb_Activiteiten[[#Headers],[Kosten derden exclusief btw]],""))</f>
        <v/>
      </c>
      <c r="AT666" t="str">
        <f>IF(ISNUMBER(FIND("overige",Methode_Keuze)),"",IF(Tb_Activiteiten[[#This Row],[Niet verrekenbare btw]]=1,Tb_Activiteiten[[#Headers],[Niet verrekenbare btw]],""))</f>
        <v/>
      </c>
      <c r="AU666" t="str">
        <f>IF(ISNUMBER(FIND("overige",Methode_Keuze)),"",IF(Tb_Activiteiten[[#This Row],[Grondkosten]]=1,Tb_Activiteiten[[#Headers],[Grondkosten]],""))</f>
        <v/>
      </c>
      <c r="AV666" t="str">
        <f>IF(ISNUMBER(FIND("overige",Methode_Keuze)),"",IF(Tb_Activiteiten[[#This Row],[Bijdrage in natura (overige)]]=1,Tb_Activiteiten[[#Headers],[Bijdrage in natura (overige)]],""))</f>
        <v/>
      </c>
      <c r="AW666" t="str">
        <f>IF(ISNUMBER(FIND("overige",Methode_Keuze)),"",IF(Tb_Activiteiten[[#This Row],[Bijdrage in natura (vrijwilligers)]]=1,Tb_Activiteiten[[#Headers],[Bijdrage in natura (vrijwilligers)]],""))</f>
        <v/>
      </c>
      <c r="AX666" t="str">
        <f>IF(ISNUMBER(FIND("overige",Methode_Keuze)),"",IF(Tb_Activiteiten[[#This Row],[Afschrijvingskosten]]=1,Tb_Activiteiten[[#Headers],[Afschrijvingskosten]],""))</f>
        <v/>
      </c>
      <c r="AY666" t="str">
        <f>IF(ISNUMBER(FIND("overige",Methode_Keuze)),"",IF(Tb_Activiteiten[[#This Row],[Vergoeding]]=1,Tb_Activiteiten[[#Headers],[Vergoeding]],""))</f>
        <v/>
      </c>
      <c r="AZ666" t="str">
        <f>IF(ISNUMBER(FIND("arbeid",Methode_Keuze)),"",IF(Tb_Activiteiten[[#This Row],[Arbeidskosten - vast tarief (excl eigen arbeid)]]=1,Tb_Activiteiten[[#Headers],[Arbeidskosten - vast tarief (excl eigen arbeid)]],""))</f>
        <v/>
      </c>
      <c r="BA666" t="str">
        <f>IF(ISNUMBER(FIND("overige",Methode_Keuze)),"",IF(Tb_Activiteiten[[#This Row],[Overige kosten]]=1,Tb_Activiteiten[[#Headers],[Overige kosten]],""))</f>
        <v/>
      </c>
    </row>
    <row r="667" spans="1:53" x14ac:dyDescent="0.25">
      <c r="A667" s="231"/>
      <c r="F667" s="64"/>
      <c r="G667" s="64"/>
      <c r="H667" s="275"/>
      <c r="I667" s="275"/>
      <c r="J667" s="275"/>
      <c r="K667" s="275"/>
      <c r="O667" s="56"/>
      <c r="Q667" t="str">
        <f>IFERROR(IF(VLOOKUP(Tb_Activiteiten[[#This Row],[Openstelling]],Tb_Openstelling[],2,0)=1,1,""),"")</f>
        <v/>
      </c>
      <c r="AK667" t="str">
        <f>IF(ISNUMBER(FIND("arbeid",Methode_Keuze)),"",IF(ISNUMBER(FIND("arbeid",Methode_Keuze)),"",IF(Tb_Activiteiten[[#This Row],[Loonkosten]]=1,Tb_Activiteiten[[#Headers],[Loonkosten]],"")))</f>
        <v/>
      </c>
      <c r="AL667" t="str">
        <f>IF(ISNUMBER(FIND("arbeid",Methode_Keuze)),"",IF(ISNUMBER(FIND("arbeid",Methode_Keuze)),"",IF(Tb_Activiteiten[[#This Row],[Eigen arbeid]]=1,Tb_Activiteiten[[#Headers],[Eigen arbeid]],"")))</f>
        <v/>
      </c>
      <c r="AM667" t="str">
        <f>IF(ISNUMBER(FIND("arbeid",Methode_Keuze)),"",IF(ISNUMBER(FIND("arbeid",Methode_Keuze)),"",IF(Tb_Activiteiten[[#This Row],[Projectmedewerker]]=1,Tb_Activiteiten[[#Headers],[Projectmedewerker]],"")))</f>
        <v/>
      </c>
      <c r="AN667" t="str">
        <f>IF(ISNUMBER(FIND("arbeid",Methode_Keuze)),"",IF(ISNUMBER(FIND("arbeid",Methode_Keuze)),"",IF(Tb_Activiteiten[[#This Row],[Landbouwer]]=1,Tb_Activiteiten[[#Headers],[Landbouwer]],"")))</f>
        <v/>
      </c>
      <c r="AO667" t="str">
        <f>IF(ISNUMBER(FIND("arbeid",Methode_Keuze)),"",IF(ISNUMBER(FIND("arbeid",Methode_Keuze)),"",IF(Tb_Activiteiten[[#This Row],[Adviseur]]=1,Tb_Activiteiten[[#Headers],[Adviseur]],"")))</f>
        <v/>
      </c>
      <c r="AP667" t="str">
        <f>IF(ISNUMBER(FIND("arbeid",Methode_Keuze)),"",IF(ISNUMBER(FIND("arbeid",Methode_Keuze)),"",IF(Tb_Activiteiten[[#This Row],[Projectleider/Expert]]=1,Tb_Activiteiten[[#Headers],[Projectleider/Expert]],"")))</f>
        <v/>
      </c>
      <c r="AQ667" t="str">
        <f>IF(ISNUMBER(FIND("arbeid",Methode_Keuze)),"",IF(ISNUMBER(FIND("arbeid",Methode_Keuze)),"",IF(Tb_Activiteiten[[#This Row],[Arbeidskosten]]=1,Tb_Activiteiten[[#Headers],[Arbeidskosten]],"")))</f>
        <v/>
      </c>
      <c r="AR667" t="str">
        <f>IF(ISNUMBER(FIND("arbeid",Methode_Keuze)),"",IF(ISNUMBER(FIND("arbeid",Methode_Keuze)),"",IF(Tb_Activiteiten[[#This Row],[Arbeidskosten op basis van IKS]]=1,Tb_Activiteiten[[#Headers],[Arbeidskosten op basis van IKS]],"")))</f>
        <v/>
      </c>
      <c r="AS667" t="str">
        <f>IF(ISNUMBER(FIND("overige",Methode_Keuze)),"",IF(Tb_Activiteiten[[#This Row],[Kosten derden exclusief btw]]=1,Tb_Activiteiten[[#Headers],[Kosten derden exclusief btw]],""))</f>
        <v/>
      </c>
      <c r="AT667" t="str">
        <f>IF(ISNUMBER(FIND("overige",Methode_Keuze)),"",IF(Tb_Activiteiten[[#This Row],[Niet verrekenbare btw]]=1,Tb_Activiteiten[[#Headers],[Niet verrekenbare btw]],""))</f>
        <v/>
      </c>
      <c r="AU667" t="str">
        <f>IF(ISNUMBER(FIND("overige",Methode_Keuze)),"",IF(Tb_Activiteiten[[#This Row],[Grondkosten]]=1,Tb_Activiteiten[[#Headers],[Grondkosten]],""))</f>
        <v/>
      </c>
      <c r="AV667" t="str">
        <f>IF(ISNUMBER(FIND("overige",Methode_Keuze)),"",IF(Tb_Activiteiten[[#This Row],[Bijdrage in natura (overige)]]=1,Tb_Activiteiten[[#Headers],[Bijdrage in natura (overige)]],""))</f>
        <v/>
      </c>
      <c r="AW667" t="str">
        <f>IF(ISNUMBER(FIND("overige",Methode_Keuze)),"",IF(Tb_Activiteiten[[#This Row],[Bijdrage in natura (vrijwilligers)]]=1,Tb_Activiteiten[[#Headers],[Bijdrage in natura (vrijwilligers)]],""))</f>
        <v/>
      </c>
      <c r="AX667" t="str">
        <f>IF(ISNUMBER(FIND("overige",Methode_Keuze)),"",IF(Tb_Activiteiten[[#This Row],[Afschrijvingskosten]]=1,Tb_Activiteiten[[#Headers],[Afschrijvingskosten]],""))</f>
        <v/>
      </c>
      <c r="AY667" t="str">
        <f>IF(ISNUMBER(FIND("overige",Methode_Keuze)),"",IF(Tb_Activiteiten[[#This Row],[Vergoeding]]=1,Tb_Activiteiten[[#Headers],[Vergoeding]],""))</f>
        <v/>
      </c>
      <c r="AZ667" t="str">
        <f>IF(ISNUMBER(FIND("arbeid",Methode_Keuze)),"",IF(Tb_Activiteiten[[#This Row],[Arbeidskosten - vast tarief (excl eigen arbeid)]]=1,Tb_Activiteiten[[#Headers],[Arbeidskosten - vast tarief (excl eigen arbeid)]],""))</f>
        <v/>
      </c>
      <c r="BA667" t="str">
        <f>IF(ISNUMBER(FIND("overige",Methode_Keuze)),"",IF(Tb_Activiteiten[[#This Row],[Overige kosten]]=1,Tb_Activiteiten[[#Headers],[Overige kosten]],""))</f>
        <v/>
      </c>
    </row>
    <row r="668" spans="1:53" x14ac:dyDescent="0.25">
      <c r="A668" s="231"/>
      <c r="F668" s="64"/>
      <c r="G668" s="64"/>
      <c r="H668" s="275"/>
      <c r="I668" s="275"/>
      <c r="J668" s="275"/>
      <c r="K668" s="275"/>
      <c r="O668" s="56"/>
      <c r="Q668" t="str">
        <f>IFERROR(IF(VLOOKUP(Tb_Activiteiten[[#This Row],[Openstelling]],Tb_Openstelling[],2,0)=1,1,""),"")</f>
        <v/>
      </c>
      <c r="AK668" t="str">
        <f>IF(ISNUMBER(FIND("arbeid",Methode_Keuze)),"",IF(ISNUMBER(FIND("arbeid",Methode_Keuze)),"",IF(Tb_Activiteiten[[#This Row],[Loonkosten]]=1,Tb_Activiteiten[[#Headers],[Loonkosten]],"")))</f>
        <v/>
      </c>
      <c r="AL668" t="str">
        <f>IF(ISNUMBER(FIND("arbeid",Methode_Keuze)),"",IF(ISNUMBER(FIND("arbeid",Methode_Keuze)),"",IF(Tb_Activiteiten[[#This Row],[Eigen arbeid]]=1,Tb_Activiteiten[[#Headers],[Eigen arbeid]],"")))</f>
        <v/>
      </c>
      <c r="AM668" t="str">
        <f>IF(ISNUMBER(FIND("arbeid",Methode_Keuze)),"",IF(ISNUMBER(FIND("arbeid",Methode_Keuze)),"",IF(Tb_Activiteiten[[#This Row],[Projectmedewerker]]=1,Tb_Activiteiten[[#Headers],[Projectmedewerker]],"")))</f>
        <v/>
      </c>
      <c r="AN668" t="str">
        <f>IF(ISNUMBER(FIND("arbeid",Methode_Keuze)),"",IF(ISNUMBER(FIND("arbeid",Methode_Keuze)),"",IF(Tb_Activiteiten[[#This Row],[Landbouwer]]=1,Tb_Activiteiten[[#Headers],[Landbouwer]],"")))</f>
        <v/>
      </c>
      <c r="AO668" t="str">
        <f>IF(ISNUMBER(FIND("arbeid",Methode_Keuze)),"",IF(ISNUMBER(FIND("arbeid",Methode_Keuze)),"",IF(Tb_Activiteiten[[#This Row],[Adviseur]]=1,Tb_Activiteiten[[#Headers],[Adviseur]],"")))</f>
        <v/>
      </c>
      <c r="AP668" t="str">
        <f>IF(ISNUMBER(FIND("arbeid",Methode_Keuze)),"",IF(ISNUMBER(FIND("arbeid",Methode_Keuze)),"",IF(Tb_Activiteiten[[#This Row],[Projectleider/Expert]]=1,Tb_Activiteiten[[#Headers],[Projectleider/Expert]],"")))</f>
        <v/>
      </c>
      <c r="AQ668" t="str">
        <f>IF(ISNUMBER(FIND("arbeid",Methode_Keuze)),"",IF(ISNUMBER(FIND("arbeid",Methode_Keuze)),"",IF(Tb_Activiteiten[[#This Row],[Arbeidskosten]]=1,Tb_Activiteiten[[#Headers],[Arbeidskosten]],"")))</f>
        <v/>
      </c>
      <c r="AR668" t="str">
        <f>IF(ISNUMBER(FIND("arbeid",Methode_Keuze)),"",IF(ISNUMBER(FIND("arbeid",Methode_Keuze)),"",IF(Tb_Activiteiten[[#This Row],[Arbeidskosten op basis van IKS]]=1,Tb_Activiteiten[[#Headers],[Arbeidskosten op basis van IKS]],"")))</f>
        <v/>
      </c>
      <c r="AS668" t="str">
        <f>IF(ISNUMBER(FIND("overige",Methode_Keuze)),"",IF(Tb_Activiteiten[[#This Row],[Kosten derden exclusief btw]]=1,Tb_Activiteiten[[#Headers],[Kosten derden exclusief btw]],""))</f>
        <v/>
      </c>
      <c r="AT668" t="str">
        <f>IF(ISNUMBER(FIND("overige",Methode_Keuze)),"",IF(Tb_Activiteiten[[#This Row],[Niet verrekenbare btw]]=1,Tb_Activiteiten[[#Headers],[Niet verrekenbare btw]],""))</f>
        <v/>
      </c>
      <c r="AU668" t="str">
        <f>IF(ISNUMBER(FIND("overige",Methode_Keuze)),"",IF(Tb_Activiteiten[[#This Row],[Grondkosten]]=1,Tb_Activiteiten[[#Headers],[Grondkosten]],""))</f>
        <v/>
      </c>
      <c r="AV668" t="str">
        <f>IF(ISNUMBER(FIND("overige",Methode_Keuze)),"",IF(Tb_Activiteiten[[#This Row],[Bijdrage in natura (overige)]]=1,Tb_Activiteiten[[#Headers],[Bijdrage in natura (overige)]],""))</f>
        <v/>
      </c>
      <c r="AW668" t="str">
        <f>IF(ISNUMBER(FIND("overige",Methode_Keuze)),"",IF(Tb_Activiteiten[[#This Row],[Bijdrage in natura (vrijwilligers)]]=1,Tb_Activiteiten[[#Headers],[Bijdrage in natura (vrijwilligers)]],""))</f>
        <v/>
      </c>
      <c r="AX668" t="str">
        <f>IF(ISNUMBER(FIND("overige",Methode_Keuze)),"",IF(Tb_Activiteiten[[#This Row],[Afschrijvingskosten]]=1,Tb_Activiteiten[[#Headers],[Afschrijvingskosten]],""))</f>
        <v/>
      </c>
      <c r="AY668" t="str">
        <f>IF(ISNUMBER(FIND("overige",Methode_Keuze)),"",IF(Tb_Activiteiten[[#This Row],[Vergoeding]]=1,Tb_Activiteiten[[#Headers],[Vergoeding]],""))</f>
        <v/>
      </c>
      <c r="AZ668" t="str">
        <f>IF(ISNUMBER(FIND("arbeid",Methode_Keuze)),"",IF(Tb_Activiteiten[[#This Row],[Arbeidskosten - vast tarief (excl eigen arbeid)]]=1,Tb_Activiteiten[[#Headers],[Arbeidskosten - vast tarief (excl eigen arbeid)]],""))</f>
        <v/>
      </c>
      <c r="BA668" t="str">
        <f>IF(ISNUMBER(FIND("overige",Methode_Keuze)),"",IF(Tb_Activiteiten[[#This Row],[Overige kosten]]=1,Tb_Activiteiten[[#Headers],[Overige kosten]],""))</f>
        <v/>
      </c>
    </row>
    <row r="669" spans="1:53" x14ac:dyDescent="0.25">
      <c r="A669" s="231"/>
      <c r="F669" s="64"/>
      <c r="G669" s="64"/>
      <c r="H669" s="275"/>
      <c r="I669" s="275"/>
      <c r="J669" s="275"/>
      <c r="K669" s="275"/>
      <c r="O669" s="56"/>
      <c r="Q669" t="str">
        <f>IFERROR(IF(VLOOKUP(Tb_Activiteiten[[#This Row],[Openstelling]],Tb_Openstelling[],2,0)=1,1,""),"")</f>
        <v/>
      </c>
      <c r="AK669" t="str">
        <f>IF(ISNUMBER(FIND("arbeid",Methode_Keuze)),"",IF(ISNUMBER(FIND("arbeid",Methode_Keuze)),"",IF(Tb_Activiteiten[[#This Row],[Loonkosten]]=1,Tb_Activiteiten[[#Headers],[Loonkosten]],"")))</f>
        <v/>
      </c>
      <c r="AL669" t="str">
        <f>IF(ISNUMBER(FIND("arbeid",Methode_Keuze)),"",IF(ISNUMBER(FIND("arbeid",Methode_Keuze)),"",IF(Tb_Activiteiten[[#This Row],[Eigen arbeid]]=1,Tb_Activiteiten[[#Headers],[Eigen arbeid]],"")))</f>
        <v/>
      </c>
      <c r="AM669" t="str">
        <f>IF(ISNUMBER(FIND("arbeid",Methode_Keuze)),"",IF(ISNUMBER(FIND("arbeid",Methode_Keuze)),"",IF(Tb_Activiteiten[[#This Row],[Projectmedewerker]]=1,Tb_Activiteiten[[#Headers],[Projectmedewerker]],"")))</f>
        <v/>
      </c>
      <c r="AN669" t="str">
        <f>IF(ISNUMBER(FIND("arbeid",Methode_Keuze)),"",IF(ISNUMBER(FIND("arbeid",Methode_Keuze)),"",IF(Tb_Activiteiten[[#This Row],[Landbouwer]]=1,Tb_Activiteiten[[#Headers],[Landbouwer]],"")))</f>
        <v/>
      </c>
      <c r="AO669" t="str">
        <f>IF(ISNUMBER(FIND("arbeid",Methode_Keuze)),"",IF(ISNUMBER(FIND("arbeid",Methode_Keuze)),"",IF(Tb_Activiteiten[[#This Row],[Adviseur]]=1,Tb_Activiteiten[[#Headers],[Adviseur]],"")))</f>
        <v/>
      </c>
      <c r="AP669" t="str">
        <f>IF(ISNUMBER(FIND("arbeid",Methode_Keuze)),"",IF(ISNUMBER(FIND("arbeid",Methode_Keuze)),"",IF(Tb_Activiteiten[[#This Row],[Projectleider/Expert]]=1,Tb_Activiteiten[[#Headers],[Projectleider/Expert]],"")))</f>
        <v/>
      </c>
      <c r="AQ669" t="str">
        <f>IF(ISNUMBER(FIND("arbeid",Methode_Keuze)),"",IF(ISNUMBER(FIND("arbeid",Methode_Keuze)),"",IF(Tb_Activiteiten[[#This Row],[Arbeidskosten]]=1,Tb_Activiteiten[[#Headers],[Arbeidskosten]],"")))</f>
        <v/>
      </c>
      <c r="AR669" t="str">
        <f>IF(ISNUMBER(FIND("arbeid",Methode_Keuze)),"",IF(ISNUMBER(FIND("arbeid",Methode_Keuze)),"",IF(Tb_Activiteiten[[#This Row],[Arbeidskosten op basis van IKS]]=1,Tb_Activiteiten[[#Headers],[Arbeidskosten op basis van IKS]],"")))</f>
        <v/>
      </c>
      <c r="AS669" t="str">
        <f>IF(ISNUMBER(FIND("overige",Methode_Keuze)),"",IF(Tb_Activiteiten[[#This Row],[Kosten derden exclusief btw]]=1,Tb_Activiteiten[[#Headers],[Kosten derden exclusief btw]],""))</f>
        <v/>
      </c>
      <c r="AT669" t="str">
        <f>IF(ISNUMBER(FIND("overige",Methode_Keuze)),"",IF(Tb_Activiteiten[[#This Row],[Niet verrekenbare btw]]=1,Tb_Activiteiten[[#Headers],[Niet verrekenbare btw]],""))</f>
        <v/>
      </c>
      <c r="AU669" t="str">
        <f>IF(ISNUMBER(FIND("overige",Methode_Keuze)),"",IF(Tb_Activiteiten[[#This Row],[Grondkosten]]=1,Tb_Activiteiten[[#Headers],[Grondkosten]],""))</f>
        <v/>
      </c>
      <c r="AV669" t="str">
        <f>IF(ISNUMBER(FIND("overige",Methode_Keuze)),"",IF(Tb_Activiteiten[[#This Row],[Bijdrage in natura (overige)]]=1,Tb_Activiteiten[[#Headers],[Bijdrage in natura (overige)]],""))</f>
        <v/>
      </c>
      <c r="AW669" t="str">
        <f>IF(ISNUMBER(FIND("overige",Methode_Keuze)),"",IF(Tb_Activiteiten[[#This Row],[Bijdrage in natura (vrijwilligers)]]=1,Tb_Activiteiten[[#Headers],[Bijdrage in natura (vrijwilligers)]],""))</f>
        <v/>
      </c>
      <c r="AX669" t="str">
        <f>IF(ISNUMBER(FIND("overige",Methode_Keuze)),"",IF(Tb_Activiteiten[[#This Row],[Afschrijvingskosten]]=1,Tb_Activiteiten[[#Headers],[Afschrijvingskosten]],""))</f>
        <v/>
      </c>
      <c r="AY669" t="str">
        <f>IF(ISNUMBER(FIND("overige",Methode_Keuze)),"",IF(Tb_Activiteiten[[#This Row],[Vergoeding]]=1,Tb_Activiteiten[[#Headers],[Vergoeding]],""))</f>
        <v/>
      </c>
      <c r="AZ669" t="str">
        <f>IF(ISNUMBER(FIND("arbeid",Methode_Keuze)),"",IF(Tb_Activiteiten[[#This Row],[Arbeidskosten - vast tarief (excl eigen arbeid)]]=1,Tb_Activiteiten[[#Headers],[Arbeidskosten - vast tarief (excl eigen arbeid)]],""))</f>
        <v/>
      </c>
      <c r="BA669" t="str">
        <f>IF(ISNUMBER(FIND("overige",Methode_Keuze)),"",IF(Tb_Activiteiten[[#This Row],[Overige kosten]]=1,Tb_Activiteiten[[#Headers],[Overige kosten]],""))</f>
        <v/>
      </c>
    </row>
    <row r="670" spans="1:53" x14ac:dyDescent="0.25">
      <c r="A670" s="231"/>
      <c r="F670" s="64"/>
      <c r="G670" s="64"/>
      <c r="H670" s="275"/>
      <c r="I670" s="275"/>
      <c r="J670" s="275"/>
      <c r="K670" s="275"/>
      <c r="O670" s="56"/>
      <c r="Q670" t="str">
        <f>IFERROR(IF(VLOOKUP(Tb_Activiteiten[[#This Row],[Openstelling]],Tb_Openstelling[],2,0)=1,1,""),"")</f>
        <v/>
      </c>
      <c r="AK670" t="str">
        <f>IF(ISNUMBER(FIND("arbeid",Methode_Keuze)),"",IF(ISNUMBER(FIND("arbeid",Methode_Keuze)),"",IF(Tb_Activiteiten[[#This Row],[Loonkosten]]=1,Tb_Activiteiten[[#Headers],[Loonkosten]],"")))</f>
        <v/>
      </c>
      <c r="AL670" t="str">
        <f>IF(ISNUMBER(FIND("arbeid",Methode_Keuze)),"",IF(ISNUMBER(FIND("arbeid",Methode_Keuze)),"",IF(Tb_Activiteiten[[#This Row],[Eigen arbeid]]=1,Tb_Activiteiten[[#Headers],[Eigen arbeid]],"")))</f>
        <v/>
      </c>
      <c r="AM670" t="str">
        <f>IF(ISNUMBER(FIND("arbeid",Methode_Keuze)),"",IF(ISNUMBER(FIND("arbeid",Methode_Keuze)),"",IF(Tb_Activiteiten[[#This Row],[Projectmedewerker]]=1,Tb_Activiteiten[[#Headers],[Projectmedewerker]],"")))</f>
        <v/>
      </c>
      <c r="AN670" t="str">
        <f>IF(ISNUMBER(FIND("arbeid",Methode_Keuze)),"",IF(ISNUMBER(FIND("arbeid",Methode_Keuze)),"",IF(Tb_Activiteiten[[#This Row],[Landbouwer]]=1,Tb_Activiteiten[[#Headers],[Landbouwer]],"")))</f>
        <v/>
      </c>
      <c r="AO670" t="str">
        <f>IF(ISNUMBER(FIND("arbeid",Methode_Keuze)),"",IF(ISNUMBER(FIND("arbeid",Methode_Keuze)),"",IF(Tb_Activiteiten[[#This Row],[Adviseur]]=1,Tb_Activiteiten[[#Headers],[Adviseur]],"")))</f>
        <v/>
      </c>
      <c r="AP670" t="str">
        <f>IF(ISNUMBER(FIND("arbeid",Methode_Keuze)),"",IF(ISNUMBER(FIND("arbeid",Methode_Keuze)),"",IF(Tb_Activiteiten[[#This Row],[Projectleider/Expert]]=1,Tb_Activiteiten[[#Headers],[Projectleider/Expert]],"")))</f>
        <v/>
      </c>
      <c r="AQ670" t="str">
        <f>IF(ISNUMBER(FIND("arbeid",Methode_Keuze)),"",IF(ISNUMBER(FIND("arbeid",Methode_Keuze)),"",IF(Tb_Activiteiten[[#This Row],[Arbeidskosten]]=1,Tb_Activiteiten[[#Headers],[Arbeidskosten]],"")))</f>
        <v/>
      </c>
      <c r="AR670" t="str">
        <f>IF(ISNUMBER(FIND("arbeid",Methode_Keuze)),"",IF(ISNUMBER(FIND("arbeid",Methode_Keuze)),"",IF(Tb_Activiteiten[[#This Row],[Arbeidskosten op basis van IKS]]=1,Tb_Activiteiten[[#Headers],[Arbeidskosten op basis van IKS]],"")))</f>
        <v/>
      </c>
      <c r="AS670" t="str">
        <f>IF(ISNUMBER(FIND("overige",Methode_Keuze)),"",IF(Tb_Activiteiten[[#This Row],[Kosten derden exclusief btw]]=1,Tb_Activiteiten[[#Headers],[Kosten derden exclusief btw]],""))</f>
        <v/>
      </c>
      <c r="AT670" t="str">
        <f>IF(ISNUMBER(FIND("overige",Methode_Keuze)),"",IF(Tb_Activiteiten[[#This Row],[Niet verrekenbare btw]]=1,Tb_Activiteiten[[#Headers],[Niet verrekenbare btw]],""))</f>
        <v/>
      </c>
      <c r="AU670" t="str">
        <f>IF(ISNUMBER(FIND("overige",Methode_Keuze)),"",IF(Tb_Activiteiten[[#This Row],[Grondkosten]]=1,Tb_Activiteiten[[#Headers],[Grondkosten]],""))</f>
        <v/>
      </c>
      <c r="AV670" t="str">
        <f>IF(ISNUMBER(FIND("overige",Methode_Keuze)),"",IF(Tb_Activiteiten[[#This Row],[Bijdrage in natura (overige)]]=1,Tb_Activiteiten[[#Headers],[Bijdrage in natura (overige)]],""))</f>
        <v/>
      </c>
      <c r="AW670" t="str">
        <f>IF(ISNUMBER(FIND("overige",Methode_Keuze)),"",IF(Tb_Activiteiten[[#This Row],[Bijdrage in natura (vrijwilligers)]]=1,Tb_Activiteiten[[#Headers],[Bijdrage in natura (vrijwilligers)]],""))</f>
        <v/>
      </c>
      <c r="AX670" t="str">
        <f>IF(ISNUMBER(FIND("overige",Methode_Keuze)),"",IF(Tb_Activiteiten[[#This Row],[Afschrijvingskosten]]=1,Tb_Activiteiten[[#Headers],[Afschrijvingskosten]],""))</f>
        <v/>
      </c>
      <c r="AY670" t="str">
        <f>IF(ISNUMBER(FIND("overige",Methode_Keuze)),"",IF(Tb_Activiteiten[[#This Row],[Vergoeding]]=1,Tb_Activiteiten[[#Headers],[Vergoeding]],""))</f>
        <v/>
      </c>
      <c r="AZ670" t="str">
        <f>IF(ISNUMBER(FIND("arbeid",Methode_Keuze)),"",IF(Tb_Activiteiten[[#This Row],[Arbeidskosten - vast tarief (excl eigen arbeid)]]=1,Tb_Activiteiten[[#Headers],[Arbeidskosten - vast tarief (excl eigen arbeid)]],""))</f>
        <v/>
      </c>
      <c r="BA670" t="str">
        <f>IF(ISNUMBER(FIND("overige",Methode_Keuze)),"",IF(Tb_Activiteiten[[#This Row],[Overige kosten]]=1,Tb_Activiteiten[[#Headers],[Overige kosten]],""))</f>
        <v/>
      </c>
    </row>
    <row r="671" spans="1:53" x14ac:dyDescent="0.25">
      <c r="A671" s="231"/>
      <c r="F671" s="64"/>
      <c r="G671" s="64"/>
      <c r="H671" s="275"/>
      <c r="I671" s="275"/>
      <c r="J671" s="275"/>
      <c r="K671" s="275"/>
      <c r="O671" s="56"/>
      <c r="Q671" t="str">
        <f>IFERROR(IF(VLOOKUP(Tb_Activiteiten[[#This Row],[Openstelling]],Tb_Openstelling[],2,0)=1,1,""),"")</f>
        <v/>
      </c>
      <c r="AK671" t="str">
        <f>IF(ISNUMBER(FIND("arbeid",Methode_Keuze)),"",IF(ISNUMBER(FIND("arbeid",Methode_Keuze)),"",IF(Tb_Activiteiten[[#This Row],[Loonkosten]]=1,Tb_Activiteiten[[#Headers],[Loonkosten]],"")))</f>
        <v/>
      </c>
      <c r="AL671" t="str">
        <f>IF(ISNUMBER(FIND("arbeid",Methode_Keuze)),"",IF(ISNUMBER(FIND("arbeid",Methode_Keuze)),"",IF(Tb_Activiteiten[[#This Row],[Eigen arbeid]]=1,Tb_Activiteiten[[#Headers],[Eigen arbeid]],"")))</f>
        <v/>
      </c>
      <c r="AM671" t="str">
        <f>IF(ISNUMBER(FIND("arbeid",Methode_Keuze)),"",IF(ISNUMBER(FIND("arbeid",Methode_Keuze)),"",IF(Tb_Activiteiten[[#This Row],[Projectmedewerker]]=1,Tb_Activiteiten[[#Headers],[Projectmedewerker]],"")))</f>
        <v/>
      </c>
      <c r="AN671" t="str">
        <f>IF(ISNUMBER(FIND("arbeid",Methode_Keuze)),"",IF(ISNUMBER(FIND("arbeid",Methode_Keuze)),"",IF(Tb_Activiteiten[[#This Row],[Landbouwer]]=1,Tb_Activiteiten[[#Headers],[Landbouwer]],"")))</f>
        <v/>
      </c>
      <c r="AO671" t="str">
        <f>IF(ISNUMBER(FIND("arbeid",Methode_Keuze)),"",IF(ISNUMBER(FIND("arbeid",Methode_Keuze)),"",IF(Tb_Activiteiten[[#This Row],[Adviseur]]=1,Tb_Activiteiten[[#Headers],[Adviseur]],"")))</f>
        <v/>
      </c>
      <c r="AP671" t="str">
        <f>IF(ISNUMBER(FIND("arbeid",Methode_Keuze)),"",IF(ISNUMBER(FIND("arbeid",Methode_Keuze)),"",IF(Tb_Activiteiten[[#This Row],[Projectleider/Expert]]=1,Tb_Activiteiten[[#Headers],[Projectleider/Expert]],"")))</f>
        <v/>
      </c>
      <c r="AQ671" t="str">
        <f>IF(ISNUMBER(FIND("arbeid",Methode_Keuze)),"",IF(ISNUMBER(FIND("arbeid",Methode_Keuze)),"",IF(Tb_Activiteiten[[#This Row],[Arbeidskosten]]=1,Tb_Activiteiten[[#Headers],[Arbeidskosten]],"")))</f>
        <v/>
      </c>
      <c r="AR671" t="str">
        <f>IF(ISNUMBER(FIND("arbeid",Methode_Keuze)),"",IF(ISNUMBER(FIND("arbeid",Methode_Keuze)),"",IF(Tb_Activiteiten[[#This Row],[Arbeidskosten op basis van IKS]]=1,Tb_Activiteiten[[#Headers],[Arbeidskosten op basis van IKS]],"")))</f>
        <v/>
      </c>
      <c r="AS671" t="str">
        <f>IF(ISNUMBER(FIND("overige",Methode_Keuze)),"",IF(Tb_Activiteiten[[#This Row],[Kosten derden exclusief btw]]=1,Tb_Activiteiten[[#Headers],[Kosten derden exclusief btw]],""))</f>
        <v/>
      </c>
      <c r="AT671" t="str">
        <f>IF(ISNUMBER(FIND("overige",Methode_Keuze)),"",IF(Tb_Activiteiten[[#This Row],[Niet verrekenbare btw]]=1,Tb_Activiteiten[[#Headers],[Niet verrekenbare btw]],""))</f>
        <v/>
      </c>
      <c r="AU671" t="str">
        <f>IF(ISNUMBER(FIND("overige",Methode_Keuze)),"",IF(Tb_Activiteiten[[#This Row],[Grondkosten]]=1,Tb_Activiteiten[[#Headers],[Grondkosten]],""))</f>
        <v/>
      </c>
      <c r="AV671" t="str">
        <f>IF(ISNUMBER(FIND("overige",Methode_Keuze)),"",IF(Tb_Activiteiten[[#This Row],[Bijdrage in natura (overige)]]=1,Tb_Activiteiten[[#Headers],[Bijdrage in natura (overige)]],""))</f>
        <v/>
      </c>
      <c r="AW671" t="str">
        <f>IF(ISNUMBER(FIND("overige",Methode_Keuze)),"",IF(Tb_Activiteiten[[#This Row],[Bijdrage in natura (vrijwilligers)]]=1,Tb_Activiteiten[[#Headers],[Bijdrage in natura (vrijwilligers)]],""))</f>
        <v/>
      </c>
      <c r="AX671" t="str">
        <f>IF(ISNUMBER(FIND("overige",Methode_Keuze)),"",IF(Tb_Activiteiten[[#This Row],[Afschrijvingskosten]]=1,Tb_Activiteiten[[#Headers],[Afschrijvingskosten]],""))</f>
        <v/>
      </c>
      <c r="AY671" t="str">
        <f>IF(ISNUMBER(FIND("overige",Methode_Keuze)),"",IF(Tb_Activiteiten[[#This Row],[Vergoeding]]=1,Tb_Activiteiten[[#Headers],[Vergoeding]],""))</f>
        <v/>
      </c>
      <c r="AZ671" t="str">
        <f>IF(ISNUMBER(FIND("arbeid",Methode_Keuze)),"",IF(Tb_Activiteiten[[#This Row],[Arbeidskosten - vast tarief (excl eigen arbeid)]]=1,Tb_Activiteiten[[#Headers],[Arbeidskosten - vast tarief (excl eigen arbeid)]],""))</f>
        <v/>
      </c>
      <c r="BA671" t="str">
        <f>IF(ISNUMBER(FIND("overige",Methode_Keuze)),"",IF(Tb_Activiteiten[[#This Row],[Overige kosten]]=1,Tb_Activiteiten[[#Headers],[Overige kosten]],""))</f>
        <v/>
      </c>
    </row>
    <row r="672" spans="1:53" x14ac:dyDescent="0.25">
      <c r="A672" s="231"/>
      <c r="F672" s="64"/>
      <c r="G672" s="64"/>
      <c r="H672" s="275"/>
      <c r="I672" s="275"/>
      <c r="J672" s="275"/>
      <c r="K672" s="275"/>
      <c r="O672" s="56"/>
      <c r="Q672" t="str">
        <f>IFERROR(IF(VLOOKUP(Tb_Activiteiten[[#This Row],[Openstelling]],Tb_Openstelling[],2,0)=1,1,""),"")</f>
        <v/>
      </c>
      <c r="AK672" t="str">
        <f>IF(ISNUMBER(FIND("arbeid",Methode_Keuze)),"",IF(ISNUMBER(FIND("arbeid",Methode_Keuze)),"",IF(Tb_Activiteiten[[#This Row],[Loonkosten]]=1,Tb_Activiteiten[[#Headers],[Loonkosten]],"")))</f>
        <v/>
      </c>
      <c r="AL672" t="str">
        <f>IF(ISNUMBER(FIND("arbeid",Methode_Keuze)),"",IF(ISNUMBER(FIND("arbeid",Methode_Keuze)),"",IF(Tb_Activiteiten[[#This Row],[Eigen arbeid]]=1,Tb_Activiteiten[[#Headers],[Eigen arbeid]],"")))</f>
        <v/>
      </c>
      <c r="AM672" t="str">
        <f>IF(ISNUMBER(FIND("arbeid",Methode_Keuze)),"",IF(ISNUMBER(FIND("arbeid",Methode_Keuze)),"",IF(Tb_Activiteiten[[#This Row],[Projectmedewerker]]=1,Tb_Activiteiten[[#Headers],[Projectmedewerker]],"")))</f>
        <v/>
      </c>
      <c r="AN672" t="str">
        <f>IF(ISNUMBER(FIND("arbeid",Methode_Keuze)),"",IF(ISNUMBER(FIND("arbeid",Methode_Keuze)),"",IF(Tb_Activiteiten[[#This Row],[Landbouwer]]=1,Tb_Activiteiten[[#Headers],[Landbouwer]],"")))</f>
        <v/>
      </c>
      <c r="AO672" t="str">
        <f>IF(ISNUMBER(FIND("arbeid",Methode_Keuze)),"",IF(ISNUMBER(FIND("arbeid",Methode_Keuze)),"",IF(Tb_Activiteiten[[#This Row],[Adviseur]]=1,Tb_Activiteiten[[#Headers],[Adviseur]],"")))</f>
        <v/>
      </c>
      <c r="AP672" t="str">
        <f>IF(ISNUMBER(FIND("arbeid",Methode_Keuze)),"",IF(ISNUMBER(FIND("arbeid",Methode_Keuze)),"",IF(Tb_Activiteiten[[#This Row],[Projectleider/Expert]]=1,Tb_Activiteiten[[#Headers],[Projectleider/Expert]],"")))</f>
        <v/>
      </c>
      <c r="AQ672" t="str">
        <f>IF(ISNUMBER(FIND("arbeid",Methode_Keuze)),"",IF(ISNUMBER(FIND("arbeid",Methode_Keuze)),"",IF(Tb_Activiteiten[[#This Row],[Arbeidskosten]]=1,Tb_Activiteiten[[#Headers],[Arbeidskosten]],"")))</f>
        <v/>
      </c>
      <c r="AR672" t="str">
        <f>IF(ISNUMBER(FIND("arbeid",Methode_Keuze)),"",IF(ISNUMBER(FIND("arbeid",Methode_Keuze)),"",IF(Tb_Activiteiten[[#This Row],[Arbeidskosten op basis van IKS]]=1,Tb_Activiteiten[[#Headers],[Arbeidskosten op basis van IKS]],"")))</f>
        <v/>
      </c>
      <c r="AS672" t="str">
        <f>IF(ISNUMBER(FIND("overige",Methode_Keuze)),"",IF(Tb_Activiteiten[[#This Row],[Kosten derden exclusief btw]]=1,Tb_Activiteiten[[#Headers],[Kosten derden exclusief btw]],""))</f>
        <v/>
      </c>
      <c r="AT672" t="str">
        <f>IF(ISNUMBER(FIND("overige",Methode_Keuze)),"",IF(Tb_Activiteiten[[#This Row],[Niet verrekenbare btw]]=1,Tb_Activiteiten[[#Headers],[Niet verrekenbare btw]],""))</f>
        <v/>
      </c>
      <c r="AU672" t="str">
        <f>IF(ISNUMBER(FIND("overige",Methode_Keuze)),"",IF(Tb_Activiteiten[[#This Row],[Grondkosten]]=1,Tb_Activiteiten[[#Headers],[Grondkosten]],""))</f>
        <v/>
      </c>
      <c r="AV672" t="str">
        <f>IF(ISNUMBER(FIND("overige",Methode_Keuze)),"",IF(Tb_Activiteiten[[#This Row],[Bijdrage in natura (overige)]]=1,Tb_Activiteiten[[#Headers],[Bijdrage in natura (overige)]],""))</f>
        <v/>
      </c>
      <c r="AW672" t="str">
        <f>IF(ISNUMBER(FIND("overige",Methode_Keuze)),"",IF(Tb_Activiteiten[[#This Row],[Bijdrage in natura (vrijwilligers)]]=1,Tb_Activiteiten[[#Headers],[Bijdrage in natura (vrijwilligers)]],""))</f>
        <v/>
      </c>
      <c r="AX672" t="str">
        <f>IF(ISNUMBER(FIND("overige",Methode_Keuze)),"",IF(Tb_Activiteiten[[#This Row],[Afschrijvingskosten]]=1,Tb_Activiteiten[[#Headers],[Afschrijvingskosten]],""))</f>
        <v/>
      </c>
      <c r="AY672" t="str">
        <f>IF(ISNUMBER(FIND("overige",Methode_Keuze)),"",IF(Tb_Activiteiten[[#This Row],[Vergoeding]]=1,Tb_Activiteiten[[#Headers],[Vergoeding]],""))</f>
        <v/>
      </c>
      <c r="AZ672" t="str">
        <f>IF(ISNUMBER(FIND("arbeid",Methode_Keuze)),"",IF(Tb_Activiteiten[[#This Row],[Arbeidskosten - vast tarief (excl eigen arbeid)]]=1,Tb_Activiteiten[[#Headers],[Arbeidskosten - vast tarief (excl eigen arbeid)]],""))</f>
        <v/>
      </c>
      <c r="BA672" t="str">
        <f>IF(ISNUMBER(FIND("overige",Methode_Keuze)),"",IF(Tb_Activiteiten[[#This Row],[Overige kosten]]=1,Tb_Activiteiten[[#Headers],[Overige kosten]],""))</f>
        <v/>
      </c>
    </row>
    <row r="673" spans="1:53" x14ac:dyDescent="0.25">
      <c r="A673" s="231"/>
      <c r="F673" s="64"/>
      <c r="G673" s="64"/>
      <c r="H673" s="275"/>
      <c r="I673" s="275"/>
      <c r="J673" s="275"/>
      <c r="K673" s="275"/>
      <c r="O673" s="56"/>
      <c r="Q673" t="str">
        <f>IFERROR(IF(VLOOKUP(Tb_Activiteiten[[#This Row],[Openstelling]],Tb_Openstelling[],2,0)=1,1,""),"")</f>
        <v/>
      </c>
      <c r="AK673" t="str">
        <f>IF(ISNUMBER(FIND("arbeid",Methode_Keuze)),"",IF(ISNUMBER(FIND("arbeid",Methode_Keuze)),"",IF(Tb_Activiteiten[[#This Row],[Loonkosten]]=1,Tb_Activiteiten[[#Headers],[Loonkosten]],"")))</f>
        <v/>
      </c>
      <c r="AL673" t="str">
        <f>IF(ISNUMBER(FIND("arbeid",Methode_Keuze)),"",IF(ISNUMBER(FIND("arbeid",Methode_Keuze)),"",IF(Tb_Activiteiten[[#This Row],[Eigen arbeid]]=1,Tb_Activiteiten[[#Headers],[Eigen arbeid]],"")))</f>
        <v/>
      </c>
      <c r="AM673" t="str">
        <f>IF(ISNUMBER(FIND("arbeid",Methode_Keuze)),"",IF(ISNUMBER(FIND("arbeid",Methode_Keuze)),"",IF(Tb_Activiteiten[[#This Row],[Projectmedewerker]]=1,Tb_Activiteiten[[#Headers],[Projectmedewerker]],"")))</f>
        <v/>
      </c>
      <c r="AN673" t="str">
        <f>IF(ISNUMBER(FIND("arbeid",Methode_Keuze)),"",IF(ISNUMBER(FIND("arbeid",Methode_Keuze)),"",IF(Tb_Activiteiten[[#This Row],[Landbouwer]]=1,Tb_Activiteiten[[#Headers],[Landbouwer]],"")))</f>
        <v/>
      </c>
      <c r="AO673" t="str">
        <f>IF(ISNUMBER(FIND("arbeid",Methode_Keuze)),"",IF(ISNUMBER(FIND("arbeid",Methode_Keuze)),"",IF(Tb_Activiteiten[[#This Row],[Adviseur]]=1,Tb_Activiteiten[[#Headers],[Adviseur]],"")))</f>
        <v/>
      </c>
      <c r="AP673" t="str">
        <f>IF(ISNUMBER(FIND("arbeid",Methode_Keuze)),"",IF(ISNUMBER(FIND("arbeid",Methode_Keuze)),"",IF(Tb_Activiteiten[[#This Row],[Projectleider/Expert]]=1,Tb_Activiteiten[[#Headers],[Projectleider/Expert]],"")))</f>
        <v/>
      </c>
      <c r="AQ673" t="str">
        <f>IF(ISNUMBER(FIND("arbeid",Methode_Keuze)),"",IF(ISNUMBER(FIND("arbeid",Methode_Keuze)),"",IF(Tb_Activiteiten[[#This Row],[Arbeidskosten]]=1,Tb_Activiteiten[[#Headers],[Arbeidskosten]],"")))</f>
        <v/>
      </c>
      <c r="AR673" t="str">
        <f>IF(ISNUMBER(FIND("arbeid",Methode_Keuze)),"",IF(ISNUMBER(FIND("arbeid",Methode_Keuze)),"",IF(Tb_Activiteiten[[#This Row],[Arbeidskosten op basis van IKS]]=1,Tb_Activiteiten[[#Headers],[Arbeidskosten op basis van IKS]],"")))</f>
        <v/>
      </c>
      <c r="AS673" t="str">
        <f>IF(ISNUMBER(FIND("overige",Methode_Keuze)),"",IF(Tb_Activiteiten[[#This Row],[Kosten derden exclusief btw]]=1,Tb_Activiteiten[[#Headers],[Kosten derden exclusief btw]],""))</f>
        <v/>
      </c>
      <c r="AT673" t="str">
        <f>IF(ISNUMBER(FIND("overige",Methode_Keuze)),"",IF(Tb_Activiteiten[[#This Row],[Niet verrekenbare btw]]=1,Tb_Activiteiten[[#Headers],[Niet verrekenbare btw]],""))</f>
        <v/>
      </c>
      <c r="AU673" t="str">
        <f>IF(ISNUMBER(FIND("overige",Methode_Keuze)),"",IF(Tb_Activiteiten[[#This Row],[Grondkosten]]=1,Tb_Activiteiten[[#Headers],[Grondkosten]],""))</f>
        <v/>
      </c>
      <c r="AV673" t="str">
        <f>IF(ISNUMBER(FIND("overige",Methode_Keuze)),"",IF(Tb_Activiteiten[[#This Row],[Bijdrage in natura (overige)]]=1,Tb_Activiteiten[[#Headers],[Bijdrage in natura (overige)]],""))</f>
        <v/>
      </c>
      <c r="AW673" t="str">
        <f>IF(ISNUMBER(FIND("overige",Methode_Keuze)),"",IF(Tb_Activiteiten[[#This Row],[Bijdrage in natura (vrijwilligers)]]=1,Tb_Activiteiten[[#Headers],[Bijdrage in natura (vrijwilligers)]],""))</f>
        <v/>
      </c>
      <c r="AX673" t="str">
        <f>IF(ISNUMBER(FIND("overige",Methode_Keuze)),"",IF(Tb_Activiteiten[[#This Row],[Afschrijvingskosten]]=1,Tb_Activiteiten[[#Headers],[Afschrijvingskosten]],""))</f>
        <v/>
      </c>
      <c r="AY673" t="str">
        <f>IF(ISNUMBER(FIND("overige",Methode_Keuze)),"",IF(Tb_Activiteiten[[#This Row],[Vergoeding]]=1,Tb_Activiteiten[[#Headers],[Vergoeding]],""))</f>
        <v/>
      </c>
      <c r="AZ673" t="str">
        <f>IF(ISNUMBER(FIND("arbeid",Methode_Keuze)),"",IF(Tb_Activiteiten[[#This Row],[Arbeidskosten - vast tarief (excl eigen arbeid)]]=1,Tb_Activiteiten[[#Headers],[Arbeidskosten - vast tarief (excl eigen arbeid)]],""))</f>
        <v/>
      </c>
      <c r="BA673" t="str">
        <f>IF(ISNUMBER(FIND("overige",Methode_Keuze)),"",IF(Tb_Activiteiten[[#This Row],[Overige kosten]]=1,Tb_Activiteiten[[#Headers],[Overige kosten]],""))</f>
        <v/>
      </c>
    </row>
    <row r="674" spans="1:53" x14ac:dyDescent="0.25">
      <c r="A674" s="231"/>
      <c r="F674" s="64"/>
      <c r="G674" s="64"/>
      <c r="H674" s="275"/>
      <c r="I674" s="275"/>
      <c r="J674" s="275"/>
      <c r="K674" s="275"/>
      <c r="O674" s="56"/>
      <c r="Q674" t="str">
        <f>IFERROR(IF(VLOOKUP(Tb_Activiteiten[[#This Row],[Openstelling]],Tb_Openstelling[],2,0)=1,1,""),"")</f>
        <v/>
      </c>
      <c r="AK674" t="str">
        <f>IF(ISNUMBER(FIND("arbeid",Methode_Keuze)),"",IF(ISNUMBER(FIND("arbeid",Methode_Keuze)),"",IF(Tb_Activiteiten[[#This Row],[Loonkosten]]=1,Tb_Activiteiten[[#Headers],[Loonkosten]],"")))</f>
        <v/>
      </c>
      <c r="AL674" t="str">
        <f>IF(ISNUMBER(FIND("arbeid",Methode_Keuze)),"",IF(ISNUMBER(FIND("arbeid",Methode_Keuze)),"",IF(Tb_Activiteiten[[#This Row],[Eigen arbeid]]=1,Tb_Activiteiten[[#Headers],[Eigen arbeid]],"")))</f>
        <v/>
      </c>
      <c r="AM674" t="str">
        <f>IF(ISNUMBER(FIND("arbeid",Methode_Keuze)),"",IF(ISNUMBER(FIND("arbeid",Methode_Keuze)),"",IF(Tb_Activiteiten[[#This Row],[Projectmedewerker]]=1,Tb_Activiteiten[[#Headers],[Projectmedewerker]],"")))</f>
        <v/>
      </c>
      <c r="AN674" t="str">
        <f>IF(ISNUMBER(FIND("arbeid",Methode_Keuze)),"",IF(ISNUMBER(FIND("arbeid",Methode_Keuze)),"",IF(Tb_Activiteiten[[#This Row],[Landbouwer]]=1,Tb_Activiteiten[[#Headers],[Landbouwer]],"")))</f>
        <v/>
      </c>
      <c r="AO674" t="str">
        <f>IF(ISNUMBER(FIND("arbeid",Methode_Keuze)),"",IF(ISNUMBER(FIND("arbeid",Methode_Keuze)),"",IF(Tb_Activiteiten[[#This Row],[Adviseur]]=1,Tb_Activiteiten[[#Headers],[Adviseur]],"")))</f>
        <v/>
      </c>
      <c r="AP674" t="str">
        <f>IF(ISNUMBER(FIND("arbeid",Methode_Keuze)),"",IF(ISNUMBER(FIND("arbeid",Methode_Keuze)),"",IF(Tb_Activiteiten[[#This Row],[Projectleider/Expert]]=1,Tb_Activiteiten[[#Headers],[Projectleider/Expert]],"")))</f>
        <v/>
      </c>
      <c r="AQ674" t="str">
        <f>IF(ISNUMBER(FIND("arbeid",Methode_Keuze)),"",IF(ISNUMBER(FIND("arbeid",Methode_Keuze)),"",IF(Tb_Activiteiten[[#This Row],[Arbeidskosten]]=1,Tb_Activiteiten[[#Headers],[Arbeidskosten]],"")))</f>
        <v/>
      </c>
      <c r="AR674" t="str">
        <f>IF(ISNUMBER(FIND("arbeid",Methode_Keuze)),"",IF(ISNUMBER(FIND("arbeid",Methode_Keuze)),"",IF(Tb_Activiteiten[[#This Row],[Arbeidskosten op basis van IKS]]=1,Tb_Activiteiten[[#Headers],[Arbeidskosten op basis van IKS]],"")))</f>
        <v/>
      </c>
      <c r="AS674" t="str">
        <f>IF(ISNUMBER(FIND("overige",Methode_Keuze)),"",IF(Tb_Activiteiten[[#This Row],[Kosten derden exclusief btw]]=1,Tb_Activiteiten[[#Headers],[Kosten derden exclusief btw]],""))</f>
        <v/>
      </c>
      <c r="AT674" t="str">
        <f>IF(ISNUMBER(FIND("overige",Methode_Keuze)),"",IF(Tb_Activiteiten[[#This Row],[Niet verrekenbare btw]]=1,Tb_Activiteiten[[#Headers],[Niet verrekenbare btw]],""))</f>
        <v/>
      </c>
      <c r="AU674" t="str">
        <f>IF(ISNUMBER(FIND("overige",Methode_Keuze)),"",IF(Tb_Activiteiten[[#This Row],[Grondkosten]]=1,Tb_Activiteiten[[#Headers],[Grondkosten]],""))</f>
        <v/>
      </c>
      <c r="AV674" t="str">
        <f>IF(ISNUMBER(FIND("overige",Methode_Keuze)),"",IF(Tb_Activiteiten[[#This Row],[Bijdrage in natura (overige)]]=1,Tb_Activiteiten[[#Headers],[Bijdrage in natura (overige)]],""))</f>
        <v/>
      </c>
      <c r="AW674" t="str">
        <f>IF(ISNUMBER(FIND("overige",Methode_Keuze)),"",IF(Tb_Activiteiten[[#This Row],[Bijdrage in natura (vrijwilligers)]]=1,Tb_Activiteiten[[#Headers],[Bijdrage in natura (vrijwilligers)]],""))</f>
        <v/>
      </c>
      <c r="AX674" t="str">
        <f>IF(ISNUMBER(FIND("overige",Methode_Keuze)),"",IF(Tb_Activiteiten[[#This Row],[Afschrijvingskosten]]=1,Tb_Activiteiten[[#Headers],[Afschrijvingskosten]],""))</f>
        <v/>
      </c>
      <c r="AY674" t="str">
        <f>IF(ISNUMBER(FIND("overige",Methode_Keuze)),"",IF(Tb_Activiteiten[[#This Row],[Vergoeding]]=1,Tb_Activiteiten[[#Headers],[Vergoeding]],""))</f>
        <v/>
      </c>
      <c r="AZ674" t="str">
        <f>IF(ISNUMBER(FIND("arbeid",Methode_Keuze)),"",IF(Tb_Activiteiten[[#This Row],[Arbeidskosten - vast tarief (excl eigen arbeid)]]=1,Tb_Activiteiten[[#Headers],[Arbeidskosten - vast tarief (excl eigen arbeid)]],""))</f>
        <v/>
      </c>
      <c r="BA674" t="str">
        <f>IF(ISNUMBER(FIND("overige",Methode_Keuze)),"",IF(Tb_Activiteiten[[#This Row],[Overige kosten]]=1,Tb_Activiteiten[[#Headers],[Overige kosten]],""))</f>
        <v/>
      </c>
    </row>
    <row r="675" spans="1:53" x14ac:dyDescent="0.25">
      <c r="A675" s="231"/>
      <c r="F675" s="64"/>
      <c r="G675" s="64"/>
      <c r="H675" s="275"/>
      <c r="I675" s="275"/>
      <c r="J675" s="275"/>
      <c r="K675" s="275"/>
      <c r="O675" s="56"/>
      <c r="Q675" t="str">
        <f>IFERROR(IF(VLOOKUP(Tb_Activiteiten[[#This Row],[Openstelling]],Tb_Openstelling[],2,0)=1,1,""),"")</f>
        <v/>
      </c>
      <c r="AK675" t="str">
        <f>IF(ISNUMBER(FIND("arbeid",Methode_Keuze)),"",IF(ISNUMBER(FIND("arbeid",Methode_Keuze)),"",IF(Tb_Activiteiten[[#This Row],[Loonkosten]]=1,Tb_Activiteiten[[#Headers],[Loonkosten]],"")))</f>
        <v/>
      </c>
      <c r="AL675" t="str">
        <f>IF(ISNUMBER(FIND("arbeid",Methode_Keuze)),"",IF(ISNUMBER(FIND("arbeid",Methode_Keuze)),"",IF(Tb_Activiteiten[[#This Row],[Eigen arbeid]]=1,Tb_Activiteiten[[#Headers],[Eigen arbeid]],"")))</f>
        <v/>
      </c>
      <c r="AM675" t="str">
        <f>IF(ISNUMBER(FIND("arbeid",Methode_Keuze)),"",IF(ISNUMBER(FIND("arbeid",Methode_Keuze)),"",IF(Tb_Activiteiten[[#This Row],[Projectmedewerker]]=1,Tb_Activiteiten[[#Headers],[Projectmedewerker]],"")))</f>
        <v/>
      </c>
      <c r="AN675" t="str">
        <f>IF(ISNUMBER(FIND("arbeid",Methode_Keuze)),"",IF(ISNUMBER(FIND("arbeid",Methode_Keuze)),"",IF(Tb_Activiteiten[[#This Row],[Landbouwer]]=1,Tb_Activiteiten[[#Headers],[Landbouwer]],"")))</f>
        <v/>
      </c>
      <c r="AO675" t="str">
        <f>IF(ISNUMBER(FIND("arbeid",Methode_Keuze)),"",IF(ISNUMBER(FIND("arbeid",Methode_Keuze)),"",IF(Tb_Activiteiten[[#This Row],[Adviseur]]=1,Tb_Activiteiten[[#Headers],[Adviseur]],"")))</f>
        <v/>
      </c>
      <c r="AP675" t="str">
        <f>IF(ISNUMBER(FIND("arbeid",Methode_Keuze)),"",IF(ISNUMBER(FIND("arbeid",Methode_Keuze)),"",IF(Tb_Activiteiten[[#This Row],[Projectleider/Expert]]=1,Tb_Activiteiten[[#Headers],[Projectleider/Expert]],"")))</f>
        <v/>
      </c>
      <c r="AQ675" t="str">
        <f>IF(ISNUMBER(FIND("arbeid",Methode_Keuze)),"",IF(ISNUMBER(FIND("arbeid",Methode_Keuze)),"",IF(Tb_Activiteiten[[#This Row],[Arbeidskosten]]=1,Tb_Activiteiten[[#Headers],[Arbeidskosten]],"")))</f>
        <v/>
      </c>
      <c r="AR675" t="str">
        <f>IF(ISNUMBER(FIND("arbeid",Methode_Keuze)),"",IF(ISNUMBER(FIND("arbeid",Methode_Keuze)),"",IF(Tb_Activiteiten[[#This Row],[Arbeidskosten op basis van IKS]]=1,Tb_Activiteiten[[#Headers],[Arbeidskosten op basis van IKS]],"")))</f>
        <v/>
      </c>
      <c r="AS675" t="str">
        <f>IF(ISNUMBER(FIND("overige",Methode_Keuze)),"",IF(Tb_Activiteiten[[#This Row],[Kosten derden exclusief btw]]=1,Tb_Activiteiten[[#Headers],[Kosten derden exclusief btw]],""))</f>
        <v/>
      </c>
      <c r="AT675" t="str">
        <f>IF(ISNUMBER(FIND("overige",Methode_Keuze)),"",IF(Tb_Activiteiten[[#This Row],[Niet verrekenbare btw]]=1,Tb_Activiteiten[[#Headers],[Niet verrekenbare btw]],""))</f>
        <v/>
      </c>
      <c r="AU675" t="str">
        <f>IF(ISNUMBER(FIND("overige",Methode_Keuze)),"",IF(Tb_Activiteiten[[#This Row],[Grondkosten]]=1,Tb_Activiteiten[[#Headers],[Grondkosten]],""))</f>
        <v/>
      </c>
      <c r="AV675" t="str">
        <f>IF(ISNUMBER(FIND("overige",Methode_Keuze)),"",IF(Tb_Activiteiten[[#This Row],[Bijdrage in natura (overige)]]=1,Tb_Activiteiten[[#Headers],[Bijdrage in natura (overige)]],""))</f>
        <v/>
      </c>
      <c r="AW675" t="str">
        <f>IF(ISNUMBER(FIND("overige",Methode_Keuze)),"",IF(Tb_Activiteiten[[#This Row],[Bijdrage in natura (vrijwilligers)]]=1,Tb_Activiteiten[[#Headers],[Bijdrage in natura (vrijwilligers)]],""))</f>
        <v/>
      </c>
      <c r="AX675" t="str">
        <f>IF(ISNUMBER(FIND("overige",Methode_Keuze)),"",IF(Tb_Activiteiten[[#This Row],[Afschrijvingskosten]]=1,Tb_Activiteiten[[#Headers],[Afschrijvingskosten]],""))</f>
        <v/>
      </c>
      <c r="AY675" t="str">
        <f>IF(ISNUMBER(FIND("overige",Methode_Keuze)),"",IF(Tb_Activiteiten[[#This Row],[Vergoeding]]=1,Tb_Activiteiten[[#Headers],[Vergoeding]],""))</f>
        <v/>
      </c>
      <c r="AZ675" t="str">
        <f>IF(ISNUMBER(FIND("arbeid",Methode_Keuze)),"",IF(Tb_Activiteiten[[#This Row],[Arbeidskosten - vast tarief (excl eigen arbeid)]]=1,Tb_Activiteiten[[#Headers],[Arbeidskosten - vast tarief (excl eigen arbeid)]],""))</f>
        <v/>
      </c>
      <c r="BA675" t="str">
        <f>IF(ISNUMBER(FIND("overige",Methode_Keuze)),"",IF(Tb_Activiteiten[[#This Row],[Overige kosten]]=1,Tb_Activiteiten[[#Headers],[Overige kosten]],""))</f>
        <v/>
      </c>
    </row>
    <row r="676" spans="1:53" x14ac:dyDescent="0.25">
      <c r="A676" s="231"/>
      <c r="F676" s="64"/>
      <c r="G676" s="64"/>
      <c r="H676" s="275"/>
      <c r="I676" s="275"/>
      <c r="J676" s="275"/>
      <c r="K676" s="275"/>
      <c r="O676" s="56"/>
      <c r="Q676" t="str">
        <f>IFERROR(IF(VLOOKUP(Tb_Activiteiten[[#This Row],[Openstelling]],Tb_Openstelling[],2,0)=1,1,""),"")</f>
        <v/>
      </c>
      <c r="AK676" t="str">
        <f>IF(ISNUMBER(FIND("arbeid",Methode_Keuze)),"",IF(ISNUMBER(FIND("arbeid",Methode_Keuze)),"",IF(Tb_Activiteiten[[#This Row],[Loonkosten]]=1,Tb_Activiteiten[[#Headers],[Loonkosten]],"")))</f>
        <v/>
      </c>
      <c r="AL676" t="str">
        <f>IF(ISNUMBER(FIND("arbeid",Methode_Keuze)),"",IF(ISNUMBER(FIND("arbeid",Methode_Keuze)),"",IF(Tb_Activiteiten[[#This Row],[Eigen arbeid]]=1,Tb_Activiteiten[[#Headers],[Eigen arbeid]],"")))</f>
        <v/>
      </c>
      <c r="AM676" t="str">
        <f>IF(ISNUMBER(FIND("arbeid",Methode_Keuze)),"",IF(ISNUMBER(FIND("arbeid",Methode_Keuze)),"",IF(Tb_Activiteiten[[#This Row],[Projectmedewerker]]=1,Tb_Activiteiten[[#Headers],[Projectmedewerker]],"")))</f>
        <v/>
      </c>
      <c r="AN676" t="str">
        <f>IF(ISNUMBER(FIND("arbeid",Methode_Keuze)),"",IF(ISNUMBER(FIND("arbeid",Methode_Keuze)),"",IF(Tb_Activiteiten[[#This Row],[Landbouwer]]=1,Tb_Activiteiten[[#Headers],[Landbouwer]],"")))</f>
        <v/>
      </c>
      <c r="AO676" t="str">
        <f>IF(ISNUMBER(FIND("arbeid",Methode_Keuze)),"",IF(ISNUMBER(FIND("arbeid",Methode_Keuze)),"",IF(Tb_Activiteiten[[#This Row],[Adviseur]]=1,Tb_Activiteiten[[#Headers],[Adviseur]],"")))</f>
        <v/>
      </c>
      <c r="AP676" t="str">
        <f>IF(ISNUMBER(FIND("arbeid",Methode_Keuze)),"",IF(ISNUMBER(FIND("arbeid",Methode_Keuze)),"",IF(Tb_Activiteiten[[#This Row],[Projectleider/Expert]]=1,Tb_Activiteiten[[#Headers],[Projectleider/Expert]],"")))</f>
        <v/>
      </c>
      <c r="AQ676" t="str">
        <f>IF(ISNUMBER(FIND("arbeid",Methode_Keuze)),"",IF(ISNUMBER(FIND("arbeid",Methode_Keuze)),"",IF(Tb_Activiteiten[[#This Row],[Arbeidskosten]]=1,Tb_Activiteiten[[#Headers],[Arbeidskosten]],"")))</f>
        <v/>
      </c>
      <c r="AR676" t="str">
        <f>IF(ISNUMBER(FIND("arbeid",Methode_Keuze)),"",IF(ISNUMBER(FIND("arbeid",Methode_Keuze)),"",IF(Tb_Activiteiten[[#This Row],[Arbeidskosten op basis van IKS]]=1,Tb_Activiteiten[[#Headers],[Arbeidskosten op basis van IKS]],"")))</f>
        <v/>
      </c>
      <c r="AS676" t="str">
        <f>IF(ISNUMBER(FIND("overige",Methode_Keuze)),"",IF(Tb_Activiteiten[[#This Row],[Kosten derden exclusief btw]]=1,Tb_Activiteiten[[#Headers],[Kosten derden exclusief btw]],""))</f>
        <v/>
      </c>
      <c r="AT676" t="str">
        <f>IF(ISNUMBER(FIND("overige",Methode_Keuze)),"",IF(Tb_Activiteiten[[#This Row],[Niet verrekenbare btw]]=1,Tb_Activiteiten[[#Headers],[Niet verrekenbare btw]],""))</f>
        <v/>
      </c>
      <c r="AU676" t="str">
        <f>IF(ISNUMBER(FIND("overige",Methode_Keuze)),"",IF(Tb_Activiteiten[[#This Row],[Grondkosten]]=1,Tb_Activiteiten[[#Headers],[Grondkosten]],""))</f>
        <v/>
      </c>
      <c r="AV676" t="str">
        <f>IF(ISNUMBER(FIND("overige",Methode_Keuze)),"",IF(Tb_Activiteiten[[#This Row],[Bijdrage in natura (overige)]]=1,Tb_Activiteiten[[#Headers],[Bijdrage in natura (overige)]],""))</f>
        <v/>
      </c>
      <c r="AW676" t="str">
        <f>IF(ISNUMBER(FIND("overige",Methode_Keuze)),"",IF(Tb_Activiteiten[[#This Row],[Bijdrage in natura (vrijwilligers)]]=1,Tb_Activiteiten[[#Headers],[Bijdrage in natura (vrijwilligers)]],""))</f>
        <v/>
      </c>
      <c r="AX676" t="str">
        <f>IF(ISNUMBER(FIND("overige",Methode_Keuze)),"",IF(Tb_Activiteiten[[#This Row],[Afschrijvingskosten]]=1,Tb_Activiteiten[[#Headers],[Afschrijvingskosten]],""))</f>
        <v/>
      </c>
      <c r="AY676" t="str">
        <f>IF(ISNUMBER(FIND("overige",Methode_Keuze)),"",IF(Tb_Activiteiten[[#This Row],[Vergoeding]]=1,Tb_Activiteiten[[#Headers],[Vergoeding]],""))</f>
        <v/>
      </c>
      <c r="AZ676" t="str">
        <f>IF(ISNUMBER(FIND("arbeid",Methode_Keuze)),"",IF(Tb_Activiteiten[[#This Row],[Arbeidskosten - vast tarief (excl eigen arbeid)]]=1,Tb_Activiteiten[[#Headers],[Arbeidskosten - vast tarief (excl eigen arbeid)]],""))</f>
        <v/>
      </c>
      <c r="BA676" t="str">
        <f>IF(ISNUMBER(FIND("overige",Methode_Keuze)),"",IF(Tb_Activiteiten[[#This Row],[Overige kosten]]=1,Tb_Activiteiten[[#Headers],[Overige kosten]],""))</f>
        <v/>
      </c>
    </row>
    <row r="677" spans="1:53" x14ac:dyDescent="0.25">
      <c r="A677" s="231"/>
      <c r="F677" s="64"/>
      <c r="G677" s="64"/>
      <c r="H677" s="275"/>
      <c r="I677" s="275"/>
      <c r="J677" s="275"/>
      <c r="K677" s="275"/>
      <c r="O677" s="56"/>
      <c r="Q677" t="str">
        <f>IFERROR(IF(VLOOKUP(Tb_Activiteiten[[#This Row],[Openstelling]],Tb_Openstelling[],2,0)=1,1,""),"")</f>
        <v/>
      </c>
      <c r="AK677" t="str">
        <f>IF(ISNUMBER(FIND("arbeid",Methode_Keuze)),"",IF(ISNUMBER(FIND("arbeid",Methode_Keuze)),"",IF(Tb_Activiteiten[[#This Row],[Loonkosten]]=1,Tb_Activiteiten[[#Headers],[Loonkosten]],"")))</f>
        <v/>
      </c>
      <c r="AL677" t="str">
        <f>IF(ISNUMBER(FIND("arbeid",Methode_Keuze)),"",IF(ISNUMBER(FIND("arbeid",Methode_Keuze)),"",IF(Tb_Activiteiten[[#This Row],[Eigen arbeid]]=1,Tb_Activiteiten[[#Headers],[Eigen arbeid]],"")))</f>
        <v/>
      </c>
      <c r="AM677" t="str">
        <f>IF(ISNUMBER(FIND("arbeid",Methode_Keuze)),"",IF(ISNUMBER(FIND("arbeid",Methode_Keuze)),"",IF(Tb_Activiteiten[[#This Row],[Projectmedewerker]]=1,Tb_Activiteiten[[#Headers],[Projectmedewerker]],"")))</f>
        <v/>
      </c>
      <c r="AN677" t="str">
        <f>IF(ISNUMBER(FIND("arbeid",Methode_Keuze)),"",IF(ISNUMBER(FIND("arbeid",Methode_Keuze)),"",IF(Tb_Activiteiten[[#This Row],[Landbouwer]]=1,Tb_Activiteiten[[#Headers],[Landbouwer]],"")))</f>
        <v/>
      </c>
      <c r="AO677" t="str">
        <f>IF(ISNUMBER(FIND("arbeid",Methode_Keuze)),"",IF(ISNUMBER(FIND("arbeid",Methode_Keuze)),"",IF(Tb_Activiteiten[[#This Row],[Adviseur]]=1,Tb_Activiteiten[[#Headers],[Adviseur]],"")))</f>
        <v/>
      </c>
      <c r="AP677" t="str">
        <f>IF(ISNUMBER(FIND("arbeid",Methode_Keuze)),"",IF(ISNUMBER(FIND("arbeid",Methode_Keuze)),"",IF(Tb_Activiteiten[[#This Row],[Projectleider/Expert]]=1,Tb_Activiteiten[[#Headers],[Projectleider/Expert]],"")))</f>
        <v/>
      </c>
      <c r="AQ677" t="str">
        <f>IF(ISNUMBER(FIND("arbeid",Methode_Keuze)),"",IF(ISNUMBER(FIND("arbeid",Methode_Keuze)),"",IF(Tb_Activiteiten[[#This Row],[Arbeidskosten]]=1,Tb_Activiteiten[[#Headers],[Arbeidskosten]],"")))</f>
        <v/>
      </c>
      <c r="AR677" t="str">
        <f>IF(ISNUMBER(FIND("arbeid",Methode_Keuze)),"",IF(ISNUMBER(FIND("arbeid",Methode_Keuze)),"",IF(Tb_Activiteiten[[#This Row],[Arbeidskosten op basis van IKS]]=1,Tb_Activiteiten[[#Headers],[Arbeidskosten op basis van IKS]],"")))</f>
        <v/>
      </c>
      <c r="AS677" t="str">
        <f>IF(ISNUMBER(FIND("overige",Methode_Keuze)),"",IF(Tb_Activiteiten[[#This Row],[Kosten derden exclusief btw]]=1,Tb_Activiteiten[[#Headers],[Kosten derden exclusief btw]],""))</f>
        <v/>
      </c>
      <c r="AT677" t="str">
        <f>IF(ISNUMBER(FIND("overige",Methode_Keuze)),"",IF(Tb_Activiteiten[[#This Row],[Niet verrekenbare btw]]=1,Tb_Activiteiten[[#Headers],[Niet verrekenbare btw]],""))</f>
        <v/>
      </c>
      <c r="AU677" t="str">
        <f>IF(ISNUMBER(FIND("overige",Methode_Keuze)),"",IF(Tb_Activiteiten[[#This Row],[Grondkosten]]=1,Tb_Activiteiten[[#Headers],[Grondkosten]],""))</f>
        <v/>
      </c>
      <c r="AV677" t="str">
        <f>IF(ISNUMBER(FIND("overige",Methode_Keuze)),"",IF(Tb_Activiteiten[[#This Row],[Bijdrage in natura (overige)]]=1,Tb_Activiteiten[[#Headers],[Bijdrage in natura (overige)]],""))</f>
        <v/>
      </c>
      <c r="AW677" t="str">
        <f>IF(ISNUMBER(FIND("overige",Methode_Keuze)),"",IF(Tb_Activiteiten[[#This Row],[Bijdrage in natura (vrijwilligers)]]=1,Tb_Activiteiten[[#Headers],[Bijdrage in natura (vrijwilligers)]],""))</f>
        <v/>
      </c>
      <c r="AX677" t="str">
        <f>IF(ISNUMBER(FIND("overige",Methode_Keuze)),"",IF(Tb_Activiteiten[[#This Row],[Afschrijvingskosten]]=1,Tb_Activiteiten[[#Headers],[Afschrijvingskosten]],""))</f>
        <v/>
      </c>
      <c r="AY677" t="str">
        <f>IF(ISNUMBER(FIND("overige",Methode_Keuze)),"",IF(Tb_Activiteiten[[#This Row],[Vergoeding]]=1,Tb_Activiteiten[[#Headers],[Vergoeding]],""))</f>
        <v/>
      </c>
      <c r="AZ677" t="str">
        <f>IF(ISNUMBER(FIND("arbeid",Methode_Keuze)),"",IF(Tb_Activiteiten[[#This Row],[Arbeidskosten - vast tarief (excl eigen arbeid)]]=1,Tb_Activiteiten[[#Headers],[Arbeidskosten - vast tarief (excl eigen arbeid)]],""))</f>
        <v/>
      </c>
      <c r="BA677" t="str">
        <f>IF(ISNUMBER(FIND("overige",Methode_Keuze)),"",IF(Tb_Activiteiten[[#This Row],[Overige kosten]]=1,Tb_Activiteiten[[#Headers],[Overige kosten]],""))</f>
        <v/>
      </c>
    </row>
    <row r="678" spans="1:53" x14ac:dyDescent="0.25">
      <c r="A678" s="231"/>
      <c r="F678" s="64"/>
      <c r="G678" s="64"/>
      <c r="H678" s="275"/>
      <c r="I678" s="275"/>
      <c r="J678" s="275"/>
      <c r="K678" s="275"/>
      <c r="O678" s="56"/>
      <c r="Q678" t="str">
        <f>IFERROR(IF(VLOOKUP(Tb_Activiteiten[[#This Row],[Openstelling]],Tb_Openstelling[],2,0)=1,1,""),"")</f>
        <v/>
      </c>
      <c r="AK678" t="str">
        <f>IF(ISNUMBER(FIND("arbeid",Methode_Keuze)),"",IF(ISNUMBER(FIND("arbeid",Methode_Keuze)),"",IF(Tb_Activiteiten[[#This Row],[Loonkosten]]=1,Tb_Activiteiten[[#Headers],[Loonkosten]],"")))</f>
        <v/>
      </c>
      <c r="AL678" t="str">
        <f>IF(ISNUMBER(FIND("arbeid",Methode_Keuze)),"",IF(ISNUMBER(FIND("arbeid",Methode_Keuze)),"",IF(Tb_Activiteiten[[#This Row],[Eigen arbeid]]=1,Tb_Activiteiten[[#Headers],[Eigen arbeid]],"")))</f>
        <v/>
      </c>
      <c r="AM678" t="str">
        <f>IF(ISNUMBER(FIND("arbeid",Methode_Keuze)),"",IF(ISNUMBER(FIND("arbeid",Methode_Keuze)),"",IF(Tb_Activiteiten[[#This Row],[Projectmedewerker]]=1,Tb_Activiteiten[[#Headers],[Projectmedewerker]],"")))</f>
        <v/>
      </c>
      <c r="AN678" t="str">
        <f>IF(ISNUMBER(FIND("arbeid",Methode_Keuze)),"",IF(ISNUMBER(FIND("arbeid",Methode_Keuze)),"",IF(Tb_Activiteiten[[#This Row],[Landbouwer]]=1,Tb_Activiteiten[[#Headers],[Landbouwer]],"")))</f>
        <v/>
      </c>
      <c r="AO678" t="str">
        <f>IF(ISNUMBER(FIND("arbeid",Methode_Keuze)),"",IF(ISNUMBER(FIND("arbeid",Methode_Keuze)),"",IF(Tb_Activiteiten[[#This Row],[Adviseur]]=1,Tb_Activiteiten[[#Headers],[Adviseur]],"")))</f>
        <v/>
      </c>
      <c r="AP678" t="str">
        <f>IF(ISNUMBER(FIND("arbeid",Methode_Keuze)),"",IF(ISNUMBER(FIND("arbeid",Methode_Keuze)),"",IF(Tb_Activiteiten[[#This Row],[Projectleider/Expert]]=1,Tb_Activiteiten[[#Headers],[Projectleider/Expert]],"")))</f>
        <v/>
      </c>
      <c r="AQ678" t="str">
        <f>IF(ISNUMBER(FIND("arbeid",Methode_Keuze)),"",IF(ISNUMBER(FIND("arbeid",Methode_Keuze)),"",IF(Tb_Activiteiten[[#This Row],[Arbeidskosten]]=1,Tb_Activiteiten[[#Headers],[Arbeidskosten]],"")))</f>
        <v/>
      </c>
      <c r="AR678" t="str">
        <f>IF(ISNUMBER(FIND("arbeid",Methode_Keuze)),"",IF(ISNUMBER(FIND("arbeid",Methode_Keuze)),"",IF(Tb_Activiteiten[[#This Row],[Arbeidskosten op basis van IKS]]=1,Tb_Activiteiten[[#Headers],[Arbeidskosten op basis van IKS]],"")))</f>
        <v/>
      </c>
      <c r="AS678" t="str">
        <f>IF(ISNUMBER(FIND("overige",Methode_Keuze)),"",IF(Tb_Activiteiten[[#This Row],[Kosten derden exclusief btw]]=1,Tb_Activiteiten[[#Headers],[Kosten derden exclusief btw]],""))</f>
        <v/>
      </c>
      <c r="AT678" t="str">
        <f>IF(ISNUMBER(FIND("overige",Methode_Keuze)),"",IF(Tb_Activiteiten[[#This Row],[Niet verrekenbare btw]]=1,Tb_Activiteiten[[#Headers],[Niet verrekenbare btw]],""))</f>
        <v/>
      </c>
      <c r="AU678" t="str">
        <f>IF(ISNUMBER(FIND("overige",Methode_Keuze)),"",IF(Tb_Activiteiten[[#This Row],[Grondkosten]]=1,Tb_Activiteiten[[#Headers],[Grondkosten]],""))</f>
        <v/>
      </c>
      <c r="AV678" t="str">
        <f>IF(ISNUMBER(FIND("overige",Methode_Keuze)),"",IF(Tb_Activiteiten[[#This Row],[Bijdrage in natura (overige)]]=1,Tb_Activiteiten[[#Headers],[Bijdrage in natura (overige)]],""))</f>
        <v/>
      </c>
      <c r="AW678" t="str">
        <f>IF(ISNUMBER(FIND("overige",Methode_Keuze)),"",IF(Tb_Activiteiten[[#This Row],[Bijdrage in natura (vrijwilligers)]]=1,Tb_Activiteiten[[#Headers],[Bijdrage in natura (vrijwilligers)]],""))</f>
        <v/>
      </c>
      <c r="AX678" t="str">
        <f>IF(ISNUMBER(FIND("overige",Methode_Keuze)),"",IF(Tb_Activiteiten[[#This Row],[Afschrijvingskosten]]=1,Tb_Activiteiten[[#Headers],[Afschrijvingskosten]],""))</f>
        <v/>
      </c>
      <c r="AY678" t="str">
        <f>IF(ISNUMBER(FIND("overige",Methode_Keuze)),"",IF(Tb_Activiteiten[[#This Row],[Vergoeding]]=1,Tb_Activiteiten[[#Headers],[Vergoeding]],""))</f>
        <v/>
      </c>
      <c r="AZ678" t="str">
        <f>IF(ISNUMBER(FIND("arbeid",Methode_Keuze)),"",IF(Tb_Activiteiten[[#This Row],[Arbeidskosten - vast tarief (excl eigen arbeid)]]=1,Tb_Activiteiten[[#Headers],[Arbeidskosten - vast tarief (excl eigen arbeid)]],""))</f>
        <v/>
      </c>
      <c r="BA678" t="str">
        <f>IF(ISNUMBER(FIND("overige",Methode_Keuze)),"",IF(Tb_Activiteiten[[#This Row],[Overige kosten]]=1,Tb_Activiteiten[[#Headers],[Overige kosten]],""))</f>
        <v/>
      </c>
    </row>
    <row r="679" spans="1:53" x14ac:dyDescent="0.25">
      <c r="A679" s="231"/>
      <c r="F679" s="64"/>
      <c r="G679" s="64"/>
      <c r="H679" s="275"/>
      <c r="I679" s="275"/>
      <c r="J679" s="275"/>
      <c r="K679" s="275"/>
      <c r="O679" s="56"/>
      <c r="Q679" t="str">
        <f>IFERROR(IF(VLOOKUP(Tb_Activiteiten[[#This Row],[Openstelling]],Tb_Openstelling[],2,0)=1,1,""),"")</f>
        <v/>
      </c>
      <c r="AK679" t="str">
        <f>IF(ISNUMBER(FIND("arbeid",Methode_Keuze)),"",IF(ISNUMBER(FIND("arbeid",Methode_Keuze)),"",IF(Tb_Activiteiten[[#This Row],[Loonkosten]]=1,Tb_Activiteiten[[#Headers],[Loonkosten]],"")))</f>
        <v/>
      </c>
      <c r="AL679" t="str">
        <f>IF(ISNUMBER(FIND("arbeid",Methode_Keuze)),"",IF(ISNUMBER(FIND("arbeid",Methode_Keuze)),"",IF(Tb_Activiteiten[[#This Row],[Eigen arbeid]]=1,Tb_Activiteiten[[#Headers],[Eigen arbeid]],"")))</f>
        <v/>
      </c>
      <c r="AM679" t="str">
        <f>IF(ISNUMBER(FIND("arbeid",Methode_Keuze)),"",IF(ISNUMBER(FIND("arbeid",Methode_Keuze)),"",IF(Tb_Activiteiten[[#This Row],[Projectmedewerker]]=1,Tb_Activiteiten[[#Headers],[Projectmedewerker]],"")))</f>
        <v/>
      </c>
      <c r="AN679" t="str">
        <f>IF(ISNUMBER(FIND("arbeid",Methode_Keuze)),"",IF(ISNUMBER(FIND("arbeid",Methode_Keuze)),"",IF(Tb_Activiteiten[[#This Row],[Landbouwer]]=1,Tb_Activiteiten[[#Headers],[Landbouwer]],"")))</f>
        <v/>
      </c>
      <c r="AO679" t="str">
        <f>IF(ISNUMBER(FIND("arbeid",Methode_Keuze)),"",IF(ISNUMBER(FIND("arbeid",Methode_Keuze)),"",IF(Tb_Activiteiten[[#This Row],[Adviseur]]=1,Tb_Activiteiten[[#Headers],[Adviseur]],"")))</f>
        <v/>
      </c>
      <c r="AP679" t="str">
        <f>IF(ISNUMBER(FIND("arbeid",Methode_Keuze)),"",IF(ISNUMBER(FIND("arbeid",Methode_Keuze)),"",IF(Tb_Activiteiten[[#This Row],[Projectleider/Expert]]=1,Tb_Activiteiten[[#Headers],[Projectleider/Expert]],"")))</f>
        <v/>
      </c>
      <c r="AQ679" t="str">
        <f>IF(ISNUMBER(FIND("arbeid",Methode_Keuze)),"",IF(ISNUMBER(FIND("arbeid",Methode_Keuze)),"",IF(Tb_Activiteiten[[#This Row],[Arbeidskosten]]=1,Tb_Activiteiten[[#Headers],[Arbeidskosten]],"")))</f>
        <v/>
      </c>
      <c r="AR679" t="str">
        <f>IF(ISNUMBER(FIND("arbeid",Methode_Keuze)),"",IF(ISNUMBER(FIND("arbeid",Methode_Keuze)),"",IF(Tb_Activiteiten[[#This Row],[Arbeidskosten op basis van IKS]]=1,Tb_Activiteiten[[#Headers],[Arbeidskosten op basis van IKS]],"")))</f>
        <v/>
      </c>
      <c r="AS679" t="str">
        <f>IF(ISNUMBER(FIND("overige",Methode_Keuze)),"",IF(Tb_Activiteiten[[#This Row],[Kosten derden exclusief btw]]=1,Tb_Activiteiten[[#Headers],[Kosten derden exclusief btw]],""))</f>
        <v/>
      </c>
      <c r="AT679" t="str">
        <f>IF(ISNUMBER(FIND("overige",Methode_Keuze)),"",IF(Tb_Activiteiten[[#This Row],[Niet verrekenbare btw]]=1,Tb_Activiteiten[[#Headers],[Niet verrekenbare btw]],""))</f>
        <v/>
      </c>
      <c r="AU679" t="str">
        <f>IF(ISNUMBER(FIND("overige",Methode_Keuze)),"",IF(Tb_Activiteiten[[#This Row],[Grondkosten]]=1,Tb_Activiteiten[[#Headers],[Grondkosten]],""))</f>
        <v/>
      </c>
      <c r="AV679" t="str">
        <f>IF(ISNUMBER(FIND("overige",Methode_Keuze)),"",IF(Tb_Activiteiten[[#This Row],[Bijdrage in natura (overige)]]=1,Tb_Activiteiten[[#Headers],[Bijdrage in natura (overige)]],""))</f>
        <v/>
      </c>
      <c r="AW679" t="str">
        <f>IF(ISNUMBER(FIND("overige",Methode_Keuze)),"",IF(Tb_Activiteiten[[#This Row],[Bijdrage in natura (vrijwilligers)]]=1,Tb_Activiteiten[[#Headers],[Bijdrage in natura (vrijwilligers)]],""))</f>
        <v/>
      </c>
      <c r="AX679" t="str">
        <f>IF(ISNUMBER(FIND("overige",Methode_Keuze)),"",IF(Tb_Activiteiten[[#This Row],[Afschrijvingskosten]]=1,Tb_Activiteiten[[#Headers],[Afschrijvingskosten]],""))</f>
        <v/>
      </c>
      <c r="AY679" t="str">
        <f>IF(ISNUMBER(FIND("overige",Methode_Keuze)),"",IF(Tb_Activiteiten[[#This Row],[Vergoeding]]=1,Tb_Activiteiten[[#Headers],[Vergoeding]],""))</f>
        <v/>
      </c>
      <c r="AZ679" t="str">
        <f>IF(ISNUMBER(FIND("arbeid",Methode_Keuze)),"",IF(Tb_Activiteiten[[#This Row],[Arbeidskosten - vast tarief (excl eigen arbeid)]]=1,Tb_Activiteiten[[#Headers],[Arbeidskosten - vast tarief (excl eigen arbeid)]],""))</f>
        <v/>
      </c>
      <c r="BA679" t="str">
        <f>IF(ISNUMBER(FIND("overige",Methode_Keuze)),"",IF(Tb_Activiteiten[[#This Row],[Overige kosten]]=1,Tb_Activiteiten[[#Headers],[Overige kosten]],""))</f>
        <v/>
      </c>
    </row>
    <row r="680" spans="1:53" x14ac:dyDescent="0.25">
      <c r="A680" s="231"/>
      <c r="F680" s="64"/>
      <c r="G680" s="64"/>
      <c r="H680" s="275"/>
      <c r="I680" s="275"/>
      <c r="J680" s="275"/>
      <c r="K680" s="275"/>
      <c r="O680" s="56"/>
      <c r="Q680" t="str">
        <f>IFERROR(IF(VLOOKUP(Tb_Activiteiten[[#This Row],[Openstelling]],Tb_Openstelling[],2,0)=1,1,""),"")</f>
        <v/>
      </c>
      <c r="AK680" t="str">
        <f>IF(ISNUMBER(FIND("arbeid",Methode_Keuze)),"",IF(ISNUMBER(FIND("arbeid",Methode_Keuze)),"",IF(Tb_Activiteiten[[#This Row],[Loonkosten]]=1,Tb_Activiteiten[[#Headers],[Loonkosten]],"")))</f>
        <v/>
      </c>
      <c r="AL680" t="str">
        <f>IF(ISNUMBER(FIND("arbeid",Methode_Keuze)),"",IF(ISNUMBER(FIND("arbeid",Methode_Keuze)),"",IF(Tb_Activiteiten[[#This Row],[Eigen arbeid]]=1,Tb_Activiteiten[[#Headers],[Eigen arbeid]],"")))</f>
        <v/>
      </c>
      <c r="AM680" t="str">
        <f>IF(ISNUMBER(FIND("arbeid",Methode_Keuze)),"",IF(ISNUMBER(FIND("arbeid",Methode_Keuze)),"",IF(Tb_Activiteiten[[#This Row],[Projectmedewerker]]=1,Tb_Activiteiten[[#Headers],[Projectmedewerker]],"")))</f>
        <v/>
      </c>
      <c r="AN680" t="str">
        <f>IF(ISNUMBER(FIND("arbeid",Methode_Keuze)),"",IF(ISNUMBER(FIND("arbeid",Methode_Keuze)),"",IF(Tb_Activiteiten[[#This Row],[Landbouwer]]=1,Tb_Activiteiten[[#Headers],[Landbouwer]],"")))</f>
        <v/>
      </c>
      <c r="AO680" t="str">
        <f>IF(ISNUMBER(FIND("arbeid",Methode_Keuze)),"",IF(ISNUMBER(FIND("arbeid",Methode_Keuze)),"",IF(Tb_Activiteiten[[#This Row],[Adviseur]]=1,Tb_Activiteiten[[#Headers],[Adviseur]],"")))</f>
        <v/>
      </c>
      <c r="AP680" t="str">
        <f>IF(ISNUMBER(FIND("arbeid",Methode_Keuze)),"",IF(ISNUMBER(FIND("arbeid",Methode_Keuze)),"",IF(Tb_Activiteiten[[#This Row],[Projectleider/Expert]]=1,Tb_Activiteiten[[#Headers],[Projectleider/Expert]],"")))</f>
        <v/>
      </c>
      <c r="AQ680" t="str">
        <f>IF(ISNUMBER(FIND("arbeid",Methode_Keuze)),"",IF(ISNUMBER(FIND("arbeid",Methode_Keuze)),"",IF(Tb_Activiteiten[[#This Row],[Arbeidskosten]]=1,Tb_Activiteiten[[#Headers],[Arbeidskosten]],"")))</f>
        <v/>
      </c>
      <c r="AR680" t="str">
        <f>IF(ISNUMBER(FIND("arbeid",Methode_Keuze)),"",IF(ISNUMBER(FIND("arbeid",Methode_Keuze)),"",IF(Tb_Activiteiten[[#This Row],[Arbeidskosten op basis van IKS]]=1,Tb_Activiteiten[[#Headers],[Arbeidskosten op basis van IKS]],"")))</f>
        <v/>
      </c>
      <c r="AS680" t="str">
        <f>IF(ISNUMBER(FIND("overige",Methode_Keuze)),"",IF(Tb_Activiteiten[[#This Row],[Kosten derden exclusief btw]]=1,Tb_Activiteiten[[#Headers],[Kosten derden exclusief btw]],""))</f>
        <v/>
      </c>
      <c r="AT680" t="str">
        <f>IF(ISNUMBER(FIND("overige",Methode_Keuze)),"",IF(Tb_Activiteiten[[#This Row],[Niet verrekenbare btw]]=1,Tb_Activiteiten[[#Headers],[Niet verrekenbare btw]],""))</f>
        <v/>
      </c>
      <c r="AU680" t="str">
        <f>IF(ISNUMBER(FIND("overige",Methode_Keuze)),"",IF(Tb_Activiteiten[[#This Row],[Grondkosten]]=1,Tb_Activiteiten[[#Headers],[Grondkosten]],""))</f>
        <v/>
      </c>
      <c r="AV680" t="str">
        <f>IF(ISNUMBER(FIND("overige",Methode_Keuze)),"",IF(Tb_Activiteiten[[#This Row],[Bijdrage in natura (overige)]]=1,Tb_Activiteiten[[#Headers],[Bijdrage in natura (overige)]],""))</f>
        <v/>
      </c>
      <c r="AW680" t="str">
        <f>IF(ISNUMBER(FIND("overige",Methode_Keuze)),"",IF(Tb_Activiteiten[[#This Row],[Bijdrage in natura (vrijwilligers)]]=1,Tb_Activiteiten[[#Headers],[Bijdrage in natura (vrijwilligers)]],""))</f>
        <v/>
      </c>
      <c r="AX680" t="str">
        <f>IF(ISNUMBER(FIND("overige",Methode_Keuze)),"",IF(Tb_Activiteiten[[#This Row],[Afschrijvingskosten]]=1,Tb_Activiteiten[[#Headers],[Afschrijvingskosten]],""))</f>
        <v/>
      </c>
      <c r="AY680" t="str">
        <f>IF(ISNUMBER(FIND("overige",Methode_Keuze)),"",IF(Tb_Activiteiten[[#This Row],[Vergoeding]]=1,Tb_Activiteiten[[#Headers],[Vergoeding]],""))</f>
        <v/>
      </c>
      <c r="AZ680" t="str">
        <f>IF(ISNUMBER(FIND("arbeid",Methode_Keuze)),"",IF(Tb_Activiteiten[[#This Row],[Arbeidskosten - vast tarief (excl eigen arbeid)]]=1,Tb_Activiteiten[[#Headers],[Arbeidskosten - vast tarief (excl eigen arbeid)]],""))</f>
        <v/>
      </c>
      <c r="BA680" t="str">
        <f>IF(ISNUMBER(FIND("overige",Methode_Keuze)),"",IF(Tb_Activiteiten[[#This Row],[Overige kosten]]=1,Tb_Activiteiten[[#Headers],[Overige kosten]],""))</f>
        <v/>
      </c>
    </row>
    <row r="681" spans="1:53" x14ac:dyDescent="0.25">
      <c r="A681" s="231"/>
      <c r="F681" s="64"/>
      <c r="G681" s="64"/>
      <c r="H681" s="275"/>
      <c r="I681" s="275"/>
      <c r="J681" s="275"/>
      <c r="K681" s="275"/>
      <c r="O681" s="56"/>
      <c r="Q681" t="str">
        <f>IFERROR(IF(VLOOKUP(Tb_Activiteiten[[#This Row],[Openstelling]],Tb_Openstelling[],2,0)=1,1,""),"")</f>
        <v/>
      </c>
      <c r="AK681" t="str">
        <f>IF(ISNUMBER(FIND("arbeid",Methode_Keuze)),"",IF(ISNUMBER(FIND("arbeid",Methode_Keuze)),"",IF(Tb_Activiteiten[[#This Row],[Loonkosten]]=1,Tb_Activiteiten[[#Headers],[Loonkosten]],"")))</f>
        <v/>
      </c>
      <c r="AL681" t="str">
        <f>IF(ISNUMBER(FIND("arbeid",Methode_Keuze)),"",IF(ISNUMBER(FIND("arbeid",Methode_Keuze)),"",IF(Tb_Activiteiten[[#This Row],[Eigen arbeid]]=1,Tb_Activiteiten[[#Headers],[Eigen arbeid]],"")))</f>
        <v/>
      </c>
      <c r="AM681" t="str">
        <f>IF(ISNUMBER(FIND("arbeid",Methode_Keuze)),"",IF(ISNUMBER(FIND("arbeid",Methode_Keuze)),"",IF(Tb_Activiteiten[[#This Row],[Projectmedewerker]]=1,Tb_Activiteiten[[#Headers],[Projectmedewerker]],"")))</f>
        <v/>
      </c>
      <c r="AN681" t="str">
        <f>IF(ISNUMBER(FIND("arbeid",Methode_Keuze)),"",IF(ISNUMBER(FIND("arbeid",Methode_Keuze)),"",IF(Tb_Activiteiten[[#This Row],[Landbouwer]]=1,Tb_Activiteiten[[#Headers],[Landbouwer]],"")))</f>
        <v/>
      </c>
      <c r="AO681" t="str">
        <f>IF(ISNUMBER(FIND("arbeid",Methode_Keuze)),"",IF(ISNUMBER(FIND("arbeid",Methode_Keuze)),"",IF(Tb_Activiteiten[[#This Row],[Adviseur]]=1,Tb_Activiteiten[[#Headers],[Adviseur]],"")))</f>
        <v/>
      </c>
      <c r="AP681" t="str">
        <f>IF(ISNUMBER(FIND("arbeid",Methode_Keuze)),"",IF(ISNUMBER(FIND("arbeid",Methode_Keuze)),"",IF(Tb_Activiteiten[[#This Row],[Projectleider/Expert]]=1,Tb_Activiteiten[[#Headers],[Projectleider/Expert]],"")))</f>
        <v/>
      </c>
      <c r="AQ681" t="str">
        <f>IF(ISNUMBER(FIND("arbeid",Methode_Keuze)),"",IF(ISNUMBER(FIND("arbeid",Methode_Keuze)),"",IF(Tb_Activiteiten[[#This Row],[Arbeidskosten]]=1,Tb_Activiteiten[[#Headers],[Arbeidskosten]],"")))</f>
        <v/>
      </c>
      <c r="AR681" t="str">
        <f>IF(ISNUMBER(FIND("arbeid",Methode_Keuze)),"",IF(ISNUMBER(FIND("arbeid",Methode_Keuze)),"",IF(Tb_Activiteiten[[#This Row],[Arbeidskosten op basis van IKS]]=1,Tb_Activiteiten[[#Headers],[Arbeidskosten op basis van IKS]],"")))</f>
        <v/>
      </c>
      <c r="AS681" t="str">
        <f>IF(ISNUMBER(FIND("overige",Methode_Keuze)),"",IF(Tb_Activiteiten[[#This Row],[Kosten derden exclusief btw]]=1,Tb_Activiteiten[[#Headers],[Kosten derden exclusief btw]],""))</f>
        <v/>
      </c>
      <c r="AT681" t="str">
        <f>IF(ISNUMBER(FIND("overige",Methode_Keuze)),"",IF(Tb_Activiteiten[[#This Row],[Niet verrekenbare btw]]=1,Tb_Activiteiten[[#Headers],[Niet verrekenbare btw]],""))</f>
        <v/>
      </c>
      <c r="AU681" t="str">
        <f>IF(ISNUMBER(FIND("overige",Methode_Keuze)),"",IF(Tb_Activiteiten[[#This Row],[Grondkosten]]=1,Tb_Activiteiten[[#Headers],[Grondkosten]],""))</f>
        <v/>
      </c>
      <c r="AV681" t="str">
        <f>IF(ISNUMBER(FIND("overige",Methode_Keuze)),"",IF(Tb_Activiteiten[[#This Row],[Bijdrage in natura (overige)]]=1,Tb_Activiteiten[[#Headers],[Bijdrage in natura (overige)]],""))</f>
        <v/>
      </c>
      <c r="AW681" t="str">
        <f>IF(ISNUMBER(FIND("overige",Methode_Keuze)),"",IF(Tb_Activiteiten[[#This Row],[Bijdrage in natura (vrijwilligers)]]=1,Tb_Activiteiten[[#Headers],[Bijdrage in natura (vrijwilligers)]],""))</f>
        <v/>
      </c>
      <c r="AX681" t="str">
        <f>IF(ISNUMBER(FIND("overige",Methode_Keuze)),"",IF(Tb_Activiteiten[[#This Row],[Afschrijvingskosten]]=1,Tb_Activiteiten[[#Headers],[Afschrijvingskosten]],""))</f>
        <v/>
      </c>
      <c r="AY681" t="str">
        <f>IF(ISNUMBER(FIND("overige",Methode_Keuze)),"",IF(Tb_Activiteiten[[#This Row],[Vergoeding]]=1,Tb_Activiteiten[[#Headers],[Vergoeding]],""))</f>
        <v/>
      </c>
      <c r="AZ681" t="str">
        <f>IF(ISNUMBER(FIND("arbeid",Methode_Keuze)),"",IF(Tb_Activiteiten[[#This Row],[Arbeidskosten - vast tarief (excl eigen arbeid)]]=1,Tb_Activiteiten[[#Headers],[Arbeidskosten - vast tarief (excl eigen arbeid)]],""))</f>
        <v/>
      </c>
      <c r="BA681" t="str">
        <f>IF(ISNUMBER(FIND("overige",Methode_Keuze)),"",IF(Tb_Activiteiten[[#This Row],[Overige kosten]]=1,Tb_Activiteiten[[#Headers],[Overige kosten]],""))</f>
        <v/>
      </c>
    </row>
    <row r="682" spans="1:53" x14ac:dyDescent="0.25">
      <c r="A682" s="231"/>
      <c r="F682" s="64"/>
      <c r="G682" s="64"/>
      <c r="H682" s="275"/>
      <c r="I682" s="275"/>
      <c r="J682" s="275"/>
      <c r="K682" s="275"/>
      <c r="O682" s="56"/>
      <c r="Q682" t="str">
        <f>IFERROR(IF(VLOOKUP(Tb_Activiteiten[[#This Row],[Openstelling]],Tb_Openstelling[],2,0)=1,1,""),"")</f>
        <v/>
      </c>
      <c r="AK682" t="str">
        <f>IF(ISNUMBER(FIND("arbeid",Methode_Keuze)),"",IF(ISNUMBER(FIND("arbeid",Methode_Keuze)),"",IF(Tb_Activiteiten[[#This Row],[Loonkosten]]=1,Tb_Activiteiten[[#Headers],[Loonkosten]],"")))</f>
        <v/>
      </c>
      <c r="AL682" t="str">
        <f>IF(ISNUMBER(FIND("arbeid",Methode_Keuze)),"",IF(ISNUMBER(FIND("arbeid",Methode_Keuze)),"",IF(Tb_Activiteiten[[#This Row],[Eigen arbeid]]=1,Tb_Activiteiten[[#Headers],[Eigen arbeid]],"")))</f>
        <v/>
      </c>
      <c r="AM682" t="str">
        <f>IF(ISNUMBER(FIND("arbeid",Methode_Keuze)),"",IF(ISNUMBER(FIND("arbeid",Methode_Keuze)),"",IF(Tb_Activiteiten[[#This Row],[Projectmedewerker]]=1,Tb_Activiteiten[[#Headers],[Projectmedewerker]],"")))</f>
        <v/>
      </c>
      <c r="AN682" t="str">
        <f>IF(ISNUMBER(FIND("arbeid",Methode_Keuze)),"",IF(ISNUMBER(FIND("arbeid",Methode_Keuze)),"",IF(Tb_Activiteiten[[#This Row],[Landbouwer]]=1,Tb_Activiteiten[[#Headers],[Landbouwer]],"")))</f>
        <v/>
      </c>
      <c r="AO682" t="str">
        <f>IF(ISNUMBER(FIND("arbeid",Methode_Keuze)),"",IF(ISNUMBER(FIND("arbeid",Methode_Keuze)),"",IF(Tb_Activiteiten[[#This Row],[Adviseur]]=1,Tb_Activiteiten[[#Headers],[Adviseur]],"")))</f>
        <v/>
      </c>
      <c r="AP682" t="str">
        <f>IF(ISNUMBER(FIND("arbeid",Methode_Keuze)),"",IF(ISNUMBER(FIND("arbeid",Methode_Keuze)),"",IF(Tb_Activiteiten[[#This Row],[Projectleider/Expert]]=1,Tb_Activiteiten[[#Headers],[Projectleider/Expert]],"")))</f>
        <v/>
      </c>
      <c r="AQ682" t="str">
        <f>IF(ISNUMBER(FIND("arbeid",Methode_Keuze)),"",IF(ISNUMBER(FIND("arbeid",Methode_Keuze)),"",IF(Tb_Activiteiten[[#This Row],[Arbeidskosten]]=1,Tb_Activiteiten[[#Headers],[Arbeidskosten]],"")))</f>
        <v/>
      </c>
      <c r="AR682" t="str">
        <f>IF(ISNUMBER(FIND("arbeid",Methode_Keuze)),"",IF(ISNUMBER(FIND("arbeid",Methode_Keuze)),"",IF(Tb_Activiteiten[[#This Row],[Arbeidskosten op basis van IKS]]=1,Tb_Activiteiten[[#Headers],[Arbeidskosten op basis van IKS]],"")))</f>
        <v/>
      </c>
      <c r="AS682" t="str">
        <f>IF(ISNUMBER(FIND("overige",Methode_Keuze)),"",IF(Tb_Activiteiten[[#This Row],[Kosten derden exclusief btw]]=1,Tb_Activiteiten[[#Headers],[Kosten derden exclusief btw]],""))</f>
        <v/>
      </c>
      <c r="AT682" t="str">
        <f>IF(ISNUMBER(FIND("overige",Methode_Keuze)),"",IF(Tb_Activiteiten[[#This Row],[Niet verrekenbare btw]]=1,Tb_Activiteiten[[#Headers],[Niet verrekenbare btw]],""))</f>
        <v/>
      </c>
      <c r="AU682" t="str">
        <f>IF(ISNUMBER(FIND("overige",Methode_Keuze)),"",IF(Tb_Activiteiten[[#This Row],[Grondkosten]]=1,Tb_Activiteiten[[#Headers],[Grondkosten]],""))</f>
        <v/>
      </c>
      <c r="AV682" t="str">
        <f>IF(ISNUMBER(FIND("overige",Methode_Keuze)),"",IF(Tb_Activiteiten[[#This Row],[Bijdrage in natura (overige)]]=1,Tb_Activiteiten[[#Headers],[Bijdrage in natura (overige)]],""))</f>
        <v/>
      </c>
      <c r="AW682" t="str">
        <f>IF(ISNUMBER(FIND("overige",Methode_Keuze)),"",IF(Tb_Activiteiten[[#This Row],[Bijdrage in natura (vrijwilligers)]]=1,Tb_Activiteiten[[#Headers],[Bijdrage in natura (vrijwilligers)]],""))</f>
        <v/>
      </c>
      <c r="AX682" t="str">
        <f>IF(ISNUMBER(FIND("overige",Methode_Keuze)),"",IF(Tb_Activiteiten[[#This Row],[Afschrijvingskosten]]=1,Tb_Activiteiten[[#Headers],[Afschrijvingskosten]],""))</f>
        <v/>
      </c>
      <c r="AY682" t="str">
        <f>IF(ISNUMBER(FIND("overige",Methode_Keuze)),"",IF(Tb_Activiteiten[[#This Row],[Vergoeding]]=1,Tb_Activiteiten[[#Headers],[Vergoeding]],""))</f>
        <v/>
      </c>
      <c r="AZ682" t="str">
        <f>IF(ISNUMBER(FIND("arbeid",Methode_Keuze)),"",IF(Tb_Activiteiten[[#This Row],[Arbeidskosten - vast tarief (excl eigen arbeid)]]=1,Tb_Activiteiten[[#Headers],[Arbeidskosten - vast tarief (excl eigen arbeid)]],""))</f>
        <v/>
      </c>
      <c r="BA682" t="str">
        <f>IF(ISNUMBER(FIND("overige",Methode_Keuze)),"",IF(Tb_Activiteiten[[#This Row],[Overige kosten]]=1,Tb_Activiteiten[[#Headers],[Overige kosten]],""))</f>
        <v/>
      </c>
    </row>
    <row r="683" spans="1:53" x14ac:dyDescent="0.25">
      <c r="A683" s="231"/>
      <c r="F683" s="64"/>
      <c r="G683" s="64"/>
      <c r="H683" s="275"/>
      <c r="I683" s="275"/>
      <c r="J683" s="275"/>
      <c r="K683" s="275"/>
      <c r="O683" s="56"/>
      <c r="Q683" t="str">
        <f>IFERROR(IF(VLOOKUP(Tb_Activiteiten[[#This Row],[Openstelling]],Tb_Openstelling[],2,0)=1,1,""),"")</f>
        <v/>
      </c>
      <c r="AK683" t="str">
        <f>IF(ISNUMBER(FIND("arbeid",Methode_Keuze)),"",IF(ISNUMBER(FIND("arbeid",Methode_Keuze)),"",IF(Tb_Activiteiten[[#This Row],[Loonkosten]]=1,Tb_Activiteiten[[#Headers],[Loonkosten]],"")))</f>
        <v/>
      </c>
      <c r="AL683" t="str">
        <f>IF(ISNUMBER(FIND("arbeid",Methode_Keuze)),"",IF(ISNUMBER(FIND("arbeid",Methode_Keuze)),"",IF(Tb_Activiteiten[[#This Row],[Eigen arbeid]]=1,Tb_Activiteiten[[#Headers],[Eigen arbeid]],"")))</f>
        <v/>
      </c>
      <c r="AM683" t="str">
        <f>IF(ISNUMBER(FIND("arbeid",Methode_Keuze)),"",IF(ISNUMBER(FIND("arbeid",Methode_Keuze)),"",IF(Tb_Activiteiten[[#This Row],[Projectmedewerker]]=1,Tb_Activiteiten[[#Headers],[Projectmedewerker]],"")))</f>
        <v/>
      </c>
      <c r="AN683" t="str">
        <f>IF(ISNUMBER(FIND("arbeid",Methode_Keuze)),"",IF(ISNUMBER(FIND("arbeid",Methode_Keuze)),"",IF(Tb_Activiteiten[[#This Row],[Landbouwer]]=1,Tb_Activiteiten[[#Headers],[Landbouwer]],"")))</f>
        <v/>
      </c>
      <c r="AO683" t="str">
        <f>IF(ISNUMBER(FIND("arbeid",Methode_Keuze)),"",IF(ISNUMBER(FIND("arbeid",Methode_Keuze)),"",IF(Tb_Activiteiten[[#This Row],[Adviseur]]=1,Tb_Activiteiten[[#Headers],[Adviseur]],"")))</f>
        <v/>
      </c>
      <c r="AP683" t="str">
        <f>IF(ISNUMBER(FIND("arbeid",Methode_Keuze)),"",IF(ISNUMBER(FIND("arbeid",Methode_Keuze)),"",IF(Tb_Activiteiten[[#This Row],[Projectleider/Expert]]=1,Tb_Activiteiten[[#Headers],[Projectleider/Expert]],"")))</f>
        <v/>
      </c>
      <c r="AQ683" t="str">
        <f>IF(ISNUMBER(FIND("arbeid",Methode_Keuze)),"",IF(ISNUMBER(FIND("arbeid",Methode_Keuze)),"",IF(Tb_Activiteiten[[#This Row],[Arbeidskosten]]=1,Tb_Activiteiten[[#Headers],[Arbeidskosten]],"")))</f>
        <v/>
      </c>
      <c r="AR683" t="str">
        <f>IF(ISNUMBER(FIND("arbeid",Methode_Keuze)),"",IF(ISNUMBER(FIND("arbeid",Methode_Keuze)),"",IF(Tb_Activiteiten[[#This Row],[Arbeidskosten op basis van IKS]]=1,Tb_Activiteiten[[#Headers],[Arbeidskosten op basis van IKS]],"")))</f>
        <v/>
      </c>
      <c r="AS683" t="str">
        <f>IF(ISNUMBER(FIND("overige",Methode_Keuze)),"",IF(Tb_Activiteiten[[#This Row],[Kosten derden exclusief btw]]=1,Tb_Activiteiten[[#Headers],[Kosten derden exclusief btw]],""))</f>
        <v/>
      </c>
      <c r="AT683" t="str">
        <f>IF(ISNUMBER(FIND("overige",Methode_Keuze)),"",IF(Tb_Activiteiten[[#This Row],[Niet verrekenbare btw]]=1,Tb_Activiteiten[[#Headers],[Niet verrekenbare btw]],""))</f>
        <v/>
      </c>
      <c r="AU683" t="str">
        <f>IF(ISNUMBER(FIND("overige",Methode_Keuze)),"",IF(Tb_Activiteiten[[#This Row],[Grondkosten]]=1,Tb_Activiteiten[[#Headers],[Grondkosten]],""))</f>
        <v/>
      </c>
      <c r="AV683" t="str">
        <f>IF(ISNUMBER(FIND("overige",Methode_Keuze)),"",IF(Tb_Activiteiten[[#This Row],[Bijdrage in natura (overige)]]=1,Tb_Activiteiten[[#Headers],[Bijdrage in natura (overige)]],""))</f>
        <v/>
      </c>
      <c r="AW683" t="str">
        <f>IF(ISNUMBER(FIND("overige",Methode_Keuze)),"",IF(Tb_Activiteiten[[#This Row],[Bijdrage in natura (vrijwilligers)]]=1,Tb_Activiteiten[[#Headers],[Bijdrage in natura (vrijwilligers)]],""))</f>
        <v/>
      </c>
      <c r="AX683" t="str">
        <f>IF(ISNUMBER(FIND("overige",Methode_Keuze)),"",IF(Tb_Activiteiten[[#This Row],[Afschrijvingskosten]]=1,Tb_Activiteiten[[#Headers],[Afschrijvingskosten]],""))</f>
        <v/>
      </c>
      <c r="AY683" t="str">
        <f>IF(ISNUMBER(FIND("overige",Methode_Keuze)),"",IF(Tb_Activiteiten[[#This Row],[Vergoeding]]=1,Tb_Activiteiten[[#Headers],[Vergoeding]],""))</f>
        <v/>
      </c>
      <c r="AZ683" t="str">
        <f>IF(ISNUMBER(FIND("arbeid",Methode_Keuze)),"",IF(Tb_Activiteiten[[#This Row],[Arbeidskosten - vast tarief (excl eigen arbeid)]]=1,Tb_Activiteiten[[#Headers],[Arbeidskosten - vast tarief (excl eigen arbeid)]],""))</f>
        <v/>
      </c>
      <c r="BA683" t="str">
        <f>IF(ISNUMBER(FIND("overige",Methode_Keuze)),"",IF(Tb_Activiteiten[[#This Row],[Overige kosten]]=1,Tb_Activiteiten[[#Headers],[Overige kosten]],""))</f>
        <v/>
      </c>
    </row>
    <row r="684" spans="1:53" x14ac:dyDescent="0.25">
      <c r="A684" s="231"/>
      <c r="F684" s="64"/>
      <c r="G684" s="64"/>
      <c r="H684" s="275"/>
      <c r="I684" s="275"/>
      <c r="J684" s="275"/>
      <c r="K684" s="275"/>
      <c r="O684" s="56"/>
      <c r="Q684" t="str">
        <f>IFERROR(IF(VLOOKUP(Tb_Activiteiten[[#This Row],[Openstelling]],Tb_Openstelling[],2,0)=1,1,""),"")</f>
        <v/>
      </c>
      <c r="AK684" t="str">
        <f>IF(ISNUMBER(FIND("arbeid",Methode_Keuze)),"",IF(ISNUMBER(FIND("arbeid",Methode_Keuze)),"",IF(Tb_Activiteiten[[#This Row],[Loonkosten]]=1,Tb_Activiteiten[[#Headers],[Loonkosten]],"")))</f>
        <v/>
      </c>
      <c r="AL684" t="str">
        <f>IF(ISNUMBER(FIND("arbeid",Methode_Keuze)),"",IF(ISNUMBER(FIND("arbeid",Methode_Keuze)),"",IF(Tb_Activiteiten[[#This Row],[Eigen arbeid]]=1,Tb_Activiteiten[[#Headers],[Eigen arbeid]],"")))</f>
        <v/>
      </c>
      <c r="AM684" t="str">
        <f>IF(ISNUMBER(FIND("arbeid",Methode_Keuze)),"",IF(ISNUMBER(FIND("arbeid",Methode_Keuze)),"",IF(Tb_Activiteiten[[#This Row],[Projectmedewerker]]=1,Tb_Activiteiten[[#Headers],[Projectmedewerker]],"")))</f>
        <v/>
      </c>
      <c r="AN684" t="str">
        <f>IF(ISNUMBER(FIND("arbeid",Methode_Keuze)),"",IF(ISNUMBER(FIND("arbeid",Methode_Keuze)),"",IF(Tb_Activiteiten[[#This Row],[Landbouwer]]=1,Tb_Activiteiten[[#Headers],[Landbouwer]],"")))</f>
        <v/>
      </c>
      <c r="AO684" t="str">
        <f>IF(ISNUMBER(FIND("arbeid",Methode_Keuze)),"",IF(ISNUMBER(FIND("arbeid",Methode_Keuze)),"",IF(Tb_Activiteiten[[#This Row],[Adviseur]]=1,Tb_Activiteiten[[#Headers],[Adviseur]],"")))</f>
        <v/>
      </c>
      <c r="AP684" t="str">
        <f>IF(ISNUMBER(FIND("arbeid",Methode_Keuze)),"",IF(ISNUMBER(FIND("arbeid",Methode_Keuze)),"",IF(Tb_Activiteiten[[#This Row],[Projectleider/Expert]]=1,Tb_Activiteiten[[#Headers],[Projectleider/Expert]],"")))</f>
        <v/>
      </c>
      <c r="AQ684" t="str">
        <f>IF(ISNUMBER(FIND("arbeid",Methode_Keuze)),"",IF(ISNUMBER(FIND("arbeid",Methode_Keuze)),"",IF(Tb_Activiteiten[[#This Row],[Arbeidskosten]]=1,Tb_Activiteiten[[#Headers],[Arbeidskosten]],"")))</f>
        <v/>
      </c>
      <c r="AR684" t="str">
        <f>IF(ISNUMBER(FIND("arbeid",Methode_Keuze)),"",IF(ISNUMBER(FIND("arbeid",Methode_Keuze)),"",IF(Tb_Activiteiten[[#This Row],[Arbeidskosten op basis van IKS]]=1,Tb_Activiteiten[[#Headers],[Arbeidskosten op basis van IKS]],"")))</f>
        <v/>
      </c>
      <c r="AS684" t="str">
        <f>IF(ISNUMBER(FIND("overige",Methode_Keuze)),"",IF(Tb_Activiteiten[[#This Row],[Kosten derden exclusief btw]]=1,Tb_Activiteiten[[#Headers],[Kosten derden exclusief btw]],""))</f>
        <v/>
      </c>
      <c r="AT684" t="str">
        <f>IF(ISNUMBER(FIND("overige",Methode_Keuze)),"",IF(Tb_Activiteiten[[#This Row],[Niet verrekenbare btw]]=1,Tb_Activiteiten[[#Headers],[Niet verrekenbare btw]],""))</f>
        <v/>
      </c>
      <c r="AU684" t="str">
        <f>IF(ISNUMBER(FIND("overige",Methode_Keuze)),"",IF(Tb_Activiteiten[[#This Row],[Grondkosten]]=1,Tb_Activiteiten[[#Headers],[Grondkosten]],""))</f>
        <v/>
      </c>
      <c r="AV684" t="str">
        <f>IF(ISNUMBER(FIND("overige",Methode_Keuze)),"",IF(Tb_Activiteiten[[#This Row],[Bijdrage in natura (overige)]]=1,Tb_Activiteiten[[#Headers],[Bijdrage in natura (overige)]],""))</f>
        <v/>
      </c>
      <c r="AW684" t="str">
        <f>IF(ISNUMBER(FIND("overige",Methode_Keuze)),"",IF(Tb_Activiteiten[[#This Row],[Bijdrage in natura (vrijwilligers)]]=1,Tb_Activiteiten[[#Headers],[Bijdrage in natura (vrijwilligers)]],""))</f>
        <v/>
      </c>
      <c r="AX684" t="str">
        <f>IF(ISNUMBER(FIND("overige",Methode_Keuze)),"",IF(Tb_Activiteiten[[#This Row],[Afschrijvingskosten]]=1,Tb_Activiteiten[[#Headers],[Afschrijvingskosten]],""))</f>
        <v/>
      </c>
      <c r="AY684" t="str">
        <f>IF(ISNUMBER(FIND("overige",Methode_Keuze)),"",IF(Tb_Activiteiten[[#This Row],[Vergoeding]]=1,Tb_Activiteiten[[#Headers],[Vergoeding]],""))</f>
        <v/>
      </c>
      <c r="AZ684" t="str">
        <f>IF(ISNUMBER(FIND("arbeid",Methode_Keuze)),"",IF(Tb_Activiteiten[[#This Row],[Arbeidskosten - vast tarief (excl eigen arbeid)]]=1,Tb_Activiteiten[[#Headers],[Arbeidskosten - vast tarief (excl eigen arbeid)]],""))</f>
        <v/>
      </c>
      <c r="BA684" t="str">
        <f>IF(ISNUMBER(FIND("overige",Methode_Keuze)),"",IF(Tb_Activiteiten[[#This Row],[Overige kosten]]=1,Tb_Activiteiten[[#Headers],[Overige kosten]],""))</f>
        <v/>
      </c>
    </row>
    <row r="685" spans="1:53" x14ac:dyDescent="0.25">
      <c r="A685" s="231"/>
      <c r="F685" s="64"/>
      <c r="G685" s="64"/>
      <c r="H685" s="275"/>
      <c r="I685" s="275"/>
      <c r="J685" s="275"/>
      <c r="K685" s="275"/>
      <c r="O685" s="56"/>
      <c r="Q685" t="str">
        <f>IFERROR(IF(VLOOKUP(Tb_Activiteiten[[#This Row],[Openstelling]],Tb_Openstelling[],2,0)=1,1,""),"")</f>
        <v/>
      </c>
      <c r="AK685" t="str">
        <f>IF(ISNUMBER(FIND("arbeid",Methode_Keuze)),"",IF(ISNUMBER(FIND("arbeid",Methode_Keuze)),"",IF(Tb_Activiteiten[[#This Row],[Loonkosten]]=1,Tb_Activiteiten[[#Headers],[Loonkosten]],"")))</f>
        <v/>
      </c>
      <c r="AL685" t="str">
        <f>IF(ISNUMBER(FIND("arbeid",Methode_Keuze)),"",IF(ISNUMBER(FIND("arbeid",Methode_Keuze)),"",IF(Tb_Activiteiten[[#This Row],[Eigen arbeid]]=1,Tb_Activiteiten[[#Headers],[Eigen arbeid]],"")))</f>
        <v/>
      </c>
      <c r="AM685" t="str">
        <f>IF(ISNUMBER(FIND("arbeid",Methode_Keuze)),"",IF(ISNUMBER(FIND("arbeid",Methode_Keuze)),"",IF(Tb_Activiteiten[[#This Row],[Projectmedewerker]]=1,Tb_Activiteiten[[#Headers],[Projectmedewerker]],"")))</f>
        <v/>
      </c>
      <c r="AN685" t="str">
        <f>IF(ISNUMBER(FIND("arbeid",Methode_Keuze)),"",IF(ISNUMBER(FIND("arbeid",Methode_Keuze)),"",IF(Tb_Activiteiten[[#This Row],[Landbouwer]]=1,Tb_Activiteiten[[#Headers],[Landbouwer]],"")))</f>
        <v/>
      </c>
      <c r="AO685" t="str">
        <f>IF(ISNUMBER(FIND("arbeid",Methode_Keuze)),"",IF(ISNUMBER(FIND("arbeid",Methode_Keuze)),"",IF(Tb_Activiteiten[[#This Row],[Adviseur]]=1,Tb_Activiteiten[[#Headers],[Adviseur]],"")))</f>
        <v/>
      </c>
      <c r="AP685" t="str">
        <f>IF(ISNUMBER(FIND("arbeid",Methode_Keuze)),"",IF(ISNUMBER(FIND("arbeid",Methode_Keuze)),"",IF(Tb_Activiteiten[[#This Row],[Projectleider/Expert]]=1,Tb_Activiteiten[[#Headers],[Projectleider/Expert]],"")))</f>
        <v/>
      </c>
      <c r="AQ685" t="str">
        <f>IF(ISNUMBER(FIND("arbeid",Methode_Keuze)),"",IF(ISNUMBER(FIND("arbeid",Methode_Keuze)),"",IF(Tb_Activiteiten[[#This Row],[Arbeidskosten]]=1,Tb_Activiteiten[[#Headers],[Arbeidskosten]],"")))</f>
        <v/>
      </c>
      <c r="AR685" t="str">
        <f>IF(ISNUMBER(FIND("arbeid",Methode_Keuze)),"",IF(ISNUMBER(FIND("arbeid",Methode_Keuze)),"",IF(Tb_Activiteiten[[#This Row],[Arbeidskosten op basis van IKS]]=1,Tb_Activiteiten[[#Headers],[Arbeidskosten op basis van IKS]],"")))</f>
        <v/>
      </c>
      <c r="AS685" t="str">
        <f>IF(ISNUMBER(FIND("overige",Methode_Keuze)),"",IF(Tb_Activiteiten[[#This Row],[Kosten derden exclusief btw]]=1,Tb_Activiteiten[[#Headers],[Kosten derden exclusief btw]],""))</f>
        <v/>
      </c>
      <c r="AT685" t="str">
        <f>IF(ISNUMBER(FIND("overige",Methode_Keuze)),"",IF(Tb_Activiteiten[[#This Row],[Niet verrekenbare btw]]=1,Tb_Activiteiten[[#Headers],[Niet verrekenbare btw]],""))</f>
        <v/>
      </c>
      <c r="AU685" t="str">
        <f>IF(ISNUMBER(FIND("overige",Methode_Keuze)),"",IF(Tb_Activiteiten[[#This Row],[Grondkosten]]=1,Tb_Activiteiten[[#Headers],[Grondkosten]],""))</f>
        <v/>
      </c>
      <c r="AV685" t="str">
        <f>IF(ISNUMBER(FIND("overige",Methode_Keuze)),"",IF(Tb_Activiteiten[[#This Row],[Bijdrage in natura (overige)]]=1,Tb_Activiteiten[[#Headers],[Bijdrage in natura (overige)]],""))</f>
        <v/>
      </c>
      <c r="AW685" t="str">
        <f>IF(ISNUMBER(FIND("overige",Methode_Keuze)),"",IF(Tb_Activiteiten[[#This Row],[Bijdrage in natura (vrijwilligers)]]=1,Tb_Activiteiten[[#Headers],[Bijdrage in natura (vrijwilligers)]],""))</f>
        <v/>
      </c>
      <c r="AX685" t="str">
        <f>IF(ISNUMBER(FIND("overige",Methode_Keuze)),"",IF(Tb_Activiteiten[[#This Row],[Afschrijvingskosten]]=1,Tb_Activiteiten[[#Headers],[Afschrijvingskosten]],""))</f>
        <v/>
      </c>
      <c r="AY685" t="str">
        <f>IF(ISNUMBER(FIND("overige",Methode_Keuze)),"",IF(Tb_Activiteiten[[#This Row],[Vergoeding]]=1,Tb_Activiteiten[[#Headers],[Vergoeding]],""))</f>
        <v/>
      </c>
      <c r="AZ685" t="str">
        <f>IF(ISNUMBER(FIND("arbeid",Methode_Keuze)),"",IF(Tb_Activiteiten[[#This Row],[Arbeidskosten - vast tarief (excl eigen arbeid)]]=1,Tb_Activiteiten[[#Headers],[Arbeidskosten - vast tarief (excl eigen arbeid)]],""))</f>
        <v/>
      </c>
      <c r="BA685" t="str">
        <f>IF(ISNUMBER(FIND("overige",Methode_Keuze)),"",IF(Tb_Activiteiten[[#This Row],[Overige kosten]]=1,Tb_Activiteiten[[#Headers],[Overige kosten]],""))</f>
        <v/>
      </c>
    </row>
    <row r="686" spans="1:53" x14ac:dyDescent="0.25">
      <c r="A686" s="231"/>
      <c r="F686" s="64"/>
      <c r="G686" s="64"/>
      <c r="H686" s="275"/>
      <c r="I686" s="275"/>
      <c r="J686" s="275"/>
      <c r="K686" s="275"/>
      <c r="O686" s="56"/>
      <c r="Q686" t="str">
        <f>IFERROR(IF(VLOOKUP(Tb_Activiteiten[[#This Row],[Openstelling]],Tb_Openstelling[],2,0)=1,1,""),"")</f>
        <v/>
      </c>
      <c r="AK686" t="str">
        <f>IF(ISNUMBER(FIND("arbeid",Methode_Keuze)),"",IF(ISNUMBER(FIND("arbeid",Methode_Keuze)),"",IF(Tb_Activiteiten[[#This Row],[Loonkosten]]=1,Tb_Activiteiten[[#Headers],[Loonkosten]],"")))</f>
        <v/>
      </c>
      <c r="AL686" t="str">
        <f>IF(ISNUMBER(FIND("arbeid",Methode_Keuze)),"",IF(ISNUMBER(FIND("arbeid",Methode_Keuze)),"",IF(Tb_Activiteiten[[#This Row],[Eigen arbeid]]=1,Tb_Activiteiten[[#Headers],[Eigen arbeid]],"")))</f>
        <v/>
      </c>
      <c r="AM686" t="str">
        <f>IF(ISNUMBER(FIND("arbeid",Methode_Keuze)),"",IF(ISNUMBER(FIND("arbeid",Methode_Keuze)),"",IF(Tb_Activiteiten[[#This Row],[Projectmedewerker]]=1,Tb_Activiteiten[[#Headers],[Projectmedewerker]],"")))</f>
        <v/>
      </c>
      <c r="AN686" t="str">
        <f>IF(ISNUMBER(FIND("arbeid",Methode_Keuze)),"",IF(ISNUMBER(FIND("arbeid",Methode_Keuze)),"",IF(Tb_Activiteiten[[#This Row],[Landbouwer]]=1,Tb_Activiteiten[[#Headers],[Landbouwer]],"")))</f>
        <v/>
      </c>
      <c r="AO686" t="str">
        <f>IF(ISNUMBER(FIND("arbeid",Methode_Keuze)),"",IF(ISNUMBER(FIND("arbeid",Methode_Keuze)),"",IF(Tb_Activiteiten[[#This Row],[Adviseur]]=1,Tb_Activiteiten[[#Headers],[Adviseur]],"")))</f>
        <v/>
      </c>
      <c r="AP686" t="str">
        <f>IF(ISNUMBER(FIND("arbeid",Methode_Keuze)),"",IF(ISNUMBER(FIND("arbeid",Methode_Keuze)),"",IF(Tb_Activiteiten[[#This Row],[Projectleider/Expert]]=1,Tb_Activiteiten[[#Headers],[Projectleider/Expert]],"")))</f>
        <v/>
      </c>
      <c r="AQ686" t="str">
        <f>IF(ISNUMBER(FIND("arbeid",Methode_Keuze)),"",IF(ISNUMBER(FIND("arbeid",Methode_Keuze)),"",IF(Tb_Activiteiten[[#This Row],[Arbeidskosten]]=1,Tb_Activiteiten[[#Headers],[Arbeidskosten]],"")))</f>
        <v/>
      </c>
      <c r="AR686" t="str">
        <f>IF(ISNUMBER(FIND("arbeid",Methode_Keuze)),"",IF(ISNUMBER(FIND("arbeid",Methode_Keuze)),"",IF(Tb_Activiteiten[[#This Row],[Arbeidskosten op basis van IKS]]=1,Tb_Activiteiten[[#Headers],[Arbeidskosten op basis van IKS]],"")))</f>
        <v/>
      </c>
      <c r="AS686" t="str">
        <f>IF(ISNUMBER(FIND("overige",Methode_Keuze)),"",IF(Tb_Activiteiten[[#This Row],[Kosten derden exclusief btw]]=1,Tb_Activiteiten[[#Headers],[Kosten derden exclusief btw]],""))</f>
        <v/>
      </c>
      <c r="AT686" t="str">
        <f>IF(ISNUMBER(FIND("overige",Methode_Keuze)),"",IF(Tb_Activiteiten[[#This Row],[Niet verrekenbare btw]]=1,Tb_Activiteiten[[#Headers],[Niet verrekenbare btw]],""))</f>
        <v/>
      </c>
      <c r="AU686" t="str">
        <f>IF(ISNUMBER(FIND("overige",Methode_Keuze)),"",IF(Tb_Activiteiten[[#This Row],[Grondkosten]]=1,Tb_Activiteiten[[#Headers],[Grondkosten]],""))</f>
        <v/>
      </c>
      <c r="AV686" t="str">
        <f>IF(ISNUMBER(FIND("overige",Methode_Keuze)),"",IF(Tb_Activiteiten[[#This Row],[Bijdrage in natura (overige)]]=1,Tb_Activiteiten[[#Headers],[Bijdrage in natura (overige)]],""))</f>
        <v/>
      </c>
      <c r="AW686" t="str">
        <f>IF(ISNUMBER(FIND("overige",Methode_Keuze)),"",IF(Tb_Activiteiten[[#This Row],[Bijdrage in natura (vrijwilligers)]]=1,Tb_Activiteiten[[#Headers],[Bijdrage in natura (vrijwilligers)]],""))</f>
        <v/>
      </c>
      <c r="AX686" t="str">
        <f>IF(ISNUMBER(FIND("overige",Methode_Keuze)),"",IF(Tb_Activiteiten[[#This Row],[Afschrijvingskosten]]=1,Tb_Activiteiten[[#Headers],[Afschrijvingskosten]],""))</f>
        <v/>
      </c>
      <c r="AY686" t="str">
        <f>IF(ISNUMBER(FIND("overige",Methode_Keuze)),"",IF(Tb_Activiteiten[[#This Row],[Vergoeding]]=1,Tb_Activiteiten[[#Headers],[Vergoeding]],""))</f>
        <v/>
      </c>
      <c r="AZ686" t="str">
        <f>IF(ISNUMBER(FIND("arbeid",Methode_Keuze)),"",IF(Tb_Activiteiten[[#This Row],[Arbeidskosten - vast tarief (excl eigen arbeid)]]=1,Tb_Activiteiten[[#Headers],[Arbeidskosten - vast tarief (excl eigen arbeid)]],""))</f>
        <v/>
      </c>
      <c r="BA686" t="str">
        <f>IF(ISNUMBER(FIND("overige",Methode_Keuze)),"",IF(Tb_Activiteiten[[#This Row],[Overige kosten]]=1,Tb_Activiteiten[[#Headers],[Overige kosten]],""))</f>
        <v/>
      </c>
    </row>
    <row r="687" spans="1:53" x14ac:dyDescent="0.25">
      <c r="A687" s="231"/>
      <c r="F687" s="64"/>
      <c r="G687" s="64"/>
      <c r="H687" s="275"/>
      <c r="I687" s="275"/>
      <c r="J687" s="275"/>
      <c r="K687" s="275"/>
      <c r="O687" s="56"/>
      <c r="Q687" t="str">
        <f>IFERROR(IF(VLOOKUP(Tb_Activiteiten[[#This Row],[Openstelling]],Tb_Openstelling[],2,0)=1,1,""),"")</f>
        <v/>
      </c>
      <c r="AK687" t="str">
        <f>IF(ISNUMBER(FIND("arbeid",Methode_Keuze)),"",IF(ISNUMBER(FIND("arbeid",Methode_Keuze)),"",IF(Tb_Activiteiten[[#This Row],[Loonkosten]]=1,Tb_Activiteiten[[#Headers],[Loonkosten]],"")))</f>
        <v/>
      </c>
      <c r="AL687" t="str">
        <f>IF(ISNUMBER(FIND("arbeid",Methode_Keuze)),"",IF(ISNUMBER(FIND("arbeid",Methode_Keuze)),"",IF(Tb_Activiteiten[[#This Row],[Eigen arbeid]]=1,Tb_Activiteiten[[#Headers],[Eigen arbeid]],"")))</f>
        <v/>
      </c>
      <c r="AM687" t="str">
        <f>IF(ISNUMBER(FIND("arbeid",Methode_Keuze)),"",IF(ISNUMBER(FIND("arbeid",Methode_Keuze)),"",IF(Tb_Activiteiten[[#This Row],[Projectmedewerker]]=1,Tb_Activiteiten[[#Headers],[Projectmedewerker]],"")))</f>
        <v/>
      </c>
      <c r="AN687" t="str">
        <f>IF(ISNUMBER(FIND("arbeid",Methode_Keuze)),"",IF(ISNUMBER(FIND("arbeid",Methode_Keuze)),"",IF(Tb_Activiteiten[[#This Row],[Landbouwer]]=1,Tb_Activiteiten[[#Headers],[Landbouwer]],"")))</f>
        <v/>
      </c>
      <c r="AO687" t="str">
        <f>IF(ISNUMBER(FIND("arbeid",Methode_Keuze)),"",IF(ISNUMBER(FIND("arbeid",Methode_Keuze)),"",IF(Tb_Activiteiten[[#This Row],[Adviseur]]=1,Tb_Activiteiten[[#Headers],[Adviseur]],"")))</f>
        <v/>
      </c>
      <c r="AP687" t="str">
        <f>IF(ISNUMBER(FIND("arbeid",Methode_Keuze)),"",IF(ISNUMBER(FIND("arbeid",Methode_Keuze)),"",IF(Tb_Activiteiten[[#This Row],[Projectleider/Expert]]=1,Tb_Activiteiten[[#Headers],[Projectleider/Expert]],"")))</f>
        <v/>
      </c>
      <c r="AQ687" t="str">
        <f>IF(ISNUMBER(FIND("arbeid",Methode_Keuze)),"",IF(ISNUMBER(FIND("arbeid",Methode_Keuze)),"",IF(Tb_Activiteiten[[#This Row],[Arbeidskosten]]=1,Tb_Activiteiten[[#Headers],[Arbeidskosten]],"")))</f>
        <v/>
      </c>
      <c r="AR687" t="str">
        <f>IF(ISNUMBER(FIND("arbeid",Methode_Keuze)),"",IF(ISNUMBER(FIND("arbeid",Methode_Keuze)),"",IF(Tb_Activiteiten[[#This Row],[Arbeidskosten op basis van IKS]]=1,Tb_Activiteiten[[#Headers],[Arbeidskosten op basis van IKS]],"")))</f>
        <v/>
      </c>
      <c r="AS687" t="str">
        <f>IF(ISNUMBER(FIND("overige",Methode_Keuze)),"",IF(Tb_Activiteiten[[#This Row],[Kosten derden exclusief btw]]=1,Tb_Activiteiten[[#Headers],[Kosten derden exclusief btw]],""))</f>
        <v/>
      </c>
      <c r="AT687" t="str">
        <f>IF(ISNUMBER(FIND("overige",Methode_Keuze)),"",IF(Tb_Activiteiten[[#This Row],[Niet verrekenbare btw]]=1,Tb_Activiteiten[[#Headers],[Niet verrekenbare btw]],""))</f>
        <v/>
      </c>
      <c r="AU687" t="str">
        <f>IF(ISNUMBER(FIND("overige",Methode_Keuze)),"",IF(Tb_Activiteiten[[#This Row],[Grondkosten]]=1,Tb_Activiteiten[[#Headers],[Grondkosten]],""))</f>
        <v/>
      </c>
      <c r="AV687" t="str">
        <f>IF(ISNUMBER(FIND("overige",Methode_Keuze)),"",IF(Tb_Activiteiten[[#This Row],[Bijdrage in natura (overige)]]=1,Tb_Activiteiten[[#Headers],[Bijdrage in natura (overige)]],""))</f>
        <v/>
      </c>
      <c r="AW687" t="str">
        <f>IF(ISNUMBER(FIND("overige",Methode_Keuze)),"",IF(Tb_Activiteiten[[#This Row],[Bijdrage in natura (vrijwilligers)]]=1,Tb_Activiteiten[[#Headers],[Bijdrage in natura (vrijwilligers)]],""))</f>
        <v/>
      </c>
      <c r="AX687" t="str">
        <f>IF(ISNUMBER(FIND("overige",Methode_Keuze)),"",IF(Tb_Activiteiten[[#This Row],[Afschrijvingskosten]]=1,Tb_Activiteiten[[#Headers],[Afschrijvingskosten]],""))</f>
        <v/>
      </c>
      <c r="AY687" t="str">
        <f>IF(ISNUMBER(FIND("overige",Methode_Keuze)),"",IF(Tb_Activiteiten[[#This Row],[Vergoeding]]=1,Tb_Activiteiten[[#Headers],[Vergoeding]],""))</f>
        <v/>
      </c>
      <c r="AZ687" t="str">
        <f>IF(ISNUMBER(FIND("arbeid",Methode_Keuze)),"",IF(Tb_Activiteiten[[#This Row],[Arbeidskosten - vast tarief (excl eigen arbeid)]]=1,Tb_Activiteiten[[#Headers],[Arbeidskosten - vast tarief (excl eigen arbeid)]],""))</f>
        <v/>
      </c>
      <c r="BA687" t="str">
        <f>IF(ISNUMBER(FIND("overige",Methode_Keuze)),"",IF(Tb_Activiteiten[[#This Row],[Overige kosten]]=1,Tb_Activiteiten[[#Headers],[Overige kosten]],""))</f>
        <v/>
      </c>
    </row>
    <row r="688" spans="1:53" x14ac:dyDescent="0.25">
      <c r="A688" s="231"/>
      <c r="F688" s="64"/>
      <c r="G688" s="64"/>
      <c r="H688" s="275"/>
      <c r="I688" s="275"/>
      <c r="J688" s="275"/>
      <c r="K688" s="275"/>
      <c r="O688" s="56"/>
      <c r="Q688" t="str">
        <f>IFERROR(IF(VLOOKUP(Tb_Activiteiten[[#This Row],[Openstelling]],Tb_Openstelling[],2,0)=1,1,""),"")</f>
        <v/>
      </c>
      <c r="AK688" t="str">
        <f>IF(ISNUMBER(FIND("arbeid",Methode_Keuze)),"",IF(ISNUMBER(FIND("arbeid",Methode_Keuze)),"",IF(Tb_Activiteiten[[#This Row],[Loonkosten]]=1,Tb_Activiteiten[[#Headers],[Loonkosten]],"")))</f>
        <v/>
      </c>
      <c r="AL688" t="str">
        <f>IF(ISNUMBER(FIND("arbeid",Methode_Keuze)),"",IF(ISNUMBER(FIND("arbeid",Methode_Keuze)),"",IF(Tb_Activiteiten[[#This Row],[Eigen arbeid]]=1,Tb_Activiteiten[[#Headers],[Eigen arbeid]],"")))</f>
        <v/>
      </c>
      <c r="AM688" t="str">
        <f>IF(ISNUMBER(FIND("arbeid",Methode_Keuze)),"",IF(ISNUMBER(FIND("arbeid",Methode_Keuze)),"",IF(Tb_Activiteiten[[#This Row],[Projectmedewerker]]=1,Tb_Activiteiten[[#Headers],[Projectmedewerker]],"")))</f>
        <v/>
      </c>
      <c r="AN688" t="str">
        <f>IF(ISNUMBER(FIND("arbeid",Methode_Keuze)),"",IF(ISNUMBER(FIND("arbeid",Methode_Keuze)),"",IF(Tb_Activiteiten[[#This Row],[Landbouwer]]=1,Tb_Activiteiten[[#Headers],[Landbouwer]],"")))</f>
        <v/>
      </c>
      <c r="AO688" t="str">
        <f>IF(ISNUMBER(FIND("arbeid",Methode_Keuze)),"",IF(ISNUMBER(FIND("arbeid",Methode_Keuze)),"",IF(Tb_Activiteiten[[#This Row],[Adviseur]]=1,Tb_Activiteiten[[#Headers],[Adviseur]],"")))</f>
        <v/>
      </c>
      <c r="AP688" t="str">
        <f>IF(ISNUMBER(FIND("arbeid",Methode_Keuze)),"",IF(ISNUMBER(FIND("arbeid",Methode_Keuze)),"",IF(Tb_Activiteiten[[#This Row],[Projectleider/Expert]]=1,Tb_Activiteiten[[#Headers],[Projectleider/Expert]],"")))</f>
        <v/>
      </c>
      <c r="AQ688" t="str">
        <f>IF(ISNUMBER(FIND("arbeid",Methode_Keuze)),"",IF(ISNUMBER(FIND("arbeid",Methode_Keuze)),"",IF(Tb_Activiteiten[[#This Row],[Arbeidskosten]]=1,Tb_Activiteiten[[#Headers],[Arbeidskosten]],"")))</f>
        <v/>
      </c>
      <c r="AR688" t="str">
        <f>IF(ISNUMBER(FIND("arbeid",Methode_Keuze)),"",IF(ISNUMBER(FIND("arbeid",Methode_Keuze)),"",IF(Tb_Activiteiten[[#This Row],[Arbeidskosten op basis van IKS]]=1,Tb_Activiteiten[[#Headers],[Arbeidskosten op basis van IKS]],"")))</f>
        <v/>
      </c>
      <c r="AS688" t="str">
        <f>IF(ISNUMBER(FIND("overige",Methode_Keuze)),"",IF(Tb_Activiteiten[[#This Row],[Kosten derden exclusief btw]]=1,Tb_Activiteiten[[#Headers],[Kosten derden exclusief btw]],""))</f>
        <v/>
      </c>
      <c r="AT688" t="str">
        <f>IF(ISNUMBER(FIND("overige",Methode_Keuze)),"",IF(Tb_Activiteiten[[#This Row],[Niet verrekenbare btw]]=1,Tb_Activiteiten[[#Headers],[Niet verrekenbare btw]],""))</f>
        <v/>
      </c>
      <c r="AU688" t="str">
        <f>IF(ISNUMBER(FIND("overige",Methode_Keuze)),"",IF(Tb_Activiteiten[[#This Row],[Grondkosten]]=1,Tb_Activiteiten[[#Headers],[Grondkosten]],""))</f>
        <v/>
      </c>
      <c r="AV688" t="str">
        <f>IF(ISNUMBER(FIND("overige",Methode_Keuze)),"",IF(Tb_Activiteiten[[#This Row],[Bijdrage in natura (overige)]]=1,Tb_Activiteiten[[#Headers],[Bijdrage in natura (overige)]],""))</f>
        <v/>
      </c>
      <c r="AW688" t="str">
        <f>IF(ISNUMBER(FIND("overige",Methode_Keuze)),"",IF(Tb_Activiteiten[[#This Row],[Bijdrage in natura (vrijwilligers)]]=1,Tb_Activiteiten[[#Headers],[Bijdrage in natura (vrijwilligers)]],""))</f>
        <v/>
      </c>
      <c r="AX688" t="str">
        <f>IF(ISNUMBER(FIND("overige",Methode_Keuze)),"",IF(Tb_Activiteiten[[#This Row],[Afschrijvingskosten]]=1,Tb_Activiteiten[[#Headers],[Afschrijvingskosten]],""))</f>
        <v/>
      </c>
      <c r="AY688" t="str">
        <f>IF(ISNUMBER(FIND("overige",Methode_Keuze)),"",IF(Tb_Activiteiten[[#This Row],[Vergoeding]]=1,Tb_Activiteiten[[#Headers],[Vergoeding]],""))</f>
        <v/>
      </c>
      <c r="AZ688" t="str">
        <f>IF(ISNUMBER(FIND("arbeid",Methode_Keuze)),"",IF(Tb_Activiteiten[[#This Row],[Arbeidskosten - vast tarief (excl eigen arbeid)]]=1,Tb_Activiteiten[[#Headers],[Arbeidskosten - vast tarief (excl eigen arbeid)]],""))</f>
        <v/>
      </c>
      <c r="BA688" t="str">
        <f>IF(ISNUMBER(FIND("overige",Methode_Keuze)),"",IF(Tb_Activiteiten[[#This Row],[Overige kosten]]=1,Tb_Activiteiten[[#Headers],[Overige kosten]],""))</f>
        <v/>
      </c>
    </row>
    <row r="689" spans="1:53" x14ac:dyDescent="0.25">
      <c r="A689" s="231"/>
      <c r="F689" s="64"/>
      <c r="G689" s="64"/>
      <c r="H689" s="275"/>
      <c r="I689" s="275"/>
      <c r="J689" s="275"/>
      <c r="K689" s="275"/>
      <c r="O689" s="56"/>
      <c r="Q689" t="str">
        <f>IFERROR(IF(VLOOKUP(Tb_Activiteiten[[#This Row],[Openstelling]],Tb_Openstelling[],2,0)=1,1,""),"")</f>
        <v/>
      </c>
      <c r="AK689" t="str">
        <f>IF(ISNUMBER(FIND("arbeid",Methode_Keuze)),"",IF(ISNUMBER(FIND("arbeid",Methode_Keuze)),"",IF(Tb_Activiteiten[[#This Row],[Loonkosten]]=1,Tb_Activiteiten[[#Headers],[Loonkosten]],"")))</f>
        <v/>
      </c>
      <c r="AL689" t="str">
        <f>IF(ISNUMBER(FIND("arbeid",Methode_Keuze)),"",IF(ISNUMBER(FIND("arbeid",Methode_Keuze)),"",IF(Tb_Activiteiten[[#This Row],[Eigen arbeid]]=1,Tb_Activiteiten[[#Headers],[Eigen arbeid]],"")))</f>
        <v/>
      </c>
      <c r="AM689" t="str">
        <f>IF(ISNUMBER(FIND("arbeid",Methode_Keuze)),"",IF(ISNUMBER(FIND("arbeid",Methode_Keuze)),"",IF(Tb_Activiteiten[[#This Row],[Projectmedewerker]]=1,Tb_Activiteiten[[#Headers],[Projectmedewerker]],"")))</f>
        <v/>
      </c>
      <c r="AN689" t="str">
        <f>IF(ISNUMBER(FIND("arbeid",Methode_Keuze)),"",IF(ISNUMBER(FIND("arbeid",Methode_Keuze)),"",IF(Tb_Activiteiten[[#This Row],[Landbouwer]]=1,Tb_Activiteiten[[#Headers],[Landbouwer]],"")))</f>
        <v/>
      </c>
      <c r="AO689" t="str">
        <f>IF(ISNUMBER(FIND("arbeid",Methode_Keuze)),"",IF(ISNUMBER(FIND("arbeid",Methode_Keuze)),"",IF(Tb_Activiteiten[[#This Row],[Adviseur]]=1,Tb_Activiteiten[[#Headers],[Adviseur]],"")))</f>
        <v/>
      </c>
      <c r="AP689" t="str">
        <f>IF(ISNUMBER(FIND("arbeid",Methode_Keuze)),"",IF(ISNUMBER(FIND("arbeid",Methode_Keuze)),"",IF(Tb_Activiteiten[[#This Row],[Projectleider/Expert]]=1,Tb_Activiteiten[[#Headers],[Projectleider/Expert]],"")))</f>
        <v/>
      </c>
      <c r="AQ689" t="str">
        <f>IF(ISNUMBER(FIND("arbeid",Methode_Keuze)),"",IF(ISNUMBER(FIND("arbeid",Methode_Keuze)),"",IF(Tb_Activiteiten[[#This Row],[Arbeidskosten]]=1,Tb_Activiteiten[[#Headers],[Arbeidskosten]],"")))</f>
        <v/>
      </c>
      <c r="AR689" t="str">
        <f>IF(ISNUMBER(FIND("arbeid",Methode_Keuze)),"",IF(ISNUMBER(FIND("arbeid",Methode_Keuze)),"",IF(Tb_Activiteiten[[#This Row],[Arbeidskosten op basis van IKS]]=1,Tb_Activiteiten[[#Headers],[Arbeidskosten op basis van IKS]],"")))</f>
        <v/>
      </c>
      <c r="AS689" t="str">
        <f>IF(ISNUMBER(FIND("overige",Methode_Keuze)),"",IF(Tb_Activiteiten[[#This Row],[Kosten derden exclusief btw]]=1,Tb_Activiteiten[[#Headers],[Kosten derden exclusief btw]],""))</f>
        <v/>
      </c>
      <c r="AT689" t="str">
        <f>IF(ISNUMBER(FIND("overige",Methode_Keuze)),"",IF(Tb_Activiteiten[[#This Row],[Niet verrekenbare btw]]=1,Tb_Activiteiten[[#Headers],[Niet verrekenbare btw]],""))</f>
        <v/>
      </c>
      <c r="AU689" t="str">
        <f>IF(ISNUMBER(FIND("overige",Methode_Keuze)),"",IF(Tb_Activiteiten[[#This Row],[Grondkosten]]=1,Tb_Activiteiten[[#Headers],[Grondkosten]],""))</f>
        <v/>
      </c>
      <c r="AV689" t="str">
        <f>IF(ISNUMBER(FIND("overige",Methode_Keuze)),"",IF(Tb_Activiteiten[[#This Row],[Bijdrage in natura (overige)]]=1,Tb_Activiteiten[[#Headers],[Bijdrage in natura (overige)]],""))</f>
        <v/>
      </c>
      <c r="AW689" t="str">
        <f>IF(ISNUMBER(FIND("overige",Methode_Keuze)),"",IF(Tb_Activiteiten[[#This Row],[Bijdrage in natura (vrijwilligers)]]=1,Tb_Activiteiten[[#Headers],[Bijdrage in natura (vrijwilligers)]],""))</f>
        <v/>
      </c>
      <c r="AX689" t="str">
        <f>IF(ISNUMBER(FIND("overige",Methode_Keuze)),"",IF(Tb_Activiteiten[[#This Row],[Afschrijvingskosten]]=1,Tb_Activiteiten[[#Headers],[Afschrijvingskosten]],""))</f>
        <v/>
      </c>
      <c r="AY689" t="str">
        <f>IF(ISNUMBER(FIND("overige",Methode_Keuze)),"",IF(Tb_Activiteiten[[#This Row],[Vergoeding]]=1,Tb_Activiteiten[[#Headers],[Vergoeding]],""))</f>
        <v/>
      </c>
      <c r="AZ689" t="str">
        <f>IF(ISNUMBER(FIND("arbeid",Methode_Keuze)),"",IF(Tb_Activiteiten[[#This Row],[Arbeidskosten - vast tarief (excl eigen arbeid)]]=1,Tb_Activiteiten[[#Headers],[Arbeidskosten - vast tarief (excl eigen arbeid)]],""))</f>
        <v/>
      </c>
      <c r="BA689" t="str">
        <f>IF(ISNUMBER(FIND("overige",Methode_Keuze)),"",IF(Tb_Activiteiten[[#This Row],[Overige kosten]]=1,Tb_Activiteiten[[#Headers],[Overige kosten]],""))</f>
        <v/>
      </c>
    </row>
    <row r="690" spans="1:53" x14ac:dyDescent="0.25">
      <c r="A690" s="231"/>
      <c r="F690" s="64"/>
      <c r="G690" s="64"/>
      <c r="H690" s="275"/>
      <c r="I690" s="275"/>
      <c r="J690" s="275"/>
      <c r="K690" s="275"/>
      <c r="O690" s="56"/>
      <c r="Q690" t="str">
        <f>IFERROR(IF(VLOOKUP(Tb_Activiteiten[[#This Row],[Openstelling]],Tb_Openstelling[],2,0)=1,1,""),"")</f>
        <v/>
      </c>
      <c r="AK690" t="str">
        <f>IF(ISNUMBER(FIND("arbeid",Methode_Keuze)),"",IF(ISNUMBER(FIND("arbeid",Methode_Keuze)),"",IF(Tb_Activiteiten[[#This Row],[Loonkosten]]=1,Tb_Activiteiten[[#Headers],[Loonkosten]],"")))</f>
        <v/>
      </c>
      <c r="AL690" t="str">
        <f>IF(ISNUMBER(FIND("arbeid",Methode_Keuze)),"",IF(ISNUMBER(FIND("arbeid",Methode_Keuze)),"",IF(Tb_Activiteiten[[#This Row],[Eigen arbeid]]=1,Tb_Activiteiten[[#Headers],[Eigen arbeid]],"")))</f>
        <v/>
      </c>
      <c r="AM690" t="str">
        <f>IF(ISNUMBER(FIND("arbeid",Methode_Keuze)),"",IF(ISNUMBER(FIND("arbeid",Methode_Keuze)),"",IF(Tb_Activiteiten[[#This Row],[Projectmedewerker]]=1,Tb_Activiteiten[[#Headers],[Projectmedewerker]],"")))</f>
        <v/>
      </c>
      <c r="AN690" t="str">
        <f>IF(ISNUMBER(FIND("arbeid",Methode_Keuze)),"",IF(ISNUMBER(FIND("arbeid",Methode_Keuze)),"",IF(Tb_Activiteiten[[#This Row],[Landbouwer]]=1,Tb_Activiteiten[[#Headers],[Landbouwer]],"")))</f>
        <v/>
      </c>
      <c r="AO690" t="str">
        <f>IF(ISNUMBER(FIND("arbeid",Methode_Keuze)),"",IF(ISNUMBER(FIND("arbeid",Methode_Keuze)),"",IF(Tb_Activiteiten[[#This Row],[Adviseur]]=1,Tb_Activiteiten[[#Headers],[Adviseur]],"")))</f>
        <v/>
      </c>
      <c r="AP690" t="str">
        <f>IF(ISNUMBER(FIND("arbeid",Methode_Keuze)),"",IF(ISNUMBER(FIND("arbeid",Methode_Keuze)),"",IF(Tb_Activiteiten[[#This Row],[Projectleider/Expert]]=1,Tb_Activiteiten[[#Headers],[Projectleider/Expert]],"")))</f>
        <v/>
      </c>
      <c r="AQ690" t="str">
        <f>IF(ISNUMBER(FIND("arbeid",Methode_Keuze)),"",IF(ISNUMBER(FIND("arbeid",Methode_Keuze)),"",IF(Tb_Activiteiten[[#This Row],[Arbeidskosten]]=1,Tb_Activiteiten[[#Headers],[Arbeidskosten]],"")))</f>
        <v/>
      </c>
      <c r="AR690" t="str">
        <f>IF(ISNUMBER(FIND("arbeid",Methode_Keuze)),"",IF(ISNUMBER(FIND("arbeid",Methode_Keuze)),"",IF(Tb_Activiteiten[[#This Row],[Arbeidskosten op basis van IKS]]=1,Tb_Activiteiten[[#Headers],[Arbeidskosten op basis van IKS]],"")))</f>
        <v/>
      </c>
      <c r="AS690" t="str">
        <f>IF(ISNUMBER(FIND("overige",Methode_Keuze)),"",IF(Tb_Activiteiten[[#This Row],[Kosten derden exclusief btw]]=1,Tb_Activiteiten[[#Headers],[Kosten derden exclusief btw]],""))</f>
        <v/>
      </c>
      <c r="AT690" t="str">
        <f>IF(ISNUMBER(FIND("overige",Methode_Keuze)),"",IF(Tb_Activiteiten[[#This Row],[Niet verrekenbare btw]]=1,Tb_Activiteiten[[#Headers],[Niet verrekenbare btw]],""))</f>
        <v/>
      </c>
      <c r="AU690" t="str">
        <f>IF(ISNUMBER(FIND("overige",Methode_Keuze)),"",IF(Tb_Activiteiten[[#This Row],[Grondkosten]]=1,Tb_Activiteiten[[#Headers],[Grondkosten]],""))</f>
        <v/>
      </c>
      <c r="AV690" t="str">
        <f>IF(ISNUMBER(FIND("overige",Methode_Keuze)),"",IF(Tb_Activiteiten[[#This Row],[Bijdrage in natura (overige)]]=1,Tb_Activiteiten[[#Headers],[Bijdrage in natura (overige)]],""))</f>
        <v/>
      </c>
      <c r="AW690" t="str">
        <f>IF(ISNUMBER(FIND("overige",Methode_Keuze)),"",IF(Tb_Activiteiten[[#This Row],[Bijdrage in natura (vrijwilligers)]]=1,Tb_Activiteiten[[#Headers],[Bijdrage in natura (vrijwilligers)]],""))</f>
        <v/>
      </c>
      <c r="AX690" t="str">
        <f>IF(ISNUMBER(FIND("overige",Methode_Keuze)),"",IF(Tb_Activiteiten[[#This Row],[Afschrijvingskosten]]=1,Tb_Activiteiten[[#Headers],[Afschrijvingskosten]],""))</f>
        <v/>
      </c>
      <c r="AY690" t="str">
        <f>IF(ISNUMBER(FIND("overige",Methode_Keuze)),"",IF(Tb_Activiteiten[[#This Row],[Vergoeding]]=1,Tb_Activiteiten[[#Headers],[Vergoeding]],""))</f>
        <v/>
      </c>
      <c r="AZ690" t="str">
        <f>IF(ISNUMBER(FIND("arbeid",Methode_Keuze)),"",IF(Tb_Activiteiten[[#This Row],[Arbeidskosten - vast tarief (excl eigen arbeid)]]=1,Tb_Activiteiten[[#Headers],[Arbeidskosten - vast tarief (excl eigen arbeid)]],""))</f>
        <v/>
      </c>
      <c r="BA690" t="str">
        <f>IF(ISNUMBER(FIND("overige",Methode_Keuze)),"",IF(Tb_Activiteiten[[#This Row],[Overige kosten]]=1,Tb_Activiteiten[[#Headers],[Overige kosten]],""))</f>
        <v/>
      </c>
    </row>
    <row r="691" spans="1:53" x14ac:dyDescent="0.25">
      <c r="A691" s="231"/>
      <c r="F691" s="64"/>
      <c r="G691" s="64"/>
      <c r="H691" s="275"/>
      <c r="I691" s="275"/>
      <c r="J691" s="275"/>
      <c r="K691" s="275"/>
      <c r="O691" s="56"/>
      <c r="Q691" t="str">
        <f>IFERROR(IF(VLOOKUP(Tb_Activiteiten[[#This Row],[Openstelling]],Tb_Openstelling[],2,0)=1,1,""),"")</f>
        <v/>
      </c>
      <c r="AK691" t="str">
        <f>IF(ISNUMBER(FIND("arbeid",Methode_Keuze)),"",IF(ISNUMBER(FIND("arbeid",Methode_Keuze)),"",IF(Tb_Activiteiten[[#This Row],[Loonkosten]]=1,Tb_Activiteiten[[#Headers],[Loonkosten]],"")))</f>
        <v/>
      </c>
      <c r="AL691" t="str">
        <f>IF(ISNUMBER(FIND("arbeid",Methode_Keuze)),"",IF(ISNUMBER(FIND("arbeid",Methode_Keuze)),"",IF(Tb_Activiteiten[[#This Row],[Eigen arbeid]]=1,Tb_Activiteiten[[#Headers],[Eigen arbeid]],"")))</f>
        <v/>
      </c>
      <c r="AM691" t="str">
        <f>IF(ISNUMBER(FIND("arbeid",Methode_Keuze)),"",IF(ISNUMBER(FIND("arbeid",Methode_Keuze)),"",IF(Tb_Activiteiten[[#This Row],[Projectmedewerker]]=1,Tb_Activiteiten[[#Headers],[Projectmedewerker]],"")))</f>
        <v/>
      </c>
      <c r="AN691" t="str">
        <f>IF(ISNUMBER(FIND("arbeid",Methode_Keuze)),"",IF(ISNUMBER(FIND("arbeid",Methode_Keuze)),"",IF(Tb_Activiteiten[[#This Row],[Landbouwer]]=1,Tb_Activiteiten[[#Headers],[Landbouwer]],"")))</f>
        <v/>
      </c>
      <c r="AO691" t="str">
        <f>IF(ISNUMBER(FIND("arbeid",Methode_Keuze)),"",IF(ISNUMBER(FIND("arbeid",Methode_Keuze)),"",IF(Tb_Activiteiten[[#This Row],[Adviseur]]=1,Tb_Activiteiten[[#Headers],[Adviseur]],"")))</f>
        <v/>
      </c>
      <c r="AP691" t="str">
        <f>IF(ISNUMBER(FIND("arbeid",Methode_Keuze)),"",IF(ISNUMBER(FIND("arbeid",Methode_Keuze)),"",IF(Tb_Activiteiten[[#This Row],[Projectleider/Expert]]=1,Tb_Activiteiten[[#Headers],[Projectleider/Expert]],"")))</f>
        <v/>
      </c>
      <c r="AQ691" t="str">
        <f>IF(ISNUMBER(FIND("arbeid",Methode_Keuze)),"",IF(ISNUMBER(FIND("arbeid",Methode_Keuze)),"",IF(Tb_Activiteiten[[#This Row],[Arbeidskosten]]=1,Tb_Activiteiten[[#Headers],[Arbeidskosten]],"")))</f>
        <v/>
      </c>
      <c r="AR691" t="str">
        <f>IF(ISNUMBER(FIND("arbeid",Methode_Keuze)),"",IF(ISNUMBER(FIND("arbeid",Methode_Keuze)),"",IF(Tb_Activiteiten[[#This Row],[Arbeidskosten op basis van IKS]]=1,Tb_Activiteiten[[#Headers],[Arbeidskosten op basis van IKS]],"")))</f>
        <v/>
      </c>
      <c r="AS691" t="str">
        <f>IF(ISNUMBER(FIND("overige",Methode_Keuze)),"",IF(Tb_Activiteiten[[#This Row],[Kosten derden exclusief btw]]=1,Tb_Activiteiten[[#Headers],[Kosten derden exclusief btw]],""))</f>
        <v/>
      </c>
      <c r="AT691" t="str">
        <f>IF(ISNUMBER(FIND("overige",Methode_Keuze)),"",IF(Tb_Activiteiten[[#This Row],[Niet verrekenbare btw]]=1,Tb_Activiteiten[[#Headers],[Niet verrekenbare btw]],""))</f>
        <v/>
      </c>
      <c r="AU691" t="str">
        <f>IF(ISNUMBER(FIND("overige",Methode_Keuze)),"",IF(Tb_Activiteiten[[#This Row],[Grondkosten]]=1,Tb_Activiteiten[[#Headers],[Grondkosten]],""))</f>
        <v/>
      </c>
      <c r="AV691" t="str">
        <f>IF(ISNUMBER(FIND("overige",Methode_Keuze)),"",IF(Tb_Activiteiten[[#This Row],[Bijdrage in natura (overige)]]=1,Tb_Activiteiten[[#Headers],[Bijdrage in natura (overige)]],""))</f>
        <v/>
      </c>
      <c r="AW691" t="str">
        <f>IF(ISNUMBER(FIND("overige",Methode_Keuze)),"",IF(Tb_Activiteiten[[#This Row],[Bijdrage in natura (vrijwilligers)]]=1,Tb_Activiteiten[[#Headers],[Bijdrage in natura (vrijwilligers)]],""))</f>
        <v/>
      </c>
      <c r="AX691" t="str">
        <f>IF(ISNUMBER(FIND("overige",Methode_Keuze)),"",IF(Tb_Activiteiten[[#This Row],[Afschrijvingskosten]]=1,Tb_Activiteiten[[#Headers],[Afschrijvingskosten]],""))</f>
        <v/>
      </c>
      <c r="AY691" t="str">
        <f>IF(ISNUMBER(FIND("overige",Methode_Keuze)),"",IF(Tb_Activiteiten[[#This Row],[Vergoeding]]=1,Tb_Activiteiten[[#Headers],[Vergoeding]],""))</f>
        <v/>
      </c>
      <c r="AZ691" t="str">
        <f>IF(ISNUMBER(FIND("arbeid",Methode_Keuze)),"",IF(Tb_Activiteiten[[#This Row],[Arbeidskosten - vast tarief (excl eigen arbeid)]]=1,Tb_Activiteiten[[#Headers],[Arbeidskosten - vast tarief (excl eigen arbeid)]],""))</f>
        <v/>
      </c>
      <c r="BA691" t="str">
        <f>IF(ISNUMBER(FIND("overige",Methode_Keuze)),"",IF(Tb_Activiteiten[[#This Row],[Overige kosten]]=1,Tb_Activiteiten[[#Headers],[Overige kosten]],""))</f>
        <v/>
      </c>
    </row>
    <row r="692" spans="1:53" x14ac:dyDescent="0.25">
      <c r="A692" s="231"/>
      <c r="F692" s="64"/>
      <c r="G692" s="64"/>
      <c r="H692" s="275"/>
      <c r="I692" s="275"/>
      <c r="J692" s="275"/>
      <c r="K692" s="275"/>
      <c r="O692" s="56"/>
      <c r="Q692" t="str">
        <f>IFERROR(IF(VLOOKUP(Tb_Activiteiten[[#This Row],[Openstelling]],Tb_Openstelling[],2,0)=1,1,""),"")</f>
        <v/>
      </c>
      <c r="AK692" t="str">
        <f>IF(ISNUMBER(FIND("arbeid",Methode_Keuze)),"",IF(ISNUMBER(FIND("arbeid",Methode_Keuze)),"",IF(Tb_Activiteiten[[#This Row],[Loonkosten]]=1,Tb_Activiteiten[[#Headers],[Loonkosten]],"")))</f>
        <v/>
      </c>
      <c r="AL692" t="str">
        <f>IF(ISNUMBER(FIND("arbeid",Methode_Keuze)),"",IF(ISNUMBER(FIND("arbeid",Methode_Keuze)),"",IF(Tb_Activiteiten[[#This Row],[Eigen arbeid]]=1,Tb_Activiteiten[[#Headers],[Eigen arbeid]],"")))</f>
        <v/>
      </c>
      <c r="AM692" t="str">
        <f>IF(ISNUMBER(FIND("arbeid",Methode_Keuze)),"",IF(ISNUMBER(FIND("arbeid",Methode_Keuze)),"",IF(Tb_Activiteiten[[#This Row],[Projectmedewerker]]=1,Tb_Activiteiten[[#Headers],[Projectmedewerker]],"")))</f>
        <v/>
      </c>
      <c r="AN692" t="str">
        <f>IF(ISNUMBER(FIND("arbeid",Methode_Keuze)),"",IF(ISNUMBER(FIND("arbeid",Methode_Keuze)),"",IF(Tb_Activiteiten[[#This Row],[Landbouwer]]=1,Tb_Activiteiten[[#Headers],[Landbouwer]],"")))</f>
        <v/>
      </c>
      <c r="AO692" t="str">
        <f>IF(ISNUMBER(FIND("arbeid",Methode_Keuze)),"",IF(ISNUMBER(FIND("arbeid",Methode_Keuze)),"",IF(Tb_Activiteiten[[#This Row],[Adviseur]]=1,Tb_Activiteiten[[#Headers],[Adviseur]],"")))</f>
        <v/>
      </c>
      <c r="AP692" t="str">
        <f>IF(ISNUMBER(FIND("arbeid",Methode_Keuze)),"",IF(ISNUMBER(FIND("arbeid",Methode_Keuze)),"",IF(Tb_Activiteiten[[#This Row],[Projectleider/Expert]]=1,Tb_Activiteiten[[#Headers],[Projectleider/Expert]],"")))</f>
        <v/>
      </c>
      <c r="AQ692" t="str">
        <f>IF(ISNUMBER(FIND("arbeid",Methode_Keuze)),"",IF(ISNUMBER(FIND("arbeid",Methode_Keuze)),"",IF(Tb_Activiteiten[[#This Row],[Arbeidskosten]]=1,Tb_Activiteiten[[#Headers],[Arbeidskosten]],"")))</f>
        <v/>
      </c>
      <c r="AR692" t="str">
        <f>IF(ISNUMBER(FIND("arbeid",Methode_Keuze)),"",IF(ISNUMBER(FIND("arbeid",Methode_Keuze)),"",IF(Tb_Activiteiten[[#This Row],[Arbeidskosten op basis van IKS]]=1,Tb_Activiteiten[[#Headers],[Arbeidskosten op basis van IKS]],"")))</f>
        <v/>
      </c>
      <c r="AS692" t="str">
        <f>IF(ISNUMBER(FIND("overige",Methode_Keuze)),"",IF(Tb_Activiteiten[[#This Row],[Kosten derden exclusief btw]]=1,Tb_Activiteiten[[#Headers],[Kosten derden exclusief btw]],""))</f>
        <v/>
      </c>
      <c r="AT692" t="str">
        <f>IF(ISNUMBER(FIND("overige",Methode_Keuze)),"",IF(Tb_Activiteiten[[#This Row],[Niet verrekenbare btw]]=1,Tb_Activiteiten[[#Headers],[Niet verrekenbare btw]],""))</f>
        <v/>
      </c>
      <c r="AU692" t="str">
        <f>IF(ISNUMBER(FIND("overige",Methode_Keuze)),"",IF(Tb_Activiteiten[[#This Row],[Grondkosten]]=1,Tb_Activiteiten[[#Headers],[Grondkosten]],""))</f>
        <v/>
      </c>
      <c r="AV692" t="str">
        <f>IF(ISNUMBER(FIND("overige",Methode_Keuze)),"",IF(Tb_Activiteiten[[#This Row],[Bijdrage in natura (overige)]]=1,Tb_Activiteiten[[#Headers],[Bijdrage in natura (overige)]],""))</f>
        <v/>
      </c>
      <c r="AW692" t="str">
        <f>IF(ISNUMBER(FIND("overige",Methode_Keuze)),"",IF(Tb_Activiteiten[[#This Row],[Bijdrage in natura (vrijwilligers)]]=1,Tb_Activiteiten[[#Headers],[Bijdrage in natura (vrijwilligers)]],""))</f>
        <v/>
      </c>
      <c r="AX692" t="str">
        <f>IF(ISNUMBER(FIND("overige",Methode_Keuze)),"",IF(Tb_Activiteiten[[#This Row],[Afschrijvingskosten]]=1,Tb_Activiteiten[[#Headers],[Afschrijvingskosten]],""))</f>
        <v/>
      </c>
      <c r="AY692" t="str">
        <f>IF(ISNUMBER(FIND("overige",Methode_Keuze)),"",IF(Tb_Activiteiten[[#This Row],[Vergoeding]]=1,Tb_Activiteiten[[#Headers],[Vergoeding]],""))</f>
        <v/>
      </c>
      <c r="AZ692" t="str">
        <f>IF(ISNUMBER(FIND("arbeid",Methode_Keuze)),"",IF(Tb_Activiteiten[[#This Row],[Arbeidskosten - vast tarief (excl eigen arbeid)]]=1,Tb_Activiteiten[[#Headers],[Arbeidskosten - vast tarief (excl eigen arbeid)]],""))</f>
        <v/>
      </c>
      <c r="BA692" t="str">
        <f>IF(ISNUMBER(FIND("overige",Methode_Keuze)),"",IF(Tb_Activiteiten[[#This Row],[Overige kosten]]=1,Tb_Activiteiten[[#Headers],[Overige kosten]],""))</f>
        <v/>
      </c>
    </row>
    <row r="693" spans="1:53" x14ac:dyDescent="0.25">
      <c r="A693" s="231"/>
      <c r="F693" s="64"/>
      <c r="G693" s="64"/>
      <c r="H693" s="275"/>
      <c r="I693" s="275"/>
      <c r="J693" s="275"/>
      <c r="K693" s="275"/>
      <c r="O693" s="56"/>
      <c r="Q693" t="str">
        <f>IFERROR(IF(VLOOKUP(Tb_Activiteiten[[#This Row],[Openstelling]],Tb_Openstelling[],2,0)=1,1,""),"")</f>
        <v/>
      </c>
      <c r="AK693" t="str">
        <f>IF(ISNUMBER(FIND("arbeid",Methode_Keuze)),"",IF(ISNUMBER(FIND("arbeid",Methode_Keuze)),"",IF(Tb_Activiteiten[[#This Row],[Loonkosten]]=1,Tb_Activiteiten[[#Headers],[Loonkosten]],"")))</f>
        <v/>
      </c>
      <c r="AL693" t="str">
        <f>IF(ISNUMBER(FIND("arbeid",Methode_Keuze)),"",IF(ISNUMBER(FIND("arbeid",Methode_Keuze)),"",IF(Tb_Activiteiten[[#This Row],[Eigen arbeid]]=1,Tb_Activiteiten[[#Headers],[Eigen arbeid]],"")))</f>
        <v/>
      </c>
      <c r="AM693" t="str">
        <f>IF(ISNUMBER(FIND("arbeid",Methode_Keuze)),"",IF(ISNUMBER(FIND("arbeid",Methode_Keuze)),"",IF(Tb_Activiteiten[[#This Row],[Projectmedewerker]]=1,Tb_Activiteiten[[#Headers],[Projectmedewerker]],"")))</f>
        <v/>
      </c>
      <c r="AN693" t="str">
        <f>IF(ISNUMBER(FIND("arbeid",Methode_Keuze)),"",IF(ISNUMBER(FIND("arbeid",Methode_Keuze)),"",IF(Tb_Activiteiten[[#This Row],[Landbouwer]]=1,Tb_Activiteiten[[#Headers],[Landbouwer]],"")))</f>
        <v/>
      </c>
      <c r="AO693" t="str">
        <f>IF(ISNUMBER(FIND("arbeid",Methode_Keuze)),"",IF(ISNUMBER(FIND("arbeid",Methode_Keuze)),"",IF(Tb_Activiteiten[[#This Row],[Adviseur]]=1,Tb_Activiteiten[[#Headers],[Adviseur]],"")))</f>
        <v/>
      </c>
      <c r="AP693" t="str">
        <f>IF(ISNUMBER(FIND("arbeid",Methode_Keuze)),"",IF(ISNUMBER(FIND("arbeid",Methode_Keuze)),"",IF(Tb_Activiteiten[[#This Row],[Projectleider/Expert]]=1,Tb_Activiteiten[[#Headers],[Projectleider/Expert]],"")))</f>
        <v/>
      </c>
      <c r="AQ693" t="str">
        <f>IF(ISNUMBER(FIND("arbeid",Methode_Keuze)),"",IF(ISNUMBER(FIND("arbeid",Methode_Keuze)),"",IF(Tb_Activiteiten[[#This Row],[Arbeidskosten]]=1,Tb_Activiteiten[[#Headers],[Arbeidskosten]],"")))</f>
        <v/>
      </c>
      <c r="AR693" t="str">
        <f>IF(ISNUMBER(FIND("arbeid",Methode_Keuze)),"",IF(ISNUMBER(FIND("arbeid",Methode_Keuze)),"",IF(Tb_Activiteiten[[#This Row],[Arbeidskosten op basis van IKS]]=1,Tb_Activiteiten[[#Headers],[Arbeidskosten op basis van IKS]],"")))</f>
        <v/>
      </c>
      <c r="AS693" t="str">
        <f>IF(ISNUMBER(FIND("overige",Methode_Keuze)),"",IF(Tb_Activiteiten[[#This Row],[Kosten derden exclusief btw]]=1,Tb_Activiteiten[[#Headers],[Kosten derden exclusief btw]],""))</f>
        <v/>
      </c>
      <c r="AT693" t="str">
        <f>IF(ISNUMBER(FIND("overige",Methode_Keuze)),"",IF(Tb_Activiteiten[[#This Row],[Niet verrekenbare btw]]=1,Tb_Activiteiten[[#Headers],[Niet verrekenbare btw]],""))</f>
        <v/>
      </c>
      <c r="AU693" t="str">
        <f>IF(ISNUMBER(FIND("overige",Methode_Keuze)),"",IF(Tb_Activiteiten[[#This Row],[Grondkosten]]=1,Tb_Activiteiten[[#Headers],[Grondkosten]],""))</f>
        <v/>
      </c>
      <c r="AV693" t="str">
        <f>IF(ISNUMBER(FIND("overige",Methode_Keuze)),"",IF(Tb_Activiteiten[[#This Row],[Bijdrage in natura (overige)]]=1,Tb_Activiteiten[[#Headers],[Bijdrage in natura (overige)]],""))</f>
        <v/>
      </c>
      <c r="AW693" t="str">
        <f>IF(ISNUMBER(FIND("overige",Methode_Keuze)),"",IF(Tb_Activiteiten[[#This Row],[Bijdrage in natura (vrijwilligers)]]=1,Tb_Activiteiten[[#Headers],[Bijdrage in natura (vrijwilligers)]],""))</f>
        <v/>
      </c>
      <c r="AX693" t="str">
        <f>IF(ISNUMBER(FIND("overige",Methode_Keuze)),"",IF(Tb_Activiteiten[[#This Row],[Afschrijvingskosten]]=1,Tb_Activiteiten[[#Headers],[Afschrijvingskosten]],""))</f>
        <v/>
      </c>
      <c r="AY693" t="str">
        <f>IF(ISNUMBER(FIND("overige",Methode_Keuze)),"",IF(Tb_Activiteiten[[#This Row],[Vergoeding]]=1,Tb_Activiteiten[[#Headers],[Vergoeding]],""))</f>
        <v/>
      </c>
      <c r="AZ693" t="str">
        <f>IF(ISNUMBER(FIND("arbeid",Methode_Keuze)),"",IF(Tb_Activiteiten[[#This Row],[Arbeidskosten - vast tarief (excl eigen arbeid)]]=1,Tb_Activiteiten[[#Headers],[Arbeidskosten - vast tarief (excl eigen arbeid)]],""))</f>
        <v/>
      </c>
      <c r="BA693" t="str">
        <f>IF(ISNUMBER(FIND("overige",Methode_Keuze)),"",IF(Tb_Activiteiten[[#This Row],[Overige kosten]]=1,Tb_Activiteiten[[#Headers],[Overige kosten]],""))</f>
        <v/>
      </c>
    </row>
    <row r="694" spans="1:53" x14ac:dyDescent="0.25">
      <c r="A694" s="231"/>
      <c r="F694" s="64"/>
      <c r="G694" s="64"/>
      <c r="H694" s="275"/>
      <c r="I694" s="275"/>
      <c r="J694" s="275"/>
      <c r="K694" s="275"/>
      <c r="O694" s="56"/>
      <c r="Q694" t="str">
        <f>IFERROR(IF(VLOOKUP(Tb_Activiteiten[[#This Row],[Openstelling]],Tb_Openstelling[],2,0)=1,1,""),"")</f>
        <v/>
      </c>
      <c r="AK694" t="str">
        <f>IF(ISNUMBER(FIND("arbeid",Methode_Keuze)),"",IF(ISNUMBER(FIND("arbeid",Methode_Keuze)),"",IF(Tb_Activiteiten[[#This Row],[Loonkosten]]=1,Tb_Activiteiten[[#Headers],[Loonkosten]],"")))</f>
        <v/>
      </c>
      <c r="AL694" t="str">
        <f>IF(ISNUMBER(FIND("arbeid",Methode_Keuze)),"",IF(ISNUMBER(FIND("arbeid",Methode_Keuze)),"",IF(Tb_Activiteiten[[#This Row],[Eigen arbeid]]=1,Tb_Activiteiten[[#Headers],[Eigen arbeid]],"")))</f>
        <v/>
      </c>
      <c r="AM694" t="str">
        <f>IF(ISNUMBER(FIND("arbeid",Methode_Keuze)),"",IF(ISNUMBER(FIND("arbeid",Methode_Keuze)),"",IF(Tb_Activiteiten[[#This Row],[Projectmedewerker]]=1,Tb_Activiteiten[[#Headers],[Projectmedewerker]],"")))</f>
        <v/>
      </c>
      <c r="AN694" t="str">
        <f>IF(ISNUMBER(FIND("arbeid",Methode_Keuze)),"",IF(ISNUMBER(FIND("arbeid",Methode_Keuze)),"",IF(Tb_Activiteiten[[#This Row],[Landbouwer]]=1,Tb_Activiteiten[[#Headers],[Landbouwer]],"")))</f>
        <v/>
      </c>
      <c r="AO694" t="str">
        <f>IF(ISNUMBER(FIND("arbeid",Methode_Keuze)),"",IF(ISNUMBER(FIND("arbeid",Methode_Keuze)),"",IF(Tb_Activiteiten[[#This Row],[Adviseur]]=1,Tb_Activiteiten[[#Headers],[Adviseur]],"")))</f>
        <v/>
      </c>
      <c r="AP694" t="str">
        <f>IF(ISNUMBER(FIND("arbeid",Methode_Keuze)),"",IF(ISNUMBER(FIND("arbeid",Methode_Keuze)),"",IF(Tb_Activiteiten[[#This Row],[Projectleider/Expert]]=1,Tb_Activiteiten[[#Headers],[Projectleider/Expert]],"")))</f>
        <v/>
      </c>
      <c r="AQ694" t="str">
        <f>IF(ISNUMBER(FIND("arbeid",Methode_Keuze)),"",IF(ISNUMBER(FIND("arbeid",Methode_Keuze)),"",IF(Tb_Activiteiten[[#This Row],[Arbeidskosten]]=1,Tb_Activiteiten[[#Headers],[Arbeidskosten]],"")))</f>
        <v/>
      </c>
      <c r="AR694" t="str">
        <f>IF(ISNUMBER(FIND("arbeid",Methode_Keuze)),"",IF(ISNUMBER(FIND("arbeid",Methode_Keuze)),"",IF(Tb_Activiteiten[[#This Row],[Arbeidskosten op basis van IKS]]=1,Tb_Activiteiten[[#Headers],[Arbeidskosten op basis van IKS]],"")))</f>
        <v/>
      </c>
      <c r="AS694" t="str">
        <f>IF(ISNUMBER(FIND("overige",Methode_Keuze)),"",IF(Tb_Activiteiten[[#This Row],[Kosten derden exclusief btw]]=1,Tb_Activiteiten[[#Headers],[Kosten derden exclusief btw]],""))</f>
        <v/>
      </c>
      <c r="AT694" t="str">
        <f>IF(ISNUMBER(FIND("overige",Methode_Keuze)),"",IF(Tb_Activiteiten[[#This Row],[Niet verrekenbare btw]]=1,Tb_Activiteiten[[#Headers],[Niet verrekenbare btw]],""))</f>
        <v/>
      </c>
      <c r="AU694" t="str">
        <f>IF(ISNUMBER(FIND("overige",Methode_Keuze)),"",IF(Tb_Activiteiten[[#This Row],[Grondkosten]]=1,Tb_Activiteiten[[#Headers],[Grondkosten]],""))</f>
        <v/>
      </c>
      <c r="AV694" t="str">
        <f>IF(ISNUMBER(FIND("overige",Methode_Keuze)),"",IF(Tb_Activiteiten[[#This Row],[Bijdrage in natura (overige)]]=1,Tb_Activiteiten[[#Headers],[Bijdrage in natura (overige)]],""))</f>
        <v/>
      </c>
      <c r="AW694" t="str">
        <f>IF(ISNUMBER(FIND("overige",Methode_Keuze)),"",IF(Tb_Activiteiten[[#This Row],[Bijdrage in natura (vrijwilligers)]]=1,Tb_Activiteiten[[#Headers],[Bijdrage in natura (vrijwilligers)]],""))</f>
        <v/>
      </c>
      <c r="AX694" t="str">
        <f>IF(ISNUMBER(FIND("overige",Methode_Keuze)),"",IF(Tb_Activiteiten[[#This Row],[Afschrijvingskosten]]=1,Tb_Activiteiten[[#Headers],[Afschrijvingskosten]],""))</f>
        <v/>
      </c>
      <c r="AY694" t="str">
        <f>IF(ISNUMBER(FIND("overige",Methode_Keuze)),"",IF(Tb_Activiteiten[[#This Row],[Vergoeding]]=1,Tb_Activiteiten[[#Headers],[Vergoeding]],""))</f>
        <v/>
      </c>
      <c r="AZ694" t="str">
        <f>IF(ISNUMBER(FIND("arbeid",Methode_Keuze)),"",IF(Tb_Activiteiten[[#This Row],[Arbeidskosten - vast tarief (excl eigen arbeid)]]=1,Tb_Activiteiten[[#Headers],[Arbeidskosten - vast tarief (excl eigen arbeid)]],""))</f>
        <v/>
      </c>
      <c r="BA694" t="str">
        <f>IF(ISNUMBER(FIND("overige",Methode_Keuze)),"",IF(Tb_Activiteiten[[#This Row],[Overige kosten]]=1,Tb_Activiteiten[[#Headers],[Overige kosten]],""))</f>
        <v/>
      </c>
    </row>
    <row r="695" spans="1:53" x14ac:dyDescent="0.25">
      <c r="A695" s="231"/>
      <c r="F695" s="64"/>
      <c r="G695" s="64"/>
      <c r="H695" s="275"/>
      <c r="I695" s="275"/>
      <c r="J695" s="275"/>
      <c r="K695" s="275"/>
      <c r="O695" s="56"/>
      <c r="Q695" t="str">
        <f>IFERROR(IF(VLOOKUP(Tb_Activiteiten[[#This Row],[Openstelling]],Tb_Openstelling[],2,0)=1,1,""),"")</f>
        <v/>
      </c>
      <c r="AK695" t="str">
        <f>IF(ISNUMBER(FIND("arbeid",Methode_Keuze)),"",IF(ISNUMBER(FIND("arbeid",Methode_Keuze)),"",IF(Tb_Activiteiten[[#This Row],[Loonkosten]]=1,Tb_Activiteiten[[#Headers],[Loonkosten]],"")))</f>
        <v/>
      </c>
      <c r="AL695" t="str">
        <f>IF(ISNUMBER(FIND("arbeid",Methode_Keuze)),"",IF(ISNUMBER(FIND("arbeid",Methode_Keuze)),"",IF(Tb_Activiteiten[[#This Row],[Eigen arbeid]]=1,Tb_Activiteiten[[#Headers],[Eigen arbeid]],"")))</f>
        <v/>
      </c>
      <c r="AM695" t="str">
        <f>IF(ISNUMBER(FIND("arbeid",Methode_Keuze)),"",IF(ISNUMBER(FIND("arbeid",Methode_Keuze)),"",IF(Tb_Activiteiten[[#This Row],[Projectmedewerker]]=1,Tb_Activiteiten[[#Headers],[Projectmedewerker]],"")))</f>
        <v/>
      </c>
      <c r="AN695" t="str">
        <f>IF(ISNUMBER(FIND("arbeid",Methode_Keuze)),"",IF(ISNUMBER(FIND("arbeid",Methode_Keuze)),"",IF(Tb_Activiteiten[[#This Row],[Landbouwer]]=1,Tb_Activiteiten[[#Headers],[Landbouwer]],"")))</f>
        <v/>
      </c>
      <c r="AO695" t="str">
        <f>IF(ISNUMBER(FIND("arbeid",Methode_Keuze)),"",IF(ISNUMBER(FIND("arbeid",Methode_Keuze)),"",IF(Tb_Activiteiten[[#This Row],[Adviseur]]=1,Tb_Activiteiten[[#Headers],[Adviseur]],"")))</f>
        <v/>
      </c>
      <c r="AP695" t="str">
        <f>IF(ISNUMBER(FIND("arbeid",Methode_Keuze)),"",IF(ISNUMBER(FIND("arbeid",Methode_Keuze)),"",IF(Tb_Activiteiten[[#This Row],[Projectleider/Expert]]=1,Tb_Activiteiten[[#Headers],[Projectleider/Expert]],"")))</f>
        <v/>
      </c>
      <c r="AQ695" t="str">
        <f>IF(ISNUMBER(FIND("arbeid",Methode_Keuze)),"",IF(ISNUMBER(FIND("arbeid",Methode_Keuze)),"",IF(Tb_Activiteiten[[#This Row],[Arbeidskosten]]=1,Tb_Activiteiten[[#Headers],[Arbeidskosten]],"")))</f>
        <v/>
      </c>
      <c r="AR695" t="str">
        <f>IF(ISNUMBER(FIND("arbeid",Methode_Keuze)),"",IF(ISNUMBER(FIND("arbeid",Methode_Keuze)),"",IF(Tb_Activiteiten[[#This Row],[Arbeidskosten op basis van IKS]]=1,Tb_Activiteiten[[#Headers],[Arbeidskosten op basis van IKS]],"")))</f>
        <v/>
      </c>
      <c r="AS695" t="str">
        <f>IF(ISNUMBER(FIND("overige",Methode_Keuze)),"",IF(Tb_Activiteiten[[#This Row],[Kosten derden exclusief btw]]=1,Tb_Activiteiten[[#Headers],[Kosten derden exclusief btw]],""))</f>
        <v/>
      </c>
      <c r="AT695" t="str">
        <f>IF(ISNUMBER(FIND("overige",Methode_Keuze)),"",IF(Tb_Activiteiten[[#This Row],[Niet verrekenbare btw]]=1,Tb_Activiteiten[[#Headers],[Niet verrekenbare btw]],""))</f>
        <v/>
      </c>
      <c r="AU695" t="str">
        <f>IF(ISNUMBER(FIND("overige",Methode_Keuze)),"",IF(Tb_Activiteiten[[#This Row],[Grondkosten]]=1,Tb_Activiteiten[[#Headers],[Grondkosten]],""))</f>
        <v/>
      </c>
      <c r="AV695" t="str">
        <f>IF(ISNUMBER(FIND("overige",Methode_Keuze)),"",IF(Tb_Activiteiten[[#This Row],[Bijdrage in natura (overige)]]=1,Tb_Activiteiten[[#Headers],[Bijdrage in natura (overige)]],""))</f>
        <v/>
      </c>
      <c r="AW695" t="str">
        <f>IF(ISNUMBER(FIND("overige",Methode_Keuze)),"",IF(Tb_Activiteiten[[#This Row],[Bijdrage in natura (vrijwilligers)]]=1,Tb_Activiteiten[[#Headers],[Bijdrage in natura (vrijwilligers)]],""))</f>
        <v/>
      </c>
      <c r="AX695" t="str">
        <f>IF(ISNUMBER(FIND("overige",Methode_Keuze)),"",IF(Tb_Activiteiten[[#This Row],[Afschrijvingskosten]]=1,Tb_Activiteiten[[#Headers],[Afschrijvingskosten]],""))</f>
        <v/>
      </c>
      <c r="AY695" t="str">
        <f>IF(ISNUMBER(FIND("overige",Methode_Keuze)),"",IF(Tb_Activiteiten[[#This Row],[Vergoeding]]=1,Tb_Activiteiten[[#Headers],[Vergoeding]],""))</f>
        <v/>
      </c>
      <c r="AZ695" t="str">
        <f>IF(ISNUMBER(FIND("arbeid",Methode_Keuze)),"",IF(Tb_Activiteiten[[#This Row],[Arbeidskosten - vast tarief (excl eigen arbeid)]]=1,Tb_Activiteiten[[#Headers],[Arbeidskosten - vast tarief (excl eigen arbeid)]],""))</f>
        <v/>
      </c>
      <c r="BA695" t="str">
        <f>IF(ISNUMBER(FIND("overige",Methode_Keuze)),"",IF(Tb_Activiteiten[[#This Row],[Overige kosten]]=1,Tb_Activiteiten[[#Headers],[Overige kosten]],""))</f>
        <v/>
      </c>
    </row>
    <row r="696" spans="1:53" x14ac:dyDescent="0.25">
      <c r="A696" s="231"/>
      <c r="F696" s="64"/>
      <c r="G696" s="64"/>
      <c r="H696" s="275"/>
      <c r="I696" s="275"/>
      <c r="J696" s="275"/>
      <c r="K696" s="275"/>
      <c r="O696" s="56"/>
      <c r="Q696" t="str">
        <f>IFERROR(IF(VLOOKUP(Tb_Activiteiten[[#This Row],[Openstelling]],Tb_Openstelling[],2,0)=1,1,""),"")</f>
        <v/>
      </c>
      <c r="AK696" t="str">
        <f>IF(ISNUMBER(FIND("arbeid",Methode_Keuze)),"",IF(ISNUMBER(FIND("arbeid",Methode_Keuze)),"",IF(Tb_Activiteiten[[#This Row],[Loonkosten]]=1,Tb_Activiteiten[[#Headers],[Loonkosten]],"")))</f>
        <v/>
      </c>
      <c r="AL696" t="str">
        <f>IF(ISNUMBER(FIND("arbeid",Methode_Keuze)),"",IF(ISNUMBER(FIND("arbeid",Methode_Keuze)),"",IF(Tb_Activiteiten[[#This Row],[Eigen arbeid]]=1,Tb_Activiteiten[[#Headers],[Eigen arbeid]],"")))</f>
        <v/>
      </c>
      <c r="AM696" t="str">
        <f>IF(ISNUMBER(FIND("arbeid",Methode_Keuze)),"",IF(ISNUMBER(FIND("arbeid",Methode_Keuze)),"",IF(Tb_Activiteiten[[#This Row],[Projectmedewerker]]=1,Tb_Activiteiten[[#Headers],[Projectmedewerker]],"")))</f>
        <v/>
      </c>
      <c r="AN696" t="str">
        <f>IF(ISNUMBER(FIND("arbeid",Methode_Keuze)),"",IF(ISNUMBER(FIND("arbeid",Methode_Keuze)),"",IF(Tb_Activiteiten[[#This Row],[Landbouwer]]=1,Tb_Activiteiten[[#Headers],[Landbouwer]],"")))</f>
        <v/>
      </c>
      <c r="AO696" t="str">
        <f>IF(ISNUMBER(FIND("arbeid",Methode_Keuze)),"",IF(ISNUMBER(FIND("arbeid",Methode_Keuze)),"",IF(Tb_Activiteiten[[#This Row],[Adviseur]]=1,Tb_Activiteiten[[#Headers],[Adviseur]],"")))</f>
        <v/>
      </c>
      <c r="AP696" t="str">
        <f>IF(ISNUMBER(FIND("arbeid",Methode_Keuze)),"",IF(ISNUMBER(FIND("arbeid",Methode_Keuze)),"",IF(Tb_Activiteiten[[#This Row],[Projectleider/Expert]]=1,Tb_Activiteiten[[#Headers],[Projectleider/Expert]],"")))</f>
        <v/>
      </c>
      <c r="AQ696" t="str">
        <f>IF(ISNUMBER(FIND("arbeid",Methode_Keuze)),"",IF(ISNUMBER(FIND("arbeid",Methode_Keuze)),"",IF(Tb_Activiteiten[[#This Row],[Arbeidskosten]]=1,Tb_Activiteiten[[#Headers],[Arbeidskosten]],"")))</f>
        <v/>
      </c>
      <c r="AR696" t="str">
        <f>IF(ISNUMBER(FIND("arbeid",Methode_Keuze)),"",IF(ISNUMBER(FIND("arbeid",Methode_Keuze)),"",IF(Tb_Activiteiten[[#This Row],[Arbeidskosten op basis van IKS]]=1,Tb_Activiteiten[[#Headers],[Arbeidskosten op basis van IKS]],"")))</f>
        <v/>
      </c>
      <c r="AS696" t="str">
        <f>IF(ISNUMBER(FIND("overige",Methode_Keuze)),"",IF(Tb_Activiteiten[[#This Row],[Kosten derden exclusief btw]]=1,Tb_Activiteiten[[#Headers],[Kosten derden exclusief btw]],""))</f>
        <v/>
      </c>
      <c r="AT696" t="str">
        <f>IF(ISNUMBER(FIND("overige",Methode_Keuze)),"",IF(Tb_Activiteiten[[#This Row],[Niet verrekenbare btw]]=1,Tb_Activiteiten[[#Headers],[Niet verrekenbare btw]],""))</f>
        <v/>
      </c>
      <c r="AU696" t="str">
        <f>IF(ISNUMBER(FIND("overige",Methode_Keuze)),"",IF(Tb_Activiteiten[[#This Row],[Grondkosten]]=1,Tb_Activiteiten[[#Headers],[Grondkosten]],""))</f>
        <v/>
      </c>
      <c r="AV696" t="str">
        <f>IF(ISNUMBER(FIND("overige",Methode_Keuze)),"",IF(Tb_Activiteiten[[#This Row],[Bijdrage in natura (overige)]]=1,Tb_Activiteiten[[#Headers],[Bijdrage in natura (overige)]],""))</f>
        <v/>
      </c>
      <c r="AW696" t="str">
        <f>IF(ISNUMBER(FIND("overige",Methode_Keuze)),"",IF(Tb_Activiteiten[[#This Row],[Bijdrage in natura (vrijwilligers)]]=1,Tb_Activiteiten[[#Headers],[Bijdrage in natura (vrijwilligers)]],""))</f>
        <v/>
      </c>
      <c r="AX696" t="str">
        <f>IF(ISNUMBER(FIND("overige",Methode_Keuze)),"",IF(Tb_Activiteiten[[#This Row],[Afschrijvingskosten]]=1,Tb_Activiteiten[[#Headers],[Afschrijvingskosten]],""))</f>
        <v/>
      </c>
      <c r="AY696" t="str">
        <f>IF(ISNUMBER(FIND("overige",Methode_Keuze)),"",IF(Tb_Activiteiten[[#This Row],[Vergoeding]]=1,Tb_Activiteiten[[#Headers],[Vergoeding]],""))</f>
        <v/>
      </c>
      <c r="AZ696" t="str">
        <f>IF(ISNUMBER(FIND("arbeid",Methode_Keuze)),"",IF(Tb_Activiteiten[[#This Row],[Arbeidskosten - vast tarief (excl eigen arbeid)]]=1,Tb_Activiteiten[[#Headers],[Arbeidskosten - vast tarief (excl eigen arbeid)]],""))</f>
        <v/>
      </c>
      <c r="BA696" t="str">
        <f>IF(ISNUMBER(FIND("overige",Methode_Keuze)),"",IF(Tb_Activiteiten[[#This Row],[Overige kosten]]=1,Tb_Activiteiten[[#Headers],[Overige kosten]],""))</f>
        <v/>
      </c>
    </row>
    <row r="697" spans="1:53" x14ac:dyDescent="0.25">
      <c r="A697" s="231"/>
      <c r="F697" s="64"/>
      <c r="G697" s="64"/>
      <c r="H697" s="275"/>
      <c r="I697" s="275"/>
      <c r="J697" s="275"/>
      <c r="K697" s="275"/>
      <c r="O697" s="56"/>
      <c r="Q697" t="str">
        <f>IFERROR(IF(VLOOKUP(Tb_Activiteiten[[#This Row],[Openstelling]],Tb_Openstelling[],2,0)=1,1,""),"")</f>
        <v/>
      </c>
      <c r="AK697" t="str">
        <f>IF(ISNUMBER(FIND("arbeid",Methode_Keuze)),"",IF(ISNUMBER(FIND("arbeid",Methode_Keuze)),"",IF(Tb_Activiteiten[[#This Row],[Loonkosten]]=1,Tb_Activiteiten[[#Headers],[Loonkosten]],"")))</f>
        <v/>
      </c>
      <c r="AL697" t="str">
        <f>IF(ISNUMBER(FIND("arbeid",Methode_Keuze)),"",IF(ISNUMBER(FIND("arbeid",Methode_Keuze)),"",IF(Tb_Activiteiten[[#This Row],[Eigen arbeid]]=1,Tb_Activiteiten[[#Headers],[Eigen arbeid]],"")))</f>
        <v/>
      </c>
      <c r="AM697" t="str">
        <f>IF(ISNUMBER(FIND("arbeid",Methode_Keuze)),"",IF(ISNUMBER(FIND("arbeid",Methode_Keuze)),"",IF(Tb_Activiteiten[[#This Row],[Projectmedewerker]]=1,Tb_Activiteiten[[#Headers],[Projectmedewerker]],"")))</f>
        <v/>
      </c>
      <c r="AN697" t="str">
        <f>IF(ISNUMBER(FIND("arbeid",Methode_Keuze)),"",IF(ISNUMBER(FIND("arbeid",Methode_Keuze)),"",IF(Tb_Activiteiten[[#This Row],[Landbouwer]]=1,Tb_Activiteiten[[#Headers],[Landbouwer]],"")))</f>
        <v/>
      </c>
      <c r="AO697" t="str">
        <f>IF(ISNUMBER(FIND("arbeid",Methode_Keuze)),"",IF(ISNUMBER(FIND("arbeid",Methode_Keuze)),"",IF(Tb_Activiteiten[[#This Row],[Adviseur]]=1,Tb_Activiteiten[[#Headers],[Adviseur]],"")))</f>
        <v/>
      </c>
      <c r="AP697" t="str">
        <f>IF(ISNUMBER(FIND("arbeid",Methode_Keuze)),"",IF(ISNUMBER(FIND("arbeid",Methode_Keuze)),"",IF(Tb_Activiteiten[[#This Row],[Projectleider/Expert]]=1,Tb_Activiteiten[[#Headers],[Projectleider/Expert]],"")))</f>
        <v/>
      </c>
      <c r="AQ697" t="str">
        <f>IF(ISNUMBER(FIND("arbeid",Methode_Keuze)),"",IF(ISNUMBER(FIND("arbeid",Methode_Keuze)),"",IF(Tb_Activiteiten[[#This Row],[Arbeidskosten]]=1,Tb_Activiteiten[[#Headers],[Arbeidskosten]],"")))</f>
        <v/>
      </c>
      <c r="AR697" t="str">
        <f>IF(ISNUMBER(FIND("arbeid",Methode_Keuze)),"",IF(ISNUMBER(FIND("arbeid",Methode_Keuze)),"",IF(Tb_Activiteiten[[#This Row],[Arbeidskosten op basis van IKS]]=1,Tb_Activiteiten[[#Headers],[Arbeidskosten op basis van IKS]],"")))</f>
        <v/>
      </c>
      <c r="AS697" t="str">
        <f>IF(ISNUMBER(FIND("overige",Methode_Keuze)),"",IF(Tb_Activiteiten[[#This Row],[Kosten derden exclusief btw]]=1,Tb_Activiteiten[[#Headers],[Kosten derden exclusief btw]],""))</f>
        <v/>
      </c>
      <c r="AT697" t="str">
        <f>IF(ISNUMBER(FIND("overige",Methode_Keuze)),"",IF(Tb_Activiteiten[[#This Row],[Niet verrekenbare btw]]=1,Tb_Activiteiten[[#Headers],[Niet verrekenbare btw]],""))</f>
        <v/>
      </c>
      <c r="AU697" t="str">
        <f>IF(ISNUMBER(FIND("overige",Methode_Keuze)),"",IF(Tb_Activiteiten[[#This Row],[Grondkosten]]=1,Tb_Activiteiten[[#Headers],[Grondkosten]],""))</f>
        <v/>
      </c>
      <c r="AV697" t="str">
        <f>IF(ISNUMBER(FIND("overige",Methode_Keuze)),"",IF(Tb_Activiteiten[[#This Row],[Bijdrage in natura (overige)]]=1,Tb_Activiteiten[[#Headers],[Bijdrage in natura (overige)]],""))</f>
        <v/>
      </c>
      <c r="AW697" t="str">
        <f>IF(ISNUMBER(FIND("overige",Methode_Keuze)),"",IF(Tb_Activiteiten[[#This Row],[Bijdrage in natura (vrijwilligers)]]=1,Tb_Activiteiten[[#Headers],[Bijdrage in natura (vrijwilligers)]],""))</f>
        <v/>
      </c>
      <c r="AX697" t="str">
        <f>IF(ISNUMBER(FIND("overige",Methode_Keuze)),"",IF(Tb_Activiteiten[[#This Row],[Afschrijvingskosten]]=1,Tb_Activiteiten[[#Headers],[Afschrijvingskosten]],""))</f>
        <v/>
      </c>
      <c r="AY697" t="str">
        <f>IF(ISNUMBER(FIND("overige",Methode_Keuze)),"",IF(Tb_Activiteiten[[#This Row],[Vergoeding]]=1,Tb_Activiteiten[[#Headers],[Vergoeding]],""))</f>
        <v/>
      </c>
      <c r="AZ697" t="str">
        <f>IF(ISNUMBER(FIND("arbeid",Methode_Keuze)),"",IF(Tb_Activiteiten[[#This Row],[Arbeidskosten - vast tarief (excl eigen arbeid)]]=1,Tb_Activiteiten[[#Headers],[Arbeidskosten - vast tarief (excl eigen arbeid)]],""))</f>
        <v/>
      </c>
      <c r="BA697" t="str">
        <f>IF(ISNUMBER(FIND("overige",Methode_Keuze)),"",IF(Tb_Activiteiten[[#This Row],[Overige kosten]]=1,Tb_Activiteiten[[#Headers],[Overige kosten]],""))</f>
        <v/>
      </c>
    </row>
    <row r="698" spans="1:53" x14ac:dyDescent="0.25">
      <c r="A698" s="231"/>
      <c r="F698" s="64"/>
      <c r="G698" s="64"/>
      <c r="H698" s="275"/>
      <c r="I698" s="275"/>
      <c r="J698" s="275"/>
      <c r="K698" s="275"/>
      <c r="O698" s="56"/>
      <c r="Q698" t="str">
        <f>IFERROR(IF(VLOOKUP(Tb_Activiteiten[[#This Row],[Openstelling]],Tb_Openstelling[],2,0)=1,1,""),"")</f>
        <v/>
      </c>
      <c r="AK698" t="str">
        <f>IF(ISNUMBER(FIND("arbeid",Methode_Keuze)),"",IF(ISNUMBER(FIND("arbeid",Methode_Keuze)),"",IF(Tb_Activiteiten[[#This Row],[Loonkosten]]=1,Tb_Activiteiten[[#Headers],[Loonkosten]],"")))</f>
        <v/>
      </c>
      <c r="AL698" t="str">
        <f>IF(ISNUMBER(FIND("arbeid",Methode_Keuze)),"",IF(ISNUMBER(FIND("arbeid",Methode_Keuze)),"",IF(Tb_Activiteiten[[#This Row],[Eigen arbeid]]=1,Tb_Activiteiten[[#Headers],[Eigen arbeid]],"")))</f>
        <v/>
      </c>
      <c r="AM698" t="str">
        <f>IF(ISNUMBER(FIND("arbeid",Methode_Keuze)),"",IF(ISNUMBER(FIND("arbeid",Methode_Keuze)),"",IF(Tb_Activiteiten[[#This Row],[Projectmedewerker]]=1,Tb_Activiteiten[[#Headers],[Projectmedewerker]],"")))</f>
        <v/>
      </c>
      <c r="AN698" t="str">
        <f>IF(ISNUMBER(FIND("arbeid",Methode_Keuze)),"",IF(ISNUMBER(FIND("arbeid",Methode_Keuze)),"",IF(Tb_Activiteiten[[#This Row],[Landbouwer]]=1,Tb_Activiteiten[[#Headers],[Landbouwer]],"")))</f>
        <v/>
      </c>
      <c r="AO698" t="str">
        <f>IF(ISNUMBER(FIND("arbeid",Methode_Keuze)),"",IF(ISNUMBER(FIND("arbeid",Methode_Keuze)),"",IF(Tb_Activiteiten[[#This Row],[Adviseur]]=1,Tb_Activiteiten[[#Headers],[Adviseur]],"")))</f>
        <v/>
      </c>
      <c r="AP698" t="str">
        <f>IF(ISNUMBER(FIND("arbeid",Methode_Keuze)),"",IF(ISNUMBER(FIND("arbeid",Methode_Keuze)),"",IF(Tb_Activiteiten[[#This Row],[Projectleider/Expert]]=1,Tb_Activiteiten[[#Headers],[Projectleider/Expert]],"")))</f>
        <v/>
      </c>
      <c r="AQ698" t="str">
        <f>IF(ISNUMBER(FIND("arbeid",Methode_Keuze)),"",IF(ISNUMBER(FIND("arbeid",Methode_Keuze)),"",IF(Tb_Activiteiten[[#This Row],[Arbeidskosten]]=1,Tb_Activiteiten[[#Headers],[Arbeidskosten]],"")))</f>
        <v/>
      </c>
      <c r="AR698" t="str">
        <f>IF(ISNUMBER(FIND("arbeid",Methode_Keuze)),"",IF(ISNUMBER(FIND("arbeid",Methode_Keuze)),"",IF(Tb_Activiteiten[[#This Row],[Arbeidskosten op basis van IKS]]=1,Tb_Activiteiten[[#Headers],[Arbeidskosten op basis van IKS]],"")))</f>
        <v/>
      </c>
      <c r="AS698" t="str">
        <f>IF(ISNUMBER(FIND("overige",Methode_Keuze)),"",IF(Tb_Activiteiten[[#This Row],[Kosten derden exclusief btw]]=1,Tb_Activiteiten[[#Headers],[Kosten derden exclusief btw]],""))</f>
        <v/>
      </c>
      <c r="AT698" t="str">
        <f>IF(ISNUMBER(FIND("overige",Methode_Keuze)),"",IF(Tb_Activiteiten[[#This Row],[Niet verrekenbare btw]]=1,Tb_Activiteiten[[#Headers],[Niet verrekenbare btw]],""))</f>
        <v/>
      </c>
      <c r="AU698" t="str">
        <f>IF(ISNUMBER(FIND("overige",Methode_Keuze)),"",IF(Tb_Activiteiten[[#This Row],[Grondkosten]]=1,Tb_Activiteiten[[#Headers],[Grondkosten]],""))</f>
        <v/>
      </c>
      <c r="AV698" t="str">
        <f>IF(ISNUMBER(FIND("overige",Methode_Keuze)),"",IF(Tb_Activiteiten[[#This Row],[Bijdrage in natura (overige)]]=1,Tb_Activiteiten[[#Headers],[Bijdrage in natura (overige)]],""))</f>
        <v/>
      </c>
      <c r="AW698" t="str">
        <f>IF(ISNUMBER(FIND("overige",Methode_Keuze)),"",IF(Tb_Activiteiten[[#This Row],[Bijdrage in natura (vrijwilligers)]]=1,Tb_Activiteiten[[#Headers],[Bijdrage in natura (vrijwilligers)]],""))</f>
        <v/>
      </c>
      <c r="AX698" t="str">
        <f>IF(ISNUMBER(FIND("overige",Methode_Keuze)),"",IF(Tb_Activiteiten[[#This Row],[Afschrijvingskosten]]=1,Tb_Activiteiten[[#Headers],[Afschrijvingskosten]],""))</f>
        <v/>
      </c>
      <c r="AY698" t="str">
        <f>IF(ISNUMBER(FIND("overige",Methode_Keuze)),"",IF(Tb_Activiteiten[[#This Row],[Vergoeding]]=1,Tb_Activiteiten[[#Headers],[Vergoeding]],""))</f>
        <v/>
      </c>
      <c r="AZ698" t="str">
        <f>IF(ISNUMBER(FIND("arbeid",Methode_Keuze)),"",IF(Tb_Activiteiten[[#This Row],[Arbeidskosten - vast tarief (excl eigen arbeid)]]=1,Tb_Activiteiten[[#Headers],[Arbeidskosten - vast tarief (excl eigen arbeid)]],""))</f>
        <v/>
      </c>
      <c r="BA698" t="str">
        <f>IF(ISNUMBER(FIND("overige",Methode_Keuze)),"",IF(Tb_Activiteiten[[#This Row],[Overige kosten]]=1,Tb_Activiteiten[[#Headers],[Overige kosten]],""))</f>
        <v/>
      </c>
    </row>
    <row r="699" spans="1:53" x14ac:dyDescent="0.25">
      <c r="A699" s="231"/>
      <c r="F699" s="64"/>
      <c r="G699" s="64"/>
      <c r="H699" s="275"/>
      <c r="I699" s="275"/>
      <c r="J699" s="275"/>
      <c r="K699" s="275"/>
      <c r="O699" s="56"/>
      <c r="Q699" t="str">
        <f>IFERROR(IF(VLOOKUP(Tb_Activiteiten[[#This Row],[Openstelling]],Tb_Openstelling[],2,0)=1,1,""),"")</f>
        <v/>
      </c>
      <c r="AK699" t="str">
        <f>IF(ISNUMBER(FIND("arbeid",Methode_Keuze)),"",IF(ISNUMBER(FIND("arbeid",Methode_Keuze)),"",IF(Tb_Activiteiten[[#This Row],[Loonkosten]]=1,Tb_Activiteiten[[#Headers],[Loonkosten]],"")))</f>
        <v/>
      </c>
      <c r="AL699" t="str">
        <f>IF(ISNUMBER(FIND("arbeid",Methode_Keuze)),"",IF(ISNUMBER(FIND("arbeid",Methode_Keuze)),"",IF(Tb_Activiteiten[[#This Row],[Eigen arbeid]]=1,Tb_Activiteiten[[#Headers],[Eigen arbeid]],"")))</f>
        <v/>
      </c>
      <c r="AM699" t="str">
        <f>IF(ISNUMBER(FIND("arbeid",Methode_Keuze)),"",IF(ISNUMBER(FIND("arbeid",Methode_Keuze)),"",IF(Tb_Activiteiten[[#This Row],[Projectmedewerker]]=1,Tb_Activiteiten[[#Headers],[Projectmedewerker]],"")))</f>
        <v/>
      </c>
      <c r="AN699" t="str">
        <f>IF(ISNUMBER(FIND("arbeid",Methode_Keuze)),"",IF(ISNUMBER(FIND("arbeid",Methode_Keuze)),"",IF(Tb_Activiteiten[[#This Row],[Landbouwer]]=1,Tb_Activiteiten[[#Headers],[Landbouwer]],"")))</f>
        <v/>
      </c>
      <c r="AO699" t="str">
        <f>IF(ISNUMBER(FIND("arbeid",Methode_Keuze)),"",IF(ISNUMBER(FIND("arbeid",Methode_Keuze)),"",IF(Tb_Activiteiten[[#This Row],[Adviseur]]=1,Tb_Activiteiten[[#Headers],[Adviseur]],"")))</f>
        <v/>
      </c>
      <c r="AP699" t="str">
        <f>IF(ISNUMBER(FIND("arbeid",Methode_Keuze)),"",IF(ISNUMBER(FIND("arbeid",Methode_Keuze)),"",IF(Tb_Activiteiten[[#This Row],[Projectleider/Expert]]=1,Tb_Activiteiten[[#Headers],[Projectleider/Expert]],"")))</f>
        <v/>
      </c>
      <c r="AQ699" t="str">
        <f>IF(ISNUMBER(FIND("arbeid",Methode_Keuze)),"",IF(ISNUMBER(FIND("arbeid",Methode_Keuze)),"",IF(Tb_Activiteiten[[#This Row],[Arbeidskosten]]=1,Tb_Activiteiten[[#Headers],[Arbeidskosten]],"")))</f>
        <v/>
      </c>
      <c r="AR699" t="str">
        <f>IF(ISNUMBER(FIND("arbeid",Methode_Keuze)),"",IF(ISNUMBER(FIND("arbeid",Methode_Keuze)),"",IF(Tb_Activiteiten[[#This Row],[Arbeidskosten op basis van IKS]]=1,Tb_Activiteiten[[#Headers],[Arbeidskosten op basis van IKS]],"")))</f>
        <v/>
      </c>
      <c r="AS699" t="str">
        <f>IF(ISNUMBER(FIND("overige",Methode_Keuze)),"",IF(Tb_Activiteiten[[#This Row],[Kosten derden exclusief btw]]=1,Tb_Activiteiten[[#Headers],[Kosten derden exclusief btw]],""))</f>
        <v/>
      </c>
      <c r="AT699" t="str">
        <f>IF(ISNUMBER(FIND("overige",Methode_Keuze)),"",IF(Tb_Activiteiten[[#This Row],[Niet verrekenbare btw]]=1,Tb_Activiteiten[[#Headers],[Niet verrekenbare btw]],""))</f>
        <v/>
      </c>
      <c r="AU699" t="str">
        <f>IF(ISNUMBER(FIND("overige",Methode_Keuze)),"",IF(Tb_Activiteiten[[#This Row],[Grondkosten]]=1,Tb_Activiteiten[[#Headers],[Grondkosten]],""))</f>
        <v/>
      </c>
      <c r="AV699" t="str">
        <f>IF(ISNUMBER(FIND("overige",Methode_Keuze)),"",IF(Tb_Activiteiten[[#This Row],[Bijdrage in natura (overige)]]=1,Tb_Activiteiten[[#Headers],[Bijdrage in natura (overige)]],""))</f>
        <v/>
      </c>
      <c r="AW699" t="str">
        <f>IF(ISNUMBER(FIND("overige",Methode_Keuze)),"",IF(Tb_Activiteiten[[#This Row],[Bijdrage in natura (vrijwilligers)]]=1,Tb_Activiteiten[[#Headers],[Bijdrage in natura (vrijwilligers)]],""))</f>
        <v/>
      </c>
      <c r="AX699" t="str">
        <f>IF(ISNUMBER(FIND("overige",Methode_Keuze)),"",IF(Tb_Activiteiten[[#This Row],[Afschrijvingskosten]]=1,Tb_Activiteiten[[#Headers],[Afschrijvingskosten]],""))</f>
        <v/>
      </c>
      <c r="AY699" t="str">
        <f>IF(ISNUMBER(FIND("overige",Methode_Keuze)),"",IF(Tb_Activiteiten[[#This Row],[Vergoeding]]=1,Tb_Activiteiten[[#Headers],[Vergoeding]],""))</f>
        <v/>
      </c>
      <c r="AZ699" t="str">
        <f>IF(ISNUMBER(FIND("arbeid",Methode_Keuze)),"",IF(Tb_Activiteiten[[#This Row],[Arbeidskosten - vast tarief (excl eigen arbeid)]]=1,Tb_Activiteiten[[#Headers],[Arbeidskosten - vast tarief (excl eigen arbeid)]],""))</f>
        <v/>
      </c>
      <c r="BA699" t="str">
        <f>IF(ISNUMBER(FIND("overige",Methode_Keuze)),"",IF(Tb_Activiteiten[[#This Row],[Overige kosten]]=1,Tb_Activiteiten[[#Headers],[Overige kosten]],""))</f>
        <v/>
      </c>
    </row>
    <row r="700" spans="1:53" x14ac:dyDescent="0.25">
      <c r="A700" s="231"/>
      <c r="F700" s="64"/>
      <c r="G700" s="64"/>
      <c r="H700" s="275"/>
      <c r="I700" s="275"/>
      <c r="J700" s="275"/>
      <c r="K700" s="275"/>
      <c r="O700" s="56"/>
      <c r="Q700" t="str">
        <f>IFERROR(IF(VLOOKUP(Tb_Activiteiten[[#This Row],[Openstelling]],Tb_Openstelling[],2,0)=1,1,""),"")</f>
        <v/>
      </c>
      <c r="AK700" t="str">
        <f>IF(ISNUMBER(FIND("arbeid",Methode_Keuze)),"",IF(ISNUMBER(FIND("arbeid",Methode_Keuze)),"",IF(Tb_Activiteiten[[#This Row],[Loonkosten]]=1,Tb_Activiteiten[[#Headers],[Loonkosten]],"")))</f>
        <v/>
      </c>
      <c r="AL700" t="str">
        <f>IF(ISNUMBER(FIND("arbeid",Methode_Keuze)),"",IF(ISNUMBER(FIND("arbeid",Methode_Keuze)),"",IF(Tb_Activiteiten[[#This Row],[Eigen arbeid]]=1,Tb_Activiteiten[[#Headers],[Eigen arbeid]],"")))</f>
        <v/>
      </c>
      <c r="AM700" t="str">
        <f>IF(ISNUMBER(FIND("arbeid",Methode_Keuze)),"",IF(ISNUMBER(FIND("arbeid",Methode_Keuze)),"",IF(Tb_Activiteiten[[#This Row],[Projectmedewerker]]=1,Tb_Activiteiten[[#Headers],[Projectmedewerker]],"")))</f>
        <v/>
      </c>
      <c r="AN700" t="str">
        <f>IF(ISNUMBER(FIND("arbeid",Methode_Keuze)),"",IF(ISNUMBER(FIND("arbeid",Methode_Keuze)),"",IF(Tb_Activiteiten[[#This Row],[Landbouwer]]=1,Tb_Activiteiten[[#Headers],[Landbouwer]],"")))</f>
        <v/>
      </c>
      <c r="AO700" t="str">
        <f>IF(ISNUMBER(FIND("arbeid",Methode_Keuze)),"",IF(ISNUMBER(FIND("arbeid",Methode_Keuze)),"",IF(Tb_Activiteiten[[#This Row],[Adviseur]]=1,Tb_Activiteiten[[#Headers],[Adviseur]],"")))</f>
        <v/>
      </c>
      <c r="AP700" t="str">
        <f>IF(ISNUMBER(FIND("arbeid",Methode_Keuze)),"",IF(ISNUMBER(FIND("arbeid",Methode_Keuze)),"",IF(Tb_Activiteiten[[#This Row],[Projectleider/Expert]]=1,Tb_Activiteiten[[#Headers],[Projectleider/Expert]],"")))</f>
        <v/>
      </c>
      <c r="AQ700" t="str">
        <f>IF(ISNUMBER(FIND("arbeid",Methode_Keuze)),"",IF(ISNUMBER(FIND("arbeid",Methode_Keuze)),"",IF(Tb_Activiteiten[[#This Row],[Arbeidskosten]]=1,Tb_Activiteiten[[#Headers],[Arbeidskosten]],"")))</f>
        <v/>
      </c>
      <c r="AR700" t="str">
        <f>IF(ISNUMBER(FIND("arbeid",Methode_Keuze)),"",IF(ISNUMBER(FIND("arbeid",Methode_Keuze)),"",IF(Tb_Activiteiten[[#This Row],[Arbeidskosten op basis van IKS]]=1,Tb_Activiteiten[[#Headers],[Arbeidskosten op basis van IKS]],"")))</f>
        <v/>
      </c>
      <c r="AS700" t="str">
        <f>IF(ISNUMBER(FIND("overige",Methode_Keuze)),"",IF(Tb_Activiteiten[[#This Row],[Kosten derden exclusief btw]]=1,Tb_Activiteiten[[#Headers],[Kosten derden exclusief btw]],""))</f>
        <v/>
      </c>
      <c r="AT700" t="str">
        <f>IF(ISNUMBER(FIND("overige",Methode_Keuze)),"",IF(Tb_Activiteiten[[#This Row],[Niet verrekenbare btw]]=1,Tb_Activiteiten[[#Headers],[Niet verrekenbare btw]],""))</f>
        <v/>
      </c>
      <c r="AU700" t="str">
        <f>IF(ISNUMBER(FIND("overige",Methode_Keuze)),"",IF(Tb_Activiteiten[[#This Row],[Grondkosten]]=1,Tb_Activiteiten[[#Headers],[Grondkosten]],""))</f>
        <v/>
      </c>
      <c r="AV700" t="str">
        <f>IF(ISNUMBER(FIND("overige",Methode_Keuze)),"",IF(Tb_Activiteiten[[#This Row],[Bijdrage in natura (overige)]]=1,Tb_Activiteiten[[#Headers],[Bijdrage in natura (overige)]],""))</f>
        <v/>
      </c>
      <c r="AW700" t="str">
        <f>IF(ISNUMBER(FIND("overige",Methode_Keuze)),"",IF(Tb_Activiteiten[[#This Row],[Bijdrage in natura (vrijwilligers)]]=1,Tb_Activiteiten[[#Headers],[Bijdrage in natura (vrijwilligers)]],""))</f>
        <v/>
      </c>
      <c r="AX700" t="str">
        <f>IF(ISNUMBER(FIND("overige",Methode_Keuze)),"",IF(Tb_Activiteiten[[#This Row],[Afschrijvingskosten]]=1,Tb_Activiteiten[[#Headers],[Afschrijvingskosten]],""))</f>
        <v/>
      </c>
      <c r="AY700" t="str">
        <f>IF(ISNUMBER(FIND("overige",Methode_Keuze)),"",IF(Tb_Activiteiten[[#This Row],[Vergoeding]]=1,Tb_Activiteiten[[#Headers],[Vergoeding]],""))</f>
        <v/>
      </c>
      <c r="AZ700" t="str">
        <f>IF(ISNUMBER(FIND("arbeid",Methode_Keuze)),"",IF(Tb_Activiteiten[[#This Row],[Arbeidskosten - vast tarief (excl eigen arbeid)]]=1,Tb_Activiteiten[[#Headers],[Arbeidskosten - vast tarief (excl eigen arbeid)]],""))</f>
        <v/>
      </c>
      <c r="BA700" t="str">
        <f>IF(ISNUMBER(FIND("overige",Methode_Keuze)),"",IF(Tb_Activiteiten[[#This Row],[Overige kosten]]=1,Tb_Activiteiten[[#Headers],[Overige kosten]],""))</f>
        <v/>
      </c>
    </row>
    <row r="701" spans="1:53" x14ac:dyDescent="0.25">
      <c r="A701" s="231"/>
      <c r="F701" s="64"/>
      <c r="G701" s="64"/>
      <c r="H701" s="275"/>
      <c r="I701" s="275"/>
      <c r="J701" s="275"/>
      <c r="K701" s="275"/>
      <c r="O701" s="56"/>
      <c r="Q701" t="str">
        <f>IFERROR(IF(VLOOKUP(Tb_Activiteiten[[#This Row],[Openstelling]],Tb_Openstelling[],2,0)=1,1,""),"")</f>
        <v/>
      </c>
      <c r="AK701" t="str">
        <f>IF(ISNUMBER(FIND("arbeid",Methode_Keuze)),"",IF(ISNUMBER(FIND("arbeid",Methode_Keuze)),"",IF(Tb_Activiteiten[[#This Row],[Loonkosten]]=1,Tb_Activiteiten[[#Headers],[Loonkosten]],"")))</f>
        <v/>
      </c>
      <c r="AL701" t="str">
        <f>IF(ISNUMBER(FIND("arbeid",Methode_Keuze)),"",IF(ISNUMBER(FIND("arbeid",Methode_Keuze)),"",IF(Tb_Activiteiten[[#This Row],[Eigen arbeid]]=1,Tb_Activiteiten[[#Headers],[Eigen arbeid]],"")))</f>
        <v/>
      </c>
      <c r="AM701" t="str">
        <f>IF(ISNUMBER(FIND("arbeid",Methode_Keuze)),"",IF(ISNUMBER(FIND("arbeid",Methode_Keuze)),"",IF(Tb_Activiteiten[[#This Row],[Projectmedewerker]]=1,Tb_Activiteiten[[#Headers],[Projectmedewerker]],"")))</f>
        <v/>
      </c>
      <c r="AN701" t="str">
        <f>IF(ISNUMBER(FIND("arbeid",Methode_Keuze)),"",IF(ISNUMBER(FIND("arbeid",Methode_Keuze)),"",IF(Tb_Activiteiten[[#This Row],[Landbouwer]]=1,Tb_Activiteiten[[#Headers],[Landbouwer]],"")))</f>
        <v/>
      </c>
      <c r="AO701" t="str">
        <f>IF(ISNUMBER(FIND("arbeid",Methode_Keuze)),"",IF(ISNUMBER(FIND("arbeid",Methode_Keuze)),"",IF(Tb_Activiteiten[[#This Row],[Adviseur]]=1,Tb_Activiteiten[[#Headers],[Adviseur]],"")))</f>
        <v/>
      </c>
      <c r="AP701" t="str">
        <f>IF(ISNUMBER(FIND("arbeid",Methode_Keuze)),"",IF(ISNUMBER(FIND("arbeid",Methode_Keuze)),"",IF(Tb_Activiteiten[[#This Row],[Projectleider/Expert]]=1,Tb_Activiteiten[[#Headers],[Projectleider/Expert]],"")))</f>
        <v/>
      </c>
      <c r="AQ701" t="str">
        <f>IF(ISNUMBER(FIND("arbeid",Methode_Keuze)),"",IF(ISNUMBER(FIND("arbeid",Methode_Keuze)),"",IF(Tb_Activiteiten[[#This Row],[Arbeidskosten]]=1,Tb_Activiteiten[[#Headers],[Arbeidskosten]],"")))</f>
        <v/>
      </c>
      <c r="AR701" t="str">
        <f>IF(ISNUMBER(FIND("arbeid",Methode_Keuze)),"",IF(ISNUMBER(FIND("arbeid",Methode_Keuze)),"",IF(Tb_Activiteiten[[#This Row],[Arbeidskosten op basis van IKS]]=1,Tb_Activiteiten[[#Headers],[Arbeidskosten op basis van IKS]],"")))</f>
        <v/>
      </c>
      <c r="AS701" t="str">
        <f>IF(ISNUMBER(FIND("overige",Methode_Keuze)),"",IF(Tb_Activiteiten[[#This Row],[Kosten derden exclusief btw]]=1,Tb_Activiteiten[[#Headers],[Kosten derden exclusief btw]],""))</f>
        <v/>
      </c>
      <c r="AT701" t="str">
        <f>IF(ISNUMBER(FIND("overige",Methode_Keuze)),"",IF(Tb_Activiteiten[[#This Row],[Niet verrekenbare btw]]=1,Tb_Activiteiten[[#Headers],[Niet verrekenbare btw]],""))</f>
        <v/>
      </c>
      <c r="AU701" t="str">
        <f>IF(ISNUMBER(FIND("overige",Methode_Keuze)),"",IF(Tb_Activiteiten[[#This Row],[Grondkosten]]=1,Tb_Activiteiten[[#Headers],[Grondkosten]],""))</f>
        <v/>
      </c>
      <c r="AV701" t="str">
        <f>IF(ISNUMBER(FIND("overige",Methode_Keuze)),"",IF(Tb_Activiteiten[[#This Row],[Bijdrage in natura (overige)]]=1,Tb_Activiteiten[[#Headers],[Bijdrage in natura (overige)]],""))</f>
        <v/>
      </c>
      <c r="AW701" t="str">
        <f>IF(ISNUMBER(FIND("overige",Methode_Keuze)),"",IF(Tb_Activiteiten[[#This Row],[Bijdrage in natura (vrijwilligers)]]=1,Tb_Activiteiten[[#Headers],[Bijdrage in natura (vrijwilligers)]],""))</f>
        <v/>
      </c>
      <c r="AX701" t="str">
        <f>IF(ISNUMBER(FIND("overige",Methode_Keuze)),"",IF(Tb_Activiteiten[[#This Row],[Afschrijvingskosten]]=1,Tb_Activiteiten[[#Headers],[Afschrijvingskosten]],""))</f>
        <v/>
      </c>
      <c r="AY701" t="str">
        <f>IF(ISNUMBER(FIND("overige",Methode_Keuze)),"",IF(Tb_Activiteiten[[#This Row],[Vergoeding]]=1,Tb_Activiteiten[[#Headers],[Vergoeding]],""))</f>
        <v/>
      </c>
      <c r="AZ701" t="str">
        <f>IF(ISNUMBER(FIND("arbeid",Methode_Keuze)),"",IF(Tb_Activiteiten[[#This Row],[Arbeidskosten - vast tarief (excl eigen arbeid)]]=1,Tb_Activiteiten[[#Headers],[Arbeidskosten - vast tarief (excl eigen arbeid)]],""))</f>
        <v/>
      </c>
      <c r="BA701" t="str">
        <f>IF(ISNUMBER(FIND("overige",Methode_Keuze)),"",IF(Tb_Activiteiten[[#This Row],[Overige kosten]]=1,Tb_Activiteiten[[#Headers],[Overige kosten]],""))</f>
        <v/>
      </c>
    </row>
    <row r="702" spans="1:53" x14ac:dyDescent="0.25">
      <c r="A702" s="231"/>
      <c r="F702" s="64"/>
      <c r="G702" s="64"/>
      <c r="H702" s="275"/>
      <c r="I702" s="275"/>
      <c r="J702" s="275"/>
      <c r="K702" s="275"/>
      <c r="O702" s="56"/>
      <c r="Q702" t="str">
        <f>IFERROR(IF(VLOOKUP(Tb_Activiteiten[[#This Row],[Openstelling]],Tb_Openstelling[],2,0)=1,1,""),"")</f>
        <v/>
      </c>
      <c r="AK702" t="str">
        <f>IF(ISNUMBER(FIND("arbeid",Methode_Keuze)),"",IF(ISNUMBER(FIND("arbeid",Methode_Keuze)),"",IF(Tb_Activiteiten[[#This Row],[Loonkosten]]=1,Tb_Activiteiten[[#Headers],[Loonkosten]],"")))</f>
        <v/>
      </c>
      <c r="AL702" t="str">
        <f>IF(ISNUMBER(FIND("arbeid",Methode_Keuze)),"",IF(ISNUMBER(FIND("arbeid",Methode_Keuze)),"",IF(Tb_Activiteiten[[#This Row],[Eigen arbeid]]=1,Tb_Activiteiten[[#Headers],[Eigen arbeid]],"")))</f>
        <v/>
      </c>
      <c r="AM702" t="str">
        <f>IF(ISNUMBER(FIND("arbeid",Methode_Keuze)),"",IF(ISNUMBER(FIND("arbeid",Methode_Keuze)),"",IF(Tb_Activiteiten[[#This Row],[Projectmedewerker]]=1,Tb_Activiteiten[[#Headers],[Projectmedewerker]],"")))</f>
        <v/>
      </c>
      <c r="AN702" t="str">
        <f>IF(ISNUMBER(FIND("arbeid",Methode_Keuze)),"",IF(ISNUMBER(FIND("arbeid",Methode_Keuze)),"",IF(Tb_Activiteiten[[#This Row],[Landbouwer]]=1,Tb_Activiteiten[[#Headers],[Landbouwer]],"")))</f>
        <v/>
      </c>
      <c r="AO702" t="str">
        <f>IF(ISNUMBER(FIND("arbeid",Methode_Keuze)),"",IF(ISNUMBER(FIND("arbeid",Methode_Keuze)),"",IF(Tb_Activiteiten[[#This Row],[Adviseur]]=1,Tb_Activiteiten[[#Headers],[Adviseur]],"")))</f>
        <v/>
      </c>
      <c r="AP702" t="str">
        <f>IF(ISNUMBER(FIND("arbeid",Methode_Keuze)),"",IF(ISNUMBER(FIND("arbeid",Methode_Keuze)),"",IF(Tb_Activiteiten[[#This Row],[Projectleider/Expert]]=1,Tb_Activiteiten[[#Headers],[Projectleider/Expert]],"")))</f>
        <v/>
      </c>
      <c r="AQ702" t="str">
        <f>IF(ISNUMBER(FIND("arbeid",Methode_Keuze)),"",IF(ISNUMBER(FIND("arbeid",Methode_Keuze)),"",IF(Tb_Activiteiten[[#This Row],[Arbeidskosten]]=1,Tb_Activiteiten[[#Headers],[Arbeidskosten]],"")))</f>
        <v/>
      </c>
      <c r="AR702" t="str">
        <f>IF(ISNUMBER(FIND("arbeid",Methode_Keuze)),"",IF(ISNUMBER(FIND("arbeid",Methode_Keuze)),"",IF(Tb_Activiteiten[[#This Row],[Arbeidskosten op basis van IKS]]=1,Tb_Activiteiten[[#Headers],[Arbeidskosten op basis van IKS]],"")))</f>
        <v/>
      </c>
      <c r="AS702" t="str">
        <f>IF(ISNUMBER(FIND("overige",Methode_Keuze)),"",IF(Tb_Activiteiten[[#This Row],[Kosten derden exclusief btw]]=1,Tb_Activiteiten[[#Headers],[Kosten derden exclusief btw]],""))</f>
        <v/>
      </c>
      <c r="AT702" t="str">
        <f>IF(ISNUMBER(FIND("overige",Methode_Keuze)),"",IF(Tb_Activiteiten[[#This Row],[Niet verrekenbare btw]]=1,Tb_Activiteiten[[#Headers],[Niet verrekenbare btw]],""))</f>
        <v/>
      </c>
      <c r="AU702" t="str">
        <f>IF(ISNUMBER(FIND("overige",Methode_Keuze)),"",IF(Tb_Activiteiten[[#This Row],[Grondkosten]]=1,Tb_Activiteiten[[#Headers],[Grondkosten]],""))</f>
        <v/>
      </c>
      <c r="AV702" t="str">
        <f>IF(ISNUMBER(FIND("overige",Methode_Keuze)),"",IF(Tb_Activiteiten[[#This Row],[Bijdrage in natura (overige)]]=1,Tb_Activiteiten[[#Headers],[Bijdrage in natura (overige)]],""))</f>
        <v/>
      </c>
      <c r="AW702" t="str">
        <f>IF(ISNUMBER(FIND("overige",Methode_Keuze)),"",IF(Tb_Activiteiten[[#This Row],[Bijdrage in natura (vrijwilligers)]]=1,Tb_Activiteiten[[#Headers],[Bijdrage in natura (vrijwilligers)]],""))</f>
        <v/>
      </c>
      <c r="AX702" t="str">
        <f>IF(ISNUMBER(FIND("overige",Methode_Keuze)),"",IF(Tb_Activiteiten[[#This Row],[Afschrijvingskosten]]=1,Tb_Activiteiten[[#Headers],[Afschrijvingskosten]],""))</f>
        <v/>
      </c>
      <c r="AY702" t="str">
        <f>IF(ISNUMBER(FIND("overige",Methode_Keuze)),"",IF(Tb_Activiteiten[[#This Row],[Vergoeding]]=1,Tb_Activiteiten[[#Headers],[Vergoeding]],""))</f>
        <v/>
      </c>
      <c r="AZ702" t="str">
        <f>IF(ISNUMBER(FIND("arbeid",Methode_Keuze)),"",IF(Tb_Activiteiten[[#This Row],[Arbeidskosten - vast tarief (excl eigen arbeid)]]=1,Tb_Activiteiten[[#Headers],[Arbeidskosten - vast tarief (excl eigen arbeid)]],""))</f>
        <v/>
      </c>
      <c r="BA702" t="str">
        <f>IF(ISNUMBER(FIND("overige",Methode_Keuze)),"",IF(Tb_Activiteiten[[#This Row],[Overige kosten]]=1,Tb_Activiteiten[[#Headers],[Overige kosten]],""))</f>
        <v/>
      </c>
    </row>
    <row r="703" spans="1:53" x14ac:dyDescent="0.25">
      <c r="A703" s="231"/>
      <c r="F703" s="64"/>
      <c r="G703" s="64"/>
      <c r="H703" s="275"/>
      <c r="I703" s="275"/>
      <c r="J703" s="275"/>
      <c r="K703" s="275"/>
      <c r="O703" s="56"/>
      <c r="Q703" t="str">
        <f>IFERROR(IF(VLOOKUP(Tb_Activiteiten[[#This Row],[Openstelling]],Tb_Openstelling[],2,0)=1,1,""),"")</f>
        <v/>
      </c>
      <c r="AK703" t="str">
        <f>IF(ISNUMBER(FIND("arbeid",Methode_Keuze)),"",IF(ISNUMBER(FIND("arbeid",Methode_Keuze)),"",IF(Tb_Activiteiten[[#This Row],[Loonkosten]]=1,Tb_Activiteiten[[#Headers],[Loonkosten]],"")))</f>
        <v/>
      </c>
      <c r="AL703" t="str">
        <f>IF(ISNUMBER(FIND("arbeid",Methode_Keuze)),"",IF(ISNUMBER(FIND("arbeid",Methode_Keuze)),"",IF(Tb_Activiteiten[[#This Row],[Eigen arbeid]]=1,Tb_Activiteiten[[#Headers],[Eigen arbeid]],"")))</f>
        <v/>
      </c>
      <c r="AM703" t="str">
        <f>IF(ISNUMBER(FIND("arbeid",Methode_Keuze)),"",IF(ISNUMBER(FIND("arbeid",Methode_Keuze)),"",IF(Tb_Activiteiten[[#This Row],[Projectmedewerker]]=1,Tb_Activiteiten[[#Headers],[Projectmedewerker]],"")))</f>
        <v/>
      </c>
      <c r="AN703" t="str">
        <f>IF(ISNUMBER(FIND("arbeid",Methode_Keuze)),"",IF(ISNUMBER(FIND("arbeid",Methode_Keuze)),"",IF(Tb_Activiteiten[[#This Row],[Landbouwer]]=1,Tb_Activiteiten[[#Headers],[Landbouwer]],"")))</f>
        <v/>
      </c>
      <c r="AO703" t="str">
        <f>IF(ISNUMBER(FIND("arbeid",Methode_Keuze)),"",IF(ISNUMBER(FIND("arbeid",Methode_Keuze)),"",IF(Tb_Activiteiten[[#This Row],[Adviseur]]=1,Tb_Activiteiten[[#Headers],[Adviseur]],"")))</f>
        <v/>
      </c>
      <c r="AP703" t="str">
        <f>IF(ISNUMBER(FIND("arbeid",Methode_Keuze)),"",IF(ISNUMBER(FIND("arbeid",Methode_Keuze)),"",IF(Tb_Activiteiten[[#This Row],[Projectleider/Expert]]=1,Tb_Activiteiten[[#Headers],[Projectleider/Expert]],"")))</f>
        <v/>
      </c>
      <c r="AQ703" t="str">
        <f>IF(ISNUMBER(FIND("arbeid",Methode_Keuze)),"",IF(ISNUMBER(FIND("arbeid",Methode_Keuze)),"",IF(Tb_Activiteiten[[#This Row],[Arbeidskosten]]=1,Tb_Activiteiten[[#Headers],[Arbeidskosten]],"")))</f>
        <v/>
      </c>
      <c r="AR703" t="str">
        <f>IF(ISNUMBER(FIND("arbeid",Methode_Keuze)),"",IF(ISNUMBER(FIND("arbeid",Methode_Keuze)),"",IF(Tb_Activiteiten[[#This Row],[Arbeidskosten op basis van IKS]]=1,Tb_Activiteiten[[#Headers],[Arbeidskosten op basis van IKS]],"")))</f>
        <v/>
      </c>
      <c r="AS703" t="str">
        <f>IF(ISNUMBER(FIND("overige",Methode_Keuze)),"",IF(Tb_Activiteiten[[#This Row],[Kosten derden exclusief btw]]=1,Tb_Activiteiten[[#Headers],[Kosten derden exclusief btw]],""))</f>
        <v/>
      </c>
      <c r="AT703" t="str">
        <f>IF(ISNUMBER(FIND("overige",Methode_Keuze)),"",IF(Tb_Activiteiten[[#This Row],[Niet verrekenbare btw]]=1,Tb_Activiteiten[[#Headers],[Niet verrekenbare btw]],""))</f>
        <v/>
      </c>
      <c r="AU703" t="str">
        <f>IF(ISNUMBER(FIND("overige",Methode_Keuze)),"",IF(Tb_Activiteiten[[#This Row],[Grondkosten]]=1,Tb_Activiteiten[[#Headers],[Grondkosten]],""))</f>
        <v/>
      </c>
      <c r="AV703" t="str">
        <f>IF(ISNUMBER(FIND("overige",Methode_Keuze)),"",IF(Tb_Activiteiten[[#This Row],[Bijdrage in natura (overige)]]=1,Tb_Activiteiten[[#Headers],[Bijdrage in natura (overige)]],""))</f>
        <v/>
      </c>
      <c r="AW703" t="str">
        <f>IF(ISNUMBER(FIND("overige",Methode_Keuze)),"",IF(Tb_Activiteiten[[#This Row],[Bijdrage in natura (vrijwilligers)]]=1,Tb_Activiteiten[[#Headers],[Bijdrage in natura (vrijwilligers)]],""))</f>
        <v/>
      </c>
      <c r="AX703" t="str">
        <f>IF(ISNUMBER(FIND("overige",Methode_Keuze)),"",IF(Tb_Activiteiten[[#This Row],[Afschrijvingskosten]]=1,Tb_Activiteiten[[#Headers],[Afschrijvingskosten]],""))</f>
        <v/>
      </c>
      <c r="AY703" t="str">
        <f>IF(ISNUMBER(FIND("overige",Methode_Keuze)),"",IF(Tb_Activiteiten[[#This Row],[Vergoeding]]=1,Tb_Activiteiten[[#Headers],[Vergoeding]],""))</f>
        <v/>
      </c>
      <c r="AZ703" t="str">
        <f>IF(ISNUMBER(FIND("arbeid",Methode_Keuze)),"",IF(Tb_Activiteiten[[#This Row],[Arbeidskosten - vast tarief (excl eigen arbeid)]]=1,Tb_Activiteiten[[#Headers],[Arbeidskosten - vast tarief (excl eigen arbeid)]],""))</f>
        <v/>
      </c>
      <c r="BA703" t="str">
        <f>IF(ISNUMBER(FIND("overige",Methode_Keuze)),"",IF(Tb_Activiteiten[[#This Row],[Overige kosten]]=1,Tb_Activiteiten[[#Headers],[Overige kosten]],""))</f>
        <v/>
      </c>
    </row>
    <row r="704" spans="1:53" x14ac:dyDescent="0.25">
      <c r="A704" s="231"/>
      <c r="F704" s="64"/>
      <c r="G704" s="64"/>
      <c r="H704" s="275"/>
      <c r="I704" s="275"/>
      <c r="J704" s="275"/>
      <c r="K704" s="275"/>
      <c r="O704" s="56"/>
      <c r="Q704" t="str">
        <f>IFERROR(IF(VLOOKUP(Tb_Activiteiten[[#This Row],[Openstelling]],Tb_Openstelling[],2,0)=1,1,""),"")</f>
        <v/>
      </c>
      <c r="AK704" t="str">
        <f>IF(ISNUMBER(FIND("arbeid",Methode_Keuze)),"",IF(ISNUMBER(FIND("arbeid",Methode_Keuze)),"",IF(Tb_Activiteiten[[#This Row],[Loonkosten]]=1,Tb_Activiteiten[[#Headers],[Loonkosten]],"")))</f>
        <v/>
      </c>
      <c r="AL704" t="str">
        <f>IF(ISNUMBER(FIND("arbeid",Methode_Keuze)),"",IF(ISNUMBER(FIND("arbeid",Methode_Keuze)),"",IF(Tb_Activiteiten[[#This Row],[Eigen arbeid]]=1,Tb_Activiteiten[[#Headers],[Eigen arbeid]],"")))</f>
        <v/>
      </c>
      <c r="AM704" t="str">
        <f>IF(ISNUMBER(FIND("arbeid",Methode_Keuze)),"",IF(ISNUMBER(FIND("arbeid",Methode_Keuze)),"",IF(Tb_Activiteiten[[#This Row],[Projectmedewerker]]=1,Tb_Activiteiten[[#Headers],[Projectmedewerker]],"")))</f>
        <v/>
      </c>
      <c r="AN704" t="str">
        <f>IF(ISNUMBER(FIND("arbeid",Methode_Keuze)),"",IF(ISNUMBER(FIND("arbeid",Methode_Keuze)),"",IF(Tb_Activiteiten[[#This Row],[Landbouwer]]=1,Tb_Activiteiten[[#Headers],[Landbouwer]],"")))</f>
        <v/>
      </c>
      <c r="AO704" t="str">
        <f>IF(ISNUMBER(FIND("arbeid",Methode_Keuze)),"",IF(ISNUMBER(FIND("arbeid",Methode_Keuze)),"",IF(Tb_Activiteiten[[#This Row],[Adviseur]]=1,Tb_Activiteiten[[#Headers],[Adviseur]],"")))</f>
        <v/>
      </c>
      <c r="AP704" t="str">
        <f>IF(ISNUMBER(FIND("arbeid",Methode_Keuze)),"",IF(ISNUMBER(FIND("arbeid",Methode_Keuze)),"",IF(Tb_Activiteiten[[#This Row],[Projectleider/Expert]]=1,Tb_Activiteiten[[#Headers],[Projectleider/Expert]],"")))</f>
        <v/>
      </c>
      <c r="AQ704" t="str">
        <f>IF(ISNUMBER(FIND("arbeid",Methode_Keuze)),"",IF(ISNUMBER(FIND("arbeid",Methode_Keuze)),"",IF(Tb_Activiteiten[[#This Row],[Arbeidskosten]]=1,Tb_Activiteiten[[#Headers],[Arbeidskosten]],"")))</f>
        <v/>
      </c>
      <c r="AR704" t="str">
        <f>IF(ISNUMBER(FIND("arbeid",Methode_Keuze)),"",IF(ISNUMBER(FIND("arbeid",Methode_Keuze)),"",IF(Tb_Activiteiten[[#This Row],[Arbeidskosten op basis van IKS]]=1,Tb_Activiteiten[[#Headers],[Arbeidskosten op basis van IKS]],"")))</f>
        <v/>
      </c>
      <c r="AS704" t="str">
        <f>IF(ISNUMBER(FIND("overige",Methode_Keuze)),"",IF(Tb_Activiteiten[[#This Row],[Kosten derden exclusief btw]]=1,Tb_Activiteiten[[#Headers],[Kosten derden exclusief btw]],""))</f>
        <v/>
      </c>
      <c r="AT704" t="str">
        <f>IF(ISNUMBER(FIND("overige",Methode_Keuze)),"",IF(Tb_Activiteiten[[#This Row],[Niet verrekenbare btw]]=1,Tb_Activiteiten[[#Headers],[Niet verrekenbare btw]],""))</f>
        <v/>
      </c>
      <c r="AU704" t="str">
        <f>IF(ISNUMBER(FIND("overige",Methode_Keuze)),"",IF(Tb_Activiteiten[[#This Row],[Grondkosten]]=1,Tb_Activiteiten[[#Headers],[Grondkosten]],""))</f>
        <v/>
      </c>
      <c r="AV704" t="str">
        <f>IF(ISNUMBER(FIND("overige",Methode_Keuze)),"",IF(Tb_Activiteiten[[#This Row],[Bijdrage in natura (overige)]]=1,Tb_Activiteiten[[#Headers],[Bijdrage in natura (overige)]],""))</f>
        <v/>
      </c>
      <c r="AW704" t="str">
        <f>IF(ISNUMBER(FIND("overige",Methode_Keuze)),"",IF(Tb_Activiteiten[[#This Row],[Bijdrage in natura (vrijwilligers)]]=1,Tb_Activiteiten[[#Headers],[Bijdrage in natura (vrijwilligers)]],""))</f>
        <v/>
      </c>
      <c r="AX704" t="str">
        <f>IF(ISNUMBER(FIND("overige",Methode_Keuze)),"",IF(Tb_Activiteiten[[#This Row],[Afschrijvingskosten]]=1,Tb_Activiteiten[[#Headers],[Afschrijvingskosten]],""))</f>
        <v/>
      </c>
      <c r="AY704" t="str">
        <f>IF(ISNUMBER(FIND("overige",Methode_Keuze)),"",IF(Tb_Activiteiten[[#This Row],[Vergoeding]]=1,Tb_Activiteiten[[#Headers],[Vergoeding]],""))</f>
        <v/>
      </c>
      <c r="AZ704" t="str">
        <f>IF(ISNUMBER(FIND("arbeid",Methode_Keuze)),"",IF(Tb_Activiteiten[[#This Row],[Arbeidskosten - vast tarief (excl eigen arbeid)]]=1,Tb_Activiteiten[[#Headers],[Arbeidskosten - vast tarief (excl eigen arbeid)]],""))</f>
        <v/>
      </c>
      <c r="BA704" t="str">
        <f>IF(ISNUMBER(FIND("overige",Methode_Keuze)),"",IF(Tb_Activiteiten[[#This Row],[Overige kosten]]=1,Tb_Activiteiten[[#Headers],[Overige kosten]],""))</f>
        <v/>
      </c>
    </row>
    <row r="705" spans="1:53" x14ac:dyDescent="0.25">
      <c r="A705" s="231"/>
      <c r="F705" s="64"/>
      <c r="G705" s="64"/>
      <c r="H705" s="275"/>
      <c r="I705" s="275"/>
      <c r="J705" s="275"/>
      <c r="K705" s="275"/>
      <c r="O705" s="56"/>
      <c r="Q705" t="str">
        <f>IFERROR(IF(VLOOKUP(Tb_Activiteiten[[#This Row],[Openstelling]],Tb_Openstelling[],2,0)=1,1,""),"")</f>
        <v/>
      </c>
      <c r="AK705" t="str">
        <f>IF(ISNUMBER(FIND("arbeid",Methode_Keuze)),"",IF(ISNUMBER(FIND("arbeid",Methode_Keuze)),"",IF(Tb_Activiteiten[[#This Row],[Loonkosten]]=1,Tb_Activiteiten[[#Headers],[Loonkosten]],"")))</f>
        <v/>
      </c>
      <c r="AL705" t="str">
        <f>IF(ISNUMBER(FIND("arbeid",Methode_Keuze)),"",IF(ISNUMBER(FIND("arbeid",Methode_Keuze)),"",IF(Tb_Activiteiten[[#This Row],[Eigen arbeid]]=1,Tb_Activiteiten[[#Headers],[Eigen arbeid]],"")))</f>
        <v/>
      </c>
      <c r="AM705" t="str">
        <f>IF(ISNUMBER(FIND("arbeid",Methode_Keuze)),"",IF(ISNUMBER(FIND("arbeid",Methode_Keuze)),"",IF(Tb_Activiteiten[[#This Row],[Projectmedewerker]]=1,Tb_Activiteiten[[#Headers],[Projectmedewerker]],"")))</f>
        <v/>
      </c>
      <c r="AN705" t="str">
        <f>IF(ISNUMBER(FIND("arbeid",Methode_Keuze)),"",IF(ISNUMBER(FIND("arbeid",Methode_Keuze)),"",IF(Tb_Activiteiten[[#This Row],[Landbouwer]]=1,Tb_Activiteiten[[#Headers],[Landbouwer]],"")))</f>
        <v/>
      </c>
      <c r="AO705" t="str">
        <f>IF(ISNUMBER(FIND("arbeid",Methode_Keuze)),"",IF(ISNUMBER(FIND("arbeid",Methode_Keuze)),"",IF(Tb_Activiteiten[[#This Row],[Adviseur]]=1,Tb_Activiteiten[[#Headers],[Adviseur]],"")))</f>
        <v/>
      </c>
      <c r="AP705" t="str">
        <f>IF(ISNUMBER(FIND("arbeid",Methode_Keuze)),"",IF(ISNUMBER(FIND("arbeid",Methode_Keuze)),"",IF(Tb_Activiteiten[[#This Row],[Projectleider/Expert]]=1,Tb_Activiteiten[[#Headers],[Projectleider/Expert]],"")))</f>
        <v/>
      </c>
      <c r="AQ705" t="str">
        <f>IF(ISNUMBER(FIND("arbeid",Methode_Keuze)),"",IF(ISNUMBER(FIND("arbeid",Methode_Keuze)),"",IF(Tb_Activiteiten[[#This Row],[Arbeidskosten]]=1,Tb_Activiteiten[[#Headers],[Arbeidskosten]],"")))</f>
        <v/>
      </c>
      <c r="AR705" t="str">
        <f>IF(ISNUMBER(FIND("arbeid",Methode_Keuze)),"",IF(ISNUMBER(FIND("arbeid",Methode_Keuze)),"",IF(Tb_Activiteiten[[#This Row],[Arbeidskosten op basis van IKS]]=1,Tb_Activiteiten[[#Headers],[Arbeidskosten op basis van IKS]],"")))</f>
        <v/>
      </c>
      <c r="AS705" t="str">
        <f>IF(ISNUMBER(FIND("overige",Methode_Keuze)),"",IF(Tb_Activiteiten[[#This Row],[Kosten derden exclusief btw]]=1,Tb_Activiteiten[[#Headers],[Kosten derden exclusief btw]],""))</f>
        <v/>
      </c>
      <c r="AT705" t="str">
        <f>IF(ISNUMBER(FIND("overige",Methode_Keuze)),"",IF(Tb_Activiteiten[[#This Row],[Niet verrekenbare btw]]=1,Tb_Activiteiten[[#Headers],[Niet verrekenbare btw]],""))</f>
        <v/>
      </c>
      <c r="AU705" t="str">
        <f>IF(ISNUMBER(FIND("overige",Methode_Keuze)),"",IF(Tb_Activiteiten[[#This Row],[Grondkosten]]=1,Tb_Activiteiten[[#Headers],[Grondkosten]],""))</f>
        <v/>
      </c>
      <c r="AV705" t="str">
        <f>IF(ISNUMBER(FIND("overige",Methode_Keuze)),"",IF(Tb_Activiteiten[[#This Row],[Bijdrage in natura (overige)]]=1,Tb_Activiteiten[[#Headers],[Bijdrage in natura (overige)]],""))</f>
        <v/>
      </c>
      <c r="AW705" t="str">
        <f>IF(ISNUMBER(FIND("overige",Methode_Keuze)),"",IF(Tb_Activiteiten[[#This Row],[Bijdrage in natura (vrijwilligers)]]=1,Tb_Activiteiten[[#Headers],[Bijdrage in natura (vrijwilligers)]],""))</f>
        <v/>
      </c>
      <c r="AX705" t="str">
        <f>IF(ISNUMBER(FIND("overige",Methode_Keuze)),"",IF(Tb_Activiteiten[[#This Row],[Afschrijvingskosten]]=1,Tb_Activiteiten[[#Headers],[Afschrijvingskosten]],""))</f>
        <v/>
      </c>
      <c r="AY705" t="str">
        <f>IF(ISNUMBER(FIND("overige",Methode_Keuze)),"",IF(Tb_Activiteiten[[#This Row],[Vergoeding]]=1,Tb_Activiteiten[[#Headers],[Vergoeding]],""))</f>
        <v/>
      </c>
      <c r="AZ705" t="str">
        <f>IF(ISNUMBER(FIND("arbeid",Methode_Keuze)),"",IF(Tb_Activiteiten[[#This Row],[Arbeidskosten - vast tarief (excl eigen arbeid)]]=1,Tb_Activiteiten[[#Headers],[Arbeidskosten - vast tarief (excl eigen arbeid)]],""))</f>
        <v/>
      </c>
      <c r="BA705" t="str">
        <f>IF(ISNUMBER(FIND("overige",Methode_Keuze)),"",IF(Tb_Activiteiten[[#This Row],[Overige kosten]]=1,Tb_Activiteiten[[#Headers],[Overige kosten]],""))</f>
        <v/>
      </c>
    </row>
    <row r="706" spans="1:53" x14ac:dyDescent="0.25">
      <c r="A706" s="231"/>
      <c r="F706" s="64"/>
      <c r="G706" s="64"/>
      <c r="H706" s="275"/>
      <c r="I706" s="275"/>
      <c r="J706" s="275"/>
      <c r="K706" s="275"/>
      <c r="O706" s="56"/>
      <c r="Q706" t="str">
        <f>IFERROR(IF(VLOOKUP(Tb_Activiteiten[[#This Row],[Openstelling]],Tb_Openstelling[],2,0)=1,1,""),"")</f>
        <v/>
      </c>
      <c r="AK706" t="str">
        <f>IF(ISNUMBER(FIND("arbeid",Methode_Keuze)),"",IF(ISNUMBER(FIND("arbeid",Methode_Keuze)),"",IF(Tb_Activiteiten[[#This Row],[Loonkosten]]=1,Tb_Activiteiten[[#Headers],[Loonkosten]],"")))</f>
        <v/>
      </c>
      <c r="AL706" t="str">
        <f>IF(ISNUMBER(FIND("arbeid",Methode_Keuze)),"",IF(ISNUMBER(FIND("arbeid",Methode_Keuze)),"",IF(Tb_Activiteiten[[#This Row],[Eigen arbeid]]=1,Tb_Activiteiten[[#Headers],[Eigen arbeid]],"")))</f>
        <v/>
      </c>
      <c r="AM706" t="str">
        <f>IF(ISNUMBER(FIND("arbeid",Methode_Keuze)),"",IF(ISNUMBER(FIND("arbeid",Methode_Keuze)),"",IF(Tb_Activiteiten[[#This Row],[Projectmedewerker]]=1,Tb_Activiteiten[[#Headers],[Projectmedewerker]],"")))</f>
        <v/>
      </c>
      <c r="AN706" t="str">
        <f>IF(ISNUMBER(FIND("arbeid",Methode_Keuze)),"",IF(ISNUMBER(FIND("arbeid",Methode_Keuze)),"",IF(Tb_Activiteiten[[#This Row],[Landbouwer]]=1,Tb_Activiteiten[[#Headers],[Landbouwer]],"")))</f>
        <v/>
      </c>
      <c r="AO706" t="str">
        <f>IF(ISNUMBER(FIND("arbeid",Methode_Keuze)),"",IF(ISNUMBER(FIND("arbeid",Methode_Keuze)),"",IF(Tb_Activiteiten[[#This Row],[Adviseur]]=1,Tb_Activiteiten[[#Headers],[Adviseur]],"")))</f>
        <v/>
      </c>
      <c r="AP706" t="str">
        <f>IF(ISNUMBER(FIND("arbeid",Methode_Keuze)),"",IF(ISNUMBER(FIND("arbeid",Methode_Keuze)),"",IF(Tb_Activiteiten[[#This Row],[Projectleider/Expert]]=1,Tb_Activiteiten[[#Headers],[Projectleider/Expert]],"")))</f>
        <v/>
      </c>
      <c r="AQ706" t="str">
        <f>IF(ISNUMBER(FIND("arbeid",Methode_Keuze)),"",IF(ISNUMBER(FIND("arbeid",Methode_Keuze)),"",IF(Tb_Activiteiten[[#This Row],[Arbeidskosten]]=1,Tb_Activiteiten[[#Headers],[Arbeidskosten]],"")))</f>
        <v/>
      </c>
      <c r="AR706" t="str">
        <f>IF(ISNUMBER(FIND("arbeid",Methode_Keuze)),"",IF(ISNUMBER(FIND("arbeid",Methode_Keuze)),"",IF(Tb_Activiteiten[[#This Row],[Arbeidskosten op basis van IKS]]=1,Tb_Activiteiten[[#Headers],[Arbeidskosten op basis van IKS]],"")))</f>
        <v/>
      </c>
      <c r="AS706" t="str">
        <f>IF(ISNUMBER(FIND("overige",Methode_Keuze)),"",IF(Tb_Activiteiten[[#This Row],[Kosten derden exclusief btw]]=1,Tb_Activiteiten[[#Headers],[Kosten derden exclusief btw]],""))</f>
        <v/>
      </c>
      <c r="AT706" t="str">
        <f>IF(ISNUMBER(FIND("overige",Methode_Keuze)),"",IF(Tb_Activiteiten[[#This Row],[Niet verrekenbare btw]]=1,Tb_Activiteiten[[#Headers],[Niet verrekenbare btw]],""))</f>
        <v/>
      </c>
      <c r="AU706" t="str">
        <f>IF(ISNUMBER(FIND("overige",Methode_Keuze)),"",IF(Tb_Activiteiten[[#This Row],[Grondkosten]]=1,Tb_Activiteiten[[#Headers],[Grondkosten]],""))</f>
        <v/>
      </c>
      <c r="AV706" t="str">
        <f>IF(ISNUMBER(FIND("overige",Methode_Keuze)),"",IF(Tb_Activiteiten[[#This Row],[Bijdrage in natura (overige)]]=1,Tb_Activiteiten[[#Headers],[Bijdrage in natura (overige)]],""))</f>
        <v/>
      </c>
      <c r="AW706" t="str">
        <f>IF(ISNUMBER(FIND("overige",Methode_Keuze)),"",IF(Tb_Activiteiten[[#This Row],[Bijdrage in natura (vrijwilligers)]]=1,Tb_Activiteiten[[#Headers],[Bijdrage in natura (vrijwilligers)]],""))</f>
        <v/>
      </c>
      <c r="AX706" t="str">
        <f>IF(ISNUMBER(FIND("overige",Methode_Keuze)),"",IF(Tb_Activiteiten[[#This Row],[Afschrijvingskosten]]=1,Tb_Activiteiten[[#Headers],[Afschrijvingskosten]],""))</f>
        <v/>
      </c>
      <c r="AY706" t="str">
        <f>IF(ISNUMBER(FIND("overige",Methode_Keuze)),"",IF(Tb_Activiteiten[[#This Row],[Vergoeding]]=1,Tb_Activiteiten[[#Headers],[Vergoeding]],""))</f>
        <v/>
      </c>
      <c r="AZ706" t="str">
        <f>IF(ISNUMBER(FIND("arbeid",Methode_Keuze)),"",IF(Tb_Activiteiten[[#This Row],[Arbeidskosten - vast tarief (excl eigen arbeid)]]=1,Tb_Activiteiten[[#Headers],[Arbeidskosten - vast tarief (excl eigen arbeid)]],""))</f>
        <v/>
      </c>
      <c r="BA706" t="str">
        <f>IF(ISNUMBER(FIND("overige",Methode_Keuze)),"",IF(Tb_Activiteiten[[#This Row],[Overige kosten]]=1,Tb_Activiteiten[[#Headers],[Overige kosten]],""))</f>
        <v/>
      </c>
    </row>
    <row r="707" spans="1:53" x14ac:dyDescent="0.25">
      <c r="A707" s="231"/>
      <c r="F707" s="64"/>
      <c r="G707" s="64"/>
      <c r="H707" s="275"/>
      <c r="I707" s="275"/>
      <c r="J707" s="275"/>
      <c r="K707" s="275"/>
      <c r="O707" s="56"/>
      <c r="Q707" t="str">
        <f>IFERROR(IF(VLOOKUP(Tb_Activiteiten[[#This Row],[Openstelling]],Tb_Openstelling[],2,0)=1,1,""),"")</f>
        <v/>
      </c>
      <c r="AK707" t="str">
        <f>IF(ISNUMBER(FIND("arbeid",Methode_Keuze)),"",IF(ISNUMBER(FIND("arbeid",Methode_Keuze)),"",IF(Tb_Activiteiten[[#This Row],[Loonkosten]]=1,Tb_Activiteiten[[#Headers],[Loonkosten]],"")))</f>
        <v/>
      </c>
      <c r="AL707" t="str">
        <f>IF(ISNUMBER(FIND("arbeid",Methode_Keuze)),"",IF(ISNUMBER(FIND("arbeid",Methode_Keuze)),"",IF(Tb_Activiteiten[[#This Row],[Eigen arbeid]]=1,Tb_Activiteiten[[#Headers],[Eigen arbeid]],"")))</f>
        <v/>
      </c>
      <c r="AM707" t="str">
        <f>IF(ISNUMBER(FIND("arbeid",Methode_Keuze)),"",IF(ISNUMBER(FIND("arbeid",Methode_Keuze)),"",IF(Tb_Activiteiten[[#This Row],[Projectmedewerker]]=1,Tb_Activiteiten[[#Headers],[Projectmedewerker]],"")))</f>
        <v/>
      </c>
      <c r="AN707" t="str">
        <f>IF(ISNUMBER(FIND("arbeid",Methode_Keuze)),"",IF(ISNUMBER(FIND("arbeid",Methode_Keuze)),"",IF(Tb_Activiteiten[[#This Row],[Landbouwer]]=1,Tb_Activiteiten[[#Headers],[Landbouwer]],"")))</f>
        <v/>
      </c>
      <c r="AO707" t="str">
        <f>IF(ISNUMBER(FIND("arbeid",Methode_Keuze)),"",IF(ISNUMBER(FIND("arbeid",Methode_Keuze)),"",IF(Tb_Activiteiten[[#This Row],[Adviseur]]=1,Tb_Activiteiten[[#Headers],[Adviseur]],"")))</f>
        <v/>
      </c>
      <c r="AP707" t="str">
        <f>IF(ISNUMBER(FIND("arbeid",Methode_Keuze)),"",IF(ISNUMBER(FIND("arbeid",Methode_Keuze)),"",IF(Tb_Activiteiten[[#This Row],[Projectleider/Expert]]=1,Tb_Activiteiten[[#Headers],[Projectleider/Expert]],"")))</f>
        <v/>
      </c>
      <c r="AQ707" t="str">
        <f>IF(ISNUMBER(FIND("arbeid",Methode_Keuze)),"",IF(ISNUMBER(FIND("arbeid",Methode_Keuze)),"",IF(Tb_Activiteiten[[#This Row],[Arbeidskosten]]=1,Tb_Activiteiten[[#Headers],[Arbeidskosten]],"")))</f>
        <v/>
      </c>
      <c r="AR707" t="str">
        <f>IF(ISNUMBER(FIND("arbeid",Methode_Keuze)),"",IF(ISNUMBER(FIND("arbeid",Methode_Keuze)),"",IF(Tb_Activiteiten[[#This Row],[Arbeidskosten op basis van IKS]]=1,Tb_Activiteiten[[#Headers],[Arbeidskosten op basis van IKS]],"")))</f>
        <v/>
      </c>
      <c r="AS707" t="str">
        <f>IF(ISNUMBER(FIND("overige",Methode_Keuze)),"",IF(Tb_Activiteiten[[#This Row],[Kosten derden exclusief btw]]=1,Tb_Activiteiten[[#Headers],[Kosten derden exclusief btw]],""))</f>
        <v/>
      </c>
      <c r="AT707" t="str">
        <f>IF(ISNUMBER(FIND("overige",Methode_Keuze)),"",IF(Tb_Activiteiten[[#This Row],[Niet verrekenbare btw]]=1,Tb_Activiteiten[[#Headers],[Niet verrekenbare btw]],""))</f>
        <v/>
      </c>
      <c r="AU707" t="str">
        <f>IF(ISNUMBER(FIND("overige",Methode_Keuze)),"",IF(Tb_Activiteiten[[#This Row],[Grondkosten]]=1,Tb_Activiteiten[[#Headers],[Grondkosten]],""))</f>
        <v/>
      </c>
      <c r="AV707" t="str">
        <f>IF(ISNUMBER(FIND("overige",Methode_Keuze)),"",IF(Tb_Activiteiten[[#This Row],[Bijdrage in natura (overige)]]=1,Tb_Activiteiten[[#Headers],[Bijdrage in natura (overige)]],""))</f>
        <v/>
      </c>
      <c r="AW707" t="str">
        <f>IF(ISNUMBER(FIND("overige",Methode_Keuze)),"",IF(Tb_Activiteiten[[#This Row],[Bijdrage in natura (vrijwilligers)]]=1,Tb_Activiteiten[[#Headers],[Bijdrage in natura (vrijwilligers)]],""))</f>
        <v/>
      </c>
      <c r="AX707" t="str">
        <f>IF(ISNUMBER(FIND("overige",Methode_Keuze)),"",IF(Tb_Activiteiten[[#This Row],[Afschrijvingskosten]]=1,Tb_Activiteiten[[#Headers],[Afschrijvingskosten]],""))</f>
        <v/>
      </c>
      <c r="AY707" t="str">
        <f>IF(ISNUMBER(FIND("overige",Methode_Keuze)),"",IF(Tb_Activiteiten[[#This Row],[Vergoeding]]=1,Tb_Activiteiten[[#Headers],[Vergoeding]],""))</f>
        <v/>
      </c>
      <c r="AZ707" t="str">
        <f>IF(ISNUMBER(FIND("arbeid",Methode_Keuze)),"",IF(Tb_Activiteiten[[#This Row],[Arbeidskosten - vast tarief (excl eigen arbeid)]]=1,Tb_Activiteiten[[#Headers],[Arbeidskosten - vast tarief (excl eigen arbeid)]],""))</f>
        <v/>
      </c>
      <c r="BA707" t="str">
        <f>IF(ISNUMBER(FIND("overige",Methode_Keuze)),"",IF(Tb_Activiteiten[[#This Row],[Overige kosten]]=1,Tb_Activiteiten[[#Headers],[Overige kosten]],""))</f>
        <v/>
      </c>
    </row>
    <row r="708" spans="1:53" x14ac:dyDescent="0.25">
      <c r="A708" s="231"/>
      <c r="F708" s="64"/>
      <c r="G708" s="64"/>
      <c r="H708" s="275"/>
      <c r="I708" s="275"/>
      <c r="J708" s="275"/>
      <c r="K708" s="275"/>
      <c r="O708" s="56"/>
      <c r="Q708" t="str">
        <f>IFERROR(IF(VLOOKUP(Tb_Activiteiten[[#This Row],[Openstelling]],Tb_Openstelling[],2,0)=1,1,""),"")</f>
        <v/>
      </c>
      <c r="AK708" t="str">
        <f>IF(ISNUMBER(FIND("arbeid",Methode_Keuze)),"",IF(ISNUMBER(FIND("arbeid",Methode_Keuze)),"",IF(Tb_Activiteiten[[#This Row],[Loonkosten]]=1,Tb_Activiteiten[[#Headers],[Loonkosten]],"")))</f>
        <v/>
      </c>
      <c r="AL708" t="str">
        <f>IF(ISNUMBER(FIND("arbeid",Methode_Keuze)),"",IF(ISNUMBER(FIND("arbeid",Methode_Keuze)),"",IF(Tb_Activiteiten[[#This Row],[Eigen arbeid]]=1,Tb_Activiteiten[[#Headers],[Eigen arbeid]],"")))</f>
        <v/>
      </c>
      <c r="AM708" t="str">
        <f>IF(ISNUMBER(FIND("arbeid",Methode_Keuze)),"",IF(ISNUMBER(FIND("arbeid",Methode_Keuze)),"",IF(Tb_Activiteiten[[#This Row],[Projectmedewerker]]=1,Tb_Activiteiten[[#Headers],[Projectmedewerker]],"")))</f>
        <v/>
      </c>
      <c r="AN708" t="str">
        <f>IF(ISNUMBER(FIND("arbeid",Methode_Keuze)),"",IF(ISNUMBER(FIND("arbeid",Methode_Keuze)),"",IF(Tb_Activiteiten[[#This Row],[Landbouwer]]=1,Tb_Activiteiten[[#Headers],[Landbouwer]],"")))</f>
        <v/>
      </c>
      <c r="AO708" t="str">
        <f>IF(ISNUMBER(FIND("arbeid",Methode_Keuze)),"",IF(ISNUMBER(FIND("arbeid",Methode_Keuze)),"",IF(Tb_Activiteiten[[#This Row],[Adviseur]]=1,Tb_Activiteiten[[#Headers],[Adviseur]],"")))</f>
        <v/>
      </c>
      <c r="AP708" t="str">
        <f>IF(ISNUMBER(FIND("arbeid",Methode_Keuze)),"",IF(ISNUMBER(FIND("arbeid",Methode_Keuze)),"",IF(Tb_Activiteiten[[#This Row],[Projectleider/Expert]]=1,Tb_Activiteiten[[#Headers],[Projectleider/Expert]],"")))</f>
        <v/>
      </c>
      <c r="AQ708" t="str">
        <f>IF(ISNUMBER(FIND("arbeid",Methode_Keuze)),"",IF(ISNUMBER(FIND("arbeid",Methode_Keuze)),"",IF(Tb_Activiteiten[[#This Row],[Arbeidskosten]]=1,Tb_Activiteiten[[#Headers],[Arbeidskosten]],"")))</f>
        <v/>
      </c>
      <c r="AR708" t="str">
        <f>IF(ISNUMBER(FIND("arbeid",Methode_Keuze)),"",IF(ISNUMBER(FIND("arbeid",Methode_Keuze)),"",IF(Tb_Activiteiten[[#This Row],[Arbeidskosten op basis van IKS]]=1,Tb_Activiteiten[[#Headers],[Arbeidskosten op basis van IKS]],"")))</f>
        <v/>
      </c>
      <c r="AS708" t="str">
        <f>IF(ISNUMBER(FIND("overige",Methode_Keuze)),"",IF(Tb_Activiteiten[[#This Row],[Kosten derden exclusief btw]]=1,Tb_Activiteiten[[#Headers],[Kosten derden exclusief btw]],""))</f>
        <v/>
      </c>
      <c r="AT708" t="str">
        <f>IF(ISNUMBER(FIND("overige",Methode_Keuze)),"",IF(Tb_Activiteiten[[#This Row],[Niet verrekenbare btw]]=1,Tb_Activiteiten[[#Headers],[Niet verrekenbare btw]],""))</f>
        <v/>
      </c>
      <c r="AU708" t="str">
        <f>IF(ISNUMBER(FIND("overige",Methode_Keuze)),"",IF(Tb_Activiteiten[[#This Row],[Grondkosten]]=1,Tb_Activiteiten[[#Headers],[Grondkosten]],""))</f>
        <v/>
      </c>
      <c r="AV708" t="str">
        <f>IF(ISNUMBER(FIND("overige",Methode_Keuze)),"",IF(Tb_Activiteiten[[#This Row],[Bijdrage in natura (overige)]]=1,Tb_Activiteiten[[#Headers],[Bijdrage in natura (overige)]],""))</f>
        <v/>
      </c>
      <c r="AW708" t="str">
        <f>IF(ISNUMBER(FIND("overige",Methode_Keuze)),"",IF(Tb_Activiteiten[[#This Row],[Bijdrage in natura (vrijwilligers)]]=1,Tb_Activiteiten[[#Headers],[Bijdrage in natura (vrijwilligers)]],""))</f>
        <v/>
      </c>
      <c r="AX708" t="str">
        <f>IF(ISNUMBER(FIND("overige",Methode_Keuze)),"",IF(Tb_Activiteiten[[#This Row],[Afschrijvingskosten]]=1,Tb_Activiteiten[[#Headers],[Afschrijvingskosten]],""))</f>
        <v/>
      </c>
      <c r="AY708" t="str">
        <f>IF(ISNUMBER(FIND("overige",Methode_Keuze)),"",IF(Tb_Activiteiten[[#This Row],[Vergoeding]]=1,Tb_Activiteiten[[#Headers],[Vergoeding]],""))</f>
        <v/>
      </c>
      <c r="AZ708" t="str">
        <f>IF(ISNUMBER(FIND("arbeid",Methode_Keuze)),"",IF(Tb_Activiteiten[[#This Row],[Arbeidskosten - vast tarief (excl eigen arbeid)]]=1,Tb_Activiteiten[[#Headers],[Arbeidskosten - vast tarief (excl eigen arbeid)]],""))</f>
        <v/>
      </c>
      <c r="BA708" t="str">
        <f>IF(ISNUMBER(FIND("overige",Methode_Keuze)),"",IF(Tb_Activiteiten[[#This Row],[Overige kosten]]=1,Tb_Activiteiten[[#Headers],[Overige kosten]],""))</f>
        <v/>
      </c>
    </row>
    <row r="709" spans="1:53" x14ac:dyDescent="0.25">
      <c r="A709" s="231"/>
      <c r="F709" s="64"/>
      <c r="G709" s="64"/>
      <c r="H709" s="275"/>
      <c r="I709" s="275"/>
      <c r="J709" s="275"/>
      <c r="K709" s="275"/>
      <c r="O709" s="56"/>
      <c r="Q709" t="str">
        <f>IFERROR(IF(VLOOKUP(Tb_Activiteiten[[#This Row],[Openstelling]],Tb_Openstelling[],2,0)=1,1,""),"")</f>
        <v/>
      </c>
      <c r="AK709" t="str">
        <f>IF(ISNUMBER(FIND("arbeid",Methode_Keuze)),"",IF(ISNUMBER(FIND("arbeid",Methode_Keuze)),"",IF(Tb_Activiteiten[[#This Row],[Loonkosten]]=1,Tb_Activiteiten[[#Headers],[Loonkosten]],"")))</f>
        <v/>
      </c>
      <c r="AL709" t="str">
        <f>IF(ISNUMBER(FIND("arbeid",Methode_Keuze)),"",IF(ISNUMBER(FIND("arbeid",Methode_Keuze)),"",IF(Tb_Activiteiten[[#This Row],[Eigen arbeid]]=1,Tb_Activiteiten[[#Headers],[Eigen arbeid]],"")))</f>
        <v/>
      </c>
      <c r="AM709" t="str">
        <f>IF(ISNUMBER(FIND("arbeid",Methode_Keuze)),"",IF(ISNUMBER(FIND("arbeid",Methode_Keuze)),"",IF(Tb_Activiteiten[[#This Row],[Projectmedewerker]]=1,Tb_Activiteiten[[#Headers],[Projectmedewerker]],"")))</f>
        <v/>
      </c>
      <c r="AN709" t="str">
        <f>IF(ISNUMBER(FIND("arbeid",Methode_Keuze)),"",IF(ISNUMBER(FIND("arbeid",Methode_Keuze)),"",IF(Tb_Activiteiten[[#This Row],[Landbouwer]]=1,Tb_Activiteiten[[#Headers],[Landbouwer]],"")))</f>
        <v/>
      </c>
      <c r="AO709" t="str">
        <f>IF(ISNUMBER(FIND("arbeid",Methode_Keuze)),"",IF(ISNUMBER(FIND("arbeid",Methode_Keuze)),"",IF(Tb_Activiteiten[[#This Row],[Adviseur]]=1,Tb_Activiteiten[[#Headers],[Adviseur]],"")))</f>
        <v/>
      </c>
      <c r="AP709" t="str">
        <f>IF(ISNUMBER(FIND("arbeid",Methode_Keuze)),"",IF(ISNUMBER(FIND("arbeid",Methode_Keuze)),"",IF(Tb_Activiteiten[[#This Row],[Projectleider/Expert]]=1,Tb_Activiteiten[[#Headers],[Projectleider/Expert]],"")))</f>
        <v/>
      </c>
      <c r="AQ709" t="str">
        <f>IF(ISNUMBER(FIND("arbeid",Methode_Keuze)),"",IF(ISNUMBER(FIND("arbeid",Methode_Keuze)),"",IF(Tb_Activiteiten[[#This Row],[Arbeidskosten]]=1,Tb_Activiteiten[[#Headers],[Arbeidskosten]],"")))</f>
        <v/>
      </c>
      <c r="AR709" t="str">
        <f>IF(ISNUMBER(FIND("arbeid",Methode_Keuze)),"",IF(ISNUMBER(FIND("arbeid",Methode_Keuze)),"",IF(Tb_Activiteiten[[#This Row],[Arbeidskosten op basis van IKS]]=1,Tb_Activiteiten[[#Headers],[Arbeidskosten op basis van IKS]],"")))</f>
        <v/>
      </c>
      <c r="AS709" t="str">
        <f>IF(ISNUMBER(FIND("overige",Methode_Keuze)),"",IF(Tb_Activiteiten[[#This Row],[Kosten derden exclusief btw]]=1,Tb_Activiteiten[[#Headers],[Kosten derden exclusief btw]],""))</f>
        <v/>
      </c>
      <c r="AT709" t="str">
        <f>IF(ISNUMBER(FIND("overige",Methode_Keuze)),"",IF(Tb_Activiteiten[[#This Row],[Niet verrekenbare btw]]=1,Tb_Activiteiten[[#Headers],[Niet verrekenbare btw]],""))</f>
        <v/>
      </c>
      <c r="AU709" t="str">
        <f>IF(ISNUMBER(FIND("overige",Methode_Keuze)),"",IF(Tb_Activiteiten[[#This Row],[Grondkosten]]=1,Tb_Activiteiten[[#Headers],[Grondkosten]],""))</f>
        <v/>
      </c>
      <c r="AV709" t="str">
        <f>IF(ISNUMBER(FIND("overige",Methode_Keuze)),"",IF(Tb_Activiteiten[[#This Row],[Bijdrage in natura (overige)]]=1,Tb_Activiteiten[[#Headers],[Bijdrage in natura (overige)]],""))</f>
        <v/>
      </c>
      <c r="AW709" t="str">
        <f>IF(ISNUMBER(FIND("overige",Methode_Keuze)),"",IF(Tb_Activiteiten[[#This Row],[Bijdrage in natura (vrijwilligers)]]=1,Tb_Activiteiten[[#Headers],[Bijdrage in natura (vrijwilligers)]],""))</f>
        <v/>
      </c>
      <c r="AX709" t="str">
        <f>IF(ISNUMBER(FIND("overige",Methode_Keuze)),"",IF(Tb_Activiteiten[[#This Row],[Afschrijvingskosten]]=1,Tb_Activiteiten[[#Headers],[Afschrijvingskosten]],""))</f>
        <v/>
      </c>
      <c r="AY709" t="str">
        <f>IF(ISNUMBER(FIND("overige",Methode_Keuze)),"",IF(Tb_Activiteiten[[#This Row],[Vergoeding]]=1,Tb_Activiteiten[[#Headers],[Vergoeding]],""))</f>
        <v/>
      </c>
      <c r="AZ709" t="str">
        <f>IF(ISNUMBER(FIND("arbeid",Methode_Keuze)),"",IF(Tb_Activiteiten[[#This Row],[Arbeidskosten - vast tarief (excl eigen arbeid)]]=1,Tb_Activiteiten[[#Headers],[Arbeidskosten - vast tarief (excl eigen arbeid)]],""))</f>
        <v/>
      </c>
      <c r="BA709" t="str">
        <f>IF(ISNUMBER(FIND("overige",Methode_Keuze)),"",IF(Tb_Activiteiten[[#This Row],[Overige kosten]]=1,Tb_Activiteiten[[#Headers],[Overige kosten]],""))</f>
        <v/>
      </c>
    </row>
    <row r="710" spans="1:53" x14ac:dyDescent="0.25">
      <c r="A710" s="231"/>
      <c r="F710" s="64"/>
      <c r="G710" s="64"/>
      <c r="H710" s="275"/>
      <c r="I710" s="275"/>
      <c r="J710" s="275"/>
      <c r="K710" s="275"/>
      <c r="O710" s="56"/>
      <c r="Q710" t="str">
        <f>IFERROR(IF(VLOOKUP(Tb_Activiteiten[[#This Row],[Openstelling]],Tb_Openstelling[],2,0)=1,1,""),"")</f>
        <v/>
      </c>
      <c r="AK710" t="str">
        <f>IF(ISNUMBER(FIND("arbeid",Methode_Keuze)),"",IF(ISNUMBER(FIND("arbeid",Methode_Keuze)),"",IF(Tb_Activiteiten[[#This Row],[Loonkosten]]=1,Tb_Activiteiten[[#Headers],[Loonkosten]],"")))</f>
        <v/>
      </c>
      <c r="AL710" t="str">
        <f>IF(ISNUMBER(FIND("arbeid",Methode_Keuze)),"",IF(ISNUMBER(FIND("arbeid",Methode_Keuze)),"",IF(Tb_Activiteiten[[#This Row],[Eigen arbeid]]=1,Tb_Activiteiten[[#Headers],[Eigen arbeid]],"")))</f>
        <v/>
      </c>
      <c r="AM710" t="str">
        <f>IF(ISNUMBER(FIND("arbeid",Methode_Keuze)),"",IF(ISNUMBER(FIND("arbeid",Methode_Keuze)),"",IF(Tb_Activiteiten[[#This Row],[Projectmedewerker]]=1,Tb_Activiteiten[[#Headers],[Projectmedewerker]],"")))</f>
        <v/>
      </c>
      <c r="AN710" t="str">
        <f>IF(ISNUMBER(FIND("arbeid",Methode_Keuze)),"",IF(ISNUMBER(FIND("arbeid",Methode_Keuze)),"",IF(Tb_Activiteiten[[#This Row],[Landbouwer]]=1,Tb_Activiteiten[[#Headers],[Landbouwer]],"")))</f>
        <v/>
      </c>
      <c r="AO710" t="str">
        <f>IF(ISNUMBER(FIND("arbeid",Methode_Keuze)),"",IF(ISNUMBER(FIND("arbeid",Methode_Keuze)),"",IF(Tb_Activiteiten[[#This Row],[Adviseur]]=1,Tb_Activiteiten[[#Headers],[Adviseur]],"")))</f>
        <v/>
      </c>
      <c r="AP710" t="str">
        <f>IF(ISNUMBER(FIND("arbeid",Methode_Keuze)),"",IF(ISNUMBER(FIND("arbeid",Methode_Keuze)),"",IF(Tb_Activiteiten[[#This Row],[Projectleider/Expert]]=1,Tb_Activiteiten[[#Headers],[Projectleider/Expert]],"")))</f>
        <v/>
      </c>
      <c r="AQ710" t="str">
        <f>IF(ISNUMBER(FIND("arbeid",Methode_Keuze)),"",IF(ISNUMBER(FIND("arbeid",Methode_Keuze)),"",IF(Tb_Activiteiten[[#This Row],[Arbeidskosten]]=1,Tb_Activiteiten[[#Headers],[Arbeidskosten]],"")))</f>
        <v/>
      </c>
      <c r="AR710" t="str">
        <f>IF(ISNUMBER(FIND("arbeid",Methode_Keuze)),"",IF(ISNUMBER(FIND("arbeid",Methode_Keuze)),"",IF(Tb_Activiteiten[[#This Row],[Arbeidskosten op basis van IKS]]=1,Tb_Activiteiten[[#Headers],[Arbeidskosten op basis van IKS]],"")))</f>
        <v/>
      </c>
      <c r="AS710" t="str">
        <f>IF(ISNUMBER(FIND("overige",Methode_Keuze)),"",IF(Tb_Activiteiten[[#This Row],[Kosten derden exclusief btw]]=1,Tb_Activiteiten[[#Headers],[Kosten derden exclusief btw]],""))</f>
        <v/>
      </c>
      <c r="AT710" t="str">
        <f>IF(ISNUMBER(FIND("overige",Methode_Keuze)),"",IF(Tb_Activiteiten[[#This Row],[Niet verrekenbare btw]]=1,Tb_Activiteiten[[#Headers],[Niet verrekenbare btw]],""))</f>
        <v/>
      </c>
      <c r="AU710" t="str">
        <f>IF(ISNUMBER(FIND("overige",Methode_Keuze)),"",IF(Tb_Activiteiten[[#This Row],[Grondkosten]]=1,Tb_Activiteiten[[#Headers],[Grondkosten]],""))</f>
        <v/>
      </c>
      <c r="AV710" t="str">
        <f>IF(ISNUMBER(FIND("overige",Methode_Keuze)),"",IF(Tb_Activiteiten[[#This Row],[Bijdrage in natura (overige)]]=1,Tb_Activiteiten[[#Headers],[Bijdrage in natura (overige)]],""))</f>
        <v/>
      </c>
      <c r="AW710" t="str">
        <f>IF(ISNUMBER(FIND("overige",Methode_Keuze)),"",IF(Tb_Activiteiten[[#This Row],[Bijdrage in natura (vrijwilligers)]]=1,Tb_Activiteiten[[#Headers],[Bijdrage in natura (vrijwilligers)]],""))</f>
        <v/>
      </c>
      <c r="AX710" t="str">
        <f>IF(ISNUMBER(FIND("overige",Methode_Keuze)),"",IF(Tb_Activiteiten[[#This Row],[Afschrijvingskosten]]=1,Tb_Activiteiten[[#Headers],[Afschrijvingskosten]],""))</f>
        <v/>
      </c>
      <c r="AY710" t="str">
        <f>IF(ISNUMBER(FIND("overige",Methode_Keuze)),"",IF(Tb_Activiteiten[[#This Row],[Vergoeding]]=1,Tb_Activiteiten[[#Headers],[Vergoeding]],""))</f>
        <v/>
      </c>
      <c r="AZ710" t="str">
        <f>IF(ISNUMBER(FIND("arbeid",Methode_Keuze)),"",IF(Tb_Activiteiten[[#This Row],[Arbeidskosten - vast tarief (excl eigen arbeid)]]=1,Tb_Activiteiten[[#Headers],[Arbeidskosten - vast tarief (excl eigen arbeid)]],""))</f>
        <v/>
      </c>
      <c r="BA710" t="str">
        <f>IF(ISNUMBER(FIND("overige",Methode_Keuze)),"",IF(Tb_Activiteiten[[#This Row],[Overige kosten]]=1,Tb_Activiteiten[[#Headers],[Overige kosten]],""))</f>
        <v/>
      </c>
    </row>
    <row r="711" spans="1:53" x14ac:dyDescent="0.25">
      <c r="A711" s="231"/>
      <c r="F711" s="64"/>
      <c r="G711" s="64"/>
      <c r="H711" s="275"/>
      <c r="I711" s="275"/>
      <c r="J711" s="275"/>
      <c r="K711" s="275"/>
      <c r="O711" s="56"/>
      <c r="Q711" t="str">
        <f>IFERROR(IF(VLOOKUP(Tb_Activiteiten[[#This Row],[Openstelling]],Tb_Openstelling[],2,0)=1,1,""),"")</f>
        <v/>
      </c>
      <c r="AK711" t="str">
        <f>IF(ISNUMBER(FIND("arbeid",Methode_Keuze)),"",IF(ISNUMBER(FIND("arbeid",Methode_Keuze)),"",IF(Tb_Activiteiten[[#This Row],[Loonkosten]]=1,Tb_Activiteiten[[#Headers],[Loonkosten]],"")))</f>
        <v/>
      </c>
      <c r="AL711" t="str">
        <f>IF(ISNUMBER(FIND("arbeid",Methode_Keuze)),"",IF(ISNUMBER(FIND("arbeid",Methode_Keuze)),"",IF(Tb_Activiteiten[[#This Row],[Eigen arbeid]]=1,Tb_Activiteiten[[#Headers],[Eigen arbeid]],"")))</f>
        <v/>
      </c>
      <c r="AM711" t="str">
        <f>IF(ISNUMBER(FIND("arbeid",Methode_Keuze)),"",IF(ISNUMBER(FIND("arbeid",Methode_Keuze)),"",IF(Tb_Activiteiten[[#This Row],[Projectmedewerker]]=1,Tb_Activiteiten[[#Headers],[Projectmedewerker]],"")))</f>
        <v/>
      </c>
      <c r="AN711" t="str">
        <f>IF(ISNUMBER(FIND("arbeid",Methode_Keuze)),"",IF(ISNUMBER(FIND("arbeid",Methode_Keuze)),"",IF(Tb_Activiteiten[[#This Row],[Landbouwer]]=1,Tb_Activiteiten[[#Headers],[Landbouwer]],"")))</f>
        <v/>
      </c>
      <c r="AO711" t="str">
        <f>IF(ISNUMBER(FIND("arbeid",Methode_Keuze)),"",IF(ISNUMBER(FIND("arbeid",Methode_Keuze)),"",IF(Tb_Activiteiten[[#This Row],[Adviseur]]=1,Tb_Activiteiten[[#Headers],[Adviseur]],"")))</f>
        <v/>
      </c>
      <c r="AP711" t="str">
        <f>IF(ISNUMBER(FIND("arbeid",Methode_Keuze)),"",IF(ISNUMBER(FIND("arbeid",Methode_Keuze)),"",IF(Tb_Activiteiten[[#This Row],[Projectleider/Expert]]=1,Tb_Activiteiten[[#Headers],[Projectleider/Expert]],"")))</f>
        <v/>
      </c>
      <c r="AQ711" t="str">
        <f>IF(ISNUMBER(FIND("arbeid",Methode_Keuze)),"",IF(ISNUMBER(FIND("arbeid",Methode_Keuze)),"",IF(Tb_Activiteiten[[#This Row],[Arbeidskosten]]=1,Tb_Activiteiten[[#Headers],[Arbeidskosten]],"")))</f>
        <v/>
      </c>
      <c r="AR711" t="str">
        <f>IF(ISNUMBER(FIND("arbeid",Methode_Keuze)),"",IF(ISNUMBER(FIND("arbeid",Methode_Keuze)),"",IF(Tb_Activiteiten[[#This Row],[Arbeidskosten op basis van IKS]]=1,Tb_Activiteiten[[#Headers],[Arbeidskosten op basis van IKS]],"")))</f>
        <v/>
      </c>
      <c r="AS711" t="str">
        <f>IF(ISNUMBER(FIND("overige",Methode_Keuze)),"",IF(Tb_Activiteiten[[#This Row],[Kosten derden exclusief btw]]=1,Tb_Activiteiten[[#Headers],[Kosten derden exclusief btw]],""))</f>
        <v/>
      </c>
      <c r="AT711" t="str">
        <f>IF(ISNUMBER(FIND("overige",Methode_Keuze)),"",IF(Tb_Activiteiten[[#This Row],[Niet verrekenbare btw]]=1,Tb_Activiteiten[[#Headers],[Niet verrekenbare btw]],""))</f>
        <v/>
      </c>
      <c r="AU711" t="str">
        <f>IF(ISNUMBER(FIND("overige",Methode_Keuze)),"",IF(Tb_Activiteiten[[#This Row],[Grondkosten]]=1,Tb_Activiteiten[[#Headers],[Grondkosten]],""))</f>
        <v/>
      </c>
      <c r="AV711" t="str">
        <f>IF(ISNUMBER(FIND("overige",Methode_Keuze)),"",IF(Tb_Activiteiten[[#This Row],[Bijdrage in natura (overige)]]=1,Tb_Activiteiten[[#Headers],[Bijdrage in natura (overige)]],""))</f>
        <v/>
      </c>
      <c r="AW711" t="str">
        <f>IF(ISNUMBER(FIND("overige",Methode_Keuze)),"",IF(Tb_Activiteiten[[#This Row],[Bijdrage in natura (vrijwilligers)]]=1,Tb_Activiteiten[[#Headers],[Bijdrage in natura (vrijwilligers)]],""))</f>
        <v/>
      </c>
      <c r="AX711" t="str">
        <f>IF(ISNUMBER(FIND("overige",Methode_Keuze)),"",IF(Tb_Activiteiten[[#This Row],[Afschrijvingskosten]]=1,Tb_Activiteiten[[#Headers],[Afschrijvingskosten]],""))</f>
        <v/>
      </c>
      <c r="AY711" t="str">
        <f>IF(ISNUMBER(FIND("overige",Methode_Keuze)),"",IF(Tb_Activiteiten[[#This Row],[Vergoeding]]=1,Tb_Activiteiten[[#Headers],[Vergoeding]],""))</f>
        <v/>
      </c>
      <c r="AZ711" t="str">
        <f>IF(ISNUMBER(FIND("arbeid",Methode_Keuze)),"",IF(Tb_Activiteiten[[#This Row],[Arbeidskosten - vast tarief (excl eigen arbeid)]]=1,Tb_Activiteiten[[#Headers],[Arbeidskosten - vast tarief (excl eigen arbeid)]],""))</f>
        <v/>
      </c>
      <c r="BA711" t="str">
        <f>IF(ISNUMBER(FIND("overige",Methode_Keuze)),"",IF(Tb_Activiteiten[[#This Row],[Overige kosten]]=1,Tb_Activiteiten[[#Headers],[Overige kosten]],""))</f>
        <v/>
      </c>
    </row>
    <row r="712" spans="1:53" x14ac:dyDescent="0.25">
      <c r="A712" s="231"/>
      <c r="F712" s="64"/>
      <c r="G712" s="64"/>
      <c r="H712" s="275"/>
      <c r="I712" s="275"/>
      <c r="J712" s="275"/>
      <c r="K712" s="275"/>
      <c r="O712" s="56"/>
      <c r="Q712" t="str">
        <f>IFERROR(IF(VLOOKUP(Tb_Activiteiten[[#This Row],[Openstelling]],Tb_Openstelling[],2,0)=1,1,""),"")</f>
        <v/>
      </c>
      <c r="AK712" t="str">
        <f>IF(ISNUMBER(FIND("arbeid",Methode_Keuze)),"",IF(ISNUMBER(FIND("arbeid",Methode_Keuze)),"",IF(Tb_Activiteiten[[#This Row],[Loonkosten]]=1,Tb_Activiteiten[[#Headers],[Loonkosten]],"")))</f>
        <v/>
      </c>
      <c r="AL712" t="str">
        <f>IF(ISNUMBER(FIND("arbeid",Methode_Keuze)),"",IF(ISNUMBER(FIND("arbeid",Methode_Keuze)),"",IF(Tb_Activiteiten[[#This Row],[Eigen arbeid]]=1,Tb_Activiteiten[[#Headers],[Eigen arbeid]],"")))</f>
        <v/>
      </c>
      <c r="AM712" t="str">
        <f>IF(ISNUMBER(FIND("arbeid",Methode_Keuze)),"",IF(ISNUMBER(FIND("arbeid",Methode_Keuze)),"",IF(Tb_Activiteiten[[#This Row],[Projectmedewerker]]=1,Tb_Activiteiten[[#Headers],[Projectmedewerker]],"")))</f>
        <v/>
      </c>
      <c r="AN712" t="str">
        <f>IF(ISNUMBER(FIND("arbeid",Methode_Keuze)),"",IF(ISNUMBER(FIND("arbeid",Methode_Keuze)),"",IF(Tb_Activiteiten[[#This Row],[Landbouwer]]=1,Tb_Activiteiten[[#Headers],[Landbouwer]],"")))</f>
        <v/>
      </c>
      <c r="AO712" t="str">
        <f>IF(ISNUMBER(FIND("arbeid",Methode_Keuze)),"",IF(ISNUMBER(FIND("arbeid",Methode_Keuze)),"",IF(Tb_Activiteiten[[#This Row],[Adviseur]]=1,Tb_Activiteiten[[#Headers],[Adviseur]],"")))</f>
        <v/>
      </c>
      <c r="AP712" t="str">
        <f>IF(ISNUMBER(FIND("arbeid",Methode_Keuze)),"",IF(ISNUMBER(FIND("arbeid",Methode_Keuze)),"",IF(Tb_Activiteiten[[#This Row],[Projectleider/Expert]]=1,Tb_Activiteiten[[#Headers],[Projectleider/Expert]],"")))</f>
        <v/>
      </c>
      <c r="AQ712" t="str">
        <f>IF(ISNUMBER(FIND("arbeid",Methode_Keuze)),"",IF(ISNUMBER(FIND("arbeid",Methode_Keuze)),"",IF(Tb_Activiteiten[[#This Row],[Arbeidskosten]]=1,Tb_Activiteiten[[#Headers],[Arbeidskosten]],"")))</f>
        <v/>
      </c>
      <c r="AR712" t="str">
        <f>IF(ISNUMBER(FIND("arbeid",Methode_Keuze)),"",IF(ISNUMBER(FIND("arbeid",Methode_Keuze)),"",IF(Tb_Activiteiten[[#This Row],[Arbeidskosten op basis van IKS]]=1,Tb_Activiteiten[[#Headers],[Arbeidskosten op basis van IKS]],"")))</f>
        <v/>
      </c>
      <c r="AS712" t="str">
        <f>IF(ISNUMBER(FIND("overige",Methode_Keuze)),"",IF(Tb_Activiteiten[[#This Row],[Kosten derden exclusief btw]]=1,Tb_Activiteiten[[#Headers],[Kosten derden exclusief btw]],""))</f>
        <v/>
      </c>
      <c r="AT712" t="str">
        <f>IF(ISNUMBER(FIND("overige",Methode_Keuze)),"",IF(Tb_Activiteiten[[#This Row],[Niet verrekenbare btw]]=1,Tb_Activiteiten[[#Headers],[Niet verrekenbare btw]],""))</f>
        <v/>
      </c>
      <c r="AU712" t="str">
        <f>IF(ISNUMBER(FIND("overige",Methode_Keuze)),"",IF(Tb_Activiteiten[[#This Row],[Grondkosten]]=1,Tb_Activiteiten[[#Headers],[Grondkosten]],""))</f>
        <v/>
      </c>
      <c r="AV712" t="str">
        <f>IF(ISNUMBER(FIND("overige",Methode_Keuze)),"",IF(Tb_Activiteiten[[#This Row],[Bijdrage in natura (overige)]]=1,Tb_Activiteiten[[#Headers],[Bijdrage in natura (overige)]],""))</f>
        <v/>
      </c>
      <c r="AW712" t="str">
        <f>IF(ISNUMBER(FIND("overige",Methode_Keuze)),"",IF(Tb_Activiteiten[[#This Row],[Bijdrage in natura (vrijwilligers)]]=1,Tb_Activiteiten[[#Headers],[Bijdrage in natura (vrijwilligers)]],""))</f>
        <v/>
      </c>
      <c r="AX712" t="str">
        <f>IF(ISNUMBER(FIND("overige",Methode_Keuze)),"",IF(Tb_Activiteiten[[#This Row],[Afschrijvingskosten]]=1,Tb_Activiteiten[[#Headers],[Afschrijvingskosten]],""))</f>
        <v/>
      </c>
      <c r="AY712" t="str">
        <f>IF(ISNUMBER(FIND("overige",Methode_Keuze)),"",IF(Tb_Activiteiten[[#This Row],[Vergoeding]]=1,Tb_Activiteiten[[#Headers],[Vergoeding]],""))</f>
        <v/>
      </c>
      <c r="AZ712" t="str">
        <f>IF(ISNUMBER(FIND("arbeid",Methode_Keuze)),"",IF(Tb_Activiteiten[[#This Row],[Arbeidskosten - vast tarief (excl eigen arbeid)]]=1,Tb_Activiteiten[[#Headers],[Arbeidskosten - vast tarief (excl eigen arbeid)]],""))</f>
        <v/>
      </c>
      <c r="BA712" t="str">
        <f>IF(ISNUMBER(FIND("overige",Methode_Keuze)),"",IF(Tb_Activiteiten[[#This Row],[Overige kosten]]=1,Tb_Activiteiten[[#Headers],[Overige kosten]],""))</f>
        <v/>
      </c>
    </row>
    <row r="713" spans="1:53" x14ac:dyDescent="0.25">
      <c r="A713" s="231"/>
      <c r="F713" s="64"/>
      <c r="G713" s="64"/>
      <c r="H713" s="275"/>
      <c r="I713" s="275"/>
      <c r="J713" s="275"/>
      <c r="K713" s="275"/>
      <c r="O713" s="56"/>
      <c r="Q713" t="str">
        <f>IFERROR(IF(VLOOKUP(Tb_Activiteiten[[#This Row],[Openstelling]],Tb_Openstelling[],2,0)=1,1,""),"")</f>
        <v/>
      </c>
      <c r="AK713" t="str">
        <f>IF(ISNUMBER(FIND("arbeid",Methode_Keuze)),"",IF(ISNUMBER(FIND("arbeid",Methode_Keuze)),"",IF(Tb_Activiteiten[[#This Row],[Loonkosten]]=1,Tb_Activiteiten[[#Headers],[Loonkosten]],"")))</f>
        <v/>
      </c>
      <c r="AL713" t="str">
        <f>IF(ISNUMBER(FIND("arbeid",Methode_Keuze)),"",IF(ISNUMBER(FIND("arbeid",Methode_Keuze)),"",IF(Tb_Activiteiten[[#This Row],[Eigen arbeid]]=1,Tb_Activiteiten[[#Headers],[Eigen arbeid]],"")))</f>
        <v/>
      </c>
      <c r="AM713" t="str">
        <f>IF(ISNUMBER(FIND("arbeid",Methode_Keuze)),"",IF(ISNUMBER(FIND("arbeid",Methode_Keuze)),"",IF(Tb_Activiteiten[[#This Row],[Projectmedewerker]]=1,Tb_Activiteiten[[#Headers],[Projectmedewerker]],"")))</f>
        <v/>
      </c>
      <c r="AN713" t="str">
        <f>IF(ISNUMBER(FIND("arbeid",Methode_Keuze)),"",IF(ISNUMBER(FIND("arbeid",Methode_Keuze)),"",IF(Tb_Activiteiten[[#This Row],[Landbouwer]]=1,Tb_Activiteiten[[#Headers],[Landbouwer]],"")))</f>
        <v/>
      </c>
      <c r="AO713" t="str">
        <f>IF(ISNUMBER(FIND("arbeid",Methode_Keuze)),"",IF(ISNUMBER(FIND("arbeid",Methode_Keuze)),"",IF(Tb_Activiteiten[[#This Row],[Adviseur]]=1,Tb_Activiteiten[[#Headers],[Adviseur]],"")))</f>
        <v/>
      </c>
      <c r="AP713" t="str">
        <f>IF(ISNUMBER(FIND("arbeid",Methode_Keuze)),"",IF(ISNUMBER(FIND("arbeid",Methode_Keuze)),"",IF(Tb_Activiteiten[[#This Row],[Projectleider/Expert]]=1,Tb_Activiteiten[[#Headers],[Projectleider/Expert]],"")))</f>
        <v/>
      </c>
      <c r="AQ713" t="str">
        <f>IF(ISNUMBER(FIND("arbeid",Methode_Keuze)),"",IF(ISNUMBER(FIND("arbeid",Methode_Keuze)),"",IF(Tb_Activiteiten[[#This Row],[Arbeidskosten]]=1,Tb_Activiteiten[[#Headers],[Arbeidskosten]],"")))</f>
        <v/>
      </c>
      <c r="AR713" t="str">
        <f>IF(ISNUMBER(FIND("arbeid",Methode_Keuze)),"",IF(ISNUMBER(FIND("arbeid",Methode_Keuze)),"",IF(Tb_Activiteiten[[#This Row],[Arbeidskosten op basis van IKS]]=1,Tb_Activiteiten[[#Headers],[Arbeidskosten op basis van IKS]],"")))</f>
        <v/>
      </c>
      <c r="AS713" t="str">
        <f>IF(ISNUMBER(FIND("overige",Methode_Keuze)),"",IF(Tb_Activiteiten[[#This Row],[Kosten derden exclusief btw]]=1,Tb_Activiteiten[[#Headers],[Kosten derden exclusief btw]],""))</f>
        <v/>
      </c>
      <c r="AT713" t="str">
        <f>IF(ISNUMBER(FIND("overige",Methode_Keuze)),"",IF(Tb_Activiteiten[[#This Row],[Niet verrekenbare btw]]=1,Tb_Activiteiten[[#Headers],[Niet verrekenbare btw]],""))</f>
        <v/>
      </c>
      <c r="AU713" t="str">
        <f>IF(ISNUMBER(FIND("overige",Methode_Keuze)),"",IF(Tb_Activiteiten[[#This Row],[Grondkosten]]=1,Tb_Activiteiten[[#Headers],[Grondkosten]],""))</f>
        <v/>
      </c>
      <c r="AV713" t="str">
        <f>IF(ISNUMBER(FIND("overige",Methode_Keuze)),"",IF(Tb_Activiteiten[[#This Row],[Bijdrage in natura (overige)]]=1,Tb_Activiteiten[[#Headers],[Bijdrage in natura (overige)]],""))</f>
        <v/>
      </c>
      <c r="AW713" t="str">
        <f>IF(ISNUMBER(FIND("overige",Methode_Keuze)),"",IF(Tb_Activiteiten[[#This Row],[Bijdrage in natura (vrijwilligers)]]=1,Tb_Activiteiten[[#Headers],[Bijdrage in natura (vrijwilligers)]],""))</f>
        <v/>
      </c>
      <c r="AX713" t="str">
        <f>IF(ISNUMBER(FIND("overige",Methode_Keuze)),"",IF(Tb_Activiteiten[[#This Row],[Afschrijvingskosten]]=1,Tb_Activiteiten[[#Headers],[Afschrijvingskosten]],""))</f>
        <v/>
      </c>
      <c r="AY713" t="str">
        <f>IF(ISNUMBER(FIND("overige",Methode_Keuze)),"",IF(Tb_Activiteiten[[#This Row],[Vergoeding]]=1,Tb_Activiteiten[[#Headers],[Vergoeding]],""))</f>
        <v/>
      </c>
      <c r="AZ713" t="str">
        <f>IF(ISNUMBER(FIND("arbeid",Methode_Keuze)),"",IF(Tb_Activiteiten[[#This Row],[Arbeidskosten - vast tarief (excl eigen arbeid)]]=1,Tb_Activiteiten[[#Headers],[Arbeidskosten - vast tarief (excl eigen arbeid)]],""))</f>
        <v/>
      </c>
      <c r="BA713" t="str">
        <f>IF(ISNUMBER(FIND("overige",Methode_Keuze)),"",IF(Tb_Activiteiten[[#This Row],[Overige kosten]]=1,Tb_Activiteiten[[#Headers],[Overige kosten]],""))</f>
        <v/>
      </c>
    </row>
    <row r="714" spans="1:53" x14ac:dyDescent="0.25">
      <c r="A714" s="231"/>
      <c r="F714" s="64"/>
      <c r="G714" s="64"/>
      <c r="H714" s="275"/>
      <c r="I714" s="275"/>
      <c r="J714" s="275"/>
      <c r="K714" s="275"/>
      <c r="O714" s="56"/>
      <c r="Q714" t="str">
        <f>IFERROR(IF(VLOOKUP(Tb_Activiteiten[[#This Row],[Openstelling]],Tb_Openstelling[],2,0)=1,1,""),"")</f>
        <v/>
      </c>
      <c r="AK714" t="str">
        <f>IF(ISNUMBER(FIND("arbeid",Methode_Keuze)),"",IF(ISNUMBER(FIND("arbeid",Methode_Keuze)),"",IF(Tb_Activiteiten[[#This Row],[Loonkosten]]=1,Tb_Activiteiten[[#Headers],[Loonkosten]],"")))</f>
        <v/>
      </c>
      <c r="AL714" t="str">
        <f>IF(ISNUMBER(FIND("arbeid",Methode_Keuze)),"",IF(ISNUMBER(FIND("arbeid",Methode_Keuze)),"",IF(Tb_Activiteiten[[#This Row],[Eigen arbeid]]=1,Tb_Activiteiten[[#Headers],[Eigen arbeid]],"")))</f>
        <v/>
      </c>
      <c r="AM714" t="str">
        <f>IF(ISNUMBER(FIND("arbeid",Methode_Keuze)),"",IF(ISNUMBER(FIND("arbeid",Methode_Keuze)),"",IF(Tb_Activiteiten[[#This Row],[Projectmedewerker]]=1,Tb_Activiteiten[[#Headers],[Projectmedewerker]],"")))</f>
        <v/>
      </c>
      <c r="AN714" t="str">
        <f>IF(ISNUMBER(FIND("arbeid",Methode_Keuze)),"",IF(ISNUMBER(FIND("arbeid",Methode_Keuze)),"",IF(Tb_Activiteiten[[#This Row],[Landbouwer]]=1,Tb_Activiteiten[[#Headers],[Landbouwer]],"")))</f>
        <v/>
      </c>
      <c r="AO714" t="str">
        <f>IF(ISNUMBER(FIND("arbeid",Methode_Keuze)),"",IF(ISNUMBER(FIND("arbeid",Methode_Keuze)),"",IF(Tb_Activiteiten[[#This Row],[Adviseur]]=1,Tb_Activiteiten[[#Headers],[Adviseur]],"")))</f>
        <v/>
      </c>
      <c r="AP714" t="str">
        <f>IF(ISNUMBER(FIND("arbeid",Methode_Keuze)),"",IF(ISNUMBER(FIND("arbeid",Methode_Keuze)),"",IF(Tb_Activiteiten[[#This Row],[Projectleider/Expert]]=1,Tb_Activiteiten[[#Headers],[Projectleider/Expert]],"")))</f>
        <v/>
      </c>
      <c r="AQ714" t="str">
        <f>IF(ISNUMBER(FIND("arbeid",Methode_Keuze)),"",IF(ISNUMBER(FIND("arbeid",Methode_Keuze)),"",IF(Tb_Activiteiten[[#This Row],[Arbeidskosten]]=1,Tb_Activiteiten[[#Headers],[Arbeidskosten]],"")))</f>
        <v/>
      </c>
      <c r="AR714" t="str">
        <f>IF(ISNUMBER(FIND("arbeid",Methode_Keuze)),"",IF(ISNUMBER(FIND("arbeid",Methode_Keuze)),"",IF(Tb_Activiteiten[[#This Row],[Arbeidskosten op basis van IKS]]=1,Tb_Activiteiten[[#Headers],[Arbeidskosten op basis van IKS]],"")))</f>
        <v/>
      </c>
      <c r="AS714" t="str">
        <f>IF(ISNUMBER(FIND("overige",Methode_Keuze)),"",IF(Tb_Activiteiten[[#This Row],[Kosten derden exclusief btw]]=1,Tb_Activiteiten[[#Headers],[Kosten derden exclusief btw]],""))</f>
        <v/>
      </c>
      <c r="AT714" t="str">
        <f>IF(ISNUMBER(FIND("overige",Methode_Keuze)),"",IF(Tb_Activiteiten[[#This Row],[Niet verrekenbare btw]]=1,Tb_Activiteiten[[#Headers],[Niet verrekenbare btw]],""))</f>
        <v/>
      </c>
      <c r="AU714" t="str">
        <f>IF(ISNUMBER(FIND("overige",Methode_Keuze)),"",IF(Tb_Activiteiten[[#This Row],[Grondkosten]]=1,Tb_Activiteiten[[#Headers],[Grondkosten]],""))</f>
        <v/>
      </c>
      <c r="AV714" t="str">
        <f>IF(ISNUMBER(FIND("overige",Methode_Keuze)),"",IF(Tb_Activiteiten[[#This Row],[Bijdrage in natura (overige)]]=1,Tb_Activiteiten[[#Headers],[Bijdrage in natura (overige)]],""))</f>
        <v/>
      </c>
      <c r="AW714" t="str">
        <f>IF(ISNUMBER(FIND("overige",Methode_Keuze)),"",IF(Tb_Activiteiten[[#This Row],[Bijdrage in natura (vrijwilligers)]]=1,Tb_Activiteiten[[#Headers],[Bijdrage in natura (vrijwilligers)]],""))</f>
        <v/>
      </c>
      <c r="AX714" t="str">
        <f>IF(ISNUMBER(FIND("overige",Methode_Keuze)),"",IF(Tb_Activiteiten[[#This Row],[Afschrijvingskosten]]=1,Tb_Activiteiten[[#Headers],[Afschrijvingskosten]],""))</f>
        <v/>
      </c>
      <c r="AY714" t="str">
        <f>IF(ISNUMBER(FIND("overige",Methode_Keuze)),"",IF(Tb_Activiteiten[[#This Row],[Vergoeding]]=1,Tb_Activiteiten[[#Headers],[Vergoeding]],""))</f>
        <v/>
      </c>
      <c r="AZ714" t="str">
        <f>IF(ISNUMBER(FIND("arbeid",Methode_Keuze)),"",IF(Tb_Activiteiten[[#This Row],[Arbeidskosten - vast tarief (excl eigen arbeid)]]=1,Tb_Activiteiten[[#Headers],[Arbeidskosten - vast tarief (excl eigen arbeid)]],""))</f>
        <v/>
      </c>
      <c r="BA714" t="str">
        <f>IF(ISNUMBER(FIND("overige",Methode_Keuze)),"",IF(Tb_Activiteiten[[#This Row],[Overige kosten]]=1,Tb_Activiteiten[[#Headers],[Overige kosten]],""))</f>
        <v/>
      </c>
    </row>
    <row r="715" spans="1:53" x14ac:dyDescent="0.25">
      <c r="A715" s="231"/>
      <c r="F715" s="64"/>
      <c r="G715" s="64"/>
      <c r="H715" s="275"/>
      <c r="I715" s="275"/>
      <c r="J715" s="275"/>
      <c r="K715" s="275"/>
      <c r="O715" s="56"/>
      <c r="Q715" t="str">
        <f>IFERROR(IF(VLOOKUP(Tb_Activiteiten[[#This Row],[Openstelling]],Tb_Openstelling[],2,0)=1,1,""),"")</f>
        <v/>
      </c>
      <c r="AK715" t="str">
        <f>IF(ISNUMBER(FIND("arbeid",Methode_Keuze)),"",IF(ISNUMBER(FIND("arbeid",Methode_Keuze)),"",IF(Tb_Activiteiten[[#This Row],[Loonkosten]]=1,Tb_Activiteiten[[#Headers],[Loonkosten]],"")))</f>
        <v/>
      </c>
      <c r="AL715" t="str">
        <f>IF(ISNUMBER(FIND("arbeid",Methode_Keuze)),"",IF(ISNUMBER(FIND("arbeid",Methode_Keuze)),"",IF(Tb_Activiteiten[[#This Row],[Eigen arbeid]]=1,Tb_Activiteiten[[#Headers],[Eigen arbeid]],"")))</f>
        <v/>
      </c>
      <c r="AM715" t="str">
        <f>IF(ISNUMBER(FIND("arbeid",Methode_Keuze)),"",IF(ISNUMBER(FIND("arbeid",Methode_Keuze)),"",IF(Tb_Activiteiten[[#This Row],[Projectmedewerker]]=1,Tb_Activiteiten[[#Headers],[Projectmedewerker]],"")))</f>
        <v/>
      </c>
      <c r="AN715" t="str">
        <f>IF(ISNUMBER(FIND("arbeid",Methode_Keuze)),"",IF(ISNUMBER(FIND("arbeid",Methode_Keuze)),"",IF(Tb_Activiteiten[[#This Row],[Landbouwer]]=1,Tb_Activiteiten[[#Headers],[Landbouwer]],"")))</f>
        <v/>
      </c>
      <c r="AO715" t="str">
        <f>IF(ISNUMBER(FIND("arbeid",Methode_Keuze)),"",IF(ISNUMBER(FIND("arbeid",Methode_Keuze)),"",IF(Tb_Activiteiten[[#This Row],[Adviseur]]=1,Tb_Activiteiten[[#Headers],[Adviseur]],"")))</f>
        <v/>
      </c>
      <c r="AP715" t="str">
        <f>IF(ISNUMBER(FIND("arbeid",Methode_Keuze)),"",IF(ISNUMBER(FIND("arbeid",Methode_Keuze)),"",IF(Tb_Activiteiten[[#This Row],[Projectleider/Expert]]=1,Tb_Activiteiten[[#Headers],[Projectleider/Expert]],"")))</f>
        <v/>
      </c>
      <c r="AQ715" t="str">
        <f>IF(ISNUMBER(FIND("arbeid",Methode_Keuze)),"",IF(ISNUMBER(FIND("arbeid",Methode_Keuze)),"",IF(Tb_Activiteiten[[#This Row],[Arbeidskosten]]=1,Tb_Activiteiten[[#Headers],[Arbeidskosten]],"")))</f>
        <v/>
      </c>
      <c r="AR715" t="str">
        <f>IF(ISNUMBER(FIND("arbeid",Methode_Keuze)),"",IF(ISNUMBER(FIND("arbeid",Methode_Keuze)),"",IF(Tb_Activiteiten[[#This Row],[Arbeidskosten op basis van IKS]]=1,Tb_Activiteiten[[#Headers],[Arbeidskosten op basis van IKS]],"")))</f>
        <v/>
      </c>
      <c r="AS715" t="str">
        <f>IF(ISNUMBER(FIND("overige",Methode_Keuze)),"",IF(Tb_Activiteiten[[#This Row],[Kosten derden exclusief btw]]=1,Tb_Activiteiten[[#Headers],[Kosten derden exclusief btw]],""))</f>
        <v/>
      </c>
      <c r="AT715" t="str">
        <f>IF(ISNUMBER(FIND("overige",Methode_Keuze)),"",IF(Tb_Activiteiten[[#This Row],[Niet verrekenbare btw]]=1,Tb_Activiteiten[[#Headers],[Niet verrekenbare btw]],""))</f>
        <v/>
      </c>
      <c r="AU715" t="str">
        <f>IF(ISNUMBER(FIND("overige",Methode_Keuze)),"",IF(Tb_Activiteiten[[#This Row],[Grondkosten]]=1,Tb_Activiteiten[[#Headers],[Grondkosten]],""))</f>
        <v/>
      </c>
      <c r="AV715" t="str">
        <f>IF(ISNUMBER(FIND("overige",Methode_Keuze)),"",IF(Tb_Activiteiten[[#This Row],[Bijdrage in natura (overige)]]=1,Tb_Activiteiten[[#Headers],[Bijdrage in natura (overige)]],""))</f>
        <v/>
      </c>
      <c r="AW715" t="str">
        <f>IF(ISNUMBER(FIND("overige",Methode_Keuze)),"",IF(Tb_Activiteiten[[#This Row],[Bijdrage in natura (vrijwilligers)]]=1,Tb_Activiteiten[[#Headers],[Bijdrage in natura (vrijwilligers)]],""))</f>
        <v/>
      </c>
      <c r="AX715" t="str">
        <f>IF(ISNUMBER(FIND("overige",Methode_Keuze)),"",IF(Tb_Activiteiten[[#This Row],[Afschrijvingskosten]]=1,Tb_Activiteiten[[#Headers],[Afschrijvingskosten]],""))</f>
        <v/>
      </c>
      <c r="AY715" t="str">
        <f>IF(ISNUMBER(FIND("overige",Methode_Keuze)),"",IF(Tb_Activiteiten[[#This Row],[Vergoeding]]=1,Tb_Activiteiten[[#Headers],[Vergoeding]],""))</f>
        <v/>
      </c>
      <c r="AZ715" t="str">
        <f>IF(ISNUMBER(FIND("arbeid",Methode_Keuze)),"",IF(Tb_Activiteiten[[#This Row],[Arbeidskosten - vast tarief (excl eigen arbeid)]]=1,Tb_Activiteiten[[#Headers],[Arbeidskosten - vast tarief (excl eigen arbeid)]],""))</f>
        <v/>
      </c>
      <c r="BA715" t="str">
        <f>IF(ISNUMBER(FIND("overige",Methode_Keuze)),"",IF(Tb_Activiteiten[[#This Row],[Overige kosten]]=1,Tb_Activiteiten[[#Headers],[Overige kosten]],""))</f>
        <v/>
      </c>
    </row>
    <row r="716" spans="1:53" x14ac:dyDescent="0.25">
      <c r="A716" s="231"/>
      <c r="F716" s="64"/>
      <c r="G716" s="64"/>
      <c r="H716" s="275"/>
      <c r="I716" s="275"/>
      <c r="J716" s="275"/>
      <c r="K716" s="275"/>
      <c r="O716" s="56"/>
      <c r="Q716" t="str">
        <f>IFERROR(IF(VLOOKUP(Tb_Activiteiten[[#This Row],[Openstelling]],Tb_Openstelling[],2,0)=1,1,""),"")</f>
        <v/>
      </c>
      <c r="AK716" t="str">
        <f>IF(ISNUMBER(FIND("arbeid",Methode_Keuze)),"",IF(ISNUMBER(FIND("arbeid",Methode_Keuze)),"",IF(Tb_Activiteiten[[#This Row],[Loonkosten]]=1,Tb_Activiteiten[[#Headers],[Loonkosten]],"")))</f>
        <v/>
      </c>
      <c r="AL716" t="str">
        <f>IF(ISNUMBER(FIND("arbeid",Methode_Keuze)),"",IF(ISNUMBER(FIND("arbeid",Methode_Keuze)),"",IF(Tb_Activiteiten[[#This Row],[Eigen arbeid]]=1,Tb_Activiteiten[[#Headers],[Eigen arbeid]],"")))</f>
        <v/>
      </c>
      <c r="AM716" t="str">
        <f>IF(ISNUMBER(FIND("arbeid",Methode_Keuze)),"",IF(ISNUMBER(FIND("arbeid",Methode_Keuze)),"",IF(Tb_Activiteiten[[#This Row],[Projectmedewerker]]=1,Tb_Activiteiten[[#Headers],[Projectmedewerker]],"")))</f>
        <v/>
      </c>
      <c r="AN716" t="str">
        <f>IF(ISNUMBER(FIND("arbeid",Methode_Keuze)),"",IF(ISNUMBER(FIND("arbeid",Methode_Keuze)),"",IF(Tb_Activiteiten[[#This Row],[Landbouwer]]=1,Tb_Activiteiten[[#Headers],[Landbouwer]],"")))</f>
        <v/>
      </c>
      <c r="AO716" t="str">
        <f>IF(ISNUMBER(FIND("arbeid",Methode_Keuze)),"",IF(ISNUMBER(FIND("arbeid",Methode_Keuze)),"",IF(Tb_Activiteiten[[#This Row],[Adviseur]]=1,Tb_Activiteiten[[#Headers],[Adviseur]],"")))</f>
        <v/>
      </c>
      <c r="AP716" t="str">
        <f>IF(ISNUMBER(FIND("arbeid",Methode_Keuze)),"",IF(ISNUMBER(FIND("arbeid",Methode_Keuze)),"",IF(Tb_Activiteiten[[#This Row],[Projectleider/Expert]]=1,Tb_Activiteiten[[#Headers],[Projectleider/Expert]],"")))</f>
        <v/>
      </c>
      <c r="AQ716" t="str">
        <f>IF(ISNUMBER(FIND("arbeid",Methode_Keuze)),"",IF(ISNUMBER(FIND("arbeid",Methode_Keuze)),"",IF(Tb_Activiteiten[[#This Row],[Arbeidskosten]]=1,Tb_Activiteiten[[#Headers],[Arbeidskosten]],"")))</f>
        <v/>
      </c>
      <c r="AR716" t="str">
        <f>IF(ISNUMBER(FIND("arbeid",Methode_Keuze)),"",IF(ISNUMBER(FIND("arbeid",Methode_Keuze)),"",IF(Tb_Activiteiten[[#This Row],[Arbeidskosten op basis van IKS]]=1,Tb_Activiteiten[[#Headers],[Arbeidskosten op basis van IKS]],"")))</f>
        <v/>
      </c>
      <c r="AS716" t="str">
        <f>IF(ISNUMBER(FIND("overige",Methode_Keuze)),"",IF(Tb_Activiteiten[[#This Row],[Kosten derden exclusief btw]]=1,Tb_Activiteiten[[#Headers],[Kosten derden exclusief btw]],""))</f>
        <v/>
      </c>
      <c r="AT716" t="str">
        <f>IF(ISNUMBER(FIND("overige",Methode_Keuze)),"",IF(Tb_Activiteiten[[#This Row],[Niet verrekenbare btw]]=1,Tb_Activiteiten[[#Headers],[Niet verrekenbare btw]],""))</f>
        <v/>
      </c>
      <c r="AU716" t="str">
        <f>IF(ISNUMBER(FIND("overige",Methode_Keuze)),"",IF(Tb_Activiteiten[[#This Row],[Grondkosten]]=1,Tb_Activiteiten[[#Headers],[Grondkosten]],""))</f>
        <v/>
      </c>
      <c r="AV716" t="str">
        <f>IF(ISNUMBER(FIND("overige",Methode_Keuze)),"",IF(Tb_Activiteiten[[#This Row],[Bijdrage in natura (overige)]]=1,Tb_Activiteiten[[#Headers],[Bijdrage in natura (overige)]],""))</f>
        <v/>
      </c>
      <c r="AW716" t="str">
        <f>IF(ISNUMBER(FIND("overige",Methode_Keuze)),"",IF(Tb_Activiteiten[[#This Row],[Bijdrage in natura (vrijwilligers)]]=1,Tb_Activiteiten[[#Headers],[Bijdrage in natura (vrijwilligers)]],""))</f>
        <v/>
      </c>
      <c r="AX716" t="str">
        <f>IF(ISNUMBER(FIND("overige",Methode_Keuze)),"",IF(Tb_Activiteiten[[#This Row],[Afschrijvingskosten]]=1,Tb_Activiteiten[[#Headers],[Afschrijvingskosten]],""))</f>
        <v/>
      </c>
      <c r="AY716" t="str">
        <f>IF(ISNUMBER(FIND("overige",Methode_Keuze)),"",IF(Tb_Activiteiten[[#This Row],[Vergoeding]]=1,Tb_Activiteiten[[#Headers],[Vergoeding]],""))</f>
        <v/>
      </c>
      <c r="AZ716" t="str">
        <f>IF(ISNUMBER(FIND("arbeid",Methode_Keuze)),"",IF(Tb_Activiteiten[[#This Row],[Arbeidskosten - vast tarief (excl eigen arbeid)]]=1,Tb_Activiteiten[[#Headers],[Arbeidskosten - vast tarief (excl eigen arbeid)]],""))</f>
        <v/>
      </c>
      <c r="BA716" t="str">
        <f>IF(ISNUMBER(FIND("overige",Methode_Keuze)),"",IF(Tb_Activiteiten[[#This Row],[Overige kosten]]=1,Tb_Activiteiten[[#Headers],[Overige kosten]],""))</f>
        <v/>
      </c>
    </row>
    <row r="717" spans="1:53" x14ac:dyDescent="0.25">
      <c r="A717" s="231"/>
      <c r="F717" s="64"/>
      <c r="G717" s="64"/>
      <c r="H717" s="275"/>
      <c r="I717" s="275"/>
      <c r="J717" s="275"/>
      <c r="K717" s="275"/>
      <c r="O717" s="56"/>
      <c r="Q717" t="str">
        <f>IFERROR(IF(VLOOKUP(Tb_Activiteiten[[#This Row],[Openstelling]],Tb_Openstelling[],2,0)=1,1,""),"")</f>
        <v/>
      </c>
      <c r="AK717" t="str">
        <f>IF(ISNUMBER(FIND("arbeid",Methode_Keuze)),"",IF(ISNUMBER(FIND("arbeid",Methode_Keuze)),"",IF(Tb_Activiteiten[[#This Row],[Loonkosten]]=1,Tb_Activiteiten[[#Headers],[Loonkosten]],"")))</f>
        <v/>
      </c>
      <c r="AL717" t="str">
        <f>IF(ISNUMBER(FIND("arbeid",Methode_Keuze)),"",IF(ISNUMBER(FIND("arbeid",Methode_Keuze)),"",IF(Tb_Activiteiten[[#This Row],[Eigen arbeid]]=1,Tb_Activiteiten[[#Headers],[Eigen arbeid]],"")))</f>
        <v/>
      </c>
      <c r="AM717" t="str">
        <f>IF(ISNUMBER(FIND("arbeid",Methode_Keuze)),"",IF(ISNUMBER(FIND("arbeid",Methode_Keuze)),"",IF(Tb_Activiteiten[[#This Row],[Projectmedewerker]]=1,Tb_Activiteiten[[#Headers],[Projectmedewerker]],"")))</f>
        <v/>
      </c>
      <c r="AN717" t="str">
        <f>IF(ISNUMBER(FIND("arbeid",Methode_Keuze)),"",IF(ISNUMBER(FIND("arbeid",Methode_Keuze)),"",IF(Tb_Activiteiten[[#This Row],[Landbouwer]]=1,Tb_Activiteiten[[#Headers],[Landbouwer]],"")))</f>
        <v/>
      </c>
      <c r="AO717" t="str">
        <f>IF(ISNUMBER(FIND("arbeid",Methode_Keuze)),"",IF(ISNUMBER(FIND("arbeid",Methode_Keuze)),"",IF(Tb_Activiteiten[[#This Row],[Adviseur]]=1,Tb_Activiteiten[[#Headers],[Adviseur]],"")))</f>
        <v/>
      </c>
      <c r="AP717" t="str">
        <f>IF(ISNUMBER(FIND("arbeid",Methode_Keuze)),"",IF(ISNUMBER(FIND("arbeid",Methode_Keuze)),"",IF(Tb_Activiteiten[[#This Row],[Projectleider/Expert]]=1,Tb_Activiteiten[[#Headers],[Projectleider/Expert]],"")))</f>
        <v/>
      </c>
      <c r="AQ717" t="str">
        <f>IF(ISNUMBER(FIND("arbeid",Methode_Keuze)),"",IF(ISNUMBER(FIND("arbeid",Methode_Keuze)),"",IF(Tb_Activiteiten[[#This Row],[Arbeidskosten]]=1,Tb_Activiteiten[[#Headers],[Arbeidskosten]],"")))</f>
        <v/>
      </c>
      <c r="AR717" t="str">
        <f>IF(ISNUMBER(FIND("arbeid",Methode_Keuze)),"",IF(ISNUMBER(FIND("arbeid",Methode_Keuze)),"",IF(Tb_Activiteiten[[#This Row],[Arbeidskosten op basis van IKS]]=1,Tb_Activiteiten[[#Headers],[Arbeidskosten op basis van IKS]],"")))</f>
        <v/>
      </c>
      <c r="AS717" t="str">
        <f>IF(ISNUMBER(FIND("overige",Methode_Keuze)),"",IF(Tb_Activiteiten[[#This Row],[Kosten derden exclusief btw]]=1,Tb_Activiteiten[[#Headers],[Kosten derden exclusief btw]],""))</f>
        <v/>
      </c>
      <c r="AT717" t="str">
        <f>IF(ISNUMBER(FIND("overige",Methode_Keuze)),"",IF(Tb_Activiteiten[[#This Row],[Niet verrekenbare btw]]=1,Tb_Activiteiten[[#Headers],[Niet verrekenbare btw]],""))</f>
        <v/>
      </c>
      <c r="AU717" t="str">
        <f>IF(ISNUMBER(FIND("overige",Methode_Keuze)),"",IF(Tb_Activiteiten[[#This Row],[Grondkosten]]=1,Tb_Activiteiten[[#Headers],[Grondkosten]],""))</f>
        <v/>
      </c>
      <c r="AV717" t="str">
        <f>IF(ISNUMBER(FIND("overige",Methode_Keuze)),"",IF(Tb_Activiteiten[[#This Row],[Bijdrage in natura (overige)]]=1,Tb_Activiteiten[[#Headers],[Bijdrage in natura (overige)]],""))</f>
        <v/>
      </c>
      <c r="AW717" t="str">
        <f>IF(ISNUMBER(FIND("overige",Methode_Keuze)),"",IF(Tb_Activiteiten[[#This Row],[Bijdrage in natura (vrijwilligers)]]=1,Tb_Activiteiten[[#Headers],[Bijdrage in natura (vrijwilligers)]],""))</f>
        <v/>
      </c>
      <c r="AX717" t="str">
        <f>IF(ISNUMBER(FIND("overige",Methode_Keuze)),"",IF(Tb_Activiteiten[[#This Row],[Afschrijvingskosten]]=1,Tb_Activiteiten[[#Headers],[Afschrijvingskosten]],""))</f>
        <v/>
      </c>
      <c r="AY717" t="str">
        <f>IF(ISNUMBER(FIND("overige",Methode_Keuze)),"",IF(Tb_Activiteiten[[#This Row],[Vergoeding]]=1,Tb_Activiteiten[[#Headers],[Vergoeding]],""))</f>
        <v/>
      </c>
      <c r="AZ717" t="str">
        <f>IF(ISNUMBER(FIND("arbeid",Methode_Keuze)),"",IF(Tb_Activiteiten[[#This Row],[Arbeidskosten - vast tarief (excl eigen arbeid)]]=1,Tb_Activiteiten[[#Headers],[Arbeidskosten - vast tarief (excl eigen arbeid)]],""))</f>
        <v/>
      </c>
      <c r="BA717" t="str">
        <f>IF(ISNUMBER(FIND("overige",Methode_Keuze)),"",IF(Tb_Activiteiten[[#This Row],[Overige kosten]]=1,Tb_Activiteiten[[#Headers],[Overige kosten]],""))</f>
        <v/>
      </c>
    </row>
    <row r="718" spans="1:53" x14ac:dyDescent="0.25">
      <c r="A718" s="231"/>
      <c r="F718" s="64"/>
      <c r="G718" s="64"/>
      <c r="H718" s="275"/>
      <c r="I718" s="275"/>
      <c r="J718" s="275"/>
      <c r="K718" s="275"/>
      <c r="O718" s="56"/>
      <c r="Q718" t="str">
        <f>IFERROR(IF(VLOOKUP(Tb_Activiteiten[[#This Row],[Openstelling]],Tb_Openstelling[],2,0)=1,1,""),"")</f>
        <v/>
      </c>
      <c r="AK718" t="str">
        <f>IF(ISNUMBER(FIND("arbeid",Methode_Keuze)),"",IF(ISNUMBER(FIND("arbeid",Methode_Keuze)),"",IF(Tb_Activiteiten[[#This Row],[Loonkosten]]=1,Tb_Activiteiten[[#Headers],[Loonkosten]],"")))</f>
        <v/>
      </c>
      <c r="AL718" t="str">
        <f>IF(ISNUMBER(FIND("arbeid",Methode_Keuze)),"",IF(ISNUMBER(FIND("arbeid",Methode_Keuze)),"",IF(Tb_Activiteiten[[#This Row],[Eigen arbeid]]=1,Tb_Activiteiten[[#Headers],[Eigen arbeid]],"")))</f>
        <v/>
      </c>
      <c r="AM718" t="str">
        <f>IF(ISNUMBER(FIND("arbeid",Methode_Keuze)),"",IF(ISNUMBER(FIND("arbeid",Methode_Keuze)),"",IF(Tb_Activiteiten[[#This Row],[Projectmedewerker]]=1,Tb_Activiteiten[[#Headers],[Projectmedewerker]],"")))</f>
        <v/>
      </c>
      <c r="AN718" t="str">
        <f>IF(ISNUMBER(FIND("arbeid",Methode_Keuze)),"",IF(ISNUMBER(FIND("arbeid",Methode_Keuze)),"",IF(Tb_Activiteiten[[#This Row],[Landbouwer]]=1,Tb_Activiteiten[[#Headers],[Landbouwer]],"")))</f>
        <v/>
      </c>
      <c r="AO718" t="str">
        <f>IF(ISNUMBER(FIND("arbeid",Methode_Keuze)),"",IF(ISNUMBER(FIND("arbeid",Methode_Keuze)),"",IF(Tb_Activiteiten[[#This Row],[Adviseur]]=1,Tb_Activiteiten[[#Headers],[Adviseur]],"")))</f>
        <v/>
      </c>
      <c r="AP718" t="str">
        <f>IF(ISNUMBER(FIND("arbeid",Methode_Keuze)),"",IF(ISNUMBER(FIND("arbeid",Methode_Keuze)),"",IF(Tb_Activiteiten[[#This Row],[Projectleider/Expert]]=1,Tb_Activiteiten[[#Headers],[Projectleider/Expert]],"")))</f>
        <v/>
      </c>
      <c r="AQ718" t="str">
        <f>IF(ISNUMBER(FIND("arbeid",Methode_Keuze)),"",IF(ISNUMBER(FIND("arbeid",Methode_Keuze)),"",IF(Tb_Activiteiten[[#This Row],[Arbeidskosten]]=1,Tb_Activiteiten[[#Headers],[Arbeidskosten]],"")))</f>
        <v/>
      </c>
      <c r="AR718" t="str">
        <f>IF(ISNUMBER(FIND("arbeid",Methode_Keuze)),"",IF(ISNUMBER(FIND("arbeid",Methode_Keuze)),"",IF(Tb_Activiteiten[[#This Row],[Arbeidskosten op basis van IKS]]=1,Tb_Activiteiten[[#Headers],[Arbeidskosten op basis van IKS]],"")))</f>
        <v/>
      </c>
      <c r="AS718" t="str">
        <f>IF(ISNUMBER(FIND("overige",Methode_Keuze)),"",IF(Tb_Activiteiten[[#This Row],[Kosten derden exclusief btw]]=1,Tb_Activiteiten[[#Headers],[Kosten derden exclusief btw]],""))</f>
        <v/>
      </c>
      <c r="AT718" t="str">
        <f>IF(ISNUMBER(FIND("overige",Methode_Keuze)),"",IF(Tb_Activiteiten[[#This Row],[Niet verrekenbare btw]]=1,Tb_Activiteiten[[#Headers],[Niet verrekenbare btw]],""))</f>
        <v/>
      </c>
      <c r="AU718" t="str">
        <f>IF(ISNUMBER(FIND("overige",Methode_Keuze)),"",IF(Tb_Activiteiten[[#This Row],[Grondkosten]]=1,Tb_Activiteiten[[#Headers],[Grondkosten]],""))</f>
        <v/>
      </c>
      <c r="AV718" t="str">
        <f>IF(ISNUMBER(FIND("overige",Methode_Keuze)),"",IF(Tb_Activiteiten[[#This Row],[Bijdrage in natura (overige)]]=1,Tb_Activiteiten[[#Headers],[Bijdrage in natura (overige)]],""))</f>
        <v/>
      </c>
      <c r="AW718" t="str">
        <f>IF(ISNUMBER(FIND("overige",Methode_Keuze)),"",IF(Tb_Activiteiten[[#This Row],[Bijdrage in natura (vrijwilligers)]]=1,Tb_Activiteiten[[#Headers],[Bijdrage in natura (vrijwilligers)]],""))</f>
        <v/>
      </c>
      <c r="AX718" t="str">
        <f>IF(ISNUMBER(FIND("overige",Methode_Keuze)),"",IF(Tb_Activiteiten[[#This Row],[Afschrijvingskosten]]=1,Tb_Activiteiten[[#Headers],[Afschrijvingskosten]],""))</f>
        <v/>
      </c>
      <c r="AY718" t="str">
        <f>IF(ISNUMBER(FIND("overige",Methode_Keuze)),"",IF(Tb_Activiteiten[[#This Row],[Vergoeding]]=1,Tb_Activiteiten[[#Headers],[Vergoeding]],""))</f>
        <v/>
      </c>
      <c r="AZ718" t="str">
        <f>IF(ISNUMBER(FIND("arbeid",Methode_Keuze)),"",IF(Tb_Activiteiten[[#This Row],[Arbeidskosten - vast tarief (excl eigen arbeid)]]=1,Tb_Activiteiten[[#Headers],[Arbeidskosten - vast tarief (excl eigen arbeid)]],""))</f>
        <v/>
      </c>
      <c r="BA718" t="str">
        <f>IF(ISNUMBER(FIND("overige",Methode_Keuze)),"",IF(Tb_Activiteiten[[#This Row],[Overige kosten]]=1,Tb_Activiteiten[[#Headers],[Overige kosten]],""))</f>
        <v/>
      </c>
    </row>
    <row r="719" spans="1:53" x14ac:dyDescent="0.25">
      <c r="A719" s="231"/>
      <c r="F719" s="64"/>
      <c r="G719" s="64"/>
      <c r="H719" s="275"/>
      <c r="I719" s="275"/>
      <c r="J719" s="275"/>
      <c r="K719" s="275"/>
      <c r="O719" s="56"/>
      <c r="Q719" t="str">
        <f>IFERROR(IF(VLOOKUP(Tb_Activiteiten[[#This Row],[Openstelling]],Tb_Openstelling[],2,0)=1,1,""),"")</f>
        <v/>
      </c>
      <c r="AK719" t="str">
        <f>IF(ISNUMBER(FIND("arbeid",Methode_Keuze)),"",IF(ISNUMBER(FIND("arbeid",Methode_Keuze)),"",IF(Tb_Activiteiten[[#This Row],[Loonkosten]]=1,Tb_Activiteiten[[#Headers],[Loonkosten]],"")))</f>
        <v/>
      </c>
      <c r="AL719" t="str">
        <f>IF(ISNUMBER(FIND("arbeid",Methode_Keuze)),"",IF(ISNUMBER(FIND("arbeid",Methode_Keuze)),"",IF(Tb_Activiteiten[[#This Row],[Eigen arbeid]]=1,Tb_Activiteiten[[#Headers],[Eigen arbeid]],"")))</f>
        <v/>
      </c>
      <c r="AM719" t="str">
        <f>IF(ISNUMBER(FIND("arbeid",Methode_Keuze)),"",IF(ISNUMBER(FIND("arbeid",Methode_Keuze)),"",IF(Tb_Activiteiten[[#This Row],[Projectmedewerker]]=1,Tb_Activiteiten[[#Headers],[Projectmedewerker]],"")))</f>
        <v/>
      </c>
      <c r="AN719" t="str">
        <f>IF(ISNUMBER(FIND("arbeid",Methode_Keuze)),"",IF(ISNUMBER(FIND("arbeid",Methode_Keuze)),"",IF(Tb_Activiteiten[[#This Row],[Landbouwer]]=1,Tb_Activiteiten[[#Headers],[Landbouwer]],"")))</f>
        <v/>
      </c>
      <c r="AO719" t="str">
        <f>IF(ISNUMBER(FIND("arbeid",Methode_Keuze)),"",IF(ISNUMBER(FIND("arbeid",Methode_Keuze)),"",IF(Tb_Activiteiten[[#This Row],[Adviseur]]=1,Tb_Activiteiten[[#Headers],[Adviseur]],"")))</f>
        <v/>
      </c>
      <c r="AP719" t="str">
        <f>IF(ISNUMBER(FIND("arbeid",Methode_Keuze)),"",IF(ISNUMBER(FIND("arbeid",Methode_Keuze)),"",IF(Tb_Activiteiten[[#This Row],[Projectleider/Expert]]=1,Tb_Activiteiten[[#Headers],[Projectleider/Expert]],"")))</f>
        <v/>
      </c>
      <c r="AQ719" t="str">
        <f>IF(ISNUMBER(FIND("arbeid",Methode_Keuze)),"",IF(ISNUMBER(FIND("arbeid",Methode_Keuze)),"",IF(Tb_Activiteiten[[#This Row],[Arbeidskosten]]=1,Tb_Activiteiten[[#Headers],[Arbeidskosten]],"")))</f>
        <v/>
      </c>
      <c r="AR719" t="str">
        <f>IF(ISNUMBER(FIND("arbeid",Methode_Keuze)),"",IF(ISNUMBER(FIND("arbeid",Methode_Keuze)),"",IF(Tb_Activiteiten[[#This Row],[Arbeidskosten op basis van IKS]]=1,Tb_Activiteiten[[#Headers],[Arbeidskosten op basis van IKS]],"")))</f>
        <v/>
      </c>
      <c r="AS719" t="str">
        <f>IF(ISNUMBER(FIND("overige",Methode_Keuze)),"",IF(Tb_Activiteiten[[#This Row],[Kosten derden exclusief btw]]=1,Tb_Activiteiten[[#Headers],[Kosten derden exclusief btw]],""))</f>
        <v/>
      </c>
      <c r="AT719" t="str">
        <f>IF(ISNUMBER(FIND("overige",Methode_Keuze)),"",IF(Tb_Activiteiten[[#This Row],[Niet verrekenbare btw]]=1,Tb_Activiteiten[[#Headers],[Niet verrekenbare btw]],""))</f>
        <v/>
      </c>
      <c r="AU719" t="str">
        <f>IF(ISNUMBER(FIND("overige",Methode_Keuze)),"",IF(Tb_Activiteiten[[#This Row],[Grondkosten]]=1,Tb_Activiteiten[[#Headers],[Grondkosten]],""))</f>
        <v/>
      </c>
      <c r="AV719" t="str">
        <f>IF(ISNUMBER(FIND("overige",Methode_Keuze)),"",IF(Tb_Activiteiten[[#This Row],[Bijdrage in natura (overige)]]=1,Tb_Activiteiten[[#Headers],[Bijdrage in natura (overige)]],""))</f>
        <v/>
      </c>
      <c r="AW719" t="str">
        <f>IF(ISNUMBER(FIND("overige",Methode_Keuze)),"",IF(Tb_Activiteiten[[#This Row],[Bijdrage in natura (vrijwilligers)]]=1,Tb_Activiteiten[[#Headers],[Bijdrage in natura (vrijwilligers)]],""))</f>
        <v/>
      </c>
      <c r="AX719" t="str">
        <f>IF(ISNUMBER(FIND("overige",Methode_Keuze)),"",IF(Tb_Activiteiten[[#This Row],[Afschrijvingskosten]]=1,Tb_Activiteiten[[#Headers],[Afschrijvingskosten]],""))</f>
        <v/>
      </c>
      <c r="AY719" t="str">
        <f>IF(ISNUMBER(FIND("overige",Methode_Keuze)),"",IF(Tb_Activiteiten[[#This Row],[Vergoeding]]=1,Tb_Activiteiten[[#Headers],[Vergoeding]],""))</f>
        <v/>
      </c>
      <c r="AZ719" t="str">
        <f>IF(ISNUMBER(FIND("arbeid",Methode_Keuze)),"",IF(Tb_Activiteiten[[#This Row],[Arbeidskosten - vast tarief (excl eigen arbeid)]]=1,Tb_Activiteiten[[#Headers],[Arbeidskosten - vast tarief (excl eigen arbeid)]],""))</f>
        <v/>
      </c>
      <c r="BA719" t="str">
        <f>IF(ISNUMBER(FIND("overige",Methode_Keuze)),"",IF(Tb_Activiteiten[[#This Row],[Overige kosten]]=1,Tb_Activiteiten[[#Headers],[Overige kosten]],""))</f>
        <v/>
      </c>
    </row>
    <row r="720" spans="1:53" x14ac:dyDescent="0.25">
      <c r="A720" s="231"/>
      <c r="F720" s="64"/>
      <c r="G720" s="64"/>
      <c r="H720" s="275"/>
      <c r="I720" s="275"/>
      <c r="J720" s="275"/>
      <c r="K720" s="275"/>
      <c r="O720" s="56"/>
      <c r="Q720" t="str">
        <f>IFERROR(IF(VLOOKUP(Tb_Activiteiten[[#This Row],[Openstelling]],Tb_Openstelling[],2,0)=1,1,""),"")</f>
        <v/>
      </c>
      <c r="AK720" t="str">
        <f>IF(ISNUMBER(FIND("arbeid",Methode_Keuze)),"",IF(ISNUMBER(FIND("arbeid",Methode_Keuze)),"",IF(Tb_Activiteiten[[#This Row],[Loonkosten]]=1,Tb_Activiteiten[[#Headers],[Loonkosten]],"")))</f>
        <v/>
      </c>
      <c r="AL720" t="str">
        <f>IF(ISNUMBER(FIND("arbeid",Methode_Keuze)),"",IF(ISNUMBER(FIND("arbeid",Methode_Keuze)),"",IF(Tb_Activiteiten[[#This Row],[Eigen arbeid]]=1,Tb_Activiteiten[[#Headers],[Eigen arbeid]],"")))</f>
        <v/>
      </c>
      <c r="AM720" t="str">
        <f>IF(ISNUMBER(FIND("arbeid",Methode_Keuze)),"",IF(ISNUMBER(FIND("arbeid",Methode_Keuze)),"",IF(Tb_Activiteiten[[#This Row],[Projectmedewerker]]=1,Tb_Activiteiten[[#Headers],[Projectmedewerker]],"")))</f>
        <v/>
      </c>
      <c r="AN720" t="str">
        <f>IF(ISNUMBER(FIND("arbeid",Methode_Keuze)),"",IF(ISNUMBER(FIND("arbeid",Methode_Keuze)),"",IF(Tb_Activiteiten[[#This Row],[Landbouwer]]=1,Tb_Activiteiten[[#Headers],[Landbouwer]],"")))</f>
        <v/>
      </c>
      <c r="AO720" t="str">
        <f>IF(ISNUMBER(FIND("arbeid",Methode_Keuze)),"",IF(ISNUMBER(FIND("arbeid",Methode_Keuze)),"",IF(Tb_Activiteiten[[#This Row],[Adviseur]]=1,Tb_Activiteiten[[#Headers],[Adviseur]],"")))</f>
        <v/>
      </c>
      <c r="AP720" t="str">
        <f>IF(ISNUMBER(FIND("arbeid",Methode_Keuze)),"",IF(ISNUMBER(FIND("arbeid",Methode_Keuze)),"",IF(Tb_Activiteiten[[#This Row],[Projectleider/Expert]]=1,Tb_Activiteiten[[#Headers],[Projectleider/Expert]],"")))</f>
        <v/>
      </c>
      <c r="AQ720" t="str">
        <f>IF(ISNUMBER(FIND("arbeid",Methode_Keuze)),"",IF(ISNUMBER(FIND("arbeid",Methode_Keuze)),"",IF(Tb_Activiteiten[[#This Row],[Arbeidskosten]]=1,Tb_Activiteiten[[#Headers],[Arbeidskosten]],"")))</f>
        <v/>
      </c>
      <c r="AR720" t="str">
        <f>IF(ISNUMBER(FIND("arbeid",Methode_Keuze)),"",IF(ISNUMBER(FIND("arbeid",Methode_Keuze)),"",IF(Tb_Activiteiten[[#This Row],[Arbeidskosten op basis van IKS]]=1,Tb_Activiteiten[[#Headers],[Arbeidskosten op basis van IKS]],"")))</f>
        <v/>
      </c>
      <c r="AS720" t="str">
        <f>IF(ISNUMBER(FIND("overige",Methode_Keuze)),"",IF(Tb_Activiteiten[[#This Row],[Kosten derden exclusief btw]]=1,Tb_Activiteiten[[#Headers],[Kosten derden exclusief btw]],""))</f>
        <v/>
      </c>
      <c r="AT720" t="str">
        <f>IF(ISNUMBER(FIND("overige",Methode_Keuze)),"",IF(Tb_Activiteiten[[#This Row],[Niet verrekenbare btw]]=1,Tb_Activiteiten[[#Headers],[Niet verrekenbare btw]],""))</f>
        <v/>
      </c>
      <c r="AU720" t="str">
        <f>IF(ISNUMBER(FIND("overige",Methode_Keuze)),"",IF(Tb_Activiteiten[[#This Row],[Grondkosten]]=1,Tb_Activiteiten[[#Headers],[Grondkosten]],""))</f>
        <v/>
      </c>
      <c r="AV720" t="str">
        <f>IF(ISNUMBER(FIND("overige",Methode_Keuze)),"",IF(Tb_Activiteiten[[#This Row],[Bijdrage in natura (overige)]]=1,Tb_Activiteiten[[#Headers],[Bijdrage in natura (overige)]],""))</f>
        <v/>
      </c>
      <c r="AW720" t="str">
        <f>IF(ISNUMBER(FIND("overige",Methode_Keuze)),"",IF(Tb_Activiteiten[[#This Row],[Bijdrage in natura (vrijwilligers)]]=1,Tb_Activiteiten[[#Headers],[Bijdrage in natura (vrijwilligers)]],""))</f>
        <v/>
      </c>
      <c r="AX720" t="str">
        <f>IF(ISNUMBER(FIND("overige",Methode_Keuze)),"",IF(Tb_Activiteiten[[#This Row],[Afschrijvingskosten]]=1,Tb_Activiteiten[[#Headers],[Afschrijvingskosten]],""))</f>
        <v/>
      </c>
      <c r="AY720" t="str">
        <f>IF(ISNUMBER(FIND("overige",Methode_Keuze)),"",IF(Tb_Activiteiten[[#This Row],[Vergoeding]]=1,Tb_Activiteiten[[#Headers],[Vergoeding]],""))</f>
        <v/>
      </c>
      <c r="AZ720" t="str">
        <f>IF(ISNUMBER(FIND("arbeid",Methode_Keuze)),"",IF(Tb_Activiteiten[[#This Row],[Arbeidskosten - vast tarief (excl eigen arbeid)]]=1,Tb_Activiteiten[[#Headers],[Arbeidskosten - vast tarief (excl eigen arbeid)]],""))</f>
        <v/>
      </c>
      <c r="BA720" t="str">
        <f>IF(ISNUMBER(FIND("overige",Methode_Keuze)),"",IF(Tb_Activiteiten[[#This Row],[Overige kosten]]=1,Tb_Activiteiten[[#Headers],[Overige kosten]],""))</f>
        <v/>
      </c>
    </row>
    <row r="721" spans="1:53" x14ac:dyDescent="0.25">
      <c r="A721" s="231"/>
      <c r="F721" s="64"/>
      <c r="G721" s="64"/>
      <c r="H721" s="275"/>
      <c r="I721" s="275"/>
      <c r="J721" s="275"/>
      <c r="K721" s="275"/>
      <c r="O721" s="56"/>
      <c r="Q721" t="str">
        <f>IFERROR(IF(VLOOKUP(Tb_Activiteiten[[#This Row],[Openstelling]],Tb_Openstelling[],2,0)=1,1,""),"")</f>
        <v/>
      </c>
      <c r="AK721" t="str">
        <f>IF(ISNUMBER(FIND("arbeid",Methode_Keuze)),"",IF(ISNUMBER(FIND("arbeid",Methode_Keuze)),"",IF(Tb_Activiteiten[[#This Row],[Loonkosten]]=1,Tb_Activiteiten[[#Headers],[Loonkosten]],"")))</f>
        <v/>
      </c>
      <c r="AL721" t="str">
        <f>IF(ISNUMBER(FIND("arbeid",Methode_Keuze)),"",IF(ISNUMBER(FIND("arbeid",Methode_Keuze)),"",IF(Tb_Activiteiten[[#This Row],[Eigen arbeid]]=1,Tb_Activiteiten[[#Headers],[Eigen arbeid]],"")))</f>
        <v/>
      </c>
      <c r="AM721" t="str">
        <f>IF(ISNUMBER(FIND("arbeid",Methode_Keuze)),"",IF(ISNUMBER(FIND("arbeid",Methode_Keuze)),"",IF(Tb_Activiteiten[[#This Row],[Projectmedewerker]]=1,Tb_Activiteiten[[#Headers],[Projectmedewerker]],"")))</f>
        <v/>
      </c>
      <c r="AN721" t="str">
        <f>IF(ISNUMBER(FIND("arbeid",Methode_Keuze)),"",IF(ISNUMBER(FIND("arbeid",Methode_Keuze)),"",IF(Tb_Activiteiten[[#This Row],[Landbouwer]]=1,Tb_Activiteiten[[#Headers],[Landbouwer]],"")))</f>
        <v/>
      </c>
      <c r="AO721" t="str">
        <f>IF(ISNUMBER(FIND("arbeid",Methode_Keuze)),"",IF(ISNUMBER(FIND("arbeid",Methode_Keuze)),"",IF(Tb_Activiteiten[[#This Row],[Adviseur]]=1,Tb_Activiteiten[[#Headers],[Adviseur]],"")))</f>
        <v/>
      </c>
      <c r="AP721" t="str">
        <f>IF(ISNUMBER(FIND("arbeid",Methode_Keuze)),"",IF(ISNUMBER(FIND("arbeid",Methode_Keuze)),"",IF(Tb_Activiteiten[[#This Row],[Projectleider/Expert]]=1,Tb_Activiteiten[[#Headers],[Projectleider/Expert]],"")))</f>
        <v/>
      </c>
      <c r="AQ721" t="str">
        <f>IF(ISNUMBER(FIND("arbeid",Methode_Keuze)),"",IF(ISNUMBER(FIND("arbeid",Methode_Keuze)),"",IF(Tb_Activiteiten[[#This Row],[Arbeidskosten]]=1,Tb_Activiteiten[[#Headers],[Arbeidskosten]],"")))</f>
        <v/>
      </c>
      <c r="AR721" t="str">
        <f>IF(ISNUMBER(FIND("arbeid",Methode_Keuze)),"",IF(ISNUMBER(FIND("arbeid",Methode_Keuze)),"",IF(Tb_Activiteiten[[#This Row],[Arbeidskosten op basis van IKS]]=1,Tb_Activiteiten[[#Headers],[Arbeidskosten op basis van IKS]],"")))</f>
        <v/>
      </c>
      <c r="AS721" t="str">
        <f>IF(ISNUMBER(FIND("overige",Methode_Keuze)),"",IF(Tb_Activiteiten[[#This Row],[Kosten derden exclusief btw]]=1,Tb_Activiteiten[[#Headers],[Kosten derden exclusief btw]],""))</f>
        <v/>
      </c>
      <c r="AT721" t="str">
        <f>IF(ISNUMBER(FIND("overige",Methode_Keuze)),"",IF(Tb_Activiteiten[[#This Row],[Niet verrekenbare btw]]=1,Tb_Activiteiten[[#Headers],[Niet verrekenbare btw]],""))</f>
        <v/>
      </c>
      <c r="AU721" t="str">
        <f>IF(ISNUMBER(FIND("overige",Methode_Keuze)),"",IF(Tb_Activiteiten[[#This Row],[Grondkosten]]=1,Tb_Activiteiten[[#Headers],[Grondkosten]],""))</f>
        <v/>
      </c>
      <c r="AV721" t="str">
        <f>IF(ISNUMBER(FIND("overige",Methode_Keuze)),"",IF(Tb_Activiteiten[[#This Row],[Bijdrage in natura (overige)]]=1,Tb_Activiteiten[[#Headers],[Bijdrage in natura (overige)]],""))</f>
        <v/>
      </c>
      <c r="AW721" t="str">
        <f>IF(ISNUMBER(FIND("overige",Methode_Keuze)),"",IF(Tb_Activiteiten[[#This Row],[Bijdrage in natura (vrijwilligers)]]=1,Tb_Activiteiten[[#Headers],[Bijdrage in natura (vrijwilligers)]],""))</f>
        <v/>
      </c>
      <c r="AX721" t="str">
        <f>IF(ISNUMBER(FIND("overige",Methode_Keuze)),"",IF(Tb_Activiteiten[[#This Row],[Afschrijvingskosten]]=1,Tb_Activiteiten[[#Headers],[Afschrijvingskosten]],""))</f>
        <v/>
      </c>
      <c r="AY721" t="str">
        <f>IF(ISNUMBER(FIND("overige",Methode_Keuze)),"",IF(Tb_Activiteiten[[#This Row],[Vergoeding]]=1,Tb_Activiteiten[[#Headers],[Vergoeding]],""))</f>
        <v/>
      </c>
      <c r="AZ721" t="str">
        <f>IF(ISNUMBER(FIND("arbeid",Methode_Keuze)),"",IF(Tb_Activiteiten[[#This Row],[Arbeidskosten - vast tarief (excl eigen arbeid)]]=1,Tb_Activiteiten[[#Headers],[Arbeidskosten - vast tarief (excl eigen arbeid)]],""))</f>
        <v/>
      </c>
      <c r="BA721" t="str">
        <f>IF(ISNUMBER(FIND("overige",Methode_Keuze)),"",IF(Tb_Activiteiten[[#This Row],[Overige kosten]]=1,Tb_Activiteiten[[#Headers],[Overige kosten]],""))</f>
        <v/>
      </c>
    </row>
    <row r="722" spans="1:53" x14ac:dyDescent="0.25">
      <c r="A722" s="231"/>
      <c r="F722" s="64"/>
      <c r="G722" s="64"/>
      <c r="H722" s="275"/>
      <c r="I722" s="275"/>
      <c r="J722" s="275"/>
      <c r="K722" s="275"/>
      <c r="O722" s="56"/>
      <c r="Q722" t="str">
        <f>IFERROR(IF(VLOOKUP(Tb_Activiteiten[[#This Row],[Openstelling]],Tb_Openstelling[],2,0)=1,1,""),"")</f>
        <v/>
      </c>
      <c r="AK722" t="str">
        <f>IF(ISNUMBER(FIND("arbeid",Methode_Keuze)),"",IF(ISNUMBER(FIND("arbeid",Methode_Keuze)),"",IF(Tb_Activiteiten[[#This Row],[Loonkosten]]=1,Tb_Activiteiten[[#Headers],[Loonkosten]],"")))</f>
        <v/>
      </c>
      <c r="AL722" t="str">
        <f>IF(ISNUMBER(FIND("arbeid",Methode_Keuze)),"",IF(ISNUMBER(FIND("arbeid",Methode_Keuze)),"",IF(Tb_Activiteiten[[#This Row],[Eigen arbeid]]=1,Tb_Activiteiten[[#Headers],[Eigen arbeid]],"")))</f>
        <v/>
      </c>
      <c r="AM722" t="str">
        <f>IF(ISNUMBER(FIND("arbeid",Methode_Keuze)),"",IF(ISNUMBER(FIND("arbeid",Methode_Keuze)),"",IF(Tb_Activiteiten[[#This Row],[Projectmedewerker]]=1,Tb_Activiteiten[[#Headers],[Projectmedewerker]],"")))</f>
        <v/>
      </c>
      <c r="AN722" t="str">
        <f>IF(ISNUMBER(FIND("arbeid",Methode_Keuze)),"",IF(ISNUMBER(FIND("arbeid",Methode_Keuze)),"",IF(Tb_Activiteiten[[#This Row],[Landbouwer]]=1,Tb_Activiteiten[[#Headers],[Landbouwer]],"")))</f>
        <v/>
      </c>
      <c r="AO722" t="str">
        <f>IF(ISNUMBER(FIND("arbeid",Methode_Keuze)),"",IF(ISNUMBER(FIND("arbeid",Methode_Keuze)),"",IF(Tb_Activiteiten[[#This Row],[Adviseur]]=1,Tb_Activiteiten[[#Headers],[Adviseur]],"")))</f>
        <v/>
      </c>
      <c r="AP722" t="str">
        <f>IF(ISNUMBER(FIND("arbeid",Methode_Keuze)),"",IF(ISNUMBER(FIND("arbeid",Methode_Keuze)),"",IF(Tb_Activiteiten[[#This Row],[Projectleider/Expert]]=1,Tb_Activiteiten[[#Headers],[Projectleider/Expert]],"")))</f>
        <v/>
      </c>
      <c r="AQ722" t="str">
        <f>IF(ISNUMBER(FIND("arbeid",Methode_Keuze)),"",IF(ISNUMBER(FIND("arbeid",Methode_Keuze)),"",IF(Tb_Activiteiten[[#This Row],[Arbeidskosten]]=1,Tb_Activiteiten[[#Headers],[Arbeidskosten]],"")))</f>
        <v/>
      </c>
      <c r="AR722" t="str">
        <f>IF(ISNUMBER(FIND("arbeid",Methode_Keuze)),"",IF(ISNUMBER(FIND("arbeid",Methode_Keuze)),"",IF(Tb_Activiteiten[[#This Row],[Arbeidskosten op basis van IKS]]=1,Tb_Activiteiten[[#Headers],[Arbeidskosten op basis van IKS]],"")))</f>
        <v/>
      </c>
      <c r="AS722" t="str">
        <f>IF(ISNUMBER(FIND("overige",Methode_Keuze)),"",IF(Tb_Activiteiten[[#This Row],[Kosten derden exclusief btw]]=1,Tb_Activiteiten[[#Headers],[Kosten derden exclusief btw]],""))</f>
        <v/>
      </c>
      <c r="AT722" t="str">
        <f>IF(ISNUMBER(FIND("overige",Methode_Keuze)),"",IF(Tb_Activiteiten[[#This Row],[Niet verrekenbare btw]]=1,Tb_Activiteiten[[#Headers],[Niet verrekenbare btw]],""))</f>
        <v/>
      </c>
      <c r="AU722" t="str">
        <f>IF(ISNUMBER(FIND("overige",Methode_Keuze)),"",IF(Tb_Activiteiten[[#This Row],[Grondkosten]]=1,Tb_Activiteiten[[#Headers],[Grondkosten]],""))</f>
        <v/>
      </c>
      <c r="AV722" t="str">
        <f>IF(ISNUMBER(FIND("overige",Methode_Keuze)),"",IF(Tb_Activiteiten[[#This Row],[Bijdrage in natura (overige)]]=1,Tb_Activiteiten[[#Headers],[Bijdrage in natura (overige)]],""))</f>
        <v/>
      </c>
      <c r="AW722" t="str">
        <f>IF(ISNUMBER(FIND("overige",Methode_Keuze)),"",IF(Tb_Activiteiten[[#This Row],[Bijdrage in natura (vrijwilligers)]]=1,Tb_Activiteiten[[#Headers],[Bijdrage in natura (vrijwilligers)]],""))</f>
        <v/>
      </c>
      <c r="AX722" t="str">
        <f>IF(ISNUMBER(FIND("overige",Methode_Keuze)),"",IF(Tb_Activiteiten[[#This Row],[Afschrijvingskosten]]=1,Tb_Activiteiten[[#Headers],[Afschrijvingskosten]],""))</f>
        <v/>
      </c>
      <c r="AY722" t="str">
        <f>IF(ISNUMBER(FIND("overige",Methode_Keuze)),"",IF(Tb_Activiteiten[[#This Row],[Vergoeding]]=1,Tb_Activiteiten[[#Headers],[Vergoeding]],""))</f>
        <v/>
      </c>
      <c r="AZ722" t="str">
        <f>IF(ISNUMBER(FIND("arbeid",Methode_Keuze)),"",IF(Tb_Activiteiten[[#This Row],[Arbeidskosten - vast tarief (excl eigen arbeid)]]=1,Tb_Activiteiten[[#Headers],[Arbeidskosten - vast tarief (excl eigen arbeid)]],""))</f>
        <v/>
      </c>
      <c r="BA722" t="str">
        <f>IF(ISNUMBER(FIND("overige",Methode_Keuze)),"",IF(Tb_Activiteiten[[#This Row],[Overige kosten]]=1,Tb_Activiteiten[[#Headers],[Overige kosten]],""))</f>
        <v/>
      </c>
    </row>
    <row r="723" spans="1:53" x14ac:dyDescent="0.25">
      <c r="A723" s="231"/>
      <c r="F723" s="64"/>
      <c r="G723" s="64"/>
      <c r="H723" s="275"/>
      <c r="I723" s="275"/>
      <c r="J723" s="275"/>
      <c r="K723" s="275"/>
      <c r="O723" s="56"/>
      <c r="Q723" t="str">
        <f>IFERROR(IF(VLOOKUP(Tb_Activiteiten[[#This Row],[Openstelling]],Tb_Openstelling[],2,0)=1,1,""),"")</f>
        <v/>
      </c>
      <c r="AK723" t="str">
        <f>IF(ISNUMBER(FIND("arbeid",Methode_Keuze)),"",IF(ISNUMBER(FIND("arbeid",Methode_Keuze)),"",IF(Tb_Activiteiten[[#This Row],[Loonkosten]]=1,Tb_Activiteiten[[#Headers],[Loonkosten]],"")))</f>
        <v/>
      </c>
      <c r="AL723" t="str">
        <f>IF(ISNUMBER(FIND("arbeid",Methode_Keuze)),"",IF(ISNUMBER(FIND("arbeid",Methode_Keuze)),"",IF(Tb_Activiteiten[[#This Row],[Eigen arbeid]]=1,Tb_Activiteiten[[#Headers],[Eigen arbeid]],"")))</f>
        <v/>
      </c>
      <c r="AM723" t="str">
        <f>IF(ISNUMBER(FIND("arbeid",Methode_Keuze)),"",IF(ISNUMBER(FIND("arbeid",Methode_Keuze)),"",IF(Tb_Activiteiten[[#This Row],[Projectmedewerker]]=1,Tb_Activiteiten[[#Headers],[Projectmedewerker]],"")))</f>
        <v/>
      </c>
      <c r="AN723" t="str">
        <f>IF(ISNUMBER(FIND("arbeid",Methode_Keuze)),"",IF(ISNUMBER(FIND("arbeid",Methode_Keuze)),"",IF(Tb_Activiteiten[[#This Row],[Landbouwer]]=1,Tb_Activiteiten[[#Headers],[Landbouwer]],"")))</f>
        <v/>
      </c>
      <c r="AO723" t="str">
        <f>IF(ISNUMBER(FIND("arbeid",Methode_Keuze)),"",IF(ISNUMBER(FIND("arbeid",Methode_Keuze)),"",IF(Tb_Activiteiten[[#This Row],[Adviseur]]=1,Tb_Activiteiten[[#Headers],[Adviseur]],"")))</f>
        <v/>
      </c>
      <c r="AP723" t="str">
        <f>IF(ISNUMBER(FIND("arbeid",Methode_Keuze)),"",IF(ISNUMBER(FIND("arbeid",Methode_Keuze)),"",IF(Tb_Activiteiten[[#This Row],[Projectleider/Expert]]=1,Tb_Activiteiten[[#Headers],[Projectleider/Expert]],"")))</f>
        <v/>
      </c>
      <c r="AQ723" t="str">
        <f>IF(ISNUMBER(FIND("arbeid",Methode_Keuze)),"",IF(ISNUMBER(FIND("arbeid",Methode_Keuze)),"",IF(Tb_Activiteiten[[#This Row],[Arbeidskosten]]=1,Tb_Activiteiten[[#Headers],[Arbeidskosten]],"")))</f>
        <v/>
      </c>
      <c r="AR723" t="str">
        <f>IF(ISNUMBER(FIND("arbeid",Methode_Keuze)),"",IF(ISNUMBER(FIND("arbeid",Methode_Keuze)),"",IF(Tb_Activiteiten[[#This Row],[Arbeidskosten op basis van IKS]]=1,Tb_Activiteiten[[#Headers],[Arbeidskosten op basis van IKS]],"")))</f>
        <v/>
      </c>
      <c r="AS723" t="str">
        <f>IF(ISNUMBER(FIND("overige",Methode_Keuze)),"",IF(Tb_Activiteiten[[#This Row],[Kosten derden exclusief btw]]=1,Tb_Activiteiten[[#Headers],[Kosten derden exclusief btw]],""))</f>
        <v/>
      </c>
      <c r="AT723" t="str">
        <f>IF(ISNUMBER(FIND("overige",Methode_Keuze)),"",IF(Tb_Activiteiten[[#This Row],[Niet verrekenbare btw]]=1,Tb_Activiteiten[[#Headers],[Niet verrekenbare btw]],""))</f>
        <v/>
      </c>
      <c r="AU723" t="str">
        <f>IF(ISNUMBER(FIND("overige",Methode_Keuze)),"",IF(Tb_Activiteiten[[#This Row],[Grondkosten]]=1,Tb_Activiteiten[[#Headers],[Grondkosten]],""))</f>
        <v/>
      </c>
      <c r="AV723" t="str">
        <f>IF(ISNUMBER(FIND("overige",Methode_Keuze)),"",IF(Tb_Activiteiten[[#This Row],[Bijdrage in natura (overige)]]=1,Tb_Activiteiten[[#Headers],[Bijdrage in natura (overige)]],""))</f>
        <v/>
      </c>
      <c r="AW723" t="str">
        <f>IF(ISNUMBER(FIND("overige",Methode_Keuze)),"",IF(Tb_Activiteiten[[#This Row],[Bijdrage in natura (vrijwilligers)]]=1,Tb_Activiteiten[[#Headers],[Bijdrage in natura (vrijwilligers)]],""))</f>
        <v/>
      </c>
      <c r="AX723" t="str">
        <f>IF(ISNUMBER(FIND("overige",Methode_Keuze)),"",IF(Tb_Activiteiten[[#This Row],[Afschrijvingskosten]]=1,Tb_Activiteiten[[#Headers],[Afschrijvingskosten]],""))</f>
        <v/>
      </c>
      <c r="AY723" t="str">
        <f>IF(ISNUMBER(FIND("overige",Methode_Keuze)),"",IF(Tb_Activiteiten[[#This Row],[Vergoeding]]=1,Tb_Activiteiten[[#Headers],[Vergoeding]],""))</f>
        <v/>
      </c>
      <c r="AZ723" t="str">
        <f>IF(ISNUMBER(FIND("arbeid",Methode_Keuze)),"",IF(Tb_Activiteiten[[#This Row],[Arbeidskosten - vast tarief (excl eigen arbeid)]]=1,Tb_Activiteiten[[#Headers],[Arbeidskosten - vast tarief (excl eigen arbeid)]],""))</f>
        <v/>
      </c>
      <c r="BA723" t="str">
        <f>IF(ISNUMBER(FIND("overige",Methode_Keuze)),"",IF(Tb_Activiteiten[[#This Row],[Overige kosten]]=1,Tb_Activiteiten[[#Headers],[Overige kosten]],""))</f>
        <v/>
      </c>
    </row>
    <row r="724" spans="1:53" x14ac:dyDescent="0.25">
      <c r="A724" s="231"/>
      <c r="F724" s="64"/>
      <c r="G724" s="64"/>
      <c r="H724" s="275"/>
      <c r="I724" s="275"/>
      <c r="J724" s="275"/>
      <c r="K724" s="275"/>
      <c r="O724" s="56"/>
      <c r="Q724" t="str">
        <f>IFERROR(IF(VLOOKUP(Tb_Activiteiten[[#This Row],[Openstelling]],Tb_Openstelling[],2,0)=1,1,""),"")</f>
        <v/>
      </c>
      <c r="AK724" t="str">
        <f>IF(ISNUMBER(FIND("arbeid",Methode_Keuze)),"",IF(ISNUMBER(FIND("arbeid",Methode_Keuze)),"",IF(Tb_Activiteiten[[#This Row],[Loonkosten]]=1,Tb_Activiteiten[[#Headers],[Loonkosten]],"")))</f>
        <v/>
      </c>
      <c r="AL724" t="str">
        <f>IF(ISNUMBER(FIND("arbeid",Methode_Keuze)),"",IF(ISNUMBER(FIND("arbeid",Methode_Keuze)),"",IF(Tb_Activiteiten[[#This Row],[Eigen arbeid]]=1,Tb_Activiteiten[[#Headers],[Eigen arbeid]],"")))</f>
        <v/>
      </c>
      <c r="AM724" t="str">
        <f>IF(ISNUMBER(FIND("arbeid",Methode_Keuze)),"",IF(ISNUMBER(FIND("arbeid",Methode_Keuze)),"",IF(Tb_Activiteiten[[#This Row],[Projectmedewerker]]=1,Tb_Activiteiten[[#Headers],[Projectmedewerker]],"")))</f>
        <v/>
      </c>
      <c r="AN724" t="str">
        <f>IF(ISNUMBER(FIND("arbeid",Methode_Keuze)),"",IF(ISNUMBER(FIND("arbeid",Methode_Keuze)),"",IF(Tb_Activiteiten[[#This Row],[Landbouwer]]=1,Tb_Activiteiten[[#Headers],[Landbouwer]],"")))</f>
        <v/>
      </c>
      <c r="AO724" t="str">
        <f>IF(ISNUMBER(FIND("arbeid",Methode_Keuze)),"",IF(ISNUMBER(FIND("arbeid",Methode_Keuze)),"",IF(Tb_Activiteiten[[#This Row],[Adviseur]]=1,Tb_Activiteiten[[#Headers],[Adviseur]],"")))</f>
        <v/>
      </c>
      <c r="AP724" t="str">
        <f>IF(ISNUMBER(FIND("arbeid",Methode_Keuze)),"",IF(ISNUMBER(FIND("arbeid",Methode_Keuze)),"",IF(Tb_Activiteiten[[#This Row],[Projectleider/Expert]]=1,Tb_Activiteiten[[#Headers],[Projectleider/Expert]],"")))</f>
        <v/>
      </c>
      <c r="AQ724" t="str">
        <f>IF(ISNUMBER(FIND("arbeid",Methode_Keuze)),"",IF(ISNUMBER(FIND("arbeid",Methode_Keuze)),"",IF(Tb_Activiteiten[[#This Row],[Arbeidskosten]]=1,Tb_Activiteiten[[#Headers],[Arbeidskosten]],"")))</f>
        <v/>
      </c>
      <c r="AR724" t="str">
        <f>IF(ISNUMBER(FIND("arbeid",Methode_Keuze)),"",IF(ISNUMBER(FIND("arbeid",Methode_Keuze)),"",IF(Tb_Activiteiten[[#This Row],[Arbeidskosten op basis van IKS]]=1,Tb_Activiteiten[[#Headers],[Arbeidskosten op basis van IKS]],"")))</f>
        <v/>
      </c>
      <c r="AS724" t="str">
        <f>IF(ISNUMBER(FIND("overige",Methode_Keuze)),"",IF(Tb_Activiteiten[[#This Row],[Kosten derden exclusief btw]]=1,Tb_Activiteiten[[#Headers],[Kosten derden exclusief btw]],""))</f>
        <v/>
      </c>
      <c r="AT724" t="str">
        <f>IF(ISNUMBER(FIND("overige",Methode_Keuze)),"",IF(Tb_Activiteiten[[#This Row],[Niet verrekenbare btw]]=1,Tb_Activiteiten[[#Headers],[Niet verrekenbare btw]],""))</f>
        <v/>
      </c>
      <c r="AU724" t="str">
        <f>IF(ISNUMBER(FIND("overige",Methode_Keuze)),"",IF(Tb_Activiteiten[[#This Row],[Grondkosten]]=1,Tb_Activiteiten[[#Headers],[Grondkosten]],""))</f>
        <v/>
      </c>
      <c r="AV724" t="str">
        <f>IF(ISNUMBER(FIND("overige",Methode_Keuze)),"",IF(Tb_Activiteiten[[#This Row],[Bijdrage in natura (overige)]]=1,Tb_Activiteiten[[#Headers],[Bijdrage in natura (overige)]],""))</f>
        <v/>
      </c>
      <c r="AW724" t="str">
        <f>IF(ISNUMBER(FIND("overige",Methode_Keuze)),"",IF(Tb_Activiteiten[[#This Row],[Bijdrage in natura (vrijwilligers)]]=1,Tb_Activiteiten[[#Headers],[Bijdrage in natura (vrijwilligers)]],""))</f>
        <v/>
      </c>
      <c r="AX724" t="str">
        <f>IF(ISNUMBER(FIND("overige",Methode_Keuze)),"",IF(Tb_Activiteiten[[#This Row],[Afschrijvingskosten]]=1,Tb_Activiteiten[[#Headers],[Afschrijvingskosten]],""))</f>
        <v/>
      </c>
      <c r="AY724" t="str">
        <f>IF(ISNUMBER(FIND("overige",Methode_Keuze)),"",IF(Tb_Activiteiten[[#This Row],[Vergoeding]]=1,Tb_Activiteiten[[#Headers],[Vergoeding]],""))</f>
        <v/>
      </c>
      <c r="AZ724" t="str">
        <f>IF(ISNUMBER(FIND("arbeid",Methode_Keuze)),"",IF(Tb_Activiteiten[[#This Row],[Arbeidskosten - vast tarief (excl eigen arbeid)]]=1,Tb_Activiteiten[[#Headers],[Arbeidskosten - vast tarief (excl eigen arbeid)]],""))</f>
        <v/>
      </c>
      <c r="BA724" t="str">
        <f>IF(ISNUMBER(FIND("overige",Methode_Keuze)),"",IF(Tb_Activiteiten[[#This Row],[Overige kosten]]=1,Tb_Activiteiten[[#Headers],[Overige kosten]],""))</f>
        <v/>
      </c>
    </row>
    <row r="725" spans="1:53" x14ac:dyDescent="0.25">
      <c r="A725" s="231"/>
      <c r="F725" s="64"/>
      <c r="G725" s="64"/>
      <c r="H725" s="275"/>
      <c r="I725" s="275"/>
      <c r="J725" s="275"/>
      <c r="K725" s="275"/>
      <c r="O725" s="56"/>
      <c r="Q725" t="str">
        <f>IFERROR(IF(VLOOKUP(Tb_Activiteiten[[#This Row],[Openstelling]],Tb_Openstelling[],2,0)=1,1,""),"")</f>
        <v/>
      </c>
      <c r="AK725" t="str">
        <f>IF(ISNUMBER(FIND("arbeid",Methode_Keuze)),"",IF(ISNUMBER(FIND("arbeid",Methode_Keuze)),"",IF(Tb_Activiteiten[[#This Row],[Loonkosten]]=1,Tb_Activiteiten[[#Headers],[Loonkosten]],"")))</f>
        <v/>
      </c>
      <c r="AL725" t="str">
        <f>IF(ISNUMBER(FIND("arbeid",Methode_Keuze)),"",IF(ISNUMBER(FIND("arbeid",Methode_Keuze)),"",IF(Tb_Activiteiten[[#This Row],[Eigen arbeid]]=1,Tb_Activiteiten[[#Headers],[Eigen arbeid]],"")))</f>
        <v/>
      </c>
      <c r="AM725" t="str">
        <f>IF(ISNUMBER(FIND("arbeid",Methode_Keuze)),"",IF(ISNUMBER(FIND("arbeid",Methode_Keuze)),"",IF(Tb_Activiteiten[[#This Row],[Projectmedewerker]]=1,Tb_Activiteiten[[#Headers],[Projectmedewerker]],"")))</f>
        <v/>
      </c>
      <c r="AN725" t="str">
        <f>IF(ISNUMBER(FIND("arbeid",Methode_Keuze)),"",IF(ISNUMBER(FIND("arbeid",Methode_Keuze)),"",IF(Tb_Activiteiten[[#This Row],[Landbouwer]]=1,Tb_Activiteiten[[#Headers],[Landbouwer]],"")))</f>
        <v/>
      </c>
      <c r="AO725" t="str">
        <f>IF(ISNUMBER(FIND("arbeid",Methode_Keuze)),"",IF(ISNUMBER(FIND("arbeid",Methode_Keuze)),"",IF(Tb_Activiteiten[[#This Row],[Adviseur]]=1,Tb_Activiteiten[[#Headers],[Adviseur]],"")))</f>
        <v/>
      </c>
      <c r="AP725" t="str">
        <f>IF(ISNUMBER(FIND("arbeid",Methode_Keuze)),"",IF(ISNUMBER(FIND("arbeid",Methode_Keuze)),"",IF(Tb_Activiteiten[[#This Row],[Projectleider/Expert]]=1,Tb_Activiteiten[[#Headers],[Projectleider/Expert]],"")))</f>
        <v/>
      </c>
      <c r="AQ725" t="str">
        <f>IF(ISNUMBER(FIND("arbeid",Methode_Keuze)),"",IF(ISNUMBER(FIND("arbeid",Methode_Keuze)),"",IF(Tb_Activiteiten[[#This Row],[Arbeidskosten]]=1,Tb_Activiteiten[[#Headers],[Arbeidskosten]],"")))</f>
        <v/>
      </c>
      <c r="AR725" t="str">
        <f>IF(ISNUMBER(FIND("arbeid",Methode_Keuze)),"",IF(ISNUMBER(FIND("arbeid",Methode_Keuze)),"",IF(Tb_Activiteiten[[#This Row],[Arbeidskosten op basis van IKS]]=1,Tb_Activiteiten[[#Headers],[Arbeidskosten op basis van IKS]],"")))</f>
        <v/>
      </c>
      <c r="AS725" t="str">
        <f>IF(ISNUMBER(FIND("overige",Methode_Keuze)),"",IF(Tb_Activiteiten[[#This Row],[Kosten derden exclusief btw]]=1,Tb_Activiteiten[[#Headers],[Kosten derden exclusief btw]],""))</f>
        <v/>
      </c>
      <c r="AT725" t="str">
        <f>IF(ISNUMBER(FIND("overige",Methode_Keuze)),"",IF(Tb_Activiteiten[[#This Row],[Niet verrekenbare btw]]=1,Tb_Activiteiten[[#Headers],[Niet verrekenbare btw]],""))</f>
        <v/>
      </c>
      <c r="AU725" t="str">
        <f>IF(ISNUMBER(FIND("overige",Methode_Keuze)),"",IF(Tb_Activiteiten[[#This Row],[Grondkosten]]=1,Tb_Activiteiten[[#Headers],[Grondkosten]],""))</f>
        <v/>
      </c>
      <c r="AV725" t="str">
        <f>IF(ISNUMBER(FIND("overige",Methode_Keuze)),"",IF(Tb_Activiteiten[[#This Row],[Bijdrage in natura (overige)]]=1,Tb_Activiteiten[[#Headers],[Bijdrage in natura (overige)]],""))</f>
        <v/>
      </c>
      <c r="AW725" t="str">
        <f>IF(ISNUMBER(FIND("overige",Methode_Keuze)),"",IF(Tb_Activiteiten[[#This Row],[Bijdrage in natura (vrijwilligers)]]=1,Tb_Activiteiten[[#Headers],[Bijdrage in natura (vrijwilligers)]],""))</f>
        <v/>
      </c>
      <c r="AX725" t="str">
        <f>IF(ISNUMBER(FIND("overige",Methode_Keuze)),"",IF(Tb_Activiteiten[[#This Row],[Afschrijvingskosten]]=1,Tb_Activiteiten[[#Headers],[Afschrijvingskosten]],""))</f>
        <v/>
      </c>
      <c r="AY725" t="str">
        <f>IF(ISNUMBER(FIND("overige",Methode_Keuze)),"",IF(Tb_Activiteiten[[#This Row],[Vergoeding]]=1,Tb_Activiteiten[[#Headers],[Vergoeding]],""))</f>
        <v/>
      </c>
      <c r="AZ725" t="str">
        <f>IF(ISNUMBER(FIND("arbeid",Methode_Keuze)),"",IF(Tb_Activiteiten[[#This Row],[Arbeidskosten - vast tarief (excl eigen arbeid)]]=1,Tb_Activiteiten[[#Headers],[Arbeidskosten - vast tarief (excl eigen arbeid)]],""))</f>
        <v/>
      </c>
      <c r="BA725" t="str">
        <f>IF(ISNUMBER(FIND("overige",Methode_Keuze)),"",IF(Tb_Activiteiten[[#This Row],[Overige kosten]]=1,Tb_Activiteiten[[#Headers],[Overige kosten]],""))</f>
        <v/>
      </c>
    </row>
    <row r="726" spans="1:53" x14ac:dyDescent="0.25">
      <c r="A726" s="231"/>
      <c r="F726" s="64"/>
      <c r="G726" s="64"/>
      <c r="H726" s="275"/>
      <c r="I726" s="275"/>
      <c r="J726" s="275"/>
      <c r="K726" s="275"/>
      <c r="O726" s="56"/>
      <c r="Q726" t="str">
        <f>IFERROR(IF(VLOOKUP(Tb_Activiteiten[[#This Row],[Openstelling]],Tb_Openstelling[],2,0)=1,1,""),"")</f>
        <v/>
      </c>
      <c r="AK726" t="str">
        <f>IF(ISNUMBER(FIND("arbeid",Methode_Keuze)),"",IF(ISNUMBER(FIND("arbeid",Methode_Keuze)),"",IF(Tb_Activiteiten[[#This Row],[Loonkosten]]=1,Tb_Activiteiten[[#Headers],[Loonkosten]],"")))</f>
        <v/>
      </c>
      <c r="AL726" t="str">
        <f>IF(ISNUMBER(FIND("arbeid",Methode_Keuze)),"",IF(ISNUMBER(FIND("arbeid",Methode_Keuze)),"",IF(Tb_Activiteiten[[#This Row],[Eigen arbeid]]=1,Tb_Activiteiten[[#Headers],[Eigen arbeid]],"")))</f>
        <v/>
      </c>
      <c r="AM726" t="str">
        <f>IF(ISNUMBER(FIND("arbeid",Methode_Keuze)),"",IF(ISNUMBER(FIND("arbeid",Methode_Keuze)),"",IF(Tb_Activiteiten[[#This Row],[Projectmedewerker]]=1,Tb_Activiteiten[[#Headers],[Projectmedewerker]],"")))</f>
        <v/>
      </c>
      <c r="AN726" t="str">
        <f>IF(ISNUMBER(FIND("arbeid",Methode_Keuze)),"",IF(ISNUMBER(FIND("arbeid",Methode_Keuze)),"",IF(Tb_Activiteiten[[#This Row],[Landbouwer]]=1,Tb_Activiteiten[[#Headers],[Landbouwer]],"")))</f>
        <v/>
      </c>
      <c r="AO726" t="str">
        <f>IF(ISNUMBER(FIND("arbeid",Methode_Keuze)),"",IF(ISNUMBER(FIND("arbeid",Methode_Keuze)),"",IF(Tb_Activiteiten[[#This Row],[Adviseur]]=1,Tb_Activiteiten[[#Headers],[Adviseur]],"")))</f>
        <v/>
      </c>
      <c r="AP726" t="str">
        <f>IF(ISNUMBER(FIND("arbeid",Methode_Keuze)),"",IF(ISNUMBER(FIND("arbeid",Methode_Keuze)),"",IF(Tb_Activiteiten[[#This Row],[Projectleider/Expert]]=1,Tb_Activiteiten[[#Headers],[Projectleider/Expert]],"")))</f>
        <v/>
      </c>
      <c r="AQ726" t="str">
        <f>IF(ISNUMBER(FIND("arbeid",Methode_Keuze)),"",IF(ISNUMBER(FIND("arbeid",Methode_Keuze)),"",IF(Tb_Activiteiten[[#This Row],[Arbeidskosten]]=1,Tb_Activiteiten[[#Headers],[Arbeidskosten]],"")))</f>
        <v/>
      </c>
      <c r="AR726" t="str">
        <f>IF(ISNUMBER(FIND("arbeid",Methode_Keuze)),"",IF(ISNUMBER(FIND("arbeid",Methode_Keuze)),"",IF(Tb_Activiteiten[[#This Row],[Arbeidskosten op basis van IKS]]=1,Tb_Activiteiten[[#Headers],[Arbeidskosten op basis van IKS]],"")))</f>
        <v/>
      </c>
      <c r="AS726" t="str">
        <f>IF(ISNUMBER(FIND("overige",Methode_Keuze)),"",IF(Tb_Activiteiten[[#This Row],[Kosten derden exclusief btw]]=1,Tb_Activiteiten[[#Headers],[Kosten derden exclusief btw]],""))</f>
        <v/>
      </c>
      <c r="AT726" t="str">
        <f>IF(ISNUMBER(FIND("overige",Methode_Keuze)),"",IF(Tb_Activiteiten[[#This Row],[Niet verrekenbare btw]]=1,Tb_Activiteiten[[#Headers],[Niet verrekenbare btw]],""))</f>
        <v/>
      </c>
      <c r="AU726" t="str">
        <f>IF(ISNUMBER(FIND("overige",Methode_Keuze)),"",IF(Tb_Activiteiten[[#This Row],[Grondkosten]]=1,Tb_Activiteiten[[#Headers],[Grondkosten]],""))</f>
        <v/>
      </c>
      <c r="AV726" t="str">
        <f>IF(ISNUMBER(FIND("overige",Methode_Keuze)),"",IF(Tb_Activiteiten[[#This Row],[Bijdrage in natura (overige)]]=1,Tb_Activiteiten[[#Headers],[Bijdrage in natura (overige)]],""))</f>
        <v/>
      </c>
      <c r="AW726" t="str">
        <f>IF(ISNUMBER(FIND("overige",Methode_Keuze)),"",IF(Tb_Activiteiten[[#This Row],[Bijdrage in natura (vrijwilligers)]]=1,Tb_Activiteiten[[#Headers],[Bijdrage in natura (vrijwilligers)]],""))</f>
        <v/>
      </c>
      <c r="AX726" t="str">
        <f>IF(ISNUMBER(FIND("overige",Methode_Keuze)),"",IF(Tb_Activiteiten[[#This Row],[Afschrijvingskosten]]=1,Tb_Activiteiten[[#Headers],[Afschrijvingskosten]],""))</f>
        <v/>
      </c>
      <c r="AY726" t="str">
        <f>IF(ISNUMBER(FIND("overige",Methode_Keuze)),"",IF(Tb_Activiteiten[[#This Row],[Vergoeding]]=1,Tb_Activiteiten[[#Headers],[Vergoeding]],""))</f>
        <v/>
      </c>
      <c r="AZ726" t="str">
        <f>IF(ISNUMBER(FIND("arbeid",Methode_Keuze)),"",IF(Tb_Activiteiten[[#This Row],[Arbeidskosten - vast tarief (excl eigen arbeid)]]=1,Tb_Activiteiten[[#Headers],[Arbeidskosten - vast tarief (excl eigen arbeid)]],""))</f>
        <v/>
      </c>
      <c r="BA726" t="str">
        <f>IF(ISNUMBER(FIND("overige",Methode_Keuze)),"",IF(Tb_Activiteiten[[#This Row],[Overige kosten]]=1,Tb_Activiteiten[[#Headers],[Overige kosten]],""))</f>
        <v/>
      </c>
    </row>
    <row r="727" spans="1:53" x14ac:dyDescent="0.25">
      <c r="A727" s="231"/>
      <c r="F727" s="64"/>
      <c r="G727" s="64"/>
      <c r="H727" s="275"/>
      <c r="I727" s="275"/>
      <c r="J727" s="275"/>
      <c r="K727" s="275"/>
      <c r="O727" s="56"/>
      <c r="Q727" t="str">
        <f>IFERROR(IF(VLOOKUP(Tb_Activiteiten[[#This Row],[Openstelling]],Tb_Openstelling[],2,0)=1,1,""),"")</f>
        <v/>
      </c>
      <c r="AK727" t="str">
        <f>IF(ISNUMBER(FIND("arbeid",Methode_Keuze)),"",IF(ISNUMBER(FIND("arbeid",Methode_Keuze)),"",IF(Tb_Activiteiten[[#This Row],[Loonkosten]]=1,Tb_Activiteiten[[#Headers],[Loonkosten]],"")))</f>
        <v/>
      </c>
      <c r="AL727" t="str">
        <f>IF(ISNUMBER(FIND("arbeid",Methode_Keuze)),"",IF(ISNUMBER(FIND("arbeid",Methode_Keuze)),"",IF(Tb_Activiteiten[[#This Row],[Eigen arbeid]]=1,Tb_Activiteiten[[#Headers],[Eigen arbeid]],"")))</f>
        <v/>
      </c>
      <c r="AM727" t="str">
        <f>IF(ISNUMBER(FIND("arbeid",Methode_Keuze)),"",IF(ISNUMBER(FIND("arbeid",Methode_Keuze)),"",IF(Tb_Activiteiten[[#This Row],[Projectmedewerker]]=1,Tb_Activiteiten[[#Headers],[Projectmedewerker]],"")))</f>
        <v/>
      </c>
      <c r="AN727" t="str">
        <f>IF(ISNUMBER(FIND("arbeid",Methode_Keuze)),"",IF(ISNUMBER(FIND("arbeid",Methode_Keuze)),"",IF(Tb_Activiteiten[[#This Row],[Landbouwer]]=1,Tb_Activiteiten[[#Headers],[Landbouwer]],"")))</f>
        <v/>
      </c>
      <c r="AO727" t="str">
        <f>IF(ISNUMBER(FIND("arbeid",Methode_Keuze)),"",IF(ISNUMBER(FIND("arbeid",Methode_Keuze)),"",IF(Tb_Activiteiten[[#This Row],[Adviseur]]=1,Tb_Activiteiten[[#Headers],[Adviseur]],"")))</f>
        <v/>
      </c>
      <c r="AP727" t="str">
        <f>IF(ISNUMBER(FIND("arbeid",Methode_Keuze)),"",IF(ISNUMBER(FIND("arbeid",Methode_Keuze)),"",IF(Tb_Activiteiten[[#This Row],[Projectleider/Expert]]=1,Tb_Activiteiten[[#Headers],[Projectleider/Expert]],"")))</f>
        <v/>
      </c>
      <c r="AQ727" t="str">
        <f>IF(ISNUMBER(FIND("arbeid",Methode_Keuze)),"",IF(ISNUMBER(FIND("arbeid",Methode_Keuze)),"",IF(Tb_Activiteiten[[#This Row],[Arbeidskosten]]=1,Tb_Activiteiten[[#Headers],[Arbeidskosten]],"")))</f>
        <v/>
      </c>
      <c r="AR727" t="str">
        <f>IF(ISNUMBER(FIND("arbeid",Methode_Keuze)),"",IF(ISNUMBER(FIND("arbeid",Methode_Keuze)),"",IF(Tb_Activiteiten[[#This Row],[Arbeidskosten op basis van IKS]]=1,Tb_Activiteiten[[#Headers],[Arbeidskosten op basis van IKS]],"")))</f>
        <v/>
      </c>
      <c r="AS727" t="str">
        <f>IF(ISNUMBER(FIND("overige",Methode_Keuze)),"",IF(Tb_Activiteiten[[#This Row],[Kosten derden exclusief btw]]=1,Tb_Activiteiten[[#Headers],[Kosten derden exclusief btw]],""))</f>
        <v/>
      </c>
      <c r="AT727" t="str">
        <f>IF(ISNUMBER(FIND("overige",Methode_Keuze)),"",IF(Tb_Activiteiten[[#This Row],[Niet verrekenbare btw]]=1,Tb_Activiteiten[[#Headers],[Niet verrekenbare btw]],""))</f>
        <v/>
      </c>
      <c r="AU727" t="str">
        <f>IF(ISNUMBER(FIND("overige",Methode_Keuze)),"",IF(Tb_Activiteiten[[#This Row],[Grondkosten]]=1,Tb_Activiteiten[[#Headers],[Grondkosten]],""))</f>
        <v/>
      </c>
      <c r="AV727" t="str">
        <f>IF(ISNUMBER(FIND("overige",Methode_Keuze)),"",IF(Tb_Activiteiten[[#This Row],[Bijdrage in natura (overige)]]=1,Tb_Activiteiten[[#Headers],[Bijdrage in natura (overige)]],""))</f>
        <v/>
      </c>
      <c r="AW727" t="str">
        <f>IF(ISNUMBER(FIND("overige",Methode_Keuze)),"",IF(Tb_Activiteiten[[#This Row],[Bijdrage in natura (vrijwilligers)]]=1,Tb_Activiteiten[[#Headers],[Bijdrage in natura (vrijwilligers)]],""))</f>
        <v/>
      </c>
      <c r="AX727" t="str">
        <f>IF(ISNUMBER(FIND("overige",Methode_Keuze)),"",IF(Tb_Activiteiten[[#This Row],[Afschrijvingskosten]]=1,Tb_Activiteiten[[#Headers],[Afschrijvingskosten]],""))</f>
        <v/>
      </c>
      <c r="AY727" t="str">
        <f>IF(ISNUMBER(FIND("overige",Methode_Keuze)),"",IF(Tb_Activiteiten[[#This Row],[Vergoeding]]=1,Tb_Activiteiten[[#Headers],[Vergoeding]],""))</f>
        <v/>
      </c>
      <c r="AZ727" t="str">
        <f>IF(ISNUMBER(FIND("arbeid",Methode_Keuze)),"",IF(Tb_Activiteiten[[#This Row],[Arbeidskosten - vast tarief (excl eigen arbeid)]]=1,Tb_Activiteiten[[#Headers],[Arbeidskosten - vast tarief (excl eigen arbeid)]],""))</f>
        <v/>
      </c>
      <c r="BA727" t="str">
        <f>IF(ISNUMBER(FIND("overige",Methode_Keuze)),"",IF(Tb_Activiteiten[[#This Row],[Overige kosten]]=1,Tb_Activiteiten[[#Headers],[Overige kosten]],""))</f>
        <v/>
      </c>
    </row>
    <row r="728" spans="1:53" x14ac:dyDescent="0.25">
      <c r="A728" s="231"/>
      <c r="F728" s="64"/>
      <c r="G728" s="64"/>
      <c r="H728" s="275"/>
      <c r="I728" s="275"/>
      <c r="J728" s="275"/>
      <c r="K728" s="275"/>
      <c r="O728" s="56"/>
      <c r="Q728" t="str">
        <f>IFERROR(IF(VLOOKUP(Tb_Activiteiten[[#This Row],[Openstelling]],Tb_Openstelling[],2,0)=1,1,""),"")</f>
        <v/>
      </c>
      <c r="AK728" t="str">
        <f>IF(ISNUMBER(FIND("arbeid",Methode_Keuze)),"",IF(ISNUMBER(FIND("arbeid",Methode_Keuze)),"",IF(Tb_Activiteiten[[#This Row],[Loonkosten]]=1,Tb_Activiteiten[[#Headers],[Loonkosten]],"")))</f>
        <v/>
      </c>
      <c r="AL728" t="str">
        <f>IF(ISNUMBER(FIND("arbeid",Methode_Keuze)),"",IF(ISNUMBER(FIND("arbeid",Methode_Keuze)),"",IF(Tb_Activiteiten[[#This Row],[Eigen arbeid]]=1,Tb_Activiteiten[[#Headers],[Eigen arbeid]],"")))</f>
        <v/>
      </c>
      <c r="AM728" t="str">
        <f>IF(ISNUMBER(FIND("arbeid",Methode_Keuze)),"",IF(ISNUMBER(FIND("arbeid",Methode_Keuze)),"",IF(Tb_Activiteiten[[#This Row],[Projectmedewerker]]=1,Tb_Activiteiten[[#Headers],[Projectmedewerker]],"")))</f>
        <v/>
      </c>
      <c r="AN728" t="str">
        <f>IF(ISNUMBER(FIND("arbeid",Methode_Keuze)),"",IF(ISNUMBER(FIND("arbeid",Methode_Keuze)),"",IF(Tb_Activiteiten[[#This Row],[Landbouwer]]=1,Tb_Activiteiten[[#Headers],[Landbouwer]],"")))</f>
        <v/>
      </c>
      <c r="AO728" t="str">
        <f>IF(ISNUMBER(FIND("arbeid",Methode_Keuze)),"",IF(ISNUMBER(FIND("arbeid",Methode_Keuze)),"",IF(Tb_Activiteiten[[#This Row],[Adviseur]]=1,Tb_Activiteiten[[#Headers],[Adviseur]],"")))</f>
        <v/>
      </c>
      <c r="AP728" t="str">
        <f>IF(ISNUMBER(FIND("arbeid",Methode_Keuze)),"",IF(ISNUMBER(FIND("arbeid",Methode_Keuze)),"",IF(Tb_Activiteiten[[#This Row],[Projectleider/Expert]]=1,Tb_Activiteiten[[#Headers],[Projectleider/Expert]],"")))</f>
        <v/>
      </c>
      <c r="AQ728" t="str">
        <f>IF(ISNUMBER(FIND("arbeid",Methode_Keuze)),"",IF(ISNUMBER(FIND("arbeid",Methode_Keuze)),"",IF(Tb_Activiteiten[[#This Row],[Arbeidskosten]]=1,Tb_Activiteiten[[#Headers],[Arbeidskosten]],"")))</f>
        <v/>
      </c>
      <c r="AR728" t="str">
        <f>IF(ISNUMBER(FIND("arbeid",Methode_Keuze)),"",IF(ISNUMBER(FIND("arbeid",Methode_Keuze)),"",IF(Tb_Activiteiten[[#This Row],[Arbeidskosten op basis van IKS]]=1,Tb_Activiteiten[[#Headers],[Arbeidskosten op basis van IKS]],"")))</f>
        <v/>
      </c>
      <c r="AS728" t="str">
        <f>IF(ISNUMBER(FIND("overige",Methode_Keuze)),"",IF(Tb_Activiteiten[[#This Row],[Kosten derden exclusief btw]]=1,Tb_Activiteiten[[#Headers],[Kosten derden exclusief btw]],""))</f>
        <v/>
      </c>
      <c r="AT728" t="str">
        <f>IF(ISNUMBER(FIND("overige",Methode_Keuze)),"",IF(Tb_Activiteiten[[#This Row],[Niet verrekenbare btw]]=1,Tb_Activiteiten[[#Headers],[Niet verrekenbare btw]],""))</f>
        <v/>
      </c>
      <c r="AU728" t="str">
        <f>IF(ISNUMBER(FIND("overige",Methode_Keuze)),"",IF(Tb_Activiteiten[[#This Row],[Grondkosten]]=1,Tb_Activiteiten[[#Headers],[Grondkosten]],""))</f>
        <v/>
      </c>
      <c r="AV728" t="str">
        <f>IF(ISNUMBER(FIND("overige",Methode_Keuze)),"",IF(Tb_Activiteiten[[#This Row],[Bijdrage in natura (overige)]]=1,Tb_Activiteiten[[#Headers],[Bijdrage in natura (overige)]],""))</f>
        <v/>
      </c>
      <c r="AW728" t="str">
        <f>IF(ISNUMBER(FIND("overige",Methode_Keuze)),"",IF(Tb_Activiteiten[[#This Row],[Bijdrage in natura (vrijwilligers)]]=1,Tb_Activiteiten[[#Headers],[Bijdrage in natura (vrijwilligers)]],""))</f>
        <v/>
      </c>
      <c r="AX728" t="str">
        <f>IF(ISNUMBER(FIND("overige",Methode_Keuze)),"",IF(Tb_Activiteiten[[#This Row],[Afschrijvingskosten]]=1,Tb_Activiteiten[[#Headers],[Afschrijvingskosten]],""))</f>
        <v/>
      </c>
      <c r="AY728" t="str">
        <f>IF(ISNUMBER(FIND("overige",Methode_Keuze)),"",IF(Tb_Activiteiten[[#This Row],[Vergoeding]]=1,Tb_Activiteiten[[#Headers],[Vergoeding]],""))</f>
        <v/>
      </c>
      <c r="AZ728" t="str">
        <f>IF(ISNUMBER(FIND("arbeid",Methode_Keuze)),"",IF(Tb_Activiteiten[[#This Row],[Arbeidskosten - vast tarief (excl eigen arbeid)]]=1,Tb_Activiteiten[[#Headers],[Arbeidskosten - vast tarief (excl eigen arbeid)]],""))</f>
        <v/>
      </c>
      <c r="BA728" t="str">
        <f>IF(ISNUMBER(FIND("overige",Methode_Keuze)),"",IF(Tb_Activiteiten[[#This Row],[Overige kosten]]=1,Tb_Activiteiten[[#Headers],[Overige kosten]],""))</f>
        <v/>
      </c>
    </row>
    <row r="729" spans="1:53" x14ac:dyDescent="0.25">
      <c r="A729" s="231"/>
      <c r="F729" s="64"/>
      <c r="G729" s="64"/>
      <c r="H729" s="275"/>
      <c r="I729" s="275"/>
      <c r="J729" s="275"/>
      <c r="K729" s="275"/>
      <c r="O729" s="56"/>
      <c r="Q729" t="str">
        <f>IFERROR(IF(VLOOKUP(Tb_Activiteiten[[#This Row],[Openstelling]],Tb_Openstelling[],2,0)=1,1,""),"")</f>
        <v/>
      </c>
      <c r="AK729" t="str">
        <f>IF(ISNUMBER(FIND("arbeid",Methode_Keuze)),"",IF(ISNUMBER(FIND("arbeid",Methode_Keuze)),"",IF(Tb_Activiteiten[[#This Row],[Loonkosten]]=1,Tb_Activiteiten[[#Headers],[Loonkosten]],"")))</f>
        <v/>
      </c>
      <c r="AL729" t="str">
        <f>IF(ISNUMBER(FIND("arbeid",Methode_Keuze)),"",IF(ISNUMBER(FIND("arbeid",Methode_Keuze)),"",IF(Tb_Activiteiten[[#This Row],[Eigen arbeid]]=1,Tb_Activiteiten[[#Headers],[Eigen arbeid]],"")))</f>
        <v/>
      </c>
      <c r="AM729" t="str">
        <f>IF(ISNUMBER(FIND("arbeid",Methode_Keuze)),"",IF(ISNUMBER(FIND("arbeid",Methode_Keuze)),"",IF(Tb_Activiteiten[[#This Row],[Projectmedewerker]]=1,Tb_Activiteiten[[#Headers],[Projectmedewerker]],"")))</f>
        <v/>
      </c>
      <c r="AN729" t="str">
        <f>IF(ISNUMBER(FIND("arbeid",Methode_Keuze)),"",IF(ISNUMBER(FIND("arbeid",Methode_Keuze)),"",IF(Tb_Activiteiten[[#This Row],[Landbouwer]]=1,Tb_Activiteiten[[#Headers],[Landbouwer]],"")))</f>
        <v/>
      </c>
      <c r="AO729" t="str">
        <f>IF(ISNUMBER(FIND("arbeid",Methode_Keuze)),"",IF(ISNUMBER(FIND("arbeid",Methode_Keuze)),"",IF(Tb_Activiteiten[[#This Row],[Adviseur]]=1,Tb_Activiteiten[[#Headers],[Adviseur]],"")))</f>
        <v/>
      </c>
      <c r="AP729" t="str">
        <f>IF(ISNUMBER(FIND("arbeid",Methode_Keuze)),"",IF(ISNUMBER(FIND("arbeid",Methode_Keuze)),"",IF(Tb_Activiteiten[[#This Row],[Projectleider/Expert]]=1,Tb_Activiteiten[[#Headers],[Projectleider/Expert]],"")))</f>
        <v/>
      </c>
      <c r="AQ729" t="str">
        <f>IF(ISNUMBER(FIND("arbeid",Methode_Keuze)),"",IF(ISNUMBER(FIND("arbeid",Methode_Keuze)),"",IF(Tb_Activiteiten[[#This Row],[Arbeidskosten]]=1,Tb_Activiteiten[[#Headers],[Arbeidskosten]],"")))</f>
        <v/>
      </c>
      <c r="AR729" t="str">
        <f>IF(ISNUMBER(FIND("arbeid",Methode_Keuze)),"",IF(ISNUMBER(FIND("arbeid",Methode_Keuze)),"",IF(Tb_Activiteiten[[#This Row],[Arbeidskosten op basis van IKS]]=1,Tb_Activiteiten[[#Headers],[Arbeidskosten op basis van IKS]],"")))</f>
        <v/>
      </c>
      <c r="AS729" t="str">
        <f>IF(ISNUMBER(FIND("overige",Methode_Keuze)),"",IF(Tb_Activiteiten[[#This Row],[Kosten derden exclusief btw]]=1,Tb_Activiteiten[[#Headers],[Kosten derden exclusief btw]],""))</f>
        <v/>
      </c>
      <c r="AT729" t="str">
        <f>IF(ISNUMBER(FIND("overige",Methode_Keuze)),"",IF(Tb_Activiteiten[[#This Row],[Niet verrekenbare btw]]=1,Tb_Activiteiten[[#Headers],[Niet verrekenbare btw]],""))</f>
        <v/>
      </c>
      <c r="AU729" t="str">
        <f>IF(ISNUMBER(FIND("overige",Methode_Keuze)),"",IF(Tb_Activiteiten[[#This Row],[Grondkosten]]=1,Tb_Activiteiten[[#Headers],[Grondkosten]],""))</f>
        <v/>
      </c>
      <c r="AV729" t="str">
        <f>IF(ISNUMBER(FIND("overige",Methode_Keuze)),"",IF(Tb_Activiteiten[[#This Row],[Bijdrage in natura (overige)]]=1,Tb_Activiteiten[[#Headers],[Bijdrage in natura (overige)]],""))</f>
        <v/>
      </c>
      <c r="AW729" t="str">
        <f>IF(ISNUMBER(FIND("overige",Methode_Keuze)),"",IF(Tb_Activiteiten[[#This Row],[Bijdrage in natura (vrijwilligers)]]=1,Tb_Activiteiten[[#Headers],[Bijdrage in natura (vrijwilligers)]],""))</f>
        <v/>
      </c>
      <c r="AX729" t="str">
        <f>IF(ISNUMBER(FIND("overige",Methode_Keuze)),"",IF(Tb_Activiteiten[[#This Row],[Afschrijvingskosten]]=1,Tb_Activiteiten[[#Headers],[Afschrijvingskosten]],""))</f>
        <v/>
      </c>
      <c r="AY729" t="str">
        <f>IF(ISNUMBER(FIND("overige",Methode_Keuze)),"",IF(Tb_Activiteiten[[#This Row],[Vergoeding]]=1,Tb_Activiteiten[[#Headers],[Vergoeding]],""))</f>
        <v/>
      </c>
      <c r="AZ729" t="str">
        <f>IF(ISNUMBER(FIND("arbeid",Methode_Keuze)),"",IF(Tb_Activiteiten[[#This Row],[Arbeidskosten - vast tarief (excl eigen arbeid)]]=1,Tb_Activiteiten[[#Headers],[Arbeidskosten - vast tarief (excl eigen arbeid)]],""))</f>
        <v/>
      </c>
      <c r="BA729" t="str">
        <f>IF(ISNUMBER(FIND("overige",Methode_Keuze)),"",IF(Tb_Activiteiten[[#This Row],[Overige kosten]]=1,Tb_Activiteiten[[#Headers],[Overige kosten]],""))</f>
        <v/>
      </c>
    </row>
    <row r="730" spans="1:53" x14ac:dyDescent="0.25">
      <c r="A730" s="231"/>
      <c r="F730" s="64"/>
      <c r="G730" s="64"/>
      <c r="H730" s="275"/>
      <c r="I730" s="275"/>
      <c r="J730" s="275"/>
      <c r="K730" s="275"/>
      <c r="O730" s="56"/>
      <c r="Q730" t="str">
        <f>IFERROR(IF(VLOOKUP(Tb_Activiteiten[[#This Row],[Openstelling]],Tb_Openstelling[],2,0)=1,1,""),"")</f>
        <v/>
      </c>
      <c r="AK730" t="str">
        <f>IF(ISNUMBER(FIND("arbeid",Methode_Keuze)),"",IF(ISNUMBER(FIND("arbeid",Methode_Keuze)),"",IF(Tb_Activiteiten[[#This Row],[Loonkosten]]=1,Tb_Activiteiten[[#Headers],[Loonkosten]],"")))</f>
        <v/>
      </c>
      <c r="AL730" t="str">
        <f>IF(ISNUMBER(FIND("arbeid",Methode_Keuze)),"",IF(ISNUMBER(FIND("arbeid",Methode_Keuze)),"",IF(Tb_Activiteiten[[#This Row],[Eigen arbeid]]=1,Tb_Activiteiten[[#Headers],[Eigen arbeid]],"")))</f>
        <v/>
      </c>
      <c r="AM730" t="str">
        <f>IF(ISNUMBER(FIND("arbeid",Methode_Keuze)),"",IF(ISNUMBER(FIND("arbeid",Methode_Keuze)),"",IF(Tb_Activiteiten[[#This Row],[Projectmedewerker]]=1,Tb_Activiteiten[[#Headers],[Projectmedewerker]],"")))</f>
        <v/>
      </c>
      <c r="AN730" t="str">
        <f>IF(ISNUMBER(FIND("arbeid",Methode_Keuze)),"",IF(ISNUMBER(FIND("arbeid",Methode_Keuze)),"",IF(Tb_Activiteiten[[#This Row],[Landbouwer]]=1,Tb_Activiteiten[[#Headers],[Landbouwer]],"")))</f>
        <v/>
      </c>
      <c r="AO730" t="str">
        <f>IF(ISNUMBER(FIND("arbeid",Methode_Keuze)),"",IF(ISNUMBER(FIND("arbeid",Methode_Keuze)),"",IF(Tb_Activiteiten[[#This Row],[Adviseur]]=1,Tb_Activiteiten[[#Headers],[Adviseur]],"")))</f>
        <v/>
      </c>
      <c r="AP730" t="str">
        <f>IF(ISNUMBER(FIND("arbeid",Methode_Keuze)),"",IF(ISNUMBER(FIND("arbeid",Methode_Keuze)),"",IF(Tb_Activiteiten[[#This Row],[Projectleider/Expert]]=1,Tb_Activiteiten[[#Headers],[Projectleider/Expert]],"")))</f>
        <v/>
      </c>
      <c r="AQ730" t="str">
        <f>IF(ISNUMBER(FIND("arbeid",Methode_Keuze)),"",IF(ISNUMBER(FIND("arbeid",Methode_Keuze)),"",IF(Tb_Activiteiten[[#This Row],[Arbeidskosten]]=1,Tb_Activiteiten[[#Headers],[Arbeidskosten]],"")))</f>
        <v/>
      </c>
      <c r="AR730" t="str">
        <f>IF(ISNUMBER(FIND("arbeid",Methode_Keuze)),"",IF(ISNUMBER(FIND("arbeid",Methode_Keuze)),"",IF(Tb_Activiteiten[[#This Row],[Arbeidskosten op basis van IKS]]=1,Tb_Activiteiten[[#Headers],[Arbeidskosten op basis van IKS]],"")))</f>
        <v/>
      </c>
      <c r="AS730" t="str">
        <f>IF(ISNUMBER(FIND("overige",Methode_Keuze)),"",IF(Tb_Activiteiten[[#This Row],[Kosten derden exclusief btw]]=1,Tb_Activiteiten[[#Headers],[Kosten derden exclusief btw]],""))</f>
        <v/>
      </c>
      <c r="AT730" t="str">
        <f>IF(ISNUMBER(FIND("overige",Methode_Keuze)),"",IF(Tb_Activiteiten[[#This Row],[Niet verrekenbare btw]]=1,Tb_Activiteiten[[#Headers],[Niet verrekenbare btw]],""))</f>
        <v/>
      </c>
      <c r="AU730" t="str">
        <f>IF(ISNUMBER(FIND("overige",Methode_Keuze)),"",IF(Tb_Activiteiten[[#This Row],[Grondkosten]]=1,Tb_Activiteiten[[#Headers],[Grondkosten]],""))</f>
        <v/>
      </c>
      <c r="AV730" t="str">
        <f>IF(ISNUMBER(FIND("overige",Methode_Keuze)),"",IF(Tb_Activiteiten[[#This Row],[Bijdrage in natura (overige)]]=1,Tb_Activiteiten[[#Headers],[Bijdrage in natura (overige)]],""))</f>
        <v/>
      </c>
      <c r="AW730" t="str">
        <f>IF(ISNUMBER(FIND("overige",Methode_Keuze)),"",IF(Tb_Activiteiten[[#This Row],[Bijdrage in natura (vrijwilligers)]]=1,Tb_Activiteiten[[#Headers],[Bijdrage in natura (vrijwilligers)]],""))</f>
        <v/>
      </c>
      <c r="AX730" t="str">
        <f>IF(ISNUMBER(FIND("overige",Methode_Keuze)),"",IF(Tb_Activiteiten[[#This Row],[Afschrijvingskosten]]=1,Tb_Activiteiten[[#Headers],[Afschrijvingskosten]],""))</f>
        <v/>
      </c>
      <c r="AY730" t="str">
        <f>IF(ISNUMBER(FIND("overige",Methode_Keuze)),"",IF(Tb_Activiteiten[[#This Row],[Vergoeding]]=1,Tb_Activiteiten[[#Headers],[Vergoeding]],""))</f>
        <v/>
      </c>
      <c r="AZ730" t="str">
        <f>IF(ISNUMBER(FIND("arbeid",Methode_Keuze)),"",IF(Tb_Activiteiten[[#This Row],[Arbeidskosten - vast tarief (excl eigen arbeid)]]=1,Tb_Activiteiten[[#Headers],[Arbeidskosten - vast tarief (excl eigen arbeid)]],""))</f>
        <v/>
      </c>
      <c r="BA730" t="str">
        <f>IF(ISNUMBER(FIND("overige",Methode_Keuze)),"",IF(Tb_Activiteiten[[#This Row],[Overige kosten]]=1,Tb_Activiteiten[[#Headers],[Overige kosten]],""))</f>
        <v/>
      </c>
    </row>
    <row r="731" spans="1:53" x14ac:dyDescent="0.25">
      <c r="A731" s="231"/>
      <c r="F731" s="64"/>
      <c r="G731" s="64"/>
      <c r="H731" s="275"/>
      <c r="I731" s="275"/>
      <c r="J731" s="275"/>
      <c r="K731" s="275"/>
      <c r="O731" s="56"/>
      <c r="Q731" t="str">
        <f>IFERROR(IF(VLOOKUP(Tb_Activiteiten[[#This Row],[Openstelling]],Tb_Openstelling[],2,0)=1,1,""),"")</f>
        <v/>
      </c>
      <c r="AK731" t="str">
        <f>IF(ISNUMBER(FIND("arbeid",Methode_Keuze)),"",IF(ISNUMBER(FIND("arbeid",Methode_Keuze)),"",IF(Tb_Activiteiten[[#This Row],[Loonkosten]]=1,Tb_Activiteiten[[#Headers],[Loonkosten]],"")))</f>
        <v/>
      </c>
      <c r="AL731" t="str">
        <f>IF(ISNUMBER(FIND("arbeid",Methode_Keuze)),"",IF(ISNUMBER(FIND("arbeid",Methode_Keuze)),"",IF(Tb_Activiteiten[[#This Row],[Eigen arbeid]]=1,Tb_Activiteiten[[#Headers],[Eigen arbeid]],"")))</f>
        <v/>
      </c>
      <c r="AM731" t="str">
        <f>IF(ISNUMBER(FIND("arbeid",Methode_Keuze)),"",IF(ISNUMBER(FIND("arbeid",Methode_Keuze)),"",IF(Tb_Activiteiten[[#This Row],[Projectmedewerker]]=1,Tb_Activiteiten[[#Headers],[Projectmedewerker]],"")))</f>
        <v/>
      </c>
      <c r="AN731" t="str">
        <f>IF(ISNUMBER(FIND("arbeid",Methode_Keuze)),"",IF(ISNUMBER(FIND("arbeid",Methode_Keuze)),"",IF(Tb_Activiteiten[[#This Row],[Landbouwer]]=1,Tb_Activiteiten[[#Headers],[Landbouwer]],"")))</f>
        <v/>
      </c>
      <c r="AO731" t="str">
        <f>IF(ISNUMBER(FIND("arbeid",Methode_Keuze)),"",IF(ISNUMBER(FIND("arbeid",Methode_Keuze)),"",IF(Tb_Activiteiten[[#This Row],[Adviseur]]=1,Tb_Activiteiten[[#Headers],[Adviseur]],"")))</f>
        <v/>
      </c>
      <c r="AP731" t="str">
        <f>IF(ISNUMBER(FIND("arbeid",Methode_Keuze)),"",IF(ISNUMBER(FIND("arbeid",Methode_Keuze)),"",IF(Tb_Activiteiten[[#This Row],[Projectleider/Expert]]=1,Tb_Activiteiten[[#Headers],[Projectleider/Expert]],"")))</f>
        <v/>
      </c>
      <c r="AQ731" t="str">
        <f>IF(ISNUMBER(FIND("arbeid",Methode_Keuze)),"",IF(ISNUMBER(FIND("arbeid",Methode_Keuze)),"",IF(Tb_Activiteiten[[#This Row],[Arbeidskosten]]=1,Tb_Activiteiten[[#Headers],[Arbeidskosten]],"")))</f>
        <v/>
      </c>
      <c r="AR731" t="str">
        <f>IF(ISNUMBER(FIND("arbeid",Methode_Keuze)),"",IF(ISNUMBER(FIND("arbeid",Methode_Keuze)),"",IF(Tb_Activiteiten[[#This Row],[Arbeidskosten op basis van IKS]]=1,Tb_Activiteiten[[#Headers],[Arbeidskosten op basis van IKS]],"")))</f>
        <v/>
      </c>
      <c r="AS731" t="str">
        <f>IF(ISNUMBER(FIND("overige",Methode_Keuze)),"",IF(Tb_Activiteiten[[#This Row],[Kosten derden exclusief btw]]=1,Tb_Activiteiten[[#Headers],[Kosten derden exclusief btw]],""))</f>
        <v/>
      </c>
      <c r="AT731" t="str">
        <f>IF(ISNUMBER(FIND("overige",Methode_Keuze)),"",IF(Tb_Activiteiten[[#This Row],[Niet verrekenbare btw]]=1,Tb_Activiteiten[[#Headers],[Niet verrekenbare btw]],""))</f>
        <v/>
      </c>
      <c r="AU731" t="str">
        <f>IF(ISNUMBER(FIND("overige",Methode_Keuze)),"",IF(Tb_Activiteiten[[#This Row],[Grondkosten]]=1,Tb_Activiteiten[[#Headers],[Grondkosten]],""))</f>
        <v/>
      </c>
      <c r="AV731" t="str">
        <f>IF(ISNUMBER(FIND("overige",Methode_Keuze)),"",IF(Tb_Activiteiten[[#This Row],[Bijdrage in natura (overige)]]=1,Tb_Activiteiten[[#Headers],[Bijdrage in natura (overige)]],""))</f>
        <v/>
      </c>
      <c r="AW731" t="str">
        <f>IF(ISNUMBER(FIND("overige",Methode_Keuze)),"",IF(Tb_Activiteiten[[#This Row],[Bijdrage in natura (vrijwilligers)]]=1,Tb_Activiteiten[[#Headers],[Bijdrage in natura (vrijwilligers)]],""))</f>
        <v/>
      </c>
      <c r="AX731" t="str">
        <f>IF(ISNUMBER(FIND("overige",Methode_Keuze)),"",IF(Tb_Activiteiten[[#This Row],[Afschrijvingskosten]]=1,Tb_Activiteiten[[#Headers],[Afschrijvingskosten]],""))</f>
        <v/>
      </c>
      <c r="AY731" t="str">
        <f>IF(ISNUMBER(FIND("overige",Methode_Keuze)),"",IF(Tb_Activiteiten[[#This Row],[Vergoeding]]=1,Tb_Activiteiten[[#Headers],[Vergoeding]],""))</f>
        <v/>
      </c>
      <c r="AZ731" t="str">
        <f>IF(ISNUMBER(FIND("arbeid",Methode_Keuze)),"",IF(Tb_Activiteiten[[#This Row],[Arbeidskosten - vast tarief (excl eigen arbeid)]]=1,Tb_Activiteiten[[#Headers],[Arbeidskosten - vast tarief (excl eigen arbeid)]],""))</f>
        <v/>
      </c>
      <c r="BA731" t="str">
        <f>IF(ISNUMBER(FIND("overige",Methode_Keuze)),"",IF(Tb_Activiteiten[[#This Row],[Overige kosten]]=1,Tb_Activiteiten[[#Headers],[Overige kosten]],""))</f>
        <v/>
      </c>
    </row>
    <row r="732" spans="1:53" x14ac:dyDescent="0.25">
      <c r="A732" s="231"/>
      <c r="F732" s="64"/>
      <c r="G732" s="64"/>
      <c r="H732" s="275"/>
      <c r="I732" s="275"/>
      <c r="J732" s="275"/>
      <c r="K732" s="275"/>
      <c r="O732" s="56"/>
      <c r="Q732" t="str">
        <f>IFERROR(IF(VLOOKUP(Tb_Activiteiten[[#This Row],[Openstelling]],Tb_Openstelling[],2,0)=1,1,""),"")</f>
        <v/>
      </c>
      <c r="AK732" t="str">
        <f>IF(ISNUMBER(FIND("arbeid",Methode_Keuze)),"",IF(ISNUMBER(FIND("arbeid",Methode_Keuze)),"",IF(Tb_Activiteiten[[#This Row],[Loonkosten]]=1,Tb_Activiteiten[[#Headers],[Loonkosten]],"")))</f>
        <v/>
      </c>
      <c r="AL732" t="str">
        <f>IF(ISNUMBER(FIND("arbeid",Methode_Keuze)),"",IF(ISNUMBER(FIND("arbeid",Methode_Keuze)),"",IF(Tb_Activiteiten[[#This Row],[Eigen arbeid]]=1,Tb_Activiteiten[[#Headers],[Eigen arbeid]],"")))</f>
        <v/>
      </c>
      <c r="AM732" t="str">
        <f>IF(ISNUMBER(FIND("arbeid",Methode_Keuze)),"",IF(ISNUMBER(FIND("arbeid",Methode_Keuze)),"",IF(Tb_Activiteiten[[#This Row],[Projectmedewerker]]=1,Tb_Activiteiten[[#Headers],[Projectmedewerker]],"")))</f>
        <v/>
      </c>
      <c r="AN732" t="str">
        <f>IF(ISNUMBER(FIND("arbeid",Methode_Keuze)),"",IF(ISNUMBER(FIND("arbeid",Methode_Keuze)),"",IF(Tb_Activiteiten[[#This Row],[Landbouwer]]=1,Tb_Activiteiten[[#Headers],[Landbouwer]],"")))</f>
        <v/>
      </c>
      <c r="AO732" t="str">
        <f>IF(ISNUMBER(FIND("arbeid",Methode_Keuze)),"",IF(ISNUMBER(FIND("arbeid",Methode_Keuze)),"",IF(Tb_Activiteiten[[#This Row],[Adviseur]]=1,Tb_Activiteiten[[#Headers],[Adviseur]],"")))</f>
        <v/>
      </c>
      <c r="AP732" t="str">
        <f>IF(ISNUMBER(FIND("arbeid",Methode_Keuze)),"",IF(ISNUMBER(FIND("arbeid",Methode_Keuze)),"",IF(Tb_Activiteiten[[#This Row],[Projectleider/Expert]]=1,Tb_Activiteiten[[#Headers],[Projectleider/Expert]],"")))</f>
        <v/>
      </c>
      <c r="AQ732" t="str">
        <f>IF(ISNUMBER(FIND("arbeid",Methode_Keuze)),"",IF(ISNUMBER(FIND("arbeid",Methode_Keuze)),"",IF(Tb_Activiteiten[[#This Row],[Arbeidskosten]]=1,Tb_Activiteiten[[#Headers],[Arbeidskosten]],"")))</f>
        <v/>
      </c>
      <c r="AR732" t="str">
        <f>IF(ISNUMBER(FIND("arbeid",Methode_Keuze)),"",IF(ISNUMBER(FIND("arbeid",Methode_Keuze)),"",IF(Tb_Activiteiten[[#This Row],[Arbeidskosten op basis van IKS]]=1,Tb_Activiteiten[[#Headers],[Arbeidskosten op basis van IKS]],"")))</f>
        <v/>
      </c>
      <c r="AS732" t="str">
        <f>IF(ISNUMBER(FIND("overige",Methode_Keuze)),"",IF(Tb_Activiteiten[[#This Row],[Kosten derden exclusief btw]]=1,Tb_Activiteiten[[#Headers],[Kosten derden exclusief btw]],""))</f>
        <v/>
      </c>
      <c r="AT732" t="str">
        <f>IF(ISNUMBER(FIND("overige",Methode_Keuze)),"",IF(Tb_Activiteiten[[#This Row],[Niet verrekenbare btw]]=1,Tb_Activiteiten[[#Headers],[Niet verrekenbare btw]],""))</f>
        <v/>
      </c>
      <c r="AU732" t="str">
        <f>IF(ISNUMBER(FIND("overige",Methode_Keuze)),"",IF(Tb_Activiteiten[[#This Row],[Grondkosten]]=1,Tb_Activiteiten[[#Headers],[Grondkosten]],""))</f>
        <v/>
      </c>
      <c r="AV732" t="str">
        <f>IF(ISNUMBER(FIND("overige",Methode_Keuze)),"",IF(Tb_Activiteiten[[#This Row],[Bijdrage in natura (overige)]]=1,Tb_Activiteiten[[#Headers],[Bijdrage in natura (overige)]],""))</f>
        <v/>
      </c>
      <c r="AW732" t="str">
        <f>IF(ISNUMBER(FIND("overige",Methode_Keuze)),"",IF(Tb_Activiteiten[[#This Row],[Bijdrage in natura (vrijwilligers)]]=1,Tb_Activiteiten[[#Headers],[Bijdrage in natura (vrijwilligers)]],""))</f>
        <v/>
      </c>
      <c r="AX732" t="str">
        <f>IF(ISNUMBER(FIND("overige",Methode_Keuze)),"",IF(Tb_Activiteiten[[#This Row],[Afschrijvingskosten]]=1,Tb_Activiteiten[[#Headers],[Afschrijvingskosten]],""))</f>
        <v/>
      </c>
      <c r="AY732" t="str">
        <f>IF(ISNUMBER(FIND("overige",Methode_Keuze)),"",IF(Tb_Activiteiten[[#This Row],[Vergoeding]]=1,Tb_Activiteiten[[#Headers],[Vergoeding]],""))</f>
        <v/>
      </c>
      <c r="AZ732" t="str">
        <f>IF(ISNUMBER(FIND("arbeid",Methode_Keuze)),"",IF(Tb_Activiteiten[[#This Row],[Arbeidskosten - vast tarief (excl eigen arbeid)]]=1,Tb_Activiteiten[[#Headers],[Arbeidskosten - vast tarief (excl eigen arbeid)]],""))</f>
        <v/>
      </c>
      <c r="BA732" t="str">
        <f>IF(ISNUMBER(FIND("overige",Methode_Keuze)),"",IF(Tb_Activiteiten[[#This Row],[Overige kosten]]=1,Tb_Activiteiten[[#Headers],[Overige kosten]],""))</f>
        <v/>
      </c>
    </row>
    <row r="733" spans="1:53" x14ac:dyDescent="0.25">
      <c r="A733" s="231"/>
      <c r="F733" s="64"/>
      <c r="G733" s="64"/>
      <c r="H733" s="275"/>
      <c r="I733" s="275"/>
      <c r="J733" s="275"/>
      <c r="K733" s="275"/>
      <c r="O733" s="56"/>
      <c r="Q733" t="str">
        <f>IFERROR(IF(VLOOKUP(Tb_Activiteiten[[#This Row],[Openstelling]],Tb_Openstelling[],2,0)=1,1,""),"")</f>
        <v/>
      </c>
      <c r="AK733" t="str">
        <f>IF(ISNUMBER(FIND("arbeid",Methode_Keuze)),"",IF(ISNUMBER(FIND("arbeid",Methode_Keuze)),"",IF(Tb_Activiteiten[[#This Row],[Loonkosten]]=1,Tb_Activiteiten[[#Headers],[Loonkosten]],"")))</f>
        <v/>
      </c>
      <c r="AL733" t="str">
        <f>IF(ISNUMBER(FIND("arbeid",Methode_Keuze)),"",IF(ISNUMBER(FIND("arbeid",Methode_Keuze)),"",IF(Tb_Activiteiten[[#This Row],[Eigen arbeid]]=1,Tb_Activiteiten[[#Headers],[Eigen arbeid]],"")))</f>
        <v/>
      </c>
      <c r="AM733" t="str">
        <f>IF(ISNUMBER(FIND("arbeid",Methode_Keuze)),"",IF(ISNUMBER(FIND("arbeid",Methode_Keuze)),"",IF(Tb_Activiteiten[[#This Row],[Projectmedewerker]]=1,Tb_Activiteiten[[#Headers],[Projectmedewerker]],"")))</f>
        <v/>
      </c>
      <c r="AN733" t="str">
        <f>IF(ISNUMBER(FIND("arbeid",Methode_Keuze)),"",IF(ISNUMBER(FIND("arbeid",Methode_Keuze)),"",IF(Tb_Activiteiten[[#This Row],[Landbouwer]]=1,Tb_Activiteiten[[#Headers],[Landbouwer]],"")))</f>
        <v/>
      </c>
      <c r="AO733" t="str">
        <f>IF(ISNUMBER(FIND("arbeid",Methode_Keuze)),"",IF(ISNUMBER(FIND("arbeid",Methode_Keuze)),"",IF(Tb_Activiteiten[[#This Row],[Adviseur]]=1,Tb_Activiteiten[[#Headers],[Adviseur]],"")))</f>
        <v/>
      </c>
      <c r="AP733" t="str">
        <f>IF(ISNUMBER(FIND("arbeid",Methode_Keuze)),"",IF(ISNUMBER(FIND("arbeid",Methode_Keuze)),"",IF(Tb_Activiteiten[[#This Row],[Projectleider/Expert]]=1,Tb_Activiteiten[[#Headers],[Projectleider/Expert]],"")))</f>
        <v/>
      </c>
      <c r="AQ733" t="str">
        <f>IF(ISNUMBER(FIND("arbeid",Methode_Keuze)),"",IF(ISNUMBER(FIND("arbeid",Methode_Keuze)),"",IF(Tb_Activiteiten[[#This Row],[Arbeidskosten]]=1,Tb_Activiteiten[[#Headers],[Arbeidskosten]],"")))</f>
        <v/>
      </c>
      <c r="AR733" t="str">
        <f>IF(ISNUMBER(FIND("arbeid",Methode_Keuze)),"",IF(ISNUMBER(FIND("arbeid",Methode_Keuze)),"",IF(Tb_Activiteiten[[#This Row],[Arbeidskosten op basis van IKS]]=1,Tb_Activiteiten[[#Headers],[Arbeidskosten op basis van IKS]],"")))</f>
        <v/>
      </c>
      <c r="AS733" t="str">
        <f>IF(ISNUMBER(FIND("overige",Methode_Keuze)),"",IF(Tb_Activiteiten[[#This Row],[Kosten derden exclusief btw]]=1,Tb_Activiteiten[[#Headers],[Kosten derden exclusief btw]],""))</f>
        <v/>
      </c>
      <c r="AT733" t="str">
        <f>IF(ISNUMBER(FIND("overige",Methode_Keuze)),"",IF(Tb_Activiteiten[[#This Row],[Niet verrekenbare btw]]=1,Tb_Activiteiten[[#Headers],[Niet verrekenbare btw]],""))</f>
        <v/>
      </c>
      <c r="AU733" t="str">
        <f>IF(ISNUMBER(FIND("overige",Methode_Keuze)),"",IF(Tb_Activiteiten[[#This Row],[Grondkosten]]=1,Tb_Activiteiten[[#Headers],[Grondkosten]],""))</f>
        <v/>
      </c>
      <c r="AV733" t="str">
        <f>IF(ISNUMBER(FIND("overige",Methode_Keuze)),"",IF(Tb_Activiteiten[[#This Row],[Bijdrage in natura (overige)]]=1,Tb_Activiteiten[[#Headers],[Bijdrage in natura (overige)]],""))</f>
        <v/>
      </c>
      <c r="AW733" t="str">
        <f>IF(ISNUMBER(FIND("overige",Methode_Keuze)),"",IF(Tb_Activiteiten[[#This Row],[Bijdrage in natura (vrijwilligers)]]=1,Tb_Activiteiten[[#Headers],[Bijdrage in natura (vrijwilligers)]],""))</f>
        <v/>
      </c>
      <c r="AX733" t="str">
        <f>IF(ISNUMBER(FIND("overige",Methode_Keuze)),"",IF(Tb_Activiteiten[[#This Row],[Afschrijvingskosten]]=1,Tb_Activiteiten[[#Headers],[Afschrijvingskosten]],""))</f>
        <v/>
      </c>
      <c r="AY733" t="str">
        <f>IF(ISNUMBER(FIND("overige",Methode_Keuze)),"",IF(Tb_Activiteiten[[#This Row],[Vergoeding]]=1,Tb_Activiteiten[[#Headers],[Vergoeding]],""))</f>
        <v/>
      </c>
      <c r="AZ733" t="str">
        <f>IF(ISNUMBER(FIND("arbeid",Methode_Keuze)),"",IF(Tb_Activiteiten[[#This Row],[Arbeidskosten - vast tarief (excl eigen arbeid)]]=1,Tb_Activiteiten[[#Headers],[Arbeidskosten - vast tarief (excl eigen arbeid)]],""))</f>
        <v/>
      </c>
      <c r="BA733" t="str">
        <f>IF(ISNUMBER(FIND("overige",Methode_Keuze)),"",IF(Tb_Activiteiten[[#This Row],[Overige kosten]]=1,Tb_Activiteiten[[#Headers],[Overige kosten]],""))</f>
        <v/>
      </c>
    </row>
    <row r="734" spans="1:53" x14ac:dyDescent="0.25">
      <c r="A734" s="231"/>
      <c r="F734" s="64"/>
      <c r="G734" s="64"/>
      <c r="H734" s="275"/>
      <c r="I734" s="275"/>
      <c r="J734" s="275"/>
      <c r="K734" s="275"/>
      <c r="O734" s="56"/>
      <c r="Q734" t="str">
        <f>IFERROR(IF(VLOOKUP(Tb_Activiteiten[[#This Row],[Openstelling]],Tb_Openstelling[],2,0)=1,1,""),"")</f>
        <v/>
      </c>
      <c r="AK734" t="str">
        <f>IF(ISNUMBER(FIND("arbeid",Methode_Keuze)),"",IF(ISNUMBER(FIND("arbeid",Methode_Keuze)),"",IF(Tb_Activiteiten[[#This Row],[Loonkosten]]=1,Tb_Activiteiten[[#Headers],[Loonkosten]],"")))</f>
        <v/>
      </c>
      <c r="AL734" t="str">
        <f>IF(ISNUMBER(FIND("arbeid",Methode_Keuze)),"",IF(ISNUMBER(FIND("arbeid",Methode_Keuze)),"",IF(Tb_Activiteiten[[#This Row],[Eigen arbeid]]=1,Tb_Activiteiten[[#Headers],[Eigen arbeid]],"")))</f>
        <v/>
      </c>
      <c r="AM734" t="str">
        <f>IF(ISNUMBER(FIND("arbeid",Methode_Keuze)),"",IF(ISNUMBER(FIND("arbeid",Methode_Keuze)),"",IF(Tb_Activiteiten[[#This Row],[Projectmedewerker]]=1,Tb_Activiteiten[[#Headers],[Projectmedewerker]],"")))</f>
        <v/>
      </c>
      <c r="AN734" t="str">
        <f>IF(ISNUMBER(FIND("arbeid",Methode_Keuze)),"",IF(ISNUMBER(FIND("arbeid",Methode_Keuze)),"",IF(Tb_Activiteiten[[#This Row],[Landbouwer]]=1,Tb_Activiteiten[[#Headers],[Landbouwer]],"")))</f>
        <v/>
      </c>
      <c r="AO734" t="str">
        <f>IF(ISNUMBER(FIND("arbeid",Methode_Keuze)),"",IF(ISNUMBER(FIND("arbeid",Methode_Keuze)),"",IF(Tb_Activiteiten[[#This Row],[Adviseur]]=1,Tb_Activiteiten[[#Headers],[Adviseur]],"")))</f>
        <v/>
      </c>
      <c r="AP734" t="str">
        <f>IF(ISNUMBER(FIND("arbeid",Methode_Keuze)),"",IF(ISNUMBER(FIND("arbeid",Methode_Keuze)),"",IF(Tb_Activiteiten[[#This Row],[Projectleider/Expert]]=1,Tb_Activiteiten[[#Headers],[Projectleider/Expert]],"")))</f>
        <v/>
      </c>
      <c r="AQ734" t="str">
        <f>IF(ISNUMBER(FIND("arbeid",Methode_Keuze)),"",IF(ISNUMBER(FIND("arbeid",Methode_Keuze)),"",IF(Tb_Activiteiten[[#This Row],[Arbeidskosten]]=1,Tb_Activiteiten[[#Headers],[Arbeidskosten]],"")))</f>
        <v/>
      </c>
      <c r="AR734" t="str">
        <f>IF(ISNUMBER(FIND("arbeid",Methode_Keuze)),"",IF(ISNUMBER(FIND("arbeid",Methode_Keuze)),"",IF(Tb_Activiteiten[[#This Row],[Arbeidskosten op basis van IKS]]=1,Tb_Activiteiten[[#Headers],[Arbeidskosten op basis van IKS]],"")))</f>
        <v/>
      </c>
      <c r="AS734" t="str">
        <f>IF(ISNUMBER(FIND("overige",Methode_Keuze)),"",IF(Tb_Activiteiten[[#This Row],[Kosten derden exclusief btw]]=1,Tb_Activiteiten[[#Headers],[Kosten derden exclusief btw]],""))</f>
        <v/>
      </c>
      <c r="AT734" t="str">
        <f>IF(ISNUMBER(FIND("overige",Methode_Keuze)),"",IF(Tb_Activiteiten[[#This Row],[Niet verrekenbare btw]]=1,Tb_Activiteiten[[#Headers],[Niet verrekenbare btw]],""))</f>
        <v/>
      </c>
      <c r="AU734" t="str">
        <f>IF(ISNUMBER(FIND("overige",Methode_Keuze)),"",IF(Tb_Activiteiten[[#This Row],[Grondkosten]]=1,Tb_Activiteiten[[#Headers],[Grondkosten]],""))</f>
        <v/>
      </c>
      <c r="AV734" t="str">
        <f>IF(ISNUMBER(FIND("overige",Methode_Keuze)),"",IF(Tb_Activiteiten[[#This Row],[Bijdrage in natura (overige)]]=1,Tb_Activiteiten[[#Headers],[Bijdrage in natura (overige)]],""))</f>
        <v/>
      </c>
      <c r="AW734" t="str">
        <f>IF(ISNUMBER(FIND("overige",Methode_Keuze)),"",IF(Tb_Activiteiten[[#This Row],[Bijdrage in natura (vrijwilligers)]]=1,Tb_Activiteiten[[#Headers],[Bijdrage in natura (vrijwilligers)]],""))</f>
        <v/>
      </c>
      <c r="AX734" t="str">
        <f>IF(ISNUMBER(FIND("overige",Methode_Keuze)),"",IF(Tb_Activiteiten[[#This Row],[Afschrijvingskosten]]=1,Tb_Activiteiten[[#Headers],[Afschrijvingskosten]],""))</f>
        <v/>
      </c>
      <c r="AY734" t="str">
        <f>IF(ISNUMBER(FIND("overige",Methode_Keuze)),"",IF(Tb_Activiteiten[[#This Row],[Vergoeding]]=1,Tb_Activiteiten[[#Headers],[Vergoeding]],""))</f>
        <v/>
      </c>
      <c r="AZ734" t="str">
        <f>IF(ISNUMBER(FIND("arbeid",Methode_Keuze)),"",IF(Tb_Activiteiten[[#This Row],[Arbeidskosten - vast tarief (excl eigen arbeid)]]=1,Tb_Activiteiten[[#Headers],[Arbeidskosten - vast tarief (excl eigen arbeid)]],""))</f>
        <v/>
      </c>
      <c r="BA734" t="str">
        <f>IF(ISNUMBER(FIND("overige",Methode_Keuze)),"",IF(Tb_Activiteiten[[#This Row],[Overige kosten]]=1,Tb_Activiteiten[[#Headers],[Overige kosten]],""))</f>
        <v/>
      </c>
    </row>
    <row r="735" spans="1:53" x14ac:dyDescent="0.25">
      <c r="A735" s="231"/>
      <c r="F735" s="64"/>
      <c r="G735" s="64"/>
      <c r="H735" s="275"/>
      <c r="I735" s="275"/>
      <c r="J735" s="275"/>
      <c r="K735" s="275"/>
      <c r="O735" s="56"/>
      <c r="Q735" t="str">
        <f>IFERROR(IF(VLOOKUP(Tb_Activiteiten[[#This Row],[Openstelling]],Tb_Openstelling[],2,0)=1,1,""),"")</f>
        <v/>
      </c>
      <c r="AK735" t="str">
        <f>IF(ISNUMBER(FIND("arbeid",Methode_Keuze)),"",IF(ISNUMBER(FIND("arbeid",Methode_Keuze)),"",IF(Tb_Activiteiten[[#This Row],[Loonkosten]]=1,Tb_Activiteiten[[#Headers],[Loonkosten]],"")))</f>
        <v/>
      </c>
      <c r="AL735" t="str">
        <f>IF(ISNUMBER(FIND("arbeid",Methode_Keuze)),"",IF(ISNUMBER(FIND("arbeid",Methode_Keuze)),"",IF(Tb_Activiteiten[[#This Row],[Eigen arbeid]]=1,Tb_Activiteiten[[#Headers],[Eigen arbeid]],"")))</f>
        <v/>
      </c>
      <c r="AM735" t="str">
        <f>IF(ISNUMBER(FIND("arbeid",Methode_Keuze)),"",IF(ISNUMBER(FIND("arbeid",Methode_Keuze)),"",IF(Tb_Activiteiten[[#This Row],[Projectmedewerker]]=1,Tb_Activiteiten[[#Headers],[Projectmedewerker]],"")))</f>
        <v/>
      </c>
      <c r="AN735" t="str">
        <f>IF(ISNUMBER(FIND("arbeid",Methode_Keuze)),"",IF(ISNUMBER(FIND("arbeid",Methode_Keuze)),"",IF(Tb_Activiteiten[[#This Row],[Landbouwer]]=1,Tb_Activiteiten[[#Headers],[Landbouwer]],"")))</f>
        <v/>
      </c>
      <c r="AO735" t="str">
        <f>IF(ISNUMBER(FIND("arbeid",Methode_Keuze)),"",IF(ISNUMBER(FIND("arbeid",Methode_Keuze)),"",IF(Tb_Activiteiten[[#This Row],[Adviseur]]=1,Tb_Activiteiten[[#Headers],[Adviseur]],"")))</f>
        <v/>
      </c>
      <c r="AP735" t="str">
        <f>IF(ISNUMBER(FIND("arbeid",Methode_Keuze)),"",IF(ISNUMBER(FIND("arbeid",Methode_Keuze)),"",IF(Tb_Activiteiten[[#This Row],[Projectleider/Expert]]=1,Tb_Activiteiten[[#Headers],[Projectleider/Expert]],"")))</f>
        <v/>
      </c>
      <c r="AQ735" t="str">
        <f>IF(ISNUMBER(FIND("arbeid",Methode_Keuze)),"",IF(ISNUMBER(FIND("arbeid",Methode_Keuze)),"",IF(Tb_Activiteiten[[#This Row],[Arbeidskosten]]=1,Tb_Activiteiten[[#Headers],[Arbeidskosten]],"")))</f>
        <v/>
      </c>
      <c r="AR735" t="str">
        <f>IF(ISNUMBER(FIND("arbeid",Methode_Keuze)),"",IF(ISNUMBER(FIND("arbeid",Methode_Keuze)),"",IF(Tb_Activiteiten[[#This Row],[Arbeidskosten op basis van IKS]]=1,Tb_Activiteiten[[#Headers],[Arbeidskosten op basis van IKS]],"")))</f>
        <v/>
      </c>
      <c r="AS735" t="str">
        <f>IF(ISNUMBER(FIND("overige",Methode_Keuze)),"",IF(Tb_Activiteiten[[#This Row],[Kosten derden exclusief btw]]=1,Tb_Activiteiten[[#Headers],[Kosten derden exclusief btw]],""))</f>
        <v/>
      </c>
      <c r="AT735" t="str">
        <f>IF(ISNUMBER(FIND("overige",Methode_Keuze)),"",IF(Tb_Activiteiten[[#This Row],[Niet verrekenbare btw]]=1,Tb_Activiteiten[[#Headers],[Niet verrekenbare btw]],""))</f>
        <v/>
      </c>
      <c r="AU735" t="str">
        <f>IF(ISNUMBER(FIND("overige",Methode_Keuze)),"",IF(Tb_Activiteiten[[#This Row],[Grondkosten]]=1,Tb_Activiteiten[[#Headers],[Grondkosten]],""))</f>
        <v/>
      </c>
      <c r="AV735" t="str">
        <f>IF(ISNUMBER(FIND("overige",Methode_Keuze)),"",IF(Tb_Activiteiten[[#This Row],[Bijdrage in natura (overige)]]=1,Tb_Activiteiten[[#Headers],[Bijdrage in natura (overige)]],""))</f>
        <v/>
      </c>
      <c r="AW735" t="str">
        <f>IF(ISNUMBER(FIND("overige",Methode_Keuze)),"",IF(Tb_Activiteiten[[#This Row],[Bijdrage in natura (vrijwilligers)]]=1,Tb_Activiteiten[[#Headers],[Bijdrage in natura (vrijwilligers)]],""))</f>
        <v/>
      </c>
      <c r="AX735" t="str">
        <f>IF(ISNUMBER(FIND("overige",Methode_Keuze)),"",IF(Tb_Activiteiten[[#This Row],[Afschrijvingskosten]]=1,Tb_Activiteiten[[#Headers],[Afschrijvingskosten]],""))</f>
        <v/>
      </c>
      <c r="AY735" t="str">
        <f>IF(ISNUMBER(FIND("overige",Methode_Keuze)),"",IF(Tb_Activiteiten[[#This Row],[Vergoeding]]=1,Tb_Activiteiten[[#Headers],[Vergoeding]],""))</f>
        <v/>
      </c>
      <c r="AZ735" t="str">
        <f>IF(ISNUMBER(FIND("arbeid",Methode_Keuze)),"",IF(Tb_Activiteiten[[#This Row],[Arbeidskosten - vast tarief (excl eigen arbeid)]]=1,Tb_Activiteiten[[#Headers],[Arbeidskosten - vast tarief (excl eigen arbeid)]],""))</f>
        <v/>
      </c>
      <c r="BA735" t="str">
        <f>IF(ISNUMBER(FIND("overige",Methode_Keuze)),"",IF(Tb_Activiteiten[[#This Row],[Overige kosten]]=1,Tb_Activiteiten[[#Headers],[Overige kosten]],""))</f>
        <v/>
      </c>
    </row>
    <row r="736" spans="1:53" x14ac:dyDescent="0.25">
      <c r="A736" s="231"/>
      <c r="F736" s="64"/>
      <c r="G736" s="64"/>
      <c r="H736" s="275"/>
      <c r="I736" s="275"/>
      <c r="J736" s="275"/>
      <c r="K736" s="275"/>
      <c r="O736" s="56"/>
      <c r="Q736" t="str">
        <f>IFERROR(IF(VLOOKUP(Tb_Activiteiten[[#This Row],[Openstelling]],Tb_Openstelling[],2,0)=1,1,""),"")</f>
        <v/>
      </c>
      <c r="AK736" t="str">
        <f>IF(ISNUMBER(FIND("arbeid",Methode_Keuze)),"",IF(ISNUMBER(FIND("arbeid",Methode_Keuze)),"",IF(Tb_Activiteiten[[#This Row],[Loonkosten]]=1,Tb_Activiteiten[[#Headers],[Loonkosten]],"")))</f>
        <v/>
      </c>
      <c r="AL736" t="str">
        <f>IF(ISNUMBER(FIND("arbeid",Methode_Keuze)),"",IF(ISNUMBER(FIND("arbeid",Methode_Keuze)),"",IF(Tb_Activiteiten[[#This Row],[Eigen arbeid]]=1,Tb_Activiteiten[[#Headers],[Eigen arbeid]],"")))</f>
        <v/>
      </c>
      <c r="AM736" t="str">
        <f>IF(ISNUMBER(FIND("arbeid",Methode_Keuze)),"",IF(ISNUMBER(FIND("arbeid",Methode_Keuze)),"",IF(Tb_Activiteiten[[#This Row],[Projectmedewerker]]=1,Tb_Activiteiten[[#Headers],[Projectmedewerker]],"")))</f>
        <v/>
      </c>
      <c r="AN736" t="str">
        <f>IF(ISNUMBER(FIND("arbeid",Methode_Keuze)),"",IF(ISNUMBER(FIND("arbeid",Methode_Keuze)),"",IF(Tb_Activiteiten[[#This Row],[Landbouwer]]=1,Tb_Activiteiten[[#Headers],[Landbouwer]],"")))</f>
        <v/>
      </c>
      <c r="AO736" t="str">
        <f>IF(ISNUMBER(FIND("arbeid",Methode_Keuze)),"",IF(ISNUMBER(FIND("arbeid",Methode_Keuze)),"",IF(Tb_Activiteiten[[#This Row],[Adviseur]]=1,Tb_Activiteiten[[#Headers],[Adviseur]],"")))</f>
        <v/>
      </c>
      <c r="AP736" t="str">
        <f>IF(ISNUMBER(FIND("arbeid",Methode_Keuze)),"",IF(ISNUMBER(FIND("arbeid",Methode_Keuze)),"",IF(Tb_Activiteiten[[#This Row],[Projectleider/Expert]]=1,Tb_Activiteiten[[#Headers],[Projectleider/Expert]],"")))</f>
        <v/>
      </c>
      <c r="AQ736" t="str">
        <f>IF(ISNUMBER(FIND("arbeid",Methode_Keuze)),"",IF(ISNUMBER(FIND("arbeid",Methode_Keuze)),"",IF(Tb_Activiteiten[[#This Row],[Arbeidskosten]]=1,Tb_Activiteiten[[#Headers],[Arbeidskosten]],"")))</f>
        <v/>
      </c>
      <c r="AR736" t="str">
        <f>IF(ISNUMBER(FIND("arbeid",Methode_Keuze)),"",IF(ISNUMBER(FIND("arbeid",Methode_Keuze)),"",IF(Tb_Activiteiten[[#This Row],[Arbeidskosten op basis van IKS]]=1,Tb_Activiteiten[[#Headers],[Arbeidskosten op basis van IKS]],"")))</f>
        <v/>
      </c>
      <c r="AS736" t="str">
        <f>IF(ISNUMBER(FIND("overige",Methode_Keuze)),"",IF(Tb_Activiteiten[[#This Row],[Kosten derden exclusief btw]]=1,Tb_Activiteiten[[#Headers],[Kosten derden exclusief btw]],""))</f>
        <v/>
      </c>
      <c r="AT736" t="str">
        <f>IF(ISNUMBER(FIND("overige",Methode_Keuze)),"",IF(Tb_Activiteiten[[#This Row],[Niet verrekenbare btw]]=1,Tb_Activiteiten[[#Headers],[Niet verrekenbare btw]],""))</f>
        <v/>
      </c>
      <c r="AU736" t="str">
        <f>IF(ISNUMBER(FIND("overige",Methode_Keuze)),"",IF(Tb_Activiteiten[[#This Row],[Grondkosten]]=1,Tb_Activiteiten[[#Headers],[Grondkosten]],""))</f>
        <v/>
      </c>
      <c r="AV736" t="str">
        <f>IF(ISNUMBER(FIND("overige",Methode_Keuze)),"",IF(Tb_Activiteiten[[#This Row],[Bijdrage in natura (overige)]]=1,Tb_Activiteiten[[#Headers],[Bijdrage in natura (overige)]],""))</f>
        <v/>
      </c>
      <c r="AW736" t="str">
        <f>IF(ISNUMBER(FIND("overige",Methode_Keuze)),"",IF(Tb_Activiteiten[[#This Row],[Bijdrage in natura (vrijwilligers)]]=1,Tb_Activiteiten[[#Headers],[Bijdrage in natura (vrijwilligers)]],""))</f>
        <v/>
      </c>
      <c r="AX736" t="str">
        <f>IF(ISNUMBER(FIND("overige",Methode_Keuze)),"",IF(Tb_Activiteiten[[#This Row],[Afschrijvingskosten]]=1,Tb_Activiteiten[[#Headers],[Afschrijvingskosten]],""))</f>
        <v/>
      </c>
      <c r="AY736" t="str">
        <f>IF(ISNUMBER(FIND("overige",Methode_Keuze)),"",IF(Tb_Activiteiten[[#This Row],[Vergoeding]]=1,Tb_Activiteiten[[#Headers],[Vergoeding]],""))</f>
        <v/>
      </c>
      <c r="AZ736" t="str">
        <f>IF(ISNUMBER(FIND("arbeid",Methode_Keuze)),"",IF(Tb_Activiteiten[[#This Row],[Arbeidskosten - vast tarief (excl eigen arbeid)]]=1,Tb_Activiteiten[[#Headers],[Arbeidskosten - vast tarief (excl eigen arbeid)]],""))</f>
        <v/>
      </c>
      <c r="BA736" t="str">
        <f>IF(ISNUMBER(FIND("overige",Methode_Keuze)),"",IF(Tb_Activiteiten[[#This Row],[Overige kosten]]=1,Tb_Activiteiten[[#Headers],[Overige kosten]],""))</f>
        <v/>
      </c>
    </row>
    <row r="737" spans="1:53" x14ac:dyDescent="0.25">
      <c r="A737" s="231"/>
      <c r="F737" s="64"/>
      <c r="G737" s="64"/>
      <c r="H737" s="275"/>
      <c r="I737" s="275"/>
      <c r="J737" s="275"/>
      <c r="K737" s="275"/>
      <c r="O737" s="56"/>
      <c r="Q737" t="str">
        <f>IFERROR(IF(VLOOKUP(Tb_Activiteiten[[#This Row],[Openstelling]],Tb_Openstelling[],2,0)=1,1,""),"")</f>
        <v/>
      </c>
      <c r="AK737" t="str">
        <f>IF(ISNUMBER(FIND("arbeid",Methode_Keuze)),"",IF(ISNUMBER(FIND("arbeid",Methode_Keuze)),"",IF(Tb_Activiteiten[[#This Row],[Loonkosten]]=1,Tb_Activiteiten[[#Headers],[Loonkosten]],"")))</f>
        <v/>
      </c>
      <c r="AL737" t="str">
        <f>IF(ISNUMBER(FIND("arbeid",Methode_Keuze)),"",IF(ISNUMBER(FIND("arbeid",Methode_Keuze)),"",IF(Tb_Activiteiten[[#This Row],[Eigen arbeid]]=1,Tb_Activiteiten[[#Headers],[Eigen arbeid]],"")))</f>
        <v/>
      </c>
      <c r="AM737" t="str">
        <f>IF(ISNUMBER(FIND("arbeid",Methode_Keuze)),"",IF(ISNUMBER(FIND("arbeid",Methode_Keuze)),"",IF(Tb_Activiteiten[[#This Row],[Projectmedewerker]]=1,Tb_Activiteiten[[#Headers],[Projectmedewerker]],"")))</f>
        <v/>
      </c>
      <c r="AN737" t="str">
        <f>IF(ISNUMBER(FIND("arbeid",Methode_Keuze)),"",IF(ISNUMBER(FIND("arbeid",Methode_Keuze)),"",IF(Tb_Activiteiten[[#This Row],[Landbouwer]]=1,Tb_Activiteiten[[#Headers],[Landbouwer]],"")))</f>
        <v/>
      </c>
      <c r="AO737" t="str">
        <f>IF(ISNUMBER(FIND("arbeid",Methode_Keuze)),"",IF(ISNUMBER(FIND("arbeid",Methode_Keuze)),"",IF(Tb_Activiteiten[[#This Row],[Adviseur]]=1,Tb_Activiteiten[[#Headers],[Adviseur]],"")))</f>
        <v/>
      </c>
      <c r="AP737" t="str">
        <f>IF(ISNUMBER(FIND("arbeid",Methode_Keuze)),"",IF(ISNUMBER(FIND("arbeid",Methode_Keuze)),"",IF(Tb_Activiteiten[[#This Row],[Projectleider/Expert]]=1,Tb_Activiteiten[[#Headers],[Projectleider/Expert]],"")))</f>
        <v/>
      </c>
      <c r="AQ737" t="str">
        <f>IF(ISNUMBER(FIND("arbeid",Methode_Keuze)),"",IF(ISNUMBER(FIND("arbeid",Methode_Keuze)),"",IF(Tb_Activiteiten[[#This Row],[Arbeidskosten]]=1,Tb_Activiteiten[[#Headers],[Arbeidskosten]],"")))</f>
        <v/>
      </c>
      <c r="AR737" t="str">
        <f>IF(ISNUMBER(FIND("arbeid",Methode_Keuze)),"",IF(ISNUMBER(FIND("arbeid",Methode_Keuze)),"",IF(Tb_Activiteiten[[#This Row],[Arbeidskosten op basis van IKS]]=1,Tb_Activiteiten[[#Headers],[Arbeidskosten op basis van IKS]],"")))</f>
        <v/>
      </c>
      <c r="AS737" t="str">
        <f>IF(ISNUMBER(FIND("overige",Methode_Keuze)),"",IF(Tb_Activiteiten[[#This Row],[Kosten derden exclusief btw]]=1,Tb_Activiteiten[[#Headers],[Kosten derden exclusief btw]],""))</f>
        <v/>
      </c>
      <c r="AT737" t="str">
        <f>IF(ISNUMBER(FIND("overige",Methode_Keuze)),"",IF(Tb_Activiteiten[[#This Row],[Niet verrekenbare btw]]=1,Tb_Activiteiten[[#Headers],[Niet verrekenbare btw]],""))</f>
        <v/>
      </c>
      <c r="AU737" t="str">
        <f>IF(ISNUMBER(FIND("overige",Methode_Keuze)),"",IF(Tb_Activiteiten[[#This Row],[Grondkosten]]=1,Tb_Activiteiten[[#Headers],[Grondkosten]],""))</f>
        <v/>
      </c>
      <c r="AV737" t="str">
        <f>IF(ISNUMBER(FIND("overige",Methode_Keuze)),"",IF(Tb_Activiteiten[[#This Row],[Bijdrage in natura (overige)]]=1,Tb_Activiteiten[[#Headers],[Bijdrage in natura (overige)]],""))</f>
        <v/>
      </c>
      <c r="AW737" t="str">
        <f>IF(ISNUMBER(FIND("overige",Methode_Keuze)),"",IF(Tb_Activiteiten[[#This Row],[Bijdrage in natura (vrijwilligers)]]=1,Tb_Activiteiten[[#Headers],[Bijdrage in natura (vrijwilligers)]],""))</f>
        <v/>
      </c>
      <c r="AX737" t="str">
        <f>IF(ISNUMBER(FIND("overige",Methode_Keuze)),"",IF(Tb_Activiteiten[[#This Row],[Afschrijvingskosten]]=1,Tb_Activiteiten[[#Headers],[Afschrijvingskosten]],""))</f>
        <v/>
      </c>
      <c r="AY737" t="str">
        <f>IF(ISNUMBER(FIND("overige",Methode_Keuze)),"",IF(Tb_Activiteiten[[#This Row],[Vergoeding]]=1,Tb_Activiteiten[[#Headers],[Vergoeding]],""))</f>
        <v/>
      </c>
      <c r="AZ737" t="str">
        <f>IF(ISNUMBER(FIND("arbeid",Methode_Keuze)),"",IF(Tb_Activiteiten[[#This Row],[Arbeidskosten - vast tarief (excl eigen arbeid)]]=1,Tb_Activiteiten[[#Headers],[Arbeidskosten - vast tarief (excl eigen arbeid)]],""))</f>
        <v/>
      </c>
      <c r="BA737" t="str">
        <f>IF(ISNUMBER(FIND("overige",Methode_Keuze)),"",IF(Tb_Activiteiten[[#This Row],[Overige kosten]]=1,Tb_Activiteiten[[#Headers],[Overige kosten]],""))</f>
        <v/>
      </c>
    </row>
    <row r="738" spans="1:53" x14ac:dyDescent="0.25">
      <c r="A738" s="231"/>
      <c r="F738" s="64"/>
      <c r="G738" s="64"/>
      <c r="H738" s="275"/>
      <c r="I738" s="275"/>
      <c r="J738" s="275"/>
      <c r="K738" s="275"/>
      <c r="O738" s="56"/>
      <c r="Q738" t="str">
        <f>IFERROR(IF(VLOOKUP(Tb_Activiteiten[[#This Row],[Openstelling]],Tb_Openstelling[],2,0)=1,1,""),"")</f>
        <v/>
      </c>
      <c r="AK738" t="str">
        <f>IF(ISNUMBER(FIND("arbeid",Methode_Keuze)),"",IF(ISNUMBER(FIND("arbeid",Methode_Keuze)),"",IF(Tb_Activiteiten[[#This Row],[Loonkosten]]=1,Tb_Activiteiten[[#Headers],[Loonkosten]],"")))</f>
        <v/>
      </c>
      <c r="AL738" t="str">
        <f>IF(ISNUMBER(FIND("arbeid",Methode_Keuze)),"",IF(ISNUMBER(FIND("arbeid",Methode_Keuze)),"",IF(Tb_Activiteiten[[#This Row],[Eigen arbeid]]=1,Tb_Activiteiten[[#Headers],[Eigen arbeid]],"")))</f>
        <v/>
      </c>
      <c r="AM738" t="str">
        <f>IF(ISNUMBER(FIND("arbeid",Methode_Keuze)),"",IF(ISNUMBER(FIND("arbeid",Methode_Keuze)),"",IF(Tb_Activiteiten[[#This Row],[Projectmedewerker]]=1,Tb_Activiteiten[[#Headers],[Projectmedewerker]],"")))</f>
        <v/>
      </c>
      <c r="AN738" t="str">
        <f>IF(ISNUMBER(FIND("arbeid",Methode_Keuze)),"",IF(ISNUMBER(FIND("arbeid",Methode_Keuze)),"",IF(Tb_Activiteiten[[#This Row],[Landbouwer]]=1,Tb_Activiteiten[[#Headers],[Landbouwer]],"")))</f>
        <v/>
      </c>
      <c r="AO738" t="str">
        <f>IF(ISNUMBER(FIND("arbeid",Methode_Keuze)),"",IF(ISNUMBER(FIND("arbeid",Methode_Keuze)),"",IF(Tb_Activiteiten[[#This Row],[Adviseur]]=1,Tb_Activiteiten[[#Headers],[Adviseur]],"")))</f>
        <v/>
      </c>
      <c r="AP738" t="str">
        <f>IF(ISNUMBER(FIND("arbeid",Methode_Keuze)),"",IF(ISNUMBER(FIND("arbeid",Methode_Keuze)),"",IF(Tb_Activiteiten[[#This Row],[Projectleider/Expert]]=1,Tb_Activiteiten[[#Headers],[Projectleider/Expert]],"")))</f>
        <v/>
      </c>
      <c r="AQ738" t="str">
        <f>IF(ISNUMBER(FIND("arbeid",Methode_Keuze)),"",IF(ISNUMBER(FIND("arbeid",Methode_Keuze)),"",IF(Tb_Activiteiten[[#This Row],[Arbeidskosten]]=1,Tb_Activiteiten[[#Headers],[Arbeidskosten]],"")))</f>
        <v/>
      </c>
      <c r="AR738" t="str">
        <f>IF(ISNUMBER(FIND("arbeid",Methode_Keuze)),"",IF(ISNUMBER(FIND("arbeid",Methode_Keuze)),"",IF(Tb_Activiteiten[[#This Row],[Arbeidskosten op basis van IKS]]=1,Tb_Activiteiten[[#Headers],[Arbeidskosten op basis van IKS]],"")))</f>
        <v/>
      </c>
      <c r="AS738" t="str">
        <f>IF(ISNUMBER(FIND("overige",Methode_Keuze)),"",IF(Tb_Activiteiten[[#This Row],[Kosten derden exclusief btw]]=1,Tb_Activiteiten[[#Headers],[Kosten derden exclusief btw]],""))</f>
        <v/>
      </c>
      <c r="AT738" t="str">
        <f>IF(ISNUMBER(FIND("overige",Methode_Keuze)),"",IF(Tb_Activiteiten[[#This Row],[Niet verrekenbare btw]]=1,Tb_Activiteiten[[#Headers],[Niet verrekenbare btw]],""))</f>
        <v/>
      </c>
      <c r="AU738" t="str">
        <f>IF(ISNUMBER(FIND("overige",Methode_Keuze)),"",IF(Tb_Activiteiten[[#This Row],[Grondkosten]]=1,Tb_Activiteiten[[#Headers],[Grondkosten]],""))</f>
        <v/>
      </c>
      <c r="AV738" t="str">
        <f>IF(ISNUMBER(FIND("overige",Methode_Keuze)),"",IF(Tb_Activiteiten[[#This Row],[Bijdrage in natura (overige)]]=1,Tb_Activiteiten[[#Headers],[Bijdrage in natura (overige)]],""))</f>
        <v/>
      </c>
      <c r="AW738" t="str">
        <f>IF(ISNUMBER(FIND("overige",Methode_Keuze)),"",IF(Tb_Activiteiten[[#This Row],[Bijdrage in natura (vrijwilligers)]]=1,Tb_Activiteiten[[#Headers],[Bijdrage in natura (vrijwilligers)]],""))</f>
        <v/>
      </c>
      <c r="AX738" t="str">
        <f>IF(ISNUMBER(FIND("overige",Methode_Keuze)),"",IF(Tb_Activiteiten[[#This Row],[Afschrijvingskosten]]=1,Tb_Activiteiten[[#Headers],[Afschrijvingskosten]],""))</f>
        <v/>
      </c>
      <c r="AY738" t="str">
        <f>IF(ISNUMBER(FIND("overige",Methode_Keuze)),"",IF(Tb_Activiteiten[[#This Row],[Vergoeding]]=1,Tb_Activiteiten[[#Headers],[Vergoeding]],""))</f>
        <v/>
      </c>
      <c r="AZ738" t="str">
        <f>IF(ISNUMBER(FIND("arbeid",Methode_Keuze)),"",IF(Tb_Activiteiten[[#This Row],[Arbeidskosten - vast tarief (excl eigen arbeid)]]=1,Tb_Activiteiten[[#Headers],[Arbeidskosten - vast tarief (excl eigen arbeid)]],""))</f>
        <v/>
      </c>
      <c r="BA738" t="str">
        <f>IF(ISNUMBER(FIND("overige",Methode_Keuze)),"",IF(Tb_Activiteiten[[#This Row],[Overige kosten]]=1,Tb_Activiteiten[[#Headers],[Overige kosten]],""))</f>
        <v/>
      </c>
    </row>
    <row r="739" spans="1:53" x14ac:dyDescent="0.25">
      <c r="A739" s="231"/>
      <c r="F739" s="64"/>
      <c r="G739" s="64"/>
      <c r="H739" s="275"/>
      <c r="I739" s="275"/>
      <c r="J739" s="275"/>
      <c r="K739" s="275"/>
      <c r="O739" s="56"/>
      <c r="Q739" t="str">
        <f>IFERROR(IF(VLOOKUP(Tb_Activiteiten[[#This Row],[Openstelling]],Tb_Openstelling[],2,0)=1,1,""),"")</f>
        <v/>
      </c>
      <c r="AK739" t="str">
        <f>IF(ISNUMBER(FIND("arbeid",Methode_Keuze)),"",IF(ISNUMBER(FIND("arbeid",Methode_Keuze)),"",IF(Tb_Activiteiten[[#This Row],[Loonkosten]]=1,Tb_Activiteiten[[#Headers],[Loonkosten]],"")))</f>
        <v/>
      </c>
      <c r="AL739" t="str">
        <f>IF(ISNUMBER(FIND("arbeid",Methode_Keuze)),"",IF(ISNUMBER(FIND("arbeid",Methode_Keuze)),"",IF(Tb_Activiteiten[[#This Row],[Eigen arbeid]]=1,Tb_Activiteiten[[#Headers],[Eigen arbeid]],"")))</f>
        <v/>
      </c>
      <c r="AM739" t="str">
        <f>IF(ISNUMBER(FIND("arbeid",Methode_Keuze)),"",IF(ISNUMBER(FIND("arbeid",Methode_Keuze)),"",IF(Tb_Activiteiten[[#This Row],[Projectmedewerker]]=1,Tb_Activiteiten[[#Headers],[Projectmedewerker]],"")))</f>
        <v/>
      </c>
      <c r="AN739" t="str">
        <f>IF(ISNUMBER(FIND("arbeid",Methode_Keuze)),"",IF(ISNUMBER(FIND("arbeid",Methode_Keuze)),"",IF(Tb_Activiteiten[[#This Row],[Landbouwer]]=1,Tb_Activiteiten[[#Headers],[Landbouwer]],"")))</f>
        <v/>
      </c>
      <c r="AO739" t="str">
        <f>IF(ISNUMBER(FIND("arbeid",Methode_Keuze)),"",IF(ISNUMBER(FIND("arbeid",Methode_Keuze)),"",IF(Tb_Activiteiten[[#This Row],[Adviseur]]=1,Tb_Activiteiten[[#Headers],[Adviseur]],"")))</f>
        <v/>
      </c>
      <c r="AP739" t="str">
        <f>IF(ISNUMBER(FIND("arbeid",Methode_Keuze)),"",IF(ISNUMBER(FIND("arbeid",Methode_Keuze)),"",IF(Tb_Activiteiten[[#This Row],[Projectleider/Expert]]=1,Tb_Activiteiten[[#Headers],[Projectleider/Expert]],"")))</f>
        <v/>
      </c>
      <c r="AQ739" t="str">
        <f>IF(ISNUMBER(FIND("arbeid",Methode_Keuze)),"",IF(ISNUMBER(FIND("arbeid",Methode_Keuze)),"",IF(Tb_Activiteiten[[#This Row],[Arbeidskosten]]=1,Tb_Activiteiten[[#Headers],[Arbeidskosten]],"")))</f>
        <v/>
      </c>
      <c r="AR739" t="str">
        <f>IF(ISNUMBER(FIND("arbeid",Methode_Keuze)),"",IF(ISNUMBER(FIND("arbeid",Methode_Keuze)),"",IF(Tb_Activiteiten[[#This Row],[Arbeidskosten op basis van IKS]]=1,Tb_Activiteiten[[#Headers],[Arbeidskosten op basis van IKS]],"")))</f>
        <v/>
      </c>
      <c r="AS739" t="str">
        <f>IF(ISNUMBER(FIND("overige",Methode_Keuze)),"",IF(Tb_Activiteiten[[#This Row],[Kosten derden exclusief btw]]=1,Tb_Activiteiten[[#Headers],[Kosten derden exclusief btw]],""))</f>
        <v/>
      </c>
      <c r="AT739" t="str">
        <f>IF(ISNUMBER(FIND("overige",Methode_Keuze)),"",IF(Tb_Activiteiten[[#This Row],[Niet verrekenbare btw]]=1,Tb_Activiteiten[[#Headers],[Niet verrekenbare btw]],""))</f>
        <v/>
      </c>
      <c r="AU739" t="str">
        <f>IF(ISNUMBER(FIND("overige",Methode_Keuze)),"",IF(Tb_Activiteiten[[#This Row],[Grondkosten]]=1,Tb_Activiteiten[[#Headers],[Grondkosten]],""))</f>
        <v/>
      </c>
      <c r="AV739" t="str">
        <f>IF(ISNUMBER(FIND("overige",Methode_Keuze)),"",IF(Tb_Activiteiten[[#This Row],[Bijdrage in natura (overige)]]=1,Tb_Activiteiten[[#Headers],[Bijdrage in natura (overige)]],""))</f>
        <v/>
      </c>
      <c r="AW739" t="str">
        <f>IF(ISNUMBER(FIND("overige",Methode_Keuze)),"",IF(Tb_Activiteiten[[#This Row],[Bijdrage in natura (vrijwilligers)]]=1,Tb_Activiteiten[[#Headers],[Bijdrage in natura (vrijwilligers)]],""))</f>
        <v/>
      </c>
      <c r="AX739" t="str">
        <f>IF(ISNUMBER(FIND("overige",Methode_Keuze)),"",IF(Tb_Activiteiten[[#This Row],[Afschrijvingskosten]]=1,Tb_Activiteiten[[#Headers],[Afschrijvingskosten]],""))</f>
        <v/>
      </c>
      <c r="AY739" t="str">
        <f>IF(ISNUMBER(FIND("overige",Methode_Keuze)),"",IF(Tb_Activiteiten[[#This Row],[Vergoeding]]=1,Tb_Activiteiten[[#Headers],[Vergoeding]],""))</f>
        <v/>
      </c>
      <c r="AZ739" t="str">
        <f>IF(ISNUMBER(FIND("arbeid",Methode_Keuze)),"",IF(Tb_Activiteiten[[#This Row],[Arbeidskosten - vast tarief (excl eigen arbeid)]]=1,Tb_Activiteiten[[#Headers],[Arbeidskosten - vast tarief (excl eigen arbeid)]],""))</f>
        <v/>
      </c>
      <c r="BA739" t="str">
        <f>IF(ISNUMBER(FIND("overige",Methode_Keuze)),"",IF(Tb_Activiteiten[[#This Row],[Overige kosten]]=1,Tb_Activiteiten[[#Headers],[Overige kosten]],""))</f>
        <v/>
      </c>
    </row>
    <row r="740" spans="1:53" x14ac:dyDescent="0.25">
      <c r="A740" s="231"/>
      <c r="F740" s="64"/>
      <c r="G740" s="64"/>
      <c r="H740" s="275"/>
      <c r="I740" s="275"/>
      <c r="J740" s="275"/>
      <c r="K740" s="275"/>
      <c r="O740" s="56"/>
      <c r="Q740" t="str">
        <f>IFERROR(IF(VLOOKUP(Tb_Activiteiten[[#This Row],[Openstelling]],Tb_Openstelling[],2,0)=1,1,""),"")</f>
        <v/>
      </c>
      <c r="AK740" t="str">
        <f>IF(ISNUMBER(FIND("arbeid",Methode_Keuze)),"",IF(ISNUMBER(FIND("arbeid",Methode_Keuze)),"",IF(Tb_Activiteiten[[#This Row],[Loonkosten]]=1,Tb_Activiteiten[[#Headers],[Loonkosten]],"")))</f>
        <v/>
      </c>
      <c r="AL740" t="str">
        <f>IF(ISNUMBER(FIND("arbeid",Methode_Keuze)),"",IF(ISNUMBER(FIND("arbeid",Methode_Keuze)),"",IF(Tb_Activiteiten[[#This Row],[Eigen arbeid]]=1,Tb_Activiteiten[[#Headers],[Eigen arbeid]],"")))</f>
        <v/>
      </c>
      <c r="AM740" t="str">
        <f>IF(ISNUMBER(FIND("arbeid",Methode_Keuze)),"",IF(ISNUMBER(FIND("arbeid",Methode_Keuze)),"",IF(Tb_Activiteiten[[#This Row],[Projectmedewerker]]=1,Tb_Activiteiten[[#Headers],[Projectmedewerker]],"")))</f>
        <v/>
      </c>
      <c r="AN740" t="str">
        <f>IF(ISNUMBER(FIND("arbeid",Methode_Keuze)),"",IF(ISNUMBER(FIND("arbeid",Methode_Keuze)),"",IF(Tb_Activiteiten[[#This Row],[Landbouwer]]=1,Tb_Activiteiten[[#Headers],[Landbouwer]],"")))</f>
        <v/>
      </c>
      <c r="AO740" t="str">
        <f>IF(ISNUMBER(FIND("arbeid",Methode_Keuze)),"",IF(ISNUMBER(FIND("arbeid",Methode_Keuze)),"",IF(Tb_Activiteiten[[#This Row],[Adviseur]]=1,Tb_Activiteiten[[#Headers],[Adviseur]],"")))</f>
        <v/>
      </c>
      <c r="AP740" t="str">
        <f>IF(ISNUMBER(FIND("arbeid",Methode_Keuze)),"",IF(ISNUMBER(FIND("arbeid",Methode_Keuze)),"",IF(Tb_Activiteiten[[#This Row],[Projectleider/Expert]]=1,Tb_Activiteiten[[#Headers],[Projectleider/Expert]],"")))</f>
        <v/>
      </c>
      <c r="AQ740" t="str">
        <f>IF(ISNUMBER(FIND("arbeid",Methode_Keuze)),"",IF(ISNUMBER(FIND("arbeid",Methode_Keuze)),"",IF(Tb_Activiteiten[[#This Row],[Arbeidskosten]]=1,Tb_Activiteiten[[#Headers],[Arbeidskosten]],"")))</f>
        <v/>
      </c>
      <c r="AR740" t="str">
        <f>IF(ISNUMBER(FIND("arbeid",Methode_Keuze)),"",IF(ISNUMBER(FIND("arbeid",Methode_Keuze)),"",IF(Tb_Activiteiten[[#This Row],[Arbeidskosten op basis van IKS]]=1,Tb_Activiteiten[[#Headers],[Arbeidskosten op basis van IKS]],"")))</f>
        <v/>
      </c>
      <c r="AS740" t="str">
        <f>IF(ISNUMBER(FIND("overige",Methode_Keuze)),"",IF(Tb_Activiteiten[[#This Row],[Kosten derden exclusief btw]]=1,Tb_Activiteiten[[#Headers],[Kosten derden exclusief btw]],""))</f>
        <v/>
      </c>
      <c r="AT740" t="str">
        <f>IF(ISNUMBER(FIND("overige",Methode_Keuze)),"",IF(Tb_Activiteiten[[#This Row],[Niet verrekenbare btw]]=1,Tb_Activiteiten[[#Headers],[Niet verrekenbare btw]],""))</f>
        <v/>
      </c>
      <c r="AU740" t="str">
        <f>IF(ISNUMBER(FIND("overige",Methode_Keuze)),"",IF(Tb_Activiteiten[[#This Row],[Grondkosten]]=1,Tb_Activiteiten[[#Headers],[Grondkosten]],""))</f>
        <v/>
      </c>
      <c r="AV740" t="str">
        <f>IF(ISNUMBER(FIND("overige",Methode_Keuze)),"",IF(Tb_Activiteiten[[#This Row],[Bijdrage in natura (overige)]]=1,Tb_Activiteiten[[#Headers],[Bijdrage in natura (overige)]],""))</f>
        <v/>
      </c>
      <c r="AW740" t="str">
        <f>IF(ISNUMBER(FIND("overige",Methode_Keuze)),"",IF(Tb_Activiteiten[[#This Row],[Bijdrage in natura (vrijwilligers)]]=1,Tb_Activiteiten[[#Headers],[Bijdrage in natura (vrijwilligers)]],""))</f>
        <v/>
      </c>
      <c r="AX740" t="str">
        <f>IF(ISNUMBER(FIND("overige",Methode_Keuze)),"",IF(Tb_Activiteiten[[#This Row],[Afschrijvingskosten]]=1,Tb_Activiteiten[[#Headers],[Afschrijvingskosten]],""))</f>
        <v/>
      </c>
      <c r="AY740" t="str">
        <f>IF(ISNUMBER(FIND("overige",Methode_Keuze)),"",IF(Tb_Activiteiten[[#This Row],[Vergoeding]]=1,Tb_Activiteiten[[#Headers],[Vergoeding]],""))</f>
        <v/>
      </c>
      <c r="AZ740" t="str">
        <f>IF(ISNUMBER(FIND("arbeid",Methode_Keuze)),"",IF(Tb_Activiteiten[[#This Row],[Arbeidskosten - vast tarief (excl eigen arbeid)]]=1,Tb_Activiteiten[[#Headers],[Arbeidskosten - vast tarief (excl eigen arbeid)]],""))</f>
        <v/>
      </c>
      <c r="BA740" t="str">
        <f>IF(ISNUMBER(FIND("overige",Methode_Keuze)),"",IF(Tb_Activiteiten[[#This Row],[Overige kosten]]=1,Tb_Activiteiten[[#Headers],[Overige kosten]],""))</f>
        <v/>
      </c>
    </row>
    <row r="741" spans="1:53" x14ac:dyDescent="0.25">
      <c r="A741" s="231"/>
      <c r="F741" s="64"/>
      <c r="G741" s="64"/>
      <c r="H741" s="275"/>
      <c r="I741" s="275"/>
      <c r="J741" s="275"/>
      <c r="K741" s="275"/>
      <c r="O741" s="56"/>
      <c r="Q741" t="str">
        <f>IFERROR(IF(VLOOKUP(Tb_Activiteiten[[#This Row],[Openstelling]],Tb_Openstelling[],2,0)=1,1,""),"")</f>
        <v/>
      </c>
      <c r="AK741" t="str">
        <f>IF(ISNUMBER(FIND("arbeid",Methode_Keuze)),"",IF(ISNUMBER(FIND("arbeid",Methode_Keuze)),"",IF(Tb_Activiteiten[[#This Row],[Loonkosten]]=1,Tb_Activiteiten[[#Headers],[Loonkosten]],"")))</f>
        <v/>
      </c>
      <c r="AL741" t="str">
        <f>IF(ISNUMBER(FIND("arbeid",Methode_Keuze)),"",IF(ISNUMBER(FIND("arbeid",Methode_Keuze)),"",IF(Tb_Activiteiten[[#This Row],[Eigen arbeid]]=1,Tb_Activiteiten[[#Headers],[Eigen arbeid]],"")))</f>
        <v/>
      </c>
      <c r="AM741" t="str">
        <f>IF(ISNUMBER(FIND("arbeid",Methode_Keuze)),"",IF(ISNUMBER(FIND("arbeid",Methode_Keuze)),"",IF(Tb_Activiteiten[[#This Row],[Projectmedewerker]]=1,Tb_Activiteiten[[#Headers],[Projectmedewerker]],"")))</f>
        <v/>
      </c>
      <c r="AN741" t="str">
        <f>IF(ISNUMBER(FIND("arbeid",Methode_Keuze)),"",IF(ISNUMBER(FIND("arbeid",Methode_Keuze)),"",IF(Tb_Activiteiten[[#This Row],[Landbouwer]]=1,Tb_Activiteiten[[#Headers],[Landbouwer]],"")))</f>
        <v/>
      </c>
      <c r="AO741" t="str">
        <f>IF(ISNUMBER(FIND("arbeid",Methode_Keuze)),"",IF(ISNUMBER(FIND("arbeid",Methode_Keuze)),"",IF(Tb_Activiteiten[[#This Row],[Adviseur]]=1,Tb_Activiteiten[[#Headers],[Adviseur]],"")))</f>
        <v/>
      </c>
      <c r="AP741" t="str">
        <f>IF(ISNUMBER(FIND("arbeid",Methode_Keuze)),"",IF(ISNUMBER(FIND("arbeid",Methode_Keuze)),"",IF(Tb_Activiteiten[[#This Row],[Projectleider/Expert]]=1,Tb_Activiteiten[[#Headers],[Projectleider/Expert]],"")))</f>
        <v/>
      </c>
      <c r="AQ741" t="str">
        <f>IF(ISNUMBER(FIND("arbeid",Methode_Keuze)),"",IF(ISNUMBER(FIND("arbeid",Methode_Keuze)),"",IF(Tb_Activiteiten[[#This Row],[Arbeidskosten]]=1,Tb_Activiteiten[[#Headers],[Arbeidskosten]],"")))</f>
        <v/>
      </c>
      <c r="AR741" t="str">
        <f>IF(ISNUMBER(FIND("arbeid",Methode_Keuze)),"",IF(ISNUMBER(FIND("arbeid",Methode_Keuze)),"",IF(Tb_Activiteiten[[#This Row],[Arbeidskosten op basis van IKS]]=1,Tb_Activiteiten[[#Headers],[Arbeidskosten op basis van IKS]],"")))</f>
        <v/>
      </c>
      <c r="AS741" t="str">
        <f>IF(ISNUMBER(FIND("overige",Methode_Keuze)),"",IF(Tb_Activiteiten[[#This Row],[Kosten derden exclusief btw]]=1,Tb_Activiteiten[[#Headers],[Kosten derden exclusief btw]],""))</f>
        <v/>
      </c>
      <c r="AT741" t="str">
        <f>IF(ISNUMBER(FIND("overige",Methode_Keuze)),"",IF(Tb_Activiteiten[[#This Row],[Niet verrekenbare btw]]=1,Tb_Activiteiten[[#Headers],[Niet verrekenbare btw]],""))</f>
        <v/>
      </c>
      <c r="AU741" t="str">
        <f>IF(ISNUMBER(FIND("overige",Methode_Keuze)),"",IF(Tb_Activiteiten[[#This Row],[Grondkosten]]=1,Tb_Activiteiten[[#Headers],[Grondkosten]],""))</f>
        <v/>
      </c>
      <c r="AV741" t="str">
        <f>IF(ISNUMBER(FIND("overige",Methode_Keuze)),"",IF(Tb_Activiteiten[[#This Row],[Bijdrage in natura (overige)]]=1,Tb_Activiteiten[[#Headers],[Bijdrage in natura (overige)]],""))</f>
        <v/>
      </c>
      <c r="AW741" t="str">
        <f>IF(ISNUMBER(FIND("overige",Methode_Keuze)),"",IF(Tb_Activiteiten[[#This Row],[Bijdrage in natura (vrijwilligers)]]=1,Tb_Activiteiten[[#Headers],[Bijdrage in natura (vrijwilligers)]],""))</f>
        <v/>
      </c>
      <c r="AX741" t="str">
        <f>IF(ISNUMBER(FIND("overige",Methode_Keuze)),"",IF(Tb_Activiteiten[[#This Row],[Afschrijvingskosten]]=1,Tb_Activiteiten[[#Headers],[Afschrijvingskosten]],""))</f>
        <v/>
      </c>
      <c r="AY741" t="str">
        <f>IF(ISNUMBER(FIND("overige",Methode_Keuze)),"",IF(Tb_Activiteiten[[#This Row],[Vergoeding]]=1,Tb_Activiteiten[[#Headers],[Vergoeding]],""))</f>
        <v/>
      </c>
      <c r="AZ741" t="str">
        <f>IF(ISNUMBER(FIND("arbeid",Methode_Keuze)),"",IF(Tb_Activiteiten[[#This Row],[Arbeidskosten - vast tarief (excl eigen arbeid)]]=1,Tb_Activiteiten[[#Headers],[Arbeidskosten - vast tarief (excl eigen arbeid)]],""))</f>
        <v/>
      </c>
      <c r="BA741" t="str">
        <f>IF(ISNUMBER(FIND("overige",Methode_Keuze)),"",IF(Tb_Activiteiten[[#This Row],[Overige kosten]]=1,Tb_Activiteiten[[#Headers],[Overige kosten]],""))</f>
        <v/>
      </c>
    </row>
    <row r="742" spans="1:53" x14ac:dyDescent="0.25">
      <c r="A742" s="231"/>
      <c r="F742" s="64"/>
      <c r="G742" s="64"/>
      <c r="H742" s="275"/>
      <c r="I742" s="275"/>
      <c r="J742" s="275"/>
      <c r="K742" s="275"/>
      <c r="O742" s="56"/>
      <c r="Q742" t="str">
        <f>IFERROR(IF(VLOOKUP(Tb_Activiteiten[[#This Row],[Openstelling]],Tb_Openstelling[],2,0)=1,1,""),"")</f>
        <v/>
      </c>
      <c r="AK742" t="str">
        <f>IF(ISNUMBER(FIND("arbeid",Methode_Keuze)),"",IF(ISNUMBER(FIND("arbeid",Methode_Keuze)),"",IF(Tb_Activiteiten[[#This Row],[Loonkosten]]=1,Tb_Activiteiten[[#Headers],[Loonkosten]],"")))</f>
        <v/>
      </c>
      <c r="AL742" t="str">
        <f>IF(ISNUMBER(FIND("arbeid",Methode_Keuze)),"",IF(ISNUMBER(FIND("arbeid",Methode_Keuze)),"",IF(Tb_Activiteiten[[#This Row],[Eigen arbeid]]=1,Tb_Activiteiten[[#Headers],[Eigen arbeid]],"")))</f>
        <v/>
      </c>
      <c r="AM742" t="str">
        <f>IF(ISNUMBER(FIND("arbeid",Methode_Keuze)),"",IF(ISNUMBER(FIND("arbeid",Methode_Keuze)),"",IF(Tb_Activiteiten[[#This Row],[Projectmedewerker]]=1,Tb_Activiteiten[[#Headers],[Projectmedewerker]],"")))</f>
        <v/>
      </c>
      <c r="AN742" t="str">
        <f>IF(ISNUMBER(FIND("arbeid",Methode_Keuze)),"",IF(ISNUMBER(FIND("arbeid",Methode_Keuze)),"",IF(Tb_Activiteiten[[#This Row],[Landbouwer]]=1,Tb_Activiteiten[[#Headers],[Landbouwer]],"")))</f>
        <v/>
      </c>
      <c r="AO742" t="str">
        <f>IF(ISNUMBER(FIND("arbeid",Methode_Keuze)),"",IF(ISNUMBER(FIND("arbeid",Methode_Keuze)),"",IF(Tb_Activiteiten[[#This Row],[Adviseur]]=1,Tb_Activiteiten[[#Headers],[Adviseur]],"")))</f>
        <v/>
      </c>
      <c r="AP742" t="str">
        <f>IF(ISNUMBER(FIND("arbeid",Methode_Keuze)),"",IF(ISNUMBER(FIND("arbeid",Methode_Keuze)),"",IF(Tb_Activiteiten[[#This Row],[Projectleider/Expert]]=1,Tb_Activiteiten[[#Headers],[Projectleider/Expert]],"")))</f>
        <v/>
      </c>
      <c r="AQ742" t="str">
        <f>IF(ISNUMBER(FIND("arbeid",Methode_Keuze)),"",IF(ISNUMBER(FIND("arbeid",Methode_Keuze)),"",IF(Tb_Activiteiten[[#This Row],[Arbeidskosten]]=1,Tb_Activiteiten[[#Headers],[Arbeidskosten]],"")))</f>
        <v/>
      </c>
      <c r="AR742" t="str">
        <f>IF(ISNUMBER(FIND("arbeid",Methode_Keuze)),"",IF(ISNUMBER(FIND("arbeid",Methode_Keuze)),"",IF(Tb_Activiteiten[[#This Row],[Arbeidskosten op basis van IKS]]=1,Tb_Activiteiten[[#Headers],[Arbeidskosten op basis van IKS]],"")))</f>
        <v/>
      </c>
      <c r="AS742" t="str">
        <f>IF(ISNUMBER(FIND("overige",Methode_Keuze)),"",IF(Tb_Activiteiten[[#This Row],[Kosten derden exclusief btw]]=1,Tb_Activiteiten[[#Headers],[Kosten derden exclusief btw]],""))</f>
        <v/>
      </c>
      <c r="AT742" t="str">
        <f>IF(ISNUMBER(FIND("overige",Methode_Keuze)),"",IF(Tb_Activiteiten[[#This Row],[Niet verrekenbare btw]]=1,Tb_Activiteiten[[#Headers],[Niet verrekenbare btw]],""))</f>
        <v/>
      </c>
      <c r="AU742" t="str">
        <f>IF(ISNUMBER(FIND("overige",Methode_Keuze)),"",IF(Tb_Activiteiten[[#This Row],[Grondkosten]]=1,Tb_Activiteiten[[#Headers],[Grondkosten]],""))</f>
        <v/>
      </c>
      <c r="AV742" t="str">
        <f>IF(ISNUMBER(FIND("overige",Methode_Keuze)),"",IF(Tb_Activiteiten[[#This Row],[Bijdrage in natura (overige)]]=1,Tb_Activiteiten[[#Headers],[Bijdrage in natura (overige)]],""))</f>
        <v/>
      </c>
      <c r="AW742" t="str">
        <f>IF(ISNUMBER(FIND("overige",Methode_Keuze)),"",IF(Tb_Activiteiten[[#This Row],[Bijdrage in natura (vrijwilligers)]]=1,Tb_Activiteiten[[#Headers],[Bijdrage in natura (vrijwilligers)]],""))</f>
        <v/>
      </c>
      <c r="AX742" t="str">
        <f>IF(ISNUMBER(FIND("overige",Methode_Keuze)),"",IF(Tb_Activiteiten[[#This Row],[Afschrijvingskosten]]=1,Tb_Activiteiten[[#Headers],[Afschrijvingskosten]],""))</f>
        <v/>
      </c>
      <c r="AY742" t="str">
        <f>IF(ISNUMBER(FIND("overige",Methode_Keuze)),"",IF(Tb_Activiteiten[[#This Row],[Vergoeding]]=1,Tb_Activiteiten[[#Headers],[Vergoeding]],""))</f>
        <v/>
      </c>
      <c r="AZ742" t="str">
        <f>IF(ISNUMBER(FIND("arbeid",Methode_Keuze)),"",IF(Tb_Activiteiten[[#This Row],[Arbeidskosten - vast tarief (excl eigen arbeid)]]=1,Tb_Activiteiten[[#Headers],[Arbeidskosten - vast tarief (excl eigen arbeid)]],""))</f>
        <v/>
      </c>
      <c r="BA742" t="str">
        <f>IF(ISNUMBER(FIND("overige",Methode_Keuze)),"",IF(Tb_Activiteiten[[#This Row],[Overige kosten]]=1,Tb_Activiteiten[[#Headers],[Overige kosten]],""))</f>
        <v/>
      </c>
    </row>
    <row r="743" spans="1:53" x14ac:dyDescent="0.25">
      <c r="A743" s="231"/>
      <c r="F743" s="64"/>
      <c r="G743" s="64"/>
      <c r="H743" s="275"/>
      <c r="I743" s="275"/>
      <c r="J743" s="275"/>
      <c r="K743" s="275"/>
      <c r="O743" s="56"/>
      <c r="Q743" t="str">
        <f>IFERROR(IF(VLOOKUP(Tb_Activiteiten[[#This Row],[Openstelling]],Tb_Openstelling[],2,0)=1,1,""),"")</f>
        <v/>
      </c>
      <c r="AK743" t="str">
        <f>IF(ISNUMBER(FIND("arbeid",Methode_Keuze)),"",IF(ISNUMBER(FIND("arbeid",Methode_Keuze)),"",IF(Tb_Activiteiten[[#This Row],[Loonkosten]]=1,Tb_Activiteiten[[#Headers],[Loonkosten]],"")))</f>
        <v/>
      </c>
      <c r="AL743" t="str">
        <f>IF(ISNUMBER(FIND("arbeid",Methode_Keuze)),"",IF(ISNUMBER(FIND("arbeid",Methode_Keuze)),"",IF(Tb_Activiteiten[[#This Row],[Eigen arbeid]]=1,Tb_Activiteiten[[#Headers],[Eigen arbeid]],"")))</f>
        <v/>
      </c>
      <c r="AM743" t="str">
        <f>IF(ISNUMBER(FIND("arbeid",Methode_Keuze)),"",IF(ISNUMBER(FIND("arbeid",Methode_Keuze)),"",IF(Tb_Activiteiten[[#This Row],[Projectmedewerker]]=1,Tb_Activiteiten[[#Headers],[Projectmedewerker]],"")))</f>
        <v/>
      </c>
      <c r="AN743" t="str">
        <f>IF(ISNUMBER(FIND("arbeid",Methode_Keuze)),"",IF(ISNUMBER(FIND("arbeid",Methode_Keuze)),"",IF(Tb_Activiteiten[[#This Row],[Landbouwer]]=1,Tb_Activiteiten[[#Headers],[Landbouwer]],"")))</f>
        <v/>
      </c>
      <c r="AO743" t="str">
        <f>IF(ISNUMBER(FIND("arbeid",Methode_Keuze)),"",IF(ISNUMBER(FIND("arbeid",Methode_Keuze)),"",IF(Tb_Activiteiten[[#This Row],[Adviseur]]=1,Tb_Activiteiten[[#Headers],[Adviseur]],"")))</f>
        <v/>
      </c>
      <c r="AP743" t="str">
        <f>IF(ISNUMBER(FIND("arbeid",Methode_Keuze)),"",IF(ISNUMBER(FIND("arbeid",Methode_Keuze)),"",IF(Tb_Activiteiten[[#This Row],[Projectleider/Expert]]=1,Tb_Activiteiten[[#Headers],[Projectleider/Expert]],"")))</f>
        <v/>
      </c>
      <c r="AQ743" t="str">
        <f>IF(ISNUMBER(FIND("arbeid",Methode_Keuze)),"",IF(ISNUMBER(FIND("arbeid",Methode_Keuze)),"",IF(Tb_Activiteiten[[#This Row],[Arbeidskosten]]=1,Tb_Activiteiten[[#Headers],[Arbeidskosten]],"")))</f>
        <v/>
      </c>
      <c r="AR743" t="str">
        <f>IF(ISNUMBER(FIND("arbeid",Methode_Keuze)),"",IF(ISNUMBER(FIND("arbeid",Methode_Keuze)),"",IF(Tb_Activiteiten[[#This Row],[Arbeidskosten op basis van IKS]]=1,Tb_Activiteiten[[#Headers],[Arbeidskosten op basis van IKS]],"")))</f>
        <v/>
      </c>
      <c r="AS743" t="str">
        <f>IF(ISNUMBER(FIND("overige",Methode_Keuze)),"",IF(Tb_Activiteiten[[#This Row],[Kosten derden exclusief btw]]=1,Tb_Activiteiten[[#Headers],[Kosten derden exclusief btw]],""))</f>
        <v/>
      </c>
      <c r="AT743" t="str">
        <f>IF(ISNUMBER(FIND("overige",Methode_Keuze)),"",IF(Tb_Activiteiten[[#This Row],[Niet verrekenbare btw]]=1,Tb_Activiteiten[[#Headers],[Niet verrekenbare btw]],""))</f>
        <v/>
      </c>
      <c r="AU743" t="str">
        <f>IF(ISNUMBER(FIND("overige",Methode_Keuze)),"",IF(Tb_Activiteiten[[#This Row],[Grondkosten]]=1,Tb_Activiteiten[[#Headers],[Grondkosten]],""))</f>
        <v/>
      </c>
      <c r="AV743" t="str">
        <f>IF(ISNUMBER(FIND("overige",Methode_Keuze)),"",IF(Tb_Activiteiten[[#This Row],[Bijdrage in natura (overige)]]=1,Tb_Activiteiten[[#Headers],[Bijdrage in natura (overige)]],""))</f>
        <v/>
      </c>
      <c r="AW743" t="str">
        <f>IF(ISNUMBER(FIND("overige",Methode_Keuze)),"",IF(Tb_Activiteiten[[#This Row],[Bijdrage in natura (vrijwilligers)]]=1,Tb_Activiteiten[[#Headers],[Bijdrage in natura (vrijwilligers)]],""))</f>
        <v/>
      </c>
      <c r="AX743" t="str">
        <f>IF(ISNUMBER(FIND("overige",Methode_Keuze)),"",IF(Tb_Activiteiten[[#This Row],[Afschrijvingskosten]]=1,Tb_Activiteiten[[#Headers],[Afschrijvingskosten]],""))</f>
        <v/>
      </c>
      <c r="AY743" t="str">
        <f>IF(ISNUMBER(FIND("overige",Methode_Keuze)),"",IF(Tb_Activiteiten[[#This Row],[Vergoeding]]=1,Tb_Activiteiten[[#Headers],[Vergoeding]],""))</f>
        <v/>
      </c>
      <c r="AZ743" t="str">
        <f>IF(ISNUMBER(FIND("arbeid",Methode_Keuze)),"",IF(Tb_Activiteiten[[#This Row],[Arbeidskosten - vast tarief (excl eigen arbeid)]]=1,Tb_Activiteiten[[#Headers],[Arbeidskosten - vast tarief (excl eigen arbeid)]],""))</f>
        <v/>
      </c>
      <c r="BA743" t="str">
        <f>IF(ISNUMBER(FIND("overige",Methode_Keuze)),"",IF(Tb_Activiteiten[[#This Row],[Overige kosten]]=1,Tb_Activiteiten[[#Headers],[Overige kosten]],""))</f>
        <v/>
      </c>
    </row>
    <row r="744" spans="1:53" x14ac:dyDescent="0.25">
      <c r="A744" s="231"/>
      <c r="F744" s="64"/>
      <c r="G744" s="64"/>
      <c r="H744" s="275"/>
      <c r="I744" s="275"/>
      <c r="J744" s="275"/>
      <c r="K744" s="275"/>
      <c r="O744" s="56"/>
      <c r="Q744" t="str">
        <f>IFERROR(IF(VLOOKUP(Tb_Activiteiten[[#This Row],[Openstelling]],Tb_Openstelling[],2,0)=1,1,""),"")</f>
        <v/>
      </c>
      <c r="AK744" t="str">
        <f>IF(ISNUMBER(FIND("arbeid",Methode_Keuze)),"",IF(ISNUMBER(FIND("arbeid",Methode_Keuze)),"",IF(Tb_Activiteiten[[#This Row],[Loonkosten]]=1,Tb_Activiteiten[[#Headers],[Loonkosten]],"")))</f>
        <v/>
      </c>
      <c r="AL744" t="str">
        <f>IF(ISNUMBER(FIND("arbeid",Methode_Keuze)),"",IF(ISNUMBER(FIND("arbeid",Methode_Keuze)),"",IF(Tb_Activiteiten[[#This Row],[Eigen arbeid]]=1,Tb_Activiteiten[[#Headers],[Eigen arbeid]],"")))</f>
        <v/>
      </c>
      <c r="AM744" t="str">
        <f>IF(ISNUMBER(FIND("arbeid",Methode_Keuze)),"",IF(ISNUMBER(FIND("arbeid",Methode_Keuze)),"",IF(Tb_Activiteiten[[#This Row],[Projectmedewerker]]=1,Tb_Activiteiten[[#Headers],[Projectmedewerker]],"")))</f>
        <v/>
      </c>
      <c r="AN744" t="str">
        <f>IF(ISNUMBER(FIND("arbeid",Methode_Keuze)),"",IF(ISNUMBER(FIND("arbeid",Methode_Keuze)),"",IF(Tb_Activiteiten[[#This Row],[Landbouwer]]=1,Tb_Activiteiten[[#Headers],[Landbouwer]],"")))</f>
        <v/>
      </c>
      <c r="AO744" t="str">
        <f>IF(ISNUMBER(FIND("arbeid",Methode_Keuze)),"",IF(ISNUMBER(FIND("arbeid",Methode_Keuze)),"",IF(Tb_Activiteiten[[#This Row],[Adviseur]]=1,Tb_Activiteiten[[#Headers],[Adviseur]],"")))</f>
        <v/>
      </c>
      <c r="AP744" t="str">
        <f>IF(ISNUMBER(FIND("arbeid",Methode_Keuze)),"",IF(ISNUMBER(FIND("arbeid",Methode_Keuze)),"",IF(Tb_Activiteiten[[#This Row],[Projectleider/Expert]]=1,Tb_Activiteiten[[#Headers],[Projectleider/Expert]],"")))</f>
        <v/>
      </c>
      <c r="AQ744" t="str">
        <f>IF(ISNUMBER(FIND("arbeid",Methode_Keuze)),"",IF(ISNUMBER(FIND("arbeid",Methode_Keuze)),"",IF(Tb_Activiteiten[[#This Row],[Arbeidskosten]]=1,Tb_Activiteiten[[#Headers],[Arbeidskosten]],"")))</f>
        <v/>
      </c>
      <c r="AR744" t="str">
        <f>IF(ISNUMBER(FIND("arbeid",Methode_Keuze)),"",IF(ISNUMBER(FIND("arbeid",Methode_Keuze)),"",IF(Tb_Activiteiten[[#This Row],[Arbeidskosten op basis van IKS]]=1,Tb_Activiteiten[[#Headers],[Arbeidskosten op basis van IKS]],"")))</f>
        <v/>
      </c>
      <c r="AS744" t="str">
        <f>IF(ISNUMBER(FIND("overige",Methode_Keuze)),"",IF(Tb_Activiteiten[[#This Row],[Kosten derden exclusief btw]]=1,Tb_Activiteiten[[#Headers],[Kosten derden exclusief btw]],""))</f>
        <v/>
      </c>
      <c r="AT744" t="str">
        <f>IF(ISNUMBER(FIND("overige",Methode_Keuze)),"",IF(Tb_Activiteiten[[#This Row],[Niet verrekenbare btw]]=1,Tb_Activiteiten[[#Headers],[Niet verrekenbare btw]],""))</f>
        <v/>
      </c>
      <c r="AU744" t="str">
        <f>IF(ISNUMBER(FIND("overige",Methode_Keuze)),"",IF(Tb_Activiteiten[[#This Row],[Grondkosten]]=1,Tb_Activiteiten[[#Headers],[Grondkosten]],""))</f>
        <v/>
      </c>
      <c r="AV744" t="str">
        <f>IF(ISNUMBER(FIND("overige",Methode_Keuze)),"",IF(Tb_Activiteiten[[#This Row],[Bijdrage in natura (overige)]]=1,Tb_Activiteiten[[#Headers],[Bijdrage in natura (overige)]],""))</f>
        <v/>
      </c>
      <c r="AW744" t="str">
        <f>IF(ISNUMBER(FIND("overige",Methode_Keuze)),"",IF(Tb_Activiteiten[[#This Row],[Bijdrage in natura (vrijwilligers)]]=1,Tb_Activiteiten[[#Headers],[Bijdrage in natura (vrijwilligers)]],""))</f>
        <v/>
      </c>
      <c r="AX744" t="str">
        <f>IF(ISNUMBER(FIND("overige",Methode_Keuze)),"",IF(Tb_Activiteiten[[#This Row],[Afschrijvingskosten]]=1,Tb_Activiteiten[[#Headers],[Afschrijvingskosten]],""))</f>
        <v/>
      </c>
      <c r="AY744" t="str">
        <f>IF(ISNUMBER(FIND("overige",Methode_Keuze)),"",IF(Tb_Activiteiten[[#This Row],[Vergoeding]]=1,Tb_Activiteiten[[#Headers],[Vergoeding]],""))</f>
        <v/>
      </c>
      <c r="AZ744" t="str">
        <f>IF(ISNUMBER(FIND("arbeid",Methode_Keuze)),"",IF(Tb_Activiteiten[[#This Row],[Arbeidskosten - vast tarief (excl eigen arbeid)]]=1,Tb_Activiteiten[[#Headers],[Arbeidskosten - vast tarief (excl eigen arbeid)]],""))</f>
        <v/>
      </c>
      <c r="BA744" t="str">
        <f>IF(ISNUMBER(FIND("overige",Methode_Keuze)),"",IF(Tb_Activiteiten[[#This Row],[Overige kosten]]=1,Tb_Activiteiten[[#Headers],[Overige kosten]],""))</f>
        <v/>
      </c>
    </row>
    <row r="745" spans="1:53" x14ac:dyDescent="0.25">
      <c r="A745" s="231"/>
      <c r="F745" s="64"/>
      <c r="G745" s="64"/>
      <c r="H745" s="275"/>
      <c r="I745" s="275"/>
      <c r="J745" s="275"/>
      <c r="K745" s="275"/>
      <c r="O745" s="56"/>
      <c r="Q745" t="str">
        <f>IFERROR(IF(VLOOKUP(Tb_Activiteiten[[#This Row],[Openstelling]],Tb_Openstelling[],2,0)=1,1,""),"")</f>
        <v/>
      </c>
      <c r="AK745" t="str">
        <f>IF(ISNUMBER(FIND("arbeid",Methode_Keuze)),"",IF(ISNUMBER(FIND("arbeid",Methode_Keuze)),"",IF(Tb_Activiteiten[[#This Row],[Loonkosten]]=1,Tb_Activiteiten[[#Headers],[Loonkosten]],"")))</f>
        <v/>
      </c>
      <c r="AL745" t="str">
        <f>IF(ISNUMBER(FIND("arbeid",Methode_Keuze)),"",IF(ISNUMBER(FIND("arbeid",Methode_Keuze)),"",IF(Tb_Activiteiten[[#This Row],[Eigen arbeid]]=1,Tb_Activiteiten[[#Headers],[Eigen arbeid]],"")))</f>
        <v/>
      </c>
      <c r="AM745" t="str">
        <f>IF(ISNUMBER(FIND("arbeid",Methode_Keuze)),"",IF(ISNUMBER(FIND("arbeid",Methode_Keuze)),"",IF(Tb_Activiteiten[[#This Row],[Projectmedewerker]]=1,Tb_Activiteiten[[#Headers],[Projectmedewerker]],"")))</f>
        <v/>
      </c>
      <c r="AN745" t="str">
        <f>IF(ISNUMBER(FIND("arbeid",Methode_Keuze)),"",IF(ISNUMBER(FIND("arbeid",Methode_Keuze)),"",IF(Tb_Activiteiten[[#This Row],[Landbouwer]]=1,Tb_Activiteiten[[#Headers],[Landbouwer]],"")))</f>
        <v/>
      </c>
      <c r="AO745" t="str">
        <f>IF(ISNUMBER(FIND("arbeid",Methode_Keuze)),"",IF(ISNUMBER(FIND("arbeid",Methode_Keuze)),"",IF(Tb_Activiteiten[[#This Row],[Adviseur]]=1,Tb_Activiteiten[[#Headers],[Adviseur]],"")))</f>
        <v/>
      </c>
      <c r="AP745" t="str">
        <f>IF(ISNUMBER(FIND("arbeid",Methode_Keuze)),"",IF(ISNUMBER(FIND("arbeid",Methode_Keuze)),"",IF(Tb_Activiteiten[[#This Row],[Projectleider/Expert]]=1,Tb_Activiteiten[[#Headers],[Projectleider/Expert]],"")))</f>
        <v/>
      </c>
      <c r="AQ745" t="str">
        <f>IF(ISNUMBER(FIND("arbeid",Methode_Keuze)),"",IF(ISNUMBER(FIND("arbeid",Methode_Keuze)),"",IF(Tb_Activiteiten[[#This Row],[Arbeidskosten]]=1,Tb_Activiteiten[[#Headers],[Arbeidskosten]],"")))</f>
        <v/>
      </c>
      <c r="AR745" t="str">
        <f>IF(ISNUMBER(FIND("arbeid",Methode_Keuze)),"",IF(ISNUMBER(FIND("arbeid",Methode_Keuze)),"",IF(Tb_Activiteiten[[#This Row],[Arbeidskosten op basis van IKS]]=1,Tb_Activiteiten[[#Headers],[Arbeidskosten op basis van IKS]],"")))</f>
        <v/>
      </c>
      <c r="AS745" t="str">
        <f>IF(ISNUMBER(FIND("overige",Methode_Keuze)),"",IF(Tb_Activiteiten[[#This Row],[Kosten derden exclusief btw]]=1,Tb_Activiteiten[[#Headers],[Kosten derden exclusief btw]],""))</f>
        <v/>
      </c>
      <c r="AT745" t="str">
        <f>IF(ISNUMBER(FIND("overige",Methode_Keuze)),"",IF(Tb_Activiteiten[[#This Row],[Niet verrekenbare btw]]=1,Tb_Activiteiten[[#Headers],[Niet verrekenbare btw]],""))</f>
        <v/>
      </c>
      <c r="AU745" t="str">
        <f>IF(ISNUMBER(FIND("overige",Methode_Keuze)),"",IF(Tb_Activiteiten[[#This Row],[Grondkosten]]=1,Tb_Activiteiten[[#Headers],[Grondkosten]],""))</f>
        <v/>
      </c>
      <c r="AV745" t="str">
        <f>IF(ISNUMBER(FIND("overige",Methode_Keuze)),"",IF(Tb_Activiteiten[[#This Row],[Bijdrage in natura (overige)]]=1,Tb_Activiteiten[[#Headers],[Bijdrage in natura (overige)]],""))</f>
        <v/>
      </c>
      <c r="AW745" t="str">
        <f>IF(ISNUMBER(FIND("overige",Methode_Keuze)),"",IF(Tb_Activiteiten[[#This Row],[Bijdrage in natura (vrijwilligers)]]=1,Tb_Activiteiten[[#Headers],[Bijdrage in natura (vrijwilligers)]],""))</f>
        <v/>
      </c>
      <c r="AX745" t="str">
        <f>IF(ISNUMBER(FIND("overige",Methode_Keuze)),"",IF(Tb_Activiteiten[[#This Row],[Afschrijvingskosten]]=1,Tb_Activiteiten[[#Headers],[Afschrijvingskosten]],""))</f>
        <v/>
      </c>
      <c r="AY745" t="str">
        <f>IF(ISNUMBER(FIND("overige",Methode_Keuze)),"",IF(Tb_Activiteiten[[#This Row],[Vergoeding]]=1,Tb_Activiteiten[[#Headers],[Vergoeding]],""))</f>
        <v/>
      </c>
      <c r="AZ745" t="str">
        <f>IF(ISNUMBER(FIND("arbeid",Methode_Keuze)),"",IF(Tb_Activiteiten[[#This Row],[Arbeidskosten - vast tarief (excl eigen arbeid)]]=1,Tb_Activiteiten[[#Headers],[Arbeidskosten - vast tarief (excl eigen arbeid)]],""))</f>
        <v/>
      </c>
      <c r="BA745" t="str">
        <f>IF(ISNUMBER(FIND("overige",Methode_Keuze)),"",IF(Tb_Activiteiten[[#This Row],[Overige kosten]]=1,Tb_Activiteiten[[#Headers],[Overige kosten]],""))</f>
        <v/>
      </c>
    </row>
    <row r="746" spans="1:53" x14ac:dyDescent="0.25">
      <c r="A746" s="231"/>
      <c r="F746" s="64"/>
      <c r="G746" s="64"/>
      <c r="H746" s="275"/>
      <c r="I746" s="275"/>
      <c r="J746" s="275"/>
      <c r="K746" s="275"/>
      <c r="O746" s="56"/>
      <c r="Q746" t="str">
        <f>IFERROR(IF(VLOOKUP(Tb_Activiteiten[[#This Row],[Openstelling]],Tb_Openstelling[],2,0)=1,1,""),"")</f>
        <v/>
      </c>
      <c r="AK746" t="str">
        <f>IF(ISNUMBER(FIND("arbeid",Methode_Keuze)),"",IF(ISNUMBER(FIND("arbeid",Methode_Keuze)),"",IF(Tb_Activiteiten[[#This Row],[Loonkosten]]=1,Tb_Activiteiten[[#Headers],[Loonkosten]],"")))</f>
        <v/>
      </c>
      <c r="AL746" t="str">
        <f>IF(ISNUMBER(FIND("arbeid",Methode_Keuze)),"",IF(ISNUMBER(FIND("arbeid",Methode_Keuze)),"",IF(Tb_Activiteiten[[#This Row],[Eigen arbeid]]=1,Tb_Activiteiten[[#Headers],[Eigen arbeid]],"")))</f>
        <v/>
      </c>
      <c r="AM746" t="str">
        <f>IF(ISNUMBER(FIND("arbeid",Methode_Keuze)),"",IF(ISNUMBER(FIND("arbeid",Methode_Keuze)),"",IF(Tb_Activiteiten[[#This Row],[Projectmedewerker]]=1,Tb_Activiteiten[[#Headers],[Projectmedewerker]],"")))</f>
        <v/>
      </c>
      <c r="AN746" t="str">
        <f>IF(ISNUMBER(FIND("arbeid",Methode_Keuze)),"",IF(ISNUMBER(FIND("arbeid",Methode_Keuze)),"",IF(Tb_Activiteiten[[#This Row],[Landbouwer]]=1,Tb_Activiteiten[[#Headers],[Landbouwer]],"")))</f>
        <v/>
      </c>
      <c r="AO746" t="str">
        <f>IF(ISNUMBER(FIND("arbeid",Methode_Keuze)),"",IF(ISNUMBER(FIND("arbeid",Methode_Keuze)),"",IF(Tb_Activiteiten[[#This Row],[Adviseur]]=1,Tb_Activiteiten[[#Headers],[Adviseur]],"")))</f>
        <v/>
      </c>
      <c r="AP746" t="str">
        <f>IF(ISNUMBER(FIND("arbeid",Methode_Keuze)),"",IF(ISNUMBER(FIND("arbeid",Methode_Keuze)),"",IF(Tb_Activiteiten[[#This Row],[Projectleider/Expert]]=1,Tb_Activiteiten[[#Headers],[Projectleider/Expert]],"")))</f>
        <v/>
      </c>
      <c r="AQ746" t="str">
        <f>IF(ISNUMBER(FIND("arbeid",Methode_Keuze)),"",IF(ISNUMBER(FIND("arbeid",Methode_Keuze)),"",IF(Tb_Activiteiten[[#This Row],[Arbeidskosten]]=1,Tb_Activiteiten[[#Headers],[Arbeidskosten]],"")))</f>
        <v/>
      </c>
      <c r="AR746" t="str">
        <f>IF(ISNUMBER(FIND("arbeid",Methode_Keuze)),"",IF(ISNUMBER(FIND("arbeid",Methode_Keuze)),"",IF(Tb_Activiteiten[[#This Row],[Arbeidskosten op basis van IKS]]=1,Tb_Activiteiten[[#Headers],[Arbeidskosten op basis van IKS]],"")))</f>
        <v/>
      </c>
      <c r="AS746" t="str">
        <f>IF(ISNUMBER(FIND("overige",Methode_Keuze)),"",IF(Tb_Activiteiten[[#This Row],[Kosten derden exclusief btw]]=1,Tb_Activiteiten[[#Headers],[Kosten derden exclusief btw]],""))</f>
        <v/>
      </c>
      <c r="AT746" t="str">
        <f>IF(ISNUMBER(FIND("overige",Methode_Keuze)),"",IF(Tb_Activiteiten[[#This Row],[Niet verrekenbare btw]]=1,Tb_Activiteiten[[#Headers],[Niet verrekenbare btw]],""))</f>
        <v/>
      </c>
      <c r="AU746" t="str">
        <f>IF(ISNUMBER(FIND("overige",Methode_Keuze)),"",IF(Tb_Activiteiten[[#This Row],[Grondkosten]]=1,Tb_Activiteiten[[#Headers],[Grondkosten]],""))</f>
        <v/>
      </c>
      <c r="AV746" t="str">
        <f>IF(ISNUMBER(FIND("overige",Methode_Keuze)),"",IF(Tb_Activiteiten[[#This Row],[Bijdrage in natura (overige)]]=1,Tb_Activiteiten[[#Headers],[Bijdrage in natura (overige)]],""))</f>
        <v/>
      </c>
      <c r="AW746" t="str">
        <f>IF(ISNUMBER(FIND("overige",Methode_Keuze)),"",IF(Tb_Activiteiten[[#This Row],[Bijdrage in natura (vrijwilligers)]]=1,Tb_Activiteiten[[#Headers],[Bijdrage in natura (vrijwilligers)]],""))</f>
        <v/>
      </c>
      <c r="AX746" t="str">
        <f>IF(ISNUMBER(FIND("overige",Methode_Keuze)),"",IF(Tb_Activiteiten[[#This Row],[Afschrijvingskosten]]=1,Tb_Activiteiten[[#Headers],[Afschrijvingskosten]],""))</f>
        <v/>
      </c>
      <c r="AY746" t="str">
        <f>IF(ISNUMBER(FIND("overige",Methode_Keuze)),"",IF(Tb_Activiteiten[[#This Row],[Vergoeding]]=1,Tb_Activiteiten[[#Headers],[Vergoeding]],""))</f>
        <v/>
      </c>
      <c r="AZ746" t="str">
        <f>IF(ISNUMBER(FIND("arbeid",Methode_Keuze)),"",IF(Tb_Activiteiten[[#This Row],[Arbeidskosten - vast tarief (excl eigen arbeid)]]=1,Tb_Activiteiten[[#Headers],[Arbeidskosten - vast tarief (excl eigen arbeid)]],""))</f>
        <v/>
      </c>
      <c r="BA746" t="str">
        <f>IF(ISNUMBER(FIND("overige",Methode_Keuze)),"",IF(Tb_Activiteiten[[#This Row],[Overige kosten]]=1,Tb_Activiteiten[[#Headers],[Overige kosten]],""))</f>
        <v/>
      </c>
    </row>
    <row r="747" spans="1:53" x14ac:dyDescent="0.25">
      <c r="A747" s="231"/>
      <c r="F747" s="64"/>
      <c r="G747" s="64"/>
      <c r="H747" s="275"/>
      <c r="I747" s="275"/>
      <c r="J747" s="275"/>
      <c r="K747" s="275"/>
      <c r="O747" s="56"/>
      <c r="Q747" t="str">
        <f>IFERROR(IF(VLOOKUP(Tb_Activiteiten[[#This Row],[Openstelling]],Tb_Openstelling[],2,0)=1,1,""),"")</f>
        <v/>
      </c>
      <c r="AK747" t="str">
        <f>IF(ISNUMBER(FIND("arbeid",Methode_Keuze)),"",IF(ISNUMBER(FIND("arbeid",Methode_Keuze)),"",IF(Tb_Activiteiten[[#This Row],[Loonkosten]]=1,Tb_Activiteiten[[#Headers],[Loonkosten]],"")))</f>
        <v/>
      </c>
      <c r="AL747" t="str">
        <f>IF(ISNUMBER(FIND("arbeid",Methode_Keuze)),"",IF(ISNUMBER(FIND("arbeid",Methode_Keuze)),"",IF(Tb_Activiteiten[[#This Row],[Eigen arbeid]]=1,Tb_Activiteiten[[#Headers],[Eigen arbeid]],"")))</f>
        <v/>
      </c>
      <c r="AM747" t="str">
        <f>IF(ISNUMBER(FIND("arbeid",Methode_Keuze)),"",IF(ISNUMBER(FIND("arbeid",Methode_Keuze)),"",IF(Tb_Activiteiten[[#This Row],[Projectmedewerker]]=1,Tb_Activiteiten[[#Headers],[Projectmedewerker]],"")))</f>
        <v/>
      </c>
      <c r="AN747" t="str">
        <f>IF(ISNUMBER(FIND("arbeid",Methode_Keuze)),"",IF(ISNUMBER(FIND("arbeid",Methode_Keuze)),"",IF(Tb_Activiteiten[[#This Row],[Landbouwer]]=1,Tb_Activiteiten[[#Headers],[Landbouwer]],"")))</f>
        <v/>
      </c>
      <c r="AO747" t="str">
        <f>IF(ISNUMBER(FIND("arbeid",Methode_Keuze)),"",IF(ISNUMBER(FIND("arbeid",Methode_Keuze)),"",IF(Tb_Activiteiten[[#This Row],[Adviseur]]=1,Tb_Activiteiten[[#Headers],[Adviseur]],"")))</f>
        <v/>
      </c>
      <c r="AP747" t="str">
        <f>IF(ISNUMBER(FIND("arbeid",Methode_Keuze)),"",IF(ISNUMBER(FIND("arbeid",Methode_Keuze)),"",IF(Tb_Activiteiten[[#This Row],[Projectleider/Expert]]=1,Tb_Activiteiten[[#Headers],[Projectleider/Expert]],"")))</f>
        <v/>
      </c>
      <c r="AQ747" t="str">
        <f>IF(ISNUMBER(FIND("arbeid",Methode_Keuze)),"",IF(ISNUMBER(FIND("arbeid",Methode_Keuze)),"",IF(Tb_Activiteiten[[#This Row],[Arbeidskosten]]=1,Tb_Activiteiten[[#Headers],[Arbeidskosten]],"")))</f>
        <v/>
      </c>
      <c r="AR747" t="str">
        <f>IF(ISNUMBER(FIND("arbeid",Methode_Keuze)),"",IF(ISNUMBER(FIND("arbeid",Methode_Keuze)),"",IF(Tb_Activiteiten[[#This Row],[Arbeidskosten op basis van IKS]]=1,Tb_Activiteiten[[#Headers],[Arbeidskosten op basis van IKS]],"")))</f>
        <v/>
      </c>
      <c r="AS747" t="str">
        <f>IF(ISNUMBER(FIND("overige",Methode_Keuze)),"",IF(Tb_Activiteiten[[#This Row],[Kosten derden exclusief btw]]=1,Tb_Activiteiten[[#Headers],[Kosten derden exclusief btw]],""))</f>
        <v/>
      </c>
      <c r="AT747" t="str">
        <f>IF(ISNUMBER(FIND("overige",Methode_Keuze)),"",IF(Tb_Activiteiten[[#This Row],[Niet verrekenbare btw]]=1,Tb_Activiteiten[[#Headers],[Niet verrekenbare btw]],""))</f>
        <v/>
      </c>
      <c r="AU747" t="str">
        <f>IF(ISNUMBER(FIND("overige",Methode_Keuze)),"",IF(Tb_Activiteiten[[#This Row],[Grondkosten]]=1,Tb_Activiteiten[[#Headers],[Grondkosten]],""))</f>
        <v/>
      </c>
      <c r="AV747" t="str">
        <f>IF(ISNUMBER(FIND("overige",Methode_Keuze)),"",IF(Tb_Activiteiten[[#This Row],[Bijdrage in natura (overige)]]=1,Tb_Activiteiten[[#Headers],[Bijdrage in natura (overige)]],""))</f>
        <v/>
      </c>
      <c r="AW747" t="str">
        <f>IF(ISNUMBER(FIND("overige",Methode_Keuze)),"",IF(Tb_Activiteiten[[#This Row],[Bijdrage in natura (vrijwilligers)]]=1,Tb_Activiteiten[[#Headers],[Bijdrage in natura (vrijwilligers)]],""))</f>
        <v/>
      </c>
      <c r="AX747" t="str">
        <f>IF(ISNUMBER(FIND("overige",Methode_Keuze)),"",IF(Tb_Activiteiten[[#This Row],[Afschrijvingskosten]]=1,Tb_Activiteiten[[#Headers],[Afschrijvingskosten]],""))</f>
        <v/>
      </c>
      <c r="AY747" t="str">
        <f>IF(ISNUMBER(FIND("overige",Methode_Keuze)),"",IF(Tb_Activiteiten[[#This Row],[Vergoeding]]=1,Tb_Activiteiten[[#Headers],[Vergoeding]],""))</f>
        <v/>
      </c>
      <c r="AZ747" t="str">
        <f>IF(ISNUMBER(FIND("arbeid",Methode_Keuze)),"",IF(Tb_Activiteiten[[#This Row],[Arbeidskosten - vast tarief (excl eigen arbeid)]]=1,Tb_Activiteiten[[#Headers],[Arbeidskosten - vast tarief (excl eigen arbeid)]],""))</f>
        <v/>
      </c>
      <c r="BA747" t="str">
        <f>IF(ISNUMBER(FIND("overige",Methode_Keuze)),"",IF(Tb_Activiteiten[[#This Row],[Overige kosten]]=1,Tb_Activiteiten[[#Headers],[Overige kosten]],""))</f>
        <v/>
      </c>
    </row>
    <row r="748" spans="1:53" x14ac:dyDescent="0.25">
      <c r="A748" s="231"/>
      <c r="F748" s="64"/>
      <c r="G748" s="64"/>
      <c r="H748" s="275"/>
      <c r="I748" s="275"/>
      <c r="J748" s="275"/>
      <c r="K748" s="275"/>
      <c r="O748" s="56"/>
      <c r="Q748" t="str">
        <f>IFERROR(IF(VLOOKUP(Tb_Activiteiten[[#This Row],[Openstelling]],Tb_Openstelling[],2,0)=1,1,""),"")</f>
        <v/>
      </c>
      <c r="AK748" t="str">
        <f>IF(ISNUMBER(FIND("arbeid",Methode_Keuze)),"",IF(ISNUMBER(FIND("arbeid",Methode_Keuze)),"",IF(Tb_Activiteiten[[#This Row],[Loonkosten]]=1,Tb_Activiteiten[[#Headers],[Loonkosten]],"")))</f>
        <v/>
      </c>
      <c r="AL748" t="str">
        <f>IF(ISNUMBER(FIND("arbeid",Methode_Keuze)),"",IF(ISNUMBER(FIND("arbeid",Methode_Keuze)),"",IF(Tb_Activiteiten[[#This Row],[Eigen arbeid]]=1,Tb_Activiteiten[[#Headers],[Eigen arbeid]],"")))</f>
        <v/>
      </c>
      <c r="AM748" t="str">
        <f>IF(ISNUMBER(FIND("arbeid",Methode_Keuze)),"",IF(ISNUMBER(FIND("arbeid",Methode_Keuze)),"",IF(Tb_Activiteiten[[#This Row],[Projectmedewerker]]=1,Tb_Activiteiten[[#Headers],[Projectmedewerker]],"")))</f>
        <v/>
      </c>
      <c r="AN748" t="str">
        <f>IF(ISNUMBER(FIND("arbeid",Methode_Keuze)),"",IF(ISNUMBER(FIND("arbeid",Methode_Keuze)),"",IF(Tb_Activiteiten[[#This Row],[Landbouwer]]=1,Tb_Activiteiten[[#Headers],[Landbouwer]],"")))</f>
        <v/>
      </c>
      <c r="AO748" t="str">
        <f>IF(ISNUMBER(FIND("arbeid",Methode_Keuze)),"",IF(ISNUMBER(FIND("arbeid",Methode_Keuze)),"",IF(Tb_Activiteiten[[#This Row],[Adviseur]]=1,Tb_Activiteiten[[#Headers],[Adviseur]],"")))</f>
        <v/>
      </c>
      <c r="AP748" t="str">
        <f>IF(ISNUMBER(FIND("arbeid",Methode_Keuze)),"",IF(ISNUMBER(FIND("arbeid",Methode_Keuze)),"",IF(Tb_Activiteiten[[#This Row],[Projectleider/Expert]]=1,Tb_Activiteiten[[#Headers],[Projectleider/Expert]],"")))</f>
        <v/>
      </c>
      <c r="AQ748" t="str">
        <f>IF(ISNUMBER(FIND("arbeid",Methode_Keuze)),"",IF(ISNUMBER(FIND("arbeid",Methode_Keuze)),"",IF(Tb_Activiteiten[[#This Row],[Arbeidskosten]]=1,Tb_Activiteiten[[#Headers],[Arbeidskosten]],"")))</f>
        <v/>
      </c>
      <c r="AR748" t="str">
        <f>IF(ISNUMBER(FIND("arbeid",Methode_Keuze)),"",IF(ISNUMBER(FIND("arbeid",Methode_Keuze)),"",IF(Tb_Activiteiten[[#This Row],[Arbeidskosten op basis van IKS]]=1,Tb_Activiteiten[[#Headers],[Arbeidskosten op basis van IKS]],"")))</f>
        <v/>
      </c>
      <c r="AS748" t="str">
        <f>IF(ISNUMBER(FIND("overige",Methode_Keuze)),"",IF(Tb_Activiteiten[[#This Row],[Kosten derden exclusief btw]]=1,Tb_Activiteiten[[#Headers],[Kosten derden exclusief btw]],""))</f>
        <v/>
      </c>
      <c r="AT748" t="str">
        <f>IF(ISNUMBER(FIND("overige",Methode_Keuze)),"",IF(Tb_Activiteiten[[#This Row],[Niet verrekenbare btw]]=1,Tb_Activiteiten[[#Headers],[Niet verrekenbare btw]],""))</f>
        <v/>
      </c>
      <c r="AU748" t="str">
        <f>IF(ISNUMBER(FIND("overige",Methode_Keuze)),"",IF(Tb_Activiteiten[[#This Row],[Grondkosten]]=1,Tb_Activiteiten[[#Headers],[Grondkosten]],""))</f>
        <v/>
      </c>
      <c r="AV748" t="str">
        <f>IF(ISNUMBER(FIND("overige",Methode_Keuze)),"",IF(Tb_Activiteiten[[#This Row],[Bijdrage in natura (overige)]]=1,Tb_Activiteiten[[#Headers],[Bijdrage in natura (overige)]],""))</f>
        <v/>
      </c>
      <c r="AW748" t="str">
        <f>IF(ISNUMBER(FIND("overige",Methode_Keuze)),"",IF(Tb_Activiteiten[[#This Row],[Bijdrage in natura (vrijwilligers)]]=1,Tb_Activiteiten[[#Headers],[Bijdrage in natura (vrijwilligers)]],""))</f>
        <v/>
      </c>
      <c r="AX748" t="str">
        <f>IF(ISNUMBER(FIND("overige",Methode_Keuze)),"",IF(Tb_Activiteiten[[#This Row],[Afschrijvingskosten]]=1,Tb_Activiteiten[[#Headers],[Afschrijvingskosten]],""))</f>
        <v/>
      </c>
      <c r="AY748" t="str">
        <f>IF(ISNUMBER(FIND("overige",Methode_Keuze)),"",IF(Tb_Activiteiten[[#This Row],[Vergoeding]]=1,Tb_Activiteiten[[#Headers],[Vergoeding]],""))</f>
        <v/>
      </c>
      <c r="AZ748" t="str">
        <f>IF(ISNUMBER(FIND("arbeid",Methode_Keuze)),"",IF(Tb_Activiteiten[[#This Row],[Arbeidskosten - vast tarief (excl eigen arbeid)]]=1,Tb_Activiteiten[[#Headers],[Arbeidskosten - vast tarief (excl eigen arbeid)]],""))</f>
        <v/>
      </c>
      <c r="BA748" t="str">
        <f>IF(ISNUMBER(FIND("overige",Methode_Keuze)),"",IF(Tb_Activiteiten[[#This Row],[Overige kosten]]=1,Tb_Activiteiten[[#Headers],[Overige kosten]],""))</f>
        <v/>
      </c>
    </row>
    <row r="749" spans="1:53" x14ac:dyDescent="0.25">
      <c r="A749" s="231"/>
      <c r="F749" s="64"/>
      <c r="G749" s="64"/>
      <c r="H749" s="275"/>
      <c r="I749" s="275"/>
      <c r="J749" s="275"/>
      <c r="K749" s="275"/>
      <c r="O749" s="56"/>
      <c r="Q749" t="str">
        <f>IFERROR(IF(VLOOKUP(Tb_Activiteiten[[#This Row],[Openstelling]],Tb_Openstelling[],2,0)=1,1,""),"")</f>
        <v/>
      </c>
      <c r="AK749" t="str">
        <f>IF(ISNUMBER(FIND("arbeid",Methode_Keuze)),"",IF(ISNUMBER(FIND("arbeid",Methode_Keuze)),"",IF(Tb_Activiteiten[[#This Row],[Loonkosten]]=1,Tb_Activiteiten[[#Headers],[Loonkosten]],"")))</f>
        <v/>
      </c>
      <c r="AL749" t="str">
        <f>IF(ISNUMBER(FIND("arbeid",Methode_Keuze)),"",IF(ISNUMBER(FIND("arbeid",Methode_Keuze)),"",IF(Tb_Activiteiten[[#This Row],[Eigen arbeid]]=1,Tb_Activiteiten[[#Headers],[Eigen arbeid]],"")))</f>
        <v/>
      </c>
      <c r="AM749" t="str">
        <f>IF(ISNUMBER(FIND("arbeid",Methode_Keuze)),"",IF(ISNUMBER(FIND("arbeid",Methode_Keuze)),"",IF(Tb_Activiteiten[[#This Row],[Projectmedewerker]]=1,Tb_Activiteiten[[#Headers],[Projectmedewerker]],"")))</f>
        <v/>
      </c>
      <c r="AN749" t="str">
        <f>IF(ISNUMBER(FIND("arbeid",Methode_Keuze)),"",IF(ISNUMBER(FIND("arbeid",Methode_Keuze)),"",IF(Tb_Activiteiten[[#This Row],[Landbouwer]]=1,Tb_Activiteiten[[#Headers],[Landbouwer]],"")))</f>
        <v/>
      </c>
      <c r="AO749" t="str">
        <f>IF(ISNUMBER(FIND("arbeid",Methode_Keuze)),"",IF(ISNUMBER(FIND("arbeid",Methode_Keuze)),"",IF(Tb_Activiteiten[[#This Row],[Adviseur]]=1,Tb_Activiteiten[[#Headers],[Adviseur]],"")))</f>
        <v/>
      </c>
      <c r="AP749" t="str">
        <f>IF(ISNUMBER(FIND("arbeid",Methode_Keuze)),"",IF(ISNUMBER(FIND("arbeid",Methode_Keuze)),"",IF(Tb_Activiteiten[[#This Row],[Projectleider/Expert]]=1,Tb_Activiteiten[[#Headers],[Projectleider/Expert]],"")))</f>
        <v/>
      </c>
      <c r="AQ749" t="str">
        <f>IF(ISNUMBER(FIND("arbeid",Methode_Keuze)),"",IF(ISNUMBER(FIND("arbeid",Methode_Keuze)),"",IF(Tb_Activiteiten[[#This Row],[Arbeidskosten]]=1,Tb_Activiteiten[[#Headers],[Arbeidskosten]],"")))</f>
        <v/>
      </c>
      <c r="AR749" t="str">
        <f>IF(ISNUMBER(FIND("arbeid",Methode_Keuze)),"",IF(ISNUMBER(FIND("arbeid",Methode_Keuze)),"",IF(Tb_Activiteiten[[#This Row],[Arbeidskosten op basis van IKS]]=1,Tb_Activiteiten[[#Headers],[Arbeidskosten op basis van IKS]],"")))</f>
        <v/>
      </c>
      <c r="AS749" t="str">
        <f>IF(ISNUMBER(FIND("overige",Methode_Keuze)),"",IF(Tb_Activiteiten[[#This Row],[Kosten derden exclusief btw]]=1,Tb_Activiteiten[[#Headers],[Kosten derden exclusief btw]],""))</f>
        <v/>
      </c>
      <c r="AT749" t="str">
        <f>IF(ISNUMBER(FIND("overige",Methode_Keuze)),"",IF(Tb_Activiteiten[[#This Row],[Niet verrekenbare btw]]=1,Tb_Activiteiten[[#Headers],[Niet verrekenbare btw]],""))</f>
        <v/>
      </c>
      <c r="AU749" t="str">
        <f>IF(ISNUMBER(FIND("overige",Methode_Keuze)),"",IF(Tb_Activiteiten[[#This Row],[Grondkosten]]=1,Tb_Activiteiten[[#Headers],[Grondkosten]],""))</f>
        <v/>
      </c>
      <c r="AV749" t="str">
        <f>IF(ISNUMBER(FIND("overige",Methode_Keuze)),"",IF(Tb_Activiteiten[[#This Row],[Bijdrage in natura (overige)]]=1,Tb_Activiteiten[[#Headers],[Bijdrage in natura (overige)]],""))</f>
        <v/>
      </c>
      <c r="AW749" t="str">
        <f>IF(ISNUMBER(FIND("overige",Methode_Keuze)),"",IF(Tb_Activiteiten[[#This Row],[Bijdrage in natura (vrijwilligers)]]=1,Tb_Activiteiten[[#Headers],[Bijdrage in natura (vrijwilligers)]],""))</f>
        <v/>
      </c>
      <c r="AX749" t="str">
        <f>IF(ISNUMBER(FIND("overige",Methode_Keuze)),"",IF(Tb_Activiteiten[[#This Row],[Afschrijvingskosten]]=1,Tb_Activiteiten[[#Headers],[Afschrijvingskosten]],""))</f>
        <v/>
      </c>
      <c r="AY749" t="str">
        <f>IF(ISNUMBER(FIND("overige",Methode_Keuze)),"",IF(Tb_Activiteiten[[#This Row],[Vergoeding]]=1,Tb_Activiteiten[[#Headers],[Vergoeding]],""))</f>
        <v/>
      </c>
      <c r="AZ749" t="str">
        <f>IF(ISNUMBER(FIND("arbeid",Methode_Keuze)),"",IF(Tb_Activiteiten[[#This Row],[Arbeidskosten - vast tarief (excl eigen arbeid)]]=1,Tb_Activiteiten[[#Headers],[Arbeidskosten - vast tarief (excl eigen arbeid)]],""))</f>
        <v/>
      </c>
      <c r="BA749" t="str">
        <f>IF(ISNUMBER(FIND("overige",Methode_Keuze)),"",IF(Tb_Activiteiten[[#This Row],[Overige kosten]]=1,Tb_Activiteiten[[#Headers],[Overige kosten]],""))</f>
        <v/>
      </c>
    </row>
    <row r="750" spans="1:53" x14ac:dyDescent="0.25">
      <c r="A750" s="231"/>
      <c r="F750" s="64"/>
      <c r="G750" s="64"/>
      <c r="H750" s="275"/>
      <c r="I750" s="275"/>
      <c r="J750" s="275"/>
      <c r="K750" s="275"/>
      <c r="O750" s="56"/>
      <c r="Q750" t="str">
        <f>IFERROR(IF(VLOOKUP(Tb_Activiteiten[[#This Row],[Openstelling]],Tb_Openstelling[],2,0)=1,1,""),"")</f>
        <v/>
      </c>
      <c r="AK750" t="str">
        <f>IF(ISNUMBER(FIND("arbeid",Methode_Keuze)),"",IF(ISNUMBER(FIND("arbeid",Methode_Keuze)),"",IF(Tb_Activiteiten[[#This Row],[Loonkosten]]=1,Tb_Activiteiten[[#Headers],[Loonkosten]],"")))</f>
        <v/>
      </c>
      <c r="AL750" t="str">
        <f>IF(ISNUMBER(FIND("arbeid",Methode_Keuze)),"",IF(ISNUMBER(FIND("arbeid",Methode_Keuze)),"",IF(Tb_Activiteiten[[#This Row],[Eigen arbeid]]=1,Tb_Activiteiten[[#Headers],[Eigen arbeid]],"")))</f>
        <v/>
      </c>
      <c r="AM750" t="str">
        <f>IF(ISNUMBER(FIND("arbeid",Methode_Keuze)),"",IF(ISNUMBER(FIND("arbeid",Methode_Keuze)),"",IF(Tb_Activiteiten[[#This Row],[Projectmedewerker]]=1,Tb_Activiteiten[[#Headers],[Projectmedewerker]],"")))</f>
        <v/>
      </c>
      <c r="AN750" t="str">
        <f>IF(ISNUMBER(FIND("arbeid",Methode_Keuze)),"",IF(ISNUMBER(FIND("arbeid",Methode_Keuze)),"",IF(Tb_Activiteiten[[#This Row],[Landbouwer]]=1,Tb_Activiteiten[[#Headers],[Landbouwer]],"")))</f>
        <v/>
      </c>
      <c r="AO750" t="str">
        <f>IF(ISNUMBER(FIND("arbeid",Methode_Keuze)),"",IF(ISNUMBER(FIND("arbeid",Methode_Keuze)),"",IF(Tb_Activiteiten[[#This Row],[Adviseur]]=1,Tb_Activiteiten[[#Headers],[Adviseur]],"")))</f>
        <v/>
      </c>
      <c r="AP750" t="str">
        <f>IF(ISNUMBER(FIND("arbeid",Methode_Keuze)),"",IF(ISNUMBER(FIND("arbeid",Methode_Keuze)),"",IF(Tb_Activiteiten[[#This Row],[Projectleider/Expert]]=1,Tb_Activiteiten[[#Headers],[Projectleider/Expert]],"")))</f>
        <v/>
      </c>
      <c r="AQ750" t="str">
        <f>IF(ISNUMBER(FIND("arbeid",Methode_Keuze)),"",IF(ISNUMBER(FIND("arbeid",Methode_Keuze)),"",IF(Tb_Activiteiten[[#This Row],[Arbeidskosten]]=1,Tb_Activiteiten[[#Headers],[Arbeidskosten]],"")))</f>
        <v/>
      </c>
      <c r="AR750" t="str">
        <f>IF(ISNUMBER(FIND("arbeid",Methode_Keuze)),"",IF(ISNUMBER(FIND("arbeid",Methode_Keuze)),"",IF(Tb_Activiteiten[[#This Row],[Arbeidskosten op basis van IKS]]=1,Tb_Activiteiten[[#Headers],[Arbeidskosten op basis van IKS]],"")))</f>
        <v/>
      </c>
      <c r="AS750" t="str">
        <f>IF(ISNUMBER(FIND("overige",Methode_Keuze)),"",IF(Tb_Activiteiten[[#This Row],[Kosten derden exclusief btw]]=1,Tb_Activiteiten[[#Headers],[Kosten derden exclusief btw]],""))</f>
        <v/>
      </c>
      <c r="AT750" t="str">
        <f>IF(ISNUMBER(FIND("overige",Methode_Keuze)),"",IF(Tb_Activiteiten[[#This Row],[Niet verrekenbare btw]]=1,Tb_Activiteiten[[#Headers],[Niet verrekenbare btw]],""))</f>
        <v/>
      </c>
      <c r="AU750" t="str">
        <f>IF(ISNUMBER(FIND("overige",Methode_Keuze)),"",IF(Tb_Activiteiten[[#This Row],[Grondkosten]]=1,Tb_Activiteiten[[#Headers],[Grondkosten]],""))</f>
        <v/>
      </c>
      <c r="AV750" t="str">
        <f>IF(ISNUMBER(FIND("overige",Methode_Keuze)),"",IF(Tb_Activiteiten[[#This Row],[Bijdrage in natura (overige)]]=1,Tb_Activiteiten[[#Headers],[Bijdrage in natura (overige)]],""))</f>
        <v/>
      </c>
      <c r="AW750" t="str">
        <f>IF(ISNUMBER(FIND("overige",Methode_Keuze)),"",IF(Tb_Activiteiten[[#This Row],[Bijdrage in natura (vrijwilligers)]]=1,Tb_Activiteiten[[#Headers],[Bijdrage in natura (vrijwilligers)]],""))</f>
        <v/>
      </c>
      <c r="AX750" t="str">
        <f>IF(ISNUMBER(FIND("overige",Methode_Keuze)),"",IF(Tb_Activiteiten[[#This Row],[Afschrijvingskosten]]=1,Tb_Activiteiten[[#Headers],[Afschrijvingskosten]],""))</f>
        <v/>
      </c>
      <c r="AY750" t="str">
        <f>IF(ISNUMBER(FIND("overige",Methode_Keuze)),"",IF(Tb_Activiteiten[[#This Row],[Vergoeding]]=1,Tb_Activiteiten[[#Headers],[Vergoeding]],""))</f>
        <v/>
      </c>
      <c r="AZ750" t="str">
        <f>IF(ISNUMBER(FIND("arbeid",Methode_Keuze)),"",IF(Tb_Activiteiten[[#This Row],[Arbeidskosten - vast tarief (excl eigen arbeid)]]=1,Tb_Activiteiten[[#Headers],[Arbeidskosten - vast tarief (excl eigen arbeid)]],""))</f>
        <v/>
      </c>
      <c r="BA750" t="str">
        <f>IF(ISNUMBER(FIND("overige",Methode_Keuze)),"",IF(Tb_Activiteiten[[#This Row],[Overige kosten]]=1,Tb_Activiteiten[[#Headers],[Overige kosten]],""))</f>
        <v/>
      </c>
    </row>
    <row r="751" spans="1:53" x14ac:dyDescent="0.25">
      <c r="A751" s="231"/>
      <c r="F751" s="64"/>
      <c r="G751" s="64"/>
      <c r="H751" s="275"/>
      <c r="I751" s="275"/>
      <c r="J751" s="275"/>
      <c r="K751" s="275"/>
      <c r="O751" s="56"/>
      <c r="Q751" t="str">
        <f>IFERROR(IF(VLOOKUP(Tb_Activiteiten[[#This Row],[Openstelling]],Tb_Openstelling[],2,0)=1,1,""),"")</f>
        <v/>
      </c>
      <c r="AK751" t="str">
        <f>IF(ISNUMBER(FIND("arbeid",Methode_Keuze)),"",IF(ISNUMBER(FIND("arbeid",Methode_Keuze)),"",IF(Tb_Activiteiten[[#This Row],[Loonkosten]]=1,Tb_Activiteiten[[#Headers],[Loonkosten]],"")))</f>
        <v/>
      </c>
      <c r="AL751" t="str">
        <f>IF(ISNUMBER(FIND("arbeid",Methode_Keuze)),"",IF(ISNUMBER(FIND("arbeid",Methode_Keuze)),"",IF(Tb_Activiteiten[[#This Row],[Eigen arbeid]]=1,Tb_Activiteiten[[#Headers],[Eigen arbeid]],"")))</f>
        <v/>
      </c>
      <c r="AM751" t="str">
        <f>IF(ISNUMBER(FIND("arbeid",Methode_Keuze)),"",IF(ISNUMBER(FIND("arbeid",Methode_Keuze)),"",IF(Tb_Activiteiten[[#This Row],[Projectmedewerker]]=1,Tb_Activiteiten[[#Headers],[Projectmedewerker]],"")))</f>
        <v/>
      </c>
      <c r="AN751" t="str">
        <f>IF(ISNUMBER(FIND("arbeid",Methode_Keuze)),"",IF(ISNUMBER(FIND("arbeid",Methode_Keuze)),"",IF(Tb_Activiteiten[[#This Row],[Landbouwer]]=1,Tb_Activiteiten[[#Headers],[Landbouwer]],"")))</f>
        <v/>
      </c>
      <c r="AO751" t="str">
        <f>IF(ISNUMBER(FIND("arbeid",Methode_Keuze)),"",IF(ISNUMBER(FIND("arbeid",Methode_Keuze)),"",IF(Tb_Activiteiten[[#This Row],[Adviseur]]=1,Tb_Activiteiten[[#Headers],[Adviseur]],"")))</f>
        <v/>
      </c>
      <c r="AP751" t="str">
        <f>IF(ISNUMBER(FIND("arbeid",Methode_Keuze)),"",IF(ISNUMBER(FIND("arbeid",Methode_Keuze)),"",IF(Tb_Activiteiten[[#This Row],[Projectleider/Expert]]=1,Tb_Activiteiten[[#Headers],[Projectleider/Expert]],"")))</f>
        <v/>
      </c>
      <c r="AQ751" t="str">
        <f>IF(ISNUMBER(FIND("arbeid",Methode_Keuze)),"",IF(ISNUMBER(FIND("arbeid",Methode_Keuze)),"",IF(Tb_Activiteiten[[#This Row],[Arbeidskosten]]=1,Tb_Activiteiten[[#Headers],[Arbeidskosten]],"")))</f>
        <v/>
      </c>
      <c r="AR751" t="str">
        <f>IF(ISNUMBER(FIND("arbeid",Methode_Keuze)),"",IF(ISNUMBER(FIND("arbeid",Methode_Keuze)),"",IF(Tb_Activiteiten[[#This Row],[Arbeidskosten op basis van IKS]]=1,Tb_Activiteiten[[#Headers],[Arbeidskosten op basis van IKS]],"")))</f>
        <v/>
      </c>
      <c r="AS751" t="str">
        <f>IF(ISNUMBER(FIND("overige",Methode_Keuze)),"",IF(Tb_Activiteiten[[#This Row],[Kosten derden exclusief btw]]=1,Tb_Activiteiten[[#Headers],[Kosten derden exclusief btw]],""))</f>
        <v/>
      </c>
      <c r="AT751" t="str">
        <f>IF(ISNUMBER(FIND("overige",Methode_Keuze)),"",IF(Tb_Activiteiten[[#This Row],[Niet verrekenbare btw]]=1,Tb_Activiteiten[[#Headers],[Niet verrekenbare btw]],""))</f>
        <v/>
      </c>
      <c r="AU751" t="str">
        <f>IF(ISNUMBER(FIND("overige",Methode_Keuze)),"",IF(Tb_Activiteiten[[#This Row],[Grondkosten]]=1,Tb_Activiteiten[[#Headers],[Grondkosten]],""))</f>
        <v/>
      </c>
      <c r="AV751" t="str">
        <f>IF(ISNUMBER(FIND("overige",Methode_Keuze)),"",IF(Tb_Activiteiten[[#This Row],[Bijdrage in natura (overige)]]=1,Tb_Activiteiten[[#Headers],[Bijdrage in natura (overige)]],""))</f>
        <v/>
      </c>
      <c r="AW751" t="str">
        <f>IF(ISNUMBER(FIND("overige",Methode_Keuze)),"",IF(Tb_Activiteiten[[#This Row],[Bijdrage in natura (vrijwilligers)]]=1,Tb_Activiteiten[[#Headers],[Bijdrage in natura (vrijwilligers)]],""))</f>
        <v/>
      </c>
      <c r="AX751" t="str">
        <f>IF(ISNUMBER(FIND("overige",Methode_Keuze)),"",IF(Tb_Activiteiten[[#This Row],[Afschrijvingskosten]]=1,Tb_Activiteiten[[#Headers],[Afschrijvingskosten]],""))</f>
        <v/>
      </c>
      <c r="AY751" t="str">
        <f>IF(ISNUMBER(FIND("overige",Methode_Keuze)),"",IF(Tb_Activiteiten[[#This Row],[Vergoeding]]=1,Tb_Activiteiten[[#Headers],[Vergoeding]],""))</f>
        <v/>
      </c>
      <c r="AZ751" t="str">
        <f>IF(ISNUMBER(FIND("arbeid",Methode_Keuze)),"",IF(Tb_Activiteiten[[#This Row],[Arbeidskosten - vast tarief (excl eigen arbeid)]]=1,Tb_Activiteiten[[#Headers],[Arbeidskosten - vast tarief (excl eigen arbeid)]],""))</f>
        <v/>
      </c>
      <c r="BA751" t="str">
        <f>IF(ISNUMBER(FIND("overige",Methode_Keuze)),"",IF(Tb_Activiteiten[[#This Row],[Overige kosten]]=1,Tb_Activiteiten[[#Headers],[Overige kosten]],""))</f>
        <v/>
      </c>
    </row>
    <row r="752" spans="1:53" x14ac:dyDescent="0.25">
      <c r="A752" s="231"/>
      <c r="F752" s="64"/>
      <c r="G752" s="64"/>
      <c r="H752" s="275"/>
      <c r="I752" s="275"/>
      <c r="J752" s="275"/>
      <c r="K752" s="275"/>
      <c r="O752" s="56"/>
      <c r="Q752" t="str">
        <f>IFERROR(IF(VLOOKUP(Tb_Activiteiten[[#This Row],[Openstelling]],Tb_Openstelling[],2,0)=1,1,""),"")</f>
        <v/>
      </c>
      <c r="AK752" t="str">
        <f>IF(ISNUMBER(FIND("arbeid",Methode_Keuze)),"",IF(ISNUMBER(FIND("arbeid",Methode_Keuze)),"",IF(Tb_Activiteiten[[#This Row],[Loonkosten]]=1,Tb_Activiteiten[[#Headers],[Loonkosten]],"")))</f>
        <v/>
      </c>
      <c r="AL752" t="str">
        <f>IF(ISNUMBER(FIND("arbeid",Methode_Keuze)),"",IF(ISNUMBER(FIND("arbeid",Methode_Keuze)),"",IF(Tb_Activiteiten[[#This Row],[Eigen arbeid]]=1,Tb_Activiteiten[[#Headers],[Eigen arbeid]],"")))</f>
        <v/>
      </c>
      <c r="AM752" t="str">
        <f>IF(ISNUMBER(FIND("arbeid",Methode_Keuze)),"",IF(ISNUMBER(FIND("arbeid",Methode_Keuze)),"",IF(Tb_Activiteiten[[#This Row],[Projectmedewerker]]=1,Tb_Activiteiten[[#Headers],[Projectmedewerker]],"")))</f>
        <v/>
      </c>
      <c r="AN752" t="str">
        <f>IF(ISNUMBER(FIND("arbeid",Methode_Keuze)),"",IF(ISNUMBER(FIND("arbeid",Methode_Keuze)),"",IF(Tb_Activiteiten[[#This Row],[Landbouwer]]=1,Tb_Activiteiten[[#Headers],[Landbouwer]],"")))</f>
        <v/>
      </c>
      <c r="AO752" t="str">
        <f>IF(ISNUMBER(FIND("arbeid",Methode_Keuze)),"",IF(ISNUMBER(FIND("arbeid",Methode_Keuze)),"",IF(Tb_Activiteiten[[#This Row],[Adviseur]]=1,Tb_Activiteiten[[#Headers],[Adviseur]],"")))</f>
        <v/>
      </c>
      <c r="AP752" t="str">
        <f>IF(ISNUMBER(FIND("arbeid",Methode_Keuze)),"",IF(ISNUMBER(FIND("arbeid",Methode_Keuze)),"",IF(Tb_Activiteiten[[#This Row],[Projectleider/Expert]]=1,Tb_Activiteiten[[#Headers],[Projectleider/Expert]],"")))</f>
        <v/>
      </c>
      <c r="AQ752" t="str">
        <f>IF(ISNUMBER(FIND("arbeid",Methode_Keuze)),"",IF(ISNUMBER(FIND("arbeid",Methode_Keuze)),"",IF(Tb_Activiteiten[[#This Row],[Arbeidskosten]]=1,Tb_Activiteiten[[#Headers],[Arbeidskosten]],"")))</f>
        <v/>
      </c>
      <c r="AR752" t="str">
        <f>IF(ISNUMBER(FIND("arbeid",Methode_Keuze)),"",IF(ISNUMBER(FIND("arbeid",Methode_Keuze)),"",IF(Tb_Activiteiten[[#This Row],[Arbeidskosten op basis van IKS]]=1,Tb_Activiteiten[[#Headers],[Arbeidskosten op basis van IKS]],"")))</f>
        <v/>
      </c>
      <c r="AS752" t="str">
        <f>IF(ISNUMBER(FIND("overige",Methode_Keuze)),"",IF(Tb_Activiteiten[[#This Row],[Kosten derden exclusief btw]]=1,Tb_Activiteiten[[#Headers],[Kosten derden exclusief btw]],""))</f>
        <v/>
      </c>
      <c r="AT752" t="str">
        <f>IF(ISNUMBER(FIND("overige",Methode_Keuze)),"",IF(Tb_Activiteiten[[#This Row],[Niet verrekenbare btw]]=1,Tb_Activiteiten[[#Headers],[Niet verrekenbare btw]],""))</f>
        <v/>
      </c>
      <c r="AU752" t="str">
        <f>IF(ISNUMBER(FIND("overige",Methode_Keuze)),"",IF(Tb_Activiteiten[[#This Row],[Grondkosten]]=1,Tb_Activiteiten[[#Headers],[Grondkosten]],""))</f>
        <v/>
      </c>
      <c r="AV752" t="str">
        <f>IF(ISNUMBER(FIND("overige",Methode_Keuze)),"",IF(Tb_Activiteiten[[#This Row],[Bijdrage in natura (overige)]]=1,Tb_Activiteiten[[#Headers],[Bijdrage in natura (overige)]],""))</f>
        <v/>
      </c>
      <c r="AW752" t="str">
        <f>IF(ISNUMBER(FIND("overige",Methode_Keuze)),"",IF(Tb_Activiteiten[[#This Row],[Bijdrage in natura (vrijwilligers)]]=1,Tb_Activiteiten[[#Headers],[Bijdrage in natura (vrijwilligers)]],""))</f>
        <v/>
      </c>
      <c r="AX752" t="str">
        <f>IF(ISNUMBER(FIND("overige",Methode_Keuze)),"",IF(Tb_Activiteiten[[#This Row],[Afschrijvingskosten]]=1,Tb_Activiteiten[[#Headers],[Afschrijvingskosten]],""))</f>
        <v/>
      </c>
      <c r="AY752" t="str">
        <f>IF(ISNUMBER(FIND("overige",Methode_Keuze)),"",IF(Tb_Activiteiten[[#This Row],[Vergoeding]]=1,Tb_Activiteiten[[#Headers],[Vergoeding]],""))</f>
        <v/>
      </c>
      <c r="AZ752" t="str">
        <f>IF(ISNUMBER(FIND("arbeid",Methode_Keuze)),"",IF(Tb_Activiteiten[[#This Row],[Arbeidskosten - vast tarief (excl eigen arbeid)]]=1,Tb_Activiteiten[[#Headers],[Arbeidskosten - vast tarief (excl eigen arbeid)]],""))</f>
        <v/>
      </c>
      <c r="BA752" t="str">
        <f>IF(ISNUMBER(FIND("overige",Methode_Keuze)),"",IF(Tb_Activiteiten[[#This Row],[Overige kosten]]=1,Tb_Activiteiten[[#Headers],[Overige kosten]],""))</f>
        <v/>
      </c>
    </row>
    <row r="753" spans="1:53" x14ac:dyDescent="0.25">
      <c r="A753" s="231"/>
      <c r="F753" s="64"/>
      <c r="G753" s="64"/>
      <c r="H753" s="275"/>
      <c r="I753" s="275"/>
      <c r="J753" s="275"/>
      <c r="K753" s="275"/>
      <c r="O753" s="56"/>
      <c r="Q753" t="str">
        <f>IFERROR(IF(VLOOKUP(Tb_Activiteiten[[#This Row],[Openstelling]],Tb_Openstelling[],2,0)=1,1,""),"")</f>
        <v/>
      </c>
      <c r="AK753" t="str">
        <f>IF(ISNUMBER(FIND("arbeid",Methode_Keuze)),"",IF(ISNUMBER(FIND("arbeid",Methode_Keuze)),"",IF(Tb_Activiteiten[[#This Row],[Loonkosten]]=1,Tb_Activiteiten[[#Headers],[Loonkosten]],"")))</f>
        <v/>
      </c>
      <c r="AL753" t="str">
        <f>IF(ISNUMBER(FIND("arbeid",Methode_Keuze)),"",IF(ISNUMBER(FIND("arbeid",Methode_Keuze)),"",IF(Tb_Activiteiten[[#This Row],[Eigen arbeid]]=1,Tb_Activiteiten[[#Headers],[Eigen arbeid]],"")))</f>
        <v/>
      </c>
      <c r="AM753" t="str">
        <f>IF(ISNUMBER(FIND("arbeid",Methode_Keuze)),"",IF(ISNUMBER(FIND("arbeid",Methode_Keuze)),"",IF(Tb_Activiteiten[[#This Row],[Projectmedewerker]]=1,Tb_Activiteiten[[#Headers],[Projectmedewerker]],"")))</f>
        <v/>
      </c>
      <c r="AN753" t="str">
        <f>IF(ISNUMBER(FIND("arbeid",Methode_Keuze)),"",IF(ISNUMBER(FIND("arbeid",Methode_Keuze)),"",IF(Tb_Activiteiten[[#This Row],[Landbouwer]]=1,Tb_Activiteiten[[#Headers],[Landbouwer]],"")))</f>
        <v/>
      </c>
      <c r="AO753" t="str">
        <f>IF(ISNUMBER(FIND("arbeid",Methode_Keuze)),"",IF(ISNUMBER(FIND("arbeid",Methode_Keuze)),"",IF(Tb_Activiteiten[[#This Row],[Adviseur]]=1,Tb_Activiteiten[[#Headers],[Adviseur]],"")))</f>
        <v/>
      </c>
      <c r="AP753" t="str">
        <f>IF(ISNUMBER(FIND("arbeid",Methode_Keuze)),"",IF(ISNUMBER(FIND("arbeid",Methode_Keuze)),"",IF(Tb_Activiteiten[[#This Row],[Projectleider/Expert]]=1,Tb_Activiteiten[[#Headers],[Projectleider/Expert]],"")))</f>
        <v/>
      </c>
      <c r="AQ753" t="str">
        <f>IF(ISNUMBER(FIND("arbeid",Methode_Keuze)),"",IF(ISNUMBER(FIND("arbeid",Methode_Keuze)),"",IF(Tb_Activiteiten[[#This Row],[Arbeidskosten]]=1,Tb_Activiteiten[[#Headers],[Arbeidskosten]],"")))</f>
        <v/>
      </c>
      <c r="AR753" t="str">
        <f>IF(ISNUMBER(FIND("arbeid",Methode_Keuze)),"",IF(ISNUMBER(FIND("arbeid",Methode_Keuze)),"",IF(Tb_Activiteiten[[#This Row],[Arbeidskosten op basis van IKS]]=1,Tb_Activiteiten[[#Headers],[Arbeidskosten op basis van IKS]],"")))</f>
        <v/>
      </c>
      <c r="AS753" t="str">
        <f>IF(ISNUMBER(FIND("overige",Methode_Keuze)),"",IF(Tb_Activiteiten[[#This Row],[Kosten derden exclusief btw]]=1,Tb_Activiteiten[[#Headers],[Kosten derden exclusief btw]],""))</f>
        <v/>
      </c>
      <c r="AT753" t="str">
        <f>IF(ISNUMBER(FIND("overige",Methode_Keuze)),"",IF(Tb_Activiteiten[[#This Row],[Niet verrekenbare btw]]=1,Tb_Activiteiten[[#Headers],[Niet verrekenbare btw]],""))</f>
        <v/>
      </c>
      <c r="AU753" t="str">
        <f>IF(ISNUMBER(FIND("overige",Methode_Keuze)),"",IF(Tb_Activiteiten[[#This Row],[Grondkosten]]=1,Tb_Activiteiten[[#Headers],[Grondkosten]],""))</f>
        <v/>
      </c>
      <c r="AV753" t="str">
        <f>IF(ISNUMBER(FIND("overige",Methode_Keuze)),"",IF(Tb_Activiteiten[[#This Row],[Bijdrage in natura (overige)]]=1,Tb_Activiteiten[[#Headers],[Bijdrage in natura (overige)]],""))</f>
        <v/>
      </c>
      <c r="AW753" t="str">
        <f>IF(ISNUMBER(FIND("overige",Methode_Keuze)),"",IF(Tb_Activiteiten[[#This Row],[Bijdrage in natura (vrijwilligers)]]=1,Tb_Activiteiten[[#Headers],[Bijdrage in natura (vrijwilligers)]],""))</f>
        <v/>
      </c>
      <c r="AX753" t="str">
        <f>IF(ISNUMBER(FIND("overige",Methode_Keuze)),"",IF(Tb_Activiteiten[[#This Row],[Afschrijvingskosten]]=1,Tb_Activiteiten[[#Headers],[Afschrijvingskosten]],""))</f>
        <v/>
      </c>
      <c r="AY753" t="str">
        <f>IF(ISNUMBER(FIND("overige",Methode_Keuze)),"",IF(Tb_Activiteiten[[#This Row],[Vergoeding]]=1,Tb_Activiteiten[[#Headers],[Vergoeding]],""))</f>
        <v/>
      </c>
      <c r="AZ753" t="str">
        <f>IF(ISNUMBER(FIND("arbeid",Methode_Keuze)),"",IF(Tb_Activiteiten[[#This Row],[Arbeidskosten - vast tarief (excl eigen arbeid)]]=1,Tb_Activiteiten[[#Headers],[Arbeidskosten - vast tarief (excl eigen arbeid)]],""))</f>
        <v/>
      </c>
      <c r="BA753" t="str">
        <f>IF(ISNUMBER(FIND("overige",Methode_Keuze)),"",IF(Tb_Activiteiten[[#This Row],[Overige kosten]]=1,Tb_Activiteiten[[#Headers],[Overige kosten]],""))</f>
        <v/>
      </c>
    </row>
    <row r="754" spans="1:53" x14ac:dyDescent="0.25">
      <c r="A754" s="231"/>
      <c r="F754" s="64"/>
      <c r="G754" s="64"/>
      <c r="H754" s="275"/>
      <c r="I754" s="275"/>
      <c r="J754" s="275"/>
      <c r="K754" s="275"/>
      <c r="O754" s="56"/>
      <c r="Q754" t="str">
        <f>IFERROR(IF(VLOOKUP(Tb_Activiteiten[[#This Row],[Openstelling]],Tb_Openstelling[],2,0)=1,1,""),"")</f>
        <v/>
      </c>
      <c r="AK754" t="str">
        <f>IF(ISNUMBER(FIND("arbeid",Methode_Keuze)),"",IF(ISNUMBER(FIND("arbeid",Methode_Keuze)),"",IF(Tb_Activiteiten[[#This Row],[Loonkosten]]=1,Tb_Activiteiten[[#Headers],[Loonkosten]],"")))</f>
        <v/>
      </c>
      <c r="AL754" t="str">
        <f>IF(ISNUMBER(FIND("arbeid",Methode_Keuze)),"",IF(ISNUMBER(FIND("arbeid",Methode_Keuze)),"",IF(Tb_Activiteiten[[#This Row],[Eigen arbeid]]=1,Tb_Activiteiten[[#Headers],[Eigen arbeid]],"")))</f>
        <v/>
      </c>
      <c r="AM754" t="str">
        <f>IF(ISNUMBER(FIND("arbeid",Methode_Keuze)),"",IF(ISNUMBER(FIND("arbeid",Methode_Keuze)),"",IF(Tb_Activiteiten[[#This Row],[Projectmedewerker]]=1,Tb_Activiteiten[[#Headers],[Projectmedewerker]],"")))</f>
        <v/>
      </c>
      <c r="AN754" t="str">
        <f>IF(ISNUMBER(FIND("arbeid",Methode_Keuze)),"",IF(ISNUMBER(FIND("arbeid",Methode_Keuze)),"",IF(Tb_Activiteiten[[#This Row],[Landbouwer]]=1,Tb_Activiteiten[[#Headers],[Landbouwer]],"")))</f>
        <v/>
      </c>
      <c r="AO754" t="str">
        <f>IF(ISNUMBER(FIND("arbeid",Methode_Keuze)),"",IF(ISNUMBER(FIND("arbeid",Methode_Keuze)),"",IF(Tb_Activiteiten[[#This Row],[Adviseur]]=1,Tb_Activiteiten[[#Headers],[Adviseur]],"")))</f>
        <v/>
      </c>
      <c r="AP754" t="str">
        <f>IF(ISNUMBER(FIND("arbeid",Methode_Keuze)),"",IF(ISNUMBER(FIND("arbeid",Methode_Keuze)),"",IF(Tb_Activiteiten[[#This Row],[Projectleider/Expert]]=1,Tb_Activiteiten[[#Headers],[Projectleider/Expert]],"")))</f>
        <v/>
      </c>
      <c r="AQ754" t="str">
        <f>IF(ISNUMBER(FIND("arbeid",Methode_Keuze)),"",IF(ISNUMBER(FIND("arbeid",Methode_Keuze)),"",IF(Tb_Activiteiten[[#This Row],[Arbeidskosten]]=1,Tb_Activiteiten[[#Headers],[Arbeidskosten]],"")))</f>
        <v/>
      </c>
      <c r="AR754" t="str">
        <f>IF(ISNUMBER(FIND("arbeid",Methode_Keuze)),"",IF(ISNUMBER(FIND("arbeid",Methode_Keuze)),"",IF(Tb_Activiteiten[[#This Row],[Arbeidskosten op basis van IKS]]=1,Tb_Activiteiten[[#Headers],[Arbeidskosten op basis van IKS]],"")))</f>
        <v/>
      </c>
      <c r="AS754" t="str">
        <f>IF(ISNUMBER(FIND("overige",Methode_Keuze)),"",IF(Tb_Activiteiten[[#This Row],[Kosten derden exclusief btw]]=1,Tb_Activiteiten[[#Headers],[Kosten derden exclusief btw]],""))</f>
        <v/>
      </c>
      <c r="AT754" t="str">
        <f>IF(ISNUMBER(FIND("overige",Methode_Keuze)),"",IF(Tb_Activiteiten[[#This Row],[Niet verrekenbare btw]]=1,Tb_Activiteiten[[#Headers],[Niet verrekenbare btw]],""))</f>
        <v/>
      </c>
      <c r="AU754" t="str">
        <f>IF(ISNUMBER(FIND("overige",Methode_Keuze)),"",IF(Tb_Activiteiten[[#This Row],[Grondkosten]]=1,Tb_Activiteiten[[#Headers],[Grondkosten]],""))</f>
        <v/>
      </c>
      <c r="AV754" t="str">
        <f>IF(ISNUMBER(FIND("overige",Methode_Keuze)),"",IF(Tb_Activiteiten[[#This Row],[Bijdrage in natura (overige)]]=1,Tb_Activiteiten[[#Headers],[Bijdrage in natura (overige)]],""))</f>
        <v/>
      </c>
      <c r="AW754" t="str">
        <f>IF(ISNUMBER(FIND("overige",Methode_Keuze)),"",IF(Tb_Activiteiten[[#This Row],[Bijdrage in natura (vrijwilligers)]]=1,Tb_Activiteiten[[#Headers],[Bijdrage in natura (vrijwilligers)]],""))</f>
        <v/>
      </c>
      <c r="AX754" t="str">
        <f>IF(ISNUMBER(FIND("overige",Methode_Keuze)),"",IF(Tb_Activiteiten[[#This Row],[Afschrijvingskosten]]=1,Tb_Activiteiten[[#Headers],[Afschrijvingskosten]],""))</f>
        <v/>
      </c>
      <c r="AY754" t="str">
        <f>IF(ISNUMBER(FIND("overige",Methode_Keuze)),"",IF(Tb_Activiteiten[[#This Row],[Vergoeding]]=1,Tb_Activiteiten[[#Headers],[Vergoeding]],""))</f>
        <v/>
      </c>
      <c r="AZ754" t="str">
        <f>IF(ISNUMBER(FIND("arbeid",Methode_Keuze)),"",IF(Tb_Activiteiten[[#This Row],[Arbeidskosten - vast tarief (excl eigen arbeid)]]=1,Tb_Activiteiten[[#Headers],[Arbeidskosten - vast tarief (excl eigen arbeid)]],""))</f>
        <v/>
      </c>
      <c r="BA754" t="str">
        <f>IF(ISNUMBER(FIND("overige",Methode_Keuze)),"",IF(Tb_Activiteiten[[#This Row],[Overige kosten]]=1,Tb_Activiteiten[[#Headers],[Overige kosten]],""))</f>
        <v/>
      </c>
    </row>
    <row r="755" spans="1:53" x14ac:dyDescent="0.25">
      <c r="A755" s="231"/>
      <c r="F755" s="64"/>
      <c r="G755" s="64"/>
      <c r="H755" s="275"/>
      <c r="I755" s="275"/>
      <c r="J755" s="275"/>
      <c r="K755" s="275"/>
      <c r="O755" s="56"/>
      <c r="Q755" t="str">
        <f>IFERROR(IF(VLOOKUP(Tb_Activiteiten[[#This Row],[Openstelling]],Tb_Openstelling[],2,0)=1,1,""),"")</f>
        <v/>
      </c>
      <c r="AK755" t="str">
        <f>IF(ISNUMBER(FIND("arbeid",Methode_Keuze)),"",IF(ISNUMBER(FIND("arbeid",Methode_Keuze)),"",IF(Tb_Activiteiten[[#This Row],[Loonkosten]]=1,Tb_Activiteiten[[#Headers],[Loonkosten]],"")))</f>
        <v/>
      </c>
      <c r="AL755" t="str">
        <f>IF(ISNUMBER(FIND("arbeid",Methode_Keuze)),"",IF(ISNUMBER(FIND("arbeid",Methode_Keuze)),"",IF(Tb_Activiteiten[[#This Row],[Eigen arbeid]]=1,Tb_Activiteiten[[#Headers],[Eigen arbeid]],"")))</f>
        <v/>
      </c>
      <c r="AM755" t="str">
        <f>IF(ISNUMBER(FIND("arbeid",Methode_Keuze)),"",IF(ISNUMBER(FIND("arbeid",Methode_Keuze)),"",IF(Tb_Activiteiten[[#This Row],[Projectmedewerker]]=1,Tb_Activiteiten[[#Headers],[Projectmedewerker]],"")))</f>
        <v/>
      </c>
      <c r="AN755" t="str">
        <f>IF(ISNUMBER(FIND("arbeid",Methode_Keuze)),"",IF(ISNUMBER(FIND("arbeid",Methode_Keuze)),"",IF(Tb_Activiteiten[[#This Row],[Landbouwer]]=1,Tb_Activiteiten[[#Headers],[Landbouwer]],"")))</f>
        <v/>
      </c>
      <c r="AO755" t="str">
        <f>IF(ISNUMBER(FIND("arbeid",Methode_Keuze)),"",IF(ISNUMBER(FIND("arbeid",Methode_Keuze)),"",IF(Tb_Activiteiten[[#This Row],[Adviseur]]=1,Tb_Activiteiten[[#Headers],[Adviseur]],"")))</f>
        <v/>
      </c>
      <c r="AP755" t="str">
        <f>IF(ISNUMBER(FIND("arbeid",Methode_Keuze)),"",IF(ISNUMBER(FIND("arbeid",Methode_Keuze)),"",IF(Tb_Activiteiten[[#This Row],[Projectleider/Expert]]=1,Tb_Activiteiten[[#Headers],[Projectleider/Expert]],"")))</f>
        <v/>
      </c>
      <c r="AQ755" t="str">
        <f>IF(ISNUMBER(FIND("arbeid",Methode_Keuze)),"",IF(ISNUMBER(FIND("arbeid",Methode_Keuze)),"",IF(Tb_Activiteiten[[#This Row],[Arbeidskosten]]=1,Tb_Activiteiten[[#Headers],[Arbeidskosten]],"")))</f>
        <v/>
      </c>
      <c r="AR755" t="str">
        <f>IF(ISNUMBER(FIND("arbeid",Methode_Keuze)),"",IF(ISNUMBER(FIND("arbeid",Methode_Keuze)),"",IF(Tb_Activiteiten[[#This Row],[Arbeidskosten op basis van IKS]]=1,Tb_Activiteiten[[#Headers],[Arbeidskosten op basis van IKS]],"")))</f>
        <v/>
      </c>
      <c r="AS755" t="str">
        <f>IF(ISNUMBER(FIND("overige",Methode_Keuze)),"",IF(Tb_Activiteiten[[#This Row],[Kosten derden exclusief btw]]=1,Tb_Activiteiten[[#Headers],[Kosten derden exclusief btw]],""))</f>
        <v/>
      </c>
      <c r="AT755" t="str">
        <f>IF(ISNUMBER(FIND("overige",Methode_Keuze)),"",IF(Tb_Activiteiten[[#This Row],[Niet verrekenbare btw]]=1,Tb_Activiteiten[[#Headers],[Niet verrekenbare btw]],""))</f>
        <v/>
      </c>
      <c r="AU755" t="str">
        <f>IF(ISNUMBER(FIND("overige",Methode_Keuze)),"",IF(Tb_Activiteiten[[#This Row],[Grondkosten]]=1,Tb_Activiteiten[[#Headers],[Grondkosten]],""))</f>
        <v/>
      </c>
      <c r="AV755" t="str">
        <f>IF(ISNUMBER(FIND("overige",Methode_Keuze)),"",IF(Tb_Activiteiten[[#This Row],[Bijdrage in natura (overige)]]=1,Tb_Activiteiten[[#Headers],[Bijdrage in natura (overige)]],""))</f>
        <v/>
      </c>
      <c r="AW755" t="str">
        <f>IF(ISNUMBER(FIND("overige",Methode_Keuze)),"",IF(Tb_Activiteiten[[#This Row],[Bijdrage in natura (vrijwilligers)]]=1,Tb_Activiteiten[[#Headers],[Bijdrage in natura (vrijwilligers)]],""))</f>
        <v/>
      </c>
      <c r="AX755" t="str">
        <f>IF(ISNUMBER(FIND("overige",Methode_Keuze)),"",IF(Tb_Activiteiten[[#This Row],[Afschrijvingskosten]]=1,Tb_Activiteiten[[#Headers],[Afschrijvingskosten]],""))</f>
        <v/>
      </c>
      <c r="AY755" t="str">
        <f>IF(ISNUMBER(FIND("overige",Methode_Keuze)),"",IF(Tb_Activiteiten[[#This Row],[Vergoeding]]=1,Tb_Activiteiten[[#Headers],[Vergoeding]],""))</f>
        <v/>
      </c>
      <c r="AZ755" t="str">
        <f>IF(ISNUMBER(FIND("arbeid",Methode_Keuze)),"",IF(Tb_Activiteiten[[#This Row],[Arbeidskosten - vast tarief (excl eigen arbeid)]]=1,Tb_Activiteiten[[#Headers],[Arbeidskosten - vast tarief (excl eigen arbeid)]],""))</f>
        <v/>
      </c>
      <c r="BA755" t="str">
        <f>IF(ISNUMBER(FIND("overige",Methode_Keuze)),"",IF(Tb_Activiteiten[[#This Row],[Overige kosten]]=1,Tb_Activiteiten[[#Headers],[Overige kosten]],""))</f>
        <v/>
      </c>
    </row>
    <row r="756" spans="1:53" x14ac:dyDescent="0.25">
      <c r="A756" s="231"/>
      <c r="F756" s="64"/>
      <c r="G756" s="64"/>
      <c r="H756" s="275"/>
      <c r="I756" s="275"/>
      <c r="J756" s="275"/>
      <c r="K756" s="275"/>
      <c r="O756" s="56"/>
      <c r="Q756" t="str">
        <f>IFERROR(IF(VLOOKUP(Tb_Activiteiten[[#This Row],[Openstelling]],Tb_Openstelling[],2,0)=1,1,""),"")</f>
        <v/>
      </c>
      <c r="AK756" t="str">
        <f>IF(ISNUMBER(FIND("arbeid",Methode_Keuze)),"",IF(ISNUMBER(FIND("arbeid",Methode_Keuze)),"",IF(Tb_Activiteiten[[#This Row],[Loonkosten]]=1,Tb_Activiteiten[[#Headers],[Loonkosten]],"")))</f>
        <v/>
      </c>
      <c r="AL756" t="str">
        <f>IF(ISNUMBER(FIND("arbeid",Methode_Keuze)),"",IF(ISNUMBER(FIND("arbeid",Methode_Keuze)),"",IF(Tb_Activiteiten[[#This Row],[Eigen arbeid]]=1,Tb_Activiteiten[[#Headers],[Eigen arbeid]],"")))</f>
        <v/>
      </c>
      <c r="AM756" t="str">
        <f>IF(ISNUMBER(FIND("arbeid",Methode_Keuze)),"",IF(ISNUMBER(FIND("arbeid",Methode_Keuze)),"",IF(Tb_Activiteiten[[#This Row],[Projectmedewerker]]=1,Tb_Activiteiten[[#Headers],[Projectmedewerker]],"")))</f>
        <v/>
      </c>
      <c r="AN756" t="str">
        <f>IF(ISNUMBER(FIND("arbeid",Methode_Keuze)),"",IF(ISNUMBER(FIND("arbeid",Methode_Keuze)),"",IF(Tb_Activiteiten[[#This Row],[Landbouwer]]=1,Tb_Activiteiten[[#Headers],[Landbouwer]],"")))</f>
        <v/>
      </c>
      <c r="AO756" t="str">
        <f>IF(ISNUMBER(FIND("arbeid",Methode_Keuze)),"",IF(ISNUMBER(FIND("arbeid",Methode_Keuze)),"",IF(Tb_Activiteiten[[#This Row],[Adviseur]]=1,Tb_Activiteiten[[#Headers],[Adviseur]],"")))</f>
        <v/>
      </c>
      <c r="AP756" t="str">
        <f>IF(ISNUMBER(FIND("arbeid",Methode_Keuze)),"",IF(ISNUMBER(FIND("arbeid",Methode_Keuze)),"",IF(Tb_Activiteiten[[#This Row],[Projectleider/Expert]]=1,Tb_Activiteiten[[#Headers],[Projectleider/Expert]],"")))</f>
        <v/>
      </c>
      <c r="AQ756" t="str">
        <f>IF(ISNUMBER(FIND("arbeid",Methode_Keuze)),"",IF(ISNUMBER(FIND("arbeid",Methode_Keuze)),"",IF(Tb_Activiteiten[[#This Row],[Arbeidskosten]]=1,Tb_Activiteiten[[#Headers],[Arbeidskosten]],"")))</f>
        <v/>
      </c>
      <c r="AR756" t="str">
        <f>IF(ISNUMBER(FIND("arbeid",Methode_Keuze)),"",IF(ISNUMBER(FIND("arbeid",Methode_Keuze)),"",IF(Tb_Activiteiten[[#This Row],[Arbeidskosten op basis van IKS]]=1,Tb_Activiteiten[[#Headers],[Arbeidskosten op basis van IKS]],"")))</f>
        <v/>
      </c>
      <c r="AS756" t="str">
        <f>IF(ISNUMBER(FIND("overige",Methode_Keuze)),"",IF(Tb_Activiteiten[[#This Row],[Kosten derden exclusief btw]]=1,Tb_Activiteiten[[#Headers],[Kosten derden exclusief btw]],""))</f>
        <v/>
      </c>
      <c r="AT756" t="str">
        <f>IF(ISNUMBER(FIND("overige",Methode_Keuze)),"",IF(Tb_Activiteiten[[#This Row],[Niet verrekenbare btw]]=1,Tb_Activiteiten[[#Headers],[Niet verrekenbare btw]],""))</f>
        <v/>
      </c>
      <c r="AU756" t="str">
        <f>IF(ISNUMBER(FIND("overige",Methode_Keuze)),"",IF(Tb_Activiteiten[[#This Row],[Grondkosten]]=1,Tb_Activiteiten[[#Headers],[Grondkosten]],""))</f>
        <v/>
      </c>
      <c r="AV756" t="str">
        <f>IF(ISNUMBER(FIND("overige",Methode_Keuze)),"",IF(Tb_Activiteiten[[#This Row],[Bijdrage in natura (overige)]]=1,Tb_Activiteiten[[#Headers],[Bijdrage in natura (overige)]],""))</f>
        <v/>
      </c>
      <c r="AW756" t="str">
        <f>IF(ISNUMBER(FIND("overige",Methode_Keuze)),"",IF(Tb_Activiteiten[[#This Row],[Bijdrage in natura (vrijwilligers)]]=1,Tb_Activiteiten[[#Headers],[Bijdrage in natura (vrijwilligers)]],""))</f>
        <v/>
      </c>
      <c r="AX756" t="str">
        <f>IF(ISNUMBER(FIND("overige",Methode_Keuze)),"",IF(Tb_Activiteiten[[#This Row],[Afschrijvingskosten]]=1,Tb_Activiteiten[[#Headers],[Afschrijvingskosten]],""))</f>
        <v/>
      </c>
      <c r="AY756" t="str">
        <f>IF(ISNUMBER(FIND("overige",Methode_Keuze)),"",IF(Tb_Activiteiten[[#This Row],[Vergoeding]]=1,Tb_Activiteiten[[#Headers],[Vergoeding]],""))</f>
        <v/>
      </c>
      <c r="AZ756" t="str">
        <f>IF(ISNUMBER(FIND("arbeid",Methode_Keuze)),"",IF(Tb_Activiteiten[[#This Row],[Arbeidskosten - vast tarief (excl eigen arbeid)]]=1,Tb_Activiteiten[[#Headers],[Arbeidskosten - vast tarief (excl eigen arbeid)]],""))</f>
        <v/>
      </c>
      <c r="BA756" t="str">
        <f>IF(ISNUMBER(FIND("overige",Methode_Keuze)),"",IF(Tb_Activiteiten[[#This Row],[Overige kosten]]=1,Tb_Activiteiten[[#Headers],[Overige kosten]],""))</f>
        <v/>
      </c>
    </row>
    <row r="757" spans="1:53" x14ac:dyDescent="0.25">
      <c r="A757" s="231"/>
      <c r="F757" s="64"/>
      <c r="G757" s="64"/>
      <c r="H757" s="275"/>
      <c r="I757" s="275"/>
      <c r="J757" s="275"/>
      <c r="K757" s="275"/>
      <c r="O757" s="56"/>
      <c r="Q757" t="str">
        <f>IFERROR(IF(VLOOKUP(Tb_Activiteiten[[#This Row],[Openstelling]],Tb_Openstelling[],2,0)=1,1,""),"")</f>
        <v/>
      </c>
      <c r="AK757" t="str">
        <f>IF(ISNUMBER(FIND("arbeid",Methode_Keuze)),"",IF(ISNUMBER(FIND("arbeid",Methode_Keuze)),"",IF(Tb_Activiteiten[[#This Row],[Loonkosten]]=1,Tb_Activiteiten[[#Headers],[Loonkosten]],"")))</f>
        <v/>
      </c>
      <c r="AL757" t="str">
        <f>IF(ISNUMBER(FIND("arbeid",Methode_Keuze)),"",IF(ISNUMBER(FIND("arbeid",Methode_Keuze)),"",IF(Tb_Activiteiten[[#This Row],[Eigen arbeid]]=1,Tb_Activiteiten[[#Headers],[Eigen arbeid]],"")))</f>
        <v/>
      </c>
      <c r="AM757" t="str">
        <f>IF(ISNUMBER(FIND("arbeid",Methode_Keuze)),"",IF(ISNUMBER(FIND("arbeid",Methode_Keuze)),"",IF(Tb_Activiteiten[[#This Row],[Projectmedewerker]]=1,Tb_Activiteiten[[#Headers],[Projectmedewerker]],"")))</f>
        <v/>
      </c>
      <c r="AN757" t="str">
        <f>IF(ISNUMBER(FIND("arbeid",Methode_Keuze)),"",IF(ISNUMBER(FIND("arbeid",Methode_Keuze)),"",IF(Tb_Activiteiten[[#This Row],[Landbouwer]]=1,Tb_Activiteiten[[#Headers],[Landbouwer]],"")))</f>
        <v/>
      </c>
      <c r="AO757" t="str">
        <f>IF(ISNUMBER(FIND("arbeid",Methode_Keuze)),"",IF(ISNUMBER(FIND("arbeid",Methode_Keuze)),"",IF(Tb_Activiteiten[[#This Row],[Adviseur]]=1,Tb_Activiteiten[[#Headers],[Adviseur]],"")))</f>
        <v/>
      </c>
      <c r="AP757" t="str">
        <f>IF(ISNUMBER(FIND("arbeid",Methode_Keuze)),"",IF(ISNUMBER(FIND("arbeid",Methode_Keuze)),"",IF(Tb_Activiteiten[[#This Row],[Projectleider/Expert]]=1,Tb_Activiteiten[[#Headers],[Projectleider/Expert]],"")))</f>
        <v/>
      </c>
      <c r="AQ757" t="str">
        <f>IF(ISNUMBER(FIND("arbeid",Methode_Keuze)),"",IF(ISNUMBER(FIND("arbeid",Methode_Keuze)),"",IF(Tb_Activiteiten[[#This Row],[Arbeidskosten]]=1,Tb_Activiteiten[[#Headers],[Arbeidskosten]],"")))</f>
        <v/>
      </c>
      <c r="AR757" t="str">
        <f>IF(ISNUMBER(FIND("arbeid",Methode_Keuze)),"",IF(ISNUMBER(FIND("arbeid",Methode_Keuze)),"",IF(Tb_Activiteiten[[#This Row],[Arbeidskosten op basis van IKS]]=1,Tb_Activiteiten[[#Headers],[Arbeidskosten op basis van IKS]],"")))</f>
        <v/>
      </c>
      <c r="AS757" t="str">
        <f>IF(ISNUMBER(FIND("overige",Methode_Keuze)),"",IF(Tb_Activiteiten[[#This Row],[Kosten derden exclusief btw]]=1,Tb_Activiteiten[[#Headers],[Kosten derden exclusief btw]],""))</f>
        <v/>
      </c>
      <c r="AT757" t="str">
        <f>IF(ISNUMBER(FIND("overige",Methode_Keuze)),"",IF(Tb_Activiteiten[[#This Row],[Niet verrekenbare btw]]=1,Tb_Activiteiten[[#Headers],[Niet verrekenbare btw]],""))</f>
        <v/>
      </c>
      <c r="AU757" t="str">
        <f>IF(ISNUMBER(FIND("overige",Methode_Keuze)),"",IF(Tb_Activiteiten[[#This Row],[Grondkosten]]=1,Tb_Activiteiten[[#Headers],[Grondkosten]],""))</f>
        <v/>
      </c>
      <c r="AV757" t="str">
        <f>IF(ISNUMBER(FIND("overige",Methode_Keuze)),"",IF(Tb_Activiteiten[[#This Row],[Bijdrage in natura (overige)]]=1,Tb_Activiteiten[[#Headers],[Bijdrage in natura (overige)]],""))</f>
        <v/>
      </c>
      <c r="AW757" t="str">
        <f>IF(ISNUMBER(FIND("overige",Methode_Keuze)),"",IF(Tb_Activiteiten[[#This Row],[Bijdrage in natura (vrijwilligers)]]=1,Tb_Activiteiten[[#Headers],[Bijdrage in natura (vrijwilligers)]],""))</f>
        <v/>
      </c>
      <c r="AX757" t="str">
        <f>IF(ISNUMBER(FIND("overige",Methode_Keuze)),"",IF(Tb_Activiteiten[[#This Row],[Afschrijvingskosten]]=1,Tb_Activiteiten[[#Headers],[Afschrijvingskosten]],""))</f>
        <v/>
      </c>
      <c r="AY757" t="str">
        <f>IF(ISNUMBER(FIND("overige",Methode_Keuze)),"",IF(Tb_Activiteiten[[#This Row],[Vergoeding]]=1,Tb_Activiteiten[[#Headers],[Vergoeding]],""))</f>
        <v/>
      </c>
      <c r="AZ757" t="str">
        <f>IF(ISNUMBER(FIND("arbeid",Methode_Keuze)),"",IF(Tb_Activiteiten[[#This Row],[Arbeidskosten - vast tarief (excl eigen arbeid)]]=1,Tb_Activiteiten[[#Headers],[Arbeidskosten - vast tarief (excl eigen arbeid)]],""))</f>
        <v/>
      </c>
      <c r="BA757" t="str">
        <f>IF(ISNUMBER(FIND("overige",Methode_Keuze)),"",IF(Tb_Activiteiten[[#This Row],[Overige kosten]]=1,Tb_Activiteiten[[#Headers],[Overige kosten]],""))</f>
        <v/>
      </c>
    </row>
    <row r="758" spans="1:53" x14ac:dyDescent="0.25">
      <c r="A758" s="231"/>
      <c r="F758" s="64"/>
      <c r="G758" s="64"/>
      <c r="H758" s="275"/>
      <c r="I758" s="275"/>
      <c r="J758" s="275"/>
      <c r="K758" s="275"/>
      <c r="O758" s="56"/>
      <c r="Q758" t="str">
        <f>IFERROR(IF(VLOOKUP(Tb_Activiteiten[[#This Row],[Openstelling]],Tb_Openstelling[],2,0)=1,1,""),"")</f>
        <v/>
      </c>
      <c r="AK758" t="str">
        <f>IF(ISNUMBER(FIND("arbeid",Methode_Keuze)),"",IF(ISNUMBER(FIND("arbeid",Methode_Keuze)),"",IF(Tb_Activiteiten[[#This Row],[Loonkosten]]=1,Tb_Activiteiten[[#Headers],[Loonkosten]],"")))</f>
        <v/>
      </c>
      <c r="AL758" t="str">
        <f>IF(ISNUMBER(FIND("arbeid",Methode_Keuze)),"",IF(ISNUMBER(FIND("arbeid",Methode_Keuze)),"",IF(Tb_Activiteiten[[#This Row],[Eigen arbeid]]=1,Tb_Activiteiten[[#Headers],[Eigen arbeid]],"")))</f>
        <v/>
      </c>
      <c r="AM758" t="str">
        <f>IF(ISNUMBER(FIND("arbeid",Methode_Keuze)),"",IF(ISNUMBER(FIND("arbeid",Methode_Keuze)),"",IF(Tb_Activiteiten[[#This Row],[Projectmedewerker]]=1,Tb_Activiteiten[[#Headers],[Projectmedewerker]],"")))</f>
        <v/>
      </c>
      <c r="AN758" t="str">
        <f>IF(ISNUMBER(FIND("arbeid",Methode_Keuze)),"",IF(ISNUMBER(FIND("arbeid",Methode_Keuze)),"",IF(Tb_Activiteiten[[#This Row],[Landbouwer]]=1,Tb_Activiteiten[[#Headers],[Landbouwer]],"")))</f>
        <v/>
      </c>
      <c r="AO758" t="str">
        <f>IF(ISNUMBER(FIND("arbeid",Methode_Keuze)),"",IF(ISNUMBER(FIND("arbeid",Methode_Keuze)),"",IF(Tb_Activiteiten[[#This Row],[Adviseur]]=1,Tb_Activiteiten[[#Headers],[Adviseur]],"")))</f>
        <v/>
      </c>
      <c r="AP758" t="str">
        <f>IF(ISNUMBER(FIND("arbeid",Methode_Keuze)),"",IF(ISNUMBER(FIND("arbeid",Methode_Keuze)),"",IF(Tb_Activiteiten[[#This Row],[Projectleider/Expert]]=1,Tb_Activiteiten[[#Headers],[Projectleider/Expert]],"")))</f>
        <v/>
      </c>
      <c r="AQ758" t="str">
        <f>IF(ISNUMBER(FIND("arbeid",Methode_Keuze)),"",IF(ISNUMBER(FIND("arbeid",Methode_Keuze)),"",IF(Tb_Activiteiten[[#This Row],[Arbeidskosten]]=1,Tb_Activiteiten[[#Headers],[Arbeidskosten]],"")))</f>
        <v/>
      </c>
      <c r="AR758" t="str">
        <f>IF(ISNUMBER(FIND("arbeid",Methode_Keuze)),"",IF(ISNUMBER(FIND("arbeid",Methode_Keuze)),"",IF(Tb_Activiteiten[[#This Row],[Arbeidskosten op basis van IKS]]=1,Tb_Activiteiten[[#Headers],[Arbeidskosten op basis van IKS]],"")))</f>
        <v/>
      </c>
      <c r="AS758" t="str">
        <f>IF(ISNUMBER(FIND("overige",Methode_Keuze)),"",IF(Tb_Activiteiten[[#This Row],[Kosten derden exclusief btw]]=1,Tb_Activiteiten[[#Headers],[Kosten derden exclusief btw]],""))</f>
        <v/>
      </c>
      <c r="AT758" t="str">
        <f>IF(ISNUMBER(FIND("overige",Methode_Keuze)),"",IF(Tb_Activiteiten[[#This Row],[Niet verrekenbare btw]]=1,Tb_Activiteiten[[#Headers],[Niet verrekenbare btw]],""))</f>
        <v/>
      </c>
      <c r="AU758" t="str">
        <f>IF(ISNUMBER(FIND("overige",Methode_Keuze)),"",IF(Tb_Activiteiten[[#This Row],[Grondkosten]]=1,Tb_Activiteiten[[#Headers],[Grondkosten]],""))</f>
        <v/>
      </c>
      <c r="AV758" t="str">
        <f>IF(ISNUMBER(FIND("overige",Methode_Keuze)),"",IF(Tb_Activiteiten[[#This Row],[Bijdrage in natura (overige)]]=1,Tb_Activiteiten[[#Headers],[Bijdrage in natura (overige)]],""))</f>
        <v/>
      </c>
      <c r="AW758" t="str">
        <f>IF(ISNUMBER(FIND("overige",Methode_Keuze)),"",IF(Tb_Activiteiten[[#This Row],[Bijdrage in natura (vrijwilligers)]]=1,Tb_Activiteiten[[#Headers],[Bijdrage in natura (vrijwilligers)]],""))</f>
        <v/>
      </c>
      <c r="AX758" t="str">
        <f>IF(ISNUMBER(FIND("overige",Methode_Keuze)),"",IF(Tb_Activiteiten[[#This Row],[Afschrijvingskosten]]=1,Tb_Activiteiten[[#Headers],[Afschrijvingskosten]],""))</f>
        <v/>
      </c>
      <c r="AY758" t="str">
        <f>IF(ISNUMBER(FIND("overige",Methode_Keuze)),"",IF(Tb_Activiteiten[[#This Row],[Vergoeding]]=1,Tb_Activiteiten[[#Headers],[Vergoeding]],""))</f>
        <v/>
      </c>
      <c r="AZ758" t="str">
        <f>IF(ISNUMBER(FIND("arbeid",Methode_Keuze)),"",IF(Tb_Activiteiten[[#This Row],[Arbeidskosten - vast tarief (excl eigen arbeid)]]=1,Tb_Activiteiten[[#Headers],[Arbeidskosten - vast tarief (excl eigen arbeid)]],""))</f>
        <v/>
      </c>
      <c r="BA758" t="str">
        <f>IF(ISNUMBER(FIND("overige",Methode_Keuze)),"",IF(Tb_Activiteiten[[#This Row],[Overige kosten]]=1,Tb_Activiteiten[[#Headers],[Overige kosten]],""))</f>
        <v/>
      </c>
    </row>
    <row r="759" spans="1:53" x14ac:dyDescent="0.25">
      <c r="A759" s="231"/>
      <c r="F759" s="64"/>
      <c r="G759" s="64"/>
      <c r="H759" s="275"/>
      <c r="I759" s="275"/>
      <c r="J759" s="275"/>
      <c r="K759" s="275"/>
      <c r="O759" s="56"/>
      <c r="Q759" t="str">
        <f>IFERROR(IF(VLOOKUP(Tb_Activiteiten[[#This Row],[Openstelling]],Tb_Openstelling[],2,0)=1,1,""),"")</f>
        <v/>
      </c>
      <c r="AK759" t="str">
        <f>IF(ISNUMBER(FIND("arbeid",Methode_Keuze)),"",IF(ISNUMBER(FIND("arbeid",Methode_Keuze)),"",IF(Tb_Activiteiten[[#This Row],[Loonkosten]]=1,Tb_Activiteiten[[#Headers],[Loonkosten]],"")))</f>
        <v/>
      </c>
      <c r="AL759" t="str">
        <f>IF(ISNUMBER(FIND("arbeid",Methode_Keuze)),"",IF(ISNUMBER(FIND("arbeid",Methode_Keuze)),"",IF(Tb_Activiteiten[[#This Row],[Eigen arbeid]]=1,Tb_Activiteiten[[#Headers],[Eigen arbeid]],"")))</f>
        <v/>
      </c>
      <c r="AM759" t="str">
        <f>IF(ISNUMBER(FIND("arbeid",Methode_Keuze)),"",IF(ISNUMBER(FIND("arbeid",Methode_Keuze)),"",IF(Tb_Activiteiten[[#This Row],[Projectmedewerker]]=1,Tb_Activiteiten[[#Headers],[Projectmedewerker]],"")))</f>
        <v/>
      </c>
      <c r="AN759" t="str">
        <f>IF(ISNUMBER(FIND("arbeid",Methode_Keuze)),"",IF(ISNUMBER(FIND("arbeid",Methode_Keuze)),"",IF(Tb_Activiteiten[[#This Row],[Landbouwer]]=1,Tb_Activiteiten[[#Headers],[Landbouwer]],"")))</f>
        <v/>
      </c>
      <c r="AO759" t="str">
        <f>IF(ISNUMBER(FIND("arbeid",Methode_Keuze)),"",IF(ISNUMBER(FIND("arbeid",Methode_Keuze)),"",IF(Tb_Activiteiten[[#This Row],[Adviseur]]=1,Tb_Activiteiten[[#Headers],[Adviseur]],"")))</f>
        <v/>
      </c>
      <c r="AP759" t="str">
        <f>IF(ISNUMBER(FIND("arbeid",Methode_Keuze)),"",IF(ISNUMBER(FIND("arbeid",Methode_Keuze)),"",IF(Tb_Activiteiten[[#This Row],[Projectleider/Expert]]=1,Tb_Activiteiten[[#Headers],[Projectleider/Expert]],"")))</f>
        <v/>
      </c>
      <c r="AQ759" t="str">
        <f>IF(ISNUMBER(FIND("arbeid",Methode_Keuze)),"",IF(ISNUMBER(FIND("arbeid",Methode_Keuze)),"",IF(Tb_Activiteiten[[#This Row],[Arbeidskosten]]=1,Tb_Activiteiten[[#Headers],[Arbeidskosten]],"")))</f>
        <v/>
      </c>
      <c r="AR759" t="str">
        <f>IF(ISNUMBER(FIND("arbeid",Methode_Keuze)),"",IF(ISNUMBER(FIND("arbeid",Methode_Keuze)),"",IF(Tb_Activiteiten[[#This Row],[Arbeidskosten op basis van IKS]]=1,Tb_Activiteiten[[#Headers],[Arbeidskosten op basis van IKS]],"")))</f>
        <v/>
      </c>
      <c r="AS759" t="str">
        <f>IF(ISNUMBER(FIND("overige",Methode_Keuze)),"",IF(Tb_Activiteiten[[#This Row],[Kosten derden exclusief btw]]=1,Tb_Activiteiten[[#Headers],[Kosten derden exclusief btw]],""))</f>
        <v/>
      </c>
      <c r="AT759" t="str">
        <f>IF(ISNUMBER(FIND("overige",Methode_Keuze)),"",IF(Tb_Activiteiten[[#This Row],[Niet verrekenbare btw]]=1,Tb_Activiteiten[[#Headers],[Niet verrekenbare btw]],""))</f>
        <v/>
      </c>
      <c r="AU759" t="str">
        <f>IF(ISNUMBER(FIND("overige",Methode_Keuze)),"",IF(Tb_Activiteiten[[#This Row],[Grondkosten]]=1,Tb_Activiteiten[[#Headers],[Grondkosten]],""))</f>
        <v/>
      </c>
      <c r="AV759" t="str">
        <f>IF(ISNUMBER(FIND("overige",Methode_Keuze)),"",IF(Tb_Activiteiten[[#This Row],[Bijdrage in natura (overige)]]=1,Tb_Activiteiten[[#Headers],[Bijdrage in natura (overige)]],""))</f>
        <v/>
      </c>
      <c r="AW759" t="str">
        <f>IF(ISNUMBER(FIND("overige",Methode_Keuze)),"",IF(Tb_Activiteiten[[#This Row],[Bijdrage in natura (vrijwilligers)]]=1,Tb_Activiteiten[[#Headers],[Bijdrage in natura (vrijwilligers)]],""))</f>
        <v/>
      </c>
      <c r="AX759" t="str">
        <f>IF(ISNUMBER(FIND("overige",Methode_Keuze)),"",IF(Tb_Activiteiten[[#This Row],[Afschrijvingskosten]]=1,Tb_Activiteiten[[#Headers],[Afschrijvingskosten]],""))</f>
        <v/>
      </c>
      <c r="AY759" t="str">
        <f>IF(ISNUMBER(FIND("overige",Methode_Keuze)),"",IF(Tb_Activiteiten[[#This Row],[Vergoeding]]=1,Tb_Activiteiten[[#Headers],[Vergoeding]],""))</f>
        <v/>
      </c>
      <c r="AZ759" t="str">
        <f>IF(ISNUMBER(FIND("arbeid",Methode_Keuze)),"",IF(Tb_Activiteiten[[#This Row],[Arbeidskosten - vast tarief (excl eigen arbeid)]]=1,Tb_Activiteiten[[#Headers],[Arbeidskosten - vast tarief (excl eigen arbeid)]],""))</f>
        <v/>
      </c>
      <c r="BA759" t="str">
        <f>IF(ISNUMBER(FIND("overige",Methode_Keuze)),"",IF(Tb_Activiteiten[[#This Row],[Overige kosten]]=1,Tb_Activiteiten[[#Headers],[Overige kosten]],""))</f>
        <v/>
      </c>
    </row>
    <row r="760" spans="1:53" x14ac:dyDescent="0.25">
      <c r="A760" s="231"/>
      <c r="F760" s="64"/>
      <c r="G760" s="64"/>
      <c r="H760" s="275"/>
      <c r="I760" s="275"/>
      <c r="J760" s="275"/>
      <c r="K760" s="275"/>
      <c r="O760" s="56"/>
      <c r="Q760" t="str">
        <f>IFERROR(IF(VLOOKUP(Tb_Activiteiten[[#This Row],[Openstelling]],Tb_Openstelling[],2,0)=1,1,""),"")</f>
        <v/>
      </c>
      <c r="AK760" t="str">
        <f>IF(ISNUMBER(FIND("arbeid",Methode_Keuze)),"",IF(ISNUMBER(FIND("arbeid",Methode_Keuze)),"",IF(Tb_Activiteiten[[#This Row],[Loonkosten]]=1,Tb_Activiteiten[[#Headers],[Loonkosten]],"")))</f>
        <v/>
      </c>
      <c r="AL760" t="str">
        <f>IF(ISNUMBER(FIND("arbeid",Methode_Keuze)),"",IF(ISNUMBER(FIND("arbeid",Methode_Keuze)),"",IF(Tb_Activiteiten[[#This Row],[Eigen arbeid]]=1,Tb_Activiteiten[[#Headers],[Eigen arbeid]],"")))</f>
        <v/>
      </c>
      <c r="AM760" t="str">
        <f>IF(ISNUMBER(FIND("arbeid",Methode_Keuze)),"",IF(ISNUMBER(FIND("arbeid",Methode_Keuze)),"",IF(Tb_Activiteiten[[#This Row],[Projectmedewerker]]=1,Tb_Activiteiten[[#Headers],[Projectmedewerker]],"")))</f>
        <v/>
      </c>
      <c r="AN760" t="str">
        <f>IF(ISNUMBER(FIND("arbeid",Methode_Keuze)),"",IF(ISNUMBER(FIND("arbeid",Methode_Keuze)),"",IF(Tb_Activiteiten[[#This Row],[Landbouwer]]=1,Tb_Activiteiten[[#Headers],[Landbouwer]],"")))</f>
        <v/>
      </c>
      <c r="AO760" t="str">
        <f>IF(ISNUMBER(FIND("arbeid",Methode_Keuze)),"",IF(ISNUMBER(FIND("arbeid",Methode_Keuze)),"",IF(Tb_Activiteiten[[#This Row],[Adviseur]]=1,Tb_Activiteiten[[#Headers],[Adviseur]],"")))</f>
        <v/>
      </c>
      <c r="AP760" t="str">
        <f>IF(ISNUMBER(FIND("arbeid",Methode_Keuze)),"",IF(ISNUMBER(FIND("arbeid",Methode_Keuze)),"",IF(Tb_Activiteiten[[#This Row],[Projectleider/Expert]]=1,Tb_Activiteiten[[#Headers],[Projectleider/Expert]],"")))</f>
        <v/>
      </c>
      <c r="AQ760" t="str">
        <f>IF(ISNUMBER(FIND("arbeid",Methode_Keuze)),"",IF(ISNUMBER(FIND("arbeid",Methode_Keuze)),"",IF(Tb_Activiteiten[[#This Row],[Arbeidskosten]]=1,Tb_Activiteiten[[#Headers],[Arbeidskosten]],"")))</f>
        <v/>
      </c>
      <c r="AR760" t="str">
        <f>IF(ISNUMBER(FIND("arbeid",Methode_Keuze)),"",IF(ISNUMBER(FIND("arbeid",Methode_Keuze)),"",IF(Tb_Activiteiten[[#This Row],[Arbeidskosten op basis van IKS]]=1,Tb_Activiteiten[[#Headers],[Arbeidskosten op basis van IKS]],"")))</f>
        <v/>
      </c>
      <c r="AS760" t="str">
        <f>IF(ISNUMBER(FIND("overige",Methode_Keuze)),"",IF(Tb_Activiteiten[[#This Row],[Kosten derden exclusief btw]]=1,Tb_Activiteiten[[#Headers],[Kosten derden exclusief btw]],""))</f>
        <v/>
      </c>
      <c r="AT760" t="str">
        <f>IF(ISNUMBER(FIND("overige",Methode_Keuze)),"",IF(Tb_Activiteiten[[#This Row],[Niet verrekenbare btw]]=1,Tb_Activiteiten[[#Headers],[Niet verrekenbare btw]],""))</f>
        <v/>
      </c>
      <c r="AU760" t="str">
        <f>IF(ISNUMBER(FIND("overige",Methode_Keuze)),"",IF(Tb_Activiteiten[[#This Row],[Grondkosten]]=1,Tb_Activiteiten[[#Headers],[Grondkosten]],""))</f>
        <v/>
      </c>
      <c r="AV760" t="str">
        <f>IF(ISNUMBER(FIND("overige",Methode_Keuze)),"",IF(Tb_Activiteiten[[#This Row],[Bijdrage in natura (overige)]]=1,Tb_Activiteiten[[#Headers],[Bijdrage in natura (overige)]],""))</f>
        <v/>
      </c>
      <c r="AW760" t="str">
        <f>IF(ISNUMBER(FIND("overige",Methode_Keuze)),"",IF(Tb_Activiteiten[[#This Row],[Bijdrage in natura (vrijwilligers)]]=1,Tb_Activiteiten[[#Headers],[Bijdrage in natura (vrijwilligers)]],""))</f>
        <v/>
      </c>
      <c r="AX760" t="str">
        <f>IF(ISNUMBER(FIND("overige",Methode_Keuze)),"",IF(Tb_Activiteiten[[#This Row],[Afschrijvingskosten]]=1,Tb_Activiteiten[[#Headers],[Afschrijvingskosten]],""))</f>
        <v/>
      </c>
      <c r="AY760" t="str">
        <f>IF(ISNUMBER(FIND("overige",Methode_Keuze)),"",IF(Tb_Activiteiten[[#This Row],[Vergoeding]]=1,Tb_Activiteiten[[#Headers],[Vergoeding]],""))</f>
        <v/>
      </c>
      <c r="AZ760" t="str">
        <f>IF(ISNUMBER(FIND("arbeid",Methode_Keuze)),"",IF(Tb_Activiteiten[[#This Row],[Arbeidskosten - vast tarief (excl eigen arbeid)]]=1,Tb_Activiteiten[[#Headers],[Arbeidskosten - vast tarief (excl eigen arbeid)]],""))</f>
        <v/>
      </c>
      <c r="BA760" t="str">
        <f>IF(ISNUMBER(FIND("overige",Methode_Keuze)),"",IF(Tb_Activiteiten[[#This Row],[Overige kosten]]=1,Tb_Activiteiten[[#Headers],[Overige kosten]],""))</f>
        <v/>
      </c>
    </row>
    <row r="761" spans="1:53" x14ac:dyDescent="0.25">
      <c r="A761" s="231"/>
      <c r="F761" s="64"/>
      <c r="G761" s="64"/>
      <c r="H761" s="275"/>
      <c r="I761" s="275"/>
      <c r="J761" s="275"/>
      <c r="K761" s="275"/>
      <c r="O761" s="56"/>
      <c r="Q761" t="str">
        <f>IFERROR(IF(VLOOKUP(Tb_Activiteiten[[#This Row],[Openstelling]],Tb_Openstelling[],2,0)=1,1,""),"")</f>
        <v/>
      </c>
      <c r="AK761" t="str">
        <f>IF(ISNUMBER(FIND("arbeid",Methode_Keuze)),"",IF(ISNUMBER(FIND("arbeid",Methode_Keuze)),"",IF(Tb_Activiteiten[[#This Row],[Loonkosten]]=1,Tb_Activiteiten[[#Headers],[Loonkosten]],"")))</f>
        <v/>
      </c>
      <c r="AL761" t="str">
        <f>IF(ISNUMBER(FIND("arbeid",Methode_Keuze)),"",IF(ISNUMBER(FIND("arbeid",Methode_Keuze)),"",IF(Tb_Activiteiten[[#This Row],[Eigen arbeid]]=1,Tb_Activiteiten[[#Headers],[Eigen arbeid]],"")))</f>
        <v/>
      </c>
      <c r="AM761" t="str">
        <f>IF(ISNUMBER(FIND("arbeid",Methode_Keuze)),"",IF(ISNUMBER(FIND("arbeid",Methode_Keuze)),"",IF(Tb_Activiteiten[[#This Row],[Projectmedewerker]]=1,Tb_Activiteiten[[#Headers],[Projectmedewerker]],"")))</f>
        <v/>
      </c>
      <c r="AN761" t="str">
        <f>IF(ISNUMBER(FIND("arbeid",Methode_Keuze)),"",IF(ISNUMBER(FIND("arbeid",Methode_Keuze)),"",IF(Tb_Activiteiten[[#This Row],[Landbouwer]]=1,Tb_Activiteiten[[#Headers],[Landbouwer]],"")))</f>
        <v/>
      </c>
      <c r="AO761" t="str">
        <f>IF(ISNUMBER(FIND("arbeid",Methode_Keuze)),"",IF(ISNUMBER(FIND("arbeid",Methode_Keuze)),"",IF(Tb_Activiteiten[[#This Row],[Adviseur]]=1,Tb_Activiteiten[[#Headers],[Adviseur]],"")))</f>
        <v/>
      </c>
      <c r="AP761" t="str">
        <f>IF(ISNUMBER(FIND("arbeid",Methode_Keuze)),"",IF(ISNUMBER(FIND("arbeid",Methode_Keuze)),"",IF(Tb_Activiteiten[[#This Row],[Projectleider/Expert]]=1,Tb_Activiteiten[[#Headers],[Projectleider/Expert]],"")))</f>
        <v/>
      </c>
      <c r="AQ761" t="str">
        <f>IF(ISNUMBER(FIND("arbeid",Methode_Keuze)),"",IF(ISNUMBER(FIND("arbeid",Methode_Keuze)),"",IF(Tb_Activiteiten[[#This Row],[Arbeidskosten]]=1,Tb_Activiteiten[[#Headers],[Arbeidskosten]],"")))</f>
        <v/>
      </c>
      <c r="AR761" t="str">
        <f>IF(ISNUMBER(FIND("arbeid",Methode_Keuze)),"",IF(ISNUMBER(FIND("arbeid",Methode_Keuze)),"",IF(Tb_Activiteiten[[#This Row],[Arbeidskosten op basis van IKS]]=1,Tb_Activiteiten[[#Headers],[Arbeidskosten op basis van IKS]],"")))</f>
        <v/>
      </c>
      <c r="AS761" t="str">
        <f>IF(ISNUMBER(FIND("overige",Methode_Keuze)),"",IF(Tb_Activiteiten[[#This Row],[Kosten derden exclusief btw]]=1,Tb_Activiteiten[[#Headers],[Kosten derden exclusief btw]],""))</f>
        <v/>
      </c>
      <c r="AT761" t="str">
        <f>IF(ISNUMBER(FIND("overige",Methode_Keuze)),"",IF(Tb_Activiteiten[[#This Row],[Niet verrekenbare btw]]=1,Tb_Activiteiten[[#Headers],[Niet verrekenbare btw]],""))</f>
        <v/>
      </c>
      <c r="AU761" t="str">
        <f>IF(ISNUMBER(FIND("overige",Methode_Keuze)),"",IF(Tb_Activiteiten[[#This Row],[Grondkosten]]=1,Tb_Activiteiten[[#Headers],[Grondkosten]],""))</f>
        <v/>
      </c>
      <c r="AV761" t="str">
        <f>IF(ISNUMBER(FIND("overige",Methode_Keuze)),"",IF(Tb_Activiteiten[[#This Row],[Bijdrage in natura (overige)]]=1,Tb_Activiteiten[[#Headers],[Bijdrage in natura (overige)]],""))</f>
        <v/>
      </c>
      <c r="AW761" t="str">
        <f>IF(ISNUMBER(FIND("overige",Methode_Keuze)),"",IF(Tb_Activiteiten[[#This Row],[Bijdrage in natura (vrijwilligers)]]=1,Tb_Activiteiten[[#Headers],[Bijdrage in natura (vrijwilligers)]],""))</f>
        <v/>
      </c>
      <c r="AX761" t="str">
        <f>IF(ISNUMBER(FIND("overige",Methode_Keuze)),"",IF(Tb_Activiteiten[[#This Row],[Afschrijvingskosten]]=1,Tb_Activiteiten[[#Headers],[Afschrijvingskosten]],""))</f>
        <v/>
      </c>
      <c r="AY761" t="str">
        <f>IF(ISNUMBER(FIND("overige",Methode_Keuze)),"",IF(Tb_Activiteiten[[#This Row],[Vergoeding]]=1,Tb_Activiteiten[[#Headers],[Vergoeding]],""))</f>
        <v/>
      </c>
      <c r="AZ761" t="str">
        <f>IF(ISNUMBER(FIND("arbeid",Methode_Keuze)),"",IF(Tb_Activiteiten[[#This Row],[Arbeidskosten - vast tarief (excl eigen arbeid)]]=1,Tb_Activiteiten[[#Headers],[Arbeidskosten - vast tarief (excl eigen arbeid)]],""))</f>
        <v/>
      </c>
      <c r="BA761" t="str">
        <f>IF(ISNUMBER(FIND("overige",Methode_Keuze)),"",IF(Tb_Activiteiten[[#This Row],[Overige kosten]]=1,Tb_Activiteiten[[#Headers],[Overige kosten]],""))</f>
        <v/>
      </c>
    </row>
    <row r="762" spans="1:53" x14ac:dyDescent="0.25">
      <c r="A762" s="231"/>
      <c r="F762" s="64"/>
      <c r="G762" s="64"/>
      <c r="H762" s="275"/>
      <c r="I762" s="275"/>
      <c r="J762" s="275"/>
      <c r="K762" s="275"/>
      <c r="O762" s="56"/>
      <c r="Q762" t="str">
        <f>IFERROR(IF(VLOOKUP(Tb_Activiteiten[[#This Row],[Openstelling]],Tb_Openstelling[],2,0)=1,1,""),"")</f>
        <v/>
      </c>
      <c r="AK762" t="str">
        <f>IF(ISNUMBER(FIND("arbeid",Methode_Keuze)),"",IF(ISNUMBER(FIND("arbeid",Methode_Keuze)),"",IF(Tb_Activiteiten[[#This Row],[Loonkosten]]=1,Tb_Activiteiten[[#Headers],[Loonkosten]],"")))</f>
        <v/>
      </c>
      <c r="AL762" t="str">
        <f>IF(ISNUMBER(FIND("arbeid",Methode_Keuze)),"",IF(ISNUMBER(FIND("arbeid",Methode_Keuze)),"",IF(Tb_Activiteiten[[#This Row],[Eigen arbeid]]=1,Tb_Activiteiten[[#Headers],[Eigen arbeid]],"")))</f>
        <v/>
      </c>
      <c r="AM762" t="str">
        <f>IF(ISNUMBER(FIND("arbeid",Methode_Keuze)),"",IF(ISNUMBER(FIND("arbeid",Methode_Keuze)),"",IF(Tb_Activiteiten[[#This Row],[Projectmedewerker]]=1,Tb_Activiteiten[[#Headers],[Projectmedewerker]],"")))</f>
        <v/>
      </c>
      <c r="AN762" t="str">
        <f>IF(ISNUMBER(FIND("arbeid",Methode_Keuze)),"",IF(ISNUMBER(FIND("arbeid",Methode_Keuze)),"",IF(Tb_Activiteiten[[#This Row],[Landbouwer]]=1,Tb_Activiteiten[[#Headers],[Landbouwer]],"")))</f>
        <v/>
      </c>
      <c r="AO762" t="str">
        <f>IF(ISNUMBER(FIND("arbeid",Methode_Keuze)),"",IF(ISNUMBER(FIND("arbeid",Methode_Keuze)),"",IF(Tb_Activiteiten[[#This Row],[Adviseur]]=1,Tb_Activiteiten[[#Headers],[Adviseur]],"")))</f>
        <v/>
      </c>
      <c r="AP762" t="str">
        <f>IF(ISNUMBER(FIND("arbeid",Methode_Keuze)),"",IF(ISNUMBER(FIND("arbeid",Methode_Keuze)),"",IF(Tb_Activiteiten[[#This Row],[Projectleider/Expert]]=1,Tb_Activiteiten[[#Headers],[Projectleider/Expert]],"")))</f>
        <v/>
      </c>
      <c r="AQ762" t="str">
        <f>IF(ISNUMBER(FIND("arbeid",Methode_Keuze)),"",IF(ISNUMBER(FIND("arbeid",Methode_Keuze)),"",IF(Tb_Activiteiten[[#This Row],[Arbeidskosten]]=1,Tb_Activiteiten[[#Headers],[Arbeidskosten]],"")))</f>
        <v/>
      </c>
      <c r="AR762" t="str">
        <f>IF(ISNUMBER(FIND("arbeid",Methode_Keuze)),"",IF(ISNUMBER(FIND("arbeid",Methode_Keuze)),"",IF(Tb_Activiteiten[[#This Row],[Arbeidskosten op basis van IKS]]=1,Tb_Activiteiten[[#Headers],[Arbeidskosten op basis van IKS]],"")))</f>
        <v/>
      </c>
      <c r="AS762" t="str">
        <f>IF(ISNUMBER(FIND("overige",Methode_Keuze)),"",IF(Tb_Activiteiten[[#This Row],[Kosten derden exclusief btw]]=1,Tb_Activiteiten[[#Headers],[Kosten derden exclusief btw]],""))</f>
        <v/>
      </c>
      <c r="AT762" t="str">
        <f>IF(ISNUMBER(FIND("overige",Methode_Keuze)),"",IF(Tb_Activiteiten[[#This Row],[Niet verrekenbare btw]]=1,Tb_Activiteiten[[#Headers],[Niet verrekenbare btw]],""))</f>
        <v/>
      </c>
      <c r="AU762" t="str">
        <f>IF(ISNUMBER(FIND("overige",Methode_Keuze)),"",IF(Tb_Activiteiten[[#This Row],[Grondkosten]]=1,Tb_Activiteiten[[#Headers],[Grondkosten]],""))</f>
        <v/>
      </c>
      <c r="AV762" t="str">
        <f>IF(ISNUMBER(FIND("overige",Methode_Keuze)),"",IF(Tb_Activiteiten[[#This Row],[Bijdrage in natura (overige)]]=1,Tb_Activiteiten[[#Headers],[Bijdrage in natura (overige)]],""))</f>
        <v/>
      </c>
      <c r="AW762" t="str">
        <f>IF(ISNUMBER(FIND("overige",Methode_Keuze)),"",IF(Tb_Activiteiten[[#This Row],[Bijdrage in natura (vrijwilligers)]]=1,Tb_Activiteiten[[#Headers],[Bijdrage in natura (vrijwilligers)]],""))</f>
        <v/>
      </c>
      <c r="AX762" t="str">
        <f>IF(ISNUMBER(FIND("overige",Methode_Keuze)),"",IF(Tb_Activiteiten[[#This Row],[Afschrijvingskosten]]=1,Tb_Activiteiten[[#Headers],[Afschrijvingskosten]],""))</f>
        <v/>
      </c>
      <c r="AY762" t="str">
        <f>IF(ISNUMBER(FIND("overige",Methode_Keuze)),"",IF(Tb_Activiteiten[[#This Row],[Vergoeding]]=1,Tb_Activiteiten[[#Headers],[Vergoeding]],""))</f>
        <v/>
      </c>
      <c r="AZ762" t="str">
        <f>IF(ISNUMBER(FIND("arbeid",Methode_Keuze)),"",IF(Tb_Activiteiten[[#This Row],[Arbeidskosten - vast tarief (excl eigen arbeid)]]=1,Tb_Activiteiten[[#Headers],[Arbeidskosten - vast tarief (excl eigen arbeid)]],""))</f>
        <v/>
      </c>
      <c r="BA762" t="str">
        <f>IF(ISNUMBER(FIND("overige",Methode_Keuze)),"",IF(Tb_Activiteiten[[#This Row],[Overige kosten]]=1,Tb_Activiteiten[[#Headers],[Overige kosten]],""))</f>
        <v/>
      </c>
    </row>
    <row r="763" spans="1:53" x14ac:dyDescent="0.25">
      <c r="A763" s="231"/>
      <c r="F763" s="64"/>
      <c r="G763" s="64"/>
      <c r="H763" s="275"/>
      <c r="I763" s="275"/>
      <c r="J763" s="275"/>
      <c r="K763" s="275"/>
      <c r="O763" s="56"/>
      <c r="Q763" t="str">
        <f>IFERROR(IF(VLOOKUP(Tb_Activiteiten[[#This Row],[Openstelling]],Tb_Openstelling[],2,0)=1,1,""),"")</f>
        <v/>
      </c>
      <c r="AK763" t="str">
        <f>IF(ISNUMBER(FIND("arbeid",Methode_Keuze)),"",IF(ISNUMBER(FIND("arbeid",Methode_Keuze)),"",IF(Tb_Activiteiten[[#This Row],[Loonkosten]]=1,Tb_Activiteiten[[#Headers],[Loonkosten]],"")))</f>
        <v/>
      </c>
      <c r="AL763" t="str">
        <f>IF(ISNUMBER(FIND("arbeid",Methode_Keuze)),"",IF(ISNUMBER(FIND("arbeid",Methode_Keuze)),"",IF(Tb_Activiteiten[[#This Row],[Eigen arbeid]]=1,Tb_Activiteiten[[#Headers],[Eigen arbeid]],"")))</f>
        <v/>
      </c>
      <c r="AM763" t="str">
        <f>IF(ISNUMBER(FIND("arbeid",Methode_Keuze)),"",IF(ISNUMBER(FIND("arbeid",Methode_Keuze)),"",IF(Tb_Activiteiten[[#This Row],[Projectmedewerker]]=1,Tb_Activiteiten[[#Headers],[Projectmedewerker]],"")))</f>
        <v/>
      </c>
      <c r="AN763" t="str">
        <f>IF(ISNUMBER(FIND("arbeid",Methode_Keuze)),"",IF(ISNUMBER(FIND("arbeid",Methode_Keuze)),"",IF(Tb_Activiteiten[[#This Row],[Landbouwer]]=1,Tb_Activiteiten[[#Headers],[Landbouwer]],"")))</f>
        <v/>
      </c>
      <c r="AO763" t="str">
        <f>IF(ISNUMBER(FIND("arbeid",Methode_Keuze)),"",IF(ISNUMBER(FIND("arbeid",Methode_Keuze)),"",IF(Tb_Activiteiten[[#This Row],[Adviseur]]=1,Tb_Activiteiten[[#Headers],[Adviseur]],"")))</f>
        <v/>
      </c>
      <c r="AP763" t="str">
        <f>IF(ISNUMBER(FIND("arbeid",Methode_Keuze)),"",IF(ISNUMBER(FIND("arbeid",Methode_Keuze)),"",IF(Tb_Activiteiten[[#This Row],[Projectleider/Expert]]=1,Tb_Activiteiten[[#Headers],[Projectleider/Expert]],"")))</f>
        <v/>
      </c>
      <c r="AQ763" t="str">
        <f>IF(ISNUMBER(FIND("arbeid",Methode_Keuze)),"",IF(ISNUMBER(FIND("arbeid",Methode_Keuze)),"",IF(Tb_Activiteiten[[#This Row],[Arbeidskosten]]=1,Tb_Activiteiten[[#Headers],[Arbeidskosten]],"")))</f>
        <v/>
      </c>
      <c r="AR763" t="str">
        <f>IF(ISNUMBER(FIND("arbeid",Methode_Keuze)),"",IF(ISNUMBER(FIND("arbeid",Methode_Keuze)),"",IF(Tb_Activiteiten[[#This Row],[Arbeidskosten op basis van IKS]]=1,Tb_Activiteiten[[#Headers],[Arbeidskosten op basis van IKS]],"")))</f>
        <v/>
      </c>
      <c r="AS763" t="str">
        <f>IF(ISNUMBER(FIND("overige",Methode_Keuze)),"",IF(Tb_Activiteiten[[#This Row],[Kosten derden exclusief btw]]=1,Tb_Activiteiten[[#Headers],[Kosten derden exclusief btw]],""))</f>
        <v/>
      </c>
      <c r="AT763" t="str">
        <f>IF(ISNUMBER(FIND("overige",Methode_Keuze)),"",IF(Tb_Activiteiten[[#This Row],[Niet verrekenbare btw]]=1,Tb_Activiteiten[[#Headers],[Niet verrekenbare btw]],""))</f>
        <v/>
      </c>
      <c r="AU763" t="str">
        <f>IF(ISNUMBER(FIND("overige",Methode_Keuze)),"",IF(Tb_Activiteiten[[#This Row],[Grondkosten]]=1,Tb_Activiteiten[[#Headers],[Grondkosten]],""))</f>
        <v/>
      </c>
      <c r="AV763" t="str">
        <f>IF(ISNUMBER(FIND("overige",Methode_Keuze)),"",IF(Tb_Activiteiten[[#This Row],[Bijdrage in natura (overige)]]=1,Tb_Activiteiten[[#Headers],[Bijdrage in natura (overige)]],""))</f>
        <v/>
      </c>
      <c r="AW763" t="str">
        <f>IF(ISNUMBER(FIND("overige",Methode_Keuze)),"",IF(Tb_Activiteiten[[#This Row],[Bijdrage in natura (vrijwilligers)]]=1,Tb_Activiteiten[[#Headers],[Bijdrage in natura (vrijwilligers)]],""))</f>
        <v/>
      </c>
      <c r="AX763" t="str">
        <f>IF(ISNUMBER(FIND("overige",Methode_Keuze)),"",IF(Tb_Activiteiten[[#This Row],[Afschrijvingskosten]]=1,Tb_Activiteiten[[#Headers],[Afschrijvingskosten]],""))</f>
        <v/>
      </c>
      <c r="AY763" t="str">
        <f>IF(ISNUMBER(FIND("overige",Methode_Keuze)),"",IF(Tb_Activiteiten[[#This Row],[Vergoeding]]=1,Tb_Activiteiten[[#Headers],[Vergoeding]],""))</f>
        <v/>
      </c>
      <c r="AZ763" t="str">
        <f>IF(ISNUMBER(FIND("arbeid",Methode_Keuze)),"",IF(Tb_Activiteiten[[#This Row],[Arbeidskosten - vast tarief (excl eigen arbeid)]]=1,Tb_Activiteiten[[#Headers],[Arbeidskosten - vast tarief (excl eigen arbeid)]],""))</f>
        <v/>
      </c>
      <c r="BA763" t="str">
        <f>IF(ISNUMBER(FIND("overige",Methode_Keuze)),"",IF(Tb_Activiteiten[[#This Row],[Overige kosten]]=1,Tb_Activiteiten[[#Headers],[Overige kosten]],""))</f>
        <v/>
      </c>
    </row>
    <row r="764" spans="1:53" x14ac:dyDescent="0.25">
      <c r="A764" s="231"/>
      <c r="F764" s="64"/>
      <c r="G764" s="64"/>
      <c r="H764" s="275"/>
      <c r="I764" s="275"/>
      <c r="J764" s="275"/>
      <c r="K764" s="275"/>
      <c r="O764" s="56"/>
      <c r="Q764" t="str">
        <f>IFERROR(IF(VLOOKUP(Tb_Activiteiten[[#This Row],[Openstelling]],Tb_Openstelling[],2,0)=1,1,""),"")</f>
        <v/>
      </c>
      <c r="AK764" t="str">
        <f>IF(ISNUMBER(FIND("arbeid",Methode_Keuze)),"",IF(ISNUMBER(FIND("arbeid",Methode_Keuze)),"",IF(Tb_Activiteiten[[#This Row],[Loonkosten]]=1,Tb_Activiteiten[[#Headers],[Loonkosten]],"")))</f>
        <v/>
      </c>
      <c r="AL764" t="str">
        <f>IF(ISNUMBER(FIND("arbeid",Methode_Keuze)),"",IF(ISNUMBER(FIND("arbeid",Methode_Keuze)),"",IF(Tb_Activiteiten[[#This Row],[Eigen arbeid]]=1,Tb_Activiteiten[[#Headers],[Eigen arbeid]],"")))</f>
        <v/>
      </c>
      <c r="AM764" t="str">
        <f>IF(ISNUMBER(FIND("arbeid",Methode_Keuze)),"",IF(ISNUMBER(FIND("arbeid",Methode_Keuze)),"",IF(Tb_Activiteiten[[#This Row],[Projectmedewerker]]=1,Tb_Activiteiten[[#Headers],[Projectmedewerker]],"")))</f>
        <v/>
      </c>
      <c r="AN764" t="str">
        <f>IF(ISNUMBER(FIND("arbeid",Methode_Keuze)),"",IF(ISNUMBER(FIND("arbeid",Methode_Keuze)),"",IF(Tb_Activiteiten[[#This Row],[Landbouwer]]=1,Tb_Activiteiten[[#Headers],[Landbouwer]],"")))</f>
        <v/>
      </c>
      <c r="AO764" t="str">
        <f>IF(ISNUMBER(FIND("arbeid",Methode_Keuze)),"",IF(ISNUMBER(FIND("arbeid",Methode_Keuze)),"",IF(Tb_Activiteiten[[#This Row],[Adviseur]]=1,Tb_Activiteiten[[#Headers],[Adviseur]],"")))</f>
        <v/>
      </c>
      <c r="AP764" t="str">
        <f>IF(ISNUMBER(FIND("arbeid",Methode_Keuze)),"",IF(ISNUMBER(FIND("arbeid",Methode_Keuze)),"",IF(Tb_Activiteiten[[#This Row],[Projectleider/Expert]]=1,Tb_Activiteiten[[#Headers],[Projectleider/Expert]],"")))</f>
        <v/>
      </c>
      <c r="AQ764" t="str">
        <f>IF(ISNUMBER(FIND("arbeid",Methode_Keuze)),"",IF(ISNUMBER(FIND("arbeid",Methode_Keuze)),"",IF(Tb_Activiteiten[[#This Row],[Arbeidskosten]]=1,Tb_Activiteiten[[#Headers],[Arbeidskosten]],"")))</f>
        <v/>
      </c>
      <c r="AR764" t="str">
        <f>IF(ISNUMBER(FIND("arbeid",Methode_Keuze)),"",IF(ISNUMBER(FIND("arbeid",Methode_Keuze)),"",IF(Tb_Activiteiten[[#This Row],[Arbeidskosten op basis van IKS]]=1,Tb_Activiteiten[[#Headers],[Arbeidskosten op basis van IKS]],"")))</f>
        <v/>
      </c>
      <c r="AS764" t="str">
        <f>IF(ISNUMBER(FIND("overige",Methode_Keuze)),"",IF(Tb_Activiteiten[[#This Row],[Kosten derden exclusief btw]]=1,Tb_Activiteiten[[#Headers],[Kosten derden exclusief btw]],""))</f>
        <v/>
      </c>
      <c r="AT764" t="str">
        <f>IF(ISNUMBER(FIND("overige",Methode_Keuze)),"",IF(Tb_Activiteiten[[#This Row],[Niet verrekenbare btw]]=1,Tb_Activiteiten[[#Headers],[Niet verrekenbare btw]],""))</f>
        <v/>
      </c>
      <c r="AU764" t="str">
        <f>IF(ISNUMBER(FIND("overige",Methode_Keuze)),"",IF(Tb_Activiteiten[[#This Row],[Grondkosten]]=1,Tb_Activiteiten[[#Headers],[Grondkosten]],""))</f>
        <v/>
      </c>
      <c r="AV764" t="str">
        <f>IF(ISNUMBER(FIND("overige",Methode_Keuze)),"",IF(Tb_Activiteiten[[#This Row],[Bijdrage in natura (overige)]]=1,Tb_Activiteiten[[#Headers],[Bijdrage in natura (overige)]],""))</f>
        <v/>
      </c>
      <c r="AW764" t="str">
        <f>IF(ISNUMBER(FIND("overige",Methode_Keuze)),"",IF(Tb_Activiteiten[[#This Row],[Bijdrage in natura (vrijwilligers)]]=1,Tb_Activiteiten[[#Headers],[Bijdrage in natura (vrijwilligers)]],""))</f>
        <v/>
      </c>
      <c r="AX764" t="str">
        <f>IF(ISNUMBER(FIND("overige",Methode_Keuze)),"",IF(Tb_Activiteiten[[#This Row],[Afschrijvingskosten]]=1,Tb_Activiteiten[[#Headers],[Afschrijvingskosten]],""))</f>
        <v/>
      </c>
      <c r="AY764" t="str">
        <f>IF(ISNUMBER(FIND("overige",Methode_Keuze)),"",IF(Tb_Activiteiten[[#This Row],[Vergoeding]]=1,Tb_Activiteiten[[#Headers],[Vergoeding]],""))</f>
        <v/>
      </c>
      <c r="AZ764" t="str">
        <f>IF(ISNUMBER(FIND("arbeid",Methode_Keuze)),"",IF(Tb_Activiteiten[[#This Row],[Arbeidskosten - vast tarief (excl eigen arbeid)]]=1,Tb_Activiteiten[[#Headers],[Arbeidskosten - vast tarief (excl eigen arbeid)]],""))</f>
        <v/>
      </c>
      <c r="BA764" t="str">
        <f>IF(ISNUMBER(FIND("overige",Methode_Keuze)),"",IF(Tb_Activiteiten[[#This Row],[Overige kosten]]=1,Tb_Activiteiten[[#Headers],[Overige kosten]],""))</f>
        <v/>
      </c>
    </row>
    <row r="765" spans="1:53" x14ac:dyDescent="0.25">
      <c r="A765" s="231"/>
      <c r="F765" s="64"/>
      <c r="G765" s="64"/>
      <c r="H765" s="275"/>
      <c r="I765" s="275"/>
      <c r="J765" s="275"/>
      <c r="K765" s="275"/>
      <c r="O765" s="56"/>
      <c r="Q765" t="str">
        <f>IFERROR(IF(VLOOKUP(Tb_Activiteiten[[#This Row],[Openstelling]],Tb_Openstelling[],2,0)=1,1,""),"")</f>
        <v/>
      </c>
      <c r="AK765" t="str">
        <f>IF(ISNUMBER(FIND("arbeid",Methode_Keuze)),"",IF(ISNUMBER(FIND("arbeid",Methode_Keuze)),"",IF(Tb_Activiteiten[[#This Row],[Loonkosten]]=1,Tb_Activiteiten[[#Headers],[Loonkosten]],"")))</f>
        <v/>
      </c>
      <c r="AL765" t="str">
        <f>IF(ISNUMBER(FIND("arbeid",Methode_Keuze)),"",IF(ISNUMBER(FIND("arbeid",Methode_Keuze)),"",IF(Tb_Activiteiten[[#This Row],[Eigen arbeid]]=1,Tb_Activiteiten[[#Headers],[Eigen arbeid]],"")))</f>
        <v/>
      </c>
      <c r="AM765" t="str">
        <f>IF(ISNUMBER(FIND("arbeid",Methode_Keuze)),"",IF(ISNUMBER(FIND("arbeid",Methode_Keuze)),"",IF(Tb_Activiteiten[[#This Row],[Projectmedewerker]]=1,Tb_Activiteiten[[#Headers],[Projectmedewerker]],"")))</f>
        <v/>
      </c>
      <c r="AN765" t="str">
        <f>IF(ISNUMBER(FIND("arbeid",Methode_Keuze)),"",IF(ISNUMBER(FIND("arbeid",Methode_Keuze)),"",IF(Tb_Activiteiten[[#This Row],[Landbouwer]]=1,Tb_Activiteiten[[#Headers],[Landbouwer]],"")))</f>
        <v/>
      </c>
      <c r="AO765" t="str">
        <f>IF(ISNUMBER(FIND("arbeid",Methode_Keuze)),"",IF(ISNUMBER(FIND("arbeid",Methode_Keuze)),"",IF(Tb_Activiteiten[[#This Row],[Adviseur]]=1,Tb_Activiteiten[[#Headers],[Adviseur]],"")))</f>
        <v/>
      </c>
      <c r="AP765" t="str">
        <f>IF(ISNUMBER(FIND("arbeid",Methode_Keuze)),"",IF(ISNUMBER(FIND("arbeid",Methode_Keuze)),"",IF(Tb_Activiteiten[[#This Row],[Projectleider/Expert]]=1,Tb_Activiteiten[[#Headers],[Projectleider/Expert]],"")))</f>
        <v/>
      </c>
      <c r="AQ765" t="str">
        <f>IF(ISNUMBER(FIND("arbeid",Methode_Keuze)),"",IF(ISNUMBER(FIND("arbeid",Methode_Keuze)),"",IF(Tb_Activiteiten[[#This Row],[Arbeidskosten]]=1,Tb_Activiteiten[[#Headers],[Arbeidskosten]],"")))</f>
        <v/>
      </c>
      <c r="AR765" t="str">
        <f>IF(ISNUMBER(FIND("arbeid",Methode_Keuze)),"",IF(ISNUMBER(FIND("arbeid",Methode_Keuze)),"",IF(Tb_Activiteiten[[#This Row],[Arbeidskosten op basis van IKS]]=1,Tb_Activiteiten[[#Headers],[Arbeidskosten op basis van IKS]],"")))</f>
        <v/>
      </c>
      <c r="AS765" t="str">
        <f>IF(ISNUMBER(FIND("overige",Methode_Keuze)),"",IF(Tb_Activiteiten[[#This Row],[Kosten derden exclusief btw]]=1,Tb_Activiteiten[[#Headers],[Kosten derden exclusief btw]],""))</f>
        <v/>
      </c>
      <c r="AT765" t="str">
        <f>IF(ISNUMBER(FIND("overige",Methode_Keuze)),"",IF(Tb_Activiteiten[[#This Row],[Niet verrekenbare btw]]=1,Tb_Activiteiten[[#Headers],[Niet verrekenbare btw]],""))</f>
        <v/>
      </c>
      <c r="AU765" t="str">
        <f>IF(ISNUMBER(FIND("overige",Methode_Keuze)),"",IF(Tb_Activiteiten[[#This Row],[Grondkosten]]=1,Tb_Activiteiten[[#Headers],[Grondkosten]],""))</f>
        <v/>
      </c>
      <c r="AV765" t="str">
        <f>IF(ISNUMBER(FIND("overige",Methode_Keuze)),"",IF(Tb_Activiteiten[[#This Row],[Bijdrage in natura (overige)]]=1,Tb_Activiteiten[[#Headers],[Bijdrage in natura (overige)]],""))</f>
        <v/>
      </c>
      <c r="AW765" t="str">
        <f>IF(ISNUMBER(FIND("overige",Methode_Keuze)),"",IF(Tb_Activiteiten[[#This Row],[Bijdrage in natura (vrijwilligers)]]=1,Tb_Activiteiten[[#Headers],[Bijdrage in natura (vrijwilligers)]],""))</f>
        <v/>
      </c>
      <c r="AX765" t="str">
        <f>IF(ISNUMBER(FIND("overige",Methode_Keuze)),"",IF(Tb_Activiteiten[[#This Row],[Afschrijvingskosten]]=1,Tb_Activiteiten[[#Headers],[Afschrijvingskosten]],""))</f>
        <v/>
      </c>
      <c r="AY765" t="str">
        <f>IF(ISNUMBER(FIND("overige",Methode_Keuze)),"",IF(Tb_Activiteiten[[#This Row],[Vergoeding]]=1,Tb_Activiteiten[[#Headers],[Vergoeding]],""))</f>
        <v/>
      </c>
      <c r="AZ765" t="str">
        <f>IF(ISNUMBER(FIND("arbeid",Methode_Keuze)),"",IF(Tb_Activiteiten[[#This Row],[Arbeidskosten - vast tarief (excl eigen arbeid)]]=1,Tb_Activiteiten[[#Headers],[Arbeidskosten - vast tarief (excl eigen arbeid)]],""))</f>
        <v/>
      </c>
      <c r="BA765" t="str">
        <f>IF(ISNUMBER(FIND("overige",Methode_Keuze)),"",IF(Tb_Activiteiten[[#This Row],[Overige kosten]]=1,Tb_Activiteiten[[#Headers],[Overige kosten]],""))</f>
        <v/>
      </c>
    </row>
    <row r="766" spans="1:53" x14ac:dyDescent="0.25">
      <c r="A766" s="231"/>
      <c r="F766" s="64"/>
      <c r="G766" s="64"/>
      <c r="H766" s="275"/>
      <c r="I766" s="275"/>
      <c r="J766" s="275"/>
      <c r="K766" s="275"/>
      <c r="O766" s="56"/>
      <c r="Q766" t="str">
        <f>IFERROR(IF(VLOOKUP(Tb_Activiteiten[[#This Row],[Openstelling]],Tb_Openstelling[],2,0)=1,1,""),"")</f>
        <v/>
      </c>
      <c r="AK766" t="str">
        <f>IF(ISNUMBER(FIND("arbeid",Methode_Keuze)),"",IF(ISNUMBER(FIND("arbeid",Methode_Keuze)),"",IF(Tb_Activiteiten[[#This Row],[Loonkosten]]=1,Tb_Activiteiten[[#Headers],[Loonkosten]],"")))</f>
        <v/>
      </c>
      <c r="AL766" t="str">
        <f>IF(ISNUMBER(FIND("arbeid",Methode_Keuze)),"",IF(ISNUMBER(FIND("arbeid",Methode_Keuze)),"",IF(Tb_Activiteiten[[#This Row],[Eigen arbeid]]=1,Tb_Activiteiten[[#Headers],[Eigen arbeid]],"")))</f>
        <v/>
      </c>
      <c r="AM766" t="str">
        <f>IF(ISNUMBER(FIND("arbeid",Methode_Keuze)),"",IF(ISNUMBER(FIND("arbeid",Methode_Keuze)),"",IF(Tb_Activiteiten[[#This Row],[Projectmedewerker]]=1,Tb_Activiteiten[[#Headers],[Projectmedewerker]],"")))</f>
        <v/>
      </c>
      <c r="AN766" t="str">
        <f>IF(ISNUMBER(FIND("arbeid",Methode_Keuze)),"",IF(ISNUMBER(FIND("arbeid",Methode_Keuze)),"",IF(Tb_Activiteiten[[#This Row],[Landbouwer]]=1,Tb_Activiteiten[[#Headers],[Landbouwer]],"")))</f>
        <v/>
      </c>
      <c r="AO766" t="str">
        <f>IF(ISNUMBER(FIND("arbeid",Methode_Keuze)),"",IF(ISNUMBER(FIND("arbeid",Methode_Keuze)),"",IF(Tb_Activiteiten[[#This Row],[Adviseur]]=1,Tb_Activiteiten[[#Headers],[Adviseur]],"")))</f>
        <v/>
      </c>
      <c r="AP766" t="str">
        <f>IF(ISNUMBER(FIND("arbeid",Methode_Keuze)),"",IF(ISNUMBER(FIND("arbeid",Methode_Keuze)),"",IF(Tb_Activiteiten[[#This Row],[Projectleider/Expert]]=1,Tb_Activiteiten[[#Headers],[Projectleider/Expert]],"")))</f>
        <v/>
      </c>
      <c r="AQ766" t="str">
        <f>IF(ISNUMBER(FIND("arbeid",Methode_Keuze)),"",IF(ISNUMBER(FIND("arbeid",Methode_Keuze)),"",IF(Tb_Activiteiten[[#This Row],[Arbeidskosten]]=1,Tb_Activiteiten[[#Headers],[Arbeidskosten]],"")))</f>
        <v/>
      </c>
      <c r="AR766" t="str">
        <f>IF(ISNUMBER(FIND("arbeid",Methode_Keuze)),"",IF(ISNUMBER(FIND("arbeid",Methode_Keuze)),"",IF(Tb_Activiteiten[[#This Row],[Arbeidskosten op basis van IKS]]=1,Tb_Activiteiten[[#Headers],[Arbeidskosten op basis van IKS]],"")))</f>
        <v/>
      </c>
      <c r="AS766" t="str">
        <f>IF(ISNUMBER(FIND("overige",Methode_Keuze)),"",IF(Tb_Activiteiten[[#This Row],[Kosten derden exclusief btw]]=1,Tb_Activiteiten[[#Headers],[Kosten derden exclusief btw]],""))</f>
        <v/>
      </c>
      <c r="AT766" t="str">
        <f>IF(ISNUMBER(FIND("overige",Methode_Keuze)),"",IF(Tb_Activiteiten[[#This Row],[Niet verrekenbare btw]]=1,Tb_Activiteiten[[#Headers],[Niet verrekenbare btw]],""))</f>
        <v/>
      </c>
      <c r="AU766" t="str">
        <f>IF(ISNUMBER(FIND("overige",Methode_Keuze)),"",IF(Tb_Activiteiten[[#This Row],[Grondkosten]]=1,Tb_Activiteiten[[#Headers],[Grondkosten]],""))</f>
        <v/>
      </c>
      <c r="AV766" t="str">
        <f>IF(ISNUMBER(FIND("overige",Methode_Keuze)),"",IF(Tb_Activiteiten[[#This Row],[Bijdrage in natura (overige)]]=1,Tb_Activiteiten[[#Headers],[Bijdrage in natura (overige)]],""))</f>
        <v/>
      </c>
      <c r="AW766" t="str">
        <f>IF(ISNUMBER(FIND("overige",Methode_Keuze)),"",IF(Tb_Activiteiten[[#This Row],[Bijdrage in natura (vrijwilligers)]]=1,Tb_Activiteiten[[#Headers],[Bijdrage in natura (vrijwilligers)]],""))</f>
        <v/>
      </c>
      <c r="AX766" t="str">
        <f>IF(ISNUMBER(FIND("overige",Methode_Keuze)),"",IF(Tb_Activiteiten[[#This Row],[Afschrijvingskosten]]=1,Tb_Activiteiten[[#Headers],[Afschrijvingskosten]],""))</f>
        <v/>
      </c>
      <c r="AY766" t="str">
        <f>IF(ISNUMBER(FIND("overige",Methode_Keuze)),"",IF(Tb_Activiteiten[[#This Row],[Vergoeding]]=1,Tb_Activiteiten[[#Headers],[Vergoeding]],""))</f>
        <v/>
      </c>
      <c r="AZ766" t="str">
        <f>IF(ISNUMBER(FIND("arbeid",Methode_Keuze)),"",IF(Tb_Activiteiten[[#This Row],[Arbeidskosten - vast tarief (excl eigen arbeid)]]=1,Tb_Activiteiten[[#Headers],[Arbeidskosten - vast tarief (excl eigen arbeid)]],""))</f>
        <v/>
      </c>
      <c r="BA766" t="str">
        <f>IF(ISNUMBER(FIND("overige",Methode_Keuze)),"",IF(Tb_Activiteiten[[#This Row],[Overige kosten]]=1,Tb_Activiteiten[[#Headers],[Overige kosten]],""))</f>
        <v/>
      </c>
    </row>
    <row r="767" spans="1:53" x14ac:dyDescent="0.25">
      <c r="A767" s="231"/>
      <c r="F767" s="64"/>
      <c r="G767" s="64"/>
      <c r="H767" s="275"/>
      <c r="I767" s="275"/>
      <c r="J767" s="275"/>
      <c r="K767" s="275"/>
      <c r="O767" s="56"/>
      <c r="Q767" t="str">
        <f>IFERROR(IF(VLOOKUP(Tb_Activiteiten[[#This Row],[Openstelling]],Tb_Openstelling[],2,0)=1,1,""),"")</f>
        <v/>
      </c>
      <c r="AK767" t="str">
        <f>IF(ISNUMBER(FIND("arbeid",Methode_Keuze)),"",IF(ISNUMBER(FIND("arbeid",Methode_Keuze)),"",IF(Tb_Activiteiten[[#This Row],[Loonkosten]]=1,Tb_Activiteiten[[#Headers],[Loonkosten]],"")))</f>
        <v/>
      </c>
      <c r="AL767" t="str">
        <f>IF(ISNUMBER(FIND("arbeid",Methode_Keuze)),"",IF(ISNUMBER(FIND("arbeid",Methode_Keuze)),"",IF(Tb_Activiteiten[[#This Row],[Eigen arbeid]]=1,Tb_Activiteiten[[#Headers],[Eigen arbeid]],"")))</f>
        <v/>
      </c>
      <c r="AM767" t="str">
        <f>IF(ISNUMBER(FIND("arbeid",Methode_Keuze)),"",IF(ISNUMBER(FIND("arbeid",Methode_Keuze)),"",IF(Tb_Activiteiten[[#This Row],[Projectmedewerker]]=1,Tb_Activiteiten[[#Headers],[Projectmedewerker]],"")))</f>
        <v/>
      </c>
      <c r="AN767" t="str">
        <f>IF(ISNUMBER(FIND("arbeid",Methode_Keuze)),"",IF(ISNUMBER(FIND("arbeid",Methode_Keuze)),"",IF(Tb_Activiteiten[[#This Row],[Landbouwer]]=1,Tb_Activiteiten[[#Headers],[Landbouwer]],"")))</f>
        <v/>
      </c>
      <c r="AO767" t="str">
        <f>IF(ISNUMBER(FIND("arbeid",Methode_Keuze)),"",IF(ISNUMBER(FIND("arbeid",Methode_Keuze)),"",IF(Tb_Activiteiten[[#This Row],[Adviseur]]=1,Tb_Activiteiten[[#Headers],[Adviseur]],"")))</f>
        <v/>
      </c>
      <c r="AP767" t="str">
        <f>IF(ISNUMBER(FIND("arbeid",Methode_Keuze)),"",IF(ISNUMBER(FIND("arbeid",Methode_Keuze)),"",IF(Tb_Activiteiten[[#This Row],[Projectleider/Expert]]=1,Tb_Activiteiten[[#Headers],[Projectleider/Expert]],"")))</f>
        <v/>
      </c>
      <c r="AQ767" t="str">
        <f>IF(ISNUMBER(FIND("arbeid",Methode_Keuze)),"",IF(ISNUMBER(FIND("arbeid",Methode_Keuze)),"",IF(Tb_Activiteiten[[#This Row],[Arbeidskosten]]=1,Tb_Activiteiten[[#Headers],[Arbeidskosten]],"")))</f>
        <v/>
      </c>
      <c r="AR767" t="str">
        <f>IF(ISNUMBER(FIND("arbeid",Methode_Keuze)),"",IF(ISNUMBER(FIND("arbeid",Methode_Keuze)),"",IF(Tb_Activiteiten[[#This Row],[Arbeidskosten op basis van IKS]]=1,Tb_Activiteiten[[#Headers],[Arbeidskosten op basis van IKS]],"")))</f>
        <v/>
      </c>
      <c r="AS767" t="str">
        <f>IF(ISNUMBER(FIND("overige",Methode_Keuze)),"",IF(Tb_Activiteiten[[#This Row],[Kosten derden exclusief btw]]=1,Tb_Activiteiten[[#Headers],[Kosten derden exclusief btw]],""))</f>
        <v/>
      </c>
      <c r="AT767" t="str">
        <f>IF(ISNUMBER(FIND("overige",Methode_Keuze)),"",IF(Tb_Activiteiten[[#This Row],[Niet verrekenbare btw]]=1,Tb_Activiteiten[[#Headers],[Niet verrekenbare btw]],""))</f>
        <v/>
      </c>
      <c r="AU767" t="str">
        <f>IF(ISNUMBER(FIND("overige",Methode_Keuze)),"",IF(Tb_Activiteiten[[#This Row],[Grondkosten]]=1,Tb_Activiteiten[[#Headers],[Grondkosten]],""))</f>
        <v/>
      </c>
      <c r="AV767" t="str">
        <f>IF(ISNUMBER(FIND("overige",Methode_Keuze)),"",IF(Tb_Activiteiten[[#This Row],[Bijdrage in natura (overige)]]=1,Tb_Activiteiten[[#Headers],[Bijdrage in natura (overige)]],""))</f>
        <v/>
      </c>
      <c r="AW767" t="str">
        <f>IF(ISNUMBER(FIND("overige",Methode_Keuze)),"",IF(Tb_Activiteiten[[#This Row],[Bijdrage in natura (vrijwilligers)]]=1,Tb_Activiteiten[[#Headers],[Bijdrage in natura (vrijwilligers)]],""))</f>
        <v/>
      </c>
      <c r="AX767" t="str">
        <f>IF(ISNUMBER(FIND("overige",Methode_Keuze)),"",IF(Tb_Activiteiten[[#This Row],[Afschrijvingskosten]]=1,Tb_Activiteiten[[#Headers],[Afschrijvingskosten]],""))</f>
        <v/>
      </c>
      <c r="AY767" t="str">
        <f>IF(ISNUMBER(FIND("overige",Methode_Keuze)),"",IF(Tb_Activiteiten[[#This Row],[Vergoeding]]=1,Tb_Activiteiten[[#Headers],[Vergoeding]],""))</f>
        <v/>
      </c>
      <c r="AZ767" t="str">
        <f>IF(ISNUMBER(FIND("arbeid",Methode_Keuze)),"",IF(Tb_Activiteiten[[#This Row],[Arbeidskosten - vast tarief (excl eigen arbeid)]]=1,Tb_Activiteiten[[#Headers],[Arbeidskosten - vast tarief (excl eigen arbeid)]],""))</f>
        <v/>
      </c>
      <c r="BA767" t="str">
        <f>IF(ISNUMBER(FIND("overige",Methode_Keuze)),"",IF(Tb_Activiteiten[[#This Row],[Overige kosten]]=1,Tb_Activiteiten[[#Headers],[Overige kosten]],""))</f>
        <v/>
      </c>
    </row>
    <row r="768" spans="1:53" x14ac:dyDescent="0.25">
      <c r="A768" s="231"/>
      <c r="F768" s="64"/>
      <c r="G768" s="64"/>
      <c r="H768" s="275"/>
      <c r="I768" s="275"/>
      <c r="J768" s="275"/>
      <c r="K768" s="275"/>
      <c r="O768" s="56"/>
      <c r="Q768" t="str">
        <f>IFERROR(IF(VLOOKUP(Tb_Activiteiten[[#This Row],[Openstelling]],Tb_Openstelling[],2,0)=1,1,""),"")</f>
        <v/>
      </c>
      <c r="AK768" t="str">
        <f>IF(ISNUMBER(FIND("arbeid",Methode_Keuze)),"",IF(ISNUMBER(FIND("arbeid",Methode_Keuze)),"",IF(Tb_Activiteiten[[#This Row],[Loonkosten]]=1,Tb_Activiteiten[[#Headers],[Loonkosten]],"")))</f>
        <v/>
      </c>
      <c r="AL768" t="str">
        <f>IF(ISNUMBER(FIND("arbeid",Methode_Keuze)),"",IF(ISNUMBER(FIND("arbeid",Methode_Keuze)),"",IF(Tb_Activiteiten[[#This Row],[Eigen arbeid]]=1,Tb_Activiteiten[[#Headers],[Eigen arbeid]],"")))</f>
        <v/>
      </c>
      <c r="AM768" t="str">
        <f>IF(ISNUMBER(FIND("arbeid",Methode_Keuze)),"",IF(ISNUMBER(FIND("arbeid",Methode_Keuze)),"",IF(Tb_Activiteiten[[#This Row],[Projectmedewerker]]=1,Tb_Activiteiten[[#Headers],[Projectmedewerker]],"")))</f>
        <v/>
      </c>
      <c r="AN768" t="str">
        <f>IF(ISNUMBER(FIND("arbeid",Methode_Keuze)),"",IF(ISNUMBER(FIND("arbeid",Methode_Keuze)),"",IF(Tb_Activiteiten[[#This Row],[Landbouwer]]=1,Tb_Activiteiten[[#Headers],[Landbouwer]],"")))</f>
        <v/>
      </c>
      <c r="AO768" t="str">
        <f>IF(ISNUMBER(FIND("arbeid",Methode_Keuze)),"",IF(ISNUMBER(FIND("arbeid",Methode_Keuze)),"",IF(Tb_Activiteiten[[#This Row],[Adviseur]]=1,Tb_Activiteiten[[#Headers],[Adviseur]],"")))</f>
        <v/>
      </c>
      <c r="AP768" t="str">
        <f>IF(ISNUMBER(FIND("arbeid",Methode_Keuze)),"",IF(ISNUMBER(FIND("arbeid",Methode_Keuze)),"",IF(Tb_Activiteiten[[#This Row],[Projectleider/Expert]]=1,Tb_Activiteiten[[#Headers],[Projectleider/Expert]],"")))</f>
        <v/>
      </c>
      <c r="AQ768" t="str">
        <f>IF(ISNUMBER(FIND("arbeid",Methode_Keuze)),"",IF(ISNUMBER(FIND("arbeid",Methode_Keuze)),"",IF(Tb_Activiteiten[[#This Row],[Arbeidskosten]]=1,Tb_Activiteiten[[#Headers],[Arbeidskosten]],"")))</f>
        <v/>
      </c>
      <c r="AR768" t="str">
        <f>IF(ISNUMBER(FIND("arbeid",Methode_Keuze)),"",IF(ISNUMBER(FIND("arbeid",Methode_Keuze)),"",IF(Tb_Activiteiten[[#This Row],[Arbeidskosten op basis van IKS]]=1,Tb_Activiteiten[[#Headers],[Arbeidskosten op basis van IKS]],"")))</f>
        <v/>
      </c>
      <c r="AS768" t="str">
        <f>IF(ISNUMBER(FIND("overige",Methode_Keuze)),"",IF(Tb_Activiteiten[[#This Row],[Kosten derden exclusief btw]]=1,Tb_Activiteiten[[#Headers],[Kosten derden exclusief btw]],""))</f>
        <v/>
      </c>
      <c r="AT768" t="str">
        <f>IF(ISNUMBER(FIND("overige",Methode_Keuze)),"",IF(Tb_Activiteiten[[#This Row],[Niet verrekenbare btw]]=1,Tb_Activiteiten[[#Headers],[Niet verrekenbare btw]],""))</f>
        <v/>
      </c>
      <c r="AU768" t="str">
        <f>IF(ISNUMBER(FIND("overige",Methode_Keuze)),"",IF(Tb_Activiteiten[[#This Row],[Grondkosten]]=1,Tb_Activiteiten[[#Headers],[Grondkosten]],""))</f>
        <v/>
      </c>
      <c r="AV768" t="str">
        <f>IF(ISNUMBER(FIND("overige",Methode_Keuze)),"",IF(Tb_Activiteiten[[#This Row],[Bijdrage in natura (overige)]]=1,Tb_Activiteiten[[#Headers],[Bijdrage in natura (overige)]],""))</f>
        <v/>
      </c>
      <c r="AW768" t="str">
        <f>IF(ISNUMBER(FIND("overige",Methode_Keuze)),"",IF(Tb_Activiteiten[[#This Row],[Bijdrage in natura (vrijwilligers)]]=1,Tb_Activiteiten[[#Headers],[Bijdrage in natura (vrijwilligers)]],""))</f>
        <v/>
      </c>
      <c r="AX768" t="str">
        <f>IF(ISNUMBER(FIND("overige",Methode_Keuze)),"",IF(Tb_Activiteiten[[#This Row],[Afschrijvingskosten]]=1,Tb_Activiteiten[[#Headers],[Afschrijvingskosten]],""))</f>
        <v/>
      </c>
      <c r="AY768" t="str">
        <f>IF(ISNUMBER(FIND("overige",Methode_Keuze)),"",IF(Tb_Activiteiten[[#This Row],[Vergoeding]]=1,Tb_Activiteiten[[#Headers],[Vergoeding]],""))</f>
        <v/>
      </c>
      <c r="AZ768" t="str">
        <f>IF(ISNUMBER(FIND("arbeid",Methode_Keuze)),"",IF(Tb_Activiteiten[[#This Row],[Arbeidskosten - vast tarief (excl eigen arbeid)]]=1,Tb_Activiteiten[[#Headers],[Arbeidskosten - vast tarief (excl eigen arbeid)]],""))</f>
        <v/>
      </c>
      <c r="BA768" t="str">
        <f>IF(ISNUMBER(FIND("overige",Methode_Keuze)),"",IF(Tb_Activiteiten[[#This Row],[Overige kosten]]=1,Tb_Activiteiten[[#Headers],[Overige kosten]],""))</f>
        <v/>
      </c>
    </row>
    <row r="769" spans="1:53" x14ac:dyDescent="0.25">
      <c r="A769" s="231"/>
      <c r="F769" s="64"/>
      <c r="G769" s="64"/>
      <c r="H769" s="275"/>
      <c r="I769" s="275"/>
      <c r="J769" s="275"/>
      <c r="K769" s="275"/>
      <c r="O769" s="56"/>
      <c r="Q769" t="str">
        <f>IFERROR(IF(VLOOKUP(Tb_Activiteiten[[#This Row],[Openstelling]],Tb_Openstelling[],2,0)=1,1,""),"")</f>
        <v/>
      </c>
      <c r="AK769" t="str">
        <f>IF(ISNUMBER(FIND("arbeid",Methode_Keuze)),"",IF(ISNUMBER(FIND("arbeid",Methode_Keuze)),"",IF(Tb_Activiteiten[[#This Row],[Loonkosten]]=1,Tb_Activiteiten[[#Headers],[Loonkosten]],"")))</f>
        <v/>
      </c>
      <c r="AL769" t="str">
        <f>IF(ISNUMBER(FIND("arbeid",Methode_Keuze)),"",IF(ISNUMBER(FIND("arbeid",Methode_Keuze)),"",IF(Tb_Activiteiten[[#This Row],[Eigen arbeid]]=1,Tb_Activiteiten[[#Headers],[Eigen arbeid]],"")))</f>
        <v/>
      </c>
      <c r="AM769" t="str">
        <f>IF(ISNUMBER(FIND("arbeid",Methode_Keuze)),"",IF(ISNUMBER(FIND("arbeid",Methode_Keuze)),"",IF(Tb_Activiteiten[[#This Row],[Projectmedewerker]]=1,Tb_Activiteiten[[#Headers],[Projectmedewerker]],"")))</f>
        <v/>
      </c>
      <c r="AN769" t="str">
        <f>IF(ISNUMBER(FIND("arbeid",Methode_Keuze)),"",IF(ISNUMBER(FIND("arbeid",Methode_Keuze)),"",IF(Tb_Activiteiten[[#This Row],[Landbouwer]]=1,Tb_Activiteiten[[#Headers],[Landbouwer]],"")))</f>
        <v/>
      </c>
      <c r="AO769" t="str">
        <f>IF(ISNUMBER(FIND("arbeid",Methode_Keuze)),"",IF(ISNUMBER(FIND("arbeid",Methode_Keuze)),"",IF(Tb_Activiteiten[[#This Row],[Adviseur]]=1,Tb_Activiteiten[[#Headers],[Adviseur]],"")))</f>
        <v/>
      </c>
      <c r="AP769" t="str">
        <f>IF(ISNUMBER(FIND("arbeid",Methode_Keuze)),"",IF(ISNUMBER(FIND("arbeid",Methode_Keuze)),"",IF(Tb_Activiteiten[[#This Row],[Projectleider/Expert]]=1,Tb_Activiteiten[[#Headers],[Projectleider/Expert]],"")))</f>
        <v/>
      </c>
      <c r="AQ769" t="str">
        <f>IF(ISNUMBER(FIND("arbeid",Methode_Keuze)),"",IF(ISNUMBER(FIND("arbeid",Methode_Keuze)),"",IF(Tb_Activiteiten[[#This Row],[Arbeidskosten]]=1,Tb_Activiteiten[[#Headers],[Arbeidskosten]],"")))</f>
        <v/>
      </c>
      <c r="AR769" t="str">
        <f>IF(ISNUMBER(FIND("arbeid",Methode_Keuze)),"",IF(ISNUMBER(FIND("arbeid",Methode_Keuze)),"",IF(Tb_Activiteiten[[#This Row],[Arbeidskosten op basis van IKS]]=1,Tb_Activiteiten[[#Headers],[Arbeidskosten op basis van IKS]],"")))</f>
        <v/>
      </c>
      <c r="AS769" t="str">
        <f>IF(ISNUMBER(FIND("overige",Methode_Keuze)),"",IF(Tb_Activiteiten[[#This Row],[Kosten derden exclusief btw]]=1,Tb_Activiteiten[[#Headers],[Kosten derden exclusief btw]],""))</f>
        <v/>
      </c>
      <c r="AT769" t="str">
        <f>IF(ISNUMBER(FIND("overige",Methode_Keuze)),"",IF(Tb_Activiteiten[[#This Row],[Niet verrekenbare btw]]=1,Tb_Activiteiten[[#Headers],[Niet verrekenbare btw]],""))</f>
        <v/>
      </c>
      <c r="AU769" t="str">
        <f>IF(ISNUMBER(FIND("overige",Methode_Keuze)),"",IF(Tb_Activiteiten[[#This Row],[Grondkosten]]=1,Tb_Activiteiten[[#Headers],[Grondkosten]],""))</f>
        <v/>
      </c>
      <c r="AV769" t="str">
        <f>IF(ISNUMBER(FIND("overige",Methode_Keuze)),"",IF(Tb_Activiteiten[[#This Row],[Bijdrage in natura (overige)]]=1,Tb_Activiteiten[[#Headers],[Bijdrage in natura (overige)]],""))</f>
        <v/>
      </c>
      <c r="AW769" t="str">
        <f>IF(ISNUMBER(FIND("overige",Methode_Keuze)),"",IF(Tb_Activiteiten[[#This Row],[Bijdrage in natura (vrijwilligers)]]=1,Tb_Activiteiten[[#Headers],[Bijdrage in natura (vrijwilligers)]],""))</f>
        <v/>
      </c>
      <c r="AX769" t="str">
        <f>IF(ISNUMBER(FIND("overige",Methode_Keuze)),"",IF(Tb_Activiteiten[[#This Row],[Afschrijvingskosten]]=1,Tb_Activiteiten[[#Headers],[Afschrijvingskosten]],""))</f>
        <v/>
      </c>
      <c r="AY769" t="str">
        <f>IF(ISNUMBER(FIND("overige",Methode_Keuze)),"",IF(Tb_Activiteiten[[#This Row],[Vergoeding]]=1,Tb_Activiteiten[[#Headers],[Vergoeding]],""))</f>
        <v/>
      </c>
      <c r="AZ769" t="str">
        <f>IF(ISNUMBER(FIND("arbeid",Methode_Keuze)),"",IF(Tb_Activiteiten[[#This Row],[Arbeidskosten - vast tarief (excl eigen arbeid)]]=1,Tb_Activiteiten[[#Headers],[Arbeidskosten - vast tarief (excl eigen arbeid)]],""))</f>
        <v/>
      </c>
      <c r="BA769" t="str">
        <f>IF(ISNUMBER(FIND("overige",Methode_Keuze)),"",IF(Tb_Activiteiten[[#This Row],[Overige kosten]]=1,Tb_Activiteiten[[#Headers],[Overige kosten]],""))</f>
        <v/>
      </c>
    </row>
    <row r="770" spans="1:53" x14ac:dyDescent="0.25">
      <c r="A770" s="231"/>
      <c r="F770" s="64"/>
      <c r="G770" s="64"/>
      <c r="H770" s="275"/>
      <c r="I770" s="275"/>
      <c r="J770" s="275"/>
      <c r="K770" s="275"/>
      <c r="O770" s="56"/>
      <c r="Q770" t="str">
        <f>IFERROR(IF(VLOOKUP(Tb_Activiteiten[[#This Row],[Openstelling]],Tb_Openstelling[],2,0)=1,1,""),"")</f>
        <v/>
      </c>
      <c r="AK770" t="str">
        <f>IF(ISNUMBER(FIND("arbeid",Methode_Keuze)),"",IF(ISNUMBER(FIND("arbeid",Methode_Keuze)),"",IF(Tb_Activiteiten[[#This Row],[Loonkosten]]=1,Tb_Activiteiten[[#Headers],[Loonkosten]],"")))</f>
        <v/>
      </c>
      <c r="AL770" t="str">
        <f>IF(ISNUMBER(FIND("arbeid",Methode_Keuze)),"",IF(ISNUMBER(FIND("arbeid",Methode_Keuze)),"",IF(Tb_Activiteiten[[#This Row],[Eigen arbeid]]=1,Tb_Activiteiten[[#Headers],[Eigen arbeid]],"")))</f>
        <v/>
      </c>
      <c r="AM770" t="str">
        <f>IF(ISNUMBER(FIND("arbeid",Methode_Keuze)),"",IF(ISNUMBER(FIND("arbeid",Methode_Keuze)),"",IF(Tb_Activiteiten[[#This Row],[Projectmedewerker]]=1,Tb_Activiteiten[[#Headers],[Projectmedewerker]],"")))</f>
        <v/>
      </c>
      <c r="AN770" t="str">
        <f>IF(ISNUMBER(FIND("arbeid",Methode_Keuze)),"",IF(ISNUMBER(FIND("arbeid",Methode_Keuze)),"",IF(Tb_Activiteiten[[#This Row],[Landbouwer]]=1,Tb_Activiteiten[[#Headers],[Landbouwer]],"")))</f>
        <v/>
      </c>
      <c r="AO770" t="str">
        <f>IF(ISNUMBER(FIND("arbeid",Methode_Keuze)),"",IF(ISNUMBER(FIND("arbeid",Methode_Keuze)),"",IF(Tb_Activiteiten[[#This Row],[Adviseur]]=1,Tb_Activiteiten[[#Headers],[Adviseur]],"")))</f>
        <v/>
      </c>
      <c r="AP770" t="str">
        <f>IF(ISNUMBER(FIND("arbeid",Methode_Keuze)),"",IF(ISNUMBER(FIND("arbeid",Methode_Keuze)),"",IF(Tb_Activiteiten[[#This Row],[Projectleider/Expert]]=1,Tb_Activiteiten[[#Headers],[Projectleider/Expert]],"")))</f>
        <v/>
      </c>
      <c r="AQ770" t="str">
        <f>IF(ISNUMBER(FIND("arbeid",Methode_Keuze)),"",IF(ISNUMBER(FIND("arbeid",Methode_Keuze)),"",IF(Tb_Activiteiten[[#This Row],[Arbeidskosten]]=1,Tb_Activiteiten[[#Headers],[Arbeidskosten]],"")))</f>
        <v/>
      </c>
      <c r="AR770" t="str">
        <f>IF(ISNUMBER(FIND("arbeid",Methode_Keuze)),"",IF(ISNUMBER(FIND("arbeid",Methode_Keuze)),"",IF(Tb_Activiteiten[[#This Row],[Arbeidskosten op basis van IKS]]=1,Tb_Activiteiten[[#Headers],[Arbeidskosten op basis van IKS]],"")))</f>
        <v/>
      </c>
      <c r="AS770" t="str">
        <f>IF(ISNUMBER(FIND("overige",Methode_Keuze)),"",IF(Tb_Activiteiten[[#This Row],[Kosten derden exclusief btw]]=1,Tb_Activiteiten[[#Headers],[Kosten derden exclusief btw]],""))</f>
        <v/>
      </c>
      <c r="AT770" t="str">
        <f>IF(ISNUMBER(FIND("overige",Methode_Keuze)),"",IF(Tb_Activiteiten[[#This Row],[Niet verrekenbare btw]]=1,Tb_Activiteiten[[#Headers],[Niet verrekenbare btw]],""))</f>
        <v/>
      </c>
      <c r="AU770" t="str">
        <f>IF(ISNUMBER(FIND("overige",Methode_Keuze)),"",IF(Tb_Activiteiten[[#This Row],[Grondkosten]]=1,Tb_Activiteiten[[#Headers],[Grondkosten]],""))</f>
        <v/>
      </c>
      <c r="AV770" t="str">
        <f>IF(ISNUMBER(FIND("overige",Methode_Keuze)),"",IF(Tb_Activiteiten[[#This Row],[Bijdrage in natura (overige)]]=1,Tb_Activiteiten[[#Headers],[Bijdrage in natura (overige)]],""))</f>
        <v/>
      </c>
      <c r="AW770" t="str">
        <f>IF(ISNUMBER(FIND("overige",Methode_Keuze)),"",IF(Tb_Activiteiten[[#This Row],[Bijdrage in natura (vrijwilligers)]]=1,Tb_Activiteiten[[#Headers],[Bijdrage in natura (vrijwilligers)]],""))</f>
        <v/>
      </c>
      <c r="AX770" t="str">
        <f>IF(ISNUMBER(FIND("overige",Methode_Keuze)),"",IF(Tb_Activiteiten[[#This Row],[Afschrijvingskosten]]=1,Tb_Activiteiten[[#Headers],[Afschrijvingskosten]],""))</f>
        <v/>
      </c>
      <c r="AY770" t="str">
        <f>IF(ISNUMBER(FIND("overige",Methode_Keuze)),"",IF(Tb_Activiteiten[[#This Row],[Vergoeding]]=1,Tb_Activiteiten[[#Headers],[Vergoeding]],""))</f>
        <v/>
      </c>
      <c r="AZ770" t="str">
        <f>IF(ISNUMBER(FIND("arbeid",Methode_Keuze)),"",IF(Tb_Activiteiten[[#This Row],[Arbeidskosten - vast tarief (excl eigen arbeid)]]=1,Tb_Activiteiten[[#Headers],[Arbeidskosten - vast tarief (excl eigen arbeid)]],""))</f>
        <v/>
      </c>
      <c r="BA770" t="str">
        <f>IF(ISNUMBER(FIND("overige",Methode_Keuze)),"",IF(Tb_Activiteiten[[#This Row],[Overige kosten]]=1,Tb_Activiteiten[[#Headers],[Overige kosten]],""))</f>
        <v/>
      </c>
    </row>
    <row r="771" spans="1:53" x14ac:dyDescent="0.25">
      <c r="A771" s="231"/>
      <c r="F771" s="64"/>
      <c r="G771" s="64"/>
      <c r="H771" s="275"/>
      <c r="I771" s="275"/>
      <c r="J771" s="275"/>
      <c r="K771" s="275"/>
      <c r="O771" s="56"/>
      <c r="Q771" t="str">
        <f>IFERROR(IF(VLOOKUP(Tb_Activiteiten[[#This Row],[Openstelling]],Tb_Openstelling[],2,0)=1,1,""),"")</f>
        <v/>
      </c>
      <c r="AK771" t="str">
        <f>IF(ISNUMBER(FIND("arbeid",Methode_Keuze)),"",IF(ISNUMBER(FIND("arbeid",Methode_Keuze)),"",IF(Tb_Activiteiten[[#This Row],[Loonkosten]]=1,Tb_Activiteiten[[#Headers],[Loonkosten]],"")))</f>
        <v/>
      </c>
      <c r="AL771" t="str">
        <f>IF(ISNUMBER(FIND("arbeid",Methode_Keuze)),"",IF(ISNUMBER(FIND("arbeid",Methode_Keuze)),"",IF(Tb_Activiteiten[[#This Row],[Eigen arbeid]]=1,Tb_Activiteiten[[#Headers],[Eigen arbeid]],"")))</f>
        <v/>
      </c>
      <c r="AM771" t="str">
        <f>IF(ISNUMBER(FIND("arbeid",Methode_Keuze)),"",IF(ISNUMBER(FIND("arbeid",Methode_Keuze)),"",IF(Tb_Activiteiten[[#This Row],[Projectmedewerker]]=1,Tb_Activiteiten[[#Headers],[Projectmedewerker]],"")))</f>
        <v/>
      </c>
      <c r="AN771" t="str">
        <f>IF(ISNUMBER(FIND("arbeid",Methode_Keuze)),"",IF(ISNUMBER(FIND("arbeid",Methode_Keuze)),"",IF(Tb_Activiteiten[[#This Row],[Landbouwer]]=1,Tb_Activiteiten[[#Headers],[Landbouwer]],"")))</f>
        <v/>
      </c>
      <c r="AO771" t="str">
        <f>IF(ISNUMBER(FIND("arbeid",Methode_Keuze)),"",IF(ISNUMBER(FIND("arbeid",Methode_Keuze)),"",IF(Tb_Activiteiten[[#This Row],[Adviseur]]=1,Tb_Activiteiten[[#Headers],[Adviseur]],"")))</f>
        <v/>
      </c>
      <c r="AP771" t="str">
        <f>IF(ISNUMBER(FIND("arbeid",Methode_Keuze)),"",IF(ISNUMBER(FIND("arbeid",Methode_Keuze)),"",IF(Tb_Activiteiten[[#This Row],[Projectleider/Expert]]=1,Tb_Activiteiten[[#Headers],[Projectleider/Expert]],"")))</f>
        <v/>
      </c>
      <c r="AQ771" t="str">
        <f>IF(ISNUMBER(FIND("arbeid",Methode_Keuze)),"",IF(ISNUMBER(FIND("arbeid",Methode_Keuze)),"",IF(Tb_Activiteiten[[#This Row],[Arbeidskosten]]=1,Tb_Activiteiten[[#Headers],[Arbeidskosten]],"")))</f>
        <v/>
      </c>
      <c r="AR771" t="str">
        <f>IF(ISNUMBER(FIND("arbeid",Methode_Keuze)),"",IF(ISNUMBER(FIND("arbeid",Methode_Keuze)),"",IF(Tb_Activiteiten[[#This Row],[Arbeidskosten op basis van IKS]]=1,Tb_Activiteiten[[#Headers],[Arbeidskosten op basis van IKS]],"")))</f>
        <v/>
      </c>
      <c r="AS771" t="str">
        <f>IF(ISNUMBER(FIND("overige",Methode_Keuze)),"",IF(Tb_Activiteiten[[#This Row],[Kosten derden exclusief btw]]=1,Tb_Activiteiten[[#Headers],[Kosten derden exclusief btw]],""))</f>
        <v/>
      </c>
      <c r="AT771" t="str">
        <f>IF(ISNUMBER(FIND("overige",Methode_Keuze)),"",IF(Tb_Activiteiten[[#This Row],[Niet verrekenbare btw]]=1,Tb_Activiteiten[[#Headers],[Niet verrekenbare btw]],""))</f>
        <v/>
      </c>
      <c r="AU771" t="str">
        <f>IF(ISNUMBER(FIND("overige",Methode_Keuze)),"",IF(Tb_Activiteiten[[#This Row],[Grondkosten]]=1,Tb_Activiteiten[[#Headers],[Grondkosten]],""))</f>
        <v/>
      </c>
      <c r="AV771" t="str">
        <f>IF(ISNUMBER(FIND("overige",Methode_Keuze)),"",IF(Tb_Activiteiten[[#This Row],[Bijdrage in natura (overige)]]=1,Tb_Activiteiten[[#Headers],[Bijdrage in natura (overige)]],""))</f>
        <v/>
      </c>
      <c r="AW771" t="str">
        <f>IF(ISNUMBER(FIND("overige",Methode_Keuze)),"",IF(Tb_Activiteiten[[#This Row],[Bijdrage in natura (vrijwilligers)]]=1,Tb_Activiteiten[[#Headers],[Bijdrage in natura (vrijwilligers)]],""))</f>
        <v/>
      </c>
      <c r="AX771" t="str">
        <f>IF(ISNUMBER(FIND("overige",Methode_Keuze)),"",IF(Tb_Activiteiten[[#This Row],[Afschrijvingskosten]]=1,Tb_Activiteiten[[#Headers],[Afschrijvingskosten]],""))</f>
        <v/>
      </c>
      <c r="AY771" t="str">
        <f>IF(ISNUMBER(FIND("overige",Methode_Keuze)),"",IF(Tb_Activiteiten[[#This Row],[Vergoeding]]=1,Tb_Activiteiten[[#Headers],[Vergoeding]],""))</f>
        <v/>
      </c>
      <c r="AZ771" t="str">
        <f>IF(ISNUMBER(FIND("arbeid",Methode_Keuze)),"",IF(Tb_Activiteiten[[#This Row],[Arbeidskosten - vast tarief (excl eigen arbeid)]]=1,Tb_Activiteiten[[#Headers],[Arbeidskosten - vast tarief (excl eigen arbeid)]],""))</f>
        <v/>
      </c>
      <c r="BA771" t="str">
        <f>IF(ISNUMBER(FIND("overige",Methode_Keuze)),"",IF(Tb_Activiteiten[[#This Row],[Overige kosten]]=1,Tb_Activiteiten[[#Headers],[Overige kosten]],""))</f>
        <v/>
      </c>
    </row>
    <row r="772" spans="1:53" x14ac:dyDescent="0.25">
      <c r="A772" s="231"/>
      <c r="F772" s="64"/>
      <c r="G772" s="64"/>
      <c r="H772" s="275"/>
      <c r="I772" s="275"/>
      <c r="J772" s="275"/>
      <c r="K772" s="275"/>
      <c r="O772" s="56"/>
      <c r="Q772" t="str">
        <f>IFERROR(IF(VLOOKUP(Tb_Activiteiten[[#This Row],[Openstelling]],Tb_Openstelling[],2,0)=1,1,""),"")</f>
        <v/>
      </c>
      <c r="AK772" t="str">
        <f>IF(ISNUMBER(FIND("arbeid",Methode_Keuze)),"",IF(ISNUMBER(FIND("arbeid",Methode_Keuze)),"",IF(Tb_Activiteiten[[#This Row],[Loonkosten]]=1,Tb_Activiteiten[[#Headers],[Loonkosten]],"")))</f>
        <v/>
      </c>
      <c r="AL772" t="str">
        <f>IF(ISNUMBER(FIND("arbeid",Methode_Keuze)),"",IF(ISNUMBER(FIND("arbeid",Methode_Keuze)),"",IF(Tb_Activiteiten[[#This Row],[Eigen arbeid]]=1,Tb_Activiteiten[[#Headers],[Eigen arbeid]],"")))</f>
        <v/>
      </c>
      <c r="AM772" t="str">
        <f>IF(ISNUMBER(FIND("arbeid",Methode_Keuze)),"",IF(ISNUMBER(FIND("arbeid",Methode_Keuze)),"",IF(Tb_Activiteiten[[#This Row],[Projectmedewerker]]=1,Tb_Activiteiten[[#Headers],[Projectmedewerker]],"")))</f>
        <v/>
      </c>
      <c r="AN772" t="str">
        <f>IF(ISNUMBER(FIND("arbeid",Methode_Keuze)),"",IF(ISNUMBER(FIND("arbeid",Methode_Keuze)),"",IF(Tb_Activiteiten[[#This Row],[Landbouwer]]=1,Tb_Activiteiten[[#Headers],[Landbouwer]],"")))</f>
        <v/>
      </c>
      <c r="AO772" t="str">
        <f>IF(ISNUMBER(FIND("arbeid",Methode_Keuze)),"",IF(ISNUMBER(FIND("arbeid",Methode_Keuze)),"",IF(Tb_Activiteiten[[#This Row],[Adviseur]]=1,Tb_Activiteiten[[#Headers],[Adviseur]],"")))</f>
        <v/>
      </c>
      <c r="AP772" t="str">
        <f>IF(ISNUMBER(FIND("arbeid",Methode_Keuze)),"",IF(ISNUMBER(FIND("arbeid",Methode_Keuze)),"",IF(Tb_Activiteiten[[#This Row],[Projectleider/Expert]]=1,Tb_Activiteiten[[#Headers],[Projectleider/Expert]],"")))</f>
        <v/>
      </c>
      <c r="AQ772" t="str">
        <f>IF(ISNUMBER(FIND("arbeid",Methode_Keuze)),"",IF(ISNUMBER(FIND("arbeid",Methode_Keuze)),"",IF(Tb_Activiteiten[[#This Row],[Arbeidskosten]]=1,Tb_Activiteiten[[#Headers],[Arbeidskosten]],"")))</f>
        <v/>
      </c>
      <c r="AR772" t="str">
        <f>IF(ISNUMBER(FIND("arbeid",Methode_Keuze)),"",IF(ISNUMBER(FIND("arbeid",Methode_Keuze)),"",IF(Tb_Activiteiten[[#This Row],[Arbeidskosten op basis van IKS]]=1,Tb_Activiteiten[[#Headers],[Arbeidskosten op basis van IKS]],"")))</f>
        <v/>
      </c>
      <c r="AS772" t="str">
        <f>IF(ISNUMBER(FIND("overige",Methode_Keuze)),"",IF(Tb_Activiteiten[[#This Row],[Kosten derden exclusief btw]]=1,Tb_Activiteiten[[#Headers],[Kosten derden exclusief btw]],""))</f>
        <v/>
      </c>
      <c r="AT772" t="str">
        <f>IF(ISNUMBER(FIND("overige",Methode_Keuze)),"",IF(Tb_Activiteiten[[#This Row],[Niet verrekenbare btw]]=1,Tb_Activiteiten[[#Headers],[Niet verrekenbare btw]],""))</f>
        <v/>
      </c>
      <c r="AU772" t="str">
        <f>IF(ISNUMBER(FIND("overige",Methode_Keuze)),"",IF(Tb_Activiteiten[[#This Row],[Grondkosten]]=1,Tb_Activiteiten[[#Headers],[Grondkosten]],""))</f>
        <v/>
      </c>
      <c r="AV772" t="str">
        <f>IF(ISNUMBER(FIND("overige",Methode_Keuze)),"",IF(Tb_Activiteiten[[#This Row],[Bijdrage in natura (overige)]]=1,Tb_Activiteiten[[#Headers],[Bijdrage in natura (overige)]],""))</f>
        <v/>
      </c>
      <c r="AW772" t="str">
        <f>IF(ISNUMBER(FIND("overige",Methode_Keuze)),"",IF(Tb_Activiteiten[[#This Row],[Bijdrage in natura (vrijwilligers)]]=1,Tb_Activiteiten[[#Headers],[Bijdrage in natura (vrijwilligers)]],""))</f>
        <v/>
      </c>
      <c r="AX772" t="str">
        <f>IF(ISNUMBER(FIND("overige",Methode_Keuze)),"",IF(Tb_Activiteiten[[#This Row],[Afschrijvingskosten]]=1,Tb_Activiteiten[[#Headers],[Afschrijvingskosten]],""))</f>
        <v/>
      </c>
      <c r="AY772" t="str">
        <f>IF(ISNUMBER(FIND("overige",Methode_Keuze)),"",IF(Tb_Activiteiten[[#This Row],[Vergoeding]]=1,Tb_Activiteiten[[#Headers],[Vergoeding]],""))</f>
        <v/>
      </c>
      <c r="AZ772" t="str">
        <f>IF(ISNUMBER(FIND("arbeid",Methode_Keuze)),"",IF(Tb_Activiteiten[[#This Row],[Arbeidskosten - vast tarief (excl eigen arbeid)]]=1,Tb_Activiteiten[[#Headers],[Arbeidskosten - vast tarief (excl eigen arbeid)]],""))</f>
        <v/>
      </c>
      <c r="BA772" t="str">
        <f>IF(ISNUMBER(FIND("overige",Methode_Keuze)),"",IF(Tb_Activiteiten[[#This Row],[Overige kosten]]=1,Tb_Activiteiten[[#Headers],[Overige kosten]],""))</f>
        <v/>
      </c>
    </row>
    <row r="773" spans="1:53" x14ac:dyDescent="0.25">
      <c r="A773" s="231"/>
      <c r="F773" s="64"/>
      <c r="G773" s="64"/>
      <c r="H773" s="275"/>
      <c r="I773" s="275"/>
      <c r="J773" s="275"/>
      <c r="K773" s="275"/>
      <c r="O773" s="56"/>
      <c r="Q773" t="str">
        <f>IFERROR(IF(VLOOKUP(Tb_Activiteiten[[#This Row],[Openstelling]],Tb_Openstelling[],2,0)=1,1,""),"")</f>
        <v/>
      </c>
      <c r="AK773" t="str">
        <f>IF(ISNUMBER(FIND("arbeid",Methode_Keuze)),"",IF(ISNUMBER(FIND("arbeid",Methode_Keuze)),"",IF(Tb_Activiteiten[[#This Row],[Loonkosten]]=1,Tb_Activiteiten[[#Headers],[Loonkosten]],"")))</f>
        <v/>
      </c>
      <c r="AL773" t="str">
        <f>IF(ISNUMBER(FIND("arbeid",Methode_Keuze)),"",IF(ISNUMBER(FIND("arbeid",Methode_Keuze)),"",IF(Tb_Activiteiten[[#This Row],[Eigen arbeid]]=1,Tb_Activiteiten[[#Headers],[Eigen arbeid]],"")))</f>
        <v/>
      </c>
      <c r="AM773" t="str">
        <f>IF(ISNUMBER(FIND("arbeid",Methode_Keuze)),"",IF(ISNUMBER(FIND("arbeid",Methode_Keuze)),"",IF(Tb_Activiteiten[[#This Row],[Projectmedewerker]]=1,Tb_Activiteiten[[#Headers],[Projectmedewerker]],"")))</f>
        <v/>
      </c>
      <c r="AN773" t="str">
        <f>IF(ISNUMBER(FIND("arbeid",Methode_Keuze)),"",IF(ISNUMBER(FIND("arbeid",Methode_Keuze)),"",IF(Tb_Activiteiten[[#This Row],[Landbouwer]]=1,Tb_Activiteiten[[#Headers],[Landbouwer]],"")))</f>
        <v/>
      </c>
      <c r="AO773" t="str">
        <f>IF(ISNUMBER(FIND("arbeid",Methode_Keuze)),"",IF(ISNUMBER(FIND("arbeid",Methode_Keuze)),"",IF(Tb_Activiteiten[[#This Row],[Adviseur]]=1,Tb_Activiteiten[[#Headers],[Adviseur]],"")))</f>
        <v/>
      </c>
      <c r="AP773" t="str">
        <f>IF(ISNUMBER(FIND("arbeid",Methode_Keuze)),"",IF(ISNUMBER(FIND("arbeid",Methode_Keuze)),"",IF(Tb_Activiteiten[[#This Row],[Projectleider/Expert]]=1,Tb_Activiteiten[[#Headers],[Projectleider/Expert]],"")))</f>
        <v/>
      </c>
      <c r="AQ773" t="str">
        <f>IF(ISNUMBER(FIND("arbeid",Methode_Keuze)),"",IF(ISNUMBER(FIND("arbeid",Methode_Keuze)),"",IF(Tb_Activiteiten[[#This Row],[Arbeidskosten]]=1,Tb_Activiteiten[[#Headers],[Arbeidskosten]],"")))</f>
        <v/>
      </c>
      <c r="AR773" t="str">
        <f>IF(ISNUMBER(FIND("arbeid",Methode_Keuze)),"",IF(ISNUMBER(FIND("arbeid",Methode_Keuze)),"",IF(Tb_Activiteiten[[#This Row],[Arbeidskosten op basis van IKS]]=1,Tb_Activiteiten[[#Headers],[Arbeidskosten op basis van IKS]],"")))</f>
        <v/>
      </c>
      <c r="AS773" t="str">
        <f>IF(ISNUMBER(FIND("overige",Methode_Keuze)),"",IF(Tb_Activiteiten[[#This Row],[Kosten derden exclusief btw]]=1,Tb_Activiteiten[[#Headers],[Kosten derden exclusief btw]],""))</f>
        <v/>
      </c>
      <c r="AT773" t="str">
        <f>IF(ISNUMBER(FIND("overige",Methode_Keuze)),"",IF(Tb_Activiteiten[[#This Row],[Niet verrekenbare btw]]=1,Tb_Activiteiten[[#Headers],[Niet verrekenbare btw]],""))</f>
        <v/>
      </c>
      <c r="AU773" t="str">
        <f>IF(ISNUMBER(FIND("overige",Methode_Keuze)),"",IF(Tb_Activiteiten[[#This Row],[Grondkosten]]=1,Tb_Activiteiten[[#Headers],[Grondkosten]],""))</f>
        <v/>
      </c>
      <c r="AV773" t="str">
        <f>IF(ISNUMBER(FIND("overige",Methode_Keuze)),"",IF(Tb_Activiteiten[[#This Row],[Bijdrage in natura (overige)]]=1,Tb_Activiteiten[[#Headers],[Bijdrage in natura (overige)]],""))</f>
        <v/>
      </c>
      <c r="AW773" t="str">
        <f>IF(ISNUMBER(FIND("overige",Methode_Keuze)),"",IF(Tb_Activiteiten[[#This Row],[Bijdrage in natura (vrijwilligers)]]=1,Tb_Activiteiten[[#Headers],[Bijdrage in natura (vrijwilligers)]],""))</f>
        <v/>
      </c>
      <c r="AX773" t="str">
        <f>IF(ISNUMBER(FIND("overige",Methode_Keuze)),"",IF(Tb_Activiteiten[[#This Row],[Afschrijvingskosten]]=1,Tb_Activiteiten[[#Headers],[Afschrijvingskosten]],""))</f>
        <v/>
      </c>
      <c r="AY773" t="str">
        <f>IF(ISNUMBER(FIND("overige",Methode_Keuze)),"",IF(Tb_Activiteiten[[#This Row],[Vergoeding]]=1,Tb_Activiteiten[[#Headers],[Vergoeding]],""))</f>
        <v/>
      </c>
      <c r="AZ773" t="str">
        <f>IF(ISNUMBER(FIND("arbeid",Methode_Keuze)),"",IF(Tb_Activiteiten[[#This Row],[Arbeidskosten - vast tarief (excl eigen arbeid)]]=1,Tb_Activiteiten[[#Headers],[Arbeidskosten - vast tarief (excl eigen arbeid)]],""))</f>
        <v/>
      </c>
      <c r="BA773" t="str">
        <f>IF(ISNUMBER(FIND("overige",Methode_Keuze)),"",IF(Tb_Activiteiten[[#This Row],[Overige kosten]]=1,Tb_Activiteiten[[#Headers],[Overige kosten]],""))</f>
        <v/>
      </c>
    </row>
    <row r="774" spans="1:53" x14ac:dyDescent="0.25">
      <c r="A774" s="231"/>
      <c r="F774" s="64"/>
      <c r="G774" s="64"/>
      <c r="H774" s="275"/>
      <c r="I774" s="275"/>
      <c r="J774" s="275"/>
      <c r="K774" s="275"/>
      <c r="O774" s="56"/>
      <c r="Q774" t="str">
        <f>IFERROR(IF(VLOOKUP(Tb_Activiteiten[[#This Row],[Openstelling]],Tb_Openstelling[],2,0)=1,1,""),"")</f>
        <v/>
      </c>
      <c r="AK774" t="str">
        <f>IF(ISNUMBER(FIND("arbeid",Methode_Keuze)),"",IF(ISNUMBER(FIND("arbeid",Methode_Keuze)),"",IF(Tb_Activiteiten[[#This Row],[Loonkosten]]=1,Tb_Activiteiten[[#Headers],[Loonkosten]],"")))</f>
        <v/>
      </c>
      <c r="AL774" t="str">
        <f>IF(ISNUMBER(FIND("arbeid",Methode_Keuze)),"",IF(ISNUMBER(FIND("arbeid",Methode_Keuze)),"",IF(Tb_Activiteiten[[#This Row],[Eigen arbeid]]=1,Tb_Activiteiten[[#Headers],[Eigen arbeid]],"")))</f>
        <v/>
      </c>
      <c r="AM774" t="str">
        <f>IF(ISNUMBER(FIND("arbeid",Methode_Keuze)),"",IF(ISNUMBER(FIND("arbeid",Methode_Keuze)),"",IF(Tb_Activiteiten[[#This Row],[Projectmedewerker]]=1,Tb_Activiteiten[[#Headers],[Projectmedewerker]],"")))</f>
        <v/>
      </c>
      <c r="AN774" t="str">
        <f>IF(ISNUMBER(FIND("arbeid",Methode_Keuze)),"",IF(ISNUMBER(FIND("arbeid",Methode_Keuze)),"",IF(Tb_Activiteiten[[#This Row],[Landbouwer]]=1,Tb_Activiteiten[[#Headers],[Landbouwer]],"")))</f>
        <v/>
      </c>
      <c r="AO774" t="str">
        <f>IF(ISNUMBER(FIND("arbeid",Methode_Keuze)),"",IF(ISNUMBER(FIND("arbeid",Methode_Keuze)),"",IF(Tb_Activiteiten[[#This Row],[Adviseur]]=1,Tb_Activiteiten[[#Headers],[Adviseur]],"")))</f>
        <v/>
      </c>
      <c r="AP774" t="str">
        <f>IF(ISNUMBER(FIND("arbeid",Methode_Keuze)),"",IF(ISNUMBER(FIND("arbeid",Methode_Keuze)),"",IF(Tb_Activiteiten[[#This Row],[Projectleider/Expert]]=1,Tb_Activiteiten[[#Headers],[Projectleider/Expert]],"")))</f>
        <v/>
      </c>
      <c r="AQ774" t="str">
        <f>IF(ISNUMBER(FIND("arbeid",Methode_Keuze)),"",IF(ISNUMBER(FIND("arbeid",Methode_Keuze)),"",IF(Tb_Activiteiten[[#This Row],[Arbeidskosten]]=1,Tb_Activiteiten[[#Headers],[Arbeidskosten]],"")))</f>
        <v/>
      </c>
      <c r="AR774" t="str">
        <f>IF(ISNUMBER(FIND("arbeid",Methode_Keuze)),"",IF(ISNUMBER(FIND("arbeid",Methode_Keuze)),"",IF(Tb_Activiteiten[[#This Row],[Arbeidskosten op basis van IKS]]=1,Tb_Activiteiten[[#Headers],[Arbeidskosten op basis van IKS]],"")))</f>
        <v/>
      </c>
      <c r="AS774" t="str">
        <f>IF(ISNUMBER(FIND("overige",Methode_Keuze)),"",IF(Tb_Activiteiten[[#This Row],[Kosten derden exclusief btw]]=1,Tb_Activiteiten[[#Headers],[Kosten derden exclusief btw]],""))</f>
        <v/>
      </c>
      <c r="AT774" t="str">
        <f>IF(ISNUMBER(FIND("overige",Methode_Keuze)),"",IF(Tb_Activiteiten[[#This Row],[Niet verrekenbare btw]]=1,Tb_Activiteiten[[#Headers],[Niet verrekenbare btw]],""))</f>
        <v/>
      </c>
      <c r="AU774" t="str">
        <f>IF(ISNUMBER(FIND("overige",Methode_Keuze)),"",IF(Tb_Activiteiten[[#This Row],[Grondkosten]]=1,Tb_Activiteiten[[#Headers],[Grondkosten]],""))</f>
        <v/>
      </c>
      <c r="AV774" t="str">
        <f>IF(ISNUMBER(FIND("overige",Methode_Keuze)),"",IF(Tb_Activiteiten[[#This Row],[Bijdrage in natura (overige)]]=1,Tb_Activiteiten[[#Headers],[Bijdrage in natura (overige)]],""))</f>
        <v/>
      </c>
      <c r="AW774" t="str">
        <f>IF(ISNUMBER(FIND("overige",Methode_Keuze)),"",IF(Tb_Activiteiten[[#This Row],[Bijdrage in natura (vrijwilligers)]]=1,Tb_Activiteiten[[#Headers],[Bijdrage in natura (vrijwilligers)]],""))</f>
        <v/>
      </c>
      <c r="AX774" t="str">
        <f>IF(ISNUMBER(FIND("overige",Methode_Keuze)),"",IF(Tb_Activiteiten[[#This Row],[Afschrijvingskosten]]=1,Tb_Activiteiten[[#Headers],[Afschrijvingskosten]],""))</f>
        <v/>
      </c>
      <c r="AY774" t="str">
        <f>IF(ISNUMBER(FIND("overige",Methode_Keuze)),"",IF(Tb_Activiteiten[[#This Row],[Vergoeding]]=1,Tb_Activiteiten[[#Headers],[Vergoeding]],""))</f>
        <v/>
      </c>
      <c r="AZ774" t="str">
        <f>IF(ISNUMBER(FIND("arbeid",Methode_Keuze)),"",IF(Tb_Activiteiten[[#This Row],[Arbeidskosten - vast tarief (excl eigen arbeid)]]=1,Tb_Activiteiten[[#Headers],[Arbeidskosten - vast tarief (excl eigen arbeid)]],""))</f>
        <v/>
      </c>
      <c r="BA774" t="str">
        <f>IF(ISNUMBER(FIND("overige",Methode_Keuze)),"",IF(Tb_Activiteiten[[#This Row],[Overige kosten]]=1,Tb_Activiteiten[[#Headers],[Overige kosten]],""))</f>
        <v/>
      </c>
    </row>
    <row r="775" spans="1:53" x14ac:dyDescent="0.25">
      <c r="A775" s="231"/>
      <c r="F775" s="64"/>
      <c r="G775" s="64"/>
      <c r="H775" s="275"/>
      <c r="I775" s="275"/>
      <c r="J775" s="275"/>
      <c r="K775" s="275"/>
      <c r="O775" s="56"/>
      <c r="Q775" t="str">
        <f>IFERROR(IF(VLOOKUP(Tb_Activiteiten[[#This Row],[Openstelling]],Tb_Openstelling[],2,0)=1,1,""),"")</f>
        <v/>
      </c>
      <c r="AK775" t="str">
        <f>IF(ISNUMBER(FIND("arbeid",Methode_Keuze)),"",IF(ISNUMBER(FIND("arbeid",Methode_Keuze)),"",IF(Tb_Activiteiten[[#This Row],[Loonkosten]]=1,Tb_Activiteiten[[#Headers],[Loonkosten]],"")))</f>
        <v/>
      </c>
      <c r="AL775" t="str">
        <f>IF(ISNUMBER(FIND("arbeid",Methode_Keuze)),"",IF(ISNUMBER(FIND("arbeid",Methode_Keuze)),"",IF(Tb_Activiteiten[[#This Row],[Eigen arbeid]]=1,Tb_Activiteiten[[#Headers],[Eigen arbeid]],"")))</f>
        <v/>
      </c>
      <c r="AM775" t="str">
        <f>IF(ISNUMBER(FIND("arbeid",Methode_Keuze)),"",IF(ISNUMBER(FIND("arbeid",Methode_Keuze)),"",IF(Tb_Activiteiten[[#This Row],[Projectmedewerker]]=1,Tb_Activiteiten[[#Headers],[Projectmedewerker]],"")))</f>
        <v/>
      </c>
      <c r="AN775" t="str">
        <f>IF(ISNUMBER(FIND("arbeid",Methode_Keuze)),"",IF(ISNUMBER(FIND("arbeid",Methode_Keuze)),"",IF(Tb_Activiteiten[[#This Row],[Landbouwer]]=1,Tb_Activiteiten[[#Headers],[Landbouwer]],"")))</f>
        <v/>
      </c>
      <c r="AO775" t="str">
        <f>IF(ISNUMBER(FIND("arbeid",Methode_Keuze)),"",IF(ISNUMBER(FIND("arbeid",Methode_Keuze)),"",IF(Tb_Activiteiten[[#This Row],[Adviseur]]=1,Tb_Activiteiten[[#Headers],[Adviseur]],"")))</f>
        <v/>
      </c>
      <c r="AP775" t="str">
        <f>IF(ISNUMBER(FIND("arbeid",Methode_Keuze)),"",IF(ISNUMBER(FIND("arbeid",Methode_Keuze)),"",IF(Tb_Activiteiten[[#This Row],[Projectleider/Expert]]=1,Tb_Activiteiten[[#Headers],[Projectleider/Expert]],"")))</f>
        <v/>
      </c>
      <c r="AQ775" t="str">
        <f>IF(ISNUMBER(FIND("arbeid",Methode_Keuze)),"",IF(ISNUMBER(FIND("arbeid",Methode_Keuze)),"",IF(Tb_Activiteiten[[#This Row],[Arbeidskosten]]=1,Tb_Activiteiten[[#Headers],[Arbeidskosten]],"")))</f>
        <v/>
      </c>
      <c r="AR775" t="str">
        <f>IF(ISNUMBER(FIND("arbeid",Methode_Keuze)),"",IF(ISNUMBER(FIND("arbeid",Methode_Keuze)),"",IF(Tb_Activiteiten[[#This Row],[Arbeidskosten op basis van IKS]]=1,Tb_Activiteiten[[#Headers],[Arbeidskosten op basis van IKS]],"")))</f>
        <v/>
      </c>
      <c r="AS775" t="str">
        <f>IF(ISNUMBER(FIND("overige",Methode_Keuze)),"",IF(Tb_Activiteiten[[#This Row],[Kosten derden exclusief btw]]=1,Tb_Activiteiten[[#Headers],[Kosten derden exclusief btw]],""))</f>
        <v/>
      </c>
      <c r="AT775" t="str">
        <f>IF(ISNUMBER(FIND("overige",Methode_Keuze)),"",IF(Tb_Activiteiten[[#This Row],[Niet verrekenbare btw]]=1,Tb_Activiteiten[[#Headers],[Niet verrekenbare btw]],""))</f>
        <v/>
      </c>
      <c r="AU775" t="str">
        <f>IF(ISNUMBER(FIND("overige",Methode_Keuze)),"",IF(Tb_Activiteiten[[#This Row],[Grondkosten]]=1,Tb_Activiteiten[[#Headers],[Grondkosten]],""))</f>
        <v/>
      </c>
      <c r="AV775" t="str">
        <f>IF(ISNUMBER(FIND("overige",Methode_Keuze)),"",IF(Tb_Activiteiten[[#This Row],[Bijdrage in natura (overige)]]=1,Tb_Activiteiten[[#Headers],[Bijdrage in natura (overige)]],""))</f>
        <v/>
      </c>
      <c r="AW775" t="str">
        <f>IF(ISNUMBER(FIND("overige",Methode_Keuze)),"",IF(Tb_Activiteiten[[#This Row],[Bijdrage in natura (vrijwilligers)]]=1,Tb_Activiteiten[[#Headers],[Bijdrage in natura (vrijwilligers)]],""))</f>
        <v/>
      </c>
      <c r="AX775" t="str">
        <f>IF(ISNUMBER(FIND("overige",Methode_Keuze)),"",IF(Tb_Activiteiten[[#This Row],[Afschrijvingskosten]]=1,Tb_Activiteiten[[#Headers],[Afschrijvingskosten]],""))</f>
        <v/>
      </c>
      <c r="AY775" t="str">
        <f>IF(ISNUMBER(FIND("overige",Methode_Keuze)),"",IF(Tb_Activiteiten[[#This Row],[Vergoeding]]=1,Tb_Activiteiten[[#Headers],[Vergoeding]],""))</f>
        <v/>
      </c>
      <c r="AZ775" t="str">
        <f>IF(ISNUMBER(FIND("arbeid",Methode_Keuze)),"",IF(Tb_Activiteiten[[#This Row],[Arbeidskosten - vast tarief (excl eigen arbeid)]]=1,Tb_Activiteiten[[#Headers],[Arbeidskosten - vast tarief (excl eigen arbeid)]],""))</f>
        <v/>
      </c>
      <c r="BA775" t="str">
        <f>IF(ISNUMBER(FIND("overige",Methode_Keuze)),"",IF(Tb_Activiteiten[[#This Row],[Overige kosten]]=1,Tb_Activiteiten[[#Headers],[Overige kosten]],""))</f>
        <v/>
      </c>
    </row>
    <row r="776" spans="1:53" x14ac:dyDescent="0.25">
      <c r="A776" s="231"/>
      <c r="F776" s="64"/>
      <c r="G776" s="64"/>
      <c r="H776" s="275"/>
      <c r="I776" s="275"/>
      <c r="J776" s="275"/>
      <c r="K776" s="275"/>
      <c r="O776" s="56"/>
      <c r="Q776" t="str">
        <f>IFERROR(IF(VLOOKUP(Tb_Activiteiten[[#This Row],[Openstelling]],Tb_Openstelling[],2,0)=1,1,""),"")</f>
        <v/>
      </c>
      <c r="AK776" t="str">
        <f>IF(ISNUMBER(FIND("arbeid",Methode_Keuze)),"",IF(ISNUMBER(FIND("arbeid",Methode_Keuze)),"",IF(Tb_Activiteiten[[#This Row],[Loonkosten]]=1,Tb_Activiteiten[[#Headers],[Loonkosten]],"")))</f>
        <v/>
      </c>
      <c r="AL776" t="str">
        <f>IF(ISNUMBER(FIND("arbeid",Methode_Keuze)),"",IF(ISNUMBER(FIND("arbeid",Methode_Keuze)),"",IF(Tb_Activiteiten[[#This Row],[Eigen arbeid]]=1,Tb_Activiteiten[[#Headers],[Eigen arbeid]],"")))</f>
        <v/>
      </c>
      <c r="AM776" t="str">
        <f>IF(ISNUMBER(FIND("arbeid",Methode_Keuze)),"",IF(ISNUMBER(FIND("arbeid",Methode_Keuze)),"",IF(Tb_Activiteiten[[#This Row],[Projectmedewerker]]=1,Tb_Activiteiten[[#Headers],[Projectmedewerker]],"")))</f>
        <v/>
      </c>
      <c r="AN776" t="str">
        <f>IF(ISNUMBER(FIND("arbeid",Methode_Keuze)),"",IF(ISNUMBER(FIND("arbeid",Methode_Keuze)),"",IF(Tb_Activiteiten[[#This Row],[Landbouwer]]=1,Tb_Activiteiten[[#Headers],[Landbouwer]],"")))</f>
        <v/>
      </c>
      <c r="AO776" t="str">
        <f>IF(ISNUMBER(FIND("arbeid",Methode_Keuze)),"",IF(ISNUMBER(FIND("arbeid",Methode_Keuze)),"",IF(Tb_Activiteiten[[#This Row],[Adviseur]]=1,Tb_Activiteiten[[#Headers],[Adviseur]],"")))</f>
        <v/>
      </c>
      <c r="AP776" t="str">
        <f>IF(ISNUMBER(FIND("arbeid",Methode_Keuze)),"",IF(ISNUMBER(FIND("arbeid",Methode_Keuze)),"",IF(Tb_Activiteiten[[#This Row],[Projectleider/Expert]]=1,Tb_Activiteiten[[#Headers],[Projectleider/Expert]],"")))</f>
        <v/>
      </c>
      <c r="AQ776" t="str">
        <f>IF(ISNUMBER(FIND("arbeid",Methode_Keuze)),"",IF(ISNUMBER(FIND("arbeid",Methode_Keuze)),"",IF(Tb_Activiteiten[[#This Row],[Arbeidskosten]]=1,Tb_Activiteiten[[#Headers],[Arbeidskosten]],"")))</f>
        <v/>
      </c>
      <c r="AR776" t="str">
        <f>IF(ISNUMBER(FIND("arbeid",Methode_Keuze)),"",IF(ISNUMBER(FIND("arbeid",Methode_Keuze)),"",IF(Tb_Activiteiten[[#This Row],[Arbeidskosten op basis van IKS]]=1,Tb_Activiteiten[[#Headers],[Arbeidskosten op basis van IKS]],"")))</f>
        <v/>
      </c>
      <c r="AS776" t="str">
        <f>IF(ISNUMBER(FIND("overige",Methode_Keuze)),"",IF(Tb_Activiteiten[[#This Row],[Kosten derden exclusief btw]]=1,Tb_Activiteiten[[#Headers],[Kosten derden exclusief btw]],""))</f>
        <v/>
      </c>
      <c r="AT776" t="str">
        <f>IF(ISNUMBER(FIND("overige",Methode_Keuze)),"",IF(Tb_Activiteiten[[#This Row],[Niet verrekenbare btw]]=1,Tb_Activiteiten[[#Headers],[Niet verrekenbare btw]],""))</f>
        <v/>
      </c>
      <c r="AU776" t="str">
        <f>IF(ISNUMBER(FIND("overige",Methode_Keuze)),"",IF(Tb_Activiteiten[[#This Row],[Grondkosten]]=1,Tb_Activiteiten[[#Headers],[Grondkosten]],""))</f>
        <v/>
      </c>
      <c r="AV776" t="str">
        <f>IF(ISNUMBER(FIND("overige",Methode_Keuze)),"",IF(Tb_Activiteiten[[#This Row],[Bijdrage in natura (overige)]]=1,Tb_Activiteiten[[#Headers],[Bijdrage in natura (overige)]],""))</f>
        <v/>
      </c>
      <c r="AW776" t="str">
        <f>IF(ISNUMBER(FIND("overige",Methode_Keuze)),"",IF(Tb_Activiteiten[[#This Row],[Bijdrage in natura (vrijwilligers)]]=1,Tb_Activiteiten[[#Headers],[Bijdrage in natura (vrijwilligers)]],""))</f>
        <v/>
      </c>
      <c r="AX776" t="str">
        <f>IF(ISNUMBER(FIND("overige",Methode_Keuze)),"",IF(Tb_Activiteiten[[#This Row],[Afschrijvingskosten]]=1,Tb_Activiteiten[[#Headers],[Afschrijvingskosten]],""))</f>
        <v/>
      </c>
      <c r="AY776" t="str">
        <f>IF(ISNUMBER(FIND("overige",Methode_Keuze)),"",IF(Tb_Activiteiten[[#This Row],[Vergoeding]]=1,Tb_Activiteiten[[#Headers],[Vergoeding]],""))</f>
        <v/>
      </c>
      <c r="AZ776" t="str">
        <f>IF(ISNUMBER(FIND("arbeid",Methode_Keuze)),"",IF(Tb_Activiteiten[[#This Row],[Arbeidskosten - vast tarief (excl eigen arbeid)]]=1,Tb_Activiteiten[[#Headers],[Arbeidskosten - vast tarief (excl eigen arbeid)]],""))</f>
        <v/>
      </c>
      <c r="BA776" t="str">
        <f>IF(ISNUMBER(FIND("overige",Methode_Keuze)),"",IF(Tb_Activiteiten[[#This Row],[Overige kosten]]=1,Tb_Activiteiten[[#Headers],[Overige kosten]],""))</f>
        <v/>
      </c>
    </row>
    <row r="777" spans="1:53" x14ac:dyDescent="0.25">
      <c r="A777" s="231"/>
      <c r="F777" s="64"/>
      <c r="G777" s="64"/>
      <c r="H777" s="275"/>
      <c r="I777" s="275"/>
      <c r="J777" s="275"/>
      <c r="K777" s="275"/>
      <c r="O777" s="56"/>
      <c r="Q777" t="str">
        <f>IFERROR(IF(VLOOKUP(Tb_Activiteiten[[#This Row],[Openstelling]],Tb_Openstelling[],2,0)=1,1,""),"")</f>
        <v/>
      </c>
      <c r="AK777" t="str">
        <f>IF(ISNUMBER(FIND("arbeid",Methode_Keuze)),"",IF(ISNUMBER(FIND("arbeid",Methode_Keuze)),"",IF(Tb_Activiteiten[[#This Row],[Loonkosten]]=1,Tb_Activiteiten[[#Headers],[Loonkosten]],"")))</f>
        <v/>
      </c>
      <c r="AL777" t="str">
        <f>IF(ISNUMBER(FIND("arbeid",Methode_Keuze)),"",IF(ISNUMBER(FIND("arbeid",Methode_Keuze)),"",IF(Tb_Activiteiten[[#This Row],[Eigen arbeid]]=1,Tb_Activiteiten[[#Headers],[Eigen arbeid]],"")))</f>
        <v/>
      </c>
      <c r="AM777" t="str">
        <f>IF(ISNUMBER(FIND("arbeid",Methode_Keuze)),"",IF(ISNUMBER(FIND("arbeid",Methode_Keuze)),"",IF(Tb_Activiteiten[[#This Row],[Projectmedewerker]]=1,Tb_Activiteiten[[#Headers],[Projectmedewerker]],"")))</f>
        <v/>
      </c>
      <c r="AN777" t="str">
        <f>IF(ISNUMBER(FIND("arbeid",Methode_Keuze)),"",IF(ISNUMBER(FIND("arbeid",Methode_Keuze)),"",IF(Tb_Activiteiten[[#This Row],[Landbouwer]]=1,Tb_Activiteiten[[#Headers],[Landbouwer]],"")))</f>
        <v/>
      </c>
      <c r="AO777" t="str">
        <f>IF(ISNUMBER(FIND("arbeid",Methode_Keuze)),"",IF(ISNUMBER(FIND("arbeid",Methode_Keuze)),"",IF(Tb_Activiteiten[[#This Row],[Adviseur]]=1,Tb_Activiteiten[[#Headers],[Adviseur]],"")))</f>
        <v/>
      </c>
      <c r="AP777" t="str">
        <f>IF(ISNUMBER(FIND("arbeid",Methode_Keuze)),"",IF(ISNUMBER(FIND("arbeid",Methode_Keuze)),"",IF(Tb_Activiteiten[[#This Row],[Projectleider/Expert]]=1,Tb_Activiteiten[[#Headers],[Projectleider/Expert]],"")))</f>
        <v/>
      </c>
      <c r="AQ777" t="str">
        <f>IF(ISNUMBER(FIND("arbeid",Methode_Keuze)),"",IF(ISNUMBER(FIND("arbeid",Methode_Keuze)),"",IF(Tb_Activiteiten[[#This Row],[Arbeidskosten]]=1,Tb_Activiteiten[[#Headers],[Arbeidskosten]],"")))</f>
        <v/>
      </c>
      <c r="AR777" t="str">
        <f>IF(ISNUMBER(FIND("arbeid",Methode_Keuze)),"",IF(ISNUMBER(FIND("arbeid",Methode_Keuze)),"",IF(Tb_Activiteiten[[#This Row],[Arbeidskosten op basis van IKS]]=1,Tb_Activiteiten[[#Headers],[Arbeidskosten op basis van IKS]],"")))</f>
        <v/>
      </c>
      <c r="AS777" t="str">
        <f>IF(ISNUMBER(FIND("overige",Methode_Keuze)),"",IF(Tb_Activiteiten[[#This Row],[Kosten derden exclusief btw]]=1,Tb_Activiteiten[[#Headers],[Kosten derden exclusief btw]],""))</f>
        <v/>
      </c>
      <c r="AT777" t="str">
        <f>IF(ISNUMBER(FIND("overige",Methode_Keuze)),"",IF(Tb_Activiteiten[[#This Row],[Niet verrekenbare btw]]=1,Tb_Activiteiten[[#Headers],[Niet verrekenbare btw]],""))</f>
        <v/>
      </c>
      <c r="AU777" t="str">
        <f>IF(ISNUMBER(FIND("overige",Methode_Keuze)),"",IF(Tb_Activiteiten[[#This Row],[Grondkosten]]=1,Tb_Activiteiten[[#Headers],[Grondkosten]],""))</f>
        <v/>
      </c>
      <c r="AV777" t="str">
        <f>IF(ISNUMBER(FIND("overige",Methode_Keuze)),"",IF(Tb_Activiteiten[[#This Row],[Bijdrage in natura (overige)]]=1,Tb_Activiteiten[[#Headers],[Bijdrage in natura (overige)]],""))</f>
        <v/>
      </c>
      <c r="AW777" t="str">
        <f>IF(ISNUMBER(FIND("overige",Methode_Keuze)),"",IF(Tb_Activiteiten[[#This Row],[Bijdrage in natura (vrijwilligers)]]=1,Tb_Activiteiten[[#Headers],[Bijdrage in natura (vrijwilligers)]],""))</f>
        <v/>
      </c>
      <c r="AX777" t="str">
        <f>IF(ISNUMBER(FIND("overige",Methode_Keuze)),"",IF(Tb_Activiteiten[[#This Row],[Afschrijvingskosten]]=1,Tb_Activiteiten[[#Headers],[Afschrijvingskosten]],""))</f>
        <v/>
      </c>
      <c r="AY777" t="str">
        <f>IF(ISNUMBER(FIND("overige",Methode_Keuze)),"",IF(Tb_Activiteiten[[#This Row],[Vergoeding]]=1,Tb_Activiteiten[[#Headers],[Vergoeding]],""))</f>
        <v/>
      </c>
      <c r="AZ777" t="str">
        <f>IF(ISNUMBER(FIND("arbeid",Methode_Keuze)),"",IF(Tb_Activiteiten[[#This Row],[Arbeidskosten - vast tarief (excl eigen arbeid)]]=1,Tb_Activiteiten[[#Headers],[Arbeidskosten - vast tarief (excl eigen arbeid)]],""))</f>
        <v/>
      </c>
      <c r="BA777" t="str">
        <f>IF(ISNUMBER(FIND("overige",Methode_Keuze)),"",IF(Tb_Activiteiten[[#This Row],[Overige kosten]]=1,Tb_Activiteiten[[#Headers],[Overige kosten]],""))</f>
        <v/>
      </c>
    </row>
    <row r="778" spans="1:53" x14ac:dyDescent="0.25">
      <c r="A778" s="231"/>
      <c r="F778" s="64"/>
      <c r="G778" s="64"/>
      <c r="H778" s="275"/>
      <c r="I778" s="275"/>
      <c r="J778" s="275"/>
      <c r="K778" s="275"/>
      <c r="O778" s="56"/>
      <c r="Q778" t="str">
        <f>IFERROR(IF(VLOOKUP(Tb_Activiteiten[[#This Row],[Openstelling]],Tb_Openstelling[],2,0)=1,1,""),"")</f>
        <v/>
      </c>
      <c r="AK778" t="str">
        <f>IF(ISNUMBER(FIND("arbeid",Methode_Keuze)),"",IF(ISNUMBER(FIND("arbeid",Methode_Keuze)),"",IF(Tb_Activiteiten[[#This Row],[Loonkosten]]=1,Tb_Activiteiten[[#Headers],[Loonkosten]],"")))</f>
        <v/>
      </c>
      <c r="AL778" t="str">
        <f>IF(ISNUMBER(FIND("arbeid",Methode_Keuze)),"",IF(ISNUMBER(FIND("arbeid",Methode_Keuze)),"",IF(Tb_Activiteiten[[#This Row],[Eigen arbeid]]=1,Tb_Activiteiten[[#Headers],[Eigen arbeid]],"")))</f>
        <v/>
      </c>
      <c r="AM778" t="str">
        <f>IF(ISNUMBER(FIND("arbeid",Methode_Keuze)),"",IF(ISNUMBER(FIND("arbeid",Methode_Keuze)),"",IF(Tb_Activiteiten[[#This Row],[Projectmedewerker]]=1,Tb_Activiteiten[[#Headers],[Projectmedewerker]],"")))</f>
        <v/>
      </c>
      <c r="AN778" t="str">
        <f>IF(ISNUMBER(FIND("arbeid",Methode_Keuze)),"",IF(ISNUMBER(FIND("arbeid",Methode_Keuze)),"",IF(Tb_Activiteiten[[#This Row],[Landbouwer]]=1,Tb_Activiteiten[[#Headers],[Landbouwer]],"")))</f>
        <v/>
      </c>
      <c r="AO778" t="str">
        <f>IF(ISNUMBER(FIND("arbeid",Methode_Keuze)),"",IF(ISNUMBER(FIND("arbeid",Methode_Keuze)),"",IF(Tb_Activiteiten[[#This Row],[Adviseur]]=1,Tb_Activiteiten[[#Headers],[Adviseur]],"")))</f>
        <v/>
      </c>
      <c r="AP778" t="str">
        <f>IF(ISNUMBER(FIND("arbeid",Methode_Keuze)),"",IF(ISNUMBER(FIND("arbeid",Methode_Keuze)),"",IF(Tb_Activiteiten[[#This Row],[Projectleider/Expert]]=1,Tb_Activiteiten[[#Headers],[Projectleider/Expert]],"")))</f>
        <v/>
      </c>
      <c r="AQ778" t="str">
        <f>IF(ISNUMBER(FIND("arbeid",Methode_Keuze)),"",IF(ISNUMBER(FIND("arbeid",Methode_Keuze)),"",IF(Tb_Activiteiten[[#This Row],[Arbeidskosten]]=1,Tb_Activiteiten[[#Headers],[Arbeidskosten]],"")))</f>
        <v/>
      </c>
      <c r="AR778" t="str">
        <f>IF(ISNUMBER(FIND("arbeid",Methode_Keuze)),"",IF(ISNUMBER(FIND("arbeid",Methode_Keuze)),"",IF(Tb_Activiteiten[[#This Row],[Arbeidskosten op basis van IKS]]=1,Tb_Activiteiten[[#Headers],[Arbeidskosten op basis van IKS]],"")))</f>
        <v/>
      </c>
      <c r="AS778" t="str">
        <f>IF(ISNUMBER(FIND("overige",Methode_Keuze)),"",IF(Tb_Activiteiten[[#This Row],[Kosten derden exclusief btw]]=1,Tb_Activiteiten[[#Headers],[Kosten derden exclusief btw]],""))</f>
        <v/>
      </c>
      <c r="AT778" t="str">
        <f>IF(ISNUMBER(FIND("overige",Methode_Keuze)),"",IF(Tb_Activiteiten[[#This Row],[Niet verrekenbare btw]]=1,Tb_Activiteiten[[#Headers],[Niet verrekenbare btw]],""))</f>
        <v/>
      </c>
      <c r="AU778" t="str">
        <f>IF(ISNUMBER(FIND("overige",Methode_Keuze)),"",IF(Tb_Activiteiten[[#This Row],[Grondkosten]]=1,Tb_Activiteiten[[#Headers],[Grondkosten]],""))</f>
        <v/>
      </c>
      <c r="AV778" t="str">
        <f>IF(ISNUMBER(FIND("overige",Methode_Keuze)),"",IF(Tb_Activiteiten[[#This Row],[Bijdrage in natura (overige)]]=1,Tb_Activiteiten[[#Headers],[Bijdrage in natura (overige)]],""))</f>
        <v/>
      </c>
      <c r="AW778" t="str">
        <f>IF(ISNUMBER(FIND("overige",Methode_Keuze)),"",IF(Tb_Activiteiten[[#This Row],[Bijdrage in natura (vrijwilligers)]]=1,Tb_Activiteiten[[#Headers],[Bijdrage in natura (vrijwilligers)]],""))</f>
        <v/>
      </c>
      <c r="AX778" t="str">
        <f>IF(ISNUMBER(FIND("overige",Methode_Keuze)),"",IF(Tb_Activiteiten[[#This Row],[Afschrijvingskosten]]=1,Tb_Activiteiten[[#Headers],[Afschrijvingskosten]],""))</f>
        <v/>
      </c>
      <c r="AY778" t="str">
        <f>IF(ISNUMBER(FIND("overige",Methode_Keuze)),"",IF(Tb_Activiteiten[[#This Row],[Vergoeding]]=1,Tb_Activiteiten[[#Headers],[Vergoeding]],""))</f>
        <v/>
      </c>
      <c r="AZ778" t="str">
        <f>IF(ISNUMBER(FIND("arbeid",Methode_Keuze)),"",IF(Tb_Activiteiten[[#This Row],[Arbeidskosten - vast tarief (excl eigen arbeid)]]=1,Tb_Activiteiten[[#Headers],[Arbeidskosten - vast tarief (excl eigen arbeid)]],""))</f>
        <v/>
      </c>
      <c r="BA778" t="str">
        <f>IF(ISNUMBER(FIND("overige",Methode_Keuze)),"",IF(Tb_Activiteiten[[#This Row],[Overige kosten]]=1,Tb_Activiteiten[[#Headers],[Overige kosten]],""))</f>
        <v/>
      </c>
    </row>
    <row r="779" spans="1:53" x14ac:dyDescent="0.25">
      <c r="A779" s="231"/>
      <c r="F779" s="64"/>
      <c r="G779" s="64"/>
      <c r="H779" s="275"/>
      <c r="I779" s="275"/>
      <c r="J779" s="275"/>
      <c r="K779" s="275"/>
      <c r="O779" s="56"/>
      <c r="Q779" t="str">
        <f>IFERROR(IF(VLOOKUP(Tb_Activiteiten[[#This Row],[Openstelling]],Tb_Openstelling[],2,0)=1,1,""),"")</f>
        <v/>
      </c>
      <c r="AK779" t="str">
        <f>IF(ISNUMBER(FIND("arbeid",Methode_Keuze)),"",IF(ISNUMBER(FIND("arbeid",Methode_Keuze)),"",IF(Tb_Activiteiten[[#This Row],[Loonkosten]]=1,Tb_Activiteiten[[#Headers],[Loonkosten]],"")))</f>
        <v/>
      </c>
      <c r="AL779" t="str">
        <f>IF(ISNUMBER(FIND("arbeid",Methode_Keuze)),"",IF(ISNUMBER(FIND("arbeid",Methode_Keuze)),"",IF(Tb_Activiteiten[[#This Row],[Eigen arbeid]]=1,Tb_Activiteiten[[#Headers],[Eigen arbeid]],"")))</f>
        <v/>
      </c>
      <c r="AM779" t="str">
        <f>IF(ISNUMBER(FIND("arbeid",Methode_Keuze)),"",IF(ISNUMBER(FIND("arbeid",Methode_Keuze)),"",IF(Tb_Activiteiten[[#This Row],[Projectmedewerker]]=1,Tb_Activiteiten[[#Headers],[Projectmedewerker]],"")))</f>
        <v/>
      </c>
      <c r="AN779" t="str">
        <f>IF(ISNUMBER(FIND("arbeid",Methode_Keuze)),"",IF(ISNUMBER(FIND("arbeid",Methode_Keuze)),"",IF(Tb_Activiteiten[[#This Row],[Landbouwer]]=1,Tb_Activiteiten[[#Headers],[Landbouwer]],"")))</f>
        <v/>
      </c>
      <c r="AO779" t="str">
        <f>IF(ISNUMBER(FIND("arbeid",Methode_Keuze)),"",IF(ISNUMBER(FIND("arbeid",Methode_Keuze)),"",IF(Tb_Activiteiten[[#This Row],[Adviseur]]=1,Tb_Activiteiten[[#Headers],[Adviseur]],"")))</f>
        <v/>
      </c>
      <c r="AP779" t="str">
        <f>IF(ISNUMBER(FIND("arbeid",Methode_Keuze)),"",IF(ISNUMBER(FIND("arbeid",Methode_Keuze)),"",IF(Tb_Activiteiten[[#This Row],[Projectleider/Expert]]=1,Tb_Activiteiten[[#Headers],[Projectleider/Expert]],"")))</f>
        <v/>
      </c>
      <c r="AQ779" t="str">
        <f>IF(ISNUMBER(FIND("arbeid",Methode_Keuze)),"",IF(ISNUMBER(FIND("arbeid",Methode_Keuze)),"",IF(Tb_Activiteiten[[#This Row],[Arbeidskosten]]=1,Tb_Activiteiten[[#Headers],[Arbeidskosten]],"")))</f>
        <v/>
      </c>
      <c r="AR779" t="str">
        <f>IF(ISNUMBER(FIND("arbeid",Methode_Keuze)),"",IF(ISNUMBER(FIND("arbeid",Methode_Keuze)),"",IF(Tb_Activiteiten[[#This Row],[Arbeidskosten op basis van IKS]]=1,Tb_Activiteiten[[#Headers],[Arbeidskosten op basis van IKS]],"")))</f>
        <v/>
      </c>
      <c r="AS779" t="str">
        <f>IF(ISNUMBER(FIND("overige",Methode_Keuze)),"",IF(Tb_Activiteiten[[#This Row],[Kosten derden exclusief btw]]=1,Tb_Activiteiten[[#Headers],[Kosten derden exclusief btw]],""))</f>
        <v/>
      </c>
      <c r="AT779" t="str">
        <f>IF(ISNUMBER(FIND("overige",Methode_Keuze)),"",IF(Tb_Activiteiten[[#This Row],[Niet verrekenbare btw]]=1,Tb_Activiteiten[[#Headers],[Niet verrekenbare btw]],""))</f>
        <v/>
      </c>
      <c r="AU779" t="str">
        <f>IF(ISNUMBER(FIND("overige",Methode_Keuze)),"",IF(Tb_Activiteiten[[#This Row],[Grondkosten]]=1,Tb_Activiteiten[[#Headers],[Grondkosten]],""))</f>
        <v/>
      </c>
      <c r="AV779" t="str">
        <f>IF(ISNUMBER(FIND("overige",Methode_Keuze)),"",IF(Tb_Activiteiten[[#This Row],[Bijdrage in natura (overige)]]=1,Tb_Activiteiten[[#Headers],[Bijdrage in natura (overige)]],""))</f>
        <v/>
      </c>
      <c r="AW779" t="str">
        <f>IF(ISNUMBER(FIND("overige",Methode_Keuze)),"",IF(Tb_Activiteiten[[#This Row],[Bijdrage in natura (vrijwilligers)]]=1,Tb_Activiteiten[[#Headers],[Bijdrage in natura (vrijwilligers)]],""))</f>
        <v/>
      </c>
      <c r="AX779" t="str">
        <f>IF(ISNUMBER(FIND("overige",Methode_Keuze)),"",IF(Tb_Activiteiten[[#This Row],[Afschrijvingskosten]]=1,Tb_Activiteiten[[#Headers],[Afschrijvingskosten]],""))</f>
        <v/>
      </c>
      <c r="AY779" t="str">
        <f>IF(ISNUMBER(FIND("overige",Methode_Keuze)),"",IF(Tb_Activiteiten[[#This Row],[Vergoeding]]=1,Tb_Activiteiten[[#Headers],[Vergoeding]],""))</f>
        <v/>
      </c>
      <c r="AZ779" t="str">
        <f>IF(ISNUMBER(FIND("arbeid",Methode_Keuze)),"",IF(Tb_Activiteiten[[#This Row],[Arbeidskosten - vast tarief (excl eigen arbeid)]]=1,Tb_Activiteiten[[#Headers],[Arbeidskosten - vast tarief (excl eigen arbeid)]],""))</f>
        <v/>
      </c>
      <c r="BA779" t="str">
        <f>IF(ISNUMBER(FIND("overige",Methode_Keuze)),"",IF(Tb_Activiteiten[[#This Row],[Overige kosten]]=1,Tb_Activiteiten[[#Headers],[Overige kosten]],""))</f>
        <v/>
      </c>
    </row>
    <row r="780" spans="1:53" x14ac:dyDescent="0.25">
      <c r="A780" s="231"/>
      <c r="F780" s="64"/>
      <c r="G780" s="64"/>
      <c r="H780" s="275"/>
      <c r="I780" s="275"/>
      <c r="J780" s="275"/>
      <c r="K780" s="275"/>
      <c r="O780" s="56"/>
      <c r="Q780" t="str">
        <f>IFERROR(IF(VLOOKUP(Tb_Activiteiten[[#This Row],[Openstelling]],Tb_Openstelling[],2,0)=1,1,""),"")</f>
        <v/>
      </c>
      <c r="AK780" t="str">
        <f>IF(ISNUMBER(FIND("arbeid",Methode_Keuze)),"",IF(ISNUMBER(FIND("arbeid",Methode_Keuze)),"",IF(Tb_Activiteiten[[#This Row],[Loonkosten]]=1,Tb_Activiteiten[[#Headers],[Loonkosten]],"")))</f>
        <v/>
      </c>
      <c r="AL780" t="str">
        <f>IF(ISNUMBER(FIND("arbeid",Methode_Keuze)),"",IF(ISNUMBER(FIND("arbeid",Methode_Keuze)),"",IF(Tb_Activiteiten[[#This Row],[Eigen arbeid]]=1,Tb_Activiteiten[[#Headers],[Eigen arbeid]],"")))</f>
        <v/>
      </c>
      <c r="AM780" t="str">
        <f>IF(ISNUMBER(FIND("arbeid",Methode_Keuze)),"",IF(ISNUMBER(FIND("arbeid",Methode_Keuze)),"",IF(Tb_Activiteiten[[#This Row],[Projectmedewerker]]=1,Tb_Activiteiten[[#Headers],[Projectmedewerker]],"")))</f>
        <v/>
      </c>
      <c r="AN780" t="str">
        <f>IF(ISNUMBER(FIND("arbeid",Methode_Keuze)),"",IF(ISNUMBER(FIND("arbeid",Methode_Keuze)),"",IF(Tb_Activiteiten[[#This Row],[Landbouwer]]=1,Tb_Activiteiten[[#Headers],[Landbouwer]],"")))</f>
        <v/>
      </c>
      <c r="AO780" t="str">
        <f>IF(ISNUMBER(FIND("arbeid",Methode_Keuze)),"",IF(ISNUMBER(FIND("arbeid",Methode_Keuze)),"",IF(Tb_Activiteiten[[#This Row],[Adviseur]]=1,Tb_Activiteiten[[#Headers],[Adviseur]],"")))</f>
        <v/>
      </c>
      <c r="AP780" t="str">
        <f>IF(ISNUMBER(FIND("arbeid",Methode_Keuze)),"",IF(ISNUMBER(FIND("arbeid",Methode_Keuze)),"",IF(Tb_Activiteiten[[#This Row],[Projectleider/Expert]]=1,Tb_Activiteiten[[#Headers],[Projectleider/Expert]],"")))</f>
        <v/>
      </c>
      <c r="AQ780" t="str">
        <f>IF(ISNUMBER(FIND("arbeid",Methode_Keuze)),"",IF(ISNUMBER(FIND("arbeid",Methode_Keuze)),"",IF(Tb_Activiteiten[[#This Row],[Arbeidskosten]]=1,Tb_Activiteiten[[#Headers],[Arbeidskosten]],"")))</f>
        <v/>
      </c>
      <c r="AR780" t="str">
        <f>IF(ISNUMBER(FIND("arbeid",Methode_Keuze)),"",IF(ISNUMBER(FIND("arbeid",Methode_Keuze)),"",IF(Tb_Activiteiten[[#This Row],[Arbeidskosten op basis van IKS]]=1,Tb_Activiteiten[[#Headers],[Arbeidskosten op basis van IKS]],"")))</f>
        <v/>
      </c>
      <c r="AS780" t="str">
        <f>IF(ISNUMBER(FIND("overige",Methode_Keuze)),"",IF(Tb_Activiteiten[[#This Row],[Kosten derden exclusief btw]]=1,Tb_Activiteiten[[#Headers],[Kosten derden exclusief btw]],""))</f>
        <v/>
      </c>
      <c r="AT780" t="str">
        <f>IF(ISNUMBER(FIND("overige",Methode_Keuze)),"",IF(Tb_Activiteiten[[#This Row],[Niet verrekenbare btw]]=1,Tb_Activiteiten[[#Headers],[Niet verrekenbare btw]],""))</f>
        <v/>
      </c>
      <c r="AU780" t="str">
        <f>IF(ISNUMBER(FIND("overige",Methode_Keuze)),"",IF(Tb_Activiteiten[[#This Row],[Grondkosten]]=1,Tb_Activiteiten[[#Headers],[Grondkosten]],""))</f>
        <v/>
      </c>
      <c r="AV780" t="str">
        <f>IF(ISNUMBER(FIND("overige",Methode_Keuze)),"",IF(Tb_Activiteiten[[#This Row],[Bijdrage in natura (overige)]]=1,Tb_Activiteiten[[#Headers],[Bijdrage in natura (overige)]],""))</f>
        <v/>
      </c>
      <c r="AW780" t="str">
        <f>IF(ISNUMBER(FIND("overige",Methode_Keuze)),"",IF(Tb_Activiteiten[[#This Row],[Bijdrage in natura (vrijwilligers)]]=1,Tb_Activiteiten[[#Headers],[Bijdrage in natura (vrijwilligers)]],""))</f>
        <v/>
      </c>
      <c r="AX780" t="str">
        <f>IF(ISNUMBER(FIND("overige",Methode_Keuze)),"",IF(Tb_Activiteiten[[#This Row],[Afschrijvingskosten]]=1,Tb_Activiteiten[[#Headers],[Afschrijvingskosten]],""))</f>
        <v/>
      </c>
      <c r="AY780" t="str">
        <f>IF(ISNUMBER(FIND("overige",Methode_Keuze)),"",IF(Tb_Activiteiten[[#This Row],[Vergoeding]]=1,Tb_Activiteiten[[#Headers],[Vergoeding]],""))</f>
        <v/>
      </c>
      <c r="AZ780" t="str">
        <f>IF(ISNUMBER(FIND("arbeid",Methode_Keuze)),"",IF(Tb_Activiteiten[[#This Row],[Arbeidskosten - vast tarief (excl eigen arbeid)]]=1,Tb_Activiteiten[[#Headers],[Arbeidskosten - vast tarief (excl eigen arbeid)]],""))</f>
        <v/>
      </c>
      <c r="BA780" t="str">
        <f>IF(ISNUMBER(FIND("overige",Methode_Keuze)),"",IF(Tb_Activiteiten[[#This Row],[Overige kosten]]=1,Tb_Activiteiten[[#Headers],[Overige kosten]],""))</f>
        <v/>
      </c>
    </row>
    <row r="781" spans="1:53" x14ac:dyDescent="0.25">
      <c r="A781" s="231"/>
      <c r="F781" s="64"/>
      <c r="G781" s="64"/>
      <c r="H781" s="275"/>
      <c r="I781" s="275"/>
      <c r="J781" s="275"/>
      <c r="K781" s="275"/>
      <c r="O781" s="56"/>
      <c r="Q781" t="str">
        <f>IFERROR(IF(VLOOKUP(Tb_Activiteiten[[#This Row],[Openstelling]],Tb_Openstelling[],2,0)=1,1,""),"")</f>
        <v/>
      </c>
      <c r="AK781" t="str">
        <f>IF(ISNUMBER(FIND("arbeid",Methode_Keuze)),"",IF(ISNUMBER(FIND("arbeid",Methode_Keuze)),"",IF(Tb_Activiteiten[[#This Row],[Loonkosten]]=1,Tb_Activiteiten[[#Headers],[Loonkosten]],"")))</f>
        <v/>
      </c>
      <c r="AL781" t="str">
        <f>IF(ISNUMBER(FIND("arbeid",Methode_Keuze)),"",IF(ISNUMBER(FIND("arbeid",Methode_Keuze)),"",IF(Tb_Activiteiten[[#This Row],[Eigen arbeid]]=1,Tb_Activiteiten[[#Headers],[Eigen arbeid]],"")))</f>
        <v/>
      </c>
      <c r="AM781" t="str">
        <f>IF(ISNUMBER(FIND("arbeid",Methode_Keuze)),"",IF(ISNUMBER(FIND("arbeid",Methode_Keuze)),"",IF(Tb_Activiteiten[[#This Row],[Projectmedewerker]]=1,Tb_Activiteiten[[#Headers],[Projectmedewerker]],"")))</f>
        <v/>
      </c>
      <c r="AN781" t="str">
        <f>IF(ISNUMBER(FIND("arbeid",Methode_Keuze)),"",IF(ISNUMBER(FIND("arbeid",Methode_Keuze)),"",IF(Tb_Activiteiten[[#This Row],[Landbouwer]]=1,Tb_Activiteiten[[#Headers],[Landbouwer]],"")))</f>
        <v/>
      </c>
      <c r="AO781" t="str">
        <f>IF(ISNUMBER(FIND("arbeid",Methode_Keuze)),"",IF(ISNUMBER(FIND("arbeid",Methode_Keuze)),"",IF(Tb_Activiteiten[[#This Row],[Adviseur]]=1,Tb_Activiteiten[[#Headers],[Adviseur]],"")))</f>
        <v/>
      </c>
      <c r="AP781" t="str">
        <f>IF(ISNUMBER(FIND("arbeid",Methode_Keuze)),"",IF(ISNUMBER(FIND("arbeid",Methode_Keuze)),"",IF(Tb_Activiteiten[[#This Row],[Projectleider/Expert]]=1,Tb_Activiteiten[[#Headers],[Projectleider/Expert]],"")))</f>
        <v/>
      </c>
      <c r="AQ781" t="str">
        <f>IF(ISNUMBER(FIND("arbeid",Methode_Keuze)),"",IF(ISNUMBER(FIND("arbeid",Methode_Keuze)),"",IF(Tb_Activiteiten[[#This Row],[Arbeidskosten]]=1,Tb_Activiteiten[[#Headers],[Arbeidskosten]],"")))</f>
        <v/>
      </c>
      <c r="AR781" t="str">
        <f>IF(ISNUMBER(FIND("arbeid",Methode_Keuze)),"",IF(ISNUMBER(FIND("arbeid",Methode_Keuze)),"",IF(Tb_Activiteiten[[#This Row],[Arbeidskosten op basis van IKS]]=1,Tb_Activiteiten[[#Headers],[Arbeidskosten op basis van IKS]],"")))</f>
        <v/>
      </c>
      <c r="AS781" t="str">
        <f>IF(ISNUMBER(FIND("overige",Methode_Keuze)),"",IF(Tb_Activiteiten[[#This Row],[Kosten derden exclusief btw]]=1,Tb_Activiteiten[[#Headers],[Kosten derden exclusief btw]],""))</f>
        <v/>
      </c>
      <c r="AT781" t="str">
        <f>IF(ISNUMBER(FIND("overige",Methode_Keuze)),"",IF(Tb_Activiteiten[[#This Row],[Niet verrekenbare btw]]=1,Tb_Activiteiten[[#Headers],[Niet verrekenbare btw]],""))</f>
        <v/>
      </c>
      <c r="AU781" t="str">
        <f>IF(ISNUMBER(FIND("overige",Methode_Keuze)),"",IF(Tb_Activiteiten[[#This Row],[Grondkosten]]=1,Tb_Activiteiten[[#Headers],[Grondkosten]],""))</f>
        <v/>
      </c>
      <c r="AV781" t="str">
        <f>IF(ISNUMBER(FIND("overige",Methode_Keuze)),"",IF(Tb_Activiteiten[[#This Row],[Bijdrage in natura (overige)]]=1,Tb_Activiteiten[[#Headers],[Bijdrage in natura (overige)]],""))</f>
        <v/>
      </c>
      <c r="AW781" t="str">
        <f>IF(ISNUMBER(FIND("overige",Methode_Keuze)),"",IF(Tb_Activiteiten[[#This Row],[Bijdrage in natura (vrijwilligers)]]=1,Tb_Activiteiten[[#Headers],[Bijdrage in natura (vrijwilligers)]],""))</f>
        <v/>
      </c>
      <c r="AX781" t="str">
        <f>IF(ISNUMBER(FIND("overige",Methode_Keuze)),"",IF(Tb_Activiteiten[[#This Row],[Afschrijvingskosten]]=1,Tb_Activiteiten[[#Headers],[Afschrijvingskosten]],""))</f>
        <v/>
      </c>
      <c r="AY781" t="str">
        <f>IF(ISNUMBER(FIND("overige",Methode_Keuze)),"",IF(Tb_Activiteiten[[#This Row],[Vergoeding]]=1,Tb_Activiteiten[[#Headers],[Vergoeding]],""))</f>
        <v/>
      </c>
      <c r="AZ781" t="str">
        <f>IF(ISNUMBER(FIND("arbeid",Methode_Keuze)),"",IF(Tb_Activiteiten[[#This Row],[Arbeidskosten - vast tarief (excl eigen arbeid)]]=1,Tb_Activiteiten[[#Headers],[Arbeidskosten - vast tarief (excl eigen arbeid)]],""))</f>
        <v/>
      </c>
      <c r="BA781" t="str">
        <f>IF(ISNUMBER(FIND("overige",Methode_Keuze)),"",IF(Tb_Activiteiten[[#This Row],[Overige kosten]]=1,Tb_Activiteiten[[#Headers],[Overige kosten]],""))</f>
        <v/>
      </c>
    </row>
    <row r="782" spans="1:53" x14ac:dyDescent="0.25">
      <c r="A782" s="231"/>
      <c r="F782" s="64"/>
      <c r="G782" s="64"/>
      <c r="H782" s="275"/>
      <c r="I782" s="275"/>
      <c r="J782" s="275"/>
      <c r="K782" s="275"/>
      <c r="O782" s="56"/>
      <c r="Q782" t="str">
        <f>IFERROR(IF(VLOOKUP(Tb_Activiteiten[[#This Row],[Openstelling]],Tb_Openstelling[],2,0)=1,1,""),"")</f>
        <v/>
      </c>
      <c r="AK782" t="str">
        <f>IF(ISNUMBER(FIND("arbeid",Methode_Keuze)),"",IF(ISNUMBER(FIND("arbeid",Methode_Keuze)),"",IF(Tb_Activiteiten[[#This Row],[Loonkosten]]=1,Tb_Activiteiten[[#Headers],[Loonkosten]],"")))</f>
        <v/>
      </c>
      <c r="AL782" t="str">
        <f>IF(ISNUMBER(FIND("arbeid",Methode_Keuze)),"",IF(ISNUMBER(FIND("arbeid",Methode_Keuze)),"",IF(Tb_Activiteiten[[#This Row],[Eigen arbeid]]=1,Tb_Activiteiten[[#Headers],[Eigen arbeid]],"")))</f>
        <v/>
      </c>
      <c r="AM782" t="str">
        <f>IF(ISNUMBER(FIND("arbeid",Methode_Keuze)),"",IF(ISNUMBER(FIND("arbeid",Methode_Keuze)),"",IF(Tb_Activiteiten[[#This Row],[Projectmedewerker]]=1,Tb_Activiteiten[[#Headers],[Projectmedewerker]],"")))</f>
        <v/>
      </c>
      <c r="AN782" t="str">
        <f>IF(ISNUMBER(FIND("arbeid",Methode_Keuze)),"",IF(ISNUMBER(FIND("arbeid",Methode_Keuze)),"",IF(Tb_Activiteiten[[#This Row],[Landbouwer]]=1,Tb_Activiteiten[[#Headers],[Landbouwer]],"")))</f>
        <v/>
      </c>
      <c r="AO782" t="str">
        <f>IF(ISNUMBER(FIND("arbeid",Methode_Keuze)),"",IF(ISNUMBER(FIND("arbeid",Methode_Keuze)),"",IF(Tb_Activiteiten[[#This Row],[Adviseur]]=1,Tb_Activiteiten[[#Headers],[Adviseur]],"")))</f>
        <v/>
      </c>
      <c r="AP782" t="str">
        <f>IF(ISNUMBER(FIND("arbeid",Methode_Keuze)),"",IF(ISNUMBER(FIND("arbeid",Methode_Keuze)),"",IF(Tb_Activiteiten[[#This Row],[Projectleider/Expert]]=1,Tb_Activiteiten[[#Headers],[Projectleider/Expert]],"")))</f>
        <v/>
      </c>
      <c r="AQ782" t="str">
        <f>IF(ISNUMBER(FIND("arbeid",Methode_Keuze)),"",IF(ISNUMBER(FIND("arbeid",Methode_Keuze)),"",IF(Tb_Activiteiten[[#This Row],[Arbeidskosten]]=1,Tb_Activiteiten[[#Headers],[Arbeidskosten]],"")))</f>
        <v/>
      </c>
      <c r="AR782" t="str">
        <f>IF(ISNUMBER(FIND("arbeid",Methode_Keuze)),"",IF(ISNUMBER(FIND("arbeid",Methode_Keuze)),"",IF(Tb_Activiteiten[[#This Row],[Arbeidskosten op basis van IKS]]=1,Tb_Activiteiten[[#Headers],[Arbeidskosten op basis van IKS]],"")))</f>
        <v/>
      </c>
      <c r="AS782" t="str">
        <f>IF(ISNUMBER(FIND("overige",Methode_Keuze)),"",IF(Tb_Activiteiten[[#This Row],[Kosten derden exclusief btw]]=1,Tb_Activiteiten[[#Headers],[Kosten derden exclusief btw]],""))</f>
        <v/>
      </c>
      <c r="AT782" t="str">
        <f>IF(ISNUMBER(FIND("overige",Methode_Keuze)),"",IF(Tb_Activiteiten[[#This Row],[Niet verrekenbare btw]]=1,Tb_Activiteiten[[#Headers],[Niet verrekenbare btw]],""))</f>
        <v/>
      </c>
      <c r="AU782" t="str">
        <f>IF(ISNUMBER(FIND("overige",Methode_Keuze)),"",IF(Tb_Activiteiten[[#This Row],[Grondkosten]]=1,Tb_Activiteiten[[#Headers],[Grondkosten]],""))</f>
        <v/>
      </c>
      <c r="AV782" t="str">
        <f>IF(ISNUMBER(FIND("overige",Methode_Keuze)),"",IF(Tb_Activiteiten[[#This Row],[Bijdrage in natura (overige)]]=1,Tb_Activiteiten[[#Headers],[Bijdrage in natura (overige)]],""))</f>
        <v/>
      </c>
      <c r="AW782" t="str">
        <f>IF(ISNUMBER(FIND("overige",Methode_Keuze)),"",IF(Tb_Activiteiten[[#This Row],[Bijdrage in natura (vrijwilligers)]]=1,Tb_Activiteiten[[#Headers],[Bijdrage in natura (vrijwilligers)]],""))</f>
        <v/>
      </c>
      <c r="AX782" t="str">
        <f>IF(ISNUMBER(FIND("overige",Methode_Keuze)),"",IF(Tb_Activiteiten[[#This Row],[Afschrijvingskosten]]=1,Tb_Activiteiten[[#Headers],[Afschrijvingskosten]],""))</f>
        <v/>
      </c>
      <c r="AY782" t="str">
        <f>IF(ISNUMBER(FIND("overige",Methode_Keuze)),"",IF(Tb_Activiteiten[[#This Row],[Vergoeding]]=1,Tb_Activiteiten[[#Headers],[Vergoeding]],""))</f>
        <v/>
      </c>
      <c r="AZ782" t="str">
        <f>IF(ISNUMBER(FIND("arbeid",Methode_Keuze)),"",IF(Tb_Activiteiten[[#This Row],[Arbeidskosten - vast tarief (excl eigen arbeid)]]=1,Tb_Activiteiten[[#Headers],[Arbeidskosten - vast tarief (excl eigen arbeid)]],""))</f>
        <v/>
      </c>
      <c r="BA782" t="str">
        <f>IF(ISNUMBER(FIND("overige",Methode_Keuze)),"",IF(Tb_Activiteiten[[#This Row],[Overige kosten]]=1,Tb_Activiteiten[[#Headers],[Overige kosten]],""))</f>
        <v/>
      </c>
    </row>
    <row r="783" spans="1:53" x14ac:dyDescent="0.25">
      <c r="A783" s="231"/>
      <c r="F783" s="64"/>
      <c r="G783" s="64"/>
      <c r="H783" s="275"/>
      <c r="I783" s="275"/>
      <c r="J783" s="275"/>
      <c r="K783" s="275"/>
      <c r="O783" s="56"/>
      <c r="Q783" t="str">
        <f>IFERROR(IF(VLOOKUP(Tb_Activiteiten[[#This Row],[Openstelling]],Tb_Openstelling[],2,0)=1,1,""),"")</f>
        <v/>
      </c>
      <c r="AK783" t="str">
        <f>IF(ISNUMBER(FIND("arbeid",Methode_Keuze)),"",IF(ISNUMBER(FIND("arbeid",Methode_Keuze)),"",IF(Tb_Activiteiten[[#This Row],[Loonkosten]]=1,Tb_Activiteiten[[#Headers],[Loonkosten]],"")))</f>
        <v/>
      </c>
      <c r="AL783" t="str">
        <f>IF(ISNUMBER(FIND("arbeid",Methode_Keuze)),"",IF(ISNUMBER(FIND("arbeid",Methode_Keuze)),"",IF(Tb_Activiteiten[[#This Row],[Eigen arbeid]]=1,Tb_Activiteiten[[#Headers],[Eigen arbeid]],"")))</f>
        <v/>
      </c>
      <c r="AM783" t="str">
        <f>IF(ISNUMBER(FIND("arbeid",Methode_Keuze)),"",IF(ISNUMBER(FIND("arbeid",Methode_Keuze)),"",IF(Tb_Activiteiten[[#This Row],[Projectmedewerker]]=1,Tb_Activiteiten[[#Headers],[Projectmedewerker]],"")))</f>
        <v/>
      </c>
      <c r="AN783" t="str">
        <f>IF(ISNUMBER(FIND("arbeid",Methode_Keuze)),"",IF(ISNUMBER(FIND("arbeid",Methode_Keuze)),"",IF(Tb_Activiteiten[[#This Row],[Landbouwer]]=1,Tb_Activiteiten[[#Headers],[Landbouwer]],"")))</f>
        <v/>
      </c>
      <c r="AO783" t="str">
        <f>IF(ISNUMBER(FIND("arbeid",Methode_Keuze)),"",IF(ISNUMBER(FIND("arbeid",Methode_Keuze)),"",IF(Tb_Activiteiten[[#This Row],[Adviseur]]=1,Tb_Activiteiten[[#Headers],[Adviseur]],"")))</f>
        <v/>
      </c>
      <c r="AP783" t="str">
        <f>IF(ISNUMBER(FIND("arbeid",Methode_Keuze)),"",IF(ISNUMBER(FIND("arbeid",Methode_Keuze)),"",IF(Tb_Activiteiten[[#This Row],[Projectleider/Expert]]=1,Tb_Activiteiten[[#Headers],[Projectleider/Expert]],"")))</f>
        <v/>
      </c>
      <c r="AQ783" t="str">
        <f>IF(ISNUMBER(FIND("arbeid",Methode_Keuze)),"",IF(ISNUMBER(FIND("arbeid",Methode_Keuze)),"",IF(Tb_Activiteiten[[#This Row],[Arbeidskosten]]=1,Tb_Activiteiten[[#Headers],[Arbeidskosten]],"")))</f>
        <v/>
      </c>
      <c r="AR783" t="str">
        <f>IF(ISNUMBER(FIND("arbeid",Methode_Keuze)),"",IF(ISNUMBER(FIND("arbeid",Methode_Keuze)),"",IF(Tb_Activiteiten[[#This Row],[Arbeidskosten op basis van IKS]]=1,Tb_Activiteiten[[#Headers],[Arbeidskosten op basis van IKS]],"")))</f>
        <v/>
      </c>
      <c r="AS783" t="str">
        <f>IF(ISNUMBER(FIND("overige",Methode_Keuze)),"",IF(Tb_Activiteiten[[#This Row],[Kosten derden exclusief btw]]=1,Tb_Activiteiten[[#Headers],[Kosten derden exclusief btw]],""))</f>
        <v/>
      </c>
      <c r="AT783" t="str">
        <f>IF(ISNUMBER(FIND("overige",Methode_Keuze)),"",IF(Tb_Activiteiten[[#This Row],[Niet verrekenbare btw]]=1,Tb_Activiteiten[[#Headers],[Niet verrekenbare btw]],""))</f>
        <v/>
      </c>
      <c r="AU783" t="str">
        <f>IF(ISNUMBER(FIND("overige",Methode_Keuze)),"",IF(Tb_Activiteiten[[#This Row],[Grondkosten]]=1,Tb_Activiteiten[[#Headers],[Grondkosten]],""))</f>
        <v/>
      </c>
      <c r="AV783" t="str">
        <f>IF(ISNUMBER(FIND("overige",Methode_Keuze)),"",IF(Tb_Activiteiten[[#This Row],[Bijdrage in natura (overige)]]=1,Tb_Activiteiten[[#Headers],[Bijdrage in natura (overige)]],""))</f>
        <v/>
      </c>
      <c r="AW783" t="str">
        <f>IF(ISNUMBER(FIND("overige",Methode_Keuze)),"",IF(Tb_Activiteiten[[#This Row],[Bijdrage in natura (vrijwilligers)]]=1,Tb_Activiteiten[[#Headers],[Bijdrage in natura (vrijwilligers)]],""))</f>
        <v/>
      </c>
      <c r="AX783" t="str">
        <f>IF(ISNUMBER(FIND("overige",Methode_Keuze)),"",IF(Tb_Activiteiten[[#This Row],[Afschrijvingskosten]]=1,Tb_Activiteiten[[#Headers],[Afschrijvingskosten]],""))</f>
        <v/>
      </c>
      <c r="AY783" t="str">
        <f>IF(ISNUMBER(FIND("overige",Methode_Keuze)),"",IF(Tb_Activiteiten[[#This Row],[Vergoeding]]=1,Tb_Activiteiten[[#Headers],[Vergoeding]],""))</f>
        <v/>
      </c>
      <c r="AZ783" t="str">
        <f>IF(ISNUMBER(FIND("arbeid",Methode_Keuze)),"",IF(Tb_Activiteiten[[#This Row],[Arbeidskosten - vast tarief (excl eigen arbeid)]]=1,Tb_Activiteiten[[#Headers],[Arbeidskosten - vast tarief (excl eigen arbeid)]],""))</f>
        <v/>
      </c>
      <c r="BA783" t="str">
        <f>IF(ISNUMBER(FIND("overige",Methode_Keuze)),"",IF(Tb_Activiteiten[[#This Row],[Overige kosten]]=1,Tb_Activiteiten[[#Headers],[Overige kosten]],""))</f>
        <v/>
      </c>
    </row>
    <row r="784" spans="1:53" x14ac:dyDescent="0.25">
      <c r="A784" s="231"/>
      <c r="F784" s="64"/>
      <c r="G784" s="64"/>
      <c r="H784" s="275"/>
      <c r="I784" s="275"/>
      <c r="J784" s="275"/>
      <c r="K784" s="275"/>
      <c r="O784" s="56"/>
      <c r="Q784" t="str">
        <f>IFERROR(IF(VLOOKUP(Tb_Activiteiten[[#This Row],[Openstelling]],Tb_Openstelling[],2,0)=1,1,""),"")</f>
        <v/>
      </c>
      <c r="AK784" t="str">
        <f>IF(ISNUMBER(FIND("arbeid",Methode_Keuze)),"",IF(ISNUMBER(FIND("arbeid",Methode_Keuze)),"",IF(Tb_Activiteiten[[#This Row],[Loonkosten]]=1,Tb_Activiteiten[[#Headers],[Loonkosten]],"")))</f>
        <v/>
      </c>
      <c r="AL784" t="str">
        <f>IF(ISNUMBER(FIND("arbeid",Methode_Keuze)),"",IF(ISNUMBER(FIND("arbeid",Methode_Keuze)),"",IF(Tb_Activiteiten[[#This Row],[Eigen arbeid]]=1,Tb_Activiteiten[[#Headers],[Eigen arbeid]],"")))</f>
        <v/>
      </c>
      <c r="AM784" t="str">
        <f>IF(ISNUMBER(FIND("arbeid",Methode_Keuze)),"",IF(ISNUMBER(FIND("arbeid",Methode_Keuze)),"",IF(Tb_Activiteiten[[#This Row],[Projectmedewerker]]=1,Tb_Activiteiten[[#Headers],[Projectmedewerker]],"")))</f>
        <v/>
      </c>
      <c r="AN784" t="str">
        <f>IF(ISNUMBER(FIND("arbeid",Methode_Keuze)),"",IF(ISNUMBER(FIND("arbeid",Methode_Keuze)),"",IF(Tb_Activiteiten[[#This Row],[Landbouwer]]=1,Tb_Activiteiten[[#Headers],[Landbouwer]],"")))</f>
        <v/>
      </c>
      <c r="AO784" t="str">
        <f>IF(ISNUMBER(FIND("arbeid",Methode_Keuze)),"",IF(ISNUMBER(FIND("arbeid",Methode_Keuze)),"",IF(Tb_Activiteiten[[#This Row],[Adviseur]]=1,Tb_Activiteiten[[#Headers],[Adviseur]],"")))</f>
        <v/>
      </c>
      <c r="AP784" t="str">
        <f>IF(ISNUMBER(FIND("arbeid",Methode_Keuze)),"",IF(ISNUMBER(FIND("arbeid",Methode_Keuze)),"",IF(Tb_Activiteiten[[#This Row],[Projectleider/Expert]]=1,Tb_Activiteiten[[#Headers],[Projectleider/Expert]],"")))</f>
        <v/>
      </c>
      <c r="AQ784" t="str">
        <f>IF(ISNUMBER(FIND("arbeid",Methode_Keuze)),"",IF(ISNUMBER(FIND("arbeid",Methode_Keuze)),"",IF(Tb_Activiteiten[[#This Row],[Arbeidskosten]]=1,Tb_Activiteiten[[#Headers],[Arbeidskosten]],"")))</f>
        <v/>
      </c>
      <c r="AR784" t="str">
        <f>IF(ISNUMBER(FIND("arbeid",Methode_Keuze)),"",IF(ISNUMBER(FIND("arbeid",Methode_Keuze)),"",IF(Tb_Activiteiten[[#This Row],[Arbeidskosten op basis van IKS]]=1,Tb_Activiteiten[[#Headers],[Arbeidskosten op basis van IKS]],"")))</f>
        <v/>
      </c>
      <c r="AS784" t="str">
        <f>IF(ISNUMBER(FIND("overige",Methode_Keuze)),"",IF(Tb_Activiteiten[[#This Row],[Kosten derden exclusief btw]]=1,Tb_Activiteiten[[#Headers],[Kosten derden exclusief btw]],""))</f>
        <v/>
      </c>
      <c r="AT784" t="str">
        <f>IF(ISNUMBER(FIND("overige",Methode_Keuze)),"",IF(Tb_Activiteiten[[#This Row],[Niet verrekenbare btw]]=1,Tb_Activiteiten[[#Headers],[Niet verrekenbare btw]],""))</f>
        <v/>
      </c>
      <c r="AU784" t="str">
        <f>IF(ISNUMBER(FIND("overige",Methode_Keuze)),"",IF(Tb_Activiteiten[[#This Row],[Grondkosten]]=1,Tb_Activiteiten[[#Headers],[Grondkosten]],""))</f>
        <v/>
      </c>
      <c r="AV784" t="str">
        <f>IF(ISNUMBER(FIND("overige",Methode_Keuze)),"",IF(Tb_Activiteiten[[#This Row],[Bijdrage in natura (overige)]]=1,Tb_Activiteiten[[#Headers],[Bijdrage in natura (overige)]],""))</f>
        <v/>
      </c>
      <c r="AW784" t="str">
        <f>IF(ISNUMBER(FIND("overige",Methode_Keuze)),"",IF(Tb_Activiteiten[[#This Row],[Bijdrage in natura (vrijwilligers)]]=1,Tb_Activiteiten[[#Headers],[Bijdrage in natura (vrijwilligers)]],""))</f>
        <v/>
      </c>
      <c r="AX784" t="str">
        <f>IF(ISNUMBER(FIND("overige",Methode_Keuze)),"",IF(Tb_Activiteiten[[#This Row],[Afschrijvingskosten]]=1,Tb_Activiteiten[[#Headers],[Afschrijvingskosten]],""))</f>
        <v/>
      </c>
      <c r="AY784" t="str">
        <f>IF(ISNUMBER(FIND("overige",Methode_Keuze)),"",IF(Tb_Activiteiten[[#This Row],[Vergoeding]]=1,Tb_Activiteiten[[#Headers],[Vergoeding]],""))</f>
        <v/>
      </c>
      <c r="AZ784" t="str">
        <f>IF(ISNUMBER(FIND("arbeid",Methode_Keuze)),"",IF(Tb_Activiteiten[[#This Row],[Arbeidskosten - vast tarief (excl eigen arbeid)]]=1,Tb_Activiteiten[[#Headers],[Arbeidskosten - vast tarief (excl eigen arbeid)]],""))</f>
        <v/>
      </c>
      <c r="BA784" t="str">
        <f>IF(ISNUMBER(FIND("overige",Methode_Keuze)),"",IF(Tb_Activiteiten[[#This Row],[Overige kosten]]=1,Tb_Activiteiten[[#Headers],[Overige kosten]],""))</f>
        <v/>
      </c>
    </row>
    <row r="785" spans="1:53" x14ac:dyDescent="0.25">
      <c r="A785" s="231"/>
      <c r="F785" s="64"/>
      <c r="G785" s="64"/>
      <c r="H785" s="275"/>
      <c r="I785" s="275"/>
      <c r="J785" s="275"/>
      <c r="K785" s="275"/>
      <c r="O785" s="56"/>
      <c r="Q785" t="str">
        <f>IFERROR(IF(VLOOKUP(Tb_Activiteiten[[#This Row],[Openstelling]],Tb_Openstelling[],2,0)=1,1,""),"")</f>
        <v/>
      </c>
      <c r="AK785" t="str">
        <f>IF(ISNUMBER(FIND("arbeid",Methode_Keuze)),"",IF(ISNUMBER(FIND("arbeid",Methode_Keuze)),"",IF(Tb_Activiteiten[[#This Row],[Loonkosten]]=1,Tb_Activiteiten[[#Headers],[Loonkosten]],"")))</f>
        <v/>
      </c>
      <c r="AL785" t="str">
        <f>IF(ISNUMBER(FIND("arbeid",Methode_Keuze)),"",IF(ISNUMBER(FIND("arbeid",Methode_Keuze)),"",IF(Tb_Activiteiten[[#This Row],[Eigen arbeid]]=1,Tb_Activiteiten[[#Headers],[Eigen arbeid]],"")))</f>
        <v/>
      </c>
      <c r="AM785" t="str">
        <f>IF(ISNUMBER(FIND("arbeid",Methode_Keuze)),"",IF(ISNUMBER(FIND("arbeid",Methode_Keuze)),"",IF(Tb_Activiteiten[[#This Row],[Projectmedewerker]]=1,Tb_Activiteiten[[#Headers],[Projectmedewerker]],"")))</f>
        <v/>
      </c>
      <c r="AN785" t="str">
        <f>IF(ISNUMBER(FIND("arbeid",Methode_Keuze)),"",IF(ISNUMBER(FIND("arbeid",Methode_Keuze)),"",IF(Tb_Activiteiten[[#This Row],[Landbouwer]]=1,Tb_Activiteiten[[#Headers],[Landbouwer]],"")))</f>
        <v/>
      </c>
      <c r="AO785" t="str">
        <f>IF(ISNUMBER(FIND("arbeid",Methode_Keuze)),"",IF(ISNUMBER(FIND("arbeid",Methode_Keuze)),"",IF(Tb_Activiteiten[[#This Row],[Adviseur]]=1,Tb_Activiteiten[[#Headers],[Adviseur]],"")))</f>
        <v/>
      </c>
      <c r="AP785" t="str">
        <f>IF(ISNUMBER(FIND("arbeid",Methode_Keuze)),"",IF(ISNUMBER(FIND("arbeid",Methode_Keuze)),"",IF(Tb_Activiteiten[[#This Row],[Projectleider/Expert]]=1,Tb_Activiteiten[[#Headers],[Projectleider/Expert]],"")))</f>
        <v/>
      </c>
      <c r="AQ785" t="str">
        <f>IF(ISNUMBER(FIND("arbeid",Methode_Keuze)),"",IF(ISNUMBER(FIND("arbeid",Methode_Keuze)),"",IF(Tb_Activiteiten[[#This Row],[Arbeidskosten]]=1,Tb_Activiteiten[[#Headers],[Arbeidskosten]],"")))</f>
        <v/>
      </c>
      <c r="AR785" t="str">
        <f>IF(ISNUMBER(FIND("arbeid",Methode_Keuze)),"",IF(ISNUMBER(FIND("arbeid",Methode_Keuze)),"",IF(Tb_Activiteiten[[#This Row],[Arbeidskosten op basis van IKS]]=1,Tb_Activiteiten[[#Headers],[Arbeidskosten op basis van IKS]],"")))</f>
        <v/>
      </c>
      <c r="AS785" t="str">
        <f>IF(ISNUMBER(FIND("overige",Methode_Keuze)),"",IF(Tb_Activiteiten[[#This Row],[Kosten derden exclusief btw]]=1,Tb_Activiteiten[[#Headers],[Kosten derden exclusief btw]],""))</f>
        <v/>
      </c>
      <c r="AT785" t="str">
        <f>IF(ISNUMBER(FIND("overige",Methode_Keuze)),"",IF(Tb_Activiteiten[[#This Row],[Niet verrekenbare btw]]=1,Tb_Activiteiten[[#Headers],[Niet verrekenbare btw]],""))</f>
        <v/>
      </c>
      <c r="AU785" t="str">
        <f>IF(ISNUMBER(FIND("overige",Methode_Keuze)),"",IF(Tb_Activiteiten[[#This Row],[Grondkosten]]=1,Tb_Activiteiten[[#Headers],[Grondkosten]],""))</f>
        <v/>
      </c>
      <c r="AV785" t="str">
        <f>IF(ISNUMBER(FIND("overige",Methode_Keuze)),"",IF(Tb_Activiteiten[[#This Row],[Bijdrage in natura (overige)]]=1,Tb_Activiteiten[[#Headers],[Bijdrage in natura (overige)]],""))</f>
        <v/>
      </c>
      <c r="AW785" t="str">
        <f>IF(ISNUMBER(FIND("overige",Methode_Keuze)),"",IF(Tb_Activiteiten[[#This Row],[Bijdrage in natura (vrijwilligers)]]=1,Tb_Activiteiten[[#Headers],[Bijdrage in natura (vrijwilligers)]],""))</f>
        <v/>
      </c>
      <c r="AX785" t="str">
        <f>IF(ISNUMBER(FIND("overige",Methode_Keuze)),"",IF(Tb_Activiteiten[[#This Row],[Afschrijvingskosten]]=1,Tb_Activiteiten[[#Headers],[Afschrijvingskosten]],""))</f>
        <v/>
      </c>
      <c r="AY785" t="str">
        <f>IF(ISNUMBER(FIND("overige",Methode_Keuze)),"",IF(Tb_Activiteiten[[#This Row],[Vergoeding]]=1,Tb_Activiteiten[[#Headers],[Vergoeding]],""))</f>
        <v/>
      </c>
      <c r="AZ785" t="str">
        <f>IF(ISNUMBER(FIND("arbeid",Methode_Keuze)),"",IF(Tb_Activiteiten[[#This Row],[Arbeidskosten - vast tarief (excl eigen arbeid)]]=1,Tb_Activiteiten[[#Headers],[Arbeidskosten - vast tarief (excl eigen arbeid)]],""))</f>
        <v/>
      </c>
      <c r="BA785" t="str">
        <f>IF(ISNUMBER(FIND("overige",Methode_Keuze)),"",IF(Tb_Activiteiten[[#This Row],[Overige kosten]]=1,Tb_Activiteiten[[#Headers],[Overige kosten]],""))</f>
        <v/>
      </c>
    </row>
    <row r="786" spans="1:53" x14ac:dyDescent="0.25">
      <c r="A786" s="231"/>
      <c r="F786" s="64"/>
      <c r="G786" s="64"/>
      <c r="H786" s="275"/>
      <c r="I786" s="275"/>
      <c r="J786" s="275"/>
      <c r="K786" s="275"/>
      <c r="O786" s="56"/>
      <c r="Q786" t="str">
        <f>IFERROR(IF(VLOOKUP(Tb_Activiteiten[[#This Row],[Openstelling]],Tb_Openstelling[],2,0)=1,1,""),"")</f>
        <v/>
      </c>
      <c r="AK786" t="str">
        <f>IF(ISNUMBER(FIND("arbeid",Methode_Keuze)),"",IF(ISNUMBER(FIND("arbeid",Methode_Keuze)),"",IF(Tb_Activiteiten[[#This Row],[Loonkosten]]=1,Tb_Activiteiten[[#Headers],[Loonkosten]],"")))</f>
        <v/>
      </c>
      <c r="AL786" t="str">
        <f>IF(ISNUMBER(FIND("arbeid",Methode_Keuze)),"",IF(ISNUMBER(FIND("arbeid",Methode_Keuze)),"",IF(Tb_Activiteiten[[#This Row],[Eigen arbeid]]=1,Tb_Activiteiten[[#Headers],[Eigen arbeid]],"")))</f>
        <v/>
      </c>
      <c r="AM786" t="str">
        <f>IF(ISNUMBER(FIND("arbeid",Methode_Keuze)),"",IF(ISNUMBER(FIND("arbeid",Methode_Keuze)),"",IF(Tb_Activiteiten[[#This Row],[Projectmedewerker]]=1,Tb_Activiteiten[[#Headers],[Projectmedewerker]],"")))</f>
        <v/>
      </c>
      <c r="AN786" t="str">
        <f>IF(ISNUMBER(FIND("arbeid",Methode_Keuze)),"",IF(ISNUMBER(FIND("arbeid",Methode_Keuze)),"",IF(Tb_Activiteiten[[#This Row],[Landbouwer]]=1,Tb_Activiteiten[[#Headers],[Landbouwer]],"")))</f>
        <v/>
      </c>
      <c r="AO786" t="str">
        <f>IF(ISNUMBER(FIND("arbeid",Methode_Keuze)),"",IF(ISNUMBER(FIND("arbeid",Methode_Keuze)),"",IF(Tb_Activiteiten[[#This Row],[Adviseur]]=1,Tb_Activiteiten[[#Headers],[Adviseur]],"")))</f>
        <v/>
      </c>
      <c r="AP786" t="str">
        <f>IF(ISNUMBER(FIND("arbeid",Methode_Keuze)),"",IF(ISNUMBER(FIND("arbeid",Methode_Keuze)),"",IF(Tb_Activiteiten[[#This Row],[Projectleider/Expert]]=1,Tb_Activiteiten[[#Headers],[Projectleider/Expert]],"")))</f>
        <v/>
      </c>
      <c r="AQ786" t="str">
        <f>IF(ISNUMBER(FIND("arbeid",Methode_Keuze)),"",IF(ISNUMBER(FIND("arbeid",Methode_Keuze)),"",IF(Tb_Activiteiten[[#This Row],[Arbeidskosten]]=1,Tb_Activiteiten[[#Headers],[Arbeidskosten]],"")))</f>
        <v/>
      </c>
      <c r="AR786" t="str">
        <f>IF(ISNUMBER(FIND("arbeid",Methode_Keuze)),"",IF(ISNUMBER(FIND("arbeid",Methode_Keuze)),"",IF(Tb_Activiteiten[[#This Row],[Arbeidskosten op basis van IKS]]=1,Tb_Activiteiten[[#Headers],[Arbeidskosten op basis van IKS]],"")))</f>
        <v/>
      </c>
      <c r="AS786" t="str">
        <f>IF(ISNUMBER(FIND("overige",Methode_Keuze)),"",IF(Tb_Activiteiten[[#This Row],[Kosten derden exclusief btw]]=1,Tb_Activiteiten[[#Headers],[Kosten derden exclusief btw]],""))</f>
        <v/>
      </c>
      <c r="AT786" t="str">
        <f>IF(ISNUMBER(FIND("overige",Methode_Keuze)),"",IF(Tb_Activiteiten[[#This Row],[Niet verrekenbare btw]]=1,Tb_Activiteiten[[#Headers],[Niet verrekenbare btw]],""))</f>
        <v/>
      </c>
      <c r="AU786" t="str">
        <f>IF(ISNUMBER(FIND("overige",Methode_Keuze)),"",IF(Tb_Activiteiten[[#This Row],[Grondkosten]]=1,Tb_Activiteiten[[#Headers],[Grondkosten]],""))</f>
        <v/>
      </c>
      <c r="AV786" t="str">
        <f>IF(ISNUMBER(FIND("overige",Methode_Keuze)),"",IF(Tb_Activiteiten[[#This Row],[Bijdrage in natura (overige)]]=1,Tb_Activiteiten[[#Headers],[Bijdrage in natura (overige)]],""))</f>
        <v/>
      </c>
      <c r="AW786" t="str">
        <f>IF(ISNUMBER(FIND("overige",Methode_Keuze)),"",IF(Tb_Activiteiten[[#This Row],[Bijdrage in natura (vrijwilligers)]]=1,Tb_Activiteiten[[#Headers],[Bijdrage in natura (vrijwilligers)]],""))</f>
        <v/>
      </c>
      <c r="AX786" t="str">
        <f>IF(ISNUMBER(FIND("overige",Methode_Keuze)),"",IF(Tb_Activiteiten[[#This Row],[Afschrijvingskosten]]=1,Tb_Activiteiten[[#Headers],[Afschrijvingskosten]],""))</f>
        <v/>
      </c>
      <c r="AY786" t="str">
        <f>IF(ISNUMBER(FIND("overige",Methode_Keuze)),"",IF(Tb_Activiteiten[[#This Row],[Vergoeding]]=1,Tb_Activiteiten[[#Headers],[Vergoeding]],""))</f>
        <v/>
      </c>
      <c r="AZ786" t="str">
        <f>IF(ISNUMBER(FIND("arbeid",Methode_Keuze)),"",IF(Tb_Activiteiten[[#This Row],[Arbeidskosten - vast tarief (excl eigen arbeid)]]=1,Tb_Activiteiten[[#Headers],[Arbeidskosten - vast tarief (excl eigen arbeid)]],""))</f>
        <v/>
      </c>
      <c r="BA786" t="str">
        <f>IF(ISNUMBER(FIND("overige",Methode_Keuze)),"",IF(Tb_Activiteiten[[#This Row],[Overige kosten]]=1,Tb_Activiteiten[[#Headers],[Overige kosten]],""))</f>
        <v/>
      </c>
    </row>
    <row r="787" spans="1:53" x14ac:dyDescent="0.25">
      <c r="A787" s="231"/>
      <c r="F787" s="64"/>
      <c r="G787" s="64"/>
      <c r="H787" s="275"/>
      <c r="I787" s="275"/>
      <c r="J787" s="275"/>
      <c r="K787" s="275"/>
      <c r="O787" s="56"/>
      <c r="Q787" t="str">
        <f>IFERROR(IF(VLOOKUP(Tb_Activiteiten[[#This Row],[Openstelling]],Tb_Openstelling[],2,0)=1,1,""),"")</f>
        <v/>
      </c>
      <c r="AK787" t="str">
        <f>IF(ISNUMBER(FIND("arbeid",Methode_Keuze)),"",IF(ISNUMBER(FIND("arbeid",Methode_Keuze)),"",IF(Tb_Activiteiten[[#This Row],[Loonkosten]]=1,Tb_Activiteiten[[#Headers],[Loonkosten]],"")))</f>
        <v/>
      </c>
      <c r="AL787" t="str">
        <f>IF(ISNUMBER(FIND("arbeid",Methode_Keuze)),"",IF(ISNUMBER(FIND("arbeid",Methode_Keuze)),"",IF(Tb_Activiteiten[[#This Row],[Eigen arbeid]]=1,Tb_Activiteiten[[#Headers],[Eigen arbeid]],"")))</f>
        <v/>
      </c>
      <c r="AM787" t="str">
        <f>IF(ISNUMBER(FIND("arbeid",Methode_Keuze)),"",IF(ISNUMBER(FIND("arbeid",Methode_Keuze)),"",IF(Tb_Activiteiten[[#This Row],[Projectmedewerker]]=1,Tb_Activiteiten[[#Headers],[Projectmedewerker]],"")))</f>
        <v/>
      </c>
      <c r="AN787" t="str">
        <f>IF(ISNUMBER(FIND("arbeid",Methode_Keuze)),"",IF(ISNUMBER(FIND("arbeid",Methode_Keuze)),"",IF(Tb_Activiteiten[[#This Row],[Landbouwer]]=1,Tb_Activiteiten[[#Headers],[Landbouwer]],"")))</f>
        <v/>
      </c>
      <c r="AO787" t="str">
        <f>IF(ISNUMBER(FIND("arbeid",Methode_Keuze)),"",IF(ISNUMBER(FIND("arbeid",Methode_Keuze)),"",IF(Tb_Activiteiten[[#This Row],[Adviseur]]=1,Tb_Activiteiten[[#Headers],[Adviseur]],"")))</f>
        <v/>
      </c>
      <c r="AP787" t="str">
        <f>IF(ISNUMBER(FIND("arbeid",Methode_Keuze)),"",IF(ISNUMBER(FIND("arbeid",Methode_Keuze)),"",IF(Tb_Activiteiten[[#This Row],[Projectleider/Expert]]=1,Tb_Activiteiten[[#Headers],[Projectleider/Expert]],"")))</f>
        <v/>
      </c>
      <c r="AQ787" t="str">
        <f>IF(ISNUMBER(FIND("arbeid",Methode_Keuze)),"",IF(ISNUMBER(FIND("arbeid",Methode_Keuze)),"",IF(Tb_Activiteiten[[#This Row],[Arbeidskosten]]=1,Tb_Activiteiten[[#Headers],[Arbeidskosten]],"")))</f>
        <v/>
      </c>
      <c r="AR787" t="str">
        <f>IF(ISNUMBER(FIND("arbeid",Methode_Keuze)),"",IF(ISNUMBER(FIND("arbeid",Methode_Keuze)),"",IF(Tb_Activiteiten[[#This Row],[Arbeidskosten op basis van IKS]]=1,Tb_Activiteiten[[#Headers],[Arbeidskosten op basis van IKS]],"")))</f>
        <v/>
      </c>
      <c r="AS787" t="str">
        <f>IF(ISNUMBER(FIND("overige",Methode_Keuze)),"",IF(Tb_Activiteiten[[#This Row],[Kosten derden exclusief btw]]=1,Tb_Activiteiten[[#Headers],[Kosten derden exclusief btw]],""))</f>
        <v/>
      </c>
      <c r="AT787" t="str">
        <f>IF(ISNUMBER(FIND("overige",Methode_Keuze)),"",IF(Tb_Activiteiten[[#This Row],[Niet verrekenbare btw]]=1,Tb_Activiteiten[[#Headers],[Niet verrekenbare btw]],""))</f>
        <v/>
      </c>
      <c r="AU787" t="str">
        <f>IF(ISNUMBER(FIND("overige",Methode_Keuze)),"",IF(Tb_Activiteiten[[#This Row],[Grondkosten]]=1,Tb_Activiteiten[[#Headers],[Grondkosten]],""))</f>
        <v/>
      </c>
      <c r="AV787" t="str">
        <f>IF(ISNUMBER(FIND("overige",Methode_Keuze)),"",IF(Tb_Activiteiten[[#This Row],[Bijdrage in natura (overige)]]=1,Tb_Activiteiten[[#Headers],[Bijdrage in natura (overige)]],""))</f>
        <v/>
      </c>
      <c r="AW787" t="str">
        <f>IF(ISNUMBER(FIND("overige",Methode_Keuze)),"",IF(Tb_Activiteiten[[#This Row],[Bijdrage in natura (vrijwilligers)]]=1,Tb_Activiteiten[[#Headers],[Bijdrage in natura (vrijwilligers)]],""))</f>
        <v/>
      </c>
      <c r="AX787" t="str">
        <f>IF(ISNUMBER(FIND("overige",Methode_Keuze)),"",IF(Tb_Activiteiten[[#This Row],[Afschrijvingskosten]]=1,Tb_Activiteiten[[#Headers],[Afschrijvingskosten]],""))</f>
        <v/>
      </c>
      <c r="AY787" t="str">
        <f>IF(ISNUMBER(FIND("overige",Methode_Keuze)),"",IF(Tb_Activiteiten[[#This Row],[Vergoeding]]=1,Tb_Activiteiten[[#Headers],[Vergoeding]],""))</f>
        <v/>
      </c>
      <c r="AZ787" t="str">
        <f>IF(ISNUMBER(FIND("arbeid",Methode_Keuze)),"",IF(Tb_Activiteiten[[#This Row],[Arbeidskosten - vast tarief (excl eigen arbeid)]]=1,Tb_Activiteiten[[#Headers],[Arbeidskosten - vast tarief (excl eigen arbeid)]],""))</f>
        <v/>
      </c>
      <c r="BA787" t="str">
        <f>IF(ISNUMBER(FIND("overige",Methode_Keuze)),"",IF(Tb_Activiteiten[[#This Row],[Overige kosten]]=1,Tb_Activiteiten[[#Headers],[Overige kosten]],""))</f>
        <v/>
      </c>
    </row>
    <row r="788" spans="1:53" x14ac:dyDescent="0.25">
      <c r="A788" s="231"/>
      <c r="F788" s="64"/>
      <c r="G788" s="64"/>
      <c r="H788" s="275"/>
      <c r="I788" s="275"/>
      <c r="J788" s="275"/>
      <c r="K788" s="275"/>
      <c r="O788" s="56"/>
      <c r="Q788" t="str">
        <f>IFERROR(IF(VLOOKUP(Tb_Activiteiten[[#This Row],[Openstelling]],Tb_Openstelling[],2,0)=1,1,""),"")</f>
        <v/>
      </c>
      <c r="AK788" t="str">
        <f>IF(ISNUMBER(FIND("arbeid",Methode_Keuze)),"",IF(ISNUMBER(FIND("arbeid",Methode_Keuze)),"",IF(Tb_Activiteiten[[#This Row],[Loonkosten]]=1,Tb_Activiteiten[[#Headers],[Loonkosten]],"")))</f>
        <v/>
      </c>
      <c r="AL788" t="str">
        <f>IF(ISNUMBER(FIND("arbeid",Methode_Keuze)),"",IF(ISNUMBER(FIND("arbeid",Methode_Keuze)),"",IF(Tb_Activiteiten[[#This Row],[Eigen arbeid]]=1,Tb_Activiteiten[[#Headers],[Eigen arbeid]],"")))</f>
        <v/>
      </c>
      <c r="AM788" t="str">
        <f>IF(ISNUMBER(FIND("arbeid",Methode_Keuze)),"",IF(ISNUMBER(FIND("arbeid",Methode_Keuze)),"",IF(Tb_Activiteiten[[#This Row],[Projectmedewerker]]=1,Tb_Activiteiten[[#Headers],[Projectmedewerker]],"")))</f>
        <v/>
      </c>
      <c r="AN788" t="str">
        <f>IF(ISNUMBER(FIND("arbeid",Methode_Keuze)),"",IF(ISNUMBER(FIND("arbeid",Methode_Keuze)),"",IF(Tb_Activiteiten[[#This Row],[Landbouwer]]=1,Tb_Activiteiten[[#Headers],[Landbouwer]],"")))</f>
        <v/>
      </c>
      <c r="AO788" t="str">
        <f>IF(ISNUMBER(FIND("arbeid",Methode_Keuze)),"",IF(ISNUMBER(FIND("arbeid",Methode_Keuze)),"",IF(Tb_Activiteiten[[#This Row],[Adviseur]]=1,Tb_Activiteiten[[#Headers],[Adviseur]],"")))</f>
        <v/>
      </c>
      <c r="AP788" t="str">
        <f>IF(ISNUMBER(FIND("arbeid",Methode_Keuze)),"",IF(ISNUMBER(FIND("arbeid",Methode_Keuze)),"",IF(Tb_Activiteiten[[#This Row],[Projectleider/Expert]]=1,Tb_Activiteiten[[#Headers],[Projectleider/Expert]],"")))</f>
        <v/>
      </c>
      <c r="AQ788" t="str">
        <f>IF(ISNUMBER(FIND("arbeid",Methode_Keuze)),"",IF(ISNUMBER(FIND("arbeid",Methode_Keuze)),"",IF(Tb_Activiteiten[[#This Row],[Arbeidskosten]]=1,Tb_Activiteiten[[#Headers],[Arbeidskosten]],"")))</f>
        <v/>
      </c>
      <c r="AR788" t="str">
        <f>IF(ISNUMBER(FIND("arbeid",Methode_Keuze)),"",IF(ISNUMBER(FIND("arbeid",Methode_Keuze)),"",IF(Tb_Activiteiten[[#This Row],[Arbeidskosten op basis van IKS]]=1,Tb_Activiteiten[[#Headers],[Arbeidskosten op basis van IKS]],"")))</f>
        <v/>
      </c>
      <c r="AS788" t="str">
        <f>IF(ISNUMBER(FIND("overige",Methode_Keuze)),"",IF(Tb_Activiteiten[[#This Row],[Kosten derden exclusief btw]]=1,Tb_Activiteiten[[#Headers],[Kosten derden exclusief btw]],""))</f>
        <v/>
      </c>
      <c r="AT788" t="str">
        <f>IF(ISNUMBER(FIND("overige",Methode_Keuze)),"",IF(Tb_Activiteiten[[#This Row],[Niet verrekenbare btw]]=1,Tb_Activiteiten[[#Headers],[Niet verrekenbare btw]],""))</f>
        <v/>
      </c>
      <c r="AU788" t="str">
        <f>IF(ISNUMBER(FIND("overige",Methode_Keuze)),"",IF(Tb_Activiteiten[[#This Row],[Grondkosten]]=1,Tb_Activiteiten[[#Headers],[Grondkosten]],""))</f>
        <v/>
      </c>
      <c r="AV788" t="str">
        <f>IF(ISNUMBER(FIND("overige",Methode_Keuze)),"",IF(Tb_Activiteiten[[#This Row],[Bijdrage in natura (overige)]]=1,Tb_Activiteiten[[#Headers],[Bijdrage in natura (overige)]],""))</f>
        <v/>
      </c>
      <c r="AW788" t="str">
        <f>IF(ISNUMBER(FIND("overige",Methode_Keuze)),"",IF(Tb_Activiteiten[[#This Row],[Bijdrage in natura (vrijwilligers)]]=1,Tb_Activiteiten[[#Headers],[Bijdrage in natura (vrijwilligers)]],""))</f>
        <v/>
      </c>
      <c r="AX788" t="str">
        <f>IF(ISNUMBER(FIND("overige",Methode_Keuze)),"",IF(Tb_Activiteiten[[#This Row],[Afschrijvingskosten]]=1,Tb_Activiteiten[[#Headers],[Afschrijvingskosten]],""))</f>
        <v/>
      </c>
      <c r="AY788" t="str">
        <f>IF(ISNUMBER(FIND("overige",Methode_Keuze)),"",IF(Tb_Activiteiten[[#This Row],[Vergoeding]]=1,Tb_Activiteiten[[#Headers],[Vergoeding]],""))</f>
        <v/>
      </c>
      <c r="AZ788" t="str">
        <f>IF(ISNUMBER(FIND("arbeid",Methode_Keuze)),"",IF(Tb_Activiteiten[[#This Row],[Arbeidskosten - vast tarief (excl eigen arbeid)]]=1,Tb_Activiteiten[[#Headers],[Arbeidskosten - vast tarief (excl eigen arbeid)]],""))</f>
        <v/>
      </c>
      <c r="BA788" t="str">
        <f>IF(ISNUMBER(FIND("overige",Methode_Keuze)),"",IF(Tb_Activiteiten[[#This Row],[Overige kosten]]=1,Tb_Activiteiten[[#Headers],[Overige kosten]],""))</f>
        <v/>
      </c>
    </row>
    <row r="789" spans="1:53" x14ac:dyDescent="0.25">
      <c r="A789" s="231"/>
      <c r="F789" s="64"/>
      <c r="G789" s="64"/>
      <c r="H789" s="275"/>
      <c r="I789" s="275"/>
      <c r="J789" s="275"/>
      <c r="K789" s="275"/>
      <c r="O789" s="56"/>
      <c r="Q789" t="str">
        <f>IFERROR(IF(VLOOKUP(Tb_Activiteiten[[#This Row],[Openstelling]],Tb_Openstelling[],2,0)=1,1,""),"")</f>
        <v/>
      </c>
      <c r="AK789" t="str">
        <f>IF(ISNUMBER(FIND("arbeid",Methode_Keuze)),"",IF(ISNUMBER(FIND("arbeid",Methode_Keuze)),"",IF(Tb_Activiteiten[[#This Row],[Loonkosten]]=1,Tb_Activiteiten[[#Headers],[Loonkosten]],"")))</f>
        <v/>
      </c>
      <c r="AL789" t="str">
        <f>IF(ISNUMBER(FIND("arbeid",Methode_Keuze)),"",IF(ISNUMBER(FIND("arbeid",Methode_Keuze)),"",IF(Tb_Activiteiten[[#This Row],[Eigen arbeid]]=1,Tb_Activiteiten[[#Headers],[Eigen arbeid]],"")))</f>
        <v/>
      </c>
      <c r="AM789" t="str">
        <f>IF(ISNUMBER(FIND("arbeid",Methode_Keuze)),"",IF(ISNUMBER(FIND("arbeid",Methode_Keuze)),"",IF(Tb_Activiteiten[[#This Row],[Projectmedewerker]]=1,Tb_Activiteiten[[#Headers],[Projectmedewerker]],"")))</f>
        <v/>
      </c>
      <c r="AN789" t="str">
        <f>IF(ISNUMBER(FIND("arbeid",Methode_Keuze)),"",IF(ISNUMBER(FIND("arbeid",Methode_Keuze)),"",IF(Tb_Activiteiten[[#This Row],[Landbouwer]]=1,Tb_Activiteiten[[#Headers],[Landbouwer]],"")))</f>
        <v/>
      </c>
      <c r="AO789" t="str">
        <f>IF(ISNUMBER(FIND("arbeid",Methode_Keuze)),"",IF(ISNUMBER(FIND("arbeid",Methode_Keuze)),"",IF(Tb_Activiteiten[[#This Row],[Adviseur]]=1,Tb_Activiteiten[[#Headers],[Adviseur]],"")))</f>
        <v/>
      </c>
      <c r="AP789" t="str">
        <f>IF(ISNUMBER(FIND("arbeid",Methode_Keuze)),"",IF(ISNUMBER(FIND("arbeid",Methode_Keuze)),"",IF(Tb_Activiteiten[[#This Row],[Projectleider/Expert]]=1,Tb_Activiteiten[[#Headers],[Projectleider/Expert]],"")))</f>
        <v/>
      </c>
      <c r="AQ789" t="str">
        <f>IF(ISNUMBER(FIND("arbeid",Methode_Keuze)),"",IF(ISNUMBER(FIND("arbeid",Methode_Keuze)),"",IF(Tb_Activiteiten[[#This Row],[Arbeidskosten]]=1,Tb_Activiteiten[[#Headers],[Arbeidskosten]],"")))</f>
        <v/>
      </c>
      <c r="AR789" t="str">
        <f>IF(ISNUMBER(FIND("arbeid",Methode_Keuze)),"",IF(ISNUMBER(FIND("arbeid",Methode_Keuze)),"",IF(Tb_Activiteiten[[#This Row],[Arbeidskosten op basis van IKS]]=1,Tb_Activiteiten[[#Headers],[Arbeidskosten op basis van IKS]],"")))</f>
        <v/>
      </c>
      <c r="AS789" t="str">
        <f>IF(ISNUMBER(FIND("overige",Methode_Keuze)),"",IF(Tb_Activiteiten[[#This Row],[Kosten derden exclusief btw]]=1,Tb_Activiteiten[[#Headers],[Kosten derden exclusief btw]],""))</f>
        <v/>
      </c>
      <c r="AT789" t="str">
        <f>IF(ISNUMBER(FIND("overige",Methode_Keuze)),"",IF(Tb_Activiteiten[[#This Row],[Niet verrekenbare btw]]=1,Tb_Activiteiten[[#Headers],[Niet verrekenbare btw]],""))</f>
        <v/>
      </c>
      <c r="AU789" t="str">
        <f>IF(ISNUMBER(FIND("overige",Methode_Keuze)),"",IF(Tb_Activiteiten[[#This Row],[Grondkosten]]=1,Tb_Activiteiten[[#Headers],[Grondkosten]],""))</f>
        <v/>
      </c>
      <c r="AV789" t="str">
        <f>IF(ISNUMBER(FIND("overige",Methode_Keuze)),"",IF(Tb_Activiteiten[[#This Row],[Bijdrage in natura (overige)]]=1,Tb_Activiteiten[[#Headers],[Bijdrage in natura (overige)]],""))</f>
        <v/>
      </c>
      <c r="AW789" t="str">
        <f>IF(ISNUMBER(FIND("overige",Methode_Keuze)),"",IF(Tb_Activiteiten[[#This Row],[Bijdrage in natura (vrijwilligers)]]=1,Tb_Activiteiten[[#Headers],[Bijdrage in natura (vrijwilligers)]],""))</f>
        <v/>
      </c>
      <c r="AX789" t="str">
        <f>IF(ISNUMBER(FIND("overige",Methode_Keuze)),"",IF(Tb_Activiteiten[[#This Row],[Afschrijvingskosten]]=1,Tb_Activiteiten[[#Headers],[Afschrijvingskosten]],""))</f>
        <v/>
      </c>
      <c r="AY789" t="str">
        <f>IF(ISNUMBER(FIND("overige",Methode_Keuze)),"",IF(Tb_Activiteiten[[#This Row],[Vergoeding]]=1,Tb_Activiteiten[[#Headers],[Vergoeding]],""))</f>
        <v/>
      </c>
      <c r="AZ789" t="str">
        <f>IF(ISNUMBER(FIND("arbeid",Methode_Keuze)),"",IF(Tb_Activiteiten[[#This Row],[Arbeidskosten - vast tarief (excl eigen arbeid)]]=1,Tb_Activiteiten[[#Headers],[Arbeidskosten - vast tarief (excl eigen arbeid)]],""))</f>
        <v/>
      </c>
      <c r="BA789" t="str">
        <f>IF(ISNUMBER(FIND("overige",Methode_Keuze)),"",IF(Tb_Activiteiten[[#This Row],[Overige kosten]]=1,Tb_Activiteiten[[#Headers],[Overige kosten]],""))</f>
        <v/>
      </c>
    </row>
    <row r="790" spans="1:53" x14ac:dyDescent="0.25">
      <c r="A790" s="231"/>
      <c r="F790" s="64"/>
      <c r="G790" s="64"/>
      <c r="H790" s="275"/>
      <c r="I790" s="275"/>
      <c r="J790" s="275"/>
      <c r="K790" s="275"/>
      <c r="O790" s="56"/>
      <c r="Q790" t="str">
        <f>IFERROR(IF(VLOOKUP(Tb_Activiteiten[[#This Row],[Openstelling]],Tb_Openstelling[],2,0)=1,1,""),"")</f>
        <v/>
      </c>
      <c r="AK790" t="str">
        <f>IF(ISNUMBER(FIND("arbeid",Methode_Keuze)),"",IF(ISNUMBER(FIND("arbeid",Methode_Keuze)),"",IF(Tb_Activiteiten[[#This Row],[Loonkosten]]=1,Tb_Activiteiten[[#Headers],[Loonkosten]],"")))</f>
        <v/>
      </c>
      <c r="AL790" t="str">
        <f>IF(ISNUMBER(FIND("arbeid",Methode_Keuze)),"",IF(ISNUMBER(FIND("arbeid",Methode_Keuze)),"",IF(Tb_Activiteiten[[#This Row],[Eigen arbeid]]=1,Tb_Activiteiten[[#Headers],[Eigen arbeid]],"")))</f>
        <v/>
      </c>
      <c r="AM790" t="str">
        <f>IF(ISNUMBER(FIND("arbeid",Methode_Keuze)),"",IF(ISNUMBER(FIND("arbeid",Methode_Keuze)),"",IF(Tb_Activiteiten[[#This Row],[Projectmedewerker]]=1,Tb_Activiteiten[[#Headers],[Projectmedewerker]],"")))</f>
        <v/>
      </c>
      <c r="AN790" t="str">
        <f>IF(ISNUMBER(FIND("arbeid",Methode_Keuze)),"",IF(ISNUMBER(FIND("arbeid",Methode_Keuze)),"",IF(Tb_Activiteiten[[#This Row],[Landbouwer]]=1,Tb_Activiteiten[[#Headers],[Landbouwer]],"")))</f>
        <v/>
      </c>
      <c r="AO790" t="str">
        <f>IF(ISNUMBER(FIND("arbeid",Methode_Keuze)),"",IF(ISNUMBER(FIND("arbeid",Methode_Keuze)),"",IF(Tb_Activiteiten[[#This Row],[Adviseur]]=1,Tb_Activiteiten[[#Headers],[Adviseur]],"")))</f>
        <v/>
      </c>
      <c r="AP790" t="str">
        <f>IF(ISNUMBER(FIND("arbeid",Methode_Keuze)),"",IF(ISNUMBER(FIND("arbeid",Methode_Keuze)),"",IF(Tb_Activiteiten[[#This Row],[Projectleider/Expert]]=1,Tb_Activiteiten[[#Headers],[Projectleider/Expert]],"")))</f>
        <v/>
      </c>
      <c r="AQ790" t="str">
        <f>IF(ISNUMBER(FIND("arbeid",Methode_Keuze)),"",IF(ISNUMBER(FIND("arbeid",Methode_Keuze)),"",IF(Tb_Activiteiten[[#This Row],[Arbeidskosten]]=1,Tb_Activiteiten[[#Headers],[Arbeidskosten]],"")))</f>
        <v/>
      </c>
      <c r="AR790" t="str">
        <f>IF(ISNUMBER(FIND("arbeid",Methode_Keuze)),"",IF(ISNUMBER(FIND("arbeid",Methode_Keuze)),"",IF(Tb_Activiteiten[[#This Row],[Arbeidskosten op basis van IKS]]=1,Tb_Activiteiten[[#Headers],[Arbeidskosten op basis van IKS]],"")))</f>
        <v/>
      </c>
      <c r="AS790" t="str">
        <f>IF(ISNUMBER(FIND("overige",Methode_Keuze)),"",IF(Tb_Activiteiten[[#This Row],[Kosten derden exclusief btw]]=1,Tb_Activiteiten[[#Headers],[Kosten derden exclusief btw]],""))</f>
        <v/>
      </c>
      <c r="AT790" t="str">
        <f>IF(ISNUMBER(FIND("overige",Methode_Keuze)),"",IF(Tb_Activiteiten[[#This Row],[Niet verrekenbare btw]]=1,Tb_Activiteiten[[#Headers],[Niet verrekenbare btw]],""))</f>
        <v/>
      </c>
      <c r="AU790" t="str">
        <f>IF(ISNUMBER(FIND("overige",Methode_Keuze)),"",IF(Tb_Activiteiten[[#This Row],[Grondkosten]]=1,Tb_Activiteiten[[#Headers],[Grondkosten]],""))</f>
        <v/>
      </c>
      <c r="AV790" t="str">
        <f>IF(ISNUMBER(FIND("overige",Methode_Keuze)),"",IF(Tb_Activiteiten[[#This Row],[Bijdrage in natura (overige)]]=1,Tb_Activiteiten[[#Headers],[Bijdrage in natura (overige)]],""))</f>
        <v/>
      </c>
      <c r="AW790" t="str">
        <f>IF(ISNUMBER(FIND("overige",Methode_Keuze)),"",IF(Tb_Activiteiten[[#This Row],[Bijdrage in natura (vrijwilligers)]]=1,Tb_Activiteiten[[#Headers],[Bijdrage in natura (vrijwilligers)]],""))</f>
        <v/>
      </c>
      <c r="AX790" t="str">
        <f>IF(ISNUMBER(FIND("overige",Methode_Keuze)),"",IF(Tb_Activiteiten[[#This Row],[Afschrijvingskosten]]=1,Tb_Activiteiten[[#Headers],[Afschrijvingskosten]],""))</f>
        <v/>
      </c>
      <c r="AY790" t="str">
        <f>IF(ISNUMBER(FIND("overige",Methode_Keuze)),"",IF(Tb_Activiteiten[[#This Row],[Vergoeding]]=1,Tb_Activiteiten[[#Headers],[Vergoeding]],""))</f>
        <v/>
      </c>
      <c r="AZ790" t="str">
        <f>IF(ISNUMBER(FIND("arbeid",Methode_Keuze)),"",IF(Tb_Activiteiten[[#This Row],[Arbeidskosten - vast tarief (excl eigen arbeid)]]=1,Tb_Activiteiten[[#Headers],[Arbeidskosten - vast tarief (excl eigen arbeid)]],""))</f>
        <v/>
      </c>
      <c r="BA790" t="str">
        <f>IF(ISNUMBER(FIND("overige",Methode_Keuze)),"",IF(Tb_Activiteiten[[#This Row],[Overige kosten]]=1,Tb_Activiteiten[[#Headers],[Overige kosten]],""))</f>
        <v/>
      </c>
    </row>
    <row r="791" spans="1:53" x14ac:dyDescent="0.25">
      <c r="A791" s="231"/>
      <c r="F791" s="64"/>
      <c r="G791" s="64"/>
      <c r="H791" s="275"/>
      <c r="I791" s="275"/>
      <c r="J791" s="275"/>
      <c r="K791" s="275"/>
      <c r="O791" s="56"/>
      <c r="Q791" t="str">
        <f>IFERROR(IF(VLOOKUP(Tb_Activiteiten[[#This Row],[Openstelling]],Tb_Openstelling[],2,0)=1,1,""),"")</f>
        <v/>
      </c>
      <c r="AK791" t="str">
        <f>IF(ISNUMBER(FIND("arbeid",Methode_Keuze)),"",IF(ISNUMBER(FIND("arbeid",Methode_Keuze)),"",IF(Tb_Activiteiten[[#This Row],[Loonkosten]]=1,Tb_Activiteiten[[#Headers],[Loonkosten]],"")))</f>
        <v/>
      </c>
      <c r="AL791" t="str">
        <f>IF(ISNUMBER(FIND("arbeid",Methode_Keuze)),"",IF(ISNUMBER(FIND("arbeid",Methode_Keuze)),"",IF(Tb_Activiteiten[[#This Row],[Eigen arbeid]]=1,Tb_Activiteiten[[#Headers],[Eigen arbeid]],"")))</f>
        <v/>
      </c>
      <c r="AM791" t="str">
        <f>IF(ISNUMBER(FIND("arbeid",Methode_Keuze)),"",IF(ISNUMBER(FIND("arbeid",Methode_Keuze)),"",IF(Tb_Activiteiten[[#This Row],[Projectmedewerker]]=1,Tb_Activiteiten[[#Headers],[Projectmedewerker]],"")))</f>
        <v/>
      </c>
      <c r="AN791" t="str">
        <f>IF(ISNUMBER(FIND("arbeid",Methode_Keuze)),"",IF(ISNUMBER(FIND("arbeid",Methode_Keuze)),"",IF(Tb_Activiteiten[[#This Row],[Landbouwer]]=1,Tb_Activiteiten[[#Headers],[Landbouwer]],"")))</f>
        <v/>
      </c>
      <c r="AO791" t="str">
        <f>IF(ISNUMBER(FIND("arbeid",Methode_Keuze)),"",IF(ISNUMBER(FIND("arbeid",Methode_Keuze)),"",IF(Tb_Activiteiten[[#This Row],[Adviseur]]=1,Tb_Activiteiten[[#Headers],[Adviseur]],"")))</f>
        <v/>
      </c>
      <c r="AP791" t="str">
        <f>IF(ISNUMBER(FIND("arbeid",Methode_Keuze)),"",IF(ISNUMBER(FIND("arbeid",Methode_Keuze)),"",IF(Tb_Activiteiten[[#This Row],[Projectleider/Expert]]=1,Tb_Activiteiten[[#Headers],[Projectleider/Expert]],"")))</f>
        <v/>
      </c>
      <c r="AQ791" t="str">
        <f>IF(ISNUMBER(FIND("arbeid",Methode_Keuze)),"",IF(ISNUMBER(FIND("arbeid",Methode_Keuze)),"",IF(Tb_Activiteiten[[#This Row],[Arbeidskosten]]=1,Tb_Activiteiten[[#Headers],[Arbeidskosten]],"")))</f>
        <v/>
      </c>
      <c r="AR791" t="str">
        <f>IF(ISNUMBER(FIND("arbeid",Methode_Keuze)),"",IF(ISNUMBER(FIND("arbeid",Methode_Keuze)),"",IF(Tb_Activiteiten[[#This Row],[Arbeidskosten op basis van IKS]]=1,Tb_Activiteiten[[#Headers],[Arbeidskosten op basis van IKS]],"")))</f>
        <v/>
      </c>
      <c r="AS791" t="str">
        <f>IF(ISNUMBER(FIND("overige",Methode_Keuze)),"",IF(Tb_Activiteiten[[#This Row],[Kosten derden exclusief btw]]=1,Tb_Activiteiten[[#Headers],[Kosten derden exclusief btw]],""))</f>
        <v/>
      </c>
      <c r="AT791" t="str">
        <f>IF(ISNUMBER(FIND("overige",Methode_Keuze)),"",IF(Tb_Activiteiten[[#This Row],[Niet verrekenbare btw]]=1,Tb_Activiteiten[[#Headers],[Niet verrekenbare btw]],""))</f>
        <v/>
      </c>
      <c r="AU791" t="str">
        <f>IF(ISNUMBER(FIND("overige",Methode_Keuze)),"",IF(Tb_Activiteiten[[#This Row],[Grondkosten]]=1,Tb_Activiteiten[[#Headers],[Grondkosten]],""))</f>
        <v/>
      </c>
      <c r="AV791" t="str">
        <f>IF(ISNUMBER(FIND("overige",Methode_Keuze)),"",IF(Tb_Activiteiten[[#This Row],[Bijdrage in natura (overige)]]=1,Tb_Activiteiten[[#Headers],[Bijdrage in natura (overige)]],""))</f>
        <v/>
      </c>
      <c r="AW791" t="str">
        <f>IF(ISNUMBER(FIND("overige",Methode_Keuze)),"",IF(Tb_Activiteiten[[#This Row],[Bijdrage in natura (vrijwilligers)]]=1,Tb_Activiteiten[[#Headers],[Bijdrage in natura (vrijwilligers)]],""))</f>
        <v/>
      </c>
      <c r="AX791" t="str">
        <f>IF(ISNUMBER(FIND("overige",Methode_Keuze)),"",IF(Tb_Activiteiten[[#This Row],[Afschrijvingskosten]]=1,Tb_Activiteiten[[#Headers],[Afschrijvingskosten]],""))</f>
        <v/>
      </c>
      <c r="AY791" t="str">
        <f>IF(ISNUMBER(FIND("overige",Methode_Keuze)),"",IF(Tb_Activiteiten[[#This Row],[Vergoeding]]=1,Tb_Activiteiten[[#Headers],[Vergoeding]],""))</f>
        <v/>
      </c>
      <c r="AZ791" t="str">
        <f>IF(ISNUMBER(FIND("arbeid",Methode_Keuze)),"",IF(Tb_Activiteiten[[#This Row],[Arbeidskosten - vast tarief (excl eigen arbeid)]]=1,Tb_Activiteiten[[#Headers],[Arbeidskosten - vast tarief (excl eigen arbeid)]],""))</f>
        <v/>
      </c>
      <c r="BA791" t="str">
        <f>IF(ISNUMBER(FIND("overige",Methode_Keuze)),"",IF(Tb_Activiteiten[[#This Row],[Overige kosten]]=1,Tb_Activiteiten[[#Headers],[Overige kosten]],""))</f>
        <v/>
      </c>
    </row>
    <row r="792" spans="1:53" x14ac:dyDescent="0.25">
      <c r="A792" s="231"/>
      <c r="F792" s="64"/>
      <c r="G792" s="64"/>
      <c r="H792" s="275"/>
      <c r="I792" s="275"/>
      <c r="J792" s="275"/>
      <c r="K792" s="275"/>
      <c r="O792" s="56"/>
      <c r="Q792" t="str">
        <f>IFERROR(IF(VLOOKUP(Tb_Activiteiten[[#This Row],[Openstelling]],Tb_Openstelling[],2,0)=1,1,""),"")</f>
        <v/>
      </c>
      <c r="AK792" t="str">
        <f>IF(ISNUMBER(FIND("arbeid",Methode_Keuze)),"",IF(ISNUMBER(FIND("arbeid",Methode_Keuze)),"",IF(Tb_Activiteiten[[#This Row],[Loonkosten]]=1,Tb_Activiteiten[[#Headers],[Loonkosten]],"")))</f>
        <v/>
      </c>
      <c r="AL792" t="str">
        <f>IF(ISNUMBER(FIND("arbeid",Methode_Keuze)),"",IF(ISNUMBER(FIND("arbeid",Methode_Keuze)),"",IF(Tb_Activiteiten[[#This Row],[Eigen arbeid]]=1,Tb_Activiteiten[[#Headers],[Eigen arbeid]],"")))</f>
        <v/>
      </c>
      <c r="AM792" t="str">
        <f>IF(ISNUMBER(FIND("arbeid",Methode_Keuze)),"",IF(ISNUMBER(FIND("arbeid",Methode_Keuze)),"",IF(Tb_Activiteiten[[#This Row],[Projectmedewerker]]=1,Tb_Activiteiten[[#Headers],[Projectmedewerker]],"")))</f>
        <v/>
      </c>
      <c r="AN792" t="str">
        <f>IF(ISNUMBER(FIND("arbeid",Methode_Keuze)),"",IF(ISNUMBER(FIND("arbeid",Methode_Keuze)),"",IF(Tb_Activiteiten[[#This Row],[Landbouwer]]=1,Tb_Activiteiten[[#Headers],[Landbouwer]],"")))</f>
        <v/>
      </c>
      <c r="AO792" t="str">
        <f>IF(ISNUMBER(FIND("arbeid",Methode_Keuze)),"",IF(ISNUMBER(FIND("arbeid",Methode_Keuze)),"",IF(Tb_Activiteiten[[#This Row],[Adviseur]]=1,Tb_Activiteiten[[#Headers],[Adviseur]],"")))</f>
        <v/>
      </c>
      <c r="AP792" t="str">
        <f>IF(ISNUMBER(FIND("arbeid",Methode_Keuze)),"",IF(ISNUMBER(FIND("arbeid",Methode_Keuze)),"",IF(Tb_Activiteiten[[#This Row],[Projectleider/Expert]]=1,Tb_Activiteiten[[#Headers],[Projectleider/Expert]],"")))</f>
        <v/>
      </c>
      <c r="AQ792" t="str">
        <f>IF(ISNUMBER(FIND("arbeid",Methode_Keuze)),"",IF(ISNUMBER(FIND("arbeid",Methode_Keuze)),"",IF(Tb_Activiteiten[[#This Row],[Arbeidskosten]]=1,Tb_Activiteiten[[#Headers],[Arbeidskosten]],"")))</f>
        <v/>
      </c>
      <c r="AR792" t="str">
        <f>IF(ISNUMBER(FIND("arbeid",Methode_Keuze)),"",IF(ISNUMBER(FIND("arbeid",Methode_Keuze)),"",IF(Tb_Activiteiten[[#This Row],[Arbeidskosten op basis van IKS]]=1,Tb_Activiteiten[[#Headers],[Arbeidskosten op basis van IKS]],"")))</f>
        <v/>
      </c>
      <c r="AS792" t="str">
        <f>IF(ISNUMBER(FIND("overige",Methode_Keuze)),"",IF(Tb_Activiteiten[[#This Row],[Kosten derden exclusief btw]]=1,Tb_Activiteiten[[#Headers],[Kosten derden exclusief btw]],""))</f>
        <v/>
      </c>
      <c r="AT792" t="str">
        <f>IF(ISNUMBER(FIND("overige",Methode_Keuze)),"",IF(Tb_Activiteiten[[#This Row],[Niet verrekenbare btw]]=1,Tb_Activiteiten[[#Headers],[Niet verrekenbare btw]],""))</f>
        <v/>
      </c>
      <c r="AU792" t="str">
        <f>IF(ISNUMBER(FIND("overige",Methode_Keuze)),"",IF(Tb_Activiteiten[[#This Row],[Grondkosten]]=1,Tb_Activiteiten[[#Headers],[Grondkosten]],""))</f>
        <v/>
      </c>
      <c r="AV792" t="str">
        <f>IF(ISNUMBER(FIND("overige",Methode_Keuze)),"",IF(Tb_Activiteiten[[#This Row],[Bijdrage in natura (overige)]]=1,Tb_Activiteiten[[#Headers],[Bijdrage in natura (overige)]],""))</f>
        <v/>
      </c>
      <c r="AW792" t="str">
        <f>IF(ISNUMBER(FIND("overige",Methode_Keuze)),"",IF(Tb_Activiteiten[[#This Row],[Bijdrage in natura (vrijwilligers)]]=1,Tb_Activiteiten[[#Headers],[Bijdrage in natura (vrijwilligers)]],""))</f>
        <v/>
      </c>
      <c r="AX792" t="str">
        <f>IF(ISNUMBER(FIND("overige",Methode_Keuze)),"",IF(Tb_Activiteiten[[#This Row],[Afschrijvingskosten]]=1,Tb_Activiteiten[[#Headers],[Afschrijvingskosten]],""))</f>
        <v/>
      </c>
      <c r="AY792" t="str">
        <f>IF(ISNUMBER(FIND("overige",Methode_Keuze)),"",IF(Tb_Activiteiten[[#This Row],[Vergoeding]]=1,Tb_Activiteiten[[#Headers],[Vergoeding]],""))</f>
        <v/>
      </c>
      <c r="AZ792" t="str">
        <f>IF(ISNUMBER(FIND("arbeid",Methode_Keuze)),"",IF(Tb_Activiteiten[[#This Row],[Arbeidskosten - vast tarief (excl eigen arbeid)]]=1,Tb_Activiteiten[[#Headers],[Arbeidskosten - vast tarief (excl eigen arbeid)]],""))</f>
        <v/>
      </c>
      <c r="BA792" t="str">
        <f>IF(ISNUMBER(FIND("overige",Methode_Keuze)),"",IF(Tb_Activiteiten[[#This Row],[Overige kosten]]=1,Tb_Activiteiten[[#Headers],[Overige kosten]],""))</f>
        <v/>
      </c>
    </row>
    <row r="793" spans="1:53" x14ac:dyDescent="0.25">
      <c r="A793" s="231"/>
      <c r="F793" s="64"/>
      <c r="G793" s="64"/>
      <c r="H793" s="275"/>
      <c r="I793" s="275"/>
      <c r="J793" s="275"/>
      <c r="K793" s="275"/>
      <c r="O793" s="56"/>
      <c r="Q793" t="str">
        <f>IFERROR(IF(VLOOKUP(Tb_Activiteiten[[#This Row],[Openstelling]],Tb_Openstelling[],2,0)=1,1,""),"")</f>
        <v/>
      </c>
      <c r="AK793" t="str">
        <f>IF(ISNUMBER(FIND("arbeid",Methode_Keuze)),"",IF(ISNUMBER(FIND("arbeid",Methode_Keuze)),"",IF(Tb_Activiteiten[[#This Row],[Loonkosten]]=1,Tb_Activiteiten[[#Headers],[Loonkosten]],"")))</f>
        <v/>
      </c>
      <c r="AL793" t="str">
        <f>IF(ISNUMBER(FIND("arbeid",Methode_Keuze)),"",IF(ISNUMBER(FIND("arbeid",Methode_Keuze)),"",IF(Tb_Activiteiten[[#This Row],[Eigen arbeid]]=1,Tb_Activiteiten[[#Headers],[Eigen arbeid]],"")))</f>
        <v/>
      </c>
      <c r="AM793" t="str">
        <f>IF(ISNUMBER(FIND("arbeid",Methode_Keuze)),"",IF(ISNUMBER(FIND("arbeid",Methode_Keuze)),"",IF(Tb_Activiteiten[[#This Row],[Projectmedewerker]]=1,Tb_Activiteiten[[#Headers],[Projectmedewerker]],"")))</f>
        <v/>
      </c>
      <c r="AN793" t="str">
        <f>IF(ISNUMBER(FIND("arbeid",Methode_Keuze)),"",IF(ISNUMBER(FIND("arbeid",Methode_Keuze)),"",IF(Tb_Activiteiten[[#This Row],[Landbouwer]]=1,Tb_Activiteiten[[#Headers],[Landbouwer]],"")))</f>
        <v/>
      </c>
      <c r="AO793" t="str">
        <f>IF(ISNUMBER(FIND("arbeid",Methode_Keuze)),"",IF(ISNUMBER(FIND("arbeid",Methode_Keuze)),"",IF(Tb_Activiteiten[[#This Row],[Adviseur]]=1,Tb_Activiteiten[[#Headers],[Adviseur]],"")))</f>
        <v/>
      </c>
      <c r="AP793" t="str">
        <f>IF(ISNUMBER(FIND("arbeid",Methode_Keuze)),"",IF(ISNUMBER(FIND("arbeid",Methode_Keuze)),"",IF(Tb_Activiteiten[[#This Row],[Projectleider/Expert]]=1,Tb_Activiteiten[[#Headers],[Projectleider/Expert]],"")))</f>
        <v/>
      </c>
      <c r="AQ793" t="str">
        <f>IF(ISNUMBER(FIND("arbeid",Methode_Keuze)),"",IF(ISNUMBER(FIND("arbeid",Methode_Keuze)),"",IF(Tb_Activiteiten[[#This Row],[Arbeidskosten]]=1,Tb_Activiteiten[[#Headers],[Arbeidskosten]],"")))</f>
        <v/>
      </c>
      <c r="AR793" t="str">
        <f>IF(ISNUMBER(FIND("arbeid",Methode_Keuze)),"",IF(ISNUMBER(FIND("arbeid",Methode_Keuze)),"",IF(Tb_Activiteiten[[#This Row],[Arbeidskosten op basis van IKS]]=1,Tb_Activiteiten[[#Headers],[Arbeidskosten op basis van IKS]],"")))</f>
        <v/>
      </c>
      <c r="AS793" t="str">
        <f>IF(ISNUMBER(FIND("overige",Methode_Keuze)),"",IF(Tb_Activiteiten[[#This Row],[Kosten derden exclusief btw]]=1,Tb_Activiteiten[[#Headers],[Kosten derden exclusief btw]],""))</f>
        <v/>
      </c>
      <c r="AT793" t="str">
        <f>IF(ISNUMBER(FIND("overige",Methode_Keuze)),"",IF(Tb_Activiteiten[[#This Row],[Niet verrekenbare btw]]=1,Tb_Activiteiten[[#Headers],[Niet verrekenbare btw]],""))</f>
        <v/>
      </c>
      <c r="AU793" t="str">
        <f>IF(ISNUMBER(FIND("overige",Methode_Keuze)),"",IF(Tb_Activiteiten[[#This Row],[Grondkosten]]=1,Tb_Activiteiten[[#Headers],[Grondkosten]],""))</f>
        <v/>
      </c>
      <c r="AV793" t="str">
        <f>IF(ISNUMBER(FIND("overige",Methode_Keuze)),"",IF(Tb_Activiteiten[[#This Row],[Bijdrage in natura (overige)]]=1,Tb_Activiteiten[[#Headers],[Bijdrage in natura (overige)]],""))</f>
        <v/>
      </c>
      <c r="AW793" t="str">
        <f>IF(ISNUMBER(FIND("overige",Methode_Keuze)),"",IF(Tb_Activiteiten[[#This Row],[Bijdrage in natura (vrijwilligers)]]=1,Tb_Activiteiten[[#Headers],[Bijdrage in natura (vrijwilligers)]],""))</f>
        <v/>
      </c>
      <c r="AX793" t="str">
        <f>IF(ISNUMBER(FIND("overige",Methode_Keuze)),"",IF(Tb_Activiteiten[[#This Row],[Afschrijvingskosten]]=1,Tb_Activiteiten[[#Headers],[Afschrijvingskosten]],""))</f>
        <v/>
      </c>
      <c r="AY793" t="str">
        <f>IF(ISNUMBER(FIND("overige",Methode_Keuze)),"",IF(Tb_Activiteiten[[#This Row],[Vergoeding]]=1,Tb_Activiteiten[[#Headers],[Vergoeding]],""))</f>
        <v/>
      </c>
      <c r="AZ793" t="str">
        <f>IF(ISNUMBER(FIND("arbeid",Methode_Keuze)),"",IF(Tb_Activiteiten[[#This Row],[Arbeidskosten - vast tarief (excl eigen arbeid)]]=1,Tb_Activiteiten[[#Headers],[Arbeidskosten - vast tarief (excl eigen arbeid)]],""))</f>
        <v/>
      </c>
      <c r="BA793" t="str">
        <f>IF(ISNUMBER(FIND("overige",Methode_Keuze)),"",IF(Tb_Activiteiten[[#This Row],[Overige kosten]]=1,Tb_Activiteiten[[#Headers],[Overige kosten]],""))</f>
        <v/>
      </c>
    </row>
    <row r="794" spans="1:53" x14ac:dyDescent="0.25">
      <c r="A794" s="231"/>
      <c r="F794" s="64"/>
      <c r="G794" s="64"/>
      <c r="H794" s="275"/>
      <c r="I794" s="275"/>
      <c r="J794" s="275"/>
      <c r="K794" s="275"/>
      <c r="O794" s="56"/>
      <c r="Q794" t="str">
        <f>IFERROR(IF(VLOOKUP(Tb_Activiteiten[[#This Row],[Openstelling]],Tb_Openstelling[],2,0)=1,1,""),"")</f>
        <v/>
      </c>
      <c r="AK794" t="str">
        <f>IF(ISNUMBER(FIND("arbeid",Methode_Keuze)),"",IF(ISNUMBER(FIND("arbeid",Methode_Keuze)),"",IF(Tb_Activiteiten[[#This Row],[Loonkosten]]=1,Tb_Activiteiten[[#Headers],[Loonkosten]],"")))</f>
        <v/>
      </c>
      <c r="AL794" t="str">
        <f>IF(ISNUMBER(FIND("arbeid",Methode_Keuze)),"",IF(ISNUMBER(FIND("arbeid",Methode_Keuze)),"",IF(Tb_Activiteiten[[#This Row],[Eigen arbeid]]=1,Tb_Activiteiten[[#Headers],[Eigen arbeid]],"")))</f>
        <v/>
      </c>
      <c r="AM794" t="str">
        <f>IF(ISNUMBER(FIND("arbeid",Methode_Keuze)),"",IF(ISNUMBER(FIND("arbeid",Methode_Keuze)),"",IF(Tb_Activiteiten[[#This Row],[Projectmedewerker]]=1,Tb_Activiteiten[[#Headers],[Projectmedewerker]],"")))</f>
        <v/>
      </c>
      <c r="AN794" t="str">
        <f>IF(ISNUMBER(FIND("arbeid",Methode_Keuze)),"",IF(ISNUMBER(FIND("arbeid",Methode_Keuze)),"",IF(Tb_Activiteiten[[#This Row],[Landbouwer]]=1,Tb_Activiteiten[[#Headers],[Landbouwer]],"")))</f>
        <v/>
      </c>
      <c r="AO794" t="str">
        <f>IF(ISNUMBER(FIND("arbeid",Methode_Keuze)),"",IF(ISNUMBER(FIND("arbeid",Methode_Keuze)),"",IF(Tb_Activiteiten[[#This Row],[Adviseur]]=1,Tb_Activiteiten[[#Headers],[Adviseur]],"")))</f>
        <v/>
      </c>
      <c r="AP794" t="str">
        <f>IF(ISNUMBER(FIND("arbeid",Methode_Keuze)),"",IF(ISNUMBER(FIND("arbeid",Methode_Keuze)),"",IF(Tb_Activiteiten[[#This Row],[Projectleider/Expert]]=1,Tb_Activiteiten[[#Headers],[Projectleider/Expert]],"")))</f>
        <v/>
      </c>
      <c r="AQ794" t="str">
        <f>IF(ISNUMBER(FIND("arbeid",Methode_Keuze)),"",IF(ISNUMBER(FIND("arbeid",Methode_Keuze)),"",IF(Tb_Activiteiten[[#This Row],[Arbeidskosten]]=1,Tb_Activiteiten[[#Headers],[Arbeidskosten]],"")))</f>
        <v/>
      </c>
      <c r="AR794" t="str">
        <f>IF(ISNUMBER(FIND("arbeid",Methode_Keuze)),"",IF(ISNUMBER(FIND("arbeid",Methode_Keuze)),"",IF(Tb_Activiteiten[[#This Row],[Arbeidskosten op basis van IKS]]=1,Tb_Activiteiten[[#Headers],[Arbeidskosten op basis van IKS]],"")))</f>
        <v/>
      </c>
      <c r="AS794" t="str">
        <f>IF(ISNUMBER(FIND("overige",Methode_Keuze)),"",IF(Tb_Activiteiten[[#This Row],[Kosten derden exclusief btw]]=1,Tb_Activiteiten[[#Headers],[Kosten derden exclusief btw]],""))</f>
        <v/>
      </c>
      <c r="AT794" t="str">
        <f>IF(ISNUMBER(FIND("overige",Methode_Keuze)),"",IF(Tb_Activiteiten[[#This Row],[Niet verrekenbare btw]]=1,Tb_Activiteiten[[#Headers],[Niet verrekenbare btw]],""))</f>
        <v/>
      </c>
      <c r="AU794" t="str">
        <f>IF(ISNUMBER(FIND("overige",Methode_Keuze)),"",IF(Tb_Activiteiten[[#This Row],[Grondkosten]]=1,Tb_Activiteiten[[#Headers],[Grondkosten]],""))</f>
        <v/>
      </c>
      <c r="AV794" t="str">
        <f>IF(ISNUMBER(FIND("overige",Methode_Keuze)),"",IF(Tb_Activiteiten[[#This Row],[Bijdrage in natura (overige)]]=1,Tb_Activiteiten[[#Headers],[Bijdrage in natura (overige)]],""))</f>
        <v/>
      </c>
      <c r="AW794" t="str">
        <f>IF(ISNUMBER(FIND("overige",Methode_Keuze)),"",IF(Tb_Activiteiten[[#This Row],[Bijdrage in natura (vrijwilligers)]]=1,Tb_Activiteiten[[#Headers],[Bijdrage in natura (vrijwilligers)]],""))</f>
        <v/>
      </c>
      <c r="AX794" t="str">
        <f>IF(ISNUMBER(FIND("overige",Methode_Keuze)),"",IF(Tb_Activiteiten[[#This Row],[Afschrijvingskosten]]=1,Tb_Activiteiten[[#Headers],[Afschrijvingskosten]],""))</f>
        <v/>
      </c>
      <c r="AY794" t="str">
        <f>IF(ISNUMBER(FIND("overige",Methode_Keuze)),"",IF(Tb_Activiteiten[[#This Row],[Vergoeding]]=1,Tb_Activiteiten[[#Headers],[Vergoeding]],""))</f>
        <v/>
      </c>
      <c r="AZ794" t="str">
        <f>IF(ISNUMBER(FIND("arbeid",Methode_Keuze)),"",IF(Tb_Activiteiten[[#This Row],[Arbeidskosten - vast tarief (excl eigen arbeid)]]=1,Tb_Activiteiten[[#Headers],[Arbeidskosten - vast tarief (excl eigen arbeid)]],""))</f>
        <v/>
      </c>
      <c r="BA794" t="str">
        <f>IF(ISNUMBER(FIND("overige",Methode_Keuze)),"",IF(Tb_Activiteiten[[#This Row],[Overige kosten]]=1,Tb_Activiteiten[[#Headers],[Overige kosten]],""))</f>
        <v/>
      </c>
    </row>
    <row r="795" spans="1:53" x14ac:dyDescent="0.25">
      <c r="A795" s="231"/>
      <c r="F795" s="64"/>
      <c r="G795" s="64"/>
      <c r="H795" s="275"/>
      <c r="I795" s="275"/>
      <c r="J795" s="275"/>
      <c r="K795" s="275"/>
      <c r="O795" s="56"/>
      <c r="Q795" t="str">
        <f>IFERROR(IF(VLOOKUP(Tb_Activiteiten[[#This Row],[Openstelling]],Tb_Openstelling[],2,0)=1,1,""),"")</f>
        <v/>
      </c>
      <c r="AK795" t="str">
        <f>IF(ISNUMBER(FIND("arbeid",Methode_Keuze)),"",IF(ISNUMBER(FIND("arbeid",Methode_Keuze)),"",IF(Tb_Activiteiten[[#This Row],[Loonkosten]]=1,Tb_Activiteiten[[#Headers],[Loonkosten]],"")))</f>
        <v/>
      </c>
      <c r="AL795" t="str">
        <f>IF(ISNUMBER(FIND("arbeid",Methode_Keuze)),"",IF(ISNUMBER(FIND("arbeid",Methode_Keuze)),"",IF(Tb_Activiteiten[[#This Row],[Eigen arbeid]]=1,Tb_Activiteiten[[#Headers],[Eigen arbeid]],"")))</f>
        <v/>
      </c>
      <c r="AM795" t="str">
        <f>IF(ISNUMBER(FIND("arbeid",Methode_Keuze)),"",IF(ISNUMBER(FIND("arbeid",Methode_Keuze)),"",IF(Tb_Activiteiten[[#This Row],[Projectmedewerker]]=1,Tb_Activiteiten[[#Headers],[Projectmedewerker]],"")))</f>
        <v/>
      </c>
      <c r="AN795" t="str">
        <f>IF(ISNUMBER(FIND("arbeid",Methode_Keuze)),"",IF(ISNUMBER(FIND("arbeid",Methode_Keuze)),"",IF(Tb_Activiteiten[[#This Row],[Landbouwer]]=1,Tb_Activiteiten[[#Headers],[Landbouwer]],"")))</f>
        <v/>
      </c>
      <c r="AO795" t="str">
        <f>IF(ISNUMBER(FIND("arbeid",Methode_Keuze)),"",IF(ISNUMBER(FIND("arbeid",Methode_Keuze)),"",IF(Tb_Activiteiten[[#This Row],[Adviseur]]=1,Tb_Activiteiten[[#Headers],[Adviseur]],"")))</f>
        <v/>
      </c>
      <c r="AP795" t="str">
        <f>IF(ISNUMBER(FIND("arbeid",Methode_Keuze)),"",IF(ISNUMBER(FIND("arbeid",Methode_Keuze)),"",IF(Tb_Activiteiten[[#This Row],[Projectleider/Expert]]=1,Tb_Activiteiten[[#Headers],[Projectleider/Expert]],"")))</f>
        <v/>
      </c>
      <c r="AQ795" t="str">
        <f>IF(ISNUMBER(FIND("arbeid",Methode_Keuze)),"",IF(ISNUMBER(FIND("arbeid",Methode_Keuze)),"",IF(Tb_Activiteiten[[#This Row],[Arbeidskosten]]=1,Tb_Activiteiten[[#Headers],[Arbeidskosten]],"")))</f>
        <v/>
      </c>
      <c r="AR795" t="str">
        <f>IF(ISNUMBER(FIND("arbeid",Methode_Keuze)),"",IF(ISNUMBER(FIND("arbeid",Methode_Keuze)),"",IF(Tb_Activiteiten[[#This Row],[Arbeidskosten op basis van IKS]]=1,Tb_Activiteiten[[#Headers],[Arbeidskosten op basis van IKS]],"")))</f>
        <v/>
      </c>
      <c r="AS795" t="str">
        <f>IF(ISNUMBER(FIND("overige",Methode_Keuze)),"",IF(Tb_Activiteiten[[#This Row],[Kosten derden exclusief btw]]=1,Tb_Activiteiten[[#Headers],[Kosten derden exclusief btw]],""))</f>
        <v/>
      </c>
      <c r="AT795" t="str">
        <f>IF(ISNUMBER(FIND("overige",Methode_Keuze)),"",IF(Tb_Activiteiten[[#This Row],[Niet verrekenbare btw]]=1,Tb_Activiteiten[[#Headers],[Niet verrekenbare btw]],""))</f>
        <v/>
      </c>
      <c r="AU795" t="str">
        <f>IF(ISNUMBER(FIND("overige",Methode_Keuze)),"",IF(Tb_Activiteiten[[#This Row],[Grondkosten]]=1,Tb_Activiteiten[[#Headers],[Grondkosten]],""))</f>
        <v/>
      </c>
      <c r="AV795" t="str">
        <f>IF(ISNUMBER(FIND("overige",Methode_Keuze)),"",IF(Tb_Activiteiten[[#This Row],[Bijdrage in natura (overige)]]=1,Tb_Activiteiten[[#Headers],[Bijdrage in natura (overige)]],""))</f>
        <v/>
      </c>
      <c r="AW795" t="str">
        <f>IF(ISNUMBER(FIND("overige",Methode_Keuze)),"",IF(Tb_Activiteiten[[#This Row],[Bijdrage in natura (vrijwilligers)]]=1,Tb_Activiteiten[[#Headers],[Bijdrage in natura (vrijwilligers)]],""))</f>
        <v/>
      </c>
      <c r="AX795" t="str">
        <f>IF(ISNUMBER(FIND("overige",Methode_Keuze)),"",IF(Tb_Activiteiten[[#This Row],[Afschrijvingskosten]]=1,Tb_Activiteiten[[#Headers],[Afschrijvingskosten]],""))</f>
        <v/>
      </c>
      <c r="AY795" t="str">
        <f>IF(ISNUMBER(FIND("overige",Methode_Keuze)),"",IF(Tb_Activiteiten[[#This Row],[Vergoeding]]=1,Tb_Activiteiten[[#Headers],[Vergoeding]],""))</f>
        <v/>
      </c>
      <c r="AZ795" t="str">
        <f>IF(ISNUMBER(FIND("arbeid",Methode_Keuze)),"",IF(Tb_Activiteiten[[#This Row],[Arbeidskosten - vast tarief (excl eigen arbeid)]]=1,Tb_Activiteiten[[#Headers],[Arbeidskosten - vast tarief (excl eigen arbeid)]],""))</f>
        <v/>
      </c>
      <c r="BA795" t="str">
        <f>IF(ISNUMBER(FIND("overige",Methode_Keuze)),"",IF(Tb_Activiteiten[[#This Row],[Overige kosten]]=1,Tb_Activiteiten[[#Headers],[Overige kosten]],""))</f>
        <v/>
      </c>
    </row>
    <row r="796" spans="1:53" x14ac:dyDescent="0.25">
      <c r="A796" s="231"/>
      <c r="F796" s="64"/>
      <c r="G796" s="64"/>
      <c r="H796" s="275"/>
      <c r="I796" s="275"/>
      <c r="J796" s="275"/>
      <c r="K796" s="275"/>
      <c r="O796" s="56"/>
      <c r="Q796" t="str">
        <f>IFERROR(IF(VLOOKUP(Tb_Activiteiten[[#This Row],[Openstelling]],Tb_Openstelling[],2,0)=1,1,""),"")</f>
        <v/>
      </c>
      <c r="AK796" t="str">
        <f>IF(ISNUMBER(FIND("arbeid",Methode_Keuze)),"",IF(ISNUMBER(FIND("arbeid",Methode_Keuze)),"",IF(Tb_Activiteiten[[#This Row],[Loonkosten]]=1,Tb_Activiteiten[[#Headers],[Loonkosten]],"")))</f>
        <v/>
      </c>
      <c r="AL796" t="str">
        <f>IF(ISNUMBER(FIND("arbeid",Methode_Keuze)),"",IF(ISNUMBER(FIND("arbeid",Methode_Keuze)),"",IF(Tb_Activiteiten[[#This Row],[Eigen arbeid]]=1,Tb_Activiteiten[[#Headers],[Eigen arbeid]],"")))</f>
        <v/>
      </c>
      <c r="AM796" t="str">
        <f>IF(ISNUMBER(FIND("arbeid",Methode_Keuze)),"",IF(ISNUMBER(FIND("arbeid",Methode_Keuze)),"",IF(Tb_Activiteiten[[#This Row],[Projectmedewerker]]=1,Tb_Activiteiten[[#Headers],[Projectmedewerker]],"")))</f>
        <v/>
      </c>
      <c r="AN796" t="str">
        <f>IF(ISNUMBER(FIND("arbeid",Methode_Keuze)),"",IF(ISNUMBER(FIND("arbeid",Methode_Keuze)),"",IF(Tb_Activiteiten[[#This Row],[Landbouwer]]=1,Tb_Activiteiten[[#Headers],[Landbouwer]],"")))</f>
        <v/>
      </c>
      <c r="AO796" t="str">
        <f>IF(ISNUMBER(FIND("arbeid",Methode_Keuze)),"",IF(ISNUMBER(FIND("arbeid",Methode_Keuze)),"",IF(Tb_Activiteiten[[#This Row],[Adviseur]]=1,Tb_Activiteiten[[#Headers],[Adviseur]],"")))</f>
        <v/>
      </c>
      <c r="AP796" t="str">
        <f>IF(ISNUMBER(FIND("arbeid",Methode_Keuze)),"",IF(ISNUMBER(FIND("arbeid",Methode_Keuze)),"",IF(Tb_Activiteiten[[#This Row],[Projectleider/Expert]]=1,Tb_Activiteiten[[#Headers],[Projectleider/Expert]],"")))</f>
        <v/>
      </c>
      <c r="AQ796" t="str">
        <f>IF(ISNUMBER(FIND("arbeid",Methode_Keuze)),"",IF(ISNUMBER(FIND("arbeid",Methode_Keuze)),"",IF(Tb_Activiteiten[[#This Row],[Arbeidskosten]]=1,Tb_Activiteiten[[#Headers],[Arbeidskosten]],"")))</f>
        <v/>
      </c>
      <c r="AR796" t="str">
        <f>IF(ISNUMBER(FIND("arbeid",Methode_Keuze)),"",IF(ISNUMBER(FIND("arbeid",Methode_Keuze)),"",IF(Tb_Activiteiten[[#This Row],[Arbeidskosten op basis van IKS]]=1,Tb_Activiteiten[[#Headers],[Arbeidskosten op basis van IKS]],"")))</f>
        <v/>
      </c>
      <c r="AS796" t="str">
        <f>IF(ISNUMBER(FIND("overige",Methode_Keuze)),"",IF(Tb_Activiteiten[[#This Row],[Kosten derden exclusief btw]]=1,Tb_Activiteiten[[#Headers],[Kosten derden exclusief btw]],""))</f>
        <v/>
      </c>
      <c r="AT796" t="str">
        <f>IF(ISNUMBER(FIND("overige",Methode_Keuze)),"",IF(Tb_Activiteiten[[#This Row],[Niet verrekenbare btw]]=1,Tb_Activiteiten[[#Headers],[Niet verrekenbare btw]],""))</f>
        <v/>
      </c>
      <c r="AU796" t="str">
        <f>IF(ISNUMBER(FIND("overige",Methode_Keuze)),"",IF(Tb_Activiteiten[[#This Row],[Grondkosten]]=1,Tb_Activiteiten[[#Headers],[Grondkosten]],""))</f>
        <v/>
      </c>
      <c r="AV796" t="str">
        <f>IF(ISNUMBER(FIND("overige",Methode_Keuze)),"",IF(Tb_Activiteiten[[#This Row],[Bijdrage in natura (overige)]]=1,Tb_Activiteiten[[#Headers],[Bijdrage in natura (overige)]],""))</f>
        <v/>
      </c>
      <c r="AW796" t="str">
        <f>IF(ISNUMBER(FIND("overige",Methode_Keuze)),"",IF(Tb_Activiteiten[[#This Row],[Bijdrage in natura (vrijwilligers)]]=1,Tb_Activiteiten[[#Headers],[Bijdrage in natura (vrijwilligers)]],""))</f>
        <v/>
      </c>
      <c r="AX796" t="str">
        <f>IF(ISNUMBER(FIND("overige",Methode_Keuze)),"",IF(Tb_Activiteiten[[#This Row],[Afschrijvingskosten]]=1,Tb_Activiteiten[[#Headers],[Afschrijvingskosten]],""))</f>
        <v/>
      </c>
      <c r="AY796" t="str">
        <f>IF(ISNUMBER(FIND("overige",Methode_Keuze)),"",IF(Tb_Activiteiten[[#This Row],[Vergoeding]]=1,Tb_Activiteiten[[#Headers],[Vergoeding]],""))</f>
        <v/>
      </c>
      <c r="AZ796" t="str">
        <f>IF(ISNUMBER(FIND("arbeid",Methode_Keuze)),"",IF(Tb_Activiteiten[[#This Row],[Arbeidskosten - vast tarief (excl eigen arbeid)]]=1,Tb_Activiteiten[[#Headers],[Arbeidskosten - vast tarief (excl eigen arbeid)]],""))</f>
        <v/>
      </c>
      <c r="BA796" t="str">
        <f>IF(ISNUMBER(FIND("overige",Methode_Keuze)),"",IF(Tb_Activiteiten[[#This Row],[Overige kosten]]=1,Tb_Activiteiten[[#Headers],[Overige kosten]],""))</f>
        <v/>
      </c>
    </row>
    <row r="797" spans="1:53" x14ac:dyDescent="0.25">
      <c r="A797" s="231"/>
      <c r="F797" s="64"/>
      <c r="G797" s="64"/>
      <c r="H797" s="275"/>
      <c r="I797" s="275"/>
      <c r="J797" s="275"/>
      <c r="K797" s="275"/>
      <c r="O797" s="56"/>
      <c r="Q797" t="str">
        <f>IFERROR(IF(VLOOKUP(Tb_Activiteiten[[#This Row],[Openstelling]],Tb_Openstelling[],2,0)=1,1,""),"")</f>
        <v/>
      </c>
      <c r="AK797" t="str">
        <f>IF(ISNUMBER(FIND("arbeid",Methode_Keuze)),"",IF(ISNUMBER(FIND("arbeid",Methode_Keuze)),"",IF(Tb_Activiteiten[[#This Row],[Loonkosten]]=1,Tb_Activiteiten[[#Headers],[Loonkosten]],"")))</f>
        <v/>
      </c>
      <c r="AL797" t="str">
        <f>IF(ISNUMBER(FIND("arbeid",Methode_Keuze)),"",IF(ISNUMBER(FIND("arbeid",Methode_Keuze)),"",IF(Tb_Activiteiten[[#This Row],[Eigen arbeid]]=1,Tb_Activiteiten[[#Headers],[Eigen arbeid]],"")))</f>
        <v/>
      </c>
      <c r="AM797" t="str">
        <f>IF(ISNUMBER(FIND("arbeid",Methode_Keuze)),"",IF(ISNUMBER(FIND("arbeid",Methode_Keuze)),"",IF(Tb_Activiteiten[[#This Row],[Projectmedewerker]]=1,Tb_Activiteiten[[#Headers],[Projectmedewerker]],"")))</f>
        <v/>
      </c>
      <c r="AN797" t="str">
        <f>IF(ISNUMBER(FIND("arbeid",Methode_Keuze)),"",IF(ISNUMBER(FIND("arbeid",Methode_Keuze)),"",IF(Tb_Activiteiten[[#This Row],[Landbouwer]]=1,Tb_Activiteiten[[#Headers],[Landbouwer]],"")))</f>
        <v/>
      </c>
      <c r="AO797" t="str">
        <f>IF(ISNUMBER(FIND("arbeid",Methode_Keuze)),"",IF(ISNUMBER(FIND("arbeid",Methode_Keuze)),"",IF(Tb_Activiteiten[[#This Row],[Adviseur]]=1,Tb_Activiteiten[[#Headers],[Adviseur]],"")))</f>
        <v/>
      </c>
      <c r="AP797" t="str">
        <f>IF(ISNUMBER(FIND("arbeid",Methode_Keuze)),"",IF(ISNUMBER(FIND("arbeid",Methode_Keuze)),"",IF(Tb_Activiteiten[[#This Row],[Projectleider/Expert]]=1,Tb_Activiteiten[[#Headers],[Projectleider/Expert]],"")))</f>
        <v/>
      </c>
      <c r="AQ797" t="str">
        <f>IF(ISNUMBER(FIND("arbeid",Methode_Keuze)),"",IF(ISNUMBER(FIND("arbeid",Methode_Keuze)),"",IF(Tb_Activiteiten[[#This Row],[Arbeidskosten]]=1,Tb_Activiteiten[[#Headers],[Arbeidskosten]],"")))</f>
        <v/>
      </c>
      <c r="AR797" t="str">
        <f>IF(ISNUMBER(FIND("arbeid",Methode_Keuze)),"",IF(ISNUMBER(FIND("arbeid",Methode_Keuze)),"",IF(Tb_Activiteiten[[#This Row],[Arbeidskosten op basis van IKS]]=1,Tb_Activiteiten[[#Headers],[Arbeidskosten op basis van IKS]],"")))</f>
        <v/>
      </c>
      <c r="AS797" t="str">
        <f>IF(ISNUMBER(FIND("overige",Methode_Keuze)),"",IF(Tb_Activiteiten[[#This Row],[Kosten derden exclusief btw]]=1,Tb_Activiteiten[[#Headers],[Kosten derden exclusief btw]],""))</f>
        <v/>
      </c>
      <c r="AT797" t="str">
        <f>IF(ISNUMBER(FIND("overige",Methode_Keuze)),"",IF(Tb_Activiteiten[[#This Row],[Niet verrekenbare btw]]=1,Tb_Activiteiten[[#Headers],[Niet verrekenbare btw]],""))</f>
        <v/>
      </c>
      <c r="AU797" t="str">
        <f>IF(ISNUMBER(FIND("overige",Methode_Keuze)),"",IF(Tb_Activiteiten[[#This Row],[Grondkosten]]=1,Tb_Activiteiten[[#Headers],[Grondkosten]],""))</f>
        <v/>
      </c>
      <c r="AV797" t="str">
        <f>IF(ISNUMBER(FIND("overige",Methode_Keuze)),"",IF(Tb_Activiteiten[[#This Row],[Bijdrage in natura (overige)]]=1,Tb_Activiteiten[[#Headers],[Bijdrage in natura (overige)]],""))</f>
        <v/>
      </c>
      <c r="AW797" t="str">
        <f>IF(ISNUMBER(FIND("overige",Methode_Keuze)),"",IF(Tb_Activiteiten[[#This Row],[Bijdrage in natura (vrijwilligers)]]=1,Tb_Activiteiten[[#Headers],[Bijdrage in natura (vrijwilligers)]],""))</f>
        <v/>
      </c>
      <c r="AX797" t="str">
        <f>IF(ISNUMBER(FIND("overige",Methode_Keuze)),"",IF(Tb_Activiteiten[[#This Row],[Afschrijvingskosten]]=1,Tb_Activiteiten[[#Headers],[Afschrijvingskosten]],""))</f>
        <v/>
      </c>
      <c r="AY797" t="str">
        <f>IF(ISNUMBER(FIND("overige",Methode_Keuze)),"",IF(Tb_Activiteiten[[#This Row],[Vergoeding]]=1,Tb_Activiteiten[[#Headers],[Vergoeding]],""))</f>
        <v/>
      </c>
      <c r="AZ797" t="str">
        <f>IF(ISNUMBER(FIND("arbeid",Methode_Keuze)),"",IF(Tb_Activiteiten[[#This Row],[Arbeidskosten - vast tarief (excl eigen arbeid)]]=1,Tb_Activiteiten[[#Headers],[Arbeidskosten - vast tarief (excl eigen arbeid)]],""))</f>
        <v/>
      </c>
      <c r="BA797" t="str">
        <f>IF(ISNUMBER(FIND("overige",Methode_Keuze)),"",IF(Tb_Activiteiten[[#This Row],[Overige kosten]]=1,Tb_Activiteiten[[#Headers],[Overige kosten]],""))</f>
        <v/>
      </c>
    </row>
    <row r="798" spans="1:53" x14ac:dyDescent="0.25">
      <c r="A798" s="231"/>
      <c r="F798" s="64"/>
      <c r="G798" s="64"/>
      <c r="H798" s="275"/>
      <c r="I798" s="275"/>
      <c r="J798" s="275"/>
      <c r="K798" s="275"/>
      <c r="O798" s="56"/>
      <c r="Q798" t="str">
        <f>IFERROR(IF(VLOOKUP(Tb_Activiteiten[[#This Row],[Openstelling]],Tb_Openstelling[],2,0)=1,1,""),"")</f>
        <v/>
      </c>
      <c r="AK798" t="str">
        <f>IF(ISNUMBER(FIND("arbeid",Methode_Keuze)),"",IF(ISNUMBER(FIND("arbeid",Methode_Keuze)),"",IF(Tb_Activiteiten[[#This Row],[Loonkosten]]=1,Tb_Activiteiten[[#Headers],[Loonkosten]],"")))</f>
        <v/>
      </c>
      <c r="AL798" t="str">
        <f>IF(ISNUMBER(FIND("arbeid",Methode_Keuze)),"",IF(ISNUMBER(FIND("arbeid",Methode_Keuze)),"",IF(Tb_Activiteiten[[#This Row],[Eigen arbeid]]=1,Tb_Activiteiten[[#Headers],[Eigen arbeid]],"")))</f>
        <v/>
      </c>
      <c r="AM798" t="str">
        <f>IF(ISNUMBER(FIND("arbeid",Methode_Keuze)),"",IF(ISNUMBER(FIND("arbeid",Methode_Keuze)),"",IF(Tb_Activiteiten[[#This Row],[Projectmedewerker]]=1,Tb_Activiteiten[[#Headers],[Projectmedewerker]],"")))</f>
        <v/>
      </c>
      <c r="AN798" t="str">
        <f>IF(ISNUMBER(FIND("arbeid",Methode_Keuze)),"",IF(ISNUMBER(FIND("arbeid",Methode_Keuze)),"",IF(Tb_Activiteiten[[#This Row],[Landbouwer]]=1,Tb_Activiteiten[[#Headers],[Landbouwer]],"")))</f>
        <v/>
      </c>
      <c r="AO798" t="str">
        <f>IF(ISNUMBER(FIND("arbeid",Methode_Keuze)),"",IF(ISNUMBER(FIND("arbeid",Methode_Keuze)),"",IF(Tb_Activiteiten[[#This Row],[Adviseur]]=1,Tb_Activiteiten[[#Headers],[Adviseur]],"")))</f>
        <v/>
      </c>
      <c r="AP798" t="str">
        <f>IF(ISNUMBER(FIND("arbeid",Methode_Keuze)),"",IF(ISNUMBER(FIND("arbeid",Methode_Keuze)),"",IF(Tb_Activiteiten[[#This Row],[Projectleider/Expert]]=1,Tb_Activiteiten[[#Headers],[Projectleider/Expert]],"")))</f>
        <v/>
      </c>
      <c r="AQ798" t="str">
        <f>IF(ISNUMBER(FIND("arbeid",Methode_Keuze)),"",IF(ISNUMBER(FIND("arbeid",Methode_Keuze)),"",IF(Tb_Activiteiten[[#This Row],[Arbeidskosten]]=1,Tb_Activiteiten[[#Headers],[Arbeidskosten]],"")))</f>
        <v/>
      </c>
      <c r="AR798" t="str">
        <f>IF(ISNUMBER(FIND("arbeid",Methode_Keuze)),"",IF(ISNUMBER(FIND("arbeid",Methode_Keuze)),"",IF(Tb_Activiteiten[[#This Row],[Arbeidskosten op basis van IKS]]=1,Tb_Activiteiten[[#Headers],[Arbeidskosten op basis van IKS]],"")))</f>
        <v/>
      </c>
      <c r="AS798" t="str">
        <f>IF(ISNUMBER(FIND("overige",Methode_Keuze)),"",IF(Tb_Activiteiten[[#This Row],[Kosten derden exclusief btw]]=1,Tb_Activiteiten[[#Headers],[Kosten derden exclusief btw]],""))</f>
        <v/>
      </c>
      <c r="AT798" t="str">
        <f>IF(ISNUMBER(FIND("overige",Methode_Keuze)),"",IF(Tb_Activiteiten[[#This Row],[Niet verrekenbare btw]]=1,Tb_Activiteiten[[#Headers],[Niet verrekenbare btw]],""))</f>
        <v/>
      </c>
      <c r="AU798" t="str">
        <f>IF(ISNUMBER(FIND("overige",Methode_Keuze)),"",IF(Tb_Activiteiten[[#This Row],[Grondkosten]]=1,Tb_Activiteiten[[#Headers],[Grondkosten]],""))</f>
        <v/>
      </c>
      <c r="AV798" t="str">
        <f>IF(ISNUMBER(FIND("overige",Methode_Keuze)),"",IF(Tb_Activiteiten[[#This Row],[Bijdrage in natura (overige)]]=1,Tb_Activiteiten[[#Headers],[Bijdrage in natura (overige)]],""))</f>
        <v/>
      </c>
      <c r="AW798" t="str">
        <f>IF(ISNUMBER(FIND("overige",Methode_Keuze)),"",IF(Tb_Activiteiten[[#This Row],[Bijdrage in natura (vrijwilligers)]]=1,Tb_Activiteiten[[#Headers],[Bijdrage in natura (vrijwilligers)]],""))</f>
        <v/>
      </c>
      <c r="AX798" t="str">
        <f>IF(ISNUMBER(FIND("overige",Methode_Keuze)),"",IF(Tb_Activiteiten[[#This Row],[Afschrijvingskosten]]=1,Tb_Activiteiten[[#Headers],[Afschrijvingskosten]],""))</f>
        <v/>
      </c>
      <c r="AY798" t="str">
        <f>IF(ISNUMBER(FIND("overige",Methode_Keuze)),"",IF(Tb_Activiteiten[[#This Row],[Vergoeding]]=1,Tb_Activiteiten[[#Headers],[Vergoeding]],""))</f>
        <v/>
      </c>
      <c r="AZ798" t="str">
        <f>IF(ISNUMBER(FIND("arbeid",Methode_Keuze)),"",IF(Tb_Activiteiten[[#This Row],[Arbeidskosten - vast tarief (excl eigen arbeid)]]=1,Tb_Activiteiten[[#Headers],[Arbeidskosten - vast tarief (excl eigen arbeid)]],""))</f>
        <v/>
      </c>
      <c r="BA798" t="str">
        <f>IF(ISNUMBER(FIND("overige",Methode_Keuze)),"",IF(Tb_Activiteiten[[#This Row],[Overige kosten]]=1,Tb_Activiteiten[[#Headers],[Overige kosten]],""))</f>
        <v/>
      </c>
    </row>
    <row r="799" spans="1:53" x14ac:dyDescent="0.25">
      <c r="A799" s="231"/>
      <c r="F799" s="64"/>
      <c r="G799" s="64"/>
      <c r="H799" s="275"/>
      <c r="I799" s="275"/>
      <c r="J799" s="275"/>
      <c r="K799" s="275"/>
      <c r="O799" s="56"/>
      <c r="Q799" t="str">
        <f>IFERROR(IF(VLOOKUP(Tb_Activiteiten[[#This Row],[Openstelling]],Tb_Openstelling[],2,0)=1,1,""),"")</f>
        <v/>
      </c>
      <c r="AK799" t="str">
        <f>IF(ISNUMBER(FIND("arbeid",Methode_Keuze)),"",IF(ISNUMBER(FIND("arbeid",Methode_Keuze)),"",IF(Tb_Activiteiten[[#This Row],[Loonkosten]]=1,Tb_Activiteiten[[#Headers],[Loonkosten]],"")))</f>
        <v/>
      </c>
      <c r="AL799" t="str">
        <f>IF(ISNUMBER(FIND("arbeid",Methode_Keuze)),"",IF(ISNUMBER(FIND("arbeid",Methode_Keuze)),"",IF(Tb_Activiteiten[[#This Row],[Eigen arbeid]]=1,Tb_Activiteiten[[#Headers],[Eigen arbeid]],"")))</f>
        <v/>
      </c>
      <c r="AM799" t="str">
        <f>IF(ISNUMBER(FIND("arbeid",Methode_Keuze)),"",IF(ISNUMBER(FIND("arbeid",Methode_Keuze)),"",IF(Tb_Activiteiten[[#This Row],[Projectmedewerker]]=1,Tb_Activiteiten[[#Headers],[Projectmedewerker]],"")))</f>
        <v/>
      </c>
      <c r="AN799" t="str">
        <f>IF(ISNUMBER(FIND("arbeid",Methode_Keuze)),"",IF(ISNUMBER(FIND("arbeid",Methode_Keuze)),"",IF(Tb_Activiteiten[[#This Row],[Landbouwer]]=1,Tb_Activiteiten[[#Headers],[Landbouwer]],"")))</f>
        <v/>
      </c>
      <c r="AO799" t="str">
        <f>IF(ISNUMBER(FIND("arbeid",Methode_Keuze)),"",IF(ISNUMBER(FIND("arbeid",Methode_Keuze)),"",IF(Tb_Activiteiten[[#This Row],[Adviseur]]=1,Tb_Activiteiten[[#Headers],[Adviseur]],"")))</f>
        <v/>
      </c>
      <c r="AP799" t="str">
        <f>IF(ISNUMBER(FIND("arbeid",Methode_Keuze)),"",IF(ISNUMBER(FIND("arbeid",Methode_Keuze)),"",IF(Tb_Activiteiten[[#This Row],[Projectleider/Expert]]=1,Tb_Activiteiten[[#Headers],[Projectleider/Expert]],"")))</f>
        <v/>
      </c>
      <c r="AQ799" t="str">
        <f>IF(ISNUMBER(FIND("arbeid",Methode_Keuze)),"",IF(ISNUMBER(FIND("arbeid",Methode_Keuze)),"",IF(Tb_Activiteiten[[#This Row],[Arbeidskosten]]=1,Tb_Activiteiten[[#Headers],[Arbeidskosten]],"")))</f>
        <v/>
      </c>
      <c r="AR799" t="str">
        <f>IF(ISNUMBER(FIND("arbeid",Methode_Keuze)),"",IF(ISNUMBER(FIND("arbeid",Methode_Keuze)),"",IF(Tb_Activiteiten[[#This Row],[Arbeidskosten op basis van IKS]]=1,Tb_Activiteiten[[#Headers],[Arbeidskosten op basis van IKS]],"")))</f>
        <v/>
      </c>
      <c r="AS799" t="str">
        <f>IF(ISNUMBER(FIND("overige",Methode_Keuze)),"",IF(Tb_Activiteiten[[#This Row],[Kosten derden exclusief btw]]=1,Tb_Activiteiten[[#Headers],[Kosten derden exclusief btw]],""))</f>
        <v/>
      </c>
      <c r="AT799" t="str">
        <f>IF(ISNUMBER(FIND("overige",Methode_Keuze)),"",IF(Tb_Activiteiten[[#This Row],[Niet verrekenbare btw]]=1,Tb_Activiteiten[[#Headers],[Niet verrekenbare btw]],""))</f>
        <v/>
      </c>
      <c r="AU799" t="str">
        <f>IF(ISNUMBER(FIND("overige",Methode_Keuze)),"",IF(Tb_Activiteiten[[#This Row],[Grondkosten]]=1,Tb_Activiteiten[[#Headers],[Grondkosten]],""))</f>
        <v/>
      </c>
      <c r="AV799" t="str">
        <f>IF(ISNUMBER(FIND("overige",Methode_Keuze)),"",IF(Tb_Activiteiten[[#This Row],[Bijdrage in natura (overige)]]=1,Tb_Activiteiten[[#Headers],[Bijdrage in natura (overige)]],""))</f>
        <v/>
      </c>
      <c r="AW799" t="str">
        <f>IF(ISNUMBER(FIND("overige",Methode_Keuze)),"",IF(Tb_Activiteiten[[#This Row],[Bijdrage in natura (vrijwilligers)]]=1,Tb_Activiteiten[[#Headers],[Bijdrage in natura (vrijwilligers)]],""))</f>
        <v/>
      </c>
      <c r="AX799" t="str">
        <f>IF(ISNUMBER(FIND("overige",Methode_Keuze)),"",IF(Tb_Activiteiten[[#This Row],[Afschrijvingskosten]]=1,Tb_Activiteiten[[#Headers],[Afschrijvingskosten]],""))</f>
        <v/>
      </c>
      <c r="AY799" t="str">
        <f>IF(ISNUMBER(FIND("overige",Methode_Keuze)),"",IF(Tb_Activiteiten[[#This Row],[Vergoeding]]=1,Tb_Activiteiten[[#Headers],[Vergoeding]],""))</f>
        <v/>
      </c>
      <c r="AZ799" t="str">
        <f>IF(ISNUMBER(FIND("arbeid",Methode_Keuze)),"",IF(Tb_Activiteiten[[#This Row],[Arbeidskosten - vast tarief (excl eigen arbeid)]]=1,Tb_Activiteiten[[#Headers],[Arbeidskosten - vast tarief (excl eigen arbeid)]],""))</f>
        <v/>
      </c>
      <c r="BA799" t="str">
        <f>IF(ISNUMBER(FIND("overige",Methode_Keuze)),"",IF(Tb_Activiteiten[[#This Row],[Overige kosten]]=1,Tb_Activiteiten[[#Headers],[Overige kosten]],""))</f>
        <v/>
      </c>
    </row>
    <row r="800" spans="1:53" x14ac:dyDescent="0.25">
      <c r="A800" s="231"/>
      <c r="F800" s="64"/>
      <c r="G800" s="64"/>
      <c r="H800" s="275"/>
      <c r="I800" s="275"/>
      <c r="J800" s="275"/>
      <c r="K800" s="275"/>
      <c r="O800" s="56"/>
      <c r="Q800" t="str">
        <f>IFERROR(IF(VLOOKUP(Tb_Activiteiten[[#This Row],[Openstelling]],Tb_Openstelling[],2,0)=1,1,""),"")</f>
        <v/>
      </c>
      <c r="AK800" t="str">
        <f>IF(ISNUMBER(FIND("arbeid",Methode_Keuze)),"",IF(ISNUMBER(FIND("arbeid",Methode_Keuze)),"",IF(Tb_Activiteiten[[#This Row],[Loonkosten]]=1,Tb_Activiteiten[[#Headers],[Loonkosten]],"")))</f>
        <v/>
      </c>
      <c r="AL800" t="str">
        <f>IF(ISNUMBER(FIND("arbeid",Methode_Keuze)),"",IF(ISNUMBER(FIND("arbeid",Methode_Keuze)),"",IF(Tb_Activiteiten[[#This Row],[Eigen arbeid]]=1,Tb_Activiteiten[[#Headers],[Eigen arbeid]],"")))</f>
        <v/>
      </c>
      <c r="AM800" t="str">
        <f>IF(ISNUMBER(FIND("arbeid",Methode_Keuze)),"",IF(ISNUMBER(FIND("arbeid",Methode_Keuze)),"",IF(Tb_Activiteiten[[#This Row],[Projectmedewerker]]=1,Tb_Activiteiten[[#Headers],[Projectmedewerker]],"")))</f>
        <v/>
      </c>
      <c r="AN800" t="str">
        <f>IF(ISNUMBER(FIND("arbeid",Methode_Keuze)),"",IF(ISNUMBER(FIND("arbeid",Methode_Keuze)),"",IF(Tb_Activiteiten[[#This Row],[Landbouwer]]=1,Tb_Activiteiten[[#Headers],[Landbouwer]],"")))</f>
        <v/>
      </c>
      <c r="AO800" t="str">
        <f>IF(ISNUMBER(FIND("arbeid",Methode_Keuze)),"",IF(ISNUMBER(FIND("arbeid",Methode_Keuze)),"",IF(Tb_Activiteiten[[#This Row],[Adviseur]]=1,Tb_Activiteiten[[#Headers],[Adviseur]],"")))</f>
        <v/>
      </c>
      <c r="AP800" t="str">
        <f>IF(ISNUMBER(FIND("arbeid",Methode_Keuze)),"",IF(ISNUMBER(FIND("arbeid",Methode_Keuze)),"",IF(Tb_Activiteiten[[#This Row],[Projectleider/Expert]]=1,Tb_Activiteiten[[#Headers],[Projectleider/Expert]],"")))</f>
        <v/>
      </c>
      <c r="AQ800" t="str">
        <f>IF(ISNUMBER(FIND("arbeid",Methode_Keuze)),"",IF(ISNUMBER(FIND("arbeid",Methode_Keuze)),"",IF(Tb_Activiteiten[[#This Row],[Arbeidskosten]]=1,Tb_Activiteiten[[#Headers],[Arbeidskosten]],"")))</f>
        <v/>
      </c>
      <c r="AR800" t="str">
        <f>IF(ISNUMBER(FIND("arbeid",Methode_Keuze)),"",IF(ISNUMBER(FIND("arbeid",Methode_Keuze)),"",IF(Tb_Activiteiten[[#This Row],[Arbeidskosten op basis van IKS]]=1,Tb_Activiteiten[[#Headers],[Arbeidskosten op basis van IKS]],"")))</f>
        <v/>
      </c>
      <c r="AS800" t="str">
        <f>IF(ISNUMBER(FIND("overige",Methode_Keuze)),"",IF(Tb_Activiteiten[[#This Row],[Kosten derden exclusief btw]]=1,Tb_Activiteiten[[#Headers],[Kosten derden exclusief btw]],""))</f>
        <v/>
      </c>
      <c r="AT800" t="str">
        <f>IF(ISNUMBER(FIND("overige",Methode_Keuze)),"",IF(Tb_Activiteiten[[#This Row],[Niet verrekenbare btw]]=1,Tb_Activiteiten[[#Headers],[Niet verrekenbare btw]],""))</f>
        <v/>
      </c>
      <c r="AU800" t="str">
        <f>IF(ISNUMBER(FIND("overige",Methode_Keuze)),"",IF(Tb_Activiteiten[[#This Row],[Grondkosten]]=1,Tb_Activiteiten[[#Headers],[Grondkosten]],""))</f>
        <v/>
      </c>
      <c r="AV800" t="str">
        <f>IF(ISNUMBER(FIND("overige",Methode_Keuze)),"",IF(Tb_Activiteiten[[#This Row],[Bijdrage in natura (overige)]]=1,Tb_Activiteiten[[#Headers],[Bijdrage in natura (overige)]],""))</f>
        <v/>
      </c>
      <c r="AW800" t="str">
        <f>IF(ISNUMBER(FIND("overige",Methode_Keuze)),"",IF(Tb_Activiteiten[[#This Row],[Bijdrage in natura (vrijwilligers)]]=1,Tb_Activiteiten[[#Headers],[Bijdrage in natura (vrijwilligers)]],""))</f>
        <v/>
      </c>
      <c r="AX800" t="str">
        <f>IF(ISNUMBER(FIND("overige",Methode_Keuze)),"",IF(Tb_Activiteiten[[#This Row],[Afschrijvingskosten]]=1,Tb_Activiteiten[[#Headers],[Afschrijvingskosten]],""))</f>
        <v/>
      </c>
      <c r="AY800" t="str">
        <f>IF(ISNUMBER(FIND("overige",Methode_Keuze)),"",IF(Tb_Activiteiten[[#This Row],[Vergoeding]]=1,Tb_Activiteiten[[#Headers],[Vergoeding]],""))</f>
        <v/>
      </c>
      <c r="AZ800" t="str">
        <f>IF(ISNUMBER(FIND("arbeid",Methode_Keuze)),"",IF(Tb_Activiteiten[[#This Row],[Arbeidskosten - vast tarief (excl eigen arbeid)]]=1,Tb_Activiteiten[[#Headers],[Arbeidskosten - vast tarief (excl eigen arbeid)]],""))</f>
        <v/>
      </c>
      <c r="BA800" t="str">
        <f>IF(ISNUMBER(FIND("overige",Methode_Keuze)),"",IF(Tb_Activiteiten[[#This Row],[Overige kosten]]=1,Tb_Activiteiten[[#Headers],[Overige kosten]],""))</f>
        <v/>
      </c>
    </row>
    <row r="801" spans="1:53" x14ac:dyDescent="0.25">
      <c r="A801" s="231"/>
      <c r="F801" s="64"/>
      <c r="G801" s="64"/>
      <c r="H801" s="275"/>
      <c r="I801" s="275"/>
      <c r="J801" s="275"/>
      <c r="K801" s="275"/>
      <c r="O801" s="56"/>
      <c r="Q801" t="str">
        <f>IFERROR(IF(VLOOKUP(Tb_Activiteiten[[#This Row],[Openstelling]],Tb_Openstelling[],2,0)=1,1,""),"")</f>
        <v/>
      </c>
      <c r="AK801" t="str">
        <f>IF(ISNUMBER(FIND("arbeid",Methode_Keuze)),"",IF(ISNUMBER(FIND("arbeid",Methode_Keuze)),"",IF(Tb_Activiteiten[[#This Row],[Loonkosten]]=1,Tb_Activiteiten[[#Headers],[Loonkosten]],"")))</f>
        <v/>
      </c>
      <c r="AL801" t="str">
        <f>IF(ISNUMBER(FIND("arbeid",Methode_Keuze)),"",IF(ISNUMBER(FIND("arbeid",Methode_Keuze)),"",IF(Tb_Activiteiten[[#This Row],[Eigen arbeid]]=1,Tb_Activiteiten[[#Headers],[Eigen arbeid]],"")))</f>
        <v/>
      </c>
      <c r="AM801" t="str">
        <f>IF(ISNUMBER(FIND("arbeid",Methode_Keuze)),"",IF(ISNUMBER(FIND("arbeid",Methode_Keuze)),"",IF(Tb_Activiteiten[[#This Row],[Projectmedewerker]]=1,Tb_Activiteiten[[#Headers],[Projectmedewerker]],"")))</f>
        <v/>
      </c>
      <c r="AN801" t="str">
        <f>IF(ISNUMBER(FIND("arbeid",Methode_Keuze)),"",IF(ISNUMBER(FIND("arbeid",Methode_Keuze)),"",IF(Tb_Activiteiten[[#This Row],[Landbouwer]]=1,Tb_Activiteiten[[#Headers],[Landbouwer]],"")))</f>
        <v/>
      </c>
      <c r="AO801" t="str">
        <f>IF(ISNUMBER(FIND("arbeid",Methode_Keuze)),"",IF(ISNUMBER(FIND("arbeid",Methode_Keuze)),"",IF(Tb_Activiteiten[[#This Row],[Adviseur]]=1,Tb_Activiteiten[[#Headers],[Adviseur]],"")))</f>
        <v/>
      </c>
      <c r="AP801" t="str">
        <f>IF(ISNUMBER(FIND("arbeid",Methode_Keuze)),"",IF(ISNUMBER(FIND("arbeid",Methode_Keuze)),"",IF(Tb_Activiteiten[[#This Row],[Projectleider/Expert]]=1,Tb_Activiteiten[[#Headers],[Projectleider/Expert]],"")))</f>
        <v/>
      </c>
      <c r="AQ801" t="str">
        <f>IF(ISNUMBER(FIND("arbeid",Methode_Keuze)),"",IF(ISNUMBER(FIND("arbeid",Methode_Keuze)),"",IF(Tb_Activiteiten[[#This Row],[Arbeidskosten]]=1,Tb_Activiteiten[[#Headers],[Arbeidskosten]],"")))</f>
        <v/>
      </c>
      <c r="AR801" t="str">
        <f>IF(ISNUMBER(FIND("arbeid",Methode_Keuze)),"",IF(ISNUMBER(FIND("arbeid",Methode_Keuze)),"",IF(Tb_Activiteiten[[#This Row],[Arbeidskosten op basis van IKS]]=1,Tb_Activiteiten[[#Headers],[Arbeidskosten op basis van IKS]],"")))</f>
        <v/>
      </c>
      <c r="AS801" t="str">
        <f>IF(ISNUMBER(FIND("overige",Methode_Keuze)),"",IF(Tb_Activiteiten[[#This Row],[Kosten derden exclusief btw]]=1,Tb_Activiteiten[[#Headers],[Kosten derden exclusief btw]],""))</f>
        <v/>
      </c>
      <c r="AT801" t="str">
        <f>IF(ISNUMBER(FIND("overige",Methode_Keuze)),"",IF(Tb_Activiteiten[[#This Row],[Niet verrekenbare btw]]=1,Tb_Activiteiten[[#Headers],[Niet verrekenbare btw]],""))</f>
        <v/>
      </c>
      <c r="AU801" t="str">
        <f>IF(ISNUMBER(FIND("overige",Methode_Keuze)),"",IF(Tb_Activiteiten[[#This Row],[Grondkosten]]=1,Tb_Activiteiten[[#Headers],[Grondkosten]],""))</f>
        <v/>
      </c>
      <c r="AV801" t="str">
        <f>IF(ISNUMBER(FIND("overige",Methode_Keuze)),"",IF(Tb_Activiteiten[[#This Row],[Bijdrage in natura (overige)]]=1,Tb_Activiteiten[[#Headers],[Bijdrage in natura (overige)]],""))</f>
        <v/>
      </c>
      <c r="AW801" t="str">
        <f>IF(ISNUMBER(FIND("overige",Methode_Keuze)),"",IF(Tb_Activiteiten[[#This Row],[Bijdrage in natura (vrijwilligers)]]=1,Tb_Activiteiten[[#Headers],[Bijdrage in natura (vrijwilligers)]],""))</f>
        <v/>
      </c>
      <c r="AX801" t="str">
        <f>IF(ISNUMBER(FIND("overige",Methode_Keuze)),"",IF(Tb_Activiteiten[[#This Row],[Afschrijvingskosten]]=1,Tb_Activiteiten[[#Headers],[Afschrijvingskosten]],""))</f>
        <v/>
      </c>
      <c r="AY801" t="str">
        <f>IF(ISNUMBER(FIND("overige",Methode_Keuze)),"",IF(Tb_Activiteiten[[#This Row],[Vergoeding]]=1,Tb_Activiteiten[[#Headers],[Vergoeding]],""))</f>
        <v/>
      </c>
      <c r="AZ801" t="str">
        <f>IF(ISNUMBER(FIND("arbeid",Methode_Keuze)),"",IF(Tb_Activiteiten[[#This Row],[Arbeidskosten - vast tarief (excl eigen arbeid)]]=1,Tb_Activiteiten[[#Headers],[Arbeidskosten - vast tarief (excl eigen arbeid)]],""))</f>
        <v/>
      </c>
      <c r="BA801" t="str">
        <f>IF(ISNUMBER(FIND("overige",Methode_Keuze)),"",IF(Tb_Activiteiten[[#This Row],[Overige kosten]]=1,Tb_Activiteiten[[#Headers],[Overige kosten]],""))</f>
        <v/>
      </c>
    </row>
    <row r="802" spans="1:53" x14ac:dyDescent="0.25">
      <c r="A802" s="231"/>
      <c r="F802" s="64"/>
      <c r="G802" s="64"/>
      <c r="H802" s="275"/>
      <c r="I802" s="275"/>
      <c r="J802" s="275"/>
      <c r="K802" s="275"/>
      <c r="O802" s="56"/>
      <c r="Q802" t="str">
        <f>IFERROR(IF(VLOOKUP(Tb_Activiteiten[[#This Row],[Openstelling]],Tb_Openstelling[],2,0)=1,1,""),"")</f>
        <v/>
      </c>
      <c r="AK802" t="str">
        <f>IF(ISNUMBER(FIND("arbeid",Methode_Keuze)),"",IF(ISNUMBER(FIND("arbeid",Methode_Keuze)),"",IF(Tb_Activiteiten[[#This Row],[Loonkosten]]=1,Tb_Activiteiten[[#Headers],[Loonkosten]],"")))</f>
        <v/>
      </c>
      <c r="AL802" t="str">
        <f>IF(ISNUMBER(FIND("arbeid",Methode_Keuze)),"",IF(ISNUMBER(FIND("arbeid",Methode_Keuze)),"",IF(Tb_Activiteiten[[#This Row],[Eigen arbeid]]=1,Tb_Activiteiten[[#Headers],[Eigen arbeid]],"")))</f>
        <v/>
      </c>
      <c r="AM802" t="str">
        <f>IF(ISNUMBER(FIND("arbeid",Methode_Keuze)),"",IF(ISNUMBER(FIND("arbeid",Methode_Keuze)),"",IF(Tb_Activiteiten[[#This Row],[Projectmedewerker]]=1,Tb_Activiteiten[[#Headers],[Projectmedewerker]],"")))</f>
        <v/>
      </c>
      <c r="AN802" t="str">
        <f>IF(ISNUMBER(FIND("arbeid",Methode_Keuze)),"",IF(ISNUMBER(FIND("arbeid",Methode_Keuze)),"",IF(Tb_Activiteiten[[#This Row],[Landbouwer]]=1,Tb_Activiteiten[[#Headers],[Landbouwer]],"")))</f>
        <v/>
      </c>
      <c r="AO802" t="str">
        <f>IF(ISNUMBER(FIND("arbeid",Methode_Keuze)),"",IF(ISNUMBER(FIND("arbeid",Methode_Keuze)),"",IF(Tb_Activiteiten[[#This Row],[Adviseur]]=1,Tb_Activiteiten[[#Headers],[Adviseur]],"")))</f>
        <v/>
      </c>
      <c r="AP802" t="str">
        <f>IF(ISNUMBER(FIND("arbeid",Methode_Keuze)),"",IF(ISNUMBER(FIND("arbeid",Methode_Keuze)),"",IF(Tb_Activiteiten[[#This Row],[Projectleider/Expert]]=1,Tb_Activiteiten[[#Headers],[Projectleider/Expert]],"")))</f>
        <v/>
      </c>
      <c r="AQ802" t="str">
        <f>IF(ISNUMBER(FIND("arbeid",Methode_Keuze)),"",IF(ISNUMBER(FIND("arbeid",Methode_Keuze)),"",IF(Tb_Activiteiten[[#This Row],[Arbeidskosten]]=1,Tb_Activiteiten[[#Headers],[Arbeidskosten]],"")))</f>
        <v/>
      </c>
      <c r="AR802" t="str">
        <f>IF(ISNUMBER(FIND("arbeid",Methode_Keuze)),"",IF(ISNUMBER(FIND("arbeid",Methode_Keuze)),"",IF(Tb_Activiteiten[[#This Row],[Arbeidskosten op basis van IKS]]=1,Tb_Activiteiten[[#Headers],[Arbeidskosten op basis van IKS]],"")))</f>
        <v/>
      </c>
      <c r="AS802" t="str">
        <f>IF(ISNUMBER(FIND("overige",Methode_Keuze)),"",IF(Tb_Activiteiten[[#This Row],[Kosten derden exclusief btw]]=1,Tb_Activiteiten[[#Headers],[Kosten derden exclusief btw]],""))</f>
        <v/>
      </c>
      <c r="AT802" t="str">
        <f>IF(ISNUMBER(FIND("overige",Methode_Keuze)),"",IF(Tb_Activiteiten[[#This Row],[Niet verrekenbare btw]]=1,Tb_Activiteiten[[#Headers],[Niet verrekenbare btw]],""))</f>
        <v/>
      </c>
      <c r="AU802" t="str">
        <f>IF(ISNUMBER(FIND("overige",Methode_Keuze)),"",IF(Tb_Activiteiten[[#This Row],[Grondkosten]]=1,Tb_Activiteiten[[#Headers],[Grondkosten]],""))</f>
        <v/>
      </c>
      <c r="AV802" t="str">
        <f>IF(ISNUMBER(FIND("overige",Methode_Keuze)),"",IF(Tb_Activiteiten[[#This Row],[Bijdrage in natura (overige)]]=1,Tb_Activiteiten[[#Headers],[Bijdrage in natura (overige)]],""))</f>
        <v/>
      </c>
      <c r="AW802" t="str">
        <f>IF(ISNUMBER(FIND("overige",Methode_Keuze)),"",IF(Tb_Activiteiten[[#This Row],[Bijdrage in natura (vrijwilligers)]]=1,Tb_Activiteiten[[#Headers],[Bijdrage in natura (vrijwilligers)]],""))</f>
        <v/>
      </c>
      <c r="AX802" t="str">
        <f>IF(ISNUMBER(FIND("overige",Methode_Keuze)),"",IF(Tb_Activiteiten[[#This Row],[Afschrijvingskosten]]=1,Tb_Activiteiten[[#Headers],[Afschrijvingskosten]],""))</f>
        <v/>
      </c>
      <c r="AY802" t="str">
        <f>IF(ISNUMBER(FIND("overige",Methode_Keuze)),"",IF(Tb_Activiteiten[[#This Row],[Vergoeding]]=1,Tb_Activiteiten[[#Headers],[Vergoeding]],""))</f>
        <v/>
      </c>
      <c r="AZ802" t="str">
        <f>IF(ISNUMBER(FIND("arbeid",Methode_Keuze)),"",IF(Tb_Activiteiten[[#This Row],[Arbeidskosten - vast tarief (excl eigen arbeid)]]=1,Tb_Activiteiten[[#Headers],[Arbeidskosten - vast tarief (excl eigen arbeid)]],""))</f>
        <v/>
      </c>
      <c r="BA802" t="str">
        <f>IF(ISNUMBER(FIND("overige",Methode_Keuze)),"",IF(Tb_Activiteiten[[#This Row],[Overige kosten]]=1,Tb_Activiteiten[[#Headers],[Overige kosten]],""))</f>
        <v/>
      </c>
    </row>
    <row r="803" spans="1:53" x14ac:dyDescent="0.25">
      <c r="A803" s="231"/>
      <c r="F803" s="64"/>
      <c r="G803" s="64"/>
      <c r="H803" s="275"/>
      <c r="I803" s="275"/>
      <c r="J803" s="275"/>
      <c r="K803" s="275"/>
      <c r="O803" s="56"/>
      <c r="Q803" t="str">
        <f>IFERROR(IF(VLOOKUP(Tb_Activiteiten[[#This Row],[Openstelling]],Tb_Openstelling[],2,0)=1,1,""),"")</f>
        <v/>
      </c>
      <c r="AK803" t="str">
        <f>IF(ISNUMBER(FIND("arbeid",Methode_Keuze)),"",IF(ISNUMBER(FIND("arbeid",Methode_Keuze)),"",IF(Tb_Activiteiten[[#This Row],[Loonkosten]]=1,Tb_Activiteiten[[#Headers],[Loonkosten]],"")))</f>
        <v/>
      </c>
      <c r="AL803" t="str">
        <f>IF(ISNUMBER(FIND("arbeid",Methode_Keuze)),"",IF(ISNUMBER(FIND("arbeid",Methode_Keuze)),"",IF(Tb_Activiteiten[[#This Row],[Eigen arbeid]]=1,Tb_Activiteiten[[#Headers],[Eigen arbeid]],"")))</f>
        <v/>
      </c>
      <c r="AM803" t="str">
        <f>IF(ISNUMBER(FIND("arbeid",Methode_Keuze)),"",IF(ISNUMBER(FIND("arbeid",Methode_Keuze)),"",IF(Tb_Activiteiten[[#This Row],[Projectmedewerker]]=1,Tb_Activiteiten[[#Headers],[Projectmedewerker]],"")))</f>
        <v/>
      </c>
      <c r="AN803" t="str">
        <f>IF(ISNUMBER(FIND("arbeid",Methode_Keuze)),"",IF(ISNUMBER(FIND("arbeid",Methode_Keuze)),"",IF(Tb_Activiteiten[[#This Row],[Landbouwer]]=1,Tb_Activiteiten[[#Headers],[Landbouwer]],"")))</f>
        <v/>
      </c>
      <c r="AO803" t="str">
        <f>IF(ISNUMBER(FIND("arbeid",Methode_Keuze)),"",IF(ISNUMBER(FIND("arbeid",Methode_Keuze)),"",IF(Tb_Activiteiten[[#This Row],[Adviseur]]=1,Tb_Activiteiten[[#Headers],[Adviseur]],"")))</f>
        <v/>
      </c>
      <c r="AP803" t="str">
        <f>IF(ISNUMBER(FIND("arbeid",Methode_Keuze)),"",IF(ISNUMBER(FIND("arbeid",Methode_Keuze)),"",IF(Tb_Activiteiten[[#This Row],[Projectleider/Expert]]=1,Tb_Activiteiten[[#Headers],[Projectleider/Expert]],"")))</f>
        <v/>
      </c>
      <c r="AQ803" t="str">
        <f>IF(ISNUMBER(FIND("arbeid",Methode_Keuze)),"",IF(ISNUMBER(FIND("arbeid",Methode_Keuze)),"",IF(Tb_Activiteiten[[#This Row],[Arbeidskosten]]=1,Tb_Activiteiten[[#Headers],[Arbeidskosten]],"")))</f>
        <v/>
      </c>
      <c r="AR803" t="str">
        <f>IF(ISNUMBER(FIND("arbeid",Methode_Keuze)),"",IF(ISNUMBER(FIND("arbeid",Methode_Keuze)),"",IF(Tb_Activiteiten[[#This Row],[Arbeidskosten op basis van IKS]]=1,Tb_Activiteiten[[#Headers],[Arbeidskosten op basis van IKS]],"")))</f>
        <v/>
      </c>
      <c r="AS803" t="str">
        <f>IF(ISNUMBER(FIND("overige",Methode_Keuze)),"",IF(Tb_Activiteiten[[#This Row],[Kosten derden exclusief btw]]=1,Tb_Activiteiten[[#Headers],[Kosten derden exclusief btw]],""))</f>
        <v/>
      </c>
      <c r="AT803" t="str">
        <f>IF(ISNUMBER(FIND("overige",Methode_Keuze)),"",IF(Tb_Activiteiten[[#This Row],[Niet verrekenbare btw]]=1,Tb_Activiteiten[[#Headers],[Niet verrekenbare btw]],""))</f>
        <v/>
      </c>
      <c r="AU803" t="str">
        <f>IF(ISNUMBER(FIND("overige",Methode_Keuze)),"",IF(Tb_Activiteiten[[#This Row],[Grondkosten]]=1,Tb_Activiteiten[[#Headers],[Grondkosten]],""))</f>
        <v/>
      </c>
      <c r="AV803" t="str">
        <f>IF(ISNUMBER(FIND("overige",Methode_Keuze)),"",IF(Tb_Activiteiten[[#This Row],[Bijdrage in natura (overige)]]=1,Tb_Activiteiten[[#Headers],[Bijdrage in natura (overige)]],""))</f>
        <v/>
      </c>
      <c r="AW803" t="str">
        <f>IF(ISNUMBER(FIND("overige",Methode_Keuze)),"",IF(Tb_Activiteiten[[#This Row],[Bijdrage in natura (vrijwilligers)]]=1,Tb_Activiteiten[[#Headers],[Bijdrage in natura (vrijwilligers)]],""))</f>
        <v/>
      </c>
      <c r="AX803" t="str">
        <f>IF(ISNUMBER(FIND("overige",Methode_Keuze)),"",IF(Tb_Activiteiten[[#This Row],[Afschrijvingskosten]]=1,Tb_Activiteiten[[#Headers],[Afschrijvingskosten]],""))</f>
        <v/>
      </c>
      <c r="AY803" t="str">
        <f>IF(ISNUMBER(FIND("overige",Methode_Keuze)),"",IF(Tb_Activiteiten[[#This Row],[Vergoeding]]=1,Tb_Activiteiten[[#Headers],[Vergoeding]],""))</f>
        <v/>
      </c>
      <c r="AZ803" t="str">
        <f>IF(ISNUMBER(FIND("arbeid",Methode_Keuze)),"",IF(Tb_Activiteiten[[#This Row],[Arbeidskosten - vast tarief (excl eigen arbeid)]]=1,Tb_Activiteiten[[#Headers],[Arbeidskosten - vast tarief (excl eigen arbeid)]],""))</f>
        <v/>
      </c>
      <c r="BA803" t="str">
        <f>IF(ISNUMBER(FIND("overige",Methode_Keuze)),"",IF(Tb_Activiteiten[[#This Row],[Overige kosten]]=1,Tb_Activiteiten[[#Headers],[Overige kosten]],""))</f>
        <v/>
      </c>
    </row>
    <row r="804" spans="1:53" x14ac:dyDescent="0.25">
      <c r="A804" s="231"/>
      <c r="F804" s="64"/>
      <c r="G804" s="64"/>
      <c r="H804" s="275"/>
      <c r="I804" s="275"/>
      <c r="J804" s="275"/>
      <c r="K804" s="275"/>
      <c r="O804" s="56"/>
      <c r="Q804" t="str">
        <f>IFERROR(IF(VLOOKUP(Tb_Activiteiten[[#This Row],[Openstelling]],Tb_Openstelling[],2,0)=1,1,""),"")</f>
        <v/>
      </c>
      <c r="AK804" t="str">
        <f>IF(ISNUMBER(FIND("arbeid",Methode_Keuze)),"",IF(ISNUMBER(FIND("arbeid",Methode_Keuze)),"",IF(Tb_Activiteiten[[#This Row],[Loonkosten]]=1,Tb_Activiteiten[[#Headers],[Loonkosten]],"")))</f>
        <v/>
      </c>
      <c r="AL804" t="str">
        <f>IF(ISNUMBER(FIND("arbeid",Methode_Keuze)),"",IF(ISNUMBER(FIND("arbeid",Methode_Keuze)),"",IF(Tb_Activiteiten[[#This Row],[Eigen arbeid]]=1,Tb_Activiteiten[[#Headers],[Eigen arbeid]],"")))</f>
        <v/>
      </c>
      <c r="AM804" t="str">
        <f>IF(ISNUMBER(FIND("arbeid",Methode_Keuze)),"",IF(ISNUMBER(FIND("arbeid",Methode_Keuze)),"",IF(Tb_Activiteiten[[#This Row],[Projectmedewerker]]=1,Tb_Activiteiten[[#Headers],[Projectmedewerker]],"")))</f>
        <v/>
      </c>
      <c r="AN804" t="str">
        <f>IF(ISNUMBER(FIND("arbeid",Methode_Keuze)),"",IF(ISNUMBER(FIND("arbeid",Methode_Keuze)),"",IF(Tb_Activiteiten[[#This Row],[Landbouwer]]=1,Tb_Activiteiten[[#Headers],[Landbouwer]],"")))</f>
        <v/>
      </c>
      <c r="AO804" t="str">
        <f>IF(ISNUMBER(FIND("arbeid",Methode_Keuze)),"",IF(ISNUMBER(FIND("arbeid",Methode_Keuze)),"",IF(Tb_Activiteiten[[#This Row],[Adviseur]]=1,Tb_Activiteiten[[#Headers],[Adviseur]],"")))</f>
        <v/>
      </c>
      <c r="AP804" t="str">
        <f>IF(ISNUMBER(FIND("arbeid",Methode_Keuze)),"",IF(ISNUMBER(FIND("arbeid",Methode_Keuze)),"",IF(Tb_Activiteiten[[#This Row],[Projectleider/Expert]]=1,Tb_Activiteiten[[#Headers],[Projectleider/Expert]],"")))</f>
        <v/>
      </c>
      <c r="AQ804" t="str">
        <f>IF(ISNUMBER(FIND("arbeid",Methode_Keuze)),"",IF(ISNUMBER(FIND("arbeid",Methode_Keuze)),"",IF(Tb_Activiteiten[[#This Row],[Arbeidskosten]]=1,Tb_Activiteiten[[#Headers],[Arbeidskosten]],"")))</f>
        <v/>
      </c>
      <c r="AR804" t="str">
        <f>IF(ISNUMBER(FIND("arbeid",Methode_Keuze)),"",IF(ISNUMBER(FIND("arbeid",Methode_Keuze)),"",IF(Tb_Activiteiten[[#This Row],[Arbeidskosten op basis van IKS]]=1,Tb_Activiteiten[[#Headers],[Arbeidskosten op basis van IKS]],"")))</f>
        <v/>
      </c>
      <c r="AS804" t="str">
        <f>IF(ISNUMBER(FIND("overige",Methode_Keuze)),"",IF(Tb_Activiteiten[[#This Row],[Kosten derden exclusief btw]]=1,Tb_Activiteiten[[#Headers],[Kosten derden exclusief btw]],""))</f>
        <v/>
      </c>
      <c r="AT804" t="str">
        <f>IF(ISNUMBER(FIND("overige",Methode_Keuze)),"",IF(Tb_Activiteiten[[#This Row],[Niet verrekenbare btw]]=1,Tb_Activiteiten[[#Headers],[Niet verrekenbare btw]],""))</f>
        <v/>
      </c>
      <c r="AU804" t="str">
        <f>IF(ISNUMBER(FIND("overige",Methode_Keuze)),"",IF(Tb_Activiteiten[[#This Row],[Grondkosten]]=1,Tb_Activiteiten[[#Headers],[Grondkosten]],""))</f>
        <v/>
      </c>
      <c r="AV804" t="str">
        <f>IF(ISNUMBER(FIND("overige",Methode_Keuze)),"",IF(Tb_Activiteiten[[#This Row],[Bijdrage in natura (overige)]]=1,Tb_Activiteiten[[#Headers],[Bijdrage in natura (overige)]],""))</f>
        <v/>
      </c>
      <c r="AW804" t="str">
        <f>IF(ISNUMBER(FIND("overige",Methode_Keuze)),"",IF(Tb_Activiteiten[[#This Row],[Bijdrage in natura (vrijwilligers)]]=1,Tb_Activiteiten[[#Headers],[Bijdrage in natura (vrijwilligers)]],""))</f>
        <v/>
      </c>
      <c r="AX804" t="str">
        <f>IF(ISNUMBER(FIND("overige",Methode_Keuze)),"",IF(Tb_Activiteiten[[#This Row],[Afschrijvingskosten]]=1,Tb_Activiteiten[[#Headers],[Afschrijvingskosten]],""))</f>
        <v/>
      </c>
      <c r="AY804" t="str">
        <f>IF(ISNUMBER(FIND("overige",Methode_Keuze)),"",IF(Tb_Activiteiten[[#This Row],[Vergoeding]]=1,Tb_Activiteiten[[#Headers],[Vergoeding]],""))</f>
        <v/>
      </c>
      <c r="AZ804" t="str">
        <f>IF(ISNUMBER(FIND("arbeid",Methode_Keuze)),"",IF(Tb_Activiteiten[[#This Row],[Arbeidskosten - vast tarief (excl eigen arbeid)]]=1,Tb_Activiteiten[[#Headers],[Arbeidskosten - vast tarief (excl eigen arbeid)]],""))</f>
        <v/>
      </c>
      <c r="BA804" t="str">
        <f>IF(ISNUMBER(FIND("overige",Methode_Keuze)),"",IF(Tb_Activiteiten[[#This Row],[Overige kosten]]=1,Tb_Activiteiten[[#Headers],[Overige kosten]],""))</f>
        <v/>
      </c>
    </row>
    <row r="805" spans="1:53" x14ac:dyDescent="0.25">
      <c r="A805" s="231"/>
      <c r="F805" s="64"/>
      <c r="G805" s="64"/>
      <c r="H805" s="275"/>
      <c r="I805" s="275"/>
      <c r="J805" s="275"/>
      <c r="K805" s="275"/>
      <c r="O805" s="56"/>
      <c r="Q805" t="str">
        <f>IFERROR(IF(VLOOKUP(Tb_Activiteiten[[#This Row],[Openstelling]],Tb_Openstelling[],2,0)=1,1,""),"")</f>
        <v/>
      </c>
      <c r="AK805" t="str">
        <f>IF(ISNUMBER(FIND("arbeid",Methode_Keuze)),"",IF(ISNUMBER(FIND("arbeid",Methode_Keuze)),"",IF(Tb_Activiteiten[[#This Row],[Loonkosten]]=1,Tb_Activiteiten[[#Headers],[Loonkosten]],"")))</f>
        <v/>
      </c>
      <c r="AL805" t="str">
        <f>IF(ISNUMBER(FIND("arbeid",Methode_Keuze)),"",IF(ISNUMBER(FIND("arbeid",Methode_Keuze)),"",IF(Tb_Activiteiten[[#This Row],[Eigen arbeid]]=1,Tb_Activiteiten[[#Headers],[Eigen arbeid]],"")))</f>
        <v/>
      </c>
      <c r="AM805" t="str">
        <f>IF(ISNUMBER(FIND("arbeid",Methode_Keuze)),"",IF(ISNUMBER(FIND("arbeid",Methode_Keuze)),"",IF(Tb_Activiteiten[[#This Row],[Projectmedewerker]]=1,Tb_Activiteiten[[#Headers],[Projectmedewerker]],"")))</f>
        <v/>
      </c>
      <c r="AN805" t="str">
        <f>IF(ISNUMBER(FIND("arbeid",Methode_Keuze)),"",IF(ISNUMBER(FIND("arbeid",Methode_Keuze)),"",IF(Tb_Activiteiten[[#This Row],[Landbouwer]]=1,Tb_Activiteiten[[#Headers],[Landbouwer]],"")))</f>
        <v/>
      </c>
      <c r="AO805" t="str">
        <f>IF(ISNUMBER(FIND("arbeid",Methode_Keuze)),"",IF(ISNUMBER(FIND("arbeid",Methode_Keuze)),"",IF(Tb_Activiteiten[[#This Row],[Adviseur]]=1,Tb_Activiteiten[[#Headers],[Adviseur]],"")))</f>
        <v/>
      </c>
      <c r="AP805" t="str">
        <f>IF(ISNUMBER(FIND("arbeid",Methode_Keuze)),"",IF(ISNUMBER(FIND("arbeid",Methode_Keuze)),"",IF(Tb_Activiteiten[[#This Row],[Projectleider/Expert]]=1,Tb_Activiteiten[[#Headers],[Projectleider/Expert]],"")))</f>
        <v/>
      </c>
      <c r="AQ805" t="str">
        <f>IF(ISNUMBER(FIND("arbeid",Methode_Keuze)),"",IF(ISNUMBER(FIND("arbeid",Methode_Keuze)),"",IF(Tb_Activiteiten[[#This Row],[Arbeidskosten]]=1,Tb_Activiteiten[[#Headers],[Arbeidskosten]],"")))</f>
        <v/>
      </c>
      <c r="AR805" t="str">
        <f>IF(ISNUMBER(FIND("arbeid",Methode_Keuze)),"",IF(ISNUMBER(FIND("arbeid",Methode_Keuze)),"",IF(Tb_Activiteiten[[#This Row],[Arbeidskosten op basis van IKS]]=1,Tb_Activiteiten[[#Headers],[Arbeidskosten op basis van IKS]],"")))</f>
        <v/>
      </c>
      <c r="AS805" t="str">
        <f>IF(ISNUMBER(FIND("overige",Methode_Keuze)),"",IF(Tb_Activiteiten[[#This Row],[Kosten derden exclusief btw]]=1,Tb_Activiteiten[[#Headers],[Kosten derden exclusief btw]],""))</f>
        <v/>
      </c>
      <c r="AT805" t="str">
        <f>IF(ISNUMBER(FIND("overige",Methode_Keuze)),"",IF(Tb_Activiteiten[[#This Row],[Niet verrekenbare btw]]=1,Tb_Activiteiten[[#Headers],[Niet verrekenbare btw]],""))</f>
        <v/>
      </c>
      <c r="AU805" t="str">
        <f>IF(ISNUMBER(FIND("overige",Methode_Keuze)),"",IF(Tb_Activiteiten[[#This Row],[Grondkosten]]=1,Tb_Activiteiten[[#Headers],[Grondkosten]],""))</f>
        <v/>
      </c>
      <c r="AV805" t="str">
        <f>IF(ISNUMBER(FIND("overige",Methode_Keuze)),"",IF(Tb_Activiteiten[[#This Row],[Bijdrage in natura (overige)]]=1,Tb_Activiteiten[[#Headers],[Bijdrage in natura (overige)]],""))</f>
        <v/>
      </c>
      <c r="AW805" t="str">
        <f>IF(ISNUMBER(FIND("overige",Methode_Keuze)),"",IF(Tb_Activiteiten[[#This Row],[Bijdrage in natura (vrijwilligers)]]=1,Tb_Activiteiten[[#Headers],[Bijdrage in natura (vrijwilligers)]],""))</f>
        <v/>
      </c>
      <c r="AX805" t="str">
        <f>IF(ISNUMBER(FIND("overige",Methode_Keuze)),"",IF(Tb_Activiteiten[[#This Row],[Afschrijvingskosten]]=1,Tb_Activiteiten[[#Headers],[Afschrijvingskosten]],""))</f>
        <v/>
      </c>
      <c r="AY805" t="str">
        <f>IF(ISNUMBER(FIND("overige",Methode_Keuze)),"",IF(Tb_Activiteiten[[#This Row],[Vergoeding]]=1,Tb_Activiteiten[[#Headers],[Vergoeding]],""))</f>
        <v/>
      </c>
      <c r="AZ805" t="str">
        <f>IF(ISNUMBER(FIND("arbeid",Methode_Keuze)),"",IF(Tb_Activiteiten[[#This Row],[Arbeidskosten - vast tarief (excl eigen arbeid)]]=1,Tb_Activiteiten[[#Headers],[Arbeidskosten - vast tarief (excl eigen arbeid)]],""))</f>
        <v/>
      </c>
      <c r="BA805" t="str">
        <f>IF(ISNUMBER(FIND("overige",Methode_Keuze)),"",IF(Tb_Activiteiten[[#This Row],[Overige kosten]]=1,Tb_Activiteiten[[#Headers],[Overige kosten]],""))</f>
        <v/>
      </c>
    </row>
    <row r="806" spans="1:53" x14ac:dyDescent="0.25">
      <c r="A806" s="231"/>
      <c r="F806" s="64"/>
      <c r="G806" s="64"/>
      <c r="H806" s="275"/>
      <c r="I806" s="275"/>
      <c r="J806" s="275"/>
      <c r="K806" s="275"/>
      <c r="O806" s="56"/>
      <c r="Q806" t="str">
        <f>IFERROR(IF(VLOOKUP(Tb_Activiteiten[[#This Row],[Openstelling]],Tb_Openstelling[],2,0)=1,1,""),"")</f>
        <v/>
      </c>
      <c r="AK806" t="str">
        <f>IF(ISNUMBER(FIND("arbeid",Methode_Keuze)),"",IF(ISNUMBER(FIND("arbeid",Methode_Keuze)),"",IF(Tb_Activiteiten[[#This Row],[Loonkosten]]=1,Tb_Activiteiten[[#Headers],[Loonkosten]],"")))</f>
        <v/>
      </c>
      <c r="AL806" t="str">
        <f>IF(ISNUMBER(FIND("arbeid",Methode_Keuze)),"",IF(ISNUMBER(FIND("arbeid",Methode_Keuze)),"",IF(Tb_Activiteiten[[#This Row],[Eigen arbeid]]=1,Tb_Activiteiten[[#Headers],[Eigen arbeid]],"")))</f>
        <v/>
      </c>
      <c r="AM806" t="str">
        <f>IF(ISNUMBER(FIND("arbeid",Methode_Keuze)),"",IF(ISNUMBER(FIND("arbeid",Methode_Keuze)),"",IF(Tb_Activiteiten[[#This Row],[Projectmedewerker]]=1,Tb_Activiteiten[[#Headers],[Projectmedewerker]],"")))</f>
        <v/>
      </c>
      <c r="AN806" t="str">
        <f>IF(ISNUMBER(FIND("arbeid",Methode_Keuze)),"",IF(ISNUMBER(FIND("arbeid",Methode_Keuze)),"",IF(Tb_Activiteiten[[#This Row],[Landbouwer]]=1,Tb_Activiteiten[[#Headers],[Landbouwer]],"")))</f>
        <v/>
      </c>
      <c r="AO806" t="str">
        <f>IF(ISNUMBER(FIND("arbeid",Methode_Keuze)),"",IF(ISNUMBER(FIND("arbeid",Methode_Keuze)),"",IF(Tb_Activiteiten[[#This Row],[Adviseur]]=1,Tb_Activiteiten[[#Headers],[Adviseur]],"")))</f>
        <v/>
      </c>
      <c r="AP806" t="str">
        <f>IF(ISNUMBER(FIND("arbeid",Methode_Keuze)),"",IF(ISNUMBER(FIND("arbeid",Methode_Keuze)),"",IF(Tb_Activiteiten[[#This Row],[Projectleider/Expert]]=1,Tb_Activiteiten[[#Headers],[Projectleider/Expert]],"")))</f>
        <v/>
      </c>
      <c r="AQ806" t="str">
        <f>IF(ISNUMBER(FIND("arbeid",Methode_Keuze)),"",IF(ISNUMBER(FIND("arbeid",Methode_Keuze)),"",IF(Tb_Activiteiten[[#This Row],[Arbeidskosten]]=1,Tb_Activiteiten[[#Headers],[Arbeidskosten]],"")))</f>
        <v/>
      </c>
      <c r="AR806" t="str">
        <f>IF(ISNUMBER(FIND("arbeid",Methode_Keuze)),"",IF(ISNUMBER(FIND("arbeid",Methode_Keuze)),"",IF(Tb_Activiteiten[[#This Row],[Arbeidskosten op basis van IKS]]=1,Tb_Activiteiten[[#Headers],[Arbeidskosten op basis van IKS]],"")))</f>
        <v/>
      </c>
      <c r="AS806" t="str">
        <f>IF(ISNUMBER(FIND("overige",Methode_Keuze)),"",IF(Tb_Activiteiten[[#This Row],[Kosten derden exclusief btw]]=1,Tb_Activiteiten[[#Headers],[Kosten derden exclusief btw]],""))</f>
        <v/>
      </c>
      <c r="AT806" t="str">
        <f>IF(ISNUMBER(FIND("overige",Methode_Keuze)),"",IF(Tb_Activiteiten[[#This Row],[Niet verrekenbare btw]]=1,Tb_Activiteiten[[#Headers],[Niet verrekenbare btw]],""))</f>
        <v/>
      </c>
      <c r="AU806" t="str">
        <f>IF(ISNUMBER(FIND("overige",Methode_Keuze)),"",IF(Tb_Activiteiten[[#This Row],[Grondkosten]]=1,Tb_Activiteiten[[#Headers],[Grondkosten]],""))</f>
        <v/>
      </c>
      <c r="AV806" t="str">
        <f>IF(ISNUMBER(FIND("overige",Methode_Keuze)),"",IF(Tb_Activiteiten[[#This Row],[Bijdrage in natura (overige)]]=1,Tb_Activiteiten[[#Headers],[Bijdrage in natura (overige)]],""))</f>
        <v/>
      </c>
      <c r="AW806" t="str">
        <f>IF(ISNUMBER(FIND("overige",Methode_Keuze)),"",IF(Tb_Activiteiten[[#This Row],[Bijdrage in natura (vrijwilligers)]]=1,Tb_Activiteiten[[#Headers],[Bijdrage in natura (vrijwilligers)]],""))</f>
        <v/>
      </c>
      <c r="AX806" t="str">
        <f>IF(ISNUMBER(FIND("overige",Methode_Keuze)),"",IF(Tb_Activiteiten[[#This Row],[Afschrijvingskosten]]=1,Tb_Activiteiten[[#Headers],[Afschrijvingskosten]],""))</f>
        <v/>
      </c>
      <c r="AY806" t="str">
        <f>IF(ISNUMBER(FIND("overige",Methode_Keuze)),"",IF(Tb_Activiteiten[[#This Row],[Vergoeding]]=1,Tb_Activiteiten[[#Headers],[Vergoeding]],""))</f>
        <v/>
      </c>
      <c r="AZ806" t="str">
        <f>IF(ISNUMBER(FIND("arbeid",Methode_Keuze)),"",IF(Tb_Activiteiten[[#This Row],[Arbeidskosten - vast tarief (excl eigen arbeid)]]=1,Tb_Activiteiten[[#Headers],[Arbeidskosten - vast tarief (excl eigen arbeid)]],""))</f>
        <v/>
      </c>
      <c r="BA806" t="str">
        <f>IF(ISNUMBER(FIND("overige",Methode_Keuze)),"",IF(Tb_Activiteiten[[#This Row],[Overige kosten]]=1,Tb_Activiteiten[[#Headers],[Overige kosten]],""))</f>
        <v/>
      </c>
    </row>
    <row r="807" spans="1:53" x14ac:dyDescent="0.25">
      <c r="A807" s="231"/>
      <c r="F807" s="64"/>
      <c r="G807" s="64"/>
      <c r="H807" s="275"/>
      <c r="I807" s="275"/>
      <c r="J807" s="275"/>
      <c r="K807" s="275"/>
      <c r="O807" s="56"/>
      <c r="Q807" t="str">
        <f>IFERROR(IF(VLOOKUP(Tb_Activiteiten[[#This Row],[Openstelling]],Tb_Openstelling[],2,0)=1,1,""),"")</f>
        <v/>
      </c>
      <c r="AK807" t="str">
        <f>IF(ISNUMBER(FIND("arbeid",Methode_Keuze)),"",IF(ISNUMBER(FIND("arbeid",Methode_Keuze)),"",IF(Tb_Activiteiten[[#This Row],[Loonkosten]]=1,Tb_Activiteiten[[#Headers],[Loonkosten]],"")))</f>
        <v/>
      </c>
      <c r="AL807" t="str">
        <f>IF(ISNUMBER(FIND("arbeid",Methode_Keuze)),"",IF(ISNUMBER(FIND("arbeid",Methode_Keuze)),"",IF(Tb_Activiteiten[[#This Row],[Eigen arbeid]]=1,Tb_Activiteiten[[#Headers],[Eigen arbeid]],"")))</f>
        <v/>
      </c>
      <c r="AM807" t="str">
        <f>IF(ISNUMBER(FIND("arbeid",Methode_Keuze)),"",IF(ISNUMBER(FIND("arbeid",Methode_Keuze)),"",IF(Tb_Activiteiten[[#This Row],[Projectmedewerker]]=1,Tb_Activiteiten[[#Headers],[Projectmedewerker]],"")))</f>
        <v/>
      </c>
      <c r="AN807" t="str">
        <f>IF(ISNUMBER(FIND("arbeid",Methode_Keuze)),"",IF(ISNUMBER(FIND("arbeid",Methode_Keuze)),"",IF(Tb_Activiteiten[[#This Row],[Landbouwer]]=1,Tb_Activiteiten[[#Headers],[Landbouwer]],"")))</f>
        <v/>
      </c>
      <c r="AO807" t="str">
        <f>IF(ISNUMBER(FIND("arbeid",Methode_Keuze)),"",IF(ISNUMBER(FIND("arbeid",Methode_Keuze)),"",IF(Tb_Activiteiten[[#This Row],[Adviseur]]=1,Tb_Activiteiten[[#Headers],[Adviseur]],"")))</f>
        <v/>
      </c>
      <c r="AP807" t="str">
        <f>IF(ISNUMBER(FIND("arbeid",Methode_Keuze)),"",IF(ISNUMBER(FIND("arbeid",Methode_Keuze)),"",IF(Tb_Activiteiten[[#This Row],[Projectleider/Expert]]=1,Tb_Activiteiten[[#Headers],[Projectleider/Expert]],"")))</f>
        <v/>
      </c>
      <c r="AQ807" t="str">
        <f>IF(ISNUMBER(FIND("arbeid",Methode_Keuze)),"",IF(ISNUMBER(FIND("arbeid",Methode_Keuze)),"",IF(Tb_Activiteiten[[#This Row],[Arbeidskosten]]=1,Tb_Activiteiten[[#Headers],[Arbeidskosten]],"")))</f>
        <v/>
      </c>
      <c r="AR807" t="str">
        <f>IF(ISNUMBER(FIND("arbeid",Methode_Keuze)),"",IF(ISNUMBER(FIND("arbeid",Methode_Keuze)),"",IF(Tb_Activiteiten[[#This Row],[Arbeidskosten op basis van IKS]]=1,Tb_Activiteiten[[#Headers],[Arbeidskosten op basis van IKS]],"")))</f>
        <v/>
      </c>
      <c r="AS807" t="str">
        <f>IF(ISNUMBER(FIND("overige",Methode_Keuze)),"",IF(Tb_Activiteiten[[#This Row],[Kosten derden exclusief btw]]=1,Tb_Activiteiten[[#Headers],[Kosten derden exclusief btw]],""))</f>
        <v/>
      </c>
      <c r="AT807" t="str">
        <f>IF(ISNUMBER(FIND("overige",Methode_Keuze)),"",IF(Tb_Activiteiten[[#This Row],[Niet verrekenbare btw]]=1,Tb_Activiteiten[[#Headers],[Niet verrekenbare btw]],""))</f>
        <v/>
      </c>
      <c r="AU807" t="str">
        <f>IF(ISNUMBER(FIND("overige",Methode_Keuze)),"",IF(Tb_Activiteiten[[#This Row],[Grondkosten]]=1,Tb_Activiteiten[[#Headers],[Grondkosten]],""))</f>
        <v/>
      </c>
      <c r="AV807" t="str">
        <f>IF(ISNUMBER(FIND("overige",Methode_Keuze)),"",IF(Tb_Activiteiten[[#This Row],[Bijdrage in natura (overige)]]=1,Tb_Activiteiten[[#Headers],[Bijdrage in natura (overige)]],""))</f>
        <v/>
      </c>
      <c r="AW807" t="str">
        <f>IF(ISNUMBER(FIND("overige",Methode_Keuze)),"",IF(Tb_Activiteiten[[#This Row],[Bijdrage in natura (vrijwilligers)]]=1,Tb_Activiteiten[[#Headers],[Bijdrage in natura (vrijwilligers)]],""))</f>
        <v/>
      </c>
      <c r="AX807" t="str">
        <f>IF(ISNUMBER(FIND("overige",Methode_Keuze)),"",IF(Tb_Activiteiten[[#This Row],[Afschrijvingskosten]]=1,Tb_Activiteiten[[#Headers],[Afschrijvingskosten]],""))</f>
        <v/>
      </c>
      <c r="AY807" t="str">
        <f>IF(ISNUMBER(FIND("overige",Methode_Keuze)),"",IF(Tb_Activiteiten[[#This Row],[Vergoeding]]=1,Tb_Activiteiten[[#Headers],[Vergoeding]],""))</f>
        <v/>
      </c>
      <c r="AZ807" t="str">
        <f>IF(ISNUMBER(FIND("arbeid",Methode_Keuze)),"",IF(Tb_Activiteiten[[#This Row],[Arbeidskosten - vast tarief (excl eigen arbeid)]]=1,Tb_Activiteiten[[#Headers],[Arbeidskosten - vast tarief (excl eigen arbeid)]],""))</f>
        <v/>
      </c>
      <c r="BA807" t="str">
        <f>IF(ISNUMBER(FIND("overige",Methode_Keuze)),"",IF(Tb_Activiteiten[[#This Row],[Overige kosten]]=1,Tb_Activiteiten[[#Headers],[Overige kosten]],""))</f>
        <v/>
      </c>
    </row>
    <row r="808" spans="1:53" x14ac:dyDescent="0.25">
      <c r="A808" s="231"/>
      <c r="F808" s="64"/>
      <c r="G808" s="64"/>
      <c r="H808" s="275"/>
      <c r="I808" s="275"/>
      <c r="J808" s="275"/>
      <c r="K808" s="275"/>
      <c r="O808" s="56"/>
      <c r="Q808" t="str">
        <f>IFERROR(IF(VLOOKUP(Tb_Activiteiten[[#This Row],[Openstelling]],Tb_Openstelling[],2,0)=1,1,""),"")</f>
        <v/>
      </c>
      <c r="AK808" t="str">
        <f>IF(ISNUMBER(FIND("arbeid",Methode_Keuze)),"",IF(ISNUMBER(FIND("arbeid",Methode_Keuze)),"",IF(Tb_Activiteiten[[#This Row],[Loonkosten]]=1,Tb_Activiteiten[[#Headers],[Loonkosten]],"")))</f>
        <v/>
      </c>
      <c r="AL808" t="str">
        <f>IF(ISNUMBER(FIND("arbeid",Methode_Keuze)),"",IF(ISNUMBER(FIND("arbeid",Methode_Keuze)),"",IF(Tb_Activiteiten[[#This Row],[Eigen arbeid]]=1,Tb_Activiteiten[[#Headers],[Eigen arbeid]],"")))</f>
        <v/>
      </c>
      <c r="AM808" t="str">
        <f>IF(ISNUMBER(FIND("arbeid",Methode_Keuze)),"",IF(ISNUMBER(FIND("arbeid",Methode_Keuze)),"",IF(Tb_Activiteiten[[#This Row],[Projectmedewerker]]=1,Tb_Activiteiten[[#Headers],[Projectmedewerker]],"")))</f>
        <v/>
      </c>
      <c r="AN808" t="str">
        <f>IF(ISNUMBER(FIND("arbeid",Methode_Keuze)),"",IF(ISNUMBER(FIND("arbeid",Methode_Keuze)),"",IF(Tb_Activiteiten[[#This Row],[Landbouwer]]=1,Tb_Activiteiten[[#Headers],[Landbouwer]],"")))</f>
        <v/>
      </c>
      <c r="AO808" t="str">
        <f>IF(ISNUMBER(FIND("arbeid",Methode_Keuze)),"",IF(ISNUMBER(FIND("arbeid",Methode_Keuze)),"",IF(Tb_Activiteiten[[#This Row],[Adviseur]]=1,Tb_Activiteiten[[#Headers],[Adviseur]],"")))</f>
        <v/>
      </c>
      <c r="AP808" t="str">
        <f>IF(ISNUMBER(FIND("arbeid",Methode_Keuze)),"",IF(ISNUMBER(FIND("arbeid",Methode_Keuze)),"",IF(Tb_Activiteiten[[#This Row],[Projectleider/Expert]]=1,Tb_Activiteiten[[#Headers],[Projectleider/Expert]],"")))</f>
        <v/>
      </c>
      <c r="AQ808" t="str">
        <f>IF(ISNUMBER(FIND("arbeid",Methode_Keuze)),"",IF(ISNUMBER(FIND("arbeid",Methode_Keuze)),"",IF(Tb_Activiteiten[[#This Row],[Arbeidskosten]]=1,Tb_Activiteiten[[#Headers],[Arbeidskosten]],"")))</f>
        <v/>
      </c>
      <c r="AR808" t="str">
        <f>IF(ISNUMBER(FIND("arbeid",Methode_Keuze)),"",IF(ISNUMBER(FIND("arbeid",Methode_Keuze)),"",IF(Tb_Activiteiten[[#This Row],[Arbeidskosten op basis van IKS]]=1,Tb_Activiteiten[[#Headers],[Arbeidskosten op basis van IKS]],"")))</f>
        <v/>
      </c>
      <c r="AS808" t="str">
        <f>IF(ISNUMBER(FIND("overige",Methode_Keuze)),"",IF(Tb_Activiteiten[[#This Row],[Kosten derden exclusief btw]]=1,Tb_Activiteiten[[#Headers],[Kosten derden exclusief btw]],""))</f>
        <v/>
      </c>
      <c r="AT808" t="str">
        <f>IF(ISNUMBER(FIND("overige",Methode_Keuze)),"",IF(Tb_Activiteiten[[#This Row],[Niet verrekenbare btw]]=1,Tb_Activiteiten[[#Headers],[Niet verrekenbare btw]],""))</f>
        <v/>
      </c>
      <c r="AU808" t="str">
        <f>IF(ISNUMBER(FIND("overige",Methode_Keuze)),"",IF(Tb_Activiteiten[[#This Row],[Grondkosten]]=1,Tb_Activiteiten[[#Headers],[Grondkosten]],""))</f>
        <v/>
      </c>
      <c r="AV808" t="str">
        <f>IF(ISNUMBER(FIND("overige",Methode_Keuze)),"",IF(Tb_Activiteiten[[#This Row],[Bijdrage in natura (overige)]]=1,Tb_Activiteiten[[#Headers],[Bijdrage in natura (overige)]],""))</f>
        <v/>
      </c>
      <c r="AW808" t="str">
        <f>IF(ISNUMBER(FIND("overige",Methode_Keuze)),"",IF(Tb_Activiteiten[[#This Row],[Bijdrage in natura (vrijwilligers)]]=1,Tb_Activiteiten[[#Headers],[Bijdrage in natura (vrijwilligers)]],""))</f>
        <v/>
      </c>
      <c r="AX808" t="str">
        <f>IF(ISNUMBER(FIND("overige",Methode_Keuze)),"",IF(Tb_Activiteiten[[#This Row],[Afschrijvingskosten]]=1,Tb_Activiteiten[[#Headers],[Afschrijvingskosten]],""))</f>
        <v/>
      </c>
      <c r="AY808" t="str">
        <f>IF(ISNUMBER(FIND("overige",Methode_Keuze)),"",IF(Tb_Activiteiten[[#This Row],[Vergoeding]]=1,Tb_Activiteiten[[#Headers],[Vergoeding]],""))</f>
        <v/>
      </c>
      <c r="AZ808" t="str">
        <f>IF(ISNUMBER(FIND("arbeid",Methode_Keuze)),"",IF(Tb_Activiteiten[[#This Row],[Arbeidskosten - vast tarief (excl eigen arbeid)]]=1,Tb_Activiteiten[[#Headers],[Arbeidskosten - vast tarief (excl eigen arbeid)]],""))</f>
        <v/>
      </c>
      <c r="BA808" t="str">
        <f>IF(ISNUMBER(FIND("overige",Methode_Keuze)),"",IF(Tb_Activiteiten[[#This Row],[Overige kosten]]=1,Tb_Activiteiten[[#Headers],[Overige kosten]],""))</f>
        <v/>
      </c>
    </row>
    <row r="809" spans="1:53" x14ac:dyDescent="0.25">
      <c r="A809" s="231"/>
      <c r="F809" s="64"/>
      <c r="G809" s="64"/>
      <c r="H809" s="275"/>
      <c r="I809" s="275"/>
      <c r="J809" s="275"/>
      <c r="K809" s="275"/>
      <c r="O809" s="56"/>
      <c r="Q809" t="str">
        <f>IFERROR(IF(VLOOKUP(Tb_Activiteiten[[#This Row],[Openstelling]],Tb_Openstelling[],2,0)=1,1,""),"")</f>
        <v/>
      </c>
      <c r="AK809" t="str">
        <f>IF(ISNUMBER(FIND("arbeid",Methode_Keuze)),"",IF(ISNUMBER(FIND("arbeid",Methode_Keuze)),"",IF(Tb_Activiteiten[[#This Row],[Loonkosten]]=1,Tb_Activiteiten[[#Headers],[Loonkosten]],"")))</f>
        <v/>
      </c>
      <c r="AL809" t="str">
        <f>IF(ISNUMBER(FIND("arbeid",Methode_Keuze)),"",IF(ISNUMBER(FIND("arbeid",Methode_Keuze)),"",IF(Tb_Activiteiten[[#This Row],[Eigen arbeid]]=1,Tb_Activiteiten[[#Headers],[Eigen arbeid]],"")))</f>
        <v/>
      </c>
      <c r="AM809" t="str">
        <f>IF(ISNUMBER(FIND("arbeid",Methode_Keuze)),"",IF(ISNUMBER(FIND("arbeid",Methode_Keuze)),"",IF(Tb_Activiteiten[[#This Row],[Projectmedewerker]]=1,Tb_Activiteiten[[#Headers],[Projectmedewerker]],"")))</f>
        <v/>
      </c>
      <c r="AN809" t="str">
        <f>IF(ISNUMBER(FIND("arbeid",Methode_Keuze)),"",IF(ISNUMBER(FIND("arbeid",Methode_Keuze)),"",IF(Tb_Activiteiten[[#This Row],[Landbouwer]]=1,Tb_Activiteiten[[#Headers],[Landbouwer]],"")))</f>
        <v/>
      </c>
      <c r="AO809" t="str">
        <f>IF(ISNUMBER(FIND("arbeid",Methode_Keuze)),"",IF(ISNUMBER(FIND("arbeid",Methode_Keuze)),"",IF(Tb_Activiteiten[[#This Row],[Adviseur]]=1,Tb_Activiteiten[[#Headers],[Adviseur]],"")))</f>
        <v/>
      </c>
      <c r="AP809" t="str">
        <f>IF(ISNUMBER(FIND("arbeid",Methode_Keuze)),"",IF(ISNUMBER(FIND("arbeid",Methode_Keuze)),"",IF(Tb_Activiteiten[[#This Row],[Projectleider/Expert]]=1,Tb_Activiteiten[[#Headers],[Projectleider/Expert]],"")))</f>
        <v/>
      </c>
      <c r="AQ809" t="str">
        <f>IF(ISNUMBER(FIND("arbeid",Methode_Keuze)),"",IF(ISNUMBER(FIND("arbeid",Methode_Keuze)),"",IF(Tb_Activiteiten[[#This Row],[Arbeidskosten]]=1,Tb_Activiteiten[[#Headers],[Arbeidskosten]],"")))</f>
        <v/>
      </c>
      <c r="AR809" t="str">
        <f>IF(ISNUMBER(FIND("arbeid",Methode_Keuze)),"",IF(ISNUMBER(FIND("arbeid",Methode_Keuze)),"",IF(Tb_Activiteiten[[#This Row],[Arbeidskosten op basis van IKS]]=1,Tb_Activiteiten[[#Headers],[Arbeidskosten op basis van IKS]],"")))</f>
        <v/>
      </c>
      <c r="AS809" t="str">
        <f>IF(ISNUMBER(FIND("overige",Methode_Keuze)),"",IF(Tb_Activiteiten[[#This Row],[Kosten derden exclusief btw]]=1,Tb_Activiteiten[[#Headers],[Kosten derden exclusief btw]],""))</f>
        <v/>
      </c>
      <c r="AT809" t="str">
        <f>IF(ISNUMBER(FIND("overige",Methode_Keuze)),"",IF(Tb_Activiteiten[[#This Row],[Niet verrekenbare btw]]=1,Tb_Activiteiten[[#Headers],[Niet verrekenbare btw]],""))</f>
        <v/>
      </c>
      <c r="AU809" t="str">
        <f>IF(ISNUMBER(FIND("overige",Methode_Keuze)),"",IF(Tb_Activiteiten[[#This Row],[Grondkosten]]=1,Tb_Activiteiten[[#Headers],[Grondkosten]],""))</f>
        <v/>
      </c>
      <c r="AV809" t="str">
        <f>IF(ISNUMBER(FIND("overige",Methode_Keuze)),"",IF(Tb_Activiteiten[[#This Row],[Bijdrage in natura (overige)]]=1,Tb_Activiteiten[[#Headers],[Bijdrage in natura (overige)]],""))</f>
        <v/>
      </c>
      <c r="AW809" t="str">
        <f>IF(ISNUMBER(FIND("overige",Methode_Keuze)),"",IF(Tb_Activiteiten[[#This Row],[Bijdrage in natura (vrijwilligers)]]=1,Tb_Activiteiten[[#Headers],[Bijdrage in natura (vrijwilligers)]],""))</f>
        <v/>
      </c>
      <c r="AX809" t="str">
        <f>IF(ISNUMBER(FIND("overige",Methode_Keuze)),"",IF(Tb_Activiteiten[[#This Row],[Afschrijvingskosten]]=1,Tb_Activiteiten[[#Headers],[Afschrijvingskosten]],""))</f>
        <v/>
      </c>
      <c r="AY809" t="str">
        <f>IF(ISNUMBER(FIND("overige",Methode_Keuze)),"",IF(Tb_Activiteiten[[#This Row],[Vergoeding]]=1,Tb_Activiteiten[[#Headers],[Vergoeding]],""))</f>
        <v/>
      </c>
      <c r="AZ809" t="str">
        <f>IF(ISNUMBER(FIND("arbeid",Methode_Keuze)),"",IF(Tb_Activiteiten[[#This Row],[Arbeidskosten - vast tarief (excl eigen arbeid)]]=1,Tb_Activiteiten[[#Headers],[Arbeidskosten - vast tarief (excl eigen arbeid)]],""))</f>
        <v/>
      </c>
      <c r="BA809" t="str">
        <f>IF(ISNUMBER(FIND("overige",Methode_Keuze)),"",IF(Tb_Activiteiten[[#This Row],[Overige kosten]]=1,Tb_Activiteiten[[#Headers],[Overige kosten]],""))</f>
        <v/>
      </c>
    </row>
    <row r="810" spans="1:53" x14ac:dyDescent="0.25">
      <c r="A810" s="231"/>
      <c r="F810" s="64"/>
      <c r="G810" s="64"/>
      <c r="H810" s="275"/>
      <c r="I810" s="275"/>
      <c r="J810" s="275"/>
      <c r="K810" s="275"/>
      <c r="O810" s="56"/>
      <c r="Q810" t="str">
        <f>IFERROR(IF(VLOOKUP(Tb_Activiteiten[[#This Row],[Openstelling]],Tb_Openstelling[],2,0)=1,1,""),"")</f>
        <v/>
      </c>
      <c r="AK810" t="str">
        <f>IF(ISNUMBER(FIND("arbeid",Methode_Keuze)),"",IF(ISNUMBER(FIND("arbeid",Methode_Keuze)),"",IF(Tb_Activiteiten[[#This Row],[Loonkosten]]=1,Tb_Activiteiten[[#Headers],[Loonkosten]],"")))</f>
        <v/>
      </c>
      <c r="AL810" t="str">
        <f>IF(ISNUMBER(FIND("arbeid",Methode_Keuze)),"",IF(ISNUMBER(FIND("arbeid",Methode_Keuze)),"",IF(Tb_Activiteiten[[#This Row],[Eigen arbeid]]=1,Tb_Activiteiten[[#Headers],[Eigen arbeid]],"")))</f>
        <v/>
      </c>
      <c r="AM810" t="str">
        <f>IF(ISNUMBER(FIND("arbeid",Methode_Keuze)),"",IF(ISNUMBER(FIND("arbeid",Methode_Keuze)),"",IF(Tb_Activiteiten[[#This Row],[Projectmedewerker]]=1,Tb_Activiteiten[[#Headers],[Projectmedewerker]],"")))</f>
        <v/>
      </c>
      <c r="AN810" t="str">
        <f>IF(ISNUMBER(FIND("arbeid",Methode_Keuze)),"",IF(ISNUMBER(FIND("arbeid",Methode_Keuze)),"",IF(Tb_Activiteiten[[#This Row],[Landbouwer]]=1,Tb_Activiteiten[[#Headers],[Landbouwer]],"")))</f>
        <v/>
      </c>
      <c r="AO810" t="str">
        <f>IF(ISNUMBER(FIND("arbeid",Methode_Keuze)),"",IF(ISNUMBER(FIND("arbeid",Methode_Keuze)),"",IF(Tb_Activiteiten[[#This Row],[Adviseur]]=1,Tb_Activiteiten[[#Headers],[Adviseur]],"")))</f>
        <v/>
      </c>
      <c r="AP810" t="str">
        <f>IF(ISNUMBER(FIND("arbeid",Methode_Keuze)),"",IF(ISNUMBER(FIND("arbeid",Methode_Keuze)),"",IF(Tb_Activiteiten[[#This Row],[Projectleider/Expert]]=1,Tb_Activiteiten[[#Headers],[Projectleider/Expert]],"")))</f>
        <v/>
      </c>
      <c r="AQ810" t="str">
        <f>IF(ISNUMBER(FIND("arbeid",Methode_Keuze)),"",IF(ISNUMBER(FIND("arbeid",Methode_Keuze)),"",IF(Tb_Activiteiten[[#This Row],[Arbeidskosten]]=1,Tb_Activiteiten[[#Headers],[Arbeidskosten]],"")))</f>
        <v/>
      </c>
      <c r="AR810" t="str">
        <f>IF(ISNUMBER(FIND("arbeid",Methode_Keuze)),"",IF(ISNUMBER(FIND("arbeid",Methode_Keuze)),"",IF(Tb_Activiteiten[[#This Row],[Arbeidskosten op basis van IKS]]=1,Tb_Activiteiten[[#Headers],[Arbeidskosten op basis van IKS]],"")))</f>
        <v/>
      </c>
      <c r="AS810" t="str">
        <f>IF(ISNUMBER(FIND("overige",Methode_Keuze)),"",IF(Tb_Activiteiten[[#This Row],[Kosten derden exclusief btw]]=1,Tb_Activiteiten[[#Headers],[Kosten derden exclusief btw]],""))</f>
        <v/>
      </c>
      <c r="AT810" t="str">
        <f>IF(ISNUMBER(FIND("overige",Methode_Keuze)),"",IF(Tb_Activiteiten[[#This Row],[Niet verrekenbare btw]]=1,Tb_Activiteiten[[#Headers],[Niet verrekenbare btw]],""))</f>
        <v/>
      </c>
      <c r="AU810" t="str">
        <f>IF(ISNUMBER(FIND("overige",Methode_Keuze)),"",IF(Tb_Activiteiten[[#This Row],[Grondkosten]]=1,Tb_Activiteiten[[#Headers],[Grondkosten]],""))</f>
        <v/>
      </c>
      <c r="AV810" t="str">
        <f>IF(ISNUMBER(FIND("overige",Methode_Keuze)),"",IF(Tb_Activiteiten[[#This Row],[Bijdrage in natura (overige)]]=1,Tb_Activiteiten[[#Headers],[Bijdrage in natura (overige)]],""))</f>
        <v/>
      </c>
      <c r="AW810" t="str">
        <f>IF(ISNUMBER(FIND("overige",Methode_Keuze)),"",IF(Tb_Activiteiten[[#This Row],[Bijdrage in natura (vrijwilligers)]]=1,Tb_Activiteiten[[#Headers],[Bijdrage in natura (vrijwilligers)]],""))</f>
        <v/>
      </c>
      <c r="AX810" t="str">
        <f>IF(ISNUMBER(FIND("overige",Methode_Keuze)),"",IF(Tb_Activiteiten[[#This Row],[Afschrijvingskosten]]=1,Tb_Activiteiten[[#Headers],[Afschrijvingskosten]],""))</f>
        <v/>
      </c>
      <c r="AY810" t="str">
        <f>IF(ISNUMBER(FIND("overige",Methode_Keuze)),"",IF(Tb_Activiteiten[[#This Row],[Vergoeding]]=1,Tb_Activiteiten[[#Headers],[Vergoeding]],""))</f>
        <v/>
      </c>
      <c r="AZ810" t="str">
        <f>IF(ISNUMBER(FIND("arbeid",Methode_Keuze)),"",IF(Tb_Activiteiten[[#This Row],[Arbeidskosten - vast tarief (excl eigen arbeid)]]=1,Tb_Activiteiten[[#Headers],[Arbeidskosten - vast tarief (excl eigen arbeid)]],""))</f>
        <v/>
      </c>
      <c r="BA810" t="str">
        <f>IF(ISNUMBER(FIND("overige",Methode_Keuze)),"",IF(Tb_Activiteiten[[#This Row],[Overige kosten]]=1,Tb_Activiteiten[[#Headers],[Overige kosten]],""))</f>
        <v/>
      </c>
    </row>
    <row r="811" spans="1:53" x14ac:dyDescent="0.25">
      <c r="A811" s="231"/>
      <c r="F811" s="64"/>
      <c r="G811" s="64"/>
      <c r="H811" s="275"/>
      <c r="I811" s="275"/>
      <c r="J811" s="275"/>
      <c r="K811" s="275"/>
      <c r="O811" s="56"/>
      <c r="Q811" t="str">
        <f>IFERROR(IF(VLOOKUP(Tb_Activiteiten[[#This Row],[Openstelling]],Tb_Openstelling[],2,0)=1,1,""),"")</f>
        <v/>
      </c>
      <c r="AK811" t="str">
        <f>IF(ISNUMBER(FIND("arbeid",Methode_Keuze)),"",IF(ISNUMBER(FIND("arbeid",Methode_Keuze)),"",IF(Tb_Activiteiten[[#This Row],[Loonkosten]]=1,Tb_Activiteiten[[#Headers],[Loonkosten]],"")))</f>
        <v/>
      </c>
      <c r="AL811" t="str">
        <f>IF(ISNUMBER(FIND("arbeid",Methode_Keuze)),"",IF(ISNUMBER(FIND("arbeid",Methode_Keuze)),"",IF(Tb_Activiteiten[[#This Row],[Eigen arbeid]]=1,Tb_Activiteiten[[#Headers],[Eigen arbeid]],"")))</f>
        <v/>
      </c>
      <c r="AM811" t="str">
        <f>IF(ISNUMBER(FIND("arbeid",Methode_Keuze)),"",IF(ISNUMBER(FIND("arbeid",Methode_Keuze)),"",IF(Tb_Activiteiten[[#This Row],[Projectmedewerker]]=1,Tb_Activiteiten[[#Headers],[Projectmedewerker]],"")))</f>
        <v/>
      </c>
      <c r="AN811" t="str">
        <f>IF(ISNUMBER(FIND("arbeid",Methode_Keuze)),"",IF(ISNUMBER(FIND("arbeid",Methode_Keuze)),"",IF(Tb_Activiteiten[[#This Row],[Landbouwer]]=1,Tb_Activiteiten[[#Headers],[Landbouwer]],"")))</f>
        <v/>
      </c>
      <c r="AO811" t="str">
        <f>IF(ISNUMBER(FIND("arbeid",Methode_Keuze)),"",IF(ISNUMBER(FIND("arbeid",Methode_Keuze)),"",IF(Tb_Activiteiten[[#This Row],[Adviseur]]=1,Tb_Activiteiten[[#Headers],[Adviseur]],"")))</f>
        <v/>
      </c>
      <c r="AP811" t="str">
        <f>IF(ISNUMBER(FIND("arbeid",Methode_Keuze)),"",IF(ISNUMBER(FIND("arbeid",Methode_Keuze)),"",IF(Tb_Activiteiten[[#This Row],[Projectleider/Expert]]=1,Tb_Activiteiten[[#Headers],[Projectleider/Expert]],"")))</f>
        <v/>
      </c>
      <c r="AQ811" t="str">
        <f>IF(ISNUMBER(FIND("arbeid",Methode_Keuze)),"",IF(ISNUMBER(FIND("arbeid",Methode_Keuze)),"",IF(Tb_Activiteiten[[#This Row],[Arbeidskosten]]=1,Tb_Activiteiten[[#Headers],[Arbeidskosten]],"")))</f>
        <v/>
      </c>
      <c r="AR811" t="str">
        <f>IF(ISNUMBER(FIND("arbeid",Methode_Keuze)),"",IF(ISNUMBER(FIND("arbeid",Methode_Keuze)),"",IF(Tb_Activiteiten[[#This Row],[Arbeidskosten op basis van IKS]]=1,Tb_Activiteiten[[#Headers],[Arbeidskosten op basis van IKS]],"")))</f>
        <v/>
      </c>
      <c r="AS811" t="str">
        <f>IF(ISNUMBER(FIND("overige",Methode_Keuze)),"",IF(Tb_Activiteiten[[#This Row],[Kosten derden exclusief btw]]=1,Tb_Activiteiten[[#Headers],[Kosten derden exclusief btw]],""))</f>
        <v/>
      </c>
      <c r="AT811" t="str">
        <f>IF(ISNUMBER(FIND("overige",Methode_Keuze)),"",IF(Tb_Activiteiten[[#This Row],[Niet verrekenbare btw]]=1,Tb_Activiteiten[[#Headers],[Niet verrekenbare btw]],""))</f>
        <v/>
      </c>
      <c r="AU811" t="str">
        <f>IF(ISNUMBER(FIND("overige",Methode_Keuze)),"",IF(Tb_Activiteiten[[#This Row],[Grondkosten]]=1,Tb_Activiteiten[[#Headers],[Grondkosten]],""))</f>
        <v/>
      </c>
      <c r="AV811" t="str">
        <f>IF(ISNUMBER(FIND("overige",Methode_Keuze)),"",IF(Tb_Activiteiten[[#This Row],[Bijdrage in natura (overige)]]=1,Tb_Activiteiten[[#Headers],[Bijdrage in natura (overige)]],""))</f>
        <v/>
      </c>
      <c r="AW811" t="str">
        <f>IF(ISNUMBER(FIND("overige",Methode_Keuze)),"",IF(Tb_Activiteiten[[#This Row],[Bijdrage in natura (vrijwilligers)]]=1,Tb_Activiteiten[[#Headers],[Bijdrage in natura (vrijwilligers)]],""))</f>
        <v/>
      </c>
      <c r="AX811" t="str">
        <f>IF(ISNUMBER(FIND("overige",Methode_Keuze)),"",IF(Tb_Activiteiten[[#This Row],[Afschrijvingskosten]]=1,Tb_Activiteiten[[#Headers],[Afschrijvingskosten]],""))</f>
        <v/>
      </c>
      <c r="AY811" t="str">
        <f>IF(ISNUMBER(FIND("overige",Methode_Keuze)),"",IF(Tb_Activiteiten[[#This Row],[Vergoeding]]=1,Tb_Activiteiten[[#Headers],[Vergoeding]],""))</f>
        <v/>
      </c>
      <c r="AZ811" t="str">
        <f>IF(ISNUMBER(FIND("arbeid",Methode_Keuze)),"",IF(Tb_Activiteiten[[#This Row],[Arbeidskosten - vast tarief (excl eigen arbeid)]]=1,Tb_Activiteiten[[#Headers],[Arbeidskosten - vast tarief (excl eigen arbeid)]],""))</f>
        <v/>
      </c>
      <c r="BA811" t="str">
        <f>IF(ISNUMBER(FIND("overige",Methode_Keuze)),"",IF(Tb_Activiteiten[[#This Row],[Overige kosten]]=1,Tb_Activiteiten[[#Headers],[Overige kosten]],""))</f>
        <v/>
      </c>
    </row>
    <row r="812" spans="1:53" x14ac:dyDescent="0.25">
      <c r="A812" s="231"/>
      <c r="F812" s="64"/>
      <c r="G812" s="64"/>
      <c r="H812" s="275"/>
      <c r="I812" s="275"/>
      <c r="J812" s="275"/>
      <c r="K812" s="275"/>
      <c r="O812" s="56"/>
      <c r="Q812" t="str">
        <f>IFERROR(IF(VLOOKUP(Tb_Activiteiten[[#This Row],[Openstelling]],Tb_Openstelling[],2,0)=1,1,""),"")</f>
        <v/>
      </c>
      <c r="AK812" t="str">
        <f>IF(ISNUMBER(FIND("arbeid",Methode_Keuze)),"",IF(ISNUMBER(FIND("arbeid",Methode_Keuze)),"",IF(Tb_Activiteiten[[#This Row],[Loonkosten]]=1,Tb_Activiteiten[[#Headers],[Loonkosten]],"")))</f>
        <v/>
      </c>
      <c r="AL812" t="str">
        <f>IF(ISNUMBER(FIND("arbeid",Methode_Keuze)),"",IF(ISNUMBER(FIND("arbeid",Methode_Keuze)),"",IF(Tb_Activiteiten[[#This Row],[Eigen arbeid]]=1,Tb_Activiteiten[[#Headers],[Eigen arbeid]],"")))</f>
        <v/>
      </c>
      <c r="AM812" t="str">
        <f>IF(ISNUMBER(FIND("arbeid",Methode_Keuze)),"",IF(ISNUMBER(FIND("arbeid",Methode_Keuze)),"",IF(Tb_Activiteiten[[#This Row],[Projectmedewerker]]=1,Tb_Activiteiten[[#Headers],[Projectmedewerker]],"")))</f>
        <v/>
      </c>
      <c r="AN812" t="str">
        <f>IF(ISNUMBER(FIND("arbeid",Methode_Keuze)),"",IF(ISNUMBER(FIND("arbeid",Methode_Keuze)),"",IF(Tb_Activiteiten[[#This Row],[Landbouwer]]=1,Tb_Activiteiten[[#Headers],[Landbouwer]],"")))</f>
        <v/>
      </c>
      <c r="AO812" t="str">
        <f>IF(ISNUMBER(FIND("arbeid",Methode_Keuze)),"",IF(ISNUMBER(FIND("arbeid",Methode_Keuze)),"",IF(Tb_Activiteiten[[#This Row],[Adviseur]]=1,Tb_Activiteiten[[#Headers],[Adviseur]],"")))</f>
        <v/>
      </c>
      <c r="AP812" t="str">
        <f>IF(ISNUMBER(FIND("arbeid",Methode_Keuze)),"",IF(ISNUMBER(FIND("arbeid",Methode_Keuze)),"",IF(Tb_Activiteiten[[#This Row],[Projectleider/Expert]]=1,Tb_Activiteiten[[#Headers],[Projectleider/Expert]],"")))</f>
        <v/>
      </c>
      <c r="AQ812" t="str">
        <f>IF(ISNUMBER(FIND("arbeid",Methode_Keuze)),"",IF(ISNUMBER(FIND("arbeid",Methode_Keuze)),"",IF(Tb_Activiteiten[[#This Row],[Arbeidskosten]]=1,Tb_Activiteiten[[#Headers],[Arbeidskosten]],"")))</f>
        <v/>
      </c>
      <c r="AR812" t="str">
        <f>IF(ISNUMBER(FIND("arbeid",Methode_Keuze)),"",IF(ISNUMBER(FIND("arbeid",Methode_Keuze)),"",IF(Tb_Activiteiten[[#This Row],[Arbeidskosten op basis van IKS]]=1,Tb_Activiteiten[[#Headers],[Arbeidskosten op basis van IKS]],"")))</f>
        <v/>
      </c>
      <c r="AS812" t="str">
        <f>IF(ISNUMBER(FIND("overige",Methode_Keuze)),"",IF(Tb_Activiteiten[[#This Row],[Kosten derden exclusief btw]]=1,Tb_Activiteiten[[#Headers],[Kosten derden exclusief btw]],""))</f>
        <v/>
      </c>
      <c r="AT812" t="str">
        <f>IF(ISNUMBER(FIND("overige",Methode_Keuze)),"",IF(Tb_Activiteiten[[#This Row],[Niet verrekenbare btw]]=1,Tb_Activiteiten[[#Headers],[Niet verrekenbare btw]],""))</f>
        <v/>
      </c>
      <c r="AU812" t="str">
        <f>IF(ISNUMBER(FIND("overige",Methode_Keuze)),"",IF(Tb_Activiteiten[[#This Row],[Grondkosten]]=1,Tb_Activiteiten[[#Headers],[Grondkosten]],""))</f>
        <v/>
      </c>
      <c r="AV812" t="str">
        <f>IF(ISNUMBER(FIND("overige",Methode_Keuze)),"",IF(Tb_Activiteiten[[#This Row],[Bijdrage in natura (overige)]]=1,Tb_Activiteiten[[#Headers],[Bijdrage in natura (overige)]],""))</f>
        <v/>
      </c>
      <c r="AW812" t="str">
        <f>IF(ISNUMBER(FIND("overige",Methode_Keuze)),"",IF(Tb_Activiteiten[[#This Row],[Bijdrage in natura (vrijwilligers)]]=1,Tb_Activiteiten[[#Headers],[Bijdrage in natura (vrijwilligers)]],""))</f>
        <v/>
      </c>
      <c r="AX812" t="str">
        <f>IF(ISNUMBER(FIND("overige",Methode_Keuze)),"",IF(Tb_Activiteiten[[#This Row],[Afschrijvingskosten]]=1,Tb_Activiteiten[[#Headers],[Afschrijvingskosten]],""))</f>
        <v/>
      </c>
      <c r="AY812" t="str">
        <f>IF(ISNUMBER(FIND("overige",Methode_Keuze)),"",IF(Tb_Activiteiten[[#This Row],[Vergoeding]]=1,Tb_Activiteiten[[#Headers],[Vergoeding]],""))</f>
        <v/>
      </c>
      <c r="AZ812" t="str">
        <f>IF(ISNUMBER(FIND("arbeid",Methode_Keuze)),"",IF(Tb_Activiteiten[[#This Row],[Arbeidskosten - vast tarief (excl eigen arbeid)]]=1,Tb_Activiteiten[[#Headers],[Arbeidskosten - vast tarief (excl eigen arbeid)]],""))</f>
        <v/>
      </c>
      <c r="BA812" t="str">
        <f>IF(ISNUMBER(FIND("overige",Methode_Keuze)),"",IF(Tb_Activiteiten[[#This Row],[Overige kosten]]=1,Tb_Activiteiten[[#Headers],[Overige kosten]],""))</f>
        <v/>
      </c>
    </row>
    <row r="813" spans="1:53" x14ac:dyDescent="0.25">
      <c r="A813" s="231"/>
      <c r="F813" s="64"/>
      <c r="G813" s="64"/>
      <c r="H813" s="275"/>
      <c r="I813" s="275"/>
      <c r="J813" s="275"/>
      <c r="K813" s="275"/>
      <c r="O813" s="56"/>
      <c r="Q813" t="str">
        <f>IFERROR(IF(VLOOKUP(Tb_Activiteiten[[#This Row],[Openstelling]],Tb_Openstelling[],2,0)=1,1,""),"")</f>
        <v/>
      </c>
      <c r="AK813" t="str">
        <f>IF(ISNUMBER(FIND("arbeid",Methode_Keuze)),"",IF(ISNUMBER(FIND("arbeid",Methode_Keuze)),"",IF(Tb_Activiteiten[[#This Row],[Loonkosten]]=1,Tb_Activiteiten[[#Headers],[Loonkosten]],"")))</f>
        <v/>
      </c>
      <c r="AL813" t="str">
        <f>IF(ISNUMBER(FIND("arbeid",Methode_Keuze)),"",IF(ISNUMBER(FIND("arbeid",Methode_Keuze)),"",IF(Tb_Activiteiten[[#This Row],[Eigen arbeid]]=1,Tb_Activiteiten[[#Headers],[Eigen arbeid]],"")))</f>
        <v/>
      </c>
      <c r="AM813" t="str">
        <f>IF(ISNUMBER(FIND("arbeid",Methode_Keuze)),"",IF(ISNUMBER(FIND("arbeid",Methode_Keuze)),"",IF(Tb_Activiteiten[[#This Row],[Projectmedewerker]]=1,Tb_Activiteiten[[#Headers],[Projectmedewerker]],"")))</f>
        <v/>
      </c>
      <c r="AN813" t="str">
        <f>IF(ISNUMBER(FIND("arbeid",Methode_Keuze)),"",IF(ISNUMBER(FIND("arbeid",Methode_Keuze)),"",IF(Tb_Activiteiten[[#This Row],[Landbouwer]]=1,Tb_Activiteiten[[#Headers],[Landbouwer]],"")))</f>
        <v/>
      </c>
      <c r="AO813" t="str">
        <f>IF(ISNUMBER(FIND("arbeid",Methode_Keuze)),"",IF(ISNUMBER(FIND("arbeid",Methode_Keuze)),"",IF(Tb_Activiteiten[[#This Row],[Adviseur]]=1,Tb_Activiteiten[[#Headers],[Adviseur]],"")))</f>
        <v/>
      </c>
      <c r="AP813" t="str">
        <f>IF(ISNUMBER(FIND("arbeid",Methode_Keuze)),"",IF(ISNUMBER(FIND("arbeid",Methode_Keuze)),"",IF(Tb_Activiteiten[[#This Row],[Projectleider/Expert]]=1,Tb_Activiteiten[[#Headers],[Projectleider/Expert]],"")))</f>
        <v/>
      </c>
      <c r="AQ813" t="str">
        <f>IF(ISNUMBER(FIND("arbeid",Methode_Keuze)),"",IF(ISNUMBER(FIND("arbeid",Methode_Keuze)),"",IF(Tb_Activiteiten[[#This Row],[Arbeidskosten]]=1,Tb_Activiteiten[[#Headers],[Arbeidskosten]],"")))</f>
        <v/>
      </c>
      <c r="AR813" t="str">
        <f>IF(ISNUMBER(FIND("arbeid",Methode_Keuze)),"",IF(ISNUMBER(FIND("arbeid",Methode_Keuze)),"",IF(Tb_Activiteiten[[#This Row],[Arbeidskosten op basis van IKS]]=1,Tb_Activiteiten[[#Headers],[Arbeidskosten op basis van IKS]],"")))</f>
        <v/>
      </c>
      <c r="AS813" t="str">
        <f>IF(ISNUMBER(FIND("overige",Methode_Keuze)),"",IF(Tb_Activiteiten[[#This Row],[Kosten derden exclusief btw]]=1,Tb_Activiteiten[[#Headers],[Kosten derden exclusief btw]],""))</f>
        <v/>
      </c>
      <c r="AT813" t="str">
        <f>IF(ISNUMBER(FIND("overige",Methode_Keuze)),"",IF(Tb_Activiteiten[[#This Row],[Niet verrekenbare btw]]=1,Tb_Activiteiten[[#Headers],[Niet verrekenbare btw]],""))</f>
        <v/>
      </c>
      <c r="AU813" t="str">
        <f>IF(ISNUMBER(FIND("overige",Methode_Keuze)),"",IF(Tb_Activiteiten[[#This Row],[Grondkosten]]=1,Tb_Activiteiten[[#Headers],[Grondkosten]],""))</f>
        <v/>
      </c>
      <c r="AV813" t="str">
        <f>IF(ISNUMBER(FIND("overige",Methode_Keuze)),"",IF(Tb_Activiteiten[[#This Row],[Bijdrage in natura (overige)]]=1,Tb_Activiteiten[[#Headers],[Bijdrage in natura (overige)]],""))</f>
        <v/>
      </c>
      <c r="AW813" t="str">
        <f>IF(ISNUMBER(FIND("overige",Methode_Keuze)),"",IF(Tb_Activiteiten[[#This Row],[Bijdrage in natura (vrijwilligers)]]=1,Tb_Activiteiten[[#Headers],[Bijdrage in natura (vrijwilligers)]],""))</f>
        <v/>
      </c>
      <c r="AX813" t="str">
        <f>IF(ISNUMBER(FIND("overige",Methode_Keuze)),"",IF(Tb_Activiteiten[[#This Row],[Afschrijvingskosten]]=1,Tb_Activiteiten[[#Headers],[Afschrijvingskosten]],""))</f>
        <v/>
      </c>
      <c r="AY813" t="str">
        <f>IF(ISNUMBER(FIND("overige",Methode_Keuze)),"",IF(Tb_Activiteiten[[#This Row],[Vergoeding]]=1,Tb_Activiteiten[[#Headers],[Vergoeding]],""))</f>
        <v/>
      </c>
      <c r="AZ813" t="str">
        <f>IF(ISNUMBER(FIND("arbeid",Methode_Keuze)),"",IF(Tb_Activiteiten[[#This Row],[Arbeidskosten - vast tarief (excl eigen arbeid)]]=1,Tb_Activiteiten[[#Headers],[Arbeidskosten - vast tarief (excl eigen arbeid)]],""))</f>
        <v/>
      </c>
      <c r="BA813" t="str">
        <f>IF(ISNUMBER(FIND("overige",Methode_Keuze)),"",IF(Tb_Activiteiten[[#This Row],[Overige kosten]]=1,Tb_Activiteiten[[#Headers],[Overige kosten]],""))</f>
        <v/>
      </c>
    </row>
    <row r="814" spans="1:53" x14ac:dyDescent="0.25">
      <c r="A814" s="231"/>
      <c r="F814" s="64"/>
      <c r="G814" s="64"/>
      <c r="H814" s="275"/>
      <c r="I814" s="275"/>
      <c r="J814" s="275"/>
      <c r="K814" s="275"/>
      <c r="O814" s="56"/>
      <c r="Q814" t="str">
        <f>IFERROR(IF(VLOOKUP(Tb_Activiteiten[[#This Row],[Openstelling]],Tb_Openstelling[],2,0)=1,1,""),"")</f>
        <v/>
      </c>
      <c r="AK814" t="str">
        <f>IF(ISNUMBER(FIND("arbeid",Methode_Keuze)),"",IF(ISNUMBER(FIND("arbeid",Methode_Keuze)),"",IF(Tb_Activiteiten[[#This Row],[Loonkosten]]=1,Tb_Activiteiten[[#Headers],[Loonkosten]],"")))</f>
        <v/>
      </c>
      <c r="AL814" t="str">
        <f>IF(ISNUMBER(FIND("arbeid",Methode_Keuze)),"",IF(ISNUMBER(FIND("arbeid",Methode_Keuze)),"",IF(Tb_Activiteiten[[#This Row],[Eigen arbeid]]=1,Tb_Activiteiten[[#Headers],[Eigen arbeid]],"")))</f>
        <v/>
      </c>
      <c r="AM814" t="str">
        <f>IF(ISNUMBER(FIND("arbeid",Methode_Keuze)),"",IF(ISNUMBER(FIND("arbeid",Methode_Keuze)),"",IF(Tb_Activiteiten[[#This Row],[Projectmedewerker]]=1,Tb_Activiteiten[[#Headers],[Projectmedewerker]],"")))</f>
        <v/>
      </c>
      <c r="AN814" t="str">
        <f>IF(ISNUMBER(FIND("arbeid",Methode_Keuze)),"",IF(ISNUMBER(FIND("arbeid",Methode_Keuze)),"",IF(Tb_Activiteiten[[#This Row],[Landbouwer]]=1,Tb_Activiteiten[[#Headers],[Landbouwer]],"")))</f>
        <v/>
      </c>
      <c r="AO814" t="str">
        <f>IF(ISNUMBER(FIND("arbeid",Methode_Keuze)),"",IF(ISNUMBER(FIND("arbeid",Methode_Keuze)),"",IF(Tb_Activiteiten[[#This Row],[Adviseur]]=1,Tb_Activiteiten[[#Headers],[Adviseur]],"")))</f>
        <v/>
      </c>
      <c r="AP814" t="str">
        <f>IF(ISNUMBER(FIND("arbeid",Methode_Keuze)),"",IF(ISNUMBER(FIND("arbeid",Methode_Keuze)),"",IF(Tb_Activiteiten[[#This Row],[Projectleider/Expert]]=1,Tb_Activiteiten[[#Headers],[Projectleider/Expert]],"")))</f>
        <v/>
      </c>
      <c r="AQ814" t="str">
        <f>IF(ISNUMBER(FIND("arbeid",Methode_Keuze)),"",IF(ISNUMBER(FIND("arbeid",Methode_Keuze)),"",IF(Tb_Activiteiten[[#This Row],[Arbeidskosten]]=1,Tb_Activiteiten[[#Headers],[Arbeidskosten]],"")))</f>
        <v/>
      </c>
      <c r="AR814" t="str">
        <f>IF(ISNUMBER(FIND("arbeid",Methode_Keuze)),"",IF(ISNUMBER(FIND("arbeid",Methode_Keuze)),"",IF(Tb_Activiteiten[[#This Row],[Arbeidskosten op basis van IKS]]=1,Tb_Activiteiten[[#Headers],[Arbeidskosten op basis van IKS]],"")))</f>
        <v/>
      </c>
      <c r="AS814" t="str">
        <f>IF(ISNUMBER(FIND("overige",Methode_Keuze)),"",IF(Tb_Activiteiten[[#This Row],[Kosten derden exclusief btw]]=1,Tb_Activiteiten[[#Headers],[Kosten derden exclusief btw]],""))</f>
        <v/>
      </c>
      <c r="AT814" t="str">
        <f>IF(ISNUMBER(FIND("overige",Methode_Keuze)),"",IF(Tb_Activiteiten[[#This Row],[Niet verrekenbare btw]]=1,Tb_Activiteiten[[#Headers],[Niet verrekenbare btw]],""))</f>
        <v/>
      </c>
      <c r="AU814" t="str">
        <f>IF(ISNUMBER(FIND("overige",Methode_Keuze)),"",IF(Tb_Activiteiten[[#This Row],[Grondkosten]]=1,Tb_Activiteiten[[#Headers],[Grondkosten]],""))</f>
        <v/>
      </c>
      <c r="AV814" t="str">
        <f>IF(ISNUMBER(FIND("overige",Methode_Keuze)),"",IF(Tb_Activiteiten[[#This Row],[Bijdrage in natura (overige)]]=1,Tb_Activiteiten[[#Headers],[Bijdrage in natura (overige)]],""))</f>
        <v/>
      </c>
      <c r="AW814" t="str">
        <f>IF(ISNUMBER(FIND("overige",Methode_Keuze)),"",IF(Tb_Activiteiten[[#This Row],[Bijdrage in natura (vrijwilligers)]]=1,Tb_Activiteiten[[#Headers],[Bijdrage in natura (vrijwilligers)]],""))</f>
        <v/>
      </c>
      <c r="AX814" t="str">
        <f>IF(ISNUMBER(FIND("overige",Methode_Keuze)),"",IF(Tb_Activiteiten[[#This Row],[Afschrijvingskosten]]=1,Tb_Activiteiten[[#Headers],[Afschrijvingskosten]],""))</f>
        <v/>
      </c>
      <c r="AY814" t="str">
        <f>IF(ISNUMBER(FIND("overige",Methode_Keuze)),"",IF(Tb_Activiteiten[[#This Row],[Vergoeding]]=1,Tb_Activiteiten[[#Headers],[Vergoeding]],""))</f>
        <v/>
      </c>
      <c r="AZ814" t="str">
        <f>IF(ISNUMBER(FIND("arbeid",Methode_Keuze)),"",IF(Tb_Activiteiten[[#This Row],[Arbeidskosten - vast tarief (excl eigen arbeid)]]=1,Tb_Activiteiten[[#Headers],[Arbeidskosten - vast tarief (excl eigen arbeid)]],""))</f>
        <v/>
      </c>
      <c r="BA814" t="str">
        <f>IF(ISNUMBER(FIND("overige",Methode_Keuze)),"",IF(Tb_Activiteiten[[#This Row],[Overige kosten]]=1,Tb_Activiteiten[[#Headers],[Overige kosten]],""))</f>
        <v/>
      </c>
    </row>
    <row r="815" spans="1:53" x14ac:dyDescent="0.25">
      <c r="A815" s="231"/>
      <c r="F815" s="64"/>
      <c r="G815" s="64"/>
      <c r="H815" s="275"/>
      <c r="I815" s="275"/>
      <c r="J815" s="275"/>
      <c r="K815" s="275"/>
      <c r="O815" s="56"/>
      <c r="Q815" t="str">
        <f>IFERROR(IF(VLOOKUP(Tb_Activiteiten[[#This Row],[Openstelling]],Tb_Openstelling[],2,0)=1,1,""),"")</f>
        <v/>
      </c>
      <c r="AK815" t="str">
        <f>IF(ISNUMBER(FIND("arbeid",Methode_Keuze)),"",IF(ISNUMBER(FIND("arbeid",Methode_Keuze)),"",IF(Tb_Activiteiten[[#This Row],[Loonkosten]]=1,Tb_Activiteiten[[#Headers],[Loonkosten]],"")))</f>
        <v/>
      </c>
      <c r="AL815" t="str">
        <f>IF(ISNUMBER(FIND("arbeid",Methode_Keuze)),"",IF(ISNUMBER(FIND("arbeid",Methode_Keuze)),"",IF(Tb_Activiteiten[[#This Row],[Eigen arbeid]]=1,Tb_Activiteiten[[#Headers],[Eigen arbeid]],"")))</f>
        <v/>
      </c>
      <c r="AM815" t="str">
        <f>IF(ISNUMBER(FIND("arbeid",Methode_Keuze)),"",IF(ISNUMBER(FIND("arbeid",Methode_Keuze)),"",IF(Tb_Activiteiten[[#This Row],[Projectmedewerker]]=1,Tb_Activiteiten[[#Headers],[Projectmedewerker]],"")))</f>
        <v/>
      </c>
      <c r="AN815" t="str">
        <f>IF(ISNUMBER(FIND("arbeid",Methode_Keuze)),"",IF(ISNUMBER(FIND("arbeid",Methode_Keuze)),"",IF(Tb_Activiteiten[[#This Row],[Landbouwer]]=1,Tb_Activiteiten[[#Headers],[Landbouwer]],"")))</f>
        <v/>
      </c>
      <c r="AO815" t="str">
        <f>IF(ISNUMBER(FIND("arbeid",Methode_Keuze)),"",IF(ISNUMBER(FIND("arbeid",Methode_Keuze)),"",IF(Tb_Activiteiten[[#This Row],[Adviseur]]=1,Tb_Activiteiten[[#Headers],[Adviseur]],"")))</f>
        <v/>
      </c>
      <c r="AP815" t="str">
        <f>IF(ISNUMBER(FIND("arbeid",Methode_Keuze)),"",IF(ISNUMBER(FIND("arbeid",Methode_Keuze)),"",IF(Tb_Activiteiten[[#This Row],[Projectleider/Expert]]=1,Tb_Activiteiten[[#Headers],[Projectleider/Expert]],"")))</f>
        <v/>
      </c>
      <c r="AQ815" t="str">
        <f>IF(ISNUMBER(FIND("arbeid",Methode_Keuze)),"",IF(ISNUMBER(FIND("arbeid",Methode_Keuze)),"",IF(Tb_Activiteiten[[#This Row],[Arbeidskosten]]=1,Tb_Activiteiten[[#Headers],[Arbeidskosten]],"")))</f>
        <v/>
      </c>
      <c r="AR815" t="str">
        <f>IF(ISNUMBER(FIND("arbeid",Methode_Keuze)),"",IF(ISNUMBER(FIND("arbeid",Methode_Keuze)),"",IF(Tb_Activiteiten[[#This Row],[Arbeidskosten op basis van IKS]]=1,Tb_Activiteiten[[#Headers],[Arbeidskosten op basis van IKS]],"")))</f>
        <v/>
      </c>
      <c r="AS815" t="str">
        <f>IF(ISNUMBER(FIND("overige",Methode_Keuze)),"",IF(Tb_Activiteiten[[#This Row],[Kosten derden exclusief btw]]=1,Tb_Activiteiten[[#Headers],[Kosten derden exclusief btw]],""))</f>
        <v/>
      </c>
      <c r="AT815" t="str">
        <f>IF(ISNUMBER(FIND("overige",Methode_Keuze)),"",IF(Tb_Activiteiten[[#This Row],[Niet verrekenbare btw]]=1,Tb_Activiteiten[[#Headers],[Niet verrekenbare btw]],""))</f>
        <v/>
      </c>
      <c r="AU815" t="str">
        <f>IF(ISNUMBER(FIND("overige",Methode_Keuze)),"",IF(Tb_Activiteiten[[#This Row],[Grondkosten]]=1,Tb_Activiteiten[[#Headers],[Grondkosten]],""))</f>
        <v/>
      </c>
      <c r="AV815" t="str">
        <f>IF(ISNUMBER(FIND("overige",Methode_Keuze)),"",IF(Tb_Activiteiten[[#This Row],[Bijdrage in natura (overige)]]=1,Tb_Activiteiten[[#Headers],[Bijdrage in natura (overige)]],""))</f>
        <v/>
      </c>
      <c r="AW815" t="str">
        <f>IF(ISNUMBER(FIND("overige",Methode_Keuze)),"",IF(Tb_Activiteiten[[#This Row],[Bijdrage in natura (vrijwilligers)]]=1,Tb_Activiteiten[[#Headers],[Bijdrage in natura (vrijwilligers)]],""))</f>
        <v/>
      </c>
      <c r="AX815" t="str">
        <f>IF(ISNUMBER(FIND("overige",Methode_Keuze)),"",IF(Tb_Activiteiten[[#This Row],[Afschrijvingskosten]]=1,Tb_Activiteiten[[#Headers],[Afschrijvingskosten]],""))</f>
        <v/>
      </c>
      <c r="AY815" t="str">
        <f>IF(ISNUMBER(FIND("overige",Methode_Keuze)),"",IF(Tb_Activiteiten[[#This Row],[Vergoeding]]=1,Tb_Activiteiten[[#Headers],[Vergoeding]],""))</f>
        <v/>
      </c>
      <c r="AZ815" t="str">
        <f>IF(ISNUMBER(FIND("arbeid",Methode_Keuze)),"",IF(Tb_Activiteiten[[#This Row],[Arbeidskosten - vast tarief (excl eigen arbeid)]]=1,Tb_Activiteiten[[#Headers],[Arbeidskosten - vast tarief (excl eigen arbeid)]],""))</f>
        <v/>
      </c>
      <c r="BA815" t="str">
        <f>IF(ISNUMBER(FIND("overige",Methode_Keuze)),"",IF(Tb_Activiteiten[[#This Row],[Overige kosten]]=1,Tb_Activiteiten[[#Headers],[Overige kosten]],""))</f>
        <v/>
      </c>
    </row>
    <row r="816" spans="1:53" x14ac:dyDescent="0.25">
      <c r="A816" s="231"/>
      <c r="F816" s="64"/>
      <c r="G816" s="64"/>
      <c r="H816" s="275"/>
      <c r="I816" s="275"/>
      <c r="J816" s="275"/>
      <c r="K816" s="275"/>
      <c r="O816" s="56"/>
      <c r="Q816" t="str">
        <f>IFERROR(IF(VLOOKUP(Tb_Activiteiten[[#This Row],[Openstelling]],Tb_Openstelling[],2,0)=1,1,""),"")</f>
        <v/>
      </c>
      <c r="AK816" t="str">
        <f>IF(ISNUMBER(FIND("arbeid",Methode_Keuze)),"",IF(ISNUMBER(FIND("arbeid",Methode_Keuze)),"",IF(Tb_Activiteiten[[#This Row],[Loonkosten]]=1,Tb_Activiteiten[[#Headers],[Loonkosten]],"")))</f>
        <v/>
      </c>
      <c r="AL816" t="str">
        <f>IF(ISNUMBER(FIND("arbeid",Methode_Keuze)),"",IF(ISNUMBER(FIND("arbeid",Methode_Keuze)),"",IF(Tb_Activiteiten[[#This Row],[Eigen arbeid]]=1,Tb_Activiteiten[[#Headers],[Eigen arbeid]],"")))</f>
        <v/>
      </c>
      <c r="AM816" t="str">
        <f>IF(ISNUMBER(FIND("arbeid",Methode_Keuze)),"",IF(ISNUMBER(FIND("arbeid",Methode_Keuze)),"",IF(Tb_Activiteiten[[#This Row],[Projectmedewerker]]=1,Tb_Activiteiten[[#Headers],[Projectmedewerker]],"")))</f>
        <v/>
      </c>
      <c r="AN816" t="str">
        <f>IF(ISNUMBER(FIND("arbeid",Methode_Keuze)),"",IF(ISNUMBER(FIND("arbeid",Methode_Keuze)),"",IF(Tb_Activiteiten[[#This Row],[Landbouwer]]=1,Tb_Activiteiten[[#Headers],[Landbouwer]],"")))</f>
        <v/>
      </c>
      <c r="AO816" t="str">
        <f>IF(ISNUMBER(FIND("arbeid",Methode_Keuze)),"",IF(ISNUMBER(FIND("arbeid",Methode_Keuze)),"",IF(Tb_Activiteiten[[#This Row],[Adviseur]]=1,Tb_Activiteiten[[#Headers],[Adviseur]],"")))</f>
        <v/>
      </c>
      <c r="AP816" t="str">
        <f>IF(ISNUMBER(FIND("arbeid",Methode_Keuze)),"",IF(ISNUMBER(FIND("arbeid",Methode_Keuze)),"",IF(Tb_Activiteiten[[#This Row],[Projectleider/Expert]]=1,Tb_Activiteiten[[#Headers],[Projectleider/Expert]],"")))</f>
        <v/>
      </c>
      <c r="AQ816" t="str">
        <f>IF(ISNUMBER(FIND("arbeid",Methode_Keuze)),"",IF(ISNUMBER(FIND("arbeid",Methode_Keuze)),"",IF(Tb_Activiteiten[[#This Row],[Arbeidskosten]]=1,Tb_Activiteiten[[#Headers],[Arbeidskosten]],"")))</f>
        <v/>
      </c>
      <c r="AR816" t="str">
        <f>IF(ISNUMBER(FIND("arbeid",Methode_Keuze)),"",IF(ISNUMBER(FIND("arbeid",Methode_Keuze)),"",IF(Tb_Activiteiten[[#This Row],[Arbeidskosten op basis van IKS]]=1,Tb_Activiteiten[[#Headers],[Arbeidskosten op basis van IKS]],"")))</f>
        <v/>
      </c>
      <c r="AS816" t="str">
        <f>IF(ISNUMBER(FIND("overige",Methode_Keuze)),"",IF(Tb_Activiteiten[[#This Row],[Kosten derden exclusief btw]]=1,Tb_Activiteiten[[#Headers],[Kosten derden exclusief btw]],""))</f>
        <v/>
      </c>
      <c r="AT816" t="str">
        <f>IF(ISNUMBER(FIND("overige",Methode_Keuze)),"",IF(Tb_Activiteiten[[#This Row],[Niet verrekenbare btw]]=1,Tb_Activiteiten[[#Headers],[Niet verrekenbare btw]],""))</f>
        <v/>
      </c>
      <c r="AU816" t="str">
        <f>IF(ISNUMBER(FIND("overige",Methode_Keuze)),"",IF(Tb_Activiteiten[[#This Row],[Grondkosten]]=1,Tb_Activiteiten[[#Headers],[Grondkosten]],""))</f>
        <v/>
      </c>
      <c r="AV816" t="str">
        <f>IF(ISNUMBER(FIND("overige",Methode_Keuze)),"",IF(Tb_Activiteiten[[#This Row],[Bijdrage in natura (overige)]]=1,Tb_Activiteiten[[#Headers],[Bijdrage in natura (overige)]],""))</f>
        <v/>
      </c>
      <c r="AW816" t="str">
        <f>IF(ISNUMBER(FIND("overige",Methode_Keuze)),"",IF(Tb_Activiteiten[[#This Row],[Bijdrage in natura (vrijwilligers)]]=1,Tb_Activiteiten[[#Headers],[Bijdrage in natura (vrijwilligers)]],""))</f>
        <v/>
      </c>
      <c r="AX816" t="str">
        <f>IF(ISNUMBER(FIND("overige",Methode_Keuze)),"",IF(Tb_Activiteiten[[#This Row],[Afschrijvingskosten]]=1,Tb_Activiteiten[[#Headers],[Afschrijvingskosten]],""))</f>
        <v/>
      </c>
      <c r="AY816" t="str">
        <f>IF(ISNUMBER(FIND("overige",Methode_Keuze)),"",IF(Tb_Activiteiten[[#This Row],[Vergoeding]]=1,Tb_Activiteiten[[#Headers],[Vergoeding]],""))</f>
        <v/>
      </c>
      <c r="AZ816" t="str">
        <f>IF(ISNUMBER(FIND("arbeid",Methode_Keuze)),"",IF(Tb_Activiteiten[[#This Row],[Arbeidskosten - vast tarief (excl eigen arbeid)]]=1,Tb_Activiteiten[[#Headers],[Arbeidskosten - vast tarief (excl eigen arbeid)]],""))</f>
        <v/>
      </c>
      <c r="BA816" t="str">
        <f>IF(ISNUMBER(FIND("overige",Methode_Keuze)),"",IF(Tb_Activiteiten[[#This Row],[Overige kosten]]=1,Tb_Activiteiten[[#Headers],[Overige kosten]],""))</f>
        <v/>
      </c>
    </row>
    <row r="817" spans="1:53" x14ac:dyDescent="0.25">
      <c r="A817" s="231"/>
      <c r="F817" s="64"/>
      <c r="G817" s="64"/>
      <c r="H817" s="275"/>
      <c r="I817" s="275"/>
      <c r="J817" s="275"/>
      <c r="K817" s="275"/>
      <c r="O817" s="56"/>
      <c r="Q817" t="str">
        <f>IFERROR(IF(VLOOKUP(Tb_Activiteiten[[#This Row],[Openstelling]],Tb_Openstelling[],2,0)=1,1,""),"")</f>
        <v/>
      </c>
      <c r="AK817" t="str">
        <f>IF(ISNUMBER(FIND("arbeid",Methode_Keuze)),"",IF(ISNUMBER(FIND("arbeid",Methode_Keuze)),"",IF(Tb_Activiteiten[[#This Row],[Loonkosten]]=1,Tb_Activiteiten[[#Headers],[Loonkosten]],"")))</f>
        <v/>
      </c>
      <c r="AL817" t="str">
        <f>IF(ISNUMBER(FIND("arbeid",Methode_Keuze)),"",IF(ISNUMBER(FIND("arbeid",Methode_Keuze)),"",IF(Tb_Activiteiten[[#This Row],[Eigen arbeid]]=1,Tb_Activiteiten[[#Headers],[Eigen arbeid]],"")))</f>
        <v/>
      </c>
      <c r="AM817" t="str">
        <f>IF(ISNUMBER(FIND("arbeid",Methode_Keuze)),"",IF(ISNUMBER(FIND("arbeid",Methode_Keuze)),"",IF(Tb_Activiteiten[[#This Row],[Projectmedewerker]]=1,Tb_Activiteiten[[#Headers],[Projectmedewerker]],"")))</f>
        <v/>
      </c>
      <c r="AN817" t="str">
        <f>IF(ISNUMBER(FIND("arbeid",Methode_Keuze)),"",IF(ISNUMBER(FIND("arbeid",Methode_Keuze)),"",IF(Tb_Activiteiten[[#This Row],[Landbouwer]]=1,Tb_Activiteiten[[#Headers],[Landbouwer]],"")))</f>
        <v/>
      </c>
      <c r="AO817" t="str">
        <f>IF(ISNUMBER(FIND("arbeid",Methode_Keuze)),"",IF(ISNUMBER(FIND("arbeid",Methode_Keuze)),"",IF(Tb_Activiteiten[[#This Row],[Adviseur]]=1,Tb_Activiteiten[[#Headers],[Adviseur]],"")))</f>
        <v/>
      </c>
      <c r="AP817" t="str">
        <f>IF(ISNUMBER(FIND("arbeid",Methode_Keuze)),"",IF(ISNUMBER(FIND("arbeid",Methode_Keuze)),"",IF(Tb_Activiteiten[[#This Row],[Projectleider/Expert]]=1,Tb_Activiteiten[[#Headers],[Projectleider/Expert]],"")))</f>
        <v/>
      </c>
      <c r="AQ817" t="str">
        <f>IF(ISNUMBER(FIND("arbeid",Methode_Keuze)),"",IF(ISNUMBER(FIND("arbeid",Methode_Keuze)),"",IF(Tb_Activiteiten[[#This Row],[Arbeidskosten]]=1,Tb_Activiteiten[[#Headers],[Arbeidskosten]],"")))</f>
        <v/>
      </c>
      <c r="AR817" t="str">
        <f>IF(ISNUMBER(FIND("arbeid",Methode_Keuze)),"",IF(ISNUMBER(FIND("arbeid",Methode_Keuze)),"",IF(Tb_Activiteiten[[#This Row],[Arbeidskosten op basis van IKS]]=1,Tb_Activiteiten[[#Headers],[Arbeidskosten op basis van IKS]],"")))</f>
        <v/>
      </c>
      <c r="AS817" t="str">
        <f>IF(ISNUMBER(FIND("overige",Methode_Keuze)),"",IF(Tb_Activiteiten[[#This Row],[Kosten derden exclusief btw]]=1,Tb_Activiteiten[[#Headers],[Kosten derden exclusief btw]],""))</f>
        <v/>
      </c>
      <c r="AT817" t="str">
        <f>IF(ISNUMBER(FIND("overige",Methode_Keuze)),"",IF(Tb_Activiteiten[[#This Row],[Niet verrekenbare btw]]=1,Tb_Activiteiten[[#Headers],[Niet verrekenbare btw]],""))</f>
        <v/>
      </c>
      <c r="AU817" t="str">
        <f>IF(ISNUMBER(FIND("overige",Methode_Keuze)),"",IF(Tb_Activiteiten[[#This Row],[Grondkosten]]=1,Tb_Activiteiten[[#Headers],[Grondkosten]],""))</f>
        <v/>
      </c>
      <c r="AV817" t="str">
        <f>IF(ISNUMBER(FIND("overige",Methode_Keuze)),"",IF(Tb_Activiteiten[[#This Row],[Bijdrage in natura (overige)]]=1,Tb_Activiteiten[[#Headers],[Bijdrage in natura (overige)]],""))</f>
        <v/>
      </c>
      <c r="AW817" t="str">
        <f>IF(ISNUMBER(FIND("overige",Methode_Keuze)),"",IF(Tb_Activiteiten[[#This Row],[Bijdrage in natura (vrijwilligers)]]=1,Tb_Activiteiten[[#Headers],[Bijdrage in natura (vrijwilligers)]],""))</f>
        <v/>
      </c>
      <c r="AX817" t="str">
        <f>IF(ISNUMBER(FIND("overige",Methode_Keuze)),"",IF(Tb_Activiteiten[[#This Row],[Afschrijvingskosten]]=1,Tb_Activiteiten[[#Headers],[Afschrijvingskosten]],""))</f>
        <v/>
      </c>
      <c r="AY817" t="str">
        <f>IF(ISNUMBER(FIND("overige",Methode_Keuze)),"",IF(Tb_Activiteiten[[#This Row],[Vergoeding]]=1,Tb_Activiteiten[[#Headers],[Vergoeding]],""))</f>
        <v/>
      </c>
      <c r="AZ817" t="str">
        <f>IF(ISNUMBER(FIND("arbeid",Methode_Keuze)),"",IF(Tb_Activiteiten[[#This Row],[Arbeidskosten - vast tarief (excl eigen arbeid)]]=1,Tb_Activiteiten[[#Headers],[Arbeidskosten - vast tarief (excl eigen arbeid)]],""))</f>
        <v/>
      </c>
      <c r="BA817" t="str">
        <f>IF(ISNUMBER(FIND("overige",Methode_Keuze)),"",IF(Tb_Activiteiten[[#This Row],[Overige kosten]]=1,Tb_Activiteiten[[#Headers],[Overige kosten]],""))</f>
        <v/>
      </c>
    </row>
    <row r="818" spans="1:53" x14ac:dyDescent="0.25">
      <c r="A818" s="231"/>
      <c r="F818" s="64"/>
      <c r="G818" s="64"/>
      <c r="H818" s="275"/>
      <c r="I818" s="275"/>
      <c r="J818" s="275"/>
      <c r="K818" s="275"/>
      <c r="O818" s="56"/>
      <c r="Q818" t="str">
        <f>IFERROR(IF(VLOOKUP(Tb_Activiteiten[[#This Row],[Openstelling]],Tb_Openstelling[],2,0)=1,1,""),"")</f>
        <v/>
      </c>
      <c r="AK818" t="str">
        <f>IF(ISNUMBER(FIND("arbeid",Methode_Keuze)),"",IF(ISNUMBER(FIND("arbeid",Methode_Keuze)),"",IF(Tb_Activiteiten[[#This Row],[Loonkosten]]=1,Tb_Activiteiten[[#Headers],[Loonkosten]],"")))</f>
        <v/>
      </c>
      <c r="AL818" t="str">
        <f>IF(ISNUMBER(FIND("arbeid",Methode_Keuze)),"",IF(ISNUMBER(FIND("arbeid",Methode_Keuze)),"",IF(Tb_Activiteiten[[#This Row],[Eigen arbeid]]=1,Tb_Activiteiten[[#Headers],[Eigen arbeid]],"")))</f>
        <v/>
      </c>
      <c r="AM818" t="str">
        <f>IF(ISNUMBER(FIND("arbeid",Methode_Keuze)),"",IF(ISNUMBER(FIND("arbeid",Methode_Keuze)),"",IF(Tb_Activiteiten[[#This Row],[Projectmedewerker]]=1,Tb_Activiteiten[[#Headers],[Projectmedewerker]],"")))</f>
        <v/>
      </c>
      <c r="AN818" t="str">
        <f>IF(ISNUMBER(FIND("arbeid",Methode_Keuze)),"",IF(ISNUMBER(FIND("arbeid",Methode_Keuze)),"",IF(Tb_Activiteiten[[#This Row],[Landbouwer]]=1,Tb_Activiteiten[[#Headers],[Landbouwer]],"")))</f>
        <v/>
      </c>
      <c r="AO818" t="str">
        <f>IF(ISNUMBER(FIND("arbeid",Methode_Keuze)),"",IF(ISNUMBER(FIND("arbeid",Methode_Keuze)),"",IF(Tb_Activiteiten[[#This Row],[Adviseur]]=1,Tb_Activiteiten[[#Headers],[Adviseur]],"")))</f>
        <v/>
      </c>
      <c r="AP818" t="str">
        <f>IF(ISNUMBER(FIND("arbeid",Methode_Keuze)),"",IF(ISNUMBER(FIND("arbeid",Methode_Keuze)),"",IF(Tb_Activiteiten[[#This Row],[Projectleider/Expert]]=1,Tb_Activiteiten[[#Headers],[Projectleider/Expert]],"")))</f>
        <v/>
      </c>
      <c r="AQ818" t="str">
        <f>IF(ISNUMBER(FIND("arbeid",Methode_Keuze)),"",IF(ISNUMBER(FIND("arbeid",Methode_Keuze)),"",IF(Tb_Activiteiten[[#This Row],[Arbeidskosten]]=1,Tb_Activiteiten[[#Headers],[Arbeidskosten]],"")))</f>
        <v/>
      </c>
      <c r="AR818" t="str">
        <f>IF(ISNUMBER(FIND("arbeid",Methode_Keuze)),"",IF(ISNUMBER(FIND("arbeid",Methode_Keuze)),"",IF(Tb_Activiteiten[[#This Row],[Arbeidskosten op basis van IKS]]=1,Tb_Activiteiten[[#Headers],[Arbeidskosten op basis van IKS]],"")))</f>
        <v/>
      </c>
      <c r="AS818" t="str">
        <f>IF(ISNUMBER(FIND("overige",Methode_Keuze)),"",IF(Tb_Activiteiten[[#This Row],[Kosten derden exclusief btw]]=1,Tb_Activiteiten[[#Headers],[Kosten derden exclusief btw]],""))</f>
        <v/>
      </c>
      <c r="AT818" t="str">
        <f>IF(ISNUMBER(FIND("overige",Methode_Keuze)),"",IF(Tb_Activiteiten[[#This Row],[Niet verrekenbare btw]]=1,Tb_Activiteiten[[#Headers],[Niet verrekenbare btw]],""))</f>
        <v/>
      </c>
      <c r="AU818" t="str">
        <f>IF(ISNUMBER(FIND("overige",Methode_Keuze)),"",IF(Tb_Activiteiten[[#This Row],[Grondkosten]]=1,Tb_Activiteiten[[#Headers],[Grondkosten]],""))</f>
        <v/>
      </c>
      <c r="AV818" t="str">
        <f>IF(ISNUMBER(FIND("overige",Methode_Keuze)),"",IF(Tb_Activiteiten[[#This Row],[Bijdrage in natura (overige)]]=1,Tb_Activiteiten[[#Headers],[Bijdrage in natura (overige)]],""))</f>
        <v/>
      </c>
      <c r="AW818" t="str">
        <f>IF(ISNUMBER(FIND("overige",Methode_Keuze)),"",IF(Tb_Activiteiten[[#This Row],[Bijdrage in natura (vrijwilligers)]]=1,Tb_Activiteiten[[#Headers],[Bijdrage in natura (vrijwilligers)]],""))</f>
        <v/>
      </c>
      <c r="AX818" t="str">
        <f>IF(ISNUMBER(FIND("overige",Methode_Keuze)),"",IF(Tb_Activiteiten[[#This Row],[Afschrijvingskosten]]=1,Tb_Activiteiten[[#Headers],[Afschrijvingskosten]],""))</f>
        <v/>
      </c>
      <c r="AY818" t="str">
        <f>IF(ISNUMBER(FIND("overige",Methode_Keuze)),"",IF(Tb_Activiteiten[[#This Row],[Vergoeding]]=1,Tb_Activiteiten[[#Headers],[Vergoeding]],""))</f>
        <v/>
      </c>
      <c r="AZ818" t="str">
        <f>IF(ISNUMBER(FIND("arbeid",Methode_Keuze)),"",IF(Tb_Activiteiten[[#This Row],[Arbeidskosten - vast tarief (excl eigen arbeid)]]=1,Tb_Activiteiten[[#Headers],[Arbeidskosten - vast tarief (excl eigen arbeid)]],""))</f>
        <v/>
      </c>
      <c r="BA818" t="str">
        <f>IF(ISNUMBER(FIND("overige",Methode_Keuze)),"",IF(Tb_Activiteiten[[#This Row],[Overige kosten]]=1,Tb_Activiteiten[[#Headers],[Overige kosten]],""))</f>
        <v/>
      </c>
    </row>
    <row r="819" spans="1:53" x14ac:dyDescent="0.25">
      <c r="A819" s="231"/>
      <c r="F819" s="64"/>
      <c r="G819" s="64"/>
      <c r="H819" s="275"/>
      <c r="I819" s="275"/>
      <c r="J819" s="275"/>
      <c r="K819" s="275"/>
      <c r="O819" s="56"/>
      <c r="Q819" t="str">
        <f>IFERROR(IF(VLOOKUP(Tb_Activiteiten[[#This Row],[Openstelling]],Tb_Openstelling[],2,0)=1,1,""),"")</f>
        <v/>
      </c>
      <c r="AK819" t="str">
        <f>IF(ISNUMBER(FIND("arbeid",Methode_Keuze)),"",IF(ISNUMBER(FIND("arbeid",Methode_Keuze)),"",IF(Tb_Activiteiten[[#This Row],[Loonkosten]]=1,Tb_Activiteiten[[#Headers],[Loonkosten]],"")))</f>
        <v/>
      </c>
      <c r="AL819" t="str">
        <f>IF(ISNUMBER(FIND("arbeid",Methode_Keuze)),"",IF(ISNUMBER(FIND("arbeid",Methode_Keuze)),"",IF(Tb_Activiteiten[[#This Row],[Eigen arbeid]]=1,Tb_Activiteiten[[#Headers],[Eigen arbeid]],"")))</f>
        <v/>
      </c>
      <c r="AM819" t="str">
        <f>IF(ISNUMBER(FIND("arbeid",Methode_Keuze)),"",IF(ISNUMBER(FIND("arbeid",Methode_Keuze)),"",IF(Tb_Activiteiten[[#This Row],[Projectmedewerker]]=1,Tb_Activiteiten[[#Headers],[Projectmedewerker]],"")))</f>
        <v/>
      </c>
      <c r="AN819" t="str">
        <f>IF(ISNUMBER(FIND("arbeid",Methode_Keuze)),"",IF(ISNUMBER(FIND("arbeid",Methode_Keuze)),"",IF(Tb_Activiteiten[[#This Row],[Landbouwer]]=1,Tb_Activiteiten[[#Headers],[Landbouwer]],"")))</f>
        <v/>
      </c>
      <c r="AO819" t="str">
        <f>IF(ISNUMBER(FIND("arbeid",Methode_Keuze)),"",IF(ISNUMBER(FIND("arbeid",Methode_Keuze)),"",IF(Tb_Activiteiten[[#This Row],[Adviseur]]=1,Tb_Activiteiten[[#Headers],[Adviseur]],"")))</f>
        <v/>
      </c>
      <c r="AP819" t="str">
        <f>IF(ISNUMBER(FIND("arbeid",Methode_Keuze)),"",IF(ISNUMBER(FIND("arbeid",Methode_Keuze)),"",IF(Tb_Activiteiten[[#This Row],[Projectleider/Expert]]=1,Tb_Activiteiten[[#Headers],[Projectleider/Expert]],"")))</f>
        <v/>
      </c>
      <c r="AQ819" t="str">
        <f>IF(ISNUMBER(FIND("arbeid",Methode_Keuze)),"",IF(ISNUMBER(FIND("arbeid",Methode_Keuze)),"",IF(Tb_Activiteiten[[#This Row],[Arbeidskosten]]=1,Tb_Activiteiten[[#Headers],[Arbeidskosten]],"")))</f>
        <v/>
      </c>
      <c r="AR819" t="str">
        <f>IF(ISNUMBER(FIND("arbeid",Methode_Keuze)),"",IF(ISNUMBER(FIND("arbeid",Methode_Keuze)),"",IF(Tb_Activiteiten[[#This Row],[Arbeidskosten op basis van IKS]]=1,Tb_Activiteiten[[#Headers],[Arbeidskosten op basis van IKS]],"")))</f>
        <v/>
      </c>
      <c r="AS819" t="str">
        <f>IF(ISNUMBER(FIND("overige",Methode_Keuze)),"",IF(Tb_Activiteiten[[#This Row],[Kosten derden exclusief btw]]=1,Tb_Activiteiten[[#Headers],[Kosten derden exclusief btw]],""))</f>
        <v/>
      </c>
      <c r="AT819" t="str">
        <f>IF(ISNUMBER(FIND("overige",Methode_Keuze)),"",IF(Tb_Activiteiten[[#This Row],[Niet verrekenbare btw]]=1,Tb_Activiteiten[[#Headers],[Niet verrekenbare btw]],""))</f>
        <v/>
      </c>
      <c r="AU819" t="str">
        <f>IF(ISNUMBER(FIND("overige",Methode_Keuze)),"",IF(Tb_Activiteiten[[#This Row],[Grondkosten]]=1,Tb_Activiteiten[[#Headers],[Grondkosten]],""))</f>
        <v/>
      </c>
      <c r="AV819" t="str">
        <f>IF(ISNUMBER(FIND("overige",Methode_Keuze)),"",IF(Tb_Activiteiten[[#This Row],[Bijdrage in natura (overige)]]=1,Tb_Activiteiten[[#Headers],[Bijdrage in natura (overige)]],""))</f>
        <v/>
      </c>
      <c r="AW819" t="str">
        <f>IF(ISNUMBER(FIND("overige",Methode_Keuze)),"",IF(Tb_Activiteiten[[#This Row],[Bijdrage in natura (vrijwilligers)]]=1,Tb_Activiteiten[[#Headers],[Bijdrage in natura (vrijwilligers)]],""))</f>
        <v/>
      </c>
      <c r="AX819" t="str">
        <f>IF(ISNUMBER(FIND("overige",Methode_Keuze)),"",IF(Tb_Activiteiten[[#This Row],[Afschrijvingskosten]]=1,Tb_Activiteiten[[#Headers],[Afschrijvingskosten]],""))</f>
        <v/>
      </c>
      <c r="AY819" t="str">
        <f>IF(ISNUMBER(FIND("overige",Methode_Keuze)),"",IF(Tb_Activiteiten[[#This Row],[Vergoeding]]=1,Tb_Activiteiten[[#Headers],[Vergoeding]],""))</f>
        <v/>
      </c>
      <c r="AZ819" t="str">
        <f>IF(ISNUMBER(FIND("arbeid",Methode_Keuze)),"",IF(Tb_Activiteiten[[#This Row],[Arbeidskosten - vast tarief (excl eigen arbeid)]]=1,Tb_Activiteiten[[#Headers],[Arbeidskosten - vast tarief (excl eigen arbeid)]],""))</f>
        <v/>
      </c>
      <c r="BA819" t="str">
        <f>IF(ISNUMBER(FIND("overige",Methode_Keuze)),"",IF(Tb_Activiteiten[[#This Row],[Overige kosten]]=1,Tb_Activiteiten[[#Headers],[Overige kosten]],""))</f>
        <v/>
      </c>
    </row>
    <row r="820" spans="1:53" x14ac:dyDescent="0.25">
      <c r="A820" s="231"/>
      <c r="F820" s="64"/>
      <c r="G820" s="64"/>
      <c r="H820" s="275"/>
      <c r="I820" s="275"/>
      <c r="J820" s="275"/>
      <c r="K820" s="275"/>
      <c r="O820" s="56"/>
      <c r="Q820" t="str">
        <f>IFERROR(IF(VLOOKUP(Tb_Activiteiten[[#This Row],[Openstelling]],Tb_Openstelling[],2,0)=1,1,""),"")</f>
        <v/>
      </c>
      <c r="AK820" t="str">
        <f>IF(ISNUMBER(FIND("arbeid",Methode_Keuze)),"",IF(ISNUMBER(FIND("arbeid",Methode_Keuze)),"",IF(Tb_Activiteiten[[#This Row],[Loonkosten]]=1,Tb_Activiteiten[[#Headers],[Loonkosten]],"")))</f>
        <v/>
      </c>
      <c r="AL820" t="str">
        <f>IF(ISNUMBER(FIND("arbeid",Methode_Keuze)),"",IF(ISNUMBER(FIND("arbeid",Methode_Keuze)),"",IF(Tb_Activiteiten[[#This Row],[Eigen arbeid]]=1,Tb_Activiteiten[[#Headers],[Eigen arbeid]],"")))</f>
        <v/>
      </c>
      <c r="AM820" t="str">
        <f>IF(ISNUMBER(FIND("arbeid",Methode_Keuze)),"",IF(ISNUMBER(FIND("arbeid",Methode_Keuze)),"",IF(Tb_Activiteiten[[#This Row],[Projectmedewerker]]=1,Tb_Activiteiten[[#Headers],[Projectmedewerker]],"")))</f>
        <v/>
      </c>
      <c r="AN820" t="str">
        <f>IF(ISNUMBER(FIND("arbeid",Methode_Keuze)),"",IF(ISNUMBER(FIND("arbeid",Methode_Keuze)),"",IF(Tb_Activiteiten[[#This Row],[Landbouwer]]=1,Tb_Activiteiten[[#Headers],[Landbouwer]],"")))</f>
        <v/>
      </c>
      <c r="AO820" t="str">
        <f>IF(ISNUMBER(FIND("arbeid",Methode_Keuze)),"",IF(ISNUMBER(FIND("arbeid",Methode_Keuze)),"",IF(Tb_Activiteiten[[#This Row],[Adviseur]]=1,Tb_Activiteiten[[#Headers],[Adviseur]],"")))</f>
        <v/>
      </c>
      <c r="AP820" t="str">
        <f>IF(ISNUMBER(FIND("arbeid",Methode_Keuze)),"",IF(ISNUMBER(FIND("arbeid",Methode_Keuze)),"",IF(Tb_Activiteiten[[#This Row],[Projectleider/Expert]]=1,Tb_Activiteiten[[#Headers],[Projectleider/Expert]],"")))</f>
        <v/>
      </c>
      <c r="AQ820" t="str">
        <f>IF(ISNUMBER(FIND("arbeid",Methode_Keuze)),"",IF(ISNUMBER(FIND("arbeid",Methode_Keuze)),"",IF(Tb_Activiteiten[[#This Row],[Arbeidskosten]]=1,Tb_Activiteiten[[#Headers],[Arbeidskosten]],"")))</f>
        <v/>
      </c>
      <c r="AR820" t="str">
        <f>IF(ISNUMBER(FIND("arbeid",Methode_Keuze)),"",IF(ISNUMBER(FIND("arbeid",Methode_Keuze)),"",IF(Tb_Activiteiten[[#This Row],[Arbeidskosten op basis van IKS]]=1,Tb_Activiteiten[[#Headers],[Arbeidskosten op basis van IKS]],"")))</f>
        <v/>
      </c>
      <c r="AS820" t="str">
        <f>IF(ISNUMBER(FIND("overige",Methode_Keuze)),"",IF(Tb_Activiteiten[[#This Row],[Kosten derden exclusief btw]]=1,Tb_Activiteiten[[#Headers],[Kosten derden exclusief btw]],""))</f>
        <v/>
      </c>
      <c r="AT820" t="str">
        <f>IF(ISNUMBER(FIND("overige",Methode_Keuze)),"",IF(Tb_Activiteiten[[#This Row],[Niet verrekenbare btw]]=1,Tb_Activiteiten[[#Headers],[Niet verrekenbare btw]],""))</f>
        <v/>
      </c>
      <c r="AU820" t="str">
        <f>IF(ISNUMBER(FIND("overige",Methode_Keuze)),"",IF(Tb_Activiteiten[[#This Row],[Grondkosten]]=1,Tb_Activiteiten[[#Headers],[Grondkosten]],""))</f>
        <v/>
      </c>
      <c r="AV820" t="str">
        <f>IF(ISNUMBER(FIND("overige",Methode_Keuze)),"",IF(Tb_Activiteiten[[#This Row],[Bijdrage in natura (overige)]]=1,Tb_Activiteiten[[#Headers],[Bijdrage in natura (overige)]],""))</f>
        <v/>
      </c>
      <c r="AW820" t="str">
        <f>IF(ISNUMBER(FIND("overige",Methode_Keuze)),"",IF(Tb_Activiteiten[[#This Row],[Bijdrage in natura (vrijwilligers)]]=1,Tb_Activiteiten[[#Headers],[Bijdrage in natura (vrijwilligers)]],""))</f>
        <v/>
      </c>
      <c r="AX820" t="str">
        <f>IF(ISNUMBER(FIND("overige",Methode_Keuze)),"",IF(Tb_Activiteiten[[#This Row],[Afschrijvingskosten]]=1,Tb_Activiteiten[[#Headers],[Afschrijvingskosten]],""))</f>
        <v/>
      </c>
      <c r="AY820" t="str">
        <f>IF(ISNUMBER(FIND("overige",Methode_Keuze)),"",IF(Tb_Activiteiten[[#This Row],[Vergoeding]]=1,Tb_Activiteiten[[#Headers],[Vergoeding]],""))</f>
        <v/>
      </c>
      <c r="AZ820" t="str">
        <f>IF(ISNUMBER(FIND("arbeid",Methode_Keuze)),"",IF(Tb_Activiteiten[[#This Row],[Arbeidskosten - vast tarief (excl eigen arbeid)]]=1,Tb_Activiteiten[[#Headers],[Arbeidskosten - vast tarief (excl eigen arbeid)]],""))</f>
        <v/>
      </c>
      <c r="BA820" t="str">
        <f>IF(ISNUMBER(FIND("overige",Methode_Keuze)),"",IF(Tb_Activiteiten[[#This Row],[Overige kosten]]=1,Tb_Activiteiten[[#Headers],[Overige kosten]],""))</f>
        <v/>
      </c>
    </row>
    <row r="821" spans="1:53" x14ac:dyDescent="0.25">
      <c r="A821" s="231"/>
      <c r="F821" s="64"/>
      <c r="G821" s="64"/>
      <c r="H821" s="275"/>
      <c r="I821" s="275"/>
      <c r="J821" s="275"/>
      <c r="K821" s="275"/>
      <c r="O821" s="56"/>
      <c r="Q821" t="str">
        <f>IFERROR(IF(VLOOKUP(Tb_Activiteiten[[#This Row],[Openstelling]],Tb_Openstelling[],2,0)=1,1,""),"")</f>
        <v/>
      </c>
      <c r="AK821" t="str">
        <f>IF(ISNUMBER(FIND("arbeid",Methode_Keuze)),"",IF(ISNUMBER(FIND("arbeid",Methode_Keuze)),"",IF(Tb_Activiteiten[[#This Row],[Loonkosten]]=1,Tb_Activiteiten[[#Headers],[Loonkosten]],"")))</f>
        <v/>
      </c>
      <c r="AL821" t="str">
        <f>IF(ISNUMBER(FIND("arbeid",Methode_Keuze)),"",IF(ISNUMBER(FIND("arbeid",Methode_Keuze)),"",IF(Tb_Activiteiten[[#This Row],[Eigen arbeid]]=1,Tb_Activiteiten[[#Headers],[Eigen arbeid]],"")))</f>
        <v/>
      </c>
      <c r="AM821" t="str">
        <f>IF(ISNUMBER(FIND("arbeid",Methode_Keuze)),"",IF(ISNUMBER(FIND("arbeid",Methode_Keuze)),"",IF(Tb_Activiteiten[[#This Row],[Projectmedewerker]]=1,Tb_Activiteiten[[#Headers],[Projectmedewerker]],"")))</f>
        <v/>
      </c>
      <c r="AN821" t="str">
        <f>IF(ISNUMBER(FIND("arbeid",Methode_Keuze)),"",IF(ISNUMBER(FIND("arbeid",Methode_Keuze)),"",IF(Tb_Activiteiten[[#This Row],[Landbouwer]]=1,Tb_Activiteiten[[#Headers],[Landbouwer]],"")))</f>
        <v/>
      </c>
      <c r="AO821" t="str">
        <f>IF(ISNUMBER(FIND("arbeid",Methode_Keuze)),"",IF(ISNUMBER(FIND("arbeid",Methode_Keuze)),"",IF(Tb_Activiteiten[[#This Row],[Adviseur]]=1,Tb_Activiteiten[[#Headers],[Adviseur]],"")))</f>
        <v/>
      </c>
      <c r="AP821" t="str">
        <f>IF(ISNUMBER(FIND("arbeid",Methode_Keuze)),"",IF(ISNUMBER(FIND("arbeid",Methode_Keuze)),"",IF(Tb_Activiteiten[[#This Row],[Projectleider/Expert]]=1,Tb_Activiteiten[[#Headers],[Projectleider/Expert]],"")))</f>
        <v/>
      </c>
      <c r="AQ821" t="str">
        <f>IF(ISNUMBER(FIND("arbeid",Methode_Keuze)),"",IF(ISNUMBER(FIND("arbeid",Methode_Keuze)),"",IF(Tb_Activiteiten[[#This Row],[Arbeidskosten]]=1,Tb_Activiteiten[[#Headers],[Arbeidskosten]],"")))</f>
        <v/>
      </c>
      <c r="AR821" t="str">
        <f>IF(ISNUMBER(FIND("arbeid",Methode_Keuze)),"",IF(ISNUMBER(FIND("arbeid",Methode_Keuze)),"",IF(Tb_Activiteiten[[#This Row],[Arbeidskosten op basis van IKS]]=1,Tb_Activiteiten[[#Headers],[Arbeidskosten op basis van IKS]],"")))</f>
        <v/>
      </c>
      <c r="AS821" t="str">
        <f>IF(ISNUMBER(FIND("overige",Methode_Keuze)),"",IF(Tb_Activiteiten[[#This Row],[Kosten derden exclusief btw]]=1,Tb_Activiteiten[[#Headers],[Kosten derden exclusief btw]],""))</f>
        <v/>
      </c>
      <c r="AT821" t="str">
        <f>IF(ISNUMBER(FIND("overige",Methode_Keuze)),"",IF(Tb_Activiteiten[[#This Row],[Niet verrekenbare btw]]=1,Tb_Activiteiten[[#Headers],[Niet verrekenbare btw]],""))</f>
        <v/>
      </c>
      <c r="AU821" t="str">
        <f>IF(ISNUMBER(FIND("overige",Methode_Keuze)),"",IF(Tb_Activiteiten[[#This Row],[Grondkosten]]=1,Tb_Activiteiten[[#Headers],[Grondkosten]],""))</f>
        <v/>
      </c>
      <c r="AV821" t="str">
        <f>IF(ISNUMBER(FIND("overige",Methode_Keuze)),"",IF(Tb_Activiteiten[[#This Row],[Bijdrage in natura (overige)]]=1,Tb_Activiteiten[[#Headers],[Bijdrage in natura (overige)]],""))</f>
        <v/>
      </c>
      <c r="AW821" t="str">
        <f>IF(ISNUMBER(FIND("overige",Methode_Keuze)),"",IF(Tb_Activiteiten[[#This Row],[Bijdrage in natura (vrijwilligers)]]=1,Tb_Activiteiten[[#Headers],[Bijdrage in natura (vrijwilligers)]],""))</f>
        <v/>
      </c>
      <c r="AX821" t="str">
        <f>IF(ISNUMBER(FIND("overige",Methode_Keuze)),"",IF(Tb_Activiteiten[[#This Row],[Afschrijvingskosten]]=1,Tb_Activiteiten[[#Headers],[Afschrijvingskosten]],""))</f>
        <v/>
      </c>
      <c r="AY821" t="str">
        <f>IF(ISNUMBER(FIND("overige",Methode_Keuze)),"",IF(Tb_Activiteiten[[#This Row],[Vergoeding]]=1,Tb_Activiteiten[[#Headers],[Vergoeding]],""))</f>
        <v/>
      </c>
      <c r="AZ821" t="str">
        <f>IF(ISNUMBER(FIND("arbeid",Methode_Keuze)),"",IF(Tb_Activiteiten[[#This Row],[Arbeidskosten - vast tarief (excl eigen arbeid)]]=1,Tb_Activiteiten[[#Headers],[Arbeidskosten - vast tarief (excl eigen arbeid)]],""))</f>
        <v/>
      </c>
      <c r="BA821" t="str">
        <f>IF(ISNUMBER(FIND("overige",Methode_Keuze)),"",IF(Tb_Activiteiten[[#This Row],[Overige kosten]]=1,Tb_Activiteiten[[#Headers],[Overige kosten]],""))</f>
        <v/>
      </c>
    </row>
    <row r="822" spans="1:53" x14ac:dyDescent="0.25">
      <c r="A822" s="231"/>
      <c r="F822" s="64"/>
      <c r="G822" s="64"/>
      <c r="H822" s="275"/>
      <c r="I822" s="275"/>
      <c r="J822" s="275"/>
      <c r="K822" s="275"/>
      <c r="O822" s="56"/>
      <c r="Q822" t="str">
        <f>IFERROR(IF(VLOOKUP(Tb_Activiteiten[[#This Row],[Openstelling]],Tb_Openstelling[],2,0)=1,1,""),"")</f>
        <v/>
      </c>
      <c r="AK822" t="str">
        <f>IF(ISNUMBER(FIND("arbeid",Methode_Keuze)),"",IF(ISNUMBER(FIND("arbeid",Methode_Keuze)),"",IF(Tb_Activiteiten[[#This Row],[Loonkosten]]=1,Tb_Activiteiten[[#Headers],[Loonkosten]],"")))</f>
        <v/>
      </c>
      <c r="AL822" t="str">
        <f>IF(ISNUMBER(FIND("arbeid",Methode_Keuze)),"",IF(ISNUMBER(FIND("arbeid",Methode_Keuze)),"",IF(Tb_Activiteiten[[#This Row],[Eigen arbeid]]=1,Tb_Activiteiten[[#Headers],[Eigen arbeid]],"")))</f>
        <v/>
      </c>
      <c r="AM822" t="str">
        <f>IF(ISNUMBER(FIND("arbeid",Methode_Keuze)),"",IF(ISNUMBER(FIND("arbeid",Methode_Keuze)),"",IF(Tb_Activiteiten[[#This Row],[Projectmedewerker]]=1,Tb_Activiteiten[[#Headers],[Projectmedewerker]],"")))</f>
        <v/>
      </c>
      <c r="AN822" t="str">
        <f>IF(ISNUMBER(FIND("arbeid",Methode_Keuze)),"",IF(ISNUMBER(FIND("arbeid",Methode_Keuze)),"",IF(Tb_Activiteiten[[#This Row],[Landbouwer]]=1,Tb_Activiteiten[[#Headers],[Landbouwer]],"")))</f>
        <v/>
      </c>
      <c r="AO822" t="str">
        <f>IF(ISNUMBER(FIND("arbeid",Methode_Keuze)),"",IF(ISNUMBER(FIND("arbeid",Methode_Keuze)),"",IF(Tb_Activiteiten[[#This Row],[Adviseur]]=1,Tb_Activiteiten[[#Headers],[Adviseur]],"")))</f>
        <v/>
      </c>
      <c r="AP822" t="str">
        <f>IF(ISNUMBER(FIND("arbeid",Methode_Keuze)),"",IF(ISNUMBER(FIND("arbeid",Methode_Keuze)),"",IF(Tb_Activiteiten[[#This Row],[Projectleider/Expert]]=1,Tb_Activiteiten[[#Headers],[Projectleider/Expert]],"")))</f>
        <v/>
      </c>
      <c r="AQ822" t="str">
        <f>IF(ISNUMBER(FIND("arbeid",Methode_Keuze)),"",IF(ISNUMBER(FIND("arbeid",Methode_Keuze)),"",IF(Tb_Activiteiten[[#This Row],[Arbeidskosten]]=1,Tb_Activiteiten[[#Headers],[Arbeidskosten]],"")))</f>
        <v/>
      </c>
      <c r="AR822" t="str">
        <f>IF(ISNUMBER(FIND("arbeid",Methode_Keuze)),"",IF(ISNUMBER(FIND("arbeid",Methode_Keuze)),"",IF(Tb_Activiteiten[[#This Row],[Arbeidskosten op basis van IKS]]=1,Tb_Activiteiten[[#Headers],[Arbeidskosten op basis van IKS]],"")))</f>
        <v/>
      </c>
      <c r="AS822" t="str">
        <f>IF(ISNUMBER(FIND("overige",Methode_Keuze)),"",IF(Tb_Activiteiten[[#This Row],[Kosten derden exclusief btw]]=1,Tb_Activiteiten[[#Headers],[Kosten derden exclusief btw]],""))</f>
        <v/>
      </c>
      <c r="AT822" t="str">
        <f>IF(ISNUMBER(FIND("overige",Methode_Keuze)),"",IF(Tb_Activiteiten[[#This Row],[Niet verrekenbare btw]]=1,Tb_Activiteiten[[#Headers],[Niet verrekenbare btw]],""))</f>
        <v/>
      </c>
      <c r="AU822" t="str">
        <f>IF(ISNUMBER(FIND("overige",Methode_Keuze)),"",IF(Tb_Activiteiten[[#This Row],[Grondkosten]]=1,Tb_Activiteiten[[#Headers],[Grondkosten]],""))</f>
        <v/>
      </c>
      <c r="AV822" t="str">
        <f>IF(ISNUMBER(FIND("overige",Methode_Keuze)),"",IF(Tb_Activiteiten[[#This Row],[Bijdrage in natura (overige)]]=1,Tb_Activiteiten[[#Headers],[Bijdrage in natura (overige)]],""))</f>
        <v/>
      </c>
      <c r="AW822" t="str">
        <f>IF(ISNUMBER(FIND("overige",Methode_Keuze)),"",IF(Tb_Activiteiten[[#This Row],[Bijdrage in natura (vrijwilligers)]]=1,Tb_Activiteiten[[#Headers],[Bijdrage in natura (vrijwilligers)]],""))</f>
        <v/>
      </c>
      <c r="AX822" t="str">
        <f>IF(ISNUMBER(FIND("overige",Methode_Keuze)),"",IF(Tb_Activiteiten[[#This Row],[Afschrijvingskosten]]=1,Tb_Activiteiten[[#Headers],[Afschrijvingskosten]],""))</f>
        <v/>
      </c>
      <c r="AY822" t="str">
        <f>IF(ISNUMBER(FIND("overige",Methode_Keuze)),"",IF(Tb_Activiteiten[[#This Row],[Vergoeding]]=1,Tb_Activiteiten[[#Headers],[Vergoeding]],""))</f>
        <v/>
      </c>
      <c r="AZ822" t="str">
        <f>IF(ISNUMBER(FIND("arbeid",Methode_Keuze)),"",IF(Tb_Activiteiten[[#This Row],[Arbeidskosten - vast tarief (excl eigen arbeid)]]=1,Tb_Activiteiten[[#Headers],[Arbeidskosten - vast tarief (excl eigen arbeid)]],""))</f>
        <v/>
      </c>
      <c r="BA822" t="str">
        <f>IF(ISNUMBER(FIND("overige",Methode_Keuze)),"",IF(Tb_Activiteiten[[#This Row],[Overige kosten]]=1,Tb_Activiteiten[[#Headers],[Overige kosten]],""))</f>
        <v/>
      </c>
    </row>
    <row r="823" spans="1:53" x14ac:dyDescent="0.25">
      <c r="A823" s="231"/>
      <c r="F823" s="64"/>
      <c r="G823" s="64"/>
      <c r="H823" s="275"/>
      <c r="I823" s="275"/>
      <c r="J823" s="275"/>
      <c r="K823" s="275"/>
      <c r="O823" s="56"/>
      <c r="Q823" t="str">
        <f>IFERROR(IF(VLOOKUP(Tb_Activiteiten[[#This Row],[Openstelling]],Tb_Openstelling[],2,0)=1,1,""),"")</f>
        <v/>
      </c>
      <c r="AK823" t="str">
        <f>IF(ISNUMBER(FIND("arbeid",Methode_Keuze)),"",IF(ISNUMBER(FIND("arbeid",Methode_Keuze)),"",IF(Tb_Activiteiten[[#This Row],[Loonkosten]]=1,Tb_Activiteiten[[#Headers],[Loonkosten]],"")))</f>
        <v/>
      </c>
      <c r="AL823" t="str">
        <f>IF(ISNUMBER(FIND("arbeid",Methode_Keuze)),"",IF(ISNUMBER(FIND("arbeid",Methode_Keuze)),"",IF(Tb_Activiteiten[[#This Row],[Eigen arbeid]]=1,Tb_Activiteiten[[#Headers],[Eigen arbeid]],"")))</f>
        <v/>
      </c>
      <c r="AM823" t="str">
        <f>IF(ISNUMBER(FIND("arbeid",Methode_Keuze)),"",IF(ISNUMBER(FIND("arbeid",Methode_Keuze)),"",IF(Tb_Activiteiten[[#This Row],[Projectmedewerker]]=1,Tb_Activiteiten[[#Headers],[Projectmedewerker]],"")))</f>
        <v/>
      </c>
      <c r="AN823" t="str">
        <f>IF(ISNUMBER(FIND("arbeid",Methode_Keuze)),"",IF(ISNUMBER(FIND("arbeid",Methode_Keuze)),"",IF(Tb_Activiteiten[[#This Row],[Landbouwer]]=1,Tb_Activiteiten[[#Headers],[Landbouwer]],"")))</f>
        <v/>
      </c>
      <c r="AO823" t="str">
        <f>IF(ISNUMBER(FIND("arbeid",Methode_Keuze)),"",IF(ISNUMBER(FIND("arbeid",Methode_Keuze)),"",IF(Tb_Activiteiten[[#This Row],[Adviseur]]=1,Tb_Activiteiten[[#Headers],[Adviseur]],"")))</f>
        <v/>
      </c>
      <c r="AP823" t="str">
        <f>IF(ISNUMBER(FIND("arbeid",Methode_Keuze)),"",IF(ISNUMBER(FIND("arbeid",Methode_Keuze)),"",IF(Tb_Activiteiten[[#This Row],[Projectleider/Expert]]=1,Tb_Activiteiten[[#Headers],[Projectleider/Expert]],"")))</f>
        <v/>
      </c>
      <c r="AQ823" t="str">
        <f>IF(ISNUMBER(FIND("arbeid",Methode_Keuze)),"",IF(ISNUMBER(FIND("arbeid",Methode_Keuze)),"",IF(Tb_Activiteiten[[#This Row],[Arbeidskosten]]=1,Tb_Activiteiten[[#Headers],[Arbeidskosten]],"")))</f>
        <v/>
      </c>
      <c r="AR823" t="str">
        <f>IF(ISNUMBER(FIND("arbeid",Methode_Keuze)),"",IF(ISNUMBER(FIND("arbeid",Methode_Keuze)),"",IF(Tb_Activiteiten[[#This Row],[Arbeidskosten op basis van IKS]]=1,Tb_Activiteiten[[#Headers],[Arbeidskosten op basis van IKS]],"")))</f>
        <v/>
      </c>
      <c r="AS823" t="str">
        <f>IF(ISNUMBER(FIND("overige",Methode_Keuze)),"",IF(Tb_Activiteiten[[#This Row],[Kosten derden exclusief btw]]=1,Tb_Activiteiten[[#Headers],[Kosten derden exclusief btw]],""))</f>
        <v/>
      </c>
      <c r="AT823" t="str">
        <f>IF(ISNUMBER(FIND("overige",Methode_Keuze)),"",IF(Tb_Activiteiten[[#This Row],[Niet verrekenbare btw]]=1,Tb_Activiteiten[[#Headers],[Niet verrekenbare btw]],""))</f>
        <v/>
      </c>
      <c r="AU823" t="str">
        <f>IF(ISNUMBER(FIND("overige",Methode_Keuze)),"",IF(Tb_Activiteiten[[#This Row],[Grondkosten]]=1,Tb_Activiteiten[[#Headers],[Grondkosten]],""))</f>
        <v/>
      </c>
      <c r="AV823" t="str">
        <f>IF(ISNUMBER(FIND("overige",Methode_Keuze)),"",IF(Tb_Activiteiten[[#This Row],[Bijdrage in natura (overige)]]=1,Tb_Activiteiten[[#Headers],[Bijdrage in natura (overige)]],""))</f>
        <v/>
      </c>
      <c r="AW823" t="str">
        <f>IF(ISNUMBER(FIND("overige",Methode_Keuze)),"",IF(Tb_Activiteiten[[#This Row],[Bijdrage in natura (vrijwilligers)]]=1,Tb_Activiteiten[[#Headers],[Bijdrage in natura (vrijwilligers)]],""))</f>
        <v/>
      </c>
      <c r="AX823" t="str">
        <f>IF(ISNUMBER(FIND("overige",Methode_Keuze)),"",IF(Tb_Activiteiten[[#This Row],[Afschrijvingskosten]]=1,Tb_Activiteiten[[#Headers],[Afschrijvingskosten]],""))</f>
        <v/>
      </c>
      <c r="AY823" t="str">
        <f>IF(ISNUMBER(FIND("overige",Methode_Keuze)),"",IF(Tb_Activiteiten[[#This Row],[Vergoeding]]=1,Tb_Activiteiten[[#Headers],[Vergoeding]],""))</f>
        <v/>
      </c>
      <c r="AZ823" t="str">
        <f>IF(ISNUMBER(FIND("arbeid",Methode_Keuze)),"",IF(Tb_Activiteiten[[#This Row],[Arbeidskosten - vast tarief (excl eigen arbeid)]]=1,Tb_Activiteiten[[#Headers],[Arbeidskosten - vast tarief (excl eigen arbeid)]],""))</f>
        <v/>
      </c>
      <c r="BA823" t="str">
        <f>IF(ISNUMBER(FIND("overige",Methode_Keuze)),"",IF(Tb_Activiteiten[[#This Row],[Overige kosten]]=1,Tb_Activiteiten[[#Headers],[Overige kosten]],""))</f>
        <v/>
      </c>
    </row>
    <row r="824" spans="1:53" x14ac:dyDescent="0.25">
      <c r="A824" s="231"/>
      <c r="F824" s="64"/>
      <c r="G824" s="64"/>
      <c r="H824" s="275"/>
      <c r="I824" s="275"/>
      <c r="J824" s="275"/>
      <c r="K824" s="275"/>
      <c r="O824" s="56"/>
      <c r="Q824" t="str">
        <f>IFERROR(IF(VLOOKUP(Tb_Activiteiten[[#This Row],[Openstelling]],Tb_Openstelling[],2,0)=1,1,""),"")</f>
        <v/>
      </c>
      <c r="AK824" t="str">
        <f>IF(ISNUMBER(FIND("arbeid",Methode_Keuze)),"",IF(ISNUMBER(FIND("arbeid",Methode_Keuze)),"",IF(Tb_Activiteiten[[#This Row],[Loonkosten]]=1,Tb_Activiteiten[[#Headers],[Loonkosten]],"")))</f>
        <v/>
      </c>
      <c r="AL824" t="str">
        <f>IF(ISNUMBER(FIND("arbeid",Methode_Keuze)),"",IF(ISNUMBER(FIND("arbeid",Methode_Keuze)),"",IF(Tb_Activiteiten[[#This Row],[Eigen arbeid]]=1,Tb_Activiteiten[[#Headers],[Eigen arbeid]],"")))</f>
        <v/>
      </c>
      <c r="AM824" t="str">
        <f>IF(ISNUMBER(FIND("arbeid",Methode_Keuze)),"",IF(ISNUMBER(FIND("arbeid",Methode_Keuze)),"",IF(Tb_Activiteiten[[#This Row],[Projectmedewerker]]=1,Tb_Activiteiten[[#Headers],[Projectmedewerker]],"")))</f>
        <v/>
      </c>
      <c r="AN824" t="str">
        <f>IF(ISNUMBER(FIND("arbeid",Methode_Keuze)),"",IF(ISNUMBER(FIND("arbeid",Methode_Keuze)),"",IF(Tb_Activiteiten[[#This Row],[Landbouwer]]=1,Tb_Activiteiten[[#Headers],[Landbouwer]],"")))</f>
        <v/>
      </c>
      <c r="AO824" t="str">
        <f>IF(ISNUMBER(FIND("arbeid",Methode_Keuze)),"",IF(ISNUMBER(FIND("arbeid",Methode_Keuze)),"",IF(Tb_Activiteiten[[#This Row],[Adviseur]]=1,Tb_Activiteiten[[#Headers],[Adviseur]],"")))</f>
        <v/>
      </c>
      <c r="AP824" t="str">
        <f>IF(ISNUMBER(FIND("arbeid",Methode_Keuze)),"",IF(ISNUMBER(FIND("arbeid",Methode_Keuze)),"",IF(Tb_Activiteiten[[#This Row],[Projectleider/Expert]]=1,Tb_Activiteiten[[#Headers],[Projectleider/Expert]],"")))</f>
        <v/>
      </c>
      <c r="AQ824" t="str">
        <f>IF(ISNUMBER(FIND("arbeid",Methode_Keuze)),"",IF(ISNUMBER(FIND("arbeid",Methode_Keuze)),"",IF(Tb_Activiteiten[[#This Row],[Arbeidskosten]]=1,Tb_Activiteiten[[#Headers],[Arbeidskosten]],"")))</f>
        <v/>
      </c>
      <c r="AR824" t="str">
        <f>IF(ISNUMBER(FIND("arbeid",Methode_Keuze)),"",IF(ISNUMBER(FIND("arbeid",Methode_Keuze)),"",IF(Tb_Activiteiten[[#This Row],[Arbeidskosten op basis van IKS]]=1,Tb_Activiteiten[[#Headers],[Arbeidskosten op basis van IKS]],"")))</f>
        <v/>
      </c>
      <c r="AS824" t="str">
        <f>IF(ISNUMBER(FIND("overige",Methode_Keuze)),"",IF(Tb_Activiteiten[[#This Row],[Kosten derden exclusief btw]]=1,Tb_Activiteiten[[#Headers],[Kosten derden exclusief btw]],""))</f>
        <v/>
      </c>
      <c r="AT824" t="str">
        <f>IF(ISNUMBER(FIND("overige",Methode_Keuze)),"",IF(Tb_Activiteiten[[#This Row],[Niet verrekenbare btw]]=1,Tb_Activiteiten[[#Headers],[Niet verrekenbare btw]],""))</f>
        <v/>
      </c>
      <c r="AU824" t="str">
        <f>IF(ISNUMBER(FIND("overige",Methode_Keuze)),"",IF(Tb_Activiteiten[[#This Row],[Grondkosten]]=1,Tb_Activiteiten[[#Headers],[Grondkosten]],""))</f>
        <v/>
      </c>
      <c r="AV824" t="str">
        <f>IF(ISNUMBER(FIND("overige",Methode_Keuze)),"",IF(Tb_Activiteiten[[#This Row],[Bijdrage in natura (overige)]]=1,Tb_Activiteiten[[#Headers],[Bijdrage in natura (overige)]],""))</f>
        <v/>
      </c>
      <c r="AW824" t="str">
        <f>IF(ISNUMBER(FIND("overige",Methode_Keuze)),"",IF(Tb_Activiteiten[[#This Row],[Bijdrage in natura (vrijwilligers)]]=1,Tb_Activiteiten[[#Headers],[Bijdrage in natura (vrijwilligers)]],""))</f>
        <v/>
      </c>
      <c r="AX824" t="str">
        <f>IF(ISNUMBER(FIND("overige",Methode_Keuze)),"",IF(Tb_Activiteiten[[#This Row],[Afschrijvingskosten]]=1,Tb_Activiteiten[[#Headers],[Afschrijvingskosten]],""))</f>
        <v/>
      </c>
      <c r="AY824" t="str">
        <f>IF(ISNUMBER(FIND("overige",Methode_Keuze)),"",IF(Tb_Activiteiten[[#This Row],[Vergoeding]]=1,Tb_Activiteiten[[#Headers],[Vergoeding]],""))</f>
        <v/>
      </c>
      <c r="AZ824" t="str">
        <f>IF(ISNUMBER(FIND("arbeid",Methode_Keuze)),"",IF(Tb_Activiteiten[[#This Row],[Arbeidskosten - vast tarief (excl eigen arbeid)]]=1,Tb_Activiteiten[[#Headers],[Arbeidskosten - vast tarief (excl eigen arbeid)]],""))</f>
        <v/>
      </c>
      <c r="BA824" t="str">
        <f>IF(ISNUMBER(FIND("overige",Methode_Keuze)),"",IF(Tb_Activiteiten[[#This Row],[Overige kosten]]=1,Tb_Activiteiten[[#Headers],[Overige kosten]],""))</f>
        <v/>
      </c>
    </row>
    <row r="825" spans="1:53" x14ac:dyDescent="0.25">
      <c r="A825" s="231"/>
      <c r="F825" s="64"/>
      <c r="G825" s="64"/>
      <c r="H825" s="275"/>
      <c r="I825" s="275"/>
      <c r="J825" s="275"/>
      <c r="K825" s="275"/>
      <c r="O825" s="56"/>
      <c r="Q825" t="str">
        <f>IFERROR(IF(VLOOKUP(Tb_Activiteiten[[#This Row],[Openstelling]],Tb_Openstelling[],2,0)=1,1,""),"")</f>
        <v/>
      </c>
      <c r="AK825" t="str">
        <f>IF(ISNUMBER(FIND("arbeid",Methode_Keuze)),"",IF(ISNUMBER(FIND("arbeid",Methode_Keuze)),"",IF(Tb_Activiteiten[[#This Row],[Loonkosten]]=1,Tb_Activiteiten[[#Headers],[Loonkosten]],"")))</f>
        <v/>
      </c>
      <c r="AL825" t="str">
        <f>IF(ISNUMBER(FIND("arbeid",Methode_Keuze)),"",IF(ISNUMBER(FIND("arbeid",Methode_Keuze)),"",IF(Tb_Activiteiten[[#This Row],[Eigen arbeid]]=1,Tb_Activiteiten[[#Headers],[Eigen arbeid]],"")))</f>
        <v/>
      </c>
      <c r="AM825" t="str">
        <f>IF(ISNUMBER(FIND("arbeid",Methode_Keuze)),"",IF(ISNUMBER(FIND("arbeid",Methode_Keuze)),"",IF(Tb_Activiteiten[[#This Row],[Projectmedewerker]]=1,Tb_Activiteiten[[#Headers],[Projectmedewerker]],"")))</f>
        <v/>
      </c>
      <c r="AN825" t="str">
        <f>IF(ISNUMBER(FIND("arbeid",Methode_Keuze)),"",IF(ISNUMBER(FIND("arbeid",Methode_Keuze)),"",IF(Tb_Activiteiten[[#This Row],[Landbouwer]]=1,Tb_Activiteiten[[#Headers],[Landbouwer]],"")))</f>
        <v/>
      </c>
      <c r="AO825" t="str">
        <f>IF(ISNUMBER(FIND("arbeid",Methode_Keuze)),"",IF(ISNUMBER(FIND("arbeid",Methode_Keuze)),"",IF(Tb_Activiteiten[[#This Row],[Adviseur]]=1,Tb_Activiteiten[[#Headers],[Adviseur]],"")))</f>
        <v/>
      </c>
      <c r="AP825" t="str">
        <f>IF(ISNUMBER(FIND("arbeid",Methode_Keuze)),"",IF(ISNUMBER(FIND("arbeid",Methode_Keuze)),"",IF(Tb_Activiteiten[[#This Row],[Projectleider/Expert]]=1,Tb_Activiteiten[[#Headers],[Projectleider/Expert]],"")))</f>
        <v/>
      </c>
      <c r="AQ825" t="str">
        <f>IF(ISNUMBER(FIND("arbeid",Methode_Keuze)),"",IF(ISNUMBER(FIND("arbeid",Methode_Keuze)),"",IF(Tb_Activiteiten[[#This Row],[Arbeidskosten]]=1,Tb_Activiteiten[[#Headers],[Arbeidskosten]],"")))</f>
        <v/>
      </c>
      <c r="AR825" t="str">
        <f>IF(ISNUMBER(FIND("arbeid",Methode_Keuze)),"",IF(ISNUMBER(FIND("arbeid",Methode_Keuze)),"",IF(Tb_Activiteiten[[#This Row],[Arbeidskosten op basis van IKS]]=1,Tb_Activiteiten[[#Headers],[Arbeidskosten op basis van IKS]],"")))</f>
        <v/>
      </c>
      <c r="AS825" t="str">
        <f>IF(ISNUMBER(FIND("overige",Methode_Keuze)),"",IF(Tb_Activiteiten[[#This Row],[Kosten derden exclusief btw]]=1,Tb_Activiteiten[[#Headers],[Kosten derden exclusief btw]],""))</f>
        <v/>
      </c>
      <c r="AT825" t="str">
        <f>IF(ISNUMBER(FIND("overige",Methode_Keuze)),"",IF(Tb_Activiteiten[[#This Row],[Niet verrekenbare btw]]=1,Tb_Activiteiten[[#Headers],[Niet verrekenbare btw]],""))</f>
        <v/>
      </c>
      <c r="AU825" t="str">
        <f>IF(ISNUMBER(FIND("overige",Methode_Keuze)),"",IF(Tb_Activiteiten[[#This Row],[Grondkosten]]=1,Tb_Activiteiten[[#Headers],[Grondkosten]],""))</f>
        <v/>
      </c>
      <c r="AV825" t="str">
        <f>IF(ISNUMBER(FIND("overige",Methode_Keuze)),"",IF(Tb_Activiteiten[[#This Row],[Bijdrage in natura (overige)]]=1,Tb_Activiteiten[[#Headers],[Bijdrage in natura (overige)]],""))</f>
        <v/>
      </c>
      <c r="AW825" t="str">
        <f>IF(ISNUMBER(FIND("overige",Methode_Keuze)),"",IF(Tb_Activiteiten[[#This Row],[Bijdrage in natura (vrijwilligers)]]=1,Tb_Activiteiten[[#Headers],[Bijdrage in natura (vrijwilligers)]],""))</f>
        <v/>
      </c>
      <c r="AX825" t="str">
        <f>IF(ISNUMBER(FIND("overige",Methode_Keuze)),"",IF(Tb_Activiteiten[[#This Row],[Afschrijvingskosten]]=1,Tb_Activiteiten[[#Headers],[Afschrijvingskosten]],""))</f>
        <v/>
      </c>
      <c r="AY825" t="str">
        <f>IF(ISNUMBER(FIND("overige",Methode_Keuze)),"",IF(Tb_Activiteiten[[#This Row],[Vergoeding]]=1,Tb_Activiteiten[[#Headers],[Vergoeding]],""))</f>
        <v/>
      </c>
      <c r="AZ825" t="str">
        <f>IF(ISNUMBER(FIND("arbeid",Methode_Keuze)),"",IF(Tb_Activiteiten[[#This Row],[Arbeidskosten - vast tarief (excl eigen arbeid)]]=1,Tb_Activiteiten[[#Headers],[Arbeidskosten - vast tarief (excl eigen arbeid)]],""))</f>
        <v/>
      </c>
      <c r="BA825" t="str">
        <f>IF(ISNUMBER(FIND("overige",Methode_Keuze)),"",IF(Tb_Activiteiten[[#This Row],[Overige kosten]]=1,Tb_Activiteiten[[#Headers],[Overige kosten]],""))</f>
        <v/>
      </c>
    </row>
    <row r="826" spans="1:53" x14ac:dyDescent="0.25">
      <c r="A826" s="231"/>
      <c r="F826" s="64"/>
      <c r="G826" s="64"/>
      <c r="H826" s="275"/>
      <c r="I826" s="275"/>
      <c r="J826" s="275"/>
      <c r="K826" s="275"/>
      <c r="O826" s="56"/>
      <c r="Q826" t="str">
        <f>IFERROR(IF(VLOOKUP(Tb_Activiteiten[[#This Row],[Openstelling]],Tb_Openstelling[],2,0)=1,1,""),"")</f>
        <v/>
      </c>
      <c r="AK826" t="str">
        <f>IF(ISNUMBER(FIND("arbeid",Methode_Keuze)),"",IF(ISNUMBER(FIND("arbeid",Methode_Keuze)),"",IF(Tb_Activiteiten[[#This Row],[Loonkosten]]=1,Tb_Activiteiten[[#Headers],[Loonkosten]],"")))</f>
        <v/>
      </c>
      <c r="AL826" t="str">
        <f>IF(ISNUMBER(FIND("arbeid",Methode_Keuze)),"",IF(ISNUMBER(FIND("arbeid",Methode_Keuze)),"",IF(Tb_Activiteiten[[#This Row],[Eigen arbeid]]=1,Tb_Activiteiten[[#Headers],[Eigen arbeid]],"")))</f>
        <v/>
      </c>
      <c r="AM826" t="str">
        <f>IF(ISNUMBER(FIND("arbeid",Methode_Keuze)),"",IF(ISNUMBER(FIND("arbeid",Methode_Keuze)),"",IF(Tb_Activiteiten[[#This Row],[Projectmedewerker]]=1,Tb_Activiteiten[[#Headers],[Projectmedewerker]],"")))</f>
        <v/>
      </c>
      <c r="AN826" t="str">
        <f>IF(ISNUMBER(FIND("arbeid",Methode_Keuze)),"",IF(ISNUMBER(FIND("arbeid",Methode_Keuze)),"",IF(Tb_Activiteiten[[#This Row],[Landbouwer]]=1,Tb_Activiteiten[[#Headers],[Landbouwer]],"")))</f>
        <v/>
      </c>
      <c r="AO826" t="str">
        <f>IF(ISNUMBER(FIND("arbeid",Methode_Keuze)),"",IF(ISNUMBER(FIND("arbeid",Methode_Keuze)),"",IF(Tb_Activiteiten[[#This Row],[Adviseur]]=1,Tb_Activiteiten[[#Headers],[Adviseur]],"")))</f>
        <v/>
      </c>
      <c r="AP826" t="str">
        <f>IF(ISNUMBER(FIND("arbeid",Methode_Keuze)),"",IF(ISNUMBER(FIND("arbeid",Methode_Keuze)),"",IF(Tb_Activiteiten[[#This Row],[Projectleider/Expert]]=1,Tb_Activiteiten[[#Headers],[Projectleider/Expert]],"")))</f>
        <v/>
      </c>
      <c r="AQ826" t="str">
        <f>IF(ISNUMBER(FIND("arbeid",Methode_Keuze)),"",IF(ISNUMBER(FIND("arbeid",Methode_Keuze)),"",IF(Tb_Activiteiten[[#This Row],[Arbeidskosten]]=1,Tb_Activiteiten[[#Headers],[Arbeidskosten]],"")))</f>
        <v/>
      </c>
      <c r="AR826" t="str">
        <f>IF(ISNUMBER(FIND("arbeid",Methode_Keuze)),"",IF(ISNUMBER(FIND("arbeid",Methode_Keuze)),"",IF(Tb_Activiteiten[[#This Row],[Arbeidskosten op basis van IKS]]=1,Tb_Activiteiten[[#Headers],[Arbeidskosten op basis van IKS]],"")))</f>
        <v/>
      </c>
      <c r="AS826" t="str">
        <f>IF(ISNUMBER(FIND("overige",Methode_Keuze)),"",IF(Tb_Activiteiten[[#This Row],[Kosten derden exclusief btw]]=1,Tb_Activiteiten[[#Headers],[Kosten derden exclusief btw]],""))</f>
        <v/>
      </c>
      <c r="AT826" t="str">
        <f>IF(ISNUMBER(FIND("overige",Methode_Keuze)),"",IF(Tb_Activiteiten[[#This Row],[Niet verrekenbare btw]]=1,Tb_Activiteiten[[#Headers],[Niet verrekenbare btw]],""))</f>
        <v/>
      </c>
      <c r="AU826" t="str">
        <f>IF(ISNUMBER(FIND("overige",Methode_Keuze)),"",IF(Tb_Activiteiten[[#This Row],[Grondkosten]]=1,Tb_Activiteiten[[#Headers],[Grondkosten]],""))</f>
        <v/>
      </c>
      <c r="AV826" t="str">
        <f>IF(ISNUMBER(FIND("overige",Methode_Keuze)),"",IF(Tb_Activiteiten[[#This Row],[Bijdrage in natura (overige)]]=1,Tb_Activiteiten[[#Headers],[Bijdrage in natura (overige)]],""))</f>
        <v/>
      </c>
      <c r="AW826" t="str">
        <f>IF(ISNUMBER(FIND("overige",Methode_Keuze)),"",IF(Tb_Activiteiten[[#This Row],[Bijdrage in natura (vrijwilligers)]]=1,Tb_Activiteiten[[#Headers],[Bijdrage in natura (vrijwilligers)]],""))</f>
        <v/>
      </c>
      <c r="AX826" t="str">
        <f>IF(ISNUMBER(FIND("overige",Methode_Keuze)),"",IF(Tb_Activiteiten[[#This Row],[Afschrijvingskosten]]=1,Tb_Activiteiten[[#Headers],[Afschrijvingskosten]],""))</f>
        <v/>
      </c>
      <c r="AY826" t="str">
        <f>IF(ISNUMBER(FIND("overige",Methode_Keuze)),"",IF(Tb_Activiteiten[[#This Row],[Vergoeding]]=1,Tb_Activiteiten[[#Headers],[Vergoeding]],""))</f>
        <v/>
      </c>
      <c r="AZ826" t="str">
        <f>IF(ISNUMBER(FIND("arbeid",Methode_Keuze)),"",IF(Tb_Activiteiten[[#This Row],[Arbeidskosten - vast tarief (excl eigen arbeid)]]=1,Tb_Activiteiten[[#Headers],[Arbeidskosten - vast tarief (excl eigen arbeid)]],""))</f>
        <v/>
      </c>
      <c r="BA826" t="str">
        <f>IF(ISNUMBER(FIND("overige",Methode_Keuze)),"",IF(Tb_Activiteiten[[#This Row],[Overige kosten]]=1,Tb_Activiteiten[[#Headers],[Overige kosten]],""))</f>
        <v/>
      </c>
    </row>
    <row r="827" spans="1:53" x14ac:dyDescent="0.25">
      <c r="A827" s="231"/>
      <c r="F827" s="64"/>
      <c r="G827" s="64"/>
      <c r="H827" s="275"/>
      <c r="I827" s="275"/>
      <c r="J827" s="275"/>
      <c r="K827" s="275"/>
      <c r="O827" s="56"/>
      <c r="Q827" t="str">
        <f>IFERROR(IF(VLOOKUP(Tb_Activiteiten[[#This Row],[Openstelling]],Tb_Openstelling[],2,0)=1,1,""),"")</f>
        <v/>
      </c>
      <c r="AK827" t="str">
        <f>IF(ISNUMBER(FIND("arbeid",Methode_Keuze)),"",IF(ISNUMBER(FIND("arbeid",Methode_Keuze)),"",IF(Tb_Activiteiten[[#This Row],[Loonkosten]]=1,Tb_Activiteiten[[#Headers],[Loonkosten]],"")))</f>
        <v/>
      </c>
      <c r="AL827" t="str">
        <f>IF(ISNUMBER(FIND("arbeid",Methode_Keuze)),"",IF(ISNUMBER(FIND("arbeid",Methode_Keuze)),"",IF(Tb_Activiteiten[[#This Row],[Eigen arbeid]]=1,Tb_Activiteiten[[#Headers],[Eigen arbeid]],"")))</f>
        <v/>
      </c>
      <c r="AM827" t="str">
        <f>IF(ISNUMBER(FIND("arbeid",Methode_Keuze)),"",IF(ISNUMBER(FIND("arbeid",Methode_Keuze)),"",IF(Tb_Activiteiten[[#This Row],[Projectmedewerker]]=1,Tb_Activiteiten[[#Headers],[Projectmedewerker]],"")))</f>
        <v/>
      </c>
      <c r="AN827" t="str">
        <f>IF(ISNUMBER(FIND("arbeid",Methode_Keuze)),"",IF(ISNUMBER(FIND("arbeid",Methode_Keuze)),"",IF(Tb_Activiteiten[[#This Row],[Landbouwer]]=1,Tb_Activiteiten[[#Headers],[Landbouwer]],"")))</f>
        <v/>
      </c>
      <c r="AO827" t="str">
        <f>IF(ISNUMBER(FIND("arbeid",Methode_Keuze)),"",IF(ISNUMBER(FIND("arbeid",Methode_Keuze)),"",IF(Tb_Activiteiten[[#This Row],[Adviseur]]=1,Tb_Activiteiten[[#Headers],[Adviseur]],"")))</f>
        <v/>
      </c>
      <c r="AP827" t="str">
        <f>IF(ISNUMBER(FIND("arbeid",Methode_Keuze)),"",IF(ISNUMBER(FIND("arbeid",Methode_Keuze)),"",IF(Tb_Activiteiten[[#This Row],[Projectleider/Expert]]=1,Tb_Activiteiten[[#Headers],[Projectleider/Expert]],"")))</f>
        <v/>
      </c>
      <c r="AQ827" t="str">
        <f>IF(ISNUMBER(FIND("arbeid",Methode_Keuze)),"",IF(ISNUMBER(FIND("arbeid",Methode_Keuze)),"",IF(Tb_Activiteiten[[#This Row],[Arbeidskosten]]=1,Tb_Activiteiten[[#Headers],[Arbeidskosten]],"")))</f>
        <v/>
      </c>
      <c r="AR827" t="str">
        <f>IF(ISNUMBER(FIND("arbeid",Methode_Keuze)),"",IF(ISNUMBER(FIND("arbeid",Methode_Keuze)),"",IF(Tb_Activiteiten[[#This Row],[Arbeidskosten op basis van IKS]]=1,Tb_Activiteiten[[#Headers],[Arbeidskosten op basis van IKS]],"")))</f>
        <v/>
      </c>
      <c r="AS827" t="str">
        <f>IF(ISNUMBER(FIND("overige",Methode_Keuze)),"",IF(Tb_Activiteiten[[#This Row],[Kosten derden exclusief btw]]=1,Tb_Activiteiten[[#Headers],[Kosten derden exclusief btw]],""))</f>
        <v/>
      </c>
      <c r="AT827" t="str">
        <f>IF(ISNUMBER(FIND("overige",Methode_Keuze)),"",IF(Tb_Activiteiten[[#This Row],[Niet verrekenbare btw]]=1,Tb_Activiteiten[[#Headers],[Niet verrekenbare btw]],""))</f>
        <v/>
      </c>
      <c r="AU827" t="str">
        <f>IF(ISNUMBER(FIND("overige",Methode_Keuze)),"",IF(Tb_Activiteiten[[#This Row],[Grondkosten]]=1,Tb_Activiteiten[[#Headers],[Grondkosten]],""))</f>
        <v/>
      </c>
      <c r="AV827" t="str">
        <f>IF(ISNUMBER(FIND("overige",Methode_Keuze)),"",IF(Tb_Activiteiten[[#This Row],[Bijdrage in natura (overige)]]=1,Tb_Activiteiten[[#Headers],[Bijdrage in natura (overige)]],""))</f>
        <v/>
      </c>
      <c r="AW827" t="str">
        <f>IF(ISNUMBER(FIND("overige",Methode_Keuze)),"",IF(Tb_Activiteiten[[#This Row],[Bijdrage in natura (vrijwilligers)]]=1,Tb_Activiteiten[[#Headers],[Bijdrage in natura (vrijwilligers)]],""))</f>
        <v/>
      </c>
      <c r="AX827" t="str">
        <f>IF(ISNUMBER(FIND("overige",Methode_Keuze)),"",IF(Tb_Activiteiten[[#This Row],[Afschrijvingskosten]]=1,Tb_Activiteiten[[#Headers],[Afschrijvingskosten]],""))</f>
        <v/>
      </c>
      <c r="AY827" t="str">
        <f>IF(ISNUMBER(FIND("overige",Methode_Keuze)),"",IF(Tb_Activiteiten[[#This Row],[Vergoeding]]=1,Tb_Activiteiten[[#Headers],[Vergoeding]],""))</f>
        <v/>
      </c>
      <c r="AZ827" t="str">
        <f>IF(ISNUMBER(FIND("arbeid",Methode_Keuze)),"",IF(Tb_Activiteiten[[#This Row],[Arbeidskosten - vast tarief (excl eigen arbeid)]]=1,Tb_Activiteiten[[#Headers],[Arbeidskosten - vast tarief (excl eigen arbeid)]],""))</f>
        <v/>
      </c>
      <c r="BA827" t="str">
        <f>IF(ISNUMBER(FIND("overige",Methode_Keuze)),"",IF(Tb_Activiteiten[[#This Row],[Overige kosten]]=1,Tb_Activiteiten[[#Headers],[Overige kosten]],""))</f>
        <v/>
      </c>
    </row>
    <row r="828" spans="1:53" x14ac:dyDescent="0.25">
      <c r="A828" s="231"/>
      <c r="F828" s="64"/>
      <c r="G828" s="64"/>
      <c r="H828" s="275"/>
      <c r="I828" s="275"/>
      <c r="J828" s="275"/>
      <c r="K828" s="275"/>
      <c r="O828" s="56"/>
      <c r="Q828" t="str">
        <f>IFERROR(IF(VLOOKUP(Tb_Activiteiten[[#This Row],[Openstelling]],Tb_Openstelling[],2,0)=1,1,""),"")</f>
        <v/>
      </c>
      <c r="AK828" t="str">
        <f>IF(ISNUMBER(FIND("arbeid",Methode_Keuze)),"",IF(ISNUMBER(FIND("arbeid",Methode_Keuze)),"",IF(Tb_Activiteiten[[#This Row],[Loonkosten]]=1,Tb_Activiteiten[[#Headers],[Loonkosten]],"")))</f>
        <v/>
      </c>
      <c r="AL828" t="str">
        <f>IF(ISNUMBER(FIND("arbeid",Methode_Keuze)),"",IF(ISNUMBER(FIND("arbeid",Methode_Keuze)),"",IF(Tb_Activiteiten[[#This Row],[Eigen arbeid]]=1,Tb_Activiteiten[[#Headers],[Eigen arbeid]],"")))</f>
        <v/>
      </c>
      <c r="AM828" t="str">
        <f>IF(ISNUMBER(FIND("arbeid",Methode_Keuze)),"",IF(ISNUMBER(FIND("arbeid",Methode_Keuze)),"",IF(Tb_Activiteiten[[#This Row],[Projectmedewerker]]=1,Tb_Activiteiten[[#Headers],[Projectmedewerker]],"")))</f>
        <v/>
      </c>
      <c r="AN828" t="str">
        <f>IF(ISNUMBER(FIND("arbeid",Methode_Keuze)),"",IF(ISNUMBER(FIND("arbeid",Methode_Keuze)),"",IF(Tb_Activiteiten[[#This Row],[Landbouwer]]=1,Tb_Activiteiten[[#Headers],[Landbouwer]],"")))</f>
        <v/>
      </c>
      <c r="AO828" t="str">
        <f>IF(ISNUMBER(FIND("arbeid",Methode_Keuze)),"",IF(ISNUMBER(FIND("arbeid",Methode_Keuze)),"",IF(Tb_Activiteiten[[#This Row],[Adviseur]]=1,Tb_Activiteiten[[#Headers],[Adviseur]],"")))</f>
        <v/>
      </c>
      <c r="AP828" t="str">
        <f>IF(ISNUMBER(FIND("arbeid",Methode_Keuze)),"",IF(ISNUMBER(FIND("arbeid",Methode_Keuze)),"",IF(Tb_Activiteiten[[#This Row],[Projectleider/Expert]]=1,Tb_Activiteiten[[#Headers],[Projectleider/Expert]],"")))</f>
        <v/>
      </c>
      <c r="AQ828" t="str">
        <f>IF(ISNUMBER(FIND("arbeid",Methode_Keuze)),"",IF(ISNUMBER(FIND("arbeid",Methode_Keuze)),"",IF(Tb_Activiteiten[[#This Row],[Arbeidskosten]]=1,Tb_Activiteiten[[#Headers],[Arbeidskosten]],"")))</f>
        <v/>
      </c>
      <c r="AR828" t="str">
        <f>IF(ISNUMBER(FIND("arbeid",Methode_Keuze)),"",IF(ISNUMBER(FIND("arbeid",Methode_Keuze)),"",IF(Tb_Activiteiten[[#This Row],[Arbeidskosten op basis van IKS]]=1,Tb_Activiteiten[[#Headers],[Arbeidskosten op basis van IKS]],"")))</f>
        <v/>
      </c>
      <c r="AS828" t="str">
        <f>IF(ISNUMBER(FIND("overige",Methode_Keuze)),"",IF(Tb_Activiteiten[[#This Row],[Kosten derden exclusief btw]]=1,Tb_Activiteiten[[#Headers],[Kosten derden exclusief btw]],""))</f>
        <v/>
      </c>
      <c r="AT828" t="str">
        <f>IF(ISNUMBER(FIND("overige",Methode_Keuze)),"",IF(Tb_Activiteiten[[#This Row],[Niet verrekenbare btw]]=1,Tb_Activiteiten[[#Headers],[Niet verrekenbare btw]],""))</f>
        <v/>
      </c>
      <c r="AU828" t="str">
        <f>IF(ISNUMBER(FIND("overige",Methode_Keuze)),"",IF(Tb_Activiteiten[[#This Row],[Grondkosten]]=1,Tb_Activiteiten[[#Headers],[Grondkosten]],""))</f>
        <v/>
      </c>
      <c r="AV828" t="str">
        <f>IF(ISNUMBER(FIND("overige",Methode_Keuze)),"",IF(Tb_Activiteiten[[#This Row],[Bijdrage in natura (overige)]]=1,Tb_Activiteiten[[#Headers],[Bijdrage in natura (overige)]],""))</f>
        <v/>
      </c>
      <c r="AW828" t="str">
        <f>IF(ISNUMBER(FIND("overige",Methode_Keuze)),"",IF(Tb_Activiteiten[[#This Row],[Bijdrage in natura (vrijwilligers)]]=1,Tb_Activiteiten[[#Headers],[Bijdrage in natura (vrijwilligers)]],""))</f>
        <v/>
      </c>
      <c r="AX828" t="str">
        <f>IF(ISNUMBER(FIND("overige",Methode_Keuze)),"",IF(Tb_Activiteiten[[#This Row],[Afschrijvingskosten]]=1,Tb_Activiteiten[[#Headers],[Afschrijvingskosten]],""))</f>
        <v/>
      </c>
      <c r="AY828" t="str">
        <f>IF(ISNUMBER(FIND("overige",Methode_Keuze)),"",IF(Tb_Activiteiten[[#This Row],[Vergoeding]]=1,Tb_Activiteiten[[#Headers],[Vergoeding]],""))</f>
        <v/>
      </c>
      <c r="AZ828" t="str">
        <f>IF(ISNUMBER(FIND("arbeid",Methode_Keuze)),"",IF(Tb_Activiteiten[[#This Row],[Arbeidskosten - vast tarief (excl eigen arbeid)]]=1,Tb_Activiteiten[[#Headers],[Arbeidskosten - vast tarief (excl eigen arbeid)]],""))</f>
        <v/>
      </c>
      <c r="BA828" t="str">
        <f>IF(ISNUMBER(FIND("overige",Methode_Keuze)),"",IF(Tb_Activiteiten[[#This Row],[Overige kosten]]=1,Tb_Activiteiten[[#Headers],[Overige kosten]],""))</f>
        <v/>
      </c>
    </row>
    <row r="829" spans="1:53" x14ac:dyDescent="0.25">
      <c r="A829" s="231"/>
      <c r="F829" s="64"/>
      <c r="G829" s="64"/>
      <c r="H829" s="275"/>
      <c r="I829" s="275"/>
      <c r="J829" s="275"/>
      <c r="K829" s="275"/>
      <c r="O829" s="56"/>
      <c r="Q829" t="str">
        <f>IFERROR(IF(VLOOKUP(Tb_Activiteiten[[#This Row],[Openstelling]],Tb_Openstelling[],2,0)=1,1,""),"")</f>
        <v/>
      </c>
      <c r="AK829" t="str">
        <f>IF(ISNUMBER(FIND("arbeid",Methode_Keuze)),"",IF(ISNUMBER(FIND("arbeid",Methode_Keuze)),"",IF(Tb_Activiteiten[[#This Row],[Loonkosten]]=1,Tb_Activiteiten[[#Headers],[Loonkosten]],"")))</f>
        <v/>
      </c>
      <c r="AL829" t="str">
        <f>IF(ISNUMBER(FIND("arbeid",Methode_Keuze)),"",IF(ISNUMBER(FIND("arbeid",Methode_Keuze)),"",IF(Tb_Activiteiten[[#This Row],[Eigen arbeid]]=1,Tb_Activiteiten[[#Headers],[Eigen arbeid]],"")))</f>
        <v/>
      </c>
      <c r="AM829" t="str">
        <f>IF(ISNUMBER(FIND("arbeid",Methode_Keuze)),"",IF(ISNUMBER(FIND("arbeid",Methode_Keuze)),"",IF(Tb_Activiteiten[[#This Row],[Projectmedewerker]]=1,Tb_Activiteiten[[#Headers],[Projectmedewerker]],"")))</f>
        <v/>
      </c>
      <c r="AN829" t="str">
        <f>IF(ISNUMBER(FIND("arbeid",Methode_Keuze)),"",IF(ISNUMBER(FIND("arbeid",Methode_Keuze)),"",IF(Tb_Activiteiten[[#This Row],[Landbouwer]]=1,Tb_Activiteiten[[#Headers],[Landbouwer]],"")))</f>
        <v/>
      </c>
      <c r="AO829" t="str">
        <f>IF(ISNUMBER(FIND("arbeid",Methode_Keuze)),"",IF(ISNUMBER(FIND("arbeid",Methode_Keuze)),"",IF(Tb_Activiteiten[[#This Row],[Adviseur]]=1,Tb_Activiteiten[[#Headers],[Adviseur]],"")))</f>
        <v/>
      </c>
      <c r="AP829" t="str">
        <f>IF(ISNUMBER(FIND("arbeid",Methode_Keuze)),"",IF(ISNUMBER(FIND("arbeid",Methode_Keuze)),"",IF(Tb_Activiteiten[[#This Row],[Projectleider/Expert]]=1,Tb_Activiteiten[[#Headers],[Projectleider/Expert]],"")))</f>
        <v/>
      </c>
      <c r="AQ829" t="str">
        <f>IF(ISNUMBER(FIND("arbeid",Methode_Keuze)),"",IF(ISNUMBER(FIND("arbeid",Methode_Keuze)),"",IF(Tb_Activiteiten[[#This Row],[Arbeidskosten]]=1,Tb_Activiteiten[[#Headers],[Arbeidskosten]],"")))</f>
        <v/>
      </c>
      <c r="AR829" t="str">
        <f>IF(ISNUMBER(FIND("arbeid",Methode_Keuze)),"",IF(ISNUMBER(FIND("arbeid",Methode_Keuze)),"",IF(Tb_Activiteiten[[#This Row],[Arbeidskosten op basis van IKS]]=1,Tb_Activiteiten[[#Headers],[Arbeidskosten op basis van IKS]],"")))</f>
        <v/>
      </c>
      <c r="AS829" t="str">
        <f>IF(ISNUMBER(FIND("overige",Methode_Keuze)),"",IF(Tb_Activiteiten[[#This Row],[Kosten derden exclusief btw]]=1,Tb_Activiteiten[[#Headers],[Kosten derden exclusief btw]],""))</f>
        <v/>
      </c>
      <c r="AT829" t="str">
        <f>IF(ISNUMBER(FIND("overige",Methode_Keuze)),"",IF(Tb_Activiteiten[[#This Row],[Niet verrekenbare btw]]=1,Tb_Activiteiten[[#Headers],[Niet verrekenbare btw]],""))</f>
        <v/>
      </c>
      <c r="AU829" t="str">
        <f>IF(ISNUMBER(FIND("overige",Methode_Keuze)),"",IF(Tb_Activiteiten[[#This Row],[Grondkosten]]=1,Tb_Activiteiten[[#Headers],[Grondkosten]],""))</f>
        <v/>
      </c>
      <c r="AV829" t="str">
        <f>IF(ISNUMBER(FIND("overige",Methode_Keuze)),"",IF(Tb_Activiteiten[[#This Row],[Bijdrage in natura (overige)]]=1,Tb_Activiteiten[[#Headers],[Bijdrage in natura (overige)]],""))</f>
        <v/>
      </c>
      <c r="AW829" t="str">
        <f>IF(ISNUMBER(FIND("overige",Methode_Keuze)),"",IF(Tb_Activiteiten[[#This Row],[Bijdrage in natura (vrijwilligers)]]=1,Tb_Activiteiten[[#Headers],[Bijdrage in natura (vrijwilligers)]],""))</f>
        <v/>
      </c>
      <c r="AX829" t="str">
        <f>IF(ISNUMBER(FIND("overige",Methode_Keuze)),"",IF(Tb_Activiteiten[[#This Row],[Afschrijvingskosten]]=1,Tb_Activiteiten[[#Headers],[Afschrijvingskosten]],""))</f>
        <v/>
      </c>
      <c r="AY829" t="str">
        <f>IF(ISNUMBER(FIND("overige",Methode_Keuze)),"",IF(Tb_Activiteiten[[#This Row],[Vergoeding]]=1,Tb_Activiteiten[[#Headers],[Vergoeding]],""))</f>
        <v/>
      </c>
      <c r="AZ829" t="str">
        <f>IF(ISNUMBER(FIND("arbeid",Methode_Keuze)),"",IF(Tb_Activiteiten[[#This Row],[Arbeidskosten - vast tarief (excl eigen arbeid)]]=1,Tb_Activiteiten[[#Headers],[Arbeidskosten - vast tarief (excl eigen arbeid)]],""))</f>
        <v/>
      </c>
      <c r="BA829" t="str">
        <f>IF(ISNUMBER(FIND("overige",Methode_Keuze)),"",IF(Tb_Activiteiten[[#This Row],[Overige kosten]]=1,Tb_Activiteiten[[#Headers],[Overige kosten]],""))</f>
        <v/>
      </c>
    </row>
    <row r="830" spans="1:53" x14ac:dyDescent="0.25">
      <c r="A830" s="231"/>
      <c r="F830" s="64"/>
      <c r="G830" s="64"/>
      <c r="H830" s="275"/>
      <c r="I830" s="275"/>
      <c r="J830" s="275"/>
      <c r="K830" s="275"/>
      <c r="O830" s="56"/>
      <c r="Q830" t="str">
        <f>IFERROR(IF(VLOOKUP(Tb_Activiteiten[[#This Row],[Openstelling]],Tb_Openstelling[],2,0)=1,1,""),"")</f>
        <v/>
      </c>
      <c r="AK830" t="str">
        <f>IF(ISNUMBER(FIND("arbeid",Methode_Keuze)),"",IF(ISNUMBER(FIND("arbeid",Methode_Keuze)),"",IF(Tb_Activiteiten[[#This Row],[Loonkosten]]=1,Tb_Activiteiten[[#Headers],[Loonkosten]],"")))</f>
        <v/>
      </c>
      <c r="AL830" t="str">
        <f>IF(ISNUMBER(FIND("arbeid",Methode_Keuze)),"",IF(ISNUMBER(FIND("arbeid",Methode_Keuze)),"",IF(Tb_Activiteiten[[#This Row],[Eigen arbeid]]=1,Tb_Activiteiten[[#Headers],[Eigen arbeid]],"")))</f>
        <v/>
      </c>
      <c r="AM830" t="str">
        <f>IF(ISNUMBER(FIND("arbeid",Methode_Keuze)),"",IF(ISNUMBER(FIND("arbeid",Methode_Keuze)),"",IF(Tb_Activiteiten[[#This Row],[Projectmedewerker]]=1,Tb_Activiteiten[[#Headers],[Projectmedewerker]],"")))</f>
        <v/>
      </c>
      <c r="AN830" t="str">
        <f>IF(ISNUMBER(FIND("arbeid",Methode_Keuze)),"",IF(ISNUMBER(FIND("arbeid",Methode_Keuze)),"",IF(Tb_Activiteiten[[#This Row],[Landbouwer]]=1,Tb_Activiteiten[[#Headers],[Landbouwer]],"")))</f>
        <v/>
      </c>
      <c r="AO830" t="str">
        <f>IF(ISNUMBER(FIND("arbeid",Methode_Keuze)),"",IF(ISNUMBER(FIND("arbeid",Methode_Keuze)),"",IF(Tb_Activiteiten[[#This Row],[Adviseur]]=1,Tb_Activiteiten[[#Headers],[Adviseur]],"")))</f>
        <v/>
      </c>
      <c r="AP830" t="str">
        <f>IF(ISNUMBER(FIND("arbeid",Methode_Keuze)),"",IF(ISNUMBER(FIND("arbeid",Methode_Keuze)),"",IF(Tb_Activiteiten[[#This Row],[Projectleider/Expert]]=1,Tb_Activiteiten[[#Headers],[Projectleider/Expert]],"")))</f>
        <v/>
      </c>
      <c r="AQ830" t="str">
        <f>IF(ISNUMBER(FIND("arbeid",Methode_Keuze)),"",IF(ISNUMBER(FIND("arbeid",Methode_Keuze)),"",IF(Tb_Activiteiten[[#This Row],[Arbeidskosten]]=1,Tb_Activiteiten[[#Headers],[Arbeidskosten]],"")))</f>
        <v/>
      </c>
      <c r="AR830" t="str">
        <f>IF(ISNUMBER(FIND("arbeid",Methode_Keuze)),"",IF(ISNUMBER(FIND("arbeid",Methode_Keuze)),"",IF(Tb_Activiteiten[[#This Row],[Arbeidskosten op basis van IKS]]=1,Tb_Activiteiten[[#Headers],[Arbeidskosten op basis van IKS]],"")))</f>
        <v/>
      </c>
      <c r="AS830" t="str">
        <f>IF(ISNUMBER(FIND("overige",Methode_Keuze)),"",IF(Tb_Activiteiten[[#This Row],[Kosten derden exclusief btw]]=1,Tb_Activiteiten[[#Headers],[Kosten derden exclusief btw]],""))</f>
        <v/>
      </c>
      <c r="AT830" t="str">
        <f>IF(ISNUMBER(FIND("overige",Methode_Keuze)),"",IF(Tb_Activiteiten[[#This Row],[Niet verrekenbare btw]]=1,Tb_Activiteiten[[#Headers],[Niet verrekenbare btw]],""))</f>
        <v/>
      </c>
      <c r="AU830" t="str">
        <f>IF(ISNUMBER(FIND("overige",Methode_Keuze)),"",IF(Tb_Activiteiten[[#This Row],[Grondkosten]]=1,Tb_Activiteiten[[#Headers],[Grondkosten]],""))</f>
        <v/>
      </c>
      <c r="AV830" t="str">
        <f>IF(ISNUMBER(FIND("overige",Methode_Keuze)),"",IF(Tb_Activiteiten[[#This Row],[Bijdrage in natura (overige)]]=1,Tb_Activiteiten[[#Headers],[Bijdrage in natura (overige)]],""))</f>
        <v/>
      </c>
      <c r="AW830" t="str">
        <f>IF(ISNUMBER(FIND("overige",Methode_Keuze)),"",IF(Tb_Activiteiten[[#This Row],[Bijdrage in natura (vrijwilligers)]]=1,Tb_Activiteiten[[#Headers],[Bijdrage in natura (vrijwilligers)]],""))</f>
        <v/>
      </c>
      <c r="AX830" t="str">
        <f>IF(ISNUMBER(FIND("overige",Methode_Keuze)),"",IF(Tb_Activiteiten[[#This Row],[Afschrijvingskosten]]=1,Tb_Activiteiten[[#Headers],[Afschrijvingskosten]],""))</f>
        <v/>
      </c>
      <c r="AY830" t="str">
        <f>IF(ISNUMBER(FIND("overige",Methode_Keuze)),"",IF(Tb_Activiteiten[[#This Row],[Vergoeding]]=1,Tb_Activiteiten[[#Headers],[Vergoeding]],""))</f>
        <v/>
      </c>
      <c r="AZ830" t="str">
        <f>IF(ISNUMBER(FIND("arbeid",Methode_Keuze)),"",IF(Tb_Activiteiten[[#This Row],[Arbeidskosten - vast tarief (excl eigen arbeid)]]=1,Tb_Activiteiten[[#Headers],[Arbeidskosten - vast tarief (excl eigen arbeid)]],""))</f>
        <v/>
      </c>
      <c r="BA830" t="str">
        <f>IF(ISNUMBER(FIND("overige",Methode_Keuze)),"",IF(Tb_Activiteiten[[#This Row],[Overige kosten]]=1,Tb_Activiteiten[[#Headers],[Overige kosten]],""))</f>
        <v/>
      </c>
    </row>
    <row r="831" spans="1:53" x14ac:dyDescent="0.25">
      <c r="A831" s="231"/>
      <c r="F831" s="64"/>
      <c r="G831" s="64"/>
      <c r="H831" s="275"/>
      <c r="I831" s="275"/>
      <c r="J831" s="275"/>
      <c r="K831" s="275"/>
      <c r="O831" s="56"/>
      <c r="Q831" t="str">
        <f>IFERROR(IF(VLOOKUP(Tb_Activiteiten[[#This Row],[Openstelling]],Tb_Openstelling[],2,0)=1,1,""),"")</f>
        <v/>
      </c>
      <c r="AK831" t="str">
        <f>IF(ISNUMBER(FIND("arbeid",Methode_Keuze)),"",IF(ISNUMBER(FIND("arbeid",Methode_Keuze)),"",IF(Tb_Activiteiten[[#This Row],[Loonkosten]]=1,Tb_Activiteiten[[#Headers],[Loonkosten]],"")))</f>
        <v/>
      </c>
      <c r="AL831" t="str">
        <f>IF(ISNUMBER(FIND("arbeid",Methode_Keuze)),"",IF(ISNUMBER(FIND("arbeid",Methode_Keuze)),"",IF(Tb_Activiteiten[[#This Row],[Eigen arbeid]]=1,Tb_Activiteiten[[#Headers],[Eigen arbeid]],"")))</f>
        <v/>
      </c>
      <c r="AM831" t="str">
        <f>IF(ISNUMBER(FIND("arbeid",Methode_Keuze)),"",IF(ISNUMBER(FIND("arbeid",Methode_Keuze)),"",IF(Tb_Activiteiten[[#This Row],[Projectmedewerker]]=1,Tb_Activiteiten[[#Headers],[Projectmedewerker]],"")))</f>
        <v/>
      </c>
      <c r="AN831" t="str">
        <f>IF(ISNUMBER(FIND("arbeid",Methode_Keuze)),"",IF(ISNUMBER(FIND("arbeid",Methode_Keuze)),"",IF(Tb_Activiteiten[[#This Row],[Landbouwer]]=1,Tb_Activiteiten[[#Headers],[Landbouwer]],"")))</f>
        <v/>
      </c>
      <c r="AO831" t="str">
        <f>IF(ISNUMBER(FIND("arbeid",Methode_Keuze)),"",IF(ISNUMBER(FIND("arbeid",Methode_Keuze)),"",IF(Tb_Activiteiten[[#This Row],[Adviseur]]=1,Tb_Activiteiten[[#Headers],[Adviseur]],"")))</f>
        <v/>
      </c>
      <c r="AP831" t="str">
        <f>IF(ISNUMBER(FIND("arbeid",Methode_Keuze)),"",IF(ISNUMBER(FIND("arbeid",Methode_Keuze)),"",IF(Tb_Activiteiten[[#This Row],[Projectleider/Expert]]=1,Tb_Activiteiten[[#Headers],[Projectleider/Expert]],"")))</f>
        <v/>
      </c>
      <c r="AQ831" t="str">
        <f>IF(ISNUMBER(FIND("arbeid",Methode_Keuze)),"",IF(ISNUMBER(FIND("arbeid",Methode_Keuze)),"",IF(Tb_Activiteiten[[#This Row],[Arbeidskosten]]=1,Tb_Activiteiten[[#Headers],[Arbeidskosten]],"")))</f>
        <v/>
      </c>
      <c r="AR831" t="str">
        <f>IF(ISNUMBER(FIND("arbeid",Methode_Keuze)),"",IF(ISNUMBER(FIND("arbeid",Methode_Keuze)),"",IF(Tb_Activiteiten[[#This Row],[Arbeidskosten op basis van IKS]]=1,Tb_Activiteiten[[#Headers],[Arbeidskosten op basis van IKS]],"")))</f>
        <v/>
      </c>
      <c r="AS831" t="str">
        <f>IF(ISNUMBER(FIND("overige",Methode_Keuze)),"",IF(Tb_Activiteiten[[#This Row],[Kosten derden exclusief btw]]=1,Tb_Activiteiten[[#Headers],[Kosten derden exclusief btw]],""))</f>
        <v/>
      </c>
      <c r="AT831" t="str">
        <f>IF(ISNUMBER(FIND("overige",Methode_Keuze)),"",IF(Tb_Activiteiten[[#This Row],[Niet verrekenbare btw]]=1,Tb_Activiteiten[[#Headers],[Niet verrekenbare btw]],""))</f>
        <v/>
      </c>
      <c r="AU831" t="str">
        <f>IF(ISNUMBER(FIND("overige",Methode_Keuze)),"",IF(Tb_Activiteiten[[#This Row],[Grondkosten]]=1,Tb_Activiteiten[[#Headers],[Grondkosten]],""))</f>
        <v/>
      </c>
      <c r="AV831" t="str">
        <f>IF(ISNUMBER(FIND("overige",Methode_Keuze)),"",IF(Tb_Activiteiten[[#This Row],[Bijdrage in natura (overige)]]=1,Tb_Activiteiten[[#Headers],[Bijdrage in natura (overige)]],""))</f>
        <v/>
      </c>
      <c r="AW831" t="str">
        <f>IF(ISNUMBER(FIND("overige",Methode_Keuze)),"",IF(Tb_Activiteiten[[#This Row],[Bijdrage in natura (vrijwilligers)]]=1,Tb_Activiteiten[[#Headers],[Bijdrage in natura (vrijwilligers)]],""))</f>
        <v/>
      </c>
      <c r="AX831" t="str">
        <f>IF(ISNUMBER(FIND("overige",Methode_Keuze)),"",IF(Tb_Activiteiten[[#This Row],[Afschrijvingskosten]]=1,Tb_Activiteiten[[#Headers],[Afschrijvingskosten]],""))</f>
        <v/>
      </c>
      <c r="AY831" t="str">
        <f>IF(ISNUMBER(FIND("overige",Methode_Keuze)),"",IF(Tb_Activiteiten[[#This Row],[Vergoeding]]=1,Tb_Activiteiten[[#Headers],[Vergoeding]],""))</f>
        <v/>
      </c>
      <c r="AZ831" t="str">
        <f>IF(ISNUMBER(FIND("arbeid",Methode_Keuze)),"",IF(Tb_Activiteiten[[#This Row],[Arbeidskosten - vast tarief (excl eigen arbeid)]]=1,Tb_Activiteiten[[#Headers],[Arbeidskosten - vast tarief (excl eigen arbeid)]],""))</f>
        <v/>
      </c>
      <c r="BA831" t="str">
        <f>IF(ISNUMBER(FIND("overige",Methode_Keuze)),"",IF(Tb_Activiteiten[[#This Row],[Overige kosten]]=1,Tb_Activiteiten[[#Headers],[Overige kosten]],""))</f>
        <v/>
      </c>
    </row>
    <row r="832" spans="1:53" x14ac:dyDescent="0.25">
      <c r="A832" s="231"/>
      <c r="F832" s="64"/>
      <c r="G832" s="64"/>
      <c r="H832" s="275"/>
      <c r="I832" s="275"/>
      <c r="J832" s="275"/>
      <c r="K832" s="275"/>
      <c r="O832" s="56"/>
      <c r="Q832" t="str">
        <f>IFERROR(IF(VLOOKUP(Tb_Activiteiten[[#This Row],[Openstelling]],Tb_Openstelling[],2,0)=1,1,""),"")</f>
        <v/>
      </c>
      <c r="AK832" t="str">
        <f>IF(ISNUMBER(FIND("arbeid",Methode_Keuze)),"",IF(ISNUMBER(FIND("arbeid",Methode_Keuze)),"",IF(Tb_Activiteiten[[#This Row],[Loonkosten]]=1,Tb_Activiteiten[[#Headers],[Loonkosten]],"")))</f>
        <v/>
      </c>
      <c r="AL832" t="str">
        <f>IF(ISNUMBER(FIND("arbeid",Methode_Keuze)),"",IF(ISNUMBER(FIND("arbeid",Methode_Keuze)),"",IF(Tb_Activiteiten[[#This Row],[Eigen arbeid]]=1,Tb_Activiteiten[[#Headers],[Eigen arbeid]],"")))</f>
        <v/>
      </c>
      <c r="AM832" t="str">
        <f>IF(ISNUMBER(FIND("arbeid",Methode_Keuze)),"",IF(ISNUMBER(FIND("arbeid",Methode_Keuze)),"",IF(Tb_Activiteiten[[#This Row],[Projectmedewerker]]=1,Tb_Activiteiten[[#Headers],[Projectmedewerker]],"")))</f>
        <v/>
      </c>
      <c r="AN832" t="str">
        <f>IF(ISNUMBER(FIND("arbeid",Methode_Keuze)),"",IF(ISNUMBER(FIND("arbeid",Methode_Keuze)),"",IF(Tb_Activiteiten[[#This Row],[Landbouwer]]=1,Tb_Activiteiten[[#Headers],[Landbouwer]],"")))</f>
        <v/>
      </c>
      <c r="AO832" t="str">
        <f>IF(ISNUMBER(FIND("arbeid",Methode_Keuze)),"",IF(ISNUMBER(FIND("arbeid",Methode_Keuze)),"",IF(Tb_Activiteiten[[#This Row],[Adviseur]]=1,Tb_Activiteiten[[#Headers],[Adviseur]],"")))</f>
        <v/>
      </c>
      <c r="AP832" t="str">
        <f>IF(ISNUMBER(FIND("arbeid",Methode_Keuze)),"",IF(ISNUMBER(FIND("arbeid",Methode_Keuze)),"",IF(Tb_Activiteiten[[#This Row],[Projectleider/Expert]]=1,Tb_Activiteiten[[#Headers],[Projectleider/Expert]],"")))</f>
        <v/>
      </c>
      <c r="AQ832" t="str">
        <f>IF(ISNUMBER(FIND("arbeid",Methode_Keuze)),"",IF(ISNUMBER(FIND("arbeid",Methode_Keuze)),"",IF(Tb_Activiteiten[[#This Row],[Arbeidskosten]]=1,Tb_Activiteiten[[#Headers],[Arbeidskosten]],"")))</f>
        <v/>
      </c>
      <c r="AR832" t="str">
        <f>IF(ISNUMBER(FIND("arbeid",Methode_Keuze)),"",IF(ISNUMBER(FIND("arbeid",Methode_Keuze)),"",IF(Tb_Activiteiten[[#This Row],[Arbeidskosten op basis van IKS]]=1,Tb_Activiteiten[[#Headers],[Arbeidskosten op basis van IKS]],"")))</f>
        <v/>
      </c>
      <c r="AS832" t="str">
        <f>IF(ISNUMBER(FIND("overige",Methode_Keuze)),"",IF(Tb_Activiteiten[[#This Row],[Kosten derden exclusief btw]]=1,Tb_Activiteiten[[#Headers],[Kosten derden exclusief btw]],""))</f>
        <v/>
      </c>
      <c r="AT832" t="str">
        <f>IF(ISNUMBER(FIND("overige",Methode_Keuze)),"",IF(Tb_Activiteiten[[#This Row],[Niet verrekenbare btw]]=1,Tb_Activiteiten[[#Headers],[Niet verrekenbare btw]],""))</f>
        <v/>
      </c>
      <c r="AU832" t="str">
        <f>IF(ISNUMBER(FIND("overige",Methode_Keuze)),"",IF(Tb_Activiteiten[[#This Row],[Grondkosten]]=1,Tb_Activiteiten[[#Headers],[Grondkosten]],""))</f>
        <v/>
      </c>
      <c r="AV832" t="str">
        <f>IF(ISNUMBER(FIND("overige",Methode_Keuze)),"",IF(Tb_Activiteiten[[#This Row],[Bijdrage in natura (overige)]]=1,Tb_Activiteiten[[#Headers],[Bijdrage in natura (overige)]],""))</f>
        <v/>
      </c>
      <c r="AW832" t="str">
        <f>IF(ISNUMBER(FIND("overige",Methode_Keuze)),"",IF(Tb_Activiteiten[[#This Row],[Bijdrage in natura (vrijwilligers)]]=1,Tb_Activiteiten[[#Headers],[Bijdrage in natura (vrijwilligers)]],""))</f>
        <v/>
      </c>
      <c r="AX832" t="str">
        <f>IF(ISNUMBER(FIND("overige",Methode_Keuze)),"",IF(Tb_Activiteiten[[#This Row],[Afschrijvingskosten]]=1,Tb_Activiteiten[[#Headers],[Afschrijvingskosten]],""))</f>
        <v/>
      </c>
      <c r="AY832" t="str">
        <f>IF(ISNUMBER(FIND("overige",Methode_Keuze)),"",IF(Tb_Activiteiten[[#This Row],[Vergoeding]]=1,Tb_Activiteiten[[#Headers],[Vergoeding]],""))</f>
        <v/>
      </c>
      <c r="AZ832" t="str">
        <f>IF(ISNUMBER(FIND("arbeid",Methode_Keuze)),"",IF(Tb_Activiteiten[[#This Row],[Arbeidskosten - vast tarief (excl eigen arbeid)]]=1,Tb_Activiteiten[[#Headers],[Arbeidskosten - vast tarief (excl eigen arbeid)]],""))</f>
        <v/>
      </c>
      <c r="BA832" t="str">
        <f>IF(ISNUMBER(FIND("overige",Methode_Keuze)),"",IF(Tb_Activiteiten[[#This Row],[Overige kosten]]=1,Tb_Activiteiten[[#Headers],[Overige kosten]],""))</f>
        <v/>
      </c>
    </row>
    <row r="833" spans="1:53" x14ac:dyDescent="0.25">
      <c r="A833" s="231"/>
      <c r="F833" s="64"/>
      <c r="G833" s="64"/>
      <c r="H833" s="275"/>
      <c r="I833" s="275"/>
      <c r="J833" s="275"/>
      <c r="K833" s="275"/>
      <c r="O833" s="56"/>
      <c r="Q833" t="str">
        <f>IFERROR(IF(VLOOKUP(Tb_Activiteiten[[#This Row],[Openstelling]],Tb_Openstelling[],2,0)=1,1,""),"")</f>
        <v/>
      </c>
      <c r="AK833" t="str">
        <f>IF(ISNUMBER(FIND("arbeid",Methode_Keuze)),"",IF(ISNUMBER(FIND("arbeid",Methode_Keuze)),"",IF(Tb_Activiteiten[[#This Row],[Loonkosten]]=1,Tb_Activiteiten[[#Headers],[Loonkosten]],"")))</f>
        <v/>
      </c>
      <c r="AL833" t="str">
        <f>IF(ISNUMBER(FIND("arbeid",Methode_Keuze)),"",IF(ISNUMBER(FIND("arbeid",Methode_Keuze)),"",IF(Tb_Activiteiten[[#This Row],[Eigen arbeid]]=1,Tb_Activiteiten[[#Headers],[Eigen arbeid]],"")))</f>
        <v/>
      </c>
      <c r="AM833" t="str">
        <f>IF(ISNUMBER(FIND("arbeid",Methode_Keuze)),"",IF(ISNUMBER(FIND("arbeid",Methode_Keuze)),"",IF(Tb_Activiteiten[[#This Row],[Projectmedewerker]]=1,Tb_Activiteiten[[#Headers],[Projectmedewerker]],"")))</f>
        <v/>
      </c>
      <c r="AN833" t="str">
        <f>IF(ISNUMBER(FIND("arbeid",Methode_Keuze)),"",IF(ISNUMBER(FIND("arbeid",Methode_Keuze)),"",IF(Tb_Activiteiten[[#This Row],[Landbouwer]]=1,Tb_Activiteiten[[#Headers],[Landbouwer]],"")))</f>
        <v/>
      </c>
      <c r="AO833" t="str">
        <f>IF(ISNUMBER(FIND("arbeid",Methode_Keuze)),"",IF(ISNUMBER(FIND("arbeid",Methode_Keuze)),"",IF(Tb_Activiteiten[[#This Row],[Adviseur]]=1,Tb_Activiteiten[[#Headers],[Adviseur]],"")))</f>
        <v/>
      </c>
      <c r="AP833" t="str">
        <f>IF(ISNUMBER(FIND("arbeid",Methode_Keuze)),"",IF(ISNUMBER(FIND("arbeid",Methode_Keuze)),"",IF(Tb_Activiteiten[[#This Row],[Projectleider/Expert]]=1,Tb_Activiteiten[[#Headers],[Projectleider/Expert]],"")))</f>
        <v/>
      </c>
      <c r="AQ833" t="str">
        <f>IF(ISNUMBER(FIND("arbeid",Methode_Keuze)),"",IF(ISNUMBER(FIND("arbeid",Methode_Keuze)),"",IF(Tb_Activiteiten[[#This Row],[Arbeidskosten]]=1,Tb_Activiteiten[[#Headers],[Arbeidskosten]],"")))</f>
        <v/>
      </c>
      <c r="AR833" t="str">
        <f>IF(ISNUMBER(FIND("arbeid",Methode_Keuze)),"",IF(ISNUMBER(FIND("arbeid",Methode_Keuze)),"",IF(Tb_Activiteiten[[#This Row],[Arbeidskosten op basis van IKS]]=1,Tb_Activiteiten[[#Headers],[Arbeidskosten op basis van IKS]],"")))</f>
        <v/>
      </c>
      <c r="AS833" t="str">
        <f>IF(ISNUMBER(FIND("overige",Methode_Keuze)),"",IF(Tb_Activiteiten[[#This Row],[Kosten derden exclusief btw]]=1,Tb_Activiteiten[[#Headers],[Kosten derden exclusief btw]],""))</f>
        <v/>
      </c>
      <c r="AT833" t="str">
        <f>IF(ISNUMBER(FIND("overige",Methode_Keuze)),"",IF(Tb_Activiteiten[[#This Row],[Niet verrekenbare btw]]=1,Tb_Activiteiten[[#Headers],[Niet verrekenbare btw]],""))</f>
        <v/>
      </c>
      <c r="AU833" t="str">
        <f>IF(ISNUMBER(FIND("overige",Methode_Keuze)),"",IF(Tb_Activiteiten[[#This Row],[Grondkosten]]=1,Tb_Activiteiten[[#Headers],[Grondkosten]],""))</f>
        <v/>
      </c>
      <c r="AV833" t="str">
        <f>IF(ISNUMBER(FIND("overige",Methode_Keuze)),"",IF(Tb_Activiteiten[[#This Row],[Bijdrage in natura (overige)]]=1,Tb_Activiteiten[[#Headers],[Bijdrage in natura (overige)]],""))</f>
        <v/>
      </c>
      <c r="AW833" t="str">
        <f>IF(ISNUMBER(FIND("overige",Methode_Keuze)),"",IF(Tb_Activiteiten[[#This Row],[Bijdrage in natura (vrijwilligers)]]=1,Tb_Activiteiten[[#Headers],[Bijdrage in natura (vrijwilligers)]],""))</f>
        <v/>
      </c>
      <c r="AX833" t="str">
        <f>IF(ISNUMBER(FIND("overige",Methode_Keuze)),"",IF(Tb_Activiteiten[[#This Row],[Afschrijvingskosten]]=1,Tb_Activiteiten[[#Headers],[Afschrijvingskosten]],""))</f>
        <v/>
      </c>
      <c r="AY833" t="str">
        <f>IF(ISNUMBER(FIND("overige",Methode_Keuze)),"",IF(Tb_Activiteiten[[#This Row],[Vergoeding]]=1,Tb_Activiteiten[[#Headers],[Vergoeding]],""))</f>
        <v/>
      </c>
      <c r="AZ833" t="str">
        <f>IF(ISNUMBER(FIND("arbeid",Methode_Keuze)),"",IF(Tb_Activiteiten[[#This Row],[Arbeidskosten - vast tarief (excl eigen arbeid)]]=1,Tb_Activiteiten[[#Headers],[Arbeidskosten - vast tarief (excl eigen arbeid)]],""))</f>
        <v/>
      </c>
      <c r="BA833" t="str">
        <f>IF(ISNUMBER(FIND("overige",Methode_Keuze)),"",IF(Tb_Activiteiten[[#This Row],[Overige kosten]]=1,Tb_Activiteiten[[#Headers],[Overige kosten]],""))</f>
        <v/>
      </c>
    </row>
    <row r="834" spans="1:53" x14ac:dyDescent="0.25">
      <c r="A834" s="231"/>
      <c r="F834" s="64"/>
      <c r="G834" s="64"/>
      <c r="H834" s="275"/>
      <c r="I834" s="275"/>
      <c r="J834" s="275"/>
      <c r="K834" s="275"/>
      <c r="O834" s="56"/>
      <c r="Q834" t="str">
        <f>IFERROR(IF(VLOOKUP(Tb_Activiteiten[[#This Row],[Openstelling]],Tb_Openstelling[],2,0)=1,1,""),"")</f>
        <v/>
      </c>
      <c r="AK834" t="str">
        <f>IF(ISNUMBER(FIND("arbeid",Methode_Keuze)),"",IF(ISNUMBER(FIND("arbeid",Methode_Keuze)),"",IF(Tb_Activiteiten[[#This Row],[Loonkosten]]=1,Tb_Activiteiten[[#Headers],[Loonkosten]],"")))</f>
        <v/>
      </c>
      <c r="AL834" t="str">
        <f>IF(ISNUMBER(FIND("arbeid",Methode_Keuze)),"",IF(ISNUMBER(FIND("arbeid",Methode_Keuze)),"",IF(Tb_Activiteiten[[#This Row],[Eigen arbeid]]=1,Tb_Activiteiten[[#Headers],[Eigen arbeid]],"")))</f>
        <v/>
      </c>
      <c r="AM834" t="str">
        <f>IF(ISNUMBER(FIND("arbeid",Methode_Keuze)),"",IF(ISNUMBER(FIND("arbeid",Methode_Keuze)),"",IF(Tb_Activiteiten[[#This Row],[Projectmedewerker]]=1,Tb_Activiteiten[[#Headers],[Projectmedewerker]],"")))</f>
        <v/>
      </c>
      <c r="AN834" t="str">
        <f>IF(ISNUMBER(FIND("arbeid",Methode_Keuze)),"",IF(ISNUMBER(FIND("arbeid",Methode_Keuze)),"",IF(Tb_Activiteiten[[#This Row],[Landbouwer]]=1,Tb_Activiteiten[[#Headers],[Landbouwer]],"")))</f>
        <v/>
      </c>
      <c r="AO834" t="str">
        <f>IF(ISNUMBER(FIND("arbeid",Methode_Keuze)),"",IF(ISNUMBER(FIND("arbeid",Methode_Keuze)),"",IF(Tb_Activiteiten[[#This Row],[Adviseur]]=1,Tb_Activiteiten[[#Headers],[Adviseur]],"")))</f>
        <v/>
      </c>
      <c r="AP834" t="str">
        <f>IF(ISNUMBER(FIND("arbeid",Methode_Keuze)),"",IF(ISNUMBER(FIND("arbeid",Methode_Keuze)),"",IF(Tb_Activiteiten[[#This Row],[Projectleider/Expert]]=1,Tb_Activiteiten[[#Headers],[Projectleider/Expert]],"")))</f>
        <v/>
      </c>
      <c r="AQ834" t="str">
        <f>IF(ISNUMBER(FIND("arbeid",Methode_Keuze)),"",IF(ISNUMBER(FIND("arbeid",Methode_Keuze)),"",IF(Tb_Activiteiten[[#This Row],[Arbeidskosten]]=1,Tb_Activiteiten[[#Headers],[Arbeidskosten]],"")))</f>
        <v/>
      </c>
      <c r="AR834" t="str">
        <f>IF(ISNUMBER(FIND("arbeid",Methode_Keuze)),"",IF(ISNUMBER(FIND("arbeid",Methode_Keuze)),"",IF(Tb_Activiteiten[[#This Row],[Arbeidskosten op basis van IKS]]=1,Tb_Activiteiten[[#Headers],[Arbeidskosten op basis van IKS]],"")))</f>
        <v/>
      </c>
      <c r="AS834" t="str">
        <f>IF(ISNUMBER(FIND("overige",Methode_Keuze)),"",IF(Tb_Activiteiten[[#This Row],[Kosten derden exclusief btw]]=1,Tb_Activiteiten[[#Headers],[Kosten derden exclusief btw]],""))</f>
        <v/>
      </c>
      <c r="AT834" t="str">
        <f>IF(ISNUMBER(FIND("overige",Methode_Keuze)),"",IF(Tb_Activiteiten[[#This Row],[Niet verrekenbare btw]]=1,Tb_Activiteiten[[#Headers],[Niet verrekenbare btw]],""))</f>
        <v/>
      </c>
      <c r="AU834" t="str">
        <f>IF(ISNUMBER(FIND("overige",Methode_Keuze)),"",IF(Tb_Activiteiten[[#This Row],[Grondkosten]]=1,Tb_Activiteiten[[#Headers],[Grondkosten]],""))</f>
        <v/>
      </c>
      <c r="AV834" t="str">
        <f>IF(ISNUMBER(FIND("overige",Methode_Keuze)),"",IF(Tb_Activiteiten[[#This Row],[Bijdrage in natura (overige)]]=1,Tb_Activiteiten[[#Headers],[Bijdrage in natura (overige)]],""))</f>
        <v/>
      </c>
      <c r="AW834" t="str">
        <f>IF(ISNUMBER(FIND("overige",Methode_Keuze)),"",IF(Tb_Activiteiten[[#This Row],[Bijdrage in natura (vrijwilligers)]]=1,Tb_Activiteiten[[#Headers],[Bijdrage in natura (vrijwilligers)]],""))</f>
        <v/>
      </c>
      <c r="AX834" t="str">
        <f>IF(ISNUMBER(FIND("overige",Methode_Keuze)),"",IF(Tb_Activiteiten[[#This Row],[Afschrijvingskosten]]=1,Tb_Activiteiten[[#Headers],[Afschrijvingskosten]],""))</f>
        <v/>
      </c>
      <c r="AY834" t="str">
        <f>IF(ISNUMBER(FIND("overige",Methode_Keuze)),"",IF(Tb_Activiteiten[[#This Row],[Vergoeding]]=1,Tb_Activiteiten[[#Headers],[Vergoeding]],""))</f>
        <v/>
      </c>
      <c r="AZ834" t="str">
        <f>IF(ISNUMBER(FIND("arbeid",Methode_Keuze)),"",IF(Tb_Activiteiten[[#This Row],[Arbeidskosten - vast tarief (excl eigen arbeid)]]=1,Tb_Activiteiten[[#Headers],[Arbeidskosten - vast tarief (excl eigen arbeid)]],""))</f>
        <v/>
      </c>
      <c r="BA834" t="str">
        <f>IF(ISNUMBER(FIND("overige",Methode_Keuze)),"",IF(Tb_Activiteiten[[#This Row],[Overige kosten]]=1,Tb_Activiteiten[[#Headers],[Overige kosten]],""))</f>
        <v/>
      </c>
    </row>
    <row r="835" spans="1:53" x14ac:dyDescent="0.25">
      <c r="A835" s="231"/>
      <c r="F835" s="64"/>
      <c r="G835" s="64"/>
      <c r="H835" s="275"/>
      <c r="I835" s="275"/>
      <c r="J835" s="275"/>
      <c r="K835" s="275"/>
      <c r="O835" s="56"/>
      <c r="Q835" t="str">
        <f>IFERROR(IF(VLOOKUP(Tb_Activiteiten[[#This Row],[Openstelling]],Tb_Openstelling[],2,0)=1,1,""),"")</f>
        <v/>
      </c>
      <c r="AK835" t="str">
        <f>IF(ISNUMBER(FIND("arbeid",Methode_Keuze)),"",IF(ISNUMBER(FIND("arbeid",Methode_Keuze)),"",IF(Tb_Activiteiten[[#This Row],[Loonkosten]]=1,Tb_Activiteiten[[#Headers],[Loonkosten]],"")))</f>
        <v/>
      </c>
      <c r="AL835" t="str">
        <f>IF(ISNUMBER(FIND("arbeid",Methode_Keuze)),"",IF(ISNUMBER(FIND("arbeid",Methode_Keuze)),"",IF(Tb_Activiteiten[[#This Row],[Eigen arbeid]]=1,Tb_Activiteiten[[#Headers],[Eigen arbeid]],"")))</f>
        <v/>
      </c>
      <c r="AM835" t="str">
        <f>IF(ISNUMBER(FIND("arbeid",Methode_Keuze)),"",IF(ISNUMBER(FIND("arbeid",Methode_Keuze)),"",IF(Tb_Activiteiten[[#This Row],[Projectmedewerker]]=1,Tb_Activiteiten[[#Headers],[Projectmedewerker]],"")))</f>
        <v/>
      </c>
      <c r="AN835" t="str">
        <f>IF(ISNUMBER(FIND("arbeid",Methode_Keuze)),"",IF(ISNUMBER(FIND("arbeid",Methode_Keuze)),"",IF(Tb_Activiteiten[[#This Row],[Landbouwer]]=1,Tb_Activiteiten[[#Headers],[Landbouwer]],"")))</f>
        <v/>
      </c>
      <c r="AO835" t="str">
        <f>IF(ISNUMBER(FIND("arbeid",Methode_Keuze)),"",IF(ISNUMBER(FIND("arbeid",Methode_Keuze)),"",IF(Tb_Activiteiten[[#This Row],[Adviseur]]=1,Tb_Activiteiten[[#Headers],[Adviseur]],"")))</f>
        <v/>
      </c>
      <c r="AP835" t="str">
        <f>IF(ISNUMBER(FIND("arbeid",Methode_Keuze)),"",IF(ISNUMBER(FIND("arbeid",Methode_Keuze)),"",IF(Tb_Activiteiten[[#This Row],[Projectleider/Expert]]=1,Tb_Activiteiten[[#Headers],[Projectleider/Expert]],"")))</f>
        <v/>
      </c>
      <c r="AQ835" t="str">
        <f>IF(ISNUMBER(FIND("arbeid",Methode_Keuze)),"",IF(ISNUMBER(FIND("arbeid",Methode_Keuze)),"",IF(Tb_Activiteiten[[#This Row],[Arbeidskosten]]=1,Tb_Activiteiten[[#Headers],[Arbeidskosten]],"")))</f>
        <v/>
      </c>
      <c r="AR835" t="str">
        <f>IF(ISNUMBER(FIND("arbeid",Methode_Keuze)),"",IF(ISNUMBER(FIND("arbeid",Methode_Keuze)),"",IF(Tb_Activiteiten[[#This Row],[Arbeidskosten op basis van IKS]]=1,Tb_Activiteiten[[#Headers],[Arbeidskosten op basis van IKS]],"")))</f>
        <v/>
      </c>
      <c r="AS835" t="str">
        <f>IF(ISNUMBER(FIND("overige",Methode_Keuze)),"",IF(Tb_Activiteiten[[#This Row],[Kosten derden exclusief btw]]=1,Tb_Activiteiten[[#Headers],[Kosten derden exclusief btw]],""))</f>
        <v/>
      </c>
      <c r="AT835" t="str">
        <f>IF(ISNUMBER(FIND("overige",Methode_Keuze)),"",IF(Tb_Activiteiten[[#This Row],[Niet verrekenbare btw]]=1,Tb_Activiteiten[[#Headers],[Niet verrekenbare btw]],""))</f>
        <v/>
      </c>
      <c r="AU835" t="str">
        <f>IF(ISNUMBER(FIND("overige",Methode_Keuze)),"",IF(Tb_Activiteiten[[#This Row],[Grondkosten]]=1,Tb_Activiteiten[[#Headers],[Grondkosten]],""))</f>
        <v/>
      </c>
      <c r="AV835" t="str">
        <f>IF(ISNUMBER(FIND("overige",Methode_Keuze)),"",IF(Tb_Activiteiten[[#This Row],[Bijdrage in natura (overige)]]=1,Tb_Activiteiten[[#Headers],[Bijdrage in natura (overige)]],""))</f>
        <v/>
      </c>
      <c r="AW835" t="str">
        <f>IF(ISNUMBER(FIND("overige",Methode_Keuze)),"",IF(Tb_Activiteiten[[#This Row],[Bijdrage in natura (vrijwilligers)]]=1,Tb_Activiteiten[[#Headers],[Bijdrage in natura (vrijwilligers)]],""))</f>
        <v/>
      </c>
      <c r="AX835" t="str">
        <f>IF(ISNUMBER(FIND("overige",Methode_Keuze)),"",IF(Tb_Activiteiten[[#This Row],[Afschrijvingskosten]]=1,Tb_Activiteiten[[#Headers],[Afschrijvingskosten]],""))</f>
        <v/>
      </c>
      <c r="AY835" t="str">
        <f>IF(ISNUMBER(FIND("overige",Methode_Keuze)),"",IF(Tb_Activiteiten[[#This Row],[Vergoeding]]=1,Tb_Activiteiten[[#Headers],[Vergoeding]],""))</f>
        <v/>
      </c>
      <c r="AZ835" t="str">
        <f>IF(ISNUMBER(FIND("arbeid",Methode_Keuze)),"",IF(Tb_Activiteiten[[#This Row],[Arbeidskosten - vast tarief (excl eigen arbeid)]]=1,Tb_Activiteiten[[#Headers],[Arbeidskosten - vast tarief (excl eigen arbeid)]],""))</f>
        <v/>
      </c>
      <c r="BA835" t="str">
        <f>IF(ISNUMBER(FIND("overige",Methode_Keuze)),"",IF(Tb_Activiteiten[[#This Row],[Overige kosten]]=1,Tb_Activiteiten[[#Headers],[Overige kosten]],""))</f>
        <v/>
      </c>
    </row>
    <row r="836" spans="1:53" x14ac:dyDescent="0.25">
      <c r="A836" s="231"/>
      <c r="F836" s="64"/>
      <c r="G836" s="64"/>
      <c r="H836" s="275"/>
      <c r="I836" s="275"/>
      <c r="J836" s="275"/>
      <c r="K836" s="275"/>
      <c r="O836" s="56"/>
      <c r="Q836" t="str">
        <f>IFERROR(IF(VLOOKUP(Tb_Activiteiten[[#This Row],[Openstelling]],Tb_Openstelling[],2,0)=1,1,""),"")</f>
        <v/>
      </c>
      <c r="AK836" t="str">
        <f>IF(ISNUMBER(FIND("arbeid",Methode_Keuze)),"",IF(ISNUMBER(FIND("arbeid",Methode_Keuze)),"",IF(Tb_Activiteiten[[#This Row],[Loonkosten]]=1,Tb_Activiteiten[[#Headers],[Loonkosten]],"")))</f>
        <v/>
      </c>
      <c r="AL836" t="str">
        <f>IF(ISNUMBER(FIND("arbeid",Methode_Keuze)),"",IF(ISNUMBER(FIND("arbeid",Methode_Keuze)),"",IF(Tb_Activiteiten[[#This Row],[Eigen arbeid]]=1,Tb_Activiteiten[[#Headers],[Eigen arbeid]],"")))</f>
        <v/>
      </c>
      <c r="AM836" t="str">
        <f>IF(ISNUMBER(FIND("arbeid",Methode_Keuze)),"",IF(ISNUMBER(FIND("arbeid",Methode_Keuze)),"",IF(Tb_Activiteiten[[#This Row],[Projectmedewerker]]=1,Tb_Activiteiten[[#Headers],[Projectmedewerker]],"")))</f>
        <v/>
      </c>
      <c r="AN836" t="str">
        <f>IF(ISNUMBER(FIND("arbeid",Methode_Keuze)),"",IF(ISNUMBER(FIND("arbeid",Methode_Keuze)),"",IF(Tb_Activiteiten[[#This Row],[Landbouwer]]=1,Tb_Activiteiten[[#Headers],[Landbouwer]],"")))</f>
        <v/>
      </c>
      <c r="AO836" t="str">
        <f>IF(ISNUMBER(FIND("arbeid",Methode_Keuze)),"",IF(ISNUMBER(FIND("arbeid",Methode_Keuze)),"",IF(Tb_Activiteiten[[#This Row],[Adviseur]]=1,Tb_Activiteiten[[#Headers],[Adviseur]],"")))</f>
        <v/>
      </c>
      <c r="AP836" t="str">
        <f>IF(ISNUMBER(FIND("arbeid",Methode_Keuze)),"",IF(ISNUMBER(FIND("arbeid",Methode_Keuze)),"",IF(Tb_Activiteiten[[#This Row],[Projectleider/Expert]]=1,Tb_Activiteiten[[#Headers],[Projectleider/Expert]],"")))</f>
        <v/>
      </c>
      <c r="AQ836" t="str">
        <f>IF(ISNUMBER(FIND("arbeid",Methode_Keuze)),"",IF(ISNUMBER(FIND("arbeid",Methode_Keuze)),"",IF(Tb_Activiteiten[[#This Row],[Arbeidskosten]]=1,Tb_Activiteiten[[#Headers],[Arbeidskosten]],"")))</f>
        <v/>
      </c>
      <c r="AR836" t="str">
        <f>IF(ISNUMBER(FIND("arbeid",Methode_Keuze)),"",IF(ISNUMBER(FIND("arbeid",Methode_Keuze)),"",IF(Tb_Activiteiten[[#This Row],[Arbeidskosten op basis van IKS]]=1,Tb_Activiteiten[[#Headers],[Arbeidskosten op basis van IKS]],"")))</f>
        <v/>
      </c>
      <c r="AS836" t="str">
        <f>IF(ISNUMBER(FIND("overige",Methode_Keuze)),"",IF(Tb_Activiteiten[[#This Row],[Kosten derden exclusief btw]]=1,Tb_Activiteiten[[#Headers],[Kosten derden exclusief btw]],""))</f>
        <v/>
      </c>
      <c r="AT836" t="str">
        <f>IF(ISNUMBER(FIND("overige",Methode_Keuze)),"",IF(Tb_Activiteiten[[#This Row],[Niet verrekenbare btw]]=1,Tb_Activiteiten[[#Headers],[Niet verrekenbare btw]],""))</f>
        <v/>
      </c>
      <c r="AU836" t="str">
        <f>IF(ISNUMBER(FIND("overige",Methode_Keuze)),"",IF(Tb_Activiteiten[[#This Row],[Grondkosten]]=1,Tb_Activiteiten[[#Headers],[Grondkosten]],""))</f>
        <v/>
      </c>
      <c r="AV836" t="str">
        <f>IF(ISNUMBER(FIND("overige",Methode_Keuze)),"",IF(Tb_Activiteiten[[#This Row],[Bijdrage in natura (overige)]]=1,Tb_Activiteiten[[#Headers],[Bijdrage in natura (overige)]],""))</f>
        <v/>
      </c>
      <c r="AW836" t="str">
        <f>IF(ISNUMBER(FIND("overige",Methode_Keuze)),"",IF(Tb_Activiteiten[[#This Row],[Bijdrage in natura (vrijwilligers)]]=1,Tb_Activiteiten[[#Headers],[Bijdrage in natura (vrijwilligers)]],""))</f>
        <v/>
      </c>
      <c r="AX836" t="str">
        <f>IF(ISNUMBER(FIND("overige",Methode_Keuze)),"",IF(Tb_Activiteiten[[#This Row],[Afschrijvingskosten]]=1,Tb_Activiteiten[[#Headers],[Afschrijvingskosten]],""))</f>
        <v/>
      </c>
      <c r="AY836" t="str">
        <f>IF(ISNUMBER(FIND("overige",Methode_Keuze)),"",IF(Tb_Activiteiten[[#This Row],[Vergoeding]]=1,Tb_Activiteiten[[#Headers],[Vergoeding]],""))</f>
        <v/>
      </c>
      <c r="AZ836" t="str">
        <f>IF(ISNUMBER(FIND("arbeid",Methode_Keuze)),"",IF(Tb_Activiteiten[[#This Row],[Arbeidskosten - vast tarief (excl eigen arbeid)]]=1,Tb_Activiteiten[[#Headers],[Arbeidskosten - vast tarief (excl eigen arbeid)]],""))</f>
        <v/>
      </c>
      <c r="BA836" t="str">
        <f>IF(ISNUMBER(FIND("overige",Methode_Keuze)),"",IF(Tb_Activiteiten[[#This Row],[Overige kosten]]=1,Tb_Activiteiten[[#Headers],[Overige kosten]],""))</f>
        <v/>
      </c>
    </row>
    <row r="837" spans="1:53" x14ac:dyDescent="0.25">
      <c r="A837" s="231"/>
      <c r="F837" s="64"/>
      <c r="G837" s="64"/>
      <c r="H837" s="275"/>
      <c r="I837" s="275"/>
      <c r="J837" s="275"/>
      <c r="K837" s="275"/>
      <c r="O837" s="56"/>
      <c r="Q837" t="str">
        <f>IFERROR(IF(VLOOKUP(Tb_Activiteiten[[#This Row],[Openstelling]],Tb_Openstelling[],2,0)=1,1,""),"")</f>
        <v/>
      </c>
      <c r="AK837" t="str">
        <f>IF(ISNUMBER(FIND("arbeid",Methode_Keuze)),"",IF(ISNUMBER(FIND("arbeid",Methode_Keuze)),"",IF(Tb_Activiteiten[[#This Row],[Loonkosten]]=1,Tb_Activiteiten[[#Headers],[Loonkosten]],"")))</f>
        <v/>
      </c>
      <c r="AL837" t="str">
        <f>IF(ISNUMBER(FIND("arbeid",Methode_Keuze)),"",IF(ISNUMBER(FIND("arbeid",Methode_Keuze)),"",IF(Tb_Activiteiten[[#This Row],[Eigen arbeid]]=1,Tb_Activiteiten[[#Headers],[Eigen arbeid]],"")))</f>
        <v/>
      </c>
      <c r="AM837" t="str">
        <f>IF(ISNUMBER(FIND("arbeid",Methode_Keuze)),"",IF(ISNUMBER(FIND("arbeid",Methode_Keuze)),"",IF(Tb_Activiteiten[[#This Row],[Projectmedewerker]]=1,Tb_Activiteiten[[#Headers],[Projectmedewerker]],"")))</f>
        <v/>
      </c>
      <c r="AN837" t="str">
        <f>IF(ISNUMBER(FIND("arbeid",Methode_Keuze)),"",IF(ISNUMBER(FIND("arbeid",Methode_Keuze)),"",IF(Tb_Activiteiten[[#This Row],[Landbouwer]]=1,Tb_Activiteiten[[#Headers],[Landbouwer]],"")))</f>
        <v/>
      </c>
      <c r="AO837" t="str">
        <f>IF(ISNUMBER(FIND("arbeid",Methode_Keuze)),"",IF(ISNUMBER(FIND("arbeid",Methode_Keuze)),"",IF(Tb_Activiteiten[[#This Row],[Adviseur]]=1,Tb_Activiteiten[[#Headers],[Adviseur]],"")))</f>
        <v/>
      </c>
      <c r="AP837" t="str">
        <f>IF(ISNUMBER(FIND("arbeid",Methode_Keuze)),"",IF(ISNUMBER(FIND("arbeid",Methode_Keuze)),"",IF(Tb_Activiteiten[[#This Row],[Projectleider/Expert]]=1,Tb_Activiteiten[[#Headers],[Projectleider/Expert]],"")))</f>
        <v/>
      </c>
      <c r="AQ837" t="str">
        <f>IF(ISNUMBER(FIND("arbeid",Methode_Keuze)),"",IF(ISNUMBER(FIND("arbeid",Methode_Keuze)),"",IF(Tb_Activiteiten[[#This Row],[Arbeidskosten]]=1,Tb_Activiteiten[[#Headers],[Arbeidskosten]],"")))</f>
        <v/>
      </c>
      <c r="AR837" t="str">
        <f>IF(ISNUMBER(FIND("arbeid",Methode_Keuze)),"",IF(ISNUMBER(FIND("arbeid",Methode_Keuze)),"",IF(Tb_Activiteiten[[#This Row],[Arbeidskosten op basis van IKS]]=1,Tb_Activiteiten[[#Headers],[Arbeidskosten op basis van IKS]],"")))</f>
        <v/>
      </c>
      <c r="AS837" t="str">
        <f>IF(ISNUMBER(FIND("overige",Methode_Keuze)),"",IF(Tb_Activiteiten[[#This Row],[Kosten derden exclusief btw]]=1,Tb_Activiteiten[[#Headers],[Kosten derden exclusief btw]],""))</f>
        <v/>
      </c>
      <c r="AT837" t="str">
        <f>IF(ISNUMBER(FIND("overige",Methode_Keuze)),"",IF(Tb_Activiteiten[[#This Row],[Niet verrekenbare btw]]=1,Tb_Activiteiten[[#Headers],[Niet verrekenbare btw]],""))</f>
        <v/>
      </c>
      <c r="AU837" t="str">
        <f>IF(ISNUMBER(FIND("overige",Methode_Keuze)),"",IF(Tb_Activiteiten[[#This Row],[Grondkosten]]=1,Tb_Activiteiten[[#Headers],[Grondkosten]],""))</f>
        <v/>
      </c>
      <c r="AV837" t="str">
        <f>IF(ISNUMBER(FIND("overige",Methode_Keuze)),"",IF(Tb_Activiteiten[[#This Row],[Bijdrage in natura (overige)]]=1,Tb_Activiteiten[[#Headers],[Bijdrage in natura (overige)]],""))</f>
        <v/>
      </c>
      <c r="AW837" t="str">
        <f>IF(ISNUMBER(FIND("overige",Methode_Keuze)),"",IF(Tb_Activiteiten[[#This Row],[Bijdrage in natura (vrijwilligers)]]=1,Tb_Activiteiten[[#Headers],[Bijdrage in natura (vrijwilligers)]],""))</f>
        <v/>
      </c>
      <c r="AX837" t="str">
        <f>IF(ISNUMBER(FIND("overige",Methode_Keuze)),"",IF(Tb_Activiteiten[[#This Row],[Afschrijvingskosten]]=1,Tb_Activiteiten[[#Headers],[Afschrijvingskosten]],""))</f>
        <v/>
      </c>
      <c r="AY837" t="str">
        <f>IF(ISNUMBER(FIND("overige",Methode_Keuze)),"",IF(Tb_Activiteiten[[#This Row],[Vergoeding]]=1,Tb_Activiteiten[[#Headers],[Vergoeding]],""))</f>
        <v/>
      </c>
      <c r="AZ837" t="str">
        <f>IF(ISNUMBER(FIND("arbeid",Methode_Keuze)),"",IF(Tb_Activiteiten[[#This Row],[Arbeidskosten - vast tarief (excl eigen arbeid)]]=1,Tb_Activiteiten[[#Headers],[Arbeidskosten - vast tarief (excl eigen arbeid)]],""))</f>
        <v/>
      </c>
      <c r="BA837" t="str">
        <f>IF(ISNUMBER(FIND("overige",Methode_Keuze)),"",IF(Tb_Activiteiten[[#This Row],[Overige kosten]]=1,Tb_Activiteiten[[#Headers],[Overige kosten]],""))</f>
        <v/>
      </c>
    </row>
    <row r="838" spans="1:53" x14ac:dyDescent="0.25">
      <c r="A838" s="231"/>
      <c r="F838" s="64"/>
      <c r="G838" s="64"/>
      <c r="H838" s="275"/>
      <c r="I838" s="275"/>
      <c r="J838" s="275"/>
      <c r="K838" s="275"/>
      <c r="O838" s="56"/>
      <c r="Q838" t="str">
        <f>IFERROR(IF(VLOOKUP(Tb_Activiteiten[[#This Row],[Openstelling]],Tb_Openstelling[],2,0)=1,1,""),"")</f>
        <v/>
      </c>
      <c r="AK838" t="str">
        <f>IF(ISNUMBER(FIND("arbeid",Methode_Keuze)),"",IF(ISNUMBER(FIND("arbeid",Methode_Keuze)),"",IF(Tb_Activiteiten[[#This Row],[Loonkosten]]=1,Tb_Activiteiten[[#Headers],[Loonkosten]],"")))</f>
        <v/>
      </c>
      <c r="AL838" t="str">
        <f>IF(ISNUMBER(FIND("arbeid",Methode_Keuze)),"",IF(ISNUMBER(FIND("arbeid",Methode_Keuze)),"",IF(Tb_Activiteiten[[#This Row],[Eigen arbeid]]=1,Tb_Activiteiten[[#Headers],[Eigen arbeid]],"")))</f>
        <v/>
      </c>
      <c r="AM838" t="str">
        <f>IF(ISNUMBER(FIND("arbeid",Methode_Keuze)),"",IF(ISNUMBER(FIND("arbeid",Methode_Keuze)),"",IF(Tb_Activiteiten[[#This Row],[Projectmedewerker]]=1,Tb_Activiteiten[[#Headers],[Projectmedewerker]],"")))</f>
        <v/>
      </c>
      <c r="AN838" t="str">
        <f>IF(ISNUMBER(FIND("arbeid",Methode_Keuze)),"",IF(ISNUMBER(FIND("arbeid",Methode_Keuze)),"",IF(Tb_Activiteiten[[#This Row],[Landbouwer]]=1,Tb_Activiteiten[[#Headers],[Landbouwer]],"")))</f>
        <v/>
      </c>
      <c r="AO838" t="str">
        <f>IF(ISNUMBER(FIND("arbeid",Methode_Keuze)),"",IF(ISNUMBER(FIND("arbeid",Methode_Keuze)),"",IF(Tb_Activiteiten[[#This Row],[Adviseur]]=1,Tb_Activiteiten[[#Headers],[Adviseur]],"")))</f>
        <v/>
      </c>
      <c r="AP838" t="str">
        <f>IF(ISNUMBER(FIND("arbeid",Methode_Keuze)),"",IF(ISNUMBER(FIND("arbeid",Methode_Keuze)),"",IF(Tb_Activiteiten[[#This Row],[Projectleider/Expert]]=1,Tb_Activiteiten[[#Headers],[Projectleider/Expert]],"")))</f>
        <v/>
      </c>
      <c r="AQ838" t="str">
        <f>IF(ISNUMBER(FIND("arbeid",Methode_Keuze)),"",IF(ISNUMBER(FIND("arbeid",Methode_Keuze)),"",IF(Tb_Activiteiten[[#This Row],[Arbeidskosten]]=1,Tb_Activiteiten[[#Headers],[Arbeidskosten]],"")))</f>
        <v/>
      </c>
      <c r="AR838" t="str">
        <f>IF(ISNUMBER(FIND("arbeid",Methode_Keuze)),"",IF(ISNUMBER(FIND("arbeid",Methode_Keuze)),"",IF(Tb_Activiteiten[[#This Row],[Arbeidskosten op basis van IKS]]=1,Tb_Activiteiten[[#Headers],[Arbeidskosten op basis van IKS]],"")))</f>
        <v/>
      </c>
      <c r="AS838" t="str">
        <f>IF(ISNUMBER(FIND("overige",Methode_Keuze)),"",IF(Tb_Activiteiten[[#This Row],[Kosten derden exclusief btw]]=1,Tb_Activiteiten[[#Headers],[Kosten derden exclusief btw]],""))</f>
        <v/>
      </c>
      <c r="AT838" t="str">
        <f>IF(ISNUMBER(FIND("overige",Methode_Keuze)),"",IF(Tb_Activiteiten[[#This Row],[Niet verrekenbare btw]]=1,Tb_Activiteiten[[#Headers],[Niet verrekenbare btw]],""))</f>
        <v/>
      </c>
      <c r="AU838" t="str">
        <f>IF(ISNUMBER(FIND("overige",Methode_Keuze)),"",IF(Tb_Activiteiten[[#This Row],[Grondkosten]]=1,Tb_Activiteiten[[#Headers],[Grondkosten]],""))</f>
        <v/>
      </c>
      <c r="AV838" t="str">
        <f>IF(ISNUMBER(FIND("overige",Methode_Keuze)),"",IF(Tb_Activiteiten[[#This Row],[Bijdrage in natura (overige)]]=1,Tb_Activiteiten[[#Headers],[Bijdrage in natura (overige)]],""))</f>
        <v/>
      </c>
      <c r="AW838" t="str">
        <f>IF(ISNUMBER(FIND("overige",Methode_Keuze)),"",IF(Tb_Activiteiten[[#This Row],[Bijdrage in natura (vrijwilligers)]]=1,Tb_Activiteiten[[#Headers],[Bijdrage in natura (vrijwilligers)]],""))</f>
        <v/>
      </c>
      <c r="AX838" t="str">
        <f>IF(ISNUMBER(FIND("overige",Methode_Keuze)),"",IF(Tb_Activiteiten[[#This Row],[Afschrijvingskosten]]=1,Tb_Activiteiten[[#Headers],[Afschrijvingskosten]],""))</f>
        <v/>
      </c>
      <c r="AY838" t="str">
        <f>IF(ISNUMBER(FIND("overige",Methode_Keuze)),"",IF(Tb_Activiteiten[[#This Row],[Vergoeding]]=1,Tb_Activiteiten[[#Headers],[Vergoeding]],""))</f>
        <v/>
      </c>
      <c r="AZ838" t="str">
        <f>IF(ISNUMBER(FIND("arbeid",Methode_Keuze)),"",IF(Tb_Activiteiten[[#This Row],[Arbeidskosten - vast tarief (excl eigen arbeid)]]=1,Tb_Activiteiten[[#Headers],[Arbeidskosten - vast tarief (excl eigen arbeid)]],""))</f>
        <v/>
      </c>
      <c r="BA838" t="str">
        <f>IF(ISNUMBER(FIND("overige",Methode_Keuze)),"",IF(Tb_Activiteiten[[#This Row],[Overige kosten]]=1,Tb_Activiteiten[[#Headers],[Overige kosten]],""))</f>
        <v/>
      </c>
    </row>
    <row r="839" spans="1:53" x14ac:dyDescent="0.25">
      <c r="A839" s="231"/>
      <c r="F839" s="64"/>
      <c r="G839" s="64"/>
      <c r="H839" s="275"/>
      <c r="I839" s="275"/>
      <c r="J839" s="275"/>
      <c r="K839" s="275"/>
      <c r="O839" s="56"/>
      <c r="Q839" t="str">
        <f>IFERROR(IF(VLOOKUP(Tb_Activiteiten[[#This Row],[Openstelling]],Tb_Openstelling[],2,0)=1,1,""),"")</f>
        <v/>
      </c>
      <c r="AK839" t="str">
        <f>IF(ISNUMBER(FIND("arbeid",Methode_Keuze)),"",IF(ISNUMBER(FIND("arbeid",Methode_Keuze)),"",IF(Tb_Activiteiten[[#This Row],[Loonkosten]]=1,Tb_Activiteiten[[#Headers],[Loonkosten]],"")))</f>
        <v/>
      </c>
      <c r="AL839" t="str">
        <f>IF(ISNUMBER(FIND("arbeid",Methode_Keuze)),"",IF(ISNUMBER(FIND("arbeid",Methode_Keuze)),"",IF(Tb_Activiteiten[[#This Row],[Eigen arbeid]]=1,Tb_Activiteiten[[#Headers],[Eigen arbeid]],"")))</f>
        <v/>
      </c>
      <c r="AM839" t="str">
        <f>IF(ISNUMBER(FIND("arbeid",Methode_Keuze)),"",IF(ISNUMBER(FIND("arbeid",Methode_Keuze)),"",IF(Tb_Activiteiten[[#This Row],[Projectmedewerker]]=1,Tb_Activiteiten[[#Headers],[Projectmedewerker]],"")))</f>
        <v/>
      </c>
      <c r="AN839" t="str">
        <f>IF(ISNUMBER(FIND("arbeid",Methode_Keuze)),"",IF(ISNUMBER(FIND("arbeid",Methode_Keuze)),"",IF(Tb_Activiteiten[[#This Row],[Landbouwer]]=1,Tb_Activiteiten[[#Headers],[Landbouwer]],"")))</f>
        <v/>
      </c>
      <c r="AO839" t="str">
        <f>IF(ISNUMBER(FIND("arbeid",Methode_Keuze)),"",IF(ISNUMBER(FIND("arbeid",Methode_Keuze)),"",IF(Tb_Activiteiten[[#This Row],[Adviseur]]=1,Tb_Activiteiten[[#Headers],[Adviseur]],"")))</f>
        <v/>
      </c>
      <c r="AP839" t="str">
        <f>IF(ISNUMBER(FIND("arbeid",Methode_Keuze)),"",IF(ISNUMBER(FIND("arbeid",Methode_Keuze)),"",IF(Tb_Activiteiten[[#This Row],[Projectleider/Expert]]=1,Tb_Activiteiten[[#Headers],[Projectleider/Expert]],"")))</f>
        <v/>
      </c>
      <c r="AQ839" t="str">
        <f>IF(ISNUMBER(FIND("arbeid",Methode_Keuze)),"",IF(ISNUMBER(FIND("arbeid",Methode_Keuze)),"",IF(Tb_Activiteiten[[#This Row],[Arbeidskosten]]=1,Tb_Activiteiten[[#Headers],[Arbeidskosten]],"")))</f>
        <v/>
      </c>
      <c r="AR839" t="str">
        <f>IF(ISNUMBER(FIND("arbeid",Methode_Keuze)),"",IF(ISNUMBER(FIND("arbeid",Methode_Keuze)),"",IF(Tb_Activiteiten[[#This Row],[Arbeidskosten op basis van IKS]]=1,Tb_Activiteiten[[#Headers],[Arbeidskosten op basis van IKS]],"")))</f>
        <v/>
      </c>
      <c r="AS839" t="str">
        <f>IF(ISNUMBER(FIND("overige",Methode_Keuze)),"",IF(Tb_Activiteiten[[#This Row],[Kosten derden exclusief btw]]=1,Tb_Activiteiten[[#Headers],[Kosten derden exclusief btw]],""))</f>
        <v/>
      </c>
      <c r="AT839" t="str">
        <f>IF(ISNUMBER(FIND("overige",Methode_Keuze)),"",IF(Tb_Activiteiten[[#This Row],[Niet verrekenbare btw]]=1,Tb_Activiteiten[[#Headers],[Niet verrekenbare btw]],""))</f>
        <v/>
      </c>
      <c r="AU839" t="str">
        <f>IF(ISNUMBER(FIND("overige",Methode_Keuze)),"",IF(Tb_Activiteiten[[#This Row],[Grondkosten]]=1,Tb_Activiteiten[[#Headers],[Grondkosten]],""))</f>
        <v/>
      </c>
      <c r="AV839" t="str">
        <f>IF(ISNUMBER(FIND("overige",Methode_Keuze)),"",IF(Tb_Activiteiten[[#This Row],[Bijdrage in natura (overige)]]=1,Tb_Activiteiten[[#Headers],[Bijdrage in natura (overige)]],""))</f>
        <v/>
      </c>
      <c r="AW839" t="str">
        <f>IF(ISNUMBER(FIND("overige",Methode_Keuze)),"",IF(Tb_Activiteiten[[#This Row],[Bijdrage in natura (vrijwilligers)]]=1,Tb_Activiteiten[[#Headers],[Bijdrage in natura (vrijwilligers)]],""))</f>
        <v/>
      </c>
      <c r="AX839" t="str">
        <f>IF(ISNUMBER(FIND("overige",Methode_Keuze)),"",IF(Tb_Activiteiten[[#This Row],[Afschrijvingskosten]]=1,Tb_Activiteiten[[#Headers],[Afschrijvingskosten]],""))</f>
        <v/>
      </c>
      <c r="AY839" t="str">
        <f>IF(ISNUMBER(FIND("overige",Methode_Keuze)),"",IF(Tb_Activiteiten[[#This Row],[Vergoeding]]=1,Tb_Activiteiten[[#Headers],[Vergoeding]],""))</f>
        <v/>
      </c>
      <c r="AZ839" t="str">
        <f>IF(ISNUMBER(FIND("arbeid",Methode_Keuze)),"",IF(Tb_Activiteiten[[#This Row],[Arbeidskosten - vast tarief (excl eigen arbeid)]]=1,Tb_Activiteiten[[#Headers],[Arbeidskosten - vast tarief (excl eigen arbeid)]],""))</f>
        <v/>
      </c>
      <c r="BA839" t="str">
        <f>IF(ISNUMBER(FIND("overige",Methode_Keuze)),"",IF(Tb_Activiteiten[[#This Row],[Overige kosten]]=1,Tb_Activiteiten[[#Headers],[Overige kosten]],""))</f>
        <v/>
      </c>
    </row>
    <row r="840" spans="1:53" x14ac:dyDescent="0.25">
      <c r="A840" s="231"/>
      <c r="F840" s="64"/>
      <c r="G840" s="64"/>
      <c r="H840" s="275"/>
      <c r="I840" s="275"/>
      <c r="J840" s="275"/>
      <c r="K840" s="275"/>
      <c r="O840" s="56"/>
      <c r="Q840" t="str">
        <f>IFERROR(IF(VLOOKUP(Tb_Activiteiten[[#This Row],[Openstelling]],Tb_Openstelling[],2,0)=1,1,""),"")</f>
        <v/>
      </c>
      <c r="AK840" t="str">
        <f>IF(ISNUMBER(FIND("arbeid",Methode_Keuze)),"",IF(ISNUMBER(FIND("arbeid",Methode_Keuze)),"",IF(Tb_Activiteiten[[#This Row],[Loonkosten]]=1,Tb_Activiteiten[[#Headers],[Loonkosten]],"")))</f>
        <v/>
      </c>
      <c r="AL840" t="str">
        <f>IF(ISNUMBER(FIND("arbeid",Methode_Keuze)),"",IF(ISNUMBER(FIND("arbeid",Methode_Keuze)),"",IF(Tb_Activiteiten[[#This Row],[Eigen arbeid]]=1,Tb_Activiteiten[[#Headers],[Eigen arbeid]],"")))</f>
        <v/>
      </c>
      <c r="AM840" t="str">
        <f>IF(ISNUMBER(FIND("arbeid",Methode_Keuze)),"",IF(ISNUMBER(FIND("arbeid",Methode_Keuze)),"",IF(Tb_Activiteiten[[#This Row],[Projectmedewerker]]=1,Tb_Activiteiten[[#Headers],[Projectmedewerker]],"")))</f>
        <v/>
      </c>
      <c r="AN840" t="str">
        <f>IF(ISNUMBER(FIND("arbeid",Methode_Keuze)),"",IF(ISNUMBER(FIND("arbeid",Methode_Keuze)),"",IF(Tb_Activiteiten[[#This Row],[Landbouwer]]=1,Tb_Activiteiten[[#Headers],[Landbouwer]],"")))</f>
        <v/>
      </c>
      <c r="AO840" t="str">
        <f>IF(ISNUMBER(FIND("arbeid",Methode_Keuze)),"",IF(ISNUMBER(FIND("arbeid",Methode_Keuze)),"",IF(Tb_Activiteiten[[#This Row],[Adviseur]]=1,Tb_Activiteiten[[#Headers],[Adviseur]],"")))</f>
        <v/>
      </c>
      <c r="AP840" t="str">
        <f>IF(ISNUMBER(FIND("arbeid",Methode_Keuze)),"",IF(ISNUMBER(FIND("arbeid",Methode_Keuze)),"",IF(Tb_Activiteiten[[#This Row],[Projectleider/Expert]]=1,Tb_Activiteiten[[#Headers],[Projectleider/Expert]],"")))</f>
        <v/>
      </c>
      <c r="AQ840" t="str">
        <f>IF(ISNUMBER(FIND("arbeid",Methode_Keuze)),"",IF(ISNUMBER(FIND("arbeid",Methode_Keuze)),"",IF(Tb_Activiteiten[[#This Row],[Arbeidskosten]]=1,Tb_Activiteiten[[#Headers],[Arbeidskosten]],"")))</f>
        <v/>
      </c>
      <c r="AR840" t="str">
        <f>IF(ISNUMBER(FIND("arbeid",Methode_Keuze)),"",IF(ISNUMBER(FIND("arbeid",Methode_Keuze)),"",IF(Tb_Activiteiten[[#This Row],[Arbeidskosten op basis van IKS]]=1,Tb_Activiteiten[[#Headers],[Arbeidskosten op basis van IKS]],"")))</f>
        <v/>
      </c>
      <c r="AS840" t="str">
        <f>IF(ISNUMBER(FIND("overige",Methode_Keuze)),"",IF(Tb_Activiteiten[[#This Row],[Kosten derden exclusief btw]]=1,Tb_Activiteiten[[#Headers],[Kosten derden exclusief btw]],""))</f>
        <v/>
      </c>
      <c r="AT840" t="str">
        <f>IF(ISNUMBER(FIND("overige",Methode_Keuze)),"",IF(Tb_Activiteiten[[#This Row],[Niet verrekenbare btw]]=1,Tb_Activiteiten[[#Headers],[Niet verrekenbare btw]],""))</f>
        <v/>
      </c>
      <c r="AU840" t="str">
        <f>IF(ISNUMBER(FIND("overige",Methode_Keuze)),"",IF(Tb_Activiteiten[[#This Row],[Grondkosten]]=1,Tb_Activiteiten[[#Headers],[Grondkosten]],""))</f>
        <v/>
      </c>
      <c r="AV840" t="str">
        <f>IF(ISNUMBER(FIND("overige",Methode_Keuze)),"",IF(Tb_Activiteiten[[#This Row],[Bijdrage in natura (overige)]]=1,Tb_Activiteiten[[#Headers],[Bijdrage in natura (overige)]],""))</f>
        <v/>
      </c>
      <c r="AW840" t="str">
        <f>IF(ISNUMBER(FIND("overige",Methode_Keuze)),"",IF(Tb_Activiteiten[[#This Row],[Bijdrage in natura (vrijwilligers)]]=1,Tb_Activiteiten[[#Headers],[Bijdrage in natura (vrijwilligers)]],""))</f>
        <v/>
      </c>
      <c r="AX840" t="str">
        <f>IF(ISNUMBER(FIND("overige",Methode_Keuze)),"",IF(Tb_Activiteiten[[#This Row],[Afschrijvingskosten]]=1,Tb_Activiteiten[[#Headers],[Afschrijvingskosten]],""))</f>
        <v/>
      </c>
      <c r="AY840" t="str">
        <f>IF(ISNUMBER(FIND("overige",Methode_Keuze)),"",IF(Tb_Activiteiten[[#This Row],[Vergoeding]]=1,Tb_Activiteiten[[#Headers],[Vergoeding]],""))</f>
        <v/>
      </c>
      <c r="AZ840" t="str">
        <f>IF(ISNUMBER(FIND("arbeid",Methode_Keuze)),"",IF(Tb_Activiteiten[[#This Row],[Arbeidskosten - vast tarief (excl eigen arbeid)]]=1,Tb_Activiteiten[[#Headers],[Arbeidskosten - vast tarief (excl eigen arbeid)]],""))</f>
        <v/>
      </c>
      <c r="BA840" t="str">
        <f>IF(ISNUMBER(FIND("overige",Methode_Keuze)),"",IF(Tb_Activiteiten[[#This Row],[Overige kosten]]=1,Tb_Activiteiten[[#Headers],[Overige kosten]],""))</f>
        <v/>
      </c>
    </row>
    <row r="841" spans="1:53" x14ac:dyDescent="0.25">
      <c r="A841" s="231"/>
      <c r="F841" s="64"/>
      <c r="G841" s="64"/>
      <c r="H841" s="275"/>
      <c r="I841" s="275"/>
      <c r="J841" s="275"/>
      <c r="K841" s="275"/>
      <c r="O841" s="56"/>
      <c r="Q841" t="str">
        <f>IFERROR(IF(VLOOKUP(Tb_Activiteiten[[#This Row],[Openstelling]],Tb_Openstelling[],2,0)=1,1,""),"")</f>
        <v/>
      </c>
      <c r="AK841" t="str">
        <f>IF(ISNUMBER(FIND("arbeid",Methode_Keuze)),"",IF(ISNUMBER(FIND("arbeid",Methode_Keuze)),"",IF(Tb_Activiteiten[[#This Row],[Loonkosten]]=1,Tb_Activiteiten[[#Headers],[Loonkosten]],"")))</f>
        <v/>
      </c>
      <c r="AL841" t="str">
        <f>IF(ISNUMBER(FIND("arbeid",Methode_Keuze)),"",IF(ISNUMBER(FIND("arbeid",Methode_Keuze)),"",IF(Tb_Activiteiten[[#This Row],[Eigen arbeid]]=1,Tb_Activiteiten[[#Headers],[Eigen arbeid]],"")))</f>
        <v/>
      </c>
      <c r="AM841" t="str">
        <f>IF(ISNUMBER(FIND("arbeid",Methode_Keuze)),"",IF(ISNUMBER(FIND("arbeid",Methode_Keuze)),"",IF(Tb_Activiteiten[[#This Row],[Projectmedewerker]]=1,Tb_Activiteiten[[#Headers],[Projectmedewerker]],"")))</f>
        <v/>
      </c>
      <c r="AN841" t="str">
        <f>IF(ISNUMBER(FIND("arbeid",Methode_Keuze)),"",IF(ISNUMBER(FIND("arbeid",Methode_Keuze)),"",IF(Tb_Activiteiten[[#This Row],[Landbouwer]]=1,Tb_Activiteiten[[#Headers],[Landbouwer]],"")))</f>
        <v/>
      </c>
      <c r="AO841" t="str">
        <f>IF(ISNUMBER(FIND("arbeid",Methode_Keuze)),"",IF(ISNUMBER(FIND("arbeid",Methode_Keuze)),"",IF(Tb_Activiteiten[[#This Row],[Adviseur]]=1,Tb_Activiteiten[[#Headers],[Adviseur]],"")))</f>
        <v/>
      </c>
      <c r="AP841" t="str">
        <f>IF(ISNUMBER(FIND("arbeid",Methode_Keuze)),"",IF(ISNUMBER(FIND("arbeid",Methode_Keuze)),"",IF(Tb_Activiteiten[[#This Row],[Projectleider/Expert]]=1,Tb_Activiteiten[[#Headers],[Projectleider/Expert]],"")))</f>
        <v/>
      </c>
      <c r="AQ841" t="str">
        <f>IF(ISNUMBER(FIND("arbeid",Methode_Keuze)),"",IF(ISNUMBER(FIND("arbeid",Methode_Keuze)),"",IF(Tb_Activiteiten[[#This Row],[Arbeidskosten]]=1,Tb_Activiteiten[[#Headers],[Arbeidskosten]],"")))</f>
        <v/>
      </c>
      <c r="AR841" t="str">
        <f>IF(ISNUMBER(FIND("arbeid",Methode_Keuze)),"",IF(ISNUMBER(FIND("arbeid",Methode_Keuze)),"",IF(Tb_Activiteiten[[#This Row],[Arbeidskosten op basis van IKS]]=1,Tb_Activiteiten[[#Headers],[Arbeidskosten op basis van IKS]],"")))</f>
        <v/>
      </c>
      <c r="AS841" t="str">
        <f>IF(ISNUMBER(FIND("overige",Methode_Keuze)),"",IF(Tb_Activiteiten[[#This Row],[Kosten derden exclusief btw]]=1,Tb_Activiteiten[[#Headers],[Kosten derden exclusief btw]],""))</f>
        <v/>
      </c>
      <c r="AT841" t="str">
        <f>IF(ISNUMBER(FIND("overige",Methode_Keuze)),"",IF(Tb_Activiteiten[[#This Row],[Niet verrekenbare btw]]=1,Tb_Activiteiten[[#Headers],[Niet verrekenbare btw]],""))</f>
        <v/>
      </c>
      <c r="AU841" t="str">
        <f>IF(ISNUMBER(FIND("overige",Methode_Keuze)),"",IF(Tb_Activiteiten[[#This Row],[Grondkosten]]=1,Tb_Activiteiten[[#Headers],[Grondkosten]],""))</f>
        <v/>
      </c>
      <c r="AV841" t="str">
        <f>IF(ISNUMBER(FIND("overige",Methode_Keuze)),"",IF(Tb_Activiteiten[[#This Row],[Bijdrage in natura (overige)]]=1,Tb_Activiteiten[[#Headers],[Bijdrage in natura (overige)]],""))</f>
        <v/>
      </c>
      <c r="AW841" t="str">
        <f>IF(ISNUMBER(FIND("overige",Methode_Keuze)),"",IF(Tb_Activiteiten[[#This Row],[Bijdrage in natura (vrijwilligers)]]=1,Tb_Activiteiten[[#Headers],[Bijdrage in natura (vrijwilligers)]],""))</f>
        <v/>
      </c>
      <c r="AX841" t="str">
        <f>IF(ISNUMBER(FIND("overige",Methode_Keuze)),"",IF(Tb_Activiteiten[[#This Row],[Afschrijvingskosten]]=1,Tb_Activiteiten[[#Headers],[Afschrijvingskosten]],""))</f>
        <v/>
      </c>
      <c r="AY841" t="str">
        <f>IF(ISNUMBER(FIND("overige",Methode_Keuze)),"",IF(Tb_Activiteiten[[#This Row],[Vergoeding]]=1,Tb_Activiteiten[[#Headers],[Vergoeding]],""))</f>
        <v/>
      </c>
      <c r="AZ841" t="str">
        <f>IF(ISNUMBER(FIND("arbeid",Methode_Keuze)),"",IF(Tb_Activiteiten[[#This Row],[Arbeidskosten - vast tarief (excl eigen arbeid)]]=1,Tb_Activiteiten[[#Headers],[Arbeidskosten - vast tarief (excl eigen arbeid)]],""))</f>
        <v/>
      </c>
      <c r="BA841" t="str">
        <f>IF(ISNUMBER(FIND("overige",Methode_Keuze)),"",IF(Tb_Activiteiten[[#This Row],[Overige kosten]]=1,Tb_Activiteiten[[#Headers],[Overige kosten]],""))</f>
        <v/>
      </c>
    </row>
    <row r="842" spans="1:53" x14ac:dyDescent="0.25">
      <c r="A842" s="231"/>
      <c r="F842" s="64"/>
      <c r="G842" s="64"/>
      <c r="H842" s="275"/>
      <c r="I842" s="275"/>
      <c r="J842" s="275"/>
      <c r="K842" s="275"/>
      <c r="O842" s="56"/>
      <c r="Q842" t="str">
        <f>IFERROR(IF(VLOOKUP(Tb_Activiteiten[[#This Row],[Openstelling]],Tb_Openstelling[],2,0)=1,1,""),"")</f>
        <v/>
      </c>
      <c r="AK842" t="str">
        <f>IF(ISNUMBER(FIND("arbeid",Methode_Keuze)),"",IF(ISNUMBER(FIND("arbeid",Methode_Keuze)),"",IF(Tb_Activiteiten[[#This Row],[Loonkosten]]=1,Tb_Activiteiten[[#Headers],[Loonkosten]],"")))</f>
        <v/>
      </c>
      <c r="AL842" t="str">
        <f>IF(ISNUMBER(FIND("arbeid",Methode_Keuze)),"",IF(ISNUMBER(FIND("arbeid",Methode_Keuze)),"",IF(Tb_Activiteiten[[#This Row],[Eigen arbeid]]=1,Tb_Activiteiten[[#Headers],[Eigen arbeid]],"")))</f>
        <v/>
      </c>
      <c r="AM842" t="str">
        <f>IF(ISNUMBER(FIND("arbeid",Methode_Keuze)),"",IF(ISNUMBER(FIND("arbeid",Methode_Keuze)),"",IF(Tb_Activiteiten[[#This Row],[Projectmedewerker]]=1,Tb_Activiteiten[[#Headers],[Projectmedewerker]],"")))</f>
        <v/>
      </c>
      <c r="AN842" t="str">
        <f>IF(ISNUMBER(FIND("arbeid",Methode_Keuze)),"",IF(ISNUMBER(FIND("arbeid",Methode_Keuze)),"",IF(Tb_Activiteiten[[#This Row],[Landbouwer]]=1,Tb_Activiteiten[[#Headers],[Landbouwer]],"")))</f>
        <v/>
      </c>
      <c r="AO842" t="str">
        <f>IF(ISNUMBER(FIND("arbeid",Methode_Keuze)),"",IF(ISNUMBER(FIND("arbeid",Methode_Keuze)),"",IF(Tb_Activiteiten[[#This Row],[Adviseur]]=1,Tb_Activiteiten[[#Headers],[Adviseur]],"")))</f>
        <v/>
      </c>
      <c r="AP842" t="str">
        <f>IF(ISNUMBER(FIND("arbeid",Methode_Keuze)),"",IF(ISNUMBER(FIND("arbeid",Methode_Keuze)),"",IF(Tb_Activiteiten[[#This Row],[Projectleider/Expert]]=1,Tb_Activiteiten[[#Headers],[Projectleider/Expert]],"")))</f>
        <v/>
      </c>
      <c r="AQ842" t="str">
        <f>IF(ISNUMBER(FIND("arbeid",Methode_Keuze)),"",IF(ISNUMBER(FIND("arbeid",Methode_Keuze)),"",IF(Tb_Activiteiten[[#This Row],[Arbeidskosten]]=1,Tb_Activiteiten[[#Headers],[Arbeidskosten]],"")))</f>
        <v/>
      </c>
      <c r="AR842" t="str">
        <f>IF(ISNUMBER(FIND("arbeid",Methode_Keuze)),"",IF(ISNUMBER(FIND("arbeid",Methode_Keuze)),"",IF(Tb_Activiteiten[[#This Row],[Arbeidskosten op basis van IKS]]=1,Tb_Activiteiten[[#Headers],[Arbeidskosten op basis van IKS]],"")))</f>
        <v/>
      </c>
      <c r="AS842" t="str">
        <f>IF(ISNUMBER(FIND("overige",Methode_Keuze)),"",IF(Tb_Activiteiten[[#This Row],[Kosten derden exclusief btw]]=1,Tb_Activiteiten[[#Headers],[Kosten derden exclusief btw]],""))</f>
        <v/>
      </c>
      <c r="AT842" t="str">
        <f>IF(ISNUMBER(FIND("overige",Methode_Keuze)),"",IF(Tb_Activiteiten[[#This Row],[Niet verrekenbare btw]]=1,Tb_Activiteiten[[#Headers],[Niet verrekenbare btw]],""))</f>
        <v/>
      </c>
      <c r="AU842" t="str">
        <f>IF(ISNUMBER(FIND("overige",Methode_Keuze)),"",IF(Tb_Activiteiten[[#This Row],[Grondkosten]]=1,Tb_Activiteiten[[#Headers],[Grondkosten]],""))</f>
        <v/>
      </c>
      <c r="AV842" t="str">
        <f>IF(ISNUMBER(FIND("overige",Methode_Keuze)),"",IF(Tb_Activiteiten[[#This Row],[Bijdrage in natura (overige)]]=1,Tb_Activiteiten[[#Headers],[Bijdrage in natura (overige)]],""))</f>
        <v/>
      </c>
      <c r="AW842" t="str">
        <f>IF(ISNUMBER(FIND("overige",Methode_Keuze)),"",IF(Tb_Activiteiten[[#This Row],[Bijdrage in natura (vrijwilligers)]]=1,Tb_Activiteiten[[#Headers],[Bijdrage in natura (vrijwilligers)]],""))</f>
        <v/>
      </c>
      <c r="AX842" t="str">
        <f>IF(ISNUMBER(FIND("overige",Methode_Keuze)),"",IF(Tb_Activiteiten[[#This Row],[Afschrijvingskosten]]=1,Tb_Activiteiten[[#Headers],[Afschrijvingskosten]],""))</f>
        <v/>
      </c>
      <c r="AY842" t="str">
        <f>IF(ISNUMBER(FIND("overige",Methode_Keuze)),"",IF(Tb_Activiteiten[[#This Row],[Vergoeding]]=1,Tb_Activiteiten[[#Headers],[Vergoeding]],""))</f>
        <v/>
      </c>
      <c r="AZ842" t="str">
        <f>IF(ISNUMBER(FIND("arbeid",Methode_Keuze)),"",IF(Tb_Activiteiten[[#This Row],[Arbeidskosten - vast tarief (excl eigen arbeid)]]=1,Tb_Activiteiten[[#Headers],[Arbeidskosten - vast tarief (excl eigen arbeid)]],""))</f>
        <v/>
      </c>
      <c r="BA842" t="str">
        <f>IF(ISNUMBER(FIND("overige",Methode_Keuze)),"",IF(Tb_Activiteiten[[#This Row],[Overige kosten]]=1,Tb_Activiteiten[[#Headers],[Overige kosten]],""))</f>
        <v/>
      </c>
    </row>
    <row r="843" spans="1:53" x14ac:dyDescent="0.25">
      <c r="A843" s="231"/>
      <c r="F843" s="64"/>
      <c r="G843" s="64"/>
      <c r="H843" s="275"/>
      <c r="I843" s="275"/>
      <c r="J843" s="275"/>
      <c r="K843" s="275"/>
      <c r="O843" s="56"/>
      <c r="Q843" t="str">
        <f>IFERROR(IF(VLOOKUP(Tb_Activiteiten[[#This Row],[Openstelling]],Tb_Openstelling[],2,0)=1,1,""),"")</f>
        <v/>
      </c>
      <c r="AK843" t="str">
        <f>IF(ISNUMBER(FIND("arbeid",Methode_Keuze)),"",IF(ISNUMBER(FIND("arbeid",Methode_Keuze)),"",IF(Tb_Activiteiten[[#This Row],[Loonkosten]]=1,Tb_Activiteiten[[#Headers],[Loonkosten]],"")))</f>
        <v/>
      </c>
      <c r="AL843" t="str">
        <f>IF(ISNUMBER(FIND("arbeid",Methode_Keuze)),"",IF(ISNUMBER(FIND("arbeid",Methode_Keuze)),"",IF(Tb_Activiteiten[[#This Row],[Eigen arbeid]]=1,Tb_Activiteiten[[#Headers],[Eigen arbeid]],"")))</f>
        <v/>
      </c>
      <c r="AM843" t="str">
        <f>IF(ISNUMBER(FIND("arbeid",Methode_Keuze)),"",IF(ISNUMBER(FIND("arbeid",Methode_Keuze)),"",IF(Tb_Activiteiten[[#This Row],[Projectmedewerker]]=1,Tb_Activiteiten[[#Headers],[Projectmedewerker]],"")))</f>
        <v/>
      </c>
      <c r="AN843" t="str">
        <f>IF(ISNUMBER(FIND("arbeid",Methode_Keuze)),"",IF(ISNUMBER(FIND("arbeid",Methode_Keuze)),"",IF(Tb_Activiteiten[[#This Row],[Landbouwer]]=1,Tb_Activiteiten[[#Headers],[Landbouwer]],"")))</f>
        <v/>
      </c>
      <c r="AO843" t="str">
        <f>IF(ISNUMBER(FIND("arbeid",Methode_Keuze)),"",IF(ISNUMBER(FIND("arbeid",Methode_Keuze)),"",IF(Tb_Activiteiten[[#This Row],[Adviseur]]=1,Tb_Activiteiten[[#Headers],[Adviseur]],"")))</f>
        <v/>
      </c>
      <c r="AP843" t="str">
        <f>IF(ISNUMBER(FIND("arbeid",Methode_Keuze)),"",IF(ISNUMBER(FIND("arbeid",Methode_Keuze)),"",IF(Tb_Activiteiten[[#This Row],[Projectleider/Expert]]=1,Tb_Activiteiten[[#Headers],[Projectleider/Expert]],"")))</f>
        <v/>
      </c>
      <c r="AQ843" t="str">
        <f>IF(ISNUMBER(FIND("arbeid",Methode_Keuze)),"",IF(ISNUMBER(FIND("arbeid",Methode_Keuze)),"",IF(Tb_Activiteiten[[#This Row],[Arbeidskosten]]=1,Tb_Activiteiten[[#Headers],[Arbeidskosten]],"")))</f>
        <v/>
      </c>
      <c r="AR843" t="str">
        <f>IF(ISNUMBER(FIND("arbeid",Methode_Keuze)),"",IF(ISNUMBER(FIND("arbeid",Methode_Keuze)),"",IF(Tb_Activiteiten[[#This Row],[Arbeidskosten op basis van IKS]]=1,Tb_Activiteiten[[#Headers],[Arbeidskosten op basis van IKS]],"")))</f>
        <v/>
      </c>
      <c r="AS843" t="str">
        <f>IF(ISNUMBER(FIND("overige",Methode_Keuze)),"",IF(Tb_Activiteiten[[#This Row],[Kosten derden exclusief btw]]=1,Tb_Activiteiten[[#Headers],[Kosten derden exclusief btw]],""))</f>
        <v/>
      </c>
      <c r="AT843" t="str">
        <f>IF(ISNUMBER(FIND("overige",Methode_Keuze)),"",IF(Tb_Activiteiten[[#This Row],[Niet verrekenbare btw]]=1,Tb_Activiteiten[[#Headers],[Niet verrekenbare btw]],""))</f>
        <v/>
      </c>
      <c r="AU843" t="str">
        <f>IF(ISNUMBER(FIND("overige",Methode_Keuze)),"",IF(Tb_Activiteiten[[#This Row],[Grondkosten]]=1,Tb_Activiteiten[[#Headers],[Grondkosten]],""))</f>
        <v/>
      </c>
      <c r="AV843" t="str">
        <f>IF(ISNUMBER(FIND("overige",Methode_Keuze)),"",IF(Tb_Activiteiten[[#This Row],[Bijdrage in natura (overige)]]=1,Tb_Activiteiten[[#Headers],[Bijdrage in natura (overige)]],""))</f>
        <v/>
      </c>
      <c r="AW843" t="str">
        <f>IF(ISNUMBER(FIND("overige",Methode_Keuze)),"",IF(Tb_Activiteiten[[#This Row],[Bijdrage in natura (vrijwilligers)]]=1,Tb_Activiteiten[[#Headers],[Bijdrage in natura (vrijwilligers)]],""))</f>
        <v/>
      </c>
      <c r="AX843" t="str">
        <f>IF(ISNUMBER(FIND("overige",Methode_Keuze)),"",IF(Tb_Activiteiten[[#This Row],[Afschrijvingskosten]]=1,Tb_Activiteiten[[#Headers],[Afschrijvingskosten]],""))</f>
        <v/>
      </c>
      <c r="AY843" t="str">
        <f>IF(ISNUMBER(FIND("overige",Methode_Keuze)),"",IF(Tb_Activiteiten[[#This Row],[Vergoeding]]=1,Tb_Activiteiten[[#Headers],[Vergoeding]],""))</f>
        <v/>
      </c>
      <c r="AZ843" t="str">
        <f>IF(ISNUMBER(FIND("arbeid",Methode_Keuze)),"",IF(Tb_Activiteiten[[#This Row],[Arbeidskosten - vast tarief (excl eigen arbeid)]]=1,Tb_Activiteiten[[#Headers],[Arbeidskosten - vast tarief (excl eigen arbeid)]],""))</f>
        <v/>
      </c>
      <c r="BA843" t="str">
        <f>IF(ISNUMBER(FIND("overige",Methode_Keuze)),"",IF(Tb_Activiteiten[[#This Row],[Overige kosten]]=1,Tb_Activiteiten[[#Headers],[Overige kosten]],""))</f>
        <v/>
      </c>
    </row>
    <row r="844" spans="1:53" x14ac:dyDescent="0.25">
      <c r="A844" s="231"/>
      <c r="F844" s="64"/>
      <c r="G844" s="64"/>
      <c r="H844" s="275"/>
      <c r="I844" s="275"/>
      <c r="J844" s="275"/>
      <c r="K844" s="275"/>
      <c r="O844" s="56"/>
      <c r="Q844" t="str">
        <f>IFERROR(IF(VLOOKUP(Tb_Activiteiten[[#This Row],[Openstelling]],Tb_Openstelling[],2,0)=1,1,""),"")</f>
        <v/>
      </c>
      <c r="AK844" t="str">
        <f>IF(ISNUMBER(FIND("arbeid",Methode_Keuze)),"",IF(ISNUMBER(FIND("arbeid",Methode_Keuze)),"",IF(Tb_Activiteiten[[#This Row],[Loonkosten]]=1,Tb_Activiteiten[[#Headers],[Loonkosten]],"")))</f>
        <v/>
      </c>
      <c r="AL844" t="str">
        <f>IF(ISNUMBER(FIND("arbeid",Methode_Keuze)),"",IF(ISNUMBER(FIND("arbeid",Methode_Keuze)),"",IF(Tb_Activiteiten[[#This Row],[Eigen arbeid]]=1,Tb_Activiteiten[[#Headers],[Eigen arbeid]],"")))</f>
        <v/>
      </c>
      <c r="AM844" t="str">
        <f>IF(ISNUMBER(FIND("arbeid",Methode_Keuze)),"",IF(ISNUMBER(FIND("arbeid",Methode_Keuze)),"",IF(Tb_Activiteiten[[#This Row],[Projectmedewerker]]=1,Tb_Activiteiten[[#Headers],[Projectmedewerker]],"")))</f>
        <v/>
      </c>
      <c r="AN844" t="str">
        <f>IF(ISNUMBER(FIND("arbeid",Methode_Keuze)),"",IF(ISNUMBER(FIND("arbeid",Methode_Keuze)),"",IF(Tb_Activiteiten[[#This Row],[Landbouwer]]=1,Tb_Activiteiten[[#Headers],[Landbouwer]],"")))</f>
        <v/>
      </c>
      <c r="AO844" t="str">
        <f>IF(ISNUMBER(FIND("arbeid",Methode_Keuze)),"",IF(ISNUMBER(FIND("arbeid",Methode_Keuze)),"",IF(Tb_Activiteiten[[#This Row],[Adviseur]]=1,Tb_Activiteiten[[#Headers],[Adviseur]],"")))</f>
        <v/>
      </c>
      <c r="AP844" t="str">
        <f>IF(ISNUMBER(FIND("arbeid",Methode_Keuze)),"",IF(ISNUMBER(FIND("arbeid",Methode_Keuze)),"",IF(Tb_Activiteiten[[#This Row],[Projectleider/Expert]]=1,Tb_Activiteiten[[#Headers],[Projectleider/Expert]],"")))</f>
        <v/>
      </c>
      <c r="AQ844" t="str">
        <f>IF(ISNUMBER(FIND("arbeid",Methode_Keuze)),"",IF(ISNUMBER(FIND("arbeid",Methode_Keuze)),"",IF(Tb_Activiteiten[[#This Row],[Arbeidskosten]]=1,Tb_Activiteiten[[#Headers],[Arbeidskosten]],"")))</f>
        <v/>
      </c>
      <c r="AR844" t="str">
        <f>IF(ISNUMBER(FIND("arbeid",Methode_Keuze)),"",IF(ISNUMBER(FIND("arbeid",Methode_Keuze)),"",IF(Tb_Activiteiten[[#This Row],[Arbeidskosten op basis van IKS]]=1,Tb_Activiteiten[[#Headers],[Arbeidskosten op basis van IKS]],"")))</f>
        <v/>
      </c>
      <c r="AS844" t="str">
        <f>IF(ISNUMBER(FIND("overige",Methode_Keuze)),"",IF(Tb_Activiteiten[[#This Row],[Kosten derden exclusief btw]]=1,Tb_Activiteiten[[#Headers],[Kosten derden exclusief btw]],""))</f>
        <v/>
      </c>
      <c r="AT844" t="str">
        <f>IF(ISNUMBER(FIND("overige",Methode_Keuze)),"",IF(Tb_Activiteiten[[#This Row],[Niet verrekenbare btw]]=1,Tb_Activiteiten[[#Headers],[Niet verrekenbare btw]],""))</f>
        <v/>
      </c>
      <c r="AU844" t="str">
        <f>IF(ISNUMBER(FIND("overige",Methode_Keuze)),"",IF(Tb_Activiteiten[[#This Row],[Grondkosten]]=1,Tb_Activiteiten[[#Headers],[Grondkosten]],""))</f>
        <v/>
      </c>
      <c r="AV844" t="str">
        <f>IF(ISNUMBER(FIND("overige",Methode_Keuze)),"",IF(Tb_Activiteiten[[#This Row],[Bijdrage in natura (overige)]]=1,Tb_Activiteiten[[#Headers],[Bijdrage in natura (overige)]],""))</f>
        <v/>
      </c>
      <c r="AW844" t="str">
        <f>IF(ISNUMBER(FIND("overige",Methode_Keuze)),"",IF(Tb_Activiteiten[[#This Row],[Bijdrage in natura (vrijwilligers)]]=1,Tb_Activiteiten[[#Headers],[Bijdrage in natura (vrijwilligers)]],""))</f>
        <v/>
      </c>
      <c r="AX844" t="str">
        <f>IF(ISNUMBER(FIND("overige",Methode_Keuze)),"",IF(Tb_Activiteiten[[#This Row],[Afschrijvingskosten]]=1,Tb_Activiteiten[[#Headers],[Afschrijvingskosten]],""))</f>
        <v/>
      </c>
      <c r="AY844" t="str">
        <f>IF(ISNUMBER(FIND("overige",Methode_Keuze)),"",IF(Tb_Activiteiten[[#This Row],[Vergoeding]]=1,Tb_Activiteiten[[#Headers],[Vergoeding]],""))</f>
        <v/>
      </c>
      <c r="AZ844" t="str">
        <f>IF(ISNUMBER(FIND("arbeid",Methode_Keuze)),"",IF(Tb_Activiteiten[[#This Row],[Arbeidskosten - vast tarief (excl eigen arbeid)]]=1,Tb_Activiteiten[[#Headers],[Arbeidskosten - vast tarief (excl eigen arbeid)]],""))</f>
        <v/>
      </c>
      <c r="BA844" t="str">
        <f>IF(ISNUMBER(FIND("overige",Methode_Keuze)),"",IF(Tb_Activiteiten[[#This Row],[Overige kosten]]=1,Tb_Activiteiten[[#Headers],[Overige kosten]],""))</f>
        <v/>
      </c>
    </row>
    <row r="845" spans="1:53" x14ac:dyDescent="0.25">
      <c r="A845" s="231"/>
      <c r="F845" s="64"/>
      <c r="G845" s="64"/>
      <c r="H845" s="275"/>
      <c r="I845" s="275"/>
      <c r="J845" s="275"/>
      <c r="K845" s="275"/>
      <c r="O845" s="56"/>
      <c r="Q845" t="str">
        <f>IFERROR(IF(VLOOKUP(Tb_Activiteiten[[#This Row],[Openstelling]],Tb_Openstelling[],2,0)=1,1,""),"")</f>
        <v/>
      </c>
      <c r="AK845" t="str">
        <f>IF(ISNUMBER(FIND("arbeid",Methode_Keuze)),"",IF(ISNUMBER(FIND("arbeid",Methode_Keuze)),"",IF(Tb_Activiteiten[[#This Row],[Loonkosten]]=1,Tb_Activiteiten[[#Headers],[Loonkosten]],"")))</f>
        <v/>
      </c>
      <c r="AL845" t="str">
        <f>IF(ISNUMBER(FIND("arbeid",Methode_Keuze)),"",IF(ISNUMBER(FIND("arbeid",Methode_Keuze)),"",IF(Tb_Activiteiten[[#This Row],[Eigen arbeid]]=1,Tb_Activiteiten[[#Headers],[Eigen arbeid]],"")))</f>
        <v/>
      </c>
      <c r="AM845" t="str">
        <f>IF(ISNUMBER(FIND("arbeid",Methode_Keuze)),"",IF(ISNUMBER(FIND("arbeid",Methode_Keuze)),"",IF(Tb_Activiteiten[[#This Row],[Projectmedewerker]]=1,Tb_Activiteiten[[#Headers],[Projectmedewerker]],"")))</f>
        <v/>
      </c>
      <c r="AN845" t="str">
        <f>IF(ISNUMBER(FIND("arbeid",Methode_Keuze)),"",IF(ISNUMBER(FIND("arbeid",Methode_Keuze)),"",IF(Tb_Activiteiten[[#This Row],[Landbouwer]]=1,Tb_Activiteiten[[#Headers],[Landbouwer]],"")))</f>
        <v/>
      </c>
      <c r="AO845" t="str">
        <f>IF(ISNUMBER(FIND("arbeid",Methode_Keuze)),"",IF(ISNUMBER(FIND("arbeid",Methode_Keuze)),"",IF(Tb_Activiteiten[[#This Row],[Adviseur]]=1,Tb_Activiteiten[[#Headers],[Adviseur]],"")))</f>
        <v/>
      </c>
      <c r="AP845" t="str">
        <f>IF(ISNUMBER(FIND("arbeid",Methode_Keuze)),"",IF(ISNUMBER(FIND("arbeid",Methode_Keuze)),"",IF(Tb_Activiteiten[[#This Row],[Projectleider/Expert]]=1,Tb_Activiteiten[[#Headers],[Projectleider/Expert]],"")))</f>
        <v/>
      </c>
      <c r="AQ845" t="str">
        <f>IF(ISNUMBER(FIND("arbeid",Methode_Keuze)),"",IF(ISNUMBER(FIND("arbeid",Methode_Keuze)),"",IF(Tb_Activiteiten[[#This Row],[Arbeidskosten]]=1,Tb_Activiteiten[[#Headers],[Arbeidskosten]],"")))</f>
        <v/>
      </c>
      <c r="AR845" t="str">
        <f>IF(ISNUMBER(FIND("arbeid",Methode_Keuze)),"",IF(ISNUMBER(FIND("arbeid",Methode_Keuze)),"",IF(Tb_Activiteiten[[#This Row],[Arbeidskosten op basis van IKS]]=1,Tb_Activiteiten[[#Headers],[Arbeidskosten op basis van IKS]],"")))</f>
        <v/>
      </c>
      <c r="AS845" t="str">
        <f>IF(ISNUMBER(FIND("overige",Methode_Keuze)),"",IF(Tb_Activiteiten[[#This Row],[Kosten derden exclusief btw]]=1,Tb_Activiteiten[[#Headers],[Kosten derden exclusief btw]],""))</f>
        <v/>
      </c>
      <c r="AT845" t="str">
        <f>IF(ISNUMBER(FIND("overige",Methode_Keuze)),"",IF(Tb_Activiteiten[[#This Row],[Niet verrekenbare btw]]=1,Tb_Activiteiten[[#Headers],[Niet verrekenbare btw]],""))</f>
        <v/>
      </c>
      <c r="AU845" t="str">
        <f>IF(ISNUMBER(FIND("overige",Methode_Keuze)),"",IF(Tb_Activiteiten[[#This Row],[Grondkosten]]=1,Tb_Activiteiten[[#Headers],[Grondkosten]],""))</f>
        <v/>
      </c>
      <c r="AV845" t="str">
        <f>IF(ISNUMBER(FIND("overige",Methode_Keuze)),"",IF(Tb_Activiteiten[[#This Row],[Bijdrage in natura (overige)]]=1,Tb_Activiteiten[[#Headers],[Bijdrage in natura (overige)]],""))</f>
        <v/>
      </c>
      <c r="AW845" t="str">
        <f>IF(ISNUMBER(FIND("overige",Methode_Keuze)),"",IF(Tb_Activiteiten[[#This Row],[Bijdrage in natura (vrijwilligers)]]=1,Tb_Activiteiten[[#Headers],[Bijdrage in natura (vrijwilligers)]],""))</f>
        <v/>
      </c>
      <c r="AX845" t="str">
        <f>IF(ISNUMBER(FIND("overige",Methode_Keuze)),"",IF(Tb_Activiteiten[[#This Row],[Afschrijvingskosten]]=1,Tb_Activiteiten[[#Headers],[Afschrijvingskosten]],""))</f>
        <v/>
      </c>
      <c r="AY845" t="str">
        <f>IF(ISNUMBER(FIND("overige",Methode_Keuze)),"",IF(Tb_Activiteiten[[#This Row],[Vergoeding]]=1,Tb_Activiteiten[[#Headers],[Vergoeding]],""))</f>
        <v/>
      </c>
      <c r="AZ845" t="str">
        <f>IF(ISNUMBER(FIND("arbeid",Methode_Keuze)),"",IF(Tb_Activiteiten[[#This Row],[Arbeidskosten - vast tarief (excl eigen arbeid)]]=1,Tb_Activiteiten[[#Headers],[Arbeidskosten - vast tarief (excl eigen arbeid)]],""))</f>
        <v/>
      </c>
      <c r="BA845" t="str">
        <f>IF(ISNUMBER(FIND("overige",Methode_Keuze)),"",IF(Tb_Activiteiten[[#This Row],[Overige kosten]]=1,Tb_Activiteiten[[#Headers],[Overige kosten]],""))</f>
        <v/>
      </c>
    </row>
    <row r="846" spans="1:53" x14ac:dyDescent="0.25">
      <c r="A846" s="231"/>
      <c r="F846" s="64"/>
      <c r="G846" s="64"/>
      <c r="H846" s="275"/>
      <c r="I846" s="275"/>
      <c r="J846" s="275"/>
      <c r="K846" s="275"/>
      <c r="O846" s="56"/>
      <c r="Q846" t="str">
        <f>IFERROR(IF(VLOOKUP(Tb_Activiteiten[[#This Row],[Openstelling]],Tb_Openstelling[],2,0)=1,1,""),"")</f>
        <v/>
      </c>
      <c r="AK846" t="str">
        <f>IF(ISNUMBER(FIND("arbeid",Methode_Keuze)),"",IF(ISNUMBER(FIND("arbeid",Methode_Keuze)),"",IF(Tb_Activiteiten[[#This Row],[Loonkosten]]=1,Tb_Activiteiten[[#Headers],[Loonkosten]],"")))</f>
        <v/>
      </c>
      <c r="AL846" t="str">
        <f>IF(ISNUMBER(FIND("arbeid",Methode_Keuze)),"",IF(ISNUMBER(FIND("arbeid",Methode_Keuze)),"",IF(Tb_Activiteiten[[#This Row],[Eigen arbeid]]=1,Tb_Activiteiten[[#Headers],[Eigen arbeid]],"")))</f>
        <v/>
      </c>
      <c r="AM846" t="str">
        <f>IF(ISNUMBER(FIND("arbeid",Methode_Keuze)),"",IF(ISNUMBER(FIND("arbeid",Methode_Keuze)),"",IF(Tb_Activiteiten[[#This Row],[Projectmedewerker]]=1,Tb_Activiteiten[[#Headers],[Projectmedewerker]],"")))</f>
        <v/>
      </c>
      <c r="AN846" t="str">
        <f>IF(ISNUMBER(FIND("arbeid",Methode_Keuze)),"",IF(ISNUMBER(FIND("arbeid",Methode_Keuze)),"",IF(Tb_Activiteiten[[#This Row],[Landbouwer]]=1,Tb_Activiteiten[[#Headers],[Landbouwer]],"")))</f>
        <v/>
      </c>
      <c r="AO846" t="str">
        <f>IF(ISNUMBER(FIND("arbeid",Methode_Keuze)),"",IF(ISNUMBER(FIND("arbeid",Methode_Keuze)),"",IF(Tb_Activiteiten[[#This Row],[Adviseur]]=1,Tb_Activiteiten[[#Headers],[Adviseur]],"")))</f>
        <v/>
      </c>
      <c r="AP846" t="str">
        <f>IF(ISNUMBER(FIND("arbeid",Methode_Keuze)),"",IF(ISNUMBER(FIND("arbeid",Methode_Keuze)),"",IF(Tb_Activiteiten[[#This Row],[Projectleider/Expert]]=1,Tb_Activiteiten[[#Headers],[Projectleider/Expert]],"")))</f>
        <v/>
      </c>
      <c r="AQ846" t="str">
        <f>IF(ISNUMBER(FIND("arbeid",Methode_Keuze)),"",IF(ISNUMBER(FIND("arbeid",Methode_Keuze)),"",IF(Tb_Activiteiten[[#This Row],[Arbeidskosten]]=1,Tb_Activiteiten[[#Headers],[Arbeidskosten]],"")))</f>
        <v/>
      </c>
      <c r="AR846" t="str">
        <f>IF(ISNUMBER(FIND("arbeid",Methode_Keuze)),"",IF(ISNUMBER(FIND("arbeid",Methode_Keuze)),"",IF(Tb_Activiteiten[[#This Row],[Arbeidskosten op basis van IKS]]=1,Tb_Activiteiten[[#Headers],[Arbeidskosten op basis van IKS]],"")))</f>
        <v/>
      </c>
      <c r="AS846" t="str">
        <f>IF(ISNUMBER(FIND("overige",Methode_Keuze)),"",IF(Tb_Activiteiten[[#This Row],[Kosten derden exclusief btw]]=1,Tb_Activiteiten[[#Headers],[Kosten derden exclusief btw]],""))</f>
        <v/>
      </c>
      <c r="AT846" t="str">
        <f>IF(ISNUMBER(FIND("overige",Methode_Keuze)),"",IF(Tb_Activiteiten[[#This Row],[Niet verrekenbare btw]]=1,Tb_Activiteiten[[#Headers],[Niet verrekenbare btw]],""))</f>
        <v/>
      </c>
      <c r="AU846" t="str">
        <f>IF(ISNUMBER(FIND("overige",Methode_Keuze)),"",IF(Tb_Activiteiten[[#This Row],[Grondkosten]]=1,Tb_Activiteiten[[#Headers],[Grondkosten]],""))</f>
        <v/>
      </c>
      <c r="AV846" t="str">
        <f>IF(ISNUMBER(FIND("overige",Methode_Keuze)),"",IF(Tb_Activiteiten[[#This Row],[Bijdrage in natura (overige)]]=1,Tb_Activiteiten[[#Headers],[Bijdrage in natura (overige)]],""))</f>
        <v/>
      </c>
      <c r="AW846" t="str">
        <f>IF(ISNUMBER(FIND("overige",Methode_Keuze)),"",IF(Tb_Activiteiten[[#This Row],[Bijdrage in natura (vrijwilligers)]]=1,Tb_Activiteiten[[#Headers],[Bijdrage in natura (vrijwilligers)]],""))</f>
        <v/>
      </c>
      <c r="AX846" t="str">
        <f>IF(ISNUMBER(FIND("overige",Methode_Keuze)),"",IF(Tb_Activiteiten[[#This Row],[Afschrijvingskosten]]=1,Tb_Activiteiten[[#Headers],[Afschrijvingskosten]],""))</f>
        <v/>
      </c>
      <c r="AY846" t="str">
        <f>IF(ISNUMBER(FIND("overige",Methode_Keuze)),"",IF(Tb_Activiteiten[[#This Row],[Vergoeding]]=1,Tb_Activiteiten[[#Headers],[Vergoeding]],""))</f>
        <v/>
      </c>
      <c r="AZ846" t="str">
        <f>IF(ISNUMBER(FIND("arbeid",Methode_Keuze)),"",IF(Tb_Activiteiten[[#This Row],[Arbeidskosten - vast tarief (excl eigen arbeid)]]=1,Tb_Activiteiten[[#Headers],[Arbeidskosten - vast tarief (excl eigen arbeid)]],""))</f>
        <v/>
      </c>
      <c r="BA846" t="str">
        <f>IF(ISNUMBER(FIND("overige",Methode_Keuze)),"",IF(Tb_Activiteiten[[#This Row],[Overige kosten]]=1,Tb_Activiteiten[[#Headers],[Overige kosten]],""))</f>
        <v/>
      </c>
    </row>
    <row r="847" spans="1:53" x14ac:dyDescent="0.25">
      <c r="A847" s="231"/>
      <c r="F847" s="64"/>
      <c r="G847" s="64"/>
      <c r="H847" s="275"/>
      <c r="I847" s="275"/>
      <c r="J847" s="275"/>
      <c r="K847" s="275"/>
      <c r="O847" s="56"/>
      <c r="Q847" t="str">
        <f>IFERROR(IF(VLOOKUP(Tb_Activiteiten[[#This Row],[Openstelling]],Tb_Openstelling[],2,0)=1,1,""),"")</f>
        <v/>
      </c>
      <c r="AK847" t="str">
        <f>IF(ISNUMBER(FIND("arbeid",Methode_Keuze)),"",IF(ISNUMBER(FIND("arbeid",Methode_Keuze)),"",IF(Tb_Activiteiten[[#This Row],[Loonkosten]]=1,Tb_Activiteiten[[#Headers],[Loonkosten]],"")))</f>
        <v/>
      </c>
      <c r="AL847" t="str">
        <f>IF(ISNUMBER(FIND("arbeid",Methode_Keuze)),"",IF(ISNUMBER(FIND("arbeid",Methode_Keuze)),"",IF(Tb_Activiteiten[[#This Row],[Eigen arbeid]]=1,Tb_Activiteiten[[#Headers],[Eigen arbeid]],"")))</f>
        <v/>
      </c>
      <c r="AM847" t="str">
        <f>IF(ISNUMBER(FIND("arbeid",Methode_Keuze)),"",IF(ISNUMBER(FIND("arbeid",Methode_Keuze)),"",IF(Tb_Activiteiten[[#This Row],[Projectmedewerker]]=1,Tb_Activiteiten[[#Headers],[Projectmedewerker]],"")))</f>
        <v/>
      </c>
      <c r="AN847" t="str">
        <f>IF(ISNUMBER(FIND("arbeid",Methode_Keuze)),"",IF(ISNUMBER(FIND("arbeid",Methode_Keuze)),"",IF(Tb_Activiteiten[[#This Row],[Landbouwer]]=1,Tb_Activiteiten[[#Headers],[Landbouwer]],"")))</f>
        <v/>
      </c>
      <c r="AO847" t="str">
        <f>IF(ISNUMBER(FIND("arbeid",Methode_Keuze)),"",IF(ISNUMBER(FIND("arbeid",Methode_Keuze)),"",IF(Tb_Activiteiten[[#This Row],[Adviseur]]=1,Tb_Activiteiten[[#Headers],[Adviseur]],"")))</f>
        <v/>
      </c>
      <c r="AP847" t="str">
        <f>IF(ISNUMBER(FIND("arbeid",Methode_Keuze)),"",IF(ISNUMBER(FIND("arbeid",Methode_Keuze)),"",IF(Tb_Activiteiten[[#This Row],[Projectleider/Expert]]=1,Tb_Activiteiten[[#Headers],[Projectleider/Expert]],"")))</f>
        <v/>
      </c>
      <c r="AQ847" t="str">
        <f>IF(ISNUMBER(FIND("arbeid",Methode_Keuze)),"",IF(ISNUMBER(FIND("arbeid",Methode_Keuze)),"",IF(Tb_Activiteiten[[#This Row],[Arbeidskosten]]=1,Tb_Activiteiten[[#Headers],[Arbeidskosten]],"")))</f>
        <v/>
      </c>
      <c r="AR847" t="str">
        <f>IF(ISNUMBER(FIND("arbeid",Methode_Keuze)),"",IF(ISNUMBER(FIND("arbeid",Methode_Keuze)),"",IF(Tb_Activiteiten[[#This Row],[Arbeidskosten op basis van IKS]]=1,Tb_Activiteiten[[#Headers],[Arbeidskosten op basis van IKS]],"")))</f>
        <v/>
      </c>
      <c r="AS847" t="str">
        <f>IF(ISNUMBER(FIND("overige",Methode_Keuze)),"",IF(Tb_Activiteiten[[#This Row],[Kosten derden exclusief btw]]=1,Tb_Activiteiten[[#Headers],[Kosten derden exclusief btw]],""))</f>
        <v/>
      </c>
      <c r="AT847" t="str">
        <f>IF(ISNUMBER(FIND("overige",Methode_Keuze)),"",IF(Tb_Activiteiten[[#This Row],[Niet verrekenbare btw]]=1,Tb_Activiteiten[[#Headers],[Niet verrekenbare btw]],""))</f>
        <v/>
      </c>
      <c r="AU847" t="str">
        <f>IF(ISNUMBER(FIND("overige",Methode_Keuze)),"",IF(Tb_Activiteiten[[#This Row],[Grondkosten]]=1,Tb_Activiteiten[[#Headers],[Grondkosten]],""))</f>
        <v/>
      </c>
      <c r="AV847" t="str">
        <f>IF(ISNUMBER(FIND("overige",Methode_Keuze)),"",IF(Tb_Activiteiten[[#This Row],[Bijdrage in natura (overige)]]=1,Tb_Activiteiten[[#Headers],[Bijdrage in natura (overige)]],""))</f>
        <v/>
      </c>
      <c r="AW847" t="str">
        <f>IF(ISNUMBER(FIND("overige",Methode_Keuze)),"",IF(Tb_Activiteiten[[#This Row],[Bijdrage in natura (vrijwilligers)]]=1,Tb_Activiteiten[[#Headers],[Bijdrage in natura (vrijwilligers)]],""))</f>
        <v/>
      </c>
      <c r="AX847" t="str">
        <f>IF(ISNUMBER(FIND("overige",Methode_Keuze)),"",IF(Tb_Activiteiten[[#This Row],[Afschrijvingskosten]]=1,Tb_Activiteiten[[#Headers],[Afschrijvingskosten]],""))</f>
        <v/>
      </c>
      <c r="AY847" t="str">
        <f>IF(ISNUMBER(FIND("overige",Methode_Keuze)),"",IF(Tb_Activiteiten[[#This Row],[Vergoeding]]=1,Tb_Activiteiten[[#Headers],[Vergoeding]],""))</f>
        <v/>
      </c>
      <c r="AZ847" t="str">
        <f>IF(ISNUMBER(FIND("arbeid",Methode_Keuze)),"",IF(Tb_Activiteiten[[#This Row],[Arbeidskosten - vast tarief (excl eigen arbeid)]]=1,Tb_Activiteiten[[#Headers],[Arbeidskosten - vast tarief (excl eigen arbeid)]],""))</f>
        <v/>
      </c>
      <c r="BA847" t="str">
        <f>IF(ISNUMBER(FIND("overige",Methode_Keuze)),"",IF(Tb_Activiteiten[[#This Row],[Overige kosten]]=1,Tb_Activiteiten[[#Headers],[Overige kosten]],""))</f>
        <v/>
      </c>
    </row>
    <row r="848" spans="1:53" x14ac:dyDescent="0.25">
      <c r="A848" s="231"/>
      <c r="F848" s="64"/>
      <c r="G848" s="64"/>
      <c r="H848" s="275"/>
      <c r="I848" s="275"/>
      <c r="J848" s="275"/>
      <c r="K848" s="275"/>
      <c r="O848" s="56"/>
      <c r="Q848" t="str">
        <f>IFERROR(IF(VLOOKUP(Tb_Activiteiten[[#This Row],[Openstelling]],Tb_Openstelling[],2,0)=1,1,""),"")</f>
        <v/>
      </c>
      <c r="AK848" t="str">
        <f>IF(ISNUMBER(FIND("arbeid",Methode_Keuze)),"",IF(ISNUMBER(FIND("arbeid",Methode_Keuze)),"",IF(Tb_Activiteiten[[#This Row],[Loonkosten]]=1,Tb_Activiteiten[[#Headers],[Loonkosten]],"")))</f>
        <v/>
      </c>
      <c r="AL848" t="str">
        <f>IF(ISNUMBER(FIND("arbeid",Methode_Keuze)),"",IF(ISNUMBER(FIND("arbeid",Methode_Keuze)),"",IF(Tb_Activiteiten[[#This Row],[Eigen arbeid]]=1,Tb_Activiteiten[[#Headers],[Eigen arbeid]],"")))</f>
        <v/>
      </c>
      <c r="AM848" t="str">
        <f>IF(ISNUMBER(FIND("arbeid",Methode_Keuze)),"",IF(ISNUMBER(FIND("arbeid",Methode_Keuze)),"",IF(Tb_Activiteiten[[#This Row],[Projectmedewerker]]=1,Tb_Activiteiten[[#Headers],[Projectmedewerker]],"")))</f>
        <v/>
      </c>
      <c r="AN848" t="str">
        <f>IF(ISNUMBER(FIND("arbeid",Methode_Keuze)),"",IF(ISNUMBER(FIND("arbeid",Methode_Keuze)),"",IF(Tb_Activiteiten[[#This Row],[Landbouwer]]=1,Tb_Activiteiten[[#Headers],[Landbouwer]],"")))</f>
        <v/>
      </c>
      <c r="AO848" t="str">
        <f>IF(ISNUMBER(FIND("arbeid",Methode_Keuze)),"",IF(ISNUMBER(FIND("arbeid",Methode_Keuze)),"",IF(Tb_Activiteiten[[#This Row],[Adviseur]]=1,Tb_Activiteiten[[#Headers],[Adviseur]],"")))</f>
        <v/>
      </c>
      <c r="AP848" t="str">
        <f>IF(ISNUMBER(FIND("arbeid",Methode_Keuze)),"",IF(ISNUMBER(FIND("arbeid",Methode_Keuze)),"",IF(Tb_Activiteiten[[#This Row],[Projectleider/Expert]]=1,Tb_Activiteiten[[#Headers],[Projectleider/Expert]],"")))</f>
        <v/>
      </c>
      <c r="AQ848" t="str">
        <f>IF(ISNUMBER(FIND("arbeid",Methode_Keuze)),"",IF(ISNUMBER(FIND("arbeid",Methode_Keuze)),"",IF(Tb_Activiteiten[[#This Row],[Arbeidskosten]]=1,Tb_Activiteiten[[#Headers],[Arbeidskosten]],"")))</f>
        <v/>
      </c>
      <c r="AR848" t="str">
        <f>IF(ISNUMBER(FIND("arbeid",Methode_Keuze)),"",IF(ISNUMBER(FIND("arbeid",Methode_Keuze)),"",IF(Tb_Activiteiten[[#This Row],[Arbeidskosten op basis van IKS]]=1,Tb_Activiteiten[[#Headers],[Arbeidskosten op basis van IKS]],"")))</f>
        <v/>
      </c>
      <c r="AS848" t="str">
        <f>IF(ISNUMBER(FIND("overige",Methode_Keuze)),"",IF(Tb_Activiteiten[[#This Row],[Kosten derden exclusief btw]]=1,Tb_Activiteiten[[#Headers],[Kosten derden exclusief btw]],""))</f>
        <v/>
      </c>
      <c r="AT848" t="str">
        <f>IF(ISNUMBER(FIND("overige",Methode_Keuze)),"",IF(Tb_Activiteiten[[#This Row],[Niet verrekenbare btw]]=1,Tb_Activiteiten[[#Headers],[Niet verrekenbare btw]],""))</f>
        <v/>
      </c>
      <c r="AU848" t="str">
        <f>IF(ISNUMBER(FIND("overige",Methode_Keuze)),"",IF(Tb_Activiteiten[[#This Row],[Grondkosten]]=1,Tb_Activiteiten[[#Headers],[Grondkosten]],""))</f>
        <v/>
      </c>
      <c r="AV848" t="str">
        <f>IF(ISNUMBER(FIND("overige",Methode_Keuze)),"",IF(Tb_Activiteiten[[#This Row],[Bijdrage in natura (overige)]]=1,Tb_Activiteiten[[#Headers],[Bijdrage in natura (overige)]],""))</f>
        <v/>
      </c>
      <c r="AW848" t="str">
        <f>IF(ISNUMBER(FIND("overige",Methode_Keuze)),"",IF(Tb_Activiteiten[[#This Row],[Bijdrage in natura (vrijwilligers)]]=1,Tb_Activiteiten[[#Headers],[Bijdrage in natura (vrijwilligers)]],""))</f>
        <v/>
      </c>
      <c r="AX848" t="str">
        <f>IF(ISNUMBER(FIND("overige",Methode_Keuze)),"",IF(Tb_Activiteiten[[#This Row],[Afschrijvingskosten]]=1,Tb_Activiteiten[[#Headers],[Afschrijvingskosten]],""))</f>
        <v/>
      </c>
      <c r="AY848" t="str">
        <f>IF(ISNUMBER(FIND("overige",Methode_Keuze)),"",IF(Tb_Activiteiten[[#This Row],[Vergoeding]]=1,Tb_Activiteiten[[#Headers],[Vergoeding]],""))</f>
        <v/>
      </c>
      <c r="AZ848" t="str">
        <f>IF(ISNUMBER(FIND("arbeid",Methode_Keuze)),"",IF(Tb_Activiteiten[[#This Row],[Arbeidskosten - vast tarief (excl eigen arbeid)]]=1,Tb_Activiteiten[[#Headers],[Arbeidskosten - vast tarief (excl eigen arbeid)]],""))</f>
        <v/>
      </c>
      <c r="BA848" t="str">
        <f>IF(ISNUMBER(FIND("overige",Methode_Keuze)),"",IF(Tb_Activiteiten[[#This Row],[Overige kosten]]=1,Tb_Activiteiten[[#Headers],[Overige kosten]],""))</f>
        <v/>
      </c>
    </row>
    <row r="849" spans="1:53" x14ac:dyDescent="0.25">
      <c r="A849" s="231"/>
      <c r="F849" s="64"/>
      <c r="G849" s="64"/>
      <c r="H849" s="275"/>
      <c r="I849" s="275"/>
      <c r="J849" s="275"/>
      <c r="K849" s="275"/>
      <c r="O849" s="56"/>
      <c r="Q849" t="str">
        <f>IFERROR(IF(VLOOKUP(Tb_Activiteiten[[#This Row],[Openstelling]],Tb_Openstelling[],2,0)=1,1,""),"")</f>
        <v/>
      </c>
      <c r="AK849" t="str">
        <f>IF(ISNUMBER(FIND("arbeid",Methode_Keuze)),"",IF(ISNUMBER(FIND("arbeid",Methode_Keuze)),"",IF(Tb_Activiteiten[[#This Row],[Loonkosten]]=1,Tb_Activiteiten[[#Headers],[Loonkosten]],"")))</f>
        <v/>
      </c>
      <c r="AL849" t="str">
        <f>IF(ISNUMBER(FIND("arbeid",Methode_Keuze)),"",IF(ISNUMBER(FIND("arbeid",Methode_Keuze)),"",IF(Tb_Activiteiten[[#This Row],[Eigen arbeid]]=1,Tb_Activiteiten[[#Headers],[Eigen arbeid]],"")))</f>
        <v/>
      </c>
      <c r="AM849" t="str">
        <f>IF(ISNUMBER(FIND("arbeid",Methode_Keuze)),"",IF(ISNUMBER(FIND("arbeid",Methode_Keuze)),"",IF(Tb_Activiteiten[[#This Row],[Projectmedewerker]]=1,Tb_Activiteiten[[#Headers],[Projectmedewerker]],"")))</f>
        <v/>
      </c>
      <c r="AN849" t="str">
        <f>IF(ISNUMBER(FIND("arbeid",Methode_Keuze)),"",IF(ISNUMBER(FIND("arbeid",Methode_Keuze)),"",IF(Tb_Activiteiten[[#This Row],[Landbouwer]]=1,Tb_Activiteiten[[#Headers],[Landbouwer]],"")))</f>
        <v/>
      </c>
      <c r="AO849" t="str">
        <f>IF(ISNUMBER(FIND("arbeid",Methode_Keuze)),"",IF(ISNUMBER(FIND("arbeid",Methode_Keuze)),"",IF(Tb_Activiteiten[[#This Row],[Adviseur]]=1,Tb_Activiteiten[[#Headers],[Adviseur]],"")))</f>
        <v/>
      </c>
      <c r="AP849" t="str">
        <f>IF(ISNUMBER(FIND("arbeid",Methode_Keuze)),"",IF(ISNUMBER(FIND("arbeid",Methode_Keuze)),"",IF(Tb_Activiteiten[[#This Row],[Projectleider/Expert]]=1,Tb_Activiteiten[[#Headers],[Projectleider/Expert]],"")))</f>
        <v/>
      </c>
      <c r="AQ849" t="str">
        <f>IF(ISNUMBER(FIND("arbeid",Methode_Keuze)),"",IF(ISNUMBER(FIND("arbeid",Methode_Keuze)),"",IF(Tb_Activiteiten[[#This Row],[Arbeidskosten]]=1,Tb_Activiteiten[[#Headers],[Arbeidskosten]],"")))</f>
        <v/>
      </c>
      <c r="AR849" t="str">
        <f>IF(ISNUMBER(FIND("arbeid",Methode_Keuze)),"",IF(ISNUMBER(FIND("arbeid",Methode_Keuze)),"",IF(Tb_Activiteiten[[#This Row],[Arbeidskosten op basis van IKS]]=1,Tb_Activiteiten[[#Headers],[Arbeidskosten op basis van IKS]],"")))</f>
        <v/>
      </c>
      <c r="AS849" t="str">
        <f>IF(ISNUMBER(FIND("overige",Methode_Keuze)),"",IF(Tb_Activiteiten[[#This Row],[Kosten derden exclusief btw]]=1,Tb_Activiteiten[[#Headers],[Kosten derden exclusief btw]],""))</f>
        <v/>
      </c>
      <c r="AT849" t="str">
        <f>IF(ISNUMBER(FIND("overige",Methode_Keuze)),"",IF(Tb_Activiteiten[[#This Row],[Niet verrekenbare btw]]=1,Tb_Activiteiten[[#Headers],[Niet verrekenbare btw]],""))</f>
        <v/>
      </c>
      <c r="AU849" t="str">
        <f>IF(ISNUMBER(FIND("overige",Methode_Keuze)),"",IF(Tb_Activiteiten[[#This Row],[Grondkosten]]=1,Tb_Activiteiten[[#Headers],[Grondkosten]],""))</f>
        <v/>
      </c>
      <c r="AV849" t="str">
        <f>IF(ISNUMBER(FIND("overige",Methode_Keuze)),"",IF(Tb_Activiteiten[[#This Row],[Bijdrage in natura (overige)]]=1,Tb_Activiteiten[[#Headers],[Bijdrage in natura (overige)]],""))</f>
        <v/>
      </c>
      <c r="AW849" t="str">
        <f>IF(ISNUMBER(FIND("overige",Methode_Keuze)),"",IF(Tb_Activiteiten[[#This Row],[Bijdrage in natura (vrijwilligers)]]=1,Tb_Activiteiten[[#Headers],[Bijdrage in natura (vrijwilligers)]],""))</f>
        <v/>
      </c>
      <c r="AX849" t="str">
        <f>IF(ISNUMBER(FIND("overige",Methode_Keuze)),"",IF(Tb_Activiteiten[[#This Row],[Afschrijvingskosten]]=1,Tb_Activiteiten[[#Headers],[Afschrijvingskosten]],""))</f>
        <v/>
      </c>
      <c r="AY849" t="str">
        <f>IF(ISNUMBER(FIND("overige",Methode_Keuze)),"",IF(Tb_Activiteiten[[#This Row],[Vergoeding]]=1,Tb_Activiteiten[[#Headers],[Vergoeding]],""))</f>
        <v/>
      </c>
      <c r="AZ849" t="str">
        <f>IF(ISNUMBER(FIND("arbeid",Methode_Keuze)),"",IF(Tb_Activiteiten[[#This Row],[Arbeidskosten - vast tarief (excl eigen arbeid)]]=1,Tb_Activiteiten[[#Headers],[Arbeidskosten - vast tarief (excl eigen arbeid)]],""))</f>
        <v/>
      </c>
      <c r="BA849" t="str">
        <f>IF(ISNUMBER(FIND("overige",Methode_Keuze)),"",IF(Tb_Activiteiten[[#This Row],[Overige kosten]]=1,Tb_Activiteiten[[#Headers],[Overige kosten]],""))</f>
        <v/>
      </c>
    </row>
    <row r="850" spans="1:53" x14ac:dyDescent="0.25">
      <c r="A850" s="231"/>
      <c r="F850" s="64"/>
      <c r="G850" s="64"/>
      <c r="H850" s="275"/>
      <c r="I850" s="275"/>
      <c r="J850" s="275"/>
      <c r="K850" s="275"/>
      <c r="O850" s="56"/>
      <c r="Q850" t="str">
        <f>IFERROR(IF(VLOOKUP(Tb_Activiteiten[[#This Row],[Openstelling]],Tb_Openstelling[],2,0)=1,1,""),"")</f>
        <v/>
      </c>
      <c r="AK850" t="str">
        <f>IF(ISNUMBER(FIND("arbeid",Methode_Keuze)),"",IF(ISNUMBER(FIND("arbeid",Methode_Keuze)),"",IF(Tb_Activiteiten[[#This Row],[Loonkosten]]=1,Tb_Activiteiten[[#Headers],[Loonkosten]],"")))</f>
        <v/>
      </c>
      <c r="AL850" t="str">
        <f>IF(ISNUMBER(FIND("arbeid",Methode_Keuze)),"",IF(ISNUMBER(FIND("arbeid",Methode_Keuze)),"",IF(Tb_Activiteiten[[#This Row],[Eigen arbeid]]=1,Tb_Activiteiten[[#Headers],[Eigen arbeid]],"")))</f>
        <v/>
      </c>
      <c r="AM850" t="str">
        <f>IF(ISNUMBER(FIND("arbeid",Methode_Keuze)),"",IF(ISNUMBER(FIND("arbeid",Methode_Keuze)),"",IF(Tb_Activiteiten[[#This Row],[Projectmedewerker]]=1,Tb_Activiteiten[[#Headers],[Projectmedewerker]],"")))</f>
        <v/>
      </c>
      <c r="AN850" t="str">
        <f>IF(ISNUMBER(FIND("arbeid",Methode_Keuze)),"",IF(ISNUMBER(FIND("arbeid",Methode_Keuze)),"",IF(Tb_Activiteiten[[#This Row],[Landbouwer]]=1,Tb_Activiteiten[[#Headers],[Landbouwer]],"")))</f>
        <v/>
      </c>
      <c r="AO850" t="str">
        <f>IF(ISNUMBER(FIND("arbeid",Methode_Keuze)),"",IF(ISNUMBER(FIND("arbeid",Methode_Keuze)),"",IF(Tb_Activiteiten[[#This Row],[Adviseur]]=1,Tb_Activiteiten[[#Headers],[Adviseur]],"")))</f>
        <v/>
      </c>
      <c r="AP850" t="str">
        <f>IF(ISNUMBER(FIND("arbeid",Methode_Keuze)),"",IF(ISNUMBER(FIND("arbeid",Methode_Keuze)),"",IF(Tb_Activiteiten[[#This Row],[Projectleider/Expert]]=1,Tb_Activiteiten[[#Headers],[Projectleider/Expert]],"")))</f>
        <v/>
      </c>
      <c r="AQ850" t="str">
        <f>IF(ISNUMBER(FIND("arbeid",Methode_Keuze)),"",IF(ISNUMBER(FIND("arbeid",Methode_Keuze)),"",IF(Tb_Activiteiten[[#This Row],[Arbeidskosten]]=1,Tb_Activiteiten[[#Headers],[Arbeidskosten]],"")))</f>
        <v/>
      </c>
      <c r="AR850" t="str">
        <f>IF(ISNUMBER(FIND("arbeid",Methode_Keuze)),"",IF(ISNUMBER(FIND("arbeid",Methode_Keuze)),"",IF(Tb_Activiteiten[[#This Row],[Arbeidskosten op basis van IKS]]=1,Tb_Activiteiten[[#Headers],[Arbeidskosten op basis van IKS]],"")))</f>
        <v/>
      </c>
      <c r="AS850" t="str">
        <f>IF(ISNUMBER(FIND("overige",Methode_Keuze)),"",IF(Tb_Activiteiten[[#This Row],[Kosten derden exclusief btw]]=1,Tb_Activiteiten[[#Headers],[Kosten derden exclusief btw]],""))</f>
        <v/>
      </c>
      <c r="AT850" t="str">
        <f>IF(ISNUMBER(FIND("overige",Methode_Keuze)),"",IF(Tb_Activiteiten[[#This Row],[Niet verrekenbare btw]]=1,Tb_Activiteiten[[#Headers],[Niet verrekenbare btw]],""))</f>
        <v/>
      </c>
      <c r="AU850" t="str">
        <f>IF(ISNUMBER(FIND("overige",Methode_Keuze)),"",IF(Tb_Activiteiten[[#This Row],[Grondkosten]]=1,Tb_Activiteiten[[#Headers],[Grondkosten]],""))</f>
        <v/>
      </c>
      <c r="AV850" t="str">
        <f>IF(ISNUMBER(FIND("overige",Methode_Keuze)),"",IF(Tb_Activiteiten[[#This Row],[Bijdrage in natura (overige)]]=1,Tb_Activiteiten[[#Headers],[Bijdrage in natura (overige)]],""))</f>
        <v/>
      </c>
      <c r="AW850" t="str">
        <f>IF(ISNUMBER(FIND("overige",Methode_Keuze)),"",IF(Tb_Activiteiten[[#This Row],[Bijdrage in natura (vrijwilligers)]]=1,Tb_Activiteiten[[#Headers],[Bijdrage in natura (vrijwilligers)]],""))</f>
        <v/>
      </c>
      <c r="AX850" t="str">
        <f>IF(ISNUMBER(FIND("overige",Methode_Keuze)),"",IF(Tb_Activiteiten[[#This Row],[Afschrijvingskosten]]=1,Tb_Activiteiten[[#Headers],[Afschrijvingskosten]],""))</f>
        <v/>
      </c>
      <c r="AY850" t="str">
        <f>IF(ISNUMBER(FIND("overige",Methode_Keuze)),"",IF(Tb_Activiteiten[[#This Row],[Vergoeding]]=1,Tb_Activiteiten[[#Headers],[Vergoeding]],""))</f>
        <v/>
      </c>
      <c r="AZ850" t="str">
        <f>IF(ISNUMBER(FIND("arbeid",Methode_Keuze)),"",IF(Tb_Activiteiten[[#This Row],[Arbeidskosten - vast tarief (excl eigen arbeid)]]=1,Tb_Activiteiten[[#Headers],[Arbeidskosten - vast tarief (excl eigen arbeid)]],""))</f>
        <v/>
      </c>
      <c r="BA850" t="str">
        <f>IF(ISNUMBER(FIND("overige",Methode_Keuze)),"",IF(Tb_Activiteiten[[#This Row],[Overige kosten]]=1,Tb_Activiteiten[[#Headers],[Overige kosten]],""))</f>
        <v/>
      </c>
    </row>
    <row r="851" spans="1:53" x14ac:dyDescent="0.25">
      <c r="A851" s="231"/>
      <c r="F851" s="64"/>
      <c r="G851" s="64"/>
      <c r="H851" s="275"/>
      <c r="I851" s="275"/>
      <c r="J851" s="275"/>
      <c r="K851" s="275"/>
      <c r="O851" s="56"/>
      <c r="Q851" t="str">
        <f>IFERROR(IF(VLOOKUP(Tb_Activiteiten[[#This Row],[Openstelling]],Tb_Openstelling[],2,0)=1,1,""),"")</f>
        <v/>
      </c>
      <c r="AK851" t="str">
        <f>IF(ISNUMBER(FIND("arbeid",Methode_Keuze)),"",IF(ISNUMBER(FIND("arbeid",Methode_Keuze)),"",IF(Tb_Activiteiten[[#This Row],[Loonkosten]]=1,Tb_Activiteiten[[#Headers],[Loonkosten]],"")))</f>
        <v/>
      </c>
      <c r="AL851" t="str">
        <f>IF(ISNUMBER(FIND("arbeid",Methode_Keuze)),"",IF(ISNUMBER(FIND("arbeid",Methode_Keuze)),"",IF(Tb_Activiteiten[[#This Row],[Eigen arbeid]]=1,Tb_Activiteiten[[#Headers],[Eigen arbeid]],"")))</f>
        <v/>
      </c>
      <c r="AM851" t="str">
        <f>IF(ISNUMBER(FIND("arbeid",Methode_Keuze)),"",IF(ISNUMBER(FIND("arbeid",Methode_Keuze)),"",IF(Tb_Activiteiten[[#This Row],[Projectmedewerker]]=1,Tb_Activiteiten[[#Headers],[Projectmedewerker]],"")))</f>
        <v/>
      </c>
      <c r="AN851" t="str">
        <f>IF(ISNUMBER(FIND("arbeid",Methode_Keuze)),"",IF(ISNUMBER(FIND("arbeid",Methode_Keuze)),"",IF(Tb_Activiteiten[[#This Row],[Landbouwer]]=1,Tb_Activiteiten[[#Headers],[Landbouwer]],"")))</f>
        <v/>
      </c>
      <c r="AO851" t="str">
        <f>IF(ISNUMBER(FIND("arbeid",Methode_Keuze)),"",IF(ISNUMBER(FIND("arbeid",Methode_Keuze)),"",IF(Tb_Activiteiten[[#This Row],[Adviseur]]=1,Tb_Activiteiten[[#Headers],[Adviseur]],"")))</f>
        <v/>
      </c>
      <c r="AP851" t="str">
        <f>IF(ISNUMBER(FIND("arbeid",Methode_Keuze)),"",IF(ISNUMBER(FIND("arbeid",Methode_Keuze)),"",IF(Tb_Activiteiten[[#This Row],[Projectleider/Expert]]=1,Tb_Activiteiten[[#Headers],[Projectleider/Expert]],"")))</f>
        <v/>
      </c>
      <c r="AQ851" t="str">
        <f>IF(ISNUMBER(FIND("arbeid",Methode_Keuze)),"",IF(ISNUMBER(FIND("arbeid",Methode_Keuze)),"",IF(Tb_Activiteiten[[#This Row],[Arbeidskosten]]=1,Tb_Activiteiten[[#Headers],[Arbeidskosten]],"")))</f>
        <v/>
      </c>
      <c r="AR851" t="str">
        <f>IF(ISNUMBER(FIND("arbeid",Methode_Keuze)),"",IF(ISNUMBER(FIND("arbeid",Methode_Keuze)),"",IF(Tb_Activiteiten[[#This Row],[Arbeidskosten op basis van IKS]]=1,Tb_Activiteiten[[#Headers],[Arbeidskosten op basis van IKS]],"")))</f>
        <v/>
      </c>
      <c r="AS851" t="str">
        <f>IF(ISNUMBER(FIND("overige",Methode_Keuze)),"",IF(Tb_Activiteiten[[#This Row],[Kosten derden exclusief btw]]=1,Tb_Activiteiten[[#Headers],[Kosten derden exclusief btw]],""))</f>
        <v/>
      </c>
      <c r="AT851" t="str">
        <f>IF(ISNUMBER(FIND("overige",Methode_Keuze)),"",IF(Tb_Activiteiten[[#This Row],[Niet verrekenbare btw]]=1,Tb_Activiteiten[[#Headers],[Niet verrekenbare btw]],""))</f>
        <v/>
      </c>
      <c r="AU851" t="str">
        <f>IF(ISNUMBER(FIND("overige",Methode_Keuze)),"",IF(Tb_Activiteiten[[#This Row],[Grondkosten]]=1,Tb_Activiteiten[[#Headers],[Grondkosten]],""))</f>
        <v/>
      </c>
      <c r="AV851" t="str">
        <f>IF(ISNUMBER(FIND("overige",Methode_Keuze)),"",IF(Tb_Activiteiten[[#This Row],[Bijdrage in natura (overige)]]=1,Tb_Activiteiten[[#Headers],[Bijdrage in natura (overige)]],""))</f>
        <v/>
      </c>
      <c r="AW851" t="str">
        <f>IF(ISNUMBER(FIND("overige",Methode_Keuze)),"",IF(Tb_Activiteiten[[#This Row],[Bijdrage in natura (vrijwilligers)]]=1,Tb_Activiteiten[[#Headers],[Bijdrage in natura (vrijwilligers)]],""))</f>
        <v/>
      </c>
      <c r="AX851" t="str">
        <f>IF(ISNUMBER(FIND("overige",Methode_Keuze)),"",IF(Tb_Activiteiten[[#This Row],[Afschrijvingskosten]]=1,Tb_Activiteiten[[#Headers],[Afschrijvingskosten]],""))</f>
        <v/>
      </c>
      <c r="AY851" t="str">
        <f>IF(ISNUMBER(FIND("overige",Methode_Keuze)),"",IF(Tb_Activiteiten[[#This Row],[Vergoeding]]=1,Tb_Activiteiten[[#Headers],[Vergoeding]],""))</f>
        <v/>
      </c>
      <c r="AZ851" t="str">
        <f>IF(ISNUMBER(FIND("arbeid",Methode_Keuze)),"",IF(Tb_Activiteiten[[#This Row],[Arbeidskosten - vast tarief (excl eigen arbeid)]]=1,Tb_Activiteiten[[#Headers],[Arbeidskosten - vast tarief (excl eigen arbeid)]],""))</f>
        <v/>
      </c>
      <c r="BA851" t="str">
        <f>IF(ISNUMBER(FIND("overige",Methode_Keuze)),"",IF(Tb_Activiteiten[[#This Row],[Overige kosten]]=1,Tb_Activiteiten[[#Headers],[Overige kosten]],""))</f>
        <v/>
      </c>
    </row>
    <row r="852" spans="1:53" x14ac:dyDescent="0.25">
      <c r="A852" s="231"/>
      <c r="F852" s="64"/>
      <c r="G852" s="64"/>
      <c r="H852" s="275"/>
      <c r="I852" s="275"/>
      <c r="J852" s="275"/>
      <c r="K852" s="275"/>
      <c r="O852" s="56"/>
      <c r="Q852" t="str">
        <f>IFERROR(IF(VLOOKUP(Tb_Activiteiten[[#This Row],[Openstelling]],Tb_Openstelling[],2,0)=1,1,""),"")</f>
        <v/>
      </c>
      <c r="AK852" t="str">
        <f>IF(ISNUMBER(FIND("arbeid",Methode_Keuze)),"",IF(ISNUMBER(FIND("arbeid",Methode_Keuze)),"",IF(Tb_Activiteiten[[#This Row],[Loonkosten]]=1,Tb_Activiteiten[[#Headers],[Loonkosten]],"")))</f>
        <v/>
      </c>
      <c r="AL852" t="str">
        <f>IF(ISNUMBER(FIND("arbeid",Methode_Keuze)),"",IF(ISNUMBER(FIND("arbeid",Methode_Keuze)),"",IF(Tb_Activiteiten[[#This Row],[Eigen arbeid]]=1,Tb_Activiteiten[[#Headers],[Eigen arbeid]],"")))</f>
        <v/>
      </c>
      <c r="AM852" t="str">
        <f>IF(ISNUMBER(FIND("arbeid",Methode_Keuze)),"",IF(ISNUMBER(FIND("arbeid",Methode_Keuze)),"",IF(Tb_Activiteiten[[#This Row],[Projectmedewerker]]=1,Tb_Activiteiten[[#Headers],[Projectmedewerker]],"")))</f>
        <v/>
      </c>
      <c r="AN852" t="str">
        <f>IF(ISNUMBER(FIND("arbeid",Methode_Keuze)),"",IF(ISNUMBER(FIND("arbeid",Methode_Keuze)),"",IF(Tb_Activiteiten[[#This Row],[Landbouwer]]=1,Tb_Activiteiten[[#Headers],[Landbouwer]],"")))</f>
        <v/>
      </c>
      <c r="AO852" t="str">
        <f>IF(ISNUMBER(FIND("arbeid",Methode_Keuze)),"",IF(ISNUMBER(FIND("arbeid",Methode_Keuze)),"",IF(Tb_Activiteiten[[#This Row],[Adviseur]]=1,Tb_Activiteiten[[#Headers],[Adviseur]],"")))</f>
        <v/>
      </c>
      <c r="AP852" t="str">
        <f>IF(ISNUMBER(FIND("arbeid",Methode_Keuze)),"",IF(ISNUMBER(FIND("arbeid",Methode_Keuze)),"",IF(Tb_Activiteiten[[#This Row],[Projectleider/Expert]]=1,Tb_Activiteiten[[#Headers],[Projectleider/Expert]],"")))</f>
        <v/>
      </c>
      <c r="AQ852" t="str">
        <f>IF(ISNUMBER(FIND("arbeid",Methode_Keuze)),"",IF(ISNUMBER(FIND("arbeid",Methode_Keuze)),"",IF(Tb_Activiteiten[[#This Row],[Arbeidskosten]]=1,Tb_Activiteiten[[#Headers],[Arbeidskosten]],"")))</f>
        <v/>
      </c>
      <c r="AR852" t="str">
        <f>IF(ISNUMBER(FIND("arbeid",Methode_Keuze)),"",IF(ISNUMBER(FIND("arbeid",Methode_Keuze)),"",IF(Tb_Activiteiten[[#This Row],[Arbeidskosten op basis van IKS]]=1,Tb_Activiteiten[[#Headers],[Arbeidskosten op basis van IKS]],"")))</f>
        <v/>
      </c>
      <c r="AS852" t="str">
        <f>IF(ISNUMBER(FIND("overige",Methode_Keuze)),"",IF(Tb_Activiteiten[[#This Row],[Kosten derden exclusief btw]]=1,Tb_Activiteiten[[#Headers],[Kosten derden exclusief btw]],""))</f>
        <v/>
      </c>
      <c r="AT852" t="str">
        <f>IF(ISNUMBER(FIND("overige",Methode_Keuze)),"",IF(Tb_Activiteiten[[#This Row],[Niet verrekenbare btw]]=1,Tb_Activiteiten[[#Headers],[Niet verrekenbare btw]],""))</f>
        <v/>
      </c>
      <c r="AU852" t="str">
        <f>IF(ISNUMBER(FIND("overige",Methode_Keuze)),"",IF(Tb_Activiteiten[[#This Row],[Grondkosten]]=1,Tb_Activiteiten[[#Headers],[Grondkosten]],""))</f>
        <v/>
      </c>
      <c r="AV852" t="str">
        <f>IF(ISNUMBER(FIND("overige",Methode_Keuze)),"",IF(Tb_Activiteiten[[#This Row],[Bijdrage in natura (overige)]]=1,Tb_Activiteiten[[#Headers],[Bijdrage in natura (overige)]],""))</f>
        <v/>
      </c>
      <c r="AW852" t="str">
        <f>IF(ISNUMBER(FIND("overige",Methode_Keuze)),"",IF(Tb_Activiteiten[[#This Row],[Bijdrage in natura (vrijwilligers)]]=1,Tb_Activiteiten[[#Headers],[Bijdrage in natura (vrijwilligers)]],""))</f>
        <v/>
      </c>
      <c r="AX852" t="str">
        <f>IF(ISNUMBER(FIND("overige",Methode_Keuze)),"",IF(Tb_Activiteiten[[#This Row],[Afschrijvingskosten]]=1,Tb_Activiteiten[[#Headers],[Afschrijvingskosten]],""))</f>
        <v/>
      </c>
      <c r="AY852" t="str">
        <f>IF(ISNUMBER(FIND("overige",Methode_Keuze)),"",IF(Tb_Activiteiten[[#This Row],[Vergoeding]]=1,Tb_Activiteiten[[#Headers],[Vergoeding]],""))</f>
        <v/>
      </c>
      <c r="AZ852" t="str">
        <f>IF(ISNUMBER(FIND("arbeid",Methode_Keuze)),"",IF(Tb_Activiteiten[[#This Row],[Arbeidskosten - vast tarief (excl eigen arbeid)]]=1,Tb_Activiteiten[[#Headers],[Arbeidskosten - vast tarief (excl eigen arbeid)]],""))</f>
        <v/>
      </c>
      <c r="BA852" t="str">
        <f>IF(ISNUMBER(FIND("overige",Methode_Keuze)),"",IF(Tb_Activiteiten[[#This Row],[Overige kosten]]=1,Tb_Activiteiten[[#Headers],[Overige kosten]],""))</f>
        <v/>
      </c>
    </row>
    <row r="853" spans="1:53" x14ac:dyDescent="0.25">
      <c r="A853" s="231"/>
      <c r="F853" s="64"/>
      <c r="G853" s="64"/>
      <c r="H853" s="275"/>
      <c r="I853" s="275"/>
      <c r="J853" s="275"/>
      <c r="K853" s="275"/>
      <c r="O853" s="56"/>
      <c r="Q853" t="str">
        <f>IFERROR(IF(VLOOKUP(Tb_Activiteiten[[#This Row],[Openstelling]],Tb_Openstelling[],2,0)=1,1,""),"")</f>
        <v/>
      </c>
      <c r="AK853" t="str">
        <f>IF(ISNUMBER(FIND("arbeid",Methode_Keuze)),"",IF(ISNUMBER(FIND("arbeid",Methode_Keuze)),"",IF(Tb_Activiteiten[[#This Row],[Loonkosten]]=1,Tb_Activiteiten[[#Headers],[Loonkosten]],"")))</f>
        <v/>
      </c>
      <c r="AL853" t="str">
        <f>IF(ISNUMBER(FIND("arbeid",Methode_Keuze)),"",IF(ISNUMBER(FIND("arbeid",Methode_Keuze)),"",IF(Tb_Activiteiten[[#This Row],[Eigen arbeid]]=1,Tb_Activiteiten[[#Headers],[Eigen arbeid]],"")))</f>
        <v/>
      </c>
      <c r="AM853" t="str">
        <f>IF(ISNUMBER(FIND("arbeid",Methode_Keuze)),"",IF(ISNUMBER(FIND("arbeid",Methode_Keuze)),"",IF(Tb_Activiteiten[[#This Row],[Projectmedewerker]]=1,Tb_Activiteiten[[#Headers],[Projectmedewerker]],"")))</f>
        <v/>
      </c>
      <c r="AN853" t="str">
        <f>IF(ISNUMBER(FIND("arbeid",Methode_Keuze)),"",IF(ISNUMBER(FIND("arbeid",Methode_Keuze)),"",IF(Tb_Activiteiten[[#This Row],[Landbouwer]]=1,Tb_Activiteiten[[#Headers],[Landbouwer]],"")))</f>
        <v/>
      </c>
      <c r="AO853" t="str">
        <f>IF(ISNUMBER(FIND("arbeid",Methode_Keuze)),"",IF(ISNUMBER(FIND("arbeid",Methode_Keuze)),"",IF(Tb_Activiteiten[[#This Row],[Adviseur]]=1,Tb_Activiteiten[[#Headers],[Adviseur]],"")))</f>
        <v/>
      </c>
      <c r="AP853" t="str">
        <f>IF(ISNUMBER(FIND("arbeid",Methode_Keuze)),"",IF(ISNUMBER(FIND("arbeid",Methode_Keuze)),"",IF(Tb_Activiteiten[[#This Row],[Projectleider/Expert]]=1,Tb_Activiteiten[[#Headers],[Projectleider/Expert]],"")))</f>
        <v/>
      </c>
      <c r="AQ853" t="str">
        <f>IF(ISNUMBER(FIND("arbeid",Methode_Keuze)),"",IF(ISNUMBER(FIND("arbeid",Methode_Keuze)),"",IF(Tb_Activiteiten[[#This Row],[Arbeidskosten]]=1,Tb_Activiteiten[[#Headers],[Arbeidskosten]],"")))</f>
        <v/>
      </c>
      <c r="AR853" t="str">
        <f>IF(ISNUMBER(FIND("arbeid",Methode_Keuze)),"",IF(ISNUMBER(FIND("arbeid",Methode_Keuze)),"",IF(Tb_Activiteiten[[#This Row],[Arbeidskosten op basis van IKS]]=1,Tb_Activiteiten[[#Headers],[Arbeidskosten op basis van IKS]],"")))</f>
        <v/>
      </c>
      <c r="AS853" t="str">
        <f>IF(ISNUMBER(FIND("overige",Methode_Keuze)),"",IF(Tb_Activiteiten[[#This Row],[Kosten derden exclusief btw]]=1,Tb_Activiteiten[[#Headers],[Kosten derden exclusief btw]],""))</f>
        <v/>
      </c>
      <c r="AT853" t="str">
        <f>IF(ISNUMBER(FIND("overige",Methode_Keuze)),"",IF(Tb_Activiteiten[[#This Row],[Niet verrekenbare btw]]=1,Tb_Activiteiten[[#Headers],[Niet verrekenbare btw]],""))</f>
        <v/>
      </c>
      <c r="AU853" t="str">
        <f>IF(ISNUMBER(FIND("overige",Methode_Keuze)),"",IF(Tb_Activiteiten[[#This Row],[Grondkosten]]=1,Tb_Activiteiten[[#Headers],[Grondkosten]],""))</f>
        <v/>
      </c>
      <c r="AV853" t="str">
        <f>IF(ISNUMBER(FIND("overige",Methode_Keuze)),"",IF(Tb_Activiteiten[[#This Row],[Bijdrage in natura (overige)]]=1,Tb_Activiteiten[[#Headers],[Bijdrage in natura (overige)]],""))</f>
        <v/>
      </c>
      <c r="AW853" t="str">
        <f>IF(ISNUMBER(FIND("overige",Methode_Keuze)),"",IF(Tb_Activiteiten[[#This Row],[Bijdrage in natura (vrijwilligers)]]=1,Tb_Activiteiten[[#Headers],[Bijdrage in natura (vrijwilligers)]],""))</f>
        <v/>
      </c>
      <c r="AX853" t="str">
        <f>IF(ISNUMBER(FIND("overige",Methode_Keuze)),"",IF(Tb_Activiteiten[[#This Row],[Afschrijvingskosten]]=1,Tb_Activiteiten[[#Headers],[Afschrijvingskosten]],""))</f>
        <v/>
      </c>
      <c r="AY853" t="str">
        <f>IF(ISNUMBER(FIND("overige",Methode_Keuze)),"",IF(Tb_Activiteiten[[#This Row],[Vergoeding]]=1,Tb_Activiteiten[[#Headers],[Vergoeding]],""))</f>
        <v/>
      </c>
      <c r="AZ853" t="str">
        <f>IF(ISNUMBER(FIND("arbeid",Methode_Keuze)),"",IF(Tb_Activiteiten[[#This Row],[Arbeidskosten - vast tarief (excl eigen arbeid)]]=1,Tb_Activiteiten[[#Headers],[Arbeidskosten - vast tarief (excl eigen arbeid)]],""))</f>
        <v/>
      </c>
      <c r="BA853" t="str">
        <f>IF(ISNUMBER(FIND("overige",Methode_Keuze)),"",IF(Tb_Activiteiten[[#This Row],[Overige kosten]]=1,Tb_Activiteiten[[#Headers],[Overige kosten]],""))</f>
        <v/>
      </c>
    </row>
    <row r="854" spans="1:53" x14ac:dyDescent="0.25">
      <c r="A854" s="231"/>
      <c r="F854" s="64"/>
      <c r="G854" s="64"/>
      <c r="H854" s="275"/>
      <c r="I854" s="275"/>
      <c r="J854" s="275"/>
      <c r="K854" s="275"/>
      <c r="O854" s="56"/>
      <c r="Q854" t="str">
        <f>IFERROR(IF(VLOOKUP(Tb_Activiteiten[[#This Row],[Openstelling]],Tb_Openstelling[],2,0)=1,1,""),"")</f>
        <v/>
      </c>
      <c r="AK854" t="str">
        <f>IF(ISNUMBER(FIND("arbeid",Methode_Keuze)),"",IF(ISNUMBER(FIND("arbeid",Methode_Keuze)),"",IF(Tb_Activiteiten[[#This Row],[Loonkosten]]=1,Tb_Activiteiten[[#Headers],[Loonkosten]],"")))</f>
        <v/>
      </c>
      <c r="AL854" t="str">
        <f>IF(ISNUMBER(FIND("arbeid",Methode_Keuze)),"",IF(ISNUMBER(FIND("arbeid",Methode_Keuze)),"",IF(Tb_Activiteiten[[#This Row],[Eigen arbeid]]=1,Tb_Activiteiten[[#Headers],[Eigen arbeid]],"")))</f>
        <v/>
      </c>
      <c r="AM854" t="str">
        <f>IF(ISNUMBER(FIND("arbeid",Methode_Keuze)),"",IF(ISNUMBER(FIND("arbeid",Methode_Keuze)),"",IF(Tb_Activiteiten[[#This Row],[Projectmedewerker]]=1,Tb_Activiteiten[[#Headers],[Projectmedewerker]],"")))</f>
        <v/>
      </c>
      <c r="AN854" t="str">
        <f>IF(ISNUMBER(FIND("arbeid",Methode_Keuze)),"",IF(ISNUMBER(FIND("arbeid",Methode_Keuze)),"",IF(Tb_Activiteiten[[#This Row],[Landbouwer]]=1,Tb_Activiteiten[[#Headers],[Landbouwer]],"")))</f>
        <v/>
      </c>
      <c r="AO854" t="str">
        <f>IF(ISNUMBER(FIND("arbeid",Methode_Keuze)),"",IF(ISNUMBER(FIND("arbeid",Methode_Keuze)),"",IF(Tb_Activiteiten[[#This Row],[Adviseur]]=1,Tb_Activiteiten[[#Headers],[Adviseur]],"")))</f>
        <v/>
      </c>
      <c r="AP854" t="str">
        <f>IF(ISNUMBER(FIND("arbeid",Methode_Keuze)),"",IF(ISNUMBER(FIND("arbeid",Methode_Keuze)),"",IF(Tb_Activiteiten[[#This Row],[Projectleider/Expert]]=1,Tb_Activiteiten[[#Headers],[Projectleider/Expert]],"")))</f>
        <v/>
      </c>
      <c r="AQ854" t="str">
        <f>IF(ISNUMBER(FIND("arbeid",Methode_Keuze)),"",IF(ISNUMBER(FIND("arbeid",Methode_Keuze)),"",IF(Tb_Activiteiten[[#This Row],[Arbeidskosten]]=1,Tb_Activiteiten[[#Headers],[Arbeidskosten]],"")))</f>
        <v/>
      </c>
      <c r="AR854" t="str">
        <f>IF(ISNUMBER(FIND("arbeid",Methode_Keuze)),"",IF(ISNUMBER(FIND("arbeid",Methode_Keuze)),"",IF(Tb_Activiteiten[[#This Row],[Arbeidskosten op basis van IKS]]=1,Tb_Activiteiten[[#Headers],[Arbeidskosten op basis van IKS]],"")))</f>
        <v/>
      </c>
      <c r="AS854" t="str">
        <f>IF(ISNUMBER(FIND("overige",Methode_Keuze)),"",IF(Tb_Activiteiten[[#This Row],[Kosten derden exclusief btw]]=1,Tb_Activiteiten[[#Headers],[Kosten derden exclusief btw]],""))</f>
        <v/>
      </c>
      <c r="AT854" t="str">
        <f>IF(ISNUMBER(FIND("overige",Methode_Keuze)),"",IF(Tb_Activiteiten[[#This Row],[Niet verrekenbare btw]]=1,Tb_Activiteiten[[#Headers],[Niet verrekenbare btw]],""))</f>
        <v/>
      </c>
      <c r="AU854" t="str">
        <f>IF(ISNUMBER(FIND("overige",Methode_Keuze)),"",IF(Tb_Activiteiten[[#This Row],[Grondkosten]]=1,Tb_Activiteiten[[#Headers],[Grondkosten]],""))</f>
        <v/>
      </c>
      <c r="AV854" t="str">
        <f>IF(ISNUMBER(FIND("overige",Methode_Keuze)),"",IF(Tb_Activiteiten[[#This Row],[Bijdrage in natura (overige)]]=1,Tb_Activiteiten[[#Headers],[Bijdrage in natura (overige)]],""))</f>
        <v/>
      </c>
      <c r="AW854" t="str">
        <f>IF(ISNUMBER(FIND("overige",Methode_Keuze)),"",IF(Tb_Activiteiten[[#This Row],[Bijdrage in natura (vrijwilligers)]]=1,Tb_Activiteiten[[#Headers],[Bijdrage in natura (vrijwilligers)]],""))</f>
        <v/>
      </c>
      <c r="AX854" t="str">
        <f>IF(ISNUMBER(FIND("overige",Methode_Keuze)),"",IF(Tb_Activiteiten[[#This Row],[Afschrijvingskosten]]=1,Tb_Activiteiten[[#Headers],[Afschrijvingskosten]],""))</f>
        <v/>
      </c>
      <c r="AY854" t="str">
        <f>IF(ISNUMBER(FIND("overige",Methode_Keuze)),"",IF(Tb_Activiteiten[[#This Row],[Vergoeding]]=1,Tb_Activiteiten[[#Headers],[Vergoeding]],""))</f>
        <v/>
      </c>
      <c r="AZ854" t="str">
        <f>IF(ISNUMBER(FIND("arbeid",Methode_Keuze)),"",IF(Tb_Activiteiten[[#This Row],[Arbeidskosten - vast tarief (excl eigen arbeid)]]=1,Tb_Activiteiten[[#Headers],[Arbeidskosten - vast tarief (excl eigen arbeid)]],""))</f>
        <v/>
      </c>
      <c r="BA854" t="str">
        <f>IF(ISNUMBER(FIND("overige",Methode_Keuze)),"",IF(Tb_Activiteiten[[#This Row],[Overige kosten]]=1,Tb_Activiteiten[[#Headers],[Overige kosten]],""))</f>
        <v/>
      </c>
    </row>
    <row r="855" spans="1:53" x14ac:dyDescent="0.25">
      <c r="A855" s="231"/>
      <c r="F855" s="64"/>
      <c r="G855" s="64"/>
      <c r="H855" s="275"/>
      <c r="I855" s="275"/>
      <c r="J855" s="275"/>
      <c r="K855" s="275"/>
      <c r="O855" s="56"/>
      <c r="Q855" t="str">
        <f>IFERROR(IF(VLOOKUP(Tb_Activiteiten[[#This Row],[Openstelling]],Tb_Openstelling[],2,0)=1,1,""),"")</f>
        <v/>
      </c>
      <c r="AK855" t="str">
        <f>IF(ISNUMBER(FIND("arbeid",Methode_Keuze)),"",IF(ISNUMBER(FIND("arbeid",Methode_Keuze)),"",IF(Tb_Activiteiten[[#This Row],[Loonkosten]]=1,Tb_Activiteiten[[#Headers],[Loonkosten]],"")))</f>
        <v/>
      </c>
      <c r="AL855" t="str">
        <f>IF(ISNUMBER(FIND("arbeid",Methode_Keuze)),"",IF(ISNUMBER(FIND("arbeid",Methode_Keuze)),"",IF(Tb_Activiteiten[[#This Row],[Eigen arbeid]]=1,Tb_Activiteiten[[#Headers],[Eigen arbeid]],"")))</f>
        <v/>
      </c>
      <c r="AM855" t="str">
        <f>IF(ISNUMBER(FIND("arbeid",Methode_Keuze)),"",IF(ISNUMBER(FIND("arbeid",Methode_Keuze)),"",IF(Tb_Activiteiten[[#This Row],[Projectmedewerker]]=1,Tb_Activiteiten[[#Headers],[Projectmedewerker]],"")))</f>
        <v/>
      </c>
      <c r="AN855" t="str">
        <f>IF(ISNUMBER(FIND("arbeid",Methode_Keuze)),"",IF(ISNUMBER(FIND("arbeid",Methode_Keuze)),"",IF(Tb_Activiteiten[[#This Row],[Landbouwer]]=1,Tb_Activiteiten[[#Headers],[Landbouwer]],"")))</f>
        <v/>
      </c>
      <c r="AO855" t="str">
        <f>IF(ISNUMBER(FIND("arbeid",Methode_Keuze)),"",IF(ISNUMBER(FIND("arbeid",Methode_Keuze)),"",IF(Tb_Activiteiten[[#This Row],[Adviseur]]=1,Tb_Activiteiten[[#Headers],[Adviseur]],"")))</f>
        <v/>
      </c>
      <c r="AP855" t="str">
        <f>IF(ISNUMBER(FIND("arbeid",Methode_Keuze)),"",IF(ISNUMBER(FIND("arbeid",Methode_Keuze)),"",IF(Tb_Activiteiten[[#This Row],[Projectleider/Expert]]=1,Tb_Activiteiten[[#Headers],[Projectleider/Expert]],"")))</f>
        <v/>
      </c>
      <c r="AQ855" t="str">
        <f>IF(ISNUMBER(FIND("arbeid",Methode_Keuze)),"",IF(ISNUMBER(FIND("arbeid",Methode_Keuze)),"",IF(Tb_Activiteiten[[#This Row],[Arbeidskosten]]=1,Tb_Activiteiten[[#Headers],[Arbeidskosten]],"")))</f>
        <v/>
      </c>
      <c r="AR855" t="str">
        <f>IF(ISNUMBER(FIND("arbeid",Methode_Keuze)),"",IF(ISNUMBER(FIND("arbeid",Methode_Keuze)),"",IF(Tb_Activiteiten[[#This Row],[Arbeidskosten op basis van IKS]]=1,Tb_Activiteiten[[#Headers],[Arbeidskosten op basis van IKS]],"")))</f>
        <v/>
      </c>
      <c r="AS855" t="str">
        <f>IF(ISNUMBER(FIND("overige",Methode_Keuze)),"",IF(Tb_Activiteiten[[#This Row],[Kosten derden exclusief btw]]=1,Tb_Activiteiten[[#Headers],[Kosten derden exclusief btw]],""))</f>
        <v/>
      </c>
      <c r="AT855" t="str">
        <f>IF(ISNUMBER(FIND("overige",Methode_Keuze)),"",IF(Tb_Activiteiten[[#This Row],[Niet verrekenbare btw]]=1,Tb_Activiteiten[[#Headers],[Niet verrekenbare btw]],""))</f>
        <v/>
      </c>
      <c r="AU855" t="str">
        <f>IF(ISNUMBER(FIND("overige",Methode_Keuze)),"",IF(Tb_Activiteiten[[#This Row],[Grondkosten]]=1,Tb_Activiteiten[[#Headers],[Grondkosten]],""))</f>
        <v/>
      </c>
      <c r="AV855" t="str">
        <f>IF(ISNUMBER(FIND("overige",Methode_Keuze)),"",IF(Tb_Activiteiten[[#This Row],[Bijdrage in natura (overige)]]=1,Tb_Activiteiten[[#Headers],[Bijdrage in natura (overige)]],""))</f>
        <v/>
      </c>
      <c r="AW855" t="str">
        <f>IF(ISNUMBER(FIND("overige",Methode_Keuze)),"",IF(Tb_Activiteiten[[#This Row],[Bijdrage in natura (vrijwilligers)]]=1,Tb_Activiteiten[[#Headers],[Bijdrage in natura (vrijwilligers)]],""))</f>
        <v/>
      </c>
      <c r="AX855" t="str">
        <f>IF(ISNUMBER(FIND("overige",Methode_Keuze)),"",IF(Tb_Activiteiten[[#This Row],[Afschrijvingskosten]]=1,Tb_Activiteiten[[#Headers],[Afschrijvingskosten]],""))</f>
        <v/>
      </c>
      <c r="AY855" t="str">
        <f>IF(ISNUMBER(FIND("overige",Methode_Keuze)),"",IF(Tb_Activiteiten[[#This Row],[Vergoeding]]=1,Tb_Activiteiten[[#Headers],[Vergoeding]],""))</f>
        <v/>
      </c>
      <c r="AZ855" t="str">
        <f>IF(ISNUMBER(FIND("arbeid",Methode_Keuze)),"",IF(Tb_Activiteiten[[#This Row],[Arbeidskosten - vast tarief (excl eigen arbeid)]]=1,Tb_Activiteiten[[#Headers],[Arbeidskosten - vast tarief (excl eigen arbeid)]],""))</f>
        <v/>
      </c>
      <c r="BA855" t="str">
        <f>IF(ISNUMBER(FIND("overige",Methode_Keuze)),"",IF(Tb_Activiteiten[[#This Row],[Overige kosten]]=1,Tb_Activiteiten[[#Headers],[Overige kosten]],""))</f>
        <v/>
      </c>
    </row>
    <row r="856" spans="1:53" x14ac:dyDescent="0.25">
      <c r="A856" s="231"/>
      <c r="F856" s="64"/>
      <c r="G856" s="64"/>
      <c r="H856" s="275"/>
      <c r="I856" s="275"/>
      <c r="J856" s="275"/>
      <c r="K856" s="275"/>
      <c r="O856" s="56"/>
      <c r="Q856" t="str">
        <f>IFERROR(IF(VLOOKUP(Tb_Activiteiten[[#This Row],[Openstelling]],Tb_Openstelling[],2,0)=1,1,""),"")</f>
        <v/>
      </c>
      <c r="AK856" t="str">
        <f>IF(ISNUMBER(FIND("arbeid",Methode_Keuze)),"",IF(ISNUMBER(FIND("arbeid",Methode_Keuze)),"",IF(Tb_Activiteiten[[#This Row],[Loonkosten]]=1,Tb_Activiteiten[[#Headers],[Loonkosten]],"")))</f>
        <v/>
      </c>
      <c r="AL856" t="str">
        <f>IF(ISNUMBER(FIND("arbeid",Methode_Keuze)),"",IF(ISNUMBER(FIND("arbeid",Methode_Keuze)),"",IF(Tb_Activiteiten[[#This Row],[Eigen arbeid]]=1,Tb_Activiteiten[[#Headers],[Eigen arbeid]],"")))</f>
        <v/>
      </c>
      <c r="AM856" t="str">
        <f>IF(ISNUMBER(FIND("arbeid",Methode_Keuze)),"",IF(ISNUMBER(FIND("arbeid",Methode_Keuze)),"",IF(Tb_Activiteiten[[#This Row],[Projectmedewerker]]=1,Tb_Activiteiten[[#Headers],[Projectmedewerker]],"")))</f>
        <v/>
      </c>
      <c r="AN856" t="str">
        <f>IF(ISNUMBER(FIND("arbeid",Methode_Keuze)),"",IF(ISNUMBER(FIND("arbeid",Methode_Keuze)),"",IF(Tb_Activiteiten[[#This Row],[Landbouwer]]=1,Tb_Activiteiten[[#Headers],[Landbouwer]],"")))</f>
        <v/>
      </c>
      <c r="AO856" t="str">
        <f>IF(ISNUMBER(FIND("arbeid",Methode_Keuze)),"",IF(ISNUMBER(FIND("arbeid",Methode_Keuze)),"",IF(Tb_Activiteiten[[#This Row],[Adviseur]]=1,Tb_Activiteiten[[#Headers],[Adviseur]],"")))</f>
        <v/>
      </c>
      <c r="AP856" t="str">
        <f>IF(ISNUMBER(FIND("arbeid",Methode_Keuze)),"",IF(ISNUMBER(FIND("arbeid",Methode_Keuze)),"",IF(Tb_Activiteiten[[#This Row],[Projectleider/Expert]]=1,Tb_Activiteiten[[#Headers],[Projectleider/Expert]],"")))</f>
        <v/>
      </c>
      <c r="AQ856" t="str">
        <f>IF(ISNUMBER(FIND("arbeid",Methode_Keuze)),"",IF(ISNUMBER(FIND("arbeid",Methode_Keuze)),"",IF(Tb_Activiteiten[[#This Row],[Arbeidskosten]]=1,Tb_Activiteiten[[#Headers],[Arbeidskosten]],"")))</f>
        <v/>
      </c>
      <c r="AR856" t="str">
        <f>IF(ISNUMBER(FIND("arbeid",Methode_Keuze)),"",IF(ISNUMBER(FIND("arbeid",Methode_Keuze)),"",IF(Tb_Activiteiten[[#This Row],[Arbeidskosten op basis van IKS]]=1,Tb_Activiteiten[[#Headers],[Arbeidskosten op basis van IKS]],"")))</f>
        <v/>
      </c>
      <c r="AS856" t="str">
        <f>IF(ISNUMBER(FIND("overige",Methode_Keuze)),"",IF(Tb_Activiteiten[[#This Row],[Kosten derden exclusief btw]]=1,Tb_Activiteiten[[#Headers],[Kosten derden exclusief btw]],""))</f>
        <v/>
      </c>
      <c r="AT856" t="str">
        <f>IF(ISNUMBER(FIND("overige",Methode_Keuze)),"",IF(Tb_Activiteiten[[#This Row],[Niet verrekenbare btw]]=1,Tb_Activiteiten[[#Headers],[Niet verrekenbare btw]],""))</f>
        <v/>
      </c>
      <c r="AU856" t="str">
        <f>IF(ISNUMBER(FIND("overige",Methode_Keuze)),"",IF(Tb_Activiteiten[[#This Row],[Grondkosten]]=1,Tb_Activiteiten[[#Headers],[Grondkosten]],""))</f>
        <v/>
      </c>
      <c r="AV856" t="str">
        <f>IF(ISNUMBER(FIND("overige",Methode_Keuze)),"",IF(Tb_Activiteiten[[#This Row],[Bijdrage in natura (overige)]]=1,Tb_Activiteiten[[#Headers],[Bijdrage in natura (overige)]],""))</f>
        <v/>
      </c>
      <c r="AW856" t="str">
        <f>IF(ISNUMBER(FIND("overige",Methode_Keuze)),"",IF(Tb_Activiteiten[[#This Row],[Bijdrage in natura (vrijwilligers)]]=1,Tb_Activiteiten[[#Headers],[Bijdrage in natura (vrijwilligers)]],""))</f>
        <v/>
      </c>
      <c r="AX856" t="str">
        <f>IF(ISNUMBER(FIND("overige",Methode_Keuze)),"",IF(Tb_Activiteiten[[#This Row],[Afschrijvingskosten]]=1,Tb_Activiteiten[[#Headers],[Afschrijvingskosten]],""))</f>
        <v/>
      </c>
      <c r="AY856" t="str">
        <f>IF(ISNUMBER(FIND("overige",Methode_Keuze)),"",IF(Tb_Activiteiten[[#This Row],[Vergoeding]]=1,Tb_Activiteiten[[#Headers],[Vergoeding]],""))</f>
        <v/>
      </c>
      <c r="AZ856" t="str">
        <f>IF(ISNUMBER(FIND("arbeid",Methode_Keuze)),"",IF(Tb_Activiteiten[[#This Row],[Arbeidskosten - vast tarief (excl eigen arbeid)]]=1,Tb_Activiteiten[[#Headers],[Arbeidskosten - vast tarief (excl eigen arbeid)]],""))</f>
        <v/>
      </c>
      <c r="BA856" t="str">
        <f>IF(ISNUMBER(FIND("overige",Methode_Keuze)),"",IF(Tb_Activiteiten[[#This Row],[Overige kosten]]=1,Tb_Activiteiten[[#Headers],[Overige kosten]],""))</f>
        <v/>
      </c>
    </row>
    <row r="857" spans="1:53" x14ac:dyDescent="0.25">
      <c r="A857" s="231"/>
      <c r="F857" s="64"/>
      <c r="G857" s="64"/>
      <c r="H857" s="275"/>
      <c r="I857" s="275"/>
      <c r="J857" s="275"/>
      <c r="K857" s="275"/>
      <c r="O857" s="56"/>
      <c r="Q857" t="str">
        <f>IFERROR(IF(VLOOKUP(Tb_Activiteiten[[#This Row],[Openstelling]],Tb_Openstelling[],2,0)=1,1,""),"")</f>
        <v/>
      </c>
      <c r="AK857" t="str">
        <f>IF(ISNUMBER(FIND("arbeid",Methode_Keuze)),"",IF(ISNUMBER(FIND("arbeid",Methode_Keuze)),"",IF(Tb_Activiteiten[[#This Row],[Loonkosten]]=1,Tb_Activiteiten[[#Headers],[Loonkosten]],"")))</f>
        <v/>
      </c>
      <c r="AL857" t="str">
        <f>IF(ISNUMBER(FIND("arbeid",Methode_Keuze)),"",IF(ISNUMBER(FIND("arbeid",Methode_Keuze)),"",IF(Tb_Activiteiten[[#This Row],[Eigen arbeid]]=1,Tb_Activiteiten[[#Headers],[Eigen arbeid]],"")))</f>
        <v/>
      </c>
      <c r="AM857" t="str">
        <f>IF(ISNUMBER(FIND("arbeid",Methode_Keuze)),"",IF(ISNUMBER(FIND("arbeid",Methode_Keuze)),"",IF(Tb_Activiteiten[[#This Row],[Projectmedewerker]]=1,Tb_Activiteiten[[#Headers],[Projectmedewerker]],"")))</f>
        <v/>
      </c>
      <c r="AN857" t="str">
        <f>IF(ISNUMBER(FIND("arbeid",Methode_Keuze)),"",IF(ISNUMBER(FIND("arbeid",Methode_Keuze)),"",IF(Tb_Activiteiten[[#This Row],[Landbouwer]]=1,Tb_Activiteiten[[#Headers],[Landbouwer]],"")))</f>
        <v/>
      </c>
      <c r="AO857" t="str">
        <f>IF(ISNUMBER(FIND("arbeid",Methode_Keuze)),"",IF(ISNUMBER(FIND("arbeid",Methode_Keuze)),"",IF(Tb_Activiteiten[[#This Row],[Adviseur]]=1,Tb_Activiteiten[[#Headers],[Adviseur]],"")))</f>
        <v/>
      </c>
      <c r="AP857" t="str">
        <f>IF(ISNUMBER(FIND("arbeid",Methode_Keuze)),"",IF(ISNUMBER(FIND("arbeid",Methode_Keuze)),"",IF(Tb_Activiteiten[[#This Row],[Projectleider/Expert]]=1,Tb_Activiteiten[[#Headers],[Projectleider/Expert]],"")))</f>
        <v/>
      </c>
      <c r="AQ857" t="str">
        <f>IF(ISNUMBER(FIND("arbeid",Methode_Keuze)),"",IF(ISNUMBER(FIND("arbeid",Methode_Keuze)),"",IF(Tb_Activiteiten[[#This Row],[Arbeidskosten]]=1,Tb_Activiteiten[[#Headers],[Arbeidskosten]],"")))</f>
        <v/>
      </c>
      <c r="AR857" t="str">
        <f>IF(ISNUMBER(FIND("arbeid",Methode_Keuze)),"",IF(ISNUMBER(FIND("arbeid",Methode_Keuze)),"",IF(Tb_Activiteiten[[#This Row],[Arbeidskosten op basis van IKS]]=1,Tb_Activiteiten[[#Headers],[Arbeidskosten op basis van IKS]],"")))</f>
        <v/>
      </c>
      <c r="AS857" t="str">
        <f>IF(ISNUMBER(FIND("overige",Methode_Keuze)),"",IF(Tb_Activiteiten[[#This Row],[Kosten derden exclusief btw]]=1,Tb_Activiteiten[[#Headers],[Kosten derden exclusief btw]],""))</f>
        <v/>
      </c>
      <c r="AT857" t="str">
        <f>IF(ISNUMBER(FIND("overige",Methode_Keuze)),"",IF(Tb_Activiteiten[[#This Row],[Niet verrekenbare btw]]=1,Tb_Activiteiten[[#Headers],[Niet verrekenbare btw]],""))</f>
        <v/>
      </c>
      <c r="AU857" t="str">
        <f>IF(ISNUMBER(FIND("overige",Methode_Keuze)),"",IF(Tb_Activiteiten[[#This Row],[Grondkosten]]=1,Tb_Activiteiten[[#Headers],[Grondkosten]],""))</f>
        <v/>
      </c>
      <c r="AV857" t="str">
        <f>IF(ISNUMBER(FIND("overige",Methode_Keuze)),"",IF(Tb_Activiteiten[[#This Row],[Bijdrage in natura (overige)]]=1,Tb_Activiteiten[[#Headers],[Bijdrage in natura (overige)]],""))</f>
        <v/>
      </c>
      <c r="AW857" t="str">
        <f>IF(ISNUMBER(FIND("overige",Methode_Keuze)),"",IF(Tb_Activiteiten[[#This Row],[Bijdrage in natura (vrijwilligers)]]=1,Tb_Activiteiten[[#Headers],[Bijdrage in natura (vrijwilligers)]],""))</f>
        <v/>
      </c>
      <c r="AX857" t="str">
        <f>IF(ISNUMBER(FIND("overige",Methode_Keuze)),"",IF(Tb_Activiteiten[[#This Row],[Afschrijvingskosten]]=1,Tb_Activiteiten[[#Headers],[Afschrijvingskosten]],""))</f>
        <v/>
      </c>
      <c r="AY857" t="str">
        <f>IF(ISNUMBER(FIND("overige",Methode_Keuze)),"",IF(Tb_Activiteiten[[#This Row],[Vergoeding]]=1,Tb_Activiteiten[[#Headers],[Vergoeding]],""))</f>
        <v/>
      </c>
      <c r="AZ857" t="str">
        <f>IF(ISNUMBER(FIND("arbeid",Methode_Keuze)),"",IF(Tb_Activiteiten[[#This Row],[Arbeidskosten - vast tarief (excl eigen arbeid)]]=1,Tb_Activiteiten[[#Headers],[Arbeidskosten - vast tarief (excl eigen arbeid)]],""))</f>
        <v/>
      </c>
      <c r="BA857" t="str">
        <f>IF(ISNUMBER(FIND("overige",Methode_Keuze)),"",IF(Tb_Activiteiten[[#This Row],[Overige kosten]]=1,Tb_Activiteiten[[#Headers],[Overige kosten]],""))</f>
        <v/>
      </c>
    </row>
    <row r="858" spans="1:53" x14ac:dyDescent="0.25">
      <c r="A858" s="231"/>
      <c r="F858" s="64"/>
      <c r="G858" s="64"/>
      <c r="H858" s="275"/>
      <c r="I858" s="275"/>
      <c r="J858" s="275"/>
      <c r="K858" s="275"/>
      <c r="O858" s="56"/>
      <c r="Q858" t="str">
        <f>IFERROR(IF(VLOOKUP(Tb_Activiteiten[[#This Row],[Openstelling]],Tb_Openstelling[],2,0)=1,1,""),"")</f>
        <v/>
      </c>
      <c r="AK858" t="str">
        <f>IF(ISNUMBER(FIND("arbeid",Methode_Keuze)),"",IF(ISNUMBER(FIND("arbeid",Methode_Keuze)),"",IF(Tb_Activiteiten[[#This Row],[Loonkosten]]=1,Tb_Activiteiten[[#Headers],[Loonkosten]],"")))</f>
        <v/>
      </c>
      <c r="AL858" t="str">
        <f>IF(ISNUMBER(FIND("arbeid",Methode_Keuze)),"",IF(ISNUMBER(FIND("arbeid",Methode_Keuze)),"",IF(Tb_Activiteiten[[#This Row],[Eigen arbeid]]=1,Tb_Activiteiten[[#Headers],[Eigen arbeid]],"")))</f>
        <v/>
      </c>
      <c r="AM858" t="str">
        <f>IF(ISNUMBER(FIND("arbeid",Methode_Keuze)),"",IF(ISNUMBER(FIND("arbeid",Methode_Keuze)),"",IF(Tb_Activiteiten[[#This Row],[Projectmedewerker]]=1,Tb_Activiteiten[[#Headers],[Projectmedewerker]],"")))</f>
        <v/>
      </c>
      <c r="AN858" t="str">
        <f>IF(ISNUMBER(FIND("arbeid",Methode_Keuze)),"",IF(ISNUMBER(FIND("arbeid",Methode_Keuze)),"",IF(Tb_Activiteiten[[#This Row],[Landbouwer]]=1,Tb_Activiteiten[[#Headers],[Landbouwer]],"")))</f>
        <v/>
      </c>
      <c r="AO858" t="str">
        <f>IF(ISNUMBER(FIND("arbeid",Methode_Keuze)),"",IF(ISNUMBER(FIND("arbeid",Methode_Keuze)),"",IF(Tb_Activiteiten[[#This Row],[Adviseur]]=1,Tb_Activiteiten[[#Headers],[Adviseur]],"")))</f>
        <v/>
      </c>
      <c r="AP858" t="str">
        <f>IF(ISNUMBER(FIND("arbeid",Methode_Keuze)),"",IF(ISNUMBER(FIND("arbeid",Methode_Keuze)),"",IF(Tb_Activiteiten[[#This Row],[Projectleider/Expert]]=1,Tb_Activiteiten[[#Headers],[Projectleider/Expert]],"")))</f>
        <v/>
      </c>
      <c r="AQ858" t="str">
        <f>IF(ISNUMBER(FIND("arbeid",Methode_Keuze)),"",IF(ISNUMBER(FIND("arbeid",Methode_Keuze)),"",IF(Tb_Activiteiten[[#This Row],[Arbeidskosten]]=1,Tb_Activiteiten[[#Headers],[Arbeidskosten]],"")))</f>
        <v/>
      </c>
      <c r="AR858" t="str">
        <f>IF(ISNUMBER(FIND("arbeid",Methode_Keuze)),"",IF(ISNUMBER(FIND("arbeid",Methode_Keuze)),"",IF(Tb_Activiteiten[[#This Row],[Arbeidskosten op basis van IKS]]=1,Tb_Activiteiten[[#Headers],[Arbeidskosten op basis van IKS]],"")))</f>
        <v/>
      </c>
      <c r="AS858" t="str">
        <f>IF(ISNUMBER(FIND("overige",Methode_Keuze)),"",IF(Tb_Activiteiten[[#This Row],[Kosten derden exclusief btw]]=1,Tb_Activiteiten[[#Headers],[Kosten derden exclusief btw]],""))</f>
        <v/>
      </c>
      <c r="AT858" t="str">
        <f>IF(ISNUMBER(FIND("overige",Methode_Keuze)),"",IF(Tb_Activiteiten[[#This Row],[Niet verrekenbare btw]]=1,Tb_Activiteiten[[#Headers],[Niet verrekenbare btw]],""))</f>
        <v/>
      </c>
      <c r="AU858" t="str">
        <f>IF(ISNUMBER(FIND("overige",Methode_Keuze)),"",IF(Tb_Activiteiten[[#This Row],[Grondkosten]]=1,Tb_Activiteiten[[#Headers],[Grondkosten]],""))</f>
        <v/>
      </c>
      <c r="AV858" t="str">
        <f>IF(ISNUMBER(FIND("overige",Methode_Keuze)),"",IF(Tb_Activiteiten[[#This Row],[Bijdrage in natura (overige)]]=1,Tb_Activiteiten[[#Headers],[Bijdrage in natura (overige)]],""))</f>
        <v/>
      </c>
      <c r="AW858" t="str">
        <f>IF(ISNUMBER(FIND("overige",Methode_Keuze)),"",IF(Tb_Activiteiten[[#This Row],[Bijdrage in natura (vrijwilligers)]]=1,Tb_Activiteiten[[#Headers],[Bijdrage in natura (vrijwilligers)]],""))</f>
        <v/>
      </c>
      <c r="AX858" t="str">
        <f>IF(ISNUMBER(FIND("overige",Methode_Keuze)),"",IF(Tb_Activiteiten[[#This Row],[Afschrijvingskosten]]=1,Tb_Activiteiten[[#Headers],[Afschrijvingskosten]],""))</f>
        <v/>
      </c>
      <c r="AY858" t="str">
        <f>IF(ISNUMBER(FIND("overige",Methode_Keuze)),"",IF(Tb_Activiteiten[[#This Row],[Vergoeding]]=1,Tb_Activiteiten[[#Headers],[Vergoeding]],""))</f>
        <v/>
      </c>
      <c r="AZ858" t="str">
        <f>IF(ISNUMBER(FIND("arbeid",Methode_Keuze)),"",IF(Tb_Activiteiten[[#This Row],[Arbeidskosten - vast tarief (excl eigen arbeid)]]=1,Tb_Activiteiten[[#Headers],[Arbeidskosten - vast tarief (excl eigen arbeid)]],""))</f>
        <v/>
      </c>
      <c r="BA858" t="str">
        <f>IF(ISNUMBER(FIND("overige",Methode_Keuze)),"",IF(Tb_Activiteiten[[#This Row],[Overige kosten]]=1,Tb_Activiteiten[[#Headers],[Overige kosten]],""))</f>
        <v/>
      </c>
    </row>
    <row r="859" spans="1:53" x14ac:dyDescent="0.25">
      <c r="A859" s="231"/>
      <c r="F859" s="64"/>
      <c r="G859" s="64"/>
      <c r="H859" s="275"/>
      <c r="I859" s="275"/>
      <c r="J859" s="275"/>
      <c r="K859" s="275"/>
      <c r="O859" s="56"/>
      <c r="Q859" t="str">
        <f>IFERROR(IF(VLOOKUP(Tb_Activiteiten[[#This Row],[Openstelling]],Tb_Openstelling[],2,0)=1,1,""),"")</f>
        <v/>
      </c>
      <c r="AK859" t="str">
        <f>IF(ISNUMBER(FIND("arbeid",Methode_Keuze)),"",IF(ISNUMBER(FIND("arbeid",Methode_Keuze)),"",IF(Tb_Activiteiten[[#This Row],[Loonkosten]]=1,Tb_Activiteiten[[#Headers],[Loonkosten]],"")))</f>
        <v/>
      </c>
      <c r="AL859" t="str">
        <f>IF(ISNUMBER(FIND("arbeid",Methode_Keuze)),"",IF(ISNUMBER(FIND("arbeid",Methode_Keuze)),"",IF(Tb_Activiteiten[[#This Row],[Eigen arbeid]]=1,Tb_Activiteiten[[#Headers],[Eigen arbeid]],"")))</f>
        <v/>
      </c>
      <c r="AM859" t="str">
        <f>IF(ISNUMBER(FIND("arbeid",Methode_Keuze)),"",IF(ISNUMBER(FIND("arbeid",Methode_Keuze)),"",IF(Tb_Activiteiten[[#This Row],[Projectmedewerker]]=1,Tb_Activiteiten[[#Headers],[Projectmedewerker]],"")))</f>
        <v/>
      </c>
      <c r="AN859" t="str">
        <f>IF(ISNUMBER(FIND("arbeid",Methode_Keuze)),"",IF(ISNUMBER(FIND("arbeid",Methode_Keuze)),"",IF(Tb_Activiteiten[[#This Row],[Landbouwer]]=1,Tb_Activiteiten[[#Headers],[Landbouwer]],"")))</f>
        <v/>
      </c>
      <c r="AO859" t="str">
        <f>IF(ISNUMBER(FIND("arbeid",Methode_Keuze)),"",IF(ISNUMBER(FIND("arbeid",Methode_Keuze)),"",IF(Tb_Activiteiten[[#This Row],[Adviseur]]=1,Tb_Activiteiten[[#Headers],[Adviseur]],"")))</f>
        <v/>
      </c>
      <c r="AP859" t="str">
        <f>IF(ISNUMBER(FIND("arbeid",Methode_Keuze)),"",IF(ISNUMBER(FIND("arbeid",Methode_Keuze)),"",IF(Tb_Activiteiten[[#This Row],[Projectleider/Expert]]=1,Tb_Activiteiten[[#Headers],[Projectleider/Expert]],"")))</f>
        <v/>
      </c>
      <c r="AQ859" t="str">
        <f>IF(ISNUMBER(FIND("arbeid",Methode_Keuze)),"",IF(ISNUMBER(FIND("arbeid",Methode_Keuze)),"",IF(Tb_Activiteiten[[#This Row],[Arbeidskosten]]=1,Tb_Activiteiten[[#Headers],[Arbeidskosten]],"")))</f>
        <v/>
      </c>
      <c r="AR859" t="str">
        <f>IF(ISNUMBER(FIND("arbeid",Methode_Keuze)),"",IF(ISNUMBER(FIND("arbeid",Methode_Keuze)),"",IF(Tb_Activiteiten[[#This Row],[Arbeidskosten op basis van IKS]]=1,Tb_Activiteiten[[#Headers],[Arbeidskosten op basis van IKS]],"")))</f>
        <v/>
      </c>
      <c r="AS859" t="str">
        <f>IF(ISNUMBER(FIND("overige",Methode_Keuze)),"",IF(Tb_Activiteiten[[#This Row],[Kosten derden exclusief btw]]=1,Tb_Activiteiten[[#Headers],[Kosten derden exclusief btw]],""))</f>
        <v/>
      </c>
      <c r="AT859" t="str">
        <f>IF(ISNUMBER(FIND("overige",Methode_Keuze)),"",IF(Tb_Activiteiten[[#This Row],[Niet verrekenbare btw]]=1,Tb_Activiteiten[[#Headers],[Niet verrekenbare btw]],""))</f>
        <v/>
      </c>
      <c r="AU859" t="str">
        <f>IF(ISNUMBER(FIND("overige",Methode_Keuze)),"",IF(Tb_Activiteiten[[#This Row],[Grondkosten]]=1,Tb_Activiteiten[[#Headers],[Grondkosten]],""))</f>
        <v/>
      </c>
      <c r="AV859" t="str">
        <f>IF(ISNUMBER(FIND("overige",Methode_Keuze)),"",IF(Tb_Activiteiten[[#This Row],[Bijdrage in natura (overige)]]=1,Tb_Activiteiten[[#Headers],[Bijdrage in natura (overige)]],""))</f>
        <v/>
      </c>
      <c r="AW859" t="str">
        <f>IF(ISNUMBER(FIND("overige",Methode_Keuze)),"",IF(Tb_Activiteiten[[#This Row],[Bijdrage in natura (vrijwilligers)]]=1,Tb_Activiteiten[[#Headers],[Bijdrage in natura (vrijwilligers)]],""))</f>
        <v/>
      </c>
      <c r="AX859" t="str">
        <f>IF(ISNUMBER(FIND("overige",Methode_Keuze)),"",IF(Tb_Activiteiten[[#This Row],[Afschrijvingskosten]]=1,Tb_Activiteiten[[#Headers],[Afschrijvingskosten]],""))</f>
        <v/>
      </c>
      <c r="AY859" t="str">
        <f>IF(ISNUMBER(FIND("overige",Methode_Keuze)),"",IF(Tb_Activiteiten[[#This Row],[Vergoeding]]=1,Tb_Activiteiten[[#Headers],[Vergoeding]],""))</f>
        <v/>
      </c>
      <c r="AZ859" t="str">
        <f>IF(ISNUMBER(FIND("arbeid",Methode_Keuze)),"",IF(Tb_Activiteiten[[#This Row],[Arbeidskosten - vast tarief (excl eigen arbeid)]]=1,Tb_Activiteiten[[#Headers],[Arbeidskosten - vast tarief (excl eigen arbeid)]],""))</f>
        <v/>
      </c>
      <c r="BA859" t="str">
        <f>IF(ISNUMBER(FIND("overige",Methode_Keuze)),"",IF(Tb_Activiteiten[[#This Row],[Overige kosten]]=1,Tb_Activiteiten[[#Headers],[Overige kosten]],""))</f>
        <v/>
      </c>
    </row>
    <row r="860" spans="1:53" x14ac:dyDescent="0.25">
      <c r="A860" s="231"/>
      <c r="F860" s="64"/>
      <c r="G860" s="64"/>
      <c r="H860" s="275"/>
      <c r="I860" s="275"/>
      <c r="J860" s="275"/>
      <c r="K860" s="275"/>
      <c r="O860" s="56"/>
      <c r="Q860" t="str">
        <f>IFERROR(IF(VLOOKUP(Tb_Activiteiten[[#This Row],[Openstelling]],Tb_Openstelling[],2,0)=1,1,""),"")</f>
        <v/>
      </c>
      <c r="AK860" t="str">
        <f>IF(ISNUMBER(FIND("arbeid",Methode_Keuze)),"",IF(ISNUMBER(FIND("arbeid",Methode_Keuze)),"",IF(Tb_Activiteiten[[#This Row],[Loonkosten]]=1,Tb_Activiteiten[[#Headers],[Loonkosten]],"")))</f>
        <v/>
      </c>
      <c r="AL860" t="str">
        <f>IF(ISNUMBER(FIND("arbeid",Methode_Keuze)),"",IF(ISNUMBER(FIND("arbeid",Methode_Keuze)),"",IF(Tb_Activiteiten[[#This Row],[Eigen arbeid]]=1,Tb_Activiteiten[[#Headers],[Eigen arbeid]],"")))</f>
        <v/>
      </c>
      <c r="AM860" t="str">
        <f>IF(ISNUMBER(FIND("arbeid",Methode_Keuze)),"",IF(ISNUMBER(FIND("arbeid",Methode_Keuze)),"",IF(Tb_Activiteiten[[#This Row],[Projectmedewerker]]=1,Tb_Activiteiten[[#Headers],[Projectmedewerker]],"")))</f>
        <v/>
      </c>
      <c r="AN860" t="str">
        <f>IF(ISNUMBER(FIND("arbeid",Methode_Keuze)),"",IF(ISNUMBER(FIND("arbeid",Methode_Keuze)),"",IF(Tb_Activiteiten[[#This Row],[Landbouwer]]=1,Tb_Activiteiten[[#Headers],[Landbouwer]],"")))</f>
        <v/>
      </c>
      <c r="AO860" t="str">
        <f>IF(ISNUMBER(FIND("arbeid",Methode_Keuze)),"",IF(ISNUMBER(FIND("arbeid",Methode_Keuze)),"",IF(Tb_Activiteiten[[#This Row],[Adviseur]]=1,Tb_Activiteiten[[#Headers],[Adviseur]],"")))</f>
        <v/>
      </c>
      <c r="AP860" t="str">
        <f>IF(ISNUMBER(FIND("arbeid",Methode_Keuze)),"",IF(ISNUMBER(FIND("arbeid",Methode_Keuze)),"",IF(Tb_Activiteiten[[#This Row],[Projectleider/Expert]]=1,Tb_Activiteiten[[#Headers],[Projectleider/Expert]],"")))</f>
        <v/>
      </c>
      <c r="AQ860" t="str">
        <f>IF(ISNUMBER(FIND("arbeid",Methode_Keuze)),"",IF(ISNUMBER(FIND("arbeid",Methode_Keuze)),"",IF(Tb_Activiteiten[[#This Row],[Arbeidskosten]]=1,Tb_Activiteiten[[#Headers],[Arbeidskosten]],"")))</f>
        <v/>
      </c>
      <c r="AR860" t="str">
        <f>IF(ISNUMBER(FIND("arbeid",Methode_Keuze)),"",IF(ISNUMBER(FIND("arbeid",Methode_Keuze)),"",IF(Tb_Activiteiten[[#This Row],[Arbeidskosten op basis van IKS]]=1,Tb_Activiteiten[[#Headers],[Arbeidskosten op basis van IKS]],"")))</f>
        <v/>
      </c>
      <c r="AS860" t="str">
        <f>IF(ISNUMBER(FIND("overige",Methode_Keuze)),"",IF(Tb_Activiteiten[[#This Row],[Kosten derden exclusief btw]]=1,Tb_Activiteiten[[#Headers],[Kosten derden exclusief btw]],""))</f>
        <v/>
      </c>
      <c r="AT860" t="str">
        <f>IF(ISNUMBER(FIND("overige",Methode_Keuze)),"",IF(Tb_Activiteiten[[#This Row],[Niet verrekenbare btw]]=1,Tb_Activiteiten[[#Headers],[Niet verrekenbare btw]],""))</f>
        <v/>
      </c>
      <c r="AU860" t="str">
        <f>IF(ISNUMBER(FIND("overige",Methode_Keuze)),"",IF(Tb_Activiteiten[[#This Row],[Grondkosten]]=1,Tb_Activiteiten[[#Headers],[Grondkosten]],""))</f>
        <v/>
      </c>
      <c r="AV860" t="str">
        <f>IF(ISNUMBER(FIND("overige",Methode_Keuze)),"",IF(Tb_Activiteiten[[#This Row],[Bijdrage in natura (overige)]]=1,Tb_Activiteiten[[#Headers],[Bijdrage in natura (overige)]],""))</f>
        <v/>
      </c>
      <c r="AW860" t="str">
        <f>IF(ISNUMBER(FIND("overige",Methode_Keuze)),"",IF(Tb_Activiteiten[[#This Row],[Bijdrage in natura (vrijwilligers)]]=1,Tb_Activiteiten[[#Headers],[Bijdrage in natura (vrijwilligers)]],""))</f>
        <v/>
      </c>
      <c r="AX860" t="str">
        <f>IF(ISNUMBER(FIND("overige",Methode_Keuze)),"",IF(Tb_Activiteiten[[#This Row],[Afschrijvingskosten]]=1,Tb_Activiteiten[[#Headers],[Afschrijvingskosten]],""))</f>
        <v/>
      </c>
      <c r="AY860" t="str">
        <f>IF(ISNUMBER(FIND("overige",Methode_Keuze)),"",IF(Tb_Activiteiten[[#This Row],[Vergoeding]]=1,Tb_Activiteiten[[#Headers],[Vergoeding]],""))</f>
        <v/>
      </c>
      <c r="AZ860" t="str">
        <f>IF(ISNUMBER(FIND("arbeid",Methode_Keuze)),"",IF(Tb_Activiteiten[[#This Row],[Arbeidskosten - vast tarief (excl eigen arbeid)]]=1,Tb_Activiteiten[[#Headers],[Arbeidskosten - vast tarief (excl eigen arbeid)]],""))</f>
        <v/>
      </c>
      <c r="BA860" t="str">
        <f>IF(ISNUMBER(FIND("overige",Methode_Keuze)),"",IF(Tb_Activiteiten[[#This Row],[Overige kosten]]=1,Tb_Activiteiten[[#Headers],[Overige kosten]],""))</f>
        <v/>
      </c>
    </row>
    <row r="861" spans="1:53" x14ac:dyDescent="0.25">
      <c r="A861" s="231"/>
      <c r="F861" s="64"/>
      <c r="G861" s="64"/>
      <c r="H861" s="275"/>
      <c r="I861" s="275"/>
      <c r="J861" s="275"/>
      <c r="K861" s="275"/>
      <c r="O861" s="56"/>
      <c r="Q861" t="str">
        <f>IFERROR(IF(VLOOKUP(Tb_Activiteiten[[#This Row],[Openstelling]],Tb_Openstelling[],2,0)=1,1,""),"")</f>
        <v/>
      </c>
      <c r="AK861" t="str">
        <f>IF(ISNUMBER(FIND("arbeid",Methode_Keuze)),"",IF(ISNUMBER(FIND("arbeid",Methode_Keuze)),"",IF(Tb_Activiteiten[[#This Row],[Loonkosten]]=1,Tb_Activiteiten[[#Headers],[Loonkosten]],"")))</f>
        <v/>
      </c>
      <c r="AL861" t="str">
        <f>IF(ISNUMBER(FIND("arbeid",Methode_Keuze)),"",IF(ISNUMBER(FIND("arbeid",Methode_Keuze)),"",IF(Tb_Activiteiten[[#This Row],[Eigen arbeid]]=1,Tb_Activiteiten[[#Headers],[Eigen arbeid]],"")))</f>
        <v/>
      </c>
      <c r="AM861" t="str">
        <f>IF(ISNUMBER(FIND("arbeid",Methode_Keuze)),"",IF(ISNUMBER(FIND("arbeid",Methode_Keuze)),"",IF(Tb_Activiteiten[[#This Row],[Projectmedewerker]]=1,Tb_Activiteiten[[#Headers],[Projectmedewerker]],"")))</f>
        <v/>
      </c>
      <c r="AN861" t="str">
        <f>IF(ISNUMBER(FIND("arbeid",Methode_Keuze)),"",IF(ISNUMBER(FIND("arbeid",Methode_Keuze)),"",IF(Tb_Activiteiten[[#This Row],[Landbouwer]]=1,Tb_Activiteiten[[#Headers],[Landbouwer]],"")))</f>
        <v/>
      </c>
      <c r="AO861" t="str">
        <f>IF(ISNUMBER(FIND("arbeid",Methode_Keuze)),"",IF(ISNUMBER(FIND("arbeid",Methode_Keuze)),"",IF(Tb_Activiteiten[[#This Row],[Adviseur]]=1,Tb_Activiteiten[[#Headers],[Adviseur]],"")))</f>
        <v/>
      </c>
      <c r="AP861" t="str">
        <f>IF(ISNUMBER(FIND("arbeid",Methode_Keuze)),"",IF(ISNUMBER(FIND("arbeid",Methode_Keuze)),"",IF(Tb_Activiteiten[[#This Row],[Projectleider/Expert]]=1,Tb_Activiteiten[[#Headers],[Projectleider/Expert]],"")))</f>
        <v/>
      </c>
      <c r="AQ861" t="str">
        <f>IF(ISNUMBER(FIND("arbeid",Methode_Keuze)),"",IF(ISNUMBER(FIND("arbeid",Methode_Keuze)),"",IF(Tb_Activiteiten[[#This Row],[Arbeidskosten]]=1,Tb_Activiteiten[[#Headers],[Arbeidskosten]],"")))</f>
        <v/>
      </c>
      <c r="AR861" t="str">
        <f>IF(ISNUMBER(FIND("arbeid",Methode_Keuze)),"",IF(ISNUMBER(FIND("arbeid",Methode_Keuze)),"",IF(Tb_Activiteiten[[#This Row],[Arbeidskosten op basis van IKS]]=1,Tb_Activiteiten[[#Headers],[Arbeidskosten op basis van IKS]],"")))</f>
        <v/>
      </c>
      <c r="AS861" t="str">
        <f>IF(ISNUMBER(FIND("overige",Methode_Keuze)),"",IF(Tb_Activiteiten[[#This Row],[Kosten derden exclusief btw]]=1,Tb_Activiteiten[[#Headers],[Kosten derden exclusief btw]],""))</f>
        <v/>
      </c>
      <c r="AT861" t="str">
        <f>IF(ISNUMBER(FIND("overige",Methode_Keuze)),"",IF(Tb_Activiteiten[[#This Row],[Niet verrekenbare btw]]=1,Tb_Activiteiten[[#Headers],[Niet verrekenbare btw]],""))</f>
        <v/>
      </c>
      <c r="AU861" t="str">
        <f>IF(ISNUMBER(FIND("overige",Methode_Keuze)),"",IF(Tb_Activiteiten[[#This Row],[Grondkosten]]=1,Tb_Activiteiten[[#Headers],[Grondkosten]],""))</f>
        <v/>
      </c>
      <c r="AV861" t="str">
        <f>IF(ISNUMBER(FIND("overige",Methode_Keuze)),"",IF(Tb_Activiteiten[[#This Row],[Bijdrage in natura (overige)]]=1,Tb_Activiteiten[[#Headers],[Bijdrage in natura (overige)]],""))</f>
        <v/>
      </c>
      <c r="AW861" t="str">
        <f>IF(ISNUMBER(FIND("overige",Methode_Keuze)),"",IF(Tb_Activiteiten[[#This Row],[Bijdrage in natura (vrijwilligers)]]=1,Tb_Activiteiten[[#Headers],[Bijdrage in natura (vrijwilligers)]],""))</f>
        <v/>
      </c>
      <c r="AX861" t="str">
        <f>IF(ISNUMBER(FIND("overige",Methode_Keuze)),"",IF(Tb_Activiteiten[[#This Row],[Afschrijvingskosten]]=1,Tb_Activiteiten[[#Headers],[Afschrijvingskosten]],""))</f>
        <v/>
      </c>
      <c r="AY861" t="str">
        <f>IF(ISNUMBER(FIND("overige",Methode_Keuze)),"",IF(Tb_Activiteiten[[#This Row],[Vergoeding]]=1,Tb_Activiteiten[[#Headers],[Vergoeding]],""))</f>
        <v/>
      </c>
      <c r="AZ861" t="str">
        <f>IF(ISNUMBER(FIND("arbeid",Methode_Keuze)),"",IF(Tb_Activiteiten[[#This Row],[Arbeidskosten - vast tarief (excl eigen arbeid)]]=1,Tb_Activiteiten[[#Headers],[Arbeidskosten - vast tarief (excl eigen arbeid)]],""))</f>
        <v/>
      </c>
      <c r="BA861" t="str">
        <f>IF(ISNUMBER(FIND("overige",Methode_Keuze)),"",IF(Tb_Activiteiten[[#This Row],[Overige kosten]]=1,Tb_Activiteiten[[#Headers],[Overige kosten]],""))</f>
        <v/>
      </c>
    </row>
    <row r="862" spans="1:53" x14ac:dyDescent="0.25">
      <c r="A862" s="231"/>
      <c r="F862" s="64"/>
      <c r="G862" s="64"/>
      <c r="H862" s="275"/>
      <c r="I862" s="275"/>
      <c r="J862" s="275"/>
      <c r="K862" s="275"/>
      <c r="O862" s="56"/>
      <c r="Q862" t="str">
        <f>IFERROR(IF(VLOOKUP(Tb_Activiteiten[[#This Row],[Openstelling]],Tb_Openstelling[],2,0)=1,1,""),"")</f>
        <v/>
      </c>
      <c r="AK862" t="str">
        <f>IF(ISNUMBER(FIND("arbeid",Methode_Keuze)),"",IF(ISNUMBER(FIND("arbeid",Methode_Keuze)),"",IF(Tb_Activiteiten[[#This Row],[Loonkosten]]=1,Tb_Activiteiten[[#Headers],[Loonkosten]],"")))</f>
        <v/>
      </c>
      <c r="AL862" t="str">
        <f>IF(ISNUMBER(FIND("arbeid",Methode_Keuze)),"",IF(ISNUMBER(FIND("arbeid",Methode_Keuze)),"",IF(Tb_Activiteiten[[#This Row],[Eigen arbeid]]=1,Tb_Activiteiten[[#Headers],[Eigen arbeid]],"")))</f>
        <v/>
      </c>
      <c r="AM862" t="str">
        <f>IF(ISNUMBER(FIND("arbeid",Methode_Keuze)),"",IF(ISNUMBER(FIND("arbeid",Methode_Keuze)),"",IF(Tb_Activiteiten[[#This Row],[Projectmedewerker]]=1,Tb_Activiteiten[[#Headers],[Projectmedewerker]],"")))</f>
        <v/>
      </c>
      <c r="AN862" t="str">
        <f>IF(ISNUMBER(FIND("arbeid",Methode_Keuze)),"",IF(ISNUMBER(FIND("arbeid",Methode_Keuze)),"",IF(Tb_Activiteiten[[#This Row],[Landbouwer]]=1,Tb_Activiteiten[[#Headers],[Landbouwer]],"")))</f>
        <v/>
      </c>
      <c r="AO862" t="str">
        <f>IF(ISNUMBER(FIND("arbeid",Methode_Keuze)),"",IF(ISNUMBER(FIND("arbeid",Methode_Keuze)),"",IF(Tb_Activiteiten[[#This Row],[Adviseur]]=1,Tb_Activiteiten[[#Headers],[Adviseur]],"")))</f>
        <v/>
      </c>
      <c r="AP862" t="str">
        <f>IF(ISNUMBER(FIND("arbeid",Methode_Keuze)),"",IF(ISNUMBER(FIND("arbeid",Methode_Keuze)),"",IF(Tb_Activiteiten[[#This Row],[Projectleider/Expert]]=1,Tb_Activiteiten[[#Headers],[Projectleider/Expert]],"")))</f>
        <v/>
      </c>
      <c r="AQ862" t="str">
        <f>IF(ISNUMBER(FIND("arbeid",Methode_Keuze)),"",IF(ISNUMBER(FIND("arbeid",Methode_Keuze)),"",IF(Tb_Activiteiten[[#This Row],[Arbeidskosten]]=1,Tb_Activiteiten[[#Headers],[Arbeidskosten]],"")))</f>
        <v/>
      </c>
      <c r="AR862" t="str">
        <f>IF(ISNUMBER(FIND("arbeid",Methode_Keuze)),"",IF(ISNUMBER(FIND("arbeid",Methode_Keuze)),"",IF(Tb_Activiteiten[[#This Row],[Arbeidskosten op basis van IKS]]=1,Tb_Activiteiten[[#Headers],[Arbeidskosten op basis van IKS]],"")))</f>
        <v/>
      </c>
      <c r="AS862" t="str">
        <f>IF(ISNUMBER(FIND("overige",Methode_Keuze)),"",IF(Tb_Activiteiten[[#This Row],[Kosten derden exclusief btw]]=1,Tb_Activiteiten[[#Headers],[Kosten derden exclusief btw]],""))</f>
        <v/>
      </c>
      <c r="AT862" t="str">
        <f>IF(ISNUMBER(FIND("overige",Methode_Keuze)),"",IF(Tb_Activiteiten[[#This Row],[Niet verrekenbare btw]]=1,Tb_Activiteiten[[#Headers],[Niet verrekenbare btw]],""))</f>
        <v/>
      </c>
      <c r="AU862" t="str">
        <f>IF(ISNUMBER(FIND("overige",Methode_Keuze)),"",IF(Tb_Activiteiten[[#This Row],[Grondkosten]]=1,Tb_Activiteiten[[#Headers],[Grondkosten]],""))</f>
        <v/>
      </c>
      <c r="AV862" t="str">
        <f>IF(ISNUMBER(FIND("overige",Methode_Keuze)),"",IF(Tb_Activiteiten[[#This Row],[Bijdrage in natura (overige)]]=1,Tb_Activiteiten[[#Headers],[Bijdrage in natura (overige)]],""))</f>
        <v/>
      </c>
      <c r="AW862" t="str">
        <f>IF(ISNUMBER(FIND("overige",Methode_Keuze)),"",IF(Tb_Activiteiten[[#This Row],[Bijdrage in natura (vrijwilligers)]]=1,Tb_Activiteiten[[#Headers],[Bijdrage in natura (vrijwilligers)]],""))</f>
        <v/>
      </c>
      <c r="AX862" t="str">
        <f>IF(ISNUMBER(FIND("overige",Methode_Keuze)),"",IF(Tb_Activiteiten[[#This Row],[Afschrijvingskosten]]=1,Tb_Activiteiten[[#Headers],[Afschrijvingskosten]],""))</f>
        <v/>
      </c>
      <c r="AY862" t="str">
        <f>IF(ISNUMBER(FIND("overige",Methode_Keuze)),"",IF(Tb_Activiteiten[[#This Row],[Vergoeding]]=1,Tb_Activiteiten[[#Headers],[Vergoeding]],""))</f>
        <v/>
      </c>
      <c r="AZ862" t="str">
        <f>IF(ISNUMBER(FIND("arbeid",Methode_Keuze)),"",IF(Tb_Activiteiten[[#This Row],[Arbeidskosten - vast tarief (excl eigen arbeid)]]=1,Tb_Activiteiten[[#Headers],[Arbeidskosten - vast tarief (excl eigen arbeid)]],""))</f>
        <v/>
      </c>
      <c r="BA862" t="str">
        <f>IF(ISNUMBER(FIND("overige",Methode_Keuze)),"",IF(Tb_Activiteiten[[#This Row],[Overige kosten]]=1,Tb_Activiteiten[[#Headers],[Overige kosten]],""))</f>
        <v/>
      </c>
    </row>
    <row r="863" spans="1:53" x14ac:dyDescent="0.25">
      <c r="A863" s="231"/>
      <c r="F863" s="64"/>
      <c r="G863" s="64"/>
      <c r="H863" s="275"/>
      <c r="I863" s="275"/>
      <c r="J863" s="275"/>
      <c r="K863" s="275"/>
      <c r="O863" s="56"/>
      <c r="Q863" t="str">
        <f>IFERROR(IF(VLOOKUP(Tb_Activiteiten[[#This Row],[Openstelling]],Tb_Openstelling[],2,0)=1,1,""),"")</f>
        <v/>
      </c>
      <c r="AK863" t="str">
        <f>IF(ISNUMBER(FIND("arbeid",Methode_Keuze)),"",IF(ISNUMBER(FIND("arbeid",Methode_Keuze)),"",IF(Tb_Activiteiten[[#This Row],[Loonkosten]]=1,Tb_Activiteiten[[#Headers],[Loonkosten]],"")))</f>
        <v/>
      </c>
      <c r="AL863" t="str">
        <f>IF(ISNUMBER(FIND("arbeid",Methode_Keuze)),"",IF(ISNUMBER(FIND("arbeid",Methode_Keuze)),"",IF(Tb_Activiteiten[[#This Row],[Eigen arbeid]]=1,Tb_Activiteiten[[#Headers],[Eigen arbeid]],"")))</f>
        <v/>
      </c>
      <c r="AM863" t="str">
        <f>IF(ISNUMBER(FIND("arbeid",Methode_Keuze)),"",IF(ISNUMBER(FIND("arbeid",Methode_Keuze)),"",IF(Tb_Activiteiten[[#This Row],[Projectmedewerker]]=1,Tb_Activiteiten[[#Headers],[Projectmedewerker]],"")))</f>
        <v/>
      </c>
      <c r="AN863" t="str">
        <f>IF(ISNUMBER(FIND("arbeid",Methode_Keuze)),"",IF(ISNUMBER(FIND("arbeid",Methode_Keuze)),"",IF(Tb_Activiteiten[[#This Row],[Landbouwer]]=1,Tb_Activiteiten[[#Headers],[Landbouwer]],"")))</f>
        <v/>
      </c>
      <c r="AO863" t="str">
        <f>IF(ISNUMBER(FIND("arbeid",Methode_Keuze)),"",IF(ISNUMBER(FIND("arbeid",Methode_Keuze)),"",IF(Tb_Activiteiten[[#This Row],[Adviseur]]=1,Tb_Activiteiten[[#Headers],[Adviseur]],"")))</f>
        <v/>
      </c>
      <c r="AP863" t="str">
        <f>IF(ISNUMBER(FIND("arbeid",Methode_Keuze)),"",IF(ISNUMBER(FIND("arbeid",Methode_Keuze)),"",IF(Tb_Activiteiten[[#This Row],[Projectleider/Expert]]=1,Tb_Activiteiten[[#Headers],[Projectleider/Expert]],"")))</f>
        <v/>
      </c>
      <c r="AQ863" t="str">
        <f>IF(ISNUMBER(FIND("arbeid",Methode_Keuze)),"",IF(ISNUMBER(FIND("arbeid",Methode_Keuze)),"",IF(Tb_Activiteiten[[#This Row],[Arbeidskosten]]=1,Tb_Activiteiten[[#Headers],[Arbeidskosten]],"")))</f>
        <v/>
      </c>
      <c r="AR863" t="str">
        <f>IF(ISNUMBER(FIND("arbeid",Methode_Keuze)),"",IF(ISNUMBER(FIND("arbeid",Methode_Keuze)),"",IF(Tb_Activiteiten[[#This Row],[Arbeidskosten op basis van IKS]]=1,Tb_Activiteiten[[#Headers],[Arbeidskosten op basis van IKS]],"")))</f>
        <v/>
      </c>
      <c r="AS863" t="str">
        <f>IF(ISNUMBER(FIND("overige",Methode_Keuze)),"",IF(Tb_Activiteiten[[#This Row],[Kosten derden exclusief btw]]=1,Tb_Activiteiten[[#Headers],[Kosten derden exclusief btw]],""))</f>
        <v/>
      </c>
      <c r="AT863" t="str">
        <f>IF(ISNUMBER(FIND("overige",Methode_Keuze)),"",IF(Tb_Activiteiten[[#This Row],[Niet verrekenbare btw]]=1,Tb_Activiteiten[[#Headers],[Niet verrekenbare btw]],""))</f>
        <v/>
      </c>
      <c r="AU863" t="str">
        <f>IF(ISNUMBER(FIND("overige",Methode_Keuze)),"",IF(Tb_Activiteiten[[#This Row],[Grondkosten]]=1,Tb_Activiteiten[[#Headers],[Grondkosten]],""))</f>
        <v/>
      </c>
      <c r="AV863" t="str">
        <f>IF(ISNUMBER(FIND("overige",Methode_Keuze)),"",IF(Tb_Activiteiten[[#This Row],[Bijdrage in natura (overige)]]=1,Tb_Activiteiten[[#Headers],[Bijdrage in natura (overige)]],""))</f>
        <v/>
      </c>
      <c r="AW863" t="str">
        <f>IF(ISNUMBER(FIND("overige",Methode_Keuze)),"",IF(Tb_Activiteiten[[#This Row],[Bijdrage in natura (vrijwilligers)]]=1,Tb_Activiteiten[[#Headers],[Bijdrage in natura (vrijwilligers)]],""))</f>
        <v/>
      </c>
      <c r="AX863" t="str">
        <f>IF(ISNUMBER(FIND("overige",Methode_Keuze)),"",IF(Tb_Activiteiten[[#This Row],[Afschrijvingskosten]]=1,Tb_Activiteiten[[#Headers],[Afschrijvingskosten]],""))</f>
        <v/>
      </c>
      <c r="AY863" t="str">
        <f>IF(ISNUMBER(FIND("overige",Methode_Keuze)),"",IF(Tb_Activiteiten[[#This Row],[Vergoeding]]=1,Tb_Activiteiten[[#Headers],[Vergoeding]],""))</f>
        <v/>
      </c>
      <c r="AZ863" t="str">
        <f>IF(ISNUMBER(FIND("arbeid",Methode_Keuze)),"",IF(Tb_Activiteiten[[#This Row],[Arbeidskosten - vast tarief (excl eigen arbeid)]]=1,Tb_Activiteiten[[#Headers],[Arbeidskosten - vast tarief (excl eigen arbeid)]],""))</f>
        <v/>
      </c>
      <c r="BA863" t="str">
        <f>IF(ISNUMBER(FIND("overige",Methode_Keuze)),"",IF(Tb_Activiteiten[[#This Row],[Overige kosten]]=1,Tb_Activiteiten[[#Headers],[Overige kosten]],""))</f>
        <v/>
      </c>
    </row>
    <row r="864" spans="1:53" x14ac:dyDescent="0.25">
      <c r="A864" s="231"/>
      <c r="F864" s="64"/>
      <c r="G864" s="64"/>
      <c r="H864" s="275"/>
      <c r="I864" s="275"/>
      <c r="J864" s="275"/>
      <c r="K864" s="275"/>
      <c r="O864" s="56"/>
      <c r="Q864" t="str">
        <f>IFERROR(IF(VLOOKUP(Tb_Activiteiten[[#This Row],[Openstelling]],Tb_Openstelling[],2,0)=1,1,""),"")</f>
        <v/>
      </c>
      <c r="AK864" t="str">
        <f>IF(ISNUMBER(FIND("arbeid",Methode_Keuze)),"",IF(ISNUMBER(FIND("arbeid",Methode_Keuze)),"",IF(Tb_Activiteiten[[#This Row],[Loonkosten]]=1,Tb_Activiteiten[[#Headers],[Loonkosten]],"")))</f>
        <v/>
      </c>
      <c r="AL864" t="str">
        <f>IF(ISNUMBER(FIND("arbeid",Methode_Keuze)),"",IF(ISNUMBER(FIND("arbeid",Methode_Keuze)),"",IF(Tb_Activiteiten[[#This Row],[Eigen arbeid]]=1,Tb_Activiteiten[[#Headers],[Eigen arbeid]],"")))</f>
        <v/>
      </c>
      <c r="AM864" t="str">
        <f>IF(ISNUMBER(FIND("arbeid",Methode_Keuze)),"",IF(ISNUMBER(FIND("arbeid",Methode_Keuze)),"",IF(Tb_Activiteiten[[#This Row],[Projectmedewerker]]=1,Tb_Activiteiten[[#Headers],[Projectmedewerker]],"")))</f>
        <v/>
      </c>
      <c r="AN864" t="str">
        <f>IF(ISNUMBER(FIND("arbeid",Methode_Keuze)),"",IF(ISNUMBER(FIND("arbeid",Methode_Keuze)),"",IF(Tb_Activiteiten[[#This Row],[Landbouwer]]=1,Tb_Activiteiten[[#Headers],[Landbouwer]],"")))</f>
        <v/>
      </c>
      <c r="AO864" t="str">
        <f>IF(ISNUMBER(FIND("arbeid",Methode_Keuze)),"",IF(ISNUMBER(FIND("arbeid",Methode_Keuze)),"",IF(Tb_Activiteiten[[#This Row],[Adviseur]]=1,Tb_Activiteiten[[#Headers],[Adviseur]],"")))</f>
        <v/>
      </c>
      <c r="AP864" t="str">
        <f>IF(ISNUMBER(FIND("arbeid",Methode_Keuze)),"",IF(ISNUMBER(FIND("arbeid",Methode_Keuze)),"",IF(Tb_Activiteiten[[#This Row],[Projectleider/Expert]]=1,Tb_Activiteiten[[#Headers],[Projectleider/Expert]],"")))</f>
        <v/>
      </c>
      <c r="AQ864" t="str">
        <f>IF(ISNUMBER(FIND("arbeid",Methode_Keuze)),"",IF(ISNUMBER(FIND("arbeid",Methode_Keuze)),"",IF(Tb_Activiteiten[[#This Row],[Arbeidskosten]]=1,Tb_Activiteiten[[#Headers],[Arbeidskosten]],"")))</f>
        <v/>
      </c>
      <c r="AR864" t="str">
        <f>IF(ISNUMBER(FIND("arbeid",Methode_Keuze)),"",IF(ISNUMBER(FIND("arbeid",Methode_Keuze)),"",IF(Tb_Activiteiten[[#This Row],[Arbeidskosten op basis van IKS]]=1,Tb_Activiteiten[[#Headers],[Arbeidskosten op basis van IKS]],"")))</f>
        <v/>
      </c>
      <c r="AS864" t="str">
        <f>IF(ISNUMBER(FIND("overige",Methode_Keuze)),"",IF(Tb_Activiteiten[[#This Row],[Kosten derden exclusief btw]]=1,Tb_Activiteiten[[#Headers],[Kosten derden exclusief btw]],""))</f>
        <v/>
      </c>
      <c r="AT864" t="str">
        <f>IF(ISNUMBER(FIND("overige",Methode_Keuze)),"",IF(Tb_Activiteiten[[#This Row],[Niet verrekenbare btw]]=1,Tb_Activiteiten[[#Headers],[Niet verrekenbare btw]],""))</f>
        <v/>
      </c>
      <c r="AU864" t="str">
        <f>IF(ISNUMBER(FIND("overige",Methode_Keuze)),"",IF(Tb_Activiteiten[[#This Row],[Grondkosten]]=1,Tb_Activiteiten[[#Headers],[Grondkosten]],""))</f>
        <v/>
      </c>
      <c r="AV864" t="str">
        <f>IF(ISNUMBER(FIND("overige",Methode_Keuze)),"",IF(Tb_Activiteiten[[#This Row],[Bijdrage in natura (overige)]]=1,Tb_Activiteiten[[#Headers],[Bijdrage in natura (overige)]],""))</f>
        <v/>
      </c>
      <c r="AW864" t="str">
        <f>IF(ISNUMBER(FIND("overige",Methode_Keuze)),"",IF(Tb_Activiteiten[[#This Row],[Bijdrage in natura (vrijwilligers)]]=1,Tb_Activiteiten[[#Headers],[Bijdrage in natura (vrijwilligers)]],""))</f>
        <v/>
      </c>
      <c r="AX864" t="str">
        <f>IF(ISNUMBER(FIND("overige",Methode_Keuze)),"",IF(Tb_Activiteiten[[#This Row],[Afschrijvingskosten]]=1,Tb_Activiteiten[[#Headers],[Afschrijvingskosten]],""))</f>
        <v/>
      </c>
      <c r="AY864" t="str">
        <f>IF(ISNUMBER(FIND("overige",Methode_Keuze)),"",IF(Tb_Activiteiten[[#This Row],[Vergoeding]]=1,Tb_Activiteiten[[#Headers],[Vergoeding]],""))</f>
        <v/>
      </c>
      <c r="AZ864" t="str">
        <f>IF(ISNUMBER(FIND("arbeid",Methode_Keuze)),"",IF(Tb_Activiteiten[[#This Row],[Arbeidskosten - vast tarief (excl eigen arbeid)]]=1,Tb_Activiteiten[[#Headers],[Arbeidskosten - vast tarief (excl eigen arbeid)]],""))</f>
        <v/>
      </c>
      <c r="BA864" t="str">
        <f>IF(ISNUMBER(FIND("overige",Methode_Keuze)),"",IF(Tb_Activiteiten[[#This Row],[Overige kosten]]=1,Tb_Activiteiten[[#Headers],[Overige kosten]],""))</f>
        <v/>
      </c>
    </row>
    <row r="865" spans="1:53" x14ac:dyDescent="0.25">
      <c r="A865" s="231"/>
      <c r="F865" s="64"/>
      <c r="G865" s="64"/>
      <c r="H865" s="275"/>
      <c r="I865" s="275"/>
      <c r="J865" s="275"/>
      <c r="K865" s="275"/>
      <c r="O865" s="56"/>
      <c r="Q865" t="str">
        <f>IFERROR(IF(VLOOKUP(Tb_Activiteiten[[#This Row],[Openstelling]],Tb_Openstelling[],2,0)=1,1,""),"")</f>
        <v/>
      </c>
      <c r="AK865" t="str">
        <f>IF(ISNUMBER(FIND("arbeid",Methode_Keuze)),"",IF(ISNUMBER(FIND("arbeid",Methode_Keuze)),"",IF(Tb_Activiteiten[[#This Row],[Loonkosten]]=1,Tb_Activiteiten[[#Headers],[Loonkosten]],"")))</f>
        <v/>
      </c>
      <c r="AL865" t="str">
        <f>IF(ISNUMBER(FIND("arbeid",Methode_Keuze)),"",IF(ISNUMBER(FIND("arbeid",Methode_Keuze)),"",IF(Tb_Activiteiten[[#This Row],[Eigen arbeid]]=1,Tb_Activiteiten[[#Headers],[Eigen arbeid]],"")))</f>
        <v/>
      </c>
      <c r="AM865" t="str">
        <f>IF(ISNUMBER(FIND("arbeid",Methode_Keuze)),"",IF(ISNUMBER(FIND("arbeid",Methode_Keuze)),"",IF(Tb_Activiteiten[[#This Row],[Projectmedewerker]]=1,Tb_Activiteiten[[#Headers],[Projectmedewerker]],"")))</f>
        <v/>
      </c>
      <c r="AN865" t="str">
        <f>IF(ISNUMBER(FIND("arbeid",Methode_Keuze)),"",IF(ISNUMBER(FIND("arbeid",Methode_Keuze)),"",IF(Tb_Activiteiten[[#This Row],[Landbouwer]]=1,Tb_Activiteiten[[#Headers],[Landbouwer]],"")))</f>
        <v/>
      </c>
      <c r="AO865" t="str">
        <f>IF(ISNUMBER(FIND("arbeid",Methode_Keuze)),"",IF(ISNUMBER(FIND("arbeid",Methode_Keuze)),"",IF(Tb_Activiteiten[[#This Row],[Adviseur]]=1,Tb_Activiteiten[[#Headers],[Adviseur]],"")))</f>
        <v/>
      </c>
      <c r="AP865" t="str">
        <f>IF(ISNUMBER(FIND("arbeid",Methode_Keuze)),"",IF(ISNUMBER(FIND("arbeid",Methode_Keuze)),"",IF(Tb_Activiteiten[[#This Row],[Projectleider/Expert]]=1,Tb_Activiteiten[[#Headers],[Projectleider/Expert]],"")))</f>
        <v/>
      </c>
      <c r="AQ865" t="str">
        <f>IF(ISNUMBER(FIND("arbeid",Methode_Keuze)),"",IF(ISNUMBER(FIND("arbeid",Methode_Keuze)),"",IF(Tb_Activiteiten[[#This Row],[Arbeidskosten]]=1,Tb_Activiteiten[[#Headers],[Arbeidskosten]],"")))</f>
        <v/>
      </c>
      <c r="AR865" t="str">
        <f>IF(ISNUMBER(FIND("arbeid",Methode_Keuze)),"",IF(ISNUMBER(FIND("arbeid",Methode_Keuze)),"",IF(Tb_Activiteiten[[#This Row],[Arbeidskosten op basis van IKS]]=1,Tb_Activiteiten[[#Headers],[Arbeidskosten op basis van IKS]],"")))</f>
        <v/>
      </c>
      <c r="AS865" t="str">
        <f>IF(ISNUMBER(FIND("overige",Methode_Keuze)),"",IF(Tb_Activiteiten[[#This Row],[Kosten derden exclusief btw]]=1,Tb_Activiteiten[[#Headers],[Kosten derden exclusief btw]],""))</f>
        <v/>
      </c>
      <c r="AT865" t="str">
        <f>IF(ISNUMBER(FIND("overige",Methode_Keuze)),"",IF(Tb_Activiteiten[[#This Row],[Niet verrekenbare btw]]=1,Tb_Activiteiten[[#Headers],[Niet verrekenbare btw]],""))</f>
        <v/>
      </c>
      <c r="AU865" t="str">
        <f>IF(ISNUMBER(FIND("overige",Methode_Keuze)),"",IF(Tb_Activiteiten[[#This Row],[Grondkosten]]=1,Tb_Activiteiten[[#Headers],[Grondkosten]],""))</f>
        <v/>
      </c>
      <c r="AV865" t="str">
        <f>IF(ISNUMBER(FIND("overige",Methode_Keuze)),"",IF(Tb_Activiteiten[[#This Row],[Bijdrage in natura (overige)]]=1,Tb_Activiteiten[[#Headers],[Bijdrage in natura (overige)]],""))</f>
        <v/>
      </c>
      <c r="AW865" t="str">
        <f>IF(ISNUMBER(FIND("overige",Methode_Keuze)),"",IF(Tb_Activiteiten[[#This Row],[Bijdrage in natura (vrijwilligers)]]=1,Tb_Activiteiten[[#Headers],[Bijdrage in natura (vrijwilligers)]],""))</f>
        <v/>
      </c>
      <c r="AX865" t="str">
        <f>IF(ISNUMBER(FIND("overige",Methode_Keuze)),"",IF(Tb_Activiteiten[[#This Row],[Afschrijvingskosten]]=1,Tb_Activiteiten[[#Headers],[Afschrijvingskosten]],""))</f>
        <v/>
      </c>
      <c r="AY865" t="str">
        <f>IF(ISNUMBER(FIND("overige",Methode_Keuze)),"",IF(Tb_Activiteiten[[#This Row],[Vergoeding]]=1,Tb_Activiteiten[[#Headers],[Vergoeding]],""))</f>
        <v/>
      </c>
      <c r="AZ865" t="str">
        <f>IF(ISNUMBER(FIND("arbeid",Methode_Keuze)),"",IF(Tb_Activiteiten[[#This Row],[Arbeidskosten - vast tarief (excl eigen arbeid)]]=1,Tb_Activiteiten[[#Headers],[Arbeidskosten - vast tarief (excl eigen arbeid)]],""))</f>
        <v/>
      </c>
      <c r="BA865" t="str">
        <f>IF(ISNUMBER(FIND("overige",Methode_Keuze)),"",IF(Tb_Activiteiten[[#This Row],[Overige kosten]]=1,Tb_Activiteiten[[#Headers],[Overige kosten]],""))</f>
        <v/>
      </c>
    </row>
    <row r="866" spans="1:53" x14ac:dyDescent="0.25">
      <c r="A866" s="231"/>
      <c r="F866" s="64"/>
      <c r="G866" s="64"/>
      <c r="H866" s="275"/>
      <c r="I866" s="275"/>
      <c r="J866" s="275"/>
      <c r="K866" s="275"/>
      <c r="O866" s="56"/>
      <c r="Q866" t="str">
        <f>IFERROR(IF(VLOOKUP(Tb_Activiteiten[[#This Row],[Openstelling]],Tb_Openstelling[],2,0)=1,1,""),"")</f>
        <v/>
      </c>
      <c r="AK866" t="str">
        <f>IF(ISNUMBER(FIND("arbeid",Methode_Keuze)),"",IF(ISNUMBER(FIND("arbeid",Methode_Keuze)),"",IF(Tb_Activiteiten[[#This Row],[Loonkosten]]=1,Tb_Activiteiten[[#Headers],[Loonkosten]],"")))</f>
        <v/>
      </c>
      <c r="AL866" t="str">
        <f>IF(ISNUMBER(FIND("arbeid",Methode_Keuze)),"",IF(ISNUMBER(FIND("arbeid",Methode_Keuze)),"",IF(Tb_Activiteiten[[#This Row],[Eigen arbeid]]=1,Tb_Activiteiten[[#Headers],[Eigen arbeid]],"")))</f>
        <v/>
      </c>
      <c r="AM866" t="str">
        <f>IF(ISNUMBER(FIND("arbeid",Methode_Keuze)),"",IF(ISNUMBER(FIND("arbeid",Methode_Keuze)),"",IF(Tb_Activiteiten[[#This Row],[Projectmedewerker]]=1,Tb_Activiteiten[[#Headers],[Projectmedewerker]],"")))</f>
        <v/>
      </c>
      <c r="AN866" t="str">
        <f>IF(ISNUMBER(FIND("arbeid",Methode_Keuze)),"",IF(ISNUMBER(FIND("arbeid",Methode_Keuze)),"",IF(Tb_Activiteiten[[#This Row],[Landbouwer]]=1,Tb_Activiteiten[[#Headers],[Landbouwer]],"")))</f>
        <v/>
      </c>
      <c r="AO866" t="str">
        <f>IF(ISNUMBER(FIND("arbeid",Methode_Keuze)),"",IF(ISNUMBER(FIND("arbeid",Methode_Keuze)),"",IF(Tb_Activiteiten[[#This Row],[Adviseur]]=1,Tb_Activiteiten[[#Headers],[Adviseur]],"")))</f>
        <v/>
      </c>
      <c r="AP866" t="str">
        <f>IF(ISNUMBER(FIND("arbeid",Methode_Keuze)),"",IF(ISNUMBER(FIND("arbeid",Methode_Keuze)),"",IF(Tb_Activiteiten[[#This Row],[Projectleider/Expert]]=1,Tb_Activiteiten[[#Headers],[Projectleider/Expert]],"")))</f>
        <v/>
      </c>
      <c r="AQ866" t="str">
        <f>IF(ISNUMBER(FIND("arbeid",Methode_Keuze)),"",IF(ISNUMBER(FIND("arbeid",Methode_Keuze)),"",IF(Tb_Activiteiten[[#This Row],[Arbeidskosten]]=1,Tb_Activiteiten[[#Headers],[Arbeidskosten]],"")))</f>
        <v/>
      </c>
      <c r="AR866" t="str">
        <f>IF(ISNUMBER(FIND("arbeid",Methode_Keuze)),"",IF(ISNUMBER(FIND("arbeid",Methode_Keuze)),"",IF(Tb_Activiteiten[[#This Row],[Arbeidskosten op basis van IKS]]=1,Tb_Activiteiten[[#Headers],[Arbeidskosten op basis van IKS]],"")))</f>
        <v/>
      </c>
      <c r="AS866" t="str">
        <f>IF(ISNUMBER(FIND("overige",Methode_Keuze)),"",IF(Tb_Activiteiten[[#This Row],[Kosten derden exclusief btw]]=1,Tb_Activiteiten[[#Headers],[Kosten derden exclusief btw]],""))</f>
        <v/>
      </c>
      <c r="AT866" t="str">
        <f>IF(ISNUMBER(FIND("overige",Methode_Keuze)),"",IF(Tb_Activiteiten[[#This Row],[Niet verrekenbare btw]]=1,Tb_Activiteiten[[#Headers],[Niet verrekenbare btw]],""))</f>
        <v/>
      </c>
      <c r="AU866" t="str">
        <f>IF(ISNUMBER(FIND("overige",Methode_Keuze)),"",IF(Tb_Activiteiten[[#This Row],[Grondkosten]]=1,Tb_Activiteiten[[#Headers],[Grondkosten]],""))</f>
        <v/>
      </c>
      <c r="AV866" t="str">
        <f>IF(ISNUMBER(FIND("overige",Methode_Keuze)),"",IF(Tb_Activiteiten[[#This Row],[Bijdrage in natura (overige)]]=1,Tb_Activiteiten[[#Headers],[Bijdrage in natura (overige)]],""))</f>
        <v/>
      </c>
      <c r="AW866" t="str">
        <f>IF(ISNUMBER(FIND("overige",Methode_Keuze)),"",IF(Tb_Activiteiten[[#This Row],[Bijdrage in natura (vrijwilligers)]]=1,Tb_Activiteiten[[#Headers],[Bijdrage in natura (vrijwilligers)]],""))</f>
        <v/>
      </c>
      <c r="AX866" t="str">
        <f>IF(ISNUMBER(FIND("overige",Methode_Keuze)),"",IF(Tb_Activiteiten[[#This Row],[Afschrijvingskosten]]=1,Tb_Activiteiten[[#Headers],[Afschrijvingskosten]],""))</f>
        <v/>
      </c>
      <c r="AY866" t="str">
        <f>IF(ISNUMBER(FIND("overige",Methode_Keuze)),"",IF(Tb_Activiteiten[[#This Row],[Vergoeding]]=1,Tb_Activiteiten[[#Headers],[Vergoeding]],""))</f>
        <v/>
      </c>
      <c r="AZ866" t="str">
        <f>IF(ISNUMBER(FIND("arbeid",Methode_Keuze)),"",IF(Tb_Activiteiten[[#This Row],[Arbeidskosten - vast tarief (excl eigen arbeid)]]=1,Tb_Activiteiten[[#Headers],[Arbeidskosten - vast tarief (excl eigen arbeid)]],""))</f>
        <v/>
      </c>
      <c r="BA866" t="str">
        <f>IF(ISNUMBER(FIND("overige",Methode_Keuze)),"",IF(Tb_Activiteiten[[#This Row],[Overige kosten]]=1,Tb_Activiteiten[[#Headers],[Overige kosten]],""))</f>
        <v/>
      </c>
    </row>
    <row r="867" spans="1:53" x14ac:dyDescent="0.25">
      <c r="A867" s="231"/>
      <c r="F867" s="64"/>
      <c r="G867" s="64"/>
      <c r="H867" s="275"/>
      <c r="I867" s="275"/>
      <c r="J867" s="275"/>
      <c r="K867" s="275"/>
      <c r="O867" s="56"/>
      <c r="Q867" t="str">
        <f>IFERROR(IF(VLOOKUP(Tb_Activiteiten[[#This Row],[Openstelling]],Tb_Openstelling[],2,0)=1,1,""),"")</f>
        <v/>
      </c>
      <c r="AK867" t="str">
        <f>IF(ISNUMBER(FIND("arbeid",Methode_Keuze)),"",IF(ISNUMBER(FIND("arbeid",Methode_Keuze)),"",IF(Tb_Activiteiten[[#This Row],[Loonkosten]]=1,Tb_Activiteiten[[#Headers],[Loonkosten]],"")))</f>
        <v/>
      </c>
      <c r="AL867" t="str">
        <f>IF(ISNUMBER(FIND("arbeid",Methode_Keuze)),"",IF(ISNUMBER(FIND("arbeid",Methode_Keuze)),"",IF(Tb_Activiteiten[[#This Row],[Eigen arbeid]]=1,Tb_Activiteiten[[#Headers],[Eigen arbeid]],"")))</f>
        <v/>
      </c>
      <c r="AM867" t="str">
        <f>IF(ISNUMBER(FIND("arbeid",Methode_Keuze)),"",IF(ISNUMBER(FIND("arbeid",Methode_Keuze)),"",IF(Tb_Activiteiten[[#This Row],[Projectmedewerker]]=1,Tb_Activiteiten[[#Headers],[Projectmedewerker]],"")))</f>
        <v/>
      </c>
      <c r="AN867" t="str">
        <f>IF(ISNUMBER(FIND("arbeid",Methode_Keuze)),"",IF(ISNUMBER(FIND("arbeid",Methode_Keuze)),"",IF(Tb_Activiteiten[[#This Row],[Landbouwer]]=1,Tb_Activiteiten[[#Headers],[Landbouwer]],"")))</f>
        <v/>
      </c>
      <c r="AO867" t="str">
        <f>IF(ISNUMBER(FIND("arbeid",Methode_Keuze)),"",IF(ISNUMBER(FIND("arbeid",Methode_Keuze)),"",IF(Tb_Activiteiten[[#This Row],[Adviseur]]=1,Tb_Activiteiten[[#Headers],[Adviseur]],"")))</f>
        <v/>
      </c>
      <c r="AP867" t="str">
        <f>IF(ISNUMBER(FIND("arbeid",Methode_Keuze)),"",IF(ISNUMBER(FIND("arbeid",Methode_Keuze)),"",IF(Tb_Activiteiten[[#This Row],[Projectleider/Expert]]=1,Tb_Activiteiten[[#Headers],[Projectleider/Expert]],"")))</f>
        <v/>
      </c>
      <c r="AQ867" t="str">
        <f>IF(ISNUMBER(FIND("arbeid",Methode_Keuze)),"",IF(ISNUMBER(FIND("arbeid",Methode_Keuze)),"",IF(Tb_Activiteiten[[#This Row],[Arbeidskosten]]=1,Tb_Activiteiten[[#Headers],[Arbeidskosten]],"")))</f>
        <v/>
      </c>
      <c r="AR867" t="str">
        <f>IF(ISNUMBER(FIND("arbeid",Methode_Keuze)),"",IF(ISNUMBER(FIND("arbeid",Methode_Keuze)),"",IF(Tb_Activiteiten[[#This Row],[Arbeidskosten op basis van IKS]]=1,Tb_Activiteiten[[#Headers],[Arbeidskosten op basis van IKS]],"")))</f>
        <v/>
      </c>
      <c r="AS867" t="str">
        <f>IF(ISNUMBER(FIND("overige",Methode_Keuze)),"",IF(Tb_Activiteiten[[#This Row],[Kosten derden exclusief btw]]=1,Tb_Activiteiten[[#Headers],[Kosten derden exclusief btw]],""))</f>
        <v/>
      </c>
      <c r="AT867" t="str">
        <f>IF(ISNUMBER(FIND("overige",Methode_Keuze)),"",IF(Tb_Activiteiten[[#This Row],[Niet verrekenbare btw]]=1,Tb_Activiteiten[[#Headers],[Niet verrekenbare btw]],""))</f>
        <v/>
      </c>
      <c r="AU867" t="str">
        <f>IF(ISNUMBER(FIND("overige",Methode_Keuze)),"",IF(Tb_Activiteiten[[#This Row],[Grondkosten]]=1,Tb_Activiteiten[[#Headers],[Grondkosten]],""))</f>
        <v/>
      </c>
      <c r="AV867" t="str">
        <f>IF(ISNUMBER(FIND("overige",Methode_Keuze)),"",IF(Tb_Activiteiten[[#This Row],[Bijdrage in natura (overige)]]=1,Tb_Activiteiten[[#Headers],[Bijdrage in natura (overige)]],""))</f>
        <v/>
      </c>
      <c r="AW867" t="str">
        <f>IF(ISNUMBER(FIND("overige",Methode_Keuze)),"",IF(Tb_Activiteiten[[#This Row],[Bijdrage in natura (vrijwilligers)]]=1,Tb_Activiteiten[[#Headers],[Bijdrage in natura (vrijwilligers)]],""))</f>
        <v/>
      </c>
      <c r="AX867" t="str">
        <f>IF(ISNUMBER(FIND("overige",Methode_Keuze)),"",IF(Tb_Activiteiten[[#This Row],[Afschrijvingskosten]]=1,Tb_Activiteiten[[#Headers],[Afschrijvingskosten]],""))</f>
        <v/>
      </c>
      <c r="AY867" t="str">
        <f>IF(ISNUMBER(FIND("overige",Methode_Keuze)),"",IF(Tb_Activiteiten[[#This Row],[Vergoeding]]=1,Tb_Activiteiten[[#Headers],[Vergoeding]],""))</f>
        <v/>
      </c>
      <c r="AZ867" t="str">
        <f>IF(ISNUMBER(FIND("arbeid",Methode_Keuze)),"",IF(Tb_Activiteiten[[#This Row],[Arbeidskosten - vast tarief (excl eigen arbeid)]]=1,Tb_Activiteiten[[#Headers],[Arbeidskosten - vast tarief (excl eigen arbeid)]],""))</f>
        <v/>
      </c>
      <c r="BA867" t="str">
        <f>IF(ISNUMBER(FIND("overige",Methode_Keuze)),"",IF(Tb_Activiteiten[[#This Row],[Overige kosten]]=1,Tb_Activiteiten[[#Headers],[Overige kosten]],""))</f>
        <v/>
      </c>
    </row>
    <row r="868" spans="1:53" x14ac:dyDescent="0.25">
      <c r="A868" s="231"/>
      <c r="F868" s="64"/>
      <c r="G868" s="64"/>
      <c r="H868" s="275"/>
      <c r="I868" s="275"/>
      <c r="J868" s="275"/>
      <c r="K868" s="275"/>
      <c r="O868" s="56"/>
      <c r="Q868" t="str">
        <f>IFERROR(IF(VLOOKUP(Tb_Activiteiten[[#This Row],[Openstelling]],Tb_Openstelling[],2,0)=1,1,""),"")</f>
        <v/>
      </c>
      <c r="AK868" t="str">
        <f>IF(ISNUMBER(FIND("arbeid",Methode_Keuze)),"",IF(ISNUMBER(FIND("arbeid",Methode_Keuze)),"",IF(Tb_Activiteiten[[#This Row],[Loonkosten]]=1,Tb_Activiteiten[[#Headers],[Loonkosten]],"")))</f>
        <v/>
      </c>
      <c r="AL868" t="str">
        <f>IF(ISNUMBER(FIND("arbeid",Methode_Keuze)),"",IF(ISNUMBER(FIND("arbeid",Methode_Keuze)),"",IF(Tb_Activiteiten[[#This Row],[Eigen arbeid]]=1,Tb_Activiteiten[[#Headers],[Eigen arbeid]],"")))</f>
        <v/>
      </c>
      <c r="AM868" t="str">
        <f>IF(ISNUMBER(FIND("arbeid",Methode_Keuze)),"",IF(ISNUMBER(FIND("arbeid",Methode_Keuze)),"",IF(Tb_Activiteiten[[#This Row],[Projectmedewerker]]=1,Tb_Activiteiten[[#Headers],[Projectmedewerker]],"")))</f>
        <v/>
      </c>
      <c r="AN868" t="str">
        <f>IF(ISNUMBER(FIND("arbeid",Methode_Keuze)),"",IF(ISNUMBER(FIND("arbeid",Methode_Keuze)),"",IF(Tb_Activiteiten[[#This Row],[Landbouwer]]=1,Tb_Activiteiten[[#Headers],[Landbouwer]],"")))</f>
        <v/>
      </c>
      <c r="AO868" t="str">
        <f>IF(ISNUMBER(FIND("arbeid",Methode_Keuze)),"",IF(ISNUMBER(FIND("arbeid",Methode_Keuze)),"",IF(Tb_Activiteiten[[#This Row],[Adviseur]]=1,Tb_Activiteiten[[#Headers],[Adviseur]],"")))</f>
        <v/>
      </c>
      <c r="AP868" t="str">
        <f>IF(ISNUMBER(FIND("arbeid",Methode_Keuze)),"",IF(ISNUMBER(FIND("arbeid",Methode_Keuze)),"",IF(Tb_Activiteiten[[#This Row],[Projectleider/Expert]]=1,Tb_Activiteiten[[#Headers],[Projectleider/Expert]],"")))</f>
        <v/>
      </c>
      <c r="AQ868" t="str">
        <f>IF(ISNUMBER(FIND("arbeid",Methode_Keuze)),"",IF(ISNUMBER(FIND("arbeid",Methode_Keuze)),"",IF(Tb_Activiteiten[[#This Row],[Arbeidskosten]]=1,Tb_Activiteiten[[#Headers],[Arbeidskosten]],"")))</f>
        <v/>
      </c>
      <c r="AR868" t="str">
        <f>IF(ISNUMBER(FIND("arbeid",Methode_Keuze)),"",IF(ISNUMBER(FIND("arbeid",Methode_Keuze)),"",IF(Tb_Activiteiten[[#This Row],[Arbeidskosten op basis van IKS]]=1,Tb_Activiteiten[[#Headers],[Arbeidskosten op basis van IKS]],"")))</f>
        <v/>
      </c>
      <c r="AS868" t="str">
        <f>IF(ISNUMBER(FIND("overige",Methode_Keuze)),"",IF(Tb_Activiteiten[[#This Row],[Kosten derden exclusief btw]]=1,Tb_Activiteiten[[#Headers],[Kosten derden exclusief btw]],""))</f>
        <v/>
      </c>
      <c r="AT868" t="str">
        <f>IF(ISNUMBER(FIND("overige",Methode_Keuze)),"",IF(Tb_Activiteiten[[#This Row],[Niet verrekenbare btw]]=1,Tb_Activiteiten[[#Headers],[Niet verrekenbare btw]],""))</f>
        <v/>
      </c>
      <c r="AU868" t="str">
        <f>IF(ISNUMBER(FIND("overige",Methode_Keuze)),"",IF(Tb_Activiteiten[[#This Row],[Grondkosten]]=1,Tb_Activiteiten[[#Headers],[Grondkosten]],""))</f>
        <v/>
      </c>
      <c r="AV868" t="str">
        <f>IF(ISNUMBER(FIND("overige",Methode_Keuze)),"",IF(Tb_Activiteiten[[#This Row],[Bijdrage in natura (overige)]]=1,Tb_Activiteiten[[#Headers],[Bijdrage in natura (overige)]],""))</f>
        <v/>
      </c>
      <c r="AW868" t="str">
        <f>IF(ISNUMBER(FIND("overige",Methode_Keuze)),"",IF(Tb_Activiteiten[[#This Row],[Bijdrage in natura (vrijwilligers)]]=1,Tb_Activiteiten[[#Headers],[Bijdrage in natura (vrijwilligers)]],""))</f>
        <v/>
      </c>
      <c r="AX868" t="str">
        <f>IF(ISNUMBER(FIND("overige",Methode_Keuze)),"",IF(Tb_Activiteiten[[#This Row],[Afschrijvingskosten]]=1,Tb_Activiteiten[[#Headers],[Afschrijvingskosten]],""))</f>
        <v/>
      </c>
      <c r="AY868" t="str">
        <f>IF(ISNUMBER(FIND("overige",Methode_Keuze)),"",IF(Tb_Activiteiten[[#This Row],[Vergoeding]]=1,Tb_Activiteiten[[#Headers],[Vergoeding]],""))</f>
        <v/>
      </c>
      <c r="AZ868" t="str">
        <f>IF(ISNUMBER(FIND("arbeid",Methode_Keuze)),"",IF(Tb_Activiteiten[[#This Row],[Arbeidskosten - vast tarief (excl eigen arbeid)]]=1,Tb_Activiteiten[[#Headers],[Arbeidskosten - vast tarief (excl eigen arbeid)]],""))</f>
        <v/>
      </c>
      <c r="BA868" t="str">
        <f>IF(ISNUMBER(FIND("overige",Methode_Keuze)),"",IF(Tb_Activiteiten[[#This Row],[Overige kosten]]=1,Tb_Activiteiten[[#Headers],[Overige kosten]],""))</f>
        <v/>
      </c>
    </row>
    <row r="869" spans="1:53" x14ac:dyDescent="0.25">
      <c r="A869" s="231"/>
      <c r="F869" s="64"/>
      <c r="G869" s="64"/>
      <c r="H869" s="275"/>
      <c r="I869" s="275"/>
      <c r="J869" s="275"/>
      <c r="K869" s="275"/>
      <c r="O869" s="56"/>
      <c r="Q869" t="str">
        <f>IFERROR(IF(VLOOKUP(Tb_Activiteiten[[#This Row],[Openstelling]],Tb_Openstelling[],2,0)=1,1,""),"")</f>
        <v/>
      </c>
      <c r="AK869" t="str">
        <f>IF(ISNUMBER(FIND("arbeid",Methode_Keuze)),"",IF(ISNUMBER(FIND("arbeid",Methode_Keuze)),"",IF(Tb_Activiteiten[[#This Row],[Loonkosten]]=1,Tb_Activiteiten[[#Headers],[Loonkosten]],"")))</f>
        <v/>
      </c>
      <c r="AL869" t="str">
        <f>IF(ISNUMBER(FIND("arbeid",Methode_Keuze)),"",IF(ISNUMBER(FIND("arbeid",Methode_Keuze)),"",IF(Tb_Activiteiten[[#This Row],[Eigen arbeid]]=1,Tb_Activiteiten[[#Headers],[Eigen arbeid]],"")))</f>
        <v/>
      </c>
      <c r="AM869" t="str">
        <f>IF(ISNUMBER(FIND("arbeid",Methode_Keuze)),"",IF(ISNUMBER(FIND("arbeid",Methode_Keuze)),"",IF(Tb_Activiteiten[[#This Row],[Projectmedewerker]]=1,Tb_Activiteiten[[#Headers],[Projectmedewerker]],"")))</f>
        <v/>
      </c>
      <c r="AN869" t="str">
        <f>IF(ISNUMBER(FIND("arbeid",Methode_Keuze)),"",IF(ISNUMBER(FIND("arbeid",Methode_Keuze)),"",IF(Tb_Activiteiten[[#This Row],[Landbouwer]]=1,Tb_Activiteiten[[#Headers],[Landbouwer]],"")))</f>
        <v/>
      </c>
      <c r="AO869" t="str">
        <f>IF(ISNUMBER(FIND("arbeid",Methode_Keuze)),"",IF(ISNUMBER(FIND("arbeid",Methode_Keuze)),"",IF(Tb_Activiteiten[[#This Row],[Adviseur]]=1,Tb_Activiteiten[[#Headers],[Adviseur]],"")))</f>
        <v/>
      </c>
      <c r="AP869" t="str">
        <f>IF(ISNUMBER(FIND("arbeid",Methode_Keuze)),"",IF(ISNUMBER(FIND("arbeid",Methode_Keuze)),"",IF(Tb_Activiteiten[[#This Row],[Projectleider/Expert]]=1,Tb_Activiteiten[[#Headers],[Projectleider/Expert]],"")))</f>
        <v/>
      </c>
      <c r="AQ869" t="str">
        <f>IF(ISNUMBER(FIND("arbeid",Methode_Keuze)),"",IF(ISNUMBER(FIND("arbeid",Methode_Keuze)),"",IF(Tb_Activiteiten[[#This Row],[Arbeidskosten]]=1,Tb_Activiteiten[[#Headers],[Arbeidskosten]],"")))</f>
        <v/>
      </c>
      <c r="AR869" t="str">
        <f>IF(ISNUMBER(FIND("arbeid",Methode_Keuze)),"",IF(ISNUMBER(FIND("arbeid",Methode_Keuze)),"",IF(Tb_Activiteiten[[#This Row],[Arbeidskosten op basis van IKS]]=1,Tb_Activiteiten[[#Headers],[Arbeidskosten op basis van IKS]],"")))</f>
        <v/>
      </c>
      <c r="AS869" t="str">
        <f>IF(ISNUMBER(FIND("overige",Methode_Keuze)),"",IF(Tb_Activiteiten[[#This Row],[Kosten derden exclusief btw]]=1,Tb_Activiteiten[[#Headers],[Kosten derden exclusief btw]],""))</f>
        <v/>
      </c>
      <c r="AT869" t="str">
        <f>IF(ISNUMBER(FIND("overige",Methode_Keuze)),"",IF(Tb_Activiteiten[[#This Row],[Niet verrekenbare btw]]=1,Tb_Activiteiten[[#Headers],[Niet verrekenbare btw]],""))</f>
        <v/>
      </c>
      <c r="AU869" t="str">
        <f>IF(ISNUMBER(FIND("overige",Methode_Keuze)),"",IF(Tb_Activiteiten[[#This Row],[Grondkosten]]=1,Tb_Activiteiten[[#Headers],[Grondkosten]],""))</f>
        <v/>
      </c>
      <c r="AV869" t="str">
        <f>IF(ISNUMBER(FIND("overige",Methode_Keuze)),"",IF(Tb_Activiteiten[[#This Row],[Bijdrage in natura (overige)]]=1,Tb_Activiteiten[[#Headers],[Bijdrage in natura (overige)]],""))</f>
        <v/>
      </c>
      <c r="AW869" t="str">
        <f>IF(ISNUMBER(FIND("overige",Methode_Keuze)),"",IF(Tb_Activiteiten[[#This Row],[Bijdrage in natura (vrijwilligers)]]=1,Tb_Activiteiten[[#Headers],[Bijdrage in natura (vrijwilligers)]],""))</f>
        <v/>
      </c>
      <c r="AX869" t="str">
        <f>IF(ISNUMBER(FIND("overige",Methode_Keuze)),"",IF(Tb_Activiteiten[[#This Row],[Afschrijvingskosten]]=1,Tb_Activiteiten[[#Headers],[Afschrijvingskosten]],""))</f>
        <v/>
      </c>
      <c r="AY869" t="str">
        <f>IF(ISNUMBER(FIND("overige",Methode_Keuze)),"",IF(Tb_Activiteiten[[#This Row],[Vergoeding]]=1,Tb_Activiteiten[[#Headers],[Vergoeding]],""))</f>
        <v/>
      </c>
      <c r="AZ869" t="str">
        <f>IF(ISNUMBER(FIND("arbeid",Methode_Keuze)),"",IF(Tb_Activiteiten[[#This Row],[Arbeidskosten - vast tarief (excl eigen arbeid)]]=1,Tb_Activiteiten[[#Headers],[Arbeidskosten - vast tarief (excl eigen arbeid)]],""))</f>
        <v/>
      </c>
      <c r="BA869" t="str">
        <f>IF(ISNUMBER(FIND("overige",Methode_Keuze)),"",IF(Tb_Activiteiten[[#This Row],[Overige kosten]]=1,Tb_Activiteiten[[#Headers],[Overige kosten]],""))</f>
        <v/>
      </c>
    </row>
    <row r="870" spans="1:53" x14ac:dyDescent="0.25">
      <c r="A870" s="231"/>
      <c r="F870" s="64"/>
      <c r="G870" s="64"/>
      <c r="H870" s="275"/>
      <c r="I870" s="275"/>
      <c r="J870" s="275"/>
      <c r="K870" s="275"/>
      <c r="O870" s="56"/>
      <c r="Q870" t="str">
        <f>IFERROR(IF(VLOOKUP(Tb_Activiteiten[[#This Row],[Openstelling]],Tb_Openstelling[],2,0)=1,1,""),"")</f>
        <v/>
      </c>
      <c r="AK870" t="str">
        <f>IF(ISNUMBER(FIND("arbeid",Methode_Keuze)),"",IF(ISNUMBER(FIND("arbeid",Methode_Keuze)),"",IF(Tb_Activiteiten[[#This Row],[Loonkosten]]=1,Tb_Activiteiten[[#Headers],[Loonkosten]],"")))</f>
        <v/>
      </c>
      <c r="AL870" t="str">
        <f>IF(ISNUMBER(FIND("arbeid",Methode_Keuze)),"",IF(ISNUMBER(FIND("arbeid",Methode_Keuze)),"",IF(Tb_Activiteiten[[#This Row],[Eigen arbeid]]=1,Tb_Activiteiten[[#Headers],[Eigen arbeid]],"")))</f>
        <v/>
      </c>
      <c r="AM870" t="str">
        <f>IF(ISNUMBER(FIND("arbeid",Methode_Keuze)),"",IF(ISNUMBER(FIND("arbeid",Methode_Keuze)),"",IF(Tb_Activiteiten[[#This Row],[Projectmedewerker]]=1,Tb_Activiteiten[[#Headers],[Projectmedewerker]],"")))</f>
        <v/>
      </c>
      <c r="AN870" t="str">
        <f>IF(ISNUMBER(FIND("arbeid",Methode_Keuze)),"",IF(ISNUMBER(FIND("arbeid",Methode_Keuze)),"",IF(Tb_Activiteiten[[#This Row],[Landbouwer]]=1,Tb_Activiteiten[[#Headers],[Landbouwer]],"")))</f>
        <v/>
      </c>
      <c r="AO870" t="str">
        <f>IF(ISNUMBER(FIND("arbeid",Methode_Keuze)),"",IF(ISNUMBER(FIND("arbeid",Methode_Keuze)),"",IF(Tb_Activiteiten[[#This Row],[Adviseur]]=1,Tb_Activiteiten[[#Headers],[Adviseur]],"")))</f>
        <v/>
      </c>
      <c r="AP870" t="str">
        <f>IF(ISNUMBER(FIND("arbeid",Methode_Keuze)),"",IF(ISNUMBER(FIND("arbeid",Methode_Keuze)),"",IF(Tb_Activiteiten[[#This Row],[Projectleider/Expert]]=1,Tb_Activiteiten[[#Headers],[Projectleider/Expert]],"")))</f>
        <v/>
      </c>
      <c r="AQ870" t="str">
        <f>IF(ISNUMBER(FIND("arbeid",Methode_Keuze)),"",IF(ISNUMBER(FIND("arbeid",Methode_Keuze)),"",IF(Tb_Activiteiten[[#This Row],[Arbeidskosten]]=1,Tb_Activiteiten[[#Headers],[Arbeidskosten]],"")))</f>
        <v/>
      </c>
      <c r="AR870" t="str">
        <f>IF(ISNUMBER(FIND("arbeid",Methode_Keuze)),"",IF(ISNUMBER(FIND("arbeid",Methode_Keuze)),"",IF(Tb_Activiteiten[[#This Row],[Arbeidskosten op basis van IKS]]=1,Tb_Activiteiten[[#Headers],[Arbeidskosten op basis van IKS]],"")))</f>
        <v/>
      </c>
      <c r="AS870" t="str">
        <f>IF(ISNUMBER(FIND("overige",Methode_Keuze)),"",IF(Tb_Activiteiten[[#This Row],[Kosten derden exclusief btw]]=1,Tb_Activiteiten[[#Headers],[Kosten derden exclusief btw]],""))</f>
        <v/>
      </c>
      <c r="AT870" t="str">
        <f>IF(ISNUMBER(FIND("overige",Methode_Keuze)),"",IF(Tb_Activiteiten[[#This Row],[Niet verrekenbare btw]]=1,Tb_Activiteiten[[#Headers],[Niet verrekenbare btw]],""))</f>
        <v/>
      </c>
      <c r="AU870" t="str">
        <f>IF(ISNUMBER(FIND("overige",Methode_Keuze)),"",IF(Tb_Activiteiten[[#This Row],[Grondkosten]]=1,Tb_Activiteiten[[#Headers],[Grondkosten]],""))</f>
        <v/>
      </c>
      <c r="AV870" t="str">
        <f>IF(ISNUMBER(FIND("overige",Methode_Keuze)),"",IF(Tb_Activiteiten[[#This Row],[Bijdrage in natura (overige)]]=1,Tb_Activiteiten[[#Headers],[Bijdrage in natura (overige)]],""))</f>
        <v/>
      </c>
      <c r="AW870" t="str">
        <f>IF(ISNUMBER(FIND("overige",Methode_Keuze)),"",IF(Tb_Activiteiten[[#This Row],[Bijdrage in natura (vrijwilligers)]]=1,Tb_Activiteiten[[#Headers],[Bijdrage in natura (vrijwilligers)]],""))</f>
        <v/>
      </c>
      <c r="AX870" t="str">
        <f>IF(ISNUMBER(FIND("overige",Methode_Keuze)),"",IF(Tb_Activiteiten[[#This Row],[Afschrijvingskosten]]=1,Tb_Activiteiten[[#Headers],[Afschrijvingskosten]],""))</f>
        <v/>
      </c>
      <c r="AY870" t="str">
        <f>IF(ISNUMBER(FIND("overige",Methode_Keuze)),"",IF(Tb_Activiteiten[[#This Row],[Vergoeding]]=1,Tb_Activiteiten[[#Headers],[Vergoeding]],""))</f>
        <v/>
      </c>
      <c r="AZ870" t="str">
        <f>IF(ISNUMBER(FIND("arbeid",Methode_Keuze)),"",IF(Tb_Activiteiten[[#This Row],[Arbeidskosten - vast tarief (excl eigen arbeid)]]=1,Tb_Activiteiten[[#Headers],[Arbeidskosten - vast tarief (excl eigen arbeid)]],""))</f>
        <v/>
      </c>
      <c r="BA870" t="str">
        <f>IF(ISNUMBER(FIND("overige",Methode_Keuze)),"",IF(Tb_Activiteiten[[#This Row],[Overige kosten]]=1,Tb_Activiteiten[[#Headers],[Overige kosten]],""))</f>
        <v/>
      </c>
    </row>
    <row r="871" spans="1:53" x14ac:dyDescent="0.25">
      <c r="A871" s="231"/>
      <c r="F871" s="64"/>
      <c r="G871" s="64"/>
      <c r="H871" s="275"/>
      <c r="I871" s="275"/>
      <c r="J871" s="275"/>
      <c r="K871" s="275"/>
      <c r="O871" s="56"/>
      <c r="Q871" t="str">
        <f>IFERROR(IF(VLOOKUP(Tb_Activiteiten[[#This Row],[Openstelling]],Tb_Openstelling[],2,0)=1,1,""),"")</f>
        <v/>
      </c>
      <c r="AK871" t="str">
        <f>IF(ISNUMBER(FIND("arbeid",Methode_Keuze)),"",IF(ISNUMBER(FIND("arbeid",Methode_Keuze)),"",IF(Tb_Activiteiten[[#This Row],[Loonkosten]]=1,Tb_Activiteiten[[#Headers],[Loonkosten]],"")))</f>
        <v/>
      </c>
      <c r="AL871" t="str">
        <f>IF(ISNUMBER(FIND("arbeid",Methode_Keuze)),"",IF(ISNUMBER(FIND("arbeid",Methode_Keuze)),"",IF(Tb_Activiteiten[[#This Row],[Eigen arbeid]]=1,Tb_Activiteiten[[#Headers],[Eigen arbeid]],"")))</f>
        <v/>
      </c>
      <c r="AM871" t="str">
        <f>IF(ISNUMBER(FIND("arbeid",Methode_Keuze)),"",IF(ISNUMBER(FIND("arbeid",Methode_Keuze)),"",IF(Tb_Activiteiten[[#This Row],[Projectmedewerker]]=1,Tb_Activiteiten[[#Headers],[Projectmedewerker]],"")))</f>
        <v/>
      </c>
      <c r="AN871" t="str">
        <f>IF(ISNUMBER(FIND("arbeid",Methode_Keuze)),"",IF(ISNUMBER(FIND("arbeid",Methode_Keuze)),"",IF(Tb_Activiteiten[[#This Row],[Landbouwer]]=1,Tb_Activiteiten[[#Headers],[Landbouwer]],"")))</f>
        <v/>
      </c>
      <c r="AO871" t="str">
        <f>IF(ISNUMBER(FIND("arbeid",Methode_Keuze)),"",IF(ISNUMBER(FIND("arbeid",Methode_Keuze)),"",IF(Tb_Activiteiten[[#This Row],[Adviseur]]=1,Tb_Activiteiten[[#Headers],[Adviseur]],"")))</f>
        <v/>
      </c>
      <c r="AP871" t="str">
        <f>IF(ISNUMBER(FIND("arbeid",Methode_Keuze)),"",IF(ISNUMBER(FIND("arbeid",Methode_Keuze)),"",IF(Tb_Activiteiten[[#This Row],[Projectleider/Expert]]=1,Tb_Activiteiten[[#Headers],[Projectleider/Expert]],"")))</f>
        <v/>
      </c>
      <c r="AQ871" t="str">
        <f>IF(ISNUMBER(FIND("arbeid",Methode_Keuze)),"",IF(ISNUMBER(FIND("arbeid",Methode_Keuze)),"",IF(Tb_Activiteiten[[#This Row],[Arbeidskosten]]=1,Tb_Activiteiten[[#Headers],[Arbeidskosten]],"")))</f>
        <v/>
      </c>
      <c r="AR871" t="str">
        <f>IF(ISNUMBER(FIND("arbeid",Methode_Keuze)),"",IF(ISNUMBER(FIND("arbeid",Methode_Keuze)),"",IF(Tb_Activiteiten[[#This Row],[Arbeidskosten op basis van IKS]]=1,Tb_Activiteiten[[#Headers],[Arbeidskosten op basis van IKS]],"")))</f>
        <v/>
      </c>
      <c r="AS871" t="str">
        <f>IF(ISNUMBER(FIND("overige",Methode_Keuze)),"",IF(Tb_Activiteiten[[#This Row],[Kosten derden exclusief btw]]=1,Tb_Activiteiten[[#Headers],[Kosten derden exclusief btw]],""))</f>
        <v/>
      </c>
      <c r="AT871" t="str">
        <f>IF(ISNUMBER(FIND("overige",Methode_Keuze)),"",IF(Tb_Activiteiten[[#This Row],[Niet verrekenbare btw]]=1,Tb_Activiteiten[[#Headers],[Niet verrekenbare btw]],""))</f>
        <v/>
      </c>
      <c r="AU871" t="str">
        <f>IF(ISNUMBER(FIND("overige",Methode_Keuze)),"",IF(Tb_Activiteiten[[#This Row],[Grondkosten]]=1,Tb_Activiteiten[[#Headers],[Grondkosten]],""))</f>
        <v/>
      </c>
      <c r="AV871" t="str">
        <f>IF(ISNUMBER(FIND("overige",Methode_Keuze)),"",IF(Tb_Activiteiten[[#This Row],[Bijdrage in natura (overige)]]=1,Tb_Activiteiten[[#Headers],[Bijdrage in natura (overige)]],""))</f>
        <v/>
      </c>
      <c r="AW871" t="str">
        <f>IF(ISNUMBER(FIND("overige",Methode_Keuze)),"",IF(Tb_Activiteiten[[#This Row],[Bijdrage in natura (vrijwilligers)]]=1,Tb_Activiteiten[[#Headers],[Bijdrage in natura (vrijwilligers)]],""))</f>
        <v/>
      </c>
      <c r="AX871" t="str">
        <f>IF(ISNUMBER(FIND("overige",Methode_Keuze)),"",IF(Tb_Activiteiten[[#This Row],[Afschrijvingskosten]]=1,Tb_Activiteiten[[#Headers],[Afschrijvingskosten]],""))</f>
        <v/>
      </c>
      <c r="AY871" t="str">
        <f>IF(ISNUMBER(FIND("overige",Methode_Keuze)),"",IF(Tb_Activiteiten[[#This Row],[Vergoeding]]=1,Tb_Activiteiten[[#Headers],[Vergoeding]],""))</f>
        <v/>
      </c>
      <c r="AZ871" t="str">
        <f>IF(ISNUMBER(FIND("arbeid",Methode_Keuze)),"",IF(Tb_Activiteiten[[#This Row],[Arbeidskosten - vast tarief (excl eigen arbeid)]]=1,Tb_Activiteiten[[#Headers],[Arbeidskosten - vast tarief (excl eigen arbeid)]],""))</f>
        <v/>
      </c>
      <c r="BA871" t="str">
        <f>IF(ISNUMBER(FIND("overige",Methode_Keuze)),"",IF(Tb_Activiteiten[[#This Row],[Overige kosten]]=1,Tb_Activiteiten[[#Headers],[Overige kosten]],""))</f>
        <v/>
      </c>
    </row>
    <row r="872" spans="1:53" x14ac:dyDescent="0.25">
      <c r="A872" s="231"/>
      <c r="F872" s="64"/>
      <c r="G872" s="64"/>
      <c r="H872" s="275"/>
      <c r="I872" s="275"/>
      <c r="J872" s="275"/>
      <c r="K872" s="275"/>
      <c r="O872" s="56"/>
      <c r="Q872" t="str">
        <f>IFERROR(IF(VLOOKUP(Tb_Activiteiten[[#This Row],[Openstelling]],Tb_Openstelling[],2,0)=1,1,""),"")</f>
        <v/>
      </c>
      <c r="AK872" t="str">
        <f>IF(ISNUMBER(FIND("arbeid",Methode_Keuze)),"",IF(ISNUMBER(FIND("arbeid",Methode_Keuze)),"",IF(Tb_Activiteiten[[#This Row],[Loonkosten]]=1,Tb_Activiteiten[[#Headers],[Loonkosten]],"")))</f>
        <v/>
      </c>
      <c r="AL872" t="str">
        <f>IF(ISNUMBER(FIND("arbeid",Methode_Keuze)),"",IF(ISNUMBER(FIND("arbeid",Methode_Keuze)),"",IF(Tb_Activiteiten[[#This Row],[Eigen arbeid]]=1,Tb_Activiteiten[[#Headers],[Eigen arbeid]],"")))</f>
        <v/>
      </c>
      <c r="AM872" t="str">
        <f>IF(ISNUMBER(FIND("arbeid",Methode_Keuze)),"",IF(ISNUMBER(FIND("arbeid",Methode_Keuze)),"",IF(Tb_Activiteiten[[#This Row],[Projectmedewerker]]=1,Tb_Activiteiten[[#Headers],[Projectmedewerker]],"")))</f>
        <v/>
      </c>
      <c r="AN872" t="str">
        <f>IF(ISNUMBER(FIND("arbeid",Methode_Keuze)),"",IF(ISNUMBER(FIND("arbeid",Methode_Keuze)),"",IF(Tb_Activiteiten[[#This Row],[Landbouwer]]=1,Tb_Activiteiten[[#Headers],[Landbouwer]],"")))</f>
        <v/>
      </c>
      <c r="AO872" t="str">
        <f>IF(ISNUMBER(FIND("arbeid",Methode_Keuze)),"",IF(ISNUMBER(FIND("arbeid",Methode_Keuze)),"",IF(Tb_Activiteiten[[#This Row],[Adviseur]]=1,Tb_Activiteiten[[#Headers],[Adviseur]],"")))</f>
        <v/>
      </c>
      <c r="AP872" t="str">
        <f>IF(ISNUMBER(FIND("arbeid",Methode_Keuze)),"",IF(ISNUMBER(FIND("arbeid",Methode_Keuze)),"",IF(Tb_Activiteiten[[#This Row],[Projectleider/Expert]]=1,Tb_Activiteiten[[#Headers],[Projectleider/Expert]],"")))</f>
        <v/>
      </c>
      <c r="AQ872" t="str">
        <f>IF(ISNUMBER(FIND("arbeid",Methode_Keuze)),"",IF(ISNUMBER(FIND("arbeid",Methode_Keuze)),"",IF(Tb_Activiteiten[[#This Row],[Arbeidskosten]]=1,Tb_Activiteiten[[#Headers],[Arbeidskosten]],"")))</f>
        <v/>
      </c>
      <c r="AR872" t="str">
        <f>IF(ISNUMBER(FIND("arbeid",Methode_Keuze)),"",IF(ISNUMBER(FIND("arbeid",Methode_Keuze)),"",IF(Tb_Activiteiten[[#This Row],[Arbeidskosten op basis van IKS]]=1,Tb_Activiteiten[[#Headers],[Arbeidskosten op basis van IKS]],"")))</f>
        <v/>
      </c>
      <c r="AS872" t="str">
        <f>IF(ISNUMBER(FIND("overige",Methode_Keuze)),"",IF(Tb_Activiteiten[[#This Row],[Kosten derden exclusief btw]]=1,Tb_Activiteiten[[#Headers],[Kosten derden exclusief btw]],""))</f>
        <v/>
      </c>
      <c r="AT872" t="str">
        <f>IF(ISNUMBER(FIND("overige",Methode_Keuze)),"",IF(Tb_Activiteiten[[#This Row],[Niet verrekenbare btw]]=1,Tb_Activiteiten[[#Headers],[Niet verrekenbare btw]],""))</f>
        <v/>
      </c>
      <c r="AU872" t="str">
        <f>IF(ISNUMBER(FIND("overige",Methode_Keuze)),"",IF(Tb_Activiteiten[[#This Row],[Grondkosten]]=1,Tb_Activiteiten[[#Headers],[Grondkosten]],""))</f>
        <v/>
      </c>
      <c r="AV872" t="str">
        <f>IF(ISNUMBER(FIND("overige",Methode_Keuze)),"",IF(Tb_Activiteiten[[#This Row],[Bijdrage in natura (overige)]]=1,Tb_Activiteiten[[#Headers],[Bijdrage in natura (overige)]],""))</f>
        <v/>
      </c>
      <c r="AW872" t="str">
        <f>IF(ISNUMBER(FIND("overige",Methode_Keuze)),"",IF(Tb_Activiteiten[[#This Row],[Bijdrage in natura (vrijwilligers)]]=1,Tb_Activiteiten[[#Headers],[Bijdrage in natura (vrijwilligers)]],""))</f>
        <v/>
      </c>
      <c r="AX872" t="str">
        <f>IF(ISNUMBER(FIND("overige",Methode_Keuze)),"",IF(Tb_Activiteiten[[#This Row],[Afschrijvingskosten]]=1,Tb_Activiteiten[[#Headers],[Afschrijvingskosten]],""))</f>
        <v/>
      </c>
      <c r="AY872" t="str">
        <f>IF(ISNUMBER(FIND("overige",Methode_Keuze)),"",IF(Tb_Activiteiten[[#This Row],[Vergoeding]]=1,Tb_Activiteiten[[#Headers],[Vergoeding]],""))</f>
        <v/>
      </c>
      <c r="AZ872" t="str">
        <f>IF(ISNUMBER(FIND("arbeid",Methode_Keuze)),"",IF(Tb_Activiteiten[[#This Row],[Arbeidskosten - vast tarief (excl eigen arbeid)]]=1,Tb_Activiteiten[[#Headers],[Arbeidskosten - vast tarief (excl eigen arbeid)]],""))</f>
        <v/>
      </c>
      <c r="BA872" t="str">
        <f>IF(ISNUMBER(FIND("overige",Methode_Keuze)),"",IF(Tb_Activiteiten[[#This Row],[Overige kosten]]=1,Tb_Activiteiten[[#Headers],[Overige kosten]],""))</f>
        <v/>
      </c>
    </row>
    <row r="873" spans="1:53" x14ac:dyDescent="0.25">
      <c r="A873" s="231"/>
      <c r="F873" s="64"/>
      <c r="G873" s="64"/>
      <c r="H873" s="275"/>
      <c r="I873" s="275"/>
      <c r="J873" s="275"/>
      <c r="K873" s="275"/>
      <c r="O873" s="56"/>
      <c r="Q873" t="str">
        <f>IFERROR(IF(VLOOKUP(Tb_Activiteiten[[#This Row],[Openstelling]],Tb_Openstelling[],2,0)=1,1,""),"")</f>
        <v/>
      </c>
      <c r="AK873" t="str">
        <f>IF(ISNUMBER(FIND("arbeid",Methode_Keuze)),"",IF(ISNUMBER(FIND("arbeid",Methode_Keuze)),"",IF(Tb_Activiteiten[[#This Row],[Loonkosten]]=1,Tb_Activiteiten[[#Headers],[Loonkosten]],"")))</f>
        <v/>
      </c>
      <c r="AL873" t="str">
        <f>IF(ISNUMBER(FIND("arbeid",Methode_Keuze)),"",IF(ISNUMBER(FIND("arbeid",Methode_Keuze)),"",IF(Tb_Activiteiten[[#This Row],[Eigen arbeid]]=1,Tb_Activiteiten[[#Headers],[Eigen arbeid]],"")))</f>
        <v/>
      </c>
      <c r="AM873" t="str">
        <f>IF(ISNUMBER(FIND("arbeid",Methode_Keuze)),"",IF(ISNUMBER(FIND("arbeid",Methode_Keuze)),"",IF(Tb_Activiteiten[[#This Row],[Projectmedewerker]]=1,Tb_Activiteiten[[#Headers],[Projectmedewerker]],"")))</f>
        <v/>
      </c>
      <c r="AN873" t="str">
        <f>IF(ISNUMBER(FIND("arbeid",Methode_Keuze)),"",IF(ISNUMBER(FIND("arbeid",Methode_Keuze)),"",IF(Tb_Activiteiten[[#This Row],[Landbouwer]]=1,Tb_Activiteiten[[#Headers],[Landbouwer]],"")))</f>
        <v/>
      </c>
      <c r="AO873" t="str">
        <f>IF(ISNUMBER(FIND("arbeid",Methode_Keuze)),"",IF(ISNUMBER(FIND("arbeid",Methode_Keuze)),"",IF(Tb_Activiteiten[[#This Row],[Adviseur]]=1,Tb_Activiteiten[[#Headers],[Adviseur]],"")))</f>
        <v/>
      </c>
      <c r="AP873" t="str">
        <f>IF(ISNUMBER(FIND("arbeid",Methode_Keuze)),"",IF(ISNUMBER(FIND("arbeid",Methode_Keuze)),"",IF(Tb_Activiteiten[[#This Row],[Projectleider/Expert]]=1,Tb_Activiteiten[[#Headers],[Projectleider/Expert]],"")))</f>
        <v/>
      </c>
      <c r="AQ873" t="str">
        <f>IF(ISNUMBER(FIND("arbeid",Methode_Keuze)),"",IF(ISNUMBER(FIND("arbeid",Methode_Keuze)),"",IF(Tb_Activiteiten[[#This Row],[Arbeidskosten]]=1,Tb_Activiteiten[[#Headers],[Arbeidskosten]],"")))</f>
        <v/>
      </c>
      <c r="AR873" t="str">
        <f>IF(ISNUMBER(FIND("arbeid",Methode_Keuze)),"",IF(ISNUMBER(FIND("arbeid",Methode_Keuze)),"",IF(Tb_Activiteiten[[#This Row],[Arbeidskosten op basis van IKS]]=1,Tb_Activiteiten[[#Headers],[Arbeidskosten op basis van IKS]],"")))</f>
        <v/>
      </c>
      <c r="AS873" t="str">
        <f>IF(ISNUMBER(FIND("overige",Methode_Keuze)),"",IF(Tb_Activiteiten[[#This Row],[Kosten derden exclusief btw]]=1,Tb_Activiteiten[[#Headers],[Kosten derden exclusief btw]],""))</f>
        <v/>
      </c>
      <c r="AT873" t="str">
        <f>IF(ISNUMBER(FIND("overige",Methode_Keuze)),"",IF(Tb_Activiteiten[[#This Row],[Niet verrekenbare btw]]=1,Tb_Activiteiten[[#Headers],[Niet verrekenbare btw]],""))</f>
        <v/>
      </c>
      <c r="AU873" t="str">
        <f>IF(ISNUMBER(FIND("overige",Methode_Keuze)),"",IF(Tb_Activiteiten[[#This Row],[Grondkosten]]=1,Tb_Activiteiten[[#Headers],[Grondkosten]],""))</f>
        <v/>
      </c>
      <c r="AV873" t="str">
        <f>IF(ISNUMBER(FIND("overige",Methode_Keuze)),"",IF(Tb_Activiteiten[[#This Row],[Bijdrage in natura (overige)]]=1,Tb_Activiteiten[[#Headers],[Bijdrage in natura (overige)]],""))</f>
        <v/>
      </c>
      <c r="AW873" t="str">
        <f>IF(ISNUMBER(FIND("overige",Methode_Keuze)),"",IF(Tb_Activiteiten[[#This Row],[Bijdrage in natura (vrijwilligers)]]=1,Tb_Activiteiten[[#Headers],[Bijdrage in natura (vrijwilligers)]],""))</f>
        <v/>
      </c>
      <c r="AX873" t="str">
        <f>IF(ISNUMBER(FIND("overige",Methode_Keuze)),"",IF(Tb_Activiteiten[[#This Row],[Afschrijvingskosten]]=1,Tb_Activiteiten[[#Headers],[Afschrijvingskosten]],""))</f>
        <v/>
      </c>
      <c r="AY873" t="str">
        <f>IF(ISNUMBER(FIND("overige",Methode_Keuze)),"",IF(Tb_Activiteiten[[#This Row],[Vergoeding]]=1,Tb_Activiteiten[[#Headers],[Vergoeding]],""))</f>
        <v/>
      </c>
      <c r="AZ873" t="str">
        <f>IF(ISNUMBER(FIND("arbeid",Methode_Keuze)),"",IF(Tb_Activiteiten[[#This Row],[Arbeidskosten - vast tarief (excl eigen arbeid)]]=1,Tb_Activiteiten[[#Headers],[Arbeidskosten - vast tarief (excl eigen arbeid)]],""))</f>
        <v/>
      </c>
      <c r="BA873" t="str">
        <f>IF(ISNUMBER(FIND("overige",Methode_Keuze)),"",IF(Tb_Activiteiten[[#This Row],[Overige kosten]]=1,Tb_Activiteiten[[#Headers],[Overige kosten]],""))</f>
        <v/>
      </c>
    </row>
    <row r="874" spans="1:53" x14ac:dyDescent="0.25">
      <c r="A874" s="231"/>
      <c r="F874" s="64"/>
      <c r="G874" s="64"/>
      <c r="H874" s="275"/>
      <c r="I874" s="275"/>
      <c r="J874" s="275"/>
      <c r="K874" s="275"/>
      <c r="O874" s="56"/>
      <c r="Q874" t="str">
        <f>IFERROR(IF(VLOOKUP(Tb_Activiteiten[[#This Row],[Openstelling]],Tb_Openstelling[],2,0)=1,1,""),"")</f>
        <v/>
      </c>
      <c r="AK874" t="str">
        <f>IF(ISNUMBER(FIND("arbeid",Methode_Keuze)),"",IF(ISNUMBER(FIND("arbeid",Methode_Keuze)),"",IF(Tb_Activiteiten[[#This Row],[Loonkosten]]=1,Tb_Activiteiten[[#Headers],[Loonkosten]],"")))</f>
        <v/>
      </c>
      <c r="AL874" t="str">
        <f>IF(ISNUMBER(FIND("arbeid",Methode_Keuze)),"",IF(ISNUMBER(FIND("arbeid",Methode_Keuze)),"",IF(Tb_Activiteiten[[#This Row],[Eigen arbeid]]=1,Tb_Activiteiten[[#Headers],[Eigen arbeid]],"")))</f>
        <v/>
      </c>
      <c r="AM874" t="str">
        <f>IF(ISNUMBER(FIND("arbeid",Methode_Keuze)),"",IF(ISNUMBER(FIND("arbeid",Methode_Keuze)),"",IF(Tb_Activiteiten[[#This Row],[Projectmedewerker]]=1,Tb_Activiteiten[[#Headers],[Projectmedewerker]],"")))</f>
        <v/>
      </c>
      <c r="AN874" t="str">
        <f>IF(ISNUMBER(FIND("arbeid",Methode_Keuze)),"",IF(ISNUMBER(FIND("arbeid",Methode_Keuze)),"",IF(Tb_Activiteiten[[#This Row],[Landbouwer]]=1,Tb_Activiteiten[[#Headers],[Landbouwer]],"")))</f>
        <v/>
      </c>
      <c r="AO874" t="str">
        <f>IF(ISNUMBER(FIND("arbeid",Methode_Keuze)),"",IF(ISNUMBER(FIND("arbeid",Methode_Keuze)),"",IF(Tb_Activiteiten[[#This Row],[Adviseur]]=1,Tb_Activiteiten[[#Headers],[Adviseur]],"")))</f>
        <v/>
      </c>
      <c r="AP874" t="str">
        <f>IF(ISNUMBER(FIND("arbeid",Methode_Keuze)),"",IF(ISNUMBER(FIND("arbeid",Methode_Keuze)),"",IF(Tb_Activiteiten[[#This Row],[Projectleider/Expert]]=1,Tb_Activiteiten[[#Headers],[Projectleider/Expert]],"")))</f>
        <v/>
      </c>
      <c r="AQ874" t="str">
        <f>IF(ISNUMBER(FIND("arbeid",Methode_Keuze)),"",IF(ISNUMBER(FIND("arbeid",Methode_Keuze)),"",IF(Tb_Activiteiten[[#This Row],[Arbeidskosten]]=1,Tb_Activiteiten[[#Headers],[Arbeidskosten]],"")))</f>
        <v/>
      </c>
      <c r="AR874" t="str">
        <f>IF(ISNUMBER(FIND("arbeid",Methode_Keuze)),"",IF(ISNUMBER(FIND("arbeid",Methode_Keuze)),"",IF(Tb_Activiteiten[[#This Row],[Arbeidskosten op basis van IKS]]=1,Tb_Activiteiten[[#Headers],[Arbeidskosten op basis van IKS]],"")))</f>
        <v/>
      </c>
      <c r="AS874" t="str">
        <f>IF(ISNUMBER(FIND("overige",Methode_Keuze)),"",IF(Tb_Activiteiten[[#This Row],[Kosten derden exclusief btw]]=1,Tb_Activiteiten[[#Headers],[Kosten derden exclusief btw]],""))</f>
        <v/>
      </c>
      <c r="AT874" t="str">
        <f>IF(ISNUMBER(FIND("overige",Methode_Keuze)),"",IF(Tb_Activiteiten[[#This Row],[Niet verrekenbare btw]]=1,Tb_Activiteiten[[#Headers],[Niet verrekenbare btw]],""))</f>
        <v/>
      </c>
      <c r="AU874" t="str">
        <f>IF(ISNUMBER(FIND("overige",Methode_Keuze)),"",IF(Tb_Activiteiten[[#This Row],[Grondkosten]]=1,Tb_Activiteiten[[#Headers],[Grondkosten]],""))</f>
        <v/>
      </c>
      <c r="AV874" t="str">
        <f>IF(ISNUMBER(FIND("overige",Methode_Keuze)),"",IF(Tb_Activiteiten[[#This Row],[Bijdrage in natura (overige)]]=1,Tb_Activiteiten[[#Headers],[Bijdrage in natura (overige)]],""))</f>
        <v/>
      </c>
      <c r="AW874" t="str">
        <f>IF(ISNUMBER(FIND("overige",Methode_Keuze)),"",IF(Tb_Activiteiten[[#This Row],[Bijdrage in natura (vrijwilligers)]]=1,Tb_Activiteiten[[#Headers],[Bijdrage in natura (vrijwilligers)]],""))</f>
        <v/>
      </c>
      <c r="AX874" t="str">
        <f>IF(ISNUMBER(FIND("overige",Methode_Keuze)),"",IF(Tb_Activiteiten[[#This Row],[Afschrijvingskosten]]=1,Tb_Activiteiten[[#Headers],[Afschrijvingskosten]],""))</f>
        <v/>
      </c>
      <c r="AY874" t="str">
        <f>IF(ISNUMBER(FIND("overige",Methode_Keuze)),"",IF(Tb_Activiteiten[[#This Row],[Vergoeding]]=1,Tb_Activiteiten[[#Headers],[Vergoeding]],""))</f>
        <v/>
      </c>
      <c r="AZ874" t="str">
        <f>IF(ISNUMBER(FIND("arbeid",Methode_Keuze)),"",IF(Tb_Activiteiten[[#This Row],[Arbeidskosten - vast tarief (excl eigen arbeid)]]=1,Tb_Activiteiten[[#Headers],[Arbeidskosten - vast tarief (excl eigen arbeid)]],""))</f>
        <v/>
      </c>
      <c r="BA874" t="str">
        <f>IF(ISNUMBER(FIND("overige",Methode_Keuze)),"",IF(Tb_Activiteiten[[#This Row],[Overige kosten]]=1,Tb_Activiteiten[[#Headers],[Overige kosten]],""))</f>
        <v/>
      </c>
    </row>
    <row r="875" spans="1:53" x14ac:dyDescent="0.25">
      <c r="A875" s="231"/>
      <c r="F875" s="64"/>
      <c r="G875" s="64"/>
      <c r="H875" s="275"/>
      <c r="I875" s="275"/>
      <c r="J875" s="275"/>
      <c r="K875" s="275"/>
      <c r="O875" s="56"/>
      <c r="Q875" t="str">
        <f>IFERROR(IF(VLOOKUP(Tb_Activiteiten[[#This Row],[Openstelling]],Tb_Openstelling[],2,0)=1,1,""),"")</f>
        <v/>
      </c>
      <c r="AK875" t="str">
        <f>IF(ISNUMBER(FIND("arbeid",Methode_Keuze)),"",IF(ISNUMBER(FIND("arbeid",Methode_Keuze)),"",IF(Tb_Activiteiten[[#This Row],[Loonkosten]]=1,Tb_Activiteiten[[#Headers],[Loonkosten]],"")))</f>
        <v/>
      </c>
      <c r="AL875" t="str">
        <f>IF(ISNUMBER(FIND("arbeid",Methode_Keuze)),"",IF(ISNUMBER(FIND("arbeid",Methode_Keuze)),"",IF(Tb_Activiteiten[[#This Row],[Eigen arbeid]]=1,Tb_Activiteiten[[#Headers],[Eigen arbeid]],"")))</f>
        <v/>
      </c>
      <c r="AM875" t="str">
        <f>IF(ISNUMBER(FIND("arbeid",Methode_Keuze)),"",IF(ISNUMBER(FIND("arbeid",Methode_Keuze)),"",IF(Tb_Activiteiten[[#This Row],[Projectmedewerker]]=1,Tb_Activiteiten[[#Headers],[Projectmedewerker]],"")))</f>
        <v/>
      </c>
      <c r="AN875" t="str">
        <f>IF(ISNUMBER(FIND("arbeid",Methode_Keuze)),"",IF(ISNUMBER(FIND("arbeid",Methode_Keuze)),"",IF(Tb_Activiteiten[[#This Row],[Landbouwer]]=1,Tb_Activiteiten[[#Headers],[Landbouwer]],"")))</f>
        <v/>
      </c>
      <c r="AO875" t="str">
        <f>IF(ISNUMBER(FIND("arbeid",Methode_Keuze)),"",IF(ISNUMBER(FIND("arbeid",Methode_Keuze)),"",IF(Tb_Activiteiten[[#This Row],[Adviseur]]=1,Tb_Activiteiten[[#Headers],[Adviseur]],"")))</f>
        <v/>
      </c>
      <c r="AP875" t="str">
        <f>IF(ISNUMBER(FIND("arbeid",Methode_Keuze)),"",IF(ISNUMBER(FIND("arbeid",Methode_Keuze)),"",IF(Tb_Activiteiten[[#This Row],[Projectleider/Expert]]=1,Tb_Activiteiten[[#Headers],[Projectleider/Expert]],"")))</f>
        <v/>
      </c>
      <c r="AQ875" t="str">
        <f>IF(ISNUMBER(FIND("arbeid",Methode_Keuze)),"",IF(ISNUMBER(FIND("arbeid",Methode_Keuze)),"",IF(Tb_Activiteiten[[#This Row],[Arbeidskosten]]=1,Tb_Activiteiten[[#Headers],[Arbeidskosten]],"")))</f>
        <v/>
      </c>
      <c r="AR875" t="str">
        <f>IF(ISNUMBER(FIND("arbeid",Methode_Keuze)),"",IF(ISNUMBER(FIND("arbeid",Methode_Keuze)),"",IF(Tb_Activiteiten[[#This Row],[Arbeidskosten op basis van IKS]]=1,Tb_Activiteiten[[#Headers],[Arbeidskosten op basis van IKS]],"")))</f>
        <v/>
      </c>
      <c r="AS875" t="str">
        <f>IF(ISNUMBER(FIND("overige",Methode_Keuze)),"",IF(Tb_Activiteiten[[#This Row],[Kosten derden exclusief btw]]=1,Tb_Activiteiten[[#Headers],[Kosten derden exclusief btw]],""))</f>
        <v/>
      </c>
      <c r="AT875" t="str">
        <f>IF(ISNUMBER(FIND("overige",Methode_Keuze)),"",IF(Tb_Activiteiten[[#This Row],[Niet verrekenbare btw]]=1,Tb_Activiteiten[[#Headers],[Niet verrekenbare btw]],""))</f>
        <v/>
      </c>
      <c r="AU875" t="str">
        <f>IF(ISNUMBER(FIND("overige",Methode_Keuze)),"",IF(Tb_Activiteiten[[#This Row],[Grondkosten]]=1,Tb_Activiteiten[[#Headers],[Grondkosten]],""))</f>
        <v/>
      </c>
      <c r="AV875" t="str">
        <f>IF(ISNUMBER(FIND("overige",Methode_Keuze)),"",IF(Tb_Activiteiten[[#This Row],[Bijdrage in natura (overige)]]=1,Tb_Activiteiten[[#Headers],[Bijdrage in natura (overige)]],""))</f>
        <v/>
      </c>
      <c r="AW875" t="str">
        <f>IF(ISNUMBER(FIND("overige",Methode_Keuze)),"",IF(Tb_Activiteiten[[#This Row],[Bijdrage in natura (vrijwilligers)]]=1,Tb_Activiteiten[[#Headers],[Bijdrage in natura (vrijwilligers)]],""))</f>
        <v/>
      </c>
      <c r="AX875" t="str">
        <f>IF(ISNUMBER(FIND("overige",Methode_Keuze)),"",IF(Tb_Activiteiten[[#This Row],[Afschrijvingskosten]]=1,Tb_Activiteiten[[#Headers],[Afschrijvingskosten]],""))</f>
        <v/>
      </c>
      <c r="AY875" t="str">
        <f>IF(ISNUMBER(FIND("overige",Methode_Keuze)),"",IF(Tb_Activiteiten[[#This Row],[Vergoeding]]=1,Tb_Activiteiten[[#Headers],[Vergoeding]],""))</f>
        <v/>
      </c>
      <c r="AZ875" t="str">
        <f>IF(ISNUMBER(FIND("arbeid",Methode_Keuze)),"",IF(Tb_Activiteiten[[#This Row],[Arbeidskosten - vast tarief (excl eigen arbeid)]]=1,Tb_Activiteiten[[#Headers],[Arbeidskosten - vast tarief (excl eigen arbeid)]],""))</f>
        <v/>
      </c>
      <c r="BA875" t="str">
        <f>IF(ISNUMBER(FIND("overige",Methode_Keuze)),"",IF(Tb_Activiteiten[[#This Row],[Overige kosten]]=1,Tb_Activiteiten[[#Headers],[Overige kosten]],""))</f>
        <v/>
      </c>
    </row>
    <row r="876" spans="1:53" x14ac:dyDescent="0.25">
      <c r="A876" s="231"/>
      <c r="F876" s="64"/>
      <c r="G876" s="64"/>
      <c r="H876" s="275"/>
      <c r="I876" s="275"/>
      <c r="J876" s="275"/>
      <c r="K876" s="275"/>
      <c r="O876" s="56"/>
      <c r="Q876" t="str">
        <f>IFERROR(IF(VLOOKUP(Tb_Activiteiten[[#This Row],[Openstelling]],Tb_Openstelling[],2,0)=1,1,""),"")</f>
        <v/>
      </c>
      <c r="AK876" t="str">
        <f>IF(ISNUMBER(FIND("arbeid",Methode_Keuze)),"",IF(ISNUMBER(FIND("arbeid",Methode_Keuze)),"",IF(Tb_Activiteiten[[#This Row],[Loonkosten]]=1,Tb_Activiteiten[[#Headers],[Loonkosten]],"")))</f>
        <v/>
      </c>
      <c r="AL876" t="str">
        <f>IF(ISNUMBER(FIND("arbeid",Methode_Keuze)),"",IF(ISNUMBER(FIND("arbeid",Methode_Keuze)),"",IF(Tb_Activiteiten[[#This Row],[Eigen arbeid]]=1,Tb_Activiteiten[[#Headers],[Eigen arbeid]],"")))</f>
        <v/>
      </c>
      <c r="AM876" t="str">
        <f>IF(ISNUMBER(FIND("arbeid",Methode_Keuze)),"",IF(ISNUMBER(FIND("arbeid",Methode_Keuze)),"",IF(Tb_Activiteiten[[#This Row],[Projectmedewerker]]=1,Tb_Activiteiten[[#Headers],[Projectmedewerker]],"")))</f>
        <v/>
      </c>
      <c r="AN876" t="str">
        <f>IF(ISNUMBER(FIND("arbeid",Methode_Keuze)),"",IF(ISNUMBER(FIND("arbeid",Methode_Keuze)),"",IF(Tb_Activiteiten[[#This Row],[Landbouwer]]=1,Tb_Activiteiten[[#Headers],[Landbouwer]],"")))</f>
        <v/>
      </c>
      <c r="AO876" t="str">
        <f>IF(ISNUMBER(FIND("arbeid",Methode_Keuze)),"",IF(ISNUMBER(FIND("arbeid",Methode_Keuze)),"",IF(Tb_Activiteiten[[#This Row],[Adviseur]]=1,Tb_Activiteiten[[#Headers],[Adviseur]],"")))</f>
        <v/>
      </c>
      <c r="AP876" t="str">
        <f>IF(ISNUMBER(FIND("arbeid",Methode_Keuze)),"",IF(ISNUMBER(FIND("arbeid",Methode_Keuze)),"",IF(Tb_Activiteiten[[#This Row],[Projectleider/Expert]]=1,Tb_Activiteiten[[#Headers],[Projectleider/Expert]],"")))</f>
        <v/>
      </c>
      <c r="AQ876" t="str">
        <f>IF(ISNUMBER(FIND("arbeid",Methode_Keuze)),"",IF(ISNUMBER(FIND("arbeid",Methode_Keuze)),"",IF(Tb_Activiteiten[[#This Row],[Arbeidskosten]]=1,Tb_Activiteiten[[#Headers],[Arbeidskosten]],"")))</f>
        <v/>
      </c>
      <c r="AR876" t="str">
        <f>IF(ISNUMBER(FIND("arbeid",Methode_Keuze)),"",IF(ISNUMBER(FIND("arbeid",Methode_Keuze)),"",IF(Tb_Activiteiten[[#This Row],[Arbeidskosten op basis van IKS]]=1,Tb_Activiteiten[[#Headers],[Arbeidskosten op basis van IKS]],"")))</f>
        <v/>
      </c>
      <c r="AS876" t="str">
        <f>IF(ISNUMBER(FIND("overige",Methode_Keuze)),"",IF(Tb_Activiteiten[[#This Row],[Kosten derden exclusief btw]]=1,Tb_Activiteiten[[#Headers],[Kosten derden exclusief btw]],""))</f>
        <v/>
      </c>
      <c r="AT876" t="str">
        <f>IF(ISNUMBER(FIND("overige",Methode_Keuze)),"",IF(Tb_Activiteiten[[#This Row],[Niet verrekenbare btw]]=1,Tb_Activiteiten[[#Headers],[Niet verrekenbare btw]],""))</f>
        <v/>
      </c>
      <c r="AU876" t="str">
        <f>IF(ISNUMBER(FIND("overige",Methode_Keuze)),"",IF(Tb_Activiteiten[[#This Row],[Grondkosten]]=1,Tb_Activiteiten[[#Headers],[Grondkosten]],""))</f>
        <v/>
      </c>
      <c r="AV876" t="str">
        <f>IF(ISNUMBER(FIND("overige",Methode_Keuze)),"",IF(Tb_Activiteiten[[#This Row],[Bijdrage in natura (overige)]]=1,Tb_Activiteiten[[#Headers],[Bijdrage in natura (overige)]],""))</f>
        <v/>
      </c>
      <c r="AW876" t="str">
        <f>IF(ISNUMBER(FIND("overige",Methode_Keuze)),"",IF(Tb_Activiteiten[[#This Row],[Bijdrage in natura (vrijwilligers)]]=1,Tb_Activiteiten[[#Headers],[Bijdrage in natura (vrijwilligers)]],""))</f>
        <v/>
      </c>
      <c r="AX876" t="str">
        <f>IF(ISNUMBER(FIND("overige",Methode_Keuze)),"",IF(Tb_Activiteiten[[#This Row],[Afschrijvingskosten]]=1,Tb_Activiteiten[[#Headers],[Afschrijvingskosten]],""))</f>
        <v/>
      </c>
      <c r="AY876" t="str">
        <f>IF(ISNUMBER(FIND("overige",Methode_Keuze)),"",IF(Tb_Activiteiten[[#This Row],[Vergoeding]]=1,Tb_Activiteiten[[#Headers],[Vergoeding]],""))</f>
        <v/>
      </c>
      <c r="AZ876" t="str">
        <f>IF(ISNUMBER(FIND("arbeid",Methode_Keuze)),"",IF(Tb_Activiteiten[[#This Row],[Arbeidskosten - vast tarief (excl eigen arbeid)]]=1,Tb_Activiteiten[[#Headers],[Arbeidskosten - vast tarief (excl eigen arbeid)]],""))</f>
        <v/>
      </c>
      <c r="BA876" t="str">
        <f>IF(ISNUMBER(FIND("overige",Methode_Keuze)),"",IF(Tb_Activiteiten[[#This Row],[Overige kosten]]=1,Tb_Activiteiten[[#Headers],[Overige kosten]],""))</f>
        <v/>
      </c>
    </row>
    <row r="877" spans="1:53" x14ac:dyDescent="0.25">
      <c r="A877" s="231"/>
      <c r="F877" s="64"/>
      <c r="G877" s="64"/>
      <c r="H877" s="275"/>
      <c r="I877" s="275"/>
      <c r="J877" s="275"/>
      <c r="K877" s="275"/>
      <c r="O877" s="56"/>
      <c r="Q877" t="str">
        <f>IFERROR(IF(VLOOKUP(Tb_Activiteiten[[#This Row],[Openstelling]],Tb_Openstelling[],2,0)=1,1,""),"")</f>
        <v/>
      </c>
      <c r="AK877" t="str">
        <f>IF(ISNUMBER(FIND("arbeid",Methode_Keuze)),"",IF(ISNUMBER(FIND("arbeid",Methode_Keuze)),"",IF(Tb_Activiteiten[[#This Row],[Loonkosten]]=1,Tb_Activiteiten[[#Headers],[Loonkosten]],"")))</f>
        <v/>
      </c>
      <c r="AL877" t="str">
        <f>IF(ISNUMBER(FIND("arbeid",Methode_Keuze)),"",IF(ISNUMBER(FIND("arbeid",Methode_Keuze)),"",IF(Tb_Activiteiten[[#This Row],[Eigen arbeid]]=1,Tb_Activiteiten[[#Headers],[Eigen arbeid]],"")))</f>
        <v/>
      </c>
      <c r="AM877" t="str">
        <f>IF(ISNUMBER(FIND("arbeid",Methode_Keuze)),"",IF(ISNUMBER(FIND("arbeid",Methode_Keuze)),"",IF(Tb_Activiteiten[[#This Row],[Projectmedewerker]]=1,Tb_Activiteiten[[#Headers],[Projectmedewerker]],"")))</f>
        <v/>
      </c>
      <c r="AN877" t="str">
        <f>IF(ISNUMBER(FIND("arbeid",Methode_Keuze)),"",IF(ISNUMBER(FIND("arbeid",Methode_Keuze)),"",IF(Tb_Activiteiten[[#This Row],[Landbouwer]]=1,Tb_Activiteiten[[#Headers],[Landbouwer]],"")))</f>
        <v/>
      </c>
      <c r="AO877" t="str">
        <f>IF(ISNUMBER(FIND("arbeid",Methode_Keuze)),"",IF(ISNUMBER(FIND("arbeid",Methode_Keuze)),"",IF(Tb_Activiteiten[[#This Row],[Adviseur]]=1,Tb_Activiteiten[[#Headers],[Adviseur]],"")))</f>
        <v/>
      </c>
      <c r="AP877" t="str">
        <f>IF(ISNUMBER(FIND("arbeid",Methode_Keuze)),"",IF(ISNUMBER(FIND("arbeid",Methode_Keuze)),"",IF(Tb_Activiteiten[[#This Row],[Projectleider/Expert]]=1,Tb_Activiteiten[[#Headers],[Projectleider/Expert]],"")))</f>
        <v/>
      </c>
      <c r="AQ877" t="str">
        <f>IF(ISNUMBER(FIND("arbeid",Methode_Keuze)),"",IF(ISNUMBER(FIND("arbeid",Methode_Keuze)),"",IF(Tb_Activiteiten[[#This Row],[Arbeidskosten]]=1,Tb_Activiteiten[[#Headers],[Arbeidskosten]],"")))</f>
        <v/>
      </c>
      <c r="AR877" t="str">
        <f>IF(ISNUMBER(FIND("arbeid",Methode_Keuze)),"",IF(ISNUMBER(FIND("arbeid",Methode_Keuze)),"",IF(Tb_Activiteiten[[#This Row],[Arbeidskosten op basis van IKS]]=1,Tb_Activiteiten[[#Headers],[Arbeidskosten op basis van IKS]],"")))</f>
        <v/>
      </c>
      <c r="AS877" t="str">
        <f>IF(ISNUMBER(FIND("overige",Methode_Keuze)),"",IF(Tb_Activiteiten[[#This Row],[Kosten derden exclusief btw]]=1,Tb_Activiteiten[[#Headers],[Kosten derden exclusief btw]],""))</f>
        <v/>
      </c>
      <c r="AT877" t="str">
        <f>IF(ISNUMBER(FIND("overige",Methode_Keuze)),"",IF(Tb_Activiteiten[[#This Row],[Niet verrekenbare btw]]=1,Tb_Activiteiten[[#Headers],[Niet verrekenbare btw]],""))</f>
        <v/>
      </c>
      <c r="AU877" t="str">
        <f>IF(ISNUMBER(FIND("overige",Methode_Keuze)),"",IF(Tb_Activiteiten[[#This Row],[Grondkosten]]=1,Tb_Activiteiten[[#Headers],[Grondkosten]],""))</f>
        <v/>
      </c>
      <c r="AV877" t="str">
        <f>IF(ISNUMBER(FIND("overige",Methode_Keuze)),"",IF(Tb_Activiteiten[[#This Row],[Bijdrage in natura (overige)]]=1,Tb_Activiteiten[[#Headers],[Bijdrage in natura (overige)]],""))</f>
        <v/>
      </c>
      <c r="AW877" t="str">
        <f>IF(ISNUMBER(FIND("overige",Methode_Keuze)),"",IF(Tb_Activiteiten[[#This Row],[Bijdrage in natura (vrijwilligers)]]=1,Tb_Activiteiten[[#Headers],[Bijdrage in natura (vrijwilligers)]],""))</f>
        <v/>
      </c>
      <c r="AX877" t="str">
        <f>IF(ISNUMBER(FIND("overige",Methode_Keuze)),"",IF(Tb_Activiteiten[[#This Row],[Afschrijvingskosten]]=1,Tb_Activiteiten[[#Headers],[Afschrijvingskosten]],""))</f>
        <v/>
      </c>
      <c r="AY877" t="str">
        <f>IF(ISNUMBER(FIND("overige",Methode_Keuze)),"",IF(Tb_Activiteiten[[#This Row],[Vergoeding]]=1,Tb_Activiteiten[[#Headers],[Vergoeding]],""))</f>
        <v/>
      </c>
      <c r="AZ877" t="str">
        <f>IF(ISNUMBER(FIND("arbeid",Methode_Keuze)),"",IF(Tb_Activiteiten[[#This Row],[Arbeidskosten - vast tarief (excl eigen arbeid)]]=1,Tb_Activiteiten[[#Headers],[Arbeidskosten - vast tarief (excl eigen arbeid)]],""))</f>
        <v/>
      </c>
      <c r="BA877" t="str">
        <f>IF(ISNUMBER(FIND("overige",Methode_Keuze)),"",IF(Tb_Activiteiten[[#This Row],[Overige kosten]]=1,Tb_Activiteiten[[#Headers],[Overige kosten]],""))</f>
        <v/>
      </c>
    </row>
    <row r="878" spans="1:53" x14ac:dyDescent="0.25">
      <c r="A878" s="231"/>
      <c r="F878" s="64"/>
      <c r="G878" s="64"/>
      <c r="H878" s="275"/>
      <c r="I878" s="275"/>
      <c r="J878" s="275"/>
      <c r="K878" s="275"/>
      <c r="O878" s="56"/>
      <c r="Q878" t="str">
        <f>IFERROR(IF(VLOOKUP(Tb_Activiteiten[[#This Row],[Openstelling]],Tb_Openstelling[],2,0)=1,1,""),"")</f>
        <v/>
      </c>
      <c r="AK878" t="str">
        <f>IF(ISNUMBER(FIND("arbeid",Methode_Keuze)),"",IF(ISNUMBER(FIND("arbeid",Methode_Keuze)),"",IF(Tb_Activiteiten[[#This Row],[Loonkosten]]=1,Tb_Activiteiten[[#Headers],[Loonkosten]],"")))</f>
        <v/>
      </c>
      <c r="AL878" t="str">
        <f>IF(ISNUMBER(FIND("arbeid",Methode_Keuze)),"",IF(ISNUMBER(FIND("arbeid",Methode_Keuze)),"",IF(Tb_Activiteiten[[#This Row],[Eigen arbeid]]=1,Tb_Activiteiten[[#Headers],[Eigen arbeid]],"")))</f>
        <v/>
      </c>
      <c r="AM878" t="str">
        <f>IF(ISNUMBER(FIND("arbeid",Methode_Keuze)),"",IF(ISNUMBER(FIND("arbeid",Methode_Keuze)),"",IF(Tb_Activiteiten[[#This Row],[Projectmedewerker]]=1,Tb_Activiteiten[[#Headers],[Projectmedewerker]],"")))</f>
        <v/>
      </c>
      <c r="AN878" t="str">
        <f>IF(ISNUMBER(FIND("arbeid",Methode_Keuze)),"",IF(ISNUMBER(FIND("arbeid",Methode_Keuze)),"",IF(Tb_Activiteiten[[#This Row],[Landbouwer]]=1,Tb_Activiteiten[[#Headers],[Landbouwer]],"")))</f>
        <v/>
      </c>
      <c r="AO878" t="str">
        <f>IF(ISNUMBER(FIND("arbeid",Methode_Keuze)),"",IF(ISNUMBER(FIND("arbeid",Methode_Keuze)),"",IF(Tb_Activiteiten[[#This Row],[Adviseur]]=1,Tb_Activiteiten[[#Headers],[Adviseur]],"")))</f>
        <v/>
      </c>
      <c r="AP878" t="str">
        <f>IF(ISNUMBER(FIND("arbeid",Methode_Keuze)),"",IF(ISNUMBER(FIND("arbeid",Methode_Keuze)),"",IF(Tb_Activiteiten[[#This Row],[Projectleider/Expert]]=1,Tb_Activiteiten[[#Headers],[Projectleider/Expert]],"")))</f>
        <v/>
      </c>
      <c r="AQ878" t="str">
        <f>IF(ISNUMBER(FIND("arbeid",Methode_Keuze)),"",IF(ISNUMBER(FIND("arbeid",Methode_Keuze)),"",IF(Tb_Activiteiten[[#This Row],[Arbeidskosten]]=1,Tb_Activiteiten[[#Headers],[Arbeidskosten]],"")))</f>
        <v/>
      </c>
      <c r="AR878" t="str">
        <f>IF(ISNUMBER(FIND("arbeid",Methode_Keuze)),"",IF(ISNUMBER(FIND("arbeid",Methode_Keuze)),"",IF(Tb_Activiteiten[[#This Row],[Arbeidskosten op basis van IKS]]=1,Tb_Activiteiten[[#Headers],[Arbeidskosten op basis van IKS]],"")))</f>
        <v/>
      </c>
      <c r="AS878" t="str">
        <f>IF(ISNUMBER(FIND("overige",Methode_Keuze)),"",IF(Tb_Activiteiten[[#This Row],[Kosten derden exclusief btw]]=1,Tb_Activiteiten[[#Headers],[Kosten derden exclusief btw]],""))</f>
        <v/>
      </c>
      <c r="AT878" t="str">
        <f>IF(ISNUMBER(FIND("overige",Methode_Keuze)),"",IF(Tb_Activiteiten[[#This Row],[Niet verrekenbare btw]]=1,Tb_Activiteiten[[#Headers],[Niet verrekenbare btw]],""))</f>
        <v/>
      </c>
      <c r="AU878" t="str">
        <f>IF(ISNUMBER(FIND("overige",Methode_Keuze)),"",IF(Tb_Activiteiten[[#This Row],[Grondkosten]]=1,Tb_Activiteiten[[#Headers],[Grondkosten]],""))</f>
        <v/>
      </c>
      <c r="AV878" t="str">
        <f>IF(ISNUMBER(FIND("overige",Methode_Keuze)),"",IF(Tb_Activiteiten[[#This Row],[Bijdrage in natura (overige)]]=1,Tb_Activiteiten[[#Headers],[Bijdrage in natura (overige)]],""))</f>
        <v/>
      </c>
      <c r="AW878" t="str">
        <f>IF(ISNUMBER(FIND("overige",Methode_Keuze)),"",IF(Tb_Activiteiten[[#This Row],[Bijdrage in natura (vrijwilligers)]]=1,Tb_Activiteiten[[#Headers],[Bijdrage in natura (vrijwilligers)]],""))</f>
        <v/>
      </c>
      <c r="AX878" t="str">
        <f>IF(ISNUMBER(FIND("overige",Methode_Keuze)),"",IF(Tb_Activiteiten[[#This Row],[Afschrijvingskosten]]=1,Tb_Activiteiten[[#Headers],[Afschrijvingskosten]],""))</f>
        <v/>
      </c>
      <c r="AY878" t="str">
        <f>IF(ISNUMBER(FIND("overige",Methode_Keuze)),"",IF(Tb_Activiteiten[[#This Row],[Vergoeding]]=1,Tb_Activiteiten[[#Headers],[Vergoeding]],""))</f>
        <v/>
      </c>
      <c r="AZ878" t="str">
        <f>IF(ISNUMBER(FIND("arbeid",Methode_Keuze)),"",IF(Tb_Activiteiten[[#This Row],[Arbeidskosten - vast tarief (excl eigen arbeid)]]=1,Tb_Activiteiten[[#Headers],[Arbeidskosten - vast tarief (excl eigen arbeid)]],""))</f>
        <v/>
      </c>
      <c r="BA878" t="str">
        <f>IF(ISNUMBER(FIND("overige",Methode_Keuze)),"",IF(Tb_Activiteiten[[#This Row],[Overige kosten]]=1,Tb_Activiteiten[[#Headers],[Overige kosten]],""))</f>
        <v/>
      </c>
    </row>
    <row r="879" spans="1:53" x14ac:dyDescent="0.25">
      <c r="A879" s="231"/>
      <c r="F879" s="64"/>
      <c r="G879" s="64"/>
      <c r="H879" s="275"/>
      <c r="I879" s="275"/>
      <c r="J879" s="275"/>
      <c r="K879" s="275"/>
      <c r="O879" s="56"/>
      <c r="Q879" t="str">
        <f>IFERROR(IF(VLOOKUP(Tb_Activiteiten[[#This Row],[Openstelling]],Tb_Openstelling[],2,0)=1,1,""),"")</f>
        <v/>
      </c>
      <c r="AK879" t="str">
        <f>IF(ISNUMBER(FIND("arbeid",Methode_Keuze)),"",IF(ISNUMBER(FIND("arbeid",Methode_Keuze)),"",IF(Tb_Activiteiten[[#This Row],[Loonkosten]]=1,Tb_Activiteiten[[#Headers],[Loonkosten]],"")))</f>
        <v/>
      </c>
      <c r="AL879" t="str">
        <f>IF(ISNUMBER(FIND("arbeid",Methode_Keuze)),"",IF(ISNUMBER(FIND("arbeid",Methode_Keuze)),"",IF(Tb_Activiteiten[[#This Row],[Eigen arbeid]]=1,Tb_Activiteiten[[#Headers],[Eigen arbeid]],"")))</f>
        <v/>
      </c>
      <c r="AM879" t="str">
        <f>IF(ISNUMBER(FIND("arbeid",Methode_Keuze)),"",IF(ISNUMBER(FIND("arbeid",Methode_Keuze)),"",IF(Tb_Activiteiten[[#This Row],[Projectmedewerker]]=1,Tb_Activiteiten[[#Headers],[Projectmedewerker]],"")))</f>
        <v/>
      </c>
      <c r="AN879" t="str">
        <f>IF(ISNUMBER(FIND("arbeid",Methode_Keuze)),"",IF(ISNUMBER(FIND("arbeid",Methode_Keuze)),"",IF(Tb_Activiteiten[[#This Row],[Landbouwer]]=1,Tb_Activiteiten[[#Headers],[Landbouwer]],"")))</f>
        <v/>
      </c>
      <c r="AO879" t="str">
        <f>IF(ISNUMBER(FIND("arbeid",Methode_Keuze)),"",IF(ISNUMBER(FIND("arbeid",Methode_Keuze)),"",IF(Tb_Activiteiten[[#This Row],[Adviseur]]=1,Tb_Activiteiten[[#Headers],[Adviseur]],"")))</f>
        <v/>
      </c>
      <c r="AP879" t="str">
        <f>IF(ISNUMBER(FIND("arbeid",Methode_Keuze)),"",IF(ISNUMBER(FIND("arbeid",Methode_Keuze)),"",IF(Tb_Activiteiten[[#This Row],[Projectleider/Expert]]=1,Tb_Activiteiten[[#Headers],[Projectleider/Expert]],"")))</f>
        <v/>
      </c>
      <c r="AQ879" t="str">
        <f>IF(ISNUMBER(FIND("arbeid",Methode_Keuze)),"",IF(ISNUMBER(FIND("arbeid",Methode_Keuze)),"",IF(Tb_Activiteiten[[#This Row],[Arbeidskosten]]=1,Tb_Activiteiten[[#Headers],[Arbeidskosten]],"")))</f>
        <v/>
      </c>
      <c r="AR879" t="str">
        <f>IF(ISNUMBER(FIND("arbeid",Methode_Keuze)),"",IF(ISNUMBER(FIND("arbeid",Methode_Keuze)),"",IF(Tb_Activiteiten[[#This Row],[Arbeidskosten op basis van IKS]]=1,Tb_Activiteiten[[#Headers],[Arbeidskosten op basis van IKS]],"")))</f>
        <v/>
      </c>
      <c r="AS879" t="str">
        <f>IF(ISNUMBER(FIND("overige",Methode_Keuze)),"",IF(Tb_Activiteiten[[#This Row],[Kosten derden exclusief btw]]=1,Tb_Activiteiten[[#Headers],[Kosten derden exclusief btw]],""))</f>
        <v/>
      </c>
      <c r="AT879" t="str">
        <f>IF(ISNUMBER(FIND("overige",Methode_Keuze)),"",IF(Tb_Activiteiten[[#This Row],[Niet verrekenbare btw]]=1,Tb_Activiteiten[[#Headers],[Niet verrekenbare btw]],""))</f>
        <v/>
      </c>
      <c r="AU879" t="str">
        <f>IF(ISNUMBER(FIND("overige",Methode_Keuze)),"",IF(Tb_Activiteiten[[#This Row],[Grondkosten]]=1,Tb_Activiteiten[[#Headers],[Grondkosten]],""))</f>
        <v/>
      </c>
      <c r="AV879" t="str">
        <f>IF(ISNUMBER(FIND("overige",Methode_Keuze)),"",IF(Tb_Activiteiten[[#This Row],[Bijdrage in natura (overige)]]=1,Tb_Activiteiten[[#Headers],[Bijdrage in natura (overige)]],""))</f>
        <v/>
      </c>
      <c r="AW879" t="str">
        <f>IF(ISNUMBER(FIND("overige",Methode_Keuze)),"",IF(Tb_Activiteiten[[#This Row],[Bijdrage in natura (vrijwilligers)]]=1,Tb_Activiteiten[[#Headers],[Bijdrage in natura (vrijwilligers)]],""))</f>
        <v/>
      </c>
      <c r="AX879" t="str">
        <f>IF(ISNUMBER(FIND("overige",Methode_Keuze)),"",IF(Tb_Activiteiten[[#This Row],[Afschrijvingskosten]]=1,Tb_Activiteiten[[#Headers],[Afschrijvingskosten]],""))</f>
        <v/>
      </c>
      <c r="AY879" t="str">
        <f>IF(ISNUMBER(FIND("overige",Methode_Keuze)),"",IF(Tb_Activiteiten[[#This Row],[Vergoeding]]=1,Tb_Activiteiten[[#Headers],[Vergoeding]],""))</f>
        <v/>
      </c>
      <c r="AZ879" t="str">
        <f>IF(ISNUMBER(FIND("arbeid",Methode_Keuze)),"",IF(Tb_Activiteiten[[#This Row],[Arbeidskosten - vast tarief (excl eigen arbeid)]]=1,Tb_Activiteiten[[#Headers],[Arbeidskosten - vast tarief (excl eigen arbeid)]],""))</f>
        <v/>
      </c>
      <c r="BA879" t="str">
        <f>IF(ISNUMBER(FIND("overige",Methode_Keuze)),"",IF(Tb_Activiteiten[[#This Row],[Overige kosten]]=1,Tb_Activiteiten[[#Headers],[Overige kosten]],""))</f>
        <v/>
      </c>
    </row>
    <row r="880" spans="1:53" x14ac:dyDescent="0.25">
      <c r="A880" s="231"/>
      <c r="F880" s="64"/>
      <c r="G880" s="64"/>
      <c r="H880" s="275"/>
      <c r="I880" s="275"/>
      <c r="J880" s="275"/>
      <c r="K880" s="275"/>
      <c r="O880" s="56"/>
      <c r="Q880" t="str">
        <f>IFERROR(IF(VLOOKUP(Tb_Activiteiten[[#This Row],[Openstelling]],Tb_Openstelling[],2,0)=1,1,""),"")</f>
        <v/>
      </c>
      <c r="AK880" t="str">
        <f>IF(ISNUMBER(FIND("arbeid",Methode_Keuze)),"",IF(ISNUMBER(FIND("arbeid",Methode_Keuze)),"",IF(Tb_Activiteiten[[#This Row],[Loonkosten]]=1,Tb_Activiteiten[[#Headers],[Loonkosten]],"")))</f>
        <v/>
      </c>
      <c r="AL880" t="str">
        <f>IF(ISNUMBER(FIND("arbeid",Methode_Keuze)),"",IF(ISNUMBER(FIND("arbeid",Methode_Keuze)),"",IF(Tb_Activiteiten[[#This Row],[Eigen arbeid]]=1,Tb_Activiteiten[[#Headers],[Eigen arbeid]],"")))</f>
        <v/>
      </c>
      <c r="AM880" t="str">
        <f>IF(ISNUMBER(FIND("arbeid",Methode_Keuze)),"",IF(ISNUMBER(FIND("arbeid",Methode_Keuze)),"",IF(Tb_Activiteiten[[#This Row],[Projectmedewerker]]=1,Tb_Activiteiten[[#Headers],[Projectmedewerker]],"")))</f>
        <v/>
      </c>
      <c r="AN880" t="str">
        <f>IF(ISNUMBER(FIND("arbeid",Methode_Keuze)),"",IF(ISNUMBER(FIND("arbeid",Methode_Keuze)),"",IF(Tb_Activiteiten[[#This Row],[Landbouwer]]=1,Tb_Activiteiten[[#Headers],[Landbouwer]],"")))</f>
        <v/>
      </c>
      <c r="AO880" t="str">
        <f>IF(ISNUMBER(FIND("arbeid",Methode_Keuze)),"",IF(ISNUMBER(FIND("arbeid",Methode_Keuze)),"",IF(Tb_Activiteiten[[#This Row],[Adviseur]]=1,Tb_Activiteiten[[#Headers],[Adviseur]],"")))</f>
        <v/>
      </c>
      <c r="AP880" t="str">
        <f>IF(ISNUMBER(FIND("arbeid",Methode_Keuze)),"",IF(ISNUMBER(FIND("arbeid",Methode_Keuze)),"",IF(Tb_Activiteiten[[#This Row],[Projectleider/Expert]]=1,Tb_Activiteiten[[#Headers],[Projectleider/Expert]],"")))</f>
        <v/>
      </c>
      <c r="AQ880" t="str">
        <f>IF(ISNUMBER(FIND("arbeid",Methode_Keuze)),"",IF(ISNUMBER(FIND("arbeid",Methode_Keuze)),"",IF(Tb_Activiteiten[[#This Row],[Arbeidskosten]]=1,Tb_Activiteiten[[#Headers],[Arbeidskosten]],"")))</f>
        <v/>
      </c>
      <c r="AR880" t="str">
        <f>IF(ISNUMBER(FIND("arbeid",Methode_Keuze)),"",IF(ISNUMBER(FIND("arbeid",Methode_Keuze)),"",IF(Tb_Activiteiten[[#This Row],[Arbeidskosten op basis van IKS]]=1,Tb_Activiteiten[[#Headers],[Arbeidskosten op basis van IKS]],"")))</f>
        <v/>
      </c>
      <c r="AS880" t="str">
        <f>IF(ISNUMBER(FIND("overige",Methode_Keuze)),"",IF(Tb_Activiteiten[[#This Row],[Kosten derden exclusief btw]]=1,Tb_Activiteiten[[#Headers],[Kosten derden exclusief btw]],""))</f>
        <v/>
      </c>
      <c r="AT880" t="str">
        <f>IF(ISNUMBER(FIND("overige",Methode_Keuze)),"",IF(Tb_Activiteiten[[#This Row],[Niet verrekenbare btw]]=1,Tb_Activiteiten[[#Headers],[Niet verrekenbare btw]],""))</f>
        <v/>
      </c>
      <c r="AU880" t="str">
        <f>IF(ISNUMBER(FIND("overige",Methode_Keuze)),"",IF(Tb_Activiteiten[[#This Row],[Grondkosten]]=1,Tb_Activiteiten[[#Headers],[Grondkosten]],""))</f>
        <v/>
      </c>
      <c r="AV880" t="str">
        <f>IF(ISNUMBER(FIND("overige",Methode_Keuze)),"",IF(Tb_Activiteiten[[#This Row],[Bijdrage in natura (overige)]]=1,Tb_Activiteiten[[#Headers],[Bijdrage in natura (overige)]],""))</f>
        <v/>
      </c>
      <c r="AW880" t="str">
        <f>IF(ISNUMBER(FIND("overige",Methode_Keuze)),"",IF(Tb_Activiteiten[[#This Row],[Bijdrage in natura (vrijwilligers)]]=1,Tb_Activiteiten[[#Headers],[Bijdrage in natura (vrijwilligers)]],""))</f>
        <v/>
      </c>
      <c r="AX880" t="str">
        <f>IF(ISNUMBER(FIND("overige",Methode_Keuze)),"",IF(Tb_Activiteiten[[#This Row],[Afschrijvingskosten]]=1,Tb_Activiteiten[[#Headers],[Afschrijvingskosten]],""))</f>
        <v/>
      </c>
      <c r="AY880" t="str">
        <f>IF(ISNUMBER(FIND("overige",Methode_Keuze)),"",IF(Tb_Activiteiten[[#This Row],[Vergoeding]]=1,Tb_Activiteiten[[#Headers],[Vergoeding]],""))</f>
        <v/>
      </c>
      <c r="AZ880" t="str">
        <f>IF(ISNUMBER(FIND("arbeid",Methode_Keuze)),"",IF(Tb_Activiteiten[[#This Row],[Arbeidskosten - vast tarief (excl eigen arbeid)]]=1,Tb_Activiteiten[[#Headers],[Arbeidskosten - vast tarief (excl eigen arbeid)]],""))</f>
        <v/>
      </c>
      <c r="BA880" t="str">
        <f>IF(ISNUMBER(FIND("overige",Methode_Keuze)),"",IF(Tb_Activiteiten[[#This Row],[Overige kosten]]=1,Tb_Activiteiten[[#Headers],[Overige kosten]],""))</f>
        <v/>
      </c>
    </row>
    <row r="881" spans="1:53" x14ac:dyDescent="0.25">
      <c r="A881" s="231"/>
      <c r="F881" s="64"/>
      <c r="G881" s="64"/>
      <c r="H881" s="275"/>
      <c r="I881" s="275"/>
      <c r="J881" s="275"/>
      <c r="K881" s="275"/>
      <c r="O881" s="56"/>
      <c r="Q881" t="str">
        <f>IFERROR(IF(VLOOKUP(Tb_Activiteiten[[#This Row],[Openstelling]],Tb_Openstelling[],2,0)=1,1,""),"")</f>
        <v/>
      </c>
      <c r="AK881" t="str">
        <f>IF(ISNUMBER(FIND("arbeid",Methode_Keuze)),"",IF(ISNUMBER(FIND("arbeid",Methode_Keuze)),"",IF(Tb_Activiteiten[[#This Row],[Loonkosten]]=1,Tb_Activiteiten[[#Headers],[Loonkosten]],"")))</f>
        <v/>
      </c>
      <c r="AL881" t="str">
        <f>IF(ISNUMBER(FIND("arbeid",Methode_Keuze)),"",IF(ISNUMBER(FIND("arbeid",Methode_Keuze)),"",IF(Tb_Activiteiten[[#This Row],[Eigen arbeid]]=1,Tb_Activiteiten[[#Headers],[Eigen arbeid]],"")))</f>
        <v/>
      </c>
      <c r="AM881" t="str">
        <f>IF(ISNUMBER(FIND("arbeid",Methode_Keuze)),"",IF(ISNUMBER(FIND("arbeid",Methode_Keuze)),"",IF(Tb_Activiteiten[[#This Row],[Projectmedewerker]]=1,Tb_Activiteiten[[#Headers],[Projectmedewerker]],"")))</f>
        <v/>
      </c>
      <c r="AN881" t="str">
        <f>IF(ISNUMBER(FIND("arbeid",Methode_Keuze)),"",IF(ISNUMBER(FIND("arbeid",Methode_Keuze)),"",IF(Tb_Activiteiten[[#This Row],[Landbouwer]]=1,Tb_Activiteiten[[#Headers],[Landbouwer]],"")))</f>
        <v/>
      </c>
      <c r="AO881" t="str">
        <f>IF(ISNUMBER(FIND("arbeid",Methode_Keuze)),"",IF(ISNUMBER(FIND("arbeid",Methode_Keuze)),"",IF(Tb_Activiteiten[[#This Row],[Adviseur]]=1,Tb_Activiteiten[[#Headers],[Adviseur]],"")))</f>
        <v/>
      </c>
      <c r="AP881" t="str">
        <f>IF(ISNUMBER(FIND("arbeid",Methode_Keuze)),"",IF(ISNUMBER(FIND("arbeid",Methode_Keuze)),"",IF(Tb_Activiteiten[[#This Row],[Projectleider/Expert]]=1,Tb_Activiteiten[[#Headers],[Projectleider/Expert]],"")))</f>
        <v/>
      </c>
      <c r="AQ881" t="str">
        <f>IF(ISNUMBER(FIND("arbeid",Methode_Keuze)),"",IF(ISNUMBER(FIND("arbeid",Methode_Keuze)),"",IF(Tb_Activiteiten[[#This Row],[Arbeidskosten]]=1,Tb_Activiteiten[[#Headers],[Arbeidskosten]],"")))</f>
        <v/>
      </c>
      <c r="AR881" t="str">
        <f>IF(ISNUMBER(FIND("arbeid",Methode_Keuze)),"",IF(ISNUMBER(FIND("arbeid",Methode_Keuze)),"",IF(Tb_Activiteiten[[#This Row],[Arbeidskosten op basis van IKS]]=1,Tb_Activiteiten[[#Headers],[Arbeidskosten op basis van IKS]],"")))</f>
        <v/>
      </c>
      <c r="AS881" t="str">
        <f>IF(ISNUMBER(FIND("overige",Methode_Keuze)),"",IF(Tb_Activiteiten[[#This Row],[Kosten derden exclusief btw]]=1,Tb_Activiteiten[[#Headers],[Kosten derden exclusief btw]],""))</f>
        <v/>
      </c>
      <c r="AT881" t="str">
        <f>IF(ISNUMBER(FIND("overige",Methode_Keuze)),"",IF(Tb_Activiteiten[[#This Row],[Niet verrekenbare btw]]=1,Tb_Activiteiten[[#Headers],[Niet verrekenbare btw]],""))</f>
        <v/>
      </c>
      <c r="AU881" t="str">
        <f>IF(ISNUMBER(FIND("overige",Methode_Keuze)),"",IF(Tb_Activiteiten[[#This Row],[Grondkosten]]=1,Tb_Activiteiten[[#Headers],[Grondkosten]],""))</f>
        <v/>
      </c>
      <c r="AV881" t="str">
        <f>IF(ISNUMBER(FIND("overige",Methode_Keuze)),"",IF(Tb_Activiteiten[[#This Row],[Bijdrage in natura (overige)]]=1,Tb_Activiteiten[[#Headers],[Bijdrage in natura (overige)]],""))</f>
        <v/>
      </c>
      <c r="AW881" t="str">
        <f>IF(ISNUMBER(FIND("overige",Methode_Keuze)),"",IF(Tb_Activiteiten[[#This Row],[Bijdrage in natura (vrijwilligers)]]=1,Tb_Activiteiten[[#Headers],[Bijdrage in natura (vrijwilligers)]],""))</f>
        <v/>
      </c>
      <c r="AX881" t="str">
        <f>IF(ISNUMBER(FIND("overige",Methode_Keuze)),"",IF(Tb_Activiteiten[[#This Row],[Afschrijvingskosten]]=1,Tb_Activiteiten[[#Headers],[Afschrijvingskosten]],""))</f>
        <v/>
      </c>
      <c r="AY881" t="str">
        <f>IF(ISNUMBER(FIND("overige",Methode_Keuze)),"",IF(Tb_Activiteiten[[#This Row],[Vergoeding]]=1,Tb_Activiteiten[[#Headers],[Vergoeding]],""))</f>
        <v/>
      </c>
      <c r="AZ881" t="str">
        <f>IF(ISNUMBER(FIND("arbeid",Methode_Keuze)),"",IF(Tb_Activiteiten[[#This Row],[Arbeidskosten - vast tarief (excl eigen arbeid)]]=1,Tb_Activiteiten[[#Headers],[Arbeidskosten - vast tarief (excl eigen arbeid)]],""))</f>
        <v/>
      </c>
      <c r="BA881" t="str">
        <f>IF(ISNUMBER(FIND("overige",Methode_Keuze)),"",IF(Tb_Activiteiten[[#This Row],[Overige kosten]]=1,Tb_Activiteiten[[#Headers],[Overige kosten]],""))</f>
        <v/>
      </c>
    </row>
    <row r="882" spans="1:53" x14ac:dyDescent="0.25">
      <c r="A882" s="231"/>
      <c r="F882" s="64"/>
      <c r="G882" s="64"/>
      <c r="H882" s="275"/>
      <c r="I882" s="275"/>
      <c r="J882" s="275"/>
      <c r="K882" s="275"/>
      <c r="O882" s="56"/>
      <c r="Q882" t="str">
        <f>IFERROR(IF(VLOOKUP(Tb_Activiteiten[[#This Row],[Openstelling]],Tb_Openstelling[],2,0)=1,1,""),"")</f>
        <v/>
      </c>
      <c r="AK882" t="str">
        <f>IF(ISNUMBER(FIND("arbeid",Methode_Keuze)),"",IF(ISNUMBER(FIND("arbeid",Methode_Keuze)),"",IF(Tb_Activiteiten[[#This Row],[Loonkosten]]=1,Tb_Activiteiten[[#Headers],[Loonkosten]],"")))</f>
        <v/>
      </c>
      <c r="AL882" t="str">
        <f>IF(ISNUMBER(FIND("arbeid",Methode_Keuze)),"",IF(ISNUMBER(FIND("arbeid",Methode_Keuze)),"",IF(Tb_Activiteiten[[#This Row],[Eigen arbeid]]=1,Tb_Activiteiten[[#Headers],[Eigen arbeid]],"")))</f>
        <v/>
      </c>
      <c r="AM882" t="str">
        <f>IF(ISNUMBER(FIND("arbeid",Methode_Keuze)),"",IF(ISNUMBER(FIND("arbeid",Methode_Keuze)),"",IF(Tb_Activiteiten[[#This Row],[Projectmedewerker]]=1,Tb_Activiteiten[[#Headers],[Projectmedewerker]],"")))</f>
        <v/>
      </c>
      <c r="AN882" t="str">
        <f>IF(ISNUMBER(FIND("arbeid",Methode_Keuze)),"",IF(ISNUMBER(FIND("arbeid",Methode_Keuze)),"",IF(Tb_Activiteiten[[#This Row],[Landbouwer]]=1,Tb_Activiteiten[[#Headers],[Landbouwer]],"")))</f>
        <v/>
      </c>
      <c r="AO882" t="str">
        <f>IF(ISNUMBER(FIND("arbeid",Methode_Keuze)),"",IF(ISNUMBER(FIND("arbeid",Methode_Keuze)),"",IF(Tb_Activiteiten[[#This Row],[Adviseur]]=1,Tb_Activiteiten[[#Headers],[Adviseur]],"")))</f>
        <v/>
      </c>
      <c r="AP882" t="str">
        <f>IF(ISNUMBER(FIND("arbeid",Methode_Keuze)),"",IF(ISNUMBER(FIND("arbeid",Methode_Keuze)),"",IF(Tb_Activiteiten[[#This Row],[Projectleider/Expert]]=1,Tb_Activiteiten[[#Headers],[Projectleider/Expert]],"")))</f>
        <v/>
      </c>
      <c r="AQ882" t="str">
        <f>IF(ISNUMBER(FIND("arbeid",Methode_Keuze)),"",IF(ISNUMBER(FIND("arbeid",Methode_Keuze)),"",IF(Tb_Activiteiten[[#This Row],[Arbeidskosten]]=1,Tb_Activiteiten[[#Headers],[Arbeidskosten]],"")))</f>
        <v/>
      </c>
      <c r="AR882" t="str">
        <f>IF(ISNUMBER(FIND("arbeid",Methode_Keuze)),"",IF(ISNUMBER(FIND("arbeid",Methode_Keuze)),"",IF(Tb_Activiteiten[[#This Row],[Arbeidskosten op basis van IKS]]=1,Tb_Activiteiten[[#Headers],[Arbeidskosten op basis van IKS]],"")))</f>
        <v/>
      </c>
      <c r="AS882" t="str">
        <f>IF(ISNUMBER(FIND("overige",Methode_Keuze)),"",IF(Tb_Activiteiten[[#This Row],[Kosten derden exclusief btw]]=1,Tb_Activiteiten[[#Headers],[Kosten derden exclusief btw]],""))</f>
        <v/>
      </c>
      <c r="AT882" t="str">
        <f>IF(ISNUMBER(FIND("overige",Methode_Keuze)),"",IF(Tb_Activiteiten[[#This Row],[Niet verrekenbare btw]]=1,Tb_Activiteiten[[#Headers],[Niet verrekenbare btw]],""))</f>
        <v/>
      </c>
      <c r="AU882" t="str">
        <f>IF(ISNUMBER(FIND("overige",Methode_Keuze)),"",IF(Tb_Activiteiten[[#This Row],[Grondkosten]]=1,Tb_Activiteiten[[#Headers],[Grondkosten]],""))</f>
        <v/>
      </c>
      <c r="AV882" t="str">
        <f>IF(ISNUMBER(FIND("overige",Methode_Keuze)),"",IF(Tb_Activiteiten[[#This Row],[Bijdrage in natura (overige)]]=1,Tb_Activiteiten[[#Headers],[Bijdrage in natura (overige)]],""))</f>
        <v/>
      </c>
      <c r="AW882" t="str">
        <f>IF(ISNUMBER(FIND("overige",Methode_Keuze)),"",IF(Tb_Activiteiten[[#This Row],[Bijdrage in natura (vrijwilligers)]]=1,Tb_Activiteiten[[#Headers],[Bijdrage in natura (vrijwilligers)]],""))</f>
        <v/>
      </c>
      <c r="AX882" t="str">
        <f>IF(ISNUMBER(FIND("overige",Methode_Keuze)),"",IF(Tb_Activiteiten[[#This Row],[Afschrijvingskosten]]=1,Tb_Activiteiten[[#Headers],[Afschrijvingskosten]],""))</f>
        <v/>
      </c>
      <c r="AY882" t="str">
        <f>IF(ISNUMBER(FIND("overige",Methode_Keuze)),"",IF(Tb_Activiteiten[[#This Row],[Vergoeding]]=1,Tb_Activiteiten[[#Headers],[Vergoeding]],""))</f>
        <v/>
      </c>
      <c r="AZ882" t="str">
        <f>IF(ISNUMBER(FIND("arbeid",Methode_Keuze)),"",IF(Tb_Activiteiten[[#This Row],[Arbeidskosten - vast tarief (excl eigen arbeid)]]=1,Tb_Activiteiten[[#Headers],[Arbeidskosten - vast tarief (excl eigen arbeid)]],""))</f>
        <v/>
      </c>
      <c r="BA882" t="str">
        <f>IF(ISNUMBER(FIND("overige",Methode_Keuze)),"",IF(Tb_Activiteiten[[#This Row],[Overige kosten]]=1,Tb_Activiteiten[[#Headers],[Overige kosten]],""))</f>
        <v/>
      </c>
    </row>
    <row r="883" spans="1:53" x14ac:dyDescent="0.25">
      <c r="A883" s="231"/>
      <c r="F883" s="64"/>
      <c r="G883" s="64"/>
      <c r="H883" s="275"/>
      <c r="I883" s="275"/>
      <c r="J883" s="275"/>
      <c r="K883" s="275"/>
      <c r="O883" s="56"/>
      <c r="Q883" t="str">
        <f>IFERROR(IF(VLOOKUP(Tb_Activiteiten[[#This Row],[Openstelling]],Tb_Openstelling[],2,0)=1,1,""),"")</f>
        <v/>
      </c>
      <c r="AK883" t="str">
        <f>IF(ISNUMBER(FIND("arbeid",Methode_Keuze)),"",IF(ISNUMBER(FIND("arbeid",Methode_Keuze)),"",IF(Tb_Activiteiten[[#This Row],[Loonkosten]]=1,Tb_Activiteiten[[#Headers],[Loonkosten]],"")))</f>
        <v/>
      </c>
      <c r="AL883" t="str">
        <f>IF(ISNUMBER(FIND("arbeid",Methode_Keuze)),"",IF(ISNUMBER(FIND("arbeid",Methode_Keuze)),"",IF(Tb_Activiteiten[[#This Row],[Eigen arbeid]]=1,Tb_Activiteiten[[#Headers],[Eigen arbeid]],"")))</f>
        <v/>
      </c>
      <c r="AM883" t="str">
        <f>IF(ISNUMBER(FIND("arbeid",Methode_Keuze)),"",IF(ISNUMBER(FIND("arbeid",Methode_Keuze)),"",IF(Tb_Activiteiten[[#This Row],[Projectmedewerker]]=1,Tb_Activiteiten[[#Headers],[Projectmedewerker]],"")))</f>
        <v/>
      </c>
      <c r="AN883" t="str">
        <f>IF(ISNUMBER(FIND("arbeid",Methode_Keuze)),"",IF(ISNUMBER(FIND("arbeid",Methode_Keuze)),"",IF(Tb_Activiteiten[[#This Row],[Landbouwer]]=1,Tb_Activiteiten[[#Headers],[Landbouwer]],"")))</f>
        <v/>
      </c>
      <c r="AO883" t="str">
        <f>IF(ISNUMBER(FIND("arbeid",Methode_Keuze)),"",IF(ISNUMBER(FIND("arbeid",Methode_Keuze)),"",IF(Tb_Activiteiten[[#This Row],[Adviseur]]=1,Tb_Activiteiten[[#Headers],[Adviseur]],"")))</f>
        <v/>
      </c>
      <c r="AP883" t="str">
        <f>IF(ISNUMBER(FIND("arbeid",Methode_Keuze)),"",IF(ISNUMBER(FIND("arbeid",Methode_Keuze)),"",IF(Tb_Activiteiten[[#This Row],[Projectleider/Expert]]=1,Tb_Activiteiten[[#Headers],[Projectleider/Expert]],"")))</f>
        <v/>
      </c>
      <c r="AQ883" t="str">
        <f>IF(ISNUMBER(FIND("arbeid",Methode_Keuze)),"",IF(ISNUMBER(FIND("arbeid",Methode_Keuze)),"",IF(Tb_Activiteiten[[#This Row],[Arbeidskosten]]=1,Tb_Activiteiten[[#Headers],[Arbeidskosten]],"")))</f>
        <v/>
      </c>
      <c r="AR883" t="str">
        <f>IF(ISNUMBER(FIND("arbeid",Methode_Keuze)),"",IF(ISNUMBER(FIND("arbeid",Methode_Keuze)),"",IF(Tb_Activiteiten[[#This Row],[Arbeidskosten op basis van IKS]]=1,Tb_Activiteiten[[#Headers],[Arbeidskosten op basis van IKS]],"")))</f>
        <v/>
      </c>
      <c r="AS883" t="str">
        <f>IF(ISNUMBER(FIND("overige",Methode_Keuze)),"",IF(Tb_Activiteiten[[#This Row],[Kosten derden exclusief btw]]=1,Tb_Activiteiten[[#Headers],[Kosten derden exclusief btw]],""))</f>
        <v/>
      </c>
      <c r="AT883" t="str">
        <f>IF(ISNUMBER(FIND("overige",Methode_Keuze)),"",IF(Tb_Activiteiten[[#This Row],[Niet verrekenbare btw]]=1,Tb_Activiteiten[[#Headers],[Niet verrekenbare btw]],""))</f>
        <v/>
      </c>
      <c r="AU883" t="str">
        <f>IF(ISNUMBER(FIND("overige",Methode_Keuze)),"",IF(Tb_Activiteiten[[#This Row],[Grondkosten]]=1,Tb_Activiteiten[[#Headers],[Grondkosten]],""))</f>
        <v/>
      </c>
      <c r="AV883" t="str">
        <f>IF(ISNUMBER(FIND("overige",Methode_Keuze)),"",IF(Tb_Activiteiten[[#This Row],[Bijdrage in natura (overige)]]=1,Tb_Activiteiten[[#Headers],[Bijdrage in natura (overige)]],""))</f>
        <v/>
      </c>
      <c r="AW883" t="str">
        <f>IF(ISNUMBER(FIND("overige",Methode_Keuze)),"",IF(Tb_Activiteiten[[#This Row],[Bijdrage in natura (vrijwilligers)]]=1,Tb_Activiteiten[[#Headers],[Bijdrage in natura (vrijwilligers)]],""))</f>
        <v/>
      </c>
      <c r="AX883" t="str">
        <f>IF(ISNUMBER(FIND("overige",Methode_Keuze)),"",IF(Tb_Activiteiten[[#This Row],[Afschrijvingskosten]]=1,Tb_Activiteiten[[#Headers],[Afschrijvingskosten]],""))</f>
        <v/>
      </c>
      <c r="AY883" t="str">
        <f>IF(ISNUMBER(FIND("overige",Methode_Keuze)),"",IF(Tb_Activiteiten[[#This Row],[Vergoeding]]=1,Tb_Activiteiten[[#Headers],[Vergoeding]],""))</f>
        <v/>
      </c>
      <c r="AZ883" t="str">
        <f>IF(ISNUMBER(FIND("arbeid",Methode_Keuze)),"",IF(Tb_Activiteiten[[#This Row],[Arbeidskosten - vast tarief (excl eigen arbeid)]]=1,Tb_Activiteiten[[#Headers],[Arbeidskosten - vast tarief (excl eigen arbeid)]],""))</f>
        <v/>
      </c>
      <c r="BA883" t="str">
        <f>IF(ISNUMBER(FIND("overige",Methode_Keuze)),"",IF(Tb_Activiteiten[[#This Row],[Overige kosten]]=1,Tb_Activiteiten[[#Headers],[Overige kosten]],""))</f>
        <v/>
      </c>
    </row>
    <row r="884" spans="1:53" x14ac:dyDescent="0.25">
      <c r="A884" s="231"/>
      <c r="F884" s="64"/>
      <c r="G884" s="64"/>
      <c r="H884" s="275"/>
      <c r="I884" s="275"/>
      <c r="J884" s="275"/>
      <c r="K884" s="275"/>
      <c r="O884" s="56"/>
      <c r="Q884" t="str">
        <f>IFERROR(IF(VLOOKUP(Tb_Activiteiten[[#This Row],[Openstelling]],Tb_Openstelling[],2,0)=1,1,""),"")</f>
        <v/>
      </c>
      <c r="AK884" t="str">
        <f>IF(ISNUMBER(FIND("arbeid",Methode_Keuze)),"",IF(ISNUMBER(FIND("arbeid",Methode_Keuze)),"",IF(Tb_Activiteiten[[#This Row],[Loonkosten]]=1,Tb_Activiteiten[[#Headers],[Loonkosten]],"")))</f>
        <v/>
      </c>
      <c r="AL884" t="str">
        <f>IF(ISNUMBER(FIND("arbeid",Methode_Keuze)),"",IF(ISNUMBER(FIND("arbeid",Methode_Keuze)),"",IF(Tb_Activiteiten[[#This Row],[Eigen arbeid]]=1,Tb_Activiteiten[[#Headers],[Eigen arbeid]],"")))</f>
        <v/>
      </c>
      <c r="AM884" t="str">
        <f>IF(ISNUMBER(FIND("arbeid",Methode_Keuze)),"",IF(ISNUMBER(FIND("arbeid",Methode_Keuze)),"",IF(Tb_Activiteiten[[#This Row],[Projectmedewerker]]=1,Tb_Activiteiten[[#Headers],[Projectmedewerker]],"")))</f>
        <v/>
      </c>
      <c r="AN884" t="str">
        <f>IF(ISNUMBER(FIND("arbeid",Methode_Keuze)),"",IF(ISNUMBER(FIND("arbeid",Methode_Keuze)),"",IF(Tb_Activiteiten[[#This Row],[Landbouwer]]=1,Tb_Activiteiten[[#Headers],[Landbouwer]],"")))</f>
        <v/>
      </c>
      <c r="AO884" t="str">
        <f>IF(ISNUMBER(FIND("arbeid",Methode_Keuze)),"",IF(ISNUMBER(FIND("arbeid",Methode_Keuze)),"",IF(Tb_Activiteiten[[#This Row],[Adviseur]]=1,Tb_Activiteiten[[#Headers],[Adviseur]],"")))</f>
        <v/>
      </c>
      <c r="AP884" t="str">
        <f>IF(ISNUMBER(FIND("arbeid",Methode_Keuze)),"",IF(ISNUMBER(FIND("arbeid",Methode_Keuze)),"",IF(Tb_Activiteiten[[#This Row],[Projectleider/Expert]]=1,Tb_Activiteiten[[#Headers],[Projectleider/Expert]],"")))</f>
        <v/>
      </c>
      <c r="AQ884" t="str">
        <f>IF(ISNUMBER(FIND("arbeid",Methode_Keuze)),"",IF(ISNUMBER(FIND("arbeid",Methode_Keuze)),"",IF(Tb_Activiteiten[[#This Row],[Arbeidskosten]]=1,Tb_Activiteiten[[#Headers],[Arbeidskosten]],"")))</f>
        <v/>
      </c>
      <c r="AR884" t="str">
        <f>IF(ISNUMBER(FIND("arbeid",Methode_Keuze)),"",IF(ISNUMBER(FIND("arbeid",Methode_Keuze)),"",IF(Tb_Activiteiten[[#This Row],[Arbeidskosten op basis van IKS]]=1,Tb_Activiteiten[[#Headers],[Arbeidskosten op basis van IKS]],"")))</f>
        <v/>
      </c>
      <c r="AS884" t="str">
        <f>IF(ISNUMBER(FIND("overige",Methode_Keuze)),"",IF(Tb_Activiteiten[[#This Row],[Kosten derden exclusief btw]]=1,Tb_Activiteiten[[#Headers],[Kosten derden exclusief btw]],""))</f>
        <v/>
      </c>
      <c r="AT884" t="str">
        <f>IF(ISNUMBER(FIND("overige",Methode_Keuze)),"",IF(Tb_Activiteiten[[#This Row],[Niet verrekenbare btw]]=1,Tb_Activiteiten[[#Headers],[Niet verrekenbare btw]],""))</f>
        <v/>
      </c>
      <c r="AU884" t="str">
        <f>IF(ISNUMBER(FIND("overige",Methode_Keuze)),"",IF(Tb_Activiteiten[[#This Row],[Grondkosten]]=1,Tb_Activiteiten[[#Headers],[Grondkosten]],""))</f>
        <v/>
      </c>
      <c r="AV884" t="str">
        <f>IF(ISNUMBER(FIND("overige",Methode_Keuze)),"",IF(Tb_Activiteiten[[#This Row],[Bijdrage in natura (overige)]]=1,Tb_Activiteiten[[#Headers],[Bijdrage in natura (overige)]],""))</f>
        <v/>
      </c>
      <c r="AW884" t="str">
        <f>IF(ISNUMBER(FIND("overige",Methode_Keuze)),"",IF(Tb_Activiteiten[[#This Row],[Bijdrage in natura (vrijwilligers)]]=1,Tb_Activiteiten[[#Headers],[Bijdrage in natura (vrijwilligers)]],""))</f>
        <v/>
      </c>
      <c r="AX884" t="str">
        <f>IF(ISNUMBER(FIND("overige",Methode_Keuze)),"",IF(Tb_Activiteiten[[#This Row],[Afschrijvingskosten]]=1,Tb_Activiteiten[[#Headers],[Afschrijvingskosten]],""))</f>
        <v/>
      </c>
      <c r="AY884" t="str">
        <f>IF(ISNUMBER(FIND("overige",Methode_Keuze)),"",IF(Tb_Activiteiten[[#This Row],[Vergoeding]]=1,Tb_Activiteiten[[#Headers],[Vergoeding]],""))</f>
        <v/>
      </c>
      <c r="AZ884" t="str">
        <f>IF(ISNUMBER(FIND("arbeid",Methode_Keuze)),"",IF(Tb_Activiteiten[[#This Row],[Arbeidskosten - vast tarief (excl eigen arbeid)]]=1,Tb_Activiteiten[[#Headers],[Arbeidskosten - vast tarief (excl eigen arbeid)]],""))</f>
        <v/>
      </c>
      <c r="BA884" t="str">
        <f>IF(ISNUMBER(FIND("overige",Methode_Keuze)),"",IF(Tb_Activiteiten[[#This Row],[Overige kosten]]=1,Tb_Activiteiten[[#Headers],[Overige kosten]],""))</f>
        <v/>
      </c>
    </row>
    <row r="885" spans="1:53" x14ac:dyDescent="0.25">
      <c r="A885" s="231"/>
      <c r="F885" s="64"/>
      <c r="G885" s="64"/>
      <c r="H885" s="275"/>
      <c r="I885" s="275"/>
      <c r="J885" s="275"/>
      <c r="K885" s="275"/>
      <c r="O885" s="56"/>
      <c r="Q885" t="str">
        <f>IFERROR(IF(VLOOKUP(Tb_Activiteiten[[#This Row],[Openstelling]],Tb_Openstelling[],2,0)=1,1,""),"")</f>
        <v/>
      </c>
      <c r="AK885" t="str">
        <f>IF(ISNUMBER(FIND("arbeid",Methode_Keuze)),"",IF(ISNUMBER(FIND("arbeid",Methode_Keuze)),"",IF(Tb_Activiteiten[[#This Row],[Loonkosten]]=1,Tb_Activiteiten[[#Headers],[Loonkosten]],"")))</f>
        <v/>
      </c>
      <c r="AL885" t="str">
        <f>IF(ISNUMBER(FIND("arbeid",Methode_Keuze)),"",IF(ISNUMBER(FIND("arbeid",Methode_Keuze)),"",IF(Tb_Activiteiten[[#This Row],[Eigen arbeid]]=1,Tb_Activiteiten[[#Headers],[Eigen arbeid]],"")))</f>
        <v/>
      </c>
      <c r="AM885" t="str">
        <f>IF(ISNUMBER(FIND("arbeid",Methode_Keuze)),"",IF(ISNUMBER(FIND("arbeid",Methode_Keuze)),"",IF(Tb_Activiteiten[[#This Row],[Projectmedewerker]]=1,Tb_Activiteiten[[#Headers],[Projectmedewerker]],"")))</f>
        <v/>
      </c>
      <c r="AN885" t="str">
        <f>IF(ISNUMBER(FIND("arbeid",Methode_Keuze)),"",IF(ISNUMBER(FIND("arbeid",Methode_Keuze)),"",IF(Tb_Activiteiten[[#This Row],[Landbouwer]]=1,Tb_Activiteiten[[#Headers],[Landbouwer]],"")))</f>
        <v/>
      </c>
      <c r="AO885" t="str">
        <f>IF(ISNUMBER(FIND("arbeid",Methode_Keuze)),"",IF(ISNUMBER(FIND("arbeid",Methode_Keuze)),"",IF(Tb_Activiteiten[[#This Row],[Adviseur]]=1,Tb_Activiteiten[[#Headers],[Adviseur]],"")))</f>
        <v/>
      </c>
      <c r="AP885" t="str">
        <f>IF(ISNUMBER(FIND("arbeid",Methode_Keuze)),"",IF(ISNUMBER(FIND("arbeid",Methode_Keuze)),"",IF(Tb_Activiteiten[[#This Row],[Projectleider/Expert]]=1,Tb_Activiteiten[[#Headers],[Projectleider/Expert]],"")))</f>
        <v/>
      </c>
      <c r="AQ885" t="str">
        <f>IF(ISNUMBER(FIND("arbeid",Methode_Keuze)),"",IF(ISNUMBER(FIND("arbeid",Methode_Keuze)),"",IF(Tb_Activiteiten[[#This Row],[Arbeidskosten]]=1,Tb_Activiteiten[[#Headers],[Arbeidskosten]],"")))</f>
        <v/>
      </c>
      <c r="AR885" t="str">
        <f>IF(ISNUMBER(FIND("arbeid",Methode_Keuze)),"",IF(ISNUMBER(FIND("arbeid",Methode_Keuze)),"",IF(Tb_Activiteiten[[#This Row],[Arbeidskosten op basis van IKS]]=1,Tb_Activiteiten[[#Headers],[Arbeidskosten op basis van IKS]],"")))</f>
        <v/>
      </c>
      <c r="AS885" t="str">
        <f>IF(ISNUMBER(FIND("overige",Methode_Keuze)),"",IF(Tb_Activiteiten[[#This Row],[Kosten derden exclusief btw]]=1,Tb_Activiteiten[[#Headers],[Kosten derden exclusief btw]],""))</f>
        <v/>
      </c>
      <c r="AT885" t="str">
        <f>IF(ISNUMBER(FIND("overige",Methode_Keuze)),"",IF(Tb_Activiteiten[[#This Row],[Niet verrekenbare btw]]=1,Tb_Activiteiten[[#Headers],[Niet verrekenbare btw]],""))</f>
        <v/>
      </c>
      <c r="AU885" t="str">
        <f>IF(ISNUMBER(FIND("overige",Methode_Keuze)),"",IF(Tb_Activiteiten[[#This Row],[Grondkosten]]=1,Tb_Activiteiten[[#Headers],[Grondkosten]],""))</f>
        <v/>
      </c>
      <c r="AV885" t="str">
        <f>IF(ISNUMBER(FIND("overige",Methode_Keuze)),"",IF(Tb_Activiteiten[[#This Row],[Bijdrage in natura (overige)]]=1,Tb_Activiteiten[[#Headers],[Bijdrage in natura (overige)]],""))</f>
        <v/>
      </c>
      <c r="AW885" t="str">
        <f>IF(ISNUMBER(FIND("overige",Methode_Keuze)),"",IF(Tb_Activiteiten[[#This Row],[Bijdrage in natura (vrijwilligers)]]=1,Tb_Activiteiten[[#Headers],[Bijdrage in natura (vrijwilligers)]],""))</f>
        <v/>
      </c>
      <c r="AX885" t="str">
        <f>IF(ISNUMBER(FIND("overige",Methode_Keuze)),"",IF(Tb_Activiteiten[[#This Row],[Afschrijvingskosten]]=1,Tb_Activiteiten[[#Headers],[Afschrijvingskosten]],""))</f>
        <v/>
      </c>
      <c r="AY885" t="str">
        <f>IF(ISNUMBER(FIND("overige",Methode_Keuze)),"",IF(Tb_Activiteiten[[#This Row],[Vergoeding]]=1,Tb_Activiteiten[[#Headers],[Vergoeding]],""))</f>
        <v/>
      </c>
      <c r="AZ885" t="str">
        <f>IF(ISNUMBER(FIND("arbeid",Methode_Keuze)),"",IF(Tb_Activiteiten[[#This Row],[Arbeidskosten - vast tarief (excl eigen arbeid)]]=1,Tb_Activiteiten[[#Headers],[Arbeidskosten - vast tarief (excl eigen arbeid)]],""))</f>
        <v/>
      </c>
      <c r="BA885" t="str">
        <f>IF(ISNUMBER(FIND("overige",Methode_Keuze)),"",IF(Tb_Activiteiten[[#This Row],[Overige kosten]]=1,Tb_Activiteiten[[#Headers],[Overige kosten]],""))</f>
        <v/>
      </c>
    </row>
    <row r="886" spans="1:53" x14ac:dyDescent="0.25">
      <c r="A886" s="231"/>
      <c r="F886" s="64"/>
      <c r="G886" s="64"/>
      <c r="H886" s="275"/>
      <c r="I886" s="275"/>
      <c r="J886" s="275"/>
      <c r="K886" s="275"/>
      <c r="O886" s="56"/>
      <c r="Q886" t="str">
        <f>IFERROR(IF(VLOOKUP(Tb_Activiteiten[[#This Row],[Openstelling]],Tb_Openstelling[],2,0)=1,1,""),"")</f>
        <v/>
      </c>
      <c r="AK886" t="str">
        <f>IF(ISNUMBER(FIND("arbeid",Methode_Keuze)),"",IF(ISNUMBER(FIND("arbeid",Methode_Keuze)),"",IF(Tb_Activiteiten[[#This Row],[Loonkosten]]=1,Tb_Activiteiten[[#Headers],[Loonkosten]],"")))</f>
        <v/>
      </c>
      <c r="AL886" t="str">
        <f>IF(ISNUMBER(FIND("arbeid",Methode_Keuze)),"",IF(ISNUMBER(FIND("arbeid",Methode_Keuze)),"",IF(Tb_Activiteiten[[#This Row],[Eigen arbeid]]=1,Tb_Activiteiten[[#Headers],[Eigen arbeid]],"")))</f>
        <v/>
      </c>
      <c r="AM886" t="str">
        <f>IF(ISNUMBER(FIND("arbeid",Methode_Keuze)),"",IF(ISNUMBER(FIND("arbeid",Methode_Keuze)),"",IF(Tb_Activiteiten[[#This Row],[Projectmedewerker]]=1,Tb_Activiteiten[[#Headers],[Projectmedewerker]],"")))</f>
        <v/>
      </c>
      <c r="AN886" t="str">
        <f>IF(ISNUMBER(FIND("arbeid",Methode_Keuze)),"",IF(ISNUMBER(FIND("arbeid",Methode_Keuze)),"",IF(Tb_Activiteiten[[#This Row],[Landbouwer]]=1,Tb_Activiteiten[[#Headers],[Landbouwer]],"")))</f>
        <v/>
      </c>
      <c r="AO886" t="str">
        <f>IF(ISNUMBER(FIND("arbeid",Methode_Keuze)),"",IF(ISNUMBER(FIND("arbeid",Methode_Keuze)),"",IF(Tb_Activiteiten[[#This Row],[Adviseur]]=1,Tb_Activiteiten[[#Headers],[Adviseur]],"")))</f>
        <v/>
      </c>
      <c r="AP886" t="str">
        <f>IF(ISNUMBER(FIND("arbeid",Methode_Keuze)),"",IF(ISNUMBER(FIND("arbeid",Methode_Keuze)),"",IF(Tb_Activiteiten[[#This Row],[Projectleider/Expert]]=1,Tb_Activiteiten[[#Headers],[Projectleider/Expert]],"")))</f>
        <v/>
      </c>
      <c r="AQ886" t="str">
        <f>IF(ISNUMBER(FIND("arbeid",Methode_Keuze)),"",IF(ISNUMBER(FIND("arbeid",Methode_Keuze)),"",IF(Tb_Activiteiten[[#This Row],[Arbeidskosten]]=1,Tb_Activiteiten[[#Headers],[Arbeidskosten]],"")))</f>
        <v/>
      </c>
      <c r="AR886" t="str">
        <f>IF(ISNUMBER(FIND("arbeid",Methode_Keuze)),"",IF(ISNUMBER(FIND("arbeid",Methode_Keuze)),"",IF(Tb_Activiteiten[[#This Row],[Arbeidskosten op basis van IKS]]=1,Tb_Activiteiten[[#Headers],[Arbeidskosten op basis van IKS]],"")))</f>
        <v/>
      </c>
      <c r="AS886" t="str">
        <f>IF(ISNUMBER(FIND("overige",Methode_Keuze)),"",IF(Tb_Activiteiten[[#This Row],[Kosten derden exclusief btw]]=1,Tb_Activiteiten[[#Headers],[Kosten derden exclusief btw]],""))</f>
        <v/>
      </c>
      <c r="AT886" t="str">
        <f>IF(ISNUMBER(FIND("overige",Methode_Keuze)),"",IF(Tb_Activiteiten[[#This Row],[Niet verrekenbare btw]]=1,Tb_Activiteiten[[#Headers],[Niet verrekenbare btw]],""))</f>
        <v/>
      </c>
      <c r="AU886" t="str">
        <f>IF(ISNUMBER(FIND("overige",Methode_Keuze)),"",IF(Tb_Activiteiten[[#This Row],[Grondkosten]]=1,Tb_Activiteiten[[#Headers],[Grondkosten]],""))</f>
        <v/>
      </c>
      <c r="AV886" t="str">
        <f>IF(ISNUMBER(FIND("overige",Methode_Keuze)),"",IF(Tb_Activiteiten[[#This Row],[Bijdrage in natura (overige)]]=1,Tb_Activiteiten[[#Headers],[Bijdrage in natura (overige)]],""))</f>
        <v/>
      </c>
      <c r="AW886" t="str">
        <f>IF(ISNUMBER(FIND("overige",Methode_Keuze)),"",IF(Tb_Activiteiten[[#This Row],[Bijdrage in natura (vrijwilligers)]]=1,Tb_Activiteiten[[#Headers],[Bijdrage in natura (vrijwilligers)]],""))</f>
        <v/>
      </c>
      <c r="AX886" t="str">
        <f>IF(ISNUMBER(FIND("overige",Methode_Keuze)),"",IF(Tb_Activiteiten[[#This Row],[Afschrijvingskosten]]=1,Tb_Activiteiten[[#Headers],[Afschrijvingskosten]],""))</f>
        <v/>
      </c>
      <c r="AY886" t="str">
        <f>IF(ISNUMBER(FIND("overige",Methode_Keuze)),"",IF(Tb_Activiteiten[[#This Row],[Vergoeding]]=1,Tb_Activiteiten[[#Headers],[Vergoeding]],""))</f>
        <v/>
      </c>
      <c r="AZ886" t="str">
        <f>IF(ISNUMBER(FIND("arbeid",Methode_Keuze)),"",IF(Tb_Activiteiten[[#This Row],[Arbeidskosten - vast tarief (excl eigen arbeid)]]=1,Tb_Activiteiten[[#Headers],[Arbeidskosten - vast tarief (excl eigen arbeid)]],""))</f>
        <v/>
      </c>
      <c r="BA886" t="str">
        <f>IF(ISNUMBER(FIND("overige",Methode_Keuze)),"",IF(Tb_Activiteiten[[#This Row],[Overige kosten]]=1,Tb_Activiteiten[[#Headers],[Overige kosten]],""))</f>
        <v/>
      </c>
    </row>
    <row r="887" spans="1:53" x14ac:dyDescent="0.25">
      <c r="A887" s="231"/>
      <c r="F887" s="64"/>
      <c r="G887" s="64"/>
      <c r="H887" s="275"/>
      <c r="I887" s="275"/>
      <c r="J887" s="275"/>
      <c r="K887" s="275"/>
      <c r="O887" s="56"/>
      <c r="Q887" t="str">
        <f>IFERROR(IF(VLOOKUP(Tb_Activiteiten[[#This Row],[Openstelling]],Tb_Openstelling[],2,0)=1,1,""),"")</f>
        <v/>
      </c>
      <c r="AK887" t="str">
        <f>IF(ISNUMBER(FIND("arbeid",Methode_Keuze)),"",IF(ISNUMBER(FIND("arbeid",Methode_Keuze)),"",IF(Tb_Activiteiten[[#This Row],[Loonkosten]]=1,Tb_Activiteiten[[#Headers],[Loonkosten]],"")))</f>
        <v/>
      </c>
      <c r="AL887" t="str">
        <f>IF(ISNUMBER(FIND("arbeid",Methode_Keuze)),"",IF(ISNUMBER(FIND("arbeid",Methode_Keuze)),"",IF(Tb_Activiteiten[[#This Row],[Eigen arbeid]]=1,Tb_Activiteiten[[#Headers],[Eigen arbeid]],"")))</f>
        <v/>
      </c>
      <c r="AM887" t="str">
        <f>IF(ISNUMBER(FIND("arbeid",Methode_Keuze)),"",IF(ISNUMBER(FIND("arbeid",Methode_Keuze)),"",IF(Tb_Activiteiten[[#This Row],[Projectmedewerker]]=1,Tb_Activiteiten[[#Headers],[Projectmedewerker]],"")))</f>
        <v/>
      </c>
      <c r="AN887" t="str">
        <f>IF(ISNUMBER(FIND("arbeid",Methode_Keuze)),"",IF(ISNUMBER(FIND("arbeid",Methode_Keuze)),"",IF(Tb_Activiteiten[[#This Row],[Landbouwer]]=1,Tb_Activiteiten[[#Headers],[Landbouwer]],"")))</f>
        <v/>
      </c>
      <c r="AO887" t="str">
        <f>IF(ISNUMBER(FIND("arbeid",Methode_Keuze)),"",IF(ISNUMBER(FIND("arbeid",Methode_Keuze)),"",IF(Tb_Activiteiten[[#This Row],[Adviseur]]=1,Tb_Activiteiten[[#Headers],[Adviseur]],"")))</f>
        <v/>
      </c>
      <c r="AP887" t="str">
        <f>IF(ISNUMBER(FIND("arbeid",Methode_Keuze)),"",IF(ISNUMBER(FIND("arbeid",Methode_Keuze)),"",IF(Tb_Activiteiten[[#This Row],[Projectleider/Expert]]=1,Tb_Activiteiten[[#Headers],[Projectleider/Expert]],"")))</f>
        <v/>
      </c>
      <c r="AQ887" t="str">
        <f>IF(ISNUMBER(FIND("arbeid",Methode_Keuze)),"",IF(ISNUMBER(FIND("arbeid",Methode_Keuze)),"",IF(Tb_Activiteiten[[#This Row],[Arbeidskosten]]=1,Tb_Activiteiten[[#Headers],[Arbeidskosten]],"")))</f>
        <v/>
      </c>
      <c r="AR887" t="str">
        <f>IF(ISNUMBER(FIND("arbeid",Methode_Keuze)),"",IF(ISNUMBER(FIND("arbeid",Methode_Keuze)),"",IF(Tb_Activiteiten[[#This Row],[Arbeidskosten op basis van IKS]]=1,Tb_Activiteiten[[#Headers],[Arbeidskosten op basis van IKS]],"")))</f>
        <v/>
      </c>
      <c r="AS887" t="str">
        <f>IF(ISNUMBER(FIND("overige",Methode_Keuze)),"",IF(Tb_Activiteiten[[#This Row],[Kosten derden exclusief btw]]=1,Tb_Activiteiten[[#Headers],[Kosten derden exclusief btw]],""))</f>
        <v/>
      </c>
      <c r="AT887" t="str">
        <f>IF(ISNUMBER(FIND("overige",Methode_Keuze)),"",IF(Tb_Activiteiten[[#This Row],[Niet verrekenbare btw]]=1,Tb_Activiteiten[[#Headers],[Niet verrekenbare btw]],""))</f>
        <v/>
      </c>
      <c r="AU887" t="str">
        <f>IF(ISNUMBER(FIND("overige",Methode_Keuze)),"",IF(Tb_Activiteiten[[#This Row],[Grondkosten]]=1,Tb_Activiteiten[[#Headers],[Grondkosten]],""))</f>
        <v/>
      </c>
      <c r="AV887" t="str">
        <f>IF(ISNUMBER(FIND("overige",Methode_Keuze)),"",IF(Tb_Activiteiten[[#This Row],[Bijdrage in natura (overige)]]=1,Tb_Activiteiten[[#Headers],[Bijdrage in natura (overige)]],""))</f>
        <v/>
      </c>
      <c r="AW887" t="str">
        <f>IF(ISNUMBER(FIND("overige",Methode_Keuze)),"",IF(Tb_Activiteiten[[#This Row],[Bijdrage in natura (vrijwilligers)]]=1,Tb_Activiteiten[[#Headers],[Bijdrage in natura (vrijwilligers)]],""))</f>
        <v/>
      </c>
      <c r="AX887" t="str">
        <f>IF(ISNUMBER(FIND("overige",Methode_Keuze)),"",IF(Tb_Activiteiten[[#This Row],[Afschrijvingskosten]]=1,Tb_Activiteiten[[#Headers],[Afschrijvingskosten]],""))</f>
        <v/>
      </c>
      <c r="AY887" t="str">
        <f>IF(ISNUMBER(FIND("overige",Methode_Keuze)),"",IF(Tb_Activiteiten[[#This Row],[Vergoeding]]=1,Tb_Activiteiten[[#Headers],[Vergoeding]],""))</f>
        <v/>
      </c>
      <c r="AZ887" t="str">
        <f>IF(ISNUMBER(FIND("arbeid",Methode_Keuze)),"",IF(Tb_Activiteiten[[#This Row],[Arbeidskosten - vast tarief (excl eigen arbeid)]]=1,Tb_Activiteiten[[#Headers],[Arbeidskosten - vast tarief (excl eigen arbeid)]],""))</f>
        <v/>
      </c>
      <c r="BA887" t="str">
        <f>IF(ISNUMBER(FIND("overige",Methode_Keuze)),"",IF(Tb_Activiteiten[[#This Row],[Overige kosten]]=1,Tb_Activiteiten[[#Headers],[Overige kosten]],""))</f>
        <v/>
      </c>
    </row>
    <row r="888" spans="1:53" x14ac:dyDescent="0.25">
      <c r="A888" s="231"/>
      <c r="F888" s="64"/>
      <c r="G888" s="64"/>
      <c r="H888" s="275"/>
      <c r="I888" s="275"/>
      <c r="J888" s="275"/>
      <c r="K888" s="275"/>
      <c r="O888" s="56"/>
      <c r="Q888" t="str">
        <f>IFERROR(IF(VLOOKUP(Tb_Activiteiten[[#This Row],[Openstelling]],Tb_Openstelling[],2,0)=1,1,""),"")</f>
        <v/>
      </c>
      <c r="AK888" t="str">
        <f>IF(ISNUMBER(FIND("arbeid",Methode_Keuze)),"",IF(ISNUMBER(FIND("arbeid",Methode_Keuze)),"",IF(Tb_Activiteiten[[#This Row],[Loonkosten]]=1,Tb_Activiteiten[[#Headers],[Loonkosten]],"")))</f>
        <v/>
      </c>
      <c r="AL888" t="str">
        <f>IF(ISNUMBER(FIND("arbeid",Methode_Keuze)),"",IF(ISNUMBER(FIND("arbeid",Methode_Keuze)),"",IF(Tb_Activiteiten[[#This Row],[Eigen arbeid]]=1,Tb_Activiteiten[[#Headers],[Eigen arbeid]],"")))</f>
        <v/>
      </c>
      <c r="AM888" t="str">
        <f>IF(ISNUMBER(FIND("arbeid",Methode_Keuze)),"",IF(ISNUMBER(FIND("arbeid",Methode_Keuze)),"",IF(Tb_Activiteiten[[#This Row],[Projectmedewerker]]=1,Tb_Activiteiten[[#Headers],[Projectmedewerker]],"")))</f>
        <v/>
      </c>
      <c r="AN888" t="str">
        <f>IF(ISNUMBER(FIND("arbeid",Methode_Keuze)),"",IF(ISNUMBER(FIND("arbeid",Methode_Keuze)),"",IF(Tb_Activiteiten[[#This Row],[Landbouwer]]=1,Tb_Activiteiten[[#Headers],[Landbouwer]],"")))</f>
        <v/>
      </c>
      <c r="AO888" t="str">
        <f>IF(ISNUMBER(FIND("arbeid",Methode_Keuze)),"",IF(ISNUMBER(FIND("arbeid",Methode_Keuze)),"",IF(Tb_Activiteiten[[#This Row],[Adviseur]]=1,Tb_Activiteiten[[#Headers],[Adviseur]],"")))</f>
        <v/>
      </c>
      <c r="AP888" t="str">
        <f>IF(ISNUMBER(FIND("arbeid",Methode_Keuze)),"",IF(ISNUMBER(FIND("arbeid",Methode_Keuze)),"",IF(Tb_Activiteiten[[#This Row],[Projectleider/Expert]]=1,Tb_Activiteiten[[#Headers],[Projectleider/Expert]],"")))</f>
        <v/>
      </c>
      <c r="AQ888" t="str">
        <f>IF(ISNUMBER(FIND("arbeid",Methode_Keuze)),"",IF(ISNUMBER(FIND("arbeid",Methode_Keuze)),"",IF(Tb_Activiteiten[[#This Row],[Arbeidskosten]]=1,Tb_Activiteiten[[#Headers],[Arbeidskosten]],"")))</f>
        <v/>
      </c>
      <c r="AR888" t="str">
        <f>IF(ISNUMBER(FIND("arbeid",Methode_Keuze)),"",IF(ISNUMBER(FIND("arbeid",Methode_Keuze)),"",IF(Tb_Activiteiten[[#This Row],[Arbeidskosten op basis van IKS]]=1,Tb_Activiteiten[[#Headers],[Arbeidskosten op basis van IKS]],"")))</f>
        <v/>
      </c>
      <c r="AS888" t="str">
        <f>IF(ISNUMBER(FIND("overige",Methode_Keuze)),"",IF(Tb_Activiteiten[[#This Row],[Kosten derden exclusief btw]]=1,Tb_Activiteiten[[#Headers],[Kosten derden exclusief btw]],""))</f>
        <v/>
      </c>
      <c r="AT888" t="str">
        <f>IF(ISNUMBER(FIND("overige",Methode_Keuze)),"",IF(Tb_Activiteiten[[#This Row],[Niet verrekenbare btw]]=1,Tb_Activiteiten[[#Headers],[Niet verrekenbare btw]],""))</f>
        <v/>
      </c>
      <c r="AU888" t="str">
        <f>IF(ISNUMBER(FIND("overige",Methode_Keuze)),"",IF(Tb_Activiteiten[[#This Row],[Grondkosten]]=1,Tb_Activiteiten[[#Headers],[Grondkosten]],""))</f>
        <v/>
      </c>
      <c r="AV888" t="str">
        <f>IF(ISNUMBER(FIND("overige",Methode_Keuze)),"",IF(Tb_Activiteiten[[#This Row],[Bijdrage in natura (overige)]]=1,Tb_Activiteiten[[#Headers],[Bijdrage in natura (overige)]],""))</f>
        <v/>
      </c>
      <c r="AW888" t="str">
        <f>IF(ISNUMBER(FIND("overige",Methode_Keuze)),"",IF(Tb_Activiteiten[[#This Row],[Bijdrage in natura (vrijwilligers)]]=1,Tb_Activiteiten[[#Headers],[Bijdrage in natura (vrijwilligers)]],""))</f>
        <v/>
      </c>
      <c r="AX888" t="str">
        <f>IF(ISNUMBER(FIND("overige",Methode_Keuze)),"",IF(Tb_Activiteiten[[#This Row],[Afschrijvingskosten]]=1,Tb_Activiteiten[[#Headers],[Afschrijvingskosten]],""))</f>
        <v/>
      </c>
      <c r="AY888" t="str">
        <f>IF(ISNUMBER(FIND("overige",Methode_Keuze)),"",IF(Tb_Activiteiten[[#This Row],[Vergoeding]]=1,Tb_Activiteiten[[#Headers],[Vergoeding]],""))</f>
        <v/>
      </c>
      <c r="AZ888" t="str">
        <f>IF(ISNUMBER(FIND("arbeid",Methode_Keuze)),"",IF(Tb_Activiteiten[[#This Row],[Arbeidskosten - vast tarief (excl eigen arbeid)]]=1,Tb_Activiteiten[[#Headers],[Arbeidskosten - vast tarief (excl eigen arbeid)]],""))</f>
        <v/>
      </c>
      <c r="BA888" t="str">
        <f>IF(ISNUMBER(FIND("overige",Methode_Keuze)),"",IF(Tb_Activiteiten[[#This Row],[Overige kosten]]=1,Tb_Activiteiten[[#Headers],[Overige kosten]],""))</f>
        <v/>
      </c>
    </row>
    <row r="889" spans="1:53" x14ac:dyDescent="0.25">
      <c r="A889" s="231"/>
      <c r="F889" s="64"/>
      <c r="G889" s="64"/>
      <c r="H889" s="275"/>
      <c r="I889" s="275"/>
      <c r="J889" s="275"/>
      <c r="K889" s="275"/>
      <c r="O889" s="56"/>
      <c r="Q889" t="str">
        <f>IFERROR(IF(VLOOKUP(Tb_Activiteiten[[#This Row],[Openstelling]],Tb_Openstelling[],2,0)=1,1,""),"")</f>
        <v/>
      </c>
      <c r="AK889" t="str">
        <f>IF(ISNUMBER(FIND("arbeid",Methode_Keuze)),"",IF(ISNUMBER(FIND("arbeid",Methode_Keuze)),"",IF(Tb_Activiteiten[[#This Row],[Loonkosten]]=1,Tb_Activiteiten[[#Headers],[Loonkosten]],"")))</f>
        <v/>
      </c>
      <c r="AL889" t="str">
        <f>IF(ISNUMBER(FIND("arbeid",Methode_Keuze)),"",IF(ISNUMBER(FIND("arbeid",Methode_Keuze)),"",IF(Tb_Activiteiten[[#This Row],[Eigen arbeid]]=1,Tb_Activiteiten[[#Headers],[Eigen arbeid]],"")))</f>
        <v/>
      </c>
      <c r="AM889" t="str">
        <f>IF(ISNUMBER(FIND("arbeid",Methode_Keuze)),"",IF(ISNUMBER(FIND("arbeid",Methode_Keuze)),"",IF(Tb_Activiteiten[[#This Row],[Projectmedewerker]]=1,Tb_Activiteiten[[#Headers],[Projectmedewerker]],"")))</f>
        <v/>
      </c>
      <c r="AN889" t="str">
        <f>IF(ISNUMBER(FIND("arbeid",Methode_Keuze)),"",IF(ISNUMBER(FIND("arbeid",Methode_Keuze)),"",IF(Tb_Activiteiten[[#This Row],[Landbouwer]]=1,Tb_Activiteiten[[#Headers],[Landbouwer]],"")))</f>
        <v/>
      </c>
      <c r="AO889" t="str">
        <f>IF(ISNUMBER(FIND("arbeid",Methode_Keuze)),"",IF(ISNUMBER(FIND("arbeid",Methode_Keuze)),"",IF(Tb_Activiteiten[[#This Row],[Adviseur]]=1,Tb_Activiteiten[[#Headers],[Adviseur]],"")))</f>
        <v/>
      </c>
      <c r="AP889" t="str">
        <f>IF(ISNUMBER(FIND("arbeid",Methode_Keuze)),"",IF(ISNUMBER(FIND("arbeid",Methode_Keuze)),"",IF(Tb_Activiteiten[[#This Row],[Projectleider/Expert]]=1,Tb_Activiteiten[[#Headers],[Projectleider/Expert]],"")))</f>
        <v/>
      </c>
      <c r="AQ889" t="str">
        <f>IF(ISNUMBER(FIND("arbeid",Methode_Keuze)),"",IF(ISNUMBER(FIND("arbeid",Methode_Keuze)),"",IF(Tb_Activiteiten[[#This Row],[Arbeidskosten]]=1,Tb_Activiteiten[[#Headers],[Arbeidskosten]],"")))</f>
        <v/>
      </c>
      <c r="AR889" t="str">
        <f>IF(ISNUMBER(FIND("arbeid",Methode_Keuze)),"",IF(ISNUMBER(FIND("arbeid",Methode_Keuze)),"",IF(Tb_Activiteiten[[#This Row],[Arbeidskosten op basis van IKS]]=1,Tb_Activiteiten[[#Headers],[Arbeidskosten op basis van IKS]],"")))</f>
        <v/>
      </c>
      <c r="AS889" t="str">
        <f>IF(ISNUMBER(FIND("overige",Methode_Keuze)),"",IF(Tb_Activiteiten[[#This Row],[Kosten derden exclusief btw]]=1,Tb_Activiteiten[[#Headers],[Kosten derden exclusief btw]],""))</f>
        <v/>
      </c>
      <c r="AT889" t="str">
        <f>IF(ISNUMBER(FIND("overige",Methode_Keuze)),"",IF(Tb_Activiteiten[[#This Row],[Niet verrekenbare btw]]=1,Tb_Activiteiten[[#Headers],[Niet verrekenbare btw]],""))</f>
        <v/>
      </c>
      <c r="AU889" t="str">
        <f>IF(ISNUMBER(FIND("overige",Methode_Keuze)),"",IF(Tb_Activiteiten[[#This Row],[Grondkosten]]=1,Tb_Activiteiten[[#Headers],[Grondkosten]],""))</f>
        <v/>
      </c>
      <c r="AV889" t="str">
        <f>IF(ISNUMBER(FIND("overige",Methode_Keuze)),"",IF(Tb_Activiteiten[[#This Row],[Bijdrage in natura (overige)]]=1,Tb_Activiteiten[[#Headers],[Bijdrage in natura (overige)]],""))</f>
        <v/>
      </c>
      <c r="AW889" t="str">
        <f>IF(ISNUMBER(FIND("overige",Methode_Keuze)),"",IF(Tb_Activiteiten[[#This Row],[Bijdrage in natura (vrijwilligers)]]=1,Tb_Activiteiten[[#Headers],[Bijdrage in natura (vrijwilligers)]],""))</f>
        <v/>
      </c>
      <c r="AX889" t="str">
        <f>IF(ISNUMBER(FIND("overige",Methode_Keuze)),"",IF(Tb_Activiteiten[[#This Row],[Afschrijvingskosten]]=1,Tb_Activiteiten[[#Headers],[Afschrijvingskosten]],""))</f>
        <v/>
      </c>
      <c r="AY889" t="str">
        <f>IF(ISNUMBER(FIND("overige",Methode_Keuze)),"",IF(Tb_Activiteiten[[#This Row],[Vergoeding]]=1,Tb_Activiteiten[[#Headers],[Vergoeding]],""))</f>
        <v/>
      </c>
      <c r="AZ889" t="str">
        <f>IF(ISNUMBER(FIND("arbeid",Methode_Keuze)),"",IF(Tb_Activiteiten[[#This Row],[Arbeidskosten - vast tarief (excl eigen arbeid)]]=1,Tb_Activiteiten[[#Headers],[Arbeidskosten - vast tarief (excl eigen arbeid)]],""))</f>
        <v/>
      </c>
      <c r="BA889" t="str">
        <f>IF(ISNUMBER(FIND("overige",Methode_Keuze)),"",IF(Tb_Activiteiten[[#This Row],[Overige kosten]]=1,Tb_Activiteiten[[#Headers],[Overige kosten]],""))</f>
        <v/>
      </c>
    </row>
    <row r="890" spans="1:53" x14ac:dyDescent="0.25">
      <c r="A890" s="231"/>
      <c r="F890" s="64"/>
      <c r="G890" s="64"/>
      <c r="H890" s="275"/>
      <c r="I890" s="275"/>
      <c r="J890" s="275"/>
      <c r="K890" s="275"/>
      <c r="O890" s="56"/>
      <c r="Q890" t="str">
        <f>IFERROR(IF(VLOOKUP(Tb_Activiteiten[[#This Row],[Openstelling]],Tb_Openstelling[],2,0)=1,1,""),"")</f>
        <v/>
      </c>
      <c r="AK890" t="str">
        <f>IF(ISNUMBER(FIND("arbeid",Methode_Keuze)),"",IF(ISNUMBER(FIND("arbeid",Methode_Keuze)),"",IF(Tb_Activiteiten[[#This Row],[Loonkosten]]=1,Tb_Activiteiten[[#Headers],[Loonkosten]],"")))</f>
        <v/>
      </c>
      <c r="AL890" t="str">
        <f>IF(ISNUMBER(FIND("arbeid",Methode_Keuze)),"",IF(ISNUMBER(FIND("arbeid",Methode_Keuze)),"",IF(Tb_Activiteiten[[#This Row],[Eigen arbeid]]=1,Tb_Activiteiten[[#Headers],[Eigen arbeid]],"")))</f>
        <v/>
      </c>
      <c r="AM890" t="str">
        <f>IF(ISNUMBER(FIND("arbeid",Methode_Keuze)),"",IF(ISNUMBER(FIND("arbeid",Methode_Keuze)),"",IF(Tb_Activiteiten[[#This Row],[Projectmedewerker]]=1,Tb_Activiteiten[[#Headers],[Projectmedewerker]],"")))</f>
        <v/>
      </c>
      <c r="AN890" t="str">
        <f>IF(ISNUMBER(FIND("arbeid",Methode_Keuze)),"",IF(ISNUMBER(FIND("arbeid",Methode_Keuze)),"",IF(Tb_Activiteiten[[#This Row],[Landbouwer]]=1,Tb_Activiteiten[[#Headers],[Landbouwer]],"")))</f>
        <v/>
      </c>
      <c r="AO890" t="str">
        <f>IF(ISNUMBER(FIND("arbeid",Methode_Keuze)),"",IF(ISNUMBER(FIND("arbeid",Methode_Keuze)),"",IF(Tb_Activiteiten[[#This Row],[Adviseur]]=1,Tb_Activiteiten[[#Headers],[Adviseur]],"")))</f>
        <v/>
      </c>
      <c r="AP890" t="str">
        <f>IF(ISNUMBER(FIND("arbeid",Methode_Keuze)),"",IF(ISNUMBER(FIND("arbeid",Methode_Keuze)),"",IF(Tb_Activiteiten[[#This Row],[Projectleider/Expert]]=1,Tb_Activiteiten[[#Headers],[Projectleider/Expert]],"")))</f>
        <v/>
      </c>
      <c r="AQ890" t="str">
        <f>IF(ISNUMBER(FIND("arbeid",Methode_Keuze)),"",IF(ISNUMBER(FIND("arbeid",Methode_Keuze)),"",IF(Tb_Activiteiten[[#This Row],[Arbeidskosten]]=1,Tb_Activiteiten[[#Headers],[Arbeidskosten]],"")))</f>
        <v/>
      </c>
      <c r="AR890" t="str">
        <f>IF(ISNUMBER(FIND("arbeid",Methode_Keuze)),"",IF(ISNUMBER(FIND("arbeid",Methode_Keuze)),"",IF(Tb_Activiteiten[[#This Row],[Arbeidskosten op basis van IKS]]=1,Tb_Activiteiten[[#Headers],[Arbeidskosten op basis van IKS]],"")))</f>
        <v/>
      </c>
      <c r="AS890" t="str">
        <f>IF(ISNUMBER(FIND("overige",Methode_Keuze)),"",IF(Tb_Activiteiten[[#This Row],[Kosten derden exclusief btw]]=1,Tb_Activiteiten[[#Headers],[Kosten derden exclusief btw]],""))</f>
        <v/>
      </c>
      <c r="AT890" t="str">
        <f>IF(ISNUMBER(FIND("overige",Methode_Keuze)),"",IF(Tb_Activiteiten[[#This Row],[Niet verrekenbare btw]]=1,Tb_Activiteiten[[#Headers],[Niet verrekenbare btw]],""))</f>
        <v/>
      </c>
      <c r="AU890" t="str">
        <f>IF(ISNUMBER(FIND("overige",Methode_Keuze)),"",IF(Tb_Activiteiten[[#This Row],[Grondkosten]]=1,Tb_Activiteiten[[#Headers],[Grondkosten]],""))</f>
        <v/>
      </c>
      <c r="AV890" t="str">
        <f>IF(ISNUMBER(FIND("overige",Methode_Keuze)),"",IF(Tb_Activiteiten[[#This Row],[Bijdrage in natura (overige)]]=1,Tb_Activiteiten[[#Headers],[Bijdrage in natura (overige)]],""))</f>
        <v/>
      </c>
      <c r="AW890" t="str">
        <f>IF(ISNUMBER(FIND("overige",Methode_Keuze)),"",IF(Tb_Activiteiten[[#This Row],[Bijdrage in natura (vrijwilligers)]]=1,Tb_Activiteiten[[#Headers],[Bijdrage in natura (vrijwilligers)]],""))</f>
        <v/>
      </c>
      <c r="AX890" t="str">
        <f>IF(ISNUMBER(FIND("overige",Methode_Keuze)),"",IF(Tb_Activiteiten[[#This Row],[Afschrijvingskosten]]=1,Tb_Activiteiten[[#Headers],[Afschrijvingskosten]],""))</f>
        <v/>
      </c>
      <c r="AY890" t="str">
        <f>IF(ISNUMBER(FIND("overige",Methode_Keuze)),"",IF(Tb_Activiteiten[[#This Row],[Vergoeding]]=1,Tb_Activiteiten[[#Headers],[Vergoeding]],""))</f>
        <v/>
      </c>
      <c r="AZ890" t="str">
        <f>IF(ISNUMBER(FIND("arbeid",Methode_Keuze)),"",IF(Tb_Activiteiten[[#This Row],[Arbeidskosten - vast tarief (excl eigen arbeid)]]=1,Tb_Activiteiten[[#Headers],[Arbeidskosten - vast tarief (excl eigen arbeid)]],""))</f>
        <v/>
      </c>
      <c r="BA890" t="str">
        <f>IF(ISNUMBER(FIND("overige",Methode_Keuze)),"",IF(Tb_Activiteiten[[#This Row],[Overige kosten]]=1,Tb_Activiteiten[[#Headers],[Overige kosten]],""))</f>
        <v/>
      </c>
    </row>
    <row r="891" spans="1:53" x14ac:dyDescent="0.25">
      <c r="A891" s="231"/>
      <c r="F891" s="64"/>
      <c r="G891" s="64"/>
      <c r="H891" s="275"/>
      <c r="I891" s="275"/>
      <c r="J891" s="275"/>
      <c r="K891" s="275"/>
      <c r="O891" s="56"/>
      <c r="Q891" t="str">
        <f>IFERROR(IF(VLOOKUP(Tb_Activiteiten[[#This Row],[Openstelling]],Tb_Openstelling[],2,0)=1,1,""),"")</f>
        <v/>
      </c>
      <c r="AK891" t="str">
        <f>IF(ISNUMBER(FIND("arbeid",Methode_Keuze)),"",IF(ISNUMBER(FIND("arbeid",Methode_Keuze)),"",IF(Tb_Activiteiten[[#This Row],[Loonkosten]]=1,Tb_Activiteiten[[#Headers],[Loonkosten]],"")))</f>
        <v/>
      </c>
      <c r="AL891" t="str">
        <f>IF(ISNUMBER(FIND("arbeid",Methode_Keuze)),"",IF(ISNUMBER(FIND("arbeid",Methode_Keuze)),"",IF(Tb_Activiteiten[[#This Row],[Eigen arbeid]]=1,Tb_Activiteiten[[#Headers],[Eigen arbeid]],"")))</f>
        <v/>
      </c>
      <c r="AM891" t="str">
        <f>IF(ISNUMBER(FIND("arbeid",Methode_Keuze)),"",IF(ISNUMBER(FIND("arbeid",Methode_Keuze)),"",IF(Tb_Activiteiten[[#This Row],[Projectmedewerker]]=1,Tb_Activiteiten[[#Headers],[Projectmedewerker]],"")))</f>
        <v/>
      </c>
      <c r="AN891" t="str">
        <f>IF(ISNUMBER(FIND("arbeid",Methode_Keuze)),"",IF(ISNUMBER(FIND("arbeid",Methode_Keuze)),"",IF(Tb_Activiteiten[[#This Row],[Landbouwer]]=1,Tb_Activiteiten[[#Headers],[Landbouwer]],"")))</f>
        <v/>
      </c>
      <c r="AO891" t="str">
        <f>IF(ISNUMBER(FIND("arbeid",Methode_Keuze)),"",IF(ISNUMBER(FIND("arbeid",Methode_Keuze)),"",IF(Tb_Activiteiten[[#This Row],[Adviseur]]=1,Tb_Activiteiten[[#Headers],[Adviseur]],"")))</f>
        <v/>
      </c>
      <c r="AP891" t="str">
        <f>IF(ISNUMBER(FIND("arbeid",Methode_Keuze)),"",IF(ISNUMBER(FIND("arbeid",Methode_Keuze)),"",IF(Tb_Activiteiten[[#This Row],[Projectleider/Expert]]=1,Tb_Activiteiten[[#Headers],[Projectleider/Expert]],"")))</f>
        <v/>
      </c>
      <c r="AQ891" t="str">
        <f>IF(ISNUMBER(FIND("arbeid",Methode_Keuze)),"",IF(ISNUMBER(FIND("arbeid",Methode_Keuze)),"",IF(Tb_Activiteiten[[#This Row],[Arbeidskosten]]=1,Tb_Activiteiten[[#Headers],[Arbeidskosten]],"")))</f>
        <v/>
      </c>
      <c r="AR891" t="str">
        <f>IF(ISNUMBER(FIND("arbeid",Methode_Keuze)),"",IF(ISNUMBER(FIND("arbeid",Methode_Keuze)),"",IF(Tb_Activiteiten[[#This Row],[Arbeidskosten op basis van IKS]]=1,Tb_Activiteiten[[#Headers],[Arbeidskosten op basis van IKS]],"")))</f>
        <v/>
      </c>
      <c r="AS891" t="str">
        <f>IF(ISNUMBER(FIND("overige",Methode_Keuze)),"",IF(Tb_Activiteiten[[#This Row],[Kosten derden exclusief btw]]=1,Tb_Activiteiten[[#Headers],[Kosten derden exclusief btw]],""))</f>
        <v/>
      </c>
      <c r="AT891" t="str">
        <f>IF(ISNUMBER(FIND("overige",Methode_Keuze)),"",IF(Tb_Activiteiten[[#This Row],[Niet verrekenbare btw]]=1,Tb_Activiteiten[[#Headers],[Niet verrekenbare btw]],""))</f>
        <v/>
      </c>
      <c r="AU891" t="str">
        <f>IF(ISNUMBER(FIND("overige",Methode_Keuze)),"",IF(Tb_Activiteiten[[#This Row],[Grondkosten]]=1,Tb_Activiteiten[[#Headers],[Grondkosten]],""))</f>
        <v/>
      </c>
      <c r="AV891" t="str">
        <f>IF(ISNUMBER(FIND("overige",Methode_Keuze)),"",IF(Tb_Activiteiten[[#This Row],[Bijdrage in natura (overige)]]=1,Tb_Activiteiten[[#Headers],[Bijdrage in natura (overige)]],""))</f>
        <v/>
      </c>
      <c r="AW891" t="str">
        <f>IF(ISNUMBER(FIND("overige",Methode_Keuze)),"",IF(Tb_Activiteiten[[#This Row],[Bijdrage in natura (vrijwilligers)]]=1,Tb_Activiteiten[[#Headers],[Bijdrage in natura (vrijwilligers)]],""))</f>
        <v/>
      </c>
      <c r="AX891" t="str">
        <f>IF(ISNUMBER(FIND("overige",Methode_Keuze)),"",IF(Tb_Activiteiten[[#This Row],[Afschrijvingskosten]]=1,Tb_Activiteiten[[#Headers],[Afschrijvingskosten]],""))</f>
        <v/>
      </c>
      <c r="AY891" t="str">
        <f>IF(ISNUMBER(FIND("overige",Methode_Keuze)),"",IF(Tb_Activiteiten[[#This Row],[Vergoeding]]=1,Tb_Activiteiten[[#Headers],[Vergoeding]],""))</f>
        <v/>
      </c>
      <c r="AZ891" t="str">
        <f>IF(ISNUMBER(FIND("arbeid",Methode_Keuze)),"",IF(Tb_Activiteiten[[#This Row],[Arbeidskosten - vast tarief (excl eigen arbeid)]]=1,Tb_Activiteiten[[#Headers],[Arbeidskosten - vast tarief (excl eigen arbeid)]],""))</f>
        <v/>
      </c>
      <c r="BA891" t="str">
        <f>IF(ISNUMBER(FIND("overige",Methode_Keuze)),"",IF(Tb_Activiteiten[[#This Row],[Overige kosten]]=1,Tb_Activiteiten[[#Headers],[Overige kosten]],""))</f>
        <v/>
      </c>
    </row>
    <row r="892" spans="1:53" x14ac:dyDescent="0.25">
      <c r="A892" s="231"/>
      <c r="F892" s="64"/>
      <c r="G892" s="64"/>
      <c r="H892" s="275"/>
      <c r="I892" s="275"/>
      <c r="J892" s="275"/>
      <c r="K892" s="275"/>
      <c r="O892" s="56"/>
      <c r="Q892" t="str">
        <f>IFERROR(IF(VLOOKUP(Tb_Activiteiten[[#This Row],[Openstelling]],Tb_Openstelling[],2,0)=1,1,""),"")</f>
        <v/>
      </c>
      <c r="AK892" t="str">
        <f>IF(ISNUMBER(FIND("arbeid",Methode_Keuze)),"",IF(ISNUMBER(FIND("arbeid",Methode_Keuze)),"",IF(Tb_Activiteiten[[#This Row],[Loonkosten]]=1,Tb_Activiteiten[[#Headers],[Loonkosten]],"")))</f>
        <v/>
      </c>
      <c r="AL892" t="str">
        <f>IF(ISNUMBER(FIND("arbeid",Methode_Keuze)),"",IF(ISNUMBER(FIND("arbeid",Methode_Keuze)),"",IF(Tb_Activiteiten[[#This Row],[Eigen arbeid]]=1,Tb_Activiteiten[[#Headers],[Eigen arbeid]],"")))</f>
        <v/>
      </c>
      <c r="AM892" t="str">
        <f>IF(ISNUMBER(FIND("arbeid",Methode_Keuze)),"",IF(ISNUMBER(FIND("arbeid",Methode_Keuze)),"",IF(Tb_Activiteiten[[#This Row],[Projectmedewerker]]=1,Tb_Activiteiten[[#Headers],[Projectmedewerker]],"")))</f>
        <v/>
      </c>
      <c r="AN892" t="str">
        <f>IF(ISNUMBER(FIND("arbeid",Methode_Keuze)),"",IF(ISNUMBER(FIND("arbeid",Methode_Keuze)),"",IF(Tb_Activiteiten[[#This Row],[Landbouwer]]=1,Tb_Activiteiten[[#Headers],[Landbouwer]],"")))</f>
        <v/>
      </c>
      <c r="AO892" t="str">
        <f>IF(ISNUMBER(FIND("arbeid",Methode_Keuze)),"",IF(ISNUMBER(FIND("arbeid",Methode_Keuze)),"",IF(Tb_Activiteiten[[#This Row],[Adviseur]]=1,Tb_Activiteiten[[#Headers],[Adviseur]],"")))</f>
        <v/>
      </c>
      <c r="AP892" t="str">
        <f>IF(ISNUMBER(FIND("arbeid",Methode_Keuze)),"",IF(ISNUMBER(FIND("arbeid",Methode_Keuze)),"",IF(Tb_Activiteiten[[#This Row],[Projectleider/Expert]]=1,Tb_Activiteiten[[#Headers],[Projectleider/Expert]],"")))</f>
        <v/>
      </c>
      <c r="AQ892" t="str">
        <f>IF(ISNUMBER(FIND("arbeid",Methode_Keuze)),"",IF(ISNUMBER(FIND("arbeid",Methode_Keuze)),"",IF(Tb_Activiteiten[[#This Row],[Arbeidskosten]]=1,Tb_Activiteiten[[#Headers],[Arbeidskosten]],"")))</f>
        <v/>
      </c>
      <c r="AR892" t="str">
        <f>IF(ISNUMBER(FIND("arbeid",Methode_Keuze)),"",IF(ISNUMBER(FIND("arbeid",Methode_Keuze)),"",IF(Tb_Activiteiten[[#This Row],[Arbeidskosten op basis van IKS]]=1,Tb_Activiteiten[[#Headers],[Arbeidskosten op basis van IKS]],"")))</f>
        <v/>
      </c>
      <c r="AS892" t="str">
        <f>IF(ISNUMBER(FIND("overige",Methode_Keuze)),"",IF(Tb_Activiteiten[[#This Row],[Kosten derden exclusief btw]]=1,Tb_Activiteiten[[#Headers],[Kosten derden exclusief btw]],""))</f>
        <v/>
      </c>
      <c r="AT892" t="str">
        <f>IF(ISNUMBER(FIND("overige",Methode_Keuze)),"",IF(Tb_Activiteiten[[#This Row],[Niet verrekenbare btw]]=1,Tb_Activiteiten[[#Headers],[Niet verrekenbare btw]],""))</f>
        <v/>
      </c>
      <c r="AU892" t="str">
        <f>IF(ISNUMBER(FIND("overige",Methode_Keuze)),"",IF(Tb_Activiteiten[[#This Row],[Grondkosten]]=1,Tb_Activiteiten[[#Headers],[Grondkosten]],""))</f>
        <v/>
      </c>
      <c r="AV892" t="str">
        <f>IF(ISNUMBER(FIND("overige",Methode_Keuze)),"",IF(Tb_Activiteiten[[#This Row],[Bijdrage in natura (overige)]]=1,Tb_Activiteiten[[#Headers],[Bijdrage in natura (overige)]],""))</f>
        <v/>
      </c>
      <c r="AW892" t="str">
        <f>IF(ISNUMBER(FIND("overige",Methode_Keuze)),"",IF(Tb_Activiteiten[[#This Row],[Bijdrage in natura (vrijwilligers)]]=1,Tb_Activiteiten[[#Headers],[Bijdrage in natura (vrijwilligers)]],""))</f>
        <v/>
      </c>
      <c r="AX892" t="str">
        <f>IF(ISNUMBER(FIND("overige",Methode_Keuze)),"",IF(Tb_Activiteiten[[#This Row],[Afschrijvingskosten]]=1,Tb_Activiteiten[[#Headers],[Afschrijvingskosten]],""))</f>
        <v/>
      </c>
      <c r="AY892" t="str">
        <f>IF(ISNUMBER(FIND("overige",Methode_Keuze)),"",IF(Tb_Activiteiten[[#This Row],[Vergoeding]]=1,Tb_Activiteiten[[#Headers],[Vergoeding]],""))</f>
        <v/>
      </c>
      <c r="AZ892" t="str">
        <f>IF(ISNUMBER(FIND("arbeid",Methode_Keuze)),"",IF(Tb_Activiteiten[[#This Row],[Arbeidskosten - vast tarief (excl eigen arbeid)]]=1,Tb_Activiteiten[[#Headers],[Arbeidskosten - vast tarief (excl eigen arbeid)]],""))</f>
        <v/>
      </c>
      <c r="BA892" t="str">
        <f>IF(ISNUMBER(FIND("overige",Methode_Keuze)),"",IF(Tb_Activiteiten[[#This Row],[Overige kosten]]=1,Tb_Activiteiten[[#Headers],[Overige kosten]],""))</f>
        <v/>
      </c>
    </row>
    <row r="893" spans="1:53" x14ac:dyDescent="0.25">
      <c r="A893" s="231"/>
      <c r="F893" s="64"/>
      <c r="G893" s="64"/>
      <c r="H893" s="275"/>
      <c r="I893" s="275"/>
      <c r="J893" s="275"/>
      <c r="K893" s="275"/>
      <c r="O893" s="56"/>
      <c r="Q893" t="str">
        <f>IFERROR(IF(VLOOKUP(Tb_Activiteiten[[#This Row],[Openstelling]],Tb_Openstelling[],2,0)=1,1,""),"")</f>
        <v/>
      </c>
      <c r="AK893" t="str">
        <f>IF(ISNUMBER(FIND("arbeid",Methode_Keuze)),"",IF(ISNUMBER(FIND("arbeid",Methode_Keuze)),"",IF(Tb_Activiteiten[[#This Row],[Loonkosten]]=1,Tb_Activiteiten[[#Headers],[Loonkosten]],"")))</f>
        <v/>
      </c>
      <c r="AL893" t="str">
        <f>IF(ISNUMBER(FIND("arbeid",Methode_Keuze)),"",IF(ISNUMBER(FIND("arbeid",Methode_Keuze)),"",IF(Tb_Activiteiten[[#This Row],[Eigen arbeid]]=1,Tb_Activiteiten[[#Headers],[Eigen arbeid]],"")))</f>
        <v/>
      </c>
      <c r="AM893" t="str">
        <f>IF(ISNUMBER(FIND("arbeid",Methode_Keuze)),"",IF(ISNUMBER(FIND("arbeid",Methode_Keuze)),"",IF(Tb_Activiteiten[[#This Row],[Projectmedewerker]]=1,Tb_Activiteiten[[#Headers],[Projectmedewerker]],"")))</f>
        <v/>
      </c>
      <c r="AN893" t="str">
        <f>IF(ISNUMBER(FIND("arbeid",Methode_Keuze)),"",IF(ISNUMBER(FIND("arbeid",Methode_Keuze)),"",IF(Tb_Activiteiten[[#This Row],[Landbouwer]]=1,Tb_Activiteiten[[#Headers],[Landbouwer]],"")))</f>
        <v/>
      </c>
      <c r="AO893" t="str">
        <f>IF(ISNUMBER(FIND("arbeid",Methode_Keuze)),"",IF(ISNUMBER(FIND("arbeid",Methode_Keuze)),"",IF(Tb_Activiteiten[[#This Row],[Adviseur]]=1,Tb_Activiteiten[[#Headers],[Adviseur]],"")))</f>
        <v/>
      </c>
      <c r="AP893" t="str">
        <f>IF(ISNUMBER(FIND("arbeid",Methode_Keuze)),"",IF(ISNUMBER(FIND("arbeid",Methode_Keuze)),"",IF(Tb_Activiteiten[[#This Row],[Projectleider/Expert]]=1,Tb_Activiteiten[[#Headers],[Projectleider/Expert]],"")))</f>
        <v/>
      </c>
      <c r="AQ893" t="str">
        <f>IF(ISNUMBER(FIND("arbeid",Methode_Keuze)),"",IF(ISNUMBER(FIND("arbeid",Methode_Keuze)),"",IF(Tb_Activiteiten[[#This Row],[Arbeidskosten]]=1,Tb_Activiteiten[[#Headers],[Arbeidskosten]],"")))</f>
        <v/>
      </c>
      <c r="AR893" t="str">
        <f>IF(ISNUMBER(FIND("arbeid",Methode_Keuze)),"",IF(ISNUMBER(FIND("arbeid",Methode_Keuze)),"",IF(Tb_Activiteiten[[#This Row],[Arbeidskosten op basis van IKS]]=1,Tb_Activiteiten[[#Headers],[Arbeidskosten op basis van IKS]],"")))</f>
        <v/>
      </c>
      <c r="AS893" t="str">
        <f>IF(ISNUMBER(FIND("overige",Methode_Keuze)),"",IF(Tb_Activiteiten[[#This Row],[Kosten derden exclusief btw]]=1,Tb_Activiteiten[[#Headers],[Kosten derden exclusief btw]],""))</f>
        <v/>
      </c>
      <c r="AT893" t="str">
        <f>IF(ISNUMBER(FIND("overige",Methode_Keuze)),"",IF(Tb_Activiteiten[[#This Row],[Niet verrekenbare btw]]=1,Tb_Activiteiten[[#Headers],[Niet verrekenbare btw]],""))</f>
        <v/>
      </c>
      <c r="AU893" t="str">
        <f>IF(ISNUMBER(FIND("overige",Methode_Keuze)),"",IF(Tb_Activiteiten[[#This Row],[Grondkosten]]=1,Tb_Activiteiten[[#Headers],[Grondkosten]],""))</f>
        <v/>
      </c>
      <c r="AV893" t="str">
        <f>IF(ISNUMBER(FIND("overige",Methode_Keuze)),"",IF(Tb_Activiteiten[[#This Row],[Bijdrage in natura (overige)]]=1,Tb_Activiteiten[[#Headers],[Bijdrage in natura (overige)]],""))</f>
        <v/>
      </c>
      <c r="AW893" t="str">
        <f>IF(ISNUMBER(FIND("overige",Methode_Keuze)),"",IF(Tb_Activiteiten[[#This Row],[Bijdrage in natura (vrijwilligers)]]=1,Tb_Activiteiten[[#Headers],[Bijdrage in natura (vrijwilligers)]],""))</f>
        <v/>
      </c>
      <c r="AX893" t="str">
        <f>IF(ISNUMBER(FIND("overige",Methode_Keuze)),"",IF(Tb_Activiteiten[[#This Row],[Afschrijvingskosten]]=1,Tb_Activiteiten[[#Headers],[Afschrijvingskosten]],""))</f>
        <v/>
      </c>
      <c r="AY893" t="str">
        <f>IF(ISNUMBER(FIND("overige",Methode_Keuze)),"",IF(Tb_Activiteiten[[#This Row],[Vergoeding]]=1,Tb_Activiteiten[[#Headers],[Vergoeding]],""))</f>
        <v/>
      </c>
      <c r="AZ893" t="str">
        <f>IF(ISNUMBER(FIND("arbeid",Methode_Keuze)),"",IF(Tb_Activiteiten[[#This Row],[Arbeidskosten - vast tarief (excl eigen arbeid)]]=1,Tb_Activiteiten[[#Headers],[Arbeidskosten - vast tarief (excl eigen arbeid)]],""))</f>
        <v/>
      </c>
      <c r="BA893" t="str">
        <f>IF(ISNUMBER(FIND("overige",Methode_Keuze)),"",IF(Tb_Activiteiten[[#This Row],[Overige kosten]]=1,Tb_Activiteiten[[#Headers],[Overige kosten]],""))</f>
        <v/>
      </c>
    </row>
    <row r="894" spans="1:53" x14ac:dyDescent="0.25">
      <c r="A894" s="231"/>
      <c r="F894" s="64"/>
      <c r="G894" s="64"/>
      <c r="H894" s="275"/>
      <c r="I894" s="275"/>
      <c r="J894" s="275"/>
      <c r="K894" s="275"/>
      <c r="O894" s="56"/>
      <c r="Q894" t="str">
        <f>IFERROR(IF(VLOOKUP(Tb_Activiteiten[[#This Row],[Openstelling]],Tb_Openstelling[],2,0)=1,1,""),"")</f>
        <v/>
      </c>
      <c r="AK894" t="str">
        <f>IF(ISNUMBER(FIND("arbeid",Methode_Keuze)),"",IF(ISNUMBER(FIND("arbeid",Methode_Keuze)),"",IF(Tb_Activiteiten[[#This Row],[Loonkosten]]=1,Tb_Activiteiten[[#Headers],[Loonkosten]],"")))</f>
        <v/>
      </c>
      <c r="AL894" t="str">
        <f>IF(ISNUMBER(FIND("arbeid",Methode_Keuze)),"",IF(ISNUMBER(FIND("arbeid",Methode_Keuze)),"",IF(Tb_Activiteiten[[#This Row],[Eigen arbeid]]=1,Tb_Activiteiten[[#Headers],[Eigen arbeid]],"")))</f>
        <v/>
      </c>
      <c r="AM894" t="str">
        <f>IF(ISNUMBER(FIND("arbeid",Methode_Keuze)),"",IF(ISNUMBER(FIND("arbeid",Methode_Keuze)),"",IF(Tb_Activiteiten[[#This Row],[Projectmedewerker]]=1,Tb_Activiteiten[[#Headers],[Projectmedewerker]],"")))</f>
        <v/>
      </c>
      <c r="AN894" t="str">
        <f>IF(ISNUMBER(FIND("arbeid",Methode_Keuze)),"",IF(ISNUMBER(FIND("arbeid",Methode_Keuze)),"",IF(Tb_Activiteiten[[#This Row],[Landbouwer]]=1,Tb_Activiteiten[[#Headers],[Landbouwer]],"")))</f>
        <v/>
      </c>
      <c r="AO894" t="str">
        <f>IF(ISNUMBER(FIND("arbeid",Methode_Keuze)),"",IF(ISNUMBER(FIND("arbeid",Methode_Keuze)),"",IF(Tb_Activiteiten[[#This Row],[Adviseur]]=1,Tb_Activiteiten[[#Headers],[Adviseur]],"")))</f>
        <v/>
      </c>
      <c r="AP894" t="str">
        <f>IF(ISNUMBER(FIND("arbeid",Methode_Keuze)),"",IF(ISNUMBER(FIND("arbeid",Methode_Keuze)),"",IF(Tb_Activiteiten[[#This Row],[Projectleider/Expert]]=1,Tb_Activiteiten[[#Headers],[Projectleider/Expert]],"")))</f>
        <v/>
      </c>
      <c r="AQ894" t="str">
        <f>IF(ISNUMBER(FIND("arbeid",Methode_Keuze)),"",IF(ISNUMBER(FIND("arbeid",Methode_Keuze)),"",IF(Tb_Activiteiten[[#This Row],[Arbeidskosten]]=1,Tb_Activiteiten[[#Headers],[Arbeidskosten]],"")))</f>
        <v/>
      </c>
      <c r="AR894" t="str">
        <f>IF(ISNUMBER(FIND("arbeid",Methode_Keuze)),"",IF(ISNUMBER(FIND("arbeid",Methode_Keuze)),"",IF(Tb_Activiteiten[[#This Row],[Arbeidskosten op basis van IKS]]=1,Tb_Activiteiten[[#Headers],[Arbeidskosten op basis van IKS]],"")))</f>
        <v/>
      </c>
      <c r="AS894" t="str">
        <f>IF(ISNUMBER(FIND("overige",Methode_Keuze)),"",IF(Tb_Activiteiten[[#This Row],[Kosten derden exclusief btw]]=1,Tb_Activiteiten[[#Headers],[Kosten derden exclusief btw]],""))</f>
        <v/>
      </c>
      <c r="AT894" t="str">
        <f>IF(ISNUMBER(FIND("overige",Methode_Keuze)),"",IF(Tb_Activiteiten[[#This Row],[Niet verrekenbare btw]]=1,Tb_Activiteiten[[#Headers],[Niet verrekenbare btw]],""))</f>
        <v/>
      </c>
      <c r="AU894" t="str">
        <f>IF(ISNUMBER(FIND("overige",Methode_Keuze)),"",IF(Tb_Activiteiten[[#This Row],[Grondkosten]]=1,Tb_Activiteiten[[#Headers],[Grondkosten]],""))</f>
        <v/>
      </c>
      <c r="AV894" t="str">
        <f>IF(ISNUMBER(FIND("overige",Methode_Keuze)),"",IF(Tb_Activiteiten[[#This Row],[Bijdrage in natura (overige)]]=1,Tb_Activiteiten[[#Headers],[Bijdrage in natura (overige)]],""))</f>
        <v/>
      </c>
      <c r="AW894" t="str">
        <f>IF(ISNUMBER(FIND("overige",Methode_Keuze)),"",IF(Tb_Activiteiten[[#This Row],[Bijdrage in natura (vrijwilligers)]]=1,Tb_Activiteiten[[#Headers],[Bijdrage in natura (vrijwilligers)]],""))</f>
        <v/>
      </c>
      <c r="AX894" t="str">
        <f>IF(ISNUMBER(FIND("overige",Methode_Keuze)),"",IF(Tb_Activiteiten[[#This Row],[Afschrijvingskosten]]=1,Tb_Activiteiten[[#Headers],[Afschrijvingskosten]],""))</f>
        <v/>
      </c>
      <c r="AY894" t="str">
        <f>IF(ISNUMBER(FIND("overige",Methode_Keuze)),"",IF(Tb_Activiteiten[[#This Row],[Vergoeding]]=1,Tb_Activiteiten[[#Headers],[Vergoeding]],""))</f>
        <v/>
      </c>
      <c r="AZ894" t="str">
        <f>IF(ISNUMBER(FIND("arbeid",Methode_Keuze)),"",IF(Tb_Activiteiten[[#This Row],[Arbeidskosten - vast tarief (excl eigen arbeid)]]=1,Tb_Activiteiten[[#Headers],[Arbeidskosten - vast tarief (excl eigen arbeid)]],""))</f>
        <v/>
      </c>
      <c r="BA894" t="str">
        <f>IF(ISNUMBER(FIND("overige",Methode_Keuze)),"",IF(Tb_Activiteiten[[#This Row],[Overige kosten]]=1,Tb_Activiteiten[[#Headers],[Overige kosten]],""))</f>
        <v/>
      </c>
    </row>
    <row r="895" spans="1:53" x14ac:dyDescent="0.25">
      <c r="A895" s="231"/>
      <c r="F895" s="64"/>
      <c r="G895" s="64"/>
      <c r="H895" s="275"/>
      <c r="I895" s="275"/>
      <c r="J895" s="275"/>
      <c r="K895" s="275"/>
      <c r="O895" s="56"/>
      <c r="Q895" t="str">
        <f>IFERROR(IF(VLOOKUP(Tb_Activiteiten[[#This Row],[Openstelling]],Tb_Openstelling[],2,0)=1,1,""),"")</f>
        <v/>
      </c>
      <c r="AK895" t="str">
        <f>IF(ISNUMBER(FIND("arbeid",Methode_Keuze)),"",IF(ISNUMBER(FIND("arbeid",Methode_Keuze)),"",IF(Tb_Activiteiten[[#This Row],[Loonkosten]]=1,Tb_Activiteiten[[#Headers],[Loonkosten]],"")))</f>
        <v/>
      </c>
      <c r="AL895" t="str">
        <f>IF(ISNUMBER(FIND("arbeid",Methode_Keuze)),"",IF(ISNUMBER(FIND("arbeid",Methode_Keuze)),"",IF(Tb_Activiteiten[[#This Row],[Eigen arbeid]]=1,Tb_Activiteiten[[#Headers],[Eigen arbeid]],"")))</f>
        <v/>
      </c>
      <c r="AM895" t="str">
        <f>IF(ISNUMBER(FIND("arbeid",Methode_Keuze)),"",IF(ISNUMBER(FIND("arbeid",Methode_Keuze)),"",IF(Tb_Activiteiten[[#This Row],[Projectmedewerker]]=1,Tb_Activiteiten[[#Headers],[Projectmedewerker]],"")))</f>
        <v/>
      </c>
      <c r="AN895" t="str">
        <f>IF(ISNUMBER(FIND("arbeid",Methode_Keuze)),"",IF(ISNUMBER(FIND("arbeid",Methode_Keuze)),"",IF(Tb_Activiteiten[[#This Row],[Landbouwer]]=1,Tb_Activiteiten[[#Headers],[Landbouwer]],"")))</f>
        <v/>
      </c>
      <c r="AO895" t="str">
        <f>IF(ISNUMBER(FIND("arbeid",Methode_Keuze)),"",IF(ISNUMBER(FIND("arbeid",Methode_Keuze)),"",IF(Tb_Activiteiten[[#This Row],[Adviseur]]=1,Tb_Activiteiten[[#Headers],[Adviseur]],"")))</f>
        <v/>
      </c>
      <c r="AP895" t="str">
        <f>IF(ISNUMBER(FIND("arbeid",Methode_Keuze)),"",IF(ISNUMBER(FIND("arbeid",Methode_Keuze)),"",IF(Tb_Activiteiten[[#This Row],[Projectleider/Expert]]=1,Tb_Activiteiten[[#Headers],[Projectleider/Expert]],"")))</f>
        <v/>
      </c>
      <c r="AQ895" t="str">
        <f>IF(ISNUMBER(FIND("arbeid",Methode_Keuze)),"",IF(ISNUMBER(FIND("arbeid",Methode_Keuze)),"",IF(Tb_Activiteiten[[#This Row],[Arbeidskosten]]=1,Tb_Activiteiten[[#Headers],[Arbeidskosten]],"")))</f>
        <v/>
      </c>
      <c r="AR895" t="str">
        <f>IF(ISNUMBER(FIND("arbeid",Methode_Keuze)),"",IF(ISNUMBER(FIND("arbeid",Methode_Keuze)),"",IF(Tb_Activiteiten[[#This Row],[Arbeidskosten op basis van IKS]]=1,Tb_Activiteiten[[#Headers],[Arbeidskosten op basis van IKS]],"")))</f>
        <v/>
      </c>
      <c r="AS895" t="str">
        <f>IF(ISNUMBER(FIND("overige",Methode_Keuze)),"",IF(Tb_Activiteiten[[#This Row],[Kosten derden exclusief btw]]=1,Tb_Activiteiten[[#Headers],[Kosten derden exclusief btw]],""))</f>
        <v/>
      </c>
      <c r="AT895" t="str">
        <f>IF(ISNUMBER(FIND("overige",Methode_Keuze)),"",IF(Tb_Activiteiten[[#This Row],[Niet verrekenbare btw]]=1,Tb_Activiteiten[[#Headers],[Niet verrekenbare btw]],""))</f>
        <v/>
      </c>
      <c r="AU895" t="str">
        <f>IF(ISNUMBER(FIND("overige",Methode_Keuze)),"",IF(Tb_Activiteiten[[#This Row],[Grondkosten]]=1,Tb_Activiteiten[[#Headers],[Grondkosten]],""))</f>
        <v/>
      </c>
      <c r="AV895" t="str">
        <f>IF(ISNUMBER(FIND("overige",Methode_Keuze)),"",IF(Tb_Activiteiten[[#This Row],[Bijdrage in natura (overige)]]=1,Tb_Activiteiten[[#Headers],[Bijdrage in natura (overige)]],""))</f>
        <v/>
      </c>
      <c r="AW895" t="str">
        <f>IF(ISNUMBER(FIND("overige",Methode_Keuze)),"",IF(Tb_Activiteiten[[#This Row],[Bijdrage in natura (vrijwilligers)]]=1,Tb_Activiteiten[[#Headers],[Bijdrage in natura (vrijwilligers)]],""))</f>
        <v/>
      </c>
      <c r="AX895" t="str">
        <f>IF(ISNUMBER(FIND("overige",Methode_Keuze)),"",IF(Tb_Activiteiten[[#This Row],[Afschrijvingskosten]]=1,Tb_Activiteiten[[#Headers],[Afschrijvingskosten]],""))</f>
        <v/>
      </c>
      <c r="AY895" t="str">
        <f>IF(ISNUMBER(FIND("overige",Methode_Keuze)),"",IF(Tb_Activiteiten[[#This Row],[Vergoeding]]=1,Tb_Activiteiten[[#Headers],[Vergoeding]],""))</f>
        <v/>
      </c>
      <c r="AZ895" t="str">
        <f>IF(ISNUMBER(FIND("arbeid",Methode_Keuze)),"",IF(Tb_Activiteiten[[#This Row],[Arbeidskosten - vast tarief (excl eigen arbeid)]]=1,Tb_Activiteiten[[#Headers],[Arbeidskosten - vast tarief (excl eigen arbeid)]],""))</f>
        <v/>
      </c>
      <c r="BA895" t="str">
        <f>IF(ISNUMBER(FIND("overige",Methode_Keuze)),"",IF(Tb_Activiteiten[[#This Row],[Overige kosten]]=1,Tb_Activiteiten[[#Headers],[Overige kosten]],""))</f>
        <v/>
      </c>
    </row>
    <row r="896" spans="1:53" x14ac:dyDescent="0.25">
      <c r="A896" s="231"/>
      <c r="F896" s="64"/>
      <c r="G896" s="64"/>
      <c r="H896" s="275"/>
      <c r="I896" s="275"/>
      <c r="J896" s="275"/>
      <c r="K896" s="275"/>
      <c r="O896" s="56"/>
      <c r="Q896" t="str">
        <f>IFERROR(IF(VLOOKUP(Tb_Activiteiten[[#This Row],[Openstelling]],Tb_Openstelling[],2,0)=1,1,""),"")</f>
        <v/>
      </c>
      <c r="AK896" t="str">
        <f>IF(ISNUMBER(FIND("arbeid",Methode_Keuze)),"",IF(ISNUMBER(FIND("arbeid",Methode_Keuze)),"",IF(Tb_Activiteiten[[#This Row],[Loonkosten]]=1,Tb_Activiteiten[[#Headers],[Loonkosten]],"")))</f>
        <v/>
      </c>
      <c r="AL896" t="str">
        <f>IF(ISNUMBER(FIND("arbeid",Methode_Keuze)),"",IF(ISNUMBER(FIND("arbeid",Methode_Keuze)),"",IF(Tb_Activiteiten[[#This Row],[Eigen arbeid]]=1,Tb_Activiteiten[[#Headers],[Eigen arbeid]],"")))</f>
        <v/>
      </c>
      <c r="AM896" t="str">
        <f>IF(ISNUMBER(FIND("arbeid",Methode_Keuze)),"",IF(ISNUMBER(FIND("arbeid",Methode_Keuze)),"",IF(Tb_Activiteiten[[#This Row],[Projectmedewerker]]=1,Tb_Activiteiten[[#Headers],[Projectmedewerker]],"")))</f>
        <v/>
      </c>
      <c r="AN896" t="str">
        <f>IF(ISNUMBER(FIND("arbeid",Methode_Keuze)),"",IF(ISNUMBER(FIND("arbeid",Methode_Keuze)),"",IF(Tb_Activiteiten[[#This Row],[Landbouwer]]=1,Tb_Activiteiten[[#Headers],[Landbouwer]],"")))</f>
        <v/>
      </c>
      <c r="AO896" t="str">
        <f>IF(ISNUMBER(FIND("arbeid",Methode_Keuze)),"",IF(ISNUMBER(FIND("arbeid",Methode_Keuze)),"",IF(Tb_Activiteiten[[#This Row],[Adviseur]]=1,Tb_Activiteiten[[#Headers],[Adviseur]],"")))</f>
        <v/>
      </c>
      <c r="AP896" t="str">
        <f>IF(ISNUMBER(FIND("arbeid",Methode_Keuze)),"",IF(ISNUMBER(FIND("arbeid",Methode_Keuze)),"",IF(Tb_Activiteiten[[#This Row],[Projectleider/Expert]]=1,Tb_Activiteiten[[#Headers],[Projectleider/Expert]],"")))</f>
        <v/>
      </c>
      <c r="AQ896" t="str">
        <f>IF(ISNUMBER(FIND("arbeid",Methode_Keuze)),"",IF(ISNUMBER(FIND("arbeid",Methode_Keuze)),"",IF(Tb_Activiteiten[[#This Row],[Arbeidskosten]]=1,Tb_Activiteiten[[#Headers],[Arbeidskosten]],"")))</f>
        <v/>
      </c>
      <c r="AR896" t="str">
        <f>IF(ISNUMBER(FIND("arbeid",Methode_Keuze)),"",IF(ISNUMBER(FIND("arbeid",Methode_Keuze)),"",IF(Tb_Activiteiten[[#This Row],[Arbeidskosten op basis van IKS]]=1,Tb_Activiteiten[[#Headers],[Arbeidskosten op basis van IKS]],"")))</f>
        <v/>
      </c>
      <c r="AS896" t="str">
        <f>IF(ISNUMBER(FIND("overige",Methode_Keuze)),"",IF(Tb_Activiteiten[[#This Row],[Kosten derden exclusief btw]]=1,Tb_Activiteiten[[#Headers],[Kosten derden exclusief btw]],""))</f>
        <v/>
      </c>
      <c r="AT896" t="str">
        <f>IF(ISNUMBER(FIND("overige",Methode_Keuze)),"",IF(Tb_Activiteiten[[#This Row],[Niet verrekenbare btw]]=1,Tb_Activiteiten[[#Headers],[Niet verrekenbare btw]],""))</f>
        <v/>
      </c>
      <c r="AU896" t="str">
        <f>IF(ISNUMBER(FIND("overige",Methode_Keuze)),"",IF(Tb_Activiteiten[[#This Row],[Grondkosten]]=1,Tb_Activiteiten[[#Headers],[Grondkosten]],""))</f>
        <v/>
      </c>
      <c r="AV896" t="str">
        <f>IF(ISNUMBER(FIND("overige",Methode_Keuze)),"",IF(Tb_Activiteiten[[#This Row],[Bijdrage in natura (overige)]]=1,Tb_Activiteiten[[#Headers],[Bijdrage in natura (overige)]],""))</f>
        <v/>
      </c>
      <c r="AW896" t="str">
        <f>IF(ISNUMBER(FIND("overige",Methode_Keuze)),"",IF(Tb_Activiteiten[[#This Row],[Bijdrage in natura (vrijwilligers)]]=1,Tb_Activiteiten[[#Headers],[Bijdrage in natura (vrijwilligers)]],""))</f>
        <v/>
      </c>
      <c r="AX896" t="str">
        <f>IF(ISNUMBER(FIND("overige",Methode_Keuze)),"",IF(Tb_Activiteiten[[#This Row],[Afschrijvingskosten]]=1,Tb_Activiteiten[[#Headers],[Afschrijvingskosten]],""))</f>
        <v/>
      </c>
      <c r="AY896" t="str">
        <f>IF(ISNUMBER(FIND("overige",Methode_Keuze)),"",IF(Tb_Activiteiten[[#This Row],[Vergoeding]]=1,Tb_Activiteiten[[#Headers],[Vergoeding]],""))</f>
        <v/>
      </c>
      <c r="AZ896" t="str">
        <f>IF(ISNUMBER(FIND("arbeid",Methode_Keuze)),"",IF(Tb_Activiteiten[[#This Row],[Arbeidskosten - vast tarief (excl eigen arbeid)]]=1,Tb_Activiteiten[[#Headers],[Arbeidskosten - vast tarief (excl eigen arbeid)]],""))</f>
        <v/>
      </c>
      <c r="BA896" t="str">
        <f>IF(ISNUMBER(FIND("overige",Methode_Keuze)),"",IF(Tb_Activiteiten[[#This Row],[Overige kosten]]=1,Tb_Activiteiten[[#Headers],[Overige kosten]],""))</f>
        <v/>
      </c>
    </row>
    <row r="897" spans="1:53" x14ac:dyDescent="0.25">
      <c r="A897" s="231"/>
      <c r="F897" s="64"/>
      <c r="G897" s="64"/>
      <c r="H897" s="275"/>
      <c r="I897" s="275"/>
      <c r="J897" s="275"/>
      <c r="K897" s="275"/>
      <c r="O897" s="56"/>
      <c r="Q897" t="str">
        <f>IFERROR(IF(VLOOKUP(Tb_Activiteiten[[#This Row],[Openstelling]],Tb_Openstelling[],2,0)=1,1,""),"")</f>
        <v/>
      </c>
      <c r="AK897" t="str">
        <f>IF(ISNUMBER(FIND("arbeid",Methode_Keuze)),"",IF(ISNUMBER(FIND("arbeid",Methode_Keuze)),"",IF(Tb_Activiteiten[[#This Row],[Loonkosten]]=1,Tb_Activiteiten[[#Headers],[Loonkosten]],"")))</f>
        <v/>
      </c>
      <c r="AL897" t="str">
        <f>IF(ISNUMBER(FIND("arbeid",Methode_Keuze)),"",IF(ISNUMBER(FIND("arbeid",Methode_Keuze)),"",IF(Tb_Activiteiten[[#This Row],[Eigen arbeid]]=1,Tb_Activiteiten[[#Headers],[Eigen arbeid]],"")))</f>
        <v/>
      </c>
      <c r="AM897" t="str">
        <f>IF(ISNUMBER(FIND("arbeid",Methode_Keuze)),"",IF(ISNUMBER(FIND("arbeid",Methode_Keuze)),"",IF(Tb_Activiteiten[[#This Row],[Projectmedewerker]]=1,Tb_Activiteiten[[#Headers],[Projectmedewerker]],"")))</f>
        <v/>
      </c>
      <c r="AN897" t="str">
        <f>IF(ISNUMBER(FIND("arbeid",Methode_Keuze)),"",IF(ISNUMBER(FIND("arbeid",Methode_Keuze)),"",IF(Tb_Activiteiten[[#This Row],[Landbouwer]]=1,Tb_Activiteiten[[#Headers],[Landbouwer]],"")))</f>
        <v/>
      </c>
      <c r="AO897" t="str">
        <f>IF(ISNUMBER(FIND("arbeid",Methode_Keuze)),"",IF(ISNUMBER(FIND("arbeid",Methode_Keuze)),"",IF(Tb_Activiteiten[[#This Row],[Adviseur]]=1,Tb_Activiteiten[[#Headers],[Adviseur]],"")))</f>
        <v/>
      </c>
      <c r="AP897" t="str">
        <f>IF(ISNUMBER(FIND("arbeid",Methode_Keuze)),"",IF(ISNUMBER(FIND("arbeid",Methode_Keuze)),"",IF(Tb_Activiteiten[[#This Row],[Projectleider/Expert]]=1,Tb_Activiteiten[[#Headers],[Projectleider/Expert]],"")))</f>
        <v/>
      </c>
      <c r="AQ897" t="str">
        <f>IF(ISNUMBER(FIND("arbeid",Methode_Keuze)),"",IF(ISNUMBER(FIND("arbeid",Methode_Keuze)),"",IF(Tb_Activiteiten[[#This Row],[Arbeidskosten]]=1,Tb_Activiteiten[[#Headers],[Arbeidskosten]],"")))</f>
        <v/>
      </c>
      <c r="AR897" t="str">
        <f>IF(ISNUMBER(FIND("arbeid",Methode_Keuze)),"",IF(ISNUMBER(FIND("arbeid",Methode_Keuze)),"",IF(Tb_Activiteiten[[#This Row],[Arbeidskosten op basis van IKS]]=1,Tb_Activiteiten[[#Headers],[Arbeidskosten op basis van IKS]],"")))</f>
        <v/>
      </c>
      <c r="AS897" t="str">
        <f>IF(ISNUMBER(FIND("overige",Methode_Keuze)),"",IF(Tb_Activiteiten[[#This Row],[Kosten derden exclusief btw]]=1,Tb_Activiteiten[[#Headers],[Kosten derden exclusief btw]],""))</f>
        <v/>
      </c>
      <c r="AT897" t="str">
        <f>IF(ISNUMBER(FIND("overige",Methode_Keuze)),"",IF(Tb_Activiteiten[[#This Row],[Niet verrekenbare btw]]=1,Tb_Activiteiten[[#Headers],[Niet verrekenbare btw]],""))</f>
        <v/>
      </c>
      <c r="AU897" t="str">
        <f>IF(ISNUMBER(FIND("overige",Methode_Keuze)),"",IF(Tb_Activiteiten[[#This Row],[Grondkosten]]=1,Tb_Activiteiten[[#Headers],[Grondkosten]],""))</f>
        <v/>
      </c>
      <c r="AV897" t="str">
        <f>IF(ISNUMBER(FIND("overige",Methode_Keuze)),"",IF(Tb_Activiteiten[[#This Row],[Bijdrage in natura (overige)]]=1,Tb_Activiteiten[[#Headers],[Bijdrage in natura (overige)]],""))</f>
        <v/>
      </c>
      <c r="AW897" t="str">
        <f>IF(ISNUMBER(FIND("overige",Methode_Keuze)),"",IF(Tb_Activiteiten[[#This Row],[Bijdrage in natura (vrijwilligers)]]=1,Tb_Activiteiten[[#Headers],[Bijdrage in natura (vrijwilligers)]],""))</f>
        <v/>
      </c>
      <c r="AX897" t="str">
        <f>IF(ISNUMBER(FIND("overige",Methode_Keuze)),"",IF(Tb_Activiteiten[[#This Row],[Afschrijvingskosten]]=1,Tb_Activiteiten[[#Headers],[Afschrijvingskosten]],""))</f>
        <v/>
      </c>
      <c r="AY897" t="str">
        <f>IF(ISNUMBER(FIND("overige",Methode_Keuze)),"",IF(Tb_Activiteiten[[#This Row],[Vergoeding]]=1,Tb_Activiteiten[[#Headers],[Vergoeding]],""))</f>
        <v/>
      </c>
      <c r="AZ897" t="str">
        <f>IF(ISNUMBER(FIND("arbeid",Methode_Keuze)),"",IF(Tb_Activiteiten[[#This Row],[Arbeidskosten - vast tarief (excl eigen arbeid)]]=1,Tb_Activiteiten[[#Headers],[Arbeidskosten - vast tarief (excl eigen arbeid)]],""))</f>
        <v/>
      </c>
      <c r="BA897" t="str">
        <f>IF(ISNUMBER(FIND("overige",Methode_Keuze)),"",IF(Tb_Activiteiten[[#This Row],[Overige kosten]]=1,Tb_Activiteiten[[#Headers],[Overige kosten]],""))</f>
        <v/>
      </c>
    </row>
    <row r="898" spans="1:53" x14ac:dyDescent="0.25">
      <c r="A898" s="231"/>
      <c r="F898" s="64"/>
      <c r="G898" s="64"/>
      <c r="H898" s="275"/>
      <c r="I898" s="275"/>
      <c r="J898" s="275"/>
      <c r="K898" s="275"/>
      <c r="O898" s="56"/>
      <c r="Q898" t="str">
        <f>IFERROR(IF(VLOOKUP(Tb_Activiteiten[[#This Row],[Openstelling]],Tb_Openstelling[],2,0)=1,1,""),"")</f>
        <v/>
      </c>
      <c r="AK898" t="str">
        <f>IF(ISNUMBER(FIND("arbeid",Methode_Keuze)),"",IF(ISNUMBER(FIND("arbeid",Methode_Keuze)),"",IF(Tb_Activiteiten[[#This Row],[Loonkosten]]=1,Tb_Activiteiten[[#Headers],[Loonkosten]],"")))</f>
        <v/>
      </c>
      <c r="AL898" t="str">
        <f>IF(ISNUMBER(FIND("arbeid",Methode_Keuze)),"",IF(ISNUMBER(FIND("arbeid",Methode_Keuze)),"",IF(Tb_Activiteiten[[#This Row],[Eigen arbeid]]=1,Tb_Activiteiten[[#Headers],[Eigen arbeid]],"")))</f>
        <v/>
      </c>
      <c r="AM898" t="str">
        <f>IF(ISNUMBER(FIND("arbeid",Methode_Keuze)),"",IF(ISNUMBER(FIND("arbeid",Methode_Keuze)),"",IF(Tb_Activiteiten[[#This Row],[Projectmedewerker]]=1,Tb_Activiteiten[[#Headers],[Projectmedewerker]],"")))</f>
        <v/>
      </c>
      <c r="AN898" t="str">
        <f>IF(ISNUMBER(FIND("arbeid",Methode_Keuze)),"",IF(ISNUMBER(FIND("arbeid",Methode_Keuze)),"",IF(Tb_Activiteiten[[#This Row],[Landbouwer]]=1,Tb_Activiteiten[[#Headers],[Landbouwer]],"")))</f>
        <v/>
      </c>
      <c r="AO898" t="str">
        <f>IF(ISNUMBER(FIND("arbeid",Methode_Keuze)),"",IF(ISNUMBER(FIND("arbeid",Methode_Keuze)),"",IF(Tb_Activiteiten[[#This Row],[Adviseur]]=1,Tb_Activiteiten[[#Headers],[Adviseur]],"")))</f>
        <v/>
      </c>
      <c r="AP898" t="str">
        <f>IF(ISNUMBER(FIND("arbeid",Methode_Keuze)),"",IF(ISNUMBER(FIND("arbeid",Methode_Keuze)),"",IF(Tb_Activiteiten[[#This Row],[Projectleider/Expert]]=1,Tb_Activiteiten[[#Headers],[Projectleider/Expert]],"")))</f>
        <v/>
      </c>
      <c r="AQ898" t="str">
        <f>IF(ISNUMBER(FIND("arbeid",Methode_Keuze)),"",IF(ISNUMBER(FIND("arbeid",Methode_Keuze)),"",IF(Tb_Activiteiten[[#This Row],[Arbeidskosten]]=1,Tb_Activiteiten[[#Headers],[Arbeidskosten]],"")))</f>
        <v/>
      </c>
      <c r="AR898" t="str">
        <f>IF(ISNUMBER(FIND("arbeid",Methode_Keuze)),"",IF(ISNUMBER(FIND("arbeid",Methode_Keuze)),"",IF(Tb_Activiteiten[[#This Row],[Arbeidskosten op basis van IKS]]=1,Tb_Activiteiten[[#Headers],[Arbeidskosten op basis van IKS]],"")))</f>
        <v/>
      </c>
      <c r="AS898" t="str">
        <f>IF(ISNUMBER(FIND("overige",Methode_Keuze)),"",IF(Tb_Activiteiten[[#This Row],[Kosten derden exclusief btw]]=1,Tb_Activiteiten[[#Headers],[Kosten derden exclusief btw]],""))</f>
        <v/>
      </c>
      <c r="AT898" t="str">
        <f>IF(ISNUMBER(FIND("overige",Methode_Keuze)),"",IF(Tb_Activiteiten[[#This Row],[Niet verrekenbare btw]]=1,Tb_Activiteiten[[#Headers],[Niet verrekenbare btw]],""))</f>
        <v/>
      </c>
      <c r="AU898" t="str">
        <f>IF(ISNUMBER(FIND("overige",Methode_Keuze)),"",IF(Tb_Activiteiten[[#This Row],[Grondkosten]]=1,Tb_Activiteiten[[#Headers],[Grondkosten]],""))</f>
        <v/>
      </c>
      <c r="AV898" t="str">
        <f>IF(ISNUMBER(FIND("overige",Methode_Keuze)),"",IF(Tb_Activiteiten[[#This Row],[Bijdrage in natura (overige)]]=1,Tb_Activiteiten[[#Headers],[Bijdrage in natura (overige)]],""))</f>
        <v/>
      </c>
      <c r="AW898" t="str">
        <f>IF(ISNUMBER(FIND("overige",Methode_Keuze)),"",IF(Tb_Activiteiten[[#This Row],[Bijdrage in natura (vrijwilligers)]]=1,Tb_Activiteiten[[#Headers],[Bijdrage in natura (vrijwilligers)]],""))</f>
        <v/>
      </c>
      <c r="AX898" t="str">
        <f>IF(ISNUMBER(FIND("overige",Methode_Keuze)),"",IF(Tb_Activiteiten[[#This Row],[Afschrijvingskosten]]=1,Tb_Activiteiten[[#Headers],[Afschrijvingskosten]],""))</f>
        <v/>
      </c>
      <c r="AY898" t="str">
        <f>IF(ISNUMBER(FIND("overige",Methode_Keuze)),"",IF(Tb_Activiteiten[[#This Row],[Vergoeding]]=1,Tb_Activiteiten[[#Headers],[Vergoeding]],""))</f>
        <v/>
      </c>
      <c r="AZ898" t="str">
        <f>IF(ISNUMBER(FIND("arbeid",Methode_Keuze)),"",IF(Tb_Activiteiten[[#This Row],[Arbeidskosten - vast tarief (excl eigen arbeid)]]=1,Tb_Activiteiten[[#Headers],[Arbeidskosten - vast tarief (excl eigen arbeid)]],""))</f>
        <v/>
      </c>
      <c r="BA898" t="str">
        <f>IF(ISNUMBER(FIND("overige",Methode_Keuze)),"",IF(Tb_Activiteiten[[#This Row],[Overige kosten]]=1,Tb_Activiteiten[[#Headers],[Overige kosten]],""))</f>
        <v/>
      </c>
    </row>
    <row r="899" spans="1:53" x14ac:dyDescent="0.25">
      <c r="A899" s="231"/>
      <c r="F899" s="64"/>
      <c r="G899" s="64"/>
      <c r="H899" s="275"/>
      <c r="I899" s="275"/>
      <c r="J899" s="275"/>
      <c r="K899" s="275"/>
      <c r="O899" s="56"/>
      <c r="Q899" t="str">
        <f>IFERROR(IF(VLOOKUP(Tb_Activiteiten[[#This Row],[Openstelling]],Tb_Openstelling[],2,0)=1,1,""),"")</f>
        <v/>
      </c>
      <c r="AK899" t="str">
        <f>IF(ISNUMBER(FIND("arbeid",Methode_Keuze)),"",IF(ISNUMBER(FIND("arbeid",Methode_Keuze)),"",IF(Tb_Activiteiten[[#This Row],[Loonkosten]]=1,Tb_Activiteiten[[#Headers],[Loonkosten]],"")))</f>
        <v/>
      </c>
      <c r="AL899" t="str">
        <f>IF(ISNUMBER(FIND("arbeid",Methode_Keuze)),"",IF(ISNUMBER(FIND("arbeid",Methode_Keuze)),"",IF(Tb_Activiteiten[[#This Row],[Eigen arbeid]]=1,Tb_Activiteiten[[#Headers],[Eigen arbeid]],"")))</f>
        <v/>
      </c>
      <c r="AM899" t="str">
        <f>IF(ISNUMBER(FIND("arbeid",Methode_Keuze)),"",IF(ISNUMBER(FIND("arbeid",Methode_Keuze)),"",IF(Tb_Activiteiten[[#This Row],[Projectmedewerker]]=1,Tb_Activiteiten[[#Headers],[Projectmedewerker]],"")))</f>
        <v/>
      </c>
      <c r="AN899" t="str">
        <f>IF(ISNUMBER(FIND("arbeid",Methode_Keuze)),"",IF(ISNUMBER(FIND("arbeid",Methode_Keuze)),"",IF(Tb_Activiteiten[[#This Row],[Landbouwer]]=1,Tb_Activiteiten[[#Headers],[Landbouwer]],"")))</f>
        <v/>
      </c>
      <c r="AO899" t="str">
        <f>IF(ISNUMBER(FIND("arbeid",Methode_Keuze)),"",IF(ISNUMBER(FIND("arbeid",Methode_Keuze)),"",IF(Tb_Activiteiten[[#This Row],[Adviseur]]=1,Tb_Activiteiten[[#Headers],[Adviseur]],"")))</f>
        <v/>
      </c>
      <c r="AP899" t="str">
        <f>IF(ISNUMBER(FIND("arbeid",Methode_Keuze)),"",IF(ISNUMBER(FIND("arbeid",Methode_Keuze)),"",IF(Tb_Activiteiten[[#This Row],[Projectleider/Expert]]=1,Tb_Activiteiten[[#Headers],[Projectleider/Expert]],"")))</f>
        <v/>
      </c>
      <c r="AQ899" t="str">
        <f>IF(ISNUMBER(FIND("arbeid",Methode_Keuze)),"",IF(ISNUMBER(FIND("arbeid",Methode_Keuze)),"",IF(Tb_Activiteiten[[#This Row],[Arbeidskosten]]=1,Tb_Activiteiten[[#Headers],[Arbeidskosten]],"")))</f>
        <v/>
      </c>
      <c r="AR899" t="str">
        <f>IF(ISNUMBER(FIND("arbeid",Methode_Keuze)),"",IF(ISNUMBER(FIND("arbeid",Methode_Keuze)),"",IF(Tb_Activiteiten[[#This Row],[Arbeidskosten op basis van IKS]]=1,Tb_Activiteiten[[#Headers],[Arbeidskosten op basis van IKS]],"")))</f>
        <v/>
      </c>
      <c r="AS899" t="str">
        <f>IF(ISNUMBER(FIND("overige",Methode_Keuze)),"",IF(Tb_Activiteiten[[#This Row],[Kosten derden exclusief btw]]=1,Tb_Activiteiten[[#Headers],[Kosten derden exclusief btw]],""))</f>
        <v/>
      </c>
      <c r="AT899" t="str">
        <f>IF(ISNUMBER(FIND("overige",Methode_Keuze)),"",IF(Tb_Activiteiten[[#This Row],[Niet verrekenbare btw]]=1,Tb_Activiteiten[[#Headers],[Niet verrekenbare btw]],""))</f>
        <v/>
      </c>
      <c r="AU899" t="str">
        <f>IF(ISNUMBER(FIND("overige",Methode_Keuze)),"",IF(Tb_Activiteiten[[#This Row],[Grondkosten]]=1,Tb_Activiteiten[[#Headers],[Grondkosten]],""))</f>
        <v/>
      </c>
      <c r="AV899" t="str">
        <f>IF(ISNUMBER(FIND("overige",Methode_Keuze)),"",IF(Tb_Activiteiten[[#This Row],[Bijdrage in natura (overige)]]=1,Tb_Activiteiten[[#Headers],[Bijdrage in natura (overige)]],""))</f>
        <v/>
      </c>
      <c r="AW899" t="str">
        <f>IF(ISNUMBER(FIND("overige",Methode_Keuze)),"",IF(Tb_Activiteiten[[#This Row],[Bijdrage in natura (vrijwilligers)]]=1,Tb_Activiteiten[[#Headers],[Bijdrage in natura (vrijwilligers)]],""))</f>
        <v/>
      </c>
      <c r="AX899" t="str">
        <f>IF(ISNUMBER(FIND("overige",Methode_Keuze)),"",IF(Tb_Activiteiten[[#This Row],[Afschrijvingskosten]]=1,Tb_Activiteiten[[#Headers],[Afschrijvingskosten]],""))</f>
        <v/>
      </c>
      <c r="AY899" t="str">
        <f>IF(ISNUMBER(FIND("overige",Methode_Keuze)),"",IF(Tb_Activiteiten[[#This Row],[Vergoeding]]=1,Tb_Activiteiten[[#Headers],[Vergoeding]],""))</f>
        <v/>
      </c>
      <c r="AZ899" t="str">
        <f>IF(ISNUMBER(FIND("arbeid",Methode_Keuze)),"",IF(Tb_Activiteiten[[#This Row],[Arbeidskosten - vast tarief (excl eigen arbeid)]]=1,Tb_Activiteiten[[#Headers],[Arbeidskosten - vast tarief (excl eigen arbeid)]],""))</f>
        <v/>
      </c>
      <c r="BA899" t="str">
        <f>IF(ISNUMBER(FIND("overige",Methode_Keuze)),"",IF(Tb_Activiteiten[[#This Row],[Overige kosten]]=1,Tb_Activiteiten[[#Headers],[Overige kosten]],""))</f>
        <v/>
      </c>
    </row>
    <row r="900" spans="1:53" x14ac:dyDescent="0.25">
      <c r="A900" s="231"/>
      <c r="F900" s="64"/>
      <c r="G900" s="64"/>
      <c r="H900" s="275"/>
      <c r="I900" s="275"/>
      <c r="J900" s="275"/>
      <c r="K900" s="275"/>
      <c r="O900" s="56"/>
      <c r="Q900" t="str">
        <f>IFERROR(IF(VLOOKUP(Tb_Activiteiten[[#This Row],[Openstelling]],Tb_Openstelling[],2,0)=1,1,""),"")</f>
        <v/>
      </c>
      <c r="AK900" t="str">
        <f>IF(ISNUMBER(FIND("arbeid",Methode_Keuze)),"",IF(ISNUMBER(FIND("arbeid",Methode_Keuze)),"",IF(Tb_Activiteiten[[#This Row],[Loonkosten]]=1,Tb_Activiteiten[[#Headers],[Loonkosten]],"")))</f>
        <v/>
      </c>
      <c r="AL900" t="str">
        <f>IF(ISNUMBER(FIND("arbeid",Methode_Keuze)),"",IF(ISNUMBER(FIND("arbeid",Methode_Keuze)),"",IF(Tb_Activiteiten[[#This Row],[Eigen arbeid]]=1,Tb_Activiteiten[[#Headers],[Eigen arbeid]],"")))</f>
        <v/>
      </c>
      <c r="AM900" t="str">
        <f>IF(ISNUMBER(FIND("arbeid",Methode_Keuze)),"",IF(ISNUMBER(FIND("arbeid",Methode_Keuze)),"",IF(Tb_Activiteiten[[#This Row],[Projectmedewerker]]=1,Tb_Activiteiten[[#Headers],[Projectmedewerker]],"")))</f>
        <v/>
      </c>
      <c r="AN900" t="str">
        <f>IF(ISNUMBER(FIND("arbeid",Methode_Keuze)),"",IF(ISNUMBER(FIND("arbeid",Methode_Keuze)),"",IF(Tb_Activiteiten[[#This Row],[Landbouwer]]=1,Tb_Activiteiten[[#Headers],[Landbouwer]],"")))</f>
        <v/>
      </c>
      <c r="AO900" t="str">
        <f>IF(ISNUMBER(FIND("arbeid",Methode_Keuze)),"",IF(ISNUMBER(FIND("arbeid",Methode_Keuze)),"",IF(Tb_Activiteiten[[#This Row],[Adviseur]]=1,Tb_Activiteiten[[#Headers],[Adviseur]],"")))</f>
        <v/>
      </c>
      <c r="AP900" t="str">
        <f>IF(ISNUMBER(FIND("arbeid",Methode_Keuze)),"",IF(ISNUMBER(FIND("arbeid",Methode_Keuze)),"",IF(Tb_Activiteiten[[#This Row],[Projectleider/Expert]]=1,Tb_Activiteiten[[#Headers],[Projectleider/Expert]],"")))</f>
        <v/>
      </c>
      <c r="AQ900" t="str">
        <f>IF(ISNUMBER(FIND("arbeid",Methode_Keuze)),"",IF(ISNUMBER(FIND("arbeid",Methode_Keuze)),"",IF(Tb_Activiteiten[[#This Row],[Arbeidskosten]]=1,Tb_Activiteiten[[#Headers],[Arbeidskosten]],"")))</f>
        <v/>
      </c>
      <c r="AR900" t="str">
        <f>IF(ISNUMBER(FIND("arbeid",Methode_Keuze)),"",IF(ISNUMBER(FIND("arbeid",Methode_Keuze)),"",IF(Tb_Activiteiten[[#This Row],[Arbeidskosten op basis van IKS]]=1,Tb_Activiteiten[[#Headers],[Arbeidskosten op basis van IKS]],"")))</f>
        <v/>
      </c>
      <c r="AS900" t="str">
        <f>IF(ISNUMBER(FIND("overige",Methode_Keuze)),"",IF(Tb_Activiteiten[[#This Row],[Kosten derden exclusief btw]]=1,Tb_Activiteiten[[#Headers],[Kosten derden exclusief btw]],""))</f>
        <v/>
      </c>
      <c r="AT900" t="str">
        <f>IF(ISNUMBER(FIND("overige",Methode_Keuze)),"",IF(Tb_Activiteiten[[#This Row],[Niet verrekenbare btw]]=1,Tb_Activiteiten[[#Headers],[Niet verrekenbare btw]],""))</f>
        <v/>
      </c>
      <c r="AU900" t="str">
        <f>IF(ISNUMBER(FIND("overige",Methode_Keuze)),"",IF(Tb_Activiteiten[[#This Row],[Grondkosten]]=1,Tb_Activiteiten[[#Headers],[Grondkosten]],""))</f>
        <v/>
      </c>
      <c r="AV900" t="str">
        <f>IF(ISNUMBER(FIND("overige",Methode_Keuze)),"",IF(Tb_Activiteiten[[#This Row],[Bijdrage in natura (overige)]]=1,Tb_Activiteiten[[#Headers],[Bijdrage in natura (overige)]],""))</f>
        <v/>
      </c>
      <c r="AW900" t="str">
        <f>IF(ISNUMBER(FIND("overige",Methode_Keuze)),"",IF(Tb_Activiteiten[[#This Row],[Bijdrage in natura (vrijwilligers)]]=1,Tb_Activiteiten[[#Headers],[Bijdrage in natura (vrijwilligers)]],""))</f>
        <v/>
      </c>
      <c r="AX900" t="str">
        <f>IF(ISNUMBER(FIND("overige",Methode_Keuze)),"",IF(Tb_Activiteiten[[#This Row],[Afschrijvingskosten]]=1,Tb_Activiteiten[[#Headers],[Afschrijvingskosten]],""))</f>
        <v/>
      </c>
      <c r="AY900" t="str">
        <f>IF(ISNUMBER(FIND("overige",Methode_Keuze)),"",IF(Tb_Activiteiten[[#This Row],[Vergoeding]]=1,Tb_Activiteiten[[#Headers],[Vergoeding]],""))</f>
        <v/>
      </c>
      <c r="AZ900" t="str">
        <f>IF(ISNUMBER(FIND("arbeid",Methode_Keuze)),"",IF(Tb_Activiteiten[[#This Row],[Arbeidskosten - vast tarief (excl eigen arbeid)]]=1,Tb_Activiteiten[[#Headers],[Arbeidskosten - vast tarief (excl eigen arbeid)]],""))</f>
        <v/>
      </c>
      <c r="BA900" t="str">
        <f>IF(ISNUMBER(FIND("overige",Methode_Keuze)),"",IF(Tb_Activiteiten[[#This Row],[Overige kosten]]=1,Tb_Activiteiten[[#Headers],[Overige kosten]],""))</f>
        <v/>
      </c>
    </row>
    <row r="901" spans="1:53" x14ac:dyDescent="0.25">
      <c r="A901" s="231"/>
      <c r="F901" s="64"/>
      <c r="G901" s="64"/>
      <c r="H901" s="275"/>
      <c r="I901" s="275"/>
      <c r="J901" s="275"/>
      <c r="K901" s="275"/>
      <c r="O901" s="56"/>
      <c r="Q901" t="str">
        <f>IFERROR(IF(VLOOKUP(Tb_Activiteiten[[#This Row],[Openstelling]],Tb_Openstelling[],2,0)=1,1,""),"")</f>
        <v/>
      </c>
      <c r="AK901" t="str">
        <f>IF(ISNUMBER(FIND("arbeid",Methode_Keuze)),"",IF(ISNUMBER(FIND("arbeid",Methode_Keuze)),"",IF(Tb_Activiteiten[[#This Row],[Loonkosten]]=1,Tb_Activiteiten[[#Headers],[Loonkosten]],"")))</f>
        <v/>
      </c>
      <c r="AL901" t="str">
        <f>IF(ISNUMBER(FIND("arbeid",Methode_Keuze)),"",IF(ISNUMBER(FIND("arbeid",Methode_Keuze)),"",IF(Tb_Activiteiten[[#This Row],[Eigen arbeid]]=1,Tb_Activiteiten[[#Headers],[Eigen arbeid]],"")))</f>
        <v/>
      </c>
      <c r="AM901" t="str">
        <f>IF(ISNUMBER(FIND("arbeid",Methode_Keuze)),"",IF(ISNUMBER(FIND("arbeid",Methode_Keuze)),"",IF(Tb_Activiteiten[[#This Row],[Projectmedewerker]]=1,Tb_Activiteiten[[#Headers],[Projectmedewerker]],"")))</f>
        <v/>
      </c>
      <c r="AN901" t="str">
        <f>IF(ISNUMBER(FIND("arbeid",Methode_Keuze)),"",IF(ISNUMBER(FIND("arbeid",Methode_Keuze)),"",IF(Tb_Activiteiten[[#This Row],[Landbouwer]]=1,Tb_Activiteiten[[#Headers],[Landbouwer]],"")))</f>
        <v/>
      </c>
      <c r="AO901" t="str">
        <f>IF(ISNUMBER(FIND("arbeid",Methode_Keuze)),"",IF(ISNUMBER(FIND("arbeid",Methode_Keuze)),"",IF(Tb_Activiteiten[[#This Row],[Adviseur]]=1,Tb_Activiteiten[[#Headers],[Adviseur]],"")))</f>
        <v/>
      </c>
      <c r="AP901" t="str">
        <f>IF(ISNUMBER(FIND("arbeid",Methode_Keuze)),"",IF(ISNUMBER(FIND("arbeid",Methode_Keuze)),"",IF(Tb_Activiteiten[[#This Row],[Projectleider/Expert]]=1,Tb_Activiteiten[[#Headers],[Projectleider/Expert]],"")))</f>
        <v/>
      </c>
      <c r="AQ901" t="str">
        <f>IF(ISNUMBER(FIND("arbeid",Methode_Keuze)),"",IF(ISNUMBER(FIND("arbeid",Methode_Keuze)),"",IF(Tb_Activiteiten[[#This Row],[Arbeidskosten]]=1,Tb_Activiteiten[[#Headers],[Arbeidskosten]],"")))</f>
        <v/>
      </c>
      <c r="AR901" t="str">
        <f>IF(ISNUMBER(FIND("arbeid",Methode_Keuze)),"",IF(ISNUMBER(FIND("arbeid",Methode_Keuze)),"",IF(Tb_Activiteiten[[#This Row],[Arbeidskosten op basis van IKS]]=1,Tb_Activiteiten[[#Headers],[Arbeidskosten op basis van IKS]],"")))</f>
        <v/>
      </c>
      <c r="AS901" t="str">
        <f>IF(ISNUMBER(FIND("overige",Methode_Keuze)),"",IF(Tb_Activiteiten[[#This Row],[Kosten derden exclusief btw]]=1,Tb_Activiteiten[[#Headers],[Kosten derden exclusief btw]],""))</f>
        <v/>
      </c>
      <c r="AT901" t="str">
        <f>IF(ISNUMBER(FIND("overige",Methode_Keuze)),"",IF(Tb_Activiteiten[[#This Row],[Niet verrekenbare btw]]=1,Tb_Activiteiten[[#Headers],[Niet verrekenbare btw]],""))</f>
        <v/>
      </c>
      <c r="AU901" t="str">
        <f>IF(ISNUMBER(FIND("overige",Methode_Keuze)),"",IF(Tb_Activiteiten[[#This Row],[Grondkosten]]=1,Tb_Activiteiten[[#Headers],[Grondkosten]],""))</f>
        <v/>
      </c>
      <c r="AV901" t="str">
        <f>IF(ISNUMBER(FIND("overige",Methode_Keuze)),"",IF(Tb_Activiteiten[[#This Row],[Bijdrage in natura (overige)]]=1,Tb_Activiteiten[[#Headers],[Bijdrage in natura (overige)]],""))</f>
        <v/>
      </c>
      <c r="AW901" t="str">
        <f>IF(ISNUMBER(FIND("overige",Methode_Keuze)),"",IF(Tb_Activiteiten[[#This Row],[Bijdrage in natura (vrijwilligers)]]=1,Tb_Activiteiten[[#Headers],[Bijdrage in natura (vrijwilligers)]],""))</f>
        <v/>
      </c>
      <c r="AX901" t="str">
        <f>IF(ISNUMBER(FIND("overige",Methode_Keuze)),"",IF(Tb_Activiteiten[[#This Row],[Afschrijvingskosten]]=1,Tb_Activiteiten[[#Headers],[Afschrijvingskosten]],""))</f>
        <v/>
      </c>
      <c r="AY901" t="str">
        <f>IF(ISNUMBER(FIND("overige",Methode_Keuze)),"",IF(Tb_Activiteiten[[#This Row],[Vergoeding]]=1,Tb_Activiteiten[[#Headers],[Vergoeding]],""))</f>
        <v/>
      </c>
      <c r="AZ901" t="str">
        <f>IF(ISNUMBER(FIND("arbeid",Methode_Keuze)),"",IF(Tb_Activiteiten[[#This Row],[Arbeidskosten - vast tarief (excl eigen arbeid)]]=1,Tb_Activiteiten[[#Headers],[Arbeidskosten - vast tarief (excl eigen arbeid)]],""))</f>
        <v/>
      </c>
      <c r="BA901" t="str">
        <f>IF(ISNUMBER(FIND("overige",Methode_Keuze)),"",IF(Tb_Activiteiten[[#This Row],[Overige kosten]]=1,Tb_Activiteiten[[#Headers],[Overige kosten]],""))</f>
        <v/>
      </c>
    </row>
    <row r="902" spans="1:53" x14ac:dyDescent="0.25">
      <c r="A902" s="231"/>
      <c r="F902" s="64"/>
      <c r="G902" s="64"/>
      <c r="H902" s="275"/>
      <c r="I902" s="275"/>
      <c r="J902" s="275"/>
      <c r="K902" s="275"/>
      <c r="O902" s="56"/>
      <c r="Q902" t="str">
        <f>IFERROR(IF(VLOOKUP(Tb_Activiteiten[[#This Row],[Openstelling]],Tb_Openstelling[],2,0)=1,1,""),"")</f>
        <v/>
      </c>
      <c r="AK902" t="str">
        <f>IF(ISNUMBER(FIND("arbeid",Methode_Keuze)),"",IF(ISNUMBER(FIND("arbeid",Methode_Keuze)),"",IF(Tb_Activiteiten[[#This Row],[Loonkosten]]=1,Tb_Activiteiten[[#Headers],[Loonkosten]],"")))</f>
        <v/>
      </c>
      <c r="AL902" t="str">
        <f>IF(ISNUMBER(FIND("arbeid",Methode_Keuze)),"",IF(ISNUMBER(FIND("arbeid",Methode_Keuze)),"",IF(Tb_Activiteiten[[#This Row],[Eigen arbeid]]=1,Tb_Activiteiten[[#Headers],[Eigen arbeid]],"")))</f>
        <v/>
      </c>
      <c r="AM902" t="str">
        <f>IF(ISNUMBER(FIND("arbeid",Methode_Keuze)),"",IF(ISNUMBER(FIND("arbeid",Methode_Keuze)),"",IF(Tb_Activiteiten[[#This Row],[Projectmedewerker]]=1,Tb_Activiteiten[[#Headers],[Projectmedewerker]],"")))</f>
        <v/>
      </c>
      <c r="AN902" t="str">
        <f>IF(ISNUMBER(FIND("arbeid",Methode_Keuze)),"",IF(ISNUMBER(FIND("arbeid",Methode_Keuze)),"",IF(Tb_Activiteiten[[#This Row],[Landbouwer]]=1,Tb_Activiteiten[[#Headers],[Landbouwer]],"")))</f>
        <v/>
      </c>
      <c r="AO902" t="str">
        <f>IF(ISNUMBER(FIND("arbeid",Methode_Keuze)),"",IF(ISNUMBER(FIND("arbeid",Methode_Keuze)),"",IF(Tb_Activiteiten[[#This Row],[Adviseur]]=1,Tb_Activiteiten[[#Headers],[Adviseur]],"")))</f>
        <v/>
      </c>
      <c r="AP902" t="str">
        <f>IF(ISNUMBER(FIND("arbeid",Methode_Keuze)),"",IF(ISNUMBER(FIND("arbeid",Methode_Keuze)),"",IF(Tb_Activiteiten[[#This Row],[Projectleider/Expert]]=1,Tb_Activiteiten[[#Headers],[Projectleider/Expert]],"")))</f>
        <v/>
      </c>
      <c r="AQ902" t="str">
        <f>IF(ISNUMBER(FIND("arbeid",Methode_Keuze)),"",IF(ISNUMBER(FIND("arbeid",Methode_Keuze)),"",IF(Tb_Activiteiten[[#This Row],[Arbeidskosten]]=1,Tb_Activiteiten[[#Headers],[Arbeidskosten]],"")))</f>
        <v/>
      </c>
      <c r="AR902" t="str">
        <f>IF(ISNUMBER(FIND("arbeid",Methode_Keuze)),"",IF(ISNUMBER(FIND("arbeid",Methode_Keuze)),"",IF(Tb_Activiteiten[[#This Row],[Arbeidskosten op basis van IKS]]=1,Tb_Activiteiten[[#Headers],[Arbeidskosten op basis van IKS]],"")))</f>
        <v/>
      </c>
      <c r="AS902" t="str">
        <f>IF(ISNUMBER(FIND("overige",Methode_Keuze)),"",IF(Tb_Activiteiten[[#This Row],[Kosten derden exclusief btw]]=1,Tb_Activiteiten[[#Headers],[Kosten derden exclusief btw]],""))</f>
        <v/>
      </c>
      <c r="AT902" t="str">
        <f>IF(ISNUMBER(FIND("overige",Methode_Keuze)),"",IF(Tb_Activiteiten[[#This Row],[Niet verrekenbare btw]]=1,Tb_Activiteiten[[#Headers],[Niet verrekenbare btw]],""))</f>
        <v/>
      </c>
      <c r="AU902" t="str">
        <f>IF(ISNUMBER(FIND("overige",Methode_Keuze)),"",IF(Tb_Activiteiten[[#This Row],[Grondkosten]]=1,Tb_Activiteiten[[#Headers],[Grondkosten]],""))</f>
        <v/>
      </c>
      <c r="AV902" t="str">
        <f>IF(ISNUMBER(FIND("overige",Methode_Keuze)),"",IF(Tb_Activiteiten[[#This Row],[Bijdrage in natura (overige)]]=1,Tb_Activiteiten[[#Headers],[Bijdrage in natura (overige)]],""))</f>
        <v/>
      </c>
      <c r="AW902" t="str">
        <f>IF(ISNUMBER(FIND("overige",Methode_Keuze)),"",IF(Tb_Activiteiten[[#This Row],[Bijdrage in natura (vrijwilligers)]]=1,Tb_Activiteiten[[#Headers],[Bijdrage in natura (vrijwilligers)]],""))</f>
        <v/>
      </c>
      <c r="AX902" t="str">
        <f>IF(ISNUMBER(FIND("overige",Methode_Keuze)),"",IF(Tb_Activiteiten[[#This Row],[Afschrijvingskosten]]=1,Tb_Activiteiten[[#Headers],[Afschrijvingskosten]],""))</f>
        <v/>
      </c>
      <c r="AY902" t="str">
        <f>IF(ISNUMBER(FIND("overige",Methode_Keuze)),"",IF(Tb_Activiteiten[[#This Row],[Vergoeding]]=1,Tb_Activiteiten[[#Headers],[Vergoeding]],""))</f>
        <v/>
      </c>
      <c r="AZ902" t="str">
        <f>IF(ISNUMBER(FIND("arbeid",Methode_Keuze)),"",IF(Tb_Activiteiten[[#This Row],[Arbeidskosten - vast tarief (excl eigen arbeid)]]=1,Tb_Activiteiten[[#Headers],[Arbeidskosten - vast tarief (excl eigen arbeid)]],""))</f>
        <v/>
      </c>
      <c r="BA902" t="str">
        <f>IF(ISNUMBER(FIND("overige",Methode_Keuze)),"",IF(Tb_Activiteiten[[#This Row],[Overige kosten]]=1,Tb_Activiteiten[[#Headers],[Overige kosten]],""))</f>
        <v/>
      </c>
    </row>
    <row r="903" spans="1:53" x14ac:dyDescent="0.25">
      <c r="A903" s="231"/>
      <c r="F903" s="64"/>
      <c r="G903" s="64"/>
      <c r="H903" s="275"/>
      <c r="I903" s="275"/>
      <c r="J903" s="275"/>
      <c r="K903" s="275"/>
      <c r="O903" s="56"/>
      <c r="Q903" t="str">
        <f>IFERROR(IF(VLOOKUP(Tb_Activiteiten[[#This Row],[Openstelling]],Tb_Openstelling[],2,0)=1,1,""),"")</f>
        <v/>
      </c>
      <c r="AK903" t="str">
        <f>IF(ISNUMBER(FIND("arbeid",Methode_Keuze)),"",IF(ISNUMBER(FIND("arbeid",Methode_Keuze)),"",IF(Tb_Activiteiten[[#This Row],[Loonkosten]]=1,Tb_Activiteiten[[#Headers],[Loonkosten]],"")))</f>
        <v/>
      </c>
      <c r="AL903" t="str">
        <f>IF(ISNUMBER(FIND("arbeid",Methode_Keuze)),"",IF(ISNUMBER(FIND("arbeid",Methode_Keuze)),"",IF(Tb_Activiteiten[[#This Row],[Eigen arbeid]]=1,Tb_Activiteiten[[#Headers],[Eigen arbeid]],"")))</f>
        <v/>
      </c>
      <c r="AM903" t="str">
        <f>IF(ISNUMBER(FIND("arbeid",Methode_Keuze)),"",IF(ISNUMBER(FIND("arbeid",Methode_Keuze)),"",IF(Tb_Activiteiten[[#This Row],[Projectmedewerker]]=1,Tb_Activiteiten[[#Headers],[Projectmedewerker]],"")))</f>
        <v/>
      </c>
      <c r="AN903" t="str">
        <f>IF(ISNUMBER(FIND("arbeid",Methode_Keuze)),"",IF(ISNUMBER(FIND("arbeid",Methode_Keuze)),"",IF(Tb_Activiteiten[[#This Row],[Landbouwer]]=1,Tb_Activiteiten[[#Headers],[Landbouwer]],"")))</f>
        <v/>
      </c>
      <c r="AO903" t="str">
        <f>IF(ISNUMBER(FIND("arbeid",Methode_Keuze)),"",IF(ISNUMBER(FIND("arbeid",Methode_Keuze)),"",IF(Tb_Activiteiten[[#This Row],[Adviseur]]=1,Tb_Activiteiten[[#Headers],[Adviseur]],"")))</f>
        <v/>
      </c>
      <c r="AP903" t="str">
        <f>IF(ISNUMBER(FIND("arbeid",Methode_Keuze)),"",IF(ISNUMBER(FIND("arbeid",Methode_Keuze)),"",IF(Tb_Activiteiten[[#This Row],[Projectleider/Expert]]=1,Tb_Activiteiten[[#Headers],[Projectleider/Expert]],"")))</f>
        <v/>
      </c>
      <c r="AQ903" t="str">
        <f>IF(ISNUMBER(FIND("arbeid",Methode_Keuze)),"",IF(ISNUMBER(FIND("arbeid",Methode_Keuze)),"",IF(Tb_Activiteiten[[#This Row],[Arbeidskosten]]=1,Tb_Activiteiten[[#Headers],[Arbeidskosten]],"")))</f>
        <v/>
      </c>
      <c r="AR903" t="str">
        <f>IF(ISNUMBER(FIND("arbeid",Methode_Keuze)),"",IF(ISNUMBER(FIND("arbeid",Methode_Keuze)),"",IF(Tb_Activiteiten[[#This Row],[Arbeidskosten op basis van IKS]]=1,Tb_Activiteiten[[#Headers],[Arbeidskosten op basis van IKS]],"")))</f>
        <v/>
      </c>
      <c r="AS903" t="str">
        <f>IF(ISNUMBER(FIND("overige",Methode_Keuze)),"",IF(Tb_Activiteiten[[#This Row],[Kosten derden exclusief btw]]=1,Tb_Activiteiten[[#Headers],[Kosten derden exclusief btw]],""))</f>
        <v/>
      </c>
      <c r="AT903" t="str">
        <f>IF(ISNUMBER(FIND("overige",Methode_Keuze)),"",IF(Tb_Activiteiten[[#This Row],[Niet verrekenbare btw]]=1,Tb_Activiteiten[[#Headers],[Niet verrekenbare btw]],""))</f>
        <v/>
      </c>
      <c r="AU903" t="str">
        <f>IF(ISNUMBER(FIND("overige",Methode_Keuze)),"",IF(Tb_Activiteiten[[#This Row],[Grondkosten]]=1,Tb_Activiteiten[[#Headers],[Grondkosten]],""))</f>
        <v/>
      </c>
      <c r="AV903" t="str">
        <f>IF(ISNUMBER(FIND("overige",Methode_Keuze)),"",IF(Tb_Activiteiten[[#This Row],[Bijdrage in natura (overige)]]=1,Tb_Activiteiten[[#Headers],[Bijdrage in natura (overige)]],""))</f>
        <v/>
      </c>
      <c r="AW903" t="str">
        <f>IF(ISNUMBER(FIND("overige",Methode_Keuze)),"",IF(Tb_Activiteiten[[#This Row],[Bijdrage in natura (vrijwilligers)]]=1,Tb_Activiteiten[[#Headers],[Bijdrage in natura (vrijwilligers)]],""))</f>
        <v/>
      </c>
      <c r="AX903" t="str">
        <f>IF(ISNUMBER(FIND("overige",Methode_Keuze)),"",IF(Tb_Activiteiten[[#This Row],[Afschrijvingskosten]]=1,Tb_Activiteiten[[#Headers],[Afschrijvingskosten]],""))</f>
        <v/>
      </c>
      <c r="AY903" t="str">
        <f>IF(ISNUMBER(FIND("overige",Methode_Keuze)),"",IF(Tb_Activiteiten[[#This Row],[Vergoeding]]=1,Tb_Activiteiten[[#Headers],[Vergoeding]],""))</f>
        <v/>
      </c>
      <c r="AZ903" t="str">
        <f>IF(ISNUMBER(FIND("arbeid",Methode_Keuze)),"",IF(Tb_Activiteiten[[#This Row],[Arbeidskosten - vast tarief (excl eigen arbeid)]]=1,Tb_Activiteiten[[#Headers],[Arbeidskosten - vast tarief (excl eigen arbeid)]],""))</f>
        <v/>
      </c>
      <c r="BA903" t="str">
        <f>IF(ISNUMBER(FIND("overige",Methode_Keuze)),"",IF(Tb_Activiteiten[[#This Row],[Overige kosten]]=1,Tb_Activiteiten[[#Headers],[Overige kosten]],""))</f>
        <v/>
      </c>
    </row>
    <row r="904" spans="1:53" x14ac:dyDescent="0.25">
      <c r="A904" s="231"/>
      <c r="F904" s="64"/>
      <c r="G904" s="64"/>
      <c r="H904" s="275"/>
      <c r="I904" s="275"/>
      <c r="J904" s="275"/>
      <c r="K904" s="275"/>
      <c r="O904" s="56"/>
      <c r="Q904" t="str">
        <f>IFERROR(IF(VLOOKUP(Tb_Activiteiten[[#This Row],[Openstelling]],Tb_Openstelling[],2,0)=1,1,""),"")</f>
        <v/>
      </c>
      <c r="AK904" t="str">
        <f>IF(ISNUMBER(FIND("arbeid",Methode_Keuze)),"",IF(ISNUMBER(FIND("arbeid",Methode_Keuze)),"",IF(Tb_Activiteiten[[#This Row],[Loonkosten]]=1,Tb_Activiteiten[[#Headers],[Loonkosten]],"")))</f>
        <v/>
      </c>
      <c r="AL904" t="str">
        <f>IF(ISNUMBER(FIND("arbeid",Methode_Keuze)),"",IF(ISNUMBER(FIND("arbeid",Methode_Keuze)),"",IF(Tb_Activiteiten[[#This Row],[Eigen arbeid]]=1,Tb_Activiteiten[[#Headers],[Eigen arbeid]],"")))</f>
        <v/>
      </c>
      <c r="AM904" t="str">
        <f>IF(ISNUMBER(FIND("arbeid",Methode_Keuze)),"",IF(ISNUMBER(FIND("arbeid",Methode_Keuze)),"",IF(Tb_Activiteiten[[#This Row],[Projectmedewerker]]=1,Tb_Activiteiten[[#Headers],[Projectmedewerker]],"")))</f>
        <v/>
      </c>
      <c r="AN904" t="str">
        <f>IF(ISNUMBER(FIND("arbeid",Methode_Keuze)),"",IF(ISNUMBER(FIND("arbeid",Methode_Keuze)),"",IF(Tb_Activiteiten[[#This Row],[Landbouwer]]=1,Tb_Activiteiten[[#Headers],[Landbouwer]],"")))</f>
        <v/>
      </c>
      <c r="AO904" t="str">
        <f>IF(ISNUMBER(FIND("arbeid",Methode_Keuze)),"",IF(ISNUMBER(FIND("arbeid",Methode_Keuze)),"",IF(Tb_Activiteiten[[#This Row],[Adviseur]]=1,Tb_Activiteiten[[#Headers],[Adviseur]],"")))</f>
        <v/>
      </c>
      <c r="AP904" t="str">
        <f>IF(ISNUMBER(FIND("arbeid",Methode_Keuze)),"",IF(ISNUMBER(FIND("arbeid",Methode_Keuze)),"",IF(Tb_Activiteiten[[#This Row],[Projectleider/Expert]]=1,Tb_Activiteiten[[#Headers],[Projectleider/Expert]],"")))</f>
        <v/>
      </c>
      <c r="AQ904" t="str">
        <f>IF(ISNUMBER(FIND("arbeid",Methode_Keuze)),"",IF(ISNUMBER(FIND("arbeid",Methode_Keuze)),"",IF(Tb_Activiteiten[[#This Row],[Arbeidskosten]]=1,Tb_Activiteiten[[#Headers],[Arbeidskosten]],"")))</f>
        <v/>
      </c>
      <c r="AR904" t="str">
        <f>IF(ISNUMBER(FIND("arbeid",Methode_Keuze)),"",IF(ISNUMBER(FIND("arbeid",Methode_Keuze)),"",IF(Tb_Activiteiten[[#This Row],[Arbeidskosten op basis van IKS]]=1,Tb_Activiteiten[[#Headers],[Arbeidskosten op basis van IKS]],"")))</f>
        <v/>
      </c>
      <c r="AS904" t="str">
        <f>IF(ISNUMBER(FIND("overige",Methode_Keuze)),"",IF(Tb_Activiteiten[[#This Row],[Kosten derden exclusief btw]]=1,Tb_Activiteiten[[#Headers],[Kosten derden exclusief btw]],""))</f>
        <v/>
      </c>
      <c r="AT904" t="str">
        <f>IF(ISNUMBER(FIND("overige",Methode_Keuze)),"",IF(Tb_Activiteiten[[#This Row],[Niet verrekenbare btw]]=1,Tb_Activiteiten[[#Headers],[Niet verrekenbare btw]],""))</f>
        <v/>
      </c>
      <c r="AU904" t="str">
        <f>IF(ISNUMBER(FIND("overige",Methode_Keuze)),"",IF(Tb_Activiteiten[[#This Row],[Grondkosten]]=1,Tb_Activiteiten[[#Headers],[Grondkosten]],""))</f>
        <v/>
      </c>
      <c r="AV904" t="str">
        <f>IF(ISNUMBER(FIND("overige",Methode_Keuze)),"",IF(Tb_Activiteiten[[#This Row],[Bijdrage in natura (overige)]]=1,Tb_Activiteiten[[#Headers],[Bijdrage in natura (overige)]],""))</f>
        <v/>
      </c>
      <c r="AW904" t="str">
        <f>IF(ISNUMBER(FIND("overige",Methode_Keuze)),"",IF(Tb_Activiteiten[[#This Row],[Bijdrage in natura (vrijwilligers)]]=1,Tb_Activiteiten[[#Headers],[Bijdrage in natura (vrijwilligers)]],""))</f>
        <v/>
      </c>
      <c r="AX904" t="str">
        <f>IF(ISNUMBER(FIND("overige",Methode_Keuze)),"",IF(Tb_Activiteiten[[#This Row],[Afschrijvingskosten]]=1,Tb_Activiteiten[[#Headers],[Afschrijvingskosten]],""))</f>
        <v/>
      </c>
      <c r="AY904" t="str">
        <f>IF(ISNUMBER(FIND("overige",Methode_Keuze)),"",IF(Tb_Activiteiten[[#This Row],[Vergoeding]]=1,Tb_Activiteiten[[#Headers],[Vergoeding]],""))</f>
        <v/>
      </c>
      <c r="AZ904" t="str">
        <f>IF(ISNUMBER(FIND("arbeid",Methode_Keuze)),"",IF(Tb_Activiteiten[[#This Row],[Arbeidskosten - vast tarief (excl eigen arbeid)]]=1,Tb_Activiteiten[[#Headers],[Arbeidskosten - vast tarief (excl eigen arbeid)]],""))</f>
        <v/>
      </c>
      <c r="BA904" t="str">
        <f>IF(ISNUMBER(FIND("overige",Methode_Keuze)),"",IF(Tb_Activiteiten[[#This Row],[Overige kosten]]=1,Tb_Activiteiten[[#Headers],[Overige kosten]],""))</f>
        <v/>
      </c>
    </row>
    <row r="905" spans="1:53" x14ac:dyDescent="0.25">
      <c r="A905" s="231"/>
      <c r="F905" s="64"/>
      <c r="G905" s="64"/>
      <c r="H905" s="275"/>
      <c r="I905" s="275"/>
      <c r="J905" s="275"/>
      <c r="K905" s="275"/>
      <c r="O905" s="56"/>
      <c r="Q905" t="str">
        <f>IFERROR(IF(VLOOKUP(Tb_Activiteiten[[#This Row],[Openstelling]],Tb_Openstelling[],2,0)=1,1,""),"")</f>
        <v/>
      </c>
      <c r="AK905" t="str">
        <f>IF(ISNUMBER(FIND("arbeid",Methode_Keuze)),"",IF(ISNUMBER(FIND("arbeid",Methode_Keuze)),"",IF(Tb_Activiteiten[[#This Row],[Loonkosten]]=1,Tb_Activiteiten[[#Headers],[Loonkosten]],"")))</f>
        <v/>
      </c>
      <c r="AL905" t="str">
        <f>IF(ISNUMBER(FIND("arbeid",Methode_Keuze)),"",IF(ISNUMBER(FIND("arbeid",Methode_Keuze)),"",IF(Tb_Activiteiten[[#This Row],[Eigen arbeid]]=1,Tb_Activiteiten[[#Headers],[Eigen arbeid]],"")))</f>
        <v/>
      </c>
      <c r="AM905" t="str">
        <f>IF(ISNUMBER(FIND("arbeid",Methode_Keuze)),"",IF(ISNUMBER(FIND("arbeid",Methode_Keuze)),"",IF(Tb_Activiteiten[[#This Row],[Projectmedewerker]]=1,Tb_Activiteiten[[#Headers],[Projectmedewerker]],"")))</f>
        <v/>
      </c>
      <c r="AN905" t="str">
        <f>IF(ISNUMBER(FIND("arbeid",Methode_Keuze)),"",IF(ISNUMBER(FIND("arbeid",Methode_Keuze)),"",IF(Tb_Activiteiten[[#This Row],[Landbouwer]]=1,Tb_Activiteiten[[#Headers],[Landbouwer]],"")))</f>
        <v/>
      </c>
      <c r="AO905" t="str">
        <f>IF(ISNUMBER(FIND("arbeid",Methode_Keuze)),"",IF(ISNUMBER(FIND("arbeid",Methode_Keuze)),"",IF(Tb_Activiteiten[[#This Row],[Adviseur]]=1,Tb_Activiteiten[[#Headers],[Adviseur]],"")))</f>
        <v/>
      </c>
      <c r="AP905" t="str">
        <f>IF(ISNUMBER(FIND("arbeid",Methode_Keuze)),"",IF(ISNUMBER(FIND("arbeid",Methode_Keuze)),"",IF(Tb_Activiteiten[[#This Row],[Projectleider/Expert]]=1,Tb_Activiteiten[[#Headers],[Projectleider/Expert]],"")))</f>
        <v/>
      </c>
      <c r="AQ905" t="str">
        <f>IF(ISNUMBER(FIND("arbeid",Methode_Keuze)),"",IF(ISNUMBER(FIND("arbeid",Methode_Keuze)),"",IF(Tb_Activiteiten[[#This Row],[Arbeidskosten]]=1,Tb_Activiteiten[[#Headers],[Arbeidskosten]],"")))</f>
        <v/>
      </c>
      <c r="AR905" t="str">
        <f>IF(ISNUMBER(FIND("arbeid",Methode_Keuze)),"",IF(ISNUMBER(FIND("arbeid",Methode_Keuze)),"",IF(Tb_Activiteiten[[#This Row],[Arbeidskosten op basis van IKS]]=1,Tb_Activiteiten[[#Headers],[Arbeidskosten op basis van IKS]],"")))</f>
        <v/>
      </c>
      <c r="AS905" t="str">
        <f>IF(ISNUMBER(FIND("overige",Methode_Keuze)),"",IF(Tb_Activiteiten[[#This Row],[Kosten derden exclusief btw]]=1,Tb_Activiteiten[[#Headers],[Kosten derden exclusief btw]],""))</f>
        <v/>
      </c>
      <c r="AT905" t="str">
        <f>IF(ISNUMBER(FIND("overige",Methode_Keuze)),"",IF(Tb_Activiteiten[[#This Row],[Niet verrekenbare btw]]=1,Tb_Activiteiten[[#Headers],[Niet verrekenbare btw]],""))</f>
        <v/>
      </c>
      <c r="AU905" t="str">
        <f>IF(ISNUMBER(FIND("overige",Methode_Keuze)),"",IF(Tb_Activiteiten[[#This Row],[Grondkosten]]=1,Tb_Activiteiten[[#Headers],[Grondkosten]],""))</f>
        <v/>
      </c>
      <c r="AV905" t="str">
        <f>IF(ISNUMBER(FIND("overige",Methode_Keuze)),"",IF(Tb_Activiteiten[[#This Row],[Bijdrage in natura (overige)]]=1,Tb_Activiteiten[[#Headers],[Bijdrage in natura (overige)]],""))</f>
        <v/>
      </c>
      <c r="AW905" t="str">
        <f>IF(ISNUMBER(FIND("overige",Methode_Keuze)),"",IF(Tb_Activiteiten[[#This Row],[Bijdrage in natura (vrijwilligers)]]=1,Tb_Activiteiten[[#Headers],[Bijdrage in natura (vrijwilligers)]],""))</f>
        <v/>
      </c>
      <c r="AX905" t="str">
        <f>IF(ISNUMBER(FIND("overige",Methode_Keuze)),"",IF(Tb_Activiteiten[[#This Row],[Afschrijvingskosten]]=1,Tb_Activiteiten[[#Headers],[Afschrijvingskosten]],""))</f>
        <v/>
      </c>
      <c r="AY905" t="str">
        <f>IF(ISNUMBER(FIND("overige",Methode_Keuze)),"",IF(Tb_Activiteiten[[#This Row],[Vergoeding]]=1,Tb_Activiteiten[[#Headers],[Vergoeding]],""))</f>
        <v/>
      </c>
      <c r="AZ905" t="str">
        <f>IF(ISNUMBER(FIND("arbeid",Methode_Keuze)),"",IF(Tb_Activiteiten[[#This Row],[Arbeidskosten - vast tarief (excl eigen arbeid)]]=1,Tb_Activiteiten[[#Headers],[Arbeidskosten - vast tarief (excl eigen arbeid)]],""))</f>
        <v/>
      </c>
      <c r="BA905" t="str">
        <f>IF(ISNUMBER(FIND("overige",Methode_Keuze)),"",IF(Tb_Activiteiten[[#This Row],[Overige kosten]]=1,Tb_Activiteiten[[#Headers],[Overige kosten]],""))</f>
        <v/>
      </c>
    </row>
    <row r="906" spans="1:53" x14ac:dyDescent="0.25">
      <c r="A906" s="231"/>
      <c r="F906" s="64"/>
      <c r="G906" s="64"/>
      <c r="H906" s="275"/>
      <c r="I906" s="275"/>
      <c r="J906" s="275"/>
      <c r="K906" s="275"/>
      <c r="O906" s="56"/>
      <c r="Q906" t="str">
        <f>IFERROR(IF(VLOOKUP(Tb_Activiteiten[[#This Row],[Openstelling]],Tb_Openstelling[],2,0)=1,1,""),"")</f>
        <v/>
      </c>
      <c r="AK906" t="str">
        <f>IF(ISNUMBER(FIND("arbeid",Methode_Keuze)),"",IF(ISNUMBER(FIND("arbeid",Methode_Keuze)),"",IF(Tb_Activiteiten[[#This Row],[Loonkosten]]=1,Tb_Activiteiten[[#Headers],[Loonkosten]],"")))</f>
        <v/>
      </c>
      <c r="AL906" t="str">
        <f>IF(ISNUMBER(FIND("arbeid",Methode_Keuze)),"",IF(ISNUMBER(FIND("arbeid",Methode_Keuze)),"",IF(Tb_Activiteiten[[#This Row],[Eigen arbeid]]=1,Tb_Activiteiten[[#Headers],[Eigen arbeid]],"")))</f>
        <v/>
      </c>
      <c r="AM906" t="str">
        <f>IF(ISNUMBER(FIND("arbeid",Methode_Keuze)),"",IF(ISNUMBER(FIND("arbeid",Methode_Keuze)),"",IF(Tb_Activiteiten[[#This Row],[Projectmedewerker]]=1,Tb_Activiteiten[[#Headers],[Projectmedewerker]],"")))</f>
        <v/>
      </c>
      <c r="AN906" t="str">
        <f>IF(ISNUMBER(FIND("arbeid",Methode_Keuze)),"",IF(ISNUMBER(FIND("arbeid",Methode_Keuze)),"",IF(Tb_Activiteiten[[#This Row],[Landbouwer]]=1,Tb_Activiteiten[[#Headers],[Landbouwer]],"")))</f>
        <v/>
      </c>
      <c r="AO906" t="str">
        <f>IF(ISNUMBER(FIND("arbeid",Methode_Keuze)),"",IF(ISNUMBER(FIND("arbeid",Methode_Keuze)),"",IF(Tb_Activiteiten[[#This Row],[Adviseur]]=1,Tb_Activiteiten[[#Headers],[Adviseur]],"")))</f>
        <v/>
      </c>
      <c r="AP906" t="str">
        <f>IF(ISNUMBER(FIND("arbeid",Methode_Keuze)),"",IF(ISNUMBER(FIND("arbeid",Methode_Keuze)),"",IF(Tb_Activiteiten[[#This Row],[Projectleider/Expert]]=1,Tb_Activiteiten[[#Headers],[Projectleider/Expert]],"")))</f>
        <v/>
      </c>
      <c r="AQ906" t="str">
        <f>IF(ISNUMBER(FIND("arbeid",Methode_Keuze)),"",IF(ISNUMBER(FIND("arbeid",Methode_Keuze)),"",IF(Tb_Activiteiten[[#This Row],[Arbeidskosten]]=1,Tb_Activiteiten[[#Headers],[Arbeidskosten]],"")))</f>
        <v/>
      </c>
      <c r="AR906" t="str">
        <f>IF(ISNUMBER(FIND("arbeid",Methode_Keuze)),"",IF(ISNUMBER(FIND("arbeid",Methode_Keuze)),"",IF(Tb_Activiteiten[[#This Row],[Arbeidskosten op basis van IKS]]=1,Tb_Activiteiten[[#Headers],[Arbeidskosten op basis van IKS]],"")))</f>
        <v/>
      </c>
      <c r="AS906" t="str">
        <f>IF(ISNUMBER(FIND("overige",Methode_Keuze)),"",IF(Tb_Activiteiten[[#This Row],[Kosten derden exclusief btw]]=1,Tb_Activiteiten[[#Headers],[Kosten derden exclusief btw]],""))</f>
        <v/>
      </c>
      <c r="AT906" t="str">
        <f>IF(ISNUMBER(FIND("overige",Methode_Keuze)),"",IF(Tb_Activiteiten[[#This Row],[Niet verrekenbare btw]]=1,Tb_Activiteiten[[#Headers],[Niet verrekenbare btw]],""))</f>
        <v/>
      </c>
      <c r="AU906" t="str">
        <f>IF(ISNUMBER(FIND("overige",Methode_Keuze)),"",IF(Tb_Activiteiten[[#This Row],[Grondkosten]]=1,Tb_Activiteiten[[#Headers],[Grondkosten]],""))</f>
        <v/>
      </c>
      <c r="AV906" t="str">
        <f>IF(ISNUMBER(FIND("overige",Methode_Keuze)),"",IF(Tb_Activiteiten[[#This Row],[Bijdrage in natura (overige)]]=1,Tb_Activiteiten[[#Headers],[Bijdrage in natura (overige)]],""))</f>
        <v/>
      </c>
      <c r="AW906" t="str">
        <f>IF(ISNUMBER(FIND("overige",Methode_Keuze)),"",IF(Tb_Activiteiten[[#This Row],[Bijdrage in natura (vrijwilligers)]]=1,Tb_Activiteiten[[#Headers],[Bijdrage in natura (vrijwilligers)]],""))</f>
        <v/>
      </c>
      <c r="AX906" t="str">
        <f>IF(ISNUMBER(FIND("overige",Methode_Keuze)),"",IF(Tb_Activiteiten[[#This Row],[Afschrijvingskosten]]=1,Tb_Activiteiten[[#Headers],[Afschrijvingskosten]],""))</f>
        <v/>
      </c>
      <c r="AY906" t="str">
        <f>IF(ISNUMBER(FIND("overige",Methode_Keuze)),"",IF(Tb_Activiteiten[[#This Row],[Vergoeding]]=1,Tb_Activiteiten[[#Headers],[Vergoeding]],""))</f>
        <v/>
      </c>
      <c r="AZ906" t="str">
        <f>IF(ISNUMBER(FIND("arbeid",Methode_Keuze)),"",IF(Tb_Activiteiten[[#This Row],[Arbeidskosten - vast tarief (excl eigen arbeid)]]=1,Tb_Activiteiten[[#Headers],[Arbeidskosten - vast tarief (excl eigen arbeid)]],""))</f>
        <v/>
      </c>
      <c r="BA906" t="str">
        <f>IF(ISNUMBER(FIND("overige",Methode_Keuze)),"",IF(Tb_Activiteiten[[#This Row],[Overige kosten]]=1,Tb_Activiteiten[[#Headers],[Overige kosten]],""))</f>
        <v/>
      </c>
    </row>
    <row r="907" spans="1:53" x14ac:dyDescent="0.25">
      <c r="A907" s="231"/>
      <c r="F907" s="64"/>
      <c r="G907" s="64"/>
      <c r="H907" s="275"/>
      <c r="I907" s="275"/>
      <c r="J907" s="275"/>
      <c r="K907" s="275"/>
      <c r="O907" s="56"/>
      <c r="Q907" t="str">
        <f>IFERROR(IF(VLOOKUP(Tb_Activiteiten[[#This Row],[Openstelling]],Tb_Openstelling[],2,0)=1,1,""),"")</f>
        <v/>
      </c>
      <c r="AK907" t="str">
        <f>IF(ISNUMBER(FIND("arbeid",Methode_Keuze)),"",IF(ISNUMBER(FIND("arbeid",Methode_Keuze)),"",IF(Tb_Activiteiten[[#This Row],[Loonkosten]]=1,Tb_Activiteiten[[#Headers],[Loonkosten]],"")))</f>
        <v/>
      </c>
      <c r="AL907" t="str">
        <f>IF(ISNUMBER(FIND("arbeid",Methode_Keuze)),"",IF(ISNUMBER(FIND("arbeid",Methode_Keuze)),"",IF(Tb_Activiteiten[[#This Row],[Eigen arbeid]]=1,Tb_Activiteiten[[#Headers],[Eigen arbeid]],"")))</f>
        <v/>
      </c>
      <c r="AM907" t="str">
        <f>IF(ISNUMBER(FIND("arbeid",Methode_Keuze)),"",IF(ISNUMBER(FIND("arbeid",Methode_Keuze)),"",IF(Tb_Activiteiten[[#This Row],[Projectmedewerker]]=1,Tb_Activiteiten[[#Headers],[Projectmedewerker]],"")))</f>
        <v/>
      </c>
      <c r="AN907" t="str">
        <f>IF(ISNUMBER(FIND("arbeid",Methode_Keuze)),"",IF(ISNUMBER(FIND("arbeid",Methode_Keuze)),"",IF(Tb_Activiteiten[[#This Row],[Landbouwer]]=1,Tb_Activiteiten[[#Headers],[Landbouwer]],"")))</f>
        <v/>
      </c>
      <c r="AO907" t="str">
        <f>IF(ISNUMBER(FIND("arbeid",Methode_Keuze)),"",IF(ISNUMBER(FIND("arbeid",Methode_Keuze)),"",IF(Tb_Activiteiten[[#This Row],[Adviseur]]=1,Tb_Activiteiten[[#Headers],[Adviseur]],"")))</f>
        <v/>
      </c>
      <c r="AP907" t="str">
        <f>IF(ISNUMBER(FIND("arbeid",Methode_Keuze)),"",IF(ISNUMBER(FIND("arbeid",Methode_Keuze)),"",IF(Tb_Activiteiten[[#This Row],[Projectleider/Expert]]=1,Tb_Activiteiten[[#Headers],[Projectleider/Expert]],"")))</f>
        <v/>
      </c>
      <c r="AQ907" t="str">
        <f>IF(ISNUMBER(FIND("arbeid",Methode_Keuze)),"",IF(ISNUMBER(FIND("arbeid",Methode_Keuze)),"",IF(Tb_Activiteiten[[#This Row],[Arbeidskosten]]=1,Tb_Activiteiten[[#Headers],[Arbeidskosten]],"")))</f>
        <v/>
      </c>
      <c r="AR907" t="str">
        <f>IF(ISNUMBER(FIND("arbeid",Methode_Keuze)),"",IF(ISNUMBER(FIND("arbeid",Methode_Keuze)),"",IF(Tb_Activiteiten[[#This Row],[Arbeidskosten op basis van IKS]]=1,Tb_Activiteiten[[#Headers],[Arbeidskosten op basis van IKS]],"")))</f>
        <v/>
      </c>
      <c r="AS907" t="str">
        <f>IF(ISNUMBER(FIND("overige",Methode_Keuze)),"",IF(Tb_Activiteiten[[#This Row],[Kosten derden exclusief btw]]=1,Tb_Activiteiten[[#Headers],[Kosten derden exclusief btw]],""))</f>
        <v/>
      </c>
      <c r="AT907" t="str">
        <f>IF(ISNUMBER(FIND("overige",Methode_Keuze)),"",IF(Tb_Activiteiten[[#This Row],[Niet verrekenbare btw]]=1,Tb_Activiteiten[[#Headers],[Niet verrekenbare btw]],""))</f>
        <v/>
      </c>
      <c r="AU907" t="str">
        <f>IF(ISNUMBER(FIND("overige",Methode_Keuze)),"",IF(Tb_Activiteiten[[#This Row],[Grondkosten]]=1,Tb_Activiteiten[[#Headers],[Grondkosten]],""))</f>
        <v/>
      </c>
      <c r="AV907" t="str">
        <f>IF(ISNUMBER(FIND("overige",Methode_Keuze)),"",IF(Tb_Activiteiten[[#This Row],[Bijdrage in natura (overige)]]=1,Tb_Activiteiten[[#Headers],[Bijdrage in natura (overige)]],""))</f>
        <v/>
      </c>
      <c r="AW907" t="str">
        <f>IF(ISNUMBER(FIND("overige",Methode_Keuze)),"",IF(Tb_Activiteiten[[#This Row],[Bijdrage in natura (vrijwilligers)]]=1,Tb_Activiteiten[[#Headers],[Bijdrage in natura (vrijwilligers)]],""))</f>
        <v/>
      </c>
      <c r="AX907" t="str">
        <f>IF(ISNUMBER(FIND("overige",Methode_Keuze)),"",IF(Tb_Activiteiten[[#This Row],[Afschrijvingskosten]]=1,Tb_Activiteiten[[#Headers],[Afschrijvingskosten]],""))</f>
        <v/>
      </c>
      <c r="AY907" t="str">
        <f>IF(ISNUMBER(FIND("overige",Methode_Keuze)),"",IF(Tb_Activiteiten[[#This Row],[Vergoeding]]=1,Tb_Activiteiten[[#Headers],[Vergoeding]],""))</f>
        <v/>
      </c>
      <c r="AZ907" t="str">
        <f>IF(ISNUMBER(FIND("arbeid",Methode_Keuze)),"",IF(Tb_Activiteiten[[#This Row],[Arbeidskosten - vast tarief (excl eigen arbeid)]]=1,Tb_Activiteiten[[#Headers],[Arbeidskosten - vast tarief (excl eigen arbeid)]],""))</f>
        <v/>
      </c>
      <c r="BA907" t="str">
        <f>IF(ISNUMBER(FIND("overige",Methode_Keuze)),"",IF(Tb_Activiteiten[[#This Row],[Overige kosten]]=1,Tb_Activiteiten[[#Headers],[Overige kosten]],""))</f>
        <v/>
      </c>
    </row>
    <row r="908" spans="1:53" x14ac:dyDescent="0.25">
      <c r="A908" s="231"/>
      <c r="F908" s="64"/>
      <c r="G908" s="64"/>
      <c r="H908" s="275"/>
      <c r="I908" s="275"/>
      <c r="J908" s="275"/>
      <c r="K908" s="275"/>
      <c r="O908" s="56"/>
      <c r="Q908" t="str">
        <f>IFERROR(IF(VLOOKUP(Tb_Activiteiten[[#This Row],[Openstelling]],Tb_Openstelling[],2,0)=1,1,""),"")</f>
        <v/>
      </c>
      <c r="AK908" t="str">
        <f>IF(ISNUMBER(FIND("arbeid",Methode_Keuze)),"",IF(ISNUMBER(FIND("arbeid",Methode_Keuze)),"",IF(Tb_Activiteiten[[#This Row],[Loonkosten]]=1,Tb_Activiteiten[[#Headers],[Loonkosten]],"")))</f>
        <v/>
      </c>
      <c r="AL908" t="str">
        <f>IF(ISNUMBER(FIND("arbeid",Methode_Keuze)),"",IF(ISNUMBER(FIND("arbeid",Methode_Keuze)),"",IF(Tb_Activiteiten[[#This Row],[Eigen arbeid]]=1,Tb_Activiteiten[[#Headers],[Eigen arbeid]],"")))</f>
        <v/>
      </c>
      <c r="AM908" t="str">
        <f>IF(ISNUMBER(FIND("arbeid",Methode_Keuze)),"",IF(ISNUMBER(FIND("arbeid",Methode_Keuze)),"",IF(Tb_Activiteiten[[#This Row],[Projectmedewerker]]=1,Tb_Activiteiten[[#Headers],[Projectmedewerker]],"")))</f>
        <v/>
      </c>
      <c r="AN908" t="str">
        <f>IF(ISNUMBER(FIND("arbeid",Methode_Keuze)),"",IF(ISNUMBER(FIND("arbeid",Methode_Keuze)),"",IF(Tb_Activiteiten[[#This Row],[Landbouwer]]=1,Tb_Activiteiten[[#Headers],[Landbouwer]],"")))</f>
        <v/>
      </c>
      <c r="AO908" t="str">
        <f>IF(ISNUMBER(FIND("arbeid",Methode_Keuze)),"",IF(ISNUMBER(FIND("arbeid",Methode_Keuze)),"",IF(Tb_Activiteiten[[#This Row],[Adviseur]]=1,Tb_Activiteiten[[#Headers],[Adviseur]],"")))</f>
        <v/>
      </c>
      <c r="AP908" t="str">
        <f>IF(ISNUMBER(FIND("arbeid",Methode_Keuze)),"",IF(ISNUMBER(FIND("arbeid",Methode_Keuze)),"",IF(Tb_Activiteiten[[#This Row],[Projectleider/Expert]]=1,Tb_Activiteiten[[#Headers],[Projectleider/Expert]],"")))</f>
        <v/>
      </c>
      <c r="AQ908" t="str">
        <f>IF(ISNUMBER(FIND("arbeid",Methode_Keuze)),"",IF(ISNUMBER(FIND("arbeid",Methode_Keuze)),"",IF(Tb_Activiteiten[[#This Row],[Arbeidskosten]]=1,Tb_Activiteiten[[#Headers],[Arbeidskosten]],"")))</f>
        <v/>
      </c>
      <c r="AR908" t="str">
        <f>IF(ISNUMBER(FIND("arbeid",Methode_Keuze)),"",IF(ISNUMBER(FIND("arbeid",Methode_Keuze)),"",IF(Tb_Activiteiten[[#This Row],[Arbeidskosten op basis van IKS]]=1,Tb_Activiteiten[[#Headers],[Arbeidskosten op basis van IKS]],"")))</f>
        <v/>
      </c>
      <c r="AS908" t="str">
        <f>IF(ISNUMBER(FIND("overige",Methode_Keuze)),"",IF(Tb_Activiteiten[[#This Row],[Kosten derden exclusief btw]]=1,Tb_Activiteiten[[#Headers],[Kosten derden exclusief btw]],""))</f>
        <v/>
      </c>
      <c r="AT908" t="str">
        <f>IF(ISNUMBER(FIND("overige",Methode_Keuze)),"",IF(Tb_Activiteiten[[#This Row],[Niet verrekenbare btw]]=1,Tb_Activiteiten[[#Headers],[Niet verrekenbare btw]],""))</f>
        <v/>
      </c>
      <c r="AU908" t="str">
        <f>IF(ISNUMBER(FIND("overige",Methode_Keuze)),"",IF(Tb_Activiteiten[[#This Row],[Grondkosten]]=1,Tb_Activiteiten[[#Headers],[Grondkosten]],""))</f>
        <v/>
      </c>
      <c r="AV908" t="str">
        <f>IF(ISNUMBER(FIND("overige",Methode_Keuze)),"",IF(Tb_Activiteiten[[#This Row],[Bijdrage in natura (overige)]]=1,Tb_Activiteiten[[#Headers],[Bijdrage in natura (overige)]],""))</f>
        <v/>
      </c>
      <c r="AW908" t="str">
        <f>IF(ISNUMBER(FIND("overige",Methode_Keuze)),"",IF(Tb_Activiteiten[[#This Row],[Bijdrage in natura (vrijwilligers)]]=1,Tb_Activiteiten[[#Headers],[Bijdrage in natura (vrijwilligers)]],""))</f>
        <v/>
      </c>
      <c r="AX908" t="str">
        <f>IF(ISNUMBER(FIND("overige",Methode_Keuze)),"",IF(Tb_Activiteiten[[#This Row],[Afschrijvingskosten]]=1,Tb_Activiteiten[[#Headers],[Afschrijvingskosten]],""))</f>
        <v/>
      </c>
      <c r="AY908" t="str">
        <f>IF(ISNUMBER(FIND("overige",Methode_Keuze)),"",IF(Tb_Activiteiten[[#This Row],[Vergoeding]]=1,Tb_Activiteiten[[#Headers],[Vergoeding]],""))</f>
        <v/>
      </c>
      <c r="AZ908" t="str">
        <f>IF(ISNUMBER(FIND("arbeid",Methode_Keuze)),"",IF(Tb_Activiteiten[[#This Row],[Arbeidskosten - vast tarief (excl eigen arbeid)]]=1,Tb_Activiteiten[[#Headers],[Arbeidskosten - vast tarief (excl eigen arbeid)]],""))</f>
        <v/>
      </c>
      <c r="BA908" t="str">
        <f>IF(ISNUMBER(FIND("overige",Methode_Keuze)),"",IF(Tb_Activiteiten[[#This Row],[Overige kosten]]=1,Tb_Activiteiten[[#Headers],[Overige kosten]],""))</f>
        <v/>
      </c>
    </row>
    <row r="909" spans="1:53" x14ac:dyDescent="0.25">
      <c r="A909" s="231"/>
      <c r="F909" s="64"/>
      <c r="G909" s="64"/>
      <c r="H909" s="275"/>
      <c r="I909" s="275"/>
      <c r="J909" s="275"/>
      <c r="K909" s="275"/>
      <c r="O909" s="56"/>
      <c r="Q909" t="str">
        <f>IFERROR(IF(VLOOKUP(Tb_Activiteiten[[#This Row],[Openstelling]],Tb_Openstelling[],2,0)=1,1,""),"")</f>
        <v/>
      </c>
      <c r="AK909" t="str">
        <f>IF(ISNUMBER(FIND("arbeid",Methode_Keuze)),"",IF(ISNUMBER(FIND("arbeid",Methode_Keuze)),"",IF(Tb_Activiteiten[[#This Row],[Loonkosten]]=1,Tb_Activiteiten[[#Headers],[Loonkosten]],"")))</f>
        <v/>
      </c>
      <c r="AL909" t="str">
        <f>IF(ISNUMBER(FIND("arbeid",Methode_Keuze)),"",IF(ISNUMBER(FIND("arbeid",Methode_Keuze)),"",IF(Tb_Activiteiten[[#This Row],[Eigen arbeid]]=1,Tb_Activiteiten[[#Headers],[Eigen arbeid]],"")))</f>
        <v/>
      </c>
      <c r="AM909" t="str">
        <f>IF(ISNUMBER(FIND("arbeid",Methode_Keuze)),"",IF(ISNUMBER(FIND("arbeid",Methode_Keuze)),"",IF(Tb_Activiteiten[[#This Row],[Projectmedewerker]]=1,Tb_Activiteiten[[#Headers],[Projectmedewerker]],"")))</f>
        <v/>
      </c>
      <c r="AN909" t="str">
        <f>IF(ISNUMBER(FIND("arbeid",Methode_Keuze)),"",IF(ISNUMBER(FIND("arbeid",Methode_Keuze)),"",IF(Tb_Activiteiten[[#This Row],[Landbouwer]]=1,Tb_Activiteiten[[#Headers],[Landbouwer]],"")))</f>
        <v/>
      </c>
      <c r="AO909" t="str">
        <f>IF(ISNUMBER(FIND("arbeid",Methode_Keuze)),"",IF(ISNUMBER(FIND("arbeid",Methode_Keuze)),"",IF(Tb_Activiteiten[[#This Row],[Adviseur]]=1,Tb_Activiteiten[[#Headers],[Adviseur]],"")))</f>
        <v/>
      </c>
      <c r="AP909" t="str">
        <f>IF(ISNUMBER(FIND("arbeid",Methode_Keuze)),"",IF(ISNUMBER(FIND("arbeid",Methode_Keuze)),"",IF(Tb_Activiteiten[[#This Row],[Projectleider/Expert]]=1,Tb_Activiteiten[[#Headers],[Projectleider/Expert]],"")))</f>
        <v/>
      </c>
      <c r="AQ909" t="str">
        <f>IF(ISNUMBER(FIND("arbeid",Methode_Keuze)),"",IF(ISNUMBER(FIND("arbeid",Methode_Keuze)),"",IF(Tb_Activiteiten[[#This Row],[Arbeidskosten]]=1,Tb_Activiteiten[[#Headers],[Arbeidskosten]],"")))</f>
        <v/>
      </c>
      <c r="AR909" t="str">
        <f>IF(ISNUMBER(FIND("arbeid",Methode_Keuze)),"",IF(ISNUMBER(FIND("arbeid",Methode_Keuze)),"",IF(Tb_Activiteiten[[#This Row],[Arbeidskosten op basis van IKS]]=1,Tb_Activiteiten[[#Headers],[Arbeidskosten op basis van IKS]],"")))</f>
        <v/>
      </c>
      <c r="AS909" t="str">
        <f>IF(ISNUMBER(FIND("overige",Methode_Keuze)),"",IF(Tb_Activiteiten[[#This Row],[Kosten derden exclusief btw]]=1,Tb_Activiteiten[[#Headers],[Kosten derden exclusief btw]],""))</f>
        <v/>
      </c>
      <c r="AT909" t="str">
        <f>IF(ISNUMBER(FIND("overige",Methode_Keuze)),"",IF(Tb_Activiteiten[[#This Row],[Niet verrekenbare btw]]=1,Tb_Activiteiten[[#Headers],[Niet verrekenbare btw]],""))</f>
        <v/>
      </c>
      <c r="AU909" t="str">
        <f>IF(ISNUMBER(FIND("overige",Methode_Keuze)),"",IF(Tb_Activiteiten[[#This Row],[Grondkosten]]=1,Tb_Activiteiten[[#Headers],[Grondkosten]],""))</f>
        <v/>
      </c>
      <c r="AV909" t="str">
        <f>IF(ISNUMBER(FIND("overige",Methode_Keuze)),"",IF(Tb_Activiteiten[[#This Row],[Bijdrage in natura (overige)]]=1,Tb_Activiteiten[[#Headers],[Bijdrage in natura (overige)]],""))</f>
        <v/>
      </c>
      <c r="AW909" t="str">
        <f>IF(ISNUMBER(FIND("overige",Methode_Keuze)),"",IF(Tb_Activiteiten[[#This Row],[Bijdrage in natura (vrijwilligers)]]=1,Tb_Activiteiten[[#Headers],[Bijdrage in natura (vrijwilligers)]],""))</f>
        <v/>
      </c>
      <c r="AX909" t="str">
        <f>IF(ISNUMBER(FIND("overige",Methode_Keuze)),"",IF(Tb_Activiteiten[[#This Row],[Afschrijvingskosten]]=1,Tb_Activiteiten[[#Headers],[Afschrijvingskosten]],""))</f>
        <v/>
      </c>
      <c r="AY909" t="str">
        <f>IF(ISNUMBER(FIND("overige",Methode_Keuze)),"",IF(Tb_Activiteiten[[#This Row],[Vergoeding]]=1,Tb_Activiteiten[[#Headers],[Vergoeding]],""))</f>
        <v/>
      </c>
      <c r="AZ909" t="str">
        <f>IF(ISNUMBER(FIND("arbeid",Methode_Keuze)),"",IF(Tb_Activiteiten[[#This Row],[Arbeidskosten - vast tarief (excl eigen arbeid)]]=1,Tb_Activiteiten[[#Headers],[Arbeidskosten - vast tarief (excl eigen arbeid)]],""))</f>
        <v/>
      </c>
      <c r="BA909" t="str">
        <f>IF(ISNUMBER(FIND("overige",Methode_Keuze)),"",IF(Tb_Activiteiten[[#This Row],[Overige kosten]]=1,Tb_Activiteiten[[#Headers],[Overige kosten]],""))</f>
        <v/>
      </c>
    </row>
    <row r="910" spans="1:53" x14ac:dyDescent="0.25">
      <c r="A910" s="231"/>
      <c r="F910" s="64"/>
      <c r="G910" s="64"/>
      <c r="H910" s="275"/>
      <c r="I910" s="275"/>
      <c r="J910" s="275"/>
      <c r="K910" s="275"/>
      <c r="O910" s="56"/>
      <c r="Q910" t="str">
        <f>IFERROR(IF(VLOOKUP(Tb_Activiteiten[[#This Row],[Openstelling]],Tb_Openstelling[],2,0)=1,1,""),"")</f>
        <v/>
      </c>
      <c r="AK910" t="str">
        <f>IF(ISNUMBER(FIND("arbeid",Methode_Keuze)),"",IF(ISNUMBER(FIND("arbeid",Methode_Keuze)),"",IF(Tb_Activiteiten[[#This Row],[Loonkosten]]=1,Tb_Activiteiten[[#Headers],[Loonkosten]],"")))</f>
        <v/>
      </c>
      <c r="AL910" t="str">
        <f>IF(ISNUMBER(FIND("arbeid",Methode_Keuze)),"",IF(ISNUMBER(FIND("arbeid",Methode_Keuze)),"",IF(Tb_Activiteiten[[#This Row],[Eigen arbeid]]=1,Tb_Activiteiten[[#Headers],[Eigen arbeid]],"")))</f>
        <v/>
      </c>
      <c r="AM910" t="str">
        <f>IF(ISNUMBER(FIND("arbeid",Methode_Keuze)),"",IF(ISNUMBER(FIND("arbeid",Methode_Keuze)),"",IF(Tb_Activiteiten[[#This Row],[Projectmedewerker]]=1,Tb_Activiteiten[[#Headers],[Projectmedewerker]],"")))</f>
        <v/>
      </c>
      <c r="AN910" t="str">
        <f>IF(ISNUMBER(FIND("arbeid",Methode_Keuze)),"",IF(ISNUMBER(FIND("arbeid",Methode_Keuze)),"",IF(Tb_Activiteiten[[#This Row],[Landbouwer]]=1,Tb_Activiteiten[[#Headers],[Landbouwer]],"")))</f>
        <v/>
      </c>
      <c r="AO910" t="str">
        <f>IF(ISNUMBER(FIND("arbeid",Methode_Keuze)),"",IF(ISNUMBER(FIND("arbeid",Methode_Keuze)),"",IF(Tb_Activiteiten[[#This Row],[Adviseur]]=1,Tb_Activiteiten[[#Headers],[Adviseur]],"")))</f>
        <v/>
      </c>
      <c r="AP910" t="str">
        <f>IF(ISNUMBER(FIND("arbeid",Methode_Keuze)),"",IF(ISNUMBER(FIND("arbeid",Methode_Keuze)),"",IF(Tb_Activiteiten[[#This Row],[Projectleider/Expert]]=1,Tb_Activiteiten[[#Headers],[Projectleider/Expert]],"")))</f>
        <v/>
      </c>
      <c r="AQ910" t="str">
        <f>IF(ISNUMBER(FIND("arbeid",Methode_Keuze)),"",IF(ISNUMBER(FIND("arbeid",Methode_Keuze)),"",IF(Tb_Activiteiten[[#This Row],[Arbeidskosten]]=1,Tb_Activiteiten[[#Headers],[Arbeidskosten]],"")))</f>
        <v/>
      </c>
      <c r="AR910" t="str">
        <f>IF(ISNUMBER(FIND("arbeid",Methode_Keuze)),"",IF(ISNUMBER(FIND("arbeid",Methode_Keuze)),"",IF(Tb_Activiteiten[[#This Row],[Arbeidskosten op basis van IKS]]=1,Tb_Activiteiten[[#Headers],[Arbeidskosten op basis van IKS]],"")))</f>
        <v/>
      </c>
      <c r="AS910" t="str">
        <f>IF(ISNUMBER(FIND("overige",Methode_Keuze)),"",IF(Tb_Activiteiten[[#This Row],[Kosten derden exclusief btw]]=1,Tb_Activiteiten[[#Headers],[Kosten derden exclusief btw]],""))</f>
        <v/>
      </c>
      <c r="AT910" t="str">
        <f>IF(ISNUMBER(FIND("overige",Methode_Keuze)),"",IF(Tb_Activiteiten[[#This Row],[Niet verrekenbare btw]]=1,Tb_Activiteiten[[#Headers],[Niet verrekenbare btw]],""))</f>
        <v/>
      </c>
      <c r="AU910" t="str">
        <f>IF(ISNUMBER(FIND("overige",Methode_Keuze)),"",IF(Tb_Activiteiten[[#This Row],[Grondkosten]]=1,Tb_Activiteiten[[#Headers],[Grondkosten]],""))</f>
        <v/>
      </c>
      <c r="AV910" t="str">
        <f>IF(ISNUMBER(FIND("overige",Methode_Keuze)),"",IF(Tb_Activiteiten[[#This Row],[Bijdrage in natura (overige)]]=1,Tb_Activiteiten[[#Headers],[Bijdrage in natura (overige)]],""))</f>
        <v/>
      </c>
      <c r="AW910" t="str">
        <f>IF(ISNUMBER(FIND("overige",Methode_Keuze)),"",IF(Tb_Activiteiten[[#This Row],[Bijdrage in natura (vrijwilligers)]]=1,Tb_Activiteiten[[#Headers],[Bijdrage in natura (vrijwilligers)]],""))</f>
        <v/>
      </c>
      <c r="AX910" t="str">
        <f>IF(ISNUMBER(FIND("overige",Methode_Keuze)),"",IF(Tb_Activiteiten[[#This Row],[Afschrijvingskosten]]=1,Tb_Activiteiten[[#Headers],[Afschrijvingskosten]],""))</f>
        <v/>
      </c>
      <c r="AY910" t="str">
        <f>IF(ISNUMBER(FIND("overige",Methode_Keuze)),"",IF(Tb_Activiteiten[[#This Row],[Vergoeding]]=1,Tb_Activiteiten[[#Headers],[Vergoeding]],""))</f>
        <v/>
      </c>
      <c r="AZ910" t="str">
        <f>IF(ISNUMBER(FIND("arbeid",Methode_Keuze)),"",IF(Tb_Activiteiten[[#This Row],[Arbeidskosten - vast tarief (excl eigen arbeid)]]=1,Tb_Activiteiten[[#Headers],[Arbeidskosten - vast tarief (excl eigen arbeid)]],""))</f>
        <v/>
      </c>
      <c r="BA910" t="str">
        <f>IF(ISNUMBER(FIND("overige",Methode_Keuze)),"",IF(Tb_Activiteiten[[#This Row],[Overige kosten]]=1,Tb_Activiteiten[[#Headers],[Overige kosten]],""))</f>
        <v/>
      </c>
    </row>
    <row r="911" spans="1:53" x14ac:dyDescent="0.25">
      <c r="A911" s="231"/>
      <c r="F911" s="64"/>
      <c r="G911" s="64"/>
      <c r="H911" s="275"/>
      <c r="I911" s="275"/>
      <c r="J911" s="275"/>
      <c r="K911" s="275"/>
      <c r="O911" s="56"/>
      <c r="Q911" t="str">
        <f>IFERROR(IF(VLOOKUP(Tb_Activiteiten[[#This Row],[Openstelling]],Tb_Openstelling[],2,0)=1,1,""),"")</f>
        <v/>
      </c>
      <c r="AK911" t="str">
        <f>IF(ISNUMBER(FIND("arbeid",Methode_Keuze)),"",IF(ISNUMBER(FIND("arbeid",Methode_Keuze)),"",IF(Tb_Activiteiten[[#This Row],[Loonkosten]]=1,Tb_Activiteiten[[#Headers],[Loonkosten]],"")))</f>
        <v/>
      </c>
      <c r="AL911" t="str">
        <f>IF(ISNUMBER(FIND("arbeid",Methode_Keuze)),"",IF(ISNUMBER(FIND("arbeid",Methode_Keuze)),"",IF(Tb_Activiteiten[[#This Row],[Eigen arbeid]]=1,Tb_Activiteiten[[#Headers],[Eigen arbeid]],"")))</f>
        <v/>
      </c>
      <c r="AM911" t="str">
        <f>IF(ISNUMBER(FIND("arbeid",Methode_Keuze)),"",IF(ISNUMBER(FIND("arbeid",Methode_Keuze)),"",IF(Tb_Activiteiten[[#This Row],[Projectmedewerker]]=1,Tb_Activiteiten[[#Headers],[Projectmedewerker]],"")))</f>
        <v/>
      </c>
      <c r="AN911" t="str">
        <f>IF(ISNUMBER(FIND("arbeid",Methode_Keuze)),"",IF(ISNUMBER(FIND("arbeid",Methode_Keuze)),"",IF(Tb_Activiteiten[[#This Row],[Landbouwer]]=1,Tb_Activiteiten[[#Headers],[Landbouwer]],"")))</f>
        <v/>
      </c>
      <c r="AO911" t="str">
        <f>IF(ISNUMBER(FIND("arbeid",Methode_Keuze)),"",IF(ISNUMBER(FIND("arbeid",Methode_Keuze)),"",IF(Tb_Activiteiten[[#This Row],[Adviseur]]=1,Tb_Activiteiten[[#Headers],[Adviseur]],"")))</f>
        <v/>
      </c>
      <c r="AP911" t="str">
        <f>IF(ISNUMBER(FIND("arbeid",Methode_Keuze)),"",IF(ISNUMBER(FIND("arbeid",Methode_Keuze)),"",IF(Tb_Activiteiten[[#This Row],[Projectleider/Expert]]=1,Tb_Activiteiten[[#Headers],[Projectleider/Expert]],"")))</f>
        <v/>
      </c>
      <c r="AQ911" t="str">
        <f>IF(ISNUMBER(FIND("arbeid",Methode_Keuze)),"",IF(ISNUMBER(FIND("arbeid",Methode_Keuze)),"",IF(Tb_Activiteiten[[#This Row],[Arbeidskosten]]=1,Tb_Activiteiten[[#Headers],[Arbeidskosten]],"")))</f>
        <v/>
      </c>
      <c r="AR911" t="str">
        <f>IF(ISNUMBER(FIND("arbeid",Methode_Keuze)),"",IF(ISNUMBER(FIND("arbeid",Methode_Keuze)),"",IF(Tb_Activiteiten[[#This Row],[Arbeidskosten op basis van IKS]]=1,Tb_Activiteiten[[#Headers],[Arbeidskosten op basis van IKS]],"")))</f>
        <v/>
      </c>
      <c r="AS911" t="str">
        <f>IF(ISNUMBER(FIND("overige",Methode_Keuze)),"",IF(Tb_Activiteiten[[#This Row],[Kosten derden exclusief btw]]=1,Tb_Activiteiten[[#Headers],[Kosten derden exclusief btw]],""))</f>
        <v/>
      </c>
      <c r="AT911" t="str">
        <f>IF(ISNUMBER(FIND("overige",Methode_Keuze)),"",IF(Tb_Activiteiten[[#This Row],[Niet verrekenbare btw]]=1,Tb_Activiteiten[[#Headers],[Niet verrekenbare btw]],""))</f>
        <v/>
      </c>
      <c r="AU911" t="str">
        <f>IF(ISNUMBER(FIND("overige",Methode_Keuze)),"",IF(Tb_Activiteiten[[#This Row],[Grondkosten]]=1,Tb_Activiteiten[[#Headers],[Grondkosten]],""))</f>
        <v/>
      </c>
      <c r="AV911" t="str">
        <f>IF(ISNUMBER(FIND("overige",Methode_Keuze)),"",IF(Tb_Activiteiten[[#This Row],[Bijdrage in natura (overige)]]=1,Tb_Activiteiten[[#Headers],[Bijdrage in natura (overige)]],""))</f>
        <v/>
      </c>
      <c r="AW911" t="str">
        <f>IF(ISNUMBER(FIND("overige",Methode_Keuze)),"",IF(Tb_Activiteiten[[#This Row],[Bijdrage in natura (vrijwilligers)]]=1,Tb_Activiteiten[[#Headers],[Bijdrage in natura (vrijwilligers)]],""))</f>
        <v/>
      </c>
      <c r="AX911" t="str">
        <f>IF(ISNUMBER(FIND("overige",Methode_Keuze)),"",IF(Tb_Activiteiten[[#This Row],[Afschrijvingskosten]]=1,Tb_Activiteiten[[#Headers],[Afschrijvingskosten]],""))</f>
        <v/>
      </c>
      <c r="AY911" t="str">
        <f>IF(ISNUMBER(FIND("overige",Methode_Keuze)),"",IF(Tb_Activiteiten[[#This Row],[Vergoeding]]=1,Tb_Activiteiten[[#Headers],[Vergoeding]],""))</f>
        <v/>
      </c>
      <c r="AZ911" t="str">
        <f>IF(ISNUMBER(FIND("arbeid",Methode_Keuze)),"",IF(Tb_Activiteiten[[#This Row],[Arbeidskosten - vast tarief (excl eigen arbeid)]]=1,Tb_Activiteiten[[#Headers],[Arbeidskosten - vast tarief (excl eigen arbeid)]],""))</f>
        <v/>
      </c>
      <c r="BA911" t="str">
        <f>IF(ISNUMBER(FIND("overige",Methode_Keuze)),"",IF(Tb_Activiteiten[[#This Row],[Overige kosten]]=1,Tb_Activiteiten[[#Headers],[Overige kosten]],""))</f>
        <v/>
      </c>
    </row>
    <row r="912" spans="1:53" x14ac:dyDescent="0.25">
      <c r="A912" s="231"/>
      <c r="F912" s="64"/>
      <c r="G912" s="64"/>
      <c r="H912" s="275"/>
      <c r="I912" s="275"/>
      <c r="J912" s="275"/>
      <c r="K912" s="275"/>
      <c r="O912" s="56"/>
      <c r="Q912" t="str">
        <f>IFERROR(IF(VLOOKUP(Tb_Activiteiten[[#This Row],[Openstelling]],Tb_Openstelling[],2,0)=1,1,""),"")</f>
        <v/>
      </c>
      <c r="AK912" t="str">
        <f>IF(ISNUMBER(FIND("arbeid",Methode_Keuze)),"",IF(ISNUMBER(FIND("arbeid",Methode_Keuze)),"",IF(Tb_Activiteiten[[#This Row],[Loonkosten]]=1,Tb_Activiteiten[[#Headers],[Loonkosten]],"")))</f>
        <v/>
      </c>
      <c r="AL912" t="str">
        <f>IF(ISNUMBER(FIND("arbeid",Methode_Keuze)),"",IF(ISNUMBER(FIND("arbeid",Methode_Keuze)),"",IF(Tb_Activiteiten[[#This Row],[Eigen arbeid]]=1,Tb_Activiteiten[[#Headers],[Eigen arbeid]],"")))</f>
        <v/>
      </c>
      <c r="AM912" t="str">
        <f>IF(ISNUMBER(FIND("arbeid",Methode_Keuze)),"",IF(ISNUMBER(FIND("arbeid",Methode_Keuze)),"",IF(Tb_Activiteiten[[#This Row],[Projectmedewerker]]=1,Tb_Activiteiten[[#Headers],[Projectmedewerker]],"")))</f>
        <v/>
      </c>
      <c r="AN912" t="str">
        <f>IF(ISNUMBER(FIND("arbeid",Methode_Keuze)),"",IF(ISNUMBER(FIND("arbeid",Methode_Keuze)),"",IF(Tb_Activiteiten[[#This Row],[Landbouwer]]=1,Tb_Activiteiten[[#Headers],[Landbouwer]],"")))</f>
        <v/>
      </c>
      <c r="AO912" t="str">
        <f>IF(ISNUMBER(FIND("arbeid",Methode_Keuze)),"",IF(ISNUMBER(FIND("arbeid",Methode_Keuze)),"",IF(Tb_Activiteiten[[#This Row],[Adviseur]]=1,Tb_Activiteiten[[#Headers],[Adviseur]],"")))</f>
        <v/>
      </c>
      <c r="AP912" t="str">
        <f>IF(ISNUMBER(FIND("arbeid",Methode_Keuze)),"",IF(ISNUMBER(FIND("arbeid",Methode_Keuze)),"",IF(Tb_Activiteiten[[#This Row],[Projectleider/Expert]]=1,Tb_Activiteiten[[#Headers],[Projectleider/Expert]],"")))</f>
        <v/>
      </c>
      <c r="AQ912" t="str">
        <f>IF(ISNUMBER(FIND("arbeid",Methode_Keuze)),"",IF(ISNUMBER(FIND("arbeid",Methode_Keuze)),"",IF(Tb_Activiteiten[[#This Row],[Arbeidskosten]]=1,Tb_Activiteiten[[#Headers],[Arbeidskosten]],"")))</f>
        <v/>
      </c>
      <c r="AR912" t="str">
        <f>IF(ISNUMBER(FIND("arbeid",Methode_Keuze)),"",IF(ISNUMBER(FIND("arbeid",Methode_Keuze)),"",IF(Tb_Activiteiten[[#This Row],[Arbeidskosten op basis van IKS]]=1,Tb_Activiteiten[[#Headers],[Arbeidskosten op basis van IKS]],"")))</f>
        <v/>
      </c>
      <c r="AS912" t="str">
        <f>IF(ISNUMBER(FIND("overige",Methode_Keuze)),"",IF(Tb_Activiteiten[[#This Row],[Kosten derden exclusief btw]]=1,Tb_Activiteiten[[#Headers],[Kosten derden exclusief btw]],""))</f>
        <v/>
      </c>
      <c r="AT912" t="str">
        <f>IF(ISNUMBER(FIND("overige",Methode_Keuze)),"",IF(Tb_Activiteiten[[#This Row],[Niet verrekenbare btw]]=1,Tb_Activiteiten[[#Headers],[Niet verrekenbare btw]],""))</f>
        <v/>
      </c>
      <c r="AU912" t="str">
        <f>IF(ISNUMBER(FIND("overige",Methode_Keuze)),"",IF(Tb_Activiteiten[[#This Row],[Grondkosten]]=1,Tb_Activiteiten[[#Headers],[Grondkosten]],""))</f>
        <v/>
      </c>
      <c r="AV912" t="str">
        <f>IF(ISNUMBER(FIND("overige",Methode_Keuze)),"",IF(Tb_Activiteiten[[#This Row],[Bijdrage in natura (overige)]]=1,Tb_Activiteiten[[#Headers],[Bijdrage in natura (overige)]],""))</f>
        <v/>
      </c>
      <c r="AW912" t="str">
        <f>IF(ISNUMBER(FIND("overige",Methode_Keuze)),"",IF(Tb_Activiteiten[[#This Row],[Bijdrage in natura (vrijwilligers)]]=1,Tb_Activiteiten[[#Headers],[Bijdrage in natura (vrijwilligers)]],""))</f>
        <v/>
      </c>
      <c r="AX912" t="str">
        <f>IF(ISNUMBER(FIND("overige",Methode_Keuze)),"",IF(Tb_Activiteiten[[#This Row],[Afschrijvingskosten]]=1,Tb_Activiteiten[[#Headers],[Afschrijvingskosten]],""))</f>
        <v/>
      </c>
      <c r="AY912" t="str">
        <f>IF(ISNUMBER(FIND("overige",Methode_Keuze)),"",IF(Tb_Activiteiten[[#This Row],[Vergoeding]]=1,Tb_Activiteiten[[#Headers],[Vergoeding]],""))</f>
        <v/>
      </c>
      <c r="AZ912" t="str">
        <f>IF(ISNUMBER(FIND("arbeid",Methode_Keuze)),"",IF(Tb_Activiteiten[[#This Row],[Arbeidskosten - vast tarief (excl eigen arbeid)]]=1,Tb_Activiteiten[[#Headers],[Arbeidskosten - vast tarief (excl eigen arbeid)]],""))</f>
        <v/>
      </c>
      <c r="BA912" t="str">
        <f>IF(ISNUMBER(FIND("overige",Methode_Keuze)),"",IF(Tb_Activiteiten[[#This Row],[Overige kosten]]=1,Tb_Activiteiten[[#Headers],[Overige kosten]],""))</f>
        <v/>
      </c>
    </row>
    <row r="913" spans="1:53" x14ac:dyDescent="0.25">
      <c r="A913" s="231"/>
      <c r="F913" s="64"/>
      <c r="G913" s="64"/>
      <c r="H913" s="275"/>
      <c r="I913" s="275"/>
      <c r="J913" s="275"/>
      <c r="K913" s="275"/>
      <c r="O913" s="56"/>
      <c r="Q913" t="str">
        <f>IFERROR(IF(VLOOKUP(Tb_Activiteiten[[#This Row],[Openstelling]],Tb_Openstelling[],2,0)=1,1,""),"")</f>
        <v/>
      </c>
      <c r="AK913" t="str">
        <f>IF(ISNUMBER(FIND("arbeid",Methode_Keuze)),"",IF(ISNUMBER(FIND("arbeid",Methode_Keuze)),"",IF(Tb_Activiteiten[[#This Row],[Loonkosten]]=1,Tb_Activiteiten[[#Headers],[Loonkosten]],"")))</f>
        <v/>
      </c>
      <c r="AL913" t="str">
        <f>IF(ISNUMBER(FIND("arbeid",Methode_Keuze)),"",IF(ISNUMBER(FIND("arbeid",Methode_Keuze)),"",IF(Tb_Activiteiten[[#This Row],[Eigen arbeid]]=1,Tb_Activiteiten[[#Headers],[Eigen arbeid]],"")))</f>
        <v/>
      </c>
      <c r="AM913" t="str">
        <f>IF(ISNUMBER(FIND("arbeid",Methode_Keuze)),"",IF(ISNUMBER(FIND("arbeid",Methode_Keuze)),"",IF(Tb_Activiteiten[[#This Row],[Projectmedewerker]]=1,Tb_Activiteiten[[#Headers],[Projectmedewerker]],"")))</f>
        <v/>
      </c>
      <c r="AN913" t="str">
        <f>IF(ISNUMBER(FIND("arbeid",Methode_Keuze)),"",IF(ISNUMBER(FIND("arbeid",Methode_Keuze)),"",IF(Tb_Activiteiten[[#This Row],[Landbouwer]]=1,Tb_Activiteiten[[#Headers],[Landbouwer]],"")))</f>
        <v/>
      </c>
      <c r="AO913" t="str">
        <f>IF(ISNUMBER(FIND("arbeid",Methode_Keuze)),"",IF(ISNUMBER(FIND("arbeid",Methode_Keuze)),"",IF(Tb_Activiteiten[[#This Row],[Adviseur]]=1,Tb_Activiteiten[[#Headers],[Adviseur]],"")))</f>
        <v/>
      </c>
      <c r="AP913" t="str">
        <f>IF(ISNUMBER(FIND("arbeid",Methode_Keuze)),"",IF(ISNUMBER(FIND("arbeid",Methode_Keuze)),"",IF(Tb_Activiteiten[[#This Row],[Projectleider/Expert]]=1,Tb_Activiteiten[[#Headers],[Projectleider/Expert]],"")))</f>
        <v/>
      </c>
      <c r="AQ913" t="str">
        <f>IF(ISNUMBER(FIND("arbeid",Methode_Keuze)),"",IF(ISNUMBER(FIND("arbeid",Methode_Keuze)),"",IF(Tb_Activiteiten[[#This Row],[Arbeidskosten]]=1,Tb_Activiteiten[[#Headers],[Arbeidskosten]],"")))</f>
        <v/>
      </c>
      <c r="AR913" t="str">
        <f>IF(ISNUMBER(FIND("arbeid",Methode_Keuze)),"",IF(ISNUMBER(FIND("arbeid",Methode_Keuze)),"",IF(Tb_Activiteiten[[#This Row],[Arbeidskosten op basis van IKS]]=1,Tb_Activiteiten[[#Headers],[Arbeidskosten op basis van IKS]],"")))</f>
        <v/>
      </c>
      <c r="AS913" t="str">
        <f>IF(ISNUMBER(FIND("overige",Methode_Keuze)),"",IF(Tb_Activiteiten[[#This Row],[Kosten derden exclusief btw]]=1,Tb_Activiteiten[[#Headers],[Kosten derden exclusief btw]],""))</f>
        <v/>
      </c>
      <c r="AT913" t="str">
        <f>IF(ISNUMBER(FIND("overige",Methode_Keuze)),"",IF(Tb_Activiteiten[[#This Row],[Niet verrekenbare btw]]=1,Tb_Activiteiten[[#Headers],[Niet verrekenbare btw]],""))</f>
        <v/>
      </c>
      <c r="AU913" t="str">
        <f>IF(ISNUMBER(FIND("overige",Methode_Keuze)),"",IF(Tb_Activiteiten[[#This Row],[Grondkosten]]=1,Tb_Activiteiten[[#Headers],[Grondkosten]],""))</f>
        <v/>
      </c>
      <c r="AV913" t="str">
        <f>IF(ISNUMBER(FIND("overige",Methode_Keuze)),"",IF(Tb_Activiteiten[[#This Row],[Bijdrage in natura (overige)]]=1,Tb_Activiteiten[[#Headers],[Bijdrage in natura (overige)]],""))</f>
        <v/>
      </c>
      <c r="AW913" t="str">
        <f>IF(ISNUMBER(FIND("overige",Methode_Keuze)),"",IF(Tb_Activiteiten[[#This Row],[Bijdrage in natura (vrijwilligers)]]=1,Tb_Activiteiten[[#Headers],[Bijdrage in natura (vrijwilligers)]],""))</f>
        <v/>
      </c>
      <c r="AX913" t="str">
        <f>IF(ISNUMBER(FIND("overige",Methode_Keuze)),"",IF(Tb_Activiteiten[[#This Row],[Afschrijvingskosten]]=1,Tb_Activiteiten[[#Headers],[Afschrijvingskosten]],""))</f>
        <v/>
      </c>
      <c r="AY913" t="str">
        <f>IF(ISNUMBER(FIND("overige",Methode_Keuze)),"",IF(Tb_Activiteiten[[#This Row],[Vergoeding]]=1,Tb_Activiteiten[[#Headers],[Vergoeding]],""))</f>
        <v/>
      </c>
      <c r="AZ913" t="str">
        <f>IF(ISNUMBER(FIND("arbeid",Methode_Keuze)),"",IF(Tb_Activiteiten[[#This Row],[Arbeidskosten - vast tarief (excl eigen arbeid)]]=1,Tb_Activiteiten[[#Headers],[Arbeidskosten - vast tarief (excl eigen arbeid)]],""))</f>
        <v/>
      </c>
      <c r="BA913" t="str">
        <f>IF(ISNUMBER(FIND("overige",Methode_Keuze)),"",IF(Tb_Activiteiten[[#This Row],[Overige kosten]]=1,Tb_Activiteiten[[#Headers],[Overige kosten]],""))</f>
        <v/>
      </c>
    </row>
    <row r="914" spans="1:53" x14ac:dyDescent="0.25">
      <c r="A914" s="231"/>
      <c r="F914" s="64"/>
      <c r="G914" s="64"/>
      <c r="H914" s="275"/>
      <c r="I914" s="275"/>
      <c r="J914" s="275"/>
      <c r="K914" s="275"/>
      <c r="O914" s="56"/>
      <c r="Q914" t="str">
        <f>IFERROR(IF(VLOOKUP(Tb_Activiteiten[[#This Row],[Openstelling]],Tb_Openstelling[],2,0)=1,1,""),"")</f>
        <v/>
      </c>
      <c r="AK914" t="str">
        <f>IF(ISNUMBER(FIND("arbeid",Methode_Keuze)),"",IF(ISNUMBER(FIND("arbeid",Methode_Keuze)),"",IF(Tb_Activiteiten[[#This Row],[Loonkosten]]=1,Tb_Activiteiten[[#Headers],[Loonkosten]],"")))</f>
        <v/>
      </c>
      <c r="AL914" t="str">
        <f>IF(ISNUMBER(FIND("arbeid",Methode_Keuze)),"",IF(ISNUMBER(FIND("arbeid",Methode_Keuze)),"",IF(Tb_Activiteiten[[#This Row],[Eigen arbeid]]=1,Tb_Activiteiten[[#Headers],[Eigen arbeid]],"")))</f>
        <v/>
      </c>
      <c r="AM914" t="str">
        <f>IF(ISNUMBER(FIND("arbeid",Methode_Keuze)),"",IF(ISNUMBER(FIND("arbeid",Methode_Keuze)),"",IF(Tb_Activiteiten[[#This Row],[Projectmedewerker]]=1,Tb_Activiteiten[[#Headers],[Projectmedewerker]],"")))</f>
        <v/>
      </c>
      <c r="AN914" t="str">
        <f>IF(ISNUMBER(FIND("arbeid",Methode_Keuze)),"",IF(ISNUMBER(FIND("arbeid",Methode_Keuze)),"",IF(Tb_Activiteiten[[#This Row],[Landbouwer]]=1,Tb_Activiteiten[[#Headers],[Landbouwer]],"")))</f>
        <v/>
      </c>
      <c r="AO914" t="str">
        <f>IF(ISNUMBER(FIND("arbeid",Methode_Keuze)),"",IF(ISNUMBER(FIND("arbeid",Methode_Keuze)),"",IF(Tb_Activiteiten[[#This Row],[Adviseur]]=1,Tb_Activiteiten[[#Headers],[Adviseur]],"")))</f>
        <v/>
      </c>
      <c r="AP914" t="str">
        <f>IF(ISNUMBER(FIND("arbeid",Methode_Keuze)),"",IF(ISNUMBER(FIND("arbeid",Methode_Keuze)),"",IF(Tb_Activiteiten[[#This Row],[Projectleider/Expert]]=1,Tb_Activiteiten[[#Headers],[Projectleider/Expert]],"")))</f>
        <v/>
      </c>
      <c r="AQ914" t="str">
        <f>IF(ISNUMBER(FIND("arbeid",Methode_Keuze)),"",IF(ISNUMBER(FIND("arbeid",Methode_Keuze)),"",IF(Tb_Activiteiten[[#This Row],[Arbeidskosten]]=1,Tb_Activiteiten[[#Headers],[Arbeidskosten]],"")))</f>
        <v/>
      </c>
      <c r="AR914" t="str">
        <f>IF(ISNUMBER(FIND("arbeid",Methode_Keuze)),"",IF(ISNUMBER(FIND("arbeid",Methode_Keuze)),"",IF(Tb_Activiteiten[[#This Row],[Arbeidskosten op basis van IKS]]=1,Tb_Activiteiten[[#Headers],[Arbeidskosten op basis van IKS]],"")))</f>
        <v/>
      </c>
      <c r="AS914" t="str">
        <f>IF(ISNUMBER(FIND("overige",Methode_Keuze)),"",IF(Tb_Activiteiten[[#This Row],[Kosten derden exclusief btw]]=1,Tb_Activiteiten[[#Headers],[Kosten derden exclusief btw]],""))</f>
        <v/>
      </c>
      <c r="AT914" t="str">
        <f>IF(ISNUMBER(FIND("overige",Methode_Keuze)),"",IF(Tb_Activiteiten[[#This Row],[Niet verrekenbare btw]]=1,Tb_Activiteiten[[#Headers],[Niet verrekenbare btw]],""))</f>
        <v/>
      </c>
      <c r="AU914" t="str">
        <f>IF(ISNUMBER(FIND("overige",Methode_Keuze)),"",IF(Tb_Activiteiten[[#This Row],[Grondkosten]]=1,Tb_Activiteiten[[#Headers],[Grondkosten]],""))</f>
        <v/>
      </c>
      <c r="AV914" t="str">
        <f>IF(ISNUMBER(FIND("overige",Methode_Keuze)),"",IF(Tb_Activiteiten[[#This Row],[Bijdrage in natura (overige)]]=1,Tb_Activiteiten[[#Headers],[Bijdrage in natura (overige)]],""))</f>
        <v/>
      </c>
      <c r="AW914" t="str">
        <f>IF(ISNUMBER(FIND("overige",Methode_Keuze)),"",IF(Tb_Activiteiten[[#This Row],[Bijdrage in natura (vrijwilligers)]]=1,Tb_Activiteiten[[#Headers],[Bijdrage in natura (vrijwilligers)]],""))</f>
        <v/>
      </c>
      <c r="AX914" t="str">
        <f>IF(ISNUMBER(FIND("overige",Methode_Keuze)),"",IF(Tb_Activiteiten[[#This Row],[Afschrijvingskosten]]=1,Tb_Activiteiten[[#Headers],[Afschrijvingskosten]],""))</f>
        <v/>
      </c>
      <c r="AY914" t="str">
        <f>IF(ISNUMBER(FIND("overige",Methode_Keuze)),"",IF(Tb_Activiteiten[[#This Row],[Vergoeding]]=1,Tb_Activiteiten[[#Headers],[Vergoeding]],""))</f>
        <v/>
      </c>
      <c r="AZ914" t="str">
        <f>IF(ISNUMBER(FIND("arbeid",Methode_Keuze)),"",IF(Tb_Activiteiten[[#This Row],[Arbeidskosten - vast tarief (excl eigen arbeid)]]=1,Tb_Activiteiten[[#Headers],[Arbeidskosten - vast tarief (excl eigen arbeid)]],""))</f>
        <v/>
      </c>
      <c r="BA914" t="str">
        <f>IF(ISNUMBER(FIND("overige",Methode_Keuze)),"",IF(Tb_Activiteiten[[#This Row],[Overige kosten]]=1,Tb_Activiteiten[[#Headers],[Overige kosten]],""))</f>
        <v/>
      </c>
    </row>
    <row r="915" spans="1:53" x14ac:dyDescent="0.25">
      <c r="A915" s="231"/>
      <c r="F915" s="64"/>
      <c r="G915" s="64"/>
      <c r="H915" s="275"/>
      <c r="I915" s="275"/>
      <c r="J915" s="275"/>
      <c r="K915" s="275"/>
      <c r="O915" s="56"/>
      <c r="Q915" t="str">
        <f>IFERROR(IF(VLOOKUP(Tb_Activiteiten[[#This Row],[Openstelling]],Tb_Openstelling[],2,0)=1,1,""),"")</f>
        <v/>
      </c>
      <c r="AK915" t="str">
        <f>IF(ISNUMBER(FIND("arbeid",Methode_Keuze)),"",IF(ISNUMBER(FIND("arbeid",Methode_Keuze)),"",IF(Tb_Activiteiten[[#This Row],[Loonkosten]]=1,Tb_Activiteiten[[#Headers],[Loonkosten]],"")))</f>
        <v/>
      </c>
      <c r="AL915" t="str">
        <f>IF(ISNUMBER(FIND("arbeid",Methode_Keuze)),"",IF(ISNUMBER(FIND("arbeid",Methode_Keuze)),"",IF(Tb_Activiteiten[[#This Row],[Eigen arbeid]]=1,Tb_Activiteiten[[#Headers],[Eigen arbeid]],"")))</f>
        <v/>
      </c>
      <c r="AM915" t="str">
        <f>IF(ISNUMBER(FIND("arbeid",Methode_Keuze)),"",IF(ISNUMBER(FIND("arbeid",Methode_Keuze)),"",IF(Tb_Activiteiten[[#This Row],[Projectmedewerker]]=1,Tb_Activiteiten[[#Headers],[Projectmedewerker]],"")))</f>
        <v/>
      </c>
      <c r="AN915" t="str">
        <f>IF(ISNUMBER(FIND("arbeid",Methode_Keuze)),"",IF(ISNUMBER(FIND("arbeid",Methode_Keuze)),"",IF(Tb_Activiteiten[[#This Row],[Landbouwer]]=1,Tb_Activiteiten[[#Headers],[Landbouwer]],"")))</f>
        <v/>
      </c>
      <c r="AO915" t="str">
        <f>IF(ISNUMBER(FIND("arbeid",Methode_Keuze)),"",IF(ISNUMBER(FIND("arbeid",Methode_Keuze)),"",IF(Tb_Activiteiten[[#This Row],[Adviseur]]=1,Tb_Activiteiten[[#Headers],[Adviseur]],"")))</f>
        <v/>
      </c>
      <c r="AP915" t="str">
        <f>IF(ISNUMBER(FIND("arbeid",Methode_Keuze)),"",IF(ISNUMBER(FIND("arbeid",Methode_Keuze)),"",IF(Tb_Activiteiten[[#This Row],[Projectleider/Expert]]=1,Tb_Activiteiten[[#Headers],[Projectleider/Expert]],"")))</f>
        <v/>
      </c>
      <c r="AQ915" t="str">
        <f>IF(ISNUMBER(FIND("arbeid",Methode_Keuze)),"",IF(ISNUMBER(FIND("arbeid",Methode_Keuze)),"",IF(Tb_Activiteiten[[#This Row],[Arbeidskosten]]=1,Tb_Activiteiten[[#Headers],[Arbeidskosten]],"")))</f>
        <v/>
      </c>
      <c r="AR915" t="str">
        <f>IF(ISNUMBER(FIND("arbeid",Methode_Keuze)),"",IF(ISNUMBER(FIND("arbeid",Methode_Keuze)),"",IF(Tb_Activiteiten[[#This Row],[Arbeidskosten op basis van IKS]]=1,Tb_Activiteiten[[#Headers],[Arbeidskosten op basis van IKS]],"")))</f>
        <v/>
      </c>
      <c r="AS915" t="str">
        <f>IF(ISNUMBER(FIND("overige",Methode_Keuze)),"",IF(Tb_Activiteiten[[#This Row],[Kosten derden exclusief btw]]=1,Tb_Activiteiten[[#Headers],[Kosten derden exclusief btw]],""))</f>
        <v/>
      </c>
      <c r="AT915" t="str">
        <f>IF(ISNUMBER(FIND("overige",Methode_Keuze)),"",IF(Tb_Activiteiten[[#This Row],[Niet verrekenbare btw]]=1,Tb_Activiteiten[[#Headers],[Niet verrekenbare btw]],""))</f>
        <v/>
      </c>
      <c r="AU915" t="str">
        <f>IF(ISNUMBER(FIND("overige",Methode_Keuze)),"",IF(Tb_Activiteiten[[#This Row],[Grondkosten]]=1,Tb_Activiteiten[[#Headers],[Grondkosten]],""))</f>
        <v/>
      </c>
      <c r="AV915" t="str">
        <f>IF(ISNUMBER(FIND("overige",Methode_Keuze)),"",IF(Tb_Activiteiten[[#This Row],[Bijdrage in natura (overige)]]=1,Tb_Activiteiten[[#Headers],[Bijdrage in natura (overige)]],""))</f>
        <v/>
      </c>
      <c r="AW915" t="str">
        <f>IF(ISNUMBER(FIND("overige",Methode_Keuze)),"",IF(Tb_Activiteiten[[#This Row],[Bijdrage in natura (vrijwilligers)]]=1,Tb_Activiteiten[[#Headers],[Bijdrage in natura (vrijwilligers)]],""))</f>
        <v/>
      </c>
      <c r="AX915" t="str">
        <f>IF(ISNUMBER(FIND("overige",Methode_Keuze)),"",IF(Tb_Activiteiten[[#This Row],[Afschrijvingskosten]]=1,Tb_Activiteiten[[#Headers],[Afschrijvingskosten]],""))</f>
        <v/>
      </c>
      <c r="AY915" t="str">
        <f>IF(ISNUMBER(FIND("overige",Methode_Keuze)),"",IF(Tb_Activiteiten[[#This Row],[Vergoeding]]=1,Tb_Activiteiten[[#Headers],[Vergoeding]],""))</f>
        <v/>
      </c>
      <c r="AZ915" t="str">
        <f>IF(ISNUMBER(FIND("arbeid",Methode_Keuze)),"",IF(Tb_Activiteiten[[#This Row],[Arbeidskosten - vast tarief (excl eigen arbeid)]]=1,Tb_Activiteiten[[#Headers],[Arbeidskosten - vast tarief (excl eigen arbeid)]],""))</f>
        <v/>
      </c>
      <c r="BA915" t="str">
        <f>IF(ISNUMBER(FIND("overige",Methode_Keuze)),"",IF(Tb_Activiteiten[[#This Row],[Overige kosten]]=1,Tb_Activiteiten[[#Headers],[Overige kosten]],""))</f>
        <v/>
      </c>
    </row>
    <row r="916" spans="1:53" x14ac:dyDescent="0.25">
      <c r="A916" s="231"/>
      <c r="F916" s="64"/>
      <c r="G916" s="64"/>
      <c r="H916" s="275"/>
      <c r="I916" s="275"/>
      <c r="J916" s="275"/>
      <c r="K916" s="275"/>
      <c r="O916" s="56"/>
      <c r="Q916" t="str">
        <f>IFERROR(IF(VLOOKUP(Tb_Activiteiten[[#This Row],[Openstelling]],Tb_Openstelling[],2,0)=1,1,""),"")</f>
        <v/>
      </c>
      <c r="AK916" t="str">
        <f>IF(ISNUMBER(FIND("arbeid",Methode_Keuze)),"",IF(ISNUMBER(FIND("arbeid",Methode_Keuze)),"",IF(Tb_Activiteiten[[#This Row],[Loonkosten]]=1,Tb_Activiteiten[[#Headers],[Loonkosten]],"")))</f>
        <v/>
      </c>
      <c r="AL916" t="str">
        <f>IF(ISNUMBER(FIND("arbeid",Methode_Keuze)),"",IF(ISNUMBER(FIND("arbeid",Methode_Keuze)),"",IF(Tb_Activiteiten[[#This Row],[Eigen arbeid]]=1,Tb_Activiteiten[[#Headers],[Eigen arbeid]],"")))</f>
        <v/>
      </c>
      <c r="AM916" t="str">
        <f>IF(ISNUMBER(FIND("arbeid",Methode_Keuze)),"",IF(ISNUMBER(FIND("arbeid",Methode_Keuze)),"",IF(Tb_Activiteiten[[#This Row],[Projectmedewerker]]=1,Tb_Activiteiten[[#Headers],[Projectmedewerker]],"")))</f>
        <v/>
      </c>
      <c r="AN916" t="str">
        <f>IF(ISNUMBER(FIND("arbeid",Methode_Keuze)),"",IF(ISNUMBER(FIND("arbeid",Methode_Keuze)),"",IF(Tb_Activiteiten[[#This Row],[Landbouwer]]=1,Tb_Activiteiten[[#Headers],[Landbouwer]],"")))</f>
        <v/>
      </c>
      <c r="AO916" t="str">
        <f>IF(ISNUMBER(FIND("arbeid",Methode_Keuze)),"",IF(ISNUMBER(FIND("arbeid",Methode_Keuze)),"",IF(Tb_Activiteiten[[#This Row],[Adviseur]]=1,Tb_Activiteiten[[#Headers],[Adviseur]],"")))</f>
        <v/>
      </c>
      <c r="AP916" t="str">
        <f>IF(ISNUMBER(FIND("arbeid",Methode_Keuze)),"",IF(ISNUMBER(FIND("arbeid",Methode_Keuze)),"",IF(Tb_Activiteiten[[#This Row],[Projectleider/Expert]]=1,Tb_Activiteiten[[#Headers],[Projectleider/Expert]],"")))</f>
        <v/>
      </c>
      <c r="AQ916" t="str">
        <f>IF(ISNUMBER(FIND("arbeid",Methode_Keuze)),"",IF(ISNUMBER(FIND("arbeid",Methode_Keuze)),"",IF(Tb_Activiteiten[[#This Row],[Arbeidskosten]]=1,Tb_Activiteiten[[#Headers],[Arbeidskosten]],"")))</f>
        <v/>
      </c>
      <c r="AR916" t="str">
        <f>IF(ISNUMBER(FIND("arbeid",Methode_Keuze)),"",IF(ISNUMBER(FIND("arbeid",Methode_Keuze)),"",IF(Tb_Activiteiten[[#This Row],[Arbeidskosten op basis van IKS]]=1,Tb_Activiteiten[[#Headers],[Arbeidskosten op basis van IKS]],"")))</f>
        <v/>
      </c>
      <c r="AS916" t="str">
        <f>IF(ISNUMBER(FIND("overige",Methode_Keuze)),"",IF(Tb_Activiteiten[[#This Row],[Kosten derden exclusief btw]]=1,Tb_Activiteiten[[#Headers],[Kosten derden exclusief btw]],""))</f>
        <v/>
      </c>
      <c r="AT916" t="str">
        <f>IF(ISNUMBER(FIND("overige",Methode_Keuze)),"",IF(Tb_Activiteiten[[#This Row],[Niet verrekenbare btw]]=1,Tb_Activiteiten[[#Headers],[Niet verrekenbare btw]],""))</f>
        <v/>
      </c>
      <c r="AU916" t="str">
        <f>IF(ISNUMBER(FIND("overige",Methode_Keuze)),"",IF(Tb_Activiteiten[[#This Row],[Grondkosten]]=1,Tb_Activiteiten[[#Headers],[Grondkosten]],""))</f>
        <v/>
      </c>
      <c r="AV916" t="str">
        <f>IF(ISNUMBER(FIND("overige",Methode_Keuze)),"",IF(Tb_Activiteiten[[#This Row],[Bijdrage in natura (overige)]]=1,Tb_Activiteiten[[#Headers],[Bijdrage in natura (overige)]],""))</f>
        <v/>
      </c>
      <c r="AW916" t="str">
        <f>IF(ISNUMBER(FIND("overige",Methode_Keuze)),"",IF(Tb_Activiteiten[[#This Row],[Bijdrage in natura (vrijwilligers)]]=1,Tb_Activiteiten[[#Headers],[Bijdrage in natura (vrijwilligers)]],""))</f>
        <v/>
      </c>
      <c r="AX916" t="str">
        <f>IF(ISNUMBER(FIND("overige",Methode_Keuze)),"",IF(Tb_Activiteiten[[#This Row],[Afschrijvingskosten]]=1,Tb_Activiteiten[[#Headers],[Afschrijvingskosten]],""))</f>
        <v/>
      </c>
      <c r="AY916" t="str">
        <f>IF(ISNUMBER(FIND("overige",Methode_Keuze)),"",IF(Tb_Activiteiten[[#This Row],[Vergoeding]]=1,Tb_Activiteiten[[#Headers],[Vergoeding]],""))</f>
        <v/>
      </c>
      <c r="AZ916" t="str">
        <f>IF(ISNUMBER(FIND("arbeid",Methode_Keuze)),"",IF(Tb_Activiteiten[[#This Row],[Arbeidskosten - vast tarief (excl eigen arbeid)]]=1,Tb_Activiteiten[[#Headers],[Arbeidskosten - vast tarief (excl eigen arbeid)]],""))</f>
        <v/>
      </c>
      <c r="BA916" t="str">
        <f>IF(ISNUMBER(FIND("overige",Methode_Keuze)),"",IF(Tb_Activiteiten[[#This Row],[Overige kosten]]=1,Tb_Activiteiten[[#Headers],[Overige kosten]],""))</f>
        <v/>
      </c>
    </row>
    <row r="917" spans="1:53" x14ac:dyDescent="0.25">
      <c r="A917" s="231"/>
      <c r="F917" s="64"/>
      <c r="G917" s="64"/>
      <c r="H917" s="275"/>
      <c r="I917" s="275"/>
      <c r="J917" s="275"/>
      <c r="K917" s="275"/>
      <c r="O917" s="56"/>
      <c r="Q917" t="str">
        <f>IFERROR(IF(VLOOKUP(Tb_Activiteiten[[#This Row],[Openstelling]],Tb_Openstelling[],2,0)=1,1,""),"")</f>
        <v/>
      </c>
      <c r="AK917" t="str">
        <f>IF(ISNUMBER(FIND("arbeid",Methode_Keuze)),"",IF(ISNUMBER(FIND("arbeid",Methode_Keuze)),"",IF(Tb_Activiteiten[[#This Row],[Loonkosten]]=1,Tb_Activiteiten[[#Headers],[Loonkosten]],"")))</f>
        <v/>
      </c>
      <c r="AL917" t="str">
        <f>IF(ISNUMBER(FIND("arbeid",Methode_Keuze)),"",IF(ISNUMBER(FIND("arbeid",Methode_Keuze)),"",IF(Tb_Activiteiten[[#This Row],[Eigen arbeid]]=1,Tb_Activiteiten[[#Headers],[Eigen arbeid]],"")))</f>
        <v/>
      </c>
      <c r="AM917" t="str">
        <f>IF(ISNUMBER(FIND("arbeid",Methode_Keuze)),"",IF(ISNUMBER(FIND("arbeid",Methode_Keuze)),"",IF(Tb_Activiteiten[[#This Row],[Projectmedewerker]]=1,Tb_Activiteiten[[#Headers],[Projectmedewerker]],"")))</f>
        <v/>
      </c>
      <c r="AN917" t="str">
        <f>IF(ISNUMBER(FIND("arbeid",Methode_Keuze)),"",IF(ISNUMBER(FIND("arbeid",Methode_Keuze)),"",IF(Tb_Activiteiten[[#This Row],[Landbouwer]]=1,Tb_Activiteiten[[#Headers],[Landbouwer]],"")))</f>
        <v/>
      </c>
      <c r="AO917" t="str">
        <f>IF(ISNUMBER(FIND("arbeid",Methode_Keuze)),"",IF(ISNUMBER(FIND("arbeid",Methode_Keuze)),"",IF(Tb_Activiteiten[[#This Row],[Adviseur]]=1,Tb_Activiteiten[[#Headers],[Adviseur]],"")))</f>
        <v/>
      </c>
      <c r="AP917" t="str">
        <f>IF(ISNUMBER(FIND("arbeid",Methode_Keuze)),"",IF(ISNUMBER(FIND("arbeid",Methode_Keuze)),"",IF(Tb_Activiteiten[[#This Row],[Projectleider/Expert]]=1,Tb_Activiteiten[[#Headers],[Projectleider/Expert]],"")))</f>
        <v/>
      </c>
      <c r="AQ917" t="str">
        <f>IF(ISNUMBER(FIND("arbeid",Methode_Keuze)),"",IF(ISNUMBER(FIND("arbeid",Methode_Keuze)),"",IF(Tb_Activiteiten[[#This Row],[Arbeidskosten]]=1,Tb_Activiteiten[[#Headers],[Arbeidskosten]],"")))</f>
        <v/>
      </c>
      <c r="AR917" t="str">
        <f>IF(ISNUMBER(FIND("arbeid",Methode_Keuze)),"",IF(ISNUMBER(FIND("arbeid",Methode_Keuze)),"",IF(Tb_Activiteiten[[#This Row],[Arbeidskosten op basis van IKS]]=1,Tb_Activiteiten[[#Headers],[Arbeidskosten op basis van IKS]],"")))</f>
        <v/>
      </c>
      <c r="AS917" t="str">
        <f>IF(ISNUMBER(FIND("overige",Methode_Keuze)),"",IF(Tb_Activiteiten[[#This Row],[Kosten derden exclusief btw]]=1,Tb_Activiteiten[[#Headers],[Kosten derden exclusief btw]],""))</f>
        <v/>
      </c>
      <c r="AT917" t="str">
        <f>IF(ISNUMBER(FIND("overige",Methode_Keuze)),"",IF(Tb_Activiteiten[[#This Row],[Niet verrekenbare btw]]=1,Tb_Activiteiten[[#Headers],[Niet verrekenbare btw]],""))</f>
        <v/>
      </c>
      <c r="AU917" t="str">
        <f>IF(ISNUMBER(FIND("overige",Methode_Keuze)),"",IF(Tb_Activiteiten[[#This Row],[Grondkosten]]=1,Tb_Activiteiten[[#Headers],[Grondkosten]],""))</f>
        <v/>
      </c>
      <c r="AV917" t="str">
        <f>IF(ISNUMBER(FIND("overige",Methode_Keuze)),"",IF(Tb_Activiteiten[[#This Row],[Bijdrage in natura (overige)]]=1,Tb_Activiteiten[[#Headers],[Bijdrage in natura (overige)]],""))</f>
        <v/>
      </c>
      <c r="AW917" t="str">
        <f>IF(ISNUMBER(FIND("overige",Methode_Keuze)),"",IF(Tb_Activiteiten[[#This Row],[Bijdrage in natura (vrijwilligers)]]=1,Tb_Activiteiten[[#Headers],[Bijdrage in natura (vrijwilligers)]],""))</f>
        <v/>
      </c>
      <c r="AX917" t="str">
        <f>IF(ISNUMBER(FIND("overige",Methode_Keuze)),"",IF(Tb_Activiteiten[[#This Row],[Afschrijvingskosten]]=1,Tb_Activiteiten[[#Headers],[Afschrijvingskosten]],""))</f>
        <v/>
      </c>
      <c r="AY917" t="str">
        <f>IF(ISNUMBER(FIND("overige",Methode_Keuze)),"",IF(Tb_Activiteiten[[#This Row],[Vergoeding]]=1,Tb_Activiteiten[[#Headers],[Vergoeding]],""))</f>
        <v/>
      </c>
      <c r="AZ917" t="str">
        <f>IF(ISNUMBER(FIND("arbeid",Methode_Keuze)),"",IF(Tb_Activiteiten[[#This Row],[Arbeidskosten - vast tarief (excl eigen arbeid)]]=1,Tb_Activiteiten[[#Headers],[Arbeidskosten - vast tarief (excl eigen arbeid)]],""))</f>
        <v/>
      </c>
      <c r="BA917" t="str">
        <f>IF(ISNUMBER(FIND("overige",Methode_Keuze)),"",IF(Tb_Activiteiten[[#This Row],[Overige kosten]]=1,Tb_Activiteiten[[#Headers],[Overige kosten]],""))</f>
        <v/>
      </c>
    </row>
    <row r="918" spans="1:53" x14ac:dyDescent="0.25">
      <c r="A918" s="231"/>
      <c r="F918" s="64"/>
      <c r="G918" s="64"/>
      <c r="H918" s="275"/>
      <c r="I918" s="275"/>
      <c r="J918" s="275"/>
      <c r="K918" s="275"/>
      <c r="O918" s="56"/>
      <c r="Q918" t="str">
        <f>IFERROR(IF(VLOOKUP(Tb_Activiteiten[[#This Row],[Openstelling]],Tb_Openstelling[],2,0)=1,1,""),"")</f>
        <v/>
      </c>
      <c r="AK918" t="str">
        <f>IF(ISNUMBER(FIND("arbeid",Methode_Keuze)),"",IF(ISNUMBER(FIND("arbeid",Methode_Keuze)),"",IF(Tb_Activiteiten[[#This Row],[Loonkosten]]=1,Tb_Activiteiten[[#Headers],[Loonkosten]],"")))</f>
        <v/>
      </c>
      <c r="AL918" t="str">
        <f>IF(ISNUMBER(FIND("arbeid",Methode_Keuze)),"",IF(ISNUMBER(FIND("arbeid",Methode_Keuze)),"",IF(Tb_Activiteiten[[#This Row],[Eigen arbeid]]=1,Tb_Activiteiten[[#Headers],[Eigen arbeid]],"")))</f>
        <v/>
      </c>
      <c r="AM918" t="str">
        <f>IF(ISNUMBER(FIND("arbeid",Methode_Keuze)),"",IF(ISNUMBER(FIND("arbeid",Methode_Keuze)),"",IF(Tb_Activiteiten[[#This Row],[Projectmedewerker]]=1,Tb_Activiteiten[[#Headers],[Projectmedewerker]],"")))</f>
        <v/>
      </c>
      <c r="AN918" t="str">
        <f>IF(ISNUMBER(FIND("arbeid",Methode_Keuze)),"",IF(ISNUMBER(FIND("arbeid",Methode_Keuze)),"",IF(Tb_Activiteiten[[#This Row],[Landbouwer]]=1,Tb_Activiteiten[[#Headers],[Landbouwer]],"")))</f>
        <v/>
      </c>
      <c r="AO918" t="str">
        <f>IF(ISNUMBER(FIND("arbeid",Methode_Keuze)),"",IF(ISNUMBER(FIND("arbeid",Methode_Keuze)),"",IF(Tb_Activiteiten[[#This Row],[Adviseur]]=1,Tb_Activiteiten[[#Headers],[Adviseur]],"")))</f>
        <v/>
      </c>
      <c r="AP918" t="str">
        <f>IF(ISNUMBER(FIND("arbeid",Methode_Keuze)),"",IF(ISNUMBER(FIND("arbeid",Methode_Keuze)),"",IF(Tb_Activiteiten[[#This Row],[Projectleider/Expert]]=1,Tb_Activiteiten[[#Headers],[Projectleider/Expert]],"")))</f>
        <v/>
      </c>
      <c r="AQ918" t="str">
        <f>IF(ISNUMBER(FIND("arbeid",Methode_Keuze)),"",IF(ISNUMBER(FIND("arbeid",Methode_Keuze)),"",IF(Tb_Activiteiten[[#This Row],[Arbeidskosten]]=1,Tb_Activiteiten[[#Headers],[Arbeidskosten]],"")))</f>
        <v/>
      </c>
      <c r="AR918" t="str">
        <f>IF(ISNUMBER(FIND("arbeid",Methode_Keuze)),"",IF(ISNUMBER(FIND("arbeid",Methode_Keuze)),"",IF(Tb_Activiteiten[[#This Row],[Arbeidskosten op basis van IKS]]=1,Tb_Activiteiten[[#Headers],[Arbeidskosten op basis van IKS]],"")))</f>
        <v/>
      </c>
      <c r="AS918" t="str">
        <f>IF(ISNUMBER(FIND("overige",Methode_Keuze)),"",IF(Tb_Activiteiten[[#This Row],[Kosten derden exclusief btw]]=1,Tb_Activiteiten[[#Headers],[Kosten derden exclusief btw]],""))</f>
        <v/>
      </c>
      <c r="AT918" t="str">
        <f>IF(ISNUMBER(FIND("overige",Methode_Keuze)),"",IF(Tb_Activiteiten[[#This Row],[Niet verrekenbare btw]]=1,Tb_Activiteiten[[#Headers],[Niet verrekenbare btw]],""))</f>
        <v/>
      </c>
      <c r="AU918" t="str">
        <f>IF(ISNUMBER(FIND("overige",Methode_Keuze)),"",IF(Tb_Activiteiten[[#This Row],[Grondkosten]]=1,Tb_Activiteiten[[#Headers],[Grondkosten]],""))</f>
        <v/>
      </c>
      <c r="AV918" t="str">
        <f>IF(ISNUMBER(FIND("overige",Methode_Keuze)),"",IF(Tb_Activiteiten[[#This Row],[Bijdrage in natura (overige)]]=1,Tb_Activiteiten[[#Headers],[Bijdrage in natura (overige)]],""))</f>
        <v/>
      </c>
      <c r="AW918" t="str">
        <f>IF(ISNUMBER(FIND("overige",Methode_Keuze)),"",IF(Tb_Activiteiten[[#This Row],[Bijdrage in natura (vrijwilligers)]]=1,Tb_Activiteiten[[#Headers],[Bijdrage in natura (vrijwilligers)]],""))</f>
        <v/>
      </c>
      <c r="AX918" t="str">
        <f>IF(ISNUMBER(FIND("overige",Methode_Keuze)),"",IF(Tb_Activiteiten[[#This Row],[Afschrijvingskosten]]=1,Tb_Activiteiten[[#Headers],[Afschrijvingskosten]],""))</f>
        <v/>
      </c>
      <c r="AY918" t="str">
        <f>IF(ISNUMBER(FIND("overige",Methode_Keuze)),"",IF(Tb_Activiteiten[[#This Row],[Vergoeding]]=1,Tb_Activiteiten[[#Headers],[Vergoeding]],""))</f>
        <v/>
      </c>
      <c r="AZ918" t="str">
        <f>IF(ISNUMBER(FIND("arbeid",Methode_Keuze)),"",IF(Tb_Activiteiten[[#This Row],[Arbeidskosten - vast tarief (excl eigen arbeid)]]=1,Tb_Activiteiten[[#Headers],[Arbeidskosten - vast tarief (excl eigen arbeid)]],""))</f>
        <v/>
      </c>
      <c r="BA918" t="str">
        <f>IF(ISNUMBER(FIND("overige",Methode_Keuze)),"",IF(Tb_Activiteiten[[#This Row],[Overige kosten]]=1,Tb_Activiteiten[[#Headers],[Overige kosten]],""))</f>
        <v/>
      </c>
    </row>
    <row r="919" spans="1:53" x14ac:dyDescent="0.25">
      <c r="A919" s="231"/>
      <c r="F919" s="64"/>
      <c r="G919" s="64"/>
      <c r="H919" s="275"/>
      <c r="I919" s="275"/>
      <c r="J919" s="275"/>
      <c r="K919" s="275"/>
      <c r="O919" s="56"/>
      <c r="Q919" t="str">
        <f>IFERROR(IF(VLOOKUP(Tb_Activiteiten[[#This Row],[Openstelling]],Tb_Openstelling[],2,0)=1,1,""),"")</f>
        <v/>
      </c>
      <c r="AK919" t="str">
        <f>IF(ISNUMBER(FIND("arbeid",Methode_Keuze)),"",IF(ISNUMBER(FIND("arbeid",Methode_Keuze)),"",IF(Tb_Activiteiten[[#This Row],[Loonkosten]]=1,Tb_Activiteiten[[#Headers],[Loonkosten]],"")))</f>
        <v/>
      </c>
      <c r="AL919" t="str">
        <f>IF(ISNUMBER(FIND("arbeid",Methode_Keuze)),"",IF(ISNUMBER(FIND("arbeid",Methode_Keuze)),"",IF(Tb_Activiteiten[[#This Row],[Eigen arbeid]]=1,Tb_Activiteiten[[#Headers],[Eigen arbeid]],"")))</f>
        <v/>
      </c>
      <c r="AM919" t="str">
        <f>IF(ISNUMBER(FIND("arbeid",Methode_Keuze)),"",IF(ISNUMBER(FIND("arbeid",Methode_Keuze)),"",IF(Tb_Activiteiten[[#This Row],[Projectmedewerker]]=1,Tb_Activiteiten[[#Headers],[Projectmedewerker]],"")))</f>
        <v/>
      </c>
      <c r="AN919" t="str">
        <f>IF(ISNUMBER(FIND("arbeid",Methode_Keuze)),"",IF(ISNUMBER(FIND("arbeid",Methode_Keuze)),"",IF(Tb_Activiteiten[[#This Row],[Landbouwer]]=1,Tb_Activiteiten[[#Headers],[Landbouwer]],"")))</f>
        <v/>
      </c>
      <c r="AO919" t="str">
        <f>IF(ISNUMBER(FIND("arbeid",Methode_Keuze)),"",IF(ISNUMBER(FIND("arbeid",Methode_Keuze)),"",IF(Tb_Activiteiten[[#This Row],[Adviseur]]=1,Tb_Activiteiten[[#Headers],[Adviseur]],"")))</f>
        <v/>
      </c>
      <c r="AP919" t="str">
        <f>IF(ISNUMBER(FIND("arbeid",Methode_Keuze)),"",IF(ISNUMBER(FIND("arbeid",Methode_Keuze)),"",IF(Tb_Activiteiten[[#This Row],[Projectleider/Expert]]=1,Tb_Activiteiten[[#Headers],[Projectleider/Expert]],"")))</f>
        <v/>
      </c>
      <c r="AQ919" t="str">
        <f>IF(ISNUMBER(FIND("arbeid",Methode_Keuze)),"",IF(ISNUMBER(FIND("arbeid",Methode_Keuze)),"",IF(Tb_Activiteiten[[#This Row],[Arbeidskosten]]=1,Tb_Activiteiten[[#Headers],[Arbeidskosten]],"")))</f>
        <v/>
      </c>
      <c r="AR919" t="str">
        <f>IF(ISNUMBER(FIND("arbeid",Methode_Keuze)),"",IF(ISNUMBER(FIND("arbeid",Methode_Keuze)),"",IF(Tb_Activiteiten[[#This Row],[Arbeidskosten op basis van IKS]]=1,Tb_Activiteiten[[#Headers],[Arbeidskosten op basis van IKS]],"")))</f>
        <v/>
      </c>
      <c r="AS919" t="str">
        <f>IF(ISNUMBER(FIND("overige",Methode_Keuze)),"",IF(Tb_Activiteiten[[#This Row],[Kosten derden exclusief btw]]=1,Tb_Activiteiten[[#Headers],[Kosten derden exclusief btw]],""))</f>
        <v/>
      </c>
      <c r="AT919" t="str">
        <f>IF(ISNUMBER(FIND("overige",Methode_Keuze)),"",IF(Tb_Activiteiten[[#This Row],[Niet verrekenbare btw]]=1,Tb_Activiteiten[[#Headers],[Niet verrekenbare btw]],""))</f>
        <v/>
      </c>
      <c r="AU919" t="str">
        <f>IF(ISNUMBER(FIND("overige",Methode_Keuze)),"",IF(Tb_Activiteiten[[#This Row],[Grondkosten]]=1,Tb_Activiteiten[[#Headers],[Grondkosten]],""))</f>
        <v/>
      </c>
      <c r="AV919" t="str">
        <f>IF(ISNUMBER(FIND("overige",Methode_Keuze)),"",IF(Tb_Activiteiten[[#This Row],[Bijdrage in natura (overige)]]=1,Tb_Activiteiten[[#Headers],[Bijdrage in natura (overige)]],""))</f>
        <v/>
      </c>
      <c r="AW919" t="str">
        <f>IF(ISNUMBER(FIND("overige",Methode_Keuze)),"",IF(Tb_Activiteiten[[#This Row],[Bijdrage in natura (vrijwilligers)]]=1,Tb_Activiteiten[[#Headers],[Bijdrage in natura (vrijwilligers)]],""))</f>
        <v/>
      </c>
      <c r="AX919" t="str">
        <f>IF(ISNUMBER(FIND("overige",Methode_Keuze)),"",IF(Tb_Activiteiten[[#This Row],[Afschrijvingskosten]]=1,Tb_Activiteiten[[#Headers],[Afschrijvingskosten]],""))</f>
        <v/>
      </c>
      <c r="AY919" t="str">
        <f>IF(ISNUMBER(FIND("overige",Methode_Keuze)),"",IF(Tb_Activiteiten[[#This Row],[Vergoeding]]=1,Tb_Activiteiten[[#Headers],[Vergoeding]],""))</f>
        <v/>
      </c>
      <c r="AZ919" t="str">
        <f>IF(ISNUMBER(FIND("arbeid",Methode_Keuze)),"",IF(Tb_Activiteiten[[#This Row],[Arbeidskosten - vast tarief (excl eigen arbeid)]]=1,Tb_Activiteiten[[#Headers],[Arbeidskosten - vast tarief (excl eigen arbeid)]],""))</f>
        <v/>
      </c>
      <c r="BA919" t="str">
        <f>IF(ISNUMBER(FIND("overige",Methode_Keuze)),"",IF(Tb_Activiteiten[[#This Row],[Overige kosten]]=1,Tb_Activiteiten[[#Headers],[Overige kosten]],""))</f>
        <v/>
      </c>
    </row>
    <row r="920" spans="1:53" x14ac:dyDescent="0.25">
      <c r="A920" s="231"/>
      <c r="F920" s="64"/>
      <c r="G920" s="64"/>
      <c r="H920" s="275"/>
      <c r="I920" s="275"/>
      <c r="J920" s="275"/>
      <c r="K920" s="275"/>
      <c r="O920" s="56"/>
      <c r="Q920" t="str">
        <f>IFERROR(IF(VLOOKUP(Tb_Activiteiten[[#This Row],[Openstelling]],Tb_Openstelling[],2,0)=1,1,""),"")</f>
        <v/>
      </c>
      <c r="AK920" t="str">
        <f>IF(ISNUMBER(FIND("arbeid",Methode_Keuze)),"",IF(ISNUMBER(FIND("arbeid",Methode_Keuze)),"",IF(Tb_Activiteiten[[#This Row],[Loonkosten]]=1,Tb_Activiteiten[[#Headers],[Loonkosten]],"")))</f>
        <v/>
      </c>
      <c r="AL920" t="str">
        <f>IF(ISNUMBER(FIND("arbeid",Methode_Keuze)),"",IF(ISNUMBER(FIND("arbeid",Methode_Keuze)),"",IF(Tb_Activiteiten[[#This Row],[Eigen arbeid]]=1,Tb_Activiteiten[[#Headers],[Eigen arbeid]],"")))</f>
        <v/>
      </c>
      <c r="AM920" t="str">
        <f>IF(ISNUMBER(FIND("arbeid",Methode_Keuze)),"",IF(ISNUMBER(FIND("arbeid",Methode_Keuze)),"",IF(Tb_Activiteiten[[#This Row],[Projectmedewerker]]=1,Tb_Activiteiten[[#Headers],[Projectmedewerker]],"")))</f>
        <v/>
      </c>
      <c r="AN920" t="str">
        <f>IF(ISNUMBER(FIND("arbeid",Methode_Keuze)),"",IF(ISNUMBER(FIND("arbeid",Methode_Keuze)),"",IF(Tb_Activiteiten[[#This Row],[Landbouwer]]=1,Tb_Activiteiten[[#Headers],[Landbouwer]],"")))</f>
        <v/>
      </c>
      <c r="AO920" t="str">
        <f>IF(ISNUMBER(FIND("arbeid",Methode_Keuze)),"",IF(ISNUMBER(FIND("arbeid",Methode_Keuze)),"",IF(Tb_Activiteiten[[#This Row],[Adviseur]]=1,Tb_Activiteiten[[#Headers],[Adviseur]],"")))</f>
        <v/>
      </c>
      <c r="AP920" t="str">
        <f>IF(ISNUMBER(FIND("arbeid",Methode_Keuze)),"",IF(ISNUMBER(FIND("arbeid",Methode_Keuze)),"",IF(Tb_Activiteiten[[#This Row],[Projectleider/Expert]]=1,Tb_Activiteiten[[#Headers],[Projectleider/Expert]],"")))</f>
        <v/>
      </c>
      <c r="AQ920" t="str">
        <f>IF(ISNUMBER(FIND("arbeid",Methode_Keuze)),"",IF(ISNUMBER(FIND("arbeid",Methode_Keuze)),"",IF(Tb_Activiteiten[[#This Row],[Arbeidskosten]]=1,Tb_Activiteiten[[#Headers],[Arbeidskosten]],"")))</f>
        <v/>
      </c>
      <c r="AR920" t="str">
        <f>IF(ISNUMBER(FIND("arbeid",Methode_Keuze)),"",IF(ISNUMBER(FIND("arbeid",Methode_Keuze)),"",IF(Tb_Activiteiten[[#This Row],[Arbeidskosten op basis van IKS]]=1,Tb_Activiteiten[[#Headers],[Arbeidskosten op basis van IKS]],"")))</f>
        <v/>
      </c>
      <c r="AS920" t="str">
        <f>IF(ISNUMBER(FIND("overige",Methode_Keuze)),"",IF(Tb_Activiteiten[[#This Row],[Kosten derden exclusief btw]]=1,Tb_Activiteiten[[#Headers],[Kosten derden exclusief btw]],""))</f>
        <v/>
      </c>
      <c r="AT920" t="str">
        <f>IF(ISNUMBER(FIND("overige",Methode_Keuze)),"",IF(Tb_Activiteiten[[#This Row],[Niet verrekenbare btw]]=1,Tb_Activiteiten[[#Headers],[Niet verrekenbare btw]],""))</f>
        <v/>
      </c>
      <c r="AU920" t="str">
        <f>IF(ISNUMBER(FIND("overige",Methode_Keuze)),"",IF(Tb_Activiteiten[[#This Row],[Grondkosten]]=1,Tb_Activiteiten[[#Headers],[Grondkosten]],""))</f>
        <v/>
      </c>
      <c r="AV920" t="str">
        <f>IF(ISNUMBER(FIND("overige",Methode_Keuze)),"",IF(Tb_Activiteiten[[#This Row],[Bijdrage in natura (overige)]]=1,Tb_Activiteiten[[#Headers],[Bijdrage in natura (overige)]],""))</f>
        <v/>
      </c>
      <c r="AW920" t="str">
        <f>IF(ISNUMBER(FIND("overige",Methode_Keuze)),"",IF(Tb_Activiteiten[[#This Row],[Bijdrage in natura (vrijwilligers)]]=1,Tb_Activiteiten[[#Headers],[Bijdrage in natura (vrijwilligers)]],""))</f>
        <v/>
      </c>
      <c r="AX920" t="str">
        <f>IF(ISNUMBER(FIND("overige",Methode_Keuze)),"",IF(Tb_Activiteiten[[#This Row],[Afschrijvingskosten]]=1,Tb_Activiteiten[[#Headers],[Afschrijvingskosten]],""))</f>
        <v/>
      </c>
      <c r="AY920" t="str">
        <f>IF(ISNUMBER(FIND("overige",Methode_Keuze)),"",IF(Tb_Activiteiten[[#This Row],[Vergoeding]]=1,Tb_Activiteiten[[#Headers],[Vergoeding]],""))</f>
        <v/>
      </c>
      <c r="AZ920" t="str">
        <f>IF(ISNUMBER(FIND("arbeid",Methode_Keuze)),"",IF(Tb_Activiteiten[[#This Row],[Arbeidskosten - vast tarief (excl eigen arbeid)]]=1,Tb_Activiteiten[[#Headers],[Arbeidskosten - vast tarief (excl eigen arbeid)]],""))</f>
        <v/>
      </c>
      <c r="BA920" t="str">
        <f>IF(ISNUMBER(FIND("overige",Methode_Keuze)),"",IF(Tb_Activiteiten[[#This Row],[Overige kosten]]=1,Tb_Activiteiten[[#Headers],[Overige kosten]],""))</f>
        <v/>
      </c>
    </row>
    <row r="921" spans="1:53" x14ac:dyDescent="0.25">
      <c r="A921" s="231"/>
      <c r="F921" s="64"/>
      <c r="G921" s="64"/>
      <c r="H921" s="275"/>
      <c r="I921" s="275"/>
      <c r="J921" s="275"/>
      <c r="K921" s="275"/>
      <c r="O921" s="56"/>
      <c r="Q921" t="str">
        <f>IFERROR(IF(VLOOKUP(Tb_Activiteiten[[#This Row],[Openstelling]],Tb_Openstelling[],2,0)=1,1,""),"")</f>
        <v/>
      </c>
      <c r="AK921" t="str">
        <f>IF(ISNUMBER(FIND("arbeid",Methode_Keuze)),"",IF(ISNUMBER(FIND("arbeid",Methode_Keuze)),"",IF(Tb_Activiteiten[[#This Row],[Loonkosten]]=1,Tb_Activiteiten[[#Headers],[Loonkosten]],"")))</f>
        <v/>
      </c>
      <c r="AL921" t="str">
        <f>IF(ISNUMBER(FIND("arbeid",Methode_Keuze)),"",IF(ISNUMBER(FIND("arbeid",Methode_Keuze)),"",IF(Tb_Activiteiten[[#This Row],[Eigen arbeid]]=1,Tb_Activiteiten[[#Headers],[Eigen arbeid]],"")))</f>
        <v/>
      </c>
      <c r="AM921" t="str">
        <f>IF(ISNUMBER(FIND("arbeid",Methode_Keuze)),"",IF(ISNUMBER(FIND("arbeid",Methode_Keuze)),"",IF(Tb_Activiteiten[[#This Row],[Projectmedewerker]]=1,Tb_Activiteiten[[#Headers],[Projectmedewerker]],"")))</f>
        <v/>
      </c>
      <c r="AN921" t="str">
        <f>IF(ISNUMBER(FIND("arbeid",Methode_Keuze)),"",IF(ISNUMBER(FIND("arbeid",Methode_Keuze)),"",IF(Tb_Activiteiten[[#This Row],[Landbouwer]]=1,Tb_Activiteiten[[#Headers],[Landbouwer]],"")))</f>
        <v/>
      </c>
      <c r="AO921" t="str">
        <f>IF(ISNUMBER(FIND("arbeid",Methode_Keuze)),"",IF(ISNUMBER(FIND("arbeid",Methode_Keuze)),"",IF(Tb_Activiteiten[[#This Row],[Adviseur]]=1,Tb_Activiteiten[[#Headers],[Adviseur]],"")))</f>
        <v/>
      </c>
      <c r="AP921" t="str">
        <f>IF(ISNUMBER(FIND("arbeid",Methode_Keuze)),"",IF(ISNUMBER(FIND("arbeid",Methode_Keuze)),"",IF(Tb_Activiteiten[[#This Row],[Projectleider/Expert]]=1,Tb_Activiteiten[[#Headers],[Projectleider/Expert]],"")))</f>
        <v/>
      </c>
      <c r="AQ921" t="str">
        <f>IF(ISNUMBER(FIND("arbeid",Methode_Keuze)),"",IF(ISNUMBER(FIND("arbeid",Methode_Keuze)),"",IF(Tb_Activiteiten[[#This Row],[Arbeidskosten]]=1,Tb_Activiteiten[[#Headers],[Arbeidskosten]],"")))</f>
        <v/>
      </c>
      <c r="AR921" t="str">
        <f>IF(ISNUMBER(FIND("arbeid",Methode_Keuze)),"",IF(ISNUMBER(FIND("arbeid",Methode_Keuze)),"",IF(Tb_Activiteiten[[#This Row],[Arbeidskosten op basis van IKS]]=1,Tb_Activiteiten[[#Headers],[Arbeidskosten op basis van IKS]],"")))</f>
        <v/>
      </c>
      <c r="AS921" t="str">
        <f>IF(ISNUMBER(FIND("overige",Methode_Keuze)),"",IF(Tb_Activiteiten[[#This Row],[Kosten derden exclusief btw]]=1,Tb_Activiteiten[[#Headers],[Kosten derden exclusief btw]],""))</f>
        <v/>
      </c>
      <c r="AT921" t="str">
        <f>IF(ISNUMBER(FIND("overige",Methode_Keuze)),"",IF(Tb_Activiteiten[[#This Row],[Niet verrekenbare btw]]=1,Tb_Activiteiten[[#Headers],[Niet verrekenbare btw]],""))</f>
        <v/>
      </c>
      <c r="AU921" t="str">
        <f>IF(ISNUMBER(FIND("overige",Methode_Keuze)),"",IF(Tb_Activiteiten[[#This Row],[Grondkosten]]=1,Tb_Activiteiten[[#Headers],[Grondkosten]],""))</f>
        <v/>
      </c>
      <c r="AV921" t="str">
        <f>IF(ISNUMBER(FIND("overige",Methode_Keuze)),"",IF(Tb_Activiteiten[[#This Row],[Bijdrage in natura (overige)]]=1,Tb_Activiteiten[[#Headers],[Bijdrage in natura (overige)]],""))</f>
        <v/>
      </c>
      <c r="AW921" t="str">
        <f>IF(ISNUMBER(FIND("overige",Methode_Keuze)),"",IF(Tb_Activiteiten[[#This Row],[Bijdrage in natura (vrijwilligers)]]=1,Tb_Activiteiten[[#Headers],[Bijdrage in natura (vrijwilligers)]],""))</f>
        <v/>
      </c>
      <c r="AX921" t="str">
        <f>IF(ISNUMBER(FIND("overige",Methode_Keuze)),"",IF(Tb_Activiteiten[[#This Row],[Afschrijvingskosten]]=1,Tb_Activiteiten[[#Headers],[Afschrijvingskosten]],""))</f>
        <v/>
      </c>
      <c r="AY921" t="str">
        <f>IF(ISNUMBER(FIND("overige",Methode_Keuze)),"",IF(Tb_Activiteiten[[#This Row],[Vergoeding]]=1,Tb_Activiteiten[[#Headers],[Vergoeding]],""))</f>
        <v/>
      </c>
      <c r="AZ921" t="str">
        <f>IF(ISNUMBER(FIND("arbeid",Methode_Keuze)),"",IF(Tb_Activiteiten[[#This Row],[Arbeidskosten - vast tarief (excl eigen arbeid)]]=1,Tb_Activiteiten[[#Headers],[Arbeidskosten - vast tarief (excl eigen arbeid)]],""))</f>
        <v/>
      </c>
      <c r="BA921" t="str">
        <f>IF(ISNUMBER(FIND("overige",Methode_Keuze)),"",IF(Tb_Activiteiten[[#This Row],[Overige kosten]]=1,Tb_Activiteiten[[#Headers],[Overige kosten]],""))</f>
        <v/>
      </c>
    </row>
    <row r="922" spans="1:53" x14ac:dyDescent="0.25">
      <c r="A922" s="231"/>
      <c r="F922" s="64"/>
      <c r="G922" s="64"/>
      <c r="H922" s="275"/>
      <c r="I922" s="275"/>
      <c r="J922" s="275"/>
      <c r="K922" s="275"/>
      <c r="O922" s="56"/>
      <c r="Q922" t="str">
        <f>IFERROR(IF(VLOOKUP(Tb_Activiteiten[[#This Row],[Openstelling]],Tb_Openstelling[],2,0)=1,1,""),"")</f>
        <v/>
      </c>
      <c r="AK922" t="str">
        <f>IF(ISNUMBER(FIND("arbeid",Methode_Keuze)),"",IF(ISNUMBER(FIND("arbeid",Methode_Keuze)),"",IF(Tb_Activiteiten[[#This Row],[Loonkosten]]=1,Tb_Activiteiten[[#Headers],[Loonkosten]],"")))</f>
        <v/>
      </c>
      <c r="AL922" t="str">
        <f>IF(ISNUMBER(FIND("arbeid",Methode_Keuze)),"",IF(ISNUMBER(FIND("arbeid",Methode_Keuze)),"",IF(Tb_Activiteiten[[#This Row],[Eigen arbeid]]=1,Tb_Activiteiten[[#Headers],[Eigen arbeid]],"")))</f>
        <v/>
      </c>
      <c r="AM922" t="str">
        <f>IF(ISNUMBER(FIND("arbeid",Methode_Keuze)),"",IF(ISNUMBER(FIND("arbeid",Methode_Keuze)),"",IF(Tb_Activiteiten[[#This Row],[Projectmedewerker]]=1,Tb_Activiteiten[[#Headers],[Projectmedewerker]],"")))</f>
        <v/>
      </c>
      <c r="AN922" t="str">
        <f>IF(ISNUMBER(FIND("arbeid",Methode_Keuze)),"",IF(ISNUMBER(FIND("arbeid",Methode_Keuze)),"",IF(Tb_Activiteiten[[#This Row],[Landbouwer]]=1,Tb_Activiteiten[[#Headers],[Landbouwer]],"")))</f>
        <v/>
      </c>
      <c r="AO922" t="str">
        <f>IF(ISNUMBER(FIND("arbeid",Methode_Keuze)),"",IF(ISNUMBER(FIND("arbeid",Methode_Keuze)),"",IF(Tb_Activiteiten[[#This Row],[Adviseur]]=1,Tb_Activiteiten[[#Headers],[Adviseur]],"")))</f>
        <v/>
      </c>
      <c r="AP922" t="str">
        <f>IF(ISNUMBER(FIND("arbeid",Methode_Keuze)),"",IF(ISNUMBER(FIND("arbeid",Methode_Keuze)),"",IF(Tb_Activiteiten[[#This Row],[Projectleider/Expert]]=1,Tb_Activiteiten[[#Headers],[Projectleider/Expert]],"")))</f>
        <v/>
      </c>
      <c r="AQ922" t="str">
        <f>IF(ISNUMBER(FIND("arbeid",Methode_Keuze)),"",IF(ISNUMBER(FIND("arbeid",Methode_Keuze)),"",IF(Tb_Activiteiten[[#This Row],[Arbeidskosten]]=1,Tb_Activiteiten[[#Headers],[Arbeidskosten]],"")))</f>
        <v/>
      </c>
      <c r="AR922" t="str">
        <f>IF(ISNUMBER(FIND("arbeid",Methode_Keuze)),"",IF(ISNUMBER(FIND("arbeid",Methode_Keuze)),"",IF(Tb_Activiteiten[[#This Row],[Arbeidskosten op basis van IKS]]=1,Tb_Activiteiten[[#Headers],[Arbeidskosten op basis van IKS]],"")))</f>
        <v/>
      </c>
      <c r="AS922" t="str">
        <f>IF(ISNUMBER(FIND("overige",Methode_Keuze)),"",IF(Tb_Activiteiten[[#This Row],[Kosten derden exclusief btw]]=1,Tb_Activiteiten[[#Headers],[Kosten derden exclusief btw]],""))</f>
        <v/>
      </c>
      <c r="AT922" t="str">
        <f>IF(ISNUMBER(FIND("overige",Methode_Keuze)),"",IF(Tb_Activiteiten[[#This Row],[Niet verrekenbare btw]]=1,Tb_Activiteiten[[#Headers],[Niet verrekenbare btw]],""))</f>
        <v/>
      </c>
      <c r="AU922" t="str">
        <f>IF(ISNUMBER(FIND("overige",Methode_Keuze)),"",IF(Tb_Activiteiten[[#This Row],[Grondkosten]]=1,Tb_Activiteiten[[#Headers],[Grondkosten]],""))</f>
        <v/>
      </c>
      <c r="AV922" t="str">
        <f>IF(ISNUMBER(FIND("overige",Methode_Keuze)),"",IF(Tb_Activiteiten[[#This Row],[Bijdrage in natura (overige)]]=1,Tb_Activiteiten[[#Headers],[Bijdrage in natura (overige)]],""))</f>
        <v/>
      </c>
      <c r="AW922" t="str">
        <f>IF(ISNUMBER(FIND("overige",Methode_Keuze)),"",IF(Tb_Activiteiten[[#This Row],[Bijdrage in natura (vrijwilligers)]]=1,Tb_Activiteiten[[#Headers],[Bijdrage in natura (vrijwilligers)]],""))</f>
        <v/>
      </c>
      <c r="AX922" t="str">
        <f>IF(ISNUMBER(FIND("overige",Methode_Keuze)),"",IF(Tb_Activiteiten[[#This Row],[Afschrijvingskosten]]=1,Tb_Activiteiten[[#Headers],[Afschrijvingskosten]],""))</f>
        <v/>
      </c>
      <c r="AY922" t="str">
        <f>IF(ISNUMBER(FIND("overige",Methode_Keuze)),"",IF(Tb_Activiteiten[[#This Row],[Vergoeding]]=1,Tb_Activiteiten[[#Headers],[Vergoeding]],""))</f>
        <v/>
      </c>
      <c r="AZ922" t="str">
        <f>IF(ISNUMBER(FIND("arbeid",Methode_Keuze)),"",IF(Tb_Activiteiten[[#This Row],[Arbeidskosten - vast tarief (excl eigen arbeid)]]=1,Tb_Activiteiten[[#Headers],[Arbeidskosten - vast tarief (excl eigen arbeid)]],""))</f>
        <v/>
      </c>
      <c r="BA922" t="str">
        <f>IF(ISNUMBER(FIND("overige",Methode_Keuze)),"",IF(Tb_Activiteiten[[#This Row],[Overige kosten]]=1,Tb_Activiteiten[[#Headers],[Overige kosten]],""))</f>
        <v/>
      </c>
    </row>
    <row r="923" spans="1:53" x14ac:dyDescent="0.25">
      <c r="A923" s="231"/>
      <c r="F923" s="64"/>
      <c r="G923" s="64"/>
      <c r="H923" s="275"/>
      <c r="I923" s="275"/>
      <c r="J923" s="275"/>
      <c r="K923" s="275"/>
      <c r="O923" s="56"/>
      <c r="Q923" t="str">
        <f>IFERROR(IF(VLOOKUP(Tb_Activiteiten[[#This Row],[Openstelling]],Tb_Openstelling[],2,0)=1,1,""),"")</f>
        <v/>
      </c>
      <c r="AK923" t="str">
        <f>IF(ISNUMBER(FIND("arbeid",Methode_Keuze)),"",IF(ISNUMBER(FIND("arbeid",Methode_Keuze)),"",IF(Tb_Activiteiten[[#This Row],[Loonkosten]]=1,Tb_Activiteiten[[#Headers],[Loonkosten]],"")))</f>
        <v/>
      </c>
      <c r="AL923" t="str">
        <f>IF(ISNUMBER(FIND("arbeid",Methode_Keuze)),"",IF(ISNUMBER(FIND("arbeid",Methode_Keuze)),"",IF(Tb_Activiteiten[[#This Row],[Eigen arbeid]]=1,Tb_Activiteiten[[#Headers],[Eigen arbeid]],"")))</f>
        <v/>
      </c>
      <c r="AM923" t="str">
        <f>IF(ISNUMBER(FIND("arbeid",Methode_Keuze)),"",IF(ISNUMBER(FIND("arbeid",Methode_Keuze)),"",IF(Tb_Activiteiten[[#This Row],[Projectmedewerker]]=1,Tb_Activiteiten[[#Headers],[Projectmedewerker]],"")))</f>
        <v/>
      </c>
      <c r="AN923" t="str">
        <f>IF(ISNUMBER(FIND("arbeid",Methode_Keuze)),"",IF(ISNUMBER(FIND("arbeid",Methode_Keuze)),"",IF(Tb_Activiteiten[[#This Row],[Landbouwer]]=1,Tb_Activiteiten[[#Headers],[Landbouwer]],"")))</f>
        <v/>
      </c>
      <c r="AO923" t="str">
        <f>IF(ISNUMBER(FIND("arbeid",Methode_Keuze)),"",IF(ISNUMBER(FIND("arbeid",Methode_Keuze)),"",IF(Tb_Activiteiten[[#This Row],[Adviseur]]=1,Tb_Activiteiten[[#Headers],[Adviseur]],"")))</f>
        <v/>
      </c>
      <c r="AP923" t="str">
        <f>IF(ISNUMBER(FIND("arbeid",Methode_Keuze)),"",IF(ISNUMBER(FIND("arbeid",Methode_Keuze)),"",IF(Tb_Activiteiten[[#This Row],[Projectleider/Expert]]=1,Tb_Activiteiten[[#Headers],[Projectleider/Expert]],"")))</f>
        <v/>
      </c>
      <c r="AQ923" t="str">
        <f>IF(ISNUMBER(FIND("arbeid",Methode_Keuze)),"",IF(ISNUMBER(FIND("arbeid",Methode_Keuze)),"",IF(Tb_Activiteiten[[#This Row],[Arbeidskosten]]=1,Tb_Activiteiten[[#Headers],[Arbeidskosten]],"")))</f>
        <v/>
      </c>
      <c r="AR923" t="str">
        <f>IF(ISNUMBER(FIND("arbeid",Methode_Keuze)),"",IF(ISNUMBER(FIND("arbeid",Methode_Keuze)),"",IF(Tb_Activiteiten[[#This Row],[Arbeidskosten op basis van IKS]]=1,Tb_Activiteiten[[#Headers],[Arbeidskosten op basis van IKS]],"")))</f>
        <v/>
      </c>
      <c r="AS923" t="str">
        <f>IF(ISNUMBER(FIND("overige",Methode_Keuze)),"",IF(Tb_Activiteiten[[#This Row],[Kosten derden exclusief btw]]=1,Tb_Activiteiten[[#Headers],[Kosten derden exclusief btw]],""))</f>
        <v/>
      </c>
      <c r="AT923" t="str">
        <f>IF(ISNUMBER(FIND("overige",Methode_Keuze)),"",IF(Tb_Activiteiten[[#This Row],[Niet verrekenbare btw]]=1,Tb_Activiteiten[[#Headers],[Niet verrekenbare btw]],""))</f>
        <v/>
      </c>
      <c r="AU923" t="str">
        <f>IF(ISNUMBER(FIND("overige",Methode_Keuze)),"",IF(Tb_Activiteiten[[#This Row],[Grondkosten]]=1,Tb_Activiteiten[[#Headers],[Grondkosten]],""))</f>
        <v/>
      </c>
      <c r="AV923" t="str">
        <f>IF(ISNUMBER(FIND("overige",Methode_Keuze)),"",IF(Tb_Activiteiten[[#This Row],[Bijdrage in natura (overige)]]=1,Tb_Activiteiten[[#Headers],[Bijdrage in natura (overige)]],""))</f>
        <v/>
      </c>
      <c r="AW923" t="str">
        <f>IF(ISNUMBER(FIND("overige",Methode_Keuze)),"",IF(Tb_Activiteiten[[#This Row],[Bijdrage in natura (vrijwilligers)]]=1,Tb_Activiteiten[[#Headers],[Bijdrage in natura (vrijwilligers)]],""))</f>
        <v/>
      </c>
      <c r="AX923" t="str">
        <f>IF(ISNUMBER(FIND("overige",Methode_Keuze)),"",IF(Tb_Activiteiten[[#This Row],[Afschrijvingskosten]]=1,Tb_Activiteiten[[#Headers],[Afschrijvingskosten]],""))</f>
        <v/>
      </c>
      <c r="AY923" t="str">
        <f>IF(ISNUMBER(FIND("overige",Methode_Keuze)),"",IF(Tb_Activiteiten[[#This Row],[Vergoeding]]=1,Tb_Activiteiten[[#Headers],[Vergoeding]],""))</f>
        <v/>
      </c>
      <c r="AZ923" t="str">
        <f>IF(ISNUMBER(FIND("arbeid",Methode_Keuze)),"",IF(Tb_Activiteiten[[#This Row],[Arbeidskosten - vast tarief (excl eigen arbeid)]]=1,Tb_Activiteiten[[#Headers],[Arbeidskosten - vast tarief (excl eigen arbeid)]],""))</f>
        <v/>
      </c>
      <c r="BA923" t="str">
        <f>IF(ISNUMBER(FIND("overige",Methode_Keuze)),"",IF(Tb_Activiteiten[[#This Row],[Overige kosten]]=1,Tb_Activiteiten[[#Headers],[Overige kosten]],""))</f>
        <v/>
      </c>
    </row>
    <row r="924" spans="1:53" x14ac:dyDescent="0.25">
      <c r="A924" s="231"/>
      <c r="F924" s="64"/>
      <c r="G924" s="64"/>
      <c r="H924" s="275"/>
      <c r="I924" s="275"/>
      <c r="J924" s="275"/>
      <c r="K924" s="275"/>
      <c r="O924" s="56"/>
      <c r="Q924" t="str">
        <f>IFERROR(IF(VLOOKUP(Tb_Activiteiten[[#This Row],[Openstelling]],Tb_Openstelling[],2,0)=1,1,""),"")</f>
        <v/>
      </c>
      <c r="AK924" t="str">
        <f>IF(ISNUMBER(FIND("arbeid",Methode_Keuze)),"",IF(ISNUMBER(FIND("arbeid",Methode_Keuze)),"",IF(Tb_Activiteiten[[#This Row],[Loonkosten]]=1,Tb_Activiteiten[[#Headers],[Loonkosten]],"")))</f>
        <v/>
      </c>
      <c r="AL924" t="str">
        <f>IF(ISNUMBER(FIND("arbeid",Methode_Keuze)),"",IF(ISNUMBER(FIND("arbeid",Methode_Keuze)),"",IF(Tb_Activiteiten[[#This Row],[Eigen arbeid]]=1,Tb_Activiteiten[[#Headers],[Eigen arbeid]],"")))</f>
        <v/>
      </c>
      <c r="AM924" t="str">
        <f>IF(ISNUMBER(FIND("arbeid",Methode_Keuze)),"",IF(ISNUMBER(FIND("arbeid",Methode_Keuze)),"",IF(Tb_Activiteiten[[#This Row],[Projectmedewerker]]=1,Tb_Activiteiten[[#Headers],[Projectmedewerker]],"")))</f>
        <v/>
      </c>
      <c r="AN924" t="str">
        <f>IF(ISNUMBER(FIND("arbeid",Methode_Keuze)),"",IF(ISNUMBER(FIND("arbeid",Methode_Keuze)),"",IF(Tb_Activiteiten[[#This Row],[Landbouwer]]=1,Tb_Activiteiten[[#Headers],[Landbouwer]],"")))</f>
        <v/>
      </c>
      <c r="AO924" t="str">
        <f>IF(ISNUMBER(FIND("arbeid",Methode_Keuze)),"",IF(ISNUMBER(FIND("arbeid",Methode_Keuze)),"",IF(Tb_Activiteiten[[#This Row],[Adviseur]]=1,Tb_Activiteiten[[#Headers],[Adviseur]],"")))</f>
        <v/>
      </c>
      <c r="AP924" t="str">
        <f>IF(ISNUMBER(FIND("arbeid",Methode_Keuze)),"",IF(ISNUMBER(FIND("arbeid",Methode_Keuze)),"",IF(Tb_Activiteiten[[#This Row],[Projectleider/Expert]]=1,Tb_Activiteiten[[#Headers],[Projectleider/Expert]],"")))</f>
        <v/>
      </c>
      <c r="AQ924" t="str">
        <f>IF(ISNUMBER(FIND("arbeid",Methode_Keuze)),"",IF(ISNUMBER(FIND("arbeid",Methode_Keuze)),"",IF(Tb_Activiteiten[[#This Row],[Arbeidskosten]]=1,Tb_Activiteiten[[#Headers],[Arbeidskosten]],"")))</f>
        <v/>
      </c>
      <c r="AR924" t="str">
        <f>IF(ISNUMBER(FIND("arbeid",Methode_Keuze)),"",IF(ISNUMBER(FIND("arbeid",Methode_Keuze)),"",IF(Tb_Activiteiten[[#This Row],[Arbeidskosten op basis van IKS]]=1,Tb_Activiteiten[[#Headers],[Arbeidskosten op basis van IKS]],"")))</f>
        <v/>
      </c>
      <c r="AS924" t="str">
        <f>IF(ISNUMBER(FIND("overige",Methode_Keuze)),"",IF(Tb_Activiteiten[[#This Row],[Kosten derden exclusief btw]]=1,Tb_Activiteiten[[#Headers],[Kosten derden exclusief btw]],""))</f>
        <v/>
      </c>
      <c r="AT924" t="str">
        <f>IF(ISNUMBER(FIND("overige",Methode_Keuze)),"",IF(Tb_Activiteiten[[#This Row],[Niet verrekenbare btw]]=1,Tb_Activiteiten[[#Headers],[Niet verrekenbare btw]],""))</f>
        <v/>
      </c>
      <c r="AU924" t="str">
        <f>IF(ISNUMBER(FIND("overige",Methode_Keuze)),"",IF(Tb_Activiteiten[[#This Row],[Grondkosten]]=1,Tb_Activiteiten[[#Headers],[Grondkosten]],""))</f>
        <v/>
      </c>
      <c r="AV924" t="str">
        <f>IF(ISNUMBER(FIND("overige",Methode_Keuze)),"",IF(Tb_Activiteiten[[#This Row],[Bijdrage in natura (overige)]]=1,Tb_Activiteiten[[#Headers],[Bijdrage in natura (overige)]],""))</f>
        <v/>
      </c>
      <c r="AW924" t="str">
        <f>IF(ISNUMBER(FIND("overige",Methode_Keuze)),"",IF(Tb_Activiteiten[[#This Row],[Bijdrage in natura (vrijwilligers)]]=1,Tb_Activiteiten[[#Headers],[Bijdrage in natura (vrijwilligers)]],""))</f>
        <v/>
      </c>
      <c r="AX924" t="str">
        <f>IF(ISNUMBER(FIND("overige",Methode_Keuze)),"",IF(Tb_Activiteiten[[#This Row],[Afschrijvingskosten]]=1,Tb_Activiteiten[[#Headers],[Afschrijvingskosten]],""))</f>
        <v/>
      </c>
      <c r="AY924" t="str">
        <f>IF(ISNUMBER(FIND("overige",Methode_Keuze)),"",IF(Tb_Activiteiten[[#This Row],[Vergoeding]]=1,Tb_Activiteiten[[#Headers],[Vergoeding]],""))</f>
        <v/>
      </c>
      <c r="AZ924" t="str">
        <f>IF(ISNUMBER(FIND("arbeid",Methode_Keuze)),"",IF(Tb_Activiteiten[[#This Row],[Arbeidskosten - vast tarief (excl eigen arbeid)]]=1,Tb_Activiteiten[[#Headers],[Arbeidskosten - vast tarief (excl eigen arbeid)]],""))</f>
        <v/>
      </c>
      <c r="BA924" t="str">
        <f>IF(ISNUMBER(FIND("overige",Methode_Keuze)),"",IF(Tb_Activiteiten[[#This Row],[Overige kosten]]=1,Tb_Activiteiten[[#Headers],[Overige kosten]],""))</f>
        <v/>
      </c>
    </row>
    <row r="925" spans="1:53" x14ac:dyDescent="0.25">
      <c r="A925" s="231"/>
      <c r="F925" s="64"/>
      <c r="G925" s="64"/>
      <c r="H925" s="275"/>
      <c r="I925" s="275"/>
      <c r="J925" s="275"/>
      <c r="K925" s="275"/>
      <c r="O925" s="56"/>
      <c r="Q925" t="str">
        <f>IFERROR(IF(VLOOKUP(Tb_Activiteiten[[#This Row],[Openstelling]],Tb_Openstelling[],2,0)=1,1,""),"")</f>
        <v/>
      </c>
      <c r="AK925" t="str">
        <f>IF(ISNUMBER(FIND("arbeid",Methode_Keuze)),"",IF(ISNUMBER(FIND("arbeid",Methode_Keuze)),"",IF(Tb_Activiteiten[[#This Row],[Loonkosten]]=1,Tb_Activiteiten[[#Headers],[Loonkosten]],"")))</f>
        <v/>
      </c>
      <c r="AL925" t="str">
        <f>IF(ISNUMBER(FIND("arbeid",Methode_Keuze)),"",IF(ISNUMBER(FIND("arbeid",Methode_Keuze)),"",IF(Tb_Activiteiten[[#This Row],[Eigen arbeid]]=1,Tb_Activiteiten[[#Headers],[Eigen arbeid]],"")))</f>
        <v/>
      </c>
      <c r="AM925" t="str">
        <f>IF(ISNUMBER(FIND("arbeid",Methode_Keuze)),"",IF(ISNUMBER(FIND("arbeid",Methode_Keuze)),"",IF(Tb_Activiteiten[[#This Row],[Projectmedewerker]]=1,Tb_Activiteiten[[#Headers],[Projectmedewerker]],"")))</f>
        <v/>
      </c>
      <c r="AN925" t="str">
        <f>IF(ISNUMBER(FIND("arbeid",Methode_Keuze)),"",IF(ISNUMBER(FIND("arbeid",Methode_Keuze)),"",IF(Tb_Activiteiten[[#This Row],[Landbouwer]]=1,Tb_Activiteiten[[#Headers],[Landbouwer]],"")))</f>
        <v/>
      </c>
      <c r="AO925" t="str">
        <f>IF(ISNUMBER(FIND("arbeid",Methode_Keuze)),"",IF(ISNUMBER(FIND("arbeid",Methode_Keuze)),"",IF(Tb_Activiteiten[[#This Row],[Adviseur]]=1,Tb_Activiteiten[[#Headers],[Adviseur]],"")))</f>
        <v/>
      </c>
      <c r="AP925" t="str">
        <f>IF(ISNUMBER(FIND("arbeid",Methode_Keuze)),"",IF(ISNUMBER(FIND("arbeid",Methode_Keuze)),"",IF(Tb_Activiteiten[[#This Row],[Projectleider/Expert]]=1,Tb_Activiteiten[[#Headers],[Projectleider/Expert]],"")))</f>
        <v/>
      </c>
      <c r="AQ925" t="str">
        <f>IF(ISNUMBER(FIND("arbeid",Methode_Keuze)),"",IF(ISNUMBER(FIND("arbeid",Methode_Keuze)),"",IF(Tb_Activiteiten[[#This Row],[Arbeidskosten]]=1,Tb_Activiteiten[[#Headers],[Arbeidskosten]],"")))</f>
        <v/>
      </c>
      <c r="AR925" t="str">
        <f>IF(ISNUMBER(FIND("arbeid",Methode_Keuze)),"",IF(ISNUMBER(FIND("arbeid",Methode_Keuze)),"",IF(Tb_Activiteiten[[#This Row],[Arbeidskosten op basis van IKS]]=1,Tb_Activiteiten[[#Headers],[Arbeidskosten op basis van IKS]],"")))</f>
        <v/>
      </c>
      <c r="AS925" t="str">
        <f>IF(ISNUMBER(FIND("overige",Methode_Keuze)),"",IF(Tb_Activiteiten[[#This Row],[Kosten derden exclusief btw]]=1,Tb_Activiteiten[[#Headers],[Kosten derden exclusief btw]],""))</f>
        <v/>
      </c>
      <c r="AT925" t="str">
        <f>IF(ISNUMBER(FIND("overige",Methode_Keuze)),"",IF(Tb_Activiteiten[[#This Row],[Niet verrekenbare btw]]=1,Tb_Activiteiten[[#Headers],[Niet verrekenbare btw]],""))</f>
        <v/>
      </c>
      <c r="AU925" t="str">
        <f>IF(ISNUMBER(FIND("overige",Methode_Keuze)),"",IF(Tb_Activiteiten[[#This Row],[Grondkosten]]=1,Tb_Activiteiten[[#Headers],[Grondkosten]],""))</f>
        <v/>
      </c>
      <c r="AV925" t="str">
        <f>IF(ISNUMBER(FIND("overige",Methode_Keuze)),"",IF(Tb_Activiteiten[[#This Row],[Bijdrage in natura (overige)]]=1,Tb_Activiteiten[[#Headers],[Bijdrage in natura (overige)]],""))</f>
        <v/>
      </c>
      <c r="AW925" t="str">
        <f>IF(ISNUMBER(FIND("overige",Methode_Keuze)),"",IF(Tb_Activiteiten[[#This Row],[Bijdrage in natura (vrijwilligers)]]=1,Tb_Activiteiten[[#Headers],[Bijdrage in natura (vrijwilligers)]],""))</f>
        <v/>
      </c>
      <c r="AX925" t="str">
        <f>IF(ISNUMBER(FIND("overige",Methode_Keuze)),"",IF(Tb_Activiteiten[[#This Row],[Afschrijvingskosten]]=1,Tb_Activiteiten[[#Headers],[Afschrijvingskosten]],""))</f>
        <v/>
      </c>
      <c r="AY925" t="str">
        <f>IF(ISNUMBER(FIND("overige",Methode_Keuze)),"",IF(Tb_Activiteiten[[#This Row],[Vergoeding]]=1,Tb_Activiteiten[[#Headers],[Vergoeding]],""))</f>
        <v/>
      </c>
      <c r="AZ925" t="str">
        <f>IF(ISNUMBER(FIND("arbeid",Methode_Keuze)),"",IF(Tb_Activiteiten[[#This Row],[Arbeidskosten - vast tarief (excl eigen arbeid)]]=1,Tb_Activiteiten[[#Headers],[Arbeidskosten - vast tarief (excl eigen arbeid)]],""))</f>
        <v/>
      </c>
      <c r="BA925" t="str">
        <f>IF(ISNUMBER(FIND("overige",Methode_Keuze)),"",IF(Tb_Activiteiten[[#This Row],[Overige kosten]]=1,Tb_Activiteiten[[#Headers],[Overige kosten]],""))</f>
        <v/>
      </c>
    </row>
    <row r="926" spans="1:53" x14ac:dyDescent="0.25">
      <c r="A926" s="231"/>
      <c r="F926" s="64"/>
      <c r="G926" s="64"/>
      <c r="H926" s="275"/>
      <c r="I926" s="275"/>
      <c r="J926" s="275"/>
      <c r="K926" s="275"/>
      <c r="O926" s="56"/>
      <c r="Q926" t="str">
        <f>IFERROR(IF(VLOOKUP(Tb_Activiteiten[[#This Row],[Openstelling]],Tb_Openstelling[],2,0)=1,1,""),"")</f>
        <v/>
      </c>
      <c r="AK926" t="str">
        <f>IF(ISNUMBER(FIND("arbeid",Methode_Keuze)),"",IF(ISNUMBER(FIND("arbeid",Methode_Keuze)),"",IF(Tb_Activiteiten[[#This Row],[Loonkosten]]=1,Tb_Activiteiten[[#Headers],[Loonkosten]],"")))</f>
        <v/>
      </c>
      <c r="AL926" t="str">
        <f>IF(ISNUMBER(FIND("arbeid",Methode_Keuze)),"",IF(ISNUMBER(FIND("arbeid",Methode_Keuze)),"",IF(Tb_Activiteiten[[#This Row],[Eigen arbeid]]=1,Tb_Activiteiten[[#Headers],[Eigen arbeid]],"")))</f>
        <v/>
      </c>
      <c r="AM926" t="str">
        <f>IF(ISNUMBER(FIND("arbeid",Methode_Keuze)),"",IF(ISNUMBER(FIND("arbeid",Methode_Keuze)),"",IF(Tb_Activiteiten[[#This Row],[Projectmedewerker]]=1,Tb_Activiteiten[[#Headers],[Projectmedewerker]],"")))</f>
        <v/>
      </c>
      <c r="AN926" t="str">
        <f>IF(ISNUMBER(FIND("arbeid",Methode_Keuze)),"",IF(ISNUMBER(FIND("arbeid",Methode_Keuze)),"",IF(Tb_Activiteiten[[#This Row],[Landbouwer]]=1,Tb_Activiteiten[[#Headers],[Landbouwer]],"")))</f>
        <v/>
      </c>
      <c r="AO926" t="str">
        <f>IF(ISNUMBER(FIND("arbeid",Methode_Keuze)),"",IF(ISNUMBER(FIND("arbeid",Methode_Keuze)),"",IF(Tb_Activiteiten[[#This Row],[Adviseur]]=1,Tb_Activiteiten[[#Headers],[Adviseur]],"")))</f>
        <v/>
      </c>
      <c r="AP926" t="str">
        <f>IF(ISNUMBER(FIND("arbeid",Methode_Keuze)),"",IF(ISNUMBER(FIND("arbeid",Methode_Keuze)),"",IF(Tb_Activiteiten[[#This Row],[Projectleider/Expert]]=1,Tb_Activiteiten[[#Headers],[Projectleider/Expert]],"")))</f>
        <v/>
      </c>
      <c r="AQ926" t="str">
        <f>IF(ISNUMBER(FIND("arbeid",Methode_Keuze)),"",IF(ISNUMBER(FIND("arbeid",Methode_Keuze)),"",IF(Tb_Activiteiten[[#This Row],[Arbeidskosten]]=1,Tb_Activiteiten[[#Headers],[Arbeidskosten]],"")))</f>
        <v/>
      </c>
      <c r="AR926" t="str">
        <f>IF(ISNUMBER(FIND("arbeid",Methode_Keuze)),"",IF(ISNUMBER(FIND("arbeid",Methode_Keuze)),"",IF(Tb_Activiteiten[[#This Row],[Arbeidskosten op basis van IKS]]=1,Tb_Activiteiten[[#Headers],[Arbeidskosten op basis van IKS]],"")))</f>
        <v/>
      </c>
      <c r="AS926" t="str">
        <f>IF(ISNUMBER(FIND("overige",Methode_Keuze)),"",IF(Tb_Activiteiten[[#This Row],[Kosten derden exclusief btw]]=1,Tb_Activiteiten[[#Headers],[Kosten derden exclusief btw]],""))</f>
        <v/>
      </c>
      <c r="AT926" t="str">
        <f>IF(ISNUMBER(FIND("overige",Methode_Keuze)),"",IF(Tb_Activiteiten[[#This Row],[Niet verrekenbare btw]]=1,Tb_Activiteiten[[#Headers],[Niet verrekenbare btw]],""))</f>
        <v/>
      </c>
      <c r="AU926" t="str">
        <f>IF(ISNUMBER(FIND("overige",Methode_Keuze)),"",IF(Tb_Activiteiten[[#This Row],[Grondkosten]]=1,Tb_Activiteiten[[#Headers],[Grondkosten]],""))</f>
        <v/>
      </c>
      <c r="AV926" t="str">
        <f>IF(ISNUMBER(FIND("overige",Methode_Keuze)),"",IF(Tb_Activiteiten[[#This Row],[Bijdrage in natura (overige)]]=1,Tb_Activiteiten[[#Headers],[Bijdrage in natura (overige)]],""))</f>
        <v/>
      </c>
      <c r="AW926" t="str">
        <f>IF(ISNUMBER(FIND("overige",Methode_Keuze)),"",IF(Tb_Activiteiten[[#This Row],[Bijdrage in natura (vrijwilligers)]]=1,Tb_Activiteiten[[#Headers],[Bijdrage in natura (vrijwilligers)]],""))</f>
        <v/>
      </c>
      <c r="AX926" t="str">
        <f>IF(ISNUMBER(FIND("overige",Methode_Keuze)),"",IF(Tb_Activiteiten[[#This Row],[Afschrijvingskosten]]=1,Tb_Activiteiten[[#Headers],[Afschrijvingskosten]],""))</f>
        <v/>
      </c>
      <c r="AY926" t="str">
        <f>IF(ISNUMBER(FIND("overige",Methode_Keuze)),"",IF(Tb_Activiteiten[[#This Row],[Vergoeding]]=1,Tb_Activiteiten[[#Headers],[Vergoeding]],""))</f>
        <v/>
      </c>
      <c r="AZ926" t="str">
        <f>IF(ISNUMBER(FIND("arbeid",Methode_Keuze)),"",IF(Tb_Activiteiten[[#This Row],[Arbeidskosten - vast tarief (excl eigen arbeid)]]=1,Tb_Activiteiten[[#Headers],[Arbeidskosten - vast tarief (excl eigen arbeid)]],""))</f>
        <v/>
      </c>
      <c r="BA926" t="str">
        <f>IF(ISNUMBER(FIND("overige",Methode_Keuze)),"",IF(Tb_Activiteiten[[#This Row],[Overige kosten]]=1,Tb_Activiteiten[[#Headers],[Overige kosten]],""))</f>
        <v/>
      </c>
    </row>
    <row r="927" spans="1:53" x14ac:dyDescent="0.25">
      <c r="A927" s="231"/>
      <c r="F927" s="64"/>
      <c r="G927" s="64"/>
      <c r="H927" s="275"/>
      <c r="I927" s="275"/>
      <c r="J927" s="275"/>
      <c r="K927" s="275"/>
      <c r="O927" s="56"/>
      <c r="Q927" t="str">
        <f>IFERROR(IF(VLOOKUP(Tb_Activiteiten[[#This Row],[Openstelling]],Tb_Openstelling[],2,0)=1,1,""),"")</f>
        <v/>
      </c>
      <c r="AK927" t="str">
        <f>IF(ISNUMBER(FIND("arbeid",Methode_Keuze)),"",IF(ISNUMBER(FIND("arbeid",Methode_Keuze)),"",IF(Tb_Activiteiten[[#This Row],[Loonkosten]]=1,Tb_Activiteiten[[#Headers],[Loonkosten]],"")))</f>
        <v/>
      </c>
      <c r="AL927" t="str">
        <f>IF(ISNUMBER(FIND("arbeid",Methode_Keuze)),"",IF(ISNUMBER(FIND("arbeid",Methode_Keuze)),"",IF(Tb_Activiteiten[[#This Row],[Eigen arbeid]]=1,Tb_Activiteiten[[#Headers],[Eigen arbeid]],"")))</f>
        <v/>
      </c>
      <c r="AM927" t="str">
        <f>IF(ISNUMBER(FIND("arbeid",Methode_Keuze)),"",IF(ISNUMBER(FIND("arbeid",Methode_Keuze)),"",IF(Tb_Activiteiten[[#This Row],[Projectmedewerker]]=1,Tb_Activiteiten[[#Headers],[Projectmedewerker]],"")))</f>
        <v/>
      </c>
      <c r="AN927" t="str">
        <f>IF(ISNUMBER(FIND("arbeid",Methode_Keuze)),"",IF(ISNUMBER(FIND("arbeid",Methode_Keuze)),"",IF(Tb_Activiteiten[[#This Row],[Landbouwer]]=1,Tb_Activiteiten[[#Headers],[Landbouwer]],"")))</f>
        <v/>
      </c>
      <c r="AO927" t="str">
        <f>IF(ISNUMBER(FIND("arbeid",Methode_Keuze)),"",IF(ISNUMBER(FIND("arbeid",Methode_Keuze)),"",IF(Tb_Activiteiten[[#This Row],[Adviseur]]=1,Tb_Activiteiten[[#Headers],[Adviseur]],"")))</f>
        <v/>
      </c>
      <c r="AP927" t="str">
        <f>IF(ISNUMBER(FIND("arbeid",Methode_Keuze)),"",IF(ISNUMBER(FIND("arbeid",Methode_Keuze)),"",IF(Tb_Activiteiten[[#This Row],[Projectleider/Expert]]=1,Tb_Activiteiten[[#Headers],[Projectleider/Expert]],"")))</f>
        <v/>
      </c>
      <c r="AQ927" t="str">
        <f>IF(ISNUMBER(FIND("arbeid",Methode_Keuze)),"",IF(ISNUMBER(FIND("arbeid",Methode_Keuze)),"",IF(Tb_Activiteiten[[#This Row],[Arbeidskosten]]=1,Tb_Activiteiten[[#Headers],[Arbeidskosten]],"")))</f>
        <v/>
      </c>
      <c r="AR927" t="str">
        <f>IF(ISNUMBER(FIND("arbeid",Methode_Keuze)),"",IF(ISNUMBER(FIND("arbeid",Methode_Keuze)),"",IF(Tb_Activiteiten[[#This Row],[Arbeidskosten op basis van IKS]]=1,Tb_Activiteiten[[#Headers],[Arbeidskosten op basis van IKS]],"")))</f>
        <v/>
      </c>
      <c r="AS927" t="str">
        <f>IF(ISNUMBER(FIND("overige",Methode_Keuze)),"",IF(Tb_Activiteiten[[#This Row],[Kosten derden exclusief btw]]=1,Tb_Activiteiten[[#Headers],[Kosten derden exclusief btw]],""))</f>
        <v/>
      </c>
      <c r="AT927" t="str">
        <f>IF(ISNUMBER(FIND("overige",Methode_Keuze)),"",IF(Tb_Activiteiten[[#This Row],[Niet verrekenbare btw]]=1,Tb_Activiteiten[[#Headers],[Niet verrekenbare btw]],""))</f>
        <v/>
      </c>
      <c r="AU927" t="str">
        <f>IF(ISNUMBER(FIND("overige",Methode_Keuze)),"",IF(Tb_Activiteiten[[#This Row],[Grondkosten]]=1,Tb_Activiteiten[[#Headers],[Grondkosten]],""))</f>
        <v/>
      </c>
      <c r="AV927" t="str">
        <f>IF(ISNUMBER(FIND("overige",Methode_Keuze)),"",IF(Tb_Activiteiten[[#This Row],[Bijdrage in natura (overige)]]=1,Tb_Activiteiten[[#Headers],[Bijdrage in natura (overige)]],""))</f>
        <v/>
      </c>
      <c r="AW927" t="str">
        <f>IF(ISNUMBER(FIND("overige",Methode_Keuze)),"",IF(Tb_Activiteiten[[#This Row],[Bijdrage in natura (vrijwilligers)]]=1,Tb_Activiteiten[[#Headers],[Bijdrage in natura (vrijwilligers)]],""))</f>
        <v/>
      </c>
      <c r="AX927" t="str">
        <f>IF(ISNUMBER(FIND("overige",Methode_Keuze)),"",IF(Tb_Activiteiten[[#This Row],[Afschrijvingskosten]]=1,Tb_Activiteiten[[#Headers],[Afschrijvingskosten]],""))</f>
        <v/>
      </c>
      <c r="AY927" t="str">
        <f>IF(ISNUMBER(FIND("overige",Methode_Keuze)),"",IF(Tb_Activiteiten[[#This Row],[Vergoeding]]=1,Tb_Activiteiten[[#Headers],[Vergoeding]],""))</f>
        <v/>
      </c>
      <c r="AZ927" t="str">
        <f>IF(ISNUMBER(FIND("arbeid",Methode_Keuze)),"",IF(Tb_Activiteiten[[#This Row],[Arbeidskosten - vast tarief (excl eigen arbeid)]]=1,Tb_Activiteiten[[#Headers],[Arbeidskosten - vast tarief (excl eigen arbeid)]],""))</f>
        <v/>
      </c>
      <c r="BA927" t="str">
        <f>IF(ISNUMBER(FIND("overige",Methode_Keuze)),"",IF(Tb_Activiteiten[[#This Row],[Overige kosten]]=1,Tb_Activiteiten[[#Headers],[Overige kosten]],""))</f>
        <v/>
      </c>
    </row>
    <row r="928" spans="1:53" x14ac:dyDescent="0.25">
      <c r="A928" s="231"/>
      <c r="F928" s="64"/>
      <c r="G928" s="64"/>
      <c r="H928" s="275"/>
      <c r="I928" s="275"/>
      <c r="J928" s="275"/>
      <c r="K928" s="275"/>
      <c r="O928" s="56"/>
      <c r="Q928" t="str">
        <f>IFERROR(IF(VLOOKUP(Tb_Activiteiten[[#This Row],[Openstelling]],Tb_Openstelling[],2,0)=1,1,""),"")</f>
        <v/>
      </c>
      <c r="AK928" t="str">
        <f>IF(ISNUMBER(FIND("arbeid",Methode_Keuze)),"",IF(ISNUMBER(FIND("arbeid",Methode_Keuze)),"",IF(Tb_Activiteiten[[#This Row],[Loonkosten]]=1,Tb_Activiteiten[[#Headers],[Loonkosten]],"")))</f>
        <v/>
      </c>
      <c r="AL928" t="str">
        <f>IF(ISNUMBER(FIND("arbeid",Methode_Keuze)),"",IF(ISNUMBER(FIND("arbeid",Methode_Keuze)),"",IF(Tb_Activiteiten[[#This Row],[Eigen arbeid]]=1,Tb_Activiteiten[[#Headers],[Eigen arbeid]],"")))</f>
        <v/>
      </c>
      <c r="AM928" t="str">
        <f>IF(ISNUMBER(FIND("arbeid",Methode_Keuze)),"",IF(ISNUMBER(FIND("arbeid",Methode_Keuze)),"",IF(Tb_Activiteiten[[#This Row],[Projectmedewerker]]=1,Tb_Activiteiten[[#Headers],[Projectmedewerker]],"")))</f>
        <v/>
      </c>
      <c r="AN928" t="str">
        <f>IF(ISNUMBER(FIND("arbeid",Methode_Keuze)),"",IF(ISNUMBER(FIND("arbeid",Methode_Keuze)),"",IF(Tb_Activiteiten[[#This Row],[Landbouwer]]=1,Tb_Activiteiten[[#Headers],[Landbouwer]],"")))</f>
        <v/>
      </c>
      <c r="AO928" t="str">
        <f>IF(ISNUMBER(FIND("arbeid",Methode_Keuze)),"",IF(ISNUMBER(FIND("arbeid",Methode_Keuze)),"",IF(Tb_Activiteiten[[#This Row],[Adviseur]]=1,Tb_Activiteiten[[#Headers],[Adviseur]],"")))</f>
        <v/>
      </c>
      <c r="AP928" t="str">
        <f>IF(ISNUMBER(FIND("arbeid",Methode_Keuze)),"",IF(ISNUMBER(FIND("arbeid",Methode_Keuze)),"",IF(Tb_Activiteiten[[#This Row],[Projectleider/Expert]]=1,Tb_Activiteiten[[#Headers],[Projectleider/Expert]],"")))</f>
        <v/>
      </c>
      <c r="AQ928" t="str">
        <f>IF(ISNUMBER(FIND("arbeid",Methode_Keuze)),"",IF(ISNUMBER(FIND("arbeid",Methode_Keuze)),"",IF(Tb_Activiteiten[[#This Row],[Arbeidskosten]]=1,Tb_Activiteiten[[#Headers],[Arbeidskosten]],"")))</f>
        <v/>
      </c>
      <c r="AR928" t="str">
        <f>IF(ISNUMBER(FIND("arbeid",Methode_Keuze)),"",IF(ISNUMBER(FIND("arbeid",Methode_Keuze)),"",IF(Tb_Activiteiten[[#This Row],[Arbeidskosten op basis van IKS]]=1,Tb_Activiteiten[[#Headers],[Arbeidskosten op basis van IKS]],"")))</f>
        <v/>
      </c>
      <c r="AS928" t="str">
        <f>IF(ISNUMBER(FIND("overige",Methode_Keuze)),"",IF(Tb_Activiteiten[[#This Row],[Kosten derden exclusief btw]]=1,Tb_Activiteiten[[#Headers],[Kosten derden exclusief btw]],""))</f>
        <v/>
      </c>
      <c r="AT928" t="str">
        <f>IF(ISNUMBER(FIND("overige",Methode_Keuze)),"",IF(Tb_Activiteiten[[#This Row],[Niet verrekenbare btw]]=1,Tb_Activiteiten[[#Headers],[Niet verrekenbare btw]],""))</f>
        <v/>
      </c>
      <c r="AU928" t="str">
        <f>IF(ISNUMBER(FIND("overige",Methode_Keuze)),"",IF(Tb_Activiteiten[[#This Row],[Grondkosten]]=1,Tb_Activiteiten[[#Headers],[Grondkosten]],""))</f>
        <v/>
      </c>
      <c r="AV928" t="str">
        <f>IF(ISNUMBER(FIND("overige",Methode_Keuze)),"",IF(Tb_Activiteiten[[#This Row],[Bijdrage in natura (overige)]]=1,Tb_Activiteiten[[#Headers],[Bijdrage in natura (overige)]],""))</f>
        <v/>
      </c>
      <c r="AW928" t="str">
        <f>IF(ISNUMBER(FIND("overige",Methode_Keuze)),"",IF(Tb_Activiteiten[[#This Row],[Bijdrage in natura (vrijwilligers)]]=1,Tb_Activiteiten[[#Headers],[Bijdrage in natura (vrijwilligers)]],""))</f>
        <v/>
      </c>
      <c r="AX928" t="str">
        <f>IF(ISNUMBER(FIND("overige",Methode_Keuze)),"",IF(Tb_Activiteiten[[#This Row],[Afschrijvingskosten]]=1,Tb_Activiteiten[[#Headers],[Afschrijvingskosten]],""))</f>
        <v/>
      </c>
      <c r="AY928" t="str">
        <f>IF(ISNUMBER(FIND("overige",Methode_Keuze)),"",IF(Tb_Activiteiten[[#This Row],[Vergoeding]]=1,Tb_Activiteiten[[#Headers],[Vergoeding]],""))</f>
        <v/>
      </c>
      <c r="AZ928" t="str">
        <f>IF(ISNUMBER(FIND("arbeid",Methode_Keuze)),"",IF(Tb_Activiteiten[[#This Row],[Arbeidskosten - vast tarief (excl eigen arbeid)]]=1,Tb_Activiteiten[[#Headers],[Arbeidskosten - vast tarief (excl eigen arbeid)]],""))</f>
        <v/>
      </c>
      <c r="BA928" t="str">
        <f>IF(ISNUMBER(FIND("overige",Methode_Keuze)),"",IF(Tb_Activiteiten[[#This Row],[Overige kosten]]=1,Tb_Activiteiten[[#Headers],[Overige kosten]],""))</f>
        <v/>
      </c>
    </row>
    <row r="929" spans="1:53" x14ac:dyDescent="0.25">
      <c r="A929" s="231"/>
      <c r="F929" s="64"/>
      <c r="G929" s="64"/>
      <c r="H929" s="275"/>
      <c r="I929" s="275"/>
      <c r="J929" s="275"/>
      <c r="K929" s="275"/>
      <c r="O929" s="56"/>
      <c r="Q929" t="str">
        <f>IFERROR(IF(VLOOKUP(Tb_Activiteiten[[#This Row],[Openstelling]],Tb_Openstelling[],2,0)=1,1,""),"")</f>
        <v/>
      </c>
      <c r="AK929" t="str">
        <f>IF(ISNUMBER(FIND("arbeid",Methode_Keuze)),"",IF(ISNUMBER(FIND("arbeid",Methode_Keuze)),"",IF(Tb_Activiteiten[[#This Row],[Loonkosten]]=1,Tb_Activiteiten[[#Headers],[Loonkosten]],"")))</f>
        <v/>
      </c>
      <c r="AL929" t="str">
        <f>IF(ISNUMBER(FIND("arbeid",Methode_Keuze)),"",IF(ISNUMBER(FIND("arbeid",Methode_Keuze)),"",IF(Tb_Activiteiten[[#This Row],[Eigen arbeid]]=1,Tb_Activiteiten[[#Headers],[Eigen arbeid]],"")))</f>
        <v/>
      </c>
      <c r="AM929" t="str">
        <f>IF(ISNUMBER(FIND("arbeid",Methode_Keuze)),"",IF(ISNUMBER(FIND("arbeid",Methode_Keuze)),"",IF(Tb_Activiteiten[[#This Row],[Projectmedewerker]]=1,Tb_Activiteiten[[#Headers],[Projectmedewerker]],"")))</f>
        <v/>
      </c>
      <c r="AN929" t="str">
        <f>IF(ISNUMBER(FIND("arbeid",Methode_Keuze)),"",IF(ISNUMBER(FIND("arbeid",Methode_Keuze)),"",IF(Tb_Activiteiten[[#This Row],[Landbouwer]]=1,Tb_Activiteiten[[#Headers],[Landbouwer]],"")))</f>
        <v/>
      </c>
      <c r="AO929" t="str">
        <f>IF(ISNUMBER(FIND("arbeid",Methode_Keuze)),"",IF(ISNUMBER(FIND("arbeid",Methode_Keuze)),"",IF(Tb_Activiteiten[[#This Row],[Adviseur]]=1,Tb_Activiteiten[[#Headers],[Adviseur]],"")))</f>
        <v/>
      </c>
      <c r="AP929" t="str">
        <f>IF(ISNUMBER(FIND("arbeid",Methode_Keuze)),"",IF(ISNUMBER(FIND("arbeid",Methode_Keuze)),"",IF(Tb_Activiteiten[[#This Row],[Projectleider/Expert]]=1,Tb_Activiteiten[[#Headers],[Projectleider/Expert]],"")))</f>
        <v/>
      </c>
      <c r="AQ929" t="str">
        <f>IF(ISNUMBER(FIND("arbeid",Methode_Keuze)),"",IF(ISNUMBER(FIND("arbeid",Methode_Keuze)),"",IF(Tb_Activiteiten[[#This Row],[Arbeidskosten]]=1,Tb_Activiteiten[[#Headers],[Arbeidskosten]],"")))</f>
        <v/>
      </c>
      <c r="AR929" t="str">
        <f>IF(ISNUMBER(FIND("arbeid",Methode_Keuze)),"",IF(ISNUMBER(FIND("arbeid",Methode_Keuze)),"",IF(Tb_Activiteiten[[#This Row],[Arbeidskosten op basis van IKS]]=1,Tb_Activiteiten[[#Headers],[Arbeidskosten op basis van IKS]],"")))</f>
        <v/>
      </c>
      <c r="AS929" t="str">
        <f>IF(ISNUMBER(FIND("overige",Methode_Keuze)),"",IF(Tb_Activiteiten[[#This Row],[Kosten derden exclusief btw]]=1,Tb_Activiteiten[[#Headers],[Kosten derden exclusief btw]],""))</f>
        <v/>
      </c>
      <c r="AT929" t="str">
        <f>IF(ISNUMBER(FIND("overige",Methode_Keuze)),"",IF(Tb_Activiteiten[[#This Row],[Niet verrekenbare btw]]=1,Tb_Activiteiten[[#Headers],[Niet verrekenbare btw]],""))</f>
        <v/>
      </c>
      <c r="AU929" t="str">
        <f>IF(ISNUMBER(FIND("overige",Methode_Keuze)),"",IF(Tb_Activiteiten[[#This Row],[Grondkosten]]=1,Tb_Activiteiten[[#Headers],[Grondkosten]],""))</f>
        <v/>
      </c>
      <c r="AV929" t="str">
        <f>IF(ISNUMBER(FIND("overige",Methode_Keuze)),"",IF(Tb_Activiteiten[[#This Row],[Bijdrage in natura (overige)]]=1,Tb_Activiteiten[[#Headers],[Bijdrage in natura (overige)]],""))</f>
        <v/>
      </c>
      <c r="AW929" t="str">
        <f>IF(ISNUMBER(FIND("overige",Methode_Keuze)),"",IF(Tb_Activiteiten[[#This Row],[Bijdrage in natura (vrijwilligers)]]=1,Tb_Activiteiten[[#Headers],[Bijdrage in natura (vrijwilligers)]],""))</f>
        <v/>
      </c>
      <c r="AX929" t="str">
        <f>IF(ISNUMBER(FIND("overige",Methode_Keuze)),"",IF(Tb_Activiteiten[[#This Row],[Afschrijvingskosten]]=1,Tb_Activiteiten[[#Headers],[Afschrijvingskosten]],""))</f>
        <v/>
      </c>
      <c r="AY929" t="str">
        <f>IF(ISNUMBER(FIND("overige",Methode_Keuze)),"",IF(Tb_Activiteiten[[#This Row],[Vergoeding]]=1,Tb_Activiteiten[[#Headers],[Vergoeding]],""))</f>
        <v/>
      </c>
      <c r="AZ929" t="str">
        <f>IF(ISNUMBER(FIND("arbeid",Methode_Keuze)),"",IF(Tb_Activiteiten[[#This Row],[Arbeidskosten - vast tarief (excl eigen arbeid)]]=1,Tb_Activiteiten[[#Headers],[Arbeidskosten - vast tarief (excl eigen arbeid)]],""))</f>
        <v/>
      </c>
      <c r="BA929" t="str">
        <f>IF(ISNUMBER(FIND("overige",Methode_Keuze)),"",IF(Tb_Activiteiten[[#This Row],[Overige kosten]]=1,Tb_Activiteiten[[#Headers],[Overige kosten]],""))</f>
        <v/>
      </c>
    </row>
    <row r="930" spans="1:53" x14ac:dyDescent="0.25">
      <c r="A930" s="231"/>
      <c r="F930" s="64"/>
      <c r="G930" s="64"/>
      <c r="H930" s="275"/>
      <c r="I930" s="275"/>
      <c r="J930" s="275"/>
      <c r="K930" s="275"/>
      <c r="O930" s="56"/>
      <c r="Q930" t="str">
        <f>IFERROR(IF(VLOOKUP(Tb_Activiteiten[[#This Row],[Openstelling]],Tb_Openstelling[],2,0)=1,1,""),"")</f>
        <v/>
      </c>
      <c r="AK930" t="str">
        <f>IF(ISNUMBER(FIND("arbeid",Methode_Keuze)),"",IF(ISNUMBER(FIND("arbeid",Methode_Keuze)),"",IF(Tb_Activiteiten[[#This Row],[Loonkosten]]=1,Tb_Activiteiten[[#Headers],[Loonkosten]],"")))</f>
        <v/>
      </c>
      <c r="AL930" t="str">
        <f>IF(ISNUMBER(FIND("arbeid",Methode_Keuze)),"",IF(ISNUMBER(FIND("arbeid",Methode_Keuze)),"",IF(Tb_Activiteiten[[#This Row],[Eigen arbeid]]=1,Tb_Activiteiten[[#Headers],[Eigen arbeid]],"")))</f>
        <v/>
      </c>
      <c r="AM930" t="str">
        <f>IF(ISNUMBER(FIND("arbeid",Methode_Keuze)),"",IF(ISNUMBER(FIND("arbeid",Methode_Keuze)),"",IF(Tb_Activiteiten[[#This Row],[Projectmedewerker]]=1,Tb_Activiteiten[[#Headers],[Projectmedewerker]],"")))</f>
        <v/>
      </c>
      <c r="AN930" t="str">
        <f>IF(ISNUMBER(FIND("arbeid",Methode_Keuze)),"",IF(ISNUMBER(FIND("arbeid",Methode_Keuze)),"",IF(Tb_Activiteiten[[#This Row],[Landbouwer]]=1,Tb_Activiteiten[[#Headers],[Landbouwer]],"")))</f>
        <v/>
      </c>
      <c r="AO930" t="str">
        <f>IF(ISNUMBER(FIND("arbeid",Methode_Keuze)),"",IF(ISNUMBER(FIND("arbeid",Methode_Keuze)),"",IF(Tb_Activiteiten[[#This Row],[Adviseur]]=1,Tb_Activiteiten[[#Headers],[Adviseur]],"")))</f>
        <v/>
      </c>
      <c r="AP930" t="str">
        <f>IF(ISNUMBER(FIND("arbeid",Methode_Keuze)),"",IF(ISNUMBER(FIND("arbeid",Methode_Keuze)),"",IF(Tb_Activiteiten[[#This Row],[Projectleider/Expert]]=1,Tb_Activiteiten[[#Headers],[Projectleider/Expert]],"")))</f>
        <v/>
      </c>
      <c r="AQ930" t="str">
        <f>IF(ISNUMBER(FIND("arbeid",Methode_Keuze)),"",IF(ISNUMBER(FIND("arbeid",Methode_Keuze)),"",IF(Tb_Activiteiten[[#This Row],[Arbeidskosten]]=1,Tb_Activiteiten[[#Headers],[Arbeidskosten]],"")))</f>
        <v/>
      </c>
      <c r="AR930" t="str">
        <f>IF(ISNUMBER(FIND("arbeid",Methode_Keuze)),"",IF(ISNUMBER(FIND("arbeid",Methode_Keuze)),"",IF(Tb_Activiteiten[[#This Row],[Arbeidskosten op basis van IKS]]=1,Tb_Activiteiten[[#Headers],[Arbeidskosten op basis van IKS]],"")))</f>
        <v/>
      </c>
      <c r="AS930" t="str">
        <f>IF(ISNUMBER(FIND("overige",Methode_Keuze)),"",IF(Tb_Activiteiten[[#This Row],[Kosten derden exclusief btw]]=1,Tb_Activiteiten[[#Headers],[Kosten derden exclusief btw]],""))</f>
        <v/>
      </c>
      <c r="AT930" t="str">
        <f>IF(ISNUMBER(FIND("overige",Methode_Keuze)),"",IF(Tb_Activiteiten[[#This Row],[Niet verrekenbare btw]]=1,Tb_Activiteiten[[#Headers],[Niet verrekenbare btw]],""))</f>
        <v/>
      </c>
      <c r="AU930" t="str">
        <f>IF(ISNUMBER(FIND("overige",Methode_Keuze)),"",IF(Tb_Activiteiten[[#This Row],[Grondkosten]]=1,Tb_Activiteiten[[#Headers],[Grondkosten]],""))</f>
        <v/>
      </c>
      <c r="AV930" t="str">
        <f>IF(ISNUMBER(FIND("overige",Methode_Keuze)),"",IF(Tb_Activiteiten[[#This Row],[Bijdrage in natura (overige)]]=1,Tb_Activiteiten[[#Headers],[Bijdrage in natura (overige)]],""))</f>
        <v/>
      </c>
      <c r="AW930" t="str">
        <f>IF(ISNUMBER(FIND("overige",Methode_Keuze)),"",IF(Tb_Activiteiten[[#This Row],[Bijdrage in natura (vrijwilligers)]]=1,Tb_Activiteiten[[#Headers],[Bijdrage in natura (vrijwilligers)]],""))</f>
        <v/>
      </c>
      <c r="AX930" t="str">
        <f>IF(ISNUMBER(FIND("overige",Methode_Keuze)),"",IF(Tb_Activiteiten[[#This Row],[Afschrijvingskosten]]=1,Tb_Activiteiten[[#Headers],[Afschrijvingskosten]],""))</f>
        <v/>
      </c>
      <c r="AY930" t="str">
        <f>IF(ISNUMBER(FIND("overige",Methode_Keuze)),"",IF(Tb_Activiteiten[[#This Row],[Vergoeding]]=1,Tb_Activiteiten[[#Headers],[Vergoeding]],""))</f>
        <v/>
      </c>
      <c r="AZ930" t="str">
        <f>IF(ISNUMBER(FIND("arbeid",Methode_Keuze)),"",IF(Tb_Activiteiten[[#This Row],[Arbeidskosten - vast tarief (excl eigen arbeid)]]=1,Tb_Activiteiten[[#Headers],[Arbeidskosten - vast tarief (excl eigen arbeid)]],""))</f>
        <v/>
      </c>
      <c r="BA930" t="str">
        <f>IF(ISNUMBER(FIND("overige",Methode_Keuze)),"",IF(Tb_Activiteiten[[#This Row],[Overige kosten]]=1,Tb_Activiteiten[[#Headers],[Overige kosten]],""))</f>
        <v/>
      </c>
    </row>
    <row r="931" spans="1:53" x14ac:dyDescent="0.25">
      <c r="A931" s="231"/>
      <c r="F931" s="64"/>
      <c r="G931" s="64"/>
      <c r="H931" s="275"/>
      <c r="I931" s="275"/>
      <c r="J931" s="275"/>
      <c r="K931" s="275"/>
      <c r="O931" s="56"/>
      <c r="Q931" t="str">
        <f>IFERROR(IF(VLOOKUP(Tb_Activiteiten[[#This Row],[Openstelling]],Tb_Openstelling[],2,0)=1,1,""),"")</f>
        <v/>
      </c>
      <c r="AK931" t="str">
        <f>IF(ISNUMBER(FIND("arbeid",Methode_Keuze)),"",IF(ISNUMBER(FIND("arbeid",Methode_Keuze)),"",IF(Tb_Activiteiten[[#This Row],[Loonkosten]]=1,Tb_Activiteiten[[#Headers],[Loonkosten]],"")))</f>
        <v/>
      </c>
      <c r="AL931" t="str">
        <f>IF(ISNUMBER(FIND("arbeid",Methode_Keuze)),"",IF(ISNUMBER(FIND("arbeid",Methode_Keuze)),"",IF(Tb_Activiteiten[[#This Row],[Eigen arbeid]]=1,Tb_Activiteiten[[#Headers],[Eigen arbeid]],"")))</f>
        <v/>
      </c>
      <c r="AM931" t="str">
        <f>IF(ISNUMBER(FIND("arbeid",Methode_Keuze)),"",IF(ISNUMBER(FIND("arbeid",Methode_Keuze)),"",IF(Tb_Activiteiten[[#This Row],[Projectmedewerker]]=1,Tb_Activiteiten[[#Headers],[Projectmedewerker]],"")))</f>
        <v/>
      </c>
      <c r="AN931" t="str">
        <f>IF(ISNUMBER(FIND("arbeid",Methode_Keuze)),"",IF(ISNUMBER(FIND("arbeid",Methode_Keuze)),"",IF(Tb_Activiteiten[[#This Row],[Landbouwer]]=1,Tb_Activiteiten[[#Headers],[Landbouwer]],"")))</f>
        <v/>
      </c>
      <c r="AO931" t="str">
        <f>IF(ISNUMBER(FIND("arbeid",Methode_Keuze)),"",IF(ISNUMBER(FIND("arbeid",Methode_Keuze)),"",IF(Tb_Activiteiten[[#This Row],[Adviseur]]=1,Tb_Activiteiten[[#Headers],[Adviseur]],"")))</f>
        <v/>
      </c>
      <c r="AP931" t="str">
        <f>IF(ISNUMBER(FIND("arbeid",Methode_Keuze)),"",IF(ISNUMBER(FIND("arbeid",Methode_Keuze)),"",IF(Tb_Activiteiten[[#This Row],[Projectleider/Expert]]=1,Tb_Activiteiten[[#Headers],[Projectleider/Expert]],"")))</f>
        <v/>
      </c>
      <c r="AQ931" t="str">
        <f>IF(ISNUMBER(FIND("arbeid",Methode_Keuze)),"",IF(ISNUMBER(FIND("arbeid",Methode_Keuze)),"",IF(Tb_Activiteiten[[#This Row],[Arbeidskosten]]=1,Tb_Activiteiten[[#Headers],[Arbeidskosten]],"")))</f>
        <v/>
      </c>
      <c r="AR931" t="str">
        <f>IF(ISNUMBER(FIND("arbeid",Methode_Keuze)),"",IF(ISNUMBER(FIND("arbeid",Methode_Keuze)),"",IF(Tb_Activiteiten[[#This Row],[Arbeidskosten op basis van IKS]]=1,Tb_Activiteiten[[#Headers],[Arbeidskosten op basis van IKS]],"")))</f>
        <v/>
      </c>
      <c r="AS931" t="str">
        <f>IF(ISNUMBER(FIND("overige",Methode_Keuze)),"",IF(Tb_Activiteiten[[#This Row],[Kosten derden exclusief btw]]=1,Tb_Activiteiten[[#Headers],[Kosten derden exclusief btw]],""))</f>
        <v/>
      </c>
      <c r="AT931" t="str">
        <f>IF(ISNUMBER(FIND("overige",Methode_Keuze)),"",IF(Tb_Activiteiten[[#This Row],[Niet verrekenbare btw]]=1,Tb_Activiteiten[[#Headers],[Niet verrekenbare btw]],""))</f>
        <v/>
      </c>
      <c r="AU931" t="str">
        <f>IF(ISNUMBER(FIND("overige",Methode_Keuze)),"",IF(Tb_Activiteiten[[#This Row],[Grondkosten]]=1,Tb_Activiteiten[[#Headers],[Grondkosten]],""))</f>
        <v/>
      </c>
      <c r="AV931" t="str">
        <f>IF(ISNUMBER(FIND("overige",Methode_Keuze)),"",IF(Tb_Activiteiten[[#This Row],[Bijdrage in natura (overige)]]=1,Tb_Activiteiten[[#Headers],[Bijdrage in natura (overige)]],""))</f>
        <v/>
      </c>
      <c r="AW931" t="str">
        <f>IF(ISNUMBER(FIND("overige",Methode_Keuze)),"",IF(Tb_Activiteiten[[#This Row],[Bijdrage in natura (vrijwilligers)]]=1,Tb_Activiteiten[[#Headers],[Bijdrage in natura (vrijwilligers)]],""))</f>
        <v/>
      </c>
      <c r="AX931" t="str">
        <f>IF(ISNUMBER(FIND("overige",Methode_Keuze)),"",IF(Tb_Activiteiten[[#This Row],[Afschrijvingskosten]]=1,Tb_Activiteiten[[#Headers],[Afschrijvingskosten]],""))</f>
        <v/>
      </c>
      <c r="AY931" t="str">
        <f>IF(ISNUMBER(FIND("overige",Methode_Keuze)),"",IF(Tb_Activiteiten[[#This Row],[Vergoeding]]=1,Tb_Activiteiten[[#Headers],[Vergoeding]],""))</f>
        <v/>
      </c>
      <c r="AZ931" t="str">
        <f>IF(ISNUMBER(FIND("arbeid",Methode_Keuze)),"",IF(Tb_Activiteiten[[#This Row],[Arbeidskosten - vast tarief (excl eigen arbeid)]]=1,Tb_Activiteiten[[#Headers],[Arbeidskosten - vast tarief (excl eigen arbeid)]],""))</f>
        <v/>
      </c>
      <c r="BA931" t="str">
        <f>IF(ISNUMBER(FIND("overige",Methode_Keuze)),"",IF(Tb_Activiteiten[[#This Row],[Overige kosten]]=1,Tb_Activiteiten[[#Headers],[Overige kosten]],""))</f>
        <v/>
      </c>
    </row>
    <row r="932" spans="1:53" x14ac:dyDescent="0.25">
      <c r="A932" s="231"/>
      <c r="F932" s="64"/>
      <c r="G932" s="64"/>
      <c r="H932" s="275"/>
      <c r="I932" s="275"/>
      <c r="J932" s="275"/>
      <c r="K932" s="275"/>
      <c r="O932" s="56"/>
      <c r="Q932" t="str">
        <f>IFERROR(IF(VLOOKUP(Tb_Activiteiten[[#This Row],[Openstelling]],Tb_Openstelling[],2,0)=1,1,""),"")</f>
        <v/>
      </c>
      <c r="AK932" t="str">
        <f>IF(ISNUMBER(FIND("arbeid",Methode_Keuze)),"",IF(ISNUMBER(FIND("arbeid",Methode_Keuze)),"",IF(Tb_Activiteiten[[#This Row],[Loonkosten]]=1,Tb_Activiteiten[[#Headers],[Loonkosten]],"")))</f>
        <v/>
      </c>
      <c r="AL932" t="str">
        <f>IF(ISNUMBER(FIND("arbeid",Methode_Keuze)),"",IF(ISNUMBER(FIND("arbeid",Methode_Keuze)),"",IF(Tb_Activiteiten[[#This Row],[Eigen arbeid]]=1,Tb_Activiteiten[[#Headers],[Eigen arbeid]],"")))</f>
        <v/>
      </c>
      <c r="AM932" t="str">
        <f>IF(ISNUMBER(FIND("arbeid",Methode_Keuze)),"",IF(ISNUMBER(FIND("arbeid",Methode_Keuze)),"",IF(Tb_Activiteiten[[#This Row],[Projectmedewerker]]=1,Tb_Activiteiten[[#Headers],[Projectmedewerker]],"")))</f>
        <v/>
      </c>
      <c r="AN932" t="str">
        <f>IF(ISNUMBER(FIND("arbeid",Methode_Keuze)),"",IF(ISNUMBER(FIND("arbeid",Methode_Keuze)),"",IF(Tb_Activiteiten[[#This Row],[Landbouwer]]=1,Tb_Activiteiten[[#Headers],[Landbouwer]],"")))</f>
        <v/>
      </c>
      <c r="AO932" t="str">
        <f>IF(ISNUMBER(FIND("arbeid",Methode_Keuze)),"",IF(ISNUMBER(FIND("arbeid",Methode_Keuze)),"",IF(Tb_Activiteiten[[#This Row],[Adviseur]]=1,Tb_Activiteiten[[#Headers],[Adviseur]],"")))</f>
        <v/>
      </c>
      <c r="AP932" t="str">
        <f>IF(ISNUMBER(FIND("arbeid",Methode_Keuze)),"",IF(ISNUMBER(FIND("arbeid",Methode_Keuze)),"",IF(Tb_Activiteiten[[#This Row],[Projectleider/Expert]]=1,Tb_Activiteiten[[#Headers],[Projectleider/Expert]],"")))</f>
        <v/>
      </c>
      <c r="AQ932" t="str">
        <f>IF(ISNUMBER(FIND("arbeid",Methode_Keuze)),"",IF(ISNUMBER(FIND("arbeid",Methode_Keuze)),"",IF(Tb_Activiteiten[[#This Row],[Arbeidskosten]]=1,Tb_Activiteiten[[#Headers],[Arbeidskosten]],"")))</f>
        <v/>
      </c>
      <c r="AR932" t="str">
        <f>IF(ISNUMBER(FIND("arbeid",Methode_Keuze)),"",IF(ISNUMBER(FIND("arbeid",Methode_Keuze)),"",IF(Tb_Activiteiten[[#This Row],[Arbeidskosten op basis van IKS]]=1,Tb_Activiteiten[[#Headers],[Arbeidskosten op basis van IKS]],"")))</f>
        <v/>
      </c>
      <c r="AS932" t="str">
        <f>IF(ISNUMBER(FIND("overige",Methode_Keuze)),"",IF(Tb_Activiteiten[[#This Row],[Kosten derden exclusief btw]]=1,Tb_Activiteiten[[#Headers],[Kosten derden exclusief btw]],""))</f>
        <v/>
      </c>
      <c r="AT932" t="str">
        <f>IF(ISNUMBER(FIND("overige",Methode_Keuze)),"",IF(Tb_Activiteiten[[#This Row],[Niet verrekenbare btw]]=1,Tb_Activiteiten[[#Headers],[Niet verrekenbare btw]],""))</f>
        <v/>
      </c>
      <c r="AU932" t="str">
        <f>IF(ISNUMBER(FIND("overige",Methode_Keuze)),"",IF(Tb_Activiteiten[[#This Row],[Grondkosten]]=1,Tb_Activiteiten[[#Headers],[Grondkosten]],""))</f>
        <v/>
      </c>
      <c r="AV932" t="str">
        <f>IF(ISNUMBER(FIND("overige",Methode_Keuze)),"",IF(Tb_Activiteiten[[#This Row],[Bijdrage in natura (overige)]]=1,Tb_Activiteiten[[#Headers],[Bijdrage in natura (overige)]],""))</f>
        <v/>
      </c>
      <c r="AW932" t="str">
        <f>IF(ISNUMBER(FIND("overige",Methode_Keuze)),"",IF(Tb_Activiteiten[[#This Row],[Bijdrage in natura (vrijwilligers)]]=1,Tb_Activiteiten[[#Headers],[Bijdrage in natura (vrijwilligers)]],""))</f>
        <v/>
      </c>
      <c r="AX932" t="str">
        <f>IF(ISNUMBER(FIND("overige",Methode_Keuze)),"",IF(Tb_Activiteiten[[#This Row],[Afschrijvingskosten]]=1,Tb_Activiteiten[[#Headers],[Afschrijvingskosten]],""))</f>
        <v/>
      </c>
      <c r="AY932" t="str">
        <f>IF(ISNUMBER(FIND("overige",Methode_Keuze)),"",IF(Tb_Activiteiten[[#This Row],[Vergoeding]]=1,Tb_Activiteiten[[#Headers],[Vergoeding]],""))</f>
        <v/>
      </c>
      <c r="AZ932" t="str">
        <f>IF(ISNUMBER(FIND("arbeid",Methode_Keuze)),"",IF(Tb_Activiteiten[[#This Row],[Arbeidskosten - vast tarief (excl eigen arbeid)]]=1,Tb_Activiteiten[[#Headers],[Arbeidskosten - vast tarief (excl eigen arbeid)]],""))</f>
        <v/>
      </c>
      <c r="BA932" t="str">
        <f>IF(ISNUMBER(FIND("overige",Methode_Keuze)),"",IF(Tb_Activiteiten[[#This Row],[Overige kosten]]=1,Tb_Activiteiten[[#Headers],[Overige kosten]],""))</f>
        <v/>
      </c>
    </row>
    <row r="933" spans="1:53" x14ac:dyDescent="0.25">
      <c r="A933" s="231"/>
      <c r="F933" s="64"/>
      <c r="G933" s="64"/>
      <c r="H933" s="275"/>
      <c r="I933" s="275"/>
      <c r="J933" s="275"/>
      <c r="K933" s="275"/>
      <c r="O933" s="56"/>
      <c r="Q933" t="str">
        <f>IFERROR(IF(VLOOKUP(Tb_Activiteiten[[#This Row],[Openstelling]],Tb_Openstelling[],2,0)=1,1,""),"")</f>
        <v/>
      </c>
      <c r="AK933" t="str">
        <f>IF(ISNUMBER(FIND("arbeid",Methode_Keuze)),"",IF(ISNUMBER(FIND("arbeid",Methode_Keuze)),"",IF(Tb_Activiteiten[[#This Row],[Loonkosten]]=1,Tb_Activiteiten[[#Headers],[Loonkosten]],"")))</f>
        <v/>
      </c>
      <c r="AL933" t="str">
        <f>IF(ISNUMBER(FIND("arbeid",Methode_Keuze)),"",IF(ISNUMBER(FIND("arbeid",Methode_Keuze)),"",IF(Tb_Activiteiten[[#This Row],[Eigen arbeid]]=1,Tb_Activiteiten[[#Headers],[Eigen arbeid]],"")))</f>
        <v/>
      </c>
      <c r="AM933" t="str">
        <f>IF(ISNUMBER(FIND("arbeid",Methode_Keuze)),"",IF(ISNUMBER(FIND("arbeid",Methode_Keuze)),"",IF(Tb_Activiteiten[[#This Row],[Projectmedewerker]]=1,Tb_Activiteiten[[#Headers],[Projectmedewerker]],"")))</f>
        <v/>
      </c>
      <c r="AN933" t="str">
        <f>IF(ISNUMBER(FIND("arbeid",Methode_Keuze)),"",IF(ISNUMBER(FIND("arbeid",Methode_Keuze)),"",IF(Tb_Activiteiten[[#This Row],[Landbouwer]]=1,Tb_Activiteiten[[#Headers],[Landbouwer]],"")))</f>
        <v/>
      </c>
      <c r="AO933" t="str">
        <f>IF(ISNUMBER(FIND("arbeid",Methode_Keuze)),"",IF(ISNUMBER(FIND("arbeid",Methode_Keuze)),"",IF(Tb_Activiteiten[[#This Row],[Adviseur]]=1,Tb_Activiteiten[[#Headers],[Adviseur]],"")))</f>
        <v/>
      </c>
      <c r="AP933" t="str">
        <f>IF(ISNUMBER(FIND("arbeid",Methode_Keuze)),"",IF(ISNUMBER(FIND("arbeid",Methode_Keuze)),"",IF(Tb_Activiteiten[[#This Row],[Projectleider/Expert]]=1,Tb_Activiteiten[[#Headers],[Projectleider/Expert]],"")))</f>
        <v/>
      </c>
      <c r="AQ933" t="str">
        <f>IF(ISNUMBER(FIND("arbeid",Methode_Keuze)),"",IF(ISNUMBER(FIND("arbeid",Methode_Keuze)),"",IF(Tb_Activiteiten[[#This Row],[Arbeidskosten]]=1,Tb_Activiteiten[[#Headers],[Arbeidskosten]],"")))</f>
        <v/>
      </c>
      <c r="AR933" t="str">
        <f>IF(ISNUMBER(FIND("arbeid",Methode_Keuze)),"",IF(ISNUMBER(FIND("arbeid",Methode_Keuze)),"",IF(Tb_Activiteiten[[#This Row],[Arbeidskosten op basis van IKS]]=1,Tb_Activiteiten[[#Headers],[Arbeidskosten op basis van IKS]],"")))</f>
        <v/>
      </c>
      <c r="AS933" t="str">
        <f>IF(ISNUMBER(FIND("overige",Methode_Keuze)),"",IF(Tb_Activiteiten[[#This Row],[Kosten derden exclusief btw]]=1,Tb_Activiteiten[[#Headers],[Kosten derden exclusief btw]],""))</f>
        <v/>
      </c>
      <c r="AT933" t="str">
        <f>IF(ISNUMBER(FIND("overige",Methode_Keuze)),"",IF(Tb_Activiteiten[[#This Row],[Niet verrekenbare btw]]=1,Tb_Activiteiten[[#Headers],[Niet verrekenbare btw]],""))</f>
        <v/>
      </c>
      <c r="AU933" t="str">
        <f>IF(ISNUMBER(FIND("overige",Methode_Keuze)),"",IF(Tb_Activiteiten[[#This Row],[Grondkosten]]=1,Tb_Activiteiten[[#Headers],[Grondkosten]],""))</f>
        <v/>
      </c>
      <c r="AV933" t="str">
        <f>IF(ISNUMBER(FIND("overige",Methode_Keuze)),"",IF(Tb_Activiteiten[[#This Row],[Bijdrage in natura (overige)]]=1,Tb_Activiteiten[[#Headers],[Bijdrage in natura (overige)]],""))</f>
        <v/>
      </c>
      <c r="AW933" t="str">
        <f>IF(ISNUMBER(FIND("overige",Methode_Keuze)),"",IF(Tb_Activiteiten[[#This Row],[Bijdrage in natura (vrijwilligers)]]=1,Tb_Activiteiten[[#Headers],[Bijdrage in natura (vrijwilligers)]],""))</f>
        <v/>
      </c>
      <c r="AX933" t="str">
        <f>IF(ISNUMBER(FIND("overige",Methode_Keuze)),"",IF(Tb_Activiteiten[[#This Row],[Afschrijvingskosten]]=1,Tb_Activiteiten[[#Headers],[Afschrijvingskosten]],""))</f>
        <v/>
      </c>
      <c r="AY933" t="str">
        <f>IF(ISNUMBER(FIND("overige",Methode_Keuze)),"",IF(Tb_Activiteiten[[#This Row],[Vergoeding]]=1,Tb_Activiteiten[[#Headers],[Vergoeding]],""))</f>
        <v/>
      </c>
      <c r="AZ933" t="str">
        <f>IF(ISNUMBER(FIND("arbeid",Methode_Keuze)),"",IF(Tb_Activiteiten[[#This Row],[Arbeidskosten - vast tarief (excl eigen arbeid)]]=1,Tb_Activiteiten[[#Headers],[Arbeidskosten - vast tarief (excl eigen arbeid)]],""))</f>
        <v/>
      </c>
      <c r="BA933" t="str">
        <f>IF(ISNUMBER(FIND("overige",Methode_Keuze)),"",IF(Tb_Activiteiten[[#This Row],[Overige kosten]]=1,Tb_Activiteiten[[#Headers],[Overige kosten]],""))</f>
        <v/>
      </c>
    </row>
    <row r="934" spans="1:53" x14ac:dyDescent="0.25">
      <c r="A934" s="231"/>
      <c r="F934" s="64"/>
      <c r="G934" s="64"/>
      <c r="H934" s="275"/>
      <c r="I934" s="275"/>
      <c r="J934" s="275"/>
      <c r="K934" s="275"/>
      <c r="O934" s="56"/>
      <c r="Q934" t="str">
        <f>IFERROR(IF(VLOOKUP(Tb_Activiteiten[[#This Row],[Openstelling]],Tb_Openstelling[],2,0)=1,1,""),"")</f>
        <v/>
      </c>
      <c r="AK934" t="str">
        <f>IF(ISNUMBER(FIND("arbeid",Methode_Keuze)),"",IF(ISNUMBER(FIND("arbeid",Methode_Keuze)),"",IF(Tb_Activiteiten[[#This Row],[Loonkosten]]=1,Tb_Activiteiten[[#Headers],[Loonkosten]],"")))</f>
        <v/>
      </c>
      <c r="AL934" t="str">
        <f>IF(ISNUMBER(FIND("arbeid",Methode_Keuze)),"",IF(ISNUMBER(FIND("arbeid",Methode_Keuze)),"",IF(Tb_Activiteiten[[#This Row],[Eigen arbeid]]=1,Tb_Activiteiten[[#Headers],[Eigen arbeid]],"")))</f>
        <v/>
      </c>
      <c r="AM934" t="str">
        <f>IF(ISNUMBER(FIND("arbeid",Methode_Keuze)),"",IF(ISNUMBER(FIND("arbeid",Methode_Keuze)),"",IF(Tb_Activiteiten[[#This Row],[Projectmedewerker]]=1,Tb_Activiteiten[[#Headers],[Projectmedewerker]],"")))</f>
        <v/>
      </c>
      <c r="AN934" t="str">
        <f>IF(ISNUMBER(FIND("arbeid",Methode_Keuze)),"",IF(ISNUMBER(FIND("arbeid",Methode_Keuze)),"",IF(Tb_Activiteiten[[#This Row],[Landbouwer]]=1,Tb_Activiteiten[[#Headers],[Landbouwer]],"")))</f>
        <v/>
      </c>
      <c r="AO934" t="str">
        <f>IF(ISNUMBER(FIND("arbeid",Methode_Keuze)),"",IF(ISNUMBER(FIND("arbeid",Methode_Keuze)),"",IF(Tb_Activiteiten[[#This Row],[Adviseur]]=1,Tb_Activiteiten[[#Headers],[Adviseur]],"")))</f>
        <v/>
      </c>
      <c r="AP934" t="str">
        <f>IF(ISNUMBER(FIND("arbeid",Methode_Keuze)),"",IF(ISNUMBER(FIND("arbeid",Methode_Keuze)),"",IF(Tb_Activiteiten[[#This Row],[Projectleider/Expert]]=1,Tb_Activiteiten[[#Headers],[Projectleider/Expert]],"")))</f>
        <v/>
      </c>
      <c r="AQ934" t="str">
        <f>IF(ISNUMBER(FIND("arbeid",Methode_Keuze)),"",IF(ISNUMBER(FIND("arbeid",Methode_Keuze)),"",IF(Tb_Activiteiten[[#This Row],[Arbeidskosten]]=1,Tb_Activiteiten[[#Headers],[Arbeidskosten]],"")))</f>
        <v/>
      </c>
      <c r="AR934" t="str">
        <f>IF(ISNUMBER(FIND("arbeid",Methode_Keuze)),"",IF(ISNUMBER(FIND("arbeid",Methode_Keuze)),"",IF(Tb_Activiteiten[[#This Row],[Arbeidskosten op basis van IKS]]=1,Tb_Activiteiten[[#Headers],[Arbeidskosten op basis van IKS]],"")))</f>
        <v/>
      </c>
      <c r="AS934" t="str">
        <f>IF(ISNUMBER(FIND("overige",Methode_Keuze)),"",IF(Tb_Activiteiten[[#This Row],[Kosten derden exclusief btw]]=1,Tb_Activiteiten[[#Headers],[Kosten derden exclusief btw]],""))</f>
        <v/>
      </c>
      <c r="AT934" t="str">
        <f>IF(ISNUMBER(FIND("overige",Methode_Keuze)),"",IF(Tb_Activiteiten[[#This Row],[Niet verrekenbare btw]]=1,Tb_Activiteiten[[#Headers],[Niet verrekenbare btw]],""))</f>
        <v/>
      </c>
      <c r="AU934" t="str">
        <f>IF(ISNUMBER(FIND("overige",Methode_Keuze)),"",IF(Tb_Activiteiten[[#This Row],[Grondkosten]]=1,Tb_Activiteiten[[#Headers],[Grondkosten]],""))</f>
        <v/>
      </c>
      <c r="AV934" t="str">
        <f>IF(ISNUMBER(FIND("overige",Methode_Keuze)),"",IF(Tb_Activiteiten[[#This Row],[Bijdrage in natura (overige)]]=1,Tb_Activiteiten[[#Headers],[Bijdrage in natura (overige)]],""))</f>
        <v/>
      </c>
      <c r="AW934" t="str">
        <f>IF(ISNUMBER(FIND("overige",Methode_Keuze)),"",IF(Tb_Activiteiten[[#This Row],[Bijdrage in natura (vrijwilligers)]]=1,Tb_Activiteiten[[#Headers],[Bijdrage in natura (vrijwilligers)]],""))</f>
        <v/>
      </c>
      <c r="AX934" t="str">
        <f>IF(ISNUMBER(FIND("overige",Methode_Keuze)),"",IF(Tb_Activiteiten[[#This Row],[Afschrijvingskosten]]=1,Tb_Activiteiten[[#Headers],[Afschrijvingskosten]],""))</f>
        <v/>
      </c>
      <c r="AY934" t="str">
        <f>IF(ISNUMBER(FIND("overige",Methode_Keuze)),"",IF(Tb_Activiteiten[[#This Row],[Vergoeding]]=1,Tb_Activiteiten[[#Headers],[Vergoeding]],""))</f>
        <v/>
      </c>
      <c r="AZ934" t="str">
        <f>IF(ISNUMBER(FIND("arbeid",Methode_Keuze)),"",IF(Tb_Activiteiten[[#This Row],[Arbeidskosten - vast tarief (excl eigen arbeid)]]=1,Tb_Activiteiten[[#Headers],[Arbeidskosten - vast tarief (excl eigen arbeid)]],""))</f>
        <v/>
      </c>
      <c r="BA934" t="str">
        <f>IF(ISNUMBER(FIND("overige",Methode_Keuze)),"",IF(Tb_Activiteiten[[#This Row],[Overige kosten]]=1,Tb_Activiteiten[[#Headers],[Overige kosten]],""))</f>
        <v/>
      </c>
    </row>
    <row r="935" spans="1:53" x14ac:dyDescent="0.25">
      <c r="A935" s="231"/>
      <c r="F935" s="64"/>
      <c r="G935" s="64"/>
      <c r="H935" s="275"/>
      <c r="I935" s="275"/>
      <c r="J935" s="275"/>
      <c r="K935" s="275"/>
      <c r="O935" s="56"/>
      <c r="Q935" t="str">
        <f>IFERROR(IF(VLOOKUP(Tb_Activiteiten[[#This Row],[Openstelling]],Tb_Openstelling[],2,0)=1,1,""),"")</f>
        <v/>
      </c>
      <c r="AK935" t="str">
        <f>IF(ISNUMBER(FIND("arbeid",Methode_Keuze)),"",IF(ISNUMBER(FIND("arbeid",Methode_Keuze)),"",IF(Tb_Activiteiten[[#This Row],[Loonkosten]]=1,Tb_Activiteiten[[#Headers],[Loonkosten]],"")))</f>
        <v/>
      </c>
      <c r="AL935" t="str">
        <f>IF(ISNUMBER(FIND("arbeid",Methode_Keuze)),"",IF(ISNUMBER(FIND("arbeid",Methode_Keuze)),"",IF(Tb_Activiteiten[[#This Row],[Eigen arbeid]]=1,Tb_Activiteiten[[#Headers],[Eigen arbeid]],"")))</f>
        <v/>
      </c>
      <c r="AM935" t="str">
        <f>IF(ISNUMBER(FIND("arbeid",Methode_Keuze)),"",IF(ISNUMBER(FIND("arbeid",Methode_Keuze)),"",IF(Tb_Activiteiten[[#This Row],[Projectmedewerker]]=1,Tb_Activiteiten[[#Headers],[Projectmedewerker]],"")))</f>
        <v/>
      </c>
      <c r="AN935" t="str">
        <f>IF(ISNUMBER(FIND("arbeid",Methode_Keuze)),"",IF(ISNUMBER(FIND("arbeid",Methode_Keuze)),"",IF(Tb_Activiteiten[[#This Row],[Landbouwer]]=1,Tb_Activiteiten[[#Headers],[Landbouwer]],"")))</f>
        <v/>
      </c>
      <c r="AO935" t="str">
        <f>IF(ISNUMBER(FIND("arbeid",Methode_Keuze)),"",IF(ISNUMBER(FIND("arbeid",Methode_Keuze)),"",IF(Tb_Activiteiten[[#This Row],[Adviseur]]=1,Tb_Activiteiten[[#Headers],[Adviseur]],"")))</f>
        <v/>
      </c>
      <c r="AP935" t="str">
        <f>IF(ISNUMBER(FIND("arbeid",Methode_Keuze)),"",IF(ISNUMBER(FIND("arbeid",Methode_Keuze)),"",IF(Tb_Activiteiten[[#This Row],[Projectleider/Expert]]=1,Tb_Activiteiten[[#Headers],[Projectleider/Expert]],"")))</f>
        <v/>
      </c>
      <c r="AQ935" t="str">
        <f>IF(ISNUMBER(FIND("arbeid",Methode_Keuze)),"",IF(ISNUMBER(FIND("arbeid",Methode_Keuze)),"",IF(Tb_Activiteiten[[#This Row],[Arbeidskosten]]=1,Tb_Activiteiten[[#Headers],[Arbeidskosten]],"")))</f>
        <v/>
      </c>
      <c r="AR935" t="str">
        <f>IF(ISNUMBER(FIND("arbeid",Methode_Keuze)),"",IF(ISNUMBER(FIND("arbeid",Methode_Keuze)),"",IF(Tb_Activiteiten[[#This Row],[Arbeidskosten op basis van IKS]]=1,Tb_Activiteiten[[#Headers],[Arbeidskosten op basis van IKS]],"")))</f>
        <v/>
      </c>
      <c r="AS935" t="str">
        <f>IF(ISNUMBER(FIND("overige",Methode_Keuze)),"",IF(Tb_Activiteiten[[#This Row],[Kosten derden exclusief btw]]=1,Tb_Activiteiten[[#Headers],[Kosten derden exclusief btw]],""))</f>
        <v/>
      </c>
      <c r="AT935" t="str">
        <f>IF(ISNUMBER(FIND("overige",Methode_Keuze)),"",IF(Tb_Activiteiten[[#This Row],[Niet verrekenbare btw]]=1,Tb_Activiteiten[[#Headers],[Niet verrekenbare btw]],""))</f>
        <v/>
      </c>
      <c r="AU935" t="str">
        <f>IF(ISNUMBER(FIND("overige",Methode_Keuze)),"",IF(Tb_Activiteiten[[#This Row],[Grondkosten]]=1,Tb_Activiteiten[[#Headers],[Grondkosten]],""))</f>
        <v/>
      </c>
      <c r="AV935" t="str">
        <f>IF(ISNUMBER(FIND("overige",Methode_Keuze)),"",IF(Tb_Activiteiten[[#This Row],[Bijdrage in natura (overige)]]=1,Tb_Activiteiten[[#Headers],[Bijdrage in natura (overige)]],""))</f>
        <v/>
      </c>
      <c r="AW935" t="str">
        <f>IF(ISNUMBER(FIND("overige",Methode_Keuze)),"",IF(Tb_Activiteiten[[#This Row],[Bijdrage in natura (vrijwilligers)]]=1,Tb_Activiteiten[[#Headers],[Bijdrage in natura (vrijwilligers)]],""))</f>
        <v/>
      </c>
      <c r="AX935" t="str">
        <f>IF(ISNUMBER(FIND("overige",Methode_Keuze)),"",IF(Tb_Activiteiten[[#This Row],[Afschrijvingskosten]]=1,Tb_Activiteiten[[#Headers],[Afschrijvingskosten]],""))</f>
        <v/>
      </c>
      <c r="AY935" t="str">
        <f>IF(ISNUMBER(FIND("overige",Methode_Keuze)),"",IF(Tb_Activiteiten[[#This Row],[Vergoeding]]=1,Tb_Activiteiten[[#Headers],[Vergoeding]],""))</f>
        <v/>
      </c>
      <c r="AZ935" t="str">
        <f>IF(ISNUMBER(FIND("arbeid",Methode_Keuze)),"",IF(Tb_Activiteiten[[#This Row],[Arbeidskosten - vast tarief (excl eigen arbeid)]]=1,Tb_Activiteiten[[#Headers],[Arbeidskosten - vast tarief (excl eigen arbeid)]],""))</f>
        <v/>
      </c>
      <c r="BA935" t="str">
        <f>IF(ISNUMBER(FIND("overige",Methode_Keuze)),"",IF(Tb_Activiteiten[[#This Row],[Overige kosten]]=1,Tb_Activiteiten[[#Headers],[Overige kosten]],""))</f>
        <v/>
      </c>
    </row>
    <row r="936" spans="1:53" x14ac:dyDescent="0.25">
      <c r="A936" s="231"/>
      <c r="F936" s="64"/>
      <c r="G936" s="64"/>
      <c r="H936" s="275"/>
      <c r="I936" s="275"/>
      <c r="J936" s="275"/>
      <c r="K936" s="275"/>
      <c r="O936" s="56"/>
      <c r="Q936" t="str">
        <f>IFERROR(IF(VLOOKUP(Tb_Activiteiten[[#This Row],[Openstelling]],Tb_Openstelling[],2,0)=1,1,""),"")</f>
        <v/>
      </c>
      <c r="AK936" t="str">
        <f>IF(ISNUMBER(FIND("arbeid",Methode_Keuze)),"",IF(ISNUMBER(FIND("arbeid",Methode_Keuze)),"",IF(Tb_Activiteiten[[#This Row],[Loonkosten]]=1,Tb_Activiteiten[[#Headers],[Loonkosten]],"")))</f>
        <v/>
      </c>
      <c r="AL936" t="str">
        <f>IF(ISNUMBER(FIND("arbeid",Methode_Keuze)),"",IF(ISNUMBER(FIND("arbeid",Methode_Keuze)),"",IF(Tb_Activiteiten[[#This Row],[Eigen arbeid]]=1,Tb_Activiteiten[[#Headers],[Eigen arbeid]],"")))</f>
        <v/>
      </c>
      <c r="AM936" t="str">
        <f>IF(ISNUMBER(FIND("arbeid",Methode_Keuze)),"",IF(ISNUMBER(FIND("arbeid",Methode_Keuze)),"",IF(Tb_Activiteiten[[#This Row],[Projectmedewerker]]=1,Tb_Activiteiten[[#Headers],[Projectmedewerker]],"")))</f>
        <v/>
      </c>
      <c r="AN936" t="str">
        <f>IF(ISNUMBER(FIND("arbeid",Methode_Keuze)),"",IF(ISNUMBER(FIND("arbeid",Methode_Keuze)),"",IF(Tb_Activiteiten[[#This Row],[Landbouwer]]=1,Tb_Activiteiten[[#Headers],[Landbouwer]],"")))</f>
        <v/>
      </c>
      <c r="AO936" t="str">
        <f>IF(ISNUMBER(FIND("arbeid",Methode_Keuze)),"",IF(ISNUMBER(FIND("arbeid",Methode_Keuze)),"",IF(Tb_Activiteiten[[#This Row],[Adviseur]]=1,Tb_Activiteiten[[#Headers],[Adviseur]],"")))</f>
        <v/>
      </c>
      <c r="AP936" t="str">
        <f>IF(ISNUMBER(FIND("arbeid",Methode_Keuze)),"",IF(ISNUMBER(FIND("arbeid",Methode_Keuze)),"",IF(Tb_Activiteiten[[#This Row],[Projectleider/Expert]]=1,Tb_Activiteiten[[#Headers],[Projectleider/Expert]],"")))</f>
        <v/>
      </c>
      <c r="AQ936" t="str">
        <f>IF(ISNUMBER(FIND("arbeid",Methode_Keuze)),"",IF(ISNUMBER(FIND("arbeid",Methode_Keuze)),"",IF(Tb_Activiteiten[[#This Row],[Arbeidskosten]]=1,Tb_Activiteiten[[#Headers],[Arbeidskosten]],"")))</f>
        <v/>
      </c>
      <c r="AR936" t="str">
        <f>IF(ISNUMBER(FIND("arbeid",Methode_Keuze)),"",IF(ISNUMBER(FIND("arbeid",Methode_Keuze)),"",IF(Tb_Activiteiten[[#This Row],[Arbeidskosten op basis van IKS]]=1,Tb_Activiteiten[[#Headers],[Arbeidskosten op basis van IKS]],"")))</f>
        <v/>
      </c>
      <c r="AS936" t="str">
        <f>IF(ISNUMBER(FIND("overige",Methode_Keuze)),"",IF(Tb_Activiteiten[[#This Row],[Kosten derden exclusief btw]]=1,Tb_Activiteiten[[#Headers],[Kosten derden exclusief btw]],""))</f>
        <v/>
      </c>
      <c r="AT936" t="str">
        <f>IF(ISNUMBER(FIND("overige",Methode_Keuze)),"",IF(Tb_Activiteiten[[#This Row],[Niet verrekenbare btw]]=1,Tb_Activiteiten[[#Headers],[Niet verrekenbare btw]],""))</f>
        <v/>
      </c>
      <c r="AU936" t="str">
        <f>IF(ISNUMBER(FIND("overige",Methode_Keuze)),"",IF(Tb_Activiteiten[[#This Row],[Grondkosten]]=1,Tb_Activiteiten[[#Headers],[Grondkosten]],""))</f>
        <v/>
      </c>
      <c r="AV936" t="str">
        <f>IF(ISNUMBER(FIND("overige",Methode_Keuze)),"",IF(Tb_Activiteiten[[#This Row],[Bijdrage in natura (overige)]]=1,Tb_Activiteiten[[#Headers],[Bijdrage in natura (overige)]],""))</f>
        <v/>
      </c>
      <c r="AW936" t="str">
        <f>IF(ISNUMBER(FIND("overige",Methode_Keuze)),"",IF(Tb_Activiteiten[[#This Row],[Bijdrage in natura (vrijwilligers)]]=1,Tb_Activiteiten[[#Headers],[Bijdrage in natura (vrijwilligers)]],""))</f>
        <v/>
      </c>
      <c r="AX936" t="str">
        <f>IF(ISNUMBER(FIND("overige",Methode_Keuze)),"",IF(Tb_Activiteiten[[#This Row],[Afschrijvingskosten]]=1,Tb_Activiteiten[[#Headers],[Afschrijvingskosten]],""))</f>
        <v/>
      </c>
      <c r="AY936" t="str">
        <f>IF(ISNUMBER(FIND("overige",Methode_Keuze)),"",IF(Tb_Activiteiten[[#This Row],[Vergoeding]]=1,Tb_Activiteiten[[#Headers],[Vergoeding]],""))</f>
        <v/>
      </c>
      <c r="AZ936" t="str">
        <f>IF(ISNUMBER(FIND("arbeid",Methode_Keuze)),"",IF(Tb_Activiteiten[[#This Row],[Arbeidskosten - vast tarief (excl eigen arbeid)]]=1,Tb_Activiteiten[[#Headers],[Arbeidskosten - vast tarief (excl eigen arbeid)]],""))</f>
        <v/>
      </c>
      <c r="BA936" t="str">
        <f>IF(ISNUMBER(FIND("overige",Methode_Keuze)),"",IF(Tb_Activiteiten[[#This Row],[Overige kosten]]=1,Tb_Activiteiten[[#Headers],[Overige kosten]],""))</f>
        <v/>
      </c>
    </row>
    <row r="937" spans="1:53" x14ac:dyDescent="0.25">
      <c r="A937" s="231"/>
      <c r="F937" s="64"/>
      <c r="G937" s="64"/>
      <c r="H937" s="275"/>
      <c r="I937" s="275"/>
      <c r="J937" s="275"/>
      <c r="K937" s="275"/>
      <c r="O937" s="56"/>
      <c r="Q937" t="str">
        <f>IFERROR(IF(VLOOKUP(Tb_Activiteiten[[#This Row],[Openstelling]],Tb_Openstelling[],2,0)=1,1,""),"")</f>
        <v/>
      </c>
      <c r="AK937" t="str">
        <f>IF(ISNUMBER(FIND("arbeid",Methode_Keuze)),"",IF(ISNUMBER(FIND("arbeid",Methode_Keuze)),"",IF(Tb_Activiteiten[[#This Row],[Loonkosten]]=1,Tb_Activiteiten[[#Headers],[Loonkosten]],"")))</f>
        <v/>
      </c>
      <c r="AL937" t="str">
        <f>IF(ISNUMBER(FIND("arbeid",Methode_Keuze)),"",IF(ISNUMBER(FIND("arbeid",Methode_Keuze)),"",IF(Tb_Activiteiten[[#This Row],[Eigen arbeid]]=1,Tb_Activiteiten[[#Headers],[Eigen arbeid]],"")))</f>
        <v/>
      </c>
      <c r="AM937" t="str">
        <f>IF(ISNUMBER(FIND("arbeid",Methode_Keuze)),"",IF(ISNUMBER(FIND("arbeid",Methode_Keuze)),"",IF(Tb_Activiteiten[[#This Row],[Projectmedewerker]]=1,Tb_Activiteiten[[#Headers],[Projectmedewerker]],"")))</f>
        <v/>
      </c>
      <c r="AN937" t="str">
        <f>IF(ISNUMBER(FIND("arbeid",Methode_Keuze)),"",IF(ISNUMBER(FIND("arbeid",Methode_Keuze)),"",IF(Tb_Activiteiten[[#This Row],[Landbouwer]]=1,Tb_Activiteiten[[#Headers],[Landbouwer]],"")))</f>
        <v/>
      </c>
      <c r="AO937" t="str">
        <f>IF(ISNUMBER(FIND("arbeid",Methode_Keuze)),"",IF(ISNUMBER(FIND("arbeid",Methode_Keuze)),"",IF(Tb_Activiteiten[[#This Row],[Adviseur]]=1,Tb_Activiteiten[[#Headers],[Adviseur]],"")))</f>
        <v/>
      </c>
      <c r="AP937" t="str">
        <f>IF(ISNUMBER(FIND("arbeid",Methode_Keuze)),"",IF(ISNUMBER(FIND("arbeid",Methode_Keuze)),"",IF(Tb_Activiteiten[[#This Row],[Projectleider/Expert]]=1,Tb_Activiteiten[[#Headers],[Projectleider/Expert]],"")))</f>
        <v/>
      </c>
      <c r="AQ937" t="str">
        <f>IF(ISNUMBER(FIND("arbeid",Methode_Keuze)),"",IF(ISNUMBER(FIND("arbeid",Methode_Keuze)),"",IF(Tb_Activiteiten[[#This Row],[Arbeidskosten]]=1,Tb_Activiteiten[[#Headers],[Arbeidskosten]],"")))</f>
        <v/>
      </c>
      <c r="AR937" t="str">
        <f>IF(ISNUMBER(FIND("arbeid",Methode_Keuze)),"",IF(ISNUMBER(FIND("arbeid",Methode_Keuze)),"",IF(Tb_Activiteiten[[#This Row],[Arbeidskosten op basis van IKS]]=1,Tb_Activiteiten[[#Headers],[Arbeidskosten op basis van IKS]],"")))</f>
        <v/>
      </c>
      <c r="AS937" t="str">
        <f>IF(ISNUMBER(FIND("overige",Methode_Keuze)),"",IF(Tb_Activiteiten[[#This Row],[Kosten derden exclusief btw]]=1,Tb_Activiteiten[[#Headers],[Kosten derden exclusief btw]],""))</f>
        <v/>
      </c>
      <c r="AT937" t="str">
        <f>IF(ISNUMBER(FIND("overige",Methode_Keuze)),"",IF(Tb_Activiteiten[[#This Row],[Niet verrekenbare btw]]=1,Tb_Activiteiten[[#Headers],[Niet verrekenbare btw]],""))</f>
        <v/>
      </c>
      <c r="AU937" t="str">
        <f>IF(ISNUMBER(FIND("overige",Methode_Keuze)),"",IF(Tb_Activiteiten[[#This Row],[Grondkosten]]=1,Tb_Activiteiten[[#Headers],[Grondkosten]],""))</f>
        <v/>
      </c>
      <c r="AV937" t="str">
        <f>IF(ISNUMBER(FIND("overige",Methode_Keuze)),"",IF(Tb_Activiteiten[[#This Row],[Bijdrage in natura (overige)]]=1,Tb_Activiteiten[[#Headers],[Bijdrage in natura (overige)]],""))</f>
        <v/>
      </c>
      <c r="AW937" t="str">
        <f>IF(ISNUMBER(FIND("overige",Methode_Keuze)),"",IF(Tb_Activiteiten[[#This Row],[Bijdrage in natura (vrijwilligers)]]=1,Tb_Activiteiten[[#Headers],[Bijdrage in natura (vrijwilligers)]],""))</f>
        <v/>
      </c>
      <c r="AX937" t="str">
        <f>IF(ISNUMBER(FIND("overige",Methode_Keuze)),"",IF(Tb_Activiteiten[[#This Row],[Afschrijvingskosten]]=1,Tb_Activiteiten[[#Headers],[Afschrijvingskosten]],""))</f>
        <v/>
      </c>
      <c r="AY937" t="str">
        <f>IF(ISNUMBER(FIND("overige",Methode_Keuze)),"",IF(Tb_Activiteiten[[#This Row],[Vergoeding]]=1,Tb_Activiteiten[[#Headers],[Vergoeding]],""))</f>
        <v/>
      </c>
      <c r="AZ937" t="str">
        <f>IF(ISNUMBER(FIND("arbeid",Methode_Keuze)),"",IF(Tb_Activiteiten[[#This Row],[Arbeidskosten - vast tarief (excl eigen arbeid)]]=1,Tb_Activiteiten[[#Headers],[Arbeidskosten - vast tarief (excl eigen arbeid)]],""))</f>
        <v/>
      </c>
      <c r="BA937" t="str">
        <f>IF(ISNUMBER(FIND("overige",Methode_Keuze)),"",IF(Tb_Activiteiten[[#This Row],[Overige kosten]]=1,Tb_Activiteiten[[#Headers],[Overige kosten]],""))</f>
        <v/>
      </c>
    </row>
    <row r="938" spans="1:53" x14ac:dyDescent="0.25">
      <c r="A938" s="231"/>
      <c r="F938" s="64"/>
      <c r="G938" s="64"/>
      <c r="H938" s="275"/>
      <c r="I938" s="275"/>
      <c r="J938" s="275"/>
      <c r="K938" s="275"/>
      <c r="O938" s="56"/>
      <c r="Q938" t="str">
        <f>IFERROR(IF(VLOOKUP(Tb_Activiteiten[[#This Row],[Openstelling]],Tb_Openstelling[],2,0)=1,1,""),"")</f>
        <v/>
      </c>
      <c r="AK938" t="str">
        <f>IF(ISNUMBER(FIND("arbeid",Methode_Keuze)),"",IF(ISNUMBER(FIND("arbeid",Methode_Keuze)),"",IF(Tb_Activiteiten[[#This Row],[Loonkosten]]=1,Tb_Activiteiten[[#Headers],[Loonkosten]],"")))</f>
        <v/>
      </c>
      <c r="AL938" t="str">
        <f>IF(ISNUMBER(FIND("arbeid",Methode_Keuze)),"",IF(ISNUMBER(FIND("arbeid",Methode_Keuze)),"",IF(Tb_Activiteiten[[#This Row],[Eigen arbeid]]=1,Tb_Activiteiten[[#Headers],[Eigen arbeid]],"")))</f>
        <v/>
      </c>
      <c r="AM938" t="str">
        <f>IF(ISNUMBER(FIND("arbeid",Methode_Keuze)),"",IF(ISNUMBER(FIND("arbeid",Methode_Keuze)),"",IF(Tb_Activiteiten[[#This Row],[Projectmedewerker]]=1,Tb_Activiteiten[[#Headers],[Projectmedewerker]],"")))</f>
        <v/>
      </c>
      <c r="AN938" t="str">
        <f>IF(ISNUMBER(FIND("arbeid",Methode_Keuze)),"",IF(ISNUMBER(FIND("arbeid",Methode_Keuze)),"",IF(Tb_Activiteiten[[#This Row],[Landbouwer]]=1,Tb_Activiteiten[[#Headers],[Landbouwer]],"")))</f>
        <v/>
      </c>
      <c r="AO938" t="str">
        <f>IF(ISNUMBER(FIND("arbeid",Methode_Keuze)),"",IF(ISNUMBER(FIND("arbeid",Methode_Keuze)),"",IF(Tb_Activiteiten[[#This Row],[Adviseur]]=1,Tb_Activiteiten[[#Headers],[Adviseur]],"")))</f>
        <v/>
      </c>
      <c r="AP938" t="str">
        <f>IF(ISNUMBER(FIND("arbeid",Methode_Keuze)),"",IF(ISNUMBER(FIND("arbeid",Methode_Keuze)),"",IF(Tb_Activiteiten[[#This Row],[Projectleider/Expert]]=1,Tb_Activiteiten[[#Headers],[Projectleider/Expert]],"")))</f>
        <v/>
      </c>
      <c r="AQ938" t="str">
        <f>IF(ISNUMBER(FIND("arbeid",Methode_Keuze)),"",IF(ISNUMBER(FIND("arbeid",Methode_Keuze)),"",IF(Tb_Activiteiten[[#This Row],[Arbeidskosten]]=1,Tb_Activiteiten[[#Headers],[Arbeidskosten]],"")))</f>
        <v/>
      </c>
      <c r="AR938" t="str">
        <f>IF(ISNUMBER(FIND("arbeid",Methode_Keuze)),"",IF(ISNUMBER(FIND("arbeid",Methode_Keuze)),"",IF(Tb_Activiteiten[[#This Row],[Arbeidskosten op basis van IKS]]=1,Tb_Activiteiten[[#Headers],[Arbeidskosten op basis van IKS]],"")))</f>
        <v/>
      </c>
      <c r="AS938" t="str">
        <f>IF(ISNUMBER(FIND("overige",Methode_Keuze)),"",IF(Tb_Activiteiten[[#This Row],[Kosten derden exclusief btw]]=1,Tb_Activiteiten[[#Headers],[Kosten derden exclusief btw]],""))</f>
        <v/>
      </c>
      <c r="AT938" t="str">
        <f>IF(ISNUMBER(FIND("overige",Methode_Keuze)),"",IF(Tb_Activiteiten[[#This Row],[Niet verrekenbare btw]]=1,Tb_Activiteiten[[#Headers],[Niet verrekenbare btw]],""))</f>
        <v/>
      </c>
      <c r="AU938" t="str">
        <f>IF(ISNUMBER(FIND("overige",Methode_Keuze)),"",IF(Tb_Activiteiten[[#This Row],[Grondkosten]]=1,Tb_Activiteiten[[#Headers],[Grondkosten]],""))</f>
        <v/>
      </c>
      <c r="AV938" t="str">
        <f>IF(ISNUMBER(FIND("overige",Methode_Keuze)),"",IF(Tb_Activiteiten[[#This Row],[Bijdrage in natura (overige)]]=1,Tb_Activiteiten[[#Headers],[Bijdrage in natura (overige)]],""))</f>
        <v/>
      </c>
      <c r="AW938" t="str">
        <f>IF(ISNUMBER(FIND("overige",Methode_Keuze)),"",IF(Tb_Activiteiten[[#This Row],[Bijdrage in natura (vrijwilligers)]]=1,Tb_Activiteiten[[#Headers],[Bijdrage in natura (vrijwilligers)]],""))</f>
        <v/>
      </c>
      <c r="AX938" t="str">
        <f>IF(ISNUMBER(FIND("overige",Methode_Keuze)),"",IF(Tb_Activiteiten[[#This Row],[Afschrijvingskosten]]=1,Tb_Activiteiten[[#Headers],[Afschrijvingskosten]],""))</f>
        <v/>
      </c>
      <c r="AY938" t="str">
        <f>IF(ISNUMBER(FIND("overige",Methode_Keuze)),"",IF(Tb_Activiteiten[[#This Row],[Vergoeding]]=1,Tb_Activiteiten[[#Headers],[Vergoeding]],""))</f>
        <v/>
      </c>
      <c r="AZ938" t="str">
        <f>IF(ISNUMBER(FIND("arbeid",Methode_Keuze)),"",IF(Tb_Activiteiten[[#This Row],[Arbeidskosten - vast tarief (excl eigen arbeid)]]=1,Tb_Activiteiten[[#Headers],[Arbeidskosten - vast tarief (excl eigen arbeid)]],""))</f>
        <v/>
      </c>
      <c r="BA938" t="str">
        <f>IF(ISNUMBER(FIND("overige",Methode_Keuze)),"",IF(Tb_Activiteiten[[#This Row],[Overige kosten]]=1,Tb_Activiteiten[[#Headers],[Overige kosten]],""))</f>
        <v/>
      </c>
    </row>
    <row r="939" spans="1:53" x14ac:dyDescent="0.25">
      <c r="A939" s="231"/>
      <c r="F939" s="64"/>
      <c r="G939" s="64"/>
      <c r="H939" s="275"/>
      <c r="I939" s="275"/>
      <c r="J939" s="275"/>
      <c r="K939" s="275"/>
      <c r="O939" s="56"/>
      <c r="Q939" t="str">
        <f>IFERROR(IF(VLOOKUP(Tb_Activiteiten[[#This Row],[Openstelling]],Tb_Openstelling[],2,0)=1,1,""),"")</f>
        <v/>
      </c>
      <c r="AK939" t="str">
        <f>IF(ISNUMBER(FIND("arbeid",Methode_Keuze)),"",IF(ISNUMBER(FIND("arbeid",Methode_Keuze)),"",IF(Tb_Activiteiten[[#This Row],[Loonkosten]]=1,Tb_Activiteiten[[#Headers],[Loonkosten]],"")))</f>
        <v/>
      </c>
      <c r="AL939" t="str">
        <f>IF(ISNUMBER(FIND("arbeid",Methode_Keuze)),"",IF(ISNUMBER(FIND("arbeid",Methode_Keuze)),"",IF(Tb_Activiteiten[[#This Row],[Eigen arbeid]]=1,Tb_Activiteiten[[#Headers],[Eigen arbeid]],"")))</f>
        <v/>
      </c>
      <c r="AM939" t="str">
        <f>IF(ISNUMBER(FIND("arbeid",Methode_Keuze)),"",IF(ISNUMBER(FIND("arbeid",Methode_Keuze)),"",IF(Tb_Activiteiten[[#This Row],[Projectmedewerker]]=1,Tb_Activiteiten[[#Headers],[Projectmedewerker]],"")))</f>
        <v/>
      </c>
      <c r="AN939" t="str">
        <f>IF(ISNUMBER(FIND("arbeid",Methode_Keuze)),"",IF(ISNUMBER(FIND("arbeid",Methode_Keuze)),"",IF(Tb_Activiteiten[[#This Row],[Landbouwer]]=1,Tb_Activiteiten[[#Headers],[Landbouwer]],"")))</f>
        <v/>
      </c>
      <c r="AO939" t="str">
        <f>IF(ISNUMBER(FIND("arbeid",Methode_Keuze)),"",IF(ISNUMBER(FIND("arbeid",Methode_Keuze)),"",IF(Tb_Activiteiten[[#This Row],[Adviseur]]=1,Tb_Activiteiten[[#Headers],[Adviseur]],"")))</f>
        <v/>
      </c>
      <c r="AP939" t="str">
        <f>IF(ISNUMBER(FIND("arbeid",Methode_Keuze)),"",IF(ISNUMBER(FIND("arbeid",Methode_Keuze)),"",IF(Tb_Activiteiten[[#This Row],[Projectleider/Expert]]=1,Tb_Activiteiten[[#Headers],[Projectleider/Expert]],"")))</f>
        <v/>
      </c>
      <c r="AQ939" t="str">
        <f>IF(ISNUMBER(FIND("arbeid",Methode_Keuze)),"",IF(ISNUMBER(FIND("arbeid",Methode_Keuze)),"",IF(Tb_Activiteiten[[#This Row],[Arbeidskosten]]=1,Tb_Activiteiten[[#Headers],[Arbeidskosten]],"")))</f>
        <v/>
      </c>
      <c r="AR939" t="str">
        <f>IF(ISNUMBER(FIND("arbeid",Methode_Keuze)),"",IF(ISNUMBER(FIND("arbeid",Methode_Keuze)),"",IF(Tb_Activiteiten[[#This Row],[Arbeidskosten op basis van IKS]]=1,Tb_Activiteiten[[#Headers],[Arbeidskosten op basis van IKS]],"")))</f>
        <v/>
      </c>
      <c r="AS939" t="str">
        <f>IF(ISNUMBER(FIND("overige",Methode_Keuze)),"",IF(Tb_Activiteiten[[#This Row],[Kosten derden exclusief btw]]=1,Tb_Activiteiten[[#Headers],[Kosten derden exclusief btw]],""))</f>
        <v/>
      </c>
      <c r="AT939" t="str">
        <f>IF(ISNUMBER(FIND("overige",Methode_Keuze)),"",IF(Tb_Activiteiten[[#This Row],[Niet verrekenbare btw]]=1,Tb_Activiteiten[[#Headers],[Niet verrekenbare btw]],""))</f>
        <v/>
      </c>
      <c r="AU939" t="str">
        <f>IF(ISNUMBER(FIND("overige",Methode_Keuze)),"",IF(Tb_Activiteiten[[#This Row],[Grondkosten]]=1,Tb_Activiteiten[[#Headers],[Grondkosten]],""))</f>
        <v/>
      </c>
      <c r="AV939" t="str">
        <f>IF(ISNUMBER(FIND("overige",Methode_Keuze)),"",IF(Tb_Activiteiten[[#This Row],[Bijdrage in natura (overige)]]=1,Tb_Activiteiten[[#Headers],[Bijdrage in natura (overige)]],""))</f>
        <v/>
      </c>
      <c r="AW939" t="str">
        <f>IF(ISNUMBER(FIND("overige",Methode_Keuze)),"",IF(Tb_Activiteiten[[#This Row],[Bijdrage in natura (vrijwilligers)]]=1,Tb_Activiteiten[[#Headers],[Bijdrage in natura (vrijwilligers)]],""))</f>
        <v/>
      </c>
      <c r="AX939" t="str">
        <f>IF(ISNUMBER(FIND("overige",Methode_Keuze)),"",IF(Tb_Activiteiten[[#This Row],[Afschrijvingskosten]]=1,Tb_Activiteiten[[#Headers],[Afschrijvingskosten]],""))</f>
        <v/>
      </c>
      <c r="AY939" t="str">
        <f>IF(ISNUMBER(FIND("overige",Methode_Keuze)),"",IF(Tb_Activiteiten[[#This Row],[Vergoeding]]=1,Tb_Activiteiten[[#Headers],[Vergoeding]],""))</f>
        <v/>
      </c>
      <c r="AZ939" t="str">
        <f>IF(ISNUMBER(FIND("arbeid",Methode_Keuze)),"",IF(Tb_Activiteiten[[#This Row],[Arbeidskosten - vast tarief (excl eigen arbeid)]]=1,Tb_Activiteiten[[#Headers],[Arbeidskosten - vast tarief (excl eigen arbeid)]],""))</f>
        <v/>
      </c>
      <c r="BA939" t="str">
        <f>IF(ISNUMBER(FIND("overige",Methode_Keuze)),"",IF(Tb_Activiteiten[[#This Row],[Overige kosten]]=1,Tb_Activiteiten[[#Headers],[Overige kosten]],""))</f>
        <v/>
      </c>
    </row>
    <row r="940" spans="1:53" x14ac:dyDescent="0.25">
      <c r="A940" s="231"/>
      <c r="F940" s="64"/>
      <c r="G940" s="64"/>
      <c r="H940" s="275"/>
      <c r="I940" s="275"/>
      <c r="J940" s="275"/>
      <c r="K940" s="275"/>
      <c r="O940" s="56"/>
      <c r="Q940" t="str">
        <f>IFERROR(IF(VLOOKUP(Tb_Activiteiten[[#This Row],[Openstelling]],Tb_Openstelling[],2,0)=1,1,""),"")</f>
        <v/>
      </c>
      <c r="AK940" t="str">
        <f>IF(ISNUMBER(FIND("arbeid",Methode_Keuze)),"",IF(ISNUMBER(FIND("arbeid",Methode_Keuze)),"",IF(Tb_Activiteiten[[#This Row],[Loonkosten]]=1,Tb_Activiteiten[[#Headers],[Loonkosten]],"")))</f>
        <v/>
      </c>
      <c r="AL940" t="str">
        <f>IF(ISNUMBER(FIND("arbeid",Methode_Keuze)),"",IF(ISNUMBER(FIND("arbeid",Methode_Keuze)),"",IF(Tb_Activiteiten[[#This Row],[Eigen arbeid]]=1,Tb_Activiteiten[[#Headers],[Eigen arbeid]],"")))</f>
        <v/>
      </c>
      <c r="AM940" t="str">
        <f>IF(ISNUMBER(FIND("arbeid",Methode_Keuze)),"",IF(ISNUMBER(FIND("arbeid",Methode_Keuze)),"",IF(Tb_Activiteiten[[#This Row],[Projectmedewerker]]=1,Tb_Activiteiten[[#Headers],[Projectmedewerker]],"")))</f>
        <v/>
      </c>
      <c r="AN940" t="str">
        <f>IF(ISNUMBER(FIND("arbeid",Methode_Keuze)),"",IF(ISNUMBER(FIND("arbeid",Methode_Keuze)),"",IF(Tb_Activiteiten[[#This Row],[Landbouwer]]=1,Tb_Activiteiten[[#Headers],[Landbouwer]],"")))</f>
        <v/>
      </c>
      <c r="AO940" t="str">
        <f>IF(ISNUMBER(FIND("arbeid",Methode_Keuze)),"",IF(ISNUMBER(FIND("arbeid",Methode_Keuze)),"",IF(Tb_Activiteiten[[#This Row],[Adviseur]]=1,Tb_Activiteiten[[#Headers],[Adviseur]],"")))</f>
        <v/>
      </c>
      <c r="AP940" t="str">
        <f>IF(ISNUMBER(FIND("arbeid",Methode_Keuze)),"",IF(ISNUMBER(FIND("arbeid",Methode_Keuze)),"",IF(Tb_Activiteiten[[#This Row],[Projectleider/Expert]]=1,Tb_Activiteiten[[#Headers],[Projectleider/Expert]],"")))</f>
        <v/>
      </c>
      <c r="AQ940" t="str">
        <f>IF(ISNUMBER(FIND("arbeid",Methode_Keuze)),"",IF(ISNUMBER(FIND("arbeid",Methode_Keuze)),"",IF(Tb_Activiteiten[[#This Row],[Arbeidskosten]]=1,Tb_Activiteiten[[#Headers],[Arbeidskosten]],"")))</f>
        <v/>
      </c>
      <c r="AR940" t="str">
        <f>IF(ISNUMBER(FIND("arbeid",Methode_Keuze)),"",IF(ISNUMBER(FIND("arbeid",Methode_Keuze)),"",IF(Tb_Activiteiten[[#This Row],[Arbeidskosten op basis van IKS]]=1,Tb_Activiteiten[[#Headers],[Arbeidskosten op basis van IKS]],"")))</f>
        <v/>
      </c>
      <c r="AS940" t="str">
        <f>IF(ISNUMBER(FIND("overige",Methode_Keuze)),"",IF(Tb_Activiteiten[[#This Row],[Kosten derden exclusief btw]]=1,Tb_Activiteiten[[#Headers],[Kosten derden exclusief btw]],""))</f>
        <v/>
      </c>
      <c r="AT940" t="str">
        <f>IF(ISNUMBER(FIND("overige",Methode_Keuze)),"",IF(Tb_Activiteiten[[#This Row],[Niet verrekenbare btw]]=1,Tb_Activiteiten[[#Headers],[Niet verrekenbare btw]],""))</f>
        <v/>
      </c>
      <c r="AU940" t="str">
        <f>IF(ISNUMBER(FIND("overige",Methode_Keuze)),"",IF(Tb_Activiteiten[[#This Row],[Grondkosten]]=1,Tb_Activiteiten[[#Headers],[Grondkosten]],""))</f>
        <v/>
      </c>
      <c r="AV940" t="str">
        <f>IF(ISNUMBER(FIND("overige",Methode_Keuze)),"",IF(Tb_Activiteiten[[#This Row],[Bijdrage in natura (overige)]]=1,Tb_Activiteiten[[#Headers],[Bijdrage in natura (overige)]],""))</f>
        <v/>
      </c>
      <c r="AW940" t="str">
        <f>IF(ISNUMBER(FIND("overige",Methode_Keuze)),"",IF(Tb_Activiteiten[[#This Row],[Bijdrage in natura (vrijwilligers)]]=1,Tb_Activiteiten[[#Headers],[Bijdrage in natura (vrijwilligers)]],""))</f>
        <v/>
      </c>
      <c r="AX940" t="str">
        <f>IF(ISNUMBER(FIND("overige",Methode_Keuze)),"",IF(Tb_Activiteiten[[#This Row],[Afschrijvingskosten]]=1,Tb_Activiteiten[[#Headers],[Afschrijvingskosten]],""))</f>
        <v/>
      </c>
      <c r="AY940" t="str">
        <f>IF(ISNUMBER(FIND("overige",Methode_Keuze)),"",IF(Tb_Activiteiten[[#This Row],[Vergoeding]]=1,Tb_Activiteiten[[#Headers],[Vergoeding]],""))</f>
        <v/>
      </c>
      <c r="AZ940" t="str">
        <f>IF(ISNUMBER(FIND("arbeid",Methode_Keuze)),"",IF(Tb_Activiteiten[[#This Row],[Arbeidskosten - vast tarief (excl eigen arbeid)]]=1,Tb_Activiteiten[[#Headers],[Arbeidskosten - vast tarief (excl eigen arbeid)]],""))</f>
        <v/>
      </c>
      <c r="BA940" t="str">
        <f>IF(ISNUMBER(FIND("overige",Methode_Keuze)),"",IF(Tb_Activiteiten[[#This Row],[Overige kosten]]=1,Tb_Activiteiten[[#Headers],[Overige kosten]],""))</f>
        <v/>
      </c>
    </row>
    <row r="941" spans="1:53" x14ac:dyDescent="0.25">
      <c r="A941" s="231"/>
      <c r="F941" s="64"/>
      <c r="G941" s="64"/>
      <c r="H941" s="275"/>
      <c r="I941" s="275"/>
      <c r="J941" s="275"/>
      <c r="K941" s="275"/>
      <c r="O941" s="56"/>
      <c r="Q941" t="str">
        <f>IFERROR(IF(VLOOKUP(Tb_Activiteiten[[#This Row],[Openstelling]],Tb_Openstelling[],2,0)=1,1,""),"")</f>
        <v/>
      </c>
      <c r="AK941" t="str">
        <f>IF(ISNUMBER(FIND("arbeid",Methode_Keuze)),"",IF(ISNUMBER(FIND("arbeid",Methode_Keuze)),"",IF(Tb_Activiteiten[[#This Row],[Loonkosten]]=1,Tb_Activiteiten[[#Headers],[Loonkosten]],"")))</f>
        <v/>
      </c>
      <c r="AL941" t="str">
        <f>IF(ISNUMBER(FIND("arbeid",Methode_Keuze)),"",IF(ISNUMBER(FIND("arbeid",Methode_Keuze)),"",IF(Tb_Activiteiten[[#This Row],[Eigen arbeid]]=1,Tb_Activiteiten[[#Headers],[Eigen arbeid]],"")))</f>
        <v/>
      </c>
      <c r="AM941" t="str">
        <f>IF(ISNUMBER(FIND("arbeid",Methode_Keuze)),"",IF(ISNUMBER(FIND("arbeid",Methode_Keuze)),"",IF(Tb_Activiteiten[[#This Row],[Projectmedewerker]]=1,Tb_Activiteiten[[#Headers],[Projectmedewerker]],"")))</f>
        <v/>
      </c>
      <c r="AN941" t="str">
        <f>IF(ISNUMBER(FIND("arbeid",Methode_Keuze)),"",IF(ISNUMBER(FIND("arbeid",Methode_Keuze)),"",IF(Tb_Activiteiten[[#This Row],[Landbouwer]]=1,Tb_Activiteiten[[#Headers],[Landbouwer]],"")))</f>
        <v/>
      </c>
      <c r="AO941" t="str">
        <f>IF(ISNUMBER(FIND("arbeid",Methode_Keuze)),"",IF(ISNUMBER(FIND("arbeid",Methode_Keuze)),"",IF(Tb_Activiteiten[[#This Row],[Adviseur]]=1,Tb_Activiteiten[[#Headers],[Adviseur]],"")))</f>
        <v/>
      </c>
      <c r="AP941" t="str">
        <f>IF(ISNUMBER(FIND("arbeid",Methode_Keuze)),"",IF(ISNUMBER(FIND("arbeid",Methode_Keuze)),"",IF(Tb_Activiteiten[[#This Row],[Projectleider/Expert]]=1,Tb_Activiteiten[[#Headers],[Projectleider/Expert]],"")))</f>
        <v/>
      </c>
      <c r="AQ941" t="str">
        <f>IF(ISNUMBER(FIND("arbeid",Methode_Keuze)),"",IF(ISNUMBER(FIND("arbeid",Methode_Keuze)),"",IF(Tb_Activiteiten[[#This Row],[Arbeidskosten]]=1,Tb_Activiteiten[[#Headers],[Arbeidskosten]],"")))</f>
        <v/>
      </c>
      <c r="AR941" t="str">
        <f>IF(ISNUMBER(FIND("arbeid",Methode_Keuze)),"",IF(ISNUMBER(FIND("arbeid",Methode_Keuze)),"",IF(Tb_Activiteiten[[#This Row],[Arbeidskosten op basis van IKS]]=1,Tb_Activiteiten[[#Headers],[Arbeidskosten op basis van IKS]],"")))</f>
        <v/>
      </c>
      <c r="AS941" t="str">
        <f>IF(ISNUMBER(FIND("overige",Methode_Keuze)),"",IF(Tb_Activiteiten[[#This Row],[Kosten derden exclusief btw]]=1,Tb_Activiteiten[[#Headers],[Kosten derden exclusief btw]],""))</f>
        <v/>
      </c>
      <c r="AT941" t="str">
        <f>IF(ISNUMBER(FIND("overige",Methode_Keuze)),"",IF(Tb_Activiteiten[[#This Row],[Niet verrekenbare btw]]=1,Tb_Activiteiten[[#Headers],[Niet verrekenbare btw]],""))</f>
        <v/>
      </c>
      <c r="AU941" t="str">
        <f>IF(ISNUMBER(FIND("overige",Methode_Keuze)),"",IF(Tb_Activiteiten[[#This Row],[Grondkosten]]=1,Tb_Activiteiten[[#Headers],[Grondkosten]],""))</f>
        <v/>
      </c>
      <c r="AV941" t="str">
        <f>IF(ISNUMBER(FIND("overige",Methode_Keuze)),"",IF(Tb_Activiteiten[[#This Row],[Bijdrage in natura (overige)]]=1,Tb_Activiteiten[[#Headers],[Bijdrage in natura (overige)]],""))</f>
        <v/>
      </c>
      <c r="AW941" t="str">
        <f>IF(ISNUMBER(FIND("overige",Methode_Keuze)),"",IF(Tb_Activiteiten[[#This Row],[Bijdrage in natura (vrijwilligers)]]=1,Tb_Activiteiten[[#Headers],[Bijdrage in natura (vrijwilligers)]],""))</f>
        <v/>
      </c>
      <c r="AX941" t="str">
        <f>IF(ISNUMBER(FIND("overige",Methode_Keuze)),"",IF(Tb_Activiteiten[[#This Row],[Afschrijvingskosten]]=1,Tb_Activiteiten[[#Headers],[Afschrijvingskosten]],""))</f>
        <v/>
      </c>
      <c r="AY941" t="str">
        <f>IF(ISNUMBER(FIND("overige",Methode_Keuze)),"",IF(Tb_Activiteiten[[#This Row],[Vergoeding]]=1,Tb_Activiteiten[[#Headers],[Vergoeding]],""))</f>
        <v/>
      </c>
      <c r="AZ941" t="str">
        <f>IF(ISNUMBER(FIND("arbeid",Methode_Keuze)),"",IF(Tb_Activiteiten[[#This Row],[Arbeidskosten - vast tarief (excl eigen arbeid)]]=1,Tb_Activiteiten[[#Headers],[Arbeidskosten - vast tarief (excl eigen arbeid)]],""))</f>
        <v/>
      </c>
      <c r="BA941" t="str">
        <f>IF(ISNUMBER(FIND("overige",Methode_Keuze)),"",IF(Tb_Activiteiten[[#This Row],[Overige kosten]]=1,Tb_Activiteiten[[#Headers],[Overige kosten]],""))</f>
        <v/>
      </c>
    </row>
    <row r="942" spans="1:53" x14ac:dyDescent="0.25">
      <c r="A942" s="231"/>
      <c r="F942" s="64"/>
      <c r="G942" s="64"/>
      <c r="H942" s="275"/>
      <c r="I942" s="275"/>
      <c r="J942" s="275"/>
      <c r="K942" s="275"/>
      <c r="O942" s="56"/>
      <c r="Q942" t="str">
        <f>IFERROR(IF(VLOOKUP(Tb_Activiteiten[[#This Row],[Openstelling]],Tb_Openstelling[],2,0)=1,1,""),"")</f>
        <v/>
      </c>
      <c r="AK942" t="str">
        <f>IF(ISNUMBER(FIND("arbeid",Methode_Keuze)),"",IF(ISNUMBER(FIND("arbeid",Methode_Keuze)),"",IF(Tb_Activiteiten[[#This Row],[Loonkosten]]=1,Tb_Activiteiten[[#Headers],[Loonkosten]],"")))</f>
        <v/>
      </c>
      <c r="AL942" t="str">
        <f>IF(ISNUMBER(FIND("arbeid",Methode_Keuze)),"",IF(ISNUMBER(FIND("arbeid",Methode_Keuze)),"",IF(Tb_Activiteiten[[#This Row],[Eigen arbeid]]=1,Tb_Activiteiten[[#Headers],[Eigen arbeid]],"")))</f>
        <v/>
      </c>
      <c r="AM942" t="str">
        <f>IF(ISNUMBER(FIND("arbeid",Methode_Keuze)),"",IF(ISNUMBER(FIND("arbeid",Methode_Keuze)),"",IF(Tb_Activiteiten[[#This Row],[Projectmedewerker]]=1,Tb_Activiteiten[[#Headers],[Projectmedewerker]],"")))</f>
        <v/>
      </c>
      <c r="AN942" t="str">
        <f>IF(ISNUMBER(FIND("arbeid",Methode_Keuze)),"",IF(ISNUMBER(FIND("arbeid",Methode_Keuze)),"",IF(Tb_Activiteiten[[#This Row],[Landbouwer]]=1,Tb_Activiteiten[[#Headers],[Landbouwer]],"")))</f>
        <v/>
      </c>
      <c r="AO942" t="str">
        <f>IF(ISNUMBER(FIND("arbeid",Methode_Keuze)),"",IF(ISNUMBER(FIND("arbeid",Methode_Keuze)),"",IF(Tb_Activiteiten[[#This Row],[Adviseur]]=1,Tb_Activiteiten[[#Headers],[Adviseur]],"")))</f>
        <v/>
      </c>
      <c r="AP942" t="str">
        <f>IF(ISNUMBER(FIND("arbeid",Methode_Keuze)),"",IF(ISNUMBER(FIND("arbeid",Methode_Keuze)),"",IF(Tb_Activiteiten[[#This Row],[Projectleider/Expert]]=1,Tb_Activiteiten[[#Headers],[Projectleider/Expert]],"")))</f>
        <v/>
      </c>
      <c r="AQ942" t="str">
        <f>IF(ISNUMBER(FIND("arbeid",Methode_Keuze)),"",IF(ISNUMBER(FIND("arbeid",Methode_Keuze)),"",IF(Tb_Activiteiten[[#This Row],[Arbeidskosten]]=1,Tb_Activiteiten[[#Headers],[Arbeidskosten]],"")))</f>
        <v/>
      </c>
      <c r="AR942" t="str">
        <f>IF(ISNUMBER(FIND("arbeid",Methode_Keuze)),"",IF(ISNUMBER(FIND("arbeid",Methode_Keuze)),"",IF(Tb_Activiteiten[[#This Row],[Arbeidskosten op basis van IKS]]=1,Tb_Activiteiten[[#Headers],[Arbeidskosten op basis van IKS]],"")))</f>
        <v/>
      </c>
      <c r="AS942" t="str">
        <f>IF(ISNUMBER(FIND("overige",Methode_Keuze)),"",IF(Tb_Activiteiten[[#This Row],[Kosten derden exclusief btw]]=1,Tb_Activiteiten[[#Headers],[Kosten derden exclusief btw]],""))</f>
        <v/>
      </c>
      <c r="AT942" t="str">
        <f>IF(ISNUMBER(FIND("overige",Methode_Keuze)),"",IF(Tb_Activiteiten[[#This Row],[Niet verrekenbare btw]]=1,Tb_Activiteiten[[#Headers],[Niet verrekenbare btw]],""))</f>
        <v/>
      </c>
      <c r="AU942" t="str">
        <f>IF(ISNUMBER(FIND("overige",Methode_Keuze)),"",IF(Tb_Activiteiten[[#This Row],[Grondkosten]]=1,Tb_Activiteiten[[#Headers],[Grondkosten]],""))</f>
        <v/>
      </c>
      <c r="AV942" t="str">
        <f>IF(ISNUMBER(FIND("overige",Methode_Keuze)),"",IF(Tb_Activiteiten[[#This Row],[Bijdrage in natura (overige)]]=1,Tb_Activiteiten[[#Headers],[Bijdrage in natura (overige)]],""))</f>
        <v/>
      </c>
      <c r="AW942" t="str">
        <f>IF(ISNUMBER(FIND("overige",Methode_Keuze)),"",IF(Tb_Activiteiten[[#This Row],[Bijdrage in natura (vrijwilligers)]]=1,Tb_Activiteiten[[#Headers],[Bijdrage in natura (vrijwilligers)]],""))</f>
        <v/>
      </c>
      <c r="AX942" t="str">
        <f>IF(ISNUMBER(FIND("overige",Methode_Keuze)),"",IF(Tb_Activiteiten[[#This Row],[Afschrijvingskosten]]=1,Tb_Activiteiten[[#Headers],[Afschrijvingskosten]],""))</f>
        <v/>
      </c>
      <c r="AY942" t="str">
        <f>IF(ISNUMBER(FIND("overige",Methode_Keuze)),"",IF(Tb_Activiteiten[[#This Row],[Vergoeding]]=1,Tb_Activiteiten[[#Headers],[Vergoeding]],""))</f>
        <v/>
      </c>
      <c r="AZ942" t="str">
        <f>IF(ISNUMBER(FIND("arbeid",Methode_Keuze)),"",IF(Tb_Activiteiten[[#This Row],[Arbeidskosten - vast tarief (excl eigen arbeid)]]=1,Tb_Activiteiten[[#Headers],[Arbeidskosten - vast tarief (excl eigen arbeid)]],""))</f>
        <v/>
      </c>
      <c r="BA942" t="str">
        <f>IF(ISNUMBER(FIND("overige",Methode_Keuze)),"",IF(Tb_Activiteiten[[#This Row],[Overige kosten]]=1,Tb_Activiteiten[[#Headers],[Overige kosten]],""))</f>
        <v/>
      </c>
    </row>
    <row r="943" spans="1:53" x14ac:dyDescent="0.25">
      <c r="A943" s="231"/>
      <c r="F943" s="64"/>
      <c r="G943" s="64"/>
      <c r="H943" s="275"/>
      <c r="I943" s="275"/>
      <c r="J943" s="275"/>
      <c r="K943" s="275"/>
      <c r="O943" s="56"/>
      <c r="Q943" t="str">
        <f>IFERROR(IF(VLOOKUP(Tb_Activiteiten[[#This Row],[Openstelling]],Tb_Openstelling[],2,0)=1,1,""),"")</f>
        <v/>
      </c>
      <c r="AK943" t="str">
        <f>IF(ISNUMBER(FIND("arbeid",Methode_Keuze)),"",IF(ISNUMBER(FIND("arbeid",Methode_Keuze)),"",IF(Tb_Activiteiten[[#This Row],[Loonkosten]]=1,Tb_Activiteiten[[#Headers],[Loonkosten]],"")))</f>
        <v/>
      </c>
      <c r="AL943" t="str">
        <f>IF(ISNUMBER(FIND("arbeid",Methode_Keuze)),"",IF(ISNUMBER(FIND("arbeid",Methode_Keuze)),"",IF(Tb_Activiteiten[[#This Row],[Eigen arbeid]]=1,Tb_Activiteiten[[#Headers],[Eigen arbeid]],"")))</f>
        <v/>
      </c>
      <c r="AM943" t="str">
        <f>IF(ISNUMBER(FIND("arbeid",Methode_Keuze)),"",IF(ISNUMBER(FIND("arbeid",Methode_Keuze)),"",IF(Tb_Activiteiten[[#This Row],[Projectmedewerker]]=1,Tb_Activiteiten[[#Headers],[Projectmedewerker]],"")))</f>
        <v/>
      </c>
      <c r="AN943" t="str">
        <f>IF(ISNUMBER(FIND("arbeid",Methode_Keuze)),"",IF(ISNUMBER(FIND("arbeid",Methode_Keuze)),"",IF(Tb_Activiteiten[[#This Row],[Landbouwer]]=1,Tb_Activiteiten[[#Headers],[Landbouwer]],"")))</f>
        <v/>
      </c>
      <c r="AO943" t="str">
        <f>IF(ISNUMBER(FIND("arbeid",Methode_Keuze)),"",IF(ISNUMBER(FIND("arbeid",Methode_Keuze)),"",IF(Tb_Activiteiten[[#This Row],[Adviseur]]=1,Tb_Activiteiten[[#Headers],[Adviseur]],"")))</f>
        <v/>
      </c>
      <c r="AP943" t="str">
        <f>IF(ISNUMBER(FIND("arbeid",Methode_Keuze)),"",IF(ISNUMBER(FIND("arbeid",Methode_Keuze)),"",IF(Tb_Activiteiten[[#This Row],[Projectleider/Expert]]=1,Tb_Activiteiten[[#Headers],[Projectleider/Expert]],"")))</f>
        <v/>
      </c>
      <c r="AQ943" t="str">
        <f>IF(ISNUMBER(FIND("arbeid",Methode_Keuze)),"",IF(ISNUMBER(FIND("arbeid",Methode_Keuze)),"",IF(Tb_Activiteiten[[#This Row],[Arbeidskosten]]=1,Tb_Activiteiten[[#Headers],[Arbeidskosten]],"")))</f>
        <v/>
      </c>
      <c r="AR943" t="str">
        <f>IF(ISNUMBER(FIND("arbeid",Methode_Keuze)),"",IF(ISNUMBER(FIND("arbeid",Methode_Keuze)),"",IF(Tb_Activiteiten[[#This Row],[Arbeidskosten op basis van IKS]]=1,Tb_Activiteiten[[#Headers],[Arbeidskosten op basis van IKS]],"")))</f>
        <v/>
      </c>
      <c r="AS943" t="str">
        <f>IF(ISNUMBER(FIND("overige",Methode_Keuze)),"",IF(Tb_Activiteiten[[#This Row],[Kosten derden exclusief btw]]=1,Tb_Activiteiten[[#Headers],[Kosten derden exclusief btw]],""))</f>
        <v/>
      </c>
      <c r="AT943" t="str">
        <f>IF(ISNUMBER(FIND("overige",Methode_Keuze)),"",IF(Tb_Activiteiten[[#This Row],[Niet verrekenbare btw]]=1,Tb_Activiteiten[[#Headers],[Niet verrekenbare btw]],""))</f>
        <v/>
      </c>
      <c r="AU943" t="str">
        <f>IF(ISNUMBER(FIND("overige",Methode_Keuze)),"",IF(Tb_Activiteiten[[#This Row],[Grondkosten]]=1,Tb_Activiteiten[[#Headers],[Grondkosten]],""))</f>
        <v/>
      </c>
      <c r="AV943" t="str">
        <f>IF(ISNUMBER(FIND("overige",Methode_Keuze)),"",IF(Tb_Activiteiten[[#This Row],[Bijdrage in natura (overige)]]=1,Tb_Activiteiten[[#Headers],[Bijdrage in natura (overige)]],""))</f>
        <v/>
      </c>
      <c r="AW943" t="str">
        <f>IF(ISNUMBER(FIND("overige",Methode_Keuze)),"",IF(Tb_Activiteiten[[#This Row],[Bijdrage in natura (vrijwilligers)]]=1,Tb_Activiteiten[[#Headers],[Bijdrage in natura (vrijwilligers)]],""))</f>
        <v/>
      </c>
      <c r="AX943" t="str">
        <f>IF(ISNUMBER(FIND("overige",Methode_Keuze)),"",IF(Tb_Activiteiten[[#This Row],[Afschrijvingskosten]]=1,Tb_Activiteiten[[#Headers],[Afschrijvingskosten]],""))</f>
        <v/>
      </c>
      <c r="AY943" t="str">
        <f>IF(ISNUMBER(FIND("overige",Methode_Keuze)),"",IF(Tb_Activiteiten[[#This Row],[Vergoeding]]=1,Tb_Activiteiten[[#Headers],[Vergoeding]],""))</f>
        <v/>
      </c>
      <c r="AZ943" t="str">
        <f>IF(ISNUMBER(FIND("arbeid",Methode_Keuze)),"",IF(Tb_Activiteiten[[#This Row],[Arbeidskosten - vast tarief (excl eigen arbeid)]]=1,Tb_Activiteiten[[#Headers],[Arbeidskosten - vast tarief (excl eigen arbeid)]],""))</f>
        <v/>
      </c>
      <c r="BA943" t="str">
        <f>IF(ISNUMBER(FIND("overige",Methode_Keuze)),"",IF(Tb_Activiteiten[[#This Row],[Overige kosten]]=1,Tb_Activiteiten[[#Headers],[Overige kosten]],""))</f>
        <v/>
      </c>
    </row>
    <row r="944" spans="1:53" x14ac:dyDescent="0.25">
      <c r="A944" s="231"/>
      <c r="F944" s="64"/>
      <c r="G944" s="64"/>
      <c r="H944" s="275"/>
      <c r="I944" s="275"/>
      <c r="J944" s="275"/>
      <c r="K944" s="275"/>
      <c r="O944" s="56"/>
      <c r="Q944" t="str">
        <f>IFERROR(IF(VLOOKUP(Tb_Activiteiten[[#This Row],[Openstelling]],Tb_Openstelling[],2,0)=1,1,""),"")</f>
        <v/>
      </c>
      <c r="AK944" t="str">
        <f>IF(ISNUMBER(FIND("arbeid",Methode_Keuze)),"",IF(ISNUMBER(FIND("arbeid",Methode_Keuze)),"",IF(Tb_Activiteiten[[#This Row],[Loonkosten]]=1,Tb_Activiteiten[[#Headers],[Loonkosten]],"")))</f>
        <v/>
      </c>
      <c r="AL944" t="str">
        <f>IF(ISNUMBER(FIND("arbeid",Methode_Keuze)),"",IF(ISNUMBER(FIND("arbeid",Methode_Keuze)),"",IF(Tb_Activiteiten[[#This Row],[Eigen arbeid]]=1,Tb_Activiteiten[[#Headers],[Eigen arbeid]],"")))</f>
        <v/>
      </c>
      <c r="AM944" t="str">
        <f>IF(ISNUMBER(FIND("arbeid",Methode_Keuze)),"",IF(ISNUMBER(FIND("arbeid",Methode_Keuze)),"",IF(Tb_Activiteiten[[#This Row],[Projectmedewerker]]=1,Tb_Activiteiten[[#Headers],[Projectmedewerker]],"")))</f>
        <v/>
      </c>
      <c r="AN944" t="str">
        <f>IF(ISNUMBER(FIND("arbeid",Methode_Keuze)),"",IF(ISNUMBER(FIND("arbeid",Methode_Keuze)),"",IF(Tb_Activiteiten[[#This Row],[Landbouwer]]=1,Tb_Activiteiten[[#Headers],[Landbouwer]],"")))</f>
        <v/>
      </c>
      <c r="AO944" t="str">
        <f>IF(ISNUMBER(FIND("arbeid",Methode_Keuze)),"",IF(ISNUMBER(FIND("arbeid",Methode_Keuze)),"",IF(Tb_Activiteiten[[#This Row],[Adviseur]]=1,Tb_Activiteiten[[#Headers],[Adviseur]],"")))</f>
        <v/>
      </c>
      <c r="AP944" t="str">
        <f>IF(ISNUMBER(FIND("arbeid",Methode_Keuze)),"",IF(ISNUMBER(FIND("arbeid",Methode_Keuze)),"",IF(Tb_Activiteiten[[#This Row],[Projectleider/Expert]]=1,Tb_Activiteiten[[#Headers],[Projectleider/Expert]],"")))</f>
        <v/>
      </c>
      <c r="AQ944" t="str">
        <f>IF(ISNUMBER(FIND("arbeid",Methode_Keuze)),"",IF(ISNUMBER(FIND("arbeid",Methode_Keuze)),"",IF(Tb_Activiteiten[[#This Row],[Arbeidskosten]]=1,Tb_Activiteiten[[#Headers],[Arbeidskosten]],"")))</f>
        <v/>
      </c>
      <c r="AR944" t="str">
        <f>IF(ISNUMBER(FIND("arbeid",Methode_Keuze)),"",IF(ISNUMBER(FIND("arbeid",Methode_Keuze)),"",IF(Tb_Activiteiten[[#This Row],[Arbeidskosten op basis van IKS]]=1,Tb_Activiteiten[[#Headers],[Arbeidskosten op basis van IKS]],"")))</f>
        <v/>
      </c>
      <c r="AS944" t="str">
        <f>IF(ISNUMBER(FIND("overige",Methode_Keuze)),"",IF(Tb_Activiteiten[[#This Row],[Kosten derden exclusief btw]]=1,Tb_Activiteiten[[#Headers],[Kosten derden exclusief btw]],""))</f>
        <v/>
      </c>
      <c r="AT944" t="str">
        <f>IF(ISNUMBER(FIND("overige",Methode_Keuze)),"",IF(Tb_Activiteiten[[#This Row],[Niet verrekenbare btw]]=1,Tb_Activiteiten[[#Headers],[Niet verrekenbare btw]],""))</f>
        <v/>
      </c>
      <c r="AU944" t="str">
        <f>IF(ISNUMBER(FIND("overige",Methode_Keuze)),"",IF(Tb_Activiteiten[[#This Row],[Grondkosten]]=1,Tb_Activiteiten[[#Headers],[Grondkosten]],""))</f>
        <v/>
      </c>
      <c r="AV944" t="str">
        <f>IF(ISNUMBER(FIND("overige",Methode_Keuze)),"",IF(Tb_Activiteiten[[#This Row],[Bijdrage in natura (overige)]]=1,Tb_Activiteiten[[#Headers],[Bijdrage in natura (overige)]],""))</f>
        <v/>
      </c>
      <c r="AW944" t="str">
        <f>IF(ISNUMBER(FIND("overige",Methode_Keuze)),"",IF(Tb_Activiteiten[[#This Row],[Bijdrage in natura (vrijwilligers)]]=1,Tb_Activiteiten[[#Headers],[Bijdrage in natura (vrijwilligers)]],""))</f>
        <v/>
      </c>
      <c r="AX944" t="str">
        <f>IF(ISNUMBER(FIND("overige",Methode_Keuze)),"",IF(Tb_Activiteiten[[#This Row],[Afschrijvingskosten]]=1,Tb_Activiteiten[[#Headers],[Afschrijvingskosten]],""))</f>
        <v/>
      </c>
      <c r="AY944" t="str">
        <f>IF(ISNUMBER(FIND("overige",Methode_Keuze)),"",IF(Tb_Activiteiten[[#This Row],[Vergoeding]]=1,Tb_Activiteiten[[#Headers],[Vergoeding]],""))</f>
        <v/>
      </c>
      <c r="AZ944" t="str">
        <f>IF(ISNUMBER(FIND("arbeid",Methode_Keuze)),"",IF(Tb_Activiteiten[[#This Row],[Arbeidskosten - vast tarief (excl eigen arbeid)]]=1,Tb_Activiteiten[[#Headers],[Arbeidskosten - vast tarief (excl eigen arbeid)]],""))</f>
        <v/>
      </c>
      <c r="BA944" t="str">
        <f>IF(ISNUMBER(FIND("overige",Methode_Keuze)),"",IF(Tb_Activiteiten[[#This Row],[Overige kosten]]=1,Tb_Activiteiten[[#Headers],[Overige kosten]],""))</f>
        <v/>
      </c>
    </row>
    <row r="945" spans="1:53" x14ac:dyDescent="0.25">
      <c r="A945" s="231"/>
      <c r="F945" s="64"/>
      <c r="G945" s="64"/>
      <c r="H945" s="275"/>
      <c r="I945" s="275"/>
      <c r="J945" s="275"/>
      <c r="K945" s="275"/>
      <c r="O945" s="56"/>
      <c r="Q945" t="str">
        <f>IFERROR(IF(VLOOKUP(Tb_Activiteiten[[#This Row],[Openstelling]],Tb_Openstelling[],2,0)=1,1,""),"")</f>
        <v/>
      </c>
      <c r="AK945" t="str">
        <f>IF(ISNUMBER(FIND("arbeid",Methode_Keuze)),"",IF(ISNUMBER(FIND("arbeid",Methode_Keuze)),"",IF(Tb_Activiteiten[[#This Row],[Loonkosten]]=1,Tb_Activiteiten[[#Headers],[Loonkosten]],"")))</f>
        <v/>
      </c>
      <c r="AL945" t="str">
        <f>IF(ISNUMBER(FIND("arbeid",Methode_Keuze)),"",IF(ISNUMBER(FIND("arbeid",Methode_Keuze)),"",IF(Tb_Activiteiten[[#This Row],[Eigen arbeid]]=1,Tb_Activiteiten[[#Headers],[Eigen arbeid]],"")))</f>
        <v/>
      </c>
      <c r="AM945" t="str">
        <f>IF(ISNUMBER(FIND("arbeid",Methode_Keuze)),"",IF(ISNUMBER(FIND("arbeid",Methode_Keuze)),"",IF(Tb_Activiteiten[[#This Row],[Projectmedewerker]]=1,Tb_Activiteiten[[#Headers],[Projectmedewerker]],"")))</f>
        <v/>
      </c>
      <c r="AN945" t="str">
        <f>IF(ISNUMBER(FIND("arbeid",Methode_Keuze)),"",IF(ISNUMBER(FIND("arbeid",Methode_Keuze)),"",IF(Tb_Activiteiten[[#This Row],[Landbouwer]]=1,Tb_Activiteiten[[#Headers],[Landbouwer]],"")))</f>
        <v/>
      </c>
      <c r="AO945" t="str">
        <f>IF(ISNUMBER(FIND("arbeid",Methode_Keuze)),"",IF(ISNUMBER(FIND("arbeid",Methode_Keuze)),"",IF(Tb_Activiteiten[[#This Row],[Adviseur]]=1,Tb_Activiteiten[[#Headers],[Adviseur]],"")))</f>
        <v/>
      </c>
      <c r="AP945" t="str">
        <f>IF(ISNUMBER(FIND("arbeid",Methode_Keuze)),"",IF(ISNUMBER(FIND("arbeid",Methode_Keuze)),"",IF(Tb_Activiteiten[[#This Row],[Projectleider/Expert]]=1,Tb_Activiteiten[[#Headers],[Projectleider/Expert]],"")))</f>
        <v/>
      </c>
      <c r="AQ945" t="str">
        <f>IF(ISNUMBER(FIND("arbeid",Methode_Keuze)),"",IF(ISNUMBER(FIND("arbeid",Methode_Keuze)),"",IF(Tb_Activiteiten[[#This Row],[Arbeidskosten]]=1,Tb_Activiteiten[[#Headers],[Arbeidskosten]],"")))</f>
        <v/>
      </c>
      <c r="AR945" t="str">
        <f>IF(ISNUMBER(FIND("arbeid",Methode_Keuze)),"",IF(ISNUMBER(FIND("arbeid",Methode_Keuze)),"",IF(Tb_Activiteiten[[#This Row],[Arbeidskosten op basis van IKS]]=1,Tb_Activiteiten[[#Headers],[Arbeidskosten op basis van IKS]],"")))</f>
        <v/>
      </c>
      <c r="AS945" t="str">
        <f>IF(ISNUMBER(FIND("overige",Methode_Keuze)),"",IF(Tb_Activiteiten[[#This Row],[Kosten derden exclusief btw]]=1,Tb_Activiteiten[[#Headers],[Kosten derden exclusief btw]],""))</f>
        <v/>
      </c>
      <c r="AT945" t="str">
        <f>IF(ISNUMBER(FIND("overige",Methode_Keuze)),"",IF(Tb_Activiteiten[[#This Row],[Niet verrekenbare btw]]=1,Tb_Activiteiten[[#Headers],[Niet verrekenbare btw]],""))</f>
        <v/>
      </c>
      <c r="AU945" t="str">
        <f>IF(ISNUMBER(FIND("overige",Methode_Keuze)),"",IF(Tb_Activiteiten[[#This Row],[Grondkosten]]=1,Tb_Activiteiten[[#Headers],[Grondkosten]],""))</f>
        <v/>
      </c>
      <c r="AV945" t="str">
        <f>IF(ISNUMBER(FIND("overige",Methode_Keuze)),"",IF(Tb_Activiteiten[[#This Row],[Bijdrage in natura (overige)]]=1,Tb_Activiteiten[[#Headers],[Bijdrage in natura (overige)]],""))</f>
        <v/>
      </c>
      <c r="AW945" t="str">
        <f>IF(ISNUMBER(FIND("overige",Methode_Keuze)),"",IF(Tb_Activiteiten[[#This Row],[Bijdrage in natura (vrijwilligers)]]=1,Tb_Activiteiten[[#Headers],[Bijdrage in natura (vrijwilligers)]],""))</f>
        <v/>
      </c>
      <c r="AX945" t="str">
        <f>IF(ISNUMBER(FIND("overige",Methode_Keuze)),"",IF(Tb_Activiteiten[[#This Row],[Afschrijvingskosten]]=1,Tb_Activiteiten[[#Headers],[Afschrijvingskosten]],""))</f>
        <v/>
      </c>
      <c r="AY945" t="str">
        <f>IF(ISNUMBER(FIND("overige",Methode_Keuze)),"",IF(Tb_Activiteiten[[#This Row],[Vergoeding]]=1,Tb_Activiteiten[[#Headers],[Vergoeding]],""))</f>
        <v/>
      </c>
      <c r="AZ945" t="str">
        <f>IF(ISNUMBER(FIND("arbeid",Methode_Keuze)),"",IF(Tb_Activiteiten[[#This Row],[Arbeidskosten - vast tarief (excl eigen arbeid)]]=1,Tb_Activiteiten[[#Headers],[Arbeidskosten - vast tarief (excl eigen arbeid)]],""))</f>
        <v/>
      </c>
      <c r="BA945" t="str">
        <f>IF(ISNUMBER(FIND("overige",Methode_Keuze)),"",IF(Tb_Activiteiten[[#This Row],[Overige kosten]]=1,Tb_Activiteiten[[#Headers],[Overige kosten]],""))</f>
        <v/>
      </c>
    </row>
    <row r="946" spans="1:53" x14ac:dyDescent="0.25">
      <c r="A946" s="231"/>
      <c r="F946" s="64"/>
      <c r="G946" s="64"/>
      <c r="H946" s="275"/>
      <c r="I946" s="275"/>
      <c r="J946" s="275"/>
      <c r="K946" s="275"/>
      <c r="O946" s="56"/>
      <c r="Q946" t="str">
        <f>IFERROR(IF(VLOOKUP(Tb_Activiteiten[[#This Row],[Openstelling]],Tb_Openstelling[],2,0)=1,1,""),"")</f>
        <v/>
      </c>
      <c r="AK946" t="str">
        <f>IF(ISNUMBER(FIND("arbeid",Methode_Keuze)),"",IF(ISNUMBER(FIND("arbeid",Methode_Keuze)),"",IF(Tb_Activiteiten[[#This Row],[Loonkosten]]=1,Tb_Activiteiten[[#Headers],[Loonkosten]],"")))</f>
        <v/>
      </c>
      <c r="AL946" t="str">
        <f>IF(ISNUMBER(FIND("arbeid",Methode_Keuze)),"",IF(ISNUMBER(FIND("arbeid",Methode_Keuze)),"",IF(Tb_Activiteiten[[#This Row],[Eigen arbeid]]=1,Tb_Activiteiten[[#Headers],[Eigen arbeid]],"")))</f>
        <v/>
      </c>
      <c r="AM946" t="str">
        <f>IF(ISNUMBER(FIND("arbeid",Methode_Keuze)),"",IF(ISNUMBER(FIND("arbeid",Methode_Keuze)),"",IF(Tb_Activiteiten[[#This Row],[Projectmedewerker]]=1,Tb_Activiteiten[[#Headers],[Projectmedewerker]],"")))</f>
        <v/>
      </c>
      <c r="AN946" t="str">
        <f>IF(ISNUMBER(FIND("arbeid",Methode_Keuze)),"",IF(ISNUMBER(FIND("arbeid",Methode_Keuze)),"",IF(Tb_Activiteiten[[#This Row],[Landbouwer]]=1,Tb_Activiteiten[[#Headers],[Landbouwer]],"")))</f>
        <v/>
      </c>
      <c r="AO946" t="str">
        <f>IF(ISNUMBER(FIND("arbeid",Methode_Keuze)),"",IF(ISNUMBER(FIND("arbeid",Methode_Keuze)),"",IF(Tb_Activiteiten[[#This Row],[Adviseur]]=1,Tb_Activiteiten[[#Headers],[Adviseur]],"")))</f>
        <v/>
      </c>
      <c r="AP946" t="str">
        <f>IF(ISNUMBER(FIND("arbeid",Methode_Keuze)),"",IF(ISNUMBER(FIND("arbeid",Methode_Keuze)),"",IF(Tb_Activiteiten[[#This Row],[Projectleider/Expert]]=1,Tb_Activiteiten[[#Headers],[Projectleider/Expert]],"")))</f>
        <v/>
      </c>
      <c r="AQ946" t="str">
        <f>IF(ISNUMBER(FIND("arbeid",Methode_Keuze)),"",IF(ISNUMBER(FIND("arbeid",Methode_Keuze)),"",IF(Tb_Activiteiten[[#This Row],[Arbeidskosten]]=1,Tb_Activiteiten[[#Headers],[Arbeidskosten]],"")))</f>
        <v/>
      </c>
      <c r="AR946" t="str">
        <f>IF(ISNUMBER(FIND("arbeid",Methode_Keuze)),"",IF(ISNUMBER(FIND("arbeid",Methode_Keuze)),"",IF(Tb_Activiteiten[[#This Row],[Arbeidskosten op basis van IKS]]=1,Tb_Activiteiten[[#Headers],[Arbeidskosten op basis van IKS]],"")))</f>
        <v/>
      </c>
      <c r="AS946" t="str">
        <f>IF(ISNUMBER(FIND("overige",Methode_Keuze)),"",IF(Tb_Activiteiten[[#This Row],[Kosten derden exclusief btw]]=1,Tb_Activiteiten[[#Headers],[Kosten derden exclusief btw]],""))</f>
        <v/>
      </c>
      <c r="AT946" t="str">
        <f>IF(ISNUMBER(FIND("overige",Methode_Keuze)),"",IF(Tb_Activiteiten[[#This Row],[Niet verrekenbare btw]]=1,Tb_Activiteiten[[#Headers],[Niet verrekenbare btw]],""))</f>
        <v/>
      </c>
      <c r="AU946" t="str">
        <f>IF(ISNUMBER(FIND("overige",Methode_Keuze)),"",IF(Tb_Activiteiten[[#This Row],[Grondkosten]]=1,Tb_Activiteiten[[#Headers],[Grondkosten]],""))</f>
        <v/>
      </c>
      <c r="AV946" t="str">
        <f>IF(ISNUMBER(FIND("overige",Methode_Keuze)),"",IF(Tb_Activiteiten[[#This Row],[Bijdrage in natura (overige)]]=1,Tb_Activiteiten[[#Headers],[Bijdrage in natura (overige)]],""))</f>
        <v/>
      </c>
      <c r="AW946" t="str">
        <f>IF(ISNUMBER(FIND("overige",Methode_Keuze)),"",IF(Tb_Activiteiten[[#This Row],[Bijdrage in natura (vrijwilligers)]]=1,Tb_Activiteiten[[#Headers],[Bijdrage in natura (vrijwilligers)]],""))</f>
        <v/>
      </c>
      <c r="AX946" t="str">
        <f>IF(ISNUMBER(FIND("overige",Methode_Keuze)),"",IF(Tb_Activiteiten[[#This Row],[Afschrijvingskosten]]=1,Tb_Activiteiten[[#Headers],[Afschrijvingskosten]],""))</f>
        <v/>
      </c>
      <c r="AY946" t="str">
        <f>IF(ISNUMBER(FIND("overige",Methode_Keuze)),"",IF(Tb_Activiteiten[[#This Row],[Vergoeding]]=1,Tb_Activiteiten[[#Headers],[Vergoeding]],""))</f>
        <v/>
      </c>
      <c r="AZ946" t="str">
        <f>IF(ISNUMBER(FIND("arbeid",Methode_Keuze)),"",IF(Tb_Activiteiten[[#This Row],[Arbeidskosten - vast tarief (excl eigen arbeid)]]=1,Tb_Activiteiten[[#Headers],[Arbeidskosten - vast tarief (excl eigen arbeid)]],""))</f>
        <v/>
      </c>
      <c r="BA946" t="str">
        <f>IF(ISNUMBER(FIND("overige",Methode_Keuze)),"",IF(Tb_Activiteiten[[#This Row],[Overige kosten]]=1,Tb_Activiteiten[[#Headers],[Overige kosten]],""))</f>
        <v/>
      </c>
    </row>
    <row r="947" spans="1:53" x14ac:dyDescent="0.25">
      <c r="A947" s="231"/>
      <c r="F947" s="64"/>
      <c r="G947" s="64"/>
      <c r="H947" s="275"/>
      <c r="I947" s="275"/>
      <c r="J947" s="275"/>
      <c r="K947" s="275"/>
      <c r="O947" s="56"/>
      <c r="Q947" t="str">
        <f>IFERROR(IF(VLOOKUP(Tb_Activiteiten[[#This Row],[Openstelling]],Tb_Openstelling[],2,0)=1,1,""),"")</f>
        <v/>
      </c>
      <c r="AK947" t="str">
        <f>IF(ISNUMBER(FIND("arbeid",Methode_Keuze)),"",IF(ISNUMBER(FIND("arbeid",Methode_Keuze)),"",IF(Tb_Activiteiten[[#This Row],[Loonkosten]]=1,Tb_Activiteiten[[#Headers],[Loonkosten]],"")))</f>
        <v/>
      </c>
      <c r="AL947" t="str">
        <f>IF(ISNUMBER(FIND("arbeid",Methode_Keuze)),"",IF(ISNUMBER(FIND("arbeid",Methode_Keuze)),"",IF(Tb_Activiteiten[[#This Row],[Eigen arbeid]]=1,Tb_Activiteiten[[#Headers],[Eigen arbeid]],"")))</f>
        <v/>
      </c>
      <c r="AM947" t="str">
        <f>IF(ISNUMBER(FIND("arbeid",Methode_Keuze)),"",IF(ISNUMBER(FIND("arbeid",Methode_Keuze)),"",IF(Tb_Activiteiten[[#This Row],[Projectmedewerker]]=1,Tb_Activiteiten[[#Headers],[Projectmedewerker]],"")))</f>
        <v/>
      </c>
      <c r="AN947" t="str">
        <f>IF(ISNUMBER(FIND("arbeid",Methode_Keuze)),"",IF(ISNUMBER(FIND("arbeid",Methode_Keuze)),"",IF(Tb_Activiteiten[[#This Row],[Landbouwer]]=1,Tb_Activiteiten[[#Headers],[Landbouwer]],"")))</f>
        <v/>
      </c>
      <c r="AO947" t="str">
        <f>IF(ISNUMBER(FIND("arbeid",Methode_Keuze)),"",IF(ISNUMBER(FIND("arbeid",Methode_Keuze)),"",IF(Tb_Activiteiten[[#This Row],[Adviseur]]=1,Tb_Activiteiten[[#Headers],[Adviseur]],"")))</f>
        <v/>
      </c>
      <c r="AP947" t="str">
        <f>IF(ISNUMBER(FIND("arbeid",Methode_Keuze)),"",IF(ISNUMBER(FIND("arbeid",Methode_Keuze)),"",IF(Tb_Activiteiten[[#This Row],[Projectleider/Expert]]=1,Tb_Activiteiten[[#Headers],[Projectleider/Expert]],"")))</f>
        <v/>
      </c>
      <c r="AQ947" t="str">
        <f>IF(ISNUMBER(FIND("arbeid",Methode_Keuze)),"",IF(ISNUMBER(FIND("arbeid",Methode_Keuze)),"",IF(Tb_Activiteiten[[#This Row],[Arbeidskosten]]=1,Tb_Activiteiten[[#Headers],[Arbeidskosten]],"")))</f>
        <v/>
      </c>
      <c r="AR947" t="str">
        <f>IF(ISNUMBER(FIND("arbeid",Methode_Keuze)),"",IF(ISNUMBER(FIND("arbeid",Methode_Keuze)),"",IF(Tb_Activiteiten[[#This Row],[Arbeidskosten op basis van IKS]]=1,Tb_Activiteiten[[#Headers],[Arbeidskosten op basis van IKS]],"")))</f>
        <v/>
      </c>
      <c r="AS947" t="str">
        <f>IF(ISNUMBER(FIND("overige",Methode_Keuze)),"",IF(Tb_Activiteiten[[#This Row],[Kosten derden exclusief btw]]=1,Tb_Activiteiten[[#Headers],[Kosten derden exclusief btw]],""))</f>
        <v/>
      </c>
      <c r="AT947" t="str">
        <f>IF(ISNUMBER(FIND("overige",Methode_Keuze)),"",IF(Tb_Activiteiten[[#This Row],[Niet verrekenbare btw]]=1,Tb_Activiteiten[[#Headers],[Niet verrekenbare btw]],""))</f>
        <v/>
      </c>
      <c r="AU947" t="str">
        <f>IF(ISNUMBER(FIND("overige",Methode_Keuze)),"",IF(Tb_Activiteiten[[#This Row],[Grondkosten]]=1,Tb_Activiteiten[[#Headers],[Grondkosten]],""))</f>
        <v/>
      </c>
      <c r="AV947" t="str">
        <f>IF(ISNUMBER(FIND("overige",Methode_Keuze)),"",IF(Tb_Activiteiten[[#This Row],[Bijdrage in natura (overige)]]=1,Tb_Activiteiten[[#Headers],[Bijdrage in natura (overige)]],""))</f>
        <v/>
      </c>
      <c r="AW947" t="str">
        <f>IF(ISNUMBER(FIND("overige",Methode_Keuze)),"",IF(Tb_Activiteiten[[#This Row],[Bijdrage in natura (vrijwilligers)]]=1,Tb_Activiteiten[[#Headers],[Bijdrage in natura (vrijwilligers)]],""))</f>
        <v/>
      </c>
      <c r="AX947" t="str">
        <f>IF(ISNUMBER(FIND("overige",Methode_Keuze)),"",IF(Tb_Activiteiten[[#This Row],[Afschrijvingskosten]]=1,Tb_Activiteiten[[#Headers],[Afschrijvingskosten]],""))</f>
        <v/>
      </c>
      <c r="AY947" t="str">
        <f>IF(ISNUMBER(FIND("overige",Methode_Keuze)),"",IF(Tb_Activiteiten[[#This Row],[Vergoeding]]=1,Tb_Activiteiten[[#Headers],[Vergoeding]],""))</f>
        <v/>
      </c>
      <c r="AZ947" t="str">
        <f>IF(ISNUMBER(FIND("arbeid",Methode_Keuze)),"",IF(Tb_Activiteiten[[#This Row],[Arbeidskosten - vast tarief (excl eigen arbeid)]]=1,Tb_Activiteiten[[#Headers],[Arbeidskosten - vast tarief (excl eigen arbeid)]],""))</f>
        <v/>
      </c>
      <c r="BA947" t="str">
        <f>IF(ISNUMBER(FIND("overige",Methode_Keuze)),"",IF(Tb_Activiteiten[[#This Row],[Overige kosten]]=1,Tb_Activiteiten[[#Headers],[Overige kosten]],""))</f>
        <v/>
      </c>
    </row>
    <row r="948" spans="1:53" x14ac:dyDescent="0.25">
      <c r="A948" s="231"/>
      <c r="F948" s="64"/>
      <c r="G948" s="64"/>
      <c r="H948" s="275"/>
      <c r="I948" s="275"/>
      <c r="J948" s="275"/>
      <c r="K948" s="275"/>
      <c r="O948" s="56"/>
      <c r="Q948" t="str">
        <f>IFERROR(IF(VLOOKUP(Tb_Activiteiten[[#This Row],[Openstelling]],Tb_Openstelling[],2,0)=1,1,""),"")</f>
        <v/>
      </c>
      <c r="AK948" t="str">
        <f>IF(ISNUMBER(FIND("arbeid",Methode_Keuze)),"",IF(ISNUMBER(FIND("arbeid",Methode_Keuze)),"",IF(Tb_Activiteiten[[#This Row],[Loonkosten]]=1,Tb_Activiteiten[[#Headers],[Loonkosten]],"")))</f>
        <v/>
      </c>
      <c r="AL948" t="str">
        <f>IF(ISNUMBER(FIND("arbeid",Methode_Keuze)),"",IF(ISNUMBER(FIND("arbeid",Methode_Keuze)),"",IF(Tb_Activiteiten[[#This Row],[Eigen arbeid]]=1,Tb_Activiteiten[[#Headers],[Eigen arbeid]],"")))</f>
        <v/>
      </c>
      <c r="AM948" t="str">
        <f>IF(ISNUMBER(FIND("arbeid",Methode_Keuze)),"",IF(ISNUMBER(FIND("arbeid",Methode_Keuze)),"",IF(Tb_Activiteiten[[#This Row],[Projectmedewerker]]=1,Tb_Activiteiten[[#Headers],[Projectmedewerker]],"")))</f>
        <v/>
      </c>
      <c r="AN948" t="str">
        <f>IF(ISNUMBER(FIND("arbeid",Methode_Keuze)),"",IF(ISNUMBER(FIND("arbeid",Methode_Keuze)),"",IF(Tb_Activiteiten[[#This Row],[Landbouwer]]=1,Tb_Activiteiten[[#Headers],[Landbouwer]],"")))</f>
        <v/>
      </c>
      <c r="AO948" t="str">
        <f>IF(ISNUMBER(FIND("arbeid",Methode_Keuze)),"",IF(ISNUMBER(FIND("arbeid",Methode_Keuze)),"",IF(Tb_Activiteiten[[#This Row],[Adviseur]]=1,Tb_Activiteiten[[#Headers],[Adviseur]],"")))</f>
        <v/>
      </c>
      <c r="AP948" t="str">
        <f>IF(ISNUMBER(FIND("arbeid",Methode_Keuze)),"",IF(ISNUMBER(FIND("arbeid",Methode_Keuze)),"",IF(Tb_Activiteiten[[#This Row],[Projectleider/Expert]]=1,Tb_Activiteiten[[#Headers],[Projectleider/Expert]],"")))</f>
        <v/>
      </c>
      <c r="AQ948" t="str">
        <f>IF(ISNUMBER(FIND("arbeid",Methode_Keuze)),"",IF(ISNUMBER(FIND("arbeid",Methode_Keuze)),"",IF(Tb_Activiteiten[[#This Row],[Arbeidskosten]]=1,Tb_Activiteiten[[#Headers],[Arbeidskosten]],"")))</f>
        <v/>
      </c>
      <c r="AR948" t="str">
        <f>IF(ISNUMBER(FIND("arbeid",Methode_Keuze)),"",IF(ISNUMBER(FIND("arbeid",Methode_Keuze)),"",IF(Tb_Activiteiten[[#This Row],[Arbeidskosten op basis van IKS]]=1,Tb_Activiteiten[[#Headers],[Arbeidskosten op basis van IKS]],"")))</f>
        <v/>
      </c>
      <c r="AS948" t="str">
        <f>IF(ISNUMBER(FIND("overige",Methode_Keuze)),"",IF(Tb_Activiteiten[[#This Row],[Kosten derden exclusief btw]]=1,Tb_Activiteiten[[#Headers],[Kosten derden exclusief btw]],""))</f>
        <v/>
      </c>
      <c r="AT948" t="str">
        <f>IF(ISNUMBER(FIND("overige",Methode_Keuze)),"",IF(Tb_Activiteiten[[#This Row],[Niet verrekenbare btw]]=1,Tb_Activiteiten[[#Headers],[Niet verrekenbare btw]],""))</f>
        <v/>
      </c>
      <c r="AU948" t="str">
        <f>IF(ISNUMBER(FIND("overige",Methode_Keuze)),"",IF(Tb_Activiteiten[[#This Row],[Grondkosten]]=1,Tb_Activiteiten[[#Headers],[Grondkosten]],""))</f>
        <v/>
      </c>
      <c r="AV948" t="str">
        <f>IF(ISNUMBER(FIND("overige",Methode_Keuze)),"",IF(Tb_Activiteiten[[#This Row],[Bijdrage in natura (overige)]]=1,Tb_Activiteiten[[#Headers],[Bijdrage in natura (overige)]],""))</f>
        <v/>
      </c>
      <c r="AW948" t="str">
        <f>IF(ISNUMBER(FIND("overige",Methode_Keuze)),"",IF(Tb_Activiteiten[[#This Row],[Bijdrage in natura (vrijwilligers)]]=1,Tb_Activiteiten[[#Headers],[Bijdrage in natura (vrijwilligers)]],""))</f>
        <v/>
      </c>
      <c r="AX948" t="str">
        <f>IF(ISNUMBER(FIND("overige",Methode_Keuze)),"",IF(Tb_Activiteiten[[#This Row],[Afschrijvingskosten]]=1,Tb_Activiteiten[[#Headers],[Afschrijvingskosten]],""))</f>
        <v/>
      </c>
      <c r="AY948" t="str">
        <f>IF(ISNUMBER(FIND("overige",Methode_Keuze)),"",IF(Tb_Activiteiten[[#This Row],[Vergoeding]]=1,Tb_Activiteiten[[#Headers],[Vergoeding]],""))</f>
        <v/>
      </c>
      <c r="AZ948" t="str">
        <f>IF(ISNUMBER(FIND("arbeid",Methode_Keuze)),"",IF(Tb_Activiteiten[[#This Row],[Arbeidskosten - vast tarief (excl eigen arbeid)]]=1,Tb_Activiteiten[[#Headers],[Arbeidskosten - vast tarief (excl eigen arbeid)]],""))</f>
        <v/>
      </c>
      <c r="BA948" t="str">
        <f>IF(ISNUMBER(FIND("overige",Methode_Keuze)),"",IF(Tb_Activiteiten[[#This Row],[Overige kosten]]=1,Tb_Activiteiten[[#Headers],[Overige kosten]],""))</f>
        <v/>
      </c>
    </row>
    <row r="949" spans="1:53" x14ac:dyDescent="0.25">
      <c r="A949" s="231"/>
      <c r="F949" s="64"/>
      <c r="G949" s="64"/>
      <c r="H949" s="275"/>
      <c r="I949" s="275"/>
      <c r="J949" s="275"/>
      <c r="K949" s="275"/>
      <c r="O949" s="56"/>
      <c r="Q949" t="str">
        <f>IFERROR(IF(VLOOKUP(Tb_Activiteiten[[#This Row],[Openstelling]],Tb_Openstelling[],2,0)=1,1,""),"")</f>
        <v/>
      </c>
      <c r="AK949" t="str">
        <f>IF(ISNUMBER(FIND("arbeid",Methode_Keuze)),"",IF(ISNUMBER(FIND("arbeid",Methode_Keuze)),"",IF(Tb_Activiteiten[[#This Row],[Loonkosten]]=1,Tb_Activiteiten[[#Headers],[Loonkosten]],"")))</f>
        <v/>
      </c>
      <c r="AL949" t="str">
        <f>IF(ISNUMBER(FIND("arbeid",Methode_Keuze)),"",IF(ISNUMBER(FIND("arbeid",Methode_Keuze)),"",IF(Tb_Activiteiten[[#This Row],[Eigen arbeid]]=1,Tb_Activiteiten[[#Headers],[Eigen arbeid]],"")))</f>
        <v/>
      </c>
      <c r="AM949" t="str">
        <f>IF(ISNUMBER(FIND("arbeid",Methode_Keuze)),"",IF(ISNUMBER(FIND("arbeid",Methode_Keuze)),"",IF(Tb_Activiteiten[[#This Row],[Projectmedewerker]]=1,Tb_Activiteiten[[#Headers],[Projectmedewerker]],"")))</f>
        <v/>
      </c>
      <c r="AN949" t="str">
        <f>IF(ISNUMBER(FIND("arbeid",Methode_Keuze)),"",IF(ISNUMBER(FIND("arbeid",Methode_Keuze)),"",IF(Tb_Activiteiten[[#This Row],[Landbouwer]]=1,Tb_Activiteiten[[#Headers],[Landbouwer]],"")))</f>
        <v/>
      </c>
      <c r="AO949" t="str">
        <f>IF(ISNUMBER(FIND("arbeid",Methode_Keuze)),"",IF(ISNUMBER(FIND("arbeid",Methode_Keuze)),"",IF(Tb_Activiteiten[[#This Row],[Adviseur]]=1,Tb_Activiteiten[[#Headers],[Adviseur]],"")))</f>
        <v/>
      </c>
      <c r="AP949" t="str">
        <f>IF(ISNUMBER(FIND("arbeid",Methode_Keuze)),"",IF(ISNUMBER(FIND("arbeid",Methode_Keuze)),"",IF(Tb_Activiteiten[[#This Row],[Projectleider/Expert]]=1,Tb_Activiteiten[[#Headers],[Projectleider/Expert]],"")))</f>
        <v/>
      </c>
      <c r="AQ949" t="str">
        <f>IF(ISNUMBER(FIND("arbeid",Methode_Keuze)),"",IF(ISNUMBER(FIND("arbeid",Methode_Keuze)),"",IF(Tb_Activiteiten[[#This Row],[Arbeidskosten]]=1,Tb_Activiteiten[[#Headers],[Arbeidskosten]],"")))</f>
        <v/>
      </c>
      <c r="AR949" t="str">
        <f>IF(ISNUMBER(FIND("arbeid",Methode_Keuze)),"",IF(ISNUMBER(FIND("arbeid",Methode_Keuze)),"",IF(Tb_Activiteiten[[#This Row],[Arbeidskosten op basis van IKS]]=1,Tb_Activiteiten[[#Headers],[Arbeidskosten op basis van IKS]],"")))</f>
        <v/>
      </c>
      <c r="AS949" t="str">
        <f>IF(ISNUMBER(FIND("overige",Methode_Keuze)),"",IF(Tb_Activiteiten[[#This Row],[Kosten derden exclusief btw]]=1,Tb_Activiteiten[[#Headers],[Kosten derden exclusief btw]],""))</f>
        <v/>
      </c>
      <c r="AT949" t="str">
        <f>IF(ISNUMBER(FIND("overige",Methode_Keuze)),"",IF(Tb_Activiteiten[[#This Row],[Niet verrekenbare btw]]=1,Tb_Activiteiten[[#Headers],[Niet verrekenbare btw]],""))</f>
        <v/>
      </c>
      <c r="AU949" t="str">
        <f>IF(ISNUMBER(FIND("overige",Methode_Keuze)),"",IF(Tb_Activiteiten[[#This Row],[Grondkosten]]=1,Tb_Activiteiten[[#Headers],[Grondkosten]],""))</f>
        <v/>
      </c>
      <c r="AV949" t="str">
        <f>IF(ISNUMBER(FIND("overige",Methode_Keuze)),"",IF(Tb_Activiteiten[[#This Row],[Bijdrage in natura (overige)]]=1,Tb_Activiteiten[[#Headers],[Bijdrage in natura (overige)]],""))</f>
        <v/>
      </c>
      <c r="AW949" t="str">
        <f>IF(ISNUMBER(FIND("overige",Methode_Keuze)),"",IF(Tb_Activiteiten[[#This Row],[Bijdrage in natura (vrijwilligers)]]=1,Tb_Activiteiten[[#Headers],[Bijdrage in natura (vrijwilligers)]],""))</f>
        <v/>
      </c>
      <c r="AX949" t="str">
        <f>IF(ISNUMBER(FIND("overige",Methode_Keuze)),"",IF(Tb_Activiteiten[[#This Row],[Afschrijvingskosten]]=1,Tb_Activiteiten[[#Headers],[Afschrijvingskosten]],""))</f>
        <v/>
      </c>
      <c r="AY949" t="str">
        <f>IF(ISNUMBER(FIND("overige",Methode_Keuze)),"",IF(Tb_Activiteiten[[#This Row],[Vergoeding]]=1,Tb_Activiteiten[[#Headers],[Vergoeding]],""))</f>
        <v/>
      </c>
      <c r="AZ949" t="str">
        <f>IF(ISNUMBER(FIND("arbeid",Methode_Keuze)),"",IF(Tb_Activiteiten[[#This Row],[Arbeidskosten - vast tarief (excl eigen arbeid)]]=1,Tb_Activiteiten[[#Headers],[Arbeidskosten - vast tarief (excl eigen arbeid)]],""))</f>
        <v/>
      </c>
      <c r="BA949" t="str">
        <f>IF(ISNUMBER(FIND("overige",Methode_Keuze)),"",IF(Tb_Activiteiten[[#This Row],[Overige kosten]]=1,Tb_Activiteiten[[#Headers],[Overige kosten]],""))</f>
        <v/>
      </c>
    </row>
    <row r="950" spans="1:53" x14ac:dyDescent="0.25">
      <c r="A950" s="231"/>
      <c r="F950" s="64"/>
      <c r="G950" s="64"/>
      <c r="H950" s="275"/>
      <c r="I950" s="275"/>
      <c r="J950" s="275"/>
      <c r="K950" s="275"/>
      <c r="O950" s="56"/>
      <c r="Q950" t="str">
        <f>IFERROR(IF(VLOOKUP(Tb_Activiteiten[[#This Row],[Openstelling]],Tb_Openstelling[],2,0)=1,1,""),"")</f>
        <v/>
      </c>
      <c r="AK950" t="str">
        <f>IF(ISNUMBER(FIND("arbeid",Methode_Keuze)),"",IF(ISNUMBER(FIND("arbeid",Methode_Keuze)),"",IF(Tb_Activiteiten[[#This Row],[Loonkosten]]=1,Tb_Activiteiten[[#Headers],[Loonkosten]],"")))</f>
        <v/>
      </c>
      <c r="AL950" t="str">
        <f>IF(ISNUMBER(FIND("arbeid",Methode_Keuze)),"",IF(ISNUMBER(FIND("arbeid",Methode_Keuze)),"",IF(Tb_Activiteiten[[#This Row],[Eigen arbeid]]=1,Tb_Activiteiten[[#Headers],[Eigen arbeid]],"")))</f>
        <v/>
      </c>
      <c r="AM950" t="str">
        <f>IF(ISNUMBER(FIND("arbeid",Methode_Keuze)),"",IF(ISNUMBER(FIND("arbeid",Methode_Keuze)),"",IF(Tb_Activiteiten[[#This Row],[Projectmedewerker]]=1,Tb_Activiteiten[[#Headers],[Projectmedewerker]],"")))</f>
        <v/>
      </c>
      <c r="AN950" t="str">
        <f>IF(ISNUMBER(FIND("arbeid",Methode_Keuze)),"",IF(ISNUMBER(FIND("arbeid",Methode_Keuze)),"",IF(Tb_Activiteiten[[#This Row],[Landbouwer]]=1,Tb_Activiteiten[[#Headers],[Landbouwer]],"")))</f>
        <v/>
      </c>
      <c r="AO950" t="str">
        <f>IF(ISNUMBER(FIND("arbeid",Methode_Keuze)),"",IF(ISNUMBER(FIND("arbeid",Methode_Keuze)),"",IF(Tb_Activiteiten[[#This Row],[Adviseur]]=1,Tb_Activiteiten[[#Headers],[Adviseur]],"")))</f>
        <v/>
      </c>
      <c r="AP950" t="str">
        <f>IF(ISNUMBER(FIND("arbeid",Methode_Keuze)),"",IF(ISNUMBER(FIND("arbeid",Methode_Keuze)),"",IF(Tb_Activiteiten[[#This Row],[Projectleider/Expert]]=1,Tb_Activiteiten[[#Headers],[Projectleider/Expert]],"")))</f>
        <v/>
      </c>
      <c r="AQ950" t="str">
        <f>IF(ISNUMBER(FIND("arbeid",Methode_Keuze)),"",IF(ISNUMBER(FIND("arbeid",Methode_Keuze)),"",IF(Tb_Activiteiten[[#This Row],[Arbeidskosten]]=1,Tb_Activiteiten[[#Headers],[Arbeidskosten]],"")))</f>
        <v/>
      </c>
      <c r="AR950" t="str">
        <f>IF(ISNUMBER(FIND("arbeid",Methode_Keuze)),"",IF(ISNUMBER(FIND("arbeid",Methode_Keuze)),"",IF(Tb_Activiteiten[[#This Row],[Arbeidskosten op basis van IKS]]=1,Tb_Activiteiten[[#Headers],[Arbeidskosten op basis van IKS]],"")))</f>
        <v/>
      </c>
      <c r="AS950" t="str">
        <f>IF(ISNUMBER(FIND("overige",Methode_Keuze)),"",IF(Tb_Activiteiten[[#This Row],[Kosten derden exclusief btw]]=1,Tb_Activiteiten[[#Headers],[Kosten derden exclusief btw]],""))</f>
        <v/>
      </c>
      <c r="AT950" t="str">
        <f>IF(ISNUMBER(FIND("overige",Methode_Keuze)),"",IF(Tb_Activiteiten[[#This Row],[Niet verrekenbare btw]]=1,Tb_Activiteiten[[#Headers],[Niet verrekenbare btw]],""))</f>
        <v/>
      </c>
      <c r="AU950" t="str">
        <f>IF(ISNUMBER(FIND("overige",Methode_Keuze)),"",IF(Tb_Activiteiten[[#This Row],[Grondkosten]]=1,Tb_Activiteiten[[#Headers],[Grondkosten]],""))</f>
        <v/>
      </c>
      <c r="AV950" t="str">
        <f>IF(ISNUMBER(FIND("overige",Methode_Keuze)),"",IF(Tb_Activiteiten[[#This Row],[Bijdrage in natura (overige)]]=1,Tb_Activiteiten[[#Headers],[Bijdrage in natura (overige)]],""))</f>
        <v/>
      </c>
      <c r="AW950" t="str">
        <f>IF(ISNUMBER(FIND("overige",Methode_Keuze)),"",IF(Tb_Activiteiten[[#This Row],[Bijdrage in natura (vrijwilligers)]]=1,Tb_Activiteiten[[#Headers],[Bijdrage in natura (vrijwilligers)]],""))</f>
        <v/>
      </c>
      <c r="AX950" t="str">
        <f>IF(ISNUMBER(FIND("overige",Methode_Keuze)),"",IF(Tb_Activiteiten[[#This Row],[Afschrijvingskosten]]=1,Tb_Activiteiten[[#Headers],[Afschrijvingskosten]],""))</f>
        <v/>
      </c>
      <c r="AY950" t="str">
        <f>IF(ISNUMBER(FIND("overige",Methode_Keuze)),"",IF(Tb_Activiteiten[[#This Row],[Vergoeding]]=1,Tb_Activiteiten[[#Headers],[Vergoeding]],""))</f>
        <v/>
      </c>
      <c r="AZ950" t="str">
        <f>IF(ISNUMBER(FIND("arbeid",Methode_Keuze)),"",IF(Tb_Activiteiten[[#This Row],[Arbeidskosten - vast tarief (excl eigen arbeid)]]=1,Tb_Activiteiten[[#Headers],[Arbeidskosten - vast tarief (excl eigen arbeid)]],""))</f>
        <v/>
      </c>
      <c r="BA950" t="str">
        <f>IF(ISNUMBER(FIND("overige",Methode_Keuze)),"",IF(Tb_Activiteiten[[#This Row],[Overige kosten]]=1,Tb_Activiteiten[[#Headers],[Overige kosten]],""))</f>
        <v/>
      </c>
    </row>
    <row r="951" spans="1:53" x14ac:dyDescent="0.25">
      <c r="A951" s="231"/>
      <c r="F951" s="64"/>
      <c r="G951" s="64"/>
      <c r="H951" s="275"/>
      <c r="I951" s="275"/>
      <c r="J951" s="275"/>
      <c r="K951" s="275"/>
      <c r="O951" s="56"/>
      <c r="Q951" t="str">
        <f>IFERROR(IF(VLOOKUP(Tb_Activiteiten[[#This Row],[Openstelling]],Tb_Openstelling[],2,0)=1,1,""),"")</f>
        <v/>
      </c>
      <c r="AK951" t="str">
        <f>IF(ISNUMBER(FIND("arbeid",Methode_Keuze)),"",IF(ISNUMBER(FIND("arbeid",Methode_Keuze)),"",IF(Tb_Activiteiten[[#This Row],[Loonkosten]]=1,Tb_Activiteiten[[#Headers],[Loonkosten]],"")))</f>
        <v/>
      </c>
      <c r="AL951" t="str">
        <f>IF(ISNUMBER(FIND("arbeid",Methode_Keuze)),"",IF(ISNUMBER(FIND("arbeid",Methode_Keuze)),"",IF(Tb_Activiteiten[[#This Row],[Eigen arbeid]]=1,Tb_Activiteiten[[#Headers],[Eigen arbeid]],"")))</f>
        <v/>
      </c>
      <c r="AM951" t="str">
        <f>IF(ISNUMBER(FIND("arbeid",Methode_Keuze)),"",IF(ISNUMBER(FIND("arbeid",Methode_Keuze)),"",IF(Tb_Activiteiten[[#This Row],[Projectmedewerker]]=1,Tb_Activiteiten[[#Headers],[Projectmedewerker]],"")))</f>
        <v/>
      </c>
      <c r="AN951" t="str">
        <f>IF(ISNUMBER(FIND("arbeid",Methode_Keuze)),"",IF(ISNUMBER(FIND("arbeid",Methode_Keuze)),"",IF(Tb_Activiteiten[[#This Row],[Landbouwer]]=1,Tb_Activiteiten[[#Headers],[Landbouwer]],"")))</f>
        <v/>
      </c>
      <c r="AO951" t="str">
        <f>IF(ISNUMBER(FIND("arbeid",Methode_Keuze)),"",IF(ISNUMBER(FIND("arbeid",Methode_Keuze)),"",IF(Tb_Activiteiten[[#This Row],[Adviseur]]=1,Tb_Activiteiten[[#Headers],[Adviseur]],"")))</f>
        <v/>
      </c>
      <c r="AP951" t="str">
        <f>IF(ISNUMBER(FIND("arbeid",Methode_Keuze)),"",IF(ISNUMBER(FIND("arbeid",Methode_Keuze)),"",IF(Tb_Activiteiten[[#This Row],[Projectleider/Expert]]=1,Tb_Activiteiten[[#Headers],[Projectleider/Expert]],"")))</f>
        <v/>
      </c>
      <c r="AQ951" t="str">
        <f>IF(ISNUMBER(FIND("arbeid",Methode_Keuze)),"",IF(ISNUMBER(FIND("arbeid",Methode_Keuze)),"",IF(Tb_Activiteiten[[#This Row],[Arbeidskosten]]=1,Tb_Activiteiten[[#Headers],[Arbeidskosten]],"")))</f>
        <v/>
      </c>
      <c r="AR951" t="str">
        <f>IF(ISNUMBER(FIND("arbeid",Methode_Keuze)),"",IF(ISNUMBER(FIND("arbeid",Methode_Keuze)),"",IF(Tb_Activiteiten[[#This Row],[Arbeidskosten op basis van IKS]]=1,Tb_Activiteiten[[#Headers],[Arbeidskosten op basis van IKS]],"")))</f>
        <v/>
      </c>
      <c r="AS951" t="str">
        <f>IF(ISNUMBER(FIND("overige",Methode_Keuze)),"",IF(Tb_Activiteiten[[#This Row],[Kosten derden exclusief btw]]=1,Tb_Activiteiten[[#Headers],[Kosten derden exclusief btw]],""))</f>
        <v/>
      </c>
      <c r="AT951" t="str">
        <f>IF(ISNUMBER(FIND("overige",Methode_Keuze)),"",IF(Tb_Activiteiten[[#This Row],[Niet verrekenbare btw]]=1,Tb_Activiteiten[[#Headers],[Niet verrekenbare btw]],""))</f>
        <v/>
      </c>
      <c r="AU951" t="str">
        <f>IF(ISNUMBER(FIND("overige",Methode_Keuze)),"",IF(Tb_Activiteiten[[#This Row],[Grondkosten]]=1,Tb_Activiteiten[[#Headers],[Grondkosten]],""))</f>
        <v/>
      </c>
      <c r="AV951" t="str">
        <f>IF(ISNUMBER(FIND("overige",Methode_Keuze)),"",IF(Tb_Activiteiten[[#This Row],[Bijdrage in natura (overige)]]=1,Tb_Activiteiten[[#Headers],[Bijdrage in natura (overige)]],""))</f>
        <v/>
      </c>
      <c r="AW951" t="str">
        <f>IF(ISNUMBER(FIND("overige",Methode_Keuze)),"",IF(Tb_Activiteiten[[#This Row],[Bijdrage in natura (vrijwilligers)]]=1,Tb_Activiteiten[[#Headers],[Bijdrage in natura (vrijwilligers)]],""))</f>
        <v/>
      </c>
      <c r="AX951" t="str">
        <f>IF(ISNUMBER(FIND("overige",Methode_Keuze)),"",IF(Tb_Activiteiten[[#This Row],[Afschrijvingskosten]]=1,Tb_Activiteiten[[#Headers],[Afschrijvingskosten]],""))</f>
        <v/>
      </c>
      <c r="AY951" t="str">
        <f>IF(ISNUMBER(FIND("overige",Methode_Keuze)),"",IF(Tb_Activiteiten[[#This Row],[Vergoeding]]=1,Tb_Activiteiten[[#Headers],[Vergoeding]],""))</f>
        <v/>
      </c>
      <c r="AZ951" t="str">
        <f>IF(ISNUMBER(FIND("arbeid",Methode_Keuze)),"",IF(Tb_Activiteiten[[#This Row],[Arbeidskosten - vast tarief (excl eigen arbeid)]]=1,Tb_Activiteiten[[#Headers],[Arbeidskosten - vast tarief (excl eigen arbeid)]],""))</f>
        <v/>
      </c>
      <c r="BA951" t="str">
        <f>IF(ISNUMBER(FIND("overige",Methode_Keuze)),"",IF(Tb_Activiteiten[[#This Row],[Overige kosten]]=1,Tb_Activiteiten[[#Headers],[Overige kosten]],""))</f>
        <v/>
      </c>
    </row>
    <row r="952" spans="1:53" x14ac:dyDescent="0.25">
      <c r="A952" s="231"/>
      <c r="F952" s="64"/>
      <c r="G952" s="64"/>
      <c r="H952" s="275"/>
      <c r="I952" s="275"/>
      <c r="J952" s="275"/>
      <c r="K952" s="275"/>
      <c r="O952" s="56"/>
      <c r="Q952" t="str">
        <f>IFERROR(IF(VLOOKUP(Tb_Activiteiten[[#This Row],[Openstelling]],Tb_Openstelling[],2,0)=1,1,""),"")</f>
        <v/>
      </c>
      <c r="AK952" t="str">
        <f>IF(ISNUMBER(FIND("arbeid",Methode_Keuze)),"",IF(ISNUMBER(FIND("arbeid",Methode_Keuze)),"",IF(Tb_Activiteiten[[#This Row],[Loonkosten]]=1,Tb_Activiteiten[[#Headers],[Loonkosten]],"")))</f>
        <v/>
      </c>
      <c r="AL952" t="str">
        <f>IF(ISNUMBER(FIND("arbeid",Methode_Keuze)),"",IF(ISNUMBER(FIND("arbeid",Methode_Keuze)),"",IF(Tb_Activiteiten[[#This Row],[Eigen arbeid]]=1,Tb_Activiteiten[[#Headers],[Eigen arbeid]],"")))</f>
        <v/>
      </c>
      <c r="AM952" t="str">
        <f>IF(ISNUMBER(FIND("arbeid",Methode_Keuze)),"",IF(ISNUMBER(FIND("arbeid",Methode_Keuze)),"",IF(Tb_Activiteiten[[#This Row],[Projectmedewerker]]=1,Tb_Activiteiten[[#Headers],[Projectmedewerker]],"")))</f>
        <v/>
      </c>
      <c r="AN952" t="str">
        <f>IF(ISNUMBER(FIND("arbeid",Methode_Keuze)),"",IF(ISNUMBER(FIND("arbeid",Methode_Keuze)),"",IF(Tb_Activiteiten[[#This Row],[Landbouwer]]=1,Tb_Activiteiten[[#Headers],[Landbouwer]],"")))</f>
        <v/>
      </c>
      <c r="AO952" t="str">
        <f>IF(ISNUMBER(FIND("arbeid",Methode_Keuze)),"",IF(ISNUMBER(FIND("arbeid",Methode_Keuze)),"",IF(Tb_Activiteiten[[#This Row],[Adviseur]]=1,Tb_Activiteiten[[#Headers],[Adviseur]],"")))</f>
        <v/>
      </c>
      <c r="AP952" t="str">
        <f>IF(ISNUMBER(FIND("arbeid",Methode_Keuze)),"",IF(ISNUMBER(FIND("arbeid",Methode_Keuze)),"",IF(Tb_Activiteiten[[#This Row],[Projectleider/Expert]]=1,Tb_Activiteiten[[#Headers],[Projectleider/Expert]],"")))</f>
        <v/>
      </c>
      <c r="AQ952" t="str">
        <f>IF(ISNUMBER(FIND("arbeid",Methode_Keuze)),"",IF(ISNUMBER(FIND("arbeid",Methode_Keuze)),"",IF(Tb_Activiteiten[[#This Row],[Arbeidskosten]]=1,Tb_Activiteiten[[#Headers],[Arbeidskosten]],"")))</f>
        <v/>
      </c>
      <c r="AR952" t="str">
        <f>IF(ISNUMBER(FIND("arbeid",Methode_Keuze)),"",IF(ISNUMBER(FIND("arbeid",Methode_Keuze)),"",IF(Tb_Activiteiten[[#This Row],[Arbeidskosten op basis van IKS]]=1,Tb_Activiteiten[[#Headers],[Arbeidskosten op basis van IKS]],"")))</f>
        <v/>
      </c>
      <c r="AS952" t="str">
        <f>IF(ISNUMBER(FIND("overige",Methode_Keuze)),"",IF(Tb_Activiteiten[[#This Row],[Kosten derden exclusief btw]]=1,Tb_Activiteiten[[#Headers],[Kosten derden exclusief btw]],""))</f>
        <v/>
      </c>
      <c r="AT952" t="str">
        <f>IF(ISNUMBER(FIND("overige",Methode_Keuze)),"",IF(Tb_Activiteiten[[#This Row],[Niet verrekenbare btw]]=1,Tb_Activiteiten[[#Headers],[Niet verrekenbare btw]],""))</f>
        <v/>
      </c>
      <c r="AU952" t="str">
        <f>IF(ISNUMBER(FIND("overige",Methode_Keuze)),"",IF(Tb_Activiteiten[[#This Row],[Grondkosten]]=1,Tb_Activiteiten[[#Headers],[Grondkosten]],""))</f>
        <v/>
      </c>
      <c r="AV952" t="str">
        <f>IF(ISNUMBER(FIND("overige",Methode_Keuze)),"",IF(Tb_Activiteiten[[#This Row],[Bijdrage in natura (overige)]]=1,Tb_Activiteiten[[#Headers],[Bijdrage in natura (overige)]],""))</f>
        <v/>
      </c>
      <c r="AW952" t="str">
        <f>IF(ISNUMBER(FIND("overige",Methode_Keuze)),"",IF(Tb_Activiteiten[[#This Row],[Bijdrage in natura (vrijwilligers)]]=1,Tb_Activiteiten[[#Headers],[Bijdrage in natura (vrijwilligers)]],""))</f>
        <v/>
      </c>
      <c r="AX952" t="str">
        <f>IF(ISNUMBER(FIND("overige",Methode_Keuze)),"",IF(Tb_Activiteiten[[#This Row],[Afschrijvingskosten]]=1,Tb_Activiteiten[[#Headers],[Afschrijvingskosten]],""))</f>
        <v/>
      </c>
      <c r="AY952" t="str">
        <f>IF(ISNUMBER(FIND("overige",Methode_Keuze)),"",IF(Tb_Activiteiten[[#This Row],[Vergoeding]]=1,Tb_Activiteiten[[#Headers],[Vergoeding]],""))</f>
        <v/>
      </c>
      <c r="AZ952" t="str">
        <f>IF(ISNUMBER(FIND("arbeid",Methode_Keuze)),"",IF(Tb_Activiteiten[[#This Row],[Arbeidskosten - vast tarief (excl eigen arbeid)]]=1,Tb_Activiteiten[[#Headers],[Arbeidskosten - vast tarief (excl eigen arbeid)]],""))</f>
        <v/>
      </c>
      <c r="BA952" t="str">
        <f>IF(ISNUMBER(FIND("overige",Methode_Keuze)),"",IF(Tb_Activiteiten[[#This Row],[Overige kosten]]=1,Tb_Activiteiten[[#Headers],[Overige kosten]],""))</f>
        <v/>
      </c>
    </row>
    <row r="953" spans="1:53" x14ac:dyDescent="0.25">
      <c r="A953" s="231"/>
      <c r="F953" s="64"/>
      <c r="G953" s="64"/>
      <c r="H953" s="275"/>
      <c r="I953" s="275"/>
      <c r="J953" s="275"/>
      <c r="K953" s="275"/>
      <c r="O953" s="56"/>
      <c r="Q953" t="str">
        <f>IFERROR(IF(VLOOKUP(Tb_Activiteiten[[#This Row],[Openstelling]],Tb_Openstelling[],2,0)=1,1,""),"")</f>
        <v/>
      </c>
      <c r="AK953" t="str">
        <f>IF(ISNUMBER(FIND("arbeid",Methode_Keuze)),"",IF(ISNUMBER(FIND("arbeid",Methode_Keuze)),"",IF(Tb_Activiteiten[[#This Row],[Loonkosten]]=1,Tb_Activiteiten[[#Headers],[Loonkosten]],"")))</f>
        <v/>
      </c>
      <c r="AL953" t="str">
        <f>IF(ISNUMBER(FIND("arbeid",Methode_Keuze)),"",IF(ISNUMBER(FIND("arbeid",Methode_Keuze)),"",IF(Tb_Activiteiten[[#This Row],[Eigen arbeid]]=1,Tb_Activiteiten[[#Headers],[Eigen arbeid]],"")))</f>
        <v/>
      </c>
      <c r="AM953" t="str">
        <f>IF(ISNUMBER(FIND("arbeid",Methode_Keuze)),"",IF(ISNUMBER(FIND("arbeid",Methode_Keuze)),"",IF(Tb_Activiteiten[[#This Row],[Projectmedewerker]]=1,Tb_Activiteiten[[#Headers],[Projectmedewerker]],"")))</f>
        <v/>
      </c>
      <c r="AN953" t="str">
        <f>IF(ISNUMBER(FIND("arbeid",Methode_Keuze)),"",IF(ISNUMBER(FIND("arbeid",Methode_Keuze)),"",IF(Tb_Activiteiten[[#This Row],[Landbouwer]]=1,Tb_Activiteiten[[#Headers],[Landbouwer]],"")))</f>
        <v/>
      </c>
      <c r="AO953" t="str">
        <f>IF(ISNUMBER(FIND("arbeid",Methode_Keuze)),"",IF(ISNUMBER(FIND("arbeid",Methode_Keuze)),"",IF(Tb_Activiteiten[[#This Row],[Adviseur]]=1,Tb_Activiteiten[[#Headers],[Adviseur]],"")))</f>
        <v/>
      </c>
      <c r="AP953" t="str">
        <f>IF(ISNUMBER(FIND("arbeid",Methode_Keuze)),"",IF(ISNUMBER(FIND("arbeid",Methode_Keuze)),"",IF(Tb_Activiteiten[[#This Row],[Projectleider/Expert]]=1,Tb_Activiteiten[[#Headers],[Projectleider/Expert]],"")))</f>
        <v/>
      </c>
      <c r="AQ953" t="str">
        <f>IF(ISNUMBER(FIND("arbeid",Methode_Keuze)),"",IF(ISNUMBER(FIND("arbeid",Methode_Keuze)),"",IF(Tb_Activiteiten[[#This Row],[Arbeidskosten]]=1,Tb_Activiteiten[[#Headers],[Arbeidskosten]],"")))</f>
        <v/>
      </c>
      <c r="AR953" t="str">
        <f>IF(ISNUMBER(FIND("arbeid",Methode_Keuze)),"",IF(ISNUMBER(FIND("arbeid",Methode_Keuze)),"",IF(Tb_Activiteiten[[#This Row],[Arbeidskosten op basis van IKS]]=1,Tb_Activiteiten[[#Headers],[Arbeidskosten op basis van IKS]],"")))</f>
        <v/>
      </c>
      <c r="AS953" t="str">
        <f>IF(ISNUMBER(FIND("overige",Methode_Keuze)),"",IF(Tb_Activiteiten[[#This Row],[Kosten derden exclusief btw]]=1,Tb_Activiteiten[[#Headers],[Kosten derden exclusief btw]],""))</f>
        <v/>
      </c>
      <c r="AT953" t="str">
        <f>IF(ISNUMBER(FIND("overige",Methode_Keuze)),"",IF(Tb_Activiteiten[[#This Row],[Niet verrekenbare btw]]=1,Tb_Activiteiten[[#Headers],[Niet verrekenbare btw]],""))</f>
        <v/>
      </c>
      <c r="AU953" t="str">
        <f>IF(ISNUMBER(FIND("overige",Methode_Keuze)),"",IF(Tb_Activiteiten[[#This Row],[Grondkosten]]=1,Tb_Activiteiten[[#Headers],[Grondkosten]],""))</f>
        <v/>
      </c>
      <c r="AV953" t="str">
        <f>IF(ISNUMBER(FIND("overige",Methode_Keuze)),"",IF(Tb_Activiteiten[[#This Row],[Bijdrage in natura (overige)]]=1,Tb_Activiteiten[[#Headers],[Bijdrage in natura (overige)]],""))</f>
        <v/>
      </c>
      <c r="AW953" t="str">
        <f>IF(ISNUMBER(FIND("overige",Methode_Keuze)),"",IF(Tb_Activiteiten[[#This Row],[Bijdrage in natura (vrijwilligers)]]=1,Tb_Activiteiten[[#Headers],[Bijdrage in natura (vrijwilligers)]],""))</f>
        <v/>
      </c>
      <c r="AX953" t="str">
        <f>IF(ISNUMBER(FIND("overige",Methode_Keuze)),"",IF(Tb_Activiteiten[[#This Row],[Afschrijvingskosten]]=1,Tb_Activiteiten[[#Headers],[Afschrijvingskosten]],""))</f>
        <v/>
      </c>
      <c r="AY953" t="str">
        <f>IF(ISNUMBER(FIND("overige",Methode_Keuze)),"",IF(Tb_Activiteiten[[#This Row],[Vergoeding]]=1,Tb_Activiteiten[[#Headers],[Vergoeding]],""))</f>
        <v/>
      </c>
      <c r="AZ953" t="str">
        <f>IF(ISNUMBER(FIND("arbeid",Methode_Keuze)),"",IF(Tb_Activiteiten[[#This Row],[Arbeidskosten - vast tarief (excl eigen arbeid)]]=1,Tb_Activiteiten[[#Headers],[Arbeidskosten - vast tarief (excl eigen arbeid)]],""))</f>
        <v/>
      </c>
      <c r="BA953" t="str">
        <f>IF(ISNUMBER(FIND("overige",Methode_Keuze)),"",IF(Tb_Activiteiten[[#This Row],[Overige kosten]]=1,Tb_Activiteiten[[#Headers],[Overige kosten]],""))</f>
        <v/>
      </c>
    </row>
    <row r="954" spans="1:53" x14ac:dyDescent="0.25">
      <c r="A954" s="231"/>
      <c r="F954" s="64"/>
      <c r="G954" s="64"/>
      <c r="H954" s="275"/>
      <c r="I954" s="275"/>
      <c r="J954" s="275"/>
      <c r="K954" s="275"/>
      <c r="O954" s="56"/>
      <c r="Q954" t="str">
        <f>IFERROR(IF(VLOOKUP(Tb_Activiteiten[[#This Row],[Openstelling]],Tb_Openstelling[],2,0)=1,1,""),"")</f>
        <v/>
      </c>
      <c r="AK954" t="str">
        <f>IF(ISNUMBER(FIND("arbeid",Methode_Keuze)),"",IF(ISNUMBER(FIND("arbeid",Methode_Keuze)),"",IF(Tb_Activiteiten[[#This Row],[Loonkosten]]=1,Tb_Activiteiten[[#Headers],[Loonkosten]],"")))</f>
        <v/>
      </c>
      <c r="AL954" t="str">
        <f>IF(ISNUMBER(FIND("arbeid",Methode_Keuze)),"",IF(ISNUMBER(FIND("arbeid",Methode_Keuze)),"",IF(Tb_Activiteiten[[#This Row],[Eigen arbeid]]=1,Tb_Activiteiten[[#Headers],[Eigen arbeid]],"")))</f>
        <v/>
      </c>
      <c r="AM954" t="str">
        <f>IF(ISNUMBER(FIND("arbeid",Methode_Keuze)),"",IF(ISNUMBER(FIND("arbeid",Methode_Keuze)),"",IF(Tb_Activiteiten[[#This Row],[Projectmedewerker]]=1,Tb_Activiteiten[[#Headers],[Projectmedewerker]],"")))</f>
        <v/>
      </c>
      <c r="AN954" t="str">
        <f>IF(ISNUMBER(FIND("arbeid",Methode_Keuze)),"",IF(ISNUMBER(FIND("arbeid",Methode_Keuze)),"",IF(Tb_Activiteiten[[#This Row],[Landbouwer]]=1,Tb_Activiteiten[[#Headers],[Landbouwer]],"")))</f>
        <v/>
      </c>
      <c r="AO954" t="str">
        <f>IF(ISNUMBER(FIND("arbeid",Methode_Keuze)),"",IF(ISNUMBER(FIND("arbeid",Methode_Keuze)),"",IF(Tb_Activiteiten[[#This Row],[Adviseur]]=1,Tb_Activiteiten[[#Headers],[Adviseur]],"")))</f>
        <v/>
      </c>
      <c r="AP954" t="str">
        <f>IF(ISNUMBER(FIND("arbeid",Methode_Keuze)),"",IF(ISNUMBER(FIND("arbeid",Methode_Keuze)),"",IF(Tb_Activiteiten[[#This Row],[Projectleider/Expert]]=1,Tb_Activiteiten[[#Headers],[Projectleider/Expert]],"")))</f>
        <v/>
      </c>
      <c r="AQ954" t="str">
        <f>IF(ISNUMBER(FIND("arbeid",Methode_Keuze)),"",IF(ISNUMBER(FIND("arbeid",Methode_Keuze)),"",IF(Tb_Activiteiten[[#This Row],[Arbeidskosten]]=1,Tb_Activiteiten[[#Headers],[Arbeidskosten]],"")))</f>
        <v/>
      </c>
      <c r="AR954" t="str">
        <f>IF(ISNUMBER(FIND("arbeid",Methode_Keuze)),"",IF(ISNUMBER(FIND("arbeid",Methode_Keuze)),"",IF(Tb_Activiteiten[[#This Row],[Arbeidskosten op basis van IKS]]=1,Tb_Activiteiten[[#Headers],[Arbeidskosten op basis van IKS]],"")))</f>
        <v/>
      </c>
      <c r="AS954" t="str">
        <f>IF(ISNUMBER(FIND("overige",Methode_Keuze)),"",IF(Tb_Activiteiten[[#This Row],[Kosten derden exclusief btw]]=1,Tb_Activiteiten[[#Headers],[Kosten derden exclusief btw]],""))</f>
        <v/>
      </c>
      <c r="AT954" t="str">
        <f>IF(ISNUMBER(FIND("overige",Methode_Keuze)),"",IF(Tb_Activiteiten[[#This Row],[Niet verrekenbare btw]]=1,Tb_Activiteiten[[#Headers],[Niet verrekenbare btw]],""))</f>
        <v/>
      </c>
      <c r="AU954" t="str">
        <f>IF(ISNUMBER(FIND("overige",Methode_Keuze)),"",IF(Tb_Activiteiten[[#This Row],[Grondkosten]]=1,Tb_Activiteiten[[#Headers],[Grondkosten]],""))</f>
        <v/>
      </c>
      <c r="AV954" t="str">
        <f>IF(ISNUMBER(FIND("overige",Methode_Keuze)),"",IF(Tb_Activiteiten[[#This Row],[Bijdrage in natura (overige)]]=1,Tb_Activiteiten[[#Headers],[Bijdrage in natura (overige)]],""))</f>
        <v/>
      </c>
      <c r="AW954" t="str">
        <f>IF(ISNUMBER(FIND("overige",Methode_Keuze)),"",IF(Tb_Activiteiten[[#This Row],[Bijdrage in natura (vrijwilligers)]]=1,Tb_Activiteiten[[#Headers],[Bijdrage in natura (vrijwilligers)]],""))</f>
        <v/>
      </c>
      <c r="AX954" t="str">
        <f>IF(ISNUMBER(FIND("overige",Methode_Keuze)),"",IF(Tb_Activiteiten[[#This Row],[Afschrijvingskosten]]=1,Tb_Activiteiten[[#Headers],[Afschrijvingskosten]],""))</f>
        <v/>
      </c>
      <c r="AY954" t="str">
        <f>IF(ISNUMBER(FIND("overige",Methode_Keuze)),"",IF(Tb_Activiteiten[[#This Row],[Vergoeding]]=1,Tb_Activiteiten[[#Headers],[Vergoeding]],""))</f>
        <v/>
      </c>
      <c r="AZ954" t="str">
        <f>IF(ISNUMBER(FIND("arbeid",Methode_Keuze)),"",IF(Tb_Activiteiten[[#This Row],[Arbeidskosten - vast tarief (excl eigen arbeid)]]=1,Tb_Activiteiten[[#Headers],[Arbeidskosten - vast tarief (excl eigen arbeid)]],""))</f>
        <v/>
      </c>
      <c r="BA954" t="str">
        <f>IF(ISNUMBER(FIND("overige",Methode_Keuze)),"",IF(Tb_Activiteiten[[#This Row],[Overige kosten]]=1,Tb_Activiteiten[[#Headers],[Overige kosten]],""))</f>
        <v/>
      </c>
    </row>
    <row r="955" spans="1:53" x14ac:dyDescent="0.25">
      <c r="A955" s="231"/>
      <c r="F955" s="64"/>
      <c r="G955" s="64"/>
      <c r="H955" s="275"/>
      <c r="I955" s="275"/>
      <c r="J955" s="275"/>
      <c r="K955" s="275"/>
      <c r="O955" s="56"/>
      <c r="Q955" t="str">
        <f>IFERROR(IF(VLOOKUP(Tb_Activiteiten[[#This Row],[Openstelling]],Tb_Openstelling[],2,0)=1,1,""),"")</f>
        <v/>
      </c>
      <c r="AK955" t="str">
        <f>IF(ISNUMBER(FIND("arbeid",Methode_Keuze)),"",IF(ISNUMBER(FIND("arbeid",Methode_Keuze)),"",IF(Tb_Activiteiten[[#This Row],[Loonkosten]]=1,Tb_Activiteiten[[#Headers],[Loonkosten]],"")))</f>
        <v/>
      </c>
      <c r="AL955" t="str">
        <f>IF(ISNUMBER(FIND("arbeid",Methode_Keuze)),"",IF(ISNUMBER(FIND("arbeid",Methode_Keuze)),"",IF(Tb_Activiteiten[[#This Row],[Eigen arbeid]]=1,Tb_Activiteiten[[#Headers],[Eigen arbeid]],"")))</f>
        <v/>
      </c>
      <c r="AM955" t="str">
        <f>IF(ISNUMBER(FIND("arbeid",Methode_Keuze)),"",IF(ISNUMBER(FIND("arbeid",Methode_Keuze)),"",IF(Tb_Activiteiten[[#This Row],[Projectmedewerker]]=1,Tb_Activiteiten[[#Headers],[Projectmedewerker]],"")))</f>
        <v/>
      </c>
      <c r="AN955" t="str">
        <f>IF(ISNUMBER(FIND("arbeid",Methode_Keuze)),"",IF(ISNUMBER(FIND("arbeid",Methode_Keuze)),"",IF(Tb_Activiteiten[[#This Row],[Landbouwer]]=1,Tb_Activiteiten[[#Headers],[Landbouwer]],"")))</f>
        <v/>
      </c>
      <c r="AO955" t="str">
        <f>IF(ISNUMBER(FIND("arbeid",Methode_Keuze)),"",IF(ISNUMBER(FIND("arbeid",Methode_Keuze)),"",IF(Tb_Activiteiten[[#This Row],[Adviseur]]=1,Tb_Activiteiten[[#Headers],[Adviseur]],"")))</f>
        <v/>
      </c>
      <c r="AP955" t="str">
        <f>IF(ISNUMBER(FIND("arbeid",Methode_Keuze)),"",IF(ISNUMBER(FIND("arbeid",Methode_Keuze)),"",IF(Tb_Activiteiten[[#This Row],[Projectleider/Expert]]=1,Tb_Activiteiten[[#Headers],[Projectleider/Expert]],"")))</f>
        <v/>
      </c>
      <c r="AQ955" t="str">
        <f>IF(ISNUMBER(FIND("arbeid",Methode_Keuze)),"",IF(ISNUMBER(FIND("arbeid",Methode_Keuze)),"",IF(Tb_Activiteiten[[#This Row],[Arbeidskosten]]=1,Tb_Activiteiten[[#Headers],[Arbeidskosten]],"")))</f>
        <v/>
      </c>
      <c r="AR955" t="str">
        <f>IF(ISNUMBER(FIND("arbeid",Methode_Keuze)),"",IF(ISNUMBER(FIND("arbeid",Methode_Keuze)),"",IF(Tb_Activiteiten[[#This Row],[Arbeidskosten op basis van IKS]]=1,Tb_Activiteiten[[#Headers],[Arbeidskosten op basis van IKS]],"")))</f>
        <v/>
      </c>
      <c r="AS955" t="str">
        <f>IF(ISNUMBER(FIND("overige",Methode_Keuze)),"",IF(Tb_Activiteiten[[#This Row],[Kosten derden exclusief btw]]=1,Tb_Activiteiten[[#Headers],[Kosten derden exclusief btw]],""))</f>
        <v/>
      </c>
      <c r="AT955" t="str">
        <f>IF(ISNUMBER(FIND("overige",Methode_Keuze)),"",IF(Tb_Activiteiten[[#This Row],[Niet verrekenbare btw]]=1,Tb_Activiteiten[[#Headers],[Niet verrekenbare btw]],""))</f>
        <v/>
      </c>
      <c r="AU955" t="str">
        <f>IF(ISNUMBER(FIND("overige",Methode_Keuze)),"",IF(Tb_Activiteiten[[#This Row],[Grondkosten]]=1,Tb_Activiteiten[[#Headers],[Grondkosten]],""))</f>
        <v/>
      </c>
      <c r="AV955" t="str">
        <f>IF(ISNUMBER(FIND("overige",Methode_Keuze)),"",IF(Tb_Activiteiten[[#This Row],[Bijdrage in natura (overige)]]=1,Tb_Activiteiten[[#Headers],[Bijdrage in natura (overige)]],""))</f>
        <v/>
      </c>
      <c r="AW955" t="str">
        <f>IF(ISNUMBER(FIND("overige",Methode_Keuze)),"",IF(Tb_Activiteiten[[#This Row],[Bijdrage in natura (vrijwilligers)]]=1,Tb_Activiteiten[[#Headers],[Bijdrage in natura (vrijwilligers)]],""))</f>
        <v/>
      </c>
      <c r="AX955" t="str">
        <f>IF(ISNUMBER(FIND("overige",Methode_Keuze)),"",IF(Tb_Activiteiten[[#This Row],[Afschrijvingskosten]]=1,Tb_Activiteiten[[#Headers],[Afschrijvingskosten]],""))</f>
        <v/>
      </c>
      <c r="AY955" t="str">
        <f>IF(ISNUMBER(FIND("overige",Methode_Keuze)),"",IF(Tb_Activiteiten[[#This Row],[Vergoeding]]=1,Tb_Activiteiten[[#Headers],[Vergoeding]],""))</f>
        <v/>
      </c>
      <c r="AZ955" t="str">
        <f>IF(ISNUMBER(FIND("arbeid",Methode_Keuze)),"",IF(Tb_Activiteiten[[#This Row],[Arbeidskosten - vast tarief (excl eigen arbeid)]]=1,Tb_Activiteiten[[#Headers],[Arbeidskosten - vast tarief (excl eigen arbeid)]],""))</f>
        <v/>
      </c>
      <c r="BA955" t="str">
        <f>IF(ISNUMBER(FIND("overige",Methode_Keuze)),"",IF(Tb_Activiteiten[[#This Row],[Overige kosten]]=1,Tb_Activiteiten[[#Headers],[Overige kosten]],""))</f>
        <v/>
      </c>
    </row>
    <row r="956" spans="1:53" x14ac:dyDescent="0.25">
      <c r="A956" s="231"/>
      <c r="F956" s="64"/>
      <c r="G956" s="64"/>
      <c r="H956" s="275"/>
      <c r="I956" s="275"/>
      <c r="J956" s="275"/>
      <c r="K956" s="275"/>
      <c r="O956" s="56"/>
      <c r="Q956" t="str">
        <f>IFERROR(IF(VLOOKUP(Tb_Activiteiten[[#This Row],[Openstelling]],Tb_Openstelling[],2,0)=1,1,""),"")</f>
        <v/>
      </c>
      <c r="AK956" t="str">
        <f>IF(ISNUMBER(FIND("arbeid",Methode_Keuze)),"",IF(ISNUMBER(FIND("arbeid",Methode_Keuze)),"",IF(Tb_Activiteiten[[#This Row],[Loonkosten]]=1,Tb_Activiteiten[[#Headers],[Loonkosten]],"")))</f>
        <v/>
      </c>
      <c r="AL956" t="str">
        <f>IF(ISNUMBER(FIND("arbeid",Methode_Keuze)),"",IF(ISNUMBER(FIND("arbeid",Methode_Keuze)),"",IF(Tb_Activiteiten[[#This Row],[Eigen arbeid]]=1,Tb_Activiteiten[[#Headers],[Eigen arbeid]],"")))</f>
        <v/>
      </c>
      <c r="AM956" t="str">
        <f>IF(ISNUMBER(FIND("arbeid",Methode_Keuze)),"",IF(ISNUMBER(FIND("arbeid",Methode_Keuze)),"",IF(Tb_Activiteiten[[#This Row],[Projectmedewerker]]=1,Tb_Activiteiten[[#Headers],[Projectmedewerker]],"")))</f>
        <v/>
      </c>
      <c r="AN956" t="str">
        <f>IF(ISNUMBER(FIND("arbeid",Methode_Keuze)),"",IF(ISNUMBER(FIND("arbeid",Methode_Keuze)),"",IF(Tb_Activiteiten[[#This Row],[Landbouwer]]=1,Tb_Activiteiten[[#Headers],[Landbouwer]],"")))</f>
        <v/>
      </c>
      <c r="AO956" t="str">
        <f>IF(ISNUMBER(FIND("arbeid",Methode_Keuze)),"",IF(ISNUMBER(FIND("arbeid",Methode_Keuze)),"",IF(Tb_Activiteiten[[#This Row],[Adviseur]]=1,Tb_Activiteiten[[#Headers],[Adviseur]],"")))</f>
        <v/>
      </c>
      <c r="AP956" t="str">
        <f>IF(ISNUMBER(FIND("arbeid",Methode_Keuze)),"",IF(ISNUMBER(FIND("arbeid",Methode_Keuze)),"",IF(Tb_Activiteiten[[#This Row],[Projectleider/Expert]]=1,Tb_Activiteiten[[#Headers],[Projectleider/Expert]],"")))</f>
        <v/>
      </c>
      <c r="AQ956" t="str">
        <f>IF(ISNUMBER(FIND("arbeid",Methode_Keuze)),"",IF(ISNUMBER(FIND("arbeid",Methode_Keuze)),"",IF(Tb_Activiteiten[[#This Row],[Arbeidskosten]]=1,Tb_Activiteiten[[#Headers],[Arbeidskosten]],"")))</f>
        <v/>
      </c>
      <c r="AR956" t="str">
        <f>IF(ISNUMBER(FIND("arbeid",Methode_Keuze)),"",IF(ISNUMBER(FIND("arbeid",Methode_Keuze)),"",IF(Tb_Activiteiten[[#This Row],[Arbeidskosten op basis van IKS]]=1,Tb_Activiteiten[[#Headers],[Arbeidskosten op basis van IKS]],"")))</f>
        <v/>
      </c>
      <c r="AS956" t="str">
        <f>IF(ISNUMBER(FIND("overige",Methode_Keuze)),"",IF(Tb_Activiteiten[[#This Row],[Kosten derden exclusief btw]]=1,Tb_Activiteiten[[#Headers],[Kosten derden exclusief btw]],""))</f>
        <v/>
      </c>
      <c r="AT956" t="str">
        <f>IF(ISNUMBER(FIND("overige",Methode_Keuze)),"",IF(Tb_Activiteiten[[#This Row],[Niet verrekenbare btw]]=1,Tb_Activiteiten[[#Headers],[Niet verrekenbare btw]],""))</f>
        <v/>
      </c>
      <c r="AU956" t="str">
        <f>IF(ISNUMBER(FIND("overige",Methode_Keuze)),"",IF(Tb_Activiteiten[[#This Row],[Grondkosten]]=1,Tb_Activiteiten[[#Headers],[Grondkosten]],""))</f>
        <v/>
      </c>
      <c r="AV956" t="str">
        <f>IF(ISNUMBER(FIND("overige",Methode_Keuze)),"",IF(Tb_Activiteiten[[#This Row],[Bijdrage in natura (overige)]]=1,Tb_Activiteiten[[#Headers],[Bijdrage in natura (overige)]],""))</f>
        <v/>
      </c>
      <c r="AW956" t="str">
        <f>IF(ISNUMBER(FIND("overige",Methode_Keuze)),"",IF(Tb_Activiteiten[[#This Row],[Bijdrage in natura (vrijwilligers)]]=1,Tb_Activiteiten[[#Headers],[Bijdrage in natura (vrijwilligers)]],""))</f>
        <v/>
      </c>
      <c r="AX956" t="str">
        <f>IF(ISNUMBER(FIND("overige",Methode_Keuze)),"",IF(Tb_Activiteiten[[#This Row],[Afschrijvingskosten]]=1,Tb_Activiteiten[[#Headers],[Afschrijvingskosten]],""))</f>
        <v/>
      </c>
      <c r="AY956" t="str">
        <f>IF(ISNUMBER(FIND("overige",Methode_Keuze)),"",IF(Tb_Activiteiten[[#This Row],[Vergoeding]]=1,Tb_Activiteiten[[#Headers],[Vergoeding]],""))</f>
        <v/>
      </c>
      <c r="AZ956" t="str">
        <f>IF(ISNUMBER(FIND("arbeid",Methode_Keuze)),"",IF(Tb_Activiteiten[[#This Row],[Arbeidskosten - vast tarief (excl eigen arbeid)]]=1,Tb_Activiteiten[[#Headers],[Arbeidskosten - vast tarief (excl eigen arbeid)]],""))</f>
        <v/>
      </c>
      <c r="BA956" t="str">
        <f>IF(ISNUMBER(FIND("overige",Methode_Keuze)),"",IF(Tb_Activiteiten[[#This Row],[Overige kosten]]=1,Tb_Activiteiten[[#Headers],[Overige kosten]],""))</f>
        <v/>
      </c>
    </row>
    <row r="957" spans="1:53" x14ac:dyDescent="0.25">
      <c r="A957" s="231"/>
      <c r="F957" s="64"/>
      <c r="G957" s="64"/>
      <c r="H957" s="275"/>
      <c r="I957" s="275"/>
      <c r="J957" s="275"/>
      <c r="K957" s="275"/>
      <c r="O957" s="56"/>
      <c r="Q957" t="str">
        <f>IFERROR(IF(VLOOKUP(Tb_Activiteiten[[#This Row],[Openstelling]],Tb_Openstelling[],2,0)=1,1,""),"")</f>
        <v/>
      </c>
      <c r="AK957" t="str">
        <f>IF(ISNUMBER(FIND("arbeid",Methode_Keuze)),"",IF(ISNUMBER(FIND("arbeid",Methode_Keuze)),"",IF(Tb_Activiteiten[[#This Row],[Loonkosten]]=1,Tb_Activiteiten[[#Headers],[Loonkosten]],"")))</f>
        <v/>
      </c>
      <c r="AL957" t="str">
        <f>IF(ISNUMBER(FIND("arbeid",Methode_Keuze)),"",IF(ISNUMBER(FIND("arbeid",Methode_Keuze)),"",IF(Tb_Activiteiten[[#This Row],[Eigen arbeid]]=1,Tb_Activiteiten[[#Headers],[Eigen arbeid]],"")))</f>
        <v/>
      </c>
      <c r="AM957" t="str">
        <f>IF(ISNUMBER(FIND("arbeid",Methode_Keuze)),"",IF(ISNUMBER(FIND("arbeid",Methode_Keuze)),"",IF(Tb_Activiteiten[[#This Row],[Projectmedewerker]]=1,Tb_Activiteiten[[#Headers],[Projectmedewerker]],"")))</f>
        <v/>
      </c>
      <c r="AN957" t="str">
        <f>IF(ISNUMBER(FIND("arbeid",Methode_Keuze)),"",IF(ISNUMBER(FIND("arbeid",Methode_Keuze)),"",IF(Tb_Activiteiten[[#This Row],[Landbouwer]]=1,Tb_Activiteiten[[#Headers],[Landbouwer]],"")))</f>
        <v/>
      </c>
      <c r="AO957" t="str">
        <f>IF(ISNUMBER(FIND("arbeid",Methode_Keuze)),"",IF(ISNUMBER(FIND("arbeid",Methode_Keuze)),"",IF(Tb_Activiteiten[[#This Row],[Adviseur]]=1,Tb_Activiteiten[[#Headers],[Adviseur]],"")))</f>
        <v/>
      </c>
      <c r="AP957" t="str">
        <f>IF(ISNUMBER(FIND("arbeid",Methode_Keuze)),"",IF(ISNUMBER(FIND("arbeid",Methode_Keuze)),"",IF(Tb_Activiteiten[[#This Row],[Projectleider/Expert]]=1,Tb_Activiteiten[[#Headers],[Projectleider/Expert]],"")))</f>
        <v/>
      </c>
      <c r="AQ957" t="str">
        <f>IF(ISNUMBER(FIND("arbeid",Methode_Keuze)),"",IF(ISNUMBER(FIND("arbeid",Methode_Keuze)),"",IF(Tb_Activiteiten[[#This Row],[Arbeidskosten]]=1,Tb_Activiteiten[[#Headers],[Arbeidskosten]],"")))</f>
        <v/>
      </c>
      <c r="AR957" t="str">
        <f>IF(ISNUMBER(FIND("arbeid",Methode_Keuze)),"",IF(ISNUMBER(FIND("arbeid",Methode_Keuze)),"",IF(Tb_Activiteiten[[#This Row],[Arbeidskosten op basis van IKS]]=1,Tb_Activiteiten[[#Headers],[Arbeidskosten op basis van IKS]],"")))</f>
        <v/>
      </c>
      <c r="AS957" t="str">
        <f>IF(ISNUMBER(FIND("overige",Methode_Keuze)),"",IF(Tb_Activiteiten[[#This Row],[Kosten derden exclusief btw]]=1,Tb_Activiteiten[[#Headers],[Kosten derden exclusief btw]],""))</f>
        <v/>
      </c>
      <c r="AT957" t="str">
        <f>IF(ISNUMBER(FIND("overige",Methode_Keuze)),"",IF(Tb_Activiteiten[[#This Row],[Niet verrekenbare btw]]=1,Tb_Activiteiten[[#Headers],[Niet verrekenbare btw]],""))</f>
        <v/>
      </c>
      <c r="AU957" t="str">
        <f>IF(ISNUMBER(FIND("overige",Methode_Keuze)),"",IF(Tb_Activiteiten[[#This Row],[Grondkosten]]=1,Tb_Activiteiten[[#Headers],[Grondkosten]],""))</f>
        <v/>
      </c>
      <c r="AV957" t="str">
        <f>IF(ISNUMBER(FIND("overige",Methode_Keuze)),"",IF(Tb_Activiteiten[[#This Row],[Bijdrage in natura (overige)]]=1,Tb_Activiteiten[[#Headers],[Bijdrage in natura (overige)]],""))</f>
        <v/>
      </c>
      <c r="AW957" t="str">
        <f>IF(ISNUMBER(FIND("overige",Methode_Keuze)),"",IF(Tb_Activiteiten[[#This Row],[Bijdrage in natura (vrijwilligers)]]=1,Tb_Activiteiten[[#Headers],[Bijdrage in natura (vrijwilligers)]],""))</f>
        <v/>
      </c>
      <c r="AX957" t="str">
        <f>IF(ISNUMBER(FIND("overige",Methode_Keuze)),"",IF(Tb_Activiteiten[[#This Row],[Afschrijvingskosten]]=1,Tb_Activiteiten[[#Headers],[Afschrijvingskosten]],""))</f>
        <v/>
      </c>
      <c r="AY957" t="str">
        <f>IF(ISNUMBER(FIND("overige",Methode_Keuze)),"",IF(Tb_Activiteiten[[#This Row],[Vergoeding]]=1,Tb_Activiteiten[[#Headers],[Vergoeding]],""))</f>
        <v/>
      </c>
      <c r="AZ957" t="str">
        <f>IF(ISNUMBER(FIND("arbeid",Methode_Keuze)),"",IF(Tb_Activiteiten[[#This Row],[Arbeidskosten - vast tarief (excl eigen arbeid)]]=1,Tb_Activiteiten[[#Headers],[Arbeidskosten - vast tarief (excl eigen arbeid)]],""))</f>
        <v/>
      </c>
      <c r="BA957" t="str">
        <f>IF(ISNUMBER(FIND("overige",Methode_Keuze)),"",IF(Tb_Activiteiten[[#This Row],[Overige kosten]]=1,Tb_Activiteiten[[#Headers],[Overige kosten]],""))</f>
        <v/>
      </c>
    </row>
    <row r="958" spans="1:53" x14ac:dyDescent="0.25">
      <c r="A958" s="231"/>
      <c r="F958" s="64"/>
      <c r="G958" s="64"/>
      <c r="H958" s="275"/>
      <c r="I958" s="275"/>
      <c r="J958" s="275"/>
      <c r="K958" s="275"/>
      <c r="O958" s="56"/>
      <c r="Q958" t="str">
        <f>IFERROR(IF(VLOOKUP(Tb_Activiteiten[[#This Row],[Openstelling]],Tb_Openstelling[],2,0)=1,1,""),"")</f>
        <v/>
      </c>
      <c r="AK958" t="str">
        <f>IF(ISNUMBER(FIND("arbeid",Methode_Keuze)),"",IF(ISNUMBER(FIND("arbeid",Methode_Keuze)),"",IF(Tb_Activiteiten[[#This Row],[Loonkosten]]=1,Tb_Activiteiten[[#Headers],[Loonkosten]],"")))</f>
        <v/>
      </c>
      <c r="AL958" t="str">
        <f>IF(ISNUMBER(FIND("arbeid",Methode_Keuze)),"",IF(ISNUMBER(FIND("arbeid",Methode_Keuze)),"",IF(Tb_Activiteiten[[#This Row],[Eigen arbeid]]=1,Tb_Activiteiten[[#Headers],[Eigen arbeid]],"")))</f>
        <v/>
      </c>
      <c r="AM958" t="str">
        <f>IF(ISNUMBER(FIND("arbeid",Methode_Keuze)),"",IF(ISNUMBER(FIND("arbeid",Methode_Keuze)),"",IF(Tb_Activiteiten[[#This Row],[Projectmedewerker]]=1,Tb_Activiteiten[[#Headers],[Projectmedewerker]],"")))</f>
        <v/>
      </c>
      <c r="AN958" t="str">
        <f>IF(ISNUMBER(FIND("arbeid",Methode_Keuze)),"",IF(ISNUMBER(FIND("arbeid",Methode_Keuze)),"",IF(Tb_Activiteiten[[#This Row],[Landbouwer]]=1,Tb_Activiteiten[[#Headers],[Landbouwer]],"")))</f>
        <v/>
      </c>
      <c r="AO958" t="str">
        <f>IF(ISNUMBER(FIND("arbeid",Methode_Keuze)),"",IF(ISNUMBER(FIND("arbeid",Methode_Keuze)),"",IF(Tb_Activiteiten[[#This Row],[Adviseur]]=1,Tb_Activiteiten[[#Headers],[Adviseur]],"")))</f>
        <v/>
      </c>
      <c r="AP958" t="str">
        <f>IF(ISNUMBER(FIND("arbeid",Methode_Keuze)),"",IF(ISNUMBER(FIND("arbeid",Methode_Keuze)),"",IF(Tb_Activiteiten[[#This Row],[Projectleider/Expert]]=1,Tb_Activiteiten[[#Headers],[Projectleider/Expert]],"")))</f>
        <v/>
      </c>
      <c r="AQ958" t="str">
        <f>IF(ISNUMBER(FIND("arbeid",Methode_Keuze)),"",IF(ISNUMBER(FIND("arbeid",Methode_Keuze)),"",IF(Tb_Activiteiten[[#This Row],[Arbeidskosten]]=1,Tb_Activiteiten[[#Headers],[Arbeidskosten]],"")))</f>
        <v/>
      </c>
      <c r="AR958" t="str">
        <f>IF(ISNUMBER(FIND("arbeid",Methode_Keuze)),"",IF(ISNUMBER(FIND("arbeid",Methode_Keuze)),"",IF(Tb_Activiteiten[[#This Row],[Arbeidskosten op basis van IKS]]=1,Tb_Activiteiten[[#Headers],[Arbeidskosten op basis van IKS]],"")))</f>
        <v/>
      </c>
      <c r="AS958" t="str">
        <f>IF(ISNUMBER(FIND("overige",Methode_Keuze)),"",IF(Tb_Activiteiten[[#This Row],[Kosten derden exclusief btw]]=1,Tb_Activiteiten[[#Headers],[Kosten derden exclusief btw]],""))</f>
        <v/>
      </c>
      <c r="AT958" t="str">
        <f>IF(ISNUMBER(FIND("overige",Methode_Keuze)),"",IF(Tb_Activiteiten[[#This Row],[Niet verrekenbare btw]]=1,Tb_Activiteiten[[#Headers],[Niet verrekenbare btw]],""))</f>
        <v/>
      </c>
      <c r="AU958" t="str">
        <f>IF(ISNUMBER(FIND("overige",Methode_Keuze)),"",IF(Tb_Activiteiten[[#This Row],[Grondkosten]]=1,Tb_Activiteiten[[#Headers],[Grondkosten]],""))</f>
        <v/>
      </c>
      <c r="AV958" t="str">
        <f>IF(ISNUMBER(FIND("overige",Methode_Keuze)),"",IF(Tb_Activiteiten[[#This Row],[Bijdrage in natura (overige)]]=1,Tb_Activiteiten[[#Headers],[Bijdrage in natura (overige)]],""))</f>
        <v/>
      </c>
      <c r="AW958" t="str">
        <f>IF(ISNUMBER(FIND("overige",Methode_Keuze)),"",IF(Tb_Activiteiten[[#This Row],[Bijdrage in natura (vrijwilligers)]]=1,Tb_Activiteiten[[#Headers],[Bijdrage in natura (vrijwilligers)]],""))</f>
        <v/>
      </c>
      <c r="AX958" t="str">
        <f>IF(ISNUMBER(FIND("overige",Methode_Keuze)),"",IF(Tb_Activiteiten[[#This Row],[Afschrijvingskosten]]=1,Tb_Activiteiten[[#Headers],[Afschrijvingskosten]],""))</f>
        <v/>
      </c>
      <c r="AY958" t="str">
        <f>IF(ISNUMBER(FIND("overige",Methode_Keuze)),"",IF(Tb_Activiteiten[[#This Row],[Vergoeding]]=1,Tb_Activiteiten[[#Headers],[Vergoeding]],""))</f>
        <v/>
      </c>
      <c r="AZ958" t="str">
        <f>IF(ISNUMBER(FIND("arbeid",Methode_Keuze)),"",IF(Tb_Activiteiten[[#This Row],[Arbeidskosten - vast tarief (excl eigen arbeid)]]=1,Tb_Activiteiten[[#Headers],[Arbeidskosten - vast tarief (excl eigen arbeid)]],""))</f>
        <v/>
      </c>
      <c r="BA958" t="str">
        <f>IF(ISNUMBER(FIND("overige",Methode_Keuze)),"",IF(Tb_Activiteiten[[#This Row],[Overige kosten]]=1,Tb_Activiteiten[[#Headers],[Overige kosten]],""))</f>
        <v/>
      </c>
    </row>
    <row r="959" spans="1:53" x14ac:dyDescent="0.25">
      <c r="A959" s="231"/>
      <c r="F959" s="64"/>
      <c r="G959" s="64"/>
      <c r="H959" s="275"/>
      <c r="I959" s="275"/>
      <c r="J959" s="275"/>
      <c r="K959" s="275"/>
      <c r="O959" s="56"/>
      <c r="Q959" t="str">
        <f>IFERROR(IF(VLOOKUP(Tb_Activiteiten[[#This Row],[Openstelling]],Tb_Openstelling[],2,0)=1,1,""),"")</f>
        <v/>
      </c>
      <c r="AK959" t="str">
        <f>IF(ISNUMBER(FIND("arbeid",Methode_Keuze)),"",IF(ISNUMBER(FIND("arbeid",Methode_Keuze)),"",IF(Tb_Activiteiten[[#This Row],[Loonkosten]]=1,Tb_Activiteiten[[#Headers],[Loonkosten]],"")))</f>
        <v/>
      </c>
      <c r="AL959" t="str">
        <f>IF(ISNUMBER(FIND("arbeid",Methode_Keuze)),"",IF(ISNUMBER(FIND("arbeid",Methode_Keuze)),"",IF(Tb_Activiteiten[[#This Row],[Eigen arbeid]]=1,Tb_Activiteiten[[#Headers],[Eigen arbeid]],"")))</f>
        <v/>
      </c>
      <c r="AM959" t="str">
        <f>IF(ISNUMBER(FIND("arbeid",Methode_Keuze)),"",IF(ISNUMBER(FIND("arbeid",Methode_Keuze)),"",IF(Tb_Activiteiten[[#This Row],[Projectmedewerker]]=1,Tb_Activiteiten[[#Headers],[Projectmedewerker]],"")))</f>
        <v/>
      </c>
      <c r="AN959" t="str">
        <f>IF(ISNUMBER(FIND("arbeid",Methode_Keuze)),"",IF(ISNUMBER(FIND("arbeid",Methode_Keuze)),"",IF(Tb_Activiteiten[[#This Row],[Landbouwer]]=1,Tb_Activiteiten[[#Headers],[Landbouwer]],"")))</f>
        <v/>
      </c>
      <c r="AO959" t="str">
        <f>IF(ISNUMBER(FIND("arbeid",Methode_Keuze)),"",IF(ISNUMBER(FIND("arbeid",Methode_Keuze)),"",IF(Tb_Activiteiten[[#This Row],[Adviseur]]=1,Tb_Activiteiten[[#Headers],[Adviseur]],"")))</f>
        <v/>
      </c>
      <c r="AP959" t="str">
        <f>IF(ISNUMBER(FIND("arbeid",Methode_Keuze)),"",IF(ISNUMBER(FIND("arbeid",Methode_Keuze)),"",IF(Tb_Activiteiten[[#This Row],[Projectleider/Expert]]=1,Tb_Activiteiten[[#Headers],[Projectleider/Expert]],"")))</f>
        <v/>
      </c>
      <c r="AQ959" t="str">
        <f>IF(ISNUMBER(FIND("arbeid",Methode_Keuze)),"",IF(ISNUMBER(FIND("arbeid",Methode_Keuze)),"",IF(Tb_Activiteiten[[#This Row],[Arbeidskosten]]=1,Tb_Activiteiten[[#Headers],[Arbeidskosten]],"")))</f>
        <v/>
      </c>
      <c r="AR959" t="str">
        <f>IF(ISNUMBER(FIND("arbeid",Methode_Keuze)),"",IF(ISNUMBER(FIND("arbeid",Methode_Keuze)),"",IF(Tb_Activiteiten[[#This Row],[Arbeidskosten op basis van IKS]]=1,Tb_Activiteiten[[#Headers],[Arbeidskosten op basis van IKS]],"")))</f>
        <v/>
      </c>
      <c r="AS959" t="str">
        <f>IF(ISNUMBER(FIND("overige",Methode_Keuze)),"",IF(Tb_Activiteiten[[#This Row],[Kosten derden exclusief btw]]=1,Tb_Activiteiten[[#Headers],[Kosten derden exclusief btw]],""))</f>
        <v/>
      </c>
      <c r="AT959" t="str">
        <f>IF(ISNUMBER(FIND("overige",Methode_Keuze)),"",IF(Tb_Activiteiten[[#This Row],[Niet verrekenbare btw]]=1,Tb_Activiteiten[[#Headers],[Niet verrekenbare btw]],""))</f>
        <v/>
      </c>
      <c r="AU959" t="str">
        <f>IF(ISNUMBER(FIND("overige",Methode_Keuze)),"",IF(Tb_Activiteiten[[#This Row],[Grondkosten]]=1,Tb_Activiteiten[[#Headers],[Grondkosten]],""))</f>
        <v/>
      </c>
      <c r="AV959" t="str">
        <f>IF(ISNUMBER(FIND("overige",Methode_Keuze)),"",IF(Tb_Activiteiten[[#This Row],[Bijdrage in natura (overige)]]=1,Tb_Activiteiten[[#Headers],[Bijdrage in natura (overige)]],""))</f>
        <v/>
      </c>
      <c r="AW959" t="str">
        <f>IF(ISNUMBER(FIND("overige",Methode_Keuze)),"",IF(Tb_Activiteiten[[#This Row],[Bijdrage in natura (vrijwilligers)]]=1,Tb_Activiteiten[[#Headers],[Bijdrage in natura (vrijwilligers)]],""))</f>
        <v/>
      </c>
      <c r="AX959" t="str">
        <f>IF(ISNUMBER(FIND("overige",Methode_Keuze)),"",IF(Tb_Activiteiten[[#This Row],[Afschrijvingskosten]]=1,Tb_Activiteiten[[#Headers],[Afschrijvingskosten]],""))</f>
        <v/>
      </c>
      <c r="AY959" t="str">
        <f>IF(ISNUMBER(FIND("overige",Methode_Keuze)),"",IF(Tb_Activiteiten[[#This Row],[Vergoeding]]=1,Tb_Activiteiten[[#Headers],[Vergoeding]],""))</f>
        <v/>
      </c>
      <c r="AZ959" t="str">
        <f>IF(ISNUMBER(FIND("arbeid",Methode_Keuze)),"",IF(Tb_Activiteiten[[#This Row],[Arbeidskosten - vast tarief (excl eigen arbeid)]]=1,Tb_Activiteiten[[#Headers],[Arbeidskosten - vast tarief (excl eigen arbeid)]],""))</f>
        <v/>
      </c>
      <c r="BA959" t="str">
        <f>IF(ISNUMBER(FIND("overige",Methode_Keuze)),"",IF(Tb_Activiteiten[[#This Row],[Overige kosten]]=1,Tb_Activiteiten[[#Headers],[Overige kosten]],""))</f>
        <v/>
      </c>
    </row>
    <row r="960" spans="1:53" x14ac:dyDescent="0.25">
      <c r="A960" s="231"/>
      <c r="F960" s="64"/>
      <c r="G960" s="64"/>
      <c r="H960" s="275"/>
      <c r="I960" s="275"/>
      <c r="J960" s="275"/>
      <c r="K960" s="275"/>
      <c r="O960" s="56"/>
      <c r="Q960" t="str">
        <f>IFERROR(IF(VLOOKUP(Tb_Activiteiten[[#This Row],[Openstelling]],Tb_Openstelling[],2,0)=1,1,""),"")</f>
        <v/>
      </c>
      <c r="AK960" t="str">
        <f>IF(ISNUMBER(FIND("arbeid",Methode_Keuze)),"",IF(ISNUMBER(FIND("arbeid",Methode_Keuze)),"",IF(Tb_Activiteiten[[#This Row],[Loonkosten]]=1,Tb_Activiteiten[[#Headers],[Loonkosten]],"")))</f>
        <v/>
      </c>
      <c r="AL960" t="str">
        <f>IF(ISNUMBER(FIND("arbeid",Methode_Keuze)),"",IF(ISNUMBER(FIND("arbeid",Methode_Keuze)),"",IF(Tb_Activiteiten[[#This Row],[Eigen arbeid]]=1,Tb_Activiteiten[[#Headers],[Eigen arbeid]],"")))</f>
        <v/>
      </c>
      <c r="AM960" t="str">
        <f>IF(ISNUMBER(FIND("arbeid",Methode_Keuze)),"",IF(ISNUMBER(FIND("arbeid",Methode_Keuze)),"",IF(Tb_Activiteiten[[#This Row],[Projectmedewerker]]=1,Tb_Activiteiten[[#Headers],[Projectmedewerker]],"")))</f>
        <v/>
      </c>
      <c r="AN960" t="str">
        <f>IF(ISNUMBER(FIND("arbeid",Methode_Keuze)),"",IF(ISNUMBER(FIND("arbeid",Methode_Keuze)),"",IF(Tb_Activiteiten[[#This Row],[Landbouwer]]=1,Tb_Activiteiten[[#Headers],[Landbouwer]],"")))</f>
        <v/>
      </c>
      <c r="AO960" t="str">
        <f>IF(ISNUMBER(FIND("arbeid",Methode_Keuze)),"",IF(ISNUMBER(FIND("arbeid",Methode_Keuze)),"",IF(Tb_Activiteiten[[#This Row],[Adviseur]]=1,Tb_Activiteiten[[#Headers],[Adviseur]],"")))</f>
        <v/>
      </c>
      <c r="AP960" t="str">
        <f>IF(ISNUMBER(FIND("arbeid",Methode_Keuze)),"",IF(ISNUMBER(FIND("arbeid",Methode_Keuze)),"",IF(Tb_Activiteiten[[#This Row],[Projectleider/Expert]]=1,Tb_Activiteiten[[#Headers],[Projectleider/Expert]],"")))</f>
        <v/>
      </c>
      <c r="AQ960" t="str">
        <f>IF(ISNUMBER(FIND("arbeid",Methode_Keuze)),"",IF(ISNUMBER(FIND("arbeid",Methode_Keuze)),"",IF(Tb_Activiteiten[[#This Row],[Arbeidskosten]]=1,Tb_Activiteiten[[#Headers],[Arbeidskosten]],"")))</f>
        <v/>
      </c>
      <c r="AR960" t="str">
        <f>IF(ISNUMBER(FIND("arbeid",Methode_Keuze)),"",IF(ISNUMBER(FIND("arbeid",Methode_Keuze)),"",IF(Tb_Activiteiten[[#This Row],[Arbeidskosten op basis van IKS]]=1,Tb_Activiteiten[[#Headers],[Arbeidskosten op basis van IKS]],"")))</f>
        <v/>
      </c>
      <c r="AS960" t="str">
        <f>IF(ISNUMBER(FIND("overige",Methode_Keuze)),"",IF(Tb_Activiteiten[[#This Row],[Kosten derden exclusief btw]]=1,Tb_Activiteiten[[#Headers],[Kosten derden exclusief btw]],""))</f>
        <v/>
      </c>
      <c r="AT960" t="str">
        <f>IF(ISNUMBER(FIND("overige",Methode_Keuze)),"",IF(Tb_Activiteiten[[#This Row],[Niet verrekenbare btw]]=1,Tb_Activiteiten[[#Headers],[Niet verrekenbare btw]],""))</f>
        <v/>
      </c>
      <c r="AU960" t="str">
        <f>IF(ISNUMBER(FIND("overige",Methode_Keuze)),"",IF(Tb_Activiteiten[[#This Row],[Grondkosten]]=1,Tb_Activiteiten[[#Headers],[Grondkosten]],""))</f>
        <v/>
      </c>
      <c r="AV960" t="str">
        <f>IF(ISNUMBER(FIND("overige",Methode_Keuze)),"",IF(Tb_Activiteiten[[#This Row],[Bijdrage in natura (overige)]]=1,Tb_Activiteiten[[#Headers],[Bijdrage in natura (overige)]],""))</f>
        <v/>
      </c>
      <c r="AW960" t="str">
        <f>IF(ISNUMBER(FIND("overige",Methode_Keuze)),"",IF(Tb_Activiteiten[[#This Row],[Bijdrage in natura (vrijwilligers)]]=1,Tb_Activiteiten[[#Headers],[Bijdrage in natura (vrijwilligers)]],""))</f>
        <v/>
      </c>
      <c r="AX960" t="str">
        <f>IF(ISNUMBER(FIND("overige",Methode_Keuze)),"",IF(Tb_Activiteiten[[#This Row],[Afschrijvingskosten]]=1,Tb_Activiteiten[[#Headers],[Afschrijvingskosten]],""))</f>
        <v/>
      </c>
      <c r="AY960" t="str">
        <f>IF(ISNUMBER(FIND("overige",Methode_Keuze)),"",IF(Tb_Activiteiten[[#This Row],[Vergoeding]]=1,Tb_Activiteiten[[#Headers],[Vergoeding]],""))</f>
        <v/>
      </c>
      <c r="AZ960" t="str">
        <f>IF(ISNUMBER(FIND("arbeid",Methode_Keuze)),"",IF(Tb_Activiteiten[[#This Row],[Arbeidskosten - vast tarief (excl eigen arbeid)]]=1,Tb_Activiteiten[[#Headers],[Arbeidskosten - vast tarief (excl eigen arbeid)]],""))</f>
        <v/>
      </c>
      <c r="BA960" t="str">
        <f>IF(ISNUMBER(FIND("overige",Methode_Keuze)),"",IF(Tb_Activiteiten[[#This Row],[Overige kosten]]=1,Tb_Activiteiten[[#Headers],[Overige kosten]],""))</f>
        <v/>
      </c>
    </row>
    <row r="961" spans="1:53" x14ac:dyDescent="0.25">
      <c r="A961" s="231"/>
      <c r="F961" s="64"/>
      <c r="G961" s="64"/>
      <c r="H961" s="275"/>
      <c r="I961" s="275"/>
      <c r="J961" s="275"/>
      <c r="K961" s="275"/>
      <c r="O961" s="56"/>
      <c r="Q961" t="str">
        <f>IFERROR(IF(VLOOKUP(Tb_Activiteiten[[#This Row],[Openstelling]],Tb_Openstelling[],2,0)=1,1,""),"")</f>
        <v/>
      </c>
      <c r="AK961" t="str">
        <f>IF(ISNUMBER(FIND("arbeid",Methode_Keuze)),"",IF(ISNUMBER(FIND("arbeid",Methode_Keuze)),"",IF(Tb_Activiteiten[[#This Row],[Loonkosten]]=1,Tb_Activiteiten[[#Headers],[Loonkosten]],"")))</f>
        <v/>
      </c>
      <c r="AL961" t="str">
        <f>IF(ISNUMBER(FIND("arbeid",Methode_Keuze)),"",IF(ISNUMBER(FIND("arbeid",Methode_Keuze)),"",IF(Tb_Activiteiten[[#This Row],[Eigen arbeid]]=1,Tb_Activiteiten[[#Headers],[Eigen arbeid]],"")))</f>
        <v/>
      </c>
      <c r="AM961" t="str">
        <f>IF(ISNUMBER(FIND("arbeid",Methode_Keuze)),"",IF(ISNUMBER(FIND("arbeid",Methode_Keuze)),"",IF(Tb_Activiteiten[[#This Row],[Projectmedewerker]]=1,Tb_Activiteiten[[#Headers],[Projectmedewerker]],"")))</f>
        <v/>
      </c>
      <c r="AN961" t="str">
        <f>IF(ISNUMBER(FIND("arbeid",Methode_Keuze)),"",IF(ISNUMBER(FIND("arbeid",Methode_Keuze)),"",IF(Tb_Activiteiten[[#This Row],[Landbouwer]]=1,Tb_Activiteiten[[#Headers],[Landbouwer]],"")))</f>
        <v/>
      </c>
      <c r="AO961" t="str">
        <f>IF(ISNUMBER(FIND("arbeid",Methode_Keuze)),"",IF(ISNUMBER(FIND("arbeid",Methode_Keuze)),"",IF(Tb_Activiteiten[[#This Row],[Adviseur]]=1,Tb_Activiteiten[[#Headers],[Adviseur]],"")))</f>
        <v/>
      </c>
      <c r="AP961" t="str">
        <f>IF(ISNUMBER(FIND("arbeid",Methode_Keuze)),"",IF(ISNUMBER(FIND("arbeid",Methode_Keuze)),"",IF(Tb_Activiteiten[[#This Row],[Projectleider/Expert]]=1,Tb_Activiteiten[[#Headers],[Projectleider/Expert]],"")))</f>
        <v/>
      </c>
      <c r="AQ961" t="str">
        <f>IF(ISNUMBER(FIND("arbeid",Methode_Keuze)),"",IF(ISNUMBER(FIND("arbeid",Methode_Keuze)),"",IF(Tb_Activiteiten[[#This Row],[Arbeidskosten]]=1,Tb_Activiteiten[[#Headers],[Arbeidskosten]],"")))</f>
        <v/>
      </c>
      <c r="AR961" t="str">
        <f>IF(ISNUMBER(FIND("arbeid",Methode_Keuze)),"",IF(ISNUMBER(FIND("arbeid",Methode_Keuze)),"",IF(Tb_Activiteiten[[#This Row],[Arbeidskosten op basis van IKS]]=1,Tb_Activiteiten[[#Headers],[Arbeidskosten op basis van IKS]],"")))</f>
        <v/>
      </c>
      <c r="AS961" t="str">
        <f>IF(ISNUMBER(FIND("overige",Methode_Keuze)),"",IF(Tb_Activiteiten[[#This Row],[Kosten derden exclusief btw]]=1,Tb_Activiteiten[[#Headers],[Kosten derden exclusief btw]],""))</f>
        <v/>
      </c>
      <c r="AT961" t="str">
        <f>IF(ISNUMBER(FIND("overige",Methode_Keuze)),"",IF(Tb_Activiteiten[[#This Row],[Niet verrekenbare btw]]=1,Tb_Activiteiten[[#Headers],[Niet verrekenbare btw]],""))</f>
        <v/>
      </c>
      <c r="AU961" t="str">
        <f>IF(ISNUMBER(FIND("overige",Methode_Keuze)),"",IF(Tb_Activiteiten[[#This Row],[Grondkosten]]=1,Tb_Activiteiten[[#Headers],[Grondkosten]],""))</f>
        <v/>
      </c>
      <c r="AV961" t="str">
        <f>IF(ISNUMBER(FIND("overige",Methode_Keuze)),"",IF(Tb_Activiteiten[[#This Row],[Bijdrage in natura (overige)]]=1,Tb_Activiteiten[[#Headers],[Bijdrage in natura (overige)]],""))</f>
        <v/>
      </c>
      <c r="AW961" t="str">
        <f>IF(ISNUMBER(FIND("overige",Methode_Keuze)),"",IF(Tb_Activiteiten[[#This Row],[Bijdrage in natura (vrijwilligers)]]=1,Tb_Activiteiten[[#Headers],[Bijdrage in natura (vrijwilligers)]],""))</f>
        <v/>
      </c>
      <c r="AX961" t="str">
        <f>IF(ISNUMBER(FIND("overige",Methode_Keuze)),"",IF(Tb_Activiteiten[[#This Row],[Afschrijvingskosten]]=1,Tb_Activiteiten[[#Headers],[Afschrijvingskosten]],""))</f>
        <v/>
      </c>
      <c r="AY961" t="str">
        <f>IF(ISNUMBER(FIND("overige",Methode_Keuze)),"",IF(Tb_Activiteiten[[#This Row],[Vergoeding]]=1,Tb_Activiteiten[[#Headers],[Vergoeding]],""))</f>
        <v/>
      </c>
      <c r="AZ961" t="str">
        <f>IF(ISNUMBER(FIND("arbeid",Methode_Keuze)),"",IF(Tb_Activiteiten[[#This Row],[Arbeidskosten - vast tarief (excl eigen arbeid)]]=1,Tb_Activiteiten[[#Headers],[Arbeidskosten - vast tarief (excl eigen arbeid)]],""))</f>
        <v/>
      </c>
      <c r="BA961" t="str">
        <f>IF(ISNUMBER(FIND("overige",Methode_Keuze)),"",IF(Tb_Activiteiten[[#This Row],[Overige kosten]]=1,Tb_Activiteiten[[#Headers],[Overige kosten]],""))</f>
        <v/>
      </c>
    </row>
    <row r="962" spans="1:53" x14ac:dyDescent="0.25">
      <c r="A962" s="231"/>
      <c r="F962" s="64"/>
      <c r="G962" s="64"/>
      <c r="H962" s="275"/>
      <c r="I962" s="275"/>
      <c r="J962" s="275"/>
      <c r="K962" s="275"/>
      <c r="O962" s="56"/>
      <c r="Q962" t="str">
        <f>IFERROR(IF(VLOOKUP(Tb_Activiteiten[[#This Row],[Openstelling]],Tb_Openstelling[],2,0)=1,1,""),"")</f>
        <v/>
      </c>
      <c r="AK962" t="str">
        <f>IF(ISNUMBER(FIND("arbeid",Methode_Keuze)),"",IF(ISNUMBER(FIND("arbeid",Methode_Keuze)),"",IF(Tb_Activiteiten[[#This Row],[Loonkosten]]=1,Tb_Activiteiten[[#Headers],[Loonkosten]],"")))</f>
        <v/>
      </c>
      <c r="AL962" t="str">
        <f>IF(ISNUMBER(FIND("arbeid",Methode_Keuze)),"",IF(ISNUMBER(FIND("arbeid",Methode_Keuze)),"",IF(Tb_Activiteiten[[#This Row],[Eigen arbeid]]=1,Tb_Activiteiten[[#Headers],[Eigen arbeid]],"")))</f>
        <v/>
      </c>
      <c r="AM962" t="str">
        <f>IF(ISNUMBER(FIND("arbeid",Methode_Keuze)),"",IF(ISNUMBER(FIND("arbeid",Methode_Keuze)),"",IF(Tb_Activiteiten[[#This Row],[Projectmedewerker]]=1,Tb_Activiteiten[[#Headers],[Projectmedewerker]],"")))</f>
        <v/>
      </c>
      <c r="AN962" t="str">
        <f>IF(ISNUMBER(FIND("arbeid",Methode_Keuze)),"",IF(ISNUMBER(FIND("arbeid",Methode_Keuze)),"",IF(Tb_Activiteiten[[#This Row],[Landbouwer]]=1,Tb_Activiteiten[[#Headers],[Landbouwer]],"")))</f>
        <v/>
      </c>
      <c r="AO962" t="str">
        <f>IF(ISNUMBER(FIND("arbeid",Methode_Keuze)),"",IF(ISNUMBER(FIND("arbeid",Methode_Keuze)),"",IF(Tb_Activiteiten[[#This Row],[Adviseur]]=1,Tb_Activiteiten[[#Headers],[Adviseur]],"")))</f>
        <v/>
      </c>
      <c r="AP962" t="str">
        <f>IF(ISNUMBER(FIND("arbeid",Methode_Keuze)),"",IF(ISNUMBER(FIND("arbeid",Methode_Keuze)),"",IF(Tb_Activiteiten[[#This Row],[Projectleider/Expert]]=1,Tb_Activiteiten[[#Headers],[Projectleider/Expert]],"")))</f>
        <v/>
      </c>
      <c r="AQ962" t="str">
        <f>IF(ISNUMBER(FIND("arbeid",Methode_Keuze)),"",IF(ISNUMBER(FIND("arbeid",Methode_Keuze)),"",IF(Tb_Activiteiten[[#This Row],[Arbeidskosten]]=1,Tb_Activiteiten[[#Headers],[Arbeidskosten]],"")))</f>
        <v/>
      </c>
      <c r="AR962" t="str">
        <f>IF(ISNUMBER(FIND("arbeid",Methode_Keuze)),"",IF(ISNUMBER(FIND("arbeid",Methode_Keuze)),"",IF(Tb_Activiteiten[[#This Row],[Arbeidskosten op basis van IKS]]=1,Tb_Activiteiten[[#Headers],[Arbeidskosten op basis van IKS]],"")))</f>
        <v/>
      </c>
      <c r="AS962" t="str">
        <f>IF(ISNUMBER(FIND("overige",Methode_Keuze)),"",IF(Tb_Activiteiten[[#This Row],[Kosten derden exclusief btw]]=1,Tb_Activiteiten[[#Headers],[Kosten derden exclusief btw]],""))</f>
        <v/>
      </c>
      <c r="AT962" t="str">
        <f>IF(ISNUMBER(FIND("overige",Methode_Keuze)),"",IF(Tb_Activiteiten[[#This Row],[Niet verrekenbare btw]]=1,Tb_Activiteiten[[#Headers],[Niet verrekenbare btw]],""))</f>
        <v/>
      </c>
      <c r="AU962" t="str">
        <f>IF(ISNUMBER(FIND("overige",Methode_Keuze)),"",IF(Tb_Activiteiten[[#This Row],[Grondkosten]]=1,Tb_Activiteiten[[#Headers],[Grondkosten]],""))</f>
        <v/>
      </c>
      <c r="AV962" t="str">
        <f>IF(ISNUMBER(FIND("overige",Methode_Keuze)),"",IF(Tb_Activiteiten[[#This Row],[Bijdrage in natura (overige)]]=1,Tb_Activiteiten[[#Headers],[Bijdrage in natura (overige)]],""))</f>
        <v/>
      </c>
      <c r="AW962" t="str">
        <f>IF(ISNUMBER(FIND("overige",Methode_Keuze)),"",IF(Tb_Activiteiten[[#This Row],[Bijdrage in natura (vrijwilligers)]]=1,Tb_Activiteiten[[#Headers],[Bijdrage in natura (vrijwilligers)]],""))</f>
        <v/>
      </c>
      <c r="AX962" t="str">
        <f>IF(ISNUMBER(FIND("overige",Methode_Keuze)),"",IF(Tb_Activiteiten[[#This Row],[Afschrijvingskosten]]=1,Tb_Activiteiten[[#Headers],[Afschrijvingskosten]],""))</f>
        <v/>
      </c>
      <c r="AY962" t="str">
        <f>IF(ISNUMBER(FIND("overige",Methode_Keuze)),"",IF(Tb_Activiteiten[[#This Row],[Vergoeding]]=1,Tb_Activiteiten[[#Headers],[Vergoeding]],""))</f>
        <v/>
      </c>
      <c r="AZ962" t="str">
        <f>IF(ISNUMBER(FIND("arbeid",Methode_Keuze)),"",IF(Tb_Activiteiten[[#This Row],[Arbeidskosten - vast tarief (excl eigen arbeid)]]=1,Tb_Activiteiten[[#Headers],[Arbeidskosten - vast tarief (excl eigen arbeid)]],""))</f>
        <v/>
      </c>
      <c r="BA962" t="str">
        <f>IF(ISNUMBER(FIND("overige",Methode_Keuze)),"",IF(Tb_Activiteiten[[#This Row],[Overige kosten]]=1,Tb_Activiteiten[[#Headers],[Overige kosten]],""))</f>
        <v/>
      </c>
    </row>
    <row r="963" spans="1:53" x14ac:dyDescent="0.25">
      <c r="A963" s="231"/>
      <c r="F963" s="64"/>
      <c r="G963" s="64"/>
      <c r="H963" s="275"/>
      <c r="I963" s="275"/>
      <c r="J963" s="275"/>
      <c r="K963" s="275"/>
      <c r="O963" s="56"/>
      <c r="Q963" t="str">
        <f>IFERROR(IF(VLOOKUP(Tb_Activiteiten[[#This Row],[Openstelling]],Tb_Openstelling[],2,0)=1,1,""),"")</f>
        <v/>
      </c>
      <c r="AK963" t="str">
        <f>IF(ISNUMBER(FIND("arbeid",Methode_Keuze)),"",IF(ISNUMBER(FIND("arbeid",Methode_Keuze)),"",IF(Tb_Activiteiten[[#This Row],[Loonkosten]]=1,Tb_Activiteiten[[#Headers],[Loonkosten]],"")))</f>
        <v/>
      </c>
      <c r="AL963" t="str">
        <f>IF(ISNUMBER(FIND("arbeid",Methode_Keuze)),"",IF(ISNUMBER(FIND("arbeid",Methode_Keuze)),"",IF(Tb_Activiteiten[[#This Row],[Eigen arbeid]]=1,Tb_Activiteiten[[#Headers],[Eigen arbeid]],"")))</f>
        <v/>
      </c>
      <c r="AM963" t="str">
        <f>IF(ISNUMBER(FIND("arbeid",Methode_Keuze)),"",IF(ISNUMBER(FIND("arbeid",Methode_Keuze)),"",IF(Tb_Activiteiten[[#This Row],[Projectmedewerker]]=1,Tb_Activiteiten[[#Headers],[Projectmedewerker]],"")))</f>
        <v/>
      </c>
      <c r="AN963" t="str">
        <f>IF(ISNUMBER(FIND("arbeid",Methode_Keuze)),"",IF(ISNUMBER(FIND("arbeid",Methode_Keuze)),"",IF(Tb_Activiteiten[[#This Row],[Landbouwer]]=1,Tb_Activiteiten[[#Headers],[Landbouwer]],"")))</f>
        <v/>
      </c>
      <c r="AO963" t="str">
        <f>IF(ISNUMBER(FIND("arbeid",Methode_Keuze)),"",IF(ISNUMBER(FIND("arbeid",Methode_Keuze)),"",IF(Tb_Activiteiten[[#This Row],[Adviseur]]=1,Tb_Activiteiten[[#Headers],[Adviseur]],"")))</f>
        <v/>
      </c>
      <c r="AP963" t="str">
        <f>IF(ISNUMBER(FIND("arbeid",Methode_Keuze)),"",IF(ISNUMBER(FIND("arbeid",Methode_Keuze)),"",IF(Tb_Activiteiten[[#This Row],[Projectleider/Expert]]=1,Tb_Activiteiten[[#Headers],[Projectleider/Expert]],"")))</f>
        <v/>
      </c>
      <c r="AQ963" t="str">
        <f>IF(ISNUMBER(FIND("arbeid",Methode_Keuze)),"",IF(ISNUMBER(FIND("arbeid",Methode_Keuze)),"",IF(Tb_Activiteiten[[#This Row],[Arbeidskosten]]=1,Tb_Activiteiten[[#Headers],[Arbeidskosten]],"")))</f>
        <v/>
      </c>
      <c r="AR963" t="str">
        <f>IF(ISNUMBER(FIND("arbeid",Methode_Keuze)),"",IF(ISNUMBER(FIND("arbeid",Methode_Keuze)),"",IF(Tb_Activiteiten[[#This Row],[Arbeidskosten op basis van IKS]]=1,Tb_Activiteiten[[#Headers],[Arbeidskosten op basis van IKS]],"")))</f>
        <v/>
      </c>
      <c r="AS963" t="str">
        <f>IF(ISNUMBER(FIND("overige",Methode_Keuze)),"",IF(Tb_Activiteiten[[#This Row],[Kosten derden exclusief btw]]=1,Tb_Activiteiten[[#Headers],[Kosten derden exclusief btw]],""))</f>
        <v/>
      </c>
      <c r="AT963" t="str">
        <f>IF(ISNUMBER(FIND("overige",Methode_Keuze)),"",IF(Tb_Activiteiten[[#This Row],[Niet verrekenbare btw]]=1,Tb_Activiteiten[[#Headers],[Niet verrekenbare btw]],""))</f>
        <v/>
      </c>
      <c r="AU963" t="str">
        <f>IF(ISNUMBER(FIND("overige",Methode_Keuze)),"",IF(Tb_Activiteiten[[#This Row],[Grondkosten]]=1,Tb_Activiteiten[[#Headers],[Grondkosten]],""))</f>
        <v/>
      </c>
      <c r="AV963" t="str">
        <f>IF(ISNUMBER(FIND("overige",Methode_Keuze)),"",IF(Tb_Activiteiten[[#This Row],[Bijdrage in natura (overige)]]=1,Tb_Activiteiten[[#Headers],[Bijdrage in natura (overige)]],""))</f>
        <v/>
      </c>
      <c r="AW963" t="str">
        <f>IF(ISNUMBER(FIND("overige",Methode_Keuze)),"",IF(Tb_Activiteiten[[#This Row],[Bijdrage in natura (vrijwilligers)]]=1,Tb_Activiteiten[[#Headers],[Bijdrage in natura (vrijwilligers)]],""))</f>
        <v/>
      </c>
      <c r="AX963" t="str">
        <f>IF(ISNUMBER(FIND("overige",Methode_Keuze)),"",IF(Tb_Activiteiten[[#This Row],[Afschrijvingskosten]]=1,Tb_Activiteiten[[#Headers],[Afschrijvingskosten]],""))</f>
        <v/>
      </c>
      <c r="AY963" t="str">
        <f>IF(ISNUMBER(FIND("overige",Methode_Keuze)),"",IF(Tb_Activiteiten[[#This Row],[Vergoeding]]=1,Tb_Activiteiten[[#Headers],[Vergoeding]],""))</f>
        <v/>
      </c>
      <c r="AZ963" t="str">
        <f>IF(ISNUMBER(FIND("arbeid",Methode_Keuze)),"",IF(Tb_Activiteiten[[#This Row],[Arbeidskosten - vast tarief (excl eigen arbeid)]]=1,Tb_Activiteiten[[#Headers],[Arbeidskosten - vast tarief (excl eigen arbeid)]],""))</f>
        <v/>
      </c>
      <c r="BA963" t="str">
        <f>IF(ISNUMBER(FIND("overige",Methode_Keuze)),"",IF(Tb_Activiteiten[[#This Row],[Overige kosten]]=1,Tb_Activiteiten[[#Headers],[Overige kosten]],""))</f>
        <v/>
      </c>
    </row>
    <row r="964" spans="1:53" x14ac:dyDescent="0.25">
      <c r="A964" s="231"/>
      <c r="F964" s="64"/>
      <c r="G964" s="64"/>
      <c r="H964" s="275"/>
      <c r="I964" s="275"/>
      <c r="J964" s="275"/>
      <c r="K964" s="275"/>
      <c r="O964" s="56"/>
      <c r="Q964" t="str">
        <f>IFERROR(IF(VLOOKUP(Tb_Activiteiten[[#This Row],[Openstelling]],Tb_Openstelling[],2,0)=1,1,""),"")</f>
        <v/>
      </c>
      <c r="AK964" t="str">
        <f>IF(ISNUMBER(FIND("arbeid",Methode_Keuze)),"",IF(ISNUMBER(FIND("arbeid",Methode_Keuze)),"",IF(Tb_Activiteiten[[#This Row],[Loonkosten]]=1,Tb_Activiteiten[[#Headers],[Loonkosten]],"")))</f>
        <v/>
      </c>
      <c r="AL964" t="str">
        <f>IF(ISNUMBER(FIND("arbeid",Methode_Keuze)),"",IF(ISNUMBER(FIND("arbeid",Methode_Keuze)),"",IF(Tb_Activiteiten[[#This Row],[Eigen arbeid]]=1,Tb_Activiteiten[[#Headers],[Eigen arbeid]],"")))</f>
        <v/>
      </c>
      <c r="AM964" t="str">
        <f>IF(ISNUMBER(FIND("arbeid",Methode_Keuze)),"",IF(ISNUMBER(FIND("arbeid",Methode_Keuze)),"",IF(Tb_Activiteiten[[#This Row],[Projectmedewerker]]=1,Tb_Activiteiten[[#Headers],[Projectmedewerker]],"")))</f>
        <v/>
      </c>
      <c r="AN964" t="str">
        <f>IF(ISNUMBER(FIND("arbeid",Methode_Keuze)),"",IF(ISNUMBER(FIND("arbeid",Methode_Keuze)),"",IF(Tb_Activiteiten[[#This Row],[Landbouwer]]=1,Tb_Activiteiten[[#Headers],[Landbouwer]],"")))</f>
        <v/>
      </c>
      <c r="AO964" t="str">
        <f>IF(ISNUMBER(FIND("arbeid",Methode_Keuze)),"",IF(ISNUMBER(FIND("arbeid",Methode_Keuze)),"",IF(Tb_Activiteiten[[#This Row],[Adviseur]]=1,Tb_Activiteiten[[#Headers],[Adviseur]],"")))</f>
        <v/>
      </c>
      <c r="AP964" t="str">
        <f>IF(ISNUMBER(FIND("arbeid",Methode_Keuze)),"",IF(ISNUMBER(FIND("arbeid",Methode_Keuze)),"",IF(Tb_Activiteiten[[#This Row],[Projectleider/Expert]]=1,Tb_Activiteiten[[#Headers],[Projectleider/Expert]],"")))</f>
        <v/>
      </c>
      <c r="AQ964" t="str">
        <f>IF(ISNUMBER(FIND("arbeid",Methode_Keuze)),"",IF(ISNUMBER(FIND("arbeid",Methode_Keuze)),"",IF(Tb_Activiteiten[[#This Row],[Arbeidskosten]]=1,Tb_Activiteiten[[#Headers],[Arbeidskosten]],"")))</f>
        <v/>
      </c>
      <c r="AR964" t="str">
        <f>IF(ISNUMBER(FIND("arbeid",Methode_Keuze)),"",IF(ISNUMBER(FIND("arbeid",Methode_Keuze)),"",IF(Tb_Activiteiten[[#This Row],[Arbeidskosten op basis van IKS]]=1,Tb_Activiteiten[[#Headers],[Arbeidskosten op basis van IKS]],"")))</f>
        <v/>
      </c>
      <c r="AS964" t="str">
        <f>IF(ISNUMBER(FIND("overige",Methode_Keuze)),"",IF(Tb_Activiteiten[[#This Row],[Kosten derden exclusief btw]]=1,Tb_Activiteiten[[#Headers],[Kosten derden exclusief btw]],""))</f>
        <v/>
      </c>
      <c r="AT964" t="str">
        <f>IF(ISNUMBER(FIND("overige",Methode_Keuze)),"",IF(Tb_Activiteiten[[#This Row],[Niet verrekenbare btw]]=1,Tb_Activiteiten[[#Headers],[Niet verrekenbare btw]],""))</f>
        <v/>
      </c>
      <c r="AU964" t="str">
        <f>IF(ISNUMBER(FIND("overige",Methode_Keuze)),"",IF(Tb_Activiteiten[[#This Row],[Grondkosten]]=1,Tb_Activiteiten[[#Headers],[Grondkosten]],""))</f>
        <v/>
      </c>
      <c r="AV964" t="str">
        <f>IF(ISNUMBER(FIND("overige",Methode_Keuze)),"",IF(Tb_Activiteiten[[#This Row],[Bijdrage in natura (overige)]]=1,Tb_Activiteiten[[#Headers],[Bijdrage in natura (overige)]],""))</f>
        <v/>
      </c>
      <c r="AW964" t="str">
        <f>IF(ISNUMBER(FIND("overige",Methode_Keuze)),"",IF(Tb_Activiteiten[[#This Row],[Bijdrage in natura (vrijwilligers)]]=1,Tb_Activiteiten[[#Headers],[Bijdrage in natura (vrijwilligers)]],""))</f>
        <v/>
      </c>
      <c r="AX964" t="str">
        <f>IF(ISNUMBER(FIND("overige",Methode_Keuze)),"",IF(Tb_Activiteiten[[#This Row],[Afschrijvingskosten]]=1,Tb_Activiteiten[[#Headers],[Afschrijvingskosten]],""))</f>
        <v/>
      </c>
      <c r="AY964" t="str">
        <f>IF(ISNUMBER(FIND("overige",Methode_Keuze)),"",IF(Tb_Activiteiten[[#This Row],[Vergoeding]]=1,Tb_Activiteiten[[#Headers],[Vergoeding]],""))</f>
        <v/>
      </c>
      <c r="AZ964" t="str">
        <f>IF(ISNUMBER(FIND("arbeid",Methode_Keuze)),"",IF(Tb_Activiteiten[[#This Row],[Arbeidskosten - vast tarief (excl eigen arbeid)]]=1,Tb_Activiteiten[[#Headers],[Arbeidskosten - vast tarief (excl eigen arbeid)]],""))</f>
        <v/>
      </c>
      <c r="BA964" t="str">
        <f>IF(ISNUMBER(FIND("overige",Methode_Keuze)),"",IF(Tb_Activiteiten[[#This Row],[Overige kosten]]=1,Tb_Activiteiten[[#Headers],[Overige kosten]],""))</f>
        <v/>
      </c>
    </row>
    <row r="965" spans="1:53" x14ac:dyDescent="0.25">
      <c r="A965" s="231"/>
      <c r="F965" s="64"/>
      <c r="G965" s="64"/>
      <c r="H965" s="275"/>
      <c r="I965" s="275"/>
      <c r="J965" s="275"/>
      <c r="K965" s="275"/>
      <c r="O965" s="56"/>
      <c r="Q965" t="str">
        <f>IFERROR(IF(VLOOKUP(Tb_Activiteiten[[#This Row],[Openstelling]],Tb_Openstelling[],2,0)=1,1,""),"")</f>
        <v/>
      </c>
      <c r="AK965" t="str">
        <f>IF(ISNUMBER(FIND("arbeid",Methode_Keuze)),"",IF(ISNUMBER(FIND("arbeid",Methode_Keuze)),"",IF(Tb_Activiteiten[[#This Row],[Loonkosten]]=1,Tb_Activiteiten[[#Headers],[Loonkosten]],"")))</f>
        <v/>
      </c>
      <c r="AL965" t="str">
        <f>IF(ISNUMBER(FIND("arbeid",Methode_Keuze)),"",IF(ISNUMBER(FIND("arbeid",Methode_Keuze)),"",IF(Tb_Activiteiten[[#This Row],[Eigen arbeid]]=1,Tb_Activiteiten[[#Headers],[Eigen arbeid]],"")))</f>
        <v/>
      </c>
      <c r="AM965" t="str">
        <f>IF(ISNUMBER(FIND("arbeid",Methode_Keuze)),"",IF(ISNUMBER(FIND("arbeid",Methode_Keuze)),"",IF(Tb_Activiteiten[[#This Row],[Projectmedewerker]]=1,Tb_Activiteiten[[#Headers],[Projectmedewerker]],"")))</f>
        <v/>
      </c>
      <c r="AN965" t="str">
        <f>IF(ISNUMBER(FIND("arbeid",Methode_Keuze)),"",IF(ISNUMBER(FIND("arbeid",Methode_Keuze)),"",IF(Tb_Activiteiten[[#This Row],[Landbouwer]]=1,Tb_Activiteiten[[#Headers],[Landbouwer]],"")))</f>
        <v/>
      </c>
      <c r="AO965" t="str">
        <f>IF(ISNUMBER(FIND("arbeid",Methode_Keuze)),"",IF(ISNUMBER(FIND("arbeid",Methode_Keuze)),"",IF(Tb_Activiteiten[[#This Row],[Adviseur]]=1,Tb_Activiteiten[[#Headers],[Adviseur]],"")))</f>
        <v/>
      </c>
      <c r="AP965" t="str">
        <f>IF(ISNUMBER(FIND("arbeid",Methode_Keuze)),"",IF(ISNUMBER(FIND("arbeid",Methode_Keuze)),"",IF(Tb_Activiteiten[[#This Row],[Projectleider/Expert]]=1,Tb_Activiteiten[[#Headers],[Projectleider/Expert]],"")))</f>
        <v/>
      </c>
      <c r="AQ965" t="str">
        <f>IF(ISNUMBER(FIND("arbeid",Methode_Keuze)),"",IF(ISNUMBER(FIND("arbeid",Methode_Keuze)),"",IF(Tb_Activiteiten[[#This Row],[Arbeidskosten]]=1,Tb_Activiteiten[[#Headers],[Arbeidskosten]],"")))</f>
        <v/>
      </c>
      <c r="AR965" t="str">
        <f>IF(ISNUMBER(FIND("arbeid",Methode_Keuze)),"",IF(ISNUMBER(FIND("arbeid",Methode_Keuze)),"",IF(Tb_Activiteiten[[#This Row],[Arbeidskosten op basis van IKS]]=1,Tb_Activiteiten[[#Headers],[Arbeidskosten op basis van IKS]],"")))</f>
        <v/>
      </c>
      <c r="AS965" t="str">
        <f>IF(ISNUMBER(FIND("overige",Methode_Keuze)),"",IF(Tb_Activiteiten[[#This Row],[Kosten derden exclusief btw]]=1,Tb_Activiteiten[[#Headers],[Kosten derden exclusief btw]],""))</f>
        <v/>
      </c>
      <c r="AT965" t="str">
        <f>IF(ISNUMBER(FIND("overige",Methode_Keuze)),"",IF(Tb_Activiteiten[[#This Row],[Niet verrekenbare btw]]=1,Tb_Activiteiten[[#Headers],[Niet verrekenbare btw]],""))</f>
        <v/>
      </c>
      <c r="AU965" t="str">
        <f>IF(ISNUMBER(FIND("overige",Methode_Keuze)),"",IF(Tb_Activiteiten[[#This Row],[Grondkosten]]=1,Tb_Activiteiten[[#Headers],[Grondkosten]],""))</f>
        <v/>
      </c>
      <c r="AV965" t="str">
        <f>IF(ISNUMBER(FIND("overige",Methode_Keuze)),"",IF(Tb_Activiteiten[[#This Row],[Bijdrage in natura (overige)]]=1,Tb_Activiteiten[[#Headers],[Bijdrage in natura (overige)]],""))</f>
        <v/>
      </c>
      <c r="AW965" t="str">
        <f>IF(ISNUMBER(FIND("overige",Methode_Keuze)),"",IF(Tb_Activiteiten[[#This Row],[Bijdrage in natura (vrijwilligers)]]=1,Tb_Activiteiten[[#Headers],[Bijdrage in natura (vrijwilligers)]],""))</f>
        <v/>
      </c>
      <c r="AX965" t="str">
        <f>IF(ISNUMBER(FIND("overige",Methode_Keuze)),"",IF(Tb_Activiteiten[[#This Row],[Afschrijvingskosten]]=1,Tb_Activiteiten[[#Headers],[Afschrijvingskosten]],""))</f>
        <v/>
      </c>
      <c r="AY965" t="str">
        <f>IF(ISNUMBER(FIND("overige",Methode_Keuze)),"",IF(Tb_Activiteiten[[#This Row],[Vergoeding]]=1,Tb_Activiteiten[[#Headers],[Vergoeding]],""))</f>
        <v/>
      </c>
      <c r="AZ965" t="str">
        <f>IF(ISNUMBER(FIND("arbeid",Methode_Keuze)),"",IF(Tb_Activiteiten[[#This Row],[Arbeidskosten - vast tarief (excl eigen arbeid)]]=1,Tb_Activiteiten[[#Headers],[Arbeidskosten - vast tarief (excl eigen arbeid)]],""))</f>
        <v/>
      </c>
      <c r="BA965" t="str">
        <f>IF(ISNUMBER(FIND("overige",Methode_Keuze)),"",IF(Tb_Activiteiten[[#This Row],[Overige kosten]]=1,Tb_Activiteiten[[#Headers],[Overige kosten]],""))</f>
        <v/>
      </c>
    </row>
    <row r="966" spans="1:53" x14ac:dyDescent="0.25">
      <c r="A966" s="231"/>
      <c r="F966" s="64"/>
      <c r="G966" s="64"/>
      <c r="H966" s="275"/>
      <c r="I966" s="275"/>
      <c r="J966" s="275"/>
      <c r="K966" s="275"/>
      <c r="O966" s="56"/>
      <c r="Q966" t="str">
        <f>IFERROR(IF(VLOOKUP(Tb_Activiteiten[[#This Row],[Openstelling]],Tb_Openstelling[],2,0)=1,1,""),"")</f>
        <v/>
      </c>
      <c r="AK966" t="str">
        <f>IF(ISNUMBER(FIND("arbeid",Methode_Keuze)),"",IF(ISNUMBER(FIND("arbeid",Methode_Keuze)),"",IF(Tb_Activiteiten[[#This Row],[Loonkosten]]=1,Tb_Activiteiten[[#Headers],[Loonkosten]],"")))</f>
        <v/>
      </c>
      <c r="AL966" t="str">
        <f>IF(ISNUMBER(FIND("arbeid",Methode_Keuze)),"",IF(ISNUMBER(FIND("arbeid",Methode_Keuze)),"",IF(Tb_Activiteiten[[#This Row],[Eigen arbeid]]=1,Tb_Activiteiten[[#Headers],[Eigen arbeid]],"")))</f>
        <v/>
      </c>
      <c r="AM966" t="str">
        <f>IF(ISNUMBER(FIND("arbeid",Methode_Keuze)),"",IF(ISNUMBER(FIND("arbeid",Methode_Keuze)),"",IF(Tb_Activiteiten[[#This Row],[Projectmedewerker]]=1,Tb_Activiteiten[[#Headers],[Projectmedewerker]],"")))</f>
        <v/>
      </c>
      <c r="AN966" t="str">
        <f>IF(ISNUMBER(FIND("arbeid",Methode_Keuze)),"",IF(ISNUMBER(FIND("arbeid",Methode_Keuze)),"",IF(Tb_Activiteiten[[#This Row],[Landbouwer]]=1,Tb_Activiteiten[[#Headers],[Landbouwer]],"")))</f>
        <v/>
      </c>
      <c r="AO966" t="str">
        <f>IF(ISNUMBER(FIND("arbeid",Methode_Keuze)),"",IF(ISNUMBER(FIND("arbeid",Methode_Keuze)),"",IF(Tb_Activiteiten[[#This Row],[Adviseur]]=1,Tb_Activiteiten[[#Headers],[Adviseur]],"")))</f>
        <v/>
      </c>
      <c r="AP966" t="str">
        <f>IF(ISNUMBER(FIND("arbeid",Methode_Keuze)),"",IF(ISNUMBER(FIND("arbeid",Methode_Keuze)),"",IF(Tb_Activiteiten[[#This Row],[Projectleider/Expert]]=1,Tb_Activiteiten[[#Headers],[Projectleider/Expert]],"")))</f>
        <v/>
      </c>
      <c r="AQ966" t="str">
        <f>IF(ISNUMBER(FIND("arbeid",Methode_Keuze)),"",IF(ISNUMBER(FIND("arbeid",Methode_Keuze)),"",IF(Tb_Activiteiten[[#This Row],[Arbeidskosten]]=1,Tb_Activiteiten[[#Headers],[Arbeidskosten]],"")))</f>
        <v/>
      </c>
      <c r="AR966" t="str">
        <f>IF(ISNUMBER(FIND("arbeid",Methode_Keuze)),"",IF(ISNUMBER(FIND("arbeid",Methode_Keuze)),"",IF(Tb_Activiteiten[[#This Row],[Arbeidskosten op basis van IKS]]=1,Tb_Activiteiten[[#Headers],[Arbeidskosten op basis van IKS]],"")))</f>
        <v/>
      </c>
      <c r="AS966" t="str">
        <f>IF(ISNUMBER(FIND("overige",Methode_Keuze)),"",IF(Tb_Activiteiten[[#This Row],[Kosten derden exclusief btw]]=1,Tb_Activiteiten[[#Headers],[Kosten derden exclusief btw]],""))</f>
        <v/>
      </c>
      <c r="AT966" t="str">
        <f>IF(ISNUMBER(FIND("overige",Methode_Keuze)),"",IF(Tb_Activiteiten[[#This Row],[Niet verrekenbare btw]]=1,Tb_Activiteiten[[#Headers],[Niet verrekenbare btw]],""))</f>
        <v/>
      </c>
      <c r="AU966" t="str">
        <f>IF(ISNUMBER(FIND("overige",Methode_Keuze)),"",IF(Tb_Activiteiten[[#This Row],[Grondkosten]]=1,Tb_Activiteiten[[#Headers],[Grondkosten]],""))</f>
        <v/>
      </c>
      <c r="AV966" t="str">
        <f>IF(ISNUMBER(FIND("overige",Methode_Keuze)),"",IF(Tb_Activiteiten[[#This Row],[Bijdrage in natura (overige)]]=1,Tb_Activiteiten[[#Headers],[Bijdrage in natura (overige)]],""))</f>
        <v/>
      </c>
      <c r="AW966" t="str">
        <f>IF(ISNUMBER(FIND("overige",Methode_Keuze)),"",IF(Tb_Activiteiten[[#This Row],[Bijdrage in natura (vrijwilligers)]]=1,Tb_Activiteiten[[#Headers],[Bijdrage in natura (vrijwilligers)]],""))</f>
        <v/>
      </c>
      <c r="AX966" t="str">
        <f>IF(ISNUMBER(FIND("overige",Methode_Keuze)),"",IF(Tb_Activiteiten[[#This Row],[Afschrijvingskosten]]=1,Tb_Activiteiten[[#Headers],[Afschrijvingskosten]],""))</f>
        <v/>
      </c>
      <c r="AY966" t="str">
        <f>IF(ISNUMBER(FIND("overige",Methode_Keuze)),"",IF(Tb_Activiteiten[[#This Row],[Vergoeding]]=1,Tb_Activiteiten[[#Headers],[Vergoeding]],""))</f>
        <v/>
      </c>
      <c r="AZ966" t="str">
        <f>IF(ISNUMBER(FIND("arbeid",Methode_Keuze)),"",IF(Tb_Activiteiten[[#This Row],[Arbeidskosten - vast tarief (excl eigen arbeid)]]=1,Tb_Activiteiten[[#Headers],[Arbeidskosten - vast tarief (excl eigen arbeid)]],""))</f>
        <v/>
      </c>
      <c r="BA966" t="str">
        <f>IF(ISNUMBER(FIND("overige",Methode_Keuze)),"",IF(Tb_Activiteiten[[#This Row],[Overige kosten]]=1,Tb_Activiteiten[[#Headers],[Overige kosten]],""))</f>
        <v/>
      </c>
    </row>
    <row r="967" spans="1:53" x14ac:dyDescent="0.25">
      <c r="A967" s="231"/>
      <c r="F967" s="64"/>
      <c r="G967" s="64"/>
      <c r="H967" s="275"/>
      <c r="I967" s="275"/>
      <c r="J967" s="275"/>
      <c r="K967" s="275"/>
      <c r="O967" s="56"/>
      <c r="Q967" t="str">
        <f>IFERROR(IF(VLOOKUP(Tb_Activiteiten[[#This Row],[Openstelling]],Tb_Openstelling[],2,0)=1,1,""),"")</f>
        <v/>
      </c>
      <c r="AK967" t="str">
        <f>IF(ISNUMBER(FIND("arbeid",Methode_Keuze)),"",IF(ISNUMBER(FIND("arbeid",Methode_Keuze)),"",IF(Tb_Activiteiten[[#This Row],[Loonkosten]]=1,Tb_Activiteiten[[#Headers],[Loonkosten]],"")))</f>
        <v/>
      </c>
      <c r="AL967" t="str">
        <f>IF(ISNUMBER(FIND("arbeid",Methode_Keuze)),"",IF(ISNUMBER(FIND("arbeid",Methode_Keuze)),"",IF(Tb_Activiteiten[[#This Row],[Eigen arbeid]]=1,Tb_Activiteiten[[#Headers],[Eigen arbeid]],"")))</f>
        <v/>
      </c>
      <c r="AM967" t="str">
        <f>IF(ISNUMBER(FIND("arbeid",Methode_Keuze)),"",IF(ISNUMBER(FIND("arbeid",Methode_Keuze)),"",IF(Tb_Activiteiten[[#This Row],[Projectmedewerker]]=1,Tb_Activiteiten[[#Headers],[Projectmedewerker]],"")))</f>
        <v/>
      </c>
      <c r="AN967" t="str">
        <f>IF(ISNUMBER(FIND("arbeid",Methode_Keuze)),"",IF(ISNUMBER(FIND("arbeid",Methode_Keuze)),"",IF(Tb_Activiteiten[[#This Row],[Landbouwer]]=1,Tb_Activiteiten[[#Headers],[Landbouwer]],"")))</f>
        <v/>
      </c>
      <c r="AO967" t="str">
        <f>IF(ISNUMBER(FIND("arbeid",Methode_Keuze)),"",IF(ISNUMBER(FIND("arbeid",Methode_Keuze)),"",IF(Tb_Activiteiten[[#This Row],[Adviseur]]=1,Tb_Activiteiten[[#Headers],[Adviseur]],"")))</f>
        <v/>
      </c>
      <c r="AP967" t="str">
        <f>IF(ISNUMBER(FIND("arbeid",Methode_Keuze)),"",IF(ISNUMBER(FIND("arbeid",Methode_Keuze)),"",IF(Tb_Activiteiten[[#This Row],[Projectleider/Expert]]=1,Tb_Activiteiten[[#Headers],[Projectleider/Expert]],"")))</f>
        <v/>
      </c>
      <c r="AQ967" t="str">
        <f>IF(ISNUMBER(FIND("arbeid",Methode_Keuze)),"",IF(ISNUMBER(FIND("arbeid",Methode_Keuze)),"",IF(Tb_Activiteiten[[#This Row],[Arbeidskosten]]=1,Tb_Activiteiten[[#Headers],[Arbeidskosten]],"")))</f>
        <v/>
      </c>
      <c r="AR967" t="str">
        <f>IF(ISNUMBER(FIND("arbeid",Methode_Keuze)),"",IF(ISNUMBER(FIND("arbeid",Methode_Keuze)),"",IF(Tb_Activiteiten[[#This Row],[Arbeidskosten op basis van IKS]]=1,Tb_Activiteiten[[#Headers],[Arbeidskosten op basis van IKS]],"")))</f>
        <v/>
      </c>
      <c r="AS967" t="str">
        <f>IF(ISNUMBER(FIND("overige",Methode_Keuze)),"",IF(Tb_Activiteiten[[#This Row],[Kosten derden exclusief btw]]=1,Tb_Activiteiten[[#Headers],[Kosten derden exclusief btw]],""))</f>
        <v/>
      </c>
      <c r="AT967" t="str">
        <f>IF(ISNUMBER(FIND("overige",Methode_Keuze)),"",IF(Tb_Activiteiten[[#This Row],[Niet verrekenbare btw]]=1,Tb_Activiteiten[[#Headers],[Niet verrekenbare btw]],""))</f>
        <v/>
      </c>
      <c r="AU967" t="str">
        <f>IF(ISNUMBER(FIND("overige",Methode_Keuze)),"",IF(Tb_Activiteiten[[#This Row],[Grondkosten]]=1,Tb_Activiteiten[[#Headers],[Grondkosten]],""))</f>
        <v/>
      </c>
      <c r="AV967" t="str">
        <f>IF(ISNUMBER(FIND("overige",Methode_Keuze)),"",IF(Tb_Activiteiten[[#This Row],[Bijdrage in natura (overige)]]=1,Tb_Activiteiten[[#Headers],[Bijdrage in natura (overige)]],""))</f>
        <v/>
      </c>
      <c r="AW967" t="str">
        <f>IF(ISNUMBER(FIND("overige",Methode_Keuze)),"",IF(Tb_Activiteiten[[#This Row],[Bijdrage in natura (vrijwilligers)]]=1,Tb_Activiteiten[[#Headers],[Bijdrage in natura (vrijwilligers)]],""))</f>
        <v/>
      </c>
      <c r="AX967" t="str">
        <f>IF(ISNUMBER(FIND("overige",Methode_Keuze)),"",IF(Tb_Activiteiten[[#This Row],[Afschrijvingskosten]]=1,Tb_Activiteiten[[#Headers],[Afschrijvingskosten]],""))</f>
        <v/>
      </c>
      <c r="AY967" t="str">
        <f>IF(ISNUMBER(FIND("overige",Methode_Keuze)),"",IF(Tb_Activiteiten[[#This Row],[Vergoeding]]=1,Tb_Activiteiten[[#Headers],[Vergoeding]],""))</f>
        <v/>
      </c>
      <c r="AZ967" t="str">
        <f>IF(ISNUMBER(FIND("arbeid",Methode_Keuze)),"",IF(Tb_Activiteiten[[#This Row],[Arbeidskosten - vast tarief (excl eigen arbeid)]]=1,Tb_Activiteiten[[#Headers],[Arbeidskosten - vast tarief (excl eigen arbeid)]],""))</f>
        <v/>
      </c>
      <c r="BA967" t="str">
        <f>IF(ISNUMBER(FIND("overige",Methode_Keuze)),"",IF(Tb_Activiteiten[[#This Row],[Overige kosten]]=1,Tb_Activiteiten[[#Headers],[Overige kosten]],""))</f>
        <v/>
      </c>
    </row>
    <row r="968" spans="1:53" x14ac:dyDescent="0.25">
      <c r="A968" s="231"/>
      <c r="F968" s="64"/>
      <c r="G968" s="64"/>
      <c r="H968" s="275"/>
      <c r="I968" s="275"/>
      <c r="J968" s="275"/>
      <c r="K968" s="275"/>
      <c r="O968" s="56"/>
      <c r="Q968" t="str">
        <f>IFERROR(IF(VLOOKUP(Tb_Activiteiten[[#This Row],[Openstelling]],Tb_Openstelling[],2,0)=1,1,""),"")</f>
        <v/>
      </c>
      <c r="AK968" t="str">
        <f>IF(ISNUMBER(FIND("arbeid",Methode_Keuze)),"",IF(ISNUMBER(FIND("arbeid",Methode_Keuze)),"",IF(Tb_Activiteiten[[#This Row],[Loonkosten]]=1,Tb_Activiteiten[[#Headers],[Loonkosten]],"")))</f>
        <v/>
      </c>
      <c r="AL968" t="str">
        <f>IF(ISNUMBER(FIND("arbeid",Methode_Keuze)),"",IF(ISNUMBER(FIND("arbeid",Methode_Keuze)),"",IF(Tb_Activiteiten[[#This Row],[Eigen arbeid]]=1,Tb_Activiteiten[[#Headers],[Eigen arbeid]],"")))</f>
        <v/>
      </c>
      <c r="AM968" t="str">
        <f>IF(ISNUMBER(FIND("arbeid",Methode_Keuze)),"",IF(ISNUMBER(FIND("arbeid",Methode_Keuze)),"",IF(Tb_Activiteiten[[#This Row],[Projectmedewerker]]=1,Tb_Activiteiten[[#Headers],[Projectmedewerker]],"")))</f>
        <v/>
      </c>
      <c r="AN968" t="str">
        <f>IF(ISNUMBER(FIND("arbeid",Methode_Keuze)),"",IF(ISNUMBER(FIND("arbeid",Methode_Keuze)),"",IF(Tb_Activiteiten[[#This Row],[Landbouwer]]=1,Tb_Activiteiten[[#Headers],[Landbouwer]],"")))</f>
        <v/>
      </c>
      <c r="AO968" t="str">
        <f>IF(ISNUMBER(FIND("arbeid",Methode_Keuze)),"",IF(ISNUMBER(FIND("arbeid",Methode_Keuze)),"",IF(Tb_Activiteiten[[#This Row],[Adviseur]]=1,Tb_Activiteiten[[#Headers],[Adviseur]],"")))</f>
        <v/>
      </c>
      <c r="AP968" t="str">
        <f>IF(ISNUMBER(FIND("arbeid",Methode_Keuze)),"",IF(ISNUMBER(FIND("arbeid",Methode_Keuze)),"",IF(Tb_Activiteiten[[#This Row],[Projectleider/Expert]]=1,Tb_Activiteiten[[#Headers],[Projectleider/Expert]],"")))</f>
        <v/>
      </c>
      <c r="AQ968" t="str">
        <f>IF(ISNUMBER(FIND("arbeid",Methode_Keuze)),"",IF(ISNUMBER(FIND("arbeid",Methode_Keuze)),"",IF(Tb_Activiteiten[[#This Row],[Arbeidskosten]]=1,Tb_Activiteiten[[#Headers],[Arbeidskosten]],"")))</f>
        <v/>
      </c>
      <c r="AR968" t="str">
        <f>IF(ISNUMBER(FIND("arbeid",Methode_Keuze)),"",IF(ISNUMBER(FIND("arbeid",Methode_Keuze)),"",IF(Tb_Activiteiten[[#This Row],[Arbeidskosten op basis van IKS]]=1,Tb_Activiteiten[[#Headers],[Arbeidskosten op basis van IKS]],"")))</f>
        <v/>
      </c>
      <c r="AS968" t="str">
        <f>IF(ISNUMBER(FIND("overige",Methode_Keuze)),"",IF(Tb_Activiteiten[[#This Row],[Kosten derden exclusief btw]]=1,Tb_Activiteiten[[#Headers],[Kosten derden exclusief btw]],""))</f>
        <v/>
      </c>
      <c r="AT968" t="str">
        <f>IF(ISNUMBER(FIND("overige",Methode_Keuze)),"",IF(Tb_Activiteiten[[#This Row],[Niet verrekenbare btw]]=1,Tb_Activiteiten[[#Headers],[Niet verrekenbare btw]],""))</f>
        <v/>
      </c>
      <c r="AU968" t="str">
        <f>IF(ISNUMBER(FIND("overige",Methode_Keuze)),"",IF(Tb_Activiteiten[[#This Row],[Grondkosten]]=1,Tb_Activiteiten[[#Headers],[Grondkosten]],""))</f>
        <v/>
      </c>
      <c r="AV968" t="str">
        <f>IF(ISNUMBER(FIND("overige",Methode_Keuze)),"",IF(Tb_Activiteiten[[#This Row],[Bijdrage in natura (overige)]]=1,Tb_Activiteiten[[#Headers],[Bijdrage in natura (overige)]],""))</f>
        <v/>
      </c>
      <c r="AW968" t="str">
        <f>IF(ISNUMBER(FIND("overige",Methode_Keuze)),"",IF(Tb_Activiteiten[[#This Row],[Bijdrage in natura (vrijwilligers)]]=1,Tb_Activiteiten[[#Headers],[Bijdrage in natura (vrijwilligers)]],""))</f>
        <v/>
      </c>
      <c r="AX968" t="str">
        <f>IF(ISNUMBER(FIND("overige",Methode_Keuze)),"",IF(Tb_Activiteiten[[#This Row],[Afschrijvingskosten]]=1,Tb_Activiteiten[[#Headers],[Afschrijvingskosten]],""))</f>
        <v/>
      </c>
      <c r="AY968" t="str">
        <f>IF(ISNUMBER(FIND("overige",Methode_Keuze)),"",IF(Tb_Activiteiten[[#This Row],[Vergoeding]]=1,Tb_Activiteiten[[#Headers],[Vergoeding]],""))</f>
        <v/>
      </c>
      <c r="AZ968" t="str">
        <f>IF(ISNUMBER(FIND("arbeid",Methode_Keuze)),"",IF(Tb_Activiteiten[[#This Row],[Arbeidskosten - vast tarief (excl eigen arbeid)]]=1,Tb_Activiteiten[[#Headers],[Arbeidskosten - vast tarief (excl eigen arbeid)]],""))</f>
        <v/>
      </c>
      <c r="BA968" t="str">
        <f>IF(ISNUMBER(FIND("overige",Methode_Keuze)),"",IF(Tb_Activiteiten[[#This Row],[Overige kosten]]=1,Tb_Activiteiten[[#Headers],[Overige kosten]],""))</f>
        <v/>
      </c>
    </row>
    <row r="969" spans="1:53" x14ac:dyDescent="0.25">
      <c r="A969" s="231"/>
      <c r="F969" s="64"/>
      <c r="G969" s="64"/>
      <c r="H969" s="275"/>
      <c r="I969" s="275"/>
      <c r="J969" s="275"/>
      <c r="K969" s="275"/>
      <c r="O969" s="56"/>
      <c r="Q969" t="str">
        <f>IFERROR(IF(VLOOKUP(Tb_Activiteiten[[#This Row],[Openstelling]],Tb_Openstelling[],2,0)=1,1,""),"")</f>
        <v/>
      </c>
      <c r="AK969" t="str">
        <f>IF(ISNUMBER(FIND("arbeid",Methode_Keuze)),"",IF(ISNUMBER(FIND("arbeid",Methode_Keuze)),"",IF(Tb_Activiteiten[[#This Row],[Loonkosten]]=1,Tb_Activiteiten[[#Headers],[Loonkosten]],"")))</f>
        <v/>
      </c>
      <c r="AL969" t="str">
        <f>IF(ISNUMBER(FIND("arbeid",Methode_Keuze)),"",IF(ISNUMBER(FIND("arbeid",Methode_Keuze)),"",IF(Tb_Activiteiten[[#This Row],[Eigen arbeid]]=1,Tb_Activiteiten[[#Headers],[Eigen arbeid]],"")))</f>
        <v/>
      </c>
      <c r="AM969" t="str">
        <f>IF(ISNUMBER(FIND("arbeid",Methode_Keuze)),"",IF(ISNUMBER(FIND("arbeid",Methode_Keuze)),"",IF(Tb_Activiteiten[[#This Row],[Projectmedewerker]]=1,Tb_Activiteiten[[#Headers],[Projectmedewerker]],"")))</f>
        <v/>
      </c>
      <c r="AN969" t="str">
        <f>IF(ISNUMBER(FIND("arbeid",Methode_Keuze)),"",IF(ISNUMBER(FIND("arbeid",Methode_Keuze)),"",IF(Tb_Activiteiten[[#This Row],[Landbouwer]]=1,Tb_Activiteiten[[#Headers],[Landbouwer]],"")))</f>
        <v/>
      </c>
      <c r="AO969" t="str">
        <f>IF(ISNUMBER(FIND("arbeid",Methode_Keuze)),"",IF(ISNUMBER(FIND("arbeid",Methode_Keuze)),"",IF(Tb_Activiteiten[[#This Row],[Adviseur]]=1,Tb_Activiteiten[[#Headers],[Adviseur]],"")))</f>
        <v/>
      </c>
      <c r="AP969" t="str">
        <f>IF(ISNUMBER(FIND("arbeid",Methode_Keuze)),"",IF(ISNUMBER(FIND("arbeid",Methode_Keuze)),"",IF(Tb_Activiteiten[[#This Row],[Projectleider/Expert]]=1,Tb_Activiteiten[[#Headers],[Projectleider/Expert]],"")))</f>
        <v/>
      </c>
      <c r="AQ969" t="str">
        <f>IF(ISNUMBER(FIND("arbeid",Methode_Keuze)),"",IF(ISNUMBER(FIND("arbeid",Methode_Keuze)),"",IF(Tb_Activiteiten[[#This Row],[Arbeidskosten]]=1,Tb_Activiteiten[[#Headers],[Arbeidskosten]],"")))</f>
        <v/>
      </c>
      <c r="AR969" t="str">
        <f>IF(ISNUMBER(FIND("arbeid",Methode_Keuze)),"",IF(ISNUMBER(FIND("arbeid",Methode_Keuze)),"",IF(Tb_Activiteiten[[#This Row],[Arbeidskosten op basis van IKS]]=1,Tb_Activiteiten[[#Headers],[Arbeidskosten op basis van IKS]],"")))</f>
        <v/>
      </c>
      <c r="AS969" t="str">
        <f>IF(ISNUMBER(FIND("overige",Methode_Keuze)),"",IF(Tb_Activiteiten[[#This Row],[Kosten derden exclusief btw]]=1,Tb_Activiteiten[[#Headers],[Kosten derden exclusief btw]],""))</f>
        <v/>
      </c>
      <c r="AT969" t="str">
        <f>IF(ISNUMBER(FIND("overige",Methode_Keuze)),"",IF(Tb_Activiteiten[[#This Row],[Niet verrekenbare btw]]=1,Tb_Activiteiten[[#Headers],[Niet verrekenbare btw]],""))</f>
        <v/>
      </c>
      <c r="AU969" t="str">
        <f>IF(ISNUMBER(FIND("overige",Methode_Keuze)),"",IF(Tb_Activiteiten[[#This Row],[Grondkosten]]=1,Tb_Activiteiten[[#Headers],[Grondkosten]],""))</f>
        <v/>
      </c>
      <c r="AV969" t="str">
        <f>IF(ISNUMBER(FIND("overige",Methode_Keuze)),"",IF(Tb_Activiteiten[[#This Row],[Bijdrage in natura (overige)]]=1,Tb_Activiteiten[[#Headers],[Bijdrage in natura (overige)]],""))</f>
        <v/>
      </c>
      <c r="AW969" t="str">
        <f>IF(ISNUMBER(FIND("overige",Methode_Keuze)),"",IF(Tb_Activiteiten[[#This Row],[Bijdrage in natura (vrijwilligers)]]=1,Tb_Activiteiten[[#Headers],[Bijdrage in natura (vrijwilligers)]],""))</f>
        <v/>
      </c>
      <c r="AX969" t="str">
        <f>IF(ISNUMBER(FIND("overige",Methode_Keuze)),"",IF(Tb_Activiteiten[[#This Row],[Afschrijvingskosten]]=1,Tb_Activiteiten[[#Headers],[Afschrijvingskosten]],""))</f>
        <v/>
      </c>
      <c r="AY969" t="str">
        <f>IF(ISNUMBER(FIND("overige",Methode_Keuze)),"",IF(Tb_Activiteiten[[#This Row],[Vergoeding]]=1,Tb_Activiteiten[[#Headers],[Vergoeding]],""))</f>
        <v/>
      </c>
      <c r="AZ969" t="str">
        <f>IF(ISNUMBER(FIND("arbeid",Methode_Keuze)),"",IF(Tb_Activiteiten[[#This Row],[Arbeidskosten - vast tarief (excl eigen arbeid)]]=1,Tb_Activiteiten[[#Headers],[Arbeidskosten - vast tarief (excl eigen arbeid)]],""))</f>
        <v/>
      </c>
      <c r="BA969" t="str">
        <f>IF(ISNUMBER(FIND("overige",Methode_Keuze)),"",IF(Tb_Activiteiten[[#This Row],[Overige kosten]]=1,Tb_Activiteiten[[#Headers],[Overige kosten]],""))</f>
        <v/>
      </c>
    </row>
    <row r="970" spans="1:53" x14ac:dyDescent="0.25">
      <c r="A970" s="231"/>
      <c r="F970" s="64"/>
      <c r="G970" s="64"/>
      <c r="H970" s="275"/>
      <c r="I970" s="275"/>
      <c r="J970" s="275"/>
      <c r="K970" s="275"/>
      <c r="O970" s="56"/>
      <c r="Q970" t="str">
        <f>IFERROR(IF(VLOOKUP(Tb_Activiteiten[[#This Row],[Openstelling]],Tb_Openstelling[],2,0)=1,1,""),"")</f>
        <v/>
      </c>
      <c r="AK970" t="str">
        <f>IF(ISNUMBER(FIND("arbeid",Methode_Keuze)),"",IF(ISNUMBER(FIND("arbeid",Methode_Keuze)),"",IF(Tb_Activiteiten[[#This Row],[Loonkosten]]=1,Tb_Activiteiten[[#Headers],[Loonkosten]],"")))</f>
        <v/>
      </c>
      <c r="AL970" t="str">
        <f>IF(ISNUMBER(FIND("arbeid",Methode_Keuze)),"",IF(ISNUMBER(FIND("arbeid",Methode_Keuze)),"",IF(Tb_Activiteiten[[#This Row],[Eigen arbeid]]=1,Tb_Activiteiten[[#Headers],[Eigen arbeid]],"")))</f>
        <v/>
      </c>
      <c r="AM970" t="str">
        <f>IF(ISNUMBER(FIND("arbeid",Methode_Keuze)),"",IF(ISNUMBER(FIND("arbeid",Methode_Keuze)),"",IF(Tb_Activiteiten[[#This Row],[Projectmedewerker]]=1,Tb_Activiteiten[[#Headers],[Projectmedewerker]],"")))</f>
        <v/>
      </c>
      <c r="AN970" t="str">
        <f>IF(ISNUMBER(FIND("arbeid",Methode_Keuze)),"",IF(ISNUMBER(FIND("arbeid",Methode_Keuze)),"",IF(Tb_Activiteiten[[#This Row],[Landbouwer]]=1,Tb_Activiteiten[[#Headers],[Landbouwer]],"")))</f>
        <v/>
      </c>
      <c r="AO970" t="str">
        <f>IF(ISNUMBER(FIND("arbeid",Methode_Keuze)),"",IF(ISNUMBER(FIND("arbeid",Methode_Keuze)),"",IF(Tb_Activiteiten[[#This Row],[Adviseur]]=1,Tb_Activiteiten[[#Headers],[Adviseur]],"")))</f>
        <v/>
      </c>
      <c r="AP970" t="str">
        <f>IF(ISNUMBER(FIND("arbeid",Methode_Keuze)),"",IF(ISNUMBER(FIND("arbeid",Methode_Keuze)),"",IF(Tb_Activiteiten[[#This Row],[Projectleider/Expert]]=1,Tb_Activiteiten[[#Headers],[Projectleider/Expert]],"")))</f>
        <v/>
      </c>
      <c r="AQ970" t="str">
        <f>IF(ISNUMBER(FIND("arbeid",Methode_Keuze)),"",IF(ISNUMBER(FIND("arbeid",Methode_Keuze)),"",IF(Tb_Activiteiten[[#This Row],[Arbeidskosten]]=1,Tb_Activiteiten[[#Headers],[Arbeidskosten]],"")))</f>
        <v/>
      </c>
      <c r="AR970" t="str">
        <f>IF(ISNUMBER(FIND("arbeid",Methode_Keuze)),"",IF(ISNUMBER(FIND("arbeid",Methode_Keuze)),"",IF(Tb_Activiteiten[[#This Row],[Arbeidskosten op basis van IKS]]=1,Tb_Activiteiten[[#Headers],[Arbeidskosten op basis van IKS]],"")))</f>
        <v/>
      </c>
      <c r="AS970" t="str">
        <f>IF(ISNUMBER(FIND("overige",Methode_Keuze)),"",IF(Tb_Activiteiten[[#This Row],[Kosten derden exclusief btw]]=1,Tb_Activiteiten[[#Headers],[Kosten derden exclusief btw]],""))</f>
        <v/>
      </c>
      <c r="AT970" t="str">
        <f>IF(ISNUMBER(FIND("overige",Methode_Keuze)),"",IF(Tb_Activiteiten[[#This Row],[Niet verrekenbare btw]]=1,Tb_Activiteiten[[#Headers],[Niet verrekenbare btw]],""))</f>
        <v/>
      </c>
      <c r="AU970" t="str">
        <f>IF(ISNUMBER(FIND("overige",Methode_Keuze)),"",IF(Tb_Activiteiten[[#This Row],[Grondkosten]]=1,Tb_Activiteiten[[#Headers],[Grondkosten]],""))</f>
        <v/>
      </c>
      <c r="AV970" t="str">
        <f>IF(ISNUMBER(FIND("overige",Methode_Keuze)),"",IF(Tb_Activiteiten[[#This Row],[Bijdrage in natura (overige)]]=1,Tb_Activiteiten[[#Headers],[Bijdrage in natura (overige)]],""))</f>
        <v/>
      </c>
      <c r="AW970" t="str">
        <f>IF(ISNUMBER(FIND("overige",Methode_Keuze)),"",IF(Tb_Activiteiten[[#This Row],[Bijdrage in natura (vrijwilligers)]]=1,Tb_Activiteiten[[#Headers],[Bijdrage in natura (vrijwilligers)]],""))</f>
        <v/>
      </c>
      <c r="AX970" t="str">
        <f>IF(ISNUMBER(FIND("overige",Methode_Keuze)),"",IF(Tb_Activiteiten[[#This Row],[Afschrijvingskosten]]=1,Tb_Activiteiten[[#Headers],[Afschrijvingskosten]],""))</f>
        <v/>
      </c>
      <c r="AY970" t="str">
        <f>IF(ISNUMBER(FIND("overige",Methode_Keuze)),"",IF(Tb_Activiteiten[[#This Row],[Vergoeding]]=1,Tb_Activiteiten[[#Headers],[Vergoeding]],""))</f>
        <v/>
      </c>
      <c r="AZ970" t="str">
        <f>IF(ISNUMBER(FIND("arbeid",Methode_Keuze)),"",IF(Tb_Activiteiten[[#This Row],[Arbeidskosten - vast tarief (excl eigen arbeid)]]=1,Tb_Activiteiten[[#Headers],[Arbeidskosten - vast tarief (excl eigen arbeid)]],""))</f>
        <v/>
      </c>
      <c r="BA970" t="str">
        <f>IF(ISNUMBER(FIND("overige",Methode_Keuze)),"",IF(Tb_Activiteiten[[#This Row],[Overige kosten]]=1,Tb_Activiteiten[[#Headers],[Overige kosten]],""))</f>
        <v/>
      </c>
    </row>
    <row r="971" spans="1:53" x14ac:dyDescent="0.25">
      <c r="A971" s="231"/>
      <c r="F971" s="64"/>
      <c r="G971" s="64"/>
      <c r="H971" s="275"/>
      <c r="I971" s="275"/>
      <c r="J971" s="275"/>
      <c r="K971" s="275"/>
      <c r="O971" s="56"/>
      <c r="Q971" t="str">
        <f>IFERROR(IF(VLOOKUP(Tb_Activiteiten[[#This Row],[Openstelling]],Tb_Openstelling[],2,0)=1,1,""),"")</f>
        <v/>
      </c>
      <c r="AK971" t="str">
        <f>IF(ISNUMBER(FIND("arbeid",Methode_Keuze)),"",IF(ISNUMBER(FIND("arbeid",Methode_Keuze)),"",IF(Tb_Activiteiten[[#This Row],[Loonkosten]]=1,Tb_Activiteiten[[#Headers],[Loonkosten]],"")))</f>
        <v/>
      </c>
      <c r="AL971" t="str">
        <f>IF(ISNUMBER(FIND("arbeid",Methode_Keuze)),"",IF(ISNUMBER(FIND("arbeid",Methode_Keuze)),"",IF(Tb_Activiteiten[[#This Row],[Eigen arbeid]]=1,Tb_Activiteiten[[#Headers],[Eigen arbeid]],"")))</f>
        <v/>
      </c>
      <c r="AM971" t="str">
        <f>IF(ISNUMBER(FIND("arbeid",Methode_Keuze)),"",IF(ISNUMBER(FIND("arbeid",Methode_Keuze)),"",IF(Tb_Activiteiten[[#This Row],[Projectmedewerker]]=1,Tb_Activiteiten[[#Headers],[Projectmedewerker]],"")))</f>
        <v/>
      </c>
      <c r="AN971" t="str">
        <f>IF(ISNUMBER(FIND("arbeid",Methode_Keuze)),"",IF(ISNUMBER(FIND("arbeid",Methode_Keuze)),"",IF(Tb_Activiteiten[[#This Row],[Landbouwer]]=1,Tb_Activiteiten[[#Headers],[Landbouwer]],"")))</f>
        <v/>
      </c>
      <c r="AO971" t="str">
        <f>IF(ISNUMBER(FIND("arbeid",Methode_Keuze)),"",IF(ISNUMBER(FIND("arbeid",Methode_Keuze)),"",IF(Tb_Activiteiten[[#This Row],[Adviseur]]=1,Tb_Activiteiten[[#Headers],[Adviseur]],"")))</f>
        <v/>
      </c>
      <c r="AP971" t="str">
        <f>IF(ISNUMBER(FIND("arbeid",Methode_Keuze)),"",IF(ISNUMBER(FIND("arbeid",Methode_Keuze)),"",IF(Tb_Activiteiten[[#This Row],[Projectleider/Expert]]=1,Tb_Activiteiten[[#Headers],[Projectleider/Expert]],"")))</f>
        <v/>
      </c>
      <c r="AQ971" t="str">
        <f>IF(ISNUMBER(FIND("arbeid",Methode_Keuze)),"",IF(ISNUMBER(FIND("arbeid",Methode_Keuze)),"",IF(Tb_Activiteiten[[#This Row],[Arbeidskosten]]=1,Tb_Activiteiten[[#Headers],[Arbeidskosten]],"")))</f>
        <v/>
      </c>
      <c r="AR971" t="str">
        <f>IF(ISNUMBER(FIND("arbeid",Methode_Keuze)),"",IF(ISNUMBER(FIND("arbeid",Methode_Keuze)),"",IF(Tb_Activiteiten[[#This Row],[Arbeidskosten op basis van IKS]]=1,Tb_Activiteiten[[#Headers],[Arbeidskosten op basis van IKS]],"")))</f>
        <v/>
      </c>
      <c r="AS971" t="str">
        <f>IF(ISNUMBER(FIND("overige",Methode_Keuze)),"",IF(Tb_Activiteiten[[#This Row],[Kosten derden exclusief btw]]=1,Tb_Activiteiten[[#Headers],[Kosten derden exclusief btw]],""))</f>
        <v/>
      </c>
      <c r="AT971" t="str">
        <f>IF(ISNUMBER(FIND("overige",Methode_Keuze)),"",IF(Tb_Activiteiten[[#This Row],[Niet verrekenbare btw]]=1,Tb_Activiteiten[[#Headers],[Niet verrekenbare btw]],""))</f>
        <v/>
      </c>
      <c r="AU971" t="str">
        <f>IF(ISNUMBER(FIND("overige",Methode_Keuze)),"",IF(Tb_Activiteiten[[#This Row],[Grondkosten]]=1,Tb_Activiteiten[[#Headers],[Grondkosten]],""))</f>
        <v/>
      </c>
      <c r="AV971" t="str">
        <f>IF(ISNUMBER(FIND("overige",Methode_Keuze)),"",IF(Tb_Activiteiten[[#This Row],[Bijdrage in natura (overige)]]=1,Tb_Activiteiten[[#Headers],[Bijdrage in natura (overige)]],""))</f>
        <v/>
      </c>
      <c r="AW971" t="str">
        <f>IF(ISNUMBER(FIND("overige",Methode_Keuze)),"",IF(Tb_Activiteiten[[#This Row],[Bijdrage in natura (vrijwilligers)]]=1,Tb_Activiteiten[[#Headers],[Bijdrage in natura (vrijwilligers)]],""))</f>
        <v/>
      </c>
      <c r="AX971" t="str">
        <f>IF(ISNUMBER(FIND("overige",Methode_Keuze)),"",IF(Tb_Activiteiten[[#This Row],[Afschrijvingskosten]]=1,Tb_Activiteiten[[#Headers],[Afschrijvingskosten]],""))</f>
        <v/>
      </c>
      <c r="AY971" t="str">
        <f>IF(ISNUMBER(FIND("overige",Methode_Keuze)),"",IF(Tb_Activiteiten[[#This Row],[Vergoeding]]=1,Tb_Activiteiten[[#Headers],[Vergoeding]],""))</f>
        <v/>
      </c>
      <c r="AZ971" t="str">
        <f>IF(ISNUMBER(FIND("arbeid",Methode_Keuze)),"",IF(Tb_Activiteiten[[#This Row],[Arbeidskosten - vast tarief (excl eigen arbeid)]]=1,Tb_Activiteiten[[#Headers],[Arbeidskosten - vast tarief (excl eigen arbeid)]],""))</f>
        <v/>
      </c>
      <c r="BA971" t="str">
        <f>IF(ISNUMBER(FIND("overige",Methode_Keuze)),"",IF(Tb_Activiteiten[[#This Row],[Overige kosten]]=1,Tb_Activiteiten[[#Headers],[Overige kosten]],""))</f>
        <v/>
      </c>
    </row>
    <row r="972" spans="1:53" x14ac:dyDescent="0.25">
      <c r="A972" s="231"/>
      <c r="F972" s="64"/>
      <c r="G972" s="64"/>
      <c r="H972" s="275"/>
      <c r="I972" s="275"/>
      <c r="J972" s="275"/>
      <c r="K972" s="275"/>
      <c r="O972" s="56"/>
      <c r="Q972" t="str">
        <f>IFERROR(IF(VLOOKUP(Tb_Activiteiten[[#This Row],[Openstelling]],Tb_Openstelling[],2,0)=1,1,""),"")</f>
        <v/>
      </c>
      <c r="AK972" t="str">
        <f>IF(ISNUMBER(FIND("arbeid",Methode_Keuze)),"",IF(ISNUMBER(FIND("arbeid",Methode_Keuze)),"",IF(Tb_Activiteiten[[#This Row],[Loonkosten]]=1,Tb_Activiteiten[[#Headers],[Loonkosten]],"")))</f>
        <v/>
      </c>
      <c r="AL972" t="str">
        <f>IF(ISNUMBER(FIND("arbeid",Methode_Keuze)),"",IF(ISNUMBER(FIND("arbeid",Methode_Keuze)),"",IF(Tb_Activiteiten[[#This Row],[Eigen arbeid]]=1,Tb_Activiteiten[[#Headers],[Eigen arbeid]],"")))</f>
        <v/>
      </c>
      <c r="AM972" t="str">
        <f>IF(ISNUMBER(FIND("arbeid",Methode_Keuze)),"",IF(ISNUMBER(FIND("arbeid",Methode_Keuze)),"",IF(Tb_Activiteiten[[#This Row],[Projectmedewerker]]=1,Tb_Activiteiten[[#Headers],[Projectmedewerker]],"")))</f>
        <v/>
      </c>
      <c r="AN972" t="str">
        <f>IF(ISNUMBER(FIND("arbeid",Methode_Keuze)),"",IF(ISNUMBER(FIND("arbeid",Methode_Keuze)),"",IF(Tb_Activiteiten[[#This Row],[Landbouwer]]=1,Tb_Activiteiten[[#Headers],[Landbouwer]],"")))</f>
        <v/>
      </c>
      <c r="AO972" t="str">
        <f>IF(ISNUMBER(FIND("arbeid",Methode_Keuze)),"",IF(ISNUMBER(FIND("arbeid",Methode_Keuze)),"",IF(Tb_Activiteiten[[#This Row],[Adviseur]]=1,Tb_Activiteiten[[#Headers],[Adviseur]],"")))</f>
        <v/>
      </c>
      <c r="AP972" t="str">
        <f>IF(ISNUMBER(FIND("arbeid",Methode_Keuze)),"",IF(ISNUMBER(FIND("arbeid",Methode_Keuze)),"",IF(Tb_Activiteiten[[#This Row],[Projectleider/Expert]]=1,Tb_Activiteiten[[#Headers],[Projectleider/Expert]],"")))</f>
        <v/>
      </c>
      <c r="AQ972" t="str">
        <f>IF(ISNUMBER(FIND("arbeid",Methode_Keuze)),"",IF(ISNUMBER(FIND("arbeid",Methode_Keuze)),"",IF(Tb_Activiteiten[[#This Row],[Arbeidskosten]]=1,Tb_Activiteiten[[#Headers],[Arbeidskosten]],"")))</f>
        <v/>
      </c>
      <c r="AR972" t="str">
        <f>IF(ISNUMBER(FIND("arbeid",Methode_Keuze)),"",IF(ISNUMBER(FIND("arbeid",Methode_Keuze)),"",IF(Tb_Activiteiten[[#This Row],[Arbeidskosten op basis van IKS]]=1,Tb_Activiteiten[[#Headers],[Arbeidskosten op basis van IKS]],"")))</f>
        <v/>
      </c>
      <c r="AS972" t="str">
        <f>IF(ISNUMBER(FIND("overige",Methode_Keuze)),"",IF(Tb_Activiteiten[[#This Row],[Kosten derden exclusief btw]]=1,Tb_Activiteiten[[#Headers],[Kosten derden exclusief btw]],""))</f>
        <v/>
      </c>
      <c r="AT972" t="str">
        <f>IF(ISNUMBER(FIND("overige",Methode_Keuze)),"",IF(Tb_Activiteiten[[#This Row],[Niet verrekenbare btw]]=1,Tb_Activiteiten[[#Headers],[Niet verrekenbare btw]],""))</f>
        <v/>
      </c>
      <c r="AU972" t="str">
        <f>IF(ISNUMBER(FIND("overige",Methode_Keuze)),"",IF(Tb_Activiteiten[[#This Row],[Grondkosten]]=1,Tb_Activiteiten[[#Headers],[Grondkosten]],""))</f>
        <v/>
      </c>
      <c r="AV972" t="str">
        <f>IF(ISNUMBER(FIND("overige",Methode_Keuze)),"",IF(Tb_Activiteiten[[#This Row],[Bijdrage in natura (overige)]]=1,Tb_Activiteiten[[#Headers],[Bijdrage in natura (overige)]],""))</f>
        <v/>
      </c>
      <c r="AW972" t="str">
        <f>IF(ISNUMBER(FIND("overige",Methode_Keuze)),"",IF(Tb_Activiteiten[[#This Row],[Bijdrage in natura (vrijwilligers)]]=1,Tb_Activiteiten[[#Headers],[Bijdrage in natura (vrijwilligers)]],""))</f>
        <v/>
      </c>
      <c r="AX972" t="str">
        <f>IF(ISNUMBER(FIND("overige",Methode_Keuze)),"",IF(Tb_Activiteiten[[#This Row],[Afschrijvingskosten]]=1,Tb_Activiteiten[[#Headers],[Afschrijvingskosten]],""))</f>
        <v/>
      </c>
      <c r="AY972" t="str">
        <f>IF(ISNUMBER(FIND("overige",Methode_Keuze)),"",IF(Tb_Activiteiten[[#This Row],[Vergoeding]]=1,Tb_Activiteiten[[#Headers],[Vergoeding]],""))</f>
        <v/>
      </c>
      <c r="AZ972" t="str">
        <f>IF(ISNUMBER(FIND("arbeid",Methode_Keuze)),"",IF(Tb_Activiteiten[[#This Row],[Arbeidskosten - vast tarief (excl eigen arbeid)]]=1,Tb_Activiteiten[[#Headers],[Arbeidskosten - vast tarief (excl eigen arbeid)]],""))</f>
        <v/>
      </c>
      <c r="BA972" t="str">
        <f>IF(ISNUMBER(FIND("overige",Methode_Keuze)),"",IF(Tb_Activiteiten[[#This Row],[Overige kosten]]=1,Tb_Activiteiten[[#Headers],[Overige kosten]],""))</f>
        <v/>
      </c>
    </row>
    <row r="973" spans="1:53" x14ac:dyDescent="0.25">
      <c r="A973" s="231"/>
      <c r="F973" s="64"/>
      <c r="G973" s="64"/>
      <c r="H973" s="275"/>
      <c r="I973" s="275"/>
      <c r="J973" s="275"/>
      <c r="K973" s="275"/>
      <c r="O973" s="56"/>
      <c r="Q973" t="str">
        <f>IFERROR(IF(VLOOKUP(Tb_Activiteiten[[#This Row],[Openstelling]],Tb_Openstelling[],2,0)=1,1,""),"")</f>
        <v/>
      </c>
      <c r="AK973" t="str">
        <f>IF(ISNUMBER(FIND("arbeid",Methode_Keuze)),"",IF(ISNUMBER(FIND("arbeid",Methode_Keuze)),"",IF(Tb_Activiteiten[[#This Row],[Loonkosten]]=1,Tb_Activiteiten[[#Headers],[Loonkosten]],"")))</f>
        <v/>
      </c>
      <c r="AL973" t="str">
        <f>IF(ISNUMBER(FIND("arbeid",Methode_Keuze)),"",IF(ISNUMBER(FIND("arbeid",Methode_Keuze)),"",IF(Tb_Activiteiten[[#This Row],[Eigen arbeid]]=1,Tb_Activiteiten[[#Headers],[Eigen arbeid]],"")))</f>
        <v/>
      </c>
      <c r="AM973" t="str">
        <f>IF(ISNUMBER(FIND("arbeid",Methode_Keuze)),"",IF(ISNUMBER(FIND("arbeid",Methode_Keuze)),"",IF(Tb_Activiteiten[[#This Row],[Projectmedewerker]]=1,Tb_Activiteiten[[#Headers],[Projectmedewerker]],"")))</f>
        <v/>
      </c>
      <c r="AN973" t="str">
        <f>IF(ISNUMBER(FIND("arbeid",Methode_Keuze)),"",IF(ISNUMBER(FIND("arbeid",Methode_Keuze)),"",IF(Tb_Activiteiten[[#This Row],[Landbouwer]]=1,Tb_Activiteiten[[#Headers],[Landbouwer]],"")))</f>
        <v/>
      </c>
      <c r="AO973" t="str">
        <f>IF(ISNUMBER(FIND("arbeid",Methode_Keuze)),"",IF(ISNUMBER(FIND("arbeid",Methode_Keuze)),"",IF(Tb_Activiteiten[[#This Row],[Adviseur]]=1,Tb_Activiteiten[[#Headers],[Adviseur]],"")))</f>
        <v/>
      </c>
      <c r="AP973" t="str">
        <f>IF(ISNUMBER(FIND("arbeid",Methode_Keuze)),"",IF(ISNUMBER(FIND("arbeid",Methode_Keuze)),"",IF(Tb_Activiteiten[[#This Row],[Projectleider/Expert]]=1,Tb_Activiteiten[[#Headers],[Projectleider/Expert]],"")))</f>
        <v/>
      </c>
      <c r="AQ973" t="str">
        <f>IF(ISNUMBER(FIND("arbeid",Methode_Keuze)),"",IF(ISNUMBER(FIND("arbeid",Methode_Keuze)),"",IF(Tb_Activiteiten[[#This Row],[Arbeidskosten]]=1,Tb_Activiteiten[[#Headers],[Arbeidskosten]],"")))</f>
        <v/>
      </c>
      <c r="AR973" t="str">
        <f>IF(ISNUMBER(FIND("arbeid",Methode_Keuze)),"",IF(ISNUMBER(FIND("arbeid",Methode_Keuze)),"",IF(Tb_Activiteiten[[#This Row],[Arbeidskosten op basis van IKS]]=1,Tb_Activiteiten[[#Headers],[Arbeidskosten op basis van IKS]],"")))</f>
        <v/>
      </c>
      <c r="AS973" t="str">
        <f>IF(ISNUMBER(FIND("overige",Methode_Keuze)),"",IF(Tb_Activiteiten[[#This Row],[Kosten derden exclusief btw]]=1,Tb_Activiteiten[[#Headers],[Kosten derden exclusief btw]],""))</f>
        <v/>
      </c>
      <c r="AT973" t="str">
        <f>IF(ISNUMBER(FIND("overige",Methode_Keuze)),"",IF(Tb_Activiteiten[[#This Row],[Niet verrekenbare btw]]=1,Tb_Activiteiten[[#Headers],[Niet verrekenbare btw]],""))</f>
        <v/>
      </c>
      <c r="AU973" t="str">
        <f>IF(ISNUMBER(FIND("overige",Methode_Keuze)),"",IF(Tb_Activiteiten[[#This Row],[Grondkosten]]=1,Tb_Activiteiten[[#Headers],[Grondkosten]],""))</f>
        <v/>
      </c>
      <c r="AV973" t="str">
        <f>IF(ISNUMBER(FIND("overige",Methode_Keuze)),"",IF(Tb_Activiteiten[[#This Row],[Bijdrage in natura (overige)]]=1,Tb_Activiteiten[[#Headers],[Bijdrage in natura (overige)]],""))</f>
        <v/>
      </c>
      <c r="AW973" t="str">
        <f>IF(ISNUMBER(FIND("overige",Methode_Keuze)),"",IF(Tb_Activiteiten[[#This Row],[Bijdrage in natura (vrijwilligers)]]=1,Tb_Activiteiten[[#Headers],[Bijdrage in natura (vrijwilligers)]],""))</f>
        <v/>
      </c>
      <c r="AX973" t="str">
        <f>IF(ISNUMBER(FIND("overige",Methode_Keuze)),"",IF(Tb_Activiteiten[[#This Row],[Afschrijvingskosten]]=1,Tb_Activiteiten[[#Headers],[Afschrijvingskosten]],""))</f>
        <v/>
      </c>
      <c r="AY973" t="str">
        <f>IF(ISNUMBER(FIND("overige",Methode_Keuze)),"",IF(Tb_Activiteiten[[#This Row],[Vergoeding]]=1,Tb_Activiteiten[[#Headers],[Vergoeding]],""))</f>
        <v/>
      </c>
      <c r="AZ973" t="str">
        <f>IF(ISNUMBER(FIND("arbeid",Methode_Keuze)),"",IF(Tb_Activiteiten[[#This Row],[Arbeidskosten - vast tarief (excl eigen arbeid)]]=1,Tb_Activiteiten[[#Headers],[Arbeidskosten - vast tarief (excl eigen arbeid)]],""))</f>
        <v/>
      </c>
      <c r="BA973" t="str">
        <f>IF(ISNUMBER(FIND("overige",Methode_Keuze)),"",IF(Tb_Activiteiten[[#This Row],[Overige kosten]]=1,Tb_Activiteiten[[#Headers],[Overige kosten]],""))</f>
        <v/>
      </c>
    </row>
    <row r="974" spans="1:53" x14ac:dyDescent="0.25">
      <c r="A974" s="231"/>
      <c r="F974" s="64"/>
      <c r="G974" s="64"/>
      <c r="H974" s="275"/>
      <c r="I974" s="275"/>
      <c r="J974" s="275"/>
      <c r="K974" s="275"/>
      <c r="O974" s="56"/>
      <c r="Q974" t="str">
        <f>IFERROR(IF(VLOOKUP(Tb_Activiteiten[[#This Row],[Openstelling]],Tb_Openstelling[],2,0)=1,1,""),"")</f>
        <v/>
      </c>
      <c r="AK974" t="str">
        <f>IF(ISNUMBER(FIND("arbeid",Methode_Keuze)),"",IF(ISNUMBER(FIND("arbeid",Methode_Keuze)),"",IF(Tb_Activiteiten[[#This Row],[Loonkosten]]=1,Tb_Activiteiten[[#Headers],[Loonkosten]],"")))</f>
        <v/>
      </c>
      <c r="AL974" t="str">
        <f>IF(ISNUMBER(FIND("arbeid",Methode_Keuze)),"",IF(ISNUMBER(FIND("arbeid",Methode_Keuze)),"",IF(Tb_Activiteiten[[#This Row],[Eigen arbeid]]=1,Tb_Activiteiten[[#Headers],[Eigen arbeid]],"")))</f>
        <v/>
      </c>
      <c r="AM974" t="str">
        <f>IF(ISNUMBER(FIND("arbeid",Methode_Keuze)),"",IF(ISNUMBER(FIND("arbeid",Methode_Keuze)),"",IF(Tb_Activiteiten[[#This Row],[Projectmedewerker]]=1,Tb_Activiteiten[[#Headers],[Projectmedewerker]],"")))</f>
        <v/>
      </c>
      <c r="AN974" t="str">
        <f>IF(ISNUMBER(FIND("arbeid",Methode_Keuze)),"",IF(ISNUMBER(FIND("arbeid",Methode_Keuze)),"",IF(Tb_Activiteiten[[#This Row],[Landbouwer]]=1,Tb_Activiteiten[[#Headers],[Landbouwer]],"")))</f>
        <v/>
      </c>
      <c r="AO974" t="str">
        <f>IF(ISNUMBER(FIND("arbeid",Methode_Keuze)),"",IF(ISNUMBER(FIND("arbeid",Methode_Keuze)),"",IF(Tb_Activiteiten[[#This Row],[Adviseur]]=1,Tb_Activiteiten[[#Headers],[Adviseur]],"")))</f>
        <v/>
      </c>
      <c r="AP974" t="str">
        <f>IF(ISNUMBER(FIND("arbeid",Methode_Keuze)),"",IF(ISNUMBER(FIND("arbeid",Methode_Keuze)),"",IF(Tb_Activiteiten[[#This Row],[Projectleider/Expert]]=1,Tb_Activiteiten[[#Headers],[Projectleider/Expert]],"")))</f>
        <v/>
      </c>
      <c r="AQ974" t="str">
        <f>IF(ISNUMBER(FIND("arbeid",Methode_Keuze)),"",IF(ISNUMBER(FIND("arbeid",Methode_Keuze)),"",IF(Tb_Activiteiten[[#This Row],[Arbeidskosten]]=1,Tb_Activiteiten[[#Headers],[Arbeidskosten]],"")))</f>
        <v/>
      </c>
      <c r="AR974" t="str">
        <f>IF(ISNUMBER(FIND("arbeid",Methode_Keuze)),"",IF(ISNUMBER(FIND("arbeid",Methode_Keuze)),"",IF(Tb_Activiteiten[[#This Row],[Arbeidskosten op basis van IKS]]=1,Tb_Activiteiten[[#Headers],[Arbeidskosten op basis van IKS]],"")))</f>
        <v/>
      </c>
      <c r="AS974" t="str">
        <f>IF(ISNUMBER(FIND("overige",Methode_Keuze)),"",IF(Tb_Activiteiten[[#This Row],[Kosten derden exclusief btw]]=1,Tb_Activiteiten[[#Headers],[Kosten derden exclusief btw]],""))</f>
        <v/>
      </c>
      <c r="AT974" t="str">
        <f>IF(ISNUMBER(FIND("overige",Methode_Keuze)),"",IF(Tb_Activiteiten[[#This Row],[Niet verrekenbare btw]]=1,Tb_Activiteiten[[#Headers],[Niet verrekenbare btw]],""))</f>
        <v/>
      </c>
      <c r="AU974" t="str">
        <f>IF(ISNUMBER(FIND("overige",Methode_Keuze)),"",IF(Tb_Activiteiten[[#This Row],[Grondkosten]]=1,Tb_Activiteiten[[#Headers],[Grondkosten]],""))</f>
        <v/>
      </c>
      <c r="AV974" t="str">
        <f>IF(ISNUMBER(FIND("overige",Methode_Keuze)),"",IF(Tb_Activiteiten[[#This Row],[Bijdrage in natura (overige)]]=1,Tb_Activiteiten[[#Headers],[Bijdrage in natura (overige)]],""))</f>
        <v/>
      </c>
      <c r="AW974" t="str">
        <f>IF(ISNUMBER(FIND("overige",Methode_Keuze)),"",IF(Tb_Activiteiten[[#This Row],[Bijdrage in natura (vrijwilligers)]]=1,Tb_Activiteiten[[#Headers],[Bijdrage in natura (vrijwilligers)]],""))</f>
        <v/>
      </c>
      <c r="AX974" t="str">
        <f>IF(ISNUMBER(FIND("overige",Methode_Keuze)),"",IF(Tb_Activiteiten[[#This Row],[Afschrijvingskosten]]=1,Tb_Activiteiten[[#Headers],[Afschrijvingskosten]],""))</f>
        <v/>
      </c>
      <c r="AY974" t="str">
        <f>IF(ISNUMBER(FIND("overige",Methode_Keuze)),"",IF(Tb_Activiteiten[[#This Row],[Vergoeding]]=1,Tb_Activiteiten[[#Headers],[Vergoeding]],""))</f>
        <v/>
      </c>
      <c r="AZ974" t="str">
        <f>IF(ISNUMBER(FIND("arbeid",Methode_Keuze)),"",IF(Tb_Activiteiten[[#This Row],[Arbeidskosten - vast tarief (excl eigen arbeid)]]=1,Tb_Activiteiten[[#Headers],[Arbeidskosten - vast tarief (excl eigen arbeid)]],""))</f>
        <v/>
      </c>
      <c r="BA974" t="str">
        <f>IF(ISNUMBER(FIND("overige",Methode_Keuze)),"",IF(Tb_Activiteiten[[#This Row],[Overige kosten]]=1,Tb_Activiteiten[[#Headers],[Overige kosten]],""))</f>
        <v/>
      </c>
    </row>
    <row r="975" spans="1:53" x14ac:dyDescent="0.25">
      <c r="A975" s="231"/>
      <c r="F975" s="64"/>
      <c r="G975" s="64"/>
      <c r="H975" s="275"/>
      <c r="I975" s="275"/>
      <c r="J975" s="275"/>
      <c r="K975" s="275"/>
      <c r="O975" s="56"/>
      <c r="Q975" t="str">
        <f>IFERROR(IF(VLOOKUP(Tb_Activiteiten[[#This Row],[Openstelling]],Tb_Openstelling[],2,0)=1,1,""),"")</f>
        <v/>
      </c>
      <c r="AK975" t="str">
        <f>IF(ISNUMBER(FIND("arbeid",Methode_Keuze)),"",IF(ISNUMBER(FIND("arbeid",Methode_Keuze)),"",IF(Tb_Activiteiten[[#This Row],[Loonkosten]]=1,Tb_Activiteiten[[#Headers],[Loonkosten]],"")))</f>
        <v/>
      </c>
      <c r="AL975" t="str">
        <f>IF(ISNUMBER(FIND("arbeid",Methode_Keuze)),"",IF(ISNUMBER(FIND("arbeid",Methode_Keuze)),"",IF(Tb_Activiteiten[[#This Row],[Eigen arbeid]]=1,Tb_Activiteiten[[#Headers],[Eigen arbeid]],"")))</f>
        <v/>
      </c>
      <c r="AM975" t="str">
        <f>IF(ISNUMBER(FIND("arbeid",Methode_Keuze)),"",IF(ISNUMBER(FIND("arbeid",Methode_Keuze)),"",IF(Tb_Activiteiten[[#This Row],[Projectmedewerker]]=1,Tb_Activiteiten[[#Headers],[Projectmedewerker]],"")))</f>
        <v/>
      </c>
      <c r="AN975" t="str">
        <f>IF(ISNUMBER(FIND("arbeid",Methode_Keuze)),"",IF(ISNUMBER(FIND("arbeid",Methode_Keuze)),"",IF(Tb_Activiteiten[[#This Row],[Landbouwer]]=1,Tb_Activiteiten[[#Headers],[Landbouwer]],"")))</f>
        <v/>
      </c>
      <c r="AO975" t="str">
        <f>IF(ISNUMBER(FIND("arbeid",Methode_Keuze)),"",IF(ISNUMBER(FIND("arbeid",Methode_Keuze)),"",IF(Tb_Activiteiten[[#This Row],[Adviseur]]=1,Tb_Activiteiten[[#Headers],[Adviseur]],"")))</f>
        <v/>
      </c>
      <c r="AP975" t="str">
        <f>IF(ISNUMBER(FIND("arbeid",Methode_Keuze)),"",IF(ISNUMBER(FIND("arbeid",Methode_Keuze)),"",IF(Tb_Activiteiten[[#This Row],[Projectleider/Expert]]=1,Tb_Activiteiten[[#Headers],[Projectleider/Expert]],"")))</f>
        <v/>
      </c>
      <c r="AQ975" t="str">
        <f>IF(ISNUMBER(FIND("arbeid",Methode_Keuze)),"",IF(ISNUMBER(FIND("arbeid",Methode_Keuze)),"",IF(Tb_Activiteiten[[#This Row],[Arbeidskosten]]=1,Tb_Activiteiten[[#Headers],[Arbeidskosten]],"")))</f>
        <v/>
      </c>
      <c r="AR975" t="str">
        <f>IF(ISNUMBER(FIND("arbeid",Methode_Keuze)),"",IF(ISNUMBER(FIND("arbeid",Methode_Keuze)),"",IF(Tb_Activiteiten[[#This Row],[Arbeidskosten op basis van IKS]]=1,Tb_Activiteiten[[#Headers],[Arbeidskosten op basis van IKS]],"")))</f>
        <v/>
      </c>
      <c r="AS975" t="str">
        <f>IF(ISNUMBER(FIND("overige",Methode_Keuze)),"",IF(Tb_Activiteiten[[#This Row],[Kosten derden exclusief btw]]=1,Tb_Activiteiten[[#Headers],[Kosten derden exclusief btw]],""))</f>
        <v/>
      </c>
      <c r="AT975" t="str">
        <f>IF(ISNUMBER(FIND("overige",Methode_Keuze)),"",IF(Tb_Activiteiten[[#This Row],[Niet verrekenbare btw]]=1,Tb_Activiteiten[[#Headers],[Niet verrekenbare btw]],""))</f>
        <v/>
      </c>
      <c r="AU975" t="str">
        <f>IF(ISNUMBER(FIND("overige",Methode_Keuze)),"",IF(Tb_Activiteiten[[#This Row],[Grondkosten]]=1,Tb_Activiteiten[[#Headers],[Grondkosten]],""))</f>
        <v/>
      </c>
      <c r="AV975" t="str">
        <f>IF(ISNUMBER(FIND("overige",Methode_Keuze)),"",IF(Tb_Activiteiten[[#This Row],[Bijdrage in natura (overige)]]=1,Tb_Activiteiten[[#Headers],[Bijdrage in natura (overige)]],""))</f>
        <v/>
      </c>
      <c r="AW975" t="str">
        <f>IF(ISNUMBER(FIND("overige",Methode_Keuze)),"",IF(Tb_Activiteiten[[#This Row],[Bijdrage in natura (vrijwilligers)]]=1,Tb_Activiteiten[[#Headers],[Bijdrage in natura (vrijwilligers)]],""))</f>
        <v/>
      </c>
      <c r="AX975" t="str">
        <f>IF(ISNUMBER(FIND("overige",Methode_Keuze)),"",IF(Tb_Activiteiten[[#This Row],[Afschrijvingskosten]]=1,Tb_Activiteiten[[#Headers],[Afschrijvingskosten]],""))</f>
        <v/>
      </c>
      <c r="AY975" t="str">
        <f>IF(ISNUMBER(FIND("overige",Methode_Keuze)),"",IF(Tb_Activiteiten[[#This Row],[Vergoeding]]=1,Tb_Activiteiten[[#Headers],[Vergoeding]],""))</f>
        <v/>
      </c>
      <c r="AZ975" t="str">
        <f>IF(ISNUMBER(FIND("arbeid",Methode_Keuze)),"",IF(Tb_Activiteiten[[#This Row],[Arbeidskosten - vast tarief (excl eigen arbeid)]]=1,Tb_Activiteiten[[#Headers],[Arbeidskosten - vast tarief (excl eigen arbeid)]],""))</f>
        <v/>
      </c>
      <c r="BA975" t="str">
        <f>IF(ISNUMBER(FIND("overige",Methode_Keuze)),"",IF(Tb_Activiteiten[[#This Row],[Overige kosten]]=1,Tb_Activiteiten[[#Headers],[Overige kosten]],""))</f>
        <v/>
      </c>
    </row>
    <row r="976" spans="1:53" x14ac:dyDescent="0.25">
      <c r="A976" s="231"/>
      <c r="F976" s="64"/>
      <c r="G976" s="64"/>
      <c r="H976" s="275"/>
      <c r="I976" s="275"/>
      <c r="J976" s="275"/>
      <c r="K976" s="275"/>
      <c r="O976" s="56"/>
      <c r="Q976" t="str">
        <f>IFERROR(IF(VLOOKUP(Tb_Activiteiten[[#This Row],[Openstelling]],Tb_Openstelling[],2,0)=1,1,""),"")</f>
        <v/>
      </c>
      <c r="AK976" t="str">
        <f>IF(ISNUMBER(FIND("arbeid",Methode_Keuze)),"",IF(ISNUMBER(FIND("arbeid",Methode_Keuze)),"",IF(Tb_Activiteiten[[#This Row],[Loonkosten]]=1,Tb_Activiteiten[[#Headers],[Loonkosten]],"")))</f>
        <v/>
      </c>
      <c r="AL976" t="str">
        <f>IF(ISNUMBER(FIND("arbeid",Methode_Keuze)),"",IF(ISNUMBER(FIND("arbeid",Methode_Keuze)),"",IF(Tb_Activiteiten[[#This Row],[Eigen arbeid]]=1,Tb_Activiteiten[[#Headers],[Eigen arbeid]],"")))</f>
        <v/>
      </c>
      <c r="AM976" t="str">
        <f>IF(ISNUMBER(FIND("arbeid",Methode_Keuze)),"",IF(ISNUMBER(FIND("arbeid",Methode_Keuze)),"",IF(Tb_Activiteiten[[#This Row],[Projectmedewerker]]=1,Tb_Activiteiten[[#Headers],[Projectmedewerker]],"")))</f>
        <v/>
      </c>
      <c r="AN976" t="str">
        <f>IF(ISNUMBER(FIND("arbeid",Methode_Keuze)),"",IF(ISNUMBER(FIND("arbeid",Methode_Keuze)),"",IF(Tb_Activiteiten[[#This Row],[Landbouwer]]=1,Tb_Activiteiten[[#Headers],[Landbouwer]],"")))</f>
        <v/>
      </c>
      <c r="AO976" t="str">
        <f>IF(ISNUMBER(FIND("arbeid",Methode_Keuze)),"",IF(ISNUMBER(FIND("arbeid",Methode_Keuze)),"",IF(Tb_Activiteiten[[#This Row],[Adviseur]]=1,Tb_Activiteiten[[#Headers],[Adviseur]],"")))</f>
        <v/>
      </c>
      <c r="AP976" t="str">
        <f>IF(ISNUMBER(FIND("arbeid",Methode_Keuze)),"",IF(ISNUMBER(FIND("arbeid",Methode_Keuze)),"",IF(Tb_Activiteiten[[#This Row],[Projectleider/Expert]]=1,Tb_Activiteiten[[#Headers],[Projectleider/Expert]],"")))</f>
        <v/>
      </c>
      <c r="AQ976" t="str">
        <f>IF(ISNUMBER(FIND("arbeid",Methode_Keuze)),"",IF(ISNUMBER(FIND("arbeid",Methode_Keuze)),"",IF(Tb_Activiteiten[[#This Row],[Arbeidskosten]]=1,Tb_Activiteiten[[#Headers],[Arbeidskosten]],"")))</f>
        <v/>
      </c>
      <c r="AR976" t="str">
        <f>IF(ISNUMBER(FIND("arbeid",Methode_Keuze)),"",IF(ISNUMBER(FIND("arbeid",Methode_Keuze)),"",IF(Tb_Activiteiten[[#This Row],[Arbeidskosten op basis van IKS]]=1,Tb_Activiteiten[[#Headers],[Arbeidskosten op basis van IKS]],"")))</f>
        <v/>
      </c>
      <c r="AS976" t="str">
        <f>IF(ISNUMBER(FIND("overige",Methode_Keuze)),"",IF(Tb_Activiteiten[[#This Row],[Kosten derden exclusief btw]]=1,Tb_Activiteiten[[#Headers],[Kosten derden exclusief btw]],""))</f>
        <v/>
      </c>
      <c r="AT976" t="str">
        <f>IF(ISNUMBER(FIND("overige",Methode_Keuze)),"",IF(Tb_Activiteiten[[#This Row],[Niet verrekenbare btw]]=1,Tb_Activiteiten[[#Headers],[Niet verrekenbare btw]],""))</f>
        <v/>
      </c>
      <c r="AU976" t="str">
        <f>IF(ISNUMBER(FIND("overige",Methode_Keuze)),"",IF(Tb_Activiteiten[[#This Row],[Grondkosten]]=1,Tb_Activiteiten[[#Headers],[Grondkosten]],""))</f>
        <v/>
      </c>
      <c r="AV976" t="str">
        <f>IF(ISNUMBER(FIND("overige",Methode_Keuze)),"",IF(Tb_Activiteiten[[#This Row],[Bijdrage in natura (overige)]]=1,Tb_Activiteiten[[#Headers],[Bijdrage in natura (overige)]],""))</f>
        <v/>
      </c>
      <c r="AW976" t="str">
        <f>IF(ISNUMBER(FIND("overige",Methode_Keuze)),"",IF(Tb_Activiteiten[[#This Row],[Bijdrage in natura (vrijwilligers)]]=1,Tb_Activiteiten[[#Headers],[Bijdrage in natura (vrijwilligers)]],""))</f>
        <v/>
      </c>
      <c r="AX976" t="str">
        <f>IF(ISNUMBER(FIND("overige",Methode_Keuze)),"",IF(Tb_Activiteiten[[#This Row],[Afschrijvingskosten]]=1,Tb_Activiteiten[[#Headers],[Afschrijvingskosten]],""))</f>
        <v/>
      </c>
      <c r="AY976" t="str">
        <f>IF(ISNUMBER(FIND("overige",Methode_Keuze)),"",IF(Tb_Activiteiten[[#This Row],[Vergoeding]]=1,Tb_Activiteiten[[#Headers],[Vergoeding]],""))</f>
        <v/>
      </c>
      <c r="AZ976" t="str">
        <f>IF(ISNUMBER(FIND("arbeid",Methode_Keuze)),"",IF(Tb_Activiteiten[[#This Row],[Arbeidskosten - vast tarief (excl eigen arbeid)]]=1,Tb_Activiteiten[[#Headers],[Arbeidskosten - vast tarief (excl eigen arbeid)]],""))</f>
        <v/>
      </c>
      <c r="BA976" t="str">
        <f>IF(ISNUMBER(FIND("overige",Methode_Keuze)),"",IF(Tb_Activiteiten[[#This Row],[Overige kosten]]=1,Tb_Activiteiten[[#Headers],[Overige kosten]],""))</f>
        <v/>
      </c>
    </row>
    <row r="977" spans="1:53" x14ac:dyDescent="0.25">
      <c r="A977" s="231"/>
      <c r="F977" s="64"/>
      <c r="G977" s="64"/>
      <c r="H977" s="275"/>
      <c r="I977" s="275"/>
      <c r="J977" s="275"/>
      <c r="K977" s="275"/>
      <c r="O977" s="56"/>
      <c r="Q977" t="str">
        <f>IFERROR(IF(VLOOKUP(Tb_Activiteiten[[#This Row],[Openstelling]],Tb_Openstelling[],2,0)=1,1,""),"")</f>
        <v/>
      </c>
      <c r="AK977" t="str">
        <f>IF(ISNUMBER(FIND("arbeid",Methode_Keuze)),"",IF(ISNUMBER(FIND("arbeid",Methode_Keuze)),"",IF(Tb_Activiteiten[[#This Row],[Loonkosten]]=1,Tb_Activiteiten[[#Headers],[Loonkosten]],"")))</f>
        <v/>
      </c>
      <c r="AL977" t="str">
        <f>IF(ISNUMBER(FIND("arbeid",Methode_Keuze)),"",IF(ISNUMBER(FIND("arbeid",Methode_Keuze)),"",IF(Tb_Activiteiten[[#This Row],[Eigen arbeid]]=1,Tb_Activiteiten[[#Headers],[Eigen arbeid]],"")))</f>
        <v/>
      </c>
      <c r="AM977" t="str">
        <f>IF(ISNUMBER(FIND("arbeid",Methode_Keuze)),"",IF(ISNUMBER(FIND("arbeid",Methode_Keuze)),"",IF(Tb_Activiteiten[[#This Row],[Projectmedewerker]]=1,Tb_Activiteiten[[#Headers],[Projectmedewerker]],"")))</f>
        <v/>
      </c>
      <c r="AN977" t="str">
        <f>IF(ISNUMBER(FIND("arbeid",Methode_Keuze)),"",IF(ISNUMBER(FIND("arbeid",Methode_Keuze)),"",IF(Tb_Activiteiten[[#This Row],[Landbouwer]]=1,Tb_Activiteiten[[#Headers],[Landbouwer]],"")))</f>
        <v/>
      </c>
      <c r="AO977" t="str">
        <f>IF(ISNUMBER(FIND("arbeid",Methode_Keuze)),"",IF(ISNUMBER(FIND("arbeid",Methode_Keuze)),"",IF(Tb_Activiteiten[[#This Row],[Adviseur]]=1,Tb_Activiteiten[[#Headers],[Adviseur]],"")))</f>
        <v/>
      </c>
      <c r="AP977" t="str">
        <f>IF(ISNUMBER(FIND("arbeid",Methode_Keuze)),"",IF(ISNUMBER(FIND("arbeid",Methode_Keuze)),"",IF(Tb_Activiteiten[[#This Row],[Projectleider/Expert]]=1,Tb_Activiteiten[[#Headers],[Projectleider/Expert]],"")))</f>
        <v/>
      </c>
      <c r="AQ977" t="str">
        <f>IF(ISNUMBER(FIND("arbeid",Methode_Keuze)),"",IF(ISNUMBER(FIND("arbeid",Methode_Keuze)),"",IF(Tb_Activiteiten[[#This Row],[Arbeidskosten]]=1,Tb_Activiteiten[[#Headers],[Arbeidskosten]],"")))</f>
        <v/>
      </c>
      <c r="AR977" t="str">
        <f>IF(ISNUMBER(FIND("arbeid",Methode_Keuze)),"",IF(ISNUMBER(FIND("arbeid",Methode_Keuze)),"",IF(Tb_Activiteiten[[#This Row],[Arbeidskosten op basis van IKS]]=1,Tb_Activiteiten[[#Headers],[Arbeidskosten op basis van IKS]],"")))</f>
        <v/>
      </c>
      <c r="AS977" t="str">
        <f>IF(ISNUMBER(FIND("overige",Methode_Keuze)),"",IF(Tb_Activiteiten[[#This Row],[Kosten derden exclusief btw]]=1,Tb_Activiteiten[[#Headers],[Kosten derden exclusief btw]],""))</f>
        <v/>
      </c>
      <c r="AT977" t="str">
        <f>IF(ISNUMBER(FIND("overige",Methode_Keuze)),"",IF(Tb_Activiteiten[[#This Row],[Niet verrekenbare btw]]=1,Tb_Activiteiten[[#Headers],[Niet verrekenbare btw]],""))</f>
        <v/>
      </c>
      <c r="AU977" t="str">
        <f>IF(ISNUMBER(FIND("overige",Methode_Keuze)),"",IF(Tb_Activiteiten[[#This Row],[Grondkosten]]=1,Tb_Activiteiten[[#Headers],[Grondkosten]],""))</f>
        <v/>
      </c>
      <c r="AV977" t="str">
        <f>IF(ISNUMBER(FIND("overige",Methode_Keuze)),"",IF(Tb_Activiteiten[[#This Row],[Bijdrage in natura (overige)]]=1,Tb_Activiteiten[[#Headers],[Bijdrage in natura (overige)]],""))</f>
        <v/>
      </c>
      <c r="AW977" t="str">
        <f>IF(ISNUMBER(FIND("overige",Methode_Keuze)),"",IF(Tb_Activiteiten[[#This Row],[Bijdrage in natura (vrijwilligers)]]=1,Tb_Activiteiten[[#Headers],[Bijdrage in natura (vrijwilligers)]],""))</f>
        <v/>
      </c>
      <c r="AX977" t="str">
        <f>IF(ISNUMBER(FIND("overige",Methode_Keuze)),"",IF(Tb_Activiteiten[[#This Row],[Afschrijvingskosten]]=1,Tb_Activiteiten[[#Headers],[Afschrijvingskosten]],""))</f>
        <v/>
      </c>
      <c r="AY977" t="str">
        <f>IF(ISNUMBER(FIND("overige",Methode_Keuze)),"",IF(Tb_Activiteiten[[#This Row],[Vergoeding]]=1,Tb_Activiteiten[[#Headers],[Vergoeding]],""))</f>
        <v/>
      </c>
      <c r="AZ977" t="str">
        <f>IF(ISNUMBER(FIND("arbeid",Methode_Keuze)),"",IF(Tb_Activiteiten[[#This Row],[Arbeidskosten - vast tarief (excl eigen arbeid)]]=1,Tb_Activiteiten[[#Headers],[Arbeidskosten - vast tarief (excl eigen arbeid)]],""))</f>
        <v/>
      </c>
      <c r="BA977" t="str">
        <f>IF(ISNUMBER(FIND("overige",Methode_Keuze)),"",IF(Tb_Activiteiten[[#This Row],[Overige kosten]]=1,Tb_Activiteiten[[#Headers],[Overige kosten]],""))</f>
        <v/>
      </c>
    </row>
    <row r="978" spans="1:53" x14ac:dyDescent="0.25">
      <c r="A978" s="231"/>
      <c r="F978" s="64"/>
      <c r="G978" s="64"/>
      <c r="H978" s="275"/>
      <c r="I978" s="275"/>
      <c r="J978" s="275"/>
      <c r="K978" s="275"/>
      <c r="O978" s="56"/>
      <c r="Q978" t="str">
        <f>IFERROR(IF(VLOOKUP(Tb_Activiteiten[[#This Row],[Openstelling]],Tb_Openstelling[],2,0)=1,1,""),"")</f>
        <v/>
      </c>
      <c r="AK978" t="str">
        <f>IF(ISNUMBER(FIND("arbeid",Methode_Keuze)),"",IF(ISNUMBER(FIND("arbeid",Methode_Keuze)),"",IF(Tb_Activiteiten[[#This Row],[Loonkosten]]=1,Tb_Activiteiten[[#Headers],[Loonkosten]],"")))</f>
        <v/>
      </c>
      <c r="AL978" t="str">
        <f>IF(ISNUMBER(FIND("arbeid",Methode_Keuze)),"",IF(ISNUMBER(FIND("arbeid",Methode_Keuze)),"",IF(Tb_Activiteiten[[#This Row],[Eigen arbeid]]=1,Tb_Activiteiten[[#Headers],[Eigen arbeid]],"")))</f>
        <v/>
      </c>
      <c r="AM978" t="str">
        <f>IF(ISNUMBER(FIND("arbeid",Methode_Keuze)),"",IF(ISNUMBER(FIND("arbeid",Methode_Keuze)),"",IF(Tb_Activiteiten[[#This Row],[Projectmedewerker]]=1,Tb_Activiteiten[[#Headers],[Projectmedewerker]],"")))</f>
        <v/>
      </c>
      <c r="AN978" t="str">
        <f>IF(ISNUMBER(FIND("arbeid",Methode_Keuze)),"",IF(ISNUMBER(FIND("arbeid",Methode_Keuze)),"",IF(Tb_Activiteiten[[#This Row],[Landbouwer]]=1,Tb_Activiteiten[[#Headers],[Landbouwer]],"")))</f>
        <v/>
      </c>
      <c r="AO978" t="str">
        <f>IF(ISNUMBER(FIND("arbeid",Methode_Keuze)),"",IF(ISNUMBER(FIND("arbeid",Methode_Keuze)),"",IF(Tb_Activiteiten[[#This Row],[Adviseur]]=1,Tb_Activiteiten[[#Headers],[Adviseur]],"")))</f>
        <v/>
      </c>
      <c r="AP978" t="str">
        <f>IF(ISNUMBER(FIND("arbeid",Methode_Keuze)),"",IF(ISNUMBER(FIND("arbeid",Methode_Keuze)),"",IF(Tb_Activiteiten[[#This Row],[Projectleider/Expert]]=1,Tb_Activiteiten[[#Headers],[Projectleider/Expert]],"")))</f>
        <v/>
      </c>
      <c r="AQ978" t="str">
        <f>IF(ISNUMBER(FIND("arbeid",Methode_Keuze)),"",IF(ISNUMBER(FIND("arbeid",Methode_Keuze)),"",IF(Tb_Activiteiten[[#This Row],[Arbeidskosten]]=1,Tb_Activiteiten[[#Headers],[Arbeidskosten]],"")))</f>
        <v/>
      </c>
      <c r="AR978" t="str">
        <f>IF(ISNUMBER(FIND("arbeid",Methode_Keuze)),"",IF(ISNUMBER(FIND("arbeid",Methode_Keuze)),"",IF(Tb_Activiteiten[[#This Row],[Arbeidskosten op basis van IKS]]=1,Tb_Activiteiten[[#Headers],[Arbeidskosten op basis van IKS]],"")))</f>
        <v/>
      </c>
      <c r="AS978" t="str">
        <f>IF(ISNUMBER(FIND("overige",Methode_Keuze)),"",IF(Tb_Activiteiten[[#This Row],[Kosten derden exclusief btw]]=1,Tb_Activiteiten[[#Headers],[Kosten derden exclusief btw]],""))</f>
        <v/>
      </c>
      <c r="AT978" t="str">
        <f>IF(ISNUMBER(FIND("overige",Methode_Keuze)),"",IF(Tb_Activiteiten[[#This Row],[Niet verrekenbare btw]]=1,Tb_Activiteiten[[#Headers],[Niet verrekenbare btw]],""))</f>
        <v/>
      </c>
      <c r="AU978" t="str">
        <f>IF(ISNUMBER(FIND("overige",Methode_Keuze)),"",IF(Tb_Activiteiten[[#This Row],[Grondkosten]]=1,Tb_Activiteiten[[#Headers],[Grondkosten]],""))</f>
        <v/>
      </c>
      <c r="AV978" t="str">
        <f>IF(ISNUMBER(FIND("overige",Methode_Keuze)),"",IF(Tb_Activiteiten[[#This Row],[Bijdrage in natura (overige)]]=1,Tb_Activiteiten[[#Headers],[Bijdrage in natura (overige)]],""))</f>
        <v/>
      </c>
      <c r="AW978" t="str">
        <f>IF(ISNUMBER(FIND("overige",Methode_Keuze)),"",IF(Tb_Activiteiten[[#This Row],[Bijdrage in natura (vrijwilligers)]]=1,Tb_Activiteiten[[#Headers],[Bijdrage in natura (vrijwilligers)]],""))</f>
        <v/>
      </c>
      <c r="AX978" t="str">
        <f>IF(ISNUMBER(FIND("overige",Methode_Keuze)),"",IF(Tb_Activiteiten[[#This Row],[Afschrijvingskosten]]=1,Tb_Activiteiten[[#Headers],[Afschrijvingskosten]],""))</f>
        <v/>
      </c>
      <c r="AY978" t="str">
        <f>IF(ISNUMBER(FIND("overige",Methode_Keuze)),"",IF(Tb_Activiteiten[[#This Row],[Vergoeding]]=1,Tb_Activiteiten[[#Headers],[Vergoeding]],""))</f>
        <v/>
      </c>
      <c r="AZ978" t="str">
        <f>IF(ISNUMBER(FIND("arbeid",Methode_Keuze)),"",IF(Tb_Activiteiten[[#This Row],[Arbeidskosten - vast tarief (excl eigen arbeid)]]=1,Tb_Activiteiten[[#Headers],[Arbeidskosten - vast tarief (excl eigen arbeid)]],""))</f>
        <v/>
      </c>
      <c r="BA978" t="str">
        <f>IF(ISNUMBER(FIND("overige",Methode_Keuze)),"",IF(Tb_Activiteiten[[#This Row],[Overige kosten]]=1,Tb_Activiteiten[[#Headers],[Overige kosten]],""))</f>
        <v/>
      </c>
    </row>
    <row r="979" spans="1:53" x14ac:dyDescent="0.25">
      <c r="A979" s="231"/>
      <c r="F979" s="64"/>
      <c r="G979" s="64"/>
      <c r="H979" s="275"/>
      <c r="I979" s="275"/>
      <c r="J979" s="275"/>
      <c r="K979" s="275"/>
      <c r="O979" s="56"/>
      <c r="Q979" t="str">
        <f>IFERROR(IF(VLOOKUP(Tb_Activiteiten[[#This Row],[Openstelling]],Tb_Openstelling[],2,0)=1,1,""),"")</f>
        <v/>
      </c>
      <c r="AK979" t="str">
        <f>IF(ISNUMBER(FIND("arbeid",Methode_Keuze)),"",IF(ISNUMBER(FIND("arbeid",Methode_Keuze)),"",IF(Tb_Activiteiten[[#This Row],[Loonkosten]]=1,Tb_Activiteiten[[#Headers],[Loonkosten]],"")))</f>
        <v/>
      </c>
      <c r="AL979" t="str">
        <f>IF(ISNUMBER(FIND("arbeid",Methode_Keuze)),"",IF(ISNUMBER(FIND("arbeid",Methode_Keuze)),"",IF(Tb_Activiteiten[[#This Row],[Eigen arbeid]]=1,Tb_Activiteiten[[#Headers],[Eigen arbeid]],"")))</f>
        <v/>
      </c>
      <c r="AM979" t="str">
        <f>IF(ISNUMBER(FIND("arbeid",Methode_Keuze)),"",IF(ISNUMBER(FIND("arbeid",Methode_Keuze)),"",IF(Tb_Activiteiten[[#This Row],[Projectmedewerker]]=1,Tb_Activiteiten[[#Headers],[Projectmedewerker]],"")))</f>
        <v/>
      </c>
      <c r="AN979" t="str">
        <f>IF(ISNUMBER(FIND("arbeid",Methode_Keuze)),"",IF(ISNUMBER(FIND("arbeid",Methode_Keuze)),"",IF(Tb_Activiteiten[[#This Row],[Landbouwer]]=1,Tb_Activiteiten[[#Headers],[Landbouwer]],"")))</f>
        <v/>
      </c>
      <c r="AO979" t="str">
        <f>IF(ISNUMBER(FIND("arbeid",Methode_Keuze)),"",IF(ISNUMBER(FIND("arbeid",Methode_Keuze)),"",IF(Tb_Activiteiten[[#This Row],[Adviseur]]=1,Tb_Activiteiten[[#Headers],[Adviseur]],"")))</f>
        <v/>
      </c>
      <c r="AP979" t="str">
        <f>IF(ISNUMBER(FIND("arbeid",Methode_Keuze)),"",IF(ISNUMBER(FIND("arbeid",Methode_Keuze)),"",IF(Tb_Activiteiten[[#This Row],[Projectleider/Expert]]=1,Tb_Activiteiten[[#Headers],[Projectleider/Expert]],"")))</f>
        <v/>
      </c>
      <c r="AQ979" t="str">
        <f>IF(ISNUMBER(FIND("arbeid",Methode_Keuze)),"",IF(ISNUMBER(FIND("arbeid",Methode_Keuze)),"",IF(Tb_Activiteiten[[#This Row],[Arbeidskosten]]=1,Tb_Activiteiten[[#Headers],[Arbeidskosten]],"")))</f>
        <v/>
      </c>
      <c r="AR979" t="str">
        <f>IF(ISNUMBER(FIND("arbeid",Methode_Keuze)),"",IF(ISNUMBER(FIND("arbeid",Methode_Keuze)),"",IF(Tb_Activiteiten[[#This Row],[Arbeidskosten op basis van IKS]]=1,Tb_Activiteiten[[#Headers],[Arbeidskosten op basis van IKS]],"")))</f>
        <v/>
      </c>
      <c r="AS979" t="str">
        <f>IF(ISNUMBER(FIND("overige",Methode_Keuze)),"",IF(Tb_Activiteiten[[#This Row],[Kosten derden exclusief btw]]=1,Tb_Activiteiten[[#Headers],[Kosten derden exclusief btw]],""))</f>
        <v/>
      </c>
      <c r="AT979" t="str">
        <f>IF(ISNUMBER(FIND("overige",Methode_Keuze)),"",IF(Tb_Activiteiten[[#This Row],[Niet verrekenbare btw]]=1,Tb_Activiteiten[[#Headers],[Niet verrekenbare btw]],""))</f>
        <v/>
      </c>
      <c r="AU979" t="str">
        <f>IF(ISNUMBER(FIND("overige",Methode_Keuze)),"",IF(Tb_Activiteiten[[#This Row],[Grondkosten]]=1,Tb_Activiteiten[[#Headers],[Grondkosten]],""))</f>
        <v/>
      </c>
      <c r="AV979" t="str">
        <f>IF(ISNUMBER(FIND("overige",Methode_Keuze)),"",IF(Tb_Activiteiten[[#This Row],[Bijdrage in natura (overige)]]=1,Tb_Activiteiten[[#Headers],[Bijdrage in natura (overige)]],""))</f>
        <v/>
      </c>
      <c r="AW979" t="str">
        <f>IF(ISNUMBER(FIND("overige",Methode_Keuze)),"",IF(Tb_Activiteiten[[#This Row],[Bijdrage in natura (vrijwilligers)]]=1,Tb_Activiteiten[[#Headers],[Bijdrage in natura (vrijwilligers)]],""))</f>
        <v/>
      </c>
      <c r="AX979" t="str">
        <f>IF(ISNUMBER(FIND("overige",Methode_Keuze)),"",IF(Tb_Activiteiten[[#This Row],[Afschrijvingskosten]]=1,Tb_Activiteiten[[#Headers],[Afschrijvingskosten]],""))</f>
        <v/>
      </c>
      <c r="AY979" t="str">
        <f>IF(ISNUMBER(FIND("overige",Methode_Keuze)),"",IF(Tb_Activiteiten[[#This Row],[Vergoeding]]=1,Tb_Activiteiten[[#Headers],[Vergoeding]],""))</f>
        <v/>
      </c>
      <c r="AZ979" t="str">
        <f>IF(ISNUMBER(FIND("arbeid",Methode_Keuze)),"",IF(Tb_Activiteiten[[#This Row],[Arbeidskosten - vast tarief (excl eigen arbeid)]]=1,Tb_Activiteiten[[#Headers],[Arbeidskosten - vast tarief (excl eigen arbeid)]],""))</f>
        <v/>
      </c>
      <c r="BA979" t="str">
        <f>IF(ISNUMBER(FIND("overige",Methode_Keuze)),"",IF(Tb_Activiteiten[[#This Row],[Overige kosten]]=1,Tb_Activiteiten[[#Headers],[Overige kosten]],""))</f>
        <v/>
      </c>
    </row>
    <row r="980" spans="1:53" x14ac:dyDescent="0.25">
      <c r="A980" s="231"/>
      <c r="F980" s="64"/>
      <c r="G980" s="64"/>
      <c r="H980" s="275"/>
      <c r="I980" s="275"/>
      <c r="J980" s="275"/>
      <c r="K980" s="275"/>
      <c r="O980" s="56"/>
      <c r="Q980" t="str">
        <f>IFERROR(IF(VLOOKUP(Tb_Activiteiten[[#This Row],[Openstelling]],Tb_Openstelling[],2,0)=1,1,""),"")</f>
        <v/>
      </c>
      <c r="AK980" t="str">
        <f>IF(ISNUMBER(FIND("arbeid",Methode_Keuze)),"",IF(ISNUMBER(FIND("arbeid",Methode_Keuze)),"",IF(Tb_Activiteiten[[#This Row],[Loonkosten]]=1,Tb_Activiteiten[[#Headers],[Loonkosten]],"")))</f>
        <v/>
      </c>
      <c r="AL980" t="str">
        <f>IF(ISNUMBER(FIND("arbeid",Methode_Keuze)),"",IF(ISNUMBER(FIND("arbeid",Methode_Keuze)),"",IF(Tb_Activiteiten[[#This Row],[Eigen arbeid]]=1,Tb_Activiteiten[[#Headers],[Eigen arbeid]],"")))</f>
        <v/>
      </c>
      <c r="AM980" t="str">
        <f>IF(ISNUMBER(FIND("arbeid",Methode_Keuze)),"",IF(ISNUMBER(FIND("arbeid",Methode_Keuze)),"",IF(Tb_Activiteiten[[#This Row],[Projectmedewerker]]=1,Tb_Activiteiten[[#Headers],[Projectmedewerker]],"")))</f>
        <v/>
      </c>
      <c r="AN980" t="str">
        <f>IF(ISNUMBER(FIND("arbeid",Methode_Keuze)),"",IF(ISNUMBER(FIND("arbeid",Methode_Keuze)),"",IF(Tb_Activiteiten[[#This Row],[Landbouwer]]=1,Tb_Activiteiten[[#Headers],[Landbouwer]],"")))</f>
        <v/>
      </c>
      <c r="AO980" t="str">
        <f>IF(ISNUMBER(FIND("arbeid",Methode_Keuze)),"",IF(ISNUMBER(FIND("arbeid",Methode_Keuze)),"",IF(Tb_Activiteiten[[#This Row],[Adviseur]]=1,Tb_Activiteiten[[#Headers],[Adviseur]],"")))</f>
        <v/>
      </c>
      <c r="AP980" t="str">
        <f>IF(ISNUMBER(FIND("arbeid",Methode_Keuze)),"",IF(ISNUMBER(FIND("arbeid",Methode_Keuze)),"",IF(Tb_Activiteiten[[#This Row],[Projectleider/Expert]]=1,Tb_Activiteiten[[#Headers],[Projectleider/Expert]],"")))</f>
        <v/>
      </c>
      <c r="AQ980" t="str">
        <f>IF(ISNUMBER(FIND("arbeid",Methode_Keuze)),"",IF(ISNUMBER(FIND("arbeid",Methode_Keuze)),"",IF(Tb_Activiteiten[[#This Row],[Arbeidskosten]]=1,Tb_Activiteiten[[#Headers],[Arbeidskosten]],"")))</f>
        <v/>
      </c>
      <c r="AR980" t="str">
        <f>IF(ISNUMBER(FIND("arbeid",Methode_Keuze)),"",IF(ISNUMBER(FIND("arbeid",Methode_Keuze)),"",IF(Tb_Activiteiten[[#This Row],[Arbeidskosten op basis van IKS]]=1,Tb_Activiteiten[[#Headers],[Arbeidskosten op basis van IKS]],"")))</f>
        <v/>
      </c>
      <c r="AS980" t="str">
        <f>IF(ISNUMBER(FIND("overige",Methode_Keuze)),"",IF(Tb_Activiteiten[[#This Row],[Kosten derden exclusief btw]]=1,Tb_Activiteiten[[#Headers],[Kosten derden exclusief btw]],""))</f>
        <v/>
      </c>
      <c r="AT980" t="str">
        <f>IF(ISNUMBER(FIND("overige",Methode_Keuze)),"",IF(Tb_Activiteiten[[#This Row],[Niet verrekenbare btw]]=1,Tb_Activiteiten[[#Headers],[Niet verrekenbare btw]],""))</f>
        <v/>
      </c>
      <c r="AU980" t="str">
        <f>IF(ISNUMBER(FIND("overige",Methode_Keuze)),"",IF(Tb_Activiteiten[[#This Row],[Grondkosten]]=1,Tb_Activiteiten[[#Headers],[Grondkosten]],""))</f>
        <v/>
      </c>
      <c r="AV980" t="str">
        <f>IF(ISNUMBER(FIND("overige",Methode_Keuze)),"",IF(Tb_Activiteiten[[#This Row],[Bijdrage in natura (overige)]]=1,Tb_Activiteiten[[#Headers],[Bijdrage in natura (overige)]],""))</f>
        <v/>
      </c>
      <c r="AW980" t="str">
        <f>IF(ISNUMBER(FIND("overige",Methode_Keuze)),"",IF(Tb_Activiteiten[[#This Row],[Bijdrage in natura (vrijwilligers)]]=1,Tb_Activiteiten[[#Headers],[Bijdrage in natura (vrijwilligers)]],""))</f>
        <v/>
      </c>
      <c r="AX980" t="str">
        <f>IF(ISNUMBER(FIND("overige",Methode_Keuze)),"",IF(Tb_Activiteiten[[#This Row],[Afschrijvingskosten]]=1,Tb_Activiteiten[[#Headers],[Afschrijvingskosten]],""))</f>
        <v/>
      </c>
      <c r="AY980" t="str">
        <f>IF(ISNUMBER(FIND("overige",Methode_Keuze)),"",IF(Tb_Activiteiten[[#This Row],[Vergoeding]]=1,Tb_Activiteiten[[#Headers],[Vergoeding]],""))</f>
        <v/>
      </c>
      <c r="AZ980" t="str">
        <f>IF(ISNUMBER(FIND("arbeid",Methode_Keuze)),"",IF(Tb_Activiteiten[[#This Row],[Arbeidskosten - vast tarief (excl eigen arbeid)]]=1,Tb_Activiteiten[[#Headers],[Arbeidskosten - vast tarief (excl eigen arbeid)]],""))</f>
        <v/>
      </c>
      <c r="BA980" t="str">
        <f>IF(ISNUMBER(FIND("overige",Methode_Keuze)),"",IF(Tb_Activiteiten[[#This Row],[Overige kosten]]=1,Tb_Activiteiten[[#Headers],[Overige kosten]],""))</f>
        <v/>
      </c>
    </row>
    <row r="981" spans="1:53" x14ac:dyDescent="0.25">
      <c r="A981" s="231"/>
      <c r="F981" s="64"/>
      <c r="G981" s="64"/>
      <c r="H981" s="275"/>
      <c r="I981" s="275"/>
      <c r="J981" s="275"/>
      <c r="K981" s="275"/>
      <c r="O981" s="56"/>
      <c r="Q981" t="str">
        <f>IFERROR(IF(VLOOKUP(Tb_Activiteiten[[#This Row],[Openstelling]],Tb_Openstelling[],2,0)=1,1,""),"")</f>
        <v/>
      </c>
      <c r="AK981" t="str">
        <f>IF(ISNUMBER(FIND("arbeid",Methode_Keuze)),"",IF(ISNUMBER(FIND("arbeid",Methode_Keuze)),"",IF(Tb_Activiteiten[[#This Row],[Loonkosten]]=1,Tb_Activiteiten[[#Headers],[Loonkosten]],"")))</f>
        <v/>
      </c>
      <c r="AL981" t="str">
        <f>IF(ISNUMBER(FIND("arbeid",Methode_Keuze)),"",IF(ISNUMBER(FIND("arbeid",Methode_Keuze)),"",IF(Tb_Activiteiten[[#This Row],[Eigen arbeid]]=1,Tb_Activiteiten[[#Headers],[Eigen arbeid]],"")))</f>
        <v/>
      </c>
      <c r="AM981" t="str">
        <f>IF(ISNUMBER(FIND("arbeid",Methode_Keuze)),"",IF(ISNUMBER(FIND("arbeid",Methode_Keuze)),"",IF(Tb_Activiteiten[[#This Row],[Projectmedewerker]]=1,Tb_Activiteiten[[#Headers],[Projectmedewerker]],"")))</f>
        <v/>
      </c>
      <c r="AN981" t="str">
        <f>IF(ISNUMBER(FIND("arbeid",Methode_Keuze)),"",IF(ISNUMBER(FIND("arbeid",Methode_Keuze)),"",IF(Tb_Activiteiten[[#This Row],[Landbouwer]]=1,Tb_Activiteiten[[#Headers],[Landbouwer]],"")))</f>
        <v/>
      </c>
      <c r="AO981" t="str">
        <f>IF(ISNUMBER(FIND("arbeid",Methode_Keuze)),"",IF(ISNUMBER(FIND("arbeid",Methode_Keuze)),"",IF(Tb_Activiteiten[[#This Row],[Adviseur]]=1,Tb_Activiteiten[[#Headers],[Adviseur]],"")))</f>
        <v/>
      </c>
      <c r="AP981" t="str">
        <f>IF(ISNUMBER(FIND("arbeid",Methode_Keuze)),"",IF(ISNUMBER(FIND("arbeid",Methode_Keuze)),"",IF(Tb_Activiteiten[[#This Row],[Projectleider/Expert]]=1,Tb_Activiteiten[[#Headers],[Projectleider/Expert]],"")))</f>
        <v/>
      </c>
      <c r="AQ981" t="str">
        <f>IF(ISNUMBER(FIND("arbeid",Methode_Keuze)),"",IF(ISNUMBER(FIND("arbeid",Methode_Keuze)),"",IF(Tb_Activiteiten[[#This Row],[Arbeidskosten]]=1,Tb_Activiteiten[[#Headers],[Arbeidskosten]],"")))</f>
        <v/>
      </c>
      <c r="AR981" t="str">
        <f>IF(ISNUMBER(FIND("arbeid",Methode_Keuze)),"",IF(ISNUMBER(FIND("arbeid",Methode_Keuze)),"",IF(Tb_Activiteiten[[#This Row],[Arbeidskosten op basis van IKS]]=1,Tb_Activiteiten[[#Headers],[Arbeidskosten op basis van IKS]],"")))</f>
        <v/>
      </c>
      <c r="AS981" t="str">
        <f>IF(ISNUMBER(FIND("overige",Methode_Keuze)),"",IF(Tb_Activiteiten[[#This Row],[Kosten derden exclusief btw]]=1,Tb_Activiteiten[[#Headers],[Kosten derden exclusief btw]],""))</f>
        <v/>
      </c>
      <c r="AT981" t="str">
        <f>IF(ISNUMBER(FIND("overige",Methode_Keuze)),"",IF(Tb_Activiteiten[[#This Row],[Niet verrekenbare btw]]=1,Tb_Activiteiten[[#Headers],[Niet verrekenbare btw]],""))</f>
        <v/>
      </c>
      <c r="AU981" t="str">
        <f>IF(ISNUMBER(FIND("overige",Methode_Keuze)),"",IF(Tb_Activiteiten[[#This Row],[Grondkosten]]=1,Tb_Activiteiten[[#Headers],[Grondkosten]],""))</f>
        <v/>
      </c>
      <c r="AV981" t="str">
        <f>IF(ISNUMBER(FIND("overige",Methode_Keuze)),"",IF(Tb_Activiteiten[[#This Row],[Bijdrage in natura (overige)]]=1,Tb_Activiteiten[[#Headers],[Bijdrage in natura (overige)]],""))</f>
        <v/>
      </c>
      <c r="AW981" t="str">
        <f>IF(ISNUMBER(FIND("overige",Methode_Keuze)),"",IF(Tb_Activiteiten[[#This Row],[Bijdrage in natura (vrijwilligers)]]=1,Tb_Activiteiten[[#Headers],[Bijdrage in natura (vrijwilligers)]],""))</f>
        <v/>
      </c>
      <c r="AX981" t="str">
        <f>IF(ISNUMBER(FIND("overige",Methode_Keuze)),"",IF(Tb_Activiteiten[[#This Row],[Afschrijvingskosten]]=1,Tb_Activiteiten[[#Headers],[Afschrijvingskosten]],""))</f>
        <v/>
      </c>
      <c r="AY981" t="str">
        <f>IF(ISNUMBER(FIND("overige",Methode_Keuze)),"",IF(Tb_Activiteiten[[#This Row],[Vergoeding]]=1,Tb_Activiteiten[[#Headers],[Vergoeding]],""))</f>
        <v/>
      </c>
      <c r="AZ981" t="str">
        <f>IF(ISNUMBER(FIND("arbeid",Methode_Keuze)),"",IF(Tb_Activiteiten[[#This Row],[Arbeidskosten - vast tarief (excl eigen arbeid)]]=1,Tb_Activiteiten[[#Headers],[Arbeidskosten - vast tarief (excl eigen arbeid)]],""))</f>
        <v/>
      </c>
      <c r="BA981" t="str">
        <f>IF(ISNUMBER(FIND("overige",Methode_Keuze)),"",IF(Tb_Activiteiten[[#This Row],[Overige kosten]]=1,Tb_Activiteiten[[#Headers],[Overige kosten]],""))</f>
        <v/>
      </c>
    </row>
    <row r="982" spans="1:53" x14ac:dyDescent="0.25">
      <c r="A982" s="231"/>
      <c r="F982" s="64"/>
      <c r="G982" s="64"/>
      <c r="H982" s="275"/>
      <c r="I982" s="275"/>
      <c r="J982" s="275"/>
      <c r="K982" s="275"/>
      <c r="O982" s="56"/>
      <c r="Q982" t="str">
        <f>IFERROR(IF(VLOOKUP(Tb_Activiteiten[[#This Row],[Openstelling]],Tb_Openstelling[],2,0)=1,1,""),"")</f>
        <v/>
      </c>
      <c r="AK982" t="str">
        <f>IF(ISNUMBER(FIND("arbeid",Methode_Keuze)),"",IF(ISNUMBER(FIND("arbeid",Methode_Keuze)),"",IF(Tb_Activiteiten[[#This Row],[Loonkosten]]=1,Tb_Activiteiten[[#Headers],[Loonkosten]],"")))</f>
        <v/>
      </c>
      <c r="AL982" t="str">
        <f>IF(ISNUMBER(FIND("arbeid",Methode_Keuze)),"",IF(ISNUMBER(FIND("arbeid",Methode_Keuze)),"",IF(Tb_Activiteiten[[#This Row],[Eigen arbeid]]=1,Tb_Activiteiten[[#Headers],[Eigen arbeid]],"")))</f>
        <v/>
      </c>
      <c r="AM982" t="str">
        <f>IF(ISNUMBER(FIND("arbeid",Methode_Keuze)),"",IF(ISNUMBER(FIND("arbeid",Methode_Keuze)),"",IF(Tb_Activiteiten[[#This Row],[Projectmedewerker]]=1,Tb_Activiteiten[[#Headers],[Projectmedewerker]],"")))</f>
        <v/>
      </c>
      <c r="AN982" t="str">
        <f>IF(ISNUMBER(FIND("arbeid",Methode_Keuze)),"",IF(ISNUMBER(FIND("arbeid",Methode_Keuze)),"",IF(Tb_Activiteiten[[#This Row],[Landbouwer]]=1,Tb_Activiteiten[[#Headers],[Landbouwer]],"")))</f>
        <v/>
      </c>
      <c r="AO982" t="str">
        <f>IF(ISNUMBER(FIND("arbeid",Methode_Keuze)),"",IF(ISNUMBER(FIND("arbeid",Methode_Keuze)),"",IF(Tb_Activiteiten[[#This Row],[Adviseur]]=1,Tb_Activiteiten[[#Headers],[Adviseur]],"")))</f>
        <v/>
      </c>
      <c r="AP982" t="str">
        <f>IF(ISNUMBER(FIND("arbeid",Methode_Keuze)),"",IF(ISNUMBER(FIND("arbeid",Methode_Keuze)),"",IF(Tb_Activiteiten[[#This Row],[Projectleider/Expert]]=1,Tb_Activiteiten[[#Headers],[Projectleider/Expert]],"")))</f>
        <v/>
      </c>
      <c r="AQ982" t="str">
        <f>IF(ISNUMBER(FIND("arbeid",Methode_Keuze)),"",IF(ISNUMBER(FIND("arbeid",Methode_Keuze)),"",IF(Tb_Activiteiten[[#This Row],[Arbeidskosten]]=1,Tb_Activiteiten[[#Headers],[Arbeidskosten]],"")))</f>
        <v/>
      </c>
      <c r="AR982" t="str">
        <f>IF(ISNUMBER(FIND("arbeid",Methode_Keuze)),"",IF(ISNUMBER(FIND("arbeid",Methode_Keuze)),"",IF(Tb_Activiteiten[[#This Row],[Arbeidskosten op basis van IKS]]=1,Tb_Activiteiten[[#Headers],[Arbeidskosten op basis van IKS]],"")))</f>
        <v/>
      </c>
      <c r="AS982" t="str">
        <f>IF(ISNUMBER(FIND("overige",Methode_Keuze)),"",IF(Tb_Activiteiten[[#This Row],[Kosten derden exclusief btw]]=1,Tb_Activiteiten[[#Headers],[Kosten derden exclusief btw]],""))</f>
        <v/>
      </c>
      <c r="AT982" t="str">
        <f>IF(ISNUMBER(FIND("overige",Methode_Keuze)),"",IF(Tb_Activiteiten[[#This Row],[Niet verrekenbare btw]]=1,Tb_Activiteiten[[#Headers],[Niet verrekenbare btw]],""))</f>
        <v/>
      </c>
      <c r="AU982" t="str">
        <f>IF(ISNUMBER(FIND("overige",Methode_Keuze)),"",IF(Tb_Activiteiten[[#This Row],[Grondkosten]]=1,Tb_Activiteiten[[#Headers],[Grondkosten]],""))</f>
        <v/>
      </c>
      <c r="AV982" t="str">
        <f>IF(ISNUMBER(FIND("overige",Methode_Keuze)),"",IF(Tb_Activiteiten[[#This Row],[Bijdrage in natura (overige)]]=1,Tb_Activiteiten[[#Headers],[Bijdrage in natura (overige)]],""))</f>
        <v/>
      </c>
      <c r="AW982" t="str">
        <f>IF(ISNUMBER(FIND("overige",Methode_Keuze)),"",IF(Tb_Activiteiten[[#This Row],[Bijdrage in natura (vrijwilligers)]]=1,Tb_Activiteiten[[#Headers],[Bijdrage in natura (vrijwilligers)]],""))</f>
        <v/>
      </c>
      <c r="AX982" t="str">
        <f>IF(ISNUMBER(FIND("overige",Methode_Keuze)),"",IF(Tb_Activiteiten[[#This Row],[Afschrijvingskosten]]=1,Tb_Activiteiten[[#Headers],[Afschrijvingskosten]],""))</f>
        <v/>
      </c>
      <c r="AY982" t="str">
        <f>IF(ISNUMBER(FIND("overige",Methode_Keuze)),"",IF(Tb_Activiteiten[[#This Row],[Vergoeding]]=1,Tb_Activiteiten[[#Headers],[Vergoeding]],""))</f>
        <v/>
      </c>
      <c r="AZ982" t="str">
        <f>IF(ISNUMBER(FIND("arbeid",Methode_Keuze)),"",IF(Tb_Activiteiten[[#This Row],[Arbeidskosten - vast tarief (excl eigen arbeid)]]=1,Tb_Activiteiten[[#Headers],[Arbeidskosten - vast tarief (excl eigen arbeid)]],""))</f>
        <v/>
      </c>
      <c r="BA982" t="str">
        <f>IF(ISNUMBER(FIND("overige",Methode_Keuze)),"",IF(Tb_Activiteiten[[#This Row],[Overige kosten]]=1,Tb_Activiteiten[[#Headers],[Overige kosten]],""))</f>
        <v/>
      </c>
    </row>
    <row r="983" spans="1:53" x14ac:dyDescent="0.25">
      <c r="A983" s="231"/>
      <c r="F983" s="64"/>
      <c r="G983" s="64"/>
      <c r="H983" s="275"/>
      <c r="I983" s="275"/>
      <c r="J983" s="275"/>
      <c r="K983" s="275"/>
      <c r="O983" s="56"/>
      <c r="Q983" t="str">
        <f>IFERROR(IF(VLOOKUP(Tb_Activiteiten[[#This Row],[Openstelling]],Tb_Openstelling[],2,0)=1,1,""),"")</f>
        <v/>
      </c>
      <c r="AK983" t="str">
        <f>IF(ISNUMBER(FIND("arbeid",Methode_Keuze)),"",IF(ISNUMBER(FIND("arbeid",Methode_Keuze)),"",IF(Tb_Activiteiten[[#This Row],[Loonkosten]]=1,Tb_Activiteiten[[#Headers],[Loonkosten]],"")))</f>
        <v/>
      </c>
      <c r="AL983" t="str">
        <f>IF(ISNUMBER(FIND("arbeid",Methode_Keuze)),"",IF(ISNUMBER(FIND("arbeid",Methode_Keuze)),"",IF(Tb_Activiteiten[[#This Row],[Eigen arbeid]]=1,Tb_Activiteiten[[#Headers],[Eigen arbeid]],"")))</f>
        <v/>
      </c>
      <c r="AM983" t="str">
        <f>IF(ISNUMBER(FIND("arbeid",Methode_Keuze)),"",IF(ISNUMBER(FIND("arbeid",Methode_Keuze)),"",IF(Tb_Activiteiten[[#This Row],[Projectmedewerker]]=1,Tb_Activiteiten[[#Headers],[Projectmedewerker]],"")))</f>
        <v/>
      </c>
      <c r="AN983" t="str">
        <f>IF(ISNUMBER(FIND("arbeid",Methode_Keuze)),"",IF(ISNUMBER(FIND("arbeid",Methode_Keuze)),"",IF(Tb_Activiteiten[[#This Row],[Landbouwer]]=1,Tb_Activiteiten[[#Headers],[Landbouwer]],"")))</f>
        <v/>
      </c>
      <c r="AO983" t="str">
        <f>IF(ISNUMBER(FIND("arbeid",Methode_Keuze)),"",IF(ISNUMBER(FIND("arbeid",Methode_Keuze)),"",IF(Tb_Activiteiten[[#This Row],[Adviseur]]=1,Tb_Activiteiten[[#Headers],[Adviseur]],"")))</f>
        <v/>
      </c>
      <c r="AP983" t="str">
        <f>IF(ISNUMBER(FIND("arbeid",Methode_Keuze)),"",IF(ISNUMBER(FIND("arbeid",Methode_Keuze)),"",IF(Tb_Activiteiten[[#This Row],[Projectleider/Expert]]=1,Tb_Activiteiten[[#Headers],[Projectleider/Expert]],"")))</f>
        <v/>
      </c>
      <c r="AQ983" t="str">
        <f>IF(ISNUMBER(FIND("arbeid",Methode_Keuze)),"",IF(ISNUMBER(FIND("arbeid",Methode_Keuze)),"",IF(Tb_Activiteiten[[#This Row],[Arbeidskosten]]=1,Tb_Activiteiten[[#Headers],[Arbeidskosten]],"")))</f>
        <v/>
      </c>
      <c r="AR983" t="str">
        <f>IF(ISNUMBER(FIND("arbeid",Methode_Keuze)),"",IF(ISNUMBER(FIND("arbeid",Methode_Keuze)),"",IF(Tb_Activiteiten[[#This Row],[Arbeidskosten op basis van IKS]]=1,Tb_Activiteiten[[#Headers],[Arbeidskosten op basis van IKS]],"")))</f>
        <v/>
      </c>
      <c r="AS983" t="str">
        <f>IF(ISNUMBER(FIND("overige",Methode_Keuze)),"",IF(Tb_Activiteiten[[#This Row],[Kosten derden exclusief btw]]=1,Tb_Activiteiten[[#Headers],[Kosten derden exclusief btw]],""))</f>
        <v/>
      </c>
      <c r="AT983" t="str">
        <f>IF(ISNUMBER(FIND("overige",Methode_Keuze)),"",IF(Tb_Activiteiten[[#This Row],[Niet verrekenbare btw]]=1,Tb_Activiteiten[[#Headers],[Niet verrekenbare btw]],""))</f>
        <v/>
      </c>
      <c r="AU983" t="str">
        <f>IF(ISNUMBER(FIND("overige",Methode_Keuze)),"",IF(Tb_Activiteiten[[#This Row],[Grondkosten]]=1,Tb_Activiteiten[[#Headers],[Grondkosten]],""))</f>
        <v/>
      </c>
      <c r="AV983" t="str">
        <f>IF(ISNUMBER(FIND("overige",Methode_Keuze)),"",IF(Tb_Activiteiten[[#This Row],[Bijdrage in natura (overige)]]=1,Tb_Activiteiten[[#Headers],[Bijdrage in natura (overige)]],""))</f>
        <v/>
      </c>
      <c r="AW983" t="str">
        <f>IF(ISNUMBER(FIND("overige",Methode_Keuze)),"",IF(Tb_Activiteiten[[#This Row],[Bijdrage in natura (vrijwilligers)]]=1,Tb_Activiteiten[[#Headers],[Bijdrage in natura (vrijwilligers)]],""))</f>
        <v/>
      </c>
      <c r="AX983" t="str">
        <f>IF(ISNUMBER(FIND("overige",Methode_Keuze)),"",IF(Tb_Activiteiten[[#This Row],[Afschrijvingskosten]]=1,Tb_Activiteiten[[#Headers],[Afschrijvingskosten]],""))</f>
        <v/>
      </c>
      <c r="AY983" t="str">
        <f>IF(ISNUMBER(FIND("overige",Methode_Keuze)),"",IF(Tb_Activiteiten[[#This Row],[Vergoeding]]=1,Tb_Activiteiten[[#Headers],[Vergoeding]],""))</f>
        <v/>
      </c>
      <c r="AZ983" t="str">
        <f>IF(ISNUMBER(FIND("arbeid",Methode_Keuze)),"",IF(Tb_Activiteiten[[#This Row],[Arbeidskosten - vast tarief (excl eigen arbeid)]]=1,Tb_Activiteiten[[#Headers],[Arbeidskosten - vast tarief (excl eigen arbeid)]],""))</f>
        <v/>
      </c>
      <c r="BA983" t="str">
        <f>IF(ISNUMBER(FIND("overige",Methode_Keuze)),"",IF(Tb_Activiteiten[[#This Row],[Overige kosten]]=1,Tb_Activiteiten[[#Headers],[Overige kosten]],""))</f>
        <v/>
      </c>
    </row>
    <row r="984" spans="1:53" x14ac:dyDescent="0.25">
      <c r="A984" s="231"/>
      <c r="F984" s="64"/>
      <c r="G984" s="64"/>
      <c r="H984" s="275"/>
      <c r="I984" s="275"/>
      <c r="J984" s="275"/>
      <c r="K984" s="275"/>
      <c r="O984" s="56"/>
      <c r="Q984" t="str">
        <f>IFERROR(IF(VLOOKUP(Tb_Activiteiten[[#This Row],[Openstelling]],Tb_Openstelling[],2,0)=1,1,""),"")</f>
        <v/>
      </c>
      <c r="AK984" t="str">
        <f>IF(ISNUMBER(FIND("arbeid",Methode_Keuze)),"",IF(ISNUMBER(FIND("arbeid",Methode_Keuze)),"",IF(Tb_Activiteiten[[#This Row],[Loonkosten]]=1,Tb_Activiteiten[[#Headers],[Loonkosten]],"")))</f>
        <v/>
      </c>
      <c r="AL984" t="str">
        <f>IF(ISNUMBER(FIND("arbeid",Methode_Keuze)),"",IF(ISNUMBER(FIND("arbeid",Methode_Keuze)),"",IF(Tb_Activiteiten[[#This Row],[Eigen arbeid]]=1,Tb_Activiteiten[[#Headers],[Eigen arbeid]],"")))</f>
        <v/>
      </c>
      <c r="AM984" t="str">
        <f>IF(ISNUMBER(FIND("arbeid",Methode_Keuze)),"",IF(ISNUMBER(FIND("arbeid",Methode_Keuze)),"",IF(Tb_Activiteiten[[#This Row],[Projectmedewerker]]=1,Tb_Activiteiten[[#Headers],[Projectmedewerker]],"")))</f>
        <v/>
      </c>
      <c r="AN984" t="str">
        <f>IF(ISNUMBER(FIND("arbeid",Methode_Keuze)),"",IF(ISNUMBER(FIND("arbeid",Methode_Keuze)),"",IF(Tb_Activiteiten[[#This Row],[Landbouwer]]=1,Tb_Activiteiten[[#Headers],[Landbouwer]],"")))</f>
        <v/>
      </c>
      <c r="AO984" t="str">
        <f>IF(ISNUMBER(FIND("arbeid",Methode_Keuze)),"",IF(ISNUMBER(FIND("arbeid",Methode_Keuze)),"",IF(Tb_Activiteiten[[#This Row],[Adviseur]]=1,Tb_Activiteiten[[#Headers],[Adviseur]],"")))</f>
        <v/>
      </c>
      <c r="AP984" t="str">
        <f>IF(ISNUMBER(FIND("arbeid",Methode_Keuze)),"",IF(ISNUMBER(FIND("arbeid",Methode_Keuze)),"",IF(Tb_Activiteiten[[#This Row],[Projectleider/Expert]]=1,Tb_Activiteiten[[#Headers],[Projectleider/Expert]],"")))</f>
        <v/>
      </c>
      <c r="AQ984" t="str">
        <f>IF(ISNUMBER(FIND("arbeid",Methode_Keuze)),"",IF(ISNUMBER(FIND("arbeid",Methode_Keuze)),"",IF(Tb_Activiteiten[[#This Row],[Arbeidskosten]]=1,Tb_Activiteiten[[#Headers],[Arbeidskosten]],"")))</f>
        <v/>
      </c>
      <c r="AR984" t="str">
        <f>IF(ISNUMBER(FIND("arbeid",Methode_Keuze)),"",IF(ISNUMBER(FIND("arbeid",Methode_Keuze)),"",IF(Tb_Activiteiten[[#This Row],[Arbeidskosten op basis van IKS]]=1,Tb_Activiteiten[[#Headers],[Arbeidskosten op basis van IKS]],"")))</f>
        <v/>
      </c>
      <c r="AS984" t="str">
        <f>IF(ISNUMBER(FIND("overige",Methode_Keuze)),"",IF(Tb_Activiteiten[[#This Row],[Kosten derden exclusief btw]]=1,Tb_Activiteiten[[#Headers],[Kosten derden exclusief btw]],""))</f>
        <v/>
      </c>
      <c r="AT984" t="str">
        <f>IF(ISNUMBER(FIND("overige",Methode_Keuze)),"",IF(Tb_Activiteiten[[#This Row],[Niet verrekenbare btw]]=1,Tb_Activiteiten[[#Headers],[Niet verrekenbare btw]],""))</f>
        <v/>
      </c>
      <c r="AU984" t="str">
        <f>IF(ISNUMBER(FIND("overige",Methode_Keuze)),"",IF(Tb_Activiteiten[[#This Row],[Grondkosten]]=1,Tb_Activiteiten[[#Headers],[Grondkosten]],""))</f>
        <v/>
      </c>
      <c r="AV984" t="str">
        <f>IF(ISNUMBER(FIND("overige",Methode_Keuze)),"",IF(Tb_Activiteiten[[#This Row],[Bijdrage in natura (overige)]]=1,Tb_Activiteiten[[#Headers],[Bijdrage in natura (overige)]],""))</f>
        <v/>
      </c>
      <c r="AW984" t="str">
        <f>IF(ISNUMBER(FIND("overige",Methode_Keuze)),"",IF(Tb_Activiteiten[[#This Row],[Bijdrage in natura (vrijwilligers)]]=1,Tb_Activiteiten[[#Headers],[Bijdrage in natura (vrijwilligers)]],""))</f>
        <v/>
      </c>
      <c r="AX984" t="str">
        <f>IF(ISNUMBER(FIND("overige",Methode_Keuze)),"",IF(Tb_Activiteiten[[#This Row],[Afschrijvingskosten]]=1,Tb_Activiteiten[[#Headers],[Afschrijvingskosten]],""))</f>
        <v/>
      </c>
      <c r="AY984" t="str">
        <f>IF(ISNUMBER(FIND("overige",Methode_Keuze)),"",IF(Tb_Activiteiten[[#This Row],[Vergoeding]]=1,Tb_Activiteiten[[#Headers],[Vergoeding]],""))</f>
        <v/>
      </c>
      <c r="AZ984" t="str">
        <f>IF(ISNUMBER(FIND("arbeid",Methode_Keuze)),"",IF(Tb_Activiteiten[[#This Row],[Arbeidskosten - vast tarief (excl eigen arbeid)]]=1,Tb_Activiteiten[[#Headers],[Arbeidskosten - vast tarief (excl eigen arbeid)]],""))</f>
        <v/>
      </c>
      <c r="BA984" t="str">
        <f>IF(ISNUMBER(FIND("overige",Methode_Keuze)),"",IF(Tb_Activiteiten[[#This Row],[Overige kosten]]=1,Tb_Activiteiten[[#Headers],[Overige kosten]],""))</f>
        <v/>
      </c>
    </row>
    <row r="985" spans="1:53" x14ac:dyDescent="0.25">
      <c r="A985" s="231"/>
      <c r="F985" s="64"/>
      <c r="G985" s="64"/>
      <c r="H985" s="275"/>
      <c r="I985" s="275"/>
      <c r="J985" s="275"/>
      <c r="K985" s="275"/>
      <c r="O985" s="56"/>
      <c r="Q985" t="str">
        <f>IFERROR(IF(VLOOKUP(Tb_Activiteiten[[#This Row],[Openstelling]],Tb_Openstelling[],2,0)=1,1,""),"")</f>
        <v/>
      </c>
      <c r="AK985" t="str">
        <f>IF(ISNUMBER(FIND("arbeid",Methode_Keuze)),"",IF(ISNUMBER(FIND("arbeid",Methode_Keuze)),"",IF(Tb_Activiteiten[[#This Row],[Loonkosten]]=1,Tb_Activiteiten[[#Headers],[Loonkosten]],"")))</f>
        <v/>
      </c>
      <c r="AL985" t="str">
        <f>IF(ISNUMBER(FIND("arbeid",Methode_Keuze)),"",IF(ISNUMBER(FIND("arbeid",Methode_Keuze)),"",IF(Tb_Activiteiten[[#This Row],[Eigen arbeid]]=1,Tb_Activiteiten[[#Headers],[Eigen arbeid]],"")))</f>
        <v/>
      </c>
      <c r="AM985" t="str">
        <f>IF(ISNUMBER(FIND("arbeid",Methode_Keuze)),"",IF(ISNUMBER(FIND("arbeid",Methode_Keuze)),"",IF(Tb_Activiteiten[[#This Row],[Projectmedewerker]]=1,Tb_Activiteiten[[#Headers],[Projectmedewerker]],"")))</f>
        <v/>
      </c>
      <c r="AN985" t="str">
        <f>IF(ISNUMBER(FIND("arbeid",Methode_Keuze)),"",IF(ISNUMBER(FIND("arbeid",Methode_Keuze)),"",IF(Tb_Activiteiten[[#This Row],[Landbouwer]]=1,Tb_Activiteiten[[#Headers],[Landbouwer]],"")))</f>
        <v/>
      </c>
      <c r="AO985" t="str">
        <f>IF(ISNUMBER(FIND("arbeid",Methode_Keuze)),"",IF(ISNUMBER(FIND("arbeid",Methode_Keuze)),"",IF(Tb_Activiteiten[[#This Row],[Adviseur]]=1,Tb_Activiteiten[[#Headers],[Adviseur]],"")))</f>
        <v/>
      </c>
      <c r="AP985" t="str">
        <f>IF(ISNUMBER(FIND("arbeid",Methode_Keuze)),"",IF(ISNUMBER(FIND("arbeid",Methode_Keuze)),"",IF(Tb_Activiteiten[[#This Row],[Projectleider/Expert]]=1,Tb_Activiteiten[[#Headers],[Projectleider/Expert]],"")))</f>
        <v/>
      </c>
      <c r="AQ985" t="str">
        <f>IF(ISNUMBER(FIND("arbeid",Methode_Keuze)),"",IF(ISNUMBER(FIND("arbeid",Methode_Keuze)),"",IF(Tb_Activiteiten[[#This Row],[Arbeidskosten]]=1,Tb_Activiteiten[[#Headers],[Arbeidskosten]],"")))</f>
        <v/>
      </c>
      <c r="AR985" t="str">
        <f>IF(ISNUMBER(FIND("arbeid",Methode_Keuze)),"",IF(ISNUMBER(FIND("arbeid",Methode_Keuze)),"",IF(Tb_Activiteiten[[#This Row],[Arbeidskosten op basis van IKS]]=1,Tb_Activiteiten[[#Headers],[Arbeidskosten op basis van IKS]],"")))</f>
        <v/>
      </c>
      <c r="AS985" t="str">
        <f>IF(ISNUMBER(FIND("overige",Methode_Keuze)),"",IF(Tb_Activiteiten[[#This Row],[Kosten derden exclusief btw]]=1,Tb_Activiteiten[[#Headers],[Kosten derden exclusief btw]],""))</f>
        <v/>
      </c>
      <c r="AT985" t="str">
        <f>IF(ISNUMBER(FIND("overige",Methode_Keuze)),"",IF(Tb_Activiteiten[[#This Row],[Niet verrekenbare btw]]=1,Tb_Activiteiten[[#Headers],[Niet verrekenbare btw]],""))</f>
        <v/>
      </c>
      <c r="AU985" t="str">
        <f>IF(ISNUMBER(FIND("overige",Methode_Keuze)),"",IF(Tb_Activiteiten[[#This Row],[Grondkosten]]=1,Tb_Activiteiten[[#Headers],[Grondkosten]],""))</f>
        <v/>
      </c>
      <c r="AV985" t="str">
        <f>IF(ISNUMBER(FIND("overige",Methode_Keuze)),"",IF(Tb_Activiteiten[[#This Row],[Bijdrage in natura (overige)]]=1,Tb_Activiteiten[[#Headers],[Bijdrage in natura (overige)]],""))</f>
        <v/>
      </c>
      <c r="AW985" t="str">
        <f>IF(ISNUMBER(FIND("overige",Methode_Keuze)),"",IF(Tb_Activiteiten[[#This Row],[Bijdrage in natura (vrijwilligers)]]=1,Tb_Activiteiten[[#Headers],[Bijdrage in natura (vrijwilligers)]],""))</f>
        <v/>
      </c>
      <c r="AX985" t="str">
        <f>IF(ISNUMBER(FIND("overige",Methode_Keuze)),"",IF(Tb_Activiteiten[[#This Row],[Afschrijvingskosten]]=1,Tb_Activiteiten[[#Headers],[Afschrijvingskosten]],""))</f>
        <v/>
      </c>
      <c r="AY985" t="str">
        <f>IF(ISNUMBER(FIND("overige",Methode_Keuze)),"",IF(Tb_Activiteiten[[#This Row],[Vergoeding]]=1,Tb_Activiteiten[[#Headers],[Vergoeding]],""))</f>
        <v/>
      </c>
      <c r="AZ985" t="str">
        <f>IF(ISNUMBER(FIND("arbeid",Methode_Keuze)),"",IF(Tb_Activiteiten[[#This Row],[Arbeidskosten - vast tarief (excl eigen arbeid)]]=1,Tb_Activiteiten[[#Headers],[Arbeidskosten - vast tarief (excl eigen arbeid)]],""))</f>
        <v/>
      </c>
      <c r="BA985" t="str">
        <f>IF(ISNUMBER(FIND("overige",Methode_Keuze)),"",IF(Tb_Activiteiten[[#This Row],[Overige kosten]]=1,Tb_Activiteiten[[#Headers],[Overige kosten]],""))</f>
        <v/>
      </c>
    </row>
    <row r="986" spans="1:53" x14ac:dyDescent="0.25">
      <c r="A986" s="231"/>
      <c r="F986" s="64"/>
      <c r="G986" s="64"/>
      <c r="H986" s="275"/>
      <c r="I986" s="275"/>
      <c r="J986" s="275"/>
      <c r="K986" s="275"/>
      <c r="O986" s="56"/>
      <c r="Q986" t="str">
        <f>IFERROR(IF(VLOOKUP(Tb_Activiteiten[[#This Row],[Openstelling]],Tb_Openstelling[],2,0)=1,1,""),"")</f>
        <v/>
      </c>
      <c r="AK986" t="str">
        <f>IF(ISNUMBER(FIND("arbeid",Methode_Keuze)),"",IF(ISNUMBER(FIND("arbeid",Methode_Keuze)),"",IF(Tb_Activiteiten[[#This Row],[Loonkosten]]=1,Tb_Activiteiten[[#Headers],[Loonkosten]],"")))</f>
        <v/>
      </c>
      <c r="AL986" t="str">
        <f>IF(ISNUMBER(FIND("arbeid",Methode_Keuze)),"",IF(ISNUMBER(FIND("arbeid",Methode_Keuze)),"",IF(Tb_Activiteiten[[#This Row],[Eigen arbeid]]=1,Tb_Activiteiten[[#Headers],[Eigen arbeid]],"")))</f>
        <v/>
      </c>
      <c r="AM986" t="str">
        <f>IF(ISNUMBER(FIND("arbeid",Methode_Keuze)),"",IF(ISNUMBER(FIND("arbeid",Methode_Keuze)),"",IF(Tb_Activiteiten[[#This Row],[Projectmedewerker]]=1,Tb_Activiteiten[[#Headers],[Projectmedewerker]],"")))</f>
        <v/>
      </c>
      <c r="AN986" t="str">
        <f>IF(ISNUMBER(FIND("arbeid",Methode_Keuze)),"",IF(ISNUMBER(FIND("arbeid",Methode_Keuze)),"",IF(Tb_Activiteiten[[#This Row],[Landbouwer]]=1,Tb_Activiteiten[[#Headers],[Landbouwer]],"")))</f>
        <v/>
      </c>
      <c r="AO986" t="str">
        <f>IF(ISNUMBER(FIND("arbeid",Methode_Keuze)),"",IF(ISNUMBER(FIND("arbeid",Methode_Keuze)),"",IF(Tb_Activiteiten[[#This Row],[Adviseur]]=1,Tb_Activiteiten[[#Headers],[Adviseur]],"")))</f>
        <v/>
      </c>
      <c r="AP986" t="str">
        <f>IF(ISNUMBER(FIND("arbeid",Methode_Keuze)),"",IF(ISNUMBER(FIND("arbeid",Methode_Keuze)),"",IF(Tb_Activiteiten[[#This Row],[Projectleider/Expert]]=1,Tb_Activiteiten[[#Headers],[Projectleider/Expert]],"")))</f>
        <v/>
      </c>
      <c r="AQ986" t="str">
        <f>IF(ISNUMBER(FIND("arbeid",Methode_Keuze)),"",IF(ISNUMBER(FIND("arbeid",Methode_Keuze)),"",IF(Tb_Activiteiten[[#This Row],[Arbeidskosten]]=1,Tb_Activiteiten[[#Headers],[Arbeidskosten]],"")))</f>
        <v/>
      </c>
      <c r="AR986" t="str">
        <f>IF(ISNUMBER(FIND("arbeid",Methode_Keuze)),"",IF(ISNUMBER(FIND("arbeid",Methode_Keuze)),"",IF(Tb_Activiteiten[[#This Row],[Arbeidskosten op basis van IKS]]=1,Tb_Activiteiten[[#Headers],[Arbeidskosten op basis van IKS]],"")))</f>
        <v/>
      </c>
      <c r="AS986" t="str">
        <f>IF(ISNUMBER(FIND("overige",Methode_Keuze)),"",IF(Tb_Activiteiten[[#This Row],[Kosten derden exclusief btw]]=1,Tb_Activiteiten[[#Headers],[Kosten derden exclusief btw]],""))</f>
        <v/>
      </c>
      <c r="AT986" t="str">
        <f>IF(ISNUMBER(FIND("overige",Methode_Keuze)),"",IF(Tb_Activiteiten[[#This Row],[Niet verrekenbare btw]]=1,Tb_Activiteiten[[#Headers],[Niet verrekenbare btw]],""))</f>
        <v/>
      </c>
      <c r="AU986" t="str">
        <f>IF(ISNUMBER(FIND("overige",Methode_Keuze)),"",IF(Tb_Activiteiten[[#This Row],[Grondkosten]]=1,Tb_Activiteiten[[#Headers],[Grondkosten]],""))</f>
        <v/>
      </c>
      <c r="AV986" t="str">
        <f>IF(ISNUMBER(FIND("overige",Methode_Keuze)),"",IF(Tb_Activiteiten[[#This Row],[Bijdrage in natura (overige)]]=1,Tb_Activiteiten[[#Headers],[Bijdrage in natura (overige)]],""))</f>
        <v/>
      </c>
      <c r="AW986" t="str">
        <f>IF(ISNUMBER(FIND("overige",Methode_Keuze)),"",IF(Tb_Activiteiten[[#This Row],[Bijdrage in natura (vrijwilligers)]]=1,Tb_Activiteiten[[#Headers],[Bijdrage in natura (vrijwilligers)]],""))</f>
        <v/>
      </c>
      <c r="AX986" t="str">
        <f>IF(ISNUMBER(FIND("overige",Methode_Keuze)),"",IF(Tb_Activiteiten[[#This Row],[Afschrijvingskosten]]=1,Tb_Activiteiten[[#Headers],[Afschrijvingskosten]],""))</f>
        <v/>
      </c>
      <c r="AY986" t="str">
        <f>IF(ISNUMBER(FIND("overige",Methode_Keuze)),"",IF(Tb_Activiteiten[[#This Row],[Vergoeding]]=1,Tb_Activiteiten[[#Headers],[Vergoeding]],""))</f>
        <v/>
      </c>
      <c r="AZ986" t="str">
        <f>IF(ISNUMBER(FIND("arbeid",Methode_Keuze)),"",IF(Tb_Activiteiten[[#This Row],[Arbeidskosten - vast tarief (excl eigen arbeid)]]=1,Tb_Activiteiten[[#Headers],[Arbeidskosten - vast tarief (excl eigen arbeid)]],""))</f>
        <v/>
      </c>
      <c r="BA986" t="str">
        <f>IF(ISNUMBER(FIND("overige",Methode_Keuze)),"",IF(Tb_Activiteiten[[#This Row],[Overige kosten]]=1,Tb_Activiteiten[[#Headers],[Overige kosten]],""))</f>
        <v/>
      </c>
    </row>
    <row r="987" spans="1:53" x14ac:dyDescent="0.25">
      <c r="A987" s="231"/>
      <c r="F987" s="64"/>
      <c r="G987" s="64"/>
      <c r="H987" s="275"/>
      <c r="I987" s="275"/>
      <c r="J987" s="275"/>
      <c r="K987" s="275"/>
      <c r="O987" s="56"/>
      <c r="Q987" t="str">
        <f>IFERROR(IF(VLOOKUP(Tb_Activiteiten[[#This Row],[Openstelling]],Tb_Openstelling[],2,0)=1,1,""),"")</f>
        <v/>
      </c>
      <c r="AK987" t="str">
        <f>IF(ISNUMBER(FIND("arbeid",Methode_Keuze)),"",IF(ISNUMBER(FIND("arbeid",Methode_Keuze)),"",IF(Tb_Activiteiten[[#This Row],[Loonkosten]]=1,Tb_Activiteiten[[#Headers],[Loonkosten]],"")))</f>
        <v/>
      </c>
      <c r="AL987" t="str">
        <f>IF(ISNUMBER(FIND("arbeid",Methode_Keuze)),"",IF(ISNUMBER(FIND("arbeid",Methode_Keuze)),"",IF(Tb_Activiteiten[[#This Row],[Eigen arbeid]]=1,Tb_Activiteiten[[#Headers],[Eigen arbeid]],"")))</f>
        <v/>
      </c>
      <c r="AM987" t="str">
        <f>IF(ISNUMBER(FIND("arbeid",Methode_Keuze)),"",IF(ISNUMBER(FIND("arbeid",Methode_Keuze)),"",IF(Tb_Activiteiten[[#This Row],[Projectmedewerker]]=1,Tb_Activiteiten[[#Headers],[Projectmedewerker]],"")))</f>
        <v/>
      </c>
      <c r="AN987" t="str">
        <f>IF(ISNUMBER(FIND("arbeid",Methode_Keuze)),"",IF(ISNUMBER(FIND("arbeid",Methode_Keuze)),"",IF(Tb_Activiteiten[[#This Row],[Landbouwer]]=1,Tb_Activiteiten[[#Headers],[Landbouwer]],"")))</f>
        <v/>
      </c>
      <c r="AO987" t="str">
        <f>IF(ISNUMBER(FIND("arbeid",Methode_Keuze)),"",IF(ISNUMBER(FIND("arbeid",Methode_Keuze)),"",IF(Tb_Activiteiten[[#This Row],[Adviseur]]=1,Tb_Activiteiten[[#Headers],[Adviseur]],"")))</f>
        <v/>
      </c>
      <c r="AP987" t="str">
        <f>IF(ISNUMBER(FIND("arbeid",Methode_Keuze)),"",IF(ISNUMBER(FIND("arbeid",Methode_Keuze)),"",IF(Tb_Activiteiten[[#This Row],[Projectleider/Expert]]=1,Tb_Activiteiten[[#Headers],[Projectleider/Expert]],"")))</f>
        <v/>
      </c>
      <c r="AQ987" t="str">
        <f>IF(ISNUMBER(FIND("arbeid",Methode_Keuze)),"",IF(ISNUMBER(FIND("arbeid",Methode_Keuze)),"",IF(Tb_Activiteiten[[#This Row],[Arbeidskosten]]=1,Tb_Activiteiten[[#Headers],[Arbeidskosten]],"")))</f>
        <v/>
      </c>
      <c r="AR987" t="str">
        <f>IF(ISNUMBER(FIND("arbeid",Methode_Keuze)),"",IF(ISNUMBER(FIND("arbeid",Methode_Keuze)),"",IF(Tb_Activiteiten[[#This Row],[Arbeidskosten op basis van IKS]]=1,Tb_Activiteiten[[#Headers],[Arbeidskosten op basis van IKS]],"")))</f>
        <v/>
      </c>
      <c r="AS987" t="str">
        <f>IF(ISNUMBER(FIND("overige",Methode_Keuze)),"",IF(Tb_Activiteiten[[#This Row],[Kosten derden exclusief btw]]=1,Tb_Activiteiten[[#Headers],[Kosten derden exclusief btw]],""))</f>
        <v/>
      </c>
      <c r="AT987" t="str">
        <f>IF(ISNUMBER(FIND("overige",Methode_Keuze)),"",IF(Tb_Activiteiten[[#This Row],[Niet verrekenbare btw]]=1,Tb_Activiteiten[[#Headers],[Niet verrekenbare btw]],""))</f>
        <v/>
      </c>
      <c r="AU987" t="str">
        <f>IF(ISNUMBER(FIND("overige",Methode_Keuze)),"",IF(Tb_Activiteiten[[#This Row],[Grondkosten]]=1,Tb_Activiteiten[[#Headers],[Grondkosten]],""))</f>
        <v/>
      </c>
      <c r="AV987" t="str">
        <f>IF(ISNUMBER(FIND("overige",Methode_Keuze)),"",IF(Tb_Activiteiten[[#This Row],[Bijdrage in natura (overige)]]=1,Tb_Activiteiten[[#Headers],[Bijdrage in natura (overige)]],""))</f>
        <v/>
      </c>
      <c r="AW987" t="str">
        <f>IF(ISNUMBER(FIND("overige",Methode_Keuze)),"",IF(Tb_Activiteiten[[#This Row],[Bijdrage in natura (vrijwilligers)]]=1,Tb_Activiteiten[[#Headers],[Bijdrage in natura (vrijwilligers)]],""))</f>
        <v/>
      </c>
      <c r="AX987" t="str">
        <f>IF(ISNUMBER(FIND("overige",Methode_Keuze)),"",IF(Tb_Activiteiten[[#This Row],[Afschrijvingskosten]]=1,Tb_Activiteiten[[#Headers],[Afschrijvingskosten]],""))</f>
        <v/>
      </c>
      <c r="AY987" t="str">
        <f>IF(ISNUMBER(FIND("overige",Methode_Keuze)),"",IF(Tb_Activiteiten[[#This Row],[Vergoeding]]=1,Tb_Activiteiten[[#Headers],[Vergoeding]],""))</f>
        <v/>
      </c>
      <c r="AZ987" t="str">
        <f>IF(ISNUMBER(FIND("arbeid",Methode_Keuze)),"",IF(Tb_Activiteiten[[#This Row],[Arbeidskosten - vast tarief (excl eigen arbeid)]]=1,Tb_Activiteiten[[#Headers],[Arbeidskosten - vast tarief (excl eigen arbeid)]],""))</f>
        <v/>
      </c>
      <c r="BA987" t="str">
        <f>IF(ISNUMBER(FIND("overige",Methode_Keuze)),"",IF(Tb_Activiteiten[[#This Row],[Overige kosten]]=1,Tb_Activiteiten[[#Headers],[Overige kosten]],""))</f>
        <v/>
      </c>
    </row>
    <row r="988" spans="1:53" x14ac:dyDescent="0.25">
      <c r="A988" s="231"/>
      <c r="F988" s="64"/>
      <c r="G988" s="64"/>
      <c r="H988" s="275"/>
      <c r="I988" s="275"/>
      <c r="J988" s="275"/>
      <c r="K988" s="275"/>
      <c r="O988" s="56"/>
      <c r="Q988" t="str">
        <f>IFERROR(IF(VLOOKUP(Tb_Activiteiten[[#This Row],[Openstelling]],Tb_Openstelling[],2,0)=1,1,""),"")</f>
        <v/>
      </c>
      <c r="AK988" t="str">
        <f>IF(ISNUMBER(FIND("arbeid",Methode_Keuze)),"",IF(ISNUMBER(FIND("arbeid",Methode_Keuze)),"",IF(Tb_Activiteiten[[#This Row],[Loonkosten]]=1,Tb_Activiteiten[[#Headers],[Loonkosten]],"")))</f>
        <v/>
      </c>
      <c r="AL988" t="str">
        <f>IF(ISNUMBER(FIND("arbeid",Methode_Keuze)),"",IF(ISNUMBER(FIND("arbeid",Methode_Keuze)),"",IF(Tb_Activiteiten[[#This Row],[Eigen arbeid]]=1,Tb_Activiteiten[[#Headers],[Eigen arbeid]],"")))</f>
        <v/>
      </c>
      <c r="AM988" t="str">
        <f>IF(ISNUMBER(FIND("arbeid",Methode_Keuze)),"",IF(ISNUMBER(FIND("arbeid",Methode_Keuze)),"",IF(Tb_Activiteiten[[#This Row],[Projectmedewerker]]=1,Tb_Activiteiten[[#Headers],[Projectmedewerker]],"")))</f>
        <v/>
      </c>
      <c r="AN988" t="str">
        <f>IF(ISNUMBER(FIND("arbeid",Methode_Keuze)),"",IF(ISNUMBER(FIND("arbeid",Methode_Keuze)),"",IF(Tb_Activiteiten[[#This Row],[Landbouwer]]=1,Tb_Activiteiten[[#Headers],[Landbouwer]],"")))</f>
        <v/>
      </c>
      <c r="AO988" t="str">
        <f>IF(ISNUMBER(FIND("arbeid",Methode_Keuze)),"",IF(ISNUMBER(FIND("arbeid",Methode_Keuze)),"",IF(Tb_Activiteiten[[#This Row],[Adviseur]]=1,Tb_Activiteiten[[#Headers],[Adviseur]],"")))</f>
        <v/>
      </c>
      <c r="AP988" t="str">
        <f>IF(ISNUMBER(FIND("arbeid",Methode_Keuze)),"",IF(ISNUMBER(FIND("arbeid",Methode_Keuze)),"",IF(Tb_Activiteiten[[#This Row],[Projectleider/Expert]]=1,Tb_Activiteiten[[#Headers],[Projectleider/Expert]],"")))</f>
        <v/>
      </c>
      <c r="AQ988" t="str">
        <f>IF(ISNUMBER(FIND("arbeid",Methode_Keuze)),"",IF(ISNUMBER(FIND("arbeid",Methode_Keuze)),"",IF(Tb_Activiteiten[[#This Row],[Arbeidskosten]]=1,Tb_Activiteiten[[#Headers],[Arbeidskosten]],"")))</f>
        <v/>
      </c>
      <c r="AR988" t="str">
        <f>IF(ISNUMBER(FIND("arbeid",Methode_Keuze)),"",IF(ISNUMBER(FIND("arbeid",Methode_Keuze)),"",IF(Tb_Activiteiten[[#This Row],[Arbeidskosten op basis van IKS]]=1,Tb_Activiteiten[[#Headers],[Arbeidskosten op basis van IKS]],"")))</f>
        <v/>
      </c>
      <c r="AS988" t="str">
        <f>IF(ISNUMBER(FIND("overige",Methode_Keuze)),"",IF(Tb_Activiteiten[[#This Row],[Kosten derden exclusief btw]]=1,Tb_Activiteiten[[#Headers],[Kosten derden exclusief btw]],""))</f>
        <v/>
      </c>
      <c r="AT988" t="str">
        <f>IF(ISNUMBER(FIND("overige",Methode_Keuze)),"",IF(Tb_Activiteiten[[#This Row],[Niet verrekenbare btw]]=1,Tb_Activiteiten[[#Headers],[Niet verrekenbare btw]],""))</f>
        <v/>
      </c>
      <c r="AU988" t="str">
        <f>IF(ISNUMBER(FIND("overige",Methode_Keuze)),"",IF(Tb_Activiteiten[[#This Row],[Grondkosten]]=1,Tb_Activiteiten[[#Headers],[Grondkosten]],""))</f>
        <v/>
      </c>
      <c r="AV988" t="str">
        <f>IF(ISNUMBER(FIND("overige",Methode_Keuze)),"",IF(Tb_Activiteiten[[#This Row],[Bijdrage in natura (overige)]]=1,Tb_Activiteiten[[#Headers],[Bijdrage in natura (overige)]],""))</f>
        <v/>
      </c>
      <c r="AW988" t="str">
        <f>IF(ISNUMBER(FIND("overige",Methode_Keuze)),"",IF(Tb_Activiteiten[[#This Row],[Bijdrage in natura (vrijwilligers)]]=1,Tb_Activiteiten[[#Headers],[Bijdrage in natura (vrijwilligers)]],""))</f>
        <v/>
      </c>
      <c r="AX988" t="str">
        <f>IF(ISNUMBER(FIND("overige",Methode_Keuze)),"",IF(Tb_Activiteiten[[#This Row],[Afschrijvingskosten]]=1,Tb_Activiteiten[[#Headers],[Afschrijvingskosten]],""))</f>
        <v/>
      </c>
      <c r="AY988" t="str">
        <f>IF(ISNUMBER(FIND("overige",Methode_Keuze)),"",IF(Tb_Activiteiten[[#This Row],[Vergoeding]]=1,Tb_Activiteiten[[#Headers],[Vergoeding]],""))</f>
        <v/>
      </c>
      <c r="AZ988" t="str">
        <f>IF(ISNUMBER(FIND("arbeid",Methode_Keuze)),"",IF(Tb_Activiteiten[[#This Row],[Arbeidskosten - vast tarief (excl eigen arbeid)]]=1,Tb_Activiteiten[[#Headers],[Arbeidskosten - vast tarief (excl eigen arbeid)]],""))</f>
        <v/>
      </c>
      <c r="BA988" t="str">
        <f>IF(ISNUMBER(FIND("overige",Methode_Keuze)),"",IF(Tb_Activiteiten[[#This Row],[Overige kosten]]=1,Tb_Activiteiten[[#Headers],[Overige kosten]],""))</f>
        <v/>
      </c>
    </row>
    <row r="989" spans="1:53" x14ac:dyDescent="0.25">
      <c r="A989" s="231"/>
      <c r="F989" s="64"/>
      <c r="G989" s="64"/>
      <c r="H989" s="275"/>
      <c r="I989" s="275"/>
      <c r="J989" s="275"/>
      <c r="K989" s="275"/>
      <c r="O989" s="56"/>
      <c r="Q989" t="str">
        <f>IFERROR(IF(VLOOKUP(Tb_Activiteiten[[#This Row],[Openstelling]],Tb_Openstelling[],2,0)=1,1,""),"")</f>
        <v/>
      </c>
      <c r="AK989" t="str">
        <f>IF(ISNUMBER(FIND("arbeid",Methode_Keuze)),"",IF(ISNUMBER(FIND("arbeid",Methode_Keuze)),"",IF(Tb_Activiteiten[[#This Row],[Loonkosten]]=1,Tb_Activiteiten[[#Headers],[Loonkosten]],"")))</f>
        <v/>
      </c>
      <c r="AL989" t="str">
        <f>IF(ISNUMBER(FIND("arbeid",Methode_Keuze)),"",IF(ISNUMBER(FIND("arbeid",Methode_Keuze)),"",IF(Tb_Activiteiten[[#This Row],[Eigen arbeid]]=1,Tb_Activiteiten[[#Headers],[Eigen arbeid]],"")))</f>
        <v/>
      </c>
      <c r="AM989" t="str">
        <f>IF(ISNUMBER(FIND("arbeid",Methode_Keuze)),"",IF(ISNUMBER(FIND("arbeid",Methode_Keuze)),"",IF(Tb_Activiteiten[[#This Row],[Projectmedewerker]]=1,Tb_Activiteiten[[#Headers],[Projectmedewerker]],"")))</f>
        <v/>
      </c>
      <c r="AN989" t="str">
        <f>IF(ISNUMBER(FIND("arbeid",Methode_Keuze)),"",IF(ISNUMBER(FIND("arbeid",Methode_Keuze)),"",IF(Tb_Activiteiten[[#This Row],[Landbouwer]]=1,Tb_Activiteiten[[#Headers],[Landbouwer]],"")))</f>
        <v/>
      </c>
      <c r="AO989" t="str">
        <f>IF(ISNUMBER(FIND("arbeid",Methode_Keuze)),"",IF(ISNUMBER(FIND("arbeid",Methode_Keuze)),"",IF(Tb_Activiteiten[[#This Row],[Adviseur]]=1,Tb_Activiteiten[[#Headers],[Adviseur]],"")))</f>
        <v/>
      </c>
      <c r="AP989" t="str">
        <f>IF(ISNUMBER(FIND("arbeid",Methode_Keuze)),"",IF(ISNUMBER(FIND("arbeid",Methode_Keuze)),"",IF(Tb_Activiteiten[[#This Row],[Projectleider/Expert]]=1,Tb_Activiteiten[[#Headers],[Projectleider/Expert]],"")))</f>
        <v/>
      </c>
      <c r="AQ989" t="str">
        <f>IF(ISNUMBER(FIND("arbeid",Methode_Keuze)),"",IF(ISNUMBER(FIND("arbeid",Methode_Keuze)),"",IF(Tb_Activiteiten[[#This Row],[Arbeidskosten]]=1,Tb_Activiteiten[[#Headers],[Arbeidskosten]],"")))</f>
        <v/>
      </c>
      <c r="AR989" t="str">
        <f>IF(ISNUMBER(FIND("arbeid",Methode_Keuze)),"",IF(ISNUMBER(FIND("arbeid",Methode_Keuze)),"",IF(Tb_Activiteiten[[#This Row],[Arbeidskosten op basis van IKS]]=1,Tb_Activiteiten[[#Headers],[Arbeidskosten op basis van IKS]],"")))</f>
        <v/>
      </c>
      <c r="AS989" t="str">
        <f>IF(ISNUMBER(FIND("overige",Methode_Keuze)),"",IF(Tb_Activiteiten[[#This Row],[Kosten derden exclusief btw]]=1,Tb_Activiteiten[[#Headers],[Kosten derden exclusief btw]],""))</f>
        <v/>
      </c>
      <c r="AT989" t="str">
        <f>IF(ISNUMBER(FIND("overige",Methode_Keuze)),"",IF(Tb_Activiteiten[[#This Row],[Niet verrekenbare btw]]=1,Tb_Activiteiten[[#Headers],[Niet verrekenbare btw]],""))</f>
        <v/>
      </c>
      <c r="AU989" t="str">
        <f>IF(ISNUMBER(FIND("overige",Methode_Keuze)),"",IF(Tb_Activiteiten[[#This Row],[Grondkosten]]=1,Tb_Activiteiten[[#Headers],[Grondkosten]],""))</f>
        <v/>
      </c>
      <c r="AV989" t="str">
        <f>IF(ISNUMBER(FIND("overige",Methode_Keuze)),"",IF(Tb_Activiteiten[[#This Row],[Bijdrage in natura (overige)]]=1,Tb_Activiteiten[[#Headers],[Bijdrage in natura (overige)]],""))</f>
        <v/>
      </c>
      <c r="AW989" t="str">
        <f>IF(ISNUMBER(FIND("overige",Methode_Keuze)),"",IF(Tb_Activiteiten[[#This Row],[Bijdrage in natura (vrijwilligers)]]=1,Tb_Activiteiten[[#Headers],[Bijdrage in natura (vrijwilligers)]],""))</f>
        <v/>
      </c>
      <c r="AX989" t="str">
        <f>IF(ISNUMBER(FIND("overige",Methode_Keuze)),"",IF(Tb_Activiteiten[[#This Row],[Afschrijvingskosten]]=1,Tb_Activiteiten[[#Headers],[Afschrijvingskosten]],""))</f>
        <v/>
      </c>
      <c r="AY989" t="str">
        <f>IF(ISNUMBER(FIND("overige",Methode_Keuze)),"",IF(Tb_Activiteiten[[#This Row],[Vergoeding]]=1,Tb_Activiteiten[[#Headers],[Vergoeding]],""))</f>
        <v/>
      </c>
      <c r="AZ989" t="str">
        <f>IF(ISNUMBER(FIND("arbeid",Methode_Keuze)),"",IF(Tb_Activiteiten[[#This Row],[Arbeidskosten - vast tarief (excl eigen arbeid)]]=1,Tb_Activiteiten[[#Headers],[Arbeidskosten - vast tarief (excl eigen arbeid)]],""))</f>
        <v/>
      </c>
      <c r="BA989" t="str">
        <f>IF(ISNUMBER(FIND("overige",Methode_Keuze)),"",IF(Tb_Activiteiten[[#This Row],[Overige kosten]]=1,Tb_Activiteiten[[#Headers],[Overige kosten]],""))</f>
        <v/>
      </c>
    </row>
    <row r="990" spans="1:53" x14ac:dyDescent="0.25">
      <c r="A990" s="231"/>
      <c r="F990" s="64"/>
      <c r="G990" s="64"/>
      <c r="H990" s="275"/>
      <c r="I990" s="275"/>
      <c r="J990" s="275"/>
      <c r="K990" s="275"/>
      <c r="O990" s="56"/>
      <c r="Q990" t="str">
        <f>IFERROR(IF(VLOOKUP(Tb_Activiteiten[[#This Row],[Openstelling]],Tb_Openstelling[],2,0)=1,1,""),"")</f>
        <v/>
      </c>
      <c r="AK990" t="str">
        <f>IF(ISNUMBER(FIND("arbeid",Methode_Keuze)),"",IF(ISNUMBER(FIND("arbeid",Methode_Keuze)),"",IF(Tb_Activiteiten[[#This Row],[Loonkosten]]=1,Tb_Activiteiten[[#Headers],[Loonkosten]],"")))</f>
        <v/>
      </c>
      <c r="AL990" t="str">
        <f>IF(ISNUMBER(FIND("arbeid",Methode_Keuze)),"",IF(ISNUMBER(FIND("arbeid",Methode_Keuze)),"",IF(Tb_Activiteiten[[#This Row],[Eigen arbeid]]=1,Tb_Activiteiten[[#Headers],[Eigen arbeid]],"")))</f>
        <v/>
      </c>
      <c r="AM990" t="str">
        <f>IF(ISNUMBER(FIND("arbeid",Methode_Keuze)),"",IF(ISNUMBER(FIND("arbeid",Methode_Keuze)),"",IF(Tb_Activiteiten[[#This Row],[Projectmedewerker]]=1,Tb_Activiteiten[[#Headers],[Projectmedewerker]],"")))</f>
        <v/>
      </c>
      <c r="AN990" t="str">
        <f>IF(ISNUMBER(FIND("arbeid",Methode_Keuze)),"",IF(ISNUMBER(FIND("arbeid",Methode_Keuze)),"",IF(Tb_Activiteiten[[#This Row],[Landbouwer]]=1,Tb_Activiteiten[[#Headers],[Landbouwer]],"")))</f>
        <v/>
      </c>
      <c r="AO990" t="str">
        <f>IF(ISNUMBER(FIND("arbeid",Methode_Keuze)),"",IF(ISNUMBER(FIND("arbeid",Methode_Keuze)),"",IF(Tb_Activiteiten[[#This Row],[Adviseur]]=1,Tb_Activiteiten[[#Headers],[Adviseur]],"")))</f>
        <v/>
      </c>
      <c r="AP990" t="str">
        <f>IF(ISNUMBER(FIND("arbeid",Methode_Keuze)),"",IF(ISNUMBER(FIND("arbeid",Methode_Keuze)),"",IF(Tb_Activiteiten[[#This Row],[Projectleider/Expert]]=1,Tb_Activiteiten[[#Headers],[Projectleider/Expert]],"")))</f>
        <v/>
      </c>
      <c r="AQ990" t="str">
        <f>IF(ISNUMBER(FIND("arbeid",Methode_Keuze)),"",IF(ISNUMBER(FIND("arbeid",Methode_Keuze)),"",IF(Tb_Activiteiten[[#This Row],[Arbeidskosten]]=1,Tb_Activiteiten[[#Headers],[Arbeidskosten]],"")))</f>
        <v/>
      </c>
      <c r="AR990" t="str">
        <f>IF(ISNUMBER(FIND("arbeid",Methode_Keuze)),"",IF(ISNUMBER(FIND("arbeid",Methode_Keuze)),"",IF(Tb_Activiteiten[[#This Row],[Arbeidskosten op basis van IKS]]=1,Tb_Activiteiten[[#Headers],[Arbeidskosten op basis van IKS]],"")))</f>
        <v/>
      </c>
      <c r="AS990" t="str">
        <f>IF(ISNUMBER(FIND("overige",Methode_Keuze)),"",IF(Tb_Activiteiten[[#This Row],[Kosten derden exclusief btw]]=1,Tb_Activiteiten[[#Headers],[Kosten derden exclusief btw]],""))</f>
        <v/>
      </c>
      <c r="AT990" t="str">
        <f>IF(ISNUMBER(FIND("overige",Methode_Keuze)),"",IF(Tb_Activiteiten[[#This Row],[Niet verrekenbare btw]]=1,Tb_Activiteiten[[#Headers],[Niet verrekenbare btw]],""))</f>
        <v/>
      </c>
      <c r="AU990" t="str">
        <f>IF(ISNUMBER(FIND("overige",Methode_Keuze)),"",IF(Tb_Activiteiten[[#This Row],[Grondkosten]]=1,Tb_Activiteiten[[#Headers],[Grondkosten]],""))</f>
        <v/>
      </c>
      <c r="AV990" t="str">
        <f>IF(ISNUMBER(FIND("overige",Methode_Keuze)),"",IF(Tb_Activiteiten[[#This Row],[Bijdrage in natura (overige)]]=1,Tb_Activiteiten[[#Headers],[Bijdrage in natura (overige)]],""))</f>
        <v/>
      </c>
      <c r="AW990" t="str">
        <f>IF(ISNUMBER(FIND("overige",Methode_Keuze)),"",IF(Tb_Activiteiten[[#This Row],[Bijdrage in natura (vrijwilligers)]]=1,Tb_Activiteiten[[#Headers],[Bijdrage in natura (vrijwilligers)]],""))</f>
        <v/>
      </c>
      <c r="AX990" t="str">
        <f>IF(ISNUMBER(FIND("overige",Methode_Keuze)),"",IF(Tb_Activiteiten[[#This Row],[Afschrijvingskosten]]=1,Tb_Activiteiten[[#Headers],[Afschrijvingskosten]],""))</f>
        <v/>
      </c>
      <c r="AY990" t="str">
        <f>IF(ISNUMBER(FIND("overige",Methode_Keuze)),"",IF(Tb_Activiteiten[[#This Row],[Vergoeding]]=1,Tb_Activiteiten[[#Headers],[Vergoeding]],""))</f>
        <v/>
      </c>
      <c r="AZ990" t="str">
        <f>IF(ISNUMBER(FIND("arbeid",Methode_Keuze)),"",IF(Tb_Activiteiten[[#This Row],[Arbeidskosten - vast tarief (excl eigen arbeid)]]=1,Tb_Activiteiten[[#Headers],[Arbeidskosten - vast tarief (excl eigen arbeid)]],""))</f>
        <v/>
      </c>
      <c r="BA990" t="str">
        <f>IF(ISNUMBER(FIND("overige",Methode_Keuze)),"",IF(Tb_Activiteiten[[#This Row],[Overige kosten]]=1,Tb_Activiteiten[[#Headers],[Overige kosten]],""))</f>
        <v/>
      </c>
    </row>
    <row r="991" spans="1:53" x14ac:dyDescent="0.25">
      <c r="A991" s="231"/>
      <c r="F991" s="64"/>
      <c r="G991" s="64"/>
      <c r="H991" s="275"/>
      <c r="I991" s="275"/>
      <c r="J991" s="275"/>
      <c r="K991" s="275"/>
      <c r="O991" s="56"/>
      <c r="Q991" t="str">
        <f>IFERROR(IF(VLOOKUP(Tb_Activiteiten[[#This Row],[Openstelling]],Tb_Openstelling[],2,0)=1,1,""),"")</f>
        <v/>
      </c>
      <c r="AK991" t="str">
        <f>IF(ISNUMBER(FIND("arbeid",Methode_Keuze)),"",IF(ISNUMBER(FIND("arbeid",Methode_Keuze)),"",IF(Tb_Activiteiten[[#This Row],[Loonkosten]]=1,Tb_Activiteiten[[#Headers],[Loonkosten]],"")))</f>
        <v/>
      </c>
      <c r="AL991" t="str">
        <f>IF(ISNUMBER(FIND("arbeid",Methode_Keuze)),"",IF(ISNUMBER(FIND("arbeid",Methode_Keuze)),"",IF(Tb_Activiteiten[[#This Row],[Eigen arbeid]]=1,Tb_Activiteiten[[#Headers],[Eigen arbeid]],"")))</f>
        <v/>
      </c>
      <c r="AM991" t="str">
        <f>IF(ISNUMBER(FIND("arbeid",Methode_Keuze)),"",IF(ISNUMBER(FIND("arbeid",Methode_Keuze)),"",IF(Tb_Activiteiten[[#This Row],[Projectmedewerker]]=1,Tb_Activiteiten[[#Headers],[Projectmedewerker]],"")))</f>
        <v/>
      </c>
      <c r="AN991" t="str">
        <f>IF(ISNUMBER(FIND("arbeid",Methode_Keuze)),"",IF(ISNUMBER(FIND("arbeid",Methode_Keuze)),"",IF(Tb_Activiteiten[[#This Row],[Landbouwer]]=1,Tb_Activiteiten[[#Headers],[Landbouwer]],"")))</f>
        <v/>
      </c>
      <c r="AO991" t="str">
        <f>IF(ISNUMBER(FIND("arbeid",Methode_Keuze)),"",IF(ISNUMBER(FIND("arbeid",Methode_Keuze)),"",IF(Tb_Activiteiten[[#This Row],[Adviseur]]=1,Tb_Activiteiten[[#Headers],[Adviseur]],"")))</f>
        <v/>
      </c>
      <c r="AP991" t="str">
        <f>IF(ISNUMBER(FIND("arbeid",Methode_Keuze)),"",IF(ISNUMBER(FIND("arbeid",Methode_Keuze)),"",IF(Tb_Activiteiten[[#This Row],[Projectleider/Expert]]=1,Tb_Activiteiten[[#Headers],[Projectleider/Expert]],"")))</f>
        <v/>
      </c>
      <c r="AQ991" t="str">
        <f>IF(ISNUMBER(FIND("arbeid",Methode_Keuze)),"",IF(ISNUMBER(FIND("arbeid",Methode_Keuze)),"",IF(Tb_Activiteiten[[#This Row],[Arbeidskosten]]=1,Tb_Activiteiten[[#Headers],[Arbeidskosten]],"")))</f>
        <v/>
      </c>
      <c r="AR991" t="str">
        <f>IF(ISNUMBER(FIND("arbeid",Methode_Keuze)),"",IF(ISNUMBER(FIND("arbeid",Methode_Keuze)),"",IF(Tb_Activiteiten[[#This Row],[Arbeidskosten op basis van IKS]]=1,Tb_Activiteiten[[#Headers],[Arbeidskosten op basis van IKS]],"")))</f>
        <v/>
      </c>
      <c r="AS991" t="str">
        <f>IF(ISNUMBER(FIND("overige",Methode_Keuze)),"",IF(Tb_Activiteiten[[#This Row],[Kosten derden exclusief btw]]=1,Tb_Activiteiten[[#Headers],[Kosten derden exclusief btw]],""))</f>
        <v/>
      </c>
      <c r="AT991" t="str">
        <f>IF(ISNUMBER(FIND("overige",Methode_Keuze)),"",IF(Tb_Activiteiten[[#This Row],[Niet verrekenbare btw]]=1,Tb_Activiteiten[[#Headers],[Niet verrekenbare btw]],""))</f>
        <v/>
      </c>
      <c r="AU991" t="str">
        <f>IF(ISNUMBER(FIND("overige",Methode_Keuze)),"",IF(Tb_Activiteiten[[#This Row],[Grondkosten]]=1,Tb_Activiteiten[[#Headers],[Grondkosten]],""))</f>
        <v/>
      </c>
      <c r="AV991" t="str">
        <f>IF(ISNUMBER(FIND("overige",Methode_Keuze)),"",IF(Tb_Activiteiten[[#This Row],[Bijdrage in natura (overige)]]=1,Tb_Activiteiten[[#Headers],[Bijdrage in natura (overige)]],""))</f>
        <v/>
      </c>
      <c r="AW991" t="str">
        <f>IF(ISNUMBER(FIND("overige",Methode_Keuze)),"",IF(Tb_Activiteiten[[#This Row],[Bijdrage in natura (vrijwilligers)]]=1,Tb_Activiteiten[[#Headers],[Bijdrage in natura (vrijwilligers)]],""))</f>
        <v/>
      </c>
      <c r="AX991" t="str">
        <f>IF(ISNUMBER(FIND("overige",Methode_Keuze)),"",IF(Tb_Activiteiten[[#This Row],[Afschrijvingskosten]]=1,Tb_Activiteiten[[#Headers],[Afschrijvingskosten]],""))</f>
        <v/>
      </c>
      <c r="AY991" t="str">
        <f>IF(ISNUMBER(FIND("overige",Methode_Keuze)),"",IF(Tb_Activiteiten[[#This Row],[Vergoeding]]=1,Tb_Activiteiten[[#Headers],[Vergoeding]],""))</f>
        <v/>
      </c>
      <c r="AZ991" t="str">
        <f>IF(ISNUMBER(FIND("arbeid",Methode_Keuze)),"",IF(Tb_Activiteiten[[#This Row],[Arbeidskosten - vast tarief (excl eigen arbeid)]]=1,Tb_Activiteiten[[#Headers],[Arbeidskosten - vast tarief (excl eigen arbeid)]],""))</f>
        <v/>
      </c>
      <c r="BA991" t="str">
        <f>IF(ISNUMBER(FIND("overige",Methode_Keuze)),"",IF(Tb_Activiteiten[[#This Row],[Overige kosten]]=1,Tb_Activiteiten[[#Headers],[Overige kosten]],""))</f>
        <v/>
      </c>
    </row>
    <row r="992" spans="1:53" x14ac:dyDescent="0.25">
      <c r="A992" s="231"/>
      <c r="F992" s="64"/>
      <c r="G992" s="64"/>
      <c r="H992" s="275"/>
      <c r="I992" s="275"/>
      <c r="J992" s="275"/>
      <c r="K992" s="275"/>
      <c r="O992" s="56"/>
      <c r="Q992" t="str">
        <f>IFERROR(IF(VLOOKUP(Tb_Activiteiten[[#This Row],[Openstelling]],Tb_Openstelling[],2,0)=1,1,""),"")</f>
        <v/>
      </c>
      <c r="AK992" t="str">
        <f>IF(ISNUMBER(FIND("arbeid",Methode_Keuze)),"",IF(ISNUMBER(FIND("arbeid",Methode_Keuze)),"",IF(Tb_Activiteiten[[#This Row],[Loonkosten]]=1,Tb_Activiteiten[[#Headers],[Loonkosten]],"")))</f>
        <v/>
      </c>
      <c r="AL992" t="str">
        <f>IF(ISNUMBER(FIND("arbeid",Methode_Keuze)),"",IF(ISNUMBER(FIND("arbeid",Methode_Keuze)),"",IF(Tb_Activiteiten[[#This Row],[Eigen arbeid]]=1,Tb_Activiteiten[[#Headers],[Eigen arbeid]],"")))</f>
        <v/>
      </c>
      <c r="AM992" t="str">
        <f>IF(ISNUMBER(FIND("arbeid",Methode_Keuze)),"",IF(ISNUMBER(FIND("arbeid",Methode_Keuze)),"",IF(Tb_Activiteiten[[#This Row],[Projectmedewerker]]=1,Tb_Activiteiten[[#Headers],[Projectmedewerker]],"")))</f>
        <v/>
      </c>
      <c r="AN992" t="str">
        <f>IF(ISNUMBER(FIND("arbeid",Methode_Keuze)),"",IF(ISNUMBER(FIND("arbeid",Methode_Keuze)),"",IF(Tb_Activiteiten[[#This Row],[Landbouwer]]=1,Tb_Activiteiten[[#Headers],[Landbouwer]],"")))</f>
        <v/>
      </c>
      <c r="AO992" t="str">
        <f>IF(ISNUMBER(FIND("arbeid",Methode_Keuze)),"",IF(ISNUMBER(FIND("arbeid",Methode_Keuze)),"",IF(Tb_Activiteiten[[#This Row],[Adviseur]]=1,Tb_Activiteiten[[#Headers],[Adviseur]],"")))</f>
        <v/>
      </c>
      <c r="AP992" t="str">
        <f>IF(ISNUMBER(FIND("arbeid",Methode_Keuze)),"",IF(ISNUMBER(FIND("arbeid",Methode_Keuze)),"",IF(Tb_Activiteiten[[#This Row],[Projectleider/Expert]]=1,Tb_Activiteiten[[#Headers],[Projectleider/Expert]],"")))</f>
        <v/>
      </c>
      <c r="AQ992" t="str">
        <f>IF(ISNUMBER(FIND("arbeid",Methode_Keuze)),"",IF(ISNUMBER(FIND("arbeid",Methode_Keuze)),"",IF(Tb_Activiteiten[[#This Row],[Arbeidskosten]]=1,Tb_Activiteiten[[#Headers],[Arbeidskosten]],"")))</f>
        <v/>
      </c>
      <c r="AR992" t="str">
        <f>IF(ISNUMBER(FIND("arbeid",Methode_Keuze)),"",IF(ISNUMBER(FIND("arbeid",Methode_Keuze)),"",IF(Tb_Activiteiten[[#This Row],[Arbeidskosten op basis van IKS]]=1,Tb_Activiteiten[[#Headers],[Arbeidskosten op basis van IKS]],"")))</f>
        <v/>
      </c>
      <c r="AS992" t="str">
        <f>IF(ISNUMBER(FIND("overige",Methode_Keuze)),"",IF(Tb_Activiteiten[[#This Row],[Kosten derden exclusief btw]]=1,Tb_Activiteiten[[#Headers],[Kosten derden exclusief btw]],""))</f>
        <v/>
      </c>
      <c r="AT992" t="str">
        <f>IF(ISNUMBER(FIND("overige",Methode_Keuze)),"",IF(Tb_Activiteiten[[#This Row],[Niet verrekenbare btw]]=1,Tb_Activiteiten[[#Headers],[Niet verrekenbare btw]],""))</f>
        <v/>
      </c>
      <c r="AU992" t="str">
        <f>IF(ISNUMBER(FIND("overige",Methode_Keuze)),"",IF(Tb_Activiteiten[[#This Row],[Grondkosten]]=1,Tb_Activiteiten[[#Headers],[Grondkosten]],""))</f>
        <v/>
      </c>
      <c r="AV992" t="str">
        <f>IF(ISNUMBER(FIND("overige",Methode_Keuze)),"",IF(Tb_Activiteiten[[#This Row],[Bijdrage in natura (overige)]]=1,Tb_Activiteiten[[#Headers],[Bijdrage in natura (overige)]],""))</f>
        <v/>
      </c>
      <c r="AW992" t="str">
        <f>IF(ISNUMBER(FIND("overige",Methode_Keuze)),"",IF(Tb_Activiteiten[[#This Row],[Bijdrage in natura (vrijwilligers)]]=1,Tb_Activiteiten[[#Headers],[Bijdrage in natura (vrijwilligers)]],""))</f>
        <v/>
      </c>
      <c r="AX992" t="str">
        <f>IF(ISNUMBER(FIND("overige",Methode_Keuze)),"",IF(Tb_Activiteiten[[#This Row],[Afschrijvingskosten]]=1,Tb_Activiteiten[[#Headers],[Afschrijvingskosten]],""))</f>
        <v/>
      </c>
      <c r="AY992" t="str">
        <f>IF(ISNUMBER(FIND("overige",Methode_Keuze)),"",IF(Tb_Activiteiten[[#This Row],[Vergoeding]]=1,Tb_Activiteiten[[#Headers],[Vergoeding]],""))</f>
        <v/>
      </c>
      <c r="AZ992" t="str">
        <f>IF(ISNUMBER(FIND("arbeid",Methode_Keuze)),"",IF(Tb_Activiteiten[[#This Row],[Arbeidskosten - vast tarief (excl eigen arbeid)]]=1,Tb_Activiteiten[[#Headers],[Arbeidskosten - vast tarief (excl eigen arbeid)]],""))</f>
        <v/>
      </c>
      <c r="BA992" t="str">
        <f>IF(ISNUMBER(FIND("overige",Methode_Keuze)),"",IF(Tb_Activiteiten[[#This Row],[Overige kosten]]=1,Tb_Activiteiten[[#Headers],[Overige kosten]],""))</f>
        <v/>
      </c>
    </row>
    <row r="993" spans="1:53" x14ac:dyDescent="0.25">
      <c r="A993" s="231"/>
      <c r="F993" s="64"/>
      <c r="G993" s="64"/>
      <c r="H993" s="275"/>
      <c r="I993" s="275"/>
      <c r="J993" s="275"/>
      <c r="K993" s="275"/>
      <c r="O993" s="56"/>
      <c r="Q993" t="str">
        <f>IFERROR(IF(VLOOKUP(Tb_Activiteiten[[#This Row],[Openstelling]],Tb_Openstelling[],2,0)=1,1,""),"")</f>
        <v/>
      </c>
      <c r="AK993" t="str">
        <f>IF(ISNUMBER(FIND("arbeid",Methode_Keuze)),"",IF(ISNUMBER(FIND("arbeid",Methode_Keuze)),"",IF(Tb_Activiteiten[[#This Row],[Loonkosten]]=1,Tb_Activiteiten[[#Headers],[Loonkosten]],"")))</f>
        <v/>
      </c>
      <c r="AL993" t="str">
        <f>IF(ISNUMBER(FIND("arbeid",Methode_Keuze)),"",IF(ISNUMBER(FIND("arbeid",Methode_Keuze)),"",IF(Tb_Activiteiten[[#This Row],[Eigen arbeid]]=1,Tb_Activiteiten[[#Headers],[Eigen arbeid]],"")))</f>
        <v/>
      </c>
      <c r="AM993" t="str">
        <f>IF(ISNUMBER(FIND("arbeid",Methode_Keuze)),"",IF(ISNUMBER(FIND("arbeid",Methode_Keuze)),"",IF(Tb_Activiteiten[[#This Row],[Projectmedewerker]]=1,Tb_Activiteiten[[#Headers],[Projectmedewerker]],"")))</f>
        <v/>
      </c>
      <c r="AN993" t="str">
        <f>IF(ISNUMBER(FIND("arbeid",Methode_Keuze)),"",IF(ISNUMBER(FIND("arbeid",Methode_Keuze)),"",IF(Tb_Activiteiten[[#This Row],[Landbouwer]]=1,Tb_Activiteiten[[#Headers],[Landbouwer]],"")))</f>
        <v/>
      </c>
      <c r="AO993" t="str">
        <f>IF(ISNUMBER(FIND("arbeid",Methode_Keuze)),"",IF(ISNUMBER(FIND("arbeid",Methode_Keuze)),"",IF(Tb_Activiteiten[[#This Row],[Adviseur]]=1,Tb_Activiteiten[[#Headers],[Adviseur]],"")))</f>
        <v/>
      </c>
      <c r="AP993" t="str">
        <f>IF(ISNUMBER(FIND("arbeid",Methode_Keuze)),"",IF(ISNUMBER(FIND("arbeid",Methode_Keuze)),"",IF(Tb_Activiteiten[[#This Row],[Projectleider/Expert]]=1,Tb_Activiteiten[[#Headers],[Projectleider/Expert]],"")))</f>
        <v/>
      </c>
      <c r="AQ993" t="str">
        <f>IF(ISNUMBER(FIND("arbeid",Methode_Keuze)),"",IF(ISNUMBER(FIND("arbeid",Methode_Keuze)),"",IF(Tb_Activiteiten[[#This Row],[Arbeidskosten]]=1,Tb_Activiteiten[[#Headers],[Arbeidskosten]],"")))</f>
        <v/>
      </c>
      <c r="AR993" t="str">
        <f>IF(ISNUMBER(FIND("arbeid",Methode_Keuze)),"",IF(ISNUMBER(FIND("arbeid",Methode_Keuze)),"",IF(Tb_Activiteiten[[#This Row],[Arbeidskosten op basis van IKS]]=1,Tb_Activiteiten[[#Headers],[Arbeidskosten op basis van IKS]],"")))</f>
        <v/>
      </c>
      <c r="AS993" t="str">
        <f>IF(ISNUMBER(FIND("overige",Methode_Keuze)),"",IF(Tb_Activiteiten[[#This Row],[Kosten derden exclusief btw]]=1,Tb_Activiteiten[[#Headers],[Kosten derden exclusief btw]],""))</f>
        <v/>
      </c>
      <c r="AT993" t="str">
        <f>IF(ISNUMBER(FIND("overige",Methode_Keuze)),"",IF(Tb_Activiteiten[[#This Row],[Niet verrekenbare btw]]=1,Tb_Activiteiten[[#Headers],[Niet verrekenbare btw]],""))</f>
        <v/>
      </c>
      <c r="AU993" t="str">
        <f>IF(ISNUMBER(FIND("overige",Methode_Keuze)),"",IF(Tb_Activiteiten[[#This Row],[Grondkosten]]=1,Tb_Activiteiten[[#Headers],[Grondkosten]],""))</f>
        <v/>
      </c>
      <c r="AV993" t="str">
        <f>IF(ISNUMBER(FIND("overige",Methode_Keuze)),"",IF(Tb_Activiteiten[[#This Row],[Bijdrage in natura (overige)]]=1,Tb_Activiteiten[[#Headers],[Bijdrage in natura (overige)]],""))</f>
        <v/>
      </c>
      <c r="AW993" t="str">
        <f>IF(ISNUMBER(FIND("overige",Methode_Keuze)),"",IF(Tb_Activiteiten[[#This Row],[Bijdrage in natura (vrijwilligers)]]=1,Tb_Activiteiten[[#Headers],[Bijdrage in natura (vrijwilligers)]],""))</f>
        <v/>
      </c>
      <c r="AX993" t="str">
        <f>IF(ISNUMBER(FIND("overige",Methode_Keuze)),"",IF(Tb_Activiteiten[[#This Row],[Afschrijvingskosten]]=1,Tb_Activiteiten[[#Headers],[Afschrijvingskosten]],""))</f>
        <v/>
      </c>
      <c r="AY993" t="str">
        <f>IF(ISNUMBER(FIND("overige",Methode_Keuze)),"",IF(Tb_Activiteiten[[#This Row],[Vergoeding]]=1,Tb_Activiteiten[[#Headers],[Vergoeding]],""))</f>
        <v/>
      </c>
      <c r="AZ993" t="str">
        <f>IF(ISNUMBER(FIND("arbeid",Methode_Keuze)),"",IF(Tb_Activiteiten[[#This Row],[Arbeidskosten - vast tarief (excl eigen arbeid)]]=1,Tb_Activiteiten[[#Headers],[Arbeidskosten - vast tarief (excl eigen arbeid)]],""))</f>
        <v/>
      </c>
      <c r="BA993" t="str">
        <f>IF(ISNUMBER(FIND("overige",Methode_Keuze)),"",IF(Tb_Activiteiten[[#This Row],[Overige kosten]]=1,Tb_Activiteiten[[#Headers],[Overige kosten]],""))</f>
        <v/>
      </c>
    </row>
    <row r="994" spans="1:53" x14ac:dyDescent="0.25">
      <c r="A994" s="231"/>
      <c r="F994" s="64"/>
      <c r="G994" s="64"/>
      <c r="H994" s="275"/>
      <c r="I994" s="275"/>
      <c r="J994" s="275"/>
      <c r="K994" s="275"/>
      <c r="O994" s="56"/>
      <c r="Q994" t="str">
        <f>IFERROR(IF(VLOOKUP(Tb_Activiteiten[[#This Row],[Openstelling]],Tb_Openstelling[],2,0)=1,1,""),"")</f>
        <v/>
      </c>
      <c r="AK994" t="str">
        <f>IF(ISNUMBER(FIND("arbeid",Methode_Keuze)),"",IF(ISNUMBER(FIND("arbeid",Methode_Keuze)),"",IF(Tb_Activiteiten[[#This Row],[Loonkosten]]=1,Tb_Activiteiten[[#Headers],[Loonkosten]],"")))</f>
        <v/>
      </c>
      <c r="AL994" t="str">
        <f>IF(ISNUMBER(FIND("arbeid",Methode_Keuze)),"",IF(ISNUMBER(FIND("arbeid",Methode_Keuze)),"",IF(Tb_Activiteiten[[#This Row],[Eigen arbeid]]=1,Tb_Activiteiten[[#Headers],[Eigen arbeid]],"")))</f>
        <v/>
      </c>
      <c r="AM994" t="str">
        <f>IF(ISNUMBER(FIND("arbeid",Methode_Keuze)),"",IF(ISNUMBER(FIND("arbeid",Methode_Keuze)),"",IF(Tb_Activiteiten[[#This Row],[Projectmedewerker]]=1,Tb_Activiteiten[[#Headers],[Projectmedewerker]],"")))</f>
        <v/>
      </c>
      <c r="AN994" t="str">
        <f>IF(ISNUMBER(FIND("arbeid",Methode_Keuze)),"",IF(ISNUMBER(FIND("arbeid",Methode_Keuze)),"",IF(Tb_Activiteiten[[#This Row],[Landbouwer]]=1,Tb_Activiteiten[[#Headers],[Landbouwer]],"")))</f>
        <v/>
      </c>
      <c r="AO994" t="str">
        <f>IF(ISNUMBER(FIND("arbeid",Methode_Keuze)),"",IF(ISNUMBER(FIND("arbeid",Methode_Keuze)),"",IF(Tb_Activiteiten[[#This Row],[Adviseur]]=1,Tb_Activiteiten[[#Headers],[Adviseur]],"")))</f>
        <v/>
      </c>
      <c r="AP994" t="str">
        <f>IF(ISNUMBER(FIND("arbeid",Methode_Keuze)),"",IF(ISNUMBER(FIND("arbeid",Methode_Keuze)),"",IF(Tb_Activiteiten[[#This Row],[Projectleider/Expert]]=1,Tb_Activiteiten[[#Headers],[Projectleider/Expert]],"")))</f>
        <v/>
      </c>
      <c r="AQ994" t="str">
        <f>IF(ISNUMBER(FIND("arbeid",Methode_Keuze)),"",IF(ISNUMBER(FIND("arbeid",Methode_Keuze)),"",IF(Tb_Activiteiten[[#This Row],[Arbeidskosten]]=1,Tb_Activiteiten[[#Headers],[Arbeidskosten]],"")))</f>
        <v/>
      </c>
      <c r="AR994" t="str">
        <f>IF(ISNUMBER(FIND("arbeid",Methode_Keuze)),"",IF(ISNUMBER(FIND("arbeid",Methode_Keuze)),"",IF(Tb_Activiteiten[[#This Row],[Arbeidskosten op basis van IKS]]=1,Tb_Activiteiten[[#Headers],[Arbeidskosten op basis van IKS]],"")))</f>
        <v/>
      </c>
      <c r="AS994" t="str">
        <f>IF(ISNUMBER(FIND("overige",Methode_Keuze)),"",IF(Tb_Activiteiten[[#This Row],[Kosten derden exclusief btw]]=1,Tb_Activiteiten[[#Headers],[Kosten derden exclusief btw]],""))</f>
        <v/>
      </c>
      <c r="AT994" t="str">
        <f>IF(ISNUMBER(FIND("overige",Methode_Keuze)),"",IF(Tb_Activiteiten[[#This Row],[Niet verrekenbare btw]]=1,Tb_Activiteiten[[#Headers],[Niet verrekenbare btw]],""))</f>
        <v/>
      </c>
      <c r="AU994" t="str">
        <f>IF(ISNUMBER(FIND("overige",Methode_Keuze)),"",IF(Tb_Activiteiten[[#This Row],[Grondkosten]]=1,Tb_Activiteiten[[#Headers],[Grondkosten]],""))</f>
        <v/>
      </c>
      <c r="AV994" t="str">
        <f>IF(ISNUMBER(FIND("overige",Methode_Keuze)),"",IF(Tb_Activiteiten[[#This Row],[Bijdrage in natura (overige)]]=1,Tb_Activiteiten[[#Headers],[Bijdrage in natura (overige)]],""))</f>
        <v/>
      </c>
      <c r="AW994" t="str">
        <f>IF(ISNUMBER(FIND("overige",Methode_Keuze)),"",IF(Tb_Activiteiten[[#This Row],[Bijdrage in natura (vrijwilligers)]]=1,Tb_Activiteiten[[#Headers],[Bijdrage in natura (vrijwilligers)]],""))</f>
        <v/>
      </c>
      <c r="AX994" t="str">
        <f>IF(ISNUMBER(FIND("overige",Methode_Keuze)),"",IF(Tb_Activiteiten[[#This Row],[Afschrijvingskosten]]=1,Tb_Activiteiten[[#Headers],[Afschrijvingskosten]],""))</f>
        <v/>
      </c>
      <c r="AY994" t="str">
        <f>IF(ISNUMBER(FIND("overige",Methode_Keuze)),"",IF(Tb_Activiteiten[[#This Row],[Vergoeding]]=1,Tb_Activiteiten[[#Headers],[Vergoeding]],""))</f>
        <v/>
      </c>
      <c r="AZ994" t="str">
        <f>IF(ISNUMBER(FIND("arbeid",Methode_Keuze)),"",IF(Tb_Activiteiten[[#This Row],[Arbeidskosten - vast tarief (excl eigen arbeid)]]=1,Tb_Activiteiten[[#Headers],[Arbeidskosten - vast tarief (excl eigen arbeid)]],""))</f>
        <v/>
      </c>
      <c r="BA994" t="str">
        <f>IF(ISNUMBER(FIND("overige",Methode_Keuze)),"",IF(Tb_Activiteiten[[#This Row],[Overige kosten]]=1,Tb_Activiteiten[[#Headers],[Overige kosten]],""))</f>
        <v/>
      </c>
    </row>
    <row r="995" spans="1:53" x14ac:dyDescent="0.25">
      <c r="A995" s="231"/>
      <c r="F995" s="64"/>
      <c r="G995" s="64"/>
      <c r="H995" s="275"/>
      <c r="I995" s="275"/>
      <c r="J995" s="275"/>
      <c r="K995" s="275"/>
      <c r="O995" s="56"/>
      <c r="Q995" t="str">
        <f>IFERROR(IF(VLOOKUP(Tb_Activiteiten[[#This Row],[Openstelling]],Tb_Openstelling[],2,0)=1,1,""),"")</f>
        <v/>
      </c>
      <c r="AK995" t="str">
        <f>IF(ISNUMBER(FIND("arbeid",Methode_Keuze)),"",IF(ISNUMBER(FIND("arbeid",Methode_Keuze)),"",IF(Tb_Activiteiten[[#This Row],[Loonkosten]]=1,Tb_Activiteiten[[#Headers],[Loonkosten]],"")))</f>
        <v/>
      </c>
      <c r="AL995" t="str">
        <f>IF(ISNUMBER(FIND("arbeid",Methode_Keuze)),"",IF(ISNUMBER(FIND("arbeid",Methode_Keuze)),"",IF(Tb_Activiteiten[[#This Row],[Eigen arbeid]]=1,Tb_Activiteiten[[#Headers],[Eigen arbeid]],"")))</f>
        <v/>
      </c>
      <c r="AM995" t="str">
        <f>IF(ISNUMBER(FIND("arbeid",Methode_Keuze)),"",IF(ISNUMBER(FIND("arbeid",Methode_Keuze)),"",IF(Tb_Activiteiten[[#This Row],[Projectmedewerker]]=1,Tb_Activiteiten[[#Headers],[Projectmedewerker]],"")))</f>
        <v/>
      </c>
      <c r="AN995" t="str">
        <f>IF(ISNUMBER(FIND("arbeid",Methode_Keuze)),"",IF(ISNUMBER(FIND("arbeid",Methode_Keuze)),"",IF(Tb_Activiteiten[[#This Row],[Landbouwer]]=1,Tb_Activiteiten[[#Headers],[Landbouwer]],"")))</f>
        <v/>
      </c>
      <c r="AO995" t="str">
        <f>IF(ISNUMBER(FIND("arbeid",Methode_Keuze)),"",IF(ISNUMBER(FIND("arbeid",Methode_Keuze)),"",IF(Tb_Activiteiten[[#This Row],[Adviseur]]=1,Tb_Activiteiten[[#Headers],[Adviseur]],"")))</f>
        <v/>
      </c>
      <c r="AP995" t="str">
        <f>IF(ISNUMBER(FIND("arbeid",Methode_Keuze)),"",IF(ISNUMBER(FIND("arbeid",Methode_Keuze)),"",IF(Tb_Activiteiten[[#This Row],[Projectleider/Expert]]=1,Tb_Activiteiten[[#Headers],[Projectleider/Expert]],"")))</f>
        <v/>
      </c>
      <c r="AQ995" t="str">
        <f>IF(ISNUMBER(FIND("arbeid",Methode_Keuze)),"",IF(ISNUMBER(FIND("arbeid",Methode_Keuze)),"",IF(Tb_Activiteiten[[#This Row],[Arbeidskosten]]=1,Tb_Activiteiten[[#Headers],[Arbeidskosten]],"")))</f>
        <v/>
      </c>
      <c r="AR995" t="str">
        <f>IF(ISNUMBER(FIND("arbeid",Methode_Keuze)),"",IF(ISNUMBER(FIND("arbeid",Methode_Keuze)),"",IF(Tb_Activiteiten[[#This Row],[Arbeidskosten op basis van IKS]]=1,Tb_Activiteiten[[#Headers],[Arbeidskosten op basis van IKS]],"")))</f>
        <v/>
      </c>
      <c r="AS995" t="str">
        <f>IF(ISNUMBER(FIND("overige",Methode_Keuze)),"",IF(Tb_Activiteiten[[#This Row],[Kosten derden exclusief btw]]=1,Tb_Activiteiten[[#Headers],[Kosten derden exclusief btw]],""))</f>
        <v/>
      </c>
      <c r="AT995" t="str">
        <f>IF(ISNUMBER(FIND("overige",Methode_Keuze)),"",IF(Tb_Activiteiten[[#This Row],[Niet verrekenbare btw]]=1,Tb_Activiteiten[[#Headers],[Niet verrekenbare btw]],""))</f>
        <v/>
      </c>
      <c r="AU995" t="str">
        <f>IF(ISNUMBER(FIND("overige",Methode_Keuze)),"",IF(Tb_Activiteiten[[#This Row],[Grondkosten]]=1,Tb_Activiteiten[[#Headers],[Grondkosten]],""))</f>
        <v/>
      </c>
      <c r="AV995" t="str">
        <f>IF(ISNUMBER(FIND("overige",Methode_Keuze)),"",IF(Tb_Activiteiten[[#This Row],[Bijdrage in natura (overige)]]=1,Tb_Activiteiten[[#Headers],[Bijdrage in natura (overige)]],""))</f>
        <v/>
      </c>
      <c r="AW995" t="str">
        <f>IF(ISNUMBER(FIND("overige",Methode_Keuze)),"",IF(Tb_Activiteiten[[#This Row],[Bijdrage in natura (vrijwilligers)]]=1,Tb_Activiteiten[[#Headers],[Bijdrage in natura (vrijwilligers)]],""))</f>
        <v/>
      </c>
      <c r="AX995" t="str">
        <f>IF(ISNUMBER(FIND("overige",Methode_Keuze)),"",IF(Tb_Activiteiten[[#This Row],[Afschrijvingskosten]]=1,Tb_Activiteiten[[#Headers],[Afschrijvingskosten]],""))</f>
        <v/>
      </c>
      <c r="AY995" t="str">
        <f>IF(ISNUMBER(FIND("overige",Methode_Keuze)),"",IF(Tb_Activiteiten[[#This Row],[Vergoeding]]=1,Tb_Activiteiten[[#Headers],[Vergoeding]],""))</f>
        <v/>
      </c>
      <c r="AZ995" t="str">
        <f>IF(ISNUMBER(FIND("arbeid",Methode_Keuze)),"",IF(Tb_Activiteiten[[#This Row],[Arbeidskosten - vast tarief (excl eigen arbeid)]]=1,Tb_Activiteiten[[#Headers],[Arbeidskosten - vast tarief (excl eigen arbeid)]],""))</f>
        <v/>
      </c>
      <c r="BA995" t="str">
        <f>IF(ISNUMBER(FIND("overige",Methode_Keuze)),"",IF(Tb_Activiteiten[[#This Row],[Overige kosten]]=1,Tb_Activiteiten[[#Headers],[Overige kosten]],""))</f>
        <v/>
      </c>
    </row>
    <row r="996" spans="1:53" x14ac:dyDescent="0.25">
      <c r="A996" s="231"/>
      <c r="F996" s="64"/>
      <c r="G996" s="64"/>
      <c r="H996" s="275"/>
      <c r="I996" s="275"/>
      <c r="J996" s="275"/>
      <c r="K996" s="275"/>
      <c r="O996" s="56"/>
      <c r="Q996" t="str">
        <f>IFERROR(IF(VLOOKUP(Tb_Activiteiten[[#This Row],[Openstelling]],Tb_Openstelling[],2,0)=1,1,""),"")</f>
        <v/>
      </c>
      <c r="AK996" t="str">
        <f>IF(ISNUMBER(FIND("arbeid",Methode_Keuze)),"",IF(ISNUMBER(FIND("arbeid",Methode_Keuze)),"",IF(Tb_Activiteiten[[#This Row],[Loonkosten]]=1,Tb_Activiteiten[[#Headers],[Loonkosten]],"")))</f>
        <v/>
      </c>
      <c r="AL996" t="str">
        <f>IF(ISNUMBER(FIND("arbeid",Methode_Keuze)),"",IF(ISNUMBER(FIND("arbeid",Methode_Keuze)),"",IF(Tb_Activiteiten[[#This Row],[Eigen arbeid]]=1,Tb_Activiteiten[[#Headers],[Eigen arbeid]],"")))</f>
        <v/>
      </c>
      <c r="AM996" t="str">
        <f>IF(ISNUMBER(FIND("arbeid",Methode_Keuze)),"",IF(ISNUMBER(FIND("arbeid",Methode_Keuze)),"",IF(Tb_Activiteiten[[#This Row],[Projectmedewerker]]=1,Tb_Activiteiten[[#Headers],[Projectmedewerker]],"")))</f>
        <v/>
      </c>
      <c r="AN996" t="str">
        <f>IF(ISNUMBER(FIND("arbeid",Methode_Keuze)),"",IF(ISNUMBER(FIND("arbeid",Methode_Keuze)),"",IF(Tb_Activiteiten[[#This Row],[Landbouwer]]=1,Tb_Activiteiten[[#Headers],[Landbouwer]],"")))</f>
        <v/>
      </c>
      <c r="AO996" t="str">
        <f>IF(ISNUMBER(FIND("arbeid",Methode_Keuze)),"",IF(ISNUMBER(FIND("arbeid",Methode_Keuze)),"",IF(Tb_Activiteiten[[#This Row],[Adviseur]]=1,Tb_Activiteiten[[#Headers],[Adviseur]],"")))</f>
        <v/>
      </c>
      <c r="AP996" t="str">
        <f>IF(ISNUMBER(FIND("arbeid",Methode_Keuze)),"",IF(ISNUMBER(FIND("arbeid",Methode_Keuze)),"",IF(Tb_Activiteiten[[#This Row],[Projectleider/Expert]]=1,Tb_Activiteiten[[#Headers],[Projectleider/Expert]],"")))</f>
        <v/>
      </c>
      <c r="AQ996" t="str">
        <f>IF(ISNUMBER(FIND("arbeid",Methode_Keuze)),"",IF(ISNUMBER(FIND("arbeid",Methode_Keuze)),"",IF(Tb_Activiteiten[[#This Row],[Arbeidskosten]]=1,Tb_Activiteiten[[#Headers],[Arbeidskosten]],"")))</f>
        <v/>
      </c>
      <c r="AR996" t="str">
        <f>IF(ISNUMBER(FIND("arbeid",Methode_Keuze)),"",IF(ISNUMBER(FIND("arbeid",Methode_Keuze)),"",IF(Tb_Activiteiten[[#This Row],[Arbeidskosten op basis van IKS]]=1,Tb_Activiteiten[[#Headers],[Arbeidskosten op basis van IKS]],"")))</f>
        <v/>
      </c>
      <c r="AS996" t="str">
        <f>IF(ISNUMBER(FIND("overige",Methode_Keuze)),"",IF(Tb_Activiteiten[[#This Row],[Kosten derden exclusief btw]]=1,Tb_Activiteiten[[#Headers],[Kosten derden exclusief btw]],""))</f>
        <v/>
      </c>
      <c r="AT996" t="str">
        <f>IF(ISNUMBER(FIND("overige",Methode_Keuze)),"",IF(Tb_Activiteiten[[#This Row],[Niet verrekenbare btw]]=1,Tb_Activiteiten[[#Headers],[Niet verrekenbare btw]],""))</f>
        <v/>
      </c>
      <c r="AU996" t="str">
        <f>IF(ISNUMBER(FIND("overige",Methode_Keuze)),"",IF(Tb_Activiteiten[[#This Row],[Grondkosten]]=1,Tb_Activiteiten[[#Headers],[Grondkosten]],""))</f>
        <v/>
      </c>
      <c r="AV996" t="str">
        <f>IF(ISNUMBER(FIND("overige",Methode_Keuze)),"",IF(Tb_Activiteiten[[#This Row],[Bijdrage in natura (overige)]]=1,Tb_Activiteiten[[#Headers],[Bijdrage in natura (overige)]],""))</f>
        <v/>
      </c>
      <c r="AW996" t="str">
        <f>IF(ISNUMBER(FIND("overige",Methode_Keuze)),"",IF(Tb_Activiteiten[[#This Row],[Bijdrage in natura (vrijwilligers)]]=1,Tb_Activiteiten[[#Headers],[Bijdrage in natura (vrijwilligers)]],""))</f>
        <v/>
      </c>
      <c r="AX996" t="str">
        <f>IF(ISNUMBER(FIND("overige",Methode_Keuze)),"",IF(Tb_Activiteiten[[#This Row],[Afschrijvingskosten]]=1,Tb_Activiteiten[[#Headers],[Afschrijvingskosten]],""))</f>
        <v/>
      </c>
      <c r="AY996" t="str">
        <f>IF(ISNUMBER(FIND("overige",Methode_Keuze)),"",IF(Tb_Activiteiten[[#This Row],[Vergoeding]]=1,Tb_Activiteiten[[#Headers],[Vergoeding]],""))</f>
        <v/>
      </c>
      <c r="AZ996" t="str">
        <f>IF(ISNUMBER(FIND("arbeid",Methode_Keuze)),"",IF(Tb_Activiteiten[[#This Row],[Arbeidskosten - vast tarief (excl eigen arbeid)]]=1,Tb_Activiteiten[[#Headers],[Arbeidskosten - vast tarief (excl eigen arbeid)]],""))</f>
        <v/>
      </c>
      <c r="BA996" t="str">
        <f>IF(ISNUMBER(FIND("overige",Methode_Keuze)),"",IF(Tb_Activiteiten[[#This Row],[Overige kosten]]=1,Tb_Activiteiten[[#Headers],[Overige kosten]],""))</f>
        <v/>
      </c>
    </row>
    <row r="997" spans="1:53" x14ac:dyDescent="0.25">
      <c r="A997" s="231"/>
      <c r="F997" s="64"/>
      <c r="G997" s="64"/>
      <c r="H997" s="275"/>
      <c r="I997" s="275"/>
      <c r="J997" s="275"/>
      <c r="K997" s="275"/>
      <c r="O997" s="56"/>
      <c r="Q997" t="str">
        <f>IFERROR(IF(VLOOKUP(Tb_Activiteiten[[#This Row],[Openstelling]],Tb_Openstelling[],2,0)=1,1,""),"")</f>
        <v/>
      </c>
      <c r="AK997" t="str">
        <f>IF(ISNUMBER(FIND("arbeid",Methode_Keuze)),"",IF(ISNUMBER(FIND("arbeid",Methode_Keuze)),"",IF(Tb_Activiteiten[[#This Row],[Loonkosten]]=1,Tb_Activiteiten[[#Headers],[Loonkosten]],"")))</f>
        <v/>
      </c>
      <c r="AL997" t="str">
        <f>IF(ISNUMBER(FIND("arbeid",Methode_Keuze)),"",IF(ISNUMBER(FIND("arbeid",Methode_Keuze)),"",IF(Tb_Activiteiten[[#This Row],[Eigen arbeid]]=1,Tb_Activiteiten[[#Headers],[Eigen arbeid]],"")))</f>
        <v/>
      </c>
      <c r="AM997" t="str">
        <f>IF(ISNUMBER(FIND("arbeid",Methode_Keuze)),"",IF(ISNUMBER(FIND("arbeid",Methode_Keuze)),"",IF(Tb_Activiteiten[[#This Row],[Projectmedewerker]]=1,Tb_Activiteiten[[#Headers],[Projectmedewerker]],"")))</f>
        <v/>
      </c>
      <c r="AN997" t="str">
        <f>IF(ISNUMBER(FIND("arbeid",Methode_Keuze)),"",IF(ISNUMBER(FIND("arbeid",Methode_Keuze)),"",IF(Tb_Activiteiten[[#This Row],[Landbouwer]]=1,Tb_Activiteiten[[#Headers],[Landbouwer]],"")))</f>
        <v/>
      </c>
      <c r="AO997" t="str">
        <f>IF(ISNUMBER(FIND("arbeid",Methode_Keuze)),"",IF(ISNUMBER(FIND("arbeid",Methode_Keuze)),"",IF(Tb_Activiteiten[[#This Row],[Adviseur]]=1,Tb_Activiteiten[[#Headers],[Adviseur]],"")))</f>
        <v/>
      </c>
      <c r="AP997" t="str">
        <f>IF(ISNUMBER(FIND("arbeid",Methode_Keuze)),"",IF(ISNUMBER(FIND("arbeid",Methode_Keuze)),"",IF(Tb_Activiteiten[[#This Row],[Projectleider/Expert]]=1,Tb_Activiteiten[[#Headers],[Projectleider/Expert]],"")))</f>
        <v/>
      </c>
      <c r="AQ997" t="str">
        <f>IF(ISNUMBER(FIND("arbeid",Methode_Keuze)),"",IF(ISNUMBER(FIND("arbeid",Methode_Keuze)),"",IF(Tb_Activiteiten[[#This Row],[Arbeidskosten]]=1,Tb_Activiteiten[[#Headers],[Arbeidskosten]],"")))</f>
        <v/>
      </c>
      <c r="AR997" t="str">
        <f>IF(ISNUMBER(FIND("arbeid",Methode_Keuze)),"",IF(ISNUMBER(FIND("arbeid",Methode_Keuze)),"",IF(Tb_Activiteiten[[#This Row],[Arbeidskosten op basis van IKS]]=1,Tb_Activiteiten[[#Headers],[Arbeidskosten op basis van IKS]],"")))</f>
        <v/>
      </c>
      <c r="AS997" t="str">
        <f>IF(ISNUMBER(FIND("overige",Methode_Keuze)),"",IF(Tb_Activiteiten[[#This Row],[Kosten derden exclusief btw]]=1,Tb_Activiteiten[[#Headers],[Kosten derden exclusief btw]],""))</f>
        <v/>
      </c>
      <c r="AT997" t="str">
        <f>IF(ISNUMBER(FIND("overige",Methode_Keuze)),"",IF(Tb_Activiteiten[[#This Row],[Niet verrekenbare btw]]=1,Tb_Activiteiten[[#Headers],[Niet verrekenbare btw]],""))</f>
        <v/>
      </c>
      <c r="AU997" t="str">
        <f>IF(ISNUMBER(FIND("overige",Methode_Keuze)),"",IF(Tb_Activiteiten[[#This Row],[Grondkosten]]=1,Tb_Activiteiten[[#Headers],[Grondkosten]],""))</f>
        <v/>
      </c>
      <c r="AV997" t="str">
        <f>IF(ISNUMBER(FIND("overige",Methode_Keuze)),"",IF(Tb_Activiteiten[[#This Row],[Bijdrage in natura (overige)]]=1,Tb_Activiteiten[[#Headers],[Bijdrage in natura (overige)]],""))</f>
        <v/>
      </c>
      <c r="AW997" t="str">
        <f>IF(ISNUMBER(FIND("overige",Methode_Keuze)),"",IF(Tb_Activiteiten[[#This Row],[Bijdrage in natura (vrijwilligers)]]=1,Tb_Activiteiten[[#Headers],[Bijdrage in natura (vrijwilligers)]],""))</f>
        <v/>
      </c>
      <c r="AX997" t="str">
        <f>IF(ISNUMBER(FIND("overige",Methode_Keuze)),"",IF(Tb_Activiteiten[[#This Row],[Afschrijvingskosten]]=1,Tb_Activiteiten[[#Headers],[Afschrijvingskosten]],""))</f>
        <v/>
      </c>
      <c r="AY997" t="str">
        <f>IF(ISNUMBER(FIND("overige",Methode_Keuze)),"",IF(Tb_Activiteiten[[#This Row],[Vergoeding]]=1,Tb_Activiteiten[[#Headers],[Vergoeding]],""))</f>
        <v/>
      </c>
      <c r="AZ997" t="str">
        <f>IF(ISNUMBER(FIND("arbeid",Methode_Keuze)),"",IF(Tb_Activiteiten[[#This Row],[Arbeidskosten - vast tarief (excl eigen arbeid)]]=1,Tb_Activiteiten[[#Headers],[Arbeidskosten - vast tarief (excl eigen arbeid)]],""))</f>
        <v/>
      </c>
      <c r="BA997" t="str">
        <f>IF(ISNUMBER(FIND("overige",Methode_Keuze)),"",IF(Tb_Activiteiten[[#This Row],[Overige kosten]]=1,Tb_Activiteiten[[#Headers],[Overige kosten]],""))</f>
        <v/>
      </c>
    </row>
    <row r="998" spans="1:53" x14ac:dyDescent="0.25">
      <c r="A998" s="231"/>
      <c r="F998" s="64"/>
      <c r="G998" s="64"/>
      <c r="H998" s="275"/>
      <c r="I998" s="275"/>
      <c r="J998" s="275"/>
      <c r="K998" s="275"/>
      <c r="O998" s="56"/>
      <c r="Q998" t="str">
        <f>IFERROR(IF(VLOOKUP(Tb_Activiteiten[[#This Row],[Openstelling]],Tb_Openstelling[],2,0)=1,1,""),"")</f>
        <v/>
      </c>
      <c r="AK998" t="str">
        <f>IF(ISNUMBER(FIND("arbeid",Methode_Keuze)),"",IF(ISNUMBER(FIND("arbeid",Methode_Keuze)),"",IF(Tb_Activiteiten[[#This Row],[Loonkosten]]=1,Tb_Activiteiten[[#Headers],[Loonkosten]],"")))</f>
        <v/>
      </c>
      <c r="AL998" t="str">
        <f>IF(ISNUMBER(FIND("arbeid",Methode_Keuze)),"",IF(ISNUMBER(FIND("arbeid",Methode_Keuze)),"",IF(Tb_Activiteiten[[#This Row],[Eigen arbeid]]=1,Tb_Activiteiten[[#Headers],[Eigen arbeid]],"")))</f>
        <v/>
      </c>
      <c r="AM998" t="str">
        <f>IF(ISNUMBER(FIND("arbeid",Methode_Keuze)),"",IF(ISNUMBER(FIND("arbeid",Methode_Keuze)),"",IF(Tb_Activiteiten[[#This Row],[Projectmedewerker]]=1,Tb_Activiteiten[[#Headers],[Projectmedewerker]],"")))</f>
        <v/>
      </c>
      <c r="AN998" t="str">
        <f>IF(ISNUMBER(FIND("arbeid",Methode_Keuze)),"",IF(ISNUMBER(FIND("arbeid",Methode_Keuze)),"",IF(Tb_Activiteiten[[#This Row],[Landbouwer]]=1,Tb_Activiteiten[[#Headers],[Landbouwer]],"")))</f>
        <v/>
      </c>
      <c r="AO998" t="str">
        <f>IF(ISNUMBER(FIND("arbeid",Methode_Keuze)),"",IF(ISNUMBER(FIND("arbeid",Methode_Keuze)),"",IF(Tb_Activiteiten[[#This Row],[Adviseur]]=1,Tb_Activiteiten[[#Headers],[Adviseur]],"")))</f>
        <v/>
      </c>
      <c r="AP998" t="str">
        <f>IF(ISNUMBER(FIND("arbeid",Methode_Keuze)),"",IF(ISNUMBER(FIND("arbeid",Methode_Keuze)),"",IF(Tb_Activiteiten[[#This Row],[Projectleider/Expert]]=1,Tb_Activiteiten[[#Headers],[Projectleider/Expert]],"")))</f>
        <v/>
      </c>
      <c r="AQ998" t="str">
        <f>IF(ISNUMBER(FIND("arbeid",Methode_Keuze)),"",IF(ISNUMBER(FIND("arbeid",Methode_Keuze)),"",IF(Tb_Activiteiten[[#This Row],[Arbeidskosten]]=1,Tb_Activiteiten[[#Headers],[Arbeidskosten]],"")))</f>
        <v/>
      </c>
      <c r="AR998" t="str">
        <f>IF(ISNUMBER(FIND("arbeid",Methode_Keuze)),"",IF(ISNUMBER(FIND("arbeid",Methode_Keuze)),"",IF(Tb_Activiteiten[[#This Row],[Arbeidskosten op basis van IKS]]=1,Tb_Activiteiten[[#Headers],[Arbeidskosten op basis van IKS]],"")))</f>
        <v/>
      </c>
      <c r="AS998" t="str">
        <f>IF(ISNUMBER(FIND("overige",Methode_Keuze)),"",IF(Tb_Activiteiten[[#This Row],[Kosten derden exclusief btw]]=1,Tb_Activiteiten[[#Headers],[Kosten derden exclusief btw]],""))</f>
        <v/>
      </c>
      <c r="AT998" t="str">
        <f>IF(ISNUMBER(FIND("overige",Methode_Keuze)),"",IF(Tb_Activiteiten[[#This Row],[Niet verrekenbare btw]]=1,Tb_Activiteiten[[#Headers],[Niet verrekenbare btw]],""))</f>
        <v/>
      </c>
      <c r="AU998" t="str">
        <f>IF(ISNUMBER(FIND("overige",Methode_Keuze)),"",IF(Tb_Activiteiten[[#This Row],[Grondkosten]]=1,Tb_Activiteiten[[#Headers],[Grondkosten]],""))</f>
        <v/>
      </c>
      <c r="AV998" t="str">
        <f>IF(ISNUMBER(FIND("overige",Methode_Keuze)),"",IF(Tb_Activiteiten[[#This Row],[Bijdrage in natura (overige)]]=1,Tb_Activiteiten[[#Headers],[Bijdrage in natura (overige)]],""))</f>
        <v/>
      </c>
      <c r="AW998" t="str">
        <f>IF(ISNUMBER(FIND("overige",Methode_Keuze)),"",IF(Tb_Activiteiten[[#This Row],[Bijdrage in natura (vrijwilligers)]]=1,Tb_Activiteiten[[#Headers],[Bijdrage in natura (vrijwilligers)]],""))</f>
        <v/>
      </c>
      <c r="AX998" t="str">
        <f>IF(ISNUMBER(FIND("overige",Methode_Keuze)),"",IF(Tb_Activiteiten[[#This Row],[Afschrijvingskosten]]=1,Tb_Activiteiten[[#Headers],[Afschrijvingskosten]],""))</f>
        <v/>
      </c>
      <c r="AY998" t="str">
        <f>IF(ISNUMBER(FIND("overige",Methode_Keuze)),"",IF(Tb_Activiteiten[[#This Row],[Vergoeding]]=1,Tb_Activiteiten[[#Headers],[Vergoeding]],""))</f>
        <v/>
      </c>
      <c r="AZ998" t="str">
        <f>IF(ISNUMBER(FIND("arbeid",Methode_Keuze)),"",IF(Tb_Activiteiten[[#This Row],[Arbeidskosten - vast tarief (excl eigen arbeid)]]=1,Tb_Activiteiten[[#Headers],[Arbeidskosten - vast tarief (excl eigen arbeid)]],""))</f>
        <v/>
      </c>
      <c r="BA998" t="str">
        <f>IF(ISNUMBER(FIND("overige",Methode_Keuze)),"",IF(Tb_Activiteiten[[#This Row],[Overige kosten]]=1,Tb_Activiteiten[[#Headers],[Overige kosten]],""))</f>
        <v/>
      </c>
    </row>
    <row r="999" spans="1:53" x14ac:dyDescent="0.25">
      <c r="A999" s="231"/>
      <c r="F999" s="64"/>
      <c r="G999" s="64"/>
      <c r="H999" s="275"/>
      <c r="I999" s="275"/>
      <c r="J999" s="275"/>
      <c r="K999" s="275"/>
      <c r="O999" s="56"/>
      <c r="Q999" t="str">
        <f>IFERROR(IF(VLOOKUP(Tb_Activiteiten[[#This Row],[Openstelling]],Tb_Openstelling[],2,0)=1,1,""),"")</f>
        <v/>
      </c>
      <c r="AK999" t="str">
        <f>IF(ISNUMBER(FIND("arbeid",Methode_Keuze)),"",IF(ISNUMBER(FIND("arbeid",Methode_Keuze)),"",IF(Tb_Activiteiten[[#This Row],[Loonkosten]]=1,Tb_Activiteiten[[#Headers],[Loonkosten]],"")))</f>
        <v/>
      </c>
      <c r="AL999" t="str">
        <f>IF(ISNUMBER(FIND("arbeid",Methode_Keuze)),"",IF(ISNUMBER(FIND("arbeid",Methode_Keuze)),"",IF(Tb_Activiteiten[[#This Row],[Eigen arbeid]]=1,Tb_Activiteiten[[#Headers],[Eigen arbeid]],"")))</f>
        <v/>
      </c>
      <c r="AM999" t="str">
        <f>IF(ISNUMBER(FIND("arbeid",Methode_Keuze)),"",IF(ISNUMBER(FIND("arbeid",Methode_Keuze)),"",IF(Tb_Activiteiten[[#This Row],[Projectmedewerker]]=1,Tb_Activiteiten[[#Headers],[Projectmedewerker]],"")))</f>
        <v/>
      </c>
      <c r="AN999" t="str">
        <f>IF(ISNUMBER(FIND("arbeid",Methode_Keuze)),"",IF(ISNUMBER(FIND("arbeid",Methode_Keuze)),"",IF(Tb_Activiteiten[[#This Row],[Landbouwer]]=1,Tb_Activiteiten[[#Headers],[Landbouwer]],"")))</f>
        <v/>
      </c>
      <c r="AO999" t="str">
        <f>IF(ISNUMBER(FIND("arbeid",Methode_Keuze)),"",IF(ISNUMBER(FIND("arbeid",Methode_Keuze)),"",IF(Tb_Activiteiten[[#This Row],[Adviseur]]=1,Tb_Activiteiten[[#Headers],[Adviseur]],"")))</f>
        <v/>
      </c>
      <c r="AP999" t="str">
        <f>IF(ISNUMBER(FIND("arbeid",Methode_Keuze)),"",IF(ISNUMBER(FIND("arbeid",Methode_Keuze)),"",IF(Tb_Activiteiten[[#This Row],[Projectleider/Expert]]=1,Tb_Activiteiten[[#Headers],[Projectleider/Expert]],"")))</f>
        <v/>
      </c>
      <c r="AQ999" t="str">
        <f>IF(ISNUMBER(FIND("arbeid",Methode_Keuze)),"",IF(ISNUMBER(FIND("arbeid",Methode_Keuze)),"",IF(Tb_Activiteiten[[#This Row],[Arbeidskosten]]=1,Tb_Activiteiten[[#Headers],[Arbeidskosten]],"")))</f>
        <v/>
      </c>
      <c r="AR999" t="str">
        <f>IF(ISNUMBER(FIND("arbeid",Methode_Keuze)),"",IF(ISNUMBER(FIND("arbeid",Methode_Keuze)),"",IF(Tb_Activiteiten[[#This Row],[Arbeidskosten op basis van IKS]]=1,Tb_Activiteiten[[#Headers],[Arbeidskosten op basis van IKS]],"")))</f>
        <v/>
      </c>
      <c r="AS999" t="str">
        <f>IF(ISNUMBER(FIND("overige",Methode_Keuze)),"",IF(Tb_Activiteiten[[#This Row],[Kosten derden exclusief btw]]=1,Tb_Activiteiten[[#Headers],[Kosten derden exclusief btw]],""))</f>
        <v/>
      </c>
      <c r="AT999" t="str">
        <f>IF(ISNUMBER(FIND("overige",Methode_Keuze)),"",IF(Tb_Activiteiten[[#This Row],[Niet verrekenbare btw]]=1,Tb_Activiteiten[[#Headers],[Niet verrekenbare btw]],""))</f>
        <v/>
      </c>
      <c r="AU999" t="str">
        <f>IF(ISNUMBER(FIND("overige",Methode_Keuze)),"",IF(Tb_Activiteiten[[#This Row],[Grondkosten]]=1,Tb_Activiteiten[[#Headers],[Grondkosten]],""))</f>
        <v/>
      </c>
      <c r="AV999" t="str">
        <f>IF(ISNUMBER(FIND("overige",Methode_Keuze)),"",IF(Tb_Activiteiten[[#This Row],[Bijdrage in natura (overige)]]=1,Tb_Activiteiten[[#Headers],[Bijdrage in natura (overige)]],""))</f>
        <v/>
      </c>
      <c r="AW999" t="str">
        <f>IF(ISNUMBER(FIND("overige",Methode_Keuze)),"",IF(Tb_Activiteiten[[#This Row],[Bijdrage in natura (vrijwilligers)]]=1,Tb_Activiteiten[[#Headers],[Bijdrage in natura (vrijwilligers)]],""))</f>
        <v/>
      </c>
      <c r="AX999" t="str">
        <f>IF(ISNUMBER(FIND("overige",Methode_Keuze)),"",IF(Tb_Activiteiten[[#This Row],[Afschrijvingskosten]]=1,Tb_Activiteiten[[#Headers],[Afschrijvingskosten]],""))</f>
        <v/>
      </c>
      <c r="AY999" t="str">
        <f>IF(ISNUMBER(FIND("overige",Methode_Keuze)),"",IF(Tb_Activiteiten[[#This Row],[Vergoeding]]=1,Tb_Activiteiten[[#Headers],[Vergoeding]],""))</f>
        <v/>
      </c>
      <c r="AZ999" t="str">
        <f>IF(ISNUMBER(FIND("arbeid",Methode_Keuze)),"",IF(Tb_Activiteiten[[#This Row],[Arbeidskosten - vast tarief (excl eigen arbeid)]]=1,Tb_Activiteiten[[#Headers],[Arbeidskosten - vast tarief (excl eigen arbeid)]],""))</f>
        <v/>
      </c>
      <c r="BA999" t="str">
        <f>IF(ISNUMBER(FIND("overige",Methode_Keuze)),"",IF(Tb_Activiteiten[[#This Row],[Overige kosten]]=1,Tb_Activiteiten[[#Headers],[Overige kosten]],""))</f>
        <v/>
      </c>
    </row>
    <row r="1000" spans="1:53" x14ac:dyDescent="0.25">
      <c r="A1000" s="231"/>
      <c r="F1000" s="64"/>
      <c r="G1000" s="64"/>
      <c r="H1000" s="275"/>
      <c r="I1000" s="275"/>
      <c r="J1000" s="275"/>
      <c r="K1000" s="275"/>
      <c r="O1000" s="56"/>
      <c r="Q1000" t="str">
        <f>IFERROR(IF(VLOOKUP(Tb_Activiteiten[[#This Row],[Openstelling]],Tb_Openstelling[],2,0)=1,1,""),"")</f>
        <v/>
      </c>
      <c r="AK1000" t="str">
        <f>IF(ISNUMBER(FIND("arbeid",Methode_Keuze)),"",IF(ISNUMBER(FIND("arbeid",Methode_Keuze)),"",IF(Tb_Activiteiten[[#This Row],[Loonkosten]]=1,Tb_Activiteiten[[#Headers],[Loonkosten]],"")))</f>
        <v/>
      </c>
      <c r="AL1000" t="str">
        <f>IF(ISNUMBER(FIND("arbeid",Methode_Keuze)),"",IF(ISNUMBER(FIND("arbeid",Methode_Keuze)),"",IF(Tb_Activiteiten[[#This Row],[Eigen arbeid]]=1,Tb_Activiteiten[[#Headers],[Eigen arbeid]],"")))</f>
        <v/>
      </c>
      <c r="AM1000" t="str">
        <f>IF(ISNUMBER(FIND("arbeid",Methode_Keuze)),"",IF(ISNUMBER(FIND("arbeid",Methode_Keuze)),"",IF(Tb_Activiteiten[[#This Row],[Projectmedewerker]]=1,Tb_Activiteiten[[#Headers],[Projectmedewerker]],"")))</f>
        <v/>
      </c>
      <c r="AN1000" t="str">
        <f>IF(ISNUMBER(FIND("arbeid",Methode_Keuze)),"",IF(ISNUMBER(FIND("arbeid",Methode_Keuze)),"",IF(Tb_Activiteiten[[#This Row],[Landbouwer]]=1,Tb_Activiteiten[[#Headers],[Landbouwer]],"")))</f>
        <v/>
      </c>
      <c r="AO1000" t="str">
        <f>IF(ISNUMBER(FIND("arbeid",Methode_Keuze)),"",IF(ISNUMBER(FIND("arbeid",Methode_Keuze)),"",IF(Tb_Activiteiten[[#This Row],[Adviseur]]=1,Tb_Activiteiten[[#Headers],[Adviseur]],"")))</f>
        <v/>
      </c>
      <c r="AP1000" t="str">
        <f>IF(ISNUMBER(FIND("arbeid",Methode_Keuze)),"",IF(ISNUMBER(FIND("arbeid",Methode_Keuze)),"",IF(Tb_Activiteiten[[#This Row],[Projectleider/Expert]]=1,Tb_Activiteiten[[#Headers],[Projectleider/Expert]],"")))</f>
        <v/>
      </c>
      <c r="AQ1000" t="str">
        <f>IF(ISNUMBER(FIND("arbeid",Methode_Keuze)),"",IF(ISNUMBER(FIND("arbeid",Methode_Keuze)),"",IF(Tb_Activiteiten[[#This Row],[Arbeidskosten]]=1,Tb_Activiteiten[[#Headers],[Arbeidskosten]],"")))</f>
        <v/>
      </c>
      <c r="AR1000" t="str">
        <f>IF(ISNUMBER(FIND("arbeid",Methode_Keuze)),"",IF(ISNUMBER(FIND("arbeid",Methode_Keuze)),"",IF(Tb_Activiteiten[[#This Row],[Arbeidskosten op basis van IKS]]=1,Tb_Activiteiten[[#Headers],[Arbeidskosten op basis van IKS]],"")))</f>
        <v/>
      </c>
      <c r="AS1000" t="str">
        <f>IF(ISNUMBER(FIND("overige",Methode_Keuze)),"",IF(Tb_Activiteiten[[#This Row],[Kosten derden exclusief btw]]=1,Tb_Activiteiten[[#Headers],[Kosten derden exclusief btw]],""))</f>
        <v/>
      </c>
      <c r="AT1000" t="str">
        <f>IF(ISNUMBER(FIND("overige",Methode_Keuze)),"",IF(Tb_Activiteiten[[#This Row],[Niet verrekenbare btw]]=1,Tb_Activiteiten[[#Headers],[Niet verrekenbare btw]],""))</f>
        <v/>
      </c>
      <c r="AU1000" t="str">
        <f>IF(ISNUMBER(FIND("overige",Methode_Keuze)),"",IF(Tb_Activiteiten[[#This Row],[Grondkosten]]=1,Tb_Activiteiten[[#Headers],[Grondkosten]],""))</f>
        <v/>
      </c>
      <c r="AV1000" t="str">
        <f>IF(ISNUMBER(FIND("overige",Methode_Keuze)),"",IF(Tb_Activiteiten[[#This Row],[Bijdrage in natura (overige)]]=1,Tb_Activiteiten[[#Headers],[Bijdrage in natura (overige)]],""))</f>
        <v/>
      </c>
      <c r="AW1000" t="str">
        <f>IF(ISNUMBER(FIND("overige",Methode_Keuze)),"",IF(Tb_Activiteiten[[#This Row],[Bijdrage in natura (vrijwilligers)]]=1,Tb_Activiteiten[[#Headers],[Bijdrage in natura (vrijwilligers)]],""))</f>
        <v/>
      </c>
      <c r="AX1000" t="str">
        <f>IF(ISNUMBER(FIND("overige",Methode_Keuze)),"",IF(Tb_Activiteiten[[#This Row],[Afschrijvingskosten]]=1,Tb_Activiteiten[[#Headers],[Afschrijvingskosten]],""))</f>
        <v/>
      </c>
      <c r="AY1000" t="str">
        <f>IF(ISNUMBER(FIND("overige",Methode_Keuze)),"",IF(Tb_Activiteiten[[#This Row],[Vergoeding]]=1,Tb_Activiteiten[[#Headers],[Vergoeding]],""))</f>
        <v/>
      </c>
      <c r="AZ1000" t="str">
        <f>IF(ISNUMBER(FIND("arbeid",Methode_Keuze)),"",IF(Tb_Activiteiten[[#This Row],[Arbeidskosten - vast tarief (excl eigen arbeid)]]=1,Tb_Activiteiten[[#Headers],[Arbeidskosten - vast tarief (excl eigen arbeid)]],""))</f>
        <v/>
      </c>
      <c r="BA1000" t="str">
        <f>IF(ISNUMBER(FIND("overige",Methode_Keuze)),"",IF(Tb_Activiteiten[[#This Row],[Overige kosten]]=1,Tb_Activiteiten[[#Headers],[Overige kosten]],""))</f>
        <v/>
      </c>
    </row>
    <row r="1001" spans="1:53" x14ac:dyDescent="0.25">
      <c r="A1001" s="139"/>
      <c r="B1001" s="139"/>
      <c r="C1001" s="139"/>
      <c r="D1001" s="139"/>
      <c r="E1001" s="139"/>
      <c r="F1001" s="139"/>
      <c r="G1001" s="139"/>
      <c r="O1001" s="56"/>
      <c r="Q1001" t="str">
        <f>IFERROR(IF(VLOOKUP(Tb_Activiteiten[[#This Row],[Openstelling]],Tb_Openstelling[],2,0)=1,1,""),"")</f>
        <v/>
      </c>
      <c r="AK1001" t="str">
        <f>IF(ISNUMBER(FIND("arbeid",Methode_Keuze)),"",IF(ISNUMBER(FIND("arbeid",Methode_Keuze)),"",IF(Tb_Activiteiten[[#This Row],[Loonkosten]]=1,Tb_Activiteiten[[#Headers],[Loonkosten]],"")))</f>
        <v/>
      </c>
      <c r="AL1001" t="str">
        <f>IF(ISNUMBER(FIND("arbeid",Methode_Keuze)),"",IF(ISNUMBER(FIND("arbeid",Methode_Keuze)),"",IF(Tb_Activiteiten[[#This Row],[Eigen arbeid]]=1,Tb_Activiteiten[[#Headers],[Eigen arbeid]],"")))</f>
        <v/>
      </c>
      <c r="AM1001" t="str">
        <f>IF(ISNUMBER(FIND("arbeid",Methode_Keuze)),"",IF(ISNUMBER(FIND("arbeid",Methode_Keuze)),"",IF(Tb_Activiteiten[[#This Row],[Projectmedewerker]]=1,Tb_Activiteiten[[#Headers],[Projectmedewerker]],"")))</f>
        <v/>
      </c>
      <c r="AN1001" t="str">
        <f>IF(ISNUMBER(FIND("arbeid",Methode_Keuze)),"",IF(ISNUMBER(FIND("arbeid",Methode_Keuze)),"",IF(Tb_Activiteiten[[#This Row],[Landbouwer]]=1,Tb_Activiteiten[[#Headers],[Landbouwer]],"")))</f>
        <v/>
      </c>
      <c r="AO1001" t="str">
        <f>IF(ISNUMBER(FIND("arbeid",Methode_Keuze)),"",IF(ISNUMBER(FIND("arbeid",Methode_Keuze)),"",IF(Tb_Activiteiten[[#This Row],[Adviseur]]=1,Tb_Activiteiten[[#Headers],[Adviseur]],"")))</f>
        <v/>
      </c>
      <c r="AP1001" t="str">
        <f>IF(ISNUMBER(FIND("arbeid",Methode_Keuze)),"",IF(ISNUMBER(FIND("arbeid",Methode_Keuze)),"",IF(Tb_Activiteiten[[#This Row],[Projectleider/Expert]]=1,Tb_Activiteiten[[#Headers],[Projectleider/Expert]],"")))</f>
        <v/>
      </c>
      <c r="AQ1001" t="str">
        <f>IF(ISNUMBER(FIND("arbeid",Methode_Keuze)),"",IF(ISNUMBER(FIND("arbeid",Methode_Keuze)),"",IF(Tb_Activiteiten[[#This Row],[Arbeidskosten]]=1,Tb_Activiteiten[[#Headers],[Arbeidskosten]],"")))</f>
        <v/>
      </c>
      <c r="AR1001" t="str">
        <f>IF(ISNUMBER(FIND("arbeid",Methode_Keuze)),"",IF(ISNUMBER(FIND("arbeid",Methode_Keuze)),"",IF(Tb_Activiteiten[[#This Row],[Arbeidskosten op basis van IKS]]=1,Tb_Activiteiten[[#Headers],[Arbeidskosten op basis van IKS]],"")))</f>
        <v/>
      </c>
      <c r="AS1001" t="str">
        <f>IF(ISNUMBER(FIND("overige",Methode_Keuze)),"",IF(Tb_Activiteiten[[#This Row],[Kosten derden exclusief btw]]=1,Tb_Activiteiten[[#Headers],[Kosten derden exclusief btw]],""))</f>
        <v/>
      </c>
      <c r="AT1001" t="str">
        <f>IF(ISNUMBER(FIND("overige",Methode_Keuze)),"",IF(Tb_Activiteiten[[#This Row],[Niet verrekenbare btw]]=1,Tb_Activiteiten[[#Headers],[Niet verrekenbare btw]],""))</f>
        <v/>
      </c>
      <c r="AU1001" t="str">
        <f>IF(ISNUMBER(FIND("overige",Methode_Keuze)),"",IF(Tb_Activiteiten[[#This Row],[Grondkosten]]=1,Tb_Activiteiten[[#Headers],[Grondkosten]],""))</f>
        <v/>
      </c>
      <c r="AV1001" t="str">
        <f>IF(ISNUMBER(FIND("overige",Methode_Keuze)),"",IF(Tb_Activiteiten[[#This Row],[Bijdrage in natura (overige)]]=1,Tb_Activiteiten[[#Headers],[Bijdrage in natura (overige)]],""))</f>
        <v/>
      </c>
      <c r="AW1001" t="str">
        <f>IF(ISNUMBER(FIND("overige",Methode_Keuze)),"",IF(Tb_Activiteiten[[#This Row],[Bijdrage in natura (vrijwilligers)]]=1,Tb_Activiteiten[[#Headers],[Bijdrage in natura (vrijwilligers)]],""))</f>
        <v/>
      </c>
      <c r="AX1001" t="str">
        <f>IF(ISNUMBER(FIND("overige",Methode_Keuze)),"",IF(Tb_Activiteiten[[#This Row],[Afschrijvingskosten]]=1,Tb_Activiteiten[[#Headers],[Afschrijvingskosten]],""))</f>
        <v/>
      </c>
      <c r="AY1001" t="str">
        <f>IF(ISNUMBER(FIND("overige",Methode_Keuze)),"",IF(Tb_Activiteiten[[#This Row],[Vergoeding]]=1,Tb_Activiteiten[[#Headers],[Vergoeding]],""))</f>
        <v/>
      </c>
      <c r="AZ1001" t="str">
        <f>IF(ISNUMBER(FIND("arbeid",Methode_Keuze)),"",IF(Tb_Activiteiten[[#This Row],[Arbeidskosten - vast tarief (excl eigen arbeid)]]=1,Tb_Activiteiten[[#Headers],[Arbeidskosten - vast tarief (excl eigen arbeid)]],""))</f>
        <v/>
      </c>
      <c r="BA1001" t="str">
        <f>IF(ISNUMBER(FIND("overige",Methode_Keuze)),"",IF(Tb_Activiteiten[[#This Row],[Overige kosten]]=1,Tb_Activiteiten[[#Headers],[Overige kosten]],""))</f>
        <v/>
      </c>
    </row>
    <row r="1002" spans="1:53" x14ac:dyDescent="0.25">
      <c r="A1002" s="139"/>
      <c r="B1002" s="139"/>
      <c r="C1002" s="139"/>
      <c r="D1002" s="139"/>
      <c r="E1002" s="139"/>
      <c r="F1002" s="139"/>
      <c r="G1002" s="139"/>
      <c r="O1002" s="56"/>
      <c r="Q1002" t="str">
        <f>IFERROR(IF(VLOOKUP(Tb_Activiteiten[[#This Row],[Openstelling]],Tb_Openstelling[],2,0)=1,1,""),"")</f>
        <v/>
      </c>
      <c r="AK1002" t="str">
        <f>IF(ISNUMBER(FIND("arbeid",Methode_Keuze)),"",IF(ISNUMBER(FIND("arbeid",Methode_Keuze)),"",IF(Tb_Activiteiten[[#This Row],[Loonkosten]]=1,Tb_Activiteiten[[#Headers],[Loonkosten]],"")))</f>
        <v/>
      </c>
      <c r="AL1002" t="str">
        <f>IF(ISNUMBER(FIND("arbeid",Methode_Keuze)),"",IF(ISNUMBER(FIND("arbeid",Methode_Keuze)),"",IF(Tb_Activiteiten[[#This Row],[Eigen arbeid]]=1,Tb_Activiteiten[[#Headers],[Eigen arbeid]],"")))</f>
        <v/>
      </c>
      <c r="AM1002" t="str">
        <f>IF(ISNUMBER(FIND("arbeid",Methode_Keuze)),"",IF(ISNUMBER(FIND("arbeid",Methode_Keuze)),"",IF(Tb_Activiteiten[[#This Row],[Projectmedewerker]]=1,Tb_Activiteiten[[#Headers],[Projectmedewerker]],"")))</f>
        <v/>
      </c>
      <c r="AN1002" t="str">
        <f>IF(ISNUMBER(FIND("arbeid",Methode_Keuze)),"",IF(ISNUMBER(FIND("arbeid",Methode_Keuze)),"",IF(Tb_Activiteiten[[#This Row],[Landbouwer]]=1,Tb_Activiteiten[[#Headers],[Landbouwer]],"")))</f>
        <v/>
      </c>
      <c r="AO1002" t="str">
        <f>IF(ISNUMBER(FIND("arbeid",Methode_Keuze)),"",IF(ISNUMBER(FIND("arbeid",Methode_Keuze)),"",IF(Tb_Activiteiten[[#This Row],[Adviseur]]=1,Tb_Activiteiten[[#Headers],[Adviseur]],"")))</f>
        <v/>
      </c>
      <c r="AP1002" t="str">
        <f>IF(ISNUMBER(FIND("arbeid",Methode_Keuze)),"",IF(ISNUMBER(FIND("arbeid",Methode_Keuze)),"",IF(Tb_Activiteiten[[#This Row],[Projectleider/Expert]]=1,Tb_Activiteiten[[#Headers],[Projectleider/Expert]],"")))</f>
        <v/>
      </c>
      <c r="AQ1002" t="str">
        <f>IF(ISNUMBER(FIND("arbeid",Methode_Keuze)),"",IF(ISNUMBER(FIND("arbeid",Methode_Keuze)),"",IF(Tb_Activiteiten[[#This Row],[Arbeidskosten]]=1,Tb_Activiteiten[[#Headers],[Arbeidskosten]],"")))</f>
        <v/>
      </c>
      <c r="AR1002" t="str">
        <f>IF(ISNUMBER(FIND("arbeid",Methode_Keuze)),"",IF(ISNUMBER(FIND("arbeid",Methode_Keuze)),"",IF(Tb_Activiteiten[[#This Row],[Arbeidskosten op basis van IKS]]=1,Tb_Activiteiten[[#Headers],[Arbeidskosten op basis van IKS]],"")))</f>
        <v/>
      </c>
      <c r="AS1002" t="str">
        <f>IF(ISNUMBER(FIND("overige",Methode_Keuze)),"",IF(Tb_Activiteiten[[#This Row],[Kosten derden exclusief btw]]=1,Tb_Activiteiten[[#Headers],[Kosten derden exclusief btw]],""))</f>
        <v/>
      </c>
      <c r="AT1002" t="str">
        <f>IF(ISNUMBER(FIND("overige",Methode_Keuze)),"",IF(Tb_Activiteiten[[#This Row],[Niet verrekenbare btw]]=1,Tb_Activiteiten[[#Headers],[Niet verrekenbare btw]],""))</f>
        <v/>
      </c>
      <c r="AU1002" t="str">
        <f>IF(ISNUMBER(FIND("overige",Methode_Keuze)),"",IF(Tb_Activiteiten[[#This Row],[Grondkosten]]=1,Tb_Activiteiten[[#Headers],[Grondkosten]],""))</f>
        <v/>
      </c>
      <c r="AV1002" t="str">
        <f>IF(ISNUMBER(FIND("overige",Methode_Keuze)),"",IF(Tb_Activiteiten[[#This Row],[Bijdrage in natura (overige)]]=1,Tb_Activiteiten[[#Headers],[Bijdrage in natura (overige)]],""))</f>
        <v/>
      </c>
      <c r="AW1002" t="str">
        <f>IF(ISNUMBER(FIND("overige",Methode_Keuze)),"",IF(Tb_Activiteiten[[#This Row],[Bijdrage in natura (vrijwilligers)]]=1,Tb_Activiteiten[[#Headers],[Bijdrage in natura (vrijwilligers)]],""))</f>
        <v/>
      </c>
      <c r="AX1002" t="str">
        <f>IF(ISNUMBER(FIND("overige",Methode_Keuze)),"",IF(Tb_Activiteiten[[#This Row],[Afschrijvingskosten]]=1,Tb_Activiteiten[[#Headers],[Afschrijvingskosten]],""))</f>
        <v/>
      </c>
      <c r="AY1002" t="str">
        <f>IF(ISNUMBER(FIND("overige",Methode_Keuze)),"",IF(Tb_Activiteiten[[#This Row],[Vergoeding]]=1,Tb_Activiteiten[[#Headers],[Vergoeding]],""))</f>
        <v/>
      </c>
      <c r="AZ1002" t="str">
        <f>IF(ISNUMBER(FIND("arbeid",Methode_Keuze)),"",IF(Tb_Activiteiten[[#This Row],[Arbeidskosten - vast tarief (excl eigen arbeid)]]=1,Tb_Activiteiten[[#Headers],[Arbeidskosten - vast tarief (excl eigen arbeid)]],""))</f>
        <v/>
      </c>
      <c r="BA1002" t="str">
        <f>IF(ISNUMBER(FIND("overige",Methode_Keuze)),"",IF(Tb_Activiteiten[[#This Row],[Overige kosten]]=1,Tb_Activiteiten[[#Headers],[Overige kosten]],""))</f>
        <v/>
      </c>
    </row>
    <row r="1003" spans="1:53" x14ac:dyDescent="0.25">
      <c r="A1003" s="139"/>
      <c r="B1003" s="139"/>
      <c r="C1003" s="139"/>
      <c r="D1003" s="139"/>
      <c r="E1003" s="139"/>
      <c r="F1003" s="139"/>
      <c r="G1003" s="139"/>
      <c r="O1003" s="56"/>
      <c r="Q1003" t="str">
        <f>IFERROR(IF(VLOOKUP(Tb_Activiteiten[[#This Row],[Openstelling]],Tb_Openstelling[],2,0)=1,1,""),"")</f>
        <v/>
      </c>
      <c r="AK1003" t="str">
        <f>IF(ISNUMBER(FIND("arbeid",Methode_Keuze)),"",IF(ISNUMBER(FIND("arbeid",Methode_Keuze)),"",IF(Tb_Activiteiten[[#This Row],[Loonkosten]]=1,Tb_Activiteiten[[#Headers],[Loonkosten]],"")))</f>
        <v/>
      </c>
      <c r="AL1003" t="str">
        <f>IF(ISNUMBER(FIND("arbeid",Methode_Keuze)),"",IF(ISNUMBER(FIND("arbeid",Methode_Keuze)),"",IF(Tb_Activiteiten[[#This Row],[Eigen arbeid]]=1,Tb_Activiteiten[[#Headers],[Eigen arbeid]],"")))</f>
        <v/>
      </c>
      <c r="AM1003" t="str">
        <f>IF(ISNUMBER(FIND("arbeid",Methode_Keuze)),"",IF(ISNUMBER(FIND("arbeid",Methode_Keuze)),"",IF(Tb_Activiteiten[[#This Row],[Projectmedewerker]]=1,Tb_Activiteiten[[#Headers],[Projectmedewerker]],"")))</f>
        <v/>
      </c>
      <c r="AN1003" t="str">
        <f>IF(ISNUMBER(FIND("arbeid",Methode_Keuze)),"",IF(ISNUMBER(FIND("arbeid",Methode_Keuze)),"",IF(Tb_Activiteiten[[#This Row],[Landbouwer]]=1,Tb_Activiteiten[[#Headers],[Landbouwer]],"")))</f>
        <v/>
      </c>
      <c r="AO1003" t="str">
        <f>IF(ISNUMBER(FIND("arbeid",Methode_Keuze)),"",IF(ISNUMBER(FIND("arbeid",Methode_Keuze)),"",IF(Tb_Activiteiten[[#This Row],[Adviseur]]=1,Tb_Activiteiten[[#Headers],[Adviseur]],"")))</f>
        <v/>
      </c>
      <c r="AP1003" t="str">
        <f>IF(ISNUMBER(FIND("arbeid",Methode_Keuze)),"",IF(ISNUMBER(FIND("arbeid",Methode_Keuze)),"",IF(Tb_Activiteiten[[#This Row],[Projectleider/Expert]]=1,Tb_Activiteiten[[#Headers],[Projectleider/Expert]],"")))</f>
        <v/>
      </c>
      <c r="AQ1003" t="str">
        <f>IF(ISNUMBER(FIND("arbeid",Methode_Keuze)),"",IF(ISNUMBER(FIND("arbeid",Methode_Keuze)),"",IF(Tb_Activiteiten[[#This Row],[Arbeidskosten]]=1,Tb_Activiteiten[[#Headers],[Arbeidskosten]],"")))</f>
        <v/>
      </c>
      <c r="AR1003" t="str">
        <f>IF(ISNUMBER(FIND("arbeid",Methode_Keuze)),"",IF(ISNUMBER(FIND("arbeid",Methode_Keuze)),"",IF(Tb_Activiteiten[[#This Row],[Arbeidskosten op basis van IKS]]=1,Tb_Activiteiten[[#Headers],[Arbeidskosten op basis van IKS]],"")))</f>
        <v/>
      </c>
      <c r="AS1003" t="str">
        <f>IF(ISNUMBER(FIND("overige",Methode_Keuze)),"",IF(Tb_Activiteiten[[#This Row],[Kosten derden exclusief btw]]=1,Tb_Activiteiten[[#Headers],[Kosten derden exclusief btw]],""))</f>
        <v/>
      </c>
      <c r="AT1003" t="str">
        <f>IF(ISNUMBER(FIND("overige",Methode_Keuze)),"",IF(Tb_Activiteiten[[#This Row],[Niet verrekenbare btw]]=1,Tb_Activiteiten[[#Headers],[Niet verrekenbare btw]],""))</f>
        <v/>
      </c>
      <c r="AU1003" t="str">
        <f>IF(ISNUMBER(FIND("overige",Methode_Keuze)),"",IF(Tb_Activiteiten[[#This Row],[Grondkosten]]=1,Tb_Activiteiten[[#Headers],[Grondkosten]],""))</f>
        <v/>
      </c>
      <c r="AV1003" t="str">
        <f>IF(ISNUMBER(FIND("overige",Methode_Keuze)),"",IF(Tb_Activiteiten[[#This Row],[Bijdrage in natura (overige)]]=1,Tb_Activiteiten[[#Headers],[Bijdrage in natura (overige)]],""))</f>
        <v/>
      </c>
      <c r="AW1003" t="str">
        <f>IF(ISNUMBER(FIND("overige",Methode_Keuze)),"",IF(Tb_Activiteiten[[#This Row],[Bijdrage in natura (vrijwilligers)]]=1,Tb_Activiteiten[[#Headers],[Bijdrage in natura (vrijwilligers)]],""))</f>
        <v/>
      </c>
      <c r="AX1003" t="str">
        <f>IF(ISNUMBER(FIND("overige",Methode_Keuze)),"",IF(Tb_Activiteiten[[#This Row],[Afschrijvingskosten]]=1,Tb_Activiteiten[[#Headers],[Afschrijvingskosten]],""))</f>
        <v/>
      </c>
      <c r="AY1003" t="str">
        <f>IF(ISNUMBER(FIND("overige",Methode_Keuze)),"",IF(Tb_Activiteiten[[#This Row],[Vergoeding]]=1,Tb_Activiteiten[[#Headers],[Vergoeding]],""))</f>
        <v/>
      </c>
      <c r="AZ1003" t="str">
        <f>IF(ISNUMBER(FIND("arbeid",Methode_Keuze)),"",IF(Tb_Activiteiten[[#This Row],[Arbeidskosten - vast tarief (excl eigen arbeid)]]=1,Tb_Activiteiten[[#Headers],[Arbeidskosten - vast tarief (excl eigen arbeid)]],""))</f>
        <v/>
      </c>
      <c r="BA1003" t="str">
        <f>IF(ISNUMBER(FIND("overige",Methode_Keuze)),"",IF(Tb_Activiteiten[[#This Row],[Overige kosten]]=1,Tb_Activiteiten[[#Headers],[Overige kosten]],""))</f>
        <v/>
      </c>
    </row>
    <row r="1004" spans="1:53" x14ac:dyDescent="0.25">
      <c r="A1004" s="139"/>
      <c r="B1004" s="139"/>
      <c r="C1004" s="139"/>
      <c r="D1004" s="139"/>
      <c r="E1004" s="139"/>
      <c r="F1004" s="139"/>
      <c r="G1004" s="139"/>
      <c r="O1004" s="56"/>
      <c r="Q1004" t="str">
        <f>IFERROR(IF(VLOOKUP(Tb_Activiteiten[[#This Row],[Openstelling]],Tb_Openstelling[],2,0)=1,1,""),"")</f>
        <v/>
      </c>
      <c r="AK1004" t="str">
        <f>IF(ISNUMBER(FIND("arbeid",Methode_Keuze)),"",IF(ISNUMBER(FIND("arbeid",Methode_Keuze)),"",IF(Tb_Activiteiten[[#This Row],[Loonkosten]]=1,Tb_Activiteiten[[#Headers],[Loonkosten]],"")))</f>
        <v/>
      </c>
      <c r="AL1004" t="str">
        <f>IF(ISNUMBER(FIND("arbeid",Methode_Keuze)),"",IF(ISNUMBER(FIND("arbeid",Methode_Keuze)),"",IF(Tb_Activiteiten[[#This Row],[Eigen arbeid]]=1,Tb_Activiteiten[[#Headers],[Eigen arbeid]],"")))</f>
        <v/>
      </c>
      <c r="AM1004" t="str">
        <f>IF(ISNUMBER(FIND("arbeid",Methode_Keuze)),"",IF(ISNUMBER(FIND("arbeid",Methode_Keuze)),"",IF(Tb_Activiteiten[[#This Row],[Projectmedewerker]]=1,Tb_Activiteiten[[#Headers],[Projectmedewerker]],"")))</f>
        <v/>
      </c>
      <c r="AN1004" t="str">
        <f>IF(ISNUMBER(FIND("arbeid",Methode_Keuze)),"",IF(ISNUMBER(FIND("arbeid",Methode_Keuze)),"",IF(Tb_Activiteiten[[#This Row],[Landbouwer]]=1,Tb_Activiteiten[[#Headers],[Landbouwer]],"")))</f>
        <v/>
      </c>
      <c r="AO1004" t="str">
        <f>IF(ISNUMBER(FIND("arbeid",Methode_Keuze)),"",IF(ISNUMBER(FIND("arbeid",Methode_Keuze)),"",IF(Tb_Activiteiten[[#This Row],[Adviseur]]=1,Tb_Activiteiten[[#Headers],[Adviseur]],"")))</f>
        <v/>
      </c>
      <c r="AP1004" t="str">
        <f>IF(ISNUMBER(FIND("arbeid",Methode_Keuze)),"",IF(ISNUMBER(FIND("arbeid",Methode_Keuze)),"",IF(Tb_Activiteiten[[#This Row],[Projectleider/Expert]]=1,Tb_Activiteiten[[#Headers],[Projectleider/Expert]],"")))</f>
        <v/>
      </c>
      <c r="AQ1004" t="str">
        <f>IF(ISNUMBER(FIND("arbeid",Methode_Keuze)),"",IF(ISNUMBER(FIND("arbeid",Methode_Keuze)),"",IF(Tb_Activiteiten[[#This Row],[Arbeidskosten]]=1,Tb_Activiteiten[[#Headers],[Arbeidskosten]],"")))</f>
        <v/>
      </c>
      <c r="AR1004" t="str">
        <f>IF(ISNUMBER(FIND("arbeid",Methode_Keuze)),"",IF(ISNUMBER(FIND("arbeid",Methode_Keuze)),"",IF(Tb_Activiteiten[[#This Row],[Arbeidskosten op basis van IKS]]=1,Tb_Activiteiten[[#Headers],[Arbeidskosten op basis van IKS]],"")))</f>
        <v/>
      </c>
      <c r="AS1004" t="str">
        <f>IF(ISNUMBER(FIND("overige",Methode_Keuze)),"",IF(Tb_Activiteiten[[#This Row],[Kosten derden exclusief btw]]=1,Tb_Activiteiten[[#Headers],[Kosten derden exclusief btw]],""))</f>
        <v/>
      </c>
      <c r="AT1004" t="str">
        <f>IF(ISNUMBER(FIND("overige",Methode_Keuze)),"",IF(Tb_Activiteiten[[#This Row],[Niet verrekenbare btw]]=1,Tb_Activiteiten[[#Headers],[Niet verrekenbare btw]],""))</f>
        <v/>
      </c>
      <c r="AU1004" t="str">
        <f>IF(ISNUMBER(FIND("overige",Methode_Keuze)),"",IF(Tb_Activiteiten[[#This Row],[Grondkosten]]=1,Tb_Activiteiten[[#Headers],[Grondkosten]],""))</f>
        <v/>
      </c>
      <c r="AV1004" t="str">
        <f>IF(ISNUMBER(FIND("overige",Methode_Keuze)),"",IF(Tb_Activiteiten[[#This Row],[Bijdrage in natura (overige)]]=1,Tb_Activiteiten[[#Headers],[Bijdrage in natura (overige)]],""))</f>
        <v/>
      </c>
      <c r="AW1004" t="str">
        <f>IF(ISNUMBER(FIND("overige",Methode_Keuze)),"",IF(Tb_Activiteiten[[#This Row],[Bijdrage in natura (vrijwilligers)]]=1,Tb_Activiteiten[[#Headers],[Bijdrage in natura (vrijwilligers)]],""))</f>
        <v/>
      </c>
      <c r="AX1004" t="str">
        <f>IF(ISNUMBER(FIND("overige",Methode_Keuze)),"",IF(Tb_Activiteiten[[#This Row],[Afschrijvingskosten]]=1,Tb_Activiteiten[[#Headers],[Afschrijvingskosten]],""))</f>
        <v/>
      </c>
      <c r="AY1004" t="str">
        <f>IF(ISNUMBER(FIND("overige",Methode_Keuze)),"",IF(Tb_Activiteiten[[#This Row],[Vergoeding]]=1,Tb_Activiteiten[[#Headers],[Vergoeding]],""))</f>
        <v/>
      </c>
      <c r="AZ1004" t="str">
        <f>IF(ISNUMBER(FIND("arbeid",Methode_Keuze)),"",IF(Tb_Activiteiten[[#This Row],[Arbeidskosten - vast tarief (excl eigen arbeid)]]=1,Tb_Activiteiten[[#Headers],[Arbeidskosten - vast tarief (excl eigen arbeid)]],""))</f>
        <v/>
      </c>
      <c r="BA1004" t="str">
        <f>IF(ISNUMBER(FIND("overige",Methode_Keuze)),"",IF(Tb_Activiteiten[[#This Row],[Overige kosten]]=1,Tb_Activiteiten[[#Headers],[Overige kosten]],""))</f>
        <v/>
      </c>
    </row>
    <row r="1005" spans="1:53" x14ac:dyDescent="0.25">
      <c r="A1005" s="139"/>
      <c r="B1005" s="139"/>
      <c r="C1005" s="139"/>
      <c r="D1005" s="139"/>
      <c r="E1005" s="139"/>
      <c r="F1005" s="139"/>
      <c r="G1005" s="139"/>
      <c r="O1005" s="56"/>
      <c r="Q1005" t="str">
        <f>IFERROR(IF(VLOOKUP(Tb_Activiteiten[[#This Row],[Openstelling]],Tb_Openstelling[],2,0)=1,1,""),"")</f>
        <v/>
      </c>
      <c r="AK1005" t="str">
        <f>IF(ISNUMBER(FIND("arbeid",Methode_Keuze)),"",IF(ISNUMBER(FIND("arbeid",Methode_Keuze)),"",IF(Tb_Activiteiten[[#This Row],[Loonkosten]]=1,Tb_Activiteiten[[#Headers],[Loonkosten]],"")))</f>
        <v/>
      </c>
      <c r="AL1005" t="str">
        <f>IF(ISNUMBER(FIND("arbeid",Methode_Keuze)),"",IF(ISNUMBER(FIND("arbeid",Methode_Keuze)),"",IF(Tb_Activiteiten[[#This Row],[Eigen arbeid]]=1,Tb_Activiteiten[[#Headers],[Eigen arbeid]],"")))</f>
        <v/>
      </c>
      <c r="AM1005" t="str">
        <f>IF(ISNUMBER(FIND("arbeid",Methode_Keuze)),"",IF(ISNUMBER(FIND("arbeid",Methode_Keuze)),"",IF(Tb_Activiteiten[[#This Row],[Projectmedewerker]]=1,Tb_Activiteiten[[#Headers],[Projectmedewerker]],"")))</f>
        <v/>
      </c>
      <c r="AN1005" t="str">
        <f>IF(ISNUMBER(FIND("arbeid",Methode_Keuze)),"",IF(ISNUMBER(FIND("arbeid",Methode_Keuze)),"",IF(Tb_Activiteiten[[#This Row],[Landbouwer]]=1,Tb_Activiteiten[[#Headers],[Landbouwer]],"")))</f>
        <v/>
      </c>
      <c r="AO1005" t="str">
        <f>IF(ISNUMBER(FIND("arbeid",Methode_Keuze)),"",IF(ISNUMBER(FIND("arbeid",Methode_Keuze)),"",IF(Tb_Activiteiten[[#This Row],[Adviseur]]=1,Tb_Activiteiten[[#Headers],[Adviseur]],"")))</f>
        <v/>
      </c>
      <c r="AP1005" t="str">
        <f>IF(ISNUMBER(FIND("arbeid",Methode_Keuze)),"",IF(ISNUMBER(FIND("arbeid",Methode_Keuze)),"",IF(Tb_Activiteiten[[#This Row],[Projectleider/Expert]]=1,Tb_Activiteiten[[#Headers],[Projectleider/Expert]],"")))</f>
        <v/>
      </c>
      <c r="AQ1005" t="str">
        <f>IF(ISNUMBER(FIND("arbeid",Methode_Keuze)),"",IF(ISNUMBER(FIND("arbeid",Methode_Keuze)),"",IF(Tb_Activiteiten[[#This Row],[Arbeidskosten]]=1,Tb_Activiteiten[[#Headers],[Arbeidskosten]],"")))</f>
        <v/>
      </c>
      <c r="AR1005" t="str">
        <f>IF(ISNUMBER(FIND("arbeid",Methode_Keuze)),"",IF(ISNUMBER(FIND("arbeid",Methode_Keuze)),"",IF(Tb_Activiteiten[[#This Row],[Arbeidskosten op basis van IKS]]=1,Tb_Activiteiten[[#Headers],[Arbeidskosten op basis van IKS]],"")))</f>
        <v/>
      </c>
      <c r="AS1005" t="str">
        <f>IF(ISNUMBER(FIND("overige",Methode_Keuze)),"",IF(Tb_Activiteiten[[#This Row],[Kosten derden exclusief btw]]=1,Tb_Activiteiten[[#Headers],[Kosten derden exclusief btw]],""))</f>
        <v/>
      </c>
      <c r="AT1005" t="str">
        <f>IF(ISNUMBER(FIND("overige",Methode_Keuze)),"",IF(Tb_Activiteiten[[#This Row],[Niet verrekenbare btw]]=1,Tb_Activiteiten[[#Headers],[Niet verrekenbare btw]],""))</f>
        <v/>
      </c>
      <c r="AU1005" t="str">
        <f>IF(ISNUMBER(FIND("overige",Methode_Keuze)),"",IF(Tb_Activiteiten[[#This Row],[Grondkosten]]=1,Tb_Activiteiten[[#Headers],[Grondkosten]],""))</f>
        <v/>
      </c>
      <c r="AV1005" t="str">
        <f>IF(ISNUMBER(FIND("overige",Methode_Keuze)),"",IF(Tb_Activiteiten[[#This Row],[Bijdrage in natura (overige)]]=1,Tb_Activiteiten[[#Headers],[Bijdrage in natura (overige)]],""))</f>
        <v/>
      </c>
      <c r="AW1005" t="str">
        <f>IF(ISNUMBER(FIND("overige",Methode_Keuze)),"",IF(Tb_Activiteiten[[#This Row],[Bijdrage in natura (vrijwilligers)]]=1,Tb_Activiteiten[[#Headers],[Bijdrage in natura (vrijwilligers)]],""))</f>
        <v/>
      </c>
      <c r="AX1005" t="str">
        <f>IF(ISNUMBER(FIND("overige",Methode_Keuze)),"",IF(Tb_Activiteiten[[#This Row],[Afschrijvingskosten]]=1,Tb_Activiteiten[[#Headers],[Afschrijvingskosten]],""))</f>
        <v/>
      </c>
      <c r="AY1005" t="str">
        <f>IF(ISNUMBER(FIND("overige",Methode_Keuze)),"",IF(Tb_Activiteiten[[#This Row],[Vergoeding]]=1,Tb_Activiteiten[[#Headers],[Vergoeding]],""))</f>
        <v/>
      </c>
      <c r="AZ1005" t="str">
        <f>IF(ISNUMBER(FIND("arbeid",Methode_Keuze)),"",IF(Tb_Activiteiten[[#This Row],[Arbeidskosten - vast tarief (excl eigen arbeid)]]=1,Tb_Activiteiten[[#Headers],[Arbeidskosten - vast tarief (excl eigen arbeid)]],""))</f>
        <v/>
      </c>
      <c r="BA1005" t="str">
        <f>IF(ISNUMBER(FIND("overige",Methode_Keuze)),"",IF(Tb_Activiteiten[[#This Row],[Overige kosten]]=1,Tb_Activiteiten[[#Headers],[Overige kosten]],""))</f>
        <v/>
      </c>
    </row>
    <row r="1006" spans="1:53" x14ac:dyDescent="0.25">
      <c r="A1006" s="139"/>
      <c r="B1006" s="139"/>
      <c r="C1006" s="139"/>
      <c r="D1006" s="139"/>
      <c r="E1006" s="139"/>
      <c r="F1006" s="139"/>
      <c r="G1006" s="139"/>
      <c r="O1006" s="56"/>
      <c r="Q1006" t="str">
        <f>IFERROR(IF(VLOOKUP(Tb_Activiteiten[[#This Row],[Openstelling]],Tb_Openstelling[],2,0)=1,1,""),"")</f>
        <v/>
      </c>
      <c r="AK1006" t="str">
        <f>IF(ISNUMBER(FIND("arbeid",Methode_Keuze)),"",IF(ISNUMBER(FIND("arbeid",Methode_Keuze)),"",IF(Tb_Activiteiten[[#This Row],[Loonkosten]]=1,Tb_Activiteiten[[#Headers],[Loonkosten]],"")))</f>
        <v/>
      </c>
      <c r="AL1006" t="str">
        <f>IF(ISNUMBER(FIND("arbeid",Methode_Keuze)),"",IF(ISNUMBER(FIND("arbeid",Methode_Keuze)),"",IF(Tb_Activiteiten[[#This Row],[Eigen arbeid]]=1,Tb_Activiteiten[[#Headers],[Eigen arbeid]],"")))</f>
        <v/>
      </c>
      <c r="AM1006" t="str">
        <f>IF(ISNUMBER(FIND("arbeid",Methode_Keuze)),"",IF(ISNUMBER(FIND("arbeid",Methode_Keuze)),"",IF(Tb_Activiteiten[[#This Row],[Projectmedewerker]]=1,Tb_Activiteiten[[#Headers],[Projectmedewerker]],"")))</f>
        <v/>
      </c>
      <c r="AN1006" t="str">
        <f>IF(ISNUMBER(FIND("arbeid",Methode_Keuze)),"",IF(ISNUMBER(FIND("arbeid",Methode_Keuze)),"",IF(Tb_Activiteiten[[#This Row],[Landbouwer]]=1,Tb_Activiteiten[[#Headers],[Landbouwer]],"")))</f>
        <v/>
      </c>
      <c r="AO1006" t="str">
        <f>IF(ISNUMBER(FIND("arbeid",Methode_Keuze)),"",IF(ISNUMBER(FIND("arbeid",Methode_Keuze)),"",IF(Tb_Activiteiten[[#This Row],[Adviseur]]=1,Tb_Activiteiten[[#Headers],[Adviseur]],"")))</f>
        <v/>
      </c>
      <c r="AP1006" t="str">
        <f>IF(ISNUMBER(FIND("arbeid",Methode_Keuze)),"",IF(ISNUMBER(FIND("arbeid",Methode_Keuze)),"",IF(Tb_Activiteiten[[#This Row],[Projectleider/Expert]]=1,Tb_Activiteiten[[#Headers],[Projectleider/Expert]],"")))</f>
        <v/>
      </c>
      <c r="AQ1006" t="str">
        <f>IF(ISNUMBER(FIND("arbeid",Methode_Keuze)),"",IF(ISNUMBER(FIND("arbeid",Methode_Keuze)),"",IF(Tb_Activiteiten[[#This Row],[Arbeidskosten]]=1,Tb_Activiteiten[[#Headers],[Arbeidskosten]],"")))</f>
        <v/>
      </c>
      <c r="AR1006" t="str">
        <f>IF(ISNUMBER(FIND("arbeid",Methode_Keuze)),"",IF(ISNUMBER(FIND("arbeid",Methode_Keuze)),"",IF(Tb_Activiteiten[[#This Row],[Arbeidskosten op basis van IKS]]=1,Tb_Activiteiten[[#Headers],[Arbeidskosten op basis van IKS]],"")))</f>
        <v/>
      </c>
      <c r="AS1006" t="str">
        <f>IF(ISNUMBER(FIND("overige",Methode_Keuze)),"",IF(Tb_Activiteiten[[#This Row],[Kosten derden exclusief btw]]=1,Tb_Activiteiten[[#Headers],[Kosten derden exclusief btw]],""))</f>
        <v/>
      </c>
      <c r="AT1006" t="str">
        <f>IF(ISNUMBER(FIND("overige",Methode_Keuze)),"",IF(Tb_Activiteiten[[#This Row],[Niet verrekenbare btw]]=1,Tb_Activiteiten[[#Headers],[Niet verrekenbare btw]],""))</f>
        <v/>
      </c>
      <c r="AU1006" t="str">
        <f>IF(ISNUMBER(FIND("overige",Methode_Keuze)),"",IF(Tb_Activiteiten[[#This Row],[Grondkosten]]=1,Tb_Activiteiten[[#Headers],[Grondkosten]],""))</f>
        <v/>
      </c>
      <c r="AV1006" t="str">
        <f>IF(ISNUMBER(FIND("overige",Methode_Keuze)),"",IF(Tb_Activiteiten[[#This Row],[Bijdrage in natura (overige)]]=1,Tb_Activiteiten[[#Headers],[Bijdrage in natura (overige)]],""))</f>
        <v/>
      </c>
      <c r="AW1006" t="str">
        <f>IF(ISNUMBER(FIND("overige",Methode_Keuze)),"",IF(Tb_Activiteiten[[#This Row],[Bijdrage in natura (vrijwilligers)]]=1,Tb_Activiteiten[[#Headers],[Bijdrage in natura (vrijwilligers)]],""))</f>
        <v/>
      </c>
      <c r="AX1006" t="str">
        <f>IF(ISNUMBER(FIND("overige",Methode_Keuze)),"",IF(Tb_Activiteiten[[#This Row],[Afschrijvingskosten]]=1,Tb_Activiteiten[[#Headers],[Afschrijvingskosten]],""))</f>
        <v/>
      </c>
      <c r="AY1006" t="str">
        <f>IF(ISNUMBER(FIND("overige",Methode_Keuze)),"",IF(Tb_Activiteiten[[#This Row],[Vergoeding]]=1,Tb_Activiteiten[[#Headers],[Vergoeding]],""))</f>
        <v/>
      </c>
      <c r="AZ1006" t="str">
        <f>IF(ISNUMBER(FIND("arbeid",Methode_Keuze)),"",IF(Tb_Activiteiten[[#This Row],[Arbeidskosten - vast tarief (excl eigen arbeid)]]=1,Tb_Activiteiten[[#Headers],[Arbeidskosten - vast tarief (excl eigen arbeid)]],""))</f>
        <v/>
      </c>
      <c r="BA1006" t="str">
        <f>IF(ISNUMBER(FIND("overige",Methode_Keuze)),"",IF(Tb_Activiteiten[[#This Row],[Overige kosten]]=1,Tb_Activiteiten[[#Headers],[Overige kosten]],""))</f>
        <v/>
      </c>
    </row>
    <row r="1007" spans="1:53" x14ac:dyDescent="0.25">
      <c r="A1007" s="139"/>
      <c r="B1007" s="139"/>
      <c r="C1007" s="139"/>
      <c r="D1007" s="139"/>
      <c r="E1007" s="139"/>
      <c r="F1007" s="139"/>
      <c r="G1007" s="139"/>
      <c r="O1007" s="56"/>
      <c r="Q1007" t="str">
        <f>IFERROR(IF(VLOOKUP(Tb_Activiteiten[[#This Row],[Openstelling]],Tb_Openstelling[],2,0)=1,1,""),"")</f>
        <v/>
      </c>
      <c r="AK1007" t="str">
        <f>IF(ISNUMBER(FIND("arbeid",Methode_Keuze)),"",IF(ISNUMBER(FIND("arbeid",Methode_Keuze)),"",IF(Tb_Activiteiten[[#This Row],[Loonkosten]]=1,Tb_Activiteiten[[#Headers],[Loonkosten]],"")))</f>
        <v/>
      </c>
      <c r="AL1007" t="str">
        <f>IF(ISNUMBER(FIND("arbeid",Methode_Keuze)),"",IF(ISNUMBER(FIND("arbeid",Methode_Keuze)),"",IF(Tb_Activiteiten[[#This Row],[Eigen arbeid]]=1,Tb_Activiteiten[[#Headers],[Eigen arbeid]],"")))</f>
        <v/>
      </c>
      <c r="AM1007" t="str">
        <f>IF(ISNUMBER(FIND("arbeid",Methode_Keuze)),"",IF(ISNUMBER(FIND("arbeid",Methode_Keuze)),"",IF(Tb_Activiteiten[[#This Row],[Projectmedewerker]]=1,Tb_Activiteiten[[#Headers],[Projectmedewerker]],"")))</f>
        <v/>
      </c>
      <c r="AN1007" t="str">
        <f>IF(ISNUMBER(FIND("arbeid",Methode_Keuze)),"",IF(ISNUMBER(FIND("arbeid",Methode_Keuze)),"",IF(Tb_Activiteiten[[#This Row],[Landbouwer]]=1,Tb_Activiteiten[[#Headers],[Landbouwer]],"")))</f>
        <v/>
      </c>
      <c r="AO1007" t="str">
        <f>IF(ISNUMBER(FIND("arbeid",Methode_Keuze)),"",IF(ISNUMBER(FIND("arbeid",Methode_Keuze)),"",IF(Tb_Activiteiten[[#This Row],[Adviseur]]=1,Tb_Activiteiten[[#Headers],[Adviseur]],"")))</f>
        <v/>
      </c>
      <c r="AP1007" t="str">
        <f>IF(ISNUMBER(FIND("arbeid",Methode_Keuze)),"",IF(ISNUMBER(FIND("arbeid",Methode_Keuze)),"",IF(Tb_Activiteiten[[#This Row],[Projectleider/Expert]]=1,Tb_Activiteiten[[#Headers],[Projectleider/Expert]],"")))</f>
        <v/>
      </c>
      <c r="AQ1007" t="str">
        <f>IF(ISNUMBER(FIND("arbeid",Methode_Keuze)),"",IF(ISNUMBER(FIND("arbeid",Methode_Keuze)),"",IF(Tb_Activiteiten[[#This Row],[Arbeidskosten]]=1,Tb_Activiteiten[[#Headers],[Arbeidskosten]],"")))</f>
        <v/>
      </c>
      <c r="AR1007" t="str">
        <f>IF(ISNUMBER(FIND("arbeid",Methode_Keuze)),"",IF(ISNUMBER(FIND("arbeid",Methode_Keuze)),"",IF(Tb_Activiteiten[[#This Row],[Arbeidskosten op basis van IKS]]=1,Tb_Activiteiten[[#Headers],[Arbeidskosten op basis van IKS]],"")))</f>
        <v/>
      </c>
      <c r="AS1007" t="str">
        <f>IF(ISNUMBER(FIND("overige",Methode_Keuze)),"",IF(Tb_Activiteiten[[#This Row],[Kosten derden exclusief btw]]=1,Tb_Activiteiten[[#Headers],[Kosten derden exclusief btw]],""))</f>
        <v/>
      </c>
      <c r="AT1007" t="str">
        <f>IF(ISNUMBER(FIND("overige",Methode_Keuze)),"",IF(Tb_Activiteiten[[#This Row],[Niet verrekenbare btw]]=1,Tb_Activiteiten[[#Headers],[Niet verrekenbare btw]],""))</f>
        <v/>
      </c>
      <c r="AU1007" t="str">
        <f>IF(ISNUMBER(FIND("overige",Methode_Keuze)),"",IF(Tb_Activiteiten[[#This Row],[Grondkosten]]=1,Tb_Activiteiten[[#Headers],[Grondkosten]],""))</f>
        <v/>
      </c>
      <c r="AV1007" t="str">
        <f>IF(ISNUMBER(FIND("overige",Methode_Keuze)),"",IF(Tb_Activiteiten[[#This Row],[Bijdrage in natura (overige)]]=1,Tb_Activiteiten[[#Headers],[Bijdrage in natura (overige)]],""))</f>
        <v/>
      </c>
      <c r="AW1007" t="str">
        <f>IF(ISNUMBER(FIND("overige",Methode_Keuze)),"",IF(Tb_Activiteiten[[#This Row],[Bijdrage in natura (vrijwilligers)]]=1,Tb_Activiteiten[[#Headers],[Bijdrage in natura (vrijwilligers)]],""))</f>
        <v/>
      </c>
      <c r="AX1007" t="str">
        <f>IF(ISNUMBER(FIND("overige",Methode_Keuze)),"",IF(Tb_Activiteiten[[#This Row],[Afschrijvingskosten]]=1,Tb_Activiteiten[[#Headers],[Afschrijvingskosten]],""))</f>
        <v/>
      </c>
      <c r="AY1007" t="str">
        <f>IF(ISNUMBER(FIND("overige",Methode_Keuze)),"",IF(Tb_Activiteiten[[#This Row],[Vergoeding]]=1,Tb_Activiteiten[[#Headers],[Vergoeding]],""))</f>
        <v/>
      </c>
      <c r="AZ1007" t="str">
        <f>IF(ISNUMBER(FIND("arbeid",Methode_Keuze)),"",IF(Tb_Activiteiten[[#This Row],[Arbeidskosten - vast tarief (excl eigen arbeid)]]=1,Tb_Activiteiten[[#Headers],[Arbeidskosten - vast tarief (excl eigen arbeid)]],""))</f>
        <v/>
      </c>
      <c r="BA1007" t="str">
        <f>IF(ISNUMBER(FIND("overige",Methode_Keuze)),"",IF(Tb_Activiteiten[[#This Row],[Overige kosten]]=1,Tb_Activiteiten[[#Headers],[Overige kosten]],""))</f>
        <v/>
      </c>
    </row>
    <row r="1008" spans="1:53" x14ac:dyDescent="0.25">
      <c r="A1008" s="139"/>
      <c r="B1008" s="139"/>
      <c r="C1008" s="139"/>
      <c r="D1008" s="139"/>
      <c r="E1008" s="139"/>
      <c r="F1008" s="139"/>
      <c r="G1008" s="139"/>
      <c r="O1008" s="56"/>
      <c r="Q1008" t="str">
        <f>IFERROR(IF(VLOOKUP(Tb_Activiteiten[[#This Row],[Openstelling]],Tb_Openstelling[],2,0)=1,1,""),"")</f>
        <v/>
      </c>
      <c r="AK1008" t="str">
        <f>IF(ISNUMBER(FIND("arbeid",Methode_Keuze)),"",IF(ISNUMBER(FIND("arbeid",Methode_Keuze)),"",IF(Tb_Activiteiten[[#This Row],[Loonkosten]]=1,Tb_Activiteiten[[#Headers],[Loonkosten]],"")))</f>
        <v/>
      </c>
      <c r="AL1008" t="str">
        <f>IF(ISNUMBER(FIND("arbeid",Methode_Keuze)),"",IF(ISNUMBER(FIND("arbeid",Methode_Keuze)),"",IF(Tb_Activiteiten[[#This Row],[Eigen arbeid]]=1,Tb_Activiteiten[[#Headers],[Eigen arbeid]],"")))</f>
        <v/>
      </c>
      <c r="AM1008" t="str">
        <f>IF(ISNUMBER(FIND("arbeid",Methode_Keuze)),"",IF(ISNUMBER(FIND("arbeid",Methode_Keuze)),"",IF(Tb_Activiteiten[[#This Row],[Projectmedewerker]]=1,Tb_Activiteiten[[#Headers],[Projectmedewerker]],"")))</f>
        <v/>
      </c>
      <c r="AN1008" t="str">
        <f>IF(ISNUMBER(FIND("arbeid",Methode_Keuze)),"",IF(ISNUMBER(FIND("arbeid",Methode_Keuze)),"",IF(Tb_Activiteiten[[#This Row],[Landbouwer]]=1,Tb_Activiteiten[[#Headers],[Landbouwer]],"")))</f>
        <v/>
      </c>
      <c r="AO1008" t="str">
        <f>IF(ISNUMBER(FIND("arbeid",Methode_Keuze)),"",IF(ISNUMBER(FIND("arbeid",Methode_Keuze)),"",IF(Tb_Activiteiten[[#This Row],[Adviseur]]=1,Tb_Activiteiten[[#Headers],[Adviseur]],"")))</f>
        <v/>
      </c>
      <c r="AP1008" t="str">
        <f>IF(ISNUMBER(FIND("arbeid",Methode_Keuze)),"",IF(ISNUMBER(FIND("arbeid",Methode_Keuze)),"",IF(Tb_Activiteiten[[#This Row],[Projectleider/Expert]]=1,Tb_Activiteiten[[#Headers],[Projectleider/Expert]],"")))</f>
        <v/>
      </c>
      <c r="AQ1008" t="str">
        <f>IF(ISNUMBER(FIND("arbeid",Methode_Keuze)),"",IF(ISNUMBER(FIND("arbeid",Methode_Keuze)),"",IF(Tb_Activiteiten[[#This Row],[Arbeidskosten]]=1,Tb_Activiteiten[[#Headers],[Arbeidskosten]],"")))</f>
        <v/>
      </c>
      <c r="AR1008" t="str">
        <f>IF(ISNUMBER(FIND("arbeid",Methode_Keuze)),"",IF(ISNUMBER(FIND("arbeid",Methode_Keuze)),"",IF(Tb_Activiteiten[[#This Row],[Arbeidskosten op basis van IKS]]=1,Tb_Activiteiten[[#Headers],[Arbeidskosten op basis van IKS]],"")))</f>
        <v/>
      </c>
      <c r="AS1008" t="str">
        <f>IF(ISNUMBER(FIND("overige",Methode_Keuze)),"",IF(Tb_Activiteiten[[#This Row],[Kosten derden exclusief btw]]=1,Tb_Activiteiten[[#Headers],[Kosten derden exclusief btw]],""))</f>
        <v/>
      </c>
      <c r="AT1008" t="str">
        <f>IF(ISNUMBER(FIND("overige",Methode_Keuze)),"",IF(Tb_Activiteiten[[#This Row],[Niet verrekenbare btw]]=1,Tb_Activiteiten[[#Headers],[Niet verrekenbare btw]],""))</f>
        <v/>
      </c>
      <c r="AU1008" t="str">
        <f>IF(ISNUMBER(FIND("overige",Methode_Keuze)),"",IF(Tb_Activiteiten[[#This Row],[Grondkosten]]=1,Tb_Activiteiten[[#Headers],[Grondkosten]],""))</f>
        <v/>
      </c>
      <c r="AV1008" t="str">
        <f>IF(ISNUMBER(FIND("overige",Methode_Keuze)),"",IF(Tb_Activiteiten[[#This Row],[Bijdrage in natura (overige)]]=1,Tb_Activiteiten[[#Headers],[Bijdrage in natura (overige)]],""))</f>
        <v/>
      </c>
      <c r="AW1008" t="str">
        <f>IF(ISNUMBER(FIND("overige",Methode_Keuze)),"",IF(Tb_Activiteiten[[#This Row],[Bijdrage in natura (vrijwilligers)]]=1,Tb_Activiteiten[[#Headers],[Bijdrage in natura (vrijwilligers)]],""))</f>
        <v/>
      </c>
      <c r="AX1008" t="str">
        <f>IF(ISNUMBER(FIND("overige",Methode_Keuze)),"",IF(Tb_Activiteiten[[#This Row],[Afschrijvingskosten]]=1,Tb_Activiteiten[[#Headers],[Afschrijvingskosten]],""))</f>
        <v/>
      </c>
      <c r="AY1008" t="str">
        <f>IF(ISNUMBER(FIND("overige",Methode_Keuze)),"",IF(Tb_Activiteiten[[#This Row],[Vergoeding]]=1,Tb_Activiteiten[[#Headers],[Vergoeding]],""))</f>
        <v/>
      </c>
      <c r="AZ1008" t="str">
        <f>IF(ISNUMBER(FIND("arbeid",Methode_Keuze)),"",IF(Tb_Activiteiten[[#This Row],[Arbeidskosten - vast tarief (excl eigen arbeid)]]=1,Tb_Activiteiten[[#Headers],[Arbeidskosten - vast tarief (excl eigen arbeid)]],""))</f>
        <v/>
      </c>
      <c r="BA1008" t="str">
        <f>IF(ISNUMBER(FIND("overige",Methode_Keuze)),"",IF(Tb_Activiteiten[[#This Row],[Overige kosten]]=1,Tb_Activiteiten[[#Headers],[Overige kosten]],""))</f>
        <v/>
      </c>
    </row>
    <row r="1009" spans="1:53" x14ac:dyDescent="0.25">
      <c r="A1009" s="139"/>
      <c r="B1009" s="139"/>
      <c r="C1009" s="139"/>
      <c r="D1009" s="139"/>
      <c r="E1009" s="139"/>
      <c r="F1009" s="139"/>
      <c r="G1009" s="139"/>
      <c r="O1009" s="56"/>
      <c r="Q1009" t="str">
        <f>IFERROR(IF(VLOOKUP(Tb_Activiteiten[[#This Row],[Openstelling]],Tb_Openstelling[],2,0)=1,1,""),"")</f>
        <v/>
      </c>
      <c r="AK1009" t="str">
        <f>IF(ISNUMBER(FIND("arbeid",Methode_Keuze)),"",IF(ISNUMBER(FIND("arbeid",Methode_Keuze)),"",IF(Tb_Activiteiten[[#This Row],[Loonkosten]]=1,Tb_Activiteiten[[#Headers],[Loonkosten]],"")))</f>
        <v/>
      </c>
      <c r="AL1009" t="str">
        <f>IF(ISNUMBER(FIND("arbeid",Methode_Keuze)),"",IF(ISNUMBER(FIND("arbeid",Methode_Keuze)),"",IF(Tb_Activiteiten[[#This Row],[Eigen arbeid]]=1,Tb_Activiteiten[[#Headers],[Eigen arbeid]],"")))</f>
        <v/>
      </c>
      <c r="AM1009" t="str">
        <f>IF(ISNUMBER(FIND("arbeid",Methode_Keuze)),"",IF(ISNUMBER(FIND("arbeid",Methode_Keuze)),"",IF(Tb_Activiteiten[[#This Row],[Projectmedewerker]]=1,Tb_Activiteiten[[#Headers],[Projectmedewerker]],"")))</f>
        <v/>
      </c>
      <c r="AN1009" t="str">
        <f>IF(ISNUMBER(FIND("arbeid",Methode_Keuze)),"",IF(ISNUMBER(FIND("arbeid",Methode_Keuze)),"",IF(Tb_Activiteiten[[#This Row],[Landbouwer]]=1,Tb_Activiteiten[[#Headers],[Landbouwer]],"")))</f>
        <v/>
      </c>
      <c r="AO1009" t="str">
        <f>IF(ISNUMBER(FIND("arbeid",Methode_Keuze)),"",IF(ISNUMBER(FIND("arbeid",Methode_Keuze)),"",IF(Tb_Activiteiten[[#This Row],[Adviseur]]=1,Tb_Activiteiten[[#Headers],[Adviseur]],"")))</f>
        <v/>
      </c>
      <c r="AP1009" t="str">
        <f>IF(ISNUMBER(FIND("arbeid",Methode_Keuze)),"",IF(ISNUMBER(FIND("arbeid",Methode_Keuze)),"",IF(Tb_Activiteiten[[#This Row],[Projectleider/Expert]]=1,Tb_Activiteiten[[#Headers],[Projectleider/Expert]],"")))</f>
        <v/>
      </c>
      <c r="AQ1009" t="str">
        <f>IF(ISNUMBER(FIND("arbeid",Methode_Keuze)),"",IF(ISNUMBER(FIND("arbeid",Methode_Keuze)),"",IF(Tb_Activiteiten[[#This Row],[Arbeidskosten]]=1,Tb_Activiteiten[[#Headers],[Arbeidskosten]],"")))</f>
        <v/>
      </c>
      <c r="AR1009" t="str">
        <f>IF(ISNUMBER(FIND("arbeid",Methode_Keuze)),"",IF(ISNUMBER(FIND("arbeid",Methode_Keuze)),"",IF(Tb_Activiteiten[[#This Row],[Arbeidskosten op basis van IKS]]=1,Tb_Activiteiten[[#Headers],[Arbeidskosten op basis van IKS]],"")))</f>
        <v/>
      </c>
      <c r="AS1009" t="str">
        <f>IF(ISNUMBER(FIND("overige",Methode_Keuze)),"",IF(Tb_Activiteiten[[#This Row],[Kosten derden exclusief btw]]=1,Tb_Activiteiten[[#Headers],[Kosten derden exclusief btw]],""))</f>
        <v/>
      </c>
      <c r="AT1009" t="str">
        <f>IF(ISNUMBER(FIND("overige",Methode_Keuze)),"",IF(Tb_Activiteiten[[#This Row],[Niet verrekenbare btw]]=1,Tb_Activiteiten[[#Headers],[Niet verrekenbare btw]],""))</f>
        <v/>
      </c>
      <c r="AU1009" t="str">
        <f>IF(ISNUMBER(FIND("overige",Methode_Keuze)),"",IF(Tb_Activiteiten[[#This Row],[Grondkosten]]=1,Tb_Activiteiten[[#Headers],[Grondkosten]],""))</f>
        <v/>
      </c>
      <c r="AV1009" t="str">
        <f>IF(ISNUMBER(FIND("overige",Methode_Keuze)),"",IF(Tb_Activiteiten[[#This Row],[Bijdrage in natura (overige)]]=1,Tb_Activiteiten[[#Headers],[Bijdrage in natura (overige)]],""))</f>
        <v/>
      </c>
      <c r="AW1009" t="str">
        <f>IF(ISNUMBER(FIND("overige",Methode_Keuze)),"",IF(Tb_Activiteiten[[#This Row],[Bijdrage in natura (vrijwilligers)]]=1,Tb_Activiteiten[[#Headers],[Bijdrage in natura (vrijwilligers)]],""))</f>
        <v/>
      </c>
      <c r="AX1009" t="str">
        <f>IF(ISNUMBER(FIND("overige",Methode_Keuze)),"",IF(Tb_Activiteiten[[#This Row],[Afschrijvingskosten]]=1,Tb_Activiteiten[[#Headers],[Afschrijvingskosten]],""))</f>
        <v/>
      </c>
      <c r="AY1009" t="str">
        <f>IF(ISNUMBER(FIND("overige",Methode_Keuze)),"",IF(Tb_Activiteiten[[#This Row],[Vergoeding]]=1,Tb_Activiteiten[[#Headers],[Vergoeding]],""))</f>
        <v/>
      </c>
      <c r="AZ1009" t="str">
        <f>IF(ISNUMBER(FIND("arbeid",Methode_Keuze)),"",IF(Tb_Activiteiten[[#This Row],[Arbeidskosten - vast tarief (excl eigen arbeid)]]=1,Tb_Activiteiten[[#Headers],[Arbeidskosten - vast tarief (excl eigen arbeid)]],""))</f>
        <v/>
      </c>
      <c r="BA1009" t="str">
        <f>IF(ISNUMBER(FIND("overige",Methode_Keuze)),"",IF(Tb_Activiteiten[[#This Row],[Overige kosten]]=1,Tb_Activiteiten[[#Headers],[Overige kosten]],""))</f>
        <v/>
      </c>
    </row>
    <row r="1010" spans="1:53" x14ac:dyDescent="0.25">
      <c r="A1010" s="139"/>
      <c r="B1010" s="139"/>
      <c r="C1010" s="139"/>
      <c r="D1010" s="139"/>
      <c r="E1010" s="139"/>
      <c r="F1010" s="139"/>
      <c r="G1010" s="139"/>
      <c r="O1010" s="56"/>
      <c r="Q1010" t="str">
        <f>IFERROR(IF(VLOOKUP(Tb_Activiteiten[[#This Row],[Openstelling]],Tb_Openstelling[],2,0)=1,1,""),"")</f>
        <v/>
      </c>
      <c r="AK1010" t="str">
        <f>IF(ISNUMBER(FIND("arbeid",Methode_Keuze)),"",IF(ISNUMBER(FIND("arbeid",Methode_Keuze)),"",IF(Tb_Activiteiten[[#This Row],[Loonkosten]]=1,Tb_Activiteiten[[#Headers],[Loonkosten]],"")))</f>
        <v/>
      </c>
      <c r="AL1010" t="str">
        <f>IF(ISNUMBER(FIND("arbeid",Methode_Keuze)),"",IF(ISNUMBER(FIND("arbeid",Methode_Keuze)),"",IF(Tb_Activiteiten[[#This Row],[Eigen arbeid]]=1,Tb_Activiteiten[[#Headers],[Eigen arbeid]],"")))</f>
        <v/>
      </c>
      <c r="AM1010" t="str">
        <f>IF(ISNUMBER(FIND("arbeid",Methode_Keuze)),"",IF(ISNUMBER(FIND("arbeid",Methode_Keuze)),"",IF(Tb_Activiteiten[[#This Row],[Projectmedewerker]]=1,Tb_Activiteiten[[#Headers],[Projectmedewerker]],"")))</f>
        <v/>
      </c>
      <c r="AN1010" t="str">
        <f>IF(ISNUMBER(FIND("arbeid",Methode_Keuze)),"",IF(ISNUMBER(FIND("arbeid",Methode_Keuze)),"",IF(Tb_Activiteiten[[#This Row],[Landbouwer]]=1,Tb_Activiteiten[[#Headers],[Landbouwer]],"")))</f>
        <v/>
      </c>
      <c r="AO1010" t="str">
        <f>IF(ISNUMBER(FIND("arbeid",Methode_Keuze)),"",IF(ISNUMBER(FIND("arbeid",Methode_Keuze)),"",IF(Tb_Activiteiten[[#This Row],[Adviseur]]=1,Tb_Activiteiten[[#Headers],[Adviseur]],"")))</f>
        <v/>
      </c>
      <c r="AP1010" t="str">
        <f>IF(ISNUMBER(FIND("arbeid",Methode_Keuze)),"",IF(ISNUMBER(FIND("arbeid",Methode_Keuze)),"",IF(Tb_Activiteiten[[#This Row],[Projectleider/Expert]]=1,Tb_Activiteiten[[#Headers],[Projectleider/Expert]],"")))</f>
        <v/>
      </c>
      <c r="AQ1010" t="str">
        <f>IF(ISNUMBER(FIND("arbeid",Methode_Keuze)),"",IF(ISNUMBER(FIND("arbeid",Methode_Keuze)),"",IF(Tb_Activiteiten[[#This Row],[Arbeidskosten]]=1,Tb_Activiteiten[[#Headers],[Arbeidskosten]],"")))</f>
        <v/>
      </c>
      <c r="AR1010" t="str">
        <f>IF(ISNUMBER(FIND("arbeid",Methode_Keuze)),"",IF(ISNUMBER(FIND("arbeid",Methode_Keuze)),"",IF(Tb_Activiteiten[[#This Row],[Arbeidskosten op basis van IKS]]=1,Tb_Activiteiten[[#Headers],[Arbeidskosten op basis van IKS]],"")))</f>
        <v/>
      </c>
      <c r="AS1010" t="str">
        <f>IF(ISNUMBER(FIND("overige",Methode_Keuze)),"",IF(Tb_Activiteiten[[#This Row],[Kosten derden exclusief btw]]=1,Tb_Activiteiten[[#Headers],[Kosten derden exclusief btw]],""))</f>
        <v/>
      </c>
      <c r="AT1010" t="str">
        <f>IF(ISNUMBER(FIND("overige",Methode_Keuze)),"",IF(Tb_Activiteiten[[#This Row],[Niet verrekenbare btw]]=1,Tb_Activiteiten[[#Headers],[Niet verrekenbare btw]],""))</f>
        <v/>
      </c>
      <c r="AU1010" t="str">
        <f>IF(ISNUMBER(FIND("overige",Methode_Keuze)),"",IF(Tb_Activiteiten[[#This Row],[Grondkosten]]=1,Tb_Activiteiten[[#Headers],[Grondkosten]],""))</f>
        <v/>
      </c>
      <c r="AV1010" t="str">
        <f>IF(ISNUMBER(FIND("overige",Methode_Keuze)),"",IF(Tb_Activiteiten[[#This Row],[Bijdrage in natura (overige)]]=1,Tb_Activiteiten[[#Headers],[Bijdrage in natura (overige)]],""))</f>
        <v/>
      </c>
      <c r="AW1010" t="str">
        <f>IF(ISNUMBER(FIND("overige",Methode_Keuze)),"",IF(Tb_Activiteiten[[#This Row],[Bijdrage in natura (vrijwilligers)]]=1,Tb_Activiteiten[[#Headers],[Bijdrage in natura (vrijwilligers)]],""))</f>
        <v/>
      </c>
      <c r="AX1010" t="str">
        <f>IF(ISNUMBER(FIND("overige",Methode_Keuze)),"",IF(Tb_Activiteiten[[#This Row],[Afschrijvingskosten]]=1,Tb_Activiteiten[[#Headers],[Afschrijvingskosten]],""))</f>
        <v/>
      </c>
      <c r="AY1010" t="str">
        <f>IF(ISNUMBER(FIND("overige",Methode_Keuze)),"",IF(Tb_Activiteiten[[#This Row],[Vergoeding]]=1,Tb_Activiteiten[[#Headers],[Vergoeding]],""))</f>
        <v/>
      </c>
      <c r="AZ1010" t="str">
        <f>IF(ISNUMBER(FIND("arbeid",Methode_Keuze)),"",IF(Tb_Activiteiten[[#This Row],[Arbeidskosten - vast tarief (excl eigen arbeid)]]=1,Tb_Activiteiten[[#Headers],[Arbeidskosten - vast tarief (excl eigen arbeid)]],""))</f>
        <v/>
      </c>
      <c r="BA1010" t="str">
        <f>IF(ISNUMBER(FIND("overige",Methode_Keuze)),"",IF(Tb_Activiteiten[[#This Row],[Overige kosten]]=1,Tb_Activiteiten[[#Headers],[Overige kosten]],""))</f>
        <v/>
      </c>
    </row>
    <row r="1011" spans="1:53" x14ac:dyDescent="0.25">
      <c r="A1011" s="139"/>
      <c r="B1011" s="139"/>
      <c r="C1011" s="139"/>
      <c r="D1011" s="139"/>
      <c r="E1011" s="139"/>
      <c r="F1011" s="139"/>
      <c r="G1011" s="139"/>
      <c r="O1011" s="56"/>
      <c r="Q1011" t="str">
        <f>IFERROR(IF(VLOOKUP(Tb_Activiteiten[[#This Row],[Openstelling]],Tb_Openstelling[],2,0)=1,1,""),"")</f>
        <v/>
      </c>
      <c r="AK1011" t="str">
        <f>IF(ISNUMBER(FIND("arbeid",Methode_Keuze)),"",IF(ISNUMBER(FIND("arbeid",Methode_Keuze)),"",IF(Tb_Activiteiten[[#This Row],[Loonkosten]]=1,Tb_Activiteiten[[#Headers],[Loonkosten]],"")))</f>
        <v/>
      </c>
      <c r="AL1011" t="str">
        <f>IF(ISNUMBER(FIND("arbeid",Methode_Keuze)),"",IF(ISNUMBER(FIND("arbeid",Methode_Keuze)),"",IF(Tb_Activiteiten[[#This Row],[Eigen arbeid]]=1,Tb_Activiteiten[[#Headers],[Eigen arbeid]],"")))</f>
        <v/>
      </c>
      <c r="AM1011" t="str">
        <f>IF(ISNUMBER(FIND("arbeid",Methode_Keuze)),"",IF(ISNUMBER(FIND("arbeid",Methode_Keuze)),"",IF(Tb_Activiteiten[[#This Row],[Projectmedewerker]]=1,Tb_Activiteiten[[#Headers],[Projectmedewerker]],"")))</f>
        <v/>
      </c>
      <c r="AN1011" t="str">
        <f>IF(ISNUMBER(FIND("arbeid",Methode_Keuze)),"",IF(ISNUMBER(FIND("arbeid",Methode_Keuze)),"",IF(Tb_Activiteiten[[#This Row],[Landbouwer]]=1,Tb_Activiteiten[[#Headers],[Landbouwer]],"")))</f>
        <v/>
      </c>
      <c r="AO1011" t="str">
        <f>IF(ISNUMBER(FIND("arbeid",Methode_Keuze)),"",IF(ISNUMBER(FIND("arbeid",Methode_Keuze)),"",IF(Tb_Activiteiten[[#This Row],[Adviseur]]=1,Tb_Activiteiten[[#Headers],[Adviseur]],"")))</f>
        <v/>
      </c>
      <c r="AP1011" t="str">
        <f>IF(ISNUMBER(FIND("arbeid",Methode_Keuze)),"",IF(ISNUMBER(FIND("arbeid",Methode_Keuze)),"",IF(Tb_Activiteiten[[#This Row],[Projectleider/Expert]]=1,Tb_Activiteiten[[#Headers],[Projectleider/Expert]],"")))</f>
        <v/>
      </c>
      <c r="AQ1011" t="str">
        <f>IF(ISNUMBER(FIND("arbeid",Methode_Keuze)),"",IF(ISNUMBER(FIND("arbeid",Methode_Keuze)),"",IF(Tb_Activiteiten[[#This Row],[Arbeidskosten]]=1,Tb_Activiteiten[[#Headers],[Arbeidskosten]],"")))</f>
        <v/>
      </c>
      <c r="AR1011" t="str">
        <f>IF(ISNUMBER(FIND("arbeid",Methode_Keuze)),"",IF(ISNUMBER(FIND("arbeid",Methode_Keuze)),"",IF(Tb_Activiteiten[[#This Row],[Arbeidskosten op basis van IKS]]=1,Tb_Activiteiten[[#Headers],[Arbeidskosten op basis van IKS]],"")))</f>
        <v/>
      </c>
      <c r="AS1011" t="str">
        <f>IF(ISNUMBER(FIND("overige",Methode_Keuze)),"",IF(Tb_Activiteiten[[#This Row],[Kosten derden exclusief btw]]=1,Tb_Activiteiten[[#Headers],[Kosten derden exclusief btw]],""))</f>
        <v/>
      </c>
      <c r="AT1011" t="str">
        <f>IF(ISNUMBER(FIND("overige",Methode_Keuze)),"",IF(Tb_Activiteiten[[#This Row],[Niet verrekenbare btw]]=1,Tb_Activiteiten[[#Headers],[Niet verrekenbare btw]],""))</f>
        <v/>
      </c>
      <c r="AU1011" t="str">
        <f>IF(ISNUMBER(FIND("overige",Methode_Keuze)),"",IF(Tb_Activiteiten[[#This Row],[Grondkosten]]=1,Tb_Activiteiten[[#Headers],[Grondkosten]],""))</f>
        <v/>
      </c>
      <c r="AV1011" t="str">
        <f>IF(ISNUMBER(FIND("overige",Methode_Keuze)),"",IF(Tb_Activiteiten[[#This Row],[Bijdrage in natura (overige)]]=1,Tb_Activiteiten[[#Headers],[Bijdrage in natura (overige)]],""))</f>
        <v/>
      </c>
      <c r="AW1011" t="str">
        <f>IF(ISNUMBER(FIND("overige",Methode_Keuze)),"",IF(Tb_Activiteiten[[#This Row],[Bijdrage in natura (vrijwilligers)]]=1,Tb_Activiteiten[[#Headers],[Bijdrage in natura (vrijwilligers)]],""))</f>
        <v/>
      </c>
      <c r="AX1011" t="str">
        <f>IF(ISNUMBER(FIND("overige",Methode_Keuze)),"",IF(Tb_Activiteiten[[#This Row],[Afschrijvingskosten]]=1,Tb_Activiteiten[[#Headers],[Afschrijvingskosten]],""))</f>
        <v/>
      </c>
      <c r="AY1011" t="str">
        <f>IF(ISNUMBER(FIND("overige",Methode_Keuze)),"",IF(Tb_Activiteiten[[#This Row],[Vergoeding]]=1,Tb_Activiteiten[[#Headers],[Vergoeding]],""))</f>
        <v/>
      </c>
      <c r="AZ1011" t="str">
        <f>IF(ISNUMBER(FIND("arbeid",Methode_Keuze)),"",IF(Tb_Activiteiten[[#This Row],[Arbeidskosten - vast tarief (excl eigen arbeid)]]=1,Tb_Activiteiten[[#Headers],[Arbeidskosten - vast tarief (excl eigen arbeid)]],""))</f>
        <v/>
      </c>
      <c r="BA1011" t="str">
        <f>IF(ISNUMBER(FIND("overige",Methode_Keuze)),"",IF(Tb_Activiteiten[[#This Row],[Overige kosten]]=1,Tb_Activiteiten[[#Headers],[Overige kosten]],""))</f>
        <v/>
      </c>
    </row>
    <row r="1012" spans="1:53" x14ac:dyDescent="0.25">
      <c r="A1012" s="139"/>
      <c r="B1012" s="139"/>
      <c r="C1012" s="139"/>
      <c r="D1012" s="139"/>
      <c r="E1012" s="139"/>
      <c r="F1012" s="139"/>
      <c r="G1012" s="139"/>
      <c r="O1012" s="56"/>
      <c r="Q1012" t="str">
        <f>IFERROR(IF(VLOOKUP(Tb_Activiteiten[[#This Row],[Openstelling]],Tb_Openstelling[],2,0)=1,1,""),"")</f>
        <v/>
      </c>
      <c r="AK1012" t="str">
        <f>IF(ISNUMBER(FIND("arbeid",Methode_Keuze)),"",IF(ISNUMBER(FIND("arbeid",Methode_Keuze)),"",IF(Tb_Activiteiten[[#This Row],[Loonkosten]]=1,Tb_Activiteiten[[#Headers],[Loonkosten]],"")))</f>
        <v/>
      </c>
      <c r="AL1012" t="str">
        <f>IF(ISNUMBER(FIND("arbeid",Methode_Keuze)),"",IF(ISNUMBER(FIND("arbeid",Methode_Keuze)),"",IF(Tb_Activiteiten[[#This Row],[Eigen arbeid]]=1,Tb_Activiteiten[[#Headers],[Eigen arbeid]],"")))</f>
        <v/>
      </c>
      <c r="AM1012" t="str">
        <f>IF(ISNUMBER(FIND("arbeid",Methode_Keuze)),"",IF(ISNUMBER(FIND("arbeid",Methode_Keuze)),"",IF(Tb_Activiteiten[[#This Row],[Projectmedewerker]]=1,Tb_Activiteiten[[#Headers],[Projectmedewerker]],"")))</f>
        <v/>
      </c>
      <c r="AN1012" t="str">
        <f>IF(ISNUMBER(FIND("arbeid",Methode_Keuze)),"",IF(ISNUMBER(FIND("arbeid",Methode_Keuze)),"",IF(Tb_Activiteiten[[#This Row],[Landbouwer]]=1,Tb_Activiteiten[[#Headers],[Landbouwer]],"")))</f>
        <v/>
      </c>
      <c r="AO1012" t="str">
        <f>IF(ISNUMBER(FIND("arbeid",Methode_Keuze)),"",IF(ISNUMBER(FIND("arbeid",Methode_Keuze)),"",IF(Tb_Activiteiten[[#This Row],[Adviseur]]=1,Tb_Activiteiten[[#Headers],[Adviseur]],"")))</f>
        <v/>
      </c>
      <c r="AP1012" t="str">
        <f>IF(ISNUMBER(FIND("arbeid",Methode_Keuze)),"",IF(ISNUMBER(FIND("arbeid",Methode_Keuze)),"",IF(Tb_Activiteiten[[#This Row],[Projectleider/Expert]]=1,Tb_Activiteiten[[#Headers],[Projectleider/Expert]],"")))</f>
        <v/>
      </c>
      <c r="AQ1012" t="str">
        <f>IF(ISNUMBER(FIND("arbeid",Methode_Keuze)),"",IF(ISNUMBER(FIND("arbeid",Methode_Keuze)),"",IF(Tb_Activiteiten[[#This Row],[Arbeidskosten]]=1,Tb_Activiteiten[[#Headers],[Arbeidskosten]],"")))</f>
        <v/>
      </c>
      <c r="AR1012" t="str">
        <f>IF(ISNUMBER(FIND("arbeid",Methode_Keuze)),"",IF(ISNUMBER(FIND("arbeid",Methode_Keuze)),"",IF(Tb_Activiteiten[[#This Row],[Arbeidskosten op basis van IKS]]=1,Tb_Activiteiten[[#Headers],[Arbeidskosten op basis van IKS]],"")))</f>
        <v/>
      </c>
      <c r="AS1012" t="str">
        <f>IF(ISNUMBER(FIND("overige",Methode_Keuze)),"",IF(Tb_Activiteiten[[#This Row],[Kosten derden exclusief btw]]=1,Tb_Activiteiten[[#Headers],[Kosten derden exclusief btw]],""))</f>
        <v/>
      </c>
      <c r="AT1012" t="str">
        <f>IF(ISNUMBER(FIND("overige",Methode_Keuze)),"",IF(Tb_Activiteiten[[#This Row],[Niet verrekenbare btw]]=1,Tb_Activiteiten[[#Headers],[Niet verrekenbare btw]],""))</f>
        <v/>
      </c>
      <c r="AU1012" t="str">
        <f>IF(ISNUMBER(FIND("overige",Methode_Keuze)),"",IF(Tb_Activiteiten[[#This Row],[Grondkosten]]=1,Tb_Activiteiten[[#Headers],[Grondkosten]],""))</f>
        <v/>
      </c>
      <c r="AV1012" t="str">
        <f>IF(ISNUMBER(FIND("overige",Methode_Keuze)),"",IF(Tb_Activiteiten[[#This Row],[Bijdrage in natura (overige)]]=1,Tb_Activiteiten[[#Headers],[Bijdrage in natura (overige)]],""))</f>
        <v/>
      </c>
      <c r="AW1012" t="str">
        <f>IF(ISNUMBER(FIND("overige",Methode_Keuze)),"",IF(Tb_Activiteiten[[#This Row],[Bijdrage in natura (vrijwilligers)]]=1,Tb_Activiteiten[[#Headers],[Bijdrage in natura (vrijwilligers)]],""))</f>
        <v/>
      </c>
      <c r="AX1012" t="str">
        <f>IF(ISNUMBER(FIND("overige",Methode_Keuze)),"",IF(Tb_Activiteiten[[#This Row],[Afschrijvingskosten]]=1,Tb_Activiteiten[[#Headers],[Afschrijvingskosten]],""))</f>
        <v/>
      </c>
      <c r="AY1012" t="str">
        <f>IF(ISNUMBER(FIND("overige",Methode_Keuze)),"",IF(Tb_Activiteiten[[#This Row],[Vergoeding]]=1,Tb_Activiteiten[[#Headers],[Vergoeding]],""))</f>
        <v/>
      </c>
      <c r="AZ1012" t="str">
        <f>IF(ISNUMBER(FIND("arbeid",Methode_Keuze)),"",IF(Tb_Activiteiten[[#This Row],[Arbeidskosten - vast tarief (excl eigen arbeid)]]=1,Tb_Activiteiten[[#Headers],[Arbeidskosten - vast tarief (excl eigen arbeid)]],""))</f>
        <v/>
      </c>
      <c r="BA1012" t="str">
        <f>IF(ISNUMBER(FIND("overige",Methode_Keuze)),"",IF(Tb_Activiteiten[[#This Row],[Overige kosten]]=1,Tb_Activiteiten[[#Headers],[Overige kosten]],""))</f>
        <v/>
      </c>
    </row>
    <row r="1013" spans="1:53" x14ac:dyDescent="0.25">
      <c r="A1013" s="139"/>
      <c r="B1013" s="139"/>
      <c r="C1013" s="139"/>
      <c r="D1013" s="139"/>
      <c r="E1013" s="139"/>
      <c r="F1013" s="139"/>
      <c r="G1013" s="139"/>
      <c r="O1013" s="56"/>
      <c r="Q1013" t="str">
        <f>IFERROR(IF(VLOOKUP(Tb_Activiteiten[[#This Row],[Openstelling]],Tb_Openstelling[],2,0)=1,1,""),"")</f>
        <v/>
      </c>
      <c r="AK1013" t="str">
        <f>IF(ISNUMBER(FIND("arbeid",Methode_Keuze)),"",IF(ISNUMBER(FIND("arbeid",Methode_Keuze)),"",IF(Tb_Activiteiten[[#This Row],[Loonkosten]]=1,Tb_Activiteiten[[#Headers],[Loonkosten]],"")))</f>
        <v/>
      </c>
      <c r="AL1013" t="str">
        <f>IF(ISNUMBER(FIND("arbeid",Methode_Keuze)),"",IF(ISNUMBER(FIND("arbeid",Methode_Keuze)),"",IF(Tb_Activiteiten[[#This Row],[Eigen arbeid]]=1,Tb_Activiteiten[[#Headers],[Eigen arbeid]],"")))</f>
        <v/>
      </c>
      <c r="AM1013" t="str">
        <f>IF(ISNUMBER(FIND("arbeid",Methode_Keuze)),"",IF(ISNUMBER(FIND("arbeid",Methode_Keuze)),"",IF(Tb_Activiteiten[[#This Row],[Projectmedewerker]]=1,Tb_Activiteiten[[#Headers],[Projectmedewerker]],"")))</f>
        <v/>
      </c>
      <c r="AN1013" t="str">
        <f>IF(ISNUMBER(FIND("arbeid",Methode_Keuze)),"",IF(ISNUMBER(FIND("arbeid",Methode_Keuze)),"",IF(Tb_Activiteiten[[#This Row],[Landbouwer]]=1,Tb_Activiteiten[[#Headers],[Landbouwer]],"")))</f>
        <v/>
      </c>
      <c r="AO1013" t="str">
        <f>IF(ISNUMBER(FIND("arbeid",Methode_Keuze)),"",IF(ISNUMBER(FIND("arbeid",Methode_Keuze)),"",IF(Tb_Activiteiten[[#This Row],[Adviseur]]=1,Tb_Activiteiten[[#Headers],[Adviseur]],"")))</f>
        <v/>
      </c>
      <c r="AP1013" t="str">
        <f>IF(ISNUMBER(FIND("arbeid",Methode_Keuze)),"",IF(ISNUMBER(FIND("arbeid",Methode_Keuze)),"",IF(Tb_Activiteiten[[#This Row],[Projectleider/Expert]]=1,Tb_Activiteiten[[#Headers],[Projectleider/Expert]],"")))</f>
        <v/>
      </c>
      <c r="AQ1013" t="str">
        <f>IF(ISNUMBER(FIND("arbeid",Methode_Keuze)),"",IF(ISNUMBER(FIND("arbeid",Methode_Keuze)),"",IF(Tb_Activiteiten[[#This Row],[Arbeidskosten]]=1,Tb_Activiteiten[[#Headers],[Arbeidskosten]],"")))</f>
        <v/>
      </c>
      <c r="AR1013" t="str">
        <f>IF(ISNUMBER(FIND("arbeid",Methode_Keuze)),"",IF(ISNUMBER(FIND("arbeid",Methode_Keuze)),"",IF(Tb_Activiteiten[[#This Row],[Arbeidskosten op basis van IKS]]=1,Tb_Activiteiten[[#Headers],[Arbeidskosten op basis van IKS]],"")))</f>
        <v/>
      </c>
      <c r="AS1013" t="str">
        <f>IF(ISNUMBER(FIND("overige",Methode_Keuze)),"",IF(Tb_Activiteiten[[#This Row],[Kosten derden exclusief btw]]=1,Tb_Activiteiten[[#Headers],[Kosten derden exclusief btw]],""))</f>
        <v/>
      </c>
      <c r="AT1013" t="str">
        <f>IF(ISNUMBER(FIND("overige",Methode_Keuze)),"",IF(Tb_Activiteiten[[#This Row],[Niet verrekenbare btw]]=1,Tb_Activiteiten[[#Headers],[Niet verrekenbare btw]],""))</f>
        <v/>
      </c>
      <c r="AU1013" t="str">
        <f>IF(ISNUMBER(FIND("overige",Methode_Keuze)),"",IF(Tb_Activiteiten[[#This Row],[Grondkosten]]=1,Tb_Activiteiten[[#Headers],[Grondkosten]],""))</f>
        <v/>
      </c>
      <c r="AV1013" t="str">
        <f>IF(ISNUMBER(FIND("overige",Methode_Keuze)),"",IF(Tb_Activiteiten[[#This Row],[Bijdrage in natura (overige)]]=1,Tb_Activiteiten[[#Headers],[Bijdrage in natura (overige)]],""))</f>
        <v/>
      </c>
      <c r="AW1013" t="str">
        <f>IF(ISNUMBER(FIND("overige",Methode_Keuze)),"",IF(Tb_Activiteiten[[#This Row],[Bijdrage in natura (vrijwilligers)]]=1,Tb_Activiteiten[[#Headers],[Bijdrage in natura (vrijwilligers)]],""))</f>
        <v/>
      </c>
      <c r="AX1013" t="str">
        <f>IF(ISNUMBER(FIND("overige",Methode_Keuze)),"",IF(Tb_Activiteiten[[#This Row],[Afschrijvingskosten]]=1,Tb_Activiteiten[[#Headers],[Afschrijvingskosten]],""))</f>
        <v/>
      </c>
      <c r="AY1013" t="str">
        <f>IF(ISNUMBER(FIND("overige",Methode_Keuze)),"",IF(Tb_Activiteiten[[#This Row],[Vergoeding]]=1,Tb_Activiteiten[[#Headers],[Vergoeding]],""))</f>
        <v/>
      </c>
      <c r="AZ1013" t="str">
        <f>IF(ISNUMBER(FIND("arbeid",Methode_Keuze)),"",IF(Tb_Activiteiten[[#This Row],[Arbeidskosten - vast tarief (excl eigen arbeid)]]=1,Tb_Activiteiten[[#Headers],[Arbeidskosten - vast tarief (excl eigen arbeid)]],""))</f>
        <v/>
      </c>
      <c r="BA1013" t="str">
        <f>IF(ISNUMBER(FIND("overige",Methode_Keuze)),"",IF(Tb_Activiteiten[[#This Row],[Overige kosten]]=1,Tb_Activiteiten[[#Headers],[Overige kosten]],""))</f>
        <v/>
      </c>
    </row>
    <row r="1014" spans="1:53" x14ac:dyDescent="0.25">
      <c r="A1014" s="139"/>
      <c r="B1014" s="139"/>
      <c r="C1014" s="139"/>
      <c r="D1014" s="139"/>
      <c r="E1014" s="139"/>
      <c r="F1014" s="139"/>
      <c r="G1014" s="139"/>
      <c r="O1014" s="56"/>
      <c r="Q1014" t="str">
        <f>IFERROR(IF(VLOOKUP(Tb_Activiteiten[[#This Row],[Openstelling]],Tb_Openstelling[],2,0)=1,1,""),"")</f>
        <v/>
      </c>
      <c r="AK1014" t="str">
        <f>IF(ISNUMBER(FIND("arbeid",Methode_Keuze)),"",IF(ISNUMBER(FIND("arbeid",Methode_Keuze)),"",IF(Tb_Activiteiten[[#This Row],[Loonkosten]]=1,Tb_Activiteiten[[#Headers],[Loonkosten]],"")))</f>
        <v/>
      </c>
      <c r="AL1014" t="str">
        <f>IF(ISNUMBER(FIND("arbeid",Methode_Keuze)),"",IF(ISNUMBER(FIND("arbeid",Methode_Keuze)),"",IF(Tb_Activiteiten[[#This Row],[Eigen arbeid]]=1,Tb_Activiteiten[[#Headers],[Eigen arbeid]],"")))</f>
        <v/>
      </c>
      <c r="AM1014" t="str">
        <f>IF(ISNUMBER(FIND("arbeid",Methode_Keuze)),"",IF(ISNUMBER(FIND("arbeid",Methode_Keuze)),"",IF(Tb_Activiteiten[[#This Row],[Projectmedewerker]]=1,Tb_Activiteiten[[#Headers],[Projectmedewerker]],"")))</f>
        <v/>
      </c>
      <c r="AN1014" t="str">
        <f>IF(ISNUMBER(FIND("arbeid",Methode_Keuze)),"",IF(ISNUMBER(FIND("arbeid",Methode_Keuze)),"",IF(Tb_Activiteiten[[#This Row],[Landbouwer]]=1,Tb_Activiteiten[[#Headers],[Landbouwer]],"")))</f>
        <v/>
      </c>
      <c r="AO1014" t="str">
        <f>IF(ISNUMBER(FIND("arbeid",Methode_Keuze)),"",IF(ISNUMBER(FIND("arbeid",Methode_Keuze)),"",IF(Tb_Activiteiten[[#This Row],[Adviseur]]=1,Tb_Activiteiten[[#Headers],[Adviseur]],"")))</f>
        <v/>
      </c>
      <c r="AP1014" t="str">
        <f>IF(ISNUMBER(FIND("arbeid",Methode_Keuze)),"",IF(ISNUMBER(FIND("arbeid",Methode_Keuze)),"",IF(Tb_Activiteiten[[#This Row],[Projectleider/Expert]]=1,Tb_Activiteiten[[#Headers],[Projectleider/Expert]],"")))</f>
        <v/>
      </c>
      <c r="AQ1014" t="str">
        <f>IF(ISNUMBER(FIND("arbeid",Methode_Keuze)),"",IF(ISNUMBER(FIND("arbeid",Methode_Keuze)),"",IF(Tb_Activiteiten[[#This Row],[Arbeidskosten]]=1,Tb_Activiteiten[[#Headers],[Arbeidskosten]],"")))</f>
        <v/>
      </c>
      <c r="AR1014" t="str">
        <f>IF(ISNUMBER(FIND("arbeid",Methode_Keuze)),"",IF(ISNUMBER(FIND("arbeid",Methode_Keuze)),"",IF(Tb_Activiteiten[[#This Row],[Arbeidskosten op basis van IKS]]=1,Tb_Activiteiten[[#Headers],[Arbeidskosten op basis van IKS]],"")))</f>
        <v/>
      </c>
      <c r="AS1014" t="str">
        <f>IF(ISNUMBER(FIND("overige",Methode_Keuze)),"",IF(Tb_Activiteiten[[#This Row],[Kosten derden exclusief btw]]=1,Tb_Activiteiten[[#Headers],[Kosten derden exclusief btw]],""))</f>
        <v/>
      </c>
      <c r="AT1014" t="str">
        <f>IF(ISNUMBER(FIND("overige",Methode_Keuze)),"",IF(Tb_Activiteiten[[#This Row],[Niet verrekenbare btw]]=1,Tb_Activiteiten[[#Headers],[Niet verrekenbare btw]],""))</f>
        <v/>
      </c>
      <c r="AU1014" t="str">
        <f>IF(ISNUMBER(FIND("overige",Methode_Keuze)),"",IF(Tb_Activiteiten[[#This Row],[Grondkosten]]=1,Tb_Activiteiten[[#Headers],[Grondkosten]],""))</f>
        <v/>
      </c>
      <c r="AV1014" t="str">
        <f>IF(ISNUMBER(FIND("overige",Methode_Keuze)),"",IF(Tb_Activiteiten[[#This Row],[Bijdrage in natura (overige)]]=1,Tb_Activiteiten[[#Headers],[Bijdrage in natura (overige)]],""))</f>
        <v/>
      </c>
      <c r="AW1014" t="str">
        <f>IF(ISNUMBER(FIND("overige",Methode_Keuze)),"",IF(Tb_Activiteiten[[#This Row],[Bijdrage in natura (vrijwilligers)]]=1,Tb_Activiteiten[[#Headers],[Bijdrage in natura (vrijwilligers)]],""))</f>
        <v/>
      </c>
      <c r="AX1014" t="str">
        <f>IF(ISNUMBER(FIND("overige",Methode_Keuze)),"",IF(Tb_Activiteiten[[#This Row],[Afschrijvingskosten]]=1,Tb_Activiteiten[[#Headers],[Afschrijvingskosten]],""))</f>
        <v/>
      </c>
      <c r="AY1014" t="str">
        <f>IF(ISNUMBER(FIND("overige",Methode_Keuze)),"",IF(Tb_Activiteiten[[#This Row],[Vergoeding]]=1,Tb_Activiteiten[[#Headers],[Vergoeding]],""))</f>
        <v/>
      </c>
      <c r="AZ1014" t="str">
        <f>IF(ISNUMBER(FIND("arbeid",Methode_Keuze)),"",IF(Tb_Activiteiten[[#This Row],[Arbeidskosten - vast tarief (excl eigen arbeid)]]=1,Tb_Activiteiten[[#Headers],[Arbeidskosten - vast tarief (excl eigen arbeid)]],""))</f>
        <v/>
      </c>
      <c r="BA1014" t="str">
        <f>IF(ISNUMBER(FIND("overige",Methode_Keuze)),"",IF(Tb_Activiteiten[[#This Row],[Overige kosten]]=1,Tb_Activiteiten[[#Headers],[Overige kosten]],""))</f>
        <v/>
      </c>
    </row>
    <row r="1015" spans="1:53" x14ac:dyDescent="0.25">
      <c r="A1015" s="139"/>
      <c r="B1015" s="139"/>
      <c r="C1015" s="139"/>
      <c r="D1015" s="139"/>
      <c r="E1015" s="139"/>
      <c r="F1015" s="139"/>
      <c r="G1015" s="139"/>
      <c r="O1015" s="56"/>
      <c r="Q1015" t="str">
        <f>IFERROR(IF(VLOOKUP(Tb_Activiteiten[[#This Row],[Openstelling]],Tb_Openstelling[],2,0)=1,1,""),"")</f>
        <v/>
      </c>
      <c r="AK1015" t="str">
        <f>IF(ISNUMBER(FIND("arbeid",Methode_Keuze)),"",IF(ISNUMBER(FIND("arbeid",Methode_Keuze)),"",IF(Tb_Activiteiten[[#This Row],[Loonkosten]]=1,Tb_Activiteiten[[#Headers],[Loonkosten]],"")))</f>
        <v/>
      </c>
      <c r="AL1015" t="str">
        <f>IF(ISNUMBER(FIND("arbeid",Methode_Keuze)),"",IF(ISNUMBER(FIND("arbeid",Methode_Keuze)),"",IF(Tb_Activiteiten[[#This Row],[Eigen arbeid]]=1,Tb_Activiteiten[[#Headers],[Eigen arbeid]],"")))</f>
        <v/>
      </c>
      <c r="AM1015" t="str">
        <f>IF(ISNUMBER(FIND("arbeid",Methode_Keuze)),"",IF(ISNUMBER(FIND("arbeid",Methode_Keuze)),"",IF(Tb_Activiteiten[[#This Row],[Projectmedewerker]]=1,Tb_Activiteiten[[#Headers],[Projectmedewerker]],"")))</f>
        <v/>
      </c>
      <c r="AN1015" t="str">
        <f>IF(ISNUMBER(FIND("arbeid",Methode_Keuze)),"",IF(ISNUMBER(FIND("arbeid",Methode_Keuze)),"",IF(Tb_Activiteiten[[#This Row],[Landbouwer]]=1,Tb_Activiteiten[[#Headers],[Landbouwer]],"")))</f>
        <v/>
      </c>
      <c r="AO1015" t="str">
        <f>IF(ISNUMBER(FIND("arbeid",Methode_Keuze)),"",IF(ISNUMBER(FIND("arbeid",Methode_Keuze)),"",IF(Tb_Activiteiten[[#This Row],[Adviseur]]=1,Tb_Activiteiten[[#Headers],[Adviseur]],"")))</f>
        <v/>
      </c>
      <c r="AP1015" t="str">
        <f>IF(ISNUMBER(FIND("arbeid",Methode_Keuze)),"",IF(ISNUMBER(FIND("arbeid",Methode_Keuze)),"",IF(Tb_Activiteiten[[#This Row],[Projectleider/Expert]]=1,Tb_Activiteiten[[#Headers],[Projectleider/Expert]],"")))</f>
        <v/>
      </c>
      <c r="AQ1015" t="str">
        <f>IF(ISNUMBER(FIND("arbeid",Methode_Keuze)),"",IF(ISNUMBER(FIND("arbeid",Methode_Keuze)),"",IF(Tb_Activiteiten[[#This Row],[Arbeidskosten]]=1,Tb_Activiteiten[[#Headers],[Arbeidskosten]],"")))</f>
        <v/>
      </c>
      <c r="AR1015" t="str">
        <f>IF(ISNUMBER(FIND("arbeid",Methode_Keuze)),"",IF(ISNUMBER(FIND("arbeid",Methode_Keuze)),"",IF(Tb_Activiteiten[[#This Row],[Arbeidskosten op basis van IKS]]=1,Tb_Activiteiten[[#Headers],[Arbeidskosten op basis van IKS]],"")))</f>
        <v/>
      </c>
      <c r="AS1015" t="str">
        <f>IF(ISNUMBER(FIND("overige",Methode_Keuze)),"",IF(Tb_Activiteiten[[#This Row],[Kosten derden exclusief btw]]=1,Tb_Activiteiten[[#Headers],[Kosten derden exclusief btw]],""))</f>
        <v/>
      </c>
      <c r="AT1015" t="str">
        <f>IF(ISNUMBER(FIND("overige",Methode_Keuze)),"",IF(Tb_Activiteiten[[#This Row],[Niet verrekenbare btw]]=1,Tb_Activiteiten[[#Headers],[Niet verrekenbare btw]],""))</f>
        <v/>
      </c>
      <c r="AU1015" t="str">
        <f>IF(ISNUMBER(FIND("overige",Methode_Keuze)),"",IF(Tb_Activiteiten[[#This Row],[Grondkosten]]=1,Tb_Activiteiten[[#Headers],[Grondkosten]],""))</f>
        <v/>
      </c>
      <c r="AV1015" t="str">
        <f>IF(ISNUMBER(FIND("overige",Methode_Keuze)),"",IF(Tb_Activiteiten[[#This Row],[Bijdrage in natura (overige)]]=1,Tb_Activiteiten[[#Headers],[Bijdrage in natura (overige)]],""))</f>
        <v/>
      </c>
      <c r="AW1015" t="str">
        <f>IF(ISNUMBER(FIND("overige",Methode_Keuze)),"",IF(Tb_Activiteiten[[#This Row],[Bijdrage in natura (vrijwilligers)]]=1,Tb_Activiteiten[[#Headers],[Bijdrage in natura (vrijwilligers)]],""))</f>
        <v/>
      </c>
      <c r="AX1015" t="str">
        <f>IF(ISNUMBER(FIND("overige",Methode_Keuze)),"",IF(Tb_Activiteiten[[#This Row],[Afschrijvingskosten]]=1,Tb_Activiteiten[[#Headers],[Afschrijvingskosten]],""))</f>
        <v/>
      </c>
      <c r="AY1015" t="str">
        <f>IF(ISNUMBER(FIND("overige",Methode_Keuze)),"",IF(Tb_Activiteiten[[#This Row],[Vergoeding]]=1,Tb_Activiteiten[[#Headers],[Vergoeding]],""))</f>
        <v/>
      </c>
      <c r="AZ1015" t="str">
        <f>IF(ISNUMBER(FIND("arbeid",Methode_Keuze)),"",IF(Tb_Activiteiten[[#This Row],[Arbeidskosten - vast tarief (excl eigen arbeid)]]=1,Tb_Activiteiten[[#Headers],[Arbeidskosten - vast tarief (excl eigen arbeid)]],""))</f>
        <v/>
      </c>
      <c r="BA1015" t="str">
        <f>IF(ISNUMBER(FIND("overige",Methode_Keuze)),"",IF(Tb_Activiteiten[[#This Row],[Overige kosten]]=1,Tb_Activiteiten[[#Headers],[Overige kosten]],""))</f>
        <v/>
      </c>
    </row>
    <row r="1016" spans="1:53" x14ac:dyDescent="0.25">
      <c r="A1016" s="139"/>
      <c r="B1016" s="139"/>
      <c r="C1016" s="139"/>
      <c r="D1016" s="139"/>
      <c r="E1016" s="139"/>
      <c r="F1016" s="139"/>
      <c r="G1016" s="139"/>
      <c r="O1016" s="56"/>
      <c r="Q1016" t="str">
        <f>IFERROR(IF(VLOOKUP(Tb_Activiteiten[[#This Row],[Openstelling]],Tb_Openstelling[],2,0)=1,1,""),"")</f>
        <v/>
      </c>
      <c r="AK1016" t="str">
        <f>IF(ISNUMBER(FIND("arbeid",Methode_Keuze)),"",IF(ISNUMBER(FIND("arbeid",Methode_Keuze)),"",IF(Tb_Activiteiten[[#This Row],[Loonkosten]]=1,Tb_Activiteiten[[#Headers],[Loonkosten]],"")))</f>
        <v/>
      </c>
      <c r="AL1016" t="str">
        <f>IF(ISNUMBER(FIND("arbeid",Methode_Keuze)),"",IF(ISNUMBER(FIND("arbeid",Methode_Keuze)),"",IF(Tb_Activiteiten[[#This Row],[Eigen arbeid]]=1,Tb_Activiteiten[[#Headers],[Eigen arbeid]],"")))</f>
        <v/>
      </c>
      <c r="AM1016" t="str">
        <f>IF(ISNUMBER(FIND("arbeid",Methode_Keuze)),"",IF(ISNUMBER(FIND("arbeid",Methode_Keuze)),"",IF(Tb_Activiteiten[[#This Row],[Projectmedewerker]]=1,Tb_Activiteiten[[#Headers],[Projectmedewerker]],"")))</f>
        <v/>
      </c>
      <c r="AN1016" t="str">
        <f>IF(ISNUMBER(FIND("arbeid",Methode_Keuze)),"",IF(ISNUMBER(FIND("arbeid",Methode_Keuze)),"",IF(Tb_Activiteiten[[#This Row],[Landbouwer]]=1,Tb_Activiteiten[[#Headers],[Landbouwer]],"")))</f>
        <v/>
      </c>
      <c r="AO1016" t="str">
        <f>IF(ISNUMBER(FIND("arbeid",Methode_Keuze)),"",IF(ISNUMBER(FIND("arbeid",Methode_Keuze)),"",IF(Tb_Activiteiten[[#This Row],[Adviseur]]=1,Tb_Activiteiten[[#Headers],[Adviseur]],"")))</f>
        <v/>
      </c>
      <c r="AP1016" t="str">
        <f>IF(ISNUMBER(FIND("arbeid",Methode_Keuze)),"",IF(ISNUMBER(FIND("arbeid",Methode_Keuze)),"",IF(Tb_Activiteiten[[#This Row],[Projectleider/Expert]]=1,Tb_Activiteiten[[#Headers],[Projectleider/Expert]],"")))</f>
        <v/>
      </c>
      <c r="AQ1016" t="str">
        <f>IF(ISNUMBER(FIND("arbeid",Methode_Keuze)),"",IF(ISNUMBER(FIND("arbeid",Methode_Keuze)),"",IF(Tb_Activiteiten[[#This Row],[Arbeidskosten]]=1,Tb_Activiteiten[[#Headers],[Arbeidskosten]],"")))</f>
        <v/>
      </c>
      <c r="AR1016" t="str">
        <f>IF(ISNUMBER(FIND("arbeid",Methode_Keuze)),"",IF(ISNUMBER(FIND("arbeid",Methode_Keuze)),"",IF(Tb_Activiteiten[[#This Row],[Arbeidskosten op basis van IKS]]=1,Tb_Activiteiten[[#Headers],[Arbeidskosten op basis van IKS]],"")))</f>
        <v/>
      </c>
      <c r="AS1016" t="str">
        <f>IF(ISNUMBER(FIND("overige",Methode_Keuze)),"",IF(Tb_Activiteiten[[#This Row],[Kosten derden exclusief btw]]=1,Tb_Activiteiten[[#Headers],[Kosten derden exclusief btw]],""))</f>
        <v/>
      </c>
      <c r="AT1016" t="str">
        <f>IF(ISNUMBER(FIND("overige",Methode_Keuze)),"",IF(Tb_Activiteiten[[#This Row],[Niet verrekenbare btw]]=1,Tb_Activiteiten[[#Headers],[Niet verrekenbare btw]],""))</f>
        <v/>
      </c>
      <c r="AU1016" t="str">
        <f>IF(ISNUMBER(FIND("overige",Methode_Keuze)),"",IF(Tb_Activiteiten[[#This Row],[Grondkosten]]=1,Tb_Activiteiten[[#Headers],[Grondkosten]],""))</f>
        <v/>
      </c>
      <c r="AV1016" t="str">
        <f>IF(ISNUMBER(FIND("overige",Methode_Keuze)),"",IF(Tb_Activiteiten[[#This Row],[Bijdrage in natura (overige)]]=1,Tb_Activiteiten[[#Headers],[Bijdrage in natura (overige)]],""))</f>
        <v/>
      </c>
      <c r="AW1016" t="str">
        <f>IF(ISNUMBER(FIND("overige",Methode_Keuze)),"",IF(Tb_Activiteiten[[#This Row],[Bijdrage in natura (vrijwilligers)]]=1,Tb_Activiteiten[[#Headers],[Bijdrage in natura (vrijwilligers)]],""))</f>
        <v/>
      </c>
      <c r="AX1016" t="str">
        <f>IF(ISNUMBER(FIND("overige",Methode_Keuze)),"",IF(Tb_Activiteiten[[#This Row],[Afschrijvingskosten]]=1,Tb_Activiteiten[[#Headers],[Afschrijvingskosten]],""))</f>
        <v/>
      </c>
      <c r="AY1016" t="str">
        <f>IF(ISNUMBER(FIND("overige",Methode_Keuze)),"",IF(Tb_Activiteiten[[#This Row],[Vergoeding]]=1,Tb_Activiteiten[[#Headers],[Vergoeding]],""))</f>
        <v/>
      </c>
      <c r="AZ1016" t="str">
        <f>IF(ISNUMBER(FIND("arbeid",Methode_Keuze)),"",IF(Tb_Activiteiten[[#This Row],[Arbeidskosten - vast tarief (excl eigen arbeid)]]=1,Tb_Activiteiten[[#Headers],[Arbeidskosten - vast tarief (excl eigen arbeid)]],""))</f>
        <v/>
      </c>
      <c r="BA1016" t="str">
        <f>IF(ISNUMBER(FIND("overige",Methode_Keuze)),"",IF(Tb_Activiteiten[[#This Row],[Overige kosten]]=1,Tb_Activiteiten[[#Headers],[Overige kosten]],""))</f>
        <v/>
      </c>
    </row>
    <row r="1017" spans="1:53" x14ac:dyDescent="0.25">
      <c r="A1017" s="139"/>
      <c r="B1017" s="139"/>
      <c r="C1017" s="139"/>
      <c r="D1017" s="139"/>
      <c r="E1017" s="139"/>
      <c r="F1017" s="139"/>
      <c r="G1017" s="139"/>
      <c r="O1017" s="56"/>
      <c r="Q1017" t="str">
        <f>IFERROR(IF(VLOOKUP(Tb_Activiteiten[[#This Row],[Openstelling]],Tb_Openstelling[],2,0)=1,1,""),"")</f>
        <v/>
      </c>
      <c r="AK1017" t="str">
        <f>IF(ISNUMBER(FIND("arbeid",Methode_Keuze)),"",IF(ISNUMBER(FIND("arbeid",Methode_Keuze)),"",IF(Tb_Activiteiten[[#This Row],[Loonkosten]]=1,Tb_Activiteiten[[#Headers],[Loonkosten]],"")))</f>
        <v/>
      </c>
      <c r="AL1017" t="str">
        <f>IF(ISNUMBER(FIND("arbeid",Methode_Keuze)),"",IF(ISNUMBER(FIND("arbeid",Methode_Keuze)),"",IF(Tb_Activiteiten[[#This Row],[Eigen arbeid]]=1,Tb_Activiteiten[[#Headers],[Eigen arbeid]],"")))</f>
        <v/>
      </c>
      <c r="AM1017" t="str">
        <f>IF(ISNUMBER(FIND("arbeid",Methode_Keuze)),"",IF(ISNUMBER(FIND("arbeid",Methode_Keuze)),"",IF(Tb_Activiteiten[[#This Row],[Projectmedewerker]]=1,Tb_Activiteiten[[#Headers],[Projectmedewerker]],"")))</f>
        <v/>
      </c>
      <c r="AN1017" t="str">
        <f>IF(ISNUMBER(FIND("arbeid",Methode_Keuze)),"",IF(ISNUMBER(FIND("arbeid",Methode_Keuze)),"",IF(Tb_Activiteiten[[#This Row],[Landbouwer]]=1,Tb_Activiteiten[[#Headers],[Landbouwer]],"")))</f>
        <v/>
      </c>
      <c r="AO1017" t="str">
        <f>IF(ISNUMBER(FIND("arbeid",Methode_Keuze)),"",IF(ISNUMBER(FIND("arbeid",Methode_Keuze)),"",IF(Tb_Activiteiten[[#This Row],[Adviseur]]=1,Tb_Activiteiten[[#Headers],[Adviseur]],"")))</f>
        <v/>
      </c>
      <c r="AP1017" t="str">
        <f>IF(ISNUMBER(FIND("arbeid",Methode_Keuze)),"",IF(ISNUMBER(FIND("arbeid",Methode_Keuze)),"",IF(Tb_Activiteiten[[#This Row],[Projectleider/Expert]]=1,Tb_Activiteiten[[#Headers],[Projectleider/Expert]],"")))</f>
        <v/>
      </c>
      <c r="AQ1017" t="str">
        <f>IF(ISNUMBER(FIND("arbeid",Methode_Keuze)),"",IF(ISNUMBER(FIND("arbeid",Methode_Keuze)),"",IF(Tb_Activiteiten[[#This Row],[Arbeidskosten]]=1,Tb_Activiteiten[[#Headers],[Arbeidskosten]],"")))</f>
        <v/>
      </c>
      <c r="AR1017" t="str">
        <f>IF(ISNUMBER(FIND("arbeid",Methode_Keuze)),"",IF(ISNUMBER(FIND("arbeid",Methode_Keuze)),"",IF(Tb_Activiteiten[[#This Row],[Arbeidskosten op basis van IKS]]=1,Tb_Activiteiten[[#Headers],[Arbeidskosten op basis van IKS]],"")))</f>
        <v/>
      </c>
      <c r="AS1017" t="str">
        <f>IF(ISNUMBER(FIND("overige",Methode_Keuze)),"",IF(Tb_Activiteiten[[#This Row],[Kosten derden exclusief btw]]=1,Tb_Activiteiten[[#Headers],[Kosten derden exclusief btw]],""))</f>
        <v/>
      </c>
      <c r="AT1017" t="str">
        <f>IF(ISNUMBER(FIND("overige",Methode_Keuze)),"",IF(Tb_Activiteiten[[#This Row],[Niet verrekenbare btw]]=1,Tb_Activiteiten[[#Headers],[Niet verrekenbare btw]],""))</f>
        <v/>
      </c>
      <c r="AU1017" t="str">
        <f>IF(ISNUMBER(FIND("overige",Methode_Keuze)),"",IF(Tb_Activiteiten[[#This Row],[Grondkosten]]=1,Tb_Activiteiten[[#Headers],[Grondkosten]],""))</f>
        <v/>
      </c>
      <c r="AV1017" t="str">
        <f>IF(ISNUMBER(FIND("overige",Methode_Keuze)),"",IF(Tb_Activiteiten[[#This Row],[Bijdrage in natura (overige)]]=1,Tb_Activiteiten[[#Headers],[Bijdrage in natura (overige)]],""))</f>
        <v/>
      </c>
      <c r="AW1017" t="str">
        <f>IF(ISNUMBER(FIND("overige",Methode_Keuze)),"",IF(Tb_Activiteiten[[#This Row],[Bijdrage in natura (vrijwilligers)]]=1,Tb_Activiteiten[[#Headers],[Bijdrage in natura (vrijwilligers)]],""))</f>
        <v/>
      </c>
      <c r="AX1017" t="str">
        <f>IF(ISNUMBER(FIND("overige",Methode_Keuze)),"",IF(Tb_Activiteiten[[#This Row],[Afschrijvingskosten]]=1,Tb_Activiteiten[[#Headers],[Afschrijvingskosten]],""))</f>
        <v/>
      </c>
      <c r="AY1017" t="str">
        <f>IF(ISNUMBER(FIND("overige",Methode_Keuze)),"",IF(Tb_Activiteiten[[#This Row],[Vergoeding]]=1,Tb_Activiteiten[[#Headers],[Vergoeding]],""))</f>
        <v/>
      </c>
      <c r="AZ1017" t="str">
        <f>IF(ISNUMBER(FIND("arbeid",Methode_Keuze)),"",IF(Tb_Activiteiten[[#This Row],[Arbeidskosten - vast tarief (excl eigen arbeid)]]=1,Tb_Activiteiten[[#Headers],[Arbeidskosten - vast tarief (excl eigen arbeid)]],""))</f>
        <v/>
      </c>
      <c r="BA1017" t="str">
        <f>IF(ISNUMBER(FIND("overige",Methode_Keuze)),"",IF(Tb_Activiteiten[[#This Row],[Overige kosten]]=1,Tb_Activiteiten[[#Headers],[Overige kosten]],""))</f>
        <v/>
      </c>
    </row>
    <row r="1018" spans="1:53" x14ac:dyDescent="0.25">
      <c r="A1018" s="139"/>
      <c r="B1018" s="139"/>
      <c r="C1018" s="139"/>
      <c r="D1018" s="139"/>
      <c r="E1018" s="139"/>
      <c r="F1018" s="139"/>
      <c r="G1018" s="139"/>
      <c r="O1018" s="56"/>
      <c r="Q1018" t="str">
        <f>IFERROR(IF(VLOOKUP(Tb_Activiteiten[[#This Row],[Openstelling]],Tb_Openstelling[],2,0)=1,1,""),"")</f>
        <v/>
      </c>
      <c r="AK1018" t="str">
        <f>IF(ISNUMBER(FIND("arbeid",Methode_Keuze)),"",IF(ISNUMBER(FIND("arbeid",Methode_Keuze)),"",IF(Tb_Activiteiten[[#This Row],[Loonkosten]]=1,Tb_Activiteiten[[#Headers],[Loonkosten]],"")))</f>
        <v/>
      </c>
      <c r="AL1018" t="str">
        <f>IF(ISNUMBER(FIND("arbeid",Methode_Keuze)),"",IF(ISNUMBER(FIND("arbeid",Methode_Keuze)),"",IF(Tb_Activiteiten[[#This Row],[Eigen arbeid]]=1,Tb_Activiteiten[[#Headers],[Eigen arbeid]],"")))</f>
        <v/>
      </c>
      <c r="AM1018" t="str">
        <f>IF(ISNUMBER(FIND("arbeid",Methode_Keuze)),"",IF(ISNUMBER(FIND("arbeid",Methode_Keuze)),"",IF(Tb_Activiteiten[[#This Row],[Projectmedewerker]]=1,Tb_Activiteiten[[#Headers],[Projectmedewerker]],"")))</f>
        <v/>
      </c>
      <c r="AN1018" t="str">
        <f>IF(ISNUMBER(FIND("arbeid",Methode_Keuze)),"",IF(ISNUMBER(FIND("arbeid",Methode_Keuze)),"",IF(Tb_Activiteiten[[#This Row],[Landbouwer]]=1,Tb_Activiteiten[[#Headers],[Landbouwer]],"")))</f>
        <v/>
      </c>
      <c r="AO1018" t="str">
        <f>IF(ISNUMBER(FIND("arbeid",Methode_Keuze)),"",IF(ISNUMBER(FIND("arbeid",Methode_Keuze)),"",IF(Tb_Activiteiten[[#This Row],[Adviseur]]=1,Tb_Activiteiten[[#Headers],[Adviseur]],"")))</f>
        <v/>
      </c>
      <c r="AP1018" t="str">
        <f>IF(ISNUMBER(FIND("arbeid",Methode_Keuze)),"",IF(ISNUMBER(FIND("arbeid",Methode_Keuze)),"",IF(Tb_Activiteiten[[#This Row],[Projectleider/Expert]]=1,Tb_Activiteiten[[#Headers],[Projectleider/Expert]],"")))</f>
        <v/>
      </c>
      <c r="AQ1018" t="str">
        <f>IF(ISNUMBER(FIND("arbeid",Methode_Keuze)),"",IF(ISNUMBER(FIND("arbeid",Methode_Keuze)),"",IF(Tb_Activiteiten[[#This Row],[Arbeidskosten]]=1,Tb_Activiteiten[[#Headers],[Arbeidskosten]],"")))</f>
        <v/>
      </c>
      <c r="AR1018" t="str">
        <f>IF(ISNUMBER(FIND("arbeid",Methode_Keuze)),"",IF(ISNUMBER(FIND("arbeid",Methode_Keuze)),"",IF(Tb_Activiteiten[[#This Row],[Arbeidskosten op basis van IKS]]=1,Tb_Activiteiten[[#Headers],[Arbeidskosten op basis van IKS]],"")))</f>
        <v/>
      </c>
      <c r="AS1018" t="str">
        <f>IF(ISNUMBER(FIND("overige",Methode_Keuze)),"",IF(Tb_Activiteiten[[#This Row],[Kosten derden exclusief btw]]=1,Tb_Activiteiten[[#Headers],[Kosten derden exclusief btw]],""))</f>
        <v/>
      </c>
      <c r="AT1018" t="str">
        <f>IF(ISNUMBER(FIND("overige",Methode_Keuze)),"",IF(Tb_Activiteiten[[#This Row],[Niet verrekenbare btw]]=1,Tb_Activiteiten[[#Headers],[Niet verrekenbare btw]],""))</f>
        <v/>
      </c>
      <c r="AU1018" t="str">
        <f>IF(ISNUMBER(FIND("overige",Methode_Keuze)),"",IF(Tb_Activiteiten[[#This Row],[Grondkosten]]=1,Tb_Activiteiten[[#Headers],[Grondkosten]],""))</f>
        <v/>
      </c>
      <c r="AV1018" t="str">
        <f>IF(ISNUMBER(FIND("overige",Methode_Keuze)),"",IF(Tb_Activiteiten[[#This Row],[Bijdrage in natura (overige)]]=1,Tb_Activiteiten[[#Headers],[Bijdrage in natura (overige)]],""))</f>
        <v/>
      </c>
      <c r="AW1018" t="str">
        <f>IF(ISNUMBER(FIND("overige",Methode_Keuze)),"",IF(Tb_Activiteiten[[#This Row],[Bijdrage in natura (vrijwilligers)]]=1,Tb_Activiteiten[[#Headers],[Bijdrage in natura (vrijwilligers)]],""))</f>
        <v/>
      </c>
      <c r="AX1018" t="str">
        <f>IF(ISNUMBER(FIND("overige",Methode_Keuze)),"",IF(Tb_Activiteiten[[#This Row],[Afschrijvingskosten]]=1,Tb_Activiteiten[[#Headers],[Afschrijvingskosten]],""))</f>
        <v/>
      </c>
      <c r="AY1018" t="str">
        <f>IF(ISNUMBER(FIND("overige",Methode_Keuze)),"",IF(Tb_Activiteiten[[#This Row],[Vergoeding]]=1,Tb_Activiteiten[[#Headers],[Vergoeding]],""))</f>
        <v/>
      </c>
      <c r="AZ1018" t="str">
        <f>IF(ISNUMBER(FIND("arbeid",Methode_Keuze)),"",IF(Tb_Activiteiten[[#This Row],[Arbeidskosten - vast tarief (excl eigen arbeid)]]=1,Tb_Activiteiten[[#Headers],[Arbeidskosten - vast tarief (excl eigen arbeid)]],""))</f>
        <v/>
      </c>
      <c r="BA1018" t="str">
        <f>IF(ISNUMBER(FIND("overige",Methode_Keuze)),"",IF(Tb_Activiteiten[[#This Row],[Overige kosten]]=1,Tb_Activiteiten[[#Headers],[Overige kosten]],""))</f>
        <v/>
      </c>
    </row>
    <row r="1019" spans="1:53" x14ac:dyDescent="0.25">
      <c r="A1019" s="139"/>
      <c r="B1019" s="139"/>
      <c r="C1019" s="139"/>
      <c r="D1019" s="139"/>
      <c r="E1019" s="139"/>
      <c r="F1019" s="139"/>
      <c r="G1019" s="139"/>
      <c r="O1019" s="56"/>
      <c r="Q1019" t="str">
        <f>IFERROR(IF(VLOOKUP(Tb_Activiteiten[[#This Row],[Openstelling]],Tb_Openstelling[],2,0)=1,1,""),"")</f>
        <v/>
      </c>
      <c r="AK1019" t="str">
        <f>IF(ISNUMBER(FIND("arbeid",Methode_Keuze)),"",IF(ISNUMBER(FIND("arbeid",Methode_Keuze)),"",IF(Tb_Activiteiten[[#This Row],[Loonkosten]]=1,Tb_Activiteiten[[#Headers],[Loonkosten]],"")))</f>
        <v/>
      </c>
      <c r="AL1019" t="str">
        <f>IF(ISNUMBER(FIND("arbeid",Methode_Keuze)),"",IF(ISNUMBER(FIND("arbeid",Methode_Keuze)),"",IF(Tb_Activiteiten[[#This Row],[Eigen arbeid]]=1,Tb_Activiteiten[[#Headers],[Eigen arbeid]],"")))</f>
        <v/>
      </c>
      <c r="AM1019" t="str">
        <f>IF(ISNUMBER(FIND("arbeid",Methode_Keuze)),"",IF(ISNUMBER(FIND("arbeid",Methode_Keuze)),"",IF(Tb_Activiteiten[[#This Row],[Projectmedewerker]]=1,Tb_Activiteiten[[#Headers],[Projectmedewerker]],"")))</f>
        <v/>
      </c>
      <c r="AN1019" t="str">
        <f>IF(ISNUMBER(FIND("arbeid",Methode_Keuze)),"",IF(ISNUMBER(FIND("arbeid",Methode_Keuze)),"",IF(Tb_Activiteiten[[#This Row],[Landbouwer]]=1,Tb_Activiteiten[[#Headers],[Landbouwer]],"")))</f>
        <v/>
      </c>
      <c r="AO1019" t="str">
        <f>IF(ISNUMBER(FIND("arbeid",Methode_Keuze)),"",IF(ISNUMBER(FIND("arbeid",Methode_Keuze)),"",IF(Tb_Activiteiten[[#This Row],[Adviseur]]=1,Tb_Activiteiten[[#Headers],[Adviseur]],"")))</f>
        <v/>
      </c>
      <c r="AP1019" t="str">
        <f>IF(ISNUMBER(FIND("arbeid",Methode_Keuze)),"",IF(ISNUMBER(FIND("arbeid",Methode_Keuze)),"",IF(Tb_Activiteiten[[#This Row],[Projectleider/Expert]]=1,Tb_Activiteiten[[#Headers],[Projectleider/Expert]],"")))</f>
        <v/>
      </c>
      <c r="AQ1019" t="str">
        <f>IF(ISNUMBER(FIND("arbeid",Methode_Keuze)),"",IF(ISNUMBER(FIND("arbeid",Methode_Keuze)),"",IF(Tb_Activiteiten[[#This Row],[Arbeidskosten]]=1,Tb_Activiteiten[[#Headers],[Arbeidskosten]],"")))</f>
        <v/>
      </c>
      <c r="AR1019" t="str">
        <f>IF(ISNUMBER(FIND("arbeid",Methode_Keuze)),"",IF(ISNUMBER(FIND("arbeid",Methode_Keuze)),"",IF(Tb_Activiteiten[[#This Row],[Arbeidskosten op basis van IKS]]=1,Tb_Activiteiten[[#Headers],[Arbeidskosten op basis van IKS]],"")))</f>
        <v/>
      </c>
      <c r="AS1019" t="str">
        <f>IF(ISNUMBER(FIND("overige",Methode_Keuze)),"",IF(Tb_Activiteiten[[#This Row],[Kosten derden exclusief btw]]=1,Tb_Activiteiten[[#Headers],[Kosten derden exclusief btw]],""))</f>
        <v/>
      </c>
      <c r="AT1019" t="str">
        <f>IF(ISNUMBER(FIND("overige",Methode_Keuze)),"",IF(Tb_Activiteiten[[#This Row],[Niet verrekenbare btw]]=1,Tb_Activiteiten[[#Headers],[Niet verrekenbare btw]],""))</f>
        <v/>
      </c>
      <c r="AU1019" t="str">
        <f>IF(ISNUMBER(FIND("overige",Methode_Keuze)),"",IF(Tb_Activiteiten[[#This Row],[Grondkosten]]=1,Tb_Activiteiten[[#Headers],[Grondkosten]],""))</f>
        <v/>
      </c>
      <c r="AV1019" t="str">
        <f>IF(ISNUMBER(FIND("overige",Methode_Keuze)),"",IF(Tb_Activiteiten[[#This Row],[Bijdrage in natura (overige)]]=1,Tb_Activiteiten[[#Headers],[Bijdrage in natura (overige)]],""))</f>
        <v/>
      </c>
      <c r="AW1019" t="str">
        <f>IF(ISNUMBER(FIND("overige",Methode_Keuze)),"",IF(Tb_Activiteiten[[#This Row],[Bijdrage in natura (vrijwilligers)]]=1,Tb_Activiteiten[[#Headers],[Bijdrage in natura (vrijwilligers)]],""))</f>
        <v/>
      </c>
      <c r="AX1019" t="str">
        <f>IF(ISNUMBER(FIND("overige",Methode_Keuze)),"",IF(Tb_Activiteiten[[#This Row],[Afschrijvingskosten]]=1,Tb_Activiteiten[[#Headers],[Afschrijvingskosten]],""))</f>
        <v/>
      </c>
      <c r="AY1019" t="str">
        <f>IF(ISNUMBER(FIND("overige",Methode_Keuze)),"",IF(Tb_Activiteiten[[#This Row],[Vergoeding]]=1,Tb_Activiteiten[[#Headers],[Vergoeding]],""))</f>
        <v/>
      </c>
      <c r="AZ1019" t="str">
        <f>IF(ISNUMBER(FIND("arbeid",Methode_Keuze)),"",IF(Tb_Activiteiten[[#This Row],[Arbeidskosten - vast tarief (excl eigen arbeid)]]=1,Tb_Activiteiten[[#Headers],[Arbeidskosten - vast tarief (excl eigen arbeid)]],""))</f>
        <v/>
      </c>
      <c r="BA1019" t="str">
        <f>IF(ISNUMBER(FIND("overige",Methode_Keuze)),"",IF(Tb_Activiteiten[[#This Row],[Overige kosten]]=1,Tb_Activiteiten[[#Headers],[Overige kosten]],""))</f>
        <v/>
      </c>
    </row>
    <row r="1020" spans="1:53" x14ac:dyDescent="0.25">
      <c r="A1020" s="139"/>
      <c r="B1020" s="139"/>
      <c r="C1020" s="139"/>
      <c r="D1020" s="139"/>
      <c r="E1020" s="139"/>
      <c r="F1020" s="139"/>
      <c r="G1020" s="139"/>
      <c r="O1020" s="56"/>
      <c r="Q1020" t="str">
        <f>IFERROR(IF(VLOOKUP(Tb_Activiteiten[[#This Row],[Openstelling]],Tb_Openstelling[],2,0)=1,1,""),"")</f>
        <v/>
      </c>
      <c r="AK1020" t="str">
        <f>IF(ISNUMBER(FIND("arbeid",Methode_Keuze)),"",IF(ISNUMBER(FIND("arbeid",Methode_Keuze)),"",IF(Tb_Activiteiten[[#This Row],[Loonkosten]]=1,Tb_Activiteiten[[#Headers],[Loonkosten]],"")))</f>
        <v/>
      </c>
      <c r="AL1020" t="str">
        <f>IF(ISNUMBER(FIND("arbeid",Methode_Keuze)),"",IF(ISNUMBER(FIND("arbeid",Methode_Keuze)),"",IF(Tb_Activiteiten[[#This Row],[Eigen arbeid]]=1,Tb_Activiteiten[[#Headers],[Eigen arbeid]],"")))</f>
        <v/>
      </c>
      <c r="AM1020" t="str">
        <f>IF(ISNUMBER(FIND("arbeid",Methode_Keuze)),"",IF(ISNUMBER(FIND("arbeid",Methode_Keuze)),"",IF(Tb_Activiteiten[[#This Row],[Projectmedewerker]]=1,Tb_Activiteiten[[#Headers],[Projectmedewerker]],"")))</f>
        <v/>
      </c>
      <c r="AN1020" t="str">
        <f>IF(ISNUMBER(FIND("arbeid",Methode_Keuze)),"",IF(ISNUMBER(FIND("arbeid",Methode_Keuze)),"",IF(Tb_Activiteiten[[#This Row],[Landbouwer]]=1,Tb_Activiteiten[[#Headers],[Landbouwer]],"")))</f>
        <v/>
      </c>
      <c r="AO1020" t="str">
        <f>IF(ISNUMBER(FIND("arbeid",Methode_Keuze)),"",IF(ISNUMBER(FIND("arbeid",Methode_Keuze)),"",IF(Tb_Activiteiten[[#This Row],[Adviseur]]=1,Tb_Activiteiten[[#Headers],[Adviseur]],"")))</f>
        <v/>
      </c>
      <c r="AP1020" t="str">
        <f>IF(ISNUMBER(FIND("arbeid",Methode_Keuze)),"",IF(ISNUMBER(FIND("arbeid",Methode_Keuze)),"",IF(Tb_Activiteiten[[#This Row],[Projectleider/Expert]]=1,Tb_Activiteiten[[#Headers],[Projectleider/Expert]],"")))</f>
        <v/>
      </c>
      <c r="AQ1020" t="str">
        <f>IF(ISNUMBER(FIND("arbeid",Methode_Keuze)),"",IF(ISNUMBER(FIND("arbeid",Methode_Keuze)),"",IF(Tb_Activiteiten[[#This Row],[Arbeidskosten]]=1,Tb_Activiteiten[[#Headers],[Arbeidskosten]],"")))</f>
        <v/>
      </c>
      <c r="AR1020" t="str">
        <f>IF(ISNUMBER(FIND("arbeid",Methode_Keuze)),"",IF(ISNUMBER(FIND("arbeid",Methode_Keuze)),"",IF(Tb_Activiteiten[[#This Row],[Arbeidskosten op basis van IKS]]=1,Tb_Activiteiten[[#Headers],[Arbeidskosten op basis van IKS]],"")))</f>
        <v/>
      </c>
      <c r="AS1020" t="str">
        <f>IF(ISNUMBER(FIND("overige",Methode_Keuze)),"",IF(Tb_Activiteiten[[#This Row],[Kosten derden exclusief btw]]=1,Tb_Activiteiten[[#Headers],[Kosten derden exclusief btw]],""))</f>
        <v/>
      </c>
      <c r="AT1020" t="str">
        <f>IF(ISNUMBER(FIND("overige",Methode_Keuze)),"",IF(Tb_Activiteiten[[#This Row],[Niet verrekenbare btw]]=1,Tb_Activiteiten[[#Headers],[Niet verrekenbare btw]],""))</f>
        <v/>
      </c>
      <c r="AU1020" t="str">
        <f>IF(ISNUMBER(FIND("overige",Methode_Keuze)),"",IF(Tb_Activiteiten[[#This Row],[Grondkosten]]=1,Tb_Activiteiten[[#Headers],[Grondkosten]],""))</f>
        <v/>
      </c>
      <c r="AV1020" t="str">
        <f>IF(ISNUMBER(FIND("overige",Methode_Keuze)),"",IF(Tb_Activiteiten[[#This Row],[Bijdrage in natura (overige)]]=1,Tb_Activiteiten[[#Headers],[Bijdrage in natura (overige)]],""))</f>
        <v/>
      </c>
      <c r="AW1020" t="str">
        <f>IF(ISNUMBER(FIND("overige",Methode_Keuze)),"",IF(Tb_Activiteiten[[#This Row],[Bijdrage in natura (vrijwilligers)]]=1,Tb_Activiteiten[[#Headers],[Bijdrage in natura (vrijwilligers)]],""))</f>
        <v/>
      </c>
      <c r="AX1020" t="str">
        <f>IF(ISNUMBER(FIND("overige",Methode_Keuze)),"",IF(Tb_Activiteiten[[#This Row],[Afschrijvingskosten]]=1,Tb_Activiteiten[[#Headers],[Afschrijvingskosten]],""))</f>
        <v/>
      </c>
      <c r="AY1020" t="str">
        <f>IF(ISNUMBER(FIND("overige",Methode_Keuze)),"",IF(Tb_Activiteiten[[#This Row],[Vergoeding]]=1,Tb_Activiteiten[[#Headers],[Vergoeding]],""))</f>
        <v/>
      </c>
      <c r="AZ1020" t="str">
        <f>IF(ISNUMBER(FIND("arbeid",Methode_Keuze)),"",IF(Tb_Activiteiten[[#This Row],[Arbeidskosten - vast tarief (excl eigen arbeid)]]=1,Tb_Activiteiten[[#Headers],[Arbeidskosten - vast tarief (excl eigen arbeid)]],""))</f>
        <v/>
      </c>
      <c r="BA1020" t="str">
        <f>IF(ISNUMBER(FIND("overige",Methode_Keuze)),"",IF(Tb_Activiteiten[[#This Row],[Overige kosten]]=1,Tb_Activiteiten[[#Headers],[Overige kosten]],""))</f>
        <v/>
      </c>
    </row>
    <row r="1021" spans="1:53" x14ac:dyDescent="0.25">
      <c r="A1021" s="139"/>
      <c r="B1021" s="139"/>
      <c r="C1021" s="139"/>
      <c r="D1021" s="139"/>
      <c r="E1021" s="139"/>
      <c r="F1021" s="139"/>
      <c r="G1021" s="139"/>
      <c r="O1021" s="56"/>
      <c r="Q1021" t="str">
        <f>IFERROR(IF(VLOOKUP(Tb_Activiteiten[[#This Row],[Openstelling]],Tb_Openstelling[],2,0)=1,1,""),"")</f>
        <v/>
      </c>
      <c r="AK1021" t="str">
        <f>IF(ISNUMBER(FIND("arbeid",Methode_Keuze)),"",IF(ISNUMBER(FIND("arbeid",Methode_Keuze)),"",IF(Tb_Activiteiten[[#This Row],[Loonkosten]]=1,Tb_Activiteiten[[#Headers],[Loonkosten]],"")))</f>
        <v/>
      </c>
      <c r="AL1021" t="str">
        <f>IF(ISNUMBER(FIND("arbeid",Methode_Keuze)),"",IF(ISNUMBER(FIND("arbeid",Methode_Keuze)),"",IF(Tb_Activiteiten[[#This Row],[Eigen arbeid]]=1,Tb_Activiteiten[[#Headers],[Eigen arbeid]],"")))</f>
        <v/>
      </c>
      <c r="AM1021" t="str">
        <f>IF(ISNUMBER(FIND("arbeid",Methode_Keuze)),"",IF(ISNUMBER(FIND("arbeid",Methode_Keuze)),"",IF(Tb_Activiteiten[[#This Row],[Projectmedewerker]]=1,Tb_Activiteiten[[#Headers],[Projectmedewerker]],"")))</f>
        <v/>
      </c>
      <c r="AN1021" t="str">
        <f>IF(ISNUMBER(FIND("arbeid",Methode_Keuze)),"",IF(ISNUMBER(FIND("arbeid",Methode_Keuze)),"",IF(Tb_Activiteiten[[#This Row],[Landbouwer]]=1,Tb_Activiteiten[[#Headers],[Landbouwer]],"")))</f>
        <v/>
      </c>
      <c r="AO1021" t="str">
        <f>IF(ISNUMBER(FIND("arbeid",Methode_Keuze)),"",IF(ISNUMBER(FIND("arbeid",Methode_Keuze)),"",IF(Tb_Activiteiten[[#This Row],[Adviseur]]=1,Tb_Activiteiten[[#Headers],[Adviseur]],"")))</f>
        <v/>
      </c>
      <c r="AP1021" t="str">
        <f>IF(ISNUMBER(FIND("arbeid",Methode_Keuze)),"",IF(ISNUMBER(FIND("arbeid",Methode_Keuze)),"",IF(Tb_Activiteiten[[#This Row],[Projectleider/Expert]]=1,Tb_Activiteiten[[#Headers],[Projectleider/Expert]],"")))</f>
        <v/>
      </c>
      <c r="AQ1021" t="str">
        <f>IF(ISNUMBER(FIND("arbeid",Methode_Keuze)),"",IF(ISNUMBER(FIND("arbeid",Methode_Keuze)),"",IF(Tb_Activiteiten[[#This Row],[Arbeidskosten]]=1,Tb_Activiteiten[[#Headers],[Arbeidskosten]],"")))</f>
        <v/>
      </c>
      <c r="AR1021" t="str">
        <f>IF(ISNUMBER(FIND("arbeid",Methode_Keuze)),"",IF(ISNUMBER(FIND("arbeid",Methode_Keuze)),"",IF(Tb_Activiteiten[[#This Row],[Arbeidskosten op basis van IKS]]=1,Tb_Activiteiten[[#Headers],[Arbeidskosten op basis van IKS]],"")))</f>
        <v/>
      </c>
      <c r="AS1021" t="str">
        <f>IF(ISNUMBER(FIND("overige",Methode_Keuze)),"",IF(Tb_Activiteiten[[#This Row],[Kosten derden exclusief btw]]=1,Tb_Activiteiten[[#Headers],[Kosten derden exclusief btw]],""))</f>
        <v/>
      </c>
      <c r="AT1021" t="str">
        <f>IF(ISNUMBER(FIND("overige",Methode_Keuze)),"",IF(Tb_Activiteiten[[#This Row],[Niet verrekenbare btw]]=1,Tb_Activiteiten[[#Headers],[Niet verrekenbare btw]],""))</f>
        <v/>
      </c>
      <c r="AU1021" t="str">
        <f>IF(ISNUMBER(FIND("overige",Methode_Keuze)),"",IF(Tb_Activiteiten[[#This Row],[Grondkosten]]=1,Tb_Activiteiten[[#Headers],[Grondkosten]],""))</f>
        <v/>
      </c>
      <c r="AV1021" t="str">
        <f>IF(ISNUMBER(FIND("overige",Methode_Keuze)),"",IF(Tb_Activiteiten[[#This Row],[Bijdrage in natura (overige)]]=1,Tb_Activiteiten[[#Headers],[Bijdrage in natura (overige)]],""))</f>
        <v/>
      </c>
      <c r="AW1021" t="str">
        <f>IF(ISNUMBER(FIND("overige",Methode_Keuze)),"",IF(Tb_Activiteiten[[#This Row],[Bijdrage in natura (vrijwilligers)]]=1,Tb_Activiteiten[[#Headers],[Bijdrage in natura (vrijwilligers)]],""))</f>
        <v/>
      </c>
      <c r="AX1021" t="str">
        <f>IF(ISNUMBER(FIND("overige",Methode_Keuze)),"",IF(Tb_Activiteiten[[#This Row],[Afschrijvingskosten]]=1,Tb_Activiteiten[[#Headers],[Afschrijvingskosten]],""))</f>
        <v/>
      </c>
      <c r="AY1021" t="str">
        <f>IF(ISNUMBER(FIND("overige",Methode_Keuze)),"",IF(Tb_Activiteiten[[#This Row],[Vergoeding]]=1,Tb_Activiteiten[[#Headers],[Vergoeding]],""))</f>
        <v/>
      </c>
      <c r="AZ1021" t="str">
        <f>IF(ISNUMBER(FIND("arbeid",Methode_Keuze)),"",IF(Tb_Activiteiten[[#This Row],[Arbeidskosten - vast tarief (excl eigen arbeid)]]=1,Tb_Activiteiten[[#Headers],[Arbeidskosten - vast tarief (excl eigen arbeid)]],""))</f>
        <v/>
      </c>
      <c r="BA1021" t="str">
        <f>IF(ISNUMBER(FIND("overige",Methode_Keuze)),"",IF(Tb_Activiteiten[[#This Row],[Overige kosten]]=1,Tb_Activiteiten[[#Headers],[Overige kosten]],""))</f>
        <v/>
      </c>
    </row>
    <row r="1022" spans="1:53" x14ac:dyDescent="0.25">
      <c r="A1022" s="139"/>
      <c r="B1022" s="139"/>
      <c r="C1022" s="139"/>
      <c r="D1022" s="139"/>
      <c r="E1022" s="139"/>
      <c r="F1022" s="139"/>
      <c r="G1022" s="139"/>
      <c r="O1022" s="56"/>
      <c r="Q1022" t="str">
        <f>IFERROR(IF(VLOOKUP(Tb_Activiteiten[[#This Row],[Openstelling]],Tb_Openstelling[],2,0)=1,1,""),"")</f>
        <v/>
      </c>
      <c r="AK1022" t="str">
        <f>IF(ISNUMBER(FIND("arbeid",Methode_Keuze)),"",IF(ISNUMBER(FIND("arbeid",Methode_Keuze)),"",IF(Tb_Activiteiten[[#This Row],[Loonkosten]]=1,Tb_Activiteiten[[#Headers],[Loonkosten]],"")))</f>
        <v/>
      </c>
      <c r="AL1022" t="str">
        <f>IF(ISNUMBER(FIND("arbeid",Methode_Keuze)),"",IF(ISNUMBER(FIND("arbeid",Methode_Keuze)),"",IF(Tb_Activiteiten[[#This Row],[Eigen arbeid]]=1,Tb_Activiteiten[[#Headers],[Eigen arbeid]],"")))</f>
        <v/>
      </c>
      <c r="AM1022" t="str">
        <f>IF(ISNUMBER(FIND("arbeid",Methode_Keuze)),"",IF(ISNUMBER(FIND("arbeid",Methode_Keuze)),"",IF(Tb_Activiteiten[[#This Row],[Projectmedewerker]]=1,Tb_Activiteiten[[#Headers],[Projectmedewerker]],"")))</f>
        <v/>
      </c>
      <c r="AN1022" t="str">
        <f>IF(ISNUMBER(FIND("arbeid",Methode_Keuze)),"",IF(ISNUMBER(FIND("arbeid",Methode_Keuze)),"",IF(Tb_Activiteiten[[#This Row],[Landbouwer]]=1,Tb_Activiteiten[[#Headers],[Landbouwer]],"")))</f>
        <v/>
      </c>
      <c r="AO1022" t="str">
        <f>IF(ISNUMBER(FIND("arbeid",Methode_Keuze)),"",IF(ISNUMBER(FIND("arbeid",Methode_Keuze)),"",IF(Tb_Activiteiten[[#This Row],[Adviseur]]=1,Tb_Activiteiten[[#Headers],[Adviseur]],"")))</f>
        <v/>
      </c>
      <c r="AP1022" t="str">
        <f>IF(ISNUMBER(FIND("arbeid",Methode_Keuze)),"",IF(ISNUMBER(FIND("arbeid",Methode_Keuze)),"",IF(Tb_Activiteiten[[#This Row],[Projectleider/Expert]]=1,Tb_Activiteiten[[#Headers],[Projectleider/Expert]],"")))</f>
        <v/>
      </c>
      <c r="AQ1022" t="str">
        <f>IF(ISNUMBER(FIND("arbeid",Methode_Keuze)),"",IF(ISNUMBER(FIND("arbeid",Methode_Keuze)),"",IF(Tb_Activiteiten[[#This Row],[Arbeidskosten]]=1,Tb_Activiteiten[[#Headers],[Arbeidskosten]],"")))</f>
        <v/>
      </c>
      <c r="AR1022" t="str">
        <f>IF(ISNUMBER(FIND("arbeid",Methode_Keuze)),"",IF(ISNUMBER(FIND("arbeid",Methode_Keuze)),"",IF(Tb_Activiteiten[[#This Row],[Arbeidskosten op basis van IKS]]=1,Tb_Activiteiten[[#Headers],[Arbeidskosten op basis van IKS]],"")))</f>
        <v/>
      </c>
      <c r="AS1022" t="str">
        <f>IF(ISNUMBER(FIND("overige",Methode_Keuze)),"",IF(Tb_Activiteiten[[#This Row],[Kosten derden exclusief btw]]=1,Tb_Activiteiten[[#Headers],[Kosten derden exclusief btw]],""))</f>
        <v/>
      </c>
      <c r="AT1022" t="str">
        <f>IF(ISNUMBER(FIND("overige",Methode_Keuze)),"",IF(Tb_Activiteiten[[#This Row],[Niet verrekenbare btw]]=1,Tb_Activiteiten[[#Headers],[Niet verrekenbare btw]],""))</f>
        <v/>
      </c>
      <c r="AU1022" t="str">
        <f>IF(ISNUMBER(FIND("overige",Methode_Keuze)),"",IF(Tb_Activiteiten[[#This Row],[Grondkosten]]=1,Tb_Activiteiten[[#Headers],[Grondkosten]],""))</f>
        <v/>
      </c>
      <c r="AV1022" t="str">
        <f>IF(ISNUMBER(FIND("overige",Methode_Keuze)),"",IF(Tb_Activiteiten[[#This Row],[Bijdrage in natura (overige)]]=1,Tb_Activiteiten[[#Headers],[Bijdrage in natura (overige)]],""))</f>
        <v/>
      </c>
      <c r="AW1022" t="str">
        <f>IF(ISNUMBER(FIND("overige",Methode_Keuze)),"",IF(Tb_Activiteiten[[#This Row],[Bijdrage in natura (vrijwilligers)]]=1,Tb_Activiteiten[[#Headers],[Bijdrage in natura (vrijwilligers)]],""))</f>
        <v/>
      </c>
      <c r="AX1022" t="str">
        <f>IF(ISNUMBER(FIND("overige",Methode_Keuze)),"",IF(Tb_Activiteiten[[#This Row],[Afschrijvingskosten]]=1,Tb_Activiteiten[[#Headers],[Afschrijvingskosten]],""))</f>
        <v/>
      </c>
      <c r="AY1022" t="str">
        <f>IF(ISNUMBER(FIND("overige",Methode_Keuze)),"",IF(Tb_Activiteiten[[#This Row],[Vergoeding]]=1,Tb_Activiteiten[[#Headers],[Vergoeding]],""))</f>
        <v/>
      </c>
      <c r="AZ1022" t="str">
        <f>IF(ISNUMBER(FIND("arbeid",Methode_Keuze)),"",IF(Tb_Activiteiten[[#This Row],[Arbeidskosten - vast tarief (excl eigen arbeid)]]=1,Tb_Activiteiten[[#Headers],[Arbeidskosten - vast tarief (excl eigen arbeid)]],""))</f>
        <v/>
      </c>
      <c r="BA1022" t="str">
        <f>IF(ISNUMBER(FIND("overige",Methode_Keuze)),"",IF(Tb_Activiteiten[[#This Row],[Overige kosten]]=1,Tb_Activiteiten[[#Headers],[Overige kosten]],""))</f>
        <v/>
      </c>
    </row>
    <row r="1023" spans="1:53" x14ac:dyDescent="0.25">
      <c r="A1023" s="139"/>
      <c r="B1023" s="139"/>
      <c r="C1023" s="139"/>
      <c r="D1023" s="139"/>
      <c r="E1023" s="139"/>
      <c r="F1023" s="139"/>
      <c r="G1023" s="139"/>
      <c r="O1023" s="56"/>
      <c r="Q1023" t="str">
        <f>IFERROR(IF(VLOOKUP(Tb_Activiteiten[[#This Row],[Openstelling]],Tb_Openstelling[],2,0)=1,1,""),"")</f>
        <v/>
      </c>
      <c r="AK1023" t="str">
        <f>IF(ISNUMBER(FIND("arbeid",Methode_Keuze)),"",IF(ISNUMBER(FIND("arbeid",Methode_Keuze)),"",IF(Tb_Activiteiten[[#This Row],[Loonkosten]]=1,Tb_Activiteiten[[#Headers],[Loonkosten]],"")))</f>
        <v/>
      </c>
      <c r="AL1023" t="str">
        <f>IF(ISNUMBER(FIND("arbeid",Methode_Keuze)),"",IF(ISNUMBER(FIND("arbeid",Methode_Keuze)),"",IF(Tb_Activiteiten[[#This Row],[Eigen arbeid]]=1,Tb_Activiteiten[[#Headers],[Eigen arbeid]],"")))</f>
        <v/>
      </c>
      <c r="AM1023" t="str">
        <f>IF(ISNUMBER(FIND("arbeid",Methode_Keuze)),"",IF(ISNUMBER(FIND("arbeid",Methode_Keuze)),"",IF(Tb_Activiteiten[[#This Row],[Projectmedewerker]]=1,Tb_Activiteiten[[#Headers],[Projectmedewerker]],"")))</f>
        <v/>
      </c>
      <c r="AN1023" t="str">
        <f>IF(ISNUMBER(FIND("arbeid",Methode_Keuze)),"",IF(ISNUMBER(FIND("arbeid",Methode_Keuze)),"",IF(Tb_Activiteiten[[#This Row],[Landbouwer]]=1,Tb_Activiteiten[[#Headers],[Landbouwer]],"")))</f>
        <v/>
      </c>
      <c r="AO1023" t="str">
        <f>IF(ISNUMBER(FIND("arbeid",Methode_Keuze)),"",IF(ISNUMBER(FIND("arbeid",Methode_Keuze)),"",IF(Tb_Activiteiten[[#This Row],[Adviseur]]=1,Tb_Activiteiten[[#Headers],[Adviseur]],"")))</f>
        <v/>
      </c>
      <c r="AP1023" t="str">
        <f>IF(ISNUMBER(FIND("arbeid",Methode_Keuze)),"",IF(ISNUMBER(FIND("arbeid",Methode_Keuze)),"",IF(Tb_Activiteiten[[#This Row],[Projectleider/Expert]]=1,Tb_Activiteiten[[#Headers],[Projectleider/Expert]],"")))</f>
        <v/>
      </c>
      <c r="AQ1023" t="str">
        <f>IF(ISNUMBER(FIND("arbeid",Methode_Keuze)),"",IF(ISNUMBER(FIND("arbeid",Methode_Keuze)),"",IF(Tb_Activiteiten[[#This Row],[Arbeidskosten]]=1,Tb_Activiteiten[[#Headers],[Arbeidskosten]],"")))</f>
        <v/>
      </c>
      <c r="AR1023" t="str">
        <f>IF(ISNUMBER(FIND("arbeid",Methode_Keuze)),"",IF(ISNUMBER(FIND("arbeid",Methode_Keuze)),"",IF(Tb_Activiteiten[[#This Row],[Arbeidskosten op basis van IKS]]=1,Tb_Activiteiten[[#Headers],[Arbeidskosten op basis van IKS]],"")))</f>
        <v/>
      </c>
      <c r="AS1023" t="str">
        <f>IF(ISNUMBER(FIND("overige",Methode_Keuze)),"",IF(Tb_Activiteiten[[#This Row],[Kosten derden exclusief btw]]=1,Tb_Activiteiten[[#Headers],[Kosten derden exclusief btw]],""))</f>
        <v/>
      </c>
      <c r="AT1023" t="str">
        <f>IF(ISNUMBER(FIND("overige",Methode_Keuze)),"",IF(Tb_Activiteiten[[#This Row],[Niet verrekenbare btw]]=1,Tb_Activiteiten[[#Headers],[Niet verrekenbare btw]],""))</f>
        <v/>
      </c>
      <c r="AU1023" t="str">
        <f>IF(ISNUMBER(FIND("overige",Methode_Keuze)),"",IF(Tb_Activiteiten[[#This Row],[Grondkosten]]=1,Tb_Activiteiten[[#Headers],[Grondkosten]],""))</f>
        <v/>
      </c>
      <c r="AV1023" t="str">
        <f>IF(ISNUMBER(FIND("overige",Methode_Keuze)),"",IF(Tb_Activiteiten[[#This Row],[Bijdrage in natura (overige)]]=1,Tb_Activiteiten[[#Headers],[Bijdrage in natura (overige)]],""))</f>
        <v/>
      </c>
      <c r="AW1023" t="str">
        <f>IF(ISNUMBER(FIND("overige",Methode_Keuze)),"",IF(Tb_Activiteiten[[#This Row],[Bijdrage in natura (vrijwilligers)]]=1,Tb_Activiteiten[[#Headers],[Bijdrage in natura (vrijwilligers)]],""))</f>
        <v/>
      </c>
      <c r="AX1023" t="str">
        <f>IF(ISNUMBER(FIND("overige",Methode_Keuze)),"",IF(Tb_Activiteiten[[#This Row],[Afschrijvingskosten]]=1,Tb_Activiteiten[[#Headers],[Afschrijvingskosten]],""))</f>
        <v/>
      </c>
      <c r="AY1023" t="str">
        <f>IF(ISNUMBER(FIND("overige",Methode_Keuze)),"",IF(Tb_Activiteiten[[#This Row],[Vergoeding]]=1,Tb_Activiteiten[[#Headers],[Vergoeding]],""))</f>
        <v/>
      </c>
      <c r="AZ1023" t="str">
        <f>IF(ISNUMBER(FIND("arbeid",Methode_Keuze)),"",IF(Tb_Activiteiten[[#This Row],[Arbeidskosten - vast tarief (excl eigen arbeid)]]=1,Tb_Activiteiten[[#Headers],[Arbeidskosten - vast tarief (excl eigen arbeid)]],""))</f>
        <v/>
      </c>
      <c r="BA1023" t="str">
        <f>IF(ISNUMBER(FIND("overige",Methode_Keuze)),"",IF(Tb_Activiteiten[[#This Row],[Overige kosten]]=1,Tb_Activiteiten[[#Headers],[Overige kosten]],""))</f>
        <v/>
      </c>
    </row>
    <row r="1024" spans="1:53" x14ac:dyDescent="0.25">
      <c r="A1024" s="139"/>
      <c r="B1024" s="139"/>
      <c r="C1024" s="139"/>
      <c r="D1024" s="139"/>
      <c r="E1024" s="139"/>
      <c r="F1024" s="139"/>
      <c r="G1024" s="139"/>
      <c r="O1024" s="56"/>
      <c r="Q1024" t="str">
        <f>IFERROR(IF(VLOOKUP(Tb_Activiteiten[[#This Row],[Openstelling]],Tb_Openstelling[],2,0)=1,1,""),"")</f>
        <v/>
      </c>
      <c r="AK1024" t="str">
        <f>IF(ISNUMBER(FIND("arbeid",Methode_Keuze)),"",IF(ISNUMBER(FIND("arbeid",Methode_Keuze)),"",IF(Tb_Activiteiten[[#This Row],[Loonkosten]]=1,Tb_Activiteiten[[#Headers],[Loonkosten]],"")))</f>
        <v/>
      </c>
      <c r="AL1024" t="str">
        <f>IF(ISNUMBER(FIND("arbeid",Methode_Keuze)),"",IF(ISNUMBER(FIND("arbeid",Methode_Keuze)),"",IF(Tb_Activiteiten[[#This Row],[Eigen arbeid]]=1,Tb_Activiteiten[[#Headers],[Eigen arbeid]],"")))</f>
        <v/>
      </c>
      <c r="AM1024" t="str">
        <f>IF(ISNUMBER(FIND("arbeid",Methode_Keuze)),"",IF(ISNUMBER(FIND("arbeid",Methode_Keuze)),"",IF(Tb_Activiteiten[[#This Row],[Projectmedewerker]]=1,Tb_Activiteiten[[#Headers],[Projectmedewerker]],"")))</f>
        <v/>
      </c>
      <c r="AN1024" t="str">
        <f>IF(ISNUMBER(FIND("arbeid",Methode_Keuze)),"",IF(ISNUMBER(FIND("arbeid",Methode_Keuze)),"",IF(Tb_Activiteiten[[#This Row],[Landbouwer]]=1,Tb_Activiteiten[[#Headers],[Landbouwer]],"")))</f>
        <v/>
      </c>
      <c r="AO1024" t="str">
        <f>IF(ISNUMBER(FIND("arbeid",Methode_Keuze)),"",IF(ISNUMBER(FIND("arbeid",Methode_Keuze)),"",IF(Tb_Activiteiten[[#This Row],[Adviseur]]=1,Tb_Activiteiten[[#Headers],[Adviseur]],"")))</f>
        <v/>
      </c>
      <c r="AP1024" t="str">
        <f>IF(ISNUMBER(FIND("arbeid",Methode_Keuze)),"",IF(ISNUMBER(FIND("arbeid",Methode_Keuze)),"",IF(Tb_Activiteiten[[#This Row],[Projectleider/Expert]]=1,Tb_Activiteiten[[#Headers],[Projectleider/Expert]],"")))</f>
        <v/>
      </c>
      <c r="AQ1024" t="str">
        <f>IF(ISNUMBER(FIND("arbeid",Methode_Keuze)),"",IF(ISNUMBER(FIND("arbeid",Methode_Keuze)),"",IF(Tb_Activiteiten[[#This Row],[Arbeidskosten]]=1,Tb_Activiteiten[[#Headers],[Arbeidskosten]],"")))</f>
        <v/>
      </c>
      <c r="AR1024" t="str">
        <f>IF(ISNUMBER(FIND("arbeid",Methode_Keuze)),"",IF(ISNUMBER(FIND("arbeid",Methode_Keuze)),"",IF(Tb_Activiteiten[[#This Row],[Arbeidskosten op basis van IKS]]=1,Tb_Activiteiten[[#Headers],[Arbeidskosten op basis van IKS]],"")))</f>
        <v/>
      </c>
      <c r="AS1024" t="str">
        <f>IF(ISNUMBER(FIND("overige",Methode_Keuze)),"",IF(Tb_Activiteiten[[#This Row],[Kosten derden exclusief btw]]=1,Tb_Activiteiten[[#Headers],[Kosten derden exclusief btw]],""))</f>
        <v/>
      </c>
      <c r="AT1024" t="str">
        <f>IF(ISNUMBER(FIND("overige",Methode_Keuze)),"",IF(Tb_Activiteiten[[#This Row],[Niet verrekenbare btw]]=1,Tb_Activiteiten[[#Headers],[Niet verrekenbare btw]],""))</f>
        <v/>
      </c>
      <c r="AU1024" t="str">
        <f>IF(ISNUMBER(FIND("overige",Methode_Keuze)),"",IF(Tb_Activiteiten[[#This Row],[Grondkosten]]=1,Tb_Activiteiten[[#Headers],[Grondkosten]],""))</f>
        <v/>
      </c>
      <c r="AV1024" t="str">
        <f>IF(ISNUMBER(FIND("overige",Methode_Keuze)),"",IF(Tb_Activiteiten[[#This Row],[Bijdrage in natura (overige)]]=1,Tb_Activiteiten[[#Headers],[Bijdrage in natura (overige)]],""))</f>
        <v/>
      </c>
      <c r="AW1024" t="str">
        <f>IF(ISNUMBER(FIND("overige",Methode_Keuze)),"",IF(Tb_Activiteiten[[#This Row],[Bijdrage in natura (vrijwilligers)]]=1,Tb_Activiteiten[[#Headers],[Bijdrage in natura (vrijwilligers)]],""))</f>
        <v/>
      </c>
      <c r="AX1024" t="str">
        <f>IF(ISNUMBER(FIND("overige",Methode_Keuze)),"",IF(Tb_Activiteiten[[#This Row],[Afschrijvingskosten]]=1,Tb_Activiteiten[[#Headers],[Afschrijvingskosten]],""))</f>
        <v/>
      </c>
      <c r="AY1024" t="str">
        <f>IF(ISNUMBER(FIND("overige",Methode_Keuze)),"",IF(Tb_Activiteiten[[#This Row],[Vergoeding]]=1,Tb_Activiteiten[[#Headers],[Vergoeding]],""))</f>
        <v/>
      </c>
      <c r="AZ1024" t="str">
        <f>IF(ISNUMBER(FIND("arbeid",Methode_Keuze)),"",IF(Tb_Activiteiten[[#This Row],[Arbeidskosten - vast tarief (excl eigen arbeid)]]=1,Tb_Activiteiten[[#Headers],[Arbeidskosten - vast tarief (excl eigen arbeid)]],""))</f>
        <v/>
      </c>
      <c r="BA1024" t="str">
        <f>IF(ISNUMBER(FIND("overige",Methode_Keuze)),"",IF(Tb_Activiteiten[[#This Row],[Overige kosten]]=1,Tb_Activiteiten[[#Headers],[Overige kosten]],""))</f>
        <v/>
      </c>
    </row>
    <row r="1025" spans="1:53" x14ac:dyDescent="0.25">
      <c r="A1025" s="139"/>
      <c r="B1025" s="139"/>
      <c r="C1025" s="139"/>
      <c r="D1025" s="139"/>
      <c r="E1025" s="139"/>
      <c r="F1025" s="139"/>
      <c r="G1025" s="139"/>
      <c r="O1025" s="56"/>
      <c r="Q1025" t="str">
        <f>IFERROR(IF(VLOOKUP(Tb_Activiteiten[[#This Row],[Openstelling]],Tb_Openstelling[],2,0)=1,1,""),"")</f>
        <v/>
      </c>
      <c r="AK1025" t="str">
        <f>IF(ISNUMBER(FIND("arbeid",Methode_Keuze)),"",IF(ISNUMBER(FIND("arbeid",Methode_Keuze)),"",IF(Tb_Activiteiten[[#This Row],[Loonkosten]]=1,Tb_Activiteiten[[#Headers],[Loonkosten]],"")))</f>
        <v/>
      </c>
      <c r="AL1025" t="str">
        <f>IF(ISNUMBER(FIND("arbeid",Methode_Keuze)),"",IF(ISNUMBER(FIND("arbeid",Methode_Keuze)),"",IF(Tb_Activiteiten[[#This Row],[Eigen arbeid]]=1,Tb_Activiteiten[[#Headers],[Eigen arbeid]],"")))</f>
        <v/>
      </c>
      <c r="AM1025" t="str">
        <f>IF(ISNUMBER(FIND("arbeid",Methode_Keuze)),"",IF(ISNUMBER(FIND("arbeid",Methode_Keuze)),"",IF(Tb_Activiteiten[[#This Row],[Projectmedewerker]]=1,Tb_Activiteiten[[#Headers],[Projectmedewerker]],"")))</f>
        <v/>
      </c>
      <c r="AN1025" t="str">
        <f>IF(ISNUMBER(FIND("arbeid",Methode_Keuze)),"",IF(ISNUMBER(FIND("arbeid",Methode_Keuze)),"",IF(Tb_Activiteiten[[#This Row],[Landbouwer]]=1,Tb_Activiteiten[[#Headers],[Landbouwer]],"")))</f>
        <v/>
      </c>
      <c r="AO1025" t="str">
        <f>IF(ISNUMBER(FIND("arbeid",Methode_Keuze)),"",IF(ISNUMBER(FIND("arbeid",Methode_Keuze)),"",IF(Tb_Activiteiten[[#This Row],[Adviseur]]=1,Tb_Activiteiten[[#Headers],[Adviseur]],"")))</f>
        <v/>
      </c>
      <c r="AP1025" t="str">
        <f>IF(ISNUMBER(FIND("arbeid",Methode_Keuze)),"",IF(ISNUMBER(FIND("arbeid",Methode_Keuze)),"",IF(Tb_Activiteiten[[#This Row],[Projectleider/Expert]]=1,Tb_Activiteiten[[#Headers],[Projectleider/Expert]],"")))</f>
        <v/>
      </c>
      <c r="AQ1025" t="str">
        <f>IF(ISNUMBER(FIND("arbeid",Methode_Keuze)),"",IF(ISNUMBER(FIND("arbeid",Methode_Keuze)),"",IF(Tb_Activiteiten[[#This Row],[Arbeidskosten]]=1,Tb_Activiteiten[[#Headers],[Arbeidskosten]],"")))</f>
        <v/>
      </c>
      <c r="AR1025" t="str">
        <f>IF(ISNUMBER(FIND("arbeid",Methode_Keuze)),"",IF(ISNUMBER(FIND("arbeid",Methode_Keuze)),"",IF(Tb_Activiteiten[[#This Row],[Arbeidskosten op basis van IKS]]=1,Tb_Activiteiten[[#Headers],[Arbeidskosten op basis van IKS]],"")))</f>
        <v/>
      </c>
      <c r="AS1025" t="str">
        <f>IF(ISNUMBER(FIND("overige",Methode_Keuze)),"",IF(Tb_Activiteiten[[#This Row],[Kosten derden exclusief btw]]=1,Tb_Activiteiten[[#Headers],[Kosten derden exclusief btw]],""))</f>
        <v/>
      </c>
      <c r="AT1025" t="str">
        <f>IF(ISNUMBER(FIND("overige",Methode_Keuze)),"",IF(Tb_Activiteiten[[#This Row],[Niet verrekenbare btw]]=1,Tb_Activiteiten[[#Headers],[Niet verrekenbare btw]],""))</f>
        <v/>
      </c>
      <c r="AU1025" t="str">
        <f>IF(ISNUMBER(FIND("overige",Methode_Keuze)),"",IF(Tb_Activiteiten[[#This Row],[Grondkosten]]=1,Tb_Activiteiten[[#Headers],[Grondkosten]],""))</f>
        <v/>
      </c>
      <c r="AV1025" t="str">
        <f>IF(ISNUMBER(FIND("overige",Methode_Keuze)),"",IF(Tb_Activiteiten[[#This Row],[Bijdrage in natura (overige)]]=1,Tb_Activiteiten[[#Headers],[Bijdrage in natura (overige)]],""))</f>
        <v/>
      </c>
      <c r="AW1025" t="str">
        <f>IF(ISNUMBER(FIND("overige",Methode_Keuze)),"",IF(Tb_Activiteiten[[#This Row],[Bijdrage in natura (vrijwilligers)]]=1,Tb_Activiteiten[[#Headers],[Bijdrage in natura (vrijwilligers)]],""))</f>
        <v/>
      </c>
      <c r="AX1025" t="str">
        <f>IF(ISNUMBER(FIND("overige",Methode_Keuze)),"",IF(Tb_Activiteiten[[#This Row],[Afschrijvingskosten]]=1,Tb_Activiteiten[[#Headers],[Afschrijvingskosten]],""))</f>
        <v/>
      </c>
      <c r="AY1025" t="str">
        <f>IF(ISNUMBER(FIND("overige",Methode_Keuze)),"",IF(Tb_Activiteiten[[#This Row],[Vergoeding]]=1,Tb_Activiteiten[[#Headers],[Vergoeding]],""))</f>
        <v/>
      </c>
      <c r="AZ1025" t="str">
        <f>IF(ISNUMBER(FIND("arbeid",Methode_Keuze)),"",IF(Tb_Activiteiten[[#This Row],[Arbeidskosten - vast tarief (excl eigen arbeid)]]=1,Tb_Activiteiten[[#Headers],[Arbeidskosten - vast tarief (excl eigen arbeid)]],""))</f>
        <v/>
      </c>
      <c r="BA1025" t="str">
        <f>IF(ISNUMBER(FIND("overige",Methode_Keuze)),"",IF(Tb_Activiteiten[[#This Row],[Overige kosten]]=1,Tb_Activiteiten[[#Headers],[Overige kosten]],""))</f>
        <v/>
      </c>
    </row>
    <row r="1026" spans="1:53" x14ac:dyDescent="0.25">
      <c r="A1026" s="139"/>
      <c r="B1026" s="139"/>
      <c r="C1026" s="139"/>
      <c r="D1026" s="139"/>
      <c r="E1026" s="139"/>
      <c r="F1026" s="139"/>
      <c r="G1026" s="139"/>
      <c r="O1026" s="56"/>
      <c r="Q1026" t="str">
        <f>IFERROR(IF(VLOOKUP(Tb_Activiteiten[[#This Row],[Openstelling]],Tb_Openstelling[],2,0)=1,1,""),"")</f>
        <v/>
      </c>
      <c r="AK1026" t="str">
        <f>IF(ISNUMBER(FIND("arbeid",Methode_Keuze)),"",IF(ISNUMBER(FIND("arbeid",Methode_Keuze)),"",IF(Tb_Activiteiten[[#This Row],[Loonkosten]]=1,Tb_Activiteiten[[#Headers],[Loonkosten]],"")))</f>
        <v/>
      </c>
      <c r="AL1026" t="str">
        <f>IF(ISNUMBER(FIND("arbeid",Methode_Keuze)),"",IF(ISNUMBER(FIND("arbeid",Methode_Keuze)),"",IF(Tb_Activiteiten[[#This Row],[Eigen arbeid]]=1,Tb_Activiteiten[[#Headers],[Eigen arbeid]],"")))</f>
        <v/>
      </c>
      <c r="AM1026" t="str">
        <f>IF(ISNUMBER(FIND("arbeid",Methode_Keuze)),"",IF(ISNUMBER(FIND("arbeid",Methode_Keuze)),"",IF(Tb_Activiteiten[[#This Row],[Projectmedewerker]]=1,Tb_Activiteiten[[#Headers],[Projectmedewerker]],"")))</f>
        <v/>
      </c>
      <c r="AN1026" t="str">
        <f>IF(ISNUMBER(FIND("arbeid",Methode_Keuze)),"",IF(ISNUMBER(FIND("arbeid",Methode_Keuze)),"",IF(Tb_Activiteiten[[#This Row],[Landbouwer]]=1,Tb_Activiteiten[[#Headers],[Landbouwer]],"")))</f>
        <v/>
      </c>
      <c r="AO1026" t="str">
        <f>IF(ISNUMBER(FIND("arbeid",Methode_Keuze)),"",IF(ISNUMBER(FIND("arbeid",Methode_Keuze)),"",IF(Tb_Activiteiten[[#This Row],[Adviseur]]=1,Tb_Activiteiten[[#Headers],[Adviseur]],"")))</f>
        <v/>
      </c>
      <c r="AP1026" t="str">
        <f>IF(ISNUMBER(FIND("arbeid",Methode_Keuze)),"",IF(ISNUMBER(FIND("arbeid",Methode_Keuze)),"",IF(Tb_Activiteiten[[#This Row],[Projectleider/Expert]]=1,Tb_Activiteiten[[#Headers],[Projectleider/Expert]],"")))</f>
        <v/>
      </c>
      <c r="AQ1026" t="str">
        <f>IF(ISNUMBER(FIND("arbeid",Methode_Keuze)),"",IF(ISNUMBER(FIND("arbeid",Methode_Keuze)),"",IF(Tb_Activiteiten[[#This Row],[Arbeidskosten]]=1,Tb_Activiteiten[[#Headers],[Arbeidskosten]],"")))</f>
        <v/>
      </c>
      <c r="AR1026" t="str">
        <f>IF(ISNUMBER(FIND("arbeid",Methode_Keuze)),"",IF(ISNUMBER(FIND("arbeid",Methode_Keuze)),"",IF(Tb_Activiteiten[[#This Row],[Arbeidskosten op basis van IKS]]=1,Tb_Activiteiten[[#Headers],[Arbeidskosten op basis van IKS]],"")))</f>
        <v/>
      </c>
      <c r="AS1026" t="str">
        <f>IF(ISNUMBER(FIND("overige",Methode_Keuze)),"",IF(Tb_Activiteiten[[#This Row],[Kosten derden exclusief btw]]=1,Tb_Activiteiten[[#Headers],[Kosten derden exclusief btw]],""))</f>
        <v/>
      </c>
      <c r="AT1026" t="str">
        <f>IF(ISNUMBER(FIND("overige",Methode_Keuze)),"",IF(Tb_Activiteiten[[#This Row],[Niet verrekenbare btw]]=1,Tb_Activiteiten[[#Headers],[Niet verrekenbare btw]],""))</f>
        <v/>
      </c>
      <c r="AU1026" t="str">
        <f>IF(ISNUMBER(FIND("overige",Methode_Keuze)),"",IF(Tb_Activiteiten[[#This Row],[Grondkosten]]=1,Tb_Activiteiten[[#Headers],[Grondkosten]],""))</f>
        <v/>
      </c>
      <c r="AV1026" t="str">
        <f>IF(ISNUMBER(FIND("overige",Methode_Keuze)),"",IF(Tb_Activiteiten[[#This Row],[Bijdrage in natura (overige)]]=1,Tb_Activiteiten[[#Headers],[Bijdrage in natura (overige)]],""))</f>
        <v/>
      </c>
      <c r="AW1026" t="str">
        <f>IF(ISNUMBER(FIND("overige",Methode_Keuze)),"",IF(Tb_Activiteiten[[#This Row],[Bijdrage in natura (vrijwilligers)]]=1,Tb_Activiteiten[[#Headers],[Bijdrage in natura (vrijwilligers)]],""))</f>
        <v/>
      </c>
      <c r="AX1026" t="str">
        <f>IF(ISNUMBER(FIND("overige",Methode_Keuze)),"",IF(Tb_Activiteiten[[#This Row],[Afschrijvingskosten]]=1,Tb_Activiteiten[[#Headers],[Afschrijvingskosten]],""))</f>
        <v/>
      </c>
      <c r="AY1026" t="str">
        <f>IF(ISNUMBER(FIND("overige",Methode_Keuze)),"",IF(Tb_Activiteiten[[#This Row],[Vergoeding]]=1,Tb_Activiteiten[[#Headers],[Vergoeding]],""))</f>
        <v/>
      </c>
      <c r="AZ1026" t="str">
        <f>IF(ISNUMBER(FIND("arbeid",Methode_Keuze)),"",IF(Tb_Activiteiten[[#This Row],[Arbeidskosten - vast tarief (excl eigen arbeid)]]=1,Tb_Activiteiten[[#Headers],[Arbeidskosten - vast tarief (excl eigen arbeid)]],""))</f>
        <v/>
      </c>
      <c r="BA1026" t="str">
        <f>IF(ISNUMBER(FIND("overige",Methode_Keuze)),"",IF(Tb_Activiteiten[[#This Row],[Overige kosten]]=1,Tb_Activiteiten[[#Headers],[Overige kosten]],""))</f>
        <v/>
      </c>
    </row>
    <row r="1027" spans="1:53" x14ac:dyDescent="0.25">
      <c r="A1027" s="139"/>
      <c r="B1027" s="139"/>
      <c r="C1027" s="139"/>
      <c r="D1027" s="139"/>
      <c r="E1027" s="139"/>
      <c r="F1027" s="139"/>
      <c r="G1027" s="139"/>
      <c r="O1027" s="56"/>
      <c r="Q1027" t="str">
        <f>IFERROR(IF(VLOOKUP(Tb_Activiteiten[[#This Row],[Openstelling]],Tb_Openstelling[],2,0)=1,1,""),"")</f>
        <v/>
      </c>
      <c r="AK1027" t="str">
        <f>IF(ISNUMBER(FIND("arbeid",Methode_Keuze)),"",IF(ISNUMBER(FIND("arbeid",Methode_Keuze)),"",IF(Tb_Activiteiten[[#This Row],[Loonkosten]]=1,Tb_Activiteiten[[#Headers],[Loonkosten]],"")))</f>
        <v/>
      </c>
      <c r="AL1027" t="str">
        <f>IF(ISNUMBER(FIND("arbeid",Methode_Keuze)),"",IF(ISNUMBER(FIND("arbeid",Methode_Keuze)),"",IF(Tb_Activiteiten[[#This Row],[Eigen arbeid]]=1,Tb_Activiteiten[[#Headers],[Eigen arbeid]],"")))</f>
        <v/>
      </c>
      <c r="AM1027" t="str">
        <f>IF(ISNUMBER(FIND("arbeid",Methode_Keuze)),"",IF(ISNUMBER(FIND("arbeid",Methode_Keuze)),"",IF(Tb_Activiteiten[[#This Row],[Projectmedewerker]]=1,Tb_Activiteiten[[#Headers],[Projectmedewerker]],"")))</f>
        <v/>
      </c>
      <c r="AN1027" t="str">
        <f>IF(ISNUMBER(FIND("arbeid",Methode_Keuze)),"",IF(ISNUMBER(FIND("arbeid",Methode_Keuze)),"",IF(Tb_Activiteiten[[#This Row],[Landbouwer]]=1,Tb_Activiteiten[[#Headers],[Landbouwer]],"")))</f>
        <v/>
      </c>
      <c r="AO1027" t="str">
        <f>IF(ISNUMBER(FIND("arbeid",Methode_Keuze)),"",IF(ISNUMBER(FIND("arbeid",Methode_Keuze)),"",IF(Tb_Activiteiten[[#This Row],[Adviseur]]=1,Tb_Activiteiten[[#Headers],[Adviseur]],"")))</f>
        <v/>
      </c>
      <c r="AP1027" t="str">
        <f>IF(ISNUMBER(FIND("arbeid",Methode_Keuze)),"",IF(ISNUMBER(FIND("arbeid",Methode_Keuze)),"",IF(Tb_Activiteiten[[#This Row],[Projectleider/Expert]]=1,Tb_Activiteiten[[#Headers],[Projectleider/Expert]],"")))</f>
        <v/>
      </c>
      <c r="AQ1027" t="str">
        <f>IF(ISNUMBER(FIND("arbeid",Methode_Keuze)),"",IF(ISNUMBER(FIND("arbeid",Methode_Keuze)),"",IF(Tb_Activiteiten[[#This Row],[Arbeidskosten]]=1,Tb_Activiteiten[[#Headers],[Arbeidskosten]],"")))</f>
        <v/>
      </c>
      <c r="AR1027" t="str">
        <f>IF(ISNUMBER(FIND("arbeid",Methode_Keuze)),"",IF(ISNUMBER(FIND("arbeid",Methode_Keuze)),"",IF(Tb_Activiteiten[[#This Row],[Arbeidskosten op basis van IKS]]=1,Tb_Activiteiten[[#Headers],[Arbeidskosten op basis van IKS]],"")))</f>
        <v/>
      </c>
      <c r="AS1027" t="str">
        <f>IF(ISNUMBER(FIND("overige",Methode_Keuze)),"",IF(Tb_Activiteiten[[#This Row],[Kosten derden exclusief btw]]=1,Tb_Activiteiten[[#Headers],[Kosten derden exclusief btw]],""))</f>
        <v/>
      </c>
      <c r="AT1027" t="str">
        <f>IF(ISNUMBER(FIND("overige",Methode_Keuze)),"",IF(Tb_Activiteiten[[#This Row],[Niet verrekenbare btw]]=1,Tb_Activiteiten[[#Headers],[Niet verrekenbare btw]],""))</f>
        <v/>
      </c>
      <c r="AU1027" t="str">
        <f>IF(ISNUMBER(FIND("overige",Methode_Keuze)),"",IF(Tb_Activiteiten[[#This Row],[Grondkosten]]=1,Tb_Activiteiten[[#Headers],[Grondkosten]],""))</f>
        <v/>
      </c>
      <c r="AV1027" t="str">
        <f>IF(ISNUMBER(FIND("overige",Methode_Keuze)),"",IF(Tb_Activiteiten[[#This Row],[Bijdrage in natura (overige)]]=1,Tb_Activiteiten[[#Headers],[Bijdrage in natura (overige)]],""))</f>
        <v/>
      </c>
      <c r="AW1027" t="str">
        <f>IF(ISNUMBER(FIND("overige",Methode_Keuze)),"",IF(Tb_Activiteiten[[#This Row],[Bijdrage in natura (vrijwilligers)]]=1,Tb_Activiteiten[[#Headers],[Bijdrage in natura (vrijwilligers)]],""))</f>
        <v/>
      </c>
      <c r="AX1027" t="str">
        <f>IF(ISNUMBER(FIND("overige",Methode_Keuze)),"",IF(Tb_Activiteiten[[#This Row],[Afschrijvingskosten]]=1,Tb_Activiteiten[[#Headers],[Afschrijvingskosten]],""))</f>
        <v/>
      </c>
      <c r="AY1027" t="str">
        <f>IF(ISNUMBER(FIND("overige",Methode_Keuze)),"",IF(Tb_Activiteiten[[#This Row],[Vergoeding]]=1,Tb_Activiteiten[[#Headers],[Vergoeding]],""))</f>
        <v/>
      </c>
      <c r="AZ1027" t="str">
        <f>IF(ISNUMBER(FIND("arbeid",Methode_Keuze)),"",IF(Tb_Activiteiten[[#This Row],[Arbeidskosten - vast tarief (excl eigen arbeid)]]=1,Tb_Activiteiten[[#Headers],[Arbeidskosten - vast tarief (excl eigen arbeid)]],""))</f>
        <v/>
      </c>
      <c r="BA1027" t="str">
        <f>IF(ISNUMBER(FIND("overige",Methode_Keuze)),"",IF(Tb_Activiteiten[[#This Row],[Overige kosten]]=1,Tb_Activiteiten[[#Headers],[Overige kosten]],""))</f>
        <v/>
      </c>
    </row>
    <row r="1028" spans="1:53" x14ac:dyDescent="0.25">
      <c r="A1028" s="139"/>
      <c r="B1028" s="139"/>
      <c r="C1028" s="139"/>
      <c r="D1028" s="139"/>
      <c r="E1028" s="139"/>
      <c r="F1028" s="139"/>
      <c r="G1028" s="139"/>
      <c r="O1028" s="56"/>
      <c r="Q1028" t="str">
        <f>IFERROR(IF(VLOOKUP(Tb_Activiteiten[[#This Row],[Openstelling]],Tb_Openstelling[],2,0)=1,1,""),"")</f>
        <v/>
      </c>
      <c r="AK1028" t="str">
        <f>IF(ISNUMBER(FIND("arbeid",Methode_Keuze)),"",IF(ISNUMBER(FIND("arbeid",Methode_Keuze)),"",IF(Tb_Activiteiten[[#This Row],[Loonkosten]]=1,Tb_Activiteiten[[#Headers],[Loonkosten]],"")))</f>
        <v/>
      </c>
      <c r="AL1028" t="str">
        <f>IF(ISNUMBER(FIND("arbeid",Methode_Keuze)),"",IF(ISNUMBER(FIND("arbeid",Methode_Keuze)),"",IF(Tb_Activiteiten[[#This Row],[Eigen arbeid]]=1,Tb_Activiteiten[[#Headers],[Eigen arbeid]],"")))</f>
        <v/>
      </c>
      <c r="AM1028" t="str">
        <f>IF(ISNUMBER(FIND("arbeid",Methode_Keuze)),"",IF(ISNUMBER(FIND("arbeid",Methode_Keuze)),"",IF(Tb_Activiteiten[[#This Row],[Projectmedewerker]]=1,Tb_Activiteiten[[#Headers],[Projectmedewerker]],"")))</f>
        <v/>
      </c>
      <c r="AN1028" t="str">
        <f>IF(ISNUMBER(FIND("arbeid",Methode_Keuze)),"",IF(ISNUMBER(FIND("arbeid",Methode_Keuze)),"",IF(Tb_Activiteiten[[#This Row],[Landbouwer]]=1,Tb_Activiteiten[[#Headers],[Landbouwer]],"")))</f>
        <v/>
      </c>
      <c r="AO1028" t="str">
        <f>IF(ISNUMBER(FIND("arbeid",Methode_Keuze)),"",IF(ISNUMBER(FIND("arbeid",Methode_Keuze)),"",IF(Tb_Activiteiten[[#This Row],[Adviseur]]=1,Tb_Activiteiten[[#Headers],[Adviseur]],"")))</f>
        <v/>
      </c>
      <c r="AP1028" t="str">
        <f>IF(ISNUMBER(FIND("arbeid",Methode_Keuze)),"",IF(ISNUMBER(FIND("arbeid",Methode_Keuze)),"",IF(Tb_Activiteiten[[#This Row],[Projectleider/Expert]]=1,Tb_Activiteiten[[#Headers],[Projectleider/Expert]],"")))</f>
        <v/>
      </c>
      <c r="AQ1028" t="str">
        <f>IF(ISNUMBER(FIND("arbeid",Methode_Keuze)),"",IF(ISNUMBER(FIND("arbeid",Methode_Keuze)),"",IF(Tb_Activiteiten[[#This Row],[Arbeidskosten]]=1,Tb_Activiteiten[[#Headers],[Arbeidskosten]],"")))</f>
        <v/>
      </c>
      <c r="AR1028" t="str">
        <f>IF(ISNUMBER(FIND("arbeid",Methode_Keuze)),"",IF(ISNUMBER(FIND("arbeid",Methode_Keuze)),"",IF(Tb_Activiteiten[[#This Row],[Arbeidskosten op basis van IKS]]=1,Tb_Activiteiten[[#Headers],[Arbeidskosten op basis van IKS]],"")))</f>
        <v/>
      </c>
      <c r="AS1028" t="str">
        <f>IF(ISNUMBER(FIND("overige",Methode_Keuze)),"",IF(Tb_Activiteiten[[#This Row],[Kosten derden exclusief btw]]=1,Tb_Activiteiten[[#Headers],[Kosten derden exclusief btw]],""))</f>
        <v/>
      </c>
      <c r="AT1028" t="str">
        <f>IF(ISNUMBER(FIND("overige",Methode_Keuze)),"",IF(Tb_Activiteiten[[#This Row],[Niet verrekenbare btw]]=1,Tb_Activiteiten[[#Headers],[Niet verrekenbare btw]],""))</f>
        <v/>
      </c>
      <c r="AU1028" t="str">
        <f>IF(ISNUMBER(FIND("overige",Methode_Keuze)),"",IF(Tb_Activiteiten[[#This Row],[Grondkosten]]=1,Tb_Activiteiten[[#Headers],[Grondkosten]],""))</f>
        <v/>
      </c>
      <c r="AV1028" t="str">
        <f>IF(ISNUMBER(FIND("overige",Methode_Keuze)),"",IF(Tb_Activiteiten[[#This Row],[Bijdrage in natura (overige)]]=1,Tb_Activiteiten[[#Headers],[Bijdrage in natura (overige)]],""))</f>
        <v/>
      </c>
      <c r="AW1028" t="str">
        <f>IF(ISNUMBER(FIND("overige",Methode_Keuze)),"",IF(Tb_Activiteiten[[#This Row],[Bijdrage in natura (vrijwilligers)]]=1,Tb_Activiteiten[[#Headers],[Bijdrage in natura (vrijwilligers)]],""))</f>
        <v/>
      </c>
      <c r="AX1028" t="str">
        <f>IF(ISNUMBER(FIND("overige",Methode_Keuze)),"",IF(Tb_Activiteiten[[#This Row],[Afschrijvingskosten]]=1,Tb_Activiteiten[[#Headers],[Afschrijvingskosten]],""))</f>
        <v/>
      </c>
      <c r="AY1028" t="str">
        <f>IF(ISNUMBER(FIND("overige",Methode_Keuze)),"",IF(Tb_Activiteiten[[#This Row],[Vergoeding]]=1,Tb_Activiteiten[[#Headers],[Vergoeding]],""))</f>
        <v/>
      </c>
      <c r="AZ1028" t="str">
        <f>IF(ISNUMBER(FIND("arbeid",Methode_Keuze)),"",IF(Tb_Activiteiten[[#This Row],[Arbeidskosten - vast tarief (excl eigen arbeid)]]=1,Tb_Activiteiten[[#Headers],[Arbeidskosten - vast tarief (excl eigen arbeid)]],""))</f>
        <v/>
      </c>
      <c r="BA1028" t="str">
        <f>IF(ISNUMBER(FIND("overige",Methode_Keuze)),"",IF(Tb_Activiteiten[[#This Row],[Overige kosten]]=1,Tb_Activiteiten[[#Headers],[Overige kosten]],""))</f>
        <v/>
      </c>
    </row>
    <row r="1029" spans="1:53" x14ac:dyDescent="0.25">
      <c r="A1029" s="139"/>
      <c r="B1029" s="139"/>
      <c r="C1029" s="139"/>
      <c r="D1029" s="139"/>
      <c r="E1029" s="139"/>
      <c r="F1029" s="139"/>
      <c r="G1029" s="139"/>
      <c r="O1029" s="56"/>
      <c r="Q1029" t="str">
        <f>IFERROR(IF(VLOOKUP(Tb_Activiteiten[[#This Row],[Openstelling]],Tb_Openstelling[],2,0)=1,1,""),"")</f>
        <v/>
      </c>
      <c r="AK1029" t="str">
        <f>IF(ISNUMBER(FIND("arbeid",Methode_Keuze)),"",IF(ISNUMBER(FIND("arbeid",Methode_Keuze)),"",IF(Tb_Activiteiten[[#This Row],[Loonkosten]]=1,Tb_Activiteiten[[#Headers],[Loonkosten]],"")))</f>
        <v/>
      </c>
      <c r="AL1029" t="str">
        <f>IF(ISNUMBER(FIND("arbeid",Methode_Keuze)),"",IF(ISNUMBER(FIND("arbeid",Methode_Keuze)),"",IF(Tb_Activiteiten[[#This Row],[Eigen arbeid]]=1,Tb_Activiteiten[[#Headers],[Eigen arbeid]],"")))</f>
        <v/>
      </c>
      <c r="AM1029" t="str">
        <f>IF(ISNUMBER(FIND("arbeid",Methode_Keuze)),"",IF(ISNUMBER(FIND("arbeid",Methode_Keuze)),"",IF(Tb_Activiteiten[[#This Row],[Projectmedewerker]]=1,Tb_Activiteiten[[#Headers],[Projectmedewerker]],"")))</f>
        <v/>
      </c>
      <c r="AN1029" t="str">
        <f>IF(ISNUMBER(FIND("arbeid",Methode_Keuze)),"",IF(ISNUMBER(FIND("arbeid",Methode_Keuze)),"",IF(Tb_Activiteiten[[#This Row],[Landbouwer]]=1,Tb_Activiteiten[[#Headers],[Landbouwer]],"")))</f>
        <v/>
      </c>
      <c r="AO1029" t="str">
        <f>IF(ISNUMBER(FIND("arbeid",Methode_Keuze)),"",IF(ISNUMBER(FIND("arbeid",Methode_Keuze)),"",IF(Tb_Activiteiten[[#This Row],[Adviseur]]=1,Tb_Activiteiten[[#Headers],[Adviseur]],"")))</f>
        <v/>
      </c>
      <c r="AP1029" t="str">
        <f>IF(ISNUMBER(FIND("arbeid",Methode_Keuze)),"",IF(ISNUMBER(FIND("arbeid",Methode_Keuze)),"",IF(Tb_Activiteiten[[#This Row],[Projectleider/Expert]]=1,Tb_Activiteiten[[#Headers],[Projectleider/Expert]],"")))</f>
        <v/>
      </c>
      <c r="AQ1029" t="str">
        <f>IF(ISNUMBER(FIND("arbeid",Methode_Keuze)),"",IF(ISNUMBER(FIND("arbeid",Methode_Keuze)),"",IF(Tb_Activiteiten[[#This Row],[Arbeidskosten]]=1,Tb_Activiteiten[[#Headers],[Arbeidskosten]],"")))</f>
        <v/>
      </c>
      <c r="AR1029" t="str">
        <f>IF(ISNUMBER(FIND("arbeid",Methode_Keuze)),"",IF(ISNUMBER(FIND("arbeid",Methode_Keuze)),"",IF(Tb_Activiteiten[[#This Row],[Arbeidskosten op basis van IKS]]=1,Tb_Activiteiten[[#Headers],[Arbeidskosten op basis van IKS]],"")))</f>
        <v/>
      </c>
      <c r="AS1029" t="str">
        <f>IF(ISNUMBER(FIND("overige",Methode_Keuze)),"",IF(Tb_Activiteiten[[#This Row],[Kosten derden exclusief btw]]=1,Tb_Activiteiten[[#Headers],[Kosten derden exclusief btw]],""))</f>
        <v/>
      </c>
      <c r="AT1029" t="str">
        <f>IF(ISNUMBER(FIND("overige",Methode_Keuze)),"",IF(Tb_Activiteiten[[#This Row],[Niet verrekenbare btw]]=1,Tb_Activiteiten[[#Headers],[Niet verrekenbare btw]],""))</f>
        <v/>
      </c>
      <c r="AU1029" t="str">
        <f>IF(ISNUMBER(FIND("overige",Methode_Keuze)),"",IF(Tb_Activiteiten[[#This Row],[Grondkosten]]=1,Tb_Activiteiten[[#Headers],[Grondkosten]],""))</f>
        <v/>
      </c>
      <c r="AV1029" t="str">
        <f>IF(ISNUMBER(FIND("overige",Methode_Keuze)),"",IF(Tb_Activiteiten[[#This Row],[Bijdrage in natura (overige)]]=1,Tb_Activiteiten[[#Headers],[Bijdrage in natura (overige)]],""))</f>
        <v/>
      </c>
      <c r="AW1029" t="str">
        <f>IF(ISNUMBER(FIND("overige",Methode_Keuze)),"",IF(Tb_Activiteiten[[#This Row],[Bijdrage in natura (vrijwilligers)]]=1,Tb_Activiteiten[[#Headers],[Bijdrage in natura (vrijwilligers)]],""))</f>
        <v/>
      </c>
      <c r="AX1029" t="str">
        <f>IF(ISNUMBER(FIND("overige",Methode_Keuze)),"",IF(Tb_Activiteiten[[#This Row],[Afschrijvingskosten]]=1,Tb_Activiteiten[[#Headers],[Afschrijvingskosten]],""))</f>
        <v/>
      </c>
      <c r="AY1029" t="str">
        <f>IF(ISNUMBER(FIND("overige",Methode_Keuze)),"",IF(Tb_Activiteiten[[#This Row],[Vergoeding]]=1,Tb_Activiteiten[[#Headers],[Vergoeding]],""))</f>
        <v/>
      </c>
      <c r="AZ1029" t="str">
        <f>IF(ISNUMBER(FIND("arbeid",Methode_Keuze)),"",IF(Tb_Activiteiten[[#This Row],[Arbeidskosten - vast tarief (excl eigen arbeid)]]=1,Tb_Activiteiten[[#Headers],[Arbeidskosten - vast tarief (excl eigen arbeid)]],""))</f>
        <v/>
      </c>
      <c r="BA1029" t="str">
        <f>IF(ISNUMBER(FIND("overige",Methode_Keuze)),"",IF(Tb_Activiteiten[[#This Row],[Overige kosten]]=1,Tb_Activiteiten[[#Headers],[Overige kosten]],""))</f>
        <v/>
      </c>
    </row>
    <row r="1030" spans="1:53" x14ac:dyDescent="0.25">
      <c r="A1030" s="139"/>
      <c r="B1030" s="139"/>
      <c r="C1030" s="139"/>
      <c r="D1030" s="139"/>
      <c r="E1030" s="139"/>
      <c r="F1030" s="139"/>
      <c r="G1030" s="139"/>
      <c r="O1030" s="56"/>
      <c r="Q1030" t="str">
        <f>IFERROR(IF(VLOOKUP(Tb_Activiteiten[[#This Row],[Openstelling]],Tb_Openstelling[],2,0)=1,1,""),"")</f>
        <v/>
      </c>
      <c r="AK1030" t="str">
        <f>IF(ISNUMBER(FIND("arbeid",Methode_Keuze)),"",IF(ISNUMBER(FIND("arbeid",Methode_Keuze)),"",IF(Tb_Activiteiten[[#This Row],[Loonkosten]]=1,Tb_Activiteiten[[#Headers],[Loonkosten]],"")))</f>
        <v/>
      </c>
      <c r="AL1030" t="str">
        <f>IF(ISNUMBER(FIND("arbeid",Methode_Keuze)),"",IF(ISNUMBER(FIND("arbeid",Methode_Keuze)),"",IF(Tb_Activiteiten[[#This Row],[Eigen arbeid]]=1,Tb_Activiteiten[[#Headers],[Eigen arbeid]],"")))</f>
        <v/>
      </c>
      <c r="AM1030" t="str">
        <f>IF(ISNUMBER(FIND("arbeid",Methode_Keuze)),"",IF(ISNUMBER(FIND("arbeid",Methode_Keuze)),"",IF(Tb_Activiteiten[[#This Row],[Projectmedewerker]]=1,Tb_Activiteiten[[#Headers],[Projectmedewerker]],"")))</f>
        <v/>
      </c>
      <c r="AN1030" t="str">
        <f>IF(ISNUMBER(FIND("arbeid",Methode_Keuze)),"",IF(ISNUMBER(FIND("arbeid",Methode_Keuze)),"",IF(Tb_Activiteiten[[#This Row],[Landbouwer]]=1,Tb_Activiteiten[[#Headers],[Landbouwer]],"")))</f>
        <v/>
      </c>
      <c r="AO1030" t="str">
        <f>IF(ISNUMBER(FIND("arbeid",Methode_Keuze)),"",IF(ISNUMBER(FIND("arbeid",Methode_Keuze)),"",IF(Tb_Activiteiten[[#This Row],[Adviseur]]=1,Tb_Activiteiten[[#Headers],[Adviseur]],"")))</f>
        <v/>
      </c>
      <c r="AP1030" t="str">
        <f>IF(ISNUMBER(FIND("arbeid",Methode_Keuze)),"",IF(ISNUMBER(FIND("arbeid",Methode_Keuze)),"",IF(Tb_Activiteiten[[#This Row],[Projectleider/Expert]]=1,Tb_Activiteiten[[#Headers],[Projectleider/Expert]],"")))</f>
        <v/>
      </c>
      <c r="AQ1030" t="str">
        <f>IF(ISNUMBER(FIND("arbeid",Methode_Keuze)),"",IF(ISNUMBER(FIND("arbeid",Methode_Keuze)),"",IF(Tb_Activiteiten[[#This Row],[Arbeidskosten]]=1,Tb_Activiteiten[[#Headers],[Arbeidskosten]],"")))</f>
        <v/>
      </c>
      <c r="AR1030" t="str">
        <f>IF(ISNUMBER(FIND("arbeid",Methode_Keuze)),"",IF(ISNUMBER(FIND("arbeid",Methode_Keuze)),"",IF(Tb_Activiteiten[[#This Row],[Arbeidskosten op basis van IKS]]=1,Tb_Activiteiten[[#Headers],[Arbeidskosten op basis van IKS]],"")))</f>
        <v/>
      </c>
      <c r="AS1030" t="str">
        <f>IF(ISNUMBER(FIND("overige",Methode_Keuze)),"",IF(Tb_Activiteiten[[#This Row],[Kosten derden exclusief btw]]=1,Tb_Activiteiten[[#Headers],[Kosten derden exclusief btw]],""))</f>
        <v/>
      </c>
      <c r="AT1030" t="str">
        <f>IF(ISNUMBER(FIND("overige",Methode_Keuze)),"",IF(Tb_Activiteiten[[#This Row],[Niet verrekenbare btw]]=1,Tb_Activiteiten[[#Headers],[Niet verrekenbare btw]],""))</f>
        <v/>
      </c>
      <c r="AU1030" t="str">
        <f>IF(ISNUMBER(FIND("overige",Methode_Keuze)),"",IF(Tb_Activiteiten[[#This Row],[Grondkosten]]=1,Tb_Activiteiten[[#Headers],[Grondkosten]],""))</f>
        <v/>
      </c>
      <c r="AV1030" t="str">
        <f>IF(ISNUMBER(FIND("overige",Methode_Keuze)),"",IF(Tb_Activiteiten[[#This Row],[Bijdrage in natura (overige)]]=1,Tb_Activiteiten[[#Headers],[Bijdrage in natura (overige)]],""))</f>
        <v/>
      </c>
      <c r="AW1030" t="str">
        <f>IF(ISNUMBER(FIND("overige",Methode_Keuze)),"",IF(Tb_Activiteiten[[#This Row],[Bijdrage in natura (vrijwilligers)]]=1,Tb_Activiteiten[[#Headers],[Bijdrage in natura (vrijwilligers)]],""))</f>
        <v/>
      </c>
      <c r="AX1030" t="str">
        <f>IF(ISNUMBER(FIND("overige",Methode_Keuze)),"",IF(Tb_Activiteiten[[#This Row],[Afschrijvingskosten]]=1,Tb_Activiteiten[[#Headers],[Afschrijvingskosten]],""))</f>
        <v/>
      </c>
      <c r="AY1030" t="str">
        <f>IF(ISNUMBER(FIND("overige",Methode_Keuze)),"",IF(Tb_Activiteiten[[#This Row],[Vergoeding]]=1,Tb_Activiteiten[[#Headers],[Vergoeding]],""))</f>
        <v/>
      </c>
      <c r="AZ1030" t="str">
        <f>IF(ISNUMBER(FIND("arbeid",Methode_Keuze)),"",IF(Tb_Activiteiten[[#This Row],[Arbeidskosten - vast tarief (excl eigen arbeid)]]=1,Tb_Activiteiten[[#Headers],[Arbeidskosten - vast tarief (excl eigen arbeid)]],""))</f>
        <v/>
      </c>
      <c r="BA1030" t="str">
        <f>IF(ISNUMBER(FIND("overige",Methode_Keuze)),"",IF(Tb_Activiteiten[[#This Row],[Overige kosten]]=1,Tb_Activiteiten[[#Headers],[Overige kosten]],""))</f>
        <v/>
      </c>
    </row>
    <row r="1031" spans="1:53" x14ac:dyDescent="0.25">
      <c r="A1031" s="139"/>
      <c r="B1031" s="139"/>
      <c r="C1031" s="139"/>
      <c r="D1031" s="139"/>
      <c r="E1031" s="139"/>
      <c r="F1031" s="139"/>
      <c r="G1031" s="139"/>
      <c r="O1031" s="56"/>
      <c r="Q1031" t="str">
        <f>IFERROR(IF(VLOOKUP(Tb_Activiteiten[[#This Row],[Openstelling]],Tb_Openstelling[],2,0)=1,1,""),"")</f>
        <v/>
      </c>
      <c r="AK1031" t="str">
        <f>IF(ISNUMBER(FIND("arbeid",Methode_Keuze)),"",IF(ISNUMBER(FIND("arbeid",Methode_Keuze)),"",IF(Tb_Activiteiten[[#This Row],[Loonkosten]]=1,Tb_Activiteiten[[#Headers],[Loonkosten]],"")))</f>
        <v/>
      </c>
      <c r="AL1031" t="str">
        <f>IF(ISNUMBER(FIND("arbeid",Methode_Keuze)),"",IF(ISNUMBER(FIND("arbeid",Methode_Keuze)),"",IF(Tb_Activiteiten[[#This Row],[Eigen arbeid]]=1,Tb_Activiteiten[[#Headers],[Eigen arbeid]],"")))</f>
        <v/>
      </c>
      <c r="AM1031" t="str">
        <f>IF(ISNUMBER(FIND("arbeid",Methode_Keuze)),"",IF(ISNUMBER(FIND("arbeid",Methode_Keuze)),"",IF(Tb_Activiteiten[[#This Row],[Projectmedewerker]]=1,Tb_Activiteiten[[#Headers],[Projectmedewerker]],"")))</f>
        <v/>
      </c>
      <c r="AN1031" t="str">
        <f>IF(ISNUMBER(FIND("arbeid",Methode_Keuze)),"",IF(ISNUMBER(FIND("arbeid",Methode_Keuze)),"",IF(Tb_Activiteiten[[#This Row],[Landbouwer]]=1,Tb_Activiteiten[[#Headers],[Landbouwer]],"")))</f>
        <v/>
      </c>
      <c r="AO1031" t="str">
        <f>IF(ISNUMBER(FIND("arbeid",Methode_Keuze)),"",IF(ISNUMBER(FIND("arbeid",Methode_Keuze)),"",IF(Tb_Activiteiten[[#This Row],[Adviseur]]=1,Tb_Activiteiten[[#Headers],[Adviseur]],"")))</f>
        <v/>
      </c>
      <c r="AP1031" t="str">
        <f>IF(ISNUMBER(FIND("arbeid",Methode_Keuze)),"",IF(ISNUMBER(FIND("arbeid",Methode_Keuze)),"",IF(Tb_Activiteiten[[#This Row],[Projectleider/Expert]]=1,Tb_Activiteiten[[#Headers],[Projectleider/Expert]],"")))</f>
        <v/>
      </c>
      <c r="AQ1031" t="str">
        <f>IF(ISNUMBER(FIND("arbeid",Methode_Keuze)),"",IF(ISNUMBER(FIND("arbeid",Methode_Keuze)),"",IF(Tb_Activiteiten[[#This Row],[Arbeidskosten]]=1,Tb_Activiteiten[[#Headers],[Arbeidskosten]],"")))</f>
        <v/>
      </c>
      <c r="AR1031" t="str">
        <f>IF(ISNUMBER(FIND("arbeid",Methode_Keuze)),"",IF(ISNUMBER(FIND("arbeid",Methode_Keuze)),"",IF(Tb_Activiteiten[[#This Row],[Arbeidskosten op basis van IKS]]=1,Tb_Activiteiten[[#Headers],[Arbeidskosten op basis van IKS]],"")))</f>
        <v/>
      </c>
      <c r="AS1031" t="str">
        <f>IF(ISNUMBER(FIND("overige",Methode_Keuze)),"",IF(Tb_Activiteiten[[#This Row],[Kosten derden exclusief btw]]=1,Tb_Activiteiten[[#Headers],[Kosten derden exclusief btw]],""))</f>
        <v/>
      </c>
      <c r="AT1031" t="str">
        <f>IF(ISNUMBER(FIND("overige",Methode_Keuze)),"",IF(Tb_Activiteiten[[#This Row],[Niet verrekenbare btw]]=1,Tb_Activiteiten[[#Headers],[Niet verrekenbare btw]],""))</f>
        <v/>
      </c>
      <c r="AU1031" t="str">
        <f>IF(ISNUMBER(FIND("overige",Methode_Keuze)),"",IF(Tb_Activiteiten[[#This Row],[Grondkosten]]=1,Tb_Activiteiten[[#Headers],[Grondkosten]],""))</f>
        <v/>
      </c>
      <c r="AV1031" t="str">
        <f>IF(ISNUMBER(FIND("overige",Methode_Keuze)),"",IF(Tb_Activiteiten[[#This Row],[Bijdrage in natura (overige)]]=1,Tb_Activiteiten[[#Headers],[Bijdrage in natura (overige)]],""))</f>
        <v/>
      </c>
      <c r="AW1031" t="str">
        <f>IF(ISNUMBER(FIND("overige",Methode_Keuze)),"",IF(Tb_Activiteiten[[#This Row],[Bijdrage in natura (vrijwilligers)]]=1,Tb_Activiteiten[[#Headers],[Bijdrage in natura (vrijwilligers)]],""))</f>
        <v/>
      </c>
      <c r="AX1031" t="str">
        <f>IF(ISNUMBER(FIND("overige",Methode_Keuze)),"",IF(Tb_Activiteiten[[#This Row],[Afschrijvingskosten]]=1,Tb_Activiteiten[[#Headers],[Afschrijvingskosten]],""))</f>
        <v/>
      </c>
      <c r="AY1031" t="str">
        <f>IF(ISNUMBER(FIND("overige",Methode_Keuze)),"",IF(Tb_Activiteiten[[#This Row],[Vergoeding]]=1,Tb_Activiteiten[[#Headers],[Vergoeding]],""))</f>
        <v/>
      </c>
      <c r="AZ1031" t="str">
        <f>IF(ISNUMBER(FIND("arbeid",Methode_Keuze)),"",IF(Tb_Activiteiten[[#This Row],[Arbeidskosten - vast tarief (excl eigen arbeid)]]=1,Tb_Activiteiten[[#Headers],[Arbeidskosten - vast tarief (excl eigen arbeid)]],""))</f>
        <v/>
      </c>
      <c r="BA1031" t="str">
        <f>IF(ISNUMBER(FIND("overige",Methode_Keuze)),"",IF(Tb_Activiteiten[[#This Row],[Overige kosten]]=1,Tb_Activiteiten[[#Headers],[Overige kosten]],""))</f>
        <v/>
      </c>
    </row>
    <row r="1032" spans="1:53" x14ac:dyDescent="0.25">
      <c r="A1032" s="139"/>
      <c r="B1032" s="139"/>
      <c r="C1032" s="139"/>
      <c r="D1032" s="139"/>
      <c r="E1032" s="139"/>
      <c r="F1032" s="139"/>
      <c r="G1032" s="139"/>
      <c r="O1032" s="56"/>
      <c r="Q1032" t="str">
        <f>IFERROR(IF(VLOOKUP(Tb_Activiteiten[[#This Row],[Openstelling]],Tb_Openstelling[],2,0)=1,1,""),"")</f>
        <v/>
      </c>
      <c r="AK1032" t="str">
        <f>IF(ISNUMBER(FIND("arbeid",Methode_Keuze)),"",IF(ISNUMBER(FIND("arbeid",Methode_Keuze)),"",IF(Tb_Activiteiten[[#This Row],[Loonkosten]]=1,Tb_Activiteiten[[#Headers],[Loonkosten]],"")))</f>
        <v/>
      </c>
      <c r="AL1032" t="str">
        <f>IF(ISNUMBER(FIND("arbeid",Methode_Keuze)),"",IF(ISNUMBER(FIND("arbeid",Methode_Keuze)),"",IF(Tb_Activiteiten[[#This Row],[Eigen arbeid]]=1,Tb_Activiteiten[[#Headers],[Eigen arbeid]],"")))</f>
        <v/>
      </c>
      <c r="AM1032" t="str">
        <f>IF(ISNUMBER(FIND("arbeid",Methode_Keuze)),"",IF(ISNUMBER(FIND("arbeid",Methode_Keuze)),"",IF(Tb_Activiteiten[[#This Row],[Projectmedewerker]]=1,Tb_Activiteiten[[#Headers],[Projectmedewerker]],"")))</f>
        <v/>
      </c>
      <c r="AN1032" t="str">
        <f>IF(ISNUMBER(FIND("arbeid",Methode_Keuze)),"",IF(ISNUMBER(FIND("arbeid",Methode_Keuze)),"",IF(Tb_Activiteiten[[#This Row],[Landbouwer]]=1,Tb_Activiteiten[[#Headers],[Landbouwer]],"")))</f>
        <v/>
      </c>
      <c r="AO1032" t="str">
        <f>IF(ISNUMBER(FIND("arbeid",Methode_Keuze)),"",IF(ISNUMBER(FIND("arbeid",Methode_Keuze)),"",IF(Tb_Activiteiten[[#This Row],[Adviseur]]=1,Tb_Activiteiten[[#Headers],[Adviseur]],"")))</f>
        <v/>
      </c>
      <c r="AP1032" t="str">
        <f>IF(ISNUMBER(FIND("arbeid",Methode_Keuze)),"",IF(ISNUMBER(FIND("arbeid",Methode_Keuze)),"",IF(Tb_Activiteiten[[#This Row],[Projectleider/Expert]]=1,Tb_Activiteiten[[#Headers],[Projectleider/Expert]],"")))</f>
        <v/>
      </c>
      <c r="AQ1032" t="str">
        <f>IF(ISNUMBER(FIND("arbeid",Methode_Keuze)),"",IF(ISNUMBER(FIND("arbeid",Methode_Keuze)),"",IF(Tb_Activiteiten[[#This Row],[Arbeidskosten]]=1,Tb_Activiteiten[[#Headers],[Arbeidskosten]],"")))</f>
        <v/>
      </c>
      <c r="AR1032" t="str">
        <f>IF(ISNUMBER(FIND("arbeid",Methode_Keuze)),"",IF(ISNUMBER(FIND("arbeid",Methode_Keuze)),"",IF(Tb_Activiteiten[[#This Row],[Arbeidskosten op basis van IKS]]=1,Tb_Activiteiten[[#Headers],[Arbeidskosten op basis van IKS]],"")))</f>
        <v/>
      </c>
      <c r="AS1032" t="str">
        <f>IF(ISNUMBER(FIND("overige",Methode_Keuze)),"",IF(Tb_Activiteiten[[#This Row],[Kosten derden exclusief btw]]=1,Tb_Activiteiten[[#Headers],[Kosten derden exclusief btw]],""))</f>
        <v/>
      </c>
      <c r="AT1032" t="str">
        <f>IF(ISNUMBER(FIND("overige",Methode_Keuze)),"",IF(Tb_Activiteiten[[#This Row],[Niet verrekenbare btw]]=1,Tb_Activiteiten[[#Headers],[Niet verrekenbare btw]],""))</f>
        <v/>
      </c>
      <c r="AU1032" t="str">
        <f>IF(ISNUMBER(FIND("overige",Methode_Keuze)),"",IF(Tb_Activiteiten[[#This Row],[Grondkosten]]=1,Tb_Activiteiten[[#Headers],[Grondkosten]],""))</f>
        <v/>
      </c>
      <c r="AV1032" t="str">
        <f>IF(ISNUMBER(FIND("overige",Methode_Keuze)),"",IF(Tb_Activiteiten[[#This Row],[Bijdrage in natura (overige)]]=1,Tb_Activiteiten[[#Headers],[Bijdrage in natura (overige)]],""))</f>
        <v/>
      </c>
      <c r="AW1032" t="str">
        <f>IF(ISNUMBER(FIND("overige",Methode_Keuze)),"",IF(Tb_Activiteiten[[#This Row],[Bijdrage in natura (vrijwilligers)]]=1,Tb_Activiteiten[[#Headers],[Bijdrage in natura (vrijwilligers)]],""))</f>
        <v/>
      </c>
      <c r="AX1032" t="str">
        <f>IF(ISNUMBER(FIND("overige",Methode_Keuze)),"",IF(Tb_Activiteiten[[#This Row],[Afschrijvingskosten]]=1,Tb_Activiteiten[[#Headers],[Afschrijvingskosten]],""))</f>
        <v/>
      </c>
      <c r="AY1032" t="str">
        <f>IF(ISNUMBER(FIND("overige",Methode_Keuze)),"",IF(Tb_Activiteiten[[#This Row],[Vergoeding]]=1,Tb_Activiteiten[[#Headers],[Vergoeding]],""))</f>
        <v/>
      </c>
      <c r="AZ1032" t="str">
        <f>IF(ISNUMBER(FIND("arbeid",Methode_Keuze)),"",IF(Tb_Activiteiten[[#This Row],[Arbeidskosten - vast tarief (excl eigen arbeid)]]=1,Tb_Activiteiten[[#Headers],[Arbeidskosten - vast tarief (excl eigen arbeid)]],""))</f>
        <v/>
      </c>
      <c r="BA1032" t="str">
        <f>IF(ISNUMBER(FIND("overige",Methode_Keuze)),"",IF(Tb_Activiteiten[[#This Row],[Overige kosten]]=1,Tb_Activiteiten[[#Headers],[Overige kosten]],""))</f>
        <v/>
      </c>
    </row>
    <row r="1033" spans="1:53" x14ac:dyDescent="0.25">
      <c r="A1033" s="139"/>
      <c r="B1033" s="139"/>
      <c r="C1033" s="139"/>
      <c r="D1033" s="139"/>
      <c r="E1033" s="139"/>
      <c r="F1033" s="139"/>
      <c r="G1033" s="139"/>
      <c r="O1033" s="56"/>
      <c r="Q1033" t="str">
        <f>IFERROR(IF(VLOOKUP(Tb_Activiteiten[[#This Row],[Openstelling]],Tb_Openstelling[],2,0)=1,1,""),"")</f>
        <v/>
      </c>
      <c r="AK1033" t="str">
        <f>IF(ISNUMBER(FIND("arbeid",Methode_Keuze)),"",IF(ISNUMBER(FIND("arbeid",Methode_Keuze)),"",IF(Tb_Activiteiten[[#This Row],[Loonkosten]]=1,Tb_Activiteiten[[#Headers],[Loonkosten]],"")))</f>
        <v/>
      </c>
      <c r="AL1033" t="str">
        <f>IF(ISNUMBER(FIND("arbeid",Methode_Keuze)),"",IF(ISNUMBER(FIND("arbeid",Methode_Keuze)),"",IF(Tb_Activiteiten[[#This Row],[Eigen arbeid]]=1,Tb_Activiteiten[[#Headers],[Eigen arbeid]],"")))</f>
        <v/>
      </c>
      <c r="AM1033" t="str">
        <f>IF(ISNUMBER(FIND("arbeid",Methode_Keuze)),"",IF(ISNUMBER(FIND("arbeid",Methode_Keuze)),"",IF(Tb_Activiteiten[[#This Row],[Projectmedewerker]]=1,Tb_Activiteiten[[#Headers],[Projectmedewerker]],"")))</f>
        <v/>
      </c>
      <c r="AN1033" t="str">
        <f>IF(ISNUMBER(FIND("arbeid",Methode_Keuze)),"",IF(ISNUMBER(FIND("arbeid",Methode_Keuze)),"",IF(Tb_Activiteiten[[#This Row],[Landbouwer]]=1,Tb_Activiteiten[[#Headers],[Landbouwer]],"")))</f>
        <v/>
      </c>
      <c r="AO1033" t="str">
        <f>IF(ISNUMBER(FIND("arbeid",Methode_Keuze)),"",IF(ISNUMBER(FIND("arbeid",Methode_Keuze)),"",IF(Tb_Activiteiten[[#This Row],[Adviseur]]=1,Tb_Activiteiten[[#Headers],[Adviseur]],"")))</f>
        <v/>
      </c>
      <c r="AP1033" t="str">
        <f>IF(ISNUMBER(FIND("arbeid",Methode_Keuze)),"",IF(ISNUMBER(FIND("arbeid",Methode_Keuze)),"",IF(Tb_Activiteiten[[#This Row],[Projectleider/Expert]]=1,Tb_Activiteiten[[#Headers],[Projectleider/Expert]],"")))</f>
        <v/>
      </c>
      <c r="AQ1033" t="str">
        <f>IF(ISNUMBER(FIND("arbeid",Methode_Keuze)),"",IF(ISNUMBER(FIND("arbeid",Methode_Keuze)),"",IF(Tb_Activiteiten[[#This Row],[Arbeidskosten]]=1,Tb_Activiteiten[[#Headers],[Arbeidskosten]],"")))</f>
        <v/>
      </c>
      <c r="AR1033" t="str">
        <f>IF(ISNUMBER(FIND("arbeid",Methode_Keuze)),"",IF(ISNUMBER(FIND("arbeid",Methode_Keuze)),"",IF(Tb_Activiteiten[[#This Row],[Arbeidskosten op basis van IKS]]=1,Tb_Activiteiten[[#Headers],[Arbeidskosten op basis van IKS]],"")))</f>
        <v/>
      </c>
      <c r="AS1033" t="str">
        <f>IF(ISNUMBER(FIND("overige",Methode_Keuze)),"",IF(Tb_Activiteiten[[#This Row],[Kosten derden exclusief btw]]=1,Tb_Activiteiten[[#Headers],[Kosten derden exclusief btw]],""))</f>
        <v/>
      </c>
      <c r="AT1033" t="str">
        <f>IF(ISNUMBER(FIND("overige",Methode_Keuze)),"",IF(Tb_Activiteiten[[#This Row],[Niet verrekenbare btw]]=1,Tb_Activiteiten[[#Headers],[Niet verrekenbare btw]],""))</f>
        <v/>
      </c>
      <c r="AU1033" t="str">
        <f>IF(ISNUMBER(FIND("overige",Methode_Keuze)),"",IF(Tb_Activiteiten[[#This Row],[Grondkosten]]=1,Tb_Activiteiten[[#Headers],[Grondkosten]],""))</f>
        <v/>
      </c>
      <c r="AV1033" t="str">
        <f>IF(ISNUMBER(FIND("overige",Methode_Keuze)),"",IF(Tb_Activiteiten[[#This Row],[Bijdrage in natura (overige)]]=1,Tb_Activiteiten[[#Headers],[Bijdrage in natura (overige)]],""))</f>
        <v/>
      </c>
      <c r="AW1033" t="str">
        <f>IF(ISNUMBER(FIND("overige",Methode_Keuze)),"",IF(Tb_Activiteiten[[#This Row],[Bijdrage in natura (vrijwilligers)]]=1,Tb_Activiteiten[[#Headers],[Bijdrage in natura (vrijwilligers)]],""))</f>
        <v/>
      </c>
      <c r="AX1033" t="str">
        <f>IF(ISNUMBER(FIND("overige",Methode_Keuze)),"",IF(Tb_Activiteiten[[#This Row],[Afschrijvingskosten]]=1,Tb_Activiteiten[[#Headers],[Afschrijvingskosten]],""))</f>
        <v/>
      </c>
      <c r="AY1033" t="str">
        <f>IF(ISNUMBER(FIND("overige",Methode_Keuze)),"",IF(Tb_Activiteiten[[#This Row],[Vergoeding]]=1,Tb_Activiteiten[[#Headers],[Vergoeding]],""))</f>
        <v/>
      </c>
      <c r="AZ1033" t="str">
        <f>IF(ISNUMBER(FIND("arbeid",Methode_Keuze)),"",IF(Tb_Activiteiten[[#This Row],[Arbeidskosten - vast tarief (excl eigen arbeid)]]=1,Tb_Activiteiten[[#Headers],[Arbeidskosten - vast tarief (excl eigen arbeid)]],""))</f>
        <v/>
      </c>
      <c r="BA1033" t="str">
        <f>IF(ISNUMBER(FIND("overige",Methode_Keuze)),"",IF(Tb_Activiteiten[[#This Row],[Overige kosten]]=1,Tb_Activiteiten[[#Headers],[Overige kosten]],""))</f>
        <v/>
      </c>
    </row>
    <row r="1034" spans="1:53" x14ac:dyDescent="0.25">
      <c r="A1034" s="139"/>
      <c r="B1034" s="139"/>
      <c r="C1034" s="139"/>
      <c r="D1034" s="139"/>
      <c r="E1034" s="139"/>
      <c r="F1034" s="139"/>
      <c r="G1034" s="139"/>
      <c r="O1034" s="56"/>
      <c r="Q1034" t="str">
        <f>IFERROR(IF(VLOOKUP(Tb_Activiteiten[[#This Row],[Openstelling]],Tb_Openstelling[],2,0)=1,1,""),"")</f>
        <v/>
      </c>
      <c r="AK1034" t="str">
        <f>IF(ISNUMBER(FIND("arbeid",Methode_Keuze)),"",IF(ISNUMBER(FIND("arbeid",Methode_Keuze)),"",IF(Tb_Activiteiten[[#This Row],[Loonkosten]]=1,Tb_Activiteiten[[#Headers],[Loonkosten]],"")))</f>
        <v/>
      </c>
      <c r="AL1034" t="str">
        <f>IF(ISNUMBER(FIND("arbeid",Methode_Keuze)),"",IF(ISNUMBER(FIND("arbeid",Methode_Keuze)),"",IF(Tb_Activiteiten[[#This Row],[Eigen arbeid]]=1,Tb_Activiteiten[[#Headers],[Eigen arbeid]],"")))</f>
        <v/>
      </c>
      <c r="AM1034" t="str">
        <f>IF(ISNUMBER(FIND("arbeid",Methode_Keuze)),"",IF(ISNUMBER(FIND("arbeid",Methode_Keuze)),"",IF(Tb_Activiteiten[[#This Row],[Projectmedewerker]]=1,Tb_Activiteiten[[#Headers],[Projectmedewerker]],"")))</f>
        <v/>
      </c>
      <c r="AN1034" t="str">
        <f>IF(ISNUMBER(FIND("arbeid",Methode_Keuze)),"",IF(ISNUMBER(FIND("arbeid",Methode_Keuze)),"",IF(Tb_Activiteiten[[#This Row],[Landbouwer]]=1,Tb_Activiteiten[[#Headers],[Landbouwer]],"")))</f>
        <v/>
      </c>
      <c r="AO1034" t="str">
        <f>IF(ISNUMBER(FIND("arbeid",Methode_Keuze)),"",IF(ISNUMBER(FIND("arbeid",Methode_Keuze)),"",IF(Tb_Activiteiten[[#This Row],[Adviseur]]=1,Tb_Activiteiten[[#Headers],[Adviseur]],"")))</f>
        <v/>
      </c>
      <c r="AP1034" t="str">
        <f>IF(ISNUMBER(FIND("arbeid",Methode_Keuze)),"",IF(ISNUMBER(FIND("arbeid",Methode_Keuze)),"",IF(Tb_Activiteiten[[#This Row],[Projectleider/Expert]]=1,Tb_Activiteiten[[#Headers],[Projectleider/Expert]],"")))</f>
        <v/>
      </c>
      <c r="AQ1034" t="str">
        <f>IF(ISNUMBER(FIND("arbeid",Methode_Keuze)),"",IF(ISNUMBER(FIND("arbeid",Methode_Keuze)),"",IF(Tb_Activiteiten[[#This Row],[Arbeidskosten]]=1,Tb_Activiteiten[[#Headers],[Arbeidskosten]],"")))</f>
        <v/>
      </c>
      <c r="AR1034" t="str">
        <f>IF(ISNUMBER(FIND("arbeid",Methode_Keuze)),"",IF(ISNUMBER(FIND("arbeid",Methode_Keuze)),"",IF(Tb_Activiteiten[[#This Row],[Arbeidskosten op basis van IKS]]=1,Tb_Activiteiten[[#Headers],[Arbeidskosten op basis van IKS]],"")))</f>
        <v/>
      </c>
      <c r="AS1034" t="str">
        <f>IF(ISNUMBER(FIND("overige",Methode_Keuze)),"",IF(Tb_Activiteiten[[#This Row],[Kosten derden exclusief btw]]=1,Tb_Activiteiten[[#Headers],[Kosten derden exclusief btw]],""))</f>
        <v/>
      </c>
      <c r="AT1034" t="str">
        <f>IF(ISNUMBER(FIND("overige",Methode_Keuze)),"",IF(Tb_Activiteiten[[#This Row],[Niet verrekenbare btw]]=1,Tb_Activiteiten[[#Headers],[Niet verrekenbare btw]],""))</f>
        <v/>
      </c>
      <c r="AU1034" t="str">
        <f>IF(ISNUMBER(FIND("overige",Methode_Keuze)),"",IF(Tb_Activiteiten[[#This Row],[Grondkosten]]=1,Tb_Activiteiten[[#Headers],[Grondkosten]],""))</f>
        <v/>
      </c>
      <c r="AV1034" t="str">
        <f>IF(ISNUMBER(FIND("overige",Methode_Keuze)),"",IF(Tb_Activiteiten[[#This Row],[Bijdrage in natura (overige)]]=1,Tb_Activiteiten[[#Headers],[Bijdrage in natura (overige)]],""))</f>
        <v/>
      </c>
      <c r="AW1034" t="str">
        <f>IF(ISNUMBER(FIND("overige",Methode_Keuze)),"",IF(Tb_Activiteiten[[#This Row],[Bijdrage in natura (vrijwilligers)]]=1,Tb_Activiteiten[[#Headers],[Bijdrage in natura (vrijwilligers)]],""))</f>
        <v/>
      </c>
      <c r="AX1034" t="str">
        <f>IF(ISNUMBER(FIND("overige",Methode_Keuze)),"",IF(Tb_Activiteiten[[#This Row],[Afschrijvingskosten]]=1,Tb_Activiteiten[[#Headers],[Afschrijvingskosten]],""))</f>
        <v/>
      </c>
      <c r="AY1034" t="str">
        <f>IF(ISNUMBER(FIND("overige",Methode_Keuze)),"",IF(Tb_Activiteiten[[#This Row],[Vergoeding]]=1,Tb_Activiteiten[[#Headers],[Vergoeding]],""))</f>
        <v/>
      </c>
      <c r="AZ1034" t="str">
        <f>IF(ISNUMBER(FIND("arbeid",Methode_Keuze)),"",IF(Tb_Activiteiten[[#This Row],[Arbeidskosten - vast tarief (excl eigen arbeid)]]=1,Tb_Activiteiten[[#Headers],[Arbeidskosten - vast tarief (excl eigen arbeid)]],""))</f>
        <v/>
      </c>
      <c r="BA1034" t="str">
        <f>IF(ISNUMBER(FIND("overige",Methode_Keuze)),"",IF(Tb_Activiteiten[[#This Row],[Overige kosten]]=1,Tb_Activiteiten[[#Headers],[Overige kosten]],""))</f>
        <v/>
      </c>
    </row>
    <row r="1035" spans="1:53" x14ac:dyDescent="0.25">
      <c r="A1035" s="139"/>
      <c r="B1035" s="139"/>
      <c r="C1035" s="139"/>
      <c r="D1035" s="139"/>
      <c r="E1035" s="139"/>
      <c r="F1035" s="139"/>
      <c r="G1035" s="139"/>
      <c r="O1035" s="56"/>
      <c r="Q1035" t="str">
        <f>IFERROR(IF(VLOOKUP(Tb_Activiteiten[[#This Row],[Openstelling]],Tb_Openstelling[],2,0)=1,1,""),"")</f>
        <v/>
      </c>
      <c r="AK1035" t="str">
        <f>IF(ISNUMBER(FIND("arbeid",Methode_Keuze)),"",IF(ISNUMBER(FIND("arbeid",Methode_Keuze)),"",IF(Tb_Activiteiten[[#This Row],[Loonkosten]]=1,Tb_Activiteiten[[#Headers],[Loonkosten]],"")))</f>
        <v/>
      </c>
      <c r="AL1035" t="str">
        <f>IF(ISNUMBER(FIND("arbeid",Methode_Keuze)),"",IF(ISNUMBER(FIND("arbeid",Methode_Keuze)),"",IF(Tb_Activiteiten[[#This Row],[Eigen arbeid]]=1,Tb_Activiteiten[[#Headers],[Eigen arbeid]],"")))</f>
        <v/>
      </c>
      <c r="AM1035" t="str">
        <f>IF(ISNUMBER(FIND("arbeid",Methode_Keuze)),"",IF(ISNUMBER(FIND("arbeid",Methode_Keuze)),"",IF(Tb_Activiteiten[[#This Row],[Projectmedewerker]]=1,Tb_Activiteiten[[#Headers],[Projectmedewerker]],"")))</f>
        <v/>
      </c>
      <c r="AN1035" t="str">
        <f>IF(ISNUMBER(FIND("arbeid",Methode_Keuze)),"",IF(ISNUMBER(FIND("arbeid",Methode_Keuze)),"",IF(Tb_Activiteiten[[#This Row],[Landbouwer]]=1,Tb_Activiteiten[[#Headers],[Landbouwer]],"")))</f>
        <v/>
      </c>
      <c r="AO1035" t="str">
        <f>IF(ISNUMBER(FIND("arbeid",Methode_Keuze)),"",IF(ISNUMBER(FIND("arbeid",Methode_Keuze)),"",IF(Tb_Activiteiten[[#This Row],[Adviseur]]=1,Tb_Activiteiten[[#Headers],[Adviseur]],"")))</f>
        <v/>
      </c>
      <c r="AP1035" t="str">
        <f>IF(ISNUMBER(FIND("arbeid",Methode_Keuze)),"",IF(ISNUMBER(FIND("arbeid",Methode_Keuze)),"",IF(Tb_Activiteiten[[#This Row],[Projectleider/Expert]]=1,Tb_Activiteiten[[#Headers],[Projectleider/Expert]],"")))</f>
        <v/>
      </c>
      <c r="AQ1035" t="str">
        <f>IF(ISNUMBER(FIND("arbeid",Methode_Keuze)),"",IF(ISNUMBER(FIND("arbeid",Methode_Keuze)),"",IF(Tb_Activiteiten[[#This Row],[Arbeidskosten]]=1,Tb_Activiteiten[[#Headers],[Arbeidskosten]],"")))</f>
        <v/>
      </c>
      <c r="AR1035" t="str">
        <f>IF(ISNUMBER(FIND("arbeid",Methode_Keuze)),"",IF(ISNUMBER(FIND("arbeid",Methode_Keuze)),"",IF(Tb_Activiteiten[[#This Row],[Arbeidskosten op basis van IKS]]=1,Tb_Activiteiten[[#Headers],[Arbeidskosten op basis van IKS]],"")))</f>
        <v/>
      </c>
      <c r="AS1035" t="str">
        <f>IF(ISNUMBER(FIND("overige",Methode_Keuze)),"",IF(Tb_Activiteiten[[#This Row],[Kosten derden exclusief btw]]=1,Tb_Activiteiten[[#Headers],[Kosten derden exclusief btw]],""))</f>
        <v/>
      </c>
      <c r="AT1035" t="str">
        <f>IF(ISNUMBER(FIND("overige",Methode_Keuze)),"",IF(Tb_Activiteiten[[#This Row],[Niet verrekenbare btw]]=1,Tb_Activiteiten[[#Headers],[Niet verrekenbare btw]],""))</f>
        <v/>
      </c>
      <c r="AU1035" t="str">
        <f>IF(ISNUMBER(FIND("overige",Methode_Keuze)),"",IF(Tb_Activiteiten[[#This Row],[Grondkosten]]=1,Tb_Activiteiten[[#Headers],[Grondkosten]],""))</f>
        <v/>
      </c>
      <c r="AV1035" t="str">
        <f>IF(ISNUMBER(FIND("overige",Methode_Keuze)),"",IF(Tb_Activiteiten[[#This Row],[Bijdrage in natura (overige)]]=1,Tb_Activiteiten[[#Headers],[Bijdrage in natura (overige)]],""))</f>
        <v/>
      </c>
      <c r="AW1035" t="str">
        <f>IF(ISNUMBER(FIND("overige",Methode_Keuze)),"",IF(Tb_Activiteiten[[#This Row],[Bijdrage in natura (vrijwilligers)]]=1,Tb_Activiteiten[[#Headers],[Bijdrage in natura (vrijwilligers)]],""))</f>
        <v/>
      </c>
      <c r="AX1035" t="str">
        <f>IF(ISNUMBER(FIND("overige",Methode_Keuze)),"",IF(Tb_Activiteiten[[#This Row],[Afschrijvingskosten]]=1,Tb_Activiteiten[[#Headers],[Afschrijvingskosten]],""))</f>
        <v/>
      </c>
      <c r="AY1035" t="str">
        <f>IF(ISNUMBER(FIND("overige",Methode_Keuze)),"",IF(Tb_Activiteiten[[#This Row],[Vergoeding]]=1,Tb_Activiteiten[[#Headers],[Vergoeding]],""))</f>
        <v/>
      </c>
      <c r="AZ1035" t="str">
        <f>IF(ISNUMBER(FIND("arbeid",Methode_Keuze)),"",IF(Tb_Activiteiten[[#This Row],[Arbeidskosten - vast tarief (excl eigen arbeid)]]=1,Tb_Activiteiten[[#Headers],[Arbeidskosten - vast tarief (excl eigen arbeid)]],""))</f>
        <v/>
      </c>
      <c r="BA1035" t="str">
        <f>IF(ISNUMBER(FIND("overige",Methode_Keuze)),"",IF(Tb_Activiteiten[[#This Row],[Overige kosten]]=1,Tb_Activiteiten[[#Headers],[Overige kosten]],""))</f>
        <v/>
      </c>
    </row>
    <row r="1036" spans="1:53" x14ac:dyDescent="0.25">
      <c r="A1036" s="139"/>
      <c r="B1036" s="139"/>
      <c r="C1036" s="139"/>
      <c r="D1036" s="139"/>
      <c r="E1036" s="139"/>
      <c r="F1036" s="139"/>
      <c r="G1036" s="139"/>
      <c r="O1036" s="56"/>
      <c r="Q1036" t="str">
        <f>IFERROR(IF(VLOOKUP(Tb_Activiteiten[[#This Row],[Openstelling]],Tb_Openstelling[],2,0)=1,1,""),"")</f>
        <v/>
      </c>
      <c r="AK1036" t="str">
        <f>IF(ISNUMBER(FIND("arbeid",Methode_Keuze)),"",IF(ISNUMBER(FIND("arbeid",Methode_Keuze)),"",IF(Tb_Activiteiten[[#This Row],[Loonkosten]]=1,Tb_Activiteiten[[#Headers],[Loonkosten]],"")))</f>
        <v/>
      </c>
      <c r="AL1036" t="str">
        <f>IF(ISNUMBER(FIND("arbeid",Methode_Keuze)),"",IF(ISNUMBER(FIND("arbeid",Methode_Keuze)),"",IF(Tb_Activiteiten[[#This Row],[Eigen arbeid]]=1,Tb_Activiteiten[[#Headers],[Eigen arbeid]],"")))</f>
        <v/>
      </c>
      <c r="AM1036" t="str">
        <f>IF(ISNUMBER(FIND("arbeid",Methode_Keuze)),"",IF(ISNUMBER(FIND("arbeid",Methode_Keuze)),"",IF(Tb_Activiteiten[[#This Row],[Projectmedewerker]]=1,Tb_Activiteiten[[#Headers],[Projectmedewerker]],"")))</f>
        <v/>
      </c>
      <c r="AN1036" t="str">
        <f>IF(ISNUMBER(FIND("arbeid",Methode_Keuze)),"",IF(ISNUMBER(FIND("arbeid",Methode_Keuze)),"",IF(Tb_Activiteiten[[#This Row],[Landbouwer]]=1,Tb_Activiteiten[[#Headers],[Landbouwer]],"")))</f>
        <v/>
      </c>
      <c r="AO1036" t="str">
        <f>IF(ISNUMBER(FIND("arbeid",Methode_Keuze)),"",IF(ISNUMBER(FIND("arbeid",Methode_Keuze)),"",IF(Tb_Activiteiten[[#This Row],[Adviseur]]=1,Tb_Activiteiten[[#Headers],[Adviseur]],"")))</f>
        <v/>
      </c>
      <c r="AP1036" t="str">
        <f>IF(ISNUMBER(FIND("arbeid",Methode_Keuze)),"",IF(ISNUMBER(FIND("arbeid",Methode_Keuze)),"",IF(Tb_Activiteiten[[#This Row],[Projectleider/Expert]]=1,Tb_Activiteiten[[#Headers],[Projectleider/Expert]],"")))</f>
        <v/>
      </c>
      <c r="AQ1036" t="str">
        <f>IF(ISNUMBER(FIND("arbeid",Methode_Keuze)),"",IF(ISNUMBER(FIND("arbeid",Methode_Keuze)),"",IF(Tb_Activiteiten[[#This Row],[Arbeidskosten]]=1,Tb_Activiteiten[[#Headers],[Arbeidskosten]],"")))</f>
        <v/>
      </c>
      <c r="AR1036" t="str">
        <f>IF(ISNUMBER(FIND("arbeid",Methode_Keuze)),"",IF(ISNUMBER(FIND("arbeid",Methode_Keuze)),"",IF(Tb_Activiteiten[[#This Row],[Arbeidskosten op basis van IKS]]=1,Tb_Activiteiten[[#Headers],[Arbeidskosten op basis van IKS]],"")))</f>
        <v/>
      </c>
      <c r="AS1036" t="str">
        <f>IF(ISNUMBER(FIND("overige",Methode_Keuze)),"",IF(Tb_Activiteiten[[#This Row],[Kosten derden exclusief btw]]=1,Tb_Activiteiten[[#Headers],[Kosten derden exclusief btw]],""))</f>
        <v/>
      </c>
      <c r="AT1036" t="str">
        <f>IF(ISNUMBER(FIND("overige",Methode_Keuze)),"",IF(Tb_Activiteiten[[#This Row],[Niet verrekenbare btw]]=1,Tb_Activiteiten[[#Headers],[Niet verrekenbare btw]],""))</f>
        <v/>
      </c>
      <c r="AU1036" t="str">
        <f>IF(ISNUMBER(FIND("overige",Methode_Keuze)),"",IF(Tb_Activiteiten[[#This Row],[Grondkosten]]=1,Tb_Activiteiten[[#Headers],[Grondkosten]],""))</f>
        <v/>
      </c>
      <c r="AV1036" t="str">
        <f>IF(ISNUMBER(FIND("overige",Methode_Keuze)),"",IF(Tb_Activiteiten[[#This Row],[Bijdrage in natura (overige)]]=1,Tb_Activiteiten[[#Headers],[Bijdrage in natura (overige)]],""))</f>
        <v/>
      </c>
      <c r="AW1036" t="str">
        <f>IF(ISNUMBER(FIND("overige",Methode_Keuze)),"",IF(Tb_Activiteiten[[#This Row],[Bijdrage in natura (vrijwilligers)]]=1,Tb_Activiteiten[[#Headers],[Bijdrage in natura (vrijwilligers)]],""))</f>
        <v/>
      </c>
      <c r="AX1036" t="str">
        <f>IF(ISNUMBER(FIND("overige",Methode_Keuze)),"",IF(Tb_Activiteiten[[#This Row],[Afschrijvingskosten]]=1,Tb_Activiteiten[[#Headers],[Afschrijvingskosten]],""))</f>
        <v/>
      </c>
      <c r="AY1036" t="str">
        <f>IF(ISNUMBER(FIND("overige",Methode_Keuze)),"",IF(Tb_Activiteiten[[#This Row],[Vergoeding]]=1,Tb_Activiteiten[[#Headers],[Vergoeding]],""))</f>
        <v/>
      </c>
      <c r="AZ1036" t="str">
        <f>IF(ISNUMBER(FIND("arbeid",Methode_Keuze)),"",IF(Tb_Activiteiten[[#This Row],[Arbeidskosten - vast tarief (excl eigen arbeid)]]=1,Tb_Activiteiten[[#Headers],[Arbeidskosten - vast tarief (excl eigen arbeid)]],""))</f>
        <v/>
      </c>
      <c r="BA1036" t="str">
        <f>IF(ISNUMBER(FIND("overige",Methode_Keuze)),"",IF(Tb_Activiteiten[[#This Row],[Overige kosten]]=1,Tb_Activiteiten[[#Headers],[Overige kosten]],""))</f>
        <v/>
      </c>
    </row>
    <row r="1037" spans="1:53" x14ac:dyDescent="0.25">
      <c r="A1037" s="139"/>
      <c r="B1037" s="139"/>
      <c r="C1037" s="139"/>
      <c r="D1037" s="139"/>
      <c r="E1037" s="139"/>
      <c r="F1037" s="139"/>
      <c r="G1037" s="139"/>
      <c r="O1037" s="56"/>
      <c r="Q1037" t="str">
        <f>IFERROR(IF(VLOOKUP(Tb_Activiteiten[[#This Row],[Openstelling]],Tb_Openstelling[],2,0)=1,1,""),"")</f>
        <v/>
      </c>
      <c r="AK1037" t="str">
        <f>IF(ISNUMBER(FIND("arbeid",Methode_Keuze)),"",IF(ISNUMBER(FIND("arbeid",Methode_Keuze)),"",IF(Tb_Activiteiten[[#This Row],[Loonkosten]]=1,Tb_Activiteiten[[#Headers],[Loonkosten]],"")))</f>
        <v/>
      </c>
      <c r="AL1037" t="str">
        <f>IF(ISNUMBER(FIND("arbeid",Methode_Keuze)),"",IF(ISNUMBER(FIND("arbeid",Methode_Keuze)),"",IF(Tb_Activiteiten[[#This Row],[Eigen arbeid]]=1,Tb_Activiteiten[[#Headers],[Eigen arbeid]],"")))</f>
        <v/>
      </c>
      <c r="AM1037" t="str">
        <f>IF(ISNUMBER(FIND("arbeid",Methode_Keuze)),"",IF(ISNUMBER(FIND("arbeid",Methode_Keuze)),"",IF(Tb_Activiteiten[[#This Row],[Projectmedewerker]]=1,Tb_Activiteiten[[#Headers],[Projectmedewerker]],"")))</f>
        <v/>
      </c>
      <c r="AN1037" t="str">
        <f>IF(ISNUMBER(FIND("arbeid",Methode_Keuze)),"",IF(ISNUMBER(FIND("arbeid",Methode_Keuze)),"",IF(Tb_Activiteiten[[#This Row],[Landbouwer]]=1,Tb_Activiteiten[[#Headers],[Landbouwer]],"")))</f>
        <v/>
      </c>
      <c r="AO1037" t="str">
        <f>IF(ISNUMBER(FIND("arbeid",Methode_Keuze)),"",IF(ISNUMBER(FIND("arbeid",Methode_Keuze)),"",IF(Tb_Activiteiten[[#This Row],[Adviseur]]=1,Tb_Activiteiten[[#Headers],[Adviseur]],"")))</f>
        <v/>
      </c>
      <c r="AP1037" t="str">
        <f>IF(ISNUMBER(FIND("arbeid",Methode_Keuze)),"",IF(ISNUMBER(FIND("arbeid",Methode_Keuze)),"",IF(Tb_Activiteiten[[#This Row],[Projectleider/Expert]]=1,Tb_Activiteiten[[#Headers],[Projectleider/Expert]],"")))</f>
        <v/>
      </c>
      <c r="AQ1037" t="str">
        <f>IF(ISNUMBER(FIND("arbeid",Methode_Keuze)),"",IF(ISNUMBER(FIND("arbeid",Methode_Keuze)),"",IF(Tb_Activiteiten[[#This Row],[Arbeidskosten]]=1,Tb_Activiteiten[[#Headers],[Arbeidskosten]],"")))</f>
        <v/>
      </c>
      <c r="AR1037" t="str">
        <f>IF(ISNUMBER(FIND("arbeid",Methode_Keuze)),"",IF(ISNUMBER(FIND("arbeid",Methode_Keuze)),"",IF(Tb_Activiteiten[[#This Row],[Arbeidskosten op basis van IKS]]=1,Tb_Activiteiten[[#Headers],[Arbeidskosten op basis van IKS]],"")))</f>
        <v/>
      </c>
      <c r="AS1037" t="str">
        <f>IF(ISNUMBER(FIND("overige",Methode_Keuze)),"",IF(Tb_Activiteiten[[#This Row],[Kosten derden exclusief btw]]=1,Tb_Activiteiten[[#Headers],[Kosten derden exclusief btw]],""))</f>
        <v/>
      </c>
      <c r="AT1037" t="str">
        <f>IF(ISNUMBER(FIND("overige",Methode_Keuze)),"",IF(Tb_Activiteiten[[#This Row],[Niet verrekenbare btw]]=1,Tb_Activiteiten[[#Headers],[Niet verrekenbare btw]],""))</f>
        <v/>
      </c>
      <c r="AU1037" t="str">
        <f>IF(ISNUMBER(FIND("overige",Methode_Keuze)),"",IF(Tb_Activiteiten[[#This Row],[Grondkosten]]=1,Tb_Activiteiten[[#Headers],[Grondkosten]],""))</f>
        <v/>
      </c>
      <c r="AV1037" t="str">
        <f>IF(ISNUMBER(FIND("overige",Methode_Keuze)),"",IF(Tb_Activiteiten[[#This Row],[Bijdrage in natura (overige)]]=1,Tb_Activiteiten[[#Headers],[Bijdrage in natura (overige)]],""))</f>
        <v/>
      </c>
      <c r="AW1037" t="str">
        <f>IF(ISNUMBER(FIND("overige",Methode_Keuze)),"",IF(Tb_Activiteiten[[#This Row],[Bijdrage in natura (vrijwilligers)]]=1,Tb_Activiteiten[[#Headers],[Bijdrage in natura (vrijwilligers)]],""))</f>
        <v/>
      </c>
      <c r="AX1037" t="str">
        <f>IF(ISNUMBER(FIND("overige",Methode_Keuze)),"",IF(Tb_Activiteiten[[#This Row],[Afschrijvingskosten]]=1,Tb_Activiteiten[[#Headers],[Afschrijvingskosten]],""))</f>
        <v/>
      </c>
      <c r="AY1037" t="str">
        <f>IF(ISNUMBER(FIND("overige",Methode_Keuze)),"",IF(Tb_Activiteiten[[#This Row],[Vergoeding]]=1,Tb_Activiteiten[[#Headers],[Vergoeding]],""))</f>
        <v/>
      </c>
      <c r="AZ1037" t="str">
        <f>IF(ISNUMBER(FIND("arbeid",Methode_Keuze)),"",IF(Tb_Activiteiten[[#This Row],[Arbeidskosten - vast tarief (excl eigen arbeid)]]=1,Tb_Activiteiten[[#Headers],[Arbeidskosten - vast tarief (excl eigen arbeid)]],""))</f>
        <v/>
      </c>
      <c r="BA1037" t="str">
        <f>IF(ISNUMBER(FIND("overige",Methode_Keuze)),"",IF(Tb_Activiteiten[[#This Row],[Overige kosten]]=1,Tb_Activiteiten[[#Headers],[Overige kosten]],""))</f>
        <v/>
      </c>
    </row>
    <row r="1038" spans="1:53" x14ac:dyDescent="0.25">
      <c r="A1038" s="139"/>
      <c r="B1038" s="139"/>
      <c r="C1038" s="139"/>
      <c r="D1038" s="139"/>
      <c r="E1038" s="139"/>
      <c r="F1038" s="139"/>
      <c r="G1038" s="139"/>
      <c r="O1038" s="56"/>
      <c r="Q1038" t="str">
        <f>IFERROR(IF(VLOOKUP(Tb_Activiteiten[[#This Row],[Openstelling]],Tb_Openstelling[],2,0)=1,1,""),"")</f>
        <v/>
      </c>
      <c r="AK1038" t="str">
        <f>IF(ISNUMBER(FIND("arbeid",Methode_Keuze)),"",IF(ISNUMBER(FIND("arbeid",Methode_Keuze)),"",IF(Tb_Activiteiten[[#This Row],[Loonkosten]]=1,Tb_Activiteiten[[#Headers],[Loonkosten]],"")))</f>
        <v/>
      </c>
      <c r="AL1038" t="str">
        <f>IF(ISNUMBER(FIND("arbeid",Methode_Keuze)),"",IF(ISNUMBER(FIND("arbeid",Methode_Keuze)),"",IF(Tb_Activiteiten[[#This Row],[Eigen arbeid]]=1,Tb_Activiteiten[[#Headers],[Eigen arbeid]],"")))</f>
        <v/>
      </c>
      <c r="AM1038" t="str">
        <f>IF(ISNUMBER(FIND("arbeid",Methode_Keuze)),"",IF(ISNUMBER(FIND("arbeid",Methode_Keuze)),"",IF(Tb_Activiteiten[[#This Row],[Projectmedewerker]]=1,Tb_Activiteiten[[#Headers],[Projectmedewerker]],"")))</f>
        <v/>
      </c>
      <c r="AN1038" t="str">
        <f>IF(ISNUMBER(FIND("arbeid",Methode_Keuze)),"",IF(ISNUMBER(FIND("arbeid",Methode_Keuze)),"",IF(Tb_Activiteiten[[#This Row],[Landbouwer]]=1,Tb_Activiteiten[[#Headers],[Landbouwer]],"")))</f>
        <v/>
      </c>
      <c r="AO1038" t="str">
        <f>IF(ISNUMBER(FIND("arbeid",Methode_Keuze)),"",IF(ISNUMBER(FIND("arbeid",Methode_Keuze)),"",IF(Tb_Activiteiten[[#This Row],[Adviseur]]=1,Tb_Activiteiten[[#Headers],[Adviseur]],"")))</f>
        <v/>
      </c>
      <c r="AP1038" t="str">
        <f>IF(ISNUMBER(FIND("arbeid",Methode_Keuze)),"",IF(ISNUMBER(FIND("arbeid",Methode_Keuze)),"",IF(Tb_Activiteiten[[#This Row],[Projectleider/Expert]]=1,Tb_Activiteiten[[#Headers],[Projectleider/Expert]],"")))</f>
        <v/>
      </c>
      <c r="AQ1038" t="str">
        <f>IF(ISNUMBER(FIND("arbeid",Methode_Keuze)),"",IF(ISNUMBER(FIND("arbeid",Methode_Keuze)),"",IF(Tb_Activiteiten[[#This Row],[Arbeidskosten]]=1,Tb_Activiteiten[[#Headers],[Arbeidskosten]],"")))</f>
        <v/>
      </c>
      <c r="AR1038" t="str">
        <f>IF(ISNUMBER(FIND("arbeid",Methode_Keuze)),"",IF(ISNUMBER(FIND("arbeid",Methode_Keuze)),"",IF(Tb_Activiteiten[[#This Row],[Arbeidskosten op basis van IKS]]=1,Tb_Activiteiten[[#Headers],[Arbeidskosten op basis van IKS]],"")))</f>
        <v/>
      </c>
      <c r="AS1038" t="str">
        <f>IF(ISNUMBER(FIND("overige",Methode_Keuze)),"",IF(Tb_Activiteiten[[#This Row],[Kosten derden exclusief btw]]=1,Tb_Activiteiten[[#Headers],[Kosten derden exclusief btw]],""))</f>
        <v/>
      </c>
      <c r="AT1038" t="str">
        <f>IF(ISNUMBER(FIND("overige",Methode_Keuze)),"",IF(Tb_Activiteiten[[#This Row],[Niet verrekenbare btw]]=1,Tb_Activiteiten[[#Headers],[Niet verrekenbare btw]],""))</f>
        <v/>
      </c>
      <c r="AU1038" t="str">
        <f>IF(ISNUMBER(FIND("overige",Methode_Keuze)),"",IF(Tb_Activiteiten[[#This Row],[Grondkosten]]=1,Tb_Activiteiten[[#Headers],[Grondkosten]],""))</f>
        <v/>
      </c>
      <c r="AV1038" t="str">
        <f>IF(ISNUMBER(FIND("overige",Methode_Keuze)),"",IF(Tb_Activiteiten[[#This Row],[Bijdrage in natura (overige)]]=1,Tb_Activiteiten[[#Headers],[Bijdrage in natura (overige)]],""))</f>
        <v/>
      </c>
      <c r="AW1038" t="str">
        <f>IF(ISNUMBER(FIND("overige",Methode_Keuze)),"",IF(Tb_Activiteiten[[#This Row],[Bijdrage in natura (vrijwilligers)]]=1,Tb_Activiteiten[[#Headers],[Bijdrage in natura (vrijwilligers)]],""))</f>
        <v/>
      </c>
      <c r="AX1038" t="str">
        <f>IF(ISNUMBER(FIND("overige",Methode_Keuze)),"",IF(Tb_Activiteiten[[#This Row],[Afschrijvingskosten]]=1,Tb_Activiteiten[[#Headers],[Afschrijvingskosten]],""))</f>
        <v/>
      </c>
      <c r="AY1038" t="str">
        <f>IF(ISNUMBER(FIND("overige",Methode_Keuze)),"",IF(Tb_Activiteiten[[#This Row],[Vergoeding]]=1,Tb_Activiteiten[[#Headers],[Vergoeding]],""))</f>
        <v/>
      </c>
      <c r="AZ1038" t="str">
        <f>IF(ISNUMBER(FIND("arbeid",Methode_Keuze)),"",IF(Tb_Activiteiten[[#This Row],[Arbeidskosten - vast tarief (excl eigen arbeid)]]=1,Tb_Activiteiten[[#Headers],[Arbeidskosten - vast tarief (excl eigen arbeid)]],""))</f>
        <v/>
      </c>
      <c r="BA1038" t="str">
        <f>IF(ISNUMBER(FIND("overige",Methode_Keuze)),"",IF(Tb_Activiteiten[[#This Row],[Overige kosten]]=1,Tb_Activiteiten[[#Headers],[Overige kosten]],""))</f>
        <v/>
      </c>
    </row>
    <row r="1039" spans="1:53" x14ac:dyDescent="0.25">
      <c r="A1039" s="139"/>
      <c r="B1039" s="139"/>
      <c r="C1039" s="139"/>
      <c r="D1039" s="139"/>
      <c r="E1039" s="139"/>
      <c r="F1039" s="139"/>
      <c r="G1039" s="139"/>
      <c r="O1039" s="56"/>
      <c r="Q1039" t="str">
        <f>IFERROR(IF(VLOOKUP(Tb_Activiteiten[[#This Row],[Openstelling]],Tb_Openstelling[],2,0)=1,1,""),"")</f>
        <v/>
      </c>
      <c r="AK1039" t="str">
        <f>IF(ISNUMBER(FIND("arbeid",Methode_Keuze)),"",IF(ISNUMBER(FIND("arbeid",Methode_Keuze)),"",IF(Tb_Activiteiten[[#This Row],[Loonkosten]]=1,Tb_Activiteiten[[#Headers],[Loonkosten]],"")))</f>
        <v/>
      </c>
      <c r="AL1039" t="str">
        <f>IF(ISNUMBER(FIND("arbeid",Methode_Keuze)),"",IF(ISNUMBER(FIND("arbeid",Methode_Keuze)),"",IF(Tb_Activiteiten[[#This Row],[Eigen arbeid]]=1,Tb_Activiteiten[[#Headers],[Eigen arbeid]],"")))</f>
        <v/>
      </c>
      <c r="AM1039" t="str">
        <f>IF(ISNUMBER(FIND("arbeid",Methode_Keuze)),"",IF(ISNUMBER(FIND("arbeid",Methode_Keuze)),"",IF(Tb_Activiteiten[[#This Row],[Projectmedewerker]]=1,Tb_Activiteiten[[#Headers],[Projectmedewerker]],"")))</f>
        <v/>
      </c>
      <c r="AN1039" t="str">
        <f>IF(ISNUMBER(FIND("arbeid",Methode_Keuze)),"",IF(ISNUMBER(FIND("arbeid",Methode_Keuze)),"",IF(Tb_Activiteiten[[#This Row],[Landbouwer]]=1,Tb_Activiteiten[[#Headers],[Landbouwer]],"")))</f>
        <v/>
      </c>
      <c r="AO1039" t="str">
        <f>IF(ISNUMBER(FIND("arbeid",Methode_Keuze)),"",IF(ISNUMBER(FIND("arbeid",Methode_Keuze)),"",IF(Tb_Activiteiten[[#This Row],[Adviseur]]=1,Tb_Activiteiten[[#Headers],[Adviseur]],"")))</f>
        <v/>
      </c>
      <c r="AP1039" t="str">
        <f>IF(ISNUMBER(FIND("arbeid",Methode_Keuze)),"",IF(ISNUMBER(FIND("arbeid",Methode_Keuze)),"",IF(Tb_Activiteiten[[#This Row],[Projectleider/Expert]]=1,Tb_Activiteiten[[#Headers],[Projectleider/Expert]],"")))</f>
        <v/>
      </c>
      <c r="AQ1039" t="str">
        <f>IF(ISNUMBER(FIND("arbeid",Methode_Keuze)),"",IF(ISNUMBER(FIND("arbeid",Methode_Keuze)),"",IF(Tb_Activiteiten[[#This Row],[Arbeidskosten]]=1,Tb_Activiteiten[[#Headers],[Arbeidskosten]],"")))</f>
        <v/>
      </c>
      <c r="AR1039" t="str">
        <f>IF(ISNUMBER(FIND("arbeid",Methode_Keuze)),"",IF(ISNUMBER(FIND("arbeid",Methode_Keuze)),"",IF(Tb_Activiteiten[[#This Row],[Arbeidskosten op basis van IKS]]=1,Tb_Activiteiten[[#Headers],[Arbeidskosten op basis van IKS]],"")))</f>
        <v/>
      </c>
      <c r="AS1039" t="str">
        <f>IF(ISNUMBER(FIND("overige",Methode_Keuze)),"",IF(Tb_Activiteiten[[#This Row],[Kosten derden exclusief btw]]=1,Tb_Activiteiten[[#Headers],[Kosten derden exclusief btw]],""))</f>
        <v/>
      </c>
      <c r="AT1039" t="str">
        <f>IF(ISNUMBER(FIND("overige",Methode_Keuze)),"",IF(Tb_Activiteiten[[#This Row],[Niet verrekenbare btw]]=1,Tb_Activiteiten[[#Headers],[Niet verrekenbare btw]],""))</f>
        <v/>
      </c>
      <c r="AU1039" t="str">
        <f>IF(ISNUMBER(FIND("overige",Methode_Keuze)),"",IF(Tb_Activiteiten[[#This Row],[Grondkosten]]=1,Tb_Activiteiten[[#Headers],[Grondkosten]],""))</f>
        <v/>
      </c>
      <c r="AV1039" t="str">
        <f>IF(ISNUMBER(FIND("overige",Methode_Keuze)),"",IF(Tb_Activiteiten[[#This Row],[Bijdrage in natura (overige)]]=1,Tb_Activiteiten[[#Headers],[Bijdrage in natura (overige)]],""))</f>
        <v/>
      </c>
      <c r="AW1039" t="str">
        <f>IF(ISNUMBER(FIND("overige",Methode_Keuze)),"",IF(Tb_Activiteiten[[#This Row],[Bijdrage in natura (vrijwilligers)]]=1,Tb_Activiteiten[[#Headers],[Bijdrage in natura (vrijwilligers)]],""))</f>
        <v/>
      </c>
      <c r="AX1039" t="str">
        <f>IF(ISNUMBER(FIND("overige",Methode_Keuze)),"",IF(Tb_Activiteiten[[#This Row],[Afschrijvingskosten]]=1,Tb_Activiteiten[[#Headers],[Afschrijvingskosten]],""))</f>
        <v/>
      </c>
      <c r="AY1039" t="str">
        <f>IF(ISNUMBER(FIND("overige",Methode_Keuze)),"",IF(Tb_Activiteiten[[#This Row],[Vergoeding]]=1,Tb_Activiteiten[[#Headers],[Vergoeding]],""))</f>
        <v/>
      </c>
      <c r="AZ1039" t="str">
        <f>IF(ISNUMBER(FIND("arbeid",Methode_Keuze)),"",IF(Tb_Activiteiten[[#This Row],[Arbeidskosten - vast tarief (excl eigen arbeid)]]=1,Tb_Activiteiten[[#Headers],[Arbeidskosten - vast tarief (excl eigen arbeid)]],""))</f>
        <v/>
      </c>
      <c r="BA1039" t="str">
        <f>IF(ISNUMBER(FIND("overige",Methode_Keuze)),"",IF(Tb_Activiteiten[[#This Row],[Overige kosten]]=1,Tb_Activiteiten[[#Headers],[Overige kosten]],""))</f>
        <v/>
      </c>
    </row>
    <row r="1040" spans="1:53" x14ac:dyDescent="0.25">
      <c r="A1040" s="139"/>
      <c r="B1040" s="139"/>
      <c r="C1040" s="139"/>
      <c r="D1040" s="139"/>
      <c r="E1040" s="139"/>
      <c r="F1040" s="139"/>
      <c r="G1040" s="139"/>
      <c r="O1040" s="56"/>
      <c r="Q1040" t="str">
        <f>IFERROR(IF(VLOOKUP(Tb_Activiteiten[[#This Row],[Openstelling]],Tb_Openstelling[],2,0)=1,1,""),"")</f>
        <v/>
      </c>
      <c r="AK1040" t="str">
        <f>IF(ISNUMBER(FIND("arbeid",Methode_Keuze)),"",IF(ISNUMBER(FIND("arbeid",Methode_Keuze)),"",IF(Tb_Activiteiten[[#This Row],[Loonkosten]]=1,Tb_Activiteiten[[#Headers],[Loonkosten]],"")))</f>
        <v/>
      </c>
      <c r="AL1040" t="str">
        <f>IF(ISNUMBER(FIND("arbeid",Methode_Keuze)),"",IF(ISNUMBER(FIND("arbeid",Methode_Keuze)),"",IF(Tb_Activiteiten[[#This Row],[Eigen arbeid]]=1,Tb_Activiteiten[[#Headers],[Eigen arbeid]],"")))</f>
        <v/>
      </c>
      <c r="AM1040" t="str">
        <f>IF(ISNUMBER(FIND("arbeid",Methode_Keuze)),"",IF(ISNUMBER(FIND("arbeid",Methode_Keuze)),"",IF(Tb_Activiteiten[[#This Row],[Projectmedewerker]]=1,Tb_Activiteiten[[#Headers],[Projectmedewerker]],"")))</f>
        <v/>
      </c>
      <c r="AN1040" t="str">
        <f>IF(ISNUMBER(FIND("arbeid",Methode_Keuze)),"",IF(ISNUMBER(FIND("arbeid",Methode_Keuze)),"",IF(Tb_Activiteiten[[#This Row],[Landbouwer]]=1,Tb_Activiteiten[[#Headers],[Landbouwer]],"")))</f>
        <v/>
      </c>
      <c r="AO1040" t="str">
        <f>IF(ISNUMBER(FIND("arbeid",Methode_Keuze)),"",IF(ISNUMBER(FIND("arbeid",Methode_Keuze)),"",IF(Tb_Activiteiten[[#This Row],[Adviseur]]=1,Tb_Activiteiten[[#Headers],[Adviseur]],"")))</f>
        <v/>
      </c>
      <c r="AP1040" t="str">
        <f>IF(ISNUMBER(FIND("arbeid",Methode_Keuze)),"",IF(ISNUMBER(FIND("arbeid",Methode_Keuze)),"",IF(Tb_Activiteiten[[#This Row],[Projectleider/Expert]]=1,Tb_Activiteiten[[#Headers],[Projectleider/Expert]],"")))</f>
        <v/>
      </c>
      <c r="AQ1040" t="str">
        <f>IF(ISNUMBER(FIND("arbeid",Methode_Keuze)),"",IF(ISNUMBER(FIND("arbeid",Methode_Keuze)),"",IF(Tb_Activiteiten[[#This Row],[Arbeidskosten]]=1,Tb_Activiteiten[[#Headers],[Arbeidskosten]],"")))</f>
        <v/>
      </c>
      <c r="AR1040" t="str">
        <f>IF(ISNUMBER(FIND("arbeid",Methode_Keuze)),"",IF(ISNUMBER(FIND("arbeid",Methode_Keuze)),"",IF(Tb_Activiteiten[[#This Row],[Arbeidskosten op basis van IKS]]=1,Tb_Activiteiten[[#Headers],[Arbeidskosten op basis van IKS]],"")))</f>
        <v/>
      </c>
      <c r="AS1040" t="str">
        <f>IF(ISNUMBER(FIND("overige",Methode_Keuze)),"",IF(Tb_Activiteiten[[#This Row],[Kosten derden exclusief btw]]=1,Tb_Activiteiten[[#Headers],[Kosten derden exclusief btw]],""))</f>
        <v/>
      </c>
      <c r="AT1040" t="str">
        <f>IF(ISNUMBER(FIND("overige",Methode_Keuze)),"",IF(Tb_Activiteiten[[#This Row],[Niet verrekenbare btw]]=1,Tb_Activiteiten[[#Headers],[Niet verrekenbare btw]],""))</f>
        <v/>
      </c>
      <c r="AU1040" t="str">
        <f>IF(ISNUMBER(FIND("overige",Methode_Keuze)),"",IF(Tb_Activiteiten[[#This Row],[Grondkosten]]=1,Tb_Activiteiten[[#Headers],[Grondkosten]],""))</f>
        <v/>
      </c>
      <c r="AV1040" t="str">
        <f>IF(ISNUMBER(FIND("overige",Methode_Keuze)),"",IF(Tb_Activiteiten[[#This Row],[Bijdrage in natura (overige)]]=1,Tb_Activiteiten[[#Headers],[Bijdrage in natura (overige)]],""))</f>
        <v/>
      </c>
      <c r="AW1040" t="str">
        <f>IF(ISNUMBER(FIND("overige",Methode_Keuze)),"",IF(Tb_Activiteiten[[#This Row],[Bijdrage in natura (vrijwilligers)]]=1,Tb_Activiteiten[[#Headers],[Bijdrage in natura (vrijwilligers)]],""))</f>
        <v/>
      </c>
      <c r="AX1040" t="str">
        <f>IF(ISNUMBER(FIND("overige",Methode_Keuze)),"",IF(Tb_Activiteiten[[#This Row],[Afschrijvingskosten]]=1,Tb_Activiteiten[[#Headers],[Afschrijvingskosten]],""))</f>
        <v/>
      </c>
      <c r="AY1040" t="str">
        <f>IF(ISNUMBER(FIND("overige",Methode_Keuze)),"",IF(Tb_Activiteiten[[#This Row],[Vergoeding]]=1,Tb_Activiteiten[[#Headers],[Vergoeding]],""))</f>
        <v/>
      </c>
      <c r="AZ1040" t="str">
        <f>IF(ISNUMBER(FIND("arbeid",Methode_Keuze)),"",IF(Tb_Activiteiten[[#This Row],[Arbeidskosten - vast tarief (excl eigen arbeid)]]=1,Tb_Activiteiten[[#Headers],[Arbeidskosten - vast tarief (excl eigen arbeid)]],""))</f>
        <v/>
      </c>
      <c r="BA1040" t="str">
        <f>IF(ISNUMBER(FIND("overige",Methode_Keuze)),"",IF(Tb_Activiteiten[[#This Row],[Overige kosten]]=1,Tb_Activiteiten[[#Headers],[Overige kosten]],""))</f>
        <v/>
      </c>
    </row>
    <row r="1041" spans="1:53" x14ac:dyDescent="0.25">
      <c r="A1041" s="139"/>
      <c r="B1041" s="139"/>
      <c r="C1041" s="139"/>
      <c r="D1041" s="139"/>
      <c r="E1041" s="139"/>
      <c r="F1041" s="139"/>
      <c r="G1041" s="139"/>
      <c r="O1041" s="56"/>
      <c r="Q1041" t="str">
        <f>IFERROR(IF(VLOOKUP(Tb_Activiteiten[[#This Row],[Openstelling]],Tb_Openstelling[],2,0)=1,1,""),"")</f>
        <v/>
      </c>
      <c r="AK1041" t="str">
        <f>IF(ISNUMBER(FIND("arbeid",Methode_Keuze)),"",IF(ISNUMBER(FIND("arbeid",Methode_Keuze)),"",IF(Tb_Activiteiten[[#This Row],[Loonkosten]]=1,Tb_Activiteiten[[#Headers],[Loonkosten]],"")))</f>
        <v/>
      </c>
      <c r="AL1041" t="str">
        <f>IF(ISNUMBER(FIND("arbeid",Methode_Keuze)),"",IF(ISNUMBER(FIND("arbeid",Methode_Keuze)),"",IF(Tb_Activiteiten[[#This Row],[Eigen arbeid]]=1,Tb_Activiteiten[[#Headers],[Eigen arbeid]],"")))</f>
        <v/>
      </c>
      <c r="AM1041" t="str">
        <f>IF(ISNUMBER(FIND("arbeid",Methode_Keuze)),"",IF(ISNUMBER(FIND("arbeid",Methode_Keuze)),"",IF(Tb_Activiteiten[[#This Row],[Projectmedewerker]]=1,Tb_Activiteiten[[#Headers],[Projectmedewerker]],"")))</f>
        <v/>
      </c>
      <c r="AN1041" t="str">
        <f>IF(ISNUMBER(FIND("arbeid",Methode_Keuze)),"",IF(ISNUMBER(FIND("arbeid",Methode_Keuze)),"",IF(Tb_Activiteiten[[#This Row],[Landbouwer]]=1,Tb_Activiteiten[[#Headers],[Landbouwer]],"")))</f>
        <v/>
      </c>
      <c r="AO1041" t="str">
        <f>IF(ISNUMBER(FIND("arbeid",Methode_Keuze)),"",IF(ISNUMBER(FIND("arbeid",Methode_Keuze)),"",IF(Tb_Activiteiten[[#This Row],[Adviseur]]=1,Tb_Activiteiten[[#Headers],[Adviseur]],"")))</f>
        <v/>
      </c>
      <c r="AP1041" t="str">
        <f>IF(ISNUMBER(FIND("arbeid",Methode_Keuze)),"",IF(ISNUMBER(FIND("arbeid",Methode_Keuze)),"",IF(Tb_Activiteiten[[#This Row],[Projectleider/Expert]]=1,Tb_Activiteiten[[#Headers],[Projectleider/Expert]],"")))</f>
        <v/>
      </c>
      <c r="AQ1041" t="str">
        <f>IF(ISNUMBER(FIND("arbeid",Methode_Keuze)),"",IF(ISNUMBER(FIND("arbeid",Methode_Keuze)),"",IF(Tb_Activiteiten[[#This Row],[Arbeidskosten]]=1,Tb_Activiteiten[[#Headers],[Arbeidskosten]],"")))</f>
        <v/>
      </c>
      <c r="AR1041" t="str">
        <f>IF(ISNUMBER(FIND("arbeid",Methode_Keuze)),"",IF(ISNUMBER(FIND("arbeid",Methode_Keuze)),"",IF(Tb_Activiteiten[[#This Row],[Arbeidskosten op basis van IKS]]=1,Tb_Activiteiten[[#Headers],[Arbeidskosten op basis van IKS]],"")))</f>
        <v/>
      </c>
      <c r="AS1041" t="str">
        <f>IF(ISNUMBER(FIND("overige",Methode_Keuze)),"",IF(Tb_Activiteiten[[#This Row],[Kosten derden exclusief btw]]=1,Tb_Activiteiten[[#Headers],[Kosten derden exclusief btw]],""))</f>
        <v/>
      </c>
      <c r="AT1041" t="str">
        <f>IF(ISNUMBER(FIND("overige",Methode_Keuze)),"",IF(Tb_Activiteiten[[#This Row],[Niet verrekenbare btw]]=1,Tb_Activiteiten[[#Headers],[Niet verrekenbare btw]],""))</f>
        <v/>
      </c>
      <c r="AU1041" t="str">
        <f>IF(ISNUMBER(FIND("overige",Methode_Keuze)),"",IF(Tb_Activiteiten[[#This Row],[Grondkosten]]=1,Tb_Activiteiten[[#Headers],[Grondkosten]],""))</f>
        <v/>
      </c>
      <c r="AV1041" t="str">
        <f>IF(ISNUMBER(FIND("overige",Methode_Keuze)),"",IF(Tb_Activiteiten[[#This Row],[Bijdrage in natura (overige)]]=1,Tb_Activiteiten[[#Headers],[Bijdrage in natura (overige)]],""))</f>
        <v/>
      </c>
      <c r="AW1041" t="str">
        <f>IF(ISNUMBER(FIND("overige",Methode_Keuze)),"",IF(Tb_Activiteiten[[#This Row],[Bijdrage in natura (vrijwilligers)]]=1,Tb_Activiteiten[[#Headers],[Bijdrage in natura (vrijwilligers)]],""))</f>
        <v/>
      </c>
      <c r="AX1041" t="str">
        <f>IF(ISNUMBER(FIND("overige",Methode_Keuze)),"",IF(Tb_Activiteiten[[#This Row],[Afschrijvingskosten]]=1,Tb_Activiteiten[[#Headers],[Afschrijvingskosten]],""))</f>
        <v/>
      </c>
      <c r="AY1041" t="str">
        <f>IF(ISNUMBER(FIND("overige",Methode_Keuze)),"",IF(Tb_Activiteiten[[#This Row],[Vergoeding]]=1,Tb_Activiteiten[[#Headers],[Vergoeding]],""))</f>
        <v/>
      </c>
      <c r="AZ1041" t="str">
        <f>IF(ISNUMBER(FIND("arbeid",Methode_Keuze)),"",IF(Tb_Activiteiten[[#This Row],[Arbeidskosten - vast tarief (excl eigen arbeid)]]=1,Tb_Activiteiten[[#Headers],[Arbeidskosten - vast tarief (excl eigen arbeid)]],""))</f>
        <v/>
      </c>
      <c r="BA1041" t="str">
        <f>IF(ISNUMBER(FIND("overige",Methode_Keuze)),"",IF(Tb_Activiteiten[[#This Row],[Overige kosten]]=1,Tb_Activiteiten[[#Headers],[Overige kosten]],""))</f>
        <v/>
      </c>
    </row>
    <row r="1042" spans="1:53" x14ac:dyDescent="0.25">
      <c r="A1042" s="139"/>
      <c r="B1042" s="139"/>
      <c r="C1042" s="139"/>
      <c r="D1042" s="139"/>
      <c r="E1042" s="139"/>
      <c r="F1042" s="139"/>
      <c r="G1042" s="139"/>
      <c r="O1042" s="56"/>
      <c r="Q1042" t="str">
        <f>IFERROR(IF(VLOOKUP(Tb_Activiteiten[[#This Row],[Openstelling]],Tb_Openstelling[],2,0)=1,1,""),"")</f>
        <v/>
      </c>
      <c r="AK1042" t="str">
        <f>IF(ISNUMBER(FIND("arbeid",Methode_Keuze)),"",IF(ISNUMBER(FIND("arbeid",Methode_Keuze)),"",IF(Tb_Activiteiten[[#This Row],[Loonkosten]]=1,Tb_Activiteiten[[#Headers],[Loonkosten]],"")))</f>
        <v/>
      </c>
      <c r="AL1042" t="str">
        <f>IF(ISNUMBER(FIND("arbeid",Methode_Keuze)),"",IF(ISNUMBER(FIND("arbeid",Methode_Keuze)),"",IF(Tb_Activiteiten[[#This Row],[Eigen arbeid]]=1,Tb_Activiteiten[[#Headers],[Eigen arbeid]],"")))</f>
        <v/>
      </c>
      <c r="AM1042" t="str">
        <f>IF(ISNUMBER(FIND("arbeid",Methode_Keuze)),"",IF(ISNUMBER(FIND("arbeid",Methode_Keuze)),"",IF(Tb_Activiteiten[[#This Row],[Projectmedewerker]]=1,Tb_Activiteiten[[#Headers],[Projectmedewerker]],"")))</f>
        <v/>
      </c>
      <c r="AN1042" t="str">
        <f>IF(ISNUMBER(FIND("arbeid",Methode_Keuze)),"",IF(ISNUMBER(FIND("arbeid",Methode_Keuze)),"",IF(Tb_Activiteiten[[#This Row],[Landbouwer]]=1,Tb_Activiteiten[[#Headers],[Landbouwer]],"")))</f>
        <v/>
      </c>
      <c r="AO1042" t="str">
        <f>IF(ISNUMBER(FIND("arbeid",Methode_Keuze)),"",IF(ISNUMBER(FIND("arbeid",Methode_Keuze)),"",IF(Tb_Activiteiten[[#This Row],[Adviseur]]=1,Tb_Activiteiten[[#Headers],[Adviseur]],"")))</f>
        <v/>
      </c>
      <c r="AP1042" t="str">
        <f>IF(ISNUMBER(FIND("arbeid",Methode_Keuze)),"",IF(ISNUMBER(FIND("arbeid",Methode_Keuze)),"",IF(Tb_Activiteiten[[#This Row],[Projectleider/Expert]]=1,Tb_Activiteiten[[#Headers],[Projectleider/Expert]],"")))</f>
        <v/>
      </c>
      <c r="AQ1042" t="str">
        <f>IF(ISNUMBER(FIND("arbeid",Methode_Keuze)),"",IF(ISNUMBER(FIND("arbeid",Methode_Keuze)),"",IF(Tb_Activiteiten[[#This Row],[Arbeidskosten]]=1,Tb_Activiteiten[[#Headers],[Arbeidskosten]],"")))</f>
        <v/>
      </c>
      <c r="AR1042" t="str">
        <f>IF(ISNUMBER(FIND("arbeid",Methode_Keuze)),"",IF(ISNUMBER(FIND("arbeid",Methode_Keuze)),"",IF(Tb_Activiteiten[[#This Row],[Arbeidskosten op basis van IKS]]=1,Tb_Activiteiten[[#Headers],[Arbeidskosten op basis van IKS]],"")))</f>
        <v/>
      </c>
      <c r="AS1042" t="str">
        <f>IF(ISNUMBER(FIND("overige",Methode_Keuze)),"",IF(Tb_Activiteiten[[#This Row],[Kosten derden exclusief btw]]=1,Tb_Activiteiten[[#Headers],[Kosten derden exclusief btw]],""))</f>
        <v/>
      </c>
      <c r="AT1042" t="str">
        <f>IF(ISNUMBER(FIND("overige",Methode_Keuze)),"",IF(Tb_Activiteiten[[#This Row],[Niet verrekenbare btw]]=1,Tb_Activiteiten[[#Headers],[Niet verrekenbare btw]],""))</f>
        <v/>
      </c>
      <c r="AU1042" t="str">
        <f>IF(ISNUMBER(FIND("overige",Methode_Keuze)),"",IF(Tb_Activiteiten[[#This Row],[Grondkosten]]=1,Tb_Activiteiten[[#Headers],[Grondkosten]],""))</f>
        <v/>
      </c>
      <c r="AV1042" t="str">
        <f>IF(ISNUMBER(FIND("overige",Methode_Keuze)),"",IF(Tb_Activiteiten[[#This Row],[Bijdrage in natura (overige)]]=1,Tb_Activiteiten[[#Headers],[Bijdrage in natura (overige)]],""))</f>
        <v/>
      </c>
      <c r="AW1042" t="str">
        <f>IF(ISNUMBER(FIND("overige",Methode_Keuze)),"",IF(Tb_Activiteiten[[#This Row],[Bijdrage in natura (vrijwilligers)]]=1,Tb_Activiteiten[[#Headers],[Bijdrage in natura (vrijwilligers)]],""))</f>
        <v/>
      </c>
      <c r="AX1042" t="str">
        <f>IF(ISNUMBER(FIND("overige",Methode_Keuze)),"",IF(Tb_Activiteiten[[#This Row],[Afschrijvingskosten]]=1,Tb_Activiteiten[[#Headers],[Afschrijvingskosten]],""))</f>
        <v/>
      </c>
      <c r="AY1042" t="str">
        <f>IF(ISNUMBER(FIND("overige",Methode_Keuze)),"",IF(Tb_Activiteiten[[#This Row],[Vergoeding]]=1,Tb_Activiteiten[[#Headers],[Vergoeding]],""))</f>
        <v/>
      </c>
      <c r="AZ1042" t="str">
        <f>IF(ISNUMBER(FIND("arbeid",Methode_Keuze)),"",IF(Tb_Activiteiten[[#This Row],[Arbeidskosten - vast tarief (excl eigen arbeid)]]=1,Tb_Activiteiten[[#Headers],[Arbeidskosten - vast tarief (excl eigen arbeid)]],""))</f>
        <v/>
      </c>
      <c r="BA1042" t="str">
        <f>IF(ISNUMBER(FIND("overige",Methode_Keuze)),"",IF(Tb_Activiteiten[[#This Row],[Overige kosten]]=1,Tb_Activiteiten[[#Headers],[Overige kosten]],""))</f>
        <v/>
      </c>
    </row>
    <row r="1043" spans="1:53" x14ac:dyDescent="0.25">
      <c r="A1043" s="139"/>
      <c r="B1043" s="139"/>
      <c r="C1043" s="139"/>
      <c r="D1043" s="139"/>
      <c r="E1043" s="139"/>
      <c r="F1043" s="139"/>
      <c r="G1043" s="139"/>
      <c r="O1043" s="56"/>
      <c r="Q1043" t="str">
        <f>IFERROR(IF(VLOOKUP(Tb_Activiteiten[[#This Row],[Openstelling]],Tb_Openstelling[],2,0)=1,1,""),"")</f>
        <v/>
      </c>
      <c r="AK1043" t="str">
        <f>IF(ISNUMBER(FIND("arbeid",Methode_Keuze)),"",IF(ISNUMBER(FIND("arbeid",Methode_Keuze)),"",IF(Tb_Activiteiten[[#This Row],[Loonkosten]]=1,Tb_Activiteiten[[#Headers],[Loonkosten]],"")))</f>
        <v/>
      </c>
      <c r="AL1043" t="str">
        <f>IF(ISNUMBER(FIND("arbeid",Methode_Keuze)),"",IF(ISNUMBER(FIND("arbeid",Methode_Keuze)),"",IF(Tb_Activiteiten[[#This Row],[Eigen arbeid]]=1,Tb_Activiteiten[[#Headers],[Eigen arbeid]],"")))</f>
        <v/>
      </c>
      <c r="AM1043" t="str">
        <f>IF(ISNUMBER(FIND("arbeid",Methode_Keuze)),"",IF(ISNUMBER(FIND("arbeid",Methode_Keuze)),"",IF(Tb_Activiteiten[[#This Row],[Projectmedewerker]]=1,Tb_Activiteiten[[#Headers],[Projectmedewerker]],"")))</f>
        <v/>
      </c>
      <c r="AN1043" t="str">
        <f>IF(ISNUMBER(FIND("arbeid",Methode_Keuze)),"",IF(ISNUMBER(FIND("arbeid",Methode_Keuze)),"",IF(Tb_Activiteiten[[#This Row],[Landbouwer]]=1,Tb_Activiteiten[[#Headers],[Landbouwer]],"")))</f>
        <v/>
      </c>
      <c r="AO1043" t="str">
        <f>IF(ISNUMBER(FIND("arbeid",Methode_Keuze)),"",IF(ISNUMBER(FIND("arbeid",Methode_Keuze)),"",IF(Tb_Activiteiten[[#This Row],[Adviseur]]=1,Tb_Activiteiten[[#Headers],[Adviseur]],"")))</f>
        <v/>
      </c>
      <c r="AP1043" t="str">
        <f>IF(ISNUMBER(FIND("arbeid",Methode_Keuze)),"",IF(ISNUMBER(FIND("arbeid",Methode_Keuze)),"",IF(Tb_Activiteiten[[#This Row],[Projectleider/Expert]]=1,Tb_Activiteiten[[#Headers],[Projectleider/Expert]],"")))</f>
        <v/>
      </c>
      <c r="AQ1043" t="str">
        <f>IF(ISNUMBER(FIND("arbeid",Methode_Keuze)),"",IF(ISNUMBER(FIND("arbeid",Methode_Keuze)),"",IF(Tb_Activiteiten[[#This Row],[Arbeidskosten]]=1,Tb_Activiteiten[[#Headers],[Arbeidskosten]],"")))</f>
        <v/>
      </c>
      <c r="AR1043" t="str">
        <f>IF(ISNUMBER(FIND("arbeid",Methode_Keuze)),"",IF(ISNUMBER(FIND("arbeid",Methode_Keuze)),"",IF(Tb_Activiteiten[[#This Row],[Arbeidskosten op basis van IKS]]=1,Tb_Activiteiten[[#Headers],[Arbeidskosten op basis van IKS]],"")))</f>
        <v/>
      </c>
      <c r="AS1043" t="str">
        <f>IF(ISNUMBER(FIND("overige",Methode_Keuze)),"",IF(Tb_Activiteiten[[#This Row],[Kosten derden exclusief btw]]=1,Tb_Activiteiten[[#Headers],[Kosten derden exclusief btw]],""))</f>
        <v/>
      </c>
      <c r="AT1043" t="str">
        <f>IF(ISNUMBER(FIND("overige",Methode_Keuze)),"",IF(Tb_Activiteiten[[#This Row],[Niet verrekenbare btw]]=1,Tb_Activiteiten[[#Headers],[Niet verrekenbare btw]],""))</f>
        <v/>
      </c>
      <c r="AU1043" t="str">
        <f>IF(ISNUMBER(FIND("overige",Methode_Keuze)),"",IF(Tb_Activiteiten[[#This Row],[Grondkosten]]=1,Tb_Activiteiten[[#Headers],[Grondkosten]],""))</f>
        <v/>
      </c>
      <c r="AV1043" t="str">
        <f>IF(ISNUMBER(FIND("overige",Methode_Keuze)),"",IF(Tb_Activiteiten[[#This Row],[Bijdrage in natura (overige)]]=1,Tb_Activiteiten[[#Headers],[Bijdrage in natura (overige)]],""))</f>
        <v/>
      </c>
      <c r="AW1043" t="str">
        <f>IF(ISNUMBER(FIND("overige",Methode_Keuze)),"",IF(Tb_Activiteiten[[#This Row],[Bijdrage in natura (vrijwilligers)]]=1,Tb_Activiteiten[[#Headers],[Bijdrage in natura (vrijwilligers)]],""))</f>
        <v/>
      </c>
      <c r="AX1043" t="str">
        <f>IF(ISNUMBER(FIND("overige",Methode_Keuze)),"",IF(Tb_Activiteiten[[#This Row],[Afschrijvingskosten]]=1,Tb_Activiteiten[[#Headers],[Afschrijvingskosten]],""))</f>
        <v/>
      </c>
      <c r="AY1043" t="str">
        <f>IF(ISNUMBER(FIND("overige",Methode_Keuze)),"",IF(Tb_Activiteiten[[#This Row],[Vergoeding]]=1,Tb_Activiteiten[[#Headers],[Vergoeding]],""))</f>
        <v/>
      </c>
      <c r="AZ1043" t="str">
        <f>IF(ISNUMBER(FIND("arbeid",Methode_Keuze)),"",IF(Tb_Activiteiten[[#This Row],[Arbeidskosten - vast tarief (excl eigen arbeid)]]=1,Tb_Activiteiten[[#Headers],[Arbeidskosten - vast tarief (excl eigen arbeid)]],""))</f>
        <v/>
      </c>
      <c r="BA1043" t="str">
        <f>IF(ISNUMBER(FIND("overige",Methode_Keuze)),"",IF(Tb_Activiteiten[[#This Row],[Overige kosten]]=1,Tb_Activiteiten[[#Headers],[Overige kosten]],""))</f>
        <v/>
      </c>
    </row>
    <row r="1044" spans="1:53" x14ac:dyDescent="0.25">
      <c r="A1044" s="139"/>
      <c r="B1044" s="139"/>
      <c r="C1044" s="139"/>
      <c r="D1044" s="139"/>
      <c r="E1044" s="139"/>
      <c r="F1044" s="139"/>
      <c r="G1044" s="139"/>
      <c r="O1044" s="56"/>
      <c r="Q1044" t="str">
        <f>IFERROR(IF(VLOOKUP(Tb_Activiteiten[[#This Row],[Openstelling]],Tb_Openstelling[],2,0)=1,1,""),"")</f>
        <v/>
      </c>
      <c r="AK1044" t="str">
        <f>IF(ISNUMBER(FIND("arbeid",Methode_Keuze)),"",IF(ISNUMBER(FIND("arbeid",Methode_Keuze)),"",IF(Tb_Activiteiten[[#This Row],[Loonkosten]]=1,Tb_Activiteiten[[#Headers],[Loonkosten]],"")))</f>
        <v/>
      </c>
      <c r="AL1044" t="str">
        <f>IF(ISNUMBER(FIND("arbeid",Methode_Keuze)),"",IF(ISNUMBER(FIND("arbeid",Methode_Keuze)),"",IF(Tb_Activiteiten[[#This Row],[Eigen arbeid]]=1,Tb_Activiteiten[[#Headers],[Eigen arbeid]],"")))</f>
        <v/>
      </c>
      <c r="AM1044" t="str">
        <f>IF(ISNUMBER(FIND("arbeid",Methode_Keuze)),"",IF(ISNUMBER(FIND("arbeid",Methode_Keuze)),"",IF(Tb_Activiteiten[[#This Row],[Projectmedewerker]]=1,Tb_Activiteiten[[#Headers],[Projectmedewerker]],"")))</f>
        <v/>
      </c>
      <c r="AN1044" t="str">
        <f>IF(ISNUMBER(FIND("arbeid",Methode_Keuze)),"",IF(ISNUMBER(FIND("arbeid",Methode_Keuze)),"",IF(Tb_Activiteiten[[#This Row],[Landbouwer]]=1,Tb_Activiteiten[[#Headers],[Landbouwer]],"")))</f>
        <v/>
      </c>
      <c r="AO1044" t="str">
        <f>IF(ISNUMBER(FIND("arbeid",Methode_Keuze)),"",IF(ISNUMBER(FIND("arbeid",Methode_Keuze)),"",IF(Tb_Activiteiten[[#This Row],[Adviseur]]=1,Tb_Activiteiten[[#Headers],[Adviseur]],"")))</f>
        <v/>
      </c>
      <c r="AP1044" t="str">
        <f>IF(ISNUMBER(FIND("arbeid",Methode_Keuze)),"",IF(ISNUMBER(FIND("arbeid",Methode_Keuze)),"",IF(Tb_Activiteiten[[#This Row],[Projectleider/Expert]]=1,Tb_Activiteiten[[#Headers],[Projectleider/Expert]],"")))</f>
        <v/>
      </c>
      <c r="AQ1044" t="str">
        <f>IF(ISNUMBER(FIND("arbeid",Methode_Keuze)),"",IF(ISNUMBER(FIND("arbeid",Methode_Keuze)),"",IF(Tb_Activiteiten[[#This Row],[Arbeidskosten]]=1,Tb_Activiteiten[[#Headers],[Arbeidskosten]],"")))</f>
        <v/>
      </c>
      <c r="AR1044" t="str">
        <f>IF(ISNUMBER(FIND("arbeid",Methode_Keuze)),"",IF(ISNUMBER(FIND("arbeid",Methode_Keuze)),"",IF(Tb_Activiteiten[[#This Row],[Arbeidskosten op basis van IKS]]=1,Tb_Activiteiten[[#Headers],[Arbeidskosten op basis van IKS]],"")))</f>
        <v/>
      </c>
      <c r="AS1044" t="str">
        <f>IF(ISNUMBER(FIND("overige",Methode_Keuze)),"",IF(Tb_Activiteiten[[#This Row],[Kosten derden exclusief btw]]=1,Tb_Activiteiten[[#Headers],[Kosten derden exclusief btw]],""))</f>
        <v/>
      </c>
      <c r="AT1044" t="str">
        <f>IF(ISNUMBER(FIND("overige",Methode_Keuze)),"",IF(Tb_Activiteiten[[#This Row],[Niet verrekenbare btw]]=1,Tb_Activiteiten[[#Headers],[Niet verrekenbare btw]],""))</f>
        <v/>
      </c>
      <c r="AU1044" t="str">
        <f>IF(ISNUMBER(FIND("overige",Methode_Keuze)),"",IF(Tb_Activiteiten[[#This Row],[Grondkosten]]=1,Tb_Activiteiten[[#Headers],[Grondkosten]],""))</f>
        <v/>
      </c>
      <c r="AV1044" t="str">
        <f>IF(ISNUMBER(FIND("overige",Methode_Keuze)),"",IF(Tb_Activiteiten[[#This Row],[Bijdrage in natura (overige)]]=1,Tb_Activiteiten[[#Headers],[Bijdrage in natura (overige)]],""))</f>
        <v/>
      </c>
      <c r="AW1044" t="str">
        <f>IF(ISNUMBER(FIND("overige",Methode_Keuze)),"",IF(Tb_Activiteiten[[#This Row],[Bijdrage in natura (vrijwilligers)]]=1,Tb_Activiteiten[[#Headers],[Bijdrage in natura (vrijwilligers)]],""))</f>
        <v/>
      </c>
      <c r="AX1044" t="str">
        <f>IF(ISNUMBER(FIND("overige",Methode_Keuze)),"",IF(Tb_Activiteiten[[#This Row],[Afschrijvingskosten]]=1,Tb_Activiteiten[[#Headers],[Afschrijvingskosten]],""))</f>
        <v/>
      </c>
      <c r="AY1044" t="str">
        <f>IF(ISNUMBER(FIND("overige",Methode_Keuze)),"",IF(Tb_Activiteiten[[#This Row],[Vergoeding]]=1,Tb_Activiteiten[[#Headers],[Vergoeding]],""))</f>
        <v/>
      </c>
      <c r="AZ1044" t="str">
        <f>IF(ISNUMBER(FIND("arbeid",Methode_Keuze)),"",IF(Tb_Activiteiten[[#This Row],[Arbeidskosten - vast tarief (excl eigen arbeid)]]=1,Tb_Activiteiten[[#Headers],[Arbeidskosten - vast tarief (excl eigen arbeid)]],""))</f>
        <v/>
      </c>
      <c r="BA1044" t="str">
        <f>IF(ISNUMBER(FIND("overige",Methode_Keuze)),"",IF(Tb_Activiteiten[[#This Row],[Overige kosten]]=1,Tb_Activiteiten[[#Headers],[Overige kosten]],""))</f>
        <v/>
      </c>
    </row>
    <row r="1045" spans="1:53" x14ac:dyDescent="0.25">
      <c r="A1045" s="139"/>
      <c r="B1045" s="139"/>
      <c r="C1045" s="139"/>
      <c r="D1045" s="139"/>
      <c r="E1045" s="139"/>
      <c r="F1045" s="139"/>
      <c r="G1045" s="139"/>
      <c r="O1045" s="56"/>
      <c r="Q1045" t="str">
        <f>IFERROR(IF(VLOOKUP(Tb_Activiteiten[[#This Row],[Openstelling]],Tb_Openstelling[],2,0)=1,1,""),"")</f>
        <v/>
      </c>
      <c r="AK1045" t="str">
        <f>IF(ISNUMBER(FIND("arbeid",Methode_Keuze)),"",IF(ISNUMBER(FIND("arbeid",Methode_Keuze)),"",IF(Tb_Activiteiten[[#This Row],[Loonkosten]]=1,Tb_Activiteiten[[#Headers],[Loonkosten]],"")))</f>
        <v/>
      </c>
      <c r="AL1045" t="str">
        <f>IF(ISNUMBER(FIND("arbeid",Methode_Keuze)),"",IF(ISNUMBER(FIND("arbeid",Methode_Keuze)),"",IF(Tb_Activiteiten[[#This Row],[Eigen arbeid]]=1,Tb_Activiteiten[[#Headers],[Eigen arbeid]],"")))</f>
        <v/>
      </c>
      <c r="AM1045" t="str">
        <f>IF(ISNUMBER(FIND("arbeid",Methode_Keuze)),"",IF(ISNUMBER(FIND("arbeid",Methode_Keuze)),"",IF(Tb_Activiteiten[[#This Row],[Projectmedewerker]]=1,Tb_Activiteiten[[#Headers],[Projectmedewerker]],"")))</f>
        <v/>
      </c>
      <c r="AN1045" t="str">
        <f>IF(ISNUMBER(FIND("arbeid",Methode_Keuze)),"",IF(ISNUMBER(FIND("arbeid",Methode_Keuze)),"",IF(Tb_Activiteiten[[#This Row],[Landbouwer]]=1,Tb_Activiteiten[[#Headers],[Landbouwer]],"")))</f>
        <v/>
      </c>
      <c r="AO1045" t="str">
        <f>IF(ISNUMBER(FIND("arbeid",Methode_Keuze)),"",IF(ISNUMBER(FIND("arbeid",Methode_Keuze)),"",IF(Tb_Activiteiten[[#This Row],[Adviseur]]=1,Tb_Activiteiten[[#Headers],[Adviseur]],"")))</f>
        <v/>
      </c>
      <c r="AP1045" t="str">
        <f>IF(ISNUMBER(FIND("arbeid",Methode_Keuze)),"",IF(ISNUMBER(FIND("arbeid",Methode_Keuze)),"",IF(Tb_Activiteiten[[#This Row],[Projectleider/Expert]]=1,Tb_Activiteiten[[#Headers],[Projectleider/Expert]],"")))</f>
        <v/>
      </c>
      <c r="AQ1045" t="str">
        <f>IF(ISNUMBER(FIND("arbeid",Methode_Keuze)),"",IF(ISNUMBER(FIND("arbeid",Methode_Keuze)),"",IF(Tb_Activiteiten[[#This Row],[Arbeidskosten]]=1,Tb_Activiteiten[[#Headers],[Arbeidskosten]],"")))</f>
        <v/>
      </c>
      <c r="AR1045" t="str">
        <f>IF(ISNUMBER(FIND("arbeid",Methode_Keuze)),"",IF(ISNUMBER(FIND("arbeid",Methode_Keuze)),"",IF(Tb_Activiteiten[[#This Row],[Arbeidskosten op basis van IKS]]=1,Tb_Activiteiten[[#Headers],[Arbeidskosten op basis van IKS]],"")))</f>
        <v/>
      </c>
      <c r="AS1045" t="str">
        <f>IF(ISNUMBER(FIND("overige",Methode_Keuze)),"",IF(Tb_Activiteiten[[#This Row],[Kosten derden exclusief btw]]=1,Tb_Activiteiten[[#Headers],[Kosten derden exclusief btw]],""))</f>
        <v/>
      </c>
      <c r="AT1045" t="str">
        <f>IF(ISNUMBER(FIND("overige",Methode_Keuze)),"",IF(Tb_Activiteiten[[#This Row],[Niet verrekenbare btw]]=1,Tb_Activiteiten[[#Headers],[Niet verrekenbare btw]],""))</f>
        <v/>
      </c>
      <c r="AU1045" t="str">
        <f>IF(ISNUMBER(FIND("overige",Methode_Keuze)),"",IF(Tb_Activiteiten[[#This Row],[Grondkosten]]=1,Tb_Activiteiten[[#Headers],[Grondkosten]],""))</f>
        <v/>
      </c>
      <c r="AV1045" t="str">
        <f>IF(ISNUMBER(FIND("overige",Methode_Keuze)),"",IF(Tb_Activiteiten[[#This Row],[Bijdrage in natura (overige)]]=1,Tb_Activiteiten[[#Headers],[Bijdrage in natura (overige)]],""))</f>
        <v/>
      </c>
      <c r="AW1045" t="str">
        <f>IF(ISNUMBER(FIND("overige",Methode_Keuze)),"",IF(Tb_Activiteiten[[#This Row],[Bijdrage in natura (vrijwilligers)]]=1,Tb_Activiteiten[[#Headers],[Bijdrage in natura (vrijwilligers)]],""))</f>
        <v/>
      </c>
      <c r="AX1045" t="str">
        <f>IF(ISNUMBER(FIND("overige",Methode_Keuze)),"",IF(Tb_Activiteiten[[#This Row],[Afschrijvingskosten]]=1,Tb_Activiteiten[[#Headers],[Afschrijvingskosten]],""))</f>
        <v/>
      </c>
      <c r="AY1045" t="str">
        <f>IF(ISNUMBER(FIND("overige",Methode_Keuze)),"",IF(Tb_Activiteiten[[#This Row],[Vergoeding]]=1,Tb_Activiteiten[[#Headers],[Vergoeding]],""))</f>
        <v/>
      </c>
      <c r="AZ1045" t="str">
        <f>IF(ISNUMBER(FIND("arbeid",Methode_Keuze)),"",IF(Tb_Activiteiten[[#This Row],[Arbeidskosten - vast tarief (excl eigen arbeid)]]=1,Tb_Activiteiten[[#Headers],[Arbeidskosten - vast tarief (excl eigen arbeid)]],""))</f>
        <v/>
      </c>
      <c r="BA1045" t="str">
        <f>IF(ISNUMBER(FIND("overige",Methode_Keuze)),"",IF(Tb_Activiteiten[[#This Row],[Overige kosten]]=1,Tb_Activiteiten[[#Headers],[Overige kosten]],""))</f>
        <v/>
      </c>
    </row>
    <row r="1046" spans="1:53" x14ac:dyDescent="0.25">
      <c r="A1046" s="139"/>
      <c r="B1046" s="139"/>
      <c r="C1046" s="139"/>
      <c r="D1046" s="139"/>
      <c r="E1046" s="139"/>
      <c r="F1046" s="139"/>
      <c r="G1046" s="139"/>
      <c r="O1046" s="56"/>
      <c r="Q1046" t="str">
        <f>IFERROR(IF(VLOOKUP(Tb_Activiteiten[[#This Row],[Openstelling]],Tb_Openstelling[],2,0)=1,1,""),"")</f>
        <v/>
      </c>
      <c r="AK1046" t="str">
        <f>IF(ISNUMBER(FIND("arbeid",Methode_Keuze)),"",IF(ISNUMBER(FIND("arbeid",Methode_Keuze)),"",IF(Tb_Activiteiten[[#This Row],[Loonkosten]]=1,Tb_Activiteiten[[#Headers],[Loonkosten]],"")))</f>
        <v/>
      </c>
      <c r="AL1046" t="str">
        <f>IF(ISNUMBER(FIND("arbeid",Methode_Keuze)),"",IF(ISNUMBER(FIND("arbeid",Methode_Keuze)),"",IF(Tb_Activiteiten[[#This Row],[Eigen arbeid]]=1,Tb_Activiteiten[[#Headers],[Eigen arbeid]],"")))</f>
        <v/>
      </c>
      <c r="AM1046" t="str">
        <f>IF(ISNUMBER(FIND("arbeid",Methode_Keuze)),"",IF(ISNUMBER(FIND("arbeid",Methode_Keuze)),"",IF(Tb_Activiteiten[[#This Row],[Projectmedewerker]]=1,Tb_Activiteiten[[#Headers],[Projectmedewerker]],"")))</f>
        <v/>
      </c>
      <c r="AN1046" t="str">
        <f>IF(ISNUMBER(FIND("arbeid",Methode_Keuze)),"",IF(ISNUMBER(FIND("arbeid",Methode_Keuze)),"",IF(Tb_Activiteiten[[#This Row],[Landbouwer]]=1,Tb_Activiteiten[[#Headers],[Landbouwer]],"")))</f>
        <v/>
      </c>
      <c r="AO1046" t="str">
        <f>IF(ISNUMBER(FIND("arbeid",Methode_Keuze)),"",IF(ISNUMBER(FIND("arbeid",Methode_Keuze)),"",IF(Tb_Activiteiten[[#This Row],[Adviseur]]=1,Tb_Activiteiten[[#Headers],[Adviseur]],"")))</f>
        <v/>
      </c>
      <c r="AP1046" t="str">
        <f>IF(ISNUMBER(FIND("arbeid",Methode_Keuze)),"",IF(ISNUMBER(FIND("arbeid",Methode_Keuze)),"",IF(Tb_Activiteiten[[#This Row],[Projectleider/Expert]]=1,Tb_Activiteiten[[#Headers],[Projectleider/Expert]],"")))</f>
        <v/>
      </c>
      <c r="AQ1046" t="str">
        <f>IF(ISNUMBER(FIND("arbeid",Methode_Keuze)),"",IF(ISNUMBER(FIND("arbeid",Methode_Keuze)),"",IF(Tb_Activiteiten[[#This Row],[Arbeidskosten]]=1,Tb_Activiteiten[[#Headers],[Arbeidskosten]],"")))</f>
        <v/>
      </c>
      <c r="AR1046" t="str">
        <f>IF(ISNUMBER(FIND("arbeid",Methode_Keuze)),"",IF(ISNUMBER(FIND("arbeid",Methode_Keuze)),"",IF(Tb_Activiteiten[[#This Row],[Arbeidskosten op basis van IKS]]=1,Tb_Activiteiten[[#Headers],[Arbeidskosten op basis van IKS]],"")))</f>
        <v/>
      </c>
      <c r="AS1046" t="str">
        <f>IF(ISNUMBER(FIND("overige",Methode_Keuze)),"",IF(Tb_Activiteiten[[#This Row],[Kosten derden exclusief btw]]=1,Tb_Activiteiten[[#Headers],[Kosten derden exclusief btw]],""))</f>
        <v/>
      </c>
      <c r="AT1046" t="str">
        <f>IF(ISNUMBER(FIND("overige",Methode_Keuze)),"",IF(Tb_Activiteiten[[#This Row],[Niet verrekenbare btw]]=1,Tb_Activiteiten[[#Headers],[Niet verrekenbare btw]],""))</f>
        <v/>
      </c>
      <c r="AU1046" t="str">
        <f>IF(ISNUMBER(FIND("overige",Methode_Keuze)),"",IF(Tb_Activiteiten[[#This Row],[Grondkosten]]=1,Tb_Activiteiten[[#Headers],[Grondkosten]],""))</f>
        <v/>
      </c>
      <c r="AV1046" t="str">
        <f>IF(ISNUMBER(FIND("overige",Methode_Keuze)),"",IF(Tb_Activiteiten[[#This Row],[Bijdrage in natura (overige)]]=1,Tb_Activiteiten[[#Headers],[Bijdrage in natura (overige)]],""))</f>
        <v/>
      </c>
      <c r="AW1046" t="str">
        <f>IF(ISNUMBER(FIND("overige",Methode_Keuze)),"",IF(Tb_Activiteiten[[#This Row],[Bijdrage in natura (vrijwilligers)]]=1,Tb_Activiteiten[[#Headers],[Bijdrage in natura (vrijwilligers)]],""))</f>
        <v/>
      </c>
      <c r="AX1046" t="str">
        <f>IF(ISNUMBER(FIND("overige",Methode_Keuze)),"",IF(Tb_Activiteiten[[#This Row],[Afschrijvingskosten]]=1,Tb_Activiteiten[[#Headers],[Afschrijvingskosten]],""))</f>
        <v/>
      </c>
      <c r="AY1046" t="str">
        <f>IF(ISNUMBER(FIND("overige",Methode_Keuze)),"",IF(Tb_Activiteiten[[#This Row],[Vergoeding]]=1,Tb_Activiteiten[[#Headers],[Vergoeding]],""))</f>
        <v/>
      </c>
      <c r="AZ1046" t="str">
        <f>IF(ISNUMBER(FIND("arbeid",Methode_Keuze)),"",IF(Tb_Activiteiten[[#This Row],[Arbeidskosten - vast tarief (excl eigen arbeid)]]=1,Tb_Activiteiten[[#Headers],[Arbeidskosten - vast tarief (excl eigen arbeid)]],""))</f>
        <v/>
      </c>
      <c r="BA1046" t="str">
        <f>IF(ISNUMBER(FIND("overige",Methode_Keuze)),"",IF(Tb_Activiteiten[[#This Row],[Overige kosten]]=1,Tb_Activiteiten[[#Headers],[Overige kosten]],""))</f>
        <v/>
      </c>
    </row>
    <row r="1047" spans="1:53" x14ac:dyDescent="0.25">
      <c r="A1047" s="139"/>
      <c r="B1047" s="139"/>
      <c r="C1047" s="139"/>
      <c r="D1047" s="139"/>
      <c r="E1047" s="139"/>
      <c r="F1047" s="139"/>
      <c r="G1047" s="139"/>
      <c r="O1047" s="56"/>
      <c r="Q1047" t="str">
        <f>IFERROR(IF(VLOOKUP(Tb_Activiteiten[[#This Row],[Openstelling]],Tb_Openstelling[],2,0)=1,1,""),"")</f>
        <v/>
      </c>
      <c r="AK1047" t="str">
        <f>IF(ISNUMBER(FIND("arbeid",Methode_Keuze)),"",IF(ISNUMBER(FIND("arbeid",Methode_Keuze)),"",IF(Tb_Activiteiten[[#This Row],[Loonkosten]]=1,Tb_Activiteiten[[#Headers],[Loonkosten]],"")))</f>
        <v/>
      </c>
      <c r="AL1047" t="str">
        <f>IF(ISNUMBER(FIND("arbeid",Methode_Keuze)),"",IF(ISNUMBER(FIND("arbeid",Methode_Keuze)),"",IF(Tb_Activiteiten[[#This Row],[Eigen arbeid]]=1,Tb_Activiteiten[[#Headers],[Eigen arbeid]],"")))</f>
        <v/>
      </c>
      <c r="AM1047" t="str">
        <f>IF(ISNUMBER(FIND("arbeid",Methode_Keuze)),"",IF(ISNUMBER(FIND("arbeid",Methode_Keuze)),"",IF(Tb_Activiteiten[[#This Row],[Projectmedewerker]]=1,Tb_Activiteiten[[#Headers],[Projectmedewerker]],"")))</f>
        <v/>
      </c>
      <c r="AN1047" t="str">
        <f>IF(ISNUMBER(FIND("arbeid",Methode_Keuze)),"",IF(ISNUMBER(FIND("arbeid",Methode_Keuze)),"",IF(Tb_Activiteiten[[#This Row],[Landbouwer]]=1,Tb_Activiteiten[[#Headers],[Landbouwer]],"")))</f>
        <v/>
      </c>
      <c r="AO1047" t="str">
        <f>IF(ISNUMBER(FIND("arbeid",Methode_Keuze)),"",IF(ISNUMBER(FIND("arbeid",Methode_Keuze)),"",IF(Tb_Activiteiten[[#This Row],[Adviseur]]=1,Tb_Activiteiten[[#Headers],[Adviseur]],"")))</f>
        <v/>
      </c>
      <c r="AP1047" t="str">
        <f>IF(ISNUMBER(FIND("arbeid",Methode_Keuze)),"",IF(ISNUMBER(FIND("arbeid",Methode_Keuze)),"",IF(Tb_Activiteiten[[#This Row],[Projectleider/Expert]]=1,Tb_Activiteiten[[#Headers],[Projectleider/Expert]],"")))</f>
        <v/>
      </c>
      <c r="AQ1047" t="str">
        <f>IF(ISNUMBER(FIND("arbeid",Methode_Keuze)),"",IF(ISNUMBER(FIND("arbeid",Methode_Keuze)),"",IF(Tb_Activiteiten[[#This Row],[Arbeidskosten]]=1,Tb_Activiteiten[[#Headers],[Arbeidskosten]],"")))</f>
        <v/>
      </c>
      <c r="AR1047" t="str">
        <f>IF(ISNUMBER(FIND("arbeid",Methode_Keuze)),"",IF(ISNUMBER(FIND("arbeid",Methode_Keuze)),"",IF(Tb_Activiteiten[[#This Row],[Arbeidskosten op basis van IKS]]=1,Tb_Activiteiten[[#Headers],[Arbeidskosten op basis van IKS]],"")))</f>
        <v/>
      </c>
      <c r="AS1047" t="str">
        <f>IF(ISNUMBER(FIND("overige",Methode_Keuze)),"",IF(Tb_Activiteiten[[#This Row],[Kosten derden exclusief btw]]=1,Tb_Activiteiten[[#Headers],[Kosten derden exclusief btw]],""))</f>
        <v/>
      </c>
      <c r="AT1047" t="str">
        <f>IF(ISNUMBER(FIND("overige",Methode_Keuze)),"",IF(Tb_Activiteiten[[#This Row],[Niet verrekenbare btw]]=1,Tb_Activiteiten[[#Headers],[Niet verrekenbare btw]],""))</f>
        <v/>
      </c>
      <c r="AU1047" t="str">
        <f>IF(ISNUMBER(FIND("overige",Methode_Keuze)),"",IF(Tb_Activiteiten[[#This Row],[Grondkosten]]=1,Tb_Activiteiten[[#Headers],[Grondkosten]],""))</f>
        <v/>
      </c>
      <c r="AV1047" t="str">
        <f>IF(ISNUMBER(FIND("overige",Methode_Keuze)),"",IF(Tb_Activiteiten[[#This Row],[Bijdrage in natura (overige)]]=1,Tb_Activiteiten[[#Headers],[Bijdrage in natura (overige)]],""))</f>
        <v/>
      </c>
      <c r="AW1047" t="str">
        <f>IF(ISNUMBER(FIND("overige",Methode_Keuze)),"",IF(Tb_Activiteiten[[#This Row],[Bijdrage in natura (vrijwilligers)]]=1,Tb_Activiteiten[[#Headers],[Bijdrage in natura (vrijwilligers)]],""))</f>
        <v/>
      </c>
      <c r="AX1047" t="str">
        <f>IF(ISNUMBER(FIND("overige",Methode_Keuze)),"",IF(Tb_Activiteiten[[#This Row],[Afschrijvingskosten]]=1,Tb_Activiteiten[[#Headers],[Afschrijvingskosten]],""))</f>
        <v/>
      </c>
      <c r="AY1047" t="str">
        <f>IF(ISNUMBER(FIND("overige",Methode_Keuze)),"",IF(Tb_Activiteiten[[#This Row],[Vergoeding]]=1,Tb_Activiteiten[[#Headers],[Vergoeding]],""))</f>
        <v/>
      </c>
      <c r="AZ1047" t="str">
        <f>IF(ISNUMBER(FIND("arbeid",Methode_Keuze)),"",IF(Tb_Activiteiten[[#This Row],[Arbeidskosten - vast tarief (excl eigen arbeid)]]=1,Tb_Activiteiten[[#Headers],[Arbeidskosten - vast tarief (excl eigen arbeid)]],""))</f>
        <v/>
      </c>
      <c r="BA1047" t="str">
        <f>IF(ISNUMBER(FIND("overige",Methode_Keuze)),"",IF(Tb_Activiteiten[[#This Row],[Overige kosten]]=1,Tb_Activiteiten[[#Headers],[Overige kosten]],""))</f>
        <v/>
      </c>
    </row>
    <row r="1048" spans="1:53" x14ac:dyDescent="0.25">
      <c r="A1048" s="139"/>
      <c r="B1048" s="139"/>
      <c r="C1048" s="139"/>
      <c r="D1048" s="139"/>
      <c r="E1048" s="139"/>
      <c r="F1048" s="139"/>
      <c r="G1048" s="139"/>
      <c r="O1048" s="56"/>
      <c r="Q1048" t="str">
        <f>IFERROR(IF(VLOOKUP(Tb_Activiteiten[[#This Row],[Openstelling]],Tb_Openstelling[],2,0)=1,1,""),"")</f>
        <v/>
      </c>
      <c r="AK1048" t="str">
        <f>IF(ISNUMBER(FIND("arbeid",Methode_Keuze)),"",IF(ISNUMBER(FIND("arbeid",Methode_Keuze)),"",IF(Tb_Activiteiten[[#This Row],[Loonkosten]]=1,Tb_Activiteiten[[#Headers],[Loonkosten]],"")))</f>
        <v/>
      </c>
      <c r="AL1048" t="str">
        <f>IF(ISNUMBER(FIND("arbeid",Methode_Keuze)),"",IF(ISNUMBER(FIND("arbeid",Methode_Keuze)),"",IF(Tb_Activiteiten[[#This Row],[Eigen arbeid]]=1,Tb_Activiteiten[[#Headers],[Eigen arbeid]],"")))</f>
        <v/>
      </c>
      <c r="AM1048" t="str">
        <f>IF(ISNUMBER(FIND("arbeid",Methode_Keuze)),"",IF(ISNUMBER(FIND("arbeid",Methode_Keuze)),"",IF(Tb_Activiteiten[[#This Row],[Projectmedewerker]]=1,Tb_Activiteiten[[#Headers],[Projectmedewerker]],"")))</f>
        <v/>
      </c>
      <c r="AN1048" t="str">
        <f>IF(ISNUMBER(FIND("arbeid",Methode_Keuze)),"",IF(ISNUMBER(FIND("arbeid",Methode_Keuze)),"",IF(Tb_Activiteiten[[#This Row],[Landbouwer]]=1,Tb_Activiteiten[[#Headers],[Landbouwer]],"")))</f>
        <v/>
      </c>
      <c r="AO1048" t="str">
        <f>IF(ISNUMBER(FIND("arbeid",Methode_Keuze)),"",IF(ISNUMBER(FIND("arbeid",Methode_Keuze)),"",IF(Tb_Activiteiten[[#This Row],[Adviseur]]=1,Tb_Activiteiten[[#Headers],[Adviseur]],"")))</f>
        <v/>
      </c>
      <c r="AP1048" t="str">
        <f>IF(ISNUMBER(FIND("arbeid",Methode_Keuze)),"",IF(ISNUMBER(FIND("arbeid",Methode_Keuze)),"",IF(Tb_Activiteiten[[#This Row],[Projectleider/Expert]]=1,Tb_Activiteiten[[#Headers],[Projectleider/Expert]],"")))</f>
        <v/>
      </c>
      <c r="AQ1048" t="str">
        <f>IF(ISNUMBER(FIND("arbeid",Methode_Keuze)),"",IF(ISNUMBER(FIND("arbeid",Methode_Keuze)),"",IF(Tb_Activiteiten[[#This Row],[Arbeidskosten]]=1,Tb_Activiteiten[[#Headers],[Arbeidskosten]],"")))</f>
        <v/>
      </c>
      <c r="AR1048" t="str">
        <f>IF(ISNUMBER(FIND("arbeid",Methode_Keuze)),"",IF(ISNUMBER(FIND("arbeid",Methode_Keuze)),"",IF(Tb_Activiteiten[[#This Row],[Arbeidskosten op basis van IKS]]=1,Tb_Activiteiten[[#Headers],[Arbeidskosten op basis van IKS]],"")))</f>
        <v/>
      </c>
      <c r="AS1048" t="str">
        <f>IF(ISNUMBER(FIND("overige",Methode_Keuze)),"",IF(Tb_Activiteiten[[#This Row],[Kosten derden exclusief btw]]=1,Tb_Activiteiten[[#Headers],[Kosten derden exclusief btw]],""))</f>
        <v/>
      </c>
      <c r="AT1048" t="str">
        <f>IF(ISNUMBER(FIND("overige",Methode_Keuze)),"",IF(Tb_Activiteiten[[#This Row],[Niet verrekenbare btw]]=1,Tb_Activiteiten[[#Headers],[Niet verrekenbare btw]],""))</f>
        <v/>
      </c>
      <c r="AU1048" t="str">
        <f>IF(ISNUMBER(FIND("overige",Methode_Keuze)),"",IF(Tb_Activiteiten[[#This Row],[Grondkosten]]=1,Tb_Activiteiten[[#Headers],[Grondkosten]],""))</f>
        <v/>
      </c>
      <c r="AV1048" t="str">
        <f>IF(ISNUMBER(FIND("overige",Methode_Keuze)),"",IF(Tb_Activiteiten[[#This Row],[Bijdrage in natura (overige)]]=1,Tb_Activiteiten[[#Headers],[Bijdrage in natura (overige)]],""))</f>
        <v/>
      </c>
      <c r="AW1048" t="str">
        <f>IF(ISNUMBER(FIND("overige",Methode_Keuze)),"",IF(Tb_Activiteiten[[#This Row],[Bijdrage in natura (vrijwilligers)]]=1,Tb_Activiteiten[[#Headers],[Bijdrage in natura (vrijwilligers)]],""))</f>
        <v/>
      </c>
      <c r="AX1048" t="str">
        <f>IF(ISNUMBER(FIND("overige",Methode_Keuze)),"",IF(Tb_Activiteiten[[#This Row],[Afschrijvingskosten]]=1,Tb_Activiteiten[[#Headers],[Afschrijvingskosten]],""))</f>
        <v/>
      </c>
      <c r="AY1048" t="str">
        <f>IF(ISNUMBER(FIND("overige",Methode_Keuze)),"",IF(Tb_Activiteiten[[#This Row],[Vergoeding]]=1,Tb_Activiteiten[[#Headers],[Vergoeding]],""))</f>
        <v/>
      </c>
      <c r="AZ1048" t="str">
        <f>IF(ISNUMBER(FIND("arbeid",Methode_Keuze)),"",IF(Tb_Activiteiten[[#This Row],[Arbeidskosten - vast tarief (excl eigen arbeid)]]=1,Tb_Activiteiten[[#Headers],[Arbeidskosten - vast tarief (excl eigen arbeid)]],""))</f>
        <v/>
      </c>
      <c r="BA1048" t="str">
        <f>IF(ISNUMBER(FIND("overige",Methode_Keuze)),"",IF(Tb_Activiteiten[[#This Row],[Overige kosten]]=1,Tb_Activiteiten[[#Headers],[Overige kosten]],""))</f>
        <v/>
      </c>
    </row>
    <row r="1049" spans="1:53" x14ac:dyDescent="0.25">
      <c r="A1049" s="139"/>
      <c r="B1049" s="139"/>
      <c r="C1049" s="139"/>
      <c r="D1049" s="139"/>
      <c r="E1049" s="139"/>
      <c r="F1049" s="139"/>
      <c r="G1049" s="139"/>
      <c r="O1049" s="56"/>
      <c r="Q1049" t="str">
        <f>IFERROR(IF(VLOOKUP(Tb_Activiteiten[[#This Row],[Openstelling]],Tb_Openstelling[],2,0)=1,1,""),"")</f>
        <v/>
      </c>
      <c r="AK1049" t="str">
        <f>IF(ISNUMBER(FIND("arbeid",Methode_Keuze)),"",IF(ISNUMBER(FIND("arbeid",Methode_Keuze)),"",IF(Tb_Activiteiten[[#This Row],[Loonkosten]]=1,Tb_Activiteiten[[#Headers],[Loonkosten]],"")))</f>
        <v/>
      </c>
      <c r="AL1049" t="str">
        <f>IF(ISNUMBER(FIND("arbeid",Methode_Keuze)),"",IF(ISNUMBER(FIND("arbeid",Methode_Keuze)),"",IF(Tb_Activiteiten[[#This Row],[Eigen arbeid]]=1,Tb_Activiteiten[[#Headers],[Eigen arbeid]],"")))</f>
        <v/>
      </c>
      <c r="AM1049" t="str">
        <f>IF(ISNUMBER(FIND("arbeid",Methode_Keuze)),"",IF(ISNUMBER(FIND("arbeid",Methode_Keuze)),"",IF(Tb_Activiteiten[[#This Row],[Projectmedewerker]]=1,Tb_Activiteiten[[#Headers],[Projectmedewerker]],"")))</f>
        <v/>
      </c>
      <c r="AN1049" t="str">
        <f>IF(ISNUMBER(FIND("arbeid",Methode_Keuze)),"",IF(ISNUMBER(FIND("arbeid",Methode_Keuze)),"",IF(Tb_Activiteiten[[#This Row],[Landbouwer]]=1,Tb_Activiteiten[[#Headers],[Landbouwer]],"")))</f>
        <v/>
      </c>
      <c r="AO1049" t="str">
        <f>IF(ISNUMBER(FIND("arbeid",Methode_Keuze)),"",IF(ISNUMBER(FIND("arbeid",Methode_Keuze)),"",IF(Tb_Activiteiten[[#This Row],[Adviseur]]=1,Tb_Activiteiten[[#Headers],[Adviseur]],"")))</f>
        <v/>
      </c>
      <c r="AP1049" t="str">
        <f>IF(ISNUMBER(FIND("arbeid",Methode_Keuze)),"",IF(ISNUMBER(FIND("arbeid",Methode_Keuze)),"",IF(Tb_Activiteiten[[#This Row],[Projectleider/Expert]]=1,Tb_Activiteiten[[#Headers],[Projectleider/Expert]],"")))</f>
        <v/>
      </c>
      <c r="AQ1049" t="str">
        <f>IF(ISNUMBER(FIND("arbeid",Methode_Keuze)),"",IF(ISNUMBER(FIND("arbeid",Methode_Keuze)),"",IF(Tb_Activiteiten[[#This Row],[Arbeidskosten]]=1,Tb_Activiteiten[[#Headers],[Arbeidskosten]],"")))</f>
        <v/>
      </c>
      <c r="AR1049" t="str">
        <f>IF(ISNUMBER(FIND("arbeid",Methode_Keuze)),"",IF(ISNUMBER(FIND("arbeid",Methode_Keuze)),"",IF(Tb_Activiteiten[[#This Row],[Arbeidskosten op basis van IKS]]=1,Tb_Activiteiten[[#Headers],[Arbeidskosten op basis van IKS]],"")))</f>
        <v/>
      </c>
      <c r="AS1049" t="str">
        <f>IF(ISNUMBER(FIND("overige",Methode_Keuze)),"",IF(Tb_Activiteiten[[#This Row],[Kosten derden exclusief btw]]=1,Tb_Activiteiten[[#Headers],[Kosten derden exclusief btw]],""))</f>
        <v/>
      </c>
      <c r="AT1049" t="str">
        <f>IF(ISNUMBER(FIND("overige",Methode_Keuze)),"",IF(Tb_Activiteiten[[#This Row],[Niet verrekenbare btw]]=1,Tb_Activiteiten[[#Headers],[Niet verrekenbare btw]],""))</f>
        <v/>
      </c>
      <c r="AU1049" t="str">
        <f>IF(ISNUMBER(FIND("overige",Methode_Keuze)),"",IF(Tb_Activiteiten[[#This Row],[Grondkosten]]=1,Tb_Activiteiten[[#Headers],[Grondkosten]],""))</f>
        <v/>
      </c>
      <c r="AV1049" t="str">
        <f>IF(ISNUMBER(FIND("overige",Methode_Keuze)),"",IF(Tb_Activiteiten[[#This Row],[Bijdrage in natura (overige)]]=1,Tb_Activiteiten[[#Headers],[Bijdrage in natura (overige)]],""))</f>
        <v/>
      </c>
      <c r="AW1049" t="str">
        <f>IF(ISNUMBER(FIND("overige",Methode_Keuze)),"",IF(Tb_Activiteiten[[#This Row],[Bijdrage in natura (vrijwilligers)]]=1,Tb_Activiteiten[[#Headers],[Bijdrage in natura (vrijwilligers)]],""))</f>
        <v/>
      </c>
      <c r="AX1049" t="str">
        <f>IF(ISNUMBER(FIND("overige",Methode_Keuze)),"",IF(Tb_Activiteiten[[#This Row],[Afschrijvingskosten]]=1,Tb_Activiteiten[[#Headers],[Afschrijvingskosten]],""))</f>
        <v/>
      </c>
      <c r="AY1049" t="str">
        <f>IF(ISNUMBER(FIND("overige",Methode_Keuze)),"",IF(Tb_Activiteiten[[#This Row],[Vergoeding]]=1,Tb_Activiteiten[[#Headers],[Vergoeding]],""))</f>
        <v/>
      </c>
      <c r="AZ1049" t="str">
        <f>IF(ISNUMBER(FIND("arbeid",Methode_Keuze)),"",IF(Tb_Activiteiten[[#This Row],[Arbeidskosten - vast tarief (excl eigen arbeid)]]=1,Tb_Activiteiten[[#Headers],[Arbeidskosten - vast tarief (excl eigen arbeid)]],""))</f>
        <v/>
      </c>
      <c r="BA1049" t="str">
        <f>IF(ISNUMBER(FIND("overige",Methode_Keuze)),"",IF(Tb_Activiteiten[[#This Row],[Overige kosten]]=1,Tb_Activiteiten[[#Headers],[Overige kosten]],""))</f>
        <v/>
      </c>
    </row>
    <row r="1050" spans="1:53" x14ac:dyDescent="0.25">
      <c r="A1050" s="139"/>
      <c r="B1050" s="139"/>
      <c r="C1050" s="139"/>
      <c r="D1050" s="139"/>
      <c r="E1050" s="139"/>
      <c r="F1050" s="139"/>
      <c r="G1050" s="139"/>
      <c r="O1050" s="56"/>
      <c r="Q1050" t="str">
        <f>IFERROR(IF(VLOOKUP(Tb_Activiteiten[[#This Row],[Openstelling]],Tb_Openstelling[],2,0)=1,1,""),"")</f>
        <v/>
      </c>
      <c r="AK1050" t="str">
        <f>IF(ISNUMBER(FIND("arbeid",Methode_Keuze)),"",IF(ISNUMBER(FIND("arbeid",Methode_Keuze)),"",IF(Tb_Activiteiten[[#This Row],[Loonkosten]]=1,Tb_Activiteiten[[#Headers],[Loonkosten]],"")))</f>
        <v/>
      </c>
      <c r="AL1050" t="str">
        <f>IF(ISNUMBER(FIND("arbeid",Methode_Keuze)),"",IF(ISNUMBER(FIND("arbeid",Methode_Keuze)),"",IF(Tb_Activiteiten[[#This Row],[Eigen arbeid]]=1,Tb_Activiteiten[[#Headers],[Eigen arbeid]],"")))</f>
        <v/>
      </c>
      <c r="AM1050" t="str">
        <f>IF(ISNUMBER(FIND("arbeid",Methode_Keuze)),"",IF(ISNUMBER(FIND("arbeid",Methode_Keuze)),"",IF(Tb_Activiteiten[[#This Row],[Projectmedewerker]]=1,Tb_Activiteiten[[#Headers],[Projectmedewerker]],"")))</f>
        <v/>
      </c>
      <c r="AN1050" t="str">
        <f>IF(ISNUMBER(FIND("arbeid",Methode_Keuze)),"",IF(ISNUMBER(FIND("arbeid",Methode_Keuze)),"",IF(Tb_Activiteiten[[#This Row],[Landbouwer]]=1,Tb_Activiteiten[[#Headers],[Landbouwer]],"")))</f>
        <v/>
      </c>
      <c r="AO1050" t="str">
        <f>IF(ISNUMBER(FIND("arbeid",Methode_Keuze)),"",IF(ISNUMBER(FIND("arbeid",Methode_Keuze)),"",IF(Tb_Activiteiten[[#This Row],[Adviseur]]=1,Tb_Activiteiten[[#Headers],[Adviseur]],"")))</f>
        <v/>
      </c>
      <c r="AP1050" t="str">
        <f>IF(ISNUMBER(FIND("arbeid",Methode_Keuze)),"",IF(ISNUMBER(FIND("arbeid",Methode_Keuze)),"",IF(Tb_Activiteiten[[#This Row],[Projectleider/Expert]]=1,Tb_Activiteiten[[#Headers],[Projectleider/Expert]],"")))</f>
        <v/>
      </c>
      <c r="AQ1050" t="str">
        <f>IF(ISNUMBER(FIND("arbeid",Methode_Keuze)),"",IF(ISNUMBER(FIND("arbeid",Methode_Keuze)),"",IF(Tb_Activiteiten[[#This Row],[Arbeidskosten]]=1,Tb_Activiteiten[[#Headers],[Arbeidskosten]],"")))</f>
        <v/>
      </c>
      <c r="AR1050" t="str">
        <f>IF(ISNUMBER(FIND("arbeid",Methode_Keuze)),"",IF(ISNUMBER(FIND("arbeid",Methode_Keuze)),"",IF(Tb_Activiteiten[[#This Row],[Arbeidskosten op basis van IKS]]=1,Tb_Activiteiten[[#Headers],[Arbeidskosten op basis van IKS]],"")))</f>
        <v/>
      </c>
      <c r="AS1050" t="str">
        <f>IF(ISNUMBER(FIND("overige",Methode_Keuze)),"",IF(Tb_Activiteiten[[#This Row],[Kosten derden exclusief btw]]=1,Tb_Activiteiten[[#Headers],[Kosten derden exclusief btw]],""))</f>
        <v/>
      </c>
      <c r="AT1050" t="str">
        <f>IF(ISNUMBER(FIND("overige",Methode_Keuze)),"",IF(Tb_Activiteiten[[#This Row],[Niet verrekenbare btw]]=1,Tb_Activiteiten[[#Headers],[Niet verrekenbare btw]],""))</f>
        <v/>
      </c>
      <c r="AU1050" t="str">
        <f>IF(ISNUMBER(FIND("overige",Methode_Keuze)),"",IF(Tb_Activiteiten[[#This Row],[Grondkosten]]=1,Tb_Activiteiten[[#Headers],[Grondkosten]],""))</f>
        <v/>
      </c>
      <c r="AV1050" t="str">
        <f>IF(ISNUMBER(FIND("overige",Methode_Keuze)),"",IF(Tb_Activiteiten[[#This Row],[Bijdrage in natura (overige)]]=1,Tb_Activiteiten[[#Headers],[Bijdrage in natura (overige)]],""))</f>
        <v/>
      </c>
      <c r="AW1050" t="str">
        <f>IF(ISNUMBER(FIND("overige",Methode_Keuze)),"",IF(Tb_Activiteiten[[#This Row],[Bijdrage in natura (vrijwilligers)]]=1,Tb_Activiteiten[[#Headers],[Bijdrage in natura (vrijwilligers)]],""))</f>
        <v/>
      </c>
      <c r="AX1050" t="str">
        <f>IF(ISNUMBER(FIND("overige",Methode_Keuze)),"",IF(Tb_Activiteiten[[#This Row],[Afschrijvingskosten]]=1,Tb_Activiteiten[[#Headers],[Afschrijvingskosten]],""))</f>
        <v/>
      </c>
      <c r="AY1050" t="str">
        <f>IF(ISNUMBER(FIND("overige",Methode_Keuze)),"",IF(Tb_Activiteiten[[#This Row],[Vergoeding]]=1,Tb_Activiteiten[[#Headers],[Vergoeding]],""))</f>
        <v/>
      </c>
      <c r="AZ1050" t="str">
        <f>IF(ISNUMBER(FIND("arbeid",Methode_Keuze)),"",IF(Tb_Activiteiten[[#This Row],[Arbeidskosten - vast tarief (excl eigen arbeid)]]=1,Tb_Activiteiten[[#Headers],[Arbeidskosten - vast tarief (excl eigen arbeid)]],""))</f>
        <v/>
      </c>
      <c r="BA1050" t="str">
        <f>IF(ISNUMBER(FIND("overige",Methode_Keuze)),"",IF(Tb_Activiteiten[[#This Row],[Overige kosten]]=1,Tb_Activiteiten[[#Headers],[Overige kosten]],""))</f>
        <v/>
      </c>
    </row>
    <row r="1051" spans="1:53" x14ac:dyDescent="0.25">
      <c r="A1051" s="139"/>
      <c r="B1051" s="139"/>
      <c r="C1051" s="139"/>
      <c r="D1051" s="139"/>
      <c r="E1051" s="139"/>
      <c r="F1051" s="139"/>
      <c r="G1051" s="139"/>
      <c r="O1051" s="56"/>
      <c r="Q1051" t="str">
        <f>IFERROR(IF(VLOOKUP(Tb_Activiteiten[[#This Row],[Openstelling]],Tb_Openstelling[],2,0)=1,1,""),"")</f>
        <v/>
      </c>
      <c r="AK1051" t="str">
        <f>IF(ISNUMBER(FIND("arbeid",Methode_Keuze)),"",IF(ISNUMBER(FIND("arbeid",Methode_Keuze)),"",IF(Tb_Activiteiten[[#This Row],[Loonkosten]]=1,Tb_Activiteiten[[#Headers],[Loonkosten]],"")))</f>
        <v/>
      </c>
      <c r="AL1051" t="str">
        <f>IF(ISNUMBER(FIND("arbeid",Methode_Keuze)),"",IF(ISNUMBER(FIND("arbeid",Methode_Keuze)),"",IF(Tb_Activiteiten[[#This Row],[Eigen arbeid]]=1,Tb_Activiteiten[[#Headers],[Eigen arbeid]],"")))</f>
        <v/>
      </c>
      <c r="AM1051" t="str">
        <f>IF(ISNUMBER(FIND("arbeid",Methode_Keuze)),"",IF(ISNUMBER(FIND("arbeid",Methode_Keuze)),"",IF(Tb_Activiteiten[[#This Row],[Projectmedewerker]]=1,Tb_Activiteiten[[#Headers],[Projectmedewerker]],"")))</f>
        <v/>
      </c>
      <c r="AN1051" t="str">
        <f>IF(ISNUMBER(FIND("arbeid",Methode_Keuze)),"",IF(ISNUMBER(FIND("arbeid",Methode_Keuze)),"",IF(Tb_Activiteiten[[#This Row],[Landbouwer]]=1,Tb_Activiteiten[[#Headers],[Landbouwer]],"")))</f>
        <v/>
      </c>
      <c r="AO1051" t="str">
        <f>IF(ISNUMBER(FIND("arbeid",Methode_Keuze)),"",IF(ISNUMBER(FIND("arbeid",Methode_Keuze)),"",IF(Tb_Activiteiten[[#This Row],[Adviseur]]=1,Tb_Activiteiten[[#Headers],[Adviseur]],"")))</f>
        <v/>
      </c>
      <c r="AP1051" t="str">
        <f>IF(ISNUMBER(FIND("arbeid",Methode_Keuze)),"",IF(ISNUMBER(FIND("arbeid",Methode_Keuze)),"",IF(Tb_Activiteiten[[#This Row],[Projectleider/Expert]]=1,Tb_Activiteiten[[#Headers],[Projectleider/Expert]],"")))</f>
        <v/>
      </c>
      <c r="AQ1051" t="str">
        <f>IF(ISNUMBER(FIND("arbeid",Methode_Keuze)),"",IF(ISNUMBER(FIND("arbeid",Methode_Keuze)),"",IF(Tb_Activiteiten[[#This Row],[Arbeidskosten]]=1,Tb_Activiteiten[[#Headers],[Arbeidskosten]],"")))</f>
        <v/>
      </c>
      <c r="AR1051" t="str">
        <f>IF(ISNUMBER(FIND("arbeid",Methode_Keuze)),"",IF(ISNUMBER(FIND("arbeid",Methode_Keuze)),"",IF(Tb_Activiteiten[[#This Row],[Arbeidskosten op basis van IKS]]=1,Tb_Activiteiten[[#Headers],[Arbeidskosten op basis van IKS]],"")))</f>
        <v/>
      </c>
      <c r="AS1051" t="str">
        <f>IF(ISNUMBER(FIND("overige",Methode_Keuze)),"",IF(Tb_Activiteiten[[#This Row],[Kosten derden exclusief btw]]=1,Tb_Activiteiten[[#Headers],[Kosten derden exclusief btw]],""))</f>
        <v/>
      </c>
      <c r="AT1051" t="str">
        <f>IF(ISNUMBER(FIND("overige",Methode_Keuze)),"",IF(Tb_Activiteiten[[#This Row],[Niet verrekenbare btw]]=1,Tb_Activiteiten[[#Headers],[Niet verrekenbare btw]],""))</f>
        <v/>
      </c>
      <c r="AU1051" t="str">
        <f>IF(ISNUMBER(FIND("overige",Methode_Keuze)),"",IF(Tb_Activiteiten[[#This Row],[Grondkosten]]=1,Tb_Activiteiten[[#Headers],[Grondkosten]],""))</f>
        <v/>
      </c>
      <c r="AV1051" t="str">
        <f>IF(ISNUMBER(FIND("overige",Methode_Keuze)),"",IF(Tb_Activiteiten[[#This Row],[Bijdrage in natura (overige)]]=1,Tb_Activiteiten[[#Headers],[Bijdrage in natura (overige)]],""))</f>
        <v/>
      </c>
      <c r="AW1051" t="str">
        <f>IF(ISNUMBER(FIND("overige",Methode_Keuze)),"",IF(Tb_Activiteiten[[#This Row],[Bijdrage in natura (vrijwilligers)]]=1,Tb_Activiteiten[[#Headers],[Bijdrage in natura (vrijwilligers)]],""))</f>
        <v/>
      </c>
      <c r="AX1051" t="str">
        <f>IF(ISNUMBER(FIND("overige",Methode_Keuze)),"",IF(Tb_Activiteiten[[#This Row],[Afschrijvingskosten]]=1,Tb_Activiteiten[[#Headers],[Afschrijvingskosten]],""))</f>
        <v/>
      </c>
      <c r="AY1051" t="str">
        <f>IF(ISNUMBER(FIND("overige",Methode_Keuze)),"",IF(Tb_Activiteiten[[#This Row],[Vergoeding]]=1,Tb_Activiteiten[[#Headers],[Vergoeding]],""))</f>
        <v/>
      </c>
      <c r="AZ1051" t="str">
        <f>IF(ISNUMBER(FIND("arbeid",Methode_Keuze)),"",IF(Tb_Activiteiten[[#This Row],[Arbeidskosten - vast tarief (excl eigen arbeid)]]=1,Tb_Activiteiten[[#Headers],[Arbeidskosten - vast tarief (excl eigen arbeid)]],""))</f>
        <v/>
      </c>
      <c r="BA1051" t="str">
        <f>IF(ISNUMBER(FIND("overige",Methode_Keuze)),"",IF(Tb_Activiteiten[[#This Row],[Overige kosten]]=1,Tb_Activiteiten[[#Headers],[Overige kosten]],""))</f>
        <v/>
      </c>
    </row>
    <row r="1052" spans="1:53" x14ac:dyDescent="0.25">
      <c r="A1052" s="139"/>
      <c r="B1052" s="139"/>
      <c r="C1052" s="139"/>
      <c r="D1052" s="139"/>
      <c r="E1052" s="139"/>
      <c r="F1052" s="139"/>
      <c r="G1052" s="139"/>
      <c r="O1052" s="56"/>
      <c r="Q1052" t="str">
        <f>IFERROR(IF(VLOOKUP(Tb_Activiteiten[[#This Row],[Openstelling]],Tb_Openstelling[],2,0)=1,1,""),"")</f>
        <v/>
      </c>
      <c r="AK1052" t="str">
        <f>IF(ISNUMBER(FIND("arbeid",Methode_Keuze)),"",IF(ISNUMBER(FIND("arbeid",Methode_Keuze)),"",IF(Tb_Activiteiten[[#This Row],[Loonkosten]]=1,Tb_Activiteiten[[#Headers],[Loonkosten]],"")))</f>
        <v/>
      </c>
      <c r="AL1052" t="str">
        <f>IF(ISNUMBER(FIND("arbeid",Methode_Keuze)),"",IF(ISNUMBER(FIND("arbeid",Methode_Keuze)),"",IF(Tb_Activiteiten[[#This Row],[Eigen arbeid]]=1,Tb_Activiteiten[[#Headers],[Eigen arbeid]],"")))</f>
        <v/>
      </c>
      <c r="AM1052" t="str">
        <f>IF(ISNUMBER(FIND("arbeid",Methode_Keuze)),"",IF(ISNUMBER(FIND("arbeid",Methode_Keuze)),"",IF(Tb_Activiteiten[[#This Row],[Projectmedewerker]]=1,Tb_Activiteiten[[#Headers],[Projectmedewerker]],"")))</f>
        <v/>
      </c>
      <c r="AN1052" t="str">
        <f>IF(ISNUMBER(FIND("arbeid",Methode_Keuze)),"",IF(ISNUMBER(FIND("arbeid",Methode_Keuze)),"",IF(Tb_Activiteiten[[#This Row],[Landbouwer]]=1,Tb_Activiteiten[[#Headers],[Landbouwer]],"")))</f>
        <v/>
      </c>
      <c r="AO1052" t="str">
        <f>IF(ISNUMBER(FIND("arbeid",Methode_Keuze)),"",IF(ISNUMBER(FIND("arbeid",Methode_Keuze)),"",IF(Tb_Activiteiten[[#This Row],[Adviseur]]=1,Tb_Activiteiten[[#Headers],[Adviseur]],"")))</f>
        <v/>
      </c>
      <c r="AP1052" t="str">
        <f>IF(ISNUMBER(FIND("arbeid",Methode_Keuze)),"",IF(ISNUMBER(FIND("arbeid",Methode_Keuze)),"",IF(Tb_Activiteiten[[#This Row],[Projectleider/Expert]]=1,Tb_Activiteiten[[#Headers],[Projectleider/Expert]],"")))</f>
        <v/>
      </c>
      <c r="AQ1052" t="str">
        <f>IF(ISNUMBER(FIND("arbeid",Methode_Keuze)),"",IF(ISNUMBER(FIND("arbeid",Methode_Keuze)),"",IF(Tb_Activiteiten[[#This Row],[Arbeidskosten]]=1,Tb_Activiteiten[[#Headers],[Arbeidskosten]],"")))</f>
        <v/>
      </c>
      <c r="AR1052" t="str">
        <f>IF(ISNUMBER(FIND("arbeid",Methode_Keuze)),"",IF(ISNUMBER(FIND("arbeid",Methode_Keuze)),"",IF(Tb_Activiteiten[[#This Row],[Arbeidskosten op basis van IKS]]=1,Tb_Activiteiten[[#Headers],[Arbeidskosten op basis van IKS]],"")))</f>
        <v/>
      </c>
      <c r="AS1052" t="str">
        <f>IF(ISNUMBER(FIND("overige",Methode_Keuze)),"",IF(Tb_Activiteiten[[#This Row],[Kosten derden exclusief btw]]=1,Tb_Activiteiten[[#Headers],[Kosten derden exclusief btw]],""))</f>
        <v/>
      </c>
      <c r="AT1052" t="str">
        <f>IF(ISNUMBER(FIND("overige",Methode_Keuze)),"",IF(Tb_Activiteiten[[#This Row],[Niet verrekenbare btw]]=1,Tb_Activiteiten[[#Headers],[Niet verrekenbare btw]],""))</f>
        <v/>
      </c>
      <c r="AU1052" t="str">
        <f>IF(ISNUMBER(FIND("overige",Methode_Keuze)),"",IF(Tb_Activiteiten[[#This Row],[Grondkosten]]=1,Tb_Activiteiten[[#Headers],[Grondkosten]],""))</f>
        <v/>
      </c>
      <c r="AV1052" t="str">
        <f>IF(ISNUMBER(FIND("overige",Methode_Keuze)),"",IF(Tb_Activiteiten[[#This Row],[Bijdrage in natura (overige)]]=1,Tb_Activiteiten[[#Headers],[Bijdrage in natura (overige)]],""))</f>
        <v/>
      </c>
      <c r="AW1052" t="str">
        <f>IF(ISNUMBER(FIND("overige",Methode_Keuze)),"",IF(Tb_Activiteiten[[#This Row],[Bijdrage in natura (vrijwilligers)]]=1,Tb_Activiteiten[[#Headers],[Bijdrage in natura (vrijwilligers)]],""))</f>
        <v/>
      </c>
      <c r="AX1052" t="str">
        <f>IF(ISNUMBER(FIND("overige",Methode_Keuze)),"",IF(Tb_Activiteiten[[#This Row],[Afschrijvingskosten]]=1,Tb_Activiteiten[[#Headers],[Afschrijvingskosten]],""))</f>
        <v/>
      </c>
      <c r="AY1052" t="str">
        <f>IF(ISNUMBER(FIND("overige",Methode_Keuze)),"",IF(Tb_Activiteiten[[#This Row],[Vergoeding]]=1,Tb_Activiteiten[[#Headers],[Vergoeding]],""))</f>
        <v/>
      </c>
      <c r="AZ1052" t="str">
        <f>IF(ISNUMBER(FIND("arbeid",Methode_Keuze)),"",IF(Tb_Activiteiten[[#This Row],[Arbeidskosten - vast tarief (excl eigen arbeid)]]=1,Tb_Activiteiten[[#Headers],[Arbeidskosten - vast tarief (excl eigen arbeid)]],""))</f>
        <v/>
      </c>
      <c r="BA1052" t="str">
        <f>IF(ISNUMBER(FIND("overige",Methode_Keuze)),"",IF(Tb_Activiteiten[[#This Row],[Overige kosten]]=1,Tb_Activiteiten[[#Headers],[Overige kosten]],""))</f>
        <v/>
      </c>
    </row>
    <row r="1053" spans="1:53" x14ac:dyDescent="0.25">
      <c r="A1053" s="139"/>
      <c r="B1053" s="139"/>
      <c r="C1053" s="139"/>
      <c r="D1053" s="139"/>
      <c r="E1053" s="139"/>
      <c r="F1053" s="139"/>
      <c r="G1053" s="139"/>
      <c r="O1053" s="56"/>
      <c r="Q1053" t="str">
        <f>IFERROR(IF(VLOOKUP(Tb_Activiteiten[[#This Row],[Openstelling]],Tb_Openstelling[],2,0)=1,1,""),"")</f>
        <v/>
      </c>
      <c r="AK1053" t="str">
        <f>IF(ISNUMBER(FIND("arbeid",Methode_Keuze)),"",IF(ISNUMBER(FIND("arbeid",Methode_Keuze)),"",IF(Tb_Activiteiten[[#This Row],[Loonkosten]]=1,Tb_Activiteiten[[#Headers],[Loonkosten]],"")))</f>
        <v/>
      </c>
      <c r="AL1053" t="str">
        <f>IF(ISNUMBER(FIND("arbeid",Methode_Keuze)),"",IF(ISNUMBER(FIND("arbeid",Methode_Keuze)),"",IF(Tb_Activiteiten[[#This Row],[Eigen arbeid]]=1,Tb_Activiteiten[[#Headers],[Eigen arbeid]],"")))</f>
        <v/>
      </c>
      <c r="AM1053" t="str">
        <f>IF(ISNUMBER(FIND("arbeid",Methode_Keuze)),"",IF(ISNUMBER(FIND("arbeid",Methode_Keuze)),"",IF(Tb_Activiteiten[[#This Row],[Projectmedewerker]]=1,Tb_Activiteiten[[#Headers],[Projectmedewerker]],"")))</f>
        <v/>
      </c>
      <c r="AN1053" t="str">
        <f>IF(ISNUMBER(FIND("arbeid",Methode_Keuze)),"",IF(ISNUMBER(FIND("arbeid",Methode_Keuze)),"",IF(Tb_Activiteiten[[#This Row],[Landbouwer]]=1,Tb_Activiteiten[[#Headers],[Landbouwer]],"")))</f>
        <v/>
      </c>
      <c r="AO1053" t="str">
        <f>IF(ISNUMBER(FIND("arbeid",Methode_Keuze)),"",IF(ISNUMBER(FIND("arbeid",Methode_Keuze)),"",IF(Tb_Activiteiten[[#This Row],[Adviseur]]=1,Tb_Activiteiten[[#Headers],[Adviseur]],"")))</f>
        <v/>
      </c>
      <c r="AP1053" t="str">
        <f>IF(ISNUMBER(FIND("arbeid",Methode_Keuze)),"",IF(ISNUMBER(FIND("arbeid",Methode_Keuze)),"",IF(Tb_Activiteiten[[#This Row],[Projectleider/Expert]]=1,Tb_Activiteiten[[#Headers],[Projectleider/Expert]],"")))</f>
        <v/>
      </c>
      <c r="AQ1053" t="str">
        <f>IF(ISNUMBER(FIND("arbeid",Methode_Keuze)),"",IF(ISNUMBER(FIND("arbeid",Methode_Keuze)),"",IF(Tb_Activiteiten[[#This Row],[Arbeidskosten]]=1,Tb_Activiteiten[[#Headers],[Arbeidskosten]],"")))</f>
        <v/>
      </c>
      <c r="AR1053" t="str">
        <f>IF(ISNUMBER(FIND("arbeid",Methode_Keuze)),"",IF(ISNUMBER(FIND("arbeid",Methode_Keuze)),"",IF(Tb_Activiteiten[[#This Row],[Arbeidskosten op basis van IKS]]=1,Tb_Activiteiten[[#Headers],[Arbeidskosten op basis van IKS]],"")))</f>
        <v/>
      </c>
      <c r="AS1053" t="str">
        <f>IF(ISNUMBER(FIND("overige",Methode_Keuze)),"",IF(Tb_Activiteiten[[#This Row],[Kosten derden exclusief btw]]=1,Tb_Activiteiten[[#Headers],[Kosten derden exclusief btw]],""))</f>
        <v/>
      </c>
      <c r="AT1053" t="str">
        <f>IF(ISNUMBER(FIND("overige",Methode_Keuze)),"",IF(Tb_Activiteiten[[#This Row],[Niet verrekenbare btw]]=1,Tb_Activiteiten[[#Headers],[Niet verrekenbare btw]],""))</f>
        <v/>
      </c>
      <c r="AU1053" t="str">
        <f>IF(ISNUMBER(FIND("overige",Methode_Keuze)),"",IF(Tb_Activiteiten[[#This Row],[Grondkosten]]=1,Tb_Activiteiten[[#Headers],[Grondkosten]],""))</f>
        <v/>
      </c>
      <c r="AV1053" t="str">
        <f>IF(ISNUMBER(FIND("overige",Methode_Keuze)),"",IF(Tb_Activiteiten[[#This Row],[Bijdrage in natura (overige)]]=1,Tb_Activiteiten[[#Headers],[Bijdrage in natura (overige)]],""))</f>
        <v/>
      </c>
      <c r="AW1053" t="str">
        <f>IF(ISNUMBER(FIND("overige",Methode_Keuze)),"",IF(Tb_Activiteiten[[#This Row],[Bijdrage in natura (vrijwilligers)]]=1,Tb_Activiteiten[[#Headers],[Bijdrage in natura (vrijwilligers)]],""))</f>
        <v/>
      </c>
      <c r="AX1053" t="str">
        <f>IF(ISNUMBER(FIND("overige",Methode_Keuze)),"",IF(Tb_Activiteiten[[#This Row],[Afschrijvingskosten]]=1,Tb_Activiteiten[[#Headers],[Afschrijvingskosten]],""))</f>
        <v/>
      </c>
      <c r="AY1053" t="str">
        <f>IF(ISNUMBER(FIND("overige",Methode_Keuze)),"",IF(Tb_Activiteiten[[#This Row],[Vergoeding]]=1,Tb_Activiteiten[[#Headers],[Vergoeding]],""))</f>
        <v/>
      </c>
      <c r="AZ1053" t="str">
        <f>IF(ISNUMBER(FIND("arbeid",Methode_Keuze)),"",IF(Tb_Activiteiten[[#This Row],[Arbeidskosten - vast tarief (excl eigen arbeid)]]=1,Tb_Activiteiten[[#Headers],[Arbeidskosten - vast tarief (excl eigen arbeid)]],""))</f>
        <v/>
      </c>
      <c r="BA1053" t="str">
        <f>IF(ISNUMBER(FIND("overige",Methode_Keuze)),"",IF(Tb_Activiteiten[[#This Row],[Overige kosten]]=1,Tb_Activiteiten[[#Headers],[Overige kosten]],""))</f>
        <v/>
      </c>
    </row>
    <row r="1054" spans="1:53" x14ac:dyDescent="0.25">
      <c r="A1054" s="139"/>
      <c r="B1054" s="139"/>
      <c r="C1054" s="139"/>
      <c r="D1054" s="139"/>
      <c r="E1054" s="139"/>
      <c r="F1054" s="139"/>
      <c r="G1054" s="139"/>
      <c r="O1054" s="56"/>
      <c r="Q1054" t="str">
        <f>IFERROR(IF(VLOOKUP(Tb_Activiteiten[[#This Row],[Openstelling]],Tb_Openstelling[],2,0)=1,1,""),"")</f>
        <v/>
      </c>
      <c r="AK1054" t="str">
        <f>IF(ISNUMBER(FIND("arbeid",Methode_Keuze)),"",IF(ISNUMBER(FIND("arbeid",Methode_Keuze)),"",IF(Tb_Activiteiten[[#This Row],[Loonkosten]]=1,Tb_Activiteiten[[#Headers],[Loonkosten]],"")))</f>
        <v/>
      </c>
      <c r="AL1054" t="str">
        <f>IF(ISNUMBER(FIND("arbeid",Methode_Keuze)),"",IF(ISNUMBER(FIND("arbeid",Methode_Keuze)),"",IF(Tb_Activiteiten[[#This Row],[Eigen arbeid]]=1,Tb_Activiteiten[[#Headers],[Eigen arbeid]],"")))</f>
        <v/>
      </c>
      <c r="AM1054" t="str">
        <f>IF(ISNUMBER(FIND("arbeid",Methode_Keuze)),"",IF(ISNUMBER(FIND("arbeid",Methode_Keuze)),"",IF(Tb_Activiteiten[[#This Row],[Projectmedewerker]]=1,Tb_Activiteiten[[#Headers],[Projectmedewerker]],"")))</f>
        <v/>
      </c>
      <c r="AN1054" t="str">
        <f>IF(ISNUMBER(FIND("arbeid",Methode_Keuze)),"",IF(ISNUMBER(FIND("arbeid",Methode_Keuze)),"",IF(Tb_Activiteiten[[#This Row],[Landbouwer]]=1,Tb_Activiteiten[[#Headers],[Landbouwer]],"")))</f>
        <v/>
      </c>
      <c r="AO1054" t="str">
        <f>IF(ISNUMBER(FIND("arbeid",Methode_Keuze)),"",IF(ISNUMBER(FIND("arbeid",Methode_Keuze)),"",IF(Tb_Activiteiten[[#This Row],[Adviseur]]=1,Tb_Activiteiten[[#Headers],[Adviseur]],"")))</f>
        <v/>
      </c>
      <c r="AP1054" t="str">
        <f>IF(ISNUMBER(FIND("arbeid",Methode_Keuze)),"",IF(ISNUMBER(FIND("arbeid",Methode_Keuze)),"",IF(Tb_Activiteiten[[#This Row],[Projectleider/Expert]]=1,Tb_Activiteiten[[#Headers],[Projectleider/Expert]],"")))</f>
        <v/>
      </c>
      <c r="AQ1054" t="str">
        <f>IF(ISNUMBER(FIND("arbeid",Methode_Keuze)),"",IF(ISNUMBER(FIND("arbeid",Methode_Keuze)),"",IF(Tb_Activiteiten[[#This Row],[Arbeidskosten]]=1,Tb_Activiteiten[[#Headers],[Arbeidskosten]],"")))</f>
        <v/>
      </c>
      <c r="AR1054" t="str">
        <f>IF(ISNUMBER(FIND("arbeid",Methode_Keuze)),"",IF(ISNUMBER(FIND("arbeid",Methode_Keuze)),"",IF(Tb_Activiteiten[[#This Row],[Arbeidskosten op basis van IKS]]=1,Tb_Activiteiten[[#Headers],[Arbeidskosten op basis van IKS]],"")))</f>
        <v/>
      </c>
      <c r="AS1054" t="str">
        <f>IF(ISNUMBER(FIND("overige",Methode_Keuze)),"",IF(Tb_Activiteiten[[#This Row],[Kosten derden exclusief btw]]=1,Tb_Activiteiten[[#Headers],[Kosten derden exclusief btw]],""))</f>
        <v/>
      </c>
      <c r="AT1054" t="str">
        <f>IF(ISNUMBER(FIND("overige",Methode_Keuze)),"",IF(Tb_Activiteiten[[#This Row],[Niet verrekenbare btw]]=1,Tb_Activiteiten[[#Headers],[Niet verrekenbare btw]],""))</f>
        <v/>
      </c>
      <c r="AU1054" t="str">
        <f>IF(ISNUMBER(FIND("overige",Methode_Keuze)),"",IF(Tb_Activiteiten[[#This Row],[Grondkosten]]=1,Tb_Activiteiten[[#Headers],[Grondkosten]],""))</f>
        <v/>
      </c>
      <c r="AV1054" t="str">
        <f>IF(ISNUMBER(FIND("overige",Methode_Keuze)),"",IF(Tb_Activiteiten[[#This Row],[Bijdrage in natura (overige)]]=1,Tb_Activiteiten[[#Headers],[Bijdrage in natura (overige)]],""))</f>
        <v/>
      </c>
      <c r="AW1054" t="str">
        <f>IF(ISNUMBER(FIND("overige",Methode_Keuze)),"",IF(Tb_Activiteiten[[#This Row],[Bijdrage in natura (vrijwilligers)]]=1,Tb_Activiteiten[[#Headers],[Bijdrage in natura (vrijwilligers)]],""))</f>
        <v/>
      </c>
      <c r="AX1054" t="str">
        <f>IF(ISNUMBER(FIND("overige",Methode_Keuze)),"",IF(Tb_Activiteiten[[#This Row],[Afschrijvingskosten]]=1,Tb_Activiteiten[[#Headers],[Afschrijvingskosten]],""))</f>
        <v/>
      </c>
      <c r="AY1054" t="str">
        <f>IF(ISNUMBER(FIND("overige",Methode_Keuze)),"",IF(Tb_Activiteiten[[#This Row],[Vergoeding]]=1,Tb_Activiteiten[[#Headers],[Vergoeding]],""))</f>
        <v/>
      </c>
      <c r="AZ1054" t="str">
        <f>IF(ISNUMBER(FIND("arbeid",Methode_Keuze)),"",IF(Tb_Activiteiten[[#This Row],[Arbeidskosten - vast tarief (excl eigen arbeid)]]=1,Tb_Activiteiten[[#Headers],[Arbeidskosten - vast tarief (excl eigen arbeid)]],""))</f>
        <v/>
      </c>
      <c r="BA1054" t="str">
        <f>IF(ISNUMBER(FIND("overige",Methode_Keuze)),"",IF(Tb_Activiteiten[[#This Row],[Overige kosten]]=1,Tb_Activiteiten[[#Headers],[Overige kosten]],""))</f>
        <v/>
      </c>
    </row>
    <row r="1055" spans="1:53" x14ac:dyDescent="0.25">
      <c r="A1055" s="139"/>
      <c r="B1055" s="139"/>
      <c r="C1055" s="139"/>
      <c r="D1055" s="139"/>
      <c r="E1055" s="139"/>
      <c r="F1055" s="139"/>
      <c r="G1055" s="139"/>
      <c r="O1055" s="56"/>
      <c r="Q1055" t="str">
        <f>IFERROR(IF(VLOOKUP(Tb_Activiteiten[[#This Row],[Openstelling]],Tb_Openstelling[],2,0)=1,1,""),"")</f>
        <v/>
      </c>
      <c r="AK1055" t="str">
        <f>IF(ISNUMBER(FIND("arbeid",Methode_Keuze)),"",IF(ISNUMBER(FIND("arbeid",Methode_Keuze)),"",IF(Tb_Activiteiten[[#This Row],[Loonkosten]]=1,Tb_Activiteiten[[#Headers],[Loonkosten]],"")))</f>
        <v/>
      </c>
      <c r="AL1055" t="str">
        <f>IF(ISNUMBER(FIND("arbeid",Methode_Keuze)),"",IF(ISNUMBER(FIND("arbeid",Methode_Keuze)),"",IF(Tb_Activiteiten[[#This Row],[Eigen arbeid]]=1,Tb_Activiteiten[[#Headers],[Eigen arbeid]],"")))</f>
        <v/>
      </c>
      <c r="AM1055" t="str">
        <f>IF(ISNUMBER(FIND("arbeid",Methode_Keuze)),"",IF(ISNUMBER(FIND("arbeid",Methode_Keuze)),"",IF(Tb_Activiteiten[[#This Row],[Projectmedewerker]]=1,Tb_Activiteiten[[#Headers],[Projectmedewerker]],"")))</f>
        <v/>
      </c>
      <c r="AN1055" t="str">
        <f>IF(ISNUMBER(FIND("arbeid",Methode_Keuze)),"",IF(ISNUMBER(FIND("arbeid",Methode_Keuze)),"",IF(Tb_Activiteiten[[#This Row],[Landbouwer]]=1,Tb_Activiteiten[[#Headers],[Landbouwer]],"")))</f>
        <v/>
      </c>
      <c r="AO1055" t="str">
        <f>IF(ISNUMBER(FIND("arbeid",Methode_Keuze)),"",IF(ISNUMBER(FIND("arbeid",Methode_Keuze)),"",IF(Tb_Activiteiten[[#This Row],[Adviseur]]=1,Tb_Activiteiten[[#Headers],[Adviseur]],"")))</f>
        <v/>
      </c>
      <c r="AP1055" t="str">
        <f>IF(ISNUMBER(FIND("arbeid",Methode_Keuze)),"",IF(ISNUMBER(FIND("arbeid",Methode_Keuze)),"",IF(Tb_Activiteiten[[#This Row],[Projectleider/Expert]]=1,Tb_Activiteiten[[#Headers],[Projectleider/Expert]],"")))</f>
        <v/>
      </c>
      <c r="AQ1055" t="str">
        <f>IF(ISNUMBER(FIND("arbeid",Methode_Keuze)),"",IF(ISNUMBER(FIND("arbeid",Methode_Keuze)),"",IF(Tb_Activiteiten[[#This Row],[Arbeidskosten]]=1,Tb_Activiteiten[[#Headers],[Arbeidskosten]],"")))</f>
        <v/>
      </c>
      <c r="AR1055" t="str">
        <f>IF(ISNUMBER(FIND("arbeid",Methode_Keuze)),"",IF(ISNUMBER(FIND("arbeid",Methode_Keuze)),"",IF(Tb_Activiteiten[[#This Row],[Arbeidskosten op basis van IKS]]=1,Tb_Activiteiten[[#Headers],[Arbeidskosten op basis van IKS]],"")))</f>
        <v/>
      </c>
      <c r="AS1055" t="str">
        <f>IF(ISNUMBER(FIND("overige",Methode_Keuze)),"",IF(Tb_Activiteiten[[#This Row],[Kosten derden exclusief btw]]=1,Tb_Activiteiten[[#Headers],[Kosten derden exclusief btw]],""))</f>
        <v/>
      </c>
      <c r="AT1055" t="str">
        <f>IF(ISNUMBER(FIND("overige",Methode_Keuze)),"",IF(Tb_Activiteiten[[#This Row],[Niet verrekenbare btw]]=1,Tb_Activiteiten[[#Headers],[Niet verrekenbare btw]],""))</f>
        <v/>
      </c>
      <c r="AU1055" t="str">
        <f>IF(ISNUMBER(FIND("overige",Methode_Keuze)),"",IF(Tb_Activiteiten[[#This Row],[Grondkosten]]=1,Tb_Activiteiten[[#Headers],[Grondkosten]],""))</f>
        <v/>
      </c>
      <c r="AV1055" t="str">
        <f>IF(ISNUMBER(FIND("overige",Methode_Keuze)),"",IF(Tb_Activiteiten[[#This Row],[Bijdrage in natura (overige)]]=1,Tb_Activiteiten[[#Headers],[Bijdrage in natura (overige)]],""))</f>
        <v/>
      </c>
      <c r="AW1055" t="str">
        <f>IF(ISNUMBER(FIND("overige",Methode_Keuze)),"",IF(Tb_Activiteiten[[#This Row],[Bijdrage in natura (vrijwilligers)]]=1,Tb_Activiteiten[[#Headers],[Bijdrage in natura (vrijwilligers)]],""))</f>
        <v/>
      </c>
      <c r="AX1055" t="str">
        <f>IF(ISNUMBER(FIND("overige",Methode_Keuze)),"",IF(Tb_Activiteiten[[#This Row],[Afschrijvingskosten]]=1,Tb_Activiteiten[[#Headers],[Afschrijvingskosten]],""))</f>
        <v/>
      </c>
      <c r="AY1055" t="str">
        <f>IF(ISNUMBER(FIND("overige",Methode_Keuze)),"",IF(Tb_Activiteiten[[#This Row],[Vergoeding]]=1,Tb_Activiteiten[[#Headers],[Vergoeding]],""))</f>
        <v/>
      </c>
      <c r="AZ1055" t="str">
        <f>IF(ISNUMBER(FIND("arbeid",Methode_Keuze)),"",IF(Tb_Activiteiten[[#This Row],[Arbeidskosten - vast tarief (excl eigen arbeid)]]=1,Tb_Activiteiten[[#Headers],[Arbeidskosten - vast tarief (excl eigen arbeid)]],""))</f>
        <v/>
      </c>
      <c r="BA1055" t="str">
        <f>IF(ISNUMBER(FIND("overige",Methode_Keuze)),"",IF(Tb_Activiteiten[[#This Row],[Overige kosten]]=1,Tb_Activiteiten[[#Headers],[Overige kosten]],""))</f>
        <v/>
      </c>
    </row>
    <row r="1056" spans="1:53" x14ac:dyDescent="0.25">
      <c r="A1056" s="139"/>
      <c r="B1056" s="139"/>
      <c r="C1056" s="139"/>
      <c r="D1056" s="139"/>
      <c r="E1056" s="139"/>
      <c r="F1056" s="139"/>
      <c r="G1056" s="139"/>
      <c r="O1056" s="56"/>
      <c r="Q1056" t="str">
        <f>IFERROR(IF(VLOOKUP(Tb_Activiteiten[[#This Row],[Openstelling]],Tb_Openstelling[],2,0)=1,1,""),"")</f>
        <v/>
      </c>
      <c r="AK1056" t="str">
        <f>IF(ISNUMBER(FIND("arbeid",Methode_Keuze)),"",IF(ISNUMBER(FIND("arbeid",Methode_Keuze)),"",IF(Tb_Activiteiten[[#This Row],[Loonkosten]]=1,Tb_Activiteiten[[#Headers],[Loonkosten]],"")))</f>
        <v/>
      </c>
      <c r="AL1056" t="str">
        <f>IF(ISNUMBER(FIND("arbeid",Methode_Keuze)),"",IF(ISNUMBER(FIND("arbeid",Methode_Keuze)),"",IF(Tb_Activiteiten[[#This Row],[Eigen arbeid]]=1,Tb_Activiteiten[[#Headers],[Eigen arbeid]],"")))</f>
        <v/>
      </c>
      <c r="AM1056" t="str">
        <f>IF(ISNUMBER(FIND("arbeid",Methode_Keuze)),"",IF(ISNUMBER(FIND("arbeid",Methode_Keuze)),"",IF(Tb_Activiteiten[[#This Row],[Projectmedewerker]]=1,Tb_Activiteiten[[#Headers],[Projectmedewerker]],"")))</f>
        <v/>
      </c>
      <c r="AN1056" t="str">
        <f>IF(ISNUMBER(FIND("arbeid",Methode_Keuze)),"",IF(ISNUMBER(FIND("arbeid",Methode_Keuze)),"",IF(Tb_Activiteiten[[#This Row],[Landbouwer]]=1,Tb_Activiteiten[[#Headers],[Landbouwer]],"")))</f>
        <v/>
      </c>
      <c r="AO1056" t="str">
        <f>IF(ISNUMBER(FIND("arbeid",Methode_Keuze)),"",IF(ISNUMBER(FIND("arbeid",Methode_Keuze)),"",IF(Tb_Activiteiten[[#This Row],[Adviseur]]=1,Tb_Activiteiten[[#Headers],[Adviseur]],"")))</f>
        <v/>
      </c>
      <c r="AP1056" t="str">
        <f>IF(ISNUMBER(FIND("arbeid",Methode_Keuze)),"",IF(ISNUMBER(FIND("arbeid",Methode_Keuze)),"",IF(Tb_Activiteiten[[#This Row],[Projectleider/Expert]]=1,Tb_Activiteiten[[#Headers],[Projectleider/Expert]],"")))</f>
        <v/>
      </c>
      <c r="AQ1056" t="str">
        <f>IF(ISNUMBER(FIND("arbeid",Methode_Keuze)),"",IF(ISNUMBER(FIND("arbeid",Methode_Keuze)),"",IF(Tb_Activiteiten[[#This Row],[Arbeidskosten]]=1,Tb_Activiteiten[[#Headers],[Arbeidskosten]],"")))</f>
        <v/>
      </c>
      <c r="AR1056" t="str">
        <f>IF(ISNUMBER(FIND("arbeid",Methode_Keuze)),"",IF(ISNUMBER(FIND("arbeid",Methode_Keuze)),"",IF(Tb_Activiteiten[[#This Row],[Arbeidskosten op basis van IKS]]=1,Tb_Activiteiten[[#Headers],[Arbeidskosten op basis van IKS]],"")))</f>
        <v/>
      </c>
      <c r="AS1056" t="str">
        <f>IF(ISNUMBER(FIND("overige",Methode_Keuze)),"",IF(Tb_Activiteiten[[#This Row],[Kosten derden exclusief btw]]=1,Tb_Activiteiten[[#Headers],[Kosten derden exclusief btw]],""))</f>
        <v/>
      </c>
      <c r="AT1056" t="str">
        <f>IF(ISNUMBER(FIND("overige",Methode_Keuze)),"",IF(Tb_Activiteiten[[#This Row],[Niet verrekenbare btw]]=1,Tb_Activiteiten[[#Headers],[Niet verrekenbare btw]],""))</f>
        <v/>
      </c>
      <c r="AU1056" t="str">
        <f>IF(ISNUMBER(FIND("overige",Methode_Keuze)),"",IF(Tb_Activiteiten[[#This Row],[Grondkosten]]=1,Tb_Activiteiten[[#Headers],[Grondkosten]],""))</f>
        <v/>
      </c>
      <c r="AV1056" t="str">
        <f>IF(ISNUMBER(FIND("overige",Methode_Keuze)),"",IF(Tb_Activiteiten[[#This Row],[Bijdrage in natura (overige)]]=1,Tb_Activiteiten[[#Headers],[Bijdrage in natura (overige)]],""))</f>
        <v/>
      </c>
      <c r="AW1056" t="str">
        <f>IF(ISNUMBER(FIND("overige",Methode_Keuze)),"",IF(Tb_Activiteiten[[#This Row],[Bijdrage in natura (vrijwilligers)]]=1,Tb_Activiteiten[[#Headers],[Bijdrage in natura (vrijwilligers)]],""))</f>
        <v/>
      </c>
      <c r="AX1056" t="str">
        <f>IF(ISNUMBER(FIND("overige",Methode_Keuze)),"",IF(Tb_Activiteiten[[#This Row],[Afschrijvingskosten]]=1,Tb_Activiteiten[[#Headers],[Afschrijvingskosten]],""))</f>
        <v/>
      </c>
      <c r="AY1056" t="str">
        <f>IF(ISNUMBER(FIND("overige",Methode_Keuze)),"",IF(Tb_Activiteiten[[#This Row],[Vergoeding]]=1,Tb_Activiteiten[[#Headers],[Vergoeding]],""))</f>
        <v/>
      </c>
      <c r="AZ1056" t="str">
        <f>IF(ISNUMBER(FIND("arbeid",Methode_Keuze)),"",IF(Tb_Activiteiten[[#This Row],[Arbeidskosten - vast tarief (excl eigen arbeid)]]=1,Tb_Activiteiten[[#Headers],[Arbeidskosten - vast tarief (excl eigen arbeid)]],""))</f>
        <v/>
      </c>
      <c r="BA1056" t="str">
        <f>IF(ISNUMBER(FIND("overige",Methode_Keuze)),"",IF(Tb_Activiteiten[[#This Row],[Overige kosten]]=1,Tb_Activiteiten[[#Headers],[Overige kosten]],""))</f>
        <v/>
      </c>
    </row>
    <row r="1057" spans="1:53" x14ac:dyDescent="0.25">
      <c r="A1057" s="139"/>
      <c r="B1057" s="139"/>
      <c r="C1057" s="139"/>
      <c r="D1057" s="139"/>
      <c r="E1057" s="139"/>
      <c r="F1057" s="139"/>
      <c r="G1057" s="139"/>
      <c r="O1057" s="56"/>
      <c r="Q1057" t="str">
        <f>IFERROR(IF(VLOOKUP(Tb_Activiteiten[[#This Row],[Openstelling]],Tb_Openstelling[],2,0)=1,1,""),"")</f>
        <v/>
      </c>
      <c r="AK1057" t="str">
        <f>IF(ISNUMBER(FIND("arbeid",Methode_Keuze)),"",IF(ISNUMBER(FIND("arbeid",Methode_Keuze)),"",IF(Tb_Activiteiten[[#This Row],[Loonkosten]]=1,Tb_Activiteiten[[#Headers],[Loonkosten]],"")))</f>
        <v/>
      </c>
      <c r="AL1057" t="str">
        <f>IF(ISNUMBER(FIND("arbeid",Methode_Keuze)),"",IF(ISNUMBER(FIND("arbeid",Methode_Keuze)),"",IF(Tb_Activiteiten[[#This Row],[Eigen arbeid]]=1,Tb_Activiteiten[[#Headers],[Eigen arbeid]],"")))</f>
        <v/>
      </c>
      <c r="AM1057" t="str">
        <f>IF(ISNUMBER(FIND("arbeid",Methode_Keuze)),"",IF(ISNUMBER(FIND("arbeid",Methode_Keuze)),"",IF(Tb_Activiteiten[[#This Row],[Projectmedewerker]]=1,Tb_Activiteiten[[#Headers],[Projectmedewerker]],"")))</f>
        <v/>
      </c>
      <c r="AN1057" t="str">
        <f>IF(ISNUMBER(FIND("arbeid",Methode_Keuze)),"",IF(ISNUMBER(FIND("arbeid",Methode_Keuze)),"",IF(Tb_Activiteiten[[#This Row],[Landbouwer]]=1,Tb_Activiteiten[[#Headers],[Landbouwer]],"")))</f>
        <v/>
      </c>
      <c r="AO1057" t="str">
        <f>IF(ISNUMBER(FIND("arbeid",Methode_Keuze)),"",IF(ISNUMBER(FIND("arbeid",Methode_Keuze)),"",IF(Tb_Activiteiten[[#This Row],[Adviseur]]=1,Tb_Activiteiten[[#Headers],[Adviseur]],"")))</f>
        <v/>
      </c>
      <c r="AP1057" t="str">
        <f>IF(ISNUMBER(FIND("arbeid",Methode_Keuze)),"",IF(ISNUMBER(FIND("arbeid",Methode_Keuze)),"",IF(Tb_Activiteiten[[#This Row],[Projectleider/Expert]]=1,Tb_Activiteiten[[#Headers],[Projectleider/Expert]],"")))</f>
        <v/>
      </c>
      <c r="AQ1057" t="str">
        <f>IF(ISNUMBER(FIND("arbeid",Methode_Keuze)),"",IF(ISNUMBER(FIND("arbeid",Methode_Keuze)),"",IF(Tb_Activiteiten[[#This Row],[Arbeidskosten]]=1,Tb_Activiteiten[[#Headers],[Arbeidskosten]],"")))</f>
        <v/>
      </c>
      <c r="AR1057" t="str">
        <f>IF(ISNUMBER(FIND("arbeid",Methode_Keuze)),"",IF(ISNUMBER(FIND("arbeid",Methode_Keuze)),"",IF(Tb_Activiteiten[[#This Row],[Arbeidskosten op basis van IKS]]=1,Tb_Activiteiten[[#Headers],[Arbeidskosten op basis van IKS]],"")))</f>
        <v/>
      </c>
      <c r="AS1057" t="str">
        <f>IF(ISNUMBER(FIND("overige",Methode_Keuze)),"",IF(Tb_Activiteiten[[#This Row],[Kosten derden exclusief btw]]=1,Tb_Activiteiten[[#Headers],[Kosten derden exclusief btw]],""))</f>
        <v/>
      </c>
      <c r="AT1057" t="str">
        <f>IF(ISNUMBER(FIND("overige",Methode_Keuze)),"",IF(Tb_Activiteiten[[#This Row],[Niet verrekenbare btw]]=1,Tb_Activiteiten[[#Headers],[Niet verrekenbare btw]],""))</f>
        <v/>
      </c>
      <c r="AU1057" t="str">
        <f>IF(ISNUMBER(FIND("overige",Methode_Keuze)),"",IF(Tb_Activiteiten[[#This Row],[Grondkosten]]=1,Tb_Activiteiten[[#Headers],[Grondkosten]],""))</f>
        <v/>
      </c>
      <c r="AV1057" t="str">
        <f>IF(ISNUMBER(FIND("overige",Methode_Keuze)),"",IF(Tb_Activiteiten[[#This Row],[Bijdrage in natura (overige)]]=1,Tb_Activiteiten[[#Headers],[Bijdrage in natura (overige)]],""))</f>
        <v/>
      </c>
      <c r="AW1057" t="str">
        <f>IF(ISNUMBER(FIND("overige",Methode_Keuze)),"",IF(Tb_Activiteiten[[#This Row],[Bijdrage in natura (vrijwilligers)]]=1,Tb_Activiteiten[[#Headers],[Bijdrage in natura (vrijwilligers)]],""))</f>
        <v/>
      </c>
      <c r="AX1057" t="str">
        <f>IF(ISNUMBER(FIND("overige",Methode_Keuze)),"",IF(Tb_Activiteiten[[#This Row],[Afschrijvingskosten]]=1,Tb_Activiteiten[[#Headers],[Afschrijvingskosten]],""))</f>
        <v/>
      </c>
      <c r="AY1057" t="str">
        <f>IF(ISNUMBER(FIND("overige",Methode_Keuze)),"",IF(Tb_Activiteiten[[#This Row],[Vergoeding]]=1,Tb_Activiteiten[[#Headers],[Vergoeding]],""))</f>
        <v/>
      </c>
      <c r="AZ1057" t="str">
        <f>IF(ISNUMBER(FIND("arbeid",Methode_Keuze)),"",IF(Tb_Activiteiten[[#This Row],[Arbeidskosten - vast tarief (excl eigen arbeid)]]=1,Tb_Activiteiten[[#Headers],[Arbeidskosten - vast tarief (excl eigen arbeid)]],""))</f>
        <v/>
      </c>
      <c r="BA1057" t="str">
        <f>IF(ISNUMBER(FIND("overige",Methode_Keuze)),"",IF(Tb_Activiteiten[[#This Row],[Overige kosten]]=1,Tb_Activiteiten[[#Headers],[Overige kosten]],""))</f>
        <v/>
      </c>
    </row>
    <row r="1058" spans="1:53" x14ac:dyDescent="0.25">
      <c r="A1058" s="139"/>
      <c r="B1058" s="139"/>
      <c r="C1058" s="139"/>
      <c r="D1058" s="139"/>
      <c r="E1058" s="139"/>
      <c r="F1058" s="139"/>
      <c r="G1058" s="139"/>
      <c r="O1058" s="56"/>
      <c r="Q1058" t="str">
        <f>IFERROR(IF(VLOOKUP(Tb_Activiteiten[[#This Row],[Openstelling]],Tb_Openstelling[],2,0)=1,1,""),"")</f>
        <v/>
      </c>
      <c r="AK1058" t="str">
        <f>IF(ISNUMBER(FIND("arbeid",Methode_Keuze)),"",IF(ISNUMBER(FIND("arbeid",Methode_Keuze)),"",IF(Tb_Activiteiten[[#This Row],[Loonkosten]]=1,Tb_Activiteiten[[#Headers],[Loonkosten]],"")))</f>
        <v/>
      </c>
      <c r="AL1058" t="str">
        <f>IF(ISNUMBER(FIND("arbeid",Methode_Keuze)),"",IF(ISNUMBER(FIND("arbeid",Methode_Keuze)),"",IF(Tb_Activiteiten[[#This Row],[Eigen arbeid]]=1,Tb_Activiteiten[[#Headers],[Eigen arbeid]],"")))</f>
        <v/>
      </c>
      <c r="AM1058" t="str">
        <f>IF(ISNUMBER(FIND("arbeid",Methode_Keuze)),"",IF(ISNUMBER(FIND("arbeid",Methode_Keuze)),"",IF(Tb_Activiteiten[[#This Row],[Projectmedewerker]]=1,Tb_Activiteiten[[#Headers],[Projectmedewerker]],"")))</f>
        <v/>
      </c>
      <c r="AN1058" t="str">
        <f>IF(ISNUMBER(FIND("arbeid",Methode_Keuze)),"",IF(ISNUMBER(FIND("arbeid",Methode_Keuze)),"",IF(Tb_Activiteiten[[#This Row],[Landbouwer]]=1,Tb_Activiteiten[[#Headers],[Landbouwer]],"")))</f>
        <v/>
      </c>
      <c r="AO1058" t="str">
        <f>IF(ISNUMBER(FIND("arbeid",Methode_Keuze)),"",IF(ISNUMBER(FIND("arbeid",Methode_Keuze)),"",IF(Tb_Activiteiten[[#This Row],[Adviseur]]=1,Tb_Activiteiten[[#Headers],[Adviseur]],"")))</f>
        <v/>
      </c>
      <c r="AP1058" t="str">
        <f>IF(ISNUMBER(FIND("arbeid",Methode_Keuze)),"",IF(ISNUMBER(FIND("arbeid",Methode_Keuze)),"",IF(Tb_Activiteiten[[#This Row],[Projectleider/Expert]]=1,Tb_Activiteiten[[#Headers],[Projectleider/Expert]],"")))</f>
        <v/>
      </c>
      <c r="AQ1058" t="str">
        <f>IF(ISNUMBER(FIND("arbeid",Methode_Keuze)),"",IF(ISNUMBER(FIND("arbeid",Methode_Keuze)),"",IF(Tb_Activiteiten[[#This Row],[Arbeidskosten]]=1,Tb_Activiteiten[[#Headers],[Arbeidskosten]],"")))</f>
        <v/>
      </c>
      <c r="AR1058" t="str">
        <f>IF(ISNUMBER(FIND("arbeid",Methode_Keuze)),"",IF(ISNUMBER(FIND("arbeid",Methode_Keuze)),"",IF(Tb_Activiteiten[[#This Row],[Arbeidskosten op basis van IKS]]=1,Tb_Activiteiten[[#Headers],[Arbeidskosten op basis van IKS]],"")))</f>
        <v/>
      </c>
      <c r="AS1058" t="str">
        <f>IF(ISNUMBER(FIND("overige",Methode_Keuze)),"",IF(Tb_Activiteiten[[#This Row],[Kosten derden exclusief btw]]=1,Tb_Activiteiten[[#Headers],[Kosten derden exclusief btw]],""))</f>
        <v/>
      </c>
      <c r="AT1058" t="str">
        <f>IF(ISNUMBER(FIND("overige",Methode_Keuze)),"",IF(Tb_Activiteiten[[#This Row],[Niet verrekenbare btw]]=1,Tb_Activiteiten[[#Headers],[Niet verrekenbare btw]],""))</f>
        <v/>
      </c>
      <c r="AU1058" t="str">
        <f>IF(ISNUMBER(FIND("overige",Methode_Keuze)),"",IF(Tb_Activiteiten[[#This Row],[Grondkosten]]=1,Tb_Activiteiten[[#Headers],[Grondkosten]],""))</f>
        <v/>
      </c>
      <c r="AV1058" t="str">
        <f>IF(ISNUMBER(FIND("overige",Methode_Keuze)),"",IF(Tb_Activiteiten[[#This Row],[Bijdrage in natura (overige)]]=1,Tb_Activiteiten[[#Headers],[Bijdrage in natura (overige)]],""))</f>
        <v/>
      </c>
      <c r="AW1058" t="str">
        <f>IF(ISNUMBER(FIND("overige",Methode_Keuze)),"",IF(Tb_Activiteiten[[#This Row],[Bijdrage in natura (vrijwilligers)]]=1,Tb_Activiteiten[[#Headers],[Bijdrage in natura (vrijwilligers)]],""))</f>
        <v/>
      </c>
      <c r="AX1058" t="str">
        <f>IF(ISNUMBER(FIND("overige",Methode_Keuze)),"",IF(Tb_Activiteiten[[#This Row],[Afschrijvingskosten]]=1,Tb_Activiteiten[[#Headers],[Afschrijvingskosten]],""))</f>
        <v/>
      </c>
      <c r="AY1058" t="str">
        <f>IF(ISNUMBER(FIND("overige",Methode_Keuze)),"",IF(Tb_Activiteiten[[#This Row],[Vergoeding]]=1,Tb_Activiteiten[[#Headers],[Vergoeding]],""))</f>
        <v/>
      </c>
      <c r="AZ1058" t="str">
        <f>IF(ISNUMBER(FIND("arbeid",Methode_Keuze)),"",IF(Tb_Activiteiten[[#This Row],[Arbeidskosten - vast tarief (excl eigen arbeid)]]=1,Tb_Activiteiten[[#Headers],[Arbeidskosten - vast tarief (excl eigen arbeid)]],""))</f>
        <v/>
      </c>
      <c r="BA1058" t="str">
        <f>IF(ISNUMBER(FIND("overige",Methode_Keuze)),"",IF(Tb_Activiteiten[[#This Row],[Overige kosten]]=1,Tb_Activiteiten[[#Headers],[Overige kosten]],""))</f>
        <v/>
      </c>
    </row>
    <row r="1059" spans="1:53" x14ac:dyDescent="0.25">
      <c r="A1059" s="139"/>
      <c r="B1059" s="139"/>
      <c r="C1059" s="139"/>
      <c r="D1059" s="139"/>
      <c r="E1059" s="139"/>
      <c r="F1059" s="139"/>
      <c r="G1059" s="139"/>
      <c r="O1059" s="56"/>
      <c r="Q1059" t="str">
        <f>IFERROR(IF(VLOOKUP(Tb_Activiteiten[[#This Row],[Openstelling]],Tb_Openstelling[],2,0)=1,1,""),"")</f>
        <v/>
      </c>
      <c r="AK1059" t="str">
        <f>IF(ISNUMBER(FIND("arbeid",Methode_Keuze)),"",IF(ISNUMBER(FIND("arbeid",Methode_Keuze)),"",IF(Tb_Activiteiten[[#This Row],[Loonkosten]]=1,Tb_Activiteiten[[#Headers],[Loonkosten]],"")))</f>
        <v/>
      </c>
      <c r="AL1059" t="str">
        <f>IF(ISNUMBER(FIND("arbeid",Methode_Keuze)),"",IF(ISNUMBER(FIND("arbeid",Methode_Keuze)),"",IF(Tb_Activiteiten[[#This Row],[Eigen arbeid]]=1,Tb_Activiteiten[[#Headers],[Eigen arbeid]],"")))</f>
        <v/>
      </c>
      <c r="AM1059" t="str">
        <f>IF(ISNUMBER(FIND("arbeid",Methode_Keuze)),"",IF(ISNUMBER(FIND("arbeid",Methode_Keuze)),"",IF(Tb_Activiteiten[[#This Row],[Projectmedewerker]]=1,Tb_Activiteiten[[#Headers],[Projectmedewerker]],"")))</f>
        <v/>
      </c>
      <c r="AN1059" t="str">
        <f>IF(ISNUMBER(FIND("arbeid",Methode_Keuze)),"",IF(ISNUMBER(FIND("arbeid",Methode_Keuze)),"",IF(Tb_Activiteiten[[#This Row],[Landbouwer]]=1,Tb_Activiteiten[[#Headers],[Landbouwer]],"")))</f>
        <v/>
      </c>
      <c r="AO1059" t="str">
        <f>IF(ISNUMBER(FIND("arbeid",Methode_Keuze)),"",IF(ISNUMBER(FIND("arbeid",Methode_Keuze)),"",IF(Tb_Activiteiten[[#This Row],[Adviseur]]=1,Tb_Activiteiten[[#Headers],[Adviseur]],"")))</f>
        <v/>
      </c>
      <c r="AP1059" t="str">
        <f>IF(ISNUMBER(FIND("arbeid",Methode_Keuze)),"",IF(ISNUMBER(FIND("arbeid",Methode_Keuze)),"",IF(Tb_Activiteiten[[#This Row],[Projectleider/Expert]]=1,Tb_Activiteiten[[#Headers],[Projectleider/Expert]],"")))</f>
        <v/>
      </c>
      <c r="AQ1059" t="str">
        <f>IF(ISNUMBER(FIND("arbeid",Methode_Keuze)),"",IF(ISNUMBER(FIND("arbeid",Methode_Keuze)),"",IF(Tb_Activiteiten[[#This Row],[Arbeidskosten]]=1,Tb_Activiteiten[[#Headers],[Arbeidskosten]],"")))</f>
        <v/>
      </c>
      <c r="AR1059" t="str">
        <f>IF(ISNUMBER(FIND("arbeid",Methode_Keuze)),"",IF(ISNUMBER(FIND("arbeid",Methode_Keuze)),"",IF(Tb_Activiteiten[[#This Row],[Arbeidskosten op basis van IKS]]=1,Tb_Activiteiten[[#Headers],[Arbeidskosten op basis van IKS]],"")))</f>
        <v/>
      </c>
      <c r="AS1059" t="str">
        <f>IF(ISNUMBER(FIND("overige",Methode_Keuze)),"",IF(Tb_Activiteiten[[#This Row],[Kosten derden exclusief btw]]=1,Tb_Activiteiten[[#Headers],[Kosten derden exclusief btw]],""))</f>
        <v/>
      </c>
      <c r="AT1059" t="str">
        <f>IF(ISNUMBER(FIND("overige",Methode_Keuze)),"",IF(Tb_Activiteiten[[#This Row],[Niet verrekenbare btw]]=1,Tb_Activiteiten[[#Headers],[Niet verrekenbare btw]],""))</f>
        <v/>
      </c>
      <c r="AU1059" t="str">
        <f>IF(ISNUMBER(FIND("overige",Methode_Keuze)),"",IF(Tb_Activiteiten[[#This Row],[Grondkosten]]=1,Tb_Activiteiten[[#Headers],[Grondkosten]],""))</f>
        <v/>
      </c>
      <c r="AV1059" t="str">
        <f>IF(ISNUMBER(FIND("overige",Methode_Keuze)),"",IF(Tb_Activiteiten[[#This Row],[Bijdrage in natura (overige)]]=1,Tb_Activiteiten[[#Headers],[Bijdrage in natura (overige)]],""))</f>
        <v/>
      </c>
      <c r="AW1059" t="str">
        <f>IF(ISNUMBER(FIND("overige",Methode_Keuze)),"",IF(Tb_Activiteiten[[#This Row],[Bijdrage in natura (vrijwilligers)]]=1,Tb_Activiteiten[[#Headers],[Bijdrage in natura (vrijwilligers)]],""))</f>
        <v/>
      </c>
      <c r="AX1059" t="str">
        <f>IF(ISNUMBER(FIND("overige",Methode_Keuze)),"",IF(Tb_Activiteiten[[#This Row],[Afschrijvingskosten]]=1,Tb_Activiteiten[[#Headers],[Afschrijvingskosten]],""))</f>
        <v/>
      </c>
      <c r="AY1059" t="str">
        <f>IF(ISNUMBER(FIND("overige",Methode_Keuze)),"",IF(Tb_Activiteiten[[#This Row],[Vergoeding]]=1,Tb_Activiteiten[[#Headers],[Vergoeding]],""))</f>
        <v/>
      </c>
      <c r="AZ1059" t="str">
        <f>IF(ISNUMBER(FIND("arbeid",Methode_Keuze)),"",IF(Tb_Activiteiten[[#This Row],[Arbeidskosten - vast tarief (excl eigen arbeid)]]=1,Tb_Activiteiten[[#Headers],[Arbeidskosten - vast tarief (excl eigen arbeid)]],""))</f>
        <v/>
      </c>
      <c r="BA1059" t="str">
        <f>IF(ISNUMBER(FIND("overige",Methode_Keuze)),"",IF(Tb_Activiteiten[[#This Row],[Overige kosten]]=1,Tb_Activiteiten[[#Headers],[Overige kosten]],""))</f>
        <v/>
      </c>
    </row>
    <row r="1060" spans="1:53" x14ac:dyDescent="0.25">
      <c r="A1060" s="139"/>
      <c r="B1060" s="139"/>
      <c r="C1060" s="139"/>
      <c r="D1060" s="139"/>
      <c r="E1060" s="139"/>
      <c r="F1060" s="139"/>
      <c r="G1060" s="139"/>
      <c r="O1060" s="56"/>
      <c r="Q1060" t="str">
        <f>IFERROR(IF(VLOOKUP(Tb_Activiteiten[[#This Row],[Openstelling]],Tb_Openstelling[],2,0)=1,1,""),"")</f>
        <v/>
      </c>
      <c r="AK1060" t="str">
        <f>IF(ISNUMBER(FIND("arbeid",Methode_Keuze)),"",IF(ISNUMBER(FIND("arbeid",Methode_Keuze)),"",IF(Tb_Activiteiten[[#This Row],[Loonkosten]]=1,Tb_Activiteiten[[#Headers],[Loonkosten]],"")))</f>
        <v/>
      </c>
      <c r="AL1060" t="str">
        <f>IF(ISNUMBER(FIND("arbeid",Methode_Keuze)),"",IF(ISNUMBER(FIND("arbeid",Methode_Keuze)),"",IF(Tb_Activiteiten[[#This Row],[Eigen arbeid]]=1,Tb_Activiteiten[[#Headers],[Eigen arbeid]],"")))</f>
        <v/>
      </c>
      <c r="AM1060" t="str">
        <f>IF(ISNUMBER(FIND("arbeid",Methode_Keuze)),"",IF(ISNUMBER(FIND("arbeid",Methode_Keuze)),"",IF(Tb_Activiteiten[[#This Row],[Projectmedewerker]]=1,Tb_Activiteiten[[#Headers],[Projectmedewerker]],"")))</f>
        <v/>
      </c>
      <c r="AN1060" t="str">
        <f>IF(ISNUMBER(FIND("arbeid",Methode_Keuze)),"",IF(ISNUMBER(FIND("arbeid",Methode_Keuze)),"",IF(Tb_Activiteiten[[#This Row],[Landbouwer]]=1,Tb_Activiteiten[[#Headers],[Landbouwer]],"")))</f>
        <v/>
      </c>
      <c r="AO1060" t="str">
        <f>IF(ISNUMBER(FIND("arbeid",Methode_Keuze)),"",IF(ISNUMBER(FIND("arbeid",Methode_Keuze)),"",IF(Tb_Activiteiten[[#This Row],[Adviseur]]=1,Tb_Activiteiten[[#Headers],[Adviseur]],"")))</f>
        <v/>
      </c>
      <c r="AP1060" t="str">
        <f>IF(ISNUMBER(FIND("arbeid",Methode_Keuze)),"",IF(ISNUMBER(FIND("arbeid",Methode_Keuze)),"",IF(Tb_Activiteiten[[#This Row],[Projectleider/Expert]]=1,Tb_Activiteiten[[#Headers],[Projectleider/Expert]],"")))</f>
        <v/>
      </c>
      <c r="AQ1060" t="str">
        <f>IF(ISNUMBER(FIND("arbeid",Methode_Keuze)),"",IF(ISNUMBER(FIND("arbeid",Methode_Keuze)),"",IF(Tb_Activiteiten[[#This Row],[Arbeidskosten]]=1,Tb_Activiteiten[[#Headers],[Arbeidskosten]],"")))</f>
        <v/>
      </c>
      <c r="AR1060" t="str">
        <f>IF(ISNUMBER(FIND("arbeid",Methode_Keuze)),"",IF(ISNUMBER(FIND("arbeid",Methode_Keuze)),"",IF(Tb_Activiteiten[[#This Row],[Arbeidskosten op basis van IKS]]=1,Tb_Activiteiten[[#Headers],[Arbeidskosten op basis van IKS]],"")))</f>
        <v/>
      </c>
      <c r="AS1060" t="str">
        <f>IF(ISNUMBER(FIND("overige",Methode_Keuze)),"",IF(Tb_Activiteiten[[#This Row],[Kosten derden exclusief btw]]=1,Tb_Activiteiten[[#Headers],[Kosten derden exclusief btw]],""))</f>
        <v/>
      </c>
      <c r="AT1060" t="str">
        <f>IF(ISNUMBER(FIND("overige",Methode_Keuze)),"",IF(Tb_Activiteiten[[#This Row],[Niet verrekenbare btw]]=1,Tb_Activiteiten[[#Headers],[Niet verrekenbare btw]],""))</f>
        <v/>
      </c>
      <c r="AU1060" t="str">
        <f>IF(ISNUMBER(FIND("overige",Methode_Keuze)),"",IF(Tb_Activiteiten[[#This Row],[Grondkosten]]=1,Tb_Activiteiten[[#Headers],[Grondkosten]],""))</f>
        <v/>
      </c>
      <c r="AV1060" t="str">
        <f>IF(ISNUMBER(FIND("overige",Methode_Keuze)),"",IF(Tb_Activiteiten[[#This Row],[Bijdrage in natura (overige)]]=1,Tb_Activiteiten[[#Headers],[Bijdrage in natura (overige)]],""))</f>
        <v/>
      </c>
      <c r="AW1060" t="str">
        <f>IF(ISNUMBER(FIND("overige",Methode_Keuze)),"",IF(Tb_Activiteiten[[#This Row],[Bijdrage in natura (vrijwilligers)]]=1,Tb_Activiteiten[[#Headers],[Bijdrage in natura (vrijwilligers)]],""))</f>
        <v/>
      </c>
      <c r="AX1060" t="str">
        <f>IF(ISNUMBER(FIND("overige",Methode_Keuze)),"",IF(Tb_Activiteiten[[#This Row],[Afschrijvingskosten]]=1,Tb_Activiteiten[[#Headers],[Afschrijvingskosten]],""))</f>
        <v/>
      </c>
      <c r="AY1060" t="str">
        <f>IF(ISNUMBER(FIND("overige",Methode_Keuze)),"",IF(Tb_Activiteiten[[#This Row],[Vergoeding]]=1,Tb_Activiteiten[[#Headers],[Vergoeding]],""))</f>
        <v/>
      </c>
      <c r="AZ1060" t="str">
        <f>IF(ISNUMBER(FIND("arbeid",Methode_Keuze)),"",IF(Tb_Activiteiten[[#This Row],[Arbeidskosten - vast tarief (excl eigen arbeid)]]=1,Tb_Activiteiten[[#Headers],[Arbeidskosten - vast tarief (excl eigen arbeid)]],""))</f>
        <v/>
      </c>
      <c r="BA1060" t="str">
        <f>IF(ISNUMBER(FIND("overige",Methode_Keuze)),"",IF(Tb_Activiteiten[[#This Row],[Overige kosten]]=1,Tb_Activiteiten[[#Headers],[Overige kosten]],""))</f>
        <v/>
      </c>
    </row>
    <row r="1061" spans="1:53" x14ac:dyDescent="0.25">
      <c r="A1061" s="139"/>
      <c r="B1061" s="139"/>
      <c r="C1061" s="139"/>
      <c r="D1061" s="139"/>
      <c r="E1061" s="139"/>
      <c r="F1061" s="139"/>
      <c r="G1061" s="139"/>
      <c r="O1061" s="56"/>
      <c r="Q1061" t="str">
        <f>IFERROR(IF(VLOOKUP(Tb_Activiteiten[[#This Row],[Openstelling]],Tb_Openstelling[],2,0)=1,1,""),"")</f>
        <v/>
      </c>
      <c r="AK1061" t="str">
        <f>IF(ISNUMBER(FIND("arbeid",Methode_Keuze)),"",IF(ISNUMBER(FIND("arbeid",Methode_Keuze)),"",IF(Tb_Activiteiten[[#This Row],[Loonkosten]]=1,Tb_Activiteiten[[#Headers],[Loonkosten]],"")))</f>
        <v/>
      </c>
      <c r="AL1061" t="str">
        <f>IF(ISNUMBER(FIND("arbeid",Methode_Keuze)),"",IF(ISNUMBER(FIND("arbeid",Methode_Keuze)),"",IF(Tb_Activiteiten[[#This Row],[Eigen arbeid]]=1,Tb_Activiteiten[[#Headers],[Eigen arbeid]],"")))</f>
        <v/>
      </c>
      <c r="AM1061" t="str">
        <f>IF(ISNUMBER(FIND("arbeid",Methode_Keuze)),"",IF(ISNUMBER(FIND("arbeid",Methode_Keuze)),"",IF(Tb_Activiteiten[[#This Row],[Projectmedewerker]]=1,Tb_Activiteiten[[#Headers],[Projectmedewerker]],"")))</f>
        <v/>
      </c>
      <c r="AN1061" t="str">
        <f>IF(ISNUMBER(FIND("arbeid",Methode_Keuze)),"",IF(ISNUMBER(FIND("arbeid",Methode_Keuze)),"",IF(Tb_Activiteiten[[#This Row],[Landbouwer]]=1,Tb_Activiteiten[[#Headers],[Landbouwer]],"")))</f>
        <v/>
      </c>
      <c r="AO1061" t="str">
        <f>IF(ISNUMBER(FIND("arbeid",Methode_Keuze)),"",IF(ISNUMBER(FIND("arbeid",Methode_Keuze)),"",IF(Tb_Activiteiten[[#This Row],[Adviseur]]=1,Tb_Activiteiten[[#Headers],[Adviseur]],"")))</f>
        <v/>
      </c>
      <c r="AP1061" t="str">
        <f>IF(ISNUMBER(FIND("arbeid",Methode_Keuze)),"",IF(ISNUMBER(FIND("arbeid",Methode_Keuze)),"",IF(Tb_Activiteiten[[#This Row],[Projectleider/Expert]]=1,Tb_Activiteiten[[#Headers],[Projectleider/Expert]],"")))</f>
        <v/>
      </c>
      <c r="AQ1061" t="str">
        <f>IF(ISNUMBER(FIND("arbeid",Methode_Keuze)),"",IF(ISNUMBER(FIND("arbeid",Methode_Keuze)),"",IF(Tb_Activiteiten[[#This Row],[Arbeidskosten]]=1,Tb_Activiteiten[[#Headers],[Arbeidskosten]],"")))</f>
        <v/>
      </c>
      <c r="AR1061" t="str">
        <f>IF(ISNUMBER(FIND("arbeid",Methode_Keuze)),"",IF(ISNUMBER(FIND("arbeid",Methode_Keuze)),"",IF(Tb_Activiteiten[[#This Row],[Arbeidskosten op basis van IKS]]=1,Tb_Activiteiten[[#Headers],[Arbeidskosten op basis van IKS]],"")))</f>
        <v/>
      </c>
      <c r="AS1061" t="str">
        <f>IF(ISNUMBER(FIND("overige",Methode_Keuze)),"",IF(Tb_Activiteiten[[#This Row],[Kosten derden exclusief btw]]=1,Tb_Activiteiten[[#Headers],[Kosten derden exclusief btw]],""))</f>
        <v/>
      </c>
      <c r="AT1061" t="str">
        <f>IF(ISNUMBER(FIND("overige",Methode_Keuze)),"",IF(Tb_Activiteiten[[#This Row],[Niet verrekenbare btw]]=1,Tb_Activiteiten[[#Headers],[Niet verrekenbare btw]],""))</f>
        <v/>
      </c>
      <c r="AU1061" t="str">
        <f>IF(ISNUMBER(FIND("overige",Methode_Keuze)),"",IF(Tb_Activiteiten[[#This Row],[Grondkosten]]=1,Tb_Activiteiten[[#Headers],[Grondkosten]],""))</f>
        <v/>
      </c>
      <c r="AV1061" t="str">
        <f>IF(ISNUMBER(FIND("overige",Methode_Keuze)),"",IF(Tb_Activiteiten[[#This Row],[Bijdrage in natura (overige)]]=1,Tb_Activiteiten[[#Headers],[Bijdrage in natura (overige)]],""))</f>
        <v/>
      </c>
      <c r="AW1061" t="str">
        <f>IF(ISNUMBER(FIND("overige",Methode_Keuze)),"",IF(Tb_Activiteiten[[#This Row],[Bijdrage in natura (vrijwilligers)]]=1,Tb_Activiteiten[[#Headers],[Bijdrage in natura (vrijwilligers)]],""))</f>
        <v/>
      </c>
      <c r="AX1061" t="str">
        <f>IF(ISNUMBER(FIND("overige",Methode_Keuze)),"",IF(Tb_Activiteiten[[#This Row],[Afschrijvingskosten]]=1,Tb_Activiteiten[[#Headers],[Afschrijvingskosten]],""))</f>
        <v/>
      </c>
      <c r="AY1061" t="str">
        <f>IF(ISNUMBER(FIND("overige",Methode_Keuze)),"",IF(Tb_Activiteiten[[#This Row],[Vergoeding]]=1,Tb_Activiteiten[[#Headers],[Vergoeding]],""))</f>
        <v/>
      </c>
      <c r="AZ1061" t="str">
        <f>IF(ISNUMBER(FIND("arbeid",Methode_Keuze)),"",IF(Tb_Activiteiten[[#This Row],[Arbeidskosten - vast tarief (excl eigen arbeid)]]=1,Tb_Activiteiten[[#Headers],[Arbeidskosten - vast tarief (excl eigen arbeid)]],""))</f>
        <v/>
      </c>
      <c r="BA1061" t="str">
        <f>IF(ISNUMBER(FIND("overige",Methode_Keuze)),"",IF(Tb_Activiteiten[[#This Row],[Overige kosten]]=1,Tb_Activiteiten[[#Headers],[Overige kosten]],""))</f>
        <v/>
      </c>
    </row>
    <row r="1062" spans="1:53" x14ac:dyDescent="0.25">
      <c r="A1062" s="139"/>
      <c r="B1062" s="139"/>
      <c r="C1062" s="139"/>
      <c r="D1062" s="139"/>
      <c r="E1062" s="139"/>
      <c r="F1062" s="139"/>
      <c r="G1062" s="139"/>
      <c r="O1062" s="56"/>
      <c r="Q1062" t="str">
        <f>IFERROR(IF(VLOOKUP(Tb_Activiteiten[[#This Row],[Openstelling]],Tb_Openstelling[],2,0)=1,1,""),"")</f>
        <v/>
      </c>
      <c r="AK1062" t="str">
        <f>IF(ISNUMBER(FIND("arbeid",Methode_Keuze)),"",IF(ISNUMBER(FIND("arbeid",Methode_Keuze)),"",IF(Tb_Activiteiten[[#This Row],[Loonkosten]]=1,Tb_Activiteiten[[#Headers],[Loonkosten]],"")))</f>
        <v/>
      </c>
      <c r="AL1062" t="str">
        <f>IF(ISNUMBER(FIND("arbeid",Methode_Keuze)),"",IF(ISNUMBER(FIND("arbeid",Methode_Keuze)),"",IF(Tb_Activiteiten[[#This Row],[Eigen arbeid]]=1,Tb_Activiteiten[[#Headers],[Eigen arbeid]],"")))</f>
        <v/>
      </c>
      <c r="AM1062" t="str">
        <f>IF(ISNUMBER(FIND("arbeid",Methode_Keuze)),"",IF(ISNUMBER(FIND("arbeid",Methode_Keuze)),"",IF(Tb_Activiteiten[[#This Row],[Projectmedewerker]]=1,Tb_Activiteiten[[#Headers],[Projectmedewerker]],"")))</f>
        <v/>
      </c>
      <c r="AN1062" t="str">
        <f>IF(ISNUMBER(FIND("arbeid",Methode_Keuze)),"",IF(ISNUMBER(FIND("arbeid",Methode_Keuze)),"",IF(Tb_Activiteiten[[#This Row],[Landbouwer]]=1,Tb_Activiteiten[[#Headers],[Landbouwer]],"")))</f>
        <v/>
      </c>
      <c r="AO1062" t="str">
        <f>IF(ISNUMBER(FIND("arbeid",Methode_Keuze)),"",IF(ISNUMBER(FIND("arbeid",Methode_Keuze)),"",IF(Tb_Activiteiten[[#This Row],[Adviseur]]=1,Tb_Activiteiten[[#Headers],[Adviseur]],"")))</f>
        <v/>
      </c>
      <c r="AP1062" t="str">
        <f>IF(ISNUMBER(FIND("arbeid",Methode_Keuze)),"",IF(ISNUMBER(FIND("arbeid",Methode_Keuze)),"",IF(Tb_Activiteiten[[#This Row],[Projectleider/Expert]]=1,Tb_Activiteiten[[#Headers],[Projectleider/Expert]],"")))</f>
        <v/>
      </c>
      <c r="AQ1062" t="str">
        <f>IF(ISNUMBER(FIND("arbeid",Methode_Keuze)),"",IF(ISNUMBER(FIND("arbeid",Methode_Keuze)),"",IF(Tb_Activiteiten[[#This Row],[Arbeidskosten]]=1,Tb_Activiteiten[[#Headers],[Arbeidskosten]],"")))</f>
        <v/>
      </c>
      <c r="AR1062" t="str">
        <f>IF(ISNUMBER(FIND("arbeid",Methode_Keuze)),"",IF(ISNUMBER(FIND("arbeid",Methode_Keuze)),"",IF(Tb_Activiteiten[[#This Row],[Arbeidskosten op basis van IKS]]=1,Tb_Activiteiten[[#Headers],[Arbeidskosten op basis van IKS]],"")))</f>
        <v/>
      </c>
      <c r="AS1062" t="str">
        <f>IF(ISNUMBER(FIND("overige",Methode_Keuze)),"",IF(Tb_Activiteiten[[#This Row],[Kosten derden exclusief btw]]=1,Tb_Activiteiten[[#Headers],[Kosten derden exclusief btw]],""))</f>
        <v/>
      </c>
      <c r="AT1062" t="str">
        <f>IF(ISNUMBER(FIND("overige",Methode_Keuze)),"",IF(Tb_Activiteiten[[#This Row],[Niet verrekenbare btw]]=1,Tb_Activiteiten[[#Headers],[Niet verrekenbare btw]],""))</f>
        <v/>
      </c>
      <c r="AU1062" t="str">
        <f>IF(ISNUMBER(FIND("overige",Methode_Keuze)),"",IF(Tb_Activiteiten[[#This Row],[Grondkosten]]=1,Tb_Activiteiten[[#Headers],[Grondkosten]],""))</f>
        <v/>
      </c>
      <c r="AV1062" t="str">
        <f>IF(ISNUMBER(FIND("overige",Methode_Keuze)),"",IF(Tb_Activiteiten[[#This Row],[Bijdrage in natura (overige)]]=1,Tb_Activiteiten[[#Headers],[Bijdrage in natura (overige)]],""))</f>
        <v/>
      </c>
      <c r="AW1062" t="str">
        <f>IF(ISNUMBER(FIND("overige",Methode_Keuze)),"",IF(Tb_Activiteiten[[#This Row],[Bijdrage in natura (vrijwilligers)]]=1,Tb_Activiteiten[[#Headers],[Bijdrage in natura (vrijwilligers)]],""))</f>
        <v/>
      </c>
      <c r="AX1062" t="str">
        <f>IF(ISNUMBER(FIND("overige",Methode_Keuze)),"",IF(Tb_Activiteiten[[#This Row],[Afschrijvingskosten]]=1,Tb_Activiteiten[[#Headers],[Afschrijvingskosten]],""))</f>
        <v/>
      </c>
      <c r="AY1062" t="str">
        <f>IF(ISNUMBER(FIND("overige",Methode_Keuze)),"",IF(Tb_Activiteiten[[#This Row],[Vergoeding]]=1,Tb_Activiteiten[[#Headers],[Vergoeding]],""))</f>
        <v/>
      </c>
      <c r="AZ1062" t="str">
        <f>IF(ISNUMBER(FIND("arbeid",Methode_Keuze)),"",IF(Tb_Activiteiten[[#This Row],[Arbeidskosten - vast tarief (excl eigen arbeid)]]=1,Tb_Activiteiten[[#Headers],[Arbeidskosten - vast tarief (excl eigen arbeid)]],""))</f>
        <v/>
      </c>
      <c r="BA1062" t="str">
        <f>IF(ISNUMBER(FIND("overige",Methode_Keuze)),"",IF(Tb_Activiteiten[[#This Row],[Overige kosten]]=1,Tb_Activiteiten[[#Headers],[Overige kosten]],""))</f>
        <v/>
      </c>
    </row>
    <row r="1063" spans="1:53" x14ac:dyDescent="0.25">
      <c r="A1063" s="139"/>
      <c r="B1063" s="139"/>
      <c r="C1063" s="139"/>
      <c r="D1063" s="139"/>
      <c r="E1063" s="139"/>
      <c r="F1063" s="139"/>
      <c r="G1063" s="139"/>
      <c r="O1063" s="56"/>
      <c r="Q1063" t="str">
        <f>IFERROR(IF(VLOOKUP(Tb_Activiteiten[[#This Row],[Openstelling]],Tb_Openstelling[],2,0)=1,1,""),"")</f>
        <v/>
      </c>
      <c r="AK1063" t="str">
        <f>IF(ISNUMBER(FIND("arbeid",Methode_Keuze)),"",IF(ISNUMBER(FIND("arbeid",Methode_Keuze)),"",IF(Tb_Activiteiten[[#This Row],[Loonkosten]]=1,Tb_Activiteiten[[#Headers],[Loonkosten]],"")))</f>
        <v/>
      </c>
      <c r="AL1063" t="str">
        <f>IF(ISNUMBER(FIND("arbeid",Methode_Keuze)),"",IF(ISNUMBER(FIND("arbeid",Methode_Keuze)),"",IF(Tb_Activiteiten[[#This Row],[Eigen arbeid]]=1,Tb_Activiteiten[[#Headers],[Eigen arbeid]],"")))</f>
        <v/>
      </c>
      <c r="AM1063" t="str">
        <f>IF(ISNUMBER(FIND("arbeid",Methode_Keuze)),"",IF(ISNUMBER(FIND("arbeid",Methode_Keuze)),"",IF(Tb_Activiteiten[[#This Row],[Projectmedewerker]]=1,Tb_Activiteiten[[#Headers],[Projectmedewerker]],"")))</f>
        <v/>
      </c>
      <c r="AN1063" t="str">
        <f>IF(ISNUMBER(FIND("arbeid",Methode_Keuze)),"",IF(ISNUMBER(FIND("arbeid",Methode_Keuze)),"",IF(Tb_Activiteiten[[#This Row],[Landbouwer]]=1,Tb_Activiteiten[[#Headers],[Landbouwer]],"")))</f>
        <v/>
      </c>
      <c r="AO1063" t="str">
        <f>IF(ISNUMBER(FIND("arbeid",Methode_Keuze)),"",IF(ISNUMBER(FIND("arbeid",Methode_Keuze)),"",IF(Tb_Activiteiten[[#This Row],[Adviseur]]=1,Tb_Activiteiten[[#Headers],[Adviseur]],"")))</f>
        <v/>
      </c>
      <c r="AP1063" t="str">
        <f>IF(ISNUMBER(FIND("arbeid",Methode_Keuze)),"",IF(ISNUMBER(FIND("arbeid",Methode_Keuze)),"",IF(Tb_Activiteiten[[#This Row],[Projectleider/Expert]]=1,Tb_Activiteiten[[#Headers],[Projectleider/Expert]],"")))</f>
        <v/>
      </c>
      <c r="AQ1063" t="str">
        <f>IF(ISNUMBER(FIND("arbeid",Methode_Keuze)),"",IF(ISNUMBER(FIND("arbeid",Methode_Keuze)),"",IF(Tb_Activiteiten[[#This Row],[Arbeidskosten]]=1,Tb_Activiteiten[[#Headers],[Arbeidskosten]],"")))</f>
        <v/>
      </c>
      <c r="AR1063" t="str">
        <f>IF(ISNUMBER(FIND("arbeid",Methode_Keuze)),"",IF(ISNUMBER(FIND("arbeid",Methode_Keuze)),"",IF(Tb_Activiteiten[[#This Row],[Arbeidskosten op basis van IKS]]=1,Tb_Activiteiten[[#Headers],[Arbeidskosten op basis van IKS]],"")))</f>
        <v/>
      </c>
      <c r="AS1063" t="str">
        <f>IF(ISNUMBER(FIND("overige",Methode_Keuze)),"",IF(Tb_Activiteiten[[#This Row],[Kosten derden exclusief btw]]=1,Tb_Activiteiten[[#Headers],[Kosten derden exclusief btw]],""))</f>
        <v/>
      </c>
      <c r="AT1063" t="str">
        <f>IF(ISNUMBER(FIND("overige",Methode_Keuze)),"",IF(Tb_Activiteiten[[#This Row],[Niet verrekenbare btw]]=1,Tb_Activiteiten[[#Headers],[Niet verrekenbare btw]],""))</f>
        <v/>
      </c>
      <c r="AU1063" t="str">
        <f>IF(ISNUMBER(FIND("overige",Methode_Keuze)),"",IF(Tb_Activiteiten[[#This Row],[Grondkosten]]=1,Tb_Activiteiten[[#Headers],[Grondkosten]],""))</f>
        <v/>
      </c>
      <c r="AV1063" t="str">
        <f>IF(ISNUMBER(FIND("overige",Methode_Keuze)),"",IF(Tb_Activiteiten[[#This Row],[Bijdrage in natura (overige)]]=1,Tb_Activiteiten[[#Headers],[Bijdrage in natura (overige)]],""))</f>
        <v/>
      </c>
      <c r="AW1063" t="str">
        <f>IF(ISNUMBER(FIND("overige",Methode_Keuze)),"",IF(Tb_Activiteiten[[#This Row],[Bijdrage in natura (vrijwilligers)]]=1,Tb_Activiteiten[[#Headers],[Bijdrage in natura (vrijwilligers)]],""))</f>
        <v/>
      </c>
      <c r="AX1063" t="str">
        <f>IF(ISNUMBER(FIND("overige",Methode_Keuze)),"",IF(Tb_Activiteiten[[#This Row],[Afschrijvingskosten]]=1,Tb_Activiteiten[[#Headers],[Afschrijvingskosten]],""))</f>
        <v/>
      </c>
      <c r="AY1063" t="str">
        <f>IF(ISNUMBER(FIND("overige",Methode_Keuze)),"",IF(Tb_Activiteiten[[#This Row],[Vergoeding]]=1,Tb_Activiteiten[[#Headers],[Vergoeding]],""))</f>
        <v/>
      </c>
      <c r="AZ1063" t="str">
        <f>IF(ISNUMBER(FIND("arbeid",Methode_Keuze)),"",IF(Tb_Activiteiten[[#This Row],[Arbeidskosten - vast tarief (excl eigen arbeid)]]=1,Tb_Activiteiten[[#Headers],[Arbeidskosten - vast tarief (excl eigen arbeid)]],""))</f>
        <v/>
      </c>
      <c r="BA1063" t="str">
        <f>IF(ISNUMBER(FIND("overige",Methode_Keuze)),"",IF(Tb_Activiteiten[[#This Row],[Overige kosten]]=1,Tb_Activiteiten[[#Headers],[Overige kosten]],""))</f>
        <v/>
      </c>
    </row>
    <row r="1064" spans="1:53" x14ac:dyDescent="0.25">
      <c r="A1064" s="139"/>
      <c r="B1064" s="139"/>
      <c r="C1064" s="139"/>
      <c r="D1064" s="139"/>
      <c r="E1064" s="139"/>
      <c r="F1064" s="139"/>
      <c r="G1064" s="139"/>
      <c r="O1064" s="56"/>
      <c r="Q1064" t="str">
        <f>IFERROR(IF(VLOOKUP(Tb_Activiteiten[[#This Row],[Openstelling]],Tb_Openstelling[],2,0)=1,1,""),"")</f>
        <v/>
      </c>
      <c r="AK1064" t="str">
        <f>IF(ISNUMBER(FIND("arbeid",Methode_Keuze)),"",IF(ISNUMBER(FIND("arbeid",Methode_Keuze)),"",IF(Tb_Activiteiten[[#This Row],[Loonkosten]]=1,Tb_Activiteiten[[#Headers],[Loonkosten]],"")))</f>
        <v/>
      </c>
      <c r="AL1064" t="str">
        <f>IF(ISNUMBER(FIND("arbeid",Methode_Keuze)),"",IF(ISNUMBER(FIND("arbeid",Methode_Keuze)),"",IF(Tb_Activiteiten[[#This Row],[Eigen arbeid]]=1,Tb_Activiteiten[[#Headers],[Eigen arbeid]],"")))</f>
        <v/>
      </c>
      <c r="AM1064" t="str">
        <f>IF(ISNUMBER(FIND("arbeid",Methode_Keuze)),"",IF(ISNUMBER(FIND("arbeid",Methode_Keuze)),"",IF(Tb_Activiteiten[[#This Row],[Projectmedewerker]]=1,Tb_Activiteiten[[#Headers],[Projectmedewerker]],"")))</f>
        <v/>
      </c>
      <c r="AN1064" t="str">
        <f>IF(ISNUMBER(FIND("arbeid",Methode_Keuze)),"",IF(ISNUMBER(FIND("arbeid",Methode_Keuze)),"",IF(Tb_Activiteiten[[#This Row],[Landbouwer]]=1,Tb_Activiteiten[[#Headers],[Landbouwer]],"")))</f>
        <v/>
      </c>
      <c r="AO1064" t="str">
        <f>IF(ISNUMBER(FIND("arbeid",Methode_Keuze)),"",IF(ISNUMBER(FIND("arbeid",Methode_Keuze)),"",IF(Tb_Activiteiten[[#This Row],[Adviseur]]=1,Tb_Activiteiten[[#Headers],[Adviseur]],"")))</f>
        <v/>
      </c>
      <c r="AP1064" t="str">
        <f>IF(ISNUMBER(FIND("arbeid",Methode_Keuze)),"",IF(ISNUMBER(FIND("arbeid",Methode_Keuze)),"",IF(Tb_Activiteiten[[#This Row],[Projectleider/Expert]]=1,Tb_Activiteiten[[#Headers],[Projectleider/Expert]],"")))</f>
        <v/>
      </c>
      <c r="AQ1064" t="str">
        <f>IF(ISNUMBER(FIND("arbeid",Methode_Keuze)),"",IF(ISNUMBER(FIND("arbeid",Methode_Keuze)),"",IF(Tb_Activiteiten[[#This Row],[Arbeidskosten]]=1,Tb_Activiteiten[[#Headers],[Arbeidskosten]],"")))</f>
        <v/>
      </c>
      <c r="AR1064" t="str">
        <f>IF(ISNUMBER(FIND("arbeid",Methode_Keuze)),"",IF(ISNUMBER(FIND("arbeid",Methode_Keuze)),"",IF(Tb_Activiteiten[[#This Row],[Arbeidskosten op basis van IKS]]=1,Tb_Activiteiten[[#Headers],[Arbeidskosten op basis van IKS]],"")))</f>
        <v/>
      </c>
      <c r="AS1064" t="str">
        <f>IF(ISNUMBER(FIND("overige",Methode_Keuze)),"",IF(Tb_Activiteiten[[#This Row],[Kosten derden exclusief btw]]=1,Tb_Activiteiten[[#Headers],[Kosten derden exclusief btw]],""))</f>
        <v/>
      </c>
      <c r="AT1064" t="str">
        <f>IF(ISNUMBER(FIND("overige",Methode_Keuze)),"",IF(Tb_Activiteiten[[#This Row],[Niet verrekenbare btw]]=1,Tb_Activiteiten[[#Headers],[Niet verrekenbare btw]],""))</f>
        <v/>
      </c>
      <c r="AU1064" t="str">
        <f>IF(ISNUMBER(FIND("overige",Methode_Keuze)),"",IF(Tb_Activiteiten[[#This Row],[Grondkosten]]=1,Tb_Activiteiten[[#Headers],[Grondkosten]],""))</f>
        <v/>
      </c>
      <c r="AV1064" t="str">
        <f>IF(ISNUMBER(FIND("overige",Methode_Keuze)),"",IF(Tb_Activiteiten[[#This Row],[Bijdrage in natura (overige)]]=1,Tb_Activiteiten[[#Headers],[Bijdrage in natura (overige)]],""))</f>
        <v/>
      </c>
      <c r="AW1064" t="str">
        <f>IF(ISNUMBER(FIND("overige",Methode_Keuze)),"",IF(Tb_Activiteiten[[#This Row],[Bijdrage in natura (vrijwilligers)]]=1,Tb_Activiteiten[[#Headers],[Bijdrage in natura (vrijwilligers)]],""))</f>
        <v/>
      </c>
      <c r="AX1064" t="str">
        <f>IF(ISNUMBER(FIND("overige",Methode_Keuze)),"",IF(Tb_Activiteiten[[#This Row],[Afschrijvingskosten]]=1,Tb_Activiteiten[[#Headers],[Afschrijvingskosten]],""))</f>
        <v/>
      </c>
      <c r="AY1064" t="str">
        <f>IF(ISNUMBER(FIND("overige",Methode_Keuze)),"",IF(Tb_Activiteiten[[#This Row],[Vergoeding]]=1,Tb_Activiteiten[[#Headers],[Vergoeding]],""))</f>
        <v/>
      </c>
      <c r="AZ1064" t="str">
        <f>IF(ISNUMBER(FIND("arbeid",Methode_Keuze)),"",IF(Tb_Activiteiten[[#This Row],[Arbeidskosten - vast tarief (excl eigen arbeid)]]=1,Tb_Activiteiten[[#Headers],[Arbeidskosten - vast tarief (excl eigen arbeid)]],""))</f>
        <v/>
      </c>
      <c r="BA1064" t="str">
        <f>IF(ISNUMBER(FIND("overige",Methode_Keuze)),"",IF(Tb_Activiteiten[[#This Row],[Overige kosten]]=1,Tb_Activiteiten[[#Headers],[Overige kosten]],""))</f>
        <v/>
      </c>
    </row>
    <row r="1065" spans="1:53" x14ac:dyDescent="0.25">
      <c r="A1065" s="139"/>
      <c r="B1065" s="139"/>
      <c r="C1065" s="139"/>
      <c r="D1065" s="139"/>
      <c r="E1065" s="139"/>
      <c r="F1065" s="139"/>
      <c r="G1065" s="139"/>
      <c r="O1065" s="56"/>
      <c r="Q1065" t="str">
        <f>IFERROR(IF(VLOOKUP(Tb_Activiteiten[[#This Row],[Openstelling]],Tb_Openstelling[],2,0)=1,1,""),"")</f>
        <v/>
      </c>
      <c r="AK1065" t="str">
        <f>IF(ISNUMBER(FIND("arbeid",Methode_Keuze)),"",IF(ISNUMBER(FIND("arbeid",Methode_Keuze)),"",IF(Tb_Activiteiten[[#This Row],[Loonkosten]]=1,Tb_Activiteiten[[#Headers],[Loonkosten]],"")))</f>
        <v/>
      </c>
      <c r="AL1065" t="str">
        <f>IF(ISNUMBER(FIND("arbeid",Methode_Keuze)),"",IF(ISNUMBER(FIND("arbeid",Methode_Keuze)),"",IF(Tb_Activiteiten[[#This Row],[Eigen arbeid]]=1,Tb_Activiteiten[[#Headers],[Eigen arbeid]],"")))</f>
        <v/>
      </c>
      <c r="AM1065" t="str">
        <f>IF(ISNUMBER(FIND("arbeid",Methode_Keuze)),"",IF(ISNUMBER(FIND("arbeid",Methode_Keuze)),"",IF(Tb_Activiteiten[[#This Row],[Projectmedewerker]]=1,Tb_Activiteiten[[#Headers],[Projectmedewerker]],"")))</f>
        <v/>
      </c>
      <c r="AN1065" t="str">
        <f>IF(ISNUMBER(FIND("arbeid",Methode_Keuze)),"",IF(ISNUMBER(FIND("arbeid",Methode_Keuze)),"",IF(Tb_Activiteiten[[#This Row],[Landbouwer]]=1,Tb_Activiteiten[[#Headers],[Landbouwer]],"")))</f>
        <v/>
      </c>
      <c r="AO1065" t="str">
        <f>IF(ISNUMBER(FIND("arbeid",Methode_Keuze)),"",IF(ISNUMBER(FIND("arbeid",Methode_Keuze)),"",IF(Tb_Activiteiten[[#This Row],[Adviseur]]=1,Tb_Activiteiten[[#Headers],[Adviseur]],"")))</f>
        <v/>
      </c>
      <c r="AP1065" t="str">
        <f>IF(ISNUMBER(FIND("arbeid",Methode_Keuze)),"",IF(ISNUMBER(FIND("arbeid",Methode_Keuze)),"",IF(Tb_Activiteiten[[#This Row],[Projectleider/Expert]]=1,Tb_Activiteiten[[#Headers],[Projectleider/Expert]],"")))</f>
        <v/>
      </c>
      <c r="AQ1065" t="str">
        <f>IF(ISNUMBER(FIND("arbeid",Methode_Keuze)),"",IF(ISNUMBER(FIND("arbeid",Methode_Keuze)),"",IF(Tb_Activiteiten[[#This Row],[Arbeidskosten]]=1,Tb_Activiteiten[[#Headers],[Arbeidskosten]],"")))</f>
        <v/>
      </c>
      <c r="AR1065" t="str">
        <f>IF(ISNUMBER(FIND("arbeid",Methode_Keuze)),"",IF(ISNUMBER(FIND("arbeid",Methode_Keuze)),"",IF(Tb_Activiteiten[[#This Row],[Arbeidskosten op basis van IKS]]=1,Tb_Activiteiten[[#Headers],[Arbeidskosten op basis van IKS]],"")))</f>
        <v/>
      </c>
      <c r="AS1065" t="str">
        <f>IF(ISNUMBER(FIND("overige",Methode_Keuze)),"",IF(Tb_Activiteiten[[#This Row],[Kosten derden exclusief btw]]=1,Tb_Activiteiten[[#Headers],[Kosten derden exclusief btw]],""))</f>
        <v/>
      </c>
      <c r="AT1065" t="str">
        <f>IF(ISNUMBER(FIND("overige",Methode_Keuze)),"",IF(Tb_Activiteiten[[#This Row],[Niet verrekenbare btw]]=1,Tb_Activiteiten[[#Headers],[Niet verrekenbare btw]],""))</f>
        <v/>
      </c>
      <c r="AU1065" t="str">
        <f>IF(ISNUMBER(FIND("overige",Methode_Keuze)),"",IF(Tb_Activiteiten[[#This Row],[Grondkosten]]=1,Tb_Activiteiten[[#Headers],[Grondkosten]],""))</f>
        <v/>
      </c>
      <c r="AV1065" t="str">
        <f>IF(ISNUMBER(FIND("overige",Methode_Keuze)),"",IF(Tb_Activiteiten[[#This Row],[Bijdrage in natura (overige)]]=1,Tb_Activiteiten[[#Headers],[Bijdrage in natura (overige)]],""))</f>
        <v/>
      </c>
      <c r="AW1065" t="str">
        <f>IF(ISNUMBER(FIND("overige",Methode_Keuze)),"",IF(Tb_Activiteiten[[#This Row],[Bijdrage in natura (vrijwilligers)]]=1,Tb_Activiteiten[[#Headers],[Bijdrage in natura (vrijwilligers)]],""))</f>
        <v/>
      </c>
      <c r="AX1065" t="str">
        <f>IF(ISNUMBER(FIND("overige",Methode_Keuze)),"",IF(Tb_Activiteiten[[#This Row],[Afschrijvingskosten]]=1,Tb_Activiteiten[[#Headers],[Afschrijvingskosten]],""))</f>
        <v/>
      </c>
      <c r="AY1065" t="str">
        <f>IF(ISNUMBER(FIND("overige",Methode_Keuze)),"",IF(Tb_Activiteiten[[#This Row],[Vergoeding]]=1,Tb_Activiteiten[[#Headers],[Vergoeding]],""))</f>
        <v/>
      </c>
      <c r="AZ1065" t="str">
        <f>IF(ISNUMBER(FIND("arbeid",Methode_Keuze)),"",IF(Tb_Activiteiten[[#This Row],[Arbeidskosten - vast tarief (excl eigen arbeid)]]=1,Tb_Activiteiten[[#Headers],[Arbeidskosten - vast tarief (excl eigen arbeid)]],""))</f>
        <v/>
      </c>
      <c r="BA1065" t="str">
        <f>IF(ISNUMBER(FIND("overige",Methode_Keuze)),"",IF(Tb_Activiteiten[[#This Row],[Overige kosten]]=1,Tb_Activiteiten[[#Headers],[Overige kosten]],""))</f>
        <v/>
      </c>
    </row>
    <row r="1066" spans="1:53" x14ac:dyDescent="0.25">
      <c r="A1066" s="139"/>
      <c r="B1066" s="139"/>
      <c r="C1066" s="139"/>
      <c r="D1066" s="139"/>
      <c r="E1066" s="139"/>
      <c r="F1066" s="139"/>
      <c r="G1066" s="139"/>
      <c r="O1066" s="56"/>
      <c r="Q1066" t="str">
        <f>IFERROR(IF(VLOOKUP(Tb_Activiteiten[[#This Row],[Openstelling]],Tb_Openstelling[],2,0)=1,1,""),"")</f>
        <v/>
      </c>
      <c r="AK1066" t="str">
        <f>IF(ISNUMBER(FIND("arbeid",Methode_Keuze)),"",IF(ISNUMBER(FIND("arbeid",Methode_Keuze)),"",IF(Tb_Activiteiten[[#This Row],[Loonkosten]]=1,Tb_Activiteiten[[#Headers],[Loonkosten]],"")))</f>
        <v/>
      </c>
      <c r="AL1066" t="str">
        <f>IF(ISNUMBER(FIND("arbeid",Methode_Keuze)),"",IF(ISNUMBER(FIND("arbeid",Methode_Keuze)),"",IF(Tb_Activiteiten[[#This Row],[Eigen arbeid]]=1,Tb_Activiteiten[[#Headers],[Eigen arbeid]],"")))</f>
        <v/>
      </c>
      <c r="AM1066" t="str">
        <f>IF(ISNUMBER(FIND("arbeid",Methode_Keuze)),"",IF(ISNUMBER(FIND("arbeid",Methode_Keuze)),"",IF(Tb_Activiteiten[[#This Row],[Projectmedewerker]]=1,Tb_Activiteiten[[#Headers],[Projectmedewerker]],"")))</f>
        <v/>
      </c>
      <c r="AN1066" t="str">
        <f>IF(ISNUMBER(FIND("arbeid",Methode_Keuze)),"",IF(ISNUMBER(FIND("arbeid",Methode_Keuze)),"",IF(Tb_Activiteiten[[#This Row],[Landbouwer]]=1,Tb_Activiteiten[[#Headers],[Landbouwer]],"")))</f>
        <v/>
      </c>
      <c r="AO1066" t="str">
        <f>IF(ISNUMBER(FIND("arbeid",Methode_Keuze)),"",IF(ISNUMBER(FIND("arbeid",Methode_Keuze)),"",IF(Tb_Activiteiten[[#This Row],[Adviseur]]=1,Tb_Activiteiten[[#Headers],[Adviseur]],"")))</f>
        <v/>
      </c>
      <c r="AP1066" t="str">
        <f>IF(ISNUMBER(FIND("arbeid",Methode_Keuze)),"",IF(ISNUMBER(FIND("arbeid",Methode_Keuze)),"",IF(Tb_Activiteiten[[#This Row],[Projectleider/Expert]]=1,Tb_Activiteiten[[#Headers],[Projectleider/Expert]],"")))</f>
        <v/>
      </c>
      <c r="AQ1066" t="str">
        <f>IF(ISNUMBER(FIND("arbeid",Methode_Keuze)),"",IF(ISNUMBER(FIND("arbeid",Methode_Keuze)),"",IF(Tb_Activiteiten[[#This Row],[Arbeidskosten]]=1,Tb_Activiteiten[[#Headers],[Arbeidskosten]],"")))</f>
        <v/>
      </c>
      <c r="AR1066" t="str">
        <f>IF(ISNUMBER(FIND("arbeid",Methode_Keuze)),"",IF(ISNUMBER(FIND("arbeid",Methode_Keuze)),"",IF(Tb_Activiteiten[[#This Row],[Arbeidskosten op basis van IKS]]=1,Tb_Activiteiten[[#Headers],[Arbeidskosten op basis van IKS]],"")))</f>
        <v/>
      </c>
      <c r="AS1066" t="str">
        <f>IF(ISNUMBER(FIND("overige",Methode_Keuze)),"",IF(Tb_Activiteiten[[#This Row],[Kosten derden exclusief btw]]=1,Tb_Activiteiten[[#Headers],[Kosten derden exclusief btw]],""))</f>
        <v/>
      </c>
      <c r="AT1066" t="str">
        <f>IF(ISNUMBER(FIND("overige",Methode_Keuze)),"",IF(Tb_Activiteiten[[#This Row],[Niet verrekenbare btw]]=1,Tb_Activiteiten[[#Headers],[Niet verrekenbare btw]],""))</f>
        <v/>
      </c>
      <c r="AU1066" t="str">
        <f>IF(ISNUMBER(FIND("overige",Methode_Keuze)),"",IF(Tb_Activiteiten[[#This Row],[Grondkosten]]=1,Tb_Activiteiten[[#Headers],[Grondkosten]],""))</f>
        <v/>
      </c>
      <c r="AV1066" t="str">
        <f>IF(ISNUMBER(FIND("overige",Methode_Keuze)),"",IF(Tb_Activiteiten[[#This Row],[Bijdrage in natura (overige)]]=1,Tb_Activiteiten[[#Headers],[Bijdrage in natura (overige)]],""))</f>
        <v/>
      </c>
      <c r="AW1066" t="str">
        <f>IF(ISNUMBER(FIND("overige",Methode_Keuze)),"",IF(Tb_Activiteiten[[#This Row],[Bijdrage in natura (vrijwilligers)]]=1,Tb_Activiteiten[[#Headers],[Bijdrage in natura (vrijwilligers)]],""))</f>
        <v/>
      </c>
      <c r="AX1066" t="str">
        <f>IF(ISNUMBER(FIND("overige",Methode_Keuze)),"",IF(Tb_Activiteiten[[#This Row],[Afschrijvingskosten]]=1,Tb_Activiteiten[[#Headers],[Afschrijvingskosten]],""))</f>
        <v/>
      </c>
      <c r="AY1066" t="str">
        <f>IF(ISNUMBER(FIND("overige",Methode_Keuze)),"",IF(Tb_Activiteiten[[#This Row],[Vergoeding]]=1,Tb_Activiteiten[[#Headers],[Vergoeding]],""))</f>
        <v/>
      </c>
      <c r="AZ1066" t="str">
        <f>IF(ISNUMBER(FIND("arbeid",Methode_Keuze)),"",IF(Tb_Activiteiten[[#This Row],[Arbeidskosten - vast tarief (excl eigen arbeid)]]=1,Tb_Activiteiten[[#Headers],[Arbeidskosten - vast tarief (excl eigen arbeid)]],""))</f>
        <v/>
      </c>
      <c r="BA1066" t="str">
        <f>IF(ISNUMBER(FIND("overige",Methode_Keuze)),"",IF(Tb_Activiteiten[[#This Row],[Overige kosten]]=1,Tb_Activiteiten[[#Headers],[Overige kosten]],""))</f>
        <v/>
      </c>
    </row>
    <row r="1067" spans="1:53" x14ac:dyDescent="0.25">
      <c r="A1067" s="139"/>
      <c r="B1067" s="139"/>
      <c r="C1067" s="139"/>
      <c r="D1067" s="139"/>
      <c r="E1067" s="139"/>
      <c r="F1067" s="139"/>
      <c r="G1067" s="139"/>
      <c r="O1067" s="56"/>
      <c r="Q1067" t="str">
        <f>IFERROR(IF(VLOOKUP(Tb_Activiteiten[[#This Row],[Openstelling]],Tb_Openstelling[],2,0)=1,1,""),"")</f>
        <v/>
      </c>
      <c r="AK1067" t="str">
        <f>IF(ISNUMBER(FIND("arbeid",Methode_Keuze)),"",IF(ISNUMBER(FIND("arbeid",Methode_Keuze)),"",IF(Tb_Activiteiten[[#This Row],[Loonkosten]]=1,Tb_Activiteiten[[#Headers],[Loonkosten]],"")))</f>
        <v/>
      </c>
      <c r="AL1067" t="str">
        <f>IF(ISNUMBER(FIND("arbeid",Methode_Keuze)),"",IF(ISNUMBER(FIND("arbeid",Methode_Keuze)),"",IF(Tb_Activiteiten[[#This Row],[Eigen arbeid]]=1,Tb_Activiteiten[[#Headers],[Eigen arbeid]],"")))</f>
        <v/>
      </c>
      <c r="AM1067" t="str">
        <f>IF(ISNUMBER(FIND("arbeid",Methode_Keuze)),"",IF(ISNUMBER(FIND("arbeid",Methode_Keuze)),"",IF(Tb_Activiteiten[[#This Row],[Projectmedewerker]]=1,Tb_Activiteiten[[#Headers],[Projectmedewerker]],"")))</f>
        <v/>
      </c>
      <c r="AN1067" t="str">
        <f>IF(ISNUMBER(FIND("arbeid",Methode_Keuze)),"",IF(ISNUMBER(FIND("arbeid",Methode_Keuze)),"",IF(Tb_Activiteiten[[#This Row],[Landbouwer]]=1,Tb_Activiteiten[[#Headers],[Landbouwer]],"")))</f>
        <v/>
      </c>
      <c r="AO1067" t="str">
        <f>IF(ISNUMBER(FIND("arbeid",Methode_Keuze)),"",IF(ISNUMBER(FIND("arbeid",Methode_Keuze)),"",IF(Tb_Activiteiten[[#This Row],[Adviseur]]=1,Tb_Activiteiten[[#Headers],[Adviseur]],"")))</f>
        <v/>
      </c>
      <c r="AP1067" t="str">
        <f>IF(ISNUMBER(FIND("arbeid",Methode_Keuze)),"",IF(ISNUMBER(FIND("arbeid",Methode_Keuze)),"",IF(Tb_Activiteiten[[#This Row],[Projectleider/Expert]]=1,Tb_Activiteiten[[#Headers],[Projectleider/Expert]],"")))</f>
        <v/>
      </c>
      <c r="AQ1067" t="str">
        <f>IF(ISNUMBER(FIND("arbeid",Methode_Keuze)),"",IF(ISNUMBER(FIND("arbeid",Methode_Keuze)),"",IF(Tb_Activiteiten[[#This Row],[Arbeidskosten]]=1,Tb_Activiteiten[[#Headers],[Arbeidskosten]],"")))</f>
        <v/>
      </c>
      <c r="AR1067" t="str">
        <f>IF(ISNUMBER(FIND("arbeid",Methode_Keuze)),"",IF(ISNUMBER(FIND("arbeid",Methode_Keuze)),"",IF(Tb_Activiteiten[[#This Row],[Arbeidskosten op basis van IKS]]=1,Tb_Activiteiten[[#Headers],[Arbeidskosten op basis van IKS]],"")))</f>
        <v/>
      </c>
      <c r="AS1067" t="str">
        <f>IF(ISNUMBER(FIND("overige",Methode_Keuze)),"",IF(Tb_Activiteiten[[#This Row],[Kosten derden exclusief btw]]=1,Tb_Activiteiten[[#Headers],[Kosten derden exclusief btw]],""))</f>
        <v/>
      </c>
      <c r="AT1067" t="str">
        <f>IF(ISNUMBER(FIND("overige",Methode_Keuze)),"",IF(Tb_Activiteiten[[#This Row],[Niet verrekenbare btw]]=1,Tb_Activiteiten[[#Headers],[Niet verrekenbare btw]],""))</f>
        <v/>
      </c>
      <c r="AU1067" t="str">
        <f>IF(ISNUMBER(FIND("overige",Methode_Keuze)),"",IF(Tb_Activiteiten[[#This Row],[Grondkosten]]=1,Tb_Activiteiten[[#Headers],[Grondkosten]],""))</f>
        <v/>
      </c>
      <c r="AV1067" t="str">
        <f>IF(ISNUMBER(FIND("overige",Methode_Keuze)),"",IF(Tb_Activiteiten[[#This Row],[Bijdrage in natura (overige)]]=1,Tb_Activiteiten[[#Headers],[Bijdrage in natura (overige)]],""))</f>
        <v/>
      </c>
      <c r="AW1067" t="str">
        <f>IF(ISNUMBER(FIND("overige",Methode_Keuze)),"",IF(Tb_Activiteiten[[#This Row],[Bijdrage in natura (vrijwilligers)]]=1,Tb_Activiteiten[[#Headers],[Bijdrage in natura (vrijwilligers)]],""))</f>
        <v/>
      </c>
      <c r="AX1067" t="str">
        <f>IF(ISNUMBER(FIND("overige",Methode_Keuze)),"",IF(Tb_Activiteiten[[#This Row],[Afschrijvingskosten]]=1,Tb_Activiteiten[[#Headers],[Afschrijvingskosten]],""))</f>
        <v/>
      </c>
      <c r="AY1067" t="str">
        <f>IF(ISNUMBER(FIND("overige",Methode_Keuze)),"",IF(Tb_Activiteiten[[#This Row],[Vergoeding]]=1,Tb_Activiteiten[[#Headers],[Vergoeding]],""))</f>
        <v/>
      </c>
      <c r="AZ1067" t="str">
        <f>IF(ISNUMBER(FIND("arbeid",Methode_Keuze)),"",IF(Tb_Activiteiten[[#This Row],[Arbeidskosten - vast tarief (excl eigen arbeid)]]=1,Tb_Activiteiten[[#Headers],[Arbeidskosten - vast tarief (excl eigen arbeid)]],""))</f>
        <v/>
      </c>
      <c r="BA1067" t="str">
        <f>IF(ISNUMBER(FIND("overige",Methode_Keuze)),"",IF(Tb_Activiteiten[[#This Row],[Overige kosten]]=1,Tb_Activiteiten[[#Headers],[Overige kosten]],""))</f>
        <v/>
      </c>
    </row>
    <row r="1068" spans="1:53" x14ac:dyDescent="0.25">
      <c r="A1068" s="139"/>
      <c r="B1068" s="139"/>
      <c r="C1068" s="139"/>
      <c r="D1068" s="139"/>
      <c r="E1068" s="139"/>
      <c r="F1068" s="139"/>
      <c r="G1068" s="139"/>
      <c r="O1068" s="56"/>
      <c r="Q1068" t="str">
        <f>IFERROR(IF(VLOOKUP(Tb_Activiteiten[[#This Row],[Openstelling]],Tb_Openstelling[],2,0)=1,1,""),"")</f>
        <v/>
      </c>
      <c r="AK1068" t="str">
        <f>IF(ISNUMBER(FIND("arbeid",Methode_Keuze)),"",IF(ISNUMBER(FIND("arbeid",Methode_Keuze)),"",IF(Tb_Activiteiten[[#This Row],[Loonkosten]]=1,Tb_Activiteiten[[#Headers],[Loonkosten]],"")))</f>
        <v/>
      </c>
      <c r="AL1068" t="str">
        <f>IF(ISNUMBER(FIND("arbeid",Methode_Keuze)),"",IF(ISNUMBER(FIND("arbeid",Methode_Keuze)),"",IF(Tb_Activiteiten[[#This Row],[Eigen arbeid]]=1,Tb_Activiteiten[[#Headers],[Eigen arbeid]],"")))</f>
        <v/>
      </c>
      <c r="AM1068" t="str">
        <f>IF(ISNUMBER(FIND("arbeid",Methode_Keuze)),"",IF(ISNUMBER(FIND("arbeid",Methode_Keuze)),"",IF(Tb_Activiteiten[[#This Row],[Projectmedewerker]]=1,Tb_Activiteiten[[#Headers],[Projectmedewerker]],"")))</f>
        <v/>
      </c>
      <c r="AN1068" t="str">
        <f>IF(ISNUMBER(FIND("arbeid",Methode_Keuze)),"",IF(ISNUMBER(FIND("arbeid",Methode_Keuze)),"",IF(Tb_Activiteiten[[#This Row],[Landbouwer]]=1,Tb_Activiteiten[[#Headers],[Landbouwer]],"")))</f>
        <v/>
      </c>
      <c r="AO1068" t="str">
        <f>IF(ISNUMBER(FIND("arbeid",Methode_Keuze)),"",IF(ISNUMBER(FIND("arbeid",Methode_Keuze)),"",IF(Tb_Activiteiten[[#This Row],[Adviseur]]=1,Tb_Activiteiten[[#Headers],[Adviseur]],"")))</f>
        <v/>
      </c>
      <c r="AP1068" t="str">
        <f>IF(ISNUMBER(FIND("arbeid",Methode_Keuze)),"",IF(ISNUMBER(FIND("arbeid",Methode_Keuze)),"",IF(Tb_Activiteiten[[#This Row],[Projectleider/Expert]]=1,Tb_Activiteiten[[#Headers],[Projectleider/Expert]],"")))</f>
        <v/>
      </c>
      <c r="AQ1068" t="str">
        <f>IF(ISNUMBER(FIND("arbeid",Methode_Keuze)),"",IF(ISNUMBER(FIND("arbeid",Methode_Keuze)),"",IF(Tb_Activiteiten[[#This Row],[Arbeidskosten]]=1,Tb_Activiteiten[[#Headers],[Arbeidskosten]],"")))</f>
        <v/>
      </c>
      <c r="AR1068" t="str">
        <f>IF(ISNUMBER(FIND("arbeid",Methode_Keuze)),"",IF(ISNUMBER(FIND("arbeid",Methode_Keuze)),"",IF(Tb_Activiteiten[[#This Row],[Arbeidskosten op basis van IKS]]=1,Tb_Activiteiten[[#Headers],[Arbeidskosten op basis van IKS]],"")))</f>
        <v/>
      </c>
      <c r="AS1068" t="str">
        <f>IF(ISNUMBER(FIND("overige",Methode_Keuze)),"",IF(Tb_Activiteiten[[#This Row],[Kosten derden exclusief btw]]=1,Tb_Activiteiten[[#Headers],[Kosten derden exclusief btw]],""))</f>
        <v/>
      </c>
      <c r="AT1068" t="str">
        <f>IF(ISNUMBER(FIND("overige",Methode_Keuze)),"",IF(Tb_Activiteiten[[#This Row],[Niet verrekenbare btw]]=1,Tb_Activiteiten[[#Headers],[Niet verrekenbare btw]],""))</f>
        <v/>
      </c>
      <c r="AU1068" t="str">
        <f>IF(ISNUMBER(FIND("overige",Methode_Keuze)),"",IF(Tb_Activiteiten[[#This Row],[Grondkosten]]=1,Tb_Activiteiten[[#Headers],[Grondkosten]],""))</f>
        <v/>
      </c>
      <c r="AV1068" t="str">
        <f>IF(ISNUMBER(FIND("overige",Methode_Keuze)),"",IF(Tb_Activiteiten[[#This Row],[Bijdrage in natura (overige)]]=1,Tb_Activiteiten[[#Headers],[Bijdrage in natura (overige)]],""))</f>
        <v/>
      </c>
      <c r="AW1068" t="str">
        <f>IF(ISNUMBER(FIND("overige",Methode_Keuze)),"",IF(Tb_Activiteiten[[#This Row],[Bijdrage in natura (vrijwilligers)]]=1,Tb_Activiteiten[[#Headers],[Bijdrage in natura (vrijwilligers)]],""))</f>
        <v/>
      </c>
      <c r="AX1068" t="str">
        <f>IF(ISNUMBER(FIND("overige",Methode_Keuze)),"",IF(Tb_Activiteiten[[#This Row],[Afschrijvingskosten]]=1,Tb_Activiteiten[[#Headers],[Afschrijvingskosten]],""))</f>
        <v/>
      </c>
      <c r="AY1068" t="str">
        <f>IF(ISNUMBER(FIND("overige",Methode_Keuze)),"",IF(Tb_Activiteiten[[#This Row],[Vergoeding]]=1,Tb_Activiteiten[[#Headers],[Vergoeding]],""))</f>
        <v/>
      </c>
      <c r="AZ1068" t="str">
        <f>IF(ISNUMBER(FIND("arbeid",Methode_Keuze)),"",IF(Tb_Activiteiten[[#This Row],[Arbeidskosten - vast tarief (excl eigen arbeid)]]=1,Tb_Activiteiten[[#Headers],[Arbeidskosten - vast tarief (excl eigen arbeid)]],""))</f>
        <v/>
      </c>
      <c r="BA1068" t="str">
        <f>IF(ISNUMBER(FIND("overige",Methode_Keuze)),"",IF(Tb_Activiteiten[[#This Row],[Overige kosten]]=1,Tb_Activiteiten[[#Headers],[Overige kosten]],""))</f>
        <v/>
      </c>
    </row>
    <row r="1069" spans="1:53" x14ac:dyDescent="0.25">
      <c r="A1069" s="139"/>
      <c r="B1069" s="139"/>
      <c r="C1069" s="139"/>
      <c r="D1069" s="139"/>
      <c r="E1069" s="139"/>
      <c r="F1069" s="139"/>
      <c r="G1069" s="139"/>
      <c r="O1069" s="56"/>
      <c r="Q1069" t="str">
        <f>IFERROR(IF(VLOOKUP(Tb_Activiteiten[[#This Row],[Openstelling]],Tb_Openstelling[],2,0)=1,1,""),"")</f>
        <v/>
      </c>
      <c r="AK1069" t="str">
        <f>IF(ISNUMBER(FIND("arbeid",Methode_Keuze)),"",IF(ISNUMBER(FIND("arbeid",Methode_Keuze)),"",IF(Tb_Activiteiten[[#This Row],[Loonkosten]]=1,Tb_Activiteiten[[#Headers],[Loonkosten]],"")))</f>
        <v/>
      </c>
      <c r="AL1069" t="str">
        <f>IF(ISNUMBER(FIND("arbeid",Methode_Keuze)),"",IF(ISNUMBER(FIND("arbeid",Methode_Keuze)),"",IF(Tb_Activiteiten[[#This Row],[Eigen arbeid]]=1,Tb_Activiteiten[[#Headers],[Eigen arbeid]],"")))</f>
        <v/>
      </c>
      <c r="AM1069" t="str">
        <f>IF(ISNUMBER(FIND("arbeid",Methode_Keuze)),"",IF(ISNUMBER(FIND("arbeid",Methode_Keuze)),"",IF(Tb_Activiteiten[[#This Row],[Projectmedewerker]]=1,Tb_Activiteiten[[#Headers],[Projectmedewerker]],"")))</f>
        <v/>
      </c>
      <c r="AN1069" t="str">
        <f>IF(ISNUMBER(FIND("arbeid",Methode_Keuze)),"",IF(ISNUMBER(FIND("arbeid",Methode_Keuze)),"",IF(Tb_Activiteiten[[#This Row],[Landbouwer]]=1,Tb_Activiteiten[[#Headers],[Landbouwer]],"")))</f>
        <v/>
      </c>
      <c r="AO1069" t="str">
        <f>IF(ISNUMBER(FIND("arbeid",Methode_Keuze)),"",IF(ISNUMBER(FIND("arbeid",Methode_Keuze)),"",IF(Tb_Activiteiten[[#This Row],[Adviseur]]=1,Tb_Activiteiten[[#Headers],[Adviseur]],"")))</f>
        <v/>
      </c>
      <c r="AP1069" t="str">
        <f>IF(ISNUMBER(FIND("arbeid",Methode_Keuze)),"",IF(ISNUMBER(FIND("arbeid",Methode_Keuze)),"",IF(Tb_Activiteiten[[#This Row],[Projectleider/Expert]]=1,Tb_Activiteiten[[#Headers],[Projectleider/Expert]],"")))</f>
        <v/>
      </c>
      <c r="AQ1069" t="str">
        <f>IF(ISNUMBER(FIND("arbeid",Methode_Keuze)),"",IF(ISNUMBER(FIND("arbeid",Methode_Keuze)),"",IF(Tb_Activiteiten[[#This Row],[Arbeidskosten]]=1,Tb_Activiteiten[[#Headers],[Arbeidskosten]],"")))</f>
        <v/>
      </c>
      <c r="AR1069" t="str">
        <f>IF(ISNUMBER(FIND("arbeid",Methode_Keuze)),"",IF(ISNUMBER(FIND("arbeid",Methode_Keuze)),"",IF(Tb_Activiteiten[[#This Row],[Arbeidskosten op basis van IKS]]=1,Tb_Activiteiten[[#Headers],[Arbeidskosten op basis van IKS]],"")))</f>
        <v/>
      </c>
      <c r="AS1069" t="str">
        <f>IF(ISNUMBER(FIND("overige",Methode_Keuze)),"",IF(Tb_Activiteiten[[#This Row],[Kosten derden exclusief btw]]=1,Tb_Activiteiten[[#Headers],[Kosten derden exclusief btw]],""))</f>
        <v/>
      </c>
      <c r="AT1069" t="str">
        <f>IF(ISNUMBER(FIND("overige",Methode_Keuze)),"",IF(Tb_Activiteiten[[#This Row],[Niet verrekenbare btw]]=1,Tb_Activiteiten[[#Headers],[Niet verrekenbare btw]],""))</f>
        <v/>
      </c>
      <c r="AU1069" t="str">
        <f>IF(ISNUMBER(FIND("overige",Methode_Keuze)),"",IF(Tb_Activiteiten[[#This Row],[Grondkosten]]=1,Tb_Activiteiten[[#Headers],[Grondkosten]],""))</f>
        <v/>
      </c>
      <c r="AV1069" t="str">
        <f>IF(ISNUMBER(FIND("overige",Methode_Keuze)),"",IF(Tb_Activiteiten[[#This Row],[Bijdrage in natura (overige)]]=1,Tb_Activiteiten[[#Headers],[Bijdrage in natura (overige)]],""))</f>
        <v/>
      </c>
      <c r="AW1069" t="str">
        <f>IF(ISNUMBER(FIND("overige",Methode_Keuze)),"",IF(Tb_Activiteiten[[#This Row],[Bijdrage in natura (vrijwilligers)]]=1,Tb_Activiteiten[[#Headers],[Bijdrage in natura (vrijwilligers)]],""))</f>
        <v/>
      </c>
      <c r="AX1069" t="str">
        <f>IF(ISNUMBER(FIND("overige",Methode_Keuze)),"",IF(Tb_Activiteiten[[#This Row],[Afschrijvingskosten]]=1,Tb_Activiteiten[[#Headers],[Afschrijvingskosten]],""))</f>
        <v/>
      </c>
      <c r="AY1069" t="str">
        <f>IF(ISNUMBER(FIND("overige",Methode_Keuze)),"",IF(Tb_Activiteiten[[#This Row],[Vergoeding]]=1,Tb_Activiteiten[[#Headers],[Vergoeding]],""))</f>
        <v/>
      </c>
      <c r="AZ1069" t="str">
        <f>IF(ISNUMBER(FIND("arbeid",Methode_Keuze)),"",IF(Tb_Activiteiten[[#This Row],[Arbeidskosten - vast tarief (excl eigen arbeid)]]=1,Tb_Activiteiten[[#Headers],[Arbeidskosten - vast tarief (excl eigen arbeid)]],""))</f>
        <v/>
      </c>
      <c r="BA1069" t="str">
        <f>IF(ISNUMBER(FIND("overige",Methode_Keuze)),"",IF(Tb_Activiteiten[[#This Row],[Overige kosten]]=1,Tb_Activiteiten[[#Headers],[Overige kosten]],""))</f>
        <v/>
      </c>
    </row>
    <row r="1070" spans="1:53" x14ac:dyDescent="0.25">
      <c r="A1070" s="139"/>
      <c r="B1070" s="139"/>
      <c r="C1070" s="139"/>
      <c r="D1070" s="139"/>
      <c r="E1070" s="139"/>
      <c r="F1070" s="139"/>
      <c r="G1070" s="139"/>
      <c r="O1070" s="56"/>
      <c r="Q1070" t="str">
        <f>IFERROR(IF(VLOOKUP(Tb_Activiteiten[[#This Row],[Openstelling]],Tb_Openstelling[],2,0)=1,1,""),"")</f>
        <v/>
      </c>
      <c r="AK1070" t="str">
        <f>IF(ISNUMBER(FIND("arbeid",Methode_Keuze)),"",IF(ISNUMBER(FIND("arbeid",Methode_Keuze)),"",IF(Tb_Activiteiten[[#This Row],[Loonkosten]]=1,Tb_Activiteiten[[#Headers],[Loonkosten]],"")))</f>
        <v/>
      </c>
      <c r="AL1070" t="str">
        <f>IF(ISNUMBER(FIND("arbeid",Methode_Keuze)),"",IF(ISNUMBER(FIND("arbeid",Methode_Keuze)),"",IF(Tb_Activiteiten[[#This Row],[Eigen arbeid]]=1,Tb_Activiteiten[[#Headers],[Eigen arbeid]],"")))</f>
        <v/>
      </c>
      <c r="AM1070" t="str">
        <f>IF(ISNUMBER(FIND("arbeid",Methode_Keuze)),"",IF(ISNUMBER(FIND("arbeid",Methode_Keuze)),"",IF(Tb_Activiteiten[[#This Row],[Projectmedewerker]]=1,Tb_Activiteiten[[#Headers],[Projectmedewerker]],"")))</f>
        <v/>
      </c>
      <c r="AN1070" t="str">
        <f>IF(ISNUMBER(FIND("arbeid",Methode_Keuze)),"",IF(ISNUMBER(FIND("arbeid",Methode_Keuze)),"",IF(Tb_Activiteiten[[#This Row],[Landbouwer]]=1,Tb_Activiteiten[[#Headers],[Landbouwer]],"")))</f>
        <v/>
      </c>
      <c r="AO1070" t="str">
        <f>IF(ISNUMBER(FIND("arbeid",Methode_Keuze)),"",IF(ISNUMBER(FIND("arbeid",Methode_Keuze)),"",IF(Tb_Activiteiten[[#This Row],[Adviseur]]=1,Tb_Activiteiten[[#Headers],[Adviseur]],"")))</f>
        <v/>
      </c>
      <c r="AP1070" t="str">
        <f>IF(ISNUMBER(FIND("arbeid",Methode_Keuze)),"",IF(ISNUMBER(FIND("arbeid",Methode_Keuze)),"",IF(Tb_Activiteiten[[#This Row],[Projectleider/Expert]]=1,Tb_Activiteiten[[#Headers],[Projectleider/Expert]],"")))</f>
        <v/>
      </c>
      <c r="AQ1070" t="str">
        <f>IF(ISNUMBER(FIND("arbeid",Methode_Keuze)),"",IF(ISNUMBER(FIND("arbeid",Methode_Keuze)),"",IF(Tb_Activiteiten[[#This Row],[Arbeidskosten]]=1,Tb_Activiteiten[[#Headers],[Arbeidskosten]],"")))</f>
        <v/>
      </c>
      <c r="AR1070" t="str">
        <f>IF(ISNUMBER(FIND("arbeid",Methode_Keuze)),"",IF(ISNUMBER(FIND("arbeid",Methode_Keuze)),"",IF(Tb_Activiteiten[[#This Row],[Arbeidskosten op basis van IKS]]=1,Tb_Activiteiten[[#Headers],[Arbeidskosten op basis van IKS]],"")))</f>
        <v/>
      </c>
      <c r="AS1070" t="str">
        <f>IF(ISNUMBER(FIND("overige",Methode_Keuze)),"",IF(Tb_Activiteiten[[#This Row],[Kosten derden exclusief btw]]=1,Tb_Activiteiten[[#Headers],[Kosten derden exclusief btw]],""))</f>
        <v/>
      </c>
      <c r="AT1070" t="str">
        <f>IF(ISNUMBER(FIND("overige",Methode_Keuze)),"",IF(Tb_Activiteiten[[#This Row],[Niet verrekenbare btw]]=1,Tb_Activiteiten[[#Headers],[Niet verrekenbare btw]],""))</f>
        <v/>
      </c>
      <c r="AU1070" t="str">
        <f>IF(ISNUMBER(FIND("overige",Methode_Keuze)),"",IF(Tb_Activiteiten[[#This Row],[Grondkosten]]=1,Tb_Activiteiten[[#Headers],[Grondkosten]],""))</f>
        <v/>
      </c>
      <c r="AV1070" t="str">
        <f>IF(ISNUMBER(FIND("overige",Methode_Keuze)),"",IF(Tb_Activiteiten[[#This Row],[Bijdrage in natura (overige)]]=1,Tb_Activiteiten[[#Headers],[Bijdrage in natura (overige)]],""))</f>
        <v/>
      </c>
      <c r="AW1070" t="str">
        <f>IF(ISNUMBER(FIND("overige",Methode_Keuze)),"",IF(Tb_Activiteiten[[#This Row],[Bijdrage in natura (vrijwilligers)]]=1,Tb_Activiteiten[[#Headers],[Bijdrage in natura (vrijwilligers)]],""))</f>
        <v/>
      </c>
      <c r="AX1070" t="str">
        <f>IF(ISNUMBER(FIND("overige",Methode_Keuze)),"",IF(Tb_Activiteiten[[#This Row],[Afschrijvingskosten]]=1,Tb_Activiteiten[[#Headers],[Afschrijvingskosten]],""))</f>
        <v/>
      </c>
      <c r="AY1070" t="str">
        <f>IF(ISNUMBER(FIND("overige",Methode_Keuze)),"",IF(Tb_Activiteiten[[#This Row],[Vergoeding]]=1,Tb_Activiteiten[[#Headers],[Vergoeding]],""))</f>
        <v/>
      </c>
      <c r="AZ1070" t="str">
        <f>IF(ISNUMBER(FIND("arbeid",Methode_Keuze)),"",IF(Tb_Activiteiten[[#This Row],[Arbeidskosten - vast tarief (excl eigen arbeid)]]=1,Tb_Activiteiten[[#Headers],[Arbeidskosten - vast tarief (excl eigen arbeid)]],""))</f>
        <v/>
      </c>
      <c r="BA1070" t="str">
        <f>IF(ISNUMBER(FIND("overige",Methode_Keuze)),"",IF(Tb_Activiteiten[[#This Row],[Overige kosten]]=1,Tb_Activiteiten[[#Headers],[Overige kosten]],""))</f>
        <v/>
      </c>
    </row>
    <row r="1071" spans="1:53" x14ac:dyDescent="0.25">
      <c r="A1071" s="139"/>
      <c r="B1071" s="139"/>
      <c r="C1071" s="139"/>
      <c r="D1071" s="139"/>
      <c r="E1071" s="139"/>
      <c r="F1071" s="139"/>
      <c r="G1071" s="139"/>
      <c r="O1071" s="56"/>
      <c r="Q1071" t="str">
        <f>IFERROR(IF(VLOOKUP(Tb_Activiteiten[[#This Row],[Openstelling]],Tb_Openstelling[],2,0)=1,1,""),"")</f>
        <v/>
      </c>
      <c r="AK1071" t="str">
        <f>IF(ISNUMBER(FIND("arbeid",Methode_Keuze)),"",IF(ISNUMBER(FIND("arbeid",Methode_Keuze)),"",IF(Tb_Activiteiten[[#This Row],[Loonkosten]]=1,Tb_Activiteiten[[#Headers],[Loonkosten]],"")))</f>
        <v/>
      </c>
      <c r="AL1071" t="str">
        <f>IF(ISNUMBER(FIND("arbeid",Methode_Keuze)),"",IF(ISNUMBER(FIND("arbeid",Methode_Keuze)),"",IF(Tb_Activiteiten[[#This Row],[Eigen arbeid]]=1,Tb_Activiteiten[[#Headers],[Eigen arbeid]],"")))</f>
        <v/>
      </c>
      <c r="AM1071" t="str">
        <f>IF(ISNUMBER(FIND("arbeid",Methode_Keuze)),"",IF(ISNUMBER(FIND("arbeid",Methode_Keuze)),"",IF(Tb_Activiteiten[[#This Row],[Projectmedewerker]]=1,Tb_Activiteiten[[#Headers],[Projectmedewerker]],"")))</f>
        <v/>
      </c>
      <c r="AN1071" t="str">
        <f>IF(ISNUMBER(FIND("arbeid",Methode_Keuze)),"",IF(ISNUMBER(FIND("arbeid",Methode_Keuze)),"",IF(Tb_Activiteiten[[#This Row],[Landbouwer]]=1,Tb_Activiteiten[[#Headers],[Landbouwer]],"")))</f>
        <v/>
      </c>
      <c r="AO1071" t="str">
        <f>IF(ISNUMBER(FIND("arbeid",Methode_Keuze)),"",IF(ISNUMBER(FIND("arbeid",Methode_Keuze)),"",IF(Tb_Activiteiten[[#This Row],[Adviseur]]=1,Tb_Activiteiten[[#Headers],[Adviseur]],"")))</f>
        <v/>
      </c>
      <c r="AP1071" t="str">
        <f>IF(ISNUMBER(FIND("arbeid",Methode_Keuze)),"",IF(ISNUMBER(FIND("arbeid",Methode_Keuze)),"",IF(Tb_Activiteiten[[#This Row],[Projectleider/Expert]]=1,Tb_Activiteiten[[#Headers],[Projectleider/Expert]],"")))</f>
        <v/>
      </c>
      <c r="AQ1071" t="str">
        <f>IF(ISNUMBER(FIND("arbeid",Methode_Keuze)),"",IF(ISNUMBER(FIND("arbeid",Methode_Keuze)),"",IF(Tb_Activiteiten[[#This Row],[Arbeidskosten]]=1,Tb_Activiteiten[[#Headers],[Arbeidskosten]],"")))</f>
        <v/>
      </c>
      <c r="AR1071" t="str">
        <f>IF(ISNUMBER(FIND("arbeid",Methode_Keuze)),"",IF(ISNUMBER(FIND("arbeid",Methode_Keuze)),"",IF(Tb_Activiteiten[[#This Row],[Arbeidskosten op basis van IKS]]=1,Tb_Activiteiten[[#Headers],[Arbeidskosten op basis van IKS]],"")))</f>
        <v/>
      </c>
      <c r="AS1071" t="str">
        <f>IF(ISNUMBER(FIND("overige",Methode_Keuze)),"",IF(Tb_Activiteiten[[#This Row],[Kosten derden exclusief btw]]=1,Tb_Activiteiten[[#Headers],[Kosten derden exclusief btw]],""))</f>
        <v/>
      </c>
      <c r="AT1071" t="str">
        <f>IF(ISNUMBER(FIND("overige",Methode_Keuze)),"",IF(Tb_Activiteiten[[#This Row],[Niet verrekenbare btw]]=1,Tb_Activiteiten[[#Headers],[Niet verrekenbare btw]],""))</f>
        <v/>
      </c>
      <c r="AU1071" t="str">
        <f>IF(ISNUMBER(FIND("overige",Methode_Keuze)),"",IF(Tb_Activiteiten[[#This Row],[Grondkosten]]=1,Tb_Activiteiten[[#Headers],[Grondkosten]],""))</f>
        <v/>
      </c>
      <c r="AV1071" t="str">
        <f>IF(ISNUMBER(FIND("overige",Methode_Keuze)),"",IF(Tb_Activiteiten[[#This Row],[Bijdrage in natura (overige)]]=1,Tb_Activiteiten[[#Headers],[Bijdrage in natura (overige)]],""))</f>
        <v/>
      </c>
      <c r="AW1071" t="str">
        <f>IF(ISNUMBER(FIND("overige",Methode_Keuze)),"",IF(Tb_Activiteiten[[#This Row],[Bijdrage in natura (vrijwilligers)]]=1,Tb_Activiteiten[[#Headers],[Bijdrage in natura (vrijwilligers)]],""))</f>
        <v/>
      </c>
      <c r="AX1071" t="str">
        <f>IF(ISNUMBER(FIND("overige",Methode_Keuze)),"",IF(Tb_Activiteiten[[#This Row],[Afschrijvingskosten]]=1,Tb_Activiteiten[[#Headers],[Afschrijvingskosten]],""))</f>
        <v/>
      </c>
      <c r="AY1071" t="str">
        <f>IF(ISNUMBER(FIND("overige",Methode_Keuze)),"",IF(Tb_Activiteiten[[#This Row],[Vergoeding]]=1,Tb_Activiteiten[[#Headers],[Vergoeding]],""))</f>
        <v/>
      </c>
      <c r="AZ1071" t="str">
        <f>IF(ISNUMBER(FIND("arbeid",Methode_Keuze)),"",IF(Tb_Activiteiten[[#This Row],[Arbeidskosten - vast tarief (excl eigen arbeid)]]=1,Tb_Activiteiten[[#Headers],[Arbeidskosten - vast tarief (excl eigen arbeid)]],""))</f>
        <v/>
      </c>
      <c r="BA1071" t="str">
        <f>IF(ISNUMBER(FIND("overige",Methode_Keuze)),"",IF(Tb_Activiteiten[[#This Row],[Overige kosten]]=1,Tb_Activiteiten[[#Headers],[Overige kosten]],""))</f>
        <v/>
      </c>
    </row>
    <row r="1072" spans="1:53" x14ac:dyDescent="0.25">
      <c r="A1072" s="139"/>
      <c r="B1072" s="139"/>
      <c r="C1072" s="139"/>
      <c r="D1072" s="139"/>
      <c r="E1072" s="139"/>
      <c r="F1072" s="139"/>
      <c r="G1072" s="139"/>
      <c r="O1072" s="56"/>
      <c r="Q1072" t="str">
        <f>IFERROR(IF(VLOOKUP(Tb_Activiteiten[[#This Row],[Openstelling]],Tb_Openstelling[],2,0)=1,1,""),"")</f>
        <v/>
      </c>
      <c r="AK1072" t="str">
        <f>IF(ISNUMBER(FIND("arbeid",Methode_Keuze)),"",IF(ISNUMBER(FIND("arbeid",Methode_Keuze)),"",IF(Tb_Activiteiten[[#This Row],[Loonkosten]]=1,Tb_Activiteiten[[#Headers],[Loonkosten]],"")))</f>
        <v/>
      </c>
      <c r="AL1072" t="str">
        <f>IF(ISNUMBER(FIND("arbeid",Methode_Keuze)),"",IF(ISNUMBER(FIND("arbeid",Methode_Keuze)),"",IF(Tb_Activiteiten[[#This Row],[Eigen arbeid]]=1,Tb_Activiteiten[[#Headers],[Eigen arbeid]],"")))</f>
        <v/>
      </c>
      <c r="AM1072" t="str">
        <f>IF(ISNUMBER(FIND("arbeid",Methode_Keuze)),"",IF(ISNUMBER(FIND("arbeid",Methode_Keuze)),"",IF(Tb_Activiteiten[[#This Row],[Projectmedewerker]]=1,Tb_Activiteiten[[#Headers],[Projectmedewerker]],"")))</f>
        <v/>
      </c>
      <c r="AN1072" t="str">
        <f>IF(ISNUMBER(FIND("arbeid",Methode_Keuze)),"",IF(ISNUMBER(FIND("arbeid",Methode_Keuze)),"",IF(Tb_Activiteiten[[#This Row],[Landbouwer]]=1,Tb_Activiteiten[[#Headers],[Landbouwer]],"")))</f>
        <v/>
      </c>
      <c r="AO1072" t="str">
        <f>IF(ISNUMBER(FIND("arbeid",Methode_Keuze)),"",IF(ISNUMBER(FIND("arbeid",Methode_Keuze)),"",IF(Tb_Activiteiten[[#This Row],[Adviseur]]=1,Tb_Activiteiten[[#Headers],[Adviseur]],"")))</f>
        <v/>
      </c>
      <c r="AP1072" t="str">
        <f>IF(ISNUMBER(FIND("arbeid",Methode_Keuze)),"",IF(ISNUMBER(FIND("arbeid",Methode_Keuze)),"",IF(Tb_Activiteiten[[#This Row],[Projectleider/Expert]]=1,Tb_Activiteiten[[#Headers],[Projectleider/Expert]],"")))</f>
        <v/>
      </c>
      <c r="AQ1072" t="str">
        <f>IF(ISNUMBER(FIND("arbeid",Methode_Keuze)),"",IF(ISNUMBER(FIND("arbeid",Methode_Keuze)),"",IF(Tb_Activiteiten[[#This Row],[Arbeidskosten]]=1,Tb_Activiteiten[[#Headers],[Arbeidskosten]],"")))</f>
        <v/>
      </c>
      <c r="AR1072" t="str">
        <f>IF(ISNUMBER(FIND("arbeid",Methode_Keuze)),"",IF(ISNUMBER(FIND("arbeid",Methode_Keuze)),"",IF(Tb_Activiteiten[[#This Row],[Arbeidskosten op basis van IKS]]=1,Tb_Activiteiten[[#Headers],[Arbeidskosten op basis van IKS]],"")))</f>
        <v/>
      </c>
      <c r="AS1072" t="str">
        <f>IF(ISNUMBER(FIND("overige",Methode_Keuze)),"",IF(Tb_Activiteiten[[#This Row],[Kosten derden exclusief btw]]=1,Tb_Activiteiten[[#Headers],[Kosten derden exclusief btw]],""))</f>
        <v/>
      </c>
      <c r="AT1072" t="str">
        <f>IF(ISNUMBER(FIND("overige",Methode_Keuze)),"",IF(Tb_Activiteiten[[#This Row],[Niet verrekenbare btw]]=1,Tb_Activiteiten[[#Headers],[Niet verrekenbare btw]],""))</f>
        <v/>
      </c>
      <c r="AU1072" t="str">
        <f>IF(ISNUMBER(FIND("overige",Methode_Keuze)),"",IF(Tb_Activiteiten[[#This Row],[Grondkosten]]=1,Tb_Activiteiten[[#Headers],[Grondkosten]],""))</f>
        <v/>
      </c>
      <c r="AV1072" t="str">
        <f>IF(ISNUMBER(FIND("overige",Methode_Keuze)),"",IF(Tb_Activiteiten[[#This Row],[Bijdrage in natura (overige)]]=1,Tb_Activiteiten[[#Headers],[Bijdrage in natura (overige)]],""))</f>
        <v/>
      </c>
      <c r="AW1072" t="str">
        <f>IF(ISNUMBER(FIND("overige",Methode_Keuze)),"",IF(Tb_Activiteiten[[#This Row],[Bijdrage in natura (vrijwilligers)]]=1,Tb_Activiteiten[[#Headers],[Bijdrage in natura (vrijwilligers)]],""))</f>
        <v/>
      </c>
      <c r="AX1072" t="str">
        <f>IF(ISNUMBER(FIND("overige",Methode_Keuze)),"",IF(Tb_Activiteiten[[#This Row],[Afschrijvingskosten]]=1,Tb_Activiteiten[[#Headers],[Afschrijvingskosten]],""))</f>
        <v/>
      </c>
      <c r="AY1072" t="str">
        <f>IF(ISNUMBER(FIND("overige",Methode_Keuze)),"",IF(Tb_Activiteiten[[#This Row],[Vergoeding]]=1,Tb_Activiteiten[[#Headers],[Vergoeding]],""))</f>
        <v/>
      </c>
      <c r="AZ1072" t="str">
        <f>IF(ISNUMBER(FIND("arbeid",Methode_Keuze)),"",IF(Tb_Activiteiten[[#This Row],[Arbeidskosten - vast tarief (excl eigen arbeid)]]=1,Tb_Activiteiten[[#Headers],[Arbeidskosten - vast tarief (excl eigen arbeid)]],""))</f>
        <v/>
      </c>
      <c r="BA1072" t="str">
        <f>IF(ISNUMBER(FIND("overige",Methode_Keuze)),"",IF(Tb_Activiteiten[[#This Row],[Overige kosten]]=1,Tb_Activiteiten[[#Headers],[Overige kosten]],""))</f>
        <v/>
      </c>
    </row>
    <row r="1073" spans="1:53" x14ac:dyDescent="0.25">
      <c r="A1073" s="139"/>
      <c r="B1073" s="139"/>
      <c r="C1073" s="139"/>
      <c r="D1073" s="139"/>
      <c r="E1073" s="139"/>
      <c r="F1073" s="139"/>
      <c r="G1073" s="139"/>
      <c r="O1073" s="56"/>
      <c r="Q1073" t="str">
        <f>IFERROR(IF(VLOOKUP(Tb_Activiteiten[[#This Row],[Openstelling]],Tb_Openstelling[],2,0)=1,1,""),"")</f>
        <v/>
      </c>
      <c r="AK1073" t="str">
        <f>IF(ISNUMBER(FIND("arbeid",Methode_Keuze)),"",IF(ISNUMBER(FIND("arbeid",Methode_Keuze)),"",IF(Tb_Activiteiten[[#This Row],[Loonkosten]]=1,Tb_Activiteiten[[#Headers],[Loonkosten]],"")))</f>
        <v/>
      </c>
      <c r="AL1073" t="str">
        <f>IF(ISNUMBER(FIND("arbeid",Methode_Keuze)),"",IF(ISNUMBER(FIND("arbeid",Methode_Keuze)),"",IF(Tb_Activiteiten[[#This Row],[Eigen arbeid]]=1,Tb_Activiteiten[[#Headers],[Eigen arbeid]],"")))</f>
        <v/>
      </c>
      <c r="AM1073" t="str">
        <f>IF(ISNUMBER(FIND("arbeid",Methode_Keuze)),"",IF(ISNUMBER(FIND("arbeid",Methode_Keuze)),"",IF(Tb_Activiteiten[[#This Row],[Projectmedewerker]]=1,Tb_Activiteiten[[#Headers],[Projectmedewerker]],"")))</f>
        <v/>
      </c>
      <c r="AN1073" t="str">
        <f>IF(ISNUMBER(FIND("arbeid",Methode_Keuze)),"",IF(ISNUMBER(FIND("arbeid",Methode_Keuze)),"",IF(Tb_Activiteiten[[#This Row],[Landbouwer]]=1,Tb_Activiteiten[[#Headers],[Landbouwer]],"")))</f>
        <v/>
      </c>
      <c r="AO1073" t="str">
        <f>IF(ISNUMBER(FIND("arbeid",Methode_Keuze)),"",IF(ISNUMBER(FIND("arbeid",Methode_Keuze)),"",IF(Tb_Activiteiten[[#This Row],[Adviseur]]=1,Tb_Activiteiten[[#Headers],[Adviseur]],"")))</f>
        <v/>
      </c>
      <c r="AP1073" t="str">
        <f>IF(ISNUMBER(FIND("arbeid",Methode_Keuze)),"",IF(ISNUMBER(FIND("arbeid",Methode_Keuze)),"",IF(Tb_Activiteiten[[#This Row],[Projectleider/Expert]]=1,Tb_Activiteiten[[#Headers],[Projectleider/Expert]],"")))</f>
        <v/>
      </c>
      <c r="AQ1073" t="str">
        <f>IF(ISNUMBER(FIND("arbeid",Methode_Keuze)),"",IF(ISNUMBER(FIND("arbeid",Methode_Keuze)),"",IF(Tb_Activiteiten[[#This Row],[Arbeidskosten]]=1,Tb_Activiteiten[[#Headers],[Arbeidskosten]],"")))</f>
        <v/>
      </c>
      <c r="AR1073" t="str">
        <f>IF(ISNUMBER(FIND("arbeid",Methode_Keuze)),"",IF(ISNUMBER(FIND("arbeid",Methode_Keuze)),"",IF(Tb_Activiteiten[[#This Row],[Arbeidskosten op basis van IKS]]=1,Tb_Activiteiten[[#Headers],[Arbeidskosten op basis van IKS]],"")))</f>
        <v/>
      </c>
      <c r="AS1073" t="str">
        <f>IF(ISNUMBER(FIND("overige",Methode_Keuze)),"",IF(Tb_Activiteiten[[#This Row],[Kosten derden exclusief btw]]=1,Tb_Activiteiten[[#Headers],[Kosten derden exclusief btw]],""))</f>
        <v/>
      </c>
      <c r="AT1073" t="str">
        <f>IF(ISNUMBER(FIND("overige",Methode_Keuze)),"",IF(Tb_Activiteiten[[#This Row],[Niet verrekenbare btw]]=1,Tb_Activiteiten[[#Headers],[Niet verrekenbare btw]],""))</f>
        <v/>
      </c>
      <c r="AU1073" t="str">
        <f>IF(ISNUMBER(FIND("overige",Methode_Keuze)),"",IF(Tb_Activiteiten[[#This Row],[Grondkosten]]=1,Tb_Activiteiten[[#Headers],[Grondkosten]],""))</f>
        <v/>
      </c>
      <c r="AV1073" t="str">
        <f>IF(ISNUMBER(FIND("overige",Methode_Keuze)),"",IF(Tb_Activiteiten[[#This Row],[Bijdrage in natura (overige)]]=1,Tb_Activiteiten[[#Headers],[Bijdrage in natura (overige)]],""))</f>
        <v/>
      </c>
      <c r="AW1073" t="str">
        <f>IF(ISNUMBER(FIND("overige",Methode_Keuze)),"",IF(Tb_Activiteiten[[#This Row],[Bijdrage in natura (vrijwilligers)]]=1,Tb_Activiteiten[[#Headers],[Bijdrage in natura (vrijwilligers)]],""))</f>
        <v/>
      </c>
      <c r="AX1073" t="str">
        <f>IF(ISNUMBER(FIND("overige",Methode_Keuze)),"",IF(Tb_Activiteiten[[#This Row],[Afschrijvingskosten]]=1,Tb_Activiteiten[[#Headers],[Afschrijvingskosten]],""))</f>
        <v/>
      </c>
      <c r="AY1073" t="str">
        <f>IF(ISNUMBER(FIND("overige",Methode_Keuze)),"",IF(Tb_Activiteiten[[#This Row],[Vergoeding]]=1,Tb_Activiteiten[[#Headers],[Vergoeding]],""))</f>
        <v/>
      </c>
      <c r="AZ1073" t="str">
        <f>IF(ISNUMBER(FIND("arbeid",Methode_Keuze)),"",IF(Tb_Activiteiten[[#This Row],[Arbeidskosten - vast tarief (excl eigen arbeid)]]=1,Tb_Activiteiten[[#Headers],[Arbeidskosten - vast tarief (excl eigen arbeid)]],""))</f>
        <v/>
      </c>
      <c r="BA1073" t="str">
        <f>IF(ISNUMBER(FIND("overige",Methode_Keuze)),"",IF(Tb_Activiteiten[[#This Row],[Overige kosten]]=1,Tb_Activiteiten[[#Headers],[Overige kosten]],""))</f>
        <v/>
      </c>
    </row>
    <row r="1074" spans="1:53" x14ac:dyDescent="0.25">
      <c r="A1074" s="139"/>
      <c r="B1074" s="139"/>
      <c r="C1074" s="139"/>
      <c r="D1074" s="139"/>
      <c r="E1074" s="139"/>
      <c r="F1074" s="139"/>
      <c r="G1074" s="139"/>
      <c r="O1074" s="56"/>
      <c r="Q1074" t="str">
        <f>IFERROR(IF(VLOOKUP(Tb_Activiteiten[[#This Row],[Openstelling]],Tb_Openstelling[],2,0)=1,1,""),"")</f>
        <v/>
      </c>
      <c r="AK1074" t="str">
        <f>IF(ISNUMBER(FIND("arbeid",Methode_Keuze)),"",IF(ISNUMBER(FIND("arbeid",Methode_Keuze)),"",IF(Tb_Activiteiten[[#This Row],[Loonkosten]]=1,Tb_Activiteiten[[#Headers],[Loonkosten]],"")))</f>
        <v/>
      </c>
      <c r="AL1074" t="str">
        <f>IF(ISNUMBER(FIND("arbeid",Methode_Keuze)),"",IF(ISNUMBER(FIND("arbeid",Methode_Keuze)),"",IF(Tb_Activiteiten[[#This Row],[Eigen arbeid]]=1,Tb_Activiteiten[[#Headers],[Eigen arbeid]],"")))</f>
        <v/>
      </c>
      <c r="AM1074" t="str">
        <f>IF(ISNUMBER(FIND("arbeid",Methode_Keuze)),"",IF(ISNUMBER(FIND("arbeid",Methode_Keuze)),"",IF(Tb_Activiteiten[[#This Row],[Projectmedewerker]]=1,Tb_Activiteiten[[#Headers],[Projectmedewerker]],"")))</f>
        <v/>
      </c>
      <c r="AN1074" t="str">
        <f>IF(ISNUMBER(FIND("arbeid",Methode_Keuze)),"",IF(ISNUMBER(FIND("arbeid",Methode_Keuze)),"",IF(Tb_Activiteiten[[#This Row],[Landbouwer]]=1,Tb_Activiteiten[[#Headers],[Landbouwer]],"")))</f>
        <v/>
      </c>
      <c r="AO1074" t="str">
        <f>IF(ISNUMBER(FIND("arbeid",Methode_Keuze)),"",IF(ISNUMBER(FIND("arbeid",Methode_Keuze)),"",IF(Tb_Activiteiten[[#This Row],[Adviseur]]=1,Tb_Activiteiten[[#Headers],[Adviseur]],"")))</f>
        <v/>
      </c>
      <c r="AP1074" t="str">
        <f>IF(ISNUMBER(FIND("arbeid",Methode_Keuze)),"",IF(ISNUMBER(FIND("arbeid",Methode_Keuze)),"",IF(Tb_Activiteiten[[#This Row],[Projectleider/Expert]]=1,Tb_Activiteiten[[#Headers],[Projectleider/Expert]],"")))</f>
        <v/>
      </c>
      <c r="AQ1074" t="str">
        <f>IF(ISNUMBER(FIND("arbeid",Methode_Keuze)),"",IF(ISNUMBER(FIND("arbeid",Methode_Keuze)),"",IF(Tb_Activiteiten[[#This Row],[Arbeidskosten]]=1,Tb_Activiteiten[[#Headers],[Arbeidskosten]],"")))</f>
        <v/>
      </c>
      <c r="AR1074" t="str">
        <f>IF(ISNUMBER(FIND("arbeid",Methode_Keuze)),"",IF(ISNUMBER(FIND("arbeid",Methode_Keuze)),"",IF(Tb_Activiteiten[[#This Row],[Arbeidskosten op basis van IKS]]=1,Tb_Activiteiten[[#Headers],[Arbeidskosten op basis van IKS]],"")))</f>
        <v/>
      </c>
      <c r="AS1074" t="str">
        <f>IF(ISNUMBER(FIND("overige",Methode_Keuze)),"",IF(Tb_Activiteiten[[#This Row],[Kosten derden exclusief btw]]=1,Tb_Activiteiten[[#Headers],[Kosten derden exclusief btw]],""))</f>
        <v/>
      </c>
      <c r="AT1074" t="str">
        <f>IF(ISNUMBER(FIND("overige",Methode_Keuze)),"",IF(Tb_Activiteiten[[#This Row],[Niet verrekenbare btw]]=1,Tb_Activiteiten[[#Headers],[Niet verrekenbare btw]],""))</f>
        <v/>
      </c>
      <c r="AU1074" t="str">
        <f>IF(ISNUMBER(FIND("overige",Methode_Keuze)),"",IF(Tb_Activiteiten[[#This Row],[Grondkosten]]=1,Tb_Activiteiten[[#Headers],[Grondkosten]],""))</f>
        <v/>
      </c>
      <c r="AV1074" t="str">
        <f>IF(ISNUMBER(FIND("overige",Methode_Keuze)),"",IF(Tb_Activiteiten[[#This Row],[Bijdrage in natura (overige)]]=1,Tb_Activiteiten[[#Headers],[Bijdrage in natura (overige)]],""))</f>
        <v/>
      </c>
      <c r="AW1074" t="str">
        <f>IF(ISNUMBER(FIND("overige",Methode_Keuze)),"",IF(Tb_Activiteiten[[#This Row],[Bijdrage in natura (vrijwilligers)]]=1,Tb_Activiteiten[[#Headers],[Bijdrage in natura (vrijwilligers)]],""))</f>
        <v/>
      </c>
      <c r="AX1074" t="str">
        <f>IF(ISNUMBER(FIND("overige",Methode_Keuze)),"",IF(Tb_Activiteiten[[#This Row],[Afschrijvingskosten]]=1,Tb_Activiteiten[[#Headers],[Afschrijvingskosten]],""))</f>
        <v/>
      </c>
      <c r="AY1074" t="str">
        <f>IF(ISNUMBER(FIND("overige",Methode_Keuze)),"",IF(Tb_Activiteiten[[#This Row],[Vergoeding]]=1,Tb_Activiteiten[[#Headers],[Vergoeding]],""))</f>
        <v/>
      </c>
      <c r="AZ1074" t="str">
        <f>IF(ISNUMBER(FIND("arbeid",Methode_Keuze)),"",IF(Tb_Activiteiten[[#This Row],[Arbeidskosten - vast tarief (excl eigen arbeid)]]=1,Tb_Activiteiten[[#Headers],[Arbeidskosten - vast tarief (excl eigen arbeid)]],""))</f>
        <v/>
      </c>
      <c r="BA1074" t="str">
        <f>IF(ISNUMBER(FIND("overige",Methode_Keuze)),"",IF(Tb_Activiteiten[[#This Row],[Overige kosten]]=1,Tb_Activiteiten[[#Headers],[Overige kosten]],""))</f>
        <v/>
      </c>
    </row>
    <row r="1075" spans="1:53" x14ac:dyDescent="0.25">
      <c r="A1075" s="139"/>
      <c r="B1075" s="139"/>
      <c r="C1075" s="139"/>
      <c r="D1075" s="139"/>
      <c r="E1075" s="139"/>
      <c r="F1075" s="139"/>
      <c r="G1075" s="139"/>
      <c r="O1075" s="56"/>
      <c r="Q1075" t="str">
        <f>IFERROR(IF(VLOOKUP(Tb_Activiteiten[[#This Row],[Openstelling]],Tb_Openstelling[],2,0)=1,1,""),"")</f>
        <v/>
      </c>
      <c r="AK1075" t="str">
        <f>IF(ISNUMBER(FIND("arbeid",Methode_Keuze)),"",IF(ISNUMBER(FIND("arbeid",Methode_Keuze)),"",IF(Tb_Activiteiten[[#This Row],[Loonkosten]]=1,Tb_Activiteiten[[#Headers],[Loonkosten]],"")))</f>
        <v/>
      </c>
      <c r="AL1075" t="str">
        <f>IF(ISNUMBER(FIND("arbeid",Methode_Keuze)),"",IF(ISNUMBER(FIND("arbeid",Methode_Keuze)),"",IF(Tb_Activiteiten[[#This Row],[Eigen arbeid]]=1,Tb_Activiteiten[[#Headers],[Eigen arbeid]],"")))</f>
        <v/>
      </c>
      <c r="AM1075" t="str">
        <f>IF(ISNUMBER(FIND("arbeid",Methode_Keuze)),"",IF(ISNUMBER(FIND("arbeid",Methode_Keuze)),"",IF(Tb_Activiteiten[[#This Row],[Projectmedewerker]]=1,Tb_Activiteiten[[#Headers],[Projectmedewerker]],"")))</f>
        <v/>
      </c>
      <c r="AN1075" t="str">
        <f>IF(ISNUMBER(FIND("arbeid",Methode_Keuze)),"",IF(ISNUMBER(FIND("arbeid",Methode_Keuze)),"",IF(Tb_Activiteiten[[#This Row],[Landbouwer]]=1,Tb_Activiteiten[[#Headers],[Landbouwer]],"")))</f>
        <v/>
      </c>
      <c r="AO1075" t="str">
        <f>IF(ISNUMBER(FIND("arbeid",Methode_Keuze)),"",IF(ISNUMBER(FIND("arbeid",Methode_Keuze)),"",IF(Tb_Activiteiten[[#This Row],[Adviseur]]=1,Tb_Activiteiten[[#Headers],[Adviseur]],"")))</f>
        <v/>
      </c>
      <c r="AP1075" t="str">
        <f>IF(ISNUMBER(FIND("arbeid",Methode_Keuze)),"",IF(ISNUMBER(FIND("arbeid",Methode_Keuze)),"",IF(Tb_Activiteiten[[#This Row],[Projectleider/Expert]]=1,Tb_Activiteiten[[#Headers],[Projectleider/Expert]],"")))</f>
        <v/>
      </c>
      <c r="AQ1075" t="str">
        <f>IF(ISNUMBER(FIND("arbeid",Methode_Keuze)),"",IF(ISNUMBER(FIND("arbeid",Methode_Keuze)),"",IF(Tb_Activiteiten[[#This Row],[Arbeidskosten]]=1,Tb_Activiteiten[[#Headers],[Arbeidskosten]],"")))</f>
        <v/>
      </c>
      <c r="AR1075" t="str">
        <f>IF(ISNUMBER(FIND("arbeid",Methode_Keuze)),"",IF(ISNUMBER(FIND("arbeid",Methode_Keuze)),"",IF(Tb_Activiteiten[[#This Row],[Arbeidskosten op basis van IKS]]=1,Tb_Activiteiten[[#Headers],[Arbeidskosten op basis van IKS]],"")))</f>
        <v/>
      </c>
      <c r="AS1075" t="str">
        <f>IF(ISNUMBER(FIND("overige",Methode_Keuze)),"",IF(Tb_Activiteiten[[#This Row],[Kosten derden exclusief btw]]=1,Tb_Activiteiten[[#Headers],[Kosten derden exclusief btw]],""))</f>
        <v/>
      </c>
      <c r="AT1075" t="str">
        <f>IF(ISNUMBER(FIND("overige",Methode_Keuze)),"",IF(Tb_Activiteiten[[#This Row],[Niet verrekenbare btw]]=1,Tb_Activiteiten[[#Headers],[Niet verrekenbare btw]],""))</f>
        <v/>
      </c>
      <c r="AU1075" t="str">
        <f>IF(ISNUMBER(FIND("overige",Methode_Keuze)),"",IF(Tb_Activiteiten[[#This Row],[Grondkosten]]=1,Tb_Activiteiten[[#Headers],[Grondkosten]],""))</f>
        <v/>
      </c>
      <c r="AV1075" t="str">
        <f>IF(ISNUMBER(FIND("overige",Methode_Keuze)),"",IF(Tb_Activiteiten[[#This Row],[Bijdrage in natura (overige)]]=1,Tb_Activiteiten[[#Headers],[Bijdrage in natura (overige)]],""))</f>
        <v/>
      </c>
      <c r="AW1075" t="str">
        <f>IF(ISNUMBER(FIND("overige",Methode_Keuze)),"",IF(Tb_Activiteiten[[#This Row],[Bijdrage in natura (vrijwilligers)]]=1,Tb_Activiteiten[[#Headers],[Bijdrage in natura (vrijwilligers)]],""))</f>
        <v/>
      </c>
      <c r="AX1075" t="str">
        <f>IF(ISNUMBER(FIND("overige",Methode_Keuze)),"",IF(Tb_Activiteiten[[#This Row],[Afschrijvingskosten]]=1,Tb_Activiteiten[[#Headers],[Afschrijvingskosten]],""))</f>
        <v/>
      </c>
      <c r="AY1075" t="str">
        <f>IF(ISNUMBER(FIND("overige",Methode_Keuze)),"",IF(Tb_Activiteiten[[#This Row],[Vergoeding]]=1,Tb_Activiteiten[[#Headers],[Vergoeding]],""))</f>
        <v/>
      </c>
      <c r="AZ1075" t="str">
        <f>IF(ISNUMBER(FIND("arbeid",Methode_Keuze)),"",IF(Tb_Activiteiten[[#This Row],[Arbeidskosten - vast tarief (excl eigen arbeid)]]=1,Tb_Activiteiten[[#Headers],[Arbeidskosten - vast tarief (excl eigen arbeid)]],""))</f>
        <v/>
      </c>
      <c r="BA1075" t="str">
        <f>IF(ISNUMBER(FIND("overige",Methode_Keuze)),"",IF(Tb_Activiteiten[[#This Row],[Overige kosten]]=1,Tb_Activiteiten[[#Headers],[Overige kosten]],""))</f>
        <v/>
      </c>
    </row>
    <row r="1076" spans="1:53" x14ac:dyDescent="0.25">
      <c r="A1076" s="139"/>
      <c r="B1076" s="139"/>
      <c r="C1076" s="139"/>
      <c r="D1076" s="139"/>
      <c r="E1076" s="139"/>
      <c r="F1076" s="139"/>
      <c r="G1076" s="139"/>
      <c r="O1076" s="56"/>
      <c r="Q1076" t="str">
        <f>IFERROR(IF(VLOOKUP(Tb_Activiteiten[[#This Row],[Openstelling]],Tb_Openstelling[],2,0)=1,1,""),"")</f>
        <v/>
      </c>
      <c r="AK1076" t="str">
        <f>IF(ISNUMBER(FIND("arbeid",Methode_Keuze)),"",IF(ISNUMBER(FIND("arbeid",Methode_Keuze)),"",IF(Tb_Activiteiten[[#This Row],[Loonkosten]]=1,Tb_Activiteiten[[#Headers],[Loonkosten]],"")))</f>
        <v/>
      </c>
      <c r="AL1076" t="str">
        <f>IF(ISNUMBER(FIND("arbeid",Methode_Keuze)),"",IF(ISNUMBER(FIND("arbeid",Methode_Keuze)),"",IF(Tb_Activiteiten[[#This Row],[Eigen arbeid]]=1,Tb_Activiteiten[[#Headers],[Eigen arbeid]],"")))</f>
        <v/>
      </c>
      <c r="AM1076" t="str">
        <f>IF(ISNUMBER(FIND("arbeid",Methode_Keuze)),"",IF(ISNUMBER(FIND("arbeid",Methode_Keuze)),"",IF(Tb_Activiteiten[[#This Row],[Projectmedewerker]]=1,Tb_Activiteiten[[#Headers],[Projectmedewerker]],"")))</f>
        <v/>
      </c>
      <c r="AN1076" t="str">
        <f>IF(ISNUMBER(FIND("arbeid",Methode_Keuze)),"",IF(ISNUMBER(FIND("arbeid",Methode_Keuze)),"",IF(Tb_Activiteiten[[#This Row],[Landbouwer]]=1,Tb_Activiteiten[[#Headers],[Landbouwer]],"")))</f>
        <v/>
      </c>
      <c r="AO1076" t="str">
        <f>IF(ISNUMBER(FIND("arbeid",Methode_Keuze)),"",IF(ISNUMBER(FIND("arbeid",Methode_Keuze)),"",IF(Tb_Activiteiten[[#This Row],[Adviseur]]=1,Tb_Activiteiten[[#Headers],[Adviseur]],"")))</f>
        <v/>
      </c>
      <c r="AP1076" t="str">
        <f>IF(ISNUMBER(FIND("arbeid",Methode_Keuze)),"",IF(ISNUMBER(FIND("arbeid",Methode_Keuze)),"",IF(Tb_Activiteiten[[#This Row],[Projectleider/Expert]]=1,Tb_Activiteiten[[#Headers],[Projectleider/Expert]],"")))</f>
        <v/>
      </c>
      <c r="AQ1076" t="str">
        <f>IF(ISNUMBER(FIND("arbeid",Methode_Keuze)),"",IF(ISNUMBER(FIND("arbeid",Methode_Keuze)),"",IF(Tb_Activiteiten[[#This Row],[Arbeidskosten]]=1,Tb_Activiteiten[[#Headers],[Arbeidskosten]],"")))</f>
        <v/>
      </c>
      <c r="AR1076" t="str">
        <f>IF(ISNUMBER(FIND("arbeid",Methode_Keuze)),"",IF(ISNUMBER(FIND("arbeid",Methode_Keuze)),"",IF(Tb_Activiteiten[[#This Row],[Arbeidskosten op basis van IKS]]=1,Tb_Activiteiten[[#Headers],[Arbeidskosten op basis van IKS]],"")))</f>
        <v/>
      </c>
      <c r="AS1076" t="str">
        <f>IF(ISNUMBER(FIND("overige",Methode_Keuze)),"",IF(Tb_Activiteiten[[#This Row],[Kosten derden exclusief btw]]=1,Tb_Activiteiten[[#Headers],[Kosten derden exclusief btw]],""))</f>
        <v/>
      </c>
      <c r="AT1076" t="str">
        <f>IF(ISNUMBER(FIND("overige",Methode_Keuze)),"",IF(Tb_Activiteiten[[#This Row],[Niet verrekenbare btw]]=1,Tb_Activiteiten[[#Headers],[Niet verrekenbare btw]],""))</f>
        <v/>
      </c>
      <c r="AU1076" t="str">
        <f>IF(ISNUMBER(FIND("overige",Methode_Keuze)),"",IF(Tb_Activiteiten[[#This Row],[Grondkosten]]=1,Tb_Activiteiten[[#Headers],[Grondkosten]],""))</f>
        <v/>
      </c>
      <c r="AV1076" t="str">
        <f>IF(ISNUMBER(FIND("overige",Methode_Keuze)),"",IF(Tb_Activiteiten[[#This Row],[Bijdrage in natura (overige)]]=1,Tb_Activiteiten[[#Headers],[Bijdrage in natura (overige)]],""))</f>
        <v/>
      </c>
      <c r="AW1076" t="str">
        <f>IF(ISNUMBER(FIND("overige",Methode_Keuze)),"",IF(Tb_Activiteiten[[#This Row],[Bijdrage in natura (vrijwilligers)]]=1,Tb_Activiteiten[[#Headers],[Bijdrage in natura (vrijwilligers)]],""))</f>
        <v/>
      </c>
      <c r="AX1076" t="str">
        <f>IF(ISNUMBER(FIND("overige",Methode_Keuze)),"",IF(Tb_Activiteiten[[#This Row],[Afschrijvingskosten]]=1,Tb_Activiteiten[[#Headers],[Afschrijvingskosten]],""))</f>
        <v/>
      </c>
      <c r="AY1076" t="str">
        <f>IF(ISNUMBER(FIND("overige",Methode_Keuze)),"",IF(Tb_Activiteiten[[#This Row],[Vergoeding]]=1,Tb_Activiteiten[[#Headers],[Vergoeding]],""))</f>
        <v/>
      </c>
      <c r="AZ1076" t="str">
        <f>IF(ISNUMBER(FIND("arbeid",Methode_Keuze)),"",IF(Tb_Activiteiten[[#This Row],[Arbeidskosten - vast tarief (excl eigen arbeid)]]=1,Tb_Activiteiten[[#Headers],[Arbeidskosten - vast tarief (excl eigen arbeid)]],""))</f>
        <v/>
      </c>
      <c r="BA1076" t="str">
        <f>IF(ISNUMBER(FIND("overige",Methode_Keuze)),"",IF(Tb_Activiteiten[[#This Row],[Overige kosten]]=1,Tb_Activiteiten[[#Headers],[Overige kosten]],""))</f>
        <v/>
      </c>
    </row>
    <row r="1077" spans="1:53" x14ac:dyDescent="0.25">
      <c r="A1077" s="139"/>
      <c r="B1077" s="139"/>
      <c r="C1077" s="139"/>
      <c r="D1077" s="139"/>
      <c r="E1077" s="139"/>
      <c r="F1077" s="139"/>
      <c r="G1077" s="139"/>
      <c r="O1077" s="56"/>
      <c r="Q1077" t="str">
        <f>IFERROR(IF(VLOOKUP(Tb_Activiteiten[[#This Row],[Openstelling]],Tb_Openstelling[],2,0)=1,1,""),"")</f>
        <v/>
      </c>
      <c r="AK1077" t="str">
        <f>IF(ISNUMBER(FIND("arbeid",Methode_Keuze)),"",IF(ISNUMBER(FIND("arbeid",Methode_Keuze)),"",IF(Tb_Activiteiten[[#This Row],[Loonkosten]]=1,Tb_Activiteiten[[#Headers],[Loonkosten]],"")))</f>
        <v/>
      </c>
      <c r="AL1077" t="str">
        <f>IF(ISNUMBER(FIND("arbeid",Methode_Keuze)),"",IF(ISNUMBER(FIND("arbeid",Methode_Keuze)),"",IF(Tb_Activiteiten[[#This Row],[Eigen arbeid]]=1,Tb_Activiteiten[[#Headers],[Eigen arbeid]],"")))</f>
        <v/>
      </c>
      <c r="AM1077" t="str">
        <f>IF(ISNUMBER(FIND("arbeid",Methode_Keuze)),"",IF(ISNUMBER(FIND("arbeid",Methode_Keuze)),"",IF(Tb_Activiteiten[[#This Row],[Projectmedewerker]]=1,Tb_Activiteiten[[#Headers],[Projectmedewerker]],"")))</f>
        <v/>
      </c>
      <c r="AN1077" t="str">
        <f>IF(ISNUMBER(FIND("arbeid",Methode_Keuze)),"",IF(ISNUMBER(FIND("arbeid",Methode_Keuze)),"",IF(Tb_Activiteiten[[#This Row],[Landbouwer]]=1,Tb_Activiteiten[[#Headers],[Landbouwer]],"")))</f>
        <v/>
      </c>
      <c r="AO1077" t="str">
        <f>IF(ISNUMBER(FIND("arbeid",Methode_Keuze)),"",IF(ISNUMBER(FIND("arbeid",Methode_Keuze)),"",IF(Tb_Activiteiten[[#This Row],[Adviseur]]=1,Tb_Activiteiten[[#Headers],[Adviseur]],"")))</f>
        <v/>
      </c>
      <c r="AP1077" t="str">
        <f>IF(ISNUMBER(FIND("arbeid",Methode_Keuze)),"",IF(ISNUMBER(FIND("arbeid",Methode_Keuze)),"",IF(Tb_Activiteiten[[#This Row],[Projectleider/Expert]]=1,Tb_Activiteiten[[#Headers],[Projectleider/Expert]],"")))</f>
        <v/>
      </c>
      <c r="AQ1077" t="str">
        <f>IF(ISNUMBER(FIND("arbeid",Methode_Keuze)),"",IF(ISNUMBER(FIND("arbeid",Methode_Keuze)),"",IF(Tb_Activiteiten[[#This Row],[Arbeidskosten]]=1,Tb_Activiteiten[[#Headers],[Arbeidskosten]],"")))</f>
        <v/>
      </c>
      <c r="AR1077" t="str">
        <f>IF(ISNUMBER(FIND("arbeid",Methode_Keuze)),"",IF(ISNUMBER(FIND("arbeid",Methode_Keuze)),"",IF(Tb_Activiteiten[[#This Row],[Arbeidskosten op basis van IKS]]=1,Tb_Activiteiten[[#Headers],[Arbeidskosten op basis van IKS]],"")))</f>
        <v/>
      </c>
      <c r="AS1077" t="str">
        <f>IF(ISNUMBER(FIND("overige",Methode_Keuze)),"",IF(Tb_Activiteiten[[#This Row],[Kosten derden exclusief btw]]=1,Tb_Activiteiten[[#Headers],[Kosten derden exclusief btw]],""))</f>
        <v/>
      </c>
      <c r="AT1077" t="str">
        <f>IF(ISNUMBER(FIND("overige",Methode_Keuze)),"",IF(Tb_Activiteiten[[#This Row],[Niet verrekenbare btw]]=1,Tb_Activiteiten[[#Headers],[Niet verrekenbare btw]],""))</f>
        <v/>
      </c>
      <c r="AU1077" t="str">
        <f>IF(ISNUMBER(FIND("overige",Methode_Keuze)),"",IF(Tb_Activiteiten[[#This Row],[Grondkosten]]=1,Tb_Activiteiten[[#Headers],[Grondkosten]],""))</f>
        <v/>
      </c>
      <c r="AV1077" t="str">
        <f>IF(ISNUMBER(FIND("overige",Methode_Keuze)),"",IF(Tb_Activiteiten[[#This Row],[Bijdrage in natura (overige)]]=1,Tb_Activiteiten[[#Headers],[Bijdrage in natura (overige)]],""))</f>
        <v/>
      </c>
      <c r="AW1077" t="str">
        <f>IF(ISNUMBER(FIND("overige",Methode_Keuze)),"",IF(Tb_Activiteiten[[#This Row],[Bijdrage in natura (vrijwilligers)]]=1,Tb_Activiteiten[[#Headers],[Bijdrage in natura (vrijwilligers)]],""))</f>
        <v/>
      </c>
      <c r="AX1077" t="str">
        <f>IF(ISNUMBER(FIND("overige",Methode_Keuze)),"",IF(Tb_Activiteiten[[#This Row],[Afschrijvingskosten]]=1,Tb_Activiteiten[[#Headers],[Afschrijvingskosten]],""))</f>
        <v/>
      </c>
      <c r="AY1077" t="str">
        <f>IF(ISNUMBER(FIND("overige",Methode_Keuze)),"",IF(Tb_Activiteiten[[#This Row],[Vergoeding]]=1,Tb_Activiteiten[[#Headers],[Vergoeding]],""))</f>
        <v/>
      </c>
      <c r="AZ1077" t="str">
        <f>IF(ISNUMBER(FIND("arbeid",Methode_Keuze)),"",IF(Tb_Activiteiten[[#This Row],[Arbeidskosten - vast tarief (excl eigen arbeid)]]=1,Tb_Activiteiten[[#Headers],[Arbeidskosten - vast tarief (excl eigen arbeid)]],""))</f>
        <v/>
      </c>
      <c r="BA1077" t="str">
        <f>IF(ISNUMBER(FIND("overige",Methode_Keuze)),"",IF(Tb_Activiteiten[[#This Row],[Overige kosten]]=1,Tb_Activiteiten[[#Headers],[Overige kosten]],""))</f>
        <v/>
      </c>
    </row>
    <row r="1078" spans="1:53" x14ac:dyDescent="0.25">
      <c r="A1078" s="139"/>
      <c r="B1078" s="139"/>
      <c r="C1078" s="139"/>
      <c r="D1078" s="139"/>
      <c r="E1078" s="139"/>
      <c r="F1078" s="139"/>
      <c r="G1078" s="139"/>
      <c r="O1078" s="56"/>
      <c r="Q1078" t="str">
        <f>IFERROR(IF(VLOOKUP(Tb_Activiteiten[[#This Row],[Openstelling]],Tb_Openstelling[],2,0)=1,1,""),"")</f>
        <v/>
      </c>
      <c r="AK1078" t="str">
        <f>IF(ISNUMBER(FIND("arbeid",Methode_Keuze)),"",IF(ISNUMBER(FIND("arbeid",Methode_Keuze)),"",IF(Tb_Activiteiten[[#This Row],[Loonkosten]]=1,Tb_Activiteiten[[#Headers],[Loonkosten]],"")))</f>
        <v/>
      </c>
      <c r="AL1078" t="str">
        <f>IF(ISNUMBER(FIND("arbeid",Methode_Keuze)),"",IF(ISNUMBER(FIND("arbeid",Methode_Keuze)),"",IF(Tb_Activiteiten[[#This Row],[Eigen arbeid]]=1,Tb_Activiteiten[[#Headers],[Eigen arbeid]],"")))</f>
        <v/>
      </c>
      <c r="AM1078" t="str">
        <f>IF(ISNUMBER(FIND("arbeid",Methode_Keuze)),"",IF(ISNUMBER(FIND("arbeid",Methode_Keuze)),"",IF(Tb_Activiteiten[[#This Row],[Projectmedewerker]]=1,Tb_Activiteiten[[#Headers],[Projectmedewerker]],"")))</f>
        <v/>
      </c>
      <c r="AN1078" t="str">
        <f>IF(ISNUMBER(FIND("arbeid",Methode_Keuze)),"",IF(ISNUMBER(FIND("arbeid",Methode_Keuze)),"",IF(Tb_Activiteiten[[#This Row],[Landbouwer]]=1,Tb_Activiteiten[[#Headers],[Landbouwer]],"")))</f>
        <v/>
      </c>
      <c r="AO1078" t="str">
        <f>IF(ISNUMBER(FIND("arbeid",Methode_Keuze)),"",IF(ISNUMBER(FIND("arbeid",Methode_Keuze)),"",IF(Tb_Activiteiten[[#This Row],[Adviseur]]=1,Tb_Activiteiten[[#Headers],[Adviseur]],"")))</f>
        <v/>
      </c>
      <c r="AP1078" t="str">
        <f>IF(ISNUMBER(FIND("arbeid",Methode_Keuze)),"",IF(ISNUMBER(FIND("arbeid",Methode_Keuze)),"",IF(Tb_Activiteiten[[#This Row],[Projectleider/Expert]]=1,Tb_Activiteiten[[#Headers],[Projectleider/Expert]],"")))</f>
        <v/>
      </c>
      <c r="AQ1078" t="str">
        <f>IF(ISNUMBER(FIND("arbeid",Methode_Keuze)),"",IF(ISNUMBER(FIND("arbeid",Methode_Keuze)),"",IF(Tb_Activiteiten[[#This Row],[Arbeidskosten]]=1,Tb_Activiteiten[[#Headers],[Arbeidskosten]],"")))</f>
        <v/>
      </c>
      <c r="AR1078" t="str">
        <f>IF(ISNUMBER(FIND("arbeid",Methode_Keuze)),"",IF(ISNUMBER(FIND("arbeid",Methode_Keuze)),"",IF(Tb_Activiteiten[[#This Row],[Arbeidskosten op basis van IKS]]=1,Tb_Activiteiten[[#Headers],[Arbeidskosten op basis van IKS]],"")))</f>
        <v/>
      </c>
      <c r="AS1078" t="str">
        <f>IF(ISNUMBER(FIND("overige",Methode_Keuze)),"",IF(Tb_Activiteiten[[#This Row],[Kosten derden exclusief btw]]=1,Tb_Activiteiten[[#Headers],[Kosten derden exclusief btw]],""))</f>
        <v/>
      </c>
      <c r="AT1078" t="str">
        <f>IF(ISNUMBER(FIND("overige",Methode_Keuze)),"",IF(Tb_Activiteiten[[#This Row],[Niet verrekenbare btw]]=1,Tb_Activiteiten[[#Headers],[Niet verrekenbare btw]],""))</f>
        <v/>
      </c>
      <c r="AU1078" t="str">
        <f>IF(ISNUMBER(FIND("overige",Methode_Keuze)),"",IF(Tb_Activiteiten[[#This Row],[Grondkosten]]=1,Tb_Activiteiten[[#Headers],[Grondkosten]],""))</f>
        <v/>
      </c>
      <c r="AV1078" t="str">
        <f>IF(ISNUMBER(FIND("overige",Methode_Keuze)),"",IF(Tb_Activiteiten[[#This Row],[Bijdrage in natura (overige)]]=1,Tb_Activiteiten[[#Headers],[Bijdrage in natura (overige)]],""))</f>
        <v/>
      </c>
      <c r="AW1078" t="str">
        <f>IF(ISNUMBER(FIND("overige",Methode_Keuze)),"",IF(Tb_Activiteiten[[#This Row],[Bijdrage in natura (vrijwilligers)]]=1,Tb_Activiteiten[[#Headers],[Bijdrage in natura (vrijwilligers)]],""))</f>
        <v/>
      </c>
      <c r="AX1078" t="str">
        <f>IF(ISNUMBER(FIND("overige",Methode_Keuze)),"",IF(Tb_Activiteiten[[#This Row],[Afschrijvingskosten]]=1,Tb_Activiteiten[[#Headers],[Afschrijvingskosten]],""))</f>
        <v/>
      </c>
      <c r="AY1078" t="str">
        <f>IF(ISNUMBER(FIND("overige",Methode_Keuze)),"",IF(Tb_Activiteiten[[#This Row],[Vergoeding]]=1,Tb_Activiteiten[[#Headers],[Vergoeding]],""))</f>
        <v/>
      </c>
      <c r="AZ1078" t="str">
        <f>IF(ISNUMBER(FIND("arbeid",Methode_Keuze)),"",IF(Tb_Activiteiten[[#This Row],[Arbeidskosten - vast tarief (excl eigen arbeid)]]=1,Tb_Activiteiten[[#Headers],[Arbeidskosten - vast tarief (excl eigen arbeid)]],""))</f>
        <v/>
      </c>
      <c r="BA1078" t="str">
        <f>IF(ISNUMBER(FIND("overige",Methode_Keuze)),"",IF(Tb_Activiteiten[[#This Row],[Overige kosten]]=1,Tb_Activiteiten[[#Headers],[Overige kosten]],""))</f>
        <v/>
      </c>
    </row>
    <row r="1079" spans="1:53" x14ac:dyDescent="0.25">
      <c r="A1079" s="139"/>
      <c r="B1079" s="139"/>
      <c r="C1079" s="139"/>
      <c r="D1079" s="139"/>
      <c r="E1079" s="139"/>
      <c r="F1079" s="139"/>
      <c r="G1079" s="139"/>
      <c r="O1079" s="56"/>
      <c r="Q1079" t="str">
        <f>IFERROR(IF(VLOOKUP(Tb_Activiteiten[[#This Row],[Openstelling]],Tb_Openstelling[],2,0)=1,1,""),"")</f>
        <v/>
      </c>
      <c r="AK1079" t="str">
        <f>IF(ISNUMBER(FIND("arbeid",Methode_Keuze)),"",IF(ISNUMBER(FIND("arbeid",Methode_Keuze)),"",IF(Tb_Activiteiten[[#This Row],[Loonkosten]]=1,Tb_Activiteiten[[#Headers],[Loonkosten]],"")))</f>
        <v/>
      </c>
      <c r="AL1079" t="str">
        <f>IF(ISNUMBER(FIND("arbeid",Methode_Keuze)),"",IF(ISNUMBER(FIND("arbeid",Methode_Keuze)),"",IF(Tb_Activiteiten[[#This Row],[Eigen arbeid]]=1,Tb_Activiteiten[[#Headers],[Eigen arbeid]],"")))</f>
        <v/>
      </c>
      <c r="AM1079" t="str">
        <f>IF(ISNUMBER(FIND("arbeid",Methode_Keuze)),"",IF(ISNUMBER(FIND("arbeid",Methode_Keuze)),"",IF(Tb_Activiteiten[[#This Row],[Projectmedewerker]]=1,Tb_Activiteiten[[#Headers],[Projectmedewerker]],"")))</f>
        <v/>
      </c>
      <c r="AN1079" t="str">
        <f>IF(ISNUMBER(FIND("arbeid",Methode_Keuze)),"",IF(ISNUMBER(FIND("arbeid",Methode_Keuze)),"",IF(Tb_Activiteiten[[#This Row],[Landbouwer]]=1,Tb_Activiteiten[[#Headers],[Landbouwer]],"")))</f>
        <v/>
      </c>
      <c r="AO1079" t="str">
        <f>IF(ISNUMBER(FIND("arbeid",Methode_Keuze)),"",IF(ISNUMBER(FIND("arbeid",Methode_Keuze)),"",IF(Tb_Activiteiten[[#This Row],[Adviseur]]=1,Tb_Activiteiten[[#Headers],[Adviseur]],"")))</f>
        <v/>
      </c>
      <c r="AP1079" t="str">
        <f>IF(ISNUMBER(FIND("arbeid",Methode_Keuze)),"",IF(ISNUMBER(FIND("arbeid",Methode_Keuze)),"",IF(Tb_Activiteiten[[#This Row],[Projectleider/Expert]]=1,Tb_Activiteiten[[#Headers],[Projectleider/Expert]],"")))</f>
        <v/>
      </c>
      <c r="AQ1079" t="str">
        <f>IF(ISNUMBER(FIND("arbeid",Methode_Keuze)),"",IF(ISNUMBER(FIND("arbeid",Methode_Keuze)),"",IF(Tb_Activiteiten[[#This Row],[Arbeidskosten]]=1,Tb_Activiteiten[[#Headers],[Arbeidskosten]],"")))</f>
        <v/>
      </c>
      <c r="AR1079" t="str">
        <f>IF(ISNUMBER(FIND("arbeid",Methode_Keuze)),"",IF(ISNUMBER(FIND("arbeid",Methode_Keuze)),"",IF(Tb_Activiteiten[[#This Row],[Arbeidskosten op basis van IKS]]=1,Tb_Activiteiten[[#Headers],[Arbeidskosten op basis van IKS]],"")))</f>
        <v/>
      </c>
      <c r="AS1079" t="str">
        <f>IF(ISNUMBER(FIND("overige",Methode_Keuze)),"",IF(Tb_Activiteiten[[#This Row],[Kosten derden exclusief btw]]=1,Tb_Activiteiten[[#Headers],[Kosten derden exclusief btw]],""))</f>
        <v/>
      </c>
      <c r="AT1079" t="str">
        <f>IF(ISNUMBER(FIND("overige",Methode_Keuze)),"",IF(Tb_Activiteiten[[#This Row],[Niet verrekenbare btw]]=1,Tb_Activiteiten[[#Headers],[Niet verrekenbare btw]],""))</f>
        <v/>
      </c>
      <c r="AU1079" t="str">
        <f>IF(ISNUMBER(FIND("overige",Methode_Keuze)),"",IF(Tb_Activiteiten[[#This Row],[Grondkosten]]=1,Tb_Activiteiten[[#Headers],[Grondkosten]],""))</f>
        <v/>
      </c>
      <c r="AV1079" t="str">
        <f>IF(ISNUMBER(FIND("overige",Methode_Keuze)),"",IF(Tb_Activiteiten[[#This Row],[Bijdrage in natura (overige)]]=1,Tb_Activiteiten[[#Headers],[Bijdrage in natura (overige)]],""))</f>
        <v/>
      </c>
      <c r="AW1079" t="str">
        <f>IF(ISNUMBER(FIND("overige",Methode_Keuze)),"",IF(Tb_Activiteiten[[#This Row],[Bijdrage in natura (vrijwilligers)]]=1,Tb_Activiteiten[[#Headers],[Bijdrage in natura (vrijwilligers)]],""))</f>
        <v/>
      </c>
      <c r="AX1079" t="str">
        <f>IF(ISNUMBER(FIND("overige",Methode_Keuze)),"",IF(Tb_Activiteiten[[#This Row],[Afschrijvingskosten]]=1,Tb_Activiteiten[[#Headers],[Afschrijvingskosten]],""))</f>
        <v/>
      </c>
      <c r="AY1079" t="str">
        <f>IF(ISNUMBER(FIND("overige",Methode_Keuze)),"",IF(Tb_Activiteiten[[#This Row],[Vergoeding]]=1,Tb_Activiteiten[[#Headers],[Vergoeding]],""))</f>
        <v/>
      </c>
      <c r="AZ1079" t="str">
        <f>IF(ISNUMBER(FIND("arbeid",Methode_Keuze)),"",IF(Tb_Activiteiten[[#This Row],[Arbeidskosten - vast tarief (excl eigen arbeid)]]=1,Tb_Activiteiten[[#Headers],[Arbeidskosten - vast tarief (excl eigen arbeid)]],""))</f>
        <v/>
      </c>
      <c r="BA1079" t="str">
        <f>IF(ISNUMBER(FIND("overige",Methode_Keuze)),"",IF(Tb_Activiteiten[[#This Row],[Overige kosten]]=1,Tb_Activiteiten[[#Headers],[Overige kosten]],""))</f>
        <v/>
      </c>
    </row>
    <row r="1080" spans="1:53" x14ac:dyDescent="0.25">
      <c r="A1080" s="139"/>
      <c r="B1080" s="139"/>
      <c r="C1080" s="139"/>
      <c r="D1080" s="139"/>
      <c r="E1080" s="139"/>
      <c r="F1080" s="139"/>
      <c r="G1080" s="139"/>
      <c r="O1080" s="56"/>
      <c r="Q1080" t="str">
        <f>IFERROR(IF(VLOOKUP(Tb_Activiteiten[[#This Row],[Openstelling]],Tb_Openstelling[],2,0)=1,1,""),"")</f>
        <v/>
      </c>
      <c r="AK1080" t="str">
        <f>IF(ISNUMBER(FIND("arbeid",Methode_Keuze)),"",IF(ISNUMBER(FIND("arbeid",Methode_Keuze)),"",IF(Tb_Activiteiten[[#This Row],[Loonkosten]]=1,Tb_Activiteiten[[#Headers],[Loonkosten]],"")))</f>
        <v/>
      </c>
      <c r="AL1080" t="str">
        <f>IF(ISNUMBER(FIND("arbeid",Methode_Keuze)),"",IF(ISNUMBER(FIND("arbeid",Methode_Keuze)),"",IF(Tb_Activiteiten[[#This Row],[Eigen arbeid]]=1,Tb_Activiteiten[[#Headers],[Eigen arbeid]],"")))</f>
        <v/>
      </c>
      <c r="AM1080" t="str">
        <f>IF(ISNUMBER(FIND("arbeid",Methode_Keuze)),"",IF(ISNUMBER(FIND("arbeid",Methode_Keuze)),"",IF(Tb_Activiteiten[[#This Row],[Projectmedewerker]]=1,Tb_Activiteiten[[#Headers],[Projectmedewerker]],"")))</f>
        <v/>
      </c>
      <c r="AN1080" t="str">
        <f>IF(ISNUMBER(FIND("arbeid",Methode_Keuze)),"",IF(ISNUMBER(FIND("arbeid",Methode_Keuze)),"",IF(Tb_Activiteiten[[#This Row],[Landbouwer]]=1,Tb_Activiteiten[[#Headers],[Landbouwer]],"")))</f>
        <v/>
      </c>
      <c r="AO1080" t="str">
        <f>IF(ISNUMBER(FIND("arbeid",Methode_Keuze)),"",IF(ISNUMBER(FIND("arbeid",Methode_Keuze)),"",IF(Tb_Activiteiten[[#This Row],[Adviseur]]=1,Tb_Activiteiten[[#Headers],[Adviseur]],"")))</f>
        <v/>
      </c>
      <c r="AP1080" t="str">
        <f>IF(ISNUMBER(FIND("arbeid",Methode_Keuze)),"",IF(ISNUMBER(FIND("arbeid",Methode_Keuze)),"",IF(Tb_Activiteiten[[#This Row],[Projectleider/Expert]]=1,Tb_Activiteiten[[#Headers],[Projectleider/Expert]],"")))</f>
        <v/>
      </c>
      <c r="AQ1080" t="str">
        <f>IF(ISNUMBER(FIND("arbeid",Methode_Keuze)),"",IF(ISNUMBER(FIND("arbeid",Methode_Keuze)),"",IF(Tb_Activiteiten[[#This Row],[Arbeidskosten]]=1,Tb_Activiteiten[[#Headers],[Arbeidskosten]],"")))</f>
        <v/>
      </c>
      <c r="AR1080" t="str">
        <f>IF(ISNUMBER(FIND("arbeid",Methode_Keuze)),"",IF(ISNUMBER(FIND("arbeid",Methode_Keuze)),"",IF(Tb_Activiteiten[[#This Row],[Arbeidskosten op basis van IKS]]=1,Tb_Activiteiten[[#Headers],[Arbeidskosten op basis van IKS]],"")))</f>
        <v/>
      </c>
      <c r="AS1080" t="str">
        <f>IF(ISNUMBER(FIND("overige",Methode_Keuze)),"",IF(Tb_Activiteiten[[#This Row],[Kosten derden exclusief btw]]=1,Tb_Activiteiten[[#Headers],[Kosten derden exclusief btw]],""))</f>
        <v/>
      </c>
      <c r="AT1080" t="str">
        <f>IF(ISNUMBER(FIND("overige",Methode_Keuze)),"",IF(Tb_Activiteiten[[#This Row],[Niet verrekenbare btw]]=1,Tb_Activiteiten[[#Headers],[Niet verrekenbare btw]],""))</f>
        <v/>
      </c>
      <c r="AU1080" t="str">
        <f>IF(ISNUMBER(FIND("overige",Methode_Keuze)),"",IF(Tb_Activiteiten[[#This Row],[Grondkosten]]=1,Tb_Activiteiten[[#Headers],[Grondkosten]],""))</f>
        <v/>
      </c>
      <c r="AV1080" t="str">
        <f>IF(ISNUMBER(FIND("overige",Methode_Keuze)),"",IF(Tb_Activiteiten[[#This Row],[Bijdrage in natura (overige)]]=1,Tb_Activiteiten[[#Headers],[Bijdrage in natura (overige)]],""))</f>
        <v/>
      </c>
      <c r="AW1080" t="str">
        <f>IF(ISNUMBER(FIND("overige",Methode_Keuze)),"",IF(Tb_Activiteiten[[#This Row],[Bijdrage in natura (vrijwilligers)]]=1,Tb_Activiteiten[[#Headers],[Bijdrage in natura (vrijwilligers)]],""))</f>
        <v/>
      </c>
      <c r="AX1080" t="str">
        <f>IF(ISNUMBER(FIND("overige",Methode_Keuze)),"",IF(Tb_Activiteiten[[#This Row],[Afschrijvingskosten]]=1,Tb_Activiteiten[[#Headers],[Afschrijvingskosten]],""))</f>
        <v/>
      </c>
      <c r="AY1080" t="str">
        <f>IF(ISNUMBER(FIND("overige",Methode_Keuze)),"",IF(Tb_Activiteiten[[#This Row],[Vergoeding]]=1,Tb_Activiteiten[[#Headers],[Vergoeding]],""))</f>
        <v/>
      </c>
      <c r="AZ1080" t="str">
        <f>IF(ISNUMBER(FIND("arbeid",Methode_Keuze)),"",IF(Tb_Activiteiten[[#This Row],[Arbeidskosten - vast tarief (excl eigen arbeid)]]=1,Tb_Activiteiten[[#Headers],[Arbeidskosten - vast tarief (excl eigen arbeid)]],""))</f>
        <v/>
      </c>
      <c r="BA1080" t="str">
        <f>IF(ISNUMBER(FIND("overige",Methode_Keuze)),"",IF(Tb_Activiteiten[[#This Row],[Overige kosten]]=1,Tb_Activiteiten[[#Headers],[Overige kosten]],""))</f>
        <v/>
      </c>
    </row>
    <row r="1081" spans="1:53" x14ac:dyDescent="0.25">
      <c r="A1081" s="139"/>
      <c r="B1081" s="139"/>
      <c r="C1081" s="139"/>
      <c r="D1081" s="139"/>
      <c r="E1081" s="139"/>
      <c r="F1081" s="139"/>
      <c r="G1081" s="139"/>
      <c r="O1081" s="56"/>
      <c r="Q1081" t="str">
        <f>IFERROR(IF(VLOOKUP(Tb_Activiteiten[[#This Row],[Openstelling]],Tb_Openstelling[],2,0)=1,1,""),"")</f>
        <v/>
      </c>
      <c r="AK1081" t="str">
        <f>IF(ISNUMBER(FIND("arbeid",Methode_Keuze)),"",IF(ISNUMBER(FIND("arbeid",Methode_Keuze)),"",IF(Tb_Activiteiten[[#This Row],[Loonkosten]]=1,Tb_Activiteiten[[#Headers],[Loonkosten]],"")))</f>
        <v/>
      </c>
      <c r="AL1081" t="str">
        <f>IF(ISNUMBER(FIND("arbeid",Methode_Keuze)),"",IF(ISNUMBER(FIND("arbeid",Methode_Keuze)),"",IF(Tb_Activiteiten[[#This Row],[Eigen arbeid]]=1,Tb_Activiteiten[[#Headers],[Eigen arbeid]],"")))</f>
        <v/>
      </c>
      <c r="AM1081" t="str">
        <f>IF(ISNUMBER(FIND("arbeid",Methode_Keuze)),"",IF(ISNUMBER(FIND("arbeid",Methode_Keuze)),"",IF(Tb_Activiteiten[[#This Row],[Projectmedewerker]]=1,Tb_Activiteiten[[#Headers],[Projectmedewerker]],"")))</f>
        <v/>
      </c>
      <c r="AN1081" t="str">
        <f>IF(ISNUMBER(FIND("arbeid",Methode_Keuze)),"",IF(ISNUMBER(FIND("arbeid",Methode_Keuze)),"",IF(Tb_Activiteiten[[#This Row],[Landbouwer]]=1,Tb_Activiteiten[[#Headers],[Landbouwer]],"")))</f>
        <v/>
      </c>
      <c r="AO1081" t="str">
        <f>IF(ISNUMBER(FIND("arbeid",Methode_Keuze)),"",IF(ISNUMBER(FIND("arbeid",Methode_Keuze)),"",IF(Tb_Activiteiten[[#This Row],[Adviseur]]=1,Tb_Activiteiten[[#Headers],[Adviseur]],"")))</f>
        <v/>
      </c>
      <c r="AP1081" t="str">
        <f>IF(ISNUMBER(FIND("arbeid",Methode_Keuze)),"",IF(ISNUMBER(FIND("arbeid",Methode_Keuze)),"",IF(Tb_Activiteiten[[#This Row],[Projectleider/Expert]]=1,Tb_Activiteiten[[#Headers],[Projectleider/Expert]],"")))</f>
        <v/>
      </c>
      <c r="AQ1081" t="str">
        <f>IF(ISNUMBER(FIND("arbeid",Methode_Keuze)),"",IF(ISNUMBER(FIND("arbeid",Methode_Keuze)),"",IF(Tb_Activiteiten[[#This Row],[Arbeidskosten]]=1,Tb_Activiteiten[[#Headers],[Arbeidskosten]],"")))</f>
        <v/>
      </c>
      <c r="AR1081" t="str">
        <f>IF(ISNUMBER(FIND("arbeid",Methode_Keuze)),"",IF(ISNUMBER(FIND("arbeid",Methode_Keuze)),"",IF(Tb_Activiteiten[[#This Row],[Arbeidskosten op basis van IKS]]=1,Tb_Activiteiten[[#Headers],[Arbeidskosten op basis van IKS]],"")))</f>
        <v/>
      </c>
      <c r="AS1081" t="str">
        <f>IF(ISNUMBER(FIND("overige",Methode_Keuze)),"",IF(Tb_Activiteiten[[#This Row],[Kosten derden exclusief btw]]=1,Tb_Activiteiten[[#Headers],[Kosten derden exclusief btw]],""))</f>
        <v/>
      </c>
      <c r="AT1081" t="str">
        <f>IF(ISNUMBER(FIND("overige",Methode_Keuze)),"",IF(Tb_Activiteiten[[#This Row],[Niet verrekenbare btw]]=1,Tb_Activiteiten[[#Headers],[Niet verrekenbare btw]],""))</f>
        <v/>
      </c>
      <c r="AU1081" t="str">
        <f>IF(ISNUMBER(FIND("overige",Methode_Keuze)),"",IF(Tb_Activiteiten[[#This Row],[Grondkosten]]=1,Tb_Activiteiten[[#Headers],[Grondkosten]],""))</f>
        <v/>
      </c>
      <c r="AV1081" t="str">
        <f>IF(ISNUMBER(FIND("overige",Methode_Keuze)),"",IF(Tb_Activiteiten[[#This Row],[Bijdrage in natura (overige)]]=1,Tb_Activiteiten[[#Headers],[Bijdrage in natura (overige)]],""))</f>
        <v/>
      </c>
      <c r="AW1081" t="str">
        <f>IF(ISNUMBER(FIND("overige",Methode_Keuze)),"",IF(Tb_Activiteiten[[#This Row],[Bijdrage in natura (vrijwilligers)]]=1,Tb_Activiteiten[[#Headers],[Bijdrage in natura (vrijwilligers)]],""))</f>
        <v/>
      </c>
      <c r="AX1081" t="str">
        <f>IF(ISNUMBER(FIND("overige",Methode_Keuze)),"",IF(Tb_Activiteiten[[#This Row],[Afschrijvingskosten]]=1,Tb_Activiteiten[[#Headers],[Afschrijvingskosten]],""))</f>
        <v/>
      </c>
      <c r="AY1081" t="str">
        <f>IF(ISNUMBER(FIND("overige",Methode_Keuze)),"",IF(Tb_Activiteiten[[#This Row],[Vergoeding]]=1,Tb_Activiteiten[[#Headers],[Vergoeding]],""))</f>
        <v/>
      </c>
      <c r="AZ1081" t="str">
        <f>IF(ISNUMBER(FIND("arbeid",Methode_Keuze)),"",IF(Tb_Activiteiten[[#This Row],[Arbeidskosten - vast tarief (excl eigen arbeid)]]=1,Tb_Activiteiten[[#Headers],[Arbeidskosten - vast tarief (excl eigen arbeid)]],""))</f>
        <v/>
      </c>
      <c r="BA1081" t="str">
        <f>IF(ISNUMBER(FIND("overige",Methode_Keuze)),"",IF(Tb_Activiteiten[[#This Row],[Overige kosten]]=1,Tb_Activiteiten[[#Headers],[Overige kosten]],""))</f>
        <v/>
      </c>
    </row>
    <row r="1082" spans="1:53" x14ac:dyDescent="0.25">
      <c r="A1082" s="139"/>
      <c r="B1082" s="139"/>
      <c r="C1082" s="139"/>
      <c r="D1082" s="139"/>
      <c r="E1082" s="139"/>
      <c r="F1082" s="139"/>
      <c r="G1082" s="139"/>
      <c r="O1082" s="56"/>
      <c r="Q1082" t="str">
        <f>IFERROR(IF(VLOOKUP(Tb_Activiteiten[[#This Row],[Openstelling]],Tb_Openstelling[],2,0)=1,1,""),"")</f>
        <v/>
      </c>
      <c r="AK1082" t="str">
        <f>IF(ISNUMBER(FIND("arbeid",Methode_Keuze)),"",IF(ISNUMBER(FIND("arbeid",Methode_Keuze)),"",IF(Tb_Activiteiten[[#This Row],[Loonkosten]]=1,Tb_Activiteiten[[#Headers],[Loonkosten]],"")))</f>
        <v/>
      </c>
      <c r="AL1082" t="str">
        <f>IF(ISNUMBER(FIND("arbeid",Methode_Keuze)),"",IF(ISNUMBER(FIND("arbeid",Methode_Keuze)),"",IF(Tb_Activiteiten[[#This Row],[Eigen arbeid]]=1,Tb_Activiteiten[[#Headers],[Eigen arbeid]],"")))</f>
        <v/>
      </c>
      <c r="AM1082" t="str">
        <f>IF(ISNUMBER(FIND("arbeid",Methode_Keuze)),"",IF(ISNUMBER(FIND("arbeid",Methode_Keuze)),"",IF(Tb_Activiteiten[[#This Row],[Projectmedewerker]]=1,Tb_Activiteiten[[#Headers],[Projectmedewerker]],"")))</f>
        <v/>
      </c>
      <c r="AN1082" t="str">
        <f>IF(ISNUMBER(FIND("arbeid",Methode_Keuze)),"",IF(ISNUMBER(FIND("arbeid",Methode_Keuze)),"",IF(Tb_Activiteiten[[#This Row],[Landbouwer]]=1,Tb_Activiteiten[[#Headers],[Landbouwer]],"")))</f>
        <v/>
      </c>
      <c r="AO1082" t="str">
        <f>IF(ISNUMBER(FIND("arbeid",Methode_Keuze)),"",IF(ISNUMBER(FIND("arbeid",Methode_Keuze)),"",IF(Tb_Activiteiten[[#This Row],[Adviseur]]=1,Tb_Activiteiten[[#Headers],[Adviseur]],"")))</f>
        <v/>
      </c>
      <c r="AP1082" t="str">
        <f>IF(ISNUMBER(FIND("arbeid",Methode_Keuze)),"",IF(ISNUMBER(FIND("arbeid",Methode_Keuze)),"",IF(Tb_Activiteiten[[#This Row],[Projectleider/Expert]]=1,Tb_Activiteiten[[#Headers],[Projectleider/Expert]],"")))</f>
        <v/>
      </c>
      <c r="AQ1082" t="str">
        <f>IF(ISNUMBER(FIND("arbeid",Methode_Keuze)),"",IF(ISNUMBER(FIND("arbeid",Methode_Keuze)),"",IF(Tb_Activiteiten[[#This Row],[Arbeidskosten]]=1,Tb_Activiteiten[[#Headers],[Arbeidskosten]],"")))</f>
        <v/>
      </c>
      <c r="AR1082" t="str">
        <f>IF(ISNUMBER(FIND("arbeid",Methode_Keuze)),"",IF(ISNUMBER(FIND("arbeid",Methode_Keuze)),"",IF(Tb_Activiteiten[[#This Row],[Arbeidskosten op basis van IKS]]=1,Tb_Activiteiten[[#Headers],[Arbeidskosten op basis van IKS]],"")))</f>
        <v/>
      </c>
      <c r="AS1082" t="str">
        <f>IF(ISNUMBER(FIND("overige",Methode_Keuze)),"",IF(Tb_Activiteiten[[#This Row],[Kosten derden exclusief btw]]=1,Tb_Activiteiten[[#Headers],[Kosten derden exclusief btw]],""))</f>
        <v/>
      </c>
      <c r="AT1082" t="str">
        <f>IF(ISNUMBER(FIND("overige",Methode_Keuze)),"",IF(Tb_Activiteiten[[#This Row],[Niet verrekenbare btw]]=1,Tb_Activiteiten[[#Headers],[Niet verrekenbare btw]],""))</f>
        <v/>
      </c>
      <c r="AU1082" t="str">
        <f>IF(ISNUMBER(FIND("overige",Methode_Keuze)),"",IF(Tb_Activiteiten[[#This Row],[Grondkosten]]=1,Tb_Activiteiten[[#Headers],[Grondkosten]],""))</f>
        <v/>
      </c>
      <c r="AV1082" t="str">
        <f>IF(ISNUMBER(FIND("overige",Methode_Keuze)),"",IF(Tb_Activiteiten[[#This Row],[Bijdrage in natura (overige)]]=1,Tb_Activiteiten[[#Headers],[Bijdrage in natura (overige)]],""))</f>
        <v/>
      </c>
      <c r="AW1082" t="str">
        <f>IF(ISNUMBER(FIND("overige",Methode_Keuze)),"",IF(Tb_Activiteiten[[#This Row],[Bijdrage in natura (vrijwilligers)]]=1,Tb_Activiteiten[[#Headers],[Bijdrage in natura (vrijwilligers)]],""))</f>
        <v/>
      </c>
      <c r="AX1082" t="str">
        <f>IF(ISNUMBER(FIND("overige",Methode_Keuze)),"",IF(Tb_Activiteiten[[#This Row],[Afschrijvingskosten]]=1,Tb_Activiteiten[[#Headers],[Afschrijvingskosten]],""))</f>
        <v/>
      </c>
      <c r="AY1082" t="str">
        <f>IF(ISNUMBER(FIND("overige",Methode_Keuze)),"",IF(Tb_Activiteiten[[#This Row],[Vergoeding]]=1,Tb_Activiteiten[[#Headers],[Vergoeding]],""))</f>
        <v/>
      </c>
      <c r="AZ1082" t="str">
        <f>IF(ISNUMBER(FIND("arbeid",Methode_Keuze)),"",IF(Tb_Activiteiten[[#This Row],[Arbeidskosten - vast tarief (excl eigen arbeid)]]=1,Tb_Activiteiten[[#Headers],[Arbeidskosten - vast tarief (excl eigen arbeid)]],""))</f>
        <v/>
      </c>
      <c r="BA1082" t="str">
        <f>IF(ISNUMBER(FIND("overige",Methode_Keuze)),"",IF(Tb_Activiteiten[[#This Row],[Overige kosten]]=1,Tb_Activiteiten[[#Headers],[Overige kosten]],""))</f>
        <v/>
      </c>
    </row>
    <row r="1083" spans="1:53" x14ac:dyDescent="0.25">
      <c r="A1083" s="139"/>
      <c r="B1083" s="139"/>
      <c r="C1083" s="139"/>
      <c r="D1083" s="139"/>
      <c r="E1083" s="139"/>
      <c r="F1083" s="139"/>
      <c r="G1083" s="139"/>
      <c r="O1083" s="56"/>
      <c r="Q1083" t="str">
        <f>IFERROR(IF(VLOOKUP(Tb_Activiteiten[[#This Row],[Openstelling]],Tb_Openstelling[],2,0)=1,1,""),"")</f>
        <v/>
      </c>
      <c r="AK1083" t="str">
        <f>IF(ISNUMBER(FIND("arbeid",Methode_Keuze)),"",IF(ISNUMBER(FIND("arbeid",Methode_Keuze)),"",IF(Tb_Activiteiten[[#This Row],[Loonkosten]]=1,Tb_Activiteiten[[#Headers],[Loonkosten]],"")))</f>
        <v/>
      </c>
      <c r="AL1083" t="str">
        <f>IF(ISNUMBER(FIND("arbeid",Methode_Keuze)),"",IF(ISNUMBER(FIND("arbeid",Methode_Keuze)),"",IF(Tb_Activiteiten[[#This Row],[Eigen arbeid]]=1,Tb_Activiteiten[[#Headers],[Eigen arbeid]],"")))</f>
        <v/>
      </c>
      <c r="AM1083" t="str">
        <f>IF(ISNUMBER(FIND("arbeid",Methode_Keuze)),"",IF(ISNUMBER(FIND("arbeid",Methode_Keuze)),"",IF(Tb_Activiteiten[[#This Row],[Projectmedewerker]]=1,Tb_Activiteiten[[#Headers],[Projectmedewerker]],"")))</f>
        <v/>
      </c>
      <c r="AN1083" t="str">
        <f>IF(ISNUMBER(FIND("arbeid",Methode_Keuze)),"",IF(ISNUMBER(FIND("arbeid",Methode_Keuze)),"",IF(Tb_Activiteiten[[#This Row],[Landbouwer]]=1,Tb_Activiteiten[[#Headers],[Landbouwer]],"")))</f>
        <v/>
      </c>
      <c r="AO1083" t="str">
        <f>IF(ISNUMBER(FIND("arbeid",Methode_Keuze)),"",IF(ISNUMBER(FIND("arbeid",Methode_Keuze)),"",IF(Tb_Activiteiten[[#This Row],[Adviseur]]=1,Tb_Activiteiten[[#Headers],[Adviseur]],"")))</f>
        <v/>
      </c>
      <c r="AP1083" t="str">
        <f>IF(ISNUMBER(FIND("arbeid",Methode_Keuze)),"",IF(ISNUMBER(FIND("arbeid",Methode_Keuze)),"",IF(Tb_Activiteiten[[#This Row],[Projectleider/Expert]]=1,Tb_Activiteiten[[#Headers],[Projectleider/Expert]],"")))</f>
        <v/>
      </c>
      <c r="AQ1083" t="str">
        <f>IF(ISNUMBER(FIND("arbeid",Methode_Keuze)),"",IF(ISNUMBER(FIND("arbeid",Methode_Keuze)),"",IF(Tb_Activiteiten[[#This Row],[Arbeidskosten]]=1,Tb_Activiteiten[[#Headers],[Arbeidskosten]],"")))</f>
        <v/>
      </c>
      <c r="AR1083" t="str">
        <f>IF(ISNUMBER(FIND("arbeid",Methode_Keuze)),"",IF(ISNUMBER(FIND("arbeid",Methode_Keuze)),"",IF(Tb_Activiteiten[[#This Row],[Arbeidskosten op basis van IKS]]=1,Tb_Activiteiten[[#Headers],[Arbeidskosten op basis van IKS]],"")))</f>
        <v/>
      </c>
      <c r="AS1083" t="str">
        <f>IF(ISNUMBER(FIND("overige",Methode_Keuze)),"",IF(Tb_Activiteiten[[#This Row],[Kosten derden exclusief btw]]=1,Tb_Activiteiten[[#Headers],[Kosten derden exclusief btw]],""))</f>
        <v/>
      </c>
      <c r="AT1083" t="str">
        <f>IF(ISNUMBER(FIND("overige",Methode_Keuze)),"",IF(Tb_Activiteiten[[#This Row],[Niet verrekenbare btw]]=1,Tb_Activiteiten[[#Headers],[Niet verrekenbare btw]],""))</f>
        <v/>
      </c>
      <c r="AU1083" t="str">
        <f>IF(ISNUMBER(FIND("overige",Methode_Keuze)),"",IF(Tb_Activiteiten[[#This Row],[Grondkosten]]=1,Tb_Activiteiten[[#Headers],[Grondkosten]],""))</f>
        <v/>
      </c>
      <c r="AV1083" t="str">
        <f>IF(ISNUMBER(FIND("overige",Methode_Keuze)),"",IF(Tb_Activiteiten[[#This Row],[Bijdrage in natura (overige)]]=1,Tb_Activiteiten[[#Headers],[Bijdrage in natura (overige)]],""))</f>
        <v/>
      </c>
      <c r="AW1083" t="str">
        <f>IF(ISNUMBER(FIND("overige",Methode_Keuze)),"",IF(Tb_Activiteiten[[#This Row],[Bijdrage in natura (vrijwilligers)]]=1,Tb_Activiteiten[[#Headers],[Bijdrage in natura (vrijwilligers)]],""))</f>
        <v/>
      </c>
      <c r="AX1083" t="str">
        <f>IF(ISNUMBER(FIND("overige",Methode_Keuze)),"",IF(Tb_Activiteiten[[#This Row],[Afschrijvingskosten]]=1,Tb_Activiteiten[[#Headers],[Afschrijvingskosten]],""))</f>
        <v/>
      </c>
      <c r="AY1083" t="str">
        <f>IF(ISNUMBER(FIND("overige",Methode_Keuze)),"",IF(Tb_Activiteiten[[#This Row],[Vergoeding]]=1,Tb_Activiteiten[[#Headers],[Vergoeding]],""))</f>
        <v/>
      </c>
      <c r="AZ1083" t="str">
        <f>IF(ISNUMBER(FIND("arbeid",Methode_Keuze)),"",IF(Tb_Activiteiten[[#This Row],[Arbeidskosten - vast tarief (excl eigen arbeid)]]=1,Tb_Activiteiten[[#Headers],[Arbeidskosten - vast tarief (excl eigen arbeid)]],""))</f>
        <v/>
      </c>
      <c r="BA1083" t="str">
        <f>IF(ISNUMBER(FIND("overige",Methode_Keuze)),"",IF(Tb_Activiteiten[[#This Row],[Overige kosten]]=1,Tb_Activiteiten[[#Headers],[Overige kosten]],""))</f>
        <v/>
      </c>
    </row>
    <row r="1084" spans="1:53" x14ac:dyDescent="0.25">
      <c r="A1084" s="139"/>
      <c r="B1084" s="139"/>
      <c r="C1084" s="139"/>
      <c r="D1084" s="139"/>
      <c r="E1084" s="139"/>
      <c r="F1084" s="139"/>
      <c r="G1084" s="139"/>
      <c r="O1084" s="56"/>
      <c r="Q1084" t="str">
        <f>IFERROR(IF(VLOOKUP(Tb_Activiteiten[[#This Row],[Openstelling]],Tb_Openstelling[],2,0)=1,1,""),"")</f>
        <v/>
      </c>
      <c r="AK1084" t="str">
        <f>IF(ISNUMBER(FIND("arbeid",Methode_Keuze)),"",IF(ISNUMBER(FIND("arbeid",Methode_Keuze)),"",IF(Tb_Activiteiten[[#This Row],[Loonkosten]]=1,Tb_Activiteiten[[#Headers],[Loonkosten]],"")))</f>
        <v/>
      </c>
      <c r="AL1084" t="str">
        <f>IF(ISNUMBER(FIND("arbeid",Methode_Keuze)),"",IF(ISNUMBER(FIND("arbeid",Methode_Keuze)),"",IF(Tb_Activiteiten[[#This Row],[Eigen arbeid]]=1,Tb_Activiteiten[[#Headers],[Eigen arbeid]],"")))</f>
        <v/>
      </c>
      <c r="AM1084" t="str">
        <f>IF(ISNUMBER(FIND("arbeid",Methode_Keuze)),"",IF(ISNUMBER(FIND("arbeid",Methode_Keuze)),"",IF(Tb_Activiteiten[[#This Row],[Projectmedewerker]]=1,Tb_Activiteiten[[#Headers],[Projectmedewerker]],"")))</f>
        <v/>
      </c>
      <c r="AN1084" t="str">
        <f>IF(ISNUMBER(FIND("arbeid",Methode_Keuze)),"",IF(ISNUMBER(FIND("arbeid",Methode_Keuze)),"",IF(Tb_Activiteiten[[#This Row],[Landbouwer]]=1,Tb_Activiteiten[[#Headers],[Landbouwer]],"")))</f>
        <v/>
      </c>
      <c r="AO1084" t="str">
        <f>IF(ISNUMBER(FIND("arbeid",Methode_Keuze)),"",IF(ISNUMBER(FIND("arbeid",Methode_Keuze)),"",IF(Tb_Activiteiten[[#This Row],[Adviseur]]=1,Tb_Activiteiten[[#Headers],[Adviseur]],"")))</f>
        <v/>
      </c>
      <c r="AP1084" t="str">
        <f>IF(ISNUMBER(FIND("arbeid",Methode_Keuze)),"",IF(ISNUMBER(FIND("arbeid",Methode_Keuze)),"",IF(Tb_Activiteiten[[#This Row],[Projectleider/Expert]]=1,Tb_Activiteiten[[#Headers],[Projectleider/Expert]],"")))</f>
        <v/>
      </c>
      <c r="AQ1084" t="str">
        <f>IF(ISNUMBER(FIND("arbeid",Methode_Keuze)),"",IF(ISNUMBER(FIND("arbeid",Methode_Keuze)),"",IF(Tb_Activiteiten[[#This Row],[Arbeidskosten]]=1,Tb_Activiteiten[[#Headers],[Arbeidskosten]],"")))</f>
        <v/>
      </c>
      <c r="AR1084" t="str">
        <f>IF(ISNUMBER(FIND("arbeid",Methode_Keuze)),"",IF(ISNUMBER(FIND("arbeid",Methode_Keuze)),"",IF(Tb_Activiteiten[[#This Row],[Arbeidskosten op basis van IKS]]=1,Tb_Activiteiten[[#Headers],[Arbeidskosten op basis van IKS]],"")))</f>
        <v/>
      </c>
      <c r="AS1084" t="str">
        <f>IF(ISNUMBER(FIND("overige",Methode_Keuze)),"",IF(Tb_Activiteiten[[#This Row],[Kosten derden exclusief btw]]=1,Tb_Activiteiten[[#Headers],[Kosten derden exclusief btw]],""))</f>
        <v/>
      </c>
      <c r="AT1084" t="str">
        <f>IF(ISNUMBER(FIND("overige",Methode_Keuze)),"",IF(Tb_Activiteiten[[#This Row],[Niet verrekenbare btw]]=1,Tb_Activiteiten[[#Headers],[Niet verrekenbare btw]],""))</f>
        <v/>
      </c>
      <c r="AU1084" t="str">
        <f>IF(ISNUMBER(FIND("overige",Methode_Keuze)),"",IF(Tb_Activiteiten[[#This Row],[Grondkosten]]=1,Tb_Activiteiten[[#Headers],[Grondkosten]],""))</f>
        <v/>
      </c>
      <c r="AV1084" t="str">
        <f>IF(ISNUMBER(FIND("overige",Methode_Keuze)),"",IF(Tb_Activiteiten[[#This Row],[Bijdrage in natura (overige)]]=1,Tb_Activiteiten[[#Headers],[Bijdrage in natura (overige)]],""))</f>
        <v/>
      </c>
      <c r="AW1084" t="str">
        <f>IF(ISNUMBER(FIND("overige",Methode_Keuze)),"",IF(Tb_Activiteiten[[#This Row],[Bijdrage in natura (vrijwilligers)]]=1,Tb_Activiteiten[[#Headers],[Bijdrage in natura (vrijwilligers)]],""))</f>
        <v/>
      </c>
      <c r="AX1084" t="str">
        <f>IF(ISNUMBER(FIND("overige",Methode_Keuze)),"",IF(Tb_Activiteiten[[#This Row],[Afschrijvingskosten]]=1,Tb_Activiteiten[[#Headers],[Afschrijvingskosten]],""))</f>
        <v/>
      </c>
      <c r="AY1084" t="str">
        <f>IF(ISNUMBER(FIND("overige",Methode_Keuze)),"",IF(Tb_Activiteiten[[#This Row],[Vergoeding]]=1,Tb_Activiteiten[[#Headers],[Vergoeding]],""))</f>
        <v/>
      </c>
      <c r="AZ1084" t="str">
        <f>IF(ISNUMBER(FIND("arbeid",Methode_Keuze)),"",IF(Tb_Activiteiten[[#This Row],[Arbeidskosten - vast tarief (excl eigen arbeid)]]=1,Tb_Activiteiten[[#Headers],[Arbeidskosten - vast tarief (excl eigen arbeid)]],""))</f>
        <v/>
      </c>
      <c r="BA1084" t="str">
        <f>IF(ISNUMBER(FIND("overige",Methode_Keuze)),"",IF(Tb_Activiteiten[[#This Row],[Overige kosten]]=1,Tb_Activiteiten[[#Headers],[Overige kosten]],""))</f>
        <v/>
      </c>
    </row>
    <row r="1085" spans="1:53" x14ac:dyDescent="0.25">
      <c r="A1085" s="139"/>
      <c r="B1085" s="139"/>
      <c r="C1085" s="139"/>
      <c r="D1085" s="139"/>
      <c r="E1085" s="139"/>
      <c r="F1085" s="139"/>
      <c r="G1085" s="139"/>
      <c r="O1085" s="56"/>
      <c r="Q1085" t="str">
        <f>IFERROR(IF(VLOOKUP(Tb_Activiteiten[[#This Row],[Openstelling]],Tb_Openstelling[],2,0)=1,1,""),"")</f>
        <v/>
      </c>
      <c r="AK1085" t="str">
        <f>IF(ISNUMBER(FIND("arbeid",Methode_Keuze)),"",IF(ISNUMBER(FIND("arbeid",Methode_Keuze)),"",IF(Tb_Activiteiten[[#This Row],[Loonkosten]]=1,Tb_Activiteiten[[#Headers],[Loonkosten]],"")))</f>
        <v/>
      </c>
      <c r="AL1085" t="str">
        <f>IF(ISNUMBER(FIND("arbeid",Methode_Keuze)),"",IF(ISNUMBER(FIND("arbeid",Methode_Keuze)),"",IF(Tb_Activiteiten[[#This Row],[Eigen arbeid]]=1,Tb_Activiteiten[[#Headers],[Eigen arbeid]],"")))</f>
        <v/>
      </c>
      <c r="AM1085" t="str">
        <f>IF(ISNUMBER(FIND("arbeid",Methode_Keuze)),"",IF(ISNUMBER(FIND("arbeid",Methode_Keuze)),"",IF(Tb_Activiteiten[[#This Row],[Projectmedewerker]]=1,Tb_Activiteiten[[#Headers],[Projectmedewerker]],"")))</f>
        <v/>
      </c>
      <c r="AN1085" t="str">
        <f>IF(ISNUMBER(FIND("arbeid",Methode_Keuze)),"",IF(ISNUMBER(FIND("arbeid",Methode_Keuze)),"",IF(Tb_Activiteiten[[#This Row],[Landbouwer]]=1,Tb_Activiteiten[[#Headers],[Landbouwer]],"")))</f>
        <v/>
      </c>
      <c r="AO1085" t="str">
        <f>IF(ISNUMBER(FIND("arbeid",Methode_Keuze)),"",IF(ISNUMBER(FIND("arbeid",Methode_Keuze)),"",IF(Tb_Activiteiten[[#This Row],[Adviseur]]=1,Tb_Activiteiten[[#Headers],[Adviseur]],"")))</f>
        <v/>
      </c>
      <c r="AP1085" t="str">
        <f>IF(ISNUMBER(FIND("arbeid",Methode_Keuze)),"",IF(ISNUMBER(FIND("arbeid",Methode_Keuze)),"",IF(Tb_Activiteiten[[#This Row],[Projectleider/Expert]]=1,Tb_Activiteiten[[#Headers],[Projectleider/Expert]],"")))</f>
        <v/>
      </c>
      <c r="AQ1085" t="str">
        <f>IF(ISNUMBER(FIND("arbeid",Methode_Keuze)),"",IF(ISNUMBER(FIND("arbeid",Methode_Keuze)),"",IF(Tb_Activiteiten[[#This Row],[Arbeidskosten]]=1,Tb_Activiteiten[[#Headers],[Arbeidskosten]],"")))</f>
        <v/>
      </c>
      <c r="AR1085" t="str">
        <f>IF(ISNUMBER(FIND("arbeid",Methode_Keuze)),"",IF(ISNUMBER(FIND("arbeid",Methode_Keuze)),"",IF(Tb_Activiteiten[[#This Row],[Arbeidskosten op basis van IKS]]=1,Tb_Activiteiten[[#Headers],[Arbeidskosten op basis van IKS]],"")))</f>
        <v/>
      </c>
      <c r="AS1085" t="str">
        <f>IF(ISNUMBER(FIND("overige",Methode_Keuze)),"",IF(Tb_Activiteiten[[#This Row],[Kosten derden exclusief btw]]=1,Tb_Activiteiten[[#Headers],[Kosten derden exclusief btw]],""))</f>
        <v/>
      </c>
      <c r="AT1085" t="str">
        <f>IF(ISNUMBER(FIND("overige",Methode_Keuze)),"",IF(Tb_Activiteiten[[#This Row],[Niet verrekenbare btw]]=1,Tb_Activiteiten[[#Headers],[Niet verrekenbare btw]],""))</f>
        <v/>
      </c>
      <c r="AU1085" t="str">
        <f>IF(ISNUMBER(FIND("overige",Methode_Keuze)),"",IF(Tb_Activiteiten[[#This Row],[Grondkosten]]=1,Tb_Activiteiten[[#Headers],[Grondkosten]],""))</f>
        <v/>
      </c>
      <c r="AV1085" t="str">
        <f>IF(ISNUMBER(FIND("overige",Methode_Keuze)),"",IF(Tb_Activiteiten[[#This Row],[Bijdrage in natura (overige)]]=1,Tb_Activiteiten[[#Headers],[Bijdrage in natura (overige)]],""))</f>
        <v/>
      </c>
      <c r="AW1085" t="str">
        <f>IF(ISNUMBER(FIND("overige",Methode_Keuze)),"",IF(Tb_Activiteiten[[#This Row],[Bijdrage in natura (vrijwilligers)]]=1,Tb_Activiteiten[[#Headers],[Bijdrage in natura (vrijwilligers)]],""))</f>
        <v/>
      </c>
      <c r="AX1085" t="str">
        <f>IF(ISNUMBER(FIND("overige",Methode_Keuze)),"",IF(Tb_Activiteiten[[#This Row],[Afschrijvingskosten]]=1,Tb_Activiteiten[[#Headers],[Afschrijvingskosten]],""))</f>
        <v/>
      </c>
      <c r="AY1085" t="str">
        <f>IF(ISNUMBER(FIND("overige",Methode_Keuze)),"",IF(Tb_Activiteiten[[#This Row],[Vergoeding]]=1,Tb_Activiteiten[[#Headers],[Vergoeding]],""))</f>
        <v/>
      </c>
      <c r="AZ1085" t="str">
        <f>IF(ISNUMBER(FIND("arbeid",Methode_Keuze)),"",IF(Tb_Activiteiten[[#This Row],[Arbeidskosten - vast tarief (excl eigen arbeid)]]=1,Tb_Activiteiten[[#Headers],[Arbeidskosten - vast tarief (excl eigen arbeid)]],""))</f>
        <v/>
      </c>
      <c r="BA1085" t="str">
        <f>IF(ISNUMBER(FIND("overige",Methode_Keuze)),"",IF(Tb_Activiteiten[[#This Row],[Overige kosten]]=1,Tb_Activiteiten[[#Headers],[Overige kosten]],""))</f>
        <v/>
      </c>
    </row>
    <row r="1086" spans="1:53" x14ac:dyDescent="0.25">
      <c r="A1086" s="139"/>
      <c r="B1086" s="139"/>
      <c r="C1086" s="139"/>
      <c r="D1086" s="139"/>
      <c r="E1086" s="139"/>
      <c r="F1086" s="139"/>
      <c r="G1086" s="139"/>
      <c r="O1086" s="56"/>
      <c r="Q1086" t="str">
        <f>IFERROR(IF(VLOOKUP(Tb_Activiteiten[[#This Row],[Openstelling]],Tb_Openstelling[],2,0)=1,1,""),"")</f>
        <v/>
      </c>
      <c r="AK1086" t="str">
        <f>IF(ISNUMBER(FIND("arbeid",Methode_Keuze)),"",IF(ISNUMBER(FIND("arbeid",Methode_Keuze)),"",IF(Tb_Activiteiten[[#This Row],[Loonkosten]]=1,Tb_Activiteiten[[#Headers],[Loonkosten]],"")))</f>
        <v/>
      </c>
      <c r="AL1086" t="str">
        <f>IF(ISNUMBER(FIND("arbeid",Methode_Keuze)),"",IF(ISNUMBER(FIND("arbeid",Methode_Keuze)),"",IF(Tb_Activiteiten[[#This Row],[Eigen arbeid]]=1,Tb_Activiteiten[[#Headers],[Eigen arbeid]],"")))</f>
        <v/>
      </c>
      <c r="AM1086" t="str">
        <f>IF(ISNUMBER(FIND("arbeid",Methode_Keuze)),"",IF(ISNUMBER(FIND("arbeid",Methode_Keuze)),"",IF(Tb_Activiteiten[[#This Row],[Projectmedewerker]]=1,Tb_Activiteiten[[#Headers],[Projectmedewerker]],"")))</f>
        <v/>
      </c>
      <c r="AN1086" t="str">
        <f>IF(ISNUMBER(FIND("arbeid",Methode_Keuze)),"",IF(ISNUMBER(FIND("arbeid",Methode_Keuze)),"",IF(Tb_Activiteiten[[#This Row],[Landbouwer]]=1,Tb_Activiteiten[[#Headers],[Landbouwer]],"")))</f>
        <v/>
      </c>
      <c r="AO1086" t="str">
        <f>IF(ISNUMBER(FIND("arbeid",Methode_Keuze)),"",IF(ISNUMBER(FIND("arbeid",Methode_Keuze)),"",IF(Tb_Activiteiten[[#This Row],[Adviseur]]=1,Tb_Activiteiten[[#Headers],[Adviseur]],"")))</f>
        <v/>
      </c>
      <c r="AP1086" t="str">
        <f>IF(ISNUMBER(FIND("arbeid",Methode_Keuze)),"",IF(ISNUMBER(FIND("arbeid",Methode_Keuze)),"",IF(Tb_Activiteiten[[#This Row],[Projectleider/Expert]]=1,Tb_Activiteiten[[#Headers],[Projectleider/Expert]],"")))</f>
        <v/>
      </c>
      <c r="AQ1086" t="str">
        <f>IF(ISNUMBER(FIND("arbeid",Methode_Keuze)),"",IF(ISNUMBER(FIND("arbeid",Methode_Keuze)),"",IF(Tb_Activiteiten[[#This Row],[Arbeidskosten]]=1,Tb_Activiteiten[[#Headers],[Arbeidskosten]],"")))</f>
        <v/>
      </c>
      <c r="AR1086" t="str">
        <f>IF(ISNUMBER(FIND("arbeid",Methode_Keuze)),"",IF(ISNUMBER(FIND("arbeid",Methode_Keuze)),"",IF(Tb_Activiteiten[[#This Row],[Arbeidskosten op basis van IKS]]=1,Tb_Activiteiten[[#Headers],[Arbeidskosten op basis van IKS]],"")))</f>
        <v/>
      </c>
      <c r="AS1086" t="str">
        <f>IF(ISNUMBER(FIND("overige",Methode_Keuze)),"",IF(Tb_Activiteiten[[#This Row],[Kosten derden exclusief btw]]=1,Tb_Activiteiten[[#Headers],[Kosten derden exclusief btw]],""))</f>
        <v/>
      </c>
      <c r="AT1086" t="str">
        <f>IF(ISNUMBER(FIND("overige",Methode_Keuze)),"",IF(Tb_Activiteiten[[#This Row],[Niet verrekenbare btw]]=1,Tb_Activiteiten[[#Headers],[Niet verrekenbare btw]],""))</f>
        <v/>
      </c>
      <c r="AU1086" t="str">
        <f>IF(ISNUMBER(FIND("overige",Methode_Keuze)),"",IF(Tb_Activiteiten[[#This Row],[Grondkosten]]=1,Tb_Activiteiten[[#Headers],[Grondkosten]],""))</f>
        <v/>
      </c>
      <c r="AV1086" t="str">
        <f>IF(ISNUMBER(FIND("overige",Methode_Keuze)),"",IF(Tb_Activiteiten[[#This Row],[Bijdrage in natura (overige)]]=1,Tb_Activiteiten[[#Headers],[Bijdrage in natura (overige)]],""))</f>
        <v/>
      </c>
      <c r="AW1086" t="str">
        <f>IF(ISNUMBER(FIND("overige",Methode_Keuze)),"",IF(Tb_Activiteiten[[#This Row],[Bijdrage in natura (vrijwilligers)]]=1,Tb_Activiteiten[[#Headers],[Bijdrage in natura (vrijwilligers)]],""))</f>
        <v/>
      </c>
      <c r="AX1086" t="str">
        <f>IF(ISNUMBER(FIND("overige",Methode_Keuze)),"",IF(Tb_Activiteiten[[#This Row],[Afschrijvingskosten]]=1,Tb_Activiteiten[[#Headers],[Afschrijvingskosten]],""))</f>
        <v/>
      </c>
      <c r="AY1086" t="str">
        <f>IF(ISNUMBER(FIND("overige",Methode_Keuze)),"",IF(Tb_Activiteiten[[#This Row],[Vergoeding]]=1,Tb_Activiteiten[[#Headers],[Vergoeding]],""))</f>
        <v/>
      </c>
      <c r="AZ1086" t="str">
        <f>IF(ISNUMBER(FIND("arbeid",Methode_Keuze)),"",IF(Tb_Activiteiten[[#This Row],[Arbeidskosten - vast tarief (excl eigen arbeid)]]=1,Tb_Activiteiten[[#Headers],[Arbeidskosten - vast tarief (excl eigen arbeid)]],""))</f>
        <v/>
      </c>
      <c r="BA1086" t="str">
        <f>IF(ISNUMBER(FIND("overige",Methode_Keuze)),"",IF(Tb_Activiteiten[[#This Row],[Overige kosten]]=1,Tb_Activiteiten[[#Headers],[Overige kosten]],""))</f>
        <v/>
      </c>
    </row>
    <row r="1087" spans="1:53" x14ac:dyDescent="0.25">
      <c r="A1087" s="139"/>
      <c r="B1087" s="139"/>
      <c r="C1087" s="139"/>
      <c r="D1087" s="139"/>
      <c r="E1087" s="139"/>
      <c r="F1087" s="139"/>
      <c r="G1087" s="139"/>
      <c r="O1087" s="56"/>
      <c r="Q1087" t="str">
        <f>IFERROR(IF(VLOOKUP(Tb_Activiteiten[[#This Row],[Openstelling]],Tb_Openstelling[],2,0)=1,1,""),"")</f>
        <v/>
      </c>
      <c r="AK1087" t="str">
        <f>IF(ISNUMBER(FIND("arbeid",Methode_Keuze)),"",IF(ISNUMBER(FIND("arbeid",Methode_Keuze)),"",IF(Tb_Activiteiten[[#This Row],[Loonkosten]]=1,Tb_Activiteiten[[#Headers],[Loonkosten]],"")))</f>
        <v/>
      </c>
      <c r="AL1087" t="str">
        <f>IF(ISNUMBER(FIND("arbeid",Methode_Keuze)),"",IF(ISNUMBER(FIND("arbeid",Methode_Keuze)),"",IF(Tb_Activiteiten[[#This Row],[Eigen arbeid]]=1,Tb_Activiteiten[[#Headers],[Eigen arbeid]],"")))</f>
        <v/>
      </c>
      <c r="AM1087" t="str">
        <f>IF(ISNUMBER(FIND("arbeid",Methode_Keuze)),"",IF(ISNUMBER(FIND("arbeid",Methode_Keuze)),"",IF(Tb_Activiteiten[[#This Row],[Projectmedewerker]]=1,Tb_Activiteiten[[#Headers],[Projectmedewerker]],"")))</f>
        <v/>
      </c>
      <c r="AN1087" t="str">
        <f>IF(ISNUMBER(FIND("arbeid",Methode_Keuze)),"",IF(ISNUMBER(FIND("arbeid",Methode_Keuze)),"",IF(Tb_Activiteiten[[#This Row],[Landbouwer]]=1,Tb_Activiteiten[[#Headers],[Landbouwer]],"")))</f>
        <v/>
      </c>
      <c r="AO1087" t="str">
        <f>IF(ISNUMBER(FIND("arbeid",Methode_Keuze)),"",IF(ISNUMBER(FIND("arbeid",Methode_Keuze)),"",IF(Tb_Activiteiten[[#This Row],[Adviseur]]=1,Tb_Activiteiten[[#Headers],[Adviseur]],"")))</f>
        <v/>
      </c>
      <c r="AP1087" t="str">
        <f>IF(ISNUMBER(FIND("arbeid",Methode_Keuze)),"",IF(ISNUMBER(FIND("arbeid",Methode_Keuze)),"",IF(Tb_Activiteiten[[#This Row],[Projectleider/Expert]]=1,Tb_Activiteiten[[#Headers],[Projectleider/Expert]],"")))</f>
        <v/>
      </c>
      <c r="AQ1087" t="str">
        <f>IF(ISNUMBER(FIND("arbeid",Methode_Keuze)),"",IF(ISNUMBER(FIND("arbeid",Methode_Keuze)),"",IF(Tb_Activiteiten[[#This Row],[Arbeidskosten]]=1,Tb_Activiteiten[[#Headers],[Arbeidskosten]],"")))</f>
        <v/>
      </c>
      <c r="AR1087" t="str">
        <f>IF(ISNUMBER(FIND("arbeid",Methode_Keuze)),"",IF(ISNUMBER(FIND("arbeid",Methode_Keuze)),"",IF(Tb_Activiteiten[[#This Row],[Arbeidskosten op basis van IKS]]=1,Tb_Activiteiten[[#Headers],[Arbeidskosten op basis van IKS]],"")))</f>
        <v/>
      </c>
      <c r="AS1087" t="str">
        <f>IF(ISNUMBER(FIND("overige",Methode_Keuze)),"",IF(Tb_Activiteiten[[#This Row],[Kosten derden exclusief btw]]=1,Tb_Activiteiten[[#Headers],[Kosten derden exclusief btw]],""))</f>
        <v/>
      </c>
      <c r="AT1087" t="str">
        <f>IF(ISNUMBER(FIND("overige",Methode_Keuze)),"",IF(Tb_Activiteiten[[#This Row],[Niet verrekenbare btw]]=1,Tb_Activiteiten[[#Headers],[Niet verrekenbare btw]],""))</f>
        <v/>
      </c>
      <c r="AU1087" t="str">
        <f>IF(ISNUMBER(FIND("overige",Methode_Keuze)),"",IF(Tb_Activiteiten[[#This Row],[Grondkosten]]=1,Tb_Activiteiten[[#Headers],[Grondkosten]],""))</f>
        <v/>
      </c>
      <c r="AV1087" t="str">
        <f>IF(ISNUMBER(FIND("overige",Methode_Keuze)),"",IF(Tb_Activiteiten[[#This Row],[Bijdrage in natura (overige)]]=1,Tb_Activiteiten[[#Headers],[Bijdrage in natura (overige)]],""))</f>
        <v/>
      </c>
      <c r="AW1087" t="str">
        <f>IF(ISNUMBER(FIND("overige",Methode_Keuze)),"",IF(Tb_Activiteiten[[#This Row],[Bijdrage in natura (vrijwilligers)]]=1,Tb_Activiteiten[[#Headers],[Bijdrage in natura (vrijwilligers)]],""))</f>
        <v/>
      </c>
      <c r="AX1087" t="str">
        <f>IF(ISNUMBER(FIND("overige",Methode_Keuze)),"",IF(Tb_Activiteiten[[#This Row],[Afschrijvingskosten]]=1,Tb_Activiteiten[[#Headers],[Afschrijvingskosten]],""))</f>
        <v/>
      </c>
      <c r="AY1087" t="str">
        <f>IF(ISNUMBER(FIND("overige",Methode_Keuze)),"",IF(Tb_Activiteiten[[#This Row],[Vergoeding]]=1,Tb_Activiteiten[[#Headers],[Vergoeding]],""))</f>
        <v/>
      </c>
      <c r="AZ1087" t="str">
        <f>IF(ISNUMBER(FIND("arbeid",Methode_Keuze)),"",IF(Tb_Activiteiten[[#This Row],[Arbeidskosten - vast tarief (excl eigen arbeid)]]=1,Tb_Activiteiten[[#Headers],[Arbeidskosten - vast tarief (excl eigen arbeid)]],""))</f>
        <v/>
      </c>
      <c r="BA1087" t="str">
        <f>IF(ISNUMBER(FIND("overige",Methode_Keuze)),"",IF(Tb_Activiteiten[[#This Row],[Overige kosten]]=1,Tb_Activiteiten[[#Headers],[Overige kosten]],""))</f>
        <v/>
      </c>
    </row>
    <row r="1088" spans="1:53" x14ac:dyDescent="0.25">
      <c r="A1088" s="139"/>
      <c r="B1088" s="139"/>
      <c r="C1088" s="139"/>
      <c r="D1088" s="139"/>
      <c r="E1088" s="139"/>
      <c r="F1088" s="139"/>
      <c r="G1088" s="139"/>
      <c r="O1088" s="56"/>
      <c r="Q1088" t="str">
        <f>IFERROR(IF(VLOOKUP(Tb_Activiteiten[[#This Row],[Openstelling]],Tb_Openstelling[],2,0)=1,1,""),"")</f>
        <v/>
      </c>
      <c r="AK1088" t="str">
        <f>IF(ISNUMBER(FIND("arbeid",Methode_Keuze)),"",IF(ISNUMBER(FIND("arbeid",Methode_Keuze)),"",IF(Tb_Activiteiten[[#This Row],[Loonkosten]]=1,Tb_Activiteiten[[#Headers],[Loonkosten]],"")))</f>
        <v/>
      </c>
      <c r="AL1088" t="str">
        <f>IF(ISNUMBER(FIND("arbeid",Methode_Keuze)),"",IF(ISNUMBER(FIND("arbeid",Methode_Keuze)),"",IF(Tb_Activiteiten[[#This Row],[Eigen arbeid]]=1,Tb_Activiteiten[[#Headers],[Eigen arbeid]],"")))</f>
        <v/>
      </c>
      <c r="AM1088" t="str">
        <f>IF(ISNUMBER(FIND("arbeid",Methode_Keuze)),"",IF(ISNUMBER(FIND("arbeid",Methode_Keuze)),"",IF(Tb_Activiteiten[[#This Row],[Projectmedewerker]]=1,Tb_Activiteiten[[#Headers],[Projectmedewerker]],"")))</f>
        <v/>
      </c>
      <c r="AN1088" t="str">
        <f>IF(ISNUMBER(FIND("arbeid",Methode_Keuze)),"",IF(ISNUMBER(FIND("arbeid",Methode_Keuze)),"",IF(Tb_Activiteiten[[#This Row],[Landbouwer]]=1,Tb_Activiteiten[[#Headers],[Landbouwer]],"")))</f>
        <v/>
      </c>
      <c r="AO1088" t="str">
        <f>IF(ISNUMBER(FIND("arbeid",Methode_Keuze)),"",IF(ISNUMBER(FIND("arbeid",Methode_Keuze)),"",IF(Tb_Activiteiten[[#This Row],[Adviseur]]=1,Tb_Activiteiten[[#Headers],[Adviseur]],"")))</f>
        <v/>
      </c>
      <c r="AP1088" t="str">
        <f>IF(ISNUMBER(FIND("arbeid",Methode_Keuze)),"",IF(ISNUMBER(FIND("arbeid",Methode_Keuze)),"",IF(Tb_Activiteiten[[#This Row],[Projectleider/Expert]]=1,Tb_Activiteiten[[#Headers],[Projectleider/Expert]],"")))</f>
        <v/>
      </c>
      <c r="AQ1088" t="str">
        <f>IF(ISNUMBER(FIND("arbeid",Methode_Keuze)),"",IF(ISNUMBER(FIND("arbeid",Methode_Keuze)),"",IF(Tb_Activiteiten[[#This Row],[Arbeidskosten]]=1,Tb_Activiteiten[[#Headers],[Arbeidskosten]],"")))</f>
        <v/>
      </c>
      <c r="AR1088" t="str">
        <f>IF(ISNUMBER(FIND("arbeid",Methode_Keuze)),"",IF(ISNUMBER(FIND("arbeid",Methode_Keuze)),"",IF(Tb_Activiteiten[[#This Row],[Arbeidskosten op basis van IKS]]=1,Tb_Activiteiten[[#Headers],[Arbeidskosten op basis van IKS]],"")))</f>
        <v/>
      </c>
      <c r="AS1088" t="str">
        <f>IF(ISNUMBER(FIND("overige",Methode_Keuze)),"",IF(Tb_Activiteiten[[#This Row],[Kosten derden exclusief btw]]=1,Tb_Activiteiten[[#Headers],[Kosten derden exclusief btw]],""))</f>
        <v/>
      </c>
      <c r="AT1088" t="str">
        <f>IF(ISNUMBER(FIND("overige",Methode_Keuze)),"",IF(Tb_Activiteiten[[#This Row],[Niet verrekenbare btw]]=1,Tb_Activiteiten[[#Headers],[Niet verrekenbare btw]],""))</f>
        <v/>
      </c>
      <c r="AU1088" t="str">
        <f>IF(ISNUMBER(FIND("overige",Methode_Keuze)),"",IF(Tb_Activiteiten[[#This Row],[Grondkosten]]=1,Tb_Activiteiten[[#Headers],[Grondkosten]],""))</f>
        <v/>
      </c>
      <c r="AV1088" t="str">
        <f>IF(ISNUMBER(FIND("overige",Methode_Keuze)),"",IF(Tb_Activiteiten[[#This Row],[Bijdrage in natura (overige)]]=1,Tb_Activiteiten[[#Headers],[Bijdrage in natura (overige)]],""))</f>
        <v/>
      </c>
      <c r="AW1088" t="str">
        <f>IF(ISNUMBER(FIND("overige",Methode_Keuze)),"",IF(Tb_Activiteiten[[#This Row],[Bijdrage in natura (vrijwilligers)]]=1,Tb_Activiteiten[[#Headers],[Bijdrage in natura (vrijwilligers)]],""))</f>
        <v/>
      </c>
      <c r="AX1088" t="str">
        <f>IF(ISNUMBER(FIND("overige",Methode_Keuze)),"",IF(Tb_Activiteiten[[#This Row],[Afschrijvingskosten]]=1,Tb_Activiteiten[[#Headers],[Afschrijvingskosten]],""))</f>
        <v/>
      </c>
      <c r="AY1088" t="str">
        <f>IF(ISNUMBER(FIND("overige",Methode_Keuze)),"",IF(Tb_Activiteiten[[#This Row],[Vergoeding]]=1,Tb_Activiteiten[[#Headers],[Vergoeding]],""))</f>
        <v/>
      </c>
      <c r="AZ1088" t="str">
        <f>IF(ISNUMBER(FIND("arbeid",Methode_Keuze)),"",IF(Tb_Activiteiten[[#This Row],[Arbeidskosten - vast tarief (excl eigen arbeid)]]=1,Tb_Activiteiten[[#Headers],[Arbeidskosten - vast tarief (excl eigen arbeid)]],""))</f>
        <v/>
      </c>
      <c r="BA1088" t="str">
        <f>IF(ISNUMBER(FIND("overige",Methode_Keuze)),"",IF(Tb_Activiteiten[[#This Row],[Overige kosten]]=1,Tb_Activiteiten[[#Headers],[Overige kosten]],""))</f>
        <v/>
      </c>
    </row>
    <row r="1089" spans="1:53" x14ac:dyDescent="0.25">
      <c r="A1089" s="139"/>
      <c r="B1089" s="139"/>
      <c r="C1089" s="139"/>
      <c r="D1089" s="139"/>
      <c r="E1089" s="139"/>
      <c r="F1089" s="139"/>
      <c r="G1089" s="139"/>
      <c r="O1089" s="56"/>
      <c r="Q1089" t="str">
        <f>IFERROR(IF(VLOOKUP(Tb_Activiteiten[[#This Row],[Openstelling]],Tb_Openstelling[],2,0)=1,1,""),"")</f>
        <v/>
      </c>
      <c r="AK1089" t="str">
        <f>IF(ISNUMBER(FIND("arbeid",Methode_Keuze)),"",IF(ISNUMBER(FIND("arbeid",Methode_Keuze)),"",IF(Tb_Activiteiten[[#This Row],[Loonkosten]]=1,Tb_Activiteiten[[#Headers],[Loonkosten]],"")))</f>
        <v/>
      </c>
      <c r="AL1089" t="str">
        <f>IF(ISNUMBER(FIND("arbeid",Methode_Keuze)),"",IF(ISNUMBER(FIND("arbeid",Methode_Keuze)),"",IF(Tb_Activiteiten[[#This Row],[Eigen arbeid]]=1,Tb_Activiteiten[[#Headers],[Eigen arbeid]],"")))</f>
        <v/>
      </c>
      <c r="AM1089" t="str">
        <f>IF(ISNUMBER(FIND("arbeid",Methode_Keuze)),"",IF(ISNUMBER(FIND("arbeid",Methode_Keuze)),"",IF(Tb_Activiteiten[[#This Row],[Projectmedewerker]]=1,Tb_Activiteiten[[#Headers],[Projectmedewerker]],"")))</f>
        <v/>
      </c>
      <c r="AN1089" t="str">
        <f>IF(ISNUMBER(FIND("arbeid",Methode_Keuze)),"",IF(ISNUMBER(FIND("arbeid",Methode_Keuze)),"",IF(Tb_Activiteiten[[#This Row],[Landbouwer]]=1,Tb_Activiteiten[[#Headers],[Landbouwer]],"")))</f>
        <v/>
      </c>
      <c r="AO1089" t="str">
        <f>IF(ISNUMBER(FIND("arbeid",Methode_Keuze)),"",IF(ISNUMBER(FIND("arbeid",Methode_Keuze)),"",IF(Tb_Activiteiten[[#This Row],[Adviseur]]=1,Tb_Activiteiten[[#Headers],[Adviseur]],"")))</f>
        <v/>
      </c>
      <c r="AP1089" t="str">
        <f>IF(ISNUMBER(FIND("arbeid",Methode_Keuze)),"",IF(ISNUMBER(FIND("arbeid",Methode_Keuze)),"",IF(Tb_Activiteiten[[#This Row],[Projectleider/Expert]]=1,Tb_Activiteiten[[#Headers],[Projectleider/Expert]],"")))</f>
        <v/>
      </c>
      <c r="AQ1089" t="str">
        <f>IF(ISNUMBER(FIND("arbeid",Methode_Keuze)),"",IF(ISNUMBER(FIND("arbeid",Methode_Keuze)),"",IF(Tb_Activiteiten[[#This Row],[Arbeidskosten]]=1,Tb_Activiteiten[[#Headers],[Arbeidskosten]],"")))</f>
        <v/>
      </c>
      <c r="AR1089" t="str">
        <f>IF(ISNUMBER(FIND("arbeid",Methode_Keuze)),"",IF(ISNUMBER(FIND("arbeid",Methode_Keuze)),"",IF(Tb_Activiteiten[[#This Row],[Arbeidskosten op basis van IKS]]=1,Tb_Activiteiten[[#Headers],[Arbeidskosten op basis van IKS]],"")))</f>
        <v/>
      </c>
      <c r="AS1089" t="str">
        <f>IF(ISNUMBER(FIND("overige",Methode_Keuze)),"",IF(Tb_Activiteiten[[#This Row],[Kosten derden exclusief btw]]=1,Tb_Activiteiten[[#Headers],[Kosten derden exclusief btw]],""))</f>
        <v/>
      </c>
      <c r="AT1089" t="str">
        <f>IF(ISNUMBER(FIND("overige",Methode_Keuze)),"",IF(Tb_Activiteiten[[#This Row],[Niet verrekenbare btw]]=1,Tb_Activiteiten[[#Headers],[Niet verrekenbare btw]],""))</f>
        <v/>
      </c>
      <c r="AU1089" t="str">
        <f>IF(ISNUMBER(FIND("overige",Methode_Keuze)),"",IF(Tb_Activiteiten[[#This Row],[Grondkosten]]=1,Tb_Activiteiten[[#Headers],[Grondkosten]],""))</f>
        <v/>
      </c>
      <c r="AV1089" t="str">
        <f>IF(ISNUMBER(FIND("overige",Methode_Keuze)),"",IF(Tb_Activiteiten[[#This Row],[Bijdrage in natura (overige)]]=1,Tb_Activiteiten[[#Headers],[Bijdrage in natura (overige)]],""))</f>
        <v/>
      </c>
      <c r="AW1089" t="str">
        <f>IF(ISNUMBER(FIND("overige",Methode_Keuze)),"",IF(Tb_Activiteiten[[#This Row],[Bijdrage in natura (vrijwilligers)]]=1,Tb_Activiteiten[[#Headers],[Bijdrage in natura (vrijwilligers)]],""))</f>
        <v/>
      </c>
      <c r="AX1089" t="str">
        <f>IF(ISNUMBER(FIND("overige",Methode_Keuze)),"",IF(Tb_Activiteiten[[#This Row],[Afschrijvingskosten]]=1,Tb_Activiteiten[[#Headers],[Afschrijvingskosten]],""))</f>
        <v/>
      </c>
      <c r="AY1089" t="str">
        <f>IF(ISNUMBER(FIND("overige",Methode_Keuze)),"",IF(Tb_Activiteiten[[#This Row],[Vergoeding]]=1,Tb_Activiteiten[[#Headers],[Vergoeding]],""))</f>
        <v/>
      </c>
      <c r="AZ1089" t="str">
        <f>IF(ISNUMBER(FIND("arbeid",Methode_Keuze)),"",IF(Tb_Activiteiten[[#This Row],[Arbeidskosten - vast tarief (excl eigen arbeid)]]=1,Tb_Activiteiten[[#Headers],[Arbeidskosten - vast tarief (excl eigen arbeid)]],""))</f>
        <v/>
      </c>
      <c r="BA1089" t="str">
        <f>IF(ISNUMBER(FIND("overige",Methode_Keuze)),"",IF(Tb_Activiteiten[[#This Row],[Overige kosten]]=1,Tb_Activiteiten[[#Headers],[Overige kosten]],""))</f>
        <v/>
      </c>
    </row>
    <row r="1090" spans="1:53" x14ac:dyDescent="0.25">
      <c r="A1090" s="139"/>
      <c r="B1090" s="139"/>
      <c r="C1090" s="139"/>
      <c r="D1090" s="139"/>
      <c r="E1090" s="139"/>
      <c r="F1090" s="139"/>
      <c r="G1090" s="139"/>
      <c r="O1090" s="56"/>
      <c r="Q1090" t="str">
        <f>IFERROR(IF(VLOOKUP(Tb_Activiteiten[[#This Row],[Openstelling]],Tb_Openstelling[],2,0)=1,1,""),"")</f>
        <v/>
      </c>
      <c r="AK1090" t="str">
        <f>IF(ISNUMBER(FIND("arbeid",Methode_Keuze)),"",IF(ISNUMBER(FIND("arbeid",Methode_Keuze)),"",IF(Tb_Activiteiten[[#This Row],[Loonkosten]]=1,Tb_Activiteiten[[#Headers],[Loonkosten]],"")))</f>
        <v/>
      </c>
      <c r="AL1090" t="str">
        <f>IF(ISNUMBER(FIND("arbeid",Methode_Keuze)),"",IF(ISNUMBER(FIND("arbeid",Methode_Keuze)),"",IF(Tb_Activiteiten[[#This Row],[Eigen arbeid]]=1,Tb_Activiteiten[[#Headers],[Eigen arbeid]],"")))</f>
        <v/>
      </c>
      <c r="AM1090" t="str">
        <f>IF(ISNUMBER(FIND("arbeid",Methode_Keuze)),"",IF(ISNUMBER(FIND("arbeid",Methode_Keuze)),"",IF(Tb_Activiteiten[[#This Row],[Projectmedewerker]]=1,Tb_Activiteiten[[#Headers],[Projectmedewerker]],"")))</f>
        <v/>
      </c>
      <c r="AN1090" t="str">
        <f>IF(ISNUMBER(FIND("arbeid",Methode_Keuze)),"",IF(ISNUMBER(FIND("arbeid",Methode_Keuze)),"",IF(Tb_Activiteiten[[#This Row],[Landbouwer]]=1,Tb_Activiteiten[[#Headers],[Landbouwer]],"")))</f>
        <v/>
      </c>
      <c r="AO1090" t="str">
        <f>IF(ISNUMBER(FIND("arbeid",Methode_Keuze)),"",IF(ISNUMBER(FIND("arbeid",Methode_Keuze)),"",IF(Tb_Activiteiten[[#This Row],[Adviseur]]=1,Tb_Activiteiten[[#Headers],[Adviseur]],"")))</f>
        <v/>
      </c>
      <c r="AP1090" t="str">
        <f>IF(ISNUMBER(FIND("arbeid",Methode_Keuze)),"",IF(ISNUMBER(FIND("arbeid",Methode_Keuze)),"",IF(Tb_Activiteiten[[#This Row],[Projectleider/Expert]]=1,Tb_Activiteiten[[#Headers],[Projectleider/Expert]],"")))</f>
        <v/>
      </c>
      <c r="AQ1090" t="str">
        <f>IF(ISNUMBER(FIND("arbeid",Methode_Keuze)),"",IF(ISNUMBER(FIND("arbeid",Methode_Keuze)),"",IF(Tb_Activiteiten[[#This Row],[Arbeidskosten]]=1,Tb_Activiteiten[[#Headers],[Arbeidskosten]],"")))</f>
        <v/>
      </c>
      <c r="AR1090" t="str">
        <f>IF(ISNUMBER(FIND("arbeid",Methode_Keuze)),"",IF(ISNUMBER(FIND("arbeid",Methode_Keuze)),"",IF(Tb_Activiteiten[[#This Row],[Arbeidskosten op basis van IKS]]=1,Tb_Activiteiten[[#Headers],[Arbeidskosten op basis van IKS]],"")))</f>
        <v/>
      </c>
      <c r="AS1090" t="str">
        <f>IF(ISNUMBER(FIND("overige",Methode_Keuze)),"",IF(Tb_Activiteiten[[#This Row],[Kosten derden exclusief btw]]=1,Tb_Activiteiten[[#Headers],[Kosten derden exclusief btw]],""))</f>
        <v/>
      </c>
      <c r="AT1090" t="str">
        <f>IF(ISNUMBER(FIND("overige",Methode_Keuze)),"",IF(Tb_Activiteiten[[#This Row],[Niet verrekenbare btw]]=1,Tb_Activiteiten[[#Headers],[Niet verrekenbare btw]],""))</f>
        <v/>
      </c>
      <c r="AU1090" t="str">
        <f>IF(ISNUMBER(FIND("overige",Methode_Keuze)),"",IF(Tb_Activiteiten[[#This Row],[Grondkosten]]=1,Tb_Activiteiten[[#Headers],[Grondkosten]],""))</f>
        <v/>
      </c>
      <c r="AV1090" t="str">
        <f>IF(ISNUMBER(FIND("overige",Methode_Keuze)),"",IF(Tb_Activiteiten[[#This Row],[Bijdrage in natura (overige)]]=1,Tb_Activiteiten[[#Headers],[Bijdrage in natura (overige)]],""))</f>
        <v/>
      </c>
      <c r="AW1090" t="str">
        <f>IF(ISNUMBER(FIND("overige",Methode_Keuze)),"",IF(Tb_Activiteiten[[#This Row],[Bijdrage in natura (vrijwilligers)]]=1,Tb_Activiteiten[[#Headers],[Bijdrage in natura (vrijwilligers)]],""))</f>
        <v/>
      </c>
      <c r="AX1090" t="str">
        <f>IF(ISNUMBER(FIND("overige",Methode_Keuze)),"",IF(Tb_Activiteiten[[#This Row],[Afschrijvingskosten]]=1,Tb_Activiteiten[[#Headers],[Afschrijvingskosten]],""))</f>
        <v/>
      </c>
      <c r="AY1090" t="str">
        <f>IF(ISNUMBER(FIND("overige",Methode_Keuze)),"",IF(Tb_Activiteiten[[#This Row],[Vergoeding]]=1,Tb_Activiteiten[[#Headers],[Vergoeding]],""))</f>
        <v/>
      </c>
      <c r="AZ1090" t="str">
        <f>IF(ISNUMBER(FIND("arbeid",Methode_Keuze)),"",IF(Tb_Activiteiten[[#This Row],[Arbeidskosten - vast tarief (excl eigen arbeid)]]=1,Tb_Activiteiten[[#Headers],[Arbeidskosten - vast tarief (excl eigen arbeid)]],""))</f>
        <v/>
      </c>
      <c r="BA1090" t="str">
        <f>IF(ISNUMBER(FIND("overige",Methode_Keuze)),"",IF(Tb_Activiteiten[[#This Row],[Overige kosten]]=1,Tb_Activiteiten[[#Headers],[Overige kosten]],""))</f>
        <v/>
      </c>
    </row>
    <row r="1091" spans="1:53" x14ac:dyDescent="0.25">
      <c r="A1091" s="139"/>
      <c r="B1091" s="139"/>
      <c r="C1091" s="139"/>
      <c r="D1091" s="139"/>
      <c r="E1091" s="139"/>
      <c r="F1091" s="139"/>
      <c r="G1091" s="139"/>
      <c r="O1091" s="56"/>
      <c r="Q1091" t="str">
        <f>IFERROR(IF(VLOOKUP(Tb_Activiteiten[[#This Row],[Openstelling]],Tb_Openstelling[],2,0)=1,1,""),"")</f>
        <v/>
      </c>
      <c r="AK1091" t="str">
        <f>IF(ISNUMBER(FIND("arbeid",Methode_Keuze)),"",IF(ISNUMBER(FIND("arbeid",Methode_Keuze)),"",IF(Tb_Activiteiten[[#This Row],[Loonkosten]]=1,Tb_Activiteiten[[#Headers],[Loonkosten]],"")))</f>
        <v/>
      </c>
      <c r="AL1091" t="str">
        <f>IF(ISNUMBER(FIND("arbeid",Methode_Keuze)),"",IF(ISNUMBER(FIND("arbeid",Methode_Keuze)),"",IF(Tb_Activiteiten[[#This Row],[Eigen arbeid]]=1,Tb_Activiteiten[[#Headers],[Eigen arbeid]],"")))</f>
        <v/>
      </c>
      <c r="AM1091" t="str">
        <f>IF(ISNUMBER(FIND("arbeid",Methode_Keuze)),"",IF(ISNUMBER(FIND("arbeid",Methode_Keuze)),"",IF(Tb_Activiteiten[[#This Row],[Projectmedewerker]]=1,Tb_Activiteiten[[#Headers],[Projectmedewerker]],"")))</f>
        <v/>
      </c>
      <c r="AN1091" t="str">
        <f>IF(ISNUMBER(FIND("arbeid",Methode_Keuze)),"",IF(ISNUMBER(FIND("arbeid",Methode_Keuze)),"",IF(Tb_Activiteiten[[#This Row],[Landbouwer]]=1,Tb_Activiteiten[[#Headers],[Landbouwer]],"")))</f>
        <v/>
      </c>
      <c r="AO1091" t="str">
        <f>IF(ISNUMBER(FIND("arbeid",Methode_Keuze)),"",IF(ISNUMBER(FIND("arbeid",Methode_Keuze)),"",IF(Tb_Activiteiten[[#This Row],[Adviseur]]=1,Tb_Activiteiten[[#Headers],[Adviseur]],"")))</f>
        <v/>
      </c>
      <c r="AP1091" t="str">
        <f>IF(ISNUMBER(FIND("arbeid",Methode_Keuze)),"",IF(ISNUMBER(FIND("arbeid",Methode_Keuze)),"",IF(Tb_Activiteiten[[#This Row],[Projectleider/Expert]]=1,Tb_Activiteiten[[#Headers],[Projectleider/Expert]],"")))</f>
        <v/>
      </c>
      <c r="AQ1091" t="str">
        <f>IF(ISNUMBER(FIND("arbeid",Methode_Keuze)),"",IF(ISNUMBER(FIND("arbeid",Methode_Keuze)),"",IF(Tb_Activiteiten[[#This Row],[Arbeidskosten]]=1,Tb_Activiteiten[[#Headers],[Arbeidskosten]],"")))</f>
        <v/>
      </c>
      <c r="AR1091" t="str">
        <f>IF(ISNUMBER(FIND("arbeid",Methode_Keuze)),"",IF(ISNUMBER(FIND("arbeid",Methode_Keuze)),"",IF(Tb_Activiteiten[[#This Row],[Arbeidskosten op basis van IKS]]=1,Tb_Activiteiten[[#Headers],[Arbeidskosten op basis van IKS]],"")))</f>
        <v/>
      </c>
      <c r="AS1091" t="str">
        <f>IF(ISNUMBER(FIND("overige",Methode_Keuze)),"",IF(Tb_Activiteiten[[#This Row],[Kosten derden exclusief btw]]=1,Tb_Activiteiten[[#Headers],[Kosten derden exclusief btw]],""))</f>
        <v/>
      </c>
      <c r="AT1091" t="str">
        <f>IF(ISNUMBER(FIND("overige",Methode_Keuze)),"",IF(Tb_Activiteiten[[#This Row],[Niet verrekenbare btw]]=1,Tb_Activiteiten[[#Headers],[Niet verrekenbare btw]],""))</f>
        <v/>
      </c>
      <c r="AU1091" t="str">
        <f>IF(ISNUMBER(FIND("overige",Methode_Keuze)),"",IF(Tb_Activiteiten[[#This Row],[Grondkosten]]=1,Tb_Activiteiten[[#Headers],[Grondkosten]],""))</f>
        <v/>
      </c>
      <c r="AV1091" t="str">
        <f>IF(ISNUMBER(FIND("overige",Methode_Keuze)),"",IF(Tb_Activiteiten[[#This Row],[Bijdrage in natura (overige)]]=1,Tb_Activiteiten[[#Headers],[Bijdrage in natura (overige)]],""))</f>
        <v/>
      </c>
      <c r="AW1091" t="str">
        <f>IF(ISNUMBER(FIND("overige",Methode_Keuze)),"",IF(Tb_Activiteiten[[#This Row],[Bijdrage in natura (vrijwilligers)]]=1,Tb_Activiteiten[[#Headers],[Bijdrage in natura (vrijwilligers)]],""))</f>
        <v/>
      </c>
      <c r="AX1091" t="str">
        <f>IF(ISNUMBER(FIND("overige",Methode_Keuze)),"",IF(Tb_Activiteiten[[#This Row],[Afschrijvingskosten]]=1,Tb_Activiteiten[[#Headers],[Afschrijvingskosten]],""))</f>
        <v/>
      </c>
      <c r="AY1091" t="str">
        <f>IF(ISNUMBER(FIND("overige",Methode_Keuze)),"",IF(Tb_Activiteiten[[#This Row],[Vergoeding]]=1,Tb_Activiteiten[[#Headers],[Vergoeding]],""))</f>
        <v/>
      </c>
      <c r="AZ1091" t="str">
        <f>IF(ISNUMBER(FIND("arbeid",Methode_Keuze)),"",IF(Tb_Activiteiten[[#This Row],[Arbeidskosten - vast tarief (excl eigen arbeid)]]=1,Tb_Activiteiten[[#Headers],[Arbeidskosten - vast tarief (excl eigen arbeid)]],""))</f>
        <v/>
      </c>
      <c r="BA1091" t="str">
        <f>IF(ISNUMBER(FIND("overige",Methode_Keuze)),"",IF(Tb_Activiteiten[[#This Row],[Overige kosten]]=1,Tb_Activiteiten[[#Headers],[Overige kosten]],""))</f>
        <v/>
      </c>
    </row>
    <row r="1092" spans="1:53" x14ac:dyDescent="0.25">
      <c r="A1092" s="139"/>
      <c r="B1092" s="139"/>
      <c r="C1092" s="139"/>
      <c r="D1092" s="139"/>
      <c r="E1092" s="139"/>
      <c r="F1092" s="139"/>
      <c r="G1092" s="139"/>
      <c r="O1092" s="56"/>
      <c r="Q1092" t="str">
        <f>IFERROR(IF(VLOOKUP(Tb_Activiteiten[[#This Row],[Openstelling]],Tb_Openstelling[],2,0)=1,1,""),"")</f>
        <v/>
      </c>
      <c r="AK1092" t="str">
        <f>IF(ISNUMBER(FIND("arbeid",Methode_Keuze)),"",IF(ISNUMBER(FIND("arbeid",Methode_Keuze)),"",IF(Tb_Activiteiten[[#This Row],[Loonkosten]]=1,Tb_Activiteiten[[#Headers],[Loonkosten]],"")))</f>
        <v/>
      </c>
      <c r="AL1092" t="str">
        <f>IF(ISNUMBER(FIND("arbeid",Methode_Keuze)),"",IF(ISNUMBER(FIND("arbeid",Methode_Keuze)),"",IF(Tb_Activiteiten[[#This Row],[Eigen arbeid]]=1,Tb_Activiteiten[[#Headers],[Eigen arbeid]],"")))</f>
        <v/>
      </c>
      <c r="AM1092" t="str">
        <f>IF(ISNUMBER(FIND("arbeid",Methode_Keuze)),"",IF(ISNUMBER(FIND("arbeid",Methode_Keuze)),"",IF(Tb_Activiteiten[[#This Row],[Projectmedewerker]]=1,Tb_Activiteiten[[#Headers],[Projectmedewerker]],"")))</f>
        <v/>
      </c>
      <c r="AN1092" t="str">
        <f>IF(ISNUMBER(FIND("arbeid",Methode_Keuze)),"",IF(ISNUMBER(FIND("arbeid",Methode_Keuze)),"",IF(Tb_Activiteiten[[#This Row],[Landbouwer]]=1,Tb_Activiteiten[[#Headers],[Landbouwer]],"")))</f>
        <v/>
      </c>
      <c r="AO1092" t="str">
        <f>IF(ISNUMBER(FIND("arbeid",Methode_Keuze)),"",IF(ISNUMBER(FIND("arbeid",Methode_Keuze)),"",IF(Tb_Activiteiten[[#This Row],[Adviseur]]=1,Tb_Activiteiten[[#Headers],[Adviseur]],"")))</f>
        <v/>
      </c>
      <c r="AP1092" t="str">
        <f>IF(ISNUMBER(FIND("arbeid",Methode_Keuze)),"",IF(ISNUMBER(FIND("arbeid",Methode_Keuze)),"",IF(Tb_Activiteiten[[#This Row],[Projectleider/Expert]]=1,Tb_Activiteiten[[#Headers],[Projectleider/Expert]],"")))</f>
        <v/>
      </c>
      <c r="AQ1092" t="str">
        <f>IF(ISNUMBER(FIND("arbeid",Methode_Keuze)),"",IF(ISNUMBER(FIND("arbeid",Methode_Keuze)),"",IF(Tb_Activiteiten[[#This Row],[Arbeidskosten]]=1,Tb_Activiteiten[[#Headers],[Arbeidskosten]],"")))</f>
        <v/>
      </c>
      <c r="AR1092" t="str">
        <f>IF(ISNUMBER(FIND("arbeid",Methode_Keuze)),"",IF(ISNUMBER(FIND("arbeid",Methode_Keuze)),"",IF(Tb_Activiteiten[[#This Row],[Arbeidskosten op basis van IKS]]=1,Tb_Activiteiten[[#Headers],[Arbeidskosten op basis van IKS]],"")))</f>
        <v/>
      </c>
      <c r="AS1092" t="str">
        <f>IF(ISNUMBER(FIND("overige",Methode_Keuze)),"",IF(Tb_Activiteiten[[#This Row],[Kosten derden exclusief btw]]=1,Tb_Activiteiten[[#Headers],[Kosten derden exclusief btw]],""))</f>
        <v/>
      </c>
      <c r="AT1092" t="str">
        <f>IF(ISNUMBER(FIND("overige",Methode_Keuze)),"",IF(Tb_Activiteiten[[#This Row],[Niet verrekenbare btw]]=1,Tb_Activiteiten[[#Headers],[Niet verrekenbare btw]],""))</f>
        <v/>
      </c>
      <c r="AU1092" t="str">
        <f>IF(ISNUMBER(FIND("overige",Methode_Keuze)),"",IF(Tb_Activiteiten[[#This Row],[Grondkosten]]=1,Tb_Activiteiten[[#Headers],[Grondkosten]],""))</f>
        <v/>
      </c>
      <c r="AV1092" t="str">
        <f>IF(ISNUMBER(FIND("overige",Methode_Keuze)),"",IF(Tb_Activiteiten[[#This Row],[Bijdrage in natura (overige)]]=1,Tb_Activiteiten[[#Headers],[Bijdrage in natura (overige)]],""))</f>
        <v/>
      </c>
      <c r="AW1092" t="str">
        <f>IF(ISNUMBER(FIND("overige",Methode_Keuze)),"",IF(Tb_Activiteiten[[#This Row],[Bijdrage in natura (vrijwilligers)]]=1,Tb_Activiteiten[[#Headers],[Bijdrage in natura (vrijwilligers)]],""))</f>
        <v/>
      </c>
      <c r="AX1092" t="str">
        <f>IF(ISNUMBER(FIND("overige",Methode_Keuze)),"",IF(Tb_Activiteiten[[#This Row],[Afschrijvingskosten]]=1,Tb_Activiteiten[[#Headers],[Afschrijvingskosten]],""))</f>
        <v/>
      </c>
      <c r="AY1092" t="str">
        <f>IF(ISNUMBER(FIND("overige",Methode_Keuze)),"",IF(Tb_Activiteiten[[#This Row],[Vergoeding]]=1,Tb_Activiteiten[[#Headers],[Vergoeding]],""))</f>
        <v/>
      </c>
      <c r="AZ1092" t="str">
        <f>IF(ISNUMBER(FIND("arbeid",Methode_Keuze)),"",IF(Tb_Activiteiten[[#This Row],[Arbeidskosten - vast tarief (excl eigen arbeid)]]=1,Tb_Activiteiten[[#Headers],[Arbeidskosten - vast tarief (excl eigen arbeid)]],""))</f>
        <v/>
      </c>
      <c r="BA1092" t="str">
        <f>IF(ISNUMBER(FIND("overige",Methode_Keuze)),"",IF(Tb_Activiteiten[[#This Row],[Overige kosten]]=1,Tb_Activiteiten[[#Headers],[Overige kosten]],""))</f>
        <v/>
      </c>
    </row>
    <row r="1093" spans="1:53" x14ac:dyDescent="0.25">
      <c r="A1093" s="139"/>
      <c r="B1093" s="139"/>
      <c r="C1093" s="139"/>
      <c r="D1093" s="139"/>
      <c r="E1093" s="139"/>
      <c r="F1093" s="139"/>
      <c r="G1093" s="139"/>
      <c r="O1093" s="56"/>
      <c r="Q1093" t="str">
        <f>IFERROR(IF(VLOOKUP(Tb_Activiteiten[[#This Row],[Openstelling]],Tb_Openstelling[],2,0)=1,1,""),"")</f>
        <v/>
      </c>
      <c r="AK1093" t="str">
        <f>IF(ISNUMBER(FIND("arbeid",Methode_Keuze)),"",IF(ISNUMBER(FIND("arbeid",Methode_Keuze)),"",IF(Tb_Activiteiten[[#This Row],[Loonkosten]]=1,Tb_Activiteiten[[#Headers],[Loonkosten]],"")))</f>
        <v/>
      </c>
      <c r="AL1093" t="str">
        <f>IF(ISNUMBER(FIND("arbeid",Methode_Keuze)),"",IF(ISNUMBER(FIND("arbeid",Methode_Keuze)),"",IF(Tb_Activiteiten[[#This Row],[Eigen arbeid]]=1,Tb_Activiteiten[[#Headers],[Eigen arbeid]],"")))</f>
        <v/>
      </c>
      <c r="AM1093" t="str">
        <f>IF(ISNUMBER(FIND("arbeid",Methode_Keuze)),"",IF(ISNUMBER(FIND("arbeid",Methode_Keuze)),"",IF(Tb_Activiteiten[[#This Row],[Projectmedewerker]]=1,Tb_Activiteiten[[#Headers],[Projectmedewerker]],"")))</f>
        <v/>
      </c>
      <c r="AN1093" t="str">
        <f>IF(ISNUMBER(FIND("arbeid",Methode_Keuze)),"",IF(ISNUMBER(FIND("arbeid",Methode_Keuze)),"",IF(Tb_Activiteiten[[#This Row],[Landbouwer]]=1,Tb_Activiteiten[[#Headers],[Landbouwer]],"")))</f>
        <v/>
      </c>
      <c r="AO1093" t="str">
        <f>IF(ISNUMBER(FIND("arbeid",Methode_Keuze)),"",IF(ISNUMBER(FIND("arbeid",Methode_Keuze)),"",IF(Tb_Activiteiten[[#This Row],[Adviseur]]=1,Tb_Activiteiten[[#Headers],[Adviseur]],"")))</f>
        <v/>
      </c>
      <c r="AP1093" t="str">
        <f>IF(ISNUMBER(FIND("arbeid",Methode_Keuze)),"",IF(ISNUMBER(FIND("arbeid",Methode_Keuze)),"",IF(Tb_Activiteiten[[#This Row],[Projectleider/Expert]]=1,Tb_Activiteiten[[#Headers],[Projectleider/Expert]],"")))</f>
        <v/>
      </c>
      <c r="AQ1093" t="str">
        <f>IF(ISNUMBER(FIND("arbeid",Methode_Keuze)),"",IF(ISNUMBER(FIND("arbeid",Methode_Keuze)),"",IF(Tb_Activiteiten[[#This Row],[Arbeidskosten]]=1,Tb_Activiteiten[[#Headers],[Arbeidskosten]],"")))</f>
        <v/>
      </c>
      <c r="AR1093" t="str">
        <f>IF(ISNUMBER(FIND("arbeid",Methode_Keuze)),"",IF(ISNUMBER(FIND("arbeid",Methode_Keuze)),"",IF(Tb_Activiteiten[[#This Row],[Arbeidskosten op basis van IKS]]=1,Tb_Activiteiten[[#Headers],[Arbeidskosten op basis van IKS]],"")))</f>
        <v/>
      </c>
      <c r="AS1093" t="str">
        <f>IF(ISNUMBER(FIND("overige",Methode_Keuze)),"",IF(Tb_Activiteiten[[#This Row],[Kosten derden exclusief btw]]=1,Tb_Activiteiten[[#Headers],[Kosten derden exclusief btw]],""))</f>
        <v/>
      </c>
      <c r="AT1093" t="str">
        <f>IF(ISNUMBER(FIND("overige",Methode_Keuze)),"",IF(Tb_Activiteiten[[#This Row],[Niet verrekenbare btw]]=1,Tb_Activiteiten[[#Headers],[Niet verrekenbare btw]],""))</f>
        <v/>
      </c>
      <c r="AU1093" t="str">
        <f>IF(ISNUMBER(FIND("overige",Methode_Keuze)),"",IF(Tb_Activiteiten[[#This Row],[Grondkosten]]=1,Tb_Activiteiten[[#Headers],[Grondkosten]],""))</f>
        <v/>
      </c>
      <c r="AV1093" t="str">
        <f>IF(ISNUMBER(FIND("overige",Methode_Keuze)),"",IF(Tb_Activiteiten[[#This Row],[Bijdrage in natura (overige)]]=1,Tb_Activiteiten[[#Headers],[Bijdrage in natura (overige)]],""))</f>
        <v/>
      </c>
      <c r="AW1093" t="str">
        <f>IF(ISNUMBER(FIND("overige",Methode_Keuze)),"",IF(Tb_Activiteiten[[#This Row],[Bijdrage in natura (vrijwilligers)]]=1,Tb_Activiteiten[[#Headers],[Bijdrage in natura (vrijwilligers)]],""))</f>
        <v/>
      </c>
      <c r="AX1093" t="str">
        <f>IF(ISNUMBER(FIND("overige",Methode_Keuze)),"",IF(Tb_Activiteiten[[#This Row],[Afschrijvingskosten]]=1,Tb_Activiteiten[[#Headers],[Afschrijvingskosten]],""))</f>
        <v/>
      </c>
      <c r="AY1093" t="str">
        <f>IF(ISNUMBER(FIND("overige",Methode_Keuze)),"",IF(Tb_Activiteiten[[#This Row],[Vergoeding]]=1,Tb_Activiteiten[[#Headers],[Vergoeding]],""))</f>
        <v/>
      </c>
      <c r="AZ1093" t="str">
        <f>IF(ISNUMBER(FIND("arbeid",Methode_Keuze)),"",IF(Tb_Activiteiten[[#This Row],[Arbeidskosten - vast tarief (excl eigen arbeid)]]=1,Tb_Activiteiten[[#Headers],[Arbeidskosten - vast tarief (excl eigen arbeid)]],""))</f>
        <v/>
      </c>
      <c r="BA1093" t="str">
        <f>IF(ISNUMBER(FIND("overige",Methode_Keuze)),"",IF(Tb_Activiteiten[[#This Row],[Overige kosten]]=1,Tb_Activiteiten[[#Headers],[Overige kosten]],""))</f>
        <v/>
      </c>
    </row>
    <row r="1094" spans="1:53" x14ac:dyDescent="0.25">
      <c r="A1094" s="139"/>
      <c r="B1094" s="139"/>
      <c r="C1094" s="139"/>
      <c r="D1094" s="139"/>
      <c r="E1094" s="139"/>
      <c r="F1094" s="139"/>
      <c r="G1094" s="139"/>
      <c r="O1094" s="56"/>
      <c r="Q1094" t="str">
        <f>IFERROR(IF(VLOOKUP(Tb_Activiteiten[[#This Row],[Openstelling]],Tb_Openstelling[],2,0)=1,1,""),"")</f>
        <v/>
      </c>
      <c r="AK1094" t="str">
        <f>IF(ISNUMBER(FIND("arbeid",Methode_Keuze)),"",IF(ISNUMBER(FIND("arbeid",Methode_Keuze)),"",IF(Tb_Activiteiten[[#This Row],[Loonkosten]]=1,Tb_Activiteiten[[#Headers],[Loonkosten]],"")))</f>
        <v/>
      </c>
      <c r="AL1094" t="str">
        <f>IF(ISNUMBER(FIND("arbeid",Methode_Keuze)),"",IF(ISNUMBER(FIND("arbeid",Methode_Keuze)),"",IF(Tb_Activiteiten[[#This Row],[Eigen arbeid]]=1,Tb_Activiteiten[[#Headers],[Eigen arbeid]],"")))</f>
        <v/>
      </c>
      <c r="AM1094" t="str">
        <f>IF(ISNUMBER(FIND("arbeid",Methode_Keuze)),"",IF(ISNUMBER(FIND("arbeid",Methode_Keuze)),"",IF(Tb_Activiteiten[[#This Row],[Projectmedewerker]]=1,Tb_Activiteiten[[#Headers],[Projectmedewerker]],"")))</f>
        <v/>
      </c>
      <c r="AN1094" t="str">
        <f>IF(ISNUMBER(FIND("arbeid",Methode_Keuze)),"",IF(ISNUMBER(FIND("arbeid",Methode_Keuze)),"",IF(Tb_Activiteiten[[#This Row],[Landbouwer]]=1,Tb_Activiteiten[[#Headers],[Landbouwer]],"")))</f>
        <v/>
      </c>
      <c r="AO1094" t="str">
        <f>IF(ISNUMBER(FIND("arbeid",Methode_Keuze)),"",IF(ISNUMBER(FIND("arbeid",Methode_Keuze)),"",IF(Tb_Activiteiten[[#This Row],[Adviseur]]=1,Tb_Activiteiten[[#Headers],[Adviseur]],"")))</f>
        <v/>
      </c>
      <c r="AP1094" t="str">
        <f>IF(ISNUMBER(FIND("arbeid",Methode_Keuze)),"",IF(ISNUMBER(FIND("arbeid",Methode_Keuze)),"",IF(Tb_Activiteiten[[#This Row],[Projectleider/Expert]]=1,Tb_Activiteiten[[#Headers],[Projectleider/Expert]],"")))</f>
        <v/>
      </c>
      <c r="AQ1094" t="str">
        <f>IF(ISNUMBER(FIND("arbeid",Methode_Keuze)),"",IF(ISNUMBER(FIND("arbeid",Methode_Keuze)),"",IF(Tb_Activiteiten[[#This Row],[Arbeidskosten]]=1,Tb_Activiteiten[[#Headers],[Arbeidskosten]],"")))</f>
        <v/>
      </c>
      <c r="AR1094" t="str">
        <f>IF(ISNUMBER(FIND("arbeid",Methode_Keuze)),"",IF(ISNUMBER(FIND("arbeid",Methode_Keuze)),"",IF(Tb_Activiteiten[[#This Row],[Arbeidskosten op basis van IKS]]=1,Tb_Activiteiten[[#Headers],[Arbeidskosten op basis van IKS]],"")))</f>
        <v/>
      </c>
      <c r="AS1094" t="str">
        <f>IF(ISNUMBER(FIND("overige",Methode_Keuze)),"",IF(Tb_Activiteiten[[#This Row],[Kosten derden exclusief btw]]=1,Tb_Activiteiten[[#Headers],[Kosten derden exclusief btw]],""))</f>
        <v/>
      </c>
      <c r="AT1094" t="str">
        <f>IF(ISNUMBER(FIND("overige",Methode_Keuze)),"",IF(Tb_Activiteiten[[#This Row],[Niet verrekenbare btw]]=1,Tb_Activiteiten[[#Headers],[Niet verrekenbare btw]],""))</f>
        <v/>
      </c>
      <c r="AU1094" t="str">
        <f>IF(ISNUMBER(FIND("overige",Methode_Keuze)),"",IF(Tb_Activiteiten[[#This Row],[Grondkosten]]=1,Tb_Activiteiten[[#Headers],[Grondkosten]],""))</f>
        <v/>
      </c>
      <c r="AV1094" t="str">
        <f>IF(ISNUMBER(FIND("overige",Methode_Keuze)),"",IF(Tb_Activiteiten[[#This Row],[Bijdrage in natura (overige)]]=1,Tb_Activiteiten[[#Headers],[Bijdrage in natura (overige)]],""))</f>
        <v/>
      </c>
      <c r="AW1094" t="str">
        <f>IF(ISNUMBER(FIND("overige",Methode_Keuze)),"",IF(Tb_Activiteiten[[#This Row],[Bijdrage in natura (vrijwilligers)]]=1,Tb_Activiteiten[[#Headers],[Bijdrage in natura (vrijwilligers)]],""))</f>
        <v/>
      </c>
      <c r="AX1094" t="str">
        <f>IF(ISNUMBER(FIND("overige",Methode_Keuze)),"",IF(Tb_Activiteiten[[#This Row],[Afschrijvingskosten]]=1,Tb_Activiteiten[[#Headers],[Afschrijvingskosten]],""))</f>
        <v/>
      </c>
      <c r="AY1094" t="str">
        <f>IF(ISNUMBER(FIND("overige",Methode_Keuze)),"",IF(Tb_Activiteiten[[#This Row],[Vergoeding]]=1,Tb_Activiteiten[[#Headers],[Vergoeding]],""))</f>
        <v/>
      </c>
      <c r="AZ1094" t="str">
        <f>IF(ISNUMBER(FIND("arbeid",Methode_Keuze)),"",IF(Tb_Activiteiten[[#This Row],[Arbeidskosten - vast tarief (excl eigen arbeid)]]=1,Tb_Activiteiten[[#Headers],[Arbeidskosten - vast tarief (excl eigen arbeid)]],""))</f>
        <v/>
      </c>
      <c r="BA1094" t="str">
        <f>IF(ISNUMBER(FIND("overige",Methode_Keuze)),"",IF(Tb_Activiteiten[[#This Row],[Overige kosten]]=1,Tb_Activiteiten[[#Headers],[Overige kosten]],""))</f>
        <v/>
      </c>
    </row>
    <row r="1095" spans="1:53" x14ac:dyDescent="0.25">
      <c r="A1095" s="139"/>
      <c r="B1095" s="139"/>
      <c r="C1095" s="139"/>
      <c r="D1095" s="139"/>
      <c r="E1095" s="139"/>
      <c r="F1095" s="139"/>
      <c r="G1095" s="139"/>
      <c r="O1095" s="56"/>
      <c r="Q1095" t="str">
        <f>IFERROR(IF(VLOOKUP(Tb_Activiteiten[[#This Row],[Openstelling]],Tb_Openstelling[],2,0)=1,1,""),"")</f>
        <v/>
      </c>
      <c r="AK1095" t="str">
        <f>IF(ISNUMBER(FIND("arbeid",Methode_Keuze)),"",IF(ISNUMBER(FIND("arbeid",Methode_Keuze)),"",IF(Tb_Activiteiten[[#This Row],[Loonkosten]]=1,Tb_Activiteiten[[#Headers],[Loonkosten]],"")))</f>
        <v/>
      </c>
      <c r="AL1095" t="str">
        <f>IF(ISNUMBER(FIND("arbeid",Methode_Keuze)),"",IF(ISNUMBER(FIND("arbeid",Methode_Keuze)),"",IF(Tb_Activiteiten[[#This Row],[Eigen arbeid]]=1,Tb_Activiteiten[[#Headers],[Eigen arbeid]],"")))</f>
        <v/>
      </c>
      <c r="AM1095" t="str">
        <f>IF(ISNUMBER(FIND("arbeid",Methode_Keuze)),"",IF(ISNUMBER(FIND("arbeid",Methode_Keuze)),"",IF(Tb_Activiteiten[[#This Row],[Projectmedewerker]]=1,Tb_Activiteiten[[#Headers],[Projectmedewerker]],"")))</f>
        <v/>
      </c>
      <c r="AN1095" t="str">
        <f>IF(ISNUMBER(FIND("arbeid",Methode_Keuze)),"",IF(ISNUMBER(FIND("arbeid",Methode_Keuze)),"",IF(Tb_Activiteiten[[#This Row],[Landbouwer]]=1,Tb_Activiteiten[[#Headers],[Landbouwer]],"")))</f>
        <v/>
      </c>
      <c r="AO1095" t="str">
        <f>IF(ISNUMBER(FIND("arbeid",Methode_Keuze)),"",IF(ISNUMBER(FIND("arbeid",Methode_Keuze)),"",IF(Tb_Activiteiten[[#This Row],[Adviseur]]=1,Tb_Activiteiten[[#Headers],[Adviseur]],"")))</f>
        <v/>
      </c>
      <c r="AP1095" t="str">
        <f>IF(ISNUMBER(FIND("arbeid",Methode_Keuze)),"",IF(ISNUMBER(FIND("arbeid",Methode_Keuze)),"",IF(Tb_Activiteiten[[#This Row],[Projectleider/Expert]]=1,Tb_Activiteiten[[#Headers],[Projectleider/Expert]],"")))</f>
        <v/>
      </c>
      <c r="AQ1095" t="str">
        <f>IF(ISNUMBER(FIND("arbeid",Methode_Keuze)),"",IF(ISNUMBER(FIND("arbeid",Methode_Keuze)),"",IF(Tb_Activiteiten[[#This Row],[Arbeidskosten]]=1,Tb_Activiteiten[[#Headers],[Arbeidskosten]],"")))</f>
        <v/>
      </c>
      <c r="AR1095" t="str">
        <f>IF(ISNUMBER(FIND("arbeid",Methode_Keuze)),"",IF(ISNUMBER(FIND("arbeid",Methode_Keuze)),"",IF(Tb_Activiteiten[[#This Row],[Arbeidskosten op basis van IKS]]=1,Tb_Activiteiten[[#Headers],[Arbeidskosten op basis van IKS]],"")))</f>
        <v/>
      </c>
      <c r="AS1095" t="str">
        <f>IF(ISNUMBER(FIND("overige",Methode_Keuze)),"",IF(Tb_Activiteiten[[#This Row],[Kosten derden exclusief btw]]=1,Tb_Activiteiten[[#Headers],[Kosten derden exclusief btw]],""))</f>
        <v/>
      </c>
      <c r="AT1095" t="str">
        <f>IF(ISNUMBER(FIND("overige",Methode_Keuze)),"",IF(Tb_Activiteiten[[#This Row],[Niet verrekenbare btw]]=1,Tb_Activiteiten[[#Headers],[Niet verrekenbare btw]],""))</f>
        <v/>
      </c>
      <c r="AU1095" t="str">
        <f>IF(ISNUMBER(FIND("overige",Methode_Keuze)),"",IF(Tb_Activiteiten[[#This Row],[Grondkosten]]=1,Tb_Activiteiten[[#Headers],[Grondkosten]],""))</f>
        <v/>
      </c>
      <c r="AV1095" t="str">
        <f>IF(ISNUMBER(FIND("overige",Methode_Keuze)),"",IF(Tb_Activiteiten[[#This Row],[Bijdrage in natura (overige)]]=1,Tb_Activiteiten[[#Headers],[Bijdrage in natura (overige)]],""))</f>
        <v/>
      </c>
      <c r="AW1095" t="str">
        <f>IF(ISNUMBER(FIND("overige",Methode_Keuze)),"",IF(Tb_Activiteiten[[#This Row],[Bijdrage in natura (vrijwilligers)]]=1,Tb_Activiteiten[[#Headers],[Bijdrage in natura (vrijwilligers)]],""))</f>
        <v/>
      </c>
      <c r="AX1095" t="str">
        <f>IF(ISNUMBER(FIND("overige",Methode_Keuze)),"",IF(Tb_Activiteiten[[#This Row],[Afschrijvingskosten]]=1,Tb_Activiteiten[[#Headers],[Afschrijvingskosten]],""))</f>
        <v/>
      </c>
      <c r="AY1095" t="str">
        <f>IF(ISNUMBER(FIND("overige",Methode_Keuze)),"",IF(Tb_Activiteiten[[#This Row],[Vergoeding]]=1,Tb_Activiteiten[[#Headers],[Vergoeding]],""))</f>
        <v/>
      </c>
      <c r="AZ1095" t="str">
        <f>IF(ISNUMBER(FIND("arbeid",Methode_Keuze)),"",IF(Tb_Activiteiten[[#This Row],[Arbeidskosten - vast tarief (excl eigen arbeid)]]=1,Tb_Activiteiten[[#Headers],[Arbeidskosten - vast tarief (excl eigen arbeid)]],""))</f>
        <v/>
      </c>
      <c r="BA1095" t="str">
        <f>IF(ISNUMBER(FIND("overige",Methode_Keuze)),"",IF(Tb_Activiteiten[[#This Row],[Overige kosten]]=1,Tb_Activiteiten[[#Headers],[Overige kosten]],""))</f>
        <v/>
      </c>
    </row>
    <row r="1096" spans="1:53" x14ac:dyDescent="0.25">
      <c r="A1096" s="139"/>
      <c r="B1096" s="139"/>
      <c r="C1096" s="139"/>
      <c r="D1096" s="139"/>
      <c r="E1096" s="139"/>
      <c r="F1096" s="139"/>
      <c r="G1096" s="139"/>
      <c r="O1096" s="56"/>
      <c r="Q1096" t="str">
        <f>IFERROR(IF(VLOOKUP(Tb_Activiteiten[[#This Row],[Openstelling]],Tb_Openstelling[],2,0)=1,1,""),"")</f>
        <v/>
      </c>
      <c r="AK1096" t="str">
        <f>IF(ISNUMBER(FIND("arbeid",Methode_Keuze)),"",IF(ISNUMBER(FIND("arbeid",Methode_Keuze)),"",IF(Tb_Activiteiten[[#This Row],[Loonkosten]]=1,Tb_Activiteiten[[#Headers],[Loonkosten]],"")))</f>
        <v/>
      </c>
      <c r="AL1096" t="str">
        <f>IF(ISNUMBER(FIND("arbeid",Methode_Keuze)),"",IF(ISNUMBER(FIND("arbeid",Methode_Keuze)),"",IF(Tb_Activiteiten[[#This Row],[Eigen arbeid]]=1,Tb_Activiteiten[[#Headers],[Eigen arbeid]],"")))</f>
        <v/>
      </c>
      <c r="AM1096" t="str">
        <f>IF(ISNUMBER(FIND("arbeid",Methode_Keuze)),"",IF(ISNUMBER(FIND("arbeid",Methode_Keuze)),"",IF(Tb_Activiteiten[[#This Row],[Projectmedewerker]]=1,Tb_Activiteiten[[#Headers],[Projectmedewerker]],"")))</f>
        <v/>
      </c>
      <c r="AN1096" t="str">
        <f>IF(ISNUMBER(FIND("arbeid",Methode_Keuze)),"",IF(ISNUMBER(FIND("arbeid",Methode_Keuze)),"",IF(Tb_Activiteiten[[#This Row],[Landbouwer]]=1,Tb_Activiteiten[[#Headers],[Landbouwer]],"")))</f>
        <v/>
      </c>
      <c r="AO1096" t="str">
        <f>IF(ISNUMBER(FIND("arbeid",Methode_Keuze)),"",IF(ISNUMBER(FIND("arbeid",Methode_Keuze)),"",IF(Tb_Activiteiten[[#This Row],[Adviseur]]=1,Tb_Activiteiten[[#Headers],[Adviseur]],"")))</f>
        <v/>
      </c>
      <c r="AP1096" t="str">
        <f>IF(ISNUMBER(FIND("arbeid",Methode_Keuze)),"",IF(ISNUMBER(FIND("arbeid",Methode_Keuze)),"",IF(Tb_Activiteiten[[#This Row],[Projectleider/Expert]]=1,Tb_Activiteiten[[#Headers],[Projectleider/Expert]],"")))</f>
        <v/>
      </c>
      <c r="AQ1096" t="str">
        <f>IF(ISNUMBER(FIND("arbeid",Methode_Keuze)),"",IF(ISNUMBER(FIND("arbeid",Methode_Keuze)),"",IF(Tb_Activiteiten[[#This Row],[Arbeidskosten]]=1,Tb_Activiteiten[[#Headers],[Arbeidskosten]],"")))</f>
        <v/>
      </c>
      <c r="AR1096" t="str">
        <f>IF(ISNUMBER(FIND("arbeid",Methode_Keuze)),"",IF(ISNUMBER(FIND("arbeid",Methode_Keuze)),"",IF(Tb_Activiteiten[[#This Row],[Arbeidskosten op basis van IKS]]=1,Tb_Activiteiten[[#Headers],[Arbeidskosten op basis van IKS]],"")))</f>
        <v/>
      </c>
      <c r="AS1096" t="str">
        <f>IF(ISNUMBER(FIND("overige",Methode_Keuze)),"",IF(Tb_Activiteiten[[#This Row],[Kosten derden exclusief btw]]=1,Tb_Activiteiten[[#Headers],[Kosten derden exclusief btw]],""))</f>
        <v/>
      </c>
      <c r="AT1096" t="str">
        <f>IF(ISNUMBER(FIND("overige",Methode_Keuze)),"",IF(Tb_Activiteiten[[#This Row],[Niet verrekenbare btw]]=1,Tb_Activiteiten[[#Headers],[Niet verrekenbare btw]],""))</f>
        <v/>
      </c>
      <c r="AU1096" t="str">
        <f>IF(ISNUMBER(FIND("overige",Methode_Keuze)),"",IF(Tb_Activiteiten[[#This Row],[Grondkosten]]=1,Tb_Activiteiten[[#Headers],[Grondkosten]],""))</f>
        <v/>
      </c>
      <c r="AV1096" t="str">
        <f>IF(ISNUMBER(FIND("overige",Methode_Keuze)),"",IF(Tb_Activiteiten[[#This Row],[Bijdrage in natura (overige)]]=1,Tb_Activiteiten[[#Headers],[Bijdrage in natura (overige)]],""))</f>
        <v/>
      </c>
      <c r="AW1096" t="str">
        <f>IF(ISNUMBER(FIND("overige",Methode_Keuze)),"",IF(Tb_Activiteiten[[#This Row],[Bijdrage in natura (vrijwilligers)]]=1,Tb_Activiteiten[[#Headers],[Bijdrage in natura (vrijwilligers)]],""))</f>
        <v/>
      </c>
      <c r="AX1096" t="str">
        <f>IF(ISNUMBER(FIND("overige",Methode_Keuze)),"",IF(Tb_Activiteiten[[#This Row],[Afschrijvingskosten]]=1,Tb_Activiteiten[[#Headers],[Afschrijvingskosten]],""))</f>
        <v/>
      </c>
      <c r="AY1096" t="str">
        <f>IF(ISNUMBER(FIND("overige",Methode_Keuze)),"",IF(Tb_Activiteiten[[#This Row],[Vergoeding]]=1,Tb_Activiteiten[[#Headers],[Vergoeding]],""))</f>
        <v/>
      </c>
      <c r="AZ1096" t="str">
        <f>IF(ISNUMBER(FIND("arbeid",Methode_Keuze)),"",IF(Tb_Activiteiten[[#This Row],[Arbeidskosten - vast tarief (excl eigen arbeid)]]=1,Tb_Activiteiten[[#Headers],[Arbeidskosten - vast tarief (excl eigen arbeid)]],""))</f>
        <v/>
      </c>
      <c r="BA1096" t="str">
        <f>IF(ISNUMBER(FIND("overige",Methode_Keuze)),"",IF(Tb_Activiteiten[[#This Row],[Overige kosten]]=1,Tb_Activiteiten[[#Headers],[Overige kosten]],""))</f>
        <v/>
      </c>
    </row>
    <row r="1097" spans="1:53" x14ac:dyDescent="0.25">
      <c r="A1097" s="139"/>
      <c r="B1097" s="139"/>
      <c r="C1097" s="139"/>
      <c r="D1097" s="139"/>
      <c r="E1097" s="139"/>
      <c r="F1097" s="139"/>
      <c r="G1097" s="139"/>
      <c r="O1097" s="56"/>
      <c r="Q1097" t="str">
        <f>IFERROR(IF(VLOOKUP(Tb_Activiteiten[[#This Row],[Openstelling]],Tb_Openstelling[],2,0)=1,1,""),"")</f>
        <v/>
      </c>
      <c r="AK1097" t="str">
        <f>IF(ISNUMBER(FIND("arbeid",Methode_Keuze)),"",IF(ISNUMBER(FIND("arbeid",Methode_Keuze)),"",IF(Tb_Activiteiten[[#This Row],[Loonkosten]]=1,Tb_Activiteiten[[#Headers],[Loonkosten]],"")))</f>
        <v/>
      </c>
      <c r="AL1097" t="str">
        <f>IF(ISNUMBER(FIND("arbeid",Methode_Keuze)),"",IF(ISNUMBER(FIND("arbeid",Methode_Keuze)),"",IF(Tb_Activiteiten[[#This Row],[Eigen arbeid]]=1,Tb_Activiteiten[[#Headers],[Eigen arbeid]],"")))</f>
        <v/>
      </c>
      <c r="AM1097" t="str">
        <f>IF(ISNUMBER(FIND("arbeid",Methode_Keuze)),"",IF(ISNUMBER(FIND("arbeid",Methode_Keuze)),"",IF(Tb_Activiteiten[[#This Row],[Projectmedewerker]]=1,Tb_Activiteiten[[#Headers],[Projectmedewerker]],"")))</f>
        <v/>
      </c>
      <c r="AN1097" t="str">
        <f>IF(ISNUMBER(FIND("arbeid",Methode_Keuze)),"",IF(ISNUMBER(FIND("arbeid",Methode_Keuze)),"",IF(Tb_Activiteiten[[#This Row],[Landbouwer]]=1,Tb_Activiteiten[[#Headers],[Landbouwer]],"")))</f>
        <v/>
      </c>
      <c r="AO1097" t="str">
        <f>IF(ISNUMBER(FIND("arbeid",Methode_Keuze)),"",IF(ISNUMBER(FIND("arbeid",Methode_Keuze)),"",IF(Tb_Activiteiten[[#This Row],[Adviseur]]=1,Tb_Activiteiten[[#Headers],[Adviseur]],"")))</f>
        <v/>
      </c>
      <c r="AP1097" t="str">
        <f>IF(ISNUMBER(FIND("arbeid",Methode_Keuze)),"",IF(ISNUMBER(FIND("arbeid",Methode_Keuze)),"",IF(Tb_Activiteiten[[#This Row],[Projectleider/Expert]]=1,Tb_Activiteiten[[#Headers],[Projectleider/Expert]],"")))</f>
        <v/>
      </c>
      <c r="AQ1097" t="str">
        <f>IF(ISNUMBER(FIND("arbeid",Methode_Keuze)),"",IF(ISNUMBER(FIND("arbeid",Methode_Keuze)),"",IF(Tb_Activiteiten[[#This Row],[Arbeidskosten]]=1,Tb_Activiteiten[[#Headers],[Arbeidskosten]],"")))</f>
        <v/>
      </c>
      <c r="AR1097" t="str">
        <f>IF(ISNUMBER(FIND("arbeid",Methode_Keuze)),"",IF(ISNUMBER(FIND("arbeid",Methode_Keuze)),"",IF(Tb_Activiteiten[[#This Row],[Arbeidskosten op basis van IKS]]=1,Tb_Activiteiten[[#Headers],[Arbeidskosten op basis van IKS]],"")))</f>
        <v/>
      </c>
      <c r="AS1097" t="str">
        <f>IF(ISNUMBER(FIND("overige",Methode_Keuze)),"",IF(Tb_Activiteiten[[#This Row],[Kosten derden exclusief btw]]=1,Tb_Activiteiten[[#Headers],[Kosten derden exclusief btw]],""))</f>
        <v/>
      </c>
      <c r="AT1097" t="str">
        <f>IF(ISNUMBER(FIND("overige",Methode_Keuze)),"",IF(Tb_Activiteiten[[#This Row],[Niet verrekenbare btw]]=1,Tb_Activiteiten[[#Headers],[Niet verrekenbare btw]],""))</f>
        <v/>
      </c>
      <c r="AU1097" t="str">
        <f>IF(ISNUMBER(FIND("overige",Methode_Keuze)),"",IF(Tb_Activiteiten[[#This Row],[Grondkosten]]=1,Tb_Activiteiten[[#Headers],[Grondkosten]],""))</f>
        <v/>
      </c>
      <c r="AV1097" t="str">
        <f>IF(ISNUMBER(FIND("overige",Methode_Keuze)),"",IF(Tb_Activiteiten[[#This Row],[Bijdrage in natura (overige)]]=1,Tb_Activiteiten[[#Headers],[Bijdrage in natura (overige)]],""))</f>
        <v/>
      </c>
      <c r="AW1097" t="str">
        <f>IF(ISNUMBER(FIND("overige",Methode_Keuze)),"",IF(Tb_Activiteiten[[#This Row],[Bijdrage in natura (vrijwilligers)]]=1,Tb_Activiteiten[[#Headers],[Bijdrage in natura (vrijwilligers)]],""))</f>
        <v/>
      </c>
      <c r="AX1097" t="str">
        <f>IF(ISNUMBER(FIND("overige",Methode_Keuze)),"",IF(Tb_Activiteiten[[#This Row],[Afschrijvingskosten]]=1,Tb_Activiteiten[[#Headers],[Afschrijvingskosten]],""))</f>
        <v/>
      </c>
      <c r="AY1097" t="str">
        <f>IF(ISNUMBER(FIND("overige",Methode_Keuze)),"",IF(Tb_Activiteiten[[#This Row],[Vergoeding]]=1,Tb_Activiteiten[[#Headers],[Vergoeding]],""))</f>
        <v/>
      </c>
      <c r="AZ1097" t="str">
        <f>IF(ISNUMBER(FIND("arbeid",Methode_Keuze)),"",IF(Tb_Activiteiten[[#This Row],[Arbeidskosten - vast tarief (excl eigen arbeid)]]=1,Tb_Activiteiten[[#Headers],[Arbeidskosten - vast tarief (excl eigen arbeid)]],""))</f>
        <v/>
      </c>
      <c r="BA1097" t="str">
        <f>IF(ISNUMBER(FIND("overige",Methode_Keuze)),"",IF(Tb_Activiteiten[[#This Row],[Overige kosten]]=1,Tb_Activiteiten[[#Headers],[Overige kosten]],""))</f>
        <v/>
      </c>
    </row>
    <row r="1098" spans="1:53" x14ac:dyDescent="0.25">
      <c r="A1098" s="139"/>
      <c r="B1098" s="139"/>
      <c r="C1098" s="139"/>
      <c r="D1098" s="139"/>
      <c r="E1098" s="139"/>
      <c r="F1098" s="139"/>
      <c r="G1098" s="139"/>
      <c r="O1098" s="56"/>
      <c r="Q1098" t="str">
        <f>IFERROR(IF(VLOOKUP(Tb_Activiteiten[[#This Row],[Openstelling]],Tb_Openstelling[],2,0)=1,1,""),"")</f>
        <v/>
      </c>
      <c r="AK1098" t="str">
        <f>IF(ISNUMBER(FIND("arbeid",Methode_Keuze)),"",IF(ISNUMBER(FIND("arbeid",Methode_Keuze)),"",IF(Tb_Activiteiten[[#This Row],[Loonkosten]]=1,Tb_Activiteiten[[#Headers],[Loonkosten]],"")))</f>
        <v/>
      </c>
      <c r="AL1098" t="str">
        <f>IF(ISNUMBER(FIND("arbeid",Methode_Keuze)),"",IF(ISNUMBER(FIND("arbeid",Methode_Keuze)),"",IF(Tb_Activiteiten[[#This Row],[Eigen arbeid]]=1,Tb_Activiteiten[[#Headers],[Eigen arbeid]],"")))</f>
        <v/>
      </c>
      <c r="AM1098" t="str">
        <f>IF(ISNUMBER(FIND("arbeid",Methode_Keuze)),"",IF(ISNUMBER(FIND("arbeid",Methode_Keuze)),"",IF(Tb_Activiteiten[[#This Row],[Projectmedewerker]]=1,Tb_Activiteiten[[#Headers],[Projectmedewerker]],"")))</f>
        <v/>
      </c>
      <c r="AN1098" t="str">
        <f>IF(ISNUMBER(FIND("arbeid",Methode_Keuze)),"",IF(ISNUMBER(FIND("arbeid",Methode_Keuze)),"",IF(Tb_Activiteiten[[#This Row],[Landbouwer]]=1,Tb_Activiteiten[[#Headers],[Landbouwer]],"")))</f>
        <v/>
      </c>
      <c r="AO1098" t="str">
        <f>IF(ISNUMBER(FIND("arbeid",Methode_Keuze)),"",IF(ISNUMBER(FIND("arbeid",Methode_Keuze)),"",IF(Tb_Activiteiten[[#This Row],[Adviseur]]=1,Tb_Activiteiten[[#Headers],[Adviseur]],"")))</f>
        <v/>
      </c>
      <c r="AP1098" t="str">
        <f>IF(ISNUMBER(FIND("arbeid",Methode_Keuze)),"",IF(ISNUMBER(FIND("arbeid",Methode_Keuze)),"",IF(Tb_Activiteiten[[#This Row],[Projectleider/Expert]]=1,Tb_Activiteiten[[#Headers],[Projectleider/Expert]],"")))</f>
        <v/>
      </c>
      <c r="AQ1098" t="str">
        <f>IF(ISNUMBER(FIND("arbeid",Methode_Keuze)),"",IF(ISNUMBER(FIND("arbeid",Methode_Keuze)),"",IF(Tb_Activiteiten[[#This Row],[Arbeidskosten]]=1,Tb_Activiteiten[[#Headers],[Arbeidskosten]],"")))</f>
        <v/>
      </c>
      <c r="AR1098" t="str">
        <f>IF(ISNUMBER(FIND("arbeid",Methode_Keuze)),"",IF(ISNUMBER(FIND("arbeid",Methode_Keuze)),"",IF(Tb_Activiteiten[[#This Row],[Arbeidskosten op basis van IKS]]=1,Tb_Activiteiten[[#Headers],[Arbeidskosten op basis van IKS]],"")))</f>
        <v/>
      </c>
      <c r="AS1098" t="str">
        <f>IF(ISNUMBER(FIND("overige",Methode_Keuze)),"",IF(Tb_Activiteiten[[#This Row],[Kosten derden exclusief btw]]=1,Tb_Activiteiten[[#Headers],[Kosten derden exclusief btw]],""))</f>
        <v/>
      </c>
      <c r="AT1098" t="str">
        <f>IF(ISNUMBER(FIND("overige",Methode_Keuze)),"",IF(Tb_Activiteiten[[#This Row],[Niet verrekenbare btw]]=1,Tb_Activiteiten[[#Headers],[Niet verrekenbare btw]],""))</f>
        <v/>
      </c>
      <c r="AU1098" t="str">
        <f>IF(ISNUMBER(FIND("overige",Methode_Keuze)),"",IF(Tb_Activiteiten[[#This Row],[Grondkosten]]=1,Tb_Activiteiten[[#Headers],[Grondkosten]],""))</f>
        <v/>
      </c>
      <c r="AV1098" t="str">
        <f>IF(ISNUMBER(FIND("overige",Methode_Keuze)),"",IF(Tb_Activiteiten[[#This Row],[Bijdrage in natura (overige)]]=1,Tb_Activiteiten[[#Headers],[Bijdrage in natura (overige)]],""))</f>
        <v/>
      </c>
      <c r="AW1098" t="str">
        <f>IF(ISNUMBER(FIND("overige",Methode_Keuze)),"",IF(Tb_Activiteiten[[#This Row],[Bijdrage in natura (vrijwilligers)]]=1,Tb_Activiteiten[[#Headers],[Bijdrage in natura (vrijwilligers)]],""))</f>
        <v/>
      </c>
      <c r="AX1098" t="str">
        <f>IF(ISNUMBER(FIND("overige",Methode_Keuze)),"",IF(Tb_Activiteiten[[#This Row],[Afschrijvingskosten]]=1,Tb_Activiteiten[[#Headers],[Afschrijvingskosten]],""))</f>
        <v/>
      </c>
      <c r="AY1098" t="str">
        <f>IF(ISNUMBER(FIND("overige",Methode_Keuze)),"",IF(Tb_Activiteiten[[#This Row],[Vergoeding]]=1,Tb_Activiteiten[[#Headers],[Vergoeding]],""))</f>
        <v/>
      </c>
      <c r="AZ1098" t="str">
        <f>IF(ISNUMBER(FIND("arbeid",Methode_Keuze)),"",IF(Tb_Activiteiten[[#This Row],[Arbeidskosten - vast tarief (excl eigen arbeid)]]=1,Tb_Activiteiten[[#Headers],[Arbeidskosten - vast tarief (excl eigen arbeid)]],""))</f>
        <v/>
      </c>
      <c r="BA1098" t="str">
        <f>IF(ISNUMBER(FIND("overige",Methode_Keuze)),"",IF(Tb_Activiteiten[[#This Row],[Overige kosten]]=1,Tb_Activiteiten[[#Headers],[Overige kosten]],""))</f>
        <v/>
      </c>
    </row>
    <row r="1099" spans="1:53" x14ac:dyDescent="0.25">
      <c r="A1099" s="139"/>
      <c r="B1099" s="139"/>
      <c r="C1099" s="139"/>
      <c r="D1099" s="139"/>
      <c r="E1099" s="139"/>
      <c r="F1099" s="139"/>
      <c r="G1099" s="139"/>
      <c r="O1099" s="56"/>
      <c r="Q1099" t="str">
        <f>IFERROR(IF(VLOOKUP(Tb_Activiteiten[[#This Row],[Openstelling]],Tb_Openstelling[],2,0)=1,1,""),"")</f>
        <v/>
      </c>
      <c r="AK1099" t="str">
        <f>IF(ISNUMBER(FIND("arbeid",Methode_Keuze)),"",IF(ISNUMBER(FIND("arbeid",Methode_Keuze)),"",IF(Tb_Activiteiten[[#This Row],[Loonkosten]]=1,Tb_Activiteiten[[#Headers],[Loonkosten]],"")))</f>
        <v/>
      </c>
      <c r="AL1099" t="str">
        <f>IF(ISNUMBER(FIND("arbeid",Methode_Keuze)),"",IF(ISNUMBER(FIND("arbeid",Methode_Keuze)),"",IF(Tb_Activiteiten[[#This Row],[Eigen arbeid]]=1,Tb_Activiteiten[[#Headers],[Eigen arbeid]],"")))</f>
        <v/>
      </c>
      <c r="AM1099" t="str">
        <f>IF(ISNUMBER(FIND("arbeid",Methode_Keuze)),"",IF(ISNUMBER(FIND("arbeid",Methode_Keuze)),"",IF(Tb_Activiteiten[[#This Row],[Projectmedewerker]]=1,Tb_Activiteiten[[#Headers],[Projectmedewerker]],"")))</f>
        <v/>
      </c>
      <c r="AN1099" t="str">
        <f>IF(ISNUMBER(FIND("arbeid",Methode_Keuze)),"",IF(ISNUMBER(FIND("arbeid",Methode_Keuze)),"",IF(Tb_Activiteiten[[#This Row],[Landbouwer]]=1,Tb_Activiteiten[[#Headers],[Landbouwer]],"")))</f>
        <v/>
      </c>
      <c r="AO1099" t="str">
        <f>IF(ISNUMBER(FIND("arbeid",Methode_Keuze)),"",IF(ISNUMBER(FIND("arbeid",Methode_Keuze)),"",IF(Tb_Activiteiten[[#This Row],[Adviseur]]=1,Tb_Activiteiten[[#Headers],[Adviseur]],"")))</f>
        <v/>
      </c>
      <c r="AP1099" t="str">
        <f>IF(ISNUMBER(FIND("arbeid",Methode_Keuze)),"",IF(ISNUMBER(FIND("arbeid",Methode_Keuze)),"",IF(Tb_Activiteiten[[#This Row],[Projectleider/Expert]]=1,Tb_Activiteiten[[#Headers],[Projectleider/Expert]],"")))</f>
        <v/>
      </c>
      <c r="AQ1099" t="str">
        <f>IF(ISNUMBER(FIND("arbeid",Methode_Keuze)),"",IF(ISNUMBER(FIND("arbeid",Methode_Keuze)),"",IF(Tb_Activiteiten[[#This Row],[Arbeidskosten]]=1,Tb_Activiteiten[[#Headers],[Arbeidskosten]],"")))</f>
        <v/>
      </c>
      <c r="AR1099" t="str">
        <f>IF(ISNUMBER(FIND("arbeid",Methode_Keuze)),"",IF(ISNUMBER(FIND("arbeid",Methode_Keuze)),"",IF(Tb_Activiteiten[[#This Row],[Arbeidskosten op basis van IKS]]=1,Tb_Activiteiten[[#Headers],[Arbeidskosten op basis van IKS]],"")))</f>
        <v/>
      </c>
      <c r="AS1099" t="str">
        <f>IF(ISNUMBER(FIND("overige",Methode_Keuze)),"",IF(Tb_Activiteiten[[#This Row],[Kosten derden exclusief btw]]=1,Tb_Activiteiten[[#Headers],[Kosten derden exclusief btw]],""))</f>
        <v/>
      </c>
      <c r="AT1099" t="str">
        <f>IF(ISNUMBER(FIND("overige",Methode_Keuze)),"",IF(Tb_Activiteiten[[#This Row],[Niet verrekenbare btw]]=1,Tb_Activiteiten[[#Headers],[Niet verrekenbare btw]],""))</f>
        <v/>
      </c>
      <c r="AU1099" t="str">
        <f>IF(ISNUMBER(FIND("overige",Methode_Keuze)),"",IF(Tb_Activiteiten[[#This Row],[Grondkosten]]=1,Tb_Activiteiten[[#Headers],[Grondkosten]],""))</f>
        <v/>
      </c>
      <c r="AV1099" t="str">
        <f>IF(ISNUMBER(FIND("overige",Methode_Keuze)),"",IF(Tb_Activiteiten[[#This Row],[Bijdrage in natura (overige)]]=1,Tb_Activiteiten[[#Headers],[Bijdrage in natura (overige)]],""))</f>
        <v/>
      </c>
      <c r="AW1099" t="str">
        <f>IF(ISNUMBER(FIND("overige",Methode_Keuze)),"",IF(Tb_Activiteiten[[#This Row],[Bijdrage in natura (vrijwilligers)]]=1,Tb_Activiteiten[[#Headers],[Bijdrage in natura (vrijwilligers)]],""))</f>
        <v/>
      </c>
      <c r="AX1099" t="str">
        <f>IF(ISNUMBER(FIND("overige",Methode_Keuze)),"",IF(Tb_Activiteiten[[#This Row],[Afschrijvingskosten]]=1,Tb_Activiteiten[[#Headers],[Afschrijvingskosten]],""))</f>
        <v/>
      </c>
      <c r="AY1099" t="str">
        <f>IF(ISNUMBER(FIND("overige",Methode_Keuze)),"",IF(Tb_Activiteiten[[#This Row],[Vergoeding]]=1,Tb_Activiteiten[[#Headers],[Vergoeding]],""))</f>
        <v/>
      </c>
      <c r="AZ1099" t="str">
        <f>IF(ISNUMBER(FIND("arbeid",Methode_Keuze)),"",IF(Tb_Activiteiten[[#This Row],[Arbeidskosten - vast tarief (excl eigen arbeid)]]=1,Tb_Activiteiten[[#Headers],[Arbeidskosten - vast tarief (excl eigen arbeid)]],""))</f>
        <v/>
      </c>
      <c r="BA1099" t="str">
        <f>IF(ISNUMBER(FIND("overige",Methode_Keuze)),"",IF(Tb_Activiteiten[[#This Row],[Overige kosten]]=1,Tb_Activiteiten[[#Headers],[Overige kosten]],""))</f>
        <v/>
      </c>
    </row>
    <row r="1100" spans="1:53" x14ac:dyDescent="0.25">
      <c r="A1100" s="139"/>
      <c r="B1100" s="139"/>
      <c r="C1100" s="139"/>
      <c r="D1100" s="139"/>
      <c r="E1100" s="139"/>
      <c r="F1100" s="139"/>
      <c r="G1100" s="139"/>
      <c r="O1100" s="56"/>
      <c r="Q1100" t="str">
        <f>IFERROR(IF(VLOOKUP(Tb_Activiteiten[[#This Row],[Openstelling]],Tb_Openstelling[],2,0)=1,1,""),"")</f>
        <v/>
      </c>
      <c r="AK1100" t="str">
        <f>IF(ISNUMBER(FIND("arbeid",Methode_Keuze)),"",IF(ISNUMBER(FIND("arbeid",Methode_Keuze)),"",IF(Tb_Activiteiten[[#This Row],[Loonkosten]]=1,Tb_Activiteiten[[#Headers],[Loonkosten]],"")))</f>
        <v/>
      </c>
      <c r="AL1100" t="str">
        <f>IF(ISNUMBER(FIND("arbeid",Methode_Keuze)),"",IF(ISNUMBER(FIND("arbeid",Methode_Keuze)),"",IF(Tb_Activiteiten[[#This Row],[Eigen arbeid]]=1,Tb_Activiteiten[[#Headers],[Eigen arbeid]],"")))</f>
        <v/>
      </c>
      <c r="AM1100" t="str">
        <f>IF(ISNUMBER(FIND("arbeid",Methode_Keuze)),"",IF(ISNUMBER(FIND("arbeid",Methode_Keuze)),"",IF(Tb_Activiteiten[[#This Row],[Projectmedewerker]]=1,Tb_Activiteiten[[#Headers],[Projectmedewerker]],"")))</f>
        <v/>
      </c>
      <c r="AN1100" t="str">
        <f>IF(ISNUMBER(FIND("arbeid",Methode_Keuze)),"",IF(ISNUMBER(FIND("arbeid",Methode_Keuze)),"",IF(Tb_Activiteiten[[#This Row],[Landbouwer]]=1,Tb_Activiteiten[[#Headers],[Landbouwer]],"")))</f>
        <v/>
      </c>
      <c r="AO1100" t="str">
        <f>IF(ISNUMBER(FIND("arbeid",Methode_Keuze)),"",IF(ISNUMBER(FIND("arbeid",Methode_Keuze)),"",IF(Tb_Activiteiten[[#This Row],[Adviseur]]=1,Tb_Activiteiten[[#Headers],[Adviseur]],"")))</f>
        <v/>
      </c>
      <c r="AP1100" t="str">
        <f>IF(ISNUMBER(FIND("arbeid",Methode_Keuze)),"",IF(ISNUMBER(FIND("arbeid",Methode_Keuze)),"",IF(Tb_Activiteiten[[#This Row],[Projectleider/Expert]]=1,Tb_Activiteiten[[#Headers],[Projectleider/Expert]],"")))</f>
        <v/>
      </c>
      <c r="AQ1100" t="str">
        <f>IF(ISNUMBER(FIND("arbeid",Methode_Keuze)),"",IF(ISNUMBER(FIND("arbeid",Methode_Keuze)),"",IF(Tb_Activiteiten[[#This Row],[Arbeidskosten]]=1,Tb_Activiteiten[[#Headers],[Arbeidskosten]],"")))</f>
        <v/>
      </c>
      <c r="AR1100" t="str">
        <f>IF(ISNUMBER(FIND("arbeid",Methode_Keuze)),"",IF(ISNUMBER(FIND("arbeid",Methode_Keuze)),"",IF(Tb_Activiteiten[[#This Row],[Arbeidskosten op basis van IKS]]=1,Tb_Activiteiten[[#Headers],[Arbeidskosten op basis van IKS]],"")))</f>
        <v/>
      </c>
      <c r="AS1100" t="str">
        <f>IF(ISNUMBER(FIND("overige",Methode_Keuze)),"",IF(Tb_Activiteiten[[#This Row],[Kosten derden exclusief btw]]=1,Tb_Activiteiten[[#Headers],[Kosten derden exclusief btw]],""))</f>
        <v/>
      </c>
      <c r="AT1100" t="str">
        <f>IF(ISNUMBER(FIND("overige",Methode_Keuze)),"",IF(Tb_Activiteiten[[#This Row],[Niet verrekenbare btw]]=1,Tb_Activiteiten[[#Headers],[Niet verrekenbare btw]],""))</f>
        <v/>
      </c>
      <c r="AU1100" t="str">
        <f>IF(ISNUMBER(FIND("overige",Methode_Keuze)),"",IF(Tb_Activiteiten[[#This Row],[Grondkosten]]=1,Tb_Activiteiten[[#Headers],[Grondkosten]],""))</f>
        <v/>
      </c>
      <c r="AV1100" t="str">
        <f>IF(ISNUMBER(FIND("overige",Methode_Keuze)),"",IF(Tb_Activiteiten[[#This Row],[Bijdrage in natura (overige)]]=1,Tb_Activiteiten[[#Headers],[Bijdrage in natura (overige)]],""))</f>
        <v/>
      </c>
      <c r="AW1100" t="str">
        <f>IF(ISNUMBER(FIND("overige",Methode_Keuze)),"",IF(Tb_Activiteiten[[#This Row],[Bijdrage in natura (vrijwilligers)]]=1,Tb_Activiteiten[[#Headers],[Bijdrage in natura (vrijwilligers)]],""))</f>
        <v/>
      </c>
      <c r="AX1100" t="str">
        <f>IF(ISNUMBER(FIND("overige",Methode_Keuze)),"",IF(Tb_Activiteiten[[#This Row],[Afschrijvingskosten]]=1,Tb_Activiteiten[[#Headers],[Afschrijvingskosten]],""))</f>
        <v/>
      </c>
      <c r="AY1100" t="str">
        <f>IF(ISNUMBER(FIND("overige",Methode_Keuze)),"",IF(Tb_Activiteiten[[#This Row],[Vergoeding]]=1,Tb_Activiteiten[[#Headers],[Vergoeding]],""))</f>
        <v/>
      </c>
      <c r="AZ1100" t="str">
        <f>IF(ISNUMBER(FIND("arbeid",Methode_Keuze)),"",IF(Tb_Activiteiten[[#This Row],[Arbeidskosten - vast tarief (excl eigen arbeid)]]=1,Tb_Activiteiten[[#Headers],[Arbeidskosten - vast tarief (excl eigen arbeid)]],""))</f>
        <v/>
      </c>
      <c r="BA1100" t="str">
        <f>IF(ISNUMBER(FIND("overige",Methode_Keuze)),"",IF(Tb_Activiteiten[[#This Row],[Overige kosten]]=1,Tb_Activiteiten[[#Headers],[Overige kosten]],""))</f>
        <v/>
      </c>
    </row>
    <row r="1101" spans="1:53" x14ac:dyDescent="0.25">
      <c r="A1101" s="139"/>
      <c r="B1101" s="139"/>
      <c r="C1101" s="139"/>
      <c r="D1101" s="139"/>
      <c r="E1101" s="139"/>
      <c r="F1101" s="139"/>
      <c r="G1101" s="139"/>
      <c r="O1101" s="56"/>
      <c r="Q1101" t="str">
        <f>IFERROR(IF(VLOOKUP(Tb_Activiteiten[[#This Row],[Openstelling]],Tb_Openstelling[],2,0)=1,1,""),"")</f>
        <v/>
      </c>
      <c r="AK1101" t="str">
        <f>IF(ISNUMBER(FIND("arbeid",Methode_Keuze)),"",IF(ISNUMBER(FIND("arbeid",Methode_Keuze)),"",IF(Tb_Activiteiten[[#This Row],[Loonkosten]]=1,Tb_Activiteiten[[#Headers],[Loonkosten]],"")))</f>
        <v/>
      </c>
      <c r="AL1101" t="str">
        <f>IF(ISNUMBER(FIND("arbeid",Methode_Keuze)),"",IF(ISNUMBER(FIND("arbeid",Methode_Keuze)),"",IF(Tb_Activiteiten[[#This Row],[Eigen arbeid]]=1,Tb_Activiteiten[[#Headers],[Eigen arbeid]],"")))</f>
        <v/>
      </c>
      <c r="AM1101" t="str">
        <f>IF(ISNUMBER(FIND("arbeid",Methode_Keuze)),"",IF(ISNUMBER(FIND("arbeid",Methode_Keuze)),"",IF(Tb_Activiteiten[[#This Row],[Projectmedewerker]]=1,Tb_Activiteiten[[#Headers],[Projectmedewerker]],"")))</f>
        <v/>
      </c>
      <c r="AN1101" t="str">
        <f>IF(ISNUMBER(FIND("arbeid",Methode_Keuze)),"",IF(ISNUMBER(FIND("arbeid",Methode_Keuze)),"",IF(Tb_Activiteiten[[#This Row],[Landbouwer]]=1,Tb_Activiteiten[[#Headers],[Landbouwer]],"")))</f>
        <v/>
      </c>
      <c r="AO1101" t="str">
        <f>IF(ISNUMBER(FIND("arbeid",Methode_Keuze)),"",IF(ISNUMBER(FIND("arbeid",Methode_Keuze)),"",IF(Tb_Activiteiten[[#This Row],[Adviseur]]=1,Tb_Activiteiten[[#Headers],[Adviseur]],"")))</f>
        <v/>
      </c>
      <c r="AP1101" t="str">
        <f>IF(ISNUMBER(FIND("arbeid",Methode_Keuze)),"",IF(ISNUMBER(FIND("arbeid",Methode_Keuze)),"",IF(Tb_Activiteiten[[#This Row],[Projectleider/Expert]]=1,Tb_Activiteiten[[#Headers],[Projectleider/Expert]],"")))</f>
        <v/>
      </c>
      <c r="AQ1101" t="str">
        <f>IF(ISNUMBER(FIND("arbeid",Methode_Keuze)),"",IF(ISNUMBER(FIND("arbeid",Methode_Keuze)),"",IF(Tb_Activiteiten[[#This Row],[Arbeidskosten]]=1,Tb_Activiteiten[[#Headers],[Arbeidskosten]],"")))</f>
        <v/>
      </c>
      <c r="AR1101" t="str">
        <f>IF(ISNUMBER(FIND("arbeid",Methode_Keuze)),"",IF(ISNUMBER(FIND("arbeid",Methode_Keuze)),"",IF(Tb_Activiteiten[[#This Row],[Arbeidskosten op basis van IKS]]=1,Tb_Activiteiten[[#Headers],[Arbeidskosten op basis van IKS]],"")))</f>
        <v/>
      </c>
      <c r="AS1101" t="str">
        <f>IF(ISNUMBER(FIND("overige",Methode_Keuze)),"",IF(Tb_Activiteiten[[#This Row],[Kosten derden exclusief btw]]=1,Tb_Activiteiten[[#Headers],[Kosten derden exclusief btw]],""))</f>
        <v/>
      </c>
      <c r="AT1101" t="str">
        <f>IF(ISNUMBER(FIND("overige",Methode_Keuze)),"",IF(Tb_Activiteiten[[#This Row],[Niet verrekenbare btw]]=1,Tb_Activiteiten[[#Headers],[Niet verrekenbare btw]],""))</f>
        <v/>
      </c>
      <c r="AU1101" t="str">
        <f>IF(ISNUMBER(FIND("overige",Methode_Keuze)),"",IF(Tb_Activiteiten[[#This Row],[Grondkosten]]=1,Tb_Activiteiten[[#Headers],[Grondkosten]],""))</f>
        <v/>
      </c>
      <c r="AV1101" t="str">
        <f>IF(ISNUMBER(FIND("overige",Methode_Keuze)),"",IF(Tb_Activiteiten[[#This Row],[Bijdrage in natura (overige)]]=1,Tb_Activiteiten[[#Headers],[Bijdrage in natura (overige)]],""))</f>
        <v/>
      </c>
      <c r="AW1101" t="str">
        <f>IF(ISNUMBER(FIND("overige",Methode_Keuze)),"",IF(Tb_Activiteiten[[#This Row],[Bijdrage in natura (vrijwilligers)]]=1,Tb_Activiteiten[[#Headers],[Bijdrage in natura (vrijwilligers)]],""))</f>
        <v/>
      </c>
      <c r="AX1101" t="str">
        <f>IF(ISNUMBER(FIND("overige",Methode_Keuze)),"",IF(Tb_Activiteiten[[#This Row],[Afschrijvingskosten]]=1,Tb_Activiteiten[[#Headers],[Afschrijvingskosten]],""))</f>
        <v/>
      </c>
      <c r="AY1101" t="str">
        <f>IF(ISNUMBER(FIND("overige",Methode_Keuze)),"",IF(Tb_Activiteiten[[#This Row],[Vergoeding]]=1,Tb_Activiteiten[[#Headers],[Vergoeding]],""))</f>
        <v/>
      </c>
      <c r="AZ1101" t="str">
        <f>IF(ISNUMBER(FIND("arbeid",Methode_Keuze)),"",IF(Tb_Activiteiten[[#This Row],[Arbeidskosten - vast tarief (excl eigen arbeid)]]=1,Tb_Activiteiten[[#Headers],[Arbeidskosten - vast tarief (excl eigen arbeid)]],""))</f>
        <v/>
      </c>
      <c r="BA1101" t="str">
        <f>IF(ISNUMBER(FIND("overige",Methode_Keuze)),"",IF(Tb_Activiteiten[[#This Row],[Overige kosten]]=1,Tb_Activiteiten[[#Headers],[Overige kosten]],""))</f>
        <v/>
      </c>
    </row>
    <row r="1102" spans="1:53" x14ac:dyDescent="0.25">
      <c r="A1102" s="139"/>
      <c r="B1102" s="139"/>
      <c r="C1102" s="139"/>
      <c r="D1102" s="139"/>
      <c r="E1102" s="139"/>
      <c r="F1102" s="139"/>
      <c r="G1102" s="139"/>
      <c r="O1102" s="56"/>
      <c r="Q1102" t="str">
        <f>IFERROR(IF(VLOOKUP(Tb_Activiteiten[[#This Row],[Openstelling]],Tb_Openstelling[],2,0)=1,1,""),"")</f>
        <v/>
      </c>
      <c r="AK1102" t="str">
        <f>IF(ISNUMBER(FIND("arbeid",Methode_Keuze)),"",IF(ISNUMBER(FIND("arbeid",Methode_Keuze)),"",IF(Tb_Activiteiten[[#This Row],[Loonkosten]]=1,Tb_Activiteiten[[#Headers],[Loonkosten]],"")))</f>
        <v/>
      </c>
      <c r="AL1102" t="str">
        <f>IF(ISNUMBER(FIND("arbeid",Methode_Keuze)),"",IF(ISNUMBER(FIND("arbeid",Methode_Keuze)),"",IF(Tb_Activiteiten[[#This Row],[Eigen arbeid]]=1,Tb_Activiteiten[[#Headers],[Eigen arbeid]],"")))</f>
        <v/>
      </c>
      <c r="AM1102" t="str">
        <f>IF(ISNUMBER(FIND("arbeid",Methode_Keuze)),"",IF(ISNUMBER(FIND("arbeid",Methode_Keuze)),"",IF(Tb_Activiteiten[[#This Row],[Projectmedewerker]]=1,Tb_Activiteiten[[#Headers],[Projectmedewerker]],"")))</f>
        <v/>
      </c>
      <c r="AN1102" t="str">
        <f>IF(ISNUMBER(FIND("arbeid",Methode_Keuze)),"",IF(ISNUMBER(FIND("arbeid",Methode_Keuze)),"",IF(Tb_Activiteiten[[#This Row],[Landbouwer]]=1,Tb_Activiteiten[[#Headers],[Landbouwer]],"")))</f>
        <v/>
      </c>
      <c r="AO1102" t="str">
        <f>IF(ISNUMBER(FIND("arbeid",Methode_Keuze)),"",IF(ISNUMBER(FIND("arbeid",Methode_Keuze)),"",IF(Tb_Activiteiten[[#This Row],[Adviseur]]=1,Tb_Activiteiten[[#Headers],[Adviseur]],"")))</f>
        <v/>
      </c>
      <c r="AP1102" t="str">
        <f>IF(ISNUMBER(FIND("arbeid",Methode_Keuze)),"",IF(ISNUMBER(FIND("arbeid",Methode_Keuze)),"",IF(Tb_Activiteiten[[#This Row],[Projectleider/Expert]]=1,Tb_Activiteiten[[#Headers],[Projectleider/Expert]],"")))</f>
        <v/>
      </c>
      <c r="AQ1102" t="str">
        <f>IF(ISNUMBER(FIND("arbeid",Methode_Keuze)),"",IF(ISNUMBER(FIND("arbeid",Methode_Keuze)),"",IF(Tb_Activiteiten[[#This Row],[Arbeidskosten]]=1,Tb_Activiteiten[[#Headers],[Arbeidskosten]],"")))</f>
        <v/>
      </c>
      <c r="AR1102" t="str">
        <f>IF(ISNUMBER(FIND("arbeid",Methode_Keuze)),"",IF(ISNUMBER(FIND("arbeid",Methode_Keuze)),"",IF(Tb_Activiteiten[[#This Row],[Arbeidskosten op basis van IKS]]=1,Tb_Activiteiten[[#Headers],[Arbeidskosten op basis van IKS]],"")))</f>
        <v/>
      </c>
      <c r="AS1102" t="str">
        <f>IF(ISNUMBER(FIND("overige",Methode_Keuze)),"",IF(Tb_Activiteiten[[#This Row],[Kosten derden exclusief btw]]=1,Tb_Activiteiten[[#Headers],[Kosten derden exclusief btw]],""))</f>
        <v/>
      </c>
      <c r="AT1102" t="str">
        <f>IF(ISNUMBER(FIND("overige",Methode_Keuze)),"",IF(Tb_Activiteiten[[#This Row],[Niet verrekenbare btw]]=1,Tb_Activiteiten[[#Headers],[Niet verrekenbare btw]],""))</f>
        <v/>
      </c>
      <c r="AU1102" t="str">
        <f>IF(ISNUMBER(FIND("overige",Methode_Keuze)),"",IF(Tb_Activiteiten[[#This Row],[Grondkosten]]=1,Tb_Activiteiten[[#Headers],[Grondkosten]],""))</f>
        <v/>
      </c>
      <c r="AV1102" t="str">
        <f>IF(ISNUMBER(FIND("overige",Methode_Keuze)),"",IF(Tb_Activiteiten[[#This Row],[Bijdrage in natura (overige)]]=1,Tb_Activiteiten[[#Headers],[Bijdrage in natura (overige)]],""))</f>
        <v/>
      </c>
      <c r="AW1102" t="str">
        <f>IF(ISNUMBER(FIND("overige",Methode_Keuze)),"",IF(Tb_Activiteiten[[#This Row],[Bijdrage in natura (vrijwilligers)]]=1,Tb_Activiteiten[[#Headers],[Bijdrage in natura (vrijwilligers)]],""))</f>
        <v/>
      </c>
      <c r="AX1102" t="str">
        <f>IF(ISNUMBER(FIND("overige",Methode_Keuze)),"",IF(Tb_Activiteiten[[#This Row],[Afschrijvingskosten]]=1,Tb_Activiteiten[[#Headers],[Afschrijvingskosten]],""))</f>
        <v/>
      </c>
      <c r="AY1102" t="str">
        <f>IF(ISNUMBER(FIND("overige",Methode_Keuze)),"",IF(Tb_Activiteiten[[#This Row],[Vergoeding]]=1,Tb_Activiteiten[[#Headers],[Vergoeding]],""))</f>
        <v/>
      </c>
      <c r="AZ1102" t="str">
        <f>IF(ISNUMBER(FIND("arbeid",Methode_Keuze)),"",IF(Tb_Activiteiten[[#This Row],[Arbeidskosten - vast tarief (excl eigen arbeid)]]=1,Tb_Activiteiten[[#Headers],[Arbeidskosten - vast tarief (excl eigen arbeid)]],""))</f>
        <v/>
      </c>
      <c r="BA1102" t="str">
        <f>IF(ISNUMBER(FIND("overige",Methode_Keuze)),"",IF(Tb_Activiteiten[[#This Row],[Overige kosten]]=1,Tb_Activiteiten[[#Headers],[Overige kosten]],""))</f>
        <v/>
      </c>
    </row>
    <row r="1103" spans="1:53" x14ac:dyDescent="0.25">
      <c r="A1103" s="139"/>
      <c r="B1103" s="139"/>
      <c r="C1103" s="139"/>
      <c r="D1103" s="139"/>
      <c r="E1103" s="139"/>
      <c r="F1103" s="139"/>
      <c r="G1103" s="139"/>
      <c r="O1103" s="56"/>
      <c r="Q1103" t="str">
        <f>IFERROR(IF(VLOOKUP(Tb_Activiteiten[[#This Row],[Openstelling]],Tb_Openstelling[],2,0)=1,1,""),"")</f>
        <v/>
      </c>
      <c r="AK1103" t="str">
        <f>IF(ISNUMBER(FIND("arbeid",Methode_Keuze)),"",IF(ISNUMBER(FIND("arbeid",Methode_Keuze)),"",IF(Tb_Activiteiten[[#This Row],[Loonkosten]]=1,Tb_Activiteiten[[#Headers],[Loonkosten]],"")))</f>
        <v/>
      </c>
      <c r="AL1103" t="str">
        <f>IF(ISNUMBER(FIND("arbeid",Methode_Keuze)),"",IF(ISNUMBER(FIND("arbeid",Methode_Keuze)),"",IF(Tb_Activiteiten[[#This Row],[Eigen arbeid]]=1,Tb_Activiteiten[[#Headers],[Eigen arbeid]],"")))</f>
        <v/>
      </c>
      <c r="AM1103" t="str">
        <f>IF(ISNUMBER(FIND("arbeid",Methode_Keuze)),"",IF(ISNUMBER(FIND("arbeid",Methode_Keuze)),"",IF(Tb_Activiteiten[[#This Row],[Projectmedewerker]]=1,Tb_Activiteiten[[#Headers],[Projectmedewerker]],"")))</f>
        <v/>
      </c>
      <c r="AN1103" t="str">
        <f>IF(ISNUMBER(FIND("arbeid",Methode_Keuze)),"",IF(ISNUMBER(FIND("arbeid",Methode_Keuze)),"",IF(Tb_Activiteiten[[#This Row],[Landbouwer]]=1,Tb_Activiteiten[[#Headers],[Landbouwer]],"")))</f>
        <v/>
      </c>
      <c r="AO1103" t="str">
        <f>IF(ISNUMBER(FIND("arbeid",Methode_Keuze)),"",IF(ISNUMBER(FIND("arbeid",Methode_Keuze)),"",IF(Tb_Activiteiten[[#This Row],[Adviseur]]=1,Tb_Activiteiten[[#Headers],[Adviseur]],"")))</f>
        <v/>
      </c>
      <c r="AP1103" t="str">
        <f>IF(ISNUMBER(FIND("arbeid",Methode_Keuze)),"",IF(ISNUMBER(FIND("arbeid",Methode_Keuze)),"",IF(Tb_Activiteiten[[#This Row],[Projectleider/Expert]]=1,Tb_Activiteiten[[#Headers],[Projectleider/Expert]],"")))</f>
        <v/>
      </c>
      <c r="AQ1103" t="str">
        <f>IF(ISNUMBER(FIND("arbeid",Methode_Keuze)),"",IF(ISNUMBER(FIND("arbeid",Methode_Keuze)),"",IF(Tb_Activiteiten[[#This Row],[Arbeidskosten]]=1,Tb_Activiteiten[[#Headers],[Arbeidskosten]],"")))</f>
        <v/>
      </c>
      <c r="AR1103" t="str">
        <f>IF(ISNUMBER(FIND("arbeid",Methode_Keuze)),"",IF(ISNUMBER(FIND("arbeid",Methode_Keuze)),"",IF(Tb_Activiteiten[[#This Row],[Arbeidskosten op basis van IKS]]=1,Tb_Activiteiten[[#Headers],[Arbeidskosten op basis van IKS]],"")))</f>
        <v/>
      </c>
      <c r="AS1103" t="str">
        <f>IF(ISNUMBER(FIND("overige",Methode_Keuze)),"",IF(Tb_Activiteiten[[#This Row],[Kosten derden exclusief btw]]=1,Tb_Activiteiten[[#Headers],[Kosten derden exclusief btw]],""))</f>
        <v/>
      </c>
      <c r="AT1103" t="str">
        <f>IF(ISNUMBER(FIND("overige",Methode_Keuze)),"",IF(Tb_Activiteiten[[#This Row],[Niet verrekenbare btw]]=1,Tb_Activiteiten[[#Headers],[Niet verrekenbare btw]],""))</f>
        <v/>
      </c>
      <c r="AU1103" t="str">
        <f>IF(ISNUMBER(FIND("overige",Methode_Keuze)),"",IF(Tb_Activiteiten[[#This Row],[Grondkosten]]=1,Tb_Activiteiten[[#Headers],[Grondkosten]],""))</f>
        <v/>
      </c>
      <c r="AV1103" t="str">
        <f>IF(ISNUMBER(FIND("overige",Methode_Keuze)),"",IF(Tb_Activiteiten[[#This Row],[Bijdrage in natura (overige)]]=1,Tb_Activiteiten[[#Headers],[Bijdrage in natura (overige)]],""))</f>
        <v/>
      </c>
      <c r="AW1103" t="str">
        <f>IF(ISNUMBER(FIND("overige",Methode_Keuze)),"",IF(Tb_Activiteiten[[#This Row],[Bijdrage in natura (vrijwilligers)]]=1,Tb_Activiteiten[[#Headers],[Bijdrage in natura (vrijwilligers)]],""))</f>
        <v/>
      </c>
      <c r="AX1103" t="str">
        <f>IF(ISNUMBER(FIND("overige",Methode_Keuze)),"",IF(Tb_Activiteiten[[#This Row],[Afschrijvingskosten]]=1,Tb_Activiteiten[[#Headers],[Afschrijvingskosten]],""))</f>
        <v/>
      </c>
      <c r="AY1103" t="str">
        <f>IF(ISNUMBER(FIND("overige",Methode_Keuze)),"",IF(Tb_Activiteiten[[#This Row],[Vergoeding]]=1,Tb_Activiteiten[[#Headers],[Vergoeding]],""))</f>
        <v/>
      </c>
      <c r="AZ1103" t="str">
        <f>IF(ISNUMBER(FIND("arbeid",Methode_Keuze)),"",IF(Tb_Activiteiten[[#This Row],[Arbeidskosten - vast tarief (excl eigen arbeid)]]=1,Tb_Activiteiten[[#Headers],[Arbeidskosten - vast tarief (excl eigen arbeid)]],""))</f>
        <v/>
      </c>
      <c r="BA1103" t="str">
        <f>IF(ISNUMBER(FIND("overige",Methode_Keuze)),"",IF(Tb_Activiteiten[[#This Row],[Overige kosten]]=1,Tb_Activiteiten[[#Headers],[Overige kosten]],""))</f>
        <v/>
      </c>
    </row>
    <row r="1104" spans="1:53" x14ac:dyDescent="0.25">
      <c r="A1104" s="139"/>
      <c r="B1104" s="139"/>
      <c r="C1104" s="139"/>
      <c r="D1104" s="139"/>
      <c r="E1104" s="139"/>
      <c r="F1104" s="139"/>
      <c r="G1104" s="139"/>
      <c r="O1104" s="56"/>
      <c r="Q1104" t="str">
        <f>IFERROR(IF(VLOOKUP(Tb_Activiteiten[[#This Row],[Openstelling]],Tb_Openstelling[],2,0)=1,1,""),"")</f>
        <v/>
      </c>
      <c r="AK1104" t="str">
        <f>IF(ISNUMBER(FIND("arbeid",Methode_Keuze)),"",IF(ISNUMBER(FIND("arbeid",Methode_Keuze)),"",IF(Tb_Activiteiten[[#This Row],[Loonkosten]]=1,Tb_Activiteiten[[#Headers],[Loonkosten]],"")))</f>
        <v/>
      </c>
      <c r="AL1104" t="str">
        <f>IF(ISNUMBER(FIND("arbeid",Methode_Keuze)),"",IF(ISNUMBER(FIND("arbeid",Methode_Keuze)),"",IF(Tb_Activiteiten[[#This Row],[Eigen arbeid]]=1,Tb_Activiteiten[[#Headers],[Eigen arbeid]],"")))</f>
        <v/>
      </c>
      <c r="AM1104" t="str">
        <f>IF(ISNUMBER(FIND("arbeid",Methode_Keuze)),"",IF(ISNUMBER(FIND("arbeid",Methode_Keuze)),"",IF(Tb_Activiteiten[[#This Row],[Projectmedewerker]]=1,Tb_Activiteiten[[#Headers],[Projectmedewerker]],"")))</f>
        <v/>
      </c>
      <c r="AN1104" t="str">
        <f>IF(ISNUMBER(FIND("arbeid",Methode_Keuze)),"",IF(ISNUMBER(FIND("arbeid",Methode_Keuze)),"",IF(Tb_Activiteiten[[#This Row],[Landbouwer]]=1,Tb_Activiteiten[[#Headers],[Landbouwer]],"")))</f>
        <v/>
      </c>
      <c r="AO1104" t="str">
        <f>IF(ISNUMBER(FIND("arbeid",Methode_Keuze)),"",IF(ISNUMBER(FIND("arbeid",Methode_Keuze)),"",IF(Tb_Activiteiten[[#This Row],[Adviseur]]=1,Tb_Activiteiten[[#Headers],[Adviseur]],"")))</f>
        <v/>
      </c>
      <c r="AP1104" t="str">
        <f>IF(ISNUMBER(FIND("arbeid",Methode_Keuze)),"",IF(ISNUMBER(FIND("arbeid",Methode_Keuze)),"",IF(Tb_Activiteiten[[#This Row],[Projectleider/Expert]]=1,Tb_Activiteiten[[#Headers],[Projectleider/Expert]],"")))</f>
        <v/>
      </c>
      <c r="AQ1104" t="str">
        <f>IF(ISNUMBER(FIND("arbeid",Methode_Keuze)),"",IF(ISNUMBER(FIND("arbeid",Methode_Keuze)),"",IF(Tb_Activiteiten[[#This Row],[Arbeidskosten]]=1,Tb_Activiteiten[[#Headers],[Arbeidskosten]],"")))</f>
        <v/>
      </c>
      <c r="AR1104" t="str">
        <f>IF(ISNUMBER(FIND("arbeid",Methode_Keuze)),"",IF(ISNUMBER(FIND("arbeid",Methode_Keuze)),"",IF(Tb_Activiteiten[[#This Row],[Arbeidskosten op basis van IKS]]=1,Tb_Activiteiten[[#Headers],[Arbeidskosten op basis van IKS]],"")))</f>
        <v/>
      </c>
      <c r="AS1104" t="str">
        <f>IF(ISNUMBER(FIND("overige",Methode_Keuze)),"",IF(Tb_Activiteiten[[#This Row],[Kosten derden exclusief btw]]=1,Tb_Activiteiten[[#Headers],[Kosten derden exclusief btw]],""))</f>
        <v/>
      </c>
      <c r="AT1104" t="str">
        <f>IF(ISNUMBER(FIND("overige",Methode_Keuze)),"",IF(Tb_Activiteiten[[#This Row],[Niet verrekenbare btw]]=1,Tb_Activiteiten[[#Headers],[Niet verrekenbare btw]],""))</f>
        <v/>
      </c>
      <c r="AU1104" t="str">
        <f>IF(ISNUMBER(FIND("overige",Methode_Keuze)),"",IF(Tb_Activiteiten[[#This Row],[Grondkosten]]=1,Tb_Activiteiten[[#Headers],[Grondkosten]],""))</f>
        <v/>
      </c>
      <c r="AV1104" t="str">
        <f>IF(ISNUMBER(FIND("overige",Methode_Keuze)),"",IF(Tb_Activiteiten[[#This Row],[Bijdrage in natura (overige)]]=1,Tb_Activiteiten[[#Headers],[Bijdrage in natura (overige)]],""))</f>
        <v/>
      </c>
      <c r="AW1104" t="str">
        <f>IF(ISNUMBER(FIND("overige",Methode_Keuze)),"",IF(Tb_Activiteiten[[#This Row],[Bijdrage in natura (vrijwilligers)]]=1,Tb_Activiteiten[[#Headers],[Bijdrage in natura (vrijwilligers)]],""))</f>
        <v/>
      </c>
      <c r="AX1104" t="str">
        <f>IF(ISNUMBER(FIND("overige",Methode_Keuze)),"",IF(Tb_Activiteiten[[#This Row],[Afschrijvingskosten]]=1,Tb_Activiteiten[[#Headers],[Afschrijvingskosten]],""))</f>
        <v/>
      </c>
      <c r="AY1104" t="str">
        <f>IF(ISNUMBER(FIND("overige",Methode_Keuze)),"",IF(Tb_Activiteiten[[#This Row],[Vergoeding]]=1,Tb_Activiteiten[[#Headers],[Vergoeding]],""))</f>
        <v/>
      </c>
      <c r="AZ1104" t="str">
        <f>IF(ISNUMBER(FIND("arbeid",Methode_Keuze)),"",IF(Tb_Activiteiten[[#This Row],[Arbeidskosten - vast tarief (excl eigen arbeid)]]=1,Tb_Activiteiten[[#Headers],[Arbeidskosten - vast tarief (excl eigen arbeid)]],""))</f>
        <v/>
      </c>
      <c r="BA1104" t="str">
        <f>IF(ISNUMBER(FIND("overige",Methode_Keuze)),"",IF(Tb_Activiteiten[[#This Row],[Overige kosten]]=1,Tb_Activiteiten[[#Headers],[Overige kosten]],""))</f>
        <v/>
      </c>
    </row>
    <row r="1105" spans="1:53" x14ac:dyDescent="0.25">
      <c r="A1105" s="139"/>
      <c r="B1105" s="139"/>
      <c r="C1105" s="139"/>
      <c r="D1105" s="139"/>
      <c r="E1105" s="139"/>
      <c r="F1105" s="139"/>
      <c r="G1105" s="139"/>
      <c r="O1105" s="56"/>
      <c r="Q1105" t="str">
        <f>IFERROR(IF(VLOOKUP(Tb_Activiteiten[[#This Row],[Openstelling]],Tb_Openstelling[],2,0)=1,1,""),"")</f>
        <v/>
      </c>
      <c r="AK1105" t="str">
        <f>IF(ISNUMBER(FIND("arbeid",Methode_Keuze)),"",IF(ISNUMBER(FIND("arbeid",Methode_Keuze)),"",IF(Tb_Activiteiten[[#This Row],[Loonkosten]]=1,Tb_Activiteiten[[#Headers],[Loonkosten]],"")))</f>
        <v/>
      </c>
      <c r="AL1105" t="str">
        <f>IF(ISNUMBER(FIND("arbeid",Methode_Keuze)),"",IF(ISNUMBER(FIND("arbeid",Methode_Keuze)),"",IF(Tb_Activiteiten[[#This Row],[Eigen arbeid]]=1,Tb_Activiteiten[[#Headers],[Eigen arbeid]],"")))</f>
        <v/>
      </c>
      <c r="AM1105" t="str">
        <f>IF(ISNUMBER(FIND("arbeid",Methode_Keuze)),"",IF(ISNUMBER(FIND("arbeid",Methode_Keuze)),"",IF(Tb_Activiteiten[[#This Row],[Projectmedewerker]]=1,Tb_Activiteiten[[#Headers],[Projectmedewerker]],"")))</f>
        <v/>
      </c>
      <c r="AN1105" t="str">
        <f>IF(ISNUMBER(FIND("arbeid",Methode_Keuze)),"",IF(ISNUMBER(FIND("arbeid",Methode_Keuze)),"",IF(Tb_Activiteiten[[#This Row],[Landbouwer]]=1,Tb_Activiteiten[[#Headers],[Landbouwer]],"")))</f>
        <v/>
      </c>
      <c r="AO1105" t="str">
        <f>IF(ISNUMBER(FIND("arbeid",Methode_Keuze)),"",IF(ISNUMBER(FIND("arbeid",Methode_Keuze)),"",IF(Tb_Activiteiten[[#This Row],[Adviseur]]=1,Tb_Activiteiten[[#Headers],[Adviseur]],"")))</f>
        <v/>
      </c>
      <c r="AP1105" t="str">
        <f>IF(ISNUMBER(FIND("arbeid",Methode_Keuze)),"",IF(ISNUMBER(FIND("arbeid",Methode_Keuze)),"",IF(Tb_Activiteiten[[#This Row],[Projectleider/Expert]]=1,Tb_Activiteiten[[#Headers],[Projectleider/Expert]],"")))</f>
        <v/>
      </c>
      <c r="AQ1105" t="str">
        <f>IF(ISNUMBER(FIND("arbeid",Methode_Keuze)),"",IF(ISNUMBER(FIND("arbeid",Methode_Keuze)),"",IF(Tb_Activiteiten[[#This Row],[Arbeidskosten]]=1,Tb_Activiteiten[[#Headers],[Arbeidskosten]],"")))</f>
        <v/>
      </c>
      <c r="AR1105" t="str">
        <f>IF(ISNUMBER(FIND("arbeid",Methode_Keuze)),"",IF(ISNUMBER(FIND("arbeid",Methode_Keuze)),"",IF(Tb_Activiteiten[[#This Row],[Arbeidskosten op basis van IKS]]=1,Tb_Activiteiten[[#Headers],[Arbeidskosten op basis van IKS]],"")))</f>
        <v/>
      </c>
      <c r="AS1105" t="str">
        <f>IF(ISNUMBER(FIND("overige",Methode_Keuze)),"",IF(Tb_Activiteiten[[#This Row],[Kosten derden exclusief btw]]=1,Tb_Activiteiten[[#Headers],[Kosten derden exclusief btw]],""))</f>
        <v/>
      </c>
      <c r="AT1105" t="str">
        <f>IF(ISNUMBER(FIND("overige",Methode_Keuze)),"",IF(Tb_Activiteiten[[#This Row],[Niet verrekenbare btw]]=1,Tb_Activiteiten[[#Headers],[Niet verrekenbare btw]],""))</f>
        <v/>
      </c>
      <c r="AU1105" t="str">
        <f>IF(ISNUMBER(FIND("overige",Methode_Keuze)),"",IF(Tb_Activiteiten[[#This Row],[Grondkosten]]=1,Tb_Activiteiten[[#Headers],[Grondkosten]],""))</f>
        <v/>
      </c>
      <c r="AV1105" t="str">
        <f>IF(ISNUMBER(FIND("overige",Methode_Keuze)),"",IF(Tb_Activiteiten[[#This Row],[Bijdrage in natura (overige)]]=1,Tb_Activiteiten[[#Headers],[Bijdrage in natura (overige)]],""))</f>
        <v/>
      </c>
      <c r="AW1105" t="str">
        <f>IF(ISNUMBER(FIND("overige",Methode_Keuze)),"",IF(Tb_Activiteiten[[#This Row],[Bijdrage in natura (vrijwilligers)]]=1,Tb_Activiteiten[[#Headers],[Bijdrage in natura (vrijwilligers)]],""))</f>
        <v/>
      </c>
      <c r="AX1105" t="str">
        <f>IF(ISNUMBER(FIND("overige",Methode_Keuze)),"",IF(Tb_Activiteiten[[#This Row],[Afschrijvingskosten]]=1,Tb_Activiteiten[[#Headers],[Afschrijvingskosten]],""))</f>
        <v/>
      </c>
      <c r="AY1105" t="str">
        <f>IF(ISNUMBER(FIND("overige",Methode_Keuze)),"",IF(Tb_Activiteiten[[#This Row],[Vergoeding]]=1,Tb_Activiteiten[[#Headers],[Vergoeding]],""))</f>
        <v/>
      </c>
      <c r="AZ1105" t="str">
        <f>IF(ISNUMBER(FIND("arbeid",Methode_Keuze)),"",IF(Tb_Activiteiten[[#This Row],[Arbeidskosten - vast tarief (excl eigen arbeid)]]=1,Tb_Activiteiten[[#Headers],[Arbeidskosten - vast tarief (excl eigen arbeid)]],""))</f>
        <v/>
      </c>
      <c r="BA1105" t="str">
        <f>IF(ISNUMBER(FIND("overige",Methode_Keuze)),"",IF(Tb_Activiteiten[[#This Row],[Overige kosten]]=1,Tb_Activiteiten[[#Headers],[Overige kosten]],""))</f>
        <v/>
      </c>
    </row>
    <row r="1106" spans="1:53" x14ac:dyDescent="0.25">
      <c r="A1106" s="139"/>
      <c r="B1106" s="139"/>
      <c r="C1106" s="139"/>
      <c r="D1106" s="139"/>
      <c r="E1106" s="139"/>
      <c r="F1106" s="139"/>
      <c r="G1106" s="139"/>
      <c r="O1106" s="56"/>
      <c r="Q1106" t="str">
        <f>IFERROR(IF(VLOOKUP(Tb_Activiteiten[[#This Row],[Openstelling]],Tb_Openstelling[],2,0)=1,1,""),"")</f>
        <v/>
      </c>
      <c r="AK1106" t="str">
        <f>IF(ISNUMBER(FIND("arbeid",Methode_Keuze)),"",IF(ISNUMBER(FIND("arbeid",Methode_Keuze)),"",IF(Tb_Activiteiten[[#This Row],[Loonkosten]]=1,Tb_Activiteiten[[#Headers],[Loonkosten]],"")))</f>
        <v/>
      </c>
      <c r="AL1106" t="str">
        <f>IF(ISNUMBER(FIND("arbeid",Methode_Keuze)),"",IF(ISNUMBER(FIND("arbeid",Methode_Keuze)),"",IF(Tb_Activiteiten[[#This Row],[Eigen arbeid]]=1,Tb_Activiteiten[[#Headers],[Eigen arbeid]],"")))</f>
        <v/>
      </c>
      <c r="AM1106" t="str">
        <f>IF(ISNUMBER(FIND("arbeid",Methode_Keuze)),"",IF(ISNUMBER(FIND("arbeid",Methode_Keuze)),"",IF(Tb_Activiteiten[[#This Row],[Projectmedewerker]]=1,Tb_Activiteiten[[#Headers],[Projectmedewerker]],"")))</f>
        <v/>
      </c>
      <c r="AN1106" t="str">
        <f>IF(ISNUMBER(FIND("arbeid",Methode_Keuze)),"",IF(ISNUMBER(FIND("arbeid",Methode_Keuze)),"",IF(Tb_Activiteiten[[#This Row],[Landbouwer]]=1,Tb_Activiteiten[[#Headers],[Landbouwer]],"")))</f>
        <v/>
      </c>
      <c r="AO1106" t="str">
        <f>IF(ISNUMBER(FIND("arbeid",Methode_Keuze)),"",IF(ISNUMBER(FIND("arbeid",Methode_Keuze)),"",IF(Tb_Activiteiten[[#This Row],[Adviseur]]=1,Tb_Activiteiten[[#Headers],[Adviseur]],"")))</f>
        <v/>
      </c>
      <c r="AP1106" t="str">
        <f>IF(ISNUMBER(FIND("arbeid",Methode_Keuze)),"",IF(ISNUMBER(FIND("arbeid",Methode_Keuze)),"",IF(Tb_Activiteiten[[#This Row],[Projectleider/Expert]]=1,Tb_Activiteiten[[#Headers],[Projectleider/Expert]],"")))</f>
        <v/>
      </c>
      <c r="AQ1106" t="str">
        <f>IF(ISNUMBER(FIND("arbeid",Methode_Keuze)),"",IF(ISNUMBER(FIND("arbeid",Methode_Keuze)),"",IF(Tb_Activiteiten[[#This Row],[Arbeidskosten]]=1,Tb_Activiteiten[[#Headers],[Arbeidskosten]],"")))</f>
        <v/>
      </c>
      <c r="AR1106" t="str">
        <f>IF(ISNUMBER(FIND("arbeid",Methode_Keuze)),"",IF(ISNUMBER(FIND("arbeid",Methode_Keuze)),"",IF(Tb_Activiteiten[[#This Row],[Arbeidskosten op basis van IKS]]=1,Tb_Activiteiten[[#Headers],[Arbeidskosten op basis van IKS]],"")))</f>
        <v/>
      </c>
      <c r="AS1106" t="str">
        <f>IF(ISNUMBER(FIND("overige",Methode_Keuze)),"",IF(Tb_Activiteiten[[#This Row],[Kosten derden exclusief btw]]=1,Tb_Activiteiten[[#Headers],[Kosten derden exclusief btw]],""))</f>
        <v/>
      </c>
      <c r="AT1106" t="str">
        <f>IF(ISNUMBER(FIND("overige",Methode_Keuze)),"",IF(Tb_Activiteiten[[#This Row],[Niet verrekenbare btw]]=1,Tb_Activiteiten[[#Headers],[Niet verrekenbare btw]],""))</f>
        <v/>
      </c>
      <c r="AU1106" t="str">
        <f>IF(ISNUMBER(FIND("overige",Methode_Keuze)),"",IF(Tb_Activiteiten[[#This Row],[Grondkosten]]=1,Tb_Activiteiten[[#Headers],[Grondkosten]],""))</f>
        <v/>
      </c>
      <c r="AV1106" t="str">
        <f>IF(ISNUMBER(FIND("overige",Methode_Keuze)),"",IF(Tb_Activiteiten[[#This Row],[Bijdrage in natura (overige)]]=1,Tb_Activiteiten[[#Headers],[Bijdrage in natura (overige)]],""))</f>
        <v/>
      </c>
      <c r="AW1106" t="str">
        <f>IF(ISNUMBER(FIND("overige",Methode_Keuze)),"",IF(Tb_Activiteiten[[#This Row],[Bijdrage in natura (vrijwilligers)]]=1,Tb_Activiteiten[[#Headers],[Bijdrage in natura (vrijwilligers)]],""))</f>
        <v/>
      </c>
      <c r="AX1106" t="str">
        <f>IF(ISNUMBER(FIND("overige",Methode_Keuze)),"",IF(Tb_Activiteiten[[#This Row],[Afschrijvingskosten]]=1,Tb_Activiteiten[[#Headers],[Afschrijvingskosten]],""))</f>
        <v/>
      </c>
      <c r="AY1106" t="str">
        <f>IF(ISNUMBER(FIND("overige",Methode_Keuze)),"",IF(Tb_Activiteiten[[#This Row],[Vergoeding]]=1,Tb_Activiteiten[[#Headers],[Vergoeding]],""))</f>
        <v/>
      </c>
      <c r="AZ1106" t="str">
        <f>IF(ISNUMBER(FIND("arbeid",Methode_Keuze)),"",IF(Tb_Activiteiten[[#This Row],[Arbeidskosten - vast tarief (excl eigen arbeid)]]=1,Tb_Activiteiten[[#Headers],[Arbeidskosten - vast tarief (excl eigen arbeid)]],""))</f>
        <v/>
      </c>
      <c r="BA1106" t="str">
        <f>IF(ISNUMBER(FIND("overige",Methode_Keuze)),"",IF(Tb_Activiteiten[[#This Row],[Overige kosten]]=1,Tb_Activiteiten[[#Headers],[Overige kosten]],""))</f>
        <v/>
      </c>
    </row>
    <row r="1107" spans="1:53" x14ac:dyDescent="0.25">
      <c r="A1107" s="139"/>
      <c r="B1107" s="139"/>
      <c r="C1107" s="139"/>
      <c r="D1107" s="139"/>
      <c r="E1107" s="139"/>
      <c r="F1107" s="139"/>
      <c r="G1107" s="139"/>
      <c r="O1107" s="56"/>
      <c r="Q1107" t="str">
        <f>IFERROR(IF(VLOOKUP(Tb_Activiteiten[[#This Row],[Openstelling]],Tb_Openstelling[],2,0)=1,1,""),"")</f>
        <v/>
      </c>
      <c r="AK1107" t="str">
        <f>IF(ISNUMBER(FIND("arbeid",Methode_Keuze)),"",IF(ISNUMBER(FIND("arbeid",Methode_Keuze)),"",IF(Tb_Activiteiten[[#This Row],[Loonkosten]]=1,Tb_Activiteiten[[#Headers],[Loonkosten]],"")))</f>
        <v/>
      </c>
      <c r="AL1107" t="str">
        <f>IF(ISNUMBER(FIND("arbeid",Methode_Keuze)),"",IF(ISNUMBER(FIND("arbeid",Methode_Keuze)),"",IF(Tb_Activiteiten[[#This Row],[Eigen arbeid]]=1,Tb_Activiteiten[[#Headers],[Eigen arbeid]],"")))</f>
        <v/>
      </c>
      <c r="AM1107" t="str">
        <f>IF(ISNUMBER(FIND("arbeid",Methode_Keuze)),"",IF(ISNUMBER(FIND("arbeid",Methode_Keuze)),"",IF(Tb_Activiteiten[[#This Row],[Projectmedewerker]]=1,Tb_Activiteiten[[#Headers],[Projectmedewerker]],"")))</f>
        <v/>
      </c>
      <c r="AN1107" t="str">
        <f>IF(ISNUMBER(FIND("arbeid",Methode_Keuze)),"",IF(ISNUMBER(FIND("arbeid",Methode_Keuze)),"",IF(Tb_Activiteiten[[#This Row],[Landbouwer]]=1,Tb_Activiteiten[[#Headers],[Landbouwer]],"")))</f>
        <v/>
      </c>
      <c r="AO1107" t="str">
        <f>IF(ISNUMBER(FIND("arbeid",Methode_Keuze)),"",IF(ISNUMBER(FIND("arbeid",Methode_Keuze)),"",IF(Tb_Activiteiten[[#This Row],[Adviseur]]=1,Tb_Activiteiten[[#Headers],[Adviseur]],"")))</f>
        <v/>
      </c>
      <c r="AP1107" t="str">
        <f>IF(ISNUMBER(FIND("arbeid",Methode_Keuze)),"",IF(ISNUMBER(FIND("arbeid",Methode_Keuze)),"",IF(Tb_Activiteiten[[#This Row],[Projectleider/Expert]]=1,Tb_Activiteiten[[#Headers],[Projectleider/Expert]],"")))</f>
        <v/>
      </c>
      <c r="AQ1107" t="str">
        <f>IF(ISNUMBER(FIND("arbeid",Methode_Keuze)),"",IF(ISNUMBER(FIND("arbeid",Methode_Keuze)),"",IF(Tb_Activiteiten[[#This Row],[Arbeidskosten]]=1,Tb_Activiteiten[[#Headers],[Arbeidskosten]],"")))</f>
        <v/>
      </c>
      <c r="AR1107" t="str">
        <f>IF(ISNUMBER(FIND("arbeid",Methode_Keuze)),"",IF(ISNUMBER(FIND("arbeid",Methode_Keuze)),"",IF(Tb_Activiteiten[[#This Row],[Arbeidskosten op basis van IKS]]=1,Tb_Activiteiten[[#Headers],[Arbeidskosten op basis van IKS]],"")))</f>
        <v/>
      </c>
      <c r="AS1107" t="str">
        <f>IF(ISNUMBER(FIND("overige",Methode_Keuze)),"",IF(Tb_Activiteiten[[#This Row],[Kosten derden exclusief btw]]=1,Tb_Activiteiten[[#Headers],[Kosten derden exclusief btw]],""))</f>
        <v/>
      </c>
      <c r="AT1107" t="str">
        <f>IF(ISNUMBER(FIND("overige",Methode_Keuze)),"",IF(Tb_Activiteiten[[#This Row],[Niet verrekenbare btw]]=1,Tb_Activiteiten[[#Headers],[Niet verrekenbare btw]],""))</f>
        <v/>
      </c>
      <c r="AU1107" t="str">
        <f>IF(ISNUMBER(FIND("overige",Methode_Keuze)),"",IF(Tb_Activiteiten[[#This Row],[Grondkosten]]=1,Tb_Activiteiten[[#Headers],[Grondkosten]],""))</f>
        <v/>
      </c>
      <c r="AV1107" t="str">
        <f>IF(ISNUMBER(FIND("overige",Methode_Keuze)),"",IF(Tb_Activiteiten[[#This Row],[Bijdrage in natura (overige)]]=1,Tb_Activiteiten[[#Headers],[Bijdrage in natura (overige)]],""))</f>
        <v/>
      </c>
      <c r="AW1107" t="str">
        <f>IF(ISNUMBER(FIND("overige",Methode_Keuze)),"",IF(Tb_Activiteiten[[#This Row],[Bijdrage in natura (vrijwilligers)]]=1,Tb_Activiteiten[[#Headers],[Bijdrage in natura (vrijwilligers)]],""))</f>
        <v/>
      </c>
      <c r="AX1107" t="str">
        <f>IF(ISNUMBER(FIND("overige",Methode_Keuze)),"",IF(Tb_Activiteiten[[#This Row],[Afschrijvingskosten]]=1,Tb_Activiteiten[[#Headers],[Afschrijvingskosten]],""))</f>
        <v/>
      </c>
      <c r="AY1107" t="str">
        <f>IF(ISNUMBER(FIND("overige",Methode_Keuze)),"",IF(Tb_Activiteiten[[#This Row],[Vergoeding]]=1,Tb_Activiteiten[[#Headers],[Vergoeding]],""))</f>
        <v/>
      </c>
      <c r="AZ1107" t="str">
        <f>IF(ISNUMBER(FIND("arbeid",Methode_Keuze)),"",IF(Tb_Activiteiten[[#This Row],[Arbeidskosten - vast tarief (excl eigen arbeid)]]=1,Tb_Activiteiten[[#Headers],[Arbeidskosten - vast tarief (excl eigen arbeid)]],""))</f>
        <v/>
      </c>
      <c r="BA1107" t="str">
        <f>IF(ISNUMBER(FIND("overige",Methode_Keuze)),"",IF(Tb_Activiteiten[[#This Row],[Overige kosten]]=1,Tb_Activiteiten[[#Headers],[Overige kosten]],""))</f>
        <v/>
      </c>
    </row>
    <row r="1108" spans="1:53" x14ac:dyDescent="0.25">
      <c r="A1108" s="139"/>
      <c r="B1108" s="139"/>
      <c r="C1108" s="139"/>
      <c r="D1108" s="139"/>
      <c r="E1108" s="139"/>
      <c r="F1108" s="139"/>
      <c r="G1108" s="139"/>
      <c r="O1108" s="56"/>
      <c r="Q1108" t="str">
        <f>IFERROR(IF(VLOOKUP(Tb_Activiteiten[[#This Row],[Openstelling]],Tb_Openstelling[],2,0)=1,1,""),"")</f>
        <v/>
      </c>
      <c r="AK1108" t="str">
        <f>IF(ISNUMBER(FIND("arbeid",Methode_Keuze)),"",IF(ISNUMBER(FIND("arbeid",Methode_Keuze)),"",IF(Tb_Activiteiten[[#This Row],[Loonkosten]]=1,Tb_Activiteiten[[#Headers],[Loonkosten]],"")))</f>
        <v/>
      </c>
      <c r="AL1108" t="str">
        <f>IF(ISNUMBER(FIND("arbeid",Methode_Keuze)),"",IF(ISNUMBER(FIND("arbeid",Methode_Keuze)),"",IF(Tb_Activiteiten[[#This Row],[Eigen arbeid]]=1,Tb_Activiteiten[[#Headers],[Eigen arbeid]],"")))</f>
        <v/>
      </c>
      <c r="AM1108" t="str">
        <f>IF(ISNUMBER(FIND("arbeid",Methode_Keuze)),"",IF(ISNUMBER(FIND("arbeid",Methode_Keuze)),"",IF(Tb_Activiteiten[[#This Row],[Projectmedewerker]]=1,Tb_Activiteiten[[#Headers],[Projectmedewerker]],"")))</f>
        <v/>
      </c>
      <c r="AN1108" t="str">
        <f>IF(ISNUMBER(FIND("arbeid",Methode_Keuze)),"",IF(ISNUMBER(FIND("arbeid",Methode_Keuze)),"",IF(Tb_Activiteiten[[#This Row],[Landbouwer]]=1,Tb_Activiteiten[[#Headers],[Landbouwer]],"")))</f>
        <v/>
      </c>
      <c r="AO1108" t="str">
        <f>IF(ISNUMBER(FIND("arbeid",Methode_Keuze)),"",IF(ISNUMBER(FIND("arbeid",Methode_Keuze)),"",IF(Tb_Activiteiten[[#This Row],[Adviseur]]=1,Tb_Activiteiten[[#Headers],[Adviseur]],"")))</f>
        <v/>
      </c>
      <c r="AP1108" t="str">
        <f>IF(ISNUMBER(FIND("arbeid",Methode_Keuze)),"",IF(ISNUMBER(FIND("arbeid",Methode_Keuze)),"",IF(Tb_Activiteiten[[#This Row],[Projectleider/Expert]]=1,Tb_Activiteiten[[#Headers],[Projectleider/Expert]],"")))</f>
        <v/>
      </c>
      <c r="AQ1108" t="str">
        <f>IF(ISNUMBER(FIND("arbeid",Methode_Keuze)),"",IF(ISNUMBER(FIND("arbeid",Methode_Keuze)),"",IF(Tb_Activiteiten[[#This Row],[Arbeidskosten]]=1,Tb_Activiteiten[[#Headers],[Arbeidskosten]],"")))</f>
        <v/>
      </c>
      <c r="AR1108" t="str">
        <f>IF(ISNUMBER(FIND("arbeid",Methode_Keuze)),"",IF(ISNUMBER(FIND("arbeid",Methode_Keuze)),"",IF(Tb_Activiteiten[[#This Row],[Arbeidskosten op basis van IKS]]=1,Tb_Activiteiten[[#Headers],[Arbeidskosten op basis van IKS]],"")))</f>
        <v/>
      </c>
      <c r="AS1108" t="str">
        <f>IF(ISNUMBER(FIND("overige",Methode_Keuze)),"",IF(Tb_Activiteiten[[#This Row],[Kosten derden exclusief btw]]=1,Tb_Activiteiten[[#Headers],[Kosten derden exclusief btw]],""))</f>
        <v/>
      </c>
      <c r="AT1108" t="str">
        <f>IF(ISNUMBER(FIND("overige",Methode_Keuze)),"",IF(Tb_Activiteiten[[#This Row],[Niet verrekenbare btw]]=1,Tb_Activiteiten[[#Headers],[Niet verrekenbare btw]],""))</f>
        <v/>
      </c>
      <c r="AU1108" t="str">
        <f>IF(ISNUMBER(FIND("overige",Methode_Keuze)),"",IF(Tb_Activiteiten[[#This Row],[Grondkosten]]=1,Tb_Activiteiten[[#Headers],[Grondkosten]],""))</f>
        <v/>
      </c>
      <c r="AV1108" t="str">
        <f>IF(ISNUMBER(FIND("overige",Methode_Keuze)),"",IF(Tb_Activiteiten[[#This Row],[Bijdrage in natura (overige)]]=1,Tb_Activiteiten[[#Headers],[Bijdrage in natura (overige)]],""))</f>
        <v/>
      </c>
      <c r="AW1108" t="str">
        <f>IF(ISNUMBER(FIND("overige",Methode_Keuze)),"",IF(Tb_Activiteiten[[#This Row],[Bijdrage in natura (vrijwilligers)]]=1,Tb_Activiteiten[[#Headers],[Bijdrage in natura (vrijwilligers)]],""))</f>
        <v/>
      </c>
      <c r="AX1108" t="str">
        <f>IF(ISNUMBER(FIND("overige",Methode_Keuze)),"",IF(Tb_Activiteiten[[#This Row],[Afschrijvingskosten]]=1,Tb_Activiteiten[[#Headers],[Afschrijvingskosten]],""))</f>
        <v/>
      </c>
      <c r="AY1108" t="str">
        <f>IF(ISNUMBER(FIND("overige",Methode_Keuze)),"",IF(Tb_Activiteiten[[#This Row],[Vergoeding]]=1,Tb_Activiteiten[[#Headers],[Vergoeding]],""))</f>
        <v/>
      </c>
      <c r="AZ1108" t="str">
        <f>IF(ISNUMBER(FIND("arbeid",Methode_Keuze)),"",IF(Tb_Activiteiten[[#This Row],[Arbeidskosten - vast tarief (excl eigen arbeid)]]=1,Tb_Activiteiten[[#Headers],[Arbeidskosten - vast tarief (excl eigen arbeid)]],""))</f>
        <v/>
      </c>
      <c r="BA1108" t="str">
        <f>IF(ISNUMBER(FIND("overige",Methode_Keuze)),"",IF(Tb_Activiteiten[[#This Row],[Overige kosten]]=1,Tb_Activiteiten[[#Headers],[Overige kosten]],""))</f>
        <v/>
      </c>
    </row>
    <row r="1109" spans="1:53" x14ac:dyDescent="0.25">
      <c r="A1109" s="139"/>
      <c r="B1109" s="139"/>
      <c r="C1109" s="139"/>
      <c r="D1109" s="139"/>
      <c r="E1109" s="139"/>
      <c r="F1109" s="139"/>
      <c r="G1109" s="139"/>
      <c r="O1109" s="56"/>
      <c r="Q1109" t="str">
        <f>IFERROR(IF(VLOOKUP(Tb_Activiteiten[[#This Row],[Openstelling]],Tb_Openstelling[],2,0)=1,1,""),"")</f>
        <v/>
      </c>
      <c r="AK1109" t="str">
        <f>IF(ISNUMBER(FIND("arbeid",Methode_Keuze)),"",IF(ISNUMBER(FIND("arbeid",Methode_Keuze)),"",IF(Tb_Activiteiten[[#This Row],[Loonkosten]]=1,Tb_Activiteiten[[#Headers],[Loonkosten]],"")))</f>
        <v/>
      </c>
      <c r="AL1109" t="str">
        <f>IF(ISNUMBER(FIND("arbeid",Methode_Keuze)),"",IF(ISNUMBER(FIND("arbeid",Methode_Keuze)),"",IF(Tb_Activiteiten[[#This Row],[Eigen arbeid]]=1,Tb_Activiteiten[[#Headers],[Eigen arbeid]],"")))</f>
        <v/>
      </c>
      <c r="AM1109" t="str">
        <f>IF(ISNUMBER(FIND("arbeid",Methode_Keuze)),"",IF(ISNUMBER(FIND("arbeid",Methode_Keuze)),"",IF(Tb_Activiteiten[[#This Row],[Projectmedewerker]]=1,Tb_Activiteiten[[#Headers],[Projectmedewerker]],"")))</f>
        <v/>
      </c>
      <c r="AN1109" t="str">
        <f>IF(ISNUMBER(FIND("arbeid",Methode_Keuze)),"",IF(ISNUMBER(FIND("arbeid",Methode_Keuze)),"",IF(Tb_Activiteiten[[#This Row],[Landbouwer]]=1,Tb_Activiteiten[[#Headers],[Landbouwer]],"")))</f>
        <v/>
      </c>
      <c r="AO1109" t="str">
        <f>IF(ISNUMBER(FIND("arbeid",Methode_Keuze)),"",IF(ISNUMBER(FIND("arbeid",Methode_Keuze)),"",IF(Tb_Activiteiten[[#This Row],[Adviseur]]=1,Tb_Activiteiten[[#Headers],[Adviseur]],"")))</f>
        <v/>
      </c>
      <c r="AP1109" t="str">
        <f>IF(ISNUMBER(FIND("arbeid",Methode_Keuze)),"",IF(ISNUMBER(FIND("arbeid",Methode_Keuze)),"",IF(Tb_Activiteiten[[#This Row],[Projectleider/Expert]]=1,Tb_Activiteiten[[#Headers],[Projectleider/Expert]],"")))</f>
        <v/>
      </c>
      <c r="AQ1109" t="str">
        <f>IF(ISNUMBER(FIND("arbeid",Methode_Keuze)),"",IF(ISNUMBER(FIND("arbeid",Methode_Keuze)),"",IF(Tb_Activiteiten[[#This Row],[Arbeidskosten]]=1,Tb_Activiteiten[[#Headers],[Arbeidskosten]],"")))</f>
        <v/>
      </c>
      <c r="AR1109" t="str">
        <f>IF(ISNUMBER(FIND("arbeid",Methode_Keuze)),"",IF(ISNUMBER(FIND("arbeid",Methode_Keuze)),"",IF(Tb_Activiteiten[[#This Row],[Arbeidskosten op basis van IKS]]=1,Tb_Activiteiten[[#Headers],[Arbeidskosten op basis van IKS]],"")))</f>
        <v/>
      </c>
      <c r="AS1109" t="str">
        <f>IF(ISNUMBER(FIND("overige",Methode_Keuze)),"",IF(Tb_Activiteiten[[#This Row],[Kosten derden exclusief btw]]=1,Tb_Activiteiten[[#Headers],[Kosten derden exclusief btw]],""))</f>
        <v/>
      </c>
      <c r="AT1109" t="str">
        <f>IF(ISNUMBER(FIND("overige",Methode_Keuze)),"",IF(Tb_Activiteiten[[#This Row],[Niet verrekenbare btw]]=1,Tb_Activiteiten[[#Headers],[Niet verrekenbare btw]],""))</f>
        <v/>
      </c>
      <c r="AU1109" t="str">
        <f>IF(ISNUMBER(FIND("overige",Methode_Keuze)),"",IF(Tb_Activiteiten[[#This Row],[Grondkosten]]=1,Tb_Activiteiten[[#Headers],[Grondkosten]],""))</f>
        <v/>
      </c>
      <c r="AV1109" t="str">
        <f>IF(ISNUMBER(FIND("overige",Methode_Keuze)),"",IF(Tb_Activiteiten[[#This Row],[Bijdrage in natura (overige)]]=1,Tb_Activiteiten[[#Headers],[Bijdrage in natura (overige)]],""))</f>
        <v/>
      </c>
      <c r="AW1109" t="str">
        <f>IF(ISNUMBER(FIND("overige",Methode_Keuze)),"",IF(Tb_Activiteiten[[#This Row],[Bijdrage in natura (vrijwilligers)]]=1,Tb_Activiteiten[[#Headers],[Bijdrage in natura (vrijwilligers)]],""))</f>
        <v/>
      </c>
      <c r="AX1109" t="str">
        <f>IF(ISNUMBER(FIND("overige",Methode_Keuze)),"",IF(Tb_Activiteiten[[#This Row],[Afschrijvingskosten]]=1,Tb_Activiteiten[[#Headers],[Afschrijvingskosten]],""))</f>
        <v/>
      </c>
      <c r="AY1109" t="str">
        <f>IF(ISNUMBER(FIND("overige",Methode_Keuze)),"",IF(Tb_Activiteiten[[#This Row],[Vergoeding]]=1,Tb_Activiteiten[[#Headers],[Vergoeding]],""))</f>
        <v/>
      </c>
      <c r="AZ1109" t="str">
        <f>IF(ISNUMBER(FIND("arbeid",Methode_Keuze)),"",IF(Tb_Activiteiten[[#This Row],[Arbeidskosten - vast tarief (excl eigen arbeid)]]=1,Tb_Activiteiten[[#Headers],[Arbeidskosten - vast tarief (excl eigen arbeid)]],""))</f>
        <v/>
      </c>
      <c r="BA1109" t="str">
        <f>IF(ISNUMBER(FIND("overige",Methode_Keuze)),"",IF(Tb_Activiteiten[[#This Row],[Overige kosten]]=1,Tb_Activiteiten[[#Headers],[Overige kosten]],""))</f>
        <v/>
      </c>
    </row>
    <row r="1110" spans="1:53" x14ac:dyDescent="0.25">
      <c r="A1110" s="139"/>
      <c r="B1110" s="139"/>
      <c r="C1110" s="139"/>
      <c r="D1110" s="139"/>
      <c r="E1110" s="139"/>
      <c r="F1110" s="139"/>
      <c r="G1110" s="139"/>
      <c r="O1110" s="56"/>
      <c r="Q1110" t="str">
        <f>IFERROR(IF(VLOOKUP(Tb_Activiteiten[[#This Row],[Openstelling]],Tb_Openstelling[],2,0)=1,1,""),"")</f>
        <v/>
      </c>
      <c r="AK1110" t="str">
        <f>IF(ISNUMBER(FIND("arbeid",Methode_Keuze)),"",IF(ISNUMBER(FIND("arbeid",Methode_Keuze)),"",IF(Tb_Activiteiten[[#This Row],[Loonkosten]]=1,Tb_Activiteiten[[#Headers],[Loonkosten]],"")))</f>
        <v/>
      </c>
      <c r="AL1110" t="str">
        <f>IF(ISNUMBER(FIND("arbeid",Methode_Keuze)),"",IF(ISNUMBER(FIND("arbeid",Methode_Keuze)),"",IF(Tb_Activiteiten[[#This Row],[Eigen arbeid]]=1,Tb_Activiteiten[[#Headers],[Eigen arbeid]],"")))</f>
        <v/>
      </c>
      <c r="AM1110" t="str">
        <f>IF(ISNUMBER(FIND("arbeid",Methode_Keuze)),"",IF(ISNUMBER(FIND("arbeid",Methode_Keuze)),"",IF(Tb_Activiteiten[[#This Row],[Projectmedewerker]]=1,Tb_Activiteiten[[#Headers],[Projectmedewerker]],"")))</f>
        <v/>
      </c>
      <c r="AN1110" t="str">
        <f>IF(ISNUMBER(FIND("arbeid",Methode_Keuze)),"",IF(ISNUMBER(FIND("arbeid",Methode_Keuze)),"",IF(Tb_Activiteiten[[#This Row],[Landbouwer]]=1,Tb_Activiteiten[[#Headers],[Landbouwer]],"")))</f>
        <v/>
      </c>
      <c r="AO1110" t="str">
        <f>IF(ISNUMBER(FIND("arbeid",Methode_Keuze)),"",IF(ISNUMBER(FIND("arbeid",Methode_Keuze)),"",IF(Tb_Activiteiten[[#This Row],[Adviseur]]=1,Tb_Activiteiten[[#Headers],[Adviseur]],"")))</f>
        <v/>
      </c>
      <c r="AP1110" t="str">
        <f>IF(ISNUMBER(FIND("arbeid",Methode_Keuze)),"",IF(ISNUMBER(FIND("arbeid",Methode_Keuze)),"",IF(Tb_Activiteiten[[#This Row],[Projectleider/Expert]]=1,Tb_Activiteiten[[#Headers],[Projectleider/Expert]],"")))</f>
        <v/>
      </c>
      <c r="AQ1110" t="str">
        <f>IF(ISNUMBER(FIND("arbeid",Methode_Keuze)),"",IF(ISNUMBER(FIND("arbeid",Methode_Keuze)),"",IF(Tb_Activiteiten[[#This Row],[Arbeidskosten]]=1,Tb_Activiteiten[[#Headers],[Arbeidskosten]],"")))</f>
        <v/>
      </c>
      <c r="AR1110" t="str">
        <f>IF(ISNUMBER(FIND("arbeid",Methode_Keuze)),"",IF(ISNUMBER(FIND("arbeid",Methode_Keuze)),"",IF(Tb_Activiteiten[[#This Row],[Arbeidskosten op basis van IKS]]=1,Tb_Activiteiten[[#Headers],[Arbeidskosten op basis van IKS]],"")))</f>
        <v/>
      </c>
      <c r="AS1110" t="str">
        <f>IF(ISNUMBER(FIND("overige",Methode_Keuze)),"",IF(Tb_Activiteiten[[#This Row],[Kosten derden exclusief btw]]=1,Tb_Activiteiten[[#Headers],[Kosten derden exclusief btw]],""))</f>
        <v/>
      </c>
      <c r="AT1110" t="str">
        <f>IF(ISNUMBER(FIND("overige",Methode_Keuze)),"",IF(Tb_Activiteiten[[#This Row],[Niet verrekenbare btw]]=1,Tb_Activiteiten[[#Headers],[Niet verrekenbare btw]],""))</f>
        <v/>
      </c>
      <c r="AU1110" t="str">
        <f>IF(ISNUMBER(FIND("overige",Methode_Keuze)),"",IF(Tb_Activiteiten[[#This Row],[Grondkosten]]=1,Tb_Activiteiten[[#Headers],[Grondkosten]],""))</f>
        <v/>
      </c>
      <c r="AV1110" t="str">
        <f>IF(ISNUMBER(FIND("overige",Methode_Keuze)),"",IF(Tb_Activiteiten[[#This Row],[Bijdrage in natura (overige)]]=1,Tb_Activiteiten[[#Headers],[Bijdrage in natura (overige)]],""))</f>
        <v/>
      </c>
      <c r="AW1110" t="str">
        <f>IF(ISNUMBER(FIND("overige",Methode_Keuze)),"",IF(Tb_Activiteiten[[#This Row],[Bijdrage in natura (vrijwilligers)]]=1,Tb_Activiteiten[[#Headers],[Bijdrage in natura (vrijwilligers)]],""))</f>
        <v/>
      </c>
      <c r="AX1110" t="str">
        <f>IF(ISNUMBER(FIND("overige",Methode_Keuze)),"",IF(Tb_Activiteiten[[#This Row],[Afschrijvingskosten]]=1,Tb_Activiteiten[[#Headers],[Afschrijvingskosten]],""))</f>
        <v/>
      </c>
      <c r="AY1110" t="str">
        <f>IF(ISNUMBER(FIND("overige",Methode_Keuze)),"",IF(Tb_Activiteiten[[#This Row],[Vergoeding]]=1,Tb_Activiteiten[[#Headers],[Vergoeding]],""))</f>
        <v/>
      </c>
      <c r="AZ1110" t="str">
        <f>IF(ISNUMBER(FIND("arbeid",Methode_Keuze)),"",IF(Tb_Activiteiten[[#This Row],[Arbeidskosten - vast tarief (excl eigen arbeid)]]=1,Tb_Activiteiten[[#Headers],[Arbeidskosten - vast tarief (excl eigen arbeid)]],""))</f>
        <v/>
      </c>
      <c r="BA1110" t="str">
        <f>IF(ISNUMBER(FIND("overige",Methode_Keuze)),"",IF(Tb_Activiteiten[[#This Row],[Overige kosten]]=1,Tb_Activiteiten[[#Headers],[Overige kosten]],""))</f>
        <v/>
      </c>
    </row>
    <row r="1111" spans="1:53" x14ac:dyDescent="0.25">
      <c r="A1111" s="139"/>
      <c r="B1111" s="139"/>
      <c r="C1111" s="139"/>
      <c r="D1111" s="139"/>
      <c r="E1111" s="139"/>
      <c r="F1111" s="139"/>
      <c r="G1111" s="139"/>
      <c r="O1111" s="56"/>
      <c r="Q1111" t="str">
        <f>IFERROR(IF(VLOOKUP(Tb_Activiteiten[[#This Row],[Openstelling]],Tb_Openstelling[],2,0)=1,1,""),"")</f>
        <v/>
      </c>
      <c r="AK1111" t="str">
        <f>IF(ISNUMBER(FIND("arbeid",Methode_Keuze)),"",IF(ISNUMBER(FIND("arbeid",Methode_Keuze)),"",IF(Tb_Activiteiten[[#This Row],[Loonkosten]]=1,Tb_Activiteiten[[#Headers],[Loonkosten]],"")))</f>
        <v/>
      </c>
      <c r="AL1111" t="str">
        <f>IF(ISNUMBER(FIND("arbeid",Methode_Keuze)),"",IF(ISNUMBER(FIND("arbeid",Methode_Keuze)),"",IF(Tb_Activiteiten[[#This Row],[Eigen arbeid]]=1,Tb_Activiteiten[[#Headers],[Eigen arbeid]],"")))</f>
        <v/>
      </c>
      <c r="AM1111" t="str">
        <f>IF(ISNUMBER(FIND("arbeid",Methode_Keuze)),"",IF(ISNUMBER(FIND("arbeid",Methode_Keuze)),"",IF(Tb_Activiteiten[[#This Row],[Projectmedewerker]]=1,Tb_Activiteiten[[#Headers],[Projectmedewerker]],"")))</f>
        <v/>
      </c>
      <c r="AN1111" t="str">
        <f>IF(ISNUMBER(FIND("arbeid",Methode_Keuze)),"",IF(ISNUMBER(FIND("arbeid",Methode_Keuze)),"",IF(Tb_Activiteiten[[#This Row],[Landbouwer]]=1,Tb_Activiteiten[[#Headers],[Landbouwer]],"")))</f>
        <v/>
      </c>
      <c r="AO1111" t="str">
        <f>IF(ISNUMBER(FIND("arbeid",Methode_Keuze)),"",IF(ISNUMBER(FIND("arbeid",Methode_Keuze)),"",IF(Tb_Activiteiten[[#This Row],[Adviseur]]=1,Tb_Activiteiten[[#Headers],[Adviseur]],"")))</f>
        <v/>
      </c>
      <c r="AP1111" t="str">
        <f>IF(ISNUMBER(FIND("arbeid",Methode_Keuze)),"",IF(ISNUMBER(FIND("arbeid",Methode_Keuze)),"",IF(Tb_Activiteiten[[#This Row],[Projectleider/Expert]]=1,Tb_Activiteiten[[#Headers],[Projectleider/Expert]],"")))</f>
        <v/>
      </c>
      <c r="AQ1111" t="str">
        <f>IF(ISNUMBER(FIND("arbeid",Methode_Keuze)),"",IF(ISNUMBER(FIND("arbeid",Methode_Keuze)),"",IF(Tb_Activiteiten[[#This Row],[Arbeidskosten]]=1,Tb_Activiteiten[[#Headers],[Arbeidskosten]],"")))</f>
        <v/>
      </c>
      <c r="AR1111" t="str">
        <f>IF(ISNUMBER(FIND("arbeid",Methode_Keuze)),"",IF(ISNUMBER(FIND("arbeid",Methode_Keuze)),"",IF(Tb_Activiteiten[[#This Row],[Arbeidskosten op basis van IKS]]=1,Tb_Activiteiten[[#Headers],[Arbeidskosten op basis van IKS]],"")))</f>
        <v/>
      </c>
      <c r="AS1111" t="str">
        <f>IF(ISNUMBER(FIND("overige",Methode_Keuze)),"",IF(Tb_Activiteiten[[#This Row],[Kosten derden exclusief btw]]=1,Tb_Activiteiten[[#Headers],[Kosten derden exclusief btw]],""))</f>
        <v/>
      </c>
      <c r="AT1111" t="str">
        <f>IF(ISNUMBER(FIND("overige",Methode_Keuze)),"",IF(Tb_Activiteiten[[#This Row],[Niet verrekenbare btw]]=1,Tb_Activiteiten[[#Headers],[Niet verrekenbare btw]],""))</f>
        <v/>
      </c>
      <c r="AU1111" t="str">
        <f>IF(ISNUMBER(FIND("overige",Methode_Keuze)),"",IF(Tb_Activiteiten[[#This Row],[Grondkosten]]=1,Tb_Activiteiten[[#Headers],[Grondkosten]],""))</f>
        <v/>
      </c>
      <c r="AV1111" t="str">
        <f>IF(ISNUMBER(FIND("overige",Methode_Keuze)),"",IF(Tb_Activiteiten[[#This Row],[Bijdrage in natura (overige)]]=1,Tb_Activiteiten[[#Headers],[Bijdrage in natura (overige)]],""))</f>
        <v/>
      </c>
      <c r="AW1111" t="str">
        <f>IF(ISNUMBER(FIND("overige",Methode_Keuze)),"",IF(Tb_Activiteiten[[#This Row],[Bijdrage in natura (vrijwilligers)]]=1,Tb_Activiteiten[[#Headers],[Bijdrage in natura (vrijwilligers)]],""))</f>
        <v/>
      </c>
      <c r="AX1111" t="str">
        <f>IF(ISNUMBER(FIND("overige",Methode_Keuze)),"",IF(Tb_Activiteiten[[#This Row],[Afschrijvingskosten]]=1,Tb_Activiteiten[[#Headers],[Afschrijvingskosten]],""))</f>
        <v/>
      </c>
      <c r="AY1111" t="str">
        <f>IF(ISNUMBER(FIND("overige",Methode_Keuze)),"",IF(Tb_Activiteiten[[#This Row],[Vergoeding]]=1,Tb_Activiteiten[[#Headers],[Vergoeding]],""))</f>
        <v/>
      </c>
      <c r="AZ1111" t="str">
        <f>IF(ISNUMBER(FIND("arbeid",Methode_Keuze)),"",IF(Tb_Activiteiten[[#This Row],[Arbeidskosten - vast tarief (excl eigen arbeid)]]=1,Tb_Activiteiten[[#Headers],[Arbeidskosten - vast tarief (excl eigen arbeid)]],""))</f>
        <v/>
      </c>
      <c r="BA1111" t="str">
        <f>IF(ISNUMBER(FIND("overige",Methode_Keuze)),"",IF(Tb_Activiteiten[[#This Row],[Overige kosten]]=1,Tb_Activiteiten[[#Headers],[Overige kosten]],""))</f>
        <v/>
      </c>
    </row>
    <row r="1112" spans="1:53" x14ac:dyDescent="0.25">
      <c r="A1112" s="139"/>
      <c r="B1112" s="139"/>
      <c r="C1112" s="139"/>
      <c r="D1112" s="139"/>
      <c r="E1112" s="139"/>
      <c r="F1112" s="139"/>
      <c r="G1112" s="139"/>
      <c r="O1112" s="56"/>
      <c r="Q1112" t="str">
        <f>IFERROR(IF(VLOOKUP(Tb_Activiteiten[[#This Row],[Openstelling]],Tb_Openstelling[],2,0)=1,1,""),"")</f>
        <v/>
      </c>
      <c r="AK1112" t="str">
        <f>IF(ISNUMBER(FIND("arbeid",Methode_Keuze)),"",IF(ISNUMBER(FIND("arbeid",Methode_Keuze)),"",IF(Tb_Activiteiten[[#This Row],[Loonkosten]]=1,Tb_Activiteiten[[#Headers],[Loonkosten]],"")))</f>
        <v/>
      </c>
      <c r="AL1112" t="str">
        <f>IF(ISNUMBER(FIND("arbeid",Methode_Keuze)),"",IF(ISNUMBER(FIND("arbeid",Methode_Keuze)),"",IF(Tb_Activiteiten[[#This Row],[Eigen arbeid]]=1,Tb_Activiteiten[[#Headers],[Eigen arbeid]],"")))</f>
        <v/>
      </c>
      <c r="AM1112" t="str">
        <f>IF(ISNUMBER(FIND("arbeid",Methode_Keuze)),"",IF(ISNUMBER(FIND("arbeid",Methode_Keuze)),"",IF(Tb_Activiteiten[[#This Row],[Projectmedewerker]]=1,Tb_Activiteiten[[#Headers],[Projectmedewerker]],"")))</f>
        <v/>
      </c>
      <c r="AN1112" t="str">
        <f>IF(ISNUMBER(FIND("arbeid",Methode_Keuze)),"",IF(ISNUMBER(FIND("arbeid",Methode_Keuze)),"",IF(Tb_Activiteiten[[#This Row],[Landbouwer]]=1,Tb_Activiteiten[[#Headers],[Landbouwer]],"")))</f>
        <v/>
      </c>
      <c r="AO1112" t="str">
        <f>IF(ISNUMBER(FIND("arbeid",Methode_Keuze)),"",IF(ISNUMBER(FIND("arbeid",Methode_Keuze)),"",IF(Tb_Activiteiten[[#This Row],[Adviseur]]=1,Tb_Activiteiten[[#Headers],[Adviseur]],"")))</f>
        <v/>
      </c>
      <c r="AP1112" t="str">
        <f>IF(ISNUMBER(FIND("arbeid",Methode_Keuze)),"",IF(ISNUMBER(FIND("arbeid",Methode_Keuze)),"",IF(Tb_Activiteiten[[#This Row],[Projectleider/Expert]]=1,Tb_Activiteiten[[#Headers],[Projectleider/Expert]],"")))</f>
        <v/>
      </c>
      <c r="AQ1112" t="str">
        <f>IF(ISNUMBER(FIND("arbeid",Methode_Keuze)),"",IF(ISNUMBER(FIND("arbeid",Methode_Keuze)),"",IF(Tb_Activiteiten[[#This Row],[Arbeidskosten]]=1,Tb_Activiteiten[[#Headers],[Arbeidskosten]],"")))</f>
        <v/>
      </c>
      <c r="AR1112" t="str">
        <f>IF(ISNUMBER(FIND("arbeid",Methode_Keuze)),"",IF(ISNUMBER(FIND("arbeid",Methode_Keuze)),"",IF(Tb_Activiteiten[[#This Row],[Arbeidskosten op basis van IKS]]=1,Tb_Activiteiten[[#Headers],[Arbeidskosten op basis van IKS]],"")))</f>
        <v/>
      </c>
      <c r="AS1112" t="str">
        <f>IF(ISNUMBER(FIND("overige",Methode_Keuze)),"",IF(Tb_Activiteiten[[#This Row],[Kosten derden exclusief btw]]=1,Tb_Activiteiten[[#Headers],[Kosten derden exclusief btw]],""))</f>
        <v/>
      </c>
      <c r="AT1112" t="str">
        <f>IF(ISNUMBER(FIND("overige",Methode_Keuze)),"",IF(Tb_Activiteiten[[#This Row],[Niet verrekenbare btw]]=1,Tb_Activiteiten[[#Headers],[Niet verrekenbare btw]],""))</f>
        <v/>
      </c>
      <c r="AU1112" t="str">
        <f>IF(ISNUMBER(FIND("overige",Methode_Keuze)),"",IF(Tb_Activiteiten[[#This Row],[Grondkosten]]=1,Tb_Activiteiten[[#Headers],[Grondkosten]],""))</f>
        <v/>
      </c>
      <c r="AV1112" t="str">
        <f>IF(ISNUMBER(FIND("overige",Methode_Keuze)),"",IF(Tb_Activiteiten[[#This Row],[Bijdrage in natura (overige)]]=1,Tb_Activiteiten[[#Headers],[Bijdrage in natura (overige)]],""))</f>
        <v/>
      </c>
      <c r="AW1112" t="str">
        <f>IF(ISNUMBER(FIND("overige",Methode_Keuze)),"",IF(Tb_Activiteiten[[#This Row],[Bijdrage in natura (vrijwilligers)]]=1,Tb_Activiteiten[[#Headers],[Bijdrage in natura (vrijwilligers)]],""))</f>
        <v/>
      </c>
      <c r="AX1112" t="str">
        <f>IF(ISNUMBER(FIND("overige",Methode_Keuze)),"",IF(Tb_Activiteiten[[#This Row],[Afschrijvingskosten]]=1,Tb_Activiteiten[[#Headers],[Afschrijvingskosten]],""))</f>
        <v/>
      </c>
      <c r="AY1112" t="str">
        <f>IF(ISNUMBER(FIND("overige",Methode_Keuze)),"",IF(Tb_Activiteiten[[#This Row],[Vergoeding]]=1,Tb_Activiteiten[[#Headers],[Vergoeding]],""))</f>
        <v/>
      </c>
      <c r="AZ1112" t="str">
        <f>IF(ISNUMBER(FIND("arbeid",Methode_Keuze)),"",IF(Tb_Activiteiten[[#This Row],[Arbeidskosten - vast tarief (excl eigen arbeid)]]=1,Tb_Activiteiten[[#Headers],[Arbeidskosten - vast tarief (excl eigen arbeid)]],""))</f>
        <v/>
      </c>
      <c r="BA1112" t="str">
        <f>IF(ISNUMBER(FIND("overige",Methode_Keuze)),"",IF(Tb_Activiteiten[[#This Row],[Overige kosten]]=1,Tb_Activiteiten[[#Headers],[Overige kosten]],""))</f>
        <v/>
      </c>
    </row>
    <row r="1113" spans="1:53" x14ac:dyDescent="0.25">
      <c r="A1113" s="139"/>
      <c r="B1113" s="139"/>
      <c r="C1113" s="139"/>
      <c r="D1113" s="139"/>
      <c r="E1113" s="139"/>
      <c r="F1113" s="139"/>
      <c r="G1113" s="139"/>
      <c r="O1113" s="56"/>
      <c r="Q1113" t="str">
        <f>IFERROR(IF(VLOOKUP(Tb_Activiteiten[[#This Row],[Openstelling]],Tb_Openstelling[],2,0)=1,1,""),"")</f>
        <v/>
      </c>
      <c r="AK1113" t="str">
        <f>IF(ISNUMBER(FIND("arbeid",Methode_Keuze)),"",IF(ISNUMBER(FIND("arbeid",Methode_Keuze)),"",IF(Tb_Activiteiten[[#This Row],[Loonkosten]]=1,Tb_Activiteiten[[#Headers],[Loonkosten]],"")))</f>
        <v/>
      </c>
      <c r="AL1113" t="str">
        <f>IF(ISNUMBER(FIND("arbeid",Methode_Keuze)),"",IF(ISNUMBER(FIND("arbeid",Methode_Keuze)),"",IF(Tb_Activiteiten[[#This Row],[Eigen arbeid]]=1,Tb_Activiteiten[[#Headers],[Eigen arbeid]],"")))</f>
        <v/>
      </c>
      <c r="AM1113" t="str">
        <f>IF(ISNUMBER(FIND("arbeid",Methode_Keuze)),"",IF(ISNUMBER(FIND("arbeid",Methode_Keuze)),"",IF(Tb_Activiteiten[[#This Row],[Projectmedewerker]]=1,Tb_Activiteiten[[#Headers],[Projectmedewerker]],"")))</f>
        <v/>
      </c>
      <c r="AN1113" t="str">
        <f>IF(ISNUMBER(FIND("arbeid",Methode_Keuze)),"",IF(ISNUMBER(FIND("arbeid",Methode_Keuze)),"",IF(Tb_Activiteiten[[#This Row],[Landbouwer]]=1,Tb_Activiteiten[[#Headers],[Landbouwer]],"")))</f>
        <v/>
      </c>
      <c r="AO1113" t="str">
        <f>IF(ISNUMBER(FIND("arbeid",Methode_Keuze)),"",IF(ISNUMBER(FIND("arbeid",Methode_Keuze)),"",IF(Tb_Activiteiten[[#This Row],[Adviseur]]=1,Tb_Activiteiten[[#Headers],[Adviseur]],"")))</f>
        <v/>
      </c>
      <c r="AP1113" t="str">
        <f>IF(ISNUMBER(FIND("arbeid",Methode_Keuze)),"",IF(ISNUMBER(FIND("arbeid",Methode_Keuze)),"",IF(Tb_Activiteiten[[#This Row],[Projectleider/Expert]]=1,Tb_Activiteiten[[#Headers],[Projectleider/Expert]],"")))</f>
        <v/>
      </c>
      <c r="AQ1113" t="str">
        <f>IF(ISNUMBER(FIND("arbeid",Methode_Keuze)),"",IF(ISNUMBER(FIND("arbeid",Methode_Keuze)),"",IF(Tb_Activiteiten[[#This Row],[Arbeidskosten]]=1,Tb_Activiteiten[[#Headers],[Arbeidskosten]],"")))</f>
        <v/>
      </c>
      <c r="AR1113" t="str">
        <f>IF(ISNUMBER(FIND("arbeid",Methode_Keuze)),"",IF(ISNUMBER(FIND("arbeid",Methode_Keuze)),"",IF(Tb_Activiteiten[[#This Row],[Arbeidskosten op basis van IKS]]=1,Tb_Activiteiten[[#Headers],[Arbeidskosten op basis van IKS]],"")))</f>
        <v/>
      </c>
      <c r="AS1113" t="str">
        <f>IF(ISNUMBER(FIND("overige",Methode_Keuze)),"",IF(Tb_Activiteiten[[#This Row],[Kosten derden exclusief btw]]=1,Tb_Activiteiten[[#Headers],[Kosten derden exclusief btw]],""))</f>
        <v/>
      </c>
      <c r="AT1113" t="str">
        <f>IF(ISNUMBER(FIND("overige",Methode_Keuze)),"",IF(Tb_Activiteiten[[#This Row],[Niet verrekenbare btw]]=1,Tb_Activiteiten[[#Headers],[Niet verrekenbare btw]],""))</f>
        <v/>
      </c>
      <c r="AU1113" t="str">
        <f>IF(ISNUMBER(FIND("overige",Methode_Keuze)),"",IF(Tb_Activiteiten[[#This Row],[Grondkosten]]=1,Tb_Activiteiten[[#Headers],[Grondkosten]],""))</f>
        <v/>
      </c>
      <c r="AV1113" t="str">
        <f>IF(ISNUMBER(FIND("overige",Methode_Keuze)),"",IF(Tb_Activiteiten[[#This Row],[Bijdrage in natura (overige)]]=1,Tb_Activiteiten[[#Headers],[Bijdrage in natura (overige)]],""))</f>
        <v/>
      </c>
      <c r="AW1113" t="str">
        <f>IF(ISNUMBER(FIND("overige",Methode_Keuze)),"",IF(Tb_Activiteiten[[#This Row],[Bijdrage in natura (vrijwilligers)]]=1,Tb_Activiteiten[[#Headers],[Bijdrage in natura (vrijwilligers)]],""))</f>
        <v/>
      </c>
      <c r="AX1113" t="str">
        <f>IF(ISNUMBER(FIND("overige",Methode_Keuze)),"",IF(Tb_Activiteiten[[#This Row],[Afschrijvingskosten]]=1,Tb_Activiteiten[[#Headers],[Afschrijvingskosten]],""))</f>
        <v/>
      </c>
      <c r="AY1113" t="str">
        <f>IF(ISNUMBER(FIND("overige",Methode_Keuze)),"",IF(Tb_Activiteiten[[#This Row],[Vergoeding]]=1,Tb_Activiteiten[[#Headers],[Vergoeding]],""))</f>
        <v/>
      </c>
      <c r="AZ1113" t="str">
        <f>IF(ISNUMBER(FIND("arbeid",Methode_Keuze)),"",IF(Tb_Activiteiten[[#This Row],[Arbeidskosten - vast tarief (excl eigen arbeid)]]=1,Tb_Activiteiten[[#Headers],[Arbeidskosten - vast tarief (excl eigen arbeid)]],""))</f>
        <v/>
      </c>
      <c r="BA1113" t="str">
        <f>IF(ISNUMBER(FIND("overige",Methode_Keuze)),"",IF(Tb_Activiteiten[[#This Row],[Overige kosten]]=1,Tb_Activiteiten[[#Headers],[Overige kosten]],""))</f>
        <v/>
      </c>
    </row>
    <row r="1114" spans="1:53" x14ac:dyDescent="0.25">
      <c r="A1114" s="139"/>
      <c r="B1114" s="139"/>
      <c r="C1114" s="139"/>
      <c r="D1114" s="139"/>
      <c r="E1114" s="139"/>
      <c r="F1114" s="139"/>
      <c r="G1114" s="139"/>
      <c r="O1114" s="56"/>
      <c r="Q1114" t="str">
        <f>IFERROR(IF(VLOOKUP(Tb_Activiteiten[[#This Row],[Openstelling]],Tb_Openstelling[],2,0)=1,1,""),"")</f>
        <v/>
      </c>
      <c r="AK1114" t="str">
        <f>IF(ISNUMBER(FIND("arbeid",Methode_Keuze)),"",IF(ISNUMBER(FIND("arbeid",Methode_Keuze)),"",IF(Tb_Activiteiten[[#This Row],[Loonkosten]]=1,Tb_Activiteiten[[#Headers],[Loonkosten]],"")))</f>
        <v/>
      </c>
      <c r="AL1114" t="str">
        <f>IF(ISNUMBER(FIND("arbeid",Methode_Keuze)),"",IF(ISNUMBER(FIND("arbeid",Methode_Keuze)),"",IF(Tb_Activiteiten[[#This Row],[Eigen arbeid]]=1,Tb_Activiteiten[[#Headers],[Eigen arbeid]],"")))</f>
        <v/>
      </c>
      <c r="AM1114" t="str">
        <f>IF(ISNUMBER(FIND("arbeid",Methode_Keuze)),"",IF(ISNUMBER(FIND("arbeid",Methode_Keuze)),"",IF(Tb_Activiteiten[[#This Row],[Projectmedewerker]]=1,Tb_Activiteiten[[#Headers],[Projectmedewerker]],"")))</f>
        <v/>
      </c>
      <c r="AN1114" t="str">
        <f>IF(ISNUMBER(FIND("arbeid",Methode_Keuze)),"",IF(ISNUMBER(FIND("arbeid",Methode_Keuze)),"",IF(Tb_Activiteiten[[#This Row],[Landbouwer]]=1,Tb_Activiteiten[[#Headers],[Landbouwer]],"")))</f>
        <v/>
      </c>
      <c r="AO1114" t="str">
        <f>IF(ISNUMBER(FIND("arbeid",Methode_Keuze)),"",IF(ISNUMBER(FIND("arbeid",Methode_Keuze)),"",IF(Tb_Activiteiten[[#This Row],[Adviseur]]=1,Tb_Activiteiten[[#Headers],[Adviseur]],"")))</f>
        <v/>
      </c>
      <c r="AP1114" t="str">
        <f>IF(ISNUMBER(FIND("arbeid",Methode_Keuze)),"",IF(ISNUMBER(FIND("arbeid",Methode_Keuze)),"",IF(Tb_Activiteiten[[#This Row],[Projectleider/Expert]]=1,Tb_Activiteiten[[#Headers],[Projectleider/Expert]],"")))</f>
        <v/>
      </c>
      <c r="AQ1114" t="str">
        <f>IF(ISNUMBER(FIND("arbeid",Methode_Keuze)),"",IF(ISNUMBER(FIND("arbeid",Methode_Keuze)),"",IF(Tb_Activiteiten[[#This Row],[Arbeidskosten]]=1,Tb_Activiteiten[[#Headers],[Arbeidskosten]],"")))</f>
        <v/>
      </c>
      <c r="AR1114" t="str">
        <f>IF(ISNUMBER(FIND("arbeid",Methode_Keuze)),"",IF(ISNUMBER(FIND("arbeid",Methode_Keuze)),"",IF(Tb_Activiteiten[[#This Row],[Arbeidskosten op basis van IKS]]=1,Tb_Activiteiten[[#Headers],[Arbeidskosten op basis van IKS]],"")))</f>
        <v/>
      </c>
      <c r="AS1114" t="str">
        <f>IF(ISNUMBER(FIND("overige",Methode_Keuze)),"",IF(Tb_Activiteiten[[#This Row],[Kosten derden exclusief btw]]=1,Tb_Activiteiten[[#Headers],[Kosten derden exclusief btw]],""))</f>
        <v/>
      </c>
      <c r="AT1114" t="str">
        <f>IF(ISNUMBER(FIND("overige",Methode_Keuze)),"",IF(Tb_Activiteiten[[#This Row],[Niet verrekenbare btw]]=1,Tb_Activiteiten[[#Headers],[Niet verrekenbare btw]],""))</f>
        <v/>
      </c>
      <c r="AU1114" t="str">
        <f>IF(ISNUMBER(FIND("overige",Methode_Keuze)),"",IF(Tb_Activiteiten[[#This Row],[Grondkosten]]=1,Tb_Activiteiten[[#Headers],[Grondkosten]],""))</f>
        <v/>
      </c>
      <c r="AV1114" t="str">
        <f>IF(ISNUMBER(FIND("overige",Methode_Keuze)),"",IF(Tb_Activiteiten[[#This Row],[Bijdrage in natura (overige)]]=1,Tb_Activiteiten[[#Headers],[Bijdrage in natura (overige)]],""))</f>
        <v/>
      </c>
      <c r="AW1114" t="str">
        <f>IF(ISNUMBER(FIND("overige",Methode_Keuze)),"",IF(Tb_Activiteiten[[#This Row],[Bijdrage in natura (vrijwilligers)]]=1,Tb_Activiteiten[[#Headers],[Bijdrage in natura (vrijwilligers)]],""))</f>
        <v/>
      </c>
      <c r="AX1114" t="str">
        <f>IF(ISNUMBER(FIND("overige",Methode_Keuze)),"",IF(Tb_Activiteiten[[#This Row],[Afschrijvingskosten]]=1,Tb_Activiteiten[[#Headers],[Afschrijvingskosten]],""))</f>
        <v/>
      </c>
      <c r="AY1114" t="str">
        <f>IF(ISNUMBER(FIND("overige",Methode_Keuze)),"",IF(Tb_Activiteiten[[#This Row],[Vergoeding]]=1,Tb_Activiteiten[[#Headers],[Vergoeding]],""))</f>
        <v/>
      </c>
      <c r="AZ1114" t="str">
        <f>IF(ISNUMBER(FIND("arbeid",Methode_Keuze)),"",IF(Tb_Activiteiten[[#This Row],[Arbeidskosten - vast tarief (excl eigen arbeid)]]=1,Tb_Activiteiten[[#Headers],[Arbeidskosten - vast tarief (excl eigen arbeid)]],""))</f>
        <v/>
      </c>
      <c r="BA1114" t="str">
        <f>IF(ISNUMBER(FIND("overige",Methode_Keuze)),"",IF(Tb_Activiteiten[[#This Row],[Overige kosten]]=1,Tb_Activiteiten[[#Headers],[Overige kosten]],""))</f>
        <v/>
      </c>
    </row>
    <row r="1115" spans="1:53" x14ac:dyDescent="0.25">
      <c r="A1115" s="139"/>
      <c r="B1115" s="139"/>
      <c r="C1115" s="139"/>
      <c r="D1115" s="139"/>
      <c r="E1115" s="139"/>
      <c r="F1115" s="139"/>
      <c r="G1115" s="139"/>
      <c r="O1115" s="56"/>
      <c r="Q1115" t="str">
        <f>IFERROR(IF(VLOOKUP(Tb_Activiteiten[[#This Row],[Openstelling]],Tb_Openstelling[],2,0)=1,1,""),"")</f>
        <v/>
      </c>
      <c r="AK1115" t="str">
        <f>IF(ISNUMBER(FIND("arbeid",Methode_Keuze)),"",IF(ISNUMBER(FIND("arbeid",Methode_Keuze)),"",IF(Tb_Activiteiten[[#This Row],[Loonkosten]]=1,Tb_Activiteiten[[#Headers],[Loonkosten]],"")))</f>
        <v/>
      </c>
      <c r="AL1115" t="str">
        <f>IF(ISNUMBER(FIND("arbeid",Methode_Keuze)),"",IF(ISNUMBER(FIND("arbeid",Methode_Keuze)),"",IF(Tb_Activiteiten[[#This Row],[Eigen arbeid]]=1,Tb_Activiteiten[[#Headers],[Eigen arbeid]],"")))</f>
        <v/>
      </c>
      <c r="AM1115" t="str">
        <f>IF(ISNUMBER(FIND("arbeid",Methode_Keuze)),"",IF(ISNUMBER(FIND("arbeid",Methode_Keuze)),"",IF(Tb_Activiteiten[[#This Row],[Projectmedewerker]]=1,Tb_Activiteiten[[#Headers],[Projectmedewerker]],"")))</f>
        <v/>
      </c>
      <c r="AN1115" t="str">
        <f>IF(ISNUMBER(FIND("arbeid",Methode_Keuze)),"",IF(ISNUMBER(FIND("arbeid",Methode_Keuze)),"",IF(Tb_Activiteiten[[#This Row],[Landbouwer]]=1,Tb_Activiteiten[[#Headers],[Landbouwer]],"")))</f>
        <v/>
      </c>
      <c r="AO1115" t="str">
        <f>IF(ISNUMBER(FIND("arbeid",Methode_Keuze)),"",IF(ISNUMBER(FIND("arbeid",Methode_Keuze)),"",IF(Tb_Activiteiten[[#This Row],[Adviseur]]=1,Tb_Activiteiten[[#Headers],[Adviseur]],"")))</f>
        <v/>
      </c>
      <c r="AP1115" t="str">
        <f>IF(ISNUMBER(FIND("arbeid",Methode_Keuze)),"",IF(ISNUMBER(FIND("arbeid",Methode_Keuze)),"",IF(Tb_Activiteiten[[#This Row],[Projectleider/Expert]]=1,Tb_Activiteiten[[#Headers],[Projectleider/Expert]],"")))</f>
        <v/>
      </c>
      <c r="AQ1115" t="str">
        <f>IF(ISNUMBER(FIND("arbeid",Methode_Keuze)),"",IF(ISNUMBER(FIND("arbeid",Methode_Keuze)),"",IF(Tb_Activiteiten[[#This Row],[Arbeidskosten]]=1,Tb_Activiteiten[[#Headers],[Arbeidskosten]],"")))</f>
        <v/>
      </c>
      <c r="AR1115" t="str">
        <f>IF(ISNUMBER(FIND("arbeid",Methode_Keuze)),"",IF(ISNUMBER(FIND("arbeid",Methode_Keuze)),"",IF(Tb_Activiteiten[[#This Row],[Arbeidskosten op basis van IKS]]=1,Tb_Activiteiten[[#Headers],[Arbeidskosten op basis van IKS]],"")))</f>
        <v/>
      </c>
      <c r="AS1115" t="str">
        <f>IF(ISNUMBER(FIND("overige",Methode_Keuze)),"",IF(Tb_Activiteiten[[#This Row],[Kosten derden exclusief btw]]=1,Tb_Activiteiten[[#Headers],[Kosten derden exclusief btw]],""))</f>
        <v/>
      </c>
      <c r="AT1115" t="str">
        <f>IF(ISNUMBER(FIND("overige",Methode_Keuze)),"",IF(Tb_Activiteiten[[#This Row],[Niet verrekenbare btw]]=1,Tb_Activiteiten[[#Headers],[Niet verrekenbare btw]],""))</f>
        <v/>
      </c>
      <c r="AU1115" t="str">
        <f>IF(ISNUMBER(FIND("overige",Methode_Keuze)),"",IF(Tb_Activiteiten[[#This Row],[Grondkosten]]=1,Tb_Activiteiten[[#Headers],[Grondkosten]],""))</f>
        <v/>
      </c>
      <c r="AV1115" t="str">
        <f>IF(ISNUMBER(FIND("overige",Methode_Keuze)),"",IF(Tb_Activiteiten[[#This Row],[Bijdrage in natura (overige)]]=1,Tb_Activiteiten[[#Headers],[Bijdrage in natura (overige)]],""))</f>
        <v/>
      </c>
      <c r="AW1115" t="str">
        <f>IF(ISNUMBER(FIND("overige",Methode_Keuze)),"",IF(Tb_Activiteiten[[#This Row],[Bijdrage in natura (vrijwilligers)]]=1,Tb_Activiteiten[[#Headers],[Bijdrage in natura (vrijwilligers)]],""))</f>
        <v/>
      </c>
      <c r="AX1115" t="str">
        <f>IF(ISNUMBER(FIND("overige",Methode_Keuze)),"",IF(Tb_Activiteiten[[#This Row],[Afschrijvingskosten]]=1,Tb_Activiteiten[[#Headers],[Afschrijvingskosten]],""))</f>
        <v/>
      </c>
      <c r="AY1115" t="str">
        <f>IF(ISNUMBER(FIND("overige",Methode_Keuze)),"",IF(Tb_Activiteiten[[#This Row],[Vergoeding]]=1,Tb_Activiteiten[[#Headers],[Vergoeding]],""))</f>
        <v/>
      </c>
      <c r="AZ1115" t="str">
        <f>IF(ISNUMBER(FIND("arbeid",Methode_Keuze)),"",IF(Tb_Activiteiten[[#This Row],[Arbeidskosten - vast tarief (excl eigen arbeid)]]=1,Tb_Activiteiten[[#Headers],[Arbeidskosten - vast tarief (excl eigen arbeid)]],""))</f>
        <v/>
      </c>
      <c r="BA1115" t="str">
        <f>IF(ISNUMBER(FIND("overige",Methode_Keuze)),"",IF(Tb_Activiteiten[[#This Row],[Overige kosten]]=1,Tb_Activiteiten[[#Headers],[Overige kosten]],""))</f>
        <v/>
      </c>
    </row>
    <row r="1116" spans="1:53" x14ac:dyDescent="0.25">
      <c r="A1116" s="139"/>
      <c r="B1116" s="139"/>
      <c r="C1116" s="139"/>
      <c r="D1116" s="139"/>
      <c r="E1116" s="139"/>
      <c r="F1116" s="139"/>
      <c r="G1116" s="139"/>
      <c r="O1116" s="56"/>
      <c r="Q1116" t="str">
        <f>IFERROR(IF(VLOOKUP(Tb_Activiteiten[[#This Row],[Openstelling]],Tb_Openstelling[],2,0)=1,1,""),"")</f>
        <v/>
      </c>
      <c r="AK1116" t="str">
        <f>IF(ISNUMBER(FIND("arbeid",Methode_Keuze)),"",IF(ISNUMBER(FIND("arbeid",Methode_Keuze)),"",IF(Tb_Activiteiten[[#This Row],[Loonkosten]]=1,Tb_Activiteiten[[#Headers],[Loonkosten]],"")))</f>
        <v/>
      </c>
      <c r="AL1116" t="str">
        <f>IF(ISNUMBER(FIND("arbeid",Methode_Keuze)),"",IF(ISNUMBER(FIND("arbeid",Methode_Keuze)),"",IF(Tb_Activiteiten[[#This Row],[Eigen arbeid]]=1,Tb_Activiteiten[[#Headers],[Eigen arbeid]],"")))</f>
        <v/>
      </c>
      <c r="AM1116" t="str">
        <f>IF(ISNUMBER(FIND("arbeid",Methode_Keuze)),"",IF(ISNUMBER(FIND("arbeid",Methode_Keuze)),"",IF(Tb_Activiteiten[[#This Row],[Projectmedewerker]]=1,Tb_Activiteiten[[#Headers],[Projectmedewerker]],"")))</f>
        <v/>
      </c>
      <c r="AN1116" t="str">
        <f>IF(ISNUMBER(FIND("arbeid",Methode_Keuze)),"",IF(ISNUMBER(FIND("arbeid",Methode_Keuze)),"",IF(Tb_Activiteiten[[#This Row],[Landbouwer]]=1,Tb_Activiteiten[[#Headers],[Landbouwer]],"")))</f>
        <v/>
      </c>
      <c r="AO1116" t="str">
        <f>IF(ISNUMBER(FIND("arbeid",Methode_Keuze)),"",IF(ISNUMBER(FIND("arbeid",Methode_Keuze)),"",IF(Tb_Activiteiten[[#This Row],[Adviseur]]=1,Tb_Activiteiten[[#Headers],[Adviseur]],"")))</f>
        <v/>
      </c>
      <c r="AP1116" t="str">
        <f>IF(ISNUMBER(FIND("arbeid",Methode_Keuze)),"",IF(ISNUMBER(FIND("arbeid",Methode_Keuze)),"",IF(Tb_Activiteiten[[#This Row],[Projectleider/Expert]]=1,Tb_Activiteiten[[#Headers],[Projectleider/Expert]],"")))</f>
        <v/>
      </c>
      <c r="AQ1116" t="str">
        <f>IF(ISNUMBER(FIND("arbeid",Methode_Keuze)),"",IF(ISNUMBER(FIND("arbeid",Methode_Keuze)),"",IF(Tb_Activiteiten[[#This Row],[Arbeidskosten]]=1,Tb_Activiteiten[[#Headers],[Arbeidskosten]],"")))</f>
        <v/>
      </c>
      <c r="AR1116" t="str">
        <f>IF(ISNUMBER(FIND("arbeid",Methode_Keuze)),"",IF(ISNUMBER(FIND("arbeid",Methode_Keuze)),"",IF(Tb_Activiteiten[[#This Row],[Arbeidskosten op basis van IKS]]=1,Tb_Activiteiten[[#Headers],[Arbeidskosten op basis van IKS]],"")))</f>
        <v/>
      </c>
      <c r="AS1116" t="str">
        <f>IF(ISNUMBER(FIND("overige",Methode_Keuze)),"",IF(Tb_Activiteiten[[#This Row],[Kosten derden exclusief btw]]=1,Tb_Activiteiten[[#Headers],[Kosten derden exclusief btw]],""))</f>
        <v/>
      </c>
      <c r="AT1116" t="str">
        <f>IF(ISNUMBER(FIND("overige",Methode_Keuze)),"",IF(Tb_Activiteiten[[#This Row],[Niet verrekenbare btw]]=1,Tb_Activiteiten[[#Headers],[Niet verrekenbare btw]],""))</f>
        <v/>
      </c>
      <c r="AU1116" t="str">
        <f>IF(ISNUMBER(FIND("overige",Methode_Keuze)),"",IF(Tb_Activiteiten[[#This Row],[Grondkosten]]=1,Tb_Activiteiten[[#Headers],[Grondkosten]],""))</f>
        <v/>
      </c>
      <c r="AV1116" t="str">
        <f>IF(ISNUMBER(FIND("overige",Methode_Keuze)),"",IF(Tb_Activiteiten[[#This Row],[Bijdrage in natura (overige)]]=1,Tb_Activiteiten[[#Headers],[Bijdrage in natura (overige)]],""))</f>
        <v/>
      </c>
      <c r="AW1116" t="str">
        <f>IF(ISNUMBER(FIND("overige",Methode_Keuze)),"",IF(Tb_Activiteiten[[#This Row],[Bijdrage in natura (vrijwilligers)]]=1,Tb_Activiteiten[[#Headers],[Bijdrage in natura (vrijwilligers)]],""))</f>
        <v/>
      </c>
      <c r="AX1116" t="str">
        <f>IF(ISNUMBER(FIND("overige",Methode_Keuze)),"",IF(Tb_Activiteiten[[#This Row],[Afschrijvingskosten]]=1,Tb_Activiteiten[[#Headers],[Afschrijvingskosten]],""))</f>
        <v/>
      </c>
      <c r="AY1116" t="str">
        <f>IF(ISNUMBER(FIND("overige",Methode_Keuze)),"",IF(Tb_Activiteiten[[#This Row],[Vergoeding]]=1,Tb_Activiteiten[[#Headers],[Vergoeding]],""))</f>
        <v/>
      </c>
      <c r="AZ1116" t="str">
        <f>IF(ISNUMBER(FIND("arbeid",Methode_Keuze)),"",IF(Tb_Activiteiten[[#This Row],[Arbeidskosten - vast tarief (excl eigen arbeid)]]=1,Tb_Activiteiten[[#Headers],[Arbeidskosten - vast tarief (excl eigen arbeid)]],""))</f>
        <v/>
      </c>
      <c r="BA1116" t="str">
        <f>IF(ISNUMBER(FIND("overige",Methode_Keuze)),"",IF(Tb_Activiteiten[[#This Row],[Overige kosten]]=1,Tb_Activiteiten[[#Headers],[Overige kosten]],""))</f>
        <v/>
      </c>
    </row>
    <row r="1117" spans="1:53" x14ac:dyDescent="0.25">
      <c r="A1117" s="139"/>
      <c r="B1117" s="139"/>
      <c r="C1117" s="139"/>
      <c r="D1117" s="139"/>
      <c r="E1117" s="139"/>
      <c r="F1117" s="139"/>
      <c r="G1117" s="139"/>
      <c r="O1117" s="56"/>
      <c r="Q1117" t="str">
        <f>IFERROR(IF(VLOOKUP(Tb_Activiteiten[[#This Row],[Openstelling]],Tb_Openstelling[],2,0)=1,1,""),"")</f>
        <v/>
      </c>
      <c r="AK1117" t="str">
        <f>IF(ISNUMBER(FIND("arbeid",Methode_Keuze)),"",IF(ISNUMBER(FIND("arbeid",Methode_Keuze)),"",IF(Tb_Activiteiten[[#This Row],[Loonkosten]]=1,Tb_Activiteiten[[#Headers],[Loonkosten]],"")))</f>
        <v/>
      </c>
      <c r="AL1117" t="str">
        <f>IF(ISNUMBER(FIND("arbeid",Methode_Keuze)),"",IF(ISNUMBER(FIND("arbeid",Methode_Keuze)),"",IF(Tb_Activiteiten[[#This Row],[Eigen arbeid]]=1,Tb_Activiteiten[[#Headers],[Eigen arbeid]],"")))</f>
        <v/>
      </c>
      <c r="AM1117" t="str">
        <f>IF(ISNUMBER(FIND("arbeid",Methode_Keuze)),"",IF(ISNUMBER(FIND("arbeid",Methode_Keuze)),"",IF(Tb_Activiteiten[[#This Row],[Projectmedewerker]]=1,Tb_Activiteiten[[#Headers],[Projectmedewerker]],"")))</f>
        <v/>
      </c>
      <c r="AN1117" t="str">
        <f>IF(ISNUMBER(FIND("arbeid",Methode_Keuze)),"",IF(ISNUMBER(FIND("arbeid",Methode_Keuze)),"",IF(Tb_Activiteiten[[#This Row],[Landbouwer]]=1,Tb_Activiteiten[[#Headers],[Landbouwer]],"")))</f>
        <v/>
      </c>
      <c r="AO1117" t="str">
        <f>IF(ISNUMBER(FIND("arbeid",Methode_Keuze)),"",IF(ISNUMBER(FIND("arbeid",Methode_Keuze)),"",IF(Tb_Activiteiten[[#This Row],[Adviseur]]=1,Tb_Activiteiten[[#Headers],[Adviseur]],"")))</f>
        <v/>
      </c>
      <c r="AP1117" t="str">
        <f>IF(ISNUMBER(FIND("arbeid",Methode_Keuze)),"",IF(ISNUMBER(FIND("arbeid",Methode_Keuze)),"",IF(Tb_Activiteiten[[#This Row],[Projectleider/Expert]]=1,Tb_Activiteiten[[#Headers],[Projectleider/Expert]],"")))</f>
        <v/>
      </c>
      <c r="AQ1117" t="str">
        <f>IF(ISNUMBER(FIND("arbeid",Methode_Keuze)),"",IF(ISNUMBER(FIND("arbeid",Methode_Keuze)),"",IF(Tb_Activiteiten[[#This Row],[Arbeidskosten]]=1,Tb_Activiteiten[[#Headers],[Arbeidskosten]],"")))</f>
        <v/>
      </c>
      <c r="AR1117" t="str">
        <f>IF(ISNUMBER(FIND("arbeid",Methode_Keuze)),"",IF(ISNUMBER(FIND("arbeid",Methode_Keuze)),"",IF(Tb_Activiteiten[[#This Row],[Arbeidskosten op basis van IKS]]=1,Tb_Activiteiten[[#Headers],[Arbeidskosten op basis van IKS]],"")))</f>
        <v/>
      </c>
      <c r="AS1117" t="str">
        <f>IF(ISNUMBER(FIND("overige",Methode_Keuze)),"",IF(Tb_Activiteiten[[#This Row],[Kosten derden exclusief btw]]=1,Tb_Activiteiten[[#Headers],[Kosten derden exclusief btw]],""))</f>
        <v/>
      </c>
      <c r="AT1117" t="str">
        <f>IF(ISNUMBER(FIND("overige",Methode_Keuze)),"",IF(Tb_Activiteiten[[#This Row],[Niet verrekenbare btw]]=1,Tb_Activiteiten[[#Headers],[Niet verrekenbare btw]],""))</f>
        <v/>
      </c>
      <c r="AU1117" t="str">
        <f>IF(ISNUMBER(FIND("overige",Methode_Keuze)),"",IF(Tb_Activiteiten[[#This Row],[Grondkosten]]=1,Tb_Activiteiten[[#Headers],[Grondkosten]],""))</f>
        <v/>
      </c>
      <c r="AV1117" t="str">
        <f>IF(ISNUMBER(FIND("overige",Methode_Keuze)),"",IF(Tb_Activiteiten[[#This Row],[Bijdrage in natura (overige)]]=1,Tb_Activiteiten[[#Headers],[Bijdrage in natura (overige)]],""))</f>
        <v/>
      </c>
      <c r="AW1117" t="str">
        <f>IF(ISNUMBER(FIND("overige",Methode_Keuze)),"",IF(Tb_Activiteiten[[#This Row],[Bijdrage in natura (vrijwilligers)]]=1,Tb_Activiteiten[[#Headers],[Bijdrage in natura (vrijwilligers)]],""))</f>
        <v/>
      </c>
      <c r="AX1117" t="str">
        <f>IF(ISNUMBER(FIND("overige",Methode_Keuze)),"",IF(Tb_Activiteiten[[#This Row],[Afschrijvingskosten]]=1,Tb_Activiteiten[[#Headers],[Afschrijvingskosten]],""))</f>
        <v/>
      </c>
      <c r="AY1117" t="str">
        <f>IF(ISNUMBER(FIND("overige",Methode_Keuze)),"",IF(Tb_Activiteiten[[#This Row],[Vergoeding]]=1,Tb_Activiteiten[[#Headers],[Vergoeding]],""))</f>
        <v/>
      </c>
      <c r="AZ1117" t="str">
        <f>IF(ISNUMBER(FIND("arbeid",Methode_Keuze)),"",IF(Tb_Activiteiten[[#This Row],[Arbeidskosten - vast tarief (excl eigen arbeid)]]=1,Tb_Activiteiten[[#Headers],[Arbeidskosten - vast tarief (excl eigen arbeid)]],""))</f>
        <v/>
      </c>
      <c r="BA1117" t="str">
        <f>IF(ISNUMBER(FIND("overige",Methode_Keuze)),"",IF(Tb_Activiteiten[[#This Row],[Overige kosten]]=1,Tb_Activiteiten[[#Headers],[Overige kosten]],""))</f>
        <v/>
      </c>
    </row>
    <row r="1118" spans="1:53" x14ac:dyDescent="0.25">
      <c r="A1118" s="139"/>
      <c r="B1118" s="139"/>
      <c r="C1118" s="139"/>
      <c r="D1118" s="139"/>
      <c r="E1118" s="139"/>
      <c r="F1118" s="139"/>
      <c r="G1118" s="139"/>
      <c r="O1118" s="56"/>
      <c r="Q1118" t="str">
        <f>IFERROR(IF(VLOOKUP(Tb_Activiteiten[[#This Row],[Openstelling]],Tb_Openstelling[],2,0)=1,1,""),"")</f>
        <v/>
      </c>
      <c r="AK1118" t="str">
        <f>IF(ISNUMBER(FIND("arbeid",Methode_Keuze)),"",IF(ISNUMBER(FIND("arbeid",Methode_Keuze)),"",IF(Tb_Activiteiten[[#This Row],[Loonkosten]]=1,Tb_Activiteiten[[#Headers],[Loonkosten]],"")))</f>
        <v/>
      </c>
      <c r="AL1118" t="str">
        <f>IF(ISNUMBER(FIND("arbeid",Methode_Keuze)),"",IF(ISNUMBER(FIND("arbeid",Methode_Keuze)),"",IF(Tb_Activiteiten[[#This Row],[Eigen arbeid]]=1,Tb_Activiteiten[[#Headers],[Eigen arbeid]],"")))</f>
        <v/>
      </c>
      <c r="AM1118" t="str">
        <f>IF(ISNUMBER(FIND("arbeid",Methode_Keuze)),"",IF(ISNUMBER(FIND("arbeid",Methode_Keuze)),"",IF(Tb_Activiteiten[[#This Row],[Projectmedewerker]]=1,Tb_Activiteiten[[#Headers],[Projectmedewerker]],"")))</f>
        <v/>
      </c>
      <c r="AN1118" t="str">
        <f>IF(ISNUMBER(FIND("arbeid",Methode_Keuze)),"",IF(ISNUMBER(FIND("arbeid",Methode_Keuze)),"",IF(Tb_Activiteiten[[#This Row],[Landbouwer]]=1,Tb_Activiteiten[[#Headers],[Landbouwer]],"")))</f>
        <v/>
      </c>
      <c r="AO1118" t="str">
        <f>IF(ISNUMBER(FIND("arbeid",Methode_Keuze)),"",IF(ISNUMBER(FIND("arbeid",Methode_Keuze)),"",IF(Tb_Activiteiten[[#This Row],[Adviseur]]=1,Tb_Activiteiten[[#Headers],[Adviseur]],"")))</f>
        <v/>
      </c>
      <c r="AP1118" t="str">
        <f>IF(ISNUMBER(FIND("arbeid",Methode_Keuze)),"",IF(ISNUMBER(FIND("arbeid",Methode_Keuze)),"",IF(Tb_Activiteiten[[#This Row],[Projectleider/Expert]]=1,Tb_Activiteiten[[#Headers],[Projectleider/Expert]],"")))</f>
        <v/>
      </c>
      <c r="AQ1118" t="str">
        <f>IF(ISNUMBER(FIND("arbeid",Methode_Keuze)),"",IF(ISNUMBER(FIND("arbeid",Methode_Keuze)),"",IF(Tb_Activiteiten[[#This Row],[Arbeidskosten]]=1,Tb_Activiteiten[[#Headers],[Arbeidskosten]],"")))</f>
        <v/>
      </c>
      <c r="AR1118" t="str">
        <f>IF(ISNUMBER(FIND("arbeid",Methode_Keuze)),"",IF(ISNUMBER(FIND("arbeid",Methode_Keuze)),"",IF(Tb_Activiteiten[[#This Row],[Arbeidskosten op basis van IKS]]=1,Tb_Activiteiten[[#Headers],[Arbeidskosten op basis van IKS]],"")))</f>
        <v/>
      </c>
      <c r="AS1118" t="str">
        <f>IF(ISNUMBER(FIND("overige",Methode_Keuze)),"",IF(Tb_Activiteiten[[#This Row],[Kosten derden exclusief btw]]=1,Tb_Activiteiten[[#Headers],[Kosten derden exclusief btw]],""))</f>
        <v/>
      </c>
      <c r="AT1118" t="str">
        <f>IF(ISNUMBER(FIND("overige",Methode_Keuze)),"",IF(Tb_Activiteiten[[#This Row],[Niet verrekenbare btw]]=1,Tb_Activiteiten[[#Headers],[Niet verrekenbare btw]],""))</f>
        <v/>
      </c>
      <c r="AU1118" t="str">
        <f>IF(ISNUMBER(FIND("overige",Methode_Keuze)),"",IF(Tb_Activiteiten[[#This Row],[Grondkosten]]=1,Tb_Activiteiten[[#Headers],[Grondkosten]],""))</f>
        <v/>
      </c>
      <c r="AV1118" t="str">
        <f>IF(ISNUMBER(FIND("overige",Methode_Keuze)),"",IF(Tb_Activiteiten[[#This Row],[Bijdrage in natura (overige)]]=1,Tb_Activiteiten[[#Headers],[Bijdrage in natura (overige)]],""))</f>
        <v/>
      </c>
      <c r="AW1118" t="str">
        <f>IF(ISNUMBER(FIND("overige",Methode_Keuze)),"",IF(Tb_Activiteiten[[#This Row],[Bijdrage in natura (vrijwilligers)]]=1,Tb_Activiteiten[[#Headers],[Bijdrage in natura (vrijwilligers)]],""))</f>
        <v/>
      </c>
      <c r="AX1118" t="str">
        <f>IF(ISNUMBER(FIND("overige",Methode_Keuze)),"",IF(Tb_Activiteiten[[#This Row],[Afschrijvingskosten]]=1,Tb_Activiteiten[[#Headers],[Afschrijvingskosten]],""))</f>
        <v/>
      </c>
      <c r="AY1118" t="str">
        <f>IF(ISNUMBER(FIND("overige",Methode_Keuze)),"",IF(Tb_Activiteiten[[#This Row],[Vergoeding]]=1,Tb_Activiteiten[[#Headers],[Vergoeding]],""))</f>
        <v/>
      </c>
      <c r="AZ1118" t="str">
        <f>IF(ISNUMBER(FIND("arbeid",Methode_Keuze)),"",IF(Tb_Activiteiten[[#This Row],[Arbeidskosten - vast tarief (excl eigen arbeid)]]=1,Tb_Activiteiten[[#Headers],[Arbeidskosten - vast tarief (excl eigen arbeid)]],""))</f>
        <v/>
      </c>
      <c r="BA1118" t="str">
        <f>IF(ISNUMBER(FIND("overige",Methode_Keuze)),"",IF(Tb_Activiteiten[[#This Row],[Overige kosten]]=1,Tb_Activiteiten[[#Headers],[Overige kosten]],""))</f>
        <v/>
      </c>
    </row>
    <row r="1119" spans="1:53" x14ac:dyDescent="0.25">
      <c r="A1119" s="139"/>
      <c r="B1119" s="139"/>
      <c r="C1119" s="139"/>
      <c r="D1119" s="139"/>
      <c r="E1119" s="139"/>
      <c r="F1119" s="139"/>
      <c r="G1119" s="139"/>
      <c r="O1119" s="56"/>
      <c r="Q1119" t="str">
        <f>IFERROR(IF(VLOOKUP(Tb_Activiteiten[[#This Row],[Openstelling]],Tb_Openstelling[],2,0)=1,1,""),"")</f>
        <v/>
      </c>
      <c r="AK1119" t="str">
        <f>IF(ISNUMBER(FIND("arbeid",Methode_Keuze)),"",IF(ISNUMBER(FIND("arbeid",Methode_Keuze)),"",IF(Tb_Activiteiten[[#This Row],[Loonkosten]]=1,Tb_Activiteiten[[#Headers],[Loonkosten]],"")))</f>
        <v/>
      </c>
      <c r="AL1119" t="str">
        <f>IF(ISNUMBER(FIND("arbeid",Methode_Keuze)),"",IF(ISNUMBER(FIND("arbeid",Methode_Keuze)),"",IF(Tb_Activiteiten[[#This Row],[Eigen arbeid]]=1,Tb_Activiteiten[[#Headers],[Eigen arbeid]],"")))</f>
        <v/>
      </c>
      <c r="AM1119" t="str">
        <f>IF(ISNUMBER(FIND("arbeid",Methode_Keuze)),"",IF(ISNUMBER(FIND("arbeid",Methode_Keuze)),"",IF(Tb_Activiteiten[[#This Row],[Projectmedewerker]]=1,Tb_Activiteiten[[#Headers],[Projectmedewerker]],"")))</f>
        <v/>
      </c>
      <c r="AN1119" t="str">
        <f>IF(ISNUMBER(FIND("arbeid",Methode_Keuze)),"",IF(ISNUMBER(FIND("arbeid",Methode_Keuze)),"",IF(Tb_Activiteiten[[#This Row],[Landbouwer]]=1,Tb_Activiteiten[[#Headers],[Landbouwer]],"")))</f>
        <v/>
      </c>
      <c r="AO1119" t="str">
        <f>IF(ISNUMBER(FIND("arbeid",Methode_Keuze)),"",IF(ISNUMBER(FIND("arbeid",Methode_Keuze)),"",IF(Tb_Activiteiten[[#This Row],[Adviseur]]=1,Tb_Activiteiten[[#Headers],[Adviseur]],"")))</f>
        <v/>
      </c>
      <c r="AP1119" t="str">
        <f>IF(ISNUMBER(FIND("arbeid",Methode_Keuze)),"",IF(ISNUMBER(FIND("arbeid",Methode_Keuze)),"",IF(Tb_Activiteiten[[#This Row],[Projectleider/Expert]]=1,Tb_Activiteiten[[#Headers],[Projectleider/Expert]],"")))</f>
        <v/>
      </c>
      <c r="AQ1119" t="str">
        <f>IF(ISNUMBER(FIND("arbeid",Methode_Keuze)),"",IF(ISNUMBER(FIND("arbeid",Methode_Keuze)),"",IF(Tb_Activiteiten[[#This Row],[Arbeidskosten]]=1,Tb_Activiteiten[[#Headers],[Arbeidskosten]],"")))</f>
        <v/>
      </c>
      <c r="AR1119" t="str">
        <f>IF(ISNUMBER(FIND("arbeid",Methode_Keuze)),"",IF(ISNUMBER(FIND("arbeid",Methode_Keuze)),"",IF(Tb_Activiteiten[[#This Row],[Arbeidskosten op basis van IKS]]=1,Tb_Activiteiten[[#Headers],[Arbeidskosten op basis van IKS]],"")))</f>
        <v/>
      </c>
      <c r="AS1119" t="str">
        <f>IF(ISNUMBER(FIND("overige",Methode_Keuze)),"",IF(Tb_Activiteiten[[#This Row],[Kosten derden exclusief btw]]=1,Tb_Activiteiten[[#Headers],[Kosten derden exclusief btw]],""))</f>
        <v/>
      </c>
      <c r="AT1119" t="str">
        <f>IF(ISNUMBER(FIND("overige",Methode_Keuze)),"",IF(Tb_Activiteiten[[#This Row],[Niet verrekenbare btw]]=1,Tb_Activiteiten[[#Headers],[Niet verrekenbare btw]],""))</f>
        <v/>
      </c>
      <c r="AU1119" t="str">
        <f>IF(ISNUMBER(FIND("overige",Methode_Keuze)),"",IF(Tb_Activiteiten[[#This Row],[Grondkosten]]=1,Tb_Activiteiten[[#Headers],[Grondkosten]],""))</f>
        <v/>
      </c>
      <c r="AV1119" t="str">
        <f>IF(ISNUMBER(FIND("overige",Methode_Keuze)),"",IF(Tb_Activiteiten[[#This Row],[Bijdrage in natura (overige)]]=1,Tb_Activiteiten[[#Headers],[Bijdrage in natura (overige)]],""))</f>
        <v/>
      </c>
      <c r="AW1119" t="str">
        <f>IF(ISNUMBER(FIND("overige",Methode_Keuze)),"",IF(Tb_Activiteiten[[#This Row],[Bijdrage in natura (vrijwilligers)]]=1,Tb_Activiteiten[[#Headers],[Bijdrage in natura (vrijwilligers)]],""))</f>
        <v/>
      </c>
      <c r="AX1119" t="str">
        <f>IF(ISNUMBER(FIND("overige",Methode_Keuze)),"",IF(Tb_Activiteiten[[#This Row],[Afschrijvingskosten]]=1,Tb_Activiteiten[[#Headers],[Afschrijvingskosten]],""))</f>
        <v/>
      </c>
      <c r="AY1119" t="str">
        <f>IF(ISNUMBER(FIND("overige",Methode_Keuze)),"",IF(Tb_Activiteiten[[#This Row],[Vergoeding]]=1,Tb_Activiteiten[[#Headers],[Vergoeding]],""))</f>
        <v/>
      </c>
      <c r="AZ1119" t="str">
        <f>IF(ISNUMBER(FIND("arbeid",Methode_Keuze)),"",IF(Tb_Activiteiten[[#This Row],[Arbeidskosten - vast tarief (excl eigen arbeid)]]=1,Tb_Activiteiten[[#Headers],[Arbeidskosten - vast tarief (excl eigen arbeid)]],""))</f>
        <v/>
      </c>
      <c r="BA1119" t="str">
        <f>IF(ISNUMBER(FIND("overige",Methode_Keuze)),"",IF(Tb_Activiteiten[[#This Row],[Overige kosten]]=1,Tb_Activiteiten[[#Headers],[Overige kosten]],""))</f>
        <v/>
      </c>
    </row>
    <row r="1120" spans="1:53" x14ac:dyDescent="0.25">
      <c r="A1120" s="139"/>
      <c r="B1120" s="139"/>
      <c r="C1120" s="139"/>
      <c r="D1120" s="139"/>
      <c r="E1120" s="139"/>
      <c r="F1120" s="139"/>
      <c r="G1120" s="139"/>
      <c r="O1120" s="56"/>
      <c r="Q1120" t="str">
        <f>IFERROR(IF(VLOOKUP(Tb_Activiteiten[[#This Row],[Openstelling]],Tb_Openstelling[],2,0)=1,1,""),"")</f>
        <v/>
      </c>
      <c r="AK1120" t="str">
        <f>IF(ISNUMBER(FIND("arbeid",Methode_Keuze)),"",IF(ISNUMBER(FIND("arbeid",Methode_Keuze)),"",IF(Tb_Activiteiten[[#This Row],[Loonkosten]]=1,Tb_Activiteiten[[#Headers],[Loonkosten]],"")))</f>
        <v/>
      </c>
      <c r="AL1120" t="str">
        <f>IF(ISNUMBER(FIND("arbeid",Methode_Keuze)),"",IF(ISNUMBER(FIND("arbeid",Methode_Keuze)),"",IF(Tb_Activiteiten[[#This Row],[Eigen arbeid]]=1,Tb_Activiteiten[[#Headers],[Eigen arbeid]],"")))</f>
        <v/>
      </c>
      <c r="AM1120" t="str">
        <f>IF(ISNUMBER(FIND("arbeid",Methode_Keuze)),"",IF(ISNUMBER(FIND("arbeid",Methode_Keuze)),"",IF(Tb_Activiteiten[[#This Row],[Projectmedewerker]]=1,Tb_Activiteiten[[#Headers],[Projectmedewerker]],"")))</f>
        <v/>
      </c>
      <c r="AN1120" t="str">
        <f>IF(ISNUMBER(FIND("arbeid",Methode_Keuze)),"",IF(ISNUMBER(FIND("arbeid",Methode_Keuze)),"",IF(Tb_Activiteiten[[#This Row],[Landbouwer]]=1,Tb_Activiteiten[[#Headers],[Landbouwer]],"")))</f>
        <v/>
      </c>
      <c r="AO1120" t="str">
        <f>IF(ISNUMBER(FIND("arbeid",Methode_Keuze)),"",IF(ISNUMBER(FIND("arbeid",Methode_Keuze)),"",IF(Tb_Activiteiten[[#This Row],[Adviseur]]=1,Tb_Activiteiten[[#Headers],[Adviseur]],"")))</f>
        <v/>
      </c>
      <c r="AP1120" t="str">
        <f>IF(ISNUMBER(FIND("arbeid",Methode_Keuze)),"",IF(ISNUMBER(FIND("arbeid",Methode_Keuze)),"",IF(Tb_Activiteiten[[#This Row],[Projectleider/Expert]]=1,Tb_Activiteiten[[#Headers],[Projectleider/Expert]],"")))</f>
        <v/>
      </c>
      <c r="AQ1120" t="str">
        <f>IF(ISNUMBER(FIND("arbeid",Methode_Keuze)),"",IF(ISNUMBER(FIND("arbeid",Methode_Keuze)),"",IF(Tb_Activiteiten[[#This Row],[Arbeidskosten]]=1,Tb_Activiteiten[[#Headers],[Arbeidskosten]],"")))</f>
        <v/>
      </c>
      <c r="AR1120" t="str">
        <f>IF(ISNUMBER(FIND("arbeid",Methode_Keuze)),"",IF(ISNUMBER(FIND("arbeid",Methode_Keuze)),"",IF(Tb_Activiteiten[[#This Row],[Arbeidskosten op basis van IKS]]=1,Tb_Activiteiten[[#Headers],[Arbeidskosten op basis van IKS]],"")))</f>
        <v/>
      </c>
      <c r="AS1120" t="str">
        <f>IF(ISNUMBER(FIND("overige",Methode_Keuze)),"",IF(Tb_Activiteiten[[#This Row],[Kosten derden exclusief btw]]=1,Tb_Activiteiten[[#Headers],[Kosten derden exclusief btw]],""))</f>
        <v/>
      </c>
      <c r="AT1120" t="str">
        <f>IF(ISNUMBER(FIND("overige",Methode_Keuze)),"",IF(Tb_Activiteiten[[#This Row],[Niet verrekenbare btw]]=1,Tb_Activiteiten[[#Headers],[Niet verrekenbare btw]],""))</f>
        <v/>
      </c>
      <c r="AU1120" t="str">
        <f>IF(ISNUMBER(FIND("overige",Methode_Keuze)),"",IF(Tb_Activiteiten[[#This Row],[Grondkosten]]=1,Tb_Activiteiten[[#Headers],[Grondkosten]],""))</f>
        <v/>
      </c>
      <c r="AV1120" t="str">
        <f>IF(ISNUMBER(FIND("overige",Methode_Keuze)),"",IF(Tb_Activiteiten[[#This Row],[Bijdrage in natura (overige)]]=1,Tb_Activiteiten[[#Headers],[Bijdrage in natura (overige)]],""))</f>
        <v/>
      </c>
      <c r="AW1120" t="str">
        <f>IF(ISNUMBER(FIND("overige",Methode_Keuze)),"",IF(Tb_Activiteiten[[#This Row],[Bijdrage in natura (vrijwilligers)]]=1,Tb_Activiteiten[[#Headers],[Bijdrage in natura (vrijwilligers)]],""))</f>
        <v/>
      </c>
      <c r="AX1120" t="str">
        <f>IF(ISNUMBER(FIND("overige",Methode_Keuze)),"",IF(Tb_Activiteiten[[#This Row],[Afschrijvingskosten]]=1,Tb_Activiteiten[[#Headers],[Afschrijvingskosten]],""))</f>
        <v/>
      </c>
      <c r="AY1120" t="str">
        <f>IF(ISNUMBER(FIND("overige",Methode_Keuze)),"",IF(Tb_Activiteiten[[#This Row],[Vergoeding]]=1,Tb_Activiteiten[[#Headers],[Vergoeding]],""))</f>
        <v/>
      </c>
      <c r="AZ1120" t="str">
        <f>IF(ISNUMBER(FIND("arbeid",Methode_Keuze)),"",IF(Tb_Activiteiten[[#This Row],[Arbeidskosten - vast tarief (excl eigen arbeid)]]=1,Tb_Activiteiten[[#Headers],[Arbeidskosten - vast tarief (excl eigen arbeid)]],""))</f>
        <v/>
      </c>
      <c r="BA1120" t="str">
        <f>IF(ISNUMBER(FIND("overige",Methode_Keuze)),"",IF(Tb_Activiteiten[[#This Row],[Overige kosten]]=1,Tb_Activiteiten[[#Headers],[Overige kosten]],""))</f>
        <v/>
      </c>
    </row>
    <row r="1121" spans="1:53" x14ac:dyDescent="0.25">
      <c r="A1121" s="139"/>
      <c r="B1121" s="139"/>
      <c r="C1121" s="139"/>
      <c r="D1121" s="139"/>
      <c r="E1121" s="139"/>
      <c r="F1121" s="139"/>
      <c r="G1121" s="139"/>
      <c r="O1121" s="56"/>
      <c r="Q1121" t="str">
        <f>IFERROR(IF(VLOOKUP(Tb_Activiteiten[[#This Row],[Openstelling]],Tb_Openstelling[],2,0)=1,1,""),"")</f>
        <v/>
      </c>
      <c r="AK1121" t="str">
        <f>IF(ISNUMBER(FIND("arbeid",Methode_Keuze)),"",IF(ISNUMBER(FIND("arbeid",Methode_Keuze)),"",IF(Tb_Activiteiten[[#This Row],[Loonkosten]]=1,Tb_Activiteiten[[#Headers],[Loonkosten]],"")))</f>
        <v/>
      </c>
      <c r="AL1121" t="str">
        <f>IF(ISNUMBER(FIND("arbeid",Methode_Keuze)),"",IF(ISNUMBER(FIND("arbeid",Methode_Keuze)),"",IF(Tb_Activiteiten[[#This Row],[Eigen arbeid]]=1,Tb_Activiteiten[[#Headers],[Eigen arbeid]],"")))</f>
        <v/>
      </c>
      <c r="AM1121" t="str">
        <f>IF(ISNUMBER(FIND("arbeid",Methode_Keuze)),"",IF(ISNUMBER(FIND("arbeid",Methode_Keuze)),"",IF(Tb_Activiteiten[[#This Row],[Projectmedewerker]]=1,Tb_Activiteiten[[#Headers],[Projectmedewerker]],"")))</f>
        <v/>
      </c>
      <c r="AN1121" t="str">
        <f>IF(ISNUMBER(FIND("arbeid",Methode_Keuze)),"",IF(ISNUMBER(FIND("arbeid",Methode_Keuze)),"",IF(Tb_Activiteiten[[#This Row],[Landbouwer]]=1,Tb_Activiteiten[[#Headers],[Landbouwer]],"")))</f>
        <v/>
      </c>
      <c r="AO1121" t="str">
        <f>IF(ISNUMBER(FIND("arbeid",Methode_Keuze)),"",IF(ISNUMBER(FIND("arbeid",Methode_Keuze)),"",IF(Tb_Activiteiten[[#This Row],[Adviseur]]=1,Tb_Activiteiten[[#Headers],[Adviseur]],"")))</f>
        <v/>
      </c>
      <c r="AP1121" t="str">
        <f>IF(ISNUMBER(FIND("arbeid",Methode_Keuze)),"",IF(ISNUMBER(FIND("arbeid",Methode_Keuze)),"",IF(Tb_Activiteiten[[#This Row],[Projectleider/Expert]]=1,Tb_Activiteiten[[#Headers],[Projectleider/Expert]],"")))</f>
        <v/>
      </c>
      <c r="AQ1121" t="str">
        <f>IF(ISNUMBER(FIND("arbeid",Methode_Keuze)),"",IF(ISNUMBER(FIND("arbeid",Methode_Keuze)),"",IF(Tb_Activiteiten[[#This Row],[Arbeidskosten]]=1,Tb_Activiteiten[[#Headers],[Arbeidskosten]],"")))</f>
        <v/>
      </c>
      <c r="AR1121" t="str">
        <f>IF(ISNUMBER(FIND("arbeid",Methode_Keuze)),"",IF(ISNUMBER(FIND("arbeid",Methode_Keuze)),"",IF(Tb_Activiteiten[[#This Row],[Arbeidskosten op basis van IKS]]=1,Tb_Activiteiten[[#Headers],[Arbeidskosten op basis van IKS]],"")))</f>
        <v/>
      </c>
      <c r="AS1121" t="str">
        <f>IF(ISNUMBER(FIND("overige",Methode_Keuze)),"",IF(Tb_Activiteiten[[#This Row],[Kosten derden exclusief btw]]=1,Tb_Activiteiten[[#Headers],[Kosten derden exclusief btw]],""))</f>
        <v/>
      </c>
      <c r="AT1121" t="str">
        <f>IF(ISNUMBER(FIND("overige",Methode_Keuze)),"",IF(Tb_Activiteiten[[#This Row],[Niet verrekenbare btw]]=1,Tb_Activiteiten[[#Headers],[Niet verrekenbare btw]],""))</f>
        <v/>
      </c>
      <c r="AU1121" t="str">
        <f>IF(ISNUMBER(FIND("overige",Methode_Keuze)),"",IF(Tb_Activiteiten[[#This Row],[Grondkosten]]=1,Tb_Activiteiten[[#Headers],[Grondkosten]],""))</f>
        <v/>
      </c>
      <c r="AV1121" t="str">
        <f>IF(ISNUMBER(FIND("overige",Methode_Keuze)),"",IF(Tb_Activiteiten[[#This Row],[Bijdrage in natura (overige)]]=1,Tb_Activiteiten[[#Headers],[Bijdrage in natura (overige)]],""))</f>
        <v/>
      </c>
      <c r="AW1121" t="str">
        <f>IF(ISNUMBER(FIND("overige",Methode_Keuze)),"",IF(Tb_Activiteiten[[#This Row],[Bijdrage in natura (vrijwilligers)]]=1,Tb_Activiteiten[[#Headers],[Bijdrage in natura (vrijwilligers)]],""))</f>
        <v/>
      </c>
      <c r="AX1121" t="str">
        <f>IF(ISNUMBER(FIND("overige",Methode_Keuze)),"",IF(Tb_Activiteiten[[#This Row],[Afschrijvingskosten]]=1,Tb_Activiteiten[[#Headers],[Afschrijvingskosten]],""))</f>
        <v/>
      </c>
      <c r="AY1121" t="str">
        <f>IF(ISNUMBER(FIND("overige",Methode_Keuze)),"",IF(Tb_Activiteiten[[#This Row],[Vergoeding]]=1,Tb_Activiteiten[[#Headers],[Vergoeding]],""))</f>
        <v/>
      </c>
      <c r="AZ1121" t="str">
        <f>IF(ISNUMBER(FIND("arbeid",Methode_Keuze)),"",IF(Tb_Activiteiten[[#This Row],[Arbeidskosten - vast tarief (excl eigen arbeid)]]=1,Tb_Activiteiten[[#Headers],[Arbeidskosten - vast tarief (excl eigen arbeid)]],""))</f>
        <v/>
      </c>
      <c r="BA1121" t="str">
        <f>IF(ISNUMBER(FIND("overige",Methode_Keuze)),"",IF(Tb_Activiteiten[[#This Row],[Overige kosten]]=1,Tb_Activiteiten[[#Headers],[Overige kosten]],""))</f>
        <v/>
      </c>
    </row>
    <row r="1122" spans="1:53" x14ac:dyDescent="0.25">
      <c r="A1122" s="139"/>
      <c r="B1122" s="139"/>
      <c r="C1122" s="139"/>
      <c r="D1122" s="139"/>
      <c r="E1122" s="139"/>
      <c r="F1122" s="139"/>
      <c r="G1122" s="139"/>
      <c r="O1122" s="56"/>
      <c r="Q1122" t="str">
        <f>IFERROR(IF(VLOOKUP(Tb_Activiteiten[[#This Row],[Openstelling]],Tb_Openstelling[],2,0)=1,1,""),"")</f>
        <v/>
      </c>
      <c r="AK1122" t="str">
        <f>IF(ISNUMBER(FIND("arbeid",Methode_Keuze)),"",IF(ISNUMBER(FIND("arbeid",Methode_Keuze)),"",IF(Tb_Activiteiten[[#This Row],[Loonkosten]]=1,Tb_Activiteiten[[#Headers],[Loonkosten]],"")))</f>
        <v/>
      </c>
      <c r="AL1122" t="str">
        <f>IF(ISNUMBER(FIND("arbeid",Methode_Keuze)),"",IF(ISNUMBER(FIND("arbeid",Methode_Keuze)),"",IF(Tb_Activiteiten[[#This Row],[Eigen arbeid]]=1,Tb_Activiteiten[[#Headers],[Eigen arbeid]],"")))</f>
        <v/>
      </c>
      <c r="AM1122" t="str">
        <f>IF(ISNUMBER(FIND("arbeid",Methode_Keuze)),"",IF(ISNUMBER(FIND("arbeid",Methode_Keuze)),"",IF(Tb_Activiteiten[[#This Row],[Projectmedewerker]]=1,Tb_Activiteiten[[#Headers],[Projectmedewerker]],"")))</f>
        <v/>
      </c>
      <c r="AN1122" t="str">
        <f>IF(ISNUMBER(FIND("arbeid",Methode_Keuze)),"",IF(ISNUMBER(FIND("arbeid",Methode_Keuze)),"",IF(Tb_Activiteiten[[#This Row],[Landbouwer]]=1,Tb_Activiteiten[[#Headers],[Landbouwer]],"")))</f>
        <v/>
      </c>
      <c r="AO1122" t="str">
        <f>IF(ISNUMBER(FIND("arbeid",Methode_Keuze)),"",IF(ISNUMBER(FIND("arbeid",Methode_Keuze)),"",IF(Tb_Activiteiten[[#This Row],[Adviseur]]=1,Tb_Activiteiten[[#Headers],[Adviseur]],"")))</f>
        <v/>
      </c>
      <c r="AP1122" t="str">
        <f>IF(ISNUMBER(FIND("arbeid",Methode_Keuze)),"",IF(ISNUMBER(FIND("arbeid",Methode_Keuze)),"",IF(Tb_Activiteiten[[#This Row],[Projectleider/Expert]]=1,Tb_Activiteiten[[#Headers],[Projectleider/Expert]],"")))</f>
        <v/>
      </c>
      <c r="AQ1122" t="str">
        <f>IF(ISNUMBER(FIND("arbeid",Methode_Keuze)),"",IF(ISNUMBER(FIND("arbeid",Methode_Keuze)),"",IF(Tb_Activiteiten[[#This Row],[Arbeidskosten]]=1,Tb_Activiteiten[[#Headers],[Arbeidskosten]],"")))</f>
        <v/>
      </c>
      <c r="AR1122" t="str">
        <f>IF(ISNUMBER(FIND("arbeid",Methode_Keuze)),"",IF(ISNUMBER(FIND("arbeid",Methode_Keuze)),"",IF(Tb_Activiteiten[[#This Row],[Arbeidskosten op basis van IKS]]=1,Tb_Activiteiten[[#Headers],[Arbeidskosten op basis van IKS]],"")))</f>
        <v/>
      </c>
      <c r="AS1122" t="str">
        <f>IF(ISNUMBER(FIND("overige",Methode_Keuze)),"",IF(Tb_Activiteiten[[#This Row],[Kosten derden exclusief btw]]=1,Tb_Activiteiten[[#Headers],[Kosten derden exclusief btw]],""))</f>
        <v/>
      </c>
      <c r="AT1122" t="str">
        <f>IF(ISNUMBER(FIND("overige",Methode_Keuze)),"",IF(Tb_Activiteiten[[#This Row],[Niet verrekenbare btw]]=1,Tb_Activiteiten[[#Headers],[Niet verrekenbare btw]],""))</f>
        <v/>
      </c>
      <c r="AU1122" t="str">
        <f>IF(ISNUMBER(FIND("overige",Methode_Keuze)),"",IF(Tb_Activiteiten[[#This Row],[Grondkosten]]=1,Tb_Activiteiten[[#Headers],[Grondkosten]],""))</f>
        <v/>
      </c>
      <c r="AV1122" t="str">
        <f>IF(ISNUMBER(FIND("overige",Methode_Keuze)),"",IF(Tb_Activiteiten[[#This Row],[Bijdrage in natura (overige)]]=1,Tb_Activiteiten[[#Headers],[Bijdrage in natura (overige)]],""))</f>
        <v/>
      </c>
      <c r="AW1122" t="str">
        <f>IF(ISNUMBER(FIND("overige",Methode_Keuze)),"",IF(Tb_Activiteiten[[#This Row],[Bijdrage in natura (vrijwilligers)]]=1,Tb_Activiteiten[[#Headers],[Bijdrage in natura (vrijwilligers)]],""))</f>
        <v/>
      </c>
      <c r="AX1122" t="str">
        <f>IF(ISNUMBER(FIND("overige",Methode_Keuze)),"",IF(Tb_Activiteiten[[#This Row],[Afschrijvingskosten]]=1,Tb_Activiteiten[[#Headers],[Afschrijvingskosten]],""))</f>
        <v/>
      </c>
      <c r="AY1122" t="str">
        <f>IF(ISNUMBER(FIND("overige",Methode_Keuze)),"",IF(Tb_Activiteiten[[#This Row],[Vergoeding]]=1,Tb_Activiteiten[[#Headers],[Vergoeding]],""))</f>
        <v/>
      </c>
      <c r="AZ1122" t="str">
        <f>IF(ISNUMBER(FIND("arbeid",Methode_Keuze)),"",IF(Tb_Activiteiten[[#This Row],[Arbeidskosten - vast tarief (excl eigen arbeid)]]=1,Tb_Activiteiten[[#Headers],[Arbeidskosten - vast tarief (excl eigen arbeid)]],""))</f>
        <v/>
      </c>
      <c r="BA1122" t="str">
        <f>IF(ISNUMBER(FIND("overige",Methode_Keuze)),"",IF(Tb_Activiteiten[[#This Row],[Overige kosten]]=1,Tb_Activiteiten[[#Headers],[Overige kosten]],""))</f>
        <v/>
      </c>
    </row>
    <row r="1123" spans="1:53" x14ac:dyDescent="0.25">
      <c r="A1123" s="139"/>
      <c r="B1123" s="139"/>
      <c r="C1123" s="139"/>
      <c r="D1123" s="139"/>
      <c r="E1123" s="139"/>
      <c r="F1123" s="139"/>
      <c r="G1123" s="139"/>
      <c r="O1123" s="56"/>
      <c r="Q1123" t="str">
        <f>IFERROR(IF(VLOOKUP(Tb_Activiteiten[[#This Row],[Openstelling]],Tb_Openstelling[],2,0)=1,1,""),"")</f>
        <v/>
      </c>
      <c r="AK1123" t="str">
        <f>IF(ISNUMBER(FIND("arbeid",Methode_Keuze)),"",IF(ISNUMBER(FIND("arbeid",Methode_Keuze)),"",IF(Tb_Activiteiten[[#This Row],[Loonkosten]]=1,Tb_Activiteiten[[#Headers],[Loonkosten]],"")))</f>
        <v/>
      </c>
      <c r="AL1123" t="str">
        <f>IF(ISNUMBER(FIND("arbeid",Methode_Keuze)),"",IF(ISNUMBER(FIND("arbeid",Methode_Keuze)),"",IF(Tb_Activiteiten[[#This Row],[Eigen arbeid]]=1,Tb_Activiteiten[[#Headers],[Eigen arbeid]],"")))</f>
        <v/>
      </c>
      <c r="AM1123" t="str">
        <f>IF(ISNUMBER(FIND("arbeid",Methode_Keuze)),"",IF(ISNUMBER(FIND("arbeid",Methode_Keuze)),"",IF(Tb_Activiteiten[[#This Row],[Projectmedewerker]]=1,Tb_Activiteiten[[#Headers],[Projectmedewerker]],"")))</f>
        <v/>
      </c>
      <c r="AN1123" t="str">
        <f>IF(ISNUMBER(FIND("arbeid",Methode_Keuze)),"",IF(ISNUMBER(FIND("arbeid",Methode_Keuze)),"",IF(Tb_Activiteiten[[#This Row],[Landbouwer]]=1,Tb_Activiteiten[[#Headers],[Landbouwer]],"")))</f>
        <v/>
      </c>
      <c r="AO1123" t="str">
        <f>IF(ISNUMBER(FIND("arbeid",Methode_Keuze)),"",IF(ISNUMBER(FIND("arbeid",Methode_Keuze)),"",IF(Tb_Activiteiten[[#This Row],[Adviseur]]=1,Tb_Activiteiten[[#Headers],[Adviseur]],"")))</f>
        <v/>
      </c>
      <c r="AP1123" t="str">
        <f>IF(ISNUMBER(FIND("arbeid",Methode_Keuze)),"",IF(ISNUMBER(FIND("arbeid",Methode_Keuze)),"",IF(Tb_Activiteiten[[#This Row],[Projectleider/Expert]]=1,Tb_Activiteiten[[#Headers],[Projectleider/Expert]],"")))</f>
        <v/>
      </c>
      <c r="AQ1123" t="str">
        <f>IF(ISNUMBER(FIND("arbeid",Methode_Keuze)),"",IF(ISNUMBER(FIND("arbeid",Methode_Keuze)),"",IF(Tb_Activiteiten[[#This Row],[Arbeidskosten]]=1,Tb_Activiteiten[[#Headers],[Arbeidskosten]],"")))</f>
        <v/>
      </c>
      <c r="AR1123" t="str">
        <f>IF(ISNUMBER(FIND("arbeid",Methode_Keuze)),"",IF(ISNUMBER(FIND("arbeid",Methode_Keuze)),"",IF(Tb_Activiteiten[[#This Row],[Arbeidskosten op basis van IKS]]=1,Tb_Activiteiten[[#Headers],[Arbeidskosten op basis van IKS]],"")))</f>
        <v/>
      </c>
      <c r="AS1123" t="str">
        <f>IF(ISNUMBER(FIND("overige",Methode_Keuze)),"",IF(Tb_Activiteiten[[#This Row],[Kosten derden exclusief btw]]=1,Tb_Activiteiten[[#Headers],[Kosten derden exclusief btw]],""))</f>
        <v/>
      </c>
      <c r="AT1123" t="str">
        <f>IF(ISNUMBER(FIND("overige",Methode_Keuze)),"",IF(Tb_Activiteiten[[#This Row],[Niet verrekenbare btw]]=1,Tb_Activiteiten[[#Headers],[Niet verrekenbare btw]],""))</f>
        <v/>
      </c>
      <c r="AU1123" t="str">
        <f>IF(ISNUMBER(FIND("overige",Methode_Keuze)),"",IF(Tb_Activiteiten[[#This Row],[Grondkosten]]=1,Tb_Activiteiten[[#Headers],[Grondkosten]],""))</f>
        <v/>
      </c>
      <c r="AV1123" t="str">
        <f>IF(ISNUMBER(FIND("overige",Methode_Keuze)),"",IF(Tb_Activiteiten[[#This Row],[Bijdrage in natura (overige)]]=1,Tb_Activiteiten[[#Headers],[Bijdrage in natura (overige)]],""))</f>
        <v/>
      </c>
      <c r="AW1123" t="str">
        <f>IF(ISNUMBER(FIND("overige",Methode_Keuze)),"",IF(Tb_Activiteiten[[#This Row],[Bijdrage in natura (vrijwilligers)]]=1,Tb_Activiteiten[[#Headers],[Bijdrage in natura (vrijwilligers)]],""))</f>
        <v/>
      </c>
      <c r="AX1123" t="str">
        <f>IF(ISNUMBER(FIND("overige",Methode_Keuze)),"",IF(Tb_Activiteiten[[#This Row],[Afschrijvingskosten]]=1,Tb_Activiteiten[[#Headers],[Afschrijvingskosten]],""))</f>
        <v/>
      </c>
      <c r="AY1123" t="str">
        <f>IF(ISNUMBER(FIND("overige",Methode_Keuze)),"",IF(Tb_Activiteiten[[#This Row],[Vergoeding]]=1,Tb_Activiteiten[[#Headers],[Vergoeding]],""))</f>
        <v/>
      </c>
      <c r="AZ1123" t="str">
        <f>IF(ISNUMBER(FIND("arbeid",Methode_Keuze)),"",IF(Tb_Activiteiten[[#This Row],[Arbeidskosten - vast tarief (excl eigen arbeid)]]=1,Tb_Activiteiten[[#Headers],[Arbeidskosten - vast tarief (excl eigen arbeid)]],""))</f>
        <v/>
      </c>
      <c r="BA1123" t="str">
        <f>IF(ISNUMBER(FIND("overige",Methode_Keuze)),"",IF(Tb_Activiteiten[[#This Row],[Overige kosten]]=1,Tb_Activiteiten[[#Headers],[Overige kosten]],""))</f>
        <v/>
      </c>
    </row>
    <row r="1124" spans="1:53" x14ac:dyDescent="0.25">
      <c r="A1124" s="139"/>
      <c r="B1124" s="139"/>
      <c r="C1124" s="139"/>
      <c r="D1124" s="139"/>
      <c r="E1124" s="139"/>
      <c r="F1124" s="139"/>
      <c r="G1124" s="139"/>
      <c r="O1124" s="56"/>
      <c r="Q1124" t="str">
        <f>IFERROR(IF(VLOOKUP(Tb_Activiteiten[[#This Row],[Openstelling]],Tb_Openstelling[],2,0)=1,1,""),"")</f>
        <v/>
      </c>
      <c r="AK1124" t="str">
        <f>IF(ISNUMBER(FIND("arbeid",Methode_Keuze)),"",IF(ISNUMBER(FIND("arbeid",Methode_Keuze)),"",IF(Tb_Activiteiten[[#This Row],[Loonkosten]]=1,Tb_Activiteiten[[#Headers],[Loonkosten]],"")))</f>
        <v/>
      </c>
      <c r="AL1124" t="str">
        <f>IF(ISNUMBER(FIND("arbeid",Methode_Keuze)),"",IF(ISNUMBER(FIND("arbeid",Methode_Keuze)),"",IF(Tb_Activiteiten[[#This Row],[Eigen arbeid]]=1,Tb_Activiteiten[[#Headers],[Eigen arbeid]],"")))</f>
        <v/>
      </c>
      <c r="AM1124" t="str">
        <f>IF(ISNUMBER(FIND("arbeid",Methode_Keuze)),"",IF(ISNUMBER(FIND("arbeid",Methode_Keuze)),"",IF(Tb_Activiteiten[[#This Row],[Projectmedewerker]]=1,Tb_Activiteiten[[#Headers],[Projectmedewerker]],"")))</f>
        <v/>
      </c>
      <c r="AN1124" t="str">
        <f>IF(ISNUMBER(FIND("arbeid",Methode_Keuze)),"",IF(ISNUMBER(FIND("arbeid",Methode_Keuze)),"",IF(Tb_Activiteiten[[#This Row],[Landbouwer]]=1,Tb_Activiteiten[[#Headers],[Landbouwer]],"")))</f>
        <v/>
      </c>
      <c r="AO1124" t="str">
        <f>IF(ISNUMBER(FIND("arbeid",Methode_Keuze)),"",IF(ISNUMBER(FIND("arbeid",Methode_Keuze)),"",IF(Tb_Activiteiten[[#This Row],[Adviseur]]=1,Tb_Activiteiten[[#Headers],[Adviseur]],"")))</f>
        <v/>
      </c>
      <c r="AP1124" t="str">
        <f>IF(ISNUMBER(FIND("arbeid",Methode_Keuze)),"",IF(ISNUMBER(FIND("arbeid",Methode_Keuze)),"",IF(Tb_Activiteiten[[#This Row],[Projectleider/Expert]]=1,Tb_Activiteiten[[#Headers],[Projectleider/Expert]],"")))</f>
        <v/>
      </c>
      <c r="AQ1124" t="str">
        <f>IF(ISNUMBER(FIND("arbeid",Methode_Keuze)),"",IF(ISNUMBER(FIND("arbeid",Methode_Keuze)),"",IF(Tb_Activiteiten[[#This Row],[Arbeidskosten]]=1,Tb_Activiteiten[[#Headers],[Arbeidskosten]],"")))</f>
        <v/>
      </c>
      <c r="AR1124" t="str">
        <f>IF(ISNUMBER(FIND("arbeid",Methode_Keuze)),"",IF(ISNUMBER(FIND("arbeid",Methode_Keuze)),"",IF(Tb_Activiteiten[[#This Row],[Arbeidskosten op basis van IKS]]=1,Tb_Activiteiten[[#Headers],[Arbeidskosten op basis van IKS]],"")))</f>
        <v/>
      </c>
      <c r="AS1124" t="str">
        <f>IF(ISNUMBER(FIND("overige",Methode_Keuze)),"",IF(Tb_Activiteiten[[#This Row],[Kosten derden exclusief btw]]=1,Tb_Activiteiten[[#Headers],[Kosten derden exclusief btw]],""))</f>
        <v/>
      </c>
      <c r="AT1124" t="str">
        <f>IF(ISNUMBER(FIND("overige",Methode_Keuze)),"",IF(Tb_Activiteiten[[#This Row],[Niet verrekenbare btw]]=1,Tb_Activiteiten[[#Headers],[Niet verrekenbare btw]],""))</f>
        <v/>
      </c>
      <c r="AU1124" t="str">
        <f>IF(ISNUMBER(FIND("overige",Methode_Keuze)),"",IF(Tb_Activiteiten[[#This Row],[Grondkosten]]=1,Tb_Activiteiten[[#Headers],[Grondkosten]],""))</f>
        <v/>
      </c>
      <c r="AV1124" t="str">
        <f>IF(ISNUMBER(FIND("overige",Methode_Keuze)),"",IF(Tb_Activiteiten[[#This Row],[Bijdrage in natura (overige)]]=1,Tb_Activiteiten[[#Headers],[Bijdrage in natura (overige)]],""))</f>
        <v/>
      </c>
      <c r="AW1124" t="str">
        <f>IF(ISNUMBER(FIND("overige",Methode_Keuze)),"",IF(Tb_Activiteiten[[#This Row],[Bijdrage in natura (vrijwilligers)]]=1,Tb_Activiteiten[[#Headers],[Bijdrage in natura (vrijwilligers)]],""))</f>
        <v/>
      </c>
      <c r="AX1124" t="str">
        <f>IF(ISNUMBER(FIND("overige",Methode_Keuze)),"",IF(Tb_Activiteiten[[#This Row],[Afschrijvingskosten]]=1,Tb_Activiteiten[[#Headers],[Afschrijvingskosten]],""))</f>
        <v/>
      </c>
      <c r="AY1124" t="str">
        <f>IF(ISNUMBER(FIND("overige",Methode_Keuze)),"",IF(Tb_Activiteiten[[#This Row],[Vergoeding]]=1,Tb_Activiteiten[[#Headers],[Vergoeding]],""))</f>
        <v/>
      </c>
      <c r="AZ1124" t="str">
        <f>IF(ISNUMBER(FIND("arbeid",Methode_Keuze)),"",IF(Tb_Activiteiten[[#This Row],[Arbeidskosten - vast tarief (excl eigen arbeid)]]=1,Tb_Activiteiten[[#Headers],[Arbeidskosten - vast tarief (excl eigen arbeid)]],""))</f>
        <v/>
      </c>
      <c r="BA1124" t="str">
        <f>IF(ISNUMBER(FIND("overige",Methode_Keuze)),"",IF(Tb_Activiteiten[[#This Row],[Overige kosten]]=1,Tb_Activiteiten[[#Headers],[Overige kosten]],""))</f>
        <v/>
      </c>
    </row>
    <row r="1125" spans="1:53" x14ac:dyDescent="0.25">
      <c r="A1125" s="139"/>
      <c r="B1125" s="139"/>
      <c r="C1125" s="139"/>
      <c r="D1125" s="139"/>
      <c r="E1125" s="139"/>
      <c r="F1125" s="139"/>
      <c r="G1125" s="139"/>
      <c r="O1125" s="56"/>
      <c r="Q1125" t="str">
        <f>IFERROR(IF(VLOOKUP(Tb_Activiteiten[[#This Row],[Openstelling]],Tb_Openstelling[],2,0)=1,1,""),"")</f>
        <v/>
      </c>
      <c r="AK1125" t="str">
        <f>IF(ISNUMBER(FIND("arbeid",Methode_Keuze)),"",IF(ISNUMBER(FIND("arbeid",Methode_Keuze)),"",IF(Tb_Activiteiten[[#This Row],[Loonkosten]]=1,Tb_Activiteiten[[#Headers],[Loonkosten]],"")))</f>
        <v/>
      </c>
      <c r="AL1125" t="str">
        <f>IF(ISNUMBER(FIND("arbeid",Methode_Keuze)),"",IF(ISNUMBER(FIND("arbeid",Methode_Keuze)),"",IF(Tb_Activiteiten[[#This Row],[Eigen arbeid]]=1,Tb_Activiteiten[[#Headers],[Eigen arbeid]],"")))</f>
        <v/>
      </c>
      <c r="AM1125" t="str">
        <f>IF(ISNUMBER(FIND("arbeid",Methode_Keuze)),"",IF(ISNUMBER(FIND("arbeid",Methode_Keuze)),"",IF(Tb_Activiteiten[[#This Row],[Projectmedewerker]]=1,Tb_Activiteiten[[#Headers],[Projectmedewerker]],"")))</f>
        <v/>
      </c>
      <c r="AN1125" t="str">
        <f>IF(ISNUMBER(FIND("arbeid",Methode_Keuze)),"",IF(ISNUMBER(FIND("arbeid",Methode_Keuze)),"",IF(Tb_Activiteiten[[#This Row],[Landbouwer]]=1,Tb_Activiteiten[[#Headers],[Landbouwer]],"")))</f>
        <v/>
      </c>
      <c r="AO1125" t="str">
        <f>IF(ISNUMBER(FIND("arbeid",Methode_Keuze)),"",IF(ISNUMBER(FIND("arbeid",Methode_Keuze)),"",IF(Tb_Activiteiten[[#This Row],[Adviseur]]=1,Tb_Activiteiten[[#Headers],[Adviseur]],"")))</f>
        <v/>
      </c>
      <c r="AP1125" t="str">
        <f>IF(ISNUMBER(FIND("arbeid",Methode_Keuze)),"",IF(ISNUMBER(FIND("arbeid",Methode_Keuze)),"",IF(Tb_Activiteiten[[#This Row],[Projectleider/Expert]]=1,Tb_Activiteiten[[#Headers],[Projectleider/Expert]],"")))</f>
        <v/>
      </c>
      <c r="AQ1125" t="str">
        <f>IF(ISNUMBER(FIND("arbeid",Methode_Keuze)),"",IF(ISNUMBER(FIND("arbeid",Methode_Keuze)),"",IF(Tb_Activiteiten[[#This Row],[Arbeidskosten]]=1,Tb_Activiteiten[[#Headers],[Arbeidskosten]],"")))</f>
        <v/>
      </c>
      <c r="AR1125" t="str">
        <f>IF(ISNUMBER(FIND("arbeid",Methode_Keuze)),"",IF(ISNUMBER(FIND("arbeid",Methode_Keuze)),"",IF(Tb_Activiteiten[[#This Row],[Arbeidskosten op basis van IKS]]=1,Tb_Activiteiten[[#Headers],[Arbeidskosten op basis van IKS]],"")))</f>
        <v/>
      </c>
      <c r="AS1125" t="str">
        <f>IF(ISNUMBER(FIND("overige",Methode_Keuze)),"",IF(Tb_Activiteiten[[#This Row],[Kosten derden exclusief btw]]=1,Tb_Activiteiten[[#Headers],[Kosten derden exclusief btw]],""))</f>
        <v/>
      </c>
      <c r="AT1125" t="str">
        <f>IF(ISNUMBER(FIND("overige",Methode_Keuze)),"",IF(Tb_Activiteiten[[#This Row],[Niet verrekenbare btw]]=1,Tb_Activiteiten[[#Headers],[Niet verrekenbare btw]],""))</f>
        <v/>
      </c>
      <c r="AU1125" t="str">
        <f>IF(ISNUMBER(FIND("overige",Methode_Keuze)),"",IF(Tb_Activiteiten[[#This Row],[Grondkosten]]=1,Tb_Activiteiten[[#Headers],[Grondkosten]],""))</f>
        <v/>
      </c>
      <c r="AV1125" t="str">
        <f>IF(ISNUMBER(FIND("overige",Methode_Keuze)),"",IF(Tb_Activiteiten[[#This Row],[Bijdrage in natura (overige)]]=1,Tb_Activiteiten[[#Headers],[Bijdrage in natura (overige)]],""))</f>
        <v/>
      </c>
      <c r="AW1125" t="str">
        <f>IF(ISNUMBER(FIND("overige",Methode_Keuze)),"",IF(Tb_Activiteiten[[#This Row],[Bijdrage in natura (vrijwilligers)]]=1,Tb_Activiteiten[[#Headers],[Bijdrage in natura (vrijwilligers)]],""))</f>
        <v/>
      </c>
      <c r="AX1125" t="str">
        <f>IF(ISNUMBER(FIND("overige",Methode_Keuze)),"",IF(Tb_Activiteiten[[#This Row],[Afschrijvingskosten]]=1,Tb_Activiteiten[[#Headers],[Afschrijvingskosten]],""))</f>
        <v/>
      </c>
      <c r="AY1125" t="str">
        <f>IF(ISNUMBER(FIND("overige",Methode_Keuze)),"",IF(Tb_Activiteiten[[#This Row],[Vergoeding]]=1,Tb_Activiteiten[[#Headers],[Vergoeding]],""))</f>
        <v/>
      </c>
      <c r="AZ1125" t="str">
        <f>IF(ISNUMBER(FIND("arbeid",Methode_Keuze)),"",IF(Tb_Activiteiten[[#This Row],[Arbeidskosten - vast tarief (excl eigen arbeid)]]=1,Tb_Activiteiten[[#Headers],[Arbeidskosten - vast tarief (excl eigen arbeid)]],""))</f>
        <v/>
      </c>
      <c r="BA1125" t="str">
        <f>IF(ISNUMBER(FIND("overige",Methode_Keuze)),"",IF(Tb_Activiteiten[[#This Row],[Overige kosten]]=1,Tb_Activiteiten[[#Headers],[Overige kosten]],""))</f>
        <v/>
      </c>
    </row>
    <row r="1126" spans="1:53" x14ac:dyDescent="0.25">
      <c r="A1126" s="139"/>
      <c r="B1126" s="139"/>
      <c r="C1126" s="139"/>
      <c r="D1126" s="139"/>
      <c r="E1126" s="139"/>
      <c r="F1126" s="139"/>
      <c r="G1126" s="139"/>
      <c r="O1126" s="56"/>
      <c r="Q1126" t="str">
        <f>IFERROR(IF(VLOOKUP(Tb_Activiteiten[[#This Row],[Openstelling]],Tb_Openstelling[],2,0)=1,1,""),"")</f>
        <v/>
      </c>
      <c r="AK1126" t="str">
        <f>IF(ISNUMBER(FIND("arbeid",Methode_Keuze)),"",IF(ISNUMBER(FIND("arbeid",Methode_Keuze)),"",IF(Tb_Activiteiten[[#This Row],[Loonkosten]]=1,Tb_Activiteiten[[#Headers],[Loonkosten]],"")))</f>
        <v/>
      </c>
      <c r="AL1126" t="str">
        <f>IF(ISNUMBER(FIND("arbeid",Methode_Keuze)),"",IF(ISNUMBER(FIND("arbeid",Methode_Keuze)),"",IF(Tb_Activiteiten[[#This Row],[Eigen arbeid]]=1,Tb_Activiteiten[[#Headers],[Eigen arbeid]],"")))</f>
        <v/>
      </c>
      <c r="AM1126" t="str">
        <f>IF(ISNUMBER(FIND("arbeid",Methode_Keuze)),"",IF(ISNUMBER(FIND("arbeid",Methode_Keuze)),"",IF(Tb_Activiteiten[[#This Row],[Projectmedewerker]]=1,Tb_Activiteiten[[#Headers],[Projectmedewerker]],"")))</f>
        <v/>
      </c>
      <c r="AN1126" t="str">
        <f>IF(ISNUMBER(FIND("arbeid",Methode_Keuze)),"",IF(ISNUMBER(FIND("arbeid",Methode_Keuze)),"",IF(Tb_Activiteiten[[#This Row],[Landbouwer]]=1,Tb_Activiteiten[[#Headers],[Landbouwer]],"")))</f>
        <v/>
      </c>
      <c r="AO1126" t="str">
        <f>IF(ISNUMBER(FIND("arbeid",Methode_Keuze)),"",IF(ISNUMBER(FIND("arbeid",Methode_Keuze)),"",IF(Tb_Activiteiten[[#This Row],[Adviseur]]=1,Tb_Activiteiten[[#Headers],[Adviseur]],"")))</f>
        <v/>
      </c>
      <c r="AP1126" t="str">
        <f>IF(ISNUMBER(FIND("arbeid",Methode_Keuze)),"",IF(ISNUMBER(FIND("arbeid",Methode_Keuze)),"",IF(Tb_Activiteiten[[#This Row],[Projectleider/Expert]]=1,Tb_Activiteiten[[#Headers],[Projectleider/Expert]],"")))</f>
        <v/>
      </c>
      <c r="AQ1126" t="str">
        <f>IF(ISNUMBER(FIND("arbeid",Methode_Keuze)),"",IF(ISNUMBER(FIND("arbeid",Methode_Keuze)),"",IF(Tb_Activiteiten[[#This Row],[Arbeidskosten]]=1,Tb_Activiteiten[[#Headers],[Arbeidskosten]],"")))</f>
        <v/>
      </c>
      <c r="AR1126" t="str">
        <f>IF(ISNUMBER(FIND("arbeid",Methode_Keuze)),"",IF(ISNUMBER(FIND("arbeid",Methode_Keuze)),"",IF(Tb_Activiteiten[[#This Row],[Arbeidskosten op basis van IKS]]=1,Tb_Activiteiten[[#Headers],[Arbeidskosten op basis van IKS]],"")))</f>
        <v/>
      </c>
      <c r="AS1126" t="str">
        <f>IF(ISNUMBER(FIND("overige",Methode_Keuze)),"",IF(Tb_Activiteiten[[#This Row],[Kosten derden exclusief btw]]=1,Tb_Activiteiten[[#Headers],[Kosten derden exclusief btw]],""))</f>
        <v/>
      </c>
      <c r="AT1126" t="str">
        <f>IF(ISNUMBER(FIND("overige",Methode_Keuze)),"",IF(Tb_Activiteiten[[#This Row],[Niet verrekenbare btw]]=1,Tb_Activiteiten[[#Headers],[Niet verrekenbare btw]],""))</f>
        <v/>
      </c>
      <c r="AU1126" t="str">
        <f>IF(ISNUMBER(FIND("overige",Methode_Keuze)),"",IF(Tb_Activiteiten[[#This Row],[Grondkosten]]=1,Tb_Activiteiten[[#Headers],[Grondkosten]],""))</f>
        <v/>
      </c>
      <c r="AV1126" t="str">
        <f>IF(ISNUMBER(FIND("overige",Methode_Keuze)),"",IF(Tb_Activiteiten[[#This Row],[Bijdrage in natura (overige)]]=1,Tb_Activiteiten[[#Headers],[Bijdrage in natura (overige)]],""))</f>
        <v/>
      </c>
      <c r="AW1126" t="str">
        <f>IF(ISNUMBER(FIND("overige",Methode_Keuze)),"",IF(Tb_Activiteiten[[#This Row],[Bijdrage in natura (vrijwilligers)]]=1,Tb_Activiteiten[[#Headers],[Bijdrage in natura (vrijwilligers)]],""))</f>
        <v/>
      </c>
      <c r="AX1126" t="str">
        <f>IF(ISNUMBER(FIND("overige",Methode_Keuze)),"",IF(Tb_Activiteiten[[#This Row],[Afschrijvingskosten]]=1,Tb_Activiteiten[[#Headers],[Afschrijvingskosten]],""))</f>
        <v/>
      </c>
      <c r="AY1126" t="str">
        <f>IF(ISNUMBER(FIND("overige",Methode_Keuze)),"",IF(Tb_Activiteiten[[#This Row],[Vergoeding]]=1,Tb_Activiteiten[[#Headers],[Vergoeding]],""))</f>
        <v/>
      </c>
      <c r="AZ1126" t="str">
        <f>IF(ISNUMBER(FIND("arbeid",Methode_Keuze)),"",IF(Tb_Activiteiten[[#This Row],[Arbeidskosten - vast tarief (excl eigen arbeid)]]=1,Tb_Activiteiten[[#Headers],[Arbeidskosten - vast tarief (excl eigen arbeid)]],""))</f>
        <v/>
      </c>
      <c r="BA1126" t="str">
        <f>IF(ISNUMBER(FIND("overige",Methode_Keuze)),"",IF(Tb_Activiteiten[[#This Row],[Overige kosten]]=1,Tb_Activiteiten[[#Headers],[Overige kosten]],""))</f>
        <v/>
      </c>
    </row>
    <row r="1127" spans="1:53" x14ac:dyDescent="0.25">
      <c r="A1127" s="139"/>
      <c r="B1127" s="139"/>
      <c r="C1127" s="139"/>
      <c r="D1127" s="139"/>
      <c r="E1127" s="139"/>
      <c r="F1127" s="139"/>
      <c r="G1127" s="139"/>
      <c r="O1127" s="56"/>
      <c r="Q1127" t="str">
        <f>IFERROR(IF(VLOOKUP(Tb_Activiteiten[[#This Row],[Openstelling]],Tb_Openstelling[],2,0)=1,1,""),"")</f>
        <v/>
      </c>
      <c r="AK1127" t="str">
        <f>IF(ISNUMBER(FIND("arbeid",Methode_Keuze)),"",IF(ISNUMBER(FIND("arbeid",Methode_Keuze)),"",IF(Tb_Activiteiten[[#This Row],[Loonkosten]]=1,Tb_Activiteiten[[#Headers],[Loonkosten]],"")))</f>
        <v/>
      </c>
      <c r="AL1127" t="str">
        <f>IF(ISNUMBER(FIND("arbeid",Methode_Keuze)),"",IF(ISNUMBER(FIND("arbeid",Methode_Keuze)),"",IF(Tb_Activiteiten[[#This Row],[Eigen arbeid]]=1,Tb_Activiteiten[[#Headers],[Eigen arbeid]],"")))</f>
        <v/>
      </c>
      <c r="AM1127" t="str">
        <f>IF(ISNUMBER(FIND("arbeid",Methode_Keuze)),"",IF(ISNUMBER(FIND("arbeid",Methode_Keuze)),"",IF(Tb_Activiteiten[[#This Row],[Projectmedewerker]]=1,Tb_Activiteiten[[#Headers],[Projectmedewerker]],"")))</f>
        <v/>
      </c>
      <c r="AN1127" t="str">
        <f>IF(ISNUMBER(FIND("arbeid",Methode_Keuze)),"",IF(ISNUMBER(FIND("arbeid",Methode_Keuze)),"",IF(Tb_Activiteiten[[#This Row],[Landbouwer]]=1,Tb_Activiteiten[[#Headers],[Landbouwer]],"")))</f>
        <v/>
      </c>
      <c r="AO1127" t="str">
        <f>IF(ISNUMBER(FIND("arbeid",Methode_Keuze)),"",IF(ISNUMBER(FIND("arbeid",Methode_Keuze)),"",IF(Tb_Activiteiten[[#This Row],[Adviseur]]=1,Tb_Activiteiten[[#Headers],[Adviseur]],"")))</f>
        <v/>
      </c>
      <c r="AP1127" t="str">
        <f>IF(ISNUMBER(FIND("arbeid",Methode_Keuze)),"",IF(ISNUMBER(FIND("arbeid",Methode_Keuze)),"",IF(Tb_Activiteiten[[#This Row],[Projectleider/Expert]]=1,Tb_Activiteiten[[#Headers],[Projectleider/Expert]],"")))</f>
        <v/>
      </c>
      <c r="AQ1127" t="str">
        <f>IF(ISNUMBER(FIND("arbeid",Methode_Keuze)),"",IF(ISNUMBER(FIND("arbeid",Methode_Keuze)),"",IF(Tb_Activiteiten[[#This Row],[Arbeidskosten]]=1,Tb_Activiteiten[[#Headers],[Arbeidskosten]],"")))</f>
        <v/>
      </c>
      <c r="AR1127" t="str">
        <f>IF(ISNUMBER(FIND("arbeid",Methode_Keuze)),"",IF(ISNUMBER(FIND("arbeid",Methode_Keuze)),"",IF(Tb_Activiteiten[[#This Row],[Arbeidskosten op basis van IKS]]=1,Tb_Activiteiten[[#Headers],[Arbeidskosten op basis van IKS]],"")))</f>
        <v/>
      </c>
      <c r="AS1127" t="str">
        <f>IF(ISNUMBER(FIND("overige",Methode_Keuze)),"",IF(Tb_Activiteiten[[#This Row],[Kosten derden exclusief btw]]=1,Tb_Activiteiten[[#Headers],[Kosten derden exclusief btw]],""))</f>
        <v/>
      </c>
      <c r="AT1127" t="str">
        <f>IF(ISNUMBER(FIND("overige",Methode_Keuze)),"",IF(Tb_Activiteiten[[#This Row],[Niet verrekenbare btw]]=1,Tb_Activiteiten[[#Headers],[Niet verrekenbare btw]],""))</f>
        <v/>
      </c>
      <c r="AU1127" t="str">
        <f>IF(ISNUMBER(FIND("overige",Methode_Keuze)),"",IF(Tb_Activiteiten[[#This Row],[Grondkosten]]=1,Tb_Activiteiten[[#Headers],[Grondkosten]],""))</f>
        <v/>
      </c>
      <c r="AV1127" t="str">
        <f>IF(ISNUMBER(FIND("overige",Methode_Keuze)),"",IF(Tb_Activiteiten[[#This Row],[Bijdrage in natura (overige)]]=1,Tb_Activiteiten[[#Headers],[Bijdrage in natura (overige)]],""))</f>
        <v/>
      </c>
      <c r="AW1127" t="str">
        <f>IF(ISNUMBER(FIND("overige",Methode_Keuze)),"",IF(Tb_Activiteiten[[#This Row],[Bijdrage in natura (vrijwilligers)]]=1,Tb_Activiteiten[[#Headers],[Bijdrage in natura (vrijwilligers)]],""))</f>
        <v/>
      </c>
      <c r="AX1127" t="str">
        <f>IF(ISNUMBER(FIND("overige",Methode_Keuze)),"",IF(Tb_Activiteiten[[#This Row],[Afschrijvingskosten]]=1,Tb_Activiteiten[[#Headers],[Afschrijvingskosten]],""))</f>
        <v/>
      </c>
      <c r="AY1127" t="str">
        <f>IF(ISNUMBER(FIND("overige",Methode_Keuze)),"",IF(Tb_Activiteiten[[#This Row],[Vergoeding]]=1,Tb_Activiteiten[[#Headers],[Vergoeding]],""))</f>
        <v/>
      </c>
      <c r="AZ1127" t="str">
        <f>IF(ISNUMBER(FIND("arbeid",Methode_Keuze)),"",IF(Tb_Activiteiten[[#This Row],[Arbeidskosten - vast tarief (excl eigen arbeid)]]=1,Tb_Activiteiten[[#Headers],[Arbeidskosten - vast tarief (excl eigen arbeid)]],""))</f>
        <v/>
      </c>
      <c r="BA1127" t="str">
        <f>IF(ISNUMBER(FIND("overige",Methode_Keuze)),"",IF(Tb_Activiteiten[[#This Row],[Overige kosten]]=1,Tb_Activiteiten[[#Headers],[Overige kosten]],""))</f>
        <v/>
      </c>
    </row>
    <row r="1128" spans="1:53" x14ac:dyDescent="0.25">
      <c r="A1128" s="139"/>
      <c r="B1128" s="139"/>
      <c r="C1128" s="139"/>
      <c r="D1128" s="139"/>
      <c r="E1128" s="139"/>
      <c r="F1128" s="139"/>
      <c r="G1128" s="139"/>
      <c r="O1128" s="56"/>
      <c r="Q1128" t="str">
        <f>IFERROR(IF(VLOOKUP(Tb_Activiteiten[[#This Row],[Openstelling]],Tb_Openstelling[],2,0)=1,1,""),"")</f>
        <v/>
      </c>
      <c r="AK1128" t="str">
        <f>IF(ISNUMBER(FIND("arbeid",Methode_Keuze)),"",IF(ISNUMBER(FIND("arbeid",Methode_Keuze)),"",IF(Tb_Activiteiten[[#This Row],[Loonkosten]]=1,Tb_Activiteiten[[#Headers],[Loonkosten]],"")))</f>
        <v/>
      </c>
      <c r="AL1128" t="str">
        <f>IF(ISNUMBER(FIND("arbeid",Methode_Keuze)),"",IF(ISNUMBER(FIND("arbeid",Methode_Keuze)),"",IF(Tb_Activiteiten[[#This Row],[Eigen arbeid]]=1,Tb_Activiteiten[[#Headers],[Eigen arbeid]],"")))</f>
        <v/>
      </c>
      <c r="AM1128" t="str">
        <f>IF(ISNUMBER(FIND("arbeid",Methode_Keuze)),"",IF(ISNUMBER(FIND("arbeid",Methode_Keuze)),"",IF(Tb_Activiteiten[[#This Row],[Projectmedewerker]]=1,Tb_Activiteiten[[#Headers],[Projectmedewerker]],"")))</f>
        <v/>
      </c>
      <c r="AN1128" t="str">
        <f>IF(ISNUMBER(FIND("arbeid",Methode_Keuze)),"",IF(ISNUMBER(FIND("arbeid",Methode_Keuze)),"",IF(Tb_Activiteiten[[#This Row],[Landbouwer]]=1,Tb_Activiteiten[[#Headers],[Landbouwer]],"")))</f>
        <v/>
      </c>
      <c r="AO1128" t="str">
        <f>IF(ISNUMBER(FIND("arbeid",Methode_Keuze)),"",IF(ISNUMBER(FIND("arbeid",Methode_Keuze)),"",IF(Tb_Activiteiten[[#This Row],[Adviseur]]=1,Tb_Activiteiten[[#Headers],[Adviseur]],"")))</f>
        <v/>
      </c>
      <c r="AP1128" t="str">
        <f>IF(ISNUMBER(FIND("arbeid",Methode_Keuze)),"",IF(ISNUMBER(FIND("arbeid",Methode_Keuze)),"",IF(Tb_Activiteiten[[#This Row],[Projectleider/Expert]]=1,Tb_Activiteiten[[#Headers],[Projectleider/Expert]],"")))</f>
        <v/>
      </c>
      <c r="AQ1128" t="str">
        <f>IF(ISNUMBER(FIND("arbeid",Methode_Keuze)),"",IF(ISNUMBER(FIND("arbeid",Methode_Keuze)),"",IF(Tb_Activiteiten[[#This Row],[Arbeidskosten]]=1,Tb_Activiteiten[[#Headers],[Arbeidskosten]],"")))</f>
        <v/>
      </c>
      <c r="AR1128" t="str">
        <f>IF(ISNUMBER(FIND("arbeid",Methode_Keuze)),"",IF(ISNUMBER(FIND("arbeid",Methode_Keuze)),"",IF(Tb_Activiteiten[[#This Row],[Arbeidskosten op basis van IKS]]=1,Tb_Activiteiten[[#Headers],[Arbeidskosten op basis van IKS]],"")))</f>
        <v/>
      </c>
      <c r="AS1128" t="str">
        <f>IF(ISNUMBER(FIND("overige",Methode_Keuze)),"",IF(Tb_Activiteiten[[#This Row],[Kosten derden exclusief btw]]=1,Tb_Activiteiten[[#Headers],[Kosten derden exclusief btw]],""))</f>
        <v/>
      </c>
      <c r="AT1128" t="str">
        <f>IF(ISNUMBER(FIND("overige",Methode_Keuze)),"",IF(Tb_Activiteiten[[#This Row],[Niet verrekenbare btw]]=1,Tb_Activiteiten[[#Headers],[Niet verrekenbare btw]],""))</f>
        <v/>
      </c>
      <c r="AU1128" t="str">
        <f>IF(ISNUMBER(FIND("overige",Methode_Keuze)),"",IF(Tb_Activiteiten[[#This Row],[Grondkosten]]=1,Tb_Activiteiten[[#Headers],[Grondkosten]],""))</f>
        <v/>
      </c>
      <c r="AV1128" t="str">
        <f>IF(ISNUMBER(FIND("overige",Methode_Keuze)),"",IF(Tb_Activiteiten[[#This Row],[Bijdrage in natura (overige)]]=1,Tb_Activiteiten[[#Headers],[Bijdrage in natura (overige)]],""))</f>
        <v/>
      </c>
      <c r="AW1128" t="str">
        <f>IF(ISNUMBER(FIND("overige",Methode_Keuze)),"",IF(Tb_Activiteiten[[#This Row],[Bijdrage in natura (vrijwilligers)]]=1,Tb_Activiteiten[[#Headers],[Bijdrage in natura (vrijwilligers)]],""))</f>
        <v/>
      </c>
      <c r="AX1128" t="str">
        <f>IF(ISNUMBER(FIND("overige",Methode_Keuze)),"",IF(Tb_Activiteiten[[#This Row],[Afschrijvingskosten]]=1,Tb_Activiteiten[[#Headers],[Afschrijvingskosten]],""))</f>
        <v/>
      </c>
      <c r="AY1128" t="str">
        <f>IF(ISNUMBER(FIND("overige",Methode_Keuze)),"",IF(Tb_Activiteiten[[#This Row],[Vergoeding]]=1,Tb_Activiteiten[[#Headers],[Vergoeding]],""))</f>
        <v/>
      </c>
      <c r="AZ1128" t="str">
        <f>IF(ISNUMBER(FIND("arbeid",Methode_Keuze)),"",IF(Tb_Activiteiten[[#This Row],[Arbeidskosten - vast tarief (excl eigen arbeid)]]=1,Tb_Activiteiten[[#Headers],[Arbeidskosten - vast tarief (excl eigen arbeid)]],""))</f>
        <v/>
      </c>
      <c r="BA1128" t="str">
        <f>IF(ISNUMBER(FIND("overige",Methode_Keuze)),"",IF(Tb_Activiteiten[[#This Row],[Overige kosten]]=1,Tb_Activiteiten[[#Headers],[Overige kosten]],""))</f>
        <v/>
      </c>
    </row>
    <row r="1129" spans="1:53" x14ac:dyDescent="0.25">
      <c r="A1129" s="139"/>
      <c r="B1129" s="139"/>
      <c r="C1129" s="139"/>
      <c r="D1129" s="139"/>
      <c r="E1129" s="139"/>
      <c r="F1129" s="139"/>
      <c r="G1129" s="139"/>
      <c r="O1129" s="56"/>
      <c r="Q1129" t="str">
        <f>IFERROR(IF(VLOOKUP(Tb_Activiteiten[[#This Row],[Openstelling]],Tb_Openstelling[],2,0)=1,1,""),"")</f>
        <v/>
      </c>
      <c r="AK1129" t="str">
        <f>IF(ISNUMBER(FIND("arbeid",Methode_Keuze)),"",IF(ISNUMBER(FIND("arbeid",Methode_Keuze)),"",IF(Tb_Activiteiten[[#This Row],[Loonkosten]]=1,Tb_Activiteiten[[#Headers],[Loonkosten]],"")))</f>
        <v/>
      </c>
      <c r="AL1129" t="str">
        <f>IF(ISNUMBER(FIND("arbeid",Methode_Keuze)),"",IF(ISNUMBER(FIND("arbeid",Methode_Keuze)),"",IF(Tb_Activiteiten[[#This Row],[Eigen arbeid]]=1,Tb_Activiteiten[[#Headers],[Eigen arbeid]],"")))</f>
        <v/>
      </c>
      <c r="AM1129" t="str">
        <f>IF(ISNUMBER(FIND("arbeid",Methode_Keuze)),"",IF(ISNUMBER(FIND("arbeid",Methode_Keuze)),"",IF(Tb_Activiteiten[[#This Row],[Projectmedewerker]]=1,Tb_Activiteiten[[#Headers],[Projectmedewerker]],"")))</f>
        <v/>
      </c>
      <c r="AN1129" t="str">
        <f>IF(ISNUMBER(FIND("arbeid",Methode_Keuze)),"",IF(ISNUMBER(FIND("arbeid",Methode_Keuze)),"",IF(Tb_Activiteiten[[#This Row],[Landbouwer]]=1,Tb_Activiteiten[[#Headers],[Landbouwer]],"")))</f>
        <v/>
      </c>
      <c r="AO1129" t="str">
        <f>IF(ISNUMBER(FIND("arbeid",Methode_Keuze)),"",IF(ISNUMBER(FIND("arbeid",Methode_Keuze)),"",IF(Tb_Activiteiten[[#This Row],[Adviseur]]=1,Tb_Activiteiten[[#Headers],[Adviseur]],"")))</f>
        <v/>
      </c>
      <c r="AP1129" t="str">
        <f>IF(ISNUMBER(FIND("arbeid",Methode_Keuze)),"",IF(ISNUMBER(FIND("arbeid",Methode_Keuze)),"",IF(Tb_Activiteiten[[#This Row],[Projectleider/Expert]]=1,Tb_Activiteiten[[#Headers],[Projectleider/Expert]],"")))</f>
        <v/>
      </c>
      <c r="AQ1129" t="str">
        <f>IF(ISNUMBER(FIND("arbeid",Methode_Keuze)),"",IF(ISNUMBER(FIND("arbeid",Methode_Keuze)),"",IF(Tb_Activiteiten[[#This Row],[Arbeidskosten]]=1,Tb_Activiteiten[[#Headers],[Arbeidskosten]],"")))</f>
        <v/>
      </c>
      <c r="AR1129" t="str">
        <f>IF(ISNUMBER(FIND("arbeid",Methode_Keuze)),"",IF(ISNUMBER(FIND("arbeid",Methode_Keuze)),"",IF(Tb_Activiteiten[[#This Row],[Arbeidskosten op basis van IKS]]=1,Tb_Activiteiten[[#Headers],[Arbeidskosten op basis van IKS]],"")))</f>
        <v/>
      </c>
      <c r="AS1129" t="str">
        <f>IF(ISNUMBER(FIND("overige",Methode_Keuze)),"",IF(Tb_Activiteiten[[#This Row],[Kosten derden exclusief btw]]=1,Tb_Activiteiten[[#Headers],[Kosten derden exclusief btw]],""))</f>
        <v/>
      </c>
      <c r="AT1129" t="str">
        <f>IF(ISNUMBER(FIND("overige",Methode_Keuze)),"",IF(Tb_Activiteiten[[#This Row],[Niet verrekenbare btw]]=1,Tb_Activiteiten[[#Headers],[Niet verrekenbare btw]],""))</f>
        <v/>
      </c>
      <c r="AU1129" t="str">
        <f>IF(ISNUMBER(FIND("overige",Methode_Keuze)),"",IF(Tb_Activiteiten[[#This Row],[Grondkosten]]=1,Tb_Activiteiten[[#Headers],[Grondkosten]],""))</f>
        <v/>
      </c>
      <c r="AV1129" t="str">
        <f>IF(ISNUMBER(FIND("overige",Methode_Keuze)),"",IF(Tb_Activiteiten[[#This Row],[Bijdrage in natura (overige)]]=1,Tb_Activiteiten[[#Headers],[Bijdrage in natura (overige)]],""))</f>
        <v/>
      </c>
      <c r="AW1129" t="str">
        <f>IF(ISNUMBER(FIND("overige",Methode_Keuze)),"",IF(Tb_Activiteiten[[#This Row],[Bijdrage in natura (vrijwilligers)]]=1,Tb_Activiteiten[[#Headers],[Bijdrage in natura (vrijwilligers)]],""))</f>
        <v/>
      </c>
      <c r="AX1129" t="str">
        <f>IF(ISNUMBER(FIND("overige",Methode_Keuze)),"",IF(Tb_Activiteiten[[#This Row],[Afschrijvingskosten]]=1,Tb_Activiteiten[[#Headers],[Afschrijvingskosten]],""))</f>
        <v/>
      </c>
      <c r="AY1129" t="str">
        <f>IF(ISNUMBER(FIND("overige",Methode_Keuze)),"",IF(Tb_Activiteiten[[#This Row],[Vergoeding]]=1,Tb_Activiteiten[[#Headers],[Vergoeding]],""))</f>
        <v/>
      </c>
      <c r="AZ1129" t="str">
        <f>IF(ISNUMBER(FIND("arbeid",Methode_Keuze)),"",IF(Tb_Activiteiten[[#This Row],[Arbeidskosten - vast tarief (excl eigen arbeid)]]=1,Tb_Activiteiten[[#Headers],[Arbeidskosten - vast tarief (excl eigen arbeid)]],""))</f>
        <v/>
      </c>
      <c r="BA1129" t="str">
        <f>IF(ISNUMBER(FIND("overige",Methode_Keuze)),"",IF(Tb_Activiteiten[[#This Row],[Overige kosten]]=1,Tb_Activiteiten[[#Headers],[Overige kosten]],""))</f>
        <v/>
      </c>
    </row>
    <row r="1130" spans="1:53" x14ac:dyDescent="0.25">
      <c r="A1130" s="139"/>
      <c r="B1130" s="139"/>
      <c r="C1130" s="139"/>
      <c r="D1130" s="139"/>
      <c r="E1130" s="139"/>
      <c r="F1130" s="139"/>
      <c r="G1130" s="139"/>
      <c r="O1130" s="56"/>
      <c r="Q1130" t="str">
        <f>IFERROR(IF(VLOOKUP(Tb_Activiteiten[[#This Row],[Openstelling]],Tb_Openstelling[],2,0)=1,1,""),"")</f>
        <v/>
      </c>
      <c r="AK1130" t="str">
        <f>IF(ISNUMBER(FIND("arbeid",Methode_Keuze)),"",IF(ISNUMBER(FIND("arbeid",Methode_Keuze)),"",IF(Tb_Activiteiten[[#This Row],[Loonkosten]]=1,Tb_Activiteiten[[#Headers],[Loonkosten]],"")))</f>
        <v/>
      </c>
      <c r="AL1130" t="str">
        <f>IF(ISNUMBER(FIND("arbeid",Methode_Keuze)),"",IF(ISNUMBER(FIND("arbeid",Methode_Keuze)),"",IF(Tb_Activiteiten[[#This Row],[Eigen arbeid]]=1,Tb_Activiteiten[[#Headers],[Eigen arbeid]],"")))</f>
        <v/>
      </c>
      <c r="AM1130" t="str">
        <f>IF(ISNUMBER(FIND("arbeid",Methode_Keuze)),"",IF(ISNUMBER(FIND("arbeid",Methode_Keuze)),"",IF(Tb_Activiteiten[[#This Row],[Projectmedewerker]]=1,Tb_Activiteiten[[#Headers],[Projectmedewerker]],"")))</f>
        <v/>
      </c>
      <c r="AN1130" t="str">
        <f>IF(ISNUMBER(FIND("arbeid",Methode_Keuze)),"",IF(ISNUMBER(FIND("arbeid",Methode_Keuze)),"",IF(Tb_Activiteiten[[#This Row],[Landbouwer]]=1,Tb_Activiteiten[[#Headers],[Landbouwer]],"")))</f>
        <v/>
      </c>
      <c r="AO1130" t="str">
        <f>IF(ISNUMBER(FIND("arbeid",Methode_Keuze)),"",IF(ISNUMBER(FIND("arbeid",Methode_Keuze)),"",IF(Tb_Activiteiten[[#This Row],[Adviseur]]=1,Tb_Activiteiten[[#Headers],[Adviseur]],"")))</f>
        <v/>
      </c>
      <c r="AP1130" t="str">
        <f>IF(ISNUMBER(FIND("arbeid",Methode_Keuze)),"",IF(ISNUMBER(FIND("arbeid",Methode_Keuze)),"",IF(Tb_Activiteiten[[#This Row],[Projectleider/Expert]]=1,Tb_Activiteiten[[#Headers],[Projectleider/Expert]],"")))</f>
        <v/>
      </c>
      <c r="AQ1130" t="str">
        <f>IF(ISNUMBER(FIND("arbeid",Methode_Keuze)),"",IF(ISNUMBER(FIND("arbeid",Methode_Keuze)),"",IF(Tb_Activiteiten[[#This Row],[Arbeidskosten]]=1,Tb_Activiteiten[[#Headers],[Arbeidskosten]],"")))</f>
        <v/>
      </c>
      <c r="AR1130" t="str">
        <f>IF(ISNUMBER(FIND("arbeid",Methode_Keuze)),"",IF(ISNUMBER(FIND("arbeid",Methode_Keuze)),"",IF(Tb_Activiteiten[[#This Row],[Arbeidskosten op basis van IKS]]=1,Tb_Activiteiten[[#Headers],[Arbeidskosten op basis van IKS]],"")))</f>
        <v/>
      </c>
      <c r="AS1130" t="str">
        <f>IF(ISNUMBER(FIND("overige",Methode_Keuze)),"",IF(Tb_Activiteiten[[#This Row],[Kosten derden exclusief btw]]=1,Tb_Activiteiten[[#Headers],[Kosten derden exclusief btw]],""))</f>
        <v/>
      </c>
      <c r="AT1130" t="str">
        <f>IF(ISNUMBER(FIND("overige",Methode_Keuze)),"",IF(Tb_Activiteiten[[#This Row],[Niet verrekenbare btw]]=1,Tb_Activiteiten[[#Headers],[Niet verrekenbare btw]],""))</f>
        <v/>
      </c>
      <c r="AU1130" t="str">
        <f>IF(ISNUMBER(FIND("overige",Methode_Keuze)),"",IF(Tb_Activiteiten[[#This Row],[Grondkosten]]=1,Tb_Activiteiten[[#Headers],[Grondkosten]],""))</f>
        <v/>
      </c>
      <c r="AV1130" t="str">
        <f>IF(ISNUMBER(FIND("overige",Methode_Keuze)),"",IF(Tb_Activiteiten[[#This Row],[Bijdrage in natura (overige)]]=1,Tb_Activiteiten[[#Headers],[Bijdrage in natura (overige)]],""))</f>
        <v/>
      </c>
      <c r="AW1130" t="str">
        <f>IF(ISNUMBER(FIND("overige",Methode_Keuze)),"",IF(Tb_Activiteiten[[#This Row],[Bijdrage in natura (vrijwilligers)]]=1,Tb_Activiteiten[[#Headers],[Bijdrage in natura (vrijwilligers)]],""))</f>
        <v/>
      </c>
      <c r="AX1130" t="str">
        <f>IF(ISNUMBER(FIND("overige",Methode_Keuze)),"",IF(Tb_Activiteiten[[#This Row],[Afschrijvingskosten]]=1,Tb_Activiteiten[[#Headers],[Afschrijvingskosten]],""))</f>
        <v/>
      </c>
      <c r="AY1130" t="str">
        <f>IF(ISNUMBER(FIND("overige",Methode_Keuze)),"",IF(Tb_Activiteiten[[#This Row],[Vergoeding]]=1,Tb_Activiteiten[[#Headers],[Vergoeding]],""))</f>
        <v/>
      </c>
      <c r="AZ1130" t="str">
        <f>IF(ISNUMBER(FIND("arbeid",Methode_Keuze)),"",IF(Tb_Activiteiten[[#This Row],[Arbeidskosten - vast tarief (excl eigen arbeid)]]=1,Tb_Activiteiten[[#Headers],[Arbeidskosten - vast tarief (excl eigen arbeid)]],""))</f>
        <v/>
      </c>
      <c r="BA1130" t="str">
        <f>IF(ISNUMBER(FIND("overige",Methode_Keuze)),"",IF(Tb_Activiteiten[[#This Row],[Overige kosten]]=1,Tb_Activiteiten[[#Headers],[Overige kosten]],""))</f>
        <v/>
      </c>
    </row>
    <row r="1131" spans="1:53" x14ac:dyDescent="0.25">
      <c r="A1131" s="139"/>
      <c r="B1131" s="139"/>
      <c r="C1131" s="139"/>
      <c r="D1131" s="139"/>
      <c r="E1131" s="139"/>
      <c r="F1131" s="139"/>
      <c r="G1131" s="139"/>
      <c r="O1131" s="56"/>
      <c r="Q1131" t="str">
        <f>IFERROR(IF(VLOOKUP(Tb_Activiteiten[[#This Row],[Openstelling]],Tb_Openstelling[],2,0)=1,1,""),"")</f>
        <v/>
      </c>
      <c r="AK1131" t="str">
        <f>IF(ISNUMBER(FIND("arbeid",Methode_Keuze)),"",IF(ISNUMBER(FIND("arbeid",Methode_Keuze)),"",IF(Tb_Activiteiten[[#This Row],[Loonkosten]]=1,Tb_Activiteiten[[#Headers],[Loonkosten]],"")))</f>
        <v/>
      </c>
      <c r="AL1131" t="str">
        <f>IF(ISNUMBER(FIND("arbeid",Methode_Keuze)),"",IF(ISNUMBER(FIND("arbeid",Methode_Keuze)),"",IF(Tb_Activiteiten[[#This Row],[Eigen arbeid]]=1,Tb_Activiteiten[[#Headers],[Eigen arbeid]],"")))</f>
        <v/>
      </c>
      <c r="AM1131" t="str">
        <f>IF(ISNUMBER(FIND("arbeid",Methode_Keuze)),"",IF(ISNUMBER(FIND("arbeid",Methode_Keuze)),"",IF(Tb_Activiteiten[[#This Row],[Projectmedewerker]]=1,Tb_Activiteiten[[#Headers],[Projectmedewerker]],"")))</f>
        <v/>
      </c>
      <c r="AN1131" t="str">
        <f>IF(ISNUMBER(FIND("arbeid",Methode_Keuze)),"",IF(ISNUMBER(FIND("arbeid",Methode_Keuze)),"",IF(Tb_Activiteiten[[#This Row],[Landbouwer]]=1,Tb_Activiteiten[[#Headers],[Landbouwer]],"")))</f>
        <v/>
      </c>
      <c r="AO1131" t="str">
        <f>IF(ISNUMBER(FIND("arbeid",Methode_Keuze)),"",IF(ISNUMBER(FIND("arbeid",Methode_Keuze)),"",IF(Tb_Activiteiten[[#This Row],[Adviseur]]=1,Tb_Activiteiten[[#Headers],[Adviseur]],"")))</f>
        <v/>
      </c>
      <c r="AP1131" t="str">
        <f>IF(ISNUMBER(FIND("arbeid",Methode_Keuze)),"",IF(ISNUMBER(FIND("arbeid",Methode_Keuze)),"",IF(Tb_Activiteiten[[#This Row],[Projectleider/Expert]]=1,Tb_Activiteiten[[#Headers],[Projectleider/Expert]],"")))</f>
        <v/>
      </c>
      <c r="AQ1131" t="str">
        <f>IF(ISNUMBER(FIND("arbeid",Methode_Keuze)),"",IF(ISNUMBER(FIND("arbeid",Methode_Keuze)),"",IF(Tb_Activiteiten[[#This Row],[Arbeidskosten]]=1,Tb_Activiteiten[[#Headers],[Arbeidskosten]],"")))</f>
        <v/>
      </c>
      <c r="AR1131" t="str">
        <f>IF(ISNUMBER(FIND("arbeid",Methode_Keuze)),"",IF(ISNUMBER(FIND("arbeid",Methode_Keuze)),"",IF(Tb_Activiteiten[[#This Row],[Arbeidskosten op basis van IKS]]=1,Tb_Activiteiten[[#Headers],[Arbeidskosten op basis van IKS]],"")))</f>
        <v/>
      </c>
      <c r="AS1131" t="str">
        <f>IF(ISNUMBER(FIND("overige",Methode_Keuze)),"",IF(Tb_Activiteiten[[#This Row],[Kosten derden exclusief btw]]=1,Tb_Activiteiten[[#Headers],[Kosten derden exclusief btw]],""))</f>
        <v/>
      </c>
      <c r="AT1131" t="str">
        <f>IF(ISNUMBER(FIND("overige",Methode_Keuze)),"",IF(Tb_Activiteiten[[#This Row],[Niet verrekenbare btw]]=1,Tb_Activiteiten[[#Headers],[Niet verrekenbare btw]],""))</f>
        <v/>
      </c>
      <c r="AU1131" t="str">
        <f>IF(ISNUMBER(FIND("overige",Methode_Keuze)),"",IF(Tb_Activiteiten[[#This Row],[Grondkosten]]=1,Tb_Activiteiten[[#Headers],[Grondkosten]],""))</f>
        <v/>
      </c>
      <c r="AV1131" t="str">
        <f>IF(ISNUMBER(FIND("overige",Methode_Keuze)),"",IF(Tb_Activiteiten[[#This Row],[Bijdrage in natura (overige)]]=1,Tb_Activiteiten[[#Headers],[Bijdrage in natura (overige)]],""))</f>
        <v/>
      </c>
      <c r="AW1131" t="str">
        <f>IF(ISNUMBER(FIND("overige",Methode_Keuze)),"",IF(Tb_Activiteiten[[#This Row],[Bijdrage in natura (vrijwilligers)]]=1,Tb_Activiteiten[[#Headers],[Bijdrage in natura (vrijwilligers)]],""))</f>
        <v/>
      </c>
      <c r="AX1131" t="str">
        <f>IF(ISNUMBER(FIND("overige",Methode_Keuze)),"",IF(Tb_Activiteiten[[#This Row],[Afschrijvingskosten]]=1,Tb_Activiteiten[[#Headers],[Afschrijvingskosten]],""))</f>
        <v/>
      </c>
      <c r="AY1131" t="str">
        <f>IF(ISNUMBER(FIND("overige",Methode_Keuze)),"",IF(Tb_Activiteiten[[#This Row],[Vergoeding]]=1,Tb_Activiteiten[[#Headers],[Vergoeding]],""))</f>
        <v/>
      </c>
      <c r="AZ1131" t="str">
        <f>IF(ISNUMBER(FIND("arbeid",Methode_Keuze)),"",IF(Tb_Activiteiten[[#This Row],[Arbeidskosten - vast tarief (excl eigen arbeid)]]=1,Tb_Activiteiten[[#Headers],[Arbeidskosten - vast tarief (excl eigen arbeid)]],""))</f>
        <v/>
      </c>
      <c r="BA1131" t="str">
        <f>IF(ISNUMBER(FIND("overige",Methode_Keuze)),"",IF(Tb_Activiteiten[[#This Row],[Overige kosten]]=1,Tb_Activiteiten[[#Headers],[Overige kosten]],""))</f>
        <v/>
      </c>
    </row>
    <row r="1132" spans="1:53" x14ac:dyDescent="0.25">
      <c r="A1132" s="139"/>
      <c r="B1132" s="139"/>
      <c r="C1132" s="139"/>
      <c r="D1132" s="139"/>
      <c r="E1132" s="139"/>
      <c r="F1132" s="139"/>
      <c r="G1132" s="139"/>
      <c r="O1132" s="56"/>
      <c r="Q1132" t="str">
        <f>IFERROR(IF(VLOOKUP(Tb_Activiteiten[[#This Row],[Openstelling]],Tb_Openstelling[],2,0)=1,1,""),"")</f>
        <v/>
      </c>
      <c r="AK1132" t="str">
        <f>IF(ISNUMBER(FIND("arbeid",Methode_Keuze)),"",IF(ISNUMBER(FIND("arbeid",Methode_Keuze)),"",IF(Tb_Activiteiten[[#This Row],[Loonkosten]]=1,Tb_Activiteiten[[#Headers],[Loonkosten]],"")))</f>
        <v/>
      </c>
      <c r="AL1132" t="str">
        <f>IF(ISNUMBER(FIND("arbeid",Methode_Keuze)),"",IF(ISNUMBER(FIND("arbeid",Methode_Keuze)),"",IF(Tb_Activiteiten[[#This Row],[Eigen arbeid]]=1,Tb_Activiteiten[[#Headers],[Eigen arbeid]],"")))</f>
        <v/>
      </c>
      <c r="AM1132" t="str">
        <f>IF(ISNUMBER(FIND("arbeid",Methode_Keuze)),"",IF(ISNUMBER(FIND("arbeid",Methode_Keuze)),"",IF(Tb_Activiteiten[[#This Row],[Projectmedewerker]]=1,Tb_Activiteiten[[#Headers],[Projectmedewerker]],"")))</f>
        <v/>
      </c>
      <c r="AN1132" t="str">
        <f>IF(ISNUMBER(FIND("arbeid",Methode_Keuze)),"",IF(ISNUMBER(FIND("arbeid",Methode_Keuze)),"",IF(Tb_Activiteiten[[#This Row],[Landbouwer]]=1,Tb_Activiteiten[[#Headers],[Landbouwer]],"")))</f>
        <v/>
      </c>
      <c r="AO1132" t="str">
        <f>IF(ISNUMBER(FIND("arbeid",Methode_Keuze)),"",IF(ISNUMBER(FIND("arbeid",Methode_Keuze)),"",IF(Tb_Activiteiten[[#This Row],[Adviseur]]=1,Tb_Activiteiten[[#Headers],[Adviseur]],"")))</f>
        <v/>
      </c>
      <c r="AP1132" t="str">
        <f>IF(ISNUMBER(FIND("arbeid",Methode_Keuze)),"",IF(ISNUMBER(FIND("arbeid",Methode_Keuze)),"",IF(Tb_Activiteiten[[#This Row],[Projectleider/Expert]]=1,Tb_Activiteiten[[#Headers],[Projectleider/Expert]],"")))</f>
        <v/>
      </c>
      <c r="AQ1132" t="str">
        <f>IF(ISNUMBER(FIND("arbeid",Methode_Keuze)),"",IF(ISNUMBER(FIND("arbeid",Methode_Keuze)),"",IF(Tb_Activiteiten[[#This Row],[Arbeidskosten]]=1,Tb_Activiteiten[[#Headers],[Arbeidskosten]],"")))</f>
        <v/>
      </c>
      <c r="AR1132" t="str">
        <f>IF(ISNUMBER(FIND("arbeid",Methode_Keuze)),"",IF(ISNUMBER(FIND("arbeid",Methode_Keuze)),"",IF(Tb_Activiteiten[[#This Row],[Arbeidskosten op basis van IKS]]=1,Tb_Activiteiten[[#Headers],[Arbeidskosten op basis van IKS]],"")))</f>
        <v/>
      </c>
      <c r="AS1132" t="str">
        <f>IF(ISNUMBER(FIND("overige",Methode_Keuze)),"",IF(Tb_Activiteiten[[#This Row],[Kosten derden exclusief btw]]=1,Tb_Activiteiten[[#Headers],[Kosten derden exclusief btw]],""))</f>
        <v/>
      </c>
      <c r="AT1132" t="str">
        <f>IF(ISNUMBER(FIND("overige",Methode_Keuze)),"",IF(Tb_Activiteiten[[#This Row],[Niet verrekenbare btw]]=1,Tb_Activiteiten[[#Headers],[Niet verrekenbare btw]],""))</f>
        <v/>
      </c>
      <c r="AU1132" t="str">
        <f>IF(ISNUMBER(FIND("overige",Methode_Keuze)),"",IF(Tb_Activiteiten[[#This Row],[Grondkosten]]=1,Tb_Activiteiten[[#Headers],[Grondkosten]],""))</f>
        <v/>
      </c>
      <c r="AV1132" t="str">
        <f>IF(ISNUMBER(FIND("overige",Methode_Keuze)),"",IF(Tb_Activiteiten[[#This Row],[Bijdrage in natura (overige)]]=1,Tb_Activiteiten[[#Headers],[Bijdrage in natura (overige)]],""))</f>
        <v/>
      </c>
      <c r="AW1132" t="str">
        <f>IF(ISNUMBER(FIND("overige",Methode_Keuze)),"",IF(Tb_Activiteiten[[#This Row],[Bijdrage in natura (vrijwilligers)]]=1,Tb_Activiteiten[[#Headers],[Bijdrage in natura (vrijwilligers)]],""))</f>
        <v/>
      </c>
      <c r="AX1132" t="str">
        <f>IF(ISNUMBER(FIND("overige",Methode_Keuze)),"",IF(Tb_Activiteiten[[#This Row],[Afschrijvingskosten]]=1,Tb_Activiteiten[[#Headers],[Afschrijvingskosten]],""))</f>
        <v/>
      </c>
      <c r="AY1132" t="str">
        <f>IF(ISNUMBER(FIND("overige",Methode_Keuze)),"",IF(Tb_Activiteiten[[#This Row],[Vergoeding]]=1,Tb_Activiteiten[[#Headers],[Vergoeding]],""))</f>
        <v/>
      </c>
      <c r="AZ1132" t="str">
        <f>IF(ISNUMBER(FIND("arbeid",Methode_Keuze)),"",IF(Tb_Activiteiten[[#This Row],[Arbeidskosten - vast tarief (excl eigen arbeid)]]=1,Tb_Activiteiten[[#Headers],[Arbeidskosten - vast tarief (excl eigen arbeid)]],""))</f>
        <v/>
      </c>
      <c r="BA1132" t="str">
        <f>IF(ISNUMBER(FIND("overige",Methode_Keuze)),"",IF(Tb_Activiteiten[[#This Row],[Overige kosten]]=1,Tb_Activiteiten[[#Headers],[Overige kosten]],""))</f>
        <v/>
      </c>
    </row>
    <row r="1133" spans="1:53" x14ac:dyDescent="0.25">
      <c r="A1133" s="139"/>
      <c r="B1133" s="139"/>
      <c r="C1133" s="139"/>
      <c r="D1133" s="139"/>
      <c r="E1133" s="139"/>
      <c r="F1133" s="139"/>
      <c r="G1133" s="139"/>
      <c r="O1133" s="56"/>
      <c r="Q1133" t="str">
        <f>IFERROR(IF(VLOOKUP(Tb_Activiteiten[[#This Row],[Openstelling]],Tb_Openstelling[],2,0)=1,1,""),"")</f>
        <v/>
      </c>
      <c r="AK1133" t="str">
        <f>IF(ISNUMBER(FIND("arbeid",Methode_Keuze)),"",IF(ISNUMBER(FIND("arbeid",Methode_Keuze)),"",IF(Tb_Activiteiten[[#This Row],[Loonkosten]]=1,Tb_Activiteiten[[#Headers],[Loonkosten]],"")))</f>
        <v/>
      </c>
      <c r="AL1133" t="str">
        <f>IF(ISNUMBER(FIND("arbeid",Methode_Keuze)),"",IF(ISNUMBER(FIND("arbeid",Methode_Keuze)),"",IF(Tb_Activiteiten[[#This Row],[Eigen arbeid]]=1,Tb_Activiteiten[[#Headers],[Eigen arbeid]],"")))</f>
        <v/>
      </c>
      <c r="AM1133" t="str">
        <f>IF(ISNUMBER(FIND("arbeid",Methode_Keuze)),"",IF(ISNUMBER(FIND("arbeid",Methode_Keuze)),"",IF(Tb_Activiteiten[[#This Row],[Projectmedewerker]]=1,Tb_Activiteiten[[#Headers],[Projectmedewerker]],"")))</f>
        <v/>
      </c>
      <c r="AN1133" t="str">
        <f>IF(ISNUMBER(FIND("arbeid",Methode_Keuze)),"",IF(ISNUMBER(FIND("arbeid",Methode_Keuze)),"",IF(Tb_Activiteiten[[#This Row],[Landbouwer]]=1,Tb_Activiteiten[[#Headers],[Landbouwer]],"")))</f>
        <v/>
      </c>
      <c r="AO1133" t="str">
        <f>IF(ISNUMBER(FIND("arbeid",Methode_Keuze)),"",IF(ISNUMBER(FIND("arbeid",Methode_Keuze)),"",IF(Tb_Activiteiten[[#This Row],[Adviseur]]=1,Tb_Activiteiten[[#Headers],[Adviseur]],"")))</f>
        <v/>
      </c>
      <c r="AP1133" t="str">
        <f>IF(ISNUMBER(FIND("arbeid",Methode_Keuze)),"",IF(ISNUMBER(FIND("arbeid",Methode_Keuze)),"",IF(Tb_Activiteiten[[#This Row],[Projectleider/Expert]]=1,Tb_Activiteiten[[#Headers],[Projectleider/Expert]],"")))</f>
        <v/>
      </c>
      <c r="AQ1133" t="str">
        <f>IF(ISNUMBER(FIND("arbeid",Methode_Keuze)),"",IF(ISNUMBER(FIND("arbeid",Methode_Keuze)),"",IF(Tb_Activiteiten[[#This Row],[Arbeidskosten]]=1,Tb_Activiteiten[[#Headers],[Arbeidskosten]],"")))</f>
        <v/>
      </c>
      <c r="AR1133" t="str">
        <f>IF(ISNUMBER(FIND("arbeid",Methode_Keuze)),"",IF(ISNUMBER(FIND("arbeid",Methode_Keuze)),"",IF(Tb_Activiteiten[[#This Row],[Arbeidskosten op basis van IKS]]=1,Tb_Activiteiten[[#Headers],[Arbeidskosten op basis van IKS]],"")))</f>
        <v/>
      </c>
      <c r="AS1133" t="str">
        <f>IF(ISNUMBER(FIND("overige",Methode_Keuze)),"",IF(Tb_Activiteiten[[#This Row],[Kosten derden exclusief btw]]=1,Tb_Activiteiten[[#Headers],[Kosten derden exclusief btw]],""))</f>
        <v/>
      </c>
      <c r="AT1133" t="str">
        <f>IF(ISNUMBER(FIND("overige",Methode_Keuze)),"",IF(Tb_Activiteiten[[#This Row],[Niet verrekenbare btw]]=1,Tb_Activiteiten[[#Headers],[Niet verrekenbare btw]],""))</f>
        <v/>
      </c>
      <c r="AU1133" t="str">
        <f>IF(ISNUMBER(FIND("overige",Methode_Keuze)),"",IF(Tb_Activiteiten[[#This Row],[Grondkosten]]=1,Tb_Activiteiten[[#Headers],[Grondkosten]],""))</f>
        <v/>
      </c>
      <c r="AV1133" t="str">
        <f>IF(ISNUMBER(FIND("overige",Methode_Keuze)),"",IF(Tb_Activiteiten[[#This Row],[Bijdrage in natura (overige)]]=1,Tb_Activiteiten[[#Headers],[Bijdrage in natura (overige)]],""))</f>
        <v/>
      </c>
      <c r="AW1133" t="str">
        <f>IF(ISNUMBER(FIND("overige",Methode_Keuze)),"",IF(Tb_Activiteiten[[#This Row],[Bijdrage in natura (vrijwilligers)]]=1,Tb_Activiteiten[[#Headers],[Bijdrage in natura (vrijwilligers)]],""))</f>
        <v/>
      </c>
      <c r="AX1133" t="str">
        <f>IF(ISNUMBER(FIND("overige",Methode_Keuze)),"",IF(Tb_Activiteiten[[#This Row],[Afschrijvingskosten]]=1,Tb_Activiteiten[[#Headers],[Afschrijvingskosten]],""))</f>
        <v/>
      </c>
      <c r="AY1133" t="str">
        <f>IF(ISNUMBER(FIND("overige",Methode_Keuze)),"",IF(Tb_Activiteiten[[#This Row],[Vergoeding]]=1,Tb_Activiteiten[[#Headers],[Vergoeding]],""))</f>
        <v/>
      </c>
      <c r="AZ1133" t="str">
        <f>IF(ISNUMBER(FIND("arbeid",Methode_Keuze)),"",IF(Tb_Activiteiten[[#This Row],[Arbeidskosten - vast tarief (excl eigen arbeid)]]=1,Tb_Activiteiten[[#Headers],[Arbeidskosten - vast tarief (excl eigen arbeid)]],""))</f>
        <v/>
      </c>
      <c r="BA1133" t="str">
        <f>IF(ISNUMBER(FIND("overige",Methode_Keuze)),"",IF(Tb_Activiteiten[[#This Row],[Overige kosten]]=1,Tb_Activiteiten[[#Headers],[Overige kosten]],""))</f>
        <v/>
      </c>
    </row>
    <row r="1134" spans="1:53" x14ac:dyDescent="0.25">
      <c r="A1134" s="139"/>
      <c r="B1134" s="139"/>
      <c r="C1134" s="139"/>
      <c r="D1134" s="139"/>
      <c r="E1134" s="139"/>
      <c r="F1134" s="139"/>
      <c r="G1134" s="139"/>
      <c r="O1134" s="56"/>
      <c r="Q1134" t="str">
        <f>IFERROR(IF(VLOOKUP(Tb_Activiteiten[[#This Row],[Openstelling]],Tb_Openstelling[],2,0)=1,1,""),"")</f>
        <v/>
      </c>
      <c r="AK1134" t="str">
        <f>IF(ISNUMBER(FIND("arbeid",Methode_Keuze)),"",IF(ISNUMBER(FIND("arbeid",Methode_Keuze)),"",IF(Tb_Activiteiten[[#This Row],[Loonkosten]]=1,Tb_Activiteiten[[#Headers],[Loonkosten]],"")))</f>
        <v/>
      </c>
      <c r="AL1134" t="str">
        <f>IF(ISNUMBER(FIND("arbeid",Methode_Keuze)),"",IF(ISNUMBER(FIND("arbeid",Methode_Keuze)),"",IF(Tb_Activiteiten[[#This Row],[Eigen arbeid]]=1,Tb_Activiteiten[[#Headers],[Eigen arbeid]],"")))</f>
        <v/>
      </c>
      <c r="AM1134" t="str">
        <f>IF(ISNUMBER(FIND("arbeid",Methode_Keuze)),"",IF(ISNUMBER(FIND("arbeid",Methode_Keuze)),"",IF(Tb_Activiteiten[[#This Row],[Projectmedewerker]]=1,Tb_Activiteiten[[#Headers],[Projectmedewerker]],"")))</f>
        <v/>
      </c>
      <c r="AN1134" t="str">
        <f>IF(ISNUMBER(FIND("arbeid",Methode_Keuze)),"",IF(ISNUMBER(FIND("arbeid",Methode_Keuze)),"",IF(Tb_Activiteiten[[#This Row],[Landbouwer]]=1,Tb_Activiteiten[[#Headers],[Landbouwer]],"")))</f>
        <v/>
      </c>
      <c r="AO1134" t="str">
        <f>IF(ISNUMBER(FIND("arbeid",Methode_Keuze)),"",IF(ISNUMBER(FIND("arbeid",Methode_Keuze)),"",IF(Tb_Activiteiten[[#This Row],[Adviseur]]=1,Tb_Activiteiten[[#Headers],[Adviseur]],"")))</f>
        <v/>
      </c>
      <c r="AP1134" t="str">
        <f>IF(ISNUMBER(FIND("arbeid",Methode_Keuze)),"",IF(ISNUMBER(FIND("arbeid",Methode_Keuze)),"",IF(Tb_Activiteiten[[#This Row],[Projectleider/Expert]]=1,Tb_Activiteiten[[#Headers],[Projectleider/Expert]],"")))</f>
        <v/>
      </c>
      <c r="AQ1134" t="str">
        <f>IF(ISNUMBER(FIND("arbeid",Methode_Keuze)),"",IF(ISNUMBER(FIND("arbeid",Methode_Keuze)),"",IF(Tb_Activiteiten[[#This Row],[Arbeidskosten]]=1,Tb_Activiteiten[[#Headers],[Arbeidskosten]],"")))</f>
        <v/>
      </c>
      <c r="AR1134" t="str">
        <f>IF(ISNUMBER(FIND("arbeid",Methode_Keuze)),"",IF(ISNUMBER(FIND("arbeid",Methode_Keuze)),"",IF(Tb_Activiteiten[[#This Row],[Arbeidskosten op basis van IKS]]=1,Tb_Activiteiten[[#Headers],[Arbeidskosten op basis van IKS]],"")))</f>
        <v/>
      </c>
      <c r="AS1134" t="str">
        <f>IF(ISNUMBER(FIND("overige",Methode_Keuze)),"",IF(Tb_Activiteiten[[#This Row],[Kosten derden exclusief btw]]=1,Tb_Activiteiten[[#Headers],[Kosten derden exclusief btw]],""))</f>
        <v/>
      </c>
      <c r="AT1134" t="str">
        <f>IF(ISNUMBER(FIND("overige",Methode_Keuze)),"",IF(Tb_Activiteiten[[#This Row],[Niet verrekenbare btw]]=1,Tb_Activiteiten[[#Headers],[Niet verrekenbare btw]],""))</f>
        <v/>
      </c>
      <c r="AU1134" t="str">
        <f>IF(ISNUMBER(FIND("overige",Methode_Keuze)),"",IF(Tb_Activiteiten[[#This Row],[Grondkosten]]=1,Tb_Activiteiten[[#Headers],[Grondkosten]],""))</f>
        <v/>
      </c>
      <c r="AV1134" t="str">
        <f>IF(ISNUMBER(FIND("overige",Methode_Keuze)),"",IF(Tb_Activiteiten[[#This Row],[Bijdrage in natura (overige)]]=1,Tb_Activiteiten[[#Headers],[Bijdrage in natura (overige)]],""))</f>
        <v/>
      </c>
      <c r="AW1134" t="str">
        <f>IF(ISNUMBER(FIND("overige",Methode_Keuze)),"",IF(Tb_Activiteiten[[#This Row],[Bijdrage in natura (vrijwilligers)]]=1,Tb_Activiteiten[[#Headers],[Bijdrage in natura (vrijwilligers)]],""))</f>
        <v/>
      </c>
      <c r="AX1134" t="str">
        <f>IF(ISNUMBER(FIND("overige",Methode_Keuze)),"",IF(Tb_Activiteiten[[#This Row],[Afschrijvingskosten]]=1,Tb_Activiteiten[[#Headers],[Afschrijvingskosten]],""))</f>
        <v/>
      </c>
      <c r="AY1134" t="str">
        <f>IF(ISNUMBER(FIND("overige",Methode_Keuze)),"",IF(Tb_Activiteiten[[#This Row],[Vergoeding]]=1,Tb_Activiteiten[[#Headers],[Vergoeding]],""))</f>
        <v/>
      </c>
      <c r="AZ1134" t="str">
        <f>IF(ISNUMBER(FIND("arbeid",Methode_Keuze)),"",IF(Tb_Activiteiten[[#This Row],[Arbeidskosten - vast tarief (excl eigen arbeid)]]=1,Tb_Activiteiten[[#Headers],[Arbeidskosten - vast tarief (excl eigen arbeid)]],""))</f>
        <v/>
      </c>
      <c r="BA1134" t="str">
        <f>IF(ISNUMBER(FIND("overige",Methode_Keuze)),"",IF(Tb_Activiteiten[[#This Row],[Overige kosten]]=1,Tb_Activiteiten[[#Headers],[Overige kosten]],""))</f>
        <v/>
      </c>
    </row>
    <row r="1135" spans="1:53" x14ac:dyDescent="0.25">
      <c r="A1135" s="139"/>
      <c r="B1135" s="139"/>
      <c r="C1135" s="139"/>
      <c r="D1135" s="139"/>
      <c r="E1135" s="139"/>
      <c r="F1135" s="139"/>
      <c r="G1135" s="139"/>
      <c r="O1135" s="56"/>
      <c r="Q1135" t="str">
        <f>IFERROR(IF(VLOOKUP(Tb_Activiteiten[[#This Row],[Openstelling]],Tb_Openstelling[],2,0)=1,1,""),"")</f>
        <v/>
      </c>
      <c r="AK1135" t="str">
        <f>IF(ISNUMBER(FIND("arbeid",Methode_Keuze)),"",IF(ISNUMBER(FIND("arbeid",Methode_Keuze)),"",IF(Tb_Activiteiten[[#This Row],[Loonkosten]]=1,Tb_Activiteiten[[#Headers],[Loonkosten]],"")))</f>
        <v/>
      </c>
      <c r="AL1135" t="str">
        <f>IF(ISNUMBER(FIND("arbeid",Methode_Keuze)),"",IF(ISNUMBER(FIND("arbeid",Methode_Keuze)),"",IF(Tb_Activiteiten[[#This Row],[Eigen arbeid]]=1,Tb_Activiteiten[[#Headers],[Eigen arbeid]],"")))</f>
        <v/>
      </c>
      <c r="AM1135" t="str">
        <f>IF(ISNUMBER(FIND("arbeid",Methode_Keuze)),"",IF(ISNUMBER(FIND("arbeid",Methode_Keuze)),"",IF(Tb_Activiteiten[[#This Row],[Projectmedewerker]]=1,Tb_Activiteiten[[#Headers],[Projectmedewerker]],"")))</f>
        <v/>
      </c>
      <c r="AN1135" t="str">
        <f>IF(ISNUMBER(FIND("arbeid",Methode_Keuze)),"",IF(ISNUMBER(FIND("arbeid",Methode_Keuze)),"",IF(Tb_Activiteiten[[#This Row],[Landbouwer]]=1,Tb_Activiteiten[[#Headers],[Landbouwer]],"")))</f>
        <v/>
      </c>
      <c r="AO1135" t="str">
        <f>IF(ISNUMBER(FIND("arbeid",Methode_Keuze)),"",IF(ISNUMBER(FIND("arbeid",Methode_Keuze)),"",IF(Tb_Activiteiten[[#This Row],[Adviseur]]=1,Tb_Activiteiten[[#Headers],[Adviseur]],"")))</f>
        <v/>
      </c>
      <c r="AP1135" t="str">
        <f>IF(ISNUMBER(FIND("arbeid",Methode_Keuze)),"",IF(ISNUMBER(FIND("arbeid",Methode_Keuze)),"",IF(Tb_Activiteiten[[#This Row],[Projectleider/Expert]]=1,Tb_Activiteiten[[#Headers],[Projectleider/Expert]],"")))</f>
        <v/>
      </c>
      <c r="AQ1135" t="str">
        <f>IF(ISNUMBER(FIND("arbeid",Methode_Keuze)),"",IF(ISNUMBER(FIND("arbeid",Methode_Keuze)),"",IF(Tb_Activiteiten[[#This Row],[Arbeidskosten]]=1,Tb_Activiteiten[[#Headers],[Arbeidskosten]],"")))</f>
        <v/>
      </c>
      <c r="AR1135" t="str">
        <f>IF(ISNUMBER(FIND("arbeid",Methode_Keuze)),"",IF(ISNUMBER(FIND("arbeid",Methode_Keuze)),"",IF(Tb_Activiteiten[[#This Row],[Arbeidskosten op basis van IKS]]=1,Tb_Activiteiten[[#Headers],[Arbeidskosten op basis van IKS]],"")))</f>
        <v/>
      </c>
      <c r="AS1135" t="str">
        <f>IF(ISNUMBER(FIND("overige",Methode_Keuze)),"",IF(Tb_Activiteiten[[#This Row],[Kosten derden exclusief btw]]=1,Tb_Activiteiten[[#Headers],[Kosten derden exclusief btw]],""))</f>
        <v/>
      </c>
      <c r="AT1135" t="str">
        <f>IF(ISNUMBER(FIND("overige",Methode_Keuze)),"",IF(Tb_Activiteiten[[#This Row],[Niet verrekenbare btw]]=1,Tb_Activiteiten[[#Headers],[Niet verrekenbare btw]],""))</f>
        <v/>
      </c>
      <c r="AU1135" t="str">
        <f>IF(ISNUMBER(FIND("overige",Methode_Keuze)),"",IF(Tb_Activiteiten[[#This Row],[Grondkosten]]=1,Tb_Activiteiten[[#Headers],[Grondkosten]],""))</f>
        <v/>
      </c>
      <c r="AV1135" t="str">
        <f>IF(ISNUMBER(FIND("overige",Methode_Keuze)),"",IF(Tb_Activiteiten[[#This Row],[Bijdrage in natura (overige)]]=1,Tb_Activiteiten[[#Headers],[Bijdrage in natura (overige)]],""))</f>
        <v/>
      </c>
      <c r="AW1135" t="str">
        <f>IF(ISNUMBER(FIND("overige",Methode_Keuze)),"",IF(Tb_Activiteiten[[#This Row],[Bijdrage in natura (vrijwilligers)]]=1,Tb_Activiteiten[[#Headers],[Bijdrage in natura (vrijwilligers)]],""))</f>
        <v/>
      </c>
      <c r="AX1135" t="str">
        <f>IF(ISNUMBER(FIND("overige",Methode_Keuze)),"",IF(Tb_Activiteiten[[#This Row],[Afschrijvingskosten]]=1,Tb_Activiteiten[[#Headers],[Afschrijvingskosten]],""))</f>
        <v/>
      </c>
      <c r="AY1135" t="str">
        <f>IF(ISNUMBER(FIND("overige",Methode_Keuze)),"",IF(Tb_Activiteiten[[#This Row],[Vergoeding]]=1,Tb_Activiteiten[[#Headers],[Vergoeding]],""))</f>
        <v/>
      </c>
      <c r="AZ1135" t="str">
        <f>IF(ISNUMBER(FIND("arbeid",Methode_Keuze)),"",IF(Tb_Activiteiten[[#This Row],[Arbeidskosten - vast tarief (excl eigen arbeid)]]=1,Tb_Activiteiten[[#Headers],[Arbeidskosten - vast tarief (excl eigen arbeid)]],""))</f>
        <v/>
      </c>
      <c r="BA1135" t="str">
        <f>IF(ISNUMBER(FIND("overige",Methode_Keuze)),"",IF(Tb_Activiteiten[[#This Row],[Overige kosten]]=1,Tb_Activiteiten[[#Headers],[Overige kosten]],""))</f>
        <v/>
      </c>
    </row>
    <row r="1136" spans="1:53" x14ac:dyDescent="0.25">
      <c r="A1136" s="139"/>
      <c r="B1136" s="139"/>
      <c r="C1136" s="139"/>
      <c r="D1136" s="139"/>
      <c r="E1136" s="139"/>
      <c r="F1136" s="139"/>
      <c r="G1136" s="139"/>
      <c r="O1136" s="56"/>
      <c r="Q1136" t="str">
        <f>IFERROR(IF(VLOOKUP(Tb_Activiteiten[[#This Row],[Openstelling]],Tb_Openstelling[],2,0)=1,1,""),"")</f>
        <v/>
      </c>
      <c r="AK1136" t="str">
        <f>IF(ISNUMBER(FIND("arbeid",Methode_Keuze)),"",IF(ISNUMBER(FIND("arbeid",Methode_Keuze)),"",IF(Tb_Activiteiten[[#This Row],[Loonkosten]]=1,Tb_Activiteiten[[#Headers],[Loonkosten]],"")))</f>
        <v/>
      </c>
      <c r="AL1136" t="str">
        <f>IF(ISNUMBER(FIND("arbeid",Methode_Keuze)),"",IF(ISNUMBER(FIND("arbeid",Methode_Keuze)),"",IF(Tb_Activiteiten[[#This Row],[Eigen arbeid]]=1,Tb_Activiteiten[[#Headers],[Eigen arbeid]],"")))</f>
        <v/>
      </c>
      <c r="AM1136" t="str">
        <f>IF(ISNUMBER(FIND("arbeid",Methode_Keuze)),"",IF(ISNUMBER(FIND("arbeid",Methode_Keuze)),"",IF(Tb_Activiteiten[[#This Row],[Projectmedewerker]]=1,Tb_Activiteiten[[#Headers],[Projectmedewerker]],"")))</f>
        <v/>
      </c>
      <c r="AN1136" t="str">
        <f>IF(ISNUMBER(FIND("arbeid",Methode_Keuze)),"",IF(ISNUMBER(FIND("arbeid",Methode_Keuze)),"",IF(Tb_Activiteiten[[#This Row],[Landbouwer]]=1,Tb_Activiteiten[[#Headers],[Landbouwer]],"")))</f>
        <v/>
      </c>
      <c r="AO1136" t="str">
        <f>IF(ISNUMBER(FIND("arbeid",Methode_Keuze)),"",IF(ISNUMBER(FIND("arbeid",Methode_Keuze)),"",IF(Tb_Activiteiten[[#This Row],[Adviseur]]=1,Tb_Activiteiten[[#Headers],[Adviseur]],"")))</f>
        <v/>
      </c>
      <c r="AP1136" t="str">
        <f>IF(ISNUMBER(FIND("arbeid",Methode_Keuze)),"",IF(ISNUMBER(FIND("arbeid",Methode_Keuze)),"",IF(Tb_Activiteiten[[#This Row],[Projectleider/Expert]]=1,Tb_Activiteiten[[#Headers],[Projectleider/Expert]],"")))</f>
        <v/>
      </c>
      <c r="AQ1136" t="str">
        <f>IF(ISNUMBER(FIND("arbeid",Methode_Keuze)),"",IF(ISNUMBER(FIND("arbeid",Methode_Keuze)),"",IF(Tb_Activiteiten[[#This Row],[Arbeidskosten]]=1,Tb_Activiteiten[[#Headers],[Arbeidskosten]],"")))</f>
        <v/>
      </c>
      <c r="AR1136" t="str">
        <f>IF(ISNUMBER(FIND("arbeid",Methode_Keuze)),"",IF(ISNUMBER(FIND("arbeid",Methode_Keuze)),"",IF(Tb_Activiteiten[[#This Row],[Arbeidskosten op basis van IKS]]=1,Tb_Activiteiten[[#Headers],[Arbeidskosten op basis van IKS]],"")))</f>
        <v/>
      </c>
      <c r="AS1136" t="str">
        <f>IF(ISNUMBER(FIND("overige",Methode_Keuze)),"",IF(Tb_Activiteiten[[#This Row],[Kosten derden exclusief btw]]=1,Tb_Activiteiten[[#Headers],[Kosten derden exclusief btw]],""))</f>
        <v/>
      </c>
      <c r="AT1136" t="str">
        <f>IF(ISNUMBER(FIND("overige",Methode_Keuze)),"",IF(Tb_Activiteiten[[#This Row],[Niet verrekenbare btw]]=1,Tb_Activiteiten[[#Headers],[Niet verrekenbare btw]],""))</f>
        <v/>
      </c>
      <c r="AU1136" t="str">
        <f>IF(ISNUMBER(FIND("overige",Methode_Keuze)),"",IF(Tb_Activiteiten[[#This Row],[Grondkosten]]=1,Tb_Activiteiten[[#Headers],[Grondkosten]],""))</f>
        <v/>
      </c>
      <c r="AV1136" t="str">
        <f>IF(ISNUMBER(FIND("overige",Methode_Keuze)),"",IF(Tb_Activiteiten[[#This Row],[Bijdrage in natura (overige)]]=1,Tb_Activiteiten[[#Headers],[Bijdrage in natura (overige)]],""))</f>
        <v/>
      </c>
      <c r="AW1136" t="str">
        <f>IF(ISNUMBER(FIND("overige",Methode_Keuze)),"",IF(Tb_Activiteiten[[#This Row],[Bijdrage in natura (vrijwilligers)]]=1,Tb_Activiteiten[[#Headers],[Bijdrage in natura (vrijwilligers)]],""))</f>
        <v/>
      </c>
      <c r="AX1136" t="str">
        <f>IF(ISNUMBER(FIND("overige",Methode_Keuze)),"",IF(Tb_Activiteiten[[#This Row],[Afschrijvingskosten]]=1,Tb_Activiteiten[[#Headers],[Afschrijvingskosten]],""))</f>
        <v/>
      </c>
      <c r="AY1136" t="str">
        <f>IF(ISNUMBER(FIND("overige",Methode_Keuze)),"",IF(Tb_Activiteiten[[#This Row],[Vergoeding]]=1,Tb_Activiteiten[[#Headers],[Vergoeding]],""))</f>
        <v/>
      </c>
      <c r="AZ1136" t="str">
        <f>IF(ISNUMBER(FIND("arbeid",Methode_Keuze)),"",IF(Tb_Activiteiten[[#This Row],[Arbeidskosten - vast tarief (excl eigen arbeid)]]=1,Tb_Activiteiten[[#Headers],[Arbeidskosten - vast tarief (excl eigen arbeid)]],""))</f>
        <v/>
      </c>
      <c r="BA1136" t="str">
        <f>IF(ISNUMBER(FIND("overige",Methode_Keuze)),"",IF(Tb_Activiteiten[[#This Row],[Overige kosten]]=1,Tb_Activiteiten[[#Headers],[Overige kosten]],""))</f>
        <v/>
      </c>
    </row>
    <row r="1137" spans="1:53" x14ac:dyDescent="0.25">
      <c r="A1137" s="139"/>
      <c r="B1137" s="139"/>
      <c r="C1137" s="139"/>
      <c r="D1137" s="139"/>
      <c r="E1137" s="139"/>
      <c r="F1137" s="139"/>
      <c r="G1137" s="139"/>
      <c r="O1137" s="56"/>
      <c r="Q1137" t="str">
        <f>IFERROR(IF(VLOOKUP(Tb_Activiteiten[[#This Row],[Openstelling]],Tb_Openstelling[],2,0)=1,1,""),"")</f>
        <v/>
      </c>
      <c r="AK1137" t="str">
        <f>IF(ISNUMBER(FIND("arbeid",Methode_Keuze)),"",IF(ISNUMBER(FIND("arbeid",Methode_Keuze)),"",IF(Tb_Activiteiten[[#This Row],[Loonkosten]]=1,Tb_Activiteiten[[#Headers],[Loonkosten]],"")))</f>
        <v/>
      </c>
      <c r="AL1137" t="str">
        <f>IF(ISNUMBER(FIND("arbeid",Methode_Keuze)),"",IF(ISNUMBER(FIND("arbeid",Methode_Keuze)),"",IF(Tb_Activiteiten[[#This Row],[Eigen arbeid]]=1,Tb_Activiteiten[[#Headers],[Eigen arbeid]],"")))</f>
        <v/>
      </c>
      <c r="AM1137" t="str">
        <f>IF(ISNUMBER(FIND("arbeid",Methode_Keuze)),"",IF(ISNUMBER(FIND("arbeid",Methode_Keuze)),"",IF(Tb_Activiteiten[[#This Row],[Projectmedewerker]]=1,Tb_Activiteiten[[#Headers],[Projectmedewerker]],"")))</f>
        <v/>
      </c>
      <c r="AN1137" t="str">
        <f>IF(ISNUMBER(FIND("arbeid",Methode_Keuze)),"",IF(ISNUMBER(FIND("arbeid",Methode_Keuze)),"",IF(Tb_Activiteiten[[#This Row],[Landbouwer]]=1,Tb_Activiteiten[[#Headers],[Landbouwer]],"")))</f>
        <v/>
      </c>
      <c r="AO1137" t="str">
        <f>IF(ISNUMBER(FIND("arbeid",Methode_Keuze)),"",IF(ISNUMBER(FIND("arbeid",Methode_Keuze)),"",IF(Tb_Activiteiten[[#This Row],[Adviseur]]=1,Tb_Activiteiten[[#Headers],[Adviseur]],"")))</f>
        <v/>
      </c>
      <c r="AP1137" t="str">
        <f>IF(ISNUMBER(FIND("arbeid",Methode_Keuze)),"",IF(ISNUMBER(FIND("arbeid",Methode_Keuze)),"",IF(Tb_Activiteiten[[#This Row],[Projectleider/Expert]]=1,Tb_Activiteiten[[#Headers],[Projectleider/Expert]],"")))</f>
        <v/>
      </c>
      <c r="AQ1137" t="str">
        <f>IF(ISNUMBER(FIND("arbeid",Methode_Keuze)),"",IF(ISNUMBER(FIND("arbeid",Methode_Keuze)),"",IF(Tb_Activiteiten[[#This Row],[Arbeidskosten]]=1,Tb_Activiteiten[[#Headers],[Arbeidskosten]],"")))</f>
        <v/>
      </c>
      <c r="AR1137" t="str">
        <f>IF(ISNUMBER(FIND("arbeid",Methode_Keuze)),"",IF(ISNUMBER(FIND("arbeid",Methode_Keuze)),"",IF(Tb_Activiteiten[[#This Row],[Arbeidskosten op basis van IKS]]=1,Tb_Activiteiten[[#Headers],[Arbeidskosten op basis van IKS]],"")))</f>
        <v/>
      </c>
      <c r="AS1137" t="str">
        <f>IF(ISNUMBER(FIND("overige",Methode_Keuze)),"",IF(Tb_Activiteiten[[#This Row],[Kosten derden exclusief btw]]=1,Tb_Activiteiten[[#Headers],[Kosten derden exclusief btw]],""))</f>
        <v/>
      </c>
      <c r="AT1137" t="str">
        <f>IF(ISNUMBER(FIND("overige",Methode_Keuze)),"",IF(Tb_Activiteiten[[#This Row],[Niet verrekenbare btw]]=1,Tb_Activiteiten[[#Headers],[Niet verrekenbare btw]],""))</f>
        <v/>
      </c>
      <c r="AU1137" t="str">
        <f>IF(ISNUMBER(FIND("overige",Methode_Keuze)),"",IF(Tb_Activiteiten[[#This Row],[Grondkosten]]=1,Tb_Activiteiten[[#Headers],[Grondkosten]],""))</f>
        <v/>
      </c>
      <c r="AV1137" t="str">
        <f>IF(ISNUMBER(FIND("overige",Methode_Keuze)),"",IF(Tb_Activiteiten[[#This Row],[Bijdrage in natura (overige)]]=1,Tb_Activiteiten[[#Headers],[Bijdrage in natura (overige)]],""))</f>
        <v/>
      </c>
      <c r="AW1137" t="str">
        <f>IF(ISNUMBER(FIND("overige",Methode_Keuze)),"",IF(Tb_Activiteiten[[#This Row],[Bijdrage in natura (vrijwilligers)]]=1,Tb_Activiteiten[[#Headers],[Bijdrage in natura (vrijwilligers)]],""))</f>
        <v/>
      </c>
      <c r="AX1137" t="str">
        <f>IF(ISNUMBER(FIND("overige",Methode_Keuze)),"",IF(Tb_Activiteiten[[#This Row],[Afschrijvingskosten]]=1,Tb_Activiteiten[[#Headers],[Afschrijvingskosten]],""))</f>
        <v/>
      </c>
      <c r="AY1137" t="str">
        <f>IF(ISNUMBER(FIND("overige",Methode_Keuze)),"",IF(Tb_Activiteiten[[#This Row],[Vergoeding]]=1,Tb_Activiteiten[[#Headers],[Vergoeding]],""))</f>
        <v/>
      </c>
      <c r="AZ1137" t="str">
        <f>IF(ISNUMBER(FIND("arbeid",Methode_Keuze)),"",IF(Tb_Activiteiten[[#This Row],[Arbeidskosten - vast tarief (excl eigen arbeid)]]=1,Tb_Activiteiten[[#Headers],[Arbeidskosten - vast tarief (excl eigen arbeid)]],""))</f>
        <v/>
      </c>
      <c r="BA1137" t="str">
        <f>IF(ISNUMBER(FIND("overige",Methode_Keuze)),"",IF(Tb_Activiteiten[[#This Row],[Overige kosten]]=1,Tb_Activiteiten[[#Headers],[Overige kosten]],""))</f>
        <v/>
      </c>
    </row>
    <row r="1138" spans="1:53" x14ac:dyDescent="0.25">
      <c r="A1138" s="139"/>
      <c r="B1138" s="139"/>
      <c r="C1138" s="139"/>
      <c r="D1138" s="139"/>
      <c r="E1138" s="139"/>
      <c r="F1138" s="139"/>
      <c r="G1138" s="139"/>
      <c r="O1138" s="56"/>
      <c r="Q1138" t="str">
        <f>IFERROR(IF(VLOOKUP(Tb_Activiteiten[[#This Row],[Openstelling]],Tb_Openstelling[],2,0)=1,1,""),"")</f>
        <v/>
      </c>
      <c r="AK1138" t="str">
        <f>IF(ISNUMBER(FIND("arbeid",Methode_Keuze)),"",IF(ISNUMBER(FIND("arbeid",Methode_Keuze)),"",IF(Tb_Activiteiten[[#This Row],[Loonkosten]]=1,Tb_Activiteiten[[#Headers],[Loonkosten]],"")))</f>
        <v/>
      </c>
      <c r="AL1138" t="str">
        <f>IF(ISNUMBER(FIND("arbeid",Methode_Keuze)),"",IF(ISNUMBER(FIND("arbeid",Methode_Keuze)),"",IF(Tb_Activiteiten[[#This Row],[Eigen arbeid]]=1,Tb_Activiteiten[[#Headers],[Eigen arbeid]],"")))</f>
        <v/>
      </c>
      <c r="AM1138" t="str">
        <f>IF(ISNUMBER(FIND("arbeid",Methode_Keuze)),"",IF(ISNUMBER(FIND("arbeid",Methode_Keuze)),"",IF(Tb_Activiteiten[[#This Row],[Projectmedewerker]]=1,Tb_Activiteiten[[#Headers],[Projectmedewerker]],"")))</f>
        <v/>
      </c>
      <c r="AN1138" t="str">
        <f>IF(ISNUMBER(FIND("arbeid",Methode_Keuze)),"",IF(ISNUMBER(FIND("arbeid",Methode_Keuze)),"",IF(Tb_Activiteiten[[#This Row],[Landbouwer]]=1,Tb_Activiteiten[[#Headers],[Landbouwer]],"")))</f>
        <v/>
      </c>
      <c r="AO1138" t="str">
        <f>IF(ISNUMBER(FIND("arbeid",Methode_Keuze)),"",IF(ISNUMBER(FIND("arbeid",Methode_Keuze)),"",IF(Tb_Activiteiten[[#This Row],[Adviseur]]=1,Tb_Activiteiten[[#Headers],[Adviseur]],"")))</f>
        <v/>
      </c>
      <c r="AP1138" t="str">
        <f>IF(ISNUMBER(FIND("arbeid",Methode_Keuze)),"",IF(ISNUMBER(FIND("arbeid",Methode_Keuze)),"",IF(Tb_Activiteiten[[#This Row],[Projectleider/Expert]]=1,Tb_Activiteiten[[#Headers],[Projectleider/Expert]],"")))</f>
        <v/>
      </c>
      <c r="AQ1138" t="str">
        <f>IF(ISNUMBER(FIND("arbeid",Methode_Keuze)),"",IF(ISNUMBER(FIND("arbeid",Methode_Keuze)),"",IF(Tb_Activiteiten[[#This Row],[Arbeidskosten]]=1,Tb_Activiteiten[[#Headers],[Arbeidskosten]],"")))</f>
        <v/>
      </c>
      <c r="AR1138" t="str">
        <f>IF(ISNUMBER(FIND("arbeid",Methode_Keuze)),"",IF(ISNUMBER(FIND("arbeid",Methode_Keuze)),"",IF(Tb_Activiteiten[[#This Row],[Arbeidskosten op basis van IKS]]=1,Tb_Activiteiten[[#Headers],[Arbeidskosten op basis van IKS]],"")))</f>
        <v/>
      </c>
      <c r="AS1138" t="str">
        <f>IF(ISNUMBER(FIND("overige",Methode_Keuze)),"",IF(Tb_Activiteiten[[#This Row],[Kosten derden exclusief btw]]=1,Tb_Activiteiten[[#Headers],[Kosten derden exclusief btw]],""))</f>
        <v/>
      </c>
      <c r="AT1138" t="str">
        <f>IF(ISNUMBER(FIND("overige",Methode_Keuze)),"",IF(Tb_Activiteiten[[#This Row],[Niet verrekenbare btw]]=1,Tb_Activiteiten[[#Headers],[Niet verrekenbare btw]],""))</f>
        <v/>
      </c>
      <c r="AU1138" t="str">
        <f>IF(ISNUMBER(FIND("overige",Methode_Keuze)),"",IF(Tb_Activiteiten[[#This Row],[Grondkosten]]=1,Tb_Activiteiten[[#Headers],[Grondkosten]],""))</f>
        <v/>
      </c>
      <c r="AV1138" t="str">
        <f>IF(ISNUMBER(FIND("overige",Methode_Keuze)),"",IF(Tb_Activiteiten[[#This Row],[Bijdrage in natura (overige)]]=1,Tb_Activiteiten[[#Headers],[Bijdrage in natura (overige)]],""))</f>
        <v/>
      </c>
      <c r="AW1138" t="str">
        <f>IF(ISNUMBER(FIND("overige",Methode_Keuze)),"",IF(Tb_Activiteiten[[#This Row],[Bijdrage in natura (vrijwilligers)]]=1,Tb_Activiteiten[[#Headers],[Bijdrage in natura (vrijwilligers)]],""))</f>
        <v/>
      </c>
      <c r="AX1138" t="str">
        <f>IF(ISNUMBER(FIND("overige",Methode_Keuze)),"",IF(Tb_Activiteiten[[#This Row],[Afschrijvingskosten]]=1,Tb_Activiteiten[[#Headers],[Afschrijvingskosten]],""))</f>
        <v/>
      </c>
      <c r="AY1138" t="str">
        <f>IF(ISNUMBER(FIND("overige",Methode_Keuze)),"",IF(Tb_Activiteiten[[#This Row],[Vergoeding]]=1,Tb_Activiteiten[[#Headers],[Vergoeding]],""))</f>
        <v/>
      </c>
      <c r="AZ1138" t="str">
        <f>IF(ISNUMBER(FIND("arbeid",Methode_Keuze)),"",IF(Tb_Activiteiten[[#This Row],[Arbeidskosten - vast tarief (excl eigen arbeid)]]=1,Tb_Activiteiten[[#Headers],[Arbeidskosten - vast tarief (excl eigen arbeid)]],""))</f>
        <v/>
      </c>
      <c r="BA1138" t="str">
        <f>IF(ISNUMBER(FIND("overige",Methode_Keuze)),"",IF(Tb_Activiteiten[[#This Row],[Overige kosten]]=1,Tb_Activiteiten[[#Headers],[Overige kosten]],""))</f>
        <v/>
      </c>
    </row>
    <row r="1139" spans="1:53" x14ac:dyDescent="0.25">
      <c r="A1139" s="139"/>
      <c r="B1139" s="139"/>
      <c r="C1139" s="139"/>
      <c r="D1139" s="139"/>
      <c r="E1139" s="139"/>
      <c r="F1139" s="139"/>
      <c r="G1139" s="139"/>
      <c r="O1139" s="56"/>
      <c r="Q1139" t="str">
        <f>IFERROR(IF(VLOOKUP(Tb_Activiteiten[[#This Row],[Openstelling]],Tb_Openstelling[],2,0)=1,1,""),"")</f>
        <v/>
      </c>
      <c r="AK1139" t="str">
        <f>IF(ISNUMBER(FIND("arbeid",Methode_Keuze)),"",IF(ISNUMBER(FIND("arbeid",Methode_Keuze)),"",IF(Tb_Activiteiten[[#This Row],[Loonkosten]]=1,Tb_Activiteiten[[#Headers],[Loonkosten]],"")))</f>
        <v/>
      </c>
      <c r="AL1139" t="str">
        <f>IF(ISNUMBER(FIND("arbeid",Methode_Keuze)),"",IF(ISNUMBER(FIND("arbeid",Methode_Keuze)),"",IF(Tb_Activiteiten[[#This Row],[Eigen arbeid]]=1,Tb_Activiteiten[[#Headers],[Eigen arbeid]],"")))</f>
        <v/>
      </c>
      <c r="AM1139" t="str">
        <f>IF(ISNUMBER(FIND("arbeid",Methode_Keuze)),"",IF(ISNUMBER(FIND("arbeid",Methode_Keuze)),"",IF(Tb_Activiteiten[[#This Row],[Projectmedewerker]]=1,Tb_Activiteiten[[#Headers],[Projectmedewerker]],"")))</f>
        <v/>
      </c>
      <c r="AN1139" t="str">
        <f>IF(ISNUMBER(FIND("arbeid",Methode_Keuze)),"",IF(ISNUMBER(FIND("arbeid",Methode_Keuze)),"",IF(Tb_Activiteiten[[#This Row],[Landbouwer]]=1,Tb_Activiteiten[[#Headers],[Landbouwer]],"")))</f>
        <v/>
      </c>
      <c r="AO1139" t="str">
        <f>IF(ISNUMBER(FIND("arbeid",Methode_Keuze)),"",IF(ISNUMBER(FIND("arbeid",Methode_Keuze)),"",IF(Tb_Activiteiten[[#This Row],[Adviseur]]=1,Tb_Activiteiten[[#Headers],[Adviseur]],"")))</f>
        <v/>
      </c>
      <c r="AP1139" t="str">
        <f>IF(ISNUMBER(FIND("arbeid",Methode_Keuze)),"",IF(ISNUMBER(FIND("arbeid",Methode_Keuze)),"",IF(Tb_Activiteiten[[#This Row],[Projectleider/Expert]]=1,Tb_Activiteiten[[#Headers],[Projectleider/Expert]],"")))</f>
        <v/>
      </c>
      <c r="AQ1139" t="str">
        <f>IF(ISNUMBER(FIND("arbeid",Methode_Keuze)),"",IF(ISNUMBER(FIND("arbeid",Methode_Keuze)),"",IF(Tb_Activiteiten[[#This Row],[Arbeidskosten]]=1,Tb_Activiteiten[[#Headers],[Arbeidskosten]],"")))</f>
        <v/>
      </c>
      <c r="AR1139" t="str">
        <f>IF(ISNUMBER(FIND("arbeid",Methode_Keuze)),"",IF(ISNUMBER(FIND("arbeid",Methode_Keuze)),"",IF(Tb_Activiteiten[[#This Row],[Arbeidskosten op basis van IKS]]=1,Tb_Activiteiten[[#Headers],[Arbeidskosten op basis van IKS]],"")))</f>
        <v/>
      </c>
      <c r="AS1139" t="str">
        <f>IF(ISNUMBER(FIND("overige",Methode_Keuze)),"",IF(Tb_Activiteiten[[#This Row],[Kosten derden exclusief btw]]=1,Tb_Activiteiten[[#Headers],[Kosten derden exclusief btw]],""))</f>
        <v/>
      </c>
      <c r="AT1139" t="str">
        <f>IF(ISNUMBER(FIND("overige",Methode_Keuze)),"",IF(Tb_Activiteiten[[#This Row],[Niet verrekenbare btw]]=1,Tb_Activiteiten[[#Headers],[Niet verrekenbare btw]],""))</f>
        <v/>
      </c>
      <c r="AU1139" t="str">
        <f>IF(ISNUMBER(FIND("overige",Methode_Keuze)),"",IF(Tb_Activiteiten[[#This Row],[Grondkosten]]=1,Tb_Activiteiten[[#Headers],[Grondkosten]],""))</f>
        <v/>
      </c>
      <c r="AV1139" t="str">
        <f>IF(ISNUMBER(FIND("overige",Methode_Keuze)),"",IF(Tb_Activiteiten[[#This Row],[Bijdrage in natura (overige)]]=1,Tb_Activiteiten[[#Headers],[Bijdrage in natura (overige)]],""))</f>
        <v/>
      </c>
      <c r="AW1139" t="str">
        <f>IF(ISNUMBER(FIND("overige",Methode_Keuze)),"",IF(Tb_Activiteiten[[#This Row],[Bijdrage in natura (vrijwilligers)]]=1,Tb_Activiteiten[[#Headers],[Bijdrage in natura (vrijwilligers)]],""))</f>
        <v/>
      </c>
      <c r="AX1139" t="str">
        <f>IF(ISNUMBER(FIND("overige",Methode_Keuze)),"",IF(Tb_Activiteiten[[#This Row],[Afschrijvingskosten]]=1,Tb_Activiteiten[[#Headers],[Afschrijvingskosten]],""))</f>
        <v/>
      </c>
      <c r="AY1139" t="str">
        <f>IF(ISNUMBER(FIND("overige",Methode_Keuze)),"",IF(Tb_Activiteiten[[#This Row],[Vergoeding]]=1,Tb_Activiteiten[[#Headers],[Vergoeding]],""))</f>
        <v/>
      </c>
      <c r="AZ1139" t="str">
        <f>IF(ISNUMBER(FIND("arbeid",Methode_Keuze)),"",IF(Tb_Activiteiten[[#This Row],[Arbeidskosten - vast tarief (excl eigen arbeid)]]=1,Tb_Activiteiten[[#Headers],[Arbeidskosten - vast tarief (excl eigen arbeid)]],""))</f>
        <v/>
      </c>
      <c r="BA1139" t="str">
        <f>IF(ISNUMBER(FIND("overige",Methode_Keuze)),"",IF(Tb_Activiteiten[[#This Row],[Overige kosten]]=1,Tb_Activiteiten[[#Headers],[Overige kosten]],""))</f>
        <v/>
      </c>
    </row>
    <row r="1140" spans="1:53" x14ac:dyDescent="0.25">
      <c r="A1140" s="139"/>
      <c r="B1140" s="139"/>
      <c r="C1140" s="139"/>
      <c r="D1140" s="139"/>
      <c r="E1140" s="139"/>
      <c r="F1140" s="139"/>
      <c r="G1140" s="139"/>
      <c r="O1140" s="56"/>
      <c r="Q1140" t="str">
        <f>IFERROR(IF(VLOOKUP(Tb_Activiteiten[[#This Row],[Openstelling]],Tb_Openstelling[],2,0)=1,1,""),"")</f>
        <v/>
      </c>
      <c r="AK1140" t="str">
        <f>IF(ISNUMBER(FIND("arbeid",Methode_Keuze)),"",IF(ISNUMBER(FIND("arbeid",Methode_Keuze)),"",IF(Tb_Activiteiten[[#This Row],[Loonkosten]]=1,Tb_Activiteiten[[#Headers],[Loonkosten]],"")))</f>
        <v/>
      </c>
      <c r="AL1140" t="str">
        <f>IF(ISNUMBER(FIND("arbeid",Methode_Keuze)),"",IF(ISNUMBER(FIND("arbeid",Methode_Keuze)),"",IF(Tb_Activiteiten[[#This Row],[Eigen arbeid]]=1,Tb_Activiteiten[[#Headers],[Eigen arbeid]],"")))</f>
        <v/>
      </c>
      <c r="AM1140" t="str">
        <f>IF(ISNUMBER(FIND("arbeid",Methode_Keuze)),"",IF(ISNUMBER(FIND("arbeid",Methode_Keuze)),"",IF(Tb_Activiteiten[[#This Row],[Projectmedewerker]]=1,Tb_Activiteiten[[#Headers],[Projectmedewerker]],"")))</f>
        <v/>
      </c>
      <c r="AN1140" t="str">
        <f>IF(ISNUMBER(FIND("arbeid",Methode_Keuze)),"",IF(ISNUMBER(FIND("arbeid",Methode_Keuze)),"",IF(Tb_Activiteiten[[#This Row],[Landbouwer]]=1,Tb_Activiteiten[[#Headers],[Landbouwer]],"")))</f>
        <v/>
      </c>
      <c r="AO1140" t="str">
        <f>IF(ISNUMBER(FIND("arbeid",Methode_Keuze)),"",IF(ISNUMBER(FIND("arbeid",Methode_Keuze)),"",IF(Tb_Activiteiten[[#This Row],[Adviseur]]=1,Tb_Activiteiten[[#Headers],[Adviseur]],"")))</f>
        <v/>
      </c>
      <c r="AP1140" t="str">
        <f>IF(ISNUMBER(FIND("arbeid",Methode_Keuze)),"",IF(ISNUMBER(FIND("arbeid",Methode_Keuze)),"",IF(Tb_Activiteiten[[#This Row],[Projectleider/Expert]]=1,Tb_Activiteiten[[#Headers],[Projectleider/Expert]],"")))</f>
        <v/>
      </c>
      <c r="AQ1140" t="str">
        <f>IF(ISNUMBER(FIND("arbeid",Methode_Keuze)),"",IF(ISNUMBER(FIND("arbeid",Methode_Keuze)),"",IF(Tb_Activiteiten[[#This Row],[Arbeidskosten]]=1,Tb_Activiteiten[[#Headers],[Arbeidskosten]],"")))</f>
        <v/>
      </c>
      <c r="AR1140" t="str">
        <f>IF(ISNUMBER(FIND("arbeid",Methode_Keuze)),"",IF(ISNUMBER(FIND("arbeid",Methode_Keuze)),"",IF(Tb_Activiteiten[[#This Row],[Arbeidskosten op basis van IKS]]=1,Tb_Activiteiten[[#Headers],[Arbeidskosten op basis van IKS]],"")))</f>
        <v/>
      </c>
      <c r="AS1140" t="str">
        <f>IF(ISNUMBER(FIND("overige",Methode_Keuze)),"",IF(Tb_Activiteiten[[#This Row],[Kosten derden exclusief btw]]=1,Tb_Activiteiten[[#Headers],[Kosten derden exclusief btw]],""))</f>
        <v/>
      </c>
      <c r="AT1140" t="str">
        <f>IF(ISNUMBER(FIND("overige",Methode_Keuze)),"",IF(Tb_Activiteiten[[#This Row],[Niet verrekenbare btw]]=1,Tb_Activiteiten[[#Headers],[Niet verrekenbare btw]],""))</f>
        <v/>
      </c>
      <c r="AU1140" t="str">
        <f>IF(ISNUMBER(FIND("overige",Methode_Keuze)),"",IF(Tb_Activiteiten[[#This Row],[Grondkosten]]=1,Tb_Activiteiten[[#Headers],[Grondkosten]],""))</f>
        <v/>
      </c>
      <c r="AV1140" t="str">
        <f>IF(ISNUMBER(FIND("overige",Methode_Keuze)),"",IF(Tb_Activiteiten[[#This Row],[Bijdrage in natura (overige)]]=1,Tb_Activiteiten[[#Headers],[Bijdrage in natura (overige)]],""))</f>
        <v/>
      </c>
      <c r="AW1140" t="str">
        <f>IF(ISNUMBER(FIND("overige",Methode_Keuze)),"",IF(Tb_Activiteiten[[#This Row],[Bijdrage in natura (vrijwilligers)]]=1,Tb_Activiteiten[[#Headers],[Bijdrage in natura (vrijwilligers)]],""))</f>
        <v/>
      </c>
      <c r="AX1140" t="str">
        <f>IF(ISNUMBER(FIND("overige",Methode_Keuze)),"",IF(Tb_Activiteiten[[#This Row],[Afschrijvingskosten]]=1,Tb_Activiteiten[[#Headers],[Afschrijvingskosten]],""))</f>
        <v/>
      </c>
      <c r="AY1140" t="str">
        <f>IF(ISNUMBER(FIND("overige",Methode_Keuze)),"",IF(Tb_Activiteiten[[#This Row],[Vergoeding]]=1,Tb_Activiteiten[[#Headers],[Vergoeding]],""))</f>
        <v/>
      </c>
      <c r="AZ1140" t="str">
        <f>IF(ISNUMBER(FIND("arbeid",Methode_Keuze)),"",IF(Tb_Activiteiten[[#This Row],[Arbeidskosten - vast tarief (excl eigen arbeid)]]=1,Tb_Activiteiten[[#Headers],[Arbeidskosten - vast tarief (excl eigen arbeid)]],""))</f>
        <v/>
      </c>
      <c r="BA1140" t="str">
        <f>IF(ISNUMBER(FIND("overige",Methode_Keuze)),"",IF(Tb_Activiteiten[[#This Row],[Overige kosten]]=1,Tb_Activiteiten[[#Headers],[Overige kosten]],""))</f>
        <v/>
      </c>
    </row>
    <row r="1141" spans="1:53" x14ac:dyDescent="0.25">
      <c r="A1141" s="139"/>
      <c r="B1141" s="139"/>
      <c r="C1141" s="139"/>
      <c r="D1141" s="139"/>
      <c r="E1141" s="139"/>
      <c r="F1141" s="139"/>
      <c r="G1141" s="139"/>
      <c r="O1141" s="56"/>
      <c r="Q1141" t="str">
        <f>IFERROR(IF(VLOOKUP(Tb_Activiteiten[[#This Row],[Openstelling]],Tb_Openstelling[],2,0)=1,1,""),"")</f>
        <v/>
      </c>
      <c r="AK1141" t="str">
        <f>IF(ISNUMBER(FIND("arbeid",Methode_Keuze)),"",IF(ISNUMBER(FIND("arbeid",Methode_Keuze)),"",IF(Tb_Activiteiten[[#This Row],[Loonkosten]]=1,Tb_Activiteiten[[#Headers],[Loonkosten]],"")))</f>
        <v/>
      </c>
      <c r="AL1141" t="str">
        <f>IF(ISNUMBER(FIND("arbeid",Methode_Keuze)),"",IF(ISNUMBER(FIND("arbeid",Methode_Keuze)),"",IF(Tb_Activiteiten[[#This Row],[Eigen arbeid]]=1,Tb_Activiteiten[[#Headers],[Eigen arbeid]],"")))</f>
        <v/>
      </c>
      <c r="AM1141" t="str">
        <f>IF(ISNUMBER(FIND("arbeid",Methode_Keuze)),"",IF(ISNUMBER(FIND("arbeid",Methode_Keuze)),"",IF(Tb_Activiteiten[[#This Row],[Projectmedewerker]]=1,Tb_Activiteiten[[#Headers],[Projectmedewerker]],"")))</f>
        <v/>
      </c>
      <c r="AN1141" t="str">
        <f>IF(ISNUMBER(FIND("arbeid",Methode_Keuze)),"",IF(ISNUMBER(FIND("arbeid",Methode_Keuze)),"",IF(Tb_Activiteiten[[#This Row],[Landbouwer]]=1,Tb_Activiteiten[[#Headers],[Landbouwer]],"")))</f>
        <v/>
      </c>
      <c r="AO1141" t="str">
        <f>IF(ISNUMBER(FIND("arbeid",Methode_Keuze)),"",IF(ISNUMBER(FIND("arbeid",Methode_Keuze)),"",IF(Tb_Activiteiten[[#This Row],[Adviseur]]=1,Tb_Activiteiten[[#Headers],[Adviseur]],"")))</f>
        <v/>
      </c>
      <c r="AP1141" t="str">
        <f>IF(ISNUMBER(FIND("arbeid",Methode_Keuze)),"",IF(ISNUMBER(FIND("arbeid",Methode_Keuze)),"",IF(Tb_Activiteiten[[#This Row],[Projectleider/Expert]]=1,Tb_Activiteiten[[#Headers],[Projectleider/Expert]],"")))</f>
        <v/>
      </c>
      <c r="AQ1141" t="str">
        <f>IF(ISNUMBER(FIND("arbeid",Methode_Keuze)),"",IF(ISNUMBER(FIND("arbeid",Methode_Keuze)),"",IF(Tb_Activiteiten[[#This Row],[Arbeidskosten]]=1,Tb_Activiteiten[[#Headers],[Arbeidskosten]],"")))</f>
        <v/>
      </c>
      <c r="AR1141" t="str">
        <f>IF(ISNUMBER(FIND("arbeid",Methode_Keuze)),"",IF(ISNUMBER(FIND("arbeid",Methode_Keuze)),"",IF(Tb_Activiteiten[[#This Row],[Arbeidskosten op basis van IKS]]=1,Tb_Activiteiten[[#Headers],[Arbeidskosten op basis van IKS]],"")))</f>
        <v/>
      </c>
      <c r="AS1141" t="str">
        <f>IF(ISNUMBER(FIND("overige",Methode_Keuze)),"",IF(Tb_Activiteiten[[#This Row],[Kosten derden exclusief btw]]=1,Tb_Activiteiten[[#Headers],[Kosten derden exclusief btw]],""))</f>
        <v/>
      </c>
      <c r="AT1141" t="str">
        <f>IF(ISNUMBER(FIND("overige",Methode_Keuze)),"",IF(Tb_Activiteiten[[#This Row],[Niet verrekenbare btw]]=1,Tb_Activiteiten[[#Headers],[Niet verrekenbare btw]],""))</f>
        <v/>
      </c>
      <c r="AU1141" t="str">
        <f>IF(ISNUMBER(FIND("overige",Methode_Keuze)),"",IF(Tb_Activiteiten[[#This Row],[Grondkosten]]=1,Tb_Activiteiten[[#Headers],[Grondkosten]],""))</f>
        <v/>
      </c>
      <c r="AV1141" t="str">
        <f>IF(ISNUMBER(FIND("overige",Methode_Keuze)),"",IF(Tb_Activiteiten[[#This Row],[Bijdrage in natura (overige)]]=1,Tb_Activiteiten[[#Headers],[Bijdrage in natura (overige)]],""))</f>
        <v/>
      </c>
      <c r="AW1141" t="str">
        <f>IF(ISNUMBER(FIND("overige",Methode_Keuze)),"",IF(Tb_Activiteiten[[#This Row],[Bijdrage in natura (vrijwilligers)]]=1,Tb_Activiteiten[[#Headers],[Bijdrage in natura (vrijwilligers)]],""))</f>
        <v/>
      </c>
      <c r="AX1141" t="str">
        <f>IF(ISNUMBER(FIND("overige",Methode_Keuze)),"",IF(Tb_Activiteiten[[#This Row],[Afschrijvingskosten]]=1,Tb_Activiteiten[[#Headers],[Afschrijvingskosten]],""))</f>
        <v/>
      </c>
      <c r="AY1141" t="str">
        <f>IF(ISNUMBER(FIND("overige",Methode_Keuze)),"",IF(Tb_Activiteiten[[#This Row],[Vergoeding]]=1,Tb_Activiteiten[[#Headers],[Vergoeding]],""))</f>
        <v/>
      </c>
      <c r="AZ1141" t="str">
        <f>IF(ISNUMBER(FIND("arbeid",Methode_Keuze)),"",IF(Tb_Activiteiten[[#This Row],[Arbeidskosten - vast tarief (excl eigen arbeid)]]=1,Tb_Activiteiten[[#Headers],[Arbeidskosten - vast tarief (excl eigen arbeid)]],""))</f>
        <v/>
      </c>
      <c r="BA1141" t="str">
        <f>IF(ISNUMBER(FIND("overige",Methode_Keuze)),"",IF(Tb_Activiteiten[[#This Row],[Overige kosten]]=1,Tb_Activiteiten[[#Headers],[Overige kosten]],""))</f>
        <v/>
      </c>
    </row>
    <row r="1142" spans="1:53" x14ac:dyDescent="0.25">
      <c r="A1142" s="139"/>
      <c r="B1142" s="139"/>
      <c r="C1142" s="139"/>
      <c r="D1142" s="139"/>
      <c r="E1142" s="139"/>
      <c r="F1142" s="139"/>
      <c r="G1142" s="139"/>
      <c r="O1142" s="56"/>
      <c r="Q1142" t="str">
        <f>IFERROR(IF(VLOOKUP(Tb_Activiteiten[[#This Row],[Openstelling]],Tb_Openstelling[],2,0)=1,1,""),"")</f>
        <v/>
      </c>
      <c r="AK1142" t="str">
        <f>IF(ISNUMBER(FIND("arbeid",Methode_Keuze)),"",IF(ISNUMBER(FIND("arbeid",Methode_Keuze)),"",IF(Tb_Activiteiten[[#This Row],[Loonkosten]]=1,Tb_Activiteiten[[#Headers],[Loonkosten]],"")))</f>
        <v/>
      </c>
      <c r="AL1142" t="str">
        <f>IF(ISNUMBER(FIND("arbeid",Methode_Keuze)),"",IF(ISNUMBER(FIND("arbeid",Methode_Keuze)),"",IF(Tb_Activiteiten[[#This Row],[Eigen arbeid]]=1,Tb_Activiteiten[[#Headers],[Eigen arbeid]],"")))</f>
        <v/>
      </c>
      <c r="AM1142" t="str">
        <f>IF(ISNUMBER(FIND("arbeid",Methode_Keuze)),"",IF(ISNUMBER(FIND("arbeid",Methode_Keuze)),"",IF(Tb_Activiteiten[[#This Row],[Projectmedewerker]]=1,Tb_Activiteiten[[#Headers],[Projectmedewerker]],"")))</f>
        <v/>
      </c>
      <c r="AN1142" t="str">
        <f>IF(ISNUMBER(FIND("arbeid",Methode_Keuze)),"",IF(ISNUMBER(FIND("arbeid",Methode_Keuze)),"",IF(Tb_Activiteiten[[#This Row],[Landbouwer]]=1,Tb_Activiteiten[[#Headers],[Landbouwer]],"")))</f>
        <v/>
      </c>
      <c r="AO1142" t="str">
        <f>IF(ISNUMBER(FIND("arbeid",Methode_Keuze)),"",IF(ISNUMBER(FIND("arbeid",Methode_Keuze)),"",IF(Tb_Activiteiten[[#This Row],[Adviseur]]=1,Tb_Activiteiten[[#Headers],[Adviseur]],"")))</f>
        <v/>
      </c>
      <c r="AP1142" t="str">
        <f>IF(ISNUMBER(FIND("arbeid",Methode_Keuze)),"",IF(ISNUMBER(FIND("arbeid",Methode_Keuze)),"",IF(Tb_Activiteiten[[#This Row],[Projectleider/Expert]]=1,Tb_Activiteiten[[#Headers],[Projectleider/Expert]],"")))</f>
        <v/>
      </c>
      <c r="AQ1142" t="str">
        <f>IF(ISNUMBER(FIND("arbeid",Methode_Keuze)),"",IF(ISNUMBER(FIND("arbeid",Methode_Keuze)),"",IF(Tb_Activiteiten[[#This Row],[Arbeidskosten]]=1,Tb_Activiteiten[[#Headers],[Arbeidskosten]],"")))</f>
        <v/>
      </c>
      <c r="AR1142" t="str">
        <f>IF(ISNUMBER(FIND("arbeid",Methode_Keuze)),"",IF(ISNUMBER(FIND("arbeid",Methode_Keuze)),"",IF(Tb_Activiteiten[[#This Row],[Arbeidskosten op basis van IKS]]=1,Tb_Activiteiten[[#Headers],[Arbeidskosten op basis van IKS]],"")))</f>
        <v/>
      </c>
      <c r="AS1142" t="str">
        <f>IF(ISNUMBER(FIND("overige",Methode_Keuze)),"",IF(Tb_Activiteiten[[#This Row],[Kosten derden exclusief btw]]=1,Tb_Activiteiten[[#Headers],[Kosten derden exclusief btw]],""))</f>
        <v/>
      </c>
      <c r="AT1142" t="str">
        <f>IF(ISNUMBER(FIND("overige",Methode_Keuze)),"",IF(Tb_Activiteiten[[#This Row],[Niet verrekenbare btw]]=1,Tb_Activiteiten[[#Headers],[Niet verrekenbare btw]],""))</f>
        <v/>
      </c>
      <c r="AU1142" t="str">
        <f>IF(ISNUMBER(FIND("overige",Methode_Keuze)),"",IF(Tb_Activiteiten[[#This Row],[Grondkosten]]=1,Tb_Activiteiten[[#Headers],[Grondkosten]],""))</f>
        <v/>
      </c>
      <c r="AV1142" t="str">
        <f>IF(ISNUMBER(FIND("overige",Methode_Keuze)),"",IF(Tb_Activiteiten[[#This Row],[Bijdrage in natura (overige)]]=1,Tb_Activiteiten[[#Headers],[Bijdrage in natura (overige)]],""))</f>
        <v/>
      </c>
      <c r="AW1142" t="str">
        <f>IF(ISNUMBER(FIND("overige",Methode_Keuze)),"",IF(Tb_Activiteiten[[#This Row],[Bijdrage in natura (vrijwilligers)]]=1,Tb_Activiteiten[[#Headers],[Bijdrage in natura (vrijwilligers)]],""))</f>
        <v/>
      </c>
      <c r="AX1142" t="str">
        <f>IF(ISNUMBER(FIND("overige",Methode_Keuze)),"",IF(Tb_Activiteiten[[#This Row],[Afschrijvingskosten]]=1,Tb_Activiteiten[[#Headers],[Afschrijvingskosten]],""))</f>
        <v/>
      </c>
      <c r="AY1142" t="str">
        <f>IF(ISNUMBER(FIND("overige",Methode_Keuze)),"",IF(Tb_Activiteiten[[#This Row],[Vergoeding]]=1,Tb_Activiteiten[[#Headers],[Vergoeding]],""))</f>
        <v/>
      </c>
      <c r="AZ1142" t="str">
        <f>IF(ISNUMBER(FIND("arbeid",Methode_Keuze)),"",IF(Tb_Activiteiten[[#This Row],[Arbeidskosten - vast tarief (excl eigen arbeid)]]=1,Tb_Activiteiten[[#Headers],[Arbeidskosten - vast tarief (excl eigen arbeid)]],""))</f>
        <v/>
      </c>
      <c r="BA1142" t="str">
        <f>IF(ISNUMBER(FIND("overige",Methode_Keuze)),"",IF(Tb_Activiteiten[[#This Row],[Overige kosten]]=1,Tb_Activiteiten[[#Headers],[Overige kosten]],""))</f>
        <v/>
      </c>
    </row>
    <row r="1143" spans="1:53" x14ac:dyDescent="0.25">
      <c r="A1143" s="139"/>
      <c r="B1143" s="139"/>
      <c r="C1143" s="139"/>
      <c r="D1143" s="139"/>
      <c r="E1143" s="139"/>
      <c r="F1143" s="139"/>
      <c r="G1143" s="139"/>
      <c r="O1143" s="56"/>
      <c r="Q1143" t="str">
        <f>IFERROR(IF(VLOOKUP(Tb_Activiteiten[[#This Row],[Openstelling]],Tb_Openstelling[],2,0)=1,1,""),"")</f>
        <v/>
      </c>
      <c r="AK1143" t="str">
        <f>IF(ISNUMBER(FIND("arbeid",Methode_Keuze)),"",IF(ISNUMBER(FIND("arbeid",Methode_Keuze)),"",IF(Tb_Activiteiten[[#This Row],[Loonkosten]]=1,Tb_Activiteiten[[#Headers],[Loonkosten]],"")))</f>
        <v/>
      </c>
      <c r="AL1143" t="str">
        <f>IF(ISNUMBER(FIND("arbeid",Methode_Keuze)),"",IF(ISNUMBER(FIND("arbeid",Methode_Keuze)),"",IF(Tb_Activiteiten[[#This Row],[Eigen arbeid]]=1,Tb_Activiteiten[[#Headers],[Eigen arbeid]],"")))</f>
        <v/>
      </c>
      <c r="AM1143" t="str">
        <f>IF(ISNUMBER(FIND("arbeid",Methode_Keuze)),"",IF(ISNUMBER(FIND("arbeid",Methode_Keuze)),"",IF(Tb_Activiteiten[[#This Row],[Projectmedewerker]]=1,Tb_Activiteiten[[#Headers],[Projectmedewerker]],"")))</f>
        <v/>
      </c>
      <c r="AN1143" t="str">
        <f>IF(ISNUMBER(FIND("arbeid",Methode_Keuze)),"",IF(ISNUMBER(FIND("arbeid",Methode_Keuze)),"",IF(Tb_Activiteiten[[#This Row],[Landbouwer]]=1,Tb_Activiteiten[[#Headers],[Landbouwer]],"")))</f>
        <v/>
      </c>
      <c r="AO1143" t="str">
        <f>IF(ISNUMBER(FIND("arbeid",Methode_Keuze)),"",IF(ISNUMBER(FIND("arbeid",Methode_Keuze)),"",IF(Tb_Activiteiten[[#This Row],[Adviseur]]=1,Tb_Activiteiten[[#Headers],[Adviseur]],"")))</f>
        <v/>
      </c>
      <c r="AP1143" t="str">
        <f>IF(ISNUMBER(FIND("arbeid",Methode_Keuze)),"",IF(ISNUMBER(FIND("arbeid",Methode_Keuze)),"",IF(Tb_Activiteiten[[#This Row],[Projectleider/Expert]]=1,Tb_Activiteiten[[#Headers],[Projectleider/Expert]],"")))</f>
        <v/>
      </c>
      <c r="AQ1143" t="str">
        <f>IF(ISNUMBER(FIND("arbeid",Methode_Keuze)),"",IF(ISNUMBER(FIND("arbeid",Methode_Keuze)),"",IF(Tb_Activiteiten[[#This Row],[Arbeidskosten]]=1,Tb_Activiteiten[[#Headers],[Arbeidskosten]],"")))</f>
        <v/>
      </c>
      <c r="AR1143" t="str">
        <f>IF(ISNUMBER(FIND("arbeid",Methode_Keuze)),"",IF(ISNUMBER(FIND("arbeid",Methode_Keuze)),"",IF(Tb_Activiteiten[[#This Row],[Arbeidskosten op basis van IKS]]=1,Tb_Activiteiten[[#Headers],[Arbeidskosten op basis van IKS]],"")))</f>
        <v/>
      </c>
      <c r="AS1143" t="str">
        <f>IF(ISNUMBER(FIND("overige",Methode_Keuze)),"",IF(Tb_Activiteiten[[#This Row],[Kosten derden exclusief btw]]=1,Tb_Activiteiten[[#Headers],[Kosten derden exclusief btw]],""))</f>
        <v/>
      </c>
      <c r="AT1143" t="str">
        <f>IF(ISNUMBER(FIND("overige",Methode_Keuze)),"",IF(Tb_Activiteiten[[#This Row],[Niet verrekenbare btw]]=1,Tb_Activiteiten[[#Headers],[Niet verrekenbare btw]],""))</f>
        <v/>
      </c>
      <c r="AU1143" t="str">
        <f>IF(ISNUMBER(FIND("overige",Methode_Keuze)),"",IF(Tb_Activiteiten[[#This Row],[Grondkosten]]=1,Tb_Activiteiten[[#Headers],[Grondkosten]],""))</f>
        <v/>
      </c>
      <c r="AV1143" t="str">
        <f>IF(ISNUMBER(FIND("overige",Methode_Keuze)),"",IF(Tb_Activiteiten[[#This Row],[Bijdrage in natura (overige)]]=1,Tb_Activiteiten[[#Headers],[Bijdrage in natura (overige)]],""))</f>
        <v/>
      </c>
      <c r="AW1143" t="str">
        <f>IF(ISNUMBER(FIND("overige",Methode_Keuze)),"",IF(Tb_Activiteiten[[#This Row],[Bijdrage in natura (vrijwilligers)]]=1,Tb_Activiteiten[[#Headers],[Bijdrage in natura (vrijwilligers)]],""))</f>
        <v/>
      </c>
      <c r="AX1143" t="str">
        <f>IF(ISNUMBER(FIND("overige",Methode_Keuze)),"",IF(Tb_Activiteiten[[#This Row],[Afschrijvingskosten]]=1,Tb_Activiteiten[[#Headers],[Afschrijvingskosten]],""))</f>
        <v/>
      </c>
      <c r="AY1143" t="str">
        <f>IF(ISNUMBER(FIND("overige",Methode_Keuze)),"",IF(Tb_Activiteiten[[#This Row],[Vergoeding]]=1,Tb_Activiteiten[[#Headers],[Vergoeding]],""))</f>
        <v/>
      </c>
      <c r="AZ1143" t="str">
        <f>IF(ISNUMBER(FIND("arbeid",Methode_Keuze)),"",IF(Tb_Activiteiten[[#This Row],[Arbeidskosten - vast tarief (excl eigen arbeid)]]=1,Tb_Activiteiten[[#Headers],[Arbeidskosten - vast tarief (excl eigen arbeid)]],""))</f>
        <v/>
      </c>
      <c r="BA1143" t="str">
        <f>IF(ISNUMBER(FIND("overige",Methode_Keuze)),"",IF(Tb_Activiteiten[[#This Row],[Overige kosten]]=1,Tb_Activiteiten[[#Headers],[Overige kosten]],""))</f>
        <v/>
      </c>
    </row>
    <row r="1144" spans="1:53" x14ac:dyDescent="0.25">
      <c r="A1144" s="139"/>
      <c r="B1144" s="139"/>
      <c r="C1144" s="139"/>
      <c r="D1144" s="139"/>
      <c r="E1144" s="139"/>
      <c r="F1144" s="139"/>
      <c r="G1144" s="139"/>
      <c r="O1144" s="56"/>
      <c r="Q1144" t="str">
        <f>IFERROR(IF(VLOOKUP(Tb_Activiteiten[[#This Row],[Openstelling]],Tb_Openstelling[],2,0)=1,1,""),"")</f>
        <v/>
      </c>
      <c r="AK1144" t="str">
        <f>IF(ISNUMBER(FIND("arbeid",Methode_Keuze)),"",IF(ISNUMBER(FIND("arbeid",Methode_Keuze)),"",IF(Tb_Activiteiten[[#This Row],[Loonkosten]]=1,Tb_Activiteiten[[#Headers],[Loonkosten]],"")))</f>
        <v/>
      </c>
      <c r="AL1144" t="str">
        <f>IF(ISNUMBER(FIND("arbeid",Methode_Keuze)),"",IF(ISNUMBER(FIND("arbeid",Methode_Keuze)),"",IF(Tb_Activiteiten[[#This Row],[Eigen arbeid]]=1,Tb_Activiteiten[[#Headers],[Eigen arbeid]],"")))</f>
        <v/>
      </c>
      <c r="AM1144" t="str">
        <f>IF(ISNUMBER(FIND("arbeid",Methode_Keuze)),"",IF(ISNUMBER(FIND("arbeid",Methode_Keuze)),"",IF(Tb_Activiteiten[[#This Row],[Projectmedewerker]]=1,Tb_Activiteiten[[#Headers],[Projectmedewerker]],"")))</f>
        <v/>
      </c>
      <c r="AN1144" t="str">
        <f>IF(ISNUMBER(FIND("arbeid",Methode_Keuze)),"",IF(ISNUMBER(FIND("arbeid",Methode_Keuze)),"",IF(Tb_Activiteiten[[#This Row],[Landbouwer]]=1,Tb_Activiteiten[[#Headers],[Landbouwer]],"")))</f>
        <v/>
      </c>
      <c r="AO1144" t="str">
        <f>IF(ISNUMBER(FIND("arbeid",Methode_Keuze)),"",IF(ISNUMBER(FIND("arbeid",Methode_Keuze)),"",IF(Tb_Activiteiten[[#This Row],[Adviseur]]=1,Tb_Activiteiten[[#Headers],[Adviseur]],"")))</f>
        <v/>
      </c>
      <c r="AP1144" t="str">
        <f>IF(ISNUMBER(FIND("arbeid",Methode_Keuze)),"",IF(ISNUMBER(FIND("arbeid",Methode_Keuze)),"",IF(Tb_Activiteiten[[#This Row],[Projectleider/Expert]]=1,Tb_Activiteiten[[#Headers],[Projectleider/Expert]],"")))</f>
        <v/>
      </c>
      <c r="AQ1144" t="str">
        <f>IF(ISNUMBER(FIND("arbeid",Methode_Keuze)),"",IF(ISNUMBER(FIND("arbeid",Methode_Keuze)),"",IF(Tb_Activiteiten[[#This Row],[Arbeidskosten]]=1,Tb_Activiteiten[[#Headers],[Arbeidskosten]],"")))</f>
        <v/>
      </c>
      <c r="AR1144" t="str">
        <f>IF(ISNUMBER(FIND("arbeid",Methode_Keuze)),"",IF(ISNUMBER(FIND("arbeid",Methode_Keuze)),"",IF(Tb_Activiteiten[[#This Row],[Arbeidskosten op basis van IKS]]=1,Tb_Activiteiten[[#Headers],[Arbeidskosten op basis van IKS]],"")))</f>
        <v/>
      </c>
      <c r="AS1144" t="str">
        <f>IF(ISNUMBER(FIND("overige",Methode_Keuze)),"",IF(Tb_Activiteiten[[#This Row],[Kosten derden exclusief btw]]=1,Tb_Activiteiten[[#Headers],[Kosten derden exclusief btw]],""))</f>
        <v/>
      </c>
      <c r="AT1144" t="str">
        <f>IF(ISNUMBER(FIND("overige",Methode_Keuze)),"",IF(Tb_Activiteiten[[#This Row],[Niet verrekenbare btw]]=1,Tb_Activiteiten[[#Headers],[Niet verrekenbare btw]],""))</f>
        <v/>
      </c>
      <c r="AU1144" t="str">
        <f>IF(ISNUMBER(FIND("overige",Methode_Keuze)),"",IF(Tb_Activiteiten[[#This Row],[Grondkosten]]=1,Tb_Activiteiten[[#Headers],[Grondkosten]],""))</f>
        <v/>
      </c>
      <c r="AV1144" t="str">
        <f>IF(ISNUMBER(FIND("overige",Methode_Keuze)),"",IF(Tb_Activiteiten[[#This Row],[Bijdrage in natura (overige)]]=1,Tb_Activiteiten[[#Headers],[Bijdrage in natura (overige)]],""))</f>
        <v/>
      </c>
      <c r="AW1144" t="str">
        <f>IF(ISNUMBER(FIND("overige",Methode_Keuze)),"",IF(Tb_Activiteiten[[#This Row],[Bijdrage in natura (vrijwilligers)]]=1,Tb_Activiteiten[[#Headers],[Bijdrage in natura (vrijwilligers)]],""))</f>
        <v/>
      </c>
      <c r="AX1144" t="str">
        <f>IF(ISNUMBER(FIND("overige",Methode_Keuze)),"",IF(Tb_Activiteiten[[#This Row],[Afschrijvingskosten]]=1,Tb_Activiteiten[[#Headers],[Afschrijvingskosten]],""))</f>
        <v/>
      </c>
      <c r="AY1144" t="str">
        <f>IF(ISNUMBER(FIND("overige",Methode_Keuze)),"",IF(Tb_Activiteiten[[#This Row],[Vergoeding]]=1,Tb_Activiteiten[[#Headers],[Vergoeding]],""))</f>
        <v/>
      </c>
      <c r="AZ1144" t="str">
        <f>IF(ISNUMBER(FIND("arbeid",Methode_Keuze)),"",IF(Tb_Activiteiten[[#This Row],[Arbeidskosten - vast tarief (excl eigen arbeid)]]=1,Tb_Activiteiten[[#Headers],[Arbeidskosten - vast tarief (excl eigen arbeid)]],""))</f>
        <v/>
      </c>
      <c r="BA1144" t="str">
        <f>IF(ISNUMBER(FIND("overige",Methode_Keuze)),"",IF(Tb_Activiteiten[[#This Row],[Overige kosten]]=1,Tb_Activiteiten[[#Headers],[Overige kosten]],""))</f>
        <v/>
      </c>
    </row>
    <row r="1145" spans="1:53" x14ac:dyDescent="0.25">
      <c r="A1145" s="139"/>
      <c r="B1145" s="139"/>
      <c r="C1145" s="139"/>
      <c r="D1145" s="139"/>
      <c r="E1145" s="139"/>
      <c r="F1145" s="139"/>
      <c r="G1145" s="139"/>
      <c r="O1145" s="56"/>
      <c r="Q1145" t="str">
        <f>IFERROR(IF(VLOOKUP(Tb_Activiteiten[[#This Row],[Openstelling]],Tb_Openstelling[],2,0)=1,1,""),"")</f>
        <v/>
      </c>
      <c r="AK1145" t="str">
        <f>IF(ISNUMBER(FIND("arbeid",Methode_Keuze)),"",IF(ISNUMBER(FIND("arbeid",Methode_Keuze)),"",IF(Tb_Activiteiten[[#This Row],[Loonkosten]]=1,Tb_Activiteiten[[#Headers],[Loonkosten]],"")))</f>
        <v/>
      </c>
      <c r="AL1145" t="str">
        <f>IF(ISNUMBER(FIND("arbeid",Methode_Keuze)),"",IF(ISNUMBER(FIND("arbeid",Methode_Keuze)),"",IF(Tb_Activiteiten[[#This Row],[Eigen arbeid]]=1,Tb_Activiteiten[[#Headers],[Eigen arbeid]],"")))</f>
        <v/>
      </c>
      <c r="AM1145" t="str">
        <f>IF(ISNUMBER(FIND("arbeid",Methode_Keuze)),"",IF(ISNUMBER(FIND("arbeid",Methode_Keuze)),"",IF(Tb_Activiteiten[[#This Row],[Projectmedewerker]]=1,Tb_Activiteiten[[#Headers],[Projectmedewerker]],"")))</f>
        <v/>
      </c>
      <c r="AN1145" t="str">
        <f>IF(ISNUMBER(FIND("arbeid",Methode_Keuze)),"",IF(ISNUMBER(FIND("arbeid",Methode_Keuze)),"",IF(Tb_Activiteiten[[#This Row],[Landbouwer]]=1,Tb_Activiteiten[[#Headers],[Landbouwer]],"")))</f>
        <v/>
      </c>
      <c r="AO1145" t="str">
        <f>IF(ISNUMBER(FIND("arbeid",Methode_Keuze)),"",IF(ISNUMBER(FIND("arbeid",Methode_Keuze)),"",IF(Tb_Activiteiten[[#This Row],[Adviseur]]=1,Tb_Activiteiten[[#Headers],[Adviseur]],"")))</f>
        <v/>
      </c>
      <c r="AP1145" t="str">
        <f>IF(ISNUMBER(FIND("arbeid",Methode_Keuze)),"",IF(ISNUMBER(FIND("arbeid",Methode_Keuze)),"",IF(Tb_Activiteiten[[#This Row],[Projectleider/Expert]]=1,Tb_Activiteiten[[#Headers],[Projectleider/Expert]],"")))</f>
        <v/>
      </c>
      <c r="AQ1145" t="str">
        <f>IF(ISNUMBER(FIND("arbeid",Methode_Keuze)),"",IF(ISNUMBER(FIND("arbeid",Methode_Keuze)),"",IF(Tb_Activiteiten[[#This Row],[Arbeidskosten]]=1,Tb_Activiteiten[[#Headers],[Arbeidskosten]],"")))</f>
        <v/>
      </c>
      <c r="AR1145" t="str">
        <f>IF(ISNUMBER(FIND("arbeid",Methode_Keuze)),"",IF(ISNUMBER(FIND("arbeid",Methode_Keuze)),"",IF(Tb_Activiteiten[[#This Row],[Arbeidskosten op basis van IKS]]=1,Tb_Activiteiten[[#Headers],[Arbeidskosten op basis van IKS]],"")))</f>
        <v/>
      </c>
      <c r="AS1145" t="str">
        <f>IF(ISNUMBER(FIND("overige",Methode_Keuze)),"",IF(Tb_Activiteiten[[#This Row],[Kosten derden exclusief btw]]=1,Tb_Activiteiten[[#Headers],[Kosten derden exclusief btw]],""))</f>
        <v/>
      </c>
      <c r="AT1145" t="str">
        <f>IF(ISNUMBER(FIND("overige",Methode_Keuze)),"",IF(Tb_Activiteiten[[#This Row],[Niet verrekenbare btw]]=1,Tb_Activiteiten[[#Headers],[Niet verrekenbare btw]],""))</f>
        <v/>
      </c>
      <c r="AU1145" t="str">
        <f>IF(ISNUMBER(FIND("overige",Methode_Keuze)),"",IF(Tb_Activiteiten[[#This Row],[Grondkosten]]=1,Tb_Activiteiten[[#Headers],[Grondkosten]],""))</f>
        <v/>
      </c>
      <c r="AV1145" t="str">
        <f>IF(ISNUMBER(FIND("overige",Methode_Keuze)),"",IF(Tb_Activiteiten[[#This Row],[Bijdrage in natura (overige)]]=1,Tb_Activiteiten[[#Headers],[Bijdrage in natura (overige)]],""))</f>
        <v/>
      </c>
      <c r="AW1145" t="str">
        <f>IF(ISNUMBER(FIND("overige",Methode_Keuze)),"",IF(Tb_Activiteiten[[#This Row],[Bijdrage in natura (vrijwilligers)]]=1,Tb_Activiteiten[[#Headers],[Bijdrage in natura (vrijwilligers)]],""))</f>
        <v/>
      </c>
      <c r="AX1145" t="str">
        <f>IF(ISNUMBER(FIND("overige",Methode_Keuze)),"",IF(Tb_Activiteiten[[#This Row],[Afschrijvingskosten]]=1,Tb_Activiteiten[[#Headers],[Afschrijvingskosten]],""))</f>
        <v/>
      </c>
      <c r="AY1145" t="str">
        <f>IF(ISNUMBER(FIND("overige",Methode_Keuze)),"",IF(Tb_Activiteiten[[#This Row],[Vergoeding]]=1,Tb_Activiteiten[[#Headers],[Vergoeding]],""))</f>
        <v/>
      </c>
      <c r="AZ1145" t="str">
        <f>IF(ISNUMBER(FIND("arbeid",Methode_Keuze)),"",IF(Tb_Activiteiten[[#This Row],[Arbeidskosten - vast tarief (excl eigen arbeid)]]=1,Tb_Activiteiten[[#Headers],[Arbeidskosten - vast tarief (excl eigen arbeid)]],""))</f>
        <v/>
      </c>
      <c r="BA1145" t="str">
        <f>IF(ISNUMBER(FIND("overige",Methode_Keuze)),"",IF(Tb_Activiteiten[[#This Row],[Overige kosten]]=1,Tb_Activiteiten[[#Headers],[Overige kosten]],""))</f>
        <v/>
      </c>
    </row>
    <row r="1146" spans="1:53" x14ac:dyDescent="0.25">
      <c r="A1146" s="139"/>
      <c r="B1146" s="139"/>
      <c r="C1146" s="139"/>
      <c r="D1146" s="139"/>
      <c r="E1146" s="139"/>
      <c r="F1146" s="139"/>
      <c r="G1146" s="139"/>
      <c r="O1146" s="56"/>
      <c r="Q1146" t="str">
        <f>IFERROR(IF(VLOOKUP(Tb_Activiteiten[[#This Row],[Openstelling]],Tb_Openstelling[],2,0)=1,1,""),"")</f>
        <v/>
      </c>
      <c r="AK1146" t="str">
        <f>IF(ISNUMBER(FIND("arbeid",Methode_Keuze)),"",IF(ISNUMBER(FIND("arbeid",Methode_Keuze)),"",IF(Tb_Activiteiten[[#This Row],[Loonkosten]]=1,Tb_Activiteiten[[#Headers],[Loonkosten]],"")))</f>
        <v/>
      </c>
      <c r="AL1146" t="str">
        <f>IF(ISNUMBER(FIND("arbeid",Methode_Keuze)),"",IF(ISNUMBER(FIND("arbeid",Methode_Keuze)),"",IF(Tb_Activiteiten[[#This Row],[Eigen arbeid]]=1,Tb_Activiteiten[[#Headers],[Eigen arbeid]],"")))</f>
        <v/>
      </c>
      <c r="AM1146" t="str">
        <f>IF(ISNUMBER(FIND("arbeid",Methode_Keuze)),"",IF(ISNUMBER(FIND("arbeid",Methode_Keuze)),"",IF(Tb_Activiteiten[[#This Row],[Projectmedewerker]]=1,Tb_Activiteiten[[#Headers],[Projectmedewerker]],"")))</f>
        <v/>
      </c>
      <c r="AN1146" t="str">
        <f>IF(ISNUMBER(FIND("arbeid",Methode_Keuze)),"",IF(ISNUMBER(FIND("arbeid",Methode_Keuze)),"",IF(Tb_Activiteiten[[#This Row],[Landbouwer]]=1,Tb_Activiteiten[[#Headers],[Landbouwer]],"")))</f>
        <v/>
      </c>
      <c r="AO1146" t="str">
        <f>IF(ISNUMBER(FIND("arbeid",Methode_Keuze)),"",IF(ISNUMBER(FIND("arbeid",Methode_Keuze)),"",IF(Tb_Activiteiten[[#This Row],[Adviseur]]=1,Tb_Activiteiten[[#Headers],[Adviseur]],"")))</f>
        <v/>
      </c>
      <c r="AP1146" t="str">
        <f>IF(ISNUMBER(FIND("arbeid",Methode_Keuze)),"",IF(ISNUMBER(FIND("arbeid",Methode_Keuze)),"",IF(Tb_Activiteiten[[#This Row],[Projectleider/Expert]]=1,Tb_Activiteiten[[#Headers],[Projectleider/Expert]],"")))</f>
        <v/>
      </c>
      <c r="AQ1146" t="str">
        <f>IF(ISNUMBER(FIND("arbeid",Methode_Keuze)),"",IF(ISNUMBER(FIND("arbeid",Methode_Keuze)),"",IF(Tb_Activiteiten[[#This Row],[Arbeidskosten]]=1,Tb_Activiteiten[[#Headers],[Arbeidskosten]],"")))</f>
        <v/>
      </c>
      <c r="AR1146" t="str">
        <f>IF(ISNUMBER(FIND("arbeid",Methode_Keuze)),"",IF(ISNUMBER(FIND("arbeid",Methode_Keuze)),"",IF(Tb_Activiteiten[[#This Row],[Arbeidskosten op basis van IKS]]=1,Tb_Activiteiten[[#Headers],[Arbeidskosten op basis van IKS]],"")))</f>
        <v/>
      </c>
      <c r="AS1146" t="str">
        <f>IF(ISNUMBER(FIND("overige",Methode_Keuze)),"",IF(Tb_Activiteiten[[#This Row],[Kosten derden exclusief btw]]=1,Tb_Activiteiten[[#Headers],[Kosten derden exclusief btw]],""))</f>
        <v/>
      </c>
      <c r="AT1146" t="str">
        <f>IF(ISNUMBER(FIND("overige",Methode_Keuze)),"",IF(Tb_Activiteiten[[#This Row],[Niet verrekenbare btw]]=1,Tb_Activiteiten[[#Headers],[Niet verrekenbare btw]],""))</f>
        <v/>
      </c>
      <c r="AU1146" t="str">
        <f>IF(ISNUMBER(FIND("overige",Methode_Keuze)),"",IF(Tb_Activiteiten[[#This Row],[Grondkosten]]=1,Tb_Activiteiten[[#Headers],[Grondkosten]],""))</f>
        <v/>
      </c>
      <c r="AV1146" t="str">
        <f>IF(ISNUMBER(FIND("overige",Methode_Keuze)),"",IF(Tb_Activiteiten[[#This Row],[Bijdrage in natura (overige)]]=1,Tb_Activiteiten[[#Headers],[Bijdrage in natura (overige)]],""))</f>
        <v/>
      </c>
      <c r="AW1146" t="str">
        <f>IF(ISNUMBER(FIND("overige",Methode_Keuze)),"",IF(Tb_Activiteiten[[#This Row],[Bijdrage in natura (vrijwilligers)]]=1,Tb_Activiteiten[[#Headers],[Bijdrage in natura (vrijwilligers)]],""))</f>
        <v/>
      </c>
      <c r="AX1146" t="str">
        <f>IF(ISNUMBER(FIND("overige",Methode_Keuze)),"",IF(Tb_Activiteiten[[#This Row],[Afschrijvingskosten]]=1,Tb_Activiteiten[[#Headers],[Afschrijvingskosten]],""))</f>
        <v/>
      </c>
      <c r="AY1146" t="str">
        <f>IF(ISNUMBER(FIND("overige",Methode_Keuze)),"",IF(Tb_Activiteiten[[#This Row],[Vergoeding]]=1,Tb_Activiteiten[[#Headers],[Vergoeding]],""))</f>
        <v/>
      </c>
      <c r="AZ1146" t="str">
        <f>IF(ISNUMBER(FIND("arbeid",Methode_Keuze)),"",IF(Tb_Activiteiten[[#This Row],[Arbeidskosten - vast tarief (excl eigen arbeid)]]=1,Tb_Activiteiten[[#Headers],[Arbeidskosten - vast tarief (excl eigen arbeid)]],""))</f>
        <v/>
      </c>
      <c r="BA1146" t="str">
        <f>IF(ISNUMBER(FIND("overige",Methode_Keuze)),"",IF(Tb_Activiteiten[[#This Row],[Overige kosten]]=1,Tb_Activiteiten[[#Headers],[Overige kosten]],""))</f>
        <v/>
      </c>
    </row>
    <row r="1147" spans="1:53" x14ac:dyDescent="0.25">
      <c r="A1147" s="139"/>
      <c r="B1147" s="139"/>
      <c r="C1147" s="139"/>
      <c r="D1147" s="139"/>
      <c r="E1147" s="139"/>
      <c r="F1147" s="139"/>
      <c r="G1147" s="139"/>
      <c r="O1147" s="56"/>
      <c r="Q1147" t="str">
        <f>IFERROR(IF(VLOOKUP(Tb_Activiteiten[[#This Row],[Openstelling]],Tb_Openstelling[],2,0)=1,1,""),"")</f>
        <v/>
      </c>
      <c r="AK1147" t="str">
        <f>IF(ISNUMBER(FIND("arbeid",Methode_Keuze)),"",IF(ISNUMBER(FIND("arbeid",Methode_Keuze)),"",IF(Tb_Activiteiten[[#This Row],[Loonkosten]]=1,Tb_Activiteiten[[#Headers],[Loonkosten]],"")))</f>
        <v/>
      </c>
      <c r="AL1147" t="str">
        <f>IF(ISNUMBER(FIND("arbeid",Methode_Keuze)),"",IF(ISNUMBER(FIND("arbeid",Methode_Keuze)),"",IF(Tb_Activiteiten[[#This Row],[Eigen arbeid]]=1,Tb_Activiteiten[[#Headers],[Eigen arbeid]],"")))</f>
        <v/>
      </c>
      <c r="AM1147" t="str">
        <f>IF(ISNUMBER(FIND("arbeid",Methode_Keuze)),"",IF(ISNUMBER(FIND("arbeid",Methode_Keuze)),"",IF(Tb_Activiteiten[[#This Row],[Projectmedewerker]]=1,Tb_Activiteiten[[#Headers],[Projectmedewerker]],"")))</f>
        <v/>
      </c>
      <c r="AN1147" t="str">
        <f>IF(ISNUMBER(FIND("arbeid",Methode_Keuze)),"",IF(ISNUMBER(FIND("arbeid",Methode_Keuze)),"",IF(Tb_Activiteiten[[#This Row],[Landbouwer]]=1,Tb_Activiteiten[[#Headers],[Landbouwer]],"")))</f>
        <v/>
      </c>
      <c r="AO1147" t="str">
        <f>IF(ISNUMBER(FIND("arbeid",Methode_Keuze)),"",IF(ISNUMBER(FIND("arbeid",Methode_Keuze)),"",IF(Tb_Activiteiten[[#This Row],[Adviseur]]=1,Tb_Activiteiten[[#Headers],[Adviseur]],"")))</f>
        <v/>
      </c>
      <c r="AP1147" t="str">
        <f>IF(ISNUMBER(FIND("arbeid",Methode_Keuze)),"",IF(ISNUMBER(FIND("arbeid",Methode_Keuze)),"",IF(Tb_Activiteiten[[#This Row],[Projectleider/Expert]]=1,Tb_Activiteiten[[#Headers],[Projectleider/Expert]],"")))</f>
        <v/>
      </c>
      <c r="AQ1147" t="str">
        <f>IF(ISNUMBER(FIND("arbeid",Methode_Keuze)),"",IF(ISNUMBER(FIND("arbeid",Methode_Keuze)),"",IF(Tb_Activiteiten[[#This Row],[Arbeidskosten]]=1,Tb_Activiteiten[[#Headers],[Arbeidskosten]],"")))</f>
        <v/>
      </c>
      <c r="AR1147" t="str">
        <f>IF(ISNUMBER(FIND("arbeid",Methode_Keuze)),"",IF(ISNUMBER(FIND("arbeid",Methode_Keuze)),"",IF(Tb_Activiteiten[[#This Row],[Arbeidskosten op basis van IKS]]=1,Tb_Activiteiten[[#Headers],[Arbeidskosten op basis van IKS]],"")))</f>
        <v/>
      </c>
      <c r="AS1147" t="str">
        <f>IF(ISNUMBER(FIND("overige",Methode_Keuze)),"",IF(Tb_Activiteiten[[#This Row],[Kosten derden exclusief btw]]=1,Tb_Activiteiten[[#Headers],[Kosten derden exclusief btw]],""))</f>
        <v/>
      </c>
      <c r="AT1147" t="str">
        <f>IF(ISNUMBER(FIND("overige",Methode_Keuze)),"",IF(Tb_Activiteiten[[#This Row],[Niet verrekenbare btw]]=1,Tb_Activiteiten[[#Headers],[Niet verrekenbare btw]],""))</f>
        <v/>
      </c>
      <c r="AU1147" t="str">
        <f>IF(ISNUMBER(FIND("overige",Methode_Keuze)),"",IF(Tb_Activiteiten[[#This Row],[Grondkosten]]=1,Tb_Activiteiten[[#Headers],[Grondkosten]],""))</f>
        <v/>
      </c>
      <c r="AV1147" t="str">
        <f>IF(ISNUMBER(FIND("overige",Methode_Keuze)),"",IF(Tb_Activiteiten[[#This Row],[Bijdrage in natura (overige)]]=1,Tb_Activiteiten[[#Headers],[Bijdrage in natura (overige)]],""))</f>
        <v/>
      </c>
      <c r="AW1147" t="str">
        <f>IF(ISNUMBER(FIND("overige",Methode_Keuze)),"",IF(Tb_Activiteiten[[#This Row],[Bijdrage in natura (vrijwilligers)]]=1,Tb_Activiteiten[[#Headers],[Bijdrage in natura (vrijwilligers)]],""))</f>
        <v/>
      </c>
      <c r="AX1147" t="str">
        <f>IF(ISNUMBER(FIND("overige",Methode_Keuze)),"",IF(Tb_Activiteiten[[#This Row],[Afschrijvingskosten]]=1,Tb_Activiteiten[[#Headers],[Afschrijvingskosten]],""))</f>
        <v/>
      </c>
      <c r="AY1147" t="str">
        <f>IF(ISNUMBER(FIND("overige",Methode_Keuze)),"",IF(Tb_Activiteiten[[#This Row],[Vergoeding]]=1,Tb_Activiteiten[[#Headers],[Vergoeding]],""))</f>
        <v/>
      </c>
      <c r="AZ1147" t="str">
        <f>IF(ISNUMBER(FIND("arbeid",Methode_Keuze)),"",IF(Tb_Activiteiten[[#This Row],[Arbeidskosten - vast tarief (excl eigen arbeid)]]=1,Tb_Activiteiten[[#Headers],[Arbeidskosten - vast tarief (excl eigen arbeid)]],""))</f>
        <v/>
      </c>
      <c r="BA1147" t="str">
        <f>IF(ISNUMBER(FIND("overige",Methode_Keuze)),"",IF(Tb_Activiteiten[[#This Row],[Overige kosten]]=1,Tb_Activiteiten[[#Headers],[Overige kosten]],""))</f>
        <v/>
      </c>
    </row>
    <row r="1148" spans="1:53" x14ac:dyDescent="0.25">
      <c r="A1148" s="139"/>
      <c r="B1148" s="139"/>
      <c r="C1148" s="139"/>
      <c r="D1148" s="139"/>
      <c r="E1148" s="139"/>
      <c r="F1148" s="139"/>
      <c r="G1148" s="139"/>
      <c r="O1148" s="56"/>
      <c r="Q1148" t="str">
        <f>IFERROR(IF(VLOOKUP(Tb_Activiteiten[[#This Row],[Openstelling]],Tb_Openstelling[],2,0)=1,1,""),"")</f>
        <v/>
      </c>
      <c r="AK1148" t="str">
        <f>IF(ISNUMBER(FIND("arbeid",Methode_Keuze)),"",IF(ISNUMBER(FIND("arbeid",Methode_Keuze)),"",IF(Tb_Activiteiten[[#This Row],[Loonkosten]]=1,Tb_Activiteiten[[#Headers],[Loonkosten]],"")))</f>
        <v/>
      </c>
      <c r="AL1148" t="str">
        <f>IF(ISNUMBER(FIND("arbeid",Methode_Keuze)),"",IF(ISNUMBER(FIND("arbeid",Methode_Keuze)),"",IF(Tb_Activiteiten[[#This Row],[Eigen arbeid]]=1,Tb_Activiteiten[[#Headers],[Eigen arbeid]],"")))</f>
        <v/>
      </c>
      <c r="AM1148" t="str">
        <f>IF(ISNUMBER(FIND("arbeid",Methode_Keuze)),"",IF(ISNUMBER(FIND("arbeid",Methode_Keuze)),"",IF(Tb_Activiteiten[[#This Row],[Projectmedewerker]]=1,Tb_Activiteiten[[#Headers],[Projectmedewerker]],"")))</f>
        <v/>
      </c>
      <c r="AN1148" t="str">
        <f>IF(ISNUMBER(FIND("arbeid",Methode_Keuze)),"",IF(ISNUMBER(FIND("arbeid",Methode_Keuze)),"",IF(Tb_Activiteiten[[#This Row],[Landbouwer]]=1,Tb_Activiteiten[[#Headers],[Landbouwer]],"")))</f>
        <v/>
      </c>
      <c r="AO1148" t="str">
        <f>IF(ISNUMBER(FIND("arbeid",Methode_Keuze)),"",IF(ISNUMBER(FIND("arbeid",Methode_Keuze)),"",IF(Tb_Activiteiten[[#This Row],[Adviseur]]=1,Tb_Activiteiten[[#Headers],[Adviseur]],"")))</f>
        <v/>
      </c>
      <c r="AP1148" t="str">
        <f>IF(ISNUMBER(FIND("arbeid",Methode_Keuze)),"",IF(ISNUMBER(FIND("arbeid",Methode_Keuze)),"",IF(Tb_Activiteiten[[#This Row],[Projectleider/Expert]]=1,Tb_Activiteiten[[#Headers],[Projectleider/Expert]],"")))</f>
        <v/>
      </c>
      <c r="AQ1148" t="str">
        <f>IF(ISNUMBER(FIND("arbeid",Methode_Keuze)),"",IF(ISNUMBER(FIND("arbeid",Methode_Keuze)),"",IF(Tb_Activiteiten[[#This Row],[Arbeidskosten]]=1,Tb_Activiteiten[[#Headers],[Arbeidskosten]],"")))</f>
        <v/>
      </c>
      <c r="AR1148" t="str">
        <f>IF(ISNUMBER(FIND("arbeid",Methode_Keuze)),"",IF(ISNUMBER(FIND("arbeid",Methode_Keuze)),"",IF(Tb_Activiteiten[[#This Row],[Arbeidskosten op basis van IKS]]=1,Tb_Activiteiten[[#Headers],[Arbeidskosten op basis van IKS]],"")))</f>
        <v/>
      </c>
      <c r="AS1148" t="str">
        <f>IF(ISNUMBER(FIND("overige",Methode_Keuze)),"",IF(Tb_Activiteiten[[#This Row],[Kosten derden exclusief btw]]=1,Tb_Activiteiten[[#Headers],[Kosten derden exclusief btw]],""))</f>
        <v/>
      </c>
      <c r="AT1148" t="str">
        <f>IF(ISNUMBER(FIND("overige",Methode_Keuze)),"",IF(Tb_Activiteiten[[#This Row],[Niet verrekenbare btw]]=1,Tb_Activiteiten[[#Headers],[Niet verrekenbare btw]],""))</f>
        <v/>
      </c>
      <c r="AU1148" t="str">
        <f>IF(ISNUMBER(FIND("overige",Methode_Keuze)),"",IF(Tb_Activiteiten[[#This Row],[Grondkosten]]=1,Tb_Activiteiten[[#Headers],[Grondkosten]],""))</f>
        <v/>
      </c>
      <c r="AV1148" t="str">
        <f>IF(ISNUMBER(FIND("overige",Methode_Keuze)),"",IF(Tb_Activiteiten[[#This Row],[Bijdrage in natura (overige)]]=1,Tb_Activiteiten[[#Headers],[Bijdrage in natura (overige)]],""))</f>
        <v/>
      </c>
      <c r="AW1148" t="str">
        <f>IF(ISNUMBER(FIND("overige",Methode_Keuze)),"",IF(Tb_Activiteiten[[#This Row],[Bijdrage in natura (vrijwilligers)]]=1,Tb_Activiteiten[[#Headers],[Bijdrage in natura (vrijwilligers)]],""))</f>
        <v/>
      </c>
      <c r="AX1148" t="str">
        <f>IF(ISNUMBER(FIND("overige",Methode_Keuze)),"",IF(Tb_Activiteiten[[#This Row],[Afschrijvingskosten]]=1,Tb_Activiteiten[[#Headers],[Afschrijvingskosten]],""))</f>
        <v/>
      </c>
      <c r="AY1148" t="str">
        <f>IF(ISNUMBER(FIND("overige",Methode_Keuze)),"",IF(Tb_Activiteiten[[#This Row],[Vergoeding]]=1,Tb_Activiteiten[[#Headers],[Vergoeding]],""))</f>
        <v/>
      </c>
      <c r="AZ1148" t="str">
        <f>IF(ISNUMBER(FIND("arbeid",Methode_Keuze)),"",IF(Tb_Activiteiten[[#This Row],[Arbeidskosten - vast tarief (excl eigen arbeid)]]=1,Tb_Activiteiten[[#Headers],[Arbeidskosten - vast tarief (excl eigen arbeid)]],""))</f>
        <v/>
      </c>
      <c r="BA1148" t="str">
        <f>IF(ISNUMBER(FIND("overige",Methode_Keuze)),"",IF(Tb_Activiteiten[[#This Row],[Overige kosten]]=1,Tb_Activiteiten[[#Headers],[Overige kosten]],""))</f>
        <v/>
      </c>
    </row>
    <row r="1149" spans="1:53" x14ac:dyDescent="0.25">
      <c r="A1149" s="139"/>
      <c r="B1149" s="139"/>
      <c r="C1149" s="139"/>
      <c r="D1149" s="139"/>
      <c r="E1149" s="139"/>
      <c r="F1149" s="139"/>
      <c r="G1149" s="139"/>
      <c r="O1149" s="56"/>
      <c r="Q1149" t="str">
        <f>IFERROR(IF(VLOOKUP(Tb_Activiteiten[[#This Row],[Openstelling]],Tb_Openstelling[],2,0)=1,1,""),"")</f>
        <v/>
      </c>
      <c r="AK1149" t="str">
        <f>IF(ISNUMBER(FIND("arbeid",Methode_Keuze)),"",IF(ISNUMBER(FIND("arbeid",Methode_Keuze)),"",IF(Tb_Activiteiten[[#This Row],[Loonkosten]]=1,Tb_Activiteiten[[#Headers],[Loonkosten]],"")))</f>
        <v/>
      </c>
      <c r="AL1149" t="str">
        <f>IF(ISNUMBER(FIND("arbeid",Methode_Keuze)),"",IF(ISNUMBER(FIND("arbeid",Methode_Keuze)),"",IF(Tb_Activiteiten[[#This Row],[Eigen arbeid]]=1,Tb_Activiteiten[[#Headers],[Eigen arbeid]],"")))</f>
        <v/>
      </c>
      <c r="AM1149" t="str">
        <f>IF(ISNUMBER(FIND("arbeid",Methode_Keuze)),"",IF(ISNUMBER(FIND("arbeid",Methode_Keuze)),"",IF(Tb_Activiteiten[[#This Row],[Projectmedewerker]]=1,Tb_Activiteiten[[#Headers],[Projectmedewerker]],"")))</f>
        <v/>
      </c>
      <c r="AN1149" t="str">
        <f>IF(ISNUMBER(FIND("arbeid",Methode_Keuze)),"",IF(ISNUMBER(FIND("arbeid",Methode_Keuze)),"",IF(Tb_Activiteiten[[#This Row],[Landbouwer]]=1,Tb_Activiteiten[[#Headers],[Landbouwer]],"")))</f>
        <v/>
      </c>
      <c r="AO1149" t="str">
        <f>IF(ISNUMBER(FIND("arbeid",Methode_Keuze)),"",IF(ISNUMBER(FIND("arbeid",Methode_Keuze)),"",IF(Tb_Activiteiten[[#This Row],[Adviseur]]=1,Tb_Activiteiten[[#Headers],[Adviseur]],"")))</f>
        <v/>
      </c>
      <c r="AP1149" t="str">
        <f>IF(ISNUMBER(FIND("arbeid",Methode_Keuze)),"",IF(ISNUMBER(FIND("arbeid",Methode_Keuze)),"",IF(Tb_Activiteiten[[#This Row],[Projectleider/Expert]]=1,Tb_Activiteiten[[#Headers],[Projectleider/Expert]],"")))</f>
        <v/>
      </c>
      <c r="AQ1149" t="str">
        <f>IF(ISNUMBER(FIND("arbeid",Methode_Keuze)),"",IF(ISNUMBER(FIND("arbeid",Methode_Keuze)),"",IF(Tb_Activiteiten[[#This Row],[Arbeidskosten]]=1,Tb_Activiteiten[[#Headers],[Arbeidskosten]],"")))</f>
        <v/>
      </c>
      <c r="AR1149" t="str">
        <f>IF(ISNUMBER(FIND("arbeid",Methode_Keuze)),"",IF(ISNUMBER(FIND("arbeid",Methode_Keuze)),"",IF(Tb_Activiteiten[[#This Row],[Arbeidskosten op basis van IKS]]=1,Tb_Activiteiten[[#Headers],[Arbeidskosten op basis van IKS]],"")))</f>
        <v/>
      </c>
      <c r="AS1149" t="str">
        <f>IF(ISNUMBER(FIND("overige",Methode_Keuze)),"",IF(Tb_Activiteiten[[#This Row],[Kosten derden exclusief btw]]=1,Tb_Activiteiten[[#Headers],[Kosten derden exclusief btw]],""))</f>
        <v/>
      </c>
      <c r="AT1149" t="str">
        <f>IF(ISNUMBER(FIND("overige",Methode_Keuze)),"",IF(Tb_Activiteiten[[#This Row],[Niet verrekenbare btw]]=1,Tb_Activiteiten[[#Headers],[Niet verrekenbare btw]],""))</f>
        <v/>
      </c>
      <c r="AU1149" t="str">
        <f>IF(ISNUMBER(FIND("overige",Methode_Keuze)),"",IF(Tb_Activiteiten[[#This Row],[Grondkosten]]=1,Tb_Activiteiten[[#Headers],[Grondkosten]],""))</f>
        <v/>
      </c>
      <c r="AV1149" t="str">
        <f>IF(ISNUMBER(FIND("overige",Methode_Keuze)),"",IF(Tb_Activiteiten[[#This Row],[Bijdrage in natura (overige)]]=1,Tb_Activiteiten[[#Headers],[Bijdrage in natura (overige)]],""))</f>
        <v/>
      </c>
      <c r="AW1149" t="str">
        <f>IF(ISNUMBER(FIND("overige",Methode_Keuze)),"",IF(Tb_Activiteiten[[#This Row],[Bijdrage in natura (vrijwilligers)]]=1,Tb_Activiteiten[[#Headers],[Bijdrage in natura (vrijwilligers)]],""))</f>
        <v/>
      </c>
      <c r="AX1149" t="str">
        <f>IF(ISNUMBER(FIND("overige",Methode_Keuze)),"",IF(Tb_Activiteiten[[#This Row],[Afschrijvingskosten]]=1,Tb_Activiteiten[[#Headers],[Afschrijvingskosten]],""))</f>
        <v/>
      </c>
      <c r="AY1149" t="str">
        <f>IF(ISNUMBER(FIND("overige",Methode_Keuze)),"",IF(Tb_Activiteiten[[#This Row],[Vergoeding]]=1,Tb_Activiteiten[[#Headers],[Vergoeding]],""))</f>
        <v/>
      </c>
      <c r="AZ1149" t="str">
        <f>IF(ISNUMBER(FIND("arbeid",Methode_Keuze)),"",IF(Tb_Activiteiten[[#This Row],[Arbeidskosten - vast tarief (excl eigen arbeid)]]=1,Tb_Activiteiten[[#Headers],[Arbeidskosten - vast tarief (excl eigen arbeid)]],""))</f>
        <v/>
      </c>
      <c r="BA1149" t="str">
        <f>IF(ISNUMBER(FIND("overige",Methode_Keuze)),"",IF(Tb_Activiteiten[[#This Row],[Overige kosten]]=1,Tb_Activiteiten[[#Headers],[Overige kosten]],""))</f>
        <v/>
      </c>
    </row>
    <row r="1150" spans="1:53" x14ac:dyDescent="0.25">
      <c r="A1150" s="139"/>
      <c r="B1150" s="139"/>
      <c r="C1150" s="139"/>
      <c r="D1150" s="139"/>
      <c r="E1150" s="139"/>
      <c r="F1150" s="139"/>
      <c r="G1150" s="139"/>
      <c r="O1150" s="56"/>
      <c r="Q1150" t="str">
        <f>IFERROR(IF(VLOOKUP(Tb_Activiteiten[[#This Row],[Openstelling]],Tb_Openstelling[],2,0)=1,1,""),"")</f>
        <v/>
      </c>
      <c r="AK1150" t="str">
        <f>IF(ISNUMBER(FIND("arbeid",Methode_Keuze)),"",IF(ISNUMBER(FIND("arbeid",Methode_Keuze)),"",IF(Tb_Activiteiten[[#This Row],[Loonkosten]]=1,Tb_Activiteiten[[#Headers],[Loonkosten]],"")))</f>
        <v/>
      </c>
      <c r="AL1150" t="str">
        <f>IF(ISNUMBER(FIND("arbeid",Methode_Keuze)),"",IF(ISNUMBER(FIND("arbeid",Methode_Keuze)),"",IF(Tb_Activiteiten[[#This Row],[Eigen arbeid]]=1,Tb_Activiteiten[[#Headers],[Eigen arbeid]],"")))</f>
        <v/>
      </c>
      <c r="AM1150" t="str">
        <f>IF(ISNUMBER(FIND("arbeid",Methode_Keuze)),"",IF(ISNUMBER(FIND("arbeid",Methode_Keuze)),"",IF(Tb_Activiteiten[[#This Row],[Projectmedewerker]]=1,Tb_Activiteiten[[#Headers],[Projectmedewerker]],"")))</f>
        <v/>
      </c>
      <c r="AN1150" t="str">
        <f>IF(ISNUMBER(FIND("arbeid",Methode_Keuze)),"",IF(ISNUMBER(FIND("arbeid",Methode_Keuze)),"",IF(Tb_Activiteiten[[#This Row],[Landbouwer]]=1,Tb_Activiteiten[[#Headers],[Landbouwer]],"")))</f>
        <v/>
      </c>
      <c r="AO1150" t="str">
        <f>IF(ISNUMBER(FIND("arbeid",Methode_Keuze)),"",IF(ISNUMBER(FIND("arbeid",Methode_Keuze)),"",IF(Tb_Activiteiten[[#This Row],[Adviseur]]=1,Tb_Activiteiten[[#Headers],[Adviseur]],"")))</f>
        <v/>
      </c>
      <c r="AP1150" t="str">
        <f>IF(ISNUMBER(FIND("arbeid",Methode_Keuze)),"",IF(ISNUMBER(FIND("arbeid",Methode_Keuze)),"",IF(Tb_Activiteiten[[#This Row],[Projectleider/Expert]]=1,Tb_Activiteiten[[#Headers],[Projectleider/Expert]],"")))</f>
        <v/>
      </c>
      <c r="AQ1150" t="str">
        <f>IF(ISNUMBER(FIND("arbeid",Methode_Keuze)),"",IF(ISNUMBER(FIND("arbeid",Methode_Keuze)),"",IF(Tb_Activiteiten[[#This Row],[Arbeidskosten]]=1,Tb_Activiteiten[[#Headers],[Arbeidskosten]],"")))</f>
        <v/>
      </c>
      <c r="AR1150" t="str">
        <f>IF(ISNUMBER(FIND("arbeid",Methode_Keuze)),"",IF(ISNUMBER(FIND("arbeid",Methode_Keuze)),"",IF(Tb_Activiteiten[[#This Row],[Arbeidskosten op basis van IKS]]=1,Tb_Activiteiten[[#Headers],[Arbeidskosten op basis van IKS]],"")))</f>
        <v/>
      </c>
      <c r="AS1150" t="str">
        <f>IF(ISNUMBER(FIND("overige",Methode_Keuze)),"",IF(Tb_Activiteiten[[#This Row],[Kosten derden exclusief btw]]=1,Tb_Activiteiten[[#Headers],[Kosten derden exclusief btw]],""))</f>
        <v/>
      </c>
      <c r="AT1150" t="str">
        <f>IF(ISNUMBER(FIND("overige",Methode_Keuze)),"",IF(Tb_Activiteiten[[#This Row],[Niet verrekenbare btw]]=1,Tb_Activiteiten[[#Headers],[Niet verrekenbare btw]],""))</f>
        <v/>
      </c>
      <c r="AU1150" t="str">
        <f>IF(ISNUMBER(FIND("overige",Methode_Keuze)),"",IF(Tb_Activiteiten[[#This Row],[Grondkosten]]=1,Tb_Activiteiten[[#Headers],[Grondkosten]],""))</f>
        <v/>
      </c>
      <c r="AV1150" t="str">
        <f>IF(ISNUMBER(FIND("overige",Methode_Keuze)),"",IF(Tb_Activiteiten[[#This Row],[Bijdrage in natura (overige)]]=1,Tb_Activiteiten[[#Headers],[Bijdrage in natura (overige)]],""))</f>
        <v/>
      </c>
      <c r="AW1150" t="str">
        <f>IF(ISNUMBER(FIND("overige",Methode_Keuze)),"",IF(Tb_Activiteiten[[#This Row],[Bijdrage in natura (vrijwilligers)]]=1,Tb_Activiteiten[[#Headers],[Bijdrage in natura (vrijwilligers)]],""))</f>
        <v/>
      </c>
      <c r="AX1150" t="str">
        <f>IF(ISNUMBER(FIND("overige",Methode_Keuze)),"",IF(Tb_Activiteiten[[#This Row],[Afschrijvingskosten]]=1,Tb_Activiteiten[[#Headers],[Afschrijvingskosten]],""))</f>
        <v/>
      </c>
      <c r="AY1150" t="str">
        <f>IF(ISNUMBER(FIND("overige",Methode_Keuze)),"",IF(Tb_Activiteiten[[#This Row],[Vergoeding]]=1,Tb_Activiteiten[[#Headers],[Vergoeding]],""))</f>
        <v/>
      </c>
      <c r="AZ1150" t="str">
        <f>IF(ISNUMBER(FIND("arbeid",Methode_Keuze)),"",IF(Tb_Activiteiten[[#This Row],[Arbeidskosten - vast tarief (excl eigen arbeid)]]=1,Tb_Activiteiten[[#Headers],[Arbeidskosten - vast tarief (excl eigen arbeid)]],""))</f>
        <v/>
      </c>
      <c r="BA1150" t="str">
        <f>IF(ISNUMBER(FIND("overige",Methode_Keuze)),"",IF(Tb_Activiteiten[[#This Row],[Overige kosten]]=1,Tb_Activiteiten[[#Headers],[Overige kosten]],""))</f>
        <v/>
      </c>
    </row>
    <row r="1151" spans="1:53" x14ac:dyDescent="0.25">
      <c r="A1151" s="139"/>
      <c r="B1151" s="139"/>
      <c r="C1151" s="139"/>
      <c r="D1151" s="139"/>
      <c r="E1151" s="139"/>
      <c r="F1151" s="139"/>
      <c r="G1151" s="139"/>
      <c r="O1151" s="56"/>
      <c r="Q1151" t="str">
        <f>IFERROR(IF(VLOOKUP(Tb_Activiteiten[[#This Row],[Openstelling]],Tb_Openstelling[],2,0)=1,1,""),"")</f>
        <v/>
      </c>
      <c r="AK1151" t="str">
        <f>IF(ISNUMBER(FIND("arbeid",Methode_Keuze)),"",IF(ISNUMBER(FIND("arbeid",Methode_Keuze)),"",IF(Tb_Activiteiten[[#This Row],[Loonkosten]]=1,Tb_Activiteiten[[#Headers],[Loonkosten]],"")))</f>
        <v/>
      </c>
      <c r="AL1151" t="str">
        <f>IF(ISNUMBER(FIND("arbeid",Methode_Keuze)),"",IF(ISNUMBER(FIND("arbeid",Methode_Keuze)),"",IF(Tb_Activiteiten[[#This Row],[Eigen arbeid]]=1,Tb_Activiteiten[[#Headers],[Eigen arbeid]],"")))</f>
        <v/>
      </c>
      <c r="AM1151" t="str">
        <f>IF(ISNUMBER(FIND("arbeid",Methode_Keuze)),"",IF(ISNUMBER(FIND("arbeid",Methode_Keuze)),"",IF(Tb_Activiteiten[[#This Row],[Projectmedewerker]]=1,Tb_Activiteiten[[#Headers],[Projectmedewerker]],"")))</f>
        <v/>
      </c>
      <c r="AN1151" t="str">
        <f>IF(ISNUMBER(FIND("arbeid",Methode_Keuze)),"",IF(ISNUMBER(FIND("arbeid",Methode_Keuze)),"",IF(Tb_Activiteiten[[#This Row],[Landbouwer]]=1,Tb_Activiteiten[[#Headers],[Landbouwer]],"")))</f>
        <v/>
      </c>
      <c r="AO1151" t="str">
        <f>IF(ISNUMBER(FIND("arbeid",Methode_Keuze)),"",IF(ISNUMBER(FIND("arbeid",Methode_Keuze)),"",IF(Tb_Activiteiten[[#This Row],[Adviseur]]=1,Tb_Activiteiten[[#Headers],[Adviseur]],"")))</f>
        <v/>
      </c>
      <c r="AP1151" t="str">
        <f>IF(ISNUMBER(FIND("arbeid",Methode_Keuze)),"",IF(ISNUMBER(FIND("arbeid",Methode_Keuze)),"",IF(Tb_Activiteiten[[#This Row],[Projectleider/Expert]]=1,Tb_Activiteiten[[#Headers],[Projectleider/Expert]],"")))</f>
        <v/>
      </c>
      <c r="AQ1151" t="str">
        <f>IF(ISNUMBER(FIND("arbeid",Methode_Keuze)),"",IF(ISNUMBER(FIND("arbeid",Methode_Keuze)),"",IF(Tb_Activiteiten[[#This Row],[Arbeidskosten]]=1,Tb_Activiteiten[[#Headers],[Arbeidskosten]],"")))</f>
        <v/>
      </c>
      <c r="AR1151" t="str">
        <f>IF(ISNUMBER(FIND("arbeid",Methode_Keuze)),"",IF(ISNUMBER(FIND("arbeid",Methode_Keuze)),"",IF(Tb_Activiteiten[[#This Row],[Arbeidskosten op basis van IKS]]=1,Tb_Activiteiten[[#Headers],[Arbeidskosten op basis van IKS]],"")))</f>
        <v/>
      </c>
      <c r="AS1151" t="str">
        <f>IF(ISNUMBER(FIND("overige",Methode_Keuze)),"",IF(Tb_Activiteiten[[#This Row],[Kosten derden exclusief btw]]=1,Tb_Activiteiten[[#Headers],[Kosten derden exclusief btw]],""))</f>
        <v/>
      </c>
      <c r="AT1151" t="str">
        <f>IF(ISNUMBER(FIND("overige",Methode_Keuze)),"",IF(Tb_Activiteiten[[#This Row],[Niet verrekenbare btw]]=1,Tb_Activiteiten[[#Headers],[Niet verrekenbare btw]],""))</f>
        <v/>
      </c>
      <c r="AU1151" t="str">
        <f>IF(ISNUMBER(FIND("overige",Methode_Keuze)),"",IF(Tb_Activiteiten[[#This Row],[Grondkosten]]=1,Tb_Activiteiten[[#Headers],[Grondkosten]],""))</f>
        <v/>
      </c>
      <c r="AV1151" t="str">
        <f>IF(ISNUMBER(FIND("overige",Methode_Keuze)),"",IF(Tb_Activiteiten[[#This Row],[Bijdrage in natura (overige)]]=1,Tb_Activiteiten[[#Headers],[Bijdrage in natura (overige)]],""))</f>
        <v/>
      </c>
      <c r="AW1151" t="str">
        <f>IF(ISNUMBER(FIND("overige",Methode_Keuze)),"",IF(Tb_Activiteiten[[#This Row],[Bijdrage in natura (vrijwilligers)]]=1,Tb_Activiteiten[[#Headers],[Bijdrage in natura (vrijwilligers)]],""))</f>
        <v/>
      </c>
      <c r="AX1151" t="str">
        <f>IF(ISNUMBER(FIND("overige",Methode_Keuze)),"",IF(Tb_Activiteiten[[#This Row],[Afschrijvingskosten]]=1,Tb_Activiteiten[[#Headers],[Afschrijvingskosten]],""))</f>
        <v/>
      </c>
      <c r="AY1151" t="str">
        <f>IF(ISNUMBER(FIND("overige",Methode_Keuze)),"",IF(Tb_Activiteiten[[#This Row],[Vergoeding]]=1,Tb_Activiteiten[[#Headers],[Vergoeding]],""))</f>
        <v/>
      </c>
      <c r="AZ1151" t="str">
        <f>IF(ISNUMBER(FIND("arbeid",Methode_Keuze)),"",IF(Tb_Activiteiten[[#This Row],[Arbeidskosten - vast tarief (excl eigen arbeid)]]=1,Tb_Activiteiten[[#Headers],[Arbeidskosten - vast tarief (excl eigen arbeid)]],""))</f>
        <v/>
      </c>
      <c r="BA1151" t="str">
        <f>IF(ISNUMBER(FIND("overige",Methode_Keuze)),"",IF(Tb_Activiteiten[[#This Row],[Overige kosten]]=1,Tb_Activiteiten[[#Headers],[Overige kosten]],""))</f>
        <v/>
      </c>
    </row>
    <row r="1152" spans="1:53" x14ac:dyDescent="0.25">
      <c r="A1152" s="139"/>
      <c r="B1152" s="139"/>
      <c r="C1152" s="139"/>
      <c r="D1152" s="139"/>
      <c r="E1152" s="139"/>
      <c r="F1152" s="139"/>
      <c r="G1152" s="139"/>
      <c r="O1152" s="56"/>
      <c r="Q1152" t="str">
        <f>IFERROR(IF(VLOOKUP(Tb_Activiteiten[[#This Row],[Openstelling]],Tb_Openstelling[],2,0)=1,1,""),"")</f>
        <v/>
      </c>
      <c r="AK1152" t="str">
        <f>IF(ISNUMBER(FIND("arbeid",Methode_Keuze)),"",IF(ISNUMBER(FIND("arbeid",Methode_Keuze)),"",IF(Tb_Activiteiten[[#This Row],[Loonkosten]]=1,Tb_Activiteiten[[#Headers],[Loonkosten]],"")))</f>
        <v/>
      </c>
      <c r="AL1152" t="str">
        <f>IF(ISNUMBER(FIND("arbeid",Methode_Keuze)),"",IF(ISNUMBER(FIND("arbeid",Methode_Keuze)),"",IF(Tb_Activiteiten[[#This Row],[Eigen arbeid]]=1,Tb_Activiteiten[[#Headers],[Eigen arbeid]],"")))</f>
        <v/>
      </c>
      <c r="AM1152" t="str">
        <f>IF(ISNUMBER(FIND("arbeid",Methode_Keuze)),"",IF(ISNUMBER(FIND("arbeid",Methode_Keuze)),"",IF(Tb_Activiteiten[[#This Row],[Projectmedewerker]]=1,Tb_Activiteiten[[#Headers],[Projectmedewerker]],"")))</f>
        <v/>
      </c>
      <c r="AN1152" t="str">
        <f>IF(ISNUMBER(FIND("arbeid",Methode_Keuze)),"",IF(ISNUMBER(FIND("arbeid",Methode_Keuze)),"",IF(Tb_Activiteiten[[#This Row],[Landbouwer]]=1,Tb_Activiteiten[[#Headers],[Landbouwer]],"")))</f>
        <v/>
      </c>
      <c r="AO1152" t="str">
        <f>IF(ISNUMBER(FIND("arbeid",Methode_Keuze)),"",IF(ISNUMBER(FIND("arbeid",Methode_Keuze)),"",IF(Tb_Activiteiten[[#This Row],[Adviseur]]=1,Tb_Activiteiten[[#Headers],[Adviseur]],"")))</f>
        <v/>
      </c>
      <c r="AP1152" t="str">
        <f>IF(ISNUMBER(FIND("arbeid",Methode_Keuze)),"",IF(ISNUMBER(FIND("arbeid",Methode_Keuze)),"",IF(Tb_Activiteiten[[#This Row],[Projectleider/Expert]]=1,Tb_Activiteiten[[#Headers],[Projectleider/Expert]],"")))</f>
        <v/>
      </c>
      <c r="AQ1152" t="str">
        <f>IF(ISNUMBER(FIND("arbeid",Methode_Keuze)),"",IF(ISNUMBER(FIND("arbeid",Methode_Keuze)),"",IF(Tb_Activiteiten[[#This Row],[Arbeidskosten]]=1,Tb_Activiteiten[[#Headers],[Arbeidskosten]],"")))</f>
        <v/>
      </c>
      <c r="AR1152" t="str">
        <f>IF(ISNUMBER(FIND("arbeid",Methode_Keuze)),"",IF(ISNUMBER(FIND("arbeid",Methode_Keuze)),"",IF(Tb_Activiteiten[[#This Row],[Arbeidskosten op basis van IKS]]=1,Tb_Activiteiten[[#Headers],[Arbeidskosten op basis van IKS]],"")))</f>
        <v/>
      </c>
      <c r="AS1152" t="str">
        <f>IF(ISNUMBER(FIND("overige",Methode_Keuze)),"",IF(Tb_Activiteiten[[#This Row],[Kosten derden exclusief btw]]=1,Tb_Activiteiten[[#Headers],[Kosten derden exclusief btw]],""))</f>
        <v/>
      </c>
      <c r="AT1152" t="str">
        <f>IF(ISNUMBER(FIND("overige",Methode_Keuze)),"",IF(Tb_Activiteiten[[#This Row],[Niet verrekenbare btw]]=1,Tb_Activiteiten[[#Headers],[Niet verrekenbare btw]],""))</f>
        <v/>
      </c>
      <c r="AU1152" t="str">
        <f>IF(ISNUMBER(FIND("overige",Methode_Keuze)),"",IF(Tb_Activiteiten[[#This Row],[Grondkosten]]=1,Tb_Activiteiten[[#Headers],[Grondkosten]],""))</f>
        <v/>
      </c>
      <c r="AV1152" t="str">
        <f>IF(ISNUMBER(FIND("overige",Methode_Keuze)),"",IF(Tb_Activiteiten[[#This Row],[Bijdrage in natura (overige)]]=1,Tb_Activiteiten[[#Headers],[Bijdrage in natura (overige)]],""))</f>
        <v/>
      </c>
      <c r="AW1152" t="str">
        <f>IF(ISNUMBER(FIND("overige",Methode_Keuze)),"",IF(Tb_Activiteiten[[#This Row],[Bijdrage in natura (vrijwilligers)]]=1,Tb_Activiteiten[[#Headers],[Bijdrage in natura (vrijwilligers)]],""))</f>
        <v/>
      </c>
      <c r="AX1152" t="str">
        <f>IF(ISNUMBER(FIND("overige",Methode_Keuze)),"",IF(Tb_Activiteiten[[#This Row],[Afschrijvingskosten]]=1,Tb_Activiteiten[[#Headers],[Afschrijvingskosten]],""))</f>
        <v/>
      </c>
      <c r="AY1152" t="str">
        <f>IF(ISNUMBER(FIND("overige",Methode_Keuze)),"",IF(Tb_Activiteiten[[#This Row],[Vergoeding]]=1,Tb_Activiteiten[[#Headers],[Vergoeding]],""))</f>
        <v/>
      </c>
      <c r="AZ1152" t="str">
        <f>IF(ISNUMBER(FIND("arbeid",Methode_Keuze)),"",IF(Tb_Activiteiten[[#This Row],[Arbeidskosten - vast tarief (excl eigen arbeid)]]=1,Tb_Activiteiten[[#Headers],[Arbeidskosten - vast tarief (excl eigen arbeid)]],""))</f>
        <v/>
      </c>
      <c r="BA1152" t="str">
        <f>IF(ISNUMBER(FIND("overige",Methode_Keuze)),"",IF(Tb_Activiteiten[[#This Row],[Overige kosten]]=1,Tb_Activiteiten[[#Headers],[Overige kosten]],""))</f>
        <v/>
      </c>
    </row>
    <row r="1153" spans="1:53" x14ac:dyDescent="0.25">
      <c r="A1153" s="139"/>
      <c r="B1153" s="139"/>
      <c r="C1153" s="139"/>
      <c r="D1153" s="139"/>
      <c r="E1153" s="139"/>
      <c r="F1153" s="139"/>
      <c r="G1153" s="139"/>
      <c r="O1153" s="56"/>
      <c r="Q1153" t="str">
        <f>IFERROR(IF(VLOOKUP(Tb_Activiteiten[[#This Row],[Openstelling]],Tb_Openstelling[],2,0)=1,1,""),"")</f>
        <v/>
      </c>
      <c r="AK1153" t="str">
        <f>IF(ISNUMBER(FIND("arbeid",Methode_Keuze)),"",IF(ISNUMBER(FIND("arbeid",Methode_Keuze)),"",IF(Tb_Activiteiten[[#This Row],[Loonkosten]]=1,Tb_Activiteiten[[#Headers],[Loonkosten]],"")))</f>
        <v/>
      </c>
      <c r="AL1153" t="str">
        <f>IF(ISNUMBER(FIND("arbeid",Methode_Keuze)),"",IF(ISNUMBER(FIND("arbeid",Methode_Keuze)),"",IF(Tb_Activiteiten[[#This Row],[Eigen arbeid]]=1,Tb_Activiteiten[[#Headers],[Eigen arbeid]],"")))</f>
        <v/>
      </c>
      <c r="AM1153" t="str">
        <f>IF(ISNUMBER(FIND("arbeid",Methode_Keuze)),"",IF(ISNUMBER(FIND("arbeid",Methode_Keuze)),"",IF(Tb_Activiteiten[[#This Row],[Projectmedewerker]]=1,Tb_Activiteiten[[#Headers],[Projectmedewerker]],"")))</f>
        <v/>
      </c>
      <c r="AN1153" t="str">
        <f>IF(ISNUMBER(FIND("arbeid",Methode_Keuze)),"",IF(ISNUMBER(FIND("arbeid",Methode_Keuze)),"",IF(Tb_Activiteiten[[#This Row],[Landbouwer]]=1,Tb_Activiteiten[[#Headers],[Landbouwer]],"")))</f>
        <v/>
      </c>
      <c r="AO1153" t="str">
        <f>IF(ISNUMBER(FIND("arbeid",Methode_Keuze)),"",IF(ISNUMBER(FIND("arbeid",Methode_Keuze)),"",IF(Tb_Activiteiten[[#This Row],[Adviseur]]=1,Tb_Activiteiten[[#Headers],[Adviseur]],"")))</f>
        <v/>
      </c>
      <c r="AP1153" t="str">
        <f>IF(ISNUMBER(FIND("arbeid",Methode_Keuze)),"",IF(ISNUMBER(FIND("arbeid",Methode_Keuze)),"",IF(Tb_Activiteiten[[#This Row],[Projectleider/Expert]]=1,Tb_Activiteiten[[#Headers],[Projectleider/Expert]],"")))</f>
        <v/>
      </c>
      <c r="AQ1153" t="str">
        <f>IF(ISNUMBER(FIND("arbeid",Methode_Keuze)),"",IF(ISNUMBER(FIND("arbeid",Methode_Keuze)),"",IF(Tb_Activiteiten[[#This Row],[Arbeidskosten]]=1,Tb_Activiteiten[[#Headers],[Arbeidskosten]],"")))</f>
        <v/>
      </c>
      <c r="AR1153" t="str">
        <f>IF(ISNUMBER(FIND("arbeid",Methode_Keuze)),"",IF(ISNUMBER(FIND("arbeid",Methode_Keuze)),"",IF(Tb_Activiteiten[[#This Row],[Arbeidskosten op basis van IKS]]=1,Tb_Activiteiten[[#Headers],[Arbeidskosten op basis van IKS]],"")))</f>
        <v/>
      </c>
      <c r="AS1153" t="str">
        <f>IF(ISNUMBER(FIND("overige",Methode_Keuze)),"",IF(Tb_Activiteiten[[#This Row],[Kosten derden exclusief btw]]=1,Tb_Activiteiten[[#Headers],[Kosten derden exclusief btw]],""))</f>
        <v/>
      </c>
      <c r="AT1153" t="str">
        <f>IF(ISNUMBER(FIND("overige",Methode_Keuze)),"",IF(Tb_Activiteiten[[#This Row],[Niet verrekenbare btw]]=1,Tb_Activiteiten[[#Headers],[Niet verrekenbare btw]],""))</f>
        <v/>
      </c>
      <c r="AU1153" t="str">
        <f>IF(ISNUMBER(FIND("overige",Methode_Keuze)),"",IF(Tb_Activiteiten[[#This Row],[Grondkosten]]=1,Tb_Activiteiten[[#Headers],[Grondkosten]],""))</f>
        <v/>
      </c>
      <c r="AV1153" t="str">
        <f>IF(ISNUMBER(FIND("overige",Methode_Keuze)),"",IF(Tb_Activiteiten[[#This Row],[Bijdrage in natura (overige)]]=1,Tb_Activiteiten[[#Headers],[Bijdrage in natura (overige)]],""))</f>
        <v/>
      </c>
      <c r="AW1153" t="str">
        <f>IF(ISNUMBER(FIND("overige",Methode_Keuze)),"",IF(Tb_Activiteiten[[#This Row],[Bijdrage in natura (vrijwilligers)]]=1,Tb_Activiteiten[[#Headers],[Bijdrage in natura (vrijwilligers)]],""))</f>
        <v/>
      </c>
      <c r="AX1153" t="str">
        <f>IF(ISNUMBER(FIND("overige",Methode_Keuze)),"",IF(Tb_Activiteiten[[#This Row],[Afschrijvingskosten]]=1,Tb_Activiteiten[[#Headers],[Afschrijvingskosten]],""))</f>
        <v/>
      </c>
      <c r="AY1153" t="str">
        <f>IF(ISNUMBER(FIND("overige",Methode_Keuze)),"",IF(Tb_Activiteiten[[#This Row],[Vergoeding]]=1,Tb_Activiteiten[[#Headers],[Vergoeding]],""))</f>
        <v/>
      </c>
      <c r="AZ1153" t="str">
        <f>IF(ISNUMBER(FIND("arbeid",Methode_Keuze)),"",IF(Tb_Activiteiten[[#This Row],[Arbeidskosten - vast tarief (excl eigen arbeid)]]=1,Tb_Activiteiten[[#Headers],[Arbeidskosten - vast tarief (excl eigen arbeid)]],""))</f>
        <v/>
      </c>
      <c r="BA1153" t="str">
        <f>IF(ISNUMBER(FIND("overige",Methode_Keuze)),"",IF(Tb_Activiteiten[[#This Row],[Overige kosten]]=1,Tb_Activiteiten[[#Headers],[Overige kosten]],""))</f>
        <v/>
      </c>
    </row>
    <row r="1154" spans="1:53" x14ac:dyDescent="0.25">
      <c r="A1154" s="139"/>
      <c r="B1154" s="139"/>
      <c r="C1154" s="139"/>
      <c r="D1154" s="139"/>
      <c r="E1154" s="139"/>
      <c r="F1154" s="139"/>
      <c r="G1154" s="139"/>
      <c r="O1154" s="56"/>
      <c r="Q1154" t="str">
        <f>IFERROR(IF(VLOOKUP(Tb_Activiteiten[[#This Row],[Openstelling]],Tb_Openstelling[],2,0)=1,1,""),"")</f>
        <v/>
      </c>
      <c r="AK1154" t="str">
        <f>IF(ISNUMBER(FIND("arbeid",Methode_Keuze)),"",IF(ISNUMBER(FIND("arbeid",Methode_Keuze)),"",IF(Tb_Activiteiten[[#This Row],[Loonkosten]]=1,Tb_Activiteiten[[#Headers],[Loonkosten]],"")))</f>
        <v/>
      </c>
      <c r="AL1154" t="str">
        <f>IF(ISNUMBER(FIND("arbeid",Methode_Keuze)),"",IF(ISNUMBER(FIND("arbeid",Methode_Keuze)),"",IF(Tb_Activiteiten[[#This Row],[Eigen arbeid]]=1,Tb_Activiteiten[[#Headers],[Eigen arbeid]],"")))</f>
        <v/>
      </c>
      <c r="AM1154" t="str">
        <f>IF(ISNUMBER(FIND("arbeid",Methode_Keuze)),"",IF(ISNUMBER(FIND("arbeid",Methode_Keuze)),"",IF(Tb_Activiteiten[[#This Row],[Projectmedewerker]]=1,Tb_Activiteiten[[#Headers],[Projectmedewerker]],"")))</f>
        <v/>
      </c>
      <c r="AN1154" t="str">
        <f>IF(ISNUMBER(FIND("arbeid",Methode_Keuze)),"",IF(ISNUMBER(FIND("arbeid",Methode_Keuze)),"",IF(Tb_Activiteiten[[#This Row],[Landbouwer]]=1,Tb_Activiteiten[[#Headers],[Landbouwer]],"")))</f>
        <v/>
      </c>
      <c r="AO1154" t="str">
        <f>IF(ISNUMBER(FIND("arbeid",Methode_Keuze)),"",IF(ISNUMBER(FIND("arbeid",Methode_Keuze)),"",IF(Tb_Activiteiten[[#This Row],[Adviseur]]=1,Tb_Activiteiten[[#Headers],[Adviseur]],"")))</f>
        <v/>
      </c>
      <c r="AP1154" t="str">
        <f>IF(ISNUMBER(FIND("arbeid",Methode_Keuze)),"",IF(ISNUMBER(FIND("arbeid",Methode_Keuze)),"",IF(Tb_Activiteiten[[#This Row],[Projectleider/Expert]]=1,Tb_Activiteiten[[#Headers],[Projectleider/Expert]],"")))</f>
        <v/>
      </c>
      <c r="AQ1154" t="str">
        <f>IF(ISNUMBER(FIND("arbeid",Methode_Keuze)),"",IF(ISNUMBER(FIND("arbeid",Methode_Keuze)),"",IF(Tb_Activiteiten[[#This Row],[Arbeidskosten]]=1,Tb_Activiteiten[[#Headers],[Arbeidskosten]],"")))</f>
        <v/>
      </c>
      <c r="AR1154" t="str">
        <f>IF(ISNUMBER(FIND("arbeid",Methode_Keuze)),"",IF(ISNUMBER(FIND("arbeid",Methode_Keuze)),"",IF(Tb_Activiteiten[[#This Row],[Arbeidskosten op basis van IKS]]=1,Tb_Activiteiten[[#Headers],[Arbeidskosten op basis van IKS]],"")))</f>
        <v/>
      </c>
      <c r="AS1154" t="str">
        <f>IF(ISNUMBER(FIND("overige",Methode_Keuze)),"",IF(Tb_Activiteiten[[#This Row],[Kosten derden exclusief btw]]=1,Tb_Activiteiten[[#Headers],[Kosten derden exclusief btw]],""))</f>
        <v/>
      </c>
      <c r="AT1154" t="str">
        <f>IF(ISNUMBER(FIND("overige",Methode_Keuze)),"",IF(Tb_Activiteiten[[#This Row],[Niet verrekenbare btw]]=1,Tb_Activiteiten[[#Headers],[Niet verrekenbare btw]],""))</f>
        <v/>
      </c>
      <c r="AU1154" t="str">
        <f>IF(ISNUMBER(FIND("overige",Methode_Keuze)),"",IF(Tb_Activiteiten[[#This Row],[Grondkosten]]=1,Tb_Activiteiten[[#Headers],[Grondkosten]],""))</f>
        <v/>
      </c>
      <c r="AV1154" t="str">
        <f>IF(ISNUMBER(FIND("overige",Methode_Keuze)),"",IF(Tb_Activiteiten[[#This Row],[Bijdrage in natura (overige)]]=1,Tb_Activiteiten[[#Headers],[Bijdrage in natura (overige)]],""))</f>
        <v/>
      </c>
      <c r="AW1154" t="str">
        <f>IF(ISNUMBER(FIND("overige",Methode_Keuze)),"",IF(Tb_Activiteiten[[#This Row],[Bijdrage in natura (vrijwilligers)]]=1,Tb_Activiteiten[[#Headers],[Bijdrage in natura (vrijwilligers)]],""))</f>
        <v/>
      </c>
      <c r="AX1154" t="str">
        <f>IF(ISNUMBER(FIND("overige",Methode_Keuze)),"",IF(Tb_Activiteiten[[#This Row],[Afschrijvingskosten]]=1,Tb_Activiteiten[[#Headers],[Afschrijvingskosten]],""))</f>
        <v/>
      </c>
      <c r="AY1154" t="str">
        <f>IF(ISNUMBER(FIND("overige",Methode_Keuze)),"",IF(Tb_Activiteiten[[#This Row],[Vergoeding]]=1,Tb_Activiteiten[[#Headers],[Vergoeding]],""))</f>
        <v/>
      </c>
      <c r="AZ1154" t="str">
        <f>IF(ISNUMBER(FIND("arbeid",Methode_Keuze)),"",IF(Tb_Activiteiten[[#This Row],[Arbeidskosten - vast tarief (excl eigen arbeid)]]=1,Tb_Activiteiten[[#Headers],[Arbeidskosten - vast tarief (excl eigen arbeid)]],""))</f>
        <v/>
      </c>
      <c r="BA1154" t="str">
        <f>IF(ISNUMBER(FIND("overige",Methode_Keuze)),"",IF(Tb_Activiteiten[[#This Row],[Overige kosten]]=1,Tb_Activiteiten[[#Headers],[Overige kosten]],""))</f>
        <v/>
      </c>
    </row>
    <row r="1155" spans="1:53" x14ac:dyDescent="0.25">
      <c r="A1155" s="139"/>
      <c r="B1155" s="139"/>
      <c r="C1155" s="139"/>
      <c r="D1155" s="139"/>
      <c r="E1155" s="139"/>
      <c r="F1155" s="139"/>
      <c r="G1155" s="139"/>
      <c r="O1155" s="56"/>
      <c r="Q1155" t="str">
        <f>IFERROR(IF(VLOOKUP(Tb_Activiteiten[[#This Row],[Openstelling]],Tb_Openstelling[],2,0)=1,1,""),"")</f>
        <v/>
      </c>
      <c r="AK1155" t="str">
        <f>IF(ISNUMBER(FIND("arbeid",Methode_Keuze)),"",IF(ISNUMBER(FIND("arbeid",Methode_Keuze)),"",IF(Tb_Activiteiten[[#This Row],[Loonkosten]]=1,Tb_Activiteiten[[#Headers],[Loonkosten]],"")))</f>
        <v/>
      </c>
      <c r="AL1155" t="str">
        <f>IF(ISNUMBER(FIND("arbeid",Methode_Keuze)),"",IF(ISNUMBER(FIND("arbeid",Methode_Keuze)),"",IF(Tb_Activiteiten[[#This Row],[Eigen arbeid]]=1,Tb_Activiteiten[[#Headers],[Eigen arbeid]],"")))</f>
        <v/>
      </c>
      <c r="AM1155" t="str">
        <f>IF(ISNUMBER(FIND("arbeid",Methode_Keuze)),"",IF(ISNUMBER(FIND("arbeid",Methode_Keuze)),"",IF(Tb_Activiteiten[[#This Row],[Projectmedewerker]]=1,Tb_Activiteiten[[#Headers],[Projectmedewerker]],"")))</f>
        <v/>
      </c>
      <c r="AN1155" t="str">
        <f>IF(ISNUMBER(FIND("arbeid",Methode_Keuze)),"",IF(ISNUMBER(FIND("arbeid",Methode_Keuze)),"",IF(Tb_Activiteiten[[#This Row],[Landbouwer]]=1,Tb_Activiteiten[[#Headers],[Landbouwer]],"")))</f>
        <v/>
      </c>
      <c r="AO1155" t="str">
        <f>IF(ISNUMBER(FIND("arbeid",Methode_Keuze)),"",IF(ISNUMBER(FIND("arbeid",Methode_Keuze)),"",IF(Tb_Activiteiten[[#This Row],[Adviseur]]=1,Tb_Activiteiten[[#Headers],[Adviseur]],"")))</f>
        <v/>
      </c>
      <c r="AP1155" t="str">
        <f>IF(ISNUMBER(FIND("arbeid",Methode_Keuze)),"",IF(ISNUMBER(FIND("arbeid",Methode_Keuze)),"",IF(Tb_Activiteiten[[#This Row],[Projectleider/Expert]]=1,Tb_Activiteiten[[#Headers],[Projectleider/Expert]],"")))</f>
        <v/>
      </c>
      <c r="AQ1155" t="str">
        <f>IF(ISNUMBER(FIND("arbeid",Methode_Keuze)),"",IF(ISNUMBER(FIND("arbeid",Methode_Keuze)),"",IF(Tb_Activiteiten[[#This Row],[Arbeidskosten]]=1,Tb_Activiteiten[[#Headers],[Arbeidskosten]],"")))</f>
        <v/>
      </c>
      <c r="AR1155" t="str">
        <f>IF(ISNUMBER(FIND("arbeid",Methode_Keuze)),"",IF(ISNUMBER(FIND("arbeid",Methode_Keuze)),"",IF(Tb_Activiteiten[[#This Row],[Arbeidskosten op basis van IKS]]=1,Tb_Activiteiten[[#Headers],[Arbeidskosten op basis van IKS]],"")))</f>
        <v/>
      </c>
      <c r="AS1155" t="str">
        <f>IF(ISNUMBER(FIND("overige",Methode_Keuze)),"",IF(Tb_Activiteiten[[#This Row],[Kosten derden exclusief btw]]=1,Tb_Activiteiten[[#Headers],[Kosten derden exclusief btw]],""))</f>
        <v/>
      </c>
      <c r="AT1155" t="str">
        <f>IF(ISNUMBER(FIND("overige",Methode_Keuze)),"",IF(Tb_Activiteiten[[#This Row],[Niet verrekenbare btw]]=1,Tb_Activiteiten[[#Headers],[Niet verrekenbare btw]],""))</f>
        <v/>
      </c>
      <c r="AU1155" t="str">
        <f>IF(ISNUMBER(FIND("overige",Methode_Keuze)),"",IF(Tb_Activiteiten[[#This Row],[Grondkosten]]=1,Tb_Activiteiten[[#Headers],[Grondkosten]],""))</f>
        <v/>
      </c>
      <c r="AV1155" t="str">
        <f>IF(ISNUMBER(FIND("overige",Methode_Keuze)),"",IF(Tb_Activiteiten[[#This Row],[Bijdrage in natura (overige)]]=1,Tb_Activiteiten[[#Headers],[Bijdrage in natura (overige)]],""))</f>
        <v/>
      </c>
      <c r="AW1155" t="str">
        <f>IF(ISNUMBER(FIND("overige",Methode_Keuze)),"",IF(Tb_Activiteiten[[#This Row],[Bijdrage in natura (vrijwilligers)]]=1,Tb_Activiteiten[[#Headers],[Bijdrage in natura (vrijwilligers)]],""))</f>
        <v/>
      </c>
      <c r="AX1155" t="str">
        <f>IF(ISNUMBER(FIND("overige",Methode_Keuze)),"",IF(Tb_Activiteiten[[#This Row],[Afschrijvingskosten]]=1,Tb_Activiteiten[[#Headers],[Afschrijvingskosten]],""))</f>
        <v/>
      </c>
      <c r="AY1155" t="str">
        <f>IF(ISNUMBER(FIND("overige",Methode_Keuze)),"",IF(Tb_Activiteiten[[#This Row],[Vergoeding]]=1,Tb_Activiteiten[[#Headers],[Vergoeding]],""))</f>
        <v/>
      </c>
      <c r="AZ1155" t="str">
        <f>IF(ISNUMBER(FIND("arbeid",Methode_Keuze)),"",IF(Tb_Activiteiten[[#This Row],[Arbeidskosten - vast tarief (excl eigen arbeid)]]=1,Tb_Activiteiten[[#Headers],[Arbeidskosten - vast tarief (excl eigen arbeid)]],""))</f>
        <v/>
      </c>
      <c r="BA1155" t="str">
        <f>IF(ISNUMBER(FIND("overige",Methode_Keuze)),"",IF(Tb_Activiteiten[[#This Row],[Overige kosten]]=1,Tb_Activiteiten[[#Headers],[Overige kosten]],""))</f>
        <v/>
      </c>
    </row>
    <row r="1156" spans="1:53" x14ac:dyDescent="0.25">
      <c r="A1156" s="139"/>
      <c r="B1156" s="139"/>
      <c r="C1156" s="139"/>
      <c r="D1156" s="139"/>
      <c r="E1156" s="139"/>
      <c r="F1156" s="139"/>
      <c r="G1156" s="139"/>
      <c r="O1156" s="56"/>
      <c r="Q1156" t="str">
        <f>IFERROR(IF(VLOOKUP(Tb_Activiteiten[[#This Row],[Openstelling]],Tb_Openstelling[],2,0)=1,1,""),"")</f>
        <v/>
      </c>
      <c r="AK1156" t="str">
        <f>IF(ISNUMBER(FIND("arbeid",Methode_Keuze)),"",IF(ISNUMBER(FIND("arbeid",Methode_Keuze)),"",IF(Tb_Activiteiten[[#This Row],[Loonkosten]]=1,Tb_Activiteiten[[#Headers],[Loonkosten]],"")))</f>
        <v/>
      </c>
      <c r="AL1156" t="str">
        <f>IF(ISNUMBER(FIND("arbeid",Methode_Keuze)),"",IF(ISNUMBER(FIND("arbeid",Methode_Keuze)),"",IF(Tb_Activiteiten[[#This Row],[Eigen arbeid]]=1,Tb_Activiteiten[[#Headers],[Eigen arbeid]],"")))</f>
        <v/>
      </c>
      <c r="AM1156" t="str">
        <f>IF(ISNUMBER(FIND("arbeid",Methode_Keuze)),"",IF(ISNUMBER(FIND("arbeid",Methode_Keuze)),"",IF(Tb_Activiteiten[[#This Row],[Projectmedewerker]]=1,Tb_Activiteiten[[#Headers],[Projectmedewerker]],"")))</f>
        <v/>
      </c>
      <c r="AN1156" t="str">
        <f>IF(ISNUMBER(FIND("arbeid",Methode_Keuze)),"",IF(ISNUMBER(FIND("arbeid",Methode_Keuze)),"",IF(Tb_Activiteiten[[#This Row],[Landbouwer]]=1,Tb_Activiteiten[[#Headers],[Landbouwer]],"")))</f>
        <v/>
      </c>
      <c r="AO1156" t="str">
        <f>IF(ISNUMBER(FIND("arbeid",Methode_Keuze)),"",IF(ISNUMBER(FIND("arbeid",Methode_Keuze)),"",IF(Tb_Activiteiten[[#This Row],[Adviseur]]=1,Tb_Activiteiten[[#Headers],[Adviseur]],"")))</f>
        <v/>
      </c>
      <c r="AP1156" t="str">
        <f>IF(ISNUMBER(FIND("arbeid",Methode_Keuze)),"",IF(ISNUMBER(FIND("arbeid",Methode_Keuze)),"",IF(Tb_Activiteiten[[#This Row],[Projectleider/Expert]]=1,Tb_Activiteiten[[#Headers],[Projectleider/Expert]],"")))</f>
        <v/>
      </c>
      <c r="AQ1156" t="str">
        <f>IF(ISNUMBER(FIND("arbeid",Methode_Keuze)),"",IF(ISNUMBER(FIND("arbeid",Methode_Keuze)),"",IF(Tb_Activiteiten[[#This Row],[Arbeidskosten]]=1,Tb_Activiteiten[[#Headers],[Arbeidskosten]],"")))</f>
        <v/>
      </c>
      <c r="AR1156" t="str">
        <f>IF(ISNUMBER(FIND("arbeid",Methode_Keuze)),"",IF(ISNUMBER(FIND("arbeid",Methode_Keuze)),"",IF(Tb_Activiteiten[[#This Row],[Arbeidskosten op basis van IKS]]=1,Tb_Activiteiten[[#Headers],[Arbeidskosten op basis van IKS]],"")))</f>
        <v/>
      </c>
      <c r="AS1156" t="str">
        <f>IF(ISNUMBER(FIND("overige",Methode_Keuze)),"",IF(Tb_Activiteiten[[#This Row],[Kosten derden exclusief btw]]=1,Tb_Activiteiten[[#Headers],[Kosten derden exclusief btw]],""))</f>
        <v/>
      </c>
      <c r="AT1156" t="str">
        <f>IF(ISNUMBER(FIND("overige",Methode_Keuze)),"",IF(Tb_Activiteiten[[#This Row],[Niet verrekenbare btw]]=1,Tb_Activiteiten[[#Headers],[Niet verrekenbare btw]],""))</f>
        <v/>
      </c>
      <c r="AU1156" t="str">
        <f>IF(ISNUMBER(FIND("overige",Methode_Keuze)),"",IF(Tb_Activiteiten[[#This Row],[Grondkosten]]=1,Tb_Activiteiten[[#Headers],[Grondkosten]],""))</f>
        <v/>
      </c>
      <c r="AV1156" t="str">
        <f>IF(ISNUMBER(FIND("overige",Methode_Keuze)),"",IF(Tb_Activiteiten[[#This Row],[Bijdrage in natura (overige)]]=1,Tb_Activiteiten[[#Headers],[Bijdrage in natura (overige)]],""))</f>
        <v/>
      </c>
      <c r="AW1156" t="str">
        <f>IF(ISNUMBER(FIND("overige",Methode_Keuze)),"",IF(Tb_Activiteiten[[#This Row],[Bijdrage in natura (vrijwilligers)]]=1,Tb_Activiteiten[[#Headers],[Bijdrage in natura (vrijwilligers)]],""))</f>
        <v/>
      </c>
      <c r="AX1156" t="str">
        <f>IF(ISNUMBER(FIND("overige",Methode_Keuze)),"",IF(Tb_Activiteiten[[#This Row],[Afschrijvingskosten]]=1,Tb_Activiteiten[[#Headers],[Afschrijvingskosten]],""))</f>
        <v/>
      </c>
      <c r="AY1156" t="str">
        <f>IF(ISNUMBER(FIND("overige",Methode_Keuze)),"",IF(Tb_Activiteiten[[#This Row],[Vergoeding]]=1,Tb_Activiteiten[[#Headers],[Vergoeding]],""))</f>
        <v/>
      </c>
      <c r="AZ1156" t="str">
        <f>IF(ISNUMBER(FIND("arbeid",Methode_Keuze)),"",IF(Tb_Activiteiten[[#This Row],[Arbeidskosten - vast tarief (excl eigen arbeid)]]=1,Tb_Activiteiten[[#Headers],[Arbeidskosten - vast tarief (excl eigen arbeid)]],""))</f>
        <v/>
      </c>
      <c r="BA1156" t="str">
        <f>IF(ISNUMBER(FIND("overige",Methode_Keuze)),"",IF(Tb_Activiteiten[[#This Row],[Overige kosten]]=1,Tb_Activiteiten[[#Headers],[Overige kosten]],""))</f>
        <v/>
      </c>
    </row>
    <row r="1157" spans="1:53" x14ac:dyDescent="0.25">
      <c r="A1157" s="139"/>
      <c r="B1157" s="139"/>
      <c r="C1157" s="139"/>
      <c r="D1157" s="139"/>
      <c r="E1157" s="139"/>
      <c r="F1157" s="139"/>
      <c r="G1157" s="139"/>
      <c r="O1157" s="56"/>
      <c r="Q1157" t="str">
        <f>IFERROR(IF(VLOOKUP(Tb_Activiteiten[[#This Row],[Openstelling]],Tb_Openstelling[],2,0)=1,1,""),"")</f>
        <v/>
      </c>
      <c r="AK1157" t="str">
        <f>IF(ISNUMBER(FIND("arbeid",Methode_Keuze)),"",IF(ISNUMBER(FIND("arbeid",Methode_Keuze)),"",IF(Tb_Activiteiten[[#This Row],[Loonkosten]]=1,Tb_Activiteiten[[#Headers],[Loonkosten]],"")))</f>
        <v/>
      </c>
      <c r="AL1157" t="str">
        <f>IF(ISNUMBER(FIND("arbeid",Methode_Keuze)),"",IF(ISNUMBER(FIND("arbeid",Methode_Keuze)),"",IF(Tb_Activiteiten[[#This Row],[Eigen arbeid]]=1,Tb_Activiteiten[[#Headers],[Eigen arbeid]],"")))</f>
        <v/>
      </c>
      <c r="AM1157" t="str">
        <f>IF(ISNUMBER(FIND("arbeid",Methode_Keuze)),"",IF(ISNUMBER(FIND("arbeid",Methode_Keuze)),"",IF(Tb_Activiteiten[[#This Row],[Projectmedewerker]]=1,Tb_Activiteiten[[#Headers],[Projectmedewerker]],"")))</f>
        <v/>
      </c>
      <c r="AN1157" t="str">
        <f>IF(ISNUMBER(FIND("arbeid",Methode_Keuze)),"",IF(ISNUMBER(FIND("arbeid",Methode_Keuze)),"",IF(Tb_Activiteiten[[#This Row],[Landbouwer]]=1,Tb_Activiteiten[[#Headers],[Landbouwer]],"")))</f>
        <v/>
      </c>
      <c r="AO1157" t="str">
        <f>IF(ISNUMBER(FIND("arbeid",Methode_Keuze)),"",IF(ISNUMBER(FIND("arbeid",Methode_Keuze)),"",IF(Tb_Activiteiten[[#This Row],[Adviseur]]=1,Tb_Activiteiten[[#Headers],[Adviseur]],"")))</f>
        <v/>
      </c>
      <c r="AP1157" t="str">
        <f>IF(ISNUMBER(FIND("arbeid",Methode_Keuze)),"",IF(ISNUMBER(FIND("arbeid",Methode_Keuze)),"",IF(Tb_Activiteiten[[#This Row],[Projectleider/Expert]]=1,Tb_Activiteiten[[#Headers],[Projectleider/Expert]],"")))</f>
        <v/>
      </c>
      <c r="AQ1157" t="str">
        <f>IF(ISNUMBER(FIND("arbeid",Methode_Keuze)),"",IF(ISNUMBER(FIND("arbeid",Methode_Keuze)),"",IF(Tb_Activiteiten[[#This Row],[Arbeidskosten]]=1,Tb_Activiteiten[[#Headers],[Arbeidskosten]],"")))</f>
        <v/>
      </c>
      <c r="AR1157" t="str">
        <f>IF(ISNUMBER(FIND("arbeid",Methode_Keuze)),"",IF(ISNUMBER(FIND("arbeid",Methode_Keuze)),"",IF(Tb_Activiteiten[[#This Row],[Arbeidskosten op basis van IKS]]=1,Tb_Activiteiten[[#Headers],[Arbeidskosten op basis van IKS]],"")))</f>
        <v/>
      </c>
      <c r="AS1157" t="str">
        <f>IF(ISNUMBER(FIND("overige",Methode_Keuze)),"",IF(Tb_Activiteiten[[#This Row],[Kosten derden exclusief btw]]=1,Tb_Activiteiten[[#Headers],[Kosten derden exclusief btw]],""))</f>
        <v/>
      </c>
      <c r="AT1157" t="str">
        <f>IF(ISNUMBER(FIND("overige",Methode_Keuze)),"",IF(Tb_Activiteiten[[#This Row],[Niet verrekenbare btw]]=1,Tb_Activiteiten[[#Headers],[Niet verrekenbare btw]],""))</f>
        <v/>
      </c>
      <c r="AU1157" t="str">
        <f>IF(ISNUMBER(FIND("overige",Methode_Keuze)),"",IF(Tb_Activiteiten[[#This Row],[Grondkosten]]=1,Tb_Activiteiten[[#Headers],[Grondkosten]],""))</f>
        <v/>
      </c>
      <c r="AV1157" t="str">
        <f>IF(ISNUMBER(FIND("overige",Methode_Keuze)),"",IF(Tb_Activiteiten[[#This Row],[Bijdrage in natura (overige)]]=1,Tb_Activiteiten[[#Headers],[Bijdrage in natura (overige)]],""))</f>
        <v/>
      </c>
      <c r="AW1157" t="str">
        <f>IF(ISNUMBER(FIND("overige",Methode_Keuze)),"",IF(Tb_Activiteiten[[#This Row],[Bijdrage in natura (vrijwilligers)]]=1,Tb_Activiteiten[[#Headers],[Bijdrage in natura (vrijwilligers)]],""))</f>
        <v/>
      </c>
      <c r="AX1157" t="str">
        <f>IF(ISNUMBER(FIND("overige",Methode_Keuze)),"",IF(Tb_Activiteiten[[#This Row],[Afschrijvingskosten]]=1,Tb_Activiteiten[[#Headers],[Afschrijvingskosten]],""))</f>
        <v/>
      </c>
      <c r="AY1157" t="str">
        <f>IF(ISNUMBER(FIND("overige",Methode_Keuze)),"",IF(Tb_Activiteiten[[#This Row],[Vergoeding]]=1,Tb_Activiteiten[[#Headers],[Vergoeding]],""))</f>
        <v/>
      </c>
      <c r="AZ1157" t="str">
        <f>IF(ISNUMBER(FIND("arbeid",Methode_Keuze)),"",IF(Tb_Activiteiten[[#This Row],[Arbeidskosten - vast tarief (excl eigen arbeid)]]=1,Tb_Activiteiten[[#Headers],[Arbeidskosten - vast tarief (excl eigen arbeid)]],""))</f>
        <v/>
      </c>
      <c r="BA1157" t="str">
        <f>IF(ISNUMBER(FIND("overige",Methode_Keuze)),"",IF(Tb_Activiteiten[[#This Row],[Overige kosten]]=1,Tb_Activiteiten[[#Headers],[Overige kosten]],""))</f>
        <v/>
      </c>
    </row>
    <row r="1158" spans="1:53" x14ac:dyDescent="0.25">
      <c r="A1158" s="139"/>
      <c r="B1158" s="139"/>
      <c r="C1158" s="139"/>
      <c r="D1158" s="139"/>
      <c r="E1158" s="139"/>
      <c r="F1158" s="139"/>
      <c r="G1158" s="139"/>
      <c r="O1158" s="56"/>
      <c r="Q1158" t="str">
        <f>IFERROR(IF(VLOOKUP(Tb_Activiteiten[[#This Row],[Openstelling]],Tb_Openstelling[],2,0)=1,1,""),"")</f>
        <v/>
      </c>
      <c r="AK1158" t="str">
        <f>IF(ISNUMBER(FIND("arbeid",Methode_Keuze)),"",IF(ISNUMBER(FIND("arbeid",Methode_Keuze)),"",IF(Tb_Activiteiten[[#This Row],[Loonkosten]]=1,Tb_Activiteiten[[#Headers],[Loonkosten]],"")))</f>
        <v/>
      </c>
      <c r="AL1158" t="str">
        <f>IF(ISNUMBER(FIND("arbeid",Methode_Keuze)),"",IF(ISNUMBER(FIND("arbeid",Methode_Keuze)),"",IF(Tb_Activiteiten[[#This Row],[Eigen arbeid]]=1,Tb_Activiteiten[[#Headers],[Eigen arbeid]],"")))</f>
        <v/>
      </c>
      <c r="AM1158" t="str">
        <f>IF(ISNUMBER(FIND("arbeid",Methode_Keuze)),"",IF(ISNUMBER(FIND("arbeid",Methode_Keuze)),"",IF(Tb_Activiteiten[[#This Row],[Projectmedewerker]]=1,Tb_Activiteiten[[#Headers],[Projectmedewerker]],"")))</f>
        <v/>
      </c>
      <c r="AN1158" t="str">
        <f>IF(ISNUMBER(FIND("arbeid",Methode_Keuze)),"",IF(ISNUMBER(FIND("arbeid",Methode_Keuze)),"",IF(Tb_Activiteiten[[#This Row],[Landbouwer]]=1,Tb_Activiteiten[[#Headers],[Landbouwer]],"")))</f>
        <v/>
      </c>
      <c r="AO1158" t="str">
        <f>IF(ISNUMBER(FIND("arbeid",Methode_Keuze)),"",IF(ISNUMBER(FIND("arbeid",Methode_Keuze)),"",IF(Tb_Activiteiten[[#This Row],[Adviseur]]=1,Tb_Activiteiten[[#Headers],[Adviseur]],"")))</f>
        <v/>
      </c>
      <c r="AP1158" t="str">
        <f>IF(ISNUMBER(FIND("arbeid",Methode_Keuze)),"",IF(ISNUMBER(FIND("arbeid",Methode_Keuze)),"",IF(Tb_Activiteiten[[#This Row],[Projectleider/Expert]]=1,Tb_Activiteiten[[#Headers],[Projectleider/Expert]],"")))</f>
        <v/>
      </c>
      <c r="AQ1158" t="str">
        <f>IF(ISNUMBER(FIND("arbeid",Methode_Keuze)),"",IF(ISNUMBER(FIND("arbeid",Methode_Keuze)),"",IF(Tb_Activiteiten[[#This Row],[Arbeidskosten]]=1,Tb_Activiteiten[[#Headers],[Arbeidskosten]],"")))</f>
        <v/>
      </c>
      <c r="AR1158" t="str">
        <f>IF(ISNUMBER(FIND("arbeid",Methode_Keuze)),"",IF(ISNUMBER(FIND("arbeid",Methode_Keuze)),"",IF(Tb_Activiteiten[[#This Row],[Arbeidskosten op basis van IKS]]=1,Tb_Activiteiten[[#Headers],[Arbeidskosten op basis van IKS]],"")))</f>
        <v/>
      </c>
      <c r="AS1158" t="str">
        <f>IF(ISNUMBER(FIND("overige",Methode_Keuze)),"",IF(Tb_Activiteiten[[#This Row],[Kosten derden exclusief btw]]=1,Tb_Activiteiten[[#Headers],[Kosten derden exclusief btw]],""))</f>
        <v/>
      </c>
      <c r="AT1158" t="str">
        <f>IF(ISNUMBER(FIND("overige",Methode_Keuze)),"",IF(Tb_Activiteiten[[#This Row],[Niet verrekenbare btw]]=1,Tb_Activiteiten[[#Headers],[Niet verrekenbare btw]],""))</f>
        <v/>
      </c>
      <c r="AU1158" t="str">
        <f>IF(ISNUMBER(FIND("overige",Methode_Keuze)),"",IF(Tb_Activiteiten[[#This Row],[Grondkosten]]=1,Tb_Activiteiten[[#Headers],[Grondkosten]],""))</f>
        <v/>
      </c>
      <c r="AV1158" t="str">
        <f>IF(ISNUMBER(FIND("overige",Methode_Keuze)),"",IF(Tb_Activiteiten[[#This Row],[Bijdrage in natura (overige)]]=1,Tb_Activiteiten[[#Headers],[Bijdrage in natura (overige)]],""))</f>
        <v/>
      </c>
      <c r="AW1158" t="str">
        <f>IF(ISNUMBER(FIND("overige",Methode_Keuze)),"",IF(Tb_Activiteiten[[#This Row],[Bijdrage in natura (vrijwilligers)]]=1,Tb_Activiteiten[[#Headers],[Bijdrage in natura (vrijwilligers)]],""))</f>
        <v/>
      </c>
      <c r="AX1158" t="str">
        <f>IF(ISNUMBER(FIND("overige",Methode_Keuze)),"",IF(Tb_Activiteiten[[#This Row],[Afschrijvingskosten]]=1,Tb_Activiteiten[[#Headers],[Afschrijvingskosten]],""))</f>
        <v/>
      </c>
      <c r="AY1158" t="str">
        <f>IF(ISNUMBER(FIND("overige",Methode_Keuze)),"",IF(Tb_Activiteiten[[#This Row],[Vergoeding]]=1,Tb_Activiteiten[[#Headers],[Vergoeding]],""))</f>
        <v/>
      </c>
      <c r="AZ1158" t="str">
        <f>IF(ISNUMBER(FIND("arbeid",Methode_Keuze)),"",IF(Tb_Activiteiten[[#This Row],[Arbeidskosten - vast tarief (excl eigen arbeid)]]=1,Tb_Activiteiten[[#Headers],[Arbeidskosten - vast tarief (excl eigen arbeid)]],""))</f>
        <v/>
      </c>
      <c r="BA1158" t="str">
        <f>IF(ISNUMBER(FIND("overige",Methode_Keuze)),"",IF(Tb_Activiteiten[[#This Row],[Overige kosten]]=1,Tb_Activiteiten[[#Headers],[Overige kosten]],""))</f>
        <v/>
      </c>
    </row>
    <row r="1159" spans="1:53" x14ac:dyDescent="0.25">
      <c r="A1159" s="139"/>
      <c r="B1159" s="139"/>
      <c r="C1159" s="139"/>
      <c r="D1159" s="139"/>
      <c r="E1159" s="139"/>
      <c r="F1159" s="139"/>
      <c r="G1159" s="139"/>
      <c r="O1159" s="56"/>
      <c r="Q1159" t="str">
        <f>IFERROR(IF(VLOOKUP(Tb_Activiteiten[[#This Row],[Openstelling]],Tb_Openstelling[],2,0)=1,1,""),"")</f>
        <v/>
      </c>
      <c r="AK1159" t="str">
        <f>IF(ISNUMBER(FIND("arbeid",Methode_Keuze)),"",IF(ISNUMBER(FIND("arbeid",Methode_Keuze)),"",IF(Tb_Activiteiten[[#This Row],[Loonkosten]]=1,Tb_Activiteiten[[#Headers],[Loonkosten]],"")))</f>
        <v/>
      </c>
      <c r="AL1159" t="str">
        <f>IF(ISNUMBER(FIND("arbeid",Methode_Keuze)),"",IF(ISNUMBER(FIND("arbeid",Methode_Keuze)),"",IF(Tb_Activiteiten[[#This Row],[Eigen arbeid]]=1,Tb_Activiteiten[[#Headers],[Eigen arbeid]],"")))</f>
        <v/>
      </c>
      <c r="AM1159" t="str">
        <f>IF(ISNUMBER(FIND("arbeid",Methode_Keuze)),"",IF(ISNUMBER(FIND("arbeid",Methode_Keuze)),"",IF(Tb_Activiteiten[[#This Row],[Projectmedewerker]]=1,Tb_Activiteiten[[#Headers],[Projectmedewerker]],"")))</f>
        <v/>
      </c>
      <c r="AN1159" t="str">
        <f>IF(ISNUMBER(FIND("arbeid",Methode_Keuze)),"",IF(ISNUMBER(FIND("arbeid",Methode_Keuze)),"",IF(Tb_Activiteiten[[#This Row],[Landbouwer]]=1,Tb_Activiteiten[[#Headers],[Landbouwer]],"")))</f>
        <v/>
      </c>
      <c r="AO1159" t="str">
        <f>IF(ISNUMBER(FIND("arbeid",Methode_Keuze)),"",IF(ISNUMBER(FIND("arbeid",Methode_Keuze)),"",IF(Tb_Activiteiten[[#This Row],[Adviseur]]=1,Tb_Activiteiten[[#Headers],[Adviseur]],"")))</f>
        <v/>
      </c>
      <c r="AP1159" t="str">
        <f>IF(ISNUMBER(FIND("arbeid",Methode_Keuze)),"",IF(ISNUMBER(FIND("arbeid",Methode_Keuze)),"",IF(Tb_Activiteiten[[#This Row],[Projectleider/Expert]]=1,Tb_Activiteiten[[#Headers],[Projectleider/Expert]],"")))</f>
        <v/>
      </c>
      <c r="AQ1159" t="str">
        <f>IF(ISNUMBER(FIND("arbeid",Methode_Keuze)),"",IF(ISNUMBER(FIND("arbeid",Methode_Keuze)),"",IF(Tb_Activiteiten[[#This Row],[Arbeidskosten]]=1,Tb_Activiteiten[[#Headers],[Arbeidskosten]],"")))</f>
        <v/>
      </c>
      <c r="AR1159" t="str">
        <f>IF(ISNUMBER(FIND("arbeid",Methode_Keuze)),"",IF(ISNUMBER(FIND("arbeid",Methode_Keuze)),"",IF(Tb_Activiteiten[[#This Row],[Arbeidskosten op basis van IKS]]=1,Tb_Activiteiten[[#Headers],[Arbeidskosten op basis van IKS]],"")))</f>
        <v/>
      </c>
      <c r="AS1159" t="str">
        <f>IF(ISNUMBER(FIND("overige",Methode_Keuze)),"",IF(Tb_Activiteiten[[#This Row],[Kosten derden exclusief btw]]=1,Tb_Activiteiten[[#Headers],[Kosten derden exclusief btw]],""))</f>
        <v/>
      </c>
      <c r="AT1159" t="str">
        <f>IF(ISNUMBER(FIND("overige",Methode_Keuze)),"",IF(Tb_Activiteiten[[#This Row],[Niet verrekenbare btw]]=1,Tb_Activiteiten[[#Headers],[Niet verrekenbare btw]],""))</f>
        <v/>
      </c>
      <c r="AU1159" t="str">
        <f>IF(ISNUMBER(FIND("overige",Methode_Keuze)),"",IF(Tb_Activiteiten[[#This Row],[Grondkosten]]=1,Tb_Activiteiten[[#Headers],[Grondkosten]],""))</f>
        <v/>
      </c>
      <c r="AV1159" t="str">
        <f>IF(ISNUMBER(FIND("overige",Methode_Keuze)),"",IF(Tb_Activiteiten[[#This Row],[Bijdrage in natura (overige)]]=1,Tb_Activiteiten[[#Headers],[Bijdrage in natura (overige)]],""))</f>
        <v/>
      </c>
      <c r="AW1159" t="str">
        <f>IF(ISNUMBER(FIND("overige",Methode_Keuze)),"",IF(Tb_Activiteiten[[#This Row],[Bijdrage in natura (vrijwilligers)]]=1,Tb_Activiteiten[[#Headers],[Bijdrage in natura (vrijwilligers)]],""))</f>
        <v/>
      </c>
      <c r="AX1159" t="str">
        <f>IF(ISNUMBER(FIND("overige",Methode_Keuze)),"",IF(Tb_Activiteiten[[#This Row],[Afschrijvingskosten]]=1,Tb_Activiteiten[[#Headers],[Afschrijvingskosten]],""))</f>
        <v/>
      </c>
      <c r="AY1159" t="str">
        <f>IF(ISNUMBER(FIND("overige",Methode_Keuze)),"",IF(Tb_Activiteiten[[#This Row],[Vergoeding]]=1,Tb_Activiteiten[[#Headers],[Vergoeding]],""))</f>
        <v/>
      </c>
      <c r="AZ1159" t="str">
        <f>IF(ISNUMBER(FIND("arbeid",Methode_Keuze)),"",IF(Tb_Activiteiten[[#This Row],[Arbeidskosten - vast tarief (excl eigen arbeid)]]=1,Tb_Activiteiten[[#Headers],[Arbeidskosten - vast tarief (excl eigen arbeid)]],""))</f>
        <v/>
      </c>
      <c r="BA1159" t="str">
        <f>IF(ISNUMBER(FIND("overige",Methode_Keuze)),"",IF(Tb_Activiteiten[[#This Row],[Overige kosten]]=1,Tb_Activiteiten[[#Headers],[Overige kosten]],""))</f>
        <v/>
      </c>
    </row>
    <row r="1160" spans="1:53" x14ac:dyDescent="0.25">
      <c r="A1160" s="139"/>
      <c r="B1160" s="139"/>
      <c r="C1160" s="139"/>
      <c r="D1160" s="139"/>
      <c r="E1160" s="139"/>
      <c r="F1160" s="139"/>
      <c r="G1160" s="139"/>
      <c r="O1160" s="56"/>
      <c r="Q1160" t="str">
        <f>IFERROR(IF(VLOOKUP(Tb_Activiteiten[[#This Row],[Openstelling]],Tb_Openstelling[],2,0)=1,1,""),"")</f>
        <v/>
      </c>
      <c r="AK1160" t="str">
        <f>IF(ISNUMBER(FIND("arbeid",Methode_Keuze)),"",IF(ISNUMBER(FIND("arbeid",Methode_Keuze)),"",IF(Tb_Activiteiten[[#This Row],[Loonkosten]]=1,Tb_Activiteiten[[#Headers],[Loonkosten]],"")))</f>
        <v/>
      </c>
      <c r="AL1160" t="str">
        <f>IF(ISNUMBER(FIND("arbeid",Methode_Keuze)),"",IF(ISNUMBER(FIND("arbeid",Methode_Keuze)),"",IF(Tb_Activiteiten[[#This Row],[Eigen arbeid]]=1,Tb_Activiteiten[[#Headers],[Eigen arbeid]],"")))</f>
        <v/>
      </c>
      <c r="AM1160" t="str">
        <f>IF(ISNUMBER(FIND("arbeid",Methode_Keuze)),"",IF(ISNUMBER(FIND("arbeid",Methode_Keuze)),"",IF(Tb_Activiteiten[[#This Row],[Projectmedewerker]]=1,Tb_Activiteiten[[#Headers],[Projectmedewerker]],"")))</f>
        <v/>
      </c>
      <c r="AN1160" t="str">
        <f>IF(ISNUMBER(FIND("arbeid",Methode_Keuze)),"",IF(ISNUMBER(FIND("arbeid",Methode_Keuze)),"",IF(Tb_Activiteiten[[#This Row],[Landbouwer]]=1,Tb_Activiteiten[[#Headers],[Landbouwer]],"")))</f>
        <v/>
      </c>
      <c r="AO1160" t="str">
        <f>IF(ISNUMBER(FIND("arbeid",Methode_Keuze)),"",IF(ISNUMBER(FIND("arbeid",Methode_Keuze)),"",IF(Tb_Activiteiten[[#This Row],[Adviseur]]=1,Tb_Activiteiten[[#Headers],[Adviseur]],"")))</f>
        <v/>
      </c>
      <c r="AP1160" t="str">
        <f>IF(ISNUMBER(FIND("arbeid",Methode_Keuze)),"",IF(ISNUMBER(FIND("arbeid",Methode_Keuze)),"",IF(Tb_Activiteiten[[#This Row],[Projectleider/Expert]]=1,Tb_Activiteiten[[#Headers],[Projectleider/Expert]],"")))</f>
        <v/>
      </c>
      <c r="AQ1160" t="str">
        <f>IF(ISNUMBER(FIND("arbeid",Methode_Keuze)),"",IF(ISNUMBER(FIND("arbeid",Methode_Keuze)),"",IF(Tb_Activiteiten[[#This Row],[Arbeidskosten]]=1,Tb_Activiteiten[[#Headers],[Arbeidskosten]],"")))</f>
        <v/>
      </c>
      <c r="AR1160" t="str">
        <f>IF(ISNUMBER(FIND("arbeid",Methode_Keuze)),"",IF(ISNUMBER(FIND("arbeid",Methode_Keuze)),"",IF(Tb_Activiteiten[[#This Row],[Arbeidskosten op basis van IKS]]=1,Tb_Activiteiten[[#Headers],[Arbeidskosten op basis van IKS]],"")))</f>
        <v/>
      </c>
      <c r="AS1160" t="str">
        <f>IF(ISNUMBER(FIND("overige",Methode_Keuze)),"",IF(Tb_Activiteiten[[#This Row],[Kosten derden exclusief btw]]=1,Tb_Activiteiten[[#Headers],[Kosten derden exclusief btw]],""))</f>
        <v/>
      </c>
      <c r="AT1160" t="str">
        <f>IF(ISNUMBER(FIND("overige",Methode_Keuze)),"",IF(Tb_Activiteiten[[#This Row],[Niet verrekenbare btw]]=1,Tb_Activiteiten[[#Headers],[Niet verrekenbare btw]],""))</f>
        <v/>
      </c>
      <c r="AU1160" t="str">
        <f>IF(ISNUMBER(FIND("overige",Methode_Keuze)),"",IF(Tb_Activiteiten[[#This Row],[Grondkosten]]=1,Tb_Activiteiten[[#Headers],[Grondkosten]],""))</f>
        <v/>
      </c>
      <c r="AV1160" t="str">
        <f>IF(ISNUMBER(FIND("overige",Methode_Keuze)),"",IF(Tb_Activiteiten[[#This Row],[Bijdrage in natura (overige)]]=1,Tb_Activiteiten[[#Headers],[Bijdrage in natura (overige)]],""))</f>
        <v/>
      </c>
      <c r="AW1160" t="str">
        <f>IF(ISNUMBER(FIND("overige",Methode_Keuze)),"",IF(Tb_Activiteiten[[#This Row],[Bijdrage in natura (vrijwilligers)]]=1,Tb_Activiteiten[[#Headers],[Bijdrage in natura (vrijwilligers)]],""))</f>
        <v/>
      </c>
      <c r="AX1160" t="str">
        <f>IF(ISNUMBER(FIND("overige",Methode_Keuze)),"",IF(Tb_Activiteiten[[#This Row],[Afschrijvingskosten]]=1,Tb_Activiteiten[[#Headers],[Afschrijvingskosten]],""))</f>
        <v/>
      </c>
      <c r="AY1160" t="str">
        <f>IF(ISNUMBER(FIND("overige",Methode_Keuze)),"",IF(Tb_Activiteiten[[#This Row],[Vergoeding]]=1,Tb_Activiteiten[[#Headers],[Vergoeding]],""))</f>
        <v/>
      </c>
      <c r="AZ1160" t="str">
        <f>IF(ISNUMBER(FIND("arbeid",Methode_Keuze)),"",IF(Tb_Activiteiten[[#This Row],[Arbeidskosten - vast tarief (excl eigen arbeid)]]=1,Tb_Activiteiten[[#Headers],[Arbeidskosten - vast tarief (excl eigen arbeid)]],""))</f>
        <v/>
      </c>
      <c r="BA1160" t="str">
        <f>IF(ISNUMBER(FIND("overige",Methode_Keuze)),"",IF(Tb_Activiteiten[[#This Row],[Overige kosten]]=1,Tb_Activiteiten[[#Headers],[Overige kosten]],""))</f>
        <v/>
      </c>
    </row>
    <row r="1161" spans="1:53" x14ac:dyDescent="0.25">
      <c r="A1161" s="139"/>
      <c r="B1161" s="139"/>
      <c r="C1161" s="139"/>
      <c r="D1161" s="139"/>
      <c r="E1161" s="139"/>
      <c r="F1161" s="139"/>
      <c r="G1161" s="139"/>
      <c r="O1161" s="56"/>
      <c r="Q1161" t="str">
        <f>IFERROR(IF(VLOOKUP(Tb_Activiteiten[[#This Row],[Openstelling]],Tb_Openstelling[],2,0)=1,1,""),"")</f>
        <v/>
      </c>
      <c r="AK1161" t="str">
        <f>IF(ISNUMBER(FIND("arbeid",Methode_Keuze)),"",IF(ISNUMBER(FIND("arbeid",Methode_Keuze)),"",IF(Tb_Activiteiten[[#This Row],[Loonkosten]]=1,Tb_Activiteiten[[#Headers],[Loonkosten]],"")))</f>
        <v/>
      </c>
      <c r="AL1161" t="str">
        <f>IF(ISNUMBER(FIND("arbeid",Methode_Keuze)),"",IF(ISNUMBER(FIND("arbeid",Methode_Keuze)),"",IF(Tb_Activiteiten[[#This Row],[Eigen arbeid]]=1,Tb_Activiteiten[[#Headers],[Eigen arbeid]],"")))</f>
        <v/>
      </c>
      <c r="AM1161" t="str">
        <f>IF(ISNUMBER(FIND("arbeid",Methode_Keuze)),"",IF(ISNUMBER(FIND("arbeid",Methode_Keuze)),"",IF(Tb_Activiteiten[[#This Row],[Projectmedewerker]]=1,Tb_Activiteiten[[#Headers],[Projectmedewerker]],"")))</f>
        <v/>
      </c>
      <c r="AN1161" t="str">
        <f>IF(ISNUMBER(FIND("arbeid",Methode_Keuze)),"",IF(ISNUMBER(FIND("arbeid",Methode_Keuze)),"",IF(Tb_Activiteiten[[#This Row],[Landbouwer]]=1,Tb_Activiteiten[[#Headers],[Landbouwer]],"")))</f>
        <v/>
      </c>
      <c r="AO1161" t="str">
        <f>IF(ISNUMBER(FIND("arbeid",Methode_Keuze)),"",IF(ISNUMBER(FIND("arbeid",Methode_Keuze)),"",IF(Tb_Activiteiten[[#This Row],[Adviseur]]=1,Tb_Activiteiten[[#Headers],[Adviseur]],"")))</f>
        <v/>
      </c>
      <c r="AP1161" t="str">
        <f>IF(ISNUMBER(FIND("arbeid",Methode_Keuze)),"",IF(ISNUMBER(FIND("arbeid",Methode_Keuze)),"",IF(Tb_Activiteiten[[#This Row],[Projectleider/Expert]]=1,Tb_Activiteiten[[#Headers],[Projectleider/Expert]],"")))</f>
        <v/>
      </c>
      <c r="AQ1161" t="str">
        <f>IF(ISNUMBER(FIND("arbeid",Methode_Keuze)),"",IF(ISNUMBER(FIND("arbeid",Methode_Keuze)),"",IF(Tb_Activiteiten[[#This Row],[Arbeidskosten]]=1,Tb_Activiteiten[[#Headers],[Arbeidskosten]],"")))</f>
        <v/>
      </c>
      <c r="AR1161" t="str">
        <f>IF(ISNUMBER(FIND("arbeid",Methode_Keuze)),"",IF(ISNUMBER(FIND("arbeid",Methode_Keuze)),"",IF(Tb_Activiteiten[[#This Row],[Arbeidskosten op basis van IKS]]=1,Tb_Activiteiten[[#Headers],[Arbeidskosten op basis van IKS]],"")))</f>
        <v/>
      </c>
      <c r="AS1161" t="str">
        <f>IF(ISNUMBER(FIND("overige",Methode_Keuze)),"",IF(Tb_Activiteiten[[#This Row],[Kosten derden exclusief btw]]=1,Tb_Activiteiten[[#Headers],[Kosten derden exclusief btw]],""))</f>
        <v/>
      </c>
      <c r="AT1161" t="str">
        <f>IF(ISNUMBER(FIND("overige",Methode_Keuze)),"",IF(Tb_Activiteiten[[#This Row],[Niet verrekenbare btw]]=1,Tb_Activiteiten[[#Headers],[Niet verrekenbare btw]],""))</f>
        <v/>
      </c>
      <c r="AU1161" t="str">
        <f>IF(ISNUMBER(FIND("overige",Methode_Keuze)),"",IF(Tb_Activiteiten[[#This Row],[Grondkosten]]=1,Tb_Activiteiten[[#Headers],[Grondkosten]],""))</f>
        <v/>
      </c>
      <c r="AV1161" t="str">
        <f>IF(ISNUMBER(FIND("overige",Methode_Keuze)),"",IF(Tb_Activiteiten[[#This Row],[Bijdrage in natura (overige)]]=1,Tb_Activiteiten[[#Headers],[Bijdrage in natura (overige)]],""))</f>
        <v/>
      </c>
      <c r="AW1161" t="str">
        <f>IF(ISNUMBER(FIND("overige",Methode_Keuze)),"",IF(Tb_Activiteiten[[#This Row],[Bijdrage in natura (vrijwilligers)]]=1,Tb_Activiteiten[[#Headers],[Bijdrage in natura (vrijwilligers)]],""))</f>
        <v/>
      </c>
      <c r="AX1161" t="str">
        <f>IF(ISNUMBER(FIND("overige",Methode_Keuze)),"",IF(Tb_Activiteiten[[#This Row],[Afschrijvingskosten]]=1,Tb_Activiteiten[[#Headers],[Afschrijvingskosten]],""))</f>
        <v/>
      </c>
      <c r="AY1161" t="str">
        <f>IF(ISNUMBER(FIND("overige",Methode_Keuze)),"",IF(Tb_Activiteiten[[#This Row],[Vergoeding]]=1,Tb_Activiteiten[[#Headers],[Vergoeding]],""))</f>
        <v/>
      </c>
      <c r="AZ1161" t="str">
        <f>IF(ISNUMBER(FIND("arbeid",Methode_Keuze)),"",IF(Tb_Activiteiten[[#This Row],[Arbeidskosten - vast tarief (excl eigen arbeid)]]=1,Tb_Activiteiten[[#Headers],[Arbeidskosten - vast tarief (excl eigen arbeid)]],""))</f>
        <v/>
      </c>
      <c r="BA1161" t="str">
        <f>IF(ISNUMBER(FIND("overige",Methode_Keuze)),"",IF(Tb_Activiteiten[[#This Row],[Overige kosten]]=1,Tb_Activiteiten[[#Headers],[Overige kosten]],""))</f>
        <v/>
      </c>
    </row>
    <row r="1162" spans="1:53" x14ac:dyDescent="0.25">
      <c r="A1162" s="139"/>
      <c r="B1162" s="139"/>
      <c r="C1162" s="139"/>
      <c r="D1162" s="139"/>
      <c r="E1162" s="139"/>
      <c r="F1162" s="139"/>
      <c r="G1162" s="139"/>
      <c r="O1162" s="56"/>
      <c r="Q1162" t="str">
        <f>IFERROR(IF(VLOOKUP(Tb_Activiteiten[[#This Row],[Openstelling]],Tb_Openstelling[],2,0)=1,1,""),"")</f>
        <v/>
      </c>
      <c r="AK1162" t="str">
        <f>IF(ISNUMBER(FIND("arbeid",Methode_Keuze)),"",IF(ISNUMBER(FIND("arbeid",Methode_Keuze)),"",IF(Tb_Activiteiten[[#This Row],[Loonkosten]]=1,Tb_Activiteiten[[#Headers],[Loonkosten]],"")))</f>
        <v/>
      </c>
      <c r="AL1162" t="str">
        <f>IF(ISNUMBER(FIND("arbeid",Methode_Keuze)),"",IF(ISNUMBER(FIND("arbeid",Methode_Keuze)),"",IF(Tb_Activiteiten[[#This Row],[Eigen arbeid]]=1,Tb_Activiteiten[[#Headers],[Eigen arbeid]],"")))</f>
        <v/>
      </c>
      <c r="AM1162" t="str">
        <f>IF(ISNUMBER(FIND("arbeid",Methode_Keuze)),"",IF(ISNUMBER(FIND("arbeid",Methode_Keuze)),"",IF(Tb_Activiteiten[[#This Row],[Projectmedewerker]]=1,Tb_Activiteiten[[#Headers],[Projectmedewerker]],"")))</f>
        <v/>
      </c>
      <c r="AN1162" t="str">
        <f>IF(ISNUMBER(FIND("arbeid",Methode_Keuze)),"",IF(ISNUMBER(FIND("arbeid",Methode_Keuze)),"",IF(Tb_Activiteiten[[#This Row],[Landbouwer]]=1,Tb_Activiteiten[[#Headers],[Landbouwer]],"")))</f>
        <v/>
      </c>
      <c r="AO1162" t="str">
        <f>IF(ISNUMBER(FIND("arbeid",Methode_Keuze)),"",IF(ISNUMBER(FIND("arbeid",Methode_Keuze)),"",IF(Tb_Activiteiten[[#This Row],[Adviseur]]=1,Tb_Activiteiten[[#Headers],[Adviseur]],"")))</f>
        <v/>
      </c>
      <c r="AP1162" t="str">
        <f>IF(ISNUMBER(FIND("arbeid",Methode_Keuze)),"",IF(ISNUMBER(FIND("arbeid",Methode_Keuze)),"",IF(Tb_Activiteiten[[#This Row],[Projectleider/Expert]]=1,Tb_Activiteiten[[#Headers],[Projectleider/Expert]],"")))</f>
        <v/>
      </c>
      <c r="AQ1162" t="str">
        <f>IF(ISNUMBER(FIND("arbeid",Methode_Keuze)),"",IF(ISNUMBER(FIND("arbeid",Methode_Keuze)),"",IF(Tb_Activiteiten[[#This Row],[Arbeidskosten]]=1,Tb_Activiteiten[[#Headers],[Arbeidskosten]],"")))</f>
        <v/>
      </c>
      <c r="AR1162" t="str">
        <f>IF(ISNUMBER(FIND("arbeid",Methode_Keuze)),"",IF(ISNUMBER(FIND("arbeid",Methode_Keuze)),"",IF(Tb_Activiteiten[[#This Row],[Arbeidskosten op basis van IKS]]=1,Tb_Activiteiten[[#Headers],[Arbeidskosten op basis van IKS]],"")))</f>
        <v/>
      </c>
      <c r="AS1162" t="str">
        <f>IF(ISNUMBER(FIND("overige",Methode_Keuze)),"",IF(Tb_Activiteiten[[#This Row],[Kosten derden exclusief btw]]=1,Tb_Activiteiten[[#Headers],[Kosten derden exclusief btw]],""))</f>
        <v/>
      </c>
      <c r="AT1162" t="str">
        <f>IF(ISNUMBER(FIND("overige",Methode_Keuze)),"",IF(Tb_Activiteiten[[#This Row],[Niet verrekenbare btw]]=1,Tb_Activiteiten[[#Headers],[Niet verrekenbare btw]],""))</f>
        <v/>
      </c>
      <c r="AU1162" t="str">
        <f>IF(ISNUMBER(FIND("overige",Methode_Keuze)),"",IF(Tb_Activiteiten[[#This Row],[Grondkosten]]=1,Tb_Activiteiten[[#Headers],[Grondkosten]],""))</f>
        <v/>
      </c>
      <c r="AV1162" t="str">
        <f>IF(ISNUMBER(FIND("overige",Methode_Keuze)),"",IF(Tb_Activiteiten[[#This Row],[Bijdrage in natura (overige)]]=1,Tb_Activiteiten[[#Headers],[Bijdrage in natura (overige)]],""))</f>
        <v/>
      </c>
      <c r="AW1162" t="str">
        <f>IF(ISNUMBER(FIND("overige",Methode_Keuze)),"",IF(Tb_Activiteiten[[#This Row],[Bijdrage in natura (vrijwilligers)]]=1,Tb_Activiteiten[[#Headers],[Bijdrage in natura (vrijwilligers)]],""))</f>
        <v/>
      </c>
      <c r="AX1162" t="str">
        <f>IF(ISNUMBER(FIND("overige",Methode_Keuze)),"",IF(Tb_Activiteiten[[#This Row],[Afschrijvingskosten]]=1,Tb_Activiteiten[[#Headers],[Afschrijvingskosten]],""))</f>
        <v/>
      </c>
      <c r="AY1162" t="str">
        <f>IF(ISNUMBER(FIND("overige",Methode_Keuze)),"",IF(Tb_Activiteiten[[#This Row],[Vergoeding]]=1,Tb_Activiteiten[[#Headers],[Vergoeding]],""))</f>
        <v/>
      </c>
      <c r="AZ1162" t="str">
        <f>IF(ISNUMBER(FIND("arbeid",Methode_Keuze)),"",IF(Tb_Activiteiten[[#This Row],[Arbeidskosten - vast tarief (excl eigen arbeid)]]=1,Tb_Activiteiten[[#Headers],[Arbeidskosten - vast tarief (excl eigen arbeid)]],""))</f>
        <v/>
      </c>
      <c r="BA1162" t="str">
        <f>IF(ISNUMBER(FIND("overige",Methode_Keuze)),"",IF(Tb_Activiteiten[[#This Row],[Overige kosten]]=1,Tb_Activiteiten[[#Headers],[Overige kosten]],""))</f>
        <v/>
      </c>
    </row>
    <row r="1163" spans="1:53" x14ac:dyDescent="0.25">
      <c r="A1163" s="139"/>
      <c r="B1163" s="139"/>
      <c r="C1163" s="139"/>
      <c r="D1163" s="139"/>
      <c r="E1163" s="139"/>
      <c r="F1163" s="139"/>
      <c r="G1163" s="139"/>
      <c r="O1163" s="56"/>
      <c r="Q1163" t="str">
        <f>IFERROR(IF(VLOOKUP(Tb_Activiteiten[[#This Row],[Openstelling]],Tb_Openstelling[],2,0)=1,1,""),"")</f>
        <v/>
      </c>
      <c r="AK1163" t="str">
        <f>IF(ISNUMBER(FIND("arbeid",Methode_Keuze)),"",IF(ISNUMBER(FIND("arbeid",Methode_Keuze)),"",IF(Tb_Activiteiten[[#This Row],[Loonkosten]]=1,Tb_Activiteiten[[#Headers],[Loonkosten]],"")))</f>
        <v/>
      </c>
      <c r="AL1163" t="str">
        <f>IF(ISNUMBER(FIND("arbeid",Methode_Keuze)),"",IF(ISNUMBER(FIND("arbeid",Methode_Keuze)),"",IF(Tb_Activiteiten[[#This Row],[Eigen arbeid]]=1,Tb_Activiteiten[[#Headers],[Eigen arbeid]],"")))</f>
        <v/>
      </c>
      <c r="AM1163" t="str">
        <f>IF(ISNUMBER(FIND("arbeid",Methode_Keuze)),"",IF(ISNUMBER(FIND("arbeid",Methode_Keuze)),"",IF(Tb_Activiteiten[[#This Row],[Projectmedewerker]]=1,Tb_Activiteiten[[#Headers],[Projectmedewerker]],"")))</f>
        <v/>
      </c>
      <c r="AN1163" t="str">
        <f>IF(ISNUMBER(FIND("arbeid",Methode_Keuze)),"",IF(ISNUMBER(FIND("arbeid",Methode_Keuze)),"",IF(Tb_Activiteiten[[#This Row],[Landbouwer]]=1,Tb_Activiteiten[[#Headers],[Landbouwer]],"")))</f>
        <v/>
      </c>
      <c r="AO1163" t="str">
        <f>IF(ISNUMBER(FIND("arbeid",Methode_Keuze)),"",IF(ISNUMBER(FIND("arbeid",Methode_Keuze)),"",IF(Tb_Activiteiten[[#This Row],[Adviseur]]=1,Tb_Activiteiten[[#Headers],[Adviseur]],"")))</f>
        <v/>
      </c>
      <c r="AP1163" t="str">
        <f>IF(ISNUMBER(FIND("arbeid",Methode_Keuze)),"",IF(ISNUMBER(FIND("arbeid",Methode_Keuze)),"",IF(Tb_Activiteiten[[#This Row],[Projectleider/Expert]]=1,Tb_Activiteiten[[#Headers],[Projectleider/Expert]],"")))</f>
        <v/>
      </c>
      <c r="AQ1163" t="str">
        <f>IF(ISNUMBER(FIND("arbeid",Methode_Keuze)),"",IF(ISNUMBER(FIND("arbeid",Methode_Keuze)),"",IF(Tb_Activiteiten[[#This Row],[Arbeidskosten]]=1,Tb_Activiteiten[[#Headers],[Arbeidskosten]],"")))</f>
        <v/>
      </c>
      <c r="AR1163" t="str">
        <f>IF(ISNUMBER(FIND("arbeid",Methode_Keuze)),"",IF(ISNUMBER(FIND("arbeid",Methode_Keuze)),"",IF(Tb_Activiteiten[[#This Row],[Arbeidskosten op basis van IKS]]=1,Tb_Activiteiten[[#Headers],[Arbeidskosten op basis van IKS]],"")))</f>
        <v/>
      </c>
      <c r="AS1163" t="str">
        <f>IF(ISNUMBER(FIND("overige",Methode_Keuze)),"",IF(Tb_Activiteiten[[#This Row],[Kosten derden exclusief btw]]=1,Tb_Activiteiten[[#Headers],[Kosten derden exclusief btw]],""))</f>
        <v/>
      </c>
      <c r="AT1163" t="str">
        <f>IF(ISNUMBER(FIND("overige",Methode_Keuze)),"",IF(Tb_Activiteiten[[#This Row],[Niet verrekenbare btw]]=1,Tb_Activiteiten[[#Headers],[Niet verrekenbare btw]],""))</f>
        <v/>
      </c>
      <c r="AU1163" t="str">
        <f>IF(ISNUMBER(FIND("overige",Methode_Keuze)),"",IF(Tb_Activiteiten[[#This Row],[Grondkosten]]=1,Tb_Activiteiten[[#Headers],[Grondkosten]],""))</f>
        <v/>
      </c>
      <c r="AV1163" t="str">
        <f>IF(ISNUMBER(FIND("overige",Methode_Keuze)),"",IF(Tb_Activiteiten[[#This Row],[Bijdrage in natura (overige)]]=1,Tb_Activiteiten[[#Headers],[Bijdrage in natura (overige)]],""))</f>
        <v/>
      </c>
      <c r="AW1163" t="str">
        <f>IF(ISNUMBER(FIND("overige",Methode_Keuze)),"",IF(Tb_Activiteiten[[#This Row],[Bijdrage in natura (vrijwilligers)]]=1,Tb_Activiteiten[[#Headers],[Bijdrage in natura (vrijwilligers)]],""))</f>
        <v/>
      </c>
      <c r="AX1163" t="str">
        <f>IF(ISNUMBER(FIND("overige",Methode_Keuze)),"",IF(Tb_Activiteiten[[#This Row],[Afschrijvingskosten]]=1,Tb_Activiteiten[[#Headers],[Afschrijvingskosten]],""))</f>
        <v/>
      </c>
      <c r="AY1163" t="str">
        <f>IF(ISNUMBER(FIND("overige",Methode_Keuze)),"",IF(Tb_Activiteiten[[#This Row],[Vergoeding]]=1,Tb_Activiteiten[[#Headers],[Vergoeding]],""))</f>
        <v/>
      </c>
      <c r="AZ1163" t="str">
        <f>IF(ISNUMBER(FIND("arbeid",Methode_Keuze)),"",IF(Tb_Activiteiten[[#This Row],[Arbeidskosten - vast tarief (excl eigen arbeid)]]=1,Tb_Activiteiten[[#Headers],[Arbeidskosten - vast tarief (excl eigen arbeid)]],""))</f>
        <v/>
      </c>
      <c r="BA1163" t="str">
        <f>IF(ISNUMBER(FIND("overige",Methode_Keuze)),"",IF(Tb_Activiteiten[[#This Row],[Overige kosten]]=1,Tb_Activiteiten[[#Headers],[Overige kosten]],""))</f>
        <v/>
      </c>
    </row>
    <row r="1164" spans="1:53" x14ac:dyDescent="0.25">
      <c r="A1164" s="139"/>
      <c r="B1164" s="139"/>
      <c r="C1164" s="139"/>
      <c r="D1164" s="139"/>
      <c r="E1164" s="139"/>
      <c r="F1164" s="139"/>
      <c r="G1164" s="139"/>
      <c r="O1164" s="56"/>
      <c r="Q1164" t="str">
        <f>IFERROR(IF(VLOOKUP(Tb_Activiteiten[[#This Row],[Openstelling]],Tb_Openstelling[],2,0)=1,1,""),"")</f>
        <v/>
      </c>
      <c r="AK1164" t="str">
        <f>IF(ISNUMBER(FIND("arbeid",Methode_Keuze)),"",IF(ISNUMBER(FIND("arbeid",Methode_Keuze)),"",IF(Tb_Activiteiten[[#This Row],[Loonkosten]]=1,Tb_Activiteiten[[#Headers],[Loonkosten]],"")))</f>
        <v/>
      </c>
      <c r="AL1164" t="str">
        <f>IF(ISNUMBER(FIND("arbeid",Methode_Keuze)),"",IF(ISNUMBER(FIND("arbeid",Methode_Keuze)),"",IF(Tb_Activiteiten[[#This Row],[Eigen arbeid]]=1,Tb_Activiteiten[[#Headers],[Eigen arbeid]],"")))</f>
        <v/>
      </c>
      <c r="AM1164" t="str">
        <f>IF(ISNUMBER(FIND("arbeid",Methode_Keuze)),"",IF(ISNUMBER(FIND("arbeid",Methode_Keuze)),"",IF(Tb_Activiteiten[[#This Row],[Projectmedewerker]]=1,Tb_Activiteiten[[#Headers],[Projectmedewerker]],"")))</f>
        <v/>
      </c>
      <c r="AN1164" t="str">
        <f>IF(ISNUMBER(FIND("arbeid",Methode_Keuze)),"",IF(ISNUMBER(FIND("arbeid",Methode_Keuze)),"",IF(Tb_Activiteiten[[#This Row],[Landbouwer]]=1,Tb_Activiteiten[[#Headers],[Landbouwer]],"")))</f>
        <v/>
      </c>
      <c r="AO1164" t="str">
        <f>IF(ISNUMBER(FIND("arbeid",Methode_Keuze)),"",IF(ISNUMBER(FIND("arbeid",Methode_Keuze)),"",IF(Tb_Activiteiten[[#This Row],[Adviseur]]=1,Tb_Activiteiten[[#Headers],[Adviseur]],"")))</f>
        <v/>
      </c>
      <c r="AP1164" t="str">
        <f>IF(ISNUMBER(FIND("arbeid",Methode_Keuze)),"",IF(ISNUMBER(FIND("arbeid",Methode_Keuze)),"",IF(Tb_Activiteiten[[#This Row],[Projectleider/Expert]]=1,Tb_Activiteiten[[#Headers],[Projectleider/Expert]],"")))</f>
        <v/>
      </c>
      <c r="AQ1164" t="str">
        <f>IF(ISNUMBER(FIND("arbeid",Methode_Keuze)),"",IF(ISNUMBER(FIND("arbeid",Methode_Keuze)),"",IF(Tb_Activiteiten[[#This Row],[Arbeidskosten]]=1,Tb_Activiteiten[[#Headers],[Arbeidskosten]],"")))</f>
        <v/>
      </c>
      <c r="AR1164" t="str">
        <f>IF(ISNUMBER(FIND("arbeid",Methode_Keuze)),"",IF(ISNUMBER(FIND("arbeid",Methode_Keuze)),"",IF(Tb_Activiteiten[[#This Row],[Arbeidskosten op basis van IKS]]=1,Tb_Activiteiten[[#Headers],[Arbeidskosten op basis van IKS]],"")))</f>
        <v/>
      </c>
      <c r="AS1164" t="str">
        <f>IF(ISNUMBER(FIND("overige",Methode_Keuze)),"",IF(Tb_Activiteiten[[#This Row],[Kosten derden exclusief btw]]=1,Tb_Activiteiten[[#Headers],[Kosten derden exclusief btw]],""))</f>
        <v/>
      </c>
      <c r="AT1164" t="str">
        <f>IF(ISNUMBER(FIND("overige",Methode_Keuze)),"",IF(Tb_Activiteiten[[#This Row],[Niet verrekenbare btw]]=1,Tb_Activiteiten[[#Headers],[Niet verrekenbare btw]],""))</f>
        <v/>
      </c>
      <c r="AU1164" t="str">
        <f>IF(ISNUMBER(FIND("overige",Methode_Keuze)),"",IF(Tb_Activiteiten[[#This Row],[Grondkosten]]=1,Tb_Activiteiten[[#Headers],[Grondkosten]],""))</f>
        <v/>
      </c>
      <c r="AV1164" t="str">
        <f>IF(ISNUMBER(FIND("overige",Methode_Keuze)),"",IF(Tb_Activiteiten[[#This Row],[Bijdrage in natura (overige)]]=1,Tb_Activiteiten[[#Headers],[Bijdrage in natura (overige)]],""))</f>
        <v/>
      </c>
      <c r="AW1164" t="str">
        <f>IF(ISNUMBER(FIND("overige",Methode_Keuze)),"",IF(Tb_Activiteiten[[#This Row],[Bijdrage in natura (vrijwilligers)]]=1,Tb_Activiteiten[[#Headers],[Bijdrage in natura (vrijwilligers)]],""))</f>
        <v/>
      </c>
      <c r="AX1164" t="str">
        <f>IF(ISNUMBER(FIND("overige",Methode_Keuze)),"",IF(Tb_Activiteiten[[#This Row],[Afschrijvingskosten]]=1,Tb_Activiteiten[[#Headers],[Afschrijvingskosten]],""))</f>
        <v/>
      </c>
      <c r="AY1164" t="str">
        <f>IF(ISNUMBER(FIND("overige",Methode_Keuze)),"",IF(Tb_Activiteiten[[#This Row],[Vergoeding]]=1,Tb_Activiteiten[[#Headers],[Vergoeding]],""))</f>
        <v/>
      </c>
      <c r="AZ1164" t="str">
        <f>IF(ISNUMBER(FIND("arbeid",Methode_Keuze)),"",IF(Tb_Activiteiten[[#This Row],[Arbeidskosten - vast tarief (excl eigen arbeid)]]=1,Tb_Activiteiten[[#Headers],[Arbeidskosten - vast tarief (excl eigen arbeid)]],""))</f>
        <v/>
      </c>
      <c r="BA1164" t="str">
        <f>IF(ISNUMBER(FIND("overige",Methode_Keuze)),"",IF(Tb_Activiteiten[[#This Row],[Overige kosten]]=1,Tb_Activiteiten[[#Headers],[Overige kosten]],""))</f>
        <v/>
      </c>
    </row>
    <row r="1165" spans="1:53" x14ac:dyDescent="0.25">
      <c r="A1165" s="139"/>
      <c r="B1165" s="139"/>
      <c r="C1165" s="139"/>
      <c r="D1165" s="139"/>
      <c r="E1165" s="139"/>
      <c r="F1165" s="139"/>
      <c r="G1165" s="139"/>
      <c r="O1165" s="56"/>
      <c r="Q1165" t="str">
        <f>IFERROR(IF(VLOOKUP(Tb_Activiteiten[[#This Row],[Openstelling]],Tb_Openstelling[],2,0)=1,1,""),"")</f>
        <v/>
      </c>
      <c r="AK1165" t="str">
        <f>IF(ISNUMBER(FIND("arbeid",Methode_Keuze)),"",IF(ISNUMBER(FIND("arbeid",Methode_Keuze)),"",IF(Tb_Activiteiten[[#This Row],[Loonkosten]]=1,Tb_Activiteiten[[#Headers],[Loonkosten]],"")))</f>
        <v/>
      </c>
      <c r="AL1165" t="str">
        <f>IF(ISNUMBER(FIND("arbeid",Methode_Keuze)),"",IF(ISNUMBER(FIND("arbeid",Methode_Keuze)),"",IF(Tb_Activiteiten[[#This Row],[Eigen arbeid]]=1,Tb_Activiteiten[[#Headers],[Eigen arbeid]],"")))</f>
        <v/>
      </c>
      <c r="AM1165" t="str">
        <f>IF(ISNUMBER(FIND("arbeid",Methode_Keuze)),"",IF(ISNUMBER(FIND("arbeid",Methode_Keuze)),"",IF(Tb_Activiteiten[[#This Row],[Projectmedewerker]]=1,Tb_Activiteiten[[#Headers],[Projectmedewerker]],"")))</f>
        <v/>
      </c>
      <c r="AN1165" t="str">
        <f>IF(ISNUMBER(FIND("arbeid",Methode_Keuze)),"",IF(ISNUMBER(FIND("arbeid",Methode_Keuze)),"",IF(Tb_Activiteiten[[#This Row],[Landbouwer]]=1,Tb_Activiteiten[[#Headers],[Landbouwer]],"")))</f>
        <v/>
      </c>
      <c r="AO1165" t="str">
        <f>IF(ISNUMBER(FIND("arbeid",Methode_Keuze)),"",IF(ISNUMBER(FIND("arbeid",Methode_Keuze)),"",IF(Tb_Activiteiten[[#This Row],[Adviseur]]=1,Tb_Activiteiten[[#Headers],[Adviseur]],"")))</f>
        <v/>
      </c>
      <c r="AP1165" t="str">
        <f>IF(ISNUMBER(FIND("arbeid",Methode_Keuze)),"",IF(ISNUMBER(FIND("arbeid",Methode_Keuze)),"",IF(Tb_Activiteiten[[#This Row],[Projectleider/Expert]]=1,Tb_Activiteiten[[#Headers],[Projectleider/Expert]],"")))</f>
        <v/>
      </c>
      <c r="AQ1165" t="str">
        <f>IF(ISNUMBER(FIND("arbeid",Methode_Keuze)),"",IF(ISNUMBER(FIND("arbeid",Methode_Keuze)),"",IF(Tb_Activiteiten[[#This Row],[Arbeidskosten]]=1,Tb_Activiteiten[[#Headers],[Arbeidskosten]],"")))</f>
        <v/>
      </c>
      <c r="AR1165" t="str">
        <f>IF(ISNUMBER(FIND("arbeid",Methode_Keuze)),"",IF(ISNUMBER(FIND("arbeid",Methode_Keuze)),"",IF(Tb_Activiteiten[[#This Row],[Arbeidskosten op basis van IKS]]=1,Tb_Activiteiten[[#Headers],[Arbeidskosten op basis van IKS]],"")))</f>
        <v/>
      </c>
      <c r="AS1165" t="str">
        <f>IF(ISNUMBER(FIND("overige",Methode_Keuze)),"",IF(Tb_Activiteiten[[#This Row],[Kosten derden exclusief btw]]=1,Tb_Activiteiten[[#Headers],[Kosten derden exclusief btw]],""))</f>
        <v/>
      </c>
      <c r="AT1165" t="str">
        <f>IF(ISNUMBER(FIND("overige",Methode_Keuze)),"",IF(Tb_Activiteiten[[#This Row],[Niet verrekenbare btw]]=1,Tb_Activiteiten[[#Headers],[Niet verrekenbare btw]],""))</f>
        <v/>
      </c>
      <c r="AU1165" t="str">
        <f>IF(ISNUMBER(FIND("overige",Methode_Keuze)),"",IF(Tb_Activiteiten[[#This Row],[Grondkosten]]=1,Tb_Activiteiten[[#Headers],[Grondkosten]],""))</f>
        <v/>
      </c>
      <c r="AV1165" t="str">
        <f>IF(ISNUMBER(FIND("overige",Methode_Keuze)),"",IF(Tb_Activiteiten[[#This Row],[Bijdrage in natura (overige)]]=1,Tb_Activiteiten[[#Headers],[Bijdrage in natura (overige)]],""))</f>
        <v/>
      </c>
      <c r="AW1165" t="str">
        <f>IF(ISNUMBER(FIND("overige",Methode_Keuze)),"",IF(Tb_Activiteiten[[#This Row],[Bijdrage in natura (vrijwilligers)]]=1,Tb_Activiteiten[[#Headers],[Bijdrage in natura (vrijwilligers)]],""))</f>
        <v/>
      </c>
      <c r="AX1165" t="str">
        <f>IF(ISNUMBER(FIND("overige",Methode_Keuze)),"",IF(Tb_Activiteiten[[#This Row],[Afschrijvingskosten]]=1,Tb_Activiteiten[[#Headers],[Afschrijvingskosten]],""))</f>
        <v/>
      </c>
      <c r="AY1165" t="str">
        <f>IF(ISNUMBER(FIND("overige",Methode_Keuze)),"",IF(Tb_Activiteiten[[#This Row],[Vergoeding]]=1,Tb_Activiteiten[[#Headers],[Vergoeding]],""))</f>
        <v/>
      </c>
      <c r="AZ1165" t="str">
        <f>IF(ISNUMBER(FIND("arbeid",Methode_Keuze)),"",IF(Tb_Activiteiten[[#This Row],[Arbeidskosten - vast tarief (excl eigen arbeid)]]=1,Tb_Activiteiten[[#Headers],[Arbeidskosten - vast tarief (excl eigen arbeid)]],""))</f>
        <v/>
      </c>
      <c r="BA1165" t="str">
        <f>IF(ISNUMBER(FIND("overige",Methode_Keuze)),"",IF(Tb_Activiteiten[[#This Row],[Overige kosten]]=1,Tb_Activiteiten[[#Headers],[Overige kosten]],""))</f>
        <v/>
      </c>
    </row>
    <row r="1166" spans="1:53" x14ac:dyDescent="0.25">
      <c r="A1166" s="139"/>
      <c r="B1166" s="139"/>
      <c r="C1166" s="139"/>
      <c r="D1166" s="139"/>
      <c r="E1166" s="139"/>
      <c r="F1166" s="139"/>
      <c r="G1166" s="139"/>
      <c r="O1166" s="56"/>
      <c r="Q1166" t="str">
        <f>IFERROR(IF(VLOOKUP(Tb_Activiteiten[[#This Row],[Openstelling]],Tb_Openstelling[],2,0)=1,1,""),"")</f>
        <v/>
      </c>
      <c r="AK1166" t="str">
        <f>IF(ISNUMBER(FIND("arbeid",Methode_Keuze)),"",IF(ISNUMBER(FIND("arbeid",Methode_Keuze)),"",IF(Tb_Activiteiten[[#This Row],[Loonkosten]]=1,Tb_Activiteiten[[#Headers],[Loonkosten]],"")))</f>
        <v/>
      </c>
      <c r="AL1166" t="str">
        <f>IF(ISNUMBER(FIND("arbeid",Methode_Keuze)),"",IF(ISNUMBER(FIND("arbeid",Methode_Keuze)),"",IF(Tb_Activiteiten[[#This Row],[Eigen arbeid]]=1,Tb_Activiteiten[[#Headers],[Eigen arbeid]],"")))</f>
        <v/>
      </c>
      <c r="AM1166" t="str">
        <f>IF(ISNUMBER(FIND("arbeid",Methode_Keuze)),"",IF(ISNUMBER(FIND("arbeid",Methode_Keuze)),"",IF(Tb_Activiteiten[[#This Row],[Projectmedewerker]]=1,Tb_Activiteiten[[#Headers],[Projectmedewerker]],"")))</f>
        <v/>
      </c>
      <c r="AN1166" t="str">
        <f>IF(ISNUMBER(FIND("arbeid",Methode_Keuze)),"",IF(ISNUMBER(FIND("arbeid",Methode_Keuze)),"",IF(Tb_Activiteiten[[#This Row],[Landbouwer]]=1,Tb_Activiteiten[[#Headers],[Landbouwer]],"")))</f>
        <v/>
      </c>
      <c r="AO1166" t="str">
        <f>IF(ISNUMBER(FIND("arbeid",Methode_Keuze)),"",IF(ISNUMBER(FIND("arbeid",Methode_Keuze)),"",IF(Tb_Activiteiten[[#This Row],[Adviseur]]=1,Tb_Activiteiten[[#Headers],[Adviseur]],"")))</f>
        <v/>
      </c>
      <c r="AP1166" t="str">
        <f>IF(ISNUMBER(FIND("arbeid",Methode_Keuze)),"",IF(ISNUMBER(FIND("arbeid",Methode_Keuze)),"",IF(Tb_Activiteiten[[#This Row],[Projectleider/Expert]]=1,Tb_Activiteiten[[#Headers],[Projectleider/Expert]],"")))</f>
        <v/>
      </c>
      <c r="AQ1166" t="str">
        <f>IF(ISNUMBER(FIND("arbeid",Methode_Keuze)),"",IF(ISNUMBER(FIND("arbeid",Methode_Keuze)),"",IF(Tb_Activiteiten[[#This Row],[Arbeidskosten]]=1,Tb_Activiteiten[[#Headers],[Arbeidskosten]],"")))</f>
        <v/>
      </c>
      <c r="AR1166" t="str">
        <f>IF(ISNUMBER(FIND("arbeid",Methode_Keuze)),"",IF(ISNUMBER(FIND("arbeid",Methode_Keuze)),"",IF(Tb_Activiteiten[[#This Row],[Arbeidskosten op basis van IKS]]=1,Tb_Activiteiten[[#Headers],[Arbeidskosten op basis van IKS]],"")))</f>
        <v/>
      </c>
      <c r="AS1166" t="str">
        <f>IF(ISNUMBER(FIND("overige",Methode_Keuze)),"",IF(Tb_Activiteiten[[#This Row],[Kosten derden exclusief btw]]=1,Tb_Activiteiten[[#Headers],[Kosten derden exclusief btw]],""))</f>
        <v/>
      </c>
      <c r="AT1166" t="str">
        <f>IF(ISNUMBER(FIND("overige",Methode_Keuze)),"",IF(Tb_Activiteiten[[#This Row],[Niet verrekenbare btw]]=1,Tb_Activiteiten[[#Headers],[Niet verrekenbare btw]],""))</f>
        <v/>
      </c>
      <c r="AU1166" t="str">
        <f>IF(ISNUMBER(FIND("overige",Methode_Keuze)),"",IF(Tb_Activiteiten[[#This Row],[Grondkosten]]=1,Tb_Activiteiten[[#Headers],[Grondkosten]],""))</f>
        <v/>
      </c>
      <c r="AV1166" t="str">
        <f>IF(ISNUMBER(FIND("overige",Methode_Keuze)),"",IF(Tb_Activiteiten[[#This Row],[Bijdrage in natura (overige)]]=1,Tb_Activiteiten[[#Headers],[Bijdrage in natura (overige)]],""))</f>
        <v/>
      </c>
      <c r="AW1166" t="str">
        <f>IF(ISNUMBER(FIND("overige",Methode_Keuze)),"",IF(Tb_Activiteiten[[#This Row],[Bijdrage in natura (vrijwilligers)]]=1,Tb_Activiteiten[[#Headers],[Bijdrage in natura (vrijwilligers)]],""))</f>
        <v/>
      </c>
      <c r="AX1166" t="str">
        <f>IF(ISNUMBER(FIND("overige",Methode_Keuze)),"",IF(Tb_Activiteiten[[#This Row],[Afschrijvingskosten]]=1,Tb_Activiteiten[[#Headers],[Afschrijvingskosten]],""))</f>
        <v/>
      </c>
      <c r="AY1166" t="str">
        <f>IF(ISNUMBER(FIND("overige",Methode_Keuze)),"",IF(Tb_Activiteiten[[#This Row],[Vergoeding]]=1,Tb_Activiteiten[[#Headers],[Vergoeding]],""))</f>
        <v/>
      </c>
      <c r="AZ1166" t="str">
        <f>IF(ISNUMBER(FIND("arbeid",Methode_Keuze)),"",IF(Tb_Activiteiten[[#This Row],[Arbeidskosten - vast tarief (excl eigen arbeid)]]=1,Tb_Activiteiten[[#Headers],[Arbeidskosten - vast tarief (excl eigen arbeid)]],""))</f>
        <v/>
      </c>
      <c r="BA1166" t="str">
        <f>IF(ISNUMBER(FIND("overige",Methode_Keuze)),"",IF(Tb_Activiteiten[[#This Row],[Overige kosten]]=1,Tb_Activiteiten[[#Headers],[Overige kosten]],""))</f>
        <v/>
      </c>
    </row>
    <row r="1167" spans="1:53" x14ac:dyDescent="0.25">
      <c r="A1167" s="139"/>
      <c r="B1167" s="139"/>
      <c r="C1167" s="139"/>
      <c r="D1167" s="139"/>
      <c r="E1167" s="139"/>
      <c r="F1167" s="139"/>
      <c r="G1167" s="139"/>
      <c r="O1167" s="56"/>
      <c r="Q1167" t="str">
        <f>IFERROR(IF(VLOOKUP(Tb_Activiteiten[[#This Row],[Openstelling]],Tb_Openstelling[],2,0)=1,1,""),"")</f>
        <v/>
      </c>
      <c r="AK1167" t="str">
        <f>IF(ISNUMBER(FIND("arbeid",Methode_Keuze)),"",IF(ISNUMBER(FIND("arbeid",Methode_Keuze)),"",IF(Tb_Activiteiten[[#This Row],[Loonkosten]]=1,Tb_Activiteiten[[#Headers],[Loonkosten]],"")))</f>
        <v/>
      </c>
      <c r="AL1167" t="str">
        <f>IF(ISNUMBER(FIND("arbeid",Methode_Keuze)),"",IF(ISNUMBER(FIND("arbeid",Methode_Keuze)),"",IF(Tb_Activiteiten[[#This Row],[Eigen arbeid]]=1,Tb_Activiteiten[[#Headers],[Eigen arbeid]],"")))</f>
        <v/>
      </c>
      <c r="AM1167" t="str">
        <f>IF(ISNUMBER(FIND("arbeid",Methode_Keuze)),"",IF(ISNUMBER(FIND("arbeid",Methode_Keuze)),"",IF(Tb_Activiteiten[[#This Row],[Projectmedewerker]]=1,Tb_Activiteiten[[#Headers],[Projectmedewerker]],"")))</f>
        <v/>
      </c>
      <c r="AN1167" t="str">
        <f>IF(ISNUMBER(FIND("arbeid",Methode_Keuze)),"",IF(ISNUMBER(FIND("arbeid",Methode_Keuze)),"",IF(Tb_Activiteiten[[#This Row],[Landbouwer]]=1,Tb_Activiteiten[[#Headers],[Landbouwer]],"")))</f>
        <v/>
      </c>
      <c r="AO1167" t="str">
        <f>IF(ISNUMBER(FIND("arbeid",Methode_Keuze)),"",IF(ISNUMBER(FIND("arbeid",Methode_Keuze)),"",IF(Tb_Activiteiten[[#This Row],[Adviseur]]=1,Tb_Activiteiten[[#Headers],[Adviseur]],"")))</f>
        <v/>
      </c>
      <c r="AP1167" t="str">
        <f>IF(ISNUMBER(FIND("arbeid",Methode_Keuze)),"",IF(ISNUMBER(FIND("arbeid",Methode_Keuze)),"",IF(Tb_Activiteiten[[#This Row],[Projectleider/Expert]]=1,Tb_Activiteiten[[#Headers],[Projectleider/Expert]],"")))</f>
        <v/>
      </c>
      <c r="AQ1167" t="str">
        <f>IF(ISNUMBER(FIND("arbeid",Methode_Keuze)),"",IF(ISNUMBER(FIND("arbeid",Methode_Keuze)),"",IF(Tb_Activiteiten[[#This Row],[Arbeidskosten]]=1,Tb_Activiteiten[[#Headers],[Arbeidskosten]],"")))</f>
        <v/>
      </c>
      <c r="AR1167" t="str">
        <f>IF(ISNUMBER(FIND("arbeid",Methode_Keuze)),"",IF(ISNUMBER(FIND("arbeid",Methode_Keuze)),"",IF(Tb_Activiteiten[[#This Row],[Arbeidskosten op basis van IKS]]=1,Tb_Activiteiten[[#Headers],[Arbeidskosten op basis van IKS]],"")))</f>
        <v/>
      </c>
      <c r="AS1167" t="str">
        <f>IF(ISNUMBER(FIND("overige",Methode_Keuze)),"",IF(Tb_Activiteiten[[#This Row],[Kosten derden exclusief btw]]=1,Tb_Activiteiten[[#Headers],[Kosten derden exclusief btw]],""))</f>
        <v/>
      </c>
      <c r="AT1167" t="str">
        <f>IF(ISNUMBER(FIND("overige",Methode_Keuze)),"",IF(Tb_Activiteiten[[#This Row],[Niet verrekenbare btw]]=1,Tb_Activiteiten[[#Headers],[Niet verrekenbare btw]],""))</f>
        <v/>
      </c>
      <c r="AU1167" t="str">
        <f>IF(ISNUMBER(FIND("overige",Methode_Keuze)),"",IF(Tb_Activiteiten[[#This Row],[Grondkosten]]=1,Tb_Activiteiten[[#Headers],[Grondkosten]],""))</f>
        <v/>
      </c>
      <c r="AV1167" t="str">
        <f>IF(ISNUMBER(FIND("overige",Methode_Keuze)),"",IF(Tb_Activiteiten[[#This Row],[Bijdrage in natura (overige)]]=1,Tb_Activiteiten[[#Headers],[Bijdrage in natura (overige)]],""))</f>
        <v/>
      </c>
      <c r="AW1167" t="str">
        <f>IF(ISNUMBER(FIND("overige",Methode_Keuze)),"",IF(Tb_Activiteiten[[#This Row],[Bijdrage in natura (vrijwilligers)]]=1,Tb_Activiteiten[[#Headers],[Bijdrage in natura (vrijwilligers)]],""))</f>
        <v/>
      </c>
      <c r="AX1167" t="str">
        <f>IF(ISNUMBER(FIND("overige",Methode_Keuze)),"",IF(Tb_Activiteiten[[#This Row],[Afschrijvingskosten]]=1,Tb_Activiteiten[[#Headers],[Afschrijvingskosten]],""))</f>
        <v/>
      </c>
      <c r="AY1167" t="str">
        <f>IF(ISNUMBER(FIND("overige",Methode_Keuze)),"",IF(Tb_Activiteiten[[#This Row],[Vergoeding]]=1,Tb_Activiteiten[[#Headers],[Vergoeding]],""))</f>
        <v/>
      </c>
      <c r="AZ1167" t="str">
        <f>IF(ISNUMBER(FIND("arbeid",Methode_Keuze)),"",IF(Tb_Activiteiten[[#This Row],[Arbeidskosten - vast tarief (excl eigen arbeid)]]=1,Tb_Activiteiten[[#Headers],[Arbeidskosten - vast tarief (excl eigen arbeid)]],""))</f>
        <v/>
      </c>
      <c r="BA1167" t="str">
        <f>IF(ISNUMBER(FIND("overige",Methode_Keuze)),"",IF(Tb_Activiteiten[[#This Row],[Overige kosten]]=1,Tb_Activiteiten[[#Headers],[Overige kosten]],""))</f>
        <v/>
      </c>
    </row>
    <row r="1168" spans="1:53" x14ac:dyDescent="0.25">
      <c r="A1168" s="139"/>
      <c r="B1168" s="139"/>
      <c r="C1168" s="139"/>
      <c r="D1168" s="139"/>
      <c r="E1168" s="139"/>
      <c r="F1168" s="139"/>
      <c r="G1168" s="139"/>
      <c r="O1168" s="56"/>
      <c r="Q1168" t="str">
        <f>IFERROR(IF(VLOOKUP(Tb_Activiteiten[[#This Row],[Openstelling]],Tb_Openstelling[],2,0)=1,1,""),"")</f>
        <v/>
      </c>
      <c r="AK1168" t="str">
        <f>IF(ISNUMBER(FIND("arbeid",Methode_Keuze)),"",IF(ISNUMBER(FIND("arbeid",Methode_Keuze)),"",IF(Tb_Activiteiten[[#This Row],[Loonkosten]]=1,Tb_Activiteiten[[#Headers],[Loonkosten]],"")))</f>
        <v/>
      </c>
      <c r="AL1168" t="str">
        <f>IF(ISNUMBER(FIND("arbeid",Methode_Keuze)),"",IF(ISNUMBER(FIND("arbeid",Methode_Keuze)),"",IF(Tb_Activiteiten[[#This Row],[Eigen arbeid]]=1,Tb_Activiteiten[[#Headers],[Eigen arbeid]],"")))</f>
        <v/>
      </c>
      <c r="AM1168" t="str">
        <f>IF(ISNUMBER(FIND("arbeid",Methode_Keuze)),"",IF(ISNUMBER(FIND("arbeid",Methode_Keuze)),"",IF(Tb_Activiteiten[[#This Row],[Projectmedewerker]]=1,Tb_Activiteiten[[#Headers],[Projectmedewerker]],"")))</f>
        <v/>
      </c>
      <c r="AN1168" t="str">
        <f>IF(ISNUMBER(FIND("arbeid",Methode_Keuze)),"",IF(ISNUMBER(FIND("arbeid",Methode_Keuze)),"",IF(Tb_Activiteiten[[#This Row],[Landbouwer]]=1,Tb_Activiteiten[[#Headers],[Landbouwer]],"")))</f>
        <v/>
      </c>
      <c r="AO1168" t="str">
        <f>IF(ISNUMBER(FIND("arbeid",Methode_Keuze)),"",IF(ISNUMBER(FIND("arbeid",Methode_Keuze)),"",IF(Tb_Activiteiten[[#This Row],[Adviseur]]=1,Tb_Activiteiten[[#Headers],[Adviseur]],"")))</f>
        <v/>
      </c>
      <c r="AP1168" t="str">
        <f>IF(ISNUMBER(FIND("arbeid",Methode_Keuze)),"",IF(ISNUMBER(FIND("arbeid",Methode_Keuze)),"",IF(Tb_Activiteiten[[#This Row],[Projectleider/Expert]]=1,Tb_Activiteiten[[#Headers],[Projectleider/Expert]],"")))</f>
        <v/>
      </c>
      <c r="AQ1168" t="str">
        <f>IF(ISNUMBER(FIND("arbeid",Methode_Keuze)),"",IF(ISNUMBER(FIND("arbeid",Methode_Keuze)),"",IF(Tb_Activiteiten[[#This Row],[Arbeidskosten]]=1,Tb_Activiteiten[[#Headers],[Arbeidskosten]],"")))</f>
        <v/>
      </c>
      <c r="AR1168" t="str">
        <f>IF(ISNUMBER(FIND("arbeid",Methode_Keuze)),"",IF(ISNUMBER(FIND("arbeid",Methode_Keuze)),"",IF(Tb_Activiteiten[[#This Row],[Arbeidskosten op basis van IKS]]=1,Tb_Activiteiten[[#Headers],[Arbeidskosten op basis van IKS]],"")))</f>
        <v/>
      </c>
      <c r="AS1168" t="str">
        <f>IF(ISNUMBER(FIND("overige",Methode_Keuze)),"",IF(Tb_Activiteiten[[#This Row],[Kosten derden exclusief btw]]=1,Tb_Activiteiten[[#Headers],[Kosten derden exclusief btw]],""))</f>
        <v/>
      </c>
      <c r="AT1168" t="str">
        <f>IF(ISNUMBER(FIND("overige",Methode_Keuze)),"",IF(Tb_Activiteiten[[#This Row],[Niet verrekenbare btw]]=1,Tb_Activiteiten[[#Headers],[Niet verrekenbare btw]],""))</f>
        <v/>
      </c>
      <c r="AU1168" t="str">
        <f>IF(ISNUMBER(FIND("overige",Methode_Keuze)),"",IF(Tb_Activiteiten[[#This Row],[Grondkosten]]=1,Tb_Activiteiten[[#Headers],[Grondkosten]],""))</f>
        <v/>
      </c>
      <c r="AV1168" t="str">
        <f>IF(ISNUMBER(FIND("overige",Methode_Keuze)),"",IF(Tb_Activiteiten[[#This Row],[Bijdrage in natura (overige)]]=1,Tb_Activiteiten[[#Headers],[Bijdrage in natura (overige)]],""))</f>
        <v/>
      </c>
      <c r="AW1168" t="str">
        <f>IF(ISNUMBER(FIND("overige",Methode_Keuze)),"",IF(Tb_Activiteiten[[#This Row],[Bijdrage in natura (vrijwilligers)]]=1,Tb_Activiteiten[[#Headers],[Bijdrage in natura (vrijwilligers)]],""))</f>
        <v/>
      </c>
      <c r="AX1168" t="str">
        <f>IF(ISNUMBER(FIND("overige",Methode_Keuze)),"",IF(Tb_Activiteiten[[#This Row],[Afschrijvingskosten]]=1,Tb_Activiteiten[[#Headers],[Afschrijvingskosten]],""))</f>
        <v/>
      </c>
      <c r="AY1168" t="str">
        <f>IF(ISNUMBER(FIND("overige",Methode_Keuze)),"",IF(Tb_Activiteiten[[#This Row],[Vergoeding]]=1,Tb_Activiteiten[[#Headers],[Vergoeding]],""))</f>
        <v/>
      </c>
      <c r="AZ1168" t="str">
        <f>IF(ISNUMBER(FIND("arbeid",Methode_Keuze)),"",IF(Tb_Activiteiten[[#This Row],[Arbeidskosten - vast tarief (excl eigen arbeid)]]=1,Tb_Activiteiten[[#Headers],[Arbeidskosten - vast tarief (excl eigen arbeid)]],""))</f>
        <v/>
      </c>
      <c r="BA1168" t="str">
        <f>IF(ISNUMBER(FIND("overige",Methode_Keuze)),"",IF(Tb_Activiteiten[[#This Row],[Overige kosten]]=1,Tb_Activiteiten[[#Headers],[Overige kosten]],""))</f>
        <v/>
      </c>
    </row>
    <row r="1169" spans="1:53" x14ac:dyDescent="0.25">
      <c r="A1169" s="139"/>
      <c r="B1169" s="139"/>
      <c r="C1169" s="139"/>
      <c r="D1169" s="139"/>
      <c r="E1169" s="139"/>
      <c r="F1169" s="139"/>
      <c r="G1169" s="139"/>
      <c r="O1169" s="56"/>
      <c r="Q1169" t="str">
        <f>IFERROR(IF(VLOOKUP(Tb_Activiteiten[[#This Row],[Openstelling]],Tb_Openstelling[],2,0)=1,1,""),"")</f>
        <v/>
      </c>
      <c r="AK1169" t="str">
        <f>IF(ISNUMBER(FIND("arbeid",Methode_Keuze)),"",IF(ISNUMBER(FIND("arbeid",Methode_Keuze)),"",IF(Tb_Activiteiten[[#This Row],[Loonkosten]]=1,Tb_Activiteiten[[#Headers],[Loonkosten]],"")))</f>
        <v/>
      </c>
      <c r="AL1169" t="str">
        <f>IF(ISNUMBER(FIND("arbeid",Methode_Keuze)),"",IF(ISNUMBER(FIND("arbeid",Methode_Keuze)),"",IF(Tb_Activiteiten[[#This Row],[Eigen arbeid]]=1,Tb_Activiteiten[[#Headers],[Eigen arbeid]],"")))</f>
        <v/>
      </c>
      <c r="AM1169" t="str">
        <f>IF(ISNUMBER(FIND("arbeid",Methode_Keuze)),"",IF(ISNUMBER(FIND("arbeid",Methode_Keuze)),"",IF(Tb_Activiteiten[[#This Row],[Projectmedewerker]]=1,Tb_Activiteiten[[#Headers],[Projectmedewerker]],"")))</f>
        <v/>
      </c>
      <c r="AN1169" t="str">
        <f>IF(ISNUMBER(FIND("arbeid",Methode_Keuze)),"",IF(ISNUMBER(FIND("arbeid",Methode_Keuze)),"",IF(Tb_Activiteiten[[#This Row],[Landbouwer]]=1,Tb_Activiteiten[[#Headers],[Landbouwer]],"")))</f>
        <v/>
      </c>
      <c r="AO1169" t="str">
        <f>IF(ISNUMBER(FIND("arbeid",Methode_Keuze)),"",IF(ISNUMBER(FIND("arbeid",Methode_Keuze)),"",IF(Tb_Activiteiten[[#This Row],[Adviseur]]=1,Tb_Activiteiten[[#Headers],[Adviseur]],"")))</f>
        <v/>
      </c>
      <c r="AP1169" t="str">
        <f>IF(ISNUMBER(FIND("arbeid",Methode_Keuze)),"",IF(ISNUMBER(FIND("arbeid",Methode_Keuze)),"",IF(Tb_Activiteiten[[#This Row],[Projectleider/Expert]]=1,Tb_Activiteiten[[#Headers],[Projectleider/Expert]],"")))</f>
        <v/>
      </c>
      <c r="AQ1169" t="str">
        <f>IF(ISNUMBER(FIND("arbeid",Methode_Keuze)),"",IF(ISNUMBER(FIND("arbeid",Methode_Keuze)),"",IF(Tb_Activiteiten[[#This Row],[Arbeidskosten]]=1,Tb_Activiteiten[[#Headers],[Arbeidskosten]],"")))</f>
        <v/>
      </c>
      <c r="AR1169" t="str">
        <f>IF(ISNUMBER(FIND("arbeid",Methode_Keuze)),"",IF(ISNUMBER(FIND("arbeid",Methode_Keuze)),"",IF(Tb_Activiteiten[[#This Row],[Arbeidskosten op basis van IKS]]=1,Tb_Activiteiten[[#Headers],[Arbeidskosten op basis van IKS]],"")))</f>
        <v/>
      </c>
      <c r="AS1169" t="str">
        <f>IF(ISNUMBER(FIND("overige",Methode_Keuze)),"",IF(Tb_Activiteiten[[#This Row],[Kosten derden exclusief btw]]=1,Tb_Activiteiten[[#Headers],[Kosten derden exclusief btw]],""))</f>
        <v/>
      </c>
      <c r="AT1169" t="str">
        <f>IF(ISNUMBER(FIND("overige",Methode_Keuze)),"",IF(Tb_Activiteiten[[#This Row],[Niet verrekenbare btw]]=1,Tb_Activiteiten[[#Headers],[Niet verrekenbare btw]],""))</f>
        <v/>
      </c>
      <c r="AU1169" t="str">
        <f>IF(ISNUMBER(FIND("overige",Methode_Keuze)),"",IF(Tb_Activiteiten[[#This Row],[Grondkosten]]=1,Tb_Activiteiten[[#Headers],[Grondkosten]],""))</f>
        <v/>
      </c>
      <c r="AV1169" t="str">
        <f>IF(ISNUMBER(FIND("overige",Methode_Keuze)),"",IF(Tb_Activiteiten[[#This Row],[Bijdrage in natura (overige)]]=1,Tb_Activiteiten[[#Headers],[Bijdrage in natura (overige)]],""))</f>
        <v/>
      </c>
      <c r="AW1169" t="str">
        <f>IF(ISNUMBER(FIND("overige",Methode_Keuze)),"",IF(Tb_Activiteiten[[#This Row],[Bijdrage in natura (vrijwilligers)]]=1,Tb_Activiteiten[[#Headers],[Bijdrage in natura (vrijwilligers)]],""))</f>
        <v/>
      </c>
      <c r="AX1169" t="str">
        <f>IF(ISNUMBER(FIND("overige",Methode_Keuze)),"",IF(Tb_Activiteiten[[#This Row],[Afschrijvingskosten]]=1,Tb_Activiteiten[[#Headers],[Afschrijvingskosten]],""))</f>
        <v/>
      </c>
      <c r="AY1169" t="str">
        <f>IF(ISNUMBER(FIND("overige",Methode_Keuze)),"",IF(Tb_Activiteiten[[#This Row],[Vergoeding]]=1,Tb_Activiteiten[[#Headers],[Vergoeding]],""))</f>
        <v/>
      </c>
      <c r="AZ1169" t="str">
        <f>IF(ISNUMBER(FIND("arbeid",Methode_Keuze)),"",IF(Tb_Activiteiten[[#This Row],[Arbeidskosten - vast tarief (excl eigen arbeid)]]=1,Tb_Activiteiten[[#Headers],[Arbeidskosten - vast tarief (excl eigen arbeid)]],""))</f>
        <v/>
      </c>
      <c r="BA1169" t="str">
        <f>IF(ISNUMBER(FIND("overige",Methode_Keuze)),"",IF(Tb_Activiteiten[[#This Row],[Overige kosten]]=1,Tb_Activiteiten[[#Headers],[Overige kosten]],""))</f>
        <v/>
      </c>
    </row>
    <row r="1170" spans="1:53" x14ac:dyDescent="0.25">
      <c r="A1170" s="139"/>
      <c r="B1170" s="139"/>
      <c r="C1170" s="139"/>
      <c r="D1170" s="139"/>
      <c r="E1170" s="139"/>
      <c r="F1170" s="139"/>
      <c r="G1170" s="139"/>
      <c r="O1170" s="56"/>
      <c r="Q1170" t="str">
        <f>IFERROR(IF(VLOOKUP(Tb_Activiteiten[[#This Row],[Openstelling]],Tb_Openstelling[],2,0)=1,1,""),"")</f>
        <v/>
      </c>
      <c r="AK1170" t="str">
        <f>IF(ISNUMBER(FIND("arbeid",Methode_Keuze)),"",IF(ISNUMBER(FIND("arbeid",Methode_Keuze)),"",IF(Tb_Activiteiten[[#This Row],[Loonkosten]]=1,Tb_Activiteiten[[#Headers],[Loonkosten]],"")))</f>
        <v/>
      </c>
      <c r="AL1170" t="str">
        <f>IF(ISNUMBER(FIND("arbeid",Methode_Keuze)),"",IF(ISNUMBER(FIND("arbeid",Methode_Keuze)),"",IF(Tb_Activiteiten[[#This Row],[Eigen arbeid]]=1,Tb_Activiteiten[[#Headers],[Eigen arbeid]],"")))</f>
        <v/>
      </c>
      <c r="AM1170" t="str">
        <f>IF(ISNUMBER(FIND("arbeid",Methode_Keuze)),"",IF(ISNUMBER(FIND("arbeid",Methode_Keuze)),"",IF(Tb_Activiteiten[[#This Row],[Projectmedewerker]]=1,Tb_Activiteiten[[#Headers],[Projectmedewerker]],"")))</f>
        <v/>
      </c>
      <c r="AN1170" t="str">
        <f>IF(ISNUMBER(FIND("arbeid",Methode_Keuze)),"",IF(ISNUMBER(FIND("arbeid",Methode_Keuze)),"",IF(Tb_Activiteiten[[#This Row],[Landbouwer]]=1,Tb_Activiteiten[[#Headers],[Landbouwer]],"")))</f>
        <v/>
      </c>
      <c r="AO1170" t="str">
        <f>IF(ISNUMBER(FIND("arbeid",Methode_Keuze)),"",IF(ISNUMBER(FIND("arbeid",Methode_Keuze)),"",IF(Tb_Activiteiten[[#This Row],[Adviseur]]=1,Tb_Activiteiten[[#Headers],[Adviseur]],"")))</f>
        <v/>
      </c>
      <c r="AP1170" t="str">
        <f>IF(ISNUMBER(FIND("arbeid",Methode_Keuze)),"",IF(ISNUMBER(FIND("arbeid",Methode_Keuze)),"",IF(Tb_Activiteiten[[#This Row],[Projectleider/Expert]]=1,Tb_Activiteiten[[#Headers],[Projectleider/Expert]],"")))</f>
        <v/>
      </c>
      <c r="AQ1170" t="str">
        <f>IF(ISNUMBER(FIND("arbeid",Methode_Keuze)),"",IF(ISNUMBER(FIND("arbeid",Methode_Keuze)),"",IF(Tb_Activiteiten[[#This Row],[Arbeidskosten]]=1,Tb_Activiteiten[[#Headers],[Arbeidskosten]],"")))</f>
        <v/>
      </c>
      <c r="AR1170" t="str">
        <f>IF(ISNUMBER(FIND("arbeid",Methode_Keuze)),"",IF(ISNUMBER(FIND("arbeid",Methode_Keuze)),"",IF(Tb_Activiteiten[[#This Row],[Arbeidskosten op basis van IKS]]=1,Tb_Activiteiten[[#Headers],[Arbeidskosten op basis van IKS]],"")))</f>
        <v/>
      </c>
      <c r="AS1170" t="str">
        <f>IF(ISNUMBER(FIND("overige",Methode_Keuze)),"",IF(Tb_Activiteiten[[#This Row],[Kosten derden exclusief btw]]=1,Tb_Activiteiten[[#Headers],[Kosten derden exclusief btw]],""))</f>
        <v/>
      </c>
      <c r="AT1170" t="str">
        <f>IF(ISNUMBER(FIND("overige",Methode_Keuze)),"",IF(Tb_Activiteiten[[#This Row],[Niet verrekenbare btw]]=1,Tb_Activiteiten[[#Headers],[Niet verrekenbare btw]],""))</f>
        <v/>
      </c>
      <c r="AU1170" t="str">
        <f>IF(ISNUMBER(FIND("overige",Methode_Keuze)),"",IF(Tb_Activiteiten[[#This Row],[Grondkosten]]=1,Tb_Activiteiten[[#Headers],[Grondkosten]],""))</f>
        <v/>
      </c>
      <c r="AV1170" t="str">
        <f>IF(ISNUMBER(FIND("overige",Methode_Keuze)),"",IF(Tb_Activiteiten[[#This Row],[Bijdrage in natura (overige)]]=1,Tb_Activiteiten[[#Headers],[Bijdrage in natura (overige)]],""))</f>
        <v/>
      </c>
      <c r="AW1170" t="str">
        <f>IF(ISNUMBER(FIND("overige",Methode_Keuze)),"",IF(Tb_Activiteiten[[#This Row],[Bijdrage in natura (vrijwilligers)]]=1,Tb_Activiteiten[[#Headers],[Bijdrage in natura (vrijwilligers)]],""))</f>
        <v/>
      </c>
      <c r="AX1170" t="str">
        <f>IF(ISNUMBER(FIND("overige",Methode_Keuze)),"",IF(Tb_Activiteiten[[#This Row],[Afschrijvingskosten]]=1,Tb_Activiteiten[[#Headers],[Afschrijvingskosten]],""))</f>
        <v/>
      </c>
      <c r="AY1170" t="str">
        <f>IF(ISNUMBER(FIND("overige",Methode_Keuze)),"",IF(Tb_Activiteiten[[#This Row],[Vergoeding]]=1,Tb_Activiteiten[[#Headers],[Vergoeding]],""))</f>
        <v/>
      </c>
      <c r="AZ1170" t="str">
        <f>IF(ISNUMBER(FIND("arbeid",Methode_Keuze)),"",IF(Tb_Activiteiten[[#This Row],[Arbeidskosten - vast tarief (excl eigen arbeid)]]=1,Tb_Activiteiten[[#Headers],[Arbeidskosten - vast tarief (excl eigen arbeid)]],""))</f>
        <v/>
      </c>
      <c r="BA1170" t="str">
        <f>IF(ISNUMBER(FIND("overige",Methode_Keuze)),"",IF(Tb_Activiteiten[[#This Row],[Overige kosten]]=1,Tb_Activiteiten[[#Headers],[Overige kosten]],""))</f>
        <v/>
      </c>
    </row>
    <row r="1171" spans="1:53" x14ac:dyDescent="0.25">
      <c r="A1171" s="139"/>
      <c r="B1171" s="139"/>
      <c r="C1171" s="139"/>
      <c r="D1171" s="139"/>
      <c r="E1171" s="139"/>
      <c r="F1171" s="139"/>
      <c r="G1171" s="139"/>
      <c r="O1171" s="56"/>
      <c r="Q1171" t="str">
        <f>IFERROR(IF(VLOOKUP(Tb_Activiteiten[[#This Row],[Openstelling]],Tb_Openstelling[],2,0)=1,1,""),"")</f>
        <v/>
      </c>
      <c r="AK1171" t="str">
        <f>IF(ISNUMBER(FIND("arbeid",Methode_Keuze)),"",IF(ISNUMBER(FIND("arbeid",Methode_Keuze)),"",IF(Tb_Activiteiten[[#This Row],[Loonkosten]]=1,Tb_Activiteiten[[#Headers],[Loonkosten]],"")))</f>
        <v/>
      </c>
      <c r="AL1171" t="str">
        <f>IF(ISNUMBER(FIND("arbeid",Methode_Keuze)),"",IF(ISNUMBER(FIND("arbeid",Methode_Keuze)),"",IF(Tb_Activiteiten[[#This Row],[Eigen arbeid]]=1,Tb_Activiteiten[[#Headers],[Eigen arbeid]],"")))</f>
        <v/>
      </c>
      <c r="AM1171" t="str">
        <f>IF(ISNUMBER(FIND("arbeid",Methode_Keuze)),"",IF(ISNUMBER(FIND("arbeid",Methode_Keuze)),"",IF(Tb_Activiteiten[[#This Row],[Projectmedewerker]]=1,Tb_Activiteiten[[#Headers],[Projectmedewerker]],"")))</f>
        <v/>
      </c>
      <c r="AN1171" t="str">
        <f>IF(ISNUMBER(FIND("arbeid",Methode_Keuze)),"",IF(ISNUMBER(FIND("arbeid",Methode_Keuze)),"",IF(Tb_Activiteiten[[#This Row],[Landbouwer]]=1,Tb_Activiteiten[[#Headers],[Landbouwer]],"")))</f>
        <v/>
      </c>
      <c r="AO1171" t="str">
        <f>IF(ISNUMBER(FIND("arbeid",Methode_Keuze)),"",IF(ISNUMBER(FIND("arbeid",Methode_Keuze)),"",IF(Tb_Activiteiten[[#This Row],[Adviseur]]=1,Tb_Activiteiten[[#Headers],[Adviseur]],"")))</f>
        <v/>
      </c>
      <c r="AP1171" t="str">
        <f>IF(ISNUMBER(FIND("arbeid",Methode_Keuze)),"",IF(ISNUMBER(FIND("arbeid",Methode_Keuze)),"",IF(Tb_Activiteiten[[#This Row],[Projectleider/Expert]]=1,Tb_Activiteiten[[#Headers],[Projectleider/Expert]],"")))</f>
        <v/>
      </c>
      <c r="AQ1171" t="str">
        <f>IF(ISNUMBER(FIND("arbeid",Methode_Keuze)),"",IF(ISNUMBER(FIND("arbeid",Methode_Keuze)),"",IF(Tb_Activiteiten[[#This Row],[Arbeidskosten]]=1,Tb_Activiteiten[[#Headers],[Arbeidskosten]],"")))</f>
        <v/>
      </c>
      <c r="AR1171" t="str">
        <f>IF(ISNUMBER(FIND("arbeid",Methode_Keuze)),"",IF(ISNUMBER(FIND("arbeid",Methode_Keuze)),"",IF(Tb_Activiteiten[[#This Row],[Arbeidskosten op basis van IKS]]=1,Tb_Activiteiten[[#Headers],[Arbeidskosten op basis van IKS]],"")))</f>
        <v/>
      </c>
      <c r="AS1171" t="str">
        <f>IF(ISNUMBER(FIND("overige",Methode_Keuze)),"",IF(Tb_Activiteiten[[#This Row],[Kosten derden exclusief btw]]=1,Tb_Activiteiten[[#Headers],[Kosten derden exclusief btw]],""))</f>
        <v/>
      </c>
      <c r="AT1171" t="str">
        <f>IF(ISNUMBER(FIND("overige",Methode_Keuze)),"",IF(Tb_Activiteiten[[#This Row],[Niet verrekenbare btw]]=1,Tb_Activiteiten[[#Headers],[Niet verrekenbare btw]],""))</f>
        <v/>
      </c>
      <c r="AU1171" t="str">
        <f>IF(ISNUMBER(FIND("overige",Methode_Keuze)),"",IF(Tb_Activiteiten[[#This Row],[Grondkosten]]=1,Tb_Activiteiten[[#Headers],[Grondkosten]],""))</f>
        <v/>
      </c>
      <c r="AV1171" t="str">
        <f>IF(ISNUMBER(FIND("overige",Methode_Keuze)),"",IF(Tb_Activiteiten[[#This Row],[Bijdrage in natura (overige)]]=1,Tb_Activiteiten[[#Headers],[Bijdrage in natura (overige)]],""))</f>
        <v/>
      </c>
      <c r="AW1171" t="str">
        <f>IF(ISNUMBER(FIND("overige",Methode_Keuze)),"",IF(Tb_Activiteiten[[#This Row],[Bijdrage in natura (vrijwilligers)]]=1,Tb_Activiteiten[[#Headers],[Bijdrage in natura (vrijwilligers)]],""))</f>
        <v/>
      </c>
      <c r="AX1171" t="str">
        <f>IF(ISNUMBER(FIND("overige",Methode_Keuze)),"",IF(Tb_Activiteiten[[#This Row],[Afschrijvingskosten]]=1,Tb_Activiteiten[[#Headers],[Afschrijvingskosten]],""))</f>
        <v/>
      </c>
      <c r="AY1171" t="str">
        <f>IF(ISNUMBER(FIND("overige",Methode_Keuze)),"",IF(Tb_Activiteiten[[#This Row],[Vergoeding]]=1,Tb_Activiteiten[[#Headers],[Vergoeding]],""))</f>
        <v/>
      </c>
      <c r="AZ1171" t="str">
        <f>IF(ISNUMBER(FIND("arbeid",Methode_Keuze)),"",IF(Tb_Activiteiten[[#This Row],[Arbeidskosten - vast tarief (excl eigen arbeid)]]=1,Tb_Activiteiten[[#Headers],[Arbeidskosten - vast tarief (excl eigen arbeid)]],""))</f>
        <v/>
      </c>
      <c r="BA1171" t="str">
        <f>IF(ISNUMBER(FIND("overige",Methode_Keuze)),"",IF(Tb_Activiteiten[[#This Row],[Overige kosten]]=1,Tb_Activiteiten[[#Headers],[Overige kosten]],""))</f>
        <v/>
      </c>
    </row>
    <row r="1172" spans="1:53" x14ac:dyDescent="0.25">
      <c r="A1172" s="139"/>
      <c r="B1172" s="139"/>
      <c r="C1172" s="139"/>
      <c r="D1172" s="139"/>
      <c r="E1172" s="139"/>
      <c r="F1172" s="139"/>
      <c r="G1172" s="139"/>
      <c r="O1172" s="56"/>
      <c r="Q1172" t="str">
        <f>IFERROR(IF(VLOOKUP(Tb_Activiteiten[[#This Row],[Openstelling]],Tb_Openstelling[],2,0)=1,1,""),"")</f>
        <v/>
      </c>
      <c r="AK1172" t="str">
        <f>IF(ISNUMBER(FIND("arbeid",Methode_Keuze)),"",IF(ISNUMBER(FIND("arbeid",Methode_Keuze)),"",IF(Tb_Activiteiten[[#This Row],[Loonkosten]]=1,Tb_Activiteiten[[#Headers],[Loonkosten]],"")))</f>
        <v/>
      </c>
      <c r="AL1172" t="str">
        <f>IF(ISNUMBER(FIND("arbeid",Methode_Keuze)),"",IF(ISNUMBER(FIND("arbeid",Methode_Keuze)),"",IF(Tb_Activiteiten[[#This Row],[Eigen arbeid]]=1,Tb_Activiteiten[[#Headers],[Eigen arbeid]],"")))</f>
        <v/>
      </c>
      <c r="AM1172" t="str">
        <f>IF(ISNUMBER(FIND("arbeid",Methode_Keuze)),"",IF(ISNUMBER(FIND("arbeid",Methode_Keuze)),"",IF(Tb_Activiteiten[[#This Row],[Projectmedewerker]]=1,Tb_Activiteiten[[#Headers],[Projectmedewerker]],"")))</f>
        <v/>
      </c>
      <c r="AN1172" t="str">
        <f>IF(ISNUMBER(FIND("arbeid",Methode_Keuze)),"",IF(ISNUMBER(FIND("arbeid",Methode_Keuze)),"",IF(Tb_Activiteiten[[#This Row],[Landbouwer]]=1,Tb_Activiteiten[[#Headers],[Landbouwer]],"")))</f>
        <v/>
      </c>
      <c r="AO1172" t="str">
        <f>IF(ISNUMBER(FIND("arbeid",Methode_Keuze)),"",IF(ISNUMBER(FIND("arbeid",Methode_Keuze)),"",IF(Tb_Activiteiten[[#This Row],[Adviseur]]=1,Tb_Activiteiten[[#Headers],[Adviseur]],"")))</f>
        <v/>
      </c>
      <c r="AP1172" t="str">
        <f>IF(ISNUMBER(FIND("arbeid",Methode_Keuze)),"",IF(ISNUMBER(FIND("arbeid",Methode_Keuze)),"",IF(Tb_Activiteiten[[#This Row],[Projectleider/Expert]]=1,Tb_Activiteiten[[#Headers],[Projectleider/Expert]],"")))</f>
        <v/>
      </c>
      <c r="AQ1172" t="str">
        <f>IF(ISNUMBER(FIND("arbeid",Methode_Keuze)),"",IF(ISNUMBER(FIND("arbeid",Methode_Keuze)),"",IF(Tb_Activiteiten[[#This Row],[Arbeidskosten]]=1,Tb_Activiteiten[[#Headers],[Arbeidskosten]],"")))</f>
        <v/>
      </c>
      <c r="AR1172" t="str">
        <f>IF(ISNUMBER(FIND("arbeid",Methode_Keuze)),"",IF(ISNUMBER(FIND("arbeid",Methode_Keuze)),"",IF(Tb_Activiteiten[[#This Row],[Arbeidskosten op basis van IKS]]=1,Tb_Activiteiten[[#Headers],[Arbeidskosten op basis van IKS]],"")))</f>
        <v/>
      </c>
      <c r="AS1172" t="str">
        <f>IF(ISNUMBER(FIND("overige",Methode_Keuze)),"",IF(Tb_Activiteiten[[#This Row],[Kosten derden exclusief btw]]=1,Tb_Activiteiten[[#Headers],[Kosten derden exclusief btw]],""))</f>
        <v/>
      </c>
      <c r="AT1172" t="str">
        <f>IF(ISNUMBER(FIND("overige",Methode_Keuze)),"",IF(Tb_Activiteiten[[#This Row],[Niet verrekenbare btw]]=1,Tb_Activiteiten[[#Headers],[Niet verrekenbare btw]],""))</f>
        <v/>
      </c>
      <c r="AU1172" t="str">
        <f>IF(ISNUMBER(FIND("overige",Methode_Keuze)),"",IF(Tb_Activiteiten[[#This Row],[Grondkosten]]=1,Tb_Activiteiten[[#Headers],[Grondkosten]],""))</f>
        <v/>
      </c>
      <c r="AV1172" t="str">
        <f>IF(ISNUMBER(FIND("overige",Methode_Keuze)),"",IF(Tb_Activiteiten[[#This Row],[Bijdrage in natura (overige)]]=1,Tb_Activiteiten[[#Headers],[Bijdrage in natura (overige)]],""))</f>
        <v/>
      </c>
      <c r="AW1172" t="str">
        <f>IF(ISNUMBER(FIND("overige",Methode_Keuze)),"",IF(Tb_Activiteiten[[#This Row],[Bijdrage in natura (vrijwilligers)]]=1,Tb_Activiteiten[[#Headers],[Bijdrage in natura (vrijwilligers)]],""))</f>
        <v/>
      </c>
      <c r="AX1172" t="str">
        <f>IF(ISNUMBER(FIND("overige",Methode_Keuze)),"",IF(Tb_Activiteiten[[#This Row],[Afschrijvingskosten]]=1,Tb_Activiteiten[[#Headers],[Afschrijvingskosten]],""))</f>
        <v/>
      </c>
      <c r="AY1172" t="str">
        <f>IF(ISNUMBER(FIND("overige",Methode_Keuze)),"",IF(Tb_Activiteiten[[#This Row],[Vergoeding]]=1,Tb_Activiteiten[[#Headers],[Vergoeding]],""))</f>
        <v/>
      </c>
      <c r="AZ1172" t="str">
        <f>IF(ISNUMBER(FIND("arbeid",Methode_Keuze)),"",IF(Tb_Activiteiten[[#This Row],[Arbeidskosten - vast tarief (excl eigen arbeid)]]=1,Tb_Activiteiten[[#Headers],[Arbeidskosten - vast tarief (excl eigen arbeid)]],""))</f>
        <v/>
      </c>
      <c r="BA1172" t="str">
        <f>IF(ISNUMBER(FIND("overige",Methode_Keuze)),"",IF(Tb_Activiteiten[[#This Row],[Overige kosten]]=1,Tb_Activiteiten[[#Headers],[Overige kosten]],""))</f>
        <v/>
      </c>
    </row>
    <row r="1173" spans="1:53" x14ac:dyDescent="0.25">
      <c r="A1173" s="139"/>
      <c r="B1173" s="139"/>
      <c r="C1173" s="139"/>
      <c r="D1173" s="139"/>
      <c r="E1173" s="139"/>
      <c r="F1173" s="139"/>
      <c r="G1173" s="139"/>
      <c r="O1173" s="56"/>
      <c r="Q1173" t="str">
        <f>IFERROR(IF(VLOOKUP(Tb_Activiteiten[[#This Row],[Openstelling]],Tb_Openstelling[],2,0)=1,1,""),"")</f>
        <v/>
      </c>
      <c r="AK1173" t="str">
        <f>IF(ISNUMBER(FIND("arbeid",Methode_Keuze)),"",IF(ISNUMBER(FIND("arbeid",Methode_Keuze)),"",IF(Tb_Activiteiten[[#This Row],[Loonkosten]]=1,Tb_Activiteiten[[#Headers],[Loonkosten]],"")))</f>
        <v/>
      </c>
      <c r="AL1173" t="str">
        <f>IF(ISNUMBER(FIND("arbeid",Methode_Keuze)),"",IF(ISNUMBER(FIND("arbeid",Methode_Keuze)),"",IF(Tb_Activiteiten[[#This Row],[Eigen arbeid]]=1,Tb_Activiteiten[[#Headers],[Eigen arbeid]],"")))</f>
        <v/>
      </c>
      <c r="AM1173" t="str">
        <f>IF(ISNUMBER(FIND("arbeid",Methode_Keuze)),"",IF(ISNUMBER(FIND("arbeid",Methode_Keuze)),"",IF(Tb_Activiteiten[[#This Row],[Projectmedewerker]]=1,Tb_Activiteiten[[#Headers],[Projectmedewerker]],"")))</f>
        <v/>
      </c>
      <c r="AN1173" t="str">
        <f>IF(ISNUMBER(FIND("arbeid",Methode_Keuze)),"",IF(ISNUMBER(FIND("arbeid",Methode_Keuze)),"",IF(Tb_Activiteiten[[#This Row],[Landbouwer]]=1,Tb_Activiteiten[[#Headers],[Landbouwer]],"")))</f>
        <v/>
      </c>
      <c r="AO1173" t="str">
        <f>IF(ISNUMBER(FIND("arbeid",Methode_Keuze)),"",IF(ISNUMBER(FIND("arbeid",Methode_Keuze)),"",IF(Tb_Activiteiten[[#This Row],[Adviseur]]=1,Tb_Activiteiten[[#Headers],[Adviseur]],"")))</f>
        <v/>
      </c>
      <c r="AP1173" t="str">
        <f>IF(ISNUMBER(FIND("arbeid",Methode_Keuze)),"",IF(ISNUMBER(FIND("arbeid",Methode_Keuze)),"",IF(Tb_Activiteiten[[#This Row],[Projectleider/Expert]]=1,Tb_Activiteiten[[#Headers],[Projectleider/Expert]],"")))</f>
        <v/>
      </c>
      <c r="AQ1173" t="str">
        <f>IF(ISNUMBER(FIND("arbeid",Methode_Keuze)),"",IF(ISNUMBER(FIND("arbeid",Methode_Keuze)),"",IF(Tb_Activiteiten[[#This Row],[Arbeidskosten]]=1,Tb_Activiteiten[[#Headers],[Arbeidskosten]],"")))</f>
        <v/>
      </c>
      <c r="AR1173" t="str">
        <f>IF(ISNUMBER(FIND("arbeid",Methode_Keuze)),"",IF(ISNUMBER(FIND("arbeid",Methode_Keuze)),"",IF(Tb_Activiteiten[[#This Row],[Arbeidskosten op basis van IKS]]=1,Tb_Activiteiten[[#Headers],[Arbeidskosten op basis van IKS]],"")))</f>
        <v/>
      </c>
      <c r="AS1173" t="str">
        <f>IF(ISNUMBER(FIND("overige",Methode_Keuze)),"",IF(Tb_Activiteiten[[#This Row],[Kosten derden exclusief btw]]=1,Tb_Activiteiten[[#Headers],[Kosten derden exclusief btw]],""))</f>
        <v/>
      </c>
      <c r="AT1173" t="str">
        <f>IF(ISNUMBER(FIND("overige",Methode_Keuze)),"",IF(Tb_Activiteiten[[#This Row],[Niet verrekenbare btw]]=1,Tb_Activiteiten[[#Headers],[Niet verrekenbare btw]],""))</f>
        <v/>
      </c>
      <c r="AU1173" t="str">
        <f>IF(ISNUMBER(FIND("overige",Methode_Keuze)),"",IF(Tb_Activiteiten[[#This Row],[Grondkosten]]=1,Tb_Activiteiten[[#Headers],[Grondkosten]],""))</f>
        <v/>
      </c>
      <c r="AV1173" t="str">
        <f>IF(ISNUMBER(FIND("overige",Methode_Keuze)),"",IF(Tb_Activiteiten[[#This Row],[Bijdrage in natura (overige)]]=1,Tb_Activiteiten[[#Headers],[Bijdrage in natura (overige)]],""))</f>
        <v/>
      </c>
      <c r="AW1173" t="str">
        <f>IF(ISNUMBER(FIND("overige",Methode_Keuze)),"",IF(Tb_Activiteiten[[#This Row],[Bijdrage in natura (vrijwilligers)]]=1,Tb_Activiteiten[[#Headers],[Bijdrage in natura (vrijwilligers)]],""))</f>
        <v/>
      </c>
      <c r="AX1173" t="str">
        <f>IF(ISNUMBER(FIND("overige",Methode_Keuze)),"",IF(Tb_Activiteiten[[#This Row],[Afschrijvingskosten]]=1,Tb_Activiteiten[[#Headers],[Afschrijvingskosten]],""))</f>
        <v/>
      </c>
      <c r="AY1173" t="str">
        <f>IF(ISNUMBER(FIND("overige",Methode_Keuze)),"",IF(Tb_Activiteiten[[#This Row],[Vergoeding]]=1,Tb_Activiteiten[[#Headers],[Vergoeding]],""))</f>
        <v/>
      </c>
      <c r="AZ1173" t="str">
        <f>IF(ISNUMBER(FIND("arbeid",Methode_Keuze)),"",IF(Tb_Activiteiten[[#This Row],[Arbeidskosten - vast tarief (excl eigen arbeid)]]=1,Tb_Activiteiten[[#Headers],[Arbeidskosten - vast tarief (excl eigen arbeid)]],""))</f>
        <v/>
      </c>
      <c r="BA1173" t="str">
        <f>IF(ISNUMBER(FIND("overige",Methode_Keuze)),"",IF(Tb_Activiteiten[[#This Row],[Overige kosten]]=1,Tb_Activiteiten[[#Headers],[Overige kosten]],""))</f>
        <v/>
      </c>
    </row>
    <row r="1174" spans="1:53" x14ac:dyDescent="0.25">
      <c r="A1174" s="139"/>
      <c r="B1174" s="139"/>
      <c r="C1174" s="139"/>
      <c r="D1174" s="139"/>
      <c r="E1174" s="139"/>
      <c r="F1174" s="139"/>
      <c r="G1174" s="139"/>
      <c r="O1174" s="56"/>
      <c r="Q1174" t="str">
        <f>IFERROR(IF(VLOOKUP(Tb_Activiteiten[[#This Row],[Openstelling]],Tb_Openstelling[],2,0)=1,1,""),"")</f>
        <v/>
      </c>
      <c r="AK1174" t="str">
        <f>IF(ISNUMBER(FIND("arbeid",Methode_Keuze)),"",IF(ISNUMBER(FIND("arbeid",Methode_Keuze)),"",IF(Tb_Activiteiten[[#This Row],[Loonkosten]]=1,Tb_Activiteiten[[#Headers],[Loonkosten]],"")))</f>
        <v/>
      </c>
      <c r="AL1174" t="str">
        <f>IF(ISNUMBER(FIND("arbeid",Methode_Keuze)),"",IF(ISNUMBER(FIND("arbeid",Methode_Keuze)),"",IF(Tb_Activiteiten[[#This Row],[Eigen arbeid]]=1,Tb_Activiteiten[[#Headers],[Eigen arbeid]],"")))</f>
        <v/>
      </c>
      <c r="AM1174" t="str">
        <f>IF(ISNUMBER(FIND("arbeid",Methode_Keuze)),"",IF(ISNUMBER(FIND("arbeid",Methode_Keuze)),"",IF(Tb_Activiteiten[[#This Row],[Projectmedewerker]]=1,Tb_Activiteiten[[#Headers],[Projectmedewerker]],"")))</f>
        <v/>
      </c>
      <c r="AN1174" t="str">
        <f>IF(ISNUMBER(FIND("arbeid",Methode_Keuze)),"",IF(ISNUMBER(FIND("arbeid",Methode_Keuze)),"",IF(Tb_Activiteiten[[#This Row],[Landbouwer]]=1,Tb_Activiteiten[[#Headers],[Landbouwer]],"")))</f>
        <v/>
      </c>
      <c r="AO1174" t="str">
        <f>IF(ISNUMBER(FIND("arbeid",Methode_Keuze)),"",IF(ISNUMBER(FIND("arbeid",Methode_Keuze)),"",IF(Tb_Activiteiten[[#This Row],[Adviseur]]=1,Tb_Activiteiten[[#Headers],[Adviseur]],"")))</f>
        <v/>
      </c>
      <c r="AP1174" t="str">
        <f>IF(ISNUMBER(FIND("arbeid",Methode_Keuze)),"",IF(ISNUMBER(FIND("arbeid",Methode_Keuze)),"",IF(Tb_Activiteiten[[#This Row],[Projectleider/Expert]]=1,Tb_Activiteiten[[#Headers],[Projectleider/Expert]],"")))</f>
        <v/>
      </c>
      <c r="AQ1174" t="str">
        <f>IF(ISNUMBER(FIND("arbeid",Methode_Keuze)),"",IF(ISNUMBER(FIND("arbeid",Methode_Keuze)),"",IF(Tb_Activiteiten[[#This Row],[Arbeidskosten]]=1,Tb_Activiteiten[[#Headers],[Arbeidskosten]],"")))</f>
        <v/>
      </c>
      <c r="AR1174" t="str">
        <f>IF(ISNUMBER(FIND("arbeid",Methode_Keuze)),"",IF(ISNUMBER(FIND("arbeid",Methode_Keuze)),"",IF(Tb_Activiteiten[[#This Row],[Arbeidskosten op basis van IKS]]=1,Tb_Activiteiten[[#Headers],[Arbeidskosten op basis van IKS]],"")))</f>
        <v/>
      </c>
      <c r="AS1174" t="str">
        <f>IF(ISNUMBER(FIND("overige",Methode_Keuze)),"",IF(Tb_Activiteiten[[#This Row],[Kosten derden exclusief btw]]=1,Tb_Activiteiten[[#Headers],[Kosten derden exclusief btw]],""))</f>
        <v/>
      </c>
      <c r="AT1174" t="str">
        <f>IF(ISNUMBER(FIND("overige",Methode_Keuze)),"",IF(Tb_Activiteiten[[#This Row],[Niet verrekenbare btw]]=1,Tb_Activiteiten[[#Headers],[Niet verrekenbare btw]],""))</f>
        <v/>
      </c>
      <c r="AU1174" t="str">
        <f>IF(ISNUMBER(FIND("overige",Methode_Keuze)),"",IF(Tb_Activiteiten[[#This Row],[Grondkosten]]=1,Tb_Activiteiten[[#Headers],[Grondkosten]],""))</f>
        <v/>
      </c>
      <c r="AV1174" t="str">
        <f>IF(ISNUMBER(FIND("overige",Methode_Keuze)),"",IF(Tb_Activiteiten[[#This Row],[Bijdrage in natura (overige)]]=1,Tb_Activiteiten[[#Headers],[Bijdrage in natura (overige)]],""))</f>
        <v/>
      </c>
      <c r="AW1174" t="str">
        <f>IF(ISNUMBER(FIND("overige",Methode_Keuze)),"",IF(Tb_Activiteiten[[#This Row],[Bijdrage in natura (vrijwilligers)]]=1,Tb_Activiteiten[[#Headers],[Bijdrage in natura (vrijwilligers)]],""))</f>
        <v/>
      </c>
      <c r="AX1174" t="str">
        <f>IF(ISNUMBER(FIND("overige",Methode_Keuze)),"",IF(Tb_Activiteiten[[#This Row],[Afschrijvingskosten]]=1,Tb_Activiteiten[[#Headers],[Afschrijvingskosten]],""))</f>
        <v/>
      </c>
      <c r="AY1174" t="str">
        <f>IF(ISNUMBER(FIND("overige",Methode_Keuze)),"",IF(Tb_Activiteiten[[#This Row],[Vergoeding]]=1,Tb_Activiteiten[[#Headers],[Vergoeding]],""))</f>
        <v/>
      </c>
      <c r="AZ1174" t="str">
        <f>IF(ISNUMBER(FIND("arbeid",Methode_Keuze)),"",IF(Tb_Activiteiten[[#This Row],[Arbeidskosten - vast tarief (excl eigen arbeid)]]=1,Tb_Activiteiten[[#Headers],[Arbeidskosten - vast tarief (excl eigen arbeid)]],""))</f>
        <v/>
      </c>
      <c r="BA1174" t="str">
        <f>IF(ISNUMBER(FIND("overige",Methode_Keuze)),"",IF(Tb_Activiteiten[[#This Row],[Overige kosten]]=1,Tb_Activiteiten[[#Headers],[Overige kosten]],""))</f>
        <v/>
      </c>
    </row>
    <row r="1175" spans="1:53" x14ac:dyDescent="0.25">
      <c r="A1175" s="139"/>
      <c r="B1175" s="139"/>
      <c r="C1175" s="139"/>
      <c r="D1175" s="139"/>
      <c r="E1175" s="139"/>
      <c r="F1175" s="139"/>
      <c r="G1175" s="139"/>
      <c r="O1175" s="56"/>
      <c r="Q1175" t="str">
        <f>IFERROR(IF(VLOOKUP(Tb_Activiteiten[[#This Row],[Openstelling]],Tb_Openstelling[],2,0)=1,1,""),"")</f>
        <v/>
      </c>
      <c r="AK1175" t="str">
        <f>IF(ISNUMBER(FIND("arbeid",Methode_Keuze)),"",IF(ISNUMBER(FIND("arbeid",Methode_Keuze)),"",IF(Tb_Activiteiten[[#This Row],[Loonkosten]]=1,Tb_Activiteiten[[#Headers],[Loonkosten]],"")))</f>
        <v/>
      </c>
      <c r="AL1175" t="str">
        <f>IF(ISNUMBER(FIND("arbeid",Methode_Keuze)),"",IF(ISNUMBER(FIND("arbeid",Methode_Keuze)),"",IF(Tb_Activiteiten[[#This Row],[Eigen arbeid]]=1,Tb_Activiteiten[[#Headers],[Eigen arbeid]],"")))</f>
        <v/>
      </c>
      <c r="AM1175" t="str">
        <f>IF(ISNUMBER(FIND("arbeid",Methode_Keuze)),"",IF(ISNUMBER(FIND("arbeid",Methode_Keuze)),"",IF(Tb_Activiteiten[[#This Row],[Projectmedewerker]]=1,Tb_Activiteiten[[#Headers],[Projectmedewerker]],"")))</f>
        <v/>
      </c>
      <c r="AN1175" t="str">
        <f>IF(ISNUMBER(FIND("arbeid",Methode_Keuze)),"",IF(ISNUMBER(FIND("arbeid",Methode_Keuze)),"",IF(Tb_Activiteiten[[#This Row],[Landbouwer]]=1,Tb_Activiteiten[[#Headers],[Landbouwer]],"")))</f>
        <v/>
      </c>
      <c r="AO1175" t="str">
        <f>IF(ISNUMBER(FIND("arbeid",Methode_Keuze)),"",IF(ISNUMBER(FIND("arbeid",Methode_Keuze)),"",IF(Tb_Activiteiten[[#This Row],[Adviseur]]=1,Tb_Activiteiten[[#Headers],[Adviseur]],"")))</f>
        <v/>
      </c>
      <c r="AP1175" t="str">
        <f>IF(ISNUMBER(FIND("arbeid",Methode_Keuze)),"",IF(ISNUMBER(FIND("arbeid",Methode_Keuze)),"",IF(Tb_Activiteiten[[#This Row],[Projectleider/Expert]]=1,Tb_Activiteiten[[#Headers],[Projectleider/Expert]],"")))</f>
        <v/>
      </c>
      <c r="AQ1175" t="str">
        <f>IF(ISNUMBER(FIND("arbeid",Methode_Keuze)),"",IF(ISNUMBER(FIND("arbeid",Methode_Keuze)),"",IF(Tb_Activiteiten[[#This Row],[Arbeidskosten]]=1,Tb_Activiteiten[[#Headers],[Arbeidskosten]],"")))</f>
        <v/>
      </c>
      <c r="AR1175" t="str">
        <f>IF(ISNUMBER(FIND("arbeid",Methode_Keuze)),"",IF(ISNUMBER(FIND("arbeid",Methode_Keuze)),"",IF(Tb_Activiteiten[[#This Row],[Arbeidskosten op basis van IKS]]=1,Tb_Activiteiten[[#Headers],[Arbeidskosten op basis van IKS]],"")))</f>
        <v/>
      </c>
      <c r="AS1175" t="str">
        <f>IF(ISNUMBER(FIND("overige",Methode_Keuze)),"",IF(Tb_Activiteiten[[#This Row],[Kosten derden exclusief btw]]=1,Tb_Activiteiten[[#Headers],[Kosten derden exclusief btw]],""))</f>
        <v/>
      </c>
      <c r="AT1175" t="str">
        <f>IF(ISNUMBER(FIND("overige",Methode_Keuze)),"",IF(Tb_Activiteiten[[#This Row],[Niet verrekenbare btw]]=1,Tb_Activiteiten[[#Headers],[Niet verrekenbare btw]],""))</f>
        <v/>
      </c>
      <c r="AU1175" t="str">
        <f>IF(ISNUMBER(FIND("overige",Methode_Keuze)),"",IF(Tb_Activiteiten[[#This Row],[Grondkosten]]=1,Tb_Activiteiten[[#Headers],[Grondkosten]],""))</f>
        <v/>
      </c>
      <c r="AV1175" t="str">
        <f>IF(ISNUMBER(FIND("overige",Methode_Keuze)),"",IF(Tb_Activiteiten[[#This Row],[Bijdrage in natura (overige)]]=1,Tb_Activiteiten[[#Headers],[Bijdrage in natura (overige)]],""))</f>
        <v/>
      </c>
      <c r="AW1175" t="str">
        <f>IF(ISNUMBER(FIND("overige",Methode_Keuze)),"",IF(Tb_Activiteiten[[#This Row],[Bijdrage in natura (vrijwilligers)]]=1,Tb_Activiteiten[[#Headers],[Bijdrage in natura (vrijwilligers)]],""))</f>
        <v/>
      </c>
      <c r="AX1175" t="str">
        <f>IF(ISNUMBER(FIND("overige",Methode_Keuze)),"",IF(Tb_Activiteiten[[#This Row],[Afschrijvingskosten]]=1,Tb_Activiteiten[[#Headers],[Afschrijvingskosten]],""))</f>
        <v/>
      </c>
      <c r="AY1175" t="str">
        <f>IF(ISNUMBER(FIND("overige",Methode_Keuze)),"",IF(Tb_Activiteiten[[#This Row],[Vergoeding]]=1,Tb_Activiteiten[[#Headers],[Vergoeding]],""))</f>
        <v/>
      </c>
      <c r="AZ1175" t="str">
        <f>IF(ISNUMBER(FIND("arbeid",Methode_Keuze)),"",IF(Tb_Activiteiten[[#This Row],[Arbeidskosten - vast tarief (excl eigen arbeid)]]=1,Tb_Activiteiten[[#Headers],[Arbeidskosten - vast tarief (excl eigen arbeid)]],""))</f>
        <v/>
      </c>
      <c r="BA1175" t="str">
        <f>IF(ISNUMBER(FIND("overige",Methode_Keuze)),"",IF(Tb_Activiteiten[[#This Row],[Overige kosten]]=1,Tb_Activiteiten[[#Headers],[Overige kosten]],""))</f>
        <v/>
      </c>
    </row>
    <row r="1176" spans="1:53" x14ac:dyDescent="0.25">
      <c r="A1176" s="139"/>
      <c r="B1176" s="139"/>
      <c r="C1176" s="139"/>
      <c r="D1176" s="139"/>
      <c r="E1176" s="139"/>
      <c r="F1176" s="139"/>
      <c r="G1176" s="139"/>
      <c r="O1176" s="56"/>
      <c r="Q1176" t="str">
        <f>IFERROR(IF(VLOOKUP(Tb_Activiteiten[[#This Row],[Openstelling]],Tb_Openstelling[],2,0)=1,1,""),"")</f>
        <v/>
      </c>
      <c r="AK1176" t="str">
        <f>IF(ISNUMBER(FIND("arbeid",Methode_Keuze)),"",IF(ISNUMBER(FIND("arbeid",Methode_Keuze)),"",IF(Tb_Activiteiten[[#This Row],[Loonkosten]]=1,Tb_Activiteiten[[#Headers],[Loonkosten]],"")))</f>
        <v/>
      </c>
      <c r="AL1176" t="str">
        <f>IF(ISNUMBER(FIND("arbeid",Methode_Keuze)),"",IF(ISNUMBER(FIND("arbeid",Methode_Keuze)),"",IF(Tb_Activiteiten[[#This Row],[Eigen arbeid]]=1,Tb_Activiteiten[[#Headers],[Eigen arbeid]],"")))</f>
        <v/>
      </c>
      <c r="AM1176" t="str">
        <f>IF(ISNUMBER(FIND("arbeid",Methode_Keuze)),"",IF(ISNUMBER(FIND("arbeid",Methode_Keuze)),"",IF(Tb_Activiteiten[[#This Row],[Projectmedewerker]]=1,Tb_Activiteiten[[#Headers],[Projectmedewerker]],"")))</f>
        <v/>
      </c>
      <c r="AN1176" t="str">
        <f>IF(ISNUMBER(FIND("arbeid",Methode_Keuze)),"",IF(ISNUMBER(FIND("arbeid",Methode_Keuze)),"",IF(Tb_Activiteiten[[#This Row],[Landbouwer]]=1,Tb_Activiteiten[[#Headers],[Landbouwer]],"")))</f>
        <v/>
      </c>
      <c r="AO1176" t="str">
        <f>IF(ISNUMBER(FIND("arbeid",Methode_Keuze)),"",IF(ISNUMBER(FIND("arbeid",Methode_Keuze)),"",IF(Tb_Activiteiten[[#This Row],[Adviseur]]=1,Tb_Activiteiten[[#Headers],[Adviseur]],"")))</f>
        <v/>
      </c>
      <c r="AP1176" t="str">
        <f>IF(ISNUMBER(FIND("arbeid",Methode_Keuze)),"",IF(ISNUMBER(FIND("arbeid",Methode_Keuze)),"",IF(Tb_Activiteiten[[#This Row],[Projectleider/Expert]]=1,Tb_Activiteiten[[#Headers],[Projectleider/Expert]],"")))</f>
        <v/>
      </c>
      <c r="AQ1176" t="str">
        <f>IF(ISNUMBER(FIND("arbeid",Methode_Keuze)),"",IF(ISNUMBER(FIND("arbeid",Methode_Keuze)),"",IF(Tb_Activiteiten[[#This Row],[Arbeidskosten]]=1,Tb_Activiteiten[[#Headers],[Arbeidskosten]],"")))</f>
        <v/>
      </c>
      <c r="AR1176" t="str">
        <f>IF(ISNUMBER(FIND("arbeid",Methode_Keuze)),"",IF(ISNUMBER(FIND("arbeid",Methode_Keuze)),"",IF(Tb_Activiteiten[[#This Row],[Arbeidskosten op basis van IKS]]=1,Tb_Activiteiten[[#Headers],[Arbeidskosten op basis van IKS]],"")))</f>
        <v/>
      </c>
      <c r="AS1176" t="str">
        <f>IF(ISNUMBER(FIND("overige",Methode_Keuze)),"",IF(Tb_Activiteiten[[#This Row],[Kosten derden exclusief btw]]=1,Tb_Activiteiten[[#Headers],[Kosten derden exclusief btw]],""))</f>
        <v/>
      </c>
      <c r="AT1176" t="str">
        <f>IF(ISNUMBER(FIND("overige",Methode_Keuze)),"",IF(Tb_Activiteiten[[#This Row],[Niet verrekenbare btw]]=1,Tb_Activiteiten[[#Headers],[Niet verrekenbare btw]],""))</f>
        <v/>
      </c>
      <c r="AU1176" t="str">
        <f>IF(ISNUMBER(FIND("overige",Methode_Keuze)),"",IF(Tb_Activiteiten[[#This Row],[Grondkosten]]=1,Tb_Activiteiten[[#Headers],[Grondkosten]],""))</f>
        <v/>
      </c>
      <c r="AV1176" t="str">
        <f>IF(ISNUMBER(FIND("overige",Methode_Keuze)),"",IF(Tb_Activiteiten[[#This Row],[Bijdrage in natura (overige)]]=1,Tb_Activiteiten[[#Headers],[Bijdrage in natura (overige)]],""))</f>
        <v/>
      </c>
      <c r="AW1176" t="str">
        <f>IF(ISNUMBER(FIND("overige",Methode_Keuze)),"",IF(Tb_Activiteiten[[#This Row],[Bijdrage in natura (vrijwilligers)]]=1,Tb_Activiteiten[[#Headers],[Bijdrage in natura (vrijwilligers)]],""))</f>
        <v/>
      </c>
      <c r="AX1176" t="str">
        <f>IF(ISNUMBER(FIND("overige",Methode_Keuze)),"",IF(Tb_Activiteiten[[#This Row],[Afschrijvingskosten]]=1,Tb_Activiteiten[[#Headers],[Afschrijvingskosten]],""))</f>
        <v/>
      </c>
      <c r="AY1176" t="str">
        <f>IF(ISNUMBER(FIND("overige",Methode_Keuze)),"",IF(Tb_Activiteiten[[#This Row],[Vergoeding]]=1,Tb_Activiteiten[[#Headers],[Vergoeding]],""))</f>
        <v/>
      </c>
      <c r="AZ1176" t="str">
        <f>IF(ISNUMBER(FIND("arbeid",Methode_Keuze)),"",IF(Tb_Activiteiten[[#This Row],[Arbeidskosten - vast tarief (excl eigen arbeid)]]=1,Tb_Activiteiten[[#Headers],[Arbeidskosten - vast tarief (excl eigen arbeid)]],""))</f>
        <v/>
      </c>
      <c r="BA1176" t="str">
        <f>IF(ISNUMBER(FIND("overige",Methode_Keuze)),"",IF(Tb_Activiteiten[[#This Row],[Overige kosten]]=1,Tb_Activiteiten[[#Headers],[Overige kosten]],""))</f>
        <v/>
      </c>
    </row>
    <row r="1177" spans="1:53" x14ac:dyDescent="0.25">
      <c r="A1177" s="139"/>
      <c r="B1177" s="139"/>
      <c r="C1177" s="139"/>
      <c r="D1177" s="139"/>
      <c r="E1177" s="139"/>
      <c r="F1177" s="139"/>
      <c r="G1177" s="139"/>
      <c r="O1177" s="56"/>
      <c r="Q1177" t="str">
        <f>IFERROR(IF(VLOOKUP(Tb_Activiteiten[[#This Row],[Openstelling]],Tb_Openstelling[],2,0)=1,1,""),"")</f>
        <v/>
      </c>
      <c r="AK1177" t="str">
        <f>IF(ISNUMBER(FIND("arbeid",Methode_Keuze)),"",IF(ISNUMBER(FIND("arbeid",Methode_Keuze)),"",IF(Tb_Activiteiten[[#This Row],[Loonkosten]]=1,Tb_Activiteiten[[#Headers],[Loonkosten]],"")))</f>
        <v/>
      </c>
      <c r="AL1177" t="str">
        <f>IF(ISNUMBER(FIND("arbeid",Methode_Keuze)),"",IF(ISNUMBER(FIND("arbeid",Methode_Keuze)),"",IF(Tb_Activiteiten[[#This Row],[Eigen arbeid]]=1,Tb_Activiteiten[[#Headers],[Eigen arbeid]],"")))</f>
        <v/>
      </c>
      <c r="AM1177" t="str">
        <f>IF(ISNUMBER(FIND("arbeid",Methode_Keuze)),"",IF(ISNUMBER(FIND("arbeid",Methode_Keuze)),"",IF(Tb_Activiteiten[[#This Row],[Projectmedewerker]]=1,Tb_Activiteiten[[#Headers],[Projectmedewerker]],"")))</f>
        <v/>
      </c>
      <c r="AN1177" t="str">
        <f>IF(ISNUMBER(FIND("arbeid",Methode_Keuze)),"",IF(ISNUMBER(FIND("arbeid",Methode_Keuze)),"",IF(Tb_Activiteiten[[#This Row],[Landbouwer]]=1,Tb_Activiteiten[[#Headers],[Landbouwer]],"")))</f>
        <v/>
      </c>
      <c r="AO1177" t="str">
        <f>IF(ISNUMBER(FIND("arbeid",Methode_Keuze)),"",IF(ISNUMBER(FIND("arbeid",Methode_Keuze)),"",IF(Tb_Activiteiten[[#This Row],[Adviseur]]=1,Tb_Activiteiten[[#Headers],[Adviseur]],"")))</f>
        <v/>
      </c>
      <c r="AP1177" t="str">
        <f>IF(ISNUMBER(FIND("arbeid",Methode_Keuze)),"",IF(ISNUMBER(FIND("arbeid",Methode_Keuze)),"",IF(Tb_Activiteiten[[#This Row],[Projectleider/Expert]]=1,Tb_Activiteiten[[#Headers],[Projectleider/Expert]],"")))</f>
        <v/>
      </c>
      <c r="AQ1177" t="str">
        <f>IF(ISNUMBER(FIND("arbeid",Methode_Keuze)),"",IF(ISNUMBER(FIND("arbeid",Methode_Keuze)),"",IF(Tb_Activiteiten[[#This Row],[Arbeidskosten]]=1,Tb_Activiteiten[[#Headers],[Arbeidskosten]],"")))</f>
        <v/>
      </c>
      <c r="AR1177" t="str">
        <f>IF(ISNUMBER(FIND("arbeid",Methode_Keuze)),"",IF(ISNUMBER(FIND("arbeid",Methode_Keuze)),"",IF(Tb_Activiteiten[[#This Row],[Arbeidskosten op basis van IKS]]=1,Tb_Activiteiten[[#Headers],[Arbeidskosten op basis van IKS]],"")))</f>
        <v/>
      </c>
      <c r="AS1177" t="str">
        <f>IF(ISNUMBER(FIND("overige",Methode_Keuze)),"",IF(Tb_Activiteiten[[#This Row],[Kosten derden exclusief btw]]=1,Tb_Activiteiten[[#Headers],[Kosten derden exclusief btw]],""))</f>
        <v/>
      </c>
      <c r="AT1177" t="str">
        <f>IF(ISNUMBER(FIND("overige",Methode_Keuze)),"",IF(Tb_Activiteiten[[#This Row],[Niet verrekenbare btw]]=1,Tb_Activiteiten[[#Headers],[Niet verrekenbare btw]],""))</f>
        <v/>
      </c>
      <c r="AU1177" t="str">
        <f>IF(ISNUMBER(FIND("overige",Methode_Keuze)),"",IF(Tb_Activiteiten[[#This Row],[Grondkosten]]=1,Tb_Activiteiten[[#Headers],[Grondkosten]],""))</f>
        <v/>
      </c>
      <c r="AV1177" t="str">
        <f>IF(ISNUMBER(FIND("overige",Methode_Keuze)),"",IF(Tb_Activiteiten[[#This Row],[Bijdrage in natura (overige)]]=1,Tb_Activiteiten[[#Headers],[Bijdrage in natura (overige)]],""))</f>
        <v/>
      </c>
      <c r="AW1177" t="str">
        <f>IF(ISNUMBER(FIND("overige",Methode_Keuze)),"",IF(Tb_Activiteiten[[#This Row],[Bijdrage in natura (vrijwilligers)]]=1,Tb_Activiteiten[[#Headers],[Bijdrage in natura (vrijwilligers)]],""))</f>
        <v/>
      </c>
      <c r="AX1177" t="str">
        <f>IF(ISNUMBER(FIND("overige",Methode_Keuze)),"",IF(Tb_Activiteiten[[#This Row],[Afschrijvingskosten]]=1,Tb_Activiteiten[[#Headers],[Afschrijvingskosten]],""))</f>
        <v/>
      </c>
      <c r="AY1177" t="str">
        <f>IF(ISNUMBER(FIND("overige",Methode_Keuze)),"",IF(Tb_Activiteiten[[#This Row],[Vergoeding]]=1,Tb_Activiteiten[[#Headers],[Vergoeding]],""))</f>
        <v/>
      </c>
      <c r="AZ1177" t="str">
        <f>IF(ISNUMBER(FIND("arbeid",Methode_Keuze)),"",IF(Tb_Activiteiten[[#This Row],[Arbeidskosten - vast tarief (excl eigen arbeid)]]=1,Tb_Activiteiten[[#Headers],[Arbeidskosten - vast tarief (excl eigen arbeid)]],""))</f>
        <v/>
      </c>
      <c r="BA1177" t="str">
        <f>IF(ISNUMBER(FIND("overige",Methode_Keuze)),"",IF(Tb_Activiteiten[[#This Row],[Overige kosten]]=1,Tb_Activiteiten[[#Headers],[Overige kosten]],""))</f>
        <v/>
      </c>
    </row>
    <row r="1178" spans="1:53" x14ac:dyDescent="0.25">
      <c r="A1178" s="139"/>
      <c r="B1178" s="139"/>
      <c r="C1178" s="139"/>
      <c r="D1178" s="139"/>
      <c r="E1178" s="139"/>
      <c r="F1178" s="139"/>
      <c r="G1178" s="139"/>
      <c r="O1178" s="56"/>
      <c r="Q1178" t="str">
        <f>IFERROR(IF(VLOOKUP(Tb_Activiteiten[[#This Row],[Openstelling]],Tb_Openstelling[],2,0)=1,1,""),"")</f>
        <v/>
      </c>
      <c r="AK1178" t="str">
        <f>IF(ISNUMBER(FIND("arbeid",Methode_Keuze)),"",IF(ISNUMBER(FIND("arbeid",Methode_Keuze)),"",IF(Tb_Activiteiten[[#This Row],[Loonkosten]]=1,Tb_Activiteiten[[#Headers],[Loonkosten]],"")))</f>
        <v/>
      </c>
      <c r="AL1178" t="str">
        <f>IF(ISNUMBER(FIND("arbeid",Methode_Keuze)),"",IF(ISNUMBER(FIND("arbeid",Methode_Keuze)),"",IF(Tb_Activiteiten[[#This Row],[Eigen arbeid]]=1,Tb_Activiteiten[[#Headers],[Eigen arbeid]],"")))</f>
        <v/>
      </c>
      <c r="AM1178" t="str">
        <f>IF(ISNUMBER(FIND("arbeid",Methode_Keuze)),"",IF(ISNUMBER(FIND("arbeid",Methode_Keuze)),"",IF(Tb_Activiteiten[[#This Row],[Projectmedewerker]]=1,Tb_Activiteiten[[#Headers],[Projectmedewerker]],"")))</f>
        <v/>
      </c>
      <c r="AN1178" t="str">
        <f>IF(ISNUMBER(FIND("arbeid",Methode_Keuze)),"",IF(ISNUMBER(FIND("arbeid",Methode_Keuze)),"",IF(Tb_Activiteiten[[#This Row],[Landbouwer]]=1,Tb_Activiteiten[[#Headers],[Landbouwer]],"")))</f>
        <v/>
      </c>
      <c r="AO1178" t="str">
        <f>IF(ISNUMBER(FIND("arbeid",Methode_Keuze)),"",IF(ISNUMBER(FIND("arbeid",Methode_Keuze)),"",IF(Tb_Activiteiten[[#This Row],[Adviseur]]=1,Tb_Activiteiten[[#Headers],[Adviseur]],"")))</f>
        <v/>
      </c>
      <c r="AP1178" t="str">
        <f>IF(ISNUMBER(FIND("arbeid",Methode_Keuze)),"",IF(ISNUMBER(FIND("arbeid",Methode_Keuze)),"",IF(Tb_Activiteiten[[#This Row],[Projectleider/Expert]]=1,Tb_Activiteiten[[#Headers],[Projectleider/Expert]],"")))</f>
        <v/>
      </c>
      <c r="AQ1178" t="str">
        <f>IF(ISNUMBER(FIND("arbeid",Methode_Keuze)),"",IF(ISNUMBER(FIND("arbeid",Methode_Keuze)),"",IF(Tb_Activiteiten[[#This Row],[Arbeidskosten]]=1,Tb_Activiteiten[[#Headers],[Arbeidskosten]],"")))</f>
        <v/>
      </c>
      <c r="AR1178" t="str">
        <f>IF(ISNUMBER(FIND("arbeid",Methode_Keuze)),"",IF(ISNUMBER(FIND("arbeid",Methode_Keuze)),"",IF(Tb_Activiteiten[[#This Row],[Arbeidskosten op basis van IKS]]=1,Tb_Activiteiten[[#Headers],[Arbeidskosten op basis van IKS]],"")))</f>
        <v/>
      </c>
      <c r="AS1178" t="str">
        <f>IF(ISNUMBER(FIND("overige",Methode_Keuze)),"",IF(Tb_Activiteiten[[#This Row],[Kosten derden exclusief btw]]=1,Tb_Activiteiten[[#Headers],[Kosten derden exclusief btw]],""))</f>
        <v/>
      </c>
      <c r="AT1178" t="str">
        <f>IF(ISNUMBER(FIND("overige",Methode_Keuze)),"",IF(Tb_Activiteiten[[#This Row],[Niet verrekenbare btw]]=1,Tb_Activiteiten[[#Headers],[Niet verrekenbare btw]],""))</f>
        <v/>
      </c>
      <c r="AU1178" t="str">
        <f>IF(ISNUMBER(FIND("overige",Methode_Keuze)),"",IF(Tb_Activiteiten[[#This Row],[Grondkosten]]=1,Tb_Activiteiten[[#Headers],[Grondkosten]],""))</f>
        <v/>
      </c>
      <c r="AV1178" t="str">
        <f>IF(ISNUMBER(FIND("overige",Methode_Keuze)),"",IF(Tb_Activiteiten[[#This Row],[Bijdrage in natura (overige)]]=1,Tb_Activiteiten[[#Headers],[Bijdrage in natura (overige)]],""))</f>
        <v/>
      </c>
      <c r="AW1178" t="str">
        <f>IF(ISNUMBER(FIND("overige",Methode_Keuze)),"",IF(Tb_Activiteiten[[#This Row],[Bijdrage in natura (vrijwilligers)]]=1,Tb_Activiteiten[[#Headers],[Bijdrage in natura (vrijwilligers)]],""))</f>
        <v/>
      </c>
      <c r="AX1178" t="str">
        <f>IF(ISNUMBER(FIND("overige",Methode_Keuze)),"",IF(Tb_Activiteiten[[#This Row],[Afschrijvingskosten]]=1,Tb_Activiteiten[[#Headers],[Afschrijvingskosten]],""))</f>
        <v/>
      </c>
      <c r="AY1178" t="str">
        <f>IF(ISNUMBER(FIND("overige",Methode_Keuze)),"",IF(Tb_Activiteiten[[#This Row],[Vergoeding]]=1,Tb_Activiteiten[[#Headers],[Vergoeding]],""))</f>
        <v/>
      </c>
      <c r="AZ1178" t="str">
        <f>IF(ISNUMBER(FIND("arbeid",Methode_Keuze)),"",IF(Tb_Activiteiten[[#This Row],[Arbeidskosten - vast tarief (excl eigen arbeid)]]=1,Tb_Activiteiten[[#Headers],[Arbeidskosten - vast tarief (excl eigen arbeid)]],""))</f>
        <v/>
      </c>
      <c r="BA1178" t="str">
        <f>IF(ISNUMBER(FIND("overige",Methode_Keuze)),"",IF(Tb_Activiteiten[[#This Row],[Overige kosten]]=1,Tb_Activiteiten[[#Headers],[Overige kosten]],""))</f>
        <v/>
      </c>
    </row>
    <row r="1179" spans="1:53" x14ac:dyDescent="0.25">
      <c r="A1179" s="139"/>
      <c r="B1179" s="139"/>
      <c r="C1179" s="139"/>
      <c r="D1179" s="139"/>
      <c r="E1179" s="139"/>
      <c r="F1179" s="139"/>
      <c r="G1179" s="139"/>
      <c r="O1179" s="56"/>
      <c r="Q1179" t="str">
        <f>IFERROR(IF(VLOOKUP(Tb_Activiteiten[[#This Row],[Openstelling]],Tb_Openstelling[],2,0)=1,1,""),"")</f>
        <v/>
      </c>
      <c r="AK1179" t="str">
        <f>IF(ISNUMBER(FIND("arbeid",Methode_Keuze)),"",IF(ISNUMBER(FIND("arbeid",Methode_Keuze)),"",IF(Tb_Activiteiten[[#This Row],[Loonkosten]]=1,Tb_Activiteiten[[#Headers],[Loonkosten]],"")))</f>
        <v/>
      </c>
      <c r="AL1179" t="str">
        <f>IF(ISNUMBER(FIND("arbeid",Methode_Keuze)),"",IF(ISNUMBER(FIND("arbeid",Methode_Keuze)),"",IF(Tb_Activiteiten[[#This Row],[Eigen arbeid]]=1,Tb_Activiteiten[[#Headers],[Eigen arbeid]],"")))</f>
        <v/>
      </c>
      <c r="AM1179" t="str">
        <f>IF(ISNUMBER(FIND("arbeid",Methode_Keuze)),"",IF(ISNUMBER(FIND("arbeid",Methode_Keuze)),"",IF(Tb_Activiteiten[[#This Row],[Projectmedewerker]]=1,Tb_Activiteiten[[#Headers],[Projectmedewerker]],"")))</f>
        <v/>
      </c>
      <c r="AN1179" t="str">
        <f>IF(ISNUMBER(FIND("arbeid",Methode_Keuze)),"",IF(ISNUMBER(FIND("arbeid",Methode_Keuze)),"",IF(Tb_Activiteiten[[#This Row],[Landbouwer]]=1,Tb_Activiteiten[[#Headers],[Landbouwer]],"")))</f>
        <v/>
      </c>
      <c r="AO1179" t="str">
        <f>IF(ISNUMBER(FIND("arbeid",Methode_Keuze)),"",IF(ISNUMBER(FIND("arbeid",Methode_Keuze)),"",IF(Tb_Activiteiten[[#This Row],[Adviseur]]=1,Tb_Activiteiten[[#Headers],[Adviseur]],"")))</f>
        <v/>
      </c>
      <c r="AP1179" t="str">
        <f>IF(ISNUMBER(FIND("arbeid",Methode_Keuze)),"",IF(ISNUMBER(FIND("arbeid",Methode_Keuze)),"",IF(Tb_Activiteiten[[#This Row],[Projectleider/Expert]]=1,Tb_Activiteiten[[#Headers],[Projectleider/Expert]],"")))</f>
        <v/>
      </c>
      <c r="AQ1179" t="str">
        <f>IF(ISNUMBER(FIND("arbeid",Methode_Keuze)),"",IF(ISNUMBER(FIND("arbeid",Methode_Keuze)),"",IF(Tb_Activiteiten[[#This Row],[Arbeidskosten]]=1,Tb_Activiteiten[[#Headers],[Arbeidskosten]],"")))</f>
        <v/>
      </c>
      <c r="AR1179" t="str">
        <f>IF(ISNUMBER(FIND("arbeid",Methode_Keuze)),"",IF(ISNUMBER(FIND("arbeid",Methode_Keuze)),"",IF(Tb_Activiteiten[[#This Row],[Arbeidskosten op basis van IKS]]=1,Tb_Activiteiten[[#Headers],[Arbeidskosten op basis van IKS]],"")))</f>
        <v/>
      </c>
      <c r="AS1179" t="str">
        <f>IF(ISNUMBER(FIND("overige",Methode_Keuze)),"",IF(Tb_Activiteiten[[#This Row],[Kosten derden exclusief btw]]=1,Tb_Activiteiten[[#Headers],[Kosten derden exclusief btw]],""))</f>
        <v/>
      </c>
      <c r="AT1179" t="str">
        <f>IF(ISNUMBER(FIND("overige",Methode_Keuze)),"",IF(Tb_Activiteiten[[#This Row],[Niet verrekenbare btw]]=1,Tb_Activiteiten[[#Headers],[Niet verrekenbare btw]],""))</f>
        <v/>
      </c>
      <c r="AU1179" t="str">
        <f>IF(ISNUMBER(FIND("overige",Methode_Keuze)),"",IF(Tb_Activiteiten[[#This Row],[Grondkosten]]=1,Tb_Activiteiten[[#Headers],[Grondkosten]],""))</f>
        <v/>
      </c>
      <c r="AV1179" t="str">
        <f>IF(ISNUMBER(FIND("overige",Methode_Keuze)),"",IF(Tb_Activiteiten[[#This Row],[Bijdrage in natura (overige)]]=1,Tb_Activiteiten[[#Headers],[Bijdrage in natura (overige)]],""))</f>
        <v/>
      </c>
      <c r="AW1179" t="str">
        <f>IF(ISNUMBER(FIND("overige",Methode_Keuze)),"",IF(Tb_Activiteiten[[#This Row],[Bijdrage in natura (vrijwilligers)]]=1,Tb_Activiteiten[[#Headers],[Bijdrage in natura (vrijwilligers)]],""))</f>
        <v/>
      </c>
      <c r="AX1179" t="str">
        <f>IF(ISNUMBER(FIND("overige",Methode_Keuze)),"",IF(Tb_Activiteiten[[#This Row],[Afschrijvingskosten]]=1,Tb_Activiteiten[[#Headers],[Afschrijvingskosten]],""))</f>
        <v/>
      </c>
      <c r="AY1179" t="str">
        <f>IF(ISNUMBER(FIND("overige",Methode_Keuze)),"",IF(Tb_Activiteiten[[#This Row],[Vergoeding]]=1,Tb_Activiteiten[[#Headers],[Vergoeding]],""))</f>
        <v/>
      </c>
      <c r="AZ1179" t="str">
        <f>IF(ISNUMBER(FIND("arbeid",Methode_Keuze)),"",IF(Tb_Activiteiten[[#This Row],[Arbeidskosten - vast tarief (excl eigen arbeid)]]=1,Tb_Activiteiten[[#Headers],[Arbeidskosten - vast tarief (excl eigen arbeid)]],""))</f>
        <v/>
      </c>
      <c r="BA1179" t="str">
        <f>IF(ISNUMBER(FIND("overige",Methode_Keuze)),"",IF(Tb_Activiteiten[[#This Row],[Overige kosten]]=1,Tb_Activiteiten[[#Headers],[Overige kosten]],""))</f>
        <v/>
      </c>
    </row>
    <row r="1180" spans="1:53" x14ac:dyDescent="0.25">
      <c r="A1180" s="139"/>
      <c r="B1180" s="139"/>
      <c r="C1180" s="139"/>
      <c r="D1180" s="139"/>
      <c r="E1180" s="139"/>
      <c r="F1180" s="139"/>
      <c r="G1180" s="139"/>
      <c r="O1180" s="56"/>
      <c r="Q1180" t="str">
        <f>IFERROR(IF(VLOOKUP(Tb_Activiteiten[[#This Row],[Openstelling]],Tb_Openstelling[],2,0)=1,1,""),"")</f>
        <v/>
      </c>
      <c r="AK1180" t="str">
        <f>IF(ISNUMBER(FIND("arbeid",Methode_Keuze)),"",IF(ISNUMBER(FIND("arbeid",Methode_Keuze)),"",IF(Tb_Activiteiten[[#This Row],[Loonkosten]]=1,Tb_Activiteiten[[#Headers],[Loonkosten]],"")))</f>
        <v/>
      </c>
      <c r="AL1180" t="str">
        <f>IF(ISNUMBER(FIND("arbeid",Methode_Keuze)),"",IF(ISNUMBER(FIND("arbeid",Methode_Keuze)),"",IF(Tb_Activiteiten[[#This Row],[Eigen arbeid]]=1,Tb_Activiteiten[[#Headers],[Eigen arbeid]],"")))</f>
        <v/>
      </c>
      <c r="AM1180" t="str">
        <f>IF(ISNUMBER(FIND("arbeid",Methode_Keuze)),"",IF(ISNUMBER(FIND("arbeid",Methode_Keuze)),"",IF(Tb_Activiteiten[[#This Row],[Projectmedewerker]]=1,Tb_Activiteiten[[#Headers],[Projectmedewerker]],"")))</f>
        <v/>
      </c>
      <c r="AN1180" t="str">
        <f>IF(ISNUMBER(FIND("arbeid",Methode_Keuze)),"",IF(ISNUMBER(FIND("arbeid",Methode_Keuze)),"",IF(Tb_Activiteiten[[#This Row],[Landbouwer]]=1,Tb_Activiteiten[[#Headers],[Landbouwer]],"")))</f>
        <v/>
      </c>
      <c r="AO1180" t="str">
        <f>IF(ISNUMBER(FIND("arbeid",Methode_Keuze)),"",IF(ISNUMBER(FIND("arbeid",Methode_Keuze)),"",IF(Tb_Activiteiten[[#This Row],[Adviseur]]=1,Tb_Activiteiten[[#Headers],[Adviseur]],"")))</f>
        <v/>
      </c>
      <c r="AP1180" t="str">
        <f>IF(ISNUMBER(FIND("arbeid",Methode_Keuze)),"",IF(ISNUMBER(FIND("arbeid",Methode_Keuze)),"",IF(Tb_Activiteiten[[#This Row],[Projectleider/Expert]]=1,Tb_Activiteiten[[#Headers],[Projectleider/Expert]],"")))</f>
        <v/>
      </c>
      <c r="AQ1180" t="str">
        <f>IF(ISNUMBER(FIND("arbeid",Methode_Keuze)),"",IF(ISNUMBER(FIND("arbeid",Methode_Keuze)),"",IF(Tb_Activiteiten[[#This Row],[Arbeidskosten]]=1,Tb_Activiteiten[[#Headers],[Arbeidskosten]],"")))</f>
        <v/>
      </c>
      <c r="AR1180" t="str">
        <f>IF(ISNUMBER(FIND("arbeid",Methode_Keuze)),"",IF(ISNUMBER(FIND("arbeid",Methode_Keuze)),"",IF(Tb_Activiteiten[[#This Row],[Arbeidskosten op basis van IKS]]=1,Tb_Activiteiten[[#Headers],[Arbeidskosten op basis van IKS]],"")))</f>
        <v/>
      </c>
      <c r="AS1180" t="str">
        <f>IF(ISNUMBER(FIND("overige",Methode_Keuze)),"",IF(Tb_Activiteiten[[#This Row],[Kosten derden exclusief btw]]=1,Tb_Activiteiten[[#Headers],[Kosten derden exclusief btw]],""))</f>
        <v/>
      </c>
      <c r="AT1180" t="str">
        <f>IF(ISNUMBER(FIND("overige",Methode_Keuze)),"",IF(Tb_Activiteiten[[#This Row],[Niet verrekenbare btw]]=1,Tb_Activiteiten[[#Headers],[Niet verrekenbare btw]],""))</f>
        <v/>
      </c>
      <c r="AU1180" t="str">
        <f>IF(ISNUMBER(FIND("overige",Methode_Keuze)),"",IF(Tb_Activiteiten[[#This Row],[Grondkosten]]=1,Tb_Activiteiten[[#Headers],[Grondkosten]],""))</f>
        <v/>
      </c>
      <c r="AV1180" t="str">
        <f>IF(ISNUMBER(FIND("overige",Methode_Keuze)),"",IF(Tb_Activiteiten[[#This Row],[Bijdrage in natura (overige)]]=1,Tb_Activiteiten[[#Headers],[Bijdrage in natura (overige)]],""))</f>
        <v/>
      </c>
      <c r="AW1180" t="str">
        <f>IF(ISNUMBER(FIND("overige",Methode_Keuze)),"",IF(Tb_Activiteiten[[#This Row],[Bijdrage in natura (vrijwilligers)]]=1,Tb_Activiteiten[[#Headers],[Bijdrage in natura (vrijwilligers)]],""))</f>
        <v/>
      </c>
      <c r="AX1180" t="str">
        <f>IF(ISNUMBER(FIND("overige",Methode_Keuze)),"",IF(Tb_Activiteiten[[#This Row],[Afschrijvingskosten]]=1,Tb_Activiteiten[[#Headers],[Afschrijvingskosten]],""))</f>
        <v/>
      </c>
      <c r="AY1180" t="str">
        <f>IF(ISNUMBER(FIND("overige",Methode_Keuze)),"",IF(Tb_Activiteiten[[#This Row],[Vergoeding]]=1,Tb_Activiteiten[[#Headers],[Vergoeding]],""))</f>
        <v/>
      </c>
      <c r="AZ1180" t="str">
        <f>IF(ISNUMBER(FIND("arbeid",Methode_Keuze)),"",IF(Tb_Activiteiten[[#This Row],[Arbeidskosten - vast tarief (excl eigen arbeid)]]=1,Tb_Activiteiten[[#Headers],[Arbeidskosten - vast tarief (excl eigen arbeid)]],""))</f>
        <v/>
      </c>
      <c r="BA1180" t="str">
        <f>IF(ISNUMBER(FIND("overige",Methode_Keuze)),"",IF(Tb_Activiteiten[[#This Row],[Overige kosten]]=1,Tb_Activiteiten[[#Headers],[Overige kosten]],""))</f>
        <v/>
      </c>
    </row>
    <row r="1181" spans="1:53" x14ac:dyDescent="0.25">
      <c r="A1181" s="139"/>
      <c r="B1181" s="139"/>
      <c r="C1181" s="139"/>
      <c r="D1181" s="139"/>
      <c r="E1181" s="139"/>
      <c r="F1181" s="139"/>
      <c r="G1181" s="139"/>
      <c r="O1181" s="56"/>
      <c r="Q1181" t="str">
        <f>IFERROR(IF(VLOOKUP(Tb_Activiteiten[[#This Row],[Openstelling]],Tb_Openstelling[],2,0)=1,1,""),"")</f>
        <v/>
      </c>
      <c r="AK1181" t="str">
        <f>IF(ISNUMBER(FIND("arbeid",Methode_Keuze)),"",IF(ISNUMBER(FIND("arbeid",Methode_Keuze)),"",IF(Tb_Activiteiten[[#This Row],[Loonkosten]]=1,Tb_Activiteiten[[#Headers],[Loonkosten]],"")))</f>
        <v/>
      </c>
      <c r="AL1181" t="str">
        <f>IF(ISNUMBER(FIND("arbeid",Methode_Keuze)),"",IF(ISNUMBER(FIND("arbeid",Methode_Keuze)),"",IF(Tb_Activiteiten[[#This Row],[Eigen arbeid]]=1,Tb_Activiteiten[[#Headers],[Eigen arbeid]],"")))</f>
        <v/>
      </c>
      <c r="AM1181" t="str">
        <f>IF(ISNUMBER(FIND("arbeid",Methode_Keuze)),"",IF(ISNUMBER(FIND("arbeid",Methode_Keuze)),"",IF(Tb_Activiteiten[[#This Row],[Projectmedewerker]]=1,Tb_Activiteiten[[#Headers],[Projectmedewerker]],"")))</f>
        <v/>
      </c>
      <c r="AN1181" t="str">
        <f>IF(ISNUMBER(FIND("arbeid",Methode_Keuze)),"",IF(ISNUMBER(FIND("arbeid",Methode_Keuze)),"",IF(Tb_Activiteiten[[#This Row],[Landbouwer]]=1,Tb_Activiteiten[[#Headers],[Landbouwer]],"")))</f>
        <v/>
      </c>
      <c r="AO1181" t="str">
        <f>IF(ISNUMBER(FIND("arbeid",Methode_Keuze)),"",IF(ISNUMBER(FIND("arbeid",Methode_Keuze)),"",IF(Tb_Activiteiten[[#This Row],[Adviseur]]=1,Tb_Activiteiten[[#Headers],[Adviseur]],"")))</f>
        <v/>
      </c>
      <c r="AP1181" t="str">
        <f>IF(ISNUMBER(FIND("arbeid",Methode_Keuze)),"",IF(ISNUMBER(FIND("arbeid",Methode_Keuze)),"",IF(Tb_Activiteiten[[#This Row],[Projectleider/Expert]]=1,Tb_Activiteiten[[#Headers],[Projectleider/Expert]],"")))</f>
        <v/>
      </c>
      <c r="AQ1181" t="str">
        <f>IF(ISNUMBER(FIND("arbeid",Methode_Keuze)),"",IF(ISNUMBER(FIND("arbeid",Methode_Keuze)),"",IF(Tb_Activiteiten[[#This Row],[Arbeidskosten]]=1,Tb_Activiteiten[[#Headers],[Arbeidskosten]],"")))</f>
        <v/>
      </c>
      <c r="AR1181" t="str">
        <f>IF(ISNUMBER(FIND("arbeid",Methode_Keuze)),"",IF(ISNUMBER(FIND("arbeid",Methode_Keuze)),"",IF(Tb_Activiteiten[[#This Row],[Arbeidskosten op basis van IKS]]=1,Tb_Activiteiten[[#Headers],[Arbeidskosten op basis van IKS]],"")))</f>
        <v/>
      </c>
      <c r="AS1181" t="str">
        <f>IF(ISNUMBER(FIND("overige",Methode_Keuze)),"",IF(Tb_Activiteiten[[#This Row],[Kosten derden exclusief btw]]=1,Tb_Activiteiten[[#Headers],[Kosten derden exclusief btw]],""))</f>
        <v/>
      </c>
      <c r="AT1181" t="str">
        <f>IF(ISNUMBER(FIND("overige",Methode_Keuze)),"",IF(Tb_Activiteiten[[#This Row],[Niet verrekenbare btw]]=1,Tb_Activiteiten[[#Headers],[Niet verrekenbare btw]],""))</f>
        <v/>
      </c>
      <c r="AU1181" t="str">
        <f>IF(ISNUMBER(FIND("overige",Methode_Keuze)),"",IF(Tb_Activiteiten[[#This Row],[Grondkosten]]=1,Tb_Activiteiten[[#Headers],[Grondkosten]],""))</f>
        <v/>
      </c>
      <c r="AV1181" t="str">
        <f>IF(ISNUMBER(FIND("overige",Methode_Keuze)),"",IF(Tb_Activiteiten[[#This Row],[Bijdrage in natura (overige)]]=1,Tb_Activiteiten[[#Headers],[Bijdrage in natura (overige)]],""))</f>
        <v/>
      </c>
      <c r="AW1181" t="str">
        <f>IF(ISNUMBER(FIND("overige",Methode_Keuze)),"",IF(Tb_Activiteiten[[#This Row],[Bijdrage in natura (vrijwilligers)]]=1,Tb_Activiteiten[[#Headers],[Bijdrage in natura (vrijwilligers)]],""))</f>
        <v/>
      </c>
      <c r="AX1181" t="str">
        <f>IF(ISNUMBER(FIND("overige",Methode_Keuze)),"",IF(Tb_Activiteiten[[#This Row],[Afschrijvingskosten]]=1,Tb_Activiteiten[[#Headers],[Afschrijvingskosten]],""))</f>
        <v/>
      </c>
      <c r="AY1181" t="str">
        <f>IF(ISNUMBER(FIND("overige",Methode_Keuze)),"",IF(Tb_Activiteiten[[#This Row],[Vergoeding]]=1,Tb_Activiteiten[[#Headers],[Vergoeding]],""))</f>
        <v/>
      </c>
      <c r="AZ1181" t="str">
        <f>IF(ISNUMBER(FIND("arbeid",Methode_Keuze)),"",IF(Tb_Activiteiten[[#This Row],[Arbeidskosten - vast tarief (excl eigen arbeid)]]=1,Tb_Activiteiten[[#Headers],[Arbeidskosten - vast tarief (excl eigen arbeid)]],""))</f>
        <v/>
      </c>
      <c r="BA1181" t="str">
        <f>IF(ISNUMBER(FIND("overige",Methode_Keuze)),"",IF(Tb_Activiteiten[[#This Row],[Overige kosten]]=1,Tb_Activiteiten[[#Headers],[Overige kosten]],""))</f>
        <v/>
      </c>
    </row>
    <row r="1182" spans="1:53" x14ac:dyDescent="0.25">
      <c r="A1182" s="139"/>
      <c r="B1182" s="139"/>
      <c r="C1182" s="139"/>
      <c r="D1182" s="139"/>
      <c r="E1182" s="139"/>
      <c r="F1182" s="139"/>
      <c r="G1182" s="139"/>
      <c r="O1182" s="56"/>
      <c r="Q1182" t="str">
        <f>IFERROR(IF(VLOOKUP(Tb_Activiteiten[[#This Row],[Openstelling]],Tb_Openstelling[],2,0)=1,1,""),"")</f>
        <v/>
      </c>
      <c r="AK1182" t="str">
        <f>IF(ISNUMBER(FIND("arbeid",Methode_Keuze)),"",IF(ISNUMBER(FIND("arbeid",Methode_Keuze)),"",IF(Tb_Activiteiten[[#This Row],[Loonkosten]]=1,Tb_Activiteiten[[#Headers],[Loonkosten]],"")))</f>
        <v/>
      </c>
      <c r="AL1182" t="str">
        <f>IF(ISNUMBER(FIND("arbeid",Methode_Keuze)),"",IF(ISNUMBER(FIND("arbeid",Methode_Keuze)),"",IF(Tb_Activiteiten[[#This Row],[Eigen arbeid]]=1,Tb_Activiteiten[[#Headers],[Eigen arbeid]],"")))</f>
        <v/>
      </c>
      <c r="AM1182" t="str">
        <f>IF(ISNUMBER(FIND("arbeid",Methode_Keuze)),"",IF(ISNUMBER(FIND("arbeid",Methode_Keuze)),"",IF(Tb_Activiteiten[[#This Row],[Projectmedewerker]]=1,Tb_Activiteiten[[#Headers],[Projectmedewerker]],"")))</f>
        <v/>
      </c>
      <c r="AN1182" t="str">
        <f>IF(ISNUMBER(FIND("arbeid",Methode_Keuze)),"",IF(ISNUMBER(FIND("arbeid",Methode_Keuze)),"",IF(Tb_Activiteiten[[#This Row],[Landbouwer]]=1,Tb_Activiteiten[[#Headers],[Landbouwer]],"")))</f>
        <v/>
      </c>
      <c r="AO1182" t="str">
        <f>IF(ISNUMBER(FIND("arbeid",Methode_Keuze)),"",IF(ISNUMBER(FIND("arbeid",Methode_Keuze)),"",IF(Tb_Activiteiten[[#This Row],[Adviseur]]=1,Tb_Activiteiten[[#Headers],[Adviseur]],"")))</f>
        <v/>
      </c>
      <c r="AP1182" t="str">
        <f>IF(ISNUMBER(FIND("arbeid",Methode_Keuze)),"",IF(ISNUMBER(FIND("arbeid",Methode_Keuze)),"",IF(Tb_Activiteiten[[#This Row],[Projectleider/Expert]]=1,Tb_Activiteiten[[#Headers],[Projectleider/Expert]],"")))</f>
        <v/>
      </c>
      <c r="AQ1182" t="str">
        <f>IF(ISNUMBER(FIND("arbeid",Methode_Keuze)),"",IF(ISNUMBER(FIND("arbeid",Methode_Keuze)),"",IF(Tb_Activiteiten[[#This Row],[Arbeidskosten]]=1,Tb_Activiteiten[[#Headers],[Arbeidskosten]],"")))</f>
        <v/>
      </c>
      <c r="AR1182" t="str">
        <f>IF(ISNUMBER(FIND("arbeid",Methode_Keuze)),"",IF(ISNUMBER(FIND("arbeid",Methode_Keuze)),"",IF(Tb_Activiteiten[[#This Row],[Arbeidskosten op basis van IKS]]=1,Tb_Activiteiten[[#Headers],[Arbeidskosten op basis van IKS]],"")))</f>
        <v/>
      </c>
      <c r="AS1182" t="str">
        <f>IF(ISNUMBER(FIND("overige",Methode_Keuze)),"",IF(Tb_Activiteiten[[#This Row],[Kosten derden exclusief btw]]=1,Tb_Activiteiten[[#Headers],[Kosten derden exclusief btw]],""))</f>
        <v/>
      </c>
      <c r="AT1182" t="str">
        <f>IF(ISNUMBER(FIND("overige",Methode_Keuze)),"",IF(Tb_Activiteiten[[#This Row],[Niet verrekenbare btw]]=1,Tb_Activiteiten[[#Headers],[Niet verrekenbare btw]],""))</f>
        <v/>
      </c>
      <c r="AU1182" t="str">
        <f>IF(ISNUMBER(FIND("overige",Methode_Keuze)),"",IF(Tb_Activiteiten[[#This Row],[Grondkosten]]=1,Tb_Activiteiten[[#Headers],[Grondkosten]],""))</f>
        <v/>
      </c>
      <c r="AV1182" t="str">
        <f>IF(ISNUMBER(FIND("overige",Methode_Keuze)),"",IF(Tb_Activiteiten[[#This Row],[Bijdrage in natura (overige)]]=1,Tb_Activiteiten[[#Headers],[Bijdrage in natura (overige)]],""))</f>
        <v/>
      </c>
      <c r="AW1182" t="str">
        <f>IF(ISNUMBER(FIND("overige",Methode_Keuze)),"",IF(Tb_Activiteiten[[#This Row],[Bijdrage in natura (vrijwilligers)]]=1,Tb_Activiteiten[[#Headers],[Bijdrage in natura (vrijwilligers)]],""))</f>
        <v/>
      </c>
      <c r="AX1182" t="str">
        <f>IF(ISNUMBER(FIND("overige",Methode_Keuze)),"",IF(Tb_Activiteiten[[#This Row],[Afschrijvingskosten]]=1,Tb_Activiteiten[[#Headers],[Afschrijvingskosten]],""))</f>
        <v/>
      </c>
      <c r="AY1182" t="str">
        <f>IF(ISNUMBER(FIND("overige",Methode_Keuze)),"",IF(Tb_Activiteiten[[#This Row],[Vergoeding]]=1,Tb_Activiteiten[[#Headers],[Vergoeding]],""))</f>
        <v/>
      </c>
      <c r="AZ1182" t="str">
        <f>IF(ISNUMBER(FIND("arbeid",Methode_Keuze)),"",IF(Tb_Activiteiten[[#This Row],[Arbeidskosten - vast tarief (excl eigen arbeid)]]=1,Tb_Activiteiten[[#Headers],[Arbeidskosten - vast tarief (excl eigen arbeid)]],""))</f>
        <v/>
      </c>
      <c r="BA1182" t="str">
        <f>IF(ISNUMBER(FIND("overige",Methode_Keuze)),"",IF(Tb_Activiteiten[[#This Row],[Overige kosten]]=1,Tb_Activiteiten[[#Headers],[Overige kosten]],""))</f>
        <v/>
      </c>
    </row>
    <row r="1183" spans="1:53" x14ac:dyDescent="0.25">
      <c r="A1183" s="139"/>
      <c r="B1183" s="139"/>
      <c r="C1183" s="139"/>
      <c r="D1183" s="139"/>
      <c r="E1183" s="139"/>
      <c r="F1183" s="139"/>
      <c r="G1183" s="139"/>
      <c r="O1183" s="56"/>
      <c r="Q1183" t="str">
        <f>IFERROR(IF(VLOOKUP(Tb_Activiteiten[[#This Row],[Openstelling]],Tb_Openstelling[],2,0)=1,1,""),"")</f>
        <v/>
      </c>
      <c r="AK1183" t="str">
        <f>IF(ISNUMBER(FIND("arbeid",Methode_Keuze)),"",IF(ISNUMBER(FIND("arbeid",Methode_Keuze)),"",IF(Tb_Activiteiten[[#This Row],[Loonkosten]]=1,Tb_Activiteiten[[#Headers],[Loonkosten]],"")))</f>
        <v/>
      </c>
      <c r="AL1183" t="str">
        <f>IF(ISNUMBER(FIND("arbeid",Methode_Keuze)),"",IF(ISNUMBER(FIND("arbeid",Methode_Keuze)),"",IF(Tb_Activiteiten[[#This Row],[Eigen arbeid]]=1,Tb_Activiteiten[[#Headers],[Eigen arbeid]],"")))</f>
        <v/>
      </c>
      <c r="AM1183" t="str">
        <f>IF(ISNUMBER(FIND("arbeid",Methode_Keuze)),"",IF(ISNUMBER(FIND("arbeid",Methode_Keuze)),"",IF(Tb_Activiteiten[[#This Row],[Projectmedewerker]]=1,Tb_Activiteiten[[#Headers],[Projectmedewerker]],"")))</f>
        <v/>
      </c>
      <c r="AN1183" t="str">
        <f>IF(ISNUMBER(FIND("arbeid",Methode_Keuze)),"",IF(ISNUMBER(FIND("arbeid",Methode_Keuze)),"",IF(Tb_Activiteiten[[#This Row],[Landbouwer]]=1,Tb_Activiteiten[[#Headers],[Landbouwer]],"")))</f>
        <v/>
      </c>
      <c r="AO1183" t="str">
        <f>IF(ISNUMBER(FIND("arbeid",Methode_Keuze)),"",IF(ISNUMBER(FIND("arbeid",Methode_Keuze)),"",IF(Tb_Activiteiten[[#This Row],[Adviseur]]=1,Tb_Activiteiten[[#Headers],[Adviseur]],"")))</f>
        <v/>
      </c>
      <c r="AP1183" t="str">
        <f>IF(ISNUMBER(FIND("arbeid",Methode_Keuze)),"",IF(ISNUMBER(FIND("arbeid",Methode_Keuze)),"",IF(Tb_Activiteiten[[#This Row],[Projectleider/Expert]]=1,Tb_Activiteiten[[#Headers],[Projectleider/Expert]],"")))</f>
        <v/>
      </c>
      <c r="AQ1183" t="str">
        <f>IF(ISNUMBER(FIND("arbeid",Methode_Keuze)),"",IF(ISNUMBER(FIND("arbeid",Methode_Keuze)),"",IF(Tb_Activiteiten[[#This Row],[Arbeidskosten]]=1,Tb_Activiteiten[[#Headers],[Arbeidskosten]],"")))</f>
        <v/>
      </c>
      <c r="AR1183" t="str">
        <f>IF(ISNUMBER(FIND("arbeid",Methode_Keuze)),"",IF(ISNUMBER(FIND("arbeid",Methode_Keuze)),"",IF(Tb_Activiteiten[[#This Row],[Arbeidskosten op basis van IKS]]=1,Tb_Activiteiten[[#Headers],[Arbeidskosten op basis van IKS]],"")))</f>
        <v/>
      </c>
      <c r="AS1183" t="str">
        <f>IF(ISNUMBER(FIND("overige",Methode_Keuze)),"",IF(Tb_Activiteiten[[#This Row],[Kosten derden exclusief btw]]=1,Tb_Activiteiten[[#Headers],[Kosten derden exclusief btw]],""))</f>
        <v/>
      </c>
      <c r="AT1183" t="str">
        <f>IF(ISNUMBER(FIND("overige",Methode_Keuze)),"",IF(Tb_Activiteiten[[#This Row],[Niet verrekenbare btw]]=1,Tb_Activiteiten[[#Headers],[Niet verrekenbare btw]],""))</f>
        <v/>
      </c>
      <c r="AU1183" t="str">
        <f>IF(ISNUMBER(FIND("overige",Methode_Keuze)),"",IF(Tb_Activiteiten[[#This Row],[Grondkosten]]=1,Tb_Activiteiten[[#Headers],[Grondkosten]],""))</f>
        <v/>
      </c>
      <c r="AV1183" t="str">
        <f>IF(ISNUMBER(FIND("overige",Methode_Keuze)),"",IF(Tb_Activiteiten[[#This Row],[Bijdrage in natura (overige)]]=1,Tb_Activiteiten[[#Headers],[Bijdrage in natura (overige)]],""))</f>
        <v/>
      </c>
      <c r="AW1183" t="str">
        <f>IF(ISNUMBER(FIND("overige",Methode_Keuze)),"",IF(Tb_Activiteiten[[#This Row],[Bijdrage in natura (vrijwilligers)]]=1,Tb_Activiteiten[[#Headers],[Bijdrage in natura (vrijwilligers)]],""))</f>
        <v/>
      </c>
      <c r="AX1183" t="str">
        <f>IF(ISNUMBER(FIND("overige",Methode_Keuze)),"",IF(Tb_Activiteiten[[#This Row],[Afschrijvingskosten]]=1,Tb_Activiteiten[[#Headers],[Afschrijvingskosten]],""))</f>
        <v/>
      </c>
      <c r="AY1183" t="str">
        <f>IF(ISNUMBER(FIND("overige",Methode_Keuze)),"",IF(Tb_Activiteiten[[#This Row],[Vergoeding]]=1,Tb_Activiteiten[[#Headers],[Vergoeding]],""))</f>
        <v/>
      </c>
      <c r="AZ1183" t="str">
        <f>IF(ISNUMBER(FIND("arbeid",Methode_Keuze)),"",IF(Tb_Activiteiten[[#This Row],[Arbeidskosten - vast tarief (excl eigen arbeid)]]=1,Tb_Activiteiten[[#Headers],[Arbeidskosten - vast tarief (excl eigen arbeid)]],""))</f>
        <v/>
      </c>
      <c r="BA1183" t="str">
        <f>IF(ISNUMBER(FIND("overige",Methode_Keuze)),"",IF(Tb_Activiteiten[[#This Row],[Overige kosten]]=1,Tb_Activiteiten[[#Headers],[Overige kosten]],""))</f>
        <v/>
      </c>
    </row>
    <row r="1184" spans="1:53" x14ac:dyDescent="0.25">
      <c r="A1184" s="139"/>
      <c r="B1184" s="139"/>
      <c r="C1184" s="139"/>
      <c r="D1184" s="139"/>
      <c r="E1184" s="139"/>
      <c r="F1184" s="139"/>
      <c r="G1184" s="139"/>
      <c r="O1184" s="56"/>
      <c r="Q1184" t="str">
        <f>IFERROR(IF(VLOOKUP(Tb_Activiteiten[[#This Row],[Openstelling]],Tb_Openstelling[],2,0)=1,1,""),"")</f>
        <v/>
      </c>
      <c r="AK1184" t="str">
        <f>IF(ISNUMBER(FIND("arbeid",Methode_Keuze)),"",IF(ISNUMBER(FIND("arbeid",Methode_Keuze)),"",IF(Tb_Activiteiten[[#This Row],[Loonkosten]]=1,Tb_Activiteiten[[#Headers],[Loonkosten]],"")))</f>
        <v/>
      </c>
      <c r="AL1184" t="str">
        <f>IF(ISNUMBER(FIND("arbeid",Methode_Keuze)),"",IF(ISNUMBER(FIND("arbeid",Methode_Keuze)),"",IF(Tb_Activiteiten[[#This Row],[Eigen arbeid]]=1,Tb_Activiteiten[[#Headers],[Eigen arbeid]],"")))</f>
        <v/>
      </c>
      <c r="AM1184" t="str">
        <f>IF(ISNUMBER(FIND("arbeid",Methode_Keuze)),"",IF(ISNUMBER(FIND("arbeid",Methode_Keuze)),"",IF(Tb_Activiteiten[[#This Row],[Projectmedewerker]]=1,Tb_Activiteiten[[#Headers],[Projectmedewerker]],"")))</f>
        <v/>
      </c>
      <c r="AN1184" t="str">
        <f>IF(ISNUMBER(FIND("arbeid",Methode_Keuze)),"",IF(ISNUMBER(FIND("arbeid",Methode_Keuze)),"",IF(Tb_Activiteiten[[#This Row],[Landbouwer]]=1,Tb_Activiteiten[[#Headers],[Landbouwer]],"")))</f>
        <v/>
      </c>
      <c r="AO1184" t="str">
        <f>IF(ISNUMBER(FIND("arbeid",Methode_Keuze)),"",IF(ISNUMBER(FIND("arbeid",Methode_Keuze)),"",IF(Tb_Activiteiten[[#This Row],[Adviseur]]=1,Tb_Activiteiten[[#Headers],[Adviseur]],"")))</f>
        <v/>
      </c>
      <c r="AP1184" t="str">
        <f>IF(ISNUMBER(FIND("arbeid",Methode_Keuze)),"",IF(ISNUMBER(FIND("arbeid",Methode_Keuze)),"",IF(Tb_Activiteiten[[#This Row],[Projectleider/Expert]]=1,Tb_Activiteiten[[#Headers],[Projectleider/Expert]],"")))</f>
        <v/>
      </c>
      <c r="AQ1184" t="str">
        <f>IF(ISNUMBER(FIND("arbeid",Methode_Keuze)),"",IF(ISNUMBER(FIND("arbeid",Methode_Keuze)),"",IF(Tb_Activiteiten[[#This Row],[Arbeidskosten]]=1,Tb_Activiteiten[[#Headers],[Arbeidskosten]],"")))</f>
        <v/>
      </c>
      <c r="AR1184" t="str">
        <f>IF(ISNUMBER(FIND("arbeid",Methode_Keuze)),"",IF(ISNUMBER(FIND("arbeid",Methode_Keuze)),"",IF(Tb_Activiteiten[[#This Row],[Arbeidskosten op basis van IKS]]=1,Tb_Activiteiten[[#Headers],[Arbeidskosten op basis van IKS]],"")))</f>
        <v/>
      </c>
      <c r="AS1184" t="str">
        <f>IF(ISNUMBER(FIND("overige",Methode_Keuze)),"",IF(Tb_Activiteiten[[#This Row],[Kosten derden exclusief btw]]=1,Tb_Activiteiten[[#Headers],[Kosten derden exclusief btw]],""))</f>
        <v/>
      </c>
      <c r="AT1184" t="str">
        <f>IF(ISNUMBER(FIND("overige",Methode_Keuze)),"",IF(Tb_Activiteiten[[#This Row],[Niet verrekenbare btw]]=1,Tb_Activiteiten[[#Headers],[Niet verrekenbare btw]],""))</f>
        <v/>
      </c>
      <c r="AU1184" t="str">
        <f>IF(ISNUMBER(FIND("overige",Methode_Keuze)),"",IF(Tb_Activiteiten[[#This Row],[Grondkosten]]=1,Tb_Activiteiten[[#Headers],[Grondkosten]],""))</f>
        <v/>
      </c>
      <c r="AV1184" t="str">
        <f>IF(ISNUMBER(FIND("overige",Methode_Keuze)),"",IF(Tb_Activiteiten[[#This Row],[Bijdrage in natura (overige)]]=1,Tb_Activiteiten[[#Headers],[Bijdrage in natura (overige)]],""))</f>
        <v/>
      </c>
      <c r="AW1184" t="str">
        <f>IF(ISNUMBER(FIND("overige",Methode_Keuze)),"",IF(Tb_Activiteiten[[#This Row],[Bijdrage in natura (vrijwilligers)]]=1,Tb_Activiteiten[[#Headers],[Bijdrage in natura (vrijwilligers)]],""))</f>
        <v/>
      </c>
      <c r="AX1184" t="str">
        <f>IF(ISNUMBER(FIND("overige",Methode_Keuze)),"",IF(Tb_Activiteiten[[#This Row],[Afschrijvingskosten]]=1,Tb_Activiteiten[[#Headers],[Afschrijvingskosten]],""))</f>
        <v/>
      </c>
      <c r="AY1184" t="str">
        <f>IF(ISNUMBER(FIND("overige",Methode_Keuze)),"",IF(Tb_Activiteiten[[#This Row],[Vergoeding]]=1,Tb_Activiteiten[[#Headers],[Vergoeding]],""))</f>
        <v/>
      </c>
      <c r="AZ1184" t="str">
        <f>IF(ISNUMBER(FIND("arbeid",Methode_Keuze)),"",IF(Tb_Activiteiten[[#This Row],[Arbeidskosten - vast tarief (excl eigen arbeid)]]=1,Tb_Activiteiten[[#Headers],[Arbeidskosten - vast tarief (excl eigen arbeid)]],""))</f>
        <v/>
      </c>
      <c r="BA1184" t="str">
        <f>IF(ISNUMBER(FIND("overige",Methode_Keuze)),"",IF(Tb_Activiteiten[[#This Row],[Overige kosten]]=1,Tb_Activiteiten[[#Headers],[Overige kosten]],""))</f>
        <v/>
      </c>
    </row>
    <row r="1185" spans="1:53" x14ac:dyDescent="0.25">
      <c r="A1185" s="139"/>
      <c r="B1185" s="139"/>
      <c r="C1185" s="139"/>
      <c r="D1185" s="139"/>
      <c r="E1185" s="139"/>
      <c r="F1185" s="139"/>
      <c r="G1185" s="139"/>
      <c r="O1185" s="56"/>
      <c r="Q1185" t="str">
        <f>IFERROR(IF(VLOOKUP(Tb_Activiteiten[[#This Row],[Openstelling]],Tb_Openstelling[],2,0)=1,1,""),"")</f>
        <v/>
      </c>
      <c r="AK1185" t="str">
        <f>IF(ISNUMBER(FIND("arbeid",Methode_Keuze)),"",IF(ISNUMBER(FIND("arbeid",Methode_Keuze)),"",IF(Tb_Activiteiten[[#This Row],[Loonkosten]]=1,Tb_Activiteiten[[#Headers],[Loonkosten]],"")))</f>
        <v/>
      </c>
      <c r="AL1185" t="str">
        <f>IF(ISNUMBER(FIND("arbeid",Methode_Keuze)),"",IF(ISNUMBER(FIND("arbeid",Methode_Keuze)),"",IF(Tb_Activiteiten[[#This Row],[Eigen arbeid]]=1,Tb_Activiteiten[[#Headers],[Eigen arbeid]],"")))</f>
        <v/>
      </c>
      <c r="AM1185" t="str">
        <f>IF(ISNUMBER(FIND("arbeid",Methode_Keuze)),"",IF(ISNUMBER(FIND("arbeid",Methode_Keuze)),"",IF(Tb_Activiteiten[[#This Row],[Projectmedewerker]]=1,Tb_Activiteiten[[#Headers],[Projectmedewerker]],"")))</f>
        <v/>
      </c>
      <c r="AN1185" t="str">
        <f>IF(ISNUMBER(FIND("arbeid",Methode_Keuze)),"",IF(ISNUMBER(FIND("arbeid",Methode_Keuze)),"",IF(Tb_Activiteiten[[#This Row],[Landbouwer]]=1,Tb_Activiteiten[[#Headers],[Landbouwer]],"")))</f>
        <v/>
      </c>
      <c r="AO1185" t="str">
        <f>IF(ISNUMBER(FIND("arbeid",Methode_Keuze)),"",IF(ISNUMBER(FIND("arbeid",Methode_Keuze)),"",IF(Tb_Activiteiten[[#This Row],[Adviseur]]=1,Tb_Activiteiten[[#Headers],[Adviseur]],"")))</f>
        <v/>
      </c>
      <c r="AP1185" t="str">
        <f>IF(ISNUMBER(FIND("arbeid",Methode_Keuze)),"",IF(ISNUMBER(FIND("arbeid",Methode_Keuze)),"",IF(Tb_Activiteiten[[#This Row],[Projectleider/Expert]]=1,Tb_Activiteiten[[#Headers],[Projectleider/Expert]],"")))</f>
        <v/>
      </c>
      <c r="AQ1185" t="str">
        <f>IF(ISNUMBER(FIND("arbeid",Methode_Keuze)),"",IF(ISNUMBER(FIND("arbeid",Methode_Keuze)),"",IF(Tb_Activiteiten[[#This Row],[Arbeidskosten]]=1,Tb_Activiteiten[[#Headers],[Arbeidskosten]],"")))</f>
        <v/>
      </c>
      <c r="AR1185" t="str">
        <f>IF(ISNUMBER(FIND("arbeid",Methode_Keuze)),"",IF(ISNUMBER(FIND("arbeid",Methode_Keuze)),"",IF(Tb_Activiteiten[[#This Row],[Arbeidskosten op basis van IKS]]=1,Tb_Activiteiten[[#Headers],[Arbeidskosten op basis van IKS]],"")))</f>
        <v/>
      </c>
      <c r="AS1185" t="str">
        <f>IF(ISNUMBER(FIND("overige",Methode_Keuze)),"",IF(Tb_Activiteiten[[#This Row],[Kosten derden exclusief btw]]=1,Tb_Activiteiten[[#Headers],[Kosten derden exclusief btw]],""))</f>
        <v/>
      </c>
      <c r="AT1185" t="str">
        <f>IF(ISNUMBER(FIND("overige",Methode_Keuze)),"",IF(Tb_Activiteiten[[#This Row],[Niet verrekenbare btw]]=1,Tb_Activiteiten[[#Headers],[Niet verrekenbare btw]],""))</f>
        <v/>
      </c>
      <c r="AU1185" t="str">
        <f>IF(ISNUMBER(FIND("overige",Methode_Keuze)),"",IF(Tb_Activiteiten[[#This Row],[Grondkosten]]=1,Tb_Activiteiten[[#Headers],[Grondkosten]],""))</f>
        <v/>
      </c>
      <c r="AV1185" t="str">
        <f>IF(ISNUMBER(FIND("overige",Methode_Keuze)),"",IF(Tb_Activiteiten[[#This Row],[Bijdrage in natura (overige)]]=1,Tb_Activiteiten[[#Headers],[Bijdrage in natura (overige)]],""))</f>
        <v/>
      </c>
      <c r="AW1185" t="str">
        <f>IF(ISNUMBER(FIND("overige",Methode_Keuze)),"",IF(Tb_Activiteiten[[#This Row],[Bijdrage in natura (vrijwilligers)]]=1,Tb_Activiteiten[[#Headers],[Bijdrage in natura (vrijwilligers)]],""))</f>
        <v/>
      </c>
      <c r="AX1185" t="str">
        <f>IF(ISNUMBER(FIND("overige",Methode_Keuze)),"",IF(Tb_Activiteiten[[#This Row],[Afschrijvingskosten]]=1,Tb_Activiteiten[[#Headers],[Afschrijvingskosten]],""))</f>
        <v/>
      </c>
      <c r="AY1185" t="str">
        <f>IF(ISNUMBER(FIND("overige",Methode_Keuze)),"",IF(Tb_Activiteiten[[#This Row],[Vergoeding]]=1,Tb_Activiteiten[[#Headers],[Vergoeding]],""))</f>
        <v/>
      </c>
      <c r="AZ1185" t="str">
        <f>IF(ISNUMBER(FIND("arbeid",Methode_Keuze)),"",IF(Tb_Activiteiten[[#This Row],[Arbeidskosten - vast tarief (excl eigen arbeid)]]=1,Tb_Activiteiten[[#Headers],[Arbeidskosten - vast tarief (excl eigen arbeid)]],""))</f>
        <v/>
      </c>
      <c r="BA1185" t="str">
        <f>IF(ISNUMBER(FIND("overige",Methode_Keuze)),"",IF(Tb_Activiteiten[[#This Row],[Overige kosten]]=1,Tb_Activiteiten[[#Headers],[Overige kosten]],""))</f>
        <v/>
      </c>
    </row>
    <row r="1186" spans="1:53" x14ac:dyDescent="0.25">
      <c r="A1186" s="139"/>
      <c r="B1186" s="139"/>
      <c r="C1186" s="139"/>
      <c r="D1186" s="139"/>
      <c r="E1186" s="139"/>
      <c r="F1186" s="139"/>
      <c r="G1186" s="139"/>
      <c r="O1186" s="56"/>
      <c r="Q1186" t="str">
        <f>IFERROR(IF(VLOOKUP(Tb_Activiteiten[[#This Row],[Openstelling]],Tb_Openstelling[],2,0)=1,1,""),"")</f>
        <v/>
      </c>
      <c r="AK1186" t="str">
        <f>IF(ISNUMBER(FIND("arbeid",Methode_Keuze)),"",IF(ISNUMBER(FIND("arbeid",Methode_Keuze)),"",IF(Tb_Activiteiten[[#This Row],[Loonkosten]]=1,Tb_Activiteiten[[#Headers],[Loonkosten]],"")))</f>
        <v/>
      </c>
      <c r="AL1186" t="str">
        <f>IF(ISNUMBER(FIND("arbeid",Methode_Keuze)),"",IF(ISNUMBER(FIND("arbeid",Methode_Keuze)),"",IF(Tb_Activiteiten[[#This Row],[Eigen arbeid]]=1,Tb_Activiteiten[[#Headers],[Eigen arbeid]],"")))</f>
        <v/>
      </c>
      <c r="AM1186" t="str">
        <f>IF(ISNUMBER(FIND("arbeid",Methode_Keuze)),"",IF(ISNUMBER(FIND("arbeid",Methode_Keuze)),"",IF(Tb_Activiteiten[[#This Row],[Projectmedewerker]]=1,Tb_Activiteiten[[#Headers],[Projectmedewerker]],"")))</f>
        <v/>
      </c>
      <c r="AN1186" t="str">
        <f>IF(ISNUMBER(FIND("arbeid",Methode_Keuze)),"",IF(ISNUMBER(FIND("arbeid",Methode_Keuze)),"",IF(Tb_Activiteiten[[#This Row],[Landbouwer]]=1,Tb_Activiteiten[[#Headers],[Landbouwer]],"")))</f>
        <v/>
      </c>
      <c r="AO1186" t="str">
        <f>IF(ISNUMBER(FIND("arbeid",Methode_Keuze)),"",IF(ISNUMBER(FIND("arbeid",Methode_Keuze)),"",IF(Tb_Activiteiten[[#This Row],[Adviseur]]=1,Tb_Activiteiten[[#Headers],[Adviseur]],"")))</f>
        <v/>
      </c>
      <c r="AP1186" t="str">
        <f>IF(ISNUMBER(FIND("arbeid",Methode_Keuze)),"",IF(ISNUMBER(FIND("arbeid",Methode_Keuze)),"",IF(Tb_Activiteiten[[#This Row],[Projectleider/Expert]]=1,Tb_Activiteiten[[#Headers],[Projectleider/Expert]],"")))</f>
        <v/>
      </c>
      <c r="AQ1186" t="str">
        <f>IF(ISNUMBER(FIND("arbeid",Methode_Keuze)),"",IF(ISNUMBER(FIND("arbeid",Methode_Keuze)),"",IF(Tb_Activiteiten[[#This Row],[Arbeidskosten]]=1,Tb_Activiteiten[[#Headers],[Arbeidskosten]],"")))</f>
        <v/>
      </c>
      <c r="AR1186" t="str">
        <f>IF(ISNUMBER(FIND("arbeid",Methode_Keuze)),"",IF(ISNUMBER(FIND("arbeid",Methode_Keuze)),"",IF(Tb_Activiteiten[[#This Row],[Arbeidskosten op basis van IKS]]=1,Tb_Activiteiten[[#Headers],[Arbeidskosten op basis van IKS]],"")))</f>
        <v/>
      </c>
      <c r="AS1186" t="str">
        <f>IF(ISNUMBER(FIND("overige",Methode_Keuze)),"",IF(Tb_Activiteiten[[#This Row],[Kosten derden exclusief btw]]=1,Tb_Activiteiten[[#Headers],[Kosten derden exclusief btw]],""))</f>
        <v/>
      </c>
      <c r="AT1186" t="str">
        <f>IF(ISNUMBER(FIND("overige",Methode_Keuze)),"",IF(Tb_Activiteiten[[#This Row],[Niet verrekenbare btw]]=1,Tb_Activiteiten[[#Headers],[Niet verrekenbare btw]],""))</f>
        <v/>
      </c>
      <c r="AU1186" t="str">
        <f>IF(ISNUMBER(FIND("overige",Methode_Keuze)),"",IF(Tb_Activiteiten[[#This Row],[Grondkosten]]=1,Tb_Activiteiten[[#Headers],[Grondkosten]],""))</f>
        <v/>
      </c>
      <c r="AV1186" t="str">
        <f>IF(ISNUMBER(FIND("overige",Methode_Keuze)),"",IF(Tb_Activiteiten[[#This Row],[Bijdrage in natura (overige)]]=1,Tb_Activiteiten[[#Headers],[Bijdrage in natura (overige)]],""))</f>
        <v/>
      </c>
      <c r="AW1186" t="str">
        <f>IF(ISNUMBER(FIND("overige",Methode_Keuze)),"",IF(Tb_Activiteiten[[#This Row],[Bijdrage in natura (vrijwilligers)]]=1,Tb_Activiteiten[[#Headers],[Bijdrage in natura (vrijwilligers)]],""))</f>
        <v/>
      </c>
      <c r="AX1186" t="str">
        <f>IF(ISNUMBER(FIND("overige",Methode_Keuze)),"",IF(Tb_Activiteiten[[#This Row],[Afschrijvingskosten]]=1,Tb_Activiteiten[[#Headers],[Afschrijvingskosten]],""))</f>
        <v/>
      </c>
      <c r="AY1186" t="str">
        <f>IF(ISNUMBER(FIND("overige",Methode_Keuze)),"",IF(Tb_Activiteiten[[#This Row],[Vergoeding]]=1,Tb_Activiteiten[[#Headers],[Vergoeding]],""))</f>
        <v/>
      </c>
      <c r="AZ1186" t="str">
        <f>IF(ISNUMBER(FIND("arbeid",Methode_Keuze)),"",IF(Tb_Activiteiten[[#This Row],[Arbeidskosten - vast tarief (excl eigen arbeid)]]=1,Tb_Activiteiten[[#Headers],[Arbeidskosten - vast tarief (excl eigen arbeid)]],""))</f>
        <v/>
      </c>
      <c r="BA1186" t="str">
        <f>IF(ISNUMBER(FIND("overige",Methode_Keuze)),"",IF(Tb_Activiteiten[[#This Row],[Overige kosten]]=1,Tb_Activiteiten[[#Headers],[Overige kosten]],""))</f>
        <v/>
      </c>
    </row>
    <row r="1187" spans="1:53" x14ac:dyDescent="0.25">
      <c r="A1187" s="139"/>
      <c r="B1187" s="139"/>
      <c r="C1187" s="139"/>
      <c r="D1187" s="139"/>
      <c r="E1187" s="139"/>
      <c r="F1187" s="139"/>
      <c r="G1187" s="139"/>
      <c r="O1187" s="56"/>
      <c r="Q1187" t="str">
        <f>IFERROR(IF(VLOOKUP(Tb_Activiteiten[[#This Row],[Openstelling]],Tb_Openstelling[],2,0)=1,1,""),"")</f>
        <v/>
      </c>
      <c r="AK1187" t="str">
        <f>IF(ISNUMBER(FIND("arbeid",Methode_Keuze)),"",IF(ISNUMBER(FIND("arbeid",Methode_Keuze)),"",IF(Tb_Activiteiten[[#This Row],[Loonkosten]]=1,Tb_Activiteiten[[#Headers],[Loonkosten]],"")))</f>
        <v/>
      </c>
      <c r="AL1187" t="str">
        <f>IF(ISNUMBER(FIND("arbeid",Methode_Keuze)),"",IF(ISNUMBER(FIND("arbeid",Methode_Keuze)),"",IF(Tb_Activiteiten[[#This Row],[Eigen arbeid]]=1,Tb_Activiteiten[[#Headers],[Eigen arbeid]],"")))</f>
        <v/>
      </c>
      <c r="AM1187" t="str">
        <f>IF(ISNUMBER(FIND("arbeid",Methode_Keuze)),"",IF(ISNUMBER(FIND("arbeid",Methode_Keuze)),"",IF(Tb_Activiteiten[[#This Row],[Projectmedewerker]]=1,Tb_Activiteiten[[#Headers],[Projectmedewerker]],"")))</f>
        <v/>
      </c>
      <c r="AN1187" t="str">
        <f>IF(ISNUMBER(FIND("arbeid",Methode_Keuze)),"",IF(ISNUMBER(FIND("arbeid",Methode_Keuze)),"",IF(Tb_Activiteiten[[#This Row],[Landbouwer]]=1,Tb_Activiteiten[[#Headers],[Landbouwer]],"")))</f>
        <v/>
      </c>
      <c r="AO1187" t="str">
        <f>IF(ISNUMBER(FIND("arbeid",Methode_Keuze)),"",IF(ISNUMBER(FIND("arbeid",Methode_Keuze)),"",IF(Tb_Activiteiten[[#This Row],[Adviseur]]=1,Tb_Activiteiten[[#Headers],[Adviseur]],"")))</f>
        <v/>
      </c>
      <c r="AP1187" t="str">
        <f>IF(ISNUMBER(FIND("arbeid",Methode_Keuze)),"",IF(ISNUMBER(FIND("arbeid",Methode_Keuze)),"",IF(Tb_Activiteiten[[#This Row],[Projectleider/Expert]]=1,Tb_Activiteiten[[#Headers],[Projectleider/Expert]],"")))</f>
        <v/>
      </c>
      <c r="AQ1187" t="str">
        <f>IF(ISNUMBER(FIND("arbeid",Methode_Keuze)),"",IF(ISNUMBER(FIND("arbeid",Methode_Keuze)),"",IF(Tb_Activiteiten[[#This Row],[Arbeidskosten]]=1,Tb_Activiteiten[[#Headers],[Arbeidskosten]],"")))</f>
        <v/>
      </c>
      <c r="AR1187" t="str">
        <f>IF(ISNUMBER(FIND("arbeid",Methode_Keuze)),"",IF(ISNUMBER(FIND("arbeid",Methode_Keuze)),"",IF(Tb_Activiteiten[[#This Row],[Arbeidskosten op basis van IKS]]=1,Tb_Activiteiten[[#Headers],[Arbeidskosten op basis van IKS]],"")))</f>
        <v/>
      </c>
      <c r="AS1187" t="str">
        <f>IF(ISNUMBER(FIND("overige",Methode_Keuze)),"",IF(Tb_Activiteiten[[#This Row],[Kosten derden exclusief btw]]=1,Tb_Activiteiten[[#Headers],[Kosten derden exclusief btw]],""))</f>
        <v/>
      </c>
      <c r="AT1187" t="str">
        <f>IF(ISNUMBER(FIND("overige",Methode_Keuze)),"",IF(Tb_Activiteiten[[#This Row],[Niet verrekenbare btw]]=1,Tb_Activiteiten[[#Headers],[Niet verrekenbare btw]],""))</f>
        <v/>
      </c>
      <c r="AU1187" t="str">
        <f>IF(ISNUMBER(FIND("overige",Methode_Keuze)),"",IF(Tb_Activiteiten[[#This Row],[Grondkosten]]=1,Tb_Activiteiten[[#Headers],[Grondkosten]],""))</f>
        <v/>
      </c>
      <c r="AV1187" t="str">
        <f>IF(ISNUMBER(FIND("overige",Methode_Keuze)),"",IF(Tb_Activiteiten[[#This Row],[Bijdrage in natura (overige)]]=1,Tb_Activiteiten[[#Headers],[Bijdrage in natura (overige)]],""))</f>
        <v/>
      </c>
      <c r="AW1187" t="str">
        <f>IF(ISNUMBER(FIND("overige",Methode_Keuze)),"",IF(Tb_Activiteiten[[#This Row],[Bijdrage in natura (vrijwilligers)]]=1,Tb_Activiteiten[[#Headers],[Bijdrage in natura (vrijwilligers)]],""))</f>
        <v/>
      </c>
      <c r="AX1187" t="str">
        <f>IF(ISNUMBER(FIND("overige",Methode_Keuze)),"",IF(Tb_Activiteiten[[#This Row],[Afschrijvingskosten]]=1,Tb_Activiteiten[[#Headers],[Afschrijvingskosten]],""))</f>
        <v/>
      </c>
      <c r="AY1187" t="str">
        <f>IF(ISNUMBER(FIND("overige",Methode_Keuze)),"",IF(Tb_Activiteiten[[#This Row],[Vergoeding]]=1,Tb_Activiteiten[[#Headers],[Vergoeding]],""))</f>
        <v/>
      </c>
      <c r="AZ1187" t="str">
        <f>IF(ISNUMBER(FIND("arbeid",Methode_Keuze)),"",IF(Tb_Activiteiten[[#This Row],[Arbeidskosten - vast tarief (excl eigen arbeid)]]=1,Tb_Activiteiten[[#Headers],[Arbeidskosten - vast tarief (excl eigen arbeid)]],""))</f>
        <v/>
      </c>
      <c r="BA1187" t="str">
        <f>IF(ISNUMBER(FIND("overige",Methode_Keuze)),"",IF(Tb_Activiteiten[[#This Row],[Overige kosten]]=1,Tb_Activiteiten[[#Headers],[Overige kosten]],""))</f>
        <v/>
      </c>
    </row>
    <row r="1188" spans="1:53" x14ac:dyDescent="0.25">
      <c r="A1188" s="139"/>
      <c r="B1188" s="139"/>
      <c r="C1188" s="139"/>
      <c r="D1188" s="139"/>
      <c r="E1188" s="139"/>
      <c r="F1188" s="139"/>
      <c r="G1188" s="139"/>
      <c r="O1188" s="56"/>
      <c r="Q1188" t="str">
        <f>IFERROR(IF(VLOOKUP(Tb_Activiteiten[[#This Row],[Openstelling]],Tb_Openstelling[],2,0)=1,1,""),"")</f>
        <v/>
      </c>
      <c r="AK1188" t="str">
        <f>IF(ISNUMBER(FIND("arbeid",Methode_Keuze)),"",IF(ISNUMBER(FIND("arbeid",Methode_Keuze)),"",IF(Tb_Activiteiten[[#This Row],[Loonkosten]]=1,Tb_Activiteiten[[#Headers],[Loonkosten]],"")))</f>
        <v/>
      </c>
      <c r="AL1188" t="str">
        <f>IF(ISNUMBER(FIND("arbeid",Methode_Keuze)),"",IF(ISNUMBER(FIND("arbeid",Methode_Keuze)),"",IF(Tb_Activiteiten[[#This Row],[Eigen arbeid]]=1,Tb_Activiteiten[[#Headers],[Eigen arbeid]],"")))</f>
        <v/>
      </c>
      <c r="AM1188" t="str">
        <f>IF(ISNUMBER(FIND("arbeid",Methode_Keuze)),"",IF(ISNUMBER(FIND("arbeid",Methode_Keuze)),"",IF(Tb_Activiteiten[[#This Row],[Projectmedewerker]]=1,Tb_Activiteiten[[#Headers],[Projectmedewerker]],"")))</f>
        <v/>
      </c>
      <c r="AN1188" t="str">
        <f>IF(ISNUMBER(FIND("arbeid",Methode_Keuze)),"",IF(ISNUMBER(FIND("arbeid",Methode_Keuze)),"",IF(Tb_Activiteiten[[#This Row],[Landbouwer]]=1,Tb_Activiteiten[[#Headers],[Landbouwer]],"")))</f>
        <v/>
      </c>
      <c r="AO1188" t="str">
        <f>IF(ISNUMBER(FIND("arbeid",Methode_Keuze)),"",IF(ISNUMBER(FIND("arbeid",Methode_Keuze)),"",IF(Tb_Activiteiten[[#This Row],[Adviseur]]=1,Tb_Activiteiten[[#Headers],[Adviseur]],"")))</f>
        <v/>
      </c>
      <c r="AP1188" t="str">
        <f>IF(ISNUMBER(FIND("arbeid",Methode_Keuze)),"",IF(ISNUMBER(FIND("arbeid",Methode_Keuze)),"",IF(Tb_Activiteiten[[#This Row],[Projectleider/Expert]]=1,Tb_Activiteiten[[#Headers],[Projectleider/Expert]],"")))</f>
        <v/>
      </c>
      <c r="AQ1188" t="str">
        <f>IF(ISNUMBER(FIND("arbeid",Methode_Keuze)),"",IF(ISNUMBER(FIND("arbeid",Methode_Keuze)),"",IF(Tb_Activiteiten[[#This Row],[Arbeidskosten]]=1,Tb_Activiteiten[[#Headers],[Arbeidskosten]],"")))</f>
        <v/>
      </c>
      <c r="AR1188" t="str">
        <f>IF(ISNUMBER(FIND("arbeid",Methode_Keuze)),"",IF(ISNUMBER(FIND("arbeid",Methode_Keuze)),"",IF(Tb_Activiteiten[[#This Row],[Arbeidskosten op basis van IKS]]=1,Tb_Activiteiten[[#Headers],[Arbeidskosten op basis van IKS]],"")))</f>
        <v/>
      </c>
      <c r="AS1188" t="str">
        <f>IF(ISNUMBER(FIND("overige",Methode_Keuze)),"",IF(Tb_Activiteiten[[#This Row],[Kosten derden exclusief btw]]=1,Tb_Activiteiten[[#Headers],[Kosten derden exclusief btw]],""))</f>
        <v/>
      </c>
      <c r="AT1188" t="str">
        <f>IF(ISNUMBER(FIND("overige",Methode_Keuze)),"",IF(Tb_Activiteiten[[#This Row],[Niet verrekenbare btw]]=1,Tb_Activiteiten[[#Headers],[Niet verrekenbare btw]],""))</f>
        <v/>
      </c>
      <c r="AU1188" t="str">
        <f>IF(ISNUMBER(FIND("overige",Methode_Keuze)),"",IF(Tb_Activiteiten[[#This Row],[Grondkosten]]=1,Tb_Activiteiten[[#Headers],[Grondkosten]],""))</f>
        <v/>
      </c>
      <c r="AV1188" t="str">
        <f>IF(ISNUMBER(FIND("overige",Methode_Keuze)),"",IF(Tb_Activiteiten[[#This Row],[Bijdrage in natura (overige)]]=1,Tb_Activiteiten[[#Headers],[Bijdrage in natura (overige)]],""))</f>
        <v/>
      </c>
      <c r="AW1188" t="str">
        <f>IF(ISNUMBER(FIND("overige",Methode_Keuze)),"",IF(Tb_Activiteiten[[#This Row],[Bijdrage in natura (vrijwilligers)]]=1,Tb_Activiteiten[[#Headers],[Bijdrage in natura (vrijwilligers)]],""))</f>
        <v/>
      </c>
      <c r="AX1188" t="str">
        <f>IF(ISNUMBER(FIND("overige",Methode_Keuze)),"",IF(Tb_Activiteiten[[#This Row],[Afschrijvingskosten]]=1,Tb_Activiteiten[[#Headers],[Afschrijvingskosten]],""))</f>
        <v/>
      </c>
      <c r="AY1188" t="str">
        <f>IF(ISNUMBER(FIND("overige",Methode_Keuze)),"",IF(Tb_Activiteiten[[#This Row],[Vergoeding]]=1,Tb_Activiteiten[[#Headers],[Vergoeding]],""))</f>
        <v/>
      </c>
      <c r="AZ1188" t="str">
        <f>IF(ISNUMBER(FIND("arbeid",Methode_Keuze)),"",IF(Tb_Activiteiten[[#This Row],[Arbeidskosten - vast tarief (excl eigen arbeid)]]=1,Tb_Activiteiten[[#Headers],[Arbeidskosten - vast tarief (excl eigen arbeid)]],""))</f>
        <v/>
      </c>
      <c r="BA1188" t="str">
        <f>IF(ISNUMBER(FIND("overige",Methode_Keuze)),"",IF(Tb_Activiteiten[[#This Row],[Overige kosten]]=1,Tb_Activiteiten[[#Headers],[Overige kosten]],""))</f>
        <v/>
      </c>
    </row>
    <row r="1189" spans="1:53" x14ac:dyDescent="0.25">
      <c r="A1189" s="139"/>
      <c r="B1189" s="139"/>
      <c r="C1189" s="139"/>
      <c r="D1189" s="139"/>
      <c r="E1189" s="139"/>
      <c r="F1189" s="139"/>
      <c r="G1189" s="139"/>
      <c r="O1189" s="56"/>
      <c r="Q1189" t="str">
        <f>IFERROR(IF(VLOOKUP(Tb_Activiteiten[[#This Row],[Openstelling]],Tb_Openstelling[],2,0)=1,1,""),"")</f>
        <v/>
      </c>
      <c r="AK1189" t="str">
        <f>IF(ISNUMBER(FIND("arbeid",Methode_Keuze)),"",IF(ISNUMBER(FIND("arbeid",Methode_Keuze)),"",IF(Tb_Activiteiten[[#This Row],[Loonkosten]]=1,Tb_Activiteiten[[#Headers],[Loonkosten]],"")))</f>
        <v/>
      </c>
      <c r="AL1189" t="str">
        <f>IF(ISNUMBER(FIND("arbeid",Methode_Keuze)),"",IF(ISNUMBER(FIND("arbeid",Methode_Keuze)),"",IF(Tb_Activiteiten[[#This Row],[Eigen arbeid]]=1,Tb_Activiteiten[[#Headers],[Eigen arbeid]],"")))</f>
        <v/>
      </c>
      <c r="AM1189" t="str">
        <f>IF(ISNUMBER(FIND("arbeid",Methode_Keuze)),"",IF(ISNUMBER(FIND("arbeid",Methode_Keuze)),"",IF(Tb_Activiteiten[[#This Row],[Projectmedewerker]]=1,Tb_Activiteiten[[#Headers],[Projectmedewerker]],"")))</f>
        <v/>
      </c>
      <c r="AN1189" t="str">
        <f>IF(ISNUMBER(FIND("arbeid",Methode_Keuze)),"",IF(ISNUMBER(FIND("arbeid",Methode_Keuze)),"",IF(Tb_Activiteiten[[#This Row],[Landbouwer]]=1,Tb_Activiteiten[[#Headers],[Landbouwer]],"")))</f>
        <v/>
      </c>
      <c r="AO1189" t="str">
        <f>IF(ISNUMBER(FIND("arbeid",Methode_Keuze)),"",IF(ISNUMBER(FIND("arbeid",Methode_Keuze)),"",IF(Tb_Activiteiten[[#This Row],[Adviseur]]=1,Tb_Activiteiten[[#Headers],[Adviseur]],"")))</f>
        <v/>
      </c>
      <c r="AP1189" t="str">
        <f>IF(ISNUMBER(FIND("arbeid",Methode_Keuze)),"",IF(ISNUMBER(FIND("arbeid",Methode_Keuze)),"",IF(Tb_Activiteiten[[#This Row],[Projectleider/Expert]]=1,Tb_Activiteiten[[#Headers],[Projectleider/Expert]],"")))</f>
        <v/>
      </c>
      <c r="AQ1189" t="str">
        <f>IF(ISNUMBER(FIND("arbeid",Methode_Keuze)),"",IF(ISNUMBER(FIND("arbeid",Methode_Keuze)),"",IF(Tb_Activiteiten[[#This Row],[Arbeidskosten]]=1,Tb_Activiteiten[[#Headers],[Arbeidskosten]],"")))</f>
        <v/>
      </c>
      <c r="AR1189" t="str">
        <f>IF(ISNUMBER(FIND("arbeid",Methode_Keuze)),"",IF(ISNUMBER(FIND("arbeid",Methode_Keuze)),"",IF(Tb_Activiteiten[[#This Row],[Arbeidskosten op basis van IKS]]=1,Tb_Activiteiten[[#Headers],[Arbeidskosten op basis van IKS]],"")))</f>
        <v/>
      </c>
      <c r="AS1189" t="str">
        <f>IF(ISNUMBER(FIND("overige",Methode_Keuze)),"",IF(Tb_Activiteiten[[#This Row],[Kosten derden exclusief btw]]=1,Tb_Activiteiten[[#Headers],[Kosten derden exclusief btw]],""))</f>
        <v/>
      </c>
      <c r="AT1189" t="str">
        <f>IF(ISNUMBER(FIND("overige",Methode_Keuze)),"",IF(Tb_Activiteiten[[#This Row],[Niet verrekenbare btw]]=1,Tb_Activiteiten[[#Headers],[Niet verrekenbare btw]],""))</f>
        <v/>
      </c>
      <c r="AU1189" t="str">
        <f>IF(ISNUMBER(FIND("overige",Methode_Keuze)),"",IF(Tb_Activiteiten[[#This Row],[Grondkosten]]=1,Tb_Activiteiten[[#Headers],[Grondkosten]],""))</f>
        <v/>
      </c>
      <c r="AV1189" t="str">
        <f>IF(ISNUMBER(FIND("overige",Methode_Keuze)),"",IF(Tb_Activiteiten[[#This Row],[Bijdrage in natura (overige)]]=1,Tb_Activiteiten[[#Headers],[Bijdrage in natura (overige)]],""))</f>
        <v/>
      </c>
      <c r="AW1189" t="str">
        <f>IF(ISNUMBER(FIND("overige",Methode_Keuze)),"",IF(Tb_Activiteiten[[#This Row],[Bijdrage in natura (vrijwilligers)]]=1,Tb_Activiteiten[[#Headers],[Bijdrage in natura (vrijwilligers)]],""))</f>
        <v/>
      </c>
      <c r="AX1189" t="str">
        <f>IF(ISNUMBER(FIND("overige",Methode_Keuze)),"",IF(Tb_Activiteiten[[#This Row],[Afschrijvingskosten]]=1,Tb_Activiteiten[[#Headers],[Afschrijvingskosten]],""))</f>
        <v/>
      </c>
      <c r="AY1189" t="str">
        <f>IF(ISNUMBER(FIND("overige",Methode_Keuze)),"",IF(Tb_Activiteiten[[#This Row],[Vergoeding]]=1,Tb_Activiteiten[[#Headers],[Vergoeding]],""))</f>
        <v/>
      </c>
      <c r="AZ1189" t="str">
        <f>IF(ISNUMBER(FIND("arbeid",Methode_Keuze)),"",IF(Tb_Activiteiten[[#This Row],[Arbeidskosten - vast tarief (excl eigen arbeid)]]=1,Tb_Activiteiten[[#Headers],[Arbeidskosten - vast tarief (excl eigen arbeid)]],""))</f>
        <v/>
      </c>
      <c r="BA1189" t="str">
        <f>IF(ISNUMBER(FIND("overige",Methode_Keuze)),"",IF(Tb_Activiteiten[[#This Row],[Overige kosten]]=1,Tb_Activiteiten[[#Headers],[Overige kosten]],""))</f>
        <v/>
      </c>
    </row>
    <row r="1190" spans="1:53" x14ac:dyDescent="0.25">
      <c r="A1190" s="139"/>
      <c r="B1190" s="139"/>
      <c r="C1190" s="139"/>
      <c r="D1190" s="139"/>
      <c r="E1190" s="139"/>
      <c r="F1190" s="139"/>
      <c r="G1190" s="139"/>
      <c r="O1190" s="56"/>
      <c r="Q1190" t="str">
        <f>IFERROR(IF(VLOOKUP(Tb_Activiteiten[[#This Row],[Openstelling]],Tb_Openstelling[],2,0)=1,1,""),"")</f>
        <v/>
      </c>
      <c r="AK1190" t="str">
        <f>IF(ISNUMBER(FIND("arbeid",Methode_Keuze)),"",IF(ISNUMBER(FIND("arbeid",Methode_Keuze)),"",IF(Tb_Activiteiten[[#This Row],[Loonkosten]]=1,Tb_Activiteiten[[#Headers],[Loonkosten]],"")))</f>
        <v/>
      </c>
      <c r="AL1190" t="str">
        <f>IF(ISNUMBER(FIND("arbeid",Methode_Keuze)),"",IF(ISNUMBER(FIND("arbeid",Methode_Keuze)),"",IF(Tb_Activiteiten[[#This Row],[Eigen arbeid]]=1,Tb_Activiteiten[[#Headers],[Eigen arbeid]],"")))</f>
        <v/>
      </c>
      <c r="AM1190" t="str">
        <f>IF(ISNUMBER(FIND("arbeid",Methode_Keuze)),"",IF(ISNUMBER(FIND("arbeid",Methode_Keuze)),"",IF(Tb_Activiteiten[[#This Row],[Projectmedewerker]]=1,Tb_Activiteiten[[#Headers],[Projectmedewerker]],"")))</f>
        <v/>
      </c>
      <c r="AN1190" t="str">
        <f>IF(ISNUMBER(FIND("arbeid",Methode_Keuze)),"",IF(ISNUMBER(FIND("arbeid",Methode_Keuze)),"",IF(Tb_Activiteiten[[#This Row],[Landbouwer]]=1,Tb_Activiteiten[[#Headers],[Landbouwer]],"")))</f>
        <v/>
      </c>
      <c r="AO1190" t="str">
        <f>IF(ISNUMBER(FIND("arbeid",Methode_Keuze)),"",IF(ISNUMBER(FIND("arbeid",Methode_Keuze)),"",IF(Tb_Activiteiten[[#This Row],[Adviseur]]=1,Tb_Activiteiten[[#Headers],[Adviseur]],"")))</f>
        <v/>
      </c>
      <c r="AP1190" t="str">
        <f>IF(ISNUMBER(FIND("arbeid",Methode_Keuze)),"",IF(ISNUMBER(FIND("arbeid",Methode_Keuze)),"",IF(Tb_Activiteiten[[#This Row],[Projectleider/Expert]]=1,Tb_Activiteiten[[#Headers],[Projectleider/Expert]],"")))</f>
        <v/>
      </c>
      <c r="AQ1190" t="str">
        <f>IF(ISNUMBER(FIND("arbeid",Methode_Keuze)),"",IF(ISNUMBER(FIND("arbeid",Methode_Keuze)),"",IF(Tb_Activiteiten[[#This Row],[Arbeidskosten]]=1,Tb_Activiteiten[[#Headers],[Arbeidskosten]],"")))</f>
        <v/>
      </c>
      <c r="AR1190" t="str">
        <f>IF(ISNUMBER(FIND("arbeid",Methode_Keuze)),"",IF(ISNUMBER(FIND("arbeid",Methode_Keuze)),"",IF(Tb_Activiteiten[[#This Row],[Arbeidskosten op basis van IKS]]=1,Tb_Activiteiten[[#Headers],[Arbeidskosten op basis van IKS]],"")))</f>
        <v/>
      </c>
      <c r="AS1190" t="str">
        <f>IF(ISNUMBER(FIND("overige",Methode_Keuze)),"",IF(Tb_Activiteiten[[#This Row],[Kosten derden exclusief btw]]=1,Tb_Activiteiten[[#Headers],[Kosten derden exclusief btw]],""))</f>
        <v/>
      </c>
      <c r="AT1190" t="str">
        <f>IF(ISNUMBER(FIND("overige",Methode_Keuze)),"",IF(Tb_Activiteiten[[#This Row],[Niet verrekenbare btw]]=1,Tb_Activiteiten[[#Headers],[Niet verrekenbare btw]],""))</f>
        <v/>
      </c>
      <c r="AU1190" t="str">
        <f>IF(ISNUMBER(FIND("overige",Methode_Keuze)),"",IF(Tb_Activiteiten[[#This Row],[Grondkosten]]=1,Tb_Activiteiten[[#Headers],[Grondkosten]],""))</f>
        <v/>
      </c>
      <c r="AV1190" t="str">
        <f>IF(ISNUMBER(FIND("overige",Methode_Keuze)),"",IF(Tb_Activiteiten[[#This Row],[Bijdrage in natura (overige)]]=1,Tb_Activiteiten[[#Headers],[Bijdrage in natura (overige)]],""))</f>
        <v/>
      </c>
      <c r="AW1190" t="str">
        <f>IF(ISNUMBER(FIND("overige",Methode_Keuze)),"",IF(Tb_Activiteiten[[#This Row],[Bijdrage in natura (vrijwilligers)]]=1,Tb_Activiteiten[[#Headers],[Bijdrage in natura (vrijwilligers)]],""))</f>
        <v/>
      </c>
      <c r="AX1190" t="str">
        <f>IF(ISNUMBER(FIND("overige",Methode_Keuze)),"",IF(Tb_Activiteiten[[#This Row],[Afschrijvingskosten]]=1,Tb_Activiteiten[[#Headers],[Afschrijvingskosten]],""))</f>
        <v/>
      </c>
      <c r="AY1190" t="str">
        <f>IF(ISNUMBER(FIND("overige",Methode_Keuze)),"",IF(Tb_Activiteiten[[#This Row],[Vergoeding]]=1,Tb_Activiteiten[[#Headers],[Vergoeding]],""))</f>
        <v/>
      </c>
      <c r="AZ1190" t="str">
        <f>IF(ISNUMBER(FIND("arbeid",Methode_Keuze)),"",IF(Tb_Activiteiten[[#This Row],[Arbeidskosten - vast tarief (excl eigen arbeid)]]=1,Tb_Activiteiten[[#Headers],[Arbeidskosten - vast tarief (excl eigen arbeid)]],""))</f>
        <v/>
      </c>
      <c r="BA1190" t="str">
        <f>IF(ISNUMBER(FIND("overige",Methode_Keuze)),"",IF(Tb_Activiteiten[[#This Row],[Overige kosten]]=1,Tb_Activiteiten[[#Headers],[Overige kosten]],""))</f>
        <v/>
      </c>
    </row>
    <row r="1191" spans="1:53" x14ac:dyDescent="0.25">
      <c r="A1191" s="139"/>
      <c r="B1191" s="139"/>
      <c r="C1191" s="139"/>
      <c r="D1191" s="139"/>
      <c r="E1191" s="139"/>
      <c r="F1191" s="139"/>
      <c r="G1191" s="139"/>
      <c r="O1191" s="56"/>
      <c r="Q1191" t="str">
        <f>IFERROR(IF(VLOOKUP(Tb_Activiteiten[[#This Row],[Openstelling]],Tb_Openstelling[],2,0)=1,1,""),"")</f>
        <v/>
      </c>
      <c r="AK1191" t="str">
        <f>IF(ISNUMBER(FIND("arbeid",Methode_Keuze)),"",IF(ISNUMBER(FIND("arbeid",Methode_Keuze)),"",IF(Tb_Activiteiten[[#This Row],[Loonkosten]]=1,Tb_Activiteiten[[#Headers],[Loonkosten]],"")))</f>
        <v/>
      </c>
      <c r="AL1191" t="str">
        <f>IF(ISNUMBER(FIND("arbeid",Methode_Keuze)),"",IF(ISNUMBER(FIND("arbeid",Methode_Keuze)),"",IF(Tb_Activiteiten[[#This Row],[Eigen arbeid]]=1,Tb_Activiteiten[[#Headers],[Eigen arbeid]],"")))</f>
        <v/>
      </c>
      <c r="AM1191" t="str">
        <f>IF(ISNUMBER(FIND("arbeid",Methode_Keuze)),"",IF(ISNUMBER(FIND("arbeid",Methode_Keuze)),"",IF(Tb_Activiteiten[[#This Row],[Projectmedewerker]]=1,Tb_Activiteiten[[#Headers],[Projectmedewerker]],"")))</f>
        <v/>
      </c>
      <c r="AN1191" t="str">
        <f>IF(ISNUMBER(FIND("arbeid",Methode_Keuze)),"",IF(ISNUMBER(FIND("arbeid",Methode_Keuze)),"",IF(Tb_Activiteiten[[#This Row],[Landbouwer]]=1,Tb_Activiteiten[[#Headers],[Landbouwer]],"")))</f>
        <v/>
      </c>
      <c r="AO1191" t="str">
        <f>IF(ISNUMBER(FIND("arbeid",Methode_Keuze)),"",IF(ISNUMBER(FIND("arbeid",Methode_Keuze)),"",IF(Tb_Activiteiten[[#This Row],[Adviseur]]=1,Tb_Activiteiten[[#Headers],[Adviseur]],"")))</f>
        <v/>
      </c>
      <c r="AP1191" t="str">
        <f>IF(ISNUMBER(FIND("arbeid",Methode_Keuze)),"",IF(ISNUMBER(FIND("arbeid",Methode_Keuze)),"",IF(Tb_Activiteiten[[#This Row],[Projectleider/Expert]]=1,Tb_Activiteiten[[#Headers],[Projectleider/Expert]],"")))</f>
        <v/>
      </c>
      <c r="AQ1191" t="str">
        <f>IF(ISNUMBER(FIND("arbeid",Methode_Keuze)),"",IF(ISNUMBER(FIND("arbeid",Methode_Keuze)),"",IF(Tb_Activiteiten[[#This Row],[Arbeidskosten]]=1,Tb_Activiteiten[[#Headers],[Arbeidskosten]],"")))</f>
        <v/>
      </c>
      <c r="AR1191" t="str">
        <f>IF(ISNUMBER(FIND("arbeid",Methode_Keuze)),"",IF(ISNUMBER(FIND("arbeid",Methode_Keuze)),"",IF(Tb_Activiteiten[[#This Row],[Arbeidskosten op basis van IKS]]=1,Tb_Activiteiten[[#Headers],[Arbeidskosten op basis van IKS]],"")))</f>
        <v/>
      </c>
      <c r="AS1191" t="str">
        <f>IF(ISNUMBER(FIND("overige",Methode_Keuze)),"",IF(Tb_Activiteiten[[#This Row],[Kosten derden exclusief btw]]=1,Tb_Activiteiten[[#Headers],[Kosten derden exclusief btw]],""))</f>
        <v/>
      </c>
      <c r="AT1191" t="str">
        <f>IF(ISNUMBER(FIND("overige",Methode_Keuze)),"",IF(Tb_Activiteiten[[#This Row],[Niet verrekenbare btw]]=1,Tb_Activiteiten[[#Headers],[Niet verrekenbare btw]],""))</f>
        <v/>
      </c>
      <c r="AU1191" t="str">
        <f>IF(ISNUMBER(FIND("overige",Methode_Keuze)),"",IF(Tb_Activiteiten[[#This Row],[Grondkosten]]=1,Tb_Activiteiten[[#Headers],[Grondkosten]],""))</f>
        <v/>
      </c>
      <c r="AV1191" t="str">
        <f>IF(ISNUMBER(FIND("overige",Methode_Keuze)),"",IF(Tb_Activiteiten[[#This Row],[Bijdrage in natura (overige)]]=1,Tb_Activiteiten[[#Headers],[Bijdrage in natura (overige)]],""))</f>
        <v/>
      </c>
      <c r="AW1191" t="str">
        <f>IF(ISNUMBER(FIND("overige",Methode_Keuze)),"",IF(Tb_Activiteiten[[#This Row],[Bijdrage in natura (vrijwilligers)]]=1,Tb_Activiteiten[[#Headers],[Bijdrage in natura (vrijwilligers)]],""))</f>
        <v/>
      </c>
      <c r="AX1191" t="str">
        <f>IF(ISNUMBER(FIND("overige",Methode_Keuze)),"",IF(Tb_Activiteiten[[#This Row],[Afschrijvingskosten]]=1,Tb_Activiteiten[[#Headers],[Afschrijvingskosten]],""))</f>
        <v/>
      </c>
      <c r="AY1191" t="str">
        <f>IF(ISNUMBER(FIND("overige",Methode_Keuze)),"",IF(Tb_Activiteiten[[#This Row],[Vergoeding]]=1,Tb_Activiteiten[[#Headers],[Vergoeding]],""))</f>
        <v/>
      </c>
      <c r="AZ1191" t="str">
        <f>IF(ISNUMBER(FIND("arbeid",Methode_Keuze)),"",IF(Tb_Activiteiten[[#This Row],[Arbeidskosten - vast tarief (excl eigen arbeid)]]=1,Tb_Activiteiten[[#Headers],[Arbeidskosten - vast tarief (excl eigen arbeid)]],""))</f>
        <v/>
      </c>
      <c r="BA1191" t="str">
        <f>IF(ISNUMBER(FIND("overige",Methode_Keuze)),"",IF(Tb_Activiteiten[[#This Row],[Overige kosten]]=1,Tb_Activiteiten[[#Headers],[Overige kosten]],""))</f>
        <v/>
      </c>
    </row>
    <row r="1192" spans="1:53" x14ac:dyDescent="0.25">
      <c r="A1192" s="139"/>
      <c r="B1192" s="139"/>
      <c r="C1192" s="139"/>
      <c r="D1192" s="139"/>
      <c r="E1192" s="139"/>
      <c r="F1192" s="139"/>
      <c r="G1192" s="139"/>
      <c r="O1192" s="56"/>
      <c r="Q1192" t="str">
        <f>IFERROR(IF(VLOOKUP(Tb_Activiteiten[[#This Row],[Openstelling]],Tb_Openstelling[],2,0)=1,1,""),"")</f>
        <v/>
      </c>
      <c r="AK1192" t="str">
        <f>IF(ISNUMBER(FIND("arbeid",Methode_Keuze)),"",IF(ISNUMBER(FIND("arbeid",Methode_Keuze)),"",IF(Tb_Activiteiten[[#This Row],[Loonkosten]]=1,Tb_Activiteiten[[#Headers],[Loonkosten]],"")))</f>
        <v/>
      </c>
      <c r="AL1192" t="str">
        <f>IF(ISNUMBER(FIND("arbeid",Methode_Keuze)),"",IF(ISNUMBER(FIND("arbeid",Methode_Keuze)),"",IF(Tb_Activiteiten[[#This Row],[Eigen arbeid]]=1,Tb_Activiteiten[[#Headers],[Eigen arbeid]],"")))</f>
        <v/>
      </c>
      <c r="AM1192" t="str">
        <f>IF(ISNUMBER(FIND("arbeid",Methode_Keuze)),"",IF(ISNUMBER(FIND("arbeid",Methode_Keuze)),"",IF(Tb_Activiteiten[[#This Row],[Projectmedewerker]]=1,Tb_Activiteiten[[#Headers],[Projectmedewerker]],"")))</f>
        <v/>
      </c>
      <c r="AN1192" t="str">
        <f>IF(ISNUMBER(FIND("arbeid",Methode_Keuze)),"",IF(ISNUMBER(FIND("arbeid",Methode_Keuze)),"",IF(Tb_Activiteiten[[#This Row],[Landbouwer]]=1,Tb_Activiteiten[[#Headers],[Landbouwer]],"")))</f>
        <v/>
      </c>
      <c r="AO1192" t="str">
        <f>IF(ISNUMBER(FIND("arbeid",Methode_Keuze)),"",IF(ISNUMBER(FIND("arbeid",Methode_Keuze)),"",IF(Tb_Activiteiten[[#This Row],[Adviseur]]=1,Tb_Activiteiten[[#Headers],[Adviseur]],"")))</f>
        <v/>
      </c>
      <c r="AP1192" t="str">
        <f>IF(ISNUMBER(FIND("arbeid",Methode_Keuze)),"",IF(ISNUMBER(FIND("arbeid",Methode_Keuze)),"",IF(Tb_Activiteiten[[#This Row],[Projectleider/Expert]]=1,Tb_Activiteiten[[#Headers],[Projectleider/Expert]],"")))</f>
        <v/>
      </c>
      <c r="AQ1192" t="str">
        <f>IF(ISNUMBER(FIND("arbeid",Methode_Keuze)),"",IF(ISNUMBER(FIND("arbeid",Methode_Keuze)),"",IF(Tb_Activiteiten[[#This Row],[Arbeidskosten]]=1,Tb_Activiteiten[[#Headers],[Arbeidskosten]],"")))</f>
        <v/>
      </c>
      <c r="AR1192" t="str">
        <f>IF(ISNUMBER(FIND("arbeid",Methode_Keuze)),"",IF(ISNUMBER(FIND("arbeid",Methode_Keuze)),"",IF(Tb_Activiteiten[[#This Row],[Arbeidskosten op basis van IKS]]=1,Tb_Activiteiten[[#Headers],[Arbeidskosten op basis van IKS]],"")))</f>
        <v/>
      </c>
      <c r="AS1192" t="str">
        <f>IF(ISNUMBER(FIND("overige",Methode_Keuze)),"",IF(Tb_Activiteiten[[#This Row],[Kosten derden exclusief btw]]=1,Tb_Activiteiten[[#Headers],[Kosten derden exclusief btw]],""))</f>
        <v/>
      </c>
      <c r="AT1192" t="str">
        <f>IF(ISNUMBER(FIND("overige",Methode_Keuze)),"",IF(Tb_Activiteiten[[#This Row],[Niet verrekenbare btw]]=1,Tb_Activiteiten[[#Headers],[Niet verrekenbare btw]],""))</f>
        <v/>
      </c>
      <c r="AU1192" t="str">
        <f>IF(ISNUMBER(FIND("overige",Methode_Keuze)),"",IF(Tb_Activiteiten[[#This Row],[Grondkosten]]=1,Tb_Activiteiten[[#Headers],[Grondkosten]],""))</f>
        <v/>
      </c>
      <c r="AV1192" t="str">
        <f>IF(ISNUMBER(FIND("overige",Methode_Keuze)),"",IF(Tb_Activiteiten[[#This Row],[Bijdrage in natura (overige)]]=1,Tb_Activiteiten[[#Headers],[Bijdrage in natura (overige)]],""))</f>
        <v/>
      </c>
      <c r="AW1192" t="str">
        <f>IF(ISNUMBER(FIND("overige",Methode_Keuze)),"",IF(Tb_Activiteiten[[#This Row],[Bijdrage in natura (vrijwilligers)]]=1,Tb_Activiteiten[[#Headers],[Bijdrage in natura (vrijwilligers)]],""))</f>
        <v/>
      </c>
      <c r="AX1192" t="str">
        <f>IF(ISNUMBER(FIND("overige",Methode_Keuze)),"",IF(Tb_Activiteiten[[#This Row],[Afschrijvingskosten]]=1,Tb_Activiteiten[[#Headers],[Afschrijvingskosten]],""))</f>
        <v/>
      </c>
      <c r="AY1192" t="str">
        <f>IF(ISNUMBER(FIND("overige",Methode_Keuze)),"",IF(Tb_Activiteiten[[#This Row],[Vergoeding]]=1,Tb_Activiteiten[[#Headers],[Vergoeding]],""))</f>
        <v/>
      </c>
      <c r="AZ1192" t="str">
        <f>IF(ISNUMBER(FIND("arbeid",Methode_Keuze)),"",IF(Tb_Activiteiten[[#This Row],[Arbeidskosten - vast tarief (excl eigen arbeid)]]=1,Tb_Activiteiten[[#Headers],[Arbeidskosten - vast tarief (excl eigen arbeid)]],""))</f>
        <v/>
      </c>
      <c r="BA1192" t="str">
        <f>IF(ISNUMBER(FIND("overige",Methode_Keuze)),"",IF(Tb_Activiteiten[[#This Row],[Overige kosten]]=1,Tb_Activiteiten[[#Headers],[Overige kosten]],""))</f>
        <v/>
      </c>
    </row>
    <row r="1193" spans="1:53" x14ac:dyDescent="0.25">
      <c r="A1193" s="139"/>
      <c r="B1193" s="139"/>
      <c r="C1193" s="139"/>
      <c r="D1193" s="139"/>
      <c r="E1193" s="139"/>
      <c r="F1193" s="139"/>
      <c r="G1193" s="139"/>
      <c r="O1193" s="56"/>
      <c r="Q1193" t="str">
        <f>IFERROR(IF(VLOOKUP(Tb_Activiteiten[[#This Row],[Openstelling]],Tb_Openstelling[],2,0)=1,1,""),"")</f>
        <v/>
      </c>
      <c r="AK1193" t="str">
        <f>IF(ISNUMBER(FIND("arbeid",Methode_Keuze)),"",IF(ISNUMBER(FIND("arbeid",Methode_Keuze)),"",IF(Tb_Activiteiten[[#This Row],[Loonkosten]]=1,Tb_Activiteiten[[#Headers],[Loonkosten]],"")))</f>
        <v/>
      </c>
      <c r="AL1193" t="str">
        <f>IF(ISNUMBER(FIND("arbeid",Methode_Keuze)),"",IF(ISNUMBER(FIND("arbeid",Methode_Keuze)),"",IF(Tb_Activiteiten[[#This Row],[Eigen arbeid]]=1,Tb_Activiteiten[[#Headers],[Eigen arbeid]],"")))</f>
        <v/>
      </c>
      <c r="AM1193" t="str">
        <f>IF(ISNUMBER(FIND("arbeid",Methode_Keuze)),"",IF(ISNUMBER(FIND("arbeid",Methode_Keuze)),"",IF(Tb_Activiteiten[[#This Row],[Projectmedewerker]]=1,Tb_Activiteiten[[#Headers],[Projectmedewerker]],"")))</f>
        <v/>
      </c>
      <c r="AN1193" t="str">
        <f>IF(ISNUMBER(FIND("arbeid",Methode_Keuze)),"",IF(ISNUMBER(FIND("arbeid",Methode_Keuze)),"",IF(Tb_Activiteiten[[#This Row],[Landbouwer]]=1,Tb_Activiteiten[[#Headers],[Landbouwer]],"")))</f>
        <v/>
      </c>
      <c r="AO1193" t="str">
        <f>IF(ISNUMBER(FIND("arbeid",Methode_Keuze)),"",IF(ISNUMBER(FIND("arbeid",Methode_Keuze)),"",IF(Tb_Activiteiten[[#This Row],[Adviseur]]=1,Tb_Activiteiten[[#Headers],[Adviseur]],"")))</f>
        <v/>
      </c>
      <c r="AP1193" t="str">
        <f>IF(ISNUMBER(FIND("arbeid",Methode_Keuze)),"",IF(ISNUMBER(FIND("arbeid",Methode_Keuze)),"",IF(Tb_Activiteiten[[#This Row],[Projectleider/Expert]]=1,Tb_Activiteiten[[#Headers],[Projectleider/Expert]],"")))</f>
        <v/>
      </c>
      <c r="AQ1193" t="str">
        <f>IF(ISNUMBER(FIND("arbeid",Methode_Keuze)),"",IF(ISNUMBER(FIND("arbeid",Methode_Keuze)),"",IF(Tb_Activiteiten[[#This Row],[Arbeidskosten]]=1,Tb_Activiteiten[[#Headers],[Arbeidskosten]],"")))</f>
        <v/>
      </c>
      <c r="AR1193" t="str">
        <f>IF(ISNUMBER(FIND("arbeid",Methode_Keuze)),"",IF(ISNUMBER(FIND("arbeid",Methode_Keuze)),"",IF(Tb_Activiteiten[[#This Row],[Arbeidskosten op basis van IKS]]=1,Tb_Activiteiten[[#Headers],[Arbeidskosten op basis van IKS]],"")))</f>
        <v/>
      </c>
      <c r="AS1193" t="str">
        <f>IF(ISNUMBER(FIND("overige",Methode_Keuze)),"",IF(Tb_Activiteiten[[#This Row],[Kosten derden exclusief btw]]=1,Tb_Activiteiten[[#Headers],[Kosten derden exclusief btw]],""))</f>
        <v/>
      </c>
      <c r="AT1193" t="str">
        <f>IF(ISNUMBER(FIND("overige",Methode_Keuze)),"",IF(Tb_Activiteiten[[#This Row],[Niet verrekenbare btw]]=1,Tb_Activiteiten[[#Headers],[Niet verrekenbare btw]],""))</f>
        <v/>
      </c>
      <c r="AU1193" t="str">
        <f>IF(ISNUMBER(FIND("overige",Methode_Keuze)),"",IF(Tb_Activiteiten[[#This Row],[Grondkosten]]=1,Tb_Activiteiten[[#Headers],[Grondkosten]],""))</f>
        <v/>
      </c>
      <c r="AV1193" t="str">
        <f>IF(ISNUMBER(FIND("overige",Methode_Keuze)),"",IF(Tb_Activiteiten[[#This Row],[Bijdrage in natura (overige)]]=1,Tb_Activiteiten[[#Headers],[Bijdrage in natura (overige)]],""))</f>
        <v/>
      </c>
      <c r="AW1193" t="str">
        <f>IF(ISNUMBER(FIND("overige",Methode_Keuze)),"",IF(Tb_Activiteiten[[#This Row],[Bijdrage in natura (vrijwilligers)]]=1,Tb_Activiteiten[[#Headers],[Bijdrage in natura (vrijwilligers)]],""))</f>
        <v/>
      </c>
      <c r="AX1193" t="str">
        <f>IF(ISNUMBER(FIND("overige",Methode_Keuze)),"",IF(Tb_Activiteiten[[#This Row],[Afschrijvingskosten]]=1,Tb_Activiteiten[[#Headers],[Afschrijvingskosten]],""))</f>
        <v/>
      </c>
      <c r="AY1193" t="str">
        <f>IF(ISNUMBER(FIND("overige",Methode_Keuze)),"",IF(Tb_Activiteiten[[#This Row],[Vergoeding]]=1,Tb_Activiteiten[[#Headers],[Vergoeding]],""))</f>
        <v/>
      </c>
      <c r="AZ1193" t="str">
        <f>IF(ISNUMBER(FIND("arbeid",Methode_Keuze)),"",IF(Tb_Activiteiten[[#This Row],[Arbeidskosten - vast tarief (excl eigen arbeid)]]=1,Tb_Activiteiten[[#Headers],[Arbeidskosten - vast tarief (excl eigen arbeid)]],""))</f>
        <v/>
      </c>
      <c r="BA1193" t="str">
        <f>IF(ISNUMBER(FIND("overige",Methode_Keuze)),"",IF(Tb_Activiteiten[[#This Row],[Overige kosten]]=1,Tb_Activiteiten[[#Headers],[Overige kosten]],""))</f>
        <v/>
      </c>
    </row>
    <row r="1194" spans="1:53" x14ac:dyDescent="0.25">
      <c r="A1194" s="139"/>
      <c r="B1194" s="139"/>
      <c r="C1194" s="139"/>
      <c r="D1194" s="139"/>
      <c r="E1194" s="139"/>
      <c r="F1194" s="139"/>
      <c r="G1194" s="139"/>
      <c r="O1194" s="56"/>
      <c r="Q1194" t="str">
        <f>IFERROR(IF(VLOOKUP(Tb_Activiteiten[[#This Row],[Openstelling]],Tb_Openstelling[],2,0)=1,1,""),"")</f>
        <v/>
      </c>
      <c r="AK1194" t="str">
        <f>IF(ISNUMBER(FIND("arbeid",Methode_Keuze)),"",IF(ISNUMBER(FIND("arbeid",Methode_Keuze)),"",IF(Tb_Activiteiten[[#This Row],[Loonkosten]]=1,Tb_Activiteiten[[#Headers],[Loonkosten]],"")))</f>
        <v/>
      </c>
      <c r="AL1194" t="str">
        <f>IF(ISNUMBER(FIND("arbeid",Methode_Keuze)),"",IF(ISNUMBER(FIND("arbeid",Methode_Keuze)),"",IF(Tb_Activiteiten[[#This Row],[Eigen arbeid]]=1,Tb_Activiteiten[[#Headers],[Eigen arbeid]],"")))</f>
        <v/>
      </c>
      <c r="AM1194" t="str">
        <f>IF(ISNUMBER(FIND("arbeid",Methode_Keuze)),"",IF(ISNUMBER(FIND("arbeid",Methode_Keuze)),"",IF(Tb_Activiteiten[[#This Row],[Projectmedewerker]]=1,Tb_Activiteiten[[#Headers],[Projectmedewerker]],"")))</f>
        <v/>
      </c>
      <c r="AN1194" t="str">
        <f>IF(ISNUMBER(FIND("arbeid",Methode_Keuze)),"",IF(ISNUMBER(FIND("arbeid",Methode_Keuze)),"",IF(Tb_Activiteiten[[#This Row],[Landbouwer]]=1,Tb_Activiteiten[[#Headers],[Landbouwer]],"")))</f>
        <v/>
      </c>
      <c r="AO1194" t="str">
        <f>IF(ISNUMBER(FIND("arbeid",Methode_Keuze)),"",IF(ISNUMBER(FIND("arbeid",Methode_Keuze)),"",IF(Tb_Activiteiten[[#This Row],[Adviseur]]=1,Tb_Activiteiten[[#Headers],[Adviseur]],"")))</f>
        <v/>
      </c>
      <c r="AP1194" t="str">
        <f>IF(ISNUMBER(FIND("arbeid",Methode_Keuze)),"",IF(ISNUMBER(FIND("arbeid",Methode_Keuze)),"",IF(Tb_Activiteiten[[#This Row],[Projectleider/Expert]]=1,Tb_Activiteiten[[#Headers],[Projectleider/Expert]],"")))</f>
        <v/>
      </c>
      <c r="AQ1194" t="str">
        <f>IF(ISNUMBER(FIND("arbeid",Methode_Keuze)),"",IF(ISNUMBER(FIND("arbeid",Methode_Keuze)),"",IF(Tb_Activiteiten[[#This Row],[Arbeidskosten]]=1,Tb_Activiteiten[[#Headers],[Arbeidskosten]],"")))</f>
        <v/>
      </c>
      <c r="AR1194" t="str">
        <f>IF(ISNUMBER(FIND("arbeid",Methode_Keuze)),"",IF(ISNUMBER(FIND("arbeid",Methode_Keuze)),"",IF(Tb_Activiteiten[[#This Row],[Arbeidskosten op basis van IKS]]=1,Tb_Activiteiten[[#Headers],[Arbeidskosten op basis van IKS]],"")))</f>
        <v/>
      </c>
      <c r="AS1194" t="str">
        <f>IF(ISNUMBER(FIND("overige",Methode_Keuze)),"",IF(Tb_Activiteiten[[#This Row],[Kosten derden exclusief btw]]=1,Tb_Activiteiten[[#Headers],[Kosten derden exclusief btw]],""))</f>
        <v/>
      </c>
      <c r="AT1194" t="str">
        <f>IF(ISNUMBER(FIND("overige",Methode_Keuze)),"",IF(Tb_Activiteiten[[#This Row],[Niet verrekenbare btw]]=1,Tb_Activiteiten[[#Headers],[Niet verrekenbare btw]],""))</f>
        <v/>
      </c>
      <c r="AU1194" t="str">
        <f>IF(ISNUMBER(FIND("overige",Methode_Keuze)),"",IF(Tb_Activiteiten[[#This Row],[Grondkosten]]=1,Tb_Activiteiten[[#Headers],[Grondkosten]],""))</f>
        <v/>
      </c>
      <c r="AV1194" t="str">
        <f>IF(ISNUMBER(FIND("overige",Methode_Keuze)),"",IF(Tb_Activiteiten[[#This Row],[Bijdrage in natura (overige)]]=1,Tb_Activiteiten[[#Headers],[Bijdrage in natura (overige)]],""))</f>
        <v/>
      </c>
      <c r="AW1194" t="str">
        <f>IF(ISNUMBER(FIND("overige",Methode_Keuze)),"",IF(Tb_Activiteiten[[#This Row],[Bijdrage in natura (vrijwilligers)]]=1,Tb_Activiteiten[[#Headers],[Bijdrage in natura (vrijwilligers)]],""))</f>
        <v/>
      </c>
      <c r="AX1194" t="str">
        <f>IF(ISNUMBER(FIND("overige",Methode_Keuze)),"",IF(Tb_Activiteiten[[#This Row],[Afschrijvingskosten]]=1,Tb_Activiteiten[[#Headers],[Afschrijvingskosten]],""))</f>
        <v/>
      </c>
      <c r="AY1194" t="str">
        <f>IF(ISNUMBER(FIND("overige",Methode_Keuze)),"",IF(Tb_Activiteiten[[#This Row],[Vergoeding]]=1,Tb_Activiteiten[[#Headers],[Vergoeding]],""))</f>
        <v/>
      </c>
      <c r="AZ1194" t="str">
        <f>IF(ISNUMBER(FIND("arbeid",Methode_Keuze)),"",IF(Tb_Activiteiten[[#This Row],[Arbeidskosten - vast tarief (excl eigen arbeid)]]=1,Tb_Activiteiten[[#Headers],[Arbeidskosten - vast tarief (excl eigen arbeid)]],""))</f>
        <v/>
      </c>
      <c r="BA1194" t="str">
        <f>IF(ISNUMBER(FIND("overige",Methode_Keuze)),"",IF(Tb_Activiteiten[[#This Row],[Overige kosten]]=1,Tb_Activiteiten[[#Headers],[Overige kosten]],""))</f>
        <v/>
      </c>
    </row>
    <row r="1195" spans="1:53" x14ac:dyDescent="0.25">
      <c r="A1195" s="139"/>
      <c r="B1195" s="139"/>
      <c r="C1195" s="139"/>
      <c r="D1195" s="139"/>
      <c r="E1195" s="139"/>
      <c r="F1195" s="139"/>
      <c r="G1195" s="139"/>
      <c r="O1195" s="56"/>
      <c r="Q1195" t="str">
        <f>IFERROR(IF(VLOOKUP(Tb_Activiteiten[[#This Row],[Openstelling]],Tb_Openstelling[],2,0)=1,1,""),"")</f>
        <v/>
      </c>
      <c r="AK1195" t="str">
        <f>IF(ISNUMBER(FIND("arbeid",Methode_Keuze)),"",IF(ISNUMBER(FIND("arbeid",Methode_Keuze)),"",IF(Tb_Activiteiten[[#This Row],[Loonkosten]]=1,Tb_Activiteiten[[#Headers],[Loonkosten]],"")))</f>
        <v/>
      </c>
      <c r="AL1195" t="str">
        <f>IF(ISNUMBER(FIND("arbeid",Methode_Keuze)),"",IF(ISNUMBER(FIND("arbeid",Methode_Keuze)),"",IF(Tb_Activiteiten[[#This Row],[Eigen arbeid]]=1,Tb_Activiteiten[[#Headers],[Eigen arbeid]],"")))</f>
        <v/>
      </c>
      <c r="AM1195" t="str">
        <f>IF(ISNUMBER(FIND("arbeid",Methode_Keuze)),"",IF(ISNUMBER(FIND("arbeid",Methode_Keuze)),"",IF(Tb_Activiteiten[[#This Row],[Projectmedewerker]]=1,Tb_Activiteiten[[#Headers],[Projectmedewerker]],"")))</f>
        <v/>
      </c>
      <c r="AN1195" t="str">
        <f>IF(ISNUMBER(FIND("arbeid",Methode_Keuze)),"",IF(ISNUMBER(FIND("arbeid",Methode_Keuze)),"",IF(Tb_Activiteiten[[#This Row],[Landbouwer]]=1,Tb_Activiteiten[[#Headers],[Landbouwer]],"")))</f>
        <v/>
      </c>
      <c r="AO1195" t="str">
        <f>IF(ISNUMBER(FIND("arbeid",Methode_Keuze)),"",IF(ISNUMBER(FIND("arbeid",Methode_Keuze)),"",IF(Tb_Activiteiten[[#This Row],[Adviseur]]=1,Tb_Activiteiten[[#Headers],[Adviseur]],"")))</f>
        <v/>
      </c>
      <c r="AP1195" t="str">
        <f>IF(ISNUMBER(FIND("arbeid",Methode_Keuze)),"",IF(ISNUMBER(FIND("arbeid",Methode_Keuze)),"",IF(Tb_Activiteiten[[#This Row],[Projectleider/Expert]]=1,Tb_Activiteiten[[#Headers],[Projectleider/Expert]],"")))</f>
        <v/>
      </c>
      <c r="AQ1195" t="str">
        <f>IF(ISNUMBER(FIND("arbeid",Methode_Keuze)),"",IF(ISNUMBER(FIND("arbeid",Methode_Keuze)),"",IF(Tb_Activiteiten[[#This Row],[Arbeidskosten]]=1,Tb_Activiteiten[[#Headers],[Arbeidskosten]],"")))</f>
        <v/>
      </c>
      <c r="AR1195" t="str">
        <f>IF(ISNUMBER(FIND("arbeid",Methode_Keuze)),"",IF(ISNUMBER(FIND("arbeid",Methode_Keuze)),"",IF(Tb_Activiteiten[[#This Row],[Arbeidskosten op basis van IKS]]=1,Tb_Activiteiten[[#Headers],[Arbeidskosten op basis van IKS]],"")))</f>
        <v/>
      </c>
      <c r="AS1195" t="str">
        <f>IF(ISNUMBER(FIND("overige",Methode_Keuze)),"",IF(Tb_Activiteiten[[#This Row],[Kosten derden exclusief btw]]=1,Tb_Activiteiten[[#Headers],[Kosten derden exclusief btw]],""))</f>
        <v/>
      </c>
      <c r="AT1195" t="str">
        <f>IF(ISNUMBER(FIND("overige",Methode_Keuze)),"",IF(Tb_Activiteiten[[#This Row],[Niet verrekenbare btw]]=1,Tb_Activiteiten[[#Headers],[Niet verrekenbare btw]],""))</f>
        <v/>
      </c>
      <c r="AU1195" t="str">
        <f>IF(ISNUMBER(FIND("overige",Methode_Keuze)),"",IF(Tb_Activiteiten[[#This Row],[Grondkosten]]=1,Tb_Activiteiten[[#Headers],[Grondkosten]],""))</f>
        <v/>
      </c>
      <c r="AV1195" t="str">
        <f>IF(ISNUMBER(FIND("overige",Methode_Keuze)),"",IF(Tb_Activiteiten[[#This Row],[Bijdrage in natura (overige)]]=1,Tb_Activiteiten[[#Headers],[Bijdrage in natura (overige)]],""))</f>
        <v/>
      </c>
      <c r="AW1195" t="str">
        <f>IF(ISNUMBER(FIND("overige",Methode_Keuze)),"",IF(Tb_Activiteiten[[#This Row],[Bijdrage in natura (vrijwilligers)]]=1,Tb_Activiteiten[[#Headers],[Bijdrage in natura (vrijwilligers)]],""))</f>
        <v/>
      </c>
      <c r="AX1195" t="str">
        <f>IF(ISNUMBER(FIND("overige",Methode_Keuze)),"",IF(Tb_Activiteiten[[#This Row],[Afschrijvingskosten]]=1,Tb_Activiteiten[[#Headers],[Afschrijvingskosten]],""))</f>
        <v/>
      </c>
      <c r="AY1195" t="str">
        <f>IF(ISNUMBER(FIND("overige",Methode_Keuze)),"",IF(Tb_Activiteiten[[#This Row],[Vergoeding]]=1,Tb_Activiteiten[[#Headers],[Vergoeding]],""))</f>
        <v/>
      </c>
      <c r="AZ1195" t="str">
        <f>IF(ISNUMBER(FIND("arbeid",Methode_Keuze)),"",IF(Tb_Activiteiten[[#This Row],[Arbeidskosten - vast tarief (excl eigen arbeid)]]=1,Tb_Activiteiten[[#Headers],[Arbeidskosten - vast tarief (excl eigen arbeid)]],""))</f>
        <v/>
      </c>
      <c r="BA1195" t="str">
        <f>IF(ISNUMBER(FIND("overige",Methode_Keuze)),"",IF(Tb_Activiteiten[[#This Row],[Overige kosten]]=1,Tb_Activiteiten[[#Headers],[Overige kosten]],""))</f>
        <v/>
      </c>
    </row>
    <row r="1196" spans="1:53" x14ac:dyDescent="0.25">
      <c r="A1196" s="139"/>
      <c r="B1196" s="139"/>
      <c r="C1196" s="139"/>
      <c r="D1196" s="139"/>
      <c r="E1196" s="139"/>
      <c r="F1196" s="139"/>
      <c r="G1196" s="139"/>
      <c r="O1196" s="56"/>
      <c r="Q1196" t="str">
        <f>IFERROR(IF(VLOOKUP(Tb_Activiteiten[[#This Row],[Openstelling]],Tb_Openstelling[],2,0)=1,1,""),"")</f>
        <v/>
      </c>
      <c r="AK1196" t="str">
        <f>IF(ISNUMBER(FIND("arbeid",Methode_Keuze)),"",IF(ISNUMBER(FIND("arbeid",Methode_Keuze)),"",IF(Tb_Activiteiten[[#This Row],[Loonkosten]]=1,Tb_Activiteiten[[#Headers],[Loonkosten]],"")))</f>
        <v/>
      </c>
      <c r="AL1196" t="str">
        <f>IF(ISNUMBER(FIND("arbeid",Methode_Keuze)),"",IF(ISNUMBER(FIND("arbeid",Methode_Keuze)),"",IF(Tb_Activiteiten[[#This Row],[Eigen arbeid]]=1,Tb_Activiteiten[[#Headers],[Eigen arbeid]],"")))</f>
        <v/>
      </c>
      <c r="AM1196" t="str">
        <f>IF(ISNUMBER(FIND("arbeid",Methode_Keuze)),"",IF(ISNUMBER(FIND("arbeid",Methode_Keuze)),"",IF(Tb_Activiteiten[[#This Row],[Projectmedewerker]]=1,Tb_Activiteiten[[#Headers],[Projectmedewerker]],"")))</f>
        <v/>
      </c>
      <c r="AN1196" t="str">
        <f>IF(ISNUMBER(FIND("arbeid",Methode_Keuze)),"",IF(ISNUMBER(FIND("arbeid",Methode_Keuze)),"",IF(Tb_Activiteiten[[#This Row],[Landbouwer]]=1,Tb_Activiteiten[[#Headers],[Landbouwer]],"")))</f>
        <v/>
      </c>
      <c r="AO1196" t="str">
        <f>IF(ISNUMBER(FIND("arbeid",Methode_Keuze)),"",IF(ISNUMBER(FIND("arbeid",Methode_Keuze)),"",IF(Tb_Activiteiten[[#This Row],[Adviseur]]=1,Tb_Activiteiten[[#Headers],[Adviseur]],"")))</f>
        <v/>
      </c>
      <c r="AP1196" t="str">
        <f>IF(ISNUMBER(FIND("arbeid",Methode_Keuze)),"",IF(ISNUMBER(FIND("arbeid",Methode_Keuze)),"",IF(Tb_Activiteiten[[#This Row],[Projectleider/Expert]]=1,Tb_Activiteiten[[#Headers],[Projectleider/Expert]],"")))</f>
        <v/>
      </c>
      <c r="AQ1196" t="str">
        <f>IF(ISNUMBER(FIND("arbeid",Methode_Keuze)),"",IF(ISNUMBER(FIND("arbeid",Methode_Keuze)),"",IF(Tb_Activiteiten[[#This Row],[Arbeidskosten]]=1,Tb_Activiteiten[[#Headers],[Arbeidskosten]],"")))</f>
        <v/>
      </c>
      <c r="AR1196" t="str">
        <f>IF(ISNUMBER(FIND("arbeid",Methode_Keuze)),"",IF(ISNUMBER(FIND("arbeid",Methode_Keuze)),"",IF(Tb_Activiteiten[[#This Row],[Arbeidskosten op basis van IKS]]=1,Tb_Activiteiten[[#Headers],[Arbeidskosten op basis van IKS]],"")))</f>
        <v/>
      </c>
      <c r="AS1196" t="str">
        <f>IF(ISNUMBER(FIND("overige",Methode_Keuze)),"",IF(Tb_Activiteiten[[#This Row],[Kosten derden exclusief btw]]=1,Tb_Activiteiten[[#Headers],[Kosten derden exclusief btw]],""))</f>
        <v/>
      </c>
      <c r="AT1196" t="str">
        <f>IF(ISNUMBER(FIND("overige",Methode_Keuze)),"",IF(Tb_Activiteiten[[#This Row],[Niet verrekenbare btw]]=1,Tb_Activiteiten[[#Headers],[Niet verrekenbare btw]],""))</f>
        <v/>
      </c>
      <c r="AU1196" t="str">
        <f>IF(ISNUMBER(FIND("overige",Methode_Keuze)),"",IF(Tb_Activiteiten[[#This Row],[Grondkosten]]=1,Tb_Activiteiten[[#Headers],[Grondkosten]],""))</f>
        <v/>
      </c>
      <c r="AV1196" t="str">
        <f>IF(ISNUMBER(FIND("overige",Methode_Keuze)),"",IF(Tb_Activiteiten[[#This Row],[Bijdrage in natura (overige)]]=1,Tb_Activiteiten[[#Headers],[Bijdrage in natura (overige)]],""))</f>
        <v/>
      </c>
      <c r="AW1196" t="str">
        <f>IF(ISNUMBER(FIND("overige",Methode_Keuze)),"",IF(Tb_Activiteiten[[#This Row],[Bijdrage in natura (vrijwilligers)]]=1,Tb_Activiteiten[[#Headers],[Bijdrage in natura (vrijwilligers)]],""))</f>
        <v/>
      </c>
      <c r="AX1196" t="str">
        <f>IF(ISNUMBER(FIND("overige",Methode_Keuze)),"",IF(Tb_Activiteiten[[#This Row],[Afschrijvingskosten]]=1,Tb_Activiteiten[[#Headers],[Afschrijvingskosten]],""))</f>
        <v/>
      </c>
      <c r="AY1196" t="str">
        <f>IF(ISNUMBER(FIND("overige",Methode_Keuze)),"",IF(Tb_Activiteiten[[#This Row],[Vergoeding]]=1,Tb_Activiteiten[[#Headers],[Vergoeding]],""))</f>
        <v/>
      </c>
      <c r="AZ1196" t="str">
        <f>IF(ISNUMBER(FIND("arbeid",Methode_Keuze)),"",IF(Tb_Activiteiten[[#This Row],[Arbeidskosten - vast tarief (excl eigen arbeid)]]=1,Tb_Activiteiten[[#Headers],[Arbeidskosten - vast tarief (excl eigen arbeid)]],""))</f>
        <v/>
      </c>
      <c r="BA1196" t="str">
        <f>IF(ISNUMBER(FIND("overige",Methode_Keuze)),"",IF(Tb_Activiteiten[[#This Row],[Overige kosten]]=1,Tb_Activiteiten[[#Headers],[Overige kosten]],""))</f>
        <v/>
      </c>
    </row>
    <row r="1197" spans="1:53" x14ac:dyDescent="0.25">
      <c r="A1197" s="139"/>
      <c r="B1197" s="139"/>
      <c r="C1197" s="139"/>
      <c r="D1197" s="139"/>
      <c r="E1197" s="139"/>
      <c r="F1197" s="139"/>
      <c r="G1197" s="139"/>
      <c r="O1197" s="56"/>
      <c r="Q1197" t="str">
        <f>IFERROR(IF(VLOOKUP(Tb_Activiteiten[[#This Row],[Openstelling]],Tb_Openstelling[],2,0)=1,1,""),"")</f>
        <v/>
      </c>
      <c r="AK1197" t="str">
        <f>IF(ISNUMBER(FIND("arbeid",Methode_Keuze)),"",IF(ISNUMBER(FIND("arbeid",Methode_Keuze)),"",IF(Tb_Activiteiten[[#This Row],[Loonkosten]]=1,Tb_Activiteiten[[#Headers],[Loonkosten]],"")))</f>
        <v/>
      </c>
      <c r="AL1197" t="str">
        <f>IF(ISNUMBER(FIND("arbeid",Methode_Keuze)),"",IF(ISNUMBER(FIND("arbeid",Methode_Keuze)),"",IF(Tb_Activiteiten[[#This Row],[Eigen arbeid]]=1,Tb_Activiteiten[[#Headers],[Eigen arbeid]],"")))</f>
        <v/>
      </c>
      <c r="AM1197" t="str">
        <f>IF(ISNUMBER(FIND("arbeid",Methode_Keuze)),"",IF(ISNUMBER(FIND("arbeid",Methode_Keuze)),"",IF(Tb_Activiteiten[[#This Row],[Projectmedewerker]]=1,Tb_Activiteiten[[#Headers],[Projectmedewerker]],"")))</f>
        <v/>
      </c>
      <c r="AN1197" t="str">
        <f>IF(ISNUMBER(FIND("arbeid",Methode_Keuze)),"",IF(ISNUMBER(FIND("arbeid",Methode_Keuze)),"",IF(Tb_Activiteiten[[#This Row],[Landbouwer]]=1,Tb_Activiteiten[[#Headers],[Landbouwer]],"")))</f>
        <v/>
      </c>
      <c r="AO1197" t="str">
        <f>IF(ISNUMBER(FIND("arbeid",Methode_Keuze)),"",IF(ISNUMBER(FIND("arbeid",Methode_Keuze)),"",IF(Tb_Activiteiten[[#This Row],[Adviseur]]=1,Tb_Activiteiten[[#Headers],[Adviseur]],"")))</f>
        <v/>
      </c>
      <c r="AP1197" t="str">
        <f>IF(ISNUMBER(FIND("arbeid",Methode_Keuze)),"",IF(ISNUMBER(FIND("arbeid",Methode_Keuze)),"",IF(Tb_Activiteiten[[#This Row],[Projectleider/Expert]]=1,Tb_Activiteiten[[#Headers],[Projectleider/Expert]],"")))</f>
        <v/>
      </c>
      <c r="AQ1197" t="str">
        <f>IF(ISNUMBER(FIND("arbeid",Methode_Keuze)),"",IF(ISNUMBER(FIND("arbeid",Methode_Keuze)),"",IF(Tb_Activiteiten[[#This Row],[Arbeidskosten]]=1,Tb_Activiteiten[[#Headers],[Arbeidskosten]],"")))</f>
        <v/>
      </c>
      <c r="AR1197" t="str">
        <f>IF(ISNUMBER(FIND("arbeid",Methode_Keuze)),"",IF(ISNUMBER(FIND("arbeid",Methode_Keuze)),"",IF(Tb_Activiteiten[[#This Row],[Arbeidskosten op basis van IKS]]=1,Tb_Activiteiten[[#Headers],[Arbeidskosten op basis van IKS]],"")))</f>
        <v/>
      </c>
      <c r="AS1197" t="str">
        <f>IF(ISNUMBER(FIND("overige",Methode_Keuze)),"",IF(Tb_Activiteiten[[#This Row],[Kosten derden exclusief btw]]=1,Tb_Activiteiten[[#Headers],[Kosten derden exclusief btw]],""))</f>
        <v/>
      </c>
      <c r="AT1197" t="str">
        <f>IF(ISNUMBER(FIND("overige",Methode_Keuze)),"",IF(Tb_Activiteiten[[#This Row],[Niet verrekenbare btw]]=1,Tb_Activiteiten[[#Headers],[Niet verrekenbare btw]],""))</f>
        <v/>
      </c>
      <c r="AU1197" t="str">
        <f>IF(ISNUMBER(FIND("overige",Methode_Keuze)),"",IF(Tb_Activiteiten[[#This Row],[Grondkosten]]=1,Tb_Activiteiten[[#Headers],[Grondkosten]],""))</f>
        <v/>
      </c>
      <c r="AV1197" t="str">
        <f>IF(ISNUMBER(FIND("overige",Methode_Keuze)),"",IF(Tb_Activiteiten[[#This Row],[Bijdrage in natura (overige)]]=1,Tb_Activiteiten[[#Headers],[Bijdrage in natura (overige)]],""))</f>
        <v/>
      </c>
      <c r="AW1197" t="str">
        <f>IF(ISNUMBER(FIND("overige",Methode_Keuze)),"",IF(Tb_Activiteiten[[#This Row],[Bijdrage in natura (vrijwilligers)]]=1,Tb_Activiteiten[[#Headers],[Bijdrage in natura (vrijwilligers)]],""))</f>
        <v/>
      </c>
      <c r="AX1197" t="str">
        <f>IF(ISNUMBER(FIND("overige",Methode_Keuze)),"",IF(Tb_Activiteiten[[#This Row],[Afschrijvingskosten]]=1,Tb_Activiteiten[[#Headers],[Afschrijvingskosten]],""))</f>
        <v/>
      </c>
      <c r="AY1197" t="str">
        <f>IF(ISNUMBER(FIND("overige",Methode_Keuze)),"",IF(Tb_Activiteiten[[#This Row],[Vergoeding]]=1,Tb_Activiteiten[[#Headers],[Vergoeding]],""))</f>
        <v/>
      </c>
      <c r="AZ1197" t="str">
        <f>IF(ISNUMBER(FIND("arbeid",Methode_Keuze)),"",IF(Tb_Activiteiten[[#This Row],[Arbeidskosten - vast tarief (excl eigen arbeid)]]=1,Tb_Activiteiten[[#Headers],[Arbeidskosten - vast tarief (excl eigen arbeid)]],""))</f>
        <v/>
      </c>
      <c r="BA1197" t="str">
        <f>IF(ISNUMBER(FIND("overige",Methode_Keuze)),"",IF(Tb_Activiteiten[[#This Row],[Overige kosten]]=1,Tb_Activiteiten[[#Headers],[Overige kosten]],""))</f>
        <v/>
      </c>
    </row>
    <row r="1198" spans="1:53" x14ac:dyDescent="0.25">
      <c r="A1198" s="139"/>
      <c r="B1198" s="139"/>
      <c r="C1198" s="139"/>
      <c r="D1198" s="139"/>
      <c r="E1198" s="139"/>
      <c r="F1198" s="139"/>
      <c r="G1198" s="139"/>
      <c r="O1198" s="56"/>
      <c r="Q1198" t="str">
        <f>IFERROR(IF(VLOOKUP(Tb_Activiteiten[[#This Row],[Openstelling]],Tb_Openstelling[],2,0)=1,1,""),"")</f>
        <v/>
      </c>
      <c r="AK1198" t="str">
        <f>IF(ISNUMBER(FIND("arbeid",Methode_Keuze)),"",IF(ISNUMBER(FIND("arbeid",Methode_Keuze)),"",IF(Tb_Activiteiten[[#This Row],[Loonkosten]]=1,Tb_Activiteiten[[#Headers],[Loonkosten]],"")))</f>
        <v/>
      </c>
      <c r="AL1198" t="str">
        <f>IF(ISNUMBER(FIND("arbeid",Methode_Keuze)),"",IF(ISNUMBER(FIND("arbeid",Methode_Keuze)),"",IF(Tb_Activiteiten[[#This Row],[Eigen arbeid]]=1,Tb_Activiteiten[[#Headers],[Eigen arbeid]],"")))</f>
        <v/>
      </c>
      <c r="AM1198" t="str">
        <f>IF(ISNUMBER(FIND("arbeid",Methode_Keuze)),"",IF(ISNUMBER(FIND("arbeid",Methode_Keuze)),"",IF(Tb_Activiteiten[[#This Row],[Projectmedewerker]]=1,Tb_Activiteiten[[#Headers],[Projectmedewerker]],"")))</f>
        <v/>
      </c>
      <c r="AN1198" t="str">
        <f>IF(ISNUMBER(FIND("arbeid",Methode_Keuze)),"",IF(ISNUMBER(FIND("arbeid",Methode_Keuze)),"",IF(Tb_Activiteiten[[#This Row],[Landbouwer]]=1,Tb_Activiteiten[[#Headers],[Landbouwer]],"")))</f>
        <v/>
      </c>
      <c r="AO1198" t="str">
        <f>IF(ISNUMBER(FIND("arbeid",Methode_Keuze)),"",IF(ISNUMBER(FIND("arbeid",Methode_Keuze)),"",IF(Tb_Activiteiten[[#This Row],[Adviseur]]=1,Tb_Activiteiten[[#Headers],[Adviseur]],"")))</f>
        <v/>
      </c>
      <c r="AP1198" t="str">
        <f>IF(ISNUMBER(FIND("arbeid",Methode_Keuze)),"",IF(ISNUMBER(FIND("arbeid",Methode_Keuze)),"",IF(Tb_Activiteiten[[#This Row],[Projectleider/Expert]]=1,Tb_Activiteiten[[#Headers],[Projectleider/Expert]],"")))</f>
        <v/>
      </c>
      <c r="AQ1198" t="str">
        <f>IF(ISNUMBER(FIND("arbeid",Methode_Keuze)),"",IF(ISNUMBER(FIND("arbeid",Methode_Keuze)),"",IF(Tb_Activiteiten[[#This Row],[Arbeidskosten]]=1,Tb_Activiteiten[[#Headers],[Arbeidskosten]],"")))</f>
        <v/>
      </c>
      <c r="AR1198" t="str">
        <f>IF(ISNUMBER(FIND("arbeid",Methode_Keuze)),"",IF(ISNUMBER(FIND("arbeid",Methode_Keuze)),"",IF(Tb_Activiteiten[[#This Row],[Arbeidskosten op basis van IKS]]=1,Tb_Activiteiten[[#Headers],[Arbeidskosten op basis van IKS]],"")))</f>
        <v/>
      </c>
      <c r="AS1198" t="str">
        <f>IF(ISNUMBER(FIND("overige",Methode_Keuze)),"",IF(Tb_Activiteiten[[#This Row],[Kosten derden exclusief btw]]=1,Tb_Activiteiten[[#Headers],[Kosten derden exclusief btw]],""))</f>
        <v/>
      </c>
      <c r="AT1198" t="str">
        <f>IF(ISNUMBER(FIND("overige",Methode_Keuze)),"",IF(Tb_Activiteiten[[#This Row],[Niet verrekenbare btw]]=1,Tb_Activiteiten[[#Headers],[Niet verrekenbare btw]],""))</f>
        <v/>
      </c>
      <c r="AU1198" t="str">
        <f>IF(ISNUMBER(FIND("overige",Methode_Keuze)),"",IF(Tb_Activiteiten[[#This Row],[Grondkosten]]=1,Tb_Activiteiten[[#Headers],[Grondkosten]],""))</f>
        <v/>
      </c>
      <c r="AV1198" t="str">
        <f>IF(ISNUMBER(FIND("overige",Methode_Keuze)),"",IF(Tb_Activiteiten[[#This Row],[Bijdrage in natura (overige)]]=1,Tb_Activiteiten[[#Headers],[Bijdrage in natura (overige)]],""))</f>
        <v/>
      </c>
      <c r="AW1198" t="str">
        <f>IF(ISNUMBER(FIND("overige",Methode_Keuze)),"",IF(Tb_Activiteiten[[#This Row],[Bijdrage in natura (vrijwilligers)]]=1,Tb_Activiteiten[[#Headers],[Bijdrage in natura (vrijwilligers)]],""))</f>
        <v/>
      </c>
      <c r="AX1198" t="str">
        <f>IF(ISNUMBER(FIND("overige",Methode_Keuze)),"",IF(Tb_Activiteiten[[#This Row],[Afschrijvingskosten]]=1,Tb_Activiteiten[[#Headers],[Afschrijvingskosten]],""))</f>
        <v/>
      </c>
      <c r="AY1198" t="str">
        <f>IF(ISNUMBER(FIND("overige",Methode_Keuze)),"",IF(Tb_Activiteiten[[#This Row],[Vergoeding]]=1,Tb_Activiteiten[[#Headers],[Vergoeding]],""))</f>
        <v/>
      </c>
      <c r="AZ1198" t="str">
        <f>IF(ISNUMBER(FIND("arbeid",Methode_Keuze)),"",IF(Tb_Activiteiten[[#This Row],[Arbeidskosten - vast tarief (excl eigen arbeid)]]=1,Tb_Activiteiten[[#Headers],[Arbeidskosten - vast tarief (excl eigen arbeid)]],""))</f>
        <v/>
      </c>
      <c r="BA1198" t="str">
        <f>IF(ISNUMBER(FIND("overige",Methode_Keuze)),"",IF(Tb_Activiteiten[[#This Row],[Overige kosten]]=1,Tb_Activiteiten[[#Headers],[Overige kosten]],""))</f>
        <v/>
      </c>
    </row>
    <row r="1199" spans="1:53" x14ac:dyDescent="0.25">
      <c r="A1199" s="139"/>
      <c r="B1199" s="139"/>
      <c r="C1199" s="139"/>
      <c r="D1199" s="139"/>
      <c r="E1199" s="139"/>
      <c r="F1199" s="139"/>
      <c r="G1199" s="139"/>
      <c r="O1199" s="56"/>
      <c r="Q1199" t="str">
        <f>IFERROR(IF(VLOOKUP(Tb_Activiteiten[[#This Row],[Openstelling]],Tb_Openstelling[],2,0)=1,1,""),"")</f>
        <v/>
      </c>
      <c r="AK1199" t="str">
        <f>IF(ISNUMBER(FIND("arbeid",Methode_Keuze)),"",IF(ISNUMBER(FIND("arbeid",Methode_Keuze)),"",IF(Tb_Activiteiten[[#This Row],[Loonkosten]]=1,Tb_Activiteiten[[#Headers],[Loonkosten]],"")))</f>
        <v/>
      </c>
      <c r="AL1199" t="str">
        <f>IF(ISNUMBER(FIND("arbeid",Methode_Keuze)),"",IF(ISNUMBER(FIND("arbeid",Methode_Keuze)),"",IF(Tb_Activiteiten[[#This Row],[Eigen arbeid]]=1,Tb_Activiteiten[[#Headers],[Eigen arbeid]],"")))</f>
        <v/>
      </c>
      <c r="AM1199" t="str">
        <f>IF(ISNUMBER(FIND("arbeid",Methode_Keuze)),"",IF(ISNUMBER(FIND("arbeid",Methode_Keuze)),"",IF(Tb_Activiteiten[[#This Row],[Projectmedewerker]]=1,Tb_Activiteiten[[#Headers],[Projectmedewerker]],"")))</f>
        <v/>
      </c>
      <c r="AN1199" t="str">
        <f>IF(ISNUMBER(FIND("arbeid",Methode_Keuze)),"",IF(ISNUMBER(FIND("arbeid",Methode_Keuze)),"",IF(Tb_Activiteiten[[#This Row],[Landbouwer]]=1,Tb_Activiteiten[[#Headers],[Landbouwer]],"")))</f>
        <v/>
      </c>
      <c r="AO1199" t="str">
        <f>IF(ISNUMBER(FIND("arbeid",Methode_Keuze)),"",IF(ISNUMBER(FIND("arbeid",Methode_Keuze)),"",IF(Tb_Activiteiten[[#This Row],[Adviseur]]=1,Tb_Activiteiten[[#Headers],[Adviseur]],"")))</f>
        <v/>
      </c>
      <c r="AP1199" t="str">
        <f>IF(ISNUMBER(FIND("arbeid",Methode_Keuze)),"",IF(ISNUMBER(FIND("arbeid",Methode_Keuze)),"",IF(Tb_Activiteiten[[#This Row],[Projectleider/Expert]]=1,Tb_Activiteiten[[#Headers],[Projectleider/Expert]],"")))</f>
        <v/>
      </c>
      <c r="AQ1199" t="str">
        <f>IF(ISNUMBER(FIND("arbeid",Methode_Keuze)),"",IF(ISNUMBER(FIND("arbeid",Methode_Keuze)),"",IF(Tb_Activiteiten[[#This Row],[Arbeidskosten]]=1,Tb_Activiteiten[[#Headers],[Arbeidskosten]],"")))</f>
        <v/>
      </c>
      <c r="AR1199" t="str">
        <f>IF(ISNUMBER(FIND("arbeid",Methode_Keuze)),"",IF(ISNUMBER(FIND("arbeid",Methode_Keuze)),"",IF(Tb_Activiteiten[[#This Row],[Arbeidskosten op basis van IKS]]=1,Tb_Activiteiten[[#Headers],[Arbeidskosten op basis van IKS]],"")))</f>
        <v/>
      </c>
      <c r="AS1199" t="str">
        <f>IF(ISNUMBER(FIND("overige",Methode_Keuze)),"",IF(Tb_Activiteiten[[#This Row],[Kosten derden exclusief btw]]=1,Tb_Activiteiten[[#Headers],[Kosten derden exclusief btw]],""))</f>
        <v/>
      </c>
      <c r="AT1199" t="str">
        <f>IF(ISNUMBER(FIND("overige",Methode_Keuze)),"",IF(Tb_Activiteiten[[#This Row],[Niet verrekenbare btw]]=1,Tb_Activiteiten[[#Headers],[Niet verrekenbare btw]],""))</f>
        <v/>
      </c>
      <c r="AU1199" t="str">
        <f>IF(ISNUMBER(FIND("overige",Methode_Keuze)),"",IF(Tb_Activiteiten[[#This Row],[Grondkosten]]=1,Tb_Activiteiten[[#Headers],[Grondkosten]],""))</f>
        <v/>
      </c>
      <c r="AV1199" t="str">
        <f>IF(ISNUMBER(FIND("overige",Methode_Keuze)),"",IF(Tb_Activiteiten[[#This Row],[Bijdrage in natura (overige)]]=1,Tb_Activiteiten[[#Headers],[Bijdrage in natura (overige)]],""))</f>
        <v/>
      </c>
      <c r="AW1199" t="str">
        <f>IF(ISNUMBER(FIND("overige",Methode_Keuze)),"",IF(Tb_Activiteiten[[#This Row],[Bijdrage in natura (vrijwilligers)]]=1,Tb_Activiteiten[[#Headers],[Bijdrage in natura (vrijwilligers)]],""))</f>
        <v/>
      </c>
      <c r="AX1199" t="str">
        <f>IF(ISNUMBER(FIND("overige",Methode_Keuze)),"",IF(Tb_Activiteiten[[#This Row],[Afschrijvingskosten]]=1,Tb_Activiteiten[[#Headers],[Afschrijvingskosten]],""))</f>
        <v/>
      </c>
      <c r="AY1199" t="str">
        <f>IF(ISNUMBER(FIND("overige",Methode_Keuze)),"",IF(Tb_Activiteiten[[#This Row],[Vergoeding]]=1,Tb_Activiteiten[[#Headers],[Vergoeding]],""))</f>
        <v/>
      </c>
      <c r="AZ1199" t="str">
        <f>IF(ISNUMBER(FIND("arbeid",Methode_Keuze)),"",IF(Tb_Activiteiten[[#This Row],[Arbeidskosten - vast tarief (excl eigen arbeid)]]=1,Tb_Activiteiten[[#Headers],[Arbeidskosten - vast tarief (excl eigen arbeid)]],""))</f>
        <v/>
      </c>
      <c r="BA1199" t="str">
        <f>IF(ISNUMBER(FIND("overige",Methode_Keuze)),"",IF(Tb_Activiteiten[[#This Row],[Overige kosten]]=1,Tb_Activiteiten[[#Headers],[Overige kosten]],""))</f>
        <v/>
      </c>
    </row>
    <row r="1200" spans="1:53" x14ac:dyDescent="0.25">
      <c r="A1200" s="139"/>
      <c r="B1200" s="139"/>
      <c r="C1200" s="139"/>
      <c r="D1200" s="139"/>
      <c r="E1200" s="139"/>
      <c r="F1200" s="139"/>
      <c r="G1200" s="139"/>
      <c r="O1200" s="56"/>
      <c r="Q1200" t="str">
        <f>IFERROR(IF(VLOOKUP(Tb_Activiteiten[[#This Row],[Openstelling]],Tb_Openstelling[],2,0)=1,1,""),"")</f>
        <v/>
      </c>
      <c r="AK1200" t="str">
        <f>IF(ISNUMBER(FIND("arbeid",Methode_Keuze)),"",IF(ISNUMBER(FIND("arbeid",Methode_Keuze)),"",IF(Tb_Activiteiten[[#This Row],[Loonkosten]]=1,Tb_Activiteiten[[#Headers],[Loonkosten]],"")))</f>
        <v/>
      </c>
      <c r="AL1200" t="str">
        <f>IF(ISNUMBER(FIND("arbeid",Methode_Keuze)),"",IF(ISNUMBER(FIND("arbeid",Methode_Keuze)),"",IF(Tb_Activiteiten[[#This Row],[Eigen arbeid]]=1,Tb_Activiteiten[[#Headers],[Eigen arbeid]],"")))</f>
        <v/>
      </c>
      <c r="AM1200" t="str">
        <f>IF(ISNUMBER(FIND("arbeid",Methode_Keuze)),"",IF(ISNUMBER(FIND("arbeid",Methode_Keuze)),"",IF(Tb_Activiteiten[[#This Row],[Projectmedewerker]]=1,Tb_Activiteiten[[#Headers],[Projectmedewerker]],"")))</f>
        <v/>
      </c>
      <c r="AN1200" t="str">
        <f>IF(ISNUMBER(FIND("arbeid",Methode_Keuze)),"",IF(ISNUMBER(FIND("arbeid",Methode_Keuze)),"",IF(Tb_Activiteiten[[#This Row],[Landbouwer]]=1,Tb_Activiteiten[[#Headers],[Landbouwer]],"")))</f>
        <v/>
      </c>
      <c r="AO1200" t="str">
        <f>IF(ISNUMBER(FIND("arbeid",Methode_Keuze)),"",IF(ISNUMBER(FIND("arbeid",Methode_Keuze)),"",IF(Tb_Activiteiten[[#This Row],[Adviseur]]=1,Tb_Activiteiten[[#Headers],[Adviseur]],"")))</f>
        <v/>
      </c>
      <c r="AP1200" t="str">
        <f>IF(ISNUMBER(FIND("arbeid",Methode_Keuze)),"",IF(ISNUMBER(FIND("arbeid",Methode_Keuze)),"",IF(Tb_Activiteiten[[#This Row],[Projectleider/Expert]]=1,Tb_Activiteiten[[#Headers],[Projectleider/Expert]],"")))</f>
        <v/>
      </c>
      <c r="AQ1200" t="str">
        <f>IF(ISNUMBER(FIND("arbeid",Methode_Keuze)),"",IF(ISNUMBER(FIND("arbeid",Methode_Keuze)),"",IF(Tb_Activiteiten[[#This Row],[Arbeidskosten]]=1,Tb_Activiteiten[[#Headers],[Arbeidskosten]],"")))</f>
        <v/>
      </c>
      <c r="AR1200" t="str">
        <f>IF(ISNUMBER(FIND("arbeid",Methode_Keuze)),"",IF(ISNUMBER(FIND("arbeid",Methode_Keuze)),"",IF(Tb_Activiteiten[[#This Row],[Arbeidskosten op basis van IKS]]=1,Tb_Activiteiten[[#Headers],[Arbeidskosten op basis van IKS]],"")))</f>
        <v/>
      </c>
      <c r="AS1200" t="str">
        <f>IF(ISNUMBER(FIND("overige",Methode_Keuze)),"",IF(Tb_Activiteiten[[#This Row],[Kosten derden exclusief btw]]=1,Tb_Activiteiten[[#Headers],[Kosten derden exclusief btw]],""))</f>
        <v/>
      </c>
      <c r="AT1200" t="str">
        <f>IF(ISNUMBER(FIND("overige",Methode_Keuze)),"",IF(Tb_Activiteiten[[#This Row],[Niet verrekenbare btw]]=1,Tb_Activiteiten[[#Headers],[Niet verrekenbare btw]],""))</f>
        <v/>
      </c>
      <c r="AU1200" t="str">
        <f>IF(ISNUMBER(FIND("overige",Methode_Keuze)),"",IF(Tb_Activiteiten[[#This Row],[Grondkosten]]=1,Tb_Activiteiten[[#Headers],[Grondkosten]],""))</f>
        <v/>
      </c>
      <c r="AV1200" t="str">
        <f>IF(ISNUMBER(FIND("overige",Methode_Keuze)),"",IF(Tb_Activiteiten[[#This Row],[Bijdrage in natura (overige)]]=1,Tb_Activiteiten[[#Headers],[Bijdrage in natura (overige)]],""))</f>
        <v/>
      </c>
      <c r="AW1200" t="str">
        <f>IF(ISNUMBER(FIND("overige",Methode_Keuze)),"",IF(Tb_Activiteiten[[#This Row],[Bijdrage in natura (vrijwilligers)]]=1,Tb_Activiteiten[[#Headers],[Bijdrage in natura (vrijwilligers)]],""))</f>
        <v/>
      </c>
      <c r="AX1200" t="str">
        <f>IF(ISNUMBER(FIND("overige",Methode_Keuze)),"",IF(Tb_Activiteiten[[#This Row],[Afschrijvingskosten]]=1,Tb_Activiteiten[[#Headers],[Afschrijvingskosten]],""))</f>
        <v/>
      </c>
      <c r="AY1200" t="str">
        <f>IF(ISNUMBER(FIND("overige",Methode_Keuze)),"",IF(Tb_Activiteiten[[#This Row],[Vergoeding]]=1,Tb_Activiteiten[[#Headers],[Vergoeding]],""))</f>
        <v/>
      </c>
      <c r="AZ1200" t="str">
        <f>IF(ISNUMBER(FIND("arbeid",Methode_Keuze)),"",IF(Tb_Activiteiten[[#This Row],[Arbeidskosten - vast tarief (excl eigen arbeid)]]=1,Tb_Activiteiten[[#Headers],[Arbeidskosten - vast tarief (excl eigen arbeid)]],""))</f>
        <v/>
      </c>
      <c r="BA1200" t="str">
        <f>IF(ISNUMBER(FIND("overige",Methode_Keuze)),"",IF(Tb_Activiteiten[[#This Row],[Overige kosten]]=1,Tb_Activiteiten[[#Headers],[Overige kosten]],""))</f>
        <v/>
      </c>
    </row>
    <row r="1201" spans="1:53" x14ac:dyDescent="0.25">
      <c r="A1201" s="139"/>
      <c r="B1201" s="139"/>
      <c r="C1201" s="139"/>
      <c r="D1201" s="139"/>
      <c r="E1201" s="139"/>
      <c r="F1201" s="139"/>
      <c r="G1201" s="139"/>
      <c r="O1201" s="56"/>
      <c r="Q1201" t="str">
        <f>IFERROR(IF(VLOOKUP(Tb_Activiteiten[[#This Row],[Openstelling]],Tb_Openstelling[],2,0)=1,1,""),"")</f>
        <v/>
      </c>
      <c r="AK1201" t="str">
        <f>IF(ISNUMBER(FIND("arbeid",Methode_Keuze)),"",IF(ISNUMBER(FIND("arbeid",Methode_Keuze)),"",IF(Tb_Activiteiten[[#This Row],[Loonkosten]]=1,Tb_Activiteiten[[#Headers],[Loonkosten]],"")))</f>
        <v/>
      </c>
      <c r="AL1201" t="str">
        <f>IF(ISNUMBER(FIND("arbeid",Methode_Keuze)),"",IF(ISNUMBER(FIND("arbeid",Methode_Keuze)),"",IF(Tb_Activiteiten[[#This Row],[Eigen arbeid]]=1,Tb_Activiteiten[[#Headers],[Eigen arbeid]],"")))</f>
        <v/>
      </c>
      <c r="AM1201" t="str">
        <f>IF(ISNUMBER(FIND("arbeid",Methode_Keuze)),"",IF(ISNUMBER(FIND("arbeid",Methode_Keuze)),"",IF(Tb_Activiteiten[[#This Row],[Projectmedewerker]]=1,Tb_Activiteiten[[#Headers],[Projectmedewerker]],"")))</f>
        <v/>
      </c>
      <c r="AN1201" t="str">
        <f>IF(ISNUMBER(FIND("arbeid",Methode_Keuze)),"",IF(ISNUMBER(FIND("arbeid",Methode_Keuze)),"",IF(Tb_Activiteiten[[#This Row],[Landbouwer]]=1,Tb_Activiteiten[[#Headers],[Landbouwer]],"")))</f>
        <v/>
      </c>
      <c r="AO1201" t="str">
        <f>IF(ISNUMBER(FIND("arbeid",Methode_Keuze)),"",IF(ISNUMBER(FIND("arbeid",Methode_Keuze)),"",IF(Tb_Activiteiten[[#This Row],[Adviseur]]=1,Tb_Activiteiten[[#Headers],[Adviseur]],"")))</f>
        <v/>
      </c>
      <c r="AP1201" t="str">
        <f>IF(ISNUMBER(FIND("arbeid",Methode_Keuze)),"",IF(ISNUMBER(FIND("arbeid",Methode_Keuze)),"",IF(Tb_Activiteiten[[#This Row],[Projectleider/Expert]]=1,Tb_Activiteiten[[#Headers],[Projectleider/Expert]],"")))</f>
        <v/>
      </c>
      <c r="AQ1201" t="str">
        <f>IF(ISNUMBER(FIND("arbeid",Methode_Keuze)),"",IF(ISNUMBER(FIND("arbeid",Methode_Keuze)),"",IF(Tb_Activiteiten[[#This Row],[Arbeidskosten]]=1,Tb_Activiteiten[[#Headers],[Arbeidskosten]],"")))</f>
        <v/>
      </c>
      <c r="AR1201" t="str">
        <f>IF(ISNUMBER(FIND("arbeid",Methode_Keuze)),"",IF(ISNUMBER(FIND("arbeid",Methode_Keuze)),"",IF(Tb_Activiteiten[[#This Row],[Arbeidskosten op basis van IKS]]=1,Tb_Activiteiten[[#Headers],[Arbeidskosten op basis van IKS]],"")))</f>
        <v/>
      </c>
      <c r="AS1201" t="str">
        <f>IF(ISNUMBER(FIND("overige",Methode_Keuze)),"",IF(Tb_Activiteiten[[#This Row],[Kosten derden exclusief btw]]=1,Tb_Activiteiten[[#Headers],[Kosten derden exclusief btw]],""))</f>
        <v/>
      </c>
      <c r="AT1201" t="str">
        <f>IF(ISNUMBER(FIND("overige",Methode_Keuze)),"",IF(Tb_Activiteiten[[#This Row],[Niet verrekenbare btw]]=1,Tb_Activiteiten[[#Headers],[Niet verrekenbare btw]],""))</f>
        <v/>
      </c>
      <c r="AU1201" t="str">
        <f>IF(ISNUMBER(FIND("overige",Methode_Keuze)),"",IF(Tb_Activiteiten[[#This Row],[Grondkosten]]=1,Tb_Activiteiten[[#Headers],[Grondkosten]],""))</f>
        <v/>
      </c>
      <c r="AV1201" t="str">
        <f>IF(ISNUMBER(FIND("overige",Methode_Keuze)),"",IF(Tb_Activiteiten[[#This Row],[Bijdrage in natura (overige)]]=1,Tb_Activiteiten[[#Headers],[Bijdrage in natura (overige)]],""))</f>
        <v/>
      </c>
      <c r="AW1201" t="str">
        <f>IF(ISNUMBER(FIND("overige",Methode_Keuze)),"",IF(Tb_Activiteiten[[#This Row],[Bijdrage in natura (vrijwilligers)]]=1,Tb_Activiteiten[[#Headers],[Bijdrage in natura (vrijwilligers)]],""))</f>
        <v/>
      </c>
      <c r="AX1201" t="str">
        <f>IF(ISNUMBER(FIND("overige",Methode_Keuze)),"",IF(Tb_Activiteiten[[#This Row],[Afschrijvingskosten]]=1,Tb_Activiteiten[[#Headers],[Afschrijvingskosten]],""))</f>
        <v/>
      </c>
      <c r="AY1201" t="str">
        <f>IF(ISNUMBER(FIND("overige",Methode_Keuze)),"",IF(Tb_Activiteiten[[#This Row],[Vergoeding]]=1,Tb_Activiteiten[[#Headers],[Vergoeding]],""))</f>
        <v/>
      </c>
      <c r="AZ1201" t="str">
        <f>IF(ISNUMBER(FIND("arbeid",Methode_Keuze)),"",IF(Tb_Activiteiten[[#This Row],[Arbeidskosten - vast tarief (excl eigen arbeid)]]=1,Tb_Activiteiten[[#Headers],[Arbeidskosten - vast tarief (excl eigen arbeid)]],""))</f>
        <v/>
      </c>
      <c r="BA1201" t="str">
        <f>IF(ISNUMBER(FIND("overige",Methode_Keuze)),"",IF(Tb_Activiteiten[[#This Row],[Overige kosten]]=1,Tb_Activiteiten[[#Headers],[Overige kosten]],""))</f>
        <v/>
      </c>
    </row>
    <row r="1202" spans="1:53" x14ac:dyDescent="0.25">
      <c r="A1202" s="139"/>
      <c r="B1202" s="139"/>
      <c r="C1202" s="139"/>
      <c r="D1202" s="139"/>
      <c r="E1202" s="139"/>
      <c r="F1202" s="139"/>
      <c r="G1202" s="139"/>
      <c r="O1202" s="56"/>
      <c r="Q1202" t="str">
        <f>IFERROR(IF(VLOOKUP(Tb_Activiteiten[[#This Row],[Openstelling]],Tb_Openstelling[],2,0)=1,1,""),"")</f>
        <v/>
      </c>
      <c r="AK1202" t="str">
        <f>IF(ISNUMBER(FIND("arbeid",Methode_Keuze)),"",IF(ISNUMBER(FIND("arbeid",Methode_Keuze)),"",IF(Tb_Activiteiten[[#This Row],[Loonkosten]]=1,Tb_Activiteiten[[#Headers],[Loonkosten]],"")))</f>
        <v/>
      </c>
      <c r="AL1202" t="str">
        <f>IF(ISNUMBER(FIND("arbeid",Methode_Keuze)),"",IF(ISNUMBER(FIND("arbeid",Methode_Keuze)),"",IF(Tb_Activiteiten[[#This Row],[Eigen arbeid]]=1,Tb_Activiteiten[[#Headers],[Eigen arbeid]],"")))</f>
        <v/>
      </c>
      <c r="AM1202" t="str">
        <f>IF(ISNUMBER(FIND("arbeid",Methode_Keuze)),"",IF(ISNUMBER(FIND("arbeid",Methode_Keuze)),"",IF(Tb_Activiteiten[[#This Row],[Projectmedewerker]]=1,Tb_Activiteiten[[#Headers],[Projectmedewerker]],"")))</f>
        <v/>
      </c>
      <c r="AN1202" t="str">
        <f>IF(ISNUMBER(FIND("arbeid",Methode_Keuze)),"",IF(ISNUMBER(FIND("arbeid",Methode_Keuze)),"",IF(Tb_Activiteiten[[#This Row],[Landbouwer]]=1,Tb_Activiteiten[[#Headers],[Landbouwer]],"")))</f>
        <v/>
      </c>
      <c r="AO1202" t="str">
        <f>IF(ISNUMBER(FIND("arbeid",Methode_Keuze)),"",IF(ISNUMBER(FIND("arbeid",Methode_Keuze)),"",IF(Tb_Activiteiten[[#This Row],[Adviseur]]=1,Tb_Activiteiten[[#Headers],[Adviseur]],"")))</f>
        <v/>
      </c>
      <c r="AP1202" t="str">
        <f>IF(ISNUMBER(FIND("arbeid",Methode_Keuze)),"",IF(ISNUMBER(FIND("arbeid",Methode_Keuze)),"",IF(Tb_Activiteiten[[#This Row],[Projectleider/Expert]]=1,Tb_Activiteiten[[#Headers],[Projectleider/Expert]],"")))</f>
        <v/>
      </c>
      <c r="AQ1202" t="str">
        <f>IF(ISNUMBER(FIND("arbeid",Methode_Keuze)),"",IF(ISNUMBER(FIND("arbeid",Methode_Keuze)),"",IF(Tb_Activiteiten[[#This Row],[Arbeidskosten]]=1,Tb_Activiteiten[[#Headers],[Arbeidskosten]],"")))</f>
        <v/>
      </c>
      <c r="AR1202" t="str">
        <f>IF(ISNUMBER(FIND("arbeid",Methode_Keuze)),"",IF(ISNUMBER(FIND("arbeid",Methode_Keuze)),"",IF(Tb_Activiteiten[[#This Row],[Arbeidskosten op basis van IKS]]=1,Tb_Activiteiten[[#Headers],[Arbeidskosten op basis van IKS]],"")))</f>
        <v/>
      </c>
      <c r="AS1202" t="str">
        <f>IF(ISNUMBER(FIND("overige",Methode_Keuze)),"",IF(Tb_Activiteiten[[#This Row],[Kosten derden exclusief btw]]=1,Tb_Activiteiten[[#Headers],[Kosten derden exclusief btw]],""))</f>
        <v/>
      </c>
      <c r="AT1202" t="str">
        <f>IF(ISNUMBER(FIND("overige",Methode_Keuze)),"",IF(Tb_Activiteiten[[#This Row],[Niet verrekenbare btw]]=1,Tb_Activiteiten[[#Headers],[Niet verrekenbare btw]],""))</f>
        <v/>
      </c>
      <c r="AU1202" t="str">
        <f>IF(ISNUMBER(FIND("overige",Methode_Keuze)),"",IF(Tb_Activiteiten[[#This Row],[Grondkosten]]=1,Tb_Activiteiten[[#Headers],[Grondkosten]],""))</f>
        <v/>
      </c>
      <c r="AV1202" t="str">
        <f>IF(ISNUMBER(FIND("overige",Methode_Keuze)),"",IF(Tb_Activiteiten[[#This Row],[Bijdrage in natura (overige)]]=1,Tb_Activiteiten[[#Headers],[Bijdrage in natura (overige)]],""))</f>
        <v/>
      </c>
      <c r="AW1202" t="str">
        <f>IF(ISNUMBER(FIND("overige",Methode_Keuze)),"",IF(Tb_Activiteiten[[#This Row],[Bijdrage in natura (vrijwilligers)]]=1,Tb_Activiteiten[[#Headers],[Bijdrage in natura (vrijwilligers)]],""))</f>
        <v/>
      </c>
      <c r="AX1202" t="str">
        <f>IF(ISNUMBER(FIND("overige",Methode_Keuze)),"",IF(Tb_Activiteiten[[#This Row],[Afschrijvingskosten]]=1,Tb_Activiteiten[[#Headers],[Afschrijvingskosten]],""))</f>
        <v/>
      </c>
      <c r="AY1202" t="str">
        <f>IF(ISNUMBER(FIND("overige",Methode_Keuze)),"",IF(Tb_Activiteiten[[#This Row],[Vergoeding]]=1,Tb_Activiteiten[[#Headers],[Vergoeding]],""))</f>
        <v/>
      </c>
      <c r="AZ1202" t="str">
        <f>IF(ISNUMBER(FIND("arbeid",Methode_Keuze)),"",IF(Tb_Activiteiten[[#This Row],[Arbeidskosten - vast tarief (excl eigen arbeid)]]=1,Tb_Activiteiten[[#Headers],[Arbeidskosten - vast tarief (excl eigen arbeid)]],""))</f>
        <v/>
      </c>
      <c r="BA1202" t="str">
        <f>IF(ISNUMBER(FIND("overige",Methode_Keuze)),"",IF(Tb_Activiteiten[[#This Row],[Overige kosten]]=1,Tb_Activiteiten[[#Headers],[Overige kosten]],""))</f>
        <v/>
      </c>
    </row>
    <row r="1203" spans="1:53" x14ac:dyDescent="0.25">
      <c r="A1203" s="139"/>
      <c r="B1203" s="139"/>
      <c r="C1203" s="139"/>
      <c r="D1203" s="139"/>
      <c r="E1203" s="139"/>
      <c r="F1203" s="139"/>
      <c r="G1203" s="139"/>
      <c r="O1203" s="56"/>
      <c r="Q1203" t="str">
        <f>IFERROR(IF(VLOOKUP(Tb_Activiteiten[[#This Row],[Openstelling]],Tb_Openstelling[],2,0)=1,1,""),"")</f>
        <v/>
      </c>
      <c r="AK1203" t="str">
        <f>IF(ISNUMBER(FIND("arbeid",Methode_Keuze)),"",IF(ISNUMBER(FIND("arbeid",Methode_Keuze)),"",IF(Tb_Activiteiten[[#This Row],[Loonkosten]]=1,Tb_Activiteiten[[#Headers],[Loonkosten]],"")))</f>
        <v/>
      </c>
      <c r="AL1203" t="str">
        <f>IF(ISNUMBER(FIND("arbeid",Methode_Keuze)),"",IF(ISNUMBER(FIND("arbeid",Methode_Keuze)),"",IF(Tb_Activiteiten[[#This Row],[Eigen arbeid]]=1,Tb_Activiteiten[[#Headers],[Eigen arbeid]],"")))</f>
        <v/>
      </c>
      <c r="AM1203" t="str">
        <f>IF(ISNUMBER(FIND("arbeid",Methode_Keuze)),"",IF(ISNUMBER(FIND("arbeid",Methode_Keuze)),"",IF(Tb_Activiteiten[[#This Row],[Projectmedewerker]]=1,Tb_Activiteiten[[#Headers],[Projectmedewerker]],"")))</f>
        <v/>
      </c>
      <c r="AN1203" t="str">
        <f>IF(ISNUMBER(FIND("arbeid",Methode_Keuze)),"",IF(ISNUMBER(FIND("arbeid",Methode_Keuze)),"",IF(Tb_Activiteiten[[#This Row],[Landbouwer]]=1,Tb_Activiteiten[[#Headers],[Landbouwer]],"")))</f>
        <v/>
      </c>
      <c r="AO1203" t="str">
        <f>IF(ISNUMBER(FIND("arbeid",Methode_Keuze)),"",IF(ISNUMBER(FIND("arbeid",Methode_Keuze)),"",IF(Tb_Activiteiten[[#This Row],[Adviseur]]=1,Tb_Activiteiten[[#Headers],[Adviseur]],"")))</f>
        <v/>
      </c>
      <c r="AP1203" t="str">
        <f>IF(ISNUMBER(FIND("arbeid",Methode_Keuze)),"",IF(ISNUMBER(FIND("arbeid",Methode_Keuze)),"",IF(Tb_Activiteiten[[#This Row],[Projectleider/Expert]]=1,Tb_Activiteiten[[#Headers],[Projectleider/Expert]],"")))</f>
        <v/>
      </c>
      <c r="AQ1203" t="str">
        <f>IF(ISNUMBER(FIND("arbeid",Methode_Keuze)),"",IF(ISNUMBER(FIND("arbeid",Methode_Keuze)),"",IF(Tb_Activiteiten[[#This Row],[Arbeidskosten]]=1,Tb_Activiteiten[[#Headers],[Arbeidskosten]],"")))</f>
        <v/>
      </c>
      <c r="AR1203" t="str">
        <f>IF(ISNUMBER(FIND("arbeid",Methode_Keuze)),"",IF(ISNUMBER(FIND("arbeid",Methode_Keuze)),"",IF(Tb_Activiteiten[[#This Row],[Arbeidskosten op basis van IKS]]=1,Tb_Activiteiten[[#Headers],[Arbeidskosten op basis van IKS]],"")))</f>
        <v/>
      </c>
      <c r="AS1203" t="str">
        <f>IF(ISNUMBER(FIND("overige",Methode_Keuze)),"",IF(Tb_Activiteiten[[#This Row],[Kosten derden exclusief btw]]=1,Tb_Activiteiten[[#Headers],[Kosten derden exclusief btw]],""))</f>
        <v/>
      </c>
      <c r="AT1203" t="str">
        <f>IF(ISNUMBER(FIND("overige",Methode_Keuze)),"",IF(Tb_Activiteiten[[#This Row],[Niet verrekenbare btw]]=1,Tb_Activiteiten[[#Headers],[Niet verrekenbare btw]],""))</f>
        <v/>
      </c>
      <c r="AU1203" t="str">
        <f>IF(ISNUMBER(FIND("overige",Methode_Keuze)),"",IF(Tb_Activiteiten[[#This Row],[Grondkosten]]=1,Tb_Activiteiten[[#Headers],[Grondkosten]],""))</f>
        <v/>
      </c>
      <c r="AV1203" t="str">
        <f>IF(ISNUMBER(FIND("overige",Methode_Keuze)),"",IF(Tb_Activiteiten[[#This Row],[Bijdrage in natura (overige)]]=1,Tb_Activiteiten[[#Headers],[Bijdrage in natura (overige)]],""))</f>
        <v/>
      </c>
      <c r="AW1203" t="str">
        <f>IF(ISNUMBER(FIND("overige",Methode_Keuze)),"",IF(Tb_Activiteiten[[#This Row],[Bijdrage in natura (vrijwilligers)]]=1,Tb_Activiteiten[[#Headers],[Bijdrage in natura (vrijwilligers)]],""))</f>
        <v/>
      </c>
      <c r="AX1203" t="str">
        <f>IF(ISNUMBER(FIND("overige",Methode_Keuze)),"",IF(Tb_Activiteiten[[#This Row],[Afschrijvingskosten]]=1,Tb_Activiteiten[[#Headers],[Afschrijvingskosten]],""))</f>
        <v/>
      </c>
      <c r="AY1203" t="str">
        <f>IF(ISNUMBER(FIND("overige",Methode_Keuze)),"",IF(Tb_Activiteiten[[#This Row],[Vergoeding]]=1,Tb_Activiteiten[[#Headers],[Vergoeding]],""))</f>
        <v/>
      </c>
      <c r="AZ1203" t="str">
        <f>IF(ISNUMBER(FIND("arbeid",Methode_Keuze)),"",IF(Tb_Activiteiten[[#This Row],[Arbeidskosten - vast tarief (excl eigen arbeid)]]=1,Tb_Activiteiten[[#Headers],[Arbeidskosten - vast tarief (excl eigen arbeid)]],""))</f>
        <v/>
      </c>
      <c r="BA1203" t="str">
        <f>IF(ISNUMBER(FIND("overige",Methode_Keuze)),"",IF(Tb_Activiteiten[[#This Row],[Overige kosten]]=1,Tb_Activiteiten[[#Headers],[Overige kosten]],""))</f>
        <v/>
      </c>
    </row>
    <row r="1204" spans="1:53" x14ac:dyDescent="0.25">
      <c r="A1204" s="139"/>
      <c r="B1204" s="139"/>
      <c r="C1204" s="139"/>
      <c r="D1204" s="139"/>
      <c r="E1204" s="139"/>
      <c r="F1204" s="139"/>
      <c r="G1204" s="139"/>
      <c r="O1204" s="56"/>
      <c r="Q1204" t="str">
        <f>IFERROR(IF(VLOOKUP(Tb_Activiteiten[[#This Row],[Openstelling]],Tb_Openstelling[],2,0)=1,1,""),"")</f>
        <v/>
      </c>
      <c r="AK1204" t="str">
        <f>IF(ISNUMBER(FIND("arbeid",Methode_Keuze)),"",IF(ISNUMBER(FIND("arbeid",Methode_Keuze)),"",IF(Tb_Activiteiten[[#This Row],[Loonkosten]]=1,Tb_Activiteiten[[#Headers],[Loonkosten]],"")))</f>
        <v/>
      </c>
      <c r="AL1204" t="str">
        <f>IF(ISNUMBER(FIND("arbeid",Methode_Keuze)),"",IF(ISNUMBER(FIND("arbeid",Methode_Keuze)),"",IF(Tb_Activiteiten[[#This Row],[Eigen arbeid]]=1,Tb_Activiteiten[[#Headers],[Eigen arbeid]],"")))</f>
        <v/>
      </c>
      <c r="AM1204" t="str">
        <f>IF(ISNUMBER(FIND("arbeid",Methode_Keuze)),"",IF(ISNUMBER(FIND("arbeid",Methode_Keuze)),"",IF(Tb_Activiteiten[[#This Row],[Projectmedewerker]]=1,Tb_Activiteiten[[#Headers],[Projectmedewerker]],"")))</f>
        <v/>
      </c>
      <c r="AN1204" t="str">
        <f>IF(ISNUMBER(FIND("arbeid",Methode_Keuze)),"",IF(ISNUMBER(FIND("arbeid",Methode_Keuze)),"",IF(Tb_Activiteiten[[#This Row],[Landbouwer]]=1,Tb_Activiteiten[[#Headers],[Landbouwer]],"")))</f>
        <v/>
      </c>
      <c r="AO1204" t="str">
        <f>IF(ISNUMBER(FIND("arbeid",Methode_Keuze)),"",IF(ISNUMBER(FIND("arbeid",Methode_Keuze)),"",IF(Tb_Activiteiten[[#This Row],[Adviseur]]=1,Tb_Activiteiten[[#Headers],[Adviseur]],"")))</f>
        <v/>
      </c>
      <c r="AP1204" t="str">
        <f>IF(ISNUMBER(FIND("arbeid",Methode_Keuze)),"",IF(ISNUMBER(FIND("arbeid",Methode_Keuze)),"",IF(Tb_Activiteiten[[#This Row],[Projectleider/Expert]]=1,Tb_Activiteiten[[#Headers],[Projectleider/Expert]],"")))</f>
        <v/>
      </c>
      <c r="AQ1204" t="str">
        <f>IF(ISNUMBER(FIND("arbeid",Methode_Keuze)),"",IF(ISNUMBER(FIND("arbeid",Methode_Keuze)),"",IF(Tb_Activiteiten[[#This Row],[Arbeidskosten]]=1,Tb_Activiteiten[[#Headers],[Arbeidskosten]],"")))</f>
        <v/>
      </c>
      <c r="AR1204" t="str">
        <f>IF(ISNUMBER(FIND("arbeid",Methode_Keuze)),"",IF(ISNUMBER(FIND("arbeid",Methode_Keuze)),"",IF(Tb_Activiteiten[[#This Row],[Arbeidskosten op basis van IKS]]=1,Tb_Activiteiten[[#Headers],[Arbeidskosten op basis van IKS]],"")))</f>
        <v/>
      </c>
      <c r="AS1204" t="str">
        <f>IF(ISNUMBER(FIND("overige",Methode_Keuze)),"",IF(Tb_Activiteiten[[#This Row],[Kosten derden exclusief btw]]=1,Tb_Activiteiten[[#Headers],[Kosten derden exclusief btw]],""))</f>
        <v/>
      </c>
      <c r="AT1204" t="str">
        <f>IF(ISNUMBER(FIND("overige",Methode_Keuze)),"",IF(Tb_Activiteiten[[#This Row],[Niet verrekenbare btw]]=1,Tb_Activiteiten[[#Headers],[Niet verrekenbare btw]],""))</f>
        <v/>
      </c>
      <c r="AU1204" t="str">
        <f>IF(ISNUMBER(FIND("overige",Methode_Keuze)),"",IF(Tb_Activiteiten[[#This Row],[Grondkosten]]=1,Tb_Activiteiten[[#Headers],[Grondkosten]],""))</f>
        <v/>
      </c>
      <c r="AV1204" t="str">
        <f>IF(ISNUMBER(FIND("overige",Methode_Keuze)),"",IF(Tb_Activiteiten[[#This Row],[Bijdrage in natura (overige)]]=1,Tb_Activiteiten[[#Headers],[Bijdrage in natura (overige)]],""))</f>
        <v/>
      </c>
      <c r="AW1204" t="str">
        <f>IF(ISNUMBER(FIND("overige",Methode_Keuze)),"",IF(Tb_Activiteiten[[#This Row],[Bijdrage in natura (vrijwilligers)]]=1,Tb_Activiteiten[[#Headers],[Bijdrage in natura (vrijwilligers)]],""))</f>
        <v/>
      </c>
      <c r="AX1204" t="str">
        <f>IF(ISNUMBER(FIND("overige",Methode_Keuze)),"",IF(Tb_Activiteiten[[#This Row],[Afschrijvingskosten]]=1,Tb_Activiteiten[[#Headers],[Afschrijvingskosten]],""))</f>
        <v/>
      </c>
      <c r="AY1204" t="str">
        <f>IF(ISNUMBER(FIND("overige",Methode_Keuze)),"",IF(Tb_Activiteiten[[#This Row],[Vergoeding]]=1,Tb_Activiteiten[[#Headers],[Vergoeding]],""))</f>
        <v/>
      </c>
      <c r="AZ1204" t="str">
        <f>IF(ISNUMBER(FIND("arbeid",Methode_Keuze)),"",IF(Tb_Activiteiten[[#This Row],[Arbeidskosten - vast tarief (excl eigen arbeid)]]=1,Tb_Activiteiten[[#Headers],[Arbeidskosten - vast tarief (excl eigen arbeid)]],""))</f>
        <v/>
      </c>
      <c r="BA1204" t="str">
        <f>IF(ISNUMBER(FIND("overige",Methode_Keuze)),"",IF(Tb_Activiteiten[[#This Row],[Overige kosten]]=1,Tb_Activiteiten[[#Headers],[Overige kosten]],""))</f>
        <v/>
      </c>
    </row>
    <row r="1205" spans="1:53" x14ac:dyDescent="0.25">
      <c r="A1205" s="139"/>
      <c r="B1205" s="139"/>
      <c r="C1205" s="139"/>
      <c r="D1205" s="139"/>
      <c r="E1205" s="139"/>
      <c r="F1205" s="139"/>
      <c r="G1205" s="139"/>
      <c r="O1205" s="56"/>
      <c r="Q1205" t="str">
        <f>IFERROR(IF(VLOOKUP(Tb_Activiteiten[[#This Row],[Openstelling]],Tb_Openstelling[],2,0)=1,1,""),"")</f>
        <v/>
      </c>
      <c r="AK1205" t="str">
        <f>IF(ISNUMBER(FIND("arbeid",Methode_Keuze)),"",IF(ISNUMBER(FIND("arbeid",Methode_Keuze)),"",IF(Tb_Activiteiten[[#This Row],[Loonkosten]]=1,Tb_Activiteiten[[#Headers],[Loonkosten]],"")))</f>
        <v/>
      </c>
      <c r="AL1205" t="str">
        <f>IF(ISNUMBER(FIND("arbeid",Methode_Keuze)),"",IF(ISNUMBER(FIND("arbeid",Methode_Keuze)),"",IF(Tb_Activiteiten[[#This Row],[Eigen arbeid]]=1,Tb_Activiteiten[[#Headers],[Eigen arbeid]],"")))</f>
        <v/>
      </c>
      <c r="AM1205" t="str">
        <f>IF(ISNUMBER(FIND("arbeid",Methode_Keuze)),"",IF(ISNUMBER(FIND("arbeid",Methode_Keuze)),"",IF(Tb_Activiteiten[[#This Row],[Projectmedewerker]]=1,Tb_Activiteiten[[#Headers],[Projectmedewerker]],"")))</f>
        <v/>
      </c>
      <c r="AN1205" t="str">
        <f>IF(ISNUMBER(FIND("arbeid",Methode_Keuze)),"",IF(ISNUMBER(FIND("arbeid",Methode_Keuze)),"",IF(Tb_Activiteiten[[#This Row],[Landbouwer]]=1,Tb_Activiteiten[[#Headers],[Landbouwer]],"")))</f>
        <v/>
      </c>
      <c r="AO1205" t="str">
        <f>IF(ISNUMBER(FIND("arbeid",Methode_Keuze)),"",IF(ISNUMBER(FIND("arbeid",Methode_Keuze)),"",IF(Tb_Activiteiten[[#This Row],[Adviseur]]=1,Tb_Activiteiten[[#Headers],[Adviseur]],"")))</f>
        <v/>
      </c>
      <c r="AP1205" t="str">
        <f>IF(ISNUMBER(FIND("arbeid",Methode_Keuze)),"",IF(ISNUMBER(FIND("arbeid",Methode_Keuze)),"",IF(Tb_Activiteiten[[#This Row],[Projectleider/Expert]]=1,Tb_Activiteiten[[#Headers],[Projectleider/Expert]],"")))</f>
        <v/>
      </c>
      <c r="AQ1205" t="str">
        <f>IF(ISNUMBER(FIND("arbeid",Methode_Keuze)),"",IF(ISNUMBER(FIND("arbeid",Methode_Keuze)),"",IF(Tb_Activiteiten[[#This Row],[Arbeidskosten]]=1,Tb_Activiteiten[[#Headers],[Arbeidskosten]],"")))</f>
        <v/>
      </c>
      <c r="AR1205" t="str">
        <f>IF(ISNUMBER(FIND("arbeid",Methode_Keuze)),"",IF(ISNUMBER(FIND("arbeid",Methode_Keuze)),"",IF(Tb_Activiteiten[[#This Row],[Arbeidskosten op basis van IKS]]=1,Tb_Activiteiten[[#Headers],[Arbeidskosten op basis van IKS]],"")))</f>
        <v/>
      </c>
      <c r="AS1205" t="str">
        <f>IF(ISNUMBER(FIND("overige",Methode_Keuze)),"",IF(Tb_Activiteiten[[#This Row],[Kosten derden exclusief btw]]=1,Tb_Activiteiten[[#Headers],[Kosten derden exclusief btw]],""))</f>
        <v/>
      </c>
      <c r="AT1205" t="str">
        <f>IF(ISNUMBER(FIND("overige",Methode_Keuze)),"",IF(Tb_Activiteiten[[#This Row],[Niet verrekenbare btw]]=1,Tb_Activiteiten[[#Headers],[Niet verrekenbare btw]],""))</f>
        <v/>
      </c>
      <c r="AU1205" t="str">
        <f>IF(ISNUMBER(FIND("overige",Methode_Keuze)),"",IF(Tb_Activiteiten[[#This Row],[Grondkosten]]=1,Tb_Activiteiten[[#Headers],[Grondkosten]],""))</f>
        <v/>
      </c>
      <c r="AV1205" t="str">
        <f>IF(ISNUMBER(FIND("overige",Methode_Keuze)),"",IF(Tb_Activiteiten[[#This Row],[Bijdrage in natura (overige)]]=1,Tb_Activiteiten[[#Headers],[Bijdrage in natura (overige)]],""))</f>
        <v/>
      </c>
      <c r="AW1205" t="str">
        <f>IF(ISNUMBER(FIND("overige",Methode_Keuze)),"",IF(Tb_Activiteiten[[#This Row],[Bijdrage in natura (vrijwilligers)]]=1,Tb_Activiteiten[[#Headers],[Bijdrage in natura (vrijwilligers)]],""))</f>
        <v/>
      </c>
      <c r="AX1205" t="str">
        <f>IF(ISNUMBER(FIND("overige",Methode_Keuze)),"",IF(Tb_Activiteiten[[#This Row],[Afschrijvingskosten]]=1,Tb_Activiteiten[[#Headers],[Afschrijvingskosten]],""))</f>
        <v/>
      </c>
      <c r="AY1205" t="str">
        <f>IF(ISNUMBER(FIND("overige",Methode_Keuze)),"",IF(Tb_Activiteiten[[#This Row],[Vergoeding]]=1,Tb_Activiteiten[[#Headers],[Vergoeding]],""))</f>
        <v/>
      </c>
      <c r="AZ1205" t="str">
        <f>IF(ISNUMBER(FIND("arbeid",Methode_Keuze)),"",IF(Tb_Activiteiten[[#This Row],[Arbeidskosten - vast tarief (excl eigen arbeid)]]=1,Tb_Activiteiten[[#Headers],[Arbeidskosten - vast tarief (excl eigen arbeid)]],""))</f>
        <v/>
      </c>
      <c r="BA1205" t="str">
        <f>IF(ISNUMBER(FIND("overige",Methode_Keuze)),"",IF(Tb_Activiteiten[[#This Row],[Overige kosten]]=1,Tb_Activiteiten[[#Headers],[Overige kosten]],""))</f>
        <v/>
      </c>
    </row>
    <row r="1206" spans="1:53" x14ac:dyDescent="0.25">
      <c r="A1206" s="139"/>
      <c r="B1206" s="139"/>
      <c r="C1206" s="139"/>
      <c r="D1206" s="139"/>
      <c r="E1206" s="139"/>
      <c r="F1206" s="139"/>
      <c r="G1206" s="139"/>
      <c r="O1206" s="56"/>
      <c r="Q1206" t="str">
        <f>IFERROR(IF(VLOOKUP(Tb_Activiteiten[[#This Row],[Openstelling]],Tb_Openstelling[],2,0)=1,1,""),"")</f>
        <v/>
      </c>
      <c r="AK1206" t="str">
        <f>IF(ISNUMBER(FIND("arbeid",Methode_Keuze)),"",IF(ISNUMBER(FIND("arbeid",Methode_Keuze)),"",IF(Tb_Activiteiten[[#This Row],[Loonkosten]]=1,Tb_Activiteiten[[#Headers],[Loonkosten]],"")))</f>
        <v/>
      </c>
      <c r="AL1206" t="str">
        <f>IF(ISNUMBER(FIND("arbeid",Methode_Keuze)),"",IF(ISNUMBER(FIND("arbeid",Methode_Keuze)),"",IF(Tb_Activiteiten[[#This Row],[Eigen arbeid]]=1,Tb_Activiteiten[[#Headers],[Eigen arbeid]],"")))</f>
        <v/>
      </c>
      <c r="AM1206" t="str">
        <f>IF(ISNUMBER(FIND("arbeid",Methode_Keuze)),"",IF(ISNUMBER(FIND("arbeid",Methode_Keuze)),"",IF(Tb_Activiteiten[[#This Row],[Projectmedewerker]]=1,Tb_Activiteiten[[#Headers],[Projectmedewerker]],"")))</f>
        <v/>
      </c>
      <c r="AN1206" t="str">
        <f>IF(ISNUMBER(FIND("arbeid",Methode_Keuze)),"",IF(ISNUMBER(FIND("arbeid",Methode_Keuze)),"",IF(Tb_Activiteiten[[#This Row],[Landbouwer]]=1,Tb_Activiteiten[[#Headers],[Landbouwer]],"")))</f>
        <v/>
      </c>
      <c r="AO1206" t="str">
        <f>IF(ISNUMBER(FIND("arbeid",Methode_Keuze)),"",IF(ISNUMBER(FIND("arbeid",Methode_Keuze)),"",IF(Tb_Activiteiten[[#This Row],[Adviseur]]=1,Tb_Activiteiten[[#Headers],[Adviseur]],"")))</f>
        <v/>
      </c>
      <c r="AP1206" t="str">
        <f>IF(ISNUMBER(FIND("arbeid",Methode_Keuze)),"",IF(ISNUMBER(FIND("arbeid",Methode_Keuze)),"",IF(Tb_Activiteiten[[#This Row],[Projectleider/Expert]]=1,Tb_Activiteiten[[#Headers],[Projectleider/Expert]],"")))</f>
        <v/>
      </c>
      <c r="AQ1206" t="str">
        <f>IF(ISNUMBER(FIND("arbeid",Methode_Keuze)),"",IF(ISNUMBER(FIND("arbeid",Methode_Keuze)),"",IF(Tb_Activiteiten[[#This Row],[Arbeidskosten]]=1,Tb_Activiteiten[[#Headers],[Arbeidskosten]],"")))</f>
        <v/>
      </c>
      <c r="AR1206" t="str">
        <f>IF(ISNUMBER(FIND("arbeid",Methode_Keuze)),"",IF(ISNUMBER(FIND("arbeid",Methode_Keuze)),"",IF(Tb_Activiteiten[[#This Row],[Arbeidskosten op basis van IKS]]=1,Tb_Activiteiten[[#Headers],[Arbeidskosten op basis van IKS]],"")))</f>
        <v/>
      </c>
      <c r="AS1206" t="str">
        <f>IF(ISNUMBER(FIND("overige",Methode_Keuze)),"",IF(Tb_Activiteiten[[#This Row],[Kosten derden exclusief btw]]=1,Tb_Activiteiten[[#Headers],[Kosten derden exclusief btw]],""))</f>
        <v/>
      </c>
      <c r="AT1206" t="str">
        <f>IF(ISNUMBER(FIND("overige",Methode_Keuze)),"",IF(Tb_Activiteiten[[#This Row],[Niet verrekenbare btw]]=1,Tb_Activiteiten[[#Headers],[Niet verrekenbare btw]],""))</f>
        <v/>
      </c>
      <c r="AU1206" t="str">
        <f>IF(ISNUMBER(FIND("overige",Methode_Keuze)),"",IF(Tb_Activiteiten[[#This Row],[Grondkosten]]=1,Tb_Activiteiten[[#Headers],[Grondkosten]],""))</f>
        <v/>
      </c>
      <c r="AV1206" t="str">
        <f>IF(ISNUMBER(FIND("overige",Methode_Keuze)),"",IF(Tb_Activiteiten[[#This Row],[Bijdrage in natura (overige)]]=1,Tb_Activiteiten[[#Headers],[Bijdrage in natura (overige)]],""))</f>
        <v/>
      </c>
      <c r="AW1206" t="str">
        <f>IF(ISNUMBER(FIND("overige",Methode_Keuze)),"",IF(Tb_Activiteiten[[#This Row],[Bijdrage in natura (vrijwilligers)]]=1,Tb_Activiteiten[[#Headers],[Bijdrage in natura (vrijwilligers)]],""))</f>
        <v/>
      </c>
      <c r="AX1206" t="str">
        <f>IF(ISNUMBER(FIND("overige",Methode_Keuze)),"",IF(Tb_Activiteiten[[#This Row],[Afschrijvingskosten]]=1,Tb_Activiteiten[[#Headers],[Afschrijvingskosten]],""))</f>
        <v/>
      </c>
      <c r="AY1206" t="str">
        <f>IF(ISNUMBER(FIND("overige",Methode_Keuze)),"",IF(Tb_Activiteiten[[#This Row],[Vergoeding]]=1,Tb_Activiteiten[[#Headers],[Vergoeding]],""))</f>
        <v/>
      </c>
      <c r="AZ1206" t="str">
        <f>IF(ISNUMBER(FIND("arbeid",Methode_Keuze)),"",IF(Tb_Activiteiten[[#This Row],[Arbeidskosten - vast tarief (excl eigen arbeid)]]=1,Tb_Activiteiten[[#Headers],[Arbeidskosten - vast tarief (excl eigen arbeid)]],""))</f>
        <v/>
      </c>
      <c r="BA1206" t="str">
        <f>IF(ISNUMBER(FIND("overige",Methode_Keuze)),"",IF(Tb_Activiteiten[[#This Row],[Overige kosten]]=1,Tb_Activiteiten[[#Headers],[Overige kosten]],""))</f>
        <v/>
      </c>
    </row>
    <row r="1207" spans="1:53" x14ac:dyDescent="0.25">
      <c r="A1207" s="139"/>
      <c r="B1207" s="139"/>
      <c r="C1207" s="139"/>
      <c r="D1207" s="139"/>
      <c r="E1207" s="139"/>
      <c r="F1207" s="139"/>
      <c r="G1207" s="139"/>
      <c r="O1207" s="56"/>
      <c r="Q1207" t="str">
        <f>IFERROR(IF(VLOOKUP(Tb_Activiteiten[[#This Row],[Openstelling]],Tb_Openstelling[],2,0)=1,1,""),"")</f>
        <v/>
      </c>
      <c r="AK1207" t="str">
        <f>IF(ISNUMBER(FIND("arbeid",Methode_Keuze)),"",IF(ISNUMBER(FIND("arbeid",Methode_Keuze)),"",IF(Tb_Activiteiten[[#This Row],[Loonkosten]]=1,Tb_Activiteiten[[#Headers],[Loonkosten]],"")))</f>
        <v/>
      </c>
      <c r="AL1207" t="str">
        <f>IF(ISNUMBER(FIND("arbeid",Methode_Keuze)),"",IF(ISNUMBER(FIND("arbeid",Methode_Keuze)),"",IF(Tb_Activiteiten[[#This Row],[Eigen arbeid]]=1,Tb_Activiteiten[[#Headers],[Eigen arbeid]],"")))</f>
        <v/>
      </c>
      <c r="AM1207" t="str">
        <f>IF(ISNUMBER(FIND("arbeid",Methode_Keuze)),"",IF(ISNUMBER(FIND("arbeid",Methode_Keuze)),"",IF(Tb_Activiteiten[[#This Row],[Projectmedewerker]]=1,Tb_Activiteiten[[#Headers],[Projectmedewerker]],"")))</f>
        <v/>
      </c>
      <c r="AN1207" t="str">
        <f>IF(ISNUMBER(FIND("arbeid",Methode_Keuze)),"",IF(ISNUMBER(FIND("arbeid",Methode_Keuze)),"",IF(Tb_Activiteiten[[#This Row],[Landbouwer]]=1,Tb_Activiteiten[[#Headers],[Landbouwer]],"")))</f>
        <v/>
      </c>
      <c r="AO1207" t="str">
        <f>IF(ISNUMBER(FIND("arbeid",Methode_Keuze)),"",IF(ISNUMBER(FIND("arbeid",Methode_Keuze)),"",IF(Tb_Activiteiten[[#This Row],[Adviseur]]=1,Tb_Activiteiten[[#Headers],[Adviseur]],"")))</f>
        <v/>
      </c>
      <c r="AP1207" t="str">
        <f>IF(ISNUMBER(FIND("arbeid",Methode_Keuze)),"",IF(ISNUMBER(FIND("arbeid",Methode_Keuze)),"",IF(Tb_Activiteiten[[#This Row],[Projectleider/Expert]]=1,Tb_Activiteiten[[#Headers],[Projectleider/Expert]],"")))</f>
        <v/>
      </c>
      <c r="AQ1207" t="str">
        <f>IF(ISNUMBER(FIND("arbeid",Methode_Keuze)),"",IF(ISNUMBER(FIND("arbeid",Methode_Keuze)),"",IF(Tb_Activiteiten[[#This Row],[Arbeidskosten]]=1,Tb_Activiteiten[[#Headers],[Arbeidskosten]],"")))</f>
        <v/>
      </c>
      <c r="AR1207" t="str">
        <f>IF(ISNUMBER(FIND("arbeid",Methode_Keuze)),"",IF(ISNUMBER(FIND("arbeid",Methode_Keuze)),"",IF(Tb_Activiteiten[[#This Row],[Arbeidskosten op basis van IKS]]=1,Tb_Activiteiten[[#Headers],[Arbeidskosten op basis van IKS]],"")))</f>
        <v/>
      </c>
      <c r="AS1207" t="str">
        <f>IF(ISNUMBER(FIND("overige",Methode_Keuze)),"",IF(Tb_Activiteiten[[#This Row],[Kosten derden exclusief btw]]=1,Tb_Activiteiten[[#Headers],[Kosten derden exclusief btw]],""))</f>
        <v/>
      </c>
      <c r="AT1207" t="str">
        <f>IF(ISNUMBER(FIND("overige",Methode_Keuze)),"",IF(Tb_Activiteiten[[#This Row],[Niet verrekenbare btw]]=1,Tb_Activiteiten[[#Headers],[Niet verrekenbare btw]],""))</f>
        <v/>
      </c>
      <c r="AU1207" t="str">
        <f>IF(ISNUMBER(FIND("overige",Methode_Keuze)),"",IF(Tb_Activiteiten[[#This Row],[Grondkosten]]=1,Tb_Activiteiten[[#Headers],[Grondkosten]],""))</f>
        <v/>
      </c>
      <c r="AV1207" t="str">
        <f>IF(ISNUMBER(FIND("overige",Methode_Keuze)),"",IF(Tb_Activiteiten[[#This Row],[Bijdrage in natura (overige)]]=1,Tb_Activiteiten[[#Headers],[Bijdrage in natura (overige)]],""))</f>
        <v/>
      </c>
      <c r="AW1207" t="str">
        <f>IF(ISNUMBER(FIND("overige",Methode_Keuze)),"",IF(Tb_Activiteiten[[#This Row],[Bijdrage in natura (vrijwilligers)]]=1,Tb_Activiteiten[[#Headers],[Bijdrage in natura (vrijwilligers)]],""))</f>
        <v/>
      </c>
      <c r="AX1207" t="str">
        <f>IF(ISNUMBER(FIND("overige",Methode_Keuze)),"",IF(Tb_Activiteiten[[#This Row],[Afschrijvingskosten]]=1,Tb_Activiteiten[[#Headers],[Afschrijvingskosten]],""))</f>
        <v/>
      </c>
      <c r="AY1207" t="str">
        <f>IF(ISNUMBER(FIND("overige",Methode_Keuze)),"",IF(Tb_Activiteiten[[#This Row],[Vergoeding]]=1,Tb_Activiteiten[[#Headers],[Vergoeding]],""))</f>
        <v/>
      </c>
      <c r="AZ1207" t="str">
        <f>IF(ISNUMBER(FIND("arbeid",Methode_Keuze)),"",IF(Tb_Activiteiten[[#This Row],[Arbeidskosten - vast tarief (excl eigen arbeid)]]=1,Tb_Activiteiten[[#Headers],[Arbeidskosten - vast tarief (excl eigen arbeid)]],""))</f>
        <v/>
      </c>
      <c r="BA1207" t="str">
        <f>IF(ISNUMBER(FIND("overige",Methode_Keuze)),"",IF(Tb_Activiteiten[[#This Row],[Overige kosten]]=1,Tb_Activiteiten[[#Headers],[Overige kosten]],""))</f>
        <v/>
      </c>
    </row>
    <row r="1208" spans="1:53" x14ac:dyDescent="0.25">
      <c r="A1208" s="139"/>
      <c r="B1208" s="139"/>
      <c r="C1208" s="139"/>
      <c r="D1208" s="139"/>
      <c r="E1208" s="139"/>
      <c r="F1208" s="139"/>
      <c r="G1208" s="139"/>
      <c r="O1208" s="56"/>
      <c r="Q1208" t="str">
        <f>IFERROR(IF(VLOOKUP(Tb_Activiteiten[[#This Row],[Openstelling]],Tb_Openstelling[],2,0)=1,1,""),"")</f>
        <v/>
      </c>
      <c r="AK1208" t="str">
        <f>IF(ISNUMBER(FIND("arbeid",Methode_Keuze)),"",IF(ISNUMBER(FIND("arbeid",Methode_Keuze)),"",IF(Tb_Activiteiten[[#This Row],[Loonkosten]]=1,Tb_Activiteiten[[#Headers],[Loonkosten]],"")))</f>
        <v/>
      </c>
      <c r="AL1208" t="str">
        <f>IF(ISNUMBER(FIND("arbeid",Methode_Keuze)),"",IF(ISNUMBER(FIND("arbeid",Methode_Keuze)),"",IF(Tb_Activiteiten[[#This Row],[Eigen arbeid]]=1,Tb_Activiteiten[[#Headers],[Eigen arbeid]],"")))</f>
        <v/>
      </c>
      <c r="AM1208" t="str">
        <f>IF(ISNUMBER(FIND("arbeid",Methode_Keuze)),"",IF(ISNUMBER(FIND("arbeid",Methode_Keuze)),"",IF(Tb_Activiteiten[[#This Row],[Projectmedewerker]]=1,Tb_Activiteiten[[#Headers],[Projectmedewerker]],"")))</f>
        <v/>
      </c>
      <c r="AN1208" t="str">
        <f>IF(ISNUMBER(FIND("arbeid",Methode_Keuze)),"",IF(ISNUMBER(FIND("arbeid",Methode_Keuze)),"",IF(Tb_Activiteiten[[#This Row],[Landbouwer]]=1,Tb_Activiteiten[[#Headers],[Landbouwer]],"")))</f>
        <v/>
      </c>
      <c r="AO1208" t="str">
        <f>IF(ISNUMBER(FIND("arbeid",Methode_Keuze)),"",IF(ISNUMBER(FIND("arbeid",Methode_Keuze)),"",IF(Tb_Activiteiten[[#This Row],[Adviseur]]=1,Tb_Activiteiten[[#Headers],[Adviseur]],"")))</f>
        <v/>
      </c>
      <c r="AP1208" t="str">
        <f>IF(ISNUMBER(FIND("arbeid",Methode_Keuze)),"",IF(ISNUMBER(FIND("arbeid",Methode_Keuze)),"",IF(Tb_Activiteiten[[#This Row],[Projectleider/Expert]]=1,Tb_Activiteiten[[#Headers],[Projectleider/Expert]],"")))</f>
        <v/>
      </c>
      <c r="AQ1208" t="str">
        <f>IF(ISNUMBER(FIND("arbeid",Methode_Keuze)),"",IF(ISNUMBER(FIND("arbeid",Methode_Keuze)),"",IF(Tb_Activiteiten[[#This Row],[Arbeidskosten]]=1,Tb_Activiteiten[[#Headers],[Arbeidskosten]],"")))</f>
        <v/>
      </c>
      <c r="AR1208" t="str">
        <f>IF(ISNUMBER(FIND("arbeid",Methode_Keuze)),"",IF(ISNUMBER(FIND("arbeid",Methode_Keuze)),"",IF(Tb_Activiteiten[[#This Row],[Arbeidskosten op basis van IKS]]=1,Tb_Activiteiten[[#Headers],[Arbeidskosten op basis van IKS]],"")))</f>
        <v/>
      </c>
      <c r="AS1208" t="str">
        <f>IF(ISNUMBER(FIND("overige",Methode_Keuze)),"",IF(Tb_Activiteiten[[#This Row],[Kosten derden exclusief btw]]=1,Tb_Activiteiten[[#Headers],[Kosten derden exclusief btw]],""))</f>
        <v/>
      </c>
      <c r="AT1208" t="str">
        <f>IF(ISNUMBER(FIND("overige",Methode_Keuze)),"",IF(Tb_Activiteiten[[#This Row],[Niet verrekenbare btw]]=1,Tb_Activiteiten[[#Headers],[Niet verrekenbare btw]],""))</f>
        <v/>
      </c>
      <c r="AU1208" t="str">
        <f>IF(ISNUMBER(FIND("overige",Methode_Keuze)),"",IF(Tb_Activiteiten[[#This Row],[Grondkosten]]=1,Tb_Activiteiten[[#Headers],[Grondkosten]],""))</f>
        <v/>
      </c>
      <c r="AV1208" t="str">
        <f>IF(ISNUMBER(FIND("overige",Methode_Keuze)),"",IF(Tb_Activiteiten[[#This Row],[Bijdrage in natura (overige)]]=1,Tb_Activiteiten[[#Headers],[Bijdrage in natura (overige)]],""))</f>
        <v/>
      </c>
      <c r="AW1208" t="str">
        <f>IF(ISNUMBER(FIND("overige",Methode_Keuze)),"",IF(Tb_Activiteiten[[#This Row],[Bijdrage in natura (vrijwilligers)]]=1,Tb_Activiteiten[[#Headers],[Bijdrage in natura (vrijwilligers)]],""))</f>
        <v/>
      </c>
      <c r="AX1208" t="str">
        <f>IF(ISNUMBER(FIND("overige",Methode_Keuze)),"",IF(Tb_Activiteiten[[#This Row],[Afschrijvingskosten]]=1,Tb_Activiteiten[[#Headers],[Afschrijvingskosten]],""))</f>
        <v/>
      </c>
      <c r="AY1208" t="str">
        <f>IF(ISNUMBER(FIND("overige",Methode_Keuze)),"",IF(Tb_Activiteiten[[#This Row],[Vergoeding]]=1,Tb_Activiteiten[[#Headers],[Vergoeding]],""))</f>
        <v/>
      </c>
      <c r="AZ1208" t="str">
        <f>IF(ISNUMBER(FIND("arbeid",Methode_Keuze)),"",IF(Tb_Activiteiten[[#This Row],[Arbeidskosten - vast tarief (excl eigen arbeid)]]=1,Tb_Activiteiten[[#Headers],[Arbeidskosten - vast tarief (excl eigen arbeid)]],""))</f>
        <v/>
      </c>
      <c r="BA1208" t="str">
        <f>IF(ISNUMBER(FIND("overige",Methode_Keuze)),"",IF(Tb_Activiteiten[[#This Row],[Overige kosten]]=1,Tb_Activiteiten[[#Headers],[Overige kosten]],""))</f>
        <v/>
      </c>
    </row>
    <row r="1209" spans="1:53" x14ac:dyDescent="0.25">
      <c r="A1209" s="139"/>
      <c r="B1209" s="139"/>
      <c r="C1209" s="139"/>
      <c r="D1209" s="139"/>
      <c r="E1209" s="139"/>
      <c r="F1209" s="139"/>
      <c r="G1209" s="139"/>
      <c r="O1209" s="56"/>
      <c r="Q1209" t="str">
        <f>IFERROR(IF(VLOOKUP(Tb_Activiteiten[[#This Row],[Openstelling]],Tb_Openstelling[],2,0)=1,1,""),"")</f>
        <v/>
      </c>
      <c r="AK1209" t="str">
        <f>IF(ISNUMBER(FIND("arbeid",Methode_Keuze)),"",IF(ISNUMBER(FIND("arbeid",Methode_Keuze)),"",IF(Tb_Activiteiten[[#This Row],[Loonkosten]]=1,Tb_Activiteiten[[#Headers],[Loonkosten]],"")))</f>
        <v/>
      </c>
      <c r="AL1209" t="str">
        <f>IF(ISNUMBER(FIND("arbeid",Methode_Keuze)),"",IF(ISNUMBER(FIND("arbeid",Methode_Keuze)),"",IF(Tb_Activiteiten[[#This Row],[Eigen arbeid]]=1,Tb_Activiteiten[[#Headers],[Eigen arbeid]],"")))</f>
        <v/>
      </c>
      <c r="AM1209" t="str">
        <f>IF(ISNUMBER(FIND("arbeid",Methode_Keuze)),"",IF(ISNUMBER(FIND("arbeid",Methode_Keuze)),"",IF(Tb_Activiteiten[[#This Row],[Projectmedewerker]]=1,Tb_Activiteiten[[#Headers],[Projectmedewerker]],"")))</f>
        <v/>
      </c>
      <c r="AN1209" t="str">
        <f>IF(ISNUMBER(FIND("arbeid",Methode_Keuze)),"",IF(ISNUMBER(FIND("arbeid",Methode_Keuze)),"",IF(Tb_Activiteiten[[#This Row],[Landbouwer]]=1,Tb_Activiteiten[[#Headers],[Landbouwer]],"")))</f>
        <v/>
      </c>
      <c r="AO1209" t="str">
        <f>IF(ISNUMBER(FIND("arbeid",Methode_Keuze)),"",IF(ISNUMBER(FIND("arbeid",Methode_Keuze)),"",IF(Tb_Activiteiten[[#This Row],[Adviseur]]=1,Tb_Activiteiten[[#Headers],[Adviseur]],"")))</f>
        <v/>
      </c>
      <c r="AP1209" t="str">
        <f>IF(ISNUMBER(FIND("arbeid",Methode_Keuze)),"",IF(ISNUMBER(FIND("arbeid",Methode_Keuze)),"",IF(Tb_Activiteiten[[#This Row],[Projectleider/Expert]]=1,Tb_Activiteiten[[#Headers],[Projectleider/Expert]],"")))</f>
        <v/>
      </c>
      <c r="AQ1209" t="str">
        <f>IF(ISNUMBER(FIND("arbeid",Methode_Keuze)),"",IF(ISNUMBER(FIND("arbeid",Methode_Keuze)),"",IF(Tb_Activiteiten[[#This Row],[Arbeidskosten]]=1,Tb_Activiteiten[[#Headers],[Arbeidskosten]],"")))</f>
        <v/>
      </c>
      <c r="AR1209" t="str">
        <f>IF(ISNUMBER(FIND("arbeid",Methode_Keuze)),"",IF(ISNUMBER(FIND("arbeid",Methode_Keuze)),"",IF(Tb_Activiteiten[[#This Row],[Arbeidskosten op basis van IKS]]=1,Tb_Activiteiten[[#Headers],[Arbeidskosten op basis van IKS]],"")))</f>
        <v/>
      </c>
      <c r="AS1209" t="str">
        <f>IF(ISNUMBER(FIND("overige",Methode_Keuze)),"",IF(Tb_Activiteiten[[#This Row],[Kosten derden exclusief btw]]=1,Tb_Activiteiten[[#Headers],[Kosten derden exclusief btw]],""))</f>
        <v/>
      </c>
      <c r="AT1209" t="str">
        <f>IF(ISNUMBER(FIND("overige",Methode_Keuze)),"",IF(Tb_Activiteiten[[#This Row],[Niet verrekenbare btw]]=1,Tb_Activiteiten[[#Headers],[Niet verrekenbare btw]],""))</f>
        <v/>
      </c>
      <c r="AU1209" t="str">
        <f>IF(ISNUMBER(FIND("overige",Methode_Keuze)),"",IF(Tb_Activiteiten[[#This Row],[Grondkosten]]=1,Tb_Activiteiten[[#Headers],[Grondkosten]],""))</f>
        <v/>
      </c>
      <c r="AV1209" t="str">
        <f>IF(ISNUMBER(FIND("overige",Methode_Keuze)),"",IF(Tb_Activiteiten[[#This Row],[Bijdrage in natura (overige)]]=1,Tb_Activiteiten[[#Headers],[Bijdrage in natura (overige)]],""))</f>
        <v/>
      </c>
      <c r="AW1209" t="str">
        <f>IF(ISNUMBER(FIND("overige",Methode_Keuze)),"",IF(Tb_Activiteiten[[#This Row],[Bijdrage in natura (vrijwilligers)]]=1,Tb_Activiteiten[[#Headers],[Bijdrage in natura (vrijwilligers)]],""))</f>
        <v/>
      </c>
      <c r="AX1209" t="str">
        <f>IF(ISNUMBER(FIND("overige",Methode_Keuze)),"",IF(Tb_Activiteiten[[#This Row],[Afschrijvingskosten]]=1,Tb_Activiteiten[[#Headers],[Afschrijvingskosten]],""))</f>
        <v/>
      </c>
      <c r="AY1209" t="str">
        <f>IF(ISNUMBER(FIND("overige",Methode_Keuze)),"",IF(Tb_Activiteiten[[#This Row],[Vergoeding]]=1,Tb_Activiteiten[[#Headers],[Vergoeding]],""))</f>
        <v/>
      </c>
      <c r="AZ1209" t="str">
        <f>IF(ISNUMBER(FIND("arbeid",Methode_Keuze)),"",IF(Tb_Activiteiten[[#This Row],[Arbeidskosten - vast tarief (excl eigen arbeid)]]=1,Tb_Activiteiten[[#Headers],[Arbeidskosten - vast tarief (excl eigen arbeid)]],""))</f>
        <v/>
      </c>
      <c r="BA1209" t="str">
        <f>IF(ISNUMBER(FIND("overige",Methode_Keuze)),"",IF(Tb_Activiteiten[[#This Row],[Overige kosten]]=1,Tb_Activiteiten[[#Headers],[Overige kosten]],""))</f>
        <v/>
      </c>
    </row>
    <row r="1210" spans="1:53" x14ac:dyDescent="0.25">
      <c r="A1210" s="139"/>
      <c r="B1210" s="139"/>
      <c r="C1210" s="139"/>
      <c r="D1210" s="139"/>
      <c r="E1210" s="139"/>
      <c r="F1210" s="139"/>
      <c r="G1210" s="139"/>
      <c r="O1210" s="56"/>
      <c r="Q1210" t="str">
        <f>IFERROR(IF(VLOOKUP(Tb_Activiteiten[[#This Row],[Openstelling]],Tb_Openstelling[],2,0)=1,1,""),"")</f>
        <v/>
      </c>
      <c r="AK1210" t="str">
        <f>IF(ISNUMBER(FIND("arbeid",Methode_Keuze)),"",IF(ISNUMBER(FIND("arbeid",Methode_Keuze)),"",IF(Tb_Activiteiten[[#This Row],[Loonkosten]]=1,Tb_Activiteiten[[#Headers],[Loonkosten]],"")))</f>
        <v/>
      </c>
      <c r="AL1210" t="str">
        <f>IF(ISNUMBER(FIND("arbeid",Methode_Keuze)),"",IF(ISNUMBER(FIND("arbeid",Methode_Keuze)),"",IF(Tb_Activiteiten[[#This Row],[Eigen arbeid]]=1,Tb_Activiteiten[[#Headers],[Eigen arbeid]],"")))</f>
        <v/>
      </c>
      <c r="AM1210" t="str">
        <f>IF(ISNUMBER(FIND("arbeid",Methode_Keuze)),"",IF(ISNUMBER(FIND("arbeid",Methode_Keuze)),"",IF(Tb_Activiteiten[[#This Row],[Projectmedewerker]]=1,Tb_Activiteiten[[#Headers],[Projectmedewerker]],"")))</f>
        <v/>
      </c>
      <c r="AN1210" t="str">
        <f>IF(ISNUMBER(FIND("arbeid",Methode_Keuze)),"",IF(ISNUMBER(FIND("arbeid",Methode_Keuze)),"",IF(Tb_Activiteiten[[#This Row],[Landbouwer]]=1,Tb_Activiteiten[[#Headers],[Landbouwer]],"")))</f>
        <v/>
      </c>
      <c r="AO1210" t="str">
        <f>IF(ISNUMBER(FIND("arbeid",Methode_Keuze)),"",IF(ISNUMBER(FIND("arbeid",Methode_Keuze)),"",IF(Tb_Activiteiten[[#This Row],[Adviseur]]=1,Tb_Activiteiten[[#Headers],[Adviseur]],"")))</f>
        <v/>
      </c>
      <c r="AP1210" t="str">
        <f>IF(ISNUMBER(FIND("arbeid",Methode_Keuze)),"",IF(ISNUMBER(FIND("arbeid",Methode_Keuze)),"",IF(Tb_Activiteiten[[#This Row],[Projectleider/Expert]]=1,Tb_Activiteiten[[#Headers],[Projectleider/Expert]],"")))</f>
        <v/>
      </c>
      <c r="AQ1210" t="str">
        <f>IF(ISNUMBER(FIND("arbeid",Methode_Keuze)),"",IF(ISNUMBER(FIND("arbeid",Methode_Keuze)),"",IF(Tb_Activiteiten[[#This Row],[Arbeidskosten]]=1,Tb_Activiteiten[[#Headers],[Arbeidskosten]],"")))</f>
        <v/>
      </c>
      <c r="AR1210" t="str">
        <f>IF(ISNUMBER(FIND("arbeid",Methode_Keuze)),"",IF(ISNUMBER(FIND("arbeid",Methode_Keuze)),"",IF(Tb_Activiteiten[[#This Row],[Arbeidskosten op basis van IKS]]=1,Tb_Activiteiten[[#Headers],[Arbeidskosten op basis van IKS]],"")))</f>
        <v/>
      </c>
      <c r="AS1210" t="str">
        <f>IF(ISNUMBER(FIND("overige",Methode_Keuze)),"",IF(Tb_Activiteiten[[#This Row],[Kosten derden exclusief btw]]=1,Tb_Activiteiten[[#Headers],[Kosten derden exclusief btw]],""))</f>
        <v/>
      </c>
      <c r="AT1210" t="str">
        <f>IF(ISNUMBER(FIND("overige",Methode_Keuze)),"",IF(Tb_Activiteiten[[#This Row],[Niet verrekenbare btw]]=1,Tb_Activiteiten[[#Headers],[Niet verrekenbare btw]],""))</f>
        <v/>
      </c>
      <c r="AU1210" t="str">
        <f>IF(ISNUMBER(FIND("overige",Methode_Keuze)),"",IF(Tb_Activiteiten[[#This Row],[Grondkosten]]=1,Tb_Activiteiten[[#Headers],[Grondkosten]],""))</f>
        <v/>
      </c>
      <c r="AV1210" t="str">
        <f>IF(ISNUMBER(FIND("overige",Methode_Keuze)),"",IF(Tb_Activiteiten[[#This Row],[Bijdrage in natura (overige)]]=1,Tb_Activiteiten[[#Headers],[Bijdrage in natura (overige)]],""))</f>
        <v/>
      </c>
      <c r="AW1210" t="str">
        <f>IF(ISNUMBER(FIND("overige",Methode_Keuze)),"",IF(Tb_Activiteiten[[#This Row],[Bijdrage in natura (vrijwilligers)]]=1,Tb_Activiteiten[[#Headers],[Bijdrage in natura (vrijwilligers)]],""))</f>
        <v/>
      </c>
      <c r="AX1210" t="str">
        <f>IF(ISNUMBER(FIND("overige",Methode_Keuze)),"",IF(Tb_Activiteiten[[#This Row],[Afschrijvingskosten]]=1,Tb_Activiteiten[[#Headers],[Afschrijvingskosten]],""))</f>
        <v/>
      </c>
      <c r="AY1210" t="str">
        <f>IF(ISNUMBER(FIND("overige",Methode_Keuze)),"",IF(Tb_Activiteiten[[#This Row],[Vergoeding]]=1,Tb_Activiteiten[[#Headers],[Vergoeding]],""))</f>
        <v/>
      </c>
      <c r="AZ1210" t="str">
        <f>IF(ISNUMBER(FIND("arbeid",Methode_Keuze)),"",IF(Tb_Activiteiten[[#This Row],[Arbeidskosten - vast tarief (excl eigen arbeid)]]=1,Tb_Activiteiten[[#Headers],[Arbeidskosten - vast tarief (excl eigen arbeid)]],""))</f>
        <v/>
      </c>
      <c r="BA1210" t="str">
        <f>IF(ISNUMBER(FIND("overige",Methode_Keuze)),"",IF(Tb_Activiteiten[[#This Row],[Overige kosten]]=1,Tb_Activiteiten[[#Headers],[Overige kosten]],""))</f>
        <v/>
      </c>
    </row>
    <row r="1211" spans="1:53" x14ac:dyDescent="0.25">
      <c r="A1211" s="139"/>
      <c r="B1211" s="139"/>
      <c r="C1211" s="139"/>
      <c r="D1211" s="139"/>
      <c r="E1211" s="139"/>
      <c r="F1211" s="139"/>
      <c r="G1211" s="139"/>
      <c r="O1211" s="56"/>
      <c r="Q1211" t="str">
        <f>IFERROR(IF(VLOOKUP(Tb_Activiteiten[[#This Row],[Openstelling]],Tb_Openstelling[],2,0)=1,1,""),"")</f>
        <v/>
      </c>
      <c r="AK1211" t="str">
        <f>IF(ISNUMBER(FIND("arbeid",Methode_Keuze)),"",IF(ISNUMBER(FIND("arbeid",Methode_Keuze)),"",IF(Tb_Activiteiten[[#This Row],[Loonkosten]]=1,Tb_Activiteiten[[#Headers],[Loonkosten]],"")))</f>
        <v/>
      </c>
      <c r="AL1211" t="str">
        <f>IF(ISNUMBER(FIND("arbeid",Methode_Keuze)),"",IF(ISNUMBER(FIND("arbeid",Methode_Keuze)),"",IF(Tb_Activiteiten[[#This Row],[Eigen arbeid]]=1,Tb_Activiteiten[[#Headers],[Eigen arbeid]],"")))</f>
        <v/>
      </c>
      <c r="AM1211" t="str">
        <f>IF(ISNUMBER(FIND("arbeid",Methode_Keuze)),"",IF(ISNUMBER(FIND("arbeid",Methode_Keuze)),"",IF(Tb_Activiteiten[[#This Row],[Projectmedewerker]]=1,Tb_Activiteiten[[#Headers],[Projectmedewerker]],"")))</f>
        <v/>
      </c>
      <c r="AN1211" t="str">
        <f>IF(ISNUMBER(FIND("arbeid",Methode_Keuze)),"",IF(ISNUMBER(FIND("arbeid",Methode_Keuze)),"",IF(Tb_Activiteiten[[#This Row],[Landbouwer]]=1,Tb_Activiteiten[[#Headers],[Landbouwer]],"")))</f>
        <v/>
      </c>
      <c r="AO1211" t="str">
        <f>IF(ISNUMBER(FIND("arbeid",Methode_Keuze)),"",IF(ISNUMBER(FIND("arbeid",Methode_Keuze)),"",IF(Tb_Activiteiten[[#This Row],[Adviseur]]=1,Tb_Activiteiten[[#Headers],[Adviseur]],"")))</f>
        <v/>
      </c>
      <c r="AP1211" t="str">
        <f>IF(ISNUMBER(FIND("arbeid",Methode_Keuze)),"",IF(ISNUMBER(FIND("arbeid",Methode_Keuze)),"",IF(Tb_Activiteiten[[#This Row],[Projectleider/Expert]]=1,Tb_Activiteiten[[#Headers],[Projectleider/Expert]],"")))</f>
        <v/>
      </c>
      <c r="AQ1211" t="str">
        <f>IF(ISNUMBER(FIND("arbeid",Methode_Keuze)),"",IF(ISNUMBER(FIND("arbeid",Methode_Keuze)),"",IF(Tb_Activiteiten[[#This Row],[Arbeidskosten]]=1,Tb_Activiteiten[[#Headers],[Arbeidskosten]],"")))</f>
        <v/>
      </c>
      <c r="AR1211" t="str">
        <f>IF(ISNUMBER(FIND("arbeid",Methode_Keuze)),"",IF(ISNUMBER(FIND("arbeid",Methode_Keuze)),"",IF(Tb_Activiteiten[[#This Row],[Arbeidskosten op basis van IKS]]=1,Tb_Activiteiten[[#Headers],[Arbeidskosten op basis van IKS]],"")))</f>
        <v/>
      </c>
      <c r="AS1211" t="str">
        <f>IF(ISNUMBER(FIND("overige",Methode_Keuze)),"",IF(Tb_Activiteiten[[#This Row],[Kosten derden exclusief btw]]=1,Tb_Activiteiten[[#Headers],[Kosten derden exclusief btw]],""))</f>
        <v/>
      </c>
      <c r="AT1211" t="str">
        <f>IF(ISNUMBER(FIND("overige",Methode_Keuze)),"",IF(Tb_Activiteiten[[#This Row],[Niet verrekenbare btw]]=1,Tb_Activiteiten[[#Headers],[Niet verrekenbare btw]],""))</f>
        <v/>
      </c>
      <c r="AU1211" t="str">
        <f>IF(ISNUMBER(FIND("overige",Methode_Keuze)),"",IF(Tb_Activiteiten[[#This Row],[Grondkosten]]=1,Tb_Activiteiten[[#Headers],[Grondkosten]],""))</f>
        <v/>
      </c>
      <c r="AV1211" t="str">
        <f>IF(ISNUMBER(FIND("overige",Methode_Keuze)),"",IF(Tb_Activiteiten[[#This Row],[Bijdrage in natura (overige)]]=1,Tb_Activiteiten[[#Headers],[Bijdrage in natura (overige)]],""))</f>
        <v/>
      </c>
      <c r="AW1211" t="str">
        <f>IF(ISNUMBER(FIND("overige",Methode_Keuze)),"",IF(Tb_Activiteiten[[#This Row],[Bijdrage in natura (vrijwilligers)]]=1,Tb_Activiteiten[[#Headers],[Bijdrage in natura (vrijwilligers)]],""))</f>
        <v/>
      </c>
      <c r="AX1211" t="str">
        <f>IF(ISNUMBER(FIND("overige",Methode_Keuze)),"",IF(Tb_Activiteiten[[#This Row],[Afschrijvingskosten]]=1,Tb_Activiteiten[[#Headers],[Afschrijvingskosten]],""))</f>
        <v/>
      </c>
      <c r="AY1211" t="str">
        <f>IF(ISNUMBER(FIND("overige",Methode_Keuze)),"",IF(Tb_Activiteiten[[#This Row],[Vergoeding]]=1,Tb_Activiteiten[[#Headers],[Vergoeding]],""))</f>
        <v/>
      </c>
      <c r="AZ1211" t="str">
        <f>IF(ISNUMBER(FIND("arbeid",Methode_Keuze)),"",IF(Tb_Activiteiten[[#This Row],[Arbeidskosten - vast tarief (excl eigen arbeid)]]=1,Tb_Activiteiten[[#Headers],[Arbeidskosten - vast tarief (excl eigen arbeid)]],""))</f>
        <v/>
      </c>
      <c r="BA1211" t="str">
        <f>IF(ISNUMBER(FIND("overige",Methode_Keuze)),"",IF(Tb_Activiteiten[[#This Row],[Overige kosten]]=1,Tb_Activiteiten[[#Headers],[Overige kosten]],""))</f>
        <v/>
      </c>
    </row>
    <row r="1212" spans="1:53" x14ac:dyDescent="0.25">
      <c r="A1212" s="139"/>
      <c r="B1212" s="139"/>
      <c r="C1212" s="139"/>
      <c r="D1212" s="139"/>
      <c r="E1212" s="139"/>
      <c r="F1212" s="139"/>
      <c r="G1212" s="139"/>
      <c r="O1212" s="56"/>
      <c r="Q1212" t="str">
        <f>IFERROR(IF(VLOOKUP(Tb_Activiteiten[[#This Row],[Openstelling]],Tb_Openstelling[],2,0)=1,1,""),"")</f>
        <v/>
      </c>
      <c r="AK1212" t="str">
        <f>IF(ISNUMBER(FIND("arbeid",Methode_Keuze)),"",IF(ISNUMBER(FIND("arbeid",Methode_Keuze)),"",IF(Tb_Activiteiten[[#This Row],[Loonkosten]]=1,Tb_Activiteiten[[#Headers],[Loonkosten]],"")))</f>
        <v/>
      </c>
      <c r="AL1212" t="str">
        <f>IF(ISNUMBER(FIND("arbeid",Methode_Keuze)),"",IF(ISNUMBER(FIND("arbeid",Methode_Keuze)),"",IF(Tb_Activiteiten[[#This Row],[Eigen arbeid]]=1,Tb_Activiteiten[[#Headers],[Eigen arbeid]],"")))</f>
        <v/>
      </c>
      <c r="AM1212" t="str">
        <f>IF(ISNUMBER(FIND("arbeid",Methode_Keuze)),"",IF(ISNUMBER(FIND("arbeid",Methode_Keuze)),"",IF(Tb_Activiteiten[[#This Row],[Projectmedewerker]]=1,Tb_Activiteiten[[#Headers],[Projectmedewerker]],"")))</f>
        <v/>
      </c>
      <c r="AN1212" t="str">
        <f>IF(ISNUMBER(FIND("arbeid",Methode_Keuze)),"",IF(ISNUMBER(FIND("arbeid",Methode_Keuze)),"",IF(Tb_Activiteiten[[#This Row],[Landbouwer]]=1,Tb_Activiteiten[[#Headers],[Landbouwer]],"")))</f>
        <v/>
      </c>
      <c r="AO1212" t="str">
        <f>IF(ISNUMBER(FIND("arbeid",Methode_Keuze)),"",IF(ISNUMBER(FIND("arbeid",Methode_Keuze)),"",IF(Tb_Activiteiten[[#This Row],[Adviseur]]=1,Tb_Activiteiten[[#Headers],[Adviseur]],"")))</f>
        <v/>
      </c>
      <c r="AP1212" t="str">
        <f>IF(ISNUMBER(FIND("arbeid",Methode_Keuze)),"",IF(ISNUMBER(FIND("arbeid",Methode_Keuze)),"",IF(Tb_Activiteiten[[#This Row],[Projectleider/Expert]]=1,Tb_Activiteiten[[#Headers],[Projectleider/Expert]],"")))</f>
        <v/>
      </c>
      <c r="AQ1212" t="str">
        <f>IF(ISNUMBER(FIND("arbeid",Methode_Keuze)),"",IF(ISNUMBER(FIND("arbeid",Methode_Keuze)),"",IF(Tb_Activiteiten[[#This Row],[Arbeidskosten]]=1,Tb_Activiteiten[[#Headers],[Arbeidskosten]],"")))</f>
        <v/>
      </c>
      <c r="AR1212" t="str">
        <f>IF(ISNUMBER(FIND("arbeid",Methode_Keuze)),"",IF(ISNUMBER(FIND("arbeid",Methode_Keuze)),"",IF(Tb_Activiteiten[[#This Row],[Arbeidskosten op basis van IKS]]=1,Tb_Activiteiten[[#Headers],[Arbeidskosten op basis van IKS]],"")))</f>
        <v/>
      </c>
      <c r="AS1212" t="str">
        <f>IF(ISNUMBER(FIND("overige",Methode_Keuze)),"",IF(Tb_Activiteiten[[#This Row],[Kosten derden exclusief btw]]=1,Tb_Activiteiten[[#Headers],[Kosten derden exclusief btw]],""))</f>
        <v/>
      </c>
      <c r="AT1212" t="str">
        <f>IF(ISNUMBER(FIND("overige",Methode_Keuze)),"",IF(Tb_Activiteiten[[#This Row],[Niet verrekenbare btw]]=1,Tb_Activiteiten[[#Headers],[Niet verrekenbare btw]],""))</f>
        <v/>
      </c>
      <c r="AU1212" t="str">
        <f>IF(ISNUMBER(FIND("overige",Methode_Keuze)),"",IF(Tb_Activiteiten[[#This Row],[Grondkosten]]=1,Tb_Activiteiten[[#Headers],[Grondkosten]],""))</f>
        <v/>
      </c>
      <c r="AV1212" t="str">
        <f>IF(ISNUMBER(FIND("overige",Methode_Keuze)),"",IF(Tb_Activiteiten[[#This Row],[Bijdrage in natura (overige)]]=1,Tb_Activiteiten[[#Headers],[Bijdrage in natura (overige)]],""))</f>
        <v/>
      </c>
      <c r="AW1212" t="str">
        <f>IF(ISNUMBER(FIND("overige",Methode_Keuze)),"",IF(Tb_Activiteiten[[#This Row],[Bijdrage in natura (vrijwilligers)]]=1,Tb_Activiteiten[[#Headers],[Bijdrage in natura (vrijwilligers)]],""))</f>
        <v/>
      </c>
      <c r="AX1212" t="str">
        <f>IF(ISNUMBER(FIND("overige",Methode_Keuze)),"",IF(Tb_Activiteiten[[#This Row],[Afschrijvingskosten]]=1,Tb_Activiteiten[[#Headers],[Afschrijvingskosten]],""))</f>
        <v/>
      </c>
      <c r="AY1212" t="str">
        <f>IF(ISNUMBER(FIND("overige",Methode_Keuze)),"",IF(Tb_Activiteiten[[#This Row],[Vergoeding]]=1,Tb_Activiteiten[[#Headers],[Vergoeding]],""))</f>
        <v/>
      </c>
      <c r="AZ1212" t="str">
        <f>IF(ISNUMBER(FIND("arbeid",Methode_Keuze)),"",IF(Tb_Activiteiten[[#This Row],[Arbeidskosten - vast tarief (excl eigen arbeid)]]=1,Tb_Activiteiten[[#Headers],[Arbeidskosten - vast tarief (excl eigen arbeid)]],""))</f>
        <v/>
      </c>
      <c r="BA1212" t="str">
        <f>IF(ISNUMBER(FIND("overige",Methode_Keuze)),"",IF(Tb_Activiteiten[[#This Row],[Overige kosten]]=1,Tb_Activiteiten[[#Headers],[Overige kosten]],""))</f>
        <v/>
      </c>
    </row>
    <row r="1213" spans="1:53" x14ac:dyDescent="0.25">
      <c r="A1213" s="139"/>
      <c r="B1213" s="139"/>
      <c r="C1213" s="139"/>
      <c r="D1213" s="139"/>
      <c r="E1213" s="139"/>
      <c r="F1213" s="139"/>
      <c r="G1213" s="139"/>
      <c r="O1213" s="56"/>
      <c r="Q1213" t="str">
        <f>IFERROR(IF(VLOOKUP(Tb_Activiteiten[[#This Row],[Openstelling]],Tb_Openstelling[],2,0)=1,1,""),"")</f>
        <v/>
      </c>
      <c r="AK1213" t="str">
        <f>IF(ISNUMBER(FIND("arbeid",Methode_Keuze)),"",IF(ISNUMBER(FIND("arbeid",Methode_Keuze)),"",IF(Tb_Activiteiten[[#This Row],[Loonkosten]]=1,Tb_Activiteiten[[#Headers],[Loonkosten]],"")))</f>
        <v/>
      </c>
      <c r="AL1213" t="str">
        <f>IF(ISNUMBER(FIND("arbeid",Methode_Keuze)),"",IF(ISNUMBER(FIND("arbeid",Methode_Keuze)),"",IF(Tb_Activiteiten[[#This Row],[Eigen arbeid]]=1,Tb_Activiteiten[[#Headers],[Eigen arbeid]],"")))</f>
        <v/>
      </c>
      <c r="AM1213" t="str">
        <f>IF(ISNUMBER(FIND("arbeid",Methode_Keuze)),"",IF(ISNUMBER(FIND("arbeid",Methode_Keuze)),"",IF(Tb_Activiteiten[[#This Row],[Projectmedewerker]]=1,Tb_Activiteiten[[#Headers],[Projectmedewerker]],"")))</f>
        <v/>
      </c>
      <c r="AN1213" t="str">
        <f>IF(ISNUMBER(FIND("arbeid",Methode_Keuze)),"",IF(ISNUMBER(FIND("arbeid",Methode_Keuze)),"",IF(Tb_Activiteiten[[#This Row],[Landbouwer]]=1,Tb_Activiteiten[[#Headers],[Landbouwer]],"")))</f>
        <v/>
      </c>
      <c r="AO1213" t="str">
        <f>IF(ISNUMBER(FIND("arbeid",Methode_Keuze)),"",IF(ISNUMBER(FIND("arbeid",Methode_Keuze)),"",IF(Tb_Activiteiten[[#This Row],[Adviseur]]=1,Tb_Activiteiten[[#Headers],[Adviseur]],"")))</f>
        <v/>
      </c>
      <c r="AP1213" t="str">
        <f>IF(ISNUMBER(FIND("arbeid",Methode_Keuze)),"",IF(ISNUMBER(FIND("arbeid",Methode_Keuze)),"",IF(Tb_Activiteiten[[#This Row],[Projectleider/Expert]]=1,Tb_Activiteiten[[#Headers],[Projectleider/Expert]],"")))</f>
        <v/>
      </c>
      <c r="AQ1213" t="str">
        <f>IF(ISNUMBER(FIND("arbeid",Methode_Keuze)),"",IF(ISNUMBER(FIND("arbeid",Methode_Keuze)),"",IF(Tb_Activiteiten[[#This Row],[Arbeidskosten]]=1,Tb_Activiteiten[[#Headers],[Arbeidskosten]],"")))</f>
        <v/>
      </c>
      <c r="AR1213" t="str">
        <f>IF(ISNUMBER(FIND("arbeid",Methode_Keuze)),"",IF(ISNUMBER(FIND("arbeid",Methode_Keuze)),"",IF(Tb_Activiteiten[[#This Row],[Arbeidskosten op basis van IKS]]=1,Tb_Activiteiten[[#Headers],[Arbeidskosten op basis van IKS]],"")))</f>
        <v/>
      </c>
      <c r="AS1213" t="str">
        <f>IF(ISNUMBER(FIND("overige",Methode_Keuze)),"",IF(Tb_Activiteiten[[#This Row],[Kosten derden exclusief btw]]=1,Tb_Activiteiten[[#Headers],[Kosten derden exclusief btw]],""))</f>
        <v/>
      </c>
      <c r="AT1213" t="str">
        <f>IF(ISNUMBER(FIND("overige",Methode_Keuze)),"",IF(Tb_Activiteiten[[#This Row],[Niet verrekenbare btw]]=1,Tb_Activiteiten[[#Headers],[Niet verrekenbare btw]],""))</f>
        <v/>
      </c>
      <c r="AU1213" t="str">
        <f>IF(ISNUMBER(FIND("overige",Methode_Keuze)),"",IF(Tb_Activiteiten[[#This Row],[Grondkosten]]=1,Tb_Activiteiten[[#Headers],[Grondkosten]],""))</f>
        <v/>
      </c>
      <c r="AV1213" t="str">
        <f>IF(ISNUMBER(FIND("overige",Methode_Keuze)),"",IF(Tb_Activiteiten[[#This Row],[Bijdrage in natura (overige)]]=1,Tb_Activiteiten[[#Headers],[Bijdrage in natura (overige)]],""))</f>
        <v/>
      </c>
      <c r="AW1213" t="str">
        <f>IF(ISNUMBER(FIND("overige",Methode_Keuze)),"",IF(Tb_Activiteiten[[#This Row],[Bijdrage in natura (vrijwilligers)]]=1,Tb_Activiteiten[[#Headers],[Bijdrage in natura (vrijwilligers)]],""))</f>
        <v/>
      </c>
      <c r="AX1213" t="str">
        <f>IF(ISNUMBER(FIND("overige",Methode_Keuze)),"",IF(Tb_Activiteiten[[#This Row],[Afschrijvingskosten]]=1,Tb_Activiteiten[[#Headers],[Afschrijvingskosten]],""))</f>
        <v/>
      </c>
      <c r="AY1213" t="str">
        <f>IF(ISNUMBER(FIND("overige",Methode_Keuze)),"",IF(Tb_Activiteiten[[#This Row],[Vergoeding]]=1,Tb_Activiteiten[[#Headers],[Vergoeding]],""))</f>
        <v/>
      </c>
      <c r="AZ1213" t="str">
        <f>IF(ISNUMBER(FIND("arbeid",Methode_Keuze)),"",IF(Tb_Activiteiten[[#This Row],[Arbeidskosten - vast tarief (excl eigen arbeid)]]=1,Tb_Activiteiten[[#Headers],[Arbeidskosten - vast tarief (excl eigen arbeid)]],""))</f>
        <v/>
      </c>
      <c r="BA1213" t="str">
        <f>IF(ISNUMBER(FIND("overige",Methode_Keuze)),"",IF(Tb_Activiteiten[[#This Row],[Overige kosten]]=1,Tb_Activiteiten[[#Headers],[Overige kosten]],""))</f>
        <v/>
      </c>
    </row>
    <row r="1214" spans="1:53" x14ac:dyDescent="0.25">
      <c r="A1214" s="139"/>
      <c r="B1214" s="139"/>
      <c r="C1214" s="139"/>
      <c r="D1214" s="139"/>
      <c r="E1214" s="139"/>
      <c r="F1214" s="139"/>
      <c r="G1214" s="139"/>
      <c r="O1214" s="56"/>
      <c r="Q1214" t="str">
        <f>IFERROR(IF(VLOOKUP(Tb_Activiteiten[[#This Row],[Openstelling]],Tb_Openstelling[],2,0)=1,1,""),"")</f>
        <v/>
      </c>
      <c r="AK1214" t="str">
        <f>IF(ISNUMBER(FIND("arbeid",Methode_Keuze)),"",IF(ISNUMBER(FIND("arbeid",Methode_Keuze)),"",IF(Tb_Activiteiten[[#This Row],[Loonkosten]]=1,Tb_Activiteiten[[#Headers],[Loonkosten]],"")))</f>
        <v/>
      </c>
      <c r="AL1214" t="str">
        <f>IF(ISNUMBER(FIND("arbeid",Methode_Keuze)),"",IF(ISNUMBER(FIND("arbeid",Methode_Keuze)),"",IF(Tb_Activiteiten[[#This Row],[Eigen arbeid]]=1,Tb_Activiteiten[[#Headers],[Eigen arbeid]],"")))</f>
        <v/>
      </c>
      <c r="AM1214" t="str">
        <f>IF(ISNUMBER(FIND("arbeid",Methode_Keuze)),"",IF(ISNUMBER(FIND("arbeid",Methode_Keuze)),"",IF(Tb_Activiteiten[[#This Row],[Projectmedewerker]]=1,Tb_Activiteiten[[#Headers],[Projectmedewerker]],"")))</f>
        <v/>
      </c>
      <c r="AN1214" t="str">
        <f>IF(ISNUMBER(FIND("arbeid",Methode_Keuze)),"",IF(ISNUMBER(FIND("arbeid",Methode_Keuze)),"",IF(Tb_Activiteiten[[#This Row],[Landbouwer]]=1,Tb_Activiteiten[[#Headers],[Landbouwer]],"")))</f>
        <v/>
      </c>
      <c r="AO1214" t="str">
        <f>IF(ISNUMBER(FIND("arbeid",Methode_Keuze)),"",IF(ISNUMBER(FIND("arbeid",Methode_Keuze)),"",IF(Tb_Activiteiten[[#This Row],[Adviseur]]=1,Tb_Activiteiten[[#Headers],[Adviseur]],"")))</f>
        <v/>
      </c>
      <c r="AP1214" t="str">
        <f>IF(ISNUMBER(FIND("arbeid",Methode_Keuze)),"",IF(ISNUMBER(FIND("arbeid",Methode_Keuze)),"",IF(Tb_Activiteiten[[#This Row],[Projectleider/Expert]]=1,Tb_Activiteiten[[#Headers],[Projectleider/Expert]],"")))</f>
        <v/>
      </c>
      <c r="AQ1214" t="str">
        <f>IF(ISNUMBER(FIND("arbeid",Methode_Keuze)),"",IF(ISNUMBER(FIND("arbeid",Methode_Keuze)),"",IF(Tb_Activiteiten[[#This Row],[Arbeidskosten]]=1,Tb_Activiteiten[[#Headers],[Arbeidskosten]],"")))</f>
        <v/>
      </c>
      <c r="AR1214" t="str">
        <f>IF(ISNUMBER(FIND("arbeid",Methode_Keuze)),"",IF(ISNUMBER(FIND("arbeid",Methode_Keuze)),"",IF(Tb_Activiteiten[[#This Row],[Arbeidskosten op basis van IKS]]=1,Tb_Activiteiten[[#Headers],[Arbeidskosten op basis van IKS]],"")))</f>
        <v/>
      </c>
      <c r="AS1214" t="str">
        <f>IF(ISNUMBER(FIND("overige",Methode_Keuze)),"",IF(Tb_Activiteiten[[#This Row],[Kosten derden exclusief btw]]=1,Tb_Activiteiten[[#Headers],[Kosten derden exclusief btw]],""))</f>
        <v/>
      </c>
      <c r="AT1214" t="str">
        <f>IF(ISNUMBER(FIND("overige",Methode_Keuze)),"",IF(Tb_Activiteiten[[#This Row],[Niet verrekenbare btw]]=1,Tb_Activiteiten[[#Headers],[Niet verrekenbare btw]],""))</f>
        <v/>
      </c>
      <c r="AU1214" t="str">
        <f>IF(ISNUMBER(FIND("overige",Methode_Keuze)),"",IF(Tb_Activiteiten[[#This Row],[Grondkosten]]=1,Tb_Activiteiten[[#Headers],[Grondkosten]],""))</f>
        <v/>
      </c>
      <c r="AV1214" t="str">
        <f>IF(ISNUMBER(FIND("overige",Methode_Keuze)),"",IF(Tb_Activiteiten[[#This Row],[Bijdrage in natura (overige)]]=1,Tb_Activiteiten[[#Headers],[Bijdrage in natura (overige)]],""))</f>
        <v/>
      </c>
      <c r="AW1214" t="str">
        <f>IF(ISNUMBER(FIND("overige",Methode_Keuze)),"",IF(Tb_Activiteiten[[#This Row],[Bijdrage in natura (vrijwilligers)]]=1,Tb_Activiteiten[[#Headers],[Bijdrage in natura (vrijwilligers)]],""))</f>
        <v/>
      </c>
      <c r="AX1214" t="str">
        <f>IF(ISNUMBER(FIND("overige",Methode_Keuze)),"",IF(Tb_Activiteiten[[#This Row],[Afschrijvingskosten]]=1,Tb_Activiteiten[[#Headers],[Afschrijvingskosten]],""))</f>
        <v/>
      </c>
      <c r="AY1214" t="str">
        <f>IF(ISNUMBER(FIND("overige",Methode_Keuze)),"",IF(Tb_Activiteiten[[#This Row],[Vergoeding]]=1,Tb_Activiteiten[[#Headers],[Vergoeding]],""))</f>
        <v/>
      </c>
      <c r="AZ1214" t="str">
        <f>IF(ISNUMBER(FIND("arbeid",Methode_Keuze)),"",IF(Tb_Activiteiten[[#This Row],[Arbeidskosten - vast tarief (excl eigen arbeid)]]=1,Tb_Activiteiten[[#Headers],[Arbeidskosten - vast tarief (excl eigen arbeid)]],""))</f>
        <v/>
      </c>
      <c r="BA1214" t="str">
        <f>IF(ISNUMBER(FIND("overige",Methode_Keuze)),"",IF(Tb_Activiteiten[[#This Row],[Overige kosten]]=1,Tb_Activiteiten[[#Headers],[Overige kosten]],""))</f>
        <v/>
      </c>
    </row>
    <row r="1215" spans="1:53" x14ac:dyDescent="0.25">
      <c r="A1215" s="139"/>
      <c r="B1215" s="139"/>
      <c r="C1215" s="139"/>
      <c r="D1215" s="139"/>
      <c r="E1215" s="139"/>
      <c r="F1215" s="139"/>
      <c r="G1215" s="139"/>
      <c r="O1215" s="56"/>
      <c r="Q1215" t="str">
        <f>IFERROR(IF(VLOOKUP(Tb_Activiteiten[[#This Row],[Openstelling]],Tb_Openstelling[],2,0)=1,1,""),"")</f>
        <v/>
      </c>
      <c r="AK1215" t="str">
        <f>IF(ISNUMBER(FIND("arbeid",Methode_Keuze)),"",IF(ISNUMBER(FIND("arbeid",Methode_Keuze)),"",IF(Tb_Activiteiten[[#This Row],[Loonkosten]]=1,Tb_Activiteiten[[#Headers],[Loonkosten]],"")))</f>
        <v/>
      </c>
      <c r="AL1215" t="str">
        <f>IF(ISNUMBER(FIND("arbeid",Methode_Keuze)),"",IF(ISNUMBER(FIND("arbeid",Methode_Keuze)),"",IF(Tb_Activiteiten[[#This Row],[Eigen arbeid]]=1,Tb_Activiteiten[[#Headers],[Eigen arbeid]],"")))</f>
        <v/>
      </c>
      <c r="AM1215" t="str">
        <f>IF(ISNUMBER(FIND("arbeid",Methode_Keuze)),"",IF(ISNUMBER(FIND("arbeid",Methode_Keuze)),"",IF(Tb_Activiteiten[[#This Row],[Projectmedewerker]]=1,Tb_Activiteiten[[#Headers],[Projectmedewerker]],"")))</f>
        <v/>
      </c>
      <c r="AN1215" t="str">
        <f>IF(ISNUMBER(FIND("arbeid",Methode_Keuze)),"",IF(ISNUMBER(FIND("arbeid",Methode_Keuze)),"",IF(Tb_Activiteiten[[#This Row],[Landbouwer]]=1,Tb_Activiteiten[[#Headers],[Landbouwer]],"")))</f>
        <v/>
      </c>
      <c r="AO1215" t="str">
        <f>IF(ISNUMBER(FIND("arbeid",Methode_Keuze)),"",IF(ISNUMBER(FIND("arbeid",Methode_Keuze)),"",IF(Tb_Activiteiten[[#This Row],[Adviseur]]=1,Tb_Activiteiten[[#Headers],[Adviseur]],"")))</f>
        <v/>
      </c>
      <c r="AP1215" t="str">
        <f>IF(ISNUMBER(FIND("arbeid",Methode_Keuze)),"",IF(ISNUMBER(FIND("arbeid",Methode_Keuze)),"",IF(Tb_Activiteiten[[#This Row],[Projectleider/Expert]]=1,Tb_Activiteiten[[#Headers],[Projectleider/Expert]],"")))</f>
        <v/>
      </c>
      <c r="AQ1215" t="str">
        <f>IF(ISNUMBER(FIND("arbeid",Methode_Keuze)),"",IF(ISNUMBER(FIND("arbeid",Methode_Keuze)),"",IF(Tb_Activiteiten[[#This Row],[Arbeidskosten]]=1,Tb_Activiteiten[[#Headers],[Arbeidskosten]],"")))</f>
        <v/>
      </c>
      <c r="AR1215" t="str">
        <f>IF(ISNUMBER(FIND("arbeid",Methode_Keuze)),"",IF(ISNUMBER(FIND("arbeid",Methode_Keuze)),"",IF(Tb_Activiteiten[[#This Row],[Arbeidskosten op basis van IKS]]=1,Tb_Activiteiten[[#Headers],[Arbeidskosten op basis van IKS]],"")))</f>
        <v/>
      </c>
      <c r="AS1215" t="str">
        <f>IF(ISNUMBER(FIND("overige",Methode_Keuze)),"",IF(Tb_Activiteiten[[#This Row],[Kosten derden exclusief btw]]=1,Tb_Activiteiten[[#Headers],[Kosten derden exclusief btw]],""))</f>
        <v/>
      </c>
      <c r="AT1215" t="str">
        <f>IF(ISNUMBER(FIND("overige",Methode_Keuze)),"",IF(Tb_Activiteiten[[#This Row],[Niet verrekenbare btw]]=1,Tb_Activiteiten[[#Headers],[Niet verrekenbare btw]],""))</f>
        <v/>
      </c>
      <c r="AU1215" t="str">
        <f>IF(ISNUMBER(FIND("overige",Methode_Keuze)),"",IF(Tb_Activiteiten[[#This Row],[Grondkosten]]=1,Tb_Activiteiten[[#Headers],[Grondkosten]],""))</f>
        <v/>
      </c>
      <c r="AV1215" t="str">
        <f>IF(ISNUMBER(FIND("overige",Methode_Keuze)),"",IF(Tb_Activiteiten[[#This Row],[Bijdrage in natura (overige)]]=1,Tb_Activiteiten[[#Headers],[Bijdrage in natura (overige)]],""))</f>
        <v/>
      </c>
      <c r="AW1215" t="str">
        <f>IF(ISNUMBER(FIND("overige",Methode_Keuze)),"",IF(Tb_Activiteiten[[#This Row],[Bijdrage in natura (vrijwilligers)]]=1,Tb_Activiteiten[[#Headers],[Bijdrage in natura (vrijwilligers)]],""))</f>
        <v/>
      </c>
      <c r="AX1215" t="str">
        <f>IF(ISNUMBER(FIND("overige",Methode_Keuze)),"",IF(Tb_Activiteiten[[#This Row],[Afschrijvingskosten]]=1,Tb_Activiteiten[[#Headers],[Afschrijvingskosten]],""))</f>
        <v/>
      </c>
      <c r="AY1215" t="str">
        <f>IF(ISNUMBER(FIND("overige",Methode_Keuze)),"",IF(Tb_Activiteiten[[#This Row],[Vergoeding]]=1,Tb_Activiteiten[[#Headers],[Vergoeding]],""))</f>
        <v/>
      </c>
      <c r="AZ1215" t="str">
        <f>IF(ISNUMBER(FIND("arbeid",Methode_Keuze)),"",IF(Tb_Activiteiten[[#This Row],[Arbeidskosten - vast tarief (excl eigen arbeid)]]=1,Tb_Activiteiten[[#Headers],[Arbeidskosten - vast tarief (excl eigen arbeid)]],""))</f>
        <v/>
      </c>
      <c r="BA1215" t="str">
        <f>IF(ISNUMBER(FIND("overige",Methode_Keuze)),"",IF(Tb_Activiteiten[[#This Row],[Overige kosten]]=1,Tb_Activiteiten[[#Headers],[Overige kosten]],""))</f>
        <v/>
      </c>
    </row>
    <row r="1216" spans="1:53" x14ac:dyDescent="0.25">
      <c r="A1216" s="139"/>
      <c r="B1216" s="139"/>
      <c r="C1216" s="139"/>
      <c r="D1216" s="139"/>
      <c r="E1216" s="139"/>
      <c r="F1216" s="139"/>
      <c r="G1216" s="139"/>
      <c r="O1216" s="56"/>
      <c r="Q1216" t="str">
        <f>IFERROR(IF(VLOOKUP(Tb_Activiteiten[[#This Row],[Openstelling]],Tb_Openstelling[],2,0)=1,1,""),"")</f>
        <v/>
      </c>
      <c r="AK1216" t="str">
        <f>IF(ISNUMBER(FIND("arbeid",Methode_Keuze)),"",IF(ISNUMBER(FIND("arbeid",Methode_Keuze)),"",IF(Tb_Activiteiten[[#This Row],[Loonkosten]]=1,Tb_Activiteiten[[#Headers],[Loonkosten]],"")))</f>
        <v/>
      </c>
      <c r="AL1216" t="str">
        <f>IF(ISNUMBER(FIND("arbeid",Methode_Keuze)),"",IF(ISNUMBER(FIND("arbeid",Methode_Keuze)),"",IF(Tb_Activiteiten[[#This Row],[Eigen arbeid]]=1,Tb_Activiteiten[[#Headers],[Eigen arbeid]],"")))</f>
        <v/>
      </c>
      <c r="AM1216" t="str">
        <f>IF(ISNUMBER(FIND("arbeid",Methode_Keuze)),"",IF(ISNUMBER(FIND("arbeid",Methode_Keuze)),"",IF(Tb_Activiteiten[[#This Row],[Projectmedewerker]]=1,Tb_Activiteiten[[#Headers],[Projectmedewerker]],"")))</f>
        <v/>
      </c>
      <c r="AN1216" t="str">
        <f>IF(ISNUMBER(FIND("arbeid",Methode_Keuze)),"",IF(ISNUMBER(FIND("arbeid",Methode_Keuze)),"",IF(Tb_Activiteiten[[#This Row],[Landbouwer]]=1,Tb_Activiteiten[[#Headers],[Landbouwer]],"")))</f>
        <v/>
      </c>
      <c r="AO1216" t="str">
        <f>IF(ISNUMBER(FIND("arbeid",Methode_Keuze)),"",IF(ISNUMBER(FIND("arbeid",Methode_Keuze)),"",IF(Tb_Activiteiten[[#This Row],[Adviseur]]=1,Tb_Activiteiten[[#Headers],[Adviseur]],"")))</f>
        <v/>
      </c>
      <c r="AP1216" t="str">
        <f>IF(ISNUMBER(FIND("arbeid",Methode_Keuze)),"",IF(ISNUMBER(FIND("arbeid",Methode_Keuze)),"",IF(Tb_Activiteiten[[#This Row],[Projectleider/Expert]]=1,Tb_Activiteiten[[#Headers],[Projectleider/Expert]],"")))</f>
        <v/>
      </c>
      <c r="AQ1216" t="str">
        <f>IF(ISNUMBER(FIND("arbeid",Methode_Keuze)),"",IF(ISNUMBER(FIND("arbeid",Methode_Keuze)),"",IF(Tb_Activiteiten[[#This Row],[Arbeidskosten]]=1,Tb_Activiteiten[[#Headers],[Arbeidskosten]],"")))</f>
        <v/>
      </c>
      <c r="AR1216" t="str">
        <f>IF(ISNUMBER(FIND("arbeid",Methode_Keuze)),"",IF(ISNUMBER(FIND("arbeid",Methode_Keuze)),"",IF(Tb_Activiteiten[[#This Row],[Arbeidskosten op basis van IKS]]=1,Tb_Activiteiten[[#Headers],[Arbeidskosten op basis van IKS]],"")))</f>
        <v/>
      </c>
      <c r="AS1216" t="str">
        <f>IF(ISNUMBER(FIND("overige",Methode_Keuze)),"",IF(Tb_Activiteiten[[#This Row],[Kosten derden exclusief btw]]=1,Tb_Activiteiten[[#Headers],[Kosten derden exclusief btw]],""))</f>
        <v/>
      </c>
      <c r="AT1216" t="str">
        <f>IF(ISNUMBER(FIND("overige",Methode_Keuze)),"",IF(Tb_Activiteiten[[#This Row],[Niet verrekenbare btw]]=1,Tb_Activiteiten[[#Headers],[Niet verrekenbare btw]],""))</f>
        <v/>
      </c>
      <c r="AU1216" t="str">
        <f>IF(ISNUMBER(FIND("overige",Methode_Keuze)),"",IF(Tb_Activiteiten[[#This Row],[Grondkosten]]=1,Tb_Activiteiten[[#Headers],[Grondkosten]],""))</f>
        <v/>
      </c>
      <c r="AV1216" t="str">
        <f>IF(ISNUMBER(FIND("overige",Methode_Keuze)),"",IF(Tb_Activiteiten[[#This Row],[Bijdrage in natura (overige)]]=1,Tb_Activiteiten[[#Headers],[Bijdrage in natura (overige)]],""))</f>
        <v/>
      </c>
      <c r="AW1216" t="str">
        <f>IF(ISNUMBER(FIND("overige",Methode_Keuze)),"",IF(Tb_Activiteiten[[#This Row],[Bijdrage in natura (vrijwilligers)]]=1,Tb_Activiteiten[[#Headers],[Bijdrage in natura (vrijwilligers)]],""))</f>
        <v/>
      </c>
      <c r="AX1216" t="str">
        <f>IF(ISNUMBER(FIND("overige",Methode_Keuze)),"",IF(Tb_Activiteiten[[#This Row],[Afschrijvingskosten]]=1,Tb_Activiteiten[[#Headers],[Afschrijvingskosten]],""))</f>
        <v/>
      </c>
      <c r="AY1216" t="str">
        <f>IF(ISNUMBER(FIND("overige",Methode_Keuze)),"",IF(Tb_Activiteiten[[#This Row],[Vergoeding]]=1,Tb_Activiteiten[[#Headers],[Vergoeding]],""))</f>
        <v/>
      </c>
      <c r="AZ1216" t="str">
        <f>IF(ISNUMBER(FIND("arbeid",Methode_Keuze)),"",IF(Tb_Activiteiten[[#This Row],[Arbeidskosten - vast tarief (excl eigen arbeid)]]=1,Tb_Activiteiten[[#Headers],[Arbeidskosten - vast tarief (excl eigen arbeid)]],""))</f>
        <v/>
      </c>
      <c r="BA1216" t="str">
        <f>IF(ISNUMBER(FIND("overige",Methode_Keuze)),"",IF(Tb_Activiteiten[[#This Row],[Overige kosten]]=1,Tb_Activiteiten[[#Headers],[Overige kosten]],""))</f>
        <v/>
      </c>
    </row>
    <row r="1217" spans="1:53" x14ac:dyDescent="0.25">
      <c r="A1217" s="139"/>
      <c r="B1217" s="139"/>
      <c r="C1217" s="139"/>
      <c r="D1217" s="139"/>
      <c r="E1217" s="139"/>
      <c r="F1217" s="139"/>
      <c r="G1217" s="139"/>
      <c r="O1217" s="56"/>
      <c r="Q1217" t="str">
        <f>IFERROR(IF(VLOOKUP(Tb_Activiteiten[[#This Row],[Openstelling]],Tb_Openstelling[],2,0)=1,1,""),"")</f>
        <v/>
      </c>
      <c r="AK1217" t="str">
        <f>IF(ISNUMBER(FIND("arbeid",Methode_Keuze)),"",IF(ISNUMBER(FIND("arbeid",Methode_Keuze)),"",IF(Tb_Activiteiten[[#This Row],[Loonkosten]]=1,Tb_Activiteiten[[#Headers],[Loonkosten]],"")))</f>
        <v/>
      </c>
      <c r="AL1217" t="str">
        <f>IF(ISNUMBER(FIND("arbeid",Methode_Keuze)),"",IF(ISNUMBER(FIND("arbeid",Methode_Keuze)),"",IF(Tb_Activiteiten[[#This Row],[Eigen arbeid]]=1,Tb_Activiteiten[[#Headers],[Eigen arbeid]],"")))</f>
        <v/>
      </c>
      <c r="AM1217" t="str">
        <f>IF(ISNUMBER(FIND("arbeid",Methode_Keuze)),"",IF(ISNUMBER(FIND("arbeid",Methode_Keuze)),"",IF(Tb_Activiteiten[[#This Row],[Projectmedewerker]]=1,Tb_Activiteiten[[#Headers],[Projectmedewerker]],"")))</f>
        <v/>
      </c>
      <c r="AN1217" t="str">
        <f>IF(ISNUMBER(FIND("arbeid",Methode_Keuze)),"",IF(ISNUMBER(FIND("arbeid",Methode_Keuze)),"",IF(Tb_Activiteiten[[#This Row],[Landbouwer]]=1,Tb_Activiteiten[[#Headers],[Landbouwer]],"")))</f>
        <v/>
      </c>
      <c r="AO1217" t="str">
        <f>IF(ISNUMBER(FIND("arbeid",Methode_Keuze)),"",IF(ISNUMBER(FIND("arbeid",Methode_Keuze)),"",IF(Tb_Activiteiten[[#This Row],[Adviseur]]=1,Tb_Activiteiten[[#Headers],[Adviseur]],"")))</f>
        <v/>
      </c>
      <c r="AP1217" t="str">
        <f>IF(ISNUMBER(FIND("arbeid",Methode_Keuze)),"",IF(ISNUMBER(FIND("arbeid",Methode_Keuze)),"",IF(Tb_Activiteiten[[#This Row],[Projectleider/Expert]]=1,Tb_Activiteiten[[#Headers],[Projectleider/Expert]],"")))</f>
        <v/>
      </c>
      <c r="AQ1217" t="str">
        <f>IF(ISNUMBER(FIND("arbeid",Methode_Keuze)),"",IF(ISNUMBER(FIND("arbeid",Methode_Keuze)),"",IF(Tb_Activiteiten[[#This Row],[Arbeidskosten]]=1,Tb_Activiteiten[[#Headers],[Arbeidskosten]],"")))</f>
        <v/>
      </c>
      <c r="AR1217" t="str">
        <f>IF(ISNUMBER(FIND("arbeid",Methode_Keuze)),"",IF(ISNUMBER(FIND("arbeid",Methode_Keuze)),"",IF(Tb_Activiteiten[[#This Row],[Arbeidskosten op basis van IKS]]=1,Tb_Activiteiten[[#Headers],[Arbeidskosten op basis van IKS]],"")))</f>
        <v/>
      </c>
      <c r="AS1217" t="str">
        <f>IF(ISNUMBER(FIND("overige",Methode_Keuze)),"",IF(Tb_Activiteiten[[#This Row],[Kosten derden exclusief btw]]=1,Tb_Activiteiten[[#Headers],[Kosten derden exclusief btw]],""))</f>
        <v/>
      </c>
      <c r="AT1217" t="str">
        <f>IF(ISNUMBER(FIND("overige",Methode_Keuze)),"",IF(Tb_Activiteiten[[#This Row],[Niet verrekenbare btw]]=1,Tb_Activiteiten[[#Headers],[Niet verrekenbare btw]],""))</f>
        <v/>
      </c>
      <c r="AU1217" t="str">
        <f>IF(ISNUMBER(FIND("overige",Methode_Keuze)),"",IF(Tb_Activiteiten[[#This Row],[Grondkosten]]=1,Tb_Activiteiten[[#Headers],[Grondkosten]],""))</f>
        <v/>
      </c>
      <c r="AV1217" t="str">
        <f>IF(ISNUMBER(FIND("overige",Methode_Keuze)),"",IF(Tb_Activiteiten[[#This Row],[Bijdrage in natura (overige)]]=1,Tb_Activiteiten[[#Headers],[Bijdrage in natura (overige)]],""))</f>
        <v/>
      </c>
      <c r="AW1217" t="str">
        <f>IF(ISNUMBER(FIND("overige",Methode_Keuze)),"",IF(Tb_Activiteiten[[#This Row],[Bijdrage in natura (vrijwilligers)]]=1,Tb_Activiteiten[[#Headers],[Bijdrage in natura (vrijwilligers)]],""))</f>
        <v/>
      </c>
      <c r="AX1217" t="str">
        <f>IF(ISNUMBER(FIND("overige",Methode_Keuze)),"",IF(Tb_Activiteiten[[#This Row],[Afschrijvingskosten]]=1,Tb_Activiteiten[[#Headers],[Afschrijvingskosten]],""))</f>
        <v/>
      </c>
      <c r="AY1217" t="str">
        <f>IF(ISNUMBER(FIND("overige",Methode_Keuze)),"",IF(Tb_Activiteiten[[#This Row],[Vergoeding]]=1,Tb_Activiteiten[[#Headers],[Vergoeding]],""))</f>
        <v/>
      </c>
      <c r="AZ1217" t="str">
        <f>IF(ISNUMBER(FIND("arbeid",Methode_Keuze)),"",IF(Tb_Activiteiten[[#This Row],[Arbeidskosten - vast tarief (excl eigen arbeid)]]=1,Tb_Activiteiten[[#Headers],[Arbeidskosten - vast tarief (excl eigen arbeid)]],""))</f>
        <v/>
      </c>
      <c r="BA1217" t="str">
        <f>IF(ISNUMBER(FIND("overige",Methode_Keuze)),"",IF(Tb_Activiteiten[[#This Row],[Overige kosten]]=1,Tb_Activiteiten[[#Headers],[Overige kosten]],""))</f>
        <v/>
      </c>
    </row>
    <row r="1218" spans="1:53" x14ac:dyDescent="0.25">
      <c r="A1218" s="139"/>
      <c r="B1218" s="139"/>
      <c r="C1218" s="139"/>
      <c r="D1218" s="139"/>
      <c r="E1218" s="139"/>
      <c r="F1218" s="139"/>
      <c r="G1218" s="139"/>
      <c r="O1218" s="56"/>
      <c r="Q1218" t="str">
        <f>IFERROR(IF(VLOOKUP(Tb_Activiteiten[[#This Row],[Openstelling]],Tb_Openstelling[],2,0)=1,1,""),"")</f>
        <v/>
      </c>
      <c r="AK1218" t="str">
        <f>IF(ISNUMBER(FIND("arbeid",Methode_Keuze)),"",IF(ISNUMBER(FIND("arbeid",Methode_Keuze)),"",IF(Tb_Activiteiten[[#This Row],[Loonkosten]]=1,Tb_Activiteiten[[#Headers],[Loonkosten]],"")))</f>
        <v/>
      </c>
      <c r="AL1218" t="str">
        <f>IF(ISNUMBER(FIND("arbeid",Methode_Keuze)),"",IF(ISNUMBER(FIND("arbeid",Methode_Keuze)),"",IF(Tb_Activiteiten[[#This Row],[Eigen arbeid]]=1,Tb_Activiteiten[[#Headers],[Eigen arbeid]],"")))</f>
        <v/>
      </c>
      <c r="AM1218" t="str">
        <f>IF(ISNUMBER(FIND("arbeid",Methode_Keuze)),"",IF(ISNUMBER(FIND("arbeid",Methode_Keuze)),"",IF(Tb_Activiteiten[[#This Row],[Projectmedewerker]]=1,Tb_Activiteiten[[#Headers],[Projectmedewerker]],"")))</f>
        <v/>
      </c>
      <c r="AN1218" t="str">
        <f>IF(ISNUMBER(FIND("arbeid",Methode_Keuze)),"",IF(ISNUMBER(FIND("arbeid",Methode_Keuze)),"",IF(Tb_Activiteiten[[#This Row],[Landbouwer]]=1,Tb_Activiteiten[[#Headers],[Landbouwer]],"")))</f>
        <v/>
      </c>
      <c r="AO1218" t="str">
        <f>IF(ISNUMBER(FIND("arbeid",Methode_Keuze)),"",IF(ISNUMBER(FIND("arbeid",Methode_Keuze)),"",IF(Tb_Activiteiten[[#This Row],[Adviseur]]=1,Tb_Activiteiten[[#Headers],[Adviseur]],"")))</f>
        <v/>
      </c>
      <c r="AP1218" t="str">
        <f>IF(ISNUMBER(FIND("arbeid",Methode_Keuze)),"",IF(ISNUMBER(FIND("arbeid",Methode_Keuze)),"",IF(Tb_Activiteiten[[#This Row],[Projectleider/Expert]]=1,Tb_Activiteiten[[#Headers],[Projectleider/Expert]],"")))</f>
        <v/>
      </c>
      <c r="AQ1218" t="str">
        <f>IF(ISNUMBER(FIND("arbeid",Methode_Keuze)),"",IF(ISNUMBER(FIND("arbeid",Methode_Keuze)),"",IF(Tb_Activiteiten[[#This Row],[Arbeidskosten]]=1,Tb_Activiteiten[[#Headers],[Arbeidskosten]],"")))</f>
        <v/>
      </c>
      <c r="AR1218" t="str">
        <f>IF(ISNUMBER(FIND("arbeid",Methode_Keuze)),"",IF(ISNUMBER(FIND("arbeid",Methode_Keuze)),"",IF(Tb_Activiteiten[[#This Row],[Arbeidskosten op basis van IKS]]=1,Tb_Activiteiten[[#Headers],[Arbeidskosten op basis van IKS]],"")))</f>
        <v/>
      </c>
      <c r="AS1218" t="str">
        <f>IF(ISNUMBER(FIND("overige",Methode_Keuze)),"",IF(Tb_Activiteiten[[#This Row],[Kosten derden exclusief btw]]=1,Tb_Activiteiten[[#Headers],[Kosten derden exclusief btw]],""))</f>
        <v/>
      </c>
      <c r="AT1218" t="str">
        <f>IF(ISNUMBER(FIND("overige",Methode_Keuze)),"",IF(Tb_Activiteiten[[#This Row],[Niet verrekenbare btw]]=1,Tb_Activiteiten[[#Headers],[Niet verrekenbare btw]],""))</f>
        <v/>
      </c>
      <c r="AU1218" t="str">
        <f>IF(ISNUMBER(FIND("overige",Methode_Keuze)),"",IF(Tb_Activiteiten[[#This Row],[Grondkosten]]=1,Tb_Activiteiten[[#Headers],[Grondkosten]],""))</f>
        <v/>
      </c>
      <c r="AV1218" t="str">
        <f>IF(ISNUMBER(FIND("overige",Methode_Keuze)),"",IF(Tb_Activiteiten[[#This Row],[Bijdrage in natura (overige)]]=1,Tb_Activiteiten[[#Headers],[Bijdrage in natura (overige)]],""))</f>
        <v/>
      </c>
      <c r="AW1218" t="str">
        <f>IF(ISNUMBER(FIND("overige",Methode_Keuze)),"",IF(Tb_Activiteiten[[#This Row],[Bijdrage in natura (vrijwilligers)]]=1,Tb_Activiteiten[[#Headers],[Bijdrage in natura (vrijwilligers)]],""))</f>
        <v/>
      </c>
      <c r="AX1218" t="str">
        <f>IF(ISNUMBER(FIND("overige",Methode_Keuze)),"",IF(Tb_Activiteiten[[#This Row],[Afschrijvingskosten]]=1,Tb_Activiteiten[[#Headers],[Afschrijvingskosten]],""))</f>
        <v/>
      </c>
      <c r="AY1218" t="str">
        <f>IF(ISNUMBER(FIND("overige",Methode_Keuze)),"",IF(Tb_Activiteiten[[#This Row],[Vergoeding]]=1,Tb_Activiteiten[[#Headers],[Vergoeding]],""))</f>
        <v/>
      </c>
      <c r="AZ1218" t="str">
        <f>IF(ISNUMBER(FIND("arbeid",Methode_Keuze)),"",IF(Tb_Activiteiten[[#This Row],[Arbeidskosten - vast tarief (excl eigen arbeid)]]=1,Tb_Activiteiten[[#Headers],[Arbeidskosten - vast tarief (excl eigen arbeid)]],""))</f>
        <v/>
      </c>
      <c r="BA1218" t="str">
        <f>IF(ISNUMBER(FIND("overige",Methode_Keuze)),"",IF(Tb_Activiteiten[[#This Row],[Overige kosten]]=1,Tb_Activiteiten[[#Headers],[Overige kosten]],""))</f>
        <v/>
      </c>
    </row>
    <row r="1219" spans="1:53" x14ac:dyDescent="0.25">
      <c r="A1219" s="139"/>
      <c r="B1219" s="139"/>
      <c r="C1219" s="139"/>
      <c r="D1219" s="139"/>
      <c r="E1219" s="139"/>
      <c r="F1219" s="139"/>
      <c r="G1219" s="139"/>
      <c r="O1219" s="56"/>
      <c r="Q1219" t="str">
        <f>IFERROR(IF(VLOOKUP(Tb_Activiteiten[[#This Row],[Openstelling]],Tb_Openstelling[],2,0)=1,1,""),"")</f>
        <v/>
      </c>
      <c r="AK1219" t="str">
        <f>IF(ISNUMBER(FIND("arbeid",Methode_Keuze)),"",IF(ISNUMBER(FIND("arbeid",Methode_Keuze)),"",IF(Tb_Activiteiten[[#This Row],[Loonkosten]]=1,Tb_Activiteiten[[#Headers],[Loonkosten]],"")))</f>
        <v/>
      </c>
      <c r="AL1219" t="str">
        <f>IF(ISNUMBER(FIND("arbeid",Methode_Keuze)),"",IF(ISNUMBER(FIND("arbeid",Methode_Keuze)),"",IF(Tb_Activiteiten[[#This Row],[Eigen arbeid]]=1,Tb_Activiteiten[[#Headers],[Eigen arbeid]],"")))</f>
        <v/>
      </c>
      <c r="AM1219" t="str">
        <f>IF(ISNUMBER(FIND("arbeid",Methode_Keuze)),"",IF(ISNUMBER(FIND("arbeid",Methode_Keuze)),"",IF(Tb_Activiteiten[[#This Row],[Projectmedewerker]]=1,Tb_Activiteiten[[#Headers],[Projectmedewerker]],"")))</f>
        <v/>
      </c>
      <c r="AN1219" t="str">
        <f>IF(ISNUMBER(FIND("arbeid",Methode_Keuze)),"",IF(ISNUMBER(FIND("arbeid",Methode_Keuze)),"",IF(Tb_Activiteiten[[#This Row],[Landbouwer]]=1,Tb_Activiteiten[[#Headers],[Landbouwer]],"")))</f>
        <v/>
      </c>
      <c r="AO1219" t="str">
        <f>IF(ISNUMBER(FIND("arbeid",Methode_Keuze)),"",IF(ISNUMBER(FIND("arbeid",Methode_Keuze)),"",IF(Tb_Activiteiten[[#This Row],[Adviseur]]=1,Tb_Activiteiten[[#Headers],[Adviseur]],"")))</f>
        <v/>
      </c>
      <c r="AP1219" t="str">
        <f>IF(ISNUMBER(FIND("arbeid",Methode_Keuze)),"",IF(ISNUMBER(FIND("arbeid",Methode_Keuze)),"",IF(Tb_Activiteiten[[#This Row],[Projectleider/Expert]]=1,Tb_Activiteiten[[#Headers],[Projectleider/Expert]],"")))</f>
        <v/>
      </c>
      <c r="AQ1219" t="str">
        <f>IF(ISNUMBER(FIND("arbeid",Methode_Keuze)),"",IF(ISNUMBER(FIND("arbeid",Methode_Keuze)),"",IF(Tb_Activiteiten[[#This Row],[Arbeidskosten]]=1,Tb_Activiteiten[[#Headers],[Arbeidskosten]],"")))</f>
        <v/>
      </c>
      <c r="AR1219" t="str">
        <f>IF(ISNUMBER(FIND("arbeid",Methode_Keuze)),"",IF(ISNUMBER(FIND("arbeid",Methode_Keuze)),"",IF(Tb_Activiteiten[[#This Row],[Arbeidskosten op basis van IKS]]=1,Tb_Activiteiten[[#Headers],[Arbeidskosten op basis van IKS]],"")))</f>
        <v/>
      </c>
      <c r="AS1219" t="str">
        <f>IF(ISNUMBER(FIND("overige",Methode_Keuze)),"",IF(Tb_Activiteiten[[#This Row],[Kosten derden exclusief btw]]=1,Tb_Activiteiten[[#Headers],[Kosten derden exclusief btw]],""))</f>
        <v/>
      </c>
      <c r="AT1219" t="str">
        <f>IF(ISNUMBER(FIND("overige",Methode_Keuze)),"",IF(Tb_Activiteiten[[#This Row],[Niet verrekenbare btw]]=1,Tb_Activiteiten[[#Headers],[Niet verrekenbare btw]],""))</f>
        <v/>
      </c>
      <c r="AU1219" t="str">
        <f>IF(ISNUMBER(FIND("overige",Methode_Keuze)),"",IF(Tb_Activiteiten[[#This Row],[Grondkosten]]=1,Tb_Activiteiten[[#Headers],[Grondkosten]],""))</f>
        <v/>
      </c>
      <c r="AV1219" t="str">
        <f>IF(ISNUMBER(FIND("overige",Methode_Keuze)),"",IF(Tb_Activiteiten[[#This Row],[Bijdrage in natura (overige)]]=1,Tb_Activiteiten[[#Headers],[Bijdrage in natura (overige)]],""))</f>
        <v/>
      </c>
      <c r="AW1219" t="str">
        <f>IF(ISNUMBER(FIND("overige",Methode_Keuze)),"",IF(Tb_Activiteiten[[#This Row],[Bijdrage in natura (vrijwilligers)]]=1,Tb_Activiteiten[[#Headers],[Bijdrage in natura (vrijwilligers)]],""))</f>
        <v/>
      </c>
      <c r="AX1219" t="str">
        <f>IF(ISNUMBER(FIND("overige",Methode_Keuze)),"",IF(Tb_Activiteiten[[#This Row],[Afschrijvingskosten]]=1,Tb_Activiteiten[[#Headers],[Afschrijvingskosten]],""))</f>
        <v/>
      </c>
      <c r="AY1219" t="str">
        <f>IF(ISNUMBER(FIND("overige",Methode_Keuze)),"",IF(Tb_Activiteiten[[#This Row],[Vergoeding]]=1,Tb_Activiteiten[[#Headers],[Vergoeding]],""))</f>
        <v/>
      </c>
      <c r="AZ1219" t="str">
        <f>IF(ISNUMBER(FIND("arbeid",Methode_Keuze)),"",IF(Tb_Activiteiten[[#This Row],[Arbeidskosten - vast tarief (excl eigen arbeid)]]=1,Tb_Activiteiten[[#Headers],[Arbeidskosten - vast tarief (excl eigen arbeid)]],""))</f>
        <v/>
      </c>
      <c r="BA1219" t="str">
        <f>IF(ISNUMBER(FIND("overige",Methode_Keuze)),"",IF(Tb_Activiteiten[[#This Row],[Overige kosten]]=1,Tb_Activiteiten[[#Headers],[Overige kosten]],""))</f>
        <v/>
      </c>
    </row>
    <row r="1220" spans="1:53" x14ac:dyDescent="0.25">
      <c r="A1220" s="139"/>
      <c r="B1220" s="139"/>
      <c r="C1220" s="139"/>
      <c r="D1220" s="139"/>
      <c r="E1220" s="139"/>
      <c r="F1220" s="139"/>
      <c r="G1220" s="139"/>
      <c r="O1220" s="56"/>
      <c r="Q1220" t="str">
        <f>IFERROR(IF(VLOOKUP(Tb_Activiteiten[[#This Row],[Openstelling]],Tb_Openstelling[],2,0)=1,1,""),"")</f>
        <v/>
      </c>
      <c r="AK1220" t="str">
        <f>IF(ISNUMBER(FIND("arbeid",Methode_Keuze)),"",IF(ISNUMBER(FIND("arbeid",Methode_Keuze)),"",IF(Tb_Activiteiten[[#This Row],[Loonkosten]]=1,Tb_Activiteiten[[#Headers],[Loonkosten]],"")))</f>
        <v/>
      </c>
      <c r="AL1220" t="str">
        <f>IF(ISNUMBER(FIND("arbeid",Methode_Keuze)),"",IF(ISNUMBER(FIND("arbeid",Methode_Keuze)),"",IF(Tb_Activiteiten[[#This Row],[Eigen arbeid]]=1,Tb_Activiteiten[[#Headers],[Eigen arbeid]],"")))</f>
        <v/>
      </c>
      <c r="AM1220" t="str">
        <f>IF(ISNUMBER(FIND("arbeid",Methode_Keuze)),"",IF(ISNUMBER(FIND("arbeid",Methode_Keuze)),"",IF(Tb_Activiteiten[[#This Row],[Projectmedewerker]]=1,Tb_Activiteiten[[#Headers],[Projectmedewerker]],"")))</f>
        <v/>
      </c>
      <c r="AN1220" t="str">
        <f>IF(ISNUMBER(FIND("arbeid",Methode_Keuze)),"",IF(ISNUMBER(FIND("arbeid",Methode_Keuze)),"",IF(Tb_Activiteiten[[#This Row],[Landbouwer]]=1,Tb_Activiteiten[[#Headers],[Landbouwer]],"")))</f>
        <v/>
      </c>
      <c r="AO1220" t="str">
        <f>IF(ISNUMBER(FIND("arbeid",Methode_Keuze)),"",IF(ISNUMBER(FIND("arbeid",Methode_Keuze)),"",IF(Tb_Activiteiten[[#This Row],[Adviseur]]=1,Tb_Activiteiten[[#Headers],[Adviseur]],"")))</f>
        <v/>
      </c>
      <c r="AP1220" t="str">
        <f>IF(ISNUMBER(FIND("arbeid",Methode_Keuze)),"",IF(ISNUMBER(FIND("arbeid",Methode_Keuze)),"",IF(Tb_Activiteiten[[#This Row],[Projectleider/Expert]]=1,Tb_Activiteiten[[#Headers],[Projectleider/Expert]],"")))</f>
        <v/>
      </c>
      <c r="AQ1220" t="str">
        <f>IF(ISNUMBER(FIND("arbeid",Methode_Keuze)),"",IF(ISNUMBER(FIND("arbeid",Methode_Keuze)),"",IF(Tb_Activiteiten[[#This Row],[Arbeidskosten]]=1,Tb_Activiteiten[[#Headers],[Arbeidskosten]],"")))</f>
        <v/>
      </c>
      <c r="AR1220" t="str">
        <f>IF(ISNUMBER(FIND("arbeid",Methode_Keuze)),"",IF(ISNUMBER(FIND("arbeid",Methode_Keuze)),"",IF(Tb_Activiteiten[[#This Row],[Arbeidskosten op basis van IKS]]=1,Tb_Activiteiten[[#Headers],[Arbeidskosten op basis van IKS]],"")))</f>
        <v/>
      </c>
      <c r="AS1220" t="str">
        <f>IF(ISNUMBER(FIND("overige",Methode_Keuze)),"",IF(Tb_Activiteiten[[#This Row],[Kosten derden exclusief btw]]=1,Tb_Activiteiten[[#Headers],[Kosten derden exclusief btw]],""))</f>
        <v/>
      </c>
      <c r="AT1220" t="str">
        <f>IF(ISNUMBER(FIND("overige",Methode_Keuze)),"",IF(Tb_Activiteiten[[#This Row],[Niet verrekenbare btw]]=1,Tb_Activiteiten[[#Headers],[Niet verrekenbare btw]],""))</f>
        <v/>
      </c>
      <c r="AU1220" t="str">
        <f>IF(ISNUMBER(FIND("overige",Methode_Keuze)),"",IF(Tb_Activiteiten[[#This Row],[Grondkosten]]=1,Tb_Activiteiten[[#Headers],[Grondkosten]],""))</f>
        <v/>
      </c>
      <c r="AV1220" t="str">
        <f>IF(ISNUMBER(FIND("overige",Methode_Keuze)),"",IF(Tb_Activiteiten[[#This Row],[Bijdrage in natura (overige)]]=1,Tb_Activiteiten[[#Headers],[Bijdrage in natura (overige)]],""))</f>
        <v/>
      </c>
      <c r="AW1220" t="str">
        <f>IF(ISNUMBER(FIND("overige",Methode_Keuze)),"",IF(Tb_Activiteiten[[#This Row],[Bijdrage in natura (vrijwilligers)]]=1,Tb_Activiteiten[[#Headers],[Bijdrage in natura (vrijwilligers)]],""))</f>
        <v/>
      </c>
      <c r="AX1220" t="str">
        <f>IF(ISNUMBER(FIND("overige",Methode_Keuze)),"",IF(Tb_Activiteiten[[#This Row],[Afschrijvingskosten]]=1,Tb_Activiteiten[[#Headers],[Afschrijvingskosten]],""))</f>
        <v/>
      </c>
      <c r="AY1220" t="str">
        <f>IF(ISNUMBER(FIND("overige",Methode_Keuze)),"",IF(Tb_Activiteiten[[#This Row],[Vergoeding]]=1,Tb_Activiteiten[[#Headers],[Vergoeding]],""))</f>
        <v/>
      </c>
      <c r="AZ1220" t="str">
        <f>IF(ISNUMBER(FIND("arbeid",Methode_Keuze)),"",IF(Tb_Activiteiten[[#This Row],[Arbeidskosten - vast tarief (excl eigen arbeid)]]=1,Tb_Activiteiten[[#Headers],[Arbeidskosten - vast tarief (excl eigen arbeid)]],""))</f>
        <v/>
      </c>
      <c r="BA1220" t="str">
        <f>IF(ISNUMBER(FIND("overige",Methode_Keuze)),"",IF(Tb_Activiteiten[[#This Row],[Overige kosten]]=1,Tb_Activiteiten[[#Headers],[Overige kosten]],""))</f>
        <v/>
      </c>
    </row>
    <row r="1221" spans="1:53" x14ac:dyDescent="0.25">
      <c r="A1221" s="139"/>
      <c r="B1221" s="139"/>
      <c r="C1221" s="139"/>
      <c r="D1221" s="139"/>
      <c r="E1221" s="139"/>
      <c r="F1221" s="139"/>
      <c r="G1221" s="139"/>
      <c r="O1221" s="56"/>
      <c r="Q1221" t="str">
        <f>IFERROR(IF(VLOOKUP(Tb_Activiteiten[[#This Row],[Openstelling]],Tb_Openstelling[],2,0)=1,1,""),"")</f>
        <v/>
      </c>
      <c r="AK1221" t="str">
        <f>IF(ISNUMBER(FIND("arbeid",Methode_Keuze)),"",IF(ISNUMBER(FIND("arbeid",Methode_Keuze)),"",IF(Tb_Activiteiten[[#This Row],[Loonkosten]]=1,Tb_Activiteiten[[#Headers],[Loonkosten]],"")))</f>
        <v/>
      </c>
      <c r="AL1221" t="str">
        <f>IF(ISNUMBER(FIND("arbeid",Methode_Keuze)),"",IF(ISNUMBER(FIND("arbeid",Methode_Keuze)),"",IF(Tb_Activiteiten[[#This Row],[Eigen arbeid]]=1,Tb_Activiteiten[[#Headers],[Eigen arbeid]],"")))</f>
        <v/>
      </c>
      <c r="AM1221" t="str">
        <f>IF(ISNUMBER(FIND("arbeid",Methode_Keuze)),"",IF(ISNUMBER(FIND("arbeid",Methode_Keuze)),"",IF(Tb_Activiteiten[[#This Row],[Projectmedewerker]]=1,Tb_Activiteiten[[#Headers],[Projectmedewerker]],"")))</f>
        <v/>
      </c>
      <c r="AN1221" t="str">
        <f>IF(ISNUMBER(FIND("arbeid",Methode_Keuze)),"",IF(ISNUMBER(FIND("arbeid",Methode_Keuze)),"",IF(Tb_Activiteiten[[#This Row],[Landbouwer]]=1,Tb_Activiteiten[[#Headers],[Landbouwer]],"")))</f>
        <v/>
      </c>
      <c r="AO1221" t="str">
        <f>IF(ISNUMBER(FIND("arbeid",Methode_Keuze)),"",IF(ISNUMBER(FIND("arbeid",Methode_Keuze)),"",IF(Tb_Activiteiten[[#This Row],[Adviseur]]=1,Tb_Activiteiten[[#Headers],[Adviseur]],"")))</f>
        <v/>
      </c>
      <c r="AP1221" t="str">
        <f>IF(ISNUMBER(FIND("arbeid",Methode_Keuze)),"",IF(ISNUMBER(FIND("arbeid",Methode_Keuze)),"",IF(Tb_Activiteiten[[#This Row],[Projectleider/Expert]]=1,Tb_Activiteiten[[#Headers],[Projectleider/Expert]],"")))</f>
        <v/>
      </c>
      <c r="AQ1221" t="str">
        <f>IF(ISNUMBER(FIND("arbeid",Methode_Keuze)),"",IF(ISNUMBER(FIND("arbeid",Methode_Keuze)),"",IF(Tb_Activiteiten[[#This Row],[Arbeidskosten]]=1,Tb_Activiteiten[[#Headers],[Arbeidskosten]],"")))</f>
        <v/>
      </c>
      <c r="AR1221" t="str">
        <f>IF(ISNUMBER(FIND("arbeid",Methode_Keuze)),"",IF(ISNUMBER(FIND("arbeid",Methode_Keuze)),"",IF(Tb_Activiteiten[[#This Row],[Arbeidskosten op basis van IKS]]=1,Tb_Activiteiten[[#Headers],[Arbeidskosten op basis van IKS]],"")))</f>
        <v/>
      </c>
      <c r="AS1221" t="str">
        <f>IF(ISNUMBER(FIND("overige",Methode_Keuze)),"",IF(Tb_Activiteiten[[#This Row],[Kosten derden exclusief btw]]=1,Tb_Activiteiten[[#Headers],[Kosten derden exclusief btw]],""))</f>
        <v/>
      </c>
      <c r="AT1221" t="str">
        <f>IF(ISNUMBER(FIND("overige",Methode_Keuze)),"",IF(Tb_Activiteiten[[#This Row],[Niet verrekenbare btw]]=1,Tb_Activiteiten[[#Headers],[Niet verrekenbare btw]],""))</f>
        <v/>
      </c>
      <c r="AU1221" t="str">
        <f>IF(ISNUMBER(FIND("overige",Methode_Keuze)),"",IF(Tb_Activiteiten[[#This Row],[Grondkosten]]=1,Tb_Activiteiten[[#Headers],[Grondkosten]],""))</f>
        <v/>
      </c>
      <c r="AV1221" t="str">
        <f>IF(ISNUMBER(FIND("overige",Methode_Keuze)),"",IF(Tb_Activiteiten[[#This Row],[Bijdrage in natura (overige)]]=1,Tb_Activiteiten[[#Headers],[Bijdrage in natura (overige)]],""))</f>
        <v/>
      </c>
      <c r="AW1221" t="str">
        <f>IF(ISNUMBER(FIND("overige",Methode_Keuze)),"",IF(Tb_Activiteiten[[#This Row],[Bijdrage in natura (vrijwilligers)]]=1,Tb_Activiteiten[[#Headers],[Bijdrage in natura (vrijwilligers)]],""))</f>
        <v/>
      </c>
      <c r="AX1221" t="str">
        <f>IF(ISNUMBER(FIND("overige",Methode_Keuze)),"",IF(Tb_Activiteiten[[#This Row],[Afschrijvingskosten]]=1,Tb_Activiteiten[[#Headers],[Afschrijvingskosten]],""))</f>
        <v/>
      </c>
      <c r="AY1221" t="str">
        <f>IF(ISNUMBER(FIND("overige",Methode_Keuze)),"",IF(Tb_Activiteiten[[#This Row],[Vergoeding]]=1,Tb_Activiteiten[[#Headers],[Vergoeding]],""))</f>
        <v/>
      </c>
      <c r="AZ1221" t="str">
        <f>IF(ISNUMBER(FIND("arbeid",Methode_Keuze)),"",IF(Tb_Activiteiten[[#This Row],[Arbeidskosten - vast tarief (excl eigen arbeid)]]=1,Tb_Activiteiten[[#Headers],[Arbeidskosten - vast tarief (excl eigen arbeid)]],""))</f>
        <v/>
      </c>
      <c r="BA1221" t="str">
        <f>IF(ISNUMBER(FIND("overige",Methode_Keuze)),"",IF(Tb_Activiteiten[[#This Row],[Overige kosten]]=1,Tb_Activiteiten[[#Headers],[Overige kosten]],""))</f>
        <v/>
      </c>
    </row>
    <row r="1222" spans="1:53" x14ac:dyDescent="0.25">
      <c r="A1222" s="139"/>
      <c r="B1222" s="139"/>
      <c r="C1222" s="139"/>
      <c r="D1222" s="139"/>
      <c r="E1222" s="139"/>
      <c r="F1222" s="139"/>
      <c r="G1222" s="139"/>
      <c r="O1222" s="56"/>
      <c r="Q1222" t="str">
        <f>IFERROR(IF(VLOOKUP(Tb_Activiteiten[[#This Row],[Openstelling]],Tb_Openstelling[],2,0)=1,1,""),"")</f>
        <v/>
      </c>
      <c r="AK1222" t="str">
        <f>IF(ISNUMBER(FIND("arbeid",Methode_Keuze)),"",IF(ISNUMBER(FIND("arbeid",Methode_Keuze)),"",IF(Tb_Activiteiten[[#This Row],[Loonkosten]]=1,Tb_Activiteiten[[#Headers],[Loonkosten]],"")))</f>
        <v/>
      </c>
      <c r="AL1222" t="str">
        <f>IF(ISNUMBER(FIND("arbeid",Methode_Keuze)),"",IF(ISNUMBER(FIND("arbeid",Methode_Keuze)),"",IF(Tb_Activiteiten[[#This Row],[Eigen arbeid]]=1,Tb_Activiteiten[[#Headers],[Eigen arbeid]],"")))</f>
        <v/>
      </c>
      <c r="AM1222" t="str">
        <f>IF(ISNUMBER(FIND("arbeid",Methode_Keuze)),"",IF(ISNUMBER(FIND("arbeid",Methode_Keuze)),"",IF(Tb_Activiteiten[[#This Row],[Projectmedewerker]]=1,Tb_Activiteiten[[#Headers],[Projectmedewerker]],"")))</f>
        <v/>
      </c>
      <c r="AN1222" t="str">
        <f>IF(ISNUMBER(FIND("arbeid",Methode_Keuze)),"",IF(ISNUMBER(FIND("arbeid",Methode_Keuze)),"",IF(Tb_Activiteiten[[#This Row],[Landbouwer]]=1,Tb_Activiteiten[[#Headers],[Landbouwer]],"")))</f>
        <v/>
      </c>
      <c r="AO1222" t="str">
        <f>IF(ISNUMBER(FIND("arbeid",Methode_Keuze)),"",IF(ISNUMBER(FIND("arbeid",Methode_Keuze)),"",IF(Tb_Activiteiten[[#This Row],[Adviseur]]=1,Tb_Activiteiten[[#Headers],[Adviseur]],"")))</f>
        <v/>
      </c>
      <c r="AP1222" t="str">
        <f>IF(ISNUMBER(FIND("arbeid",Methode_Keuze)),"",IF(ISNUMBER(FIND("arbeid",Methode_Keuze)),"",IF(Tb_Activiteiten[[#This Row],[Projectleider/Expert]]=1,Tb_Activiteiten[[#Headers],[Projectleider/Expert]],"")))</f>
        <v/>
      </c>
      <c r="AQ1222" t="str">
        <f>IF(ISNUMBER(FIND("arbeid",Methode_Keuze)),"",IF(ISNUMBER(FIND("arbeid",Methode_Keuze)),"",IF(Tb_Activiteiten[[#This Row],[Arbeidskosten]]=1,Tb_Activiteiten[[#Headers],[Arbeidskosten]],"")))</f>
        <v/>
      </c>
      <c r="AR1222" t="str">
        <f>IF(ISNUMBER(FIND("arbeid",Methode_Keuze)),"",IF(ISNUMBER(FIND("arbeid",Methode_Keuze)),"",IF(Tb_Activiteiten[[#This Row],[Arbeidskosten op basis van IKS]]=1,Tb_Activiteiten[[#Headers],[Arbeidskosten op basis van IKS]],"")))</f>
        <v/>
      </c>
      <c r="AS1222" t="str">
        <f>IF(ISNUMBER(FIND("overige",Methode_Keuze)),"",IF(Tb_Activiteiten[[#This Row],[Kosten derden exclusief btw]]=1,Tb_Activiteiten[[#Headers],[Kosten derden exclusief btw]],""))</f>
        <v/>
      </c>
      <c r="AT1222" t="str">
        <f>IF(ISNUMBER(FIND("overige",Methode_Keuze)),"",IF(Tb_Activiteiten[[#This Row],[Niet verrekenbare btw]]=1,Tb_Activiteiten[[#Headers],[Niet verrekenbare btw]],""))</f>
        <v/>
      </c>
      <c r="AU1222" t="str">
        <f>IF(ISNUMBER(FIND("overige",Methode_Keuze)),"",IF(Tb_Activiteiten[[#This Row],[Grondkosten]]=1,Tb_Activiteiten[[#Headers],[Grondkosten]],""))</f>
        <v/>
      </c>
      <c r="AV1222" t="str">
        <f>IF(ISNUMBER(FIND("overige",Methode_Keuze)),"",IF(Tb_Activiteiten[[#This Row],[Bijdrage in natura (overige)]]=1,Tb_Activiteiten[[#Headers],[Bijdrage in natura (overige)]],""))</f>
        <v/>
      </c>
      <c r="AW1222" t="str">
        <f>IF(ISNUMBER(FIND("overige",Methode_Keuze)),"",IF(Tb_Activiteiten[[#This Row],[Bijdrage in natura (vrijwilligers)]]=1,Tb_Activiteiten[[#Headers],[Bijdrage in natura (vrijwilligers)]],""))</f>
        <v/>
      </c>
      <c r="AX1222" t="str">
        <f>IF(ISNUMBER(FIND("overige",Methode_Keuze)),"",IF(Tb_Activiteiten[[#This Row],[Afschrijvingskosten]]=1,Tb_Activiteiten[[#Headers],[Afschrijvingskosten]],""))</f>
        <v/>
      </c>
      <c r="AY1222" t="str">
        <f>IF(ISNUMBER(FIND("overige",Methode_Keuze)),"",IF(Tb_Activiteiten[[#This Row],[Vergoeding]]=1,Tb_Activiteiten[[#Headers],[Vergoeding]],""))</f>
        <v/>
      </c>
      <c r="AZ1222" t="str">
        <f>IF(ISNUMBER(FIND("arbeid",Methode_Keuze)),"",IF(Tb_Activiteiten[[#This Row],[Arbeidskosten - vast tarief (excl eigen arbeid)]]=1,Tb_Activiteiten[[#Headers],[Arbeidskosten - vast tarief (excl eigen arbeid)]],""))</f>
        <v/>
      </c>
      <c r="BA1222" t="str">
        <f>IF(ISNUMBER(FIND("overige",Methode_Keuze)),"",IF(Tb_Activiteiten[[#This Row],[Overige kosten]]=1,Tb_Activiteiten[[#Headers],[Overige kosten]],""))</f>
        <v/>
      </c>
    </row>
    <row r="1223" spans="1:53" x14ac:dyDescent="0.25">
      <c r="A1223" s="139"/>
      <c r="B1223" s="139"/>
      <c r="C1223" s="139"/>
      <c r="D1223" s="139"/>
      <c r="E1223" s="139"/>
      <c r="F1223" s="139"/>
      <c r="G1223" s="139"/>
      <c r="O1223" s="56"/>
      <c r="Q1223" t="str">
        <f>IFERROR(IF(VLOOKUP(Tb_Activiteiten[[#This Row],[Openstelling]],Tb_Openstelling[],2,0)=1,1,""),"")</f>
        <v/>
      </c>
      <c r="AK1223" t="str">
        <f>IF(ISNUMBER(FIND("arbeid",Methode_Keuze)),"",IF(ISNUMBER(FIND("arbeid",Methode_Keuze)),"",IF(Tb_Activiteiten[[#This Row],[Loonkosten]]=1,Tb_Activiteiten[[#Headers],[Loonkosten]],"")))</f>
        <v/>
      </c>
      <c r="AL1223" t="str">
        <f>IF(ISNUMBER(FIND("arbeid",Methode_Keuze)),"",IF(ISNUMBER(FIND("arbeid",Methode_Keuze)),"",IF(Tb_Activiteiten[[#This Row],[Eigen arbeid]]=1,Tb_Activiteiten[[#Headers],[Eigen arbeid]],"")))</f>
        <v/>
      </c>
      <c r="AM1223" t="str">
        <f>IF(ISNUMBER(FIND("arbeid",Methode_Keuze)),"",IF(ISNUMBER(FIND("arbeid",Methode_Keuze)),"",IF(Tb_Activiteiten[[#This Row],[Projectmedewerker]]=1,Tb_Activiteiten[[#Headers],[Projectmedewerker]],"")))</f>
        <v/>
      </c>
      <c r="AN1223" t="str">
        <f>IF(ISNUMBER(FIND("arbeid",Methode_Keuze)),"",IF(ISNUMBER(FIND("arbeid",Methode_Keuze)),"",IF(Tb_Activiteiten[[#This Row],[Landbouwer]]=1,Tb_Activiteiten[[#Headers],[Landbouwer]],"")))</f>
        <v/>
      </c>
      <c r="AO1223" t="str">
        <f>IF(ISNUMBER(FIND("arbeid",Methode_Keuze)),"",IF(ISNUMBER(FIND("arbeid",Methode_Keuze)),"",IF(Tb_Activiteiten[[#This Row],[Adviseur]]=1,Tb_Activiteiten[[#Headers],[Adviseur]],"")))</f>
        <v/>
      </c>
      <c r="AP1223" t="str">
        <f>IF(ISNUMBER(FIND("arbeid",Methode_Keuze)),"",IF(ISNUMBER(FIND("arbeid",Methode_Keuze)),"",IF(Tb_Activiteiten[[#This Row],[Projectleider/Expert]]=1,Tb_Activiteiten[[#Headers],[Projectleider/Expert]],"")))</f>
        <v/>
      </c>
      <c r="AQ1223" t="str">
        <f>IF(ISNUMBER(FIND("arbeid",Methode_Keuze)),"",IF(ISNUMBER(FIND("arbeid",Methode_Keuze)),"",IF(Tb_Activiteiten[[#This Row],[Arbeidskosten]]=1,Tb_Activiteiten[[#Headers],[Arbeidskosten]],"")))</f>
        <v/>
      </c>
      <c r="AR1223" t="str">
        <f>IF(ISNUMBER(FIND("arbeid",Methode_Keuze)),"",IF(ISNUMBER(FIND("arbeid",Methode_Keuze)),"",IF(Tb_Activiteiten[[#This Row],[Arbeidskosten op basis van IKS]]=1,Tb_Activiteiten[[#Headers],[Arbeidskosten op basis van IKS]],"")))</f>
        <v/>
      </c>
      <c r="AS1223" t="str">
        <f>IF(ISNUMBER(FIND("overige",Methode_Keuze)),"",IF(Tb_Activiteiten[[#This Row],[Kosten derden exclusief btw]]=1,Tb_Activiteiten[[#Headers],[Kosten derden exclusief btw]],""))</f>
        <v/>
      </c>
      <c r="AT1223" t="str">
        <f>IF(ISNUMBER(FIND("overige",Methode_Keuze)),"",IF(Tb_Activiteiten[[#This Row],[Niet verrekenbare btw]]=1,Tb_Activiteiten[[#Headers],[Niet verrekenbare btw]],""))</f>
        <v/>
      </c>
      <c r="AU1223" t="str">
        <f>IF(ISNUMBER(FIND("overige",Methode_Keuze)),"",IF(Tb_Activiteiten[[#This Row],[Grondkosten]]=1,Tb_Activiteiten[[#Headers],[Grondkosten]],""))</f>
        <v/>
      </c>
      <c r="AV1223" t="str">
        <f>IF(ISNUMBER(FIND("overige",Methode_Keuze)),"",IF(Tb_Activiteiten[[#This Row],[Bijdrage in natura (overige)]]=1,Tb_Activiteiten[[#Headers],[Bijdrage in natura (overige)]],""))</f>
        <v/>
      </c>
      <c r="AW1223" t="str">
        <f>IF(ISNUMBER(FIND("overige",Methode_Keuze)),"",IF(Tb_Activiteiten[[#This Row],[Bijdrage in natura (vrijwilligers)]]=1,Tb_Activiteiten[[#Headers],[Bijdrage in natura (vrijwilligers)]],""))</f>
        <v/>
      </c>
      <c r="AX1223" t="str">
        <f>IF(ISNUMBER(FIND("overige",Methode_Keuze)),"",IF(Tb_Activiteiten[[#This Row],[Afschrijvingskosten]]=1,Tb_Activiteiten[[#Headers],[Afschrijvingskosten]],""))</f>
        <v/>
      </c>
      <c r="AY1223" t="str">
        <f>IF(ISNUMBER(FIND("overige",Methode_Keuze)),"",IF(Tb_Activiteiten[[#This Row],[Vergoeding]]=1,Tb_Activiteiten[[#Headers],[Vergoeding]],""))</f>
        <v/>
      </c>
      <c r="AZ1223" t="str">
        <f>IF(ISNUMBER(FIND("arbeid",Methode_Keuze)),"",IF(Tb_Activiteiten[[#This Row],[Arbeidskosten - vast tarief (excl eigen arbeid)]]=1,Tb_Activiteiten[[#Headers],[Arbeidskosten - vast tarief (excl eigen arbeid)]],""))</f>
        <v/>
      </c>
      <c r="BA1223" t="str">
        <f>IF(ISNUMBER(FIND("overige",Methode_Keuze)),"",IF(Tb_Activiteiten[[#This Row],[Overige kosten]]=1,Tb_Activiteiten[[#Headers],[Overige kosten]],""))</f>
        <v/>
      </c>
    </row>
    <row r="1224" spans="1:53" x14ac:dyDescent="0.25">
      <c r="A1224" s="139"/>
      <c r="B1224" s="139"/>
      <c r="C1224" s="139"/>
      <c r="D1224" s="139"/>
      <c r="E1224" s="139"/>
      <c r="F1224" s="139"/>
      <c r="G1224" s="139"/>
      <c r="O1224" s="56"/>
      <c r="Q1224" t="str">
        <f>IFERROR(IF(VLOOKUP(Tb_Activiteiten[[#This Row],[Openstelling]],Tb_Openstelling[],2,0)=1,1,""),"")</f>
        <v/>
      </c>
      <c r="AK1224" t="str">
        <f>IF(ISNUMBER(FIND("arbeid",Methode_Keuze)),"",IF(ISNUMBER(FIND("arbeid",Methode_Keuze)),"",IF(Tb_Activiteiten[[#This Row],[Loonkosten]]=1,Tb_Activiteiten[[#Headers],[Loonkosten]],"")))</f>
        <v/>
      </c>
      <c r="AL1224" t="str">
        <f>IF(ISNUMBER(FIND("arbeid",Methode_Keuze)),"",IF(ISNUMBER(FIND("arbeid",Methode_Keuze)),"",IF(Tb_Activiteiten[[#This Row],[Eigen arbeid]]=1,Tb_Activiteiten[[#Headers],[Eigen arbeid]],"")))</f>
        <v/>
      </c>
      <c r="AM1224" t="str">
        <f>IF(ISNUMBER(FIND("arbeid",Methode_Keuze)),"",IF(ISNUMBER(FIND("arbeid",Methode_Keuze)),"",IF(Tb_Activiteiten[[#This Row],[Projectmedewerker]]=1,Tb_Activiteiten[[#Headers],[Projectmedewerker]],"")))</f>
        <v/>
      </c>
      <c r="AN1224" t="str">
        <f>IF(ISNUMBER(FIND("arbeid",Methode_Keuze)),"",IF(ISNUMBER(FIND("arbeid",Methode_Keuze)),"",IF(Tb_Activiteiten[[#This Row],[Landbouwer]]=1,Tb_Activiteiten[[#Headers],[Landbouwer]],"")))</f>
        <v/>
      </c>
      <c r="AO1224" t="str">
        <f>IF(ISNUMBER(FIND("arbeid",Methode_Keuze)),"",IF(ISNUMBER(FIND("arbeid",Methode_Keuze)),"",IF(Tb_Activiteiten[[#This Row],[Adviseur]]=1,Tb_Activiteiten[[#Headers],[Adviseur]],"")))</f>
        <v/>
      </c>
      <c r="AP1224" t="str">
        <f>IF(ISNUMBER(FIND("arbeid",Methode_Keuze)),"",IF(ISNUMBER(FIND("arbeid",Methode_Keuze)),"",IF(Tb_Activiteiten[[#This Row],[Projectleider/Expert]]=1,Tb_Activiteiten[[#Headers],[Projectleider/Expert]],"")))</f>
        <v/>
      </c>
      <c r="AQ1224" t="str">
        <f>IF(ISNUMBER(FIND("arbeid",Methode_Keuze)),"",IF(ISNUMBER(FIND("arbeid",Methode_Keuze)),"",IF(Tb_Activiteiten[[#This Row],[Arbeidskosten]]=1,Tb_Activiteiten[[#Headers],[Arbeidskosten]],"")))</f>
        <v/>
      </c>
      <c r="AR1224" t="str">
        <f>IF(ISNUMBER(FIND("arbeid",Methode_Keuze)),"",IF(ISNUMBER(FIND("arbeid",Methode_Keuze)),"",IF(Tb_Activiteiten[[#This Row],[Arbeidskosten op basis van IKS]]=1,Tb_Activiteiten[[#Headers],[Arbeidskosten op basis van IKS]],"")))</f>
        <v/>
      </c>
      <c r="AS1224" t="str">
        <f>IF(ISNUMBER(FIND("overige",Methode_Keuze)),"",IF(Tb_Activiteiten[[#This Row],[Kosten derden exclusief btw]]=1,Tb_Activiteiten[[#Headers],[Kosten derden exclusief btw]],""))</f>
        <v/>
      </c>
      <c r="AT1224" t="str">
        <f>IF(ISNUMBER(FIND("overige",Methode_Keuze)),"",IF(Tb_Activiteiten[[#This Row],[Niet verrekenbare btw]]=1,Tb_Activiteiten[[#Headers],[Niet verrekenbare btw]],""))</f>
        <v/>
      </c>
      <c r="AU1224" t="str">
        <f>IF(ISNUMBER(FIND("overige",Methode_Keuze)),"",IF(Tb_Activiteiten[[#This Row],[Grondkosten]]=1,Tb_Activiteiten[[#Headers],[Grondkosten]],""))</f>
        <v/>
      </c>
      <c r="AV1224" t="str">
        <f>IF(ISNUMBER(FIND("overige",Methode_Keuze)),"",IF(Tb_Activiteiten[[#This Row],[Bijdrage in natura (overige)]]=1,Tb_Activiteiten[[#Headers],[Bijdrage in natura (overige)]],""))</f>
        <v/>
      </c>
      <c r="AW1224" t="str">
        <f>IF(ISNUMBER(FIND("overige",Methode_Keuze)),"",IF(Tb_Activiteiten[[#This Row],[Bijdrage in natura (vrijwilligers)]]=1,Tb_Activiteiten[[#Headers],[Bijdrage in natura (vrijwilligers)]],""))</f>
        <v/>
      </c>
      <c r="AX1224" t="str">
        <f>IF(ISNUMBER(FIND("overige",Methode_Keuze)),"",IF(Tb_Activiteiten[[#This Row],[Afschrijvingskosten]]=1,Tb_Activiteiten[[#Headers],[Afschrijvingskosten]],""))</f>
        <v/>
      </c>
      <c r="AY1224" t="str">
        <f>IF(ISNUMBER(FIND("overige",Methode_Keuze)),"",IF(Tb_Activiteiten[[#This Row],[Vergoeding]]=1,Tb_Activiteiten[[#Headers],[Vergoeding]],""))</f>
        <v/>
      </c>
      <c r="AZ1224" t="str">
        <f>IF(ISNUMBER(FIND("arbeid",Methode_Keuze)),"",IF(Tb_Activiteiten[[#This Row],[Arbeidskosten - vast tarief (excl eigen arbeid)]]=1,Tb_Activiteiten[[#Headers],[Arbeidskosten - vast tarief (excl eigen arbeid)]],""))</f>
        <v/>
      </c>
      <c r="BA1224" t="str">
        <f>IF(ISNUMBER(FIND("overige",Methode_Keuze)),"",IF(Tb_Activiteiten[[#This Row],[Overige kosten]]=1,Tb_Activiteiten[[#Headers],[Overige kosten]],""))</f>
        <v/>
      </c>
    </row>
    <row r="1225" spans="1:53" x14ac:dyDescent="0.25">
      <c r="A1225" s="139"/>
      <c r="B1225" s="139"/>
      <c r="C1225" s="139"/>
      <c r="D1225" s="139"/>
      <c r="E1225" s="139"/>
      <c r="F1225" s="139"/>
      <c r="G1225" s="139"/>
      <c r="O1225" s="56"/>
      <c r="Q1225" t="str">
        <f>IFERROR(IF(VLOOKUP(Tb_Activiteiten[[#This Row],[Openstelling]],Tb_Openstelling[],2,0)=1,1,""),"")</f>
        <v/>
      </c>
      <c r="AK1225" t="str">
        <f>IF(ISNUMBER(FIND("arbeid",Methode_Keuze)),"",IF(ISNUMBER(FIND("arbeid",Methode_Keuze)),"",IF(Tb_Activiteiten[[#This Row],[Loonkosten]]=1,Tb_Activiteiten[[#Headers],[Loonkosten]],"")))</f>
        <v/>
      </c>
      <c r="AL1225" t="str">
        <f>IF(ISNUMBER(FIND("arbeid",Methode_Keuze)),"",IF(ISNUMBER(FIND("arbeid",Methode_Keuze)),"",IF(Tb_Activiteiten[[#This Row],[Eigen arbeid]]=1,Tb_Activiteiten[[#Headers],[Eigen arbeid]],"")))</f>
        <v/>
      </c>
      <c r="AM1225" t="str">
        <f>IF(ISNUMBER(FIND("arbeid",Methode_Keuze)),"",IF(ISNUMBER(FIND("arbeid",Methode_Keuze)),"",IF(Tb_Activiteiten[[#This Row],[Projectmedewerker]]=1,Tb_Activiteiten[[#Headers],[Projectmedewerker]],"")))</f>
        <v/>
      </c>
      <c r="AN1225" t="str">
        <f>IF(ISNUMBER(FIND("arbeid",Methode_Keuze)),"",IF(ISNUMBER(FIND("arbeid",Methode_Keuze)),"",IF(Tb_Activiteiten[[#This Row],[Landbouwer]]=1,Tb_Activiteiten[[#Headers],[Landbouwer]],"")))</f>
        <v/>
      </c>
      <c r="AO1225" t="str">
        <f>IF(ISNUMBER(FIND("arbeid",Methode_Keuze)),"",IF(ISNUMBER(FIND("arbeid",Methode_Keuze)),"",IF(Tb_Activiteiten[[#This Row],[Adviseur]]=1,Tb_Activiteiten[[#Headers],[Adviseur]],"")))</f>
        <v/>
      </c>
      <c r="AP1225" t="str">
        <f>IF(ISNUMBER(FIND("arbeid",Methode_Keuze)),"",IF(ISNUMBER(FIND("arbeid",Methode_Keuze)),"",IF(Tb_Activiteiten[[#This Row],[Projectleider/Expert]]=1,Tb_Activiteiten[[#Headers],[Projectleider/Expert]],"")))</f>
        <v/>
      </c>
      <c r="AQ1225" t="str">
        <f>IF(ISNUMBER(FIND("arbeid",Methode_Keuze)),"",IF(ISNUMBER(FIND("arbeid",Methode_Keuze)),"",IF(Tb_Activiteiten[[#This Row],[Arbeidskosten]]=1,Tb_Activiteiten[[#Headers],[Arbeidskosten]],"")))</f>
        <v/>
      </c>
      <c r="AR1225" t="str">
        <f>IF(ISNUMBER(FIND("arbeid",Methode_Keuze)),"",IF(ISNUMBER(FIND("arbeid",Methode_Keuze)),"",IF(Tb_Activiteiten[[#This Row],[Arbeidskosten op basis van IKS]]=1,Tb_Activiteiten[[#Headers],[Arbeidskosten op basis van IKS]],"")))</f>
        <v/>
      </c>
      <c r="AS1225" t="str">
        <f>IF(ISNUMBER(FIND("overige",Methode_Keuze)),"",IF(Tb_Activiteiten[[#This Row],[Kosten derden exclusief btw]]=1,Tb_Activiteiten[[#Headers],[Kosten derden exclusief btw]],""))</f>
        <v/>
      </c>
      <c r="AT1225" t="str">
        <f>IF(ISNUMBER(FIND("overige",Methode_Keuze)),"",IF(Tb_Activiteiten[[#This Row],[Niet verrekenbare btw]]=1,Tb_Activiteiten[[#Headers],[Niet verrekenbare btw]],""))</f>
        <v/>
      </c>
      <c r="AU1225" t="str">
        <f>IF(ISNUMBER(FIND("overige",Methode_Keuze)),"",IF(Tb_Activiteiten[[#This Row],[Grondkosten]]=1,Tb_Activiteiten[[#Headers],[Grondkosten]],""))</f>
        <v/>
      </c>
      <c r="AV1225" t="str">
        <f>IF(ISNUMBER(FIND("overige",Methode_Keuze)),"",IF(Tb_Activiteiten[[#This Row],[Bijdrage in natura (overige)]]=1,Tb_Activiteiten[[#Headers],[Bijdrage in natura (overige)]],""))</f>
        <v/>
      </c>
      <c r="AW1225" t="str">
        <f>IF(ISNUMBER(FIND("overige",Methode_Keuze)),"",IF(Tb_Activiteiten[[#This Row],[Bijdrage in natura (vrijwilligers)]]=1,Tb_Activiteiten[[#Headers],[Bijdrage in natura (vrijwilligers)]],""))</f>
        <v/>
      </c>
      <c r="AX1225" t="str">
        <f>IF(ISNUMBER(FIND("overige",Methode_Keuze)),"",IF(Tb_Activiteiten[[#This Row],[Afschrijvingskosten]]=1,Tb_Activiteiten[[#Headers],[Afschrijvingskosten]],""))</f>
        <v/>
      </c>
      <c r="AY1225" t="str">
        <f>IF(ISNUMBER(FIND("overige",Methode_Keuze)),"",IF(Tb_Activiteiten[[#This Row],[Vergoeding]]=1,Tb_Activiteiten[[#Headers],[Vergoeding]],""))</f>
        <v/>
      </c>
      <c r="AZ1225" t="str">
        <f>IF(ISNUMBER(FIND("arbeid",Methode_Keuze)),"",IF(Tb_Activiteiten[[#This Row],[Arbeidskosten - vast tarief (excl eigen arbeid)]]=1,Tb_Activiteiten[[#Headers],[Arbeidskosten - vast tarief (excl eigen arbeid)]],""))</f>
        <v/>
      </c>
      <c r="BA1225" t="str">
        <f>IF(ISNUMBER(FIND("overige",Methode_Keuze)),"",IF(Tb_Activiteiten[[#This Row],[Overige kosten]]=1,Tb_Activiteiten[[#Headers],[Overige kosten]],""))</f>
        <v/>
      </c>
    </row>
    <row r="1226" spans="1:53" x14ac:dyDescent="0.25">
      <c r="A1226" s="139"/>
      <c r="B1226" s="139"/>
      <c r="C1226" s="139"/>
      <c r="D1226" s="139"/>
      <c r="E1226" s="139"/>
      <c r="F1226" s="139"/>
      <c r="G1226" s="139"/>
      <c r="O1226" s="56"/>
      <c r="Q1226" t="str">
        <f>IFERROR(IF(VLOOKUP(Tb_Activiteiten[[#This Row],[Openstelling]],Tb_Openstelling[],2,0)=1,1,""),"")</f>
        <v/>
      </c>
      <c r="AK1226" t="str">
        <f>IF(ISNUMBER(FIND("arbeid",Methode_Keuze)),"",IF(ISNUMBER(FIND("arbeid",Methode_Keuze)),"",IF(Tb_Activiteiten[[#This Row],[Loonkosten]]=1,Tb_Activiteiten[[#Headers],[Loonkosten]],"")))</f>
        <v/>
      </c>
      <c r="AL1226" t="str">
        <f>IF(ISNUMBER(FIND("arbeid",Methode_Keuze)),"",IF(ISNUMBER(FIND("arbeid",Methode_Keuze)),"",IF(Tb_Activiteiten[[#This Row],[Eigen arbeid]]=1,Tb_Activiteiten[[#Headers],[Eigen arbeid]],"")))</f>
        <v/>
      </c>
      <c r="AM1226" t="str">
        <f>IF(ISNUMBER(FIND("arbeid",Methode_Keuze)),"",IF(ISNUMBER(FIND("arbeid",Methode_Keuze)),"",IF(Tb_Activiteiten[[#This Row],[Projectmedewerker]]=1,Tb_Activiteiten[[#Headers],[Projectmedewerker]],"")))</f>
        <v/>
      </c>
      <c r="AN1226" t="str">
        <f>IF(ISNUMBER(FIND("arbeid",Methode_Keuze)),"",IF(ISNUMBER(FIND("arbeid",Methode_Keuze)),"",IF(Tb_Activiteiten[[#This Row],[Landbouwer]]=1,Tb_Activiteiten[[#Headers],[Landbouwer]],"")))</f>
        <v/>
      </c>
      <c r="AO1226" t="str">
        <f>IF(ISNUMBER(FIND("arbeid",Methode_Keuze)),"",IF(ISNUMBER(FIND("arbeid",Methode_Keuze)),"",IF(Tb_Activiteiten[[#This Row],[Adviseur]]=1,Tb_Activiteiten[[#Headers],[Adviseur]],"")))</f>
        <v/>
      </c>
      <c r="AP1226" t="str">
        <f>IF(ISNUMBER(FIND("arbeid",Methode_Keuze)),"",IF(ISNUMBER(FIND("arbeid",Methode_Keuze)),"",IF(Tb_Activiteiten[[#This Row],[Projectleider/Expert]]=1,Tb_Activiteiten[[#Headers],[Projectleider/Expert]],"")))</f>
        <v/>
      </c>
      <c r="AQ1226" t="str">
        <f>IF(ISNUMBER(FIND("arbeid",Methode_Keuze)),"",IF(ISNUMBER(FIND("arbeid",Methode_Keuze)),"",IF(Tb_Activiteiten[[#This Row],[Arbeidskosten]]=1,Tb_Activiteiten[[#Headers],[Arbeidskosten]],"")))</f>
        <v/>
      </c>
      <c r="AR1226" t="str">
        <f>IF(ISNUMBER(FIND("arbeid",Methode_Keuze)),"",IF(ISNUMBER(FIND("arbeid",Methode_Keuze)),"",IF(Tb_Activiteiten[[#This Row],[Arbeidskosten op basis van IKS]]=1,Tb_Activiteiten[[#Headers],[Arbeidskosten op basis van IKS]],"")))</f>
        <v/>
      </c>
      <c r="AS1226" t="str">
        <f>IF(ISNUMBER(FIND("overige",Methode_Keuze)),"",IF(Tb_Activiteiten[[#This Row],[Kosten derden exclusief btw]]=1,Tb_Activiteiten[[#Headers],[Kosten derden exclusief btw]],""))</f>
        <v/>
      </c>
      <c r="AT1226" t="str">
        <f>IF(ISNUMBER(FIND("overige",Methode_Keuze)),"",IF(Tb_Activiteiten[[#This Row],[Niet verrekenbare btw]]=1,Tb_Activiteiten[[#Headers],[Niet verrekenbare btw]],""))</f>
        <v/>
      </c>
      <c r="AU1226" t="str">
        <f>IF(ISNUMBER(FIND("overige",Methode_Keuze)),"",IF(Tb_Activiteiten[[#This Row],[Grondkosten]]=1,Tb_Activiteiten[[#Headers],[Grondkosten]],""))</f>
        <v/>
      </c>
      <c r="AV1226" t="str">
        <f>IF(ISNUMBER(FIND("overige",Methode_Keuze)),"",IF(Tb_Activiteiten[[#This Row],[Bijdrage in natura (overige)]]=1,Tb_Activiteiten[[#Headers],[Bijdrage in natura (overige)]],""))</f>
        <v/>
      </c>
      <c r="AW1226" t="str">
        <f>IF(ISNUMBER(FIND("overige",Methode_Keuze)),"",IF(Tb_Activiteiten[[#This Row],[Bijdrage in natura (vrijwilligers)]]=1,Tb_Activiteiten[[#Headers],[Bijdrage in natura (vrijwilligers)]],""))</f>
        <v/>
      </c>
      <c r="AX1226" t="str">
        <f>IF(ISNUMBER(FIND("overige",Methode_Keuze)),"",IF(Tb_Activiteiten[[#This Row],[Afschrijvingskosten]]=1,Tb_Activiteiten[[#Headers],[Afschrijvingskosten]],""))</f>
        <v/>
      </c>
      <c r="AY1226" t="str">
        <f>IF(ISNUMBER(FIND("overige",Methode_Keuze)),"",IF(Tb_Activiteiten[[#This Row],[Vergoeding]]=1,Tb_Activiteiten[[#Headers],[Vergoeding]],""))</f>
        <v/>
      </c>
      <c r="AZ1226" t="str">
        <f>IF(ISNUMBER(FIND("arbeid",Methode_Keuze)),"",IF(Tb_Activiteiten[[#This Row],[Arbeidskosten - vast tarief (excl eigen arbeid)]]=1,Tb_Activiteiten[[#Headers],[Arbeidskosten - vast tarief (excl eigen arbeid)]],""))</f>
        <v/>
      </c>
      <c r="BA1226" t="str">
        <f>IF(ISNUMBER(FIND("overige",Methode_Keuze)),"",IF(Tb_Activiteiten[[#This Row],[Overige kosten]]=1,Tb_Activiteiten[[#Headers],[Overige kosten]],""))</f>
        <v/>
      </c>
    </row>
    <row r="1227" spans="1:53" x14ac:dyDescent="0.25">
      <c r="A1227" s="139"/>
      <c r="B1227" s="139"/>
      <c r="C1227" s="139"/>
      <c r="D1227" s="139"/>
      <c r="E1227" s="139"/>
      <c r="F1227" s="139"/>
      <c r="G1227" s="139"/>
      <c r="O1227" s="56"/>
      <c r="Q1227" t="str">
        <f>IFERROR(IF(VLOOKUP(Tb_Activiteiten[[#This Row],[Openstelling]],Tb_Openstelling[],2,0)=1,1,""),"")</f>
        <v/>
      </c>
      <c r="AK1227" t="str">
        <f>IF(ISNUMBER(FIND("arbeid",Methode_Keuze)),"",IF(ISNUMBER(FIND("arbeid",Methode_Keuze)),"",IF(Tb_Activiteiten[[#This Row],[Loonkosten]]=1,Tb_Activiteiten[[#Headers],[Loonkosten]],"")))</f>
        <v/>
      </c>
      <c r="AL1227" t="str">
        <f>IF(ISNUMBER(FIND("arbeid",Methode_Keuze)),"",IF(ISNUMBER(FIND("arbeid",Methode_Keuze)),"",IF(Tb_Activiteiten[[#This Row],[Eigen arbeid]]=1,Tb_Activiteiten[[#Headers],[Eigen arbeid]],"")))</f>
        <v/>
      </c>
      <c r="AM1227" t="str">
        <f>IF(ISNUMBER(FIND("arbeid",Methode_Keuze)),"",IF(ISNUMBER(FIND("arbeid",Methode_Keuze)),"",IF(Tb_Activiteiten[[#This Row],[Projectmedewerker]]=1,Tb_Activiteiten[[#Headers],[Projectmedewerker]],"")))</f>
        <v/>
      </c>
      <c r="AN1227" t="str">
        <f>IF(ISNUMBER(FIND("arbeid",Methode_Keuze)),"",IF(ISNUMBER(FIND("arbeid",Methode_Keuze)),"",IF(Tb_Activiteiten[[#This Row],[Landbouwer]]=1,Tb_Activiteiten[[#Headers],[Landbouwer]],"")))</f>
        <v/>
      </c>
      <c r="AO1227" t="str">
        <f>IF(ISNUMBER(FIND("arbeid",Methode_Keuze)),"",IF(ISNUMBER(FIND("arbeid",Methode_Keuze)),"",IF(Tb_Activiteiten[[#This Row],[Adviseur]]=1,Tb_Activiteiten[[#Headers],[Adviseur]],"")))</f>
        <v/>
      </c>
      <c r="AP1227" t="str">
        <f>IF(ISNUMBER(FIND("arbeid",Methode_Keuze)),"",IF(ISNUMBER(FIND("arbeid",Methode_Keuze)),"",IF(Tb_Activiteiten[[#This Row],[Projectleider/Expert]]=1,Tb_Activiteiten[[#Headers],[Projectleider/Expert]],"")))</f>
        <v/>
      </c>
      <c r="AQ1227" t="str">
        <f>IF(ISNUMBER(FIND("arbeid",Methode_Keuze)),"",IF(ISNUMBER(FIND("arbeid",Methode_Keuze)),"",IF(Tb_Activiteiten[[#This Row],[Arbeidskosten]]=1,Tb_Activiteiten[[#Headers],[Arbeidskosten]],"")))</f>
        <v/>
      </c>
      <c r="AR1227" t="str">
        <f>IF(ISNUMBER(FIND("arbeid",Methode_Keuze)),"",IF(ISNUMBER(FIND("arbeid",Methode_Keuze)),"",IF(Tb_Activiteiten[[#This Row],[Arbeidskosten op basis van IKS]]=1,Tb_Activiteiten[[#Headers],[Arbeidskosten op basis van IKS]],"")))</f>
        <v/>
      </c>
      <c r="AS1227" t="str">
        <f>IF(ISNUMBER(FIND("overige",Methode_Keuze)),"",IF(Tb_Activiteiten[[#This Row],[Kosten derden exclusief btw]]=1,Tb_Activiteiten[[#Headers],[Kosten derden exclusief btw]],""))</f>
        <v/>
      </c>
      <c r="AT1227" t="str">
        <f>IF(ISNUMBER(FIND("overige",Methode_Keuze)),"",IF(Tb_Activiteiten[[#This Row],[Niet verrekenbare btw]]=1,Tb_Activiteiten[[#Headers],[Niet verrekenbare btw]],""))</f>
        <v/>
      </c>
      <c r="AU1227" t="str">
        <f>IF(ISNUMBER(FIND("overige",Methode_Keuze)),"",IF(Tb_Activiteiten[[#This Row],[Grondkosten]]=1,Tb_Activiteiten[[#Headers],[Grondkosten]],""))</f>
        <v/>
      </c>
      <c r="AV1227" t="str">
        <f>IF(ISNUMBER(FIND("overige",Methode_Keuze)),"",IF(Tb_Activiteiten[[#This Row],[Bijdrage in natura (overige)]]=1,Tb_Activiteiten[[#Headers],[Bijdrage in natura (overige)]],""))</f>
        <v/>
      </c>
      <c r="AW1227" t="str">
        <f>IF(ISNUMBER(FIND("overige",Methode_Keuze)),"",IF(Tb_Activiteiten[[#This Row],[Bijdrage in natura (vrijwilligers)]]=1,Tb_Activiteiten[[#Headers],[Bijdrage in natura (vrijwilligers)]],""))</f>
        <v/>
      </c>
      <c r="AX1227" t="str">
        <f>IF(ISNUMBER(FIND("overige",Methode_Keuze)),"",IF(Tb_Activiteiten[[#This Row],[Afschrijvingskosten]]=1,Tb_Activiteiten[[#Headers],[Afschrijvingskosten]],""))</f>
        <v/>
      </c>
      <c r="AY1227" t="str">
        <f>IF(ISNUMBER(FIND("overige",Methode_Keuze)),"",IF(Tb_Activiteiten[[#This Row],[Vergoeding]]=1,Tb_Activiteiten[[#Headers],[Vergoeding]],""))</f>
        <v/>
      </c>
      <c r="AZ1227" t="str">
        <f>IF(ISNUMBER(FIND("arbeid",Methode_Keuze)),"",IF(Tb_Activiteiten[[#This Row],[Arbeidskosten - vast tarief (excl eigen arbeid)]]=1,Tb_Activiteiten[[#Headers],[Arbeidskosten - vast tarief (excl eigen arbeid)]],""))</f>
        <v/>
      </c>
      <c r="BA1227" t="str">
        <f>IF(ISNUMBER(FIND("overige",Methode_Keuze)),"",IF(Tb_Activiteiten[[#This Row],[Overige kosten]]=1,Tb_Activiteiten[[#Headers],[Overige kosten]],""))</f>
        <v/>
      </c>
    </row>
    <row r="1228" spans="1:53" x14ac:dyDescent="0.25">
      <c r="A1228" s="139"/>
      <c r="B1228" s="139"/>
      <c r="C1228" s="139"/>
      <c r="D1228" s="139"/>
      <c r="E1228" s="139"/>
      <c r="F1228" s="139"/>
      <c r="G1228" s="139"/>
      <c r="O1228" s="56"/>
      <c r="Q1228" t="str">
        <f>IFERROR(IF(VLOOKUP(Tb_Activiteiten[[#This Row],[Openstelling]],Tb_Openstelling[],2,0)=1,1,""),"")</f>
        <v/>
      </c>
      <c r="AK1228" t="str">
        <f>IF(ISNUMBER(FIND("arbeid",Methode_Keuze)),"",IF(ISNUMBER(FIND("arbeid",Methode_Keuze)),"",IF(Tb_Activiteiten[[#This Row],[Loonkosten]]=1,Tb_Activiteiten[[#Headers],[Loonkosten]],"")))</f>
        <v/>
      </c>
      <c r="AL1228" t="str">
        <f>IF(ISNUMBER(FIND("arbeid",Methode_Keuze)),"",IF(ISNUMBER(FIND("arbeid",Methode_Keuze)),"",IF(Tb_Activiteiten[[#This Row],[Eigen arbeid]]=1,Tb_Activiteiten[[#Headers],[Eigen arbeid]],"")))</f>
        <v/>
      </c>
      <c r="AM1228" t="str">
        <f>IF(ISNUMBER(FIND("arbeid",Methode_Keuze)),"",IF(ISNUMBER(FIND("arbeid",Methode_Keuze)),"",IF(Tb_Activiteiten[[#This Row],[Projectmedewerker]]=1,Tb_Activiteiten[[#Headers],[Projectmedewerker]],"")))</f>
        <v/>
      </c>
      <c r="AN1228" t="str">
        <f>IF(ISNUMBER(FIND("arbeid",Methode_Keuze)),"",IF(ISNUMBER(FIND("arbeid",Methode_Keuze)),"",IF(Tb_Activiteiten[[#This Row],[Landbouwer]]=1,Tb_Activiteiten[[#Headers],[Landbouwer]],"")))</f>
        <v/>
      </c>
      <c r="AO1228" t="str">
        <f>IF(ISNUMBER(FIND("arbeid",Methode_Keuze)),"",IF(ISNUMBER(FIND("arbeid",Methode_Keuze)),"",IF(Tb_Activiteiten[[#This Row],[Adviseur]]=1,Tb_Activiteiten[[#Headers],[Adviseur]],"")))</f>
        <v/>
      </c>
      <c r="AP1228" t="str">
        <f>IF(ISNUMBER(FIND("arbeid",Methode_Keuze)),"",IF(ISNUMBER(FIND("arbeid",Methode_Keuze)),"",IF(Tb_Activiteiten[[#This Row],[Projectleider/Expert]]=1,Tb_Activiteiten[[#Headers],[Projectleider/Expert]],"")))</f>
        <v/>
      </c>
      <c r="AQ1228" t="str">
        <f>IF(ISNUMBER(FIND("arbeid",Methode_Keuze)),"",IF(ISNUMBER(FIND("arbeid",Methode_Keuze)),"",IF(Tb_Activiteiten[[#This Row],[Arbeidskosten]]=1,Tb_Activiteiten[[#Headers],[Arbeidskosten]],"")))</f>
        <v/>
      </c>
      <c r="AR1228" t="str">
        <f>IF(ISNUMBER(FIND("arbeid",Methode_Keuze)),"",IF(ISNUMBER(FIND("arbeid",Methode_Keuze)),"",IF(Tb_Activiteiten[[#This Row],[Arbeidskosten op basis van IKS]]=1,Tb_Activiteiten[[#Headers],[Arbeidskosten op basis van IKS]],"")))</f>
        <v/>
      </c>
      <c r="AS1228" t="str">
        <f>IF(ISNUMBER(FIND("overige",Methode_Keuze)),"",IF(Tb_Activiteiten[[#This Row],[Kosten derden exclusief btw]]=1,Tb_Activiteiten[[#Headers],[Kosten derden exclusief btw]],""))</f>
        <v/>
      </c>
      <c r="AT1228" t="str">
        <f>IF(ISNUMBER(FIND("overige",Methode_Keuze)),"",IF(Tb_Activiteiten[[#This Row],[Niet verrekenbare btw]]=1,Tb_Activiteiten[[#Headers],[Niet verrekenbare btw]],""))</f>
        <v/>
      </c>
      <c r="AU1228" t="str">
        <f>IF(ISNUMBER(FIND("overige",Methode_Keuze)),"",IF(Tb_Activiteiten[[#This Row],[Grondkosten]]=1,Tb_Activiteiten[[#Headers],[Grondkosten]],""))</f>
        <v/>
      </c>
      <c r="AV1228" t="str">
        <f>IF(ISNUMBER(FIND("overige",Methode_Keuze)),"",IF(Tb_Activiteiten[[#This Row],[Bijdrage in natura (overige)]]=1,Tb_Activiteiten[[#Headers],[Bijdrage in natura (overige)]],""))</f>
        <v/>
      </c>
      <c r="AW1228" t="str">
        <f>IF(ISNUMBER(FIND("overige",Methode_Keuze)),"",IF(Tb_Activiteiten[[#This Row],[Bijdrage in natura (vrijwilligers)]]=1,Tb_Activiteiten[[#Headers],[Bijdrage in natura (vrijwilligers)]],""))</f>
        <v/>
      </c>
      <c r="AX1228" t="str">
        <f>IF(ISNUMBER(FIND("overige",Methode_Keuze)),"",IF(Tb_Activiteiten[[#This Row],[Afschrijvingskosten]]=1,Tb_Activiteiten[[#Headers],[Afschrijvingskosten]],""))</f>
        <v/>
      </c>
      <c r="AY1228" t="str">
        <f>IF(ISNUMBER(FIND("overige",Methode_Keuze)),"",IF(Tb_Activiteiten[[#This Row],[Vergoeding]]=1,Tb_Activiteiten[[#Headers],[Vergoeding]],""))</f>
        <v/>
      </c>
      <c r="AZ1228" t="str">
        <f>IF(ISNUMBER(FIND("arbeid",Methode_Keuze)),"",IF(Tb_Activiteiten[[#This Row],[Arbeidskosten - vast tarief (excl eigen arbeid)]]=1,Tb_Activiteiten[[#Headers],[Arbeidskosten - vast tarief (excl eigen arbeid)]],""))</f>
        <v/>
      </c>
      <c r="BA1228" t="str">
        <f>IF(ISNUMBER(FIND("overige",Methode_Keuze)),"",IF(Tb_Activiteiten[[#This Row],[Overige kosten]]=1,Tb_Activiteiten[[#Headers],[Overige kosten]],""))</f>
        <v/>
      </c>
    </row>
    <row r="1229" spans="1:53" x14ac:dyDescent="0.25">
      <c r="A1229" s="139"/>
      <c r="B1229" s="139"/>
      <c r="C1229" s="139"/>
      <c r="D1229" s="139"/>
      <c r="E1229" s="139"/>
      <c r="F1229" s="139"/>
      <c r="G1229" s="139"/>
      <c r="O1229" s="56"/>
      <c r="Q1229" t="str">
        <f>IFERROR(IF(VLOOKUP(Tb_Activiteiten[[#This Row],[Openstelling]],Tb_Openstelling[],2,0)=1,1,""),"")</f>
        <v/>
      </c>
      <c r="AK1229" t="str">
        <f>IF(ISNUMBER(FIND("arbeid",Methode_Keuze)),"",IF(ISNUMBER(FIND("arbeid",Methode_Keuze)),"",IF(Tb_Activiteiten[[#This Row],[Loonkosten]]=1,Tb_Activiteiten[[#Headers],[Loonkosten]],"")))</f>
        <v/>
      </c>
      <c r="AL1229" t="str">
        <f>IF(ISNUMBER(FIND("arbeid",Methode_Keuze)),"",IF(ISNUMBER(FIND("arbeid",Methode_Keuze)),"",IF(Tb_Activiteiten[[#This Row],[Eigen arbeid]]=1,Tb_Activiteiten[[#Headers],[Eigen arbeid]],"")))</f>
        <v/>
      </c>
      <c r="AM1229" t="str">
        <f>IF(ISNUMBER(FIND("arbeid",Methode_Keuze)),"",IF(ISNUMBER(FIND("arbeid",Methode_Keuze)),"",IF(Tb_Activiteiten[[#This Row],[Projectmedewerker]]=1,Tb_Activiteiten[[#Headers],[Projectmedewerker]],"")))</f>
        <v/>
      </c>
      <c r="AN1229" t="str">
        <f>IF(ISNUMBER(FIND("arbeid",Methode_Keuze)),"",IF(ISNUMBER(FIND("arbeid",Methode_Keuze)),"",IF(Tb_Activiteiten[[#This Row],[Landbouwer]]=1,Tb_Activiteiten[[#Headers],[Landbouwer]],"")))</f>
        <v/>
      </c>
      <c r="AO1229" t="str">
        <f>IF(ISNUMBER(FIND("arbeid",Methode_Keuze)),"",IF(ISNUMBER(FIND("arbeid",Methode_Keuze)),"",IF(Tb_Activiteiten[[#This Row],[Adviseur]]=1,Tb_Activiteiten[[#Headers],[Adviseur]],"")))</f>
        <v/>
      </c>
      <c r="AP1229" t="str">
        <f>IF(ISNUMBER(FIND("arbeid",Methode_Keuze)),"",IF(ISNUMBER(FIND("arbeid",Methode_Keuze)),"",IF(Tb_Activiteiten[[#This Row],[Projectleider/Expert]]=1,Tb_Activiteiten[[#Headers],[Projectleider/Expert]],"")))</f>
        <v/>
      </c>
      <c r="AQ1229" t="str">
        <f>IF(ISNUMBER(FIND("arbeid",Methode_Keuze)),"",IF(ISNUMBER(FIND("arbeid",Methode_Keuze)),"",IF(Tb_Activiteiten[[#This Row],[Arbeidskosten]]=1,Tb_Activiteiten[[#Headers],[Arbeidskosten]],"")))</f>
        <v/>
      </c>
      <c r="AR1229" t="str">
        <f>IF(ISNUMBER(FIND("arbeid",Methode_Keuze)),"",IF(ISNUMBER(FIND("arbeid",Methode_Keuze)),"",IF(Tb_Activiteiten[[#This Row],[Arbeidskosten op basis van IKS]]=1,Tb_Activiteiten[[#Headers],[Arbeidskosten op basis van IKS]],"")))</f>
        <v/>
      </c>
      <c r="AS1229" t="str">
        <f>IF(ISNUMBER(FIND("overige",Methode_Keuze)),"",IF(Tb_Activiteiten[[#This Row],[Kosten derden exclusief btw]]=1,Tb_Activiteiten[[#Headers],[Kosten derden exclusief btw]],""))</f>
        <v/>
      </c>
      <c r="AT1229" t="str">
        <f>IF(ISNUMBER(FIND("overige",Methode_Keuze)),"",IF(Tb_Activiteiten[[#This Row],[Niet verrekenbare btw]]=1,Tb_Activiteiten[[#Headers],[Niet verrekenbare btw]],""))</f>
        <v/>
      </c>
      <c r="AU1229" t="str">
        <f>IF(ISNUMBER(FIND("overige",Methode_Keuze)),"",IF(Tb_Activiteiten[[#This Row],[Grondkosten]]=1,Tb_Activiteiten[[#Headers],[Grondkosten]],""))</f>
        <v/>
      </c>
      <c r="AV1229" t="str">
        <f>IF(ISNUMBER(FIND("overige",Methode_Keuze)),"",IF(Tb_Activiteiten[[#This Row],[Bijdrage in natura (overige)]]=1,Tb_Activiteiten[[#Headers],[Bijdrage in natura (overige)]],""))</f>
        <v/>
      </c>
      <c r="AW1229" t="str">
        <f>IF(ISNUMBER(FIND("overige",Methode_Keuze)),"",IF(Tb_Activiteiten[[#This Row],[Bijdrage in natura (vrijwilligers)]]=1,Tb_Activiteiten[[#Headers],[Bijdrage in natura (vrijwilligers)]],""))</f>
        <v/>
      </c>
      <c r="AX1229" t="str">
        <f>IF(ISNUMBER(FIND("overige",Methode_Keuze)),"",IF(Tb_Activiteiten[[#This Row],[Afschrijvingskosten]]=1,Tb_Activiteiten[[#Headers],[Afschrijvingskosten]],""))</f>
        <v/>
      </c>
      <c r="AY1229" t="str">
        <f>IF(ISNUMBER(FIND("overige",Methode_Keuze)),"",IF(Tb_Activiteiten[[#This Row],[Vergoeding]]=1,Tb_Activiteiten[[#Headers],[Vergoeding]],""))</f>
        <v/>
      </c>
      <c r="AZ1229" t="str">
        <f>IF(ISNUMBER(FIND("arbeid",Methode_Keuze)),"",IF(Tb_Activiteiten[[#This Row],[Arbeidskosten - vast tarief (excl eigen arbeid)]]=1,Tb_Activiteiten[[#Headers],[Arbeidskosten - vast tarief (excl eigen arbeid)]],""))</f>
        <v/>
      </c>
      <c r="BA1229" t="str">
        <f>IF(ISNUMBER(FIND("overige",Methode_Keuze)),"",IF(Tb_Activiteiten[[#This Row],[Overige kosten]]=1,Tb_Activiteiten[[#Headers],[Overige kosten]],""))</f>
        <v/>
      </c>
    </row>
    <row r="1230" spans="1:53" x14ac:dyDescent="0.25">
      <c r="A1230" s="139"/>
      <c r="B1230" s="139"/>
      <c r="C1230" s="139"/>
      <c r="D1230" s="139"/>
      <c r="E1230" s="139"/>
      <c r="F1230" s="139"/>
      <c r="G1230" s="139"/>
      <c r="O1230" s="56"/>
      <c r="Q1230" t="str">
        <f>IFERROR(IF(VLOOKUP(Tb_Activiteiten[[#This Row],[Openstelling]],Tb_Openstelling[],2,0)=1,1,""),"")</f>
        <v/>
      </c>
      <c r="AK1230" t="str">
        <f>IF(ISNUMBER(FIND("arbeid",Methode_Keuze)),"",IF(ISNUMBER(FIND("arbeid",Methode_Keuze)),"",IF(Tb_Activiteiten[[#This Row],[Loonkosten]]=1,Tb_Activiteiten[[#Headers],[Loonkosten]],"")))</f>
        <v/>
      </c>
      <c r="AL1230" t="str">
        <f>IF(ISNUMBER(FIND("arbeid",Methode_Keuze)),"",IF(ISNUMBER(FIND("arbeid",Methode_Keuze)),"",IF(Tb_Activiteiten[[#This Row],[Eigen arbeid]]=1,Tb_Activiteiten[[#Headers],[Eigen arbeid]],"")))</f>
        <v/>
      </c>
      <c r="AM1230" t="str">
        <f>IF(ISNUMBER(FIND("arbeid",Methode_Keuze)),"",IF(ISNUMBER(FIND("arbeid",Methode_Keuze)),"",IF(Tb_Activiteiten[[#This Row],[Projectmedewerker]]=1,Tb_Activiteiten[[#Headers],[Projectmedewerker]],"")))</f>
        <v/>
      </c>
      <c r="AN1230" t="str">
        <f>IF(ISNUMBER(FIND("arbeid",Methode_Keuze)),"",IF(ISNUMBER(FIND("arbeid",Methode_Keuze)),"",IF(Tb_Activiteiten[[#This Row],[Landbouwer]]=1,Tb_Activiteiten[[#Headers],[Landbouwer]],"")))</f>
        <v/>
      </c>
      <c r="AO1230" t="str">
        <f>IF(ISNUMBER(FIND("arbeid",Methode_Keuze)),"",IF(ISNUMBER(FIND("arbeid",Methode_Keuze)),"",IF(Tb_Activiteiten[[#This Row],[Adviseur]]=1,Tb_Activiteiten[[#Headers],[Adviseur]],"")))</f>
        <v/>
      </c>
      <c r="AP1230" t="str">
        <f>IF(ISNUMBER(FIND("arbeid",Methode_Keuze)),"",IF(ISNUMBER(FIND("arbeid",Methode_Keuze)),"",IF(Tb_Activiteiten[[#This Row],[Projectleider/Expert]]=1,Tb_Activiteiten[[#Headers],[Projectleider/Expert]],"")))</f>
        <v/>
      </c>
      <c r="AQ1230" t="str">
        <f>IF(ISNUMBER(FIND("arbeid",Methode_Keuze)),"",IF(ISNUMBER(FIND("arbeid",Methode_Keuze)),"",IF(Tb_Activiteiten[[#This Row],[Arbeidskosten]]=1,Tb_Activiteiten[[#Headers],[Arbeidskosten]],"")))</f>
        <v/>
      </c>
      <c r="AR1230" t="str">
        <f>IF(ISNUMBER(FIND("arbeid",Methode_Keuze)),"",IF(ISNUMBER(FIND("arbeid",Methode_Keuze)),"",IF(Tb_Activiteiten[[#This Row],[Arbeidskosten op basis van IKS]]=1,Tb_Activiteiten[[#Headers],[Arbeidskosten op basis van IKS]],"")))</f>
        <v/>
      </c>
      <c r="AS1230" t="str">
        <f>IF(ISNUMBER(FIND("overige",Methode_Keuze)),"",IF(Tb_Activiteiten[[#This Row],[Kosten derden exclusief btw]]=1,Tb_Activiteiten[[#Headers],[Kosten derden exclusief btw]],""))</f>
        <v/>
      </c>
      <c r="AT1230" t="str">
        <f>IF(ISNUMBER(FIND("overige",Methode_Keuze)),"",IF(Tb_Activiteiten[[#This Row],[Niet verrekenbare btw]]=1,Tb_Activiteiten[[#Headers],[Niet verrekenbare btw]],""))</f>
        <v/>
      </c>
      <c r="AU1230" t="str">
        <f>IF(ISNUMBER(FIND("overige",Methode_Keuze)),"",IF(Tb_Activiteiten[[#This Row],[Grondkosten]]=1,Tb_Activiteiten[[#Headers],[Grondkosten]],""))</f>
        <v/>
      </c>
      <c r="AV1230" t="str">
        <f>IF(ISNUMBER(FIND("overige",Methode_Keuze)),"",IF(Tb_Activiteiten[[#This Row],[Bijdrage in natura (overige)]]=1,Tb_Activiteiten[[#Headers],[Bijdrage in natura (overige)]],""))</f>
        <v/>
      </c>
      <c r="AW1230" t="str">
        <f>IF(ISNUMBER(FIND("overige",Methode_Keuze)),"",IF(Tb_Activiteiten[[#This Row],[Bijdrage in natura (vrijwilligers)]]=1,Tb_Activiteiten[[#Headers],[Bijdrage in natura (vrijwilligers)]],""))</f>
        <v/>
      </c>
      <c r="AX1230" t="str">
        <f>IF(ISNUMBER(FIND("overige",Methode_Keuze)),"",IF(Tb_Activiteiten[[#This Row],[Afschrijvingskosten]]=1,Tb_Activiteiten[[#Headers],[Afschrijvingskosten]],""))</f>
        <v/>
      </c>
      <c r="AY1230" t="str">
        <f>IF(ISNUMBER(FIND("overige",Methode_Keuze)),"",IF(Tb_Activiteiten[[#This Row],[Vergoeding]]=1,Tb_Activiteiten[[#Headers],[Vergoeding]],""))</f>
        <v/>
      </c>
      <c r="AZ1230" t="str">
        <f>IF(ISNUMBER(FIND("arbeid",Methode_Keuze)),"",IF(Tb_Activiteiten[[#This Row],[Arbeidskosten - vast tarief (excl eigen arbeid)]]=1,Tb_Activiteiten[[#Headers],[Arbeidskosten - vast tarief (excl eigen arbeid)]],""))</f>
        <v/>
      </c>
      <c r="BA1230" t="str">
        <f>IF(ISNUMBER(FIND("overige",Methode_Keuze)),"",IF(Tb_Activiteiten[[#This Row],[Overige kosten]]=1,Tb_Activiteiten[[#Headers],[Overige kosten]],""))</f>
        <v/>
      </c>
    </row>
    <row r="1231" spans="1:53" x14ac:dyDescent="0.25">
      <c r="A1231" s="139"/>
      <c r="B1231" s="139"/>
      <c r="C1231" s="139"/>
      <c r="D1231" s="139"/>
      <c r="E1231" s="139"/>
      <c r="F1231" s="139"/>
      <c r="G1231" s="139"/>
      <c r="O1231" s="56"/>
      <c r="Q1231" t="str">
        <f>IFERROR(IF(VLOOKUP(Tb_Activiteiten[[#This Row],[Openstelling]],Tb_Openstelling[],2,0)=1,1,""),"")</f>
        <v/>
      </c>
      <c r="AK1231" t="str">
        <f>IF(ISNUMBER(FIND("arbeid",Methode_Keuze)),"",IF(ISNUMBER(FIND("arbeid",Methode_Keuze)),"",IF(Tb_Activiteiten[[#This Row],[Loonkosten]]=1,Tb_Activiteiten[[#Headers],[Loonkosten]],"")))</f>
        <v/>
      </c>
      <c r="AL1231" t="str">
        <f>IF(ISNUMBER(FIND("arbeid",Methode_Keuze)),"",IF(ISNUMBER(FIND("arbeid",Methode_Keuze)),"",IF(Tb_Activiteiten[[#This Row],[Eigen arbeid]]=1,Tb_Activiteiten[[#Headers],[Eigen arbeid]],"")))</f>
        <v/>
      </c>
      <c r="AM1231" t="str">
        <f>IF(ISNUMBER(FIND("arbeid",Methode_Keuze)),"",IF(ISNUMBER(FIND("arbeid",Methode_Keuze)),"",IF(Tb_Activiteiten[[#This Row],[Projectmedewerker]]=1,Tb_Activiteiten[[#Headers],[Projectmedewerker]],"")))</f>
        <v/>
      </c>
      <c r="AN1231" t="str">
        <f>IF(ISNUMBER(FIND("arbeid",Methode_Keuze)),"",IF(ISNUMBER(FIND("arbeid",Methode_Keuze)),"",IF(Tb_Activiteiten[[#This Row],[Landbouwer]]=1,Tb_Activiteiten[[#Headers],[Landbouwer]],"")))</f>
        <v/>
      </c>
      <c r="AO1231" t="str">
        <f>IF(ISNUMBER(FIND("arbeid",Methode_Keuze)),"",IF(ISNUMBER(FIND("arbeid",Methode_Keuze)),"",IF(Tb_Activiteiten[[#This Row],[Adviseur]]=1,Tb_Activiteiten[[#Headers],[Adviseur]],"")))</f>
        <v/>
      </c>
      <c r="AP1231" t="str">
        <f>IF(ISNUMBER(FIND("arbeid",Methode_Keuze)),"",IF(ISNUMBER(FIND("arbeid",Methode_Keuze)),"",IF(Tb_Activiteiten[[#This Row],[Projectleider/Expert]]=1,Tb_Activiteiten[[#Headers],[Projectleider/Expert]],"")))</f>
        <v/>
      </c>
      <c r="AQ1231" t="str">
        <f>IF(ISNUMBER(FIND("arbeid",Methode_Keuze)),"",IF(ISNUMBER(FIND("arbeid",Methode_Keuze)),"",IF(Tb_Activiteiten[[#This Row],[Arbeidskosten]]=1,Tb_Activiteiten[[#Headers],[Arbeidskosten]],"")))</f>
        <v/>
      </c>
      <c r="AR1231" t="str">
        <f>IF(ISNUMBER(FIND("arbeid",Methode_Keuze)),"",IF(ISNUMBER(FIND("arbeid",Methode_Keuze)),"",IF(Tb_Activiteiten[[#This Row],[Arbeidskosten op basis van IKS]]=1,Tb_Activiteiten[[#Headers],[Arbeidskosten op basis van IKS]],"")))</f>
        <v/>
      </c>
      <c r="AS1231" t="str">
        <f>IF(ISNUMBER(FIND("overige",Methode_Keuze)),"",IF(Tb_Activiteiten[[#This Row],[Kosten derden exclusief btw]]=1,Tb_Activiteiten[[#Headers],[Kosten derden exclusief btw]],""))</f>
        <v/>
      </c>
      <c r="AT1231" t="str">
        <f>IF(ISNUMBER(FIND("overige",Methode_Keuze)),"",IF(Tb_Activiteiten[[#This Row],[Niet verrekenbare btw]]=1,Tb_Activiteiten[[#Headers],[Niet verrekenbare btw]],""))</f>
        <v/>
      </c>
      <c r="AU1231" t="str">
        <f>IF(ISNUMBER(FIND("overige",Methode_Keuze)),"",IF(Tb_Activiteiten[[#This Row],[Grondkosten]]=1,Tb_Activiteiten[[#Headers],[Grondkosten]],""))</f>
        <v/>
      </c>
      <c r="AV1231" t="str">
        <f>IF(ISNUMBER(FIND("overige",Methode_Keuze)),"",IF(Tb_Activiteiten[[#This Row],[Bijdrage in natura (overige)]]=1,Tb_Activiteiten[[#Headers],[Bijdrage in natura (overige)]],""))</f>
        <v/>
      </c>
      <c r="AW1231" t="str">
        <f>IF(ISNUMBER(FIND("overige",Methode_Keuze)),"",IF(Tb_Activiteiten[[#This Row],[Bijdrage in natura (vrijwilligers)]]=1,Tb_Activiteiten[[#Headers],[Bijdrage in natura (vrijwilligers)]],""))</f>
        <v/>
      </c>
      <c r="AX1231" t="str">
        <f>IF(ISNUMBER(FIND("overige",Methode_Keuze)),"",IF(Tb_Activiteiten[[#This Row],[Afschrijvingskosten]]=1,Tb_Activiteiten[[#Headers],[Afschrijvingskosten]],""))</f>
        <v/>
      </c>
      <c r="AY1231" t="str">
        <f>IF(ISNUMBER(FIND("overige",Methode_Keuze)),"",IF(Tb_Activiteiten[[#This Row],[Vergoeding]]=1,Tb_Activiteiten[[#Headers],[Vergoeding]],""))</f>
        <v/>
      </c>
      <c r="AZ1231" t="str">
        <f>IF(ISNUMBER(FIND("arbeid",Methode_Keuze)),"",IF(Tb_Activiteiten[[#This Row],[Arbeidskosten - vast tarief (excl eigen arbeid)]]=1,Tb_Activiteiten[[#Headers],[Arbeidskosten - vast tarief (excl eigen arbeid)]],""))</f>
        <v/>
      </c>
      <c r="BA1231" t="str">
        <f>IF(ISNUMBER(FIND("overige",Methode_Keuze)),"",IF(Tb_Activiteiten[[#This Row],[Overige kosten]]=1,Tb_Activiteiten[[#Headers],[Overige kosten]],""))</f>
        <v/>
      </c>
    </row>
    <row r="1232" spans="1:53" x14ac:dyDescent="0.25">
      <c r="A1232" s="139"/>
      <c r="B1232" s="139"/>
      <c r="C1232" s="139"/>
      <c r="D1232" s="139"/>
      <c r="E1232" s="139"/>
      <c r="F1232" s="139"/>
      <c r="G1232" s="139"/>
      <c r="O1232" s="56"/>
      <c r="Q1232" t="str">
        <f>IFERROR(IF(VLOOKUP(Tb_Activiteiten[[#This Row],[Openstelling]],Tb_Openstelling[],2,0)=1,1,""),"")</f>
        <v/>
      </c>
      <c r="AK1232" t="str">
        <f>IF(ISNUMBER(FIND("arbeid",Methode_Keuze)),"",IF(ISNUMBER(FIND("arbeid",Methode_Keuze)),"",IF(Tb_Activiteiten[[#This Row],[Loonkosten]]=1,Tb_Activiteiten[[#Headers],[Loonkosten]],"")))</f>
        <v/>
      </c>
      <c r="AL1232" t="str">
        <f>IF(ISNUMBER(FIND("arbeid",Methode_Keuze)),"",IF(ISNUMBER(FIND("arbeid",Methode_Keuze)),"",IF(Tb_Activiteiten[[#This Row],[Eigen arbeid]]=1,Tb_Activiteiten[[#Headers],[Eigen arbeid]],"")))</f>
        <v/>
      </c>
      <c r="AM1232" t="str">
        <f>IF(ISNUMBER(FIND("arbeid",Methode_Keuze)),"",IF(ISNUMBER(FIND("arbeid",Methode_Keuze)),"",IF(Tb_Activiteiten[[#This Row],[Projectmedewerker]]=1,Tb_Activiteiten[[#Headers],[Projectmedewerker]],"")))</f>
        <v/>
      </c>
      <c r="AN1232" t="str">
        <f>IF(ISNUMBER(FIND("arbeid",Methode_Keuze)),"",IF(ISNUMBER(FIND("arbeid",Methode_Keuze)),"",IF(Tb_Activiteiten[[#This Row],[Landbouwer]]=1,Tb_Activiteiten[[#Headers],[Landbouwer]],"")))</f>
        <v/>
      </c>
      <c r="AO1232" t="str">
        <f>IF(ISNUMBER(FIND("arbeid",Methode_Keuze)),"",IF(ISNUMBER(FIND("arbeid",Methode_Keuze)),"",IF(Tb_Activiteiten[[#This Row],[Adviseur]]=1,Tb_Activiteiten[[#Headers],[Adviseur]],"")))</f>
        <v/>
      </c>
      <c r="AP1232" t="str">
        <f>IF(ISNUMBER(FIND("arbeid",Methode_Keuze)),"",IF(ISNUMBER(FIND("arbeid",Methode_Keuze)),"",IF(Tb_Activiteiten[[#This Row],[Projectleider/Expert]]=1,Tb_Activiteiten[[#Headers],[Projectleider/Expert]],"")))</f>
        <v/>
      </c>
      <c r="AQ1232" t="str">
        <f>IF(ISNUMBER(FIND("arbeid",Methode_Keuze)),"",IF(ISNUMBER(FIND("arbeid",Methode_Keuze)),"",IF(Tb_Activiteiten[[#This Row],[Arbeidskosten]]=1,Tb_Activiteiten[[#Headers],[Arbeidskosten]],"")))</f>
        <v/>
      </c>
      <c r="AR1232" t="str">
        <f>IF(ISNUMBER(FIND("arbeid",Methode_Keuze)),"",IF(ISNUMBER(FIND("arbeid",Methode_Keuze)),"",IF(Tb_Activiteiten[[#This Row],[Arbeidskosten op basis van IKS]]=1,Tb_Activiteiten[[#Headers],[Arbeidskosten op basis van IKS]],"")))</f>
        <v/>
      </c>
      <c r="AS1232" t="str">
        <f>IF(ISNUMBER(FIND("overige",Methode_Keuze)),"",IF(Tb_Activiteiten[[#This Row],[Kosten derden exclusief btw]]=1,Tb_Activiteiten[[#Headers],[Kosten derden exclusief btw]],""))</f>
        <v/>
      </c>
      <c r="AT1232" t="str">
        <f>IF(ISNUMBER(FIND("overige",Methode_Keuze)),"",IF(Tb_Activiteiten[[#This Row],[Niet verrekenbare btw]]=1,Tb_Activiteiten[[#Headers],[Niet verrekenbare btw]],""))</f>
        <v/>
      </c>
      <c r="AU1232" t="str">
        <f>IF(ISNUMBER(FIND("overige",Methode_Keuze)),"",IF(Tb_Activiteiten[[#This Row],[Grondkosten]]=1,Tb_Activiteiten[[#Headers],[Grondkosten]],""))</f>
        <v/>
      </c>
      <c r="AV1232" t="str">
        <f>IF(ISNUMBER(FIND("overige",Methode_Keuze)),"",IF(Tb_Activiteiten[[#This Row],[Bijdrage in natura (overige)]]=1,Tb_Activiteiten[[#Headers],[Bijdrage in natura (overige)]],""))</f>
        <v/>
      </c>
      <c r="AW1232" t="str">
        <f>IF(ISNUMBER(FIND("overige",Methode_Keuze)),"",IF(Tb_Activiteiten[[#This Row],[Bijdrage in natura (vrijwilligers)]]=1,Tb_Activiteiten[[#Headers],[Bijdrage in natura (vrijwilligers)]],""))</f>
        <v/>
      </c>
      <c r="AX1232" t="str">
        <f>IF(ISNUMBER(FIND("overige",Methode_Keuze)),"",IF(Tb_Activiteiten[[#This Row],[Afschrijvingskosten]]=1,Tb_Activiteiten[[#Headers],[Afschrijvingskosten]],""))</f>
        <v/>
      </c>
      <c r="AY1232" t="str">
        <f>IF(ISNUMBER(FIND("overige",Methode_Keuze)),"",IF(Tb_Activiteiten[[#This Row],[Vergoeding]]=1,Tb_Activiteiten[[#Headers],[Vergoeding]],""))</f>
        <v/>
      </c>
      <c r="AZ1232" t="str">
        <f>IF(ISNUMBER(FIND("arbeid",Methode_Keuze)),"",IF(Tb_Activiteiten[[#This Row],[Arbeidskosten - vast tarief (excl eigen arbeid)]]=1,Tb_Activiteiten[[#Headers],[Arbeidskosten - vast tarief (excl eigen arbeid)]],""))</f>
        <v/>
      </c>
      <c r="BA1232" t="str">
        <f>IF(ISNUMBER(FIND("overige",Methode_Keuze)),"",IF(Tb_Activiteiten[[#This Row],[Overige kosten]]=1,Tb_Activiteiten[[#Headers],[Overige kosten]],""))</f>
        <v/>
      </c>
    </row>
    <row r="1233" spans="1:53" x14ac:dyDescent="0.25">
      <c r="A1233" s="139"/>
      <c r="B1233" s="139"/>
      <c r="C1233" s="139"/>
      <c r="D1233" s="139"/>
      <c r="E1233" s="139"/>
      <c r="F1233" s="139"/>
      <c r="G1233" s="139"/>
      <c r="O1233" s="56"/>
      <c r="Q1233" t="str">
        <f>IFERROR(IF(VLOOKUP(Tb_Activiteiten[[#This Row],[Openstelling]],Tb_Openstelling[],2,0)=1,1,""),"")</f>
        <v/>
      </c>
      <c r="AK1233" t="str">
        <f>IF(ISNUMBER(FIND("arbeid",Methode_Keuze)),"",IF(ISNUMBER(FIND("arbeid",Methode_Keuze)),"",IF(Tb_Activiteiten[[#This Row],[Loonkosten]]=1,Tb_Activiteiten[[#Headers],[Loonkosten]],"")))</f>
        <v/>
      </c>
      <c r="AL1233" t="str">
        <f>IF(ISNUMBER(FIND("arbeid",Methode_Keuze)),"",IF(ISNUMBER(FIND("arbeid",Methode_Keuze)),"",IF(Tb_Activiteiten[[#This Row],[Eigen arbeid]]=1,Tb_Activiteiten[[#Headers],[Eigen arbeid]],"")))</f>
        <v/>
      </c>
      <c r="AM1233" t="str">
        <f>IF(ISNUMBER(FIND("arbeid",Methode_Keuze)),"",IF(ISNUMBER(FIND("arbeid",Methode_Keuze)),"",IF(Tb_Activiteiten[[#This Row],[Projectmedewerker]]=1,Tb_Activiteiten[[#Headers],[Projectmedewerker]],"")))</f>
        <v/>
      </c>
      <c r="AN1233" t="str">
        <f>IF(ISNUMBER(FIND("arbeid",Methode_Keuze)),"",IF(ISNUMBER(FIND("arbeid",Methode_Keuze)),"",IF(Tb_Activiteiten[[#This Row],[Landbouwer]]=1,Tb_Activiteiten[[#Headers],[Landbouwer]],"")))</f>
        <v/>
      </c>
      <c r="AO1233" t="str">
        <f>IF(ISNUMBER(FIND("arbeid",Methode_Keuze)),"",IF(ISNUMBER(FIND("arbeid",Methode_Keuze)),"",IF(Tb_Activiteiten[[#This Row],[Adviseur]]=1,Tb_Activiteiten[[#Headers],[Adviseur]],"")))</f>
        <v/>
      </c>
      <c r="AP1233" t="str">
        <f>IF(ISNUMBER(FIND("arbeid",Methode_Keuze)),"",IF(ISNUMBER(FIND("arbeid",Methode_Keuze)),"",IF(Tb_Activiteiten[[#This Row],[Projectleider/Expert]]=1,Tb_Activiteiten[[#Headers],[Projectleider/Expert]],"")))</f>
        <v/>
      </c>
      <c r="AQ1233" t="str">
        <f>IF(ISNUMBER(FIND("arbeid",Methode_Keuze)),"",IF(ISNUMBER(FIND("arbeid",Methode_Keuze)),"",IF(Tb_Activiteiten[[#This Row],[Arbeidskosten]]=1,Tb_Activiteiten[[#Headers],[Arbeidskosten]],"")))</f>
        <v/>
      </c>
      <c r="AR1233" t="str">
        <f>IF(ISNUMBER(FIND("arbeid",Methode_Keuze)),"",IF(ISNUMBER(FIND("arbeid",Methode_Keuze)),"",IF(Tb_Activiteiten[[#This Row],[Arbeidskosten op basis van IKS]]=1,Tb_Activiteiten[[#Headers],[Arbeidskosten op basis van IKS]],"")))</f>
        <v/>
      </c>
      <c r="AS1233" t="str">
        <f>IF(ISNUMBER(FIND("overige",Methode_Keuze)),"",IF(Tb_Activiteiten[[#This Row],[Kosten derden exclusief btw]]=1,Tb_Activiteiten[[#Headers],[Kosten derden exclusief btw]],""))</f>
        <v/>
      </c>
      <c r="AT1233" t="str">
        <f>IF(ISNUMBER(FIND("overige",Methode_Keuze)),"",IF(Tb_Activiteiten[[#This Row],[Niet verrekenbare btw]]=1,Tb_Activiteiten[[#Headers],[Niet verrekenbare btw]],""))</f>
        <v/>
      </c>
      <c r="AU1233" t="str">
        <f>IF(ISNUMBER(FIND("overige",Methode_Keuze)),"",IF(Tb_Activiteiten[[#This Row],[Grondkosten]]=1,Tb_Activiteiten[[#Headers],[Grondkosten]],""))</f>
        <v/>
      </c>
      <c r="AV1233" t="str">
        <f>IF(ISNUMBER(FIND("overige",Methode_Keuze)),"",IF(Tb_Activiteiten[[#This Row],[Bijdrage in natura (overige)]]=1,Tb_Activiteiten[[#Headers],[Bijdrage in natura (overige)]],""))</f>
        <v/>
      </c>
      <c r="AW1233" t="str">
        <f>IF(ISNUMBER(FIND("overige",Methode_Keuze)),"",IF(Tb_Activiteiten[[#This Row],[Bijdrage in natura (vrijwilligers)]]=1,Tb_Activiteiten[[#Headers],[Bijdrage in natura (vrijwilligers)]],""))</f>
        <v/>
      </c>
      <c r="AX1233" t="str">
        <f>IF(ISNUMBER(FIND("overige",Methode_Keuze)),"",IF(Tb_Activiteiten[[#This Row],[Afschrijvingskosten]]=1,Tb_Activiteiten[[#Headers],[Afschrijvingskosten]],""))</f>
        <v/>
      </c>
      <c r="AY1233" t="str">
        <f>IF(ISNUMBER(FIND("overige",Methode_Keuze)),"",IF(Tb_Activiteiten[[#This Row],[Vergoeding]]=1,Tb_Activiteiten[[#Headers],[Vergoeding]],""))</f>
        <v/>
      </c>
      <c r="AZ1233" t="str">
        <f>IF(ISNUMBER(FIND("arbeid",Methode_Keuze)),"",IF(Tb_Activiteiten[[#This Row],[Arbeidskosten - vast tarief (excl eigen arbeid)]]=1,Tb_Activiteiten[[#Headers],[Arbeidskosten - vast tarief (excl eigen arbeid)]],""))</f>
        <v/>
      </c>
      <c r="BA1233" t="str">
        <f>IF(ISNUMBER(FIND("overige",Methode_Keuze)),"",IF(Tb_Activiteiten[[#This Row],[Overige kosten]]=1,Tb_Activiteiten[[#Headers],[Overige kosten]],""))</f>
        <v/>
      </c>
    </row>
    <row r="1234" spans="1:53" x14ac:dyDescent="0.25">
      <c r="A1234" s="139"/>
      <c r="B1234" s="139"/>
      <c r="C1234" s="139"/>
      <c r="D1234" s="139"/>
      <c r="E1234" s="139"/>
      <c r="F1234" s="139"/>
      <c r="G1234" s="139"/>
      <c r="O1234" s="56"/>
      <c r="Q1234" t="str">
        <f>IFERROR(IF(VLOOKUP(Tb_Activiteiten[[#This Row],[Openstelling]],Tb_Openstelling[],2,0)=1,1,""),"")</f>
        <v/>
      </c>
      <c r="AK1234" t="str">
        <f>IF(ISNUMBER(FIND("arbeid",Methode_Keuze)),"",IF(ISNUMBER(FIND("arbeid",Methode_Keuze)),"",IF(Tb_Activiteiten[[#This Row],[Loonkosten]]=1,Tb_Activiteiten[[#Headers],[Loonkosten]],"")))</f>
        <v/>
      </c>
      <c r="AL1234" t="str">
        <f>IF(ISNUMBER(FIND("arbeid",Methode_Keuze)),"",IF(ISNUMBER(FIND("arbeid",Methode_Keuze)),"",IF(Tb_Activiteiten[[#This Row],[Eigen arbeid]]=1,Tb_Activiteiten[[#Headers],[Eigen arbeid]],"")))</f>
        <v/>
      </c>
      <c r="AM1234" t="str">
        <f>IF(ISNUMBER(FIND("arbeid",Methode_Keuze)),"",IF(ISNUMBER(FIND("arbeid",Methode_Keuze)),"",IF(Tb_Activiteiten[[#This Row],[Projectmedewerker]]=1,Tb_Activiteiten[[#Headers],[Projectmedewerker]],"")))</f>
        <v/>
      </c>
      <c r="AN1234" t="str">
        <f>IF(ISNUMBER(FIND("arbeid",Methode_Keuze)),"",IF(ISNUMBER(FIND("arbeid",Methode_Keuze)),"",IF(Tb_Activiteiten[[#This Row],[Landbouwer]]=1,Tb_Activiteiten[[#Headers],[Landbouwer]],"")))</f>
        <v/>
      </c>
      <c r="AO1234" t="str">
        <f>IF(ISNUMBER(FIND("arbeid",Methode_Keuze)),"",IF(ISNUMBER(FIND("arbeid",Methode_Keuze)),"",IF(Tb_Activiteiten[[#This Row],[Adviseur]]=1,Tb_Activiteiten[[#Headers],[Adviseur]],"")))</f>
        <v/>
      </c>
      <c r="AP1234" t="str">
        <f>IF(ISNUMBER(FIND("arbeid",Methode_Keuze)),"",IF(ISNUMBER(FIND("arbeid",Methode_Keuze)),"",IF(Tb_Activiteiten[[#This Row],[Projectleider/Expert]]=1,Tb_Activiteiten[[#Headers],[Projectleider/Expert]],"")))</f>
        <v/>
      </c>
      <c r="AQ1234" t="str">
        <f>IF(ISNUMBER(FIND("arbeid",Methode_Keuze)),"",IF(ISNUMBER(FIND("arbeid",Methode_Keuze)),"",IF(Tb_Activiteiten[[#This Row],[Arbeidskosten]]=1,Tb_Activiteiten[[#Headers],[Arbeidskosten]],"")))</f>
        <v/>
      </c>
      <c r="AR1234" t="str">
        <f>IF(ISNUMBER(FIND("arbeid",Methode_Keuze)),"",IF(ISNUMBER(FIND("arbeid",Methode_Keuze)),"",IF(Tb_Activiteiten[[#This Row],[Arbeidskosten op basis van IKS]]=1,Tb_Activiteiten[[#Headers],[Arbeidskosten op basis van IKS]],"")))</f>
        <v/>
      </c>
      <c r="AS1234" t="str">
        <f>IF(ISNUMBER(FIND("overige",Methode_Keuze)),"",IF(Tb_Activiteiten[[#This Row],[Kosten derden exclusief btw]]=1,Tb_Activiteiten[[#Headers],[Kosten derden exclusief btw]],""))</f>
        <v/>
      </c>
      <c r="AT1234" t="str">
        <f>IF(ISNUMBER(FIND("overige",Methode_Keuze)),"",IF(Tb_Activiteiten[[#This Row],[Niet verrekenbare btw]]=1,Tb_Activiteiten[[#Headers],[Niet verrekenbare btw]],""))</f>
        <v/>
      </c>
      <c r="AU1234" t="str">
        <f>IF(ISNUMBER(FIND("overige",Methode_Keuze)),"",IF(Tb_Activiteiten[[#This Row],[Grondkosten]]=1,Tb_Activiteiten[[#Headers],[Grondkosten]],""))</f>
        <v/>
      </c>
      <c r="AV1234" t="str">
        <f>IF(ISNUMBER(FIND("overige",Methode_Keuze)),"",IF(Tb_Activiteiten[[#This Row],[Bijdrage in natura (overige)]]=1,Tb_Activiteiten[[#Headers],[Bijdrage in natura (overige)]],""))</f>
        <v/>
      </c>
      <c r="AW1234" t="str">
        <f>IF(ISNUMBER(FIND("overige",Methode_Keuze)),"",IF(Tb_Activiteiten[[#This Row],[Bijdrage in natura (vrijwilligers)]]=1,Tb_Activiteiten[[#Headers],[Bijdrage in natura (vrijwilligers)]],""))</f>
        <v/>
      </c>
      <c r="AX1234" t="str">
        <f>IF(ISNUMBER(FIND("overige",Methode_Keuze)),"",IF(Tb_Activiteiten[[#This Row],[Afschrijvingskosten]]=1,Tb_Activiteiten[[#Headers],[Afschrijvingskosten]],""))</f>
        <v/>
      </c>
      <c r="AY1234" t="str">
        <f>IF(ISNUMBER(FIND("overige",Methode_Keuze)),"",IF(Tb_Activiteiten[[#This Row],[Vergoeding]]=1,Tb_Activiteiten[[#Headers],[Vergoeding]],""))</f>
        <v/>
      </c>
      <c r="AZ1234" t="str">
        <f>IF(ISNUMBER(FIND("arbeid",Methode_Keuze)),"",IF(Tb_Activiteiten[[#This Row],[Arbeidskosten - vast tarief (excl eigen arbeid)]]=1,Tb_Activiteiten[[#Headers],[Arbeidskosten - vast tarief (excl eigen arbeid)]],""))</f>
        <v/>
      </c>
      <c r="BA1234" t="str">
        <f>IF(ISNUMBER(FIND("overige",Methode_Keuze)),"",IF(Tb_Activiteiten[[#This Row],[Overige kosten]]=1,Tb_Activiteiten[[#Headers],[Overige kosten]],""))</f>
        <v/>
      </c>
    </row>
    <row r="1235" spans="1:53" x14ac:dyDescent="0.25">
      <c r="A1235" s="139"/>
      <c r="B1235" s="139"/>
      <c r="C1235" s="139"/>
      <c r="D1235" s="139"/>
      <c r="E1235" s="139"/>
      <c r="F1235" s="139"/>
      <c r="G1235" s="139"/>
      <c r="O1235" s="56"/>
      <c r="Q1235" t="str">
        <f>IFERROR(IF(VLOOKUP(Tb_Activiteiten[[#This Row],[Openstelling]],Tb_Openstelling[],2,0)=1,1,""),"")</f>
        <v/>
      </c>
      <c r="AK1235" t="str">
        <f>IF(ISNUMBER(FIND("arbeid",Methode_Keuze)),"",IF(ISNUMBER(FIND("arbeid",Methode_Keuze)),"",IF(Tb_Activiteiten[[#This Row],[Loonkosten]]=1,Tb_Activiteiten[[#Headers],[Loonkosten]],"")))</f>
        <v/>
      </c>
      <c r="AL1235" t="str">
        <f>IF(ISNUMBER(FIND("arbeid",Methode_Keuze)),"",IF(ISNUMBER(FIND("arbeid",Methode_Keuze)),"",IF(Tb_Activiteiten[[#This Row],[Eigen arbeid]]=1,Tb_Activiteiten[[#Headers],[Eigen arbeid]],"")))</f>
        <v/>
      </c>
      <c r="AM1235" t="str">
        <f>IF(ISNUMBER(FIND("arbeid",Methode_Keuze)),"",IF(ISNUMBER(FIND("arbeid",Methode_Keuze)),"",IF(Tb_Activiteiten[[#This Row],[Projectmedewerker]]=1,Tb_Activiteiten[[#Headers],[Projectmedewerker]],"")))</f>
        <v/>
      </c>
      <c r="AN1235" t="str">
        <f>IF(ISNUMBER(FIND("arbeid",Methode_Keuze)),"",IF(ISNUMBER(FIND("arbeid",Methode_Keuze)),"",IF(Tb_Activiteiten[[#This Row],[Landbouwer]]=1,Tb_Activiteiten[[#Headers],[Landbouwer]],"")))</f>
        <v/>
      </c>
      <c r="AO1235" t="str">
        <f>IF(ISNUMBER(FIND("arbeid",Methode_Keuze)),"",IF(ISNUMBER(FIND("arbeid",Methode_Keuze)),"",IF(Tb_Activiteiten[[#This Row],[Adviseur]]=1,Tb_Activiteiten[[#Headers],[Adviseur]],"")))</f>
        <v/>
      </c>
      <c r="AP1235" t="str">
        <f>IF(ISNUMBER(FIND("arbeid",Methode_Keuze)),"",IF(ISNUMBER(FIND("arbeid",Methode_Keuze)),"",IF(Tb_Activiteiten[[#This Row],[Projectleider/Expert]]=1,Tb_Activiteiten[[#Headers],[Projectleider/Expert]],"")))</f>
        <v/>
      </c>
      <c r="AQ1235" t="str">
        <f>IF(ISNUMBER(FIND("arbeid",Methode_Keuze)),"",IF(ISNUMBER(FIND("arbeid",Methode_Keuze)),"",IF(Tb_Activiteiten[[#This Row],[Arbeidskosten]]=1,Tb_Activiteiten[[#Headers],[Arbeidskosten]],"")))</f>
        <v/>
      </c>
      <c r="AR1235" t="str">
        <f>IF(ISNUMBER(FIND("arbeid",Methode_Keuze)),"",IF(ISNUMBER(FIND("arbeid",Methode_Keuze)),"",IF(Tb_Activiteiten[[#This Row],[Arbeidskosten op basis van IKS]]=1,Tb_Activiteiten[[#Headers],[Arbeidskosten op basis van IKS]],"")))</f>
        <v/>
      </c>
      <c r="AS1235" t="str">
        <f>IF(ISNUMBER(FIND("overige",Methode_Keuze)),"",IF(Tb_Activiteiten[[#This Row],[Kosten derden exclusief btw]]=1,Tb_Activiteiten[[#Headers],[Kosten derden exclusief btw]],""))</f>
        <v/>
      </c>
      <c r="AT1235" t="str">
        <f>IF(ISNUMBER(FIND("overige",Methode_Keuze)),"",IF(Tb_Activiteiten[[#This Row],[Niet verrekenbare btw]]=1,Tb_Activiteiten[[#Headers],[Niet verrekenbare btw]],""))</f>
        <v/>
      </c>
      <c r="AU1235" t="str">
        <f>IF(ISNUMBER(FIND("overige",Methode_Keuze)),"",IF(Tb_Activiteiten[[#This Row],[Grondkosten]]=1,Tb_Activiteiten[[#Headers],[Grondkosten]],""))</f>
        <v/>
      </c>
      <c r="AV1235" t="str">
        <f>IF(ISNUMBER(FIND("overige",Methode_Keuze)),"",IF(Tb_Activiteiten[[#This Row],[Bijdrage in natura (overige)]]=1,Tb_Activiteiten[[#Headers],[Bijdrage in natura (overige)]],""))</f>
        <v/>
      </c>
      <c r="AW1235" t="str">
        <f>IF(ISNUMBER(FIND("overige",Methode_Keuze)),"",IF(Tb_Activiteiten[[#This Row],[Bijdrage in natura (vrijwilligers)]]=1,Tb_Activiteiten[[#Headers],[Bijdrage in natura (vrijwilligers)]],""))</f>
        <v/>
      </c>
      <c r="AX1235" t="str">
        <f>IF(ISNUMBER(FIND("overige",Methode_Keuze)),"",IF(Tb_Activiteiten[[#This Row],[Afschrijvingskosten]]=1,Tb_Activiteiten[[#Headers],[Afschrijvingskosten]],""))</f>
        <v/>
      </c>
      <c r="AY1235" t="str">
        <f>IF(ISNUMBER(FIND("overige",Methode_Keuze)),"",IF(Tb_Activiteiten[[#This Row],[Vergoeding]]=1,Tb_Activiteiten[[#Headers],[Vergoeding]],""))</f>
        <v/>
      </c>
      <c r="AZ1235" t="str">
        <f>IF(ISNUMBER(FIND("arbeid",Methode_Keuze)),"",IF(Tb_Activiteiten[[#This Row],[Arbeidskosten - vast tarief (excl eigen arbeid)]]=1,Tb_Activiteiten[[#Headers],[Arbeidskosten - vast tarief (excl eigen arbeid)]],""))</f>
        <v/>
      </c>
      <c r="BA1235" t="str">
        <f>IF(ISNUMBER(FIND("overige",Methode_Keuze)),"",IF(Tb_Activiteiten[[#This Row],[Overige kosten]]=1,Tb_Activiteiten[[#Headers],[Overige kosten]],""))</f>
        <v/>
      </c>
    </row>
    <row r="1236" spans="1:53" x14ac:dyDescent="0.25">
      <c r="A1236" s="139"/>
      <c r="B1236" s="139"/>
      <c r="C1236" s="139"/>
      <c r="D1236" s="139"/>
      <c r="E1236" s="139"/>
      <c r="F1236" s="139"/>
      <c r="G1236" s="139"/>
      <c r="O1236" s="56"/>
      <c r="Q1236" t="str">
        <f>IFERROR(IF(VLOOKUP(Tb_Activiteiten[[#This Row],[Openstelling]],Tb_Openstelling[],2,0)=1,1,""),"")</f>
        <v/>
      </c>
      <c r="AK1236" t="str">
        <f>IF(ISNUMBER(FIND("arbeid",Methode_Keuze)),"",IF(ISNUMBER(FIND("arbeid",Methode_Keuze)),"",IF(Tb_Activiteiten[[#This Row],[Loonkosten]]=1,Tb_Activiteiten[[#Headers],[Loonkosten]],"")))</f>
        <v/>
      </c>
      <c r="AL1236" t="str">
        <f>IF(ISNUMBER(FIND("arbeid",Methode_Keuze)),"",IF(ISNUMBER(FIND("arbeid",Methode_Keuze)),"",IF(Tb_Activiteiten[[#This Row],[Eigen arbeid]]=1,Tb_Activiteiten[[#Headers],[Eigen arbeid]],"")))</f>
        <v/>
      </c>
      <c r="AM1236" t="str">
        <f>IF(ISNUMBER(FIND("arbeid",Methode_Keuze)),"",IF(ISNUMBER(FIND("arbeid",Methode_Keuze)),"",IF(Tb_Activiteiten[[#This Row],[Projectmedewerker]]=1,Tb_Activiteiten[[#Headers],[Projectmedewerker]],"")))</f>
        <v/>
      </c>
      <c r="AN1236" t="str">
        <f>IF(ISNUMBER(FIND("arbeid",Methode_Keuze)),"",IF(ISNUMBER(FIND("arbeid",Methode_Keuze)),"",IF(Tb_Activiteiten[[#This Row],[Landbouwer]]=1,Tb_Activiteiten[[#Headers],[Landbouwer]],"")))</f>
        <v/>
      </c>
      <c r="AO1236" t="str">
        <f>IF(ISNUMBER(FIND("arbeid",Methode_Keuze)),"",IF(ISNUMBER(FIND("arbeid",Methode_Keuze)),"",IF(Tb_Activiteiten[[#This Row],[Adviseur]]=1,Tb_Activiteiten[[#Headers],[Adviseur]],"")))</f>
        <v/>
      </c>
      <c r="AP1236" t="str">
        <f>IF(ISNUMBER(FIND("arbeid",Methode_Keuze)),"",IF(ISNUMBER(FIND("arbeid",Methode_Keuze)),"",IF(Tb_Activiteiten[[#This Row],[Projectleider/Expert]]=1,Tb_Activiteiten[[#Headers],[Projectleider/Expert]],"")))</f>
        <v/>
      </c>
      <c r="AQ1236" t="str">
        <f>IF(ISNUMBER(FIND("arbeid",Methode_Keuze)),"",IF(ISNUMBER(FIND("arbeid",Methode_Keuze)),"",IF(Tb_Activiteiten[[#This Row],[Arbeidskosten]]=1,Tb_Activiteiten[[#Headers],[Arbeidskosten]],"")))</f>
        <v/>
      </c>
      <c r="AR1236" t="str">
        <f>IF(ISNUMBER(FIND("arbeid",Methode_Keuze)),"",IF(ISNUMBER(FIND("arbeid",Methode_Keuze)),"",IF(Tb_Activiteiten[[#This Row],[Arbeidskosten op basis van IKS]]=1,Tb_Activiteiten[[#Headers],[Arbeidskosten op basis van IKS]],"")))</f>
        <v/>
      </c>
      <c r="AS1236" t="str">
        <f>IF(ISNUMBER(FIND("overige",Methode_Keuze)),"",IF(Tb_Activiteiten[[#This Row],[Kosten derden exclusief btw]]=1,Tb_Activiteiten[[#Headers],[Kosten derden exclusief btw]],""))</f>
        <v/>
      </c>
      <c r="AT1236" t="str">
        <f>IF(ISNUMBER(FIND("overige",Methode_Keuze)),"",IF(Tb_Activiteiten[[#This Row],[Niet verrekenbare btw]]=1,Tb_Activiteiten[[#Headers],[Niet verrekenbare btw]],""))</f>
        <v/>
      </c>
      <c r="AU1236" t="str">
        <f>IF(ISNUMBER(FIND("overige",Methode_Keuze)),"",IF(Tb_Activiteiten[[#This Row],[Grondkosten]]=1,Tb_Activiteiten[[#Headers],[Grondkosten]],""))</f>
        <v/>
      </c>
      <c r="AV1236" t="str">
        <f>IF(ISNUMBER(FIND("overige",Methode_Keuze)),"",IF(Tb_Activiteiten[[#This Row],[Bijdrage in natura (overige)]]=1,Tb_Activiteiten[[#Headers],[Bijdrage in natura (overige)]],""))</f>
        <v/>
      </c>
      <c r="AW1236" t="str">
        <f>IF(ISNUMBER(FIND("overige",Methode_Keuze)),"",IF(Tb_Activiteiten[[#This Row],[Bijdrage in natura (vrijwilligers)]]=1,Tb_Activiteiten[[#Headers],[Bijdrage in natura (vrijwilligers)]],""))</f>
        <v/>
      </c>
      <c r="AX1236" t="str">
        <f>IF(ISNUMBER(FIND("overige",Methode_Keuze)),"",IF(Tb_Activiteiten[[#This Row],[Afschrijvingskosten]]=1,Tb_Activiteiten[[#Headers],[Afschrijvingskosten]],""))</f>
        <v/>
      </c>
      <c r="AY1236" t="str">
        <f>IF(ISNUMBER(FIND("overige",Methode_Keuze)),"",IF(Tb_Activiteiten[[#This Row],[Vergoeding]]=1,Tb_Activiteiten[[#Headers],[Vergoeding]],""))</f>
        <v/>
      </c>
      <c r="AZ1236" t="str">
        <f>IF(ISNUMBER(FIND("arbeid",Methode_Keuze)),"",IF(Tb_Activiteiten[[#This Row],[Arbeidskosten - vast tarief (excl eigen arbeid)]]=1,Tb_Activiteiten[[#Headers],[Arbeidskosten - vast tarief (excl eigen arbeid)]],""))</f>
        <v/>
      </c>
      <c r="BA1236" t="str">
        <f>IF(ISNUMBER(FIND("overige",Methode_Keuze)),"",IF(Tb_Activiteiten[[#This Row],[Overige kosten]]=1,Tb_Activiteiten[[#Headers],[Overige kosten]],""))</f>
        <v/>
      </c>
    </row>
    <row r="1237" spans="1:53" x14ac:dyDescent="0.25">
      <c r="A1237" s="139"/>
      <c r="B1237" s="139"/>
      <c r="C1237" s="139"/>
      <c r="D1237" s="139"/>
      <c r="E1237" s="139"/>
      <c r="F1237" s="139"/>
      <c r="G1237" s="139"/>
      <c r="O1237" s="56"/>
      <c r="Q1237" t="str">
        <f>IFERROR(IF(VLOOKUP(Tb_Activiteiten[[#This Row],[Openstelling]],Tb_Openstelling[],2,0)=1,1,""),"")</f>
        <v/>
      </c>
      <c r="AK1237" t="str">
        <f>IF(ISNUMBER(FIND("arbeid",Methode_Keuze)),"",IF(ISNUMBER(FIND("arbeid",Methode_Keuze)),"",IF(Tb_Activiteiten[[#This Row],[Loonkosten]]=1,Tb_Activiteiten[[#Headers],[Loonkosten]],"")))</f>
        <v/>
      </c>
      <c r="AL1237" t="str">
        <f>IF(ISNUMBER(FIND("arbeid",Methode_Keuze)),"",IF(ISNUMBER(FIND("arbeid",Methode_Keuze)),"",IF(Tb_Activiteiten[[#This Row],[Eigen arbeid]]=1,Tb_Activiteiten[[#Headers],[Eigen arbeid]],"")))</f>
        <v/>
      </c>
      <c r="AM1237" t="str">
        <f>IF(ISNUMBER(FIND("arbeid",Methode_Keuze)),"",IF(ISNUMBER(FIND("arbeid",Methode_Keuze)),"",IF(Tb_Activiteiten[[#This Row],[Projectmedewerker]]=1,Tb_Activiteiten[[#Headers],[Projectmedewerker]],"")))</f>
        <v/>
      </c>
      <c r="AN1237" t="str">
        <f>IF(ISNUMBER(FIND("arbeid",Methode_Keuze)),"",IF(ISNUMBER(FIND("arbeid",Methode_Keuze)),"",IF(Tb_Activiteiten[[#This Row],[Landbouwer]]=1,Tb_Activiteiten[[#Headers],[Landbouwer]],"")))</f>
        <v/>
      </c>
      <c r="AO1237" t="str">
        <f>IF(ISNUMBER(FIND("arbeid",Methode_Keuze)),"",IF(ISNUMBER(FIND("arbeid",Methode_Keuze)),"",IF(Tb_Activiteiten[[#This Row],[Adviseur]]=1,Tb_Activiteiten[[#Headers],[Adviseur]],"")))</f>
        <v/>
      </c>
      <c r="AP1237" t="str">
        <f>IF(ISNUMBER(FIND("arbeid",Methode_Keuze)),"",IF(ISNUMBER(FIND("arbeid",Methode_Keuze)),"",IF(Tb_Activiteiten[[#This Row],[Projectleider/Expert]]=1,Tb_Activiteiten[[#Headers],[Projectleider/Expert]],"")))</f>
        <v/>
      </c>
      <c r="AQ1237" t="str">
        <f>IF(ISNUMBER(FIND("arbeid",Methode_Keuze)),"",IF(ISNUMBER(FIND("arbeid",Methode_Keuze)),"",IF(Tb_Activiteiten[[#This Row],[Arbeidskosten]]=1,Tb_Activiteiten[[#Headers],[Arbeidskosten]],"")))</f>
        <v/>
      </c>
      <c r="AR1237" t="str">
        <f>IF(ISNUMBER(FIND("arbeid",Methode_Keuze)),"",IF(ISNUMBER(FIND("arbeid",Methode_Keuze)),"",IF(Tb_Activiteiten[[#This Row],[Arbeidskosten op basis van IKS]]=1,Tb_Activiteiten[[#Headers],[Arbeidskosten op basis van IKS]],"")))</f>
        <v/>
      </c>
      <c r="AS1237" t="str">
        <f>IF(ISNUMBER(FIND("overige",Methode_Keuze)),"",IF(Tb_Activiteiten[[#This Row],[Kosten derden exclusief btw]]=1,Tb_Activiteiten[[#Headers],[Kosten derden exclusief btw]],""))</f>
        <v/>
      </c>
      <c r="AT1237" t="str">
        <f>IF(ISNUMBER(FIND("overige",Methode_Keuze)),"",IF(Tb_Activiteiten[[#This Row],[Niet verrekenbare btw]]=1,Tb_Activiteiten[[#Headers],[Niet verrekenbare btw]],""))</f>
        <v/>
      </c>
      <c r="AU1237" t="str">
        <f>IF(ISNUMBER(FIND("overige",Methode_Keuze)),"",IF(Tb_Activiteiten[[#This Row],[Grondkosten]]=1,Tb_Activiteiten[[#Headers],[Grondkosten]],""))</f>
        <v/>
      </c>
      <c r="AV1237" t="str">
        <f>IF(ISNUMBER(FIND("overige",Methode_Keuze)),"",IF(Tb_Activiteiten[[#This Row],[Bijdrage in natura (overige)]]=1,Tb_Activiteiten[[#Headers],[Bijdrage in natura (overige)]],""))</f>
        <v/>
      </c>
      <c r="AW1237" t="str">
        <f>IF(ISNUMBER(FIND("overige",Methode_Keuze)),"",IF(Tb_Activiteiten[[#This Row],[Bijdrage in natura (vrijwilligers)]]=1,Tb_Activiteiten[[#Headers],[Bijdrage in natura (vrijwilligers)]],""))</f>
        <v/>
      </c>
      <c r="AX1237" t="str">
        <f>IF(ISNUMBER(FIND("overige",Methode_Keuze)),"",IF(Tb_Activiteiten[[#This Row],[Afschrijvingskosten]]=1,Tb_Activiteiten[[#Headers],[Afschrijvingskosten]],""))</f>
        <v/>
      </c>
      <c r="AY1237" t="str">
        <f>IF(ISNUMBER(FIND("overige",Methode_Keuze)),"",IF(Tb_Activiteiten[[#This Row],[Vergoeding]]=1,Tb_Activiteiten[[#Headers],[Vergoeding]],""))</f>
        <v/>
      </c>
      <c r="AZ1237" t="str">
        <f>IF(ISNUMBER(FIND("arbeid",Methode_Keuze)),"",IF(Tb_Activiteiten[[#This Row],[Arbeidskosten - vast tarief (excl eigen arbeid)]]=1,Tb_Activiteiten[[#Headers],[Arbeidskosten - vast tarief (excl eigen arbeid)]],""))</f>
        <v/>
      </c>
      <c r="BA1237" t="str">
        <f>IF(ISNUMBER(FIND("overige",Methode_Keuze)),"",IF(Tb_Activiteiten[[#This Row],[Overige kosten]]=1,Tb_Activiteiten[[#Headers],[Overige kosten]],""))</f>
        <v/>
      </c>
    </row>
    <row r="1238" spans="1:53" x14ac:dyDescent="0.25">
      <c r="A1238" s="139"/>
      <c r="B1238" s="139"/>
      <c r="C1238" s="139"/>
      <c r="D1238" s="139"/>
      <c r="E1238" s="139"/>
      <c r="F1238" s="139"/>
      <c r="G1238" s="139"/>
      <c r="O1238" s="56"/>
      <c r="Q1238" t="str">
        <f>IFERROR(IF(VLOOKUP(Tb_Activiteiten[[#This Row],[Openstelling]],Tb_Openstelling[],2,0)=1,1,""),"")</f>
        <v/>
      </c>
      <c r="AK1238" t="str">
        <f>IF(ISNUMBER(FIND("arbeid",Methode_Keuze)),"",IF(ISNUMBER(FIND("arbeid",Methode_Keuze)),"",IF(Tb_Activiteiten[[#This Row],[Loonkosten]]=1,Tb_Activiteiten[[#Headers],[Loonkosten]],"")))</f>
        <v/>
      </c>
      <c r="AL1238" t="str">
        <f>IF(ISNUMBER(FIND("arbeid",Methode_Keuze)),"",IF(ISNUMBER(FIND("arbeid",Methode_Keuze)),"",IF(Tb_Activiteiten[[#This Row],[Eigen arbeid]]=1,Tb_Activiteiten[[#Headers],[Eigen arbeid]],"")))</f>
        <v/>
      </c>
      <c r="AM1238" t="str">
        <f>IF(ISNUMBER(FIND("arbeid",Methode_Keuze)),"",IF(ISNUMBER(FIND("arbeid",Methode_Keuze)),"",IF(Tb_Activiteiten[[#This Row],[Projectmedewerker]]=1,Tb_Activiteiten[[#Headers],[Projectmedewerker]],"")))</f>
        <v/>
      </c>
      <c r="AN1238" t="str">
        <f>IF(ISNUMBER(FIND("arbeid",Methode_Keuze)),"",IF(ISNUMBER(FIND("arbeid",Methode_Keuze)),"",IF(Tb_Activiteiten[[#This Row],[Landbouwer]]=1,Tb_Activiteiten[[#Headers],[Landbouwer]],"")))</f>
        <v/>
      </c>
      <c r="AO1238" t="str">
        <f>IF(ISNUMBER(FIND("arbeid",Methode_Keuze)),"",IF(ISNUMBER(FIND("arbeid",Methode_Keuze)),"",IF(Tb_Activiteiten[[#This Row],[Adviseur]]=1,Tb_Activiteiten[[#Headers],[Adviseur]],"")))</f>
        <v/>
      </c>
      <c r="AP1238" t="str">
        <f>IF(ISNUMBER(FIND("arbeid",Methode_Keuze)),"",IF(ISNUMBER(FIND("arbeid",Methode_Keuze)),"",IF(Tb_Activiteiten[[#This Row],[Projectleider/Expert]]=1,Tb_Activiteiten[[#Headers],[Projectleider/Expert]],"")))</f>
        <v/>
      </c>
      <c r="AQ1238" t="str">
        <f>IF(ISNUMBER(FIND("arbeid",Methode_Keuze)),"",IF(ISNUMBER(FIND("arbeid",Methode_Keuze)),"",IF(Tb_Activiteiten[[#This Row],[Arbeidskosten]]=1,Tb_Activiteiten[[#Headers],[Arbeidskosten]],"")))</f>
        <v/>
      </c>
      <c r="AR1238" t="str">
        <f>IF(ISNUMBER(FIND("arbeid",Methode_Keuze)),"",IF(ISNUMBER(FIND("arbeid",Methode_Keuze)),"",IF(Tb_Activiteiten[[#This Row],[Arbeidskosten op basis van IKS]]=1,Tb_Activiteiten[[#Headers],[Arbeidskosten op basis van IKS]],"")))</f>
        <v/>
      </c>
      <c r="AS1238" t="str">
        <f>IF(ISNUMBER(FIND("overige",Methode_Keuze)),"",IF(Tb_Activiteiten[[#This Row],[Kosten derden exclusief btw]]=1,Tb_Activiteiten[[#Headers],[Kosten derden exclusief btw]],""))</f>
        <v/>
      </c>
      <c r="AT1238" t="str">
        <f>IF(ISNUMBER(FIND("overige",Methode_Keuze)),"",IF(Tb_Activiteiten[[#This Row],[Niet verrekenbare btw]]=1,Tb_Activiteiten[[#Headers],[Niet verrekenbare btw]],""))</f>
        <v/>
      </c>
      <c r="AU1238" t="str">
        <f>IF(ISNUMBER(FIND("overige",Methode_Keuze)),"",IF(Tb_Activiteiten[[#This Row],[Grondkosten]]=1,Tb_Activiteiten[[#Headers],[Grondkosten]],""))</f>
        <v/>
      </c>
      <c r="AV1238" t="str">
        <f>IF(ISNUMBER(FIND("overige",Methode_Keuze)),"",IF(Tb_Activiteiten[[#This Row],[Bijdrage in natura (overige)]]=1,Tb_Activiteiten[[#Headers],[Bijdrage in natura (overige)]],""))</f>
        <v/>
      </c>
      <c r="AW1238" t="str">
        <f>IF(ISNUMBER(FIND("overige",Methode_Keuze)),"",IF(Tb_Activiteiten[[#This Row],[Bijdrage in natura (vrijwilligers)]]=1,Tb_Activiteiten[[#Headers],[Bijdrage in natura (vrijwilligers)]],""))</f>
        <v/>
      </c>
      <c r="AX1238" t="str">
        <f>IF(ISNUMBER(FIND("overige",Methode_Keuze)),"",IF(Tb_Activiteiten[[#This Row],[Afschrijvingskosten]]=1,Tb_Activiteiten[[#Headers],[Afschrijvingskosten]],""))</f>
        <v/>
      </c>
      <c r="AY1238" t="str">
        <f>IF(ISNUMBER(FIND("overige",Methode_Keuze)),"",IF(Tb_Activiteiten[[#This Row],[Vergoeding]]=1,Tb_Activiteiten[[#Headers],[Vergoeding]],""))</f>
        <v/>
      </c>
      <c r="AZ1238" t="str">
        <f>IF(ISNUMBER(FIND("arbeid",Methode_Keuze)),"",IF(Tb_Activiteiten[[#This Row],[Arbeidskosten - vast tarief (excl eigen arbeid)]]=1,Tb_Activiteiten[[#Headers],[Arbeidskosten - vast tarief (excl eigen arbeid)]],""))</f>
        <v/>
      </c>
      <c r="BA1238" t="str">
        <f>IF(ISNUMBER(FIND("overige",Methode_Keuze)),"",IF(Tb_Activiteiten[[#This Row],[Overige kosten]]=1,Tb_Activiteiten[[#Headers],[Overige kosten]],""))</f>
        <v/>
      </c>
    </row>
    <row r="1239" spans="1:53" x14ac:dyDescent="0.25">
      <c r="A1239" s="139"/>
      <c r="B1239" s="139"/>
      <c r="C1239" s="139"/>
      <c r="D1239" s="139"/>
      <c r="E1239" s="139"/>
      <c r="F1239" s="139"/>
      <c r="G1239" s="139"/>
      <c r="O1239" s="56"/>
      <c r="Q1239" t="str">
        <f>IFERROR(IF(VLOOKUP(Tb_Activiteiten[[#This Row],[Openstelling]],Tb_Openstelling[],2,0)=1,1,""),"")</f>
        <v/>
      </c>
      <c r="AK1239" t="str">
        <f>IF(ISNUMBER(FIND("arbeid",Methode_Keuze)),"",IF(ISNUMBER(FIND("arbeid",Methode_Keuze)),"",IF(Tb_Activiteiten[[#This Row],[Loonkosten]]=1,Tb_Activiteiten[[#Headers],[Loonkosten]],"")))</f>
        <v/>
      </c>
      <c r="AL1239" t="str">
        <f>IF(ISNUMBER(FIND("arbeid",Methode_Keuze)),"",IF(ISNUMBER(FIND("arbeid",Methode_Keuze)),"",IF(Tb_Activiteiten[[#This Row],[Eigen arbeid]]=1,Tb_Activiteiten[[#Headers],[Eigen arbeid]],"")))</f>
        <v/>
      </c>
      <c r="AM1239" t="str">
        <f>IF(ISNUMBER(FIND("arbeid",Methode_Keuze)),"",IF(ISNUMBER(FIND("arbeid",Methode_Keuze)),"",IF(Tb_Activiteiten[[#This Row],[Projectmedewerker]]=1,Tb_Activiteiten[[#Headers],[Projectmedewerker]],"")))</f>
        <v/>
      </c>
      <c r="AN1239" t="str">
        <f>IF(ISNUMBER(FIND("arbeid",Methode_Keuze)),"",IF(ISNUMBER(FIND("arbeid",Methode_Keuze)),"",IF(Tb_Activiteiten[[#This Row],[Landbouwer]]=1,Tb_Activiteiten[[#Headers],[Landbouwer]],"")))</f>
        <v/>
      </c>
      <c r="AO1239" t="str">
        <f>IF(ISNUMBER(FIND("arbeid",Methode_Keuze)),"",IF(ISNUMBER(FIND("arbeid",Methode_Keuze)),"",IF(Tb_Activiteiten[[#This Row],[Adviseur]]=1,Tb_Activiteiten[[#Headers],[Adviseur]],"")))</f>
        <v/>
      </c>
      <c r="AP1239" t="str">
        <f>IF(ISNUMBER(FIND("arbeid",Methode_Keuze)),"",IF(ISNUMBER(FIND("arbeid",Methode_Keuze)),"",IF(Tb_Activiteiten[[#This Row],[Projectleider/Expert]]=1,Tb_Activiteiten[[#Headers],[Projectleider/Expert]],"")))</f>
        <v/>
      </c>
      <c r="AQ1239" t="str">
        <f>IF(ISNUMBER(FIND("arbeid",Methode_Keuze)),"",IF(ISNUMBER(FIND("arbeid",Methode_Keuze)),"",IF(Tb_Activiteiten[[#This Row],[Arbeidskosten]]=1,Tb_Activiteiten[[#Headers],[Arbeidskosten]],"")))</f>
        <v/>
      </c>
      <c r="AR1239" t="str">
        <f>IF(ISNUMBER(FIND("arbeid",Methode_Keuze)),"",IF(ISNUMBER(FIND("arbeid",Methode_Keuze)),"",IF(Tb_Activiteiten[[#This Row],[Arbeidskosten op basis van IKS]]=1,Tb_Activiteiten[[#Headers],[Arbeidskosten op basis van IKS]],"")))</f>
        <v/>
      </c>
      <c r="AS1239" t="str">
        <f>IF(ISNUMBER(FIND("overige",Methode_Keuze)),"",IF(Tb_Activiteiten[[#This Row],[Kosten derden exclusief btw]]=1,Tb_Activiteiten[[#Headers],[Kosten derden exclusief btw]],""))</f>
        <v/>
      </c>
      <c r="AT1239" t="str">
        <f>IF(ISNUMBER(FIND("overige",Methode_Keuze)),"",IF(Tb_Activiteiten[[#This Row],[Niet verrekenbare btw]]=1,Tb_Activiteiten[[#Headers],[Niet verrekenbare btw]],""))</f>
        <v/>
      </c>
      <c r="AU1239" t="str">
        <f>IF(ISNUMBER(FIND("overige",Methode_Keuze)),"",IF(Tb_Activiteiten[[#This Row],[Grondkosten]]=1,Tb_Activiteiten[[#Headers],[Grondkosten]],""))</f>
        <v/>
      </c>
      <c r="AV1239" t="str">
        <f>IF(ISNUMBER(FIND("overige",Methode_Keuze)),"",IF(Tb_Activiteiten[[#This Row],[Bijdrage in natura (overige)]]=1,Tb_Activiteiten[[#Headers],[Bijdrage in natura (overige)]],""))</f>
        <v/>
      </c>
      <c r="AW1239" t="str">
        <f>IF(ISNUMBER(FIND("overige",Methode_Keuze)),"",IF(Tb_Activiteiten[[#This Row],[Bijdrage in natura (vrijwilligers)]]=1,Tb_Activiteiten[[#Headers],[Bijdrage in natura (vrijwilligers)]],""))</f>
        <v/>
      </c>
      <c r="AX1239" t="str">
        <f>IF(ISNUMBER(FIND("overige",Methode_Keuze)),"",IF(Tb_Activiteiten[[#This Row],[Afschrijvingskosten]]=1,Tb_Activiteiten[[#Headers],[Afschrijvingskosten]],""))</f>
        <v/>
      </c>
      <c r="AY1239" t="str">
        <f>IF(ISNUMBER(FIND("overige",Methode_Keuze)),"",IF(Tb_Activiteiten[[#This Row],[Vergoeding]]=1,Tb_Activiteiten[[#Headers],[Vergoeding]],""))</f>
        <v/>
      </c>
      <c r="AZ1239" t="str">
        <f>IF(ISNUMBER(FIND("arbeid",Methode_Keuze)),"",IF(Tb_Activiteiten[[#This Row],[Arbeidskosten - vast tarief (excl eigen arbeid)]]=1,Tb_Activiteiten[[#Headers],[Arbeidskosten - vast tarief (excl eigen arbeid)]],""))</f>
        <v/>
      </c>
      <c r="BA1239" t="str">
        <f>IF(ISNUMBER(FIND("overige",Methode_Keuze)),"",IF(Tb_Activiteiten[[#This Row],[Overige kosten]]=1,Tb_Activiteiten[[#Headers],[Overige kosten]],""))</f>
        <v/>
      </c>
    </row>
    <row r="1240" spans="1:53" x14ac:dyDescent="0.25">
      <c r="A1240" s="139"/>
      <c r="B1240" s="139"/>
      <c r="C1240" s="139"/>
      <c r="D1240" s="139"/>
      <c r="E1240" s="139"/>
      <c r="F1240" s="139"/>
      <c r="G1240" s="139"/>
      <c r="O1240" s="56"/>
      <c r="Q1240" t="str">
        <f>IFERROR(IF(VLOOKUP(Tb_Activiteiten[[#This Row],[Openstelling]],Tb_Openstelling[],2,0)=1,1,""),"")</f>
        <v/>
      </c>
      <c r="AK1240" t="str">
        <f>IF(ISNUMBER(FIND("arbeid",Methode_Keuze)),"",IF(ISNUMBER(FIND("arbeid",Methode_Keuze)),"",IF(Tb_Activiteiten[[#This Row],[Loonkosten]]=1,Tb_Activiteiten[[#Headers],[Loonkosten]],"")))</f>
        <v/>
      </c>
      <c r="AL1240" t="str">
        <f>IF(ISNUMBER(FIND("arbeid",Methode_Keuze)),"",IF(ISNUMBER(FIND("arbeid",Methode_Keuze)),"",IF(Tb_Activiteiten[[#This Row],[Eigen arbeid]]=1,Tb_Activiteiten[[#Headers],[Eigen arbeid]],"")))</f>
        <v/>
      </c>
      <c r="AM1240" t="str">
        <f>IF(ISNUMBER(FIND("arbeid",Methode_Keuze)),"",IF(ISNUMBER(FIND("arbeid",Methode_Keuze)),"",IF(Tb_Activiteiten[[#This Row],[Projectmedewerker]]=1,Tb_Activiteiten[[#Headers],[Projectmedewerker]],"")))</f>
        <v/>
      </c>
      <c r="AN1240" t="str">
        <f>IF(ISNUMBER(FIND("arbeid",Methode_Keuze)),"",IF(ISNUMBER(FIND("arbeid",Methode_Keuze)),"",IF(Tb_Activiteiten[[#This Row],[Landbouwer]]=1,Tb_Activiteiten[[#Headers],[Landbouwer]],"")))</f>
        <v/>
      </c>
      <c r="AO1240" t="str">
        <f>IF(ISNUMBER(FIND("arbeid",Methode_Keuze)),"",IF(ISNUMBER(FIND("arbeid",Methode_Keuze)),"",IF(Tb_Activiteiten[[#This Row],[Adviseur]]=1,Tb_Activiteiten[[#Headers],[Adviseur]],"")))</f>
        <v/>
      </c>
      <c r="AP1240" t="str">
        <f>IF(ISNUMBER(FIND("arbeid",Methode_Keuze)),"",IF(ISNUMBER(FIND("arbeid",Methode_Keuze)),"",IF(Tb_Activiteiten[[#This Row],[Projectleider/Expert]]=1,Tb_Activiteiten[[#Headers],[Projectleider/Expert]],"")))</f>
        <v/>
      </c>
      <c r="AQ1240" t="str">
        <f>IF(ISNUMBER(FIND("arbeid",Methode_Keuze)),"",IF(ISNUMBER(FIND("arbeid",Methode_Keuze)),"",IF(Tb_Activiteiten[[#This Row],[Arbeidskosten]]=1,Tb_Activiteiten[[#Headers],[Arbeidskosten]],"")))</f>
        <v/>
      </c>
      <c r="AR1240" t="str">
        <f>IF(ISNUMBER(FIND("arbeid",Methode_Keuze)),"",IF(ISNUMBER(FIND("arbeid",Methode_Keuze)),"",IF(Tb_Activiteiten[[#This Row],[Arbeidskosten op basis van IKS]]=1,Tb_Activiteiten[[#Headers],[Arbeidskosten op basis van IKS]],"")))</f>
        <v/>
      </c>
      <c r="AS1240" t="str">
        <f>IF(ISNUMBER(FIND("overige",Methode_Keuze)),"",IF(Tb_Activiteiten[[#This Row],[Kosten derden exclusief btw]]=1,Tb_Activiteiten[[#Headers],[Kosten derden exclusief btw]],""))</f>
        <v/>
      </c>
      <c r="AT1240" t="str">
        <f>IF(ISNUMBER(FIND("overige",Methode_Keuze)),"",IF(Tb_Activiteiten[[#This Row],[Niet verrekenbare btw]]=1,Tb_Activiteiten[[#Headers],[Niet verrekenbare btw]],""))</f>
        <v/>
      </c>
      <c r="AU1240" t="str">
        <f>IF(ISNUMBER(FIND("overige",Methode_Keuze)),"",IF(Tb_Activiteiten[[#This Row],[Grondkosten]]=1,Tb_Activiteiten[[#Headers],[Grondkosten]],""))</f>
        <v/>
      </c>
      <c r="AV1240" t="str">
        <f>IF(ISNUMBER(FIND("overige",Methode_Keuze)),"",IF(Tb_Activiteiten[[#This Row],[Bijdrage in natura (overige)]]=1,Tb_Activiteiten[[#Headers],[Bijdrage in natura (overige)]],""))</f>
        <v/>
      </c>
      <c r="AW1240" t="str">
        <f>IF(ISNUMBER(FIND("overige",Methode_Keuze)),"",IF(Tb_Activiteiten[[#This Row],[Bijdrage in natura (vrijwilligers)]]=1,Tb_Activiteiten[[#Headers],[Bijdrage in natura (vrijwilligers)]],""))</f>
        <v/>
      </c>
      <c r="AX1240" t="str">
        <f>IF(ISNUMBER(FIND("overige",Methode_Keuze)),"",IF(Tb_Activiteiten[[#This Row],[Afschrijvingskosten]]=1,Tb_Activiteiten[[#Headers],[Afschrijvingskosten]],""))</f>
        <v/>
      </c>
      <c r="AY1240" t="str">
        <f>IF(ISNUMBER(FIND("overige",Methode_Keuze)),"",IF(Tb_Activiteiten[[#This Row],[Vergoeding]]=1,Tb_Activiteiten[[#Headers],[Vergoeding]],""))</f>
        <v/>
      </c>
      <c r="AZ1240" t="str">
        <f>IF(ISNUMBER(FIND("arbeid",Methode_Keuze)),"",IF(Tb_Activiteiten[[#This Row],[Arbeidskosten - vast tarief (excl eigen arbeid)]]=1,Tb_Activiteiten[[#Headers],[Arbeidskosten - vast tarief (excl eigen arbeid)]],""))</f>
        <v/>
      </c>
      <c r="BA1240" t="str">
        <f>IF(ISNUMBER(FIND("overige",Methode_Keuze)),"",IF(Tb_Activiteiten[[#This Row],[Overige kosten]]=1,Tb_Activiteiten[[#Headers],[Overige kosten]],""))</f>
        <v/>
      </c>
    </row>
    <row r="1241" spans="1:53" x14ac:dyDescent="0.25">
      <c r="A1241" s="139"/>
      <c r="B1241" s="139"/>
      <c r="C1241" s="139"/>
      <c r="D1241" s="139"/>
      <c r="E1241" s="139"/>
      <c r="F1241" s="139"/>
      <c r="G1241" s="139"/>
      <c r="O1241" s="56"/>
      <c r="Q1241" t="str">
        <f>IFERROR(IF(VLOOKUP(Tb_Activiteiten[[#This Row],[Openstelling]],Tb_Openstelling[],2,0)=1,1,""),"")</f>
        <v/>
      </c>
      <c r="AK1241" t="str">
        <f>IF(ISNUMBER(FIND("arbeid",Methode_Keuze)),"",IF(ISNUMBER(FIND("arbeid",Methode_Keuze)),"",IF(Tb_Activiteiten[[#This Row],[Loonkosten]]=1,Tb_Activiteiten[[#Headers],[Loonkosten]],"")))</f>
        <v/>
      </c>
      <c r="AL1241" t="str">
        <f>IF(ISNUMBER(FIND("arbeid",Methode_Keuze)),"",IF(ISNUMBER(FIND("arbeid",Methode_Keuze)),"",IF(Tb_Activiteiten[[#This Row],[Eigen arbeid]]=1,Tb_Activiteiten[[#Headers],[Eigen arbeid]],"")))</f>
        <v/>
      </c>
      <c r="AM1241" t="str">
        <f>IF(ISNUMBER(FIND("arbeid",Methode_Keuze)),"",IF(ISNUMBER(FIND("arbeid",Methode_Keuze)),"",IF(Tb_Activiteiten[[#This Row],[Projectmedewerker]]=1,Tb_Activiteiten[[#Headers],[Projectmedewerker]],"")))</f>
        <v/>
      </c>
      <c r="AN1241" t="str">
        <f>IF(ISNUMBER(FIND("arbeid",Methode_Keuze)),"",IF(ISNUMBER(FIND("arbeid",Methode_Keuze)),"",IF(Tb_Activiteiten[[#This Row],[Landbouwer]]=1,Tb_Activiteiten[[#Headers],[Landbouwer]],"")))</f>
        <v/>
      </c>
      <c r="AO1241" t="str">
        <f>IF(ISNUMBER(FIND("arbeid",Methode_Keuze)),"",IF(ISNUMBER(FIND("arbeid",Methode_Keuze)),"",IF(Tb_Activiteiten[[#This Row],[Adviseur]]=1,Tb_Activiteiten[[#Headers],[Adviseur]],"")))</f>
        <v/>
      </c>
      <c r="AP1241" t="str">
        <f>IF(ISNUMBER(FIND("arbeid",Methode_Keuze)),"",IF(ISNUMBER(FIND("arbeid",Methode_Keuze)),"",IF(Tb_Activiteiten[[#This Row],[Projectleider/Expert]]=1,Tb_Activiteiten[[#Headers],[Projectleider/Expert]],"")))</f>
        <v/>
      </c>
      <c r="AQ1241" t="str">
        <f>IF(ISNUMBER(FIND("arbeid",Methode_Keuze)),"",IF(ISNUMBER(FIND("arbeid",Methode_Keuze)),"",IF(Tb_Activiteiten[[#This Row],[Arbeidskosten]]=1,Tb_Activiteiten[[#Headers],[Arbeidskosten]],"")))</f>
        <v/>
      </c>
      <c r="AR1241" t="str">
        <f>IF(ISNUMBER(FIND("arbeid",Methode_Keuze)),"",IF(ISNUMBER(FIND("arbeid",Methode_Keuze)),"",IF(Tb_Activiteiten[[#This Row],[Arbeidskosten op basis van IKS]]=1,Tb_Activiteiten[[#Headers],[Arbeidskosten op basis van IKS]],"")))</f>
        <v/>
      </c>
      <c r="AS1241" t="str">
        <f>IF(ISNUMBER(FIND("overige",Methode_Keuze)),"",IF(Tb_Activiteiten[[#This Row],[Kosten derden exclusief btw]]=1,Tb_Activiteiten[[#Headers],[Kosten derden exclusief btw]],""))</f>
        <v/>
      </c>
      <c r="AT1241" t="str">
        <f>IF(ISNUMBER(FIND("overige",Methode_Keuze)),"",IF(Tb_Activiteiten[[#This Row],[Niet verrekenbare btw]]=1,Tb_Activiteiten[[#Headers],[Niet verrekenbare btw]],""))</f>
        <v/>
      </c>
      <c r="AU1241" t="str">
        <f>IF(ISNUMBER(FIND("overige",Methode_Keuze)),"",IF(Tb_Activiteiten[[#This Row],[Grondkosten]]=1,Tb_Activiteiten[[#Headers],[Grondkosten]],""))</f>
        <v/>
      </c>
      <c r="AV1241" t="str">
        <f>IF(ISNUMBER(FIND("overige",Methode_Keuze)),"",IF(Tb_Activiteiten[[#This Row],[Bijdrage in natura (overige)]]=1,Tb_Activiteiten[[#Headers],[Bijdrage in natura (overige)]],""))</f>
        <v/>
      </c>
      <c r="AW1241" t="str">
        <f>IF(ISNUMBER(FIND("overige",Methode_Keuze)),"",IF(Tb_Activiteiten[[#This Row],[Bijdrage in natura (vrijwilligers)]]=1,Tb_Activiteiten[[#Headers],[Bijdrage in natura (vrijwilligers)]],""))</f>
        <v/>
      </c>
      <c r="AX1241" t="str">
        <f>IF(ISNUMBER(FIND("overige",Methode_Keuze)),"",IF(Tb_Activiteiten[[#This Row],[Afschrijvingskosten]]=1,Tb_Activiteiten[[#Headers],[Afschrijvingskosten]],""))</f>
        <v/>
      </c>
      <c r="AY1241" t="str">
        <f>IF(ISNUMBER(FIND("overige",Methode_Keuze)),"",IF(Tb_Activiteiten[[#This Row],[Vergoeding]]=1,Tb_Activiteiten[[#Headers],[Vergoeding]],""))</f>
        <v/>
      </c>
      <c r="AZ1241" t="str">
        <f>IF(ISNUMBER(FIND("arbeid",Methode_Keuze)),"",IF(Tb_Activiteiten[[#This Row],[Arbeidskosten - vast tarief (excl eigen arbeid)]]=1,Tb_Activiteiten[[#Headers],[Arbeidskosten - vast tarief (excl eigen arbeid)]],""))</f>
        <v/>
      </c>
      <c r="BA1241" t="str">
        <f>IF(ISNUMBER(FIND("overige",Methode_Keuze)),"",IF(Tb_Activiteiten[[#This Row],[Overige kosten]]=1,Tb_Activiteiten[[#Headers],[Overige kosten]],""))</f>
        <v/>
      </c>
    </row>
    <row r="1242" spans="1:53" x14ac:dyDescent="0.25">
      <c r="A1242" s="139"/>
      <c r="B1242" s="139"/>
      <c r="C1242" s="139"/>
      <c r="D1242" s="139"/>
      <c r="E1242" s="139"/>
      <c r="F1242" s="139"/>
      <c r="G1242" s="139"/>
      <c r="O1242" s="56"/>
      <c r="Q1242" t="str">
        <f>IFERROR(IF(VLOOKUP(Tb_Activiteiten[[#This Row],[Openstelling]],Tb_Openstelling[],2,0)=1,1,""),"")</f>
        <v/>
      </c>
      <c r="AK1242" t="str">
        <f>IF(ISNUMBER(FIND("arbeid",Methode_Keuze)),"",IF(ISNUMBER(FIND("arbeid",Methode_Keuze)),"",IF(Tb_Activiteiten[[#This Row],[Loonkosten]]=1,Tb_Activiteiten[[#Headers],[Loonkosten]],"")))</f>
        <v/>
      </c>
      <c r="AL1242" t="str">
        <f>IF(ISNUMBER(FIND("arbeid",Methode_Keuze)),"",IF(ISNUMBER(FIND("arbeid",Methode_Keuze)),"",IF(Tb_Activiteiten[[#This Row],[Eigen arbeid]]=1,Tb_Activiteiten[[#Headers],[Eigen arbeid]],"")))</f>
        <v/>
      </c>
      <c r="AM1242" t="str">
        <f>IF(ISNUMBER(FIND("arbeid",Methode_Keuze)),"",IF(ISNUMBER(FIND("arbeid",Methode_Keuze)),"",IF(Tb_Activiteiten[[#This Row],[Projectmedewerker]]=1,Tb_Activiteiten[[#Headers],[Projectmedewerker]],"")))</f>
        <v/>
      </c>
      <c r="AN1242" t="str">
        <f>IF(ISNUMBER(FIND("arbeid",Methode_Keuze)),"",IF(ISNUMBER(FIND("arbeid",Methode_Keuze)),"",IF(Tb_Activiteiten[[#This Row],[Landbouwer]]=1,Tb_Activiteiten[[#Headers],[Landbouwer]],"")))</f>
        <v/>
      </c>
      <c r="AO1242" t="str">
        <f>IF(ISNUMBER(FIND("arbeid",Methode_Keuze)),"",IF(ISNUMBER(FIND("arbeid",Methode_Keuze)),"",IF(Tb_Activiteiten[[#This Row],[Adviseur]]=1,Tb_Activiteiten[[#Headers],[Adviseur]],"")))</f>
        <v/>
      </c>
      <c r="AP1242" t="str">
        <f>IF(ISNUMBER(FIND("arbeid",Methode_Keuze)),"",IF(ISNUMBER(FIND("arbeid",Methode_Keuze)),"",IF(Tb_Activiteiten[[#This Row],[Projectleider/Expert]]=1,Tb_Activiteiten[[#Headers],[Projectleider/Expert]],"")))</f>
        <v/>
      </c>
      <c r="AQ1242" t="str">
        <f>IF(ISNUMBER(FIND("arbeid",Methode_Keuze)),"",IF(ISNUMBER(FIND("arbeid",Methode_Keuze)),"",IF(Tb_Activiteiten[[#This Row],[Arbeidskosten]]=1,Tb_Activiteiten[[#Headers],[Arbeidskosten]],"")))</f>
        <v/>
      </c>
      <c r="AR1242" t="str">
        <f>IF(ISNUMBER(FIND("arbeid",Methode_Keuze)),"",IF(ISNUMBER(FIND("arbeid",Methode_Keuze)),"",IF(Tb_Activiteiten[[#This Row],[Arbeidskosten op basis van IKS]]=1,Tb_Activiteiten[[#Headers],[Arbeidskosten op basis van IKS]],"")))</f>
        <v/>
      </c>
      <c r="AS1242" t="str">
        <f>IF(ISNUMBER(FIND("overige",Methode_Keuze)),"",IF(Tb_Activiteiten[[#This Row],[Kosten derden exclusief btw]]=1,Tb_Activiteiten[[#Headers],[Kosten derden exclusief btw]],""))</f>
        <v/>
      </c>
      <c r="AT1242" t="str">
        <f>IF(ISNUMBER(FIND("overige",Methode_Keuze)),"",IF(Tb_Activiteiten[[#This Row],[Niet verrekenbare btw]]=1,Tb_Activiteiten[[#Headers],[Niet verrekenbare btw]],""))</f>
        <v/>
      </c>
      <c r="AU1242" t="str">
        <f>IF(ISNUMBER(FIND("overige",Methode_Keuze)),"",IF(Tb_Activiteiten[[#This Row],[Grondkosten]]=1,Tb_Activiteiten[[#Headers],[Grondkosten]],""))</f>
        <v/>
      </c>
      <c r="AV1242" t="str">
        <f>IF(ISNUMBER(FIND("overige",Methode_Keuze)),"",IF(Tb_Activiteiten[[#This Row],[Bijdrage in natura (overige)]]=1,Tb_Activiteiten[[#Headers],[Bijdrage in natura (overige)]],""))</f>
        <v/>
      </c>
      <c r="AW1242" t="str">
        <f>IF(ISNUMBER(FIND("overige",Methode_Keuze)),"",IF(Tb_Activiteiten[[#This Row],[Bijdrage in natura (vrijwilligers)]]=1,Tb_Activiteiten[[#Headers],[Bijdrage in natura (vrijwilligers)]],""))</f>
        <v/>
      </c>
      <c r="AX1242" t="str">
        <f>IF(ISNUMBER(FIND("overige",Methode_Keuze)),"",IF(Tb_Activiteiten[[#This Row],[Afschrijvingskosten]]=1,Tb_Activiteiten[[#Headers],[Afschrijvingskosten]],""))</f>
        <v/>
      </c>
      <c r="AY1242" t="str">
        <f>IF(ISNUMBER(FIND("overige",Methode_Keuze)),"",IF(Tb_Activiteiten[[#This Row],[Vergoeding]]=1,Tb_Activiteiten[[#Headers],[Vergoeding]],""))</f>
        <v/>
      </c>
      <c r="AZ1242" t="str">
        <f>IF(ISNUMBER(FIND("arbeid",Methode_Keuze)),"",IF(Tb_Activiteiten[[#This Row],[Arbeidskosten - vast tarief (excl eigen arbeid)]]=1,Tb_Activiteiten[[#Headers],[Arbeidskosten - vast tarief (excl eigen arbeid)]],""))</f>
        <v/>
      </c>
      <c r="BA1242" t="str">
        <f>IF(ISNUMBER(FIND("overige",Methode_Keuze)),"",IF(Tb_Activiteiten[[#This Row],[Overige kosten]]=1,Tb_Activiteiten[[#Headers],[Overige kosten]],""))</f>
        <v/>
      </c>
    </row>
    <row r="1243" spans="1:53" x14ac:dyDescent="0.25">
      <c r="A1243" s="139"/>
      <c r="B1243" s="139"/>
      <c r="C1243" s="139"/>
      <c r="D1243" s="139"/>
      <c r="E1243" s="139"/>
      <c r="F1243" s="139"/>
      <c r="G1243" s="139"/>
      <c r="O1243" s="56"/>
      <c r="Q1243" t="str">
        <f>IFERROR(IF(VLOOKUP(Tb_Activiteiten[[#This Row],[Openstelling]],Tb_Openstelling[],2,0)=1,1,""),"")</f>
        <v/>
      </c>
      <c r="AK1243" t="str">
        <f>IF(ISNUMBER(FIND("arbeid",Methode_Keuze)),"",IF(ISNUMBER(FIND("arbeid",Methode_Keuze)),"",IF(Tb_Activiteiten[[#This Row],[Loonkosten]]=1,Tb_Activiteiten[[#Headers],[Loonkosten]],"")))</f>
        <v/>
      </c>
      <c r="AL1243" t="str">
        <f>IF(ISNUMBER(FIND("arbeid",Methode_Keuze)),"",IF(ISNUMBER(FIND("arbeid",Methode_Keuze)),"",IF(Tb_Activiteiten[[#This Row],[Eigen arbeid]]=1,Tb_Activiteiten[[#Headers],[Eigen arbeid]],"")))</f>
        <v/>
      </c>
      <c r="AM1243" t="str">
        <f>IF(ISNUMBER(FIND("arbeid",Methode_Keuze)),"",IF(ISNUMBER(FIND("arbeid",Methode_Keuze)),"",IF(Tb_Activiteiten[[#This Row],[Projectmedewerker]]=1,Tb_Activiteiten[[#Headers],[Projectmedewerker]],"")))</f>
        <v/>
      </c>
      <c r="AN1243" t="str">
        <f>IF(ISNUMBER(FIND("arbeid",Methode_Keuze)),"",IF(ISNUMBER(FIND("arbeid",Methode_Keuze)),"",IF(Tb_Activiteiten[[#This Row],[Landbouwer]]=1,Tb_Activiteiten[[#Headers],[Landbouwer]],"")))</f>
        <v/>
      </c>
      <c r="AO1243" t="str">
        <f>IF(ISNUMBER(FIND("arbeid",Methode_Keuze)),"",IF(ISNUMBER(FIND("arbeid",Methode_Keuze)),"",IF(Tb_Activiteiten[[#This Row],[Adviseur]]=1,Tb_Activiteiten[[#Headers],[Adviseur]],"")))</f>
        <v/>
      </c>
      <c r="AP1243" t="str">
        <f>IF(ISNUMBER(FIND("arbeid",Methode_Keuze)),"",IF(ISNUMBER(FIND("arbeid",Methode_Keuze)),"",IF(Tb_Activiteiten[[#This Row],[Projectleider/Expert]]=1,Tb_Activiteiten[[#Headers],[Projectleider/Expert]],"")))</f>
        <v/>
      </c>
      <c r="AQ1243" t="str">
        <f>IF(ISNUMBER(FIND("arbeid",Methode_Keuze)),"",IF(ISNUMBER(FIND("arbeid",Methode_Keuze)),"",IF(Tb_Activiteiten[[#This Row],[Arbeidskosten]]=1,Tb_Activiteiten[[#Headers],[Arbeidskosten]],"")))</f>
        <v/>
      </c>
      <c r="AR1243" t="str">
        <f>IF(ISNUMBER(FIND("arbeid",Methode_Keuze)),"",IF(ISNUMBER(FIND("arbeid",Methode_Keuze)),"",IF(Tb_Activiteiten[[#This Row],[Arbeidskosten op basis van IKS]]=1,Tb_Activiteiten[[#Headers],[Arbeidskosten op basis van IKS]],"")))</f>
        <v/>
      </c>
      <c r="AS1243" t="str">
        <f>IF(ISNUMBER(FIND("overige",Methode_Keuze)),"",IF(Tb_Activiteiten[[#This Row],[Kosten derden exclusief btw]]=1,Tb_Activiteiten[[#Headers],[Kosten derden exclusief btw]],""))</f>
        <v/>
      </c>
      <c r="AT1243" t="str">
        <f>IF(ISNUMBER(FIND("overige",Methode_Keuze)),"",IF(Tb_Activiteiten[[#This Row],[Niet verrekenbare btw]]=1,Tb_Activiteiten[[#Headers],[Niet verrekenbare btw]],""))</f>
        <v/>
      </c>
      <c r="AU1243" t="str">
        <f>IF(ISNUMBER(FIND("overige",Methode_Keuze)),"",IF(Tb_Activiteiten[[#This Row],[Grondkosten]]=1,Tb_Activiteiten[[#Headers],[Grondkosten]],""))</f>
        <v/>
      </c>
      <c r="AV1243" t="str">
        <f>IF(ISNUMBER(FIND("overige",Methode_Keuze)),"",IF(Tb_Activiteiten[[#This Row],[Bijdrage in natura (overige)]]=1,Tb_Activiteiten[[#Headers],[Bijdrage in natura (overige)]],""))</f>
        <v/>
      </c>
      <c r="AW1243" t="str">
        <f>IF(ISNUMBER(FIND("overige",Methode_Keuze)),"",IF(Tb_Activiteiten[[#This Row],[Bijdrage in natura (vrijwilligers)]]=1,Tb_Activiteiten[[#Headers],[Bijdrage in natura (vrijwilligers)]],""))</f>
        <v/>
      </c>
      <c r="AX1243" t="str">
        <f>IF(ISNUMBER(FIND("overige",Methode_Keuze)),"",IF(Tb_Activiteiten[[#This Row],[Afschrijvingskosten]]=1,Tb_Activiteiten[[#Headers],[Afschrijvingskosten]],""))</f>
        <v/>
      </c>
      <c r="AY1243" t="str">
        <f>IF(ISNUMBER(FIND("overige",Methode_Keuze)),"",IF(Tb_Activiteiten[[#This Row],[Vergoeding]]=1,Tb_Activiteiten[[#Headers],[Vergoeding]],""))</f>
        <v/>
      </c>
      <c r="AZ1243" t="str">
        <f>IF(ISNUMBER(FIND("arbeid",Methode_Keuze)),"",IF(Tb_Activiteiten[[#This Row],[Arbeidskosten - vast tarief (excl eigen arbeid)]]=1,Tb_Activiteiten[[#Headers],[Arbeidskosten - vast tarief (excl eigen arbeid)]],""))</f>
        <v/>
      </c>
      <c r="BA1243" t="str">
        <f>IF(ISNUMBER(FIND("overige",Methode_Keuze)),"",IF(Tb_Activiteiten[[#This Row],[Overige kosten]]=1,Tb_Activiteiten[[#Headers],[Overige kosten]],""))</f>
        <v/>
      </c>
    </row>
    <row r="1244" spans="1:53" x14ac:dyDescent="0.25">
      <c r="A1244" s="139"/>
      <c r="B1244" s="139"/>
      <c r="C1244" s="139"/>
      <c r="D1244" s="139"/>
      <c r="E1244" s="139"/>
      <c r="F1244" s="139"/>
      <c r="G1244" s="139"/>
      <c r="O1244" s="56"/>
      <c r="Q1244" t="str">
        <f>IFERROR(IF(VLOOKUP(Tb_Activiteiten[[#This Row],[Openstelling]],Tb_Openstelling[],2,0)=1,1,""),"")</f>
        <v/>
      </c>
      <c r="AK1244" t="str">
        <f>IF(ISNUMBER(FIND("arbeid",Methode_Keuze)),"",IF(ISNUMBER(FIND("arbeid",Methode_Keuze)),"",IF(Tb_Activiteiten[[#This Row],[Loonkosten]]=1,Tb_Activiteiten[[#Headers],[Loonkosten]],"")))</f>
        <v/>
      </c>
      <c r="AL1244" t="str">
        <f>IF(ISNUMBER(FIND("arbeid",Methode_Keuze)),"",IF(ISNUMBER(FIND("arbeid",Methode_Keuze)),"",IF(Tb_Activiteiten[[#This Row],[Eigen arbeid]]=1,Tb_Activiteiten[[#Headers],[Eigen arbeid]],"")))</f>
        <v/>
      </c>
      <c r="AM1244" t="str">
        <f>IF(ISNUMBER(FIND("arbeid",Methode_Keuze)),"",IF(ISNUMBER(FIND("arbeid",Methode_Keuze)),"",IF(Tb_Activiteiten[[#This Row],[Projectmedewerker]]=1,Tb_Activiteiten[[#Headers],[Projectmedewerker]],"")))</f>
        <v/>
      </c>
      <c r="AN1244" t="str">
        <f>IF(ISNUMBER(FIND("arbeid",Methode_Keuze)),"",IF(ISNUMBER(FIND("arbeid",Methode_Keuze)),"",IF(Tb_Activiteiten[[#This Row],[Landbouwer]]=1,Tb_Activiteiten[[#Headers],[Landbouwer]],"")))</f>
        <v/>
      </c>
      <c r="AO1244" t="str">
        <f>IF(ISNUMBER(FIND("arbeid",Methode_Keuze)),"",IF(ISNUMBER(FIND("arbeid",Methode_Keuze)),"",IF(Tb_Activiteiten[[#This Row],[Adviseur]]=1,Tb_Activiteiten[[#Headers],[Adviseur]],"")))</f>
        <v/>
      </c>
      <c r="AP1244" t="str">
        <f>IF(ISNUMBER(FIND("arbeid",Methode_Keuze)),"",IF(ISNUMBER(FIND("arbeid",Methode_Keuze)),"",IF(Tb_Activiteiten[[#This Row],[Projectleider/Expert]]=1,Tb_Activiteiten[[#Headers],[Projectleider/Expert]],"")))</f>
        <v/>
      </c>
      <c r="AQ1244" t="str">
        <f>IF(ISNUMBER(FIND("arbeid",Methode_Keuze)),"",IF(ISNUMBER(FIND("arbeid",Methode_Keuze)),"",IF(Tb_Activiteiten[[#This Row],[Arbeidskosten]]=1,Tb_Activiteiten[[#Headers],[Arbeidskosten]],"")))</f>
        <v/>
      </c>
      <c r="AR1244" t="str">
        <f>IF(ISNUMBER(FIND("arbeid",Methode_Keuze)),"",IF(ISNUMBER(FIND("arbeid",Methode_Keuze)),"",IF(Tb_Activiteiten[[#This Row],[Arbeidskosten op basis van IKS]]=1,Tb_Activiteiten[[#Headers],[Arbeidskosten op basis van IKS]],"")))</f>
        <v/>
      </c>
      <c r="AS1244" t="str">
        <f>IF(ISNUMBER(FIND("overige",Methode_Keuze)),"",IF(Tb_Activiteiten[[#This Row],[Kosten derden exclusief btw]]=1,Tb_Activiteiten[[#Headers],[Kosten derden exclusief btw]],""))</f>
        <v/>
      </c>
      <c r="AT1244" t="str">
        <f>IF(ISNUMBER(FIND("overige",Methode_Keuze)),"",IF(Tb_Activiteiten[[#This Row],[Niet verrekenbare btw]]=1,Tb_Activiteiten[[#Headers],[Niet verrekenbare btw]],""))</f>
        <v/>
      </c>
      <c r="AU1244" t="str">
        <f>IF(ISNUMBER(FIND("overige",Methode_Keuze)),"",IF(Tb_Activiteiten[[#This Row],[Grondkosten]]=1,Tb_Activiteiten[[#Headers],[Grondkosten]],""))</f>
        <v/>
      </c>
      <c r="AV1244" t="str">
        <f>IF(ISNUMBER(FIND("overige",Methode_Keuze)),"",IF(Tb_Activiteiten[[#This Row],[Bijdrage in natura (overige)]]=1,Tb_Activiteiten[[#Headers],[Bijdrage in natura (overige)]],""))</f>
        <v/>
      </c>
      <c r="AW1244" t="str">
        <f>IF(ISNUMBER(FIND("overige",Methode_Keuze)),"",IF(Tb_Activiteiten[[#This Row],[Bijdrage in natura (vrijwilligers)]]=1,Tb_Activiteiten[[#Headers],[Bijdrage in natura (vrijwilligers)]],""))</f>
        <v/>
      </c>
      <c r="AX1244" t="str">
        <f>IF(ISNUMBER(FIND("overige",Methode_Keuze)),"",IF(Tb_Activiteiten[[#This Row],[Afschrijvingskosten]]=1,Tb_Activiteiten[[#Headers],[Afschrijvingskosten]],""))</f>
        <v/>
      </c>
      <c r="AY1244" t="str">
        <f>IF(ISNUMBER(FIND("overige",Methode_Keuze)),"",IF(Tb_Activiteiten[[#This Row],[Vergoeding]]=1,Tb_Activiteiten[[#Headers],[Vergoeding]],""))</f>
        <v/>
      </c>
      <c r="AZ1244" t="str">
        <f>IF(ISNUMBER(FIND("arbeid",Methode_Keuze)),"",IF(Tb_Activiteiten[[#This Row],[Arbeidskosten - vast tarief (excl eigen arbeid)]]=1,Tb_Activiteiten[[#Headers],[Arbeidskosten - vast tarief (excl eigen arbeid)]],""))</f>
        <v/>
      </c>
      <c r="BA1244" t="str">
        <f>IF(ISNUMBER(FIND("overige",Methode_Keuze)),"",IF(Tb_Activiteiten[[#This Row],[Overige kosten]]=1,Tb_Activiteiten[[#Headers],[Overige kosten]],""))</f>
        <v/>
      </c>
    </row>
    <row r="1245" spans="1:53" x14ac:dyDescent="0.25">
      <c r="A1245" s="139"/>
      <c r="B1245" s="139"/>
      <c r="C1245" s="139"/>
      <c r="D1245" s="139"/>
      <c r="E1245" s="139"/>
      <c r="F1245" s="139"/>
      <c r="G1245" s="139"/>
      <c r="O1245" s="56"/>
      <c r="Q1245" t="str">
        <f>IFERROR(IF(VLOOKUP(Tb_Activiteiten[[#This Row],[Openstelling]],Tb_Openstelling[],2,0)=1,1,""),"")</f>
        <v/>
      </c>
      <c r="AK1245" t="str">
        <f>IF(ISNUMBER(FIND("arbeid",Methode_Keuze)),"",IF(ISNUMBER(FIND("arbeid",Methode_Keuze)),"",IF(Tb_Activiteiten[[#This Row],[Loonkosten]]=1,Tb_Activiteiten[[#Headers],[Loonkosten]],"")))</f>
        <v/>
      </c>
      <c r="AL1245" t="str">
        <f>IF(ISNUMBER(FIND("arbeid",Methode_Keuze)),"",IF(ISNUMBER(FIND("arbeid",Methode_Keuze)),"",IF(Tb_Activiteiten[[#This Row],[Eigen arbeid]]=1,Tb_Activiteiten[[#Headers],[Eigen arbeid]],"")))</f>
        <v/>
      </c>
      <c r="AM1245" t="str">
        <f>IF(ISNUMBER(FIND("arbeid",Methode_Keuze)),"",IF(ISNUMBER(FIND("arbeid",Methode_Keuze)),"",IF(Tb_Activiteiten[[#This Row],[Projectmedewerker]]=1,Tb_Activiteiten[[#Headers],[Projectmedewerker]],"")))</f>
        <v/>
      </c>
      <c r="AN1245" t="str">
        <f>IF(ISNUMBER(FIND("arbeid",Methode_Keuze)),"",IF(ISNUMBER(FIND("arbeid",Methode_Keuze)),"",IF(Tb_Activiteiten[[#This Row],[Landbouwer]]=1,Tb_Activiteiten[[#Headers],[Landbouwer]],"")))</f>
        <v/>
      </c>
      <c r="AO1245" t="str">
        <f>IF(ISNUMBER(FIND("arbeid",Methode_Keuze)),"",IF(ISNUMBER(FIND("arbeid",Methode_Keuze)),"",IF(Tb_Activiteiten[[#This Row],[Adviseur]]=1,Tb_Activiteiten[[#Headers],[Adviseur]],"")))</f>
        <v/>
      </c>
      <c r="AP1245" t="str">
        <f>IF(ISNUMBER(FIND("arbeid",Methode_Keuze)),"",IF(ISNUMBER(FIND("arbeid",Methode_Keuze)),"",IF(Tb_Activiteiten[[#This Row],[Projectleider/Expert]]=1,Tb_Activiteiten[[#Headers],[Projectleider/Expert]],"")))</f>
        <v/>
      </c>
      <c r="AQ1245" t="str">
        <f>IF(ISNUMBER(FIND("arbeid",Methode_Keuze)),"",IF(ISNUMBER(FIND("arbeid",Methode_Keuze)),"",IF(Tb_Activiteiten[[#This Row],[Arbeidskosten]]=1,Tb_Activiteiten[[#Headers],[Arbeidskosten]],"")))</f>
        <v/>
      </c>
      <c r="AR1245" t="str">
        <f>IF(ISNUMBER(FIND("arbeid",Methode_Keuze)),"",IF(ISNUMBER(FIND("arbeid",Methode_Keuze)),"",IF(Tb_Activiteiten[[#This Row],[Arbeidskosten op basis van IKS]]=1,Tb_Activiteiten[[#Headers],[Arbeidskosten op basis van IKS]],"")))</f>
        <v/>
      </c>
      <c r="AS1245" t="str">
        <f>IF(ISNUMBER(FIND("overige",Methode_Keuze)),"",IF(Tb_Activiteiten[[#This Row],[Kosten derden exclusief btw]]=1,Tb_Activiteiten[[#Headers],[Kosten derden exclusief btw]],""))</f>
        <v/>
      </c>
      <c r="AT1245" t="str">
        <f>IF(ISNUMBER(FIND("overige",Methode_Keuze)),"",IF(Tb_Activiteiten[[#This Row],[Niet verrekenbare btw]]=1,Tb_Activiteiten[[#Headers],[Niet verrekenbare btw]],""))</f>
        <v/>
      </c>
      <c r="AU1245" t="str">
        <f>IF(ISNUMBER(FIND("overige",Methode_Keuze)),"",IF(Tb_Activiteiten[[#This Row],[Grondkosten]]=1,Tb_Activiteiten[[#Headers],[Grondkosten]],""))</f>
        <v/>
      </c>
      <c r="AV1245" t="str">
        <f>IF(ISNUMBER(FIND("overige",Methode_Keuze)),"",IF(Tb_Activiteiten[[#This Row],[Bijdrage in natura (overige)]]=1,Tb_Activiteiten[[#Headers],[Bijdrage in natura (overige)]],""))</f>
        <v/>
      </c>
      <c r="AW1245" t="str">
        <f>IF(ISNUMBER(FIND("overige",Methode_Keuze)),"",IF(Tb_Activiteiten[[#This Row],[Bijdrage in natura (vrijwilligers)]]=1,Tb_Activiteiten[[#Headers],[Bijdrage in natura (vrijwilligers)]],""))</f>
        <v/>
      </c>
      <c r="AX1245" t="str">
        <f>IF(ISNUMBER(FIND("overige",Methode_Keuze)),"",IF(Tb_Activiteiten[[#This Row],[Afschrijvingskosten]]=1,Tb_Activiteiten[[#Headers],[Afschrijvingskosten]],""))</f>
        <v/>
      </c>
      <c r="AY1245" t="str">
        <f>IF(ISNUMBER(FIND("overige",Methode_Keuze)),"",IF(Tb_Activiteiten[[#This Row],[Vergoeding]]=1,Tb_Activiteiten[[#Headers],[Vergoeding]],""))</f>
        <v/>
      </c>
      <c r="AZ1245" t="str">
        <f>IF(ISNUMBER(FIND("arbeid",Methode_Keuze)),"",IF(Tb_Activiteiten[[#This Row],[Arbeidskosten - vast tarief (excl eigen arbeid)]]=1,Tb_Activiteiten[[#Headers],[Arbeidskosten - vast tarief (excl eigen arbeid)]],""))</f>
        <v/>
      </c>
      <c r="BA1245" t="str">
        <f>IF(ISNUMBER(FIND("overige",Methode_Keuze)),"",IF(Tb_Activiteiten[[#This Row],[Overige kosten]]=1,Tb_Activiteiten[[#Headers],[Overige kosten]],""))</f>
        <v/>
      </c>
    </row>
    <row r="1246" spans="1:53" x14ac:dyDescent="0.25">
      <c r="A1246" s="139"/>
      <c r="B1246" s="139"/>
      <c r="C1246" s="139"/>
      <c r="D1246" s="139"/>
      <c r="E1246" s="139"/>
      <c r="F1246" s="139"/>
      <c r="G1246" s="139"/>
      <c r="O1246" s="56"/>
      <c r="Q1246" t="str">
        <f>IFERROR(IF(VLOOKUP(Tb_Activiteiten[[#This Row],[Openstelling]],Tb_Openstelling[],2,0)=1,1,""),"")</f>
        <v/>
      </c>
      <c r="AK1246" t="str">
        <f>IF(ISNUMBER(FIND("arbeid",Methode_Keuze)),"",IF(ISNUMBER(FIND("arbeid",Methode_Keuze)),"",IF(Tb_Activiteiten[[#This Row],[Loonkosten]]=1,Tb_Activiteiten[[#Headers],[Loonkosten]],"")))</f>
        <v/>
      </c>
      <c r="AL1246" t="str">
        <f>IF(ISNUMBER(FIND("arbeid",Methode_Keuze)),"",IF(ISNUMBER(FIND("arbeid",Methode_Keuze)),"",IF(Tb_Activiteiten[[#This Row],[Eigen arbeid]]=1,Tb_Activiteiten[[#Headers],[Eigen arbeid]],"")))</f>
        <v/>
      </c>
      <c r="AM1246" t="str">
        <f>IF(ISNUMBER(FIND("arbeid",Methode_Keuze)),"",IF(ISNUMBER(FIND("arbeid",Methode_Keuze)),"",IF(Tb_Activiteiten[[#This Row],[Projectmedewerker]]=1,Tb_Activiteiten[[#Headers],[Projectmedewerker]],"")))</f>
        <v/>
      </c>
      <c r="AN1246" t="str">
        <f>IF(ISNUMBER(FIND("arbeid",Methode_Keuze)),"",IF(ISNUMBER(FIND("arbeid",Methode_Keuze)),"",IF(Tb_Activiteiten[[#This Row],[Landbouwer]]=1,Tb_Activiteiten[[#Headers],[Landbouwer]],"")))</f>
        <v/>
      </c>
      <c r="AO1246" t="str">
        <f>IF(ISNUMBER(FIND("arbeid",Methode_Keuze)),"",IF(ISNUMBER(FIND("arbeid",Methode_Keuze)),"",IF(Tb_Activiteiten[[#This Row],[Adviseur]]=1,Tb_Activiteiten[[#Headers],[Adviseur]],"")))</f>
        <v/>
      </c>
      <c r="AP1246" t="str">
        <f>IF(ISNUMBER(FIND("arbeid",Methode_Keuze)),"",IF(ISNUMBER(FIND("arbeid",Methode_Keuze)),"",IF(Tb_Activiteiten[[#This Row],[Projectleider/Expert]]=1,Tb_Activiteiten[[#Headers],[Projectleider/Expert]],"")))</f>
        <v/>
      </c>
      <c r="AQ1246" t="str">
        <f>IF(ISNUMBER(FIND("arbeid",Methode_Keuze)),"",IF(ISNUMBER(FIND("arbeid",Methode_Keuze)),"",IF(Tb_Activiteiten[[#This Row],[Arbeidskosten]]=1,Tb_Activiteiten[[#Headers],[Arbeidskosten]],"")))</f>
        <v/>
      </c>
      <c r="AR1246" t="str">
        <f>IF(ISNUMBER(FIND("arbeid",Methode_Keuze)),"",IF(ISNUMBER(FIND("arbeid",Methode_Keuze)),"",IF(Tb_Activiteiten[[#This Row],[Arbeidskosten op basis van IKS]]=1,Tb_Activiteiten[[#Headers],[Arbeidskosten op basis van IKS]],"")))</f>
        <v/>
      </c>
      <c r="AS1246" t="str">
        <f>IF(ISNUMBER(FIND("overige",Methode_Keuze)),"",IF(Tb_Activiteiten[[#This Row],[Kosten derden exclusief btw]]=1,Tb_Activiteiten[[#Headers],[Kosten derden exclusief btw]],""))</f>
        <v/>
      </c>
      <c r="AT1246" t="str">
        <f>IF(ISNUMBER(FIND("overige",Methode_Keuze)),"",IF(Tb_Activiteiten[[#This Row],[Niet verrekenbare btw]]=1,Tb_Activiteiten[[#Headers],[Niet verrekenbare btw]],""))</f>
        <v/>
      </c>
      <c r="AU1246" t="str">
        <f>IF(ISNUMBER(FIND("overige",Methode_Keuze)),"",IF(Tb_Activiteiten[[#This Row],[Grondkosten]]=1,Tb_Activiteiten[[#Headers],[Grondkosten]],""))</f>
        <v/>
      </c>
      <c r="AV1246" t="str">
        <f>IF(ISNUMBER(FIND("overige",Methode_Keuze)),"",IF(Tb_Activiteiten[[#This Row],[Bijdrage in natura (overige)]]=1,Tb_Activiteiten[[#Headers],[Bijdrage in natura (overige)]],""))</f>
        <v/>
      </c>
      <c r="AW1246" t="str">
        <f>IF(ISNUMBER(FIND("overige",Methode_Keuze)),"",IF(Tb_Activiteiten[[#This Row],[Bijdrage in natura (vrijwilligers)]]=1,Tb_Activiteiten[[#Headers],[Bijdrage in natura (vrijwilligers)]],""))</f>
        <v/>
      </c>
      <c r="AX1246" t="str">
        <f>IF(ISNUMBER(FIND("overige",Methode_Keuze)),"",IF(Tb_Activiteiten[[#This Row],[Afschrijvingskosten]]=1,Tb_Activiteiten[[#Headers],[Afschrijvingskosten]],""))</f>
        <v/>
      </c>
      <c r="AY1246" t="str">
        <f>IF(ISNUMBER(FIND("overige",Methode_Keuze)),"",IF(Tb_Activiteiten[[#This Row],[Vergoeding]]=1,Tb_Activiteiten[[#Headers],[Vergoeding]],""))</f>
        <v/>
      </c>
      <c r="AZ1246" t="str">
        <f>IF(ISNUMBER(FIND("arbeid",Methode_Keuze)),"",IF(Tb_Activiteiten[[#This Row],[Arbeidskosten - vast tarief (excl eigen arbeid)]]=1,Tb_Activiteiten[[#Headers],[Arbeidskosten - vast tarief (excl eigen arbeid)]],""))</f>
        <v/>
      </c>
      <c r="BA1246" t="str">
        <f>IF(ISNUMBER(FIND("overige",Methode_Keuze)),"",IF(Tb_Activiteiten[[#This Row],[Overige kosten]]=1,Tb_Activiteiten[[#Headers],[Overige kosten]],""))</f>
        <v/>
      </c>
    </row>
    <row r="1247" spans="1:53" x14ac:dyDescent="0.25">
      <c r="A1247" s="139"/>
      <c r="B1247" s="139"/>
      <c r="C1247" s="139"/>
      <c r="D1247" s="139"/>
      <c r="E1247" s="139"/>
      <c r="F1247" s="139"/>
      <c r="G1247" s="139"/>
      <c r="O1247" s="56"/>
      <c r="Q1247" t="str">
        <f>IFERROR(IF(VLOOKUP(Tb_Activiteiten[[#This Row],[Openstelling]],Tb_Openstelling[],2,0)=1,1,""),"")</f>
        <v/>
      </c>
      <c r="AK1247" t="str">
        <f>IF(ISNUMBER(FIND("arbeid",Methode_Keuze)),"",IF(ISNUMBER(FIND("arbeid",Methode_Keuze)),"",IF(Tb_Activiteiten[[#This Row],[Loonkosten]]=1,Tb_Activiteiten[[#Headers],[Loonkosten]],"")))</f>
        <v/>
      </c>
      <c r="AL1247" t="str">
        <f>IF(ISNUMBER(FIND("arbeid",Methode_Keuze)),"",IF(ISNUMBER(FIND("arbeid",Methode_Keuze)),"",IF(Tb_Activiteiten[[#This Row],[Eigen arbeid]]=1,Tb_Activiteiten[[#Headers],[Eigen arbeid]],"")))</f>
        <v/>
      </c>
      <c r="AM1247" t="str">
        <f>IF(ISNUMBER(FIND("arbeid",Methode_Keuze)),"",IF(ISNUMBER(FIND("arbeid",Methode_Keuze)),"",IF(Tb_Activiteiten[[#This Row],[Projectmedewerker]]=1,Tb_Activiteiten[[#Headers],[Projectmedewerker]],"")))</f>
        <v/>
      </c>
      <c r="AN1247" t="str">
        <f>IF(ISNUMBER(FIND("arbeid",Methode_Keuze)),"",IF(ISNUMBER(FIND("arbeid",Methode_Keuze)),"",IF(Tb_Activiteiten[[#This Row],[Landbouwer]]=1,Tb_Activiteiten[[#Headers],[Landbouwer]],"")))</f>
        <v/>
      </c>
      <c r="AO1247" t="str">
        <f>IF(ISNUMBER(FIND("arbeid",Methode_Keuze)),"",IF(ISNUMBER(FIND("arbeid",Methode_Keuze)),"",IF(Tb_Activiteiten[[#This Row],[Adviseur]]=1,Tb_Activiteiten[[#Headers],[Adviseur]],"")))</f>
        <v/>
      </c>
      <c r="AP1247" t="str">
        <f>IF(ISNUMBER(FIND("arbeid",Methode_Keuze)),"",IF(ISNUMBER(FIND("arbeid",Methode_Keuze)),"",IF(Tb_Activiteiten[[#This Row],[Projectleider/Expert]]=1,Tb_Activiteiten[[#Headers],[Projectleider/Expert]],"")))</f>
        <v/>
      </c>
      <c r="AQ1247" t="str">
        <f>IF(ISNUMBER(FIND("arbeid",Methode_Keuze)),"",IF(ISNUMBER(FIND("arbeid",Methode_Keuze)),"",IF(Tb_Activiteiten[[#This Row],[Arbeidskosten]]=1,Tb_Activiteiten[[#Headers],[Arbeidskosten]],"")))</f>
        <v/>
      </c>
      <c r="AR1247" t="str">
        <f>IF(ISNUMBER(FIND("arbeid",Methode_Keuze)),"",IF(ISNUMBER(FIND("arbeid",Methode_Keuze)),"",IF(Tb_Activiteiten[[#This Row],[Arbeidskosten op basis van IKS]]=1,Tb_Activiteiten[[#Headers],[Arbeidskosten op basis van IKS]],"")))</f>
        <v/>
      </c>
      <c r="AS1247" t="str">
        <f>IF(ISNUMBER(FIND("overige",Methode_Keuze)),"",IF(Tb_Activiteiten[[#This Row],[Kosten derden exclusief btw]]=1,Tb_Activiteiten[[#Headers],[Kosten derden exclusief btw]],""))</f>
        <v/>
      </c>
      <c r="AT1247" t="str">
        <f>IF(ISNUMBER(FIND("overige",Methode_Keuze)),"",IF(Tb_Activiteiten[[#This Row],[Niet verrekenbare btw]]=1,Tb_Activiteiten[[#Headers],[Niet verrekenbare btw]],""))</f>
        <v/>
      </c>
      <c r="AU1247" t="str">
        <f>IF(ISNUMBER(FIND("overige",Methode_Keuze)),"",IF(Tb_Activiteiten[[#This Row],[Grondkosten]]=1,Tb_Activiteiten[[#Headers],[Grondkosten]],""))</f>
        <v/>
      </c>
      <c r="AV1247" t="str">
        <f>IF(ISNUMBER(FIND("overige",Methode_Keuze)),"",IF(Tb_Activiteiten[[#This Row],[Bijdrage in natura (overige)]]=1,Tb_Activiteiten[[#Headers],[Bijdrage in natura (overige)]],""))</f>
        <v/>
      </c>
      <c r="AW1247" t="str">
        <f>IF(ISNUMBER(FIND("overige",Methode_Keuze)),"",IF(Tb_Activiteiten[[#This Row],[Bijdrage in natura (vrijwilligers)]]=1,Tb_Activiteiten[[#Headers],[Bijdrage in natura (vrijwilligers)]],""))</f>
        <v/>
      </c>
      <c r="AX1247" t="str">
        <f>IF(ISNUMBER(FIND("overige",Methode_Keuze)),"",IF(Tb_Activiteiten[[#This Row],[Afschrijvingskosten]]=1,Tb_Activiteiten[[#Headers],[Afschrijvingskosten]],""))</f>
        <v/>
      </c>
      <c r="AY1247" t="str">
        <f>IF(ISNUMBER(FIND("overige",Methode_Keuze)),"",IF(Tb_Activiteiten[[#This Row],[Vergoeding]]=1,Tb_Activiteiten[[#Headers],[Vergoeding]],""))</f>
        <v/>
      </c>
      <c r="AZ1247" t="str">
        <f>IF(ISNUMBER(FIND("arbeid",Methode_Keuze)),"",IF(Tb_Activiteiten[[#This Row],[Arbeidskosten - vast tarief (excl eigen arbeid)]]=1,Tb_Activiteiten[[#Headers],[Arbeidskosten - vast tarief (excl eigen arbeid)]],""))</f>
        <v/>
      </c>
      <c r="BA1247" t="str">
        <f>IF(ISNUMBER(FIND("overige",Methode_Keuze)),"",IF(Tb_Activiteiten[[#This Row],[Overige kosten]]=1,Tb_Activiteiten[[#Headers],[Overige kosten]],""))</f>
        <v/>
      </c>
    </row>
    <row r="1248" spans="1:53" x14ac:dyDescent="0.25">
      <c r="A1248" s="139"/>
      <c r="B1248" s="139"/>
      <c r="C1248" s="139"/>
      <c r="D1248" s="139"/>
      <c r="E1248" s="139"/>
      <c r="F1248" s="139"/>
      <c r="G1248" s="139"/>
      <c r="O1248" s="56"/>
      <c r="Q1248" t="str">
        <f>IFERROR(IF(VLOOKUP(Tb_Activiteiten[[#This Row],[Openstelling]],Tb_Openstelling[],2,0)=1,1,""),"")</f>
        <v/>
      </c>
      <c r="AK1248" t="str">
        <f>IF(ISNUMBER(FIND("arbeid",Methode_Keuze)),"",IF(ISNUMBER(FIND("arbeid",Methode_Keuze)),"",IF(Tb_Activiteiten[[#This Row],[Loonkosten]]=1,Tb_Activiteiten[[#Headers],[Loonkosten]],"")))</f>
        <v/>
      </c>
      <c r="AL1248" t="str">
        <f>IF(ISNUMBER(FIND("arbeid",Methode_Keuze)),"",IF(ISNUMBER(FIND("arbeid",Methode_Keuze)),"",IF(Tb_Activiteiten[[#This Row],[Eigen arbeid]]=1,Tb_Activiteiten[[#Headers],[Eigen arbeid]],"")))</f>
        <v/>
      </c>
      <c r="AM1248" t="str">
        <f>IF(ISNUMBER(FIND("arbeid",Methode_Keuze)),"",IF(ISNUMBER(FIND("arbeid",Methode_Keuze)),"",IF(Tb_Activiteiten[[#This Row],[Projectmedewerker]]=1,Tb_Activiteiten[[#Headers],[Projectmedewerker]],"")))</f>
        <v/>
      </c>
      <c r="AN1248" t="str">
        <f>IF(ISNUMBER(FIND("arbeid",Methode_Keuze)),"",IF(ISNUMBER(FIND("arbeid",Methode_Keuze)),"",IF(Tb_Activiteiten[[#This Row],[Landbouwer]]=1,Tb_Activiteiten[[#Headers],[Landbouwer]],"")))</f>
        <v/>
      </c>
      <c r="AO1248" t="str">
        <f>IF(ISNUMBER(FIND("arbeid",Methode_Keuze)),"",IF(ISNUMBER(FIND("arbeid",Methode_Keuze)),"",IF(Tb_Activiteiten[[#This Row],[Adviseur]]=1,Tb_Activiteiten[[#Headers],[Adviseur]],"")))</f>
        <v/>
      </c>
      <c r="AP1248" t="str">
        <f>IF(ISNUMBER(FIND("arbeid",Methode_Keuze)),"",IF(ISNUMBER(FIND("arbeid",Methode_Keuze)),"",IF(Tb_Activiteiten[[#This Row],[Projectleider/Expert]]=1,Tb_Activiteiten[[#Headers],[Projectleider/Expert]],"")))</f>
        <v/>
      </c>
      <c r="AQ1248" t="str">
        <f>IF(ISNUMBER(FIND("arbeid",Methode_Keuze)),"",IF(ISNUMBER(FIND("arbeid",Methode_Keuze)),"",IF(Tb_Activiteiten[[#This Row],[Arbeidskosten]]=1,Tb_Activiteiten[[#Headers],[Arbeidskosten]],"")))</f>
        <v/>
      </c>
      <c r="AR1248" t="str">
        <f>IF(ISNUMBER(FIND("arbeid",Methode_Keuze)),"",IF(ISNUMBER(FIND("arbeid",Methode_Keuze)),"",IF(Tb_Activiteiten[[#This Row],[Arbeidskosten op basis van IKS]]=1,Tb_Activiteiten[[#Headers],[Arbeidskosten op basis van IKS]],"")))</f>
        <v/>
      </c>
      <c r="AS1248" t="str">
        <f>IF(ISNUMBER(FIND("overige",Methode_Keuze)),"",IF(Tb_Activiteiten[[#This Row],[Kosten derden exclusief btw]]=1,Tb_Activiteiten[[#Headers],[Kosten derden exclusief btw]],""))</f>
        <v/>
      </c>
      <c r="AT1248" t="str">
        <f>IF(ISNUMBER(FIND("overige",Methode_Keuze)),"",IF(Tb_Activiteiten[[#This Row],[Niet verrekenbare btw]]=1,Tb_Activiteiten[[#Headers],[Niet verrekenbare btw]],""))</f>
        <v/>
      </c>
      <c r="AU1248" t="str">
        <f>IF(ISNUMBER(FIND("overige",Methode_Keuze)),"",IF(Tb_Activiteiten[[#This Row],[Grondkosten]]=1,Tb_Activiteiten[[#Headers],[Grondkosten]],""))</f>
        <v/>
      </c>
      <c r="AV1248" t="str">
        <f>IF(ISNUMBER(FIND("overige",Methode_Keuze)),"",IF(Tb_Activiteiten[[#This Row],[Bijdrage in natura (overige)]]=1,Tb_Activiteiten[[#Headers],[Bijdrage in natura (overige)]],""))</f>
        <v/>
      </c>
      <c r="AW1248" t="str">
        <f>IF(ISNUMBER(FIND("overige",Methode_Keuze)),"",IF(Tb_Activiteiten[[#This Row],[Bijdrage in natura (vrijwilligers)]]=1,Tb_Activiteiten[[#Headers],[Bijdrage in natura (vrijwilligers)]],""))</f>
        <v/>
      </c>
      <c r="AX1248" t="str">
        <f>IF(ISNUMBER(FIND("overige",Methode_Keuze)),"",IF(Tb_Activiteiten[[#This Row],[Afschrijvingskosten]]=1,Tb_Activiteiten[[#Headers],[Afschrijvingskosten]],""))</f>
        <v/>
      </c>
      <c r="AY1248" t="str">
        <f>IF(ISNUMBER(FIND("overige",Methode_Keuze)),"",IF(Tb_Activiteiten[[#This Row],[Vergoeding]]=1,Tb_Activiteiten[[#Headers],[Vergoeding]],""))</f>
        <v/>
      </c>
      <c r="AZ1248" t="str">
        <f>IF(ISNUMBER(FIND("arbeid",Methode_Keuze)),"",IF(Tb_Activiteiten[[#This Row],[Arbeidskosten - vast tarief (excl eigen arbeid)]]=1,Tb_Activiteiten[[#Headers],[Arbeidskosten - vast tarief (excl eigen arbeid)]],""))</f>
        <v/>
      </c>
      <c r="BA1248" t="str">
        <f>IF(ISNUMBER(FIND("overige",Methode_Keuze)),"",IF(Tb_Activiteiten[[#This Row],[Overige kosten]]=1,Tb_Activiteiten[[#Headers],[Overige kosten]],""))</f>
        <v/>
      </c>
    </row>
    <row r="1249" spans="1:53" x14ac:dyDescent="0.25">
      <c r="A1249" s="139"/>
      <c r="B1249" s="139"/>
      <c r="C1249" s="139"/>
      <c r="D1249" s="139"/>
      <c r="E1249" s="139"/>
      <c r="F1249" s="139"/>
      <c r="G1249" s="139"/>
      <c r="O1249" s="56"/>
      <c r="Q1249" t="str">
        <f>IFERROR(IF(VLOOKUP(Tb_Activiteiten[[#This Row],[Openstelling]],Tb_Openstelling[],2,0)=1,1,""),"")</f>
        <v/>
      </c>
      <c r="AK1249" t="str">
        <f>IF(ISNUMBER(FIND("arbeid",Methode_Keuze)),"",IF(ISNUMBER(FIND("arbeid",Methode_Keuze)),"",IF(Tb_Activiteiten[[#This Row],[Loonkosten]]=1,Tb_Activiteiten[[#Headers],[Loonkosten]],"")))</f>
        <v/>
      </c>
      <c r="AL1249" t="str">
        <f>IF(ISNUMBER(FIND("arbeid",Methode_Keuze)),"",IF(ISNUMBER(FIND("arbeid",Methode_Keuze)),"",IF(Tb_Activiteiten[[#This Row],[Eigen arbeid]]=1,Tb_Activiteiten[[#Headers],[Eigen arbeid]],"")))</f>
        <v/>
      </c>
      <c r="AM1249" t="str">
        <f>IF(ISNUMBER(FIND("arbeid",Methode_Keuze)),"",IF(ISNUMBER(FIND("arbeid",Methode_Keuze)),"",IF(Tb_Activiteiten[[#This Row],[Projectmedewerker]]=1,Tb_Activiteiten[[#Headers],[Projectmedewerker]],"")))</f>
        <v/>
      </c>
      <c r="AN1249" t="str">
        <f>IF(ISNUMBER(FIND("arbeid",Methode_Keuze)),"",IF(ISNUMBER(FIND("arbeid",Methode_Keuze)),"",IF(Tb_Activiteiten[[#This Row],[Landbouwer]]=1,Tb_Activiteiten[[#Headers],[Landbouwer]],"")))</f>
        <v/>
      </c>
      <c r="AO1249" t="str">
        <f>IF(ISNUMBER(FIND("arbeid",Methode_Keuze)),"",IF(ISNUMBER(FIND("arbeid",Methode_Keuze)),"",IF(Tb_Activiteiten[[#This Row],[Adviseur]]=1,Tb_Activiteiten[[#Headers],[Adviseur]],"")))</f>
        <v/>
      </c>
      <c r="AP1249" t="str">
        <f>IF(ISNUMBER(FIND("arbeid",Methode_Keuze)),"",IF(ISNUMBER(FIND("arbeid",Methode_Keuze)),"",IF(Tb_Activiteiten[[#This Row],[Projectleider/Expert]]=1,Tb_Activiteiten[[#Headers],[Projectleider/Expert]],"")))</f>
        <v/>
      </c>
      <c r="AQ1249" t="str">
        <f>IF(ISNUMBER(FIND("arbeid",Methode_Keuze)),"",IF(ISNUMBER(FIND("arbeid",Methode_Keuze)),"",IF(Tb_Activiteiten[[#This Row],[Arbeidskosten]]=1,Tb_Activiteiten[[#Headers],[Arbeidskosten]],"")))</f>
        <v/>
      </c>
      <c r="AR1249" t="str">
        <f>IF(ISNUMBER(FIND("arbeid",Methode_Keuze)),"",IF(ISNUMBER(FIND("arbeid",Methode_Keuze)),"",IF(Tb_Activiteiten[[#This Row],[Arbeidskosten op basis van IKS]]=1,Tb_Activiteiten[[#Headers],[Arbeidskosten op basis van IKS]],"")))</f>
        <v/>
      </c>
      <c r="AS1249" t="str">
        <f>IF(ISNUMBER(FIND("overige",Methode_Keuze)),"",IF(Tb_Activiteiten[[#This Row],[Kosten derden exclusief btw]]=1,Tb_Activiteiten[[#Headers],[Kosten derden exclusief btw]],""))</f>
        <v/>
      </c>
      <c r="AT1249" t="str">
        <f>IF(ISNUMBER(FIND("overige",Methode_Keuze)),"",IF(Tb_Activiteiten[[#This Row],[Niet verrekenbare btw]]=1,Tb_Activiteiten[[#Headers],[Niet verrekenbare btw]],""))</f>
        <v/>
      </c>
      <c r="AU1249" t="str">
        <f>IF(ISNUMBER(FIND("overige",Methode_Keuze)),"",IF(Tb_Activiteiten[[#This Row],[Grondkosten]]=1,Tb_Activiteiten[[#Headers],[Grondkosten]],""))</f>
        <v/>
      </c>
      <c r="AV1249" t="str">
        <f>IF(ISNUMBER(FIND("overige",Methode_Keuze)),"",IF(Tb_Activiteiten[[#This Row],[Bijdrage in natura (overige)]]=1,Tb_Activiteiten[[#Headers],[Bijdrage in natura (overige)]],""))</f>
        <v/>
      </c>
      <c r="AW1249" t="str">
        <f>IF(ISNUMBER(FIND("overige",Methode_Keuze)),"",IF(Tb_Activiteiten[[#This Row],[Bijdrage in natura (vrijwilligers)]]=1,Tb_Activiteiten[[#Headers],[Bijdrage in natura (vrijwilligers)]],""))</f>
        <v/>
      </c>
      <c r="AX1249" t="str">
        <f>IF(ISNUMBER(FIND("overige",Methode_Keuze)),"",IF(Tb_Activiteiten[[#This Row],[Afschrijvingskosten]]=1,Tb_Activiteiten[[#Headers],[Afschrijvingskosten]],""))</f>
        <v/>
      </c>
      <c r="AY1249" t="str">
        <f>IF(ISNUMBER(FIND("overige",Methode_Keuze)),"",IF(Tb_Activiteiten[[#This Row],[Vergoeding]]=1,Tb_Activiteiten[[#Headers],[Vergoeding]],""))</f>
        <v/>
      </c>
      <c r="AZ1249" t="str">
        <f>IF(ISNUMBER(FIND("arbeid",Methode_Keuze)),"",IF(Tb_Activiteiten[[#This Row],[Arbeidskosten - vast tarief (excl eigen arbeid)]]=1,Tb_Activiteiten[[#Headers],[Arbeidskosten - vast tarief (excl eigen arbeid)]],""))</f>
        <v/>
      </c>
      <c r="BA1249" t="str">
        <f>IF(ISNUMBER(FIND("overige",Methode_Keuze)),"",IF(Tb_Activiteiten[[#This Row],[Overige kosten]]=1,Tb_Activiteiten[[#Headers],[Overige kosten]],""))</f>
        <v/>
      </c>
    </row>
    <row r="1250" spans="1:53" x14ac:dyDescent="0.25">
      <c r="A1250" s="139"/>
      <c r="B1250" s="139"/>
      <c r="C1250" s="139"/>
      <c r="D1250" s="139"/>
      <c r="E1250" s="139"/>
      <c r="F1250" s="139"/>
      <c r="G1250" s="139"/>
      <c r="O1250" s="56"/>
      <c r="Q1250" t="str">
        <f>IFERROR(IF(VLOOKUP(Tb_Activiteiten[[#This Row],[Openstelling]],Tb_Openstelling[],2,0)=1,1,""),"")</f>
        <v/>
      </c>
      <c r="AK1250" t="str">
        <f>IF(ISNUMBER(FIND("arbeid",Methode_Keuze)),"",IF(ISNUMBER(FIND("arbeid",Methode_Keuze)),"",IF(Tb_Activiteiten[[#This Row],[Loonkosten]]=1,Tb_Activiteiten[[#Headers],[Loonkosten]],"")))</f>
        <v/>
      </c>
      <c r="AL1250" t="str">
        <f>IF(ISNUMBER(FIND("arbeid",Methode_Keuze)),"",IF(ISNUMBER(FIND("arbeid",Methode_Keuze)),"",IF(Tb_Activiteiten[[#This Row],[Eigen arbeid]]=1,Tb_Activiteiten[[#Headers],[Eigen arbeid]],"")))</f>
        <v/>
      </c>
      <c r="AM1250" t="str">
        <f>IF(ISNUMBER(FIND("arbeid",Methode_Keuze)),"",IF(ISNUMBER(FIND("arbeid",Methode_Keuze)),"",IF(Tb_Activiteiten[[#This Row],[Projectmedewerker]]=1,Tb_Activiteiten[[#Headers],[Projectmedewerker]],"")))</f>
        <v/>
      </c>
      <c r="AN1250" t="str">
        <f>IF(ISNUMBER(FIND("arbeid",Methode_Keuze)),"",IF(ISNUMBER(FIND("arbeid",Methode_Keuze)),"",IF(Tb_Activiteiten[[#This Row],[Landbouwer]]=1,Tb_Activiteiten[[#Headers],[Landbouwer]],"")))</f>
        <v/>
      </c>
      <c r="AO1250" t="str">
        <f>IF(ISNUMBER(FIND("arbeid",Methode_Keuze)),"",IF(ISNUMBER(FIND("arbeid",Methode_Keuze)),"",IF(Tb_Activiteiten[[#This Row],[Adviseur]]=1,Tb_Activiteiten[[#Headers],[Adviseur]],"")))</f>
        <v/>
      </c>
      <c r="AP1250" t="str">
        <f>IF(ISNUMBER(FIND("arbeid",Methode_Keuze)),"",IF(ISNUMBER(FIND("arbeid",Methode_Keuze)),"",IF(Tb_Activiteiten[[#This Row],[Projectleider/Expert]]=1,Tb_Activiteiten[[#Headers],[Projectleider/Expert]],"")))</f>
        <v/>
      </c>
      <c r="AQ1250" t="str">
        <f>IF(ISNUMBER(FIND("arbeid",Methode_Keuze)),"",IF(ISNUMBER(FIND("arbeid",Methode_Keuze)),"",IF(Tb_Activiteiten[[#This Row],[Arbeidskosten]]=1,Tb_Activiteiten[[#Headers],[Arbeidskosten]],"")))</f>
        <v/>
      </c>
      <c r="AR1250" t="str">
        <f>IF(ISNUMBER(FIND("arbeid",Methode_Keuze)),"",IF(ISNUMBER(FIND("arbeid",Methode_Keuze)),"",IF(Tb_Activiteiten[[#This Row],[Arbeidskosten op basis van IKS]]=1,Tb_Activiteiten[[#Headers],[Arbeidskosten op basis van IKS]],"")))</f>
        <v/>
      </c>
      <c r="AS1250" t="str">
        <f>IF(ISNUMBER(FIND("overige",Methode_Keuze)),"",IF(Tb_Activiteiten[[#This Row],[Kosten derden exclusief btw]]=1,Tb_Activiteiten[[#Headers],[Kosten derden exclusief btw]],""))</f>
        <v/>
      </c>
      <c r="AT1250" t="str">
        <f>IF(ISNUMBER(FIND("overige",Methode_Keuze)),"",IF(Tb_Activiteiten[[#This Row],[Niet verrekenbare btw]]=1,Tb_Activiteiten[[#Headers],[Niet verrekenbare btw]],""))</f>
        <v/>
      </c>
      <c r="AU1250" t="str">
        <f>IF(ISNUMBER(FIND("overige",Methode_Keuze)),"",IF(Tb_Activiteiten[[#This Row],[Grondkosten]]=1,Tb_Activiteiten[[#Headers],[Grondkosten]],""))</f>
        <v/>
      </c>
      <c r="AV1250" t="str">
        <f>IF(ISNUMBER(FIND("overige",Methode_Keuze)),"",IF(Tb_Activiteiten[[#This Row],[Bijdrage in natura (overige)]]=1,Tb_Activiteiten[[#Headers],[Bijdrage in natura (overige)]],""))</f>
        <v/>
      </c>
      <c r="AW1250" t="str">
        <f>IF(ISNUMBER(FIND("overige",Methode_Keuze)),"",IF(Tb_Activiteiten[[#This Row],[Bijdrage in natura (vrijwilligers)]]=1,Tb_Activiteiten[[#Headers],[Bijdrage in natura (vrijwilligers)]],""))</f>
        <v/>
      </c>
      <c r="AX1250" t="str">
        <f>IF(ISNUMBER(FIND("overige",Methode_Keuze)),"",IF(Tb_Activiteiten[[#This Row],[Afschrijvingskosten]]=1,Tb_Activiteiten[[#Headers],[Afschrijvingskosten]],""))</f>
        <v/>
      </c>
      <c r="AY1250" t="str">
        <f>IF(ISNUMBER(FIND("overige",Methode_Keuze)),"",IF(Tb_Activiteiten[[#This Row],[Vergoeding]]=1,Tb_Activiteiten[[#Headers],[Vergoeding]],""))</f>
        <v/>
      </c>
      <c r="AZ1250" t="str">
        <f>IF(ISNUMBER(FIND("arbeid",Methode_Keuze)),"",IF(Tb_Activiteiten[[#This Row],[Arbeidskosten - vast tarief (excl eigen arbeid)]]=1,Tb_Activiteiten[[#Headers],[Arbeidskosten - vast tarief (excl eigen arbeid)]],""))</f>
        <v/>
      </c>
      <c r="BA1250" t="str">
        <f>IF(ISNUMBER(FIND("overige",Methode_Keuze)),"",IF(Tb_Activiteiten[[#This Row],[Overige kosten]]=1,Tb_Activiteiten[[#Headers],[Overige kosten]],""))</f>
        <v/>
      </c>
    </row>
    <row r="1251" spans="1:53" x14ac:dyDescent="0.25">
      <c r="A1251" s="139"/>
      <c r="B1251" s="139"/>
      <c r="C1251" s="139"/>
      <c r="D1251" s="139"/>
      <c r="E1251" s="139"/>
      <c r="F1251" s="139"/>
      <c r="G1251" s="139"/>
      <c r="O1251" s="56"/>
      <c r="Q1251" t="str">
        <f>IFERROR(IF(VLOOKUP(Tb_Activiteiten[[#This Row],[Openstelling]],Tb_Openstelling[],2,0)=1,1,""),"")</f>
        <v/>
      </c>
      <c r="AK1251" t="str">
        <f>IF(ISNUMBER(FIND("arbeid",Methode_Keuze)),"",IF(ISNUMBER(FIND("arbeid",Methode_Keuze)),"",IF(Tb_Activiteiten[[#This Row],[Loonkosten]]=1,Tb_Activiteiten[[#Headers],[Loonkosten]],"")))</f>
        <v/>
      </c>
      <c r="AL1251" t="str">
        <f>IF(ISNUMBER(FIND("arbeid",Methode_Keuze)),"",IF(ISNUMBER(FIND("arbeid",Methode_Keuze)),"",IF(Tb_Activiteiten[[#This Row],[Eigen arbeid]]=1,Tb_Activiteiten[[#Headers],[Eigen arbeid]],"")))</f>
        <v/>
      </c>
      <c r="AM1251" t="str">
        <f>IF(ISNUMBER(FIND("arbeid",Methode_Keuze)),"",IF(ISNUMBER(FIND("arbeid",Methode_Keuze)),"",IF(Tb_Activiteiten[[#This Row],[Projectmedewerker]]=1,Tb_Activiteiten[[#Headers],[Projectmedewerker]],"")))</f>
        <v/>
      </c>
      <c r="AN1251" t="str">
        <f>IF(ISNUMBER(FIND("arbeid",Methode_Keuze)),"",IF(ISNUMBER(FIND("arbeid",Methode_Keuze)),"",IF(Tb_Activiteiten[[#This Row],[Landbouwer]]=1,Tb_Activiteiten[[#Headers],[Landbouwer]],"")))</f>
        <v/>
      </c>
      <c r="AO1251" t="str">
        <f>IF(ISNUMBER(FIND("arbeid",Methode_Keuze)),"",IF(ISNUMBER(FIND("arbeid",Methode_Keuze)),"",IF(Tb_Activiteiten[[#This Row],[Adviseur]]=1,Tb_Activiteiten[[#Headers],[Adviseur]],"")))</f>
        <v/>
      </c>
      <c r="AP1251" t="str">
        <f>IF(ISNUMBER(FIND("arbeid",Methode_Keuze)),"",IF(ISNUMBER(FIND("arbeid",Methode_Keuze)),"",IF(Tb_Activiteiten[[#This Row],[Projectleider/Expert]]=1,Tb_Activiteiten[[#Headers],[Projectleider/Expert]],"")))</f>
        <v/>
      </c>
      <c r="AQ1251" t="str">
        <f>IF(ISNUMBER(FIND("arbeid",Methode_Keuze)),"",IF(ISNUMBER(FIND("arbeid",Methode_Keuze)),"",IF(Tb_Activiteiten[[#This Row],[Arbeidskosten]]=1,Tb_Activiteiten[[#Headers],[Arbeidskosten]],"")))</f>
        <v/>
      </c>
      <c r="AR1251" t="str">
        <f>IF(ISNUMBER(FIND("arbeid",Methode_Keuze)),"",IF(ISNUMBER(FIND("arbeid",Methode_Keuze)),"",IF(Tb_Activiteiten[[#This Row],[Arbeidskosten op basis van IKS]]=1,Tb_Activiteiten[[#Headers],[Arbeidskosten op basis van IKS]],"")))</f>
        <v/>
      </c>
      <c r="AS1251" t="str">
        <f>IF(ISNUMBER(FIND("overige",Methode_Keuze)),"",IF(Tb_Activiteiten[[#This Row],[Kosten derden exclusief btw]]=1,Tb_Activiteiten[[#Headers],[Kosten derden exclusief btw]],""))</f>
        <v/>
      </c>
      <c r="AT1251" t="str">
        <f>IF(ISNUMBER(FIND("overige",Methode_Keuze)),"",IF(Tb_Activiteiten[[#This Row],[Niet verrekenbare btw]]=1,Tb_Activiteiten[[#Headers],[Niet verrekenbare btw]],""))</f>
        <v/>
      </c>
      <c r="AU1251" t="str">
        <f>IF(ISNUMBER(FIND("overige",Methode_Keuze)),"",IF(Tb_Activiteiten[[#This Row],[Grondkosten]]=1,Tb_Activiteiten[[#Headers],[Grondkosten]],""))</f>
        <v/>
      </c>
      <c r="AV1251" t="str">
        <f>IF(ISNUMBER(FIND("overige",Methode_Keuze)),"",IF(Tb_Activiteiten[[#This Row],[Bijdrage in natura (overige)]]=1,Tb_Activiteiten[[#Headers],[Bijdrage in natura (overige)]],""))</f>
        <v/>
      </c>
      <c r="AW1251" t="str">
        <f>IF(ISNUMBER(FIND("overige",Methode_Keuze)),"",IF(Tb_Activiteiten[[#This Row],[Bijdrage in natura (vrijwilligers)]]=1,Tb_Activiteiten[[#Headers],[Bijdrage in natura (vrijwilligers)]],""))</f>
        <v/>
      </c>
      <c r="AX1251" t="str">
        <f>IF(ISNUMBER(FIND("overige",Methode_Keuze)),"",IF(Tb_Activiteiten[[#This Row],[Afschrijvingskosten]]=1,Tb_Activiteiten[[#Headers],[Afschrijvingskosten]],""))</f>
        <v/>
      </c>
      <c r="AY1251" t="str">
        <f>IF(ISNUMBER(FIND("overige",Methode_Keuze)),"",IF(Tb_Activiteiten[[#This Row],[Vergoeding]]=1,Tb_Activiteiten[[#Headers],[Vergoeding]],""))</f>
        <v/>
      </c>
      <c r="AZ1251" t="str">
        <f>IF(ISNUMBER(FIND("arbeid",Methode_Keuze)),"",IF(Tb_Activiteiten[[#This Row],[Arbeidskosten - vast tarief (excl eigen arbeid)]]=1,Tb_Activiteiten[[#Headers],[Arbeidskosten - vast tarief (excl eigen arbeid)]],""))</f>
        <v/>
      </c>
      <c r="BA1251" t="str">
        <f>IF(ISNUMBER(FIND("overige",Methode_Keuze)),"",IF(Tb_Activiteiten[[#This Row],[Overige kosten]]=1,Tb_Activiteiten[[#Headers],[Overige kosten]],""))</f>
        <v/>
      </c>
    </row>
    <row r="1252" spans="1:53" x14ac:dyDescent="0.25">
      <c r="A1252" s="139"/>
      <c r="B1252" s="139"/>
      <c r="C1252" s="139"/>
      <c r="D1252" s="139"/>
      <c r="E1252" s="139"/>
      <c r="F1252" s="139"/>
      <c r="G1252" s="139"/>
      <c r="O1252" s="56"/>
      <c r="Q1252" t="str">
        <f>IFERROR(IF(VLOOKUP(Tb_Activiteiten[[#This Row],[Openstelling]],Tb_Openstelling[],2,0)=1,1,""),"")</f>
        <v/>
      </c>
      <c r="AK1252" t="str">
        <f>IF(ISNUMBER(FIND("arbeid",Methode_Keuze)),"",IF(ISNUMBER(FIND("arbeid",Methode_Keuze)),"",IF(Tb_Activiteiten[[#This Row],[Loonkosten]]=1,Tb_Activiteiten[[#Headers],[Loonkosten]],"")))</f>
        <v/>
      </c>
      <c r="AL1252" t="str">
        <f>IF(ISNUMBER(FIND("arbeid",Methode_Keuze)),"",IF(ISNUMBER(FIND("arbeid",Methode_Keuze)),"",IF(Tb_Activiteiten[[#This Row],[Eigen arbeid]]=1,Tb_Activiteiten[[#Headers],[Eigen arbeid]],"")))</f>
        <v/>
      </c>
      <c r="AM1252" t="str">
        <f>IF(ISNUMBER(FIND("arbeid",Methode_Keuze)),"",IF(ISNUMBER(FIND("arbeid",Methode_Keuze)),"",IF(Tb_Activiteiten[[#This Row],[Projectmedewerker]]=1,Tb_Activiteiten[[#Headers],[Projectmedewerker]],"")))</f>
        <v/>
      </c>
      <c r="AN1252" t="str">
        <f>IF(ISNUMBER(FIND("arbeid",Methode_Keuze)),"",IF(ISNUMBER(FIND("arbeid",Methode_Keuze)),"",IF(Tb_Activiteiten[[#This Row],[Landbouwer]]=1,Tb_Activiteiten[[#Headers],[Landbouwer]],"")))</f>
        <v/>
      </c>
      <c r="AO1252" t="str">
        <f>IF(ISNUMBER(FIND("arbeid",Methode_Keuze)),"",IF(ISNUMBER(FIND("arbeid",Methode_Keuze)),"",IF(Tb_Activiteiten[[#This Row],[Adviseur]]=1,Tb_Activiteiten[[#Headers],[Adviseur]],"")))</f>
        <v/>
      </c>
      <c r="AP1252" t="str">
        <f>IF(ISNUMBER(FIND("arbeid",Methode_Keuze)),"",IF(ISNUMBER(FIND("arbeid",Methode_Keuze)),"",IF(Tb_Activiteiten[[#This Row],[Projectleider/Expert]]=1,Tb_Activiteiten[[#Headers],[Projectleider/Expert]],"")))</f>
        <v/>
      </c>
      <c r="AQ1252" t="str">
        <f>IF(ISNUMBER(FIND("arbeid",Methode_Keuze)),"",IF(ISNUMBER(FIND("arbeid",Methode_Keuze)),"",IF(Tb_Activiteiten[[#This Row],[Arbeidskosten]]=1,Tb_Activiteiten[[#Headers],[Arbeidskosten]],"")))</f>
        <v/>
      </c>
      <c r="AR1252" t="str">
        <f>IF(ISNUMBER(FIND("arbeid",Methode_Keuze)),"",IF(ISNUMBER(FIND("arbeid",Methode_Keuze)),"",IF(Tb_Activiteiten[[#This Row],[Arbeidskosten op basis van IKS]]=1,Tb_Activiteiten[[#Headers],[Arbeidskosten op basis van IKS]],"")))</f>
        <v/>
      </c>
      <c r="AS1252" t="str">
        <f>IF(ISNUMBER(FIND("overige",Methode_Keuze)),"",IF(Tb_Activiteiten[[#This Row],[Kosten derden exclusief btw]]=1,Tb_Activiteiten[[#Headers],[Kosten derden exclusief btw]],""))</f>
        <v/>
      </c>
      <c r="AT1252" t="str">
        <f>IF(ISNUMBER(FIND("overige",Methode_Keuze)),"",IF(Tb_Activiteiten[[#This Row],[Niet verrekenbare btw]]=1,Tb_Activiteiten[[#Headers],[Niet verrekenbare btw]],""))</f>
        <v/>
      </c>
      <c r="AU1252" t="str">
        <f>IF(ISNUMBER(FIND("overige",Methode_Keuze)),"",IF(Tb_Activiteiten[[#This Row],[Grondkosten]]=1,Tb_Activiteiten[[#Headers],[Grondkosten]],""))</f>
        <v/>
      </c>
      <c r="AV1252" t="str">
        <f>IF(ISNUMBER(FIND("overige",Methode_Keuze)),"",IF(Tb_Activiteiten[[#This Row],[Bijdrage in natura (overige)]]=1,Tb_Activiteiten[[#Headers],[Bijdrage in natura (overige)]],""))</f>
        <v/>
      </c>
      <c r="AW1252" t="str">
        <f>IF(ISNUMBER(FIND("overige",Methode_Keuze)),"",IF(Tb_Activiteiten[[#This Row],[Bijdrage in natura (vrijwilligers)]]=1,Tb_Activiteiten[[#Headers],[Bijdrage in natura (vrijwilligers)]],""))</f>
        <v/>
      </c>
      <c r="AX1252" t="str">
        <f>IF(ISNUMBER(FIND("overige",Methode_Keuze)),"",IF(Tb_Activiteiten[[#This Row],[Afschrijvingskosten]]=1,Tb_Activiteiten[[#Headers],[Afschrijvingskosten]],""))</f>
        <v/>
      </c>
      <c r="AY1252" t="str">
        <f>IF(ISNUMBER(FIND("overige",Methode_Keuze)),"",IF(Tb_Activiteiten[[#This Row],[Vergoeding]]=1,Tb_Activiteiten[[#Headers],[Vergoeding]],""))</f>
        <v/>
      </c>
      <c r="AZ1252" t="str">
        <f>IF(ISNUMBER(FIND("arbeid",Methode_Keuze)),"",IF(Tb_Activiteiten[[#This Row],[Arbeidskosten - vast tarief (excl eigen arbeid)]]=1,Tb_Activiteiten[[#Headers],[Arbeidskosten - vast tarief (excl eigen arbeid)]],""))</f>
        <v/>
      </c>
      <c r="BA1252" t="str">
        <f>IF(ISNUMBER(FIND("overige",Methode_Keuze)),"",IF(Tb_Activiteiten[[#This Row],[Overige kosten]]=1,Tb_Activiteiten[[#Headers],[Overige kosten]],""))</f>
        <v/>
      </c>
    </row>
    <row r="1253" spans="1:53" x14ac:dyDescent="0.25">
      <c r="A1253" s="139"/>
      <c r="B1253" s="139"/>
      <c r="C1253" s="139"/>
      <c r="D1253" s="139"/>
      <c r="E1253" s="139"/>
      <c r="F1253" s="139"/>
      <c r="G1253" s="139"/>
      <c r="O1253" s="56"/>
      <c r="Q1253" t="str">
        <f>IFERROR(IF(VLOOKUP(Tb_Activiteiten[[#This Row],[Openstelling]],Tb_Openstelling[],2,0)=1,1,""),"")</f>
        <v/>
      </c>
      <c r="AK1253" t="str">
        <f>IF(ISNUMBER(FIND("arbeid",Methode_Keuze)),"",IF(ISNUMBER(FIND("arbeid",Methode_Keuze)),"",IF(Tb_Activiteiten[[#This Row],[Loonkosten]]=1,Tb_Activiteiten[[#Headers],[Loonkosten]],"")))</f>
        <v/>
      </c>
      <c r="AL1253" t="str">
        <f>IF(ISNUMBER(FIND("arbeid",Methode_Keuze)),"",IF(ISNUMBER(FIND("arbeid",Methode_Keuze)),"",IF(Tb_Activiteiten[[#This Row],[Eigen arbeid]]=1,Tb_Activiteiten[[#Headers],[Eigen arbeid]],"")))</f>
        <v/>
      </c>
      <c r="AM1253" t="str">
        <f>IF(ISNUMBER(FIND("arbeid",Methode_Keuze)),"",IF(ISNUMBER(FIND("arbeid",Methode_Keuze)),"",IF(Tb_Activiteiten[[#This Row],[Projectmedewerker]]=1,Tb_Activiteiten[[#Headers],[Projectmedewerker]],"")))</f>
        <v/>
      </c>
      <c r="AN1253" t="str">
        <f>IF(ISNUMBER(FIND("arbeid",Methode_Keuze)),"",IF(ISNUMBER(FIND("arbeid",Methode_Keuze)),"",IF(Tb_Activiteiten[[#This Row],[Landbouwer]]=1,Tb_Activiteiten[[#Headers],[Landbouwer]],"")))</f>
        <v/>
      </c>
      <c r="AO1253" t="str">
        <f>IF(ISNUMBER(FIND("arbeid",Methode_Keuze)),"",IF(ISNUMBER(FIND("arbeid",Methode_Keuze)),"",IF(Tb_Activiteiten[[#This Row],[Adviseur]]=1,Tb_Activiteiten[[#Headers],[Adviseur]],"")))</f>
        <v/>
      </c>
      <c r="AP1253" t="str">
        <f>IF(ISNUMBER(FIND("arbeid",Methode_Keuze)),"",IF(ISNUMBER(FIND("arbeid",Methode_Keuze)),"",IF(Tb_Activiteiten[[#This Row],[Projectleider/Expert]]=1,Tb_Activiteiten[[#Headers],[Projectleider/Expert]],"")))</f>
        <v/>
      </c>
      <c r="AQ1253" t="str">
        <f>IF(ISNUMBER(FIND("arbeid",Methode_Keuze)),"",IF(ISNUMBER(FIND("arbeid",Methode_Keuze)),"",IF(Tb_Activiteiten[[#This Row],[Arbeidskosten]]=1,Tb_Activiteiten[[#Headers],[Arbeidskosten]],"")))</f>
        <v/>
      </c>
      <c r="AR1253" t="str">
        <f>IF(ISNUMBER(FIND("arbeid",Methode_Keuze)),"",IF(ISNUMBER(FIND("arbeid",Methode_Keuze)),"",IF(Tb_Activiteiten[[#This Row],[Arbeidskosten op basis van IKS]]=1,Tb_Activiteiten[[#Headers],[Arbeidskosten op basis van IKS]],"")))</f>
        <v/>
      </c>
      <c r="AS1253" t="str">
        <f>IF(ISNUMBER(FIND("overige",Methode_Keuze)),"",IF(Tb_Activiteiten[[#This Row],[Kosten derden exclusief btw]]=1,Tb_Activiteiten[[#Headers],[Kosten derden exclusief btw]],""))</f>
        <v/>
      </c>
      <c r="AT1253" t="str">
        <f>IF(ISNUMBER(FIND("overige",Methode_Keuze)),"",IF(Tb_Activiteiten[[#This Row],[Niet verrekenbare btw]]=1,Tb_Activiteiten[[#Headers],[Niet verrekenbare btw]],""))</f>
        <v/>
      </c>
      <c r="AU1253" t="str">
        <f>IF(ISNUMBER(FIND("overige",Methode_Keuze)),"",IF(Tb_Activiteiten[[#This Row],[Grondkosten]]=1,Tb_Activiteiten[[#Headers],[Grondkosten]],""))</f>
        <v/>
      </c>
      <c r="AV1253" t="str">
        <f>IF(ISNUMBER(FIND("overige",Methode_Keuze)),"",IF(Tb_Activiteiten[[#This Row],[Bijdrage in natura (overige)]]=1,Tb_Activiteiten[[#Headers],[Bijdrage in natura (overige)]],""))</f>
        <v/>
      </c>
      <c r="AW1253" t="str">
        <f>IF(ISNUMBER(FIND("overige",Methode_Keuze)),"",IF(Tb_Activiteiten[[#This Row],[Bijdrage in natura (vrijwilligers)]]=1,Tb_Activiteiten[[#Headers],[Bijdrage in natura (vrijwilligers)]],""))</f>
        <v/>
      </c>
      <c r="AX1253" t="str">
        <f>IF(ISNUMBER(FIND("overige",Methode_Keuze)),"",IF(Tb_Activiteiten[[#This Row],[Afschrijvingskosten]]=1,Tb_Activiteiten[[#Headers],[Afschrijvingskosten]],""))</f>
        <v/>
      </c>
      <c r="AY1253" t="str">
        <f>IF(ISNUMBER(FIND("overige",Methode_Keuze)),"",IF(Tb_Activiteiten[[#This Row],[Vergoeding]]=1,Tb_Activiteiten[[#Headers],[Vergoeding]],""))</f>
        <v/>
      </c>
      <c r="AZ1253" t="str">
        <f>IF(ISNUMBER(FIND("arbeid",Methode_Keuze)),"",IF(Tb_Activiteiten[[#This Row],[Arbeidskosten - vast tarief (excl eigen arbeid)]]=1,Tb_Activiteiten[[#Headers],[Arbeidskosten - vast tarief (excl eigen arbeid)]],""))</f>
        <v/>
      </c>
      <c r="BA1253" t="str">
        <f>IF(ISNUMBER(FIND("overige",Methode_Keuze)),"",IF(Tb_Activiteiten[[#This Row],[Overige kosten]]=1,Tb_Activiteiten[[#Headers],[Overige kosten]],""))</f>
        <v/>
      </c>
    </row>
    <row r="1254" spans="1:53" x14ac:dyDescent="0.25">
      <c r="A1254" s="139"/>
      <c r="B1254" s="139"/>
      <c r="C1254" s="139"/>
      <c r="D1254" s="139"/>
      <c r="E1254" s="139"/>
      <c r="F1254" s="139"/>
      <c r="G1254" s="139"/>
      <c r="O1254" s="56"/>
      <c r="Q1254" t="str">
        <f>IFERROR(IF(VLOOKUP(Tb_Activiteiten[[#This Row],[Openstelling]],Tb_Openstelling[],2,0)=1,1,""),"")</f>
        <v/>
      </c>
      <c r="AK1254" t="str">
        <f>IF(ISNUMBER(FIND("arbeid",Methode_Keuze)),"",IF(ISNUMBER(FIND("arbeid",Methode_Keuze)),"",IF(Tb_Activiteiten[[#This Row],[Loonkosten]]=1,Tb_Activiteiten[[#Headers],[Loonkosten]],"")))</f>
        <v/>
      </c>
      <c r="AL1254" t="str">
        <f>IF(ISNUMBER(FIND("arbeid",Methode_Keuze)),"",IF(ISNUMBER(FIND("arbeid",Methode_Keuze)),"",IF(Tb_Activiteiten[[#This Row],[Eigen arbeid]]=1,Tb_Activiteiten[[#Headers],[Eigen arbeid]],"")))</f>
        <v/>
      </c>
      <c r="AM1254" t="str">
        <f>IF(ISNUMBER(FIND("arbeid",Methode_Keuze)),"",IF(ISNUMBER(FIND("arbeid",Methode_Keuze)),"",IF(Tb_Activiteiten[[#This Row],[Projectmedewerker]]=1,Tb_Activiteiten[[#Headers],[Projectmedewerker]],"")))</f>
        <v/>
      </c>
      <c r="AN1254" t="str">
        <f>IF(ISNUMBER(FIND("arbeid",Methode_Keuze)),"",IF(ISNUMBER(FIND("arbeid",Methode_Keuze)),"",IF(Tb_Activiteiten[[#This Row],[Landbouwer]]=1,Tb_Activiteiten[[#Headers],[Landbouwer]],"")))</f>
        <v/>
      </c>
      <c r="AO1254" t="str">
        <f>IF(ISNUMBER(FIND("arbeid",Methode_Keuze)),"",IF(ISNUMBER(FIND("arbeid",Methode_Keuze)),"",IF(Tb_Activiteiten[[#This Row],[Adviseur]]=1,Tb_Activiteiten[[#Headers],[Adviseur]],"")))</f>
        <v/>
      </c>
      <c r="AP1254" t="str">
        <f>IF(ISNUMBER(FIND("arbeid",Methode_Keuze)),"",IF(ISNUMBER(FIND("arbeid",Methode_Keuze)),"",IF(Tb_Activiteiten[[#This Row],[Projectleider/Expert]]=1,Tb_Activiteiten[[#Headers],[Projectleider/Expert]],"")))</f>
        <v/>
      </c>
      <c r="AQ1254" t="str">
        <f>IF(ISNUMBER(FIND("arbeid",Methode_Keuze)),"",IF(ISNUMBER(FIND("arbeid",Methode_Keuze)),"",IF(Tb_Activiteiten[[#This Row],[Arbeidskosten]]=1,Tb_Activiteiten[[#Headers],[Arbeidskosten]],"")))</f>
        <v/>
      </c>
      <c r="AR1254" t="str">
        <f>IF(ISNUMBER(FIND("arbeid",Methode_Keuze)),"",IF(ISNUMBER(FIND("arbeid",Methode_Keuze)),"",IF(Tb_Activiteiten[[#This Row],[Arbeidskosten op basis van IKS]]=1,Tb_Activiteiten[[#Headers],[Arbeidskosten op basis van IKS]],"")))</f>
        <v/>
      </c>
      <c r="AS1254" t="str">
        <f>IF(ISNUMBER(FIND("overige",Methode_Keuze)),"",IF(Tb_Activiteiten[[#This Row],[Kosten derden exclusief btw]]=1,Tb_Activiteiten[[#Headers],[Kosten derden exclusief btw]],""))</f>
        <v/>
      </c>
      <c r="AT1254" t="str">
        <f>IF(ISNUMBER(FIND("overige",Methode_Keuze)),"",IF(Tb_Activiteiten[[#This Row],[Niet verrekenbare btw]]=1,Tb_Activiteiten[[#Headers],[Niet verrekenbare btw]],""))</f>
        <v/>
      </c>
      <c r="AU1254" t="str">
        <f>IF(ISNUMBER(FIND("overige",Methode_Keuze)),"",IF(Tb_Activiteiten[[#This Row],[Grondkosten]]=1,Tb_Activiteiten[[#Headers],[Grondkosten]],""))</f>
        <v/>
      </c>
      <c r="AV1254" t="str">
        <f>IF(ISNUMBER(FIND("overige",Methode_Keuze)),"",IF(Tb_Activiteiten[[#This Row],[Bijdrage in natura (overige)]]=1,Tb_Activiteiten[[#Headers],[Bijdrage in natura (overige)]],""))</f>
        <v/>
      </c>
      <c r="AW1254" t="str">
        <f>IF(ISNUMBER(FIND("overige",Methode_Keuze)),"",IF(Tb_Activiteiten[[#This Row],[Bijdrage in natura (vrijwilligers)]]=1,Tb_Activiteiten[[#Headers],[Bijdrage in natura (vrijwilligers)]],""))</f>
        <v/>
      </c>
      <c r="AX1254" t="str">
        <f>IF(ISNUMBER(FIND("overige",Methode_Keuze)),"",IF(Tb_Activiteiten[[#This Row],[Afschrijvingskosten]]=1,Tb_Activiteiten[[#Headers],[Afschrijvingskosten]],""))</f>
        <v/>
      </c>
      <c r="AY1254" t="str">
        <f>IF(ISNUMBER(FIND("overige",Methode_Keuze)),"",IF(Tb_Activiteiten[[#This Row],[Vergoeding]]=1,Tb_Activiteiten[[#Headers],[Vergoeding]],""))</f>
        <v/>
      </c>
      <c r="AZ1254" t="str">
        <f>IF(ISNUMBER(FIND("arbeid",Methode_Keuze)),"",IF(Tb_Activiteiten[[#This Row],[Arbeidskosten - vast tarief (excl eigen arbeid)]]=1,Tb_Activiteiten[[#Headers],[Arbeidskosten - vast tarief (excl eigen arbeid)]],""))</f>
        <v/>
      </c>
      <c r="BA1254" t="str">
        <f>IF(ISNUMBER(FIND("overige",Methode_Keuze)),"",IF(Tb_Activiteiten[[#This Row],[Overige kosten]]=1,Tb_Activiteiten[[#Headers],[Overige kosten]],""))</f>
        <v/>
      </c>
    </row>
    <row r="1255" spans="1:53" x14ac:dyDescent="0.25">
      <c r="A1255" s="139"/>
      <c r="B1255" s="139"/>
      <c r="C1255" s="139"/>
      <c r="D1255" s="139"/>
      <c r="E1255" s="139"/>
      <c r="F1255" s="139"/>
      <c r="G1255" s="139"/>
      <c r="O1255" s="56"/>
      <c r="Q1255" t="str">
        <f>IFERROR(IF(VLOOKUP(Tb_Activiteiten[[#This Row],[Openstelling]],Tb_Openstelling[],2,0)=1,1,""),"")</f>
        <v/>
      </c>
      <c r="AK1255" t="str">
        <f>IF(ISNUMBER(FIND("arbeid",Methode_Keuze)),"",IF(ISNUMBER(FIND("arbeid",Methode_Keuze)),"",IF(Tb_Activiteiten[[#This Row],[Loonkosten]]=1,Tb_Activiteiten[[#Headers],[Loonkosten]],"")))</f>
        <v/>
      </c>
      <c r="AL1255" t="str">
        <f>IF(ISNUMBER(FIND("arbeid",Methode_Keuze)),"",IF(ISNUMBER(FIND("arbeid",Methode_Keuze)),"",IF(Tb_Activiteiten[[#This Row],[Eigen arbeid]]=1,Tb_Activiteiten[[#Headers],[Eigen arbeid]],"")))</f>
        <v/>
      </c>
      <c r="AM1255" t="str">
        <f>IF(ISNUMBER(FIND("arbeid",Methode_Keuze)),"",IF(ISNUMBER(FIND("arbeid",Methode_Keuze)),"",IF(Tb_Activiteiten[[#This Row],[Projectmedewerker]]=1,Tb_Activiteiten[[#Headers],[Projectmedewerker]],"")))</f>
        <v/>
      </c>
      <c r="AN1255" t="str">
        <f>IF(ISNUMBER(FIND("arbeid",Methode_Keuze)),"",IF(ISNUMBER(FIND("arbeid",Methode_Keuze)),"",IF(Tb_Activiteiten[[#This Row],[Landbouwer]]=1,Tb_Activiteiten[[#Headers],[Landbouwer]],"")))</f>
        <v/>
      </c>
      <c r="AO1255" t="str">
        <f>IF(ISNUMBER(FIND("arbeid",Methode_Keuze)),"",IF(ISNUMBER(FIND("arbeid",Methode_Keuze)),"",IF(Tb_Activiteiten[[#This Row],[Adviseur]]=1,Tb_Activiteiten[[#Headers],[Adviseur]],"")))</f>
        <v/>
      </c>
      <c r="AP1255" t="str">
        <f>IF(ISNUMBER(FIND("arbeid",Methode_Keuze)),"",IF(ISNUMBER(FIND("arbeid",Methode_Keuze)),"",IF(Tb_Activiteiten[[#This Row],[Projectleider/Expert]]=1,Tb_Activiteiten[[#Headers],[Projectleider/Expert]],"")))</f>
        <v/>
      </c>
      <c r="AQ1255" t="str">
        <f>IF(ISNUMBER(FIND("arbeid",Methode_Keuze)),"",IF(ISNUMBER(FIND("arbeid",Methode_Keuze)),"",IF(Tb_Activiteiten[[#This Row],[Arbeidskosten]]=1,Tb_Activiteiten[[#Headers],[Arbeidskosten]],"")))</f>
        <v/>
      </c>
      <c r="AR1255" t="str">
        <f>IF(ISNUMBER(FIND("arbeid",Methode_Keuze)),"",IF(ISNUMBER(FIND("arbeid",Methode_Keuze)),"",IF(Tb_Activiteiten[[#This Row],[Arbeidskosten op basis van IKS]]=1,Tb_Activiteiten[[#Headers],[Arbeidskosten op basis van IKS]],"")))</f>
        <v/>
      </c>
      <c r="AS1255" t="str">
        <f>IF(ISNUMBER(FIND("overige",Methode_Keuze)),"",IF(Tb_Activiteiten[[#This Row],[Kosten derden exclusief btw]]=1,Tb_Activiteiten[[#Headers],[Kosten derden exclusief btw]],""))</f>
        <v/>
      </c>
      <c r="AT1255" t="str">
        <f>IF(ISNUMBER(FIND("overige",Methode_Keuze)),"",IF(Tb_Activiteiten[[#This Row],[Niet verrekenbare btw]]=1,Tb_Activiteiten[[#Headers],[Niet verrekenbare btw]],""))</f>
        <v/>
      </c>
      <c r="AU1255" t="str">
        <f>IF(ISNUMBER(FIND("overige",Methode_Keuze)),"",IF(Tb_Activiteiten[[#This Row],[Grondkosten]]=1,Tb_Activiteiten[[#Headers],[Grondkosten]],""))</f>
        <v/>
      </c>
      <c r="AV1255" t="str">
        <f>IF(ISNUMBER(FIND("overige",Methode_Keuze)),"",IF(Tb_Activiteiten[[#This Row],[Bijdrage in natura (overige)]]=1,Tb_Activiteiten[[#Headers],[Bijdrage in natura (overige)]],""))</f>
        <v/>
      </c>
      <c r="AW1255" t="str">
        <f>IF(ISNUMBER(FIND("overige",Methode_Keuze)),"",IF(Tb_Activiteiten[[#This Row],[Bijdrage in natura (vrijwilligers)]]=1,Tb_Activiteiten[[#Headers],[Bijdrage in natura (vrijwilligers)]],""))</f>
        <v/>
      </c>
      <c r="AX1255" t="str">
        <f>IF(ISNUMBER(FIND("overige",Methode_Keuze)),"",IF(Tb_Activiteiten[[#This Row],[Afschrijvingskosten]]=1,Tb_Activiteiten[[#Headers],[Afschrijvingskosten]],""))</f>
        <v/>
      </c>
      <c r="AY1255" t="str">
        <f>IF(ISNUMBER(FIND("overige",Methode_Keuze)),"",IF(Tb_Activiteiten[[#This Row],[Vergoeding]]=1,Tb_Activiteiten[[#Headers],[Vergoeding]],""))</f>
        <v/>
      </c>
      <c r="AZ1255" t="str">
        <f>IF(ISNUMBER(FIND("arbeid",Methode_Keuze)),"",IF(Tb_Activiteiten[[#This Row],[Arbeidskosten - vast tarief (excl eigen arbeid)]]=1,Tb_Activiteiten[[#Headers],[Arbeidskosten - vast tarief (excl eigen arbeid)]],""))</f>
        <v/>
      </c>
      <c r="BA1255" t="str">
        <f>IF(ISNUMBER(FIND("overige",Methode_Keuze)),"",IF(Tb_Activiteiten[[#This Row],[Overige kosten]]=1,Tb_Activiteiten[[#Headers],[Overige kosten]],""))</f>
        <v/>
      </c>
    </row>
    <row r="1256" spans="1:53" x14ac:dyDescent="0.25">
      <c r="A1256" s="139"/>
      <c r="B1256" s="139"/>
      <c r="C1256" s="139"/>
      <c r="D1256" s="139"/>
      <c r="E1256" s="139"/>
      <c r="F1256" s="139"/>
      <c r="G1256" s="139"/>
      <c r="O1256" s="56"/>
      <c r="Q1256" t="str">
        <f>IFERROR(IF(VLOOKUP(Tb_Activiteiten[[#This Row],[Openstelling]],Tb_Openstelling[],2,0)=1,1,""),"")</f>
        <v/>
      </c>
      <c r="AK1256" t="str">
        <f>IF(ISNUMBER(FIND("arbeid",Methode_Keuze)),"",IF(ISNUMBER(FIND("arbeid",Methode_Keuze)),"",IF(Tb_Activiteiten[[#This Row],[Loonkosten]]=1,Tb_Activiteiten[[#Headers],[Loonkosten]],"")))</f>
        <v/>
      </c>
      <c r="AL1256" t="str">
        <f>IF(ISNUMBER(FIND("arbeid",Methode_Keuze)),"",IF(ISNUMBER(FIND("arbeid",Methode_Keuze)),"",IF(Tb_Activiteiten[[#This Row],[Eigen arbeid]]=1,Tb_Activiteiten[[#Headers],[Eigen arbeid]],"")))</f>
        <v/>
      </c>
      <c r="AM1256" t="str">
        <f>IF(ISNUMBER(FIND("arbeid",Methode_Keuze)),"",IF(ISNUMBER(FIND("arbeid",Methode_Keuze)),"",IF(Tb_Activiteiten[[#This Row],[Projectmedewerker]]=1,Tb_Activiteiten[[#Headers],[Projectmedewerker]],"")))</f>
        <v/>
      </c>
      <c r="AN1256" t="str">
        <f>IF(ISNUMBER(FIND("arbeid",Methode_Keuze)),"",IF(ISNUMBER(FIND("arbeid",Methode_Keuze)),"",IF(Tb_Activiteiten[[#This Row],[Landbouwer]]=1,Tb_Activiteiten[[#Headers],[Landbouwer]],"")))</f>
        <v/>
      </c>
      <c r="AO1256" t="str">
        <f>IF(ISNUMBER(FIND("arbeid",Methode_Keuze)),"",IF(ISNUMBER(FIND("arbeid",Methode_Keuze)),"",IF(Tb_Activiteiten[[#This Row],[Adviseur]]=1,Tb_Activiteiten[[#Headers],[Adviseur]],"")))</f>
        <v/>
      </c>
      <c r="AP1256" t="str">
        <f>IF(ISNUMBER(FIND("arbeid",Methode_Keuze)),"",IF(ISNUMBER(FIND("arbeid",Methode_Keuze)),"",IF(Tb_Activiteiten[[#This Row],[Projectleider/Expert]]=1,Tb_Activiteiten[[#Headers],[Projectleider/Expert]],"")))</f>
        <v/>
      </c>
      <c r="AQ1256" t="str">
        <f>IF(ISNUMBER(FIND("arbeid",Methode_Keuze)),"",IF(ISNUMBER(FIND("arbeid",Methode_Keuze)),"",IF(Tb_Activiteiten[[#This Row],[Arbeidskosten]]=1,Tb_Activiteiten[[#Headers],[Arbeidskosten]],"")))</f>
        <v/>
      </c>
      <c r="AR1256" t="str">
        <f>IF(ISNUMBER(FIND("arbeid",Methode_Keuze)),"",IF(ISNUMBER(FIND("arbeid",Methode_Keuze)),"",IF(Tb_Activiteiten[[#This Row],[Arbeidskosten op basis van IKS]]=1,Tb_Activiteiten[[#Headers],[Arbeidskosten op basis van IKS]],"")))</f>
        <v/>
      </c>
      <c r="AS1256" t="str">
        <f>IF(ISNUMBER(FIND("overige",Methode_Keuze)),"",IF(Tb_Activiteiten[[#This Row],[Kosten derden exclusief btw]]=1,Tb_Activiteiten[[#Headers],[Kosten derden exclusief btw]],""))</f>
        <v/>
      </c>
      <c r="AT1256" t="str">
        <f>IF(ISNUMBER(FIND("overige",Methode_Keuze)),"",IF(Tb_Activiteiten[[#This Row],[Niet verrekenbare btw]]=1,Tb_Activiteiten[[#Headers],[Niet verrekenbare btw]],""))</f>
        <v/>
      </c>
      <c r="AU1256" t="str">
        <f>IF(ISNUMBER(FIND("overige",Methode_Keuze)),"",IF(Tb_Activiteiten[[#This Row],[Grondkosten]]=1,Tb_Activiteiten[[#Headers],[Grondkosten]],""))</f>
        <v/>
      </c>
      <c r="AV1256" t="str">
        <f>IF(ISNUMBER(FIND("overige",Methode_Keuze)),"",IF(Tb_Activiteiten[[#This Row],[Bijdrage in natura (overige)]]=1,Tb_Activiteiten[[#Headers],[Bijdrage in natura (overige)]],""))</f>
        <v/>
      </c>
      <c r="AW1256" t="str">
        <f>IF(ISNUMBER(FIND("overige",Methode_Keuze)),"",IF(Tb_Activiteiten[[#This Row],[Bijdrage in natura (vrijwilligers)]]=1,Tb_Activiteiten[[#Headers],[Bijdrage in natura (vrijwilligers)]],""))</f>
        <v/>
      </c>
      <c r="AX1256" t="str">
        <f>IF(ISNUMBER(FIND("overige",Methode_Keuze)),"",IF(Tb_Activiteiten[[#This Row],[Afschrijvingskosten]]=1,Tb_Activiteiten[[#Headers],[Afschrijvingskosten]],""))</f>
        <v/>
      </c>
      <c r="AY1256" t="str">
        <f>IF(ISNUMBER(FIND("overige",Methode_Keuze)),"",IF(Tb_Activiteiten[[#This Row],[Vergoeding]]=1,Tb_Activiteiten[[#Headers],[Vergoeding]],""))</f>
        <v/>
      </c>
      <c r="AZ1256" t="str">
        <f>IF(ISNUMBER(FIND("arbeid",Methode_Keuze)),"",IF(Tb_Activiteiten[[#This Row],[Arbeidskosten - vast tarief (excl eigen arbeid)]]=1,Tb_Activiteiten[[#Headers],[Arbeidskosten - vast tarief (excl eigen arbeid)]],""))</f>
        <v/>
      </c>
      <c r="BA1256" t="str">
        <f>IF(ISNUMBER(FIND("overige",Methode_Keuze)),"",IF(Tb_Activiteiten[[#This Row],[Overige kosten]]=1,Tb_Activiteiten[[#Headers],[Overige kosten]],""))</f>
        <v/>
      </c>
    </row>
    <row r="1257" spans="1:53" x14ac:dyDescent="0.25">
      <c r="A1257" s="139"/>
      <c r="B1257" s="139"/>
      <c r="C1257" s="139"/>
      <c r="D1257" s="139"/>
      <c r="E1257" s="139"/>
      <c r="F1257" s="139"/>
      <c r="G1257" s="139"/>
      <c r="O1257" s="56"/>
      <c r="Q1257" t="str">
        <f>IFERROR(IF(VLOOKUP(Tb_Activiteiten[[#This Row],[Openstelling]],Tb_Openstelling[],2,0)=1,1,""),"")</f>
        <v/>
      </c>
      <c r="AK1257" t="str">
        <f>IF(ISNUMBER(FIND("arbeid",Methode_Keuze)),"",IF(ISNUMBER(FIND("arbeid",Methode_Keuze)),"",IF(Tb_Activiteiten[[#This Row],[Loonkosten]]=1,Tb_Activiteiten[[#Headers],[Loonkosten]],"")))</f>
        <v/>
      </c>
      <c r="AL1257" t="str">
        <f>IF(ISNUMBER(FIND("arbeid",Methode_Keuze)),"",IF(ISNUMBER(FIND("arbeid",Methode_Keuze)),"",IF(Tb_Activiteiten[[#This Row],[Eigen arbeid]]=1,Tb_Activiteiten[[#Headers],[Eigen arbeid]],"")))</f>
        <v/>
      </c>
      <c r="AM1257" t="str">
        <f>IF(ISNUMBER(FIND("arbeid",Methode_Keuze)),"",IF(ISNUMBER(FIND("arbeid",Methode_Keuze)),"",IF(Tb_Activiteiten[[#This Row],[Projectmedewerker]]=1,Tb_Activiteiten[[#Headers],[Projectmedewerker]],"")))</f>
        <v/>
      </c>
      <c r="AN1257" t="str">
        <f>IF(ISNUMBER(FIND("arbeid",Methode_Keuze)),"",IF(ISNUMBER(FIND("arbeid",Methode_Keuze)),"",IF(Tb_Activiteiten[[#This Row],[Landbouwer]]=1,Tb_Activiteiten[[#Headers],[Landbouwer]],"")))</f>
        <v/>
      </c>
      <c r="AO1257" t="str">
        <f>IF(ISNUMBER(FIND("arbeid",Methode_Keuze)),"",IF(ISNUMBER(FIND("arbeid",Methode_Keuze)),"",IF(Tb_Activiteiten[[#This Row],[Adviseur]]=1,Tb_Activiteiten[[#Headers],[Adviseur]],"")))</f>
        <v/>
      </c>
      <c r="AP1257" t="str">
        <f>IF(ISNUMBER(FIND("arbeid",Methode_Keuze)),"",IF(ISNUMBER(FIND("arbeid",Methode_Keuze)),"",IF(Tb_Activiteiten[[#This Row],[Projectleider/Expert]]=1,Tb_Activiteiten[[#Headers],[Projectleider/Expert]],"")))</f>
        <v/>
      </c>
      <c r="AQ1257" t="str">
        <f>IF(ISNUMBER(FIND("arbeid",Methode_Keuze)),"",IF(ISNUMBER(FIND("arbeid",Methode_Keuze)),"",IF(Tb_Activiteiten[[#This Row],[Arbeidskosten]]=1,Tb_Activiteiten[[#Headers],[Arbeidskosten]],"")))</f>
        <v/>
      </c>
      <c r="AR1257" t="str">
        <f>IF(ISNUMBER(FIND("arbeid",Methode_Keuze)),"",IF(ISNUMBER(FIND("arbeid",Methode_Keuze)),"",IF(Tb_Activiteiten[[#This Row],[Arbeidskosten op basis van IKS]]=1,Tb_Activiteiten[[#Headers],[Arbeidskosten op basis van IKS]],"")))</f>
        <v/>
      </c>
      <c r="AS1257" t="str">
        <f>IF(ISNUMBER(FIND("overige",Methode_Keuze)),"",IF(Tb_Activiteiten[[#This Row],[Kosten derden exclusief btw]]=1,Tb_Activiteiten[[#Headers],[Kosten derden exclusief btw]],""))</f>
        <v/>
      </c>
      <c r="AT1257" t="str">
        <f>IF(ISNUMBER(FIND("overige",Methode_Keuze)),"",IF(Tb_Activiteiten[[#This Row],[Niet verrekenbare btw]]=1,Tb_Activiteiten[[#Headers],[Niet verrekenbare btw]],""))</f>
        <v/>
      </c>
      <c r="AU1257" t="str">
        <f>IF(ISNUMBER(FIND("overige",Methode_Keuze)),"",IF(Tb_Activiteiten[[#This Row],[Grondkosten]]=1,Tb_Activiteiten[[#Headers],[Grondkosten]],""))</f>
        <v/>
      </c>
      <c r="AV1257" t="str">
        <f>IF(ISNUMBER(FIND("overige",Methode_Keuze)),"",IF(Tb_Activiteiten[[#This Row],[Bijdrage in natura (overige)]]=1,Tb_Activiteiten[[#Headers],[Bijdrage in natura (overige)]],""))</f>
        <v/>
      </c>
      <c r="AW1257" t="str">
        <f>IF(ISNUMBER(FIND("overige",Methode_Keuze)),"",IF(Tb_Activiteiten[[#This Row],[Bijdrage in natura (vrijwilligers)]]=1,Tb_Activiteiten[[#Headers],[Bijdrage in natura (vrijwilligers)]],""))</f>
        <v/>
      </c>
      <c r="AX1257" t="str">
        <f>IF(ISNUMBER(FIND("overige",Methode_Keuze)),"",IF(Tb_Activiteiten[[#This Row],[Afschrijvingskosten]]=1,Tb_Activiteiten[[#Headers],[Afschrijvingskosten]],""))</f>
        <v/>
      </c>
      <c r="AY1257" t="str">
        <f>IF(ISNUMBER(FIND("overige",Methode_Keuze)),"",IF(Tb_Activiteiten[[#This Row],[Vergoeding]]=1,Tb_Activiteiten[[#Headers],[Vergoeding]],""))</f>
        <v/>
      </c>
      <c r="AZ1257" t="str">
        <f>IF(ISNUMBER(FIND("arbeid",Methode_Keuze)),"",IF(Tb_Activiteiten[[#This Row],[Arbeidskosten - vast tarief (excl eigen arbeid)]]=1,Tb_Activiteiten[[#Headers],[Arbeidskosten - vast tarief (excl eigen arbeid)]],""))</f>
        <v/>
      </c>
      <c r="BA1257" t="str">
        <f>IF(ISNUMBER(FIND("overige",Methode_Keuze)),"",IF(Tb_Activiteiten[[#This Row],[Overige kosten]]=1,Tb_Activiteiten[[#Headers],[Overige kosten]],""))</f>
        <v/>
      </c>
    </row>
    <row r="1258" spans="1:53" x14ac:dyDescent="0.25">
      <c r="A1258" s="139"/>
      <c r="B1258" s="139"/>
      <c r="C1258" s="139"/>
      <c r="D1258" s="139"/>
      <c r="E1258" s="139"/>
      <c r="F1258" s="139"/>
      <c r="G1258" s="139"/>
      <c r="O1258" s="56"/>
      <c r="Q1258" t="str">
        <f>IFERROR(IF(VLOOKUP(Tb_Activiteiten[[#This Row],[Openstelling]],Tb_Openstelling[],2,0)=1,1,""),"")</f>
        <v/>
      </c>
      <c r="AK1258" t="str">
        <f>IF(ISNUMBER(FIND("arbeid",Methode_Keuze)),"",IF(ISNUMBER(FIND("arbeid",Methode_Keuze)),"",IF(Tb_Activiteiten[[#This Row],[Loonkosten]]=1,Tb_Activiteiten[[#Headers],[Loonkosten]],"")))</f>
        <v/>
      </c>
      <c r="AL1258" t="str">
        <f>IF(ISNUMBER(FIND("arbeid",Methode_Keuze)),"",IF(ISNUMBER(FIND("arbeid",Methode_Keuze)),"",IF(Tb_Activiteiten[[#This Row],[Eigen arbeid]]=1,Tb_Activiteiten[[#Headers],[Eigen arbeid]],"")))</f>
        <v/>
      </c>
      <c r="AM1258" t="str">
        <f>IF(ISNUMBER(FIND("arbeid",Methode_Keuze)),"",IF(ISNUMBER(FIND("arbeid",Methode_Keuze)),"",IF(Tb_Activiteiten[[#This Row],[Projectmedewerker]]=1,Tb_Activiteiten[[#Headers],[Projectmedewerker]],"")))</f>
        <v/>
      </c>
      <c r="AN1258" t="str">
        <f>IF(ISNUMBER(FIND("arbeid",Methode_Keuze)),"",IF(ISNUMBER(FIND("arbeid",Methode_Keuze)),"",IF(Tb_Activiteiten[[#This Row],[Landbouwer]]=1,Tb_Activiteiten[[#Headers],[Landbouwer]],"")))</f>
        <v/>
      </c>
      <c r="AO1258" t="str">
        <f>IF(ISNUMBER(FIND("arbeid",Methode_Keuze)),"",IF(ISNUMBER(FIND("arbeid",Methode_Keuze)),"",IF(Tb_Activiteiten[[#This Row],[Adviseur]]=1,Tb_Activiteiten[[#Headers],[Adviseur]],"")))</f>
        <v/>
      </c>
      <c r="AP1258" t="str">
        <f>IF(ISNUMBER(FIND("arbeid",Methode_Keuze)),"",IF(ISNUMBER(FIND("arbeid",Methode_Keuze)),"",IF(Tb_Activiteiten[[#This Row],[Projectleider/Expert]]=1,Tb_Activiteiten[[#Headers],[Projectleider/Expert]],"")))</f>
        <v/>
      </c>
      <c r="AQ1258" t="str">
        <f>IF(ISNUMBER(FIND("arbeid",Methode_Keuze)),"",IF(ISNUMBER(FIND("arbeid",Methode_Keuze)),"",IF(Tb_Activiteiten[[#This Row],[Arbeidskosten]]=1,Tb_Activiteiten[[#Headers],[Arbeidskosten]],"")))</f>
        <v/>
      </c>
      <c r="AR1258" t="str">
        <f>IF(ISNUMBER(FIND("arbeid",Methode_Keuze)),"",IF(ISNUMBER(FIND("arbeid",Methode_Keuze)),"",IF(Tb_Activiteiten[[#This Row],[Arbeidskosten op basis van IKS]]=1,Tb_Activiteiten[[#Headers],[Arbeidskosten op basis van IKS]],"")))</f>
        <v/>
      </c>
      <c r="AS1258" t="str">
        <f>IF(ISNUMBER(FIND("overige",Methode_Keuze)),"",IF(Tb_Activiteiten[[#This Row],[Kosten derden exclusief btw]]=1,Tb_Activiteiten[[#Headers],[Kosten derden exclusief btw]],""))</f>
        <v/>
      </c>
      <c r="AT1258" t="str">
        <f>IF(ISNUMBER(FIND("overige",Methode_Keuze)),"",IF(Tb_Activiteiten[[#This Row],[Niet verrekenbare btw]]=1,Tb_Activiteiten[[#Headers],[Niet verrekenbare btw]],""))</f>
        <v/>
      </c>
      <c r="AU1258" t="str">
        <f>IF(ISNUMBER(FIND("overige",Methode_Keuze)),"",IF(Tb_Activiteiten[[#This Row],[Grondkosten]]=1,Tb_Activiteiten[[#Headers],[Grondkosten]],""))</f>
        <v/>
      </c>
      <c r="AV1258" t="str">
        <f>IF(ISNUMBER(FIND("overige",Methode_Keuze)),"",IF(Tb_Activiteiten[[#This Row],[Bijdrage in natura (overige)]]=1,Tb_Activiteiten[[#Headers],[Bijdrage in natura (overige)]],""))</f>
        <v/>
      </c>
      <c r="AW1258" t="str">
        <f>IF(ISNUMBER(FIND("overige",Methode_Keuze)),"",IF(Tb_Activiteiten[[#This Row],[Bijdrage in natura (vrijwilligers)]]=1,Tb_Activiteiten[[#Headers],[Bijdrage in natura (vrijwilligers)]],""))</f>
        <v/>
      </c>
      <c r="AX1258" t="str">
        <f>IF(ISNUMBER(FIND("overige",Methode_Keuze)),"",IF(Tb_Activiteiten[[#This Row],[Afschrijvingskosten]]=1,Tb_Activiteiten[[#Headers],[Afschrijvingskosten]],""))</f>
        <v/>
      </c>
      <c r="AY1258" t="str">
        <f>IF(ISNUMBER(FIND("overige",Methode_Keuze)),"",IF(Tb_Activiteiten[[#This Row],[Vergoeding]]=1,Tb_Activiteiten[[#Headers],[Vergoeding]],""))</f>
        <v/>
      </c>
      <c r="AZ1258" t="str">
        <f>IF(ISNUMBER(FIND("arbeid",Methode_Keuze)),"",IF(Tb_Activiteiten[[#This Row],[Arbeidskosten - vast tarief (excl eigen arbeid)]]=1,Tb_Activiteiten[[#Headers],[Arbeidskosten - vast tarief (excl eigen arbeid)]],""))</f>
        <v/>
      </c>
      <c r="BA1258" t="str">
        <f>IF(ISNUMBER(FIND("overige",Methode_Keuze)),"",IF(Tb_Activiteiten[[#This Row],[Overige kosten]]=1,Tb_Activiteiten[[#Headers],[Overige kosten]],""))</f>
        <v/>
      </c>
    </row>
    <row r="1259" spans="1:53" x14ac:dyDescent="0.25">
      <c r="A1259" s="139"/>
      <c r="B1259" s="139"/>
      <c r="C1259" s="139"/>
      <c r="D1259" s="139"/>
      <c r="E1259" s="139"/>
      <c r="F1259" s="139"/>
      <c r="G1259" s="139"/>
      <c r="O1259" s="56"/>
      <c r="Q1259" t="str">
        <f>IFERROR(IF(VLOOKUP(Tb_Activiteiten[[#This Row],[Openstelling]],Tb_Openstelling[],2,0)=1,1,""),"")</f>
        <v/>
      </c>
      <c r="AK1259" t="str">
        <f>IF(ISNUMBER(FIND("arbeid",Methode_Keuze)),"",IF(ISNUMBER(FIND("arbeid",Methode_Keuze)),"",IF(Tb_Activiteiten[[#This Row],[Loonkosten]]=1,Tb_Activiteiten[[#Headers],[Loonkosten]],"")))</f>
        <v/>
      </c>
      <c r="AL1259" t="str">
        <f>IF(ISNUMBER(FIND("arbeid",Methode_Keuze)),"",IF(ISNUMBER(FIND("arbeid",Methode_Keuze)),"",IF(Tb_Activiteiten[[#This Row],[Eigen arbeid]]=1,Tb_Activiteiten[[#Headers],[Eigen arbeid]],"")))</f>
        <v/>
      </c>
      <c r="AM1259" t="str">
        <f>IF(ISNUMBER(FIND("arbeid",Methode_Keuze)),"",IF(ISNUMBER(FIND("arbeid",Methode_Keuze)),"",IF(Tb_Activiteiten[[#This Row],[Projectmedewerker]]=1,Tb_Activiteiten[[#Headers],[Projectmedewerker]],"")))</f>
        <v/>
      </c>
      <c r="AN1259" t="str">
        <f>IF(ISNUMBER(FIND("arbeid",Methode_Keuze)),"",IF(ISNUMBER(FIND("arbeid",Methode_Keuze)),"",IF(Tb_Activiteiten[[#This Row],[Landbouwer]]=1,Tb_Activiteiten[[#Headers],[Landbouwer]],"")))</f>
        <v/>
      </c>
      <c r="AO1259" t="str">
        <f>IF(ISNUMBER(FIND("arbeid",Methode_Keuze)),"",IF(ISNUMBER(FIND("arbeid",Methode_Keuze)),"",IF(Tb_Activiteiten[[#This Row],[Adviseur]]=1,Tb_Activiteiten[[#Headers],[Adviseur]],"")))</f>
        <v/>
      </c>
      <c r="AP1259" t="str">
        <f>IF(ISNUMBER(FIND("arbeid",Methode_Keuze)),"",IF(ISNUMBER(FIND("arbeid",Methode_Keuze)),"",IF(Tb_Activiteiten[[#This Row],[Projectleider/Expert]]=1,Tb_Activiteiten[[#Headers],[Projectleider/Expert]],"")))</f>
        <v/>
      </c>
      <c r="AQ1259" t="str">
        <f>IF(ISNUMBER(FIND("arbeid",Methode_Keuze)),"",IF(ISNUMBER(FIND("arbeid",Methode_Keuze)),"",IF(Tb_Activiteiten[[#This Row],[Arbeidskosten]]=1,Tb_Activiteiten[[#Headers],[Arbeidskosten]],"")))</f>
        <v/>
      </c>
      <c r="AR1259" t="str">
        <f>IF(ISNUMBER(FIND("arbeid",Methode_Keuze)),"",IF(ISNUMBER(FIND("arbeid",Methode_Keuze)),"",IF(Tb_Activiteiten[[#This Row],[Arbeidskosten op basis van IKS]]=1,Tb_Activiteiten[[#Headers],[Arbeidskosten op basis van IKS]],"")))</f>
        <v/>
      </c>
      <c r="AS1259" t="str">
        <f>IF(ISNUMBER(FIND("overige",Methode_Keuze)),"",IF(Tb_Activiteiten[[#This Row],[Kosten derden exclusief btw]]=1,Tb_Activiteiten[[#Headers],[Kosten derden exclusief btw]],""))</f>
        <v/>
      </c>
      <c r="AT1259" t="str">
        <f>IF(ISNUMBER(FIND("overige",Methode_Keuze)),"",IF(Tb_Activiteiten[[#This Row],[Niet verrekenbare btw]]=1,Tb_Activiteiten[[#Headers],[Niet verrekenbare btw]],""))</f>
        <v/>
      </c>
      <c r="AU1259" t="str">
        <f>IF(ISNUMBER(FIND("overige",Methode_Keuze)),"",IF(Tb_Activiteiten[[#This Row],[Grondkosten]]=1,Tb_Activiteiten[[#Headers],[Grondkosten]],""))</f>
        <v/>
      </c>
      <c r="AV1259" t="str">
        <f>IF(ISNUMBER(FIND("overige",Methode_Keuze)),"",IF(Tb_Activiteiten[[#This Row],[Bijdrage in natura (overige)]]=1,Tb_Activiteiten[[#Headers],[Bijdrage in natura (overige)]],""))</f>
        <v/>
      </c>
      <c r="AW1259" t="str">
        <f>IF(ISNUMBER(FIND("overige",Methode_Keuze)),"",IF(Tb_Activiteiten[[#This Row],[Bijdrage in natura (vrijwilligers)]]=1,Tb_Activiteiten[[#Headers],[Bijdrage in natura (vrijwilligers)]],""))</f>
        <v/>
      </c>
      <c r="AX1259" t="str">
        <f>IF(ISNUMBER(FIND("overige",Methode_Keuze)),"",IF(Tb_Activiteiten[[#This Row],[Afschrijvingskosten]]=1,Tb_Activiteiten[[#Headers],[Afschrijvingskosten]],""))</f>
        <v/>
      </c>
      <c r="AY1259" t="str">
        <f>IF(ISNUMBER(FIND("overige",Methode_Keuze)),"",IF(Tb_Activiteiten[[#This Row],[Vergoeding]]=1,Tb_Activiteiten[[#Headers],[Vergoeding]],""))</f>
        <v/>
      </c>
      <c r="AZ1259" t="str">
        <f>IF(ISNUMBER(FIND("arbeid",Methode_Keuze)),"",IF(Tb_Activiteiten[[#This Row],[Arbeidskosten - vast tarief (excl eigen arbeid)]]=1,Tb_Activiteiten[[#Headers],[Arbeidskosten - vast tarief (excl eigen arbeid)]],""))</f>
        <v/>
      </c>
      <c r="BA1259" t="str">
        <f>IF(ISNUMBER(FIND("overige",Methode_Keuze)),"",IF(Tb_Activiteiten[[#This Row],[Overige kosten]]=1,Tb_Activiteiten[[#Headers],[Overige kosten]],""))</f>
        <v/>
      </c>
    </row>
    <row r="1260" spans="1:53" x14ac:dyDescent="0.25">
      <c r="A1260" s="139"/>
      <c r="B1260" s="139"/>
      <c r="C1260" s="139"/>
      <c r="D1260" s="139"/>
      <c r="E1260" s="139"/>
      <c r="F1260" s="139"/>
      <c r="G1260" s="139"/>
      <c r="O1260" s="56"/>
      <c r="Q1260" t="str">
        <f>IFERROR(IF(VLOOKUP(Tb_Activiteiten[[#This Row],[Openstelling]],Tb_Openstelling[],2,0)=1,1,""),"")</f>
        <v/>
      </c>
      <c r="AK1260" t="str">
        <f>IF(ISNUMBER(FIND("arbeid",Methode_Keuze)),"",IF(ISNUMBER(FIND("arbeid",Methode_Keuze)),"",IF(Tb_Activiteiten[[#This Row],[Loonkosten]]=1,Tb_Activiteiten[[#Headers],[Loonkosten]],"")))</f>
        <v/>
      </c>
      <c r="AL1260" t="str">
        <f>IF(ISNUMBER(FIND("arbeid",Methode_Keuze)),"",IF(ISNUMBER(FIND("arbeid",Methode_Keuze)),"",IF(Tb_Activiteiten[[#This Row],[Eigen arbeid]]=1,Tb_Activiteiten[[#Headers],[Eigen arbeid]],"")))</f>
        <v/>
      </c>
      <c r="AM1260" t="str">
        <f>IF(ISNUMBER(FIND("arbeid",Methode_Keuze)),"",IF(ISNUMBER(FIND("arbeid",Methode_Keuze)),"",IF(Tb_Activiteiten[[#This Row],[Projectmedewerker]]=1,Tb_Activiteiten[[#Headers],[Projectmedewerker]],"")))</f>
        <v/>
      </c>
      <c r="AN1260" t="str">
        <f>IF(ISNUMBER(FIND("arbeid",Methode_Keuze)),"",IF(ISNUMBER(FIND("arbeid",Methode_Keuze)),"",IF(Tb_Activiteiten[[#This Row],[Landbouwer]]=1,Tb_Activiteiten[[#Headers],[Landbouwer]],"")))</f>
        <v/>
      </c>
      <c r="AO1260" t="str">
        <f>IF(ISNUMBER(FIND("arbeid",Methode_Keuze)),"",IF(ISNUMBER(FIND("arbeid",Methode_Keuze)),"",IF(Tb_Activiteiten[[#This Row],[Adviseur]]=1,Tb_Activiteiten[[#Headers],[Adviseur]],"")))</f>
        <v/>
      </c>
      <c r="AP1260" t="str">
        <f>IF(ISNUMBER(FIND("arbeid",Methode_Keuze)),"",IF(ISNUMBER(FIND("arbeid",Methode_Keuze)),"",IF(Tb_Activiteiten[[#This Row],[Projectleider/Expert]]=1,Tb_Activiteiten[[#Headers],[Projectleider/Expert]],"")))</f>
        <v/>
      </c>
      <c r="AQ1260" t="str">
        <f>IF(ISNUMBER(FIND("arbeid",Methode_Keuze)),"",IF(ISNUMBER(FIND("arbeid",Methode_Keuze)),"",IF(Tb_Activiteiten[[#This Row],[Arbeidskosten]]=1,Tb_Activiteiten[[#Headers],[Arbeidskosten]],"")))</f>
        <v/>
      </c>
      <c r="AR1260" t="str">
        <f>IF(ISNUMBER(FIND("arbeid",Methode_Keuze)),"",IF(ISNUMBER(FIND("arbeid",Methode_Keuze)),"",IF(Tb_Activiteiten[[#This Row],[Arbeidskosten op basis van IKS]]=1,Tb_Activiteiten[[#Headers],[Arbeidskosten op basis van IKS]],"")))</f>
        <v/>
      </c>
      <c r="AS1260" t="str">
        <f>IF(ISNUMBER(FIND("overige",Methode_Keuze)),"",IF(Tb_Activiteiten[[#This Row],[Kosten derden exclusief btw]]=1,Tb_Activiteiten[[#Headers],[Kosten derden exclusief btw]],""))</f>
        <v/>
      </c>
      <c r="AT1260" t="str">
        <f>IF(ISNUMBER(FIND("overige",Methode_Keuze)),"",IF(Tb_Activiteiten[[#This Row],[Niet verrekenbare btw]]=1,Tb_Activiteiten[[#Headers],[Niet verrekenbare btw]],""))</f>
        <v/>
      </c>
      <c r="AU1260" t="str">
        <f>IF(ISNUMBER(FIND("overige",Methode_Keuze)),"",IF(Tb_Activiteiten[[#This Row],[Grondkosten]]=1,Tb_Activiteiten[[#Headers],[Grondkosten]],""))</f>
        <v/>
      </c>
      <c r="AV1260" t="str">
        <f>IF(ISNUMBER(FIND("overige",Methode_Keuze)),"",IF(Tb_Activiteiten[[#This Row],[Bijdrage in natura (overige)]]=1,Tb_Activiteiten[[#Headers],[Bijdrage in natura (overige)]],""))</f>
        <v/>
      </c>
      <c r="AW1260" t="str">
        <f>IF(ISNUMBER(FIND("overige",Methode_Keuze)),"",IF(Tb_Activiteiten[[#This Row],[Bijdrage in natura (vrijwilligers)]]=1,Tb_Activiteiten[[#Headers],[Bijdrage in natura (vrijwilligers)]],""))</f>
        <v/>
      </c>
      <c r="AX1260" t="str">
        <f>IF(ISNUMBER(FIND("overige",Methode_Keuze)),"",IF(Tb_Activiteiten[[#This Row],[Afschrijvingskosten]]=1,Tb_Activiteiten[[#Headers],[Afschrijvingskosten]],""))</f>
        <v/>
      </c>
      <c r="AY1260" t="str">
        <f>IF(ISNUMBER(FIND("overige",Methode_Keuze)),"",IF(Tb_Activiteiten[[#This Row],[Vergoeding]]=1,Tb_Activiteiten[[#Headers],[Vergoeding]],""))</f>
        <v/>
      </c>
      <c r="AZ1260" t="str">
        <f>IF(ISNUMBER(FIND("arbeid",Methode_Keuze)),"",IF(Tb_Activiteiten[[#This Row],[Arbeidskosten - vast tarief (excl eigen arbeid)]]=1,Tb_Activiteiten[[#Headers],[Arbeidskosten - vast tarief (excl eigen arbeid)]],""))</f>
        <v/>
      </c>
      <c r="BA1260" t="str">
        <f>IF(ISNUMBER(FIND("overige",Methode_Keuze)),"",IF(Tb_Activiteiten[[#This Row],[Overige kosten]]=1,Tb_Activiteiten[[#Headers],[Overige kosten]],""))</f>
        <v/>
      </c>
    </row>
    <row r="1261" spans="1:53" x14ac:dyDescent="0.25">
      <c r="A1261" s="139"/>
      <c r="B1261" s="139"/>
      <c r="C1261" s="139"/>
      <c r="D1261" s="139"/>
      <c r="E1261" s="139"/>
      <c r="F1261" s="139"/>
      <c r="G1261" s="139"/>
      <c r="O1261" s="56"/>
      <c r="Q1261" t="str">
        <f>IFERROR(IF(VLOOKUP(Tb_Activiteiten[[#This Row],[Openstelling]],Tb_Openstelling[],2,0)=1,1,""),"")</f>
        <v/>
      </c>
      <c r="AK1261" t="str">
        <f>IF(ISNUMBER(FIND("arbeid",Methode_Keuze)),"",IF(ISNUMBER(FIND("arbeid",Methode_Keuze)),"",IF(Tb_Activiteiten[[#This Row],[Loonkosten]]=1,Tb_Activiteiten[[#Headers],[Loonkosten]],"")))</f>
        <v/>
      </c>
      <c r="AL1261" t="str">
        <f>IF(ISNUMBER(FIND("arbeid",Methode_Keuze)),"",IF(ISNUMBER(FIND("arbeid",Methode_Keuze)),"",IF(Tb_Activiteiten[[#This Row],[Eigen arbeid]]=1,Tb_Activiteiten[[#Headers],[Eigen arbeid]],"")))</f>
        <v/>
      </c>
      <c r="AM1261" t="str">
        <f>IF(ISNUMBER(FIND("arbeid",Methode_Keuze)),"",IF(ISNUMBER(FIND("arbeid",Methode_Keuze)),"",IF(Tb_Activiteiten[[#This Row],[Projectmedewerker]]=1,Tb_Activiteiten[[#Headers],[Projectmedewerker]],"")))</f>
        <v/>
      </c>
      <c r="AN1261" t="str">
        <f>IF(ISNUMBER(FIND("arbeid",Methode_Keuze)),"",IF(ISNUMBER(FIND("arbeid",Methode_Keuze)),"",IF(Tb_Activiteiten[[#This Row],[Landbouwer]]=1,Tb_Activiteiten[[#Headers],[Landbouwer]],"")))</f>
        <v/>
      </c>
      <c r="AO1261" t="str">
        <f>IF(ISNUMBER(FIND("arbeid",Methode_Keuze)),"",IF(ISNUMBER(FIND("arbeid",Methode_Keuze)),"",IF(Tb_Activiteiten[[#This Row],[Adviseur]]=1,Tb_Activiteiten[[#Headers],[Adviseur]],"")))</f>
        <v/>
      </c>
      <c r="AP1261" t="str">
        <f>IF(ISNUMBER(FIND("arbeid",Methode_Keuze)),"",IF(ISNUMBER(FIND("arbeid",Methode_Keuze)),"",IF(Tb_Activiteiten[[#This Row],[Projectleider/Expert]]=1,Tb_Activiteiten[[#Headers],[Projectleider/Expert]],"")))</f>
        <v/>
      </c>
      <c r="AQ1261" t="str">
        <f>IF(ISNUMBER(FIND("arbeid",Methode_Keuze)),"",IF(ISNUMBER(FIND("arbeid",Methode_Keuze)),"",IF(Tb_Activiteiten[[#This Row],[Arbeidskosten]]=1,Tb_Activiteiten[[#Headers],[Arbeidskosten]],"")))</f>
        <v/>
      </c>
      <c r="AR1261" t="str">
        <f>IF(ISNUMBER(FIND("arbeid",Methode_Keuze)),"",IF(ISNUMBER(FIND("arbeid",Methode_Keuze)),"",IF(Tb_Activiteiten[[#This Row],[Arbeidskosten op basis van IKS]]=1,Tb_Activiteiten[[#Headers],[Arbeidskosten op basis van IKS]],"")))</f>
        <v/>
      </c>
      <c r="AS1261" t="str">
        <f>IF(ISNUMBER(FIND("overige",Methode_Keuze)),"",IF(Tb_Activiteiten[[#This Row],[Kosten derden exclusief btw]]=1,Tb_Activiteiten[[#Headers],[Kosten derden exclusief btw]],""))</f>
        <v/>
      </c>
      <c r="AT1261" t="str">
        <f>IF(ISNUMBER(FIND("overige",Methode_Keuze)),"",IF(Tb_Activiteiten[[#This Row],[Niet verrekenbare btw]]=1,Tb_Activiteiten[[#Headers],[Niet verrekenbare btw]],""))</f>
        <v/>
      </c>
      <c r="AU1261" t="str">
        <f>IF(ISNUMBER(FIND("overige",Methode_Keuze)),"",IF(Tb_Activiteiten[[#This Row],[Grondkosten]]=1,Tb_Activiteiten[[#Headers],[Grondkosten]],""))</f>
        <v/>
      </c>
      <c r="AV1261" t="str">
        <f>IF(ISNUMBER(FIND("overige",Methode_Keuze)),"",IF(Tb_Activiteiten[[#This Row],[Bijdrage in natura (overige)]]=1,Tb_Activiteiten[[#Headers],[Bijdrage in natura (overige)]],""))</f>
        <v/>
      </c>
      <c r="AW1261" t="str">
        <f>IF(ISNUMBER(FIND("overige",Methode_Keuze)),"",IF(Tb_Activiteiten[[#This Row],[Bijdrage in natura (vrijwilligers)]]=1,Tb_Activiteiten[[#Headers],[Bijdrage in natura (vrijwilligers)]],""))</f>
        <v/>
      </c>
      <c r="AX1261" t="str">
        <f>IF(ISNUMBER(FIND("overige",Methode_Keuze)),"",IF(Tb_Activiteiten[[#This Row],[Afschrijvingskosten]]=1,Tb_Activiteiten[[#Headers],[Afschrijvingskosten]],""))</f>
        <v/>
      </c>
      <c r="AY1261" t="str">
        <f>IF(ISNUMBER(FIND("overige",Methode_Keuze)),"",IF(Tb_Activiteiten[[#This Row],[Vergoeding]]=1,Tb_Activiteiten[[#Headers],[Vergoeding]],""))</f>
        <v/>
      </c>
      <c r="AZ1261" t="str">
        <f>IF(ISNUMBER(FIND("arbeid",Methode_Keuze)),"",IF(Tb_Activiteiten[[#This Row],[Arbeidskosten - vast tarief (excl eigen arbeid)]]=1,Tb_Activiteiten[[#Headers],[Arbeidskosten - vast tarief (excl eigen arbeid)]],""))</f>
        <v/>
      </c>
      <c r="BA1261" t="str">
        <f>IF(ISNUMBER(FIND("overige",Methode_Keuze)),"",IF(Tb_Activiteiten[[#This Row],[Overige kosten]]=1,Tb_Activiteiten[[#Headers],[Overige kosten]],""))</f>
        <v/>
      </c>
    </row>
    <row r="1262" spans="1:53" x14ac:dyDescent="0.25">
      <c r="A1262" s="139"/>
      <c r="B1262" s="139"/>
      <c r="C1262" s="139"/>
      <c r="D1262" s="139"/>
      <c r="E1262" s="139"/>
      <c r="F1262" s="139"/>
      <c r="G1262" s="139"/>
      <c r="O1262" s="56"/>
      <c r="Q1262" t="str">
        <f>IFERROR(IF(VLOOKUP(Tb_Activiteiten[[#This Row],[Openstelling]],Tb_Openstelling[],2,0)=1,1,""),"")</f>
        <v/>
      </c>
      <c r="AK1262" t="str">
        <f>IF(ISNUMBER(FIND("arbeid",Methode_Keuze)),"",IF(ISNUMBER(FIND("arbeid",Methode_Keuze)),"",IF(Tb_Activiteiten[[#This Row],[Loonkosten]]=1,Tb_Activiteiten[[#Headers],[Loonkosten]],"")))</f>
        <v/>
      </c>
      <c r="AL1262" t="str">
        <f>IF(ISNUMBER(FIND("arbeid",Methode_Keuze)),"",IF(ISNUMBER(FIND("arbeid",Methode_Keuze)),"",IF(Tb_Activiteiten[[#This Row],[Eigen arbeid]]=1,Tb_Activiteiten[[#Headers],[Eigen arbeid]],"")))</f>
        <v/>
      </c>
      <c r="AM1262" t="str">
        <f>IF(ISNUMBER(FIND("arbeid",Methode_Keuze)),"",IF(ISNUMBER(FIND("arbeid",Methode_Keuze)),"",IF(Tb_Activiteiten[[#This Row],[Projectmedewerker]]=1,Tb_Activiteiten[[#Headers],[Projectmedewerker]],"")))</f>
        <v/>
      </c>
      <c r="AN1262" t="str">
        <f>IF(ISNUMBER(FIND("arbeid",Methode_Keuze)),"",IF(ISNUMBER(FIND("arbeid",Methode_Keuze)),"",IF(Tb_Activiteiten[[#This Row],[Landbouwer]]=1,Tb_Activiteiten[[#Headers],[Landbouwer]],"")))</f>
        <v/>
      </c>
      <c r="AO1262" t="str">
        <f>IF(ISNUMBER(FIND("arbeid",Methode_Keuze)),"",IF(ISNUMBER(FIND("arbeid",Methode_Keuze)),"",IF(Tb_Activiteiten[[#This Row],[Adviseur]]=1,Tb_Activiteiten[[#Headers],[Adviseur]],"")))</f>
        <v/>
      </c>
      <c r="AP1262" t="str">
        <f>IF(ISNUMBER(FIND("arbeid",Methode_Keuze)),"",IF(ISNUMBER(FIND("arbeid",Methode_Keuze)),"",IF(Tb_Activiteiten[[#This Row],[Projectleider/Expert]]=1,Tb_Activiteiten[[#Headers],[Projectleider/Expert]],"")))</f>
        <v/>
      </c>
      <c r="AQ1262" t="str">
        <f>IF(ISNUMBER(FIND("arbeid",Methode_Keuze)),"",IF(ISNUMBER(FIND("arbeid",Methode_Keuze)),"",IF(Tb_Activiteiten[[#This Row],[Arbeidskosten]]=1,Tb_Activiteiten[[#Headers],[Arbeidskosten]],"")))</f>
        <v/>
      </c>
      <c r="AR1262" t="str">
        <f>IF(ISNUMBER(FIND("arbeid",Methode_Keuze)),"",IF(ISNUMBER(FIND("arbeid",Methode_Keuze)),"",IF(Tb_Activiteiten[[#This Row],[Arbeidskosten op basis van IKS]]=1,Tb_Activiteiten[[#Headers],[Arbeidskosten op basis van IKS]],"")))</f>
        <v/>
      </c>
      <c r="AS1262" t="str">
        <f>IF(ISNUMBER(FIND("overige",Methode_Keuze)),"",IF(Tb_Activiteiten[[#This Row],[Kosten derden exclusief btw]]=1,Tb_Activiteiten[[#Headers],[Kosten derden exclusief btw]],""))</f>
        <v/>
      </c>
      <c r="AT1262" t="str">
        <f>IF(ISNUMBER(FIND("overige",Methode_Keuze)),"",IF(Tb_Activiteiten[[#This Row],[Niet verrekenbare btw]]=1,Tb_Activiteiten[[#Headers],[Niet verrekenbare btw]],""))</f>
        <v/>
      </c>
      <c r="AU1262" t="str">
        <f>IF(ISNUMBER(FIND("overige",Methode_Keuze)),"",IF(Tb_Activiteiten[[#This Row],[Grondkosten]]=1,Tb_Activiteiten[[#Headers],[Grondkosten]],""))</f>
        <v/>
      </c>
      <c r="AV1262" t="str">
        <f>IF(ISNUMBER(FIND("overige",Methode_Keuze)),"",IF(Tb_Activiteiten[[#This Row],[Bijdrage in natura (overige)]]=1,Tb_Activiteiten[[#Headers],[Bijdrage in natura (overige)]],""))</f>
        <v/>
      </c>
      <c r="AW1262" t="str">
        <f>IF(ISNUMBER(FIND("overige",Methode_Keuze)),"",IF(Tb_Activiteiten[[#This Row],[Bijdrage in natura (vrijwilligers)]]=1,Tb_Activiteiten[[#Headers],[Bijdrage in natura (vrijwilligers)]],""))</f>
        <v/>
      </c>
      <c r="AX1262" t="str">
        <f>IF(ISNUMBER(FIND("overige",Methode_Keuze)),"",IF(Tb_Activiteiten[[#This Row],[Afschrijvingskosten]]=1,Tb_Activiteiten[[#Headers],[Afschrijvingskosten]],""))</f>
        <v/>
      </c>
      <c r="AY1262" t="str">
        <f>IF(ISNUMBER(FIND("overige",Methode_Keuze)),"",IF(Tb_Activiteiten[[#This Row],[Vergoeding]]=1,Tb_Activiteiten[[#Headers],[Vergoeding]],""))</f>
        <v/>
      </c>
      <c r="AZ1262" t="str">
        <f>IF(ISNUMBER(FIND("arbeid",Methode_Keuze)),"",IF(Tb_Activiteiten[[#This Row],[Arbeidskosten - vast tarief (excl eigen arbeid)]]=1,Tb_Activiteiten[[#Headers],[Arbeidskosten - vast tarief (excl eigen arbeid)]],""))</f>
        <v/>
      </c>
      <c r="BA1262" t="str">
        <f>IF(ISNUMBER(FIND("overige",Methode_Keuze)),"",IF(Tb_Activiteiten[[#This Row],[Overige kosten]]=1,Tb_Activiteiten[[#Headers],[Overige kosten]],""))</f>
        <v/>
      </c>
    </row>
    <row r="1263" spans="1:53" x14ac:dyDescent="0.25">
      <c r="A1263" s="139"/>
      <c r="B1263" s="139"/>
      <c r="C1263" s="139"/>
      <c r="D1263" s="139"/>
      <c r="E1263" s="139"/>
      <c r="F1263" s="139"/>
      <c r="G1263" s="139"/>
      <c r="O1263" s="56"/>
      <c r="Q1263" t="str">
        <f>IFERROR(IF(VLOOKUP(Tb_Activiteiten[[#This Row],[Openstelling]],Tb_Openstelling[],2,0)=1,1,""),"")</f>
        <v/>
      </c>
      <c r="AK1263" t="str">
        <f>IF(ISNUMBER(FIND("arbeid",Methode_Keuze)),"",IF(ISNUMBER(FIND("arbeid",Methode_Keuze)),"",IF(Tb_Activiteiten[[#This Row],[Loonkosten]]=1,Tb_Activiteiten[[#Headers],[Loonkosten]],"")))</f>
        <v/>
      </c>
      <c r="AL1263" t="str">
        <f>IF(ISNUMBER(FIND("arbeid",Methode_Keuze)),"",IF(ISNUMBER(FIND("arbeid",Methode_Keuze)),"",IF(Tb_Activiteiten[[#This Row],[Eigen arbeid]]=1,Tb_Activiteiten[[#Headers],[Eigen arbeid]],"")))</f>
        <v/>
      </c>
      <c r="AM1263" t="str">
        <f>IF(ISNUMBER(FIND("arbeid",Methode_Keuze)),"",IF(ISNUMBER(FIND("arbeid",Methode_Keuze)),"",IF(Tb_Activiteiten[[#This Row],[Projectmedewerker]]=1,Tb_Activiteiten[[#Headers],[Projectmedewerker]],"")))</f>
        <v/>
      </c>
      <c r="AN1263" t="str">
        <f>IF(ISNUMBER(FIND("arbeid",Methode_Keuze)),"",IF(ISNUMBER(FIND("arbeid",Methode_Keuze)),"",IF(Tb_Activiteiten[[#This Row],[Landbouwer]]=1,Tb_Activiteiten[[#Headers],[Landbouwer]],"")))</f>
        <v/>
      </c>
      <c r="AO1263" t="str">
        <f>IF(ISNUMBER(FIND("arbeid",Methode_Keuze)),"",IF(ISNUMBER(FIND("arbeid",Methode_Keuze)),"",IF(Tb_Activiteiten[[#This Row],[Adviseur]]=1,Tb_Activiteiten[[#Headers],[Adviseur]],"")))</f>
        <v/>
      </c>
      <c r="AP1263" t="str">
        <f>IF(ISNUMBER(FIND("arbeid",Methode_Keuze)),"",IF(ISNUMBER(FIND("arbeid",Methode_Keuze)),"",IF(Tb_Activiteiten[[#This Row],[Projectleider/Expert]]=1,Tb_Activiteiten[[#Headers],[Projectleider/Expert]],"")))</f>
        <v/>
      </c>
      <c r="AQ1263" t="str">
        <f>IF(ISNUMBER(FIND("arbeid",Methode_Keuze)),"",IF(ISNUMBER(FIND("arbeid",Methode_Keuze)),"",IF(Tb_Activiteiten[[#This Row],[Arbeidskosten]]=1,Tb_Activiteiten[[#Headers],[Arbeidskosten]],"")))</f>
        <v/>
      </c>
      <c r="AR1263" t="str">
        <f>IF(ISNUMBER(FIND("arbeid",Methode_Keuze)),"",IF(ISNUMBER(FIND("arbeid",Methode_Keuze)),"",IF(Tb_Activiteiten[[#This Row],[Arbeidskosten op basis van IKS]]=1,Tb_Activiteiten[[#Headers],[Arbeidskosten op basis van IKS]],"")))</f>
        <v/>
      </c>
      <c r="AS1263" t="str">
        <f>IF(ISNUMBER(FIND("overige",Methode_Keuze)),"",IF(Tb_Activiteiten[[#This Row],[Kosten derden exclusief btw]]=1,Tb_Activiteiten[[#Headers],[Kosten derden exclusief btw]],""))</f>
        <v/>
      </c>
      <c r="AT1263" t="str">
        <f>IF(ISNUMBER(FIND("overige",Methode_Keuze)),"",IF(Tb_Activiteiten[[#This Row],[Niet verrekenbare btw]]=1,Tb_Activiteiten[[#Headers],[Niet verrekenbare btw]],""))</f>
        <v/>
      </c>
      <c r="AU1263" t="str">
        <f>IF(ISNUMBER(FIND("overige",Methode_Keuze)),"",IF(Tb_Activiteiten[[#This Row],[Grondkosten]]=1,Tb_Activiteiten[[#Headers],[Grondkosten]],""))</f>
        <v/>
      </c>
      <c r="AV1263" t="str">
        <f>IF(ISNUMBER(FIND("overige",Methode_Keuze)),"",IF(Tb_Activiteiten[[#This Row],[Bijdrage in natura (overige)]]=1,Tb_Activiteiten[[#Headers],[Bijdrage in natura (overige)]],""))</f>
        <v/>
      </c>
      <c r="AW1263" t="str">
        <f>IF(ISNUMBER(FIND("overige",Methode_Keuze)),"",IF(Tb_Activiteiten[[#This Row],[Bijdrage in natura (vrijwilligers)]]=1,Tb_Activiteiten[[#Headers],[Bijdrage in natura (vrijwilligers)]],""))</f>
        <v/>
      </c>
      <c r="AX1263" t="str">
        <f>IF(ISNUMBER(FIND("overige",Methode_Keuze)),"",IF(Tb_Activiteiten[[#This Row],[Afschrijvingskosten]]=1,Tb_Activiteiten[[#Headers],[Afschrijvingskosten]],""))</f>
        <v/>
      </c>
      <c r="AY1263" t="str">
        <f>IF(ISNUMBER(FIND("overige",Methode_Keuze)),"",IF(Tb_Activiteiten[[#This Row],[Vergoeding]]=1,Tb_Activiteiten[[#Headers],[Vergoeding]],""))</f>
        <v/>
      </c>
      <c r="AZ1263" t="str">
        <f>IF(ISNUMBER(FIND("arbeid",Methode_Keuze)),"",IF(Tb_Activiteiten[[#This Row],[Arbeidskosten - vast tarief (excl eigen arbeid)]]=1,Tb_Activiteiten[[#Headers],[Arbeidskosten - vast tarief (excl eigen arbeid)]],""))</f>
        <v/>
      </c>
      <c r="BA1263" t="str">
        <f>IF(ISNUMBER(FIND("overige",Methode_Keuze)),"",IF(Tb_Activiteiten[[#This Row],[Overige kosten]]=1,Tb_Activiteiten[[#Headers],[Overige kosten]],""))</f>
        <v/>
      </c>
    </row>
    <row r="1264" spans="1:53" x14ac:dyDescent="0.25">
      <c r="A1264" s="139"/>
      <c r="B1264" s="139"/>
      <c r="C1264" s="139"/>
      <c r="D1264" s="139"/>
      <c r="E1264" s="139"/>
      <c r="F1264" s="139"/>
      <c r="G1264" s="139"/>
      <c r="O1264" s="56"/>
      <c r="Q1264" t="str">
        <f>IFERROR(IF(VLOOKUP(Tb_Activiteiten[[#This Row],[Openstelling]],Tb_Openstelling[],2,0)=1,1,""),"")</f>
        <v/>
      </c>
      <c r="AK1264" t="str">
        <f>IF(ISNUMBER(FIND("arbeid",Methode_Keuze)),"",IF(ISNUMBER(FIND("arbeid",Methode_Keuze)),"",IF(Tb_Activiteiten[[#This Row],[Loonkosten]]=1,Tb_Activiteiten[[#Headers],[Loonkosten]],"")))</f>
        <v/>
      </c>
      <c r="AL1264" t="str">
        <f>IF(ISNUMBER(FIND("arbeid",Methode_Keuze)),"",IF(ISNUMBER(FIND("arbeid",Methode_Keuze)),"",IF(Tb_Activiteiten[[#This Row],[Eigen arbeid]]=1,Tb_Activiteiten[[#Headers],[Eigen arbeid]],"")))</f>
        <v/>
      </c>
      <c r="AM1264" t="str">
        <f>IF(ISNUMBER(FIND("arbeid",Methode_Keuze)),"",IF(ISNUMBER(FIND("arbeid",Methode_Keuze)),"",IF(Tb_Activiteiten[[#This Row],[Projectmedewerker]]=1,Tb_Activiteiten[[#Headers],[Projectmedewerker]],"")))</f>
        <v/>
      </c>
      <c r="AN1264" t="str">
        <f>IF(ISNUMBER(FIND("arbeid",Methode_Keuze)),"",IF(ISNUMBER(FIND("arbeid",Methode_Keuze)),"",IF(Tb_Activiteiten[[#This Row],[Landbouwer]]=1,Tb_Activiteiten[[#Headers],[Landbouwer]],"")))</f>
        <v/>
      </c>
      <c r="AO1264" t="str">
        <f>IF(ISNUMBER(FIND("arbeid",Methode_Keuze)),"",IF(ISNUMBER(FIND("arbeid",Methode_Keuze)),"",IF(Tb_Activiteiten[[#This Row],[Adviseur]]=1,Tb_Activiteiten[[#Headers],[Adviseur]],"")))</f>
        <v/>
      </c>
      <c r="AP1264" t="str">
        <f>IF(ISNUMBER(FIND("arbeid",Methode_Keuze)),"",IF(ISNUMBER(FIND("arbeid",Methode_Keuze)),"",IF(Tb_Activiteiten[[#This Row],[Projectleider/Expert]]=1,Tb_Activiteiten[[#Headers],[Projectleider/Expert]],"")))</f>
        <v/>
      </c>
      <c r="AQ1264" t="str">
        <f>IF(ISNUMBER(FIND("arbeid",Methode_Keuze)),"",IF(ISNUMBER(FIND("arbeid",Methode_Keuze)),"",IF(Tb_Activiteiten[[#This Row],[Arbeidskosten]]=1,Tb_Activiteiten[[#Headers],[Arbeidskosten]],"")))</f>
        <v/>
      </c>
      <c r="AR1264" t="str">
        <f>IF(ISNUMBER(FIND("arbeid",Methode_Keuze)),"",IF(ISNUMBER(FIND("arbeid",Methode_Keuze)),"",IF(Tb_Activiteiten[[#This Row],[Arbeidskosten op basis van IKS]]=1,Tb_Activiteiten[[#Headers],[Arbeidskosten op basis van IKS]],"")))</f>
        <v/>
      </c>
      <c r="AS1264" t="str">
        <f>IF(ISNUMBER(FIND("overige",Methode_Keuze)),"",IF(Tb_Activiteiten[[#This Row],[Kosten derden exclusief btw]]=1,Tb_Activiteiten[[#Headers],[Kosten derden exclusief btw]],""))</f>
        <v/>
      </c>
      <c r="AT1264" t="str">
        <f>IF(ISNUMBER(FIND("overige",Methode_Keuze)),"",IF(Tb_Activiteiten[[#This Row],[Niet verrekenbare btw]]=1,Tb_Activiteiten[[#Headers],[Niet verrekenbare btw]],""))</f>
        <v/>
      </c>
      <c r="AU1264" t="str">
        <f>IF(ISNUMBER(FIND("overige",Methode_Keuze)),"",IF(Tb_Activiteiten[[#This Row],[Grondkosten]]=1,Tb_Activiteiten[[#Headers],[Grondkosten]],""))</f>
        <v/>
      </c>
      <c r="AV1264" t="str">
        <f>IF(ISNUMBER(FIND("overige",Methode_Keuze)),"",IF(Tb_Activiteiten[[#This Row],[Bijdrage in natura (overige)]]=1,Tb_Activiteiten[[#Headers],[Bijdrage in natura (overige)]],""))</f>
        <v/>
      </c>
      <c r="AW1264" t="str">
        <f>IF(ISNUMBER(FIND("overige",Methode_Keuze)),"",IF(Tb_Activiteiten[[#This Row],[Bijdrage in natura (vrijwilligers)]]=1,Tb_Activiteiten[[#Headers],[Bijdrage in natura (vrijwilligers)]],""))</f>
        <v/>
      </c>
      <c r="AX1264" t="str">
        <f>IF(ISNUMBER(FIND("overige",Methode_Keuze)),"",IF(Tb_Activiteiten[[#This Row],[Afschrijvingskosten]]=1,Tb_Activiteiten[[#Headers],[Afschrijvingskosten]],""))</f>
        <v/>
      </c>
      <c r="AY1264" t="str">
        <f>IF(ISNUMBER(FIND("overige",Methode_Keuze)),"",IF(Tb_Activiteiten[[#This Row],[Vergoeding]]=1,Tb_Activiteiten[[#Headers],[Vergoeding]],""))</f>
        <v/>
      </c>
      <c r="AZ1264" t="str">
        <f>IF(ISNUMBER(FIND("arbeid",Methode_Keuze)),"",IF(Tb_Activiteiten[[#This Row],[Arbeidskosten - vast tarief (excl eigen arbeid)]]=1,Tb_Activiteiten[[#Headers],[Arbeidskosten - vast tarief (excl eigen arbeid)]],""))</f>
        <v/>
      </c>
      <c r="BA1264" t="str">
        <f>IF(ISNUMBER(FIND("overige",Methode_Keuze)),"",IF(Tb_Activiteiten[[#This Row],[Overige kosten]]=1,Tb_Activiteiten[[#Headers],[Overige kosten]],""))</f>
        <v/>
      </c>
    </row>
    <row r="1265" spans="1:53" x14ac:dyDescent="0.25">
      <c r="A1265" s="139"/>
      <c r="B1265" s="139"/>
      <c r="C1265" s="139"/>
      <c r="D1265" s="139"/>
      <c r="E1265" s="139"/>
      <c r="F1265" s="139"/>
      <c r="G1265" s="139"/>
      <c r="O1265" s="56"/>
      <c r="Q1265" t="str">
        <f>IFERROR(IF(VLOOKUP(Tb_Activiteiten[[#This Row],[Openstelling]],Tb_Openstelling[],2,0)=1,1,""),"")</f>
        <v/>
      </c>
      <c r="AK1265" t="str">
        <f>IF(ISNUMBER(FIND("arbeid",Methode_Keuze)),"",IF(ISNUMBER(FIND("arbeid",Methode_Keuze)),"",IF(Tb_Activiteiten[[#This Row],[Loonkosten]]=1,Tb_Activiteiten[[#Headers],[Loonkosten]],"")))</f>
        <v/>
      </c>
      <c r="AL1265" t="str">
        <f>IF(ISNUMBER(FIND("arbeid",Methode_Keuze)),"",IF(ISNUMBER(FIND("arbeid",Methode_Keuze)),"",IF(Tb_Activiteiten[[#This Row],[Eigen arbeid]]=1,Tb_Activiteiten[[#Headers],[Eigen arbeid]],"")))</f>
        <v/>
      </c>
      <c r="AM1265" t="str">
        <f>IF(ISNUMBER(FIND("arbeid",Methode_Keuze)),"",IF(ISNUMBER(FIND("arbeid",Methode_Keuze)),"",IF(Tb_Activiteiten[[#This Row],[Projectmedewerker]]=1,Tb_Activiteiten[[#Headers],[Projectmedewerker]],"")))</f>
        <v/>
      </c>
      <c r="AN1265" t="str">
        <f>IF(ISNUMBER(FIND("arbeid",Methode_Keuze)),"",IF(ISNUMBER(FIND("arbeid",Methode_Keuze)),"",IF(Tb_Activiteiten[[#This Row],[Landbouwer]]=1,Tb_Activiteiten[[#Headers],[Landbouwer]],"")))</f>
        <v/>
      </c>
      <c r="AO1265" t="str">
        <f>IF(ISNUMBER(FIND("arbeid",Methode_Keuze)),"",IF(ISNUMBER(FIND("arbeid",Methode_Keuze)),"",IF(Tb_Activiteiten[[#This Row],[Adviseur]]=1,Tb_Activiteiten[[#Headers],[Adviseur]],"")))</f>
        <v/>
      </c>
      <c r="AP1265" t="str">
        <f>IF(ISNUMBER(FIND("arbeid",Methode_Keuze)),"",IF(ISNUMBER(FIND("arbeid",Methode_Keuze)),"",IF(Tb_Activiteiten[[#This Row],[Projectleider/Expert]]=1,Tb_Activiteiten[[#Headers],[Projectleider/Expert]],"")))</f>
        <v/>
      </c>
      <c r="AQ1265" t="str">
        <f>IF(ISNUMBER(FIND("arbeid",Methode_Keuze)),"",IF(ISNUMBER(FIND("arbeid",Methode_Keuze)),"",IF(Tb_Activiteiten[[#This Row],[Arbeidskosten]]=1,Tb_Activiteiten[[#Headers],[Arbeidskosten]],"")))</f>
        <v/>
      </c>
      <c r="AR1265" t="str">
        <f>IF(ISNUMBER(FIND("arbeid",Methode_Keuze)),"",IF(ISNUMBER(FIND("arbeid",Methode_Keuze)),"",IF(Tb_Activiteiten[[#This Row],[Arbeidskosten op basis van IKS]]=1,Tb_Activiteiten[[#Headers],[Arbeidskosten op basis van IKS]],"")))</f>
        <v/>
      </c>
      <c r="AS1265" t="str">
        <f>IF(ISNUMBER(FIND("overige",Methode_Keuze)),"",IF(Tb_Activiteiten[[#This Row],[Kosten derden exclusief btw]]=1,Tb_Activiteiten[[#Headers],[Kosten derden exclusief btw]],""))</f>
        <v/>
      </c>
      <c r="AT1265" t="str">
        <f>IF(ISNUMBER(FIND("overige",Methode_Keuze)),"",IF(Tb_Activiteiten[[#This Row],[Niet verrekenbare btw]]=1,Tb_Activiteiten[[#Headers],[Niet verrekenbare btw]],""))</f>
        <v/>
      </c>
      <c r="AU1265" t="str">
        <f>IF(ISNUMBER(FIND("overige",Methode_Keuze)),"",IF(Tb_Activiteiten[[#This Row],[Grondkosten]]=1,Tb_Activiteiten[[#Headers],[Grondkosten]],""))</f>
        <v/>
      </c>
      <c r="AV1265" t="str">
        <f>IF(ISNUMBER(FIND("overige",Methode_Keuze)),"",IF(Tb_Activiteiten[[#This Row],[Bijdrage in natura (overige)]]=1,Tb_Activiteiten[[#Headers],[Bijdrage in natura (overige)]],""))</f>
        <v/>
      </c>
      <c r="AW1265" t="str">
        <f>IF(ISNUMBER(FIND("overige",Methode_Keuze)),"",IF(Tb_Activiteiten[[#This Row],[Bijdrage in natura (vrijwilligers)]]=1,Tb_Activiteiten[[#Headers],[Bijdrage in natura (vrijwilligers)]],""))</f>
        <v/>
      </c>
      <c r="AX1265" t="str">
        <f>IF(ISNUMBER(FIND("overige",Methode_Keuze)),"",IF(Tb_Activiteiten[[#This Row],[Afschrijvingskosten]]=1,Tb_Activiteiten[[#Headers],[Afschrijvingskosten]],""))</f>
        <v/>
      </c>
      <c r="AY1265" t="str">
        <f>IF(ISNUMBER(FIND("overige",Methode_Keuze)),"",IF(Tb_Activiteiten[[#This Row],[Vergoeding]]=1,Tb_Activiteiten[[#Headers],[Vergoeding]],""))</f>
        <v/>
      </c>
      <c r="AZ1265" t="str">
        <f>IF(ISNUMBER(FIND("arbeid",Methode_Keuze)),"",IF(Tb_Activiteiten[[#This Row],[Arbeidskosten - vast tarief (excl eigen arbeid)]]=1,Tb_Activiteiten[[#Headers],[Arbeidskosten - vast tarief (excl eigen arbeid)]],""))</f>
        <v/>
      </c>
      <c r="BA1265" t="str">
        <f>IF(ISNUMBER(FIND("overige",Methode_Keuze)),"",IF(Tb_Activiteiten[[#This Row],[Overige kosten]]=1,Tb_Activiteiten[[#Headers],[Overige kosten]],""))</f>
        <v/>
      </c>
    </row>
    <row r="1266" spans="1:53" x14ac:dyDescent="0.25">
      <c r="A1266" s="139"/>
      <c r="B1266" s="139"/>
      <c r="C1266" s="139"/>
      <c r="D1266" s="139"/>
      <c r="E1266" s="139"/>
      <c r="F1266" s="139"/>
      <c r="G1266" s="139"/>
      <c r="O1266" s="56"/>
      <c r="Q1266" t="str">
        <f>IFERROR(IF(VLOOKUP(Tb_Activiteiten[[#This Row],[Openstelling]],Tb_Openstelling[],2,0)=1,1,""),"")</f>
        <v/>
      </c>
      <c r="AK1266" t="str">
        <f>IF(ISNUMBER(FIND("arbeid",Methode_Keuze)),"",IF(ISNUMBER(FIND("arbeid",Methode_Keuze)),"",IF(Tb_Activiteiten[[#This Row],[Loonkosten]]=1,Tb_Activiteiten[[#Headers],[Loonkosten]],"")))</f>
        <v/>
      </c>
      <c r="AL1266" t="str">
        <f>IF(ISNUMBER(FIND("arbeid",Methode_Keuze)),"",IF(ISNUMBER(FIND("arbeid",Methode_Keuze)),"",IF(Tb_Activiteiten[[#This Row],[Eigen arbeid]]=1,Tb_Activiteiten[[#Headers],[Eigen arbeid]],"")))</f>
        <v/>
      </c>
      <c r="AM1266" t="str">
        <f>IF(ISNUMBER(FIND("arbeid",Methode_Keuze)),"",IF(ISNUMBER(FIND("arbeid",Methode_Keuze)),"",IF(Tb_Activiteiten[[#This Row],[Projectmedewerker]]=1,Tb_Activiteiten[[#Headers],[Projectmedewerker]],"")))</f>
        <v/>
      </c>
      <c r="AN1266" t="str">
        <f>IF(ISNUMBER(FIND("arbeid",Methode_Keuze)),"",IF(ISNUMBER(FIND("arbeid",Methode_Keuze)),"",IF(Tb_Activiteiten[[#This Row],[Landbouwer]]=1,Tb_Activiteiten[[#Headers],[Landbouwer]],"")))</f>
        <v/>
      </c>
      <c r="AO1266" t="str">
        <f>IF(ISNUMBER(FIND("arbeid",Methode_Keuze)),"",IF(ISNUMBER(FIND("arbeid",Methode_Keuze)),"",IF(Tb_Activiteiten[[#This Row],[Adviseur]]=1,Tb_Activiteiten[[#Headers],[Adviseur]],"")))</f>
        <v/>
      </c>
      <c r="AP1266" t="str">
        <f>IF(ISNUMBER(FIND("arbeid",Methode_Keuze)),"",IF(ISNUMBER(FIND("arbeid",Methode_Keuze)),"",IF(Tb_Activiteiten[[#This Row],[Projectleider/Expert]]=1,Tb_Activiteiten[[#Headers],[Projectleider/Expert]],"")))</f>
        <v/>
      </c>
      <c r="AQ1266" t="str">
        <f>IF(ISNUMBER(FIND("arbeid",Methode_Keuze)),"",IF(ISNUMBER(FIND("arbeid",Methode_Keuze)),"",IF(Tb_Activiteiten[[#This Row],[Arbeidskosten]]=1,Tb_Activiteiten[[#Headers],[Arbeidskosten]],"")))</f>
        <v/>
      </c>
      <c r="AR1266" t="str">
        <f>IF(ISNUMBER(FIND("arbeid",Methode_Keuze)),"",IF(ISNUMBER(FIND("arbeid",Methode_Keuze)),"",IF(Tb_Activiteiten[[#This Row],[Arbeidskosten op basis van IKS]]=1,Tb_Activiteiten[[#Headers],[Arbeidskosten op basis van IKS]],"")))</f>
        <v/>
      </c>
      <c r="AS1266" t="str">
        <f>IF(ISNUMBER(FIND("overige",Methode_Keuze)),"",IF(Tb_Activiteiten[[#This Row],[Kosten derden exclusief btw]]=1,Tb_Activiteiten[[#Headers],[Kosten derden exclusief btw]],""))</f>
        <v/>
      </c>
      <c r="AT1266" t="str">
        <f>IF(ISNUMBER(FIND("overige",Methode_Keuze)),"",IF(Tb_Activiteiten[[#This Row],[Niet verrekenbare btw]]=1,Tb_Activiteiten[[#Headers],[Niet verrekenbare btw]],""))</f>
        <v/>
      </c>
      <c r="AU1266" t="str">
        <f>IF(ISNUMBER(FIND("overige",Methode_Keuze)),"",IF(Tb_Activiteiten[[#This Row],[Grondkosten]]=1,Tb_Activiteiten[[#Headers],[Grondkosten]],""))</f>
        <v/>
      </c>
      <c r="AV1266" t="str">
        <f>IF(ISNUMBER(FIND("overige",Methode_Keuze)),"",IF(Tb_Activiteiten[[#This Row],[Bijdrage in natura (overige)]]=1,Tb_Activiteiten[[#Headers],[Bijdrage in natura (overige)]],""))</f>
        <v/>
      </c>
      <c r="AW1266" t="str">
        <f>IF(ISNUMBER(FIND("overige",Methode_Keuze)),"",IF(Tb_Activiteiten[[#This Row],[Bijdrage in natura (vrijwilligers)]]=1,Tb_Activiteiten[[#Headers],[Bijdrage in natura (vrijwilligers)]],""))</f>
        <v/>
      </c>
      <c r="AX1266" t="str">
        <f>IF(ISNUMBER(FIND("overige",Methode_Keuze)),"",IF(Tb_Activiteiten[[#This Row],[Afschrijvingskosten]]=1,Tb_Activiteiten[[#Headers],[Afschrijvingskosten]],""))</f>
        <v/>
      </c>
      <c r="AY1266" t="str">
        <f>IF(ISNUMBER(FIND("overige",Methode_Keuze)),"",IF(Tb_Activiteiten[[#This Row],[Vergoeding]]=1,Tb_Activiteiten[[#Headers],[Vergoeding]],""))</f>
        <v/>
      </c>
      <c r="AZ1266" t="str">
        <f>IF(ISNUMBER(FIND("arbeid",Methode_Keuze)),"",IF(Tb_Activiteiten[[#This Row],[Arbeidskosten - vast tarief (excl eigen arbeid)]]=1,Tb_Activiteiten[[#Headers],[Arbeidskosten - vast tarief (excl eigen arbeid)]],""))</f>
        <v/>
      </c>
      <c r="BA1266" t="str">
        <f>IF(ISNUMBER(FIND("overige",Methode_Keuze)),"",IF(Tb_Activiteiten[[#This Row],[Overige kosten]]=1,Tb_Activiteiten[[#Headers],[Overige kosten]],""))</f>
        <v/>
      </c>
    </row>
    <row r="1267" spans="1:53" x14ac:dyDescent="0.25">
      <c r="A1267" s="139"/>
      <c r="B1267" s="139"/>
      <c r="C1267" s="139"/>
      <c r="D1267" s="139"/>
      <c r="E1267" s="139"/>
      <c r="F1267" s="139"/>
      <c r="G1267" s="139"/>
      <c r="O1267" s="56"/>
      <c r="Q1267" t="str">
        <f>IFERROR(IF(VLOOKUP(Tb_Activiteiten[[#This Row],[Openstelling]],Tb_Openstelling[],2,0)=1,1,""),"")</f>
        <v/>
      </c>
      <c r="AK1267" t="str">
        <f>IF(ISNUMBER(FIND("arbeid",Methode_Keuze)),"",IF(ISNUMBER(FIND("arbeid",Methode_Keuze)),"",IF(Tb_Activiteiten[[#This Row],[Loonkosten]]=1,Tb_Activiteiten[[#Headers],[Loonkosten]],"")))</f>
        <v/>
      </c>
      <c r="AL1267" t="str">
        <f>IF(ISNUMBER(FIND("arbeid",Methode_Keuze)),"",IF(ISNUMBER(FIND("arbeid",Methode_Keuze)),"",IF(Tb_Activiteiten[[#This Row],[Eigen arbeid]]=1,Tb_Activiteiten[[#Headers],[Eigen arbeid]],"")))</f>
        <v/>
      </c>
      <c r="AM1267" t="str">
        <f>IF(ISNUMBER(FIND("arbeid",Methode_Keuze)),"",IF(ISNUMBER(FIND("arbeid",Methode_Keuze)),"",IF(Tb_Activiteiten[[#This Row],[Projectmedewerker]]=1,Tb_Activiteiten[[#Headers],[Projectmedewerker]],"")))</f>
        <v/>
      </c>
      <c r="AN1267" t="str">
        <f>IF(ISNUMBER(FIND("arbeid",Methode_Keuze)),"",IF(ISNUMBER(FIND("arbeid",Methode_Keuze)),"",IF(Tb_Activiteiten[[#This Row],[Landbouwer]]=1,Tb_Activiteiten[[#Headers],[Landbouwer]],"")))</f>
        <v/>
      </c>
      <c r="AO1267" t="str">
        <f>IF(ISNUMBER(FIND("arbeid",Methode_Keuze)),"",IF(ISNUMBER(FIND("arbeid",Methode_Keuze)),"",IF(Tb_Activiteiten[[#This Row],[Adviseur]]=1,Tb_Activiteiten[[#Headers],[Adviseur]],"")))</f>
        <v/>
      </c>
      <c r="AP1267" t="str">
        <f>IF(ISNUMBER(FIND("arbeid",Methode_Keuze)),"",IF(ISNUMBER(FIND("arbeid",Methode_Keuze)),"",IF(Tb_Activiteiten[[#This Row],[Projectleider/Expert]]=1,Tb_Activiteiten[[#Headers],[Projectleider/Expert]],"")))</f>
        <v/>
      </c>
      <c r="AQ1267" t="str">
        <f>IF(ISNUMBER(FIND("arbeid",Methode_Keuze)),"",IF(ISNUMBER(FIND("arbeid",Methode_Keuze)),"",IF(Tb_Activiteiten[[#This Row],[Arbeidskosten]]=1,Tb_Activiteiten[[#Headers],[Arbeidskosten]],"")))</f>
        <v/>
      </c>
      <c r="AR1267" t="str">
        <f>IF(ISNUMBER(FIND("arbeid",Methode_Keuze)),"",IF(ISNUMBER(FIND("arbeid",Methode_Keuze)),"",IF(Tb_Activiteiten[[#This Row],[Arbeidskosten op basis van IKS]]=1,Tb_Activiteiten[[#Headers],[Arbeidskosten op basis van IKS]],"")))</f>
        <v/>
      </c>
      <c r="AS1267" t="str">
        <f>IF(ISNUMBER(FIND("overige",Methode_Keuze)),"",IF(Tb_Activiteiten[[#This Row],[Kosten derden exclusief btw]]=1,Tb_Activiteiten[[#Headers],[Kosten derden exclusief btw]],""))</f>
        <v/>
      </c>
      <c r="AT1267" t="str">
        <f>IF(ISNUMBER(FIND("overige",Methode_Keuze)),"",IF(Tb_Activiteiten[[#This Row],[Niet verrekenbare btw]]=1,Tb_Activiteiten[[#Headers],[Niet verrekenbare btw]],""))</f>
        <v/>
      </c>
      <c r="AU1267" t="str">
        <f>IF(ISNUMBER(FIND("overige",Methode_Keuze)),"",IF(Tb_Activiteiten[[#This Row],[Grondkosten]]=1,Tb_Activiteiten[[#Headers],[Grondkosten]],""))</f>
        <v/>
      </c>
      <c r="AV1267" t="str">
        <f>IF(ISNUMBER(FIND("overige",Methode_Keuze)),"",IF(Tb_Activiteiten[[#This Row],[Bijdrage in natura (overige)]]=1,Tb_Activiteiten[[#Headers],[Bijdrage in natura (overige)]],""))</f>
        <v/>
      </c>
      <c r="AW1267" t="str">
        <f>IF(ISNUMBER(FIND("overige",Methode_Keuze)),"",IF(Tb_Activiteiten[[#This Row],[Bijdrage in natura (vrijwilligers)]]=1,Tb_Activiteiten[[#Headers],[Bijdrage in natura (vrijwilligers)]],""))</f>
        <v/>
      </c>
      <c r="AX1267" t="str">
        <f>IF(ISNUMBER(FIND("overige",Methode_Keuze)),"",IF(Tb_Activiteiten[[#This Row],[Afschrijvingskosten]]=1,Tb_Activiteiten[[#Headers],[Afschrijvingskosten]],""))</f>
        <v/>
      </c>
      <c r="AY1267" t="str">
        <f>IF(ISNUMBER(FIND("overige",Methode_Keuze)),"",IF(Tb_Activiteiten[[#This Row],[Vergoeding]]=1,Tb_Activiteiten[[#Headers],[Vergoeding]],""))</f>
        <v/>
      </c>
      <c r="AZ1267" t="str">
        <f>IF(ISNUMBER(FIND("arbeid",Methode_Keuze)),"",IF(Tb_Activiteiten[[#This Row],[Arbeidskosten - vast tarief (excl eigen arbeid)]]=1,Tb_Activiteiten[[#Headers],[Arbeidskosten - vast tarief (excl eigen arbeid)]],""))</f>
        <v/>
      </c>
      <c r="BA1267" t="str">
        <f>IF(ISNUMBER(FIND("overige",Methode_Keuze)),"",IF(Tb_Activiteiten[[#This Row],[Overige kosten]]=1,Tb_Activiteiten[[#Headers],[Overige kosten]],""))</f>
        <v/>
      </c>
    </row>
    <row r="1268" spans="1:53" x14ac:dyDescent="0.25">
      <c r="A1268" s="139"/>
      <c r="B1268" s="139"/>
      <c r="C1268" s="139"/>
      <c r="D1268" s="139"/>
      <c r="E1268" s="139"/>
      <c r="F1268" s="139"/>
      <c r="G1268" s="139"/>
      <c r="O1268" s="56"/>
      <c r="Q1268" t="str">
        <f>IFERROR(IF(VLOOKUP(Tb_Activiteiten[[#This Row],[Openstelling]],Tb_Openstelling[],2,0)=1,1,""),"")</f>
        <v/>
      </c>
      <c r="AK1268" t="str">
        <f>IF(ISNUMBER(FIND("arbeid",Methode_Keuze)),"",IF(ISNUMBER(FIND("arbeid",Methode_Keuze)),"",IF(Tb_Activiteiten[[#This Row],[Loonkosten]]=1,Tb_Activiteiten[[#Headers],[Loonkosten]],"")))</f>
        <v/>
      </c>
      <c r="AL1268" t="str">
        <f>IF(ISNUMBER(FIND("arbeid",Methode_Keuze)),"",IF(ISNUMBER(FIND("arbeid",Methode_Keuze)),"",IF(Tb_Activiteiten[[#This Row],[Eigen arbeid]]=1,Tb_Activiteiten[[#Headers],[Eigen arbeid]],"")))</f>
        <v/>
      </c>
      <c r="AM1268" t="str">
        <f>IF(ISNUMBER(FIND("arbeid",Methode_Keuze)),"",IF(ISNUMBER(FIND("arbeid",Methode_Keuze)),"",IF(Tb_Activiteiten[[#This Row],[Projectmedewerker]]=1,Tb_Activiteiten[[#Headers],[Projectmedewerker]],"")))</f>
        <v/>
      </c>
      <c r="AN1268" t="str">
        <f>IF(ISNUMBER(FIND("arbeid",Methode_Keuze)),"",IF(ISNUMBER(FIND("arbeid",Methode_Keuze)),"",IF(Tb_Activiteiten[[#This Row],[Landbouwer]]=1,Tb_Activiteiten[[#Headers],[Landbouwer]],"")))</f>
        <v/>
      </c>
      <c r="AO1268" t="str">
        <f>IF(ISNUMBER(FIND("arbeid",Methode_Keuze)),"",IF(ISNUMBER(FIND("arbeid",Methode_Keuze)),"",IF(Tb_Activiteiten[[#This Row],[Adviseur]]=1,Tb_Activiteiten[[#Headers],[Adviseur]],"")))</f>
        <v/>
      </c>
      <c r="AP1268" t="str">
        <f>IF(ISNUMBER(FIND("arbeid",Methode_Keuze)),"",IF(ISNUMBER(FIND("arbeid",Methode_Keuze)),"",IF(Tb_Activiteiten[[#This Row],[Projectleider/Expert]]=1,Tb_Activiteiten[[#Headers],[Projectleider/Expert]],"")))</f>
        <v/>
      </c>
      <c r="AQ1268" t="str">
        <f>IF(ISNUMBER(FIND("arbeid",Methode_Keuze)),"",IF(ISNUMBER(FIND("arbeid",Methode_Keuze)),"",IF(Tb_Activiteiten[[#This Row],[Arbeidskosten]]=1,Tb_Activiteiten[[#Headers],[Arbeidskosten]],"")))</f>
        <v/>
      </c>
      <c r="AR1268" t="str">
        <f>IF(ISNUMBER(FIND("arbeid",Methode_Keuze)),"",IF(ISNUMBER(FIND("arbeid",Methode_Keuze)),"",IF(Tb_Activiteiten[[#This Row],[Arbeidskosten op basis van IKS]]=1,Tb_Activiteiten[[#Headers],[Arbeidskosten op basis van IKS]],"")))</f>
        <v/>
      </c>
      <c r="AS1268" t="str">
        <f>IF(ISNUMBER(FIND("overige",Methode_Keuze)),"",IF(Tb_Activiteiten[[#This Row],[Kosten derden exclusief btw]]=1,Tb_Activiteiten[[#Headers],[Kosten derden exclusief btw]],""))</f>
        <v/>
      </c>
      <c r="AT1268" t="str">
        <f>IF(ISNUMBER(FIND("overige",Methode_Keuze)),"",IF(Tb_Activiteiten[[#This Row],[Niet verrekenbare btw]]=1,Tb_Activiteiten[[#Headers],[Niet verrekenbare btw]],""))</f>
        <v/>
      </c>
      <c r="AU1268" t="str">
        <f>IF(ISNUMBER(FIND("overige",Methode_Keuze)),"",IF(Tb_Activiteiten[[#This Row],[Grondkosten]]=1,Tb_Activiteiten[[#Headers],[Grondkosten]],""))</f>
        <v/>
      </c>
      <c r="AV1268" t="str">
        <f>IF(ISNUMBER(FIND("overige",Methode_Keuze)),"",IF(Tb_Activiteiten[[#This Row],[Bijdrage in natura (overige)]]=1,Tb_Activiteiten[[#Headers],[Bijdrage in natura (overige)]],""))</f>
        <v/>
      </c>
      <c r="AW1268" t="str">
        <f>IF(ISNUMBER(FIND("overige",Methode_Keuze)),"",IF(Tb_Activiteiten[[#This Row],[Bijdrage in natura (vrijwilligers)]]=1,Tb_Activiteiten[[#Headers],[Bijdrage in natura (vrijwilligers)]],""))</f>
        <v/>
      </c>
      <c r="AX1268" t="str">
        <f>IF(ISNUMBER(FIND("overige",Methode_Keuze)),"",IF(Tb_Activiteiten[[#This Row],[Afschrijvingskosten]]=1,Tb_Activiteiten[[#Headers],[Afschrijvingskosten]],""))</f>
        <v/>
      </c>
      <c r="AY1268" t="str">
        <f>IF(ISNUMBER(FIND("overige",Methode_Keuze)),"",IF(Tb_Activiteiten[[#This Row],[Vergoeding]]=1,Tb_Activiteiten[[#Headers],[Vergoeding]],""))</f>
        <v/>
      </c>
      <c r="AZ1268" t="str">
        <f>IF(ISNUMBER(FIND("arbeid",Methode_Keuze)),"",IF(Tb_Activiteiten[[#This Row],[Arbeidskosten - vast tarief (excl eigen arbeid)]]=1,Tb_Activiteiten[[#Headers],[Arbeidskosten - vast tarief (excl eigen arbeid)]],""))</f>
        <v/>
      </c>
      <c r="BA1268" t="str">
        <f>IF(ISNUMBER(FIND("overige",Methode_Keuze)),"",IF(Tb_Activiteiten[[#This Row],[Overige kosten]]=1,Tb_Activiteiten[[#Headers],[Overige kosten]],""))</f>
        <v/>
      </c>
    </row>
    <row r="1269" spans="1:53" x14ac:dyDescent="0.25">
      <c r="A1269" s="139"/>
      <c r="B1269" s="139"/>
      <c r="C1269" s="139"/>
      <c r="D1269" s="139"/>
      <c r="E1269" s="139"/>
      <c r="F1269" s="139"/>
      <c r="G1269" s="139"/>
      <c r="O1269" s="56"/>
      <c r="Q1269" t="str">
        <f>IFERROR(IF(VLOOKUP(Tb_Activiteiten[[#This Row],[Openstelling]],Tb_Openstelling[],2,0)=1,1,""),"")</f>
        <v/>
      </c>
      <c r="AK1269" t="str">
        <f>IF(ISNUMBER(FIND("arbeid",Methode_Keuze)),"",IF(ISNUMBER(FIND("arbeid",Methode_Keuze)),"",IF(Tb_Activiteiten[[#This Row],[Loonkosten]]=1,Tb_Activiteiten[[#Headers],[Loonkosten]],"")))</f>
        <v/>
      </c>
      <c r="AL1269" t="str">
        <f>IF(ISNUMBER(FIND("arbeid",Methode_Keuze)),"",IF(ISNUMBER(FIND("arbeid",Methode_Keuze)),"",IF(Tb_Activiteiten[[#This Row],[Eigen arbeid]]=1,Tb_Activiteiten[[#Headers],[Eigen arbeid]],"")))</f>
        <v/>
      </c>
      <c r="AM1269" t="str">
        <f>IF(ISNUMBER(FIND("arbeid",Methode_Keuze)),"",IF(ISNUMBER(FIND("arbeid",Methode_Keuze)),"",IF(Tb_Activiteiten[[#This Row],[Projectmedewerker]]=1,Tb_Activiteiten[[#Headers],[Projectmedewerker]],"")))</f>
        <v/>
      </c>
      <c r="AN1269" t="str">
        <f>IF(ISNUMBER(FIND("arbeid",Methode_Keuze)),"",IF(ISNUMBER(FIND("arbeid",Methode_Keuze)),"",IF(Tb_Activiteiten[[#This Row],[Landbouwer]]=1,Tb_Activiteiten[[#Headers],[Landbouwer]],"")))</f>
        <v/>
      </c>
      <c r="AO1269" t="str">
        <f>IF(ISNUMBER(FIND("arbeid",Methode_Keuze)),"",IF(ISNUMBER(FIND("arbeid",Methode_Keuze)),"",IF(Tb_Activiteiten[[#This Row],[Adviseur]]=1,Tb_Activiteiten[[#Headers],[Adviseur]],"")))</f>
        <v/>
      </c>
      <c r="AP1269" t="str">
        <f>IF(ISNUMBER(FIND("arbeid",Methode_Keuze)),"",IF(ISNUMBER(FIND("arbeid",Methode_Keuze)),"",IF(Tb_Activiteiten[[#This Row],[Projectleider/Expert]]=1,Tb_Activiteiten[[#Headers],[Projectleider/Expert]],"")))</f>
        <v/>
      </c>
      <c r="AQ1269" t="str">
        <f>IF(ISNUMBER(FIND("arbeid",Methode_Keuze)),"",IF(ISNUMBER(FIND("arbeid",Methode_Keuze)),"",IF(Tb_Activiteiten[[#This Row],[Arbeidskosten]]=1,Tb_Activiteiten[[#Headers],[Arbeidskosten]],"")))</f>
        <v/>
      </c>
      <c r="AR1269" t="str">
        <f>IF(ISNUMBER(FIND("arbeid",Methode_Keuze)),"",IF(ISNUMBER(FIND("arbeid",Methode_Keuze)),"",IF(Tb_Activiteiten[[#This Row],[Arbeidskosten op basis van IKS]]=1,Tb_Activiteiten[[#Headers],[Arbeidskosten op basis van IKS]],"")))</f>
        <v/>
      </c>
      <c r="AS1269" t="str">
        <f>IF(ISNUMBER(FIND("overige",Methode_Keuze)),"",IF(Tb_Activiteiten[[#This Row],[Kosten derden exclusief btw]]=1,Tb_Activiteiten[[#Headers],[Kosten derden exclusief btw]],""))</f>
        <v/>
      </c>
      <c r="AT1269" t="str">
        <f>IF(ISNUMBER(FIND("overige",Methode_Keuze)),"",IF(Tb_Activiteiten[[#This Row],[Niet verrekenbare btw]]=1,Tb_Activiteiten[[#Headers],[Niet verrekenbare btw]],""))</f>
        <v/>
      </c>
      <c r="AU1269" t="str">
        <f>IF(ISNUMBER(FIND("overige",Methode_Keuze)),"",IF(Tb_Activiteiten[[#This Row],[Grondkosten]]=1,Tb_Activiteiten[[#Headers],[Grondkosten]],""))</f>
        <v/>
      </c>
      <c r="AV1269" t="str">
        <f>IF(ISNUMBER(FIND("overige",Methode_Keuze)),"",IF(Tb_Activiteiten[[#This Row],[Bijdrage in natura (overige)]]=1,Tb_Activiteiten[[#Headers],[Bijdrage in natura (overige)]],""))</f>
        <v/>
      </c>
      <c r="AW1269" t="str">
        <f>IF(ISNUMBER(FIND("overige",Methode_Keuze)),"",IF(Tb_Activiteiten[[#This Row],[Bijdrage in natura (vrijwilligers)]]=1,Tb_Activiteiten[[#Headers],[Bijdrage in natura (vrijwilligers)]],""))</f>
        <v/>
      </c>
      <c r="AX1269" t="str">
        <f>IF(ISNUMBER(FIND("overige",Methode_Keuze)),"",IF(Tb_Activiteiten[[#This Row],[Afschrijvingskosten]]=1,Tb_Activiteiten[[#Headers],[Afschrijvingskosten]],""))</f>
        <v/>
      </c>
      <c r="AY1269" t="str">
        <f>IF(ISNUMBER(FIND("overige",Methode_Keuze)),"",IF(Tb_Activiteiten[[#This Row],[Vergoeding]]=1,Tb_Activiteiten[[#Headers],[Vergoeding]],""))</f>
        <v/>
      </c>
      <c r="AZ1269" t="str">
        <f>IF(ISNUMBER(FIND("arbeid",Methode_Keuze)),"",IF(Tb_Activiteiten[[#This Row],[Arbeidskosten - vast tarief (excl eigen arbeid)]]=1,Tb_Activiteiten[[#Headers],[Arbeidskosten - vast tarief (excl eigen arbeid)]],""))</f>
        <v/>
      </c>
      <c r="BA1269" t="str">
        <f>IF(ISNUMBER(FIND("overige",Methode_Keuze)),"",IF(Tb_Activiteiten[[#This Row],[Overige kosten]]=1,Tb_Activiteiten[[#Headers],[Overige kosten]],""))</f>
        <v/>
      </c>
    </row>
    <row r="1270" spans="1:53" x14ac:dyDescent="0.25">
      <c r="A1270" s="139"/>
      <c r="B1270" s="139"/>
      <c r="C1270" s="139"/>
      <c r="D1270" s="139"/>
      <c r="E1270" s="139"/>
      <c r="F1270" s="139"/>
      <c r="G1270" s="139"/>
      <c r="O1270" s="56"/>
      <c r="Q1270" t="str">
        <f>IFERROR(IF(VLOOKUP(Tb_Activiteiten[[#This Row],[Openstelling]],Tb_Openstelling[],2,0)=1,1,""),"")</f>
        <v/>
      </c>
      <c r="AK1270" t="str">
        <f>IF(ISNUMBER(FIND("arbeid",Methode_Keuze)),"",IF(ISNUMBER(FIND("arbeid",Methode_Keuze)),"",IF(Tb_Activiteiten[[#This Row],[Loonkosten]]=1,Tb_Activiteiten[[#Headers],[Loonkosten]],"")))</f>
        <v/>
      </c>
      <c r="AL1270" t="str">
        <f>IF(ISNUMBER(FIND("arbeid",Methode_Keuze)),"",IF(ISNUMBER(FIND("arbeid",Methode_Keuze)),"",IF(Tb_Activiteiten[[#This Row],[Eigen arbeid]]=1,Tb_Activiteiten[[#Headers],[Eigen arbeid]],"")))</f>
        <v/>
      </c>
      <c r="AM1270" t="str">
        <f>IF(ISNUMBER(FIND("arbeid",Methode_Keuze)),"",IF(ISNUMBER(FIND("arbeid",Methode_Keuze)),"",IF(Tb_Activiteiten[[#This Row],[Projectmedewerker]]=1,Tb_Activiteiten[[#Headers],[Projectmedewerker]],"")))</f>
        <v/>
      </c>
      <c r="AN1270" t="str">
        <f>IF(ISNUMBER(FIND("arbeid",Methode_Keuze)),"",IF(ISNUMBER(FIND("arbeid",Methode_Keuze)),"",IF(Tb_Activiteiten[[#This Row],[Landbouwer]]=1,Tb_Activiteiten[[#Headers],[Landbouwer]],"")))</f>
        <v/>
      </c>
      <c r="AO1270" t="str">
        <f>IF(ISNUMBER(FIND("arbeid",Methode_Keuze)),"",IF(ISNUMBER(FIND("arbeid",Methode_Keuze)),"",IF(Tb_Activiteiten[[#This Row],[Adviseur]]=1,Tb_Activiteiten[[#Headers],[Adviseur]],"")))</f>
        <v/>
      </c>
      <c r="AP1270" t="str">
        <f>IF(ISNUMBER(FIND("arbeid",Methode_Keuze)),"",IF(ISNUMBER(FIND("arbeid",Methode_Keuze)),"",IF(Tb_Activiteiten[[#This Row],[Projectleider/Expert]]=1,Tb_Activiteiten[[#Headers],[Projectleider/Expert]],"")))</f>
        <v/>
      </c>
      <c r="AQ1270" t="str">
        <f>IF(ISNUMBER(FIND("arbeid",Methode_Keuze)),"",IF(ISNUMBER(FIND("arbeid",Methode_Keuze)),"",IF(Tb_Activiteiten[[#This Row],[Arbeidskosten]]=1,Tb_Activiteiten[[#Headers],[Arbeidskosten]],"")))</f>
        <v/>
      </c>
      <c r="AR1270" t="str">
        <f>IF(ISNUMBER(FIND("arbeid",Methode_Keuze)),"",IF(ISNUMBER(FIND("arbeid",Methode_Keuze)),"",IF(Tb_Activiteiten[[#This Row],[Arbeidskosten op basis van IKS]]=1,Tb_Activiteiten[[#Headers],[Arbeidskosten op basis van IKS]],"")))</f>
        <v/>
      </c>
      <c r="AS1270" t="str">
        <f>IF(ISNUMBER(FIND("overige",Methode_Keuze)),"",IF(Tb_Activiteiten[[#This Row],[Kosten derden exclusief btw]]=1,Tb_Activiteiten[[#Headers],[Kosten derden exclusief btw]],""))</f>
        <v/>
      </c>
      <c r="AT1270" t="str">
        <f>IF(ISNUMBER(FIND("overige",Methode_Keuze)),"",IF(Tb_Activiteiten[[#This Row],[Niet verrekenbare btw]]=1,Tb_Activiteiten[[#Headers],[Niet verrekenbare btw]],""))</f>
        <v/>
      </c>
      <c r="AU1270" t="str">
        <f>IF(ISNUMBER(FIND("overige",Methode_Keuze)),"",IF(Tb_Activiteiten[[#This Row],[Grondkosten]]=1,Tb_Activiteiten[[#Headers],[Grondkosten]],""))</f>
        <v/>
      </c>
      <c r="AV1270" t="str">
        <f>IF(ISNUMBER(FIND("overige",Methode_Keuze)),"",IF(Tb_Activiteiten[[#This Row],[Bijdrage in natura (overige)]]=1,Tb_Activiteiten[[#Headers],[Bijdrage in natura (overige)]],""))</f>
        <v/>
      </c>
      <c r="AW1270" t="str">
        <f>IF(ISNUMBER(FIND("overige",Methode_Keuze)),"",IF(Tb_Activiteiten[[#This Row],[Bijdrage in natura (vrijwilligers)]]=1,Tb_Activiteiten[[#Headers],[Bijdrage in natura (vrijwilligers)]],""))</f>
        <v/>
      </c>
      <c r="AX1270" t="str">
        <f>IF(ISNUMBER(FIND("overige",Methode_Keuze)),"",IF(Tb_Activiteiten[[#This Row],[Afschrijvingskosten]]=1,Tb_Activiteiten[[#Headers],[Afschrijvingskosten]],""))</f>
        <v/>
      </c>
      <c r="AY1270" t="str">
        <f>IF(ISNUMBER(FIND("overige",Methode_Keuze)),"",IF(Tb_Activiteiten[[#This Row],[Vergoeding]]=1,Tb_Activiteiten[[#Headers],[Vergoeding]],""))</f>
        <v/>
      </c>
      <c r="AZ1270" t="str">
        <f>IF(ISNUMBER(FIND("arbeid",Methode_Keuze)),"",IF(Tb_Activiteiten[[#This Row],[Arbeidskosten - vast tarief (excl eigen arbeid)]]=1,Tb_Activiteiten[[#Headers],[Arbeidskosten - vast tarief (excl eigen arbeid)]],""))</f>
        <v/>
      </c>
      <c r="BA1270" t="str">
        <f>IF(ISNUMBER(FIND("overige",Methode_Keuze)),"",IF(Tb_Activiteiten[[#This Row],[Overige kosten]]=1,Tb_Activiteiten[[#Headers],[Overige kosten]],""))</f>
        <v/>
      </c>
    </row>
    <row r="1271" spans="1:53" x14ac:dyDescent="0.25">
      <c r="A1271" s="139"/>
      <c r="B1271" s="139"/>
      <c r="C1271" s="139"/>
      <c r="D1271" s="139"/>
      <c r="E1271" s="139"/>
      <c r="F1271" s="139"/>
      <c r="G1271" s="139"/>
      <c r="O1271" s="56"/>
      <c r="Q1271" t="str">
        <f>IFERROR(IF(VLOOKUP(Tb_Activiteiten[[#This Row],[Openstelling]],Tb_Openstelling[],2,0)=1,1,""),"")</f>
        <v/>
      </c>
      <c r="AK1271" t="str">
        <f>IF(ISNUMBER(FIND("arbeid",Methode_Keuze)),"",IF(ISNUMBER(FIND("arbeid",Methode_Keuze)),"",IF(Tb_Activiteiten[[#This Row],[Loonkosten]]=1,Tb_Activiteiten[[#Headers],[Loonkosten]],"")))</f>
        <v/>
      </c>
      <c r="AL1271" t="str">
        <f>IF(ISNUMBER(FIND("arbeid",Methode_Keuze)),"",IF(ISNUMBER(FIND("arbeid",Methode_Keuze)),"",IF(Tb_Activiteiten[[#This Row],[Eigen arbeid]]=1,Tb_Activiteiten[[#Headers],[Eigen arbeid]],"")))</f>
        <v/>
      </c>
      <c r="AM1271" t="str">
        <f>IF(ISNUMBER(FIND("arbeid",Methode_Keuze)),"",IF(ISNUMBER(FIND("arbeid",Methode_Keuze)),"",IF(Tb_Activiteiten[[#This Row],[Projectmedewerker]]=1,Tb_Activiteiten[[#Headers],[Projectmedewerker]],"")))</f>
        <v/>
      </c>
      <c r="AN1271" t="str">
        <f>IF(ISNUMBER(FIND("arbeid",Methode_Keuze)),"",IF(ISNUMBER(FIND("arbeid",Methode_Keuze)),"",IF(Tb_Activiteiten[[#This Row],[Landbouwer]]=1,Tb_Activiteiten[[#Headers],[Landbouwer]],"")))</f>
        <v/>
      </c>
      <c r="AO1271" t="str">
        <f>IF(ISNUMBER(FIND("arbeid",Methode_Keuze)),"",IF(ISNUMBER(FIND("arbeid",Methode_Keuze)),"",IF(Tb_Activiteiten[[#This Row],[Adviseur]]=1,Tb_Activiteiten[[#Headers],[Adviseur]],"")))</f>
        <v/>
      </c>
      <c r="AP1271" t="str">
        <f>IF(ISNUMBER(FIND("arbeid",Methode_Keuze)),"",IF(ISNUMBER(FIND("arbeid",Methode_Keuze)),"",IF(Tb_Activiteiten[[#This Row],[Projectleider/Expert]]=1,Tb_Activiteiten[[#Headers],[Projectleider/Expert]],"")))</f>
        <v/>
      </c>
      <c r="AQ1271" t="str">
        <f>IF(ISNUMBER(FIND("arbeid",Methode_Keuze)),"",IF(ISNUMBER(FIND("arbeid",Methode_Keuze)),"",IF(Tb_Activiteiten[[#This Row],[Arbeidskosten]]=1,Tb_Activiteiten[[#Headers],[Arbeidskosten]],"")))</f>
        <v/>
      </c>
      <c r="AR1271" t="str">
        <f>IF(ISNUMBER(FIND("arbeid",Methode_Keuze)),"",IF(ISNUMBER(FIND("arbeid",Methode_Keuze)),"",IF(Tb_Activiteiten[[#This Row],[Arbeidskosten op basis van IKS]]=1,Tb_Activiteiten[[#Headers],[Arbeidskosten op basis van IKS]],"")))</f>
        <v/>
      </c>
      <c r="AS1271" t="str">
        <f>IF(ISNUMBER(FIND("overige",Methode_Keuze)),"",IF(Tb_Activiteiten[[#This Row],[Kosten derden exclusief btw]]=1,Tb_Activiteiten[[#Headers],[Kosten derden exclusief btw]],""))</f>
        <v/>
      </c>
      <c r="AT1271" t="str">
        <f>IF(ISNUMBER(FIND("overige",Methode_Keuze)),"",IF(Tb_Activiteiten[[#This Row],[Niet verrekenbare btw]]=1,Tb_Activiteiten[[#Headers],[Niet verrekenbare btw]],""))</f>
        <v/>
      </c>
      <c r="AU1271" t="str">
        <f>IF(ISNUMBER(FIND("overige",Methode_Keuze)),"",IF(Tb_Activiteiten[[#This Row],[Grondkosten]]=1,Tb_Activiteiten[[#Headers],[Grondkosten]],""))</f>
        <v/>
      </c>
      <c r="AV1271" t="str">
        <f>IF(ISNUMBER(FIND("overige",Methode_Keuze)),"",IF(Tb_Activiteiten[[#This Row],[Bijdrage in natura (overige)]]=1,Tb_Activiteiten[[#Headers],[Bijdrage in natura (overige)]],""))</f>
        <v/>
      </c>
      <c r="AW1271" t="str">
        <f>IF(ISNUMBER(FIND("overige",Methode_Keuze)),"",IF(Tb_Activiteiten[[#This Row],[Bijdrage in natura (vrijwilligers)]]=1,Tb_Activiteiten[[#Headers],[Bijdrage in natura (vrijwilligers)]],""))</f>
        <v/>
      </c>
      <c r="AX1271" t="str">
        <f>IF(ISNUMBER(FIND("overige",Methode_Keuze)),"",IF(Tb_Activiteiten[[#This Row],[Afschrijvingskosten]]=1,Tb_Activiteiten[[#Headers],[Afschrijvingskosten]],""))</f>
        <v/>
      </c>
      <c r="AY1271" t="str">
        <f>IF(ISNUMBER(FIND("overige",Methode_Keuze)),"",IF(Tb_Activiteiten[[#This Row],[Vergoeding]]=1,Tb_Activiteiten[[#Headers],[Vergoeding]],""))</f>
        <v/>
      </c>
      <c r="AZ1271" t="str">
        <f>IF(ISNUMBER(FIND("arbeid",Methode_Keuze)),"",IF(Tb_Activiteiten[[#This Row],[Arbeidskosten - vast tarief (excl eigen arbeid)]]=1,Tb_Activiteiten[[#Headers],[Arbeidskosten - vast tarief (excl eigen arbeid)]],""))</f>
        <v/>
      </c>
      <c r="BA1271" t="str">
        <f>IF(ISNUMBER(FIND("overige",Methode_Keuze)),"",IF(Tb_Activiteiten[[#This Row],[Overige kosten]]=1,Tb_Activiteiten[[#Headers],[Overige kosten]],""))</f>
        <v/>
      </c>
    </row>
    <row r="1272" spans="1:53" x14ac:dyDescent="0.25">
      <c r="A1272" s="139"/>
      <c r="B1272" s="139"/>
      <c r="C1272" s="139"/>
      <c r="D1272" s="139"/>
      <c r="E1272" s="139"/>
      <c r="F1272" s="139"/>
      <c r="G1272" s="139"/>
      <c r="O1272" s="56"/>
      <c r="Q1272" t="str">
        <f>IFERROR(IF(VLOOKUP(Tb_Activiteiten[[#This Row],[Openstelling]],Tb_Openstelling[],2,0)=1,1,""),"")</f>
        <v/>
      </c>
      <c r="AK1272" t="str">
        <f>IF(ISNUMBER(FIND("arbeid",Methode_Keuze)),"",IF(ISNUMBER(FIND("arbeid",Methode_Keuze)),"",IF(Tb_Activiteiten[[#This Row],[Loonkosten]]=1,Tb_Activiteiten[[#Headers],[Loonkosten]],"")))</f>
        <v/>
      </c>
      <c r="AL1272" t="str">
        <f>IF(ISNUMBER(FIND("arbeid",Methode_Keuze)),"",IF(ISNUMBER(FIND("arbeid",Methode_Keuze)),"",IF(Tb_Activiteiten[[#This Row],[Eigen arbeid]]=1,Tb_Activiteiten[[#Headers],[Eigen arbeid]],"")))</f>
        <v/>
      </c>
      <c r="AM1272" t="str">
        <f>IF(ISNUMBER(FIND("arbeid",Methode_Keuze)),"",IF(ISNUMBER(FIND("arbeid",Methode_Keuze)),"",IF(Tb_Activiteiten[[#This Row],[Projectmedewerker]]=1,Tb_Activiteiten[[#Headers],[Projectmedewerker]],"")))</f>
        <v/>
      </c>
      <c r="AN1272" t="str">
        <f>IF(ISNUMBER(FIND("arbeid",Methode_Keuze)),"",IF(ISNUMBER(FIND("arbeid",Methode_Keuze)),"",IF(Tb_Activiteiten[[#This Row],[Landbouwer]]=1,Tb_Activiteiten[[#Headers],[Landbouwer]],"")))</f>
        <v/>
      </c>
      <c r="AO1272" t="str">
        <f>IF(ISNUMBER(FIND("arbeid",Methode_Keuze)),"",IF(ISNUMBER(FIND("arbeid",Methode_Keuze)),"",IF(Tb_Activiteiten[[#This Row],[Adviseur]]=1,Tb_Activiteiten[[#Headers],[Adviseur]],"")))</f>
        <v/>
      </c>
      <c r="AP1272" t="str">
        <f>IF(ISNUMBER(FIND("arbeid",Methode_Keuze)),"",IF(ISNUMBER(FIND("arbeid",Methode_Keuze)),"",IF(Tb_Activiteiten[[#This Row],[Projectleider/Expert]]=1,Tb_Activiteiten[[#Headers],[Projectleider/Expert]],"")))</f>
        <v/>
      </c>
      <c r="AQ1272" t="str">
        <f>IF(ISNUMBER(FIND("arbeid",Methode_Keuze)),"",IF(ISNUMBER(FIND("arbeid",Methode_Keuze)),"",IF(Tb_Activiteiten[[#This Row],[Arbeidskosten]]=1,Tb_Activiteiten[[#Headers],[Arbeidskosten]],"")))</f>
        <v/>
      </c>
      <c r="AR1272" t="str">
        <f>IF(ISNUMBER(FIND("arbeid",Methode_Keuze)),"",IF(ISNUMBER(FIND("arbeid",Methode_Keuze)),"",IF(Tb_Activiteiten[[#This Row],[Arbeidskosten op basis van IKS]]=1,Tb_Activiteiten[[#Headers],[Arbeidskosten op basis van IKS]],"")))</f>
        <v/>
      </c>
      <c r="AS1272" t="str">
        <f>IF(ISNUMBER(FIND("overige",Methode_Keuze)),"",IF(Tb_Activiteiten[[#This Row],[Kosten derden exclusief btw]]=1,Tb_Activiteiten[[#Headers],[Kosten derden exclusief btw]],""))</f>
        <v/>
      </c>
      <c r="AT1272" t="str">
        <f>IF(ISNUMBER(FIND("overige",Methode_Keuze)),"",IF(Tb_Activiteiten[[#This Row],[Niet verrekenbare btw]]=1,Tb_Activiteiten[[#Headers],[Niet verrekenbare btw]],""))</f>
        <v/>
      </c>
      <c r="AU1272" t="str">
        <f>IF(ISNUMBER(FIND("overige",Methode_Keuze)),"",IF(Tb_Activiteiten[[#This Row],[Grondkosten]]=1,Tb_Activiteiten[[#Headers],[Grondkosten]],""))</f>
        <v/>
      </c>
      <c r="AV1272" t="str">
        <f>IF(ISNUMBER(FIND("overige",Methode_Keuze)),"",IF(Tb_Activiteiten[[#This Row],[Bijdrage in natura (overige)]]=1,Tb_Activiteiten[[#Headers],[Bijdrage in natura (overige)]],""))</f>
        <v/>
      </c>
      <c r="AW1272" t="str">
        <f>IF(ISNUMBER(FIND("overige",Methode_Keuze)),"",IF(Tb_Activiteiten[[#This Row],[Bijdrage in natura (vrijwilligers)]]=1,Tb_Activiteiten[[#Headers],[Bijdrage in natura (vrijwilligers)]],""))</f>
        <v/>
      </c>
      <c r="AX1272" t="str">
        <f>IF(ISNUMBER(FIND("overige",Methode_Keuze)),"",IF(Tb_Activiteiten[[#This Row],[Afschrijvingskosten]]=1,Tb_Activiteiten[[#Headers],[Afschrijvingskosten]],""))</f>
        <v/>
      </c>
      <c r="AY1272" t="str">
        <f>IF(ISNUMBER(FIND("overige",Methode_Keuze)),"",IF(Tb_Activiteiten[[#This Row],[Vergoeding]]=1,Tb_Activiteiten[[#Headers],[Vergoeding]],""))</f>
        <v/>
      </c>
      <c r="AZ1272" t="str">
        <f>IF(ISNUMBER(FIND("arbeid",Methode_Keuze)),"",IF(Tb_Activiteiten[[#This Row],[Arbeidskosten - vast tarief (excl eigen arbeid)]]=1,Tb_Activiteiten[[#Headers],[Arbeidskosten - vast tarief (excl eigen arbeid)]],""))</f>
        <v/>
      </c>
      <c r="BA1272" t="str">
        <f>IF(ISNUMBER(FIND("overige",Methode_Keuze)),"",IF(Tb_Activiteiten[[#This Row],[Overige kosten]]=1,Tb_Activiteiten[[#Headers],[Overige kosten]],""))</f>
        <v/>
      </c>
    </row>
    <row r="1273" spans="1:53" x14ac:dyDescent="0.25">
      <c r="A1273" s="139"/>
      <c r="B1273" s="139"/>
      <c r="C1273" s="139"/>
      <c r="D1273" s="139"/>
      <c r="E1273" s="139"/>
      <c r="F1273" s="139"/>
      <c r="G1273" s="139"/>
      <c r="O1273" s="56"/>
      <c r="Q1273" t="str">
        <f>IFERROR(IF(VLOOKUP(Tb_Activiteiten[[#This Row],[Openstelling]],Tb_Openstelling[],2,0)=1,1,""),"")</f>
        <v/>
      </c>
      <c r="AK1273" t="str">
        <f>IF(ISNUMBER(FIND("arbeid",Methode_Keuze)),"",IF(ISNUMBER(FIND("arbeid",Methode_Keuze)),"",IF(Tb_Activiteiten[[#This Row],[Loonkosten]]=1,Tb_Activiteiten[[#Headers],[Loonkosten]],"")))</f>
        <v/>
      </c>
      <c r="AL1273" t="str">
        <f>IF(ISNUMBER(FIND("arbeid",Methode_Keuze)),"",IF(ISNUMBER(FIND("arbeid",Methode_Keuze)),"",IF(Tb_Activiteiten[[#This Row],[Eigen arbeid]]=1,Tb_Activiteiten[[#Headers],[Eigen arbeid]],"")))</f>
        <v/>
      </c>
      <c r="AM1273" t="str">
        <f>IF(ISNUMBER(FIND("arbeid",Methode_Keuze)),"",IF(ISNUMBER(FIND("arbeid",Methode_Keuze)),"",IF(Tb_Activiteiten[[#This Row],[Projectmedewerker]]=1,Tb_Activiteiten[[#Headers],[Projectmedewerker]],"")))</f>
        <v/>
      </c>
      <c r="AN1273" t="str">
        <f>IF(ISNUMBER(FIND("arbeid",Methode_Keuze)),"",IF(ISNUMBER(FIND("arbeid",Methode_Keuze)),"",IF(Tb_Activiteiten[[#This Row],[Landbouwer]]=1,Tb_Activiteiten[[#Headers],[Landbouwer]],"")))</f>
        <v/>
      </c>
      <c r="AO1273" t="str">
        <f>IF(ISNUMBER(FIND("arbeid",Methode_Keuze)),"",IF(ISNUMBER(FIND("arbeid",Methode_Keuze)),"",IF(Tb_Activiteiten[[#This Row],[Adviseur]]=1,Tb_Activiteiten[[#Headers],[Adviseur]],"")))</f>
        <v/>
      </c>
      <c r="AP1273" t="str">
        <f>IF(ISNUMBER(FIND("arbeid",Methode_Keuze)),"",IF(ISNUMBER(FIND("arbeid",Methode_Keuze)),"",IF(Tb_Activiteiten[[#This Row],[Projectleider/Expert]]=1,Tb_Activiteiten[[#Headers],[Projectleider/Expert]],"")))</f>
        <v/>
      </c>
      <c r="AQ1273" t="str">
        <f>IF(ISNUMBER(FIND("arbeid",Methode_Keuze)),"",IF(ISNUMBER(FIND("arbeid",Methode_Keuze)),"",IF(Tb_Activiteiten[[#This Row],[Arbeidskosten]]=1,Tb_Activiteiten[[#Headers],[Arbeidskosten]],"")))</f>
        <v/>
      </c>
      <c r="AR1273" t="str">
        <f>IF(ISNUMBER(FIND("arbeid",Methode_Keuze)),"",IF(ISNUMBER(FIND("arbeid",Methode_Keuze)),"",IF(Tb_Activiteiten[[#This Row],[Arbeidskosten op basis van IKS]]=1,Tb_Activiteiten[[#Headers],[Arbeidskosten op basis van IKS]],"")))</f>
        <v/>
      </c>
      <c r="AS1273" t="str">
        <f>IF(ISNUMBER(FIND("overige",Methode_Keuze)),"",IF(Tb_Activiteiten[[#This Row],[Kosten derden exclusief btw]]=1,Tb_Activiteiten[[#Headers],[Kosten derden exclusief btw]],""))</f>
        <v/>
      </c>
      <c r="AT1273" t="str">
        <f>IF(ISNUMBER(FIND("overige",Methode_Keuze)),"",IF(Tb_Activiteiten[[#This Row],[Niet verrekenbare btw]]=1,Tb_Activiteiten[[#Headers],[Niet verrekenbare btw]],""))</f>
        <v/>
      </c>
      <c r="AU1273" t="str">
        <f>IF(ISNUMBER(FIND("overige",Methode_Keuze)),"",IF(Tb_Activiteiten[[#This Row],[Grondkosten]]=1,Tb_Activiteiten[[#Headers],[Grondkosten]],""))</f>
        <v/>
      </c>
      <c r="AV1273" t="str">
        <f>IF(ISNUMBER(FIND("overige",Methode_Keuze)),"",IF(Tb_Activiteiten[[#This Row],[Bijdrage in natura (overige)]]=1,Tb_Activiteiten[[#Headers],[Bijdrage in natura (overige)]],""))</f>
        <v/>
      </c>
      <c r="AW1273" t="str">
        <f>IF(ISNUMBER(FIND("overige",Methode_Keuze)),"",IF(Tb_Activiteiten[[#This Row],[Bijdrage in natura (vrijwilligers)]]=1,Tb_Activiteiten[[#Headers],[Bijdrage in natura (vrijwilligers)]],""))</f>
        <v/>
      </c>
      <c r="AX1273" t="str">
        <f>IF(ISNUMBER(FIND("overige",Methode_Keuze)),"",IF(Tb_Activiteiten[[#This Row],[Afschrijvingskosten]]=1,Tb_Activiteiten[[#Headers],[Afschrijvingskosten]],""))</f>
        <v/>
      </c>
      <c r="AY1273" t="str">
        <f>IF(ISNUMBER(FIND("overige",Methode_Keuze)),"",IF(Tb_Activiteiten[[#This Row],[Vergoeding]]=1,Tb_Activiteiten[[#Headers],[Vergoeding]],""))</f>
        <v/>
      </c>
      <c r="AZ1273" t="str">
        <f>IF(ISNUMBER(FIND("arbeid",Methode_Keuze)),"",IF(Tb_Activiteiten[[#This Row],[Arbeidskosten - vast tarief (excl eigen arbeid)]]=1,Tb_Activiteiten[[#Headers],[Arbeidskosten - vast tarief (excl eigen arbeid)]],""))</f>
        <v/>
      </c>
      <c r="BA1273" t="str">
        <f>IF(ISNUMBER(FIND("overige",Methode_Keuze)),"",IF(Tb_Activiteiten[[#This Row],[Overige kosten]]=1,Tb_Activiteiten[[#Headers],[Overige kosten]],""))</f>
        <v/>
      </c>
    </row>
    <row r="1274" spans="1:53" x14ac:dyDescent="0.25">
      <c r="A1274" s="139"/>
      <c r="B1274" s="139"/>
      <c r="C1274" s="139"/>
      <c r="D1274" s="139"/>
      <c r="E1274" s="139"/>
      <c r="F1274" s="139"/>
      <c r="G1274" s="139"/>
      <c r="O1274" s="56"/>
      <c r="Q1274" t="str">
        <f>IFERROR(IF(VLOOKUP(Tb_Activiteiten[[#This Row],[Openstelling]],Tb_Openstelling[],2,0)=1,1,""),"")</f>
        <v/>
      </c>
      <c r="AK1274" t="str">
        <f>IF(ISNUMBER(FIND("arbeid",Methode_Keuze)),"",IF(ISNUMBER(FIND("arbeid",Methode_Keuze)),"",IF(Tb_Activiteiten[[#This Row],[Loonkosten]]=1,Tb_Activiteiten[[#Headers],[Loonkosten]],"")))</f>
        <v/>
      </c>
      <c r="AL1274" t="str">
        <f>IF(ISNUMBER(FIND("arbeid",Methode_Keuze)),"",IF(ISNUMBER(FIND("arbeid",Methode_Keuze)),"",IF(Tb_Activiteiten[[#This Row],[Eigen arbeid]]=1,Tb_Activiteiten[[#Headers],[Eigen arbeid]],"")))</f>
        <v/>
      </c>
      <c r="AM1274" t="str">
        <f>IF(ISNUMBER(FIND("arbeid",Methode_Keuze)),"",IF(ISNUMBER(FIND("arbeid",Methode_Keuze)),"",IF(Tb_Activiteiten[[#This Row],[Projectmedewerker]]=1,Tb_Activiteiten[[#Headers],[Projectmedewerker]],"")))</f>
        <v/>
      </c>
      <c r="AN1274" t="str">
        <f>IF(ISNUMBER(FIND("arbeid",Methode_Keuze)),"",IF(ISNUMBER(FIND("arbeid",Methode_Keuze)),"",IF(Tb_Activiteiten[[#This Row],[Landbouwer]]=1,Tb_Activiteiten[[#Headers],[Landbouwer]],"")))</f>
        <v/>
      </c>
      <c r="AO1274" t="str">
        <f>IF(ISNUMBER(FIND("arbeid",Methode_Keuze)),"",IF(ISNUMBER(FIND("arbeid",Methode_Keuze)),"",IF(Tb_Activiteiten[[#This Row],[Adviseur]]=1,Tb_Activiteiten[[#Headers],[Adviseur]],"")))</f>
        <v/>
      </c>
      <c r="AP1274" t="str">
        <f>IF(ISNUMBER(FIND("arbeid",Methode_Keuze)),"",IF(ISNUMBER(FIND("arbeid",Methode_Keuze)),"",IF(Tb_Activiteiten[[#This Row],[Projectleider/Expert]]=1,Tb_Activiteiten[[#Headers],[Projectleider/Expert]],"")))</f>
        <v/>
      </c>
      <c r="AQ1274" t="str">
        <f>IF(ISNUMBER(FIND("arbeid",Methode_Keuze)),"",IF(ISNUMBER(FIND("arbeid",Methode_Keuze)),"",IF(Tb_Activiteiten[[#This Row],[Arbeidskosten]]=1,Tb_Activiteiten[[#Headers],[Arbeidskosten]],"")))</f>
        <v/>
      </c>
      <c r="AR1274" t="str">
        <f>IF(ISNUMBER(FIND("arbeid",Methode_Keuze)),"",IF(ISNUMBER(FIND("arbeid",Methode_Keuze)),"",IF(Tb_Activiteiten[[#This Row],[Arbeidskosten op basis van IKS]]=1,Tb_Activiteiten[[#Headers],[Arbeidskosten op basis van IKS]],"")))</f>
        <v/>
      </c>
      <c r="AS1274" t="str">
        <f>IF(ISNUMBER(FIND("overige",Methode_Keuze)),"",IF(Tb_Activiteiten[[#This Row],[Kosten derden exclusief btw]]=1,Tb_Activiteiten[[#Headers],[Kosten derden exclusief btw]],""))</f>
        <v/>
      </c>
      <c r="AT1274" t="str">
        <f>IF(ISNUMBER(FIND("overige",Methode_Keuze)),"",IF(Tb_Activiteiten[[#This Row],[Niet verrekenbare btw]]=1,Tb_Activiteiten[[#Headers],[Niet verrekenbare btw]],""))</f>
        <v/>
      </c>
      <c r="AU1274" t="str">
        <f>IF(ISNUMBER(FIND("overige",Methode_Keuze)),"",IF(Tb_Activiteiten[[#This Row],[Grondkosten]]=1,Tb_Activiteiten[[#Headers],[Grondkosten]],""))</f>
        <v/>
      </c>
      <c r="AV1274" t="str">
        <f>IF(ISNUMBER(FIND("overige",Methode_Keuze)),"",IF(Tb_Activiteiten[[#This Row],[Bijdrage in natura (overige)]]=1,Tb_Activiteiten[[#Headers],[Bijdrage in natura (overige)]],""))</f>
        <v/>
      </c>
      <c r="AW1274" t="str">
        <f>IF(ISNUMBER(FIND("overige",Methode_Keuze)),"",IF(Tb_Activiteiten[[#This Row],[Bijdrage in natura (vrijwilligers)]]=1,Tb_Activiteiten[[#Headers],[Bijdrage in natura (vrijwilligers)]],""))</f>
        <v/>
      </c>
      <c r="AX1274" t="str">
        <f>IF(ISNUMBER(FIND("overige",Methode_Keuze)),"",IF(Tb_Activiteiten[[#This Row],[Afschrijvingskosten]]=1,Tb_Activiteiten[[#Headers],[Afschrijvingskosten]],""))</f>
        <v/>
      </c>
      <c r="AY1274" t="str">
        <f>IF(ISNUMBER(FIND("overige",Methode_Keuze)),"",IF(Tb_Activiteiten[[#This Row],[Vergoeding]]=1,Tb_Activiteiten[[#Headers],[Vergoeding]],""))</f>
        <v/>
      </c>
      <c r="AZ1274" t="str">
        <f>IF(ISNUMBER(FIND("arbeid",Methode_Keuze)),"",IF(Tb_Activiteiten[[#This Row],[Arbeidskosten - vast tarief (excl eigen arbeid)]]=1,Tb_Activiteiten[[#Headers],[Arbeidskosten - vast tarief (excl eigen arbeid)]],""))</f>
        <v/>
      </c>
      <c r="BA1274" t="str">
        <f>IF(ISNUMBER(FIND("overige",Methode_Keuze)),"",IF(Tb_Activiteiten[[#This Row],[Overige kosten]]=1,Tb_Activiteiten[[#Headers],[Overige kosten]],""))</f>
        <v/>
      </c>
    </row>
    <row r="1275" spans="1:53" x14ac:dyDescent="0.25">
      <c r="A1275" s="139"/>
      <c r="B1275" s="139"/>
      <c r="C1275" s="139"/>
      <c r="D1275" s="139"/>
      <c r="E1275" s="139"/>
      <c r="F1275" s="139"/>
      <c r="G1275" s="139"/>
      <c r="O1275" s="56"/>
      <c r="Q1275" t="str">
        <f>IFERROR(IF(VLOOKUP(Tb_Activiteiten[[#This Row],[Openstelling]],Tb_Openstelling[],2,0)=1,1,""),"")</f>
        <v/>
      </c>
      <c r="AK1275" t="str">
        <f>IF(ISNUMBER(FIND("arbeid",Methode_Keuze)),"",IF(ISNUMBER(FIND("arbeid",Methode_Keuze)),"",IF(Tb_Activiteiten[[#This Row],[Loonkosten]]=1,Tb_Activiteiten[[#Headers],[Loonkosten]],"")))</f>
        <v/>
      </c>
      <c r="AL1275" t="str">
        <f>IF(ISNUMBER(FIND("arbeid",Methode_Keuze)),"",IF(ISNUMBER(FIND("arbeid",Methode_Keuze)),"",IF(Tb_Activiteiten[[#This Row],[Eigen arbeid]]=1,Tb_Activiteiten[[#Headers],[Eigen arbeid]],"")))</f>
        <v/>
      </c>
      <c r="AM1275" t="str">
        <f>IF(ISNUMBER(FIND("arbeid",Methode_Keuze)),"",IF(ISNUMBER(FIND("arbeid",Methode_Keuze)),"",IF(Tb_Activiteiten[[#This Row],[Projectmedewerker]]=1,Tb_Activiteiten[[#Headers],[Projectmedewerker]],"")))</f>
        <v/>
      </c>
      <c r="AN1275" t="str">
        <f>IF(ISNUMBER(FIND("arbeid",Methode_Keuze)),"",IF(ISNUMBER(FIND("arbeid",Methode_Keuze)),"",IF(Tb_Activiteiten[[#This Row],[Landbouwer]]=1,Tb_Activiteiten[[#Headers],[Landbouwer]],"")))</f>
        <v/>
      </c>
      <c r="AO1275" t="str">
        <f>IF(ISNUMBER(FIND("arbeid",Methode_Keuze)),"",IF(ISNUMBER(FIND("arbeid",Methode_Keuze)),"",IF(Tb_Activiteiten[[#This Row],[Adviseur]]=1,Tb_Activiteiten[[#Headers],[Adviseur]],"")))</f>
        <v/>
      </c>
      <c r="AP1275" t="str">
        <f>IF(ISNUMBER(FIND("arbeid",Methode_Keuze)),"",IF(ISNUMBER(FIND("arbeid",Methode_Keuze)),"",IF(Tb_Activiteiten[[#This Row],[Projectleider/Expert]]=1,Tb_Activiteiten[[#Headers],[Projectleider/Expert]],"")))</f>
        <v/>
      </c>
      <c r="AQ1275" t="str">
        <f>IF(ISNUMBER(FIND("arbeid",Methode_Keuze)),"",IF(ISNUMBER(FIND("arbeid",Methode_Keuze)),"",IF(Tb_Activiteiten[[#This Row],[Arbeidskosten]]=1,Tb_Activiteiten[[#Headers],[Arbeidskosten]],"")))</f>
        <v/>
      </c>
      <c r="AR1275" t="str">
        <f>IF(ISNUMBER(FIND("arbeid",Methode_Keuze)),"",IF(ISNUMBER(FIND("arbeid",Methode_Keuze)),"",IF(Tb_Activiteiten[[#This Row],[Arbeidskosten op basis van IKS]]=1,Tb_Activiteiten[[#Headers],[Arbeidskosten op basis van IKS]],"")))</f>
        <v/>
      </c>
      <c r="AS1275" t="str">
        <f>IF(ISNUMBER(FIND("overige",Methode_Keuze)),"",IF(Tb_Activiteiten[[#This Row],[Kosten derden exclusief btw]]=1,Tb_Activiteiten[[#Headers],[Kosten derden exclusief btw]],""))</f>
        <v/>
      </c>
      <c r="AT1275" t="str">
        <f>IF(ISNUMBER(FIND("overige",Methode_Keuze)),"",IF(Tb_Activiteiten[[#This Row],[Niet verrekenbare btw]]=1,Tb_Activiteiten[[#Headers],[Niet verrekenbare btw]],""))</f>
        <v/>
      </c>
      <c r="AU1275" t="str">
        <f>IF(ISNUMBER(FIND("overige",Methode_Keuze)),"",IF(Tb_Activiteiten[[#This Row],[Grondkosten]]=1,Tb_Activiteiten[[#Headers],[Grondkosten]],""))</f>
        <v/>
      </c>
      <c r="AV1275" t="str">
        <f>IF(ISNUMBER(FIND("overige",Methode_Keuze)),"",IF(Tb_Activiteiten[[#This Row],[Bijdrage in natura (overige)]]=1,Tb_Activiteiten[[#Headers],[Bijdrage in natura (overige)]],""))</f>
        <v/>
      </c>
      <c r="AW1275" t="str">
        <f>IF(ISNUMBER(FIND("overige",Methode_Keuze)),"",IF(Tb_Activiteiten[[#This Row],[Bijdrage in natura (vrijwilligers)]]=1,Tb_Activiteiten[[#Headers],[Bijdrage in natura (vrijwilligers)]],""))</f>
        <v/>
      </c>
      <c r="AX1275" t="str">
        <f>IF(ISNUMBER(FIND("overige",Methode_Keuze)),"",IF(Tb_Activiteiten[[#This Row],[Afschrijvingskosten]]=1,Tb_Activiteiten[[#Headers],[Afschrijvingskosten]],""))</f>
        <v/>
      </c>
      <c r="AY1275" t="str">
        <f>IF(ISNUMBER(FIND("overige",Methode_Keuze)),"",IF(Tb_Activiteiten[[#This Row],[Vergoeding]]=1,Tb_Activiteiten[[#Headers],[Vergoeding]],""))</f>
        <v/>
      </c>
      <c r="AZ1275" t="str">
        <f>IF(ISNUMBER(FIND("arbeid",Methode_Keuze)),"",IF(Tb_Activiteiten[[#This Row],[Arbeidskosten - vast tarief (excl eigen arbeid)]]=1,Tb_Activiteiten[[#Headers],[Arbeidskosten - vast tarief (excl eigen arbeid)]],""))</f>
        <v/>
      </c>
      <c r="BA1275" t="str">
        <f>IF(ISNUMBER(FIND("overige",Methode_Keuze)),"",IF(Tb_Activiteiten[[#This Row],[Overige kosten]]=1,Tb_Activiteiten[[#Headers],[Overige kosten]],""))</f>
        <v/>
      </c>
    </row>
    <row r="1276" spans="1:53" x14ac:dyDescent="0.25">
      <c r="A1276" s="139"/>
      <c r="B1276" s="139"/>
      <c r="C1276" s="139"/>
      <c r="D1276" s="139"/>
      <c r="E1276" s="139"/>
      <c r="F1276" s="139"/>
      <c r="G1276" s="139"/>
      <c r="O1276" s="56"/>
      <c r="Q1276" t="str">
        <f>IFERROR(IF(VLOOKUP(Tb_Activiteiten[[#This Row],[Openstelling]],Tb_Openstelling[],2,0)=1,1,""),"")</f>
        <v/>
      </c>
      <c r="AK1276" t="str">
        <f>IF(ISNUMBER(FIND("arbeid",Methode_Keuze)),"",IF(ISNUMBER(FIND("arbeid",Methode_Keuze)),"",IF(Tb_Activiteiten[[#This Row],[Loonkosten]]=1,Tb_Activiteiten[[#Headers],[Loonkosten]],"")))</f>
        <v/>
      </c>
      <c r="AL1276" t="str">
        <f>IF(ISNUMBER(FIND("arbeid",Methode_Keuze)),"",IF(ISNUMBER(FIND("arbeid",Methode_Keuze)),"",IF(Tb_Activiteiten[[#This Row],[Eigen arbeid]]=1,Tb_Activiteiten[[#Headers],[Eigen arbeid]],"")))</f>
        <v/>
      </c>
      <c r="AM1276" t="str">
        <f>IF(ISNUMBER(FIND("arbeid",Methode_Keuze)),"",IF(ISNUMBER(FIND("arbeid",Methode_Keuze)),"",IF(Tb_Activiteiten[[#This Row],[Projectmedewerker]]=1,Tb_Activiteiten[[#Headers],[Projectmedewerker]],"")))</f>
        <v/>
      </c>
      <c r="AN1276" t="str">
        <f>IF(ISNUMBER(FIND("arbeid",Methode_Keuze)),"",IF(ISNUMBER(FIND("arbeid",Methode_Keuze)),"",IF(Tb_Activiteiten[[#This Row],[Landbouwer]]=1,Tb_Activiteiten[[#Headers],[Landbouwer]],"")))</f>
        <v/>
      </c>
      <c r="AO1276" t="str">
        <f>IF(ISNUMBER(FIND("arbeid",Methode_Keuze)),"",IF(ISNUMBER(FIND("arbeid",Methode_Keuze)),"",IF(Tb_Activiteiten[[#This Row],[Adviseur]]=1,Tb_Activiteiten[[#Headers],[Adviseur]],"")))</f>
        <v/>
      </c>
      <c r="AP1276" t="str">
        <f>IF(ISNUMBER(FIND("arbeid",Methode_Keuze)),"",IF(ISNUMBER(FIND("arbeid",Methode_Keuze)),"",IF(Tb_Activiteiten[[#This Row],[Projectleider/Expert]]=1,Tb_Activiteiten[[#Headers],[Projectleider/Expert]],"")))</f>
        <v/>
      </c>
      <c r="AQ1276" t="str">
        <f>IF(ISNUMBER(FIND("arbeid",Methode_Keuze)),"",IF(ISNUMBER(FIND("arbeid",Methode_Keuze)),"",IF(Tb_Activiteiten[[#This Row],[Arbeidskosten]]=1,Tb_Activiteiten[[#Headers],[Arbeidskosten]],"")))</f>
        <v/>
      </c>
      <c r="AR1276" t="str">
        <f>IF(ISNUMBER(FIND("arbeid",Methode_Keuze)),"",IF(ISNUMBER(FIND("arbeid",Methode_Keuze)),"",IF(Tb_Activiteiten[[#This Row],[Arbeidskosten op basis van IKS]]=1,Tb_Activiteiten[[#Headers],[Arbeidskosten op basis van IKS]],"")))</f>
        <v/>
      </c>
      <c r="AS1276" t="str">
        <f>IF(ISNUMBER(FIND("overige",Methode_Keuze)),"",IF(Tb_Activiteiten[[#This Row],[Kosten derden exclusief btw]]=1,Tb_Activiteiten[[#Headers],[Kosten derden exclusief btw]],""))</f>
        <v/>
      </c>
      <c r="AT1276" t="str">
        <f>IF(ISNUMBER(FIND("overige",Methode_Keuze)),"",IF(Tb_Activiteiten[[#This Row],[Niet verrekenbare btw]]=1,Tb_Activiteiten[[#Headers],[Niet verrekenbare btw]],""))</f>
        <v/>
      </c>
      <c r="AU1276" t="str">
        <f>IF(ISNUMBER(FIND("overige",Methode_Keuze)),"",IF(Tb_Activiteiten[[#This Row],[Grondkosten]]=1,Tb_Activiteiten[[#Headers],[Grondkosten]],""))</f>
        <v/>
      </c>
      <c r="AV1276" t="str">
        <f>IF(ISNUMBER(FIND("overige",Methode_Keuze)),"",IF(Tb_Activiteiten[[#This Row],[Bijdrage in natura (overige)]]=1,Tb_Activiteiten[[#Headers],[Bijdrage in natura (overige)]],""))</f>
        <v/>
      </c>
      <c r="AW1276" t="str">
        <f>IF(ISNUMBER(FIND("overige",Methode_Keuze)),"",IF(Tb_Activiteiten[[#This Row],[Bijdrage in natura (vrijwilligers)]]=1,Tb_Activiteiten[[#Headers],[Bijdrage in natura (vrijwilligers)]],""))</f>
        <v/>
      </c>
      <c r="AX1276" t="str">
        <f>IF(ISNUMBER(FIND("overige",Methode_Keuze)),"",IF(Tb_Activiteiten[[#This Row],[Afschrijvingskosten]]=1,Tb_Activiteiten[[#Headers],[Afschrijvingskosten]],""))</f>
        <v/>
      </c>
      <c r="AY1276" t="str">
        <f>IF(ISNUMBER(FIND("overige",Methode_Keuze)),"",IF(Tb_Activiteiten[[#This Row],[Vergoeding]]=1,Tb_Activiteiten[[#Headers],[Vergoeding]],""))</f>
        <v/>
      </c>
      <c r="AZ1276" t="str">
        <f>IF(ISNUMBER(FIND("arbeid",Methode_Keuze)),"",IF(Tb_Activiteiten[[#This Row],[Arbeidskosten - vast tarief (excl eigen arbeid)]]=1,Tb_Activiteiten[[#Headers],[Arbeidskosten - vast tarief (excl eigen arbeid)]],""))</f>
        <v/>
      </c>
      <c r="BA1276" t="str">
        <f>IF(ISNUMBER(FIND("overige",Methode_Keuze)),"",IF(Tb_Activiteiten[[#This Row],[Overige kosten]]=1,Tb_Activiteiten[[#Headers],[Overige kosten]],""))</f>
        <v/>
      </c>
    </row>
    <row r="1277" spans="1:53" x14ac:dyDescent="0.25">
      <c r="A1277" s="139"/>
      <c r="B1277" s="139"/>
      <c r="C1277" s="139"/>
      <c r="D1277" s="139"/>
      <c r="E1277" s="139"/>
      <c r="F1277" s="139"/>
      <c r="G1277" s="139"/>
      <c r="O1277" s="56"/>
      <c r="Q1277" t="str">
        <f>IFERROR(IF(VLOOKUP(Tb_Activiteiten[[#This Row],[Openstelling]],Tb_Openstelling[],2,0)=1,1,""),"")</f>
        <v/>
      </c>
      <c r="AK1277" t="str">
        <f>IF(ISNUMBER(FIND("arbeid",Methode_Keuze)),"",IF(ISNUMBER(FIND("arbeid",Methode_Keuze)),"",IF(Tb_Activiteiten[[#This Row],[Loonkosten]]=1,Tb_Activiteiten[[#Headers],[Loonkosten]],"")))</f>
        <v/>
      </c>
      <c r="AL1277" t="str">
        <f>IF(ISNUMBER(FIND("arbeid",Methode_Keuze)),"",IF(ISNUMBER(FIND("arbeid",Methode_Keuze)),"",IF(Tb_Activiteiten[[#This Row],[Eigen arbeid]]=1,Tb_Activiteiten[[#Headers],[Eigen arbeid]],"")))</f>
        <v/>
      </c>
      <c r="AM1277" t="str">
        <f>IF(ISNUMBER(FIND("arbeid",Methode_Keuze)),"",IF(ISNUMBER(FIND("arbeid",Methode_Keuze)),"",IF(Tb_Activiteiten[[#This Row],[Projectmedewerker]]=1,Tb_Activiteiten[[#Headers],[Projectmedewerker]],"")))</f>
        <v/>
      </c>
      <c r="AN1277" t="str">
        <f>IF(ISNUMBER(FIND("arbeid",Methode_Keuze)),"",IF(ISNUMBER(FIND("arbeid",Methode_Keuze)),"",IF(Tb_Activiteiten[[#This Row],[Landbouwer]]=1,Tb_Activiteiten[[#Headers],[Landbouwer]],"")))</f>
        <v/>
      </c>
      <c r="AO1277" t="str">
        <f>IF(ISNUMBER(FIND("arbeid",Methode_Keuze)),"",IF(ISNUMBER(FIND("arbeid",Methode_Keuze)),"",IF(Tb_Activiteiten[[#This Row],[Adviseur]]=1,Tb_Activiteiten[[#Headers],[Adviseur]],"")))</f>
        <v/>
      </c>
      <c r="AP1277" t="str">
        <f>IF(ISNUMBER(FIND("arbeid",Methode_Keuze)),"",IF(ISNUMBER(FIND("arbeid",Methode_Keuze)),"",IF(Tb_Activiteiten[[#This Row],[Projectleider/Expert]]=1,Tb_Activiteiten[[#Headers],[Projectleider/Expert]],"")))</f>
        <v/>
      </c>
      <c r="AQ1277" t="str">
        <f>IF(ISNUMBER(FIND("arbeid",Methode_Keuze)),"",IF(ISNUMBER(FIND("arbeid",Methode_Keuze)),"",IF(Tb_Activiteiten[[#This Row],[Arbeidskosten]]=1,Tb_Activiteiten[[#Headers],[Arbeidskosten]],"")))</f>
        <v/>
      </c>
      <c r="AR1277" t="str">
        <f>IF(ISNUMBER(FIND("arbeid",Methode_Keuze)),"",IF(ISNUMBER(FIND("arbeid",Methode_Keuze)),"",IF(Tb_Activiteiten[[#This Row],[Arbeidskosten op basis van IKS]]=1,Tb_Activiteiten[[#Headers],[Arbeidskosten op basis van IKS]],"")))</f>
        <v/>
      </c>
      <c r="AS1277" t="str">
        <f>IF(ISNUMBER(FIND("overige",Methode_Keuze)),"",IF(Tb_Activiteiten[[#This Row],[Kosten derden exclusief btw]]=1,Tb_Activiteiten[[#Headers],[Kosten derden exclusief btw]],""))</f>
        <v/>
      </c>
      <c r="AT1277" t="str">
        <f>IF(ISNUMBER(FIND("overige",Methode_Keuze)),"",IF(Tb_Activiteiten[[#This Row],[Niet verrekenbare btw]]=1,Tb_Activiteiten[[#Headers],[Niet verrekenbare btw]],""))</f>
        <v/>
      </c>
      <c r="AU1277" t="str">
        <f>IF(ISNUMBER(FIND("overige",Methode_Keuze)),"",IF(Tb_Activiteiten[[#This Row],[Grondkosten]]=1,Tb_Activiteiten[[#Headers],[Grondkosten]],""))</f>
        <v/>
      </c>
      <c r="AV1277" t="str">
        <f>IF(ISNUMBER(FIND("overige",Methode_Keuze)),"",IF(Tb_Activiteiten[[#This Row],[Bijdrage in natura (overige)]]=1,Tb_Activiteiten[[#Headers],[Bijdrage in natura (overige)]],""))</f>
        <v/>
      </c>
      <c r="AW1277" t="str">
        <f>IF(ISNUMBER(FIND("overige",Methode_Keuze)),"",IF(Tb_Activiteiten[[#This Row],[Bijdrage in natura (vrijwilligers)]]=1,Tb_Activiteiten[[#Headers],[Bijdrage in natura (vrijwilligers)]],""))</f>
        <v/>
      </c>
      <c r="AX1277" t="str">
        <f>IF(ISNUMBER(FIND("overige",Methode_Keuze)),"",IF(Tb_Activiteiten[[#This Row],[Afschrijvingskosten]]=1,Tb_Activiteiten[[#Headers],[Afschrijvingskosten]],""))</f>
        <v/>
      </c>
      <c r="AY1277" t="str">
        <f>IF(ISNUMBER(FIND("overige",Methode_Keuze)),"",IF(Tb_Activiteiten[[#This Row],[Vergoeding]]=1,Tb_Activiteiten[[#Headers],[Vergoeding]],""))</f>
        <v/>
      </c>
      <c r="AZ1277" t="str">
        <f>IF(ISNUMBER(FIND("arbeid",Methode_Keuze)),"",IF(Tb_Activiteiten[[#This Row],[Arbeidskosten - vast tarief (excl eigen arbeid)]]=1,Tb_Activiteiten[[#Headers],[Arbeidskosten - vast tarief (excl eigen arbeid)]],""))</f>
        <v/>
      </c>
      <c r="BA1277" t="str">
        <f>IF(ISNUMBER(FIND("overige",Methode_Keuze)),"",IF(Tb_Activiteiten[[#This Row],[Overige kosten]]=1,Tb_Activiteiten[[#Headers],[Overige kosten]],""))</f>
        <v/>
      </c>
    </row>
    <row r="1278" spans="1:53" x14ac:dyDescent="0.25">
      <c r="A1278" s="139"/>
      <c r="B1278" s="139"/>
      <c r="C1278" s="139"/>
      <c r="D1278" s="139"/>
      <c r="E1278" s="139"/>
      <c r="F1278" s="139"/>
      <c r="G1278" s="139"/>
      <c r="O1278" s="56"/>
      <c r="Q1278" t="str">
        <f>IFERROR(IF(VLOOKUP(Tb_Activiteiten[[#This Row],[Openstelling]],Tb_Openstelling[],2,0)=1,1,""),"")</f>
        <v/>
      </c>
      <c r="AK1278" t="str">
        <f>IF(ISNUMBER(FIND("arbeid",Methode_Keuze)),"",IF(ISNUMBER(FIND("arbeid",Methode_Keuze)),"",IF(Tb_Activiteiten[[#This Row],[Loonkosten]]=1,Tb_Activiteiten[[#Headers],[Loonkosten]],"")))</f>
        <v/>
      </c>
      <c r="AL1278" t="str">
        <f>IF(ISNUMBER(FIND("arbeid",Methode_Keuze)),"",IF(ISNUMBER(FIND("arbeid",Methode_Keuze)),"",IF(Tb_Activiteiten[[#This Row],[Eigen arbeid]]=1,Tb_Activiteiten[[#Headers],[Eigen arbeid]],"")))</f>
        <v/>
      </c>
      <c r="AM1278" t="str">
        <f>IF(ISNUMBER(FIND("arbeid",Methode_Keuze)),"",IF(ISNUMBER(FIND("arbeid",Methode_Keuze)),"",IF(Tb_Activiteiten[[#This Row],[Projectmedewerker]]=1,Tb_Activiteiten[[#Headers],[Projectmedewerker]],"")))</f>
        <v/>
      </c>
      <c r="AN1278" t="str">
        <f>IF(ISNUMBER(FIND("arbeid",Methode_Keuze)),"",IF(ISNUMBER(FIND("arbeid",Methode_Keuze)),"",IF(Tb_Activiteiten[[#This Row],[Landbouwer]]=1,Tb_Activiteiten[[#Headers],[Landbouwer]],"")))</f>
        <v/>
      </c>
      <c r="AO1278" t="str">
        <f>IF(ISNUMBER(FIND("arbeid",Methode_Keuze)),"",IF(ISNUMBER(FIND("arbeid",Methode_Keuze)),"",IF(Tb_Activiteiten[[#This Row],[Adviseur]]=1,Tb_Activiteiten[[#Headers],[Adviseur]],"")))</f>
        <v/>
      </c>
      <c r="AP1278" t="str">
        <f>IF(ISNUMBER(FIND("arbeid",Methode_Keuze)),"",IF(ISNUMBER(FIND("arbeid",Methode_Keuze)),"",IF(Tb_Activiteiten[[#This Row],[Projectleider/Expert]]=1,Tb_Activiteiten[[#Headers],[Projectleider/Expert]],"")))</f>
        <v/>
      </c>
      <c r="AQ1278" t="str">
        <f>IF(ISNUMBER(FIND("arbeid",Methode_Keuze)),"",IF(ISNUMBER(FIND("arbeid",Methode_Keuze)),"",IF(Tb_Activiteiten[[#This Row],[Arbeidskosten]]=1,Tb_Activiteiten[[#Headers],[Arbeidskosten]],"")))</f>
        <v/>
      </c>
      <c r="AR1278" t="str">
        <f>IF(ISNUMBER(FIND("arbeid",Methode_Keuze)),"",IF(ISNUMBER(FIND("arbeid",Methode_Keuze)),"",IF(Tb_Activiteiten[[#This Row],[Arbeidskosten op basis van IKS]]=1,Tb_Activiteiten[[#Headers],[Arbeidskosten op basis van IKS]],"")))</f>
        <v/>
      </c>
      <c r="AS1278" t="str">
        <f>IF(ISNUMBER(FIND("overige",Methode_Keuze)),"",IF(Tb_Activiteiten[[#This Row],[Kosten derden exclusief btw]]=1,Tb_Activiteiten[[#Headers],[Kosten derden exclusief btw]],""))</f>
        <v/>
      </c>
      <c r="AT1278" t="str">
        <f>IF(ISNUMBER(FIND("overige",Methode_Keuze)),"",IF(Tb_Activiteiten[[#This Row],[Niet verrekenbare btw]]=1,Tb_Activiteiten[[#Headers],[Niet verrekenbare btw]],""))</f>
        <v/>
      </c>
      <c r="AU1278" t="str">
        <f>IF(ISNUMBER(FIND("overige",Methode_Keuze)),"",IF(Tb_Activiteiten[[#This Row],[Grondkosten]]=1,Tb_Activiteiten[[#Headers],[Grondkosten]],""))</f>
        <v/>
      </c>
      <c r="AV1278" t="str">
        <f>IF(ISNUMBER(FIND("overige",Methode_Keuze)),"",IF(Tb_Activiteiten[[#This Row],[Bijdrage in natura (overige)]]=1,Tb_Activiteiten[[#Headers],[Bijdrage in natura (overige)]],""))</f>
        <v/>
      </c>
      <c r="AW1278" t="str">
        <f>IF(ISNUMBER(FIND("overige",Methode_Keuze)),"",IF(Tb_Activiteiten[[#This Row],[Bijdrage in natura (vrijwilligers)]]=1,Tb_Activiteiten[[#Headers],[Bijdrage in natura (vrijwilligers)]],""))</f>
        <v/>
      </c>
      <c r="AX1278" t="str">
        <f>IF(ISNUMBER(FIND("overige",Methode_Keuze)),"",IF(Tb_Activiteiten[[#This Row],[Afschrijvingskosten]]=1,Tb_Activiteiten[[#Headers],[Afschrijvingskosten]],""))</f>
        <v/>
      </c>
      <c r="AY1278" t="str">
        <f>IF(ISNUMBER(FIND("overige",Methode_Keuze)),"",IF(Tb_Activiteiten[[#This Row],[Vergoeding]]=1,Tb_Activiteiten[[#Headers],[Vergoeding]],""))</f>
        <v/>
      </c>
      <c r="AZ1278" t="str">
        <f>IF(ISNUMBER(FIND("arbeid",Methode_Keuze)),"",IF(Tb_Activiteiten[[#This Row],[Arbeidskosten - vast tarief (excl eigen arbeid)]]=1,Tb_Activiteiten[[#Headers],[Arbeidskosten - vast tarief (excl eigen arbeid)]],""))</f>
        <v/>
      </c>
      <c r="BA1278" t="str">
        <f>IF(ISNUMBER(FIND("overige",Methode_Keuze)),"",IF(Tb_Activiteiten[[#This Row],[Overige kosten]]=1,Tb_Activiteiten[[#Headers],[Overige kosten]],""))</f>
        <v/>
      </c>
    </row>
    <row r="1279" spans="1:53" x14ac:dyDescent="0.25">
      <c r="A1279" s="139"/>
      <c r="B1279" s="139"/>
      <c r="C1279" s="139"/>
      <c r="D1279" s="139"/>
      <c r="E1279" s="139"/>
      <c r="F1279" s="139"/>
      <c r="G1279" s="139"/>
      <c r="O1279" s="56"/>
      <c r="Q1279" t="str">
        <f>IFERROR(IF(VLOOKUP(Tb_Activiteiten[[#This Row],[Openstelling]],Tb_Openstelling[],2,0)=1,1,""),"")</f>
        <v/>
      </c>
      <c r="AK1279" t="str">
        <f>IF(ISNUMBER(FIND("arbeid",Methode_Keuze)),"",IF(ISNUMBER(FIND("arbeid",Methode_Keuze)),"",IF(Tb_Activiteiten[[#This Row],[Loonkosten]]=1,Tb_Activiteiten[[#Headers],[Loonkosten]],"")))</f>
        <v/>
      </c>
      <c r="AL1279" t="str">
        <f>IF(ISNUMBER(FIND("arbeid",Methode_Keuze)),"",IF(ISNUMBER(FIND("arbeid",Methode_Keuze)),"",IF(Tb_Activiteiten[[#This Row],[Eigen arbeid]]=1,Tb_Activiteiten[[#Headers],[Eigen arbeid]],"")))</f>
        <v/>
      </c>
      <c r="AM1279" t="str">
        <f>IF(ISNUMBER(FIND("arbeid",Methode_Keuze)),"",IF(ISNUMBER(FIND("arbeid",Methode_Keuze)),"",IF(Tb_Activiteiten[[#This Row],[Projectmedewerker]]=1,Tb_Activiteiten[[#Headers],[Projectmedewerker]],"")))</f>
        <v/>
      </c>
      <c r="AN1279" t="str">
        <f>IF(ISNUMBER(FIND("arbeid",Methode_Keuze)),"",IF(ISNUMBER(FIND("arbeid",Methode_Keuze)),"",IF(Tb_Activiteiten[[#This Row],[Landbouwer]]=1,Tb_Activiteiten[[#Headers],[Landbouwer]],"")))</f>
        <v/>
      </c>
      <c r="AO1279" t="str">
        <f>IF(ISNUMBER(FIND("arbeid",Methode_Keuze)),"",IF(ISNUMBER(FIND("arbeid",Methode_Keuze)),"",IF(Tb_Activiteiten[[#This Row],[Adviseur]]=1,Tb_Activiteiten[[#Headers],[Adviseur]],"")))</f>
        <v/>
      </c>
      <c r="AP1279" t="str">
        <f>IF(ISNUMBER(FIND("arbeid",Methode_Keuze)),"",IF(ISNUMBER(FIND("arbeid",Methode_Keuze)),"",IF(Tb_Activiteiten[[#This Row],[Projectleider/Expert]]=1,Tb_Activiteiten[[#Headers],[Projectleider/Expert]],"")))</f>
        <v/>
      </c>
      <c r="AQ1279" t="str">
        <f>IF(ISNUMBER(FIND("arbeid",Methode_Keuze)),"",IF(ISNUMBER(FIND("arbeid",Methode_Keuze)),"",IF(Tb_Activiteiten[[#This Row],[Arbeidskosten]]=1,Tb_Activiteiten[[#Headers],[Arbeidskosten]],"")))</f>
        <v/>
      </c>
      <c r="AR1279" t="str">
        <f>IF(ISNUMBER(FIND("arbeid",Methode_Keuze)),"",IF(ISNUMBER(FIND("arbeid",Methode_Keuze)),"",IF(Tb_Activiteiten[[#This Row],[Arbeidskosten op basis van IKS]]=1,Tb_Activiteiten[[#Headers],[Arbeidskosten op basis van IKS]],"")))</f>
        <v/>
      </c>
      <c r="AS1279" t="str">
        <f>IF(ISNUMBER(FIND("overige",Methode_Keuze)),"",IF(Tb_Activiteiten[[#This Row],[Kosten derden exclusief btw]]=1,Tb_Activiteiten[[#Headers],[Kosten derden exclusief btw]],""))</f>
        <v/>
      </c>
      <c r="AT1279" t="str">
        <f>IF(ISNUMBER(FIND("overige",Methode_Keuze)),"",IF(Tb_Activiteiten[[#This Row],[Niet verrekenbare btw]]=1,Tb_Activiteiten[[#Headers],[Niet verrekenbare btw]],""))</f>
        <v/>
      </c>
      <c r="AU1279" t="str">
        <f>IF(ISNUMBER(FIND("overige",Methode_Keuze)),"",IF(Tb_Activiteiten[[#This Row],[Grondkosten]]=1,Tb_Activiteiten[[#Headers],[Grondkosten]],""))</f>
        <v/>
      </c>
      <c r="AV1279" t="str">
        <f>IF(ISNUMBER(FIND("overige",Methode_Keuze)),"",IF(Tb_Activiteiten[[#This Row],[Bijdrage in natura (overige)]]=1,Tb_Activiteiten[[#Headers],[Bijdrage in natura (overige)]],""))</f>
        <v/>
      </c>
      <c r="AW1279" t="str">
        <f>IF(ISNUMBER(FIND("overige",Methode_Keuze)),"",IF(Tb_Activiteiten[[#This Row],[Bijdrage in natura (vrijwilligers)]]=1,Tb_Activiteiten[[#Headers],[Bijdrage in natura (vrijwilligers)]],""))</f>
        <v/>
      </c>
      <c r="AX1279" t="str">
        <f>IF(ISNUMBER(FIND("overige",Methode_Keuze)),"",IF(Tb_Activiteiten[[#This Row],[Afschrijvingskosten]]=1,Tb_Activiteiten[[#Headers],[Afschrijvingskosten]],""))</f>
        <v/>
      </c>
      <c r="AY1279" t="str">
        <f>IF(ISNUMBER(FIND("overige",Methode_Keuze)),"",IF(Tb_Activiteiten[[#This Row],[Vergoeding]]=1,Tb_Activiteiten[[#Headers],[Vergoeding]],""))</f>
        <v/>
      </c>
      <c r="AZ1279" t="str">
        <f>IF(ISNUMBER(FIND("arbeid",Methode_Keuze)),"",IF(Tb_Activiteiten[[#This Row],[Arbeidskosten - vast tarief (excl eigen arbeid)]]=1,Tb_Activiteiten[[#Headers],[Arbeidskosten - vast tarief (excl eigen arbeid)]],""))</f>
        <v/>
      </c>
      <c r="BA1279" t="str">
        <f>IF(ISNUMBER(FIND("overige",Methode_Keuze)),"",IF(Tb_Activiteiten[[#This Row],[Overige kosten]]=1,Tb_Activiteiten[[#Headers],[Overige kosten]],""))</f>
        <v/>
      </c>
    </row>
    <row r="1280" spans="1:53" x14ac:dyDescent="0.25">
      <c r="A1280" s="139"/>
      <c r="B1280" s="139"/>
      <c r="C1280" s="139"/>
      <c r="D1280" s="139"/>
      <c r="E1280" s="139"/>
      <c r="F1280" s="139"/>
      <c r="G1280" s="139"/>
      <c r="O1280" s="56"/>
      <c r="Q1280" t="str">
        <f>IFERROR(IF(VLOOKUP(Tb_Activiteiten[[#This Row],[Openstelling]],Tb_Openstelling[],2,0)=1,1,""),"")</f>
        <v/>
      </c>
      <c r="AK1280" t="str">
        <f>IF(ISNUMBER(FIND("arbeid",Methode_Keuze)),"",IF(ISNUMBER(FIND("arbeid",Methode_Keuze)),"",IF(Tb_Activiteiten[[#This Row],[Loonkosten]]=1,Tb_Activiteiten[[#Headers],[Loonkosten]],"")))</f>
        <v/>
      </c>
      <c r="AL1280" t="str">
        <f>IF(ISNUMBER(FIND("arbeid",Methode_Keuze)),"",IF(ISNUMBER(FIND("arbeid",Methode_Keuze)),"",IF(Tb_Activiteiten[[#This Row],[Eigen arbeid]]=1,Tb_Activiteiten[[#Headers],[Eigen arbeid]],"")))</f>
        <v/>
      </c>
      <c r="AM1280" t="str">
        <f>IF(ISNUMBER(FIND("arbeid",Methode_Keuze)),"",IF(ISNUMBER(FIND("arbeid",Methode_Keuze)),"",IF(Tb_Activiteiten[[#This Row],[Projectmedewerker]]=1,Tb_Activiteiten[[#Headers],[Projectmedewerker]],"")))</f>
        <v/>
      </c>
      <c r="AN1280" t="str">
        <f>IF(ISNUMBER(FIND("arbeid",Methode_Keuze)),"",IF(ISNUMBER(FIND("arbeid",Methode_Keuze)),"",IF(Tb_Activiteiten[[#This Row],[Landbouwer]]=1,Tb_Activiteiten[[#Headers],[Landbouwer]],"")))</f>
        <v/>
      </c>
      <c r="AO1280" t="str">
        <f>IF(ISNUMBER(FIND("arbeid",Methode_Keuze)),"",IF(ISNUMBER(FIND("arbeid",Methode_Keuze)),"",IF(Tb_Activiteiten[[#This Row],[Adviseur]]=1,Tb_Activiteiten[[#Headers],[Adviseur]],"")))</f>
        <v/>
      </c>
      <c r="AP1280" t="str">
        <f>IF(ISNUMBER(FIND("arbeid",Methode_Keuze)),"",IF(ISNUMBER(FIND("arbeid",Methode_Keuze)),"",IF(Tb_Activiteiten[[#This Row],[Projectleider/Expert]]=1,Tb_Activiteiten[[#Headers],[Projectleider/Expert]],"")))</f>
        <v/>
      </c>
      <c r="AQ1280" t="str">
        <f>IF(ISNUMBER(FIND("arbeid",Methode_Keuze)),"",IF(ISNUMBER(FIND("arbeid",Methode_Keuze)),"",IF(Tb_Activiteiten[[#This Row],[Arbeidskosten]]=1,Tb_Activiteiten[[#Headers],[Arbeidskosten]],"")))</f>
        <v/>
      </c>
      <c r="AR1280" t="str">
        <f>IF(ISNUMBER(FIND("arbeid",Methode_Keuze)),"",IF(ISNUMBER(FIND("arbeid",Methode_Keuze)),"",IF(Tb_Activiteiten[[#This Row],[Arbeidskosten op basis van IKS]]=1,Tb_Activiteiten[[#Headers],[Arbeidskosten op basis van IKS]],"")))</f>
        <v/>
      </c>
      <c r="AS1280" t="str">
        <f>IF(ISNUMBER(FIND("overige",Methode_Keuze)),"",IF(Tb_Activiteiten[[#This Row],[Kosten derden exclusief btw]]=1,Tb_Activiteiten[[#Headers],[Kosten derden exclusief btw]],""))</f>
        <v/>
      </c>
      <c r="AT1280" t="str">
        <f>IF(ISNUMBER(FIND("overige",Methode_Keuze)),"",IF(Tb_Activiteiten[[#This Row],[Niet verrekenbare btw]]=1,Tb_Activiteiten[[#Headers],[Niet verrekenbare btw]],""))</f>
        <v/>
      </c>
      <c r="AU1280" t="str">
        <f>IF(ISNUMBER(FIND("overige",Methode_Keuze)),"",IF(Tb_Activiteiten[[#This Row],[Grondkosten]]=1,Tb_Activiteiten[[#Headers],[Grondkosten]],""))</f>
        <v/>
      </c>
      <c r="AV1280" t="str">
        <f>IF(ISNUMBER(FIND("overige",Methode_Keuze)),"",IF(Tb_Activiteiten[[#This Row],[Bijdrage in natura (overige)]]=1,Tb_Activiteiten[[#Headers],[Bijdrage in natura (overige)]],""))</f>
        <v/>
      </c>
      <c r="AW1280" t="str">
        <f>IF(ISNUMBER(FIND("overige",Methode_Keuze)),"",IF(Tb_Activiteiten[[#This Row],[Bijdrage in natura (vrijwilligers)]]=1,Tb_Activiteiten[[#Headers],[Bijdrage in natura (vrijwilligers)]],""))</f>
        <v/>
      </c>
      <c r="AX1280" t="str">
        <f>IF(ISNUMBER(FIND("overige",Methode_Keuze)),"",IF(Tb_Activiteiten[[#This Row],[Afschrijvingskosten]]=1,Tb_Activiteiten[[#Headers],[Afschrijvingskosten]],""))</f>
        <v/>
      </c>
      <c r="AY1280" t="str">
        <f>IF(ISNUMBER(FIND("overige",Methode_Keuze)),"",IF(Tb_Activiteiten[[#This Row],[Vergoeding]]=1,Tb_Activiteiten[[#Headers],[Vergoeding]],""))</f>
        <v/>
      </c>
      <c r="AZ1280" t="str">
        <f>IF(ISNUMBER(FIND("arbeid",Methode_Keuze)),"",IF(Tb_Activiteiten[[#This Row],[Arbeidskosten - vast tarief (excl eigen arbeid)]]=1,Tb_Activiteiten[[#Headers],[Arbeidskosten - vast tarief (excl eigen arbeid)]],""))</f>
        <v/>
      </c>
      <c r="BA1280" t="str">
        <f>IF(ISNUMBER(FIND("overige",Methode_Keuze)),"",IF(Tb_Activiteiten[[#This Row],[Overige kosten]]=1,Tb_Activiteiten[[#Headers],[Overige kosten]],""))</f>
        <v/>
      </c>
    </row>
    <row r="1281" spans="1:53" x14ac:dyDescent="0.25">
      <c r="A1281" s="139"/>
      <c r="B1281" s="139"/>
      <c r="C1281" s="139"/>
      <c r="D1281" s="139"/>
      <c r="E1281" s="139"/>
      <c r="F1281" s="139"/>
      <c r="G1281" s="139"/>
      <c r="O1281" s="56"/>
      <c r="Q1281" t="str">
        <f>IFERROR(IF(VLOOKUP(Tb_Activiteiten[[#This Row],[Openstelling]],Tb_Openstelling[],2,0)=1,1,""),"")</f>
        <v/>
      </c>
      <c r="AK1281" t="str">
        <f>IF(ISNUMBER(FIND("arbeid",Methode_Keuze)),"",IF(ISNUMBER(FIND("arbeid",Methode_Keuze)),"",IF(Tb_Activiteiten[[#This Row],[Loonkosten]]=1,Tb_Activiteiten[[#Headers],[Loonkosten]],"")))</f>
        <v/>
      </c>
      <c r="AL1281" t="str">
        <f>IF(ISNUMBER(FIND("arbeid",Methode_Keuze)),"",IF(ISNUMBER(FIND("arbeid",Methode_Keuze)),"",IF(Tb_Activiteiten[[#This Row],[Eigen arbeid]]=1,Tb_Activiteiten[[#Headers],[Eigen arbeid]],"")))</f>
        <v/>
      </c>
      <c r="AM1281" t="str">
        <f>IF(ISNUMBER(FIND("arbeid",Methode_Keuze)),"",IF(ISNUMBER(FIND("arbeid",Methode_Keuze)),"",IF(Tb_Activiteiten[[#This Row],[Projectmedewerker]]=1,Tb_Activiteiten[[#Headers],[Projectmedewerker]],"")))</f>
        <v/>
      </c>
      <c r="AN1281" t="str">
        <f>IF(ISNUMBER(FIND("arbeid",Methode_Keuze)),"",IF(ISNUMBER(FIND("arbeid",Methode_Keuze)),"",IF(Tb_Activiteiten[[#This Row],[Landbouwer]]=1,Tb_Activiteiten[[#Headers],[Landbouwer]],"")))</f>
        <v/>
      </c>
      <c r="AO1281" t="str">
        <f>IF(ISNUMBER(FIND("arbeid",Methode_Keuze)),"",IF(ISNUMBER(FIND("arbeid",Methode_Keuze)),"",IF(Tb_Activiteiten[[#This Row],[Adviseur]]=1,Tb_Activiteiten[[#Headers],[Adviseur]],"")))</f>
        <v/>
      </c>
      <c r="AP1281" t="str">
        <f>IF(ISNUMBER(FIND("arbeid",Methode_Keuze)),"",IF(ISNUMBER(FIND("arbeid",Methode_Keuze)),"",IF(Tb_Activiteiten[[#This Row],[Projectleider/Expert]]=1,Tb_Activiteiten[[#Headers],[Projectleider/Expert]],"")))</f>
        <v/>
      </c>
      <c r="AQ1281" t="str">
        <f>IF(ISNUMBER(FIND("arbeid",Methode_Keuze)),"",IF(ISNUMBER(FIND("arbeid",Methode_Keuze)),"",IF(Tb_Activiteiten[[#This Row],[Arbeidskosten]]=1,Tb_Activiteiten[[#Headers],[Arbeidskosten]],"")))</f>
        <v/>
      </c>
      <c r="AR1281" t="str">
        <f>IF(ISNUMBER(FIND("arbeid",Methode_Keuze)),"",IF(ISNUMBER(FIND("arbeid",Methode_Keuze)),"",IF(Tb_Activiteiten[[#This Row],[Arbeidskosten op basis van IKS]]=1,Tb_Activiteiten[[#Headers],[Arbeidskosten op basis van IKS]],"")))</f>
        <v/>
      </c>
      <c r="AS1281" t="str">
        <f>IF(ISNUMBER(FIND("overige",Methode_Keuze)),"",IF(Tb_Activiteiten[[#This Row],[Kosten derden exclusief btw]]=1,Tb_Activiteiten[[#Headers],[Kosten derden exclusief btw]],""))</f>
        <v/>
      </c>
      <c r="AT1281" t="str">
        <f>IF(ISNUMBER(FIND("overige",Methode_Keuze)),"",IF(Tb_Activiteiten[[#This Row],[Niet verrekenbare btw]]=1,Tb_Activiteiten[[#Headers],[Niet verrekenbare btw]],""))</f>
        <v/>
      </c>
      <c r="AU1281" t="str">
        <f>IF(ISNUMBER(FIND("overige",Methode_Keuze)),"",IF(Tb_Activiteiten[[#This Row],[Grondkosten]]=1,Tb_Activiteiten[[#Headers],[Grondkosten]],""))</f>
        <v/>
      </c>
      <c r="AV1281" t="str">
        <f>IF(ISNUMBER(FIND("overige",Methode_Keuze)),"",IF(Tb_Activiteiten[[#This Row],[Bijdrage in natura (overige)]]=1,Tb_Activiteiten[[#Headers],[Bijdrage in natura (overige)]],""))</f>
        <v/>
      </c>
      <c r="AW1281" t="str">
        <f>IF(ISNUMBER(FIND("overige",Methode_Keuze)),"",IF(Tb_Activiteiten[[#This Row],[Bijdrage in natura (vrijwilligers)]]=1,Tb_Activiteiten[[#Headers],[Bijdrage in natura (vrijwilligers)]],""))</f>
        <v/>
      </c>
      <c r="AX1281" t="str">
        <f>IF(ISNUMBER(FIND("overige",Methode_Keuze)),"",IF(Tb_Activiteiten[[#This Row],[Afschrijvingskosten]]=1,Tb_Activiteiten[[#Headers],[Afschrijvingskosten]],""))</f>
        <v/>
      </c>
      <c r="AY1281" t="str">
        <f>IF(ISNUMBER(FIND("overige",Methode_Keuze)),"",IF(Tb_Activiteiten[[#This Row],[Vergoeding]]=1,Tb_Activiteiten[[#Headers],[Vergoeding]],""))</f>
        <v/>
      </c>
      <c r="AZ1281" t="str">
        <f>IF(ISNUMBER(FIND("arbeid",Methode_Keuze)),"",IF(Tb_Activiteiten[[#This Row],[Arbeidskosten - vast tarief (excl eigen arbeid)]]=1,Tb_Activiteiten[[#Headers],[Arbeidskosten - vast tarief (excl eigen arbeid)]],""))</f>
        <v/>
      </c>
      <c r="BA1281" t="str">
        <f>IF(ISNUMBER(FIND("overige",Methode_Keuze)),"",IF(Tb_Activiteiten[[#This Row],[Overige kosten]]=1,Tb_Activiteiten[[#Headers],[Overige kosten]],""))</f>
        <v/>
      </c>
    </row>
    <row r="1282" spans="1:53" x14ac:dyDescent="0.25">
      <c r="A1282" s="139"/>
      <c r="B1282" s="139"/>
      <c r="C1282" s="139"/>
      <c r="D1282" s="139"/>
      <c r="E1282" s="139"/>
      <c r="F1282" s="139"/>
      <c r="G1282" s="139"/>
      <c r="O1282" s="56"/>
      <c r="Q1282" t="str">
        <f>IFERROR(IF(VLOOKUP(Tb_Activiteiten[[#This Row],[Openstelling]],Tb_Openstelling[],2,0)=1,1,""),"")</f>
        <v/>
      </c>
      <c r="AK1282" t="str">
        <f>IF(ISNUMBER(FIND("arbeid",Methode_Keuze)),"",IF(ISNUMBER(FIND("arbeid",Methode_Keuze)),"",IF(Tb_Activiteiten[[#This Row],[Loonkosten]]=1,Tb_Activiteiten[[#Headers],[Loonkosten]],"")))</f>
        <v/>
      </c>
      <c r="AL1282" t="str">
        <f>IF(ISNUMBER(FIND("arbeid",Methode_Keuze)),"",IF(ISNUMBER(FIND("arbeid",Methode_Keuze)),"",IF(Tb_Activiteiten[[#This Row],[Eigen arbeid]]=1,Tb_Activiteiten[[#Headers],[Eigen arbeid]],"")))</f>
        <v/>
      </c>
      <c r="AM1282" t="str">
        <f>IF(ISNUMBER(FIND("arbeid",Methode_Keuze)),"",IF(ISNUMBER(FIND("arbeid",Methode_Keuze)),"",IF(Tb_Activiteiten[[#This Row],[Projectmedewerker]]=1,Tb_Activiteiten[[#Headers],[Projectmedewerker]],"")))</f>
        <v/>
      </c>
      <c r="AN1282" t="str">
        <f>IF(ISNUMBER(FIND("arbeid",Methode_Keuze)),"",IF(ISNUMBER(FIND("arbeid",Methode_Keuze)),"",IF(Tb_Activiteiten[[#This Row],[Landbouwer]]=1,Tb_Activiteiten[[#Headers],[Landbouwer]],"")))</f>
        <v/>
      </c>
      <c r="AO1282" t="str">
        <f>IF(ISNUMBER(FIND("arbeid",Methode_Keuze)),"",IF(ISNUMBER(FIND("arbeid",Methode_Keuze)),"",IF(Tb_Activiteiten[[#This Row],[Adviseur]]=1,Tb_Activiteiten[[#Headers],[Adviseur]],"")))</f>
        <v/>
      </c>
      <c r="AP1282" t="str">
        <f>IF(ISNUMBER(FIND("arbeid",Methode_Keuze)),"",IF(ISNUMBER(FIND("arbeid",Methode_Keuze)),"",IF(Tb_Activiteiten[[#This Row],[Projectleider/Expert]]=1,Tb_Activiteiten[[#Headers],[Projectleider/Expert]],"")))</f>
        <v/>
      </c>
      <c r="AQ1282" t="str">
        <f>IF(ISNUMBER(FIND("arbeid",Methode_Keuze)),"",IF(ISNUMBER(FIND("arbeid",Methode_Keuze)),"",IF(Tb_Activiteiten[[#This Row],[Arbeidskosten]]=1,Tb_Activiteiten[[#Headers],[Arbeidskosten]],"")))</f>
        <v/>
      </c>
      <c r="AR1282" t="str">
        <f>IF(ISNUMBER(FIND("arbeid",Methode_Keuze)),"",IF(ISNUMBER(FIND("arbeid",Methode_Keuze)),"",IF(Tb_Activiteiten[[#This Row],[Arbeidskosten op basis van IKS]]=1,Tb_Activiteiten[[#Headers],[Arbeidskosten op basis van IKS]],"")))</f>
        <v/>
      </c>
      <c r="AS1282" t="str">
        <f>IF(ISNUMBER(FIND("overige",Methode_Keuze)),"",IF(Tb_Activiteiten[[#This Row],[Kosten derden exclusief btw]]=1,Tb_Activiteiten[[#Headers],[Kosten derden exclusief btw]],""))</f>
        <v/>
      </c>
      <c r="AT1282" t="str">
        <f>IF(ISNUMBER(FIND("overige",Methode_Keuze)),"",IF(Tb_Activiteiten[[#This Row],[Niet verrekenbare btw]]=1,Tb_Activiteiten[[#Headers],[Niet verrekenbare btw]],""))</f>
        <v/>
      </c>
      <c r="AU1282" t="str">
        <f>IF(ISNUMBER(FIND("overige",Methode_Keuze)),"",IF(Tb_Activiteiten[[#This Row],[Grondkosten]]=1,Tb_Activiteiten[[#Headers],[Grondkosten]],""))</f>
        <v/>
      </c>
      <c r="AV1282" t="str">
        <f>IF(ISNUMBER(FIND("overige",Methode_Keuze)),"",IF(Tb_Activiteiten[[#This Row],[Bijdrage in natura (overige)]]=1,Tb_Activiteiten[[#Headers],[Bijdrage in natura (overige)]],""))</f>
        <v/>
      </c>
      <c r="AW1282" t="str">
        <f>IF(ISNUMBER(FIND("overige",Methode_Keuze)),"",IF(Tb_Activiteiten[[#This Row],[Bijdrage in natura (vrijwilligers)]]=1,Tb_Activiteiten[[#Headers],[Bijdrage in natura (vrijwilligers)]],""))</f>
        <v/>
      </c>
      <c r="AX1282" t="str">
        <f>IF(ISNUMBER(FIND("overige",Methode_Keuze)),"",IF(Tb_Activiteiten[[#This Row],[Afschrijvingskosten]]=1,Tb_Activiteiten[[#Headers],[Afschrijvingskosten]],""))</f>
        <v/>
      </c>
      <c r="AY1282" t="str">
        <f>IF(ISNUMBER(FIND("overige",Methode_Keuze)),"",IF(Tb_Activiteiten[[#This Row],[Vergoeding]]=1,Tb_Activiteiten[[#Headers],[Vergoeding]],""))</f>
        <v/>
      </c>
      <c r="AZ1282" t="str">
        <f>IF(ISNUMBER(FIND("arbeid",Methode_Keuze)),"",IF(Tb_Activiteiten[[#This Row],[Arbeidskosten - vast tarief (excl eigen arbeid)]]=1,Tb_Activiteiten[[#Headers],[Arbeidskosten - vast tarief (excl eigen arbeid)]],""))</f>
        <v/>
      </c>
      <c r="BA1282" t="str">
        <f>IF(ISNUMBER(FIND("overige",Methode_Keuze)),"",IF(Tb_Activiteiten[[#This Row],[Overige kosten]]=1,Tb_Activiteiten[[#Headers],[Overige kosten]],""))</f>
        <v/>
      </c>
    </row>
    <row r="1283" spans="1:53" x14ac:dyDescent="0.25">
      <c r="A1283" s="139"/>
      <c r="B1283" s="139"/>
      <c r="C1283" s="139"/>
      <c r="D1283" s="139"/>
      <c r="E1283" s="139"/>
      <c r="F1283" s="139"/>
      <c r="G1283" s="139"/>
      <c r="O1283" s="56"/>
      <c r="Q1283" t="str">
        <f>IFERROR(IF(VLOOKUP(Tb_Activiteiten[[#This Row],[Openstelling]],Tb_Openstelling[],2,0)=1,1,""),"")</f>
        <v/>
      </c>
      <c r="AK1283" t="str">
        <f>IF(ISNUMBER(FIND("arbeid",Methode_Keuze)),"",IF(ISNUMBER(FIND("arbeid",Methode_Keuze)),"",IF(Tb_Activiteiten[[#This Row],[Loonkosten]]=1,Tb_Activiteiten[[#Headers],[Loonkosten]],"")))</f>
        <v/>
      </c>
      <c r="AL1283" t="str">
        <f>IF(ISNUMBER(FIND("arbeid",Methode_Keuze)),"",IF(ISNUMBER(FIND("arbeid",Methode_Keuze)),"",IF(Tb_Activiteiten[[#This Row],[Eigen arbeid]]=1,Tb_Activiteiten[[#Headers],[Eigen arbeid]],"")))</f>
        <v/>
      </c>
      <c r="AM1283" t="str">
        <f>IF(ISNUMBER(FIND("arbeid",Methode_Keuze)),"",IF(ISNUMBER(FIND("arbeid",Methode_Keuze)),"",IF(Tb_Activiteiten[[#This Row],[Projectmedewerker]]=1,Tb_Activiteiten[[#Headers],[Projectmedewerker]],"")))</f>
        <v/>
      </c>
      <c r="AN1283" t="str">
        <f>IF(ISNUMBER(FIND("arbeid",Methode_Keuze)),"",IF(ISNUMBER(FIND("arbeid",Methode_Keuze)),"",IF(Tb_Activiteiten[[#This Row],[Landbouwer]]=1,Tb_Activiteiten[[#Headers],[Landbouwer]],"")))</f>
        <v/>
      </c>
      <c r="AO1283" t="str">
        <f>IF(ISNUMBER(FIND("arbeid",Methode_Keuze)),"",IF(ISNUMBER(FIND("arbeid",Methode_Keuze)),"",IF(Tb_Activiteiten[[#This Row],[Adviseur]]=1,Tb_Activiteiten[[#Headers],[Adviseur]],"")))</f>
        <v/>
      </c>
      <c r="AP1283" t="str">
        <f>IF(ISNUMBER(FIND("arbeid",Methode_Keuze)),"",IF(ISNUMBER(FIND("arbeid",Methode_Keuze)),"",IF(Tb_Activiteiten[[#This Row],[Projectleider/Expert]]=1,Tb_Activiteiten[[#Headers],[Projectleider/Expert]],"")))</f>
        <v/>
      </c>
      <c r="AQ1283" t="str">
        <f>IF(ISNUMBER(FIND("arbeid",Methode_Keuze)),"",IF(ISNUMBER(FIND("arbeid",Methode_Keuze)),"",IF(Tb_Activiteiten[[#This Row],[Arbeidskosten]]=1,Tb_Activiteiten[[#Headers],[Arbeidskosten]],"")))</f>
        <v/>
      </c>
      <c r="AR1283" t="str">
        <f>IF(ISNUMBER(FIND("arbeid",Methode_Keuze)),"",IF(ISNUMBER(FIND("arbeid",Methode_Keuze)),"",IF(Tb_Activiteiten[[#This Row],[Arbeidskosten op basis van IKS]]=1,Tb_Activiteiten[[#Headers],[Arbeidskosten op basis van IKS]],"")))</f>
        <v/>
      </c>
      <c r="AS1283" t="str">
        <f>IF(ISNUMBER(FIND("overige",Methode_Keuze)),"",IF(Tb_Activiteiten[[#This Row],[Kosten derden exclusief btw]]=1,Tb_Activiteiten[[#Headers],[Kosten derden exclusief btw]],""))</f>
        <v/>
      </c>
      <c r="AT1283" t="str">
        <f>IF(ISNUMBER(FIND("overige",Methode_Keuze)),"",IF(Tb_Activiteiten[[#This Row],[Niet verrekenbare btw]]=1,Tb_Activiteiten[[#Headers],[Niet verrekenbare btw]],""))</f>
        <v/>
      </c>
      <c r="AU1283" t="str">
        <f>IF(ISNUMBER(FIND("overige",Methode_Keuze)),"",IF(Tb_Activiteiten[[#This Row],[Grondkosten]]=1,Tb_Activiteiten[[#Headers],[Grondkosten]],""))</f>
        <v/>
      </c>
      <c r="AV1283" t="str">
        <f>IF(ISNUMBER(FIND("overige",Methode_Keuze)),"",IF(Tb_Activiteiten[[#This Row],[Bijdrage in natura (overige)]]=1,Tb_Activiteiten[[#Headers],[Bijdrage in natura (overige)]],""))</f>
        <v/>
      </c>
      <c r="AW1283" t="str">
        <f>IF(ISNUMBER(FIND("overige",Methode_Keuze)),"",IF(Tb_Activiteiten[[#This Row],[Bijdrage in natura (vrijwilligers)]]=1,Tb_Activiteiten[[#Headers],[Bijdrage in natura (vrijwilligers)]],""))</f>
        <v/>
      </c>
      <c r="AX1283" t="str">
        <f>IF(ISNUMBER(FIND("overige",Methode_Keuze)),"",IF(Tb_Activiteiten[[#This Row],[Afschrijvingskosten]]=1,Tb_Activiteiten[[#Headers],[Afschrijvingskosten]],""))</f>
        <v/>
      </c>
      <c r="AY1283" t="str">
        <f>IF(ISNUMBER(FIND("overige",Methode_Keuze)),"",IF(Tb_Activiteiten[[#This Row],[Vergoeding]]=1,Tb_Activiteiten[[#Headers],[Vergoeding]],""))</f>
        <v/>
      </c>
      <c r="AZ1283" t="str">
        <f>IF(ISNUMBER(FIND("arbeid",Methode_Keuze)),"",IF(Tb_Activiteiten[[#This Row],[Arbeidskosten - vast tarief (excl eigen arbeid)]]=1,Tb_Activiteiten[[#Headers],[Arbeidskosten - vast tarief (excl eigen arbeid)]],""))</f>
        <v/>
      </c>
      <c r="BA1283" t="str">
        <f>IF(ISNUMBER(FIND("overige",Methode_Keuze)),"",IF(Tb_Activiteiten[[#This Row],[Overige kosten]]=1,Tb_Activiteiten[[#Headers],[Overige kosten]],""))</f>
        <v/>
      </c>
    </row>
    <row r="1284" spans="1:53" x14ac:dyDescent="0.25">
      <c r="A1284" s="139"/>
      <c r="B1284" s="139"/>
      <c r="C1284" s="139"/>
      <c r="D1284" s="139"/>
      <c r="E1284" s="139"/>
      <c r="F1284" s="139"/>
      <c r="G1284" s="139"/>
      <c r="O1284" s="56"/>
      <c r="Q1284" t="str">
        <f>IFERROR(IF(VLOOKUP(Tb_Activiteiten[[#This Row],[Openstelling]],Tb_Openstelling[],2,0)=1,1,""),"")</f>
        <v/>
      </c>
      <c r="AK1284" t="str">
        <f>IF(ISNUMBER(FIND("arbeid",Methode_Keuze)),"",IF(ISNUMBER(FIND("arbeid",Methode_Keuze)),"",IF(Tb_Activiteiten[[#This Row],[Loonkosten]]=1,Tb_Activiteiten[[#Headers],[Loonkosten]],"")))</f>
        <v/>
      </c>
      <c r="AL1284" t="str">
        <f>IF(ISNUMBER(FIND("arbeid",Methode_Keuze)),"",IF(ISNUMBER(FIND("arbeid",Methode_Keuze)),"",IF(Tb_Activiteiten[[#This Row],[Eigen arbeid]]=1,Tb_Activiteiten[[#Headers],[Eigen arbeid]],"")))</f>
        <v/>
      </c>
      <c r="AM1284" t="str">
        <f>IF(ISNUMBER(FIND("arbeid",Methode_Keuze)),"",IF(ISNUMBER(FIND("arbeid",Methode_Keuze)),"",IF(Tb_Activiteiten[[#This Row],[Projectmedewerker]]=1,Tb_Activiteiten[[#Headers],[Projectmedewerker]],"")))</f>
        <v/>
      </c>
      <c r="AN1284" t="str">
        <f>IF(ISNUMBER(FIND("arbeid",Methode_Keuze)),"",IF(ISNUMBER(FIND("arbeid",Methode_Keuze)),"",IF(Tb_Activiteiten[[#This Row],[Landbouwer]]=1,Tb_Activiteiten[[#Headers],[Landbouwer]],"")))</f>
        <v/>
      </c>
      <c r="AO1284" t="str">
        <f>IF(ISNUMBER(FIND("arbeid",Methode_Keuze)),"",IF(ISNUMBER(FIND("arbeid",Methode_Keuze)),"",IF(Tb_Activiteiten[[#This Row],[Adviseur]]=1,Tb_Activiteiten[[#Headers],[Adviseur]],"")))</f>
        <v/>
      </c>
      <c r="AP1284" t="str">
        <f>IF(ISNUMBER(FIND("arbeid",Methode_Keuze)),"",IF(ISNUMBER(FIND("arbeid",Methode_Keuze)),"",IF(Tb_Activiteiten[[#This Row],[Projectleider/Expert]]=1,Tb_Activiteiten[[#Headers],[Projectleider/Expert]],"")))</f>
        <v/>
      </c>
      <c r="AQ1284" t="str">
        <f>IF(ISNUMBER(FIND("arbeid",Methode_Keuze)),"",IF(ISNUMBER(FIND("arbeid",Methode_Keuze)),"",IF(Tb_Activiteiten[[#This Row],[Arbeidskosten]]=1,Tb_Activiteiten[[#Headers],[Arbeidskosten]],"")))</f>
        <v/>
      </c>
      <c r="AR1284" t="str">
        <f>IF(ISNUMBER(FIND("arbeid",Methode_Keuze)),"",IF(ISNUMBER(FIND("arbeid",Methode_Keuze)),"",IF(Tb_Activiteiten[[#This Row],[Arbeidskosten op basis van IKS]]=1,Tb_Activiteiten[[#Headers],[Arbeidskosten op basis van IKS]],"")))</f>
        <v/>
      </c>
      <c r="AS1284" t="str">
        <f>IF(ISNUMBER(FIND("overige",Methode_Keuze)),"",IF(Tb_Activiteiten[[#This Row],[Kosten derden exclusief btw]]=1,Tb_Activiteiten[[#Headers],[Kosten derden exclusief btw]],""))</f>
        <v/>
      </c>
      <c r="AT1284" t="str">
        <f>IF(ISNUMBER(FIND("overige",Methode_Keuze)),"",IF(Tb_Activiteiten[[#This Row],[Niet verrekenbare btw]]=1,Tb_Activiteiten[[#Headers],[Niet verrekenbare btw]],""))</f>
        <v/>
      </c>
      <c r="AU1284" t="str">
        <f>IF(ISNUMBER(FIND("overige",Methode_Keuze)),"",IF(Tb_Activiteiten[[#This Row],[Grondkosten]]=1,Tb_Activiteiten[[#Headers],[Grondkosten]],""))</f>
        <v/>
      </c>
      <c r="AV1284" t="str">
        <f>IF(ISNUMBER(FIND("overige",Methode_Keuze)),"",IF(Tb_Activiteiten[[#This Row],[Bijdrage in natura (overige)]]=1,Tb_Activiteiten[[#Headers],[Bijdrage in natura (overige)]],""))</f>
        <v/>
      </c>
      <c r="AW1284" t="str">
        <f>IF(ISNUMBER(FIND("overige",Methode_Keuze)),"",IF(Tb_Activiteiten[[#This Row],[Bijdrage in natura (vrijwilligers)]]=1,Tb_Activiteiten[[#Headers],[Bijdrage in natura (vrijwilligers)]],""))</f>
        <v/>
      </c>
      <c r="AX1284" t="str">
        <f>IF(ISNUMBER(FIND("overige",Methode_Keuze)),"",IF(Tb_Activiteiten[[#This Row],[Afschrijvingskosten]]=1,Tb_Activiteiten[[#Headers],[Afschrijvingskosten]],""))</f>
        <v/>
      </c>
      <c r="AY1284" t="str">
        <f>IF(ISNUMBER(FIND("overige",Methode_Keuze)),"",IF(Tb_Activiteiten[[#This Row],[Vergoeding]]=1,Tb_Activiteiten[[#Headers],[Vergoeding]],""))</f>
        <v/>
      </c>
      <c r="AZ1284" t="str">
        <f>IF(ISNUMBER(FIND("arbeid",Methode_Keuze)),"",IF(Tb_Activiteiten[[#This Row],[Arbeidskosten - vast tarief (excl eigen arbeid)]]=1,Tb_Activiteiten[[#Headers],[Arbeidskosten - vast tarief (excl eigen arbeid)]],""))</f>
        <v/>
      </c>
      <c r="BA1284" t="str">
        <f>IF(ISNUMBER(FIND("overige",Methode_Keuze)),"",IF(Tb_Activiteiten[[#This Row],[Overige kosten]]=1,Tb_Activiteiten[[#Headers],[Overige kosten]],""))</f>
        <v/>
      </c>
    </row>
    <row r="1285" spans="1:53" x14ac:dyDescent="0.25">
      <c r="A1285" s="139"/>
      <c r="B1285" s="139"/>
      <c r="C1285" s="139"/>
      <c r="D1285" s="139"/>
      <c r="E1285" s="139"/>
      <c r="F1285" s="139"/>
      <c r="G1285" s="139"/>
      <c r="O1285" s="56"/>
      <c r="Q1285" t="str">
        <f>IFERROR(IF(VLOOKUP(Tb_Activiteiten[[#This Row],[Openstelling]],Tb_Openstelling[],2,0)=1,1,""),"")</f>
        <v/>
      </c>
      <c r="AK1285" t="str">
        <f>IF(ISNUMBER(FIND("arbeid",Methode_Keuze)),"",IF(ISNUMBER(FIND("arbeid",Methode_Keuze)),"",IF(Tb_Activiteiten[[#This Row],[Loonkosten]]=1,Tb_Activiteiten[[#Headers],[Loonkosten]],"")))</f>
        <v/>
      </c>
      <c r="AL1285" t="str">
        <f>IF(ISNUMBER(FIND("arbeid",Methode_Keuze)),"",IF(ISNUMBER(FIND("arbeid",Methode_Keuze)),"",IF(Tb_Activiteiten[[#This Row],[Eigen arbeid]]=1,Tb_Activiteiten[[#Headers],[Eigen arbeid]],"")))</f>
        <v/>
      </c>
      <c r="AM1285" t="str">
        <f>IF(ISNUMBER(FIND("arbeid",Methode_Keuze)),"",IF(ISNUMBER(FIND("arbeid",Methode_Keuze)),"",IF(Tb_Activiteiten[[#This Row],[Projectmedewerker]]=1,Tb_Activiteiten[[#Headers],[Projectmedewerker]],"")))</f>
        <v/>
      </c>
      <c r="AN1285" t="str">
        <f>IF(ISNUMBER(FIND("arbeid",Methode_Keuze)),"",IF(ISNUMBER(FIND("arbeid",Methode_Keuze)),"",IF(Tb_Activiteiten[[#This Row],[Landbouwer]]=1,Tb_Activiteiten[[#Headers],[Landbouwer]],"")))</f>
        <v/>
      </c>
      <c r="AO1285" t="str">
        <f>IF(ISNUMBER(FIND("arbeid",Methode_Keuze)),"",IF(ISNUMBER(FIND("arbeid",Methode_Keuze)),"",IF(Tb_Activiteiten[[#This Row],[Adviseur]]=1,Tb_Activiteiten[[#Headers],[Adviseur]],"")))</f>
        <v/>
      </c>
      <c r="AP1285" t="str">
        <f>IF(ISNUMBER(FIND("arbeid",Methode_Keuze)),"",IF(ISNUMBER(FIND("arbeid",Methode_Keuze)),"",IF(Tb_Activiteiten[[#This Row],[Projectleider/Expert]]=1,Tb_Activiteiten[[#Headers],[Projectleider/Expert]],"")))</f>
        <v/>
      </c>
      <c r="AQ1285" t="str">
        <f>IF(ISNUMBER(FIND("arbeid",Methode_Keuze)),"",IF(ISNUMBER(FIND("arbeid",Methode_Keuze)),"",IF(Tb_Activiteiten[[#This Row],[Arbeidskosten]]=1,Tb_Activiteiten[[#Headers],[Arbeidskosten]],"")))</f>
        <v/>
      </c>
      <c r="AR1285" t="str">
        <f>IF(ISNUMBER(FIND("arbeid",Methode_Keuze)),"",IF(ISNUMBER(FIND("arbeid",Methode_Keuze)),"",IF(Tb_Activiteiten[[#This Row],[Arbeidskosten op basis van IKS]]=1,Tb_Activiteiten[[#Headers],[Arbeidskosten op basis van IKS]],"")))</f>
        <v/>
      </c>
      <c r="AS1285" t="str">
        <f>IF(ISNUMBER(FIND("overige",Methode_Keuze)),"",IF(Tb_Activiteiten[[#This Row],[Kosten derden exclusief btw]]=1,Tb_Activiteiten[[#Headers],[Kosten derden exclusief btw]],""))</f>
        <v/>
      </c>
      <c r="AT1285" t="str">
        <f>IF(ISNUMBER(FIND("overige",Methode_Keuze)),"",IF(Tb_Activiteiten[[#This Row],[Niet verrekenbare btw]]=1,Tb_Activiteiten[[#Headers],[Niet verrekenbare btw]],""))</f>
        <v/>
      </c>
      <c r="AU1285" t="str">
        <f>IF(ISNUMBER(FIND("overige",Methode_Keuze)),"",IF(Tb_Activiteiten[[#This Row],[Grondkosten]]=1,Tb_Activiteiten[[#Headers],[Grondkosten]],""))</f>
        <v/>
      </c>
      <c r="AV1285" t="str">
        <f>IF(ISNUMBER(FIND("overige",Methode_Keuze)),"",IF(Tb_Activiteiten[[#This Row],[Bijdrage in natura (overige)]]=1,Tb_Activiteiten[[#Headers],[Bijdrage in natura (overige)]],""))</f>
        <v/>
      </c>
      <c r="AW1285" t="str">
        <f>IF(ISNUMBER(FIND("overige",Methode_Keuze)),"",IF(Tb_Activiteiten[[#This Row],[Bijdrage in natura (vrijwilligers)]]=1,Tb_Activiteiten[[#Headers],[Bijdrage in natura (vrijwilligers)]],""))</f>
        <v/>
      </c>
      <c r="AX1285" t="str">
        <f>IF(ISNUMBER(FIND("overige",Methode_Keuze)),"",IF(Tb_Activiteiten[[#This Row],[Afschrijvingskosten]]=1,Tb_Activiteiten[[#Headers],[Afschrijvingskosten]],""))</f>
        <v/>
      </c>
      <c r="AY1285" t="str">
        <f>IF(ISNUMBER(FIND("overige",Methode_Keuze)),"",IF(Tb_Activiteiten[[#This Row],[Vergoeding]]=1,Tb_Activiteiten[[#Headers],[Vergoeding]],""))</f>
        <v/>
      </c>
      <c r="AZ1285" t="str">
        <f>IF(ISNUMBER(FIND("arbeid",Methode_Keuze)),"",IF(Tb_Activiteiten[[#This Row],[Arbeidskosten - vast tarief (excl eigen arbeid)]]=1,Tb_Activiteiten[[#Headers],[Arbeidskosten - vast tarief (excl eigen arbeid)]],""))</f>
        <v/>
      </c>
      <c r="BA1285" t="str">
        <f>IF(ISNUMBER(FIND("overige",Methode_Keuze)),"",IF(Tb_Activiteiten[[#This Row],[Overige kosten]]=1,Tb_Activiteiten[[#Headers],[Overige kosten]],""))</f>
        <v/>
      </c>
    </row>
    <row r="1286" spans="1:53" x14ac:dyDescent="0.25">
      <c r="A1286" s="139"/>
      <c r="B1286" s="139"/>
      <c r="C1286" s="139"/>
      <c r="D1286" s="139"/>
      <c r="E1286" s="139"/>
      <c r="F1286" s="139"/>
      <c r="G1286" s="139"/>
      <c r="O1286" s="56"/>
      <c r="Q1286" t="str">
        <f>IFERROR(IF(VLOOKUP(Tb_Activiteiten[[#This Row],[Openstelling]],Tb_Openstelling[],2,0)=1,1,""),"")</f>
        <v/>
      </c>
      <c r="AK1286" t="str">
        <f>IF(ISNUMBER(FIND("arbeid",Methode_Keuze)),"",IF(ISNUMBER(FIND("arbeid",Methode_Keuze)),"",IF(Tb_Activiteiten[[#This Row],[Loonkosten]]=1,Tb_Activiteiten[[#Headers],[Loonkosten]],"")))</f>
        <v/>
      </c>
      <c r="AL1286" t="str">
        <f>IF(ISNUMBER(FIND("arbeid",Methode_Keuze)),"",IF(ISNUMBER(FIND("arbeid",Methode_Keuze)),"",IF(Tb_Activiteiten[[#This Row],[Eigen arbeid]]=1,Tb_Activiteiten[[#Headers],[Eigen arbeid]],"")))</f>
        <v/>
      </c>
      <c r="AM1286" t="str">
        <f>IF(ISNUMBER(FIND("arbeid",Methode_Keuze)),"",IF(ISNUMBER(FIND("arbeid",Methode_Keuze)),"",IF(Tb_Activiteiten[[#This Row],[Projectmedewerker]]=1,Tb_Activiteiten[[#Headers],[Projectmedewerker]],"")))</f>
        <v/>
      </c>
      <c r="AN1286" t="str">
        <f>IF(ISNUMBER(FIND("arbeid",Methode_Keuze)),"",IF(ISNUMBER(FIND("arbeid",Methode_Keuze)),"",IF(Tb_Activiteiten[[#This Row],[Landbouwer]]=1,Tb_Activiteiten[[#Headers],[Landbouwer]],"")))</f>
        <v/>
      </c>
      <c r="AO1286" t="str">
        <f>IF(ISNUMBER(FIND("arbeid",Methode_Keuze)),"",IF(ISNUMBER(FIND("arbeid",Methode_Keuze)),"",IF(Tb_Activiteiten[[#This Row],[Adviseur]]=1,Tb_Activiteiten[[#Headers],[Adviseur]],"")))</f>
        <v/>
      </c>
      <c r="AP1286" t="str">
        <f>IF(ISNUMBER(FIND("arbeid",Methode_Keuze)),"",IF(ISNUMBER(FIND("arbeid",Methode_Keuze)),"",IF(Tb_Activiteiten[[#This Row],[Projectleider/Expert]]=1,Tb_Activiteiten[[#Headers],[Projectleider/Expert]],"")))</f>
        <v/>
      </c>
      <c r="AQ1286" t="str">
        <f>IF(ISNUMBER(FIND("arbeid",Methode_Keuze)),"",IF(ISNUMBER(FIND("arbeid",Methode_Keuze)),"",IF(Tb_Activiteiten[[#This Row],[Arbeidskosten]]=1,Tb_Activiteiten[[#Headers],[Arbeidskosten]],"")))</f>
        <v/>
      </c>
      <c r="AR1286" t="str">
        <f>IF(ISNUMBER(FIND("arbeid",Methode_Keuze)),"",IF(ISNUMBER(FIND("arbeid",Methode_Keuze)),"",IF(Tb_Activiteiten[[#This Row],[Arbeidskosten op basis van IKS]]=1,Tb_Activiteiten[[#Headers],[Arbeidskosten op basis van IKS]],"")))</f>
        <v/>
      </c>
      <c r="AS1286" t="str">
        <f>IF(ISNUMBER(FIND("overige",Methode_Keuze)),"",IF(Tb_Activiteiten[[#This Row],[Kosten derden exclusief btw]]=1,Tb_Activiteiten[[#Headers],[Kosten derden exclusief btw]],""))</f>
        <v/>
      </c>
      <c r="AT1286" t="str">
        <f>IF(ISNUMBER(FIND("overige",Methode_Keuze)),"",IF(Tb_Activiteiten[[#This Row],[Niet verrekenbare btw]]=1,Tb_Activiteiten[[#Headers],[Niet verrekenbare btw]],""))</f>
        <v/>
      </c>
      <c r="AU1286" t="str">
        <f>IF(ISNUMBER(FIND("overige",Methode_Keuze)),"",IF(Tb_Activiteiten[[#This Row],[Grondkosten]]=1,Tb_Activiteiten[[#Headers],[Grondkosten]],""))</f>
        <v/>
      </c>
      <c r="AV1286" t="str">
        <f>IF(ISNUMBER(FIND("overige",Methode_Keuze)),"",IF(Tb_Activiteiten[[#This Row],[Bijdrage in natura (overige)]]=1,Tb_Activiteiten[[#Headers],[Bijdrage in natura (overige)]],""))</f>
        <v/>
      </c>
      <c r="AW1286" t="str">
        <f>IF(ISNUMBER(FIND("overige",Methode_Keuze)),"",IF(Tb_Activiteiten[[#This Row],[Bijdrage in natura (vrijwilligers)]]=1,Tb_Activiteiten[[#Headers],[Bijdrage in natura (vrijwilligers)]],""))</f>
        <v/>
      </c>
      <c r="AX1286" t="str">
        <f>IF(ISNUMBER(FIND("overige",Methode_Keuze)),"",IF(Tb_Activiteiten[[#This Row],[Afschrijvingskosten]]=1,Tb_Activiteiten[[#Headers],[Afschrijvingskosten]],""))</f>
        <v/>
      </c>
      <c r="AY1286" t="str">
        <f>IF(ISNUMBER(FIND("overige",Methode_Keuze)),"",IF(Tb_Activiteiten[[#This Row],[Vergoeding]]=1,Tb_Activiteiten[[#Headers],[Vergoeding]],""))</f>
        <v/>
      </c>
      <c r="AZ1286" t="str">
        <f>IF(ISNUMBER(FIND("arbeid",Methode_Keuze)),"",IF(Tb_Activiteiten[[#This Row],[Arbeidskosten - vast tarief (excl eigen arbeid)]]=1,Tb_Activiteiten[[#Headers],[Arbeidskosten - vast tarief (excl eigen arbeid)]],""))</f>
        <v/>
      </c>
      <c r="BA1286" t="str">
        <f>IF(ISNUMBER(FIND("overige",Methode_Keuze)),"",IF(Tb_Activiteiten[[#This Row],[Overige kosten]]=1,Tb_Activiteiten[[#Headers],[Overige kosten]],""))</f>
        <v/>
      </c>
    </row>
    <row r="1287" spans="1:53" x14ac:dyDescent="0.25">
      <c r="A1287" s="139"/>
      <c r="B1287" s="139"/>
      <c r="C1287" s="139"/>
      <c r="D1287" s="139"/>
      <c r="E1287" s="139"/>
      <c r="F1287" s="139"/>
      <c r="G1287" s="139"/>
      <c r="O1287" s="56"/>
      <c r="Q1287" t="str">
        <f>IFERROR(IF(VLOOKUP(Tb_Activiteiten[[#This Row],[Openstelling]],Tb_Openstelling[],2,0)=1,1,""),"")</f>
        <v/>
      </c>
      <c r="AK1287" t="str">
        <f>IF(ISNUMBER(FIND("arbeid",Methode_Keuze)),"",IF(ISNUMBER(FIND("arbeid",Methode_Keuze)),"",IF(Tb_Activiteiten[[#This Row],[Loonkosten]]=1,Tb_Activiteiten[[#Headers],[Loonkosten]],"")))</f>
        <v/>
      </c>
      <c r="AL1287" t="str">
        <f>IF(ISNUMBER(FIND("arbeid",Methode_Keuze)),"",IF(ISNUMBER(FIND("arbeid",Methode_Keuze)),"",IF(Tb_Activiteiten[[#This Row],[Eigen arbeid]]=1,Tb_Activiteiten[[#Headers],[Eigen arbeid]],"")))</f>
        <v/>
      </c>
      <c r="AM1287" t="str">
        <f>IF(ISNUMBER(FIND("arbeid",Methode_Keuze)),"",IF(ISNUMBER(FIND("arbeid",Methode_Keuze)),"",IF(Tb_Activiteiten[[#This Row],[Projectmedewerker]]=1,Tb_Activiteiten[[#Headers],[Projectmedewerker]],"")))</f>
        <v/>
      </c>
      <c r="AN1287" t="str">
        <f>IF(ISNUMBER(FIND("arbeid",Methode_Keuze)),"",IF(ISNUMBER(FIND("arbeid",Methode_Keuze)),"",IF(Tb_Activiteiten[[#This Row],[Landbouwer]]=1,Tb_Activiteiten[[#Headers],[Landbouwer]],"")))</f>
        <v/>
      </c>
      <c r="AO1287" t="str">
        <f>IF(ISNUMBER(FIND("arbeid",Methode_Keuze)),"",IF(ISNUMBER(FIND("arbeid",Methode_Keuze)),"",IF(Tb_Activiteiten[[#This Row],[Adviseur]]=1,Tb_Activiteiten[[#Headers],[Adviseur]],"")))</f>
        <v/>
      </c>
      <c r="AP1287" t="str">
        <f>IF(ISNUMBER(FIND("arbeid",Methode_Keuze)),"",IF(ISNUMBER(FIND("arbeid",Methode_Keuze)),"",IF(Tb_Activiteiten[[#This Row],[Projectleider/Expert]]=1,Tb_Activiteiten[[#Headers],[Projectleider/Expert]],"")))</f>
        <v/>
      </c>
      <c r="AQ1287" t="str">
        <f>IF(ISNUMBER(FIND("arbeid",Methode_Keuze)),"",IF(ISNUMBER(FIND("arbeid",Methode_Keuze)),"",IF(Tb_Activiteiten[[#This Row],[Arbeidskosten]]=1,Tb_Activiteiten[[#Headers],[Arbeidskosten]],"")))</f>
        <v/>
      </c>
      <c r="AR1287" t="str">
        <f>IF(ISNUMBER(FIND("arbeid",Methode_Keuze)),"",IF(ISNUMBER(FIND("arbeid",Methode_Keuze)),"",IF(Tb_Activiteiten[[#This Row],[Arbeidskosten op basis van IKS]]=1,Tb_Activiteiten[[#Headers],[Arbeidskosten op basis van IKS]],"")))</f>
        <v/>
      </c>
      <c r="AS1287" t="str">
        <f>IF(ISNUMBER(FIND("overige",Methode_Keuze)),"",IF(Tb_Activiteiten[[#This Row],[Kosten derden exclusief btw]]=1,Tb_Activiteiten[[#Headers],[Kosten derden exclusief btw]],""))</f>
        <v/>
      </c>
      <c r="AT1287" t="str">
        <f>IF(ISNUMBER(FIND("overige",Methode_Keuze)),"",IF(Tb_Activiteiten[[#This Row],[Niet verrekenbare btw]]=1,Tb_Activiteiten[[#Headers],[Niet verrekenbare btw]],""))</f>
        <v/>
      </c>
      <c r="AU1287" t="str">
        <f>IF(ISNUMBER(FIND("overige",Methode_Keuze)),"",IF(Tb_Activiteiten[[#This Row],[Grondkosten]]=1,Tb_Activiteiten[[#Headers],[Grondkosten]],""))</f>
        <v/>
      </c>
      <c r="AV1287" t="str">
        <f>IF(ISNUMBER(FIND("overige",Methode_Keuze)),"",IF(Tb_Activiteiten[[#This Row],[Bijdrage in natura (overige)]]=1,Tb_Activiteiten[[#Headers],[Bijdrage in natura (overige)]],""))</f>
        <v/>
      </c>
      <c r="AW1287" t="str">
        <f>IF(ISNUMBER(FIND("overige",Methode_Keuze)),"",IF(Tb_Activiteiten[[#This Row],[Bijdrage in natura (vrijwilligers)]]=1,Tb_Activiteiten[[#Headers],[Bijdrage in natura (vrijwilligers)]],""))</f>
        <v/>
      </c>
      <c r="AX1287" t="str">
        <f>IF(ISNUMBER(FIND("overige",Methode_Keuze)),"",IF(Tb_Activiteiten[[#This Row],[Afschrijvingskosten]]=1,Tb_Activiteiten[[#Headers],[Afschrijvingskosten]],""))</f>
        <v/>
      </c>
      <c r="AY1287" t="str">
        <f>IF(ISNUMBER(FIND("overige",Methode_Keuze)),"",IF(Tb_Activiteiten[[#This Row],[Vergoeding]]=1,Tb_Activiteiten[[#Headers],[Vergoeding]],""))</f>
        <v/>
      </c>
      <c r="AZ1287" t="str">
        <f>IF(ISNUMBER(FIND("arbeid",Methode_Keuze)),"",IF(Tb_Activiteiten[[#This Row],[Arbeidskosten - vast tarief (excl eigen arbeid)]]=1,Tb_Activiteiten[[#Headers],[Arbeidskosten - vast tarief (excl eigen arbeid)]],""))</f>
        <v/>
      </c>
      <c r="BA1287" t="str">
        <f>IF(ISNUMBER(FIND("overige",Methode_Keuze)),"",IF(Tb_Activiteiten[[#This Row],[Overige kosten]]=1,Tb_Activiteiten[[#Headers],[Overige kosten]],""))</f>
        <v/>
      </c>
    </row>
    <row r="1288" spans="1:53" x14ac:dyDescent="0.25">
      <c r="A1288" s="139"/>
      <c r="B1288" s="139"/>
      <c r="C1288" s="139"/>
      <c r="D1288" s="139"/>
      <c r="E1288" s="139"/>
      <c r="F1288" s="139"/>
      <c r="G1288" s="139"/>
      <c r="O1288" s="56"/>
      <c r="Q1288" t="str">
        <f>IFERROR(IF(VLOOKUP(Tb_Activiteiten[[#This Row],[Openstelling]],Tb_Openstelling[],2,0)=1,1,""),"")</f>
        <v/>
      </c>
      <c r="AK1288" t="str">
        <f>IF(ISNUMBER(FIND("arbeid",Methode_Keuze)),"",IF(ISNUMBER(FIND("arbeid",Methode_Keuze)),"",IF(Tb_Activiteiten[[#This Row],[Loonkosten]]=1,Tb_Activiteiten[[#Headers],[Loonkosten]],"")))</f>
        <v/>
      </c>
      <c r="AL1288" t="str">
        <f>IF(ISNUMBER(FIND("arbeid",Methode_Keuze)),"",IF(ISNUMBER(FIND("arbeid",Methode_Keuze)),"",IF(Tb_Activiteiten[[#This Row],[Eigen arbeid]]=1,Tb_Activiteiten[[#Headers],[Eigen arbeid]],"")))</f>
        <v/>
      </c>
      <c r="AM1288" t="str">
        <f>IF(ISNUMBER(FIND("arbeid",Methode_Keuze)),"",IF(ISNUMBER(FIND("arbeid",Methode_Keuze)),"",IF(Tb_Activiteiten[[#This Row],[Projectmedewerker]]=1,Tb_Activiteiten[[#Headers],[Projectmedewerker]],"")))</f>
        <v/>
      </c>
      <c r="AN1288" t="str">
        <f>IF(ISNUMBER(FIND("arbeid",Methode_Keuze)),"",IF(ISNUMBER(FIND("arbeid",Methode_Keuze)),"",IF(Tb_Activiteiten[[#This Row],[Landbouwer]]=1,Tb_Activiteiten[[#Headers],[Landbouwer]],"")))</f>
        <v/>
      </c>
      <c r="AO1288" t="str">
        <f>IF(ISNUMBER(FIND("arbeid",Methode_Keuze)),"",IF(ISNUMBER(FIND("arbeid",Methode_Keuze)),"",IF(Tb_Activiteiten[[#This Row],[Adviseur]]=1,Tb_Activiteiten[[#Headers],[Adviseur]],"")))</f>
        <v/>
      </c>
      <c r="AP1288" t="str">
        <f>IF(ISNUMBER(FIND("arbeid",Methode_Keuze)),"",IF(ISNUMBER(FIND("arbeid",Methode_Keuze)),"",IF(Tb_Activiteiten[[#This Row],[Projectleider/Expert]]=1,Tb_Activiteiten[[#Headers],[Projectleider/Expert]],"")))</f>
        <v/>
      </c>
      <c r="AQ1288" t="str">
        <f>IF(ISNUMBER(FIND("arbeid",Methode_Keuze)),"",IF(ISNUMBER(FIND("arbeid",Methode_Keuze)),"",IF(Tb_Activiteiten[[#This Row],[Arbeidskosten]]=1,Tb_Activiteiten[[#Headers],[Arbeidskosten]],"")))</f>
        <v/>
      </c>
      <c r="AR1288" t="str">
        <f>IF(ISNUMBER(FIND("arbeid",Methode_Keuze)),"",IF(ISNUMBER(FIND("arbeid",Methode_Keuze)),"",IF(Tb_Activiteiten[[#This Row],[Arbeidskosten op basis van IKS]]=1,Tb_Activiteiten[[#Headers],[Arbeidskosten op basis van IKS]],"")))</f>
        <v/>
      </c>
      <c r="AS1288" t="str">
        <f>IF(ISNUMBER(FIND("overige",Methode_Keuze)),"",IF(Tb_Activiteiten[[#This Row],[Kosten derden exclusief btw]]=1,Tb_Activiteiten[[#Headers],[Kosten derden exclusief btw]],""))</f>
        <v/>
      </c>
      <c r="AT1288" t="str">
        <f>IF(ISNUMBER(FIND("overige",Methode_Keuze)),"",IF(Tb_Activiteiten[[#This Row],[Niet verrekenbare btw]]=1,Tb_Activiteiten[[#Headers],[Niet verrekenbare btw]],""))</f>
        <v/>
      </c>
      <c r="AU1288" t="str">
        <f>IF(ISNUMBER(FIND("overige",Methode_Keuze)),"",IF(Tb_Activiteiten[[#This Row],[Grondkosten]]=1,Tb_Activiteiten[[#Headers],[Grondkosten]],""))</f>
        <v/>
      </c>
      <c r="AV1288" t="str">
        <f>IF(ISNUMBER(FIND("overige",Methode_Keuze)),"",IF(Tb_Activiteiten[[#This Row],[Bijdrage in natura (overige)]]=1,Tb_Activiteiten[[#Headers],[Bijdrage in natura (overige)]],""))</f>
        <v/>
      </c>
      <c r="AW1288" t="str">
        <f>IF(ISNUMBER(FIND("overige",Methode_Keuze)),"",IF(Tb_Activiteiten[[#This Row],[Bijdrage in natura (vrijwilligers)]]=1,Tb_Activiteiten[[#Headers],[Bijdrage in natura (vrijwilligers)]],""))</f>
        <v/>
      </c>
      <c r="AX1288" t="str">
        <f>IF(ISNUMBER(FIND("overige",Methode_Keuze)),"",IF(Tb_Activiteiten[[#This Row],[Afschrijvingskosten]]=1,Tb_Activiteiten[[#Headers],[Afschrijvingskosten]],""))</f>
        <v/>
      </c>
      <c r="AY1288" t="str">
        <f>IF(ISNUMBER(FIND("overige",Methode_Keuze)),"",IF(Tb_Activiteiten[[#This Row],[Vergoeding]]=1,Tb_Activiteiten[[#Headers],[Vergoeding]],""))</f>
        <v/>
      </c>
      <c r="AZ1288" t="str">
        <f>IF(ISNUMBER(FIND("arbeid",Methode_Keuze)),"",IF(Tb_Activiteiten[[#This Row],[Arbeidskosten - vast tarief (excl eigen arbeid)]]=1,Tb_Activiteiten[[#Headers],[Arbeidskosten - vast tarief (excl eigen arbeid)]],""))</f>
        <v/>
      </c>
      <c r="BA1288" t="str">
        <f>IF(ISNUMBER(FIND("overige",Methode_Keuze)),"",IF(Tb_Activiteiten[[#This Row],[Overige kosten]]=1,Tb_Activiteiten[[#Headers],[Overige kosten]],""))</f>
        <v/>
      </c>
    </row>
    <row r="1289" spans="1:53" x14ac:dyDescent="0.25">
      <c r="A1289" s="139"/>
      <c r="B1289" s="139"/>
      <c r="C1289" s="139"/>
      <c r="D1289" s="139"/>
      <c r="E1289" s="139"/>
      <c r="F1289" s="139"/>
      <c r="G1289" s="139"/>
      <c r="O1289" s="56"/>
      <c r="Q1289" t="str">
        <f>IFERROR(IF(VLOOKUP(Tb_Activiteiten[[#This Row],[Openstelling]],Tb_Openstelling[],2,0)=1,1,""),"")</f>
        <v/>
      </c>
      <c r="AK1289" t="str">
        <f>IF(ISNUMBER(FIND("arbeid",Methode_Keuze)),"",IF(ISNUMBER(FIND("arbeid",Methode_Keuze)),"",IF(Tb_Activiteiten[[#This Row],[Loonkosten]]=1,Tb_Activiteiten[[#Headers],[Loonkosten]],"")))</f>
        <v/>
      </c>
      <c r="AL1289" t="str">
        <f>IF(ISNUMBER(FIND("arbeid",Methode_Keuze)),"",IF(ISNUMBER(FIND("arbeid",Methode_Keuze)),"",IF(Tb_Activiteiten[[#This Row],[Eigen arbeid]]=1,Tb_Activiteiten[[#Headers],[Eigen arbeid]],"")))</f>
        <v/>
      </c>
      <c r="AM1289" t="str">
        <f>IF(ISNUMBER(FIND("arbeid",Methode_Keuze)),"",IF(ISNUMBER(FIND("arbeid",Methode_Keuze)),"",IF(Tb_Activiteiten[[#This Row],[Projectmedewerker]]=1,Tb_Activiteiten[[#Headers],[Projectmedewerker]],"")))</f>
        <v/>
      </c>
      <c r="AN1289" t="str">
        <f>IF(ISNUMBER(FIND("arbeid",Methode_Keuze)),"",IF(ISNUMBER(FIND("arbeid",Methode_Keuze)),"",IF(Tb_Activiteiten[[#This Row],[Landbouwer]]=1,Tb_Activiteiten[[#Headers],[Landbouwer]],"")))</f>
        <v/>
      </c>
      <c r="AO1289" t="str">
        <f>IF(ISNUMBER(FIND("arbeid",Methode_Keuze)),"",IF(ISNUMBER(FIND("arbeid",Methode_Keuze)),"",IF(Tb_Activiteiten[[#This Row],[Adviseur]]=1,Tb_Activiteiten[[#Headers],[Adviseur]],"")))</f>
        <v/>
      </c>
      <c r="AP1289" t="str">
        <f>IF(ISNUMBER(FIND("arbeid",Methode_Keuze)),"",IF(ISNUMBER(FIND("arbeid",Methode_Keuze)),"",IF(Tb_Activiteiten[[#This Row],[Projectleider/Expert]]=1,Tb_Activiteiten[[#Headers],[Projectleider/Expert]],"")))</f>
        <v/>
      </c>
      <c r="AQ1289" t="str">
        <f>IF(ISNUMBER(FIND("arbeid",Methode_Keuze)),"",IF(ISNUMBER(FIND("arbeid",Methode_Keuze)),"",IF(Tb_Activiteiten[[#This Row],[Arbeidskosten]]=1,Tb_Activiteiten[[#Headers],[Arbeidskosten]],"")))</f>
        <v/>
      </c>
      <c r="AR1289" t="str">
        <f>IF(ISNUMBER(FIND("arbeid",Methode_Keuze)),"",IF(ISNUMBER(FIND("arbeid",Methode_Keuze)),"",IF(Tb_Activiteiten[[#This Row],[Arbeidskosten op basis van IKS]]=1,Tb_Activiteiten[[#Headers],[Arbeidskosten op basis van IKS]],"")))</f>
        <v/>
      </c>
      <c r="AS1289" t="str">
        <f>IF(ISNUMBER(FIND("overige",Methode_Keuze)),"",IF(Tb_Activiteiten[[#This Row],[Kosten derden exclusief btw]]=1,Tb_Activiteiten[[#Headers],[Kosten derden exclusief btw]],""))</f>
        <v/>
      </c>
      <c r="AT1289" t="str">
        <f>IF(ISNUMBER(FIND("overige",Methode_Keuze)),"",IF(Tb_Activiteiten[[#This Row],[Niet verrekenbare btw]]=1,Tb_Activiteiten[[#Headers],[Niet verrekenbare btw]],""))</f>
        <v/>
      </c>
      <c r="AU1289" t="str">
        <f>IF(ISNUMBER(FIND("overige",Methode_Keuze)),"",IF(Tb_Activiteiten[[#This Row],[Grondkosten]]=1,Tb_Activiteiten[[#Headers],[Grondkosten]],""))</f>
        <v/>
      </c>
      <c r="AV1289" t="str">
        <f>IF(ISNUMBER(FIND("overige",Methode_Keuze)),"",IF(Tb_Activiteiten[[#This Row],[Bijdrage in natura (overige)]]=1,Tb_Activiteiten[[#Headers],[Bijdrage in natura (overige)]],""))</f>
        <v/>
      </c>
      <c r="AW1289" t="str">
        <f>IF(ISNUMBER(FIND("overige",Methode_Keuze)),"",IF(Tb_Activiteiten[[#This Row],[Bijdrage in natura (vrijwilligers)]]=1,Tb_Activiteiten[[#Headers],[Bijdrage in natura (vrijwilligers)]],""))</f>
        <v/>
      </c>
      <c r="AX1289" t="str">
        <f>IF(ISNUMBER(FIND("overige",Methode_Keuze)),"",IF(Tb_Activiteiten[[#This Row],[Afschrijvingskosten]]=1,Tb_Activiteiten[[#Headers],[Afschrijvingskosten]],""))</f>
        <v/>
      </c>
      <c r="AY1289" t="str">
        <f>IF(ISNUMBER(FIND("overige",Methode_Keuze)),"",IF(Tb_Activiteiten[[#This Row],[Vergoeding]]=1,Tb_Activiteiten[[#Headers],[Vergoeding]],""))</f>
        <v/>
      </c>
      <c r="AZ1289" t="str">
        <f>IF(ISNUMBER(FIND("arbeid",Methode_Keuze)),"",IF(Tb_Activiteiten[[#This Row],[Arbeidskosten - vast tarief (excl eigen arbeid)]]=1,Tb_Activiteiten[[#Headers],[Arbeidskosten - vast tarief (excl eigen arbeid)]],""))</f>
        <v/>
      </c>
      <c r="BA1289" t="str">
        <f>IF(ISNUMBER(FIND("overige",Methode_Keuze)),"",IF(Tb_Activiteiten[[#This Row],[Overige kosten]]=1,Tb_Activiteiten[[#Headers],[Overige kosten]],""))</f>
        <v/>
      </c>
    </row>
    <row r="1290" spans="1:53" x14ac:dyDescent="0.25">
      <c r="A1290" s="139"/>
      <c r="B1290" s="139"/>
      <c r="C1290" s="139"/>
      <c r="D1290" s="139"/>
      <c r="E1290" s="139"/>
      <c r="F1290" s="139"/>
      <c r="G1290" s="139"/>
      <c r="O1290" s="56"/>
      <c r="Q1290" t="str">
        <f>IFERROR(IF(VLOOKUP(Tb_Activiteiten[[#This Row],[Openstelling]],Tb_Openstelling[],2,0)=1,1,""),"")</f>
        <v/>
      </c>
      <c r="AK1290" t="str">
        <f>IF(ISNUMBER(FIND("arbeid",Methode_Keuze)),"",IF(ISNUMBER(FIND("arbeid",Methode_Keuze)),"",IF(Tb_Activiteiten[[#This Row],[Loonkosten]]=1,Tb_Activiteiten[[#Headers],[Loonkosten]],"")))</f>
        <v/>
      </c>
      <c r="AL1290" t="str">
        <f>IF(ISNUMBER(FIND("arbeid",Methode_Keuze)),"",IF(ISNUMBER(FIND("arbeid",Methode_Keuze)),"",IF(Tb_Activiteiten[[#This Row],[Eigen arbeid]]=1,Tb_Activiteiten[[#Headers],[Eigen arbeid]],"")))</f>
        <v/>
      </c>
      <c r="AM1290" t="str">
        <f>IF(ISNUMBER(FIND("arbeid",Methode_Keuze)),"",IF(ISNUMBER(FIND("arbeid",Methode_Keuze)),"",IF(Tb_Activiteiten[[#This Row],[Projectmedewerker]]=1,Tb_Activiteiten[[#Headers],[Projectmedewerker]],"")))</f>
        <v/>
      </c>
      <c r="AN1290" t="str">
        <f>IF(ISNUMBER(FIND("arbeid",Methode_Keuze)),"",IF(ISNUMBER(FIND("arbeid",Methode_Keuze)),"",IF(Tb_Activiteiten[[#This Row],[Landbouwer]]=1,Tb_Activiteiten[[#Headers],[Landbouwer]],"")))</f>
        <v/>
      </c>
      <c r="AO1290" t="str">
        <f>IF(ISNUMBER(FIND("arbeid",Methode_Keuze)),"",IF(ISNUMBER(FIND("arbeid",Methode_Keuze)),"",IF(Tb_Activiteiten[[#This Row],[Adviseur]]=1,Tb_Activiteiten[[#Headers],[Adviseur]],"")))</f>
        <v/>
      </c>
      <c r="AP1290" t="str">
        <f>IF(ISNUMBER(FIND("arbeid",Methode_Keuze)),"",IF(ISNUMBER(FIND("arbeid",Methode_Keuze)),"",IF(Tb_Activiteiten[[#This Row],[Projectleider/Expert]]=1,Tb_Activiteiten[[#Headers],[Projectleider/Expert]],"")))</f>
        <v/>
      </c>
      <c r="AQ1290" t="str">
        <f>IF(ISNUMBER(FIND("arbeid",Methode_Keuze)),"",IF(ISNUMBER(FIND("arbeid",Methode_Keuze)),"",IF(Tb_Activiteiten[[#This Row],[Arbeidskosten]]=1,Tb_Activiteiten[[#Headers],[Arbeidskosten]],"")))</f>
        <v/>
      </c>
      <c r="AR1290" t="str">
        <f>IF(ISNUMBER(FIND("arbeid",Methode_Keuze)),"",IF(ISNUMBER(FIND("arbeid",Methode_Keuze)),"",IF(Tb_Activiteiten[[#This Row],[Arbeidskosten op basis van IKS]]=1,Tb_Activiteiten[[#Headers],[Arbeidskosten op basis van IKS]],"")))</f>
        <v/>
      </c>
      <c r="AS1290" t="str">
        <f>IF(ISNUMBER(FIND("overige",Methode_Keuze)),"",IF(Tb_Activiteiten[[#This Row],[Kosten derden exclusief btw]]=1,Tb_Activiteiten[[#Headers],[Kosten derden exclusief btw]],""))</f>
        <v/>
      </c>
      <c r="AT1290" t="str">
        <f>IF(ISNUMBER(FIND("overige",Methode_Keuze)),"",IF(Tb_Activiteiten[[#This Row],[Niet verrekenbare btw]]=1,Tb_Activiteiten[[#Headers],[Niet verrekenbare btw]],""))</f>
        <v/>
      </c>
      <c r="AU1290" t="str">
        <f>IF(ISNUMBER(FIND("overige",Methode_Keuze)),"",IF(Tb_Activiteiten[[#This Row],[Grondkosten]]=1,Tb_Activiteiten[[#Headers],[Grondkosten]],""))</f>
        <v/>
      </c>
      <c r="AV1290" t="str">
        <f>IF(ISNUMBER(FIND("overige",Methode_Keuze)),"",IF(Tb_Activiteiten[[#This Row],[Bijdrage in natura (overige)]]=1,Tb_Activiteiten[[#Headers],[Bijdrage in natura (overige)]],""))</f>
        <v/>
      </c>
      <c r="AW1290" t="str">
        <f>IF(ISNUMBER(FIND("overige",Methode_Keuze)),"",IF(Tb_Activiteiten[[#This Row],[Bijdrage in natura (vrijwilligers)]]=1,Tb_Activiteiten[[#Headers],[Bijdrage in natura (vrijwilligers)]],""))</f>
        <v/>
      </c>
      <c r="AX1290" t="str">
        <f>IF(ISNUMBER(FIND("overige",Methode_Keuze)),"",IF(Tb_Activiteiten[[#This Row],[Afschrijvingskosten]]=1,Tb_Activiteiten[[#Headers],[Afschrijvingskosten]],""))</f>
        <v/>
      </c>
      <c r="AY1290" t="str">
        <f>IF(ISNUMBER(FIND("overige",Methode_Keuze)),"",IF(Tb_Activiteiten[[#This Row],[Vergoeding]]=1,Tb_Activiteiten[[#Headers],[Vergoeding]],""))</f>
        <v/>
      </c>
      <c r="AZ1290" t="str">
        <f>IF(ISNUMBER(FIND("arbeid",Methode_Keuze)),"",IF(Tb_Activiteiten[[#This Row],[Arbeidskosten - vast tarief (excl eigen arbeid)]]=1,Tb_Activiteiten[[#Headers],[Arbeidskosten - vast tarief (excl eigen arbeid)]],""))</f>
        <v/>
      </c>
      <c r="BA1290" t="str">
        <f>IF(ISNUMBER(FIND("overige",Methode_Keuze)),"",IF(Tb_Activiteiten[[#This Row],[Overige kosten]]=1,Tb_Activiteiten[[#Headers],[Overige kosten]],""))</f>
        <v/>
      </c>
    </row>
    <row r="1291" spans="1:53" x14ac:dyDescent="0.25">
      <c r="A1291" s="139"/>
      <c r="B1291" s="139"/>
      <c r="C1291" s="139"/>
      <c r="D1291" s="139"/>
      <c r="E1291" s="139"/>
      <c r="F1291" s="139"/>
      <c r="G1291" s="139"/>
      <c r="O1291" s="56"/>
      <c r="Q1291" t="str">
        <f>IFERROR(IF(VLOOKUP(Tb_Activiteiten[[#This Row],[Openstelling]],Tb_Openstelling[],2,0)=1,1,""),"")</f>
        <v/>
      </c>
      <c r="AK1291" t="str">
        <f>IF(ISNUMBER(FIND("arbeid",Methode_Keuze)),"",IF(ISNUMBER(FIND("arbeid",Methode_Keuze)),"",IF(Tb_Activiteiten[[#This Row],[Loonkosten]]=1,Tb_Activiteiten[[#Headers],[Loonkosten]],"")))</f>
        <v/>
      </c>
      <c r="AL1291" t="str">
        <f>IF(ISNUMBER(FIND("arbeid",Methode_Keuze)),"",IF(ISNUMBER(FIND("arbeid",Methode_Keuze)),"",IF(Tb_Activiteiten[[#This Row],[Eigen arbeid]]=1,Tb_Activiteiten[[#Headers],[Eigen arbeid]],"")))</f>
        <v/>
      </c>
      <c r="AM1291" t="str">
        <f>IF(ISNUMBER(FIND("arbeid",Methode_Keuze)),"",IF(ISNUMBER(FIND("arbeid",Methode_Keuze)),"",IF(Tb_Activiteiten[[#This Row],[Projectmedewerker]]=1,Tb_Activiteiten[[#Headers],[Projectmedewerker]],"")))</f>
        <v/>
      </c>
      <c r="AN1291" t="str">
        <f>IF(ISNUMBER(FIND("arbeid",Methode_Keuze)),"",IF(ISNUMBER(FIND("arbeid",Methode_Keuze)),"",IF(Tb_Activiteiten[[#This Row],[Landbouwer]]=1,Tb_Activiteiten[[#Headers],[Landbouwer]],"")))</f>
        <v/>
      </c>
      <c r="AO1291" t="str">
        <f>IF(ISNUMBER(FIND("arbeid",Methode_Keuze)),"",IF(ISNUMBER(FIND("arbeid",Methode_Keuze)),"",IF(Tb_Activiteiten[[#This Row],[Adviseur]]=1,Tb_Activiteiten[[#Headers],[Adviseur]],"")))</f>
        <v/>
      </c>
      <c r="AP1291" t="str">
        <f>IF(ISNUMBER(FIND("arbeid",Methode_Keuze)),"",IF(ISNUMBER(FIND("arbeid",Methode_Keuze)),"",IF(Tb_Activiteiten[[#This Row],[Projectleider/Expert]]=1,Tb_Activiteiten[[#Headers],[Projectleider/Expert]],"")))</f>
        <v/>
      </c>
      <c r="AQ1291" t="str">
        <f>IF(ISNUMBER(FIND("arbeid",Methode_Keuze)),"",IF(ISNUMBER(FIND("arbeid",Methode_Keuze)),"",IF(Tb_Activiteiten[[#This Row],[Arbeidskosten]]=1,Tb_Activiteiten[[#Headers],[Arbeidskosten]],"")))</f>
        <v/>
      </c>
      <c r="AR1291" t="str">
        <f>IF(ISNUMBER(FIND("arbeid",Methode_Keuze)),"",IF(ISNUMBER(FIND("arbeid",Methode_Keuze)),"",IF(Tb_Activiteiten[[#This Row],[Arbeidskosten op basis van IKS]]=1,Tb_Activiteiten[[#Headers],[Arbeidskosten op basis van IKS]],"")))</f>
        <v/>
      </c>
      <c r="AS1291" t="str">
        <f>IF(ISNUMBER(FIND("overige",Methode_Keuze)),"",IF(Tb_Activiteiten[[#This Row],[Kosten derden exclusief btw]]=1,Tb_Activiteiten[[#Headers],[Kosten derden exclusief btw]],""))</f>
        <v/>
      </c>
      <c r="AT1291" t="str">
        <f>IF(ISNUMBER(FIND("overige",Methode_Keuze)),"",IF(Tb_Activiteiten[[#This Row],[Niet verrekenbare btw]]=1,Tb_Activiteiten[[#Headers],[Niet verrekenbare btw]],""))</f>
        <v/>
      </c>
      <c r="AU1291" t="str">
        <f>IF(ISNUMBER(FIND("overige",Methode_Keuze)),"",IF(Tb_Activiteiten[[#This Row],[Grondkosten]]=1,Tb_Activiteiten[[#Headers],[Grondkosten]],""))</f>
        <v/>
      </c>
      <c r="AV1291" t="str">
        <f>IF(ISNUMBER(FIND("overige",Methode_Keuze)),"",IF(Tb_Activiteiten[[#This Row],[Bijdrage in natura (overige)]]=1,Tb_Activiteiten[[#Headers],[Bijdrage in natura (overige)]],""))</f>
        <v/>
      </c>
      <c r="AW1291" t="str">
        <f>IF(ISNUMBER(FIND("overige",Methode_Keuze)),"",IF(Tb_Activiteiten[[#This Row],[Bijdrage in natura (vrijwilligers)]]=1,Tb_Activiteiten[[#Headers],[Bijdrage in natura (vrijwilligers)]],""))</f>
        <v/>
      </c>
      <c r="AX1291" t="str">
        <f>IF(ISNUMBER(FIND("overige",Methode_Keuze)),"",IF(Tb_Activiteiten[[#This Row],[Afschrijvingskosten]]=1,Tb_Activiteiten[[#Headers],[Afschrijvingskosten]],""))</f>
        <v/>
      </c>
      <c r="AY1291" t="str">
        <f>IF(ISNUMBER(FIND("overige",Methode_Keuze)),"",IF(Tb_Activiteiten[[#This Row],[Vergoeding]]=1,Tb_Activiteiten[[#Headers],[Vergoeding]],""))</f>
        <v/>
      </c>
      <c r="AZ1291" t="str">
        <f>IF(ISNUMBER(FIND("arbeid",Methode_Keuze)),"",IF(Tb_Activiteiten[[#This Row],[Arbeidskosten - vast tarief (excl eigen arbeid)]]=1,Tb_Activiteiten[[#Headers],[Arbeidskosten - vast tarief (excl eigen arbeid)]],""))</f>
        <v/>
      </c>
      <c r="BA1291" t="str">
        <f>IF(ISNUMBER(FIND("overige",Methode_Keuze)),"",IF(Tb_Activiteiten[[#This Row],[Overige kosten]]=1,Tb_Activiteiten[[#Headers],[Overige kosten]],""))</f>
        <v/>
      </c>
    </row>
    <row r="1292" spans="1:53" x14ac:dyDescent="0.25">
      <c r="A1292" s="139"/>
      <c r="B1292" s="139"/>
      <c r="C1292" s="139"/>
      <c r="D1292" s="139"/>
      <c r="E1292" s="139"/>
      <c r="F1292" s="139"/>
      <c r="G1292" s="139"/>
      <c r="O1292" s="56"/>
      <c r="Q1292" t="str">
        <f>IFERROR(IF(VLOOKUP(Tb_Activiteiten[[#This Row],[Openstelling]],Tb_Openstelling[],2,0)=1,1,""),"")</f>
        <v/>
      </c>
      <c r="AK1292" t="str">
        <f>IF(ISNUMBER(FIND("arbeid",Methode_Keuze)),"",IF(ISNUMBER(FIND("arbeid",Methode_Keuze)),"",IF(Tb_Activiteiten[[#This Row],[Loonkosten]]=1,Tb_Activiteiten[[#Headers],[Loonkosten]],"")))</f>
        <v/>
      </c>
      <c r="AL1292" t="str">
        <f>IF(ISNUMBER(FIND("arbeid",Methode_Keuze)),"",IF(ISNUMBER(FIND("arbeid",Methode_Keuze)),"",IF(Tb_Activiteiten[[#This Row],[Eigen arbeid]]=1,Tb_Activiteiten[[#Headers],[Eigen arbeid]],"")))</f>
        <v/>
      </c>
      <c r="AM1292" t="str">
        <f>IF(ISNUMBER(FIND("arbeid",Methode_Keuze)),"",IF(ISNUMBER(FIND("arbeid",Methode_Keuze)),"",IF(Tb_Activiteiten[[#This Row],[Projectmedewerker]]=1,Tb_Activiteiten[[#Headers],[Projectmedewerker]],"")))</f>
        <v/>
      </c>
      <c r="AN1292" t="str">
        <f>IF(ISNUMBER(FIND("arbeid",Methode_Keuze)),"",IF(ISNUMBER(FIND("arbeid",Methode_Keuze)),"",IF(Tb_Activiteiten[[#This Row],[Landbouwer]]=1,Tb_Activiteiten[[#Headers],[Landbouwer]],"")))</f>
        <v/>
      </c>
      <c r="AO1292" t="str">
        <f>IF(ISNUMBER(FIND("arbeid",Methode_Keuze)),"",IF(ISNUMBER(FIND("arbeid",Methode_Keuze)),"",IF(Tb_Activiteiten[[#This Row],[Adviseur]]=1,Tb_Activiteiten[[#Headers],[Adviseur]],"")))</f>
        <v/>
      </c>
      <c r="AP1292" t="str">
        <f>IF(ISNUMBER(FIND("arbeid",Methode_Keuze)),"",IF(ISNUMBER(FIND("arbeid",Methode_Keuze)),"",IF(Tb_Activiteiten[[#This Row],[Projectleider/Expert]]=1,Tb_Activiteiten[[#Headers],[Projectleider/Expert]],"")))</f>
        <v/>
      </c>
      <c r="AQ1292" t="str">
        <f>IF(ISNUMBER(FIND("arbeid",Methode_Keuze)),"",IF(ISNUMBER(FIND("arbeid",Methode_Keuze)),"",IF(Tb_Activiteiten[[#This Row],[Arbeidskosten]]=1,Tb_Activiteiten[[#Headers],[Arbeidskosten]],"")))</f>
        <v/>
      </c>
      <c r="AR1292" t="str">
        <f>IF(ISNUMBER(FIND("arbeid",Methode_Keuze)),"",IF(ISNUMBER(FIND("arbeid",Methode_Keuze)),"",IF(Tb_Activiteiten[[#This Row],[Arbeidskosten op basis van IKS]]=1,Tb_Activiteiten[[#Headers],[Arbeidskosten op basis van IKS]],"")))</f>
        <v/>
      </c>
      <c r="AS1292" t="str">
        <f>IF(ISNUMBER(FIND("overige",Methode_Keuze)),"",IF(Tb_Activiteiten[[#This Row],[Kosten derden exclusief btw]]=1,Tb_Activiteiten[[#Headers],[Kosten derden exclusief btw]],""))</f>
        <v/>
      </c>
      <c r="AT1292" t="str">
        <f>IF(ISNUMBER(FIND("overige",Methode_Keuze)),"",IF(Tb_Activiteiten[[#This Row],[Niet verrekenbare btw]]=1,Tb_Activiteiten[[#Headers],[Niet verrekenbare btw]],""))</f>
        <v/>
      </c>
      <c r="AU1292" t="str">
        <f>IF(ISNUMBER(FIND("overige",Methode_Keuze)),"",IF(Tb_Activiteiten[[#This Row],[Grondkosten]]=1,Tb_Activiteiten[[#Headers],[Grondkosten]],""))</f>
        <v/>
      </c>
      <c r="AV1292" t="str">
        <f>IF(ISNUMBER(FIND("overige",Methode_Keuze)),"",IF(Tb_Activiteiten[[#This Row],[Bijdrage in natura (overige)]]=1,Tb_Activiteiten[[#Headers],[Bijdrage in natura (overige)]],""))</f>
        <v/>
      </c>
      <c r="AW1292" t="str">
        <f>IF(ISNUMBER(FIND("overige",Methode_Keuze)),"",IF(Tb_Activiteiten[[#This Row],[Bijdrage in natura (vrijwilligers)]]=1,Tb_Activiteiten[[#Headers],[Bijdrage in natura (vrijwilligers)]],""))</f>
        <v/>
      </c>
      <c r="AX1292" t="str">
        <f>IF(ISNUMBER(FIND("overige",Methode_Keuze)),"",IF(Tb_Activiteiten[[#This Row],[Afschrijvingskosten]]=1,Tb_Activiteiten[[#Headers],[Afschrijvingskosten]],""))</f>
        <v/>
      </c>
      <c r="AY1292" t="str">
        <f>IF(ISNUMBER(FIND("overige",Methode_Keuze)),"",IF(Tb_Activiteiten[[#This Row],[Vergoeding]]=1,Tb_Activiteiten[[#Headers],[Vergoeding]],""))</f>
        <v/>
      </c>
      <c r="AZ1292" t="str">
        <f>IF(ISNUMBER(FIND("arbeid",Methode_Keuze)),"",IF(Tb_Activiteiten[[#This Row],[Arbeidskosten - vast tarief (excl eigen arbeid)]]=1,Tb_Activiteiten[[#Headers],[Arbeidskosten - vast tarief (excl eigen arbeid)]],""))</f>
        <v/>
      </c>
      <c r="BA1292" t="str">
        <f>IF(ISNUMBER(FIND("overige",Methode_Keuze)),"",IF(Tb_Activiteiten[[#This Row],[Overige kosten]]=1,Tb_Activiteiten[[#Headers],[Overige kosten]],""))</f>
        <v/>
      </c>
    </row>
    <row r="1293" spans="1:53" x14ac:dyDescent="0.25">
      <c r="A1293" s="139"/>
      <c r="B1293" s="139"/>
      <c r="C1293" s="139"/>
      <c r="D1293" s="139"/>
      <c r="E1293" s="139"/>
      <c r="F1293" s="139"/>
      <c r="G1293" s="139"/>
      <c r="O1293" s="56"/>
      <c r="Q1293" t="str">
        <f>IFERROR(IF(VLOOKUP(Tb_Activiteiten[[#This Row],[Openstelling]],Tb_Openstelling[],2,0)=1,1,""),"")</f>
        <v/>
      </c>
      <c r="AK1293" t="str">
        <f>IF(ISNUMBER(FIND("arbeid",Methode_Keuze)),"",IF(ISNUMBER(FIND("arbeid",Methode_Keuze)),"",IF(Tb_Activiteiten[[#This Row],[Loonkosten]]=1,Tb_Activiteiten[[#Headers],[Loonkosten]],"")))</f>
        <v/>
      </c>
      <c r="AL1293" t="str">
        <f>IF(ISNUMBER(FIND("arbeid",Methode_Keuze)),"",IF(ISNUMBER(FIND("arbeid",Methode_Keuze)),"",IF(Tb_Activiteiten[[#This Row],[Eigen arbeid]]=1,Tb_Activiteiten[[#Headers],[Eigen arbeid]],"")))</f>
        <v/>
      </c>
      <c r="AM1293" t="str">
        <f>IF(ISNUMBER(FIND("arbeid",Methode_Keuze)),"",IF(ISNUMBER(FIND("arbeid",Methode_Keuze)),"",IF(Tb_Activiteiten[[#This Row],[Projectmedewerker]]=1,Tb_Activiteiten[[#Headers],[Projectmedewerker]],"")))</f>
        <v/>
      </c>
      <c r="AN1293" t="str">
        <f>IF(ISNUMBER(FIND("arbeid",Methode_Keuze)),"",IF(ISNUMBER(FIND("arbeid",Methode_Keuze)),"",IF(Tb_Activiteiten[[#This Row],[Landbouwer]]=1,Tb_Activiteiten[[#Headers],[Landbouwer]],"")))</f>
        <v/>
      </c>
      <c r="AO1293" t="str">
        <f>IF(ISNUMBER(FIND("arbeid",Methode_Keuze)),"",IF(ISNUMBER(FIND("arbeid",Methode_Keuze)),"",IF(Tb_Activiteiten[[#This Row],[Adviseur]]=1,Tb_Activiteiten[[#Headers],[Adviseur]],"")))</f>
        <v/>
      </c>
      <c r="AP1293" t="str">
        <f>IF(ISNUMBER(FIND("arbeid",Methode_Keuze)),"",IF(ISNUMBER(FIND("arbeid",Methode_Keuze)),"",IF(Tb_Activiteiten[[#This Row],[Projectleider/Expert]]=1,Tb_Activiteiten[[#Headers],[Projectleider/Expert]],"")))</f>
        <v/>
      </c>
      <c r="AQ1293" t="str">
        <f>IF(ISNUMBER(FIND("arbeid",Methode_Keuze)),"",IF(ISNUMBER(FIND("arbeid",Methode_Keuze)),"",IF(Tb_Activiteiten[[#This Row],[Arbeidskosten]]=1,Tb_Activiteiten[[#Headers],[Arbeidskosten]],"")))</f>
        <v/>
      </c>
      <c r="AR1293" t="str">
        <f>IF(ISNUMBER(FIND("arbeid",Methode_Keuze)),"",IF(ISNUMBER(FIND("arbeid",Methode_Keuze)),"",IF(Tb_Activiteiten[[#This Row],[Arbeidskosten op basis van IKS]]=1,Tb_Activiteiten[[#Headers],[Arbeidskosten op basis van IKS]],"")))</f>
        <v/>
      </c>
      <c r="AS1293" t="str">
        <f>IF(ISNUMBER(FIND("overige",Methode_Keuze)),"",IF(Tb_Activiteiten[[#This Row],[Kosten derden exclusief btw]]=1,Tb_Activiteiten[[#Headers],[Kosten derden exclusief btw]],""))</f>
        <v/>
      </c>
      <c r="AT1293" t="str">
        <f>IF(ISNUMBER(FIND("overige",Methode_Keuze)),"",IF(Tb_Activiteiten[[#This Row],[Niet verrekenbare btw]]=1,Tb_Activiteiten[[#Headers],[Niet verrekenbare btw]],""))</f>
        <v/>
      </c>
      <c r="AU1293" t="str">
        <f>IF(ISNUMBER(FIND("overige",Methode_Keuze)),"",IF(Tb_Activiteiten[[#This Row],[Grondkosten]]=1,Tb_Activiteiten[[#Headers],[Grondkosten]],""))</f>
        <v/>
      </c>
      <c r="AV1293" t="str">
        <f>IF(ISNUMBER(FIND("overige",Methode_Keuze)),"",IF(Tb_Activiteiten[[#This Row],[Bijdrage in natura (overige)]]=1,Tb_Activiteiten[[#Headers],[Bijdrage in natura (overige)]],""))</f>
        <v/>
      </c>
      <c r="AW1293" t="str">
        <f>IF(ISNUMBER(FIND("overige",Methode_Keuze)),"",IF(Tb_Activiteiten[[#This Row],[Bijdrage in natura (vrijwilligers)]]=1,Tb_Activiteiten[[#Headers],[Bijdrage in natura (vrijwilligers)]],""))</f>
        <v/>
      </c>
      <c r="AX1293" t="str">
        <f>IF(ISNUMBER(FIND("overige",Methode_Keuze)),"",IF(Tb_Activiteiten[[#This Row],[Afschrijvingskosten]]=1,Tb_Activiteiten[[#Headers],[Afschrijvingskosten]],""))</f>
        <v/>
      </c>
      <c r="AY1293" t="str">
        <f>IF(ISNUMBER(FIND("overige",Methode_Keuze)),"",IF(Tb_Activiteiten[[#This Row],[Vergoeding]]=1,Tb_Activiteiten[[#Headers],[Vergoeding]],""))</f>
        <v/>
      </c>
      <c r="AZ1293" t="str">
        <f>IF(ISNUMBER(FIND("arbeid",Methode_Keuze)),"",IF(Tb_Activiteiten[[#This Row],[Arbeidskosten - vast tarief (excl eigen arbeid)]]=1,Tb_Activiteiten[[#Headers],[Arbeidskosten - vast tarief (excl eigen arbeid)]],""))</f>
        <v/>
      </c>
      <c r="BA1293" t="str">
        <f>IF(ISNUMBER(FIND("overige",Methode_Keuze)),"",IF(Tb_Activiteiten[[#This Row],[Overige kosten]]=1,Tb_Activiteiten[[#Headers],[Overige kosten]],""))</f>
        <v/>
      </c>
    </row>
    <row r="1294" spans="1:53" x14ac:dyDescent="0.25">
      <c r="A1294" s="139"/>
      <c r="B1294" s="139"/>
      <c r="C1294" s="139"/>
      <c r="D1294" s="139"/>
      <c r="E1294" s="139"/>
      <c r="F1294" s="139"/>
      <c r="G1294" s="139"/>
      <c r="O1294" s="56"/>
      <c r="Q1294" t="str">
        <f>IFERROR(IF(VLOOKUP(Tb_Activiteiten[[#This Row],[Openstelling]],Tb_Openstelling[],2,0)=1,1,""),"")</f>
        <v/>
      </c>
      <c r="AK1294" t="str">
        <f>IF(ISNUMBER(FIND("arbeid",Methode_Keuze)),"",IF(ISNUMBER(FIND("arbeid",Methode_Keuze)),"",IF(Tb_Activiteiten[[#This Row],[Loonkosten]]=1,Tb_Activiteiten[[#Headers],[Loonkosten]],"")))</f>
        <v/>
      </c>
      <c r="AL1294" t="str">
        <f>IF(ISNUMBER(FIND("arbeid",Methode_Keuze)),"",IF(ISNUMBER(FIND("arbeid",Methode_Keuze)),"",IF(Tb_Activiteiten[[#This Row],[Eigen arbeid]]=1,Tb_Activiteiten[[#Headers],[Eigen arbeid]],"")))</f>
        <v/>
      </c>
      <c r="AM1294" t="str">
        <f>IF(ISNUMBER(FIND("arbeid",Methode_Keuze)),"",IF(ISNUMBER(FIND("arbeid",Methode_Keuze)),"",IF(Tb_Activiteiten[[#This Row],[Projectmedewerker]]=1,Tb_Activiteiten[[#Headers],[Projectmedewerker]],"")))</f>
        <v/>
      </c>
      <c r="AN1294" t="str">
        <f>IF(ISNUMBER(FIND("arbeid",Methode_Keuze)),"",IF(ISNUMBER(FIND("arbeid",Methode_Keuze)),"",IF(Tb_Activiteiten[[#This Row],[Landbouwer]]=1,Tb_Activiteiten[[#Headers],[Landbouwer]],"")))</f>
        <v/>
      </c>
      <c r="AO1294" t="str">
        <f>IF(ISNUMBER(FIND("arbeid",Methode_Keuze)),"",IF(ISNUMBER(FIND("arbeid",Methode_Keuze)),"",IF(Tb_Activiteiten[[#This Row],[Adviseur]]=1,Tb_Activiteiten[[#Headers],[Adviseur]],"")))</f>
        <v/>
      </c>
      <c r="AP1294" t="str">
        <f>IF(ISNUMBER(FIND("arbeid",Methode_Keuze)),"",IF(ISNUMBER(FIND("arbeid",Methode_Keuze)),"",IF(Tb_Activiteiten[[#This Row],[Projectleider/Expert]]=1,Tb_Activiteiten[[#Headers],[Projectleider/Expert]],"")))</f>
        <v/>
      </c>
      <c r="AQ1294" t="str">
        <f>IF(ISNUMBER(FIND("arbeid",Methode_Keuze)),"",IF(ISNUMBER(FIND("arbeid",Methode_Keuze)),"",IF(Tb_Activiteiten[[#This Row],[Arbeidskosten]]=1,Tb_Activiteiten[[#Headers],[Arbeidskosten]],"")))</f>
        <v/>
      </c>
      <c r="AR1294" t="str">
        <f>IF(ISNUMBER(FIND("arbeid",Methode_Keuze)),"",IF(ISNUMBER(FIND("arbeid",Methode_Keuze)),"",IF(Tb_Activiteiten[[#This Row],[Arbeidskosten op basis van IKS]]=1,Tb_Activiteiten[[#Headers],[Arbeidskosten op basis van IKS]],"")))</f>
        <v/>
      </c>
      <c r="AS1294" t="str">
        <f>IF(ISNUMBER(FIND("overige",Methode_Keuze)),"",IF(Tb_Activiteiten[[#This Row],[Kosten derden exclusief btw]]=1,Tb_Activiteiten[[#Headers],[Kosten derden exclusief btw]],""))</f>
        <v/>
      </c>
      <c r="AT1294" t="str">
        <f>IF(ISNUMBER(FIND("overige",Methode_Keuze)),"",IF(Tb_Activiteiten[[#This Row],[Niet verrekenbare btw]]=1,Tb_Activiteiten[[#Headers],[Niet verrekenbare btw]],""))</f>
        <v/>
      </c>
      <c r="AU1294" t="str">
        <f>IF(ISNUMBER(FIND("overige",Methode_Keuze)),"",IF(Tb_Activiteiten[[#This Row],[Grondkosten]]=1,Tb_Activiteiten[[#Headers],[Grondkosten]],""))</f>
        <v/>
      </c>
      <c r="AV1294" t="str">
        <f>IF(ISNUMBER(FIND("overige",Methode_Keuze)),"",IF(Tb_Activiteiten[[#This Row],[Bijdrage in natura (overige)]]=1,Tb_Activiteiten[[#Headers],[Bijdrage in natura (overige)]],""))</f>
        <v/>
      </c>
      <c r="AW1294" t="str">
        <f>IF(ISNUMBER(FIND("overige",Methode_Keuze)),"",IF(Tb_Activiteiten[[#This Row],[Bijdrage in natura (vrijwilligers)]]=1,Tb_Activiteiten[[#Headers],[Bijdrage in natura (vrijwilligers)]],""))</f>
        <v/>
      </c>
      <c r="AX1294" t="str">
        <f>IF(ISNUMBER(FIND("overige",Methode_Keuze)),"",IF(Tb_Activiteiten[[#This Row],[Afschrijvingskosten]]=1,Tb_Activiteiten[[#Headers],[Afschrijvingskosten]],""))</f>
        <v/>
      </c>
      <c r="AY1294" t="str">
        <f>IF(ISNUMBER(FIND("overige",Methode_Keuze)),"",IF(Tb_Activiteiten[[#This Row],[Vergoeding]]=1,Tb_Activiteiten[[#Headers],[Vergoeding]],""))</f>
        <v/>
      </c>
      <c r="AZ1294" t="str">
        <f>IF(ISNUMBER(FIND("arbeid",Methode_Keuze)),"",IF(Tb_Activiteiten[[#This Row],[Arbeidskosten - vast tarief (excl eigen arbeid)]]=1,Tb_Activiteiten[[#Headers],[Arbeidskosten - vast tarief (excl eigen arbeid)]],""))</f>
        <v/>
      </c>
      <c r="BA1294" t="str">
        <f>IF(ISNUMBER(FIND("overige",Methode_Keuze)),"",IF(Tb_Activiteiten[[#This Row],[Overige kosten]]=1,Tb_Activiteiten[[#Headers],[Overige kosten]],""))</f>
        <v/>
      </c>
    </row>
    <row r="1295" spans="1:53" x14ac:dyDescent="0.25">
      <c r="A1295" s="139"/>
      <c r="B1295" s="139"/>
      <c r="C1295" s="139"/>
      <c r="D1295" s="139"/>
      <c r="E1295" s="139"/>
      <c r="F1295" s="139"/>
      <c r="G1295" s="139"/>
      <c r="O1295" s="56"/>
      <c r="Q1295" t="str">
        <f>IFERROR(IF(VLOOKUP(Tb_Activiteiten[[#This Row],[Openstelling]],Tb_Openstelling[],2,0)=1,1,""),"")</f>
        <v/>
      </c>
      <c r="AK1295" t="str">
        <f>IF(ISNUMBER(FIND("arbeid",Methode_Keuze)),"",IF(ISNUMBER(FIND("arbeid",Methode_Keuze)),"",IF(Tb_Activiteiten[[#This Row],[Loonkosten]]=1,Tb_Activiteiten[[#Headers],[Loonkosten]],"")))</f>
        <v/>
      </c>
      <c r="AL1295" t="str">
        <f>IF(ISNUMBER(FIND("arbeid",Methode_Keuze)),"",IF(ISNUMBER(FIND("arbeid",Methode_Keuze)),"",IF(Tb_Activiteiten[[#This Row],[Eigen arbeid]]=1,Tb_Activiteiten[[#Headers],[Eigen arbeid]],"")))</f>
        <v/>
      </c>
      <c r="AM1295" t="str">
        <f>IF(ISNUMBER(FIND("arbeid",Methode_Keuze)),"",IF(ISNUMBER(FIND("arbeid",Methode_Keuze)),"",IF(Tb_Activiteiten[[#This Row],[Projectmedewerker]]=1,Tb_Activiteiten[[#Headers],[Projectmedewerker]],"")))</f>
        <v/>
      </c>
      <c r="AN1295" t="str">
        <f>IF(ISNUMBER(FIND("arbeid",Methode_Keuze)),"",IF(ISNUMBER(FIND("arbeid",Methode_Keuze)),"",IF(Tb_Activiteiten[[#This Row],[Landbouwer]]=1,Tb_Activiteiten[[#Headers],[Landbouwer]],"")))</f>
        <v/>
      </c>
      <c r="AO1295" t="str">
        <f>IF(ISNUMBER(FIND("arbeid",Methode_Keuze)),"",IF(ISNUMBER(FIND("arbeid",Methode_Keuze)),"",IF(Tb_Activiteiten[[#This Row],[Adviseur]]=1,Tb_Activiteiten[[#Headers],[Adviseur]],"")))</f>
        <v/>
      </c>
      <c r="AP1295" t="str">
        <f>IF(ISNUMBER(FIND("arbeid",Methode_Keuze)),"",IF(ISNUMBER(FIND("arbeid",Methode_Keuze)),"",IF(Tb_Activiteiten[[#This Row],[Projectleider/Expert]]=1,Tb_Activiteiten[[#Headers],[Projectleider/Expert]],"")))</f>
        <v/>
      </c>
      <c r="AQ1295" t="str">
        <f>IF(ISNUMBER(FIND("arbeid",Methode_Keuze)),"",IF(ISNUMBER(FIND("arbeid",Methode_Keuze)),"",IF(Tb_Activiteiten[[#This Row],[Arbeidskosten]]=1,Tb_Activiteiten[[#Headers],[Arbeidskosten]],"")))</f>
        <v/>
      </c>
      <c r="AR1295" t="str">
        <f>IF(ISNUMBER(FIND("arbeid",Methode_Keuze)),"",IF(ISNUMBER(FIND("arbeid",Methode_Keuze)),"",IF(Tb_Activiteiten[[#This Row],[Arbeidskosten op basis van IKS]]=1,Tb_Activiteiten[[#Headers],[Arbeidskosten op basis van IKS]],"")))</f>
        <v/>
      </c>
      <c r="AS1295" t="str">
        <f>IF(ISNUMBER(FIND("overige",Methode_Keuze)),"",IF(Tb_Activiteiten[[#This Row],[Kosten derden exclusief btw]]=1,Tb_Activiteiten[[#Headers],[Kosten derden exclusief btw]],""))</f>
        <v/>
      </c>
      <c r="AT1295" t="str">
        <f>IF(ISNUMBER(FIND("overige",Methode_Keuze)),"",IF(Tb_Activiteiten[[#This Row],[Niet verrekenbare btw]]=1,Tb_Activiteiten[[#Headers],[Niet verrekenbare btw]],""))</f>
        <v/>
      </c>
      <c r="AU1295" t="str">
        <f>IF(ISNUMBER(FIND("overige",Methode_Keuze)),"",IF(Tb_Activiteiten[[#This Row],[Grondkosten]]=1,Tb_Activiteiten[[#Headers],[Grondkosten]],""))</f>
        <v/>
      </c>
      <c r="AV1295" t="str">
        <f>IF(ISNUMBER(FIND("overige",Methode_Keuze)),"",IF(Tb_Activiteiten[[#This Row],[Bijdrage in natura (overige)]]=1,Tb_Activiteiten[[#Headers],[Bijdrage in natura (overige)]],""))</f>
        <v/>
      </c>
      <c r="AW1295" t="str">
        <f>IF(ISNUMBER(FIND("overige",Methode_Keuze)),"",IF(Tb_Activiteiten[[#This Row],[Bijdrage in natura (vrijwilligers)]]=1,Tb_Activiteiten[[#Headers],[Bijdrage in natura (vrijwilligers)]],""))</f>
        <v/>
      </c>
      <c r="AX1295" t="str">
        <f>IF(ISNUMBER(FIND("overige",Methode_Keuze)),"",IF(Tb_Activiteiten[[#This Row],[Afschrijvingskosten]]=1,Tb_Activiteiten[[#Headers],[Afschrijvingskosten]],""))</f>
        <v/>
      </c>
      <c r="AY1295" t="str">
        <f>IF(ISNUMBER(FIND("overige",Methode_Keuze)),"",IF(Tb_Activiteiten[[#This Row],[Vergoeding]]=1,Tb_Activiteiten[[#Headers],[Vergoeding]],""))</f>
        <v/>
      </c>
      <c r="AZ1295" t="str">
        <f>IF(ISNUMBER(FIND("arbeid",Methode_Keuze)),"",IF(Tb_Activiteiten[[#This Row],[Arbeidskosten - vast tarief (excl eigen arbeid)]]=1,Tb_Activiteiten[[#Headers],[Arbeidskosten - vast tarief (excl eigen arbeid)]],""))</f>
        <v/>
      </c>
      <c r="BA1295" t="str">
        <f>IF(ISNUMBER(FIND("overige",Methode_Keuze)),"",IF(Tb_Activiteiten[[#This Row],[Overige kosten]]=1,Tb_Activiteiten[[#Headers],[Overige kosten]],""))</f>
        <v/>
      </c>
    </row>
    <row r="1296" spans="1:53" x14ac:dyDescent="0.25">
      <c r="A1296" s="139"/>
      <c r="B1296" s="139"/>
      <c r="C1296" s="139"/>
      <c r="D1296" s="139"/>
      <c r="E1296" s="139"/>
      <c r="F1296" s="139"/>
      <c r="G1296" s="139"/>
      <c r="O1296" s="56"/>
      <c r="Q1296" t="str">
        <f>IFERROR(IF(VLOOKUP(Tb_Activiteiten[[#This Row],[Openstelling]],Tb_Openstelling[],2,0)=1,1,""),"")</f>
        <v/>
      </c>
      <c r="AK1296" t="str">
        <f>IF(ISNUMBER(FIND("arbeid",Methode_Keuze)),"",IF(ISNUMBER(FIND("arbeid",Methode_Keuze)),"",IF(Tb_Activiteiten[[#This Row],[Loonkosten]]=1,Tb_Activiteiten[[#Headers],[Loonkosten]],"")))</f>
        <v/>
      </c>
      <c r="AL1296" t="str">
        <f>IF(ISNUMBER(FIND("arbeid",Methode_Keuze)),"",IF(ISNUMBER(FIND("arbeid",Methode_Keuze)),"",IF(Tb_Activiteiten[[#This Row],[Eigen arbeid]]=1,Tb_Activiteiten[[#Headers],[Eigen arbeid]],"")))</f>
        <v/>
      </c>
      <c r="AM1296" t="str">
        <f>IF(ISNUMBER(FIND("arbeid",Methode_Keuze)),"",IF(ISNUMBER(FIND("arbeid",Methode_Keuze)),"",IF(Tb_Activiteiten[[#This Row],[Projectmedewerker]]=1,Tb_Activiteiten[[#Headers],[Projectmedewerker]],"")))</f>
        <v/>
      </c>
      <c r="AN1296" t="str">
        <f>IF(ISNUMBER(FIND("arbeid",Methode_Keuze)),"",IF(ISNUMBER(FIND("arbeid",Methode_Keuze)),"",IF(Tb_Activiteiten[[#This Row],[Landbouwer]]=1,Tb_Activiteiten[[#Headers],[Landbouwer]],"")))</f>
        <v/>
      </c>
      <c r="AO1296" t="str">
        <f>IF(ISNUMBER(FIND("arbeid",Methode_Keuze)),"",IF(ISNUMBER(FIND("arbeid",Methode_Keuze)),"",IF(Tb_Activiteiten[[#This Row],[Adviseur]]=1,Tb_Activiteiten[[#Headers],[Adviseur]],"")))</f>
        <v/>
      </c>
      <c r="AP1296" t="str">
        <f>IF(ISNUMBER(FIND("arbeid",Methode_Keuze)),"",IF(ISNUMBER(FIND("arbeid",Methode_Keuze)),"",IF(Tb_Activiteiten[[#This Row],[Projectleider/Expert]]=1,Tb_Activiteiten[[#Headers],[Projectleider/Expert]],"")))</f>
        <v/>
      </c>
      <c r="AQ1296" t="str">
        <f>IF(ISNUMBER(FIND("arbeid",Methode_Keuze)),"",IF(ISNUMBER(FIND("arbeid",Methode_Keuze)),"",IF(Tb_Activiteiten[[#This Row],[Arbeidskosten]]=1,Tb_Activiteiten[[#Headers],[Arbeidskosten]],"")))</f>
        <v/>
      </c>
      <c r="AR1296" t="str">
        <f>IF(ISNUMBER(FIND("arbeid",Methode_Keuze)),"",IF(ISNUMBER(FIND("arbeid",Methode_Keuze)),"",IF(Tb_Activiteiten[[#This Row],[Arbeidskosten op basis van IKS]]=1,Tb_Activiteiten[[#Headers],[Arbeidskosten op basis van IKS]],"")))</f>
        <v/>
      </c>
      <c r="AS1296" t="str">
        <f>IF(ISNUMBER(FIND("overige",Methode_Keuze)),"",IF(Tb_Activiteiten[[#This Row],[Kosten derden exclusief btw]]=1,Tb_Activiteiten[[#Headers],[Kosten derden exclusief btw]],""))</f>
        <v/>
      </c>
      <c r="AT1296" t="str">
        <f>IF(ISNUMBER(FIND("overige",Methode_Keuze)),"",IF(Tb_Activiteiten[[#This Row],[Niet verrekenbare btw]]=1,Tb_Activiteiten[[#Headers],[Niet verrekenbare btw]],""))</f>
        <v/>
      </c>
      <c r="AU1296" t="str">
        <f>IF(ISNUMBER(FIND("overige",Methode_Keuze)),"",IF(Tb_Activiteiten[[#This Row],[Grondkosten]]=1,Tb_Activiteiten[[#Headers],[Grondkosten]],""))</f>
        <v/>
      </c>
      <c r="AV1296" t="str">
        <f>IF(ISNUMBER(FIND("overige",Methode_Keuze)),"",IF(Tb_Activiteiten[[#This Row],[Bijdrage in natura (overige)]]=1,Tb_Activiteiten[[#Headers],[Bijdrage in natura (overige)]],""))</f>
        <v/>
      </c>
      <c r="AW1296" t="str">
        <f>IF(ISNUMBER(FIND("overige",Methode_Keuze)),"",IF(Tb_Activiteiten[[#This Row],[Bijdrage in natura (vrijwilligers)]]=1,Tb_Activiteiten[[#Headers],[Bijdrage in natura (vrijwilligers)]],""))</f>
        <v/>
      </c>
      <c r="AX1296" t="str">
        <f>IF(ISNUMBER(FIND("overige",Methode_Keuze)),"",IF(Tb_Activiteiten[[#This Row],[Afschrijvingskosten]]=1,Tb_Activiteiten[[#Headers],[Afschrijvingskosten]],""))</f>
        <v/>
      </c>
      <c r="AY1296" t="str">
        <f>IF(ISNUMBER(FIND("overige",Methode_Keuze)),"",IF(Tb_Activiteiten[[#This Row],[Vergoeding]]=1,Tb_Activiteiten[[#Headers],[Vergoeding]],""))</f>
        <v/>
      </c>
      <c r="AZ1296" t="str">
        <f>IF(ISNUMBER(FIND("arbeid",Methode_Keuze)),"",IF(Tb_Activiteiten[[#This Row],[Arbeidskosten - vast tarief (excl eigen arbeid)]]=1,Tb_Activiteiten[[#Headers],[Arbeidskosten - vast tarief (excl eigen arbeid)]],""))</f>
        <v/>
      </c>
      <c r="BA1296" t="str">
        <f>IF(ISNUMBER(FIND("overige",Methode_Keuze)),"",IF(Tb_Activiteiten[[#This Row],[Overige kosten]]=1,Tb_Activiteiten[[#Headers],[Overige kosten]],""))</f>
        <v/>
      </c>
    </row>
    <row r="1297" spans="1:53" x14ac:dyDescent="0.25">
      <c r="A1297" s="139"/>
      <c r="B1297" s="139"/>
      <c r="C1297" s="139"/>
      <c r="D1297" s="139"/>
      <c r="E1297" s="139"/>
      <c r="F1297" s="139"/>
      <c r="G1297" s="139"/>
      <c r="O1297" s="56"/>
      <c r="Q1297" t="str">
        <f>IFERROR(IF(VLOOKUP(Tb_Activiteiten[[#This Row],[Openstelling]],Tb_Openstelling[],2,0)=1,1,""),"")</f>
        <v/>
      </c>
      <c r="AK1297" t="str">
        <f>IF(ISNUMBER(FIND("arbeid",Methode_Keuze)),"",IF(ISNUMBER(FIND("arbeid",Methode_Keuze)),"",IF(Tb_Activiteiten[[#This Row],[Loonkosten]]=1,Tb_Activiteiten[[#Headers],[Loonkosten]],"")))</f>
        <v/>
      </c>
      <c r="AL1297" t="str">
        <f>IF(ISNUMBER(FIND("arbeid",Methode_Keuze)),"",IF(ISNUMBER(FIND("arbeid",Methode_Keuze)),"",IF(Tb_Activiteiten[[#This Row],[Eigen arbeid]]=1,Tb_Activiteiten[[#Headers],[Eigen arbeid]],"")))</f>
        <v/>
      </c>
      <c r="AM1297" t="str">
        <f>IF(ISNUMBER(FIND("arbeid",Methode_Keuze)),"",IF(ISNUMBER(FIND("arbeid",Methode_Keuze)),"",IF(Tb_Activiteiten[[#This Row],[Projectmedewerker]]=1,Tb_Activiteiten[[#Headers],[Projectmedewerker]],"")))</f>
        <v/>
      </c>
      <c r="AN1297" t="str">
        <f>IF(ISNUMBER(FIND("arbeid",Methode_Keuze)),"",IF(ISNUMBER(FIND("arbeid",Methode_Keuze)),"",IF(Tb_Activiteiten[[#This Row],[Landbouwer]]=1,Tb_Activiteiten[[#Headers],[Landbouwer]],"")))</f>
        <v/>
      </c>
      <c r="AO1297" t="str">
        <f>IF(ISNUMBER(FIND("arbeid",Methode_Keuze)),"",IF(ISNUMBER(FIND("arbeid",Methode_Keuze)),"",IF(Tb_Activiteiten[[#This Row],[Adviseur]]=1,Tb_Activiteiten[[#Headers],[Adviseur]],"")))</f>
        <v/>
      </c>
      <c r="AP1297" t="str">
        <f>IF(ISNUMBER(FIND("arbeid",Methode_Keuze)),"",IF(ISNUMBER(FIND("arbeid",Methode_Keuze)),"",IF(Tb_Activiteiten[[#This Row],[Projectleider/Expert]]=1,Tb_Activiteiten[[#Headers],[Projectleider/Expert]],"")))</f>
        <v/>
      </c>
      <c r="AQ1297" t="str">
        <f>IF(ISNUMBER(FIND("arbeid",Methode_Keuze)),"",IF(ISNUMBER(FIND("arbeid",Methode_Keuze)),"",IF(Tb_Activiteiten[[#This Row],[Arbeidskosten]]=1,Tb_Activiteiten[[#Headers],[Arbeidskosten]],"")))</f>
        <v/>
      </c>
      <c r="AR1297" t="str">
        <f>IF(ISNUMBER(FIND("arbeid",Methode_Keuze)),"",IF(ISNUMBER(FIND("arbeid",Methode_Keuze)),"",IF(Tb_Activiteiten[[#This Row],[Arbeidskosten op basis van IKS]]=1,Tb_Activiteiten[[#Headers],[Arbeidskosten op basis van IKS]],"")))</f>
        <v/>
      </c>
      <c r="AS1297" t="str">
        <f>IF(ISNUMBER(FIND("overige",Methode_Keuze)),"",IF(Tb_Activiteiten[[#This Row],[Kosten derden exclusief btw]]=1,Tb_Activiteiten[[#Headers],[Kosten derden exclusief btw]],""))</f>
        <v/>
      </c>
      <c r="AT1297" t="str">
        <f>IF(ISNUMBER(FIND("overige",Methode_Keuze)),"",IF(Tb_Activiteiten[[#This Row],[Niet verrekenbare btw]]=1,Tb_Activiteiten[[#Headers],[Niet verrekenbare btw]],""))</f>
        <v/>
      </c>
      <c r="AU1297" t="str">
        <f>IF(ISNUMBER(FIND("overige",Methode_Keuze)),"",IF(Tb_Activiteiten[[#This Row],[Grondkosten]]=1,Tb_Activiteiten[[#Headers],[Grondkosten]],""))</f>
        <v/>
      </c>
      <c r="AV1297" t="str">
        <f>IF(ISNUMBER(FIND("overige",Methode_Keuze)),"",IF(Tb_Activiteiten[[#This Row],[Bijdrage in natura (overige)]]=1,Tb_Activiteiten[[#Headers],[Bijdrage in natura (overige)]],""))</f>
        <v/>
      </c>
      <c r="AW1297" t="str">
        <f>IF(ISNUMBER(FIND("overige",Methode_Keuze)),"",IF(Tb_Activiteiten[[#This Row],[Bijdrage in natura (vrijwilligers)]]=1,Tb_Activiteiten[[#Headers],[Bijdrage in natura (vrijwilligers)]],""))</f>
        <v/>
      </c>
      <c r="AX1297" t="str">
        <f>IF(ISNUMBER(FIND("overige",Methode_Keuze)),"",IF(Tb_Activiteiten[[#This Row],[Afschrijvingskosten]]=1,Tb_Activiteiten[[#Headers],[Afschrijvingskosten]],""))</f>
        <v/>
      </c>
      <c r="AY1297" t="str">
        <f>IF(ISNUMBER(FIND("overige",Methode_Keuze)),"",IF(Tb_Activiteiten[[#This Row],[Vergoeding]]=1,Tb_Activiteiten[[#Headers],[Vergoeding]],""))</f>
        <v/>
      </c>
      <c r="AZ1297" t="str">
        <f>IF(ISNUMBER(FIND("arbeid",Methode_Keuze)),"",IF(Tb_Activiteiten[[#This Row],[Arbeidskosten - vast tarief (excl eigen arbeid)]]=1,Tb_Activiteiten[[#Headers],[Arbeidskosten - vast tarief (excl eigen arbeid)]],""))</f>
        <v/>
      </c>
      <c r="BA1297" t="str">
        <f>IF(ISNUMBER(FIND("overige",Methode_Keuze)),"",IF(Tb_Activiteiten[[#This Row],[Overige kosten]]=1,Tb_Activiteiten[[#Headers],[Overige kosten]],""))</f>
        <v/>
      </c>
    </row>
    <row r="1298" spans="1:53" x14ac:dyDescent="0.25">
      <c r="A1298" s="139"/>
      <c r="B1298" s="139"/>
      <c r="C1298" s="139"/>
      <c r="D1298" s="139"/>
      <c r="E1298" s="139"/>
      <c r="F1298" s="139"/>
      <c r="G1298" s="139"/>
      <c r="O1298" s="56"/>
      <c r="Q1298" t="str">
        <f>IFERROR(IF(VLOOKUP(Tb_Activiteiten[[#This Row],[Openstelling]],Tb_Openstelling[],2,0)=1,1,""),"")</f>
        <v/>
      </c>
      <c r="AK1298" t="str">
        <f>IF(ISNUMBER(FIND("arbeid",Methode_Keuze)),"",IF(ISNUMBER(FIND("arbeid",Methode_Keuze)),"",IF(Tb_Activiteiten[[#This Row],[Loonkosten]]=1,Tb_Activiteiten[[#Headers],[Loonkosten]],"")))</f>
        <v/>
      </c>
      <c r="AL1298" t="str">
        <f>IF(ISNUMBER(FIND("arbeid",Methode_Keuze)),"",IF(ISNUMBER(FIND("arbeid",Methode_Keuze)),"",IF(Tb_Activiteiten[[#This Row],[Eigen arbeid]]=1,Tb_Activiteiten[[#Headers],[Eigen arbeid]],"")))</f>
        <v/>
      </c>
      <c r="AM1298" t="str">
        <f>IF(ISNUMBER(FIND("arbeid",Methode_Keuze)),"",IF(ISNUMBER(FIND("arbeid",Methode_Keuze)),"",IF(Tb_Activiteiten[[#This Row],[Projectmedewerker]]=1,Tb_Activiteiten[[#Headers],[Projectmedewerker]],"")))</f>
        <v/>
      </c>
      <c r="AN1298" t="str">
        <f>IF(ISNUMBER(FIND("arbeid",Methode_Keuze)),"",IF(ISNUMBER(FIND("arbeid",Methode_Keuze)),"",IF(Tb_Activiteiten[[#This Row],[Landbouwer]]=1,Tb_Activiteiten[[#Headers],[Landbouwer]],"")))</f>
        <v/>
      </c>
      <c r="AO1298" t="str">
        <f>IF(ISNUMBER(FIND("arbeid",Methode_Keuze)),"",IF(ISNUMBER(FIND("arbeid",Methode_Keuze)),"",IF(Tb_Activiteiten[[#This Row],[Adviseur]]=1,Tb_Activiteiten[[#Headers],[Adviseur]],"")))</f>
        <v/>
      </c>
      <c r="AP1298" t="str">
        <f>IF(ISNUMBER(FIND("arbeid",Methode_Keuze)),"",IF(ISNUMBER(FIND("arbeid",Methode_Keuze)),"",IF(Tb_Activiteiten[[#This Row],[Projectleider/Expert]]=1,Tb_Activiteiten[[#Headers],[Projectleider/Expert]],"")))</f>
        <v/>
      </c>
      <c r="AQ1298" t="str">
        <f>IF(ISNUMBER(FIND("arbeid",Methode_Keuze)),"",IF(ISNUMBER(FIND("arbeid",Methode_Keuze)),"",IF(Tb_Activiteiten[[#This Row],[Arbeidskosten]]=1,Tb_Activiteiten[[#Headers],[Arbeidskosten]],"")))</f>
        <v/>
      </c>
      <c r="AR1298" t="str">
        <f>IF(ISNUMBER(FIND("arbeid",Methode_Keuze)),"",IF(ISNUMBER(FIND("arbeid",Methode_Keuze)),"",IF(Tb_Activiteiten[[#This Row],[Arbeidskosten op basis van IKS]]=1,Tb_Activiteiten[[#Headers],[Arbeidskosten op basis van IKS]],"")))</f>
        <v/>
      </c>
      <c r="AS1298" t="str">
        <f>IF(ISNUMBER(FIND("overige",Methode_Keuze)),"",IF(Tb_Activiteiten[[#This Row],[Kosten derden exclusief btw]]=1,Tb_Activiteiten[[#Headers],[Kosten derden exclusief btw]],""))</f>
        <v/>
      </c>
      <c r="AT1298" t="str">
        <f>IF(ISNUMBER(FIND("overige",Methode_Keuze)),"",IF(Tb_Activiteiten[[#This Row],[Niet verrekenbare btw]]=1,Tb_Activiteiten[[#Headers],[Niet verrekenbare btw]],""))</f>
        <v/>
      </c>
      <c r="AU1298" t="str">
        <f>IF(ISNUMBER(FIND("overige",Methode_Keuze)),"",IF(Tb_Activiteiten[[#This Row],[Grondkosten]]=1,Tb_Activiteiten[[#Headers],[Grondkosten]],""))</f>
        <v/>
      </c>
      <c r="AV1298" t="str">
        <f>IF(ISNUMBER(FIND("overige",Methode_Keuze)),"",IF(Tb_Activiteiten[[#This Row],[Bijdrage in natura (overige)]]=1,Tb_Activiteiten[[#Headers],[Bijdrage in natura (overige)]],""))</f>
        <v/>
      </c>
      <c r="AW1298" t="str">
        <f>IF(ISNUMBER(FIND("overige",Methode_Keuze)),"",IF(Tb_Activiteiten[[#This Row],[Bijdrage in natura (vrijwilligers)]]=1,Tb_Activiteiten[[#Headers],[Bijdrage in natura (vrijwilligers)]],""))</f>
        <v/>
      </c>
      <c r="AX1298" t="str">
        <f>IF(ISNUMBER(FIND("overige",Methode_Keuze)),"",IF(Tb_Activiteiten[[#This Row],[Afschrijvingskosten]]=1,Tb_Activiteiten[[#Headers],[Afschrijvingskosten]],""))</f>
        <v/>
      </c>
      <c r="AY1298" t="str">
        <f>IF(ISNUMBER(FIND("overige",Methode_Keuze)),"",IF(Tb_Activiteiten[[#This Row],[Vergoeding]]=1,Tb_Activiteiten[[#Headers],[Vergoeding]],""))</f>
        <v/>
      </c>
      <c r="AZ1298" t="str">
        <f>IF(ISNUMBER(FIND("arbeid",Methode_Keuze)),"",IF(Tb_Activiteiten[[#This Row],[Arbeidskosten - vast tarief (excl eigen arbeid)]]=1,Tb_Activiteiten[[#Headers],[Arbeidskosten - vast tarief (excl eigen arbeid)]],""))</f>
        <v/>
      </c>
      <c r="BA1298" t="str">
        <f>IF(ISNUMBER(FIND("overige",Methode_Keuze)),"",IF(Tb_Activiteiten[[#This Row],[Overige kosten]]=1,Tb_Activiteiten[[#Headers],[Overige kosten]],""))</f>
        <v/>
      </c>
    </row>
    <row r="1299" spans="1:53" x14ac:dyDescent="0.25">
      <c r="A1299" s="139"/>
      <c r="B1299" s="139"/>
      <c r="C1299" s="139"/>
      <c r="D1299" s="139"/>
      <c r="E1299" s="139"/>
      <c r="F1299" s="139"/>
      <c r="G1299" s="139"/>
      <c r="O1299" s="56"/>
      <c r="Q1299" t="str">
        <f>IFERROR(IF(VLOOKUP(Tb_Activiteiten[[#This Row],[Openstelling]],Tb_Openstelling[],2,0)=1,1,""),"")</f>
        <v/>
      </c>
      <c r="AK1299" t="str">
        <f>IF(ISNUMBER(FIND("arbeid",Methode_Keuze)),"",IF(ISNUMBER(FIND("arbeid",Methode_Keuze)),"",IF(Tb_Activiteiten[[#This Row],[Loonkosten]]=1,Tb_Activiteiten[[#Headers],[Loonkosten]],"")))</f>
        <v/>
      </c>
      <c r="AL1299" t="str">
        <f>IF(ISNUMBER(FIND("arbeid",Methode_Keuze)),"",IF(ISNUMBER(FIND("arbeid",Methode_Keuze)),"",IF(Tb_Activiteiten[[#This Row],[Eigen arbeid]]=1,Tb_Activiteiten[[#Headers],[Eigen arbeid]],"")))</f>
        <v/>
      </c>
      <c r="AM1299" t="str">
        <f>IF(ISNUMBER(FIND("arbeid",Methode_Keuze)),"",IF(ISNUMBER(FIND("arbeid",Methode_Keuze)),"",IF(Tb_Activiteiten[[#This Row],[Projectmedewerker]]=1,Tb_Activiteiten[[#Headers],[Projectmedewerker]],"")))</f>
        <v/>
      </c>
      <c r="AN1299" t="str">
        <f>IF(ISNUMBER(FIND("arbeid",Methode_Keuze)),"",IF(ISNUMBER(FIND("arbeid",Methode_Keuze)),"",IF(Tb_Activiteiten[[#This Row],[Landbouwer]]=1,Tb_Activiteiten[[#Headers],[Landbouwer]],"")))</f>
        <v/>
      </c>
      <c r="AO1299" t="str">
        <f>IF(ISNUMBER(FIND("arbeid",Methode_Keuze)),"",IF(ISNUMBER(FIND("arbeid",Methode_Keuze)),"",IF(Tb_Activiteiten[[#This Row],[Adviseur]]=1,Tb_Activiteiten[[#Headers],[Adviseur]],"")))</f>
        <v/>
      </c>
      <c r="AP1299" t="str">
        <f>IF(ISNUMBER(FIND("arbeid",Methode_Keuze)),"",IF(ISNUMBER(FIND("arbeid",Methode_Keuze)),"",IF(Tb_Activiteiten[[#This Row],[Projectleider/Expert]]=1,Tb_Activiteiten[[#Headers],[Projectleider/Expert]],"")))</f>
        <v/>
      </c>
      <c r="AQ1299" t="str">
        <f>IF(ISNUMBER(FIND("arbeid",Methode_Keuze)),"",IF(ISNUMBER(FIND("arbeid",Methode_Keuze)),"",IF(Tb_Activiteiten[[#This Row],[Arbeidskosten]]=1,Tb_Activiteiten[[#Headers],[Arbeidskosten]],"")))</f>
        <v/>
      </c>
      <c r="AR1299" t="str">
        <f>IF(ISNUMBER(FIND("arbeid",Methode_Keuze)),"",IF(ISNUMBER(FIND("arbeid",Methode_Keuze)),"",IF(Tb_Activiteiten[[#This Row],[Arbeidskosten op basis van IKS]]=1,Tb_Activiteiten[[#Headers],[Arbeidskosten op basis van IKS]],"")))</f>
        <v/>
      </c>
      <c r="AS1299" t="str">
        <f>IF(ISNUMBER(FIND("overige",Methode_Keuze)),"",IF(Tb_Activiteiten[[#This Row],[Kosten derden exclusief btw]]=1,Tb_Activiteiten[[#Headers],[Kosten derden exclusief btw]],""))</f>
        <v/>
      </c>
      <c r="AT1299" t="str">
        <f>IF(ISNUMBER(FIND("overige",Methode_Keuze)),"",IF(Tb_Activiteiten[[#This Row],[Niet verrekenbare btw]]=1,Tb_Activiteiten[[#Headers],[Niet verrekenbare btw]],""))</f>
        <v/>
      </c>
      <c r="AU1299" t="str">
        <f>IF(ISNUMBER(FIND("overige",Methode_Keuze)),"",IF(Tb_Activiteiten[[#This Row],[Grondkosten]]=1,Tb_Activiteiten[[#Headers],[Grondkosten]],""))</f>
        <v/>
      </c>
      <c r="AV1299" t="str">
        <f>IF(ISNUMBER(FIND("overige",Methode_Keuze)),"",IF(Tb_Activiteiten[[#This Row],[Bijdrage in natura (overige)]]=1,Tb_Activiteiten[[#Headers],[Bijdrage in natura (overige)]],""))</f>
        <v/>
      </c>
      <c r="AW1299" t="str">
        <f>IF(ISNUMBER(FIND("overige",Methode_Keuze)),"",IF(Tb_Activiteiten[[#This Row],[Bijdrage in natura (vrijwilligers)]]=1,Tb_Activiteiten[[#Headers],[Bijdrage in natura (vrijwilligers)]],""))</f>
        <v/>
      </c>
      <c r="AX1299" t="str">
        <f>IF(ISNUMBER(FIND("overige",Methode_Keuze)),"",IF(Tb_Activiteiten[[#This Row],[Afschrijvingskosten]]=1,Tb_Activiteiten[[#Headers],[Afschrijvingskosten]],""))</f>
        <v/>
      </c>
      <c r="AY1299" t="str">
        <f>IF(ISNUMBER(FIND("overige",Methode_Keuze)),"",IF(Tb_Activiteiten[[#This Row],[Vergoeding]]=1,Tb_Activiteiten[[#Headers],[Vergoeding]],""))</f>
        <v/>
      </c>
      <c r="AZ1299" t="str">
        <f>IF(ISNUMBER(FIND("arbeid",Methode_Keuze)),"",IF(Tb_Activiteiten[[#This Row],[Arbeidskosten - vast tarief (excl eigen arbeid)]]=1,Tb_Activiteiten[[#Headers],[Arbeidskosten - vast tarief (excl eigen arbeid)]],""))</f>
        <v/>
      </c>
      <c r="BA1299" t="str">
        <f>IF(ISNUMBER(FIND("overige",Methode_Keuze)),"",IF(Tb_Activiteiten[[#This Row],[Overige kosten]]=1,Tb_Activiteiten[[#Headers],[Overige kosten]],""))</f>
        <v/>
      </c>
    </row>
    <row r="1300" spans="1:53" x14ac:dyDescent="0.25">
      <c r="A1300" s="139"/>
      <c r="B1300" s="139"/>
      <c r="C1300" s="139"/>
      <c r="D1300" s="139"/>
      <c r="E1300" s="139"/>
      <c r="F1300" s="139"/>
      <c r="G1300" s="139"/>
      <c r="O1300" s="56"/>
      <c r="Q1300" t="str">
        <f>IFERROR(IF(VLOOKUP(Tb_Activiteiten[[#This Row],[Openstelling]],Tb_Openstelling[],2,0)=1,1,""),"")</f>
        <v/>
      </c>
      <c r="AK1300" t="str">
        <f>IF(ISNUMBER(FIND("arbeid",Methode_Keuze)),"",IF(ISNUMBER(FIND("arbeid",Methode_Keuze)),"",IF(Tb_Activiteiten[[#This Row],[Loonkosten]]=1,Tb_Activiteiten[[#Headers],[Loonkosten]],"")))</f>
        <v/>
      </c>
      <c r="AL1300" t="str">
        <f>IF(ISNUMBER(FIND("arbeid",Methode_Keuze)),"",IF(ISNUMBER(FIND("arbeid",Methode_Keuze)),"",IF(Tb_Activiteiten[[#This Row],[Eigen arbeid]]=1,Tb_Activiteiten[[#Headers],[Eigen arbeid]],"")))</f>
        <v/>
      </c>
      <c r="AM1300" t="str">
        <f>IF(ISNUMBER(FIND("arbeid",Methode_Keuze)),"",IF(ISNUMBER(FIND("arbeid",Methode_Keuze)),"",IF(Tb_Activiteiten[[#This Row],[Projectmedewerker]]=1,Tb_Activiteiten[[#Headers],[Projectmedewerker]],"")))</f>
        <v/>
      </c>
      <c r="AN1300" t="str">
        <f>IF(ISNUMBER(FIND("arbeid",Methode_Keuze)),"",IF(ISNUMBER(FIND("arbeid",Methode_Keuze)),"",IF(Tb_Activiteiten[[#This Row],[Landbouwer]]=1,Tb_Activiteiten[[#Headers],[Landbouwer]],"")))</f>
        <v/>
      </c>
      <c r="AO1300" t="str">
        <f>IF(ISNUMBER(FIND("arbeid",Methode_Keuze)),"",IF(ISNUMBER(FIND("arbeid",Methode_Keuze)),"",IF(Tb_Activiteiten[[#This Row],[Adviseur]]=1,Tb_Activiteiten[[#Headers],[Adviseur]],"")))</f>
        <v/>
      </c>
      <c r="AP1300" t="str">
        <f>IF(ISNUMBER(FIND("arbeid",Methode_Keuze)),"",IF(ISNUMBER(FIND("arbeid",Methode_Keuze)),"",IF(Tb_Activiteiten[[#This Row],[Projectleider/Expert]]=1,Tb_Activiteiten[[#Headers],[Projectleider/Expert]],"")))</f>
        <v/>
      </c>
      <c r="AQ1300" t="str">
        <f>IF(ISNUMBER(FIND("arbeid",Methode_Keuze)),"",IF(ISNUMBER(FIND("arbeid",Methode_Keuze)),"",IF(Tb_Activiteiten[[#This Row],[Arbeidskosten]]=1,Tb_Activiteiten[[#Headers],[Arbeidskosten]],"")))</f>
        <v/>
      </c>
      <c r="AR1300" t="str">
        <f>IF(ISNUMBER(FIND("arbeid",Methode_Keuze)),"",IF(ISNUMBER(FIND("arbeid",Methode_Keuze)),"",IF(Tb_Activiteiten[[#This Row],[Arbeidskosten op basis van IKS]]=1,Tb_Activiteiten[[#Headers],[Arbeidskosten op basis van IKS]],"")))</f>
        <v/>
      </c>
      <c r="AS1300" t="str">
        <f>IF(ISNUMBER(FIND("overige",Methode_Keuze)),"",IF(Tb_Activiteiten[[#This Row],[Kosten derden exclusief btw]]=1,Tb_Activiteiten[[#Headers],[Kosten derden exclusief btw]],""))</f>
        <v/>
      </c>
      <c r="AT1300" t="str">
        <f>IF(ISNUMBER(FIND("overige",Methode_Keuze)),"",IF(Tb_Activiteiten[[#This Row],[Niet verrekenbare btw]]=1,Tb_Activiteiten[[#Headers],[Niet verrekenbare btw]],""))</f>
        <v/>
      </c>
      <c r="AU1300" t="str">
        <f>IF(ISNUMBER(FIND("overige",Methode_Keuze)),"",IF(Tb_Activiteiten[[#This Row],[Grondkosten]]=1,Tb_Activiteiten[[#Headers],[Grondkosten]],""))</f>
        <v/>
      </c>
      <c r="AV1300" t="str">
        <f>IF(ISNUMBER(FIND("overige",Methode_Keuze)),"",IF(Tb_Activiteiten[[#This Row],[Bijdrage in natura (overige)]]=1,Tb_Activiteiten[[#Headers],[Bijdrage in natura (overige)]],""))</f>
        <v/>
      </c>
      <c r="AW1300" t="str">
        <f>IF(ISNUMBER(FIND("overige",Methode_Keuze)),"",IF(Tb_Activiteiten[[#This Row],[Bijdrage in natura (vrijwilligers)]]=1,Tb_Activiteiten[[#Headers],[Bijdrage in natura (vrijwilligers)]],""))</f>
        <v/>
      </c>
      <c r="AX1300" t="str">
        <f>IF(ISNUMBER(FIND("overige",Methode_Keuze)),"",IF(Tb_Activiteiten[[#This Row],[Afschrijvingskosten]]=1,Tb_Activiteiten[[#Headers],[Afschrijvingskosten]],""))</f>
        <v/>
      </c>
      <c r="AY1300" t="str">
        <f>IF(ISNUMBER(FIND("overige",Methode_Keuze)),"",IF(Tb_Activiteiten[[#This Row],[Vergoeding]]=1,Tb_Activiteiten[[#Headers],[Vergoeding]],""))</f>
        <v/>
      </c>
      <c r="AZ1300" t="str">
        <f>IF(ISNUMBER(FIND("arbeid",Methode_Keuze)),"",IF(Tb_Activiteiten[[#This Row],[Arbeidskosten - vast tarief (excl eigen arbeid)]]=1,Tb_Activiteiten[[#Headers],[Arbeidskosten - vast tarief (excl eigen arbeid)]],""))</f>
        <v/>
      </c>
      <c r="BA1300" t="str">
        <f>IF(ISNUMBER(FIND("overige",Methode_Keuze)),"",IF(Tb_Activiteiten[[#This Row],[Overige kosten]]=1,Tb_Activiteiten[[#Headers],[Overige kosten]],""))</f>
        <v/>
      </c>
    </row>
    <row r="1301" spans="1:53" x14ac:dyDescent="0.25">
      <c r="A1301" s="139"/>
      <c r="B1301" s="139"/>
      <c r="C1301" s="139"/>
      <c r="D1301" s="139"/>
      <c r="E1301" s="139"/>
      <c r="F1301" s="139"/>
      <c r="G1301" s="139"/>
      <c r="O1301" s="56"/>
      <c r="Q1301" t="str">
        <f>IFERROR(IF(VLOOKUP(Tb_Activiteiten[[#This Row],[Openstelling]],Tb_Openstelling[],2,0)=1,1,""),"")</f>
        <v/>
      </c>
      <c r="AK1301" t="str">
        <f>IF(ISNUMBER(FIND("arbeid",Methode_Keuze)),"",IF(ISNUMBER(FIND("arbeid",Methode_Keuze)),"",IF(Tb_Activiteiten[[#This Row],[Loonkosten]]=1,Tb_Activiteiten[[#Headers],[Loonkosten]],"")))</f>
        <v/>
      </c>
      <c r="AL1301" t="str">
        <f>IF(ISNUMBER(FIND("arbeid",Methode_Keuze)),"",IF(ISNUMBER(FIND("arbeid",Methode_Keuze)),"",IF(Tb_Activiteiten[[#This Row],[Eigen arbeid]]=1,Tb_Activiteiten[[#Headers],[Eigen arbeid]],"")))</f>
        <v/>
      </c>
      <c r="AM1301" t="str">
        <f>IF(ISNUMBER(FIND("arbeid",Methode_Keuze)),"",IF(ISNUMBER(FIND("arbeid",Methode_Keuze)),"",IF(Tb_Activiteiten[[#This Row],[Projectmedewerker]]=1,Tb_Activiteiten[[#Headers],[Projectmedewerker]],"")))</f>
        <v/>
      </c>
      <c r="AN1301" t="str">
        <f>IF(ISNUMBER(FIND("arbeid",Methode_Keuze)),"",IF(ISNUMBER(FIND("arbeid",Methode_Keuze)),"",IF(Tb_Activiteiten[[#This Row],[Landbouwer]]=1,Tb_Activiteiten[[#Headers],[Landbouwer]],"")))</f>
        <v/>
      </c>
      <c r="AO1301" t="str">
        <f>IF(ISNUMBER(FIND("arbeid",Methode_Keuze)),"",IF(ISNUMBER(FIND("arbeid",Methode_Keuze)),"",IF(Tb_Activiteiten[[#This Row],[Adviseur]]=1,Tb_Activiteiten[[#Headers],[Adviseur]],"")))</f>
        <v/>
      </c>
      <c r="AP1301" t="str">
        <f>IF(ISNUMBER(FIND("arbeid",Methode_Keuze)),"",IF(ISNUMBER(FIND("arbeid",Methode_Keuze)),"",IF(Tb_Activiteiten[[#This Row],[Projectleider/Expert]]=1,Tb_Activiteiten[[#Headers],[Projectleider/Expert]],"")))</f>
        <v/>
      </c>
      <c r="AQ1301" t="str">
        <f>IF(ISNUMBER(FIND("arbeid",Methode_Keuze)),"",IF(ISNUMBER(FIND("arbeid",Methode_Keuze)),"",IF(Tb_Activiteiten[[#This Row],[Arbeidskosten]]=1,Tb_Activiteiten[[#Headers],[Arbeidskosten]],"")))</f>
        <v/>
      </c>
      <c r="AR1301" t="str">
        <f>IF(ISNUMBER(FIND("arbeid",Methode_Keuze)),"",IF(ISNUMBER(FIND("arbeid",Methode_Keuze)),"",IF(Tb_Activiteiten[[#This Row],[Arbeidskosten op basis van IKS]]=1,Tb_Activiteiten[[#Headers],[Arbeidskosten op basis van IKS]],"")))</f>
        <v/>
      </c>
      <c r="AS1301" t="str">
        <f>IF(ISNUMBER(FIND("overige",Methode_Keuze)),"",IF(Tb_Activiteiten[[#This Row],[Kosten derden exclusief btw]]=1,Tb_Activiteiten[[#Headers],[Kosten derden exclusief btw]],""))</f>
        <v/>
      </c>
      <c r="AT1301" t="str">
        <f>IF(ISNUMBER(FIND("overige",Methode_Keuze)),"",IF(Tb_Activiteiten[[#This Row],[Niet verrekenbare btw]]=1,Tb_Activiteiten[[#Headers],[Niet verrekenbare btw]],""))</f>
        <v/>
      </c>
      <c r="AU1301" t="str">
        <f>IF(ISNUMBER(FIND("overige",Methode_Keuze)),"",IF(Tb_Activiteiten[[#This Row],[Grondkosten]]=1,Tb_Activiteiten[[#Headers],[Grondkosten]],""))</f>
        <v/>
      </c>
      <c r="AV1301" t="str">
        <f>IF(ISNUMBER(FIND("overige",Methode_Keuze)),"",IF(Tb_Activiteiten[[#This Row],[Bijdrage in natura (overige)]]=1,Tb_Activiteiten[[#Headers],[Bijdrage in natura (overige)]],""))</f>
        <v/>
      </c>
      <c r="AW1301" t="str">
        <f>IF(ISNUMBER(FIND("overige",Methode_Keuze)),"",IF(Tb_Activiteiten[[#This Row],[Bijdrage in natura (vrijwilligers)]]=1,Tb_Activiteiten[[#Headers],[Bijdrage in natura (vrijwilligers)]],""))</f>
        <v/>
      </c>
      <c r="AX1301" t="str">
        <f>IF(ISNUMBER(FIND("overige",Methode_Keuze)),"",IF(Tb_Activiteiten[[#This Row],[Afschrijvingskosten]]=1,Tb_Activiteiten[[#Headers],[Afschrijvingskosten]],""))</f>
        <v/>
      </c>
      <c r="AY1301" t="str">
        <f>IF(ISNUMBER(FIND("overige",Methode_Keuze)),"",IF(Tb_Activiteiten[[#This Row],[Vergoeding]]=1,Tb_Activiteiten[[#Headers],[Vergoeding]],""))</f>
        <v/>
      </c>
      <c r="AZ1301" t="str">
        <f>IF(ISNUMBER(FIND("arbeid",Methode_Keuze)),"",IF(Tb_Activiteiten[[#This Row],[Arbeidskosten - vast tarief (excl eigen arbeid)]]=1,Tb_Activiteiten[[#Headers],[Arbeidskosten - vast tarief (excl eigen arbeid)]],""))</f>
        <v/>
      </c>
      <c r="BA1301" t="str">
        <f>IF(ISNUMBER(FIND("overige",Methode_Keuze)),"",IF(Tb_Activiteiten[[#This Row],[Overige kosten]]=1,Tb_Activiteiten[[#Headers],[Overige kosten]],""))</f>
        <v/>
      </c>
    </row>
    <row r="1302" spans="1:53" x14ac:dyDescent="0.25">
      <c r="A1302" s="139"/>
      <c r="B1302" s="139"/>
      <c r="C1302" s="139"/>
      <c r="D1302" s="139"/>
      <c r="E1302" s="139"/>
      <c r="F1302" s="139"/>
      <c r="G1302" s="139"/>
      <c r="O1302" s="56"/>
      <c r="Q1302" t="str">
        <f>IFERROR(IF(VLOOKUP(Tb_Activiteiten[[#This Row],[Openstelling]],Tb_Openstelling[],2,0)=1,1,""),"")</f>
        <v/>
      </c>
      <c r="AK1302" t="str">
        <f>IF(ISNUMBER(FIND("arbeid",Methode_Keuze)),"",IF(ISNUMBER(FIND("arbeid",Methode_Keuze)),"",IF(Tb_Activiteiten[[#This Row],[Loonkosten]]=1,Tb_Activiteiten[[#Headers],[Loonkosten]],"")))</f>
        <v/>
      </c>
      <c r="AL1302" t="str">
        <f>IF(ISNUMBER(FIND("arbeid",Methode_Keuze)),"",IF(ISNUMBER(FIND("arbeid",Methode_Keuze)),"",IF(Tb_Activiteiten[[#This Row],[Eigen arbeid]]=1,Tb_Activiteiten[[#Headers],[Eigen arbeid]],"")))</f>
        <v/>
      </c>
      <c r="AM1302" t="str">
        <f>IF(ISNUMBER(FIND("arbeid",Methode_Keuze)),"",IF(ISNUMBER(FIND("arbeid",Methode_Keuze)),"",IF(Tb_Activiteiten[[#This Row],[Projectmedewerker]]=1,Tb_Activiteiten[[#Headers],[Projectmedewerker]],"")))</f>
        <v/>
      </c>
      <c r="AN1302" t="str">
        <f>IF(ISNUMBER(FIND("arbeid",Methode_Keuze)),"",IF(ISNUMBER(FIND("arbeid",Methode_Keuze)),"",IF(Tb_Activiteiten[[#This Row],[Landbouwer]]=1,Tb_Activiteiten[[#Headers],[Landbouwer]],"")))</f>
        <v/>
      </c>
      <c r="AO1302" t="str">
        <f>IF(ISNUMBER(FIND("arbeid",Methode_Keuze)),"",IF(ISNUMBER(FIND("arbeid",Methode_Keuze)),"",IF(Tb_Activiteiten[[#This Row],[Adviseur]]=1,Tb_Activiteiten[[#Headers],[Adviseur]],"")))</f>
        <v/>
      </c>
      <c r="AP1302" t="str">
        <f>IF(ISNUMBER(FIND("arbeid",Methode_Keuze)),"",IF(ISNUMBER(FIND("arbeid",Methode_Keuze)),"",IF(Tb_Activiteiten[[#This Row],[Projectleider/Expert]]=1,Tb_Activiteiten[[#Headers],[Projectleider/Expert]],"")))</f>
        <v/>
      </c>
      <c r="AQ1302" t="str">
        <f>IF(ISNUMBER(FIND("arbeid",Methode_Keuze)),"",IF(ISNUMBER(FIND("arbeid",Methode_Keuze)),"",IF(Tb_Activiteiten[[#This Row],[Arbeidskosten]]=1,Tb_Activiteiten[[#Headers],[Arbeidskosten]],"")))</f>
        <v/>
      </c>
      <c r="AR1302" t="str">
        <f>IF(ISNUMBER(FIND("arbeid",Methode_Keuze)),"",IF(ISNUMBER(FIND("arbeid",Methode_Keuze)),"",IF(Tb_Activiteiten[[#This Row],[Arbeidskosten op basis van IKS]]=1,Tb_Activiteiten[[#Headers],[Arbeidskosten op basis van IKS]],"")))</f>
        <v/>
      </c>
      <c r="AS1302" t="str">
        <f>IF(ISNUMBER(FIND("overige",Methode_Keuze)),"",IF(Tb_Activiteiten[[#This Row],[Kosten derden exclusief btw]]=1,Tb_Activiteiten[[#Headers],[Kosten derden exclusief btw]],""))</f>
        <v/>
      </c>
      <c r="AT1302" t="str">
        <f>IF(ISNUMBER(FIND("overige",Methode_Keuze)),"",IF(Tb_Activiteiten[[#This Row],[Niet verrekenbare btw]]=1,Tb_Activiteiten[[#Headers],[Niet verrekenbare btw]],""))</f>
        <v/>
      </c>
      <c r="AU1302" t="str">
        <f>IF(ISNUMBER(FIND("overige",Methode_Keuze)),"",IF(Tb_Activiteiten[[#This Row],[Grondkosten]]=1,Tb_Activiteiten[[#Headers],[Grondkosten]],""))</f>
        <v/>
      </c>
      <c r="AV1302" t="str">
        <f>IF(ISNUMBER(FIND("overige",Methode_Keuze)),"",IF(Tb_Activiteiten[[#This Row],[Bijdrage in natura (overige)]]=1,Tb_Activiteiten[[#Headers],[Bijdrage in natura (overige)]],""))</f>
        <v/>
      </c>
      <c r="AW1302" t="str">
        <f>IF(ISNUMBER(FIND("overige",Methode_Keuze)),"",IF(Tb_Activiteiten[[#This Row],[Bijdrage in natura (vrijwilligers)]]=1,Tb_Activiteiten[[#Headers],[Bijdrage in natura (vrijwilligers)]],""))</f>
        <v/>
      </c>
      <c r="AX1302" t="str">
        <f>IF(ISNUMBER(FIND("overige",Methode_Keuze)),"",IF(Tb_Activiteiten[[#This Row],[Afschrijvingskosten]]=1,Tb_Activiteiten[[#Headers],[Afschrijvingskosten]],""))</f>
        <v/>
      </c>
      <c r="AY1302" t="str">
        <f>IF(ISNUMBER(FIND("overige",Methode_Keuze)),"",IF(Tb_Activiteiten[[#This Row],[Vergoeding]]=1,Tb_Activiteiten[[#Headers],[Vergoeding]],""))</f>
        <v/>
      </c>
      <c r="AZ1302" t="str">
        <f>IF(ISNUMBER(FIND("arbeid",Methode_Keuze)),"",IF(Tb_Activiteiten[[#This Row],[Arbeidskosten - vast tarief (excl eigen arbeid)]]=1,Tb_Activiteiten[[#Headers],[Arbeidskosten - vast tarief (excl eigen arbeid)]],""))</f>
        <v/>
      </c>
      <c r="BA1302" t="str">
        <f>IF(ISNUMBER(FIND("overige",Methode_Keuze)),"",IF(Tb_Activiteiten[[#This Row],[Overige kosten]]=1,Tb_Activiteiten[[#Headers],[Overige kosten]],""))</f>
        <v/>
      </c>
    </row>
    <row r="1303" spans="1:53" x14ac:dyDescent="0.25">
      <c r="A1303" s="139"/>
      <c r="B1303" s="139"/>
      <c r="C1303" s="139"/>
      <c r="D1303" s="139"/>
      <c r="E1303" s="139"/>
      <c r="F1303" s="139"/>
      <c r="G1303" s="139"/>
      <c r="O1303" s="56"/>
      <c r="Q1303" t="str">
        <f>IFERROR(IF(VLOOKUP(Tb_Activiteiten[[#This Row],[Openstelling]],Tb_Openstelling[],2,0)=1,1,""),"")</f>
        <v/>
      </c>
      <c r="AK1303" t="str">
        <f>IF(ISNUMBER(FIND("arbeid",Methode_Keuze)),"",IF(ISNUMBER(FIND("arbeid",Methode_Keuze)),"",IF(Tb_Activiteiten[[#This Row],[Loonkosten]]=1,Tb_Activiteiten[[#Headers],[Loonkosten]],"")))</f>
        <v/>
      </c>
      <c r="AL1303" t="str">
        <f>IF(ISNUMBER(FIND("arbeid",Methode_Keuze)),"",IF(ISNUMBER(FIND("arbeid",Methode_Keuze)),"",IF(Tb_Activiteiten[[#This Row],[Eigen arbeid]]=1,Tb_Activiteiten[[#Headers],[Eigen arbeid]],"")))</f>
        <v/>
      </c>
      <c r="AM1303" t="str">
        <f>IF(ISNUMBER(FIND("arbeid",Methode_Keuze)),"",IF(ISNUMBER(FIND("arbeid",Methode_Keuze)),"",IF(Tb_Activiteiten[[#This Row],[Projectmedewerker]]=1,Tb_Activiteiten[[#Headers],[Projectmedewerker]],"")))</f>
        <v/>
      </c>
      <c r="AN1303" t="str">
        <f>IF(ISNUMBER(FIND("arbeid",Methode_Keuze)),"",IF(ISNUMBER(FIND("arbeid",Methode_Keuze)),"",IF(Tb_Activiteiten[[#This Row],[Landbouwer]]=1,Tb_Activiteiten[[#Headers],[Landbouwer]],"")))</f>
        <v/>
      </c>
      <c r="AO1303" t="str">
        <f>IF(ISNUMBER(FIND("arbeid",Methode_Keuze)),"",IF(ISNUMBER(FIND("arbeid",Methode_Keuze)),"",IF(Tb_Activiteiten[[#This Row],[Adviseur]]=1,Tb_Activiteiten[[#Headers],[Adviseur]],"")))</f>
        <v/>
      </c>
      <c r="AP1303" t="str">
        <f>IF(ISNUMBER(FIND("arbeid",Methode_Keuze)),"",IF(ISNUMBER(FIND("arbeid",Methode_Keuze)),"",IF(Tb_Activiteiten[[#This Row],[Projectleider/Expert]]=1,Tb_Activiteiten[[#Headers],[Projectleider/Expert]],"")))</f>
        <v/>
      </c>
      <c r="AQ1303" t="str">
        <f>IF(ISNUMBER(FIND("arbeid",Methode_Keuze)),"",IF(ISNUMBER(FIND("arbeid",Methode_Keuze)),"",IF(Tb_Activiteiten[[#This Row],[Arbeidskosten]]=1,Tb_Activiteiten[[#Headers],[Arbeidskosten]],"")))</f>
        <v/>
      </c>
      <c r="AR1303" t="str">
        <f>IF(ISNUMBER(FIND("arbeid",Methode_Keuze)),"",IF(ISNUMBER(FIND("arbeid",Methode_Keuze)),"",IF(Tb_Activiteiten[[#This Row],[Arbeidskosten op basis van IKS]]=1,Tb_Activiteiten[[#Headers],[Arbeidskosten op basis van IKS]],"")))</f>
        <v/>
      </c>
      <c r="AS1303" t="str">
        <f>IF(ISNUMBER(FIND("overige",Methode_Keuze)),"",IF(Tb_Activiteiten[[#This Row],[Kosten derden exclusief btw]]=1,Tb_Activiteiten[[#Headers],[Kosten derden exclusief btw]],""))</f>
        <v/>
      </c>
      <c r="AT1303" t="str">
        <f>IF(ISNUMBER(FIND("overige",Methode_Keuze)),"",IF(Tb_Activiteiten[[#This Row],[Niet verrekenbare btw]]=1,Tb_Activiteiten[[#Headers],[Niet verrekenbare btw]],""))</f>
        <v/>
      </c>
      <c r="AU1303" t="str">
        <f>IF(ISNUMBER(FIND("overige",Methode_Keuze)),"",IF(Tb_Activiteiten[[#This Row],[Grondkosten]]=1,Tb_Activiteiten[[#Headers],[Grondkosten]],""))</f>
        <v/>
      </c>
      <c r="AV1303" t="str">
        <f>IF(ISNUMBER(FIND("overige",Methode_Keuze)),"",IF(Tb_Activiteiten[[#This Row],[Bijdrage in natura (overige)]]=1,Tb_Activiteiten[[#Headers],[Bijdrage in natura (overige)]],""))</f>
        <v/>
      </c>
      <c r="AW1303" t="str">
        <f>IF(ISNUMBER(FIND("overige",Methode_Keuze)),"",IF(Tb_Activiteiten[[#This Row],[Bijdrage in natura (vrijwilligers)]]=1,Tb_Activiteiten[[#Headers],[Bijdrage in natura (vrijwilligers)]],""))</f>
        <v/>
      </c>
      <c r="AX1303" t="str">
        <f>IF(ISNUMBER(FIND("overige",Methode_Keuze)),"",IF(Tb_Activiteiten[[#This Row],[Afschrijvingskosten]]=1,Tb_Activiteiten[[#Headers],[Afschrijvingskosten]],""))</f>
        <v/>
      </c>
      <c r="AY1303" t="str">
        <f>IF(ISNUMBER(FIND("overige",Methode_Keuze)),"",IF(Tb_Activiteiten[[#This Row],[Vergoeding]]=1,Tb_Activiteiten[[#Headers],[Vergoeding]],""))</f>
        <v/>
      </c>
      <c r="AZ1303" t="str">
        <f>IF(ISNUMBER(FIND("arbeid",Methode_Keuze)),"",IF(Tb_Activiteiten[[#This Row],[Arbeidskosten - vast tarief (excl eigen arbeid)]]=1,Tb_Activiteiten[[#Headers],[Arbeidskosten - vast tarief (excl eigen arbeid)]],""))</f>
        <v/>
      </c>
      <c r="BA1303" t="str">
        <f>IF(ISNUMBER(FIND("overige",Methode_Keuze)),"",IF(Tb_Activiteiten[[#This Row],[Overige kosten]]=1,Tb_Activiteiten[[#Headers],[Overige kosten]],""))</f>
        <v/>
      </c>
    </row>
    <row r="1304" spans="1:53" x14ac:dyDescent="0.25">
      <c r="A1304" s="139"/>
      <c r="B1304" s="139"/>
      <c r="C1304" s="139"/>
      <c r="D1304" s="139"/>
      <c r="E1304" s="139"/>
      <c r="F1304" s="139"/>
      <c r="G1304" s="139"/>
      <c r="O1304" s="56"/>
      <c r="Q1304" t="str">
        <f>IFERROR(IF(VLOOKUP(Tb_Activiteiten[[#This Row],[Openstelling]],Tb_Openstelling[],2,0)=1,1,""),"")</f>
        <v/>
      </c>
      <c r="AK1304" t="str">
        <f>IF(ISNUMBER(FIND("arbeid",Methode_Keuze)),"",IF(ISNUMBER(FIND("arbeid",Methode_Keuze)),"",IF(Tb_Activiteiten[[#This Row],[Loonkosten]]=1,Tb_Activiteiten[[#Headers],[Loonkosten]],"")))</f>
        <v/>
      </c>
      <c r="AL1304" t="str">
        <f>IF(ISNUMBER(FIND("arbeid",Methode_Keuze)),"",IF(ISNUMBER(FIND("arbeid",Methode_Keuze)),"",IF(Tb_Activiteiten[[#This Row],[Eigen arbeid]]=1,Tb_Activiteiten[[#Headers],[Eigen arbeid]],"")))</f>
        <v/>
      </c>
      <c r="AM1304" t="str">
        <f>IF(ISNUMBER(FIND("arbeid",Methode_Keuze)),"",IF(ISNUMBER(FIND("arbeid",Methode_Keuze)),"",IF(Tb_Activiteiten[[#This Row],[Projectmedewerker]]=1,Tb_Activiteiten[[#Headers],[Projectmedewerker]],"")))</f>
        <v/>
      </c>
      <c r="AN1304" t="str">
        <f>IF(ISNUMBER(FIND("arbeid",Methode_Keuze)),"",IF(ISNUMBER(FIND("arbeid",Methode_Keuze)),"",IF(Tb_Activiteiten[[#This Row],[Landbouwer]]=1,Tb_Activiteiten[[#Headers],[Landbouwer]],"")))</f>
        <v/>
      </c>
      <c r="AO1304" t="str">
        <f>IF(ISNUMBER(FIND("arbeid",Methode_Keuze)),"",IF(ISNUMBER(FIND("arbeid",Methode_Keuze)),"",IF(Tb_Activiteiten[[#This Row],[Adviseur]]=1,Tb_Activiteiten[[#Headers],[Adviseur]],"")))</f>
        <v/>
      </c>
      <c r="AP1304" t="str">
        <f>IF(ISNUMBER(FIND("arbeid",Methode_Keuze)),"",IF(ISNUMBER(FIND("arbeid",Methode_Keuze)),"",IF(Tb_Activiteiten[[#This Row],[Projectleider/Expert]]=1,Tb_Activiteiten[[#Headers],[Projectleider/Expert]],"")))</f>
        <v/>
      </c>
      <c r="AQ1304" t="str">
        <f>IF(ISNUMBER(FIND("arbeid",Methode_Keuze)),"",IF(ISNUMBER(FIND("arbeid",Methode_Keuze)),"",IF(Tb_Activiteiten[[#This Row],[Arbeidskosten]]=1,Tb_Activiteiten[[#Headers],[Arbeidskosten]],"")))</f>
        <v/>
      </c>
      <c r="AR1304" t="str">
        <f>IF(ISNUMBER(FIND("arbeid",Methode_Keuze)),"",IF(ISNUMBER(FIND("arbeid",Methode_Keuze)),"",IF(Tb_Activiteiten[[#This Row],[Arbeidskosten op basis van IKS]]=1,Tb_Activiteiten[[#Headers],[Arbeidskosten op basis van IKS]],"")))</f>
        <v/>
      </c>
      <c r="AS1304" t="str">
        <f>IF(ISNUMBER(FIND("overige",Methode_Keuze)),"",IF(Tb_Activiteiten[[#This Row],[Kosten derden exclusief btw]]=1,Tb_Activiteiten[[#Headers],[Kosten derden exclusief btw]],""))</f>
        <v/>
      </c>
      <c r="AT1304" t="str">
        <f>IF(ISNUMBER(FIND("overige",Methode_Keuze)),"",IF(Tb_Activiteiten[[#This Row],[Niet verrekenbare btw]]=1,Tb_Activiteiten[[#Headers],[Niet verrekenbare btw]],""))</f>
        <v/>
      </c>
      <c r="AU1304" t="str">
        <f>IF(ISNUMBER(FIND("overige",Methode_Keuze)),"",IF(Tb_Activiteiten[[#This Row],[Grondkosten]]=1,Tb_Activiteiten[[#Headers],[Grondkosten]],""))</f>
        <v/>
      </c>
      <c r="AV1304" t="str">
        <f>IF(ISNUMBER(FIND("overige",Methode_Keuze)),"",IF(Tb_Activiteiten[[#This Row],[Bijdrage in natura (overige)]]=1,Tb_Activiteiten[[#Headers],[Bijdrage in natura (overige)]],""))</f>
        <v/>
      </c>
      <c r="AW1304" t="str">
        <f>IF(ISNUMBER(FIND("overige",Methode_Keuze)),"",IF(Tb_Activiteiten[[#This Row],[Bijdrage in natura (vrijwilligers)]]=1,Tb_Activiteiten[[#Headers],[Bijdrage in natura (vrijwilligers)]],""))</f>
        <v/>
      </c>
      <c r="AX1304" t="str">
        <f>IF(ISNUMBER(FIND("overige",Methode_Keuze)),"",IF(Tb_Activiteiten[[#This Row],[Afschrijvingskosten]]=1,Tb_Activiteiten[[#Headers],[Afschrijvingskosten]],""))</f>
        <v/>
      </c>
      <c r="AY1304" t="str">
        <f>IF(ISNUMBER(FIND("overige",Methode_Keuze)),"",IF(Tb_Activiteiten[[#This Row],[Vergoeding]]=1,Tb_Activiteiten[[#Headers],[Vergoeding]],""))</f>
        <v/>
      </c>
      <c r="AZ1304" t="str">
        <f>IF(ISNUMBER(FIND("arbeid",Methode_Keuze)),"",IF(Tb_Activiteiten[[#This Row],[Arbeidskosten - vast tarief (excl eigen arbeid)]]=1,Tb_Activiteiten[[#Headers],[Arbeidskosten - vast tarief (excl eigen arbeid)]],""))</f>
        <v/>
      </c>
      <c r="BA1304" t="str">
        <f>IF(ISNUMBER(FIND("overige",Methode_Keuze)),"",IF(Tb_Activiteiten[[#This Row],[Overige kosten]]=1,Tb_Activiteiten[[#Headers],[Overige kosten]],""))</f>
        <v/>
      </c>
    </row>
    <row r="1305" spans="1:53" x14ac:dyDescent="0.25">
      <c r="A1305" s="139"/>
      <c r="B1305" s="139"/>
      <c r="C1305" s="139"/>
      <c r="D1305" s="139"/>
      <c r="E1305" s="139"/>
      <c r="F1305" s="139"/>
      <c r="G1305" s="139"/>
      <c r="O1305" s="56"/>
      <c r="Q1305" t="str">
        <f>IFERROR(IF(VLOOKUP(Tb_Activiteiten[[#This Row],[Openstelling]],Tb_Openstelling[],2,0)=1,1,""),"")</f>
        <v/>
      </c>
      <c r="AK1305" t="str">
        <f>IF(ISNUMBER(FIND("arbeid",Methode_Keuze)),"",IF(ISNUMBER(FIND("arbeid",Methode_Keuze)),"",IF(Tb_Activiteiten[[#This Row],[Loonkosten]]=1,Tb_Activiteiten[[#Headers],[Loonkosten]],"")))</f>
        <v/>
      </c>
      <c r="AL1305" t="str">
        <f>IF(ISNUMBER(FIND("arbeid",Methode_Keuze)),"",IF(ISNUMBER(FIND("arbeid",Methode_Keuze)),"",IF(Tb_Activiteiten[[#This Row],[Eigen arbeid]]=1,Tb_Activiteiten[[#Headers],[Eigen arbeid]],"")))</f>
        <v/>
      </c>
      <c r="AM1305" t="str">
        <f>IF(ISNUMBER(FIND("arbeid",Methode_Keuze)),"",IF(ISNUMBER(FIND("arbeid",Methode_Keuze)),"",IF(Tb_Activiteiten[[#This Row],[Projectmedewerker]]=1,Tb_Activiteiten[[#Headers],[Projectmedewerker]],"")))</f>
        <v/>
      </c>
      <c r="AN1305" t="str">
        <f>IF(ISNUMBER(FIND("arbeid",Methode_Keuze)),"",IF(ISNUMBER(FIND("arbeid",Methode_Keuze)),"",IF(Tb_Activiteiten[[#This Row],[Landbouwer]]=1,Tb_Activiteiten[[#Headers],[Landbouwer]],"")))</f>
        <v/>
      </c>
      <c r="AO1305" t="str">
        <f>IF(ISNUMBER(FIND("arbeid",Methode_Keuze)),"",IF(ISNUMBER(FIND("arbeid",Methode_Keuze)),"",IF(Tb_Activiteiten[[#This Row],[Adviseur]]=1,Tb_Activiteiten[[#Headers],[Adviseur]],"")))</f>
        <v/>
      </c>
      <c r="AP1305" t="str">
        <f>IF(ISNUMBER(FIND("arbeid",Methode_Keuze)),"",IF(ISNUMBER(FIND("arbeid",Methode_Keuze)),"",IF(Tb_Activiteiten[[#This Row],[Projectleider/Expert]]=1,Tb_Activiteiten[[#Headers],[Projectleider/Expert]],"")))</f>
        <v/>
      </c>
      <c r="AQ1305" t="str">
        <f>IF(ISNUMBER(FIND("arbeid",Methode_Keuze)),"",IF(ISNUMBER(FIND("arbeid",Methode_Keuze)),"",IF(Tb_Activiteiten[[#This Row],[Arbeidskosten]]=1,Tb_Activiteiten[[#Headers],[Arbeidskosten]],"")))</f>
        <v/>
      </c>
      <c r="AR1305" t="str">
        <f>IF(ISNUMBER(FIND("arbeid",Methode_Keuze)),"",IF(ISNUMBER(FIND("arbeid",Methode_Keuze)),"",IF(Tb_Activiteiten[[#This Row],[Arbeidskosten op basis van IKS]]=1,Tb_Activiteiten[[#Headers],[Arbeidskosten op basis van IKS]],"")))</f>
        <v/>
      </c>
      <c r="AS1305" t="str">
        <f>IF(ISNUMBER(FIND("overige",Methode_Keuze)),"",IF(Tb_Activiteiten[[#This Row],[Kosten derden exclusief btw]]=1,Tb_Activiteiten[[#Headers],[Kosten derden exclusief btw]],""))</f>
        <v/>
      </c>
      <c r="AT1305" t="str">
        <f>IF(ISNUMBER(FIND("overige",Methode_Keuze)),"",IF(Tb_Activiteiten[[#This Row],[Niet verrekenbare btw]]=1,Tb_Activiteiten[[#Headers],[Niet verrekenbare btw]],""))</f>
        <v/>
      </c>
      <c r="AU1305" t="str">
        <f>IF(ISNUMBER(FIND("overige",Methode_Keuze)),"",IF(Tb_Activiteiten[[#This Row],[Grondkosten]]=1,Tb_Activiteiten[[#Headers],[Grondkosten]],""))</f>
        <v/>
      </c>
      <c r="AV1305" t="str">
        <f>IF(ISNUMBER(FIND("overige",Methode_Keuze)),"",IF(Tb_Activiteiten[[#This Row],[Bijdrage in natura (overige)]]=1,Tb_Activiteiten[[#Headers],[Bijdrage in natura (overige)]],""))</f>
        <v/>
      </c>
      <c r="AW1305" t="str">
        <f>IF(ISNUMBER(FIND("overige",Methode_Keuze)),"",IF(Tb_Activiteiten[[#This Row],[Bijdrage in natura (vrijwilligers)]]=1,Tb_Activiteiten[[#Headers],[Bijdrage in natura (vrijwilligers)]],""))</f>
        <v/>
      </c>
      <c r="AX1305" t="str">
        <f>IF(ISNUMBER(FIND("overige",Methode_Keuze)),"",IF(Tb_Activiteiten[[#This Row],[Afschrijvingskosten]]=1,Tb_Activiteiten[[#Headers],[Afschrijvingskosten]],""))</f>
        <v/>
      </c>
      <c r="AY1305" t="str">
        <f>IF(ISNUMBER(FIND("overige",Methode_Keuze)),"",IF(Tb_Activiteiten[[#This Row],[Vergoeding]]=1,Tb_Activiteiten[[#Headers],[Vergoeding]],""))</f>
        <v/>
      </c>
      <c r="AZ1305" t="str">
        <f>IF(ISNUMBER(FIND("arbeid",Methode_Keuze)),"",IF(Tb_Activiteiten[[#This Row],[Arbeidskosten - vast tarief (excl eigen arbeid)]]=1,Tb_Activiteiten[[#Headers],[Arbeidskosten - vast tarief (excl eigen arbeid)]],""))</f>
        <v/>
      </c>
      <c r="BA1305" t="str">
        <f>IF(ISNUMBER(FIND("overige",Methode_Keuze)),"",IF(Tb_Activiteiten[[#This Row],[Overige kosten]]=1,Tb_Activiteiten[[#Headers],[Overige kosten]],""))</f>
        <v/>
      </c>
    </row>
    <row r="1306" spans="1:53" x14ac:dyDescent="0.25">
      <c r="A1306" s="139"/>
      <c r="B1306" s="139"/>
      <c r="C1306" s="139"/>
      <c r="D1306" s="139"/>
      <c r="E1306" s="139"/>
      <c r="F1306" s="139"/>
      <c r="G1306" s="139"/>
      <c r="O1306" s="56"/>
      <c r="Q1306" t="str">
        <f>IFERROR(IF(VLOOKUP(Tb_Activiteiten[[#This Row],[Openstelling]],Tb_Openstelling[],2,0)=1,1,""),"")</f>
        <v/>
      </c>
      <c r="AK1306" t="str">
        <f>IF(ISNUMBER(FIND("arbeid",Methode_Keuze)),"",IF(ISNUMBER(FIND("arbeid",Methode_Keuze)),"",IF(Tb_Activiteiten[[#This Row],[Loonkosten]]=1,Tb_Activiteiten[[#Headers],[Loonkosten]],"")))</f>
        <v/>
      </c>
      <c r="AL1306" t="str">
        <f>IF(ISNUMBER(FIND("arbeid",Methode_Keuze)),"",IF(ISNUMBER(FIND("arbeid",Methode_Keuze)),"",IF(Tb_Activiteiten[[#This Row],[Eigen arbeid]]=1,Tb_Activiteiten[[#Headers],[Eigen arbeid]],"")))</f>
        <v/>
      </c>
      <c r="AM1306" t="str">
        <f>IF(ISNUMBER(FIND("arbeid",Methode_Keuze)),"",IF(ISNUMBER(FIND("arbeid",Methode_Keuze)),"",IF(Tb_Activiteiten[[#This Row],[Projectmedewerker]]=1,Tb_Activiteiten[[#Headers],[Projectmedewerker]],"")))</f>
        <v/>
      </c>
      <c r="AN1306" t="str">
        <f>IF(ISNUMBER(FIND("arbeid",Methode_Keuze)),"",IF(ISNUMBER(FIND("arbeid",Methode_Keuze)),"",IF(Tb_Activiteiten[[#This Row],[Landbouwer]]=1,Tb_Activiteiten[[#Headers],[Landbouwer]],"")))</f>
        <v/>
      </c>
      <c r="AO1306" t="str">
        <f>IF(ISNUMBER(FIND("arbeid",Methode_Keuze)),"",IF(ISNUMBER(FIND("arbeid",Methode_Keuze)),"",IF(Tb_Activiteiten[[#This Row],[Adviseur]]=1,Tb_Activiteiten[[#Headers],[Adviseur]],"")))</f>
        <v/>
      </c>
      <c r="AP1306" t="str">
        <f>IF(ISNUMBER(FIND("arbeid",Methode_Keuze)),"",IF(ISNUMBER(FIND("arbeid",Methode_Keuze)),"",IF(Tb_Activiteiten[[#This Row],[Projectleider/Expert]]=1,Tb_Activiteiten[[#Headers],[Projectleider/Expert]],"")))</f>
        <v/>
      </c>
      <c r="AQ1306" t="str">
        <f>IF(ISNUMBER(FIND("arbeid",Methode_Keuze)),"",IF(ISNUMBER(FIND("arbeid",Methode_Keuze)),"",IF(Tb_Activiteiten[[#This Row],[Arbeidskosten]]=1,Tb_Activiteiten[[#Headers],[Arbeidskosten]],"")))</f>
        <v/>
      </c>
      <c r="AR1306" t="str">
        <f>IF(ISNUMBER(FIND("arbeid",Methode_Keuze)),"",IF(ISNUMBER(FIND("arbeid",Methode_Keuze)),"",IF(Tb_Activiteiten[[#This Row],[Arbeidskosten op basis van IKS]]=1,Tb_Activiteiten[[#Headers],[Arbeidskosten op basis van IKS]],"")))</f>
        <v/>
      </c>
      <c r="AS1306" t="str">
        <f>IF(ISNUMBER(FIND("overige",Methode_Keuze)),"",IF(Tb_Activiteiten[[#This Row],[Kosten derden exclusief btw]]=1,Tb_Activiteiten[[#Headers],[Kosten derden exclusief btw]],""))</f>
        <v/>
      </c>
      <c r="AT1306" t="str">
        <f>IF(ISNUMBER(FIND("overige",Methode_Keuze)),"",IF(Tb_Activiteiten[[#This Row],[Niet verrekenbare btw]]=1,Tb_Activiteiten[[#Headers],[Niet verrekenbare btw]],""))</f>
        <v/>
      </c>
      <c r="AU1306" t="str">
        <f>IF(ISNUMBER(FIND("overige",Methode_Keuze)),"",IF(Tb_Activiteiten[[#This Row],[Grondkosten]]=1,Tb_Activiteiten[[#Headers],[Grondkosten]],""))</f>
        <v/>
      </c>
      <c r="AV1306" t="str">
        <f>IF(ISNUMBER(FIND("overige",Methode_Keuze)),"",IF(Tb_Activiteiten[[#This Row],[Bijdrage in natura (overige)]]=1,Tb_Activiteiten[[#Headers],[Bijdrage in natura (overige)]],""))</f>
        <v/>
      </c>
      <c r="AW1306" t="str">
        <f>IF(ISNUMBER(FIND("overige",Methode_Keuze)),"",IF(Tb_Activiteiten[[#This Row],[Bijdrage in natura (vrijwilligers)]]=1,Tb_Activiteiten[[#Headers],[Bijdrage in natura (vrijwilligers)]],""))</f>
        <v/>
      </c>
      <c r="AX1306" t="str">
        <f>IF(ISNUMBER(FIND("overige",Methode_Keuze)),"",IF(Tb_Activiteiten[[#This Row],[Afschrijvingskosten]]=1,Tb_Activiteiten[[#Headers],[Afschrijvingskosten]],""))</f>
        <v/>
      </c>
      <c r="AY1306" t="str">
        <f>IF(ISNUMBER(FIND("overige",Methode_Keuze)),"",IF(Tb_Activiteiten[[#This Row],[Vergoeding]]=1,Tb_Activiteiten[[#Headers],[Vergoeding]],""))</f>
        <v/>
      </c>
      <c r="AZ1306" t="str">
        <f>IF(ISNUMBER(FIND("arbeid",Methode_Keuze)),"",IF(Tb_Activiteiten[[#This Row],[Arbeidskosten - vast tarief (excl eigen arbeid)]]=1,Tb_Activiteiten[[#Headers],[Arbeidskosten - vast tarief (excl eigen arbeid)]],""))</f>
        <v/>
      </c>
      <c r="BA1306" t="str">
        <f>IF(ISNUMBER(FIND("overige",Methode_Keuze)),"",IF(Tb_Activiteiten[[#This Row],[Overige kosten]]=1,Tb_Activiteiten[[#Headers],[Overige kosten]],""))</f>
        <v/>
      </c>
    </row>
    <row r="1307" spans="1:53" x14ac:dyDescent="0.25">
      <c r="A1307" s="139"/>
      <c r="B1307" s="139"/>
      <c r="C1307" s="139"/>
      <c r="D1307" s="139"/>
      <c r="E1307" s="139"/>
      <c r="F1307" s="139"/>
      <c r="G1307" s="139"/>
      <c r="O1307" s="56"/>
      <c r="Q1307" t="str">
        <f>IFERROR(IF(VLOOKUP(Tb_Activiteiten[[#This Row],[Openstelling]],Tb_Openstelling[],2,0)=1,1,""),"")</f>
        <v/>
      </c>
      <c r="AK1307" t="str">
        <f>IF(ISNUMBER(FIND("arbeid",Methode_Keuze)),"",IF(ISNUMBER(FIND("arbeid",Methode_Keuze)),"",IF(Tb_Activiteiten[[#This Row],[Loonkosten]]=1,Tb_Activiteiten[[#Headers],[Loonkosten]],"")))</f>
        <v/>
      </c>
      <c r="AL1307" t="str">
        <f>IF(ISNUMBER(FIND("arbeid",Methode_Keuze)),"",IF(ISNUMBER(FIND("arbeid",Methode_Keuze)),"",IF(Tb_Activiteiten[[#This Row],[Eigen arbeid]]=1,Tb_Activiteiten[[#Headers],[Eigen arbeid]],"")))</f>
        <v/>
      </c>
      <c r="AM1307" t="str">
        <f>IF(ISNUMBER(FIND("arbeid",Methode_Keuze)),"",IF(ISNUMBER(FIND("arbeid",Methode_Keuze)),"",IF(Tb_Activiteiten[[#This Row],[Projectmedewerker]]=1,Tb_Activiteiten[[#Headers],[Projectmedewerker]],"")))</f>
        <v/>
      </c>
      <c r="AN1307" t="str">
        <f>IF(ISNUMBER(FIND("arbeid",Methode_Keuze)),"",IF(ISNUMBER(FIND("arbeid",Methode_Keuze)),"",IF(Tb_Activiteiten[[#This Row],[Landbouwer]]=1,Tb_Activiteiten[[#Headers],[Landbouwer]],"")))</f>
        <v/>
      </c>
      <c r="AO1307" t="str">
        <f>IF(ISNUMBER(FIND("arbeid",Methode_Keuze)),"",IF(ISNUMBER(FIND("arbeid",Methode_Keuze)),"",IF(Tb_Activiteiten[[#This Row],[Adviseur]]=1,Tb_Activiteiten[[#Headers],[Adviseur]],"")))</f>
        <v/>
      </c>
      <c r="AP1307" t="str">
        <f>IF(ISNUMBER(FIND("arbeid",Methode_Keuze)),"",IF(ISNUMBER(FIND("arbeid",Methode_Keuze)),"",IF(Tb_Activiteiten[[#This Row],[Projectleider/Expert]]=1,Tb_Activiteiten[[#Headers],[Projectleider/Expert]],"")))</f>
        <v/>
      </c>
      <c r="AQ1307" t="str">
        <f>IF(ISNUMBER(FIND("arbeid",Methode_Keuze)),"",IF(ISNUMBER(FIND("arbeid",Methode_Keuze)),"",IF(Tb_Activiteiten[[#This Row],[Arbeidskosten]]=1,Tb_Activiteiten[[#Headers],[Arbeidskosten]],"")))</f>
        <v/>
      </c>
      <c r="AR1307" t="str">
        <f>IF(ISNUMBER(FIND("arbeid",Methode_Keuze)),"",IF(ISNUMBER(FIND("arbeid",Methode_Keuze)),"",IF(Tb_Activiteiten[[#This Row],[Arbeidskosten op basis van IKS]]=1,Tb_Activiteiten[[#Headers],[Arbeidskosten op basis van IKS]],"")))</f>
        <v/>
      </c>
      <c r="AS1307" t="str">
        <f>IF(ISNUMBER(FIND("overige",Methode_Keuze)),"",IF(Tb_Activiteiten[[#This Row],[Kosten derden exclusief btw]]=1,Tb_Activiteiten[[#Headers],[Kosten derden exclusief btw]],""))</f>
        <v/>
      </c>
      <c r="AT1307" t="str">
        <f>IF(ISNUMBER(FIND("overige",Methode_Keuze)),"",IF(Tb_Activiteiten[[#This Row],[Niet verrekenbare btw]]=1,Tb_Activiteiten[[#Headers],[Niet verrekenbare btw]],""))</f>
        <v/>
      </c>
      <c r="AU1307" t="str">
        <f>IF(ISNUMBER(FIND("overige",Methode_Keuze)),"",IF(Tb_Activiteiten[[#This Row],[Grondkosten]]=1,Tb_Activiteiten[[#Headers],[Grondkosten]],""))</f>
        <v/>
      </c>
      <c r="AV1307" t="str">
        <f>IF(ISNUMBER(FIND("overige",Methode_Keuze)),"",IF(Tb_Activiteiten[[#This Row],[Bijdrage in natura (overige)]]=1,Tb_Activiteiten[[#Headers],[Bijdrage in natura (overige)]],""))</f>
        <v/>
      </c>
      <c r="AW1307" t="str">
        <f>IF(ISNUMBER(FIND("overige",Methode_Keuze)),"",IF(Tb_Activiteiten[[#This Row],[Bijdrage in natura (vrijwilligers)]]=1,Tb_Activiteiten[[#Headers],[Bijdrage in natura (vrijwilligers)]],""))</f>
        <v/>
      </c>
      <c r="AX1307" t="str">
        <f>IF(ISNUMBER(FIND("overige",Methode_Keuze)),"",IF(Tb_Activiteiten[[#This Row],[Afschrijvingskosten]]=1,Tb_Activiteiten[[#Headers],[Afschrijvingskosten]],""))</f>
        <v/>
      </c>
      <c r="AY1307" t="str">
        <f>IF(ISNUMBER(FIND("overige",Methode_Keuze)),"",IF(Tb_Activiteiten[[#This Row],[Vergoeding]]=1,Tb_Activiteiten[[#Headers],[Vergoeding]],""))</f>
        <v/>
      </c>
      <c r="AZ1307" t="str">
        <f>IF(ISNUMBER(FIND("arbeid",Methode_Keuze)),"",IF(Tb_Activiteiten[[#This Row],[Arbeidskosten - vast tarief (excl eigen arbeid)]]=1,Tb_Activiteiten[[#Headers],[Arbeidskosten - vast tarief (excl eigen arbeid)]],""))</f>
        <v/>
      </c>
      <c r="BA1307" t="str">
        <f>IF(ISNUMBER(FIND("overige",Methode_Keuze)),"",IF(Tb_Activiteiten[[#This Row],[Overige kosten]]=1,Tb_Activiteiten[[#Headers],[Overige kosten]],""))</f>
        <v/>
      </c>
    </row>
    <row r="1308" spans="1:53" x14ac:dyDescent="0.25">
      <c r="A1308" s="139"/>
      <c r="B1308" s="139"/>
      <c r="C1308" s="139"/>
      <c r="D1308" s="139"/>
      <c r="E1308" s="139"/>
      <c r="F1308" s="139"/>
      <c r="G1308" s="139"/>
      <c r="O1308" s="56"/>
      <c r="Q1308" t="str">
        <f>IFERROR(IF(VLOOKUP(Tb_Activiteiten[[#This Row],[Openstelling]],Tb_Openstelling[],2,0)=1,1,""),"")</f>
        <v/>
      </c>
      <c r="AK1308" t="str">
        <f>IF(ISNUMBER(FIND("arbeid",Methode_Keuze)),"",IF(ISNUMBER(FIND("arbeid",Methode_Keuze)),"",IF(Tb_Activiteiten[[#This Row],[Loonkosten]]=1,Tb_Activiteiten[[#Headers],[Loonkosten]],"")))</f>
        <v/>
      </c>
      <c r="AL1308" t="str">
        <f>IF(ISNUMBER(FIND("arbeid",Methode_Keuze)),"",IF(ISNUMBER(FIND("arbeid",Methode_Keuze)),"",IF(Tb_Activiteiten[[#This Row],[Eigen arbeid]]=1,Tb_Activiteiten[[#Headers],[Eigen arbeid]],"")))</f>
        <v/>
      </c>
      <c r="AM1308" t="str">
        <f>IF(ISNUMBER(FIND("arbeid",Methode_Keuze)),"",IF(ISNUMBER(FIND("arbeid",Methode_Keuze)),"",IF(Tb_Activiteiten[[#This Row],[Projectmedewerker]]=1,Tb_Activiteiten[[#Headers],[Projectmedewerker]],"")))</f>
        <v/>
      </c>
      <c r="AN1308" t="str">
        <f>IF(ISNUMBER(FIND("arbeid",Methode_Keuze)),"",IF(ISNUMBER(FIND("arbeid",Methode_Keuze)),"",IF(Tb_Activiteiten[[#This Row],[Landbouwer]]=1,Tb_Activiteiten[[#Headers],[Landbouwer]],"")))</f>
        <v/>
      </c>
      <c r="AO1308" t="str">
        <f>IF(ISNUMBER(FIND("arbeid",Methode_Keuze)),"",IF(ISNUMBER(FIND("arbeid",Methode_Keuze)),"",IF(Tb_Activiteiten[[#This Row],[Adviseur]]=1,Tb_Activiteiten[[#Headers],[Adviseur]],"")))</f>
        <v/>
      </c>
      <c r="AP1308" t="str">
        <f>IF(ISNUMBER(FIND("arbeid",Methode_Keuze)),"",IF(ISNUMBER(FIND("arbeid",Methode_Keuze)),"",IF(Tb_Activiteiten[[#This Row],[Projectleider/Expert]]=1,Tb_Activiteiten[[#Headers],[Projectleider/Expert]],"")))</f>
        <v/>
      </c>
      <c r="AQ1308" t="str">
        <f>IF(ISNUMBER(FIND("arbeid",Methode_Keuze)),"",IF(ISNUMBER(FIND("arbeid",Methode_Keuze)),"",IF(Tb_Activiteiten[[#This Row],[Arbeidskosten]]=1,Tb_Activiteiten[[#Headers],[Arbeidskosten]],"")))</f>
        <v/>
      </c>
      <c r="AR1308" t="str">
        <f>IF(ISNUMBER(FIND("arbeid",Methode_Keuze)),"",IF(ISNUMBER(FIND("arbeid",Methode_Keuze)),"",IF(Tb_Activiteiten[[#This Row],[Arbeidskosten op basis van IKS]]=1,Tb_Activiteiten[[#Headers],[Arbeidskosten op basis van IKS]],"")))</f>
        <v/>
      </c>
      <c r="AS1308" t="str">
        <f>IF(ISNUMBER(FIND("overige",Methode_Keuze)),"",IF(Tb_Activiteiten[[#This Row],[Kosten derden exclusief btw]]=1,Tb_Activiteiten[[#Headers],[Kosten derden exclusief btw]],""))</f>
        <v/>
      </c>
      <c r="AT1308" t="str">
        <f>IF(ISNUMBER(FIND("overige",Methode_Keuze)),"",IF(Tb_Activiteiten[[#This Row],[Niet verrekenbare btw]]=1,Tb_Activiteiten[[#Headers],[Niet verrekenbare btw]],""))</f>
        <v/>
      </c>
      <c r="AU1308" t="str">
        <f>IF(ISNUMBER(FIND("overige",Methode_Keuze)),"",IF(Tb_Activiteiten[[#This Row],[Grondkosten]]=1,Tb_Activiteiten[[#Headers],[Grondkosten]],""))</f>
        <v/>
      </c>
      <c r="AV1308" t="str">
        <f>IF(ISNUMBER(FIND("overige",Methode_Keuze)),"",IF(Tb_Activiteiten[[#This Row],[Bijdrage in natura (overige)]]=1,Tb_Activiteiten[[#Headers],[Bijdrage in natura (overige)]],""))</f>
        <v/>
      </c>
      <c r="AW1308" t="str">
        <f>IF(ISNUMBER(FIND("overige",Methode_Keuze)),"",IF(Tb_Activiteiten[[#This Row],[Bijdrage in natura (vrijwilligers)]]=1,Tb_Activiteiten[[#Headers],[Bijdrage in natura (vrijwilligers)]],""))</f>
        <v/>
      </c>
      <c r="AX1308" t="str">
        <f>IF(ISNUMBER(FIND("overige",Methode_Keuze)),"",IF(Tb_Activiteiten[[#This Row],[Afschrijvingskosten]]=1,Tb_Activiteiten[[#Headers],[Afschrijvingskosten]],""))</f>
        <v/>
      </c>
      <c r="AY1308" t="str">
        <f>IF(ISNUMBER(FIND("overige",Methode_Keuze)),"",IF(Tb_Activiteiten[[#This Row],[Vergoeding]]=1,Tb_Activiteiten[[#Headers],[Vergoeding]],""))</f>
        <v/>
      </c>
      <c r="AZ1308" t="str">
        <f>IF(ISNUMBER(FIND("arbeid",Methode_Keuze)),"",IF(Tb_Activiteiten[[#This Row],[Arbeidskosten - vast tarief (excl eigen arbeid)]]=1,Tb_Activiteiten[[#Headers],[Arbeidskosten - vast tarief (excl eigen arbeid)]],""))</f>
        <v/>
      </c>
      <c r="BA1308" t="str">
        <f>IF(ISNUMBER(FIND("overige",Methode_Keuze)),"",IF(Tb_Activiteiten[[#This Row],[Overige kosten]]=1,Tb_Activiteiten[[#Headers],[Overige kosten]],""))</f>
        <v/>
      </c>
    </row>
    <row r="1309" spans="1:53" x14ac:dyDescent="0.25">
      <c r="A1309" s="139"/>
      <c r="B1309" s="139"/>
      <c r="C1309" s="139"/>
      <c r="D1309" s="139"/>
      <c r="E1309" s="139"/>
      <c r="F1309" s="139"/>
      <c r="G1309" s="139"/>
      <c r="O1309" s="56"/>
      <c r="Q1309" t="str">
        <f>IFERROR(IF(VLOOKUP(Tb_Activiteiten[[#This Row],[Openstelling]],Tb_Openstelling[],2,0)=1,1,""),"")</f>
        <v/>
      </c>
      <c r="AK1309" t="str">
        <f>IF(ISNUMBER(FIND("arbeid",Methode_Keuze)),"",IF(ISNUMBER(FIND("arbeid",Methode_Keuze)),"",IF(Tb_Activiteiten[[#This Row],[Loonkosten]]=1,Tb_Activiteiten[[#Headers],[Loonkosten]],"")))</f>
        <v/>
      </c>
      <c r="AL1309" t="str">
        <f>IF(ISNUMBER(FIND("arbeid",Methode_Keuze)),"",IF(ISNUMBER(FIND("arbeid",Methode_Keuze)),"",IF(Tb_Activiteiten[[#This Row],[Eigen arbeid]]=1,Tb_Activiteiten[[#Headers],[Eigen arbeid]],"")))</f>
        <v/>
      </c>
      <c r="AM1309" t="str">
        <f>IF(ISNUMBER(FIND("arbeid",Methode_Keuze)),"",IF(ISNUMBER(FIND("arbeid",Methode_Keuze)),"",IF(Tb_Activiteiten[[#This Row],[Projectmedewerker]]=1,Tb_Activiteiten[[#Headers],[Projectmedewerker]],"")))</f>
        <v/>
      </c>
      <c r="AN1309" t="str">
        <f>IF(ISNUMBER(FIND("arbeid",Methode_Keuze)),"",IF(ISNUMBER(FIND("arbeid",Methode_Keuze)),"",IF(Tb_Activiteiten[[#This Row],[Landbouwer]]=1,Tb_Activiteiten[[#Headers],[Landbouwer]],"")))</f>
        <v/>
      </c>
      <c r="AO1309" t="str">
        <f>IF(ISNUMBER(FIND("arbeid",Methode_Keuze)),"",IF(ISNUMBER(FIND("arbeid",Methode_Keuze)),"",IF(Tb_Activiteiten[[#This Row],[Adviseur]]=1,Tb_Activiteiten[[#Headers],[Adviseur]],"")))</f>
        <v/>
      </c>
      <c r="AP1309" t="str">
        <f>IF(ISNUMBER(FIND("arbeid",Methode_Keuze)),"",IF(ISNUMBER(FIND("arbeid",Methode_Keuze)),"",IF(Tb_Activiteiten[[#This Row],[Projectleider/Expert]]=1,Tb_Activiteiten[[#Headers],[Projectleider/Expert]],"")))</f>
        <v/>
      </c>
      <c r="AQ1309" t="str">
        <f>IF(ISNUMBER(FIND("arbeid",Methode_Keuze)),"",IF(ISNUMBER(FIND("arbeid",Methode_Keuze)),"",IF(Tb_Activiteiten[[#This Row],[Arbeidskosten]]=1,Tb_Activiteiten[[#Headers],[Arbeidskosten]],"")))</f>
        <v/>
      </c>
      <c r="AR1309" t="str">
        <f>IF(ISNUMBER(FIND("arbeid",Methode_Keuze)),"",IF(ISNUMBER(FIND("arbeid",Methode_Keuze)),"",IF(Tb_Activiteiten[[#This Row],[Arbeidskosten op basis van IKS]]=1,Tb_Activiteiten[[#Headers],[Arbeidskosten op basis van IKS]],"")))</f>
        <v/>
      </c>
      <c r="AS1309" t="str">
        <f>IF(ISNUMBER(FIND("overige",Methode_Keuze)),"",IF(Tb_Activiteiten[[#This Row],[Kosten derden exclusief btw]]=1,Tb_Activiteiten[[#Headers],[Kosten derden exclusief btw]],""))</f>
        <v/>
      </c>
      <c r="AT1309" t="str">
        <f>IF(ISNUMBER(FIND("overige",Methode_Keuze)),"",IF(Tb_Activiteiten[[#This Row],[Niet verrekenbare btw]]=1,Tb_Activiteiten[[#Headers],[Niet verrekenbare btw]],""))</f>
        <v/>
      </c>
      <c r="AU1309" t="str">
        <f>IF(ISNUMBER(FIND("overige",Methode_Keuze)),"",IF(Tb_Activiteiten[[#This Row],[Grondkosten]]=1,Tb_Activiteiten[[#Headers],[Grondkosten]],""))</f>
        <v/>
      </c>
      <c r="AV1309" t="str">
        <f>IF(ISNUMBER(FIND("overige",Methode_Keuze)),"",IF(Tb_Activiteiten[[#This Row],[Bijdrage in natura (overige)]]=1,Tb_Activiteiten[[#Headers],[Bijdrage in natura (overige)]],""))</f>
        <v/>
      </c>
      <c r="AW1309" t="str">
        <f>IF(ISNUMBER(FIND("overige",Methode_Keuze)),"",IF(Tb_Activiteiten[[#This Row],[Bijdrage in natura (vrijwilligers)]]=1,Tb_Activiteiten[[#Headers],[Bijdrage in natura (vrijwilligers)]],""))</f>
        <v/>
      </c>
      <c r="AX1309" t="str">
        <f>IF(ISNUMBER(FIND("overige",Methode_Keuze)),"",IF(Tb_Activiteiten[[#This Row],[Afschrijvingskosten]]=1,Tb_Activiteiten[[#Headers],[Afschrijvingskosten]],""))</f>
        <v/>
      </c>
      <c r="AY1309" t="str">
        <f>IF(ISNUMBER(FIND("overige",Methode_Keuze)),"",IF(Tb_Activiteiten[[#This Row],[Vergoeding]]=1,Tb_Activiteiten[[#Headers],[Vergoeding]],""))</f>
        <v/>
      </c>
      <c r="AZ1309" t="str">
        <f>IF(ISNUMBER(FIND("arbeid",Methode_Keuze)),"",IF(Tb_Activiteiten[[#This Row],[Arbeidskosten - vast tarief (excl eigen arbeid)]]=1,Tb_Activiteiten[[#Headers],[Arbeidskosten - vast tarief (excl eigen arbeid)]],""))</f>
        <v/>
      </c>
      <c r="BA1309" t="str">
        <f>IF(ISNUMBER(FIND("overige",Methode_Keuze)),"",IF(Tb_Activiteiten[[#This Row],[Overige kosten]]=1,Tb_Activiteiten[[#Headers],[Overige kosten]],""))</f>
        <v/>
      </c>
    </row>
    <row r="1310" spans="1:53" x14ac:dyDescent="0.25">
      <c r="A1310" s="139"/>
      <c r="B1310" s="139"/>
      <c r="C1310" s="139"/>
      <c r="D1310" s="139"/>
      <c r="E1310" s="139"/>
      <c r="F1310" s="139"/>
      <c r="G1310" s="139"/>
      <c r="O1310" s="56"/>
      <c r="Q1310" t="str">
        <f>IFERROR(IF(VLOOKUP(Tb_Activiteiten[[#This Row],[Openstelling]],Tb_Openstelling[],2,0)=1,1,""),"")</f>
        <v/>
      </c>
      <c r="AK1310" t="str">
        <f>IF(ISNUMBER(FIND("arbeid",Methode_Keuze)),"",IF(ISNUMBER(FIND("arbeid",Methode_Keuze)),"",IF(Tb_Activiteiten[[#This Row],[Loonkosten]]=1,Tb_Activiteiten[[#Headers],[Loonkosten]],"")))</f>
        <v/>
      </c>
      <c r="AL1310" t="str">
        <f>IF(ISNUMBER(FIND("arbeid",Methode_Keuze)),"",IF(ISNUMBER(FIND("arbeid",Methode_Keuze)),"",IF(Tb_Activiteiten[[#This Row],[Eigen arbeid]]=1,Tb_Activiteiten[[#Headers],[Eigen arbeid]],"")))</f>
        <v/>
      </c>
      <c r="AM1310" t="str">
        <f>IF(ISNUMBER(FIND("arbeid",Methode_Keuze)),"",IF(ISNUMBER(FIND("arbeid",Methode_Keuze)),"",IF(Tb_Activiteiten[[#This Row],[Projectmedewerker]]=1,Tb_Activiteiten[[#Headers],[Projectmedewerker]],"")))</f>
        <v/>
      </c>
      <c r="AN1310" t="str">
        <f>IF(ISNUMBER(FIND("arbeid",Methode_Keuze)),"",IF(ISNUMBER(FIND("arbeid",Methode_Keuze)),"",IF(Tb_Activiteiten[[#This Row],[Landbouwer]]=1,Tb_Activiteiten[[#Headers],[Landbouwer]],"")))</f>
        <v/>
      </c>
      <c r="AO1310" t="str">
        <f>IF(ISNUMBER(FIND("arbeid",Methode_Keuze)),"",IF(ISNUMBER(FIND("arbeid",Methode_Keuze)),"",IF(Tb_Activiteiten[[#This Row],[Adviseur]]=1,Tb_Activiteiten[[#Headers],[Adviseur]],"")))</f>
        <v/>
      </c>
      <c r="AP1310" t="str">
        <f>IF(ISNUMBER(FIND("arbeid",Methode_Keuze)),"",IF(ISNUMBER(FIND("arbeid",Methode_Keuze)),"",IF(Tb_Activiteiten[[#This Row],[Projectleider/Expert]]=1,Tb_Activiteiten[[#Headers],[Projectleider/Expert]],"")))</f>
        <v/>
      </c>
      <c r="AQ1310" t="str">
        <f>IF(ISNUMBER(FIND("arbeid",Methode_Keuze)),"",IF(ISNUMBER(FIND("arbeid",Methode_Keuze)),"",IF(Tb_Activiteiten[[#This Row],[Arbeidskosten]]=1,Tb_Activiteiten[[#Headers],[Arbeidskosten]],"")))</f>
        <v/>
      </c>
      <c r="AR1310" t="str">
        <f>IF(ISNUMBER(FIND("arbeid",Methode_Keuze)),"",IF(ISNUMBER(FIND("arbeid",Methode_Keuze)),"",IF(Tb_Activiteiten[[#This Row],[Arbeidskosten op basis van IKS]]=1,Tb_Activiteiten[[#Headers],[Arbeidskosten op basis van IKS]],"")))</f>
        <v/>
      </c>
      <c r="AS1310" t="str">
        <f>IF(ISNUMBER(FIND("overige",Methode_Keuze)),"",IF(Tb_Activiteiten[[#This Row],[Kosten derden exclusief btw]]=1,Tb_Activiteiten[[#Headers],[Kosten derden exclusief btw]],""))</f>
        <v/>
      </c>
      <c r="AT1310" t="str">
        <f>IF(ISNUMBER(FIND("overige",Methode_Keuze)),"",IF(Tb_Activiteiten[[#This Row],[Niet verrekenbare btw]]=1,Tb_Activiteiten[[#Headers],[Niet verrekenbare btw]],""))</f>
        <v/>
      </c>
      <c r="AU1310" t="str">
        <f>IF(ISNUMBER(FIND("overige",Methode_Keuze)),"",IF(Tb_Activiteiten[[#This Row],[Grondkosten]]=1,Tb_Activiteiten[[#Headers],[Grondkosten]],""))</f>
        <v/>
      </c>
      <c r="AV1310" t="str">
        <f>IF(ISNUMBER(FIND("overige",Methode_Keuze)),"",IF(Tb_Activiteiten[[#This Row],[Bijdrage in natura (overige)]]=1,Tb_Activiteiten[[#Headers],[Bijdrage in natura (overige)]],""))</f>
        <v/>
      </c>
      <c r="AW1310" t="str">
        <f>IF(ISNUMBER(FIND("overige",Methode_Keuze)),"",IF(Tb_Activiteiten[[#This Row],[Bijdrage in natura (vrijwilligers)]]=1,Tb_Activiteiten[[#Headers],[Bijdrage in natura (vrijwilligers)]],""))</f>
        <v/>
      </c>
      <c r="AX1310" t="str">
        <f>IF(ISNUMBER(FIND("overige",Methode_Keuze)),"",IF(Tb_Activiteiten[[#This Row],[Afschrijvingskosten]]=1,Tb_Activiteiten[[#Headers],[Afschrijvingskosten]],""))</f>
        <v/>
      </c>
      <c r="AY1310" t="str">
        <f>IF(ISNUMBER(FIND("overige",Methode_Keuze)),"",IF(Tb_Activiteiten[[#This Row],[Vergoeding]]=1,Tb_Activiteiten[[#Headers],[Vergoeding]],""))</f>
        <v/>
      </c>
      <c r="AZ1310" t="str">
        <f>IF(ISNUMBER(FIND("arbeid",Methode_Keuze)),"",IF(Tb_Activiteiten[[#This Row],[Arbeidskosten - vast tarief (excl eigen arbeid)]]=1,Tb_Activiteiten[[#Headers],[Arbeidskosten - vast tarief (excl eigen arbeid)]],""))</f>
        <v/>
      </c>
      <c r="BA1310" t="str">
        <f>IF(ISNUMBER(FIND("overige",Methode_Keuze)),"",IF(Tb_Activiteiten[[#This Row],[Overige kosten]]=1,Tb_Activiteiten[[#Headers],[Overige kosten]],""))</f>
        <v/>
      </c>
    </row>
    <row r="1311" spans="1:53" x14ac:dyDescent="0.25">
      <c r="A1311" s="139"/>
      <c r="B1311" s="139"/>
      <c r="C1311" s="139"/>
      <c r="D1311" s="139"/>
      <c r="E1311" s="139"/>
      <c r="F1311" s="139"/>
      <c r="G1311" s="139"/>
      <c r="O1311" s="56"/>
      <c r="Q1311" t="str">
        <f>IFERROR(IF(VLOOKUP(Tb_Activiteiten[[#This Row],[Openstelling]],Tb_Openstelling[],2,0)=1,1,""),"")</f>
        <v/>
      </c>
      <c r="AK1311" t="str">
        <f>IF(ISNUMBER(FIND("arbeid",Methode_Keuze)),"",IF(ISNUMBER(FIND("arbeid",Methode_Keuze)),"",IF(Tb_Activiteiten[[#This Row],[Loonkosten]]=1,Tb_Activiteiten[[#Headers],[Loonkosten]],"")))</f>
        <v/>
      </c>
      <c r="AL1311" t="str">
        <f>IF(ISNUMBER(FIND("arbeid",Methode_Keuze)),"",IF(ISNUMBER(FIND("arbeid",Methode_Keuze)),"",IF(Tb_Activiteiten[[#This Row],[Eigen arbeid]]=1,Tb_Activiteiten[[#Headers],[Eigen arbeid]],"")))</f>
        <v/>
      </c>
      <c r="AM1311" t="str">
        <f>IF(ISNUMBER(FIND("arbeid",Methode_Keuze)),"",IF(ISNUMBER(FIND("arbeid",Methode_Keuze)),"",IF(Tb_Activiteiten[[#This Row],[Projectmedewerker]]=1,Tb_Activiteiten[[#Headers],[Projectmedewerker]],"")))</f>
        <v/>
      </c>
      <c r="AN1311" t="str">
        <f>IF(ISNUMBER(FIND("arbeid",Methode_Keuze)),"",IF(ISNUMBER(FIND("arbeid",Methode_Keuze)),"",IF(Tb_Activiteiten[[#This Row],[Landbouwer]]=1,Tb_Activiteiten[[#Headers],[Landbouwer]],"")))</f>
        <v/>
      </c>
      <c r="AO1311" t="str">
        <f>IF(ISNUMBER(FIND("arbeid",Methode_Keuze)),"",IF(ISNUMBER(FIND("arbeid",Methode_Keuze)),"",IF(Tb_Activiteiten[[#This Row],[Adviseur]]=1,Tb_Activiteiten[[#Headers],[Adviseur]],"")))</f>
        <v/>
      </c>
      <c r="AP1311" t="str">
        <f>IF(ISNUMBER(FIND("arbeid",Methode_Keuze)),"",IF(ISNUMBER(FIND("arbeid",Methode_Keuze)),"",IF(Tb_Activiteiten[[#This Row],[Projectleider/Expert]]=1,Tb_Activiteiten[[#Headers],[Projectleider/Expert]],"")))</f>
        <v/>
      </c>
      <c r="AQ1311" t="str">
        <f>IF(ISNUMBER(FIND("arbeid",Methode_Keuze)),"",IF(ISNUMBER(FIND("arbeid",Methode_Keuze)),"",IF(Tb_Activiteiten[[#This Row],[Arbeidskosten]]=1,Tb_Activiteiten[[#Headers],[Arbeidskosten]],"")))</f>
        <v/>
      </c>
      <c r="AR1311" t="str">
        <f>IF(ISNUMBER(FIND("arbeid",Methode_Keuze)),"",IF(ISNUMBER(FIND("arbeid",Methode_Keuze)),"",IF(Tb_Activiteiten[[#This Row],[Arbeidskosten op basis van IKS]]=1,Tb_Activiteiten[[#Headers],[Arbeidskosten op basis van IKS]],"")))</f>
        <v/>
      </c>
      <c r="AS1311" t="str">
        <f>IF(ISNUMBER(FIND("overige",Methode_Keuze)),"",IF(Tb_Activiteiten[[#This Row],[Kosten derden exclusief btw]]=1,Tb_Activiteiten[[#Headers],[Kosten derden exclusief btw]],""))</f>
        <v/>
      </c>
      <c r="AT1311" t="str">
        <f>IF(ISNUMBER(FIND("overige",Methode_Keuze)),"",IF(Tb_Activiteiten[[#This Row],[Niet verrekenbare btw]]=1,Tb_Activiteiten[[#Headers],[Niet verrekenbare btw]],""))</f>
        <v/>
      </c>
      <c r="AU1311" t="str">
        <f>IF(ISNUMBER(FIND("overige",Methode_Keuze)),"",IF(Tb_Activiteiten[[#This Row],[Grondkosten]]=1,Tb_Activiteiten[[#Headers],[Grondkosten]],""))</f>
        <v/>
      </c>
      <c r="AV1311" t="str">
        <f>IF(ISNUMBER(FIND("overige",Methode_Keuze)),"",IF(Tb_Activiteiten[[#This Row],[Bijdrage in natura (overige)]]=1,Tb_Activiteiten[[#Headers],[Bijdrage in natura (overige)]],""))</f>
        <v/>
      </c>
      <c r="AW1311" t="str">
        <f>IF(ISNUMBER(FIND("overige",Methode_Keuze)),"",IF(Tb_Activiteiten[[#This Row],[Bijdrage in natura (vrijwilligers)]]=1,Tb_Activiteiten[[#Headers],[Bijdrage in natura (vrijwilligers)]],""))</f>
        <v/>
      </c>
      <c r="AX1311" t="str">
        <f>IF(ISNUMBER(FIND("overige",Methode_Keuze)),"",IF(Tb_Activiteiten[[#This Row],[Afschrijvingskosten]]=1,Tb_Activiteiten[[#Headers],[Afschrijvingskosten]],""))</f>
        <v/>
      </c>
      <c r="AY1311" t="str">
        <f>IF(ISNUMBER(FIND("overige",Methode_Keuze)),"",IF(Tb_Activiteiten[[#This Row],[Vergoeding]]=1,Tb_Activiteiten[[#Headers],[Vergoeding]],""))</f>
        <v/>
      </c>
      <c r="AZ1311" t="str">
        <f>IF(ISNUMBER(FIND("arbeid",Methode_Keuze)),"",IF(Tb_Activiteiten[[#This Row],[Arbeidskosten - vast tarief (excl eigen arbeid)]]=1,Tb_Activiteiten[[#Headers],[Arbeidskosten - vast tarief (excl eigen arbeid)]],""))</f>
        <v/>
      </c>
      <c r="BA1311" t="str">
        <f>IF(ISNUMBER(FIND("overige",Methode_Keuze)),"",IF(Tb_Activiteiten[[#This Row],[Overige kosten]]=1,Tb_Activiteiten[[#Headers],[Overige kosten]],""))</f>
        <v/>
      </c>
    </row>
    <row r="1312" spans="1:53" x14ac:dyDescent="0.25">
      <c r="A1312" s="139"/>
      <c r="B1312" s="139"/>
      <c r="C1312" s="139"/>
      <c r="D1312" s="139"/>
      <c r="E1312" s="139"/>
      <c r="F1312" s="139"/>
      <c r="G1312" s="139"/>
      <c r="O1312" s="56"/>
      <c r="Q1312" t="str">
        <f>IFERROR(IF(VLOOKUP(Tb_Activiteiten[[#This Row],[Openstelling]],Tb_Openstelling[],2,0)=1,1,""),"")</f>
        <v/>
      </c>
      <c r="AK1312" t="str">
        <f>IF(ISNUMBER(FIND("arbeid",Methode_Keuze)),"",IF(ISNUMBER(FIND("arbeid",Methode_Keuze)),"",IF(Tb_Activiteiten[[#This Row],[Loonkosten]]=1,Tb_Activiteiten[[#Headers],[Loonkosten]],"")))</f>
        <v/>
      </c>
      <c r="AL1312" t="str">
        <f>IF(ISNUMBER(FIND("arbeid",Methode_Keuze)),"",IF(ISNUMBER(FIND("arbeid",Methode_Keuze)),"",IF(Tb_Activiteiten[[#This Row],[Eigen arbeid]]=1,Tb_Activiteiten[[#Headers],[Eigen arbeid]],"")))</f>
        <v/>
      </c>
      <c r="AM1312" t="str">
        <f>IF(ISNUMBER(FIND("arbeid",Methode_Keuze)),"",IF(ISNUMBER(FIND("arbeid",Methode_Keuze)),"",IF(Tb_Activiteiten[[#This Row],[Projectmedewerker]]=1,Tb_Activiteiten[[#Headers],[Projectmedewerker]],"")))</f>
        <v/>
      </c>
      <c r="AN1312" t="str">
        <f>IF(ISNUMBER(FIND("arbeid",Methode_Keuze)),"",IF(ISNUMBER(FIND("arbeid",Methode_Keuze)),"",IF(Tb_Activiteiten[[#This Row],[Landbouwer]]=1,Tb_Activiteiten[[#Headers],[Landbouwer]],"")))</f>
        <v/>
      </c>
      <c r="AO1312" t="str">
        <f>IF(ISNUMBER(FIND("arbeid",Methode_Keuze)),"",IF(ISNUMBER(FIND("arbeid",Methode_Keuze)),"",IF(Tb_Activiteiten[[#This Row],[Adviseur]]=1,Tb_Activiteiten[[#Headers],[Adviseur]],"")))</f>
        <v/>
      </c>
      <c r="AP1312" t="str">
        <f>IF(ISNUMBER(FIND("arbeid",Methode_Keuze)),"",IF(ISNUMBER(FIND("arbeid",Methode_Keuze)),"",IF(Tb_Activiteiten[[#This Row],[Projectleider/Expert]]=1,Tb_Activiteiten[[#Headers],[Projectleider/Expert]],"")))</f>
        <v/>
      </c>
      <c r="AQ1312" t="str">
        <f>IF(ISNUMBER(FIND("arbeid",Methode_Keuze)),"",IF(ISNUMBER(FIND("arbeid",Methode_Keuze)),"",IF(Tb_Activiteiten[[#This Row],[Arbeidskosten]]=1,Tb_Activiteiten[[#Headers],[Arbeidskosten]],"")))</f>
        <v/>
      </c>
      <c r="AR1312" t="str">
        <f>IF(ISNUMBER(FIND("arbeid",Methode_Keuze)),"",IF(ISNUMBER(FIND("arbeid",Methode_Keuze)),"",IF(Tb_Activiteiten[[#This Row],[Arbeidskosten op basis van IKS]]=1,Tb_Activiteiten[[#Headers],[Arbeidskosten op basis van IKS]],"")))</f>
        <v/>
      </c>
      <c r="AS1312" t="str">
        <f>IF(ISNUMBER(FIND("overige",Methode_Keuze)),"",IF(Tb_Activiteiten[[#This Row],[Kosten derden exclusief btw]]=1,Tb_Activiteiten[[#Headers],[Kosten derden exclusief btw]],""))</f>
        <v/>
      </c>
      <c r="AT1312" t="str">
        <f>IF(ISNUMBER(FIND("overige",Methode_Keuze)),"",IF(Tb_Activiteiten[[#This Row],[Niet verrekenbare btw]]=1,Tb_Activiteiten[[#Headers],[Niet verrekenbare btw]],""))</f>
        <v/>
      </c>
      <c r="AU1312" t="str">
        <f>IF(ISNUMBER(FIND("overige",Methode_Keuze)),"",IF(Tb_Activiteiten[[#This Row],[Grondkosten]]=1,Tb_Activiteiten[[#Headers],[Grondkosten]],""))</f>
        <v/>
      </c>
      <c r="AV1312" t="str">
        <f>IF(ISNUMBER(FIND("overige",Methode_Keuze)),"",IF(Tb_Activiteiten[[#This Row],[Bijdrage in natura (overige)]]=1,Tb_Activiteiten[[#Headers],[Bijdrage in natura (overige)]],""))</f>
        <v/>
      </c>
      <c r="AW1312" t="str">
        <f>IF(ISNUMBER(FIND("overige",Methode_Keuze)),"",IF(Tb_Activiteiten[[#This Row],[Bijdrage in natura (vrijwilligers)]]=1,Tb_Activiteiten[[#Headers],[Bijdrage in natura (vrijwilligers)]],""))</f>
        <v/>
      </c>
      <c r="AX1312" t="str">
        <f>IF(ISNUMBER(FIND("overige",Methode_Keuze)),"",IF(Tb_Activiteiten[[#This Row],[Afschrijvingskosten]]=1,Tb_Activiteiten[[#Headers],[Afschrijvingskosten]],""))</f>
        <v/>
      </c>
      <c r="AY1312" t="str">
        <f>IF(ISNUMBER(FIND("overige",Methode_Keuze)),"",IF(Tb_Activiteiten[[#This Row],[Vergoeding]]=1,Tb_Activiteiten[[#Headers],[Vergoeding]],""))</f>
        <v/>
      </c>
      <c r="AZ1312" t="str">
        <f>IF(ISNUMBER(FIND("arbeid",Methode_Keuze)),"",IF(Tb_Activiteiten[[#This Row],[Arbeidskosten - vast tarief (excl eigen arbeid)]]=1,Tb_Activiteiten[[#Headers],[Arbeidskosten - vast tarief (excl eigen arbeid)]],""))</f>
        <v/>
      </c>
      <c r="BA1312" t="str">
        <f>IF(ISNUMBER(FIND("overige",Methode_Keuze)),"",IF(Tb_Activiteiten[[#This Row],[Overige kosten]]=1,Tb_Activiteiten[[#Headers],[Overige kosten]],""))</f>
        <v/>
      </c>
    </row>
    <row r="1313" spans="1:53" x14ac:dyDescent="0.25">
      <c r="A1313" s="139"/>
      <c r="B1313" s="139"/>
      <c r="C1313" s="139"/>
      <c r="D1313" s="139"/>
      <c r="E1313" s="139"/>
      <c r="F1313" s="139"/>
      <c r="G1313" s="139"/>
      <c r="O1313" s="56"/>
      <c r="Q1313" t="str">
        <f>IFERROR(IF(VLOOKUP(Tb_Activiteiten[[#This Row],[Openstelling]],Tb_Openstelling[],2,0)=1,1,""),"")</f>
        <v/>
      </c>
      <c r="AK1313" t="str">
        <f>IF(ISNUMBER(FIND("arbeid",Methode_Keuze)),"",IF(ISNUMBER(FIND("arbeid",Methode_Keuze)),"",IF(Tb_Activiteiten[[#This Row],[Loonkosten]]=1,Tb_Activiteiten[[#Headers],[Loonkosten]],"")))</f>
        <v/>
      </c>
      <c r="AL1313" t="str">
        <f>IF(ISNUMBER(FIND("arbeid",Methode_Keuze)),"",IF(ISNUMBER(FIND("arbeid",Methode_Keuze)),"",IF(Tb_Activiteiten[[#This Row],[Eigen arbeid]]=1,Tb_Activiteiten[[#Headers],[Eigen arbeid]],"")))</f>
        <v/>
      </c>
      <c r="AM1313" t="str">
        <f>IF(ISNUMBER(FIND("arbeid",Methode_Keuze)),"",IF(ISNUMBER(FIND("arbeid",Methode_Keuze)),"",IF(Tb_Activiteiten[[#This Row],[Projectmedewerker]]=1,Tb_Activiteiten[[#Headers],[Projectmedewerker]],"")))</f>
        <v/>
      </c>
      <c r="AN1313" t="str">
        <f>IF(ISNUMBER(FIND("arbeid",Methode_Keuze)),"",IF(ISNUMBER(FIND("arbeid",Methode_Keuze)),"",IF(Tb_Activiteiten[[#This Row],[Landbouwer]]=1,Tb_Activiteiten[[#Headers],[Landbouwer]],"")))</f>
        <v/>
      </c>
      <c r="AO1313" t="str">
        <f>IF(ISNUMBER(FIND("arbeid",Methode_Keuze)),"",IF(ISNUMBER(FIND("arbeid",Methode_Keuze)),"",IF(Tb_Activiteiten[[#This Row],[Adviseur]]=1,Tb_Activiteiten[[#Headers],[Adviseur]],"")))</f>
        <v/>
      </c>
      <c r="AP1313" t="str">
        <f>IF(ISNUMBER(FIND("arbeid",Methode_Keuze)),"",IF(ISNUMBER(FIND("arbeid",Methode_Keuze)),"",IF(Tb_Activiteiten[[#This Row],[Projectleider/Expert]]=1,Tb_Activiteiten[[#Headers],[Projectleider/Expert]],"")))</f>
        <v/>
      </c>
      <c r="AQ1313" t="str">
        <f>IF(ISNUMBER(FIND("arbeid",Methode_Keuze)),"",IF(ISNUMBER(FIND("arbeid",Methode_Keuze)),"",IF(Tb_Activiteiten[[#This Row],[Arbeidskosten]]=1,Tb_Activiteiten[[#Headers],[Arbeidskosten]],"")))</f>
        <v/>
      </c>
      <c r="AR1313" t="str">
        <f>IF(ISNUMBER(FIND("arbeid",Methode_Keuze)),"",IF(ISNUMBER(FIND("arbeid",Methode_Keuze)),"",IF(Tb_Activiteiten[[#This Row],[Arbeidskosten op basis van IKS]]=1,Tb_Activiteiten[[#Headers],[Arbeidskosten op basis van IKS]],"")))</f>
        <v/>
      </c>
      <c r="AS1313" t="str">
        <f>IF(ISNUMBER(FIND("overige",Methode_Keuze)),"",IF(Tb_Activiteiten[[#This Row],[Kosten derden exclusief btw]]=1,Tb_Activiteiten[[#Headers],[Kosten derden exclusief btw]],""))</f>
        <v/>
      </c>
      <c r="AT1313" t="str">
        <f>IF(ISNUMBER(FIND("overige",Methode_Keuze)),"",IF(Tb_Activiteiten[[#This Row],[Niet verrekenbare btw]]=1,Tb_Activiteiten[[#Headers],[Niet verrekenbare btw]],""))</f>
        <v/>
      </c>
      <c r="AU1313" t="str">
        <f>IF(ISNUMBER(FIND("overige",Methode_Keuze)),"",IF(Tb_Activiteiten[[#This Row],[Grondkosten]]=1,Tb_Activiteiten[[#Headers],[Grondkosten]],""))</f>
        <v/>
      </c>
      <c r="AV1313" t="str">
        <f>IF(ISNUMBER(FIND("overige",Methode_Keuze)),"",IF(Tb_Activiteiten[[#This Row],[Bijdrage in natura (overige)]]=1,Tb_Activiteiten[[#Headers],[Bijdrage in natura (overige)]],""))</f>
        <v/>
      </c>
      <c r="AW1313" t="str">
        <f>IF(ISNUMBER(FIND("overige",Methode_Keuze)),"",IF(Tb_Activiteiten[[#This Row],[Bijdrage in natura (vrijwilligers)]]=1,Tb_Activiteiten[[#Headers],[Bijdrage in natura (vrijwilligers)]],""))</f>
        <v/>
      </c>
      <c r="AX1313" t="str">
        <f>IF(ISNUMBER(FIND("overige",Methode_Keuze)),"",IF(Tb_Activiteiten[[#This Row],[Afschrijvingskosten]]=1,Tb_Activiteiten[[#Headers],[Afschrijvingskosten]],""))</f>
        <v/>
      </c>
      <c r="AY1313" t="str">
        <f>IF(ISNUMBER(FIND("overige",Methode_Keuze)),"",IF(Tb_Activiteiten[[#This Row],[Vergoeding]]=1,Tb_Activiteiten[[#Headers],[Vergoeding]],""))</f>
        <v/>
      </c>
      <c r="AZ1313" t="str">
        <f>IF(ISNUMBER(FIND("arbeid",Methode_Keuze)),"",IF(Tb_Activiteiten[[#This Row],[Arbeidskosten - vast tarief (excl eigen arbeid)]]=1,Tb_Activiteiten[[#Headers],[Arbeidskosten - vast tarief (excl eigen arbeid)]],""))</f>
        <v/>
      </c>
      <c r="BA1313" t="str">
        <f>IF(ISNUMBER(FIND("overige",Methode_Keuze)),"",IF(Tb_Activiteiten[[#This Row],[Overige kosten]]=1,Tb_Activiteiten[[#Headers],[Overige kosten]],""))</f>
        <v/>
      </c>
    </row>
    <row r="1314" spans="1:53" x14ac:dyDescent="0.25">
      <c r="A1314" s="139"/>
      <c r="B1314" s="139"/>
      <c r="C1314" s="139"/>
      <c r="D1314" s="139"/>
      <c r="E1314" s="139"/>
      <c r="F1314" s="139"/>
      <c r="G1314" s="139"/>
      <c r="O1314" s="56"/>
      <c r="Q1314" t="str">
        <f>IFERROR(IF(VLOOKUP(Tb_Activiteiten[[#This Row],[Openstelling]],Tb_Openstelling[],2,0)=1,1,""),"")</f>
        <v/>
      </c>
      <c r="AK1314" t="str">
        <f>IF(ISNUMBER(FIND("arbeid",Methode_Keuze)),"",IF(ISNUMBER(FIND("arbeid",Methode_Keuze)),"",IF(Tb_Activiteiten[[#This Row],[Loonkosten]]=1,Tb_Activiteiten[[#Headers],[Loonkosten]],"")))</f>
        <v/>
      </c>
      <c r="AL1314" t="str">
        <f>IF(ISNUMBER(FIND("arbeid",Methode_Keuze)),"",IF(ISNUMBER(FIND("arbeid",Methode_Keuze)),"",IF(Tb_Activiteiten[[#This Row],[Eigen arbeid]]=1,Tb_Activiteiten[[#Headers],[Eigen arbeid]],"")))</f>
        <v/>
      </c>
      <c r="AM1314" t="str">
        <f>IF(ISNUMBER(FIND("arbeid",Methode_Keuze)),"",IF(ISNUMBER(FIND("arbeid",Methode_Keuze)),"",IF(Tb_Activiteiten[[#This Row],[Projectmedewerker]]=1,Tb_Activiteiten[[#Headers],[Projectmedewerker]],"")))</f>
        <v/>
      </c>
      <c r="AN1314" t="str">
        <f>IF(ISNUMBER(FIND("arbeid",Methode_Keuze)),"",IF(ISNUMBER(FIND("arbeid",Methode_Keuze)),"",IF(Tb_Activiteiten[[#This Row],[Landbouwer]]=1,Tb_Activiteiten[[#Headers],[Landbouwer]],"")))</f>
        <v/>
      </c>
      <c r="AO1314" t="str">
        <f>IF(ISNUMBER(FIND("arbeid",Methode_Keuze)),"",IF(ISNUMBER(FIND("arbeid",Methode_Keuze)),"",IF(Tb_Activiteiten[[#This Row],[Adviseur]]=1,Tb_Activiteiten[[#Headers],[Adviseur]],"")))</f>
        <v/>
      </c>
      <c r="AP1314" t="str">
        <f>IF(ISNUMBER(FIND("arbeid",Methode_Keuze)),"",IF(ISNUMBER(FIND("arbeid",Methode_Keuze)),"",IF(Tb_Activiteiten[[#This Row],[Projectleider/Expert]]=1,Tb_Activiteiten[[#Headers],[Projectleider/Expert]],"")))</f>
        <v/>
      </c>
      <c r="AQ1314" t="str">
        <f>IF(ISNUMBER(FIND("arbeid",Methode_Keuze)),"",IF(ISNUMBER(FIND("arbeid",Methode_Keuze)),"",IF(Tb_Activiteiten[[#This Row],[Arbeidskosten]]=1,Tb_Activiteiten[[#Headers],[Arbeidskosten]],"")))</f>
        <v/>
      </c>
      <c r="AR1314" t="str">
        <f>IF(ISNUMBER(FIND("arbeid",Methode_Keuze)),"",IF(ISNUMBER(FIND("arbeid",Methode_Keuze)),"",IF(Tb_Activiteiten[[#This Row],[Arbeidskosten op basis van IKS]]=1,Tb_Activiteiten[[#Headers],[Arbeidskosten op basis van IKS]],"")))</f>
        <v/>
      </c>
      <c r="AS1314" t="str">
        <f>IF(ISNUMBER(FIND("overige",Methode_Keuze)),"",IF(Tb_Activiteiten[[#This Row],[Kosten derden exclusief btw]]=1,Tb_Activiteiten[[#Headers],[Kosten derden exclusief btw]],""))</f>
        <v/>
      </c>
      <c r="AT1314" t="str">
        <f>IF(ISNUMBER(FIND("overige",Methode_Keuze)),"",IF(Tb_Activiteiten[[#This Row],[Niet verrekenbare btw]]=1,Tb_Activiteiten[[#Headers],[Niet verrekenbare btw]],""))</f>
        <v/>
      </c>
      <c r="AU1314" t="str">
        <f>IF(ISNUMBER(FIND("overige",Methode_Keuze)),"",IF(Tb_Activiteiten[[#This Row],[Grondkosten]]=1,Tb_Activiteiten[[#Headers],[Grondkosten]],""))</f>
        <v/>
      </c>
      <c r="AV1314" t="str">
        <f>IF(ISNUMBER(FIND("overige",Methode_Keuze)),"",IF(Tb_Activiteiten[[#This Row],[Bijdrage in natura (overige)]]=1,Tb_Activiteiten[[#Headers],[Bijdrage in natura (overige)]],""))</f>
        <v/>
      </c>
      <c r="AW1314" t="str">
        <f>IF(ISNUMBER(FIND("overige",Methode_Keuze)),"",IF(Tb_Activiteiten[[#This Row],[Bijdrage in natura (vrijwilligers)]]=1,Tb_Activiteiten[[#Headers],[Bijdrage in natura (vrijwilligers)]],""))</f>
        <v/>
      </c>
      <c r="AX1314" t="str">
        <f>IF(ISNUMBER(FIND("overige",Methode_Keuze)),"",IF(Tb_Activiteiten[[#This Row],[Afschrijvingskosten]]=1,Tb_Activiteiten[[#Headers],[Afschrijvingskosten]],""))</f>
        <v/>
      </c>
      <c r="AY1314" t="str">
        <f>IF(ISNUMBER(FIND("overige",Methode_Keuze)),"",IF(Tb_Activiteiten[[#This Row],[Vergoeding]]=1,Tb_Activiteiten[[#Headers],[Vergoeding]],""))</f>
        <v/>
      </c>
      <c r="AZ1314" t="str">
        <f>IF(ISNUMBER(FIND("arbeid",Methode_Keuze)),"",IF(Tb_Activiteiten[[#This Row],[Arbeidskosten - vast tarief (excl eigen arbeid)]]=1,Tb_Activiteiten[[#Headers],[Arbeidskosten - vast tarief (excl eigen arbeid)]],""))</f>
        <v/>
      </c>
      <c r="BA1314" t="str">
        <f>IF(ISNUMBER(FIND("overige",Methode_Keuze)),"",IF(Tb_Activiteiten[[#This Row],[Overige kosten]]=1,Tb_Activiteiten[[#Headers],[Overige kosten]],""))</f>
        <v/>
      </c>
    </row>
    <row r="1315" spans="1:53" x14ac:dyDescent="0.25">
      <c r="A1315" s="139"/>
      <c r="B1315" s="139"/>
      <c r="C1315" s="139"/>
      <c r="D1315" s="139"/>
      <c r="E1315" s="139"/>
      <c r="F1315" s="139"/>
      <c r="G1315" s="139"/>
      <c r="O1315" s="56"/>
      <c r="Q1315" t="str">
        <f>IFERROR(IF(VLOOKUP(Tb_Activiteiten[[#This Row],[Openstelling]],Tb_Openstelling[],2,0)=1,1,""),"")</f>
        <v/>
      </c>
      <c r="AK1315" t="str">
        <f>IF(ISNUMBER(FIND("arbeid",Methode_Keuze)),"",IF(ISNUMBER(FIND("arbeid",Methode_Keuze)),"",IF(Tb_Activiteiten[[#This Row],[Loonkosten]]=1,Tb_Activiteiten[[#Headers],[Loonkosten]],"")))</f>
        <v/>
      </c>
      <c r="AL1315" t="str">
        <f>IF(ISNUMBER(FIND("arbeid",Methode_Keuze)),"",IF(ISNUMBER(FIND("arbeid",Methode_Keuze)),"",IF(Tb_Activiteiten[[#This Row],[Eigen arbeid]]=1,Tb_Activiteiten[[#Headers],[Eigen arbeid]],"")))</f>
        <v/>
      </c>
      <c r="AM1315" t="str">
        <f>IF(ISNUMBER(FIND("arbeid",Methode_Keuze)),"",IF(ISNUMBER(FIND("arbeid",Methode_Keuze)),"",IF(Tb_Activiteiten[[#This Row],[Projectmedewerker]]=1,Tb_Activiteiten[[#Headers],[Projectmedewerker]],"")))</f>
        <v/>
      </c>
      <c r="AN1315" t="str">
        <f>IF(ISNUMBER(FIND("arbeid",Methode_Keuze)),"",IF(ISNUMBER(FIND("arbeid",Methode_Keuze)),"",IF(Tb_Activiteiten[[#This Row],[Landbouwer]]=1,Tb_Activiteiten[[#Headers],[Landbouwer]],"")))</f>
        <v/>
      </c>
      <c r="AO1315" t="str">
        <f>IF(ISNUMBER(FIND("arbeid",Methode_Keuze)),"",IF(ISNUMBER(FIND("arbeid",Methode_Keuze)),"",IF(Tb_Activiteiten[[#This Row],[Adviseur]]=1,Tb_Activiteiten[[#Headers],[Adviseur]],"")))</f>
        <v/>
      </c>
      <c r="AP1315" t="str">
        <f>IF(ISNUMBER(FIND("arbeid",Methode_Keuze)),"",IF(ISNUMBER(FIND("arbeid",Methode_Keuze)),"",IF(Tb_Activiteiten[[#This Row],[Projectleider/Expert]]=1,Tb_Activiteiten[[#Headers],[Projectleider/Expert]],"")))</f>
        <v/>
      </c>
      <c r="AQ1315" t="str">
        <f>IF(ISNUMBER(FIND("arbeid",Methode_Keuze)),"",IF(ISNUMBER(FIND("arbeid",Methode_Keuze)),"",IF(Tb_Activiteiten[[#This Row],[Arbeidskosten]]=1,Tb_Activiteiten[[#Headers],[Arbeidskosten]],"")))</f>
        <v/>
      </c>
      <c r="AR1315" t="str">
        <f>IF(ISNUMBER(FIND("arbeid",Methode_Keuze)),"",IF(ISNUMBER(FIND("arbeid",Methode_Keuze)),"",IF(Tb_Activiteiten[[#This Row],[Arbeidskosten op basis van IKS]]=1,Tb_Activiteiten[[#Headers],[Arbeidskosten op basis van IKS]],"")))</f>
        <v/>
      </c>
      <c r="AS1315" t="str">
        <f>IF(ISNUMBER(FIND("overige",Methode_Keuze)),"",IF(Tb_Activiteiten[[#This Row],[Kosten derden exclusief btw]]=1,Tb_Activiteiten[[#Headers],[Kosten derden exclusief btw]],""))</f>
        <v/>
      </c>
      <c r="AT1315" t="str">
        <f>IF(ISNUMBER(FIND("overige",Methode_Keuze)),"",IF(Tb_Activiteiten[[#This Row],[Niet verrekenbare btw]]=1,Tb_Activiteiten[[#Headers],[Niet verrekenbare btw]],""))</f>
        <v/>
      </c>
      <c r="AU1315" t="str">
        <f>IF(ISNUMBER(FIND("overige",Methode_Keuze)),"",IF(Tb_Activiteiten[[#This Row],[Grondkosten]]=1,Tb_Activiteiten[[#Headers],[Grondkosten]],""))</f>
        <v/>
      </c>
      <c r="AV1315" t="str">
        <f>IF(ISNUMBER(FIND("overige",Methode_Keuze)),"",IF(Tb_Activiteiten[[#This Row],[Bijdrage in natura (overige)]]=1,Tb_Activiteiten[[#Headers],[Bijdrage in natura (overige)]],""))</f>
        <v/>
      </c>
      <c r="AW1315" t="str">
        <f>IF(ISNUMBER(FIND("overige",Methode_Keuze)),"",IF(Tb_Activiteiten[[#This Row],[Bijdrage in natura (vrijwilligers)]]=1,Tb_Activiteiten[[#Headers],[Bijdrage in natura (vrijwilligers)]],""))</f>
        <v/>
      </c>
      <c r="AX1315" t="str">
        <f>IF(ISNUMBER(FIND("overige",Methode_Keuze)),"",IF(Tb_Activiteiten[[#This Row],[Afschrijvingskosten]]=1,Tb_Activiteiten[[#Headers],[Afschrijvingskosten]],""))</f>
        <v/>
      </c>
      <c r="AY1315" t="str">
        <f>IF(ISNUMBER(FIND("overige",Methode_Keuze)),"",IF(Tb_Activiteiten[[#This Row],[Vergoeding]]=1,Tb_Activiteiten[[#Headers],[Vergoeding]],""))</f>
        <v/>
      </c>
      <c r="AZ1315" t="str">
        <f>IF(ISNUMBER(FIND("arbeid",Methode_Keuze)),"",IF(Tb_Activiteiten[[#This Row],[Arbeidskosten - vast tarief (excl eigen arbeid)]]=1,Tb_Activiteiten[[#Headers],[Arbeidskosten - vast tarief (excl eigen arbeid)]],""))</f>
        <v/>
      </c>
      <c r="BA1315" t="str">
        <f>IF(ISNUMBER(FIND("overige",Methode_Keuze)),"",IF(Tb_Activiteiten[[#This Row],[Overige kosten]]=1,Tb_Activiteiten[[#Headers],[Overige kosten]],""))</f>
        <v/>
      </c>
    </row>
    <row r="1316" spans="1:53" x14ac:dyDescent="0.25">
      <c r="A1316" s="139"/>
      <c r="B1316" s="139"/>
      <c r="C1316" s="139"/>
      <c r="D1316" s="139"/>
      <c r="E1316" s="139"/>
      <c r="F1316" s="139"/>
      <c r="G1316" s="139"/>
      <c r="O1316" s="56"/>
      <c r="Q1316" t="str">
        <f>IFERROR(IF(VLOOKUP(Tb_Activiteiten[[#This Row],[Openstelling]],Tb_Openstelling[],2,0)=1,1,""),"")</f>
        <v/>
      </c>
      <c r="AK1316" t="str">
        <f>IF(ISNUMBER(FIND("arbeid",Methode_Keuze)),"",IF(ISNUMBER(FIND("arbeid",Methode_Keuze)),"",IF(Tb_Activiteiten[[#This Row],[Loonkosten]]=1,Tb_Activiteiten[[#Headers],[Loonkosten]],"")))</f>
        <v/>
      </c>
      <c r="AL1316" t="str">
        <f>IF(ISNUMBER(FIND("arbeid",Methode_Keuze)),"",IF(ISNUMBER(FIND("arbeid",Methode_Keuze)),"",IF(Tb_Activiteiten[[#This Row],[Eigen arbeid]]=1,Tb_Activiteiten[[#Headers],[Eigen arbeid]],"")))</f>
        <v/>
      </c>
      <c r="AM1316" t="str">
        <f>IF(ISNUMBER(FIND("arbeid",Methode_Keuze)),"",IF(ISNUMBER(FIND("arbeid",Methode_Keuze)),"",IF(Tb_Activiteiten[[#This Row],[Projectmedewerker]]=1,Tb_Activiteiten[[#Headers],[Projectmedewerker]],"")))</f>
        <v/>
      </c>
      <c r="AN1316" t="str">
        <f>IF(ISNUMBER(FIND("arbeid",Methode_Keuze)),"",IF(ISNUMBER(FIND("arbeid",Methode_Keuze)),"",IF(Tb_Activiteiten[[#This Row],[Landbouwer]]=1,Tb_Activiteiten[[#Headers],[Landbouwer]],"")))</f>
        <v/>
      </c>
      <c r="AO1316" t="str">
        <f>IF(ISNUMBER(FIND("arbeid",Methode_Keuze)),"",IF(ISNUMBER(FIND("arbeid",Methode_Keuze)),"",IF(Tb_Activiteiten[[#This Row],[Adviseur]]=1,Tb_Activiteiten[[#Headers],[Adviseur]],"")))</f>
        <v/>
      </c>
      <c r="AP1316" t="str">
        <f>IF(ISNUMBER(FIND("arbeid",Methode_Keuze)),"",IF(ISNUMBER(FIND("arbeid",Methode_Keuze)),"",IF(Tb_Activiteiten[[#This Row],[Projectleider/Expert]]=1,Tb_Activiteiten[[#Headers],[Projectleider/Expert]],"")))</f>
        <v/>
      </c>
      <c r="AQ1316" t="str">
        <f>IF(ISNUMBER(FIND("arbeid",Methode_Keuze)),"",IF(ISNUMBER(FIND("arbeid",Methode_Keuze)),"",IF(Tb_Activiteiten[[#This Row],[Arbeidskosten]]=1,Tb_Activiteiten[[#Headers],[Arbeidskosten]],"")))</f>
        <v/>
      </c>
      <c r="AR1316" t="str">
        <f>IF(ISNUMBER(FIND("arbeid",Methode_Keuze)),"",IF(ISNUMBER(FIND("arbeid",Methode_Keuze)),"",IF(Tb_Activiteiten[[#This Row],[Arbeidskosten op basis van IKS]]=1,Tb_Activiteiten[[#Headers],[Arbeidskosten op basis van IKS]],"")))</f>
        <v/>
      </c>
      <c r="AS1316" t="str">
        <f>IF(ISNUMBER(FIND("overige",Methode_Keuze)),"",IF(Tb_Activiteiten[[#This Row],[Kosten derden exclusief btw]]=1,Tb_Activiteiten[[#Headers],[Kosten derden exclusief btw]],""))</f>
        <v/>
      </c>
      <c r="AT1316" t="str">
        <f>IF(ISNUMBER(FIND("overige",Methode_Keuze)),"",IF(Tb_Activiteiten[[#This Row],[Niet verrekenbare btw]]=1,Tb_Activiteiten[[#Headers],[Niet verrekenbare btw]],""))</f>
        <v/>
      </c>
      <c r="AU1316" t="str">
        <f>IF(ISNUMBER(FIND("overige",Methode_Keuze)),"",IF(Tb_Activiteiten[[#This Row],[Grondkosten]]=1,Tb_Activiteiten[[#Headers],[Grondkosten]],""))</f>
        <v/>
      </c>
      <c r="AV1316" t="str">
        <f>IF(ISNUMBER(FIND("overige",Methode_Keuze)),"",IF(Tb_Activiteiten[[#This Row],[Bijdrage in natura (overige)]]=1,Tb_Activiteiten[[#Headers],[Bijdrage in natura (overige)]],""))</f>
        <v/>
      </c>
      <c r="AW1316" t="str">
        <f>IF(ISNUMBER(FIND("overige",Methode_Keuze)),"",IF(Tb_Activiteiten[[#This Row],[Bijdrage in natura (vrijwilligers)]]=1,Tb_Activiteiten[[#Headers],[Bijdrage in natura (vrijwilligers)]],""))</f>
        <v/>
      </c>
      <c r="AX1316" t="str">
        <f>IF(ISNUMBER(FIND("overige",Methode_Keuze)),"",IF(Tb_Activiteiten[[#This Row],[Afschrijvingskosten]]=1,Tb_Activiteiten[[#Headers],[Afschrijvingskosten]],""))</f>
        <v/>
      </c>
      <c r="AY1316" t="str">
        <f>IF(ISNUMBER(FIND("overige",Methode_Keuze)),"",IF(Tb_Activiteiten[[#This Row],[Vergoeding]]=1,Tb_Activiteiten[[#Headers],[Vergoeding]],""))</f>
        <v/>
      </c>
      <c r="AZ1316" t="str">
        <f>IF(ISNUMBER(FIND("arbeid",Methode_Keuze)),"",IF(Tb_Activiteiten[[#This Row],[Arbeidskosten - vast tarief (excl eigen arbeid)]]=1,Tb_Activiteiten[[#Headers],[Arbeidskosten - vast tarief (excl eigen arbeid)]],""))</f>
        <v/>
      </c>
      <c r="BA1316" t="str">
        <f>IF(ISNUMBER(FIND("overige",Methode_Keuze)),"",IF(Tb_Activiteiten[[#This Row],[Overige kosten]]=1,Tb_Activiteiten[[#Headers],[Overige kosten]],""))</f>
        <v/>
      </c>
    </row>
    <row r="1317" spans="1:53" x14ac:dyDescent="0.25">
      <c r="A1317" s="139"/>
      <c r="B1317" s="139"/>
      <c r="C1317" s="139"/>
      <c r="D1317" s="139"/>
      <c r="E1317" s="139"/>
      <c r="F1317" s="139"/>
      <c r="G1317" s="139"/>
      <c r="O1317" s="56"/>
      <c r="Q1317" t="str">
        <f>IFERROR(IF(VLOOKUP(Tb_Activiteiten[[#This Row],[Openstelling]],Tb_Openstelling[],2,0)=1,1,""),"")</f>
        <v/>
      </c>
      <c r="AK1317" t="str">
        <f>IF(ISNUMBER(FIND("arbeid",Methode_Keuze)),"",IF(ISNUMBER(FIND("arbeid",Methode_Keuze)),"",IF(Tb_Activiteiten[[#This Row],[Loonkosten]]=1,Tb_Activiteiten[[#Headers],[Loonkosten]],"")))</f>
        <v/>
      </c>
      <c r="AL1317" t="str">
        <f>IF(ISNUMBER(FIND("arbeid",Methode_Keuze)),"",IF(ISNUMBER(FIND("arbeid",Methode_Keuze)),"",IF(Tb_Activiteiten[[#This Row],[Eigen arbeid]]=1,Tb_Activiteiten[[#Headers],[Eigen arbeid]],"")))</f>
        <v/>
      </c>
      <c r="AM1317" t="str">
        <f>IF(ISNUMBER(FIND("arbeid",Methode_Keuze)),"",IF(ISNUMBER(FIND("arbeid",Methode_Keuze)),"",IF(Tb_Activiteiten[[#This Row],[Projectmedewerker]]=1,Tb_Activiteiten[[#Headers],[Projectmedewerker]],"")))</f>
        <v/>
      </c>
      <c r="AN1317" t="str">
        <f>IF(ISNUMBER(FIND("arbeid",Methode_Keuze)),"",IF(ISNUMBER(FIND("arbeid",Methode_Keuze)),"",IF(Tb_Activiteiten[[#This Row],[Landbouwer]]=1,Tb_Activiteiten[[#Headers],[Landbouwer]],"")))</f>
        <v/>
      </c>
      <c r="AO1317" t="str">
        <f>IF(ISNUMBER(FIND("arbeid",Methode_Keuze)),"",IF(ISNUMBER(FIND("arbeid",Methode_Keuze)),"",IF(Tb_Activiteiten[[#This Row],[Adviseur]]=1,Tb_Activiteiten[[#Headers],[Adviseur]],"")))</f>
        <v/>
      </c>
      <c r="AP1317" t="str">
        <f>IF(ISNUMBER(FIND("arbeid",Methode_Keuze)),"",IF(ISNUMBER(FIND("arbeid",Methode_Keuze)),"",IF(Tb_Activiteiten[[#This Row],[Projectleider/Expert]]=1,Tb_Activiteiten[[#Headers],[Projectleider/Expert]],"")))</f>
        <v/>
      </c>
      <c r="AQ1317" t="str">
        <f>IF(ISNUMBER(FIND("arbeid",Methode_Keuze)),"",IF(ISNUMBER(FIND("arbeid",Methode_Keuze)),"",IF(Tb_Activiteiten[[#This Row],[Arbeidskosten]]=1,Tb_Activiteiten[[#Headers],[Arbeidskosten]],"")))</f>
        <v/>
      </c>
      <c r="AR1317" t="str">
        <f>IF(ISNUMBER(FIND("arbeid",Methode_Keuze)),"",IF(ISNUMBER(FIND("arbeid",Methode_Keuze)),"",IF(Tb_Activiteiten[[#This Row],[Arbeidskosten op basis van IKS]]=1,Tb_Activiteiten[[#Headers],[Arbeidskosten op basis van IKS]],"")))</f>
        <v/>
      </c>
      <c r="AS1317" t="str">
        <f>IF(ISNUMBER(FIND("overige",Methode_Keuze)),"",IF(Tb_Activiteiten[[#This Row],[Kosten derden exclusief btw]]=1,Tb_Activiteiten[[#Headers],[Kosten derden exclusief btw]],""))</f>
        <v/>
      </c>
      <c r="AT1317" t="str">
        <f>IF(ISNUMBER(FIND("overige",Methode_Keuze)),"",IF(Tb_Activiteiten[[#This Row],[Niet verrekenbare btw]]=1,Tb_Activiteiten[[#Headers],[Niet verrekenbare btw]],""))</f>
        <v/>
      </c>
      <c r="AU1317" t="str">
        <f>IF(ISNUMBER(FIND("overige",Methode_Keuze)),"",IF(Tb_Activiteiten[[#This Row],[Grondkosten]]=1,Tb_Activiteiten[[#Headers],[Grondkosten]],""))</f>
        <v/>
      </c>
      <c r="AV1317" t="str">
        <f>IF(ISNUMBER(FIND("overige",Methode_Keuze)),"",IF(Tb_Activiteiten[[#This Row],[Bijdrage in natura (overige)]]=1,Tb_Activiteiten[[#Headers],[Bijdrage in natura (overige)]],""))</f>
        <v/>
      </c>
      <c r="AW1317" t="str">
        <f>IF(ISNUMBER(FIND("overige",Methode_Keuze)),"",IF(Tb_Activiteiten[[#This Row],[Bijdrage in natura (vrijwilligers)]]=1,Tb_Activiteiten[[#Headers],[Bijdrage in natura (vrijwilligers)]],""))</f>
        <v/>
      </c>
      <c r="AX1317" t="str">
        <f>IF(ISNUMBER(FIND("overige",Methode_Keuze)),"",IF(Tb_Activiteiten[[#This Row],[Afschrijvingskosten]]=1,Tb_Activiteiten[[#Headers],[Afschrijvingskosten]],""))</f>
        <v/>
      </c>
      <c r="AY1317" t="str">
        <f>IF(ISNUMBER(FIND("overige",Methode_Keuze)),"",IF(Tb_Activiteiten[[#This Row],[Vergoeding]]=1,Tb_Activiteiten[[#Headers],[Vergoeding]],""))</f>
        <v/>
      </c>
      <c r="AZ1317" t="str">
        <f>IF(ISNUMBER(FIND("arbeid",Methode_Keuze)),"",IF(Tb_Activiteiten[[#This Row],[Arbeidskosten - vast tarief (excl eigen arbeid)]]=1,Tb_Activiteiten[[#Headers],[Arbeidskosten - vast tarief (excl eigen arbeid)]],""))</f>
        <v/>
      </c>
      <c r="BA1317" t="str">
        <f>IF(ISNUMBER(FIND("overige",Methode_Keuze)),"",IF(Tb_Activiteiten[[#This Row],[Overige kosten]]=1,Tb_Activiteiten[[#Headers],[Overige kosten]],""))</f>
        <v/>
      </c>
    </row>
    <row r="1318" spans="1:53" x14ac:dyDescent="0.25">
      <c r="A1318" s="139"/>
      <c r="B1318" s="139"/>
      <c r="C1318" s="139"/>
      <c r="D1318" s="139"/>
      <c r="E1318" s="139"/>
      <c r="F1318" s="139"/>
      <c r="G1318" s="139"/>
      <c r="O1318" s="56"/>
      <c r="Q1318" t="str">
        <f>IFERROR(IF(VLOOKUP(Tb_Activiteiten[[#This Row],[Openstelling]],Tb_Openstelling[],2,0)=1,1,""),"")</f>
        <v/>
      </c>
      <c r="AK1318" t="str">
        <f>IF(ISNUMBER(FIND("arbeid",Methode_Keuze)),"",IF(ISNUMBER(FIND("arbeid",Methode_Keuze)),"",IF(Tb_Activiteiten[[#This Row],[Loonkosten]]=1,Tb_Activiteiten[[#Headers],[Loonkosten]],"")))</f>
        <v/>
      </c>
      <c r="AL1318" t="str">
        <f>IF(ISNUMBER(FIND("arbeid",Methode_Keuze)),"",IF(ISNUMBER(FIND("arbeid",Methode_Keuze)),"",IF(Tb_Activiteiten[[#This Row],[Eigen arbeid]]=1,Tb_Activiteiten[[#Headers],[Eigen arbeid]],"")))</f>
        <v/>
      </c>
      <c r="AM1318" t="str">
        <f>IF(ISNUMBER(FIND("arbeid",Methode_Keuze)),"",IF(ISNUMBER(FIND("arbeid",Methode_Keuze)),"",IF(Tb_Activiteiten[[#This Row],[Projectmedewerker]]=1,Tb_Activiteiten[[#Headers],[Projectmedewerker]],"")))</f>
        <v/>
      </c>
      <c r="AN1318" t="str">
        <f>IF(ISNUMBER(FIND("arbeid",Methode_Keuze)),"",IF(ISNUMBER(FIND("arbeid",Methode_Keuze)),"",IF(Tb_Activiteiten[[#This Row],[Landbouwer]]=1,Tb_Activiteiten[[#Headers],[Landbouwer]],"")))</f>
        <v/>
      </c>
      <c r="AO1318" t="str">
        <f>IF(ISNUMBER(FIND("arbeid",Methode_Keuze)),"",IF(ISNUMBER(FIND("arbeid",Methode_Keuze)),"",IF(Tb_Activiteiten[[#This Row],[Adviseur]]=1,Tb_Activiteiten[[#Headers],[Adviseur]],"")))</f>
        <v/>
      </c>
      <c r="AP1318" t="str">
        <f>IF(ISNUMBER(FIND("arbeid",Methode_Keuze)),"",IF(ISNUMBER(FIND("arbeid",Methode_Keuze)),"",IF(Tb_Activiteiten[[#This Row],[Projectleider/Expert]]=1,Tb_Activiteiten[[#Headers],[Projectleider/Expert]],"")))</f>
        <v/>
      </c>
      <c r="AQ1318" t="str">
        <f>IF(ISNUMBER(FIND("arbeid",Methode_Keuze)),"",IF(ISNUMBER(FIND("arbeid",Methode_Keuze)),"",IF(Tb_Activiteiten[[#This Row],[Arbeidskosten]]=1,Tb_Activiteiten[[#Headers],[Arbeidskosten]],"")))</f>
        <v/>
      </c>
      <c r="AR1318" t="str">
        <f>IF(ISNUMBER(FIND("arbeid",Methode_Keuze)),"",IF(ISNUMBER(FIND("arbeid",Methode_Keuze)),"",IF(Tb_Activiteiten[[#This Row],[Arbeidskosten op basis van IKS]]=1,Tb_Activiteiten[[#Headers],[Arbeidskosten op basis van IKS]],"")))</f>
        <v/>
      </c>
      <c r="AS1318" t="str">
        <f>IF(ISNUMBER(FIND("overige",Methode_Keuze)),"",IF(Tb_Activiteiten[[#This Row],[Kosten derden exclusief btw]]=1,Tb_Activiteiten[[#Headers],[Kosten derden exclusief btw]],""))</f>
        <v/>
      </c>
      <c r="AT1318" t="str">
        <f>IF(ISNUMBER(FIND("overige",Methode_Keuze)),"",IF(Tb_Activiteiten[[#This Row],[Niet verrekenbare btw]]=1,Tb_Activiteiten[[#Headers],[Niet verrekenbare btw]],""))</f>
        <v/>
      </c>
      <c r="AU1318" t="str">
        <f>IF(ISNUMBER(FIND("overige",Methode_Keuze)),"",IF(Tb_Activiteiten[[#This Row],[Grondkosten]]=1,Tb_Activiteiten[[#Headers],[Grondkosten]],""))</f>
        <v/>
      </c>
      <c r="AV1318" t="str">
        <f>IF(ISNUMBER(FIND("overige",Methode_Keuze)),"",IF(Tb_Activiteiten[[#This Row],[Bijdrage in natura (overige)]]=1,Tb_Activiteiten[[#Headers],[Bijdrage in natura (overige)]],""))</f>
        <v/>
      </c>
      <c r="AW1318" t="str">
        <f>IF(ISNUMBER(FIND("overige",Methode_Keuze)),"",IF(Tb_Activiteiten[[#This Row],[Bijdrage in natura (vrijwilligers)]]=1,Tb_Activiteiten[[#Headers],[Bijdrage in natura (vrijwilligers)]],""))</f>
        <v/>
      </c>
      <c r="AX1318" t="str">
        <f>IF(ISNUMBER(FIND("overige",Methode_Keuze)),"",IF(Tb_Activiteiten[[#This Row],[Afschrijvingskosten]]=1,Tb_Activiteiten[[#Headers],[Afschrijvingskosten]],""))</f>
        <v/>
      </c>
      <c r="AY1318" t="str">
        <f>IF(ISNUMBER(FIND("overige",Methode_Keuze)),"",IF(Tb_Activiteiten[[#This Row],[Vergoeding]]=1,Tb_Activiteiten[[#Headers],[Vergoeding]],""))</f>
        <v/>
      </c>
      <c r="AZ1318" t="str">
        <f>IF(ISNUMBER(FIND("arbeid",Methode_Keuze)),"",IF(Tb_Activiteiten[[#This Row],[Arbeidskosten - vast tarief (excl eigen arbeid)]]=1,Tb_Activiteiten[[#Headers],[Arbeidskosten - vast tarief (excl eigen arbeid)]],""))</f>
        <v/>
      </c>
      <c r="BA1318" t="str">
        <f>IF(ISNUMBER(FIND("overige",Methode_Keuze)),"",IF(Tb_Activiteiten[[#This Row],[Overige kosten]]=1,Tb_Activiteiten[[#Headers],[Overige kosten]],""))</f>
        <v/>
      </c>
    </row>
    <row r="1319" spans="1:53" x14ac:dyDescent="0.25">
      <c r="A1319" s="139"/>
      <c r="B1319" s="139"/>
      <c r="C1319" s="139"/>
      <c r="D1319" s="139"/>
      <c r="E1319" s="139"/>
      <c r="F1319" s="139"/>
      <c r="G1319" s="139"/>
      <c r="O1319" s="56"/>
      <c r="Q1319" t="str">
        <f>IFERROR(IF(VLOOKUP(Tb_Activiteiten[[#This Row],[Openstelling]],Tb_Openstelling[],2,0)=1,1,""),"")</f>
        <v/>
      </c>
      <c r="AK1319" t="str">
        <f>IF(ISNUMBER(FIND("arbeid",Methode_Keuze)),"",IF(ISNUMBER(FIND("arbeid",Methode_Keuze)),"",IF(Tb_Activiteiten[[#This Row],[Loonkosten]]=1,Tb_Activiteiten[[#Headers],[Loonkosten]],"")))</f>
        <v/>
      </c>
      <c r="AL1319" t="str">
        <f>IF(ISNUMBER(FIND("arbeid",Methode_Keuze)),"",IF(ISNUMBER(FIND("arbeid",Methode_Keuze)),"",IF(Tb_Activiteiten[[#This Row],[Eigen arbeid]]=1,Tb_Activiteiten[[#Headers],[Eigen arbeid]],"")))</f>
        <v/>
      </c>
      <c r="AM1319" t="str">
        <f>IF(ISNUMBER(FIND("arbeid",Methode_Keuze)),"",IF(ISNUMBER(FIND("arbeid",Methode_Keuze)),"",IF(Tb_Activiteiten[[#This Row],[Projectmedewerker]]=1,Tb_Activiteiten[[#Headers],[Projectmedewerker]],"")))</f>
        <v/>
      </c>
      <c r="AN1319" t="str">
        <f>IF(ISNUMBER(FIND("arbeid",Methode_Keuze)),"",IF(ISNUMBER(FIND("arbeid",Methode_Keuze)),"",IF(Tb_Activiteiten[[#This Row],[Landbouwer]]=1,Tb_Activiteiten[[#Headers],[Landbouwer]],"")))</f>
        <v/>
      </c>
      <c r="AO1319" t="str">
        <f>IF(ISNUMBER(FIND("arbeid",Methode_Keuze)),"",IF(ISNUMBER(FIND("arbeid",Methode_Keuze)),"",IF(Tb_Activiteiten[[#This Row],[Adviseur]]=1,Tb_Activiteiten[[#Headers],[Adviseur]],"")))</f>
        <v/>
      </c>
      <c r="AP1319" t="str">
        <f>IF(ISNUMBER(FIND("arbeid",Methode_Keuze)),"",IF(ISNUMBER(FIND("arbeid",Methode_Keuze)),"",IF(Tb_Activiteiten[[#This Row],[Projectleider/Expert]]=1,Tb_Activiteiten[[#Headers],[Projectleider/Expert]],"")))</f>
        <v/>
      </c>
      <c r="AQ1319" t="str">
        <f>IF(ISNUMBER(FIND("arbeid",Methode_Keuze)),"",IF(ISNUMBER(FIND("arbeid",Methode_Keuze)),"",IF(Tb_Activiteiten[[#This Row],[Arbeidskosten]]=1,Tb_Activiteiten[[#Headers],[Arbeidskosten]],"")))</f>
        <v/>
      </c>
      <c r="AR1319" t="str">
        <f>IF(ISNUMBER(FIND("arbeid",Methode_Keuze)),"",IF(ISNUMBER(FIND("arbeid",Methode_Keuze)),"",IF(Tb_Activiteiten[[#This Row],[Arbeidskosten op basis van IKS]]=1,Tb_Activiteiten[[#Headers],[Arbeidskosten op basis van IKS]],"")))</f>
        <v/>
      </c>
      <c r="AS1319" t="str">
        <f>IF(ISNUMBER(FIND("overige",Methode_Keuze)),"",IF(Tb_Activiteiten[[#This Row],[Kosten derden exclusief btw]]=1,Tb_Activiteiten[[#Headers],[Kosten derden exclusief btw]],""))</f>
        <v/>
      </c>
      <c r="AT1319" t="str">
        <f>IF(ISNUMBER(FIND("overige",Methode_Keuze)),"",IF(Tb_Activiteiten[[#This Row],[Niet verrekenbare btw]]=1,Tb_Activiteiten[[#Headers],[Niet verrekenbare btw]],""))</f>
        <v/>
      </c>
      <c r="AU1319" t="str">
        <f>IF(ISNUMBER(FIND("overige",Methode_Keuze)),"",IF(Tb_Activiteiten[[#This Row],[Grondkosten]]=1,Tb_Activiteiten[[#Headers],[Grondkosten]],""))</f>
        <v/>
      </c>
      <c r="AV1319" t="str">
        <f>IF(ISNUMBER(FIND("overige",Methode_Keuze)),"",IF(Tb_Activiteiten[[#This Row],[Bijdrage in natura (overige)]]=1,Tb_Activiteiten[[#Headers],[Bijdrage in natura (overige)]],""))</f>
        <v/>
      </c>
      <c r="AW1319" t="str">
        <f>IF(ISNUMBER(FIND("overige",Methode_Keuze)),"",IF(Tb_Activiteiten[[#This Row],[Bijdrage in natura (vrijwilligers)]]=1,Tb_Activiteiten[[#Headers],[Bijdrage in natura (vrijwilligers)]],""))</f>
        <v/>
      </c>
      <c r="AX1319" t="str">
        <f>IF(ISNUMBER(FIND("overige",Methode_Keuze)),"",IF(Tb_Activiteiten[[#This Row],[Afschrijvingskosten]]=1,Tb_Activiteiten[[#Headers],[Afschrijvingskosten]],""))</f>
        <v/>
      </c>
      <c r="AY1319" t="str">
        <f>IF(ISNUMBER(FIND("overige",Methode_Keuze)),"",IF(Tb_Activiteiten[[#This Row],[Vergoeding]]=1,Tb_Activiteiten[[#Headers],[Vergoeding]],""))</f>
        <v/>
      </c>
      <c r="AZ1319" t="str">
        <f>IF(ISNUMBER(FIND("arbeid",Methode_Keuze)),"",IF(Tb_Activiteiten[[#This Row],[Arbeidskosten - vast tarief (excl eigen arbeid)]]=1,Tb_Activiteiten[[#Headers],[Arbeidskosten - vast tarief (excl eigen arbeid)]],""))</f>
        <v/>
      </c>
      <c r="BA1319" t="str">
        <f>IF(ISNUMBER(FIND("overige",Methode_Keuze)),"",IF(Tb_Activiteiten[[#This Row],[Overige kosten]]=1,Tb_Activiteiten[[#Headers],[Overige kosten]],""))</f>
        <v/>
      </c>
    </row>
    <row r="1320" spans="1:53" x14ac:dyDescent="0.25">
      <c r="A1320" s="139"/>
      <c r="B1320" s="139"/>
      <c r="C1320" s="139"/>
      <c r="D1320" s="139"/>
      <c r="E1320" s="139"/>
      <c r="F1320" s="139"/>
      <c r="G1320" s="139"/>
      <c r="O1320" s="56"/>
      <c r="Q1320" t="str">
        <f>IFERROR(IF(VLOOKUP(Tb_Activiteiten[[#This Row],[Openstelling]],Tb_Openstelling[],2,0)=1,1,""),"")</f>
        <v/>
      </c>
      <c r="AK1320" t="str">
        <f>IF(ISNUMBER(FIND("arbeid",Methode_Keuze)),"",IF(ISNUMBER(FIND("arbeid",Methode_Keuze)),"",IF(Tb_Activiteiten[[#This Row],[Loonkosten]]=1,Tb_Activiteiten[[#Headers],[Loonkosten]],"")))</f>
        <v/>
      </c>
      <c r="AL1320" t="str">
        <f>IF(ISNUMBER(FIND("arbeid",Methode_Keuze)),"",IF(ISNUMBER(FIND("arbeid",Methode_Keuze)),"",IF(Tb_Activiteiten[[#This Row],[Eigen arbeid]]=1,Tb_Activiteiten[[#Headers],[Eigen arbeid]],"")))</f>
        <v/>
      </c>
      <c r="AM1320" t="str">
        <f>IF(ISNUMBER(FIND("arbeid",Methode_Keuze)),"",IF(ISNUMBER(FIND("arbeid",Methode_Keuze)),"",IF(Tb_Activiteiten[[#This Row],[Projectmedewerker]]=1,Tb_Activiteiten[[#Headers],[Projectmedewerker]],"")))</f>
        <v/>
      </c>
      <c r="AN1320" t="str">
        <f>IF(ISNUMBER(FIND("arbeid",Methode_Keuze)),"",IF(ISNUMBER(FIND("arbeid",Methode_Keuze)),"",IF(Tb_Activiteiten[[#This Row],[Landbouwer]]=1,Tb_Activiteiten[[#Headers],[Landbouwer]],"")))</f>
        <v/>
      </c>
      <c r="AO1320" t="str">
        <f>IF(ISNUMBER(FIND("arbeid",Methode_Keuze)),"",IF(ISNUMBER(FIND("arbeid",Methode_Keuze)),"",IF(Tb_Activiteiten[[#This Row],[Adviseur]]=1,Tb_Activiteiten[[#Headers],[Adviseur]],"")))</f>
        <v/>
      </c>
      <c r="AP1320" t="str">
        <f>IF(ISNUMBER(FIND("arbeid",Methode_Keuze)),"",IF(ISNUMBER(FIND("arbeid",Methode_Keuze)),"",IF(Tb_Activiteiten[[#This Row],[Projectleider/Expert]]=1,Tb_Activiteiten[[#Headers],[Projectleider/Expert]],"")))</f>
        <v/>
      </c>
      <c r="AQ1320" t="str">
        <f>IF(ISNUMBER(FIND("arbeid",Methode_Keuze)),"",IF(ISNUMBER(FIND("arbeid",Methode_Keuze)),"",IF(Tb_Activiteiten[[#This Row],[Arbeidskosten]]=1,Tb_Activiteiten[[#Headers],[Arbeidskosten]],"")))</f>
        <v/>
      </c>
      <c r="AR1320" t="str">
        <f>IF(ISNUMBER(FIND("arbeid",Methode_Keuze)),"",IF(ISNUMBER(FIND("arbeid",Methode_Keuze)),"",IF(Tb_Activiteiten[[#This Row],[Arbeidskosten op basis van IKS]]=1,Tb_Activiteiten[[#Headers],[Arbeidskosten op basis van IKS]],"")))</f>
        <v/>
      </c>
      <c r="AS1320" t="str">
        <f>IF(ISNUMBER(FIND("overige",Methode_Keuze)),"",IF(Tb_Activiteiten[[#This Row],[Kosten derden exclusief btw]]=1,Tb_Activiteiten[[#Headers],[Kosten derden exclusief btw]],""))</f>
        <v/>
      </c>
      <c r="AT1320" t="str">
        <f>IF(ISNUMBER(FIND("overige",Methode_Keuze)),"",IF(Tb_Activiteiten[[#This Row],[Niet verrekenbare btw]]=1,Tb_Activiteiten[[#Headers],[Niet verrekenbare btw]],""))</f>
        <v/>
      </c>
      <c r="AU1320" t="str">
        <f>IF(ISNUMBER(FIND("overige",Methode_Keuze)),"",IF(Tb_Activiteiten[[#This Row],[Grondkosten]]=1,Tb_Activiteiten[[#Headers],[Grondkosten]],""))</f>
        <v/>
      </c>
      <c r="AV1320" t="str">
        <f>IF(ISNUMBER(FIND("overige",Methode_Keuze)),"",IF(Tb_Activiteiten[[#This Row],[Bijdrage in natura (overige)]]=1,Tb_Activiteiten[[#Headers],[Bijdrage in natura (overige)]],""))</f>
        <v/>
      </c>
      <c r="AW1320" t="str">
        <f>IF(ISNUMBER(FIND("overige",Methode_Keuze)),"",IF(Tb_Activiteiten[[#This Row],[Bijdrage in natura (vrijwilligers)]]=1,Tb_Activiteiten[[#Headers],[Bijdrage in natura (vrijwilligers)]],""))</f>
        <v/>
      </c>
      <c r="AX1320" t="str">
        <f>IF(ISNUMBER(FIND("overige",Methode_Keuze)),"",IF(Tb_Activiteiten[[#This Row],[Afschrijvingskosten]]=1,Tb_Activiteiten[[#Headers],[Afschrijvingskosten]],""))</f>
        <v/>
      </c>
      <c r="AY1320" t="str">
        <f>IF(ISNUMBER(FIND("overige",Methode_Keuze)),"",IF(Tb_Activiteiten[[#This Row],[Vergoeding]]=1,Tb_Activiteiten[[#Headers],[Vergoeding]],""))</f>
        <v/>
      </c>
      <c r="AZ1320" t="str">
        <f>IF(ISNUMBER(FIND("arbeid",Methode_Keuze)),"",IF(Tb_Activiteiten[[#This Row],[Arbeidskosten - vast tarief (excl eigen arbeid)]]=1,Tb_Activiteiten[[#Headers],[Arbeidskosten - vast tarief (excl eigen arbeid)]],""))</f>
        <v/>
      </c>
      <c r="BA1320" t="str">
        <f>IF(ISNUMBER(FIND("overige",Methode_Keuze)),"",IF(Tb_Activiteiten[[#This Row],[Overige kosten]]=1,Tb_Activiteiten[[#Headers],[Overige kosten]],""))</f>
        <v/>
      </c>
    </row>
    <row r="1321" spans="1:53" x14ac:dyDescent="0.25">
      <c r="A1321" s="139"/>
      <c r="B1321" s="139"/>
      <c r="C1321" s="139"/>
      <c r="D1321" s="139"/>
      <c r="E1321" s="139"/>
      <c r="F1321" s="139"/>
      <c r="G1321" s="139"/>
      <c r="O1321" s="56"/>
      <c r="Q1321" t="str">
        <f>IFERROR(IF(VLOOKUP(Tb_Activiteiten[[#This Row],[Openstelling]],Tb_Openstelling[],2,0)=1,1,""),"")</f>
        <v/>
      </c>
      <c r="AK1321" t="str">
        <f>IF(ISNUMBER(FIND("arbeid",Methode_Keuze)),"",IF(ISNUMBER(FIND("arbeid",Methode_Keuze)),"",IF(Tb_Activiteiten[[#This Row],[Loonkosten]]=1,Tb_Activiteiten[[#Headers],[Loonkosten]],"")))</f>
        <v/>
      </c>
      <c r="AL1321" t="str">
        <f>IF(ISNUMBER(FIND("arbeid",Methode_Keuze)),"",IF(ISNUMBER(FIND("arbeid",Methode_Keuze)),"",IF(Tb_Activiteiten[[#This Row],[Eigen arbeid]]=1,Tb_Activiteiten[[#Headers],[Eigen arbeid]],"")))</f>
        <v/>
      </c>
      <c r="AM1321" t="str">
        <f>IF(ISNUMBER(FIND("arbeid",Methode_Keuze)),"",IF(ISNUMBER(FIND("arbeid",Methode_Keuze)),"",IF(Tb_Activiteiten[[#This Row],[Projectmedewerker]]=1,Tb_Activiteiten[[#Headers],[Projectmedewerker]],"")))</f>
        <v/>
      </c>
      <c r="AN1321" t="str">
        <f>IF(ISNUMBER(FIND("arbeid",Methode_Keuze)),"",IF(ISNUMBER(FIND("arbeid",Methode_Keuze)),"",IF(Tb_Activiteiten[[#This Row],[Landbouwer]]=1,Tb_Activiteiten[[#Headers],[Landbouwer]],"")))</f>
        <v/>
      </c>
      <c r="AO1321" t="str">
        <f>IF(ISNUMBER(FIND("arbeid",Methode_Keuze)),"",IF(ISNUMBER(FIND("arbeid",Methode_Keuze)),"",IF(Tb_Activiteiten[[#This Row],[Adviseur]]=1,Tb_Activiteiten[[#Headers],[Adviseur]],"")))</f>
        <v/>
      </c>
      <c r="AP1321" t="str">
        <f>IF(ISNUMBER(FIND("arbeid",Methode_Keuze)),"",IF(ISNUMBER(FIND("arbeid",Methode_Keuze)),"",IF(Tb_Activiteiten[[#This Row],[Projectleider/Expert]]=1,Tb_Activiteiten[[#Headers],[Projectleider/Expert]],"")))</f>
        <v/>
      </c>
      <c r="AQ1321" t="str">
        <f>IF(ISNUMBER(FIND("arbeid",Methode_Keuze)),"",IF(ISNUMBER(FIND("arbeid",Methode_Keuze)),"",IF(Tb_Activiteiten[[#This Row],[Arbeidskosten]]=1,Tb_Activiteiten[[#Headers],[Arbeidskosten]],"")))</f>
        <v/>
      </c>
      <c r="AR1321" t="str">
        <f>IF(ISNUMBER(FIND("arbeid",Methode_Keuze)),"",IF(ISNUMBER(FIND("arbeid",Methode_Keuze)),"",IF(Tb_Activiteiten[[#This Row],[Arbeidskosten op basis van IKS]]=1,Tb_Activiteiten[[#Headers],[Arbeidskosten op basis van IKS]],"")))</f>
        <v/>
      </c>
      <c r="AS1321" t="str">
        <f>IF(ISNUMBER(FIND("overige",Methode_Keuze)),"",IF(Tb_Activiteiten[[#This Row],[Kosten derden exclusief btw]]=1,Tb_Activiteiten[[#Headers],[Kosten derden exclusief btw]],""))</f>
        <v/>
      </c>
      <c r="AT1321" t="str">
        <f>IF(ISNUMBER(FIND("overige",Methode_Keuze)),"",IF(Tb_Activiteiten[[#This Row],[Niet verrekenbare btw]]=1,Tb_Activiteiten[[#Headers],[Niet verrekenbare btw]],""))</f>
        <v/>
      </c>
      <c r="AU1321" t="str">
        <f>IF(ISNUMBER(FIND("overige",Methode_Keuze)),"",IF(Tb_Activiteiten[[#This Row],[Grondkosten]]=1,Tb_Activiteiten[[#Headers],[Grondkosten]],""))</f>
        <v/>
      </c>
      <c r="AV1321" t="str">
        <f>IF(ISNUMBER(FIND("overige",Methode_Keuze)),"",IF(Tb_Activiteiten[[#This Row],[Bijdrage in natura (overige)]]=1,Tb_Activiteiten[[#Headers],[Bijdrage in natura (overige)]],""))</f>
        <v/>
      </c>
      <c r="AW1321" t="str">
        <f>IF(ISNUMBER(FIND("overige",Methode_Keuze)),"",IF(Tb_Activiteiten[[#This Row],[Bijdrage in natura (vrijwilligers)]]=1,Tb_Activiteiten[[#Headers],[Bijdrage in natura (vrijwilligers)]],""))</f>
        <v/>
      </c>
      <c r="AX1321" t="str">
        <f>IF(ISNUMBER(FIND("overige",Methode_Keuze)),"",IF(Tb_Activiteiten[[#This Row],[Afschrijvingskosten]]=1,Tb_Activiteiten[[#Headers],[Afschrijvingskosten]],""))</f>
        <v/>
      </c>
      <c r="AY1321" t="str">
        <f>IF(ISNUMBER(FIND("overige",Methode_Keuze)),"",IF(Tb_Activiteiten[[#This Row],[Vergoeding]]=1,Tb_Activiteiten[[#Headers],[Vergoeding]],""))</f>
        <v/>
      </c>
      <c r="AZ1321" t="str">
        <f>IF(ISNUMBER(FIND("arbeid",Methode_Keuze)),"",IF(Tb_Activiteiten[[#This Row],[Arbeidskosten - vast tarief (excl eigen arbeid)]]=1,Tb_Activiteiten[[#Headers],[Arbeidskosten - vast tarief (excl eigen arbeid)]],""))</f>
        <v/>
      </c>
      <c r="BA1321" t="str">
        <f>IF(ISNUMBER(FIND("overige",Methode_Keuze)),"",IF(Tb_Activiteiten[[#This Row],[Overige kosten]]=1,Tb_Activiteiten[[#Headers],[Overige kosten]],""))</f>
        <v/>
      </c>
    </row>
    <row r="1322" spans="1:53" x14ac:dyDescent="0.25">
      <c r="A1322" s="139"/>
      <c r="B1322" s="139"/>
      <c r="C1322" s="139"/>
      <c r="D1322" s="139"/>
      <c r="E1322" s="139"/>
      <c r="F1322" s="139"/>
      <c r="G1322" s="139"/>
      <c r="O1322" s="56"/>
      <c r="Q1322" t="str">
        <f>IFERROR(IF(VLOOKUP(Tb_Activiteiten[[#This Row],[Openstelling]],Tb_Openstelling[],2,0)=1,1,""),"")</f>
        <v/>
      </c>
      <c r="AK1322" t="str">
        <f>IF(ISNUMBER(FIND("arbeid",Methode_Keuze)),"",IF(ISNUMBER(FIND("arbeid",Methode_Keuze)),"",IF(Tb_Activiteiten[[#This Row],[Loonkosten]]=1,Tb_Activiteiten[[#Headers],[Loonkosten]],"")))</f>
        <v/>
      </c>
      <c r="AL1322" t="str">
        <f>IF(ISNUMBER(FIND("arbeid",Methode_Keuze)),"",IF(ISNUMBER(FIND("arbeid",Methode_Keuze)),"",IF(Tb_Activiteiten[[#This Row],[Eigen arbeid]]=1,Tb_Activiteiten[[#Headers],[Eigen arbeid]],"")))</f>
        <v/>
      </c>
      <c r="AM1322" t="str">
        <f>IF(ISNUMBER(FIND("arbeid",Methode_Keuze)),"",IF(ISNUMBER(FIND("arbeid",Methode_Keuze)),"",IF(Tb_Activiteiten[[#This Row],[Projectmedewerker]]=1,Tb_Activiteiten[[#Headers],[Projectmedewerker]],"")))</f>
        <v/>
      </c>
      <c r="AN1322" t="str">
        <f>IF(ISNUMBER(FIND("arbeid",Methode_Keuze)),"",IF(ISNUMBER(FIND("arbeid",Methode_Keuze)),"",IF(Tb_Activiteiten[[#This Row],[Landbouwer]]=1,Tb_Activiteiten[[#Headers],[Landbouwer]],"")))</f>
        <v/>
      </c>
      <c r="AO1322" t="str">
        <f>IF(ISNUMBER(FIND("arbeid",Methode_Keuze)),"",IF(ISNUMBER(FIND("arbeid",Methode_Keuze)),"",IF(Tb_Activiteiten[[#This Row],[Adviseur]]=1,Tb_Activiteiten[[#Headers],[Adviseur]],"")))</f>
        <v/>
      </c>
      <c r="AP1322" t="str">
        <f>IF(ISNUMBER(FIND("arbeid",Methode_Keuze)),"",IF(ISNUMBER(FIND("arbeid",Methode_Keuze)),"",IF(Tb_Activiteiten[[#This Row],[Projectleider/Expert]]=1,Tb_Activiteiten[[#Headers],[Projectleider/Expert]],"")))</f>
        <v/>
      </c>
      <c r="AQ1322" t="str">
        <f>IF(ISNUMBER(FIND("arbeid",Methode_Keuze)),"",IF(ISNUMBER(FIND("arbeid",Methode_Keuze)),"",IF(Tb_Activiteiten[[#This Row],[Arbeidskosten]]=1,Tb_Activiteiten[[#Headers],[Arbeidskosten]],"")))</f>
        <v/>
      </c>
      <c r="AR1322" t="str">
        <f>IF(ISNUMBER(FIND("arbeid",Methode_Keuze)),"",IF(ISNUMBER(FIND("arbeid",Methode_Keuze)),"",IF(Tb_Activiteiten[[#This Row],[Arbeidskosten op basis van IKS]]=1,Tb_Activiteiten[[#Headers],[Arbeidskosten op basis van IKS]],"")))</f>
        <v/>
      </c>
      <c r="AS1322" t="str">
        <f>IF(ISNUMBER(FIND("overige",Methode_Keuze)),"",IF(Tb_Activiteiten[[#This Row],[Kosten derden exclusief btw]]=1,Tb_Activiteiten[[#Headers],[Kosten derden exclusief btw]],""))</f>
        <v/>
      </c>
      <c r="AT1322" t="str">
        <f>IF(ISNUMBER(FIND("overige",Methode_Keuze)),"",IF(Tb_Activiteiten[[#This Row],[Niet verrekenbare btw]]=1,Tb_Activiteiten[[#Headers],[Niet verrekenbare btw]],""))</f>
        <v/>
      </c>
      <c r="AU1322" t="str">
        <f>IF(ISNUMBER(FIND("overige",Methode_Keuze)),"",IF(Tb_Activiteiten[[#This Row],[Grondkosten]]=1,Tb_Activiteiten[[#Headers],[Grondkosten]],""))</f>
        <v/>
      </c>
      <c r="AV1322" t="str">
        <f>IF(ISNUMBER(FIND("overige",Methode_Keuze)),"",IF(Tb_Activiteiten[[#This Row],[Bijdrage in natura (overige)]]=1,Tb_Activiteiten[[#Headers],[Bijdrage in natura (overige)]],""))</f>
        <v/>
      </c>
      <c r="AW1322" t="str">
        <f>IF(ISNUMBER(FIND("overige",Methode_Keuze)),"",IF(Tb_Activiteiten[[#This Row],[Bijdrage in natura (vrijwilligers)]]=1,Tb_Activiteiten[[#Headers],[Bijdrage in natura (vrijwilligers)]],""))</f>
        <v/>
      </c>
      <c r="AX1322" t="str">
        <f>IF(ISNUMBER(FIND("overige",Methode_Keuze)),"",IF(Tb_Activiteiten[[#This Row],[Afschrijvingskosten]]=1,Tb_Activiteiten[[#Headers],[Afschrijvingskosten]],""))</f>
        <v/>
      </c>
      <c r="AY1322" t="str">
        <f>IF(ISNUMBER(FIND("overige",Methode_Keuze)),"",IF(Tb_Activiteiten[[#This Row],[Vergoeding]]=1,Tb_Activiteiten[[#Headers],[Vergoeding]],""))</f>
        <v/>
      </c>
      <c r="AZ1322" t="str">
        <f>IF(ISNUMBER(FIND("arbeid",Methode_Keuze)),"",IF(Tb_Activiteiten[[#This Row],[Arbeidskosten - vast tarief (excl eigen arbeid)]]=1,Tb_Activiteiten[[#Headers],[Arbeidskosten - vast tarief (excl eigen arbeid)]],""))</f>
        <v/>
      </c>
      <c r="BA1322" t="str">
        <f>IF(ISNUMBER(FIND("overige",Methode_Keuze)),"",IF(Tb_Activiteiten[[#This Row],[Overige kosten]]=1,Tb_Activiteiten[[#Headers],[Overige kosten]],""))</f>
        <v/>
      </c>
    </row>
    <row r="1323" spans="1:53" x14ac:dyDescent="0.25">
      <c r="A1323" s="139"/>
      <c r="B1323" s="139"/>
      <c r="C1323" s="139"/>
      <c r="D1323" s="139"/>
      <c r="E1323" s="139"/>
      <c r="F1323" s="139"/>
      <c r="G1323" s="139"/>
      <c r="O1323" s="56"/>
      <c r="Q1323" t="str">
        <f>IFERROR(IF(VLOOKUP(Tb_Activiteiten[[#This Row],[Openstelling]],Tb_Openstelling[],2,0)=1,1,""),"")</f>
        <v/>
      </c>
      <c r="AK1323" t="str">
        <f>IF(ISNUMBER(FIND("arbeid",Methode_Keuze)),"",IF(ISNUMBER(FIND("arbeid",Methode_Keuze)),"",IF(Tb_Activiteiten[[#This Row],[Loonkosten]]=1,Tb_Activiteiten[[#Headers],[Loonkosten]],"")))</f>
        <v/>
      </c>
      <c r="AL1323" t="str">
        <f>IF(ISNUMBER(FIND("arbeid",Methode_Keuze)),"",IF(ISNUMBER(FIND("arbeid",Methode_Keuze)),"",IF(Tb_Activiteiten[[#This Row],[Eigen arbeid]]=1,Tb_Activiteiten[[#Headers],[Eigen arbeid]],"")))</f>
        <v/>
      </c>
      <c r="AM1323" t="str">
        <f>IF(ISNUMBER(FIND("arbeid",Methode_Keuze)),"",IF(ISNUMBER(FIND("arbeid",Methode_Keuze)),"",IF(Tb_Activiteiten[[#This Row],[Projectmedewerker]]=1,Tb_Activiteiten[[#Headers],[Projectmedewerker]],"")))</f>
        <v/>
      </c>
      <c r="AN1323" t="str">
        <f>IF(ISNUMBER(FIND("arbeid",Methode_Keuze)),"",IF(ISNUMBER(FIND("arbeid",Methode_Keuze)),"",IF(Tb_Activiteiten[[#This Row],[Landbouwer]]=1,Tb_Activiteiten[[#Headers],[Landbouwer]],"")))</f>
        <v/>
      </c>
      <c r="AO1323" t="str">
        <f>IF(ISNUMBER(FIND("arbeid",Methode_Keuze)),"",IF(ISNUMBER(FIND("arbeid",Methode_Keuze)),"",IF(Tb_Activiteiten[[#This Row],[Adviseur]]=1,Tb_Activiteiten[[#Headers],[Adviseur]],"")))</f>
        <v/>
      </c>
      <c r="AP1323" t="str">
        <f>IF(ISNUMBER(FIND("arbeid",Methode_Keuze)),"",IF(ISNUMBER(FIND("arbeid",Methode_Keuze)),"",IF(Tb_Activiteiten[[#This Row],[Projectleider/Expert]]=1,Tb_Activiteiten[[#Headers],[Projectleider/Expert]],"")))</f>
        <v/>
      </c>
      <c r="AQ1323" t="str">
        <f>IF(ISNUMBER(FIND("arbeid",Methode_Keuze)),"",IF(ISNUMBER(FIND("arbeid",Methode_Keuze)),"",IF(Tb_Activiteiten[[#This Row],[Arbeidskosten]]=1,Tb_Activiteiten[[#Headers],[Arbeidskosten]],"")))</f>
        <v/>
      </c>
      <c r="AR1323" t="str">
        <f>IF(ISNUMBER(FIND("arbeid",Methode_Keuze)),"",IF(ISNUMBER(FIND("arbeid",Methode_Keuze)),"",IF(Tb_Activiteiten[[#This Row],[Arbeidskosten op basis van IKS]]=1,Tb_Activiteiten[[#Headers],[Arbeidskosten op basis van IKS]],"")))</f>
        <v/>
      </c>
      <c r="AS1323" t="str">
        <f>IF(ISNUMBER(FIND("overige",Methode_Keuze)),"",IF(Tb_Activiteiten[[#This Row],[Kosten derden exclusief btw]]=1,Tb_Activiteiten[[#Headers],[Kosten derden exclusief btw]],""))</f>
        <v/>
      </c>
      <c r="AT1323" t="str">
        <f>IF(ISNUMBER(FIND("overige",Methode_Keuze)),"",IF(Tb_Activiteiten[[#This Row],[Niet verrekenbare btw]]=1,Tb_Activiteiten[[#Headers],[Niet verrekenbare btw]],""))</f>
        <v/>
      </c>
      <c r="AU1323" t="str">
        <f>IF(ISNUMBER(FIND("overige",Methode_Keuze)),"",IF(Tb_Activiteiten[[#This Row],[Grondkosten]]=1,Tb_Activiteiten[[#Headers],[Grondkosten]],""))</f>
        <v/>
      </c>
      <c r="AV1323" t="str">
        <f>IF(ISNUMBER(FIND("overige",Methode_Keuze)),"",IF(Tb_Activiteiten[[#This Row],[Bijdrage in natura (overige)]]=1,Tb_Activiteiten[[#Headers],[Bijdrage in natura (overige)]],""))</f>
        <v/>
      </c>
      <c r="AW1323" t="str">
        <f>IF(ISNUMBER(FIND("overige",Methode_Keuze)),"",IF(Tb_Activiteiten[[#This Row],[Bijdrage in natura (vrijwilligers)]]=1,Tb_Activiteiten[[#Headers],[Bijdrage in natura (vrijwilligers)]],""))</f>
        <v/>
      </c>
      <c r="AX1323" t="str">
        <f>IF(ISNUMBER(FIND("overige",Methode_Keuze)),"",IF(Tb_Activiteiten[[#This Row],[Afschrijvingskosten]]=1,Tb_Activiteiten[[#Headers],[Afschrijvingskosten]],""))</f>
        <v/>
      </c>
      <c r="AY1323" t="str">
        <f>IF(ISNUMBER(FIND("overige",Methode_Keuze)),"",IF(Tb_Activiteiten[[#This Row],[Vergoeding]]=1,Tb_Activiteiten[[#Headers],[Vergoeding]],""))</f>
        <v/>
      </c>
      <c r="AZ1323" t="str">
        <f>IF(ISNUMBER(FIND("arbeid",Methode_Keuze)),"",IF(Tb_Activiteiten[[#This Row],[Arbeidskosten - vast tarief (excl eigen arbeid)]]=1,Tb_Activiteiten[[#Headers],[Arbeidskosten - vast tarief (excl eigen arbeid)]],""))</f>
        <v/>
      </c>
      <c r="BA1323" t="str">
        <f>IF(ISNUMBER(FIND("overige",Methode_Keuze)),"",IF(Tb_Activiteiten[[#This Row],[Overige kosten]]=1,Tb_Activiteiten[[#Headers],[Overige kosten]],""))</f>
        <v/>
      </c>
    </row>
    <row r="1324" spans="1:53" x14ac:dyDescent="0.25">
      <c r="O1324" s="56"/>
      <c r="Q1324" t="str">
        <f>IFERROR(IF(VLOOKUP(Tb_Activiteiten[[#This Row],[Openstelling]],Tb_Openstelling[],2,0)=1,1,""),"")</f>
        <v/>
      </c>
      <c r="AK1324" t="str">
        <f>IF(ISNUMBER(FIND("arbeid",Methode_Keuze)),"",IF(ISNUMBER(FIND("arbeid",Methode_Keuze)),"",IF(Tb_Activiteiten[[#This Row],[Loonkosten]]=1,Tb_Activiteiten[[#Headers],[Loonkosten]],"")))</f>
        <v/>
      </c>
      <c r="AL1324" t="str">
        <f>IF(ISNUMBER(FIND("arbeid",Methode_Keuze)),"",IF(ISNUMBER(FIND("arbeid",Methode_Keuze)),"",IF(Tb_Activiteiten[[#This Row],[Eigen arbeid]]=1,Tb_Activiteiten[[#Headers],[Eigen arbeid]],"")))</f>
        <v/>
      </c>
      <c r="AM1324" t="str">
        <f>IF(ISNUMBER(FIND("arbeid",Methode_Keuze)),"",IF(ISNUMBER(FIND("arbeid",Methode_Keuze)),"",IF(Tb_Activiteiten[[#This Row],[Projectmedewerker]]=1,Tb_Activiteiten[[#Headers],[Projectmedewerker]],"")))</f>
        <v/>
      </c>
      <c r="AN1324" t="str">
        <f>IF(ISNUMBER(FIND("arbeid",Methode_Keuze)),"",IF(ISNUMBER(FIND("arbeid",Methode_Keuze)),"",IF(Tb_Activiteiten[[#This Row],[Landbouwer]]=1,Tb_Activiteiten[[#Headers],[Landbouwer]],"")))</f>
        <v/>
      </c>
      <c r="AO1324" t="str">
        <f>IF(ISNUMBER(FIND("arbeid",Methode_Keuze)),"",IF(ISNUMBER(FIND("arbeid",Methode_Keuze)),"",IF(Tb_Activiteiten[[#This Row],[Adviseur]]=1,Tb_Activiteiten[[#Headers],[Adviseur]],"")))</f>
        <v/>
      </c>
      <c r="AP1324" t="str">
        <f>IF(ISNUMBER(FIND("arbeid",Methode_Keuze)),"",IF(ISNUMBER(FIND("arbeid",Methode_Keuze)),"",IF(Tb_Activiteiten[[#This Row],[Projectleider/Expert]]=1,Tb_Activiteiten[[#Headers],[Projectleider/Expert]],"")))</f>
        <v/>
      </c>
      <c r="AQ1324" t="str">
        <f>IF(ISNUMBER(FIND("arbeid",Methode_Keuze)),"",IF(ISNUMBER(FIND("arbeid",Methode_Keuze)),"",IF(Tb_Activiteiten[[#This Row],[Arbeidskosten]]=1,Tb_Activiteiten[[#Headers],[Arbeidskosten]],"")))</f>
        <v/>
      </c>
      <c r="AR1324" t="str">
        <f>IF(ISNUMBER(FIND("arbeid",Methode_Keuze)),"",IF(ISNUMBER(FIND("arbeid",Methode_Keuze)),"",IF(Tb_Activiteiten[[#This Row],[Arbeidskosten op basis van IKS]]=1,Tb_Activiteiten[[#Headers],[Arbeidskosten op basis van IKS]],"")))</f>
        <v/>
      </c>
      <c r="AS1324" t="str">
        <f>IF(ISNUMBER(FIND("overige",Methode_Keuze)),"",IF(Tb_Activiteiten[[#This Row],[Kosten derden exclusief btw]]=1,Tb_Activiteiten[[#Headers],[Kosten derden exclusief btw]],""))</f>
        <v/>
      </c>
      <c r="AT1324" t="str">
        <f>IF(ISNUMBER(FIND("overige",Methode_Keuze)),"",IF(Tb_Activiteiten[[#This Row],[Niet verrekenbare btw]]=1,Tb_Activiteiten[[#Headers],[Niet verrekenbare btw]],""))</f>
        <v/>
      </c>
      <c r="AU1324" t="str">
        <f>IF(ISNUMBER(FIND("overige",Methode_Keuze)),"",IF(Tb_Activiteiten[[#This Row],[Grondkosten]]=1,Tb_Activiteiten[[#Headers],[Grondkosten]],""))</f>
        <v/>
      </c>
      <c r="AV1324" t="str">
        <f>IF(ISNUMBER(FIND("overige",Methode_Keuze)),"",IF(Tb_Activiteiten[[#This Row],[Bijdrage in natura (overige)]]=1,Tb_Activiteiten[[#Headers],[Bijdrage in natura (overige)]],""))</f>
        <v/>
      </c>
      <c r="AW1324" t="str">
        <f>IF(ISNUMBER(FIND("overige",Methode_Keuze)),"",IF(Tb_Activiteiten[[#This Row],[Bijdrage in natura (vrijwilligers)]]=1,Tb_Activiteiten[[#Headers],[Bijdrage in natura (vrijwilligers)]],""))</f>
        <v/>
      </c>
      <c r="AX1324" t="str">
        <f>IF(ISNUMBER(FIND("overige",Methode_Keuze)),"",IF(Tb_Activiteiten[[#This Row],[Afschrijvingskosten]]=1,Tb_Activiteiten[[#Headers],[Afschrijvingskosten]],""))</f>
        <v/>
      </c>
      <c r="AY1324" t="str">
        <f>IF(ISNUMBER(FIND("overige",Methode_Keuze)),"",IF(Tb_Activiteiten[[#This Row],[Vergoeding]]=1,Tb_Activiteiten[[#Headers],[Vergoeding]],""))</f>
        <v/>
      </c>
      <c r="AZ1324" t="str">
        <f>IF(ISNUMBER(FIND("arbeid",Methode_Keuze)),"",IF(Tb_Activiteiten[[#This Row],[Arbeidskosten - vast tarief (excl eigen arbeid)]]=1,Tb_Activiteiten[[#Headers],[Arbeidskosten - vast tarief (excl eigen arbeid)]],""))</f>
        <v/>
      </c>
      <c r="BA1324" t="str">
        <f>IF(ISNUMBER(FIND("overige",Methode_Keuze)),"",IF(Tb_Activiteiten[[#This Row],[Overige kosten]]=1,Tb_Activiteiten[[#Headers],[Overige kosten]],""))</f>
        <v/>
      </c>
    </row>
    <row r="1325" spans="1:53" x14ac:dyDescent="0.25">
      <c r="O1325" s="56"/>
      <c r="Q1325" t="str">
        <f>IFERROR(IF(VLOOKUP(Tb_Activiteiten[[#This Row],[Openstelling]],Tb_Openstelling[],2,0)=1,1,""),"")</f>
        <v/>
      </c>
      <c r="AK1325" t="str">
        <f>IF(ISNUMBER(FIND("arbeid",Methode_Keuze)),"",IF(ISNUMBER(FIND("arbeid",Methode_Keuze)),"",IF(Tb_Activiteiten[[#This Row],[Loonkosten]]=1,Tb_Activiteiten[[#Headers],[Loonkosten]],"")))</f>
        <v/>
      </c>
      <c r="AL1325" t="str">
        <f>IF(ISNUMBER(FIND("arbeid",Methode_Keuze)),"",IF(ISNUMBER(FIND("arbeid",Methode_Keuze)),"",IF(Tb_Activiteiten[[#This Row],[Eigen arbeid]]=1,Tb_Activiteiten[[#Headers],[Eigen arbeid]],"")))</f>
        <v/>
      </c>
      <c r="AM1325" t="str">
        <f>IF(ISNUMBER(FIND("arbeid",Methode_Keuze)),"",IF(ISNUMBER(FIND("arbeid",Methode_Keuze)),"",IF(Tb_Activiteiten[[#This Row],[Projectmedewerker]]=1,Tb_Activiteiten[[#Headers],[Projectmedewerker]],"")))</f>
        <v/>
      </c>
      <c r="AN1325" t="str">
        <f>IF(ISNUMBER(FIND("arbeid",Methode_Keuze)),"",IF(ISNUMBER(FIND("arbeid",Methode_Keuze)),"",IF(Tb_Activiteiten[[#This Row],[Landbouwer]]=1,Tb_Activiteiten[[#Headers],[Landbouwer]],"")))</f>
        <v/>
      </c>
      <c r="AO1325" t="str">
        <f>IF(ISNUMBER(FIND("arbeid",Methode_Keuze)),"",IF(ISNUMBER(FIND("arbeid",Methode_Keuze)),"",IF(Tb_Activiteiten[[#This Row],[Adviseur]]=1,Tb_Activiteiten[[#Headers],[Adviseur]],"")))</f>
        <v/>
      </c>
      <c r="AP1325" t="str">
        <f>IF(ISNUMBER(FIND("arbeid",Methode_Keuze)),"",IF(ISNUMBER(FIND("arbeid",Methode_Keuze)),"",IF(Tb_Activiteiten[[#This Row],[Projectleider/Expert]]=1,Tb_Activiteiten[[#Headers],[Projectleider/Expert]],"")))</f>
        <v/>
      </c>
      <c r="AQ1325" t="str">
        <f>IF(ISNUMBER(FIND("arbeid",Methode_Keuze)),"",IF(ISNUMBER(FIND("arbeid",Methode_Keuze)),"",IF(Tb_Activiteiten[[#This Row],[Arbeidskosten]]=1,Tb_Activiteiten[[#Headers],[Arbeidskosten]],"")))</f>
        <v/>
      </c>
      <c r="AR1325" t="str">
        <f>IF(ISNUMBER(FIND("arbeid",Methode_Keuze)),"",IF(ISNUMBER(FIND("arbeid",Methode_Keuze)),"",IF(Tb_Activiteiten[[#This Row],[Arbeidskosten op basis van IKS]]=1,Tb_Activiteiten[[#Headers],[Arbeidskosten op basis van IKS]],"")))</f>
        <v/>
      </c>
      <c r="AS1325" t="str">
        <f>IF(ISNUMBER(FIND("overige",Methode_Keuze)),"",IF(Tb_Activiteiten[[#This Row],[Kosten derden exclusief btw]]=1,Tb_Activiteiten[[#Headers],[Kosten derden exclusief btw]],""))</f>
        <v/>
      </c>
      <c r="AT1325" t="str">
        <f>IF(ISNUMBER(FIND("overige",Methode_Keuze)),"",IF(Tb_Activiteiten[[#This Row],[Niet verrekenbare btw]]=1,Tb_Activiteiten[[#Headers],[Niet verrekenbare btw]],""))</f>
        <v/>
      </c>
      <c r="AU1325" t="str">
        <f>IF(ISNUMBER(FIND("overige",Methode_Keuze)),"",IF(Tb_Activiteiten[[#This Row],[Grondkosten]]=1,Tb_Activiteiten[[#Headers],[Grondkosten]],""))</f>
        <v/>
      </c>
      <c r="AV1325" t="str">
        <f>IF(ISNUMBER(FIND("overige",Methode_Keuze)),"",IF(Tb_Activiteiten[[#This Row],[Bijdrage in natura (overige)]]=1,Tb_Activiteiten[[#Headers],[Bijdrage in natura (overige)]],""))</f>
        <v/>
      </c>
      <c r="AW1325" t="str">
        <f>IF(ISNUMBER(FIND("overige",Methode_Keuze)),"",IF(Tb_Activiteiten[[#This Row],[Bijdrage in natura (vrijwilligers)]]=1,Tb_Activiteiten[[#Headers],[Bijdrage in natura (vrijwilligers)]],""))</f>
        <v/>
      </c>
      <c r="AX1325" t="str">
        <f>IF(ISNUMBER(FIND("overige",Methode_Keuze)),"",IF(Tb_Activiteiten[[#This Row],[Afschrijvingskosten]]=1,Tb_Activiteiten[[#Headers],[Afschrijvingskosten]],""))</f>
        <v/>
      </c>
      <c r="AY1325" t="str">
        <f>IF(ISNUMBER(FIND("overige",Methode_Keuze)),"",IF(Tb_Activiteiten[[#This Row],[Vergoeding]]=1,Tb_Activiteiten[[#Headers],[Vergoeding]],""))</f>
        <v/>
      </c>
      <c r="AZ1325" t="str">
        <f>IF(ISNUMBER(FIND("arbeid",Methode_Keuze)),"",IF(Tb_Activiteiten[[#This Row],[Arbeidskosten - vast tarief (excl eigen arbeid)]]=1,Tb_Activiteiten[[#Headers],[Arbeidskosten - vast tarief (excl eigen arbeid)]],""))</f>
        <v/>
      </c>
      <c r="BA1325" t="str">
        <f>IF(ISNUMBER(FIND("overige",Methode_Keuze)),"",IF(Tb_Activiteiten[[#This Row],[Overige kosten]]=1,Tb_Activiteiten[[#Headers],[Overige kosten]],""))</f>
        <v/>
      </c>
    </row>
    <row r="1326" spans="1:53" x14ac:dyDescent="0.25">
      <c r="O1326" s="56"/>
      <c r="Q1326" t="str">
        <f>IFERROR(IF(VLOOKUP(Tb_Activiteiten[[#This Row],[Openstelling]],Tb_Openstelling[],2,0)=1,1,""),"")</f>
        <v/>
      </c>
      <c r="AK1326" t="str">
        <f>IF(ISNUMBER(FIND("arbeid",Methode_Keuze)),"",IF(ISNUMBER(FIND("arbeid",Methode_Keuze)),"",IF(Tb_Activiteiten[[#This Row],[Loonkosten]]=1,Tb_Activiteiten[[#Headers],[Loonkosten]],"")))</f>
        <v/>
      </c>
      <c r="AL1326" t="str">
        <f>IF(ISNUMBER(FIND("arbeid",Methode_Keuze)),"",IF(ISNUMBER(FIND("arbeid",Methode_Keuze)),"",IF(Tb_Activiteiten[[#This Row],[Eigen arbeid]]=1,Tb_Activiteiten[[#Headers],[Eigen arbeid]],"")))</f>
        <v/>
      </c>
      <c r="AM1326" t="str">
        <f>IF(ISNUMBER(FIND("arbeid",Methode_Keuze)),"",IF(ISNUMBER(FIND("arbeid",Methode_Keuze)),"",IF(Tb_Activiteiten[[#This Row],[Projectmedewerker]]=1,Tb_Activiteiten[[#Headers],[Projectmedewerker]],"")))</f>
        <v/>
      </c>
      <c r="AN1326" t="str">
        <f>IF(ISNUMBER(FIND("arbeid",Methode_Keuze)),"",IF(ISNUMBER(FIND("arbeid",Methode_Keuze)),"",IF(Tb_Activiteiten[[#This Row],[Landbouwer]]=1,Tb_Activiteiten[[#Headers],[Landbouwer]],"")))</f>
        <v/>
      </c>
      <c r="AO1326" t="str">
        <f>IF(ISNUMBER(FIND("arbeid",Methode_Keuze)),"",IF(ISNUMBER(FIND("arbeid",Methode_Keuze)),"",IF(Tb_Activiteiten[[#This Row],[Adviseur]]=1,Tb_Activiteiten[[#Headers],[Adviseur]],"")))</f>
        <v/>
      </c>
      <c r="AP1326" t="str">
        <f>IF(ISNUMBER(FIND("arbeid",Methode_Keuze)),"",IF(ISNUMBER(FIND("arbeid",Methode_Keuze)),"",IF(Tb_Activiteiten[[#This Row],[Projectleider/Expert]]=1,Tb_Activiteiten[[#Headers],[Projectleider/Expert]],"")))</f>
        <v/>
      </c>
      <c r="AQ1326" t="str">
        <f>IF(ISNUMBER(FIND("arbeid",Methode_Keuze)),"",IF(ISNUMBER(FIND("arbeid",Methode_Keuze)),"",IF(Tb_Activiteiten[[#This Row],[Arbeidskosten]]=1,Tb_Activiteiten[[#Headers],[Arbeidskosten]],"")))</f>
        <v/>
      </c>
      <c r="AR1326" t="str">
        <f>IF(ISNUMBER(FIND("arbeid",Methode_Keuze)),"",IF(ISNUMBER(FIND("arbeid",Methode_Keuze)),"",IF(Tb_Activiteiten[[#This Row],[Arbeidskosten op basis van IKS]]=1,Tb_Activiteiten[[#Headers],[Arbeidskosten op basis van IKS]],"")))</f>
        <v/>
      </c>
      <c r="AS1326" t="str">
        <f>IF(ISNUMBER(FIND("overige",Methode_Keuze)),"",IF(Tb_Activiteiten[[#This Row],[Kosten derden exclusief btw]]=1,Tb_Activiteiten[[#Headers],[Kosten derden exclusief btw]],""))</f>
        <v/>
      </c>
      <c r="AT1326" t="str">
        <f>IF(ISNUMBER(FIND("overige",Methode_Keuze)),"",IF(Tb_Activiteiten[[#This Row],[Niet verrekenbare btw]]=1,Tb_Activiteiten[[#Headers],[Niet verrekenbare btw]],""))</f>
        <v/>
      </c>
      <c r="AU1326" t="str">
        <f>IF(ISNUMBER(FIND("overige",Methode_Keuze)),"",IF(Tb_Activiteiten[[#This Row],[Grondkosten]]=1,Tb_Activiteiten[[#Headers],[Grondkosten]],""))</f>
        <v/>
      </c>
      <c r="AV1326" t="str">
        <f>IF(ISNUMBER(FIND("overige",Methode_Keuze)),"",IF(Tb_Activiteiten[[#This Row],[Bijdrage in natura (overige)]]=1,Tb_Activiteiten[[#Headers],[Bijdrage in natura (overige)]],""))</f>
        <v/>
      </c>
      <c r="AW1326" t="str">
        <f>IF(ISNUMBER(FIND("overige",Methode_Keuze)),"",IF(Tb_Activiteiten[[#This Row],[Bijdrage in natura (vrijwilligers)]]=1,Tb_Activiteiten[[#Headers],[Bijdrage in natura (vrijwilligers)]],""))</f>
        <v/>
      </c>
      <c r="AX1326" t="str">
        <f>IF(ISNUMBER(FIND("overige",Methode_Keuze)),"",IF(Tb_Activiteiten[[#This Row],[Afschrijvingskosten]]=1,Tb_Activiteiten[[#Headers],[Afschrijvingskosten]],""))</f>
        <v/>
      </c>
      <c r="AY1326" t="str">
        <f>IF(ISNUMBER(FIND("overige",Methode_Keuze)),"",IF(Tb_Activiteiten[[#This Row],[Vergoeding]]=1,Tb_Activiteiten[[#Headers],[Vergoeding]],""))</f>
        <v/>
      </c>
      <c r="AZ1326" t="str">
        <f>IF(ISNUMBER(FIND("arbeid",Methode_Keuze)),"",IF(Tb_Activiteiten[[#This Row],[Arbeidskosten - vast tarief (excl eigen arbeid)]]=1,Tb_Activiteiten[[#Headers],[Arbeidskosten - vast tarief (excl eigen arbeid)]],""))</f>
        <v/>
      </c>
      <c r="BA1326" t="str">
        <f>IF(ISNUMBER(FIND("overige",Methode_Keuze)),"",IF(Tb_Activiteiten[[#This Row],[Overige kosten]]=1,Tb_Activiteiten[[#Headers],[Overige kosten]],""))</f>
        <v/>
      </c>
    </row>
    <row r="1327" spans="1:53" x14ac:dyDescent="0.25">
      <c r="O1327" s="56"/>
      <c r="Q1327" t="str">
        <f>IFERROR(IF(VLOOKUP(Tb_Activiteiten[[#This Row],[Openstelling]],Tb_Openstelling[],2,0)=1,1,""),"")</f>
        <v/>
      </c>
      <c r="AK1327" t="str">
        <f>IF(ISNUMBER(FIND("arbeid",Methode_Keuze)),"",IF(ISNUMBER(FIND("arbeid",Methode_Keuze)),"",IF(Tb_Activiteiten[[#This Row],[Loonkosten]]=1,Tb_Activiteiten[[#Headers],[Loonkosten]],"")))</f>
        <v/>
      </c>
      <c r="AL1327" t="str">
        <f>IF(ISNUMBER(FIND("arbeid",Methode_Keuze)),"",IF(ISNUMBER(FIND("arbeid",Methode_Keuze)),"",IF(Tb_Activiteiten[[#This Row],[Eigen arbeid]]=1,Tb_Activiteiten[[#Headers],[Eigen arbeid]],"")))</f>
        <v/>
      </c>
      <c r="AM1327" t="str">
        <f>IF(ISNUMBER(FIND("arbeid",Methode_Keuze)),"",IF(ISNUMBER(FIND("arbeid",Methode_Keuze)),"",IF(Tb_Activiteiten[[#This Row],[Projectmedewerker]]=1,Tb_Activiteiten[[#Headers],[Projectmedewerker]],"")))</f>
        <v/>
      </c>
      <c r="AN1327" t="str">
        <f>IF(ISNUMBER(FIND("arbeid",Methode_Keuze)),"",IF(ISNUMBER(FIND("arbeid",Methode_Keuze)),"",IF(Tb_Activiteiten[[#This Row],[Landbouwer]]=1,Tb_Activiteiten[[#Headers],[Landbouwer]],"")))</f>
        <v/>
      </c>
      <c r="AO1327" t="str">
        <f>IF(ISNUMBER(FIND("arbeid",Methode_Keuze)),"",IF(ISNUMBER(FIND("arbeid",Methode_Keuze)),"",IF(Tb_Activiteiten[[#This Row],[Adviseur]]=1,Tb_Activiteiten[[#Headers],[Adviseur]],"")))</f>
        <v/>
      </c>
      <c r="AP1327" t="str">
        <f>IF(ISNUMBER(FIND("arbeid",Methode_Keuze)),"",IF(ISNUMBER(FIND("arbeid",Methode_Keuze)),"",IF(Tb_Activiteiten[[#This Row],[Projectleider/Expert]]=1,Tb_Activiteiten[[#Headers],[Projectleider/Expert]],"")))</f>
        <v/>
      </c>
      <c r="AQ1327" t="str">
        <f>IF(ISNUMBER(FIND("arbeid",Methode_Keuze)),"",IF(ISNUMBER(FIND("arbeid",Methode_Keuze)),"",IF(Tb_Activiteiten[[#This Row],[Arbeidskosten]]=1,Tb_Activiteiten[[#Headers],[Arbeidskosten]],"")))</f>
        <v/>
      </c>
      <c r="AR1327" t="str">
        <f>IF(ISNUMBER(FIND("arbeid",Methode_Keuze)),"",IF(ISNUMBER(FIND("arbeid",Methode_Keuze)),"",IF(Tb_Activiteiten[[#This Row],[Arbeidskosten op basis van IKS]]=1,Tb_Activiteiten[[#Headers],[Arbeidskosten op basis van IKS]],"")))</f>
        <v/>
      </c>
      <c r="AS1327" t="str">
        <f>IF(ISNUMBER(FIND("overige",Methode_Keuze)),"",IF(Tb_Activiteiten[[#This Row],[Kosten derden exclusief btw]]=1,Tb_Activiteiten[[#Headers],[Kosten derden exclusief btw]],""))</f>
        <v/>
      </c>
      <c r="AT1327" t="str">
        <f>IF(ISNUMBER(FIND("overige",Methode_Keuze)),"",IF(Tb_Activiteiten[[#This Row],[Niet verrekenbare btw]]=1,Tb_Activiteiten[[#Headers],[Niet verrekenbare btw]],""))</f>
        <v/>
      </c>
      <c r="AU1327" t="str">
        <f>IF(ISNUMBER(FIND("overige",Methode_Keuze)),"",IF(Tb_Activiteiten[[#This Row],[Grondkosten]]=1,Tb_Activiteiten[[#Headers],[Grondkosten]],""))</f>
        <v/>
      </c>
      <c r="AV1327" t="str">
        <f>IF(ISNUMBER(FIND("overige",Methode_Keuze)),"",IF(Tb_Activiteiten[[#This Row],[Bijdrage in natura (overige)]]=1,Tb_Activiteiten[[#Headers],[Bijdrage in natura (overige)]],""))</f>
        <v/>
      </c>
      <c r="AW1327" t="str">
        <f>IF(ISNUMBER(FIND("overige",Methode_Keuze)),"",IF(Tb_Activiteiten[[#This Row],[Bijdrage in natura (vrijwilligers)]]=1,Tb_Activiteiten[[#Headers],[Bijdrage in natura (vrijwilligers)]],""))</f>
        <v/>
      </c>
      <c r="AX1327" t="str">
        <f>IF(ISNUMBER(FIND("overige",Methode_Keuze)),"",IF(Tb_Activiteiten[[#This Row],[Afschrijvingskosten]]=1,Tb_Activiteiten[[#Headers],[Afschrijvingskosten]],""))</f>
        <v/>
      </c>
      <c r="AY1327" t="str">
        <f>IF(ISNUMBER(FIND("overige",Methode_Keuze)),"",IF(Tb_Activiteiten[[#This Row],[Vergoeding]]=1,Tb_Activiteiten[[#Headers],[Vergoeding]],""))</f>
        <v/>
      </c>
      <c r="AZ1327" t="str">
        <f>IF(ISNUMBER(FIND("arbeid",Methode_Keuze)),"",IF(Tb_Activiteiten[[#This Row],[Arbeidskosten - vast tarief (excl eigen arbeid)]]=1,Tb_Activiteiten[[#Headers],[Arbeidskosten - vast tarief (excl eigen arbeid)]],""))</f>
        <v/>
      </c>
      <c r="BA1327" t="str">
        <f>IF(ISNUMBER(FIND("overige",Methode_Keuze)),"",IF(Tb_Activiteiten[[#This Row],[Overige kosten]]=1,Tb_Activiteiten[[#Headers],[Overige kosten]],""))</f>
        <v/>
      </c>
    </row>
    <row r="1328" spans="1:53" x14ac:dyDescent="0.25">
      <c r="O1328" s="56"/>
      <c r="Q1328" t="str">
        <f>IFERROR(IF(VLOOKUP(Tb_Activiteiten[[#This Row],[Openstelling]],Tb_Openstelling[],2,0)=1,1,""),"")</f>
        <v/>
      </c>
      <c r="AK1328" t="str">
        <f>IF(ISNUMBER(FIND("arbeid",Methode_Keuze)),"",IF(ISNUMBER(FIND("arbeid",Methode_Keuze)),"",IF(Tb_Activiteiten[[#This Row],[Loonkosten]]=1,Tb_Activiteiten[[#Headers],[Loonkosten]],"")))</f>
        <v/>
      </c>
      <c r="AL1328" t="str">
        <f>IF(ISNUMBER(FIND("arbeid",Methode_Keuze)),"",IF(ISNUMBER(FIND("arbeid",Methode_Keuze)),"",IF(Tb_Activiteiten[[#This Row],[Eigen arbeid]]=1,Tb_Activiteiten[[#Headers],[Eigen arbeid]],"")))</f>
        <v/>
      </c>
      <c r="AM1328" t="str">
        <f>IF(ISNUMBER(FIND("arbeid",Methode_Keuze)),"",IF(ISNUMBER(FIND("arbeid",Methode_Keuze)),"",IF(Tb_Activiteiten[[#This Row],[Projectmedewerker]]=1,Tb_Activiteiten[[#Headers],[Projectmedewerker]],"")))</f>
        <v/>
      </c>
      <c r="AN1328" t="str">
        <f>IF(ISNUMBER(FIND("arbeid",Methode_Keuze)),"",IF(ISNUMBER(FIND("arbeid",Methode_Keuze)),"",IF(Tb_Activiteiten[[#This Row],[Landbouwer]]=1,Tb_Activiteiten[[#Headers],[Landbouwer]],"")))</f>
        <v/>
      </c>
      <c r="AO1328" t="str">
        <f>IF(ISNUMBER(FIND("arbeid",Methode_Keuze)),"",IF(ISNUMBER(FIND("arbeid",Methode_Keuze)),"",IF(Tb_Activiteiten[[#This Row],[Adviseur]]=1,Tb_Activiteiten[[#Headers],[Adviseur]],"")))</f>
        <v/>
      </c>
      <c r="AP1328" t="str">
        <f>IF(ISNUMBER(FIND("arbeid",Methode_Keuze)),"",IF(ISNUMBER(FIND("arbeid",Methode_Keuze)),"",IF(Tb_Activiteiten[[#This Row],[Projectleider/Expert]]=1,Tb_Activiteiten[[#Headers],[Projectleider/Expert]],"")))</f>
        <v/>
      </c>
      <c r="AQ1328" t="str">
        <f>IF(ISNUMBER(FIND("arbeid",Methode_Keuze)),"",IF(ISNUMBER(FIND("arbeid",Methode_Keuze)),"",IF(Tb_Activiteiten[[#This Row],[Arbeidskosten]]=1,Tb_Activiteiten[[#Headers],[Arbeidskosten]],"")))</f>
        <v/>
      </c>
      <c r="AR1328" t="str">
        <f>IF(ISNUMBER(FIND("arbeid",Methode_Keuze)),"",IF(ISNUMBER(FIND("arbeid",Methode_Keuze)),"",IF(Tb_Activiteiten[[#This Row],[Arbeidskosten op basis van IKS]]=1,Tb_Activiteiten[[#Headers],[Arbeidskosten op basis van IKS]],"")))</f>
        <v/>
      </c>
      <c r="AS1328" t="str">
        <f>IF(ISNUMBER(FIND("overige",Methode_Keuze)),"",IF(Tb_Activiteiten[[#This Row],[Kosten derden exclusief btw]]=1,Tb_Activiteiten[[#Headers],[Kosten derden exclusief btw]],""))</f>
        <v/>
      </c>
      <c r="AT1328" t="str">
        <f>IF(ISNUMBER(FIND("overige",Methode_Keuze)),"",IF(Tb_Activiteiten[[#This Row],[Niet verrekenbare btw]]=1,Tb_Activiteiten[[#Headers],[Niet verrekenbare btw]],""))</f>
        <v/>
      </c>
      <c r="AU1328" t="str">
        <f>IF(ISNUMBER(FIND("overige",Methode_Keuze)),"",IF(Tb_Activiteiten[[#This Row],[Grondkosten]]=1,Tb_Activiteiten[[#Headers],[Grondkosten]],""))</f>
        <v/>
      </c>
      <c r="AV1328" t="str">
        <f>IF(ISNUMBER(FIND("overige",Methode_Keuze)),"",IF(Tb_Activiteiten[[#This Row],[Bijdrage in natura (overige)]]=1,Tb_Activiteiten[[#Headers],[Bijdrage in natura (overige)]],""))</f>
        <v/>
      </c>
      <c r="AW1328" t="str">
        <f>IF(ISNUMBER(FIND("overige",Methode_Keuze)),"",IF(Tb_Activiteiten[[#This Row],[Bijdrage in natura (vrijwilligers)]]=1,Tb_Activiteiten[[#Headers],[Bijdrage in natura (vrijwilligers)]],""))</f>
        <v/>
      </c>
      <c r="AX1328" t="str">
        <f>IF(ISNUMBER(FIND("overige",Methode_Keuze)),"",IF(Tb_Activiteiten[[#This Row],[Afschrijvingskosten]]=1,Tb_Activiteiten[[#Headers],[Afschrijvingskosten]],""))</f>
        <v/>
      </c>
      <c r="AY1328" t="str">
        <f>IF(ISNUMBER(FIND("overige",Methode_Keuze)),"",IF(Tb_Activiteiten[[#This Row],[Vergoeding]]=1,Tb_Activiteiten[[#Headers],[Vergoeding]],""))</f>
        <v/>
      </c>
      <c r="AZ1328" t="str">
        <f>IF(ISNUMBER(FIND("arbeid",Methode_Keuze)),"",IF(Tb_Activiteiten[[#This Row],[Arbeidskosten - vast tarief (excl eigen arbeid)]]=1,Tb_Activiteiten[[#Headers],[Arbeidskosten - vast tarief (excl eigen arbeid)]],""))</f>
        <v/>
      </c>
      <c r="BA1328" t="str">
        <f>IF(ISNUMBER(FIND("overige",Methode_Keuze)),"",IF(Tb_Activiteiten[[#This Row],[Overige kosten]]=1,Tb_Activiteiten[[#Headers],[Overige kosten]],""))</f>
        <v/>
      </c>
    </row>
    <row r="1329" spans="15:53" x14ac:dyDescent="0.25">
      <c r="O1329" s="56"/>
      <c r="Q1329" t="str">
        <f>IFERROR(IF(VLOOKUP(Tb_Activiteiten[[#This Row],[Openstelling]],Tb_Openstelling[],2,0)=1,1,""),"")</f>
        <v/>
      </c>
      <c r="AK1329" t="str">
        <f>IF(ISNUMBER(FIND("arbeid",Methode_Keuze)),"",IF(ISNUMBER(FIND("arbeid",Methode_Keuze)),"",IF(Tb_Activiteiten[[#This Row],[Loonkosten]]=1,Tb_Activiteiten[[#Headers],[Loonkosten]],"")))</f>
        <v/>
      </c>
      <c r="AL1329" t="str">
        <f>IF(ISNUMBER(FIND("arbeid",Methode_Keuze)),"",IF(ISNUMBER(FIND("arbeid",Methode_Keuze)),"",IF(Tb_Activiteiten[[#This Row],[Eigen arbeid]]=1,Tb_Activiteiten[[#Headers],[Eigen arbeid]],"")))</f>
        <v/>
      </c>
      <c r="AM1329" t="str">
        <f>IF(ISNUMBER(FIND("arbeid",Methode_Keuze)),"",IF(ISNUMBER(FIND("arbeid",Methode_Keuze)),"",IF(Tb_Activiteiten[[#This Row],[Projectmedewerker]]=1,Tb_Activiteiten[[#Headers],[Projectmedewerker]],"")))</f>
        <v/>
      </c>
      <c r="AN1329" t="str">
        <f>IF(ISNUMBER(FIND("arbeid",Methode_Keuze)),"",IF(ISNUMBER(FIND("arbeid",Methode_Keuze)),"",IF(Tb_Activiteiten[[#This Row],[Landbouwer]]=1,Tb_Activiteiten[[#Headers],[Landbouwer]],"")))</f>
        <v/>
      </c>
      <c r="AO1329" t="str">
        <f>IF(ISNUMBER(FIND("arbeid",Methode_Keuze)),"",IF(ISNUMBER(FIND("arbeid",Methode_Keuze)),"",IF(Tb_Activiteiten[[#This Row],[Adviseur]]=1,Tb_Activiteiten[[#Headers],[Adviseur]],"")))</f>
        <v/>
      </c>
      <c r="AP1329" t="str">
        <f>IF(ISNUMBER(FIND("arbeid",Methode_Keuze)),"",IF(ISNUMBER(FIND("arbeid",Methode_Keuze)),"",IF(Tb_Activiteiten[[#This Row],[Projectleider/Expert]]=1,Tb_Activiteiten[[#Headers],[Projectleider/Expert]],"")))</f>
        <v/>
      </c>
      <c r="AQ1329" t="str">
        <f>IF(ISNUMBER(FIND("arbeid",Methode_Keuze)),"",IF(ISNUMBER(FIND("arbeid",Methode_Keuze)),"",IF(Tb_Activiteiten[[#This Row],[Arbeidskosten]]=1,Tb_Activiteiten[[#Headers],[Arbeidskosten]],"")))</f>
        <v/>
      </c>
      <c r="AR1329" t="str">
        <f>IF(ISNUMBER(FIND("arbeid",Methode_Keuze)),"",IF(ISNUMBER(FIND("arbeid",Methode_Keuze)),"",IF(Tb_Activiteiten[[#This Row],[Arbeidskosten op basis van IKS]]=1,Tb_Activiteiten[[#Headers],[Arbeidskosten op basis van IKS]],"")))</f>
        <v/>
      </c>
      <c r="AS1329" t="str">
        <f>IF(ISNUMBER(FIND("overige",Methode_Keuze)),"",IF(Tb_Activiteiten[[#This Row],[Kosten derden exclusief btw]]=1,Tb_Activiteiten[[#Headers],[Kosten derden exclusief btw]],""))</f>
        <v/>
      </c>
      <c r="AT1329" t="str">
        <f>IF(ISNUMBER(FIND("overige",Methode_Keuze)),"",IF(Tb_Activiteiten[[#This Row],[Niet verrekenbare btw]]=1,Tb_Activiteiten[[#Headers],[Niet verrekenbare btw]],""))</f>
        <v/>
      </c>
      <c r="AU1329" t="str">
        <f>IF(ISNUMBER(FIND("overige",Methode_Keuze)),"",IF(Tb_Activiteiten[[#This Row],[Grondkosten]]=1,Tb_Activiteiten[[#Headers],[Grondkosten]],""))</f>
        <v/>
      </c>
      <c r="AV1329" t="str">
        <f>IF(ISNUMBER(FIND("overige",Methode_Keuze)),"",IF(Tb_Activiteiten[[#This Row],[Bijdrage in natura (overige)]]=1,Tb_Activiteiten[[#Headers],[Bijdrage in natura (overige)]],""))</f>
        <v/>
      </c>
      <c r="AW1329" t="str">
        <f>IF(ISNUMBER(FIND("overige",Methode_Keuze)),"",IF(Tb_Activiteiten[[#This Row],[Bijdrage in natura (vrijwilligers)]]=1,Tb_Activiteiten[[#Headers],[Bijdrage in natura (vrijwilligers)]],""))</f>
        <v/>
      </c>
      <c r="AX1329" t="str">
        <f>IF(ISNUMBER(FIND("overige",Methode_Keuze)),"",IF(Tb_Activiteiten[[#This Row],[Afschrijvingskosten]]=1,Tb_Activiteiten[[#Headers],[Afschrijvingskosten]],""))</f>
        <v/>
      </c>
      <c r="AY1329" t="str">
        <f>IF(ISNUMBER(FIND("overige",Methode_Keuze)),"",IF(Tb_Activiteiten[[#This Row],[Vergoeding]]=1,Tb_Activiteiten[[#Headers],[Vergoeding]],""))</f>
        <v/>
      </c>
      <c r="AZ1329" t="str">
        <f>IF(ISNUMBER(FIND("arbeid",Methode_Keuze)),"",IF(Tb_Activiteiten[[#This Row],[Arbeidskosten - vast tarief (excl eigen arbeid)]]=1,Tb_Activiteiten[[#Headers],[Arbeidskosten - vast tarief (excl eigen arbeid)]],""))</f>
        <v/>
      </c>
      <c r="BA1329" t="str">
        <f>IF(ISNUMBER(FIND("overige",Methode_Keuze)),"",IF(Tb_Activiteiten[[#This Row],[Overige kosten]]=1,Tb_Activiteiten[[#Headers],[Overige kosten]],""))</f>
        <v/>
      </c>
    </row>
    <row r="1330" spans="15:53" x14ac:dyDescent="0.25">
      <c r="O1330" s="56"/>
      <c r="Q1330" t="str">
        <f>IFERROR(IF(VLOOKUP(Tb_Activiteiten[[#This Row],[Openstelling]],Tb_Openstelling[],2,0)=1,1,""),"")</f>
        <v/>
      </c>
      <c r="AK1330" t="str">
        <f>IF(ISNUMBER(FIND("arbeid",Methode_Keuze)),"",IF(ISNUMBER(FIND("arbeid",Methode_Keuze)),"",IF(Tb_Activiteiten[[#This Row],[Loonkosten]]=1,Tb_Activiteiten[[#Headers],[Loonkosten]],"")))</f>
        <v/>
      </c>
      <c r="AL1330" t="str">
        <f>IF(ISNUMBER(FIND("arbeid",Methode_Keuze)),"",IF(ISNUMBER(FIND("arbeid",Methode_Keuze)),"",IF(Tb_Activiteiten[[#This Row],[Eigen arbeid]]=1,Tb_Activiteiten[[#Headers],[Eigen arbeid]],"")))</f>
        <v/>
      </c>
      <c r="AM1330" t="str">
        <f>IF(ISNUMBER(FIND("arbeid",Methode_Keuze)),"",IF(ISNUMBER(FIND("arbeid",Methode_Keuze)),"",IF(Tb_Activiteiten[[#This Row],[Projectmedewerker]]=1,Tb_Activiteiten[[#Headers],[Projectmedewerker]],"")))</f>
        <v/>
      </c>
      <c r="AN1330" t="str">
        <f>IF(ISNUMBER(FIND("arbeid",Methode_Keuze)),"",IF(ISNUMBER(FIND("arbeid",Methode_Keuze)),"",IF(Tb_Activiteiten[[#This Row],[Landbouwer]]=1,Tb_Activiteiten[[#Headers],[Landbouwer]],"")))</f>
        <v/>
      </c>
      <c r="AO1330" t="str">
        <f>IF(ISNUMBER(FIND("arbeid",Methode_Keuze)),"",IF(ISNUMBER(FIND("arbeid",Methode_Keuze)),"",IF(Tb_Activiteiten[[#This Row],[Adviseur]]=1,Tb_Activiteiten[[#Headers],[Adviseur]],"")))</f>
        <v/>
      </c>
      <c r="AP1330" t="str">
        <f>IF(ISNUMBER(FIND("arbeid",Methode_Keuze)),"",IF(ISNUMBER(FIND("arbeid",Methode_Keuze)),"",IF(Tb_Activiteiten[[#This Row],[Projectleider/Expert]]=1,Tb_Activiteiten[[#Headers],[Projectleider/Expert]],"")))</f>
        <v/>
      </c>
      <c r="AQ1330" t="str">
        <f>IF(ISNUMBER(FIND("arbeid",Methode_Keuze)),"",IF(ISNUMBER(FIND("arbeid",Methode_Keuze)),"",IF(Tb_Activiteiten[[#This Row],[Arbeidskosten]]=1,Tb_Activiteiten[[#Headers],[Arbeidskosten]],"")))</f>
        <v/>
      </c>
      <c r="AR1330" t="str">
        <f>IF(ISNUMBER(FIND("arbeid",Methode_Keuze)),"",IF(ISNUMBER(FIND("arbeid",Methode_Keuze)),"",IF(Tb_Activiteiten[[#This Row],[Arbeidskosten op basis van IKS]]=1,Tb_Activiteiten[[#Headers],[Arbeidskosten op basis van IKS]],"")))</f>
        <v/>
      </c>
      <c r="AS1330" t="str">
        <f>IF(ISNUMBER(FIND("overige",Methode_Keuze)),"",IF(Tb_Activiteiten[[#This Row],[Kosten derden exclusief btw]]=1,Tb_Activiteiten[[#Headers],[Kosten derden exclusief btw]],""))</f>
        <v/>
      </c>
      <c r="AT1330" t="str">
        <f>IF(ISNUMBER(FIND("overige",Methode_Keuze)),"",IF(Tb_Activiteiten[[#This Row],[Niet verrekenbare btw]]=1,Tb_Activiteiten[[#Headers],[Niet verrekenbare btw]],""))</f>
        <v/>
      </c>
      <c r="AU1330" t="str">
        <f>IF(ISNUMBER(FIND("overige",Methode_Keuze)),"",IF(Tb_Activiteiten[[#This Row],[Grondkosten]]=1,Tb_Activiteiten[[#Headers],[Grondkosten]],""))</f>
        <v/>
      </c>
      <c r="AV1330" t="str">
        <f>IF(ISNUMBER(FIND("overige",Methode_Keuze)),"",IF(Tb_Activiteiten[[#This Row],[Bijdrage in natura (overige)]]=1,Tb_Activiteiten[[#Headers],[Bijdrage in natura (overige)]],""))</f>
        <v/>
      </c>
      <c r="AW1330" t="str">
        <f>IF(ISNUMBER(FIND("overige",Methode_Keuze)),"",IF(Tb_Activiteiten[[#This Row],[Bijdrage in natura (vrijwilligers)]]=1,Tb_Activiteiten[[#Headers],[Bijdrage in natura (vrijwilligers)]],""))</f>
        <v/>
      </c>
      <c r="AX1330" t="str">
        <f>IF(ISNUMBER(FIND("overige",Methode_Keuze)),"",IF(Tb_Activiteiten[[#This Row],[Afschrijvingskosten]]=1,Tb_Activiteiten[[#Headers],[Afschrijvingskosten]],""))</f>
        <v/>
      </c>
      <c r="AY1330" t="str">
        <f>IF(ISNUMBER(FIND("overige",Methode_Keuze)),"",IF(Tb_Activiteiten[[#This Row],[Vergoeding]]=1,Tb_Activiteiten[[#Headers],[Vergoeding]],""))</f>
        <v/>
      </c>
      <c r="AZ1330" t="str">
        <f>IF(ISNUMBER(FIND("arbeid",Methode_Keuze)),"",IF(Tb_Activiteiten[[#This Row],[Arbeidskosten - vast tarief (excl eigen arbeid)]]=1,Tb_Activiteiten[[#Headers],[Arbeidskosten - vast tarief (excl eigen arbeid)]],""))</f>
        <v/>
      </c>
      <c r="BA1330" t="str">
        <f>IF(ISNUMBER(FIND("overige",Methode_Keuze)),"",IF(Tb_Activiteiten[[#This Row],[Overige kosten]]=1,Tb_Activiteiten[[#Headers],[Overige kosten]],""))</f>
        <v/>
      </c>
    </row>
    <row r="1331" spans="15:53" x14ac:dyDescent="0.25">
      <c r="O1331" s="56"/>
      <c r="Q1331" t="str">
        <f>IFERROR(IF(VLOOKUP(Tb_Activiteiten[[#This Row],[Openstelling]],Tb_Openstelling[],2,0)=1,1,""),"")</f>
        <v/>
      </c>
      <c r="AK1331" t="str">
        <f>IF(ISNUMBER(FIND("arbeid",Methode_Keuze)),"",IF(ISNUMBER(FIND("arbeid",Methode_Keuze)),"",IF(Tb_Activiteiten[[#This Row],[Loonkosten]]=1,Tb_Activiteiten[[#Headers],[Loonkosten]],"")))</f>
        <v/>
      </c>
      <c r="AL1331" t="str">
        <f>IF(ISNUMBER(FIND("arbeid",Methode_Keuze)),"",IF(ISNUMBER(FIND("arbeid",Methode_Keuze)),"",IF(Tb_Activiteiten[[#This Row],[Eigen arbeid]]=1,Tb_Activiteiten[[#Headers],[Eigen arbeid]],"")))</f>
        <v/>
      </c>
      <c r="AM1331" t="str">
        <f>IF(ISNUMBER(FIND("arbeid",Methode_Keuze)),"",IF(ISNUMBER(FIND("arbeid",Methode_Keuze)),"",IF(Tb_Activiteiten[[#This Row],[Projectmedewerker]]=1,Tb_Activiteiten[[#Headers],[Projectmedewerker]],"")))</f>
        <v/>
      </c>
      <c r="AN1331" t="str">
        <f>IF(ISNUMBER(FIND("arbeid",Methode_Keuze)),"",IF(ISNUMBER(FIND("arbeid",Methode_Keuze)),"",IF(Tb_Activiteiten[[#This Row],[Landbouwer]]=1,Tb_Activiteiten[[#Headers],[Landbouwer]],"")))</f>
        <v/>
      </c>
      <c r="AO1331" t="str">
        <f>IF(ISNUMBER(FIND("arbeid",Methode_Keuze)),"",IF(ISNUMBER(FIND("arbeid",Methode_Keuze)),"",IF(Tb_Activiteiten[[#This Row],[Adviseur]]=1,Tb_Activiteiten[[#Headers],[Adviseur]],"")))</f>
        <v/>
      </c>
      <c r="AP1331" t="str">
        <f>IF(ISNUMBER(FIND("arbeid",Methode_Keuze)),"",IF(ISNUMBER(FIND("arbeid",Methode_Keuze)),"",IF(Tb_Activiteiten[[#This Row],[Projectleider/Expert]]=1,Tb_Activiteiten[[#Headers],[Projectleider/Expert]],"")))</f>
        <v/>
      </c>
      <c r="AQ1331" t="str">
        <f>IF(ISNUMBER(FIND("arbeid",Methode_Keuze)),"",IF(ISNUMBER(FIND("arbeid",Methode_Keuze)),"",IF(Tb_Activiteiten[[#This Row],[Arbeidskosten]]=1,Tb_Activiteiten[[#Headers],[Arbeidskosten]],"")))</f>
        <v/>
      </c>
      <c r="AR1331" t="str">
        <f>IF(ISNUMBER(FIND("arbeid",Methode_Keuze)),"",IF(ISNUMBER(FIND("arbeid",Methode_Keuze)),"",IF(Tb_Activiteiten[[#This Row],[Arbeidskosten op basis van IKS]]=1,Tb_Activiteiten[[#Headers],[Arbeidskosten op basis van IKS]],"")))</f>
        <v/>
      </c>
      <c r="AS1331" t="str">
        <f>IF(ISNUMBER(FIND("overige",Methode_Keuze)),"",IF(Tb_Activiteiten[[#This Row],[Kosten derden exclusief btw]]=1,Tb_Activiteiten[[#Headers],[Kosten derden exclusief btw]],""))</f>
        <v/>
      </c>
      <c r="AT1331" t="str">
        <f>IF(ISNUMBER(FIND("overige",Methode_Keuze)),"",IF(Tb_Activiteiten[[#This Row],[Niet verrekenbare btw]]=1,Tb_Activiteiten[[#Headers],[Niet verrekenbare btw]],""))</f>
        <v/>
      </c>
      <c r="AU1331" t="str">
        <f>IF(ISNUMBER(FIND("overige",Methode_Keuze)),"",IF(Tb_Activiteiten[[#This Row],[Grondkosten]]=1,Tb_Activiteiten[[#Headers],[Grondkosten]],""))</f>
        <v/>
      </c>
      <c r="AV1331" t="str">
        <f>IF(ISNUMBER(FIND("overige",Methode_Keuze)),"",IF(Tb_Activiteiten[[#This Row],[Bijdrage in natura (overige)]]=1,Tb_Activiteiten[[#Headers],[Bijdrage in natura (overige)]],""))</f>
        <v/>
      </c>
      <c r="AW1331" t="str">
        <f>IF(ISNUMBER(FIND("overige",Methode_Keuze)),"",IF(Tb_Activiteiten[[#This Row],[Bijdrage in natura (vrijwilligers)]]=1,Tb_Activiteiten[[#Headers],[Bijdrage in natura (vrijwilligers)]],""))</f>
        <v/>
      </c>
      <c r="AX1331" t="str">
        <f>IF(ISNUMBER(FIND("overige",Methode_Keuze)),"",IF(Tb_Activiteiten[[#This Row],[Afschrijvingskosten]]=1,Tb_Activiteiten[[#Headers],[Afschrijvingskosten]],""))</f>
        <v/>
      </c>
      <c r="AY1331" t="str">
        <f>IF(ISNUMBER(FIND("overige",Methode_Keuze)),"",IF(Tb_Activiteiten[[#This Row],[Vergoeding]]=1,Tb_Activiteiten[[#Headers],[Vergoeding]],""))</f>
        <v/>
      </c>
      <c r="AZ1331" t="str">
        <f>IF(ISNUMBER(FIND("arbeid",Methode_Keuze)),"",IF(Tb_Activiteiten[[#This Row],[Arbeidskosten - vast tarief (excl eigen arbeid)]]=1,Tb_Activiteiten[[#Headers],[Arbeidskosten - vast tarief (excl eigen arbeid)]],""))</f>
        <v/>
      </c>
      <c r="BA1331" t="str">
        <f>IF(ISNUMBER(FIND("overige",Methode_Keuze)),"",IF(Tb_Activiteiten[[#This Row],[Overige kosten]]=1,Tb_Activiteiten[[#Headers],[Overige kosten]],""))</f>
        <v/>
      </c>
    </row>
    <row r="1332" spans="15:53" x14ac:dyDescent="0.25">
      <c r="O1332" s="56"/>
      <c r="Q1332" t="str">
        <f>IFERROR(IF(VLOOKUP(Tb_Activiteiten[[#This Row],[Openstelling]],Tb_Openstelling[],2,0)=1,1,""),"")</f>
        <v/>
      </c>
      <c r="AK1332" t="str">
        <f>IF(ISNUMBER(FIND("arbeid",Methode_Keuze)),"",IF(ISNUMBER(FIND("arbeid",Methode_Keuze)),"",IF(Tb_Activiteiten[[#This Row],[Loonkosten]]=1,Tb_Activiteiten[[#Headers],[Loonkosten]],"")))</f>
        <v/>
      </c>
      <c r="AL1332" t="str">
        <f>IF(ISNUMBER(FIND("arbeid",Methode_Keuze)),"",IF(ISNUMBER(FIND("arbeid",Methode_Keuze)),"",IF(Tb_Activiteiten[[#This Row],[Eigen arbeid]]=1,Tb_Activiteiten[[#Headers],[Eigen arbeid]],"")))</f>
        <v/>
      </c>
      <c r="AM1332" t="str">
        <f>IF(ISNUMBER(FIND("arbeid",Methode_Keuze)),"",IF(ISNUMBER(FIND("arbeid",Methode_Keuze)),"",IF(Tb_Activiteiten[[#This Row],[Projectmedewerker]]=1,Tb_Activiteiten[[#Headers],[Projectmedewerker]],"")))</f>
        <v/>
      </c>
      <c r="AN1332" t="str">
        <f>IF(ISNUMBER(FIND("arbeid",Methode_Keuze)),"",IF(ISNUMBER(FIND("arbeid",Methode_Keuze)),"",IF(Tb_Activiteiten[[#This Row],[Landbouwer]]=1,Tb_Activiteiten[[#Headers],[Landbouwer]],"")))</f>
        <v/>
      </c>
      <c r="AO1332" t="str">
        <f>IF(ISNUMBER(FIND("arbeid",Methode_Keuze)),"",IF(ISNUMBER(FIND("arbeid",Methode_Keuze)),"",IF(Tb_Activiteiten[[#This Row],[Adviseur]]=1,Tb_Activiteiten[[#Headers],[Adviseur]],"")))</f>
        <v/>
      </c>
      <c r="AP1332" t="str">
        <f>IF(ISNUMBER(FIND("arbeid",Methode_Keuze)),"",IF(ISNUMBER(FIND("arbeid",Methode_Keuze)),"",IF(Tb_Activiteiten[[#This Row],[Projectleider/Expert]]=1,Tb_Activiteiten[[#Headers],[Projectleider/Expert]],"")))</f>
        <v/>
      </c>
      <c r="AQ1332" t="str">
        <f>IF(ISNUMBER(FIND("arbeid",Methode_Keuze)),"",IF(ISNUMBER(FIND("arbeid",Methode_Keuze)),"",IF(Tb_Activiteiten[[#This Row],[Arbeidskosten]]=1,Tb_Activiteiten[[#Headers],[Arbeidskosten]],"")))</f>
        <v/>
      </c>
      <c r="AR1332" t="str">
        <f>IF(ISNUMBER(FIND("arbeid",Methode_Keuze)),"",IF(ISNUMBER(FIND("arbeid",Methode_Keuze)),"",IF(Tb_Activiteiten[[#This Row],[Arbeidskosten op basis van IKS]]=1,Tb_Activiteiten[[#Headers],[Arbeidskosten op basis van IKS]],"")))</f>
        <v/>
      </c>
      <c r="AS1332" t="str">
        <f>IF(ISNUMBER(FIND("overige",Methode_Keuze)),"",IF(Tb_Activiteiten[[#This Row],[Kosten derden exclusief btw]]=1,Tb_Activiteiten[[#Headers],[Kosten derden exclusief btw]],""))</f>
        <v/>
      </c>
      <c r="AT1332" t="str">
        <f>IF(ISNUMBER(FIND("overige",Methode_Keuze)),"",IF(Tb_Activiteiten[[#This Row],[Niet verrekenbare btw]]=1,Tb_Activiteiten[[#Headers],[Niet verrekenbare btw]],""))</f>
        <v/>
      </c>
      <c r="AU1332" t="str">
        <f>IF(ISNUMBER(FIND("overige",Methode_Keuze)),"",IF(Tb_Activiteiten[[#This Row],[Grondkosten]]=1,Tb_Activiteiten[[#Headers],[Grondkosten]],""))</f>
        <v/>
      </c>
      <c r="AV1332" t="str">
        <f>IF(ISNUMBER(FIND("overige",Methode_Keuze)),"",IF(Tb_Activiteiten[[#This Row],[Bijdrage in natura (overige)]]=1,Tb_Activiteiten[[#Headers],[Bijdrage in natura (overige)]],""))</f>
        <v/>
      </c>
      <c r="AW1332" t="str">
        <f>IF(ISNUMBER(FIND("overige",Methode_Keuze)),"",IF(Tb_Activiteiten[[#This Row],[Bijdrage in natura (vrijwilligers)]]=1,Tb_Activiteiten[[#Headers],[Bijdrage in natura (vrijwilligers)]],""))</f>
        <v/>
      </c>
      <c r="AX1332" t="str">
        <f>IF(ISNUMBER(FIND("overige",Methode_Keuze)),"",IF(Tb_Activiteiten[[#This Row],[Afschrijvingskosten]]=1,Tb_Activiteiten[[#Headers],[Afschrijvingskosten]],""))</f>
        <v/>
      </c>
      <c r="AY1332" t="str">
        <f>IF(ISNUMBER(FIND("overige",Methode_Keuze)),"",IF(Tb_Activiteiten[[#This Row],[Vergoeding]]=1,Tb_Activiteiten[[#Headers],[Vergoeding]],""))</f>
        <v/>
      </c>
      <c r="AZ1332" t="str">
        <f>IF(ISNUMBER(FIND("arbeid",Methode_Keuze)),"",IF(Tb_Activiteiten[[#This Row],[Arbeidskosten - vast tarief (excl eigen arbeid)]]=1,Tb_Activiteiten[[#Headers],[Arbeidskosten - vast tarief (excl eigen arbeid)]],""))</f>
        <v/>
      </c>
      <c r="BA1332" t="str">
        <f>IF(ISNUMBER(FIND("overige",Methode_Keuze)),"",IF(Tb_Activiteiten[[#This Row],[Overige kosten]]=1,Tb_Activiteiten[[#Headers],[Overige kosten]],""))</f>
        <v/>
      </c>
    </row>
    <row r="1333" spans="15:53" x14ac:dyDescent="0.25">
      <c r="O1333" s="56"/>
      <c r="Q1333" t="str">
        <f>IFERROR(IF(VLOOKUP(Tb_Activiteiten[[#This Row],[Openstelling]],Tb_Openstelling[],2,0)=1,1,""),"")</f>
        <v/>
      </c>
      <c r="AK1333" t="str">
        <f>IF(ISNUMBER(FIND("arbeid",Methode_Keuze)),"",IF(ISNUMBER(FIND("arbeid",Methode_Keuze)),"",IF(Tb_Activiteiten[[#This Row],[Loonkosten]]=1,Tb_Activiteiten[[#Headers],[Loonkosten]],"")))</f>
        <v/>
      </c>
      <c r="AL1333" t="str">
        <f>IF(ISNUMBER(FIND("arbeid",Methode_Keuze)),"",IF(ISNUMBER(FIND("arbeid",Methode_Keuze)),"",IF(Tb_Activiteiten[[#This Row],[Eigen arbeid]]=1,Tb_Activiteiten[[#Headers],[Eigen arbeid]],"")))</f>
        <v/>
      </c>
      <c r="AM1333" t="str">
        <f>IF(ISNUMBER(FIND("arbeid",Methode_Keuze)),"",IF(ISNUMBER(FIND("arbeid",Methode_Keuze)),"",IF(Tb_Activiteiten[[#This Row],[Projectmedewerker]]=1,Tb_Activiteiten[[#Headers],[Projectmedewerker]],"")))</f>
        <v/>
      </c>
      <c r="AN1333" t="str">
        <f>IF(ISNUMBER(FIND("arbeid",Methode_Keuze)),"",IF(ISNUMBER(FIND("arbeid",Methode_Keuze)),"",IF(Tb_Activiteiten[[#This Row],[Landbouwer]]=1,Tb_Activiteiten[[#Headers],[Landbouwer]],"")))</f>
        <v/>
      </c>
      <c r="AO1333" t="str">
        <f>IF(ISNUMBER(FIND("arbeid",Methode_Keuze)),"",IF(ISNUMBER(FIND("arbeid",Methode_Keuze)),"",IF(Tb_Activiteiten[[#This Row],[Adviseur]]=1,Tb_Activiteiten[[#Headers],[Adviseur]],"")))</f>
        <v/>
      </c>
      <c r="AP1333" t="str">
        <f>IF(ISNUMBER(FIND("arbeid",Methode_Keuze)),"",IF(ISNUMBER(FIND("arbeid",Methode_Keuze)),"",IF(Tb_Activiteiten[[#This Row],[Projectleider/Expert]]=1,Tb_Activiteiten[[#Headers],[Projectleider/Expert]],"")))</f>
        <v/>
      </c>
      <c r="AQ1333" t="str">
        <f>IF(ISNUMBER(FIND("arbeid",Methode_Keuze)),"",IF(ISNUMBER(FIND("arbeid",Methode_Keuze)),"",IF(Tb_Activiteiten[[#This Row],[Arbeidskosten]]=1,Tb_Activiteiten[[#Headers],[Arbeidskosten]],"")))</f>
        <v/>
      </c>
      <c r="AR1333" t="str">
        <f>IF(ISNUMBER(FIND("arbeid",Methode_Keuze)),"",IF(ISNUMBER(FIND("arbeid",Methode_Keuze)),"",IF(Tb_Activiteiten[[#This Row],[Arbeidskosten op basis van IKS]]=1,Tb_Activiteiten[[#Headers],[Arbeidskosten op basis van IKS]],"")))</f>
        <v/>
      </c>
      <c r="AS1333" t="str">
        <f>IF(ISNUMBER(FIND("overige",Methode_Keuze)),"",IF(Tb_Activiteiten[[#This Row],[Kosten derden exclusief btw]]=1,Tb_Activiteiten[[#Headers],[Kosten derden exclusief btw]],""))</f>
        <v/>
      </c>
      <c r="AT1333" t="str">
        <f>IF(ISNUMBER(FIND("overige",Methode_Keuze)),"",IF(Tb_Activiteiten[[#This Row],[Niet verrekenbare btw]]=1,Tb_Activiteiten[[#Headers],[Niet verrekenbare btw]],""))</f>
        <v/>
      </c>
      <c r="AU1333" t="str">
        <f>IF(ISNUMBER(FIND("overige",Methode_Keuze)),"",IF(Tb_Activiteiten[[#This Row],[Grondkosten]]=1,Tb_Activiteiten[[#Headers],[Grondkosten]],""))</f>
        <v/>
      </c>
      <c r="AV1333" t="str">
        <f>IF(ISNUMBER(FIND("overige",Methode_Keuze)),"",IF(Tb_Activiteiten[[#This Row],[Bijdrage in natura (overige)]]=1,Tb_Activiteiten[[#Headers],[Bijdrage in natura (overige)]],""))</f>
        <v/>
      </c>
      <c r="AW1333" t="str">
        <f>IF(ISNUMBER(FIND("overige",Methode_Keuze)),"",IF(Tb_Activiteiten[[#This Row],[Bijdrage in natura (vrijwilligers)]]=1,Tb_Activiteiten[[#Headers],[Bijdrage in natura (vrijwilligers)]],""))</f>
        <v/>
      </c>
      <c r="AX1333" t="str">
        <f>IF(ISNUMBER(FIND("overige",Methode_Keuze)),"",IF(Tb_Activiteiten[[#This Row],[Afschrijvingskosten]]=1,Tb_Activiteiten[[#Headers],[Afschrijvingskosten]],""))</f>
        <v/>
      </c>
      <c r="AY1333" t="str">
        <f>IF(ISNUMBER(FIND("overige",Methode_Keuze)),"",IF(Tb_Activiteiten[[#This Row],[Vergoeding]]=1,Tb_Activiteiten[[#Headers],[Vergoeding]],""))</f>
        <v/>
      </c>
      <c r="AZ1333" t="str">
        <f>IF(ISNUMBER(FIND("arbeid",Methode_Keuze)),"",IF(Tb_Activiteiten[[#This Row],[Arbeidskosten - vast tarief (excl eigen arbeid)]]=1,Tb_Activiteiten[[#Headers],[Arbeidskosten - vast tarief (excl eigen arbeid)]],""))</f>
        <v/>
      </c>
      <c r="BA1333" t="str">
        <f>IF(ISNUMBER(FIND("overige",Methode_Keuze)),"",IF(Tb_Activiteiten[[#This Row],[Overige kosten]]=1,Tb_Activiteiten[[#Headers],[Overige kosten]],""))</f>
        <v/>
      </c>
    </row>
    <row r="1334" spans="15:53" x14ac:dyDescent="0.25">
      <c r="O1334" s="56"/>
      <c r="Q1334" t="str">
        <f>IFERROR(IF(VLOOKUP(Tb_Activiteiten[[#This Row],[Openstelling]],Tb_Openstelling[],2,0)=1,1,""),"")</f>
        <v/>
      </c>
      <c r="AK1334" t="str">
        <f>IF(ISNUMBER(FIND("arbeid",Methode_Keuze)),"",IF(ISNUMBER(FIND("arbeid",Methode_Keuze)),"",IF(Tb_Activiteiten[[#This Row],[Loonkosten]]=1,Tb_Activiteiten[[#Headers],[Loonkosten]],"")))</f>
        <v/>
      </c>
      <c r="AL1334" t="str">
        <f>IF(ISNUMBER(FIND("arbeid",Methode_Keuze)),"",IF(ISNUMBER(FIND("arbeid",Methode_Keuze)),"",IF(Tb_Activiteiten[[#This Row],[Eigen arbeid]]=1,Tb_Activiteiten[[#Headers],[Eigen arbeid]],"")))</f>
        <v/>
      </c>
      <c r="AM1334" t="str">
        <f>IF(ISNUMBER(FIND("arbeid",Methode_Keuze)),"",IF(ISNUMBER(FIND("arbeid",Methode_Keuze)),"",IF(Tb_Activiteiten[[#This Row],[Projectmedewerker]]=1,Tb_Activiteiten[[#Headers],[Projectmedewerker]],"")))</f>
        <v/>
      </c>
      <c r="AN1334" t="str">
        <f>IF(ISNUMBER(FIND("arbeid",Methode_Keuze)),"",IF(ISNUMBER(FIND("arbeid",Methode_Keuze)),"",IF(Tb_Activiteiten[[#This Row],[Landbouwer]]=1,Tb_Activiteiten[[#Headers],[Landbouwer]],"")))</f>
        <v/>
      </c>
      <c r="AO1334" t="str">
        <f>IF(ISNUMBER(FIND("arbeid",Methode_Keuze)),"",IF(ISNUMBER(FIND("arbeid",Methode_Keuze)),"",IF(Tb_Activiteiten[[#This Row],[Adviseur]]=1,Tb_Activiteiten[[#Headers],[Adviseur]],"")))</f>
        <v/>
      </c>
      <c r="AP1334" t="str">
        <f>IF(ISNUMBER(FIND("arbeid",Methode_Keuze)),"",IF(ISNUMBER(FIND("arbeid",Methode_Keuze)),"",IF(Tb_Activiteiten[[#This Row],[Projectleider/Expert]]=1,Tb_Activiteiten[[#Headers],[Projectleider/Expert]],"")))</f>
        <v/>
      </c>
      <c r="AQ1334" t="str">
        <f>IF(ISNUMBER(FIND("arbeid",Methode_Keuze)),"",IF(ISNUMBER(FIND("arbeid",Methode_Keuze)),"",IF(Tb_Activiteiten[[#This Row],[Arbeidskosten]]=1,Tb_Activiteiten[[#Headers],[Arbeidskosten]],"")))</f>
        <v/>
      </c>
      <c r="AR1334" t="str">
        <f>IF(ISNUMBER(FIND("arbeid",Methode_Keuze)),"",IF(ISNUMBER(FIND("arbeid",Methode_Keuze)),"",IF(Tb_Activiteiten[[#This Row],[Arbeidskosten op basis van IKS]]=1,Tb_Activiteiten[[#Headers],[Arbeidskosten op basis van IKS]],"")))</f>
        <v/>
      </c>
      <c r="AS1334" t="str">
        <f>IF(ISNUMBER(FIND("overige",Methode_Keuze)),"",IF(Tb_Activiteiten[[#This Row],[Kosten derden exclusief btw]]=1,Tb_Activiteiten[[#Headers],[Kosten derden exclusief btw]],""))</f>
        <v/>
      </c>
      <c r="AT1334" t="str">
        <f>IF(ISNUMBER(FIND("overige",Methode_Keuze)),"",IF(Tb_Activiteiten[[#This Row],[Niet verrekenbare btw]]=1,Tb_Activiteiten[[#Headers],[Niet verrekenbare btw]],""))</f>
        <v/>
      </c>
      <c r="AU1334" t="str">
        <f>IF(ISNUMBER(FIND("overige",Methode_Keuze)),"",IF(Tb_Activiteiten[[#This Row],[Grondkosten]]=1,Tb_Activiteiten[[#Headers],[Grondkosten]],""))</f>
        <v/>
      </c>
      <c r="AV1334" t="str">
        <f>IF(ISNUMBER(FIND("overige",Methode_Keuze)),"",IF(Tb_Activiteiten[[#This Row],[Bijdrage in natura (overige)]]=1,Tb_Activiteiten[[#Headers],[Bijdrage in natura (overige)]],""))</f>
        <v/>
      </c>
      <c r="AW1334" t="str">
        <f>IF(ISNUMBER(FIND("overige",Methode_Keuze)),"",IF(Tb_Activiteiten[[#This Row],[Bijdrage in natura (vrijwilligers)]]=1,Tb_Activiteiten[[#Headers],[Bijdrage in natura (vrijwilligers)]],""))</f>
        <v/>
      </c>
      <c r="AX1334" t="str">
        <f>IF(ISNUMBER(FIND("overige",Methode_Keuze)),"",IF(Tb_Activiteiten[[#This Row],[Afschrijvingskosten]]=1,Tb_Activiteiten[[#Headers],[Afschrijvingskosten]],""))</f>
        <v/>
      </c>
      <c r="AY1334" t="str">
        <f>IF(ISNUMBER(FIND("overige",Methode_Keuze)),"",IF(Tb_Activiteiten[[#This Row],[Vergoeding]]=1,Tb_Activiteiten[[#Headers],[Vergoeding]],""))</f>
        <v/>
      </c>
      <c r="AZ1334" t="str">
        <f>IF(ISNUMBER(FIND("arbeid",Methode_Keuze)),"",IF(Tb_Activiteiten[[#This Row],[Arbeidskosten - vast tarief (excl eigen arbeid)]]=1,Tb_Activiteiten[[#Headers],[Arbeidskosten - vast tarief (excl eigen arbeid)]],""))</f>
        <v/>
      </c>
      <c r="BA1334" t="str">
        <f>IF(ISNUMBER(FIND("overige",Methode_Keuze)),"",IF(Tb_Activiteiten[[#This Row],[Overige kosten]]=1,Tb_Activiteiten[[#Headers],[Overige kosten]],""))</f>
        <v/>
      </c>
    </row>
    <row r="1335" spans="15:53" x14ac:dyDescent="0.25">
      <c r="O1335" s="56"/>
      <c r="Q1335" t="str">
        <f>IFERROR(IF(VLOOKUP(Tb_Activiteiten[[#This Row],[Openstelling]],Tb_Openstelling[],2,0)=1,1,""),"")</f>
        <v/>
      </c>
      <c r="AK1335" t="str">
        <f>IF(ISNUMBER(FIND("arbeid",Methode_Keuze)),"",IF(ISNUMBER(FIND("arbeid",Methode_Keuze)),"",IF(Tb_Activiteiten[[#This Row],[Loonkosten]]=1,Tb_Activiteiten[[#Headers],[Loonkosten]],"")))</f>
        <v/>
      </c>
      <c r="AL1335" t="str">
        <f>IF(ISNUMBER(FIND("arbeid",Methode_Keuze)),"",IF(ISNUMBER(FIND("arbeid",Methode_Keuze)),"",IF(Tb_Activiteiten[[#This Row],[Eigen arbeid]]=1,Tb_Activiteiten[[#Headers],[Eigen arbeid]],"")))</f>
        <v/>
      </c>
      <c r="AM1335" t="str">
        <f>IF(ISNUMBER(FIND("arbeid",Methode_Keuze)),"",IF(ISNUMBER(FIND("arbeid",Methode_Keuze)),"",IF(Tb_Activiteiten[[#This Row],[Projectmedewerker]]=1,Tb_Activiteiten[[#Headers],[Projectmedewerker]],"")))</f>
        <v/>
      </c>
      <c r="AN1335" t="str">
        <f>IF(ISNUMBER(FIND("arbeid",Methode_Keuze)),"",IF(ISNUMBER(FIND("arbeid",Methode_Keuze)),"",IF(Tb_Activiteiten[[#This Row],[Landbouwer]]=1,Tb_Activiteiten[[#Headers],[Landbouwer]],"")))</f>
        <v/>
      </c>
      <c r="AO1335" t="str">
        <f>IF(ISNUMBER(FIND("arbeid",Methode_Keuze)),"",IF(ISNUMBER(FIND("arbeid",Methode_Keuze)),"",IF(Tb_Activiteiten[[#This Row],[Adviseur]]=1,Tb_Activiteiten[[#Headers],[Adviseur]],"")))</f>
        <v/>
      </c>
      <c r="AP1335" t="str">
        <f>IF(ISNUMBER(FIND("arbeid",Methode_Keuze)),"",IF(ISNUMBER(FIND("arbeid",Methode_Keuze)),"",IF(Tb_Activiteiten[[#This Row],[Projectleider/Expert]]=1,Tb_Activiteiten[[#Headers],[Projectleider/Expert]],"")))</f>
        <v/>
      </c>
      <c r="AQ1335" t="str">
        <f>IF(ISNUMBER(FIND("arbeid",Methode_Keuze)),"",IF(ISNUMBER(FIND("arbeid",Methode_Keuze)),"",IF(Tb_Activiteiten[[#This Row],[Arbeidskosten]]=1,Tb_Activiteiten[[#Headers],[Arbeidskosten]],"")))</f>
        <v/>
      </c>
      <c r="AR1335" t="str">
        <f>IF(ISNUMBER(FIND("arbeid",Methode_Keuze)),"",IF(ISNUMBER(FIND("arbeid",Methode_Keuze)),"",IF(Tb_Activiteiten[[#This Row],[Arbeidskosten op basis van IKS]]=1,Tb_Activiteiten[[#Headers],[Arbeidskosten op basis van IKS]],"")))</f>
        <v/>
      </c>
      <c r="AS1335" t="str">
        <f>IF(ISNUMBER(FIND("overige",Methode_Keuze)),"",IF(Tb_Activiteiten[[#This Row],[Kosten derden exclusief btw]]=1,Tb_Activiteiten[[#Headers],[Kosten derden exclusief btw]],""))</f>
        <v/>
      </c>
      <c r="AT1335" t="str">
        <f>IF(ISNUMBER(FIND("overige",Methode_Keuze)),"",IF(Tb_Activiteiten[[#This Row],[Niet verrekenbare btw]]=1,Tb_Activiteiten[[#Headers],[Niet verrekenbare btw]],""))</f>
        <v/>
      </c>
      <c r="AU1335" t="str">
        <f>IF(ISNUMBER(FIND("overige",Methode_Keuze)),"",IF(Tb_Activiteiten[[#This Row],[Grondkosten]]=1,Tb_Activiteiten[[#Headers],[Grondkosten]],""))</f>
        <v/>
      </c>
      <c r="AV1335" t="str">
        <f>IF(ISNUMBER(FIND("overige",Methode_Keuze)),"",IF(Tb_Activiteiten[[#This Row],[Bijdrage in natura (overige)]]=1,Tb_Activiteiten[[#Headers],[Bijdrage in natura (overige)]],""))</f>
        <v/>
      </c>
      <c r="AW1335" t="str">
        <f>IF(ISNUMBER(FIND("overige",Methode_Keuze)),"",IF(Tb_Activiteiten[[#This Row],[Bijdrage in natura (vrijwilligers)]]=1,Tb_Activiteiten[[#Headers],[Bijdrage in natura (vrijwilligers)]],""))</f>
        <v/>
      </c>
      <c r="AX1335" t="str">
        <f>IF(ISNUMBER(FIND("overige",Methode_Keuze)),"",IF(Tb_Activiteiten[[#This Row],[Afschrijvingskosten]]=1,Tb_Activiteiten[[#Headers],[Afschrijvingskosten]],""))</f>
        <v/>
      </c>
      <c r="AY1335" t="str">
        <f>IF(ISNUMBER(FIND("overige",Methode_Keuze)),"",IF(Tb_Activiteiten[[#This Row],[Vergoeding]]=1,Tb_Activiteiten[[#Headers],[Vergoeding]],""))</f>
        <v/>
      </c>
      <c r="AZ1335" t="str">
        <f>IF(ISNUMBER(FIND("arbeid",Methode_Keuze)),"",IF(Tb_Activiteiten[[#This Row],[Arbeidskosten - vast tarief (excl eigen arbeid)]]=1,Tb_Activiteiten[[#Headers],[Arbeidskosten - vast tarief (excl eigen arbeid)]],""))</f>
        <v/>
      </c>
      <c r="BA1335" t="str">
        <f>IF(ISNUMBER(FIND("overige",Methode_Keuze)),"",IF(Tb_Activiteiten[[#This Row],[Overige kosten]]=1,Tb_Activiteiten[[#Headers],[Overige kosten]],""))</f>
        <v/>
      </c>
    </row>
    <row r="1336" spans="15:53" x14ac:dyDescent="0.25">
      <c r="O1336" s="56"/>
      <c r="Q1336" t="str">
        <f>IFERROR(IF(VLOOKUP(Tb_Activiteiten[[#This Row],[Openstelling]],Tb_Openstelling[],2,0)=1,1,""),"")</f>
        <v/>
      </c>
      <c r="AK1336" t="str">
        <f>IF(ISNUMBER(FIND("arbeid",Methode_Keuze)),"",IF(ISNUMBER(FIND("arbeid",Methode_Keuze)),"",IF(Tb_Activiteiten[[#This Row],[Loonkosten]]=1,Tb_Activiteiten[[#Headers],[Loonkosten]],"")))</f>
        <v/>
      </c>
      <c r="AL1336" t="str">
        <f>IF(ISNUMBER(FIND("arbeid",Methode_Keuze)),"",IF(ISNUMBER(FIND("arbeid",Methode_Keuze)),"",IF(Tb_Activiteiten[[#This Row],[Eigen arbeid]]=1,Tb_Activiteiten[[#Headers],[Eigen arbeid]],"")))</f>
        <v/>
      </c>
      <c r="AM1336" t="str">
        <f>IF(ISNUMBER(FIND("arbeid",Methode_Keuze)),"",IF(ISNUMBER(FIND("arbeid",Methode_Keuze)),"",IF(Tb_Activiteiten[[#This Row],[Projectmedewerker]]=1,Tb_Activiteiten[[#Headers],[Projectmedewerker]],"")))</f>
        <v/>
      </c>
      <c r="AN1336" t="str">
        <f>IF(ISNUMBER(FIND("arbeid",Methode_Keuze)),"",IF(ISNUMBER(FIND("arbeid",Methode_Keuze)),"",IF(Tb_Activiteiten[[#This Row],[Landbouwer]]=1,Tb_Activiteiten[[#Headers],[Landbouwer]],"")))</f>
        <v/>
      </c>
      <c r="AO1336" t="str">
        <f>IF(ISNUMBER(FIND("arbeid",Methode_Keuze)),"",IF(ISNUMBER(FIND("arbeid",Methode_Keuze)),"",IF(Tb_Activiteiten[[#This Row],[Adviseur]]=1,Tb_Activiteiten[[#Headers],[Adviseur]],"")))</f>
        <v/>
      </c>
      <c r="AP1336" t="str">
        <f>IF(ISNUMBER(FIND("arbeid",Methode_Keuze)),"",IF(ISNUMBER(FIND("arbeid",Methode_Keuze)),"",IF(Tb_Activiteiten[[#This Row],[Projectleider/Expert]]=1,Tb_Activiteiten[[#Headers],[Projectleider/Expert]],"")))</f>
        <v/>
      </c>
      <c r="AQ1336" t="str">
        <f>IF(ISNUMBER(FIND("arbeid",Methode_Keuze)),"",IF(ISNUMBER(FIND("arbeid",Methode_Keuze)),"",IF(Tb_Activiteiten[[#This Row],[Arbeidskosten]]=1,Tb_Activiteiten[[#Headers],[Arbeidskosten]],"")))</f>
        <v/>
      </c>
      <c r="AR1336" t="str">
        <f>IF(ISNUMBER(FIND("arbeid",Methode_Keuze)),"",IF(ISNUMBER(FIND("arbeid",Methode_Keuze)),"",IF(Tb_Activiteiten[[#This Row],[Arbeidskosten op basis van IKS]]=1,Tb_Activiteiten[[#Headers],[Arbeidskosten op basis van IKS]],"")))</f>
        <v/>
      </c>
      <c r="AS1336" t="str">
        <f>IF(ISNUMBER(FIND("overige",Methode_Keuze)),"",IF(Tb_Activiteiten[[#This Row],[Kosten derden exclusief btw]]=1,Tb_Activiteiten[[#Headers],[Kosten derden exclusief btw]],""))</f>
        <v/>
      </c>
      <c r="AT1336" t="str">
        <f>IF(ISNUMBER(FIND("overige",Methode_Keuze)),"",IF(Tb_Activiteiten[[#This Row],[Niet verrekenbare btw]]=1,Tb_Activiteiten[[#Headers],[Niet verrekenbare btw]],""))</f>
        <v/>
      </c>
      <c r="AU1336" t="str">
        <f>IF(ISNUMBER(FIND("overige",Methode_Keuze)),"",IF(Tb_Activiteiten[[#This Row],[Grondkosten]]=1,Tb_Activiteiten[[#Headers],[Grondkosten]],""))</f>
        <v/>
      </c>
      <c r="AV1336" t="str">
        <f>IF(ISNUMBER(FIND("overige",Methode_Keuze)),"",IF(Tb_Activiteiten[[#This Row],[Bijdrage in natura (overige)]]=1,Tb_Activiteiten[[#Headers],[Bijdrage in natura (overige)]],""))</f>
        <v/>
      </c>
      <c r="AW1336" t="str">
        <f>IF(ISNUMBER(FIND("overige",Methode_Keuze)),"",IF(Tb_Activiteiten[[#This Row],[Bijdrage in natura (vrijwilligers)]]=1,Tb_Activiteiten[[#Headers],[Bijdrage in natura (vrijwilligers)]],""))</f>
        <v/>
      </c>
      <c r="AX1336" t="str">
        <f>IF(ISNUMBER(FIND("overige",Methode_Keuze)),"",IF(Tb_Activiteiten[[#This Row],[Afschrijvingskosten]]=1,Tb_Activiteiten[[#Headers],[Afschrijvingskosten]],""))</f>
        <v/>
      </c>
      <c r="AY1336" t="str">
        <f>IF(ISNUMBER(FIND("overige",Methode_Keuze)),"",IF(Tb_Activiteiten[[#This Row],[Vergoeding]]=1,Tb_Activiteiten[[#Headers],[Vergoeding]],""))</f>
        <v/>
      </c>
      <c r="AZ1336" t="str">
        <f>IF(ISNUMBER(FIND("arbeid",Methode_Keuze)),"",IF(Tb_Activiteiten[[#This Row],[Arbeidskosten - vast tarief (excl eigen arbeid)]]=1,Tb_Activiteiten[[#Headers],[Arbeidskosten - vast tarief (excl eigen arbeid)]],""))</f>
        <v/>
      </c>
      <c r="BA1336" t="str">
        <f>IF(ISNUMBER(FIND("overige",Methode_Keuze)),"",IF(Tb_Activiteiten[[#This Row],[Overige kosten]]=1,Tb_Activiteiten[[#Headers],[Overige kosten]],""))</f>
        <v/>
      </c>
    </row>
    <row r="1337" spans="15:53" x14ac:dyDescent="0.25">
      <c r="O1337" s="56"/>
      <c r="Q1337" t="str">
        <f>IFERROR(IF(VLOOKUP(Tb_Activiteiten[[#This Row],[Openstelling]],Tb_Openstelling[],2,0)=1,1,""),"")</f>
        <v/>
      </c>
      <c r="AK1337" t="str">
        <f>IF(ISNUMBER(FIND("arbeid",Methode_Keuze)),"",IF(ISNUMBER(FIND("arbeid",Methode_Keuze)),"",IF(Tb_Activiteiten[[#This Row],[Loonkosten]]=1,Tb_Activiteiten[[#Headers],[Loonkosten]],"")))</f>
        <v/>
      </c>
      <c r="AL1337" t="str">
        <f>IF(ISNUMBER(FIND("arbeid",Methode_Keuze)),"",IF(ISNUMBER(FIND("arbeid",Methode_Keuze)),"",IF(Tb_Activiteiten[[#This Row],[Eigen arbeid]]=1,Tb_Activiteiten[[#Headers],[Eigen arbeid]],"")))</f>
        <v/>
      </c>
      <c r="AM1337" t="str">
        <f>IF(ISNUMBER(FIND("arbeid",Methode_Keuze)),"",IF(ISNUMBER(FIND("arbeid",Methode_Keuze)),"",IF(Tb_Activiteiten[[#This Row],[Projectmedewerker]]=1,Tb_Activiteiten[[#Headers],[Projectmedewerker]],"")))</f>
        <v/>
      </c>
      <c r="AN1337" t="str">
        <f>IF(ISNUMBER(FIND("arbeid",Methode_Keuze)),"",IF(ISNUMBER(FIND("arbeid",Methode_Keuze)),"",IF(Tb_Activiteiten[[#This Row],[Landbouwer]]=1,Tb_Activiteiten[[#Headers],[Landbouwer]],"")))</f>
        <v/>
      </c>
      <c r="AO1337" t="str">
        <f>IF(ISNUMBER(FIND("arbeid",Methode_Keuze)),"",IF(ISNUMBER(FIND("arbeid",Methode_Keuze)),"",IF(Tb_Activiteiten[[#This Row],[Adviseur]]=1,Tb_Activiteiten[[#Headers],[Adviseur]],"")))</f>
        <v/>
      </c>
      <c r="AP1337" t="str">
        <f>IF(ISNUMBER(FIND("arbeid",Methode_Keuze)),"",IF(ISNUMBER(FIND("arbeid",Methode_Keuze)),"",IF(Tb_Activiteiten[[#This Row],[Projectleider/Expert]]=1,Tb_Activiteiten[[#Headers],[Projectleider/Expert]],"")))</f>
        <v/>
      </c>
      <c r="AQ1337" t="str">
        <f>IF(ISNUMBER(FIND("arbeid",Methode_Keuze)),"",IF(ISNUMBER(FIND("arbeid",Methode_Keuze)),"",IF(Tb_Activiteiten[[#This Row],[Arbeidskosten]]=1,Tb_Activiteiten[[#Headers],[Arbeidskosten]],"")))</f>
        <v/>
      </c>
      <c r="AR1337" t="str">
        <f>IF(ISNUMBER(FIND("arbeid",Methode_Keuze)),"",IF(ISNUMBER(FIND("arbeid",Methode_Keuze)),"",IF(Tb_Activiteiten[[#This Row],[Arbeidskosten op basis van IKS]]=1,Tb_Activiteiten[[#Headers],[Arbeidskosten op basis van IKS]],"")))</f>
        <v/>
      </c>
      <c r="AS1337" t="str">
        <f>IF(ISNUMBER(FIND("overige",Methode_Keuze)),"",IF(Tb_Activiteiten[[#This Row],[Kosten derden exclusief btw]]=1,Tb_Activiteiten[[#Headers],[Kosten derden exclusief btw]],""))</f>
        <v/>
      </c>
      <c r="AT1337" t="str">
        <f>IF(ISNUMBER(FIND("overige",Methode_Keuze)),"",IF(Tb_Activiteiten[[#This Row],[Niet verrekenbare btw]]=1,Tb_Activiteiten[[#Headers],[Niet verrekenbare btw]],""))</f>
        <v/>
      </c>
      <c r="AU1337" t="str">
        <f>IF(ISNUMBER(FIND("overige",Methode_Keuze)),"",IF(Tb_Activiteiten[[#This Row],[Grondkosten]]=1,Tb_Activiteiten[[#Headers],[Grondkosten]],""))</f>
        <v/>
      </c>
      <c r="AV1337" t="str">
        <f>IF(ISNUMBER(FIND("overige",Methode_Keuze)),"",IF(Tb_Activiteiten[[#This Row],[Bijdrage in natura (overige)]]=1,Tb_Activiteiten[[#Headers],[Bijdrage in natura (overige)]],""))</f>
        <v/>
      </c>
      <c r="AW1337" t="str">
        <f>IF(ISNUMBER(FIND("overige",Methode_Keuze)),"",IF(Tb_Activiteiten[[#This Row],[Bijdrage in natura (vrijwilligers)]]=1,Tb_Activiteiten[[#Headers],[Bijdrage in natura (vrijwilligers)]],""))</f>
        <v/>
      </c>
      <c r="AX1337" t="str">
        <f>IF(ISNUMBER(FIND("overige",Methode_Keuze)),"",IF(Tb_Activiteiten[[#This Row],[Afschrijvingskosten]]=1,Tb_Activiteiten[[#Headers],[Afschrijvingskosten]],""))</f>
        <v/>
      </c>
      <c r="AY1337" t="str">
        <f>IF(ISNUMBER(FIND("overige",Methode_Keuze)),"",IF(Tb_Activiteiten[[#This Row],[Vergoeding]]=1,Tb_Activiteiten[[#Headers],[Vergoeding]],""))</f>
        <v/>
      </c>
      <c r="AZ1337" t="str">
        <f>IF(ISNUMBER(FIND("arbeid",Methode_Keuze)),"",IF(Tb_Activiteiten[[#This Row],[Arbeidskosten - vast tarief (excl eigen arbeid)]]=1,Tb_Activiteiten[[#Headers],[Arbeidskosten - vast tarief (excl eigen arbeid)]],""))</f>
        <v/>
      </c>
      <c r="BA1337" t="str">
        <f>IF(ISNUMBER(FIND("overige",Methode_Keuze)),"",IF(Tb_Activiteiten[[#This Row],[Overige kosten]]=1,Tb_Activiteiten[[#Headers],[Overige kosten]],""))</f>
        <v/>
      </c>
    </row>
    <row r="1338" spans="15:53" x14ac:dyDescent="0.25">
      <c r="O1338" s="56"/>
      <c r="Q1338" t="str">
        <f>IFERROR(IF(VLOOKUP(Tb_Activiteiten[[#This Row],[Openstelling]],Tb_Openstelling[],2,0)=1,1,""),"")</f>
        <v/>
      </c>
      <c r="AK1338" t="str">
        <f>IF(ISNUMBER(FIND("arbeid",Methode_Keuze)),"",IF(ISNUMBER(FIND("arbeid",Methode_Keuze)),"",IF(Tb_Activiteiten[[#This Row],[Loonkosten]]=1,Tb_Activiteiten[[#Headers],[Loonkosten]],"")))</f>
        <v/>
      </c>
      <c r="AL1338" t="str">
        <f>IF(ISNUMBER(FIND("arbeid",Methode_Keuze)),"",IF(ISNUMBER(FIND("arbeid",Methode_Keuze)),"",IF(Tb_Activiteiten[[#This Row],[Eigen arbeid]]=1,Tb_Activiteiten[[#Headers],[Eigen arbeid]],"")))</f>
        <v/>
      </c>
      <c r="AM1338" t="str">
        <f>IF(ISNUMBER(FIND("arbeid",Methode_Keuze)),"",IF(ISNUMBER(FIND("arbeid",Methode_Keuze)),"",IF(Tb_Activiteiten[[#This Row],[Projectmedewerker]]=1,Tb_Activiteiten[[#Headers],[Projectmedewerker]],"")))</f>
        <v/>
      </c>
      <c r="AN1338" t="str">
        <f>IF(ISNUMBER(FIND("arbeid",Methode_Keuze)),"",IF(ISNUMBER(FIND("arbeid",Methode_Keuze)),"",IF(Tb_Activiteiten[[#This Row],[Landbouwer]]=1,Tb_Activiteiten[[#Headers],[Landbouwer]],"")))</f>
        <v/>
      </c>
      <c r="AO1338" t="str">
        <f>IF(ISNUMBER(FIND("arbeid",Methode_Keuze)),"",IF(ISNUMBER(FIND("arbeid",Methode_Keuze)),"",IF(Tb_Activiteiten[[#This Row],[Adviseur]]=1,Tb_Activiteiten[[#Headers],[Adviseur]],"")))</f>
        <v/>
      </c>
      <c r="AP1338" t="str">
        <f>IF(ISNUMBER(FIND("arbeid",Methode_Keuze)),"",IF(ISNUMBER(FIND("arbeid",Methode_Keuze)),"",IF(Tb_Activiteiten[[#This Row],[Projectleider/Expert]]=1,Tb_Activiteiten[[#Headers],[Projectleider/Expert]],"")))</f>
        <v/>
      </c>
      <c r="AQ1338" t="str">
        <f>IF(ISNUMBER(FIND("arbeid",Methode_Keuze)),"",IF(ISNUMBER(FIND("arbeid",Methode_Keuze)),"",IF(Tb_Activiteiten[[#This Row],[Arbeidskosten]]=1,Tb_Activiteiten[[#Headers],[Arbeidskosten]],"")))</f>
        <v/>
      </c>
      <c r="AR1338" t="str">
        <f>IF(ISNUMBER(FIND("arbeid",Methode_Keuze)),"",IF(ISNUMBER(FIND("arbeid",Methode_Keuze)),"",IF(Tb_Activiteiten[[#This Row],[Arbeidskosten op basis van IKS]]=1,Tb_Activiteiten[[#Headers],[Arbeidskosten op basis van IKS]],"")))</f>
        <v/>
      </c>
      <c r="AS1338" t="str">
        <f>IF(ISNUMBER(FIND("overige",Methode_Keuze)),"",IF(Tb_Activiteiten[[#This Row],[Kosten derden exclusief btw]]=1,Tb_Activiteiten[[#Headers],[Kosten derden exclusief btw]],""))</f>
        <v/>
      </c>
      <c r="AT1338" t="str">
        <f>IF(ISNUMBER(FIND("overige",Methode_Keuze)),"",IF(Tb_Activiteiten[[#This Row],[Niet verrekenbare btw]]=1,Tb_Activiteiten[[#Headers],[Niet verrekenbare btw]],""))</f>
        <v/>
      </c>
      <c r="AU1338" t="str">
        <f>IF(ISNUMBER(FIND("overige",Methode_Keuze)),"",IF(Tb_Activiteiten[[#This Row],[Grondkosten]]=1,Tb_Activiteiten[[#Headers],[Grondkosten]],""))</f>
        <v/>
      </c>
      <c r="AV1338" t="str">
        <f>IF(ISNUMBER(FIND("overige",Methode_Keuze)),"",IF(Tb_Activiteiten[[#This Row],[Bijdrage in natura (overige)]]=1,Tb_Activiteiten[[#Headers],[Bijdrage in natura (overige)]],""))</f>
        <v/>
      </c>
      <c r="AW1338" t="str">
        <f>IF(ISNUMBER(FIND("overige",Methode_Keuze)),"",IF(Tb_Activiteiten[[#This Row],[Bijdrage in natura (vrijwilligers)]]=1,Tb_Activiteiten[[#Headers],[Bijdrage in natura (vrijwilligers)]],""))</f>
        <v/>
      </c>
      <c r="AX1338" t="str">
        <f>IF(ISNUMBER(FIND("overige",Methode_Keuze)),"",IF(Tb_Activiteiten[[#This Row],[Afschrijvingskosten]]=1,Tb_Activiteiten[[#Headers],[Afschrijvingskosten]],""))</f>
        <v/>
      </c>
      <c r="AY1338" t="str">
        <f>IF(ISNUMBER(FIND("overige",Methode_Keuze)),"",IF(Tb_Activiteiten[[#This Row],[Vergoeding]]=1,Tb_Activiteiten[[#Headers],[Vergoeding]],""))</f>
        <v/>
      </c>
      <c r="AZ1338" t="str">
        <f>IF(ISNUMBER(FIND("arbeid",Methode_Keuze)),"",IF(Tb_Activiteiten[[#This Row],[Arbeidskosten - vast tarief (excl eigen arbeid)]]=1,Tb_Activiteiten[[#Headers],[Arbeidskosten - vast tarief (excl eigen arbeid)]],""))</f>
        <v/>
      </c>
      <c r="BA1338" t="str">
        <f>IF(ISNUMBER(FIND("overige",Methode_Keuze)),"",IF(Tb_Activiteiten[[#This Row],[Overige kosten]]=1,Tb_Activiteiten[[#Headers],[Overige kosten]],""))</f>
        <v/>
      </c>
    </row>
    <row r="1339" spans="15:53" x14ac:dyDescent="0.25">
      <c r="O1339" s="56"/>
      <c r="Q1339" t="str">
        <f>IFERROR(IF(VLOOKUP(Tb_Activiteiten[[#This Row],[Openstelling]],Tb_Openstelling[],2,0)=1,1,""),"")</f>
        <v/>
      </c>
      <c r="AK1339" t="str">
        <f>IF(ISNUMBER(FIND("arbeid",Methode_Keuze)),"",IF(ISNUMBER(FIND("arbeid",Methode_Keuze)),"",IF(Tb_Activiteiten[[#This Row],[Loonkosten]]=1,Tb_Activiteiten[[#Headers],[Loonkosten]],"")))</f>
        <v/>
      </c>
      <c r="AL1339" t="str">
        <f>IF(ISNUMBER(FIND("arbeid",Methode_Keuze)),"",IF(ISNUMBER(FIND("arbeid",Methode_Keuze)),"",IF(Tb_Activiteiten[[#This Row],[Eigen arbeid]]=1,Tb_Activiteiten[[#Headers],[Eigen arbeid]],"")))</f>
        <v/>
      </c>
      <c r="AM1339" t="str">
        <f>IF(ISNUMBER(FIND("arbeid",Methode_Keuze)),"",IF(ISNUMBER(FIND("arbeid",Methode_Keuze)),"",IF(Tb_Activiteiten[[#This Row],[Projectmedewerker]]=1,Tb_Activiteiten[[#Headers],[Projectmedewerker]],"")))</f>
        <v/>
      </c>
      <c r="AN1339" t="str">
        <f>IF(ISNUMBER(FIND("arbeid",Methode_Keuze)),"",IF(ISNUMBER(FIND("arbeid",Methode_Keuze)),"",IF(Tb_Activiteiten[[#This Row],[Landbouwer]]=1,Tb_Activiteiten[[#Headers],[Landbouwer]],"")))</f>
        <v/>
      </c>
      <c r="AO1339" t="str">
        <f>IF(ISNUMBER(FIND("arbeid",Methode_Keuze)),"",IF(ISNUMBER(FIND("arbeid",Methode_Keuze)),"",IF(Tb_Activiteiten[[#This Row],[Adviseur]]=1,Tb_Activiteiten[[#Headers],[Adviseur]],"")))</f>
        <v/>
      </c>
      <c r="AP1339" t="str">
        <f>IF(ISNUMBER(FIND("arbeid",Methode_Keuze)),"",IF(ISNUMBER(FIND("arbeid",Methode_Keuze)),"",IF(Tb_Activiteiten[[#This Row],[Projectleider/Expert]]=1,Tb_Activiteiten[[#Headers],[Projectleider/Expert]],"")))</f>
        <v/>
      </c>
      <c r="AQ1339" t="str">
        <f>IF(ISNUMBER(FIND("arbeid",Methode_Keuze)),"",IF(ISNUMBER(FIND("arbeid",Methode_Keuze)),"",IF(Tb_Activiteiten[[#This Row],[Arbeidskosten]]=1,Tb_Activiteiten[[#Headers],[Arbeidskosten]],"")))</f>
        <v/>
      </c>
      <c r="AR1339" t="str">
        <f>IF(ISNUMBER(FIND("arbeid",Methode_Keuze)),"",IF(ISNUMBER(FIND("arbeid",Methode_Keuze)),"",IF(Tb_Activiteiten[[#This Row],[Arbeidskosten op basis van IKS]]=1,Tb_Activiteiten[[#Headers],[Arbeidskosten op basis van IKS]],"")))</f>
        <v/>
      </c>
      <c r="AS1339" t="str">
        <f>IF(ISNUMBER(FIND("overige",Methode_Keuze)),"",IF(Tb_Activiteiten[[#This Row],[Kosten derden exclusief btw]]=1,Tb_Activiteiten[[#Headers],[Kosten derden exclusief btw]],""))</f>
        <v/>
      </c>
      <c r="AT1339" t="str">
        <f>IF(ISNUMBER(FIND("overige",Methode_Keuze)),"",IF(Tb_Activiteiten[[#This Row],[Niet verrekenbare btw]]=1,Tb_Activiteiten[[#Headers],[Niet verrekenbare btw]],""))</f>
        <v/>
      </c>
      <c r="AU1339" t="str">
        <f>IF(ISNUMBER(FIND("overige",Methode_Keuze)),"",IF(Tb_Activiteiten[[#This Row],[Grondkosten]]=1,Tb_Activiteiten[[#Headers],[Grondkosten]],""))</f>
        <v/>
      </c>
      <c r="AV1339" t="str">
        <f>IF(ISNUMBER(FIND("overige",Methode_Keuze)),"",IF(Tb_Activiteiten[[#This Row],[Bijdrage in natura (overige)]]=1,Tb_Activiteiten[[#Headers],[Bijdrage in natura (overige)]],""))</f>
        <v/>
      </c>
      <c r="AW1339" t="str">
        <f>IF(ISNUMBER(FIND("overige",Methode_Keuze)),"",IF(Tb_Activiteiten[[#This Row],[Bijdrage in natura (vrijwilligers)]]=1,Tb_Activiteiten[[#Headers],[Bijdrage in natura (vrijwilligers)]],""))</f>
        <v/>
      </c>
      <c r="AX1339" t="str">
        <f>IF(ISNUMBER(FIND("overige",Methode_Keuze)),"",IF(Tb_Activiteiten[[#This Row],[Afschrijvingskosten]]=1,Tb_Activiteiten[[#Headers],[Afschrijvingskosten]],""))</f>
        <v/>
      </c>
      <c r="AY1339" t="str">
        <f>IF(ISNUMBER(FIND("overige",Methode_Keuze)),"",IF(Tb_Activiteiten[[#This Row],[Vergoeding]]=1,Tb_Activiteiten[[#Headers],[Vergoeding]],""))</f>
        <v/>
      </c>
      <c r="AZ1339" t="str">
        <f>IF(ISNUMBER(FIND("arbeid",Methode_Keuze)),"",IF(Tb_Activiteiten[[#This Row],[Arbeidskosten - vast tarief (excl eigen arbeid)]]=1,Tb_Activiteiten[[#Headers],[Arbeidskosten - vast tarief (excl eigen arbeid)]],""))</f>
        <v/>
      </c>
      <c r="BA1339" t="str">
        <f>IF(ISNUMBER(FIND("overige",Methode_Keuze)),"",IF(Tb_Activiteiten[[#This Row],[Overige kosten]]=1,Tb_Activiteiten[[#Headers],[Overige kosten]],""))</f>
        <v/>
      </c>
    </row>
    <row r="1340" spans="15:53" x14ac:dyDescent="0.25">
      <c r="O1340" s="56"/>
      <c r="Q1340" t="str">
        <f>IFERROR(IF(VLOOKUP(Tb_Activiteiten[[#This Row],[Openstelling]],Tb_Openstelling[],2,0)=1,1,""),"")</f>
        <v/>
      </c>
      <c r="AK1340" t="str">
        <f>IF(ISNUMBER(FIND("arbeid",Methode_Keuze)),"",IF(ISNUMBER(FIND("arbeid",Methode_Keuze)),"",IF(Tb_Activiteiten[[#This Row],[Loonkosten]]=1,Tb_Activiteiten[[#Headers],[Loonkosten]],"")))</f>
        <v/>
      </c>
      <c r="AL1340" t="str">
        <f>IF(ISNUMBER(FIND("arbeid",Methode_Keuze)),"",IF(ISNUMBER(FIND("arbeid",Methode_Keuze)),"",IF(Tb_Activiteiten[[#This Row],[Eigen arbeid]]=1,Tb_Activiteiten[[#Headers],[Eigen arbeid]],"")))</f>
        <v/>
      </c>
      <c r="AM1340" t="str">
        <f>IF(ISNUMBER(FIND("arbeid",Methode_Keuze)),"",IF(ISNUMBER(FIND("arbeid",Methode_Keuze)),"",IF(Tb_Activiteiten[[#This Row],[Projectmedewerker]]=1,Tb_Activiteiten[[#Headers],[Projectmedewerker]],"")))</f>
        <v/>
      </c>
      <c r="AN1340" t="str">
        <f>IF(ISNUMBER(FIND("arbeid",Methode_Keuze)),"",IF(ISNUMBER(FIND("arbeid",Methode_Keuze)),"",IF(Tb_Activiteiten[[#This Row],[Landbouwer]]=1,Tb_Activiteiten[[#Headers],[Landbouwer]],"")))</f>
        <v/>
      </c>
      <c r="AO1340" t="str">
        <f>IF(ISNUMBER(FIND("arbeid",Methode_Keuze)),"",IF(ISNUMBER(FIND("arbeid",Methode_Keuze)),"",IF(Tb_Activiteiten[[#This Row],[Adviseur]]=1,Tb_Activiteiten[[#Headers],[Adviseur]],"")))</f>
        <v/>
      </c>
      <c r="AP1340" t="str">
        <f>IF(ISNUMBER(FIND("arbeid",Methode_Keuze)),"",IF(ISNUMBER(FIND("arbeid",Methode_Keuze)),"",IF(Tb_Activiteiten[[#This Row],[Projectleider/Expert]]=1,Tb_Activiteiten[[#Headers],[Projectleider/Expert]],"")))</f>
        <v/>
      </c>
      <c r="AQ1340" t="str">
        <f>IF(ISNUMBER(FIND("arbeid",Methode_Keuze)),"",IF(ISNUMBER(FIND("arbeid",Methode_Keuze)),"",IF(Tb_Activiteiten[[#This Row],[Arbeidskosten]]=1,Tb_Activiteiten[[#Headers],[Arbeidskosten]],"")))</f>
        <v/>
      </c>
      <c r="AR1340" t="str">
        <f>IF(ISNUMBER(FIND("arbeid",Methode_Keuze)),"",IF(ISNUMBER(FIND("arbeid",Methode_Keuze)),"",IF(Tb_Activiteiten[[#This Row],[Arbeidskosten op basis van IKS]]=1,Tb_Activiteiten[[#Headers],[Arbeidskosten op basis van IKS]],"")))</f>
        <v/>
      </c>
      <c r="AS1340" t="str">
        <f>IF(ISNUMBER(FIND("overige",Methode_Keuze)),"",IF(Tb_Activiteiten[[#This Row],[Kosten derden exclusief btw]]=1,Tb_Activiteiten[[#Headers],[Kosten derden exclusief btw]],""))</f>
        <v/>
      </c>
      <c r="AT1340" t="str">
        <f>IF(ISNUMBER(FIND("overige",Methode_Keuze)),"",IF(Tb_Activiteiten[[#This Row],[Niet verrekenbare btw]]=1,Tb_Activiteiten[[#Headers],[Niet verrekenbare btw]],""))</f>
        <v/>
      </c>
      <c r="AU1340" t="str">
        <f>IF(ISNUMBER(FIND("overige",Methode_Keuze)),"",IF(Tb_Activiteiten[[#This Row],[Grondkosten]]=1,Tb_Activiteiten[[#Headers],[Grondkosten]],""))</f>
        <v/>
      </c>
      <c r="AV1340" t="str">
        <f>IF(ISNUMBER(FIND("overige",Methode_Keuze)),"",IF(Tb_Activiteiten[[#This Row],[Bijdrage in natura (overige)]]=1,Tb_Activiteiten[[#Headers],[Bijdrage in natura (overige)]],""))</f>
        <v/>
      </c>
      <c r="AW1340" t="str">
        <f>IF(ISNUMBER(FIND("overige",Methode_Keuze)),"",IF(Tb_Activiteiten[[#This Row],[Bijdrage in natura (vrijwilligers)]]=1,Tb_Activiteiten[[#Headers],[Bijdrage in natura (vrijwilligers)]],""))</f>
        <v/>
      </c>
      <c r="AX1340" t="str">
        <f>IF(ISNUMBER(FIND("overige",Methode_Keuze)),"",IF(Tb_Activiteiten[[#This Row],[Afschrijvingskosten]]=1,Tb_Activiteiten[[#Headers],[Afschrijvingskosten]],""))</f>
        <v/>
      </c>
      <c r="AY1340" t="str">
        <f>IF(ISNUMBER(FIND("overige",Methode_Keuze)),"",IF(Tb_Activiteiten[[#This Row],[Vergoeding]]=1,Tb_Activiteiten[[#Headers],[Vergoeding]],""))</f>
        <v/>
      </c>
      <c r="AZ1340" t="str">
        <f>IF(ISNUMBER(FIND("arbeid",Methode_Keuze)),"",IF(Tb_Activiteiten[[#This Row],[Arbeidskosten - vast tarief (excl eigen arbeid)]]=1,Tb_Activiteiten[[#Headers],[Arbeidskosten - vast tarief (excl eigen arbeid)]],""))</f>
        <v/>
      </c>
      <c r="BA1340" t="str">
        <f>IF(ISNUMBER(FIND("overige",Methode_Keuze)),"",IF(Tb_Activiteiten[[#This Row],[Overige kosten]]=1,Tb_Activiteiten[[#Headers],[Overige kosten]],""))</f>
        <v/>
      </c>
    </row>
    <row r="1341" spans="15:53" x14ac:dyDescent="0.25">
      <c r="O1341" s="56"/>
      <c r="Q1341" t="str">
        <f>IFERROR(IF(VLOOKUP(Tb_Activiteiten[[#This Row],[Openstelling]],Tb_Openstelling[],2,0)=1,1,""),"")</f>
        <v/>
      </c>
      <c r="AK1341" t="str">
        <f>IF(ISNUMBER(FIND("arbeid",Methode_Keuze)),"",IF(ISNUMBER(FIND("arbeid",Methode_Keuze)),"",IF(Tb_Activiteiten[[#This Row],[Loonkosten]]=1,Tb_Activiteiten[[#Headers],[Loonkosten]],"")))</f>
        <v/>
      </c>
      <c r="AL1341" t="str">
        <f>IF(ISNUMBER(FIND("arbeid",Methode_Keuze)),"",IF(ISNUMBER(FIND("arbeid",Methode_Keuze)),"",IF(Tb_Activiteiten[[#This Row],[Eigen arbeid]]=1,Tb_Activiteiten[[#Headers],[Eigen arbeid]],"")))</f>
        <v/>
      </c>
      <c r="AM1341" t="str">
        <f>IF(ISNUMBER(FIND("arbeid",Methode_Keuze)),"",IF(ISNUMBER(FIND("arbeid",Methode_Keuze)),"",IF(Tb_Activiteiten[[#This Row],[Projectmedewerker]]=1,Tb_Activiteiten[[#Headers],[Projectmedewerker]],"")))</f>
        <v/>
      </c>
      <c r="AN1341" t="str">
        <f>IF(ISNUMBER(FIND("arbeid",Methode_Keuze)),"",IF(ISNUMBER(FIND("arbeid",Methode_Keuze)),"",IF(Tb_Activiteiten[[#This Row],[Landbouwer]]=1,Tb_Activiteiten[[#Headers],[Landbouwer]],"")))</f>
        <v/>
      </c>
      <c r="AO1341" t="str">
        <f>IF(ISNUMBER(FIND("arbeid",Methode_Keuze)),"",IF(ISNUMBER(FIND("arbeid",Methode_Keuze)),"",IF(Tb_Activiteiten[[#This Row],[Adviseur]]=1,Tb_Activiteiten[[#Headers],[Adviseur]],"")))</f>
        <v/>
      </c>
      <c r="AP1341" t="str">
        <f>IF(ISNUMBER(FIND("arbeid",Methode_Keuze)),"",IF(ISNUMBER(FIND("arbeid",Methode_Keuze)),"",IF(Tb_Activiteiten[[#This Row],[Projectleider/Expert]]=1,Tb_Activiteiten[[#Headers],[Projectleider/Expert]],"")))</f>
        <v/>
      </c>
      <c r="AQ1341" t="str">
        <f>IF(ISNUMBER(FIND("arbeid",Methode_Keuze)),"",IF(ISNUMBER(FIND("arbeid",Methode_Keuze)),"",IF(Tb_Activiteiten[[#This Row],[Arbeidskosten]]=1,Tb_Activiteiten[[#Headers],[Arbeidskosten]],"")))</f>
        <v/>
      </c>
      <c r="AR1341" t="str">
        <f>IF(ISNUMBER(FIND("arbeid",Methode_Keuze)),"",IF(ISNUMBER(FIND("arbeid",Methode_Keuze)),"",IF(Tb_Activiteiten[[#This Row],[Arbeidskosten op basis van IKS]]=1,Tb_Activiteiten[[#Headers],[Arbeidskosten op basis van IKS]],"")))</f>
        <v/>
      </c>
      <c r="AS1341" t="str">
        <f>IF(ISNUMBER(FIND("overige",Methode_Keuze)),"",IF(Tb_Activiteiten[[#This Row],[Kosten derden exclusief btw]]=1,Tb_Activiteiten[[#Headers],[Kosten derden exclusief btw]],""))</f>
        <v/>
      </c>
      <c r="AT1341" t="str">
        <f>IF(ISNUMBER(FIND("overige",Methode_Keuze)),"",IF(Tb_Activiteiten[[#This Row],[Niet verrekenbare btw]]=1,Tb_Activiteiten[[#Headers],[Niet verrekenbare btw]],""))</f>
        <v/>
      </c>
      <c r="AU1341" t="str">
        <f>IF(ISNUMBER(FIND("overige",Methode_Keuze)),"",IF(Tb_Activiteiten[[#This Row],[Grondkosten]]=1,Tb_Activiteiten[[#Headers],[Grondkosten]],""))</f>
        <v/>
      </c>
      <c r="AV1341" t="str">
        <f>IF(ISNUMBER(FIND("overige",Methode_Keuze)),"",IF(Tb_Activiteiten[[#This Row],[Bijdrage in natura (overige)]]=1,Tb_Activiteiten[[#Headers],[Bijdrage in natura (overige)]],""))</f>
        <v/>
      </c>
      <c r="AW1341" t="str">
        <f>IF(ISNUMBER(FIND("overige",Methode_Keuze)),"",IF(Tb_Activiteiten[[#This Row],[Bijdrage in natura (vrijwilligers)]]=1,Tb_Activiteiten[[#Headers],[Bijdrage in natura (vrijwilligers)]],""))</f>
        <v/>
      </c>
      <c r="AX1341" t="str">
        <f>IF(ISNUMBER(FIND("overige",Methode_Keuze)),"",IF(Tb_Activiteiten[[#This Row],[Afschrijvingskosten]]=1,Tb_Activiteiten[[#Headers],[Afschrijvingskosten]],""))</f>
        <v/>
      </c>
      <c r="AY1341" t="str">
        <f>IF(ISNUMBER(FIND("overige",Methode_Keuze)),"",IF(Tb_Activiteiten[[#This Row],[Vergoeding]]=1,Tb_Activiteiten[[#Headers],[Vergoeding]],""))</f>
        <v/>
      </c>
      <c r="AZ1341" t="str">
        <f>IF(ISNUMBER(FIND("arbeid",Methode_Keuze)),"",IF(Tb_Activiteiten[[#This Row],[Arbeidskosten - vast tarief (excl eigen arbeid)]]=1,Tb_Activiteiten[[#Headers],[Arbeidskosten - vast tarief (excl eigen arbeid)]],""))</f>
        <v/>
      </c>
      <c r="BA1341" t="str">
        <f>IF(ISNUMBER(FIND("overige",Methode_Keuze)),"",IF(Tb_Activiteiten[[#This Row],[Overige kosten]]=1,Tb_Activiteiten[[#Headers],[Overige kosten]],""))</f>
        <v/>
      </c>
    </row>
    <row r="1342" spans="15:53" x14ac:dyDescent="0.25">
      <c r="O1342" s="56"/>
      <c r="Q1342" t="str">
        <f>IFERROR(IF(VLOOKUP(Tb_Activiteiten[[#This Row],[Openstelling]],Tb_Openstelling[],2,0)=1,1,""),"")</f>
        <v/>
      </c>
      <c r="AK1342" t="str">
        <f>IF(ISNUMBER(FIND("arbeid",Methode_Keuze)),"",IF(ISNUMBER(FIND("arbeid",Methode_Keuze)),"",IF(Tb_Activiteiten[[#This Row],[Loonkosten]]=1,Tb_Activiteiten[[#Headers],[Loonkosten]],"")))</f>
        <v/>
      </c>
      <c r="AL1342" t="str">
        <f>IF(ISNUMBER(FIND("arbeid",Methode_Keuze)),"",IF(ISNUMBER(FIND("arbeid",Methode_Keuze)),"",IF(Tb_Activiteiten[[#This Row],[Eigen arbeid]]=1,Tb_Activiteiten[[#Headers],[Eigen arbeid]],"")))</f>
        <v/>
      </c>
      <c r="AM1342" t="str">
        <f>IF(ISNUMBER(FIND("arbeid",Methode_Keuze)),"",IF(ISNUMBER(FIND("arbeid",Methode_Keuze)),"",IF(Tb_Activiteiten[[#This Row],[Projectmedewerker]]=1,Tb_Activiteiten[[#Headers],[Projectmedewerker]],"")))</f>
        <v/>
      </c>
      <c r="AN1342" t="str">
        <f>IF(ISNUMBER(FIND("arbeid",Methode_Keuze)),"",IF(ISNUMBER(FIND("arbeid",Methode_Keuze)),"",IF(Tb_Activiteiten[[#This Row],[Landbouwer]]=1,Tb_Activiteiten[[#Headers],[Landbouwer]],"")))</f>
        <v/>
      </c>
      <c r="AO1342" t="str">
        <f>IF(ISNUMBER(FIND("arbeid",Methode_Keuze)),"",IF(ISNUMBER(FIND("arbeid",Methode_Keuze)),"",IF(Tb_Activiteiten[[#This Row],[Adviseur]]=1,Tb_Activiteiten[[#Headers],[Adviseur]],"")))</f>
        <v/>
      </c>
      <c r="AP1342" t="str">
        <f>IF(ISNUMBER(FIND("arbeid",Methode_Keuze)),"",IF(ISNUMBER(FIND("arbeid",Methode_Keuze)),"",IF(Tb_Activiteiten[[#This Row],[Projectleider/Expert]]=1,Tb_Activiteiten[[#Headers],[Projectleider/Expert]],"")))</f>
        <v/>
      </c>
      <c r="AQ1342" t="str">
        <f>IF(ISNUMBER(FIND("arbeid",Methode_Keuze)),"",IF(ISNUMBER(FIND("arbeid",Methode_Keuze)),"",IF(Tb_Activiteiten[[#This Row],[Arbeidskosten]]=1,Tb_Activiteiten[[#Headers],[Arbeidskosten]],"")))</f>
        <v/>
      </c>
      <c r="AR1342" t="str">
        <f>IF(ISNUMBER(FIND("arbeid",Methode_Keuze)),"",IF(ISNUMBER(FIND("arbeid",Methode_Keuze)),"",IF(Tb_Activiteiten[[#This Row],[Arbeidskosten op basis van IKS]]=1,Tb_Activiteiten[[#Headers],[Arbeidskosten op basis van IKS]],"")))</f>
        <v/>
      </c>
      <c r="AS1342" t="str">
        <f>IF(ISNUMBER(FIND("overige",Methode_Keuze)),"",IF(Tb_Activiteiten[[#This Row],[Kosten derden exclusief btw]]=1,Tb_Activiteiten[[#Headers],[Kosten derden exclusief btw]],""))</f>
        <v/>
      </c>
      <c r="AT1342" t="str">
        <f>IF(ISNUMBER(FIND("overige",Methode_Keuze)),"",IF(Tb_Activiteiten[[#This Row],[Niet verrekenbare btw]]=1,Tb_Activiteiten[[#Headers],[Niet verrekenbare btw]],""))</f>
        <v/>
      </c>
      <c r="AU1342" t="str">
        <f>IF(ISNUMBER(FIND("overige",Methode_Keuze)),"",IF(Tb_Activiteiten[[#This Row],[Grondkosten]]=1,Tb_Activiteiten[[#Headers],[Grondkosten]],""))</f>
        <v/>
      </c>
      <c r="AV1342" t="str">
        <f>IF(ISNUMBER(FIND("overige",Methode_Keuze)),"",IF(Tb_Activiteiten[[#This Row],[Bijdrage in natura (overige)]]=1,Tb_Activiteiten[[#Headers],[Bijdrage in natura (overige)]],""))</f>
        <v/>
      </c>
      <c r="AW1342" t="str">
        <f>IF(ISNUMBER(FIND("overige",Methode_Keuze)),"",IF(Tb_Activiteiten[[#This Row],[Bijdrage in natura (vrijwilligers)]]=1,Tb_Activiteiten[[#Headers],[Bijdrage in natura (vrijwilligers)]],""))</f>
        <v/>
      </c>
      <c r="AX1342" t="str">
        <f>IF(ISNUMBER(FIND("overige",Methode_Keuze)),"",IF(Tb_Activiteiten[[#This Row],[Afschrijvingskosten]]=1,Tb_Activiteiten[[#Headers],[Afschrijvingskosten]],""))</f>
        <v/>
      </c>
      <c r="AY1342" t="str">
        <f>IF(ISNUMBER(FIND("overige",Methode_Keuze)),"",IF(Tb_Activiteiten[[#This Row],[Vergoeding]]=1,Tb_Activiteiten[[#Headers],[Vergoeding]],""))</f>
        <v/>
      </c>
      <c r="AZ1342" t="str">
        <f>IF(ISNUMBER(FIND("arbeid",Methode_Keuze)),"",IF(Tb_Activiteiten[[#This Row],[Arbeidskosten - vast tarief (excl eigen arbeid)]]=1,Tb_Activiteiten[[#Headers],[Arbeidskosten - vast tarief (excl eigen arbeid)]],""))</f>
        <v/>
      </c>
      <c r="BA1342" t="str">
        <f>IF(ISNUMBER(FIND("overige",Methode_Keuze)),"",IF(Tb_Activiteiten[[#This Row],[Overige kosten]]=1,Tb_Activiteiten[[#Headers],[Overige kosten]],""))</f>
        <v/>
      </c>
    </row>
    <row r="1343" spans="15:53" x14ac:dyDescent="0.25">
      <c r="O1343" s="56"/>
      <c r="Q1343" t="str">
        <f>IFERROR(IF(VLOOKUP(Tb_Activiteiten[[#This Row],[Openstelling]],Tb_Openstelling[],2,0)=1,1,""),"")</f>
        <v/>
      </c>
      <c r="AK1343" t="str">
        <f>IF(ISNUMBER(FIND("arbeid",Methode_Keuze)),"",IF(ISNUMBER(FIND("arbeid",Methode_Keuze)),"",IF(Tb_Activiteiten[[#This Row],[Loonkosten]]=1,Tb_Activiteiten[[#Headers],[Loonkosten]],"")))</f>
        <v/>
      </c>
      <c r="AL1343" t="str">
        <f>IF(ISNUMBER(FIND("arbeid",Methode_Keuze)),"",IF(ISNUMBER(FIND("arbeid",Methode_Keuze)),"",IF(Tb_Activiteiten[[#This Row],[Eigen arbeid]]=1,Tb_Activiteiten[[#Headers],[Eigen arbeid]],"")))</f>
        <v/>
      </c>
      <c r="AM1343" t="str">
        <f>IF(ISNUMBER(FIND("arbeid",Methode_Keuze)),"",IF(ISNUMBER(FIND("arbeid",Methode_Keuze)),"",IF(Tb_Activiteiten[[#This Row],[Projectmedewerker]]=1,Tb_Activiteiten[[#Headers],[Projectmedewerker]],"")))</f>
        <v/>
      </c>
      <c r="AN1343" t="str">
        <f>IF(ISNUMBER(FIND("arbeid",Methode_Keuze)),"",IF(ISNUMBER(FIND("arbeid",Methode_Keuze)),"",IF(Tb_Activiteiten[[#This Row],[Landbouwer]]=1,Tb_Activiteiten[[#Headers],[Landbouwer]],"")))</f>
        <v/>
      </c>
      <c r="AO1343" t="str">
        <f>IF(ISNUMBER(FIND("arbeid",Methode_Keuze)),"",IF(ISNUMBER(FIND("arbeid",Methode_Keuze)),"",IF(Tb_Activiteiten[[#This Row],[Adviseur]]=1,Tb_Activiteiten[[#Headers],[Adviseur]],"")))</f>
        <v/>
      </c>
      <c r="AP1343" t="str">
        <f>IF(ISNUMBER(FIND("arbeid",Methode_Keuze)),"",IF(ISNUMBER(FIND("arbeid",Methode_Keuze)),"",IF(Tb_Activiteiten[[#This Row],[Projectleider/Expert]]=1,Tb_Activiteiten[[#Headers],[Projectleider/Expert]],"")))</f>
        <v/>
      </c>
      <c r="AQ1343" t="str">
        <f>IF(ISNUMBER(FIND("arbeid",Methode_Keuze)),"",IF(ISNUMBER(FIND("arbeid",Methode_Keuze)),"",IF(Tb_Activiteiten[[#This Row],[Arbeidskosten]]=1,Tb_Activiteiten[[#Headers],[Arbeidskosten]],"")))</f>
        <v/>
      </c>
      <c r="AR1343" t="str">
        <f>IF(ISNUMBER(FIND("arbeid",Methode_Keuze)),"",IF(ISNUMBER(FIND("arbeid",Methode_Keuze)),"",IF(Tb_Activiteiten[[#This Row],[Arbeidskosten op basis van IKS]]=1,Tb_Activiteiten[[#Headers],[Arbeidskosten op basis van IKS]],"")))</f>
        <v/>
      </c>
      <c r="AS1343" t="str">
        <f>IF(ISNUMBER(FIND("overige",Methode_Keuze)),"",IF(Tb_Activiteiten[[#This Row],[Kosten derden exclusief btw]]=1,Tb_Activiteiten[[#Headers],[Kosten derden exclusief btw]],""))</f>
        <v/>
      </c>
      <c r="AT1343" t="str">
        <f>IF(ISNUMBER(FIND("overige",Methode_Keuze)),"",IF(Tb_Activiteiten[[#This Row],[Niet verrekenbare btw]]=1,Tb_Activiteiten[[#Headers],[Niet verrekenbare btw]],""))</f>
        <v/>
      </c>
      <c r="AU1343" t="str">
        <f>IF(ISNUMBER(FIND("overige",Methode_Keuze)),"",IF(Tb_Activiteiten[[#This Row],[Grondkosten]]=1,Tb_Activiteiten[[#Headers],[Grondkosten]],""))</f>
        <v/>
      </c>
      <c r="AV1343" t="str">
        <f>IF(ISNUMBER(FIND("overige",Methode_Keuze)),"",IF(Tb_Activiteiten[[#This Row],[Bijdrage in natura (overige)]]=1,Tb_Activiteiten[[#Headers],[Bijdrage in natura (overige)]],""))</f>
        <v/>
      </c>
      <c r="AW1343" t="str">
        <f>IF(ISNUMBER(FIND("overige",Methode_Keuze)),"",IF(Tb_Activiteiten[[#This Row],[Bijdrage in natura (vrijwilligers)]]=1,Tb_Activiteiten[[#Headers],[Bijdrage in natura (vrijwilligers)]],""))</f>
        <v/>
      </c>
      <c r="AX1343" t="str">
        <f>IF(ISNUMBER(FIND("overige",Methode_Keuze)),"",IF(Tb_Activiteiten[[#This Row],[Afschrijvingskosten]]=1,Tb_Activiteiten[[#Headers],[Afschrijvingskosten]],""))</f>
        <v/>
      </c>
      <c r="AY1343" t="str">
        <f>IF(ISNUMBER(FIND("overige",Methode_Keuze)),"",IF(Tb_Activiteiten[[#This Row],[Vergoeding]]=1,Tb_Activiteiten[[#Headers],[Vergoeding]],""))</f>
        <v/>
      </c>
      <c r="AZ1343" t="str">
        <f>IF(ISNUMBER(FIND("arbeid",Methode_Keuze)),"",IF(Tb_Activiteiten[[#This Row],[Arbeidskosten - vast tarief (excl eigen arbeid)]]=1,Tb_Activiteiten[[#Headers],[Arbeidskosten - vast tarief (excl eigen arbeid)]],""))</f>
        <v/>
      </c>
      <c r="BA1343" t="str">
        <f>IF(ISNUMBER(FIND("overige",Methode_Keuze)),"",IF(Tb_Activiteiten[[#This Row],[Overige kosten]]=1,Tb_Activiteiten[[#Headers],[Overige kosten]],""))</f>
        <v/>
      </c>
    </row>
    <row r="1344" spans="15:53" x14ac:dyDescent="0.25">
      <c r="O1344" s="56"/>
      <c r="Q1344" t="str">
        <f>IFERROR(IF(VLOOKUP(Tb_Activiteiten[[#This Row],[Openstelling]],Tb_Openstelling[],2,0)=1,1,""),"")</f>
        <v/>
      </c>
      <c r="AK1344" t="str">
        <f>IF(ISNUMBER(FIND("arbeid",Methode_Keuze)),"",IF(ISNUMBER(FIND("arbeid",Methode_Keuze)),"",IF(Tb_Activiteiten[[#This Row],[Loonkosten]]=1,Tb_Activiteiten[[#Headers],[Loonkosten]],"")))</f>
        <v/>
      </c>
      <c r="AL1344" t="str">
        <f>IF(ISNUMBER(FIND("arbeid",Methode_Keuze)),"",IF(ISNUMBER(FIND("arbeid",Methode_Keuze)),"",IF(Tb_Activiteiten[[#This Row],[Eigen arbeid]]=1,Tb_Activiteiten[[#Headers],[Eigen arbeid]],"")))</f>
        <v/>
      </c>
      <c r="AM1344" t="str">
        <f>IF(ISNUMBER(FIND("arbeid",Methode_Keuze)),"",IF(ISNUMBER(FIND("arbeid",Methode_Keuze)),"",IF(Tb_Activiteiten[[#This Row],[Projectmedewerker]]=1,Tb_Activiteiten[[#Headers],[Projectmedewerker]],"")))</f>
        <v/>
      </c>
      <c r="AN1344" t="str">
        <f>IF(ISNUMBER(FIND("arbeid",Methode_Keuze)),"",IF(ISNUMBER(FIND("arbeid",Methode_Keuze)),"",IF(Tb_Activiteiten[[#This Row],[Landbouwer]]=1,Tb_Activiteiten[[#Headers],[Landbouwer]],"")))</f>
        <v/>
      </c>
      <c r="AO1344" t="str">
        <f>IF(ISNUMBER(FIND("arbeid",Methode_Keuze)),"",IF(ISNUMBER(FIND("arbeid",Methode_Keuze)),"",IF(Tb_Activiteiten[[#This Row],[Adviseur]]=1,Tb_Activiteiten[[#Headers],[Adviseur]],"")))</f>
        <v/>
      </c>
      <c r="AP1344" t="str">
        <f>IF(ISNUMBER(FIND("arbeid",Methode_Keuze)),"",IF(ISNUMBER(FIND("arbeid",Methode_Keuze)),"",IF(Tb_Activiteiten[[#This Row],[Projectleider/Expert]]=1,Tb_Activiteiten[[#Headers],[Projectleider/Expert]],"")))</f>
        <v/>
      </c>
      <c r="AQ1344" t="str">
        <f>IF(ISNUMBER(FIND("arbeid",Methode_Keuze)),"",IF(ISNUMBER(FIND("arbeid",Methode_Keuze)),"",IF(Tb_Activiteiten[[#This Row],[Arbeidskosten]]=1,Tb_Activiteiten[[#Headers],[Arbeidskosten]],"")))</f>
        <v/>
      </c>
      <c r="AR1344" t="str">
        <f>IF(ISNUMBER(FIND("arbeid",Methode_Keuze)),"",IF(ISNUMBER(FIND("arbeid",Methode_Keuze)),"",IF(Tb_Activiteiten[[#This Row],[Arbeidskosten op basis van IKS]]=1,Tb_Activiteiten[[#Headers],[Arbeidskosten op basis van IKS]],"")))</f>
        <v/>
      </c>
      <c r="AS1344" t="str">
        <f>IF(ISNUMBER(FIND("overige",Methode_Keuze)),"",IF(Tb_Activiteiten[[#This Row],[Kosten derden exclusief btw]]=1,Tb_Activiteiten[[#Headers],[Kosten derden exclusief btw]],""))</f>
        <v/>
      </c>
      <c r="AT1344" t="str">
        <f>IF(ISNUMBER(FIND("overige",Methode_Keuze)),"",IF(Tb_Activiteiten[[#This Row],[Niet verrekenbare btw]]=1,Tb_Activiteiten[[#Headers],[Niet verrekenbare btw]],""))</f>
        <v/>
      </c>
      <c r="AU1344" t="str">
        <f>IF(ISNUMBER(FIND("overige",Methode_Keuze)),"",IF(Tb_Activiteiten[[#This Row],[Grondkosten]]=1,Tb_Activiteiten[[#Headers],[Grondkosten]],""))</f>
        <v/>
      </c>
      <c r="AV1344" t="str">
        <f>IF(ISNUMBER(FIND("overige",Methode_Keuze)),"",IF(Tb_Activiteiten[[#This Row],[Bijdrage in natura (overige)]]=1,Tb_Activiteiten[[#Headers],[Bijdrage in natura (overige)]],""))</f>
        <v/>
      </c>
      <c r="AW1344" t="str">
        <f>IF(ISNUMBER(FIND("overige",Methode_Keuze)),"",IF(Tb_Activiteiten[[#This Row],[Bijdrage in natura (vrijwilligers)]]=1,Tb_Activiteiten[[#Headers],[Bijdrage in natura (vrijwilligers)]],""))</f>
        <v/>
      </c>
      <c r="AX1344" t="str">
        <f>IF(ISNUMBER(FIND("overige",Methode_Keuze)),"",IF(Tb_Activiteiten[[#This Row],[Afschrijvingskosten]]=1,Tb_Activiteiten[[#Headers],[Afschrijvingskosten]],""))</f>
        <v/>
      </c>
      <c r="AY1344" t="str">
        <f>IF(ISNUMBER(FIND("overige",Methode_Keuze)),"",IF(Tb_Activiteiten[[#This Row],[Vergoeding]]=1,Tb_Activiteiten[[#Headers],[Vergoeding]],""))</f>
        <v/>
      </c>
      <c r="AZ1344" t="str">
        <f>IF(ISNUMBER(FIND("arbeid",Methode_Keuze)),"",IF(Tb_Activiteiten[[#This Row],[Arbeidskosten - vast tarief (excl eigen arbeid)]]=1,Tb_Activiteiten[[#Headers],[Arbeidskosten - vast tarief (excl eigen arbeid)]],""))</f>
        <v/>
      </c>
      <c r="BA1344" t="str">
        <f>IF(ISNUMBER(FIND("overige",Methode_Keuze)),"",IF(Tb_Activiteiten[[#This Row],[Overige kosten]]=1,Tb_Activiteiten[[#Headers],[Overige kosten]],""))</f>
        <v/>
      </c>
    </row>
    <row r="1345" spans="15:53" x14ac:dyDescent="0.25">
      <c r="O1345" s="56"/>
      <c r="Q1345" t="str">
        <f>IFERROR(IF(VLOOKUP(Tb_Activiteiten[[#This Row],[Openstelling]],Tb_Openstelling[],2,0)=1,1,""),"")</f>
        <v/>
      </c>
      <c r="AK1345" t="str">
        <f>IF(ISNUMBER(FIND("arbeid",Methode_Keuze)),"",IF(ISNUMBER(FIND("arbeid",Methode_Keuze)),"",IF(Tb_Activiteiten[[#This Row],[Loonkosten]]=1,Tb_Activiteiten[[#Headers],[Loonkosten]],"")))</f>
        <v/>
      </c>
      <c r="AL1345" t="str">
        <f>IF(ISNUMBER(FIND("arbeid",Methode_Keuze)),"",IF(ISNUMBER(FIND("arbeid",Methode_Keuze)),"",IF(Tb_Activiteiten[[#This Row],[Eigen arbeid]]=1,Tb_Activiteiten[[#Headers],[Eigen arbeid]],"")))</f>
        <v/>
      </c>
      <c r="AM1345" t="str">
        <f>IF(ISNUMBER(FIND("arbeid",Methode_Keuze)),"",IF(ISNUMBER(FIND("arbeid",Methode_Keuze)),"",IF(Tb_Activiteiten[[#This Row],[Projectmedewerker]]=1,Tb_Activiteiten[[#Headers],[Projectmedewerker]],"")))</f>
        <v/>
      </c>
      <c r="AN1345" t="str">
        <f>IF(ISNUMBER(FIND("arbeid",Methode_Keuze)),"",IF(ISNUMBER(FIND("arbeid",Methode_Keuze)),"",IF(Tb_Activiteiten[[#This Row],[Landbouwer]]=1,Tb_Activiteiten[[#Headers],[Landbouwer]],"")))</f>
        <v/>
      </c>
      <c r="AO1345" t="str">
        <f>IF(ISNUMBER(FIND("arbeid",Methode_Keuze)),"",IF(ISNUMBER(FIND("arbeid",Methode_Keuze)),"",IF(Tb_Activiteiten[[#This Row],[Adviseur]]=1,Tb_Activiteiten[[#Headers],[Adviseur]],"")))</f>
        <v/>
      </c>
      <c r="AP1345" t="str">
        <f>IF(ISNUMBER(FIND("arbeid",Methode_Keuze)),"",IF(ISNUMBER(FIND("arbeid",Methode_Keuze)),"",IF(Tb_Activiteiten[[#This Row],[Projectleider/Expert]]=1,Tb_Activiteiten[[#Headers],[Projectleider/Expert]],"")))</f>
        <v/>
      </c>
      <c r="AQ1345" t="str">
        <f>IF(ISNUMBER(FIND("arbeid",Methode_Keuze)),"",IF(ISNUMBER(FIND("arbeid",Methode_Keuze)),"",IF(Tb_Activiteiten[[#This Row],[Arbeidskosten]]=1,Tb_Activiteiten[[#Headers],[Arbeidskosten]],"")))</f>
        <v/>
      </c>
      <c r="AR1345" t="str">
        <f>IF(ISNUMBER(FIND("arbeid",Methode_Keuze)),"",IF(ISNUMBER(FIND("arbeid",Methode_Keuze)),"",IF(Tb_Activiteiten[[#This Row],[Arbeidskosten op basis van IKS]]=1,Tb_Activiteiten[[#Headers],[Arbeidskosten op basis van IKS]],"")))</f>
        <v/>
      </c>
      <c r="AS1345" t="str">
        <f>IF(ISNUMBER(FIND("overige",Methode_Keuze)),"",IF(Tb_Activiteiten[[#This Row],[Kosten derden exclusief btw]]=1,Tb_Activiteiten[[#Headers],[Kosten derden exclusief btw]],""))</f>
        <v/>
      </c>
      <c r="AT1345" t="str">
        <f>IF(ISNUMBER(FIND("overige",Methode_Keuze)),"",IF(Tb_Activiteiten[[#This Row],[Niet verrekenbare btw]]=1,Tb_Activiteiten[[#Headers],[Niet verrekenbare btw]],""))</f>
        <v/>
      </c>
      <c r="AU1345" t="str">
        <f>IF(ISNUMBER(FIND("overige",Methode_Keuze)),"",IF(Tb_Activiteiten[[#This Row],[Grondkosten]]=1,Tb_Activiteiten[[#Headers],[Grondkosten]],""))</f>
        <v/>
      </c>
      <c r="AV1345" t="str">
        <f>IF(ISNUMBER(FIND("overige",Methode_Keuze)),"",IF(Tb_Activiteiten[[#This Row],[Bijdrage in natura (overige)]]=1,Tb_Activiteiten[[#Headers],[Bijdrage in natura (overige)]],""))</f>
        <v/>
      </c>
      <c r="AW1345" t="str">
        <f>IF(ISNUMBER(FIND("overige",Methode_Keuze)),"",IF(Tb_Activiteiten[[#This Row],[Bijdrage in natura (vrijwilligers)]]=1,Tb_Activiteiten[[#Headers],[Bijdrage in natura (vrijwilligers)]],""))</f>
        <v/>
      </c>
      <c r="AX1345" t="str">
        <f>IF(ISNUMBER(FIND("overige",Methode_Keuze)),"",IF(Tb_Activiteiten[[#This Row],[Afschrijvingskosten]]=1,Tb_Activiteiten[[#Headers],[Afschrijvingskosten]],""))</f>
        <v/>
      </c>
      <c r="AY1345" t="str">
        <f>IF(ISNUMBER(FIND("overige",Methode_Keuze)),"",IF(Tb_Activiteiten[[#This Row],[Vergoeding]]=1,Tb_Activiteiten[[#Headers],[Vergoeding]],""))</f>
        <v/>
      </c>
      <c r="AZ1345" t="str">
        <f>IF(ISNUMBER(FIND("arbeid",Methode_Keuze)),"",IF(Tb_Activiteiten[[#This Row],[Arbeidskosten - vast tarief (excl eigen arbeid)]]=1,Tb_Activiteiten[[#Headers],[Arbeidskosten - vast tarief (excl eigen arbeid)]],""))</f>
        <v/>
      </c>
      <c r="BA1345" t="str">
        <f>IF(ISNUMBER(FIND("overige",Methode_Keuze)),"",IF(Tb_Activiteiten[[#This Row],[Overige kosten]]=1,Tb_Activiteiten[[#Headers],[Overige kosten]],""))</f>
        <v/>
      </c>
    </row>
    <row r="1346" spans="15:53" x14ac:dyDescent="0.25">
      <c r="O1346" s="56"/>
      <c r="Q1346" t="str">
        <f>IFERROR(IF(VLOOKUP(Tb_Activiteiten[[#This Row],[Openstelling]],Tb_Openstelling[],2,0)=1,1,""),"")</f>
        <v/>
      </c>
      <c r="AK1346" t="str">
        <f>IF(ISNUMBER(FIND("arbeid",Methode_Keuze)),"",IF(ISNUMBER(FIND("arbeid",Methode_Keuze)),"",IF(Tb_Activiteiten[[#This Row],[Loonkosten]]=1,Tb_Activiteiten[[#Headers],[Loonkosten]],"")))</f>
        <v/>
      </c>
      <c r="AL1346" t="str">
        <f>IF(ISNUMBER(FIND("arbeid",Methode_Keuze)),"",IF(ISNUMBER(FIND("arbeid",Methode_Keuze)),"",IF(Tb_Activiteiten[[#This Row],[Eigen arbeid]]=1,Tb_Activiteiten[[#Headers],[Eigen arbeid]],"")))</f>
        <v/>
      </c>
      <c r="AM1346" t="str">
        <f>IF(ISNUMBER(FIND("arbeid",Methode_Keuze)),"",IF(ISNUMBER(FIND("arbeid",Methode_Keuze)),"",IF(Tb_Activiteiten[[#This Row],[Projectmedewerker]]=1,Tb_Activiteiten[[#Headers],[Projectmedewerker]],"")))</f>
        <v/>
      </c>
      <c r="AN1346" t="str">
        <f>IF(ISNUMBER(FIND("arbeid",Methode_Keuze)),"",IF(ISNUMBER(FIND("arbeid",Methode_Keuze)),"",IF(Tb_Activiteiten[[#This Row],[Landbouwer]]=1,Tb_Activiteiten[[#Headers],[Landbouwer]],"")))</f>
        <v/>
      </c>
      <c r="AO1346" t="str">
        <f>IF(ISNUMBER(FIND("arbeid",Methode_Keuze)),"",IF(ISNUMBER(FIND("arbeid",Methode_Keuze)),"",IF(Tb_Activiteiten[[#This Row],[Adviseur]]=1,Tb_Activiteiten[[#Headers],[Adviseur]],"")))</f>
        <v/>
      </c>
      <c r="AP1346" t="str">
        <f>IF(ISNUMBER(FIND("arbeid",Methode_Keuze)),"",IF(ISNUMBER(FIND("arbeid",Methode_Keuze)),"",IF(Tb_Activiteiten[[#This Row],[Projectleider/Expert]]=1,Tb_Activiteiten[[#Headers],[Projectleider/Expert]],"")))</f>
        <v/>
      </c>
      <c r="AQ1346" t="str">
        <f>IF(ISNUMBER(FIND("arbeid",Methode_Keuze)),"",IF(ISNUMBER(FIND("arbeid",Methode_Keuze)),"",IF(Tb_Activiteiten[[#This Row],[Arbeidskosten]]=1,Tb_Activiteiten[[#Headers],[Arbeidskosten]],"")))</f>
        <v/>
      </c>
      <c r="AR1346" t="str">
        <f>IF(ISNUMBER(FIND("arbeid",Methode_Keuze)),"",IF(ISNUMBER(FIND("arbeid",Methode_Keuze)),"",IF(Tb_Activiteiten[[#This Row],[Arbeidskosten op basis van IKS]]=1,Tb_Activiteiten[[#Headers],[Arbeidskosten op basis van IKS]],"")))</f>
        <v/>
      </c>
      <c r="AS1346" t="str">
        <f>IF(ISNUMBER(FIND("overige",Methode_Keuze)),"",IF(Tb_Activiteiten[[#This Row],[Kosten derden exclusief btw]]=1,Tb_Activiteiten[[#Headers],[Kosten derden exclusief btw]],""))</f>
        <v/>
      </c>
      <c r="AT1346" t="str">
        <f>IF(ISNUMBER(FIND("overige",Methode_Keuze)),"",IF(Tb_Activiteiten[[#This Row],[Niet verrekenbare btw]]=1,Tb_Activiteiten[[#Headers],[Niet verrekenbare btw]],""))</f>
        <v/>
      </c>
      <c r="AU1346" t="str">
        <f>IF(ISNUMBER(FIND("overige",Methode_Keuze)),"",IF(Tb_Activiteiten[[#This Row],[Grondkosten]]=1,Tb_Activiteiten[[#Headers],[Grondkosten]],""))</f>
        <v/>
      </c>
      <c r="AV1346" t="str">
        <f>IF(ISNUMBER(FIND("overige",Methode_Keuze)),"",IF(Tb_Activiteiten[[#This Row],[Bijdrage in natura (overige)]]=1,Tb_Activiteiten[[#Headers],[Bijdrage in natura (overige)]],""))</f>
        <v/>
      </c>
      <c r="AW1346" t="str">
        <f>IF(ISNUMBER(FIND("overige",Methode_Keuze)),"",IF(Tb_Activiteiten[[#This Row],[Bijdrage in natura (vrijwilligers)]]=1,Tb_Activiteiten[[#Headers],[Bijdrage in natura (vrijwilligers)]],""))</f>
        <v/>
      </c>
      <c r="AX1346" t="str">
        <f>IF(ISNUMBER(FIND("overige",Methode_Keuze)),"",IF(Tb_Activiteiten[[#This Row],[Afschrijvingskosten]]=1,Tb_Activiteiten[[#Headers],[Afschrijvingskosten]],""))</f>
        <v/>
      </c>
      <c r="AY1346" t="str">
        <f>IF(ISNUMBER(FIND("overige",Methode_Keuze)),"",IF(Tb_Activiteiten[[#This Row],[Vergoeding]]=1,Tb_Activiteiten[[#Headers],[Vergoeding]],""))</f>
        <v/>
      </c>
      <c r="AZ1346" t="str">
        <f>IF(ISNUMBER(FIND("arbeid",Methode_Keuze)),"",IF(Tb_Activiteiten[[#This Row],[Arbeidskosten - vast tarief (excl eigen arbeid)]]=1,Tb_Activiteiten[[#Headers],[Arbeidskosten - vast tarief (excl eigen arbeid)]],""))</f>
        <v/>
      </c>
      <c r="BA1346" t="str">
        <f>IF(ISNUMBER(FIND("overige",Methode_Keuze)),"",IF(Tb_Activiteiten[[#This Row],[Overige kosten]]=1,Tb_Activiteiten[[#Headers],[Overige kosten]],""))</f>
        <v/>
      </c>
    </row>
    <row r="1347" spans="15:53" x14ac:dyDescent="0.25">
      <c r="O1347" s="56"/>
      <c r="Q1347" t="str">
        <f>IFERROR(IF(VLOOKUP(Tb_Activiteiten[[#This Row],[Openstelling]],Tb_Openstelling[],2,0)=1,1,""),"")</f>
        <v/>
      </c>
      <c r="AK1347" t="str">
        <f>IF(ISNUMBER(FIND("arbeid",Methode_Keuze)),"",IF(ISNUMBER(FIND("arbeid",Methode_Keuze)),"",IF(Tb_Activiteiten[[#This Row],[Loonkosten]]=1,Tb_Activiteiten[[#Headers],[Loonkosten]],"")))</f>
        <v/>
      </c>
      <c r="AL1347" t="str">
        <f>IF(ISNUMBER(FIND("arbeid",Methode_Keuze)),"",IF(ISNUMBER(FIND("arbeid",Methode_Keuze)),"",IF(Tb_Activiteiten[[#This Row],[Eigen arbeid]]=1,Tb_Activiteiten[[#Headers],[Eigen arbeid]],"")))</f>
        <v/>
      </c>
      <c r="AM1347" t="str">
        <f>IF(ISNUMBER(FIND("arbeid",Methode_Keuze)),"",IF(ISNUMBER(FIND("arbeid",Methode_Keuze)),"",IF(Tb_Activiteiten[[#This Row],[Projectmedewerker]]=1,Tb_Activiteiten[[#Headers],[Projectmedewerker]],"")))</f>
        <v/>
      </c>
      <c r="AN1347" t="str">
        <f>IF(ISNUMBER(FIND("arbeid",Methode_Keuze)),"",IF(ISNUMBER(FIND("arbeid",Methode_Keuze)),"",IF(Tb_Activiteiten[[#This Row],[Landbouwer]]=1,Tb_Activiteiten[[#Headers],[Landbouwer]],"")))</f>
        <v/>
      </c>
      <c r="AO1347" t="str">
        <f>IF(ISNUMBER(FIND("arbeid",Methode_Keuze)),"",IF(ISNUMBER(FIND("arbeid",Methode_Keuze)),"",IF(Tb_Activiteiten[[#This Row],[Adviseur]]=1,Tb_Activiteiten[[#Headers],[Adviseur]],"")))</f>
        <v/>
      </c>
      <c r="AP1347" t="str">
        <f>IF(ISNUMBER(FIND("arbeid",Methode_Keuze)),"",IF(ISNUMBER(FIND("arbeid",Methode_Keuze)),"",IF(Tb_Activiteiten[[#This Row],[Projectleider/Expert]]=1,Tb_Activiteiten[[#Headers],[Projectleider/Expert]],"")))</f>
        <v/>
      </c>
      <c r="AQ1347" t="str">
        <f>IF(ISNUMBER(FIND("arbeid",Methode_Keuze)),"",IF(ISNUMBER(FIND("arbeid",Methode_Keuze)),"",IF(Tb_Activiteiten[[#This Row],[Arbeidskosten]]=1,Tb_Activiteiten[[#Headers],[Arbeidskosten]],"")))</f>
        <v/>
      </c>
      <c r="AR1347" t="str">
        <f>IF(ISNUMBER(FIND("arbeid",Methode_Keuze)),"",IF(ISNUMBER(FIND("arbeid",Methode_Keuze)),"",IF(Tb_Activiteiten[[#This Row],[Arbeidskosten op basis van IKS]]=1,Tb_Activiteiten[[#Headers],[Arbeidskosten op basis van IKS]],"")))</f>
        <v/>
      </c>
      <c r="AS1347" t="str">
        <f>IF(ISNUMBER(FIND("overige",Methode_Keuze)),"",IF(Tb_Activiteiten[[#This Row],[Kosten derden exclusief btw]]=1,Tb_Activiteiten[[#Headers],[Kosten derden exclusief btw]],""))</f>
        <v/>
      </c>
      <c r="AT1347" t="str">
        <f>IF(ISNUMBER(FIND("overige",Methode_Keuze)),"",IF(Tb_Activiteiten[[#This Row],[Niet verrekenbare btw]]=1,Tb_Activiteiten[[#Headers],[Niet verrekenbare btw]],""))</f>
        <v/>
      </c>
      <c r="AU1347" t="str">
        <f>IF(ISNUMBER(FIND("overige",Methode_Keuze)),"",IF(Tb_Activiteiten[[#This Row],[Grondkosten]]=1,Tb_Activiteiten[[#Headers],[Grondkosten]],""))</f>
        <v/>
      </c>
      <c r="AV1347" t="str">
        <f>IF(ISNUMBER(FIND("overige",Methode_Keuze)),"",IF(Tb_Activiteiten[[#This Row],[Bijdrage in natura (overige)]]=1,Tb_Activiteiten[[#Headers],[Bijdrage in natura (overige)]],""))</f>
        <v/>
      </c>
      <c r="AW1347" t="str">
        <f>IF(ISNUMBER(FIND("overige",Methode_Keuze)),"",IF(Tb_Activiteiten[[#This Row],[Bijdrage in natura (vrijwilligers)]]=1,Tb_Activiteiten[[#Headers],[Bijdrage in natura (vrijwilligers)]],""))</f>
        <v/>
      </c>
      <c r="AX1347" t="str">
        <f>IF(ISNUMBER(FIND("overige",Methode_Keuze)),"",IF(Tb_Activiteiten[[#This Row],[Afschrijvingskosten]]=1,Tb_Activiteiten[[#Headers],[Afschrijvingskosten]],""))</f>
        <v/>
      </c>
      <c r="AY1347" t="str">
        <f>IF(ISNUMBER(FIND("overige",Methode_Keuze)),"",IF(Tb_Activiteiten[[#This Row],[Vergoeding]]=1,Tb_Activiteiten[[#Headers],[Vergoeding]],""))</f>
        <v/>
      </c>
      <c r="AZ1347" t="str">
        <f>IF(ISNUMBER(FIND("arbeid",Methode_Keuze)),"",IF(Tb_Activiteiten[[#This Row],[Arbeidskosten - vast tarief (excl eigen arbeid)]]=1,Tb_Activiteiten[[#Headers],[Arbeidskosten - vast tarief (excl eigen arbeid)]],""))</f>
        <v/>
      </c>
      <c r="BA1347" t="str">
        <f>IF(ISNUMBER(FIND("overige",Methode_Keuze)),"",IF(Tb_Activiteiten[[#This Row],[Overige kosten]]=1,Tb_Activiteiten[[#Headers],[Overige kosten]],""))</f>
        <v/>
      </c>
    </row>
    <row r="1348" spans="15:53" x14ac:dyDescent="0.25">
      <c r="O1348" s="56"/>
      <c r="Q1348" t="str">
        <f>IFERROR(IF(VLOOKUP(Tb_Activiteiten[[#This Row],[Openstelling]],Tb_Openstelling[],2,0)=1,1,""),"")</f>
        <v/>
      </c>
      <c r="AK1348" t="str">
        <f>IF(ISNUMBER(FIND("arbeid",Methode_Keuze)),"",IF(ISNUMBER(FIND("arbeid",Methode_Keuze)),"",IF(Tb_Activiteiten[[#This Row],[Loonkosten]]=1,Tb_Activiteiten[[#Headers],[Loonkosten]],"")))</f>
        <v/>
      </c>
      <c r="AL1348" t="str">
        <f>IF(ISNUMBER(FIND("arbeid",Methode_Keuze)),"",IF(ISNUMBER(FIND("arbeid",Methode_Keuze)),"",IF(Tb_Activiteiten[[#This Row],[Eigen arbeid]]=1,Tb_Activiteiten[[#Headers],[Eigen arbeid]],"")))</f>
        <v/>
      </c>
      <c r="AM1348" t="str">
        <f>IF(ISNUMBER(FIND("arbeid",Methode_Keuze)),"",IF(ISNUMBER(FIND("arbeid",Methode_Keuze)),"",IF(Tb_Activiteiten[[#This Row],[Projectmedewerker]]=1,Tb_Activiteiten[[#Headers],[Projectmedewerker]],"")))</f>
        <v/>
      </c>
      <c r="AN1348" t="str">
        <f>IF(ISNUMBER(FIND("arbeid",Methode_Keuze)),"",IF(ISNUMBER(FIND("arbeid",Methode_Keuze)),"",IF(Tb_Activiteiten[[#This Row],[Landbouwer]]=1,Tb_Activiteiten[[#Headers],[Landbouwer]],"")))</f>
        <v/>
      </c>
      <c r="AO1348" t="str">
        <f>IF(ISNUMBER(FIND("arbeid",Methode_Keuze)),"",IF(ISNUMBER(FIND("arbeid",Methode_Keuze)),"",IF(Tb_Activiteiten[[#This Row],[Adviseur]]=1,Tb_Activiteiten[[#Headers],[Adviseur]],"")))</f>
        <v/>
      </c>
      <c r="AP1348" t="str">
        <f>IF(ISNUMBER(FIND("arbeid",Methode_Keuze)),"",IF(ISNUMBER(FIND("arbeid",Methode_Keuze)),"",IF(Tb_Activiteiten[[#This Row],[Projectleider/Expert]]=1,Tb_Activiteiten[[#Headers],[Projectleider/Expert]],"")))</f>
        <v/>
      </c>
      <c r="AQ1348" t="str">
        <f>IF(ISNUMBER(FIND("arbeid",Methode_Keuze)),"",IF(ISNUMBER(FIND("arbeid",Methode_Keuze)),"",IF(Tb_Activiteiten[[#This Row],[Arbeidskosten]]=1,Tb_Activiteiten[[#Headers],[Arbeidskosten]],"")))</f>
        <v/>
      </c>
      <c r="AR1348" t="str">
        <f>IF(ISNUMBER(FIND("arbeid",Methode_Keuze)),"",IF(ISNUMBER(FIND("arbeid",Methode_Keuze)),"",IF(Tb_Activiteiten[[#This Row],[Arbeidskosten op basis van IKS]]=1,Tb_Activiteiten[[#Headers],[Arbeidskosten op basis van IKS]],"")))</f>
        <v/>
      </c>
      <c r="AS1348" t="str">
        <f>IF(ISNUMBER(FIND("overige",Methode_Keuze)),"",IF(Tb_Activiteiten[[#This Row],[Kosten derden exclusief btw]]=1,Tb_Activiteiten[[#Headers],[Kosten derden exclusief btw]],""))</f>
        <v/>
      </c>
      <c r="AT1348" t="str">
        <f>IF(ISNUMBER(FIND("overige",Methode_Keuze)),"",IF(Tb_Activiteiten[[#This Row],[Niet verrekenbare btw]]=1,Tb_Activiteiten[[#Headers],[Niet verrekenbare btw]],""))</f>
        <v/>
      </c>
      <c r="AU1348" t="str">
        <f>IF(ISNUMBER(FIND("overige",Methode_Keuze)),"",IF(Tb_Activiteiten[[#This Row],[Grondkosten]]=1,Tb_Activiteiten[[#Headers],[Grondkosten]],""))</f>
        <v/>
      </c>
      <c r="AV1348" t="str">
        <f>IF(ISNUMBER(FIND("overige",Methode_Keuze)),"",IF(Tb_Activiteiten[[#This Row],[Bijdrage in natura (overige)]]=1,Tb_Activiteiten[[#Headers],[Bijdrage in natura (overige)]],""))</f>
        <v/>
      </c>
      <c r="AW1348" t="str">
        <f>IF(ISNUMBER(FIND("overige",Methode_Keuze)),"",IF(Tb_Activiteiten[[#This Row],[Bijdrage in natura (vrijwilligers)]]=1,Tb_Activiteiten[[#Headers],[Bijdrage in natura (vrijwilligers)]],""))</f>
        <v/>
      </c>
      <c r="AX1348" t="str">
        <f>IF(ISNUMBER(FIND("overige",Methode_Keuze)),"",IF(Tb_Activiteiten[[#This Row],[Afschrijvingskosten]]=1,Tb_Activiteiten[[#Headers],[Afschrijvingskosten]],""))</f>
        <v/>
      </c>
      <c r="AY1348" t="str">
        <f>IF(ISNUMBER(FIND("overige",Methode_Keuze)),"",IF(Tb_Activiteiten[[#This Row],[Vergoeding]]=1,Tb_Activiteiten[[#Headers],[Vergoeding]],""))</f>
        <v/>
      </c>
      <c r="AZ1348" t="str">
        <f>IF(ISNUMBER(FIND("arbeid",Methode_Keuze)),"",IF(Tb_Activiteiten[[#This Row],[Arbeidskosten - vast tarief (excl eigen arbeid)]]=1,Tb_Activiteiten[[#Headers],[Arbeidskosten - vast tarief (excl eigen arbeid)]],""))</f>
        <v/>
      </c>
      <c r="BA1348" t="str">
        <f>IF(ISNUMBER(FIND("overige",Methode_Keuze)),"",IF(Tb_Activiteiten[[#This Row],[Overige kosten]]=1,Tb_Activiteiten[[#Headers],[Overige kosten]],""))</f>
        <v/>
      </c>
    </row>
    <row r="1349" spans="15:53" x14ac:dyDescent="0.25">
      <c r="O1349" s="56"/>
      <c r="Q1349" t="str">
        <f>IFERROR(IF(VLOOKUP(Tb_Activiteiten[[#This Row],[Openstelling]],Tb_Openstelling[],2,0)=1,1,""),"")</f>
        <v/>
      </c>
      <c r="AK1349" t="str">
        <f>IF(ISNUMBER(FIND("arbeid",Methode_Keuze)),"",IF(ISNUMBER(FIND("arbeid",Methode_Keuze)),"",IF(Tb_Activiteiten[[#This Row],[Loonkosten]]=1,Tb_Activiteiten[[#Headers],[Loonkosten]],"")))</f>
        <v/>
      </c>
      <c r="AL1349" t="str">
        <f>IF(ISNUMBER(FIND("arbeid",Methode_Keuze)),"",IF(ISNUMBER(FIND("arbeid",Methode_Keuze)),"",IF(Tb_Activiteiten[[#This Row],[Eigen arbeid]]=1,Tb_Activiteiten[[#Headers],[Eigen arbeid]],"")))</f>
        <v/>
      </c>
      <c r="AM1349" t="str">
        <f>IF(ISNUMBER(FIND("arbeid",Methode_Keuze)),"",IF(ISNUMBER(FIND("arbeid",Methode_Keuze)),"",IF(Tb_Activiteiten[[#This Row],[Projectmedewerker]]=1,Tb_Activiteiten[[#Headers],[Projectmedewerker]],"")))</f>
        <v/>
      </c>
      <c r="AN1349" t="str">
        <f>IF(ISNUMBER(FIND("arbeid",Methode_Keuze)),"",IF(ISNUMBER(FIND("arbeid",Methode_Keuze)),"",IF(Tb_Activiteiten[[#This Row],[Landbouwer]]=1,Tb_Activiteiten[[#Headers],[Landbouwer]],"")))</f>
        <v/>
      </c>
      <c r="AO1349" t="str">
        <f>IF(ISNUMBER(FIND("arbeid",Methode_Keuze)),"",IF(ISNUMBER(FIND("arbeid",Methode_Keuze)),"",IF(Tb_Activiteiten[[#This Row],[Adviseur]]=1,Tb_Activiteiten[[#Headers],[Adviseur]],"")))</f>
        <v/>
      </c>
      <c r="AP1349" t="str">
        <f>IF(ISNUMBER(FIND("arbeid",Methode_Keuze)),"",IF(ISNUMBER(FIND("arbeid",Methode_Keuze)),"",IF(Tb_Activiteiten[[#This Row],[Projectleider/Expert]]=1,Tb_Activiteiten[[#Headers],[Projectleider/Expert]],"")))</f>
        <v/>
      </c>
      <c r="AQ1349" t="str">
        <f>IF(ISNUMBER(FIND("arbeid",Methode_Keuze)),"",IF(ISNUMBER(FIND("arbeid",Methode_Keuze)),"",IF(Tb_Activiteiten[[#This Row],[Arbeidskosten]]=1,Tb_Activiteiten[[#Headers],[Arbeidskosten]],"")))</f>
        <v/>
      </c>
      <c r="AR1349" t="str">
        <f>IF(ISNUMBER(FIND("arbeid",Methode_Keuze)),"",IF(ISNUMBER(FIND("arbeid",Methode_Keuze)),"",IF(Tb_Activiteiten[[#This Row],[Arbeidskosten op basis van IKS]]=1,Tb_Activiteiten[[#Headers],[Arbeidskosten op basis van IKS]],"")))</f>
        <v/>
      </c>
      <c r="AS1349" t="str">
        <f>IF(ISNUMBER(FIND("overige",Methode_Keuze)),"",IF(Tb_Activiteiten[[#This Row],[Kosten derden exclusief btw]]=1,Tb_Activiteiten[[#Headers],[Kosten derden exclusief btw]],""))</f>
        <v/>
      </c>
      <c r="AT1349" t="str">
        <f>IF(ISNUMBER(FIND("overige",Methode_Keuze)),"",IF(Tb_Activiteiten[[#This Row],[Niet verrekenbare btw]]=1,Tb_Activiteiten[[#Headers],[Niet verrekenbare btw]],""))</f>
        <v/>
      </c>
      <c r="AU1349" t="str">
        <f>IF(ISNUMBER(FIND("overige",Methode_Keuze)),"",IF(Tb_Activiteiten[[#This Row],[Grondkosten]]=1,Tb_Activiteiten[[#Headers],[Grondkosten]],""))</f>
        <v/>
      </c>
      <c r="AV1349" t="str">
        <f>IF(ISNUMBER(FIND("overige",Methode_Keuze)),"",IF(Tb_Activiteiten[[#This Row],[Bijdrage in natura (overige)]]=1,Tb_Activiteiten[[#Headers],[Bijdrage in natura (overige)]],""))</f>
        <v/>
      </c>
      <c r="AW1349" t="str">
        <f>IF(ISNUMBER(FIND("overige",Methode_Keuze)),"",IF(Tb_Activiteiten[[#This Row],[Bijdrage in natura (vrijwilligers)]]=1,Tb_Activiteiten[[#Headers],[Bijdrage in natura (vrijwilligers)]],""))</f>
        <v/>
      </c>
      <c r="AX1349" t="str">
        <f>IF(ISNUMBER(FIND("overige",Methode_Keuze)),"",IF(Tb_Activiteiten[[#This Row],[Afschrijvingskosten]]=1,Tb_Activiteiten[[#Headers],[Afschrijvingskosten]],""))</f>
        <v/>
      </c>
      <c r="AY1349" t="str">
        <f>IF(ISNUMBER(FIND("overige",Methode_Keuze)),"",IF(Tb_Activiteiten[[#This Row],[Vergoeding]]=1,Tb_Activiteiten[[#Headers],[Vergoeding]],""))</f>
        <v/>
      </c>
      <c r="AZ1349" t="str">
        <f>IF(ISNUMBER(FIND("arbeid",Methode_Keuze)),"",IF(Tb_Activiteiten[[#This Row],[Arbeidskosten - vast tarief (excl eigen arbeid)]]=1,Tb_Activiteiten[[#Headers],[Arbeidskosten - vast tarief (excl eigen arbeid)]],""))</f>
        <v/>
      </c>
      <c r="BA1349" t="str">
        <f>IF(ISNUMBER(FIND("overige",Methode_Keuze)),"",IF(Tb_Activiteiten[[#This Row],[Overige kosten]]=1,Tb_Activiteiten[[#Headers],[Overige kosten]],""))</f>
        <v/>
      </c>
    </row>
    <row r="1350" spans="15:53" x14ac:dyDescent="0.25">
      <c r="O1350" s="56"/>
      <c r="Q1350" t="str">
        <f>IFERROR(IF(VLOOKUP(Tb_Activiteiten[[#This Row],[Openstelling]],Tb_Openstelling[],2,0)=1,1,""),"")</f>
        <v/>
      </c>
      <c r="AK1350" t="str">
        <f>IF(ISNUMBER(FIND("arbeid",Methode_Keuze)),"",IF(ISNUMBER(FIND("arbeid",Methode_Keuze)),"",IF(Tb_Activiteiten[[#This Row],[Loonkosten]]=1,Tb_Activiteiten[[#Headers],[Loonkosten]],"")))</f>
        <v/>
      </c>
      <c r="AL1350" t="str">
        <f>IF(ISNUMBER(FIND("arbeid",Methode_Keuze)),"",IF(ISNUMBER(FIND("arbeid",Methode_Keuze)),"",IF(Tb_Activiteiten[[#This Row],[Eigen arbeid]]=1,Tb_Activiteiten[[#Headers],[Eigen arbeid]],"")))</f>
        <v/>
      </c>
      <c r="AM1350" t="str">
        <f>IF(ISNUMBER(FIND("arbeid",Methode_Keuze)),"",IF(ISNUMBER(FIND("arbeid",Methode_Keuze)),"",IF(Tb_Activiteiten[[#This Row],[Projectmedewerker]]=1,Tb_Activiteiten[[#Headers],[Projectmedewerker]],"")))</f>
        <v/>
      </c>
      <c r="AN1350" t="str">
        <f>IF(ISNUMBER(FIND("arbeid",Methode_Keuze)),"",IF(ISNUMBER(FIND("arbeid",Methode_Keuze)),"",IF(Tb_Activiteiten[[#This Row],[Landbouwer]]=1,Tb_Activiteiten[[#Headers],[Landbouwer]],"")))</f>
        <v/>
      </c>
      <c r="AO1350" t="str">
        <f>IF(ISNUMBER(FIND("arbeid",Methode_Keuze)),"",IF(ISNUMBER(FIND("arbeid",Methode_Keuze)),"",IF(Tb_Activiteiten[[#This Row],[Adviseur]]=1,Tb_Activiteiten[[#Headers],[Adviseur]],"")))</f>
        <v/>
      </c>
      <c r="AP1350" t="str">
        <f>IF(ISNUMBER(FIND("arbeid",Methode_Keuze)),"",IF(ISNUMBER(FIND("arbeid",Methode_Keuze)),"",IF(Tb_Activiteiten[[#This Row],[Projectleider/Expert]]=1,Tb_Activiteiten[[#Headers],[Projectleider/Expert]],"")))</f>
        <v/>
      </c>
      <c r="AQ1350" t="str">
        <f>IF(ISNUMBER(FIND("arbeid",Methode_Keuze)),"",IF(ISNUMBER(FIND("arbeid",Methode_Keuze)),"",IF(Tb_Activiteiten[[#This Row],[Arbeidskosten]]=1,Tb_Activiteiten[[#Headers],[Arbeidskosten]],"")))</f>
        <v/>
      </c>
      <c r="AR1350" t="str">
        <f>IF(ISNUMBER(FIND("arbeid",Methode_Keuze)),"",IF(ISNUMBER(FIND("arbeid",Methode_Keuze)),"",IF(Tb_Activiteiten[[#This Row],[Arbeidskosten op basis van IKS]]=1,Tb_Activiteiten[[#Headers],[Arbeidskosten op basis van IKS]],"")))</f>
        <v/>
      </c>
      <c r="AS1350" t="str">
        <f>IF(ISNUMBER(FIND("overige",Methode_Keuze)),"",IF(Tb_Activiteiten[[#This Row],[Kosten derden exclusief btw]]=1,Tb_Activiteiten[[#Headers],[Kosten derden exclusief btw]],""))</f>
        <v/>
      </c>
      <c r="AT1350" t="str">
        <f>IF(ISNUMBER(FIND("overige",Methode_Keuze)),"",IF(Tb_Activiteiten[[#This Row],[Niet verrekenbare btw]]=1,Tb_Activiteiten[[#Headers],[Niet verrekenbare btw]],""))</f>
        <v/>
      </c>
      <c r="AU1350" t="str">
        <f>IF(ISNUMBER(FIND("overige",Methode_Keuze)),"",IF(Tb_Activiteiten[[#This Row],[Grondkosten]]=1,Tb_Activiteiten[[#Headers],[Grondkosten]],""))</f>
        <v/>
      </c>
      <c r="AV1350" t="str">
        <f>IF(ISNUMBER(FIND("overige",Methode_Keuze)),"",IF(Tb_Activiteiten[[#This Row],[Bijdrage in natura (overige)]]=1,Tb_Activiteiten[[#Headers],[Bijdrage in natura (overige)]],""))</f>
        <v/>
      </c>
      <c r="AW1350" t="str">
        <f>IF(ISNUMBER(FIND("overige",Methode_Keuze)),"",IF(Tb_Activiteiten[[#This Row],[Bijdrage in natura (vrijwilligers)]]=1,Tb_Activiteiten[[#Headers],[Bijdrage in natura (vrijwilligers)]],""))</f>
        <v/>
      </c>
      <c r="AX1350" t="str">
        <f>IF(ISNUMBER(FIND("overige",Methode_Keuze)),"",IF(Tb_Activiteiten[[#This Row],[Afschrijvingskosten]]=1,Tb_Activiteiten[[#Headers],[Afschrijvingskosten]],""))</f>
        <v/>
      </c>
      <c r="AY1350" t="str">
        <f>IF(ISNUMBER(FIND("overige",Methode_Keuze)),"",IF(Tb_Activiteiten[[#This Row],[Vergoeding]]=1,Tb_Activiteiten[[#Headers],[Vergoeding]],""))</f>
        <v/>
      </c>
      <c r="AZ1350" t="str">
        <f>IF(ISNUMBER(FIND("arbeid",Methode_Keuze)),"",IF(Tb_Activiteiten[[#This Row],[Arbeidskosten - vast tarief (excl eigen arbeid)]]=1,Tb_Activiteiten[[#Headers],[Arbeidskosten - vast tarief (excl eigen arbeid)]],""))</f>
        <v/>
      </c>
      <c r="BA1350" t="str">
        <f>IF(ISNUMBER(FIND("overige",Methode_Keuze)),"",IF(Tb_Activiteiten[[#This Row],[Overige kosten]]=1,Tb_Activiteiten[[#Headers],[Overige kosten]],""))</f>
        <v/>
      </c>
    </row>
    <row r="1351" spans="15:53" x14ac:dyDescent="0.25">
      <c r="O1351" s="56"/>
      <c r="Q1351" t="str">
        <f>IFERROR(IF(VLOOKUP(Tb_Activiteiten[[#This Row],[Openstelling]],Tb_Openstelling[],2,0)=1,1,""),"")</f>
        <v/>
      </c>
      <c r="AK1351" t="str">
        <f>IF(ISNUMBER(FIND("arbeid",Methode_Keuze)),"",IF(ISNUMBER(FIND("arbeid",Methode_Keuze)),"",IF(Tb_Activiteiten[[#This Row],[Loonkosten]]=1,Tb_Activiteiten[[#Headers],[Loonkosten]],"")))</f>
        <v/>
      </c>
      <c r="AL1351" t="str">
        <f>IF(ISNUMBER(FIND("arbeid",Methode_Keuze)),"",IF(ISNUMBER(FIND("arbeid",Methode_Keuze)),"",IF(Tb_Activiteiten[[#This Row],[Eigen arbeid]]=1,Tb_Activiteiten[[#Headers],[Eigen arbeid]],"")))</f>
        <v/>
      </c>
      <c r="AM1351" t="str">
        <f>IF(ISNUMBER(FIND("arbeid",Methode_Keuze)),"",IF(ISNUMBER(FIND("arbeid",Methode_Keuze)),"",IF(Tb_Activiteiten[[#This Row],[Projectmedewerker]]=1,Tb_Activiteiten[[#Headers],[Projectmedewerker]],"")))</f>
        <v/>
      </c>
      <c r="AN1351" t="str">
        <f>IF(ISNUMBER(FIND("arbeid",Methode_Keuze)),"",IF(ISNUMBER(FIND("arbeid",Methode_Keuze)),"",IF(Tb_Activiteiten[[#This Row],[Landbouwer]]=1,Tb_Activiteiten[[#Headers],[Landbouwer]],"")))</f>
        <v/>
      </c>
      <c r="AO1351" t="str">
        <f>IF(ISNUMBER(FIND("arbeid",Methode_Keuze)),"",IF(ISNUMBER(FIND("arbeid",Methode_Keuze)),"",IF(Tb_Activiteiten[[#This Row],[Adviseur]]=1,Tb_Activiteiten[[#Headers],[Adviseur]],"")))</f>
        <v/>
      </c>
      <c r="AP1351" t="str">
        <f>IF(ISNUMBER(FIND("arbeid",Methode_Keuze)),"",IF(ISNUMBER(FIND("arbeid",Methode_Keuze)),"",IF(Tb_Activiteiten[[#This Row],[Projectleider/Expert]]=1,Tb_Activiteiten[[#Headers],[Projectleider/Expert]],"")))</f>
        <v/>
      </c>
      <c r="AQ1351" t="str">
        <f>IF(ISNUMBER(FIND("arbeid",Methode_Keuze)),"",IF(ISNUMBER(FIND("arbeid",Methode_Keuze)),"",IF(Tb_Activiteiten[[#This Row],[Arbeidskosten]]=1,Tb_Activiteiten[[#Headers],[Arbeidskosten]],"")))</f>
        <v/>
      </c>
      <c r="AR1351" t="str">
        <f>IF(ISNUMBER(FIND("arbeid",Methode_Keuze)),"",IF(ISNUMBER(FIND("arbeid",Methode_Keuze)),"",IF(Tb_Activiteiten[[#This Row],[Arbeidskosten op basis van IKS]]=1,Tb_Activiteiten[[#Headers],[Arbeidskosten op basis van IKS]],"")))</f>
        <v/>
      </c>
      <c r="AS1351" t="str">
        <f>IF(ISNUMBER(FIND("overige",Methode_Keuze)),"",IF(Tb_Activiteiten[[#This Row],[Kosten derden exclusief btw]]=1,Tb_Activiteiten[[#Headers],[Kosten derden exclusief btw]],""))</f>
        <v/>
      </c>
      <c r="AT1351" t="str">
        <f>IF(ISNUMBER(FIND("overige",Methode_Keuze)),"",IF(Tb_Activiteiten[[#This Row],[Niet verrekenbare btw]]=1,Tb_Activiteiten[[#Headers],[Niet verrekenbare btw]],""))</f>
        <v/>
      </c>
      <c r="AU1351" t="str">
        <f>IF(ISNUMBER(FIND("overige",Methode_Keuze)),"",IF(Tb_Activiteiten[[#This Row],[Grondkosten]]=1,Tb_Activiteiten[[#Headers],[Grondkosten]],""))</f>
        <v/>
      </c>
      <c r="AV1351" t="str">
        <f>IF(ISNUMBER(FIND("overige",Methode_Keuze)),"",IF(Tb_Activiteiten[[#This Row],[Bijdrage in natura (overige)]]=1,Tb_Activiteiten[[#Headers],[Bijdrage in natura (overige)]],""))</f>
        <v/>
      </c>
      <c r="AW1351" t="str">
        <f>IF(ISNUMBER(FIND("overige",Methode_Keuze)),"",IF(Tb_Activiteiten[[#This Row],[Bijdrage in natura (vrijwilligers)]]=1,Tb_Activiteiten[[#Headers],[Bijdrage in natura (vrijwilligers)]],""))</f>
        <v/>
      </c>
      <c r="AX1351" t="str">
        <f>IF(ISNUMBER(FIND("overige",Methode_Keuze)),"",IF(Tb_Activiteiten[[#This Row],[Afschrijvingskosten]]=1,Tb_Activiteiten[[#Headers],[Afschrijvingskosten]],""))</f>
        <v/>
      </c>
      <c r="AY1351" t="str">
        <f>IF(ISNUMBER(FIND("overige",Methode_Keuze)),"",IF(Tb_Activiteiten[[#This Row],[Vergoeding]]=1,Tb_Activiteiten[[#Headers],[Vergoeding]],""))</f>
        <v/>
      </c>
      <c r="AZ1351" t="str">
        <f>IF(ISNUMBER(FIND("arbeid",Methode_Keuze)),"",IF(Tb_Activiteiten[[#This Row],[Arbeidskosten - vast tarief (excl eigen arbeid)]]=1,Tb_Activiteiten[[#Headers],[Arbeidskosten - vast tarief (excl eigen arbeid)]],""))</f>
        <v/>
      </c>
      <c r="BA1351" t="str">
        <f>IF(ISNUMBER(FIND("overige",Methode_Keuze)),"",IF(Tb_Activiteiten[[#This Row],[Overige kosten]]=1,Tb_Activiteiten[[#Headers],[Overige kosten]],""))</f>
        <v/>
      </c>
    </row>
    <row r="1352" spans="15:53" x14ac:dyDescent="0.25">
      <c r="O1352" s="56"/>
      <c r="Q1352" t="str">
        <f>IFERROR(IF(VLOOKUP(Tb_Activiteiten[[#This Row],[Openstelling]],Tb_Openstelling[],2,0)=1,1,""),"")</f>
        <v/>
      </c>
      <c r="AK1352" t="str">
        <f>IF(ISNUMBER(FIND("arbeid",Methode_Keuze)),"",IF(ISNUMBER(FIND("arbeid",Methode_Keuze)),"",IF(Tb_Activiteiten[[#This Row],[Loonkosten]]=1,Tb_Activiteiten[[#Headers],[Loonkosten]],"")))</f>
        <v/>
      </c>
      <c r="AL1352" t="str">
        <f>IF(ISNUMBER(FIND("arbeid",Methode_Keuze)),"",IF(ISNUMBER(FIND("arbeid",Methode_Keuze)),"",IF(Tb_Activiteiten[[#This Row],[Eigen arbeid]]=1,Tb_Activiteiten[[#Headers],[Eigen arbeid]],"")))</f>
        <v/>
      </c>
      <c r="AM1352" t="str">
        <f>IF(ISNUMBER(FIND("arbeid",Methode_Keuze)),"",IF(ISNUMBER(FIND("arbeid",Methode_Keuze)),"",IF(Tb_Activiteiten[[#This Row],[Projectmedewerker]]=1,Tb_Activiteiten[[#Headers],[Projectmedewerker]],"")))</f>
        <v/>
      </c>
      <c r="AN1352" t="str">
        <f>IF(ISNUMBER(FIND("arbeid",Methode_Keuze)),"",IF(ISNUMBER(FIND("arbeid",Methode_Keuze)),"",IF(Tb_Activiteiten[[#This Row],[Landbouwer]]=1,Tb_Activiteiten[[#Headers],[Landbouwer]],"")))</f>
        <v/>
      </c>
      <c r="AO1352" t="str">
        <f>IF(ISNUMBER(FIND("arbeid",Methode_Keuze)),"",IF(ISNUMBER(FIND("arbeid",Methode_Keuze)),"",IF(Tb_Activiteiten[[#This Row],[Adviseur]]=1,Tb_Activiteiten[[#Headers],[Adviseur]],"")))</f>
        <v/>
      </c>
      <c r="AP1352" t="str">
        <f>IF(ISNUMBER(FIND("arbeid",Methode_Keuze)),"",IF(ISNUMBER(FIND("arbeid",Methode_Keuze)),"",IF(Tb_Activiteiten[[#This Row],[Projectleider/Expert]]=1,Tb_Activiteiten[[#Headers],[Projectleider/Expert]],"")))</f>
        <v/>
      </c>
      <c r="AQ1352" t="str">
        <f>IF(ISNUMBER(FIND("arbeid",Methode_Keuze)),"",IF(ISNUMBER(FIND("arbeid",Methode_Keuze)),"",IF(Tb_Activiteiten[[#This Row],[Arbeidskosten]]=1,Tb_Activiteiten[[#Headers],[Arbeidskosten]],"")))</f>
        <v/>
      </c>
      <c r="AR1352" t="str">
        <f>IF(ISNUMBER(FIND("arbeid",Methode_Keuze)),"",IF(ISNUMBER(FIND("arbeid",Methode_Keuze)),"",IF(Tb_Activiteiten[[#This Row],[Arbeidskosten op basis van IKS]]=1,Tb_Activiteiten[[#Headers],[Arbeidskosten op basis van IKS]],"")))</f>
        <v/>
      </c>
      <c r="AS1352" t="str">
        <f>IF(ISNUMBER(FIND("overige",Methode_Keuze)),"",IF(Tb_Activiteiten[[#This Row],[Kosten derden exclusief btw]]=1,Tb_Activiteiten[[#Headers],[Kosten derden exclusief btw]],""))</f>
        <v/>
      </c>
      <c r="AT1352" t="str">
        <f>IF(ISNUMBER(FIND("overige",Methode_Keuze)),"",IF(Tb_Activiteiten[[#This Row],[Niet verrekenbare btw]]=1,Tb_Activiteiten[[#Headers],[Niet verrekenbare btw]],""))</f>
        <v/>
      </c>
      <c r="AU1352" t="str">
        <f>IF(ISNUMBER(FIND("overige",Methode_Keuze)),"",IF(Tb_Activiteiten[[#This Row],[Grondkosten]]=1,Tb_Activiteiten[[#Headers],[Grondkosten]],""))</f>
        <v/>
      </c>
      <c r="AV1352" t="str">
        <f>IF(ISNUMBER(FIND("overige",Methode_Keuze)),"",IF(Tb_Activiteiten[[#This Row],[Bijdrage in natura (overige)]]=1,Tb_Activiteiten[[#Headers],[Bijdrage in natura (overige)]],""))</f>
        <v/>
      </c>
      <c r="AW1352" t="str">
        <f>IF(ISNUMBER(FIND("overige",Methode_Keuze)),"",IF(Tb_Activiteiten[[#This Row],[Bijdrage in natura (vrijwilligers)]]=1,Tb_Activiteiten[[#Headers],[Bijdrage in natura (vrijwilligers)]],""))</f>
        <v/>
      </c>
      <c r="AX1352" t="str">
        <f>IF(ISNUMBER(FIND("overige",Methode_Keuze)),"",IF(Tb_Activiteiten[[#This Row],[Afschrijvingskosten]]=1,Tb_Activiteiten[[#Headers],[Afschrijvingskosten]],""))</f>
        <v/>
      </c>
      <c r="AY1352" t="str">
        <f>IF(ISNUMBER(FIND("overige",Methode_Keuze)),"",IF(Tb_Activiteiten[[#This Row],[Vergoeding]]=1,Tb_Activiteiten[[#Headers],[Vergoeding]],""))</f>
        <v/>
      </c>
      <c r="AZ1352" t="str">
        <f>IF(ISNUMBER(FIND("arbeid",Methode_Keuze)),"",IF(Tb_Activiteiten[[#This Row],[Arbeidskosten - vast tarief (excl eigen arbeid)]]=1,Tb_Activiteiten[[#Headers],[Arbeidskosten - vast tarief (excl eigen arbeid)]],""))</f>
        <v/>
      </c>
      <c r="BA1352" t="str">
        <f>IF(ISNUMBER(FIND("overige",Methode_Keuze)),"",IF(Tb_Activiteiten[[#This Row],[Overige kosten]]=1,Tb_Activiteiten[[#Headers],[Overige kosten]],""))</f>
        <v/>
      </c>
    </row>
    <row r="1353" spans="15:53" x14ac:dyDescent="0.25">
      <c r="O1353" s="56"/>
      <c r="Q1353" t="str">
        <f>IFERROR(IF(VLOOKUP(Tb_Activiteiten[[#This Row],[Openstelling]],Tb_Openstelling[],2,0)=1,1,""),"")</f>
        <v/>
      </c>
      <c r="AK1353" t="str">
        <f>IF(ISNUMBER(FIND("arbeid",Methode_Keuze)),"",IF(ISNUMBER(FIND("arbeid",Methode_Keuze)),"",IF(Tb_Activiteiten[[#This Row],[Loonkosten]]=1,Tb_Activiteiten[[#Headers],[Loonkosten]],"")))</f>
        <v/>
      </c>
      <c r="AL1353" t="str">
        <f>IF(ISNUMBER(FIND("arbeid",Methode_Keuze)),"",IF(ISNUMBER(FIND("arbeid",Methode_Keuze)),"",IF(Tb_Activiteiten[[#This Row],[Eigen arbeid]]=1,Tb_Activiteiten[[#Headers],[Eigen arbeid]],"")))</f>
        <v/>
      </c>
      <c r="AM1353" t="str">
        <f>IF(ISNUMBER(FIND("arbeid",Methode_Keuze)),"",IF(ISNUMBER(FIND("arbeid",Methode_Keuze)),"",IF(Tb_Activiteiten[[#This Row],[Projectmedewerker]]=1,Tb_Activiteiten[[#Headers],[Projectmedewerker]],"")))</f>
        <v/>
      </c>
      <c r="AN1353" t="str">
        <f>IF(ISNUMBER(FIND("arbeid",Methode_Keuze)),"",IF(ISNUMBER(FIND("arbeid",Methode_Keuze)),"",IF(Tb_Activiteiten[[#This Row],[Landbouwer]]=1,Tb_Activiteiten[[#Headers],[Landbouwer]],"")))</f>
        <v/>
      </c>
      <c r="AO1353" t="str">
        <f>IF(ISNUMBER(FIND("arbeid",Methode_Keuze)),"",IF(ISNUMBER(FIND("arbeid",Methode_Keuze)),"",IF(Tb_Activiteiten[[#This Row],[Adviseur]]=1,Tb_Activiteiten[[#Headers],[Adviseur]],"")))</f>
        <v/>
      </c>
      <c r="AP1353" t="str">
        <f>IF(ISNUMBER(FIND("arbeid",Methode_Keuze)),"",IF(ISNUMBER(FIND("arbeid",Methode_Keuze)),"",IF(Tb_Activiteiten[[#This Row],[Projectleider/Expert]]=1,Tb_Activiteiten[[#Headers],[Projectleider/Expert]],"")))</f>
        <v/>
      </c>
      <c r="AQ1353" t="str">
        <f>IF(ISNUMBER(FIND("arbeid",Methode_Keuze)),"",IF(ISNUMBER(FIND("arbeid",Methode_Keuze)),"",IF(Tb_Activiteiten[[#This Row],[Arbeidskosten]]=1,Tb_Activiteiten[[#Headers],[Arbeidskosten]],"")))</f>
        <v/>
      </c>
      <c r="AR1353" t="str">
        <f>IF(ISNUMBER(FIND("arbeid",Methode_Keuze)),"",IF(ISNUMBER(FIND("arbeid",Methode_Keuze)),"",IF(Tb_Activiteiten[[#This Row],[Arbeidskosten op basis van IKS]]=1,Tb_Activiteiten[[#Headers],[Arbeidskosten op basis van IKS]],"")))</f>
        <v/>
      </c>
      <c r="AS1353" t="str">
        <f>IF(ISNUMBER(FIND("overige",Methode_Keuze)),"",IF(Tb_Activiteiten[[#This Row],[Kosten derden exclusief btw]]=1,Tb_Activiteiten[[#Headers],[Kosten derden exclusief btw]],""))</f>
        <v/>
      </c>
      <c r="AT1353" t="str">
        <f>IF(ISNUMBER(FIND("overige",Methode_Keuze)),"",IF(Tb_Activiteiten[[#This Row],[Niet verrekenbare btw]]=1,Tb_Activiteiten[[#Headers],[Niet verrekenbare btw]],""))</f>
        <v/>
      </c>
      <c r="AU1353" t="str">
        <f>IF(ISNUMBER(FIND("overige",Methode_Keuze)),"",IF(Tb_Activiteiten[[#This Row],[Grondkosten]]=1,Tb_Activiteiten[[#Headers],[Grondkosten]],""))</f>
        <v/>
      </c>
      <c r="AV1353" t="str">
        <f>IF(ISNUMBER(FIND("overige",Methode_Keuze)),"",IF(Tb_Activiteiten[[#This Row],[Bijdrage in natura (overige)]]=1,Tb_Activiteiten[[#Headers],[Bijdrage in natura (overige)]],""))</f>
        <v/>
      </c>
      <c r="AW1353" t="str">
        <f>IF(ISNUMBER(FIND("overige",Methode_Keuze)),"",IF(Tb_Activiteiten[[#This Row],[Bijdrage in natura (vrijwilligers)]]=1,Tb_Activiteiten[[#Headers],[Bijdrage in natura (vrijwilligers)]],""))</f>
        <v/>
      </c>
      <c r="AX1353" t="str">
        <f>IF(ISNUMBER(FIND("overige",Methode_Keuze)),"",IF(Tb_Activiteiten[[#This Row],[Afschrijvingskosten]]=1,Tb_Activiteiten[[#Headers],[Afschrijvingskosten]],""))</f>
        <v/>
      </c>
      <c r="AY1353" t="str">
        <f>IF(ISNUMBER(FIND("overige",Methode_Keuze)),"",IF(Tb_Activiteiten[[#This Row],[Vergoeding]]=1,Tb_Activiteiten[[#Headers],[Vergoeding]],""))</f>
        <v/>
      </c>
      <c r="AZ1353" t="str">
        <f>IF(ISNUMBER(FIND("arbeid",Methode_Keuze)),"",IF(Tb_Activiteiten[[#This Row],[Arbeidskosten - vast tarief (excl eigen arbeid)]]=1,Tb_Activiteiten[[#Headers],[Arbeidskosten - vast tarief (excl eigen arbeid)]],""))</f>
        <v/>
      </c>
      <c r="BA1353" t="str">
        <f>IF(ISNUMBER(FIND("overige",Methode_Keuze)),"",IF(Tb_Activiteiten[[#This Row],[Overige kosten]]=1,Tb_Activiteiten[[#Headers],[Overige kosten]],""))</f>
        <v/>
      </c>
    </row>
    <row r="1354" spans="15:53" x14ac:dyDescent="0.25">
      <c r="O1354" s="56"/>
      <c r="Q1354" t="str">
        <f>IFERROR(IF(VLOOKUP(Tb_Activiteiten[[#This Row],[Openstelling]],Tb_Openstelling[],2,0)=1,1,""),"")</f>
        <v/>
      </c>
      <c r="AK1354" t="str">
        <f>IF(ISNUMBER(FIND("arbeid",Methode_Keuze)),"",IF(ISNUMBER(FIND("arbeid",Methode_Keuze)),"",IF(Tb_Activiteiten[[#This Row],[Loonkosten]]=1,Tb_Activiteiten[[#Headers],[Loonkosten]],"")))</f>
        <v/>
      </c>
      <c r="AL1354" t="str">
        <f>IF(ISNUMBER(FIND("arbeid",Methode_Keuze)),"",IF(ISNUMBER(FIND("arbeid",Methode_Keuze)),"",IF(Tb_Activiteiten[[#This Row],[Eigen arbeid]]=1,Tb_Activiteiten[[#Headers],[Eigen arbeid]],"")))</f>
        <v/>
      </c>
      <c r="AM1354" t="str">
        <f>IF(ISNUMBER(FIND("arbeid",Methode_Keuze)),"",IF(ISNUMBER(FIND("arbeid",Methode_Keuze)),"",IF(Tb_Activiteiten[[#This Row],[Projectmedewerker]]=1,Tb_Activiteiten[[#Headers],[Projectmedewerker]],"")))</f>
        <v/>
      </c>
      <c r="AN1354" t="str">
        <f>IF(ISNUMBER(FIND("arbeid",Methode_Keuze)),"",IF(ISNUMBER(FIND("arbeid",Methode_Keuze)),"",IF(Tb_Activiteiten[[#This Row],[Landbouwer]]=1,Tb_Activiteiten[[#Headers],[Landbouwer]],"")))</f>
        <v/>
      </c>
      <c r="AO1354" t="str">
        <f>IF(ISNUMBER(FIND("arbeid",Methode_Keuze)),"",IF(ISNUMBER(FIND("arbeid",Methode_Keuze)),"",IF(Tb_Activiteiten[[#This Row],[Adviseur]]=1,Tb_Activiteiten[[#Headers],[Adviseur]],"")))</f>
        <v/>
      </c>
      <c r="AP1354" t="str">
        <f>IF(ISNUMBER(FIND("arbeid",Methode_Keuze)),"",IF(ISNUMBER(FIND("arbeid",Methode_Keuze)),"",IF(Tb_Activiteiten[[#This Row],[Projectleider/Expert]]=1,Tb_Activiteiten[[#Headers],[Projectleider/Expert]],"")))</f>
        <v/>
      </c>
      <c r="AQ1354" t="str">
        <f>IF(ISNUMBER(FIND("arbeid",Methode_Keuze)),"",IF(ISNUMBER(FIND("arbeid",Methode_Keuze)),"",IF(Tb_Activiteiten[[#This Row],[Arbeidskosten]]=1,Tb_Activiteiten[[#Headers],[Arbeidskosten]],"")))</f>
        <v/>
      </c>
      <c r="AR1354" t="str">
        <f>IF(ISNUMBER(FIND("arbeid",Methode_Keuze)),"",IF(ISNUMBER(FIND("arbeid",Methode_Keuze)),"",IF(Tb_Activiteiten[[#This Row],[Arbeidskosten op basis van IKS]]=1,Tb_Activiteiten[[#Headers],[Arbeidskosten op basis van IKS]],"")))</f>
        <v/>
      </c>
      <c r="AS1354" t="str">
        <f>IF(ISNUMBER(FIND("overige",Methode_Keuze)),"",IF(Tb_Activiteiten[[#This Row],[Kosten derden exclusief btw]]=1,Tb_Activiteiten[[#Headers],[Kosten derden exclusief btw]],""))</f>
        <v/>
      </c>
      <c r="AT1354" t="str">
        <f>IF(ISNUMBER(FIND("overige",Methode_Keuze)),"",IF(Tb_Activiteiten[[#This Row],[Niet verrekenbare btw]]=1,Tb_Activiteiten[[#Headers],[Niet verrekenbare btw]],""))</f>
        <v/>
      </c>
      <c r="AU1354" t="str">
        <f>IF(ISNUMBER(FIND("overige",Methode_Keuze)),"",IF(Tb_Activiteiten[[#This Row],[Grondkosten]]=1,Tb_Activiteiten[[#Headers],[Grondkosten]],""))</f>
        <v/>
      </c>
      <c r="AV1354" t="str">
        <f>IF(ISNUMBER(FIND("overige",Methode_Keuze)),"",IF(Tb_Activiteiten[[#This Row],[Bijdrage in natura (overige)]]=1,Tb_Activiteiten[[#Headers],[Bijdrage in natura (overige)]],""))</f>
        <v/>
      </c>
      <c r="AW1354" t="str">
        <f>IF(ISNUMBER(FIND("overige",Methode_Keuze)),"",IF(Tb_Activiteiten[[#This Row],[Bijdrage in natura (vrijwilligers)]]=1,Tb_Activiteiten[[#Headers],[Bijdrage in natura (vrijwilligers)]],""))</f>
        <v/>
      </c>
      <c r="AX1354" t="str">
        <f>IF(ISNUMBER(FIND("overige",Methode_Keuze)),"",IF(Tb_Activiteiten[[#This Row],[Afschrijvingskosten]]=1,Tb_Activiteiten[[#Headers],[Afschrijvingskosten]],""))</f>
        <v/>
      </c>
      <c r="AY1354" t="str">
        <f>IF(ISNUMBER(FIND("overige",Methode_Keuze)),"",IF(Tb_Activiteiten[[#This Row],[Vergoeding]]=1,Tb_Activiteiten[[#Headers],[Vergoeding]],""))</f>
        <v/>
      </c>
      <c r="AZ1354" t="str">
        <f>IF(ISNUMBER(FIND("arbeid",Methode_Keuze)),"",IF(Tb_Activiteiten[[#This Row],[Arbeidskosten - vast tarief (excl eigen arbeid)]]=1,Tb_Activiteiten[[#Headers],[Arbeidskosten - vast tarief (excl eigen arbeid)]],""))</f>
        <v/>
      </c>
      <c r="BA1354" t="str">
        <f>IF(ISNUMBER(FIND("overige",Methode_Keuze)),"",IF(Tb_Activiteiten[[#This Row],[Overige kosten]]=1,Tb_Activiteiten[[#Headers],[Overige kosten]],""))</f>
        <v/>
      </c>
    </row>
    <row r="1355" spans="15:53" x14ac:dyDescent="0.25">
      <c r="O1355" s="56"/>
      <c r="Q1355" t="str">
        <f>IFERROR(IF(VLOOKUP(Tb_Activiteiten[[#This Row],[Openstelling]],Tb_Openstelling[],2,0)=1,1,""),"")</f>
        <v/>
      </c>
      <c r="AK1355" t="str">
        <f>IF(ISNUMBER(FIND("arbeid",Methode_Keuze)),"",IF(ISNUMBER(FIND("arbeid",Methode_Keuze)),"",IF(Tb_Activiteiten[[#This Row],[Loonkosten]]=1,Tb_Activiteiten[[#Headers],[Loonkosten]],"")))</f>
        <v/>
      </c>
      <c r="AL1355" t="str">
        <f>IF(ISNUMBER(FIND("arbeid",Methode_Keuze)),"",IF(ISNUMBER(FIND("arbeid",Methode_Keuze)),"",IF(Tb_Activiteiten[[#This Row],[Eigen arbeid]]=1,Tb_Activiteiten[[#Headers],[Eigen arbeid]],"")))</f>
        <v/>
      </c>
      <c r="AM1355" t="str">
        <f>IF(ISNUMBER(FIND("arbeid",Methode_Keuze)),"",IF(ISNUMBER(FIND("arbeid",Methode_Keuze)),"",IF(Tb_Activiteiten[[#This Row],[Projectmedewerker]]=1,Tb_Activiteiten[[#Headers],[Projectmedewerker]],"")))</f>
        <v/>
      </c>
      <c r="AN1355" t="str">
        <f>IF(ISNUMBER(FIND("arbeid",Methode_Keuze)),"",IF(ISNUMBER(FIND("arbeid",Methode_Keuze)),"",IF(Tb_Activiteiten[[#This Row],[Landbouwer]]=1,Tb_Activiteiten[[#Headers],[Landbouwer]],"")))</f>
        <v/>
      </c>
      <c r="AO1355" t="str">
        <f>IF(ISNUMBER(FIND("arbeid",Methode_Keuze)),"",IF(ISNUMBER(FIND("arbeid",Methode_Keuze)),"",IF(Tb_Activiteiten[[#This Row],[Adviseur]]=1,Tb_Activiteiten[[#Headers],[Adviseur]],"")))</f>
        <v/>
      </c>
      <c r="AP1355" t="str">
        <f>IF(ISNUMBER(FIND("arbeid",Methode_Keuze)),"",IF(ISNUMBER(FIND("arbeid",Methode_Keuze)),"",IF(Tb_Activiteiten[[#This Row],[Projectleider/Expert]]=1,Tb_Activiteiten[[#Headers],[Projectleider/Expert]],"")))</f>
        <v/>
      </c>
      <c r="AQ1355" t="str">
        <f>IF(ISNUMBER(FIND("arbeid",Methode_Keuze)),"",IF(ISNUMBER(FIND("arbeid",Methode_Keuze)),"",IF(Tb_Activiteiten[[#This Row],[Arbeidskosten]]=1,Tb_Activiteiten[[#Headers],[Arbeidskosten]],"")))</f>
        <v/>
      </c>
      <c r="AR1355" t="str">
        <f>IF(ISNUMBER(FIND("arbeid",Methode_Keuze)),"",IF(ISNUMBER(FIND("arbeid",Methode_Keuze)),"",IF(Tb_Activiteiten[[#This Row],[Arbeidskosten op basis van IKS]]=1,Tb_Activiteiten[[#Headers],[Arbeidskosten op basis van IKS]],"")))</f>
        <v/>
      </c>
      <c r="AS1355" t="str">
        <f>IF(ISNUMBER(FIND("overige",Methode_Keuze)),"",IF(Tb_Activiteiten[[#This Row],[Kosten derden exclusief btw]]=1,Tb_Activiteiten[[#Headers],[Kosten derden exclusief btw]],""))</f>
        <v/>
      </c>
      <c r="AT1355" t="str">
        <f>IF(ISNUMBER(FIND("overige",Methode_Keuze)),"",IF(Tb_Activiteiten[[#This Row],[Niet verrekenbare btw]]=1,Tb_Activiteiten[[#Headers],[Niet verrekenbare btw]],""))</f>
        <v/>
      </c>
      <c r="AU1355" t="str">
        <f>IF(ISNUMBER(FIND("overige",Methode_Keuze)),"",IF(Tb_Activiteiten[[#This Row],[Grondkosten]]=1,Tb_Activiteiten[[#Headers],[Grondkosten]],""))</f>
        <v/>
      </c>
      <c r="AV1355" t="str">
        <f>IF(ISNUMBER(FIND("overige",Methode_Keuze)),"",IF(Tb_Activiteiten[[#This Row],[Bijdrage in natura (overige)]]=1,Tb_Activiteiten[[#Headers],[Bijdrage in natura (overige)]],""))</f>
        <v/>
      </c>
      <c r="AW1355" t="str">
        <f>IF(ISNUMBER(FIND("overige",Methode_Keuze)),"",IF(Tb_Activiteiten[[#This Row],[Bijdrage in natura (vrijwilligers)]]=1,Tb_Activiteiten[[#Headers],[Bijdrage in natura (vrijwilligers)]],""))</f>
        <v/>
      </c>
      <c r="AX1355" t="str">
        <f>IF(ISNUMBER(FIND("overige",Methode_Keuze)),"",IF(Tb_Activiteiten[[#This Row],[Afschrijvingskosten]]=1,Tb_Activiteiten[[#Headers],[Afschrijvingskosten]],""))</f>
        <v/>
      </c>
      <c r="AY1355" t="str">
        <f>IF(ISNUMBER(FIND("overige",Methode_Keuze)),"",IF(Tb_Activiteiten[[#This Row],[Vergoeding]]=1,Tb_Activiteiten[[#Headers],[Vergoeding]],""))</f>
        <v/>
      </c>
      <c r="AZ1355" t="str">
        <f>IF(ISNUMBER(FIND("arbeid",Methode_Keuze)),"",IF(Tb_Activiteiten[[#This Row],[Arbeidskosten - vast tarief (excl eigen arbeid)]]=1,Tb_Activiteiten[[#Headers],[Arbeidskosten - vast tarief (excl eigen arbeid)]],""))</f>
        <v/>
      </c>
      <c r="BA1355" t="str">
        <f>IF(ISNUMBER(FIND("overige",Methode_Keuze)),"",IF(Tb_Activiteiten[[#This Row],[Overige kosten]]=1,Tb_Activiteiten[[#Headers],[Overige kosten]],""))</f>
        <v/>
      </c>
    </row>
    <row r="1356" spans="15:53" x14ac:dyDescent="0.25">
      <c r="O1356" s="56"/>
      <c r="Q1356" t="str">
        <f>IFERROR(IF(VLOOKUP(Tb_Activiteiten[[#This Row],[Openstelling]],Tb_Openstelling[],2,0)=1,1,""),"")</f>
        <v/>
      </c>
      <c r="AK1356" t="str">
        <f>IF(ISNUMBER(FIND("arbeid",Methode_Keuze)),"",IF(ISNUMBER(FIND("arbeid",Methode_Keuze)),"",IF(Tb_Activiteiten[[#This Row],[Loonkosten]]=1,Tb_Activiteiten[[#Headers],[Loonkosten]],"")))</f>
        <v/>
      </c>
      <c r="AL1356" t="str">
        <f>IF(ISNUMBER(FIND("arbeid",Methode_Keuze)),"",IF(ISNUMBER(FIND("arbeid",Methode_Keuze)),"",IF(Tb_Activiteiten[[#This Row],[Eigen arbeid]]=1,Tb_Activiteiten[[#Headers],[Eigen arbeid]],"")))</f>
        <v/>
      </c>
      <c r="AM1356" t="str">
        <f>IF(ISNUMBER(FIND("arbeid",Methode_Keuze)),"",IF(ISNUMBER(FIND("arbeid",Methode_Keuze)),"",IF(Tb_Activiteiten[[#This Row],[Projectmedewerker]]=1,Tb_Activiteiten[[#Headers],[Projectmedewerker]],"")))</f>
        <v/>
      </c>
      <c r="AN1356" t="str">
        <f>IF(ISNUMBER(FIND("arbeid",Methode_Keuze)),"",IF(ISNUMBER(FIND("arbeid",Methode_Keuze)),"",IF(Tb_Activiteiten[[#This Row],[Landbouwer]]=1,Tb_Activiteiten[[#Headers],[Landbouwer]],"")))</f>
        <v/>
      </c>
      <c r="AO1356" t="str">
        <f>IF(ISNUMBER(FIND("arbeid",Methode_Keuze)),"",IF(ISNUMBER(FIND("arbeid",Methode_Keuze)),"",IF(Tb_Activiteiten[[#This Row],[Adviseur]]=1,Tb_Activiteiten[[#Headers],[Adviseur]],"")))</f>
        <v/>
      </c>
      <c r="AP1356" t="str">
        <f>IF(ISNUMBER(FIND("arbeid",Methode_Keuze)),"",IF(ISNUMBER(FIND("arbeid",Methode_Keuze)),"",IF(Tb_Activiteiten[[#This Row],[Projectleider/Expert]]=1,Tb_Activiteiten[[#Headers],[Projectleider/Expert]],"")))</f>
        <v/>
      </c>
      <c r="AQ1356" t="str">
        <f>IF(ISNUMBER(FIND("arbeid",Methode_Keuze)),"",IF(ISNUMBER(FIND("arbeid",Methode_Keuze)),"",IF(Tb_Activiteiten[[#This Row],[Arbeidskosten]]=1,Tb_Activiteiten[[#Headers],[Arbeidskosten]],"")))</f>
        <v/>
      </c>
      <c r="AR1356" t="str">
        <f>IF(ISNUMBER(FIND("arbeid",Methode_Keuze)),"",IF(ISNUMBER(FIND("arbeid",Methode_Keuze)),"",IF(Tb_Activiteiten[[#This Row],[Arbeidskosten op basis van IKS]]=1,Tb_Activiteiten[[#Headers],[Arbeidskosten op basis van IKS]],"")))</f>
        <v/>
      </c>
      <c r="AS1356" t="str">
        <f>IF(ISNUMBER(FIND("overige",Methode_Keuze)),"",IF(Tb_Activiteiten[[#This Row],[Kosten derden exclusief btw]]=1,Tb_Activiteiten[[#Headers],[Kosten derden exclusief btw]],""))</f>
        <v/>
      </c>
      <c r="AT1356" t="str">
        <f>IF(ISNUMBER(FIND("overige",Methode_Keuze)),"",IF(Tb_Activiteiten[[#This Row],[Niet verrekenbare btw]]=1,Tb_Activiteiten[[#Headers],[Niet verrekenbare btw]],""))</f>
        <v/>
      </c>
      <c r="AU1356" t="str">
        <f>IF(ISNUMBER(FIND("overige",Methode_Keuze)),"",IF(Tb_Activiteiten[[#This Row],[Grondkosten]]=1,Tb_Activiteiten[[#Headers],[Grondkosten]],""))</f>
        <v/>
      </c>
      <c r="AV1356" t="str">
        <f>IF(ISNUMBER(FIND("overige",Methode_Keuze)),"",IF(Tb_Activiteiten[[#This Row],[Bijdrage in natura (overige)]]=1,Tb_Activiteiten[[#Headers],[Bijdrage in natura (overige)]],""))</f>
        <v/>
      </c>
      <c r="AW1356" t="str">
        <f>IF(ISNUMBER(FIND("overige",Methode_Keuze)),"",IF(Tb_Activiteiten[[#This Row],[Bijdrage in natura (vrijwilligers)]]=1,Tb_Activiteiten[[#Headers],[Bijdrage in natura (vrijwilligers)]],""))</f>
        <v/>
      </c>
      <c r="AX1356" t="str">
        <f>IF(ISNUMBER(FIND("overige",Methode_Keuze)),"",IF(Tb_Activiteiten[[#This Row],[Afschrijvingskosten]]=1,Tb_Activiteiten[[#Headers],[Afschrijvingskosten]],""))</f>
        <v/>
      </c>
      <c r="AY1356" t="str">
        <f>IF(ISNUMBER(FIND("overige",Methode_Keuze)),"",IF(Tb_Activiteiten[[#This Row],[Vergoeding]]=1,Tb_Activiteiten[[#Headers],[Vergoeding]],""))</f>
        <v/>
      </c>
      <c r="AZ1356" t="str">
        <f>IF(ISNUMBER(FIND("arbeid",Methode_Keuze)),"",IF(Tb_Activiteiten[[#This Row],[Arbeidskosten - vast tarief (excl eigen arbeid)]]=1,Tb_Activiteiten[[#Headers],[Arbeidskosten - vast tarief (excl eigen arbeid)]],""))</f>
        <v/>
      </c>
      <c r="BA1356" t="str">
        <f>IF(ISNUMBER(FIND("overige",Methode_Keuze)),"",IF(Tb_Activiteiten[[#This Row],[Overige kosten]]=1,Tb_Activiteiten[[#Headers],[Overige kosten]],""))</f>
        <v/>
      </c>
    </row>
    <row r="1357" spans="15:53" x14ac:dyDescent="0.25">
      <c r="O1357" s="56"/>
      <c r="Q1357" t="str">
        <f>IFERROR(IF(VLOOKUP(Tb_Activiteiten[[#This Row],[Openstelling]],Tb_Openstelling[],2,0)=1,1,""),"")</f>
        <v/>
      </c>
      <c r="AK1357" t="str">
        <f>IF(ISNUMBER(FIND("arbeid",Methode_Keuze)),"",IF(ISNUMBER(FIND("arbeid",Methode_Keuze)),"",IF(Tb_Activiteiten[[#This Row],[Loonkosten]]=1,Tb_Activiteiten[[#Headers],[Loonkosten]],"")))</f>
        <v/>
      </c>
      <c r="AL1357" t="str">
        <f>IF(ISNUMBER(FIND("arbeid",Methode_Keuze)),"",IF(ISNUMBER(FIND("arbeid",Methode_Keuze)),"",IF(Tb_Activiteiten[[#This Row],[Eigen arbeid]]=1,Tb_Activiteiten[[#Headers],[Eigen arbeid]],"")))</f>
        <v/>
      </c>
      <c r="AM1357" t="str">
        <f>IF(ISNUMBER(FIND("arbeid",Methode_Keuze)),"",IF(ISNUMBER(FIND("arbeid",Methode_Keuze)),"",IF(Tb_Activiteiten[[#This Row],[Projectmedewerker]]=1,Tb_Activiteiten[[#Headers],[Projectmedewerker]],"")))</f>
        <v/>
      </c>
      <c r="AN1357" t="str">
        <f>IF(ISNUMBER(FIND("arbeid",Methode_Keuze)),"",IF(ISNUMBER(FIND("arbeid",Methode_Keuze)),"",IF(Tb_Activiteiten[[#This Row],[Landbouwer]]=1,Tb_Activiteiten[[#Headers],[Landbouwer]],"")))</f>
        <v/>
      </c>
      <c r="AO1357" t="str">
        <f>IF(ISNUMBER(FIND("arbeid",Methode_Keuze)),"",IF(ISNUMBER(FIND("arbeid",Methode_Keuze)),"",IF(Tb_Activiteiten[[#This Row],[Adviseur]]=1,Tb_Activiteiten[[#Headers],[Adviseur]],"")))</f>
        <v/>
      </c>
      <c r="AP1357" t="str">
        <f>IF(ISNUMBER(FIND("arbeid",Methode_Keuze)),"",IF(ISNUMBER(FIND("arbeid",Methode_Keuze)),"",IF(Tb_Activiteiten[[#This Row],[Projectleider/Expert]]=1,Tb_Activiteiten[[#Headers],[Projectleider/Expert]],"")))</f>
        <v/>
      </c>
      <c r="AQ1357" t="str">
        <f>IF(ISNUMBER(FIND("arbeid",Methode_Keuze)),"",IF(ISNUMBER(FIND("arbeid",Methode_Keuze)),"",IF(Tb_Activiteiten[[#This Row],[Arbeidskosten]]=1,Tb_Activiteiten[[#Headers],[Arbeidskosten]],"")))</f>
        <v/>
      </c>
      <c r="AR1357" t="str">
        <f>IF(ISNUMBER(FIND("arbeid",Methode_Keuze)),"",IF(ISNUMBER(FIND("arbeid",Methode_Keuze)),"",IF(Tb_Activiteiten[[#This Row],[Arbeidskosten op basis van IKS]]=1,Tb_Activiteiten[[#Headers],[Arbeidskosten op basis van IKS]],"")))</f>
        <v/>
      </c>
      <c r="AS1357" t="str">
        <f>IF(ISNUMBER(FIND("overige",Methode_Keuze)),"",IF(Tb_Activiteiten[[#This Row],[Kosten derden exclusief btw]]=1,Tb_Activiteiten[[#Headers],[Kosten derden exclusief btw]],""))</f>
        <v/>
      </c>
      <c r="AT1357" t="str">
        <f>IF(ISNUMBER(FIND("overige",Methode_Keuze)),"",IF(Tb_Activiteiten[[#This Row],[Niet verrekenbare btw]]=1,Tb_Activiteiten[[#Headers],[Niet verrekenbare btw]],""))</f>
        <v/>
      </c>
      <c r="AU1357" t="str">
        <f>IF(ISNUMBER(FIND("overige",Methode_Keuze)),"",IF(Tb_Activiteiten[[#This Row],[Grondkosten]]=1,Tb_Activiteiten[[#Headers],[Grondkosten]],""))</f>
        <v/>
      </c>
      <c r="AV1357" t="str">
        <f>IF(ISNUMBER(FIND("overige",Methode_Keuze)),"",IF(Tb_Activiteiten[[#This Row],[Bijdrage in natura (overige)]]=1,Tb_Activiteiten[[#Headers],[Bijdrage in natura (overige)]],""))</f>
        <v/>
      </c>
      <c r="AW1357" t="str">
        <f>IF(ISNUMBER(FIND("overige",Methode_Keuze)),"",IF(Tb_Activiteiten[[#This Row],[Bijdrage in natura (vrijwilligers)]]=1,Tb_Activiteiten[[#Headers],[Bijdrage in natura (vrijwilligers)]],""))</f>
        <v/>
      </c>
      <c r="AX1357" t="str">
        <f>IF(ISNUMBER(FIND("overige",Methode_Keuze)),"",IF(Tb_Activiteiten[[#This Row],[Afschrijvingskosten]]=1,Tb_Activiteiten[[#Headers],[Afschrijvingskosten]],""))</f>
        <v/>
      </c>
      <c r="AY1357" t="str">
        <f>IF(ISNUMBER(FIND("overige",Methode_Keuze)),"",IF(Tb_Activiteiten[[#This Row],[Vergoeding]]=1,Tb_Activiteiten[[#Headers],[Vergoeding]],""))</f>
        <v/>
      </c>
      <c r="AZ1357" t="str">
        <f>IF(ISNUMBER(FIND("arbeid",Methode_Keuze)),"",IF(Tb_Activiteiten[[#This Row],[Arbeidskosten - vast tarief (excl eigen arbeid)]]=1,Tb_Activiteiten[[#Headers],[Arbeidskosten - vast tarief (excl eigen arbeid)]],""))</f>
        <v/>
      </c>
      <c r="BA1357" t="str">
        <f>IF(ISNUMBER(FIND("overige",Methode_Keuze)),"",IF(Tb_Activiteiten[[#This Row],[Overige kosten]]=1,Tb_Activiteiten[[#Headers],[Overige kosten]],""))</f>
        <v/>
      </c>
    </row>
    <row r="1358" spans="15:53" x14ac:dyDescent="0.25">
      <c r="O1358" s="56"/>
      <c r="Q1358" t="str">
        <f>IFERROR(IF(VLOOKUP(Tb_Activiteiten[[#This Row],[Openstelling]],Tb_Openstelling[],2,0)=1,1,""),"")</f>
        <v/>
      </c>
      <c r="AK1358" t="str">
        <f>IF(ISNUMBER(FIND("arbeid",Methode_Keuze)),"",IF(ISNUMBER(FIND("arbeid",Methode_Keuze)),"",IF(Tb_Activiteiten[[#This Row],[Loonkosten]]=1,Tb_Activiteiten[[#Headers],[Loonkosten]],"")))</f>
        <v/>
      </c>
      <c r="AL1358" t="str">
        <f>IF(ISNUMBER(FIND("arbeid",Methode_Keuze)),"",IF(ISNUMBER(FIND("arbeid",Methode_Keuze)),"",IF(Tb_Activiteiten[[#This Row],[Eigen arbeid]]=1,Tb_Activiteiten[[#Headers],[Eigen arbeid]],"")))</f>
        <v/>
      </c>
      <c r="AM1358" t="str">
        <f>IF(ISNUMBER(FIND("arbeid",Methode_Keuze)),"",IF(ISNUMBER(FIND("arbeid",Methode_Keuze)),"",IF(Tb_Activiteiten[[#This Row],[Projectmedewerker]]=1,Tb_Activiteiten[[#Headers],[Projectmedewerker]],"")))</f>
        <v/>
      </c>
      <c r="AN1358" t="str">
        <f>IF(ISNUMBER(FIND("arbeid",Methode_Keuze)),"",IF(ISNUMBER(FIND("arbeid",Methode_Keuze)),"",IF(Tb_Activiteiten[[#This Row],[Landbouwer]]=1,Tb_Activiteiten[[#Headers],[Landbouwer]],"")))</f>
        <v/>
      </c>
      <c r="AO1358" t="str">
        <f>IF(ISNUMBER(FIND("arbeid",Methode_Keuze)),"",IF(ISNUMBER(FIND("arbeid",Methode_Keuze)),"",IF(Tb_Activiteiten[[#This Row],[Adviseur]]=1,Tb_Activiteiten[[#Headers],[Adviseur]],"")))</f>
        <v/>
      </c>
      <c r="AP1358" t="str">
        <f>IF(ISNUMBER(FIND("arbeid",Methode_Keuze)),"",IF(ISNUMBER(FIND("arbeid",Methode_Keuze)),"",IF(Tb_Activiteiten[[#This Row],[Projectleider/Expert]]=1,Tb_Activiteiten[[#Headers],[Projectleider/Expert]],"")))</f>
        <v/>
      </c>
      <c r="AQ1358" t="str">
        <f>IF(ISNUMBER(FIND("arbeid",Methode_Keuze)),"",IF(ISNUMBER(FIND("arbeid",Methode_Keuze)),"",IF(Tb_Activiteiten[[#This Row],[Arbeidskosten]]=1,Tb_Activiteiten[[#Headers],[Arbeidskosten]],"")))</f>
        <v/>
      </c>
      <c r="AR1358" t="str">
        <f>IF(ISNUMBER(FIND("arbeid",Methode_Keuze)),"",IF(ISNUMBER(FIND("arbeid",Methode_Keuze)),"",IF(Tb_Activiteiten[[#This Row],[Arbeidskosten op basis van IKS]]=1,Tb_Activiteiten[[#Headers],[Arbeidskosten op basis van IKS]],"")))</f>
        <v/>
      </c>
      <c r="AS1358" t="str">
        <f>IF(ISNUMBER(FIND("overige",Methode_Keuze)),"",IF(Tb_Activiteiten[[#This Row],[Kosten derden exclusief btw]]=1,Tb_Activiteiten[[#Headers],[Kosten derden exclusief btw]],""))</f>
        <v/>
      </c>
      <c r="AT1358" t="str">
        <f>IF(ISNUMBER(FIND("overige",Methode_Keuze)),"",IF(Tb_Activiteiten[[#This Row],[Niet verrekenbare btw]]=1,Tb_Activiteiten[[#Headers],[Niet verrekenbare btw]],""))</f>
        <v/>
      </c>
      <c r="AU1358" t="str">
        <f>IF(ISNUMBER(FIND("overige",Methode_Keuze)),"",IF(Tb_Activiteiten[[#This Row],[Grondkosten]]=1,Tb_Activiteiten[[#Headers],[Grondkosten]],""))</f>
        <v/>
      </c>
      <c r="AV1358" t="str">
        <f>IF(ISNUMBER(FIND("overige",Methode_Keuze)),"",IF(Tb_Activiteiten[[#This Row],[Bijdrage in natura (overige)]]=1,Tb_Activiteiten[[#Headers],[Bijdrage in natura (overige)]],""))</f>
        <v/>
      </c>
      <c r="AW1358" t="str">
        <f>IF(ISNUMBER(FIND("overige",Methode_Keuze)),"",IF(Tb_Activiteiten[[#This Row],[Bijdrage in natura (vrijwilligers)]]=1,Tb_Activiteiten[[#Headers],[Bijdrage in natura (vrijwilligers)]],""))</f>
        <v/>
      </c>
      <c r="AX1358" t="str">
        <f>IF(ISNUMBER(FIND("overige",Methode_Keuze)),"",IF(Tb_Activiteiten[[#This Row],[Afschrijvingskosten]]=1,Tb_Activiteiten[[#Headers],[Afschrijvingskosten]],""))</f>
        <v/>
      </c>
      <c r="AY1358" t="str">
        <f>IF(ISNUMBER(FIND("overige",Methode_Keuze)),"",IF(Tb_Activiteiten[[#This Row],[Vergoeding]]=1,Tb_Activiteiten[[#Headers],[Vergoeding]],""))</f>
        <v/>
      </c>
      <c r="AZ1358" t="str">
        <f>IF(ISNUMBER(FIND("arbeid",Methode_Keuze)),"",IF(Tb_Activiteiten[[#This Row],[Arbeidskosten - vast tarief (excl eigen arbeid)]]=1,Tb_Activiteiten[[#Headers],[Arbeidskosten - vast tarief (excl eigen arbeid)]],""))</f>
        <v/>
      </c>
      <c r="BA1358" t="str">
        <f>IF(ISNUMBER(FIND("overige",Methode_Keuze)),"",IF(Tb_Activiteiten[[#This Row],[Overige kosten]]=1,Tb_Activiteiten[[#Headers],[Overige kosten]],""))</f>
        <v/>
      </c>
    </row>
    <row r="1359" spans="15:53" x14ac:dyDescent="0.25">
      <c r="O1359" s="56"/>
      <c r="Q1359" t="str">
        <f>IFERROR(IF(VLOOKUP(Tb_Activiteiten[[#This Row],[Openstelling]],Tb_Openstelling[],2,0)=1,1,""),"")</f>
        <v/>
      </c>
      <c r="AK1359" t="str">
        <f>IF(ISNUMBER(FIND("arbeid",Methode_Keuze)),"",IF(ISNUMBER(FIND("arbeid",Methode_Keuze)),"",IF(Tb_Activiteiten[[#This Row],[Loonkosten]]=1,Tb_Activiteiten[[#Headers],[Loonkosten]],"")))</f>
        <v/>
      </c>
      <c r="AL1359" t="str">
        <f>IF(ISNUMBER(FIND("arbeid",Methode_Keuze)),"",IF(ISNUMBER(FIND("arbeid",Methode_Keuze)),"",IF(Tb_Activiteiten[[#This Row],[Eigen arbeid]]=1,Tb_Activiteiten[[#Headers],[Eigen arbeid]],"")))</f>
        <v/>
      </c>
      <c r="AM1359" t="str">
        <f>IF(ISNUMBER(FIND("arbeid",Methode_Keuze)),"",IF(ISNUMBER(FIND("arbeid",Methode_Keuze)),"",IF(Tb_Activiteiten[[#This Row],[Projectmedewerker]]=1,Tb_Activiteiten[[#Headers],[Projectmedewerker]],"")))</f>
        <v/>
      </c>
      <c r="AN1359" t="str">
        <f>IF(ISNUMBER(FIND("arbeid",Methode_Keuze)),"",IF(ISNUMBER(FIND("arbeid",Methode_Keuze)),"",IF(Tb_Activiteiten[[#This Row],[Landbouwer]]=1,Tb_Activiteiten[[#Headers],[Landbouwer]],"")))</f>
        <v/>
      </c>
      <c r="AO1359" t="str">
        <f>IF(ISNUMBER(FIND("arbeid",Methode_Keuze)),"",IF(ISNUMBER(FIND("arbeid",Methode_Keuze)),"",IF(Tb_Activiteiten[[#This Row],[Adviseur]]=1,Tb_Activiteiten[[#Headers],[Adviseur]],"")))</f>
        <v/>
      </c>
      <c r="AP1359" t="str">
        <f>IF(ISNUMBER(FIND("arbeid",Methode_Keuze)),"",IF(ISNUMBER(FIND("arbeid",Methode_Keuze)),"",IF(Tb_Activiteiten[[#This Row],[Projectleider/Expert]]=1,Tb_Activiteiten[[#Headers],[Projectleider/Expert]],"")))</f>
        <v/>
      </c>
      <c r="AQ1359" t="str">
        <f>IF(ISNUMBER(FIND("arbeid",Methode_Keuze)),"",IF(ISNUMBER(FIND("arbeid",Methode_Keuze)),"",IF(Tb_Activiteiten[[#This Row],[Arbeidskosten]]=1,Tb_Activiteiten[[#Headers],[Arbeidskosten]],"")))</f>
        <v/>
      </c>
      <c r="AR1359" t="str">
        <f>IF(ISNUMBER(FIND("arbeid",Methode_Keuze)),"",IF(ISNUMBER(FIND("arbeid",Methode_Keuze)),"",IF(Tb_Activiteiten[[#This Row],[Arbeidskosten op basis van IKS]]=1,Tb_Activiteiten[[#Headers],[Arbeidskosten op basis van IKS]],"")))</f>
        <v/>
      </c>
      <c r="AS1359" t="str">
        <f>IF(ISNUMBER(FIND("overige",Methode_Keuze)),"",IF(Tb_Activiteiten[[#This Row],[Kosten derden exclusief btw]]=1,Tb_Activiteiten[[#Headers],[Kosten derden exclusief btw]],""))</f>
        <v/>
      </c>
      <c r="AT1359" t="str">
        <f>IF(ISNUMBER(FIND("overige",Methode_Keuze)),"",IF(Tb_Activiteiten[[#This Row],[Niet verrekenbare btw]]=1,Tb_Activiteiten[[#Headers],[Niet verrekenbare btw]],""))</f>
        <v/>
      </c>
      <c r="AU1359" t="str">
        <f>IF(ISNUMBER(FIND("overige",Methode_Keuze)),"",IF(Tb_Activiteiten[[#This Row],[Grondkosten]]=1,Tb_Activiteiten[[#Headers],[Grondkosten]],""))</f>
        <v/>
      </c>
      <c r="AV1359" t="str">
        <f>IF(ISNUMBER(FIND("overige",Methode_Keuze)),"",IF(Tb_Activiteiten[[#This Row],[Bijdrage in natura (overige)]]=1,Tb_Activiteiten[[#Headers],[Bijdrage in natura (overige)]],""))</f>
        <v/>
      </c>
      <c r="AW1359" t="str">
        <f>IF(ISNUMBER(FIND("overige",Methode_Keuze)),"",IF(Tb_Activiteiten[[#This Row],[Bijdrage in natura (vrijwilligers)]]=1,Tb_Activiteiten[[#Headers],[Bijdrage in natura (vrijwilligers)]],""))</f>
        <v/>
      </c>
      <c r="AX1359" t="str">
        <f>IF(ISNUMBER(FIND("overige",Methode_Keuze)),"",IF(Tb_Activiteiten[[#This Row],[Afschrijvingskosten]]=1,Tb_Activiteiten[[#Headers],[Afschrijvingskosten]],""))</f>
        <v/>
      </c>
      <c r="AY1359" t="str">
        <f>IF(ISNUMBER(FIND("overige",Methode_Keuze)),"",IF(Tb_Activiteiten[[#This Row],[Vergoeding]]=1,Tb_Activiteiten[[#Headers],[Vergoeding]],""))</f>
        <v/>
      </c>
      <c r="AZ1359" t="str">
        <f>IF(ISNUMBER(FIND("arbeid",Methode_Keuze)),"",IF(Tb_Activiteiten[[#This Row],[Arbeidskosten - vast tarief (excl eigen arbeid)]]=1,Tb_Activiteiten[[#Headers],[Arbeidskosten - vast tarief (excl eigen arbeid)]],""))</f>
        <v/>
      </c>
      <c r="BA1359" t="str">
        <f>IF(ISNUMBER(FIND("overige",Methode_Keuze)),"",IF(Tb_Activiteiten[[#This Row],[Overige kosten]]=1,Tb_Activiteiten[[#Headers],[Overige kosten]],""))</f>
        <v/>
      </c>
    </row>
    <row r="1360" spans="15:53" x14ac:dyDescent="0.25">
      <c r="O1360" s="56"/>
      <c r="Q1360" t="str">
        <f>IFERROR(IF(VLOOKUP(Tb_Activiteiten[[#This Row],[Openstelling]],Tb_Openstelling[],2,0)=1,1,""),"")</f>
        <v/>
      </c>
      <c r="AK1360" t="str">
        <f>IF(ISNUMBER(FIND("arbeid",Methode_Keuze)),"",IF(ISNUMBER(FIND("arbeid",Methode_Keuze)),"",IF(Tb_Activiteiten[[#This Row],[Loonkosten]]=1,Tb_Activiteiten[[#Headers],[Loonkosten]],"")))</f>
        <v/>
      </c>
      <c r="AL1360" t="str">
        <f>IF(ISNUMBER(FIND("arbeid",Methode_Keuze)),"",IF(ISNUMBER(FIND("arbeid",Methode_Keuze)),"",IF(Tb_Activiteiten[[#This Row],[Eigen arbeid]]=1,Tb_Activiteiten[[#Headers],[Eigen arbeid]],"")))</f>
        <v/>
      </c>
      <c r="AM1360" t="str">
        <f>IF(ISNUMBER(FIND("arbeid",Methode_Keuze)),"",IF(ISNUMBER(FIND("arbeid",Methode_Keuze)),"",IF(Tb_Activiteiten[[#This Row],[Projectmedewerker]]=1,Tb_Activiteiten[[#Headers],[Projectmedewerker]],"")))</f>
        <v/>
      </c>
      <c r="AN1360" t="str">
        <f>IF(ISNUMBER(FIND("arbeid",Methode_Keuze)),"",IF(ISNUMBER(FIND("arbeid",Methode_Keuze)),"",IF(Tb_Activiteiten[[#This Row],[Landbouwer]]=1,Tb_Activiteiten[[#Headers],[Landbouwer]],"")))</f>
        <v/>
      </c>
      <c r="AO1360" t="str">
        <f>IF(ISNUMBER(FIND("arbeid",Methode_Keuze)),"",IF(ISNUMBER(FIND("arbeid",Methode_Keuze)),"",IF(Tb_Activiteiten[[#This Row],[Adviseur]]=1,Tb_Activiteiten[[#Headers],[Adviseur]],"")))</f>
        <v/>
      </c>
      <c r="AP1360" t="str">
        <f>IF(ISNUMBER(FIND("arbeid",Methode_Keuze)),"",IF(ISNUMBER(FIND("arbeid",Methode_Keuze)),"",IF(Tb_Activiteiten[[#This Row],[Projectleider/Expert]]=1,Tb_Activiteiten[[#Headers],[Projectleider/Expert]],"")))</f>
        <v/>
      </c>
      <c r="AQ1360" t="str">
        <f>IF(ISNUMBER(FIND("arbeid",Methode_Keuze)),"",IF(ISNUMBER(FIND("arbeid",Methode_Keuze)),"",IF(Tb_Activiteiten[[#This Row],[Arbeidskosten]]=1,Tb_Activiteiten[[#Headers],[Arbeidskosten]],"")))</f>
        <v/>
      </c>
      <c r="AR1360" t="str">
        <f>IF(ISNUMBER(FIND("arbeid",Methode_Keuze)),"",IF(ISNUMBER(FIND("arbeid",Methode_Keuze)),"",IF(Tb_Activiteiten[[#This Row],[Arbeidskosten op basis van IKS]]=1,Tb_Activiteiten[[#Headers],[Arbeidskosten op basis van IKS]],"")))</f>
        <v/>
      </c>
      <c r="AS1360" t="str">
        <f>IF(ISNUMBER(FIND("overige",Methode_Keuze)),"",IF(Tb_Activiteiten[[#This Row],[Kosten derden exclusief btw]]=1,Tb_Activiteiten[[#Headers],[Kosten derden exclusief btw]],""))</f>
        <v/>
      </c>
      <c r="AT1360" t="str">
        <f>IF(ISNUMBER(FIND("overige",Methode_Keuze)),"",IF(Tb_Activiteiten[[#This Row],[Niet verrekenbare btw]]=1,Tb_Activiteiten[[#Headers],[Niet verrekenbare btw]],""))</f>
        <v/>
      </c>
      <c r="AU1360" t="str">
        <f>IF(ISNUMBER(FIND("overige",Methode_Keuze)),"",IF(Tb_Activiteiten[[#This Row],[Grondkosten]]=1,Tb_Activiteiten[[#Headers],[Grondkosten]],""))</f>
        <v/>
      </c>
      <c r="AV1360" t="str">
        <f>IF(ISNUMBER(FIND("overige",Methode_Keuze)),"",IF(Tb_Activiteiten[[#This Row],[Bijdrage in natura (overige)]]=1,Tb_Activiteiten[[#Headers],[Bijdrage in natura (overige)]],""))</f>
        <v/>
      </c>
      <c r="AW1360" t="str">
        <f>IF(ISNUMBER(FIND("overige",Methode_Keuze)),"",IF(Tb_Activiteiten[[#This Row],[Bijdrage in natura (vrijwilligers)]]=1,Tb_Activiteiten[[#Headers],[Bijdrage in natura (vrijwilligers)]],""))</f>
        <v/>
      </c>
      <c r="AX1360" t="str">
        <f>IF(ISNUMBER(FIND("overige",Methode_Keuze)),"",IF(Tb_Activiteiten[[#This Row],[Afschrijvingskosten]]=1,Tb_Activiteiten[[#Headers],[Afschrijvingskosten]],""))</f>
        <v/>
      </c>
      <c r="AY1360" t="str">
        <f>IF(ISNUMBER(FIND("overige",Methode_Keuze)),"",IF(Tb_Activiteiten[[#This Row],[Vergoeding]]=1,Tb_Activiteiten[[#Headers],[Vergoeding]],""))</f>
        <v/>
      </c>
      <c r="AZ1360" t="str">
        <f>IF(ISNUMBER(FIND("arbeid",Methode_Keuze)),"",IF(Tb_Activiteiten[[#This Row],[Arbeidskosten - vast tarief (excl eigen arbeid)]]=1,Tb_Activiteiten[[#Headers],[Arbeidskosten - vast tarief (excl eigen arbeid)]],""))</f>
        <v/>
      </c>
      <c r="BA1360" t="str">
        <f>IF(ISNUMBER(FIND("overige",Methode_Keuze)),"",IF(Tb_Activiteiten[[#This Row],[Overige kosten]]=1,Tb_Activiteiten[[#Headers],[Overige kosten]],""))</f>
        <v/>
      </c>
    </row>
    <row r="1361" spans="15:53" x14ac:dyDescent="0.25">
      <c r="O1361" s="56"/>
      <c r="Q1361" t="str">
        <f>IFERROR(IF(VLOOKUP(Tb_Activiteiten[[#This Row],[Openstelling]],Tb_Openstelling[],2,0)=1,1,""),"")</f>
        <v/>
      </c>
      <c r="AK1361" t="str">
        <f>IF(ISNUMBER(FIND("arbeid",Methode_Keuze)),"",IF(ISNUMBER(FIND("arbeid",Methode_Keuze)),"",IF(Tb_Activiteiten[[#This Row],[Loonkosten]]=1,Tb_Activiteiten[[#Headers],[Loonkosten]],"")))</f>
        <v/>
      </c>
      <c r="AL1361" t="str">
        <f>IF(ISNUMBER(FIND("arbeid",Methode_Keuze)),"",IF(ISNUMBER(FIND("arbeid",Methode_Keuze)),"",IF(Tb_Activiteiten[[#This Row],[Eigen arbeid]]=1,Tb_Activiteiten[[#Headers],[Eigen arbeid]],"")))</f>
        <v/>
      </c>
      <c r="AM1361" t="str">
        <f>IF(ISNUMBER(FIND("arbeid",Methode_Keuze)),"",IF(ISNUMBER(FIND("arbeid",Methode_Keuze)),"",IF(Tb_Activiteiten[[#This Row],[Projectmedewerker]]=1,Tb_Activiteiten[[#Headers],[Projectmedewerker]],"")))</f>
        <v/>
      </c>
      <c r="AN1361" t="str">
        <f>IF(ISNUMBER(FIND("arbeid",Methode_Keuze)),"",IF(ISNUMBER(FIND("arbeid",Methode_Keuze)),"",IF(Tb_Activiteiten[[#This Row],[Landbouwer]]=1,Tb_Activiteiten[[#Headers],[Landbouwer]],"")))</f>
        <v/>
      </c>
      <c r="AO1361" t="str">
        <f>IF(ISNUMBER(FIND("arbeid",Methode_Keuze)),"",IF(ISNUMBER(FIND("arbeid",Methode_Keuze)),"",IF(Tb_Activiteiten[[#This Row],[Adviseur]]=1,Tb_Activiteiten[[#Headers],[Adviseur]],"")))</f>
        <v/>
      </c>
      <c r="AP1361" t="str">
        <f>IF(ISNUMBER(FIND("arbeid",Methode_Keuze)),"",IF(ISNUMBER(FIND("arbeid",Methode_Keuze)),"",IF(Tb_Activiteiten[[#This Row],[Projectleider/Expert]]=1,Tb_Activiteiten[[#Headers],[Projectleider/Expert]],"")))</f>
        <v/>
      </c>
      <c r="AQ1361" t="str">
        <f>IF(ISNUMBER(FIND("arbeid",Methode_Keuze)),"",IF(ISNUMBER(FIND("arbeid",Methode_Keuze)),"",IF(Tb_Activiteiten[[#This Row],[Arbeidskosten]]=1,Tb_Activiteiten[[#Headers],[Arbeidskosten]],"")))</f>
        <v/>
      </c>
      <c r="AR1361" t="str">
        <f>IF(ISNUMBER(FIND("arbeid",Methode_Keuze)),"",IF(ISNUMBER(FIND("arbeid",Methode_Keuze)),"",IF(Tb_Activiteiten[[#This Row],[Arbeidskosten op basis van IKS]]=1,Tb_Activiteiten[[#Headers],[Arbeidskosten op basis van IKS]],"")))</f>
        <v/>
      </c>
      <c r="AS1361" t="str">
        <f>IF(ISNUMBER(FIND("overige",Methode_Keuze)),"",IF(Tb_Activiteiten[[#This Row],[Kosten derden exclusief btw]]=1,Tb_Activiteiten[[#Headers],[Kosten derden exclusief btw]],""))</f>
        <v/>
      </c>
      <c r="AT1361" t="str">
        <f>IF(ISNUMBER(FIND("overige",Methode_Keuze)),"",IF(Tb_Activiteiten[[#This Row],[Niet verrekenbare btw]]=1,Tb_Activiteiten[[#Headers],[Niet verrekenbare btw]],""))</f>
        <v/>
      </c>
      <c r="AU1361" t="str">
        <f>IF(ISNUMBER(FIND("overige",Methode_Keuze)),"",IF(Tb_Activiteiten[[#This Row],[Grondkosten]]=1,Tb_Activiteiten[[#Headers],[Grondkosten]],""))</f>
        <v/>
      </c>
      <c r="AV1361" t="str">
        <f>IF(ISNUMBER(FIND("overige",Methode_Keuze)),"",IF(Tb_Activiteiten[[#This Row],[Bijdrage in natura (overige)]]=1,Tb_Activiteiten[[#Headers],[Bijdrage in natura (overige)]],""))</f>
        <v/>
      </c>
      <c r="AW1361" t="str">
        <f>IF(ISNUMBER(FIND("overige",Methode_Keuze)),"",IF(Tb_Activiteiten[[#This Row],[Bijdrage in natura (vrijwilligers)]]=1,Tb_Activiteiten[[#Headers],[Bijdrage in natura (vrijwilligers)]],""))</f>
        <v/>
      </c>
      <c r="AX1361" t="str">
        <f>IF(ISNUMBER(FIND("overige",Methode_Keuze)),"",IF(Tb_Activiteiten[[#This Row],[Afschrijvingskosten]]=1,Tb_Activiteiten[[#Headers],[Afschrijvingskosten]],""))</f>
        <v/>
      </c>
      <c r="AY1361" t="str">
        <f>IF(ISNUMBER(FIND("overige",Methode_Keuze)),"",IF(Tb_Activiteiten[[#This Row],[Vergoeding]]=1,Tb_Activiteiten[[#Headers],[Vergoeding]],""))</f>
        <v/>
      </c>
      <c r="AZ1361" t="str">
        <f>IF(ISNUMBER(FIND("arbeid",Methode_Keuze)),"",IF(Tb_Activiteiten[[#This Row],[Arbeidskosten - vast tarief (excl eigen arbeid)]]=1,Tb_Activiteiten[[#Headers],[Arbeidskosten - vast tarief (excl eigen arbeid)]],""))</f>
        <v/>
      </c>
      <c r="BA1361" t="str">
        <f>IF(ISNUMBER(FIND("overige",Methode_Keuze)),"",IF(Tb_Activiteiten[[#This Row],[Overige kosten]]=1,Tb_Activiteiten[[#Headers],[Overige kosten]],""))</f>
        <v/>
      </c>
    </row>
    <row r="1362" spans="15:53" x14ac:dyDescent="0.25">
      <c r="O1362" s="56"/>
      <c r="Q1362" t="str">
        <f>IFERROR(IF(VLOOKUP(Tb_Activiteiten[[#This Row],[Openstelling]],Tb_Openstelling[],2,0)=1,1,""),"")</f>
        <v/>
      </c>
      <c r="AK1362" t="str">
        <f>IF(ISNUMBER(FIND("arbeid",Methode_Keuze)),"",IF(ISNUMBER(FIND("arbeid",Methode_Keuze)),"",IF(Tb_Activiteiten[[#This Row],[Loonkosten]]=1,Tb_Activiteiten[[#Headers],[Loonkosten]],"")))</f>
        <v/>
      </c>
      <c r="AL1362" t="str">
        <f>IF(ISNUMBER(FIND("arbeid",Methode_Keuze)),"",IF(ISNUMBER(FIND("arbeid",Methode_Keuze)),"",IF(Tb_Activiteiten[[#This Row],[Eigen arbeid]]=1,Tb_Activiteiten[[#Headers],[Eigen arbeid]],"")))</f>
        <v/>
      </c>
      <c r="AM1362" t="str">
        <f>IF(ISNUMBER(FIND("arbeid",Methode_Keuze)),"",IF(ISNUMBER(FIND("arbeid",Methode_Keuze)),"",IF(Tb_Activiteiten[[#This Row],[Projectmedewerker]]=1,Tb_Activiteiten[[#Headers],[Projectmedewerker]],"")))</f>
        <v/>
      </c>
      <c r="AN1362" t="str">
        <f>IF(ISNUMBER(FIND("arbeid",Methode_Keuze)),"",IF(ISNUMBER(FIND("arbeid",Methode_Keuze)),"",IF(Tb_Activiteiten[[#This Row],[Landbouwer]]=1,Tb_Activiteiten[[#Headers],[Landbouwer]],"")))</f>
        <v/>
      </c>
      <c r="AO1362" t="str">
        <f>IF(ISNUMBER(FIND("arbeid",Methode_Keuze)),"",IF(ISNUMBER(FIND("arbeid",Methode_Keuze)),"",IF(Tb_Activiteiten[[#This Row],[Adviseur]]=1,Tb_Activiteiten[[#Headers],[Adviseur]],"")))</f>
        <v/>
      </c>
      <c r="AP1362" t="str">
        <f>IF(ISNUMBER(FIND("arbeid",Methode_Keuze)),"",IF(ISNUMBER(FIND("arbeid",Methode_Keuze)),"",IF(Tb_Activiteiten[[#This Row],[Projectleider/Expert]]=1,Tb_Activiteiten[[#Headers],[Projectleider/Expert]],"")))</f>
        <v/>
      </c>
      <c r="AQ1362" t="str">
        <f>IF(ISNUMBER(FIND("arbeid",Methode_Keuze)),"",IF(ISNUMBER(FIND("arbeid",Methode_Keuze)),"",IF(Tb_Activiteiten[[#This Row],[Arbeidskosten]]=1,Tb_Activiteiten[[#Headers],[Arbeidskosten]],"")))</f>
        <v/>
      </c>
      <c r="AR1362" t="str">
        <f>IF(ISNUMBER(FIND("arbeid",Methode_Keuze)),"",IF(ISNUMBER(FIND("arbeid",Methode_Keuze)),"",IF(Tb_Activiteiten[[#This Row],[Arbeidskosten op basis van IKS]]=1,Tb_Activiteiten[[#Headers],[Arbeidskosten op basis van IKS]],"")))</f>
        <v/>
      </c>
      <c r="AS1362" t="str">
        <f>IF(ISNUMBER(FIND("overige",Methode_Keuze)),"",IF(Tb_Activiteiten[[#This Row],[Kosten derden exclusief btw]]=1,Tb_Activiteiten[[#Headers],[Kosten derden exclusief btw]],""))</f>
        <v/>
      </c>
      <c r="AT1362" t="str">
        <f>IF(ISNUMBER(FIND("overige",Methode_Keuze)),"",IF(Tb_Activiteiten[[#This Row],[Niet verrekenbare btw]]=1,Tb_Activiteiten[[#Headers],[Niet verrekenbare btw]],""))</f>
        <v/>
      </c>
      <c r="AU1362" t="str">
        <f>IF(ISNUMBER(FIND("overige",Methode_Keuze)),"",IF(Tb_Activiteiten[[#This Row],[Grondkosten]]=1,Tb_Activiteiten[[#Headers],[Grondkosten]],""))</f>
        <v/>
      </c>
      <c r="AV1362" t="str">
        <f>IF(ISNUMBER(FIND("overige",Methode_Keuze)),"",IF(Tb_Activiteiten[[#This Row],[Bijdrage in natura (overige)]]=1,Tb_Activiteiten[[#Headers],[Bijdrage in natura (overige)]],""))</f>
        <v/>
      </c>
      <c r="AW1362" t="str">
        <f>IF(ISNUMBER(FIND("overige",Methode_Keuze)),"",IF(Tb_Activiteiten[[#This Row],[Bijdrage in natura (vrijwilligers)]]=1,Tb_Activiteiten[[#Headers],[Bijdrage in natura (vrijwilligers)]],""))</f>
        <v/>
      </c>
      <c r="AX1362" t="str">
        <f>IF(ISNUMBER(FIND("overige",Methode_Keuze)),"",IF(Tb_Activiteiten[[#This Row],[Afschrijvingskosten]]=1,Tb_Activiteiten[[#Headers],[Afschrijvingskosten]],""))</f>
        <v/>
      </c>
      <c r="AY1362" t="str">
        <f>IF(ISNUMBER(FIND("overige",Methode_Keuze)),"",IF(Tb_Activiteiten[[#This Row],[Vergoeding]]=1,Tb_Activiteiten[[#Headers],[Vergoeding]],""))</f>
        <v/>
      </c>
      <c r="AZ1362" t="str">
        <f>IF(ISNUMBER(FIND("arbeid",Methode_Keuze)),"",IF(Tb_Activiteiten[[#This Row],[Arbeidskosten - vast tarief (excl eigen arbeid)]]=1,Tb_Activiteiten[[#Headers],[Arbeidskosten - vast tarief (excl eigen arbeid)]],""))</f>
        <v/>
      </c>
      <c r="BA1362" t="str">
        <f>IF(ISNUMBER(FIND("overige",Methode_Keuze)),"",IF(Tb_Activiteiten[[#This Row],[Overige kosten]]=1,Tb_Activiteiten[[#Headers],[Overige kosten]],""))</f>
        <v/>
      </c>
    </row>
    <row r="1363" spans="15:53" x14ac:dyDescent="0.25">
      <c r="O1363" s="56"/>
      <c r="Q1363" t="str">
        <f>IFERROR(IF(VLOOKUP(Tb_Activiteiten[[#This Row],[Openstelling]],Tb_Openstelling[],2,0)=1,1,""),"")</f>
        <v/>
      </c>
      <c r="AK1363" t="str">
        <f>IF(ISNUMBER(FIND("arbeid",Methode_Keuze)),"",IF(ISNUMBER(FIND("arbeid",Methode_Keuze)),"",IF(Tb_Activiteiten[[#This Row],[Loonkosten]]=1,Tb_Activiteiten[[#Headers],[Loonkosten]],"")))</f>
        <v/>
      </c>
      <c r="AL1363" t="str">
        <f>IF(ISNUMBER(FIND("arbeid",Methode_Keuze)),"",IF(ISNUMBER(FIND("arbeid",Methode_Keuze)),"",IF(Tb_Activiteiten[[#This Row],[Eigen arbeid]]=1,Tb_Activiteiten[[#Headers],[Eigen arbeid]],"")))</f>
        <v/>
      </c>
      <c r="AM1363" t="str">
        <f>IF(ISNUMBER(FIND("arbeid",Methode_Keuze)),"",IF(ISNUMBER(FIND("arbeid",Methode_Keuze)),"",IF(Tb_Activiteiten[[#This Row],[Projectmedewerker]]=1,Tb_Activiteiten[[#Headers],[Projectmedewerker]],"")))</f>
        <v/>
      </c>
      <c r="AN1363" t="str">
        <f>IF(ISNUMBER(FIND("arbeid",Methode_Keuze)),"",IF(ISNUMBER(FIND("arbeid",Methode_Keuze)),"",IF(Tb_Activiteiten[[#This Row],[Landbouwer]]=1,Tb_Activiteiten[[#Headers],[Landbouwer]],"")))</f>
        <v/>
      </c>
      <c r="AO1363" t="str">
        <f>IF(ISNUMBER(FIND("arbeid",Methode_Keuze)),"",IF(ISNUMBER(FIND("arbeid",Methode_Keuze)),"",IF(Tb_Activiteiten[[#This Row],[Adviseur]]=1,Tb_Activiteiten[[#Headers],[Adviseur]],"")))</f>
        <v/>
      </c>
      <c r="AP1363" t="str">
        <f>IF(ISNUMBER(FIND("arbeid",Methode_Keuze)),"",IF(ISNUMBER(FIND("arbeid",Methode_Keuze)),"",IF(Tb_Activiteiten[[#This Row],[Projectleider/Expert]]=1,Tb_Activiteiten[[#Headers],[Projectleider/Expert]],"")))</f>
        <v/>
      </c>
      <c r="AQ1363" t="str">
        <f>IF(ISNUMBER(FIND("arbeid",Methode_Keuze)),"",IF(ISNUMBER(FIND("arbeid",Methode_Keuze)),"",IF(Tb_Activiteiten[[#This Row],[Arbeidskosten]]=1,Tb_Activiteiten[[#Headers],[Arbeidskosten]],"")))</f>
        <v/>
      </c>
      <c r="AR1363" t="str">
        <f>IF(ISNUMBER(FIND("arbeid",Methode_Keuze)),"",IF(ISNUMBER(FIND("arbeid",Methode_Keuze)),"",IF(Tb_Activiteiten[[#This Row],[Arbeidskosten op basis van IKS]]=1,Tb_Activiteiten[[#Headers],[Arbeidskosten op basis van IKS]],"")))</f>
        <v/>
      </c>
      <c r="AS1363" t="str">
        <f>IF(ISNUMBER(FIND("overige",Methode_Keuze)),"",IF(Tb_Activiteiten[[#This Row],[Kosten derden exclusief btw]]=1,Tb_Activiteiten[[#Headers],[Kosten derden exclusief btw]],""))</f>
        <v/>
      </c>
      <c r="AT1363" t="str">
        <f>IF(ISNUMBER(FIND("overige",Methode_Keuze)),"",IF(Tb_Activiteiten[[#This Row],[Niet verrekenbare btw]]=1,Tb_Activiteiten[[#Headers],[Niet verrekenbare btw]],""))</f>
        <v/>
      </c>
      <c r="AU1363" t="str">
        <f>IF(ISNUMBER(FIND("overige",Methode_Keuze)),"",IF(Tb_Activiteiten[[#This Row],[Grondkosten]]=1,Tb_Activiteiten[[#Headers],[Grondkosten]],""))</f>
        <v/>
      </c>
      <c r="AV1363" t="str">
        <f>IF(ISNUMBER(FIND("overige",Methode_Keuze)),"",IF(Tb_Activiteiten[[#This Row],[Bijdrage in natura (overige)]]=1,Tb_Activiteiten[[#Headers],[Bijdrage in natura (overige)]],""))</f>
        <v/>
      </c>
      <c r="AW1363" t="str">
        <f>IF(ISNUMBER(FIND("overige",Methode_Keuze)),"",IF(Tb_Activiteiten[[#This Row],[Bijdrage in natura (vrijwilligers)]]=1,Tb_Activiteiten[[#Headers],[Bijdrage in natura (vrijwilligers)]],""))</f>
        <v/>
      </c>
      <c r="AX1363" t="str">
        <f>IF(ISNUMBER(FIND("overige",Methode_Keuze)),"",IF(Tb_Activiteiten[[#This Row],[Afschrijvingskosten]]=1,Tb_Activiteiten[[#Headers],[Afschrijvingskosten]],""))</f>
        <v/>
      </c>
      <c r="AY1363" t="str">
        <f>IF(ISNUMBER(FIND("overige",Methode_Keuze)),"",IF(Tb_Activiteiten[[#This Row],[Vergoeding]]=1,Tb_Activiteiten[[#Headers],[Vergoeding]],""))</f>
        <v/>
      </c>
      <c r="AZ1363" t="str">
        <f>IF(ISNUMBER(FIND("arbeid",Methode_Keuze)),"",IF(Tb_Activiteiten[[#This Row],[Arbeidskosten - vast tarief (excl eigen arbeid)]]=1,Tb_Activiteiten[[#Headers],[Arbeidskosten - vast tarief (excl eigen arbeid)]],""))</f>
        <v/>
      </c>
      <c r="BA1363" t="str">
        <f>IF(ISNUMBER(FIND("overige",Methode_Keuze)),"",IF(Tb_Activiteiten[[#This Row],[Overige kosten]]=1,Tb_Activiteiten[[#Headers],[Overige kosten]],""))</f>
        <v/>
      </c>
    </row>
    <row r="1364" spans="15:53" x14ac:dyDescent="0.25">
      <c r="O1364" s="56"/>
      <c r="Q1364" t="str">
        <f>IFERROR(IF(VLOOKUP(Tb_Activiteiten[[#This Row],[Openstelling]],Tb_Openstelling[],2,0)=1,1,""),"")</f>
        <v/>
      </c>
      <c r="AK1364" t="str">
        <f>IF(ISNUMBER(FIND("arbeid",Methode_Keuze)),"",IF(ISNUMBER(FIND("arbeid",Methode_Keuze)),"",IF(Tb_Activiteiten[[#This Row],[Loonkosten]]=1,Tb_Activiteiten[[#Headers],[Loonkosten]],"")))</f>
        <v/>
      </c>
      <c r="AL1364" t="str">
        <f>IF(ISNUMBER(FIND("arbeid",Methode_Keuze)),"",IF(ISNUMBER(FIND("arbeid",Methode_Keuze)),"",IF(Tb_Activiteiten[[#This Row],[Eigen arbeid]]=1,Tb_Activiteiten[[#Headers],[Eigen arbeid]],"")))</f>
        <v/>
      </c>
      <c r="AM1364" t="str">
        <f>IF(ISNUMBER(FIND("arbeid",Methode_Keuze)),"",IF(ISNUMBER(FIND("arbeid",Methode_Keuze)),"",IF(Tb_Activiteiten[[#This Row],[Projectmedewerker]]=1,Tb_Activiteiten[[#Headers],[Projectmedewerker]],"")))</f>
        <v/>
      </c>
      <c r="AN1364" t="str">
        <f>IF(ISNUMBER(FIND("arbeid",Methode_Keuze)),"",IF(ISNUMBER(FIND("arbeid",Methode_Keuze)),"",IF(Tb_Activiteiten[[#This Row],[Landbouwer]]=1,Tb_Activiteiten[[#Headers],[Landbouwer]],"")))</f>
        <v/>
      </c>
      <c r="AO1364" t="str">
        <f>IF(ISNUMBER(FIND("arbeid",Methode_Keuze)),"",IF(ISNUMBER(FIND("arbeid",Methode_Keuze)),"",IF(Tb_Activiteiten[[#This Row],[Adviseur]]=1,Tb_Activiteiten[[#Headers],[Adviseur]],"")))</f>
        <v/>
      </c>
      <c r="AP1364" t="str">
        <f>IF(ISNUMBER(FIND("arbeid",Methode_Keuze)),"",IF(ISNUMBER(FIND("arbeid",Methode_Keuze)),"",IF(Tb_Activiteiten[[#This Row],[Projectleider/Expert]]=1,Tb_Activiteiten[[#Headers],[Projectleider/Expert]],"")))</f>
        <v/>
      </c>
      <c r="AQ1364" t="str">
        <f>IF(ISNUMBER(FIND("arbeid",Methode_Keuze)),"",IF(ISNUMBER(FIND("arbeid",Methode_Keuze)),"",IF(Tb_Activiteiten[[#This Row],[Arbeidskosten]]=1,Tb_Activiteiten[[#Headers],[Arbeidskosten]],"")))</f>
        <v/>
      </c>
      <c r="AR1364" t="str">
        <f>IF(ISNUMBER(FIND("arbeid",Methode_Keuze)),"",IF(ISNUMBER(FIND("arbeid",Methode_Keuze)),"",IF(Tb_Activiteiten[[#This Row],[Arbeidskosten op basis van IKS]]=1,Tb_Activiteiten[[#Headers],[Arbeidskosten op basis van IKS]],"")))</f>
        <v/>
      </c>
      <c r="AS1364" t="str">
        <f>IF(ISNUMBER(FIND("overige",Methode_Keuze)),"",IF(Tb_Activiteiten[[#This Row],[Kosten derden exclusief btw]]=1,Tb_Activiteiten[[#Headers],[Kosten derden exclusief btw]],""))</f>
        <v/>
      </c>
      <c r="AT1364" t="str">
        <f>IF(ISNUMBER(FIND("overige",Methode_Keuze)),"",IF(Tb_Activiteiten[[#This Row],[Niet verrekenbare btw]]=1,Tb_Activiteiten[[#Headers],[Niet verrekenbare btw]],""))</f>
        <v/>
      </c>
      <c r="AU1364" t="str">
        <f>IF(ISNUMBER(FIND("overige",Methode_Keuze)),"",IF(Tb_Activiteiten[[#This Row],[Grondkosten]]=1,Tb_Activiteiten[[#Headers],[Grondkosten]],""))</f>
        <v/>
      </c>
      <c r="AV1364" t="str">
        <f>IF(ISNUMBER(FIND("overige",Methode_Keuze)),"",IF(Tb_Activiteiten[[#This Row],[Bijdrage in natura (overige)]]=1,Tb_Activiteiten[[#Headers],[Bijdrage in natura (overige)]],""))</f>
        <v/>
      </c>
      <c r="AW1364" t="str">
        <f>IF(ISNUMBER(FIND("overige",Methode_Keuze)),"",IF(Tb_Activiteiten[[#This Row],[Bijdrage in natura (vrijwilligers)]]=1,Tb_Activiteiten[[#Headers],[Bijdrage in natura (vrijwilligers)]],""))</f>
        <v/>
      </c>
      <c r="AX1364" t="str">
        <f>IF(ISNUMBER(FIND("overige",Methode_Keuze)),"",IF(Tb_Activiteiten[[#This Row],[Afschrijvingskosten]]=1,Tb_Activiteiten[[#Headers],[Afschrijvingskosten]],""))</f>
        <v/>
      </c>
      <c r="AY1364" t="str">
        <f>IF(ISNUMBER(FIND("overige",Methode_Keuze)),"",IF(Tb_Activiteiten[[#This Row],[Vergoeding]]=1,Tb_Activiteiten[[#Headers],[Vergoeding]],""))</f>
        <v/>
      </c>
      <c r="AZ1364" t="str">
        <f>IF(ISNUMBER(FIND("arbeid",Methode_Keuze)),"",IF(Tb_Activiteiten[[#This Row],[Arbeidskosten - vast tarief (excl eigen arbeid)]]=1,Tb_Activiteiten[[#Headers],[Arbeidskosten - vast tarief (excl eigen arbeid)]],""))</f>
        <v/>
      </c>
      <c r="BA1364" t="str">
        <f>IF(ISNUMBER(FIND("overige",Methode_Keuze)),"",IF(Tb_Activiteiten[[#This Row],[Overige kosten]]=1,Tb_Activiteiten[[#Headers],[Overige kosten]],""))</f>
        <v/>
      </c>
    </row>
    <row r="1365" spans="15:53" x14ac:dyDescent="0.25">
      <c r="O1365" s="56"/>
      <c r="Q1365" t="str">
        <f>IFERROR(IF(VLOOKUP(Tb_Activiteiten[[#This Row],[Openstelling]],Tb_Openstelling[],2,0)=1,1,""),"")</f>
        <v/>
      </c>
      <c r="AK1365" t="str">
        <f>IF(ISNUMBER(FIND("arbeid",Methode_Keuze)),"",IF(ISNUMBER(FIND("arbeid",Methode_Keuze)),"",IF(Tb_Activiteiten[[#This Row],[Loonkosten]]=1,Tb_Activiteiten[[#Headers],[Loonkosten]],"")))</f>
        <v/>
      </c>
      <c r="AL1365" t="str">
        <f>IF(ISNUMBER(FIND("arbeid",Methode_Keuze)),"",IF(ISNUMBER(FIND("arbeid",Methode_Keuze)),"",IF(Tb_Activiteiten[[#This Row],[Eigen arbeid]]=1,Tb_Activiteiten[[#Headers],[Eigen arbeid]],"")))</f>
        <v/>
      </c>
      <c r="AM1365" t="str">
        <f>IF(ISNUMBER(FIND("arbeid",Methode_Keuze)),"",IF(ISNUMBER(FIND("arbeid",Methode_Keuze)),"",IF(Tb_Activiteiten[[#This Row],[Projectmedewerker]]=1,Tb_Activiteiten[[#Headers],[Projectmedewerker]],"")))</f>
        <v/>
      </c>
      <c r="AN1365" t="str">
        <f>IF(ISNUMBER(FIND("arbeid",Methode_Keuze)),"",IF(ISNUMBER(FIND("arbeid",Methode_Keuze)),"",IF(Tb_Activiteiten[[#This Row],[Landbouwer]]=1,Tb_Activiteiten[[#Headers],[Landbouwer]],"")))</f>
        <v/>
      </c>
      <c r="AO1365" t="str">
        <f>IF(ISNUMBER(FIND("arbeid",Methode_Keuze)),"",IF(ISNUMBER(FIND("arbeid",Methode_Keuze)),"",IF(Tb_Activiteiten[[#This Row],[Adviseur]]=1,Tb_Activiteiten[[#Headers],[Adviseur]],"")))</f>
        <v/>
      </c>
      <c r="AP1365" t="str">
        <f>IF(ISNUMBER(FIND("arbeid",Methode_Keuze)),"",IF(ISNUMBER(FIND("arbeid",Methode_Keuze)),"",IF(Tb_Activiteiten[[#This Row],[Projectleider/Expert]]=1,Tb_Activiteiten[[#Headers],[Projectleider/Expert]],"")))</f>
        <v/>
      </c>
      <c r="AQ1365" t="str">
        <f>IF(ISNUMBER(FIND("arbeid",Methode_Keuze)),"",IF(ISNUMBER(FIND("arbeid",Methode_Keuze)),"",IF(Tb_Activiteiten[[#This Row],[Arbeidskosten]]=1,Tb_Activiteiten[[#Headers],[Arbeidskosten]],"")))</f>
        <v/>
      </c>
      <c r="AR1365" t="str">
        <f>IF(ISNUMBER(FIND("arbeid",Methode_Keuze)),"",IF(ISNUMBER(FIND("arbeid",Methode_Keuze)),"",IF(Tb_Activiteiten[[#This Row],[Arbeidskosten op basis van IKS]]=1,Tb_Activiteiten[[#Headers],[Arbeidskosten op basis van IKS]],"")))</f>
        <v/>
      </c>
      <c r="AS1365" t="str">
        <f>IF(ISNUMBER(FIND("overige",Methode_Keuze)),"",IF(Tb_Activiteiten[[#This Row],[Kosten derden exclusief btw]]=1,Tb_Activiteiten[[#Headers],[Kosten derden exclusief btw]],""))</f>
        <v/>
      </c>
      <c r="AT1365" t="str">
        <f>IF(ISNUMBER(FIND("overige",Methode_Keuze)),"",IF(Tb_Activiteiten[[#This Row],[Niet verrekenbare btw]]=1,Tb_Activiteiten[[#Headers],[Niet verrekenbare btw]],""))</f>
        <v/>
      </c>
      <c r="AU1365" t="str">
        <f>IF(ISNUMBER(FIND("overige",Methode_Keuze)),"",IF(Tb_Activiteiten[[#This Row],[Grondkosten]]=1,Tb_Activiteiten[[#Headers],[Grondkosten]],""))</f>
        <v/>
      </c>
      <c r="AV1365" t="str">
        <f>IF(ISNUMBER(FIND("overige",Methode_Keuze)),"",IF(Tb_Activiteiten[[#This Row],[Bijdrage in natura (overige)]]=1,Tb_Activiteiten[[#Headers],[Bijdrage in natura (overige)]],""))</f>
        <v/>
      </c>
      <c r="AW1365" t="str">
        <f>IF(ISNUMBER(FIND("overige",Methode_Keuze)),"",IF(Tb_Activiteiten[[#This Row],[Bijdrage in natura (vrijwilligers)]]=1,Tb_Activiteiten[[#Headers],[Bijdrage in natura (vrijwilligers)]],""))</f>
        <v/>
      </c>
      <c r="AX1365" t="str">
        <f>IF(ISNUMBER(FIND("overige",Methode_Keuze)),"",IF(Tb_Activiteiten[[#This Row],[Afschrijvingskosten]]=1,Tb_Activiteiten[[#Headers],[Afschrijvingskosten]],""))</f>
        <v/>
      </c>
      <c r="AY1365" t="str">
        <f>IF(ISNUMBER(FIND("overige",Methode_Keuze)),"",IF(Tb_Activiteiten[[#This Row],[Vergoeding]]=1,Tb_Activiteiten[[#Headers],[Vergoeding]],""))</f>
        <v/>
      </c>
      <c r="AZ1365" t="str">
        <f>IF(ISNUMBER(FIND("arbeid",Methode_Keuze)),"",IF(Tb_Activiteiten[[#This Row],[Arbeidskosten - vast tarief (excl eigen arbeid)]]=1,Tb_Activiteiten[[#Headers],[Arbeidskosten - vast tarief (excl eigen arbeid)]],""))</f>
        <v/>
      </c>
      <c r="BA1365" t="str">
        <f>IF(ISNUMBER(FIND("overige",Methode_Keuze)),"",IF(Tb_Activiteiten[[#This Row],[Overige kosten]]=1,Tb_Activiteiten[[#Headers],[Overige kosten]],""))</f>
        <v/>
      </c>
    </row>
    <row r="1366" spans="15:53" x14ac:dyDescent="0.25">
      <c r="O1366" s="56"/>
      <c r="Q1366" t="str">
        <f>IFERROR(IF(VLOOKUP(Tb_Activiteiten[[#This Row],[Openstelling]],Tb_Openstelling[],2,0)=1,1,""),"")</f>
        <v/>
      </c>
      <c r="AK1366" t="str">
        <f>IF(ISNUMBER(FIND("arbeid",Methode_Keuze)),"",IF(ISNUMBER(FIND("arbeid",Methode_Keuze)),"",IF(Tb_Activiteiten[[#This Row],[Loonkosten]]=1,Tb_Activiteiten[[#Headers],[Loonkosten]],"")))</f>
        <v/>
      </c>
      <c r="AL1366" t="str">
        <f>IF(ISNUMBER(FIND("arbeid",Methode_Keuze)),"",IF(ISNUMBER(FIND("arbeid",Methode_Keuze)),"",IF(Tb_Activiteiten[[#This Row],[Eigen arbeid]]=1,Tb_Activiteiten[[#Headers],[Eigen arbeid]],"")))</f>
        <v/>
      </c>
      <c r="AM1366" t="str">
        <f>IF(ISNUMBER(FIND("arbeid",Methode_Keuze)),"",IF(ISNUMBER(FIND("arbeid",Methode_Keuze)),"",IF(Tb_Activiteiten[[#This Row],[Projectmedewerker]]=1,Tb_Activiteiten[[#Headers],[Projectmedewerker]],"")))</f>
        <v/>
      </c>
      <c r="AN1366" t="str">
        <f>IF(ISNUMBER(FIND("arbeid",Methode_Keuze)),"",IF(ISNUMBER(FIND("arbeid",Methode_Keuze)),"",IF(Tb_Activiteiten[[#This Row],[Landbouwer]]=1,Tb_Activiteiten[[#Headers],[Landbouwer]],"")))</f>
        <v/>
      </c>
      <c r="AO1366" t="str">
        <f>IF(ISNUMBER(FIND("arbeid",Methode_Keuze)),"",IF(ISNUMBER(FIND("arbeid",Methode_Keuze)),"",IF(Tb_Activiteiten[[#This Row],[Adviseur]]=1,Tb_Activiteiten[[#Headers],[Adviseur]],"")))</f>
        <v/>
      </c>
      <c r="AP1366" t="str">
        <f>IF(ISNUMBER(FIND("arbeid",Methode_Keuze)),"",IF(ISNUMBER(FIND("arbeid",Methode_Keuze)),"",IF(Tb_Activiteiten[[#This Row],[Projectleider/Expert]]=1,Tb_Activiteiten[[#Headers],[Projectleider/Expert]],"")))</f>
        <v/>
      </c>
      <c r="AQ1366" t="str">
        <f>IF(ISNUMBER(FIND("arbeid",Methode_Keuze)),"",IF(ISNUMBER(FIND("arbeid",Methode_Keuze)),"",IF(Tb_Activiteiten[[#This Row],[Arbeidskosten]]=1,Tb_Activiteiten[[#Headers],[Arbeidskosten]],"")))</f>
        <v/>
      </c>
      <c r="AR1366" t="str">
        <f>IF(ISNUMBER(FIND("arbeid",Methode_Keuze)),"",IF(ISNUMBER(FIND("arbeid",Methode_Keuze)),"",IF(Tb_Activiteiten[[#This Row],[Arbeidskosten op basis van IKS]]=1,Tb_Activiteiten[[#Headers],[Arbeidskosten op basis van IKS]],"")))</f>
        <v/>
      </c>
      <c r="AS1366" t="str">
        <f>IF(ISNUMBER(FIND("overige",Methode_Keuze)),"",IF(Tb_Activiteiten[[#This Row],[Kosten derden exclusief btw]]=1,Tb_Activiteiten[[#Headers],[Kosten derden exclusief btw]],""))</f>
        <v/>
      </c>
      <c r="AT1366" t="str">
        <f>IF(ISNUMBER(FIND("overige",Methode_Keuze)),"",IF(Tb_Activiteiten[[#This Row],[Niet verrekenbare btw]]=1,Tb_Activiteiten[[#Headers],[Niet verrekenbare btw]],""))</f>
        <v/>
      </c>
      <c r="AU1366" t="str">
        <f>IF(ISNUMBER(FIND("overige",Methode_Keuze)),"",IF(Tb_Activiteiten[[#This Row],[Grondkosten]]=1,Tb_Activiteiten[[#Headers],[Grondkosten]],""))</f>
        <v/>
      </c>
      <c r="AV1366" t="str">
        <f>IF(ISNUMBER(FIND("overige",Methode_Keuze)),"",IF(Tb_Activiteiten[[#This Row],[Bijdrage in natura (overige)]]=1,Tb_Activiteiten[[#Headers],[Bijdrage in natura (overige)]],""))</f>
        <v/>
      </c>
      <c r="AW1366" t="str">
        <f>IF(ISNUMBER(FIND("overige",Methode_Keuze)),"",IF(Tb_Activiteiten[[#This Row],[Bijdrage in natura (vrijwilligers)]]=1,Tb_Activiteiten[[#Headers],[Bijdrage in natura (vrijwilligers)]],""))</f>
        <v/>
      </c>
      <c r="AX1366" t="str">
        <f>IF(ISNUMBER(FIND("overige",Methode_Keuze)),"",IF(Tb_Activiteiten[[#This Row],[Afschrijvingskosten]]=1,Tb_Activiteiten[[#Headers],[Afschrijvingskosten]],""))</f>
        <v/>
      </c>
      <c r="AY1366" t="str">
        <f>IF(ISNUMBER(FIND("overige",Methode_Keuze)),"",IF(Tb_Activiteiten[[#This Row],[Vergoeding]]=1,Tb_Activiteiten[[#Headers],[Vergoeding]],""))</f>
        <v/>
      </c>
      <c r="AZ1366" t="str">
        <f>IF(ISNUMBER(FIND("arbeid",Methode_Keuze)),"",IF(Tb_Activiteiten[[#This Row],[Arbeidskosten - vast tarief (excl eigen arbeid)]]=1,Tb_Activiteiten[[#Headers],[Arbeidskosten - vast tarief (excl eigen arbeid)]],""))</f>
        <v/>
      </c>
      <c r="BA1366" t="str">
        <f>IF(ISNUMBER(FIND("overige",Methode_Keuze)),"",IF(Tb_Activiteiten[[#This Row],[Overige kosten]]=1,Tb_Activiteiten[[#Headers],[Overige kosten]],""))</f>
        <v/>
      </c>
    </row>
    <row r="1367" spans="15:53" x14ac:dyDescent="0.25">
      <c r="O1367" s="56"/>
      <c r="Q1367" t="str">
        <f>IFERROR(IF(VLOOKUP(Tb_Activiteiten[[#This Row],[Openstelling]],Tb_Openstelling[],2,0)=1,1,""),"")</f>
        <v/>
      </c>
      <c r="AK1367" t="str">
        <f>IF(ISNUMBER(FIND("arbeid",Methode_Keuze)),"",IF(ISNUMBER(FIND("arbeid",Methode_Keuze)),"",IF(Tb_Activiteiten[[#This Row],[Loonkosten]]=1,Tb_Activiteiten[[#Headers],[Loonkosten]],"")))</f>
        <v/>
      </c>
      <c r="AL1367" t="str">
        <f>IF(ISNUMBER(FIND("arbeid",Methode_Keuze)),"",IF(ISNUMBER(FIND("arbeid",Methode_Keuze)),"",IF(Tb_Activiteiten[[#This Row],[Eigen arbeid]]=1,Tb_Activiteiten[[#Headers],[Eigen arbeid]],"")))</f>
        <v/>
      </c>
      <c r="AM1367" t="str">
        <f>IF(ISNUMBER(FIND("arbeid",Methode_Keuze)),"",IF(ISNUMBER(FIND("arbeid",Methode_Keuze)),"",IF(Tb_Activiteiten[[#This Row],[Projectmedewerker]]=1,Tb_Activiteiten[[#Headers],[Projectmedewerker]],"")))</f>
        <v/>
      </c>
      <c r="AN1367" t="str">
        <f>IF(ISNUMBER(FIND("arbeid",Methode_Keuze)),"",IF(ISNUMBER(FIND("arbeid",Methode_Keuze)),"",IF(Tb_Activiteiten[[#This Row],[Landbouwer]]=1,Tb_Activiteiten[[#Headers],[Landbouwer]],"")))</f>
        <v/>
      </c>
      <c r="AO1367" t="str">
        <f>IF(ISNUMBER(FIND("arbeid",Methode_Keuze)),"",IF(ISNUMBER(FIND("arbeid",Methode_Keuze)),"",IF(Tb_Activiteiten[[#This Row],[Adviseur]]=1,Tb_Activiteiten[[#Headers],[Adviseur]],"")))</f>
        <v/>
      </c>
      <c r="AP1367" t="str">
        <f>IF(ISNUMBER(FIND("arbeid",Methode_Keuze)),"",IF(ISNUMBER(FIND("arbeid",Methode_Keuze)),"",IF(Tb_Activiteiten[[#This Row],[Projectleider/Expert]]=1,Tb_Activiteiten[[#Headers],[Projectleider/Expert]],"")))</f>
        <v/>
      </c>
      <c r="AQ1367" t="str">
        <f>IF(ISNUMBER(FIND("arbeid",Methode_Keuze)),"",IF(ISNUMBER(FIND("arbeid",Methode_Keuze)),"",IF(Tb_Activiteiten[[#This Row],[Arbeidskosten]]=1,Tb_Activiteiten[[#Headers],[Arbeidskosten]],"")))</f>
        <v/>
      </c>
      <c r="AR1367" t="str">
        <f>IF(ISNUMBER(FIND("arbeid",Methode_Keuze)),"",IF(ISNUMBER(FIND("arbeid",Methode_Keuze)),"",IF(Tb_Activiteiten[[#This Row],[Arbeidskosten op basis van IKS]]=1,Tb_Activiteiten[[#Headers],[Arbeidskosten op basis van IKS]],"")))</f>
        <v/>
      </c>
      <c r="AS1367" t="str">
        <f>IF(ISNUMBER(FIND("overige",Methode_Keuze)),"",IF(Tb_Activiteiten[[#This Row],[Kosten derden exclusief btw]]=1,Tb_Activiteiten[[#Headers],[Kosten derden exclusief btw]],""))</f>
        <v/>
      </c>
      <c r="AT1367" t="str">
        <f>IF(ISNUMBER(FIND("overige",Methode_Keuze)),"",IF(Tb_Activiteiten[[#This Row],[Niet verrekenbare btw]]=1,Tb_Activiteiten[[#Headers],[Niet verrekenbare btw]],""))</f>
        <v/>
      </c>
      <c r="AU1367" t="str">
        <f>IF(ISNUMBER(FIND("overige",Methode_Keuze)),"",IF(Tb_Activiteiten[[#This Row],[Grondkosten]]=1,Tb_Activiteiten[[#Headers],[Grondkosten]],""))</f>
        <v/>
      </c>
      <c r="AV1367" t="str">
        <f>IF(ISNUMBER(FIND("overige",Methode_Keuze)),"",IF(Tb_Activiteiten[[#This Row],[Bijdrage in natura (overige)]]=1,Tb_Activiteiten[[#Headers],[Bijdrage in natura (overige)]],""))</f>
        <v/>
      </c>
      <c r="AW1367" t="str">
        <f>IF(ISNUMBER(FIND("overige",Methode_Keuze)),"",IF(Tb_Activiteiten[[#This Row],[Bijdrage in natura (vrijwilligers)]]=1,Tb_Activiteiten[[#Headers],[Bijdrage in natura (vrijwilligers)]],""))</f>
        <v/>
      </c>
      <c r="AX1367" t="str">
        <f>IF(ISNUMBER(FIND("overige",Methode_Keuze)),"",IF(Tb_Activiteiten[[#This Row],[Afschrijvingskosten]]=1,Tb_Activiteiten[[#Headers],[Afschrijvingskosten]],""))</f>
        <v/>
      </c>
      <c r="AY1367" t="str">
        <f>IF(ISNUMBER(FIND("overige",Methode_Keuze)),"",IF(Tb_Activiteiten[[#This Row],[Vergoeding]]=1,Tb_Activiteiten[[#Headers],[Vergoeding]],""))</f>
        <v/>
      </c>
      <c r="AZ1367" t="str">
        <f>IF(ISNUMBER(FIND("arbeid",Methode_Keuze)),"",IF(Tb_Activiteiten[[#This Row],[Arbeidskosten - vast tarief (excl eigen arbeid)]]=1,Tb_Activiteiten[[#Headers],[Arbeidskosten - vast tarief (excl eigen arbeid)]],""))</f>
        <v/>
      </c>
      <c r="BA1367" t="str">
        <f>IF(ISNUMBER(FIND("overige",Methode_Keuze)),"",IF(Tb_Activiteiten[[#This Row],[Overige kosten]]=1,Tb_Activiteiten[[#Headers],[Overige kosten]],""))</f>
        <v/>
      </c>
    </row>
    <row r="1368" spans="15:53" x14ac:dyDescent="0.25">
      <c r="O1368" s="56"/>
      <c r="Q1368" t="str">
        <f>IFERROR(IF(VLOOKUP(Tb_Activiteiten[[#This Row],[Openstelling]],Tb_Openstelling[],2,0)=1,1,""),"")</f>
        <v/>
      </c>
      <c r="AK1368" t="str">
        <f>IF(ISNUMBER(FIND("arbeid",Methode_Keuze)),"",IF(ISNUMBER(FIND("arbeid",Methode_Keuze)),"",IF(Tb_Activiteiten[[#This Row],[Loonkosten]]=1,Tb_Activiteiten[[#Headers],[Loonkosten]],"")))</f>
        <v/>
      </c>
      <c r="AL1368" t="str">
        <f>IF(ISNUMBER(FIND("arbeid",Methode_Keuze)),"",IF(ISNUMBER(FIND("arbeid",Methode_Keuze)),"",IF(Tb_Activiteiten[[#This Row],[Eigen arbeid]]=1,Tb_Activiteiten[[#Headers],[Eigen arbeid]],"")))</f>
        <v/>
      </c>
      <c r="AM1368" t="str">
        <f>IF(ISNUMBER(FIND("arbeid",Methode_Keuze)),"",IF(ISNUMBER(FIND("arbeid",Methode_Keuze)),"",IF(Tb_Activiteiten[[#This Row],[Projectmedewerker]]=1,Tb_Activiteiten[[#Headers],[Projectmedewerker]],"")))</f>
        <v/>
      </c>
      <c r="AN1368" t="str">
        <f>IF(ISNUMBER(FIND("arbeid",Methode_Keuze)),"",IF(ISNUMBER(FIND("arbeid",Methode_Keuze)),"",IF(Tb_Activiteiten[[#This Row],[Landbouwer]]=1,Tb_Activiteiten[[#Headers],[Landbouwer]],"")))</f>
        <v/>
      </c>
      <c r="AO1368" t="str">
        <f>IF(ISNUMBER(FIND("arbeid",Methode_Keuze)),"",IF(ISNUMBER(FIND("arbeid",Methode_Keuze)),"",IF(Tb_Activiteiten[[#This Row],[Adviseur]]=1,Tb_Activiteiten[[#Headers],[Adviseur]],"")))</f>
        <v/>
      </c>
      <c r="AP1368" t="str">
        <f>IF(ISNUMBER(FIND("arbeid",Methode_Keuze)),"",IF(ISNUMBER(FIND("arbeid",Methode_Keuze)),"",IF(Tb_Activiteiten[[#This Row],[Projectleider/Expert]]=1,Tb_Activiteiten[[#Headers],[Projectleider/Expert]],"")))</f>
        <v/>
      </c>
      <c r="AQ1368" t="str">
        <f>IF(ISNUMBER(FIND("arbeid",Methode_Keuze)),"",IF(ISNUMBER(FIND("arbeid",Methode_Keuze)),"",IF(Tb_Activiteiten[[#This Row],[Arbeidskosten]]=1,Tb_Activiteiten[[#Headers],[Arbeidskosten]],"")))</f>
        <v/>
      </c>
      <c r="AR1368" t="str">
        <f>IF(ISNUMBER(FIND("arbeid",Methode_Keuze)),"",IF(ISNUMBER(FIND("arbeid",Methode_Keuze)),"",IF(Tb_Activiteiten[[#This Row],[Arbeidskosten op basis van IKS]]=1,Tb_Activiteiten[[#Headers],[Arbeidskosten op basis van IKS]],"")))</f>
        <v/>
      </c>
      <c r="AS1368" t="str">
        <f>IF(ISNUMBER(FIND("overige",Methode_Keuze)),"",IF(Tb_Activiteiten[[#This Row],[Kosten derden exclusief btw]]=1,Tb_Activiteiten[[#Headers],[Kosten derden exclusief btw]],""))</f>
        <v/>
      </c>
      <c r="AT1368" t="str">
        <f>IF(ISNUMBER(FIND("overige",Methode_Keuze)),"",IF(Tb_Activiteiten[[#This Row],[Niet verrekenbare btw]]=1,Tb_Activiteiten[[#Headers],[Niet verrekenbare btw]],""))</f>
        <v/>
      </c>
      <c r="AU1368" t="str">
        <f>IF(ISNUMBER(FIND("overige",Methode_Keuze)),"",IF(Tb_Activiteiten[[#This Row],[Grondkosten]]=1,Tb_Activiteiten[[#Headers],[Grondkosten]],""))</f>
        <v/>
      </c>
      <c r="AV1368" t="str">
        <f>IF(ISNUMBER(FIND("overige",Methode_Keuze)),"",IF(Tb_Activiteiten[[#This Row],[Bijdrage in natura (overige)]]=1,Tb_Activiteiten[[#Headers],[Bijdrage in natura (overige)]],""))</f>
        <v/>
      </c>
      <c r="AW1368" t="str">
        <f>IF(ISNUMBER(FIND("overige",Methode_Keuze)),"",IF(Tb_Activiteiten[[#This Row],[Bijdrage in natura (vrijwilligers)]]=1,Tb_Activiteiten[[#Headers],[Bijdrage in natura (vrijwilligers)]],""))</f>
        <v/>
      </c>
      <c r="AX1368" t="str">
        <f>IF(ISNUMBER(FIND("overige",Methode_Keuze)),"",IF(Tb_Activiteiten[[#This Row],[Afschrijvingskosten]]=1,Tb_Activiteiten[[#Headers],[Afschrijvingskosten]],""))</f>
        <v/>
      </c>
      <c r="AY1368" t="str">
        <f>IF(ISNUMBER(FIND("overige",Methode_Keuze)),"",IF(Tb_Activiteiten[[#This Row],[Vergoeding]]=1,Tb_Activiteiten[[#Headers],[Vergoeding]],""))</f>
        <v/>
      </c>
      <c r="AZ1368" t="str">
        <f>IF(ISNUMBER(FIND("arbeid",Methode_Keuze)),"",IF(Tb_Activiteiten[[#This Row],[Arbeidskosten - vast tarief (excl eigen arbeid)]]=1,Tb_Activiteiten[[#Headers],[Arbeidskosten - vast tarief (excl eigen arbeid)]],""))</f>
        <v/>
      </c>
      <c r="BA1368" t="str">
        <f>IF(ISNUMBER(FIND("overige",Methode_Keuze)),"",IF(Tb_Activiteiten[[#This Row],[Overige kosten]]=1,Tb_Activiteiten[[#Headers],[Overige kosten]],""))</f>
        <v/>
      </c>
    </row>
    <row r="1369" spans="15:53" x14ac:dyDescent="0.25">
      <c r="O1369" s="56"/>
      <c r="Q1369" t="str">
        <f>IFERROR(IF(VLOOKUP(Tb_Activiteiten[[#This Row],[Openstelling]],Tb_Openstelling[],2,0)=1,1,""),"")</f>
        <v/>
      </c>
      <c r="AK1369" t="str">
        <f>IF(ISNUMBER(FIND("arbeid",Methode_Keuze)),"",IF(ISNUMBER(FIND("arbeid",Methode_Keuze)),"",IF(Tb_Activiteiten[[#This Row],[Loonkosten]]=1,Tb_Activiteiten[[#Headers],[Loonkosten]],"")))</f>
        <v/>
      </c>
      <c r="AL1369" t="str">
        <f>IF(ISNUMBER(FIND("arbeid",Methode_Keuze)),"",IF(ISNUMBER(FIND("arbeid",Methode_Keuze)),"",IF(Tb_Activiteiten[[#This Row],[Eigen arbeid]]=1,Tb_Activiteiten[[#Headers],[Eigen arbeid]],"")))</f>
        <v/>
      </c>
      <c r="AM1369" t="str">
        <f>IF(ISNUMBER(FIND("arbeid",Methode_Keuze)),"",IF(ISNUMBER(FIND("arbeid",Methode_Keuze)),"",IF(Tb_Activiteiten[[#This Row],[Projectmedewerker]]=1,Tb_Activiteiten[[#Headers],[Projectmedewerker]],"")))</f>
        <v/>
      </c>
      <c r="AN1369" t="str">
        <f>IF(ISNUMBER(FIND("arbeid",Methode_Keuze)),"",IF(ISNUMBER(FIND("arbeid",Methode_Keuze)),"",IF(Tb_Activiteiten[[#This Row],[Landbouwer]]=1,Tb_Activiteiten[[#Headers],[Landbouwer]],"")))</f>
        <v/>
      </c>
      <c r="AO1369" t="str">
        <f>IF(ISNUMBER(FIND("arbeid",Methode_Keuze)),"",IF(ISNUMBER(FIND("arbeid",Methode_Keuze)),"",IF(Tb_Activiteiten[[#This Row],[Adviseur]]=1,Tb_Activiteiten[[#Headers],[Adviseur]],"")))</f>
        <v/>
      </c>
      <c r="AP1369" t="str">
        <f>IF(ISNUMBER(FIND("arbeid",Methode_Keuze)),"",IF(ISNUMBER(FIND("arbeid",Methode_Keuze)),"",IF(Tb_Activiteiten[[#This Row],[Projectleider/Expert]]=1,Tb_Activiteiten[[#Headers],[Projectleider/Expert]],"")))</f>
        <v/>
      </c>
      <c r="AQ1369" t="str">
        <f>IF(ISNUMBER(FIND("arbeid",Methode_Keuze)),"",IF(ISNUMBER(FIND("arbeid",Methode_Keuze)),"",IF(Tb_Activiteiten[[#This Row],[Arbeidskosten]]=1,Tb_Activiteiten[[#Headers],[Arbeidskosten]],"")))</f>
        <v/>
      </c>
      <c r="AR1369" t="str">
        <f>IF(ISNUMBER(FIND("arbeid",Methode_Keuze)),"",IF(ISNUMBER(FIND("arbeid",Methode_Keuze)),"",IF(Tb_Activiteiten[[#This Row],[Arbeidskosten op basis van IKS]]=1,Tb_Activiteiten[[#Headers],[Arbeidskosten op basis van IKS]],"")))</f>
        <v/>
      </c>
      <c r="AS1369" t="str">
        <f>IF(ISNUMBER(FIND("overige",Methode_Keuze)),"",IF(Tb_Activiteiten[[#This Row],[Kosten derden exclusief btw]]=1,Tb_Activiteiten[[#Headers],[Kosten derden exclusief btw]],""))</f>
        <v/>
      </c>
      <c r="AT1369" t="str">
        <f>IF(ISNUMBER(FIND("overige",Methode_Keuze)),"",IF(Tb_Activiteiten[[#This Row],[Niet verrekenbare btw]]=1,Tb_Activiteiten[[#Headers],[Niet verrekenbare btw]],""))</f>
        <v/>
      </c>
      <c r="AU1369" t="str">
        <f>IF(ISNUMBER(FIND("overige",Methode_Keuze)),"",IF(Tb_Activiteiten[[#This Row],[Grondkosten]]=1,Tb_Activiteiten[[#Headers],[Grondkosten]],""))</f>
        <v/>
      </c>
      <c r="AV1369" t="str">
        <f>IF(ISNUMBER(FIND("overige",Methode_Keuze)),"",IF(Tb_Activiteiten[[#This Row],[Bijdrage in natura (overige)]]=1,Tb_Activiteiten[[#Headers],[Bijdrage in natura (overige)]],""))</f>
        <v/>
      </c>
      <c r="AW1369" t="str">
        <f>IF(ISNUMBER(FIND("overige",Methode_Keuze)),"",IF(Tb_Activiteiten[[#This Row],[Bijdrage in natura (vrijwilligers)]]=1,Tb_Activiteiten[[#Headers],[Bijdrage in natura (vrijwilligers)]],""))</f>
        <v/>
      </c>
      <c r="AX1369" t="str">
        <f>IF(ISNUMBER(FIND("overige",Methode_Keuze)),"",IF(Tb_Activiteiten[[#This Row],[Afschrijvingskosten]]=1,Tb_Activiteiten[[#Headers],[Afschrijvingskosten]],""))</f>
        <v/>
      </c>
      <c r="AY1369" t="str">
        <f>IF(ISNUMBER(FIND("overige",Methode_Keuze)),"",IF(Tb_Activiteiten[[#This Row],[Vergoeding]]=1,Tb_Activiteiten[[#Headers],[Vergoeding]],""))</f>
        <v/>
      </c>
      <c r="AZ1369" t="str">
        <f>IF(ISNUMBER(FIND("arbeid",Methode_Keuze)),"",IF(Tb_Activiteiten[[#This Row],[Arbeidskosten - vast tarief (excl eigen arbeid)]]=1,Tb_Activiteiten[[#Headers],[Arbeidskosten - vast tarief (excl eigen arbeid)]],""))</f>
        <v/>
      </c>
      <c r="BA1369" t="str">
        <f>IF(ISNUMBER(FIND("overige",Methode_Keuze)),"",IF(Tb_Activiteiten[[#This Row],[Overige kosten]]=1,Tb_Activiteiten[[#Headers],[Overige kosten]],""))</f>
        <v/>
      </c>
    </row>
    <row r="1370" spans="15:53" x14ac:dyDescent="0.25">
      <c r="O1370" s="56"/>
      <c r="Q1370" t="str">
        <f>IFERROR(IF(VLOOKUP(Tb_Activiteiten[[#This Row],[Openstelling]],Tb_Openstelling[],2,0)=1,1,""),"")</f>
        <v/>
      </c>
      <c r="AK1370" t="str">
        <f>IF(ISNUMBER(FIND("arbeid",Methode_Keuze)),"",IF(ISNUMBER(FIND("arbeid",Methode_Keuze)),"",IF(Tb_Activiteiten[[#This Row],[Loonkosten]]=1,Tb_Activiteiten[[#Headers],[Loonkosten]],"")))</f>
        <v/>
      </c>
      <c r="AL1370" t="str">
        <f>IF(ISNUMBER(FIND("arbeid",Methode_Keuze)),"",IF(ISNUMBER(FIND("arbeid",Methode_Keuze)),"",IF(Tb_Activiteiten[[#This Row],[Eigen arbeid]]=1,Tb_Activiteiten[[#Headers],[Eigen arbeid]],"")))</f>
        <v/>
      </c>
      <c r="AM1370" t="str">
        <f>IF(ISNUMBER(FIND("arbeid",Methode_Keuze)),"",IF(ISNUMBER(FIND("arbeid",Methode_Keuze)),"",IF(Tb_Activiteiten[[#This Row],[Projectmedewerker]]=1,Tb_Activiteiten[[#Headers],[Projectmedewerker]],"")))</f>
        <v/>
      </c>
      <c r="AN1370" t="str">
        <f>IF(ISNUMBER(FIND("arbeid",Methode_Keuze)),"",IF(ISNUMBER(FIND("arbeid",Methode_Keuze)),"",IF(Tb_Activiteiten[[#This Row],[Landbouwer]]=1,Tb_Activiteiten[[#Headers],[Landbouwer]],"")))</f>
        <v/>
      </c>
      <c r="AO1370" t="str">
        <f>IF(ISNUMBER(FIND("arbeid",Methode_Keuze)),"",IF(ISNUMBER(FIND("arbeid",Methode_Keuze)),"",IF(Tb_Activiteiten[[#This Row],[Adviseur]]=1,Tb_Activiteiten[[#Headers],[Adviseur]],"")))</f>
        <v/>
      </c>
      <c r="AP1370" t="str">
        <f>IF(ISNUMBER(FIND("arbeid",Methode_Keuze)),"",IF(ISNUMBER(FIND("arbeid",Methode_Keuze)),"",IF(Tb_Activiteiten[[#This Row],[Projectleider/Expert]]=1,Tb_Activiteiten[[#Headers],[Projectleider/Expert]],"")))</f>
        <v/>
      </c>
      <c r="AQ1370" t="str">
        <f>IF(ISNUMBER(FIND("arbeid",Methode_Keuze)),"",IF(ISNUMBER(FIND("arbeid",Methode_Keuze)),"",IF(Tb_Activiteiten[[#This Row],[Arbeidskosten]]=1,Tb_Activiteiten[[#Headers],[Arbeidskosten]],"")))</f>
        <v/>
      </c>
      <c r="AR1370" t="str">
        <f>IF(ISNUMBER(FIND("arbeid",Methode_Keuze)),"",IF(ISNUMBER(FIND("arbeid",Methode_Keuze)),"",IF(Tb_Activiteiten[[#This Row],[Arbeidskosten op basis van IKS]]=1,Tb_Activiteiten[[#Headers],[Arbeidskosten op basis van IKS]],"")))</f>
        <v/>
      </c>
      <c r="AS1370" t="str">
        <f>IF(ISNUMBER(FIND("overige",Methode_Keuze)),"",IF(Tb_Activiteiten[[#This Row],[Kosten derden exclusief btw]]=1,Tb_Activiteiten[[#Headers],[Kosten derden exclusief btw]],""))</f>
        <v/>
      </c>
      <c r="AT1370" t="str">
        <f>IF(ISNUMBER(FIND("overige",Methode_Keuze)),"",IF(Tb_Activiteiten[[#This Row],[Niet verrekenbare btw]]=1,Tb_Activiteiten[[#Headers],[Niet verrekenbare btw]],""))</f>
        <v/>
      </c>
      <c r="AU1370" t="str">
        <f>IF(ISNUMBER(FIND("overige",Methode_Keuze)),"",IF(Tb_Activiteiten[[#This Row],[Grondkosten]]=1,Tb_Activiteiten[[#Headers],[Grondkosten]],""))</f>
        <v/>
      </c>
      <c r="AV1370" t="str">
        <f>IF(ISNUMBER(FIND("overige",Methode_Keuze)),"",IF(Tb_Activiteiten[[#This Row],[Bijdrage in natura (overige)]]=1,Tb_Activiteiten[[#Headers],[Bijdrage in natura (overige)]],""))</f>
        <v/>
      </c>
      <c r="AW1370" t="str">
        <f>IF(ISNUMBER(FIND("overige",Methode_Keuze)),"",IF(Tb_Activiteiten[[#This Row],[Bijdrage in natura (vrijwilligers)]]=1,Tb_Activiteiten[[#Headers],[Bijdrage in natura (vrijwilligers)]],""))</f>
        <v/>
      </c>
      <c r="AX1370" t="str">
        <f>IF(ISNUMBER(FIND("overige",Methode_Keuze)),"",IF(Tb_Activiteiten[[#This Row],[Afschrijvingskosten]]=1,Tb_Activiteiten[[#Headers],[Afschrijvingskosten]],""))</f>
        <v/>
      </c>
      <c r="AY1370" t="str">
        <f>IF(ISNUMBER(FIND("overige",Methode_Keuze)),"",IF(Tb_Activiteiten[[#This Row],[Vergoeding]]=1,Tb_Activiteiten[[#Headers],[Vergoeding]],""))</f>
        <v/>
      </c>
      <c r="AZ1370" t="str">
        <f>IF(ISNUMBER(FIND("arbeid",Methode_Keuze)),"",IF(Tb_Activiteiten[[#This Row],[Arbeidskosten - vast tarief (excl eigen arbeid)]]=1,Tb_Activiteiten[[#Headers],[Arbeidskosten - vast tarief (excl eigen arbeid)]],""))</f>
        <v/>
      </c>
      <c r="BA1370" t="str">
        <f>IF(ISNUMBER(FIND("overige",Methode_Keuze)),"",IF(Tb_Activiteiten[[#This Row],[Overige kosten]]=1,Tb_Activiteiten[[#Headers],[Overige kosten]],""))</f>
        <v/>
      </c>
    </row>
    <row r="1371" spans="15:53" x14ac:dyDescent="0.25">
      <c r="O1371" s="56"/>
      <c r="Q1371" t="str">
        <f>IFERROR(IF(VLOOKUP(Tb_Activiteiten[[#This Row],[Openstelling]],Tb_Openstelling[],2,0)=1,1,""),"")</f>
        <v/>
      </c>
      <c r="AK1371" t="str">
        <f>IF(ISNUMBER(FIND("arbeid",Methode_Keuze)),"",IF(ISNUMBER(FIND("arbeid",Methode_Keuze)),"",IF(Tb_Activiteiten[[#This Row],[Loonkosten]]=1,Tb_Activiteiten[[#Headers],[Loonkosten]],"")))</f>
        <v/>
      </c>
      <c r="AL1371" t="str">
        <f>IF(ISNUMBER(FIND("arbeid",Methode_Keuze)),"",IF(ISNUMBER(FIND("arbeid",Methode_Keuze)),"",IF(Tb_Activiteiten[[#This Row],[Eigen arbeid]]=1,Tb_Activiteiten[[#Headers],[Eigen arbeid]],"")))</f>
        <v/>
      </c>
      <c r="AM1371" t="str">
        <f>IF(ISNUMBER(FIND("arbeid",Methode_Keuze)),"",IF(ISNUMBER(FIND("arbeid",Methode_Keuze)),"",IF(Tb_Activiteiten[[#This Row],[Projectmedewerker]]=1,Tb_Activiteiten[[#Headers],[Projectmedewerker]],"")))</f>
        <v/>
      </c>
      <c r="AN1371" t="str">
        <f>IF(ISNUMBER(FIND("arbeid",Methode_Keuze)),"",IF(ISNUMBER(FIND("arbeid",Methode_Keuze)),"",IF(Tb_Activiteiten[[#This Row],[Landbouwer]]=1,Tb_Activiteiten[[#Headers],[Landbouwer]],"")))</f>
        <v/>
      </c>
      <c r="AO1371" t="str">
        <f>IF(ISNUMBER(FIND("arbeid",Methode_Keuze)),"",IF(ISNUMBER(FIND("arbeid",Methode_Keuze)),"",IF(Tb_Activiteiten[[#This Row],[Adviseur]]=1,Tb_Activiteiten[[#Headers],[Adviseur]],"")))</f>
        <v/>
      </c>
      <c r="AP1371" t="str">
        <f>IF(ISNUMBER(FIND("arbeid",Methode_Keuze)),"",IF(ISNUMBER(FIND("arbeid",Methode_Keuze)),"",IF(Tb_Activiteiten[[#This Row],[Projectleider/Expert]]=1,Tb_Activiteiten[[#Headers],[Projectleider/Expert]],"")))</f>
        <v/>
      </c>
      <c r="AQ1371" t="str">
        <f>IF(ISNUMBER(FIND("arbeid",Methode_Keuze)),"",IF(ISNUMBER(FIND("arbeid",Methode_Keuze)),"",IF(Tb_Activiteiten[[#This Row],[Arbeidskosten]]=1,Tb_Activiteiten[[#Headers],[Arbeidskosten]],"")))</f>
        <v/>
      </c>
      <c r="AR1371" t="str">
        <f>IF(ISNUMBER(FIND("arbeid",Methode_Keuze)),"",IF(ISNUMBER(FIND("arbeid",Methode_Keuze)),"",IF(Tb_Activiteiten[[#This Row],[Arbeidskosten op basis van IKS]]=1,Tb_Activiteiten[[#Headers],[Arbeidskosten op basis van IKS]],"")))</f>
        <v/>
      </c>
      <c r="AS1371" t="str">
        <f>IF(ISNUMBER(FIND("overige",Methode_Keuze)),"",IF(Tb_Activiteiten[[#This Row],[Kosten derden exclusief btw]]=1,Tb_Activiteiten[[#Headers],[Kosten derden exclusief btw]],""))</f>
        <v/>
      </c>
      <c r="AT1371" t="str">
        <f>IF(ISNUMBER(FIND("overige",Methode_Keuze)),"",IF(Tb_Activiteiten[[#This Row],[Niet verrekenbare btw]]=1,Tb_Activiteiten[[#Headers],[Niet verrekenbare btw]],""))</f>
        <v/>
      </c>
      <c r="AU1371" t="str">
        <f>IF(ISNUMBER(FIND("overige",Methode_Keuze)),"",IF(Tb_Activiteiten[[#This Row],[Grondkosten]]=1,Tb_Activiteiten[[#Headers],[Grondkosten]],""))</f>
        <v/>
      </c>
      <c r="AV1371" t="str">
        <f>IF(ISNUMBER(FIND("overige",Methode_Keuze)),"",IF(Tb_Activiteiten[[#This Row],[Bijdrage in natura (overige)]]=1,Tb_Activiteiten[[#Headers],[Bijdrage in natura (overige)]],""))</f>
        <v/>
      </c>
      <c r="AW1371" t="str">
        <f>IF(ISNUMBER(FIND("overige",Methode_Keuze)),"",IF(Tb_Activiteiten[[#This Row],[Bijdrage in natura (vrijwilligers)]]=1,Tb_Activiteiten[[#Headers],[Bijdrage in natura (vrijwilligers)]],""))</f>
        <v/>
      </c>
      <c r="AX1371" t="str">
        <f>IF(ISNUMBER(FIND("overige",Methode_Keuze)),"",IF(Tb_Activiteiten[[#This Row],[Afschrijvingskosten]]=1,Tb_Activiteiten[[#Headers],[Afschrijvingskosten]],""))</f>
        <v/>
      </c>
      <c r="AY1371" t="str">
        <f>IF(ISNUMBER(FIND("overige",Methode_Keuze)),"",IF(Tb_Activiteiten[[#This Row],[Vergoeding]]=1,Tb_Activiteiten[[#Headers],[Vergoeding]],""))</f>
        <v/>
      </c>
      <c r="AZ1371" t="str">
        <f>IF(ISNUMBER(FIND("arbeid",Methode_Keuze)),"",IF(Tb_Activiteiten[[#This Row],[Arbeidskosten - vast tarief (excl eigen arbeid)]]=1,Tb_Activiteiten[[#Headers],[Arbeidskosten - vast tarief (excl eigen arbeid)]],""))</f>
        <v/>
      </c>
      <c r="BA1371" t="str">
        <f>IF(ISNUMBER(FIND("overige",Methode_Keuze)),"",IF(Tb_Activiteiten[[#This Row],[Overige kosten]]=1,Tb_Activiteiten[[#Headers],[Overige kosten]],""))</f>
        <v/>
      </c>
    </row>
    <row r="1372" spans="15:53" x14ac:dyDescent="0.25">
      <c r="O1372" s="56"/>
      <c r="Q1372" t="str">
        <f>IFERROR(IF(VLOOKUP(Tb_Activiteiten[[#This Row],[Openstelling]],Tb_Openstelling[],2,0)=1,1,""),"")</f>
        <v/>
      </c>
      <c r="AK1372" t="str">
        <f>IF(ISNUMBER(FIND("arbeid",Methode_Keuze)),"",IF(ISNUMBER(FIND("arbeid",Methode_Keuze)),"",IF(Tb_Activiteiten[[#This Row],[Loonkosten]]=1,Tb_Activiteiten[[#Headers],[Loonkosten]],"")))</f>
        <v/>
      </c>
      <c r="AL1372" t="str">
        <f>IF(ISNUMBER(FIND("arbeid",Methode_Keuze)),"",IF(ISNUMBER(FIND("arbeid",Methode_Keuze)),"",IF(Tb_Activiteiten[[#This Row],[Eigen arbeid]]=1,Tb_Activiteiten[[#Headers],[Eigen arbeid]],"")))</f>
        <v/>
      </c>
      <c r="AM1372" t="str">
        <f>IF(ISNUMBER(FIND("arbeid",Methode_Keuze)),"",IF(ISNUMBER(FIND("arbeid",Methode_Keuze)),"",IF(Tb_Activiteiten[[#This Row],[Projectmedewerker]]=1,Tb_Activiteiten[[#Headers],[Projectmedewerker]],"")))</f>
        <v/>
      </c>
      <c r="AN1372" t="str">
        <f>IF(ISNUMBER(FIND("arbeid",Methode_Keuze)),"",IF(ISNUMBER(FIND("arbeid",Methode_Keuze)),"",IF(Tb_Activiteiten[[#This Row],[Landbouwer]]=1,Tb_Activiteiten[[#Headers],[Landbouwer]],"")))</f>
        <v/>
      </c>
      <c r="AO1372" t="str">
        <f>IF(ISNUMBER(FIND("arbeid",Methode_Keuze)),"",IF(ISNUMBER(FIND("arbeid",Methode_Keuze)),"",IF(Tb_Activiteiten[[#This Row],[Adviseur]]=1,Tb_Activiteiten[[#Headers],[Adviseur]],"")))</f>
        <v/>
      </c>
      <c r="AP1372" t="str">
        <f>IF(ISNUMBER(FIND("arbeid",Methode_Keuze)),"",IF(ISNUMBER(FIND("arbeid",Methode_Keuze)),"",IF(Tb_Activiteiten[[#This Row],[Projectleider/Expert]]=1,Tb_Activiteiten[[#Headers],[Projectleider/Expert]],"")))</f>
        <v/>
      </c>
      <c r="AQ1372" t="str">
        <f>IF(ISNUMBER(FIND("arbeid",Methode_Keuze)),"",IF(ISNUMBER(FIND("arbeid",Methode_Keuze)),"",IF(Tb_Activiteiten[[#This Row],[Arbeidskosten]]=1,Tb_Activiteiten[[#Headers],[Arbeidskosten]],"")))</f>
        <v/>
      </c>
      <c r="AR1372" t="str">
        <f>IF(ISNUMBER(FIND("arbeid",Methode_Keuze)),"",IF(ISNUMBER(FIND("arbeid",Methode_Keuze)),"",IF(Tb_Activiteiten[[#This Row],[Arbeidskosten op basis van IKS]]=1,Tb_Activiteiten[[#Headers],[Arbeidskosten op basis van IKS]],"")))</f>
        <v/>
      </c>
      <c r="AS1372" t="str">
        <f>IF(ISNUMBER(FIND("overige",Methode_Keuze)),"",IF(Tb_Activiteiten[[#This Row],[Kosten derden exclusief btw]]=1,Tb_Activiteiten[[#Headers],[Kosten derden exclusief btw]],""))</f>
        <v/>
      </c>
      <c r="AT1372" t="str">
        <f>IF(ISNUMBER(FIND("overige",Methode_Keuze)),"",IF(Tb_Activiteiten[[#This Row],[Niet verrekenbare btw]]=1,Tb_Activiteiten[[#Headers],[Niet verrekenbare btw]],""))</f>
        <v/>
      </c>
      <c r="AU1372" t="str">
        <f>IF(ISNUMBER(FIND("overige",Methode_Keuze)),"",IF(Tb_Activiteiten[[#This Row],[Grondkosten]]=1,Tb_Activiteiten[[#Headers],[Grondkosten]],""))</f>
        <v/>
      </c>
      <c r="AV1372" t="str">
        <f>IF(ISNUMBER(FIND("overige",Methode_Keuze)),"",IF(Tb_Activiteiten[[#This Row],[Bijdrage in natura (overige)]]=1,Tb_Activiteiten[[#Headers],[Bijdrage in natura (overige)]],""))</f>
        <v/>
      </c>
      <c r="AW1372" t="str">
        <f>IF(ISNUMBER(FIND("overige",Methode_Keuze)),"",IF(Tb_Activiteiten[[#This Row],[Bijdrage in natura (vrijwilligers)]]=1,Tb_Activiteiten[[#Headers],[Bijdrage in natura (vrijwilligers)]],""))</f>
        <v/>
      </c>
      <c r="AX1372" t="str">
        <f>IF(ISNUMBER(FIND("overige",Methode_Keuze)),"",IF(Tb_Activiteiten[[#This Row],[Afschrijvingskosten]]=1,Tb_Activiteiten[[#Headers],[Afschrijvingskosten]],""))</f>
        <v/>
      </c>
      <c r="AY1372" t="str">
        <f>IF(ISNUMBER(FIND("overige",Methode_Keuze)),"",IF(Tb_Activiteiten[[#This Row],[Vergoeding]]=1,Tb_Activiteiten[[#Headers],[Vergoeding]],""))</f>
        <v/>
      </c>
      <c r="AZ1372" t="str">
        <f>IF(ISNUMBER(FIND("arbeid",Methode_Keuze)),"",IF(Tb_Activiteiten[[#This Row],[Arbeidskosten - vast tarief (excl eigen arbeid)]]=1,Tb_Activiteiten[[#Headers],[Arbeidskosten - vast tarief (excl eigen arbeid)]],""))</f>
        <v/>
      </c>
      <c r="BA1372" t="str">
        <f>IF(ISNUMBER(FIND("overige",Methode_Keuze)),"",IF(Tb_Activiteiten[[#This Row],[Overige kosten]]=1,Tb_Activiteiten[[#Headers],[Overige kosten]],""))</f>
        <v/>
      </c>
    </row>
    <row r="1373" spans="15:53" x14ac:dyDescent="0.25">
      <c r="O1373" s="56"/>
      <c r="Q1373" t="str">
        <f>IFERROR(IF(VLOOKUP(Tb_Activiteiten[[#This Row],[Openstelling]],Tb_Openstelling[],2,0)=1,1,""),"")</f>
        <v/>
      </c>
      <c r="AK1373" t="str">
        <f>IF(ISNUMBER(FIND("arbeid",Methode_Keuze)),"",IF(ISNUMBER(FIND("arbeid",Methode_Keuze)),"",IF(Tb_Activiteiten[[#This Row],[Loonkosten]]=1,Tb_Activiteiten[[#Headers],[Loonkosten]],"")))</f>
        <v/>
      </c>
      <c r="AL1373" t="str">
        <f>IF(ISNUMBER(FIND("arbeid",Methode_Keuze)),"",IF(ISNUMBER(FIND("arbeid",Methode_Keuze)),"",IF(Tb_Activiteiten[[#This Row],[Eigen arbeid]]=1,Tb_Activiteiten[[#Headers],[Eigen arbeid]],"")))</f>
        <v/>
      </c>
      <c r="AM1373" t="str">
        <f>IF(ISNUMBER(FIND("arbeid",Methode_Keuze)),"",IF(ISNUMBER(FIND("arbeid",Methode_Keuze)),"",IF(Tb_Activiteiten[[#This Row],[Projectmedewerker]]=1,Tb_Activiteiten[[#Headers],[Projectmedewerker]],"")))</f>
        <v/>
      </c>
      <c r="AN1373" t="str">
        <f>IF(ISNUMBER(FIND("arbeid",Methode_Keuze)),"",IF(ISNUMBER(FIND("arbeid",Methode_Keuze)),"",IF(Tb_Activiteiten[[#This Row],[Landbouwer]]=1,Tb_Activiteiten[[#Headers],[Landbouwer]],"")))</f>
        <v/>
      </c>
      <c r="AO1373" t="str">
        <f>IF(ISNUMBER(FIND("arbeid",Methode_Keuze)),"",IF(ISNUMBER(FIND("arbeid",Methode_Keuze)),"",IF(Tb_Activiteiten[[#This Row],[Adviseur]]=1,Tb_Activiteiten[[#Headers],[Adviseur]],"")))</f>
        <v/>
      </c>
      <c r="AP1373" t="str">
        <f>IF(ISNUMBER(FIND("arbeid",Methode_Keuze)),"",IF(ISNUMBER(FIND("arbeid",Methode_Keuze)),"",IF(Tb_Activiteiten[[#This Row],[Projectleider/Expert]]=1,Tb_Activiteiten[[#Headers],[Projectleider/Expert]],"")))</f>
        <v/>
      </c>
      <c r="AQ1373" t="str">
        <f>IF(ISNUMBER(FIND("arbeid",Methode_Keuze)),"",IF(ISNUMBER(FIND("arbeid",Methode_Keuze)),"",IF(Tb_Activiteiten[[#This Row],[Arbeidskosten]]=1,Tb_Activiteiten[[#Headers],[Arbeidskosten]],"")))</f>
        <v/>
      </c>
      <c r="AR1373" t="str">
        <f>IF(ISNUMBER(FIND("arbeid",Methode_Keuze)),"",IF(ISNUMBER(FIND("arbeid",Methode_Keuze)),"",IF(Tb_Activiteiten[[#This Row],[Arbeidskosten op basis van IKS]]=1,Tb_Activiteiten[[#Headers],[Arbeidskosten op basis van IKS]],"")))</f>
        <v/>
      </c>
      <c r="AS1373" t="str">
        <f>IF(ISNUMBER(FIND("overige",Methode_Keuze)),"",IF(Tb_Activiteiten[[#This Row],[Kosten derden exclusief btw]]=1,Tb_Activiteiten[[#Headers],[Kosten derden exclusief btw]],""))</f>
        <v/>
      </c>
      <c r="AT1373" t="str">
        <f>IF(ISNUMBER(FIND("overige",Methode_Keuze)),"",IF(Tb_Activiteiten[[#This Row],[Niet verrekenbare btw]]=1,Tb_Activiteiten[[#Headers],[Niet verrekenbare btw]],""))</f>
        <v/>
      </c>
      <c r="AU1373" t="str">
        <f>IF(ISNUMBER(FIND("overige",Methode_Keuze)),"",IF(Tb_Activiteiten[[#This Row],[Grondkosten]]=1,Tb_Activiteiten[[#Headers],[Grondkosten]],""))</f>
        <v/>
      </c>
      <c r="AV1373" t="str">
        <f>IF(ISNUMBER(FIND("overige",Methode_Keuze)),"",IF(Tb_Activiteiten[[#This Row],[Bijdrage in natura (overige)]]=1,Tb_Activiteiten[[#Headers],[Bijdrage in natura (overige)]],""))</f>
        <v/>
      </c>
      <c r="AW1373" t="str">
        <f>IF(ISNUMBER(FIND("overige",Methode_Keuze)),"",IF(Tb_Activiteiten[[#This Row],[Bijdrage in natura (vrijwilligers)]]=1,Tb_Activiteiten[[#Headers],[Bijdrage in natura (vrijwilligers)]],""))</f>
        <v/>
      </c>
      <c r="AX1373" t="str">
        <f>IF(ISNUMBER(FIND("overige",Methode_Keuze)),"",IF(Tb_Activiteiten[[#This Row],[Afschrijvingskosten]]=1,Tb_Activiteiten[[#Headers],[Afschrijvingskosten]],""))</f>
        <v/>
      </c>
      <c r="AY1373" t="str">
        <f>IF(ISNUMBER(FIND("overige",Methode_Keuze)),"",IF(Tb_Activiteiten[[#This Row],[Vergoeding]]=1,Tb_Activiteiten[[#Headers],[Vergoeding]],""))</f>
        <v/>
      </c>
      <c r="AZ1373" t="str">
        <f>IF(ISNUMBER(FIND("arbeid",Methode_Keuze)),"",IF(Tb_Activiteiten[[#This Row],[Arbeidskosten - vast tarief (excl eigen arbeid)]]=1,Tb_Activiteiten[[#Headers],[Arbeidskosten - vast tarief (excl eigen arbeid)]],""))</f>
        <v/>
      </c>
      <c r="BA1373" t="str">
        <f>IF(ISNUMBER(FIND("overige",Methode_Keuze)),"",IF(Tb_Activiteiten[[#This Row],[Overige kosten]]=1,Tb_Activiteiten[[#Headers],[Overige kosten]],""))</f>
        <v/>
      </c>
    </row>
    <row r="1374" spans="15:53" x14ac:dyDescent="0.25">
      <c r="O1374" s="56"/>
      <c r="Q1374" t="str">
        <f>IFERROR(IF(VLOOKUP(Tb_Activiteiten[[#This Row],[Openstelling]],Tb_Openstelling[],2,0)=1,1,""),"")</f>
        <v/>
      </c>
      <c r="AK1374" t="str">
        <f>IF(ISNUMBER(FIND("arbeid",Methode_Keuze)),"",IF(ISNUMBER(FIND("arbeid",Methode_Keuze)),"",IF(Tb_Activiteiten[[#This Row],[Loonkosten]]=1,Tb_Activiteiten[[#Headers],[Loonkosten]],"")))</f>
        <v/>
      </c>
      <c r="AL1374" t="str">
        <f>IF(ISNUMBER(FIND("arbeid",Methode_Keuze)),"",IF(ISNUMBER(FIND("arbeid",Methode_Keuze)),"",IF(Tb_Activiteiten[[#This Row],[Eigen arbeid]]=1,Tb_Activiteiten[[#Headers],[Eigen arbeid]],"")))</f>
        <v/>
      </c>
      <c r="AM1374" t="str">
        <f>IF(ISNUMBER(FIND("arbeid",Methode_Keuze)),"",IF(ISNUMBER(FIND("arbeid",Methode_Keuze)),"",IF(Tb_Activiteiten[[#This Row],[Projectmedewerker]]=1,Tb_Activiteiten[[#Headers],[Projectmedewerker]],"")))</f>
        <v/>
      </c>
      <c r="AN1374" t="str">
        <f>IF(ISNUMBER(FIND("arbeid",Methode_Keuze)),"",IF(ISNUMBER(FIND("arbeid",Methode_Keuze)),"",IF(Tb_Activiteiten[[#This Row],[Landbouwer]]=1,Tb_Activiteiten[[#Headers],[Landbouwer]],"")))</f>
        <v/>
      </c>
      <c r="AO1374" t="str">
        <f>IF(ISNUMBER(FIND("arbeid",Methode_Keuze)),"",IF(ISNUMBER(FIND("arbeid",Methode_Keuze)),"",IF(Tb_Activiteiten[[#This Row],[Adviseur]]=1,Tb_Activiteiten[[#Headers],[Adviseur]],"")))</f>
        <v/>
      </c>
      <c r="AP1374" t="str">
        <f>IF(ISNUMBER(FIND("arbeid",Methode_Keuze)),"",IF(ISNUMBER(FIND("arbeid",Methode_Keuze)),"",IF(Tb_Activiteiten[[#This Row],[Projectleider/Expert]]=1,Tb_Activiteiten[[#Headers],[Projectleider/Expert]],"")))</f>
        <v/>
      </c>
      <c r="AQ1374" t="str">
        <f>IF(ISNUMBER(FIND("arbeid",Methode_Keuze)),"",IF(ISNUMBER(FIND("arbeid",Methode_Keuze)),"",IF(Tb_Activiteiten[[#This Row],[Arbeidskosten]]=1,Tb_Activiteiten[[#Headers],[Arbeidskosten]],"")))</f>
        <v/>
      </c>
      <c r="AR1374" t="str">
        <f>IF(ISNUMBER(FIND("arbeid",Methode_Keuze)),"",IF(ISNUMBER(FIND("arbeid",Methode_Keuze)),"",IF(Tb_Activiteiten[[#This Row],[Arbeidskosten op basis van IKS]]=1,Tb_Activiteiten[[#Headers],[Arbeidskosten op basis van IKS]],"")))</f>
        <v/>
      </c>
      <c r="AS1374" t="str">
        <f>IF(ISNUMBER(FIND("overige",Methode_Keuze)),"",IF(Tb_Activiteiten[[#This Row],[Kosten derden exclusief btw]]=1,Tb_Activiteiten[[#Headers],[Kosten derden exclusief btw]],""))</f>
        <v/>
      </c>
      <c r="AT1374" t="str">
        <f>IF(ISNUMBER(FIND("overige",Methode_Keuze)),"",IF(Tb_Activiteiten[[#This Row],[Niet verrekenbare btw]]=1,Tb_Activiteiten[[#Headers],[Niet verrekenbare btw]],""))</f>
        <v/>
      </c>
      <c r="AU1374" t="str">
        <f>IF(ISNUMBER(FIND("overige",Methode_Keuze)),"",IF(Tb_Activiteiten[[#This Row],[Grondkosten]]=1,Tb_Activiteiten[[#Headers],[Grondkosten]],""))</f>
        <v/>
      </c>
      <c r="AV1374" t="str">
        <f>IF(ISNUMBER(FIND("overige",Methode_Keuze)),"",IF(Tb_Activiteiten[[#This Row],[Bijdrage in natura (overige)]]=1,Tb_Activiteiten[[#Headers],[Bijdrage in natura (overige)]],""))</f>
        <v/>
      </c>
      <c r="AW1374" t="str">
        <f>IF(ISNUMBER(FIND("overige",Methode_Keuze)),"",IF(Tb_Activiteiten[[#This Row],[Bijdrage in natura (vrijwilligers)]]=1,Tb_Activiteiten[[#Headers],[Bijdrage in natura (vrijwilligers)]],""))</f>
        <v/>
      </c>
      <c r="AX1374" t="str">
        <f>IF(ISNUMBER(FIND("overige",Methode_Keuze)),"",IF(Tb_Activiteiten[[#This Row],[Afschrijvingskosten]]=1,Tb_Activiteiten[[#Headers],[Afschrijvingskosten]],""))</f>
        <v/>
      </c>
      <c r="AY1374" t="str">
        <f>IF(ISNUMBER(FIND("overige",Methode_Keuze)),"",IF(Tb_Activiteiten[[#This Row],[Vergoeding]]=1,Tb_Activiteiten[[#Headers],[Vergoeding]],""))</f>
        <v/>
      </c>
      <c r="AZ1374" t="str">
        <f>IF(ISNUMBER(FIND("arbeid",Methode_Keuze)),"",IF(Tb_Activiteiten[[#This Row],[Arbeidskosten - vast tarief (excl eigen arbeid)]]=1,Tb_Activiteiten[[#Headers],[Arbeidskosten - vast tarief (excl eigen arbeid)]],""))</f>
        <v/>
      </c>
      <c r="BA1374" t="str">
        <f>IF(ISNUMBER(FIND("overige",Methode_Keuze)),"",IF(Tb_Activiteiten[[#This Row],[Overige kosten]]=1,Tb_Activiteiten[[#Headers],[Overige kosten]],""))</f>
        <v/>
      </c>
    </row>
    <row r="1375" spans="15:53" x14ac:dyDescent="0.25">
      <c r="O1375" s="56"/>
      <c r="Q1375" t="str">
        <f>IFERROR(IF(VLOOKUP(Tb_Activiteiten[[#This Row],[Openstelling]],Tb_Openstelling[],2,0)=1,1,""),"")</f>
        <v/>
      </c>
      <c r="AK1375" t="str">
        <f>IF(ISNUMBER(FIND("arbeid",Methode_Keuze)),"",IF(ISNUMBER(FIND("arbeid",Methode_Keuze)),"",IF(Tb_Activiteiten[[#This Row],[Loonkosten]]=1,Tb_Activiteiten[[#Headers],[Loonkosten]],"")))</f>
        <v/>
      </c>
      <c r="AL1375" t="str">
        <f>IF(ISNUMBER(FIND("arbeid",Methode_Keuze)),"",IF(ISNUMBER(FIND("arbeid",Methode_Keuze)),"",IF(Tb_Activiteiten[[#This Row],[Eigen arbeid]]=1,Tb_Activiteiten[[#Headers],[Eigen arbeid]],"")))</f>
        <v/>
      </c>
      <c r="AM1375" t="str">
        <f>IF(ISNUMBER(FIND("arbeid",Methode_Keuze)),"",IF(ISNUMBER(FIND("arbeid",Methode_Keuze)),"",IF(Tb_Activiteiten[[#This Row],[Projectmedewerker]]=1,Tb_Activiteiten[[#Headers],[Projectmedewerker]],"")))</f>
        <v/>
      </c>
      <c r="AN1375" t="str">
        <f>IF(ISNUMBER(FIND("arbeid",Methode_Keuze)),"",IF(ISNUMBER(FIND("arbeid",Methode_Keuze)),"",IF(Tb_Activiteiten[[#This Row],[Landbouwer]]=1,Tb_Activiteiten[[#Headers],[Landbouwer]],"")))</f>
        <v/>
      </c>
      <c r="AO1375" t="str">
        <f>IF(ISNUMBER(FIND("arbeid",Methode_Keuze)),"",IF(ISNUMBER(FIND("arbeid",Methode_Keuze)),"",IF(Tb_Activiteiten[[#This Row],[Adviseur]]=1,Tb_Activiteiten[[#Headers],[Adviseur]],"")))</f>
        <v/>
      </c>
      <c r="AP1375" t="str">
        <f>IF(ISNUMBER(FIND("arbeid",Methode_Keuze)),"",IF(ISNUMBER(FIND("arbeid",Methode_Keuze)),"",IF(Tb_Activiteiten[[#This Row],[Projectleider/Expert]]=1,Tb_Activiteiten[[#Headers],[Projectleider/Expert]],"")))</f>
        <v/>
      </c>
      <c r="AQ1375" t="str">
        <f>IF(ISNUMBER(FIND("arbeid",Methode_Keuze)),"",IF(ISNUMBER(FIND("arbeid",Methode_Keuze)),"",IF(Tb_Activiteiten[[#This Row],[Arbeidskosten]]=1,Tb_Activiteiten[[#Headers],[Arbeidskosten]],"")))</f>
        <v/>
      </c>
      <c r="AR1375" t="str">
        <f>IF(ISNUMBER(FIND("arbeid",Methode_Keuze)),"",IF(ISNUMBER(FIND("arbeid",Methode_Keuze)),"",IF(Tb_Activiteiten[[#This Row],[Arbeidskosten op basis van IKS]]=1,Tb_Activiteiten[[#Headers],[Arbeidskosten op basis van IKS]],"")))</f>
        <v/>
      </c>
      <c r="AS1375" t="str">
        <f>IF(ISNUMBER(FIND("overige",Methode_Keuze)),"",IF(Tb_Activiteiten[[#This Row],[Kosten derden exclusief btw]]=1,Tb_Activiteiten[[#Headers],[Kosten derden exclusief btw]],""))</f>
        <v/>
      </c>
      <c r="AT1375" t="str">
        <f>IF(ISNUMBER(FIND("overige",Methode_Keuze)),"",IF(Tb_Activiteiten[[#This Row],[Niet verrekenbare btw]]=1,Tb_Activiteiten[[#Headers],[Niet verrekenbare btw]],""))</f>
        <v/>
      </c>
      <c r="AU1375" t="str">
        <f>IF(ISNUMBER(FIND("overige",Methode_Keuze)),"",IF(Tb_Activiteiten[[#This Row],[Grondkosten]]=1,Tb_Activiteiten[[#Headers],[Grondkosten]],""))</f>
        <v/>
      </c>
      <c r="AV1375" t="str">
        <f>IF(ISNUMBER(FIND("overige",Methode_Keuze)),"",IF(Tb_Activiteiten[[#This Row],[Bijdrage in natura (overige)]]=1,Tb_Activiteiten[[#Headers],[Bijdrage in natura (overige)]],""))</f>
        <v/>
      </c>
      <c r="AW1375" t="str">
        <f>IF(ISNUMBER(FIND("overige",Methode_Keuze)),"",IF(Tb_Activiteiten[[#This Row],[Bijdrage in natura (vrijwilligers)]]=1,Tb_Activiteiten[[#Headers],[Bijdrage in natura (vrijwilligers)]],""))</f>
        <v/>
      </c>
      <c r="AX1375" t="str">
        <f>IF(ISNUMBER(FIND("overige",Methode_Keuze)),"",IF(Tb_Activiteiten[[#This Row],[Afschrijvingskosten]]=1,Tb_Activiteiten[[#Headers],[Afschrijvingskosten]],""))</f>
        <v/>
      </c>
      <c r="AY1375" t="str">
        <f>IF(ISNUMBER(FIND("overige",Methode_Keuze)),"",IF(Tb_Activiteiten[[#This Row],[Vergoeding]]=1,Tb_Activiteiten[[#Headers],[Vergoeding]],""))</f>
        <v/>
      </c>
      <c r="AZ1375" t="str">
        <f>IF(ISNUMBER(FIND("arbeid",Methode_Keuze)),"",IF(Tb_Activiteiten[[#This Row],[Arbeidskosten - vast tarief (excl eigen arbeid)]]=1,Tb_Activiteiten[[#Headers],[Arbeidskosten - vast tarief (excl eigen arbeid)]],""))</f>
        <v/>
      </c>
      <c r="BA1375" t="str">
        <f>IF(ISNUMBER(FIND("overige",Methode_Keuze)),"",IF(Tb_Activiteiten[[#This Row],[Overige kosten]]=1,Tb_Activiteiten[[#Headers],[Overige kosten]],""))</f>
        <v/>
      </c>
    </row>
    <row r="1376" spans="15:53" x14ac:dyDescent="0.25">
      <c r="O1376" s="56"/>
      <c r="Q1376" t="str">
        <f>IFERROR(IF(VLOOKUP(Tb_Activiteiten[[#This Row],[Openstelling]],Tb_Openstelling[],2,0)=1,1,""),"")</f>
        <v/>
      </c>
      <c r="AK1376" t="str">
        <f>IF(ISNUMBER(FIND("arbeid",Methode_Keuze)),"",IF(ISNUMBER(FIND("arbeid",Methode_Keuze)),"",IF(Tb_Activiteiten[[#This Row],[Loonkosten]]=1,Tb_Activiteiten[[#Headers],[Loonkosten]],"")))</f>
        <v/>
      </c>
      <c r="AL1376" t="str">
        <f>IF(ISNUMBER(FIND("arbeid",Methode_Keuze)),"",IF(ISNUMBER(FIND("arbeid",Methode_Keuze)),"",IF(Tb_Activiteiten[[#This Row],[Eigen arbeid]]=1,Tb_Activiteiten[[#Headers],[Eigen arbeid]],"")))</f>
        <v/>
      </c>
      <c r="AM1376" t="str">
        <f>IF(ISNUMBER(FIND("arbeid",Methode_Keuze)),"",IF(ISNUMBER(FIND("arbeid",Methode_Keuze)),"",IF(Tb_Activiteiten[[#This Row],[Projectmedewerker]]=1,Tb_Activiteiten[[#Headers],[Projectmedewerker]],"")))</f>
        <v/>
      </c>
      <c r="AN1376" t="str">
        <f>IF(ISNUMBER(FIND("arbeid",Methode_Keuze)),"",IF(ISNUMBER(FIND("arbeid",Methode_Keuze)),"",IF(Tb_Activiteiten[[#This Row],[Landbouwer]]=1,Tb_Activiteiten[[#Headers],[Landbouwer]],"")))</f>
        <v/>
      </c>
      <c r="AO1376" t="str">
        <f>IF(ISNUMBER(FIND("arbeid",Methode_Keuze)),"",IF(ISNUMBER(FIND("arbeid",Methode_Keuze)),"",IF(Tb_Activiteiten[[#This Row],[Adviseur]]=1,Tb_Activiteiten[[#Headers],[Adviseur]],"")))</f>
        <v/>
      </c>
      <c r="AP1376" t="str">
        <f>IF(ISNUMBER(FIND("arbeid",Methode_Keuze)),"",IF(ISNUMBER(FIND("arbeid",Methode_Keuze)),"",IF(Tb_Activiteiten[[#This Row],[Projectleider/Expert]]=1,Tb_Activiteiten[[#Headers],[Projectleider/Expert]],"")))</f>
        <v/>
      </c>
      <c r="AQ1376" t="str">
        <f>IF(ISNUMBER(FIND("arbeid",Methode_Keuze)),"",IF(ISNUMBER(FIND("arbeid",Methode_Keuze)),"",IF(Tb_Activiteiten[[#This Row],[Arbeidskosten]]=1,Tb_Activiteiten[[#Headers],[Arbeidskosten]],"")))</f>
        <v/>
      </c>
      <c r="AR1376" t="str">
        <f>IF(ISNUMBER(FIND("arbeid",Methode_Keuze)),"",IF(ISNUMBER(FIND("arbeid",Methode_Keuze)),"",IF(Tb_Activiteiten[[#This Row],[Arbeidskosten op basis van IKS]]=1,Tb_Activiteiten[[#Headers],[Arbeidskosten op basis van IKS]],"")))</f>
        <v/>
      </c>
      <c r="AS1376" t="str">
        <f>IF(ISNUMBER(FIND("overige",Methode_Keuze)),"",IF(Tb_Activiteiten[[#This Row],[Kosten derden exclusief btw]]=1,Tb_Activiteiten[[#Headers],[Kosten derden exclusief btw]],""))</f>
        <v/>
      </c>
      <c r="AT1376" t="str">
        <f>IF(ISNUMBER(FIND("overige",Methode_Keuze)),"",IF(Tb_Activiteiten[[#This Row],[Niet verrekenbare btw]]=1,Tb_Activiteiten[[#Headers],[Niet verrekenbare btw]],""))</f>
        <v/>
      </c>
      <c r="AU1376" t="str">
        <f>IF(ISNUMBER(FIND("overige",Methode_Keuze)),"",IF(Tb_Activiteiten[[#This Row],[Grondkosten]]=1,Tb_Activiteiten[[#Headers],[Grondkosten]],""))</f>
        <v/>
      </c>
      <c r="AV1376" t="str">
        <f>IF(ISNUMBER(FIND("overige",Methode_Keuze)),"",IF(Tb_Activiteiten[[#This Row],[Bijdrage in natura (overige)]]=1,Tb_Activiteiten[[#Headers],[Bijdrage in natura (overige)]],""))</f>
        <v/>
      </c>
      <c r="AW1376" t="str">
        <f>IF(ISNUMBER(FIND("overige",Methode_Keuze)),"",IF(Tb_Activiteiten[[#This Row],[Bijdrage in natura (vrijwilligers)]]=1,Tb_Activiteiten[[#Headers],[Bijdrage in natura (vrijwilligers)]],""))</f>
        <v/>
      </c>
      <c r="AX1376" t="str">
        <f>IF(ISNUMBER(FIND("overige",Methode_Keuze)),"",IF(Tb_Activiteiten[[#This Row],[Afschrijvingskosten]]=1,Tb_Activiteiten[[#Headers],[Afschrijvingskosten]],""))</f>
        <v/>
      </c>
      <c r="AY1376" t="str">
        <f>IF(ISNUMBER(FIND("overige",Methode_Keuze)),"",IF(Tb_Activiteiten[[#This Row],[Vergoeding]]=1,Tb_Activiteiten[[#Headers],[Vergoeding]],""))</f>
        <v/>
      </c>
      <c r="AZ1376" t="str">
        <f>IF(ISNUMBER(FIND("arbeid",Methode_Keuze)),"",IF(Tb_Activiteiten[[#This Row],[Arbeidskosten - vast tarief (excl eigen arbeid)]]=1,Tb_Activiteiten[[#Headers],[Arbeidskosten - vast tarief (excl eigen arbeid)]],""))</f>
        <v/>
      </c>
      <c r="BA1376" t="str">
        <f>IF(ISNUMBER(FIND("overige",Methode_Keuze)),"",IF(Tb_Activiteiten[[#This Row],[Overige kosten]]=1,Tb_Activiteiten[[#Headers],[Overige kosten]],""))</f>
        <v/>
      </c>
    </row>
    <row r="1377" spans="15:53" x14ac:dyDescent="0.25">
      <c r="O1377" s="56"/>
      <c r="Q1377" t="str">
        <f>IFERROR(IF(VLOOKUP(Tb_Activiteiten[[#This Row],[Openstelling]],Tb_Openstelling[],2,0)=1,1,""),"")</f>
        <v/>
      </c>
      <c r="AK1377" t="str">
        <f>IF(ISNUMBER(FIND("arbeid",Methode_Keuze)),"",IF(ISNUMBER(FIND("arbeid",Methode_Keuze)),"",IF(Tb_Activiteiten[[#This Row],[Loonkosten]]=1,Tb_Activiteiten[[#Headers],[Loonkosten]],"")))</f>
        <v/>
      </c>
      <c r="AL1377" t="str">
        <f>IF(ISNUMBER(FIND("arbeid",Methode_Keuze)),"",IF(ISNUMBER(FIND("arbeid",Methode_Keuze)),"",IF(Tb_Activiteiten[[#This Row],[Eigen arbeid]]=1,Tb_Activiteiten[[#Headers],[Eigen arbeid]],"")))</f>
        <v/>
      </c>
      <c r="AM1377" t="str">
        <f>IF(ISNUMBER(FIND("arbeid",Methode_Keuze)),"",IF(ISNUMBER(FIND("arbeid",Methode_Keuze)),"",IF(Tb_Activiteiten[[#This Row],[Projectmedewerker]]=1,Tb_Activiteiten[[#Headers],[Projectmedewerker]],"")))</f>
        <v/>
      </c>
      <c r="AN1377" t="str">
        <f>IF(ISNUMBER(FIND("arbeid",Methode_Keuze)),"",IF(ISNUMBER(FIND("arbeid",Methode_Keuze)),"",IF(Tb_Activiteiten[[#This Row],[Landbouwer]]=1,Tb_Activiteiten[[#Headers],[Landbouwer]],"")))</f>
        <v/>
      </c>
      <c r="AO1377" t="str">
        <f>IF(ISNUMBER(FIND("arbeid",Methode_Keuze)),"",IF(ISNUMBER(FIND("arbeid",Methode_Keuze)),"",IF(Tb_Activiteiten[[#This Row],[Adviseur]]=1,Tb_Activiteiten[[#Headers],[Adviseur]],"")))</f>
        <v/>
      </c>
      <c r="AP1377" t="str">
        <f>IF(ISNUMBER(FIND("arbeid",Methode_Keuze)),"",IF(ISNUMBER(FIND("arbeid",Methode_Keuze)),"",IF(Tb_Activiteiten[[#This Row],[Projectleider/Expert]]=1,Tb_Activiteiten[[#Headers],[Projectleider/Expert]],"")))</f>
        <v/>
      </c>
      <c r="AQ1377" t="str">
        <f>IF(ISNUMBER(FIND("arbeid",Methode_Keuze)),"",IF(ISNUMBER(FIND("arbeid",Methode_Keuze)),"",IF(Tb_Activiteiten[[#This Row],[Arbeidskosten]]=1,Tb_Activiteiten[[#Headers],[Arbeidskosten]],"")))</f>
        <v/>
      </c>
      <c r="AR1377" t="str">
        <f>IF(ISNUMBER(FIND("arbeid",Methode_Keuze)),"",IF(ISNUMBER(FIND("arbeid",Methode_Keuze)),"",IF(Tb_Activiteiten[[#This Row],[Arbeidskosten op basis van IKS]]=1,Tb_Activiteiten[[#Headers],[Arbeidskosten op basis van IKS]],"")))</f>
        <v/>
      </c>
      <c r="AS1377" t="str">
        <f>IF(ISNUMBER(FIND("overige",Methode_Keuze)),"",IF(Tb_Activiteiten[[#This Row],[Kosten derden exclusief btw]]=1,Tb_Activiteiten[[#Headers],[Kosten derden exclusief btw]],""))</f>
        <v/>
      </c>
      <c r="AT1377" t="str">
        <f>IF(ISNUMBER(FIND("overige",Methode_Keuze)),"",IF(Tb_Activiteiten[[#This Row],[Niet verrekenbare btw]]=1,Tb_Activiteiten[[#Headers],[Niet verrekenbare btw]],""))</f>
        <v/>
      </c>
      <c r="AU1377" t="str">
        <f>IF(ISNUMBER(FIND("overige",Methode_Keuze)),"",IF(Tb_Activiteiten[[#This Row],[Grondkosten]]=1,Tb_Activiteiten[[#Headers],[Grondkosten]],""))</f>
        <v/>
      </c>
      <c r="AV1377" t="str">
        <f>IF(ISNUMBER(FIND("overige",Methode_Keuze)),"",IF(Tb_Activiteiten[[#This Row],[Bijdrage in natura (overige)]]=1,Tb_Activiteiten[[#Headers],[Bijdrage in natura (overige)]],""))</f>
        <v/>
      </c>
      <c r="AW1377" t="str">
        <f>IF(ISNUMBER(FIND("overige",Methode_Keuze)),"",IF(Tb_Activiteiten[[#This Row],[Bijdrage in natura (vrijwilligers)]]=1,Tb_Activiteiten[[#Headers],[Bijdrage in natura (vrijwilligers)]],""))</f>
        <v/>
      </c>
      <c r="AX1377" t="str">
        <f>IF(ISNUMBER(FIND("overige",Methode_Keuze)),"",IF(Tb_Activiteiten[[#This Row],[Afschrijvingskosten]]=1,Tb_Activiteiten[[#Headers],[Afschrijvingskosten]],""))</f>
        <v/>
      </c>
      <c r="AY1377" t="str">
        <f>IF(ISNUMBER(FIND("overige",Methode_Keuze)),"",IF(Tb_Activiteiten[[#This Row],[Vergoeding]]=1,Tb_Activiteiten[[#Headers],[Vergoeding]],""))</f>
        <v/>
      </c>
      <c r="AZ1377" t="str">
        <f>IF(ISNUMBER(FIND("arbeid",Methode_Keuze)),"",IF(Tb_Activiteiten[[#This Row],[Arbeidskosten - vast tarief (excl eigen arbeid)]]=1,Tb_Activiteiten[[#Headers],[Arbeidskosten - vast tarief (excl eigen arbeid)]],""))</f>
        <v/>
      </c>
      <c r="BA1377" t="str">
        <f>IF(ISNUMBER(FIND("overige",Methode_Keuze)),"",IF(Tb_Activiteiten[[#This Row],[Overige kosten]]=1,Tb_Activiteiten[[#Headers],[Overige kosten]],""))</f>
        <v/>
      </c>
    </row>
    <row r="1378" spans="15:53" x14ac:dyDescent="0.25">
      <c r="O1378" s="56"/>
      <c r="Q1378" t="str">
        <f>IFERROR(IF(VLOOKUP(Tb_Activiteiten[[#This Row],[Openstelling]],Tb_Openstelling[],2,0)=1,1,""),"")</f>
        <v/>
      </c>
      <c r="AK1378" t="str">
        <f>IF(ISNUMBER(FIND("arbeid",Methode_Keuze)),"",IF(ISNUMBER(FIND("arbeid",Methode_Keuze)),"",IF(Tb_Activiteiten[[#This Row],[Loonkosten]]=1,Tb_Activiteiten[[#Headers],[Loonkosten]],"")))</f>
        <v/>
      </c>
      <c r="AL1378" t="str">
        <f>IF(ISNUMBER(FIND("arbeid",Methode_Keuze)),"",IF(ISNUMBER(FIND("arbeid",Methode_Keuze)),"",IF(Tb_Activiteiten[[#This Row],[Eigen arbeid]]=1,Tb_Activiteiten[[#Headers],[Eigen arbeid]],"")))</f>
        <v/>
      </c>
      <c r="AM1378" t="str">
        <f>IF(ISNUMBER(FIND("arbeid",Methode_Keuze)),"",IF(ISNUMBER(FIND("arbeid",Methode_Keuze)),"",IF(Tb_Activiteiten[[#This Row],[Projectmedewerker]]=1,Tb_Activiteiten[[#Headers],[Projectmedewerker]],"")))</f>
        <v/>
      </c>
      <c r="AN1378" t="str">
        <f>IF(ISNUMBER(FIND("arbeid",Methode_Keuze)),"",IF(ISNUMBER(FIND("arbeid",Methode_Keuze)),"",IF(Tb_Activiteiten[[#This Row],[Landbouwer]]=1,Tb_Activiteiten[[#Headers],[Landbouwer]],"")))</f>
        <v/>
      </c>
      <c r="AO1378" t="str">
        <f>IF(ISNUMBER(FIND("arbeid",Methode_Keuze)),"",IF(ISNUMBER(FIND("arbeid",Methode_Keuze)),"",IF(Tb_Activiteiten[[#This Row],[Adviseur]]=1,Tb_Activiteiten[[#Headers],[Adviseur]],"")))</f>
        <v/>
      </c>
      <c r="AP1378" t="str">
        <f>IF(ISNUMBER(FIND("arbeid",Methode_Keuze)),"",IF(ISNUMBER(FIND("arbeid",Methode_Keuze)),"",IF(Tb_Activiteiten[[#This Row],[Projectleider/Expert]]=1,Tb_Activiteiten[[#Headers],[Projectleider/Expert]],"")))</f>
        <v/>
      </c>
      <c r="AQ1378" t="str">
        <f>IF(ISNUMBER(FIND("arbeid",Methode_Keuze)),"",IF(ISNUMBER(FIND("arbeid",Methode_Keuze)),"",IF(Tb_Activiteiten[[#This Row],[Arbeidskosten]]=1,Tb_Activiteiten[[#Headers],[Arbeidskosten]],"")))</f>
        <v/>
      </c>
      <c r="AR1378" t="str">
        <f>IF(ISNUMBER(FIND("arbeid",Methode_Keuze)),"",IF(ISNUMBER(FIND("arbeid",Methode_Keuze)),"",IF(Tb_Activiteiten[[#This Row],[Arbeidskosten op basis van IKS]]=1,Tb_Activiteiten[[#Headers],[Arbeidskosten op basis van IKS]],"")))</f>
        <v/>
      </c>
      <c r="AS1378" t="str">
        <f>IF(ISNUMBER(FIND("overige",Methode_Keuze)),"",IF(Tb_Activiteiten[[#This Row],[Kosten derden exclusief btw]]=1,Tb_Activiteiten[[#Headers],[Kosten derden exclusief btw]],""))</f>
        <v/>
      </c>
      <c r="AT1378" t="str">
        <f>IF(ISNUMBER(FIND("overige",Methode_Keuze)),"",IF(Tb_Activiteiten[[#This Row],[Niet verrekenbare btw]]=1,Tb_Activiteiten[[#Headers],[Niet verrekenbare btw]],""))</f>
        <v/>
      </c>
      <c r="AU1378" t="str">
        <f>IF(ISNUMBER(FIND("overige",Methode_Keuze)),"",IF(Tb_Activiteiten[[#This Row],[Grondkosten]]=1,Tb_Activiteiten[[#Headers],[Grondkosten]],""))</f>
        <v/>
      </c>
      <c r="AV1378" t="str">
        <f>IF(ISNUMBER(FIND("overige",Methode_Keuze)),"",IF(Tb_Activiteiten[[#This Row],[Bijdrage in natura (overige)]]=1,Tb_Activiteiten[[#Headers],[Bijdrage in natura (overige)]],""))</f>
        <v/>
      </c>
      <c r="AW1378" t="str">
        <f>IF(ISNUMBER(FIND("overige",Methode_Keuze)),"",IF(Tb_Activiteiten[[#This Row],[Bijdrage in natura (vrijwilligers)]]=1,Tb_Activiteiten[[#Headers],[Bijdrage in natura (vrijwilligers)]],""))</f>
        <v/>
      </c>
      <c r="AX1378" t="str">
        <f>IF(ISNUMBER(FIND("overige",Methode_Keuze)),"",IF(Tb_Activiteiten[[#This Row],[Afschrijvingskosten]]=1,Tb_Activiteiten[[#Headers],[Afschrijvingskosten]],""))</f>
        <v/>
      </c>
      <c r="AY1378" t="str">
        <f>IF(ISNUMBER(FIND("overige",Methode_Keuze)),"",IF(Tb_Activiteiten[[#This Row],[Vergoeding]]=1,Tb_Activiteiten[[#Headers],[Vergoeding]],""))</f>
        <v/>
      </c>
      <c r="AZ1378" t="str">
        <f>IF(ISNUMBER(FIND("arbeid",Methode_Keuze)),"",IF(Tb_Activiteiten[[#This Row],[Arbeidskosten - vast tarief (excl eigen arbeid)]]=1,Tb_Activiteiten[[#Headers],[Arbeidskosten - vast tarief (excl eigen arbeid)]],""))</f>
        <v/>
      </c>
      <c r="BA1378" t="str">
        <f>IF(ISNUMBER(FIND("overige",Methode_Keuze)),"",IF(Tb_Activiteiten[[#This Row],[Overige kosten]]=1,Tb_Activiteiten[[#Headers],[Overige kosten]],""))</f>
        <v/>
      </c>
    </row>
    <row r="1379" spans="15:53" x14ac:dyDescent="0.25">
      <c r="O1379" s="56"/>
      <c r="Q1379" t="str">
        <f>IFERROR(IF(VLOOKUP(Tb_Activiteiten[[#This Row],[Openstelling]],Tb_Openstelling[],2,0)=1,1,""),"")</f>
        <v/>
      </c>
      <c r="AK1379" t="str">
        <f>IF(ISNUMBER(FIND("arbeid",Methode_Keuze)),"",IF(ISNUMBER(FIND("arbeid",Methode_Keuze)),"",IF(Tb_Activiteiten[[#This Row],[Loonkosten]]=1,Tb_Activiteiten[[#Headers],[Loonkosten]],"")))</f>
        <v/>
      </c>
      <c r="AL1379" t="str">
        <f>IF(ISNUMBER(FIND("arbeid",Methode_Keuze)),"",IF(ISNUMBER(FIND("arbeid",Methode_Keuze)),"",IF(Tb_Activiteiten[[#This Row],[Eigen arbeid]]=1,Tb_Activiteiten[[#Headers],[Eigen arbeid]],"")))</f>
        <v/>
      </c>
      <c r="AM1379" t="str">
        <f>IF(ISNUMBER(FIND("arbeid",Methode_Keuze)),"",IF(ISNUMBER(FIND("arbeid",Methode_Keuze)),"",IF(Tb_Activiteiten[[#This Row],[Projectmedewerker]]=1,Tb_Activiteiten[[#Headers],[Projectmedewerker]],"")))</f>
        <v/>
      </c>
      <c r="AN1379" t="str">
        <f>IF(ISNUMBER(FIND("arbeid",Methode_Keuze)),"",IF(ISNUMBER(FIND("arbeid",Methode_Keuze)),"",IF(Tb_Activiteiten[[#This Row],[Landbouwer]]=1,Tb_Activiteiten[[#Headers],[Landbouwer]],"")))</f>
        <v/>
      </c>
      <c r="AO1379" t="str">
        <f>IF(ISNUMBER(FIND("arbeid",Methode_Keuze)),"",IF(ISNUMBER(FIND("arbeid",Methode_Keuze)),"",IF(Tb_Activiteiten[[#This Row],[Adviseur]]=1,Tb_Activiteiten[[#Headers],[Adviseur]],"")))</f>
        <v/>
      </c>
      <c r="AP1379" t="str">
        <f>IF(ISNUMBER(FIND("arbeid",Methode_Keuze)),"",IF(ISNUMBER(FIND("arbeid",Methode_Keuze)),"",IF(Tb_Activiteiten[[#This Row],[Projectleider/Expert]]=1,Tb_Activiteiten[[#Headers],[Projectleider/Expert]],"")))</f>
        <v/>
      </c>
      <c r="AQ1379" t="str">
        <f>IF(ISNUMBER(FIND("arbeid",Methode_Keuze)),"",IF(ISNUMBER(FIND("arbeid",Methode_Keuze)),"",IF(Tb_Activiteiten[[#This Row],[Arbeidskosten]]=1,Tb_Activiteiten[[#Headers],[Arbeidskosten]],"")))</f>
        <v/>
      </c>
      <c r="AR1379" t="str">
        <f>IF(ISNUMBER(FIND("arbeid",Methode_Keuze)),"",IF(ISNUMBER(FIND("arbeid",Methode_Keuze)),"",IF(Tb_Activiteiten[[#This Row],[Arbeidskosten op basis van IKS]]=1,Tb_Activiteiten[[#Headers],[Arbeidskosten op basis van IKS]],"")))</f>
        <v/>
      </c>
      <c r="AS1379" t="str">
        <f>IF(ISNUMBER(FIND("overige",Methode_Keuze)),"",IF(Tb_Activiteiten[[#This Row],[Kosten derden exclusief btw]]=1,Tb_Activiteiten[[#Headers],[Kosten derden exclusief btw]],""))</f>
        <v/>
      </c>
      <c r="AT1379" t="str">
        <f>IF(ISNUMBER(FIND("overige",Methode_Keuze)),"",IF(Tb_Activiteiten[[#This Row],[Niet verrekenbare btw]]=1,Tb_Activiteiten[[#Headers],[Niet verrekenbare btw]],""))</f>
        <v/>
      </c>
      <c r="AU1379" t="str">
        <f>IF(ISNUMBER(FIND("overige",Methode_Keuze)),"",IF(Tb_Activiteiten[[#This Row],[Grondkosten]]=1,Tb_Activiteiten[[#Headers],[Grondkosten]],""))</f>
        <v/>
      </c>
      <c r="AV1379" t="str">
        <f>IF(ISNUMBER(FIND("overige",Methode_Keuze)),"",IF(Tb_Activiteiten[[#This Row],[Bijdrage in natura (overige)]]=1,Tb_Activiteiten[[#Headers],[Bijdrage in natura (overige)]],""))</f>
        <v/>
      </c>
      <c r="AW1379" t="str">
        <f>IF(ISNUMBER(FIND("overige",Methode_Keuze)),"",IF(Tb_Activiteiten[[#This Row],[Bijdrage in natura (vrijwilligers)]]=1,Tb_Activiteiten[[#Headers],[Bijdrage in natura (vrijwilligers)]],""))</f>
        <v/>
      </c>
      <c r="AX1379" t="str">
        <f>IF(ISNUMBER(FIND("overige",Methode_Keuze)),"",IF(Tb_Activiteiten[[#This Row],[Afschrijvingskosten]]=1,Tb_Activiteiten[[#Headers],[Afschrijvingskosten]],""))</f>
        <v/>
      </c>
      <c r="AY1379" t="str">
        <f>IF(ISNUMBER(FIND("overige",Methode_Keuze)),"",IF(Tb_Activiteiten[[#This Row],[Vergoeding]]=1,Tb_Activiteiten[[#Headers],[Vergoeding]],""))</f>
        <v/>
      </c>
      <c r="AZ1379" t="str">
        <f>IF(ISNUMBER(FIND("arbeid",Methode_Keuze)),"",IF(Tb_Activiteiten[[#This Row],[Arbeidskosten - vast tarief (excl eigen arbeid)]]=1,Tb_Activiteiten[[#Headers],[Arbeidskosten - vast tarief (excl eigen arbeid)]],""))</f>
        <v/>
      </c>
      <c r="BA1379" t="str">
        <f>IF(ISNUMBER(FIND("overige",Methode_Keuze)),"",IF(Tb_Activiteiten[[#This Row],[Overige kosten]]=1,Tb_Activiteiten[[#Headers],[Overige kosten]],""))</f>
        <v/>
      </c>
    </row>
    <row r="1380" spans="15:53" x14ac:dyDescent="0.25">
      <c r="O1380" s="56"/>
      <c r="Q1380" t="str">
        <f>IFERROR(IF(VLOOKUP(Tb_Activiteiten[[#This Row],[Openstelling]],Tb_Openstelling[],2,0)=1,1,""),"")</f>
        <v/>
      </c>
      <c r="AK1380" t="str">
        <f>IF(ISNUMBER(FIND("arbeid",Methode_Keuze)),"",IF(ISNUMBER(FIND("arbeid",Methode_Keuze)),"",IF(Tb_Activiteiten[[#This Row],[Loonkosten]]=1,Tb_Activiteiten[[#Headers],[Loonkosten]],"")))</f>
        <v/>
      </c>
      <c r="AL1380" t="str">
        <f>IF(ISNUMBER(FIND("arbeid",Methode_Keuze)),"",IF(ISNUMBER(FIND("arbeid",Methode_Keuze)),"",IF(Tb_Activiteiten[[#This Row],[Eigen arbeid]]=1,Tb_Activiteiten[[#Headers],[Eigen arbeid]],"")))</f>
        <v/>
      </c>
      <c r="AM1380" t="str">
        <f>IF(ISNUMBER(FIND("arbeid",Methode_Keuze)),"",IF(ISNUMBER(FIND("arbeid",Methode_Keuze)),"",IF(Tb_Activiteiten[[#This Row],[Projectmedewerker]]=1,Tb_Activiteiten[[#Headers],[Projectmedewerker]],"")))</f>
        <v/>
      </c>
      <c r="AN1380" t="str">
        <f>IF(ISNUMBER(FIND("arbeid",Methode_Keuze)),"",IF(ISNUMBER(FIND("arbeid",Methode_Keuze)),"",IF(Tb_Activiteiten[[#This Row],[Landbouwer]]=1,Tb_Activiteiten[[#Headers],[Landbouwer]],"")))</f>
        <v/>
      </c>
      <c r="AO1380" t="str">
        <f>IF(ISNUMBER(FIND("arbeid",Methode_Keuze)),"",IF(ISNUMBER(FIND("arbeid",Methode_Keuze)),"",IF(Tb_Activiteiten[[#This Row],[Adviseur]]=1,Tb_Activiteiten[[#Headers],[Adviseur]],"")))</f>
        <v/>
      </c>
      <c r="AP1380" t="str">
        <f>IF(ISNUMBER(FIND("arbeid",Methode_Keuze)),"",IF(ISNUMBER(FIND("arbeid",Methode_Keuze)),"",IF(Tb_Activiteiten[[#This Row],[Projectleider/Expert]]=1,Tb_Activiteiten[[#Headers],[Projectleider/Expert]],"")))</f>
        <v/>
      </c>
      <c r="AQ1380" t="str">
        <f>IF(ISNUMBER(FIND("arbeid",Methode_Keuze)),"",IF(ISNUMBER(FIND("arbeid",Methode_Keuze)),"",IF(Tb_Activiteiten[[#This Row],[Arbeidskosten]]=1,Tb_Activiteiten[[#Headers],[Arbeidskosten]],"")))</f>
        <v/>
      </c>
      <c r="AR1380" t="str">
        <f>IF(ISNUMBER(FIND("arbeid",Methode_Keuze)),"",IF(ISNUMBER(FIND("arbeid",Methode_Keuze)),"",IF(Tb_Activiteiten[[#This Row],[Arbeidskosten op basis van IKS]]=1,Tb_Activiteiten[[#Headers],[Arbeidskosten op basis van IKS]],"")))</f>
        <v/>
      </c>
      <c r="AS1380" t="str">
        <f>IF(ISNUMBER(FIND("overige",Methode_Keuze)),"",IF(Tb_Activiteiten[[#This Row],[Kosten derden exclusief btw]]=1,Tb_Activiteiten[[#Headers],[Kosten derden exclusief btw]],""))</f>
        <v/>
      </c>
      <c r="AT1380" t="str">
        <f>IF(ISNUMBER(FIND("overige",Methode_Keuze)),"",IF(Tb_Activiteiten[[#This Row],[Niet verrekenbare btw]]=1,Tb_Activiteiten[[#Headers],[Niet verrekenbare btw]],""))</f>
        <v/>
      </c>
      <c r="AU1380" t="str">
        <f>IF(ISNUMBER(FIND("overige",Methode_Keuze)),"",IF(Tb_Activiteiten[[#This Row],[Grondkosten]]=1,Tb_Activiteiten[[#Headers],[Grondkosten]],""))</f>
        <v/>
      </c>
      <c r="AV1380" t="str">
        <f>IF(ISNUMBER(FIND("overige",Methode_Keuze)),"",IF(Tb_Activiteiten[[#This Row],[Bijdrage in natura (overige)]]=1,Tb_Activiteiten[[#Headers],[Bijdrage in natura (overige)]],""))</f>
        <v/>
      </c>
      <c r="AW1380" t="str">
        <f>IF(ISNUMBER(FIND("overige",Methode_Keuze)),"",IF(Tb_Activiteiten[[#This Row],[Bijdrage in natura (vrijwilligers)]]=1,Tb_Activiteiten[[#Headers],[Bijdrage in natura (vrijwilligers)]],""))</f>
        <v/>
      </c>
      <c r="AX1380" t="str">
        <f>IF(ISNUMBER(FIND("overige",Methode_Keuze)),"",IF(Tb_Activiteiten[[#This Row],[Afschrijvingskosten]]=1,Tb_Activiteiten[[#Headers],[Afschrijvingskosten]],""))</f>
        <v/>
      </c>
      <c r="AY1380" t="str">
        <f>IF(ISNUMBER(FIND("overige",Methode_Keuze)),"",IF(Tb_Activiteiten[[#This Row],[Vergoeding]]=1,Tb_Activiteiten[[#Headers],[Vergoeding]],""))</f>
        <v/>
      </c>
      <c r="AZ1380" t="str">
        <f>IF(ISNUMBER(FIND("arbeid",Methode_Keuze)),"",IF(Tb_Activiteiten[[#This Row],[Arbeidskosten - vast tarief (excl eigen arbeid)]]=1,Tb_Activiteiten[[#Headers],[Arbeidskosten - vast tarief (excl eigen arbeid)]],""))</f>
        <v/>
      </c>
      <c r="BA1380" t="str">
        <f>IF(ISNUMBER(FIND("overige",Methode_Keuze)),"",IF(Tb_Activiteiten[[#This Row],[Overige kosten]]=1,Tb_Activiteiten[[#Headers],[Overige kosten]],""))</f>
        <v/>
      </c>
    </row>
    <row r="1381" spans="15:53" x14ac:dyDescent="0.25">
      <c r="O1381" s="56"/>
      <c r="Q1381" t="str">
        <f>IFERROR(IF(VLOOKUP(Tb_Activiteiten[[#This Row],[Openstelling]],Tb_Openstelling[],2,0)=1,1,""),"")</f>
        <v/>
      </c>
      <c r="AK1381" t="str">
        <f>IF(ISNUMBER(FIND("arbeid",Methode_Keuze)),"",IF(ISNUMBER(FIND("arbeid",Methode_Keuze)),"",IF(Tb_Activiteiten[[#This Row],[Loonkosten]]=1,Tb_Activiteiten[[#Headers],[Loonkosten]],"")))</f>
        <v/>
      </c>
      <c r="AL1381" t="str">
        <f>IF(ISNUMBER(FIND("arbeid",Methode_Keuze)),"",IF(ISNUMBER(FIND("arbeid",Methode_Keuze)),"",IF(Tb_Activiteiten[[#This Row],[Eigen arbeid]]=1,Tb_Activiteiten[[#Headers],[Eigen arbeid]],"")))</f>
        <v/>
      </c>
      <c r="AM1381" t="str">
        <f>IF(ISNUMBER(FIND("arbeid",Methode_Keuze)),"",IF(ISNUMBER(FIND("arbeid",Methode_Keuze)),"",IF(Tb_Activiteiten[[#This Row],[Projectmedewerker]]=1,Tb_Activiteiten[[#Headers],[Projectmedewerker]],"")))</f>
        <v/>
      </c>
      <c r="AN1381" t="str">
        <f>IF(ISNUMBER(FIND("arbeid",Methode_Keuze)),"",IF(ISNUMBER(FIND("arbeid",Methode_Keuze)),"",IF(Tb_Activiteiten[[#This Row],[Landbouwer]]=1,Tb_Activiteiten[[#Headers],[Landbouwer]],"")))</f>
        <v/>
      </c>
      <c r="AO1381" t="str">
        <f>IF(ISNUMBER(FIND("arbeid",Methode_Keuze)),"",IF(ISNUMBER(FIND("arbeid",Methode_Keuze)),"",IF(Tb_Activiteiten[[#This Row],[Adviseur]]=1,Tb_Activiteiten[[#Headers],[Adviseur]],"")))</f>
        <v/>
      </c>
      <c r="AP1381" t="str">
        <f>IF(ISNUMBER(FIND("arbeid",Methode_Keuze)),"",IF(ISNUMBER(FIND("arbeid",Methode_Keuze)),"",IF(Tb_Activiteiten[[#This Row],[Projectleider/Expert]]=1,Tb_Activiteiten[[#Headers],[Projectleider/Expert]],"")))</f>
        <v/>
      </c>
      <c r="AQ1381" t="str">
        <f>IF(ISNUMBER(FIND("arbeid",Methode_Keuze)),"",IF(ISNUMBER(FIND("arbeid",Methode_Keuze)),"",IF(Tb_Activiteiten[[#This Row],[Arbeidskosten]]=1,Tb_Activiteiten[[#Headers],[Arbeidskosten]],"")))</f>
        <v/>
      </c>
      <c r="AR1381" t="str">
        <f>IF(ISNUMBER(FIND("arbeid",Methode_Keuze)),"",IF(ISNUMBER(FIND("arbeid",Methode_Keuze)),"",IF(Tb_Activiteiten[[#This Row],[Arbeidskosten op basis van IKS]]=1,Tb_Activiteiten[[#Headers],[Arbeidskosten op basis van IKS]],"")))</f>
        <v/>
      </c>
      <c r="AS1381" t="str">
        <f>IF(ISNUMBER(FIND("overige",Methode_Keuze)),"",IF(Tb_Activiteiten[[#This Row],[Kosten derden exclusief btw]]=1,Tb_Activiteiten[[#Headers],[Kosten derden exclusief btw]],""))</f>
        <v/>
      </c>
      <c r="AT1381" t="str">
        <f>IF(ISNUMBER(FIND("overige",Methode_Keuze)),"",IF(Tb_Activiteiten[[#This Row],[Niet verrekenbare btw]]=1,Tb_Activiteiten[[#Headers],[Niet verrekenbare btw]],""))</f>
        <v/>
      </c>
      <c r="AU1381" t="str">
        <f>IF(ISNUMBER(FIND("overige",Methode_Keuze)),"",IF(Tb_Activiteiten[[#This Row],[Grondkosten]]=1,Tb_Activiteiten[[#Headers],[Grondkosten]],""))</f>
        <v/>
      </c>
      <c r="AV1381" t="str">
        <f>IF(ISNUMBER(FIND("overige",Methode_Keuze)),"",IF(Tb_Activiteiten[[#This Row],[Bijdrage in natura (overige)]]=1,Tb_Activiteiten[[#Headers],[Bijdrage in natura (overige)]],""))</f>
        <v/>
      </c>
      <c r="AW1381" t="str">
        <f>IF(ISNUMBER(FIND("overige",Methode_Keuze)),"",IF(Tb_Activiteiten[[#This Row],[Bijdrage in natura (vrijwilligers)]]=1,Tb_Activiteiten[[#Headers],[Bijdrage in natura (vrijwilligers)]],""))</f>
        <v/>
      </c>
      <c r="AX1381" t="str">
        <f>IF(ISNUMBER(FIND("overige",Methode_Keuze)),"",IF(Tb_Activiteiten[[#This Row],[Afschrijvingskosten]]=1,Tb_Activiteiten[[#Headers],[Afschrijvingskosten]],""))</f>
        <v/>
      </c>
      <c r="AY1381" t="str">
        <f>IF(ISNUMBER(FIND("overige",Methode_Keuze)),"",IF(Tb_Activiteiten[[#This Row],[Vergoeding]]=1,Tb_Activiteiten[[#Headers],[Vergoeding]],""))</f>
        <v/>
      </c>
      <c r="AZ1381" t="str">
        <f>IF(ISNUMBER(FIND("arbeid",Methode_Keuze)),"",IF(Tb_Activiteiten[[#This Row],[Arbeidskosten - vast tarief (excl eigen arbeid)]]=1,Tb_Activiteiten[[#Headers],[Arbeidskosten - vast tarief (excl eigen arbeid)]],""))</f>
        <v/>
      </c>
      <c r="BA1381" t="str">
        <f>IF(ISNUMBER(FIND("overige",Methode_Keuze)),"",IF(Tb_Activiteiten[[#This Row],[Overige kosten]]=1,Tb_Activiteiten[[#Headers],[Overige kosten]],""))</f>
        <v/>
      </c>
    </row>
    <row r="1382" spans="15:53" x14ac:dyDescent="0.25">
      <c r="O1382" s="56"/>
      <c r="Q1382" t="str">
        <f>IFERROR(IF(VLOOKUP(Tb_Activiteiten[[#This Row],[Openstelling]],Tb_Openstelling[],2,0)=1,1,""),"")</f>
        <v/>
      </c>
      <c r="AK1382" t="str">
        <f>IF(ISNUMBER(FIND("arbeid",Methode_Keuze)),"",IF(ISNUMBER(FIND("arbeid",Methode_Keuze)),"",IF(Tb_Activiteiten[[#This Row],[Loonkosten]]=1,Tb_Activiteiten[[#Headers],[Loonkosten]],"")))</f>
        <v/>
      </c>
      <c r="AL1382" t="str">
        <f>IF(ISNUMBER(FIND("arbeid",Methode_Keuze)),"",IF(ISNUMBER(FIND("arbeid",Methode_Keuze)),"",IF(Tb_Activiteiten[[#This Row],[Eigen arbeid]]=1,Tb_Activiteiten[[#Headers],[Eigen arbeid]],"")))</f>
        <v/>
      </c>
      <c r="AM1382" t="str">
        <f>IF(ISNUMBER(FIND("arbeid",Methode_Keuze)),"",IF(ISNUMBER(FIND("arbeid",Methode_Keuze)),"",IF(Tb_Activiteiten[[#This Row],[Projectmedewerker]]=1,Tb_Activiteiten[[#Headers],[Projectmedewerker]],"")))</f>
        <v/>
      </c>
      <c r="AN1382" t="str">
        <f>IF(ISNUMBER(FIND("arbeid",Methode_Keuze)),"",IF(ISNUMBER(FIND("arbeid",Methode_Keuze)),"",IF(Tb_Activiteiten[[#This Row],[Landbouwer]]=1,Tb_Activiteiten[[#Headers],[Landbouwer]],"")))</f>
        <v/>
      </c>
      <c r="AO1382" t="str">
        <f>IF(ISNUMBER(FIND("arbeid",Methode_Keuze)),"",IF(ISNUMBER(FIND("arbeid",Methode_Keuze)),"",IF(Tb_Activiteiten[[#This Row],[Adviseur]]=1,Tb_Activiteiten[[#Headers],[Adviseur]],"")))</f>
        <v/>
      </c>
      <c r="AP1382" t="str">
        <f>IF(ISNUMBER(FIND("arbeid",Methode_Keuze)),"",IF(ISNUMBER(FIND("arbeid",Methode_Keuze)),"",IF(Tb_Activiteiten[[#This Row],[Projectleider/Expert]]=1,Tb_Activiteiten[[#Headers],[Projectleider/Expert]],"")))</f>
        <v/>
      </c>
      <c r="AQ1382" t="str">
        <f>IF(ISNUMBER(FIND("arbeid",Methode_Keuze)),"",IF(ISNUMBER(FIND("arbeid",Methode_Keuze)),"",IF(Tb_Activiteiten[[#This Row],[Arbeidskosten]]=1,Tb_Activiteiten[[#Headers],[Arbeidskosten]],"")))</f>
        <v/>
      </c>
      <c r="AR1382" t="str">
        <f>IF(ISNUMBER(FIND("arbeid",Methode_Keuze)),"",IF(ISNUMBER(FIND("arbeid",Methode_Keuze)),"",IF(Tb_Activiteiten[[#This Row],[Arbeidskosten op basis van IKS]]=1,Tb_Activiteiten[[#Headers],[Arbeidskosten op basis van IKS]],"")))</f>
        <v/>
      </c>
      <c r="AS1382" t="str">
        <f>IF(ISNUMBER(FIND("overige",Methode_Keuze)),"",IF(Tb_Activiteiten[[#This Row],[Kosten derden exclusief btw]]=1,Tb_Activiteiten[[#Headers],[Kosten derden exclusief btw]],""))</f>
        <v/>
      </c>
      <c r="AT1382" t="str">
        <f>IF(ISNUMBER(FIND("overige",Methode_Keuze)),"",IF(Tb_Activiteiten[[#This Row],[Niet verrekenbare btw]]=1,Tb_Activiteiten[[#Headers],[Niet verrekenbare btw]],""))</f>
        <v/>
      </c>
      <c r="AU1382" t="str">
        <f>IF(ISNUMBER(FIND("overige",Methode_Keuze)),"",IF(Tb_Activiteiten[[#This Row],[Grondkosten]]=1,Tb_Activiteiten[[#Headers],[Grondkosten]],""))</f>
        <v/>
      </c>
      <c r="AV1382" t="str">
        <f>IF(ISNUMBER(FIND("overige",Methode_Keuze)),"",IF(Tb_Activiteiten[[#This Row],[Bijdrage in natura (overige)]]=1,Tb_Activiteiten[[#Headers],[Bijdrage in natura (overige)]],""))</f>
        <v/>
      </c>
      <c r="AW1382" t="str">
        <f>IF(ISNUMBER(FIND("overige",Methode_Keuze)),"",IF(Tb_Activiteiten[[#This Row],[Bijdrage in natura (vrijwilligers)]]=1,Tb_Activiteiten[[#Headers],[Bijdrage in natura (vrijwilligers)]],""))</f>
        <v/>
      </c>
      <c r="AX1382" t="str">
        <f>IF(ISNUMBER(FIND("overige",Methode_Keuze)),"",IF(Tb_Activiteiten[[#This Row],[Afschrijvingskosten]]=1,Tb_Activiteiten[[#Headers],[Afschrijvingskosten]],""))</f>
        <v/>
      </c>
      <c r="AY1382" t="str">
        <f>IF(ISNUMBER(FIND("overige",Methode_Keuze)),"",IF(Tb_Activiteiten[[#This Row],[Vergoeding]]=1,Tb_Activiteiten[[#Headers],[Vergoeding]],""))</f>
        <v/>
      </c>
      <c r="AZ1382" t="str">
        <f>IF(ISNUMBER(FIND("arbeid",Methode_Keuze)),"",IF(Tb_Activiteiten[[#This Row],[Arbeidskosten - vast tarief (excl eigen arbeid)]]=1,Tb_Activiteiten[[#Headers],[Arbeidskosten - vast tarief (excl eigen arbeid)]],""))</f>
        <v/>
      </c>
      <c r="BA1382" t="str">
        <f>IF(ISNUMBER(FIND("overige",Methode_Keuze)),"",IF(Tb_Activiteiten[[#This Row],[Overige kosten]]=1,Tb_Activiteiten[[#Headers],[Overige kosten]],""))</f>
        <v/>
      </c>
    </row>
    <row r="1383" spans="15:53" x14ac:dyDescent="0.25">
      <c r="O1383" s="56"/>
      <c r="Q1383" t="str">
        <f>IFERROR(IF(VLOOKUP(Tb_Activiteiten[[#This Row],[Openstelling]],Tb_Openstelling[],2,0)=1,1,""),"")</f>
        <v/>
      </c>
      <c r="AK1383" t="str">
        <f>IF(ISNUMBER(FIND("arbeid",Methode_Keuze)),"",IF(ISNUMBER(FIND("arbeid",Methode_Keuze)),"",IF(Tb_Activiteiten[[#This Row],[Loonkosten]]=1,Tb_Activiteiten[[#Headers],[Loonkosten]],"")))</f>
        <v/>
      </c>
      <c r="AL1383" t="str">
        <f>IF(ISNUMBER(FIND("arbeid",Methode_Keuze)),"",IF(ISNUMBER(FIND("arbeid",Methode_Keuze)),"",IF(Tb_Activiteiten[[#This Row],[Eigen arbeid]]=1,Tb_Activiteiten[[#Headers],[Eigen arbeid]],"")))</f>
        <v/>
      </c>
      <c r="AM1383" t="str">
        <f>IF(ISNUMBER(FIND("arbeid",Methode_Keuze)),"",IF(ISNUMBER(FIND("arbeid",Methode_Keuze)),"",IF(Tb_Activiteiten[[#This Row],[Projectmedewerker]]=1,Tb_Activiteiten[[#Headers],[Projectmedewerker]],"")))</f>
        <v/>
      </c>
      <c r="AN1383" t="str">
        <f>IF(ISNUMBER(FIND("arbeid",Methode_Keuze)),"",IF(ISNUMBER(FIND("arbeid",Methode_Keuze)),"",IF(Tb_Activiteiten[[#This Row],[Landbouwer]]=1,Tb_Activiteiten[[#Headers],[Landbouwer]],"")))</f>
        <v/>
      </c>
      <c r="AO1383" t="str">
        <f>IF(ISNUMBER(FIND("arbeid",Methode_Keuze)),"",IF(ISNUMBER(FIND("arbeid",Methode_Keuze)),"",IF(Tb_Activiteiten[[#This Row],[Adviseur]]=1,Tb_Activiteiten[[#Headers],[Adviseur]],"")))</f>
        <v/>
      </c>
      <c r="AP1383" t="str">
        <f>IF(ISNUMBER(FIND("arbeid",Methode_Keuze)),"",IF(ISNUMBER(FIND("arbeid",Methode_Keuze)),"",IF(Tb_Activiteiten[[#This Row],[Projectleider/Expert]]=1,Tb_Activiteiten[[#Headers],[Projectleider/Expert]],"")))</f>
        <v/>
      </c>
      <c r="AQ1383" t="str">
        <f>IF(ISNUMBER(FIND("arbeid",Methode_Keuze)),"",IF(ISNUMBER(FIND("arbeid",Methode_Keuze)),"",IF(Tb_Activiteiten[[#This Row],[Arbeidskosten]]=1,Tb_Activiteiten[[#Headers],[Arbeidskosten]],"")))</f>
        <v/>
      </c>
      <c r="AR1383" t="str">
        <f>IF(ISNUMBER(FIND("arbeid",Methode_Keuze)),"",IF(ISNUMBER(FIND("arbeid",Methode_Keuze)),"",IF(Tb_Activiteiten[[#This Row],[Arbeidskosten op basis van IKS]]=1,Tb_Activiteiten[[#Headers],[Arbeidskosten op basis van IKS]],"")))</f>
        <v/>
      </c>
      <c r="AS1383" t="str">
        <f>IF(ISNUMBER(FIND("overige",Methode_Keuze)),"",IF(Tb_Activiteiten[[#This Row],[Kosten derden exclusief btw]]=1,Tb_Activiteiten[[#Headers],[Kosten derden exclusief btw]],""))</f>
        <v/>
      </c>
      <c r="AT1383" t="str">
        <f>IF(ISNUMBER(FIND("overige",Methode_Keuze)),"",IF(Tb_Activiteiten[[#This Row],[Niet verrekenbare btw]]=1,Tb_Activiteiten[[#Headers],[Niet verrekenbare btw]],""))</f>
        <v/>
      </c>
      <c r="AU1383" t="str">
        <f>IF(ISNUMBER(FIND("overige",Methode_Keuze)),"",IF(Tb_Activiteiten[[#This Row],[Grondkosten]]=1,Tb_Activiteiten[[#Headers],[Grondkosten]],""))</f>
        <v/>
      </c>
      <c r="AV1383" t="str">
        <f>IF(ISNUMBER(FIND("overige",Methode_Keuze)),"",IF(Tb_Activiteiten[[#This Row],[Bijdrage in natura (overige)]]=1,Tb_Activiteiten[[#Headers],[Bijdrage in natura (overige)]],""))</f>
        <v/>
      </c>
      <c r="AW1383" t="str">
        <f>IF(ISNUMBER(FIND("overige",Methode_Keuze)),"",IF(Tb_Activiteiten[[#This Row],[Bijdrage in natura (vrijwilligers)]]=1,Tb_Activiteiten[[#Headers],[Bijdrage in natura (vrijwilligers)]],""))</f>
        <v/>
      </c>
      <c r="AX1383" t="str">
        <f>IF(ISNUMBER(FIND("overige",Methode_Keuze)),"",IF(Tb_Activiteiten[[#This Row],[Afschrijvingskosten]]=1,Tb_Activiteiten[[#Headers],[Afschrijvingskosten]],""))</f>
        <v/>
      </c>
      <c r="AY1383" t="str">
        <f>IF(ISNUMBER(FIND("overige",Methode_Keuze)),"",IF(Tb_Activiteiten[[#This Row],[Vergoeding]]=1,Tb_Activiteiten[[#Headers],[Vergoeding]],""))</f>
        <v/>
      </c>
      <c r="AZ1383" t="str">
        <f>IF(ISNUMBER(FIND("arbeid",Methode_Keuze)),"",IF(Tb_Activiteiten[[#This Row],[Arbeidskosten - vast tarief (excl eigen arbeid)]]=1,Tb_Activiteiten[[#Headers],[Arbeidskosten - vast tarief (excl eigen arbeid)]],""))</f>
        <v/>
      </c>
      <c r="BA1383" t="str">
        <f>IF(ISNUMBER(FIND("overige",Methode_Keuze)),"",IF(Tb_Activiteiten[[#This Row],[Overige kosten]]=1,Tb_Activiteiten[[#Headers],[Overige kosten]],""))</f>
        <v/>
      </c>
    </row>
    <row r="1384" spans="15:53" x14ac:dyDescent="0.25">
      <c r="O1384" s="56"/>
      <c r="Q1384" t="str">
        <f>IFERROR(IF(VLOOKUP(Tb_Activiteiten[[#This Row],[Openstelling]],Tb_Openstelling[],2,0)=1,1,""),"")</f>
        <v/>
      </c>
      <c r="AK1384" t="str">
        <f>IF(ISNUMBER(FIND("arbeid",Methode_Keuze)),"",IF(ISNUMBER(FIND("arbeid",Methode_Keuze)),"",IF(Tb_Activiteiten[[#This Row],[Loonkosten]]=1,Tb_Activiteiten[[#Headers],[Loonkosten]],"")))</f>
        <v/>
      </c>
      <c r="AL1384" t="str">
        <f>IF(ISNUMBER(FIND("arbeid",Methode_Keuze)),"",IF(ISNUMBER(FIND("arbeid",Methode_Keuze)),"",IF(Tb_Activiteiten[[#This Row],[Eigen arbeid]]=1,Tb_Activiteiten[[#Headers],[Eigen arbeid]],"")))</f>
        <v/>
      </c>
      <c r="AM1384" t="str">
        <f>IF(ISNUMBER(FIND("arbeid",Methode_Keuze)),"",IF(ISNUMBER(FIND("arbeid",Methode_Keuze)),"",IF(Tb_Activiteiten[[#This Row],[Projectmedewerker]]=1,Tb_Activiteiten[[#Headers],[Projectmedewerker]],"")))</f>
        <v/>
      </c>
      <c r="AN1384" t="str">
        <f>IF(ISNUMBER(FIND("arbeid",Methode_Keuze)),"",IF(ISNUMBER(FIND("arbeid",Methode_Keuze)),"",IF(Tb_Activiteiten[[#This Row],[Landbouwer]]=1,Tb_Activiteiten[[#Headers],[Landbouwer]],"")))</f>
        <v/>
      </c>
      <c r="AO1384" t="str">
        <f>IF(ISNUMBER(FIND("arbeid",Methode_Keuze)),"",IF(ISNUMBER(FIND("arbeid",Methode_Keuze)),"",IF(Tb_Activiteiten[[#This Row],[Adviseur]]=1,Tb_Activiteiten[[#Headers],[Adviseur]],"")))</f>
        <v/>
      </c>
      <c r="AP1384" t="str">
        <f>IF(ISNUMBER(FIND("arbeid",Methode_Keuze)),"",IF(ISNUMBER(FIND("arbeid",Methode_Keuze)),"",IF(Tb_Activiteiten[[#This Row],[Projectleider/Expert]]=1,Tb_Activiteiten[[#Headers],[Projectleider/Expert]],"")))</f>
        <v/>
      </c>
      <c r="AQ1384" t="str">
        <f>IF(ISNUMBER(FIND("arbeid",Methode_Keuze)),"",IF(ISNUMBER(FIND("arbeid",Methode_Keuze)),"",IF(Tb_Activiteiten[[#This Row],[Arbeidskosten]]=1,Tb_Activiteiten[[#Headers],[Arbeidskosten]],"")))</f>
        <v/>
      </c>
      <c r="AR1384" t="str">
        <f>IF(ISNUMBER(FIND("arbeid",Methode_Keuze)),"",IF(ISNUMBER(FIND("arbeid",Methode_Keuze)),"",IF(Tb_Activiteiten[[#This Row],[Arbeidskosten op basis van IKS]]=1,Tb_Activiteiten[[#Headers],[Arbeidskosten op basis van IKS]],"")))</f>
        <v/>
      </c>
      <c r="AS1384" t="str">
        <f>IF(ISNUMBER(FIND("overige",Methode_Keuze)),"",IF(Tb_Activiteiten[[#This Row],[Kosten derden exclusief btw]]=1,Tb_Activiteiten[[#Headers],[Kosten derden exclusief btw]],""))</f>
        <v/>
      </c>
      <c r="AT1384" t="str">
        <f>IF(ISNUMBER(FIND("overige",Methode_Keuze)),"",IF(Tb_Activiteiten[[#This Row],[Niet verrekenbare btw]]=1,Tb_Activiteiten[[#Headers],[Niet verrekenbare btw]],""))</f>
        <v/>
      </c>
      <c r="AU1384" t="str">
        <f>IF(ISNUMBER(FIND("overige",Methode_Keuze)),"",IF(Tb_Activiteiten[[#This Row],[Grondkosten]]=1,Tb_Activiteiten[[#Headers],[Grondkosten]],""))</f>
        <v/>
      </c>
      <c r="AV1384" t="str">
        <f>IF(ISNUMBER(FIND("overige",Methode_Keuze)),"",IF(Tb_Activiteiten[[#This Row],[Bijdrage in natura (overige)]]=1,Tb_Activiteiten[[#Headers],[Bijdrage in natura (overige)]],""))</f>
        <v/>
      </c>
      <c r="AW1384" t="str">
        <f>IF(ISNUMBER(FIND("overige",Methode_Keuze)),"",IF(Tb_Activiteiten[[#This Row],[Bijdrage in natura (vrijwilligers)]]=1,Tb_Activiteiten[[#Headers],[Bijdrage in natura (vrijwilligers)]],""))</f>
        <v/>
      </c>
      <c r="AX1384" t="str">
        <f>IF(ISNUMBER(FIND("overige",Methode_Keuze)),"",IF(Tb_Activiteiten[[#This Row],[Afschrijvingskosten]]=1,Tb_Activiteiten[[#Headers],[Afschrijvingskosten]],""))</f>
        <v/>
      </c>
      <c r="AY1384" t="str">
        <f>IF(ISNUMBER(FIND("overige",Methode_Keuze)),"",IF(Tb_Activiteiten[[#This Row],[Vergoeding]]=1,Tb_Activiteiten[[#Headers],[Vergoeding]],""))</f>
        <v/>
      </c>
      <c r="AZ1384" t="str">
        <f>IF(ISNUMBER(FIND("arbeid",Methode_Keuze)),"",IF(Tb_Activiteiten[[#This Row],[Arbeidskosten - vast tarief (excl eigen arbeid)]]=1,Tb_Activiteiten[[#Headers],[Arbeidskosten - vast tarief (excl eigen arbeid)]],""))</f>
        <v/>
      </c>
      <c r="BA1384" t="str">
        <f>IF(ISNUMBER(FIND("overige",Methode_Keuze)),"",IF(Tb_Activiteiten[[#This Row],[Overige kosten]]=1,Tb_Activiteiten[[#Headers],[Overige kosten]],""))</f>
        <v/>
      </c>
    </row>
    <row r="1385" spans="15:53" x14ac:dyDescent="0.25">
      <c r="O1385" s="56"/>
      <c r="Q1385" t="str">
        <f>IFERROR(IF(VLOOKUP(Tb_Activiteiten[[#This Row],[Openstelling]],Tb_Openstelling[],2,0)=1,1,""),"")</f>
        <v/>
      </c>
      <c r="AK1385" t="str">
        <f>IF(ISNUMBER(FIND("arbeid",Methode_Keuze)),"",IF(ISNUMBER(FIND("arbeid",Methode_Keuze)),"",IF(Tb_Activiteiten[[#This Row],[Loonkosten]]=1,Tb_Activiteiten[[#Headers],[Loonkosten]],"")))</f>
        <v/>
      </c>
      <c r="AL1385" t="str">
        <f>IF(ISNUMBER(FIND("arbeid",Methode_Keuze)),"",IF(ISNUMBER(FIND("arbeid",Methode_Keuze)),"",IF(Tb_Activiteiten[[#This Row],[Eigen arbeid]]=1,Tb_Activiteiten[[#Headers],[Eigen arbeid]],"")))</f>
        <v/>
      </c>
      <c r="AM1385" t="str">
        <f>IF(ISNUMBER(FIND("arbeid",Methode_Keuze)),"",IF(ISNUMBER(FIND("arbeid",Methode_Keuze)),"",IF(Tb_Activiteiten[[#This Row],[Projectmedewerker]]=1,Tb_Activiteiten[[#Headers],[Projectmedewerker]],"")))</f>
        <v/>
      </c>
      <c r="AN1385" t="str">
        <f>IF(ISNUMBER(FIND("arbeid",Methode_Keuze)),"",IF(ISNUMBER(FIND("arbeid",Methode_Keuze)),"",IF(Tb_Activiteiten[[#This Row],[Landbouwer]]=1,Tb_Activiteiten[[#Headers],[Landbouwer]],"")))</f>
        <v/>
      </c>
      <c r="AO1385" t="str">
        <f>IF(ISNUMBER(FIND("arbeid",Methode_Keuze)),"",IF(ISNUMBER(FIND("arbeid",Methode_Keuze)),"",IF(Tb_Activiteiten[[#This Row],[Adviseur]]=1,Tb_Activiteiten[[#Headers],[Adviseur]],"")))</f>
        <v/>
      </c>
      <c r="AP1385" t="str">
        <f>IF(ISNUMBER(FIND("arbeid",Methode_Keuze)),"",IF(ISNUMBER(FIND("arbeid",Methode_Keuze)),"",IF(Tb_Activiteiten[[#This Row],[Projectleider/Expert]]=1,Tb_Activiteiten[[#Headers],[Projectleider/Expert]],"")))</f>
        <v/>
      </c>
      <c r="AQ1385" t="str">
        <f>IF(ISNUMBER(FIND("arbeid",Methode_Keuze)),"",IF(ISNUMBER(FIND("arbeid",Methode_Keuze)),"",IF(Tb_Activiteiten[[#This Row],[Arbeidskosten]]=1,Tb_Activiteiten[[#Headers],[Arbeidskosten]],"")))</f>
        <v/>
      </c>
      <c r="AR1385" t="str">
        <f>IF(ISNUMBER(FIND("arbeid",Methode_Keuze)),"",IF(ISNUMBER(FIND("arbeid",Methode_Keuze)),"",IF(Tb_Activiteiten[[#This Row],[Arbeidskosten op basis van IKS]]=1,Tb_Activiteiten[[#Headers],[Arbeidskosten op basis van IKS]],"")))</f>
        <v/>
      </c>
      <c r="AS1385" t="str">
        <f>IF(ISNUMBER(FIND("overige",Methode_Keuze)),"",IF(Tb_Activiteiten[[#This Row],[Kosten derden exclusief btw]]=1,Tb_Activiteiten[[#Headers],[Kosten derden exclusief btw]],""))</f>
        <v/>
      </c>
      <c r="AT1385" t="str">
        <f>IF(ISNUMBER(FIND("overige",Methode_Keuze)),"",IF(Tb_Activiteiten[[#This Row],[Niet verrekenbare btw]]=1,Tb_Activiteiten[[#Headers],[Niet verrekenbare btw]],""))</f>
        <v/>
      </c>
      <c r="AU1385" t="str">
        <f>IF(ISNUMBER(FIND("overige",Methode_Keuze)),"",IF(Tb_Activiteiten[[#This Row],[Grondkosten]]=1,Tb_Activiteiten[[#Headers],[Grondkosten]],""))</f>
        <v/>
      </c>
      <c r="AV1385" t="str">
        <f>IF(ISNUMBER(FIND("overige",Methode_Keuze)),"",IF(Tb_Activiteiten[[#This Row],[Bijdrage in natura (overige)]]=1,Tb_Activiteiten[[#Headers],[Bijdrage in natura (overige)]],""))</f>
        <v/>
      </c>
      <c r="AW1385" t="str">
        <f>IF(ISNUMBER(FIND("overige",Methode_Keuze)),"",IF(Tb_Activiteiten[[#This Row],[Bijdrage in natura (vrijwilligers)]]=1,Tb_Activiteiten[[#Headers],[Bijdrage in natura (vrijwilligers)]],""))</f>
        <v/>
      </c>
      <c r="AX1385" t="str">
        <f>IF(ISNUMBER(FIND("overige",Methode_Keuze)),"",IF(Tb_Activiteiten[[#This Row],[Afschrijvingskosten]]=1,Tb_Activiteiten[[#Headers],[Afschrijvingskosten]],""))</f>
        <v/>
      </c>
      <c r="AY1385" t="str">
        <f>IF(ISNUMBER(FIND("overige",Methode_Keuze)),"",IF(Tb_Activiteiten[[#This Row],[Vergoeding]]=1,Tb_Activiteiten[[#Headers],[Vergoeding]],""))</f>
        <v/>
      </c>
      <c r="AZ1385" t="str">
        <f>IF(ISNUMBER(FIND("arbeid",Methode_Keuze)),"",IF(Tb_Activiteiten[[#This Row],[Arbeidskosten - vast tarief (excl eigen arbeid)]]=1,Tb_Activiteiten[[#Headers],[Arbeidskosten - vast tarief (excl eigen arbeid)]],""))</f>
        <v/>
      </c>
      <c r="BA1385" t="str">
        <f>IF(ISNUMBER(FIND("overige",Methode_Keuze)),"",IF(Tb_Activiteiten[[#This Row],[Overige kosten]]=1,Tb_Activiteiten[[#Headers],[Overige kosten]],""))</f>
        <v/>
      </c>
    </row>
    <row r="1386" spans="15:53" x14ac:dyDescent="0.25">
      <c r="O1386" s="56"/>
      <c r="Q1386" t="str">
        <f>IFERROR(IF(VLOOKUP(Tb_Activiteiten[[#This Row],[Openstelling]],Tb_Openstelling[],2,0)=1,1,""),"")</f>
        <v/>
      </c>
      <c r="AK1386" t="str">
        <f>IF(ISNUMBER(FIND("arbeid",Methode_Keuze)),"",IF(ISNUMBER(FIND("arbeid",Methode_Keuze)),"",IF(Tb_Activiteiten[[#This Row],[Loonkosten]]=1,Tb_Activiteiten[[#Headers],[Loonkosten]],"")))</f>
        <v/>
      </c>
      <c r="AL1386" t="str">
        <f>IF(ISNUMBER(FIND("arbeid",Methode_Keuze)),"",IF(ISNUMBER(FIND("arbeid",Methode_Keuze)),"",IF(Tb_Activiteiten[[#This Row],[Eigen arbeid]]=1,Tb_Activiteiten[[#Headers],[Eigen arbeid]],"")))</f>
        <v/>
      </c>
      <c r="AM1386" t="str">
        <f>IF(ISNUMBER(FIND("arbeid",Methode_Keuze)),"",IF(ISNUMBER(FIND("arbeid",Methode_Keuze)),"",IF(Tb_Activiteiten[[#This Row],[Projectmedewerker]]=1,Tb_Activiteiten[[#Headers],[Projectmedewerker]],"")))</f>
        <v/>
      </c>
      <c r="AN1386" t="str">
        <f>IF(ISNUMBER(FIND("arbeid",Methode_Keuze)),"",IF(ISNUMBER(FIND("arbeid",Methode_Keuze)),"",IF(Tb_Activiteiten[[#This Row],[Landbouwer]]=1,Tb_Activiteiten[[#Headers],[Landbouwer]],"")))</f>
        <v/>
      </c>
      <c r="AO1386" t="str">
        <f>IF(ISNUMBER(FIND("arbeid",Methode_Keuze)),"",IF(ISNUMBER(FIND("arbeid",Methode_Keuze)),"",IF(Tb_Activiteiten[[#This Row],[Adviseur]]=1,Tb_Activiteiten[[#Headers],[Adviseur]],"")))</f>
        <v/>
      </c>
      <c r="AP1386" t="str">
        <f>IF(ISNUMBER(FIND("arbeid",Methode_Keuze)),"",IF(ISNUMBER(FIND("arbeid",Methode_Keuze)),"",IF(Tb_Activiteiten[[#This Row],[Projectleider/Expert]]=1,Tb_Activiteiten[[#Headers],[Projectleider/Expert]],"")))</f>
        <v/>
      </c>
      <c r="AQ1386" t="str">
        <f>IF(ISNUMBER(FIND("arbeid",Methode_Keuze)),"",IF(ISNUMBER(FIND("arbeid",Methode_Keuze)),"",IF(Tb_Activiteiten[[#This Row],[Arbeidskosten]]=1,Tb_Activiteiten[[#Headers],[Arbeidskosten]],"")))</f>
        <v/>
      </c>
      <c r="AR1386" t="str">
        <f>IF(ISNUMBER(FIND("arbeid",Methode_Keuze)),"",IF(ISNUMBER(FIND("arbeid",Methode_Keuze)),"",IF(Tb_Activiteiten[[#This Row],[Arbeidskosten op basis van IKS]]=1,Tb_Activiteiten[[#Headers],[Arbeidskosten op basis van IKS]],"")))</f>
        <v/>
      </c>
      <c r="AS1386" t="str">
        <f>IF(ISNUMBER(FIND("overige",Methode_Keuze)),"",IF(Tb_Activiteiten[[#This Row],[Kosten derden exclusief btw]]=1,Tb_Activiteiten[[#Headers],[Kosten derden exclusief btw]],""))</f>
        <v/>
      </c>
      <c r="AT1386" t="str">
        <f>IF(ISNUMBER(FIND("overige",Methode_Keuze)),"",IF(Tb_Activiteiten[[#This Row],[Niet verrekenbare btw]]=1,Tb_Activiteiten[[#Headers],[Niet verrekenbare btw]],""))</f>
        <v/>
      </c>
      <c r="AU1386" t="str">
        <f>IF(ISNUMBER(FIND("overige",Methode_Keuze)),"",IF(Tb_Activiteiten[[#This Row],[Grondkosten]]=1,Tb_Activiteiten[[#Headers],[Grondkosten]],""))</f>
        <v/>
      </c>
      <c r="AV1386" t="str">
        <f>IF(ISNUMBER(FIND("overige",Methode_Keuze)),"",IF(Tb_Activiteiten[[#This Row],[Bijdrage in natura (overige)]]=1,Tb_Activiteiten[[#Headers],[Bijdrage in natura (overige)]],""))</f>
        <v/>
      </c>
      <c r="AW1386" t="str">
        <f>IF(ISNUMBER(FIND("overige",Methode_Keuze)),"",IF(Tb_Activiteiten[[#This Row],[Bijdrage in natura (vrijwilligers)]]=1,Tb_Activiteiten[[#Headers],[Bijdrage in natura (vrijwilligers)]],""))</f>
        <v/>
      </c>
      <c r="AX1386" t="str">
        <f>IF(ISNUMBER(FIND("overige",Methode_Keuze)),"",IF(Tb_Activiteiten[[#This Row],[Afschrijvingskosten]]=1,Tb_Activiteiten[[#Headers],[Afschrijvingskosten]],""))</f>
        <v/>
      </c>
      <c r="AY1386" t="str">
        <f>IF(ISNUMBER(FIND("overige",Methode_Keuze)),"",IF(Tb_Activiteiten[[#This Row],[Vergoeding]]=1,Tb_Activiteiten[[#Headers],[Vergoeding]],""))</f>
        <v/>
      </c>
      <c r="AZ1386" t="str">
        <f>IF(ISNUMBER(FIND("arbeid",Methode_Keuze)),"",IF(Tb_Activiteiten[[#This Row],[Arbeidskosten - vast tarief (excl eigen arbeid)]]=1,Tb_Activiteiten[[#Headers],[Arbeidskosten - vast tarief (excl eigen arbeid)]],""))</f>
        <v/>
      </c>
      <c r="BA1386" t="str">
        <f>IF(ISNUMBER(FIND("overige",Methode_Keuze)),"",IF(Tb_Activiteiten[[#This Row],[Overige kosten]]=1,Tb_Activiteiten[[#Headers],[Overige kosten]],""))</f>
        <v/>
      </c>
    </row>
    <row r="1387" spans="15:53" x14ac:dyDescent="0.25">
      <c r="O1387" s="56"/>
      <c r="Q1387" t="str">
        <f>IFERROR(IF(VLOOKUP(Tb_Activiteiten[[#This Row],[Openstelling]],Tb_Openstelling[],2,0)=1,1,""),"")</f>
        <v/>
      </c>
      <c r="AK1387" t="str">
        <f>IF(ISNUMBER(FIND("arbeid",Methode_Keuze)),"",IF(ISNUMBER(FIND("arbeid",Methode_Keuze)),"",IF(Tb_Activiteiten[[#This Row],[Loonkosten]]=1,Tb_Activiteiten[[#Headers],[Loonkosten]],"")))</f>
        <v/>
      </c>
      <c r="AL1387" t="str">
        <f>IF(ISNUMBER(FIND("arbeid",Methode_Keuze)),"",IF(ISNUMBER(FIND("arbeid",Methode_Keuze)),"",IF(Tb_Activiteiten[[#This Row],[Eigen arbeid]]=1,Tb_Activiteiten[[#Headers],[Eigen arbeid]],"")))</f>
        <v/>
      </c>
      <c r="AM1387" t="str">
        <f>IF(ISNUMBER(FIND("arbeid",Methode_Keuze)),"",IF(ISNUMBER(FIND("arbeid",Methode_Keuze)),"",IF(Tb_Activiteiten[[#This Row],[Projectmedewerker]]=1,Tb_Activiteiten[[#Headers],[Projectmedewerker]],"")))</f>
        <v/>
      </c>
      <c r="AN1387" t="str">
        <f>IF(ISNUMBER(FIND("arbeid",Methode_Keuze)),"",IF(ISNUMBER(FIND("arbeid",Methode_Keuze)),"",IF(Tb_Activiteiten[[#This Row],[Landbouwer]]=1,Tb_Activiteiten[[#Headers],[Landbouwer]],"")))</f>
        <v/>
      </c>
      <c r="AO1387" t="str">
        <f>IF(ISNUMBER(FIND("arbeid",Methode_Keuze)),"",IF(ISNUMBER(FIND("arbeid",Methode_Keuze)),"",IF(Tb_Activiteiten[[#This Row],[Adviseur]]=1,Tb_Activiteiten[[#Headers],[Adviseur]],"")))</f>
        <v/>
      </c>
      <c r="AP1387" t="str">
        <f>IF(ISNUMBER(FIND("arbeid",Methode_Keuze)),"",IF(ISNUMBER(FIND("arbeid",Methode_Keuze)),"",IF(Tb_Activiteiten[[#This Row],[Projectleider/Expert]]=1,Tb_Activiteiten[[#Headers],[Projectleider/Expert]],"")))</f>
        <v/>
      </c>
      <c r="AQ1387" t="str">
        <f>IF(ISNUMBER(FIND("arbeid",Methode_Keuze)),"",IF(ISNUMBER(FIND("arbeid",Methode_Keuze)),"",IF(Tb_Activiteiten[[#This Row],[Arbeidskosten]]=1,Tb_Activiteiten[[#Headers],[Arbeidskosten]],"")))</f>
        <v/>
      </c>
      <c r="AR1387" t="str">
        <f>IF(ISNUMBER(FIND("arbeid",Methode_Keuze)),"",IF(ISNUMBER(FIND("arbeid",Methode_Keuze)),"",IF(Tb_Activiteiten[[#This Row],[Arbeidskosten op basis van IKS]]=1,Tb_Activiteiten[[#Headers],[Arbeidskosten op basis van IKS]],"")))</f>
        <v/>
      </c>
      <c r="AS1387" t="str">
        <f>IF(ISNUMBER(FIND("overige",Methode_Keuze)),"",IF(Tb_Activiteiten[[#This Row],[Kosten derden exclusief btw]]=1,Tb_Activiteiten[[#Headers],[Kosten derden exclusief btw]],""))</f>
        <v/>
      </c>
      <c r="AT1387" t="str">
        <f>IF(ISNUMBER(FIND("overige",Methode_Keuze)),"",IF(Tb_Activiteiten[[#This Row],[Niet verrekenbare btw]]=1,Tb_Activiteiten[[#Headers],[Niet verrekenbare btw]],""))</f>
        <v/>
      </c>
      <c r="AU1387" t="str">
        <f>IF(ISNUMBER(FIND("overige",Methode_Keuze)),"",IF(Tb_Activiteiten[[#This Row],[Grondkosten]]=1,Tb_Activiteiten[[#Headers],[Grondkosten]],""))</f>
        <v/>
      </c>
      <c r="AV1387" t="str">
        <f>IF(ISNUMBER(FIND("overige",Methode_Keuze)),"",IF(Tb_Activiteiten[[#This Row],[Bijdrage in natura (overige)]]=1,Tb_Activiteiten[[#Headers],[Bijdrage in natura (overige)]],""))</f>
        <v/>
      </c>
      <c r="AW1387" t="str">
        <f>IF(ISNUMBER(FIND("overige",Methode_Keuze)),"",IF(Tb_Activiteiten[[#This Row],[Bijdrage in natura (vrijwilligers)]]=1,Tb_Activiteiten[[#Headers],[Bijdrage in natura (vrijwilligers)]],""))</f>
        <v/>
      </c>
      <c r="AX1387" t="str">
        <f>IF(ISNUMBER(FIND("overige",Methode_Keuze)),"",IF(Tb_Activiteiten[[#This Row],[Afschrijvingskosten]]=1,Tb_Activiteiten[[#Headers],[Afschrijvingskosten]],""))</f>
        <v/>
      </c>
      <c r="AY1387" t="str">
        <f>IF(ISNUMBER(FIND("overige",Methode_Keuze)),"",IF(Tb_Activiteiten[[#This Row],[Vergoeding]]=1,Tb_Activiteiten[[#Headers],[Vergoeding]],""))</f>
        <v/>
      </c>
      <c r="AZ1387" t="str">
        <f>IF(ISNUMBER(FIND("arbeid",Methode_Keuze)),"",IF(Tb_Activiteiten[[#This Row],[Arbeidskosten - vast tarief (excl eigen arbeid)]]=1,Tb_Activiteiten[[#Headers],[Arbeidskosten - vast tarief (excl eigen arbeid)]],""))</f>
        <v/>
      </c>
      <c r="BA1387" t="str">
        <f>IF(ISNUMBER(FIND("overige",Methode_Keuze)),"",IF(Tb_Activiteiten[[#This Row],[Overige kosten]]=1,Tb_Activiteiten[[#Headers],[Overige kosten]],""))</f>
        <v/>
      </c>
    </row>
    <row r="1388" spans="15:53" x14ac:dyDescent="0.25">
      <c r="O1388" s="56"/>
      <c r="Q1388" t="str">
        <f>IFERROR(IF(VLOOKUP(Tb_Activiteiten[[#This Row],[Openstelling]],Tb_Openstelling[],2,0)=1,1,""),"")</f>
        <v/>
      </c>
      <c r="AK1388" t="str">
        <f>IF(ISNUMBER(FIND("arbeid",Methode_Keuze)),"",IF(ISNUMBER(FIND("arbeid",Methode_Keuze)),"",IF(Tb_Activiteiten[[#This Row],[Loonkosten]]=1,Tb_Activiteiten[[#Headers],[Loonkosten]],"")))</f>
        <v/>
      </c>
      <c r="AL1388" t="str">
        <f>IF(ISNUMBER(FIND("arbeid",Methode_Keuze)),"",IF(ISNUMBER(FIND("arbeid",Methode_Keuze)),"",IF(Tb_Activiteiten[[#This Row],[Eigen arbeid]]=1,Tb_Activiteiten[[#Headers],[Eigen arbeid]],"")))</f>
        <v/>
      </c>
      <c r="AM1388" t="str">
        <f>IF(ISNUMBER(FIND("arbeid",Methode_Keuze)),"",IF(ISNUMBER(FIND("arbeid",Methode_Keuze)),"",IF(Tb_Activiteiten[[#This Row],[Projectmedewerker]]=1,Tb_Activiteiten[[#Headers],[Projectmedewerker]],"")))</f>
        <v/>
      </c>
      <c r="AN1388" t="str">
        <f>IF(ISNUMBER(FIND("arbeid",Methode_Keuze)),"",IF(ISNUMBER(FIND("arbeid",Methode_Keuze)),"",IF(Tb_Activiteiten[[#This Row],[Landbouwer]]=1,Tb_Activiteiten[[#Headers],[Landbouwer]],"")))</f>
        <v/>
      </c>
      <c r="AO1388" t="str">
        <f>IF(ISNUMBER(FIND("arbeid",Methode_Keuze)),"",IF(ISNUMBER(FIND("arbeid",Methode_Keuze)),"",IF(Tb_Activiteiten[[#This Row],[Adviseur]]=1,Tb_Activiteiten[[#Headers],[Adviseur]],"")))</f>
        <v/>
      </c>
      <c r="AP1388" t="str">
        <f>IF(ISNUMBER(FIND("arbeid",Methode_Keuze)),"",IF(ISNUMBER(FIND("arbeid",Methode_Keuze)),"",IF(Tb_Activiteiten[[#This Row],[Projectleider/Expert]]=1,Tb_Activiteiten[[#Headers],[Projectleider/Expert]],"")))</f>
        <v/>
      </c>
      <c r="AQ1388" t="str">
        <f>IF(ISNUMBER(FIND("arbeid",Methode_Keuze)),"",IF(ISNUMBER(FIND("arbeid",Methode_Keuze)),"",IF(Tb_Activiteiten[[#This Row],[Arbeidskosten]]=1,Tb_Activiteiten[[#Headers],[Arbeidskosten]],"")))</f>
        <v/>
      </c>
      <c r="AR1388" t="str">
        <f>IF(ISNUMBER(FIND("arbeid",Methode_Keuze)),"",IF(ISNUMBER(FIND("arbeid",Methode_Keuze)),"",IF(Tb_Activiteiten[[#This Row],[Arbeidskosten op basis van IKS]]=1,Tb_Activiteiten[[#Headers],[Arbeidskosten op basis van IKS]],"")))</f>
        <v/>
      </c>
      <c r="AS1388" t="str">
        <f>IF(ISNUMBER(FIND("overige",Methode_Keuze)),"",IF(Tb_Activiteiten[[#This Row],[Kosten derden exclusief btw]]=1,Tb_Activiteiten[[#Headers],[Kosten derden exclusief btw]],""))</f>
        <v/>
      </c>
      <c r="AT1388" t="str">
        <f>IF(ISNUMBER(FIND("overige",Methode_Keuze)),"",IF(Tb_Activiteiten[[#This Row],[Niet verrekenbare btw]]=1,Tb_Activiteiten[[#Headers],[Niet verrekenbare btw]],""))</f>
        <v/>
      </c>
      <c r="AU1388" t="str">
        <f>IF(ISNUMBER(FIND("overige",Methode_Keuze)),"",IF(Tb_Activiteiten[[#This Row],[Grondkosten]]=1,Tb_Activiteiten[[#Headers],[Grondkosten]],""))</f>
        <v/>
      </c>
      <c r="AV1388" t="str">
        <f>IF(ISNUMBER(FIND("overige",Methode_Keuze)),"",IF(Tb_Activiteiten[[#This Row],[Bijdrage in natura (overige)]]=1,Tb_Activiteiten[[#Headers],[Bijdrage in natura (overige)]],""))</f>
        <v/>
      </c>
      <c r="AW1388" t="str">
        <f>IF(ISNUMBER(FIND("overige",Methode_Keuze)),"",IF(Tb_Activiteiten[[#This Row],[Bijdrage in natura (vrijwilligers)]]=1,Tb_Activiteiten[[#Headers],[Bijdrage in natura (vrijwilligers)]],""))</f>
        <v/>
      </c>
      <c r="AX1388" t="str">
        <f>IF(ISNUMBER(FIND("overige",Methode_Keuze)),"",IF(Tb_Activiteiten[[#This Row],[Afschrijvingskosten]]=1,Tb_Activiteiten[[#Headers],[Afschrijvingskosten]],""))</f>
        <v/>
      </c>
      <c r="AY1388" t="str">
        <f>IF(ISNUMBER(FIND("overige",Methode_Keuze)),"",IF(Tb_Activiteiten[[#This Row],[Vergoeding]]=1,Tb_Activiteiten[[#Headers],[Vergoeding]],""))</f>
        <v/>
      </c>
      <c r="AZ1388" t="str">
        <f>IF(ISNUMBER(FIND("arbeid",Methode_Keuze)),"",IF(Tb_Activiteiten[[#This Row],[Arbeidskosten - vast tarief (excl eigen arbeid)]]=1,Tb_Activiteiten[[#Headers],[Arbeidskosten - vast tarief (excl eigen arbeid)]],""))</f>
        <v/>
      </c>
      <c r="BA1388" t="str">
        <f>IF(ISNUMBER(FIND("overige",Methode_Keuze)),"",IF(Tb_Activiteiten[[#This Row],[Overige kosten]]=1,Tb_Activiteiten[[#Headers],[Overige kosten]],""))</f>
        <v/>
      </c>
    </row>
    <row r="1389" spans="15:53" x14ac:dyDescent="0.25">
      <c r="O1389" s="56"/>
      <c r="Q1389" t="str">
        <f>IFERROR(IF(VLOOKUP(Tb_Activiteiten[[#This Row],[Openstelling]],Tb_Openstelling[],2,0)=1,1,""),"")</f>
        <v/>
      </c>
      <c r="AK1389" t="str">
        <f>IF(ISNUMBER(FIND("arbeid",Methode_Keuze)),"",IF(ISNUMBER(FIND("arbeid",Methode_Keuze)),"",IF(Tb_Activiteiten[[#This Row],[Loonkosten]]=1,Tb_Activiteiten[[#Headers],[Loonkosten]],"")))</f>
        <v/>
      </c>
      <c r="AL1389" t="str">
        <f>IF(ISNUMBER(FIND("arbeid",Methode_Keuze)),"",IF(ISNUMBER(FIND("arbeid",Methode_Keuze)),"",IF(Tb_Activiteiten[[#This Row],[Eigen arbeid]]=1,Tb_Activiteiten[[#Headers],[Eigen arbeid]],"")))</f>
        <v/>
      </c>
      <c r="AM1389" t="str">
        <f>IF(ISNUMBER(FIND("arbeid",Methode_Keuze)),"",IF(ISNUMBER(FIND("arbeid",Methode_Keuze)),"",IF(Tb_Activiteiten[[#This Row],[Projectmedewerker]]=1,Tb_Activiteiten[[#Headers],[Projectmedewerker]],"")))</f>
        <v/>
      </c>
      <c r="AN1389" t="str">
        <f>IF(ISNUMBER(FIND("arbeid",Methode_Keuze)),"",IF(ISNUMBER(FIND("arbeid",Methode_Keuze)),"",IF(Tb_Activiteiten[[#This Row],[Landbouwer]]=1,Tb_Activiteiten[[#Headers],[Landbouwer]],"")))</f>
        <v/>
      </c>
      <c r="AO1389" t="str">
        <f>IF(ISNUMBER(FIND("arbeid",Methode_Keuze)),"",IF(ISNUMBER(FIND("arbeid",Methode_Keuze)),"",IF(Tb_Activiteiten[[#This Row],[Adviseur]]=1,Tb_Activiteiten[[#Headers],[Adviseur]],"")))</f>
        <v/>
      </c>
      <c r="AP1389" t="str">
        <f>IF(ISNUMBER(FIND("arbeid",Methode_Keuze)),"",IF(ISNUMBER(FIND("arbeid",Methode_Keuze)),"",IF(Tb_Activiteiten[[#This Row],[Projectleider/Expert]]=1,Tb_Activiteiten[[#Headers],[Projectleider/Expert]],"")))</f>
        <v/>
      </c>
      <c r="AQ1389" t="str">
        <f>IF(ISNUMBER(FIND("arbeid",Methode_Keuze)),"",IF(ISNUMBER(FIND("arbeid",Methode_Keuze)),"",IF(Tb_Activiteiten[[#This Row],[Arbeidskosten]]=1,Tb_Activiteiten[[#Headers],[Arbeidskosten]],"")))</f>
        <v/>
      </c>
      <c r="AR1389" t="str">
        <f>IF(ISNUMBER(FIND("arbeid",Methode_Keuze)),"",IF(ISNUMBER(FIND("arbeid",Methode_Keuze)),"",IF(Tb_Activiteiten[[#This Row],[Arbeidskosten op basis van IKS]]=1,Tb_Activiteiten[[#Headers],[Arbeidskosten op basis van IKS]],"")))</f>
        <v/>
      </c>
      <c r="AS1389" t="str">
        <f>IF(ISNUMBER(FIND("overige",Methode_Keuze)),"",IF(Tb_Activiteiten[[#This Row],[Kosten derden exclusief btw]]=1,Tb_Activiteiten[[#Headers],[Kosten derden exclusief btw]],""))</f>
        <v/>
      </c>
      <c r="AT1389" t="str">
        <f>IF(ISNUMBER(FIND("overige",Methode_Keuze)),"",IF(Tb_Activiteiten[[#This Row],[Niet verrekenbare btw]]=1,Tb_Activiteiten[[#Headers],[Niet verrekenbare btw]],""))</f>
        <v/>
      </c>
      <c r="AU1389" t="str">
        <f>IF(ISNUMBER(FIND("overige",Methode_Keuze)),"",IF(Tb_Activiteiten[[#This Row],[Grondkosten]]=1,Tb_Activiteiten[[#Headers],[Grondkosten]],""))</f>
        <v/>
      </c>
      <c r="AV1389" t="str">
        <f>IF(ISNUMBER(FIND("overige",Methode_Keuze)),"",IF(Tb_Activiteiten[[#This Row],[Bijdrage in natura (overige)]]=1,Tb_Activiteiten[[#Headers],[Bijdrage in natura (overige)]],""))</f>
        <v/>
      </c>
      <c r="AW1389" t="str">
        <f>IF(ISNUMBER(FIND("overige",Methode_Keuze)),"",IF(Tb_Activiteiten[[#This Row],[Bijdrage in natura (vrijwilligers)]]=1,Tb_Activiteiten[[#Headers],[Bijdrage in natura (vrijwilligers)]],""))</f>
        <v/>
      </c>
      <c r="AX1389" t="str">
        <f>IF(ISNUMBER(FIND("overige",Methode_Keuze)),"",IF(Tb_Activiteiten[[#This Row],[Afschrijvingskosten]]=1,Tb_Activiteiten[[#Headers],[Afschrijvingskosten]],""))</f>
        <v/>
      </c>
      <c r="AY1389" t="str">
        <f>IF(ISNUMBER(FIND("overige",Methode_Keuze)),"",IF(Tb_Activiteiten[[#This Row],[Vergoeding]]=1,Tb_Activiteiten[[#Headers],[Vergoeding]],""))</f>
        <v/>
      </c>
      <c r="AZ1389" t="str">
        <f>IF(ISNUMBER(FIND("arbeid",Methode_Keuze)),"",IF(Tb_Activiteiten[[#This Row],[Arbeidskosten - vast tarief (excl eigen arbeid)]]=1,Tb_Activiteiten[[#Headers],[Arbeidskosten - vast tarief (excl eigen arbeid)]],""))</f>
        <v/>
      </c>
      <c r="BA1389" t="str">
        <f>IF(ISNUMBER(FIND("overige",Methode_Keuze)),"",IF(Tb_Activiteiten[[#This Row],[Overige kosten]]=1,Tb_Activiteiten[[#Headers],[Overige kosten]],""))</f>
        <v/>
      </c>
    </row>
    <row r="1390" spans="15:53" x14ac:dyDescent="0.25">
      <c r="O1390" s="56"/>
      <c r="Q1390" t="str">
        <f>IFERROR(IF(VLOOKUP(Tb_Activiteiten[[#This Row],[Openstelling]],Tb_Openstelling[],2,0)=1,1,""),"")</f>
        <v/>
      </c>
      <c r="AK1390" t="str">
        <f>IF(ISNUMBER(FIND("arbeid",Methode_Keuze)),"",IF(ISNUMBER(FIND("arbeid",Methode_Keuze)),"",IF(Tb_Activiteiten[[#This Row],[Loonkosten]]=1,Tb_Activiteiten[[#Headers],[Loonkosten]],"")))</f>
        <v/>
      </c>
      <c r="AL1390" t="str">
        <f>IF(ISNUMBER(FIND("arbeid",Methode_Keuze)),"",IF(ISNUMBER(FIND("arbeid",Methode_Keuze)),"",IF(Tb_Activiteiten[[#This Row],[Eigen arbeid]]=1,Tb_Activiteiten[[#Headers],[Eigen arbeid]],"")))</f>
        <v/>
      </c>
      <c r="AM1390" t="str">
        <f>IF(ISNUMBER(FIND("arbeid",Methode_Keuze)),"",IF(ISNUMBER(FIND("arbeid",Methode_Keuze)),"",IF(Tb_Activiteiten[[#This Row],[Projectmedewerker]]=1,Tb_Activiteiten[[#Headers],[Projectmedewerker]],"")))</f>
        <v/>
      </c>
      <c r="AN1390" t="str">
        <f>IF(ISNUMBER(FIND("arbeid",Methode_Keuze)),"",IF(ISNUMBER(FIND("arbeid",Methode_Keuze)),"",IF(Tb_Activiteiten[[#This Row],[Landbouwer]]=1,Tb_Activiteiten[[#Headers],[Landbouwer]],"")))</f>
        <v/>
      </c>
      <c r="AO1390" t="str">
        <f>IF(ISNUMBER(FIND("arbeid",Methode_Keuze)),"",IF(ISNUMBER(FIND("arbeid",Methode_Keuze)),"",IF(Tb_Activiteiten[[#This Row],[Adviseur]]=1,Tb_Activiteiten[[#Headers],[Adviseur]],"")))</f>
        <v/>
      </c>
      <c r="AP1390" t="str">
        <f>IF(ISNUMBER(FIND("arbeid",Methode_Keuze)),"",IF(ISNUMBER(FIND("arbeid",Methode_Keuze)),"",IF(Tb_Activiteiten[[#This Row],[Projectleider/Expert]]=1,Tb_Activiteiten[[#Headers],[Projectleider/Expert]],"")))</f>
        <v/>
      </c>
      <c r="AQ1390" t="str">
        <f>IF(ISNUMBER(FIND("arbeid",Methode_Keuze)),"",IF(ISNUMBER(FIND("arbeid",Methode_Keuze)),"",IF(Tb_Activiteiten[[#This Row],[Arbeidskosten]]=1,Tb_Activiteiten[[#Headers],[Arbeidskosten]],"")))</f>
        <v/>
      </c>
      <c r="AR1390" t="str">
        <f>IF(ISNUMBER(FIND("arbeid",Methode_Keuze)),"",IF(ISNUMBER(FIND("arbeid",Methode_Keuze)),"",IF(Tb_Activiteiten[[#This Row],[Arbeidskosten op basis van IKS]]=1,Tb_Activiteiten[[#Headers],[Arbeidskosten op basis van IKS]],"")))</f>
        <v/>
      </c>
      <c r="AS1390" t="str">
        <f>IF(ISNUMBER(FIND("overige",Methode_Keuze)),"",IF(Tb_Activiteiten[[#This Row],[Kosten derden exclusief btw]]=1,Tb_Activiteiten[[#Headers],[Kosten derden exclusief btw]],""))</f>
        <v/>
      </c>
      <c r="AT1390" t="str">
        <f>IF(ISNUMBER(FIND("overige",Methode_Keuze)),"",IF(Tb_Activiteiten[[#This Row],[Niet verrekenbare btw]]=1,Tb_Activiteiten[[#Headers],[Niet verrekenbare btw]],""))</f>
        <v/>
      </c>
      <c r="AU1390" t="str">
        <f>IF(ISNUMBER(FIND("overige",Methode_Keuze)),"",IF(Tb_Activiteiten[[#This Row],[Grondkosten]]=1,Tb_Activiteiten[[#Headers],[Grondkosten]],""))</f>
        <v/>
      </c>
      <c r="AV1390" t="str">
        <f>IF(ISNUMBER(FIND("overige",Methode_Keuze)),"",IF(Tb_Activiteiten[[#This Row],[Bijdrage in natura (overige)]]=1,Tb_Activiteiten[[#Headers],[Bijdrage in natura (overige)]],""))</f>
        <v/>
      </c>
      <c r="AW1390" t="str">
        <f>IF(ISNUMBER(FIND("overige",Methode_Keuze)),"",IF(Tb_Activiteiten[[#This Row],[Bijdrage in natura (vrijwilligers)]]=1,Tb_Activiteiten[[#Headers],[Bijdrage in natura (vrijwilligers)]],""))</f>
        <v/>
      </c>
      <c r="AX1390" t="str">
        <f>IF(ISNUMBER(FIND("overige",Methode_Keuze)),"",IF(Tb_Activiteiten[[#This Row],[Afschrijvingskosten]]=1,Tb_Activiteiten[[#Headers],[Afschrijvingskosten]],""))</f>
        <v/>
      </c>
      <c r="AY1390" t="str">
        <f>IF(ISNUMBER(FIND("overige",Methode_Keuze)),"",IF(Tb_Activiteiten[[#This Row],[Vergoeding]]=1,Tb_Activiteiten[[#Headers],[Vergoeding]],""))</f>
        <v/>
      </c>
      <c r="AZ1390" t="str">
        <f>IF(ISNUMBER(FIND("arbeid",Methode_Keuze)),"",IF(Tb_Activiteiten[[#This Row],[Arbeidskosten - vast tarief (excl eigen arbeid)]]=1,Tb_Activiteiten[[#Headers],[Arbeidskosten - vast tarief (excl eigen arbeid)]],""))</f>
        <v/>
      </c>
      <c r="BA1390" t="str">
        <f>IF(ISNUMBER(FIND("overige",Methode_Keuze)),"",IF(Tb_Activiteiten[[#This Row],[Overige kosten]]=1,Tb_Activiteiten[[#Headers],[Overige kosten]],""))</f>
        <v/>
      </c>
    </row>
    <row r="1391" spans="15:53" x14ac:dyDescent="0.25">
      <c r="O1391" s="56"/>
      <c r="Q1391" t="str">
        <f>IFERROR(IF(VLOOKUP(Tb_Activiteiten[[#This Row],[Openstelling]],Tb_Openstelling[],2,0)=1,1,""),"")</f>
        <v/>
      </c>
      <c r="AK1391" t="str">
        <f>IF(ISNUMBER(FIND("arbeid",Methode_Keuze)),"",IF(ISNUMBER(FIND("arbeid",Methode_Keuze)),"",IF(Tb_Activiteiten[[#This Row],[Loonkosten]]=1,Tb_Activiteiten[[#Headers],[Loonkosten]],"")))</f>
        <v/>
      </c>
      <c r="AL1391" t="str">
        <f>IF(ISNUMBER(FIND("arbeid",Methode_Keuze)),"",IF(ISNUMBER(FIND("arbeid",Methode_Keuze)),"",IF(Tb_Activiteiten[[#This Row],[Eigen arbeid]]=1,Tb_Activiteiten[[#Headers],[Eigen arbeid]],"")))</f>
        <v/>
      </c>
      <c r="AM1391" t="str">
        <f>IF(ISNUMBER(FIND("arbeid",Methode_Keuze)),"",IF(ISNUMBER(FIND("arbeid",Methode_Keuze)),"",IF(Tb_Activiteiten[[#This Row],[Projectmedewerker]]=1,Tb_Activiteiten[[#Headers],[Projectmedewerker]],"")))</f>
        <v/>
      </c>
      <c r="AN1391" t="str">
        <f>IF(ISNUMBER(FIND("arbeid",Methode_Keuze)),"",IF(ISNUMBER(FIND("arbeid",Methode_Keuze)),"",IF(Tb_Activiteiten[[#This Row],[Landbouwer]]=1,Tb_Activiteiten[[#Headers],[Landbouwer]],"")))</f>
        <v/>
      </c>
      <c r="AO1391" t="str">
        <f>IF(ISNUMBER(FIND("arbeid",Methode_Keuze)),"",IF(ISNUMBER(FIND("arbeid",Methode_Keuze)),"",IF(Tb_Activiteiten[[#This Row],[Adviseur]]=1,Tb_Activiteiten[[#Headers],[Adviseur]],"")))</f>
        <v/>
      </c>
      <c r="AP1391" t="str">
        <f>IF(ISNUMBER(FIND("arbeid",Methode_Keuze)),"",IF(ISNUMBER(FIND("arbeid",Methode_Keuze)),"",IF(Tb_Activiteiten[[#This Row],[Projectleider/Expert]]=1,Tb_Activiteiten[[#Headers],[Projectleider/Expert]],"")))</f>
        <v/>
      </c>
      <c r="AQ1391" t="str">
        <f>IF(ISNUMBER(FIND("arbeid",Methode_Keuze)),"",IF(ISNUMBER(FIND("arbeid",Methode_Keuze)),"",IF(Tb_Activiteiten[[#This Row],[Arbeidskosten]]=1,Tb_Activiteiten[[#Headers],[Arbeidskosten]],"")))</f>
        <v/>
      </c>
      <c r="AR1391" t="str">
        <f>IF(ISNUMBER(FIND("arbeid",Methode_Keuze)),"",IF(ISNUMBER(FIND("arbeid",Methode_Keuze)),"",IF(Tb_Activiteiten[[#This Row],[Arbeidskosten op basis van IKS]]=1,Tb_Activiteiten[[#Headers],[Arbeidskosten op basis van IKS]],"")))</f>
        <v/>
      </c>
      <c r="AS1391" t="str">
        <f>IF(ISNUMBER(FIND("overige",Methode_Keuze)),"",IF(Tb_Activiteiten[[#This Row],[Kosten derden exclusief btw]]=1,Tb_Activiteiten[[#Headers],[Kosten derden exclusief btw]],""))</f>
        <v/>
      </c>
      <c r="AT1391" t="str">
        <f>IF(ISNUMBER(FIND("overige",Methode_Keuze)),"",IF(Tb_Activiteiten[[#This Row],[Niet verrekenbare btw]]=1,Tb_Activiteiten[[#Headers],[Niet verrekenbare btw]],""))</f>
        <v/>
      </c>
      <c r="AU1391" t="str">
        <f>IF(ISNUMBER(FIND("overige",Methode_Keuze)),"",IF(Tb_Activiteiten[[#This Row],[Grondkosten]]=1,Tb_Activiteiten[[#Headers],[Grondkosten]],""))</f>
        <v/>
      </c>
      <c r="AV1391" t="str">
        <f>IF(ISNUMBER(FIND("overige",Methode_Keuze)),"",IF(Tb_Activiteiten[[#This Row],[Bijdrage in natura (overige)]]=1,Tb_Activiteiten[[#Headers],[Bijdrage in natura (overige)]],""))</f>
        <v/>
      </c>
      <c r="AW1391" t="str">
        <f>IF(ISNUMBER(FIND("overige",Methode_Keuze)),"",IF(Tb_Activiteiten[[#This Row],[Bijdrage in natura (vrijwilligers)]]=1,Tb_Activiteiten[[#Headers],[Bijdrage in natura (vrijwilligers)]],""))</f>
        <v/>
      </c>
      <c r="AX1391" t="str">
        <f>IF(ISNUMBER(FIND("overige",Methode_Keuze)),"",IF(Tb_Activiteiten[[#This Row],[Afschrijvingskosten]]=1,Tb_Activiteiten[[#Headers],[Afschrijvingskosten]],""))</f>
        <v/>
      </c>
      <c r="AY1391" t="str">
        <f>IF(ISNUMBER(FIND("overige",Methode_Keuze)),"",IF(Tb_Activiteiten[[#This Row],[Vergoeding]]=1,Tb_Activiteiten[[#Headers],[Vergoeding]],""))</f>
        <v/>
      </c>
      <c r="AZ1391" t="str">
        <f>IF(ISNUMBER(FIND("arbeid",Methode_Keuze)),"",IF(Tb_Activiteiten[[#This Row],[Arbeidskosten - vast tarief (excl eigen arbeid)]]=1,Tb_Activiteiten[[#Headers],[Arbeidskosten - vast tarief (excl eigen arbeid)]],""))</f>
        <v/>
      </c>
      <c r="BA1391" t="str">
        <f>IF(ISNUMBER(FIND("overige",Methode_Keuze)),"",IF(Tb_Activiteiten[[#This Row],[Overige kosten]]=1,Tb_Activiteiten[[#Headers],[Overige kosten]],""))</f>
        <v/>
      </c>
    </row>
    <row r="1392" spans="15:53" x14ac:dyDescent="0.25">
      <c r="O1392" s="56"/>
      <c r="Q1392" t="str">
        <f>IFERROR(IF(VLOOKUP(Tb_Activiteiten[[#This Row],[Openstelling]],Tb_Openstelling[],2,0)=1,1,""),"")</f>
        <v/>
      </c>
      <c r="AK1392" t="str">
        <f>IF(ISNUMBER(FIND("arbeid",Methode_Keuze)),"",IF(ISNUMBER(FIND("arbeid",Methode_Keuze)),"",IF(Tb_Activiteiten[[#This Row],[Loonkosten]]=1,Tb_Activiteiten[[#Headers],[Loonkosten]],"")))</f>
        <v/>
      </c>
      <c r="AL1392" t="str">
        <f>IF(ISNUMBER(FIND("arbeid",Methode_Keuze)),"",IF(ISNUMBER(FIND("arbeid",Methode_Keuze)),"",IF(Tb_Activiteiten[[#This Row],[Eigen arbeid]]=1,Tb_Activiteiten[[#Headers],[Eigen arbeid]],"")))</f>
        <v/>
      </c>
      <c r="AM1392" t="str">
        <f>IF(ISNUMBER(FIND("arbeid",Methode_Keuze)),"",IF(ISNUMBER(FIND("arbeid",Methode_Keuze)),"",IF(Tb_Activiteiten[[#This Row],[Projectmedewerker]]=1,Tb_Activiteiten[[#Headers],[Projectmedewerker]],"")))</f>
        <v/>
      </c>
      <c r="AN1392" t="str">
        <f>IF(ISNUMBER(FIND("arbeid",Methode_Keuze)),"",IF(ISNUMBER(FIND("arbeid",Methode_Keuze)),"",IF(Tb_Activiteiten[[#This Row],[Landbouwer]]=1,Tb_Activiteiten[[#Headers],[Landbouwer]],"")))</f>
        <v/>
      </c>
      <c r="AO1392" t="str">
        <f>IF(ISNUMBER(FIND("arbeid",Methode_Keuze)),"",IF(ISNUMBER(FIND("arbeid",Methode_Keuze)),"",IF(Tb_Activiteiten[[#This Row],[Adviseur]]=1,Tb_Activiteiten[[#Headers],[Adviseur]],"")))</f>
        <v/>
      </c>
      <c r="AP1392" t="str">
        <f>IF(ISNUMBER(FIND("arbeid",Methode_Keuze)),"",IF(ISNUMBER(FIND("arbeid",Methode_Keuze)),"",IF(Tb_Activiteiten[[#This Row],[Projectleider/Expert]]=1,Tb_Activiteiten[[#Headers],[Projectleider/Expert]],"")))</f>
        <v/>
      </c>
      <c r="AQ1392" t="str">
        <f>IF(ISNUMBER(FIND("arbeid",Methode_Keuze)),"",IF(ISNUMBER(FIND("arbeid",Methode_Keuze)),"",IF(Tb_Activiteiten[[#This Row],[Arbeidskosten]]=1,Tb_Activiteiten[[#Headers],[Arbeidskosten]],"")))</f>
        <v/>
      </c>
      <c r="AR1392" t="str">
        <f>IF(ISNUMBER(FIND("arbeid",Methode_Keuze)),"",IF(ISNUMBER(FIND("arbeid",Methode_Keuze)),"",IF(Tb_Activiteiten[[#This Row],[Arbeidskosten op basis van IKS]]=1,Tb_Activiteiten[[#Headers],[Arbeidskosten op basis van IKS]],"")))</f>
        <v/>
      </c>
      <c r="AS1392" t="str">
        <f>IF(ISNUMBER(FIND("overige",Methode_Keuze)),"",IF(Tb_Activiteiten[[#This Row],[Kosten derden exclusief btw]]=1,Tb_Activiteiten[[#Headers],[Kosten derden exclusief btw]],""))</f>
        <v/>
      </c>
      <c r="AT1392" t="str">
        <f>IF(ISNUMBER(FIND("overige",Methode_Keuze)),"",IF(Tb_Activiteiten[[#This Row],[Niet verrekenbare btw]]=1,Tb_Activiteiten[[#Headers],[Niet verrekenbare btw]],""))</f>
        <v/>
      </c>
      <c r="AU1392" t="str">
        <f>IF(ISNUMBER(FIND("overige",Methode_Keuze)),"",IF(Tb_Activiteiten[[#This Row],[Grondkosten]]=1,Tb_Activiteiten[[#Headers],[Grondkosten]],""))</f>
        <v/>
      </c>
      <c r="AV1392" t="str">
        <f>IF(ISNUMBER(FIND("overige",Methode_Keuze)),"",IF(Tb_Activiteiten[[#This Row],[Bijdrage in natura (overige)]]=1,Tb_Activiteiten[[#Headers],[Bijdrage in natura (overige)]],""))</f>
        <v/>
      </c>
      <c r="AW1392" t="str">
        <f>IF(ISNUMBER(FIND("overige",Methode_Keuze)),"",IF(Tb_Activiteiten[[#This Row],[Bijdrage in natura (vrijwilligers)]]=1,Tb_Activiteiten[[#Headers],[Bijdrage in natura (vrijwilligers)]],""))</f>
        <v/>
      </c>
      <c r="AX1392" t="str">
        <f>IF(ISNUMBER(FIND("overige",Methode_Keuze)),"",IF(Tb_Activiteiten[[#This Row],[Afschrijvingskosten]]=1,Tb_Activiteiten[[#Headers],[Afschrijvingskosten]],""))</f>
        <v/>
      </c>
      <c r="AY1392" t="str">
        <f>IF(ISNUMBER(FIND("overige",Methode_Keuze)),"",IF(Tb_Activiteiten[[#This Row],[Vergoeding]]=1,Tb_Activiteiten[[#Headers],[Vergoeding]],""))</f>
        <v/>
      </c>
      <c r="AZ1392" t="str">
        <f>IF(ISNUMBER(FIND("arbeid",Methode_Keuze)),"",IF(Tb_Activiteiten[[#This Row],[Arbeidskosten - vast tarief (excl eigen arbeid)]]=1,Tb_Activiteiten[[#Headers],[Arbeidskosten - vast tarief (excl eigen arbeid)]],""))</f>
        <v/>
      </c>
      <c r="BA1392" t="str">
        <f>IF(ISNUMBER(FIND("overige",Methode_Keuze)),"",IF(Tb_Activiteiten[[#This Row],[Overige kosten]]=1,Tb_Activiteiten[[#Headers],[Overige kosten]],""))</f>
        <v/>
      </c>
    </row>
    <row r="1393" spans="15:53" x14ac:dyDescent="0.25">
      <c r="O1393" s="56"/>
      <c r="Q1393" t="str">
        <f>IFERROR(IF(VLOOKUP(Tb_Activiteiten[[#This Row],[Openstelling]],Tb_Openstelling[],2,0)=1,1,""),"")</f>
        <v/>
      </c>
      <c r="AK1393" t="str">
        <f>IF(ISNUMBER(FIND("arbeid",Methode_Keuze)),"",IF(ISNUMBER(FIND("arbeid",Methode_Keuze)),"",IF(Tb_Activiteiten[[#This Row],[Loonkosten]]=1,Tb_Activiteiten[[#Headers],[Loonkosten]],"")))</f>
        <v/>
      </c>
      <c r="AL1393" t="str">
        <f>IF(ISNUMBER(FIND("arbeid",Methode_Keuze)),"",IF(ISNUMBER(FIND("arbeid",Methode_Keuze)),"",IF(Tb_Activiteiten[[#This Row],[Eigen arbeid]]=1,Tb_Activiteiten[[#Headers],[Eigen arbeid]],"")))</f>
        <v/>
      </c>
      <c r="AM1393" t="str">
        <f>IF(ISNUMBER(FIND("arbeid",Methode_Keuze)),"",IF(ISNUMBER(FIND("arbeid",Methode_Keuze)),"",IF(Tb_Activiteiten[[#This Row],[Projectmedewerker]]=1,Tb_Activiteiten[[#Headers],[Projectmedewerker]],"")))</f>
        <v/>
      </c>
      <c r="AN1393" t="str">
        <f>IF(ISNUMBER(FIND("arbeid",Methode_Keuze)),"",IF(ISNUMBER(FIND("arbeid",Methode_Keuze)),"",IF(Tb_Activiteiten[[#This Row],[Landbouwer]]=1,Tb_Activiteiten[[#Headers],[Landbouwer]],"")))</f>
        <v/>
      </c>
      <c r="AO1393" t="str">
        <f>IF(ISNUMBER(FIND("arbeid",Methode_Keuze)),"",IF(ISNUMBER(FIND("arbeid",Methode_Keuze)),"",IF(Tb_Activiteiten[[#This Row],[Adviseur]]=1,Tb_Activiteiten[[#Headers],[Adviseur]],"")))</f>
        <v/>
      </c>
      <c r="AP1393" t="str">
        <f>IF(ISNUMBER(FIND("arbeid",Methode_Keuze)),"",IF(ISNUMBER(FIND("arbeid",Methode_Keuze)),"",IF(Tb_Activiteiten[[#This Row],[Projectleider/Expert]]=1,Tb_Activiteiten[[#Headers],[Projectleider/Expert]],"")))</f>
        <v/>
      </c>
      <c r="AQ1393" t="str">
        <f>IF(ISNUMBER(FIND("arbeid",Methode_Keuze)),"",IF(ISNUMBER(FIND("arbeid",Methode_Keuze)),"",IF(Tb_Activiteiten[[#This Row],[Arbeidskosten]]=1,Tb_Activiteiten[[#Headers],[Arbeidskosten]],"")))</f>
        <v/>
      </c>
      <c r="AR1393" t="str">
        <f>IF(ISNUMBER(FIND("arbeid",Methode_Keuze)),"",IF(ISNUMBER(FIND("arbeid",Methode_Keuze)),"",IF(Tb_Activiteiten[[#This Row],[Arbeidskosten op basis van IKS]]=1,Tb_Activiteiten[[#Headers],[Arbeidskosten op basis van IKS]],"")))</f>
        <v/>
      </c>
      <c r="AS1393" t="str">
        <f>IF(ISNUMBER(FIND("overige",Methode_Keuze)),"",IF(Tb_Activiteiten[[#This Row],[Kosten derden exclusief btw]]=1,Tb_Activiteiten[[#Headers],[Kosten derden exclusief btw]],""))</f>
        <v/>
      </c>
      <c r="AT1393" t="str">
        <f>IF(ISNUMBER(FIND("overige",Methode_Keuze)),"",IF(Tb_Activiteiten[[#This Row],[Niet verrekenbare btw]]=1,Tb_Activiteiten[[#Headers],[Niet verrekenbare btw]],""))</f>
        <v/>
      </c>
      <c r="AU1393" t="str">
        <f>IF(ISNUMBER(FIND("overige",Methode_Keuze)),"",IF(Tb_Activiteiten[[#This Row],[Grondkosten]]=1,Tb_Activiteiten[[#Headers],[Grondkosten]],""))</f>
        <v/>
      </c>
      <c r="AV1393" t="str">
        <f>IF(ISNUMBER(FIND("overige",Methode_Keuze)),"",IF(Tb_Activiteiten[[#This Row],[Bijdrage in natura (overige)]]=1,Tb_Activiteiten[[#Headers],[Bijdrage in natura (overige)]],""))</f>
        <v/>
      </c>
      <c r="AW1393" t="str">
        <f>IF(ISNUMBER(FIND("overige",Methode_Keuze)),"",IF(Tb_Activiteiten[[#This Row],[Bijdrage in natura (vrijwilligers)]]=1,Tb_Activiteiten[[#Headers],[Bijdrage in natura (vrijwilligers)]],""))</f>
        <v/>
      </c>
      <c r="AX1393" t="str">
        <f>IF(ISNUMBER(FIND("overige",Methode_Keuze)),"",IF(Tb_Activiteiten[[#This Row],[Afschrijvingskosten]]=1,Tb_Activiteiten[[#Headers],[Afschrijvingskosten]],""))</f>
        <v/>
      </c>
      <c r="AY1393" t="str">
        <f>IF(ISNUMBER(FIND("overige",Methode_Keuze)),"",IF(Tb_Activiteiten[[#This Row],[Vergoeding]]=1,Tb_Activiteiten[[#Headers],[Vergoeding]],""))</f>
        <v/>
      </c>
      <c r="AZ1393" t="str">
        <f>IF(ISNUMBER(FIND("arbeid",Methode_Keuze)),"",IF(Tb_Activiteiten[[#This Row],[Arbeidskosten - vast tarief (excl eigen arbeid)]]=1,Tb_Activiteiten[[#Headers],[Arbeidskosten - vast tarief (excl eigen arbeid)]],""))</f>
        <v/>
      </c>
      <c r="BA1393" t="str">
        <f>IF(ISNUMBER(FIND("overige",Methode_Keuze)),"",IF(Tb_Activiteiten[[#This Row],[Overige kosten]]=1,Tb_Activiteiten[[#Headers],[Overige kosten]],""))</f>
        <v/>
      </c>
    </row>
    <row r="1394" spans="15:53" x14ac:dyDescent="0.25">
      <c r="O1394" s="56"/>
      <c r="Q1394" t="str">
        <f>IFERROR(IF(VLOOKUP(Tb_Activiteiten[[#This Row],[Openstelling]],Tb_Openstelling[],2,0)=1,1,""),"")</f>
        <v/>
      </c>
      <c r="AK1394" t="str">
        <f>IF(ISNUMBER(FIND("arbeid",Methode_Keuze)),"",IF(ISNUMBER(FIND("arbeid",Methode_Keuze)),"",IF(Tb_Activiteiten[[#This Row],[Loonkosten]]=1,Tb_Activiteiten[[#Headers],[Loonkosten]],"")))</f>
        <v/>
      </c>
      <c r="AL1394" t="str">
        <f>IF(ISNUMBER(FIND("arbeid",Methode_Keuze)),"",IF(ISNUMBER(FIND("arbeid",Methode_Keuze)),"",IF(Tb_Activiteiten[[#This Row],[Eigen arbeid]]=1,Tb_Activiteiten[[#Headers],[Eigen arbeid]],"")))</f>
        <v/>
      </c>
      <c r="AM1394" t="str">
        <f>IF(ISNUMBER(FIND("arbeid",Methode_Keuze)),"",IF(ISNUMBER(FIND("arbeid",Methode_Keuze)),"",IF(Tb_Activiteiten[[#This Row],[Projectmedewerker]]=1,Tb_Activiteiten[[#Headers],[Projectmedewerker]],"")))</f>
        <v/>
      </c>
      <c r="AN1394" t="str">
        <f>IF(ISNUMBER(FIND("arbeid",Methode_Keuze)),"",IF(ISNUMBER(FIND("arbeid",Methode_Keuze)),"",IF(Tb_Activiteiten[[#This Row],[Landbouwer]]=1,Tb_Activiteiten[[#Headers],[Landbouwer]],"")))</f>
        <v/>
      </c>
      <c r="AO1394" t="str">
        <f>IF(ISNUMBER(FIND("arbeid",Methode_Keuze)),"",IF(ISNUMBER(FIND("arbeid",Methode_Keuze)),"",IF(Tb_Activiteiten[[#This Row],[Adviseur]]=1,Tb_Activiteiten[[#Headers],[Adviseur]],"")))</f>
        <v/>
      </c>
      <c r="AP1394" t="str">
        <f>IF(ISNUMBER(FIND("arbeid",Methode_Keuze)),"",IF(ISNUMBER(FIND("arbeid",Methode_Keuze)),"",IF(Tb_Activiteiten[[#This Row],[Projectleider/Expert]]=1,Tb_Activiteiten[[#Headers],[Projectleider/Expert]],"")))</f>
        <v/>
      </c>
      <c r="AQ1394" t="str">
        <f>IF(ISNUMBER(FIND("arbeid",Methode_Keuze)),"",IF(ISNUMBER(FIND("arbeid",Methode_Keuze)),"",IF(Tb_Activiteiten[[#This Row],[Arbeidskosten]]=1,Tb_Activiteiten[[#Headers],[Arbeidskosten]],"")))</f>
        <v/>
      </c>
      <c r="AR1394" t="str">
        <f>IF(ISNUMBER(FIND("arbeid",Methode_Keuze)),"",IF(ISNUMBER(FIND("arbeid",Methode_Keuze)),"",IF(Tb_Activiteiten[[#This Row],[Arbeidskosten op basis van IKS]]=1,Tb_Activiteiten[[#Headers],[Arbeidskosten op basis van IKS]],"")))</f>
        <v/>
      </c>
      <c r="AS1394" t="str">
        <f>IF(ISNUMBER(FIND("overige",Methode_Keuze)),"",IF(Tb_Activiteiten[[#This Row],[Kosten derden exclusief btw]]=1,Tb_Activiteiten[[#Headers],[Kosten derden exclusief btw]],""))</f>
        <v/>
      </c>
      <c r="AT1394" t="str">
        <f>IF(ISNUMBER(FIND("overige",Methode_Keuze)),"",IF(Tb_Activiteiten[[#This Row],[Niet verrekenbare btw]]=1,Tb_Activiteiten[[#Headers],[Niet verrekenbare btw]],""))</f>
        <v/>
      </c>
      <c r="AU1394" t="str">
        <f>IF(ISNUMBER(FIND("overige",Methode_Keuze)),"",IF(Tb_Activiteiten[[#This Row],[Grondkosten]]=1,Tb_Activiteiten[[#Headers],[Grondkosten]],""))</f>
        <v/>
      </c>
      <c r="AV1394" t="str">
        <f>IF(ISNUMBER(FIND("overige",Methode_Keuze)),"",IF(Tb_Activiteiten[[#This Row],[Bijdrage in natura (overige)]]=1,Tb_Activiteiten[[#Headers],[Bijdrage in natura (overige)]],""))</f>
        <v/>
      </c>
      <c r="AW1394" t="str">
        <f>IF(ISNUMBER(FIND("overige",Methode_Keuze)),"",IF(Tb_Activiteiten[[#This Row],[Bijdrage in natura (vrijwilligers)]]=1,Tb_Activiteiten[[#Headers],[Bijdrage in natura (vrijwilligers)]],""))</f>
        <v/>
      </c>
      <c r="AX1394" t="str">
        <f>IF(ISNUMBER(FIND("overige",Methode_Keuze)),"",IF(Tb_Activiteiten[[#This Row],[Afschrijvingskosten]]=1,Tb_Activiteiten[[#Headers],[Afschrijvingskosten]],""))</f>
        <v/>
      </c>
      <c r="AY1394" t="str">
        <f>IF(ISNUMBER(FIND("overige",Methode_Keuze)),"",IF(Tb_Activiteiten[[#This Row],[Vergoeding]]=1,Tb_Activiteiten[[#Headers],[Vergoeding]],""))</f>
        <v/>
      </c>
      <c r="AZ1394" t="str">
        <f>IF(ISNUMBER(FIND("arbeid",Methode_Keuze)),"",IF(Tb_Activiteiten[[#This Row],[Arbeidskosten - vast tarief (excl eigen arbeid)]]=1,Tb_Activiteiten[[#Headers],[Arbeidskosten - vast tarief (excl eigen arbeid)]],""))</f>
        <v/>
      </c>
      <c r="BA1394" t="str">
        <f>IF(ISNUMBER(FIND("overige",Methode_Keuze)),"",IF(Tb_Activiteiten[[#This Row],[Overige kosten]]=1,Tb_Activiteiten[[#Headers],[Overige kosten]],""))</f>
        <v/>
      </c>
    </row>
    <row r="1395" spans="15:53" x14ac:dyDescent="0.25">
      <c r="O1395" s="56"/>
      <c r="Q1395" t="str">
        <f>IFERROR(IF(VLOOKUP(Tb_Activiteiten[[#This Row],[Openstelling]],Tb_Openstelling[],2,0)=1,1,""),"")</f>
        <v/>
      </c>
      <c r="AK1395" t="str">
        <f>IF(ISNUMBER(FIND("arbeid",Methode_Keuze)),"",IF(ISNUMBER(FIND("arbeid",Methode_Keuze)),"",IF(Tb_Activiteiten[[#This Row],[Loonkosten]]=1,Tb_Activiteiten[[#Headers],[Loonkosten]],"")))</f>
        <v/>
      </c>
      <c r="AL1395" t="str">
        <f>IF(ISNUMBER(FIND("arbeid",Methode_Keuze)),"",IF(ISNUMBER(FIND("arbeid",Methode_Keuze)),"",IF(Tb_Activiteiten[[#This Row],[Eigen arbeid]]=1,Tb_Activiteiten[[#Headers],[Eigen arbeid]],"")))</f>
        <v/>
      </c>
      <c r="AM1395" t="str">
        <f>IF(ISNUMBER(FIND("arbeid",Methode_Keuze)),"",IF(ISNUMBER(FIND("arbeid",Methode_Keuze)),"",IF(Tb_Activiteiten[[#This Row],[Projectmedewerker]]=1,Tb_Activiteiten[[#Headers],[Projectmedewerker]],"")))</f>
        <v/>
      </c>
      <c r="AN1395" t="str">
        <f>IF(ISNUMBER(FIND("arbeid",Methode_Keuze)),"",IF(ISNUMBER(FIND("arbeid",Methode_Keuze)),"",IF(Tb_Activiteiten[[#This Row],[Landbouwer]]=1,Tb_Activiteiten[[#Headers],[Landbouwer]],"")))</f>
        <v/>
      </c>
      <c r="AO1395" t="str">
        <f>IF(ISNUMBER(FIND("arbeid",Methode_Keuze)),"",IF(ISNUMBER(FIND("arbeid",Methode_Keuze)),"",IF(Tb_Activiteiten[[#This Row],[Adviseur]]=1,Tb_Activiteiten[[#Headers],[Adviseur]],"")))</f>
        <v/>
      </c>
      <c r="AP1395" t="str">
        <f>IF(ISNUMBER(FIND("arbeid",Methode_Keuze)),"",IF(ISNUMBER(FIND("arbeid",Methode_Keuze)),"",IF(Tb_Activiteiten[[#This Row],[Projectleider/Expert]]=1,Tb_Activiteiten[[#Headers],[Projectleider/Expert]],"")))</f>
        <v/>
      </c>
      <c r="AQ1395" t="str">
        <f>IF(ISNUMBER(FIND("arbeid",Methode_Keuze)),"",IF(ISNUMBER(FIND("arbeid",Methode_Keuze)),"",IF(Tb_Activiteiten[[#This Row],[Arbeidskosten]]=1,Tb_Activiteiten[[#Headers],[Arbeidskosten]],"")))</f>
        <v/>
      </c>
      <c r="AR1395" t="str">
        <f>IF(ISNUMBER(FIND("arbeid",Methode_Keuze)),"",IF(ISNUMBER(FIND("arbeid",Methode_Keuze)),"",IF(Tb_Activiteiten[[#This Row],[Arbeidskosten op basis van IKS]]=1,Tb_Activiteiten[[#Headers],[Arbeidskosten op basis van IKS]],"")))</f>
        <v/>
      </c>
      <c r="AS1395" t="str">
        <f>IF(ISNUMBER(FIND("overige",Methode_Keuze)),"",IF(Tb_Activiteiten[[#This Row],[Kosten derden exclusief btw]]=1,Tb_Activiteiten[[#Headers],[Kosten derden exclusief btw]],""))</f>
        <v/>
      </c>
      <c r="AT1395" t="str">
        <f>IF(ISNUMBER(FIND("overige",Methode_Keuze)),"",IF(Tb_Activiteiten[[#This Row],[Niet verrekenbare btw]]=1,Tb_Activiteiten[[#Headers],[Niet verrekenbare btw]],""))</f>
        <v/>
      </c>
      <c r="AU1395" t="str">
        <f>IF(ISNUMBER(FIND("overige",Methode_Keuze)),"",IF(Tb_Activiteiten[[#This Row],[Grondkosten]]=1,Tb_Activiteiten[[#Headers],[Grondkosten]],""))</f>
        <v/>
      </c>
      <c r="AV1395" t="str">
        <f>IF(ISNUMBER(FIND("overige",Methode_Keuze)),"",IF(Tb_Activiteiten[[#This Row],[Bijdrage in natura (overige)]]=1,Tb_Activiteiten[[#Headers],[Bijdrage in natura (overige)]],""))</f>
        <v/>
      </c>
      <c r="AW1395" t="str">
        <f>IF(ISNUMBER(FIND("overige",Methode_Keuze)),"",IF(Tb_Activiteiten[[#This Row],[Bijdrage in natura (vrijwilligers)]]=1,Tb_Activiteiten[[#Headers],[Bijdrage in natura (vrijwilligers)]],""))</f>
        <v/>
      </c>
      <c r="AX1395" t="str">
        <f>IF(ISNUMBER(FIND("overige",Methode_Keuze)),"",IF(Tb_Activiteiten[[#This Row],[Afschrijvingskosten]]=1,Tb_Activiteiten[[#Headers],[Afschrijvingskosten]],""))</f>
        <v/>
      </c>
      <c r="AY1395" t="str">
        <f>IF(ISNUMBER(FIND("overige",Methode_Keuze)),"",IF(Tb_Activiteiten[[#This Row],[Vergoeding]]=1,Tb_Activiteiten[[#Headers],[Vergoeding]],""))</f>
        <v/>
      </c>
      <c r="AZ1395" t="str">
        <f>IF(ISNUMBER(FIND("arbeid",Methode_Keuze)),"",IF(Tb_Activiteiten[[#This Row],[Arbeidskosten - vast tarief (excl eigen arbeid)]]=1,Tb_Activiteiten[[#Headers],[Arbeidskosten - vast tarief (excl eigen arbeid)]],""))</f>
        <v/>
      </c>
      <c r="BA1395" t="str">
        <f>IF(ISNUMBER(FIND("overige",Methode_Keuze)),"",IF(Tb_Activiteiten[[#This Row],[Overige kosten]]=1,Tb_Activiteiten[[#Headers],[Overige kosten]],""))</f>
        <v/>
      </c>
    </row>
    <row r="1396" spans="15:53" x14ac:dyDescent="0.25">
      <c r="O1396" s="56"/>
      <c r="Q1396" t="str">
        <f>IFERROR(IF(VLOOKUP(Tb_Activiteiten[[#This Row],[Openstelling]],Tb_Openstelling[],2,0)=1,1,""),"")</f>
        <v/>
      </c>
      <c r="AK1396" t="str">
        <f>IF(ISNUMBER(FIND("arbeid",Methode_Keuze)),"",IF(ISNUMBER(FIND("arbeid",Methode_Keuze)),"",IF(Tb_Activiteiten[[#This Row],[Loonkosten]]=1,Tb_Activiteiten[[#Headers],[Loonkosten]],"")))</f>
        <v/>
      </c>
      <c r="AL1396" t="str">
        <f>IF(ISNUMBER(FIND("arbeid",Methode_Keuze)),"",IF(ISNUMBER(FIND("arbeid",Methode_Keuze)),"",IF(Tb_Activiteiten[[#This Row],[Eigen arbeid]]=1,Tb_Activiteiten[[#Headers],[Eigen arbeid]],"")))</f>
        <v/>
      </c>
      <c r="AM1396" t="str">
        <f>IF(ISNUMBER(FIND("arbeid",Methode_Keuze)),"",IF(ISNUMBER(FIND("arbeid",Methode_Keuze)),"",IF(Tb_Activiteiten[[#This Row],[Projectmedewerker]]=1,Tb_Activiteiten[[#Headers],[Projectmedewerker]],"")))</f>
        <v/>
      </c>
      <c r="AN1396" t="str">
        <f>IF(ISNUMBER(FIND("arbeid",Methode_Keuze)),"",IF(ISNUMBER(FIND("arbeid",Methode_Keuze)),"",IF(Tb_Activiteiten[[#This Row],[Landbouwer]]=1,Tb_Activiteiten[[#Headers],[Landbouwer]],"")))</f>
        <v/>
      </c>
      <c r="AO1396" t="str">
        <f>IF(ISNUMBER(FIND("arbeid",Methode_Keuze)),"",IF(ISNUMBER(FIND("arbeid",Methode_Keuze)),"",IF(Tb_Activiteiten[[#This Row],[Adviseur]]=1,Tb_Activiteiten[[#Headers],[Adviseur]],"")))</f>
        <v/>
      </c>
      <c r="AP1396" t="str">
        <f>IF(ISNUMBER(FIND("arbeid",Methode_Keuze)),"",IF(ISNUMBER(FIND("arbeid",Methode_Keuze)),"",IF(Tb_Activiteiten[[#This Row],[Projectleider/Expert]]=1,Tb_Activiteiten[[#Headers],[Projectleider/Expert]],"")))</f>
        <v/>
      </c>
      <c r="AQ1396" t="str">
        <f>IF(ISNUMBER(FIND("arbeid",Methode_Keuze)),"",IF(ISNUMBER(FIND("arbeid",Methode_Keuze)),"",IF(Tb_Activiteiten[[#This Row],[Arbeidskosten]]=1,Tb_Activiteiten[[#Headers],[Arbeidskosten]],"")))</f>
        <v/>
      </c>
      <c r="AR1396" t="str">
        <f>IF(ISNUMBER(FIND("arbeid",Methode_Keuze)),"",IF(ISNUMBER(FIND("arbeid",Methode_Keuze)),"",IF(Tb_Activiteiten[[#This Row],[Arbeidskosten op basis van IKS]]=1,Tb_Activiteiten[[#Headers],[Arbeidskosten op basis van IKS]],"")))</f>
        <v/>
      </c>
      <c r="AS1396" t="str">
        <f>IF(ISNUMBER(FIND("overige",Methode_Keuze)),"",IF(Tb_Activiteiten[[#This Row],[Kosten derden exclusief btw]]=1,Tb_Activiteiten[[#Headers],[Kosten derden exclusief btw]],""))</f>
        <v/>
      </c>
      <c r="AT1396" t="str">
        <f>IF(ISNUMBER(FIND("overige",Methode_Keuze)),"",IF(Tb_Activiteiten[[#This Row],[Niet verrekenbare btw]]=1,Tb_Activiteiten[[#Headers],[Niet verrekenbare btw]],""))</f>
        <v/>
      </c>
      <c r="AU1396" t="str">
        <f>IF(ISNUMBER(FIND("overige",Methode_Keuze)),"",IF(Tb_Activiteiten[[#This Row],[Grondkosten]]=1,Tb_Activiteiten[[#Headers],[Grondkosten]],""))</f>
        <v/>
      </c>
      <c r="AV1396" t="str">
        <f>IF(ISNUMBER(FIND("overige",Methode_Keuze)),"",IF(Tb_Activiteiten[[#This Row],[Bijdrage in natura (overige)]]=1,Tb_Activiteiten[[#Headers],[Bijdrage in natura (overige)]],""))</f>
        <v/>
      </c>
      <c r="AW1396" t="str">
        <f>IF(ISNUMBER(FIND("overige",Methode_Keuze)),"",IF(Tb_Activiteiten[[#This Row],[Bijdrage in natura (vrijwilligers)]]=1,Tb_Activiteiten[[#Headers],[Bijdrage in natura (vrijwilligers)]],""))</f>
        <v/>
      </c>
      <c r="AX1396" t="str">
        <f>IF(ISNUMBER(FIND("overige",Methode_Keuze)),"",IF(Tb_Activiteiten[[#This Row],[Afschrijvingskosten]]=1,Tb_Activiteiten[[#Headers],[Afschrijvingskosten]],""))</f>
        <v/>
      </c>
      <c r="AY1396" t="str">
        <f>IF(ISNUMBER(FIND("overige",Methode_Keuze)),"",IF(Tb_Activiteiten[[#This Row],[Vergoeding]]=1,Tb_Activiteiten[[#Headers],[Vergoeding]],""))</f>
        <v/>
      </c>
      <c r="AZ1396" t="str">
        <f>IF(ISNUMBER(FIND("arbeid",Methode_Keuze)),"",IF(Tb_Activiteiten[[#This Row],[Arbeidskosten - vast tarief (excl eigen arbeid)]]=1,Tb_Activiteiten[[#Headers],[Arbeidskosten - vast tarief (excl eigen arbeid)]],""))</f>
        <v/>
      </c>
      <c r="BA1396" t="str">
        <f>IF(ISNUMBER(FIND("overige",Methode_Keuze)),"",IF(Tb_Activiteiten[[#This Row],[Overige kosten]]=1,Tb_Activiteiten[[#Headers],[Overige kosten]],""))</f>
        <v/>
      </c>
    </row>
    <row r="1397" spans="15:53" x14ac:dyDescent="0.25">
      <c r="O1397" s="56"/>
      <c r="Q1397" t="str">
        <f>IFERROR(IF(VLOOKUP(Tb_Activiteiten[[#This Row],[Openstelling]],Tb_Openstelling[],2,0)=1,1,""),"")</f>
        <v/>
      </c>
      <c r="AK1397" t="str">
        <f>IF(ISNUMBER(FIND("arbeid",Methode_Keuze)),"",IF(ISNUMBER(FIND("arbeid",Methode_Keuze)),"",IF(Tb_Activiteiten[[#This Row],[Loonkosten]]=1,Tb_Activiteiten[[#Headers],[Loonkosten]],"")))</f>
        <v/>
      </c>
      <c r="AL1397" t="str">
        <f>IF(ISNUMBER(FIND("arbeid",Methode_Keuze)),"",IF(ISNUMBER(FIND("arbeid",Methode_Keuze)),"",IF(Tb_Activiteiten[[#This Row],[Eigen arbeid]]=1,Tb_Activiteiten[[#Headers],[Eigen arbeid]],"")))</f>
        <v/>
      </c>
      <c r="AM1397" t="str">
        <f>IF(ISNUMBER(FIND("arbeid",Methode_Keuze)),"",IF(ISNUMBER(FIND("arbeid",Methode_Keuze)),"",IF(Tb_Activiteiten[[#This Row],[Projectmedewerker]]=1,Tb_Activiteiten[[#Headers],[Projectmedewerker]],"")))</f>
        <v/>
      </c>
      <c r="AN1397" t="str">
        <f>IF(ISNUMBER(FIND("arbeid",Methode_Keuze)),"",IF(ISNUMBER(FIND("arbeid",Methode_Keuze)),"",IF(Tb_Activiteiten[[#This Row],[Landbouwer]]=1,Tb_Activiteiten[[#Headers],[Landbouwer]],"")))</f>
        <v/>
      </c>
      <c r="AO1397" t="str">
        <f>IF(ISNUMBER(FIND("arbeid",Methode_Keuze)),"",IF(ISNUMBER(FIND("arbeid",Methode_Keuze)),"",IF(Tb_Activiteiten[[#This Row],[Adviseur]]=1,Tb_Activiteiten[[#Headers],[Adviseur]],"")))</f>
        <v/>
      </c>
      <c r="AP1397" t="str">
        <f>IF(ISNUMBER(FIND("arbeid",Methode_Keuze)),"",IF(ISNUMBER(FIND("arbeid",Methode_Keuze)),"",IF(Tb_Activiteiten[[#This Row],[Projectleider/Expert]]=1,Tb_Activiteiten[[#Headers],[Projectleider/Expert]],"")))</f>
        <v/>
      </c>
      <c r="AQ1397" t="str">
        <f>IF(ISNUMBER(FIND("arbeid",Methode_Keuze)),"",IF(ISNUMBER(FIND("arbeid",Methode_Keuze)),"",IF(Tb_Activiteiten[[#This Row],[Arbeidskosten]]=1,Tb_Activiteiten[[#Headers],[Arbeidskosten]],"")))</f>
        <v/>
      </c>
      <c r="AR1397" t="str">
        <f>IF(ISNUMBER(FIND("arbeid",Methode_Keuze)),"",IF(ISNUMBER(FIND("arbeid",Methode_Keuze)),"",IF(Tb_Activiteiten[[#This Row],[Arbeidskosten op basis van IKS]]=1,Tb_Activiteiten[[#Headers],[Arbeidskosten op basis van IKS]],"")))</f>
        <v/>
      </c>
      <c r="AS1397" t="str">
        <f>IF(ISNUMBER(FIND("overige",Methode_Keuze)),"",IF(Tb_Activiteiten[[#This Row],[Kosten derden exclusief btw]]=1,Tb_Activiteiten[[#Headers],[Kosten derden exclusief btw]],""))</f>
        <v/>
      </c>
      <c r="AT1397" t="str">
        <f>IF(ISNUMBER(FIND("overige",Methode_Keuze)),"",IF(Tb_Activiteiten[[#This Row],[Niet verrekenbare btw]]=1,Tb_Activiteiten[[#Headers],[Niet verrekenbare btw]],""))</f>
        <v/>
      </c>
      <c r="AU1397" t="str">
        <f>IF(ISNUMBER(FIND("overige",Methode_Keuze)),"",IF(Tb_Activiteiten[[#This Row],[Grondkosten]]=1,Tb_Activiteiten[[#Headers],[Grondkosten]],""))</f>
        <v/>
      </c>
      <c r="AV1397" t="str">
        <f>IF(ISNUMBER(FIND("overige",Methode_Keuze)),"",IF(Tb_Activiteiten[[#This Row],[Bijdrage in natura (overige)]]=1,Tb_Activiteiten[[#Headers],[Bijdrage in natura (overige)]],""))</f>
        <v/>
      </c>
      <c r="AW1397" t="str">
        <f>IF(ISNUMBER(FIND("overige",Methode_Keuze)),"",IF(Tb_Activiteiten[[#This Row],[Bijdrage in natura (vrijwilligers)]]=1,Tb_Activiteiten[[#Headers],[Bijdrage in natura (vrijwilligers)]],""))</f>
        <v/>
      </c>
      <c r="AX1397" t="str">
        <f>IF(ISNUMBER(FIND("overige",Methode_Keuze)),"",IF(Tb_Activiteiten[[#This Row],[Afschrijvingskosten]]=1,Tb_Activiteiten[[#Headers],[Afschrijvingskosten]],""))</f>
        <v/>
      </c>
      <c r="AY1397" t="str">
        <f>IF(ISNUMBER(FIND("overige",Methode_Keuze)),"",IF(Tb_Activiteiten[[#This Row],[Vergoeding]]=1,Tb_Activiteiten[[#Headers],[Vergoeding]],""))</f>
        <v/>
      </c>
      <c r="AZ1397" t="str">
        <f>IF(ISNUMBER(FIND("arbeid",Methode_Keuze)),"",IF(Tb_Activiteiten[[#This Row],[Arbeidskosten - vast tarief (excl eigen arbeid)]]=1,Tb_Activiteiten[[#Headers],[Arbeidskosten - vast tarief (excl eigen arbeid)]],""))</f>
        <v/>
      </c>
      <c r="BA1397" t="str">
        <f>IF(ISNUMBER(FIND("overige",Methode_Keuze)),"",IF(Tb_Activiteiten[[#This Row],[Overige kosten]]=1,Tb_Activiteiten[[#Headers],[Overige kosten]],""))</f>
        <v/>
      </c>
    </row>
    <row r="1398" spans="15:53" x14ac:dyDescent="0.25">
      <c r="O1398" s="56"/>
      <c r="Q1398" t="str">
        <f>IFERROR(IF(VLOOKUP(Tb_Activiteiten[[#This Row],[Openstelling]],Tb_Openstelling[],2,0)=1,1,""),"")</f>
        <v/>
      </c>
      <c r="AK1398" t="str">
        <f>IF(ISNUMBER(FIND("arbeid",Methode_Keuze)),"",IF(ISNUMBER(FIND("arbeid",Methode_Keuze)),"",IF(Tb_Activiteiten[[#This Row],[Loonkosten]]=1,Tb_Activiteiten[[#Headers],[Loonkosten]],"")))</f>
        <v/>
      </c>
      <c r="AL1398" t="str">
        <f>IF(ISNUMBER(FIND("arbeid",Methode_Keuze)),"",IF(ISNUMBER(FIND("arbeid",Methode_Keuze)),"",IF(Tb_Activiteiten[[#This Row],[Eigen arbeid]]=1,Tb_Activiteiten[[#Headers],[Eigen arbeid]],"")))</f>
        <v/>
      </c>
      <c r="AM1398" t="str">
        <f>IF(ISNUMBER(FIND("arbeid",Methode_Keuze)),"",IF(ISNUMBER(FIND("arbeid",Methode_Keuze)),"",IF(Tb_Activiteiten[[#This Row],[Projectmedewerker]]=1,Tb_Activiteiten[[#Headers],[Projectmedewerker]],"")))</f>
        <v/>
      </c>
      <c r="AN1398" t="str">
        <f>IF(ISNUMBER(FIND("arbeid",Methode_Keuze)),"",IF(ISNUMBER(FIND("arbeid",Methode_Keuze)),"",IF(Tb_Activiteiten[[#This Row],[Landbouwer]]=1,Tb_Activiteiten[[#Headers],[Landbouwer]],"")))</f>
        <v/>
      </c>
      <c r="AO1398" t="str">
        <f>IF(ISNUMBER(FIND("arbeid",Methode_Keuze)),"",IF(ISNUMBER(FIND("arbeid",Methode_Keuze)),"",IF(Tb_Activiteiten[[#This Row],[Adviseur]]=1,Tb_Activiteiten[[#Headers],[Adviseur]],"")))</f>
        <v/>
      </c>
      <c r="AP1398" t="str">
        <f>IF(ISNUMBER(FIND("arbeid",Methode_Keuze)),"",IF(ISNUMBER(FIND("arbeid",Methode_Keuze)),"",IF(Tb_Activiteiten[[#This Row],[Projectleider/Expert]]=1,Tb_Activiteiten[[#Headers],[Projectleider/Expert]],"")))</f>
        <v/>
      </c>
      <c r="AQ1398" t="str">
        <f>IF(ISNUMBER(FIND("arbeid",Methode_Keuze)),"",IF(ISNUMBER(FIND("arbeid",Methode_Keuze)),"",IF(Tb_Activiteiten[[#This Row],[Arbeidskosten]]=1,Tb_Activiteiten[[#Headers],[Arbeidskosten]],"")))</f>
        <v/>
      </c>
      <c r="AR1398" t="str">
        <f>IF(ISNUMBER(FIND("arbeid",Methode_Keuze)),"",IF(ISNUMBER(FIND("arbeid",Methode_Keuze)),"",IF(Tb_Activiteiten[[#This Row],[Arbeidskosten op basis van IKS]]=1,Tb_Activiteiten[[#Headers],[Arbeidskosten op basis van IKS]],"")))</f>
        <v/>
      </c>
      <c r="AS1398" t="str">
        <f>IF(ISNUMBER(FIND("overige",Methode_Keuze)),"",IF(Tb_Activiteiten[[#This Row],[Kosten derden exclusief btw]]=1,Tb_Activiteiten[[#Headers],[Kosten derden exclusief btw]],""))</f>
        <v/>
      </c>
      <c r="AT1398" t="str">
        <f>IF(ISNUMBER(FIND("overige",Methode_Keuze)),"",IF(Tb_Activiteiten[[#This Row],[Niet verrekenbare btw]]=1,Tb_Activiteiten[[#Headers],[Niet verrekenbare btw]],""))</f>
        <v/>
      </c>
      <c r="AU1398" t="str">
        <f>IF(ISNUMBER(FIND("overige",Methode_Keuze)),"",IF(Tb_Activiteiten[[#This Row],[Grondkosten]]=1,Tb_Activiteiten[[#Headers],[Grondkosten]],""))</f>
        <v/>
      </c>
      <c r="AV1398" t="str">
        <f>IF(ISNUMBER(FIND("overige",Methode_Keuze)),"",IF(Tb_Activiteiten[[#This Row],[Bijdrage in natura (overige)]]=1,Tb_Activiteiten[[#Headers],[Bijdrage in natura (overige)]],""))</f>
        <v/>
      </c>
      <c r="AW1398" t="str">
        <f>IF(ISNUMBER(FIND("overige",Methode_Keuze)),"",IF(Tb_Activiteiten[[#This Row],[Bijdrage in natura (vrijwilligers)]]=1,Tb_Activiteiten[[#Headers],[Bijdrage in natura (vrijwilligers)]],""))</f>
        <v/>
      </c>
      <c r="AX1398" t="str">
        <f>IF(ISNUMBER(FIND("overige",Methode_Keuze)),"",IF(Tb_Activiteiten[[#This Row],[Afschrijvingskosten]]=1,Tb_Activiteiten[[#Headers],[Afschrijvingskosten]],""))</f>
        <v/>
      </c>
      <c r="AY1398" t="str">
        <f>IF(ISNUMBER(FIND("overige",Methode_Keuze)),"",IF(Tb_Activiteiten[[#This Row],[Vergoeding]]=1,Tb_Activiteiten[[#Headers],[Vergoeding]],""))</f>
        <v/>
      </c>
      <c r="AZ1398" t="str">
        <f>IF(ISNUMBER(FIND("arbeid",Methode_Keuze)),"",IF(Tb_Activiteiten[[#This Row],[Arbeidskosten - vast tarief (excl eigen arbeid)]]=1,Tb_Activiteiten[[#Headers],[Arbeidskosten - vast tarief (excl eigen arbeid)]],""))</f>
        <v/>
      </c>
      <c r="BA1398" t="str">
        <f>IF(ISNUMBER(FIND("overige",Methode_Keuze)),"",IF(Tb_Activiteiten[[#This Row],[Overige kosten]]=1,Tb_Activiteiten[[#Headers],[Overige kosten]],""))</f>
        <v/>
      </c>
    </row>
    <row r="1399" spans="15:53" x14ac:dyDescent="0.25">
      <c r="O1399" s="56"/>
      <c r="Q1399" t="str">
        <f>IFERROR(IF(VLOOKUP(Tb_Activiteiten[[#This Row],[Openstelling]],Tb_Openstelling[],2,0)=1,1,""),"")</f>
        <v/>
      </c>
      <c r="AK1399" t="str">
        <f>IF(ISNUMBER(FIND("arbeid",Methode_Keuze)),"",IF(ISNUMBER(FIND("arbeid",Methode_Keuze)),"",IF(Tb_Activiteiten[[#This Row],[Loonkosten]]=1,Tb_Activiteiten[[#Headers],[Loonkosten]],"")))</f>
        <v/>
      </c>
      <c r="AL1399" t="str">
        <f>IF(ISNUMBER(FIND("arbeid",Methode_Keuze)),"",IF(ISNUMBER(FIND("arbeid",Methode_Keuze)),"",IF(Tb_Activiteiten[[#This Row],[Eigen arbeid]]=1,Tb_Activiteiten[[#Headers],[Eigen arbeid]],"")))</f>
        <v/>
      </c>
      <c r="AM1399" t="str">
        <f>IF(ISNUMBER(FIND("arbeid",Methode_Keuze)),"",IF(ISNUMBER(FIND("arbeid",Methode_Keuze)),"",IF(Tb_Activiteiten[[#This Row],[Projectmedewerker]]=1,Tb_Activiteiten[[#Headers],[Projectmedewerker]],"")))</f>
        <v/>
      </c>
      <c r="AN1399" t="str">
        <f>IF(ISNUMBER(FIND("arbeid",Methode_Keuze)),"",IF(ISNUMBER(FIND("arbeid",Methode_Keuze)),"",IF(Tb_Activiteiten[[#This Row],[Landbouwer]]=1,Tb_Activiteiten[[#Headers],[Landbouwer]],"")))</f>
        <v/>
      </c>
      <c r="AO1399" t="str">
        <f>IF(ISNUMBER(FIND("arbeid",Methode_Keuze)),"",IF(ISNUMBER(FIND("arbeid",Methode_Keuze)),"",IF(Tb_Activiteiten[[#This Row],[Adviseur]]=1,Tb_Activiteiten[[#Headers],[Adviseur]],"")))</f>
        <v/>
      </c>
      <c r="AP1399" t="str">
        <f>IF(ISNUMBER(FIND("arbeid",Methode_Keuze)),"",IF(ISNUMBER(FIND("arbeid",Methode_Keuze)),"",IF(Tb_Activiteiten[[#This Row],[Projectleider/Expert]]=1,Tb_Activiteiten[[#Headers],[Projectleider/Expert]],"")))</f>
        <v/>
      </c>
      <c r="AQ1399" t="str">
        <f>IF(ISNUMBER(FIND("arbeid",Methode_Keuze)),"",IF(ISNUMBER(FIND("arbeid",Methode_Keuze)),"",IF(Tb_Activiteiten[[#This Row],[Arbeidskosten]]=1,Tb_Activiteiten[[#Headers],[Arbeidskosten]],"")))</f>
        <v/>
      </c>
      <c r="AR1399" t="str">
        <f>IF(ISNUMBER(FIND("arbeid",Methode_Keuze)),"",IF(ISNUMBER(FIND("arbeid",Methode_Keuze)),"",IF(Tb_Activiteiten[[#This Row],[Arbeidskosten op basis van IKS]]=1,Tb_Activiteiten[[#Headers],[Arbeidskosten op basis van IKS]],"")))</f>
        <v/>
      </c>
      <c r="AS1399" t="str">
        <f>IF(ISNUMBER(FIND("overige",Methode_Keuze)),"",IF(Tb_Activiteiten[[#This Row],[Kosten derden exclusief btw]]=1,Tb_Activiteiten[[#Headers],[Kosten derden exclusief btw]],""))</f>
        <v/>
      </c>
      <c r="AT1399" t="str">
        <f>IF(ISNUMBER(FIND("overige",Methode_Keuze)),"",IF(Tb_Activiteiten[[#This Row],[Niet verrekenbare btw]]=1,Tb_Activiteiten[[#Headers],[Niet verrekenbare btw]],""))</f>
        <v/>
      </c>
      <c r="AU1399" t="str">
        <f>IF(ISNUMBER(FIND("overige",Methode_Keuze)),"",IF(Tb_Activiteiten[[#This Row],[Grondkosten]]=1,Tb_Activiteiten[[#Headers],[Grondkosten]],""))</f>
        <v/>
      </c>
      <c r="AV1399" t="str">
        <f>IF(ISNUMBER(FIND("overige",Methode_Keuze)),"",IF(Tb_Activiteiten[[#This Row],[Bijdrage in natura (overige)]]=1,Tb_Activiteiten[[#Headers],[Bijdrage in natura (overige)]],""))</f>
        <v/>
      </c>
      <c r="AW1399" t="str">
        <f>IF(ISNUMBER(FIND("overige",Methode_Keuze)),"",IF(Tb_Activiteiten[[#This Row],[Bijdrage in natura (vrijwilligers)]]=1,Tb_Activiteiten[[#Headers],[Bijdrage in natura (vrijwilligers)]],""))</f>
        <v/>
      </c>
      <c r="AX1399" t="str">
        <f>IF(ISNUMBER(FIND("overige",Methode_Keuze)),"",IF(Tb_Activiteiten[[#This Row],[Afschrijvingskosten]]=1,Tb_Activiteiten[[#Headers],[Afschrijvingskosten]],""))</f>
        <v/>
      </c>
      <c r="AY1399" t="str">
        <f>IF(ISNUMBER(FIND("overige",Methode_Keuze)),"",IF(Tb_Activiteiten[[#This Row],[Vergoeding]]=1,Tb_Activiteiten[[#Headers],[Vergoeding]],""))</f>
        <v/>
      </c>
      <c r="AZ1399" t="str">
        <f>IF(ISNUMBER(FIND("arbeid",Methode_Keuze)),"",IF(Tb_Activiteiten[[#This Row],[Arbeidskosten - vast tarief (excl eigen arbeid)]]=1,Tb_Activiteiten[[#Headers],[Arbeidskosten - vast tarief (excl eigen arbeid)]],""))</f>
        <v/>
      </c>
      <c r="BA1399" t="str">
        <f>IF(ISNUMBER(FIND("overige",Methode_Keuze)),"",IF(Tb_Activiteiten[[#This Row],[Overige kosten]]=1,Tb_Activiteiten[[#Headers],[Overige kosten]],""))</f>
        <v/>
      </c>
    </row>
    <row r="1400" spans="15:53" x14ac:dyDescent="0.25">
      <c r="O1400" s="56"/>
      <c r="Q1400" t="str">
        <f>IFERROR(IF(VLOOKUP(Tb_Activiteiten[[#This Row],[Openstelling]],Tb_Openstelling[],2,0)=1,1,""),"")</f>
        <v/>
      </c>
      <c r="AK1400" t="str">
        <f>IF(ISNUMBER(FIND("arbeid",Methode_Keuze)),"",IF(ISNUMBER(FIND("arbeid",Methode_Keuze)),"",IF(Tb_Activiteiten[[#This Row],[Loonkosten]]=1,Tb_Activiteiten[[#Headers],[Loonkosten]],"")))</f>
        <v/>
      </c>
      <c r="AL1400" t="str">
        <f>IF(ISNUMBER(FIND("arbeid",Methode_Keuze)),"",IF(ISNUMBER(FIND("arbeid",Methode_Keuze)),"",IF(Tb_Activiteiten[[#This Row],[Eigen arbeid]]=1,Tb_Activiteiten[[#Headers],[Eigen arbeid]],"")))</f>
        <v/>
      </c>
      <c r="AM1400" t="str">
        <f>IF(ISNUMBER(FIND("arbeid",Methode_Keuze)),"",IF(ISNUMBER(FIND("arbeid",Methode_Keuze)),"",IF(Tb_Activiteiten[[#This Row],[Projectmedewerker]]=1,Tb_Activiteiten[[#Headers],[Projectmedewerker]],"")))</f>
        <v/>
      </c>
      <c r="AN1400" t="str">
        <f>IF(ISNUMBER(FIND("arbeid",Methode_Keuze)),"",IF(ISNUMBER(FIND("arbeid",Methode_Keuze)),"",IF(Tb_Activiteiten[[#This Row],[Landbouwer]]=1,Tb_Activiteiten[[#Headers],[Landbouwer]],"")))</f>
        <v/>
      </c>
      <c r="AO1400" t="str">
        <f>IF(ISNUMBER(FIND("arbeid",Methode_Keuze)),"",IF(ISNUMBER(FIND("arbeid",Methode_Keuze)),"",IF(Tb_Activiteiten[[#This Row],[Adviseur]]=1,Tb_Activiteiten[[#Headers],[Adviseur]],"")))</f>
        <v/>
      </c>
      <c r="AP1400" t="str">
        <f>IF(ISNUMBER(FIND("arbeid",Methode_Keuze)),"",IF(ISNUMBER(FIND("arbeid",Methode_Keuze)),"",IF(Tb_Activiteiten[[#This Row],[Projectleider/Expert]]=1,Tb_Activiteiten[[#Headers],[Projectleider/Expert]],"")))</f>
        <v/>
      </c>
      <c r="AQ1400" t="str">
        <f>IF(ISNUMBER(FIND("arbeid",Methode_Keuze)),"",IF(ISNUMBER(FIND("arbeid",Methode_Keuze)),"",IF(Tb_Activiteiten[[#This Row],[Arbeidskosten]]=1,Tb_Activiteiten[[#Headers],[Arbeidskosten]],"")))</f>
        <v/>
      </c>
      <c r="AR1400" t="str">
        <f>IF(ISNUMBER(FIND("arbeid",Methode_Keuze)),"",IF(ISNUMBER(FIND("arbeid",Methode_Keuze)),"",IF(Tb_Activiteiten[[#This Row],[Arbeidskosten op basis van IKS]]=1,Tb_Activiteiten[[#Headers],[Arbeidskosten op basis van IKS]],"")))</f>
        <v/>
      </c>
      <c r="AS1400" t="str">
        <f>IF(ISNUMBER(FIND("overige",Methode_Keuze)),"",IF(Tb_Activiteiten[[#This Row],[Kosten derden exclusief btw]]=1,Tb_Activiteiten[[#Headers],[Kosten derden exclusief btw]],""))</f>
        <v/>
      </c>
      <c r="AT1400" t="str">
        <f>IF(ISNUMBER(FIND("overige",Methode_Keuze)),"",IF(Tb_Activiteiten[[#This Row],[Niet verrekenbare btw]]=1,Tb_Activiteiten[[#Headers],[Niet verrekenbare btw]],""))</f>
        <v/>
      </c>
      <c r="AU1400" t="str">
        <f>IF(ISNUMBER(FIND("overige",Methode_Keuze)),"",IF(Tb_Activiteiten[[#This Row],[Grondkosten]]=1,Tb_Activiteiten[[#Headers],[Grondkosten]],""))</f>
        <v/>
      </c>
      <c r="AV1400" t="str">
        <f>IF(ISNUMBER(FIND("overige",Methode_Keuze)),"",IF(Tb_Activiteiten[[#This Row],[Bijdrage in natura (overige)]]=1,Tb_Activiteiten[[#Headers],[Bijdrage in natura (overige)]],""))</f>
        <v/>
      </c>
      <c r="AW1400" t="str">
        <f>IF(ISNUMBER(FIND("overige",Methode_Keuze)),"",IF(Tb_Activiteiten[[#This Row],[Bijdrage in natura (vrijwilligers)]]=1,Tb_Activiteiten[[#Headers],[Bijdrage in natura (vrijwilligers)]],""))</f>
        <v/>
      </c>
      <c r="AX1400" t="str">
        <f>IF(ISNUMBER(FIND("overige",Methode_Keuze)),"",IF(Tb_Activiteiten[[#This Row],[Afschrijvingskosten]]=1,Tb_Activiteiten[[#Headers],[Afschrijvingskosten]],""))</f>
        <v/>
      </c>
      <c r="AY1400" t="str">
        <f>IF(ISNUMBER(FIND("overige",Methode_Keuze)),"",IF(Tb_Activiteiten[[#This Row],[Vergoeding]]=1,Tb_Activiteiten[[#Headers],[Vergoeding]],""))</f>
        <v/>
      </c>
      <c r="AZ1400" t="str">
        <f>IF(ISNUMBER(FIND("arbeid",Methode_Keuze)),"",IF(Tb_Activiteiten[[#This Row],[Arbeidskosten - vast tarief (excl eigen arbeid)]]=1,Tb_Activiteiten[[#Headers],[Arbeidskosten - vast tarief (excl eigen arbeid)]],""))</f>
        <v/>
      </c>
      <c r="BA1400" t="str">
        <f>IF(ISNUMBER(FIND("overige",Methode_Keuze)),"",IF(Tb_Activiteiten[[#This Row],[Overige kosten]]=1,Tb_Activiteiten[[#Headers],[Overige kosten]],""))</f>
        <v/>
      </c>
    </row>
    <row r="1401" spans="15:53" x14ac:dyDescent="0.25">
      <c r="O1401" s="56"/>
      <c r="Q1401" t="str">
        <f>IFERROR(IF(VLOOKUP(Tb_Activiteiten[[#This Row],[Openstelling]],Tb_Openstelling[],2,0)=1,1,""),"")</f>
        <v/>
      </c>
      <c r="AK1401" t="str">
        <f>IF(ISNUMBER(FIND("arbeid",Methode_Keuze)),"",IF(ISNUMBER(FIND("arbeid",Methode_Keuze)),"",IF(Tb_Activiteiten[[#This Row],[Loonkosten]]=1,Tb_Activiteiten[[#Headers],[Loonkosten]],"")))</f>
        <v/>
      </c>
      <c r="AL1401" t="str">
        <f>IF(ISNUMBER(FIND("arbeid",Methode_Keuze)),"",IF(ISNUMBER(FIND("arbeid",Methode_Keuze)),"",IF(Tb_Activiteiten[[#This Row],[Eigen arbeid]]=1,Tb_Activiteiten[[#Headers],[Eigen arbeid]],"")))</f>
        <v/>
      </c>
      <c r="AM1401" t="str">
        <f>IF(ISNUMBER(FIND("arbeid",Methode_Keuze)),"",IF(ISNUMBER(FIND("arbeid",Methode_Keuze)),"",IF(Tb_Activiteiten[[#This Row],[Projectmedewerker]]=1,Tb_Activiteiten[[#Headers],[Projectmedewerker]],"")))</f>
        <v/>
      </c>
      <c r="AN1401" t="str">
        <f>IF(ISNUMBER(FIND("arbeid",Methode_Keuze)),"",IF(ISNUMBER(FIND("arbeid",Methode_Keuze)),"",IF(Tb_Activiteiten[[#This Row],[Landbouwer]]=1,Tb_Activiteiten[[#Headers],[Landbouwer]],"")))</f>
        <v/>
      </c>
      <c r="AO1401" t="str">
        <f>IF(ISNUMBER(FIND("arbeid",Methode_Keuze)),"",IF(ISNUMBER(FIND("arbeid",Methode_Keuze)),"",IF(Tb_Activiteiten[[#This Row],[Adviseur]]=1,Tb_Activiteiten[[#Headers],[Adviseur]],"")))</f>
        <v/>
      </c>
      <c r="AP1401" t="str">
        <f>IF(ISNUMBER(FIND("arbeid",Methode_Keuze)),"",IF(ISNUMBER(FIND("arbeid",Methode_Keuze)),"",IF(Tb_Activiteiten[[#This Row],[Projectleider/Expert]]=1,Tb_Activiteiten[[#Headers],[Projectleider/Expert]],"")))</f>
        <v/>
      </c>
      <c r="AQ1401" t="str">
        <f>IF(ISNUMBER(FIND("arbeid",Methode_Keuze)),"",IF(ISNUMBER(FIND("arbeid",Methode_Keuze)),"",IF(Tb_Activiteiten[[#This Row],[Arbeidskosten]]=1,Tb_Activiteiten[[#Headers],[Arbeidskosten]],"")))</f>
        <v/>
      </c>
      <c r="AR1401" t="str">
        <f>IF(ISNUMBER(FIND("arbeid",Methode_Keuze)),"",IF(ISNUMBER(FIND("arbeid",Methode_Keuze)),"",IF(Tb_Activiteiten[[#This Row],[Arbeidskosten op basis van IKS]]=1,Tb_Activiteiten[[#Headers],[Arbeidskosten op basis van IKS]],"")))</f>
        <v/>
      </c>
      <c r="AS1401" t="str">
        <f>IF(ISNUMBER(FIND("overige",Methode_Keuze)),"",IF(Tb_Activiteiten[[#This Row],[Kosten derden exclusief btw]]=1,Tb_Activiteiten[[#Headers],[Kosten derden exclusief btw]],""))</f>
        <v/>
      </c>
      <c r="AT1401" t="str">
        <f>IF(ISNUMBER(FIND("overige",Methode_Keuze)),"",IF(Tb_Activiteiten[[#This Row],[Niet verrekenbare btw]]=1,Tb_Activiteiten[[#Headers],[Niet verrekenbare btw]],""))</f>
        <v/>
      </c>
      <c r="AU1401" t="str">
        <f>IF(ISNUMBER(FIND("overige",Methode_Keuze)),"",IF(Tb_Activiteiten[[#This Row],[Grondkosten]]=1,Tb_Activiteiten[[#Headers],[Grondkosten]],""))</f>
        <v/>
      </c>
      <c r="AV1401" t="str">
        <f>IF(ISNUMBER(FIND("overige",Methode_Keuze)),"",IF(Tb_Activiteiten[[#This Row],[Bijdrage in natura (overige)]]=1,Tb_Activiteiten[[#Headers],[Bijdrage in natura (overige)]],""))</f>
        <v/>
      </c>
      <c r="AW1401" t="str">
        <f>IF(ISNUMBER(FIND("overige",Methode_Keuze)),"",IF(Tb_Activiteiten[[#This Row],[Bijdrage in natura (vrijwilligers)]]=1,Tb_Activiteiten[[#Headers],[Bijdrage in natura (vrijwilligers)]],""))</f>
        <v/>
      </c>
      <c r="AX1401" t="str">
        <f>IF(ISNUMBER(FIND("overige",Methode_Keuze)),"",IF(Tb_Activiteiten[[#This Row],[Afschrijvingskosten]]=1,Tb_Activiteiten[[#Headers],[Afschrijvingskosten]],""))</f>
        <v/>
      </c>
      <c r="AY1401" t="str">
        <f>IF(ISNUMBER(FIND("overige",Methode_Keuze)),"",IF(Tb_Activiteiten[[#This Row],[Vergoeding]]=1,Tb_Activiteiten[[#Headers],[Vergoeding]],""))</f>
        <v/>
      </c>
      <c r="AZ1401" t="str">
        <f>IF(ISNUMBER(FIND("arbeid",Methode_Keuze)),"",IF(Tb_Activiteiten[[#This Row],[Arbeidskosten - vast tarief (excl eigen arbeid)]]=1,Tb_Activiteiten[[#Headers],[Arbeidskosten - vast tarief (excl eigen arbeid)]],""))</f>
        <v/>
      </c>
      <c r="BA1401" t="str">
        <f>IF(ISNUMBER(FIND("overige",Methode_Keuze)),"",IF(Tb_Activiteiten[[#This Row],[Overige kosten]]=1,Tb_Activiteiten[[#Headers],[Overige kosten]],""))</f>
        <v/>
      </c>
    </row>
    <row r="1402" spans="15:53" x14ac:dyDescent="0.25">
      <c r="O1402" s="56"/>
      <c r="Q1402" t="str">
        <f>IFERROR(IF(VLOOKUP(Tb_Activiteiten[[#This Row],[Openstelling]],Tb_Openstelling[],2,0)=1,1,""),"")</f>
        <v/>
      </c>
      <c r="AK1402" t="str">
        <f>IF(ISNUMBER(FIND("arbeid",Methode_Keuze)),"",IF(ISNUMBER(FIND("arbeid",Methode_Keuze)),"",IF(Tb_Activiteiten[[#This Row],[Loonkosten]]=1,Tb_Activiteiten[[#Headers],[Loonkosten]],"")))</f>
        <v/>
      </c>
      <c r="AL1402" t="str">
        <f>IF(ISNUMBER(FIND("arbeid",Methode_Keuze)),"",IF(ISNUMBER(FIND("arbeid",Methode_Keuze)),"",IF(Tb_Activiteiten[[#This Row],[Eigen arbeid]]=1,Tb_Activiteiten[[#Headers],[Eigen arbeid]],"")))</f>
        <v/>
      </c>
      <c r="AM1402" t="str">
        <f>IF(ISNUMBER(FIND("arbeid",Methode_Keuze)),"",IF(ISNUMBER(FIND("arbeid",Methode_Keuze)),"",IF(Tb_Activiteiten[[#This Row],[Projectmedewerker]]=1,Tb_Activiteiten[[#Headers],[Projectmedewerker]],"")))</f>
        <v/>
      </c>
      <c r="AN1402" t="str">
        <f>IF(ISNUMBER(FIND("arbeid",Methode_Keuze)),"",IF(ISNUMBER(FIND("arbeid",Methode_Keuze)),"",IF(Tb_Activiteiten[[#This Row],[Landbouwer]]=1,Tb_Activiteiten[[#Headers],[Landbouwer]],"")))</f>
        <v/>
      </c>
      <c r="AO1402" t="str">
        <f>IF(ISNUMBER(FIND("arbeid",Methode_Keuze)),"",IF(ISNUMBER(FIND("arbeid",Methode_Keuze)),"",IF(Tb_Activiteiten[[#This Row],[Adviseur]]=1,Tb_Activiteiten[[#Headers],[Adviseur]],"")))</f>
        <v/>
      </c>
      <c r="AP1402" t="str">
        <f>IF(ISNUMBER(FIND("arbeid",Methode_Keuze)),"",IF(ISNUMBER(FIND("arbeid",Methode_Keuze)),"",IF(Tb_Activiteiten[[#This Row],[Projectleider/Expert]]=1,Tb_Activiteiten[[#Headers],[Projectleider/Expert]],"")))</f>
        <v/>
      </c>
      <c r="AQ1402" t="str">
        <f>IF(ISNUMBER(FIND("arbeid",Methode_Keuze)),"",IF(ISNUMBER(FIND("arbeid",Methode_Keuze)),"",IF(Tb_Activiteiten[[#This Row],[Arbeidskosten]]=1,Tb_Activiteiten[[#Headers],[Arbeidskosten]],"")))</f>
        <v/>
      </c>
      <c r="AR1402" t="str">
        <f>IF(ISNUMBER(FIND("arbeid",Methode_Keuze)),"",IF(ISNUMBER(FIND("arbeid",Methode_Keuze)),"",IF(Tb_Activiteiten[[#This Row],[Arbeidskosten op basis van IKS]]=1,Tb_Activiteiten[[#Headers],[Arbeidskosten op basis van IKS]],"")))</f>
        <v/>
      </c>
      <c r="AS1402" t="str">
        <f>IF(ISNUMBER(FIND("overige",Methode_Keuze)),"",IF(Tb_Activiteiten[[#This Row],[Kosten derden exclusief btw]]=1,Tb_Activiteiten[[#Headers],[Kosten derden exclusief btw]],""))</f>
        <v/>
      </c>
      <c r="AT1402" t="str">
        <f>IF(ISNUMBER(FIND("overige",Methode_Keuze)),"",IF(Tb_Activiteiten[[#This Row],[Niet verrekenbare btw]]=1,Tb_Activiteiten[[#Headers],[Niet verrekenbare btw]],""))</f>
        <v/>
      </c>
      <c r="AU1402" t="str">
        <f>IF(ISNUMBER(FIND("overige",Methode_Keuze)),"",IF(Tb_Activiteiten[[#This Row],[Grondkosten]]=1,Tb_Activiteiten[[#Headers],[Grondkosten]],""))</f>
        <v/>
      </c>
      <c r="AV1402" t="str">
        <f>IF(ISNUMBER(FIND("overige",Methode_Keuze)),"",IF(Tb_Activiteiten[[#This Row],[Bijdrage in natura (overige)]]=1,Tb_Activiteiten[[#Headers],[Bijdrage in natura (overige)]],""))</f>
        <v/>
      </c>
      <c r="AW1402" t="str">
        <f>IF(ISNUMBER(FIND("overige",Methode_Keuze)),"",IF(Tb_Activiteiten[[#This Row],[Bijdrage in natura (vrijwilligers)]]=1,Tb_Activiteiten[[#Headers],[Bijdrage in natura (vrijwilligers)]],""))</f>
        <v/>
      </c>
      <c r="AX1402" t="str">
        <f>IF(ISNUMBER(FIND("overige",Methode_Keuze)),"",IF(Tb_Activiteiten[[#This Row],[Afschrijvingskosten]]=1,Tb_Activiteiten[[#Headers],[Afschrijvingskosten]],""))</f>
        <v/>
      </c>
      <c r="AY1402" t="str">
        <f>IF(ISNUMBER(FIND("overige",Methode_Keuze)),"",IF(Tb_Activiteiten[[#This Row],[Vergoeding]]=1,Tb_Activiteiten[[#Headers],[Vergoeding]],""))</f>
        <v/>
      </c>
      <c r="AZ1402" t="str">
        <f>IF(ISNUMBER(FIND("arbeid",Methode_Keuze)),"",IF(Tb_Activiteiten[[#This Row],[Arbeidskosten - vast tarief (excl eigen arbeid)]]=1,Tb_Activiteiten[[#Headers],[Arbeidskosten - vast tarief (excl eigen arbeid)]],""))</f>
        <v/>
      </c>
      <c r="BA1402" t="str">
        <f>IF(ISNUMBER(FIND("overige",Methode_Keuze)),"",IF(Tb_Activiteiten[[#This Row],[Overige kosten]]=1,Tb_Activiteiten[[#Headers],[Overige kosten]],""))</f>
        <v/>
      </c>
    </row>
    <row r="1403" spans="15:53" x14ac:dyDescent="0.25">
      <c r="O1403" s="56"/>
      <c r="Q1403" t="str">
        <f>IFERROR(IF(VLOOKUP(Tb_Activiteiten[[#This Row],[Openstelling]],Tb_Openstelling[],2,0)=1,1,""),"")</f>
        <v/>
      </c>
      <c r="AK1403" t="str">
        <f>IF(ISNUMBER(FIND("arbeid",Methode_Keuze)),"",IF(ISNUMBER(FIND("arbeid",Methode_Keuze)),"",IF(Tb_Activiteiten[[#This Row],[Loonkosten]]=1,Tb_Activiteiten[[#Headers],[Loonkosten]],"")))</f>
        <v/>
      </c>
      <c r="AL1403" t="str">
        <f>IF(ISNUMBER(FIND("arbeid",Methode_Keuze)),"",IF(ISNUMBER(FIND("arbeid",Methode_Keuze)),"",IF(Tb_Activiteiten[[#This Row],[Eigen arbeid]]=1,Tb_Activiteiten[[#Headers],[Eigen arbeid]],"")))</f>
        <v/>
      </c>
      <c r="AM1403" t="str">
        <f>IF(ISNUMBER(FIND("arbeid",Methode_Keuze)),"",IF(ISNUMBER(FIND("arbeid",Methode_Keuze)),"",IF(Tb_Activiteiten[[#This Row],[Projectmedewerker]]=1,Tb_Activiteiten[[#Headers],[Projectmedewerker]],"")))</f>
        <v/>
      </c>
      <c r="AN1403" t="str">
        <f>IF(ISNUMBER(FIND("arbeid",Methode_Keuze)),"",IF(ISNUMBER(FIND("arbeid",Methode_Keuze)),"",IF(Tb_Activiteiten[[#This Row],[Landbouwer]]=1,Tb_Activiteiten[[#Headers],[Landbouwer]],"")))</f>
        <v/>
      </c>
      <c r="AO1403" t="str">
        <f>IF(ISNUMBER(FIND("arbeid",Methode_Keuze)),"",IF(ISNUMBER(FIND("arbeid",Methode_Keuze)),"",IF(Tb_Activiteiten[[#This Row],[Adviseur]]=1,Tb_Activiteiten[[#Headers],[Adviseur]],"")))</f>
        <v/>
      </c>
      <c r="AP1403" t="str">
        <f>IF(ISNUMBER(FIND("arbeid",Methode_Keuze)),"",IF(ISNUMBER(FIND("arbeid",Methode_Keuze)),"",IF(Tb_Activiteiten[[#This Row],[Projectleider/Expert]]=1,Tb_Activiteiten[[#Headers],[Projectleider/Expert]],"")))</f>
        <v/>
      </c>
      <c r="AQ1403" t="str">
        <f>IF(ISNUMBER(FIND("arbeid",Methode_Keuze)),"",IF(ISNUMBER(FIND("arbeid",Methode_Keuze)),"",IF(Tb_Activiteiten[[#This Row],[Arbeidskosten]]=1,Tb_Activiteiten[[#Headers],[Arbeidskosten]],"")))</f>
        <v/>
      </c>
      <c r="AR1403" t="str">
        <f>IF(ISNUMBER(FIND("arbeid",Methode_Keuze)),"",IF(ISNUMBER(FIND("arbeid",Methode_Keuze)),"",IF(Tb_Activiteiten[[#This Row],[Arbeidskosten op basis van IKS]]=1,Tb_Activiteiten[[#Headers],[Arbeidskosten op basis van IKS]],"")))</f>
        <v/>
      </c>
      <c r="AS1403" t="str">
        <f>IF(ISNUMBER(FIND("overige",Methode_Keuze)),"",IF(Tb_Activiteiten[[#This Row],[Kosten derden exclusief btw]]=1,Tb_Activiteiten[[#Headers],[Kosten derden exclusief btw]],""))</f>
        <v/>
      </c>
      <c r="AT1403" t="str">
        <f>IF(ISNUMBER(FIND("overige",Methode_Keuze)),"",IF(Tb_Activiteiten[[#This Row],[Niet verrekenbare btw]]=1,Tb_Activiteiten[[#Headers],[Niet verrekenbare btw]],""))</f>
        <v/>
      </c>
      <c r="AU1403" t="str">
        <f>IF(ISNUMBER(FIND("overige",Methode_Keuze)),"",IF(Tb_Activiteiten[[#This Row],[Grondkosten]]=1,Tb_Activiteiten[[#Headers],[Grondkosten]],""))</f>
        <v/>
      </c>
      <c r="AV1403" t="str">
        <f>IF(ISNUMBER(FIND("overige",Methode_Keuze)),"",IF(Tb_Activiteiten[[#This Row],[Bijdrage in natura (overige)]]=1,Tb_Activiteiten[[#Headers],[Bijdrage in natura (overige)]],""))</f>
        <v/>
      </c>
      <c r="AW1403" t="str">
        <f>IF(ISNUMBER(FIND("overige",Methode_Keuze)),"",IF(Tb_Activiteiten[[#This Row],[Bijdrage in natura (vrijwilligers)]]=1,Tb_Activiteiten[[#Headers],[Bijdrage in natura (vrijwilligers)]],""))</f>
        <v/>
      </c>
      <c r="AX1403" t="str">
        <f>IF(ISNUMBER(FIND("overige",Methode_Keuze)),"",IF(Tb_Activiteiten[[#This Row],[Afschrijvingskosten]]=1,Tb_Activiteiten[[#Headers],[Afschrijvingskosten]],""))</f>
        <v/>
      </c>
      <c r="AY1403" t="str">
        <f>IF(ISNUMBER(FIND("overige",Methode_Keuze)),"",IF(Tb_Activiteiten[[#This Row],[Vergoeding]]=1,Tb_Activiteiten[[#Headers],[Vergoeding]],""))</f>
        <v/>
      </c>
      <c r="AZ1403" t="str">
        <f>IF(ISNUMBER(FIND("arbeid",Methode_Keuze)),"",IF(Tb_Activiteiten[[#This Row],[Arbeidskosten - vast tarief (excl eigen arbeid)]]=1,Tb_Activiteiten[[#Headers],[Arbeidskosten - vast tarief (excl eigen arbeid)]],""))</f>
        <v/>
      </c>
      <c r="BA1403" t="str">
        <f>IF(ISNUMBER(FIND("overige",Methode_Keuze)),"",IF(Tb_Activiteiten[[#This Row],[Overige kosten]]=1,Tb_Activiteiten[[#Headers],[Overige kosten]],""))</f>
        <v/>
      </c>
    </row>
    <row r="1404" spans="15:53" x14ac:dyDescent="0.25">
      <c r="O1404" s="56"/>
      <c r="Q1404" t="str">
        <f>IFERROR(IF(VLOOKUP(Tb_Activiteiten[[#This Row],[Openstelling]],Tb_Openstelling[],2,0)=1,1,""),"")</f>
        <v/>
      </c>
      <c r="AK1404" t="str">
        <f>IF(ISNUMBER(FIND("arbeid",Methode_Keuze)),"",IF(ISNUMBER(FIND("arbeid",Methode_Keuze)),"",IF(Tb_Activiteiten[[#This Row],[Loonkosten]]=1,Tb_Activiteiten[[#Headers],[Loonkosten]],"")))</f>
        <v/>
      </c>
      <c r="AL1404" t="str">
        <f>IF(ISNUMBER(FIND("arbeid",Methode_Keuze)),"",IF(ISNUMBER(FIND("arbeid",Methode_Keuze)),"",IF(Tb_Activiteiten[[#This Row],[Eigen arbeid]]=1,Tb_Activiteiten[[#Headers],[Eigen arbeid]],"")))</f>
        <v/>
      </c>
      <c r="AM1404" t="str">
        <f>IF(ISNUMBER(FIND("arbeid",Methode_Keuze)),"",IF(ISNUMBER(FIND("arbeid",Methode_Keuze)),"",IF(Tb_Activiteiten[[#This Row],[Projectmedewerker]]=1,Tb_Activiteiten[[#Headers],[Projectmedewerker]],"")))</f>
        <v/>
      </c>
      <c r="AN1404" t="str">
        <f>IF(ISNUMBER(FIND("arbeid",Methode_Keuze)),"",IF(ISNUMBER(FIND("arbeid",Methode_Keuze)),"",IF(Tb_Activiteiten[[#This Row],[Landbouwer]]=1,Tb_Activiteiten[[#Headers],[Landbouwer]],"")))</f>
        <v/>
      </c>
      <c r="AO1404" t="str">
        <f>IF(ISNUMBER(FIND("arbeid",Methode_Keuze)),"",IF(ISNUMBER(FIND("arbeid",Methode_Keuze)),"",IF(Tb_Activiteiten[[#This Row],[Adviseur]]=1,Tb_Activiteiten[[#Headers],[Adviseur]],"")))</f>
        <v/>
      </c>
      <c r="AP1404" t="str">
        <f>IF(ISNUMBER(FIND("arbeid",Methode_Keuze)),"",IF(ISNUMBER(FIND("arbeid",Methode_Keuze)),"",IF(Tb_Activiteiten[[#This Row],[Projectleider/Expert]]=1,Tb_Activiteiten[[#Headers],[Projectleider/Expert]],"")))</f>
        <v/>
      </c>
      <c r="AQ1404" t="str">
        <f>IF(ISNUMBER(FIND("arbeid",Methode_Keuze)),"",IF(ISNUMBER(FIND("arbeid",Methode_Keuze)),"",IF(Tb_Activiteiten[[#This Row],[Arbeidskosten]]=1,Tb_Activiteiten[[#Headers],[Arbeidskosten]],"")))</f>
        <v/>
      </c>
      <c r="AR1404" t="str">
        <f>IF(ISNUMBER(FIND("arbeid",Methode_Keuze)),"",IF(ISNUMBER(FIND("arbeid",Methode_Keuze)),"",IF(Tb_Activiteiten[[#This Row],[Arbeidskosten op basis van IKS]]=1,Tb_Activiteiten[[#Headers],[Arbeidskosten op basis van IKS]],"")))</f>
        <v/>
      </c>
      <c r="AS1404" t="str">
        <f>IF(ISNUMBER(FIND("overige",Methode_Keuze)),"",IF(Tb_Activiteiten[[#This Row],[Kosten derden exclusief btw]]=1,Tb_Activiteiten[[#Headers],[Kosten derden exclusief btw]],""))</f>
        <v/>
      </c>
      <c r="AT1404" t="str">
        <f>IF(ISNUMBER(FIND("overige",Methode_Keuze)),"",IF(Tb_Activiteiten[[#This Row],[Niet verrekenbare btw]]=1,Tb_Activiteiten[[#Headers],[Niet verrekenbare btw]],""))</f>
        <v/>
      </c>
      <c r="AU1404" t="str">
        <f>IF(ISNUMBER(FIND("overige",Methode_Keuze)),"",IF(Tb_Activiteiten[[#This Row],[Grondkosten]]=1,Tb_Activiteiten[[#Headers],[Grondkosten]],""))</f>
        <v/>
      </c>
      <c r="AV1404" t="str">
        <f>IF(ISNUMBER(FIND("overige",Methode_Keuze)),"",IF(Tb_Activiteiten[[#This Row],[Bijdrage in natura (overige)]]=1,Tb_Activiteiten[[#Headers],[Bijdrage in natura (overige)]],""))</f>
        <v/>
      </c>
      <c r="AW1404" t="str">
        <f>IF(ISNUMBER(FIND("overige",Methode_Keuze)),"",IF(Tb_Activiteiten[[#This Row],[Bijdrage in natura (vrijwilligers)]]=1,Tb_Activiteiten[[#Headers],[Bijdrage in natura (vrijwilligers)]],""))</f>
        <v/>
      </c>
      <c r="AX1404" t="str">
        <f>IF(ISNUMBER(FIND("overige",Methode_Keuze)),"",IF(Tb_Activiteiten[[#This Row],[Afschrijvingskosten]]=1,Tb_Activiteiten[[#Headers],[Afschrijvingskosten]],""))</f>
        <v/>
      </c>
      <c r="AY1404" t="str">
        <f>IF(ISNUMBER(FIND("overige",Methode_Keuze)),"",IF(Tb_Activiteiten[[#This Row],[Vergoeding]]=1,Tb_Activiteiten[[#Headers],[Vergoeding]],""))</f>
        <v/>
      </c>
      <c r="AZ1404" t="str">
        <f>IF(ISNUMBER(FIND("arbeid",Methode_Keuze)),"",IF(Tb_Activiteiten[[#This Row],[Arbeidskosten - vast tarief (excl eigen arbeid)]]=1,Tb_Activiteiten[[#Headers],[Arbeidskosten - vast tarief (excl eigen arbeid)]],""))</f>
        <v/>
      </c>
      <c r="BA1404" t="str">
        <f>IF(ISNUMBER(FIND("overige",Methode_Keuze)),"",IF(Tb_Activiteiten[[#This Row],[Overige kosten]]=1,Tb_Activiteiten[[#Headers],[Overige kosten]],""))</f>
        <v/>
      </c>
    </row>
    <row r="1405" spans="15:53" x14ac:dyDescent="0.25">
      <c r="O1405" s="56"/>
      <c r="Q1405" t="str">
        <f>IFERROR(IF(VLOOKUP(Tb_Activiteiten[[#This Row],[Openstelling]],Tb_Openstelling[],2,0)=1,1,""),"")</f>
        <v/>
      </c>
      <c r="AK1405" t="str">
        <f>IF(ISNUMBER(FIND("arbeid",Methode_Keuze)),"",IF(ISNUMBER(FIND("arbeid",Methode_Keuze)),"",IF(Tb_Activiteiten[[#This Row],[Loonkosten]]=1,Tb_Activiteiten[[#Headers],[Loonkosten]],"")))</f>
        <v/>
      </c>
      <c r="AL1405" t="str">
        <f>IF(ISNUMBER(FIND("arbeid",Methode_Keuze)),"",IF(ISNUMBER(FIND("arbeid",Methode_Keuze)),"",IF(Tb_Activiteiten[[#This Row],[Eigen arbeid]]=1,Tb_Activiteiten[[#Headers],[Eigen arbeid]],"")))</f>
        <v/>
      </c>
      <c r="AM1405" t="str">
        <f>IF(ISNUMBER(FIND("arbeid",Methode_Keuze)),"",IF(ISNUMBER(FIND("arbeid",Methode_Keuze)),"",IF(Tb_Activiteiten[[#This Row],[Projectmedewerker]]=1,Tb_Activiteiten[[#Headers],[Projectmedewerker]],"")))</f>
        <v/>
      </c>
      <c r="AN1405" t="str">
        <f>IF(ISNUMBER(FIND("arbeid",Methode_Keuze)),"",IF(ISNUMBER(FIND("arbeid",Methode_Keuze)),"",IF(Tb_Activiteiten[[#This Row],[Landbouwer]]=1,Tb_Activiteiten[[#Headers],[Landbouwer]],"")))</f>
        <v/>
      </c>
      <c r="AO1405" t="str">
        <f>IF(ISNUMBER(FIND("arbeid",Methode_Keuze)),"",IF(ISNUMBER(FIND("arbeid",Methode_Keuze)),"",IF(Tb_Activiteiten[[#This Row],[Adviseur]]=1,Tb_Activiteiten[[#Headers],[Adviseur]],"")))</f>
        <v/>
      </c>
      <c r="AP1405" t="str">
        <f>IF(ISNUMBER(FIND("arbeid",Methode_Keuze)),"",IF(ISNUMBER(FIND("arbeid",Methode_Keuze)),"",IF(Tb_Activiteiten[[#This Row],[Projectleider/Expert]]=1,Tb_Activiteiten[[#Headers],[Projectleider/Expert]],"")))</f>
        <v/>
      </c>
      <c r="AQ1405" t="str">
        <f>IF(ISNUMBER(FIND("arbeid",Methode_Keuze)),"",IF(ISNUMBER(FIND("arbeid",Methode_Keuze)),"",IF(Tb_Activiteiten[[#This Row],[Arbeidskosten]]=1,Tb_Activiteiten[[#Headers],[Arbeidskosten]],"")))</f>
        <v/>
      </c>
      <c r="AR1405" t="str">
        <f>IF(ISNUMBER(FIND("arbeid",Methode_Keuze)),"",IF(ISNUMBER(FIND("arbeid",Methode_Keuze)),"",IF(Tb_Activiteiten[[#This Row],[Arbeidskosten op basis van IKS]]=1,Tb_Activiteiten[[#Headers],[Arbeidskosten op basis van IKS]],"")))</f>
        <v/>
      </c>
      <c r="AS1405" t="str">
        <f>IF(ISNUMBER(FIND("overige",Methode_Keuze)),"",IF(Tb_Activiteiten[[#This Row],[Kosten derden exclusief btw]]=1,Tb_Activiteiten[[#Headers],[Kosten derden exclusief btw]],""))</f>
        <v/>
      </c>
      <c r="AT1405" t="str">
        <f>IF(ISNUMBER(FIND("overige",Methode_Keuze)),"",IF(Tb_Activiteiten[[#This Row],[Niet verrekenbare btw]]=1,Tb_Activiteiten[[#Headers],[Niet verrekenbare btw]],""))</f>
        <v/>
      </c>
      <c r="AU1405" t="str">
        <f>IF(ISNUMBER(FIND("overige",Methode_Keuze)),"",IF(Tb_Activiteiten[[#This Row],[Grondkosten]]=1,Tb_Activiteiten[[#Headers],[Grondkosten]],""))</f>
        <v/>
      </c>
      <c r="AV1405" t="str">
        <f>IF(ISNUMBER(FIND("overige",Methode_Keuze)),"",IF(Tb_Activiteiten[[#This Row],[Bijdrage in natura (overige)]]=1,Tb_Activiteiten[[#Headers],[Bijdrage in natura (overige)]],""))</f>
        <v/>
      </c>
      <c r="AW1405" t="str">
        <f>IF(ISNUMBER(FIND("overige",Methode_Keuze)),"",IF(Tb_Activiteiten[[#This Row],[Bijdrage in natura (vrijwilligers)]]=1,Tb_Activiteiten[[#Headers],[Bijdrage in natura (vrijwilligers)]],""))</f>
        <v/>
      </c>
      <c r="AX1405" t="str">
        <f>IF(ISNUMBER(FIND("overige",Methode_Keuze)),"",IF(Tb_Activiteiten[[#This Row],[Afschrijvingskosten]]=1,Tb_Activiteiten[[#Headers],[Afschrijvingskosten]],""))</f>
        <v/>
      </c>
      <c r="AY1405" t="str">
        <f>IF(ISNUMBER(FIND("overige",Methode_Keuze)),"",IF(Tb_Activiteiten[[#This Row],[Vergoeding]]=1,Tb_Activiteiten[[#Headers],[Vergoeding]],""))</f>
        <v/>
      </c>
      <c r="AZ1405" t="str">
        <f>IF(ISNUMBER(FIND("arbeid",Methode_Keuze)),"",IF(Tb_Activiteiten[[#This Row],[Arbeidskosten - vast tarief (excl eigen arbeid)]]=1,Tb_Activiteiten[[#Headers],[Arbeidskosten - vast tarief (excl eigen arbeid)]],""))</f>
        <v/>
      </c>
      <c r="BA1405" t="str">
        <f>IF(ISNUMBER(FIND("overige",Methode_Keuze)),"",IF(Tb_Activiteiten[[#This Row],[Overige kosten]]=1,Tb_Activiteiten[[#Headers],[Overige kosten]],""))</f>
        <v/>
      </c>
    </row>
    <row r="1406" spans="15:53" x14ac:dyDescent="0.25">
      <c r="O1406" s="56"/>
      <c r="Q1406" t="str">
        <f>IFERROR(IF(VLOOKUP(Tb_Activiteiten[[#This Row],[Openstelling]],Tb_Openstelling[],2,0)=1,1,""),"")</f>
        <v/>
      </c>
      <c r="AK1406" t="str">
        <f>IF(ISNUMBER(FIND("arbeid",Methode_Keuze)),"",IF(ISNUMBER(FIND("arbeid",Methode_Keuze)),"",IF(Tb_Activiteiten[[#This Row],[Loonkosten]]=1,Tb_Activiteiten[[#Headers],[Loonkosten]],"")))</f>
        <v/>
      </c>
      <c r="AL1406" t="str">
        <f>IF(ISNUMBER(FIND("arbeid",Methode_Keuze)),"",IF(ISNUMBER(FIND("arbeid",Methode_Keuze)),"",IF(Tb_Activiteiten[[#This Row],[Eigen arbeid]]=1,Tb_Activiteiten[[#Headers],[Eigen arbeid]],"")))</f>
        <v/>
      </c>
      <c r="AM1406" t="str">
        <f>IF(ISNUMBER(FIND("arbeid",Methode_Keuze)),"",IF(ISNUMBER(FIND("arbeid",Methode_Keuze)),"",IF(Tb_Activiteiten[[#This Row],[Projectmedewerker]]=1,Tb_Activiteiten[[#Headers],[Projectmedewerker]],"")))</f>
        <v/>
      </c>
      <c r="AN1406" t="str">
        <f>IF(ISNUMBER(FIND("arbeid",Methode_Keuze)),"",IF(ISNUMBER(FIND("arbeid",Methode_Keuze)),"",IF(Tb_Activiteiten[[#This Row],[Landbouwer]]=1,Tb_Activiteiten[[#Headers],[Landbouwer]],"")))</f>
        <v/>
      </c>
      <c r="AO1406" t="str">
        <f>IF(ISNUMBER(FIND("arbeid",Methode_Keuze)),"",IF(ISNUMBER(FIND("arbeid",Methode_Keuze)),"",IF(Tb_Activiteiten[[#This Row],[Adviseur]]=1,Tb_Activiteiten[[#Headers],[Adviseur]],"")))</f>
        <v/>
      </c>
      <c r="AP1406" t="str">
        <f>IF(ISNUMBER(FIND("arbeid",Methode_Keuze)),"",IF(ISNUMBER(FIND("arbeid",Methode_Keuze)),"",IF(Tb_Activiteiten[[#This Row],[Projectleider/Expert]]=1,Tb_Activiteiten[[#Headers],[Projectleider/Expert]],"")))</f>
        <v/>
      </c>
      <c r="AQ1406" t="str">
        <f>IF(ISNUMBER(FIND("arbeid",Methode_Keuze)),"",IF(ISNUMBER(FIND("arbeid",Methode_Keuze)),"",IF(Tb_Activiteiten[[#This Row],[Arbeidskosten]]=1,Tb_Activiteiten[[#Headers],[Arbeidskosten]],"")))</f>
        <v/>
      </c>
      <c r="AR1406" t="str">
        <f>IF(ISNUMBER(FIND("arbeid",Methode_Keuze)),"",IF(ISNUMBER(FIND("arbeid",Methode_Keuze)),"",IF(Tb_Activiteiten[[#This Row],[Arbeidskosten op basis van IKS]]=1,Tb_Activiteiten[[#Headers],[Arbeidskosten op basis van IKS]],"")))</f>
        <v/>
      </c>
      <c r="AS1406" t="str">
        <f>IF(ISNUMBER(FIND("overige",Methode_Keuze)),"",IF(Tb_Activiteiten[[#This Row],[Kosten derden exclusief btw]]=1,Tb_Activiteiten[[#Headers],[Kosten derden exclusief btw]],""))</f>
        <v/>
      </c>
      <c r="AT1406" t="str">
        <f>IF(ISNUMBER(FIND("overige",Methode_Keuze)),"",IF(Tb_Activiteiten[[#This Row],[Niet verrekenbare btw]]=1,Tb_Activiteiten[[#Headers],[Niet verrekenbare btw]],""))</f>
        <v/>
      </c>
      <c r="AU1406" t="str">
        <f>IF(ISNUMBER(FIND("overige",Methode_Keuze)),"",IF(Tb_Activiteiten[[#This Row],[Grondkosten]]=1,Tb_Activiteiten[[#Headers],[Grondkosten]],""))</f>
        <v/>
      </c>
      <c r="AV1406" t="str">
        <f>IF(ISNUMBER(FIND("overige",Methode_Keuze)),"",IF(Tb_Activiteiten[[#This Row],[Bijdrage in natura (overige)]]=1,Tb_Activiteiten[[#Headers],[Bijdrage in natura (overige)]],""))</f>
        <v/>
      </c>
      <c r="AW1406" t="str">
        <f>IF(ISNUMBER(FIND("overige",Methode_Keuze)),"",IF(Tb_Activiteiten[[#This Row],[Bijdrage in natura (vrijwilligers)]]=1,Tb_Activiteiten[[#Headers],[Bijdrage in natura (vrijwilligers)]],""))</f>
        <v/>
      </c>
      <c r="AX1406" t="str">
        <f>IF(ISNUMBER(FIND("overige",Methode_Keuze)),"",IF(Tb_Activiteiten[[#This Row],[Afschrijvingskosten]]=1,Tb_Activiteiten[[#Headers],[Afschrijvingskosten]],""))</f>
        <v/>
      </c>
      <c r="AY1406" t="str">
        <f>IF(ISNUMBER(FIND("overige",Methode_Keuze)),"",IF(Tb_Activiteiten[[#This Row],[Vergoeding]]=1,Tb_Activiteiten[[#Headers],[Vergoeding]],""))</f>
        <v/>
      </c>
      <c r="AZ1406" t="str">
        <f>IF(ISNUMBER(FIND("arbeid",Methode_Keuze)),"",IF(Tb_Activiteiten[[#This Row],[Arbeidskosten - vast tarief (excl eigen arbeid)]]=1,Tb_Activiteiten[[#Headers],[Arbeidskosten - vast tarief (excl eigen arbeid)]],""))</f>
        <v/>
      </c>
      <c r="BA1406" t="str">
        <f>IF(ISNUMBER(FIND("overige",Methode_Keuze)),"",IF(Tb_Activiteiten[[#This Row],[Overige kosten]]=1,Tb_Activiteiten[[#Headers],[Overige kosten]],""))</f>
        <v/>
      </c>
    </row>
    <row r="1407" spans="15:53" x14ac:dyDescent="0.25">
      <c r="O1407" s="56"/>
      <c r="Q1407" t="str">
        <f>IFERROR(IF(VLOOKUP(Tb_Activiteiten[[#This Row],[Openstelling]],Tb_Openstelling[],2,0)=1,1,""),"")</f>
        <v/>
      </c>
      <c r="AK1407" t="str">
        <f>IF(ISNUMBER(FIND("arbeid",Methode_Keuze)),"",IF(ISNUMBER(FIND("arbeid",Methode_Keuze)),"",IF(Tb_Activiteiten[[#This Row],[Loonkosten]]=1,Tb_Activiteiten[[#Headers],[Loonkosten]],"")))</f>
        <v/>
      </c>
      <c r="AL1407" t="str">
        <f>IF(ISNUMBER(FIND("arbeid",Methode_Keuze)),"",IF(ISNUMBER(FIND("arbeid",Methode_Keuze)),"",IF(Tb_Activiteiten[[#This Row],[Eigen arbeid]]=1,Tb_Activiteiten[[#Headers],[Eigen arbeid]],"")))</f>
        <v/>
      </c>
      <c r="AM1407" t="str">
        <f>IF(ISNUMBER(FIND("arbeid",Methode_Keuze)),"",IF(ISNUMBER(FIND("arbeid",Methode_Keuze)),"",IF(Tb_Activiteiten[[#This Row],[Projectmedewerker]]=1,Tb_Activiteiten[[#Headers],[Projectmedewerker]],"")))</f>
        <v/>
      </c>
      <c r="AN1407" t="str">
        <f>IF(ISNUMBER(FIND("arbeid",Methode_Keuze)),"",IF(ISNUMBER(FIND("arbeid",Methode_Keuze)),"",IF(Tb_Activiteiten[[#This Row],[Landbouwer]]=1,Tb_Activiteiten[[#Headers],[Landbouwer]],"")))</f>
        <v/>
      </c>
      <c r="AO1407" t="str">
        <f>IF(ISNUMBER(FIND("arbeid",Methode_Keuze)),"",IF(ISNUMBER(FIND("arbeid",Methode_Keuze)),"",IF(Tb_Activiteiten[[#This Row],[Adviseur]]=1,Tb_Activiteiten[[#Headers],[Adviseur]],"")))</f>
        <v/>
      </c>
      <c r="AP1407" t="str">
        <f>IF(ISNUMBER(FIND("arbeid",Methode_Keuze)),"",IF(ISNUMBER(FIND("arbeid",Methode_Keuze)),"",IF(Tb_Activiteiten[[#This Row],[Projectleider/Expert]]=1,Tb_Activiteiten[[#Headers],[Projectleider/Expert]],"")))</f>
        <v/>
      </c>
      <c r="AQ1407" t="str">
        <f>IF(ISNUMBER(FIND("arbeid",Methode_Keuze)),"",IF(ISNUMBER(FIND("arbeid",Methode_Keuze)),"",IF(Tb_Activiteiten[[#This Row],[Arbeidskosten]]=1,Tb_Activiteiten[[#Headers],[Arbeidskosten]],"")))</f>
        <v/>
      </c>
      <c r="AR1407" t="str">
        <f>IF(ISNUMBER(FIND("arbeid",Methode_Keuze)),"",IF(ISNUMBER(FIND("arbeid",Methode_Keuze)),"",IF(Tb_Activiteiten[[#This Row],[Arbeidskosten op basis van IKS]]=1,Tb_Activiteiten[[#Headers],[Arbeidskosten op basis van IKS]],"")))</f>
        <v/>
      </c>
      <c r="AS1407" t="str">
        <f>IF(ISNUMBER(FIND("overige",Methode_Keuze)),"",IF(Tb_Activiteiten[[#This Row],[Kosten derden exclusief btw]]=1,Tb_Activiteiten[[#Headers],[Kosten derden exclusief btw]],""))</f>
        <v/>
      </c>
      <c r="AT1407" t="str">
        <f>IF(ISNUMBER(FIND("overige",Methode_Keuze)),"",IF(Tb_Activiteiten[[#This Row],[Niet verrekenbare btw]]=1,Tb_Activiteiten[[#Headers],[Niet verrekenbare btw]],""))</f>
        <v/>
      </c>
      <c r="AU1407" t="str">
        <f>IF(ISNUMBER(FIND("overige",Methode_Keuze)),"",IF(Tb_Activiteiten[[#This Row],[Grondkosten]]=1,Tb_Activiteiten[[#Headers],[Grondkosten]],""))</f>
        <v/>
      </c>
      <c r="AV1407" t="str">
        <f>IF(ISNUMBER(FIND("overige",Methode_Keuze)),"",IF(Tb_Activiteiten[[#This Row],[Bijdrage in natura (overige)]]=1,Tb_Activiteiten[[#Headers],[Bijdrage in natura (overige)]],""))</f>
        <v/>
      </c>
      <c r="AW1407" t="str">
        <f>IF(ISNUMBER(FIND("overige",Methode_Keuze)),"",IF(Tb_Activiteiten[[#This Row],[Bijdrage in natura (vrijwilligers)]]=1,Tb_Activiteiten[[#Headers],[Bijdrage in natura (vrijwilligers)]],""))</f>
        <v/>
      </c>
      <c r="AX1407" t="str">
        <f>IF(ISNUMBER(FIND("overige",Methode_Keuze)),"",IF(Tb_Activiteiten[[#This Row],[Afschrijvingskosten]]=1,Tb_Activiteiten[[#Headers],[Afschrijvingskosten]],""))</f>
        <v/>
      </c>
      <c r="AY1407" t="str">
        <f>IF(ISNUMBER(FIND("overige",Methode_Keuze)),"",IF(Tb_Activiteiten[[#This Row],[Vergoeding]]=1,Tb_Activiteiten[[#Headers],[Vergoeding]],""))</f>
        <v/>
      </c>
      <c r="AZ1407" t="str">
        <f>IF(ISNUMBER(FIND("arbeid",Methode_Keuze)),"",IF(Tb_Activiteiten[[#This Row],[Arbeidskosten - vast tarief (excl eigen arbeid)]]=1,Tb_Activiteiten[[#Headers],[Arbeidskosten - vast tarief (excl eigen arbeid)]],""))</f>
        <v/>
      </c>
      <c r="BA1407" t="str">
        <f>IF(ISNUMBER(FIND("overige",Methode_Keuze)),"",IF(Tb_Activiteiten[[#This Row],[Overige kosten]]=1,Tb_Activiteiten[[#Headers],[Overige kosten]],""))</f>
        <v/>
      </c>
    </row>
    <row r="1408" spans="15:53" x14ac:dyDescent="0.25">
      <c r="O1408" s="56"/>
      <c r="Q1408" t="str">
        <f>IFERROR(IF(VLOOKUP(Tb_Activiteiten[[#This Row],[Openstelling]],Tb_Openstelling[],2,0)=1,1,""),"")</f>
        <v/>
      </c>
      <c r="AK1408" t="str">
        <f>IF(ISNUMBER(FIND("arbeid",Methode_Keuze)),"",IF(ISNUMBER(FIND("arbeid",Methode_Keuze)),"",IF(Tb_Activiteiten[[#This Row],[Loonkosten]]=1,Tb_Activiteiten[[#Headers],[Loonkosten]],"")))</f>
        <v/>
      </c>
      <c r="AL1408" t="str">
        <f>IF(ISNUMBER(FIND("arbeid",Methode_Keuze)),"",IF(ISNUMBER(FIND("arbeid",Methode_Keuze)),"",IF(Tb_Activiteiten[[#This Row],[Eigen arbeid]]=1,Tb_Activiteiten[[#Headers],[Eigen arbeid]],"")))</f>
        <v/>
      </c>
      <c r="AM1408" t="str">
        <f>IF(ISNUMBER(FIND("arbeid",Methode_Keuze)),"",IF(ISNUMBER(FIND("arbeid",Methode_Keuze)),"",IF(Tb_Activiteiten[[#This Row],[Projectmedewerker]]=1,Tb_Activiteiten[[#Headers],[Projectmedewerker]],"")))</f>
        <v/>
      </c>
      <c r="AN1408" t="str">
        <f>IF(ISNUMBER(FIND("arbeid",Methode_Keuze)),"",IF(ISNUMBER(FIND("arbeid",Methode_Keuze)),"",IF(Tb_Activiteiten[[#This Row],[Landbouwer]]=1,Tb_Activiteiten[[#Headers],[Landbouwer]],"")))</f>
        <v/>
      </c>
      <c r="AO1408" t="str">
        <f>IF(ISNUMBER(FIND("arbeid",Methode_Keuze)),"",IF(ISNUMBER(FIND("arbeid",Methode_Keuze)),"",IF(Tb_Activiteiten[[#This Row],[Adviseur]]=1,Tb_Activiteiten[[#Headers],[Adviseur]],"")))</f>
        <v/>
      </c>
      <c r="AP1408" t="str">
        <f>IF(ISNUMBER(FIND("arbeid",Methode_Keuze)),"",IF(ISNUMBER(FIND("arbeid",Methode_Keuze)),"",IF(Tb_Activiteiten[[#This Row],[Projectleider/Expert]]=1,Tb_Activiteiten[[#Headers],[Projectleider/Expert]],"")))</f>
        <v/>
      </c>
      <c r="AQ1408" t="str">
        <f>IF(ISNUMBER(FIND("arbeid",Methode_Keuze)),"",IF(ISNUMBER(FIND("arbeid",Methode_Keuze)),"",IF(Tb_Activiteiten[[#This Row],[Arbeidskosten]]=1,Tb_Activiteiten[[#Headers],[Arbeidskosten]],"")))</f>
        <v/>
      </c>
      <c r="AR1408" t="str">
        <f>IF(ISNUMBER(FIND("arbeid",Methode_Keuze)),"",IF(ISNUMBER(FIND("arbeid",Methode_Keuze)),"",IF(Tb_Activiteiten[[#This Row],[Arbeidskosten op basis van IKS]]=1,Tb_Activiteiten[[#Headers],[Arbeidskosten op basis van IKS]],"")))</f>
        <v/>
      </c>
      <c r="AS1408" t="str">
        <f>IF(ISNUMBER(FIND("overige",Methode_Keuze)),"",IF(Tb_Activiteiten[[#This Row],[Kosten derden exclusief btw]]=1,Tb_Activiteiten[[#Headers],[Kosten derden exclusief btw]],""))</f>
        <v/>
      </c>
      <c r="AT1408" t="str">
        <f>IF(ISNUMBER(FIND("overige",Methode_Keuze)),"",IF(Tb_Activiteiten[[#This Row],[Niet verrekenbare btw]]=1,Tb_Activiteiten[[#Headers],[Niet verrekenbare btw]],""))</f>
        <v/>
      </c>
      <c r="AU1408" t="str">
        <f>IF(ISNUMBER(FIND("overige",Methode_Keuze)),"",IF(Tb_Activiteiten[[#This Row],[Grondkosten]]=1,Tb_Activiteiten[[#Headers],[Grondkosten]],""))</f>
        <v/>
      </c>
      <c r="AV1408" t="str">
        <f>IF(ISNUMBER(FIND("overige",Methode_Keuze)),"",IF(Tb_Activiteiten[[#This Row],[Bijdrage in natura (overige)]]=1,Tb_Activiteiten[[#Headers],[Bijdrage in natura (overige)]],""))</f>
        <v/>
      </c>
      <c r="AW1408" t="str">
        <f>IF(ISNUMBER(FIND("overige",Methode_Keuze)),"",IF(Tb_Activiteiten[[#This Row],[Bijdrage in natura (vrijwilligers)]]=1,Tb_Activiteiten[[#Headers],[Bijdrage in natura (vrijwilligers)]],""))</f>
        <v/>
      </c>
      <c r="AX1408" t="str">
        <f>IF(ISNUMBER(FIND("overige",Methode_Keuze)),"",IF(Tb_Activiteiten[[#This Row],[Afschrijvingskosten]]=1,Tb_Activiteiten[[#Headers],[Afschrijvingskosten]],""))</f>
        <v/>
      </c>
      <c r="AY1408" t="str">
        <f>IF(ISNUMBER(FIND("overige",Methode_Keuze)),"",IF(Tb_Activiteiten[[#This Row],[Vergoeding]]=1,Tb_Activiteiten[[#Headers],[Vergoeding]],""))</f>
        <v/>
      </c>
      <c r="AZ1408" t="str">
        <f>IF(ISNUMBER(FIND("arbeid",Methode_Keuze)),"",IF(Tb_Activiteiten[[#This Row],[Arbeidskosten - vast tarief (excl eigen arbeid)]]=1,Tb_Activiteiten[[#Headers],[Arbeidskosten - vast tarief (excl eigen arbeid)]],""))</f>
        <v/>
      </c>
      <c r="BA1408" t="str">
        <f>IF(ISNUMBER(FIND("overige",Methode_Keuze)),"",IF(Tb_Activiteiten[[#This Row],[Overige kosten]]=1,Tb_Activiteiten[[#Headers],[Overige kosten]],""))</f>
        <v/>
      </c>
    </row>
    <row r="1409" spans="15:53" x14ac:dyDescent="0.25">
      <c r="O1409" s="56"/>
      <c r="Q1409" t="str">
        <f>IFERROR(IF(VLOOKUP(Tb_Activiteiten[[#This Row],[Openstelling]],Tb_Openstelling[],2,0)=1,1,""),"")</f>
        <v/>
      </c>
      <c r="AK1409" t="str">
        <f>IF(ISNUMBER(FIND("arbeid",Methode_Keuze)),"",IF(ISNUMBER(FIND("arbeid",Methode_Keuze)),"",IF(Tb_Activiteiten[[#This Row],[Loonkosten]]=1,Tb_Activiteiten[[#Headers],[Loonkosten]],"")))</f>
        <v/>
      </c>
      <c r="AL1409" t="str">
        <f>IF(ISNUMBER(FIND("arbeid",Methode_Keuze)),"",IF(ISNUMBER(FIND("arbeid",Methode_Keuze)),"",IF(Tb_Activiteiten[[#This Row],[Eigen arbeid]]=1,Tb_Activiteiten[[#Headers],[Eigen arbeid]],"")))</f>
        <v/>
      </c>
      <c r="AM1409" t="str">
        <f>IF(ISNUMBER(FIND("arbeid",Methode_Keuze)),"",IF(ISNUMBER(FIND("arbeid",Methode_Keuze)),"",IF(Tb_Activiteiten[[#This Row],[Projectmedewerker]]=1,Tb_Activiteiten[[#Headers],[Projectmedewerker]],"")))</f>
        <v/>
      </c>
      <c r="AN1409" t="str">
        <f>IF(ISNUMBER(FIND("arbeid",Methode_Keuze)),"",IF(ISNUMBER(FIND("arbeid",Methode_Keuze)),"",IF(Tb_Activiteiten[[#This Row],[Landbouwer]]=1,Tb_Activiteiten[[#Headers],[Landbouwer]],"")))</f>
        <v/>
      </c>
      <c r="AO1409" t="str">
        <f>IF(ISNUMBER(FIND("arbeid",Methode_Keuze)),"",IF(ISNUMBER(FIND("arbeid",Methode_Keuze)),"",IF(Tb_Activiteiten[[#This Row],[Adviseur]]=1,Tb_Activiteiten[[#Headers],[Adviseur]],"")))</f>
        <v/>
      </c>
      <c r="AP1409" t="str">
        <f>IF(ISNUMBER(FIND("arbeid",Methode_Keuze)),"",IF(ISNUMBER(FIND("arbeid",Methode_Keuze)),"",IF(Tb_Activiteiten[[#This Row],[Projectleider/Expert]]=1,Tb_Activiteiten[[#Headers],[Projectleider/Expert]],"")))</f>
        <v/>
      </c>
      <c r="AQ1409" t="str">
        <f>IF(ISNUMBER(FIND("arbeid",Methode_Keuze)),"",IF(ISNUMBER(FIND("arbeid",Methode_Keuze)),"",IF(Tb_Activiteiten[[#This Row],[Arbeidskosten]]=1,Tb_Activiteiten[[#Headers],[Arbeidskosten]],"")))</f>
        <v/>
      </c>
      <c r="AR1409" t="str">
        <f>IF(ISNUMBER(FIND("arbeid",Methode_Keuze)),"",IF(ISNUMBER(FIND("arbeid",Methode_Keuze)),"",IF(Tb_Activiteiten[[#This Row],[Arbeidskosten op basis van IKS]]=1,Tb_Activiteiten[[#Headers],[Arbeidskosten op basis van IKS]],"")))</f>
        <v/>
      </c>
      <c r="AS1409" t="str">
        <f>IF(ISNUMBER(FIND("overige",Methode_Keuze)),"",IF(Tb_Activiteiten[[#This Row],[Kosten derden exclusief btw]]=1,Tb_Activiteiten[[#Headers],[Kosten derden exclusief btw]],""))</f>
        <v/>
      </c>
      <c r="AT1409" t="str">
        <f>IF(ISNUMBER(FIND("overige",Methode_Keuze)),"",IF(Tb_Activiteiten[[#This Row],[Niet verrekenbare btw]]=1,Tb_Activiteiten[[#Headers],[Niet verrekenbare btw]],""))</f>
        <v/>
      </c>
      <c r="AU1409" t="str">
        <f>IF(ISNUMBER(FIND("overige",Methode_Keuze)),"",IF(Tb_Activiteiten[[#This Row],[Grondkosten]]=1,Tb_Activiteiten[[#Headers],[Grondkosten]],""))</f>
        <v/>
      </c>
      <c r="AV1409" t="str">
        <f>IF(ISNUMBER(FIND("overige",Methode_Keuze)),"",IF(Tb_Activiteiten[[#This Row],[Bijdrage in natura (overige)]]=1,Tb_Activiteiten[[#Headers],[Bijdrage in natura (overige)]],""))</f>
        <v/>
      </c>
      <c r="AW1409" t="str">
        <f>IF(ISNUMBER(FIND("overige",Methode_Keuze)),"",IF(Tb_Activiteiten[[#This Row],[Bijdrage in natura (vrijwilligers)]]=1,Tb_Activiteiten[[#Headers],[Bijdrage in natura (vrijwilligers)]],""))</f>
        <v/>
      </c>
      <c r="AX1409" t="str">
        <f>IF(ISNUMBER(FIND("overige",Methode_Keuze)),"",IF(Tb_Activiteiten[[#This Row],[Afschrijvingskosten]]=1,Tb_Activiteiten[[#Headers],[Afschrijvingskosten]],""))</f>
        <v/>
      </c>
      <c r="AY1409" t="str">
        <f>IF(ISNUMBER(FIND("overige",Methode_Keuze)),"",IF(Tb_Activiteiten[[#This Row],[Vergoeding]]=1,Tb_Activiteiten[[#Headers],[Vergoeding]],""))</f>
        <v/>
      </c>
      <c r="AZ1409" t="str">
        <f>IF(ISNUMBER(FIND("arbeid",Methode_Keuze)),"",IF(Tb_Activiteiten[[#This Row],[Arbeidskosten - vast tarief (excl eigen arbeid)]]=1,Tb_Activiteiten[[#Headers],[Arbeidskosten - vast tarief (excl eigen arbeid)]],""))</f>
        <v/>
      </c>
      <c r="BA1409" t="str">
        <f>IF(ISNUMBER(FIND("overige",Methode_Keuze)),"",IF(Tb_Activiteiten[[#This Row],[Overige kosten]]=1,Tb_Activiteiten[[#Headers],[Overige kosten]],""))</f>
        <v/>
      </c>
    </row>
    <row r="1410" spans="15:53" x14ac:dyDescent="0.25">
      <c r="O1410" s="56"/>
      <c r="Q1410" t="str">
        <f>IFERROR(IF(VLOOKUP(Tb_Activiteiten[[#This Row],[Openstelling]],Tb_Openstelling[],2,0)=1,1,""),"")</f>
        <v/>
      </c>
      <c r="AK1410" t="str">
        <f>IF(ISNUMBER(FIND("arbeid",Methode_Keuze)),"",IF(ISNUMBER(FIND("arbeid",Methode_Keuze)),"",IF(Tb_Activiteiten[[#This Row],[Loonkosten]]=1,Tb_Activiteiten[[#Headers],[Loonkosten]],"")))</f>
        <v/>
      </c>
      <c r="AL1410" t="str">
        <f>IF(ISNUMBER(FIND("arbeid",Methode_Keuze)),"",IF(ISNUMBER(FIND("arbeid",Methode_Keuze)),"",IF(Tb_Activiteiten[[#This Row],[Eigen arbeid]]=1,Tb_Activiteiten[[#Headers],[Eigen arbeid]],"")))</f>
        <v/>
      </c>
      <c r="AM1410" t="str">
        <f>IF(ISNUMBER(FIND("arbeid",Methode_Keuze)),"",IF(ISNUMBER(FIND("arbeid",Methode_Keuze)),"",IF(Tb_Activiteiten[[#This Row],[Projectmedewerker]]=1,Tb_Activiteiten[[#Headers],[Projectmedewerker]],"")))</f>
        <v/>
      </c>
      <c r="AN1410" t="str">
        <f>IF(ISNUMBER(FIND("arbeid",Methode_Keuze)),"",IF(ISNUMBER(FIND("arbeid",Methode_Keuze)),"",IF(Tb_Activiteiten[[#This Row],[Landbouwer]]=1,Tb_Activiteiten[[#Headers],[Landbouwer]],"")))</f>
        <v/>
      </c>
      <c r="AO1410" t="str">
        <f>IF(ISNUMBER(FIND("arbeid",Methode_Keuze)),"",IF(ISNUMBER(FIND("arbeid",Methode_Keuze)),"",IF(Tb_Activiteiten[[#This Row],[Adviseur]]=1,Tb_Activiteiten[[#Headers],[Adviseur]],"")))</f>
        <v/>
      </c>
      <c r="AP1410" t="str">
        <f>IF(ISNUMBER(FIND("arbeid",Methode_Keuze)),"",IF(ISNUMBER(FIND("arbeid",Methode_Keuze)),"",IF(Tb_Activiteiten[[#This Row],[Projectleider/Expert]]=1,Tb_Activiteiten[[#Headers],[Projectleider/Expert]],"")))</f>
        <v/>
      </c>
      <c r="AQ1410" t="str">
        <f>IF(ISNUMBER(FIND("arbeid",Methode_Keuze)),"",IF(ISNUMBER(FIND("arbeid",Methode_Keuze)),"",IF(Tb_Activiteiten[[#This Row],[Arbeidskosten]]=1,Tb_Activiteiten[[#Headers],[Arbeidskosten]],"")))</f>
        <v/>
      </c>
      <c r="AR1410" t="str">
        <f>IF(ISNUMBER(FIND("arbeid",Methode_Keuze)),"",IF(ISNUMBER(FIND("arbeid",Methode_Keuze)),"",IF(Tb_Activiteiten[[#This Row],[Arbeidskosten op basis van IKS]]=1,Tb_Activiteiten[[#Headers],[Arbeidskosten op basis van IKS]],"")))</f>
        <v/>
      </c>
      <c r="AS1410" t="str">
        <f>IF(ISNUMBER(FIND("overige",Methode_Keuze)),"",IF(Tb_Activiteiten[[#This Row],[Kosten derden exclusief btw]]=1,Tb_Activiteiten[[#Headers],[Kosten derden exclusief btw]],""))</f>
        <v/>
      </c>
      <c r="AT1410" t="str">
        <f>IF(ISNUMBER(FIND("overige",Methode_Keuze)),"",IF(Tb_Activiteiten[[#This Row],[Niet verrekenbare btw]]=1,Tb_Activiteiten[[#Headers],[Niet verrekenbare btw]],""))</f>
        <v/>
      </c>
      <c r="AU1410" t="str">
        <f>IF(ISNUMBER(FIND("overige",Methode_Keuze)),"",IF(Tb_Activiteiten[[#This Row],[Grondkosten]]=1,Tb_Activiteiten[[#Headers],[Grondkosten]],""))</f>
        <v/>
      </c>
      <c r="AV1410" t="str">
        <f>IF(ISNUMBER(FIND("overige",Methode_Keuze)),"",IF(Tb_Activiteiten[[#This Row],[Bijdrage in natura (overige)]]=1,Tb_Activiteiten[[#Headers],[Bijdrage in natura (overige)]],""))</f>
        <v/>
      </c>
      <c r="AW1410" t="str">
        <f>IF(ISNUMBER(FIND("overige",Methode_Keuze)),"",IF(Tb_Activiteiten[[#This Row],[Bijdrage in natura (vrijwilligers)]]=1,Tb_Activiteiten[[#Headers],[Bijdrage in natura (vrijwilligers)]],""))</f>
        <v/>
      </c>
      <c r="AX1410" t="str">
        <f>IF(ISNUMBER(FIND("overige",Methode_Keuze)),"",IF(Tb_Activiteiten[[#This Row],[Afschrijvingskosten]]=1,Tb_Activiteiten[[#Headers],[Afschrijvingskosten]],""))</f>
        <v/>
      </c>
      <c r="AY1410" t="str">
        <f>IF(ISNUMBER(FIND("overige",Methode_Keuze)),"",IF(Tb_Activiteiten[[#This Row],[Vergoeding]]=1,Tb_Activiteiten[[#Headers],[Vergoeding]],""))</f>
        <v/>
      </c>
      <c r="AZ1410" t="str">
        <f>IF(ISNUMBER(FIND("arbeid",Methode_Keuze)),"",IF(Tb_Activiteiten[[#This Row],[Arbeidskosten - vast tarief (excl eigen arbeid)]]=1,Tb_Activiteiten[[#Headers],[Arbeidskosten - vast tarief (excl eigen arbeid)]],""))</f>
        <v/>
      </c>
      <c r="BA1410" t="str">
        <f>IF(ISNUMBER(FIND("overige",Methode_Keuze)),"",IF(Tb_Activiteiten[[#This Row],[Overige kosten]]=1,Tb_Activiteiten[[#Headers],[Overige kosten]],""))</f>
        <v/>
      </c>
    </row>
    <row r="1411" spans="15:53" x14ac:dyDescent="0.25">
      <c r="O1411" s="56"/>
      <c r="Q1411" t="str">
        <f>IFERROR(IF(VLOOKUP(Tb_Activiteiten[[#This Row],[Openstelling]],Tb_Openstelling[],2,0)=1,1,""),"")</f>
        <v/>
      </c>
      <c r="AK1411" t="str">
        <f>IF(ISNUMBER(FIND("arbeid",Methode_Keuze)),"",IF(ISNUMBER(FIND("arbeid",Methode_Keuze)),"",IF(Tb_Activiteiten[[#This Row],[Loonkosten]]=1,Tb_Activiteiten[[#Headers],[Loonkosten]],"")))</f>
        <v/>
      </c>
      <c r="AL1411" t="str">
        <f>IF(ISNUMBER(FIND("arbeid",Methode_Keuze)),"",IF(ISNUMBER(FIND("arbeid",Methode_Keuze)),"",IF(Tb_Activiteiten[[#This Row],[Eigen arbeid]]=1,Tb_Activiteiten[[#Headers],[Eigen arbeid]],"")))</f>
        <v/>
      </c>
      <c r="AM1411" t="str">
        <f>IF(ISNUMBER(FIND("arbeid",Methode_Keuze)),"",IF(ISNUMBER(FIND("arbeid",Methode_Keuze)),"",IF(Tb_Activiteiten[[#This Row],[Projectmedewerker]]=1,Tb_Activiteiten[[#Headers],[Projectmedewerker]],"")))</f>
        <v/>
      </c>
      <c r="AN1411" t="str">
        <f>IF(ISNUMBER(FIND("arbeid",Methode_Keuze)),"",IF(ISNUMBER(FIND("arbeid",Methode_Keuze)),"",IF(Tb_Activiteiten[[#This Row],[Landbouwer]]=1,Tb_Activiteiten[[#Headers],[Landbouwer]],"")))</f>
        <v/>
      </c>
      <c r="AO1411" t="str">
        <f>IF(ISNUMBER(FIND("arbeid",Methode_Keuze)),"",IF(ISNUMBER(FIND("arbeid",Methode_Keuze)),"",IF(Tb_Activiteiten[[#This Row],[Adviseur]]=1,Tb_Activiteiten[[#Headers],[Adviseur]],"")))</f>
        <v/>
      </c>
      <c r="AP1411" t="str">
        <f>IF(ISNUMBER(FIND("arbeid",Methode_Keuze)),"",IF(ISNUMBER(FIND("arbeid",Methode_Keuze)),"",IF(Tb_Activiteiten[[#This Row],[Projectleider/Expert]]=1,Tb_Activiteiten[[#Headers],[Projectleider/Expert]],"")))</f>
        <v/>
      </c>
      <c r="AQ1411" t="str">
        <f>IF(ISNUMBER(FIND("arbeid",Methode_Keuze)),"",IF(ISNUMBER(FIND("arbeid",Methode_Keuze)),"",IF(Tb_Activiteiten[[#This Row],[Arbeidskosten]]=1,Tb_Activiteiten[[#Headers],[Arbeidskosten]],"")))</f>
        <v/>
      </c>
      <c r="AR1411" t="str">
        <f>IF(ISNUMBER(FIND("arbeid",Methode_Keuze)),"",IF(ISNUMBER(FIND("arbeid",Methode_Keuze)),"",IF(Tb_Activiteiten[[#This Row],[Arbeidskosten op basis van IKS]]=1,Tb_Activiteiten[[#Headers],[Arbeidskosten op basis van IKS]],"")))</f>
        <v/>
      </c>
      <c r="AS1411" t="str">
        <f>IF(ISNUMBER(FIND("overige",Methode_Keuze)),"",IF(Tb_Activiteiten[[#This Row],[Kosten derden exclusief btw]]=1,Tb_Activiteiten[[#Headers],[Kosten derden exclusief btw]],""))</f>
        <v/>
      </c>
      <c r="AT1411" t="str">
        <f>IF(ISNUMBER(FIND("overige",Methode_Keuze)),"",IF(Tb_Activiteiten[[#This Row],[Niet verrekenbare btw]]=1,Tb_Activiteiten[[#Headers],[Niet verrekenbare btw]],""))</f>
        <v/>
      </c>
      <c r="AU1411" t="str">
        <f>IF(ISNUMBER(FIND("overige",Methode_Keuze)),"",IF(Tb_Activiteiten[[#This Row],[Grondkosten]]=1,Tb_Activiteiten[[#Headers],[Grondkosten]],""))</f>
        <v/>
      </c>
      <c r="AV1411" t="str">
        <f>IF(ISNUMBER(FIND("overige",Methode_Keuze)),"",IF(Tb_Activiteiten[[#This Row],[Bijdrage in natura (overige)]]=1,Tb_Activiteiten[[#Headers],[Bijdrage in natura (overige)]],""))</f>
        <v/>
      </c>
      <c r="AW1411" t="str">
        <f>IF(ISNUMBER(FIND("overige",Methode_Keuze)),"",IF(Tb_Activiteiten[[#This Row],[Bijdrage in natura (vrijwilligers)]]=1,Tb_Activiteiten[[#Headers],[Bijdrage in natura (vrijwilligers)]],""))</f>
        <v/>
      </c>
      <c r="AX1411" t="str">
        <f>IF(ISNUMBER(FIND("overige",Methode_Keuze)),"",IF(Tb_Activiteiten[[#This Row],[Afschrijvingskosten]]=1,Tb_Activiteiten[[#Headers],[Afschrijvingskosten]],""))</f>
        <v/>
      </c>
      <c r="AY1411" t="str">
        <f>IF(ISNUMBER(FIND("overige",Methode_Keuze)),"",IF(Tb_Activiteiten[[#This Row],[Vergoeding]]=1,Tb_Activiteiten[[#Headers],[Vergoeding]],""))</f>
        <v/>
      </c>
      <c r="AZ1411" t="str">
        <f>IF(ISNUMBER(FIND("arbeid",Methode_Keuze)),"",IF(Tb_Activiteiten[[#This Row],[Arbeidskosten - vast tarief (excl eigen arbeid)]]=1,Tb_Activiteiten[[#Headers],[Arbeidskosten - vast tarief (excl eigen arbeid)]],""))</f>
        <v/>
      </c>
      <c r="BA1411" t="str">
        <f>IF(ISNUMBER(FIND("overige",Methode_Keuze)),"",IF(Tb_Activiteiten[[#This Row],[Overige kosten]]=1,Tb_Activiteiten[[#Headers],[Overige kosten]],""))</f>
        <v/>
      </c>
    </row>
    <row r="1412" spans="15:53" x14ac:dyDescent="0.25">
      <c r="O1412" s="56"/>
      <c r="Q1412" t="str">
        <f>IFERROR(IF(VLOOKUP(Tb_Activiteiten[[#This Row],[Openstelling]],Tb_Openstelling[],2,0)=1,1,""),"")</f>
        <v/>
      </c>
      <c r="AK1412" t="str">
        <f>IF(ISNUMBER(FIND("arbeid",Methode_Keuze)),"",IF(ISNUMBER(FIND("arbeid",Methode_Keuze)),"",IF(Tb_Activiteiten[[#This Row],[Loonkosten]]=1,Tb_Activiteiten[[#Headers],[Loonkosten]],"")))</f>
        <v/>
      </c>
      <c r="AL1412" t="str">
        <f>IF(ISNUMBER(FIND("arbeid",Methode_Keuze)),"",IF(ISNUMBER(FIND("arbeid",Methode_Keuze)),"",IF(Tb_Activiteiten[[#This Row],[Eigen arbeid]]=1,Tb_Activiteiten[[#Headers],[Eigen arbeid]],"")))</f>
        <v/>
      </c>
      <c r="AM1412" t="str">
        <f>IF(ISNUMBER(FIND("arbeid",Methode_Keuze)),"",IF(ISNUMBER(FIND("arbeid",Methode_Keuze)),"",IF(Tb_Activiteiten[[#This Row],[Projectmedewerker]]=1,Tb_Activiteiten[[#Headers],[Projectmedewerker]],"")))</f>
        <v/>
      </c>
      <c r="AN1412" t="str">
        <f>IF(ISNUMBER(FIND("arbeid",Methode_Keuze)),"",IF(ISNUMBER(FIND("arbeid",Methode_Keuze)),"",IF(Tb_Activiteiten[[#This Row],[Landbouwer]]=1,Tb_Activiteiten[[#Headers],[Landbouwer]],"")))</f>
        <v/>
      </c>
      <c r="AO1412" t="str">
        <f>IF(ISNUMBER(FIND("arbeid",Methode_Keuze)),"",IF(ISNUMBER(FIND("arbeid",Methode_Keuze)),"",IF(Tb_Activiteiten[[#This Row],[Adviseur]]=1,Tb_Activiteiten[[#Headers],[Adviseur]],"")))</f>
        <v/>
      </c>
      <c r="AP1412" t="str">
        <f>IF(ISNUMBER(FIND("arbeid",Methode_Keuze)),"",IF(ISNUMBER(FIND("arbeid",Methode_Keuze)),"",IF(Tb_Activiteiten[[#This Row],[Projectleider/Expert]]=1,Tb_Activiteiten[[#Headers],[Projectleider/Expert]],"")))</f>
        <v/>
      </c>
      <c r="AQ1412" t="str">
        <f>IF(ISNUMBER(FIND("arbeid",Methode_Keuze)),"",IF(ISNUMBER(FIND("arbeid",Methode_Keuze)),"",IF(Tb_Activiteiten[[#This Row],[Arbeidskosten]]=1,Tb_Activiteiten[[#Headers],[Arbeidskosten]],"")))</f>
        <v/>
      </c>
      <c r="AR1412" t="str">
        <f>IF(ISNUMBER(FIND("arbeid",Methode_Keuze)),"",IF(ISNUMBER(FIND("arbeid",Methode_Keuze)),"",IF(Tb_Activiteiten[[#This Row],[Arbeidskosten op basis van IKS]]=1,Tb_Activiteiten[[#Headers],[Arbeidskosten op basis van IKS]],"")))</f>
        <v/>
      </c>
      <c r="AS1412" t="str">
        <f>IF(ISNUMBER(FIND("overige",Methode_Keuze)),"",IF(Tb_Activiteiten[[#This Row],[Kosten derden exclusief btw]]=1,Tb_Activiteiten[[#Headers],[Kosten derden exclusief btw]],""))</f>
        <v/>
      </c>
      <c r="AT1412" t="str">
        <f>IF(ISNUMBER(FIND("overige",Methode_Keuze)),"",IF(Tb_Activiteiten[[#This Row],[Niet verrekenbare btw]]=1,Tb_Activiteiten[[#Headers],[Niet verrekenbare btw]],""))</f>
        <v/>
      </c>
      <c r="AU1412" t="str">
        <f>IF(ISNUMBER(FIND("overige",Methode_Keuze)),"",IF(Tb_Activiteiten[[#This Row],[Grondkosten]]=1,Tb_Activiteiten[[#Headers],[Grondkosten]],""))</f>
        <v/>
      </c>
      <c r="AV1412" t="str">
        <f>IF(ISNUMBER(FIND("overige",Methode_Keuze)),"",IF(Tb_Activiteiten[[#This Row],[Bijdrage in natura (overige)]]=1,Tb_Activiteiten[[#Headers],[Bijdrage in natura (overige)]],""))</f>
        <v/>
      </c>
      <c r="AW1412" t="str">
        <f>IF(ISNUMBER(FIND("overige",Methode_Keuze)),"",IF(Tb_Activiteiten[[#This Row],[Bijdrage in natura (vrijwilligers)]]=1,Tb_Activiteiten[[#Headers],[Bijdrage in natura (vrijwilligers)]],""))</f>
        <v/>
      </c>
      <c r="AX1412" t="str">
        <f>IF(ISNUMBER(FIND("overige",Methode_Keuze)),"",IF(Tb_Activiteiten[[#This Row],[Afschrijvingskosten]]=1,Tb_Activiteiten[[#Headers],[Afschrijvingskosten]],""))</f>
        <v/>
      </c>
      <c r="AY1412" t="str">
        <f>IF(ISNUMBER(FIND("overige",Methode_Keuze)),"",IF(Tb_Activiteiten[[#This Row],[Vergoeding]]=1,Tb_Activiteiten[[#Headers],[Vergoeding]],""))</f>
        <v/>
      </c>
      <c r="AZ1412" t="str">
        <f>IF(ISNUMBER(FIND("arbeid",Methode_Keuze)),"",IF(Tb_Activiteiten[[#This Row],[Arbeidskosten - vast tarief (excl eigen arbeid)]]=1,Tb_Activiteiten[[#Headers],[Arbeidskosten - vast tarief (excl eigen arbeid)]],""))</f>
        <v/>
      </c>
      <c r="BA1412" t="str">
        <f>IF(ISNUMBER(FIND("overige",Methode_Keuze)),"",IF(Tb_Activiteiten[[#This Row],[Overige kosten]]=1,Tb_Activiteiten[[#Headers],[Overige kosten]],""))</f>
        <v/>
      </c>
    </row>
    <row r="1413" spans="15:53" x14ac:dyDescent="0.25">
      <c r="O1413" s="56"/>
      <c r="Q1413" t="str">
        <f>IFERROR(IF(VLOOKUP(Tb_Activiteiten[[#This Row],[Openstelling]],Tb_Openstelling[],2,0)=1,1,""),"")</f>
        <v/>
      </c>
      <c r="AK1413" t="str">
        <f>IF(ISNUMBER(FIND("arbeid",Methode_Keuze)),"",IF(ISNUMBER(FIND("arbeid",Methode_Keuze)),"",IF(Tb_Activiteiten[[#This Row],[Loonkosten]]=1,Tb_Activiteiten[[#Headers],[Loonkosten]],"")))</f>
        <v/>
      </c>
      <c r="AL1413" t="str">
        <f>IF(ISNUMBER(FIND("arbeid",Methode_Keuze)),"",IF(ISNUMBER(FIND("arbeid",Methode_Keuze)),"",IF(Tb_Activiteiten[[#This Row],[Eigen arbeid]]=1,Tb_Activiteiten[[#Headers],[Eigen arbeid]],"")))</f>
        <v/>
      </c>
      <c r="AM1413" t="str">
        <f>IF(ISNUMBER(FIND("arbeid",Methode_Keuze)),"",IF(ISNUMBER(FIND("arbeid",Methode_Keuze)),"",IF(Tb_Activiteiten[[#This Row],[Projectmedewerker]]=1,Tb_Activiteiten[[#Headers],[Projectmedewerker]],"")))</f>
        <v/>
      </c>
      <c r="AN1413" t="str">
        <f>IF(ISNUMBER(FIND("arbeid",Methode_Keuze)),"",IF(ISNUMBER(FIND("arbeid",Methode_Keuze)),"",IF(Tb_Activiteiten[[#This Row],[Landbouwer]]=1,Tb_Activiteiten[[#Headers],[Landbouwer]],"")))</f>
        <v/>
      </c>
      <c r="AO1413" t="str">
        <f>IF(ISNUMBER(FIND("arbeid",Methode_Keuze)),"",IF(ISNUMBER(FIND("arbeid",Methode_Keuze)),"",IF(Tb_Activiteiten[[#This Row],[Adviseur]]=1,Tb_Activiteiten[[#Headers],[Adviseur]],"")))</f>
        <v/>
      </c>
      <c r="AP1413" t="str">
        <f>IF(ISNUMBER(FIND("arbeid",Methode_Keuze)),"",IF(ISNUMBER(FIND("arbeid",Methode_Keuze)),"",IF(Tb_Activiteiten[[#This Row],[Projectleider/Expert]]=1,Tb_Activiteiten[[#Headers],[Projectleider/Expert]],"")))</f>
        <v/>
      </c>
      <c r="AQ1413" t="str">
        <f>IF(ISNUMBER(FIND("arbeid",Methode_Keuze)),"",IF(ISNUMBER(FIND("arbeid",Methode_Keuze)),"",IF(Tb_Activiteiten[[#This Row],[Arbeidskosten]]=1,Tb_Activiteiten[[#Headers],[Arbeidskosten]],"")))</f>
        <v/>
      </c>
      <c r="AR1413" t="str">
        <f>IF(ISNUMBER(FIND("arbeid",Methode_Keuze)),"",IF(ISNUMBER(FIND("arbeid",Methode_Keuze)),"",IF(Tb_Activiteiten[[#This Row],[Arbeidskosten op basis van IKS]]=1,Tb_Activiteiten[[#Headers],[Arbeidskosten op basis van IKS]],"")))</f>
        <v/>
      </c>
      <c r="AS1413" t="str">
        <f>IF(ISNUMBER(FIND("overige",Methode_Keuze)),"",IF(Tb_Activiteiten[[#This Row],[Kosten derden exclusief btw]]=1,Tb_Activiteiten[[#Headers],[Kosten derden exclusief btw]],""))</f>
        <v/>
      </c>
      <c r="AT1413" t="str">
        <f>IF(ISNUMBER(FIND("overige",Methode_Keuze)),"",IF(Tb_Activiteiten[[#This Row],[Niet verrekenbare btw]]=1,Tb_Activiteiten[[#Headers],[Niet verrekenbare btw]],""))</f>
        <v/>
      </c>
      <c r="AU1413" t="str">
        <f>IF(ISNUMBER(FIND("overige",Methode_Keuze)),"",IF(Tb_Activiteiten[[#This Row],[Grondkosten]]=1,Tb_Activiteiten[[#Headers],[Grondkosten]],""))</f>
        <v/>
      </c>
      <c r="AV1413" t="str">
        <f>IF(ISNUMBER(FIND("overige",Methode_Keuze)),"",IF(Tb_Activiteiten[[#This Row],[Bijdrage in natura (overige)]]=1,Tb_Activiteiten[[#Headers],[Bijdrage in natura (overige)]],""))</f>
        <v/>
      </c>
      <c r="AW1413" t="str">
        <f>IF(ISNUMBER(FIND("overige",Methode_Keuze)),"",IF(Tb_Activiteiten[[#This Row],[Bijdrage in natura (vrijwilligers)]]=1,Tb_Activiteiten[[#Headers],[Bijdrage in natura (vrijwilligers)]],""))</f>
        <v/>
      </c>
      <c r="AX1413" t="str">
        <f>IF(ISNUMBER(FIND("overige",Methode_Keuze)),"",IF(Tb_Activiteiten[[#This Row],[Afschrijvingskosten]]=1,Tb_Activiteiten[[#Headers],[Afschrijvingskosten]],""))</f>
        <v/>
      </c>
      <c r="AY1413" t="str">
        <f>IF(ISNUMBER(FIND("overige",Methode_Keuze)),"",IF(Tb_Activiteiten[[#This Row],[Vergoeding]]=1,Tb_Activiteiten[[#Headers],[Vergoeding]],""))</f>
        <v/>
      </c>
      <c r="AZ1413" t="str">
        <f>IF(ISNUMBER(FIND("arbeid",Methode_Keuze)),"",IF(Tb_Activiteiten[[#This Row],[Arbeidskosten - vast tarief (excl eigen arbeid)]]=1,Tb_Activiteiten[[#Headers],[Arbeidskosten - vast tarief (excl eigen arbeid)]],""))</f>
        <v/>
      </c>
      <c r="BA1413" t="str">
        <f>IF(ISNUMBER(FIND("overige",Methode_Keuze)),"",IF(Tb_Activiteiten[[#This Row],[Overige kosten]]=1,Tb_Activiteiten[[#Headers],[Overige kosten]],""))</f>
        <v/>
      </c>
    </row>
    <row r="1414" spans="15:53" x14ac:dyDescent="0.25">
      <c r="O1414" s="56"/>
      <c r="Q1414" t="str">
        <f>IFERROR(IF(VLOOKUP(Tb_Activiteiten[[#This Row],[Openstelling]],Tb_Openstelling[],2,0)=1,1,""),"")</f>
        <v/>
      </c>
      <c r="AK1414" t="str">
        <f>IF(ISNUMBER(FIND("arbeid",Methode_Keuze)),"",IF(ISNUMBER(FIND("arbeid",Methode_Keuze)),"",IF(Tb_Activiteiten[[#This Row],[Loonkosten]]=1,Tb_Activiteiten[[#Headers],[Loonkosten]],"")))</f>
        <v/>
      </c>
      <c r="AL1414" t="str">
        <f>IF(ISNUMBER(FIND("arbeid",Methode_Keuze)),"",IF(ISNUMBER(FIND("arbeid",Methode_Keuze)),"",IF(Tb_Activiteiten[[#This Row],[Eigen arbeid]]=1,Tb_Activiteiten[[#Headers],[Eigen arbeid]],"")))</f>
        <v/>
      </c>
      <c r="AM1414" t="str">
        <f>IF(ISNUMBER(FIND("arbeid",Methode_Keuze)),"",IF(ISNUMBER(FIND("arbeid",Methode_Keuze)),"",IF(Tb_Activiteiten[[#This Row],[Projectmedewerker]]=1,Tb_Activiteiten[[#Headers],[Projectmedewerker]],"")))</f>
        <v/>
      </c>
      <c r="AN1414" t="str">
        <f>IF(ISNUMBER(FIND("arbeid",Methode_Keuze)),"",IF(ISNUMBER(FIND("arbeid",Methode_Keuze)),"",IF(Tb_Activiteiten[[#This Row],[Landbouwer]]=1,Tb_Activiteiten[[#Headers],[Landbouwer]],"")))</f>
        <v/>
      </c>
      <c r="AO1414" t="str">
        <f>IF(ISNUMBER(FIND("arbeid",Methode_Keuze)),"",IF(ISNUMBER(FIND("arbeid",Methode_Keuze)),"",IF(Tb_Activiteiten[[#This Row],[Adviseur]]=1,Tb_Activiteiten[[#Headers],[Adviseur]],"")))</f>
        <v/>
      </c>
      <c r="AP1414" t="str">
        <f>IF(ISNUMBER(FIND("arbeid",Methode_Keuze)),"",IF(ISNUMBER(FIND("arbeid",Methode_Keuze)),"",IF(Tb_Activiteiten[[#This Row],[Projectleider/Expert]]=1,Tb_Activiteiten[[#Headers],[Projectleider/Expert]],"")))</f>
        <v/>
      </c>
      <c r="AQ1414" t="str">
        <f>IF(ISNUMBER(FIND("arbeid",Methode_Keuze)),"",IF(ISNUMBER(FIND("arbeid",Methode_Keuze)),"",IF(Tb_Activiteiten[[#This Row],[Arbeidskosten]]=1,Tb_Activiteiten[[#Headers],[Arbeidskosten]],"")))</f>
        <v/>
      </c>
      <c r="AR1414" t="str">
        <f>IF(ISNUMBER(FIND("arbeid",Methode_Keuze)),"",IF(ISNUMBER(FIND("arbeid",Methode_Keuze)),"",IF(Tb_Activiteiten[[#This Row],[Arbeidskosten op basis van IKS]]=1,Tb_Activiteiten[[#Headers],[Arbeidskosten op basis van IKS]],"")))</f>
        <v/>
      </c>
      <c r="AS1414" t="str">
        <f>IF(ISNUMBER(FIND("overige",Methode_Keuze)),"",IF(Tb_Activiteiten[[#This Row],[Kosten derden exclusief btw]]=1,Tb_Activiteiten[[#Headers],[Kosten derden exclusief btw]],""))</f>
        <v/>
      </c>
      <c r="AT1414" t="str">
        <f>IF(ISNUMBER(FIND("overige",Methode_Keuze)),"",IF(Tb_Activiteiten[[#This Row],[Niet verrekenbare btw]]=1,Tb_Activiteiten[[#Headers],[Niet verrekenbare btw]],""))</f>
        <v/>
      </c>
      <c r="AU1414" t="str">
        <f>IF(ISNUMBER(FIND("overige",Methode_Keuze)),"",IF(Tb_Activiteiten[[#This Row],[Grondkosten]]=1,Tb_Activiteiten[[#Headers],[Grondkosten]],""))</f>
        <v/>
      </c>
      <c r="AV1414" t="str">
        <f>IF(ISNUMBER(FIND("overige",Methode_Keuze)),"",IF(Tb_Activiteiten[[#This Row],[Bijdrage in natura (overige)]]=1,Tb_Activiteiten[[#Headers],[Bijdrage in natura (overige)]],""))</f>
        <v/>
      </c>
      <c r="AW1414" t="str">
        <f>IF(ISNUMBER(FIND("overige",Methode_Keuze)),"",IF(Tb_Activiteiten[[#This Row],[Bijdrage in natura (vrijwilligers)]]=1,Tb_Activiteiten[[#Headers],[Bijdrage in natura (vrijwilligers)]],""))</f>
        <v/>
      </c>
      <c r="AX1414" t="str">
        <f>IF(ISNUMBER(FIND("overige",Methode_Keuze)),"",IF(Tb_Activiteiten[[#This Row],[Afschrijvingskosten]]=1,Tb_Activiteiten[[#Headers],[Afschrijvingskosten]],""))</f>
        <v/>
      </c>
      <c r="AY1414" t="str">
        <f>IF(ISNUMBER(FIND("overige",Methode_Keuze)),"",IF(Tb_Activiteiten[[#This Row],[Vergoeding]]=1,Tb_Activiteiten[[#Headers],[Vergoeding]],""))</f>
        <v/>
      </c>
      <c r="AZ1414" t="str">
        <f>IF(ISNUMBER(FIND("arbeid",Methode_Keuze)),"",IF(Tb_Activiteiten[[#This Row],[Arbeidskosten - vast tarief (excl eigen arbeid)]]=1,Tb_Activiteiten[[#Headers],[Arbeidskosten - vast tarief (excl eigen arbeid)]],""))</f>
        <v/>
      </c>
      <c r="BA1414" t="str">
        <f>IF(ISNUMBER(FIND("overige",Methode_Keuze)),"",IF(Tb_Activiteiten[[#This Row],[Overige kosten]]=1,Tb_Activiteiten[[#Headers],[Overige kosten]],""))</f>
        <v/>
      </c>
    </row>
    <row r="1415" spans="15:53" x14ac:dyDescent="0.25">
      <c r="O1415" s="56"/>
      <c r="Q1415" t="str">
        <f>IFERROR(IF(VLOOKUP(Tb_Activiteiten[[#This Row],[Openstelling]],Tb_Openstelling[],2,0)=1,1,""),"")</f>
        <v/>
      </c>
      <c r="AK1415" t="str">
        <f>IF(ISNUMBER(FIND("arbeid",Methode_Keuze)),"",IF(ISNUMBER(FIND("arbeid",Methode_Keuze)),"",IF(Tb_Activiteiten[[#This Row],[Loonkosten]]=1,Tb_Activiteiten[[#Headers],[Loonkosten]],"")))</f>
        <v/>
      </c>
      <c r="AL1415" t="str">
        <f>IF(ISNUMBER(FIND("arbeid",Methode_Keuze)),"",IF(ISNUMBER(FIND("arbeid",Methode_Keuze)),"",IF(Tb_Activiteiten[[#This Row],[Eigen arbeid]]=1,Tb_Activiteiten[[#Headers],[Eigen arbeid]],"")))</f>
        <v/>
      </c>
      <c r="AM1415" t="str">
        <f>IF(ISNUMBER(FIND("arbeid",Methode_Keuze)),"",IF(ISNUMBER(FIND("arbeid",Methode_Keuze)),"",IF(Tb_Activiteiten[[#This Row],[Projectmedewerker]]=1,Tb_Activiteiten[[#Headers],[Projectmedewerker]],"")))</f>
        <v/>
      </c>
      <c r="AN1415" t="str">
        <f>IF(ISNUMBER(FIND("arbeid",Methode_Keuze)),"",IF(ISNUMBER(FIND("arbeid",Methode_Keuze)),"",IF(Tb_Activiteiten[[#This Row],[Landbouwer]]=1,Tb_Activiteiten[[#Headers],[Landbouwer]],"")))</f>
        <v/>
      </c>
      <c r="AO1415" t="str">
        <f>IF(ISNUMBER(FIND("arbeid",Methode_Keuze)),"",IF(ISNUMBER(FIND("arbeid",Methode_Keuze)),"",IF(Tb_Activiteiten[[#This Row],[Adviseur]]=1,Tb_Activiteiten[[#Headers],[Adviseur]],"")))</f>
        <v/>
      </c>
      <c r="AP1415" t="str">
        <f>IF(ISNUMBER(FIND("arbeid",Methode_Keuze)),"",IF(ISNUMBER(FIND("arbeid",Methode_Keuze)),"",IF(Tb_Activiteiten[[#This Row],[Projectleider/Expert]]=1,Tb_Activiteiten[[#Headers],[Projectleider/Expert]],"")))</f>
        <v/>
      </c>
      <c r="AQ1415" t="str">
        <f>IF(ISNUMBER(FIND("arbeid",Methode_Keuze)),"",IF(ISNUMBER(FIND("arbeid",Methode_Keuze)),"",IF(Tb_Activiteiten[[#This Row],[Arbeidskosten]]=1,Tb_Activiteiten[[#Headers],[Arbeidskosten]],"")))</f>
        <v/>
      </c>
      <c r="AR1415" t="str">
        <f>IF(ISNUMBER(FIND("arbeid",Methode_Keuze)),"",IF(ISNUMBER(FIND("arbeid",Methode_Keuze)),"",IF(Tb_Activiteiten[[#This Row],[Arbeidskosten op basis van IKS]]=1,Tb_Activiteiten[[#Headers],[Arbeidskosten op basis van IKS]],"")))</f>
        <v/>
      </c>
      <c r="AS1415" t="str">
        <f>IF(ISNUMBER(FIND("overige",Methode_Keuze)),"",IF(Tb_Activiteiten[[#This Row],[Kosten derden exclusief btw]]=1,Tb_Activiteiten[[#Headers],[Kosten derden exclusief btw]],""))</f>
        <v/>
      </c>
      <c r="AT1415" t="str">
        <f>IF(ISNUMBER(FIND("overige",Methode_Keuze)),"",IF(Tb_Activiteiten[[#This Row],[Niet verrekenbare btw]]=1,Tb_Activiteiten[[#Headers],[Niet verrekenbare btw]],""))</f>
        <v/>
      </c>
      <c r="AU1415" t="str">
        <f>IF(ISNUMBER(FIND("overige",Methode_Keuze)),"",IF(Tb_Activiteiten[[#This Row],[Grondkosten]]=1,Tb_Activiteiten[[#Headers],[Grondkosten]],""))</f>
        <v/>
      </c>
      <c r="AV1415" t="str">
        <f>IF(ISNUMBER(FIND("overige",Methode_Keuze)),"",IF(Tb_Activiteiten[[#This Row],[Bijdrage in natura (overige)]]=1,Tb_Activiteiten[[#Headers],[Bijdrage in natura (overige)]],""))</f>
        <v/>
      </c>
      <c r="AW1415" t="str">
        <f>IF(ISNUMBER(FIND("overige",Methode_Keuze)),"",IF(Tb_Activiteiten[[#This Row],[Bijdrage in natura (vrijwilligers)]]=1,Tb_Activiteiten[[#Headers],[Bijdrage in natura (vrijwilligers)]],""))</f>
        <v/>
      </c>
      <c r="AX1415" t="str">
        <f>IF(ISNUMBER(FIND("overige",Methode_Keuze)),"",IF(Tb_Activiteiten[[#This Row],[Afschrijvingskosten]]=1,Tb_Activiteiten[[#Headers],[Afschrijvingskosten]],""))</f>
        <v/>
      </c>
      <c r="AY1415" t="str">
        <f>IF(ISNUMBER(FIND("overige",Methode_Keuze)),"",IF(Tb_Activiteiten[[#This Row],[Vergoeding]]=1,Tb_Activiteiten[[#Headers],[Vergoeding]],""))</f>
        <v/>
      </c>
      <c r="AZ1415" t="str">
        <f>IF(ISNUMBER(FIND("arbeid",Methode_Keuze)),"",IF(Tb_Activiteiten[[#This Row],[Arbeidskosten - vast tarief (excl eigen arbeid)]]=1,Tb_Activiteiten[[#Headers],[Arbeidskosten - vast tarief (excl eigen arbeid)]],""))</f>
        <v/>
      </c>
      <c r="BA1415" t="str">
        <f>IF(ISNUMBER(FIND("overige",Methode_Keuze)),"",IF(Tb_Activiteiten[[#This Row],[Overige kosten]]=1,Tb_Activiteiten[[#Headers],[Overige kosten]],""))</f>
        <v/>
      </c>
    </row>
    <row r="1416" spans="15:53" x14ac:dyDescent="0.25">
      <c r="O1416" s="56"/>
      <c r="Q1416" t="str">
        <f>IFERROR(IF(VLOOKUP(Tb_Activiteiten[[#This Row],[Openstelling]],Tb_Openstelling[],2,0)=1,1,""),"")</f>
        <v/>
      </c>
      <c r="AK1416" t="str">
        <f>IF(ISNUMBER(FIND("arbeid",Methode_Keuze)),"",IF(ISNUMBER(FIND("arbeid",Methode_Keuze)),"",IF(Tb_Activiteiten[[#This Row],[Loonkosten]]=1,Tb_Activiteiten[[#Headers],[Loonkosten]],"")))</f>
        <v/>
      </c>
      <c r="AL1416" t="str">
        <f>IF(ISNUMBER(FIND("arbeid",Methode_Keuze)),"",IF(ISNUMBER(FIND("arbeid",Methode_Keuze)),"",IF(Tb_Activiteiten[[#This Row],[Eigen arbeid]]=1,Tb_Activiteiten[[#Headers],[Eigen arbeid]],"")))</f>
        <v/>
      </c>
      <c r="AM1416" t="str">
        <f>IF(ISNUMBER(FIND("arbeid",Methode_Keuze)),"",IF(ISNUMBER(FIND("arbeid",Methode_Keuze)),"",IF(Tb_Activiteiten[[#This Row],[Projectmedewerker]]=1,Tb_Activiteiten[[#Headers],[Projectmedewerker]],"")))</f>
        <v/>
      </c>
      <c r="AN1416" t="str">
        <f>IF(ISNUMBER(FIND("arbeid",Methode_Keuze)),"",IF(ISNUMBER(FIND("arbeid",Methode_Keuze)),"",IF(Tb_Activiteiten[[#This Row],[Landbouwer]]=1,Tb_Activiteiten[[#Headers],[Landbouwer]],"")))</f>
        <v/>
      </c>
      <c r="AO1416" t="str">
        <f>IF(ISNUMBER(FIND("arbeid",Methode_Keuze)),"",IF(ISNUMBER(FIND("arbeid",Methode_Keuze)),"",IF(Tb_Activiteiten[[#This Row],[Adviseur]]=1,Tb_Activiteiten[[#Headers],[Adviseur]],"")))</f>
        <v/>
      </c>
      <c r="AP1416" t="str">
        <f>IF(ISNUMBER(FIND("arbeid",Methode_Keuze)),"",IF(ISNUMBER(FIND("arbeid",Methode_Keuze)),"",IF(Tb_Activiteiten[[#This Row],[Projectleider/Expert]]=1,Tb_Activiteiten[[#Headers],[Projectleider/Expert]],"")))</f>
        <v/>
      </c>
      <c r="AQ1416" t="str">
        <f>IF(ISNUMBER(FIND("arbeid",Methode_Keuze)),"",IF(ISNUMBER(FIND("arbeid",Methode_Keuze)),"",IF(Tb_Activiteiten[[#This Row],[Arbeidskosten]]=1,Tb_Activiteiten[[#Headers],[Arbeidskosten]],"")))</f>
        <v/>
      </c>
      <c r="AR1416" t="str">
        <f>IF(ISNUMBER(FIND("arbeid",Methode_Keuze)),"",IF(ISNUMBER(FIND("arbeid",Methode_Keuze)),"",IF(Tb_Activiteiten[[#This Row],[Arbeidskosten op basis van IKS]]=1,Tb_Activiteiten[[#Headers],[Arbeidskosten op basis van IKS]],"")))</f>
        <v/>
      </c>
      <c r="AS1416" t="str">
        <f>IF(ISNUMBER(FIND("overige",Methode_Keuze)),"",IF(Tb_Activiteiten[[#This Row],[Kosten derden exclusief btw]]=1,Tb_Activiteiten[[#Headers],[Kosten derden exclusief btw]],""))</f>
        <v/>
      </c>
      <c r="AT1416" t="str">
        <f>IF(ISNUMBER(FIND("overige",Methode_Keuze)),"",IF(Tb_Activiteiten[[#This Row],[Niet verrekenbare btw]]=1,Tb_Activiteiten[[#Headers],[Niet verrekenbare btw]],""))</f>
        <v/>
      </c>
      <c r="AU1416" t="str">
        <f>IF(ISNUMBER(FIND("overige",Methode_Keuze)),"",IF(Tb_Activiteiten[[#This Row],[Grondkosten]]=1,Tb_Activiteiten[[#Headers],[Grondkosten]],""))</f>
        <v/>
      </c>
      <c r="AV1416" t="str">
        <f>IF(ISNUMBER(FIND("overige",Methode_Keuze)),"",IF(Tb_Activiteiten[[#This Row],[Bijdrage in natura (overige)]]=1,Tb_Activiteiten[[#Headers],[Bijdrage in natura (overige)]],""))</f>
        <v/>
      </c>
      <c r="AW1416" t="str">
        <f>IF(ISNUMBER(FIND("overige",Methode_Keuze)),"",IF(Tb_Activiteiten[[#This Row],[Bijdrage in natura (vrijwilligers)]]=1,Tb_Activiteiten[[#Headers],[Bijdrage in natura (vrijwilligers)]],""))</f>
        <v/>
      </c>
      <c r="AX1416" t="str">
        <f>IF(ISNUMBER(FIND("overige",Methode_Keuze)),"",IF(Tb_Activiteiten[[#This Row],[Afschrijvingskosten]]=1,Tb_Activiteiten[[#Headers],[Afschrijvingskosten]],""))</f>
        <v/>
      </c>
      <c r="AY1416" t="str">
        <f>IF(ISNUMBER(FIND("overige",Methode_Keuze)),"",IF(Tb_Activiteiten[[#This Row],[Vergoeding]]=1,Tb_Activiteiten[[#Headers],[Vergoeding]],""))</f>
        <v/>
      </c>
      <c r="AZ1416" t="str">
        <f>IF(ISNUMBER(FIND("arbeid",Methode_Keuze)),"",IF(Tb_Activiteiten[[#This Row],[Arbeidskosten - vast tarief (excl eigen arbeid)]]=1,Tb_Activiteiten[[#Headers],[Arbeidskosten - vast tarief (excl eigen arbeid)]],""))</f>
        <v/>
      </c>
      <c r="BA1416" t="str">
        <f>IF(ISNUMBER(FIND("overige",Methode_Keuze)),"",IF(Tb_Activiteiten[[#This Row],[Overige kosten]]=1,Tb_Activiteiten[[#Headers],[Overige kosten]],""))</f>
        <v/>
      </c>
    </row>
    <row r="1417" spans="15:53" x14ac:dyDescent="0.25">
      <c r="O1417" s="56"/>
      <c r="Q1417" t="str">
        <f>IFERROR(IF(VLOOKUP(Tb_Activiteiten[[#This Row],[Openstelling]],Tb_Openstelling[],2,0)=1,1,""),"")</f>
        <v/>
      </c>
      <c r="AK1417" t="str">
        <f>IF(ISNUMBER(FIND("arbeid",Methode_Keuze)),"",IF(ISNUMBER(FIND("arbeid",Methode_Keuze)),"",IF(Tb_Activiteiten[[#This Row],[Loonkosten]]=1,Tb_Activiteiten[[#Headers],[Loonkosten]],"")))</f>
        <v/>
      </c>
      <c r="AL1417" t="str">
        <f>IF(ISNUMBER(FIND("arbeid",Methode_Keuze)),"",IF(ISNUMBER(FIND("arbeid",Methode_Keuze)),"",IF(Tb_Activiteiten[[#This Row],[Eigen arbeid]]=1,Tb_Activiteiten[[#Headers],[Eigen arbeid]],"")))</f>
        <v/>
      </c>
      <c r="AM1417" t="str">
        <f>IF(ISNUMBER(FIND("arbeid",Methode_Keuze)),"",IF(ISNUMBER(FIND("arbeid",Methode_Keuze)),"",IF(Tb_Activiteiten[[#This Row],[Projectmedewerker]]=1,Tb_Activiteiten[[#Headers],[Projectmedewerker]],"")))</f>
        <v/>
      </c>
      <c r="AN1417" t="str">
        <f>IF(ISNUMBER(FIND("arbeid",Methode_Keuze)),"",IF(ISNUMBER(FIND("arbeid",Methode_Keuze)),"",IF(Tb_Activiteiten[[#This Row],[Landbouwer]]=1,Tb_Activiteiten[[#Headers],[Landbouwer]],"")))</f>
        <v/>
      </c>
      <c r="AO1417" t="str">
        <f>IF(ISNUMBER(FIND("arbeid",Methode_Keuze)),"",IF(ISNUMBER(FIND("arbeid",Methode_Keuze)),"",IF(Tb_Activiteiten[[#This Row],[Adviseur]]=1,Tb_Activiteiten[[#Headers],[Adviseur]],"")))</f>
        <v/>
      </c>
      <c r="AP1417" t="str">
        <f>IF(ISNUMBER(FIND("arbeid",Methode_Keuze)),"",IF(ISNUMBER(FIND("arbeid",Methode_Keuze)),"",IF(Tb_Activiteiten[[#This Row],[Projectleider/Expert]]=1,Tb_Activiteiten[[#Headers],[Projectleider/Expert]],"")))</f>
        <v/>
      </c>
      <c r="AQ1417" t="str">
        <f>IF(ISNUMBER(FIND("arbeid",Methode_Keuze)),"",IF(ISNUMBER(FIND("arbeid",Methode_Keuze)),"",IF(Tb_Activiteiten[[#This Row],[Arbeidskosten]]=1,Tb_Activiteiten[[#Headers],[Arbeidskosten]],"")))</f>
        <v/>
      </c>
      <c r="AR1417" t="str">
        <f>IF(ISNUMBER(FIND("arbeid",Methode_Keuze)),"",IF(ISNUMBER(FIND("arbeid",Methode_Keuze)),"",IF(Tb_Activiteiten[[#This Row],[Arbeidskosten op basis van IKS]]=1,Tb_Activiteiten[[#Headers],[Arbeidskosten op basis van IKS]],"")))</f>
        <v/>
      </c>
      <c r="AS1417" t="str">
        <f>IF(ISNUMBER(FIND("overige",Methode_Keuze)),"",IF(Tb_Activiteiten[[#This Row],[Kosten derden exclusief btw]]=1,Tb_Activiteiten[[#Headers],[Kosten derden exclusief btw]],""))</f>
        <v/>
      </c>
      <c r="AT1417" t="str">
        <f>IF(ISNUMBER(FIND("overige",Methode_Keuze)),"",IF(Tb_Activiteiten[[#This Row],[Niet verrekenbare btw]]=1,Tb_Activiteiten[[#Headers],[Niet verrekenbare btw]],""))</f>
        <v/>
      </c>
      <c r="AU1417" t="str">
        <f>IF(ISNUMBER(FIND("overige",Methode_Keuze)),"",IF(Tb_Activiteiten[[#This Row],[Grondkosten]]=1,Tb_Activiteiten[[#Headers],[Grondkosten]],""))</f>
        <v/>
      </c>
      <c r="AV1417" t="str">
        <f>IF(ISNUMBER(FIND("overige",Methode_Keuze)),"",IF(Tb_Activiteiten[[#This Row],[Bijdrage in natura (overige)]]=1,Tb_Activiteiten[[#Headers],[Bijdrage in natura (overige)]],""))</f>
        <v/>
      </c>
      <c r="AW1417" t="str">
        <f>IF(ISNUMBER(FIND("overige",Methode_Keuze)),"",IF(Tb_Activiteiten[[#This Row],[Bijdrage in natura (vrijwilligers)]]=1,Tb_Activiteiten[[#Headers],[Bijdrage in natura (vrijwilligers)]],""))</f>
        <v/>
      </c>
      <c r="AX1417" t="str">
        <f>IF(ISNUMBER(FIND("overige",Methode_Keuze)),"",IF(Tb_Activiteiten[[#This Row],[Afschrijvingskosten]]=1,Tb_Activiteiten[[#Headers],[Afschrijvingskosten]],""))</f>
        <v/>
      </c>
      <c r="AY1417" t="str">
        <f>IF(ISNUMBER(FIND("overige",Methode_Keuze)),"",IF(Tb_Activiteiten[[#This Row],[Vergoeding]]=1,Tb_Activiteiten[[#Headers],[Vergoeding]],""))</f>
        <v/>
      </c>
      <c r="AZ1417" t="str">
        <f>IF(ISNUMBER(FIND("arbeid",Methode_Keuze)),"",IF(Tb_Activiteiten[[#This Row],[Arbeidskosten - vast tarief (excl eigen arbeid)]]=1,Tb_Activiteiten[[#Headers],[Arbeidskosten - vast tarief (excl eigen arbeid)]],""))</f>
        <v/>
      </c>
      <c r="BA1417" t="str">
        <f>IF(ISNUMBER(FIND("overige",Methode_Keuze)),"",IF(Tb_Activiteiten[[#This Row],[Overige kosten]]=1,Tb_Activiteiten[[#Headers],[Overige kosten]],""))</f>
        <v/>
      </c>
    </row>
    <row r="1418" spans="15:53" x14ac:dyDescent="0.25">
      <c r="O1418" s="56"/>
      <c r="Q1418" t="str">
        <f>IFERROR(IF(VLOOKUP(Tb_Activiteiten[[#This Row],[Openstelling]],Tb_Openstelling[],2,0)=1,1,""),"")</f>
        <v/>
      </c>
      <c r="AK1418" t="str">
        <f>IF(ISNUMBER(FIND("arbeid",Methode_Keuze)),"",IF(ISNUMBER(FIND("arbeid",Methode_Keuze)),"",IF(Tb_Activiteiten[[#This Row],[Loonkosten]]=1,Tb_Activiteiten[[#Headers],[Loonkosten]],"")))</f>
        <v/>
      </c>
      <c r="AL1418" t="str">
        <f>IF(ISNUMBER(FIND("arbeid",Methode_Keuze)),"",IF(ISNUMBER(FIND("arbeid",Methode_Keuze)),"",IF(Tb_Activiteiten[[#This Row],[Eigen arbeid]]=1,Tb_Activiteiten[[#Headers],[Eigen arbeid]],"")))</f>
        <v/>
      </c>
      <c r="AM1418" t="str">
        <f>IF(ISNUMBER(FIND("arbeid",Methode_Keuze)),"",IF(ISNUMBER(FIND("arbeid",Methode_Keuze)),"",IF(Tb_Activiteiten[[#This Row],[Projectmedewerker]]=1,Tb_Activiteiten[[#Headers],[Projectmedewerker]],"")))</f>
        <v/>
      </c>
      <c r="AN1418" t="str">
        <f>IF(ISNUMBER(FIND("arbeid",Methode_Keuze)),"",IF(ISNUMBER(FIND("arbeid",Methode_Keuze)),"",IF(Tb_Activiteiten[[#This Row],[Landbouwer]]=1,Tb_Activiteiten[[#Headers],[Landbouwer]],"")))</f>
        <v/>
      </c>
      <c r="AO1418" t="str">
        <f>IF(ISNUMBER(FIND("arbeid",Methode_Keuze)),"",IF(ISNUMBER(FIND("arbeid",Methode_Keuze)),"",IF(Tb_Activiteiten[[#This Row],[Adviseur]]=1,Tb_Activiteiten[[#Headers],[Adviseur]],"")))</f>
        <v/>
      </c>
      <c r="AP1418" t="str">
        <f>IF(ISNUMBER(FIND("arbeid",Methode_Keuze)),"",IF(ISNUMBER(FIND("arbeid",Methode_Keuze)),"",IF(Tb_Activiteiten[[#This Row],[Projectleider/Expert]]=1,Tb_Activiteiten[[#Headers],[Projectleider/Expert]],"")))</f>
        <v/>
      </c>
      <c r="AQ1418" t="str">
        <f>IF(ISNUMBER(FIND("arbeid",Methode_Keuze)),"",IF(ISNUMBER(FIND("arbeid",Methode_Keuze)),"",IF(Tb_Activiteiten[[#This Row],[Arbeidskosten]]=1,Tb_Activiteiten[[#Headers],[Arbeidskosten]],"")))</f>
        <v/>
      </c>
      <c r="AR1418" t="str">
        <f>IF(ISNUMBER(FIND("arbeid",Methode_Keuze)),"",IF(ISNUMBER(FIND("arbeid",Methode_Keuze)),"",IF(Tb_Activiteiten[[#This Row],[Arbeidskosten op basis van IKS]]=1,Tb_Activiteiten[[#Headers],[Arbeidskosten op basis van IKS]],"")))</f>
        <v/>
      </c>
      <c r="AS1418" t="str">
        <f>IF(ISNUMBER(FIND("overige",Methode_Keuze)),"",IF(Tb_Activiteiten[[#This Row],[Kosten derden exclusief btw]]=1,Tb_Activiteiten[[#Headers],[Kosten derden exclusief btw]],""))</f>
        <v/>
      </c>
      <c r="AT1418" t="str">
        <f>IF(ISNUMBER(FIND("overige",Methode_Keuze)),"",IF(Tb_Activiteiten[[#This Row],[Niet verrekenbare btw]]=1,Tb_Activiteiten[[#Headers],[Niet verrekenbare btw]],""))</f>
        <v/>
      </c>
      <c r="AU1418" t="str">
        <f>IF(ISNUMBER(FIND("overige",Methode_Keuze)),"",IF(Tb_Activiteiten[[#This Row],[Grondkosten]]=1,Tb_Activiteiten[[#Headers],[Grondkosten]],""))</f>
        <v/>
      </c>
      <c r="AV1418" t="str">
        <f>IF(ISNUMBER(FIND("overige",Methode_Keuze)),"",IF(Tb_Activiteiten[[#This Row],[Bijdrage in natura (overige)]]=1,Tb_Activiteiten[[#Headers],[Bijdrage in natura (overige)]],""))</f>
        <v/>
      </c>
      <c r="AW1418" t="str">
        <f>IF(ISNUMBER(FIND("overige",Methode_Keuze)),"",IF(Tb_Activiteiten[[#This Row],[Bijdrage in natura (vrijwilligers)]]=1,Tb_Activiteiten[[#Headers],[Bijdrage in natura (vrijwilligers)]],""))</f>
        <v/>
      </c>
      <c r="AX1418" t="str">
        <f>IF(ISNUMBER(FIND("overige",Methode_Keuze)),"",IF(Tb_Activiteiten[[#This Row],[Afschrijvingskosten]]=1,Tb_Activiteiten[[#Headers],[Afschrijvingskosten]],""))</f>
        <v/>
      </c>
      <c r="AY1418" t="str">
        <f>IF(ISNUMBER(FIND("overige",Methode_Keuze)),"",IF(Tb_Activiteiten[[#This Row],[Vergoeding]]=1,Tb_Activiteiten[[#Headers],[Vergoeding]],""))</f>
        <v/>
      </c>
      <c r="AZ1418" t="str">
        <f>IF(ISNUMBER(FIND("arbeid",Methode_Keuze)),"",IF(Tb_Activiteiten[[#This Row],[Arbeidskosten - vast tarief (excl eigen arbeid)]]=1,Tb_Activiteiten[[#Headers],[Arbeidskosten - vast tarief (excl eigen arbeid)]],""))</f>
        <v/>
      </c>
      <c r="BA1418" t="str">
        <f>IF(ISNUMBER(FIND("overige",Methode_Keuze)),"",IF(Tb_Activiteiten[[#This Row],[Overige kosten]]=1,Tb_Activiteiten[[#Headers],[Overige kosten]],""))</f>
        <v/>
      </c>
    </row>
    <row r="1419" spans="15:53" x14ac:dyDescent="0.25">
      <c r="O1419" s="56"/>
      <c r="Q1419" t="str">
        <f>IFERROR(IF(VLOOKUP(Tb_Activiteiten[[#This Row],[Openstelling]],Tb_Openstelling[],2,0)=1,1,""),"")</f>
        <v/>
      </c>
      <c r="AK1419" t="str">
        <f>IF(ISNUMBER(FIND("arbeid",Methode_Keuze)),"",IF(ISNUMBER(FIND("arbeid",Methode_Keuze)),"",IF(Tb_Activiteiten[[#This Row],[Loonkosten]]=1,Tb_Activiteiten[[#Headers],[Loonkosten]],"")))</f>
        <v/>
      </c>
      <c r="AL1419" t="str">
        <f>IF(ISNUMBER(FIND("arbeid",Methode_Keuze)),"",IF(ISNUMBER(FIND("arbeid",Methode_Keuze)),"",IF(Tb_Activiteiten[[#This Row],[Eigen arbeid]]=1,Tb_Activiteiten[[#Headers],[Eigen arbeid]],"")))</f>
        <v/>
      </c>
      <c r="AM1419" t="str">
        <f>IF(ISNUMBER(FIND("arbeid",Methode_Keuze)),"",IF(ISNUMBER(FIND("arbeid",Methode_Keuze)),"",IF(Tb_Activiteiten[[#This Row],[Projectmedewerker]]=1,Tb_Activiteiten[[#Headers],[Projectmedewerker]],"")))</f>
        <v/>
      </c>
      <c r="AN1419" t="str">
        <f>IF(ISNUMBER(FIND("arbeid",Methode_Keuze)),"",IF(ISNUMBER(FIND("arbeid",Methode_Keuze)),"",IF(Tb_Activiteiten[[#This Row],[Landbouwer]]=1,Tb_Activiteiten[[#Headers],[Landbouwer]],"")))</f>
        <v/>
      </c>
      <c r="AO1419" t="str">
        <f>IF(ISNUMBER(FIND("arbeid",Methode_Keuze)),"",IF(ISNUMBER(FIND("arbeid",Methode_Keuze)),"",IF(Tb_Activiteiten[[#This Row],[Adviseur]]=1,Tb_Activiteiten[[#Headers],[Adviseur]],"")))</f>
        <v/>
      </c>
      <c r="AP1419" t="str">
        <f>IF(ISNUMBER(FIND("arbeid",Methode_Keuze)),"",IF(ISNUMBER(FIND("arbeid",Methode_Keuze)),"",IF(Tb_Activiteiten[[#This Row],[Projectleider/Expert]]=1,Tb_Activiteiten[[#Headers],[Projectleider/Expert]],"")))</f>
        <v/>
      </c>
      <c r="AQ1419" t="str">
        <f>IF(ISNUMBER(FIND("arbeid",Methode_Keuze)),"",IF(ISNUMBER(FIND("arbeid",Methode_Keuze)),"",IF(Tb_Activiteiten[[#This Row],[Arbeidskosten]]=1,Tb_Activiteiten[[#Headers],[Arbeidskosten]],"")))</f>
        <v/>
      </c>
      <c r="AR1419" t="str">
        <f>IF(ISNUMBER(FIND("arbeid",Methode_Keuze)),"",IF(ISNUMBER(FIND("arbeid",Methode_Keuze)),"",IF(Tb_Activiteiten[[#This Row],[Arbeidskosten op basis van IKS]]=1,Tb_Activiteiten[[#Headers],[Arbeidskosten op basis van IKS]],"")))</f>
        <v/>
      </c>
      <c r="AS1419" t="str">
        <f>IF(ISNUMBER(FIND("overige",Methode_Keuze)),"",IF(Tb_Activiteiten[[#This Row],[Kosten derden exclusief btw]]=1,Tb_Activiteiten[[#Headers],[Kosten derden exclusief btw]],""))</f>
        <v/>
      </c>
      <c r="AT1419" t="str">
        <f>IF(ISNUMBER(FIND("overige",Methode_Keuze)),"",IF(Tb_Activiteiten[[#This Row],[Niet verrekenbare btw]]=1,Tb_Activiteiten[[#Headers],[Niet verrekenbare btw]],""))</f>
        <v/>
      </c>
      <c r="AU1419" t="str">
        <f>IF(ISNUMBER(FIND("overige",Methode_Keuze)),"",IF(Tb_Activiteiten[[#This Row],[Grondkosten]]=1,Tb_Activiteiten[[#Headers],[Grondkosten]],""))</f>
        <v/>
      </c>
      <c r="AV1419" t="str">
        <f>IF(ISNUMBER(FIND("overige",Methode_Keuze)),"",IF(Tb_Activiteiten[[#This Row],[Bijdrage in natura (overige)]]=1,Tb_Activiteiten[[#Headers],[Bijdrage in natura (overige)]],""))</f>
        <v/>
      </c>
      <c r="AW1419" t="str">
        <f>IF(ISNUMBER(FIND("overige",Methode_Keuze)),"",IF(Tb_Activiteiten[[#This Row],[Bijdrage in natura (vrijwilligers)]]=1,Tb_Activiteiten[[#Headers],[Bijdrage in natura (vrijwilligers)]],""))</f>
        <v/>
      </c>
      <c r="AX1419" t="str">
        <f>IF(ISNUMBER(FIND("overige",Methode_Keuze)),"",IF(Tb_Activiteiten[[#This Row],[Afschrijvingskosten]]=1,Tb_Activiteiten[[#Headers],[Afschrijvingskosten]],""))</f>
        <v/>
      </c>
      <c r="AY1419" t="str">
        <f>IF(ISNUMBER(FIND("overige",Methode_Keuze)),"",IF(Tb_Activiteiten[[#This Row],[Vergoeding]]=1,Tb_Activiteiten[[#Headers],[Vergoeding]],""))</f>
        <v/>
      </c>
      <c r="AZ1419" t="str">
        <f>IF(ISNUMBER(FIND("arbeid",Methode_Keuze)),"",IF(Tb_Activiteiten[[#This Row],[Arbeidskosten - vast tarief (excl eigen arbeid)]]=1,Tb_Activiteiten[[#Headers],[Arbeidskosten - vast tarief (excl eigen arbeid)]],""))</f>
        <v/>
      </c>
      <c r="BA1419" t="str">
        <f>IF(ISNUMBER(FIND("overige",Methode_Keuze)),"",IF(Tb_Activiteiten[[#This Row],[Overige kosten]]=1,Tb_Activiteiten[[#Headers],[Overige kosten]],""))</f>
        <v/>
      </c>
    </row>
    <row r="1420" spans="15:53" x14ac:dyDescent="0.25">
      <c r="O1420" s="56"/>
      <c r="Q1420" t="str">
        <f>IFERROR(IF(VLOOKUP(Tb_Activiteiten[[#This Row],[Openstelling]],Tb_Openstelling[],2,0)=1,1,""),"")</f>
        <v/>
      </c>
      <c r="AK1420" t="str">
        <f>IF(ISNUMBER(FIND("arbeid",Methode_Keuze)),"",IF(ISNUMBER(FIND("arbeid",Methode_Keuze)),"",IF(Tb_Activiteiten[[#This Row],[Loonkosten]]=1,Tb_Activiteiten[[#Headers],[Loonkosten]],"")))</f>
        <v/>
      </c>
      <c r="AL1420" t="str">
        <f>IF(ISNUMBER(FIND("arbeid",Methode_Keuze)),"",IF(ISNUMBER(FIND("arbeid",Methode_Keuze)),"",IF(Tb_Activiteiten[[#This Row],[Eigen arbeid]]=1,Tb_Activiteiten[[#Headers],[Eigen arbeid]],"")))</f>
        <v/>
      </c>
      <c r="AM1420" t="str">
        <f>IF(ISNUMBER(FIND("arbeid",Methode_Keuze)),"",IF(ISNUMBER(FIND("arbeid",Methode_Keuze)),"",IF(Tb_Activiteiten[[#This Row],[Projectmedewerker]]=1,Tb_Activiteiten[[#Headers],[Projectmedewerker]],"")))</f>
        <v/>
      </c>
      <c r="AN1420" t="str">
        <f>IF(ISNUMBER(FIND("arbeid",Methode_Keuze)),"",IF(ISNUMBER(FIND("arbeid",Methode_Keuze)),"",IF(Tb_Activiteiten[[#This Row],[Landbouwer]]=1,Tb_Activiteiten[[#Headers],[Landbouwer]],"")))</f>
        <v/>
      </c>
      <c r="AO1420" t="str">
        <f>IF(ISNUMBER(FIND("arbeid",Methode_Keuze)),"",IF(ISNUMBER(FIND("arbeid",Methode_Keuze)),"",IF(Tb_Activiteiten[[#This Row],[Adviseur]]=1,Tb_Activiteiten[[#Headers],[Adviseur]],"")))</f>
        <v/>
      </c>
      <c r="AP1420" t="str">
        <f>IF(ISNUMBER(FIND("arbeid",Methode_Keuze)),"",IF(ISNUMBER(FIND("arbeid",Methode_Keuze)),"",IF(Tb_Activiteiten[[#This Row],[Projectleider/Expert]]=1,Tb_Activiteiten[[#Headers],[Projectleider/Expert]],"")))</f>
        <v/>
      </c>
      <c r="AQ1420" t="str">
        <f>IF(ISNUMBER(FIND("arbeid",Methode_Keuze)),"",IF(ISNUMBER(FIND("arbeid",Methode_Keuze)),"",IF(Tb_Activiteiten[[#This Row],[Arbeidskosten]]=1,Tb_Activiteiten[[#Headers],[Arbeidskosten]],"")))</f>
        <v/>
      </c>
      <c r="AR1420" t="str">
        <f>IF(ISNUMBER(FIND("arbeid",Methode_Keuze)),"",IF(ISNUMBER(FIND("arbeid",Methode_Keuze)),"",IF(Tb_Activiteiten[[#This Row],[Arbeidskosten op basis van IKS]]=1,Tb_Activiteiten[[#Headers],[Arbeidskosten op basis van IKS]],"")))</f>
        <v/>
      </c>
      <c r="AS1420" t="str">
        <f>IF(ISNUMBER(FIND("overige",Methode_Keuze)),"",IF(Tb_Activiteiten[[#This Row],[Kosten derden exclusief btw]]=1,Tb_Activiteiten[[#Headers],[Kosten derden exclusief btw]],""))</f>
        <v/>
      </c>
      <c r="AT1420" t="str">
        <f>IF(ISNUMBER(FIND("overige",Methode_Keuze)),"",IF(Tb_Activiteiten[[#This Row],[Niet verrekenbare btw]]=1,Tb_Activiteiten[[#Headers],[Niet verrekenbare btw]],""))</f>
        <v/>
      </c>
      <c r="AU1420" t="str">
        <f>IF(ISNUMBER(FIND("overige",Methode_Keuze)),"",IF(Tb_Activiteiten[[#This Row],[Grondkosten]]=1,Tb_Activiteiten[[#Headers],[Grondkosten]],""))</f>
        <v/>
      </c>
      <c r="AV1420" t="str">
        <f>IF(ISNUMBER(FIND("overige",Methode_Keuze)),"",IF(Tb_Activiteiten[[#This Row],[Bijdrage in natura (overige)]]=1,Tb_Activiteiten[[#Headers],[Bijdrage in natura (overige)]],""))</f>
        <v/>
      </c>
      <c r="AW1420" t="str">
        <f>IF(ISNUMBER(FIND("overige",Methode_Keuze)),"",IF(Tb_Activiteiten[[#This Row],[Bijdrage in natura (vrijwilligers)]]=1,Tb_Activiteiten[[#Headers],[Bijdrage in natura (vrijwilligers)]],""))</f>
        <v/>
      </c>
      <c r="AX1420" t="str">
        <f>IF(ISNUMBER(FIND("overige",Methode_Keuze)),"",IF(Tb_Activiteiten[[#This Row],[Afschrijvingskosten]]=1,Tb_Activiteiten[[#Headers],[Afschrijvingskosten]],""))</f>
        <v/>
      </c>
      <c r="AY1420" t="str">
        <f>IF(ISNUMBER(FIND("overige",Methode_Keuze)),"",IF(Tb_Activiteiten[[#This Row],[Vergoeding]]=1,Tb_Activiteiten[[#Headers],[Vergoeding]],""))</f>
        <v/>
      </c>
      <c r="AZ1420" t="str">
        <f>IF(ISNUMBER(FIND("arbeid",Methode_Keuze)),"",IF(Tb_Activiteiten[[#This Row],[Arbeidskosten - vast tarief (excl eigen arbeid)]]=1,Tb_Activiteiten[[#Headers],[Arbeidskosten - vast tarief (excl eigen arbeid)]],""))</f>
        <v/>
      </c>
      <c r="BA1420" t="str">
        <f>IF(ISNUMBER(FIND("overige",Methode_Keuze)),"",IF(Tb_Activiteiten[[#This Row],[Overige kosten]]=1,Tb_Activiteiten[[#Headers],[Overige kosten]],""))</f>
        <v/>
      </c>
    </row>
    <row r="1421" spans="15:53" x14ac:dyDescent="0.25">
      <c r="O1421" s="56"/>
      <c r="Q1421" t="str">
        <f>IFERROR(IF(VLOOKUP(Tb_Activiteiten[[#This Row],[Openstelling]],Tb_Openstelling[],2,0)=1,1,""),"")</f>
        <v/>
      </c>
      <c r="AK1421" t="str">
        <f>IF(ISNUMBER(FIND("arbeid",Methode_Keuze)),"",IF(ISNUMBER(FIND("arbeid",Methode_Keuze)),"",IF(Tb_Activiteiten[[#This Row],[Loonkosten]]=1,Tb_Activiteiten[[#Headers],[Loonkosten]],"")))</f>
        <v/>
      </c>
      <c r="AL1421" t="str">
        <f>IF(ISNUMBER(FIND("arbeid",Methode_Keuze)),"",IF(ISNUMBER(FIND("arbeid",Methode_Keuze)),"",IF(Tb_Activiteiten[[#This Row],[Eigen arbeid]]=1,Tb_Activiteiten[[#Headers],[Eigen arbeid]],"")))</f>
        <v/>
      </c>
      <c r="AM1421" t="str">
        <f>IF(ISNUMBER(FIND("arbeid",Methode_Keuze)),"",IF(ISNUMBER(FIND("arbeid",Methode_Keuze)),"",IF(Tb_Activiteiten[[#This Row],[Projectmedewerker]]=1,Tb_Activiteiten[[#Headers],[Projectmedewerker]],"")))</f>
        <v/>
      </c>
      <c r="AN1421" t="str">
        <f>IF(ISNUMBER(FIND("arbeid",Methode_Keuze)),"",IF(ISNUMBER(FIND("arbeid",Methode_Keuze)),"",IF(Tb_Activiteiten[[#This Row],[Landbouwer]]=1,Tb_Activiteiten[[#Headers],[Landbouwer]],"")))</f>
        <v/>
      </c>
      <c r="AO1421" t="str">
        <f>IF(ISNUMBER(FIND("arbeid",Methode_Keuze)),"",IF(ISNUMBER(FIND("arbeid",Methode_Keuze)),"",IF(Tb_Activiteiten[[#This Row],[Adviseur]]=1,Tb_Activiteiten[[#Headers],[Adviseur]],"")))</f>
        <v/>
      </c>
      <c r="AP1421" t="str">
        <f>IF(ISNUMBER(FIND("arbeid",Methode_Keuze)),"",IF(ISNUMBER(FIND("arbeid",Methode_Keuze)),"",IF(Tb_Activiteiten[[#This Row],[Projectleider/Expert]]=1,Tb_Activiteiten[[#Headers],[Projectleider/Expert]],"")))</f>
        <v/>
      </c>
      <c r="AQ1421" t="str">
        <f>IF(ISNUMBER(FIND("arbeid",Methode_Keuze)),"",IF(ISNUMBER(FIND("arbeid",Methode_Keuze)),"",IF(Tb_Activiteiten[[#This Row],[Arbeidskosten]]=1,Tb_Activiteiten[[#Headers],[Arbeidskosten]],"")))</f>
        <v/>
      </c>
      <c r="AR1421" t="str">
        <f>IF(ISNUMBER(FIND("arbeid",Methode_Keuze)),"",IF(ISNUMBER(FIND("arbeid",Methode_Keuze)),"",IF(Tb_Activiteiten[[#This Row],[Arbeidskosten op basis van IKS]]=1,Tb_Activiteiten[[#Headers],[Arbeidskosten op basis van IKS]],"")))</f>
        <v/>
      </c>
      <c r="AS1421" t="str">
        <f>IF(ISNUMBER(FIND("overige",Methode_Keuze)),"",IF(Tb_Activiteiten[[#This Row],[Kosten derden exclusief btw]]=1,Tb_Activiteiten[[#Headers],[Kosten derden exclusief btw]],""))</f>
        <v/>
      </c>
      <c r="AT1421" t="str">
        <f>IF(ISNUMBER(FIND("overige",Methode_Keuze)),"",IF(Tb_Activiteiten[[#This Row],[Niet verrekenbare btw]]=1,Tb_Activiteiten[[#Headers],[Niet verrekenbare btw]],""))</f>
        <v/>
      </c>
      <c r="AU1421" t="str">
        <f>IF(ISNUMBER(FIND("overige",Methode_Keuze)),"",IF(Tb_Activiteiten[[#This Row],[Grondkosten]]=1,Tb_Activiteiten[[#Headers],[Grondkosten]],""))</f>
        <v/>
      </c>
      <c r="AV1421" t="str">
        <f>IF(ISNUMBER(FIND("overige",Methode_Keuze)),"",IF(Tb_Activiteiten[[#This Row],[Bijdrage in natura (overige)]]=1,Tb_Activiteiten[[#Headers],[Bijdrage in natura (overige)]],""))</f>
        <v/>
      </c>
      <c r="AW1421" t="str">
        <f>IF(ISNUMBER(FIND("overige",Methode_Keuze)),"",IF(Tb_Activiteiten[[#This Row],[Bijdrage in natura (vrijwilligers)]]=1,Tb_Activiteiten[[#Headers],[Bijdrage in natura (vrijwilligers)]],""))</f>
        <v/>
      </c>
      <c r="AX1421" t="str">
        <f>IF(ISNUMBER(FIND("overige",Methode_Keuze)),"",IF(Tb_Activiteiten[[#This Row],[Afschrijvingskosten]]=1,Tb_Activiteiten[[#Headers],[Afschrijvingskosten]],""))</f>
        <v/>
      </c>
      <c r="AY1421" t="str">
        <f>IF(ISNUMBER(FIND("overige",Methode_Keuze)),"",IF(Tb_Activiteiten[[#This Row],[Vergoeding]]=1,Tb_Activiteiten[[#Headers],[Vergoeding]],""))</f>
        <v/>
      </c>
      <c r="AZ1421" t="str">
        <f>IF(ISNUMBER(FIND("arbeid",Methode_Keuze)),"",IF(Tb_Activiteiten[[#This Row],[Arbeidskosten - vast tarief (excl eigen arbeid)]]=1,Tb_Activiteiten[[#Headers],[Arbeidskosten - vast tarief (excl eigen arbeid)]],""))</f>
        <v/>
      </c>
      <c r="BA1421" t="str">
        <f>IF(ISNUMBER(FIND("overige",Methode_Keuze)),"",IF(Tb_Activiteiten[[#This Row],[Overige kosten]]=1,Tb_Activiteiten[[#Headers],[Overige kosten]],""))</f>
        <v/>
      </c>
    </row>
    <row r="1422" spans="15:53" x14ac:dyDescent="0.25">
      <c r="O1422" s="56"/>
      <c r="Q1422" t="str">
        <f>IFERROR(IF(VLOOKUP(Tb_Activiteiten[[#This Row],[Openstelling]],Tb_Openstelling[],2,0)=1,1,""),"")</f>
        <v/>
      </c>
      <c r="AK1422" t="str">
        <f>IF(ISNUMBER(FIND("arbeid",Methode_Keuze)),"",IF(ISNUMBER(FIND("arbeid",Methode_Keuze)),"",IF(Tb_Activiteiten[[#This Row],[Loonkosten]]=1,Tb_Activiteiten[[#Headers],[Loonkosten]],"")))</f>
        <v/>
      </c>
      <c r="AL1422" t="str">
        <f>IF(ISNUMBER(FIND("arbeid",Methode_Keuze)),"",IF(ISNUMBER(FIND("arbeid",Methode_Keuze)),"",IF(Tb_Activiteiten[[#This Row],[Eigen arbeid]]=1,Tb_Activiteiten[[#Headers],[Eigen arbeid]],"")))</f>
        <v/>
      </c>
      <c r="AM1422" t="str">
        <f>IF(ISNUMBER(FIND("arbeid",Methode_Keuze)),"",IF(ISNUMBER(FIND("arbeid",Methode_Keuze)),"",IF(Tb_Activiteiten[[#This Row],[Projectmedewerker]]=1,Tb_Activiteiten[[#Headers],[Projectmedewerker]],"")))</f>
        <v/>
      </c>
      <c r="AN1422" t="str">
        <f>IF(ISNUMBER(FIND("arbeid",Methode_Keuze)),"",IF(ISNUMBER(FIND("arbeid",Methode_Keuze)),"",IF(Tb_Activiteiten[[#This Row],[Landbouwer]]=1,Tb_Activiteiten[[#Headers],[Landbouwer]],"")))</f>
        <v/>
      </c>
      <c r="AO1422" t="str">
        <f>IF(ISNUMBER(FIND("arbeid",Methode_Keuze)),"",IF(ISNUMBER(FIND("arbeid",Methode_Keuze)),"",IF(Tb_Activiteiten[[#This Row],[Adviseur]]=1,Tb_Activiteiten[[#Headers],[Adviseur]],"")))</f>
        <v/>
      </c>
      <c r="AP1422" t="str">
        <f>IF(ISNUMBER(FIND("arbeid",Methode_Keuze)),"",IF(ISNUMBER(FIND("arbeid",Methode_Keuze)),"",IF(Tb_Activiteiten[[#This Row],[Projectleider/Expert]]=1,Tb_Activiteiten[[#Headers],[Projectleider/Expert]],"")))</f>
        <v/>
      </c>
      <c r="AQ1422" t="str">
        <f>IF(ISNUMBER(FIND("arbeid",Methode_Keuze)),"",IF(ISNUMBER(FIND("arbeid",Methode_Keuze)),"",IF(Tb_Activiteiten[[#This Row],[Arbeidskosten]]=1,Tb_Activiteiten[[#Headers],[Arbeidskosten]],"")))</f>
        <v/>
      </c>
      <c r="AR1422" t="str">
        <f>IF(ISNUMBER(FIND("arbeid",Methode_Keuze)),"",IF(ISNUMBER(FIND("arbeid",Methode_Keuze)),"",IF(Tb_Activiteiten[[#This Row],[Arbeidskosten op basis van IKS]]=1,Tb_Activiteiten[[#Headers],[Arbeidskosten op basis van IKS]],"")))</f>
        <v/>
      </c>
      <c r="AS1422" t="str">
        <f>IF(ISNUMBER(FIND("overige",Methode_Keuze)),"",IF(Tb_Activiteiten[[#This Row],[Kosten derden exclusief btw]]=1,Tb_Activiteiten[[#Headers],[Kosten derden exclusief btw]],""))</f>
        <v/>
      </c>
      <c r="AT1422" t="str">
        <f>IF(ISNUMBER(FIND("overige",Methode_Keuze)),"",IF(Tb_Activiteiten[[#This Row],[Niet verrekenbare btw]]=1,Tb_Activiteiten[[#Headers],[Niet verrekenbare btw]],""))</f>
        <v/>
      </c>
      <c r="AU1422" t="str">
        <f>IF(ISNUMBER(FIND("overige",Methode_Keuze)),"",IF(Tb_Activiteiten[[#This Row],[Grondkosten]]=1,Tb_Activiteiten[[#Headers],[Grondkosten]],""))</f>
        <v/>
      </c>
      <c r="AV1422" t="str">
        <f>IF(ISNUMBER(FIND("overige",Methode_Keuze)),"",IF(Tb_Activiteiten[[#This Row],[Bijdrage in natura (overige)]]=1,Tb_Activiteiten[[#Headers],[Bijdrage in natura (overige)]],""))</f>
        <v/>
      </c>
      <c r="AW1422" t="str">
        <f>IF(ISNUMBER(FIND("overige",Methode_Keuze)),"",IF(Tb_Activiteiten[[#This Row],[Bijdrage in natura (vrijwilligers)]]=1,Tb_Activiteiten[[#Headers],[Bijdrage in natura (vrijwilligers)]],""))</f>
        <v/>
      </c>
      <c r="AX1422" t="str">
        <f>IF(ISNUMBER(FIND("overige",Methode_Keuze)),"",IF(Tb_Activiteiten[[#This Row],[Afschrijvingskosten]]=1,Tb_Activiteiten[[#Headers],[Afschrijvingskosten]],""))</f>
        <v/>
      </c>
      <c r="AY1422" t="str">
        <f>IF(ISNUMBER(FIND("overige",Methode_Keuze)),"",IF(Tb_Activiteiten[[#This Row],[Vergoeding]]=1,Tb_Activiteiten[[#Headers],[Vergoeding]],""))</f>
        <v/>
      </c>
      <c r="AZ1422" t="str">
        <f>IF(ISNUMBER(FIND("arbeid",Methode_Keuze)),"",IF(Tb_Activiteiten[[#This Row],[Arbeidskosten - vast tarief (excl eigen arbeid)]]=1,Tb_Activiteiten[[#Headers],[Arbeidskosten - vast tarief (excl eigen arbeid)]],""))</f>
        <v/>
      </c>
      <c r="BA1422" t="str">
        <f>IF(ISNUMBER(FIND("overige",Methode_Keuze)),"",IF(Tb_Activiteiten[[#This Row],[Overige kosten]]=1,Tb_Activiteiten[[#Headers],[Overige kosten]],""))</f>
        <v/>
      </c>
    </row>
    <row r="1423" spans="15:53" x14ac:dyDescent="0.25">
      <c r="O1423" s="56"/>
      <c r="Q1423" t="str">
        <f>IFERROR(IF(VLOOKUP(Tb_Activiteiten[[#This Row],[Openstelling]],Tb_Openstelling[],2,0)=1,1,""),"")</f>
        <v/>
      </c>
      <c r="AK1423" t="str">
        <f>IF(ISNUMBER(FIND("arbeid",Methode_Keuze)),"",IF(ISNUMBER(FIND("arbeid",Methode_Keuze)),"",IF(Tb_Activiteiten[[#This Row],[Loonkosten]]=1,Tb_Activiteiten[[#Headers],[Loonkosten]],"")))</f>
        <v/>
      </c>
      <c r="AL1423" t="str">
        <f>IF(ISNUMBER(FIND("arbeid",Methode_Keuze)),"",IF(ISNUMBER(FIND("arbeid",Methode_Keuze)),"",IF(Tb_Activiteiten[[#This Row],[Eigen arbeid]]=1,Tb_Activiteiten[[#Headers],[Eigen arbeid]],"")))</f>
        <v/>
      </c>
      <c r="AM1423" t="str">
        <f>IF(ISNUMBER(FIND("arbeid",Methode_Keuze)),"",IF(ISNUMBER(FIND("arbeid",Methode_Keuze)),"",IF(Tb_Activiteiten[[#This Row],[Projectmedewerker]]=1,Tb_Activiteiten[[#Headers],[Projectmedewerker]],"")))</f>
        <v/>
      </c>
      <c r="AN1423" t="str">
        <f>IF(ISNUMBER(FIND("arbeid",Methode_Keuze)),"",IF(ISNUMBER(FIND("arbeid",Methode_Keuze)),"",IF(Tb_Activiteiten[[#This Row],[Landbouwer]]=1,Tb_Activiteiten[[#Headers],[Landbouwer]],"")))</f>
        <v/>
      </c>
      <c r="AO1423" t="str">
        <f>IF(ISNUMBER(FIND("arbeid",Methode_Keuze)),"",IF(ISNUMBER(FIND("arbeid",Methode_Keuze)),"",IF(Tb_Activiteiten[[#This Row],[Adviseur]]=1,Tb_Activiteiten[[#Headers],[Adviseur]],"")))</f>
        <v/>
      </c>
      <c r="AP1423" t="str">
        <f>IF(ISNUMBER(FIND("arbeid",Methode_Keuze)),"",IF(ISNUMBER(FIND("arbeid",Methode_Keuze)),"",IF(Tb_Activiteiten[[#This Row],[Projectleider/Expert]]=1,Tb_Activiteiten[[#Headers],[Projectleider/Expert]],"")))</f>
        <v/>
      </c>
      <c r="AQ1423" t="str">
        <f>IF(ISNUMBER(FIND("arbeid",Methode_Keuze)),"",IF(ISNUMBER(FIND("arbeid",Methode_Keuze)),"",IF(Tb_Activiteiten[[#This Row],[Arbeidskosten]]=1,Tb_Activiteiten[[#Headers],[Arbeidskosten]],"")))</f>
        <v/>
      </c>
      <c r="AR1423" t="str">
        <f>IF(ISNUMBER(FIND("arbeid",Methode_Keuze)),"",IF(ISNUMBER(FIND("arbeid",Methode_Keuze)),"",IF(Tb_Activiteiten[[#This Row],[Arbeidskosten op basis van IKS]]=1,Tb_Activiteiten[[#Headers],[Arbeidskosten op basis van IKS]],"")))</f>
        <v/>
      </c>
      <c r="AS1423" t="str">
        <f>IF(ISNUMBER(FIND("overige",Methode_Keuze)),"",IF(Tb_Activiteiten[[#This Row],[Kosten derden exclusief btw]]=1,Tb_Activiteiten[[#Headers],[Kosten derden exclusief btw]],""))</f>
        <v/>
      </c>
      <c r="AT1423" t="str">
        <f>IF(ISNUMBER(FIND("overige",Methode_Keuze)),"",IF(Tb_Activiteiten[[#This Row],[Niet verrekenbare btw]]=1,Tb_Activiteiten[[#Headers],[Niet verrekenbare btw]],""))</f>
        <v/>
      </c>
      <c r="AU1423" t="str">
        <f>IF(ISNUMBER(FIND("overige",Methode_Keuze)),"",IF(Tb_Activiteiten[[#This Row],[Grondkosten]]=1,Tb_Activiteiten[[#Headers],[Grondkosten]],""))</f>
        <v/>
      </c>
      <c r="AV1423" t="str">
        <f>IF(ISNUMBER(FIND("overige",Methode_Keuze)),"",IF(Tb_Activiteiten[[#This Row],[Bijdrage in natura (overige)]]=1,Tb_Activiteiten[[#Headers],[Bijdrage in natura (overige)]],""))</f>
        <v/>
      </c>
      <c r="AW1423" t="str">
        <f>IF(ISNUMBER(FIND("overige",Methode_Keuze)),"",IF(Tb_Activiteiten[[#This Row],[Bijdrage in natura (vrijwilligers)]]=1,Tb_Activiteiten[[#Headers],[Bijdrage in natura (vrijwilligers)]],""))</f>
        <v/>
      </c>
      <c r="AX1423" t="str">
        <f>IF(ISNUMBER(FIND("overige",Methode_Keuze)),"",IF(Tb_Activiteiten[[#This Row],[Afschrijvingskosten]]=1,Tb_Activiteiten[[#Headers],[Afschrijvingskosten]],""))</f>
        <v/>
      </c>
      <c r="AY1423" t="str">
        <f>IF(ISNUMBER(FIND("overige",Methode_Keuze)),"",IF(Tb_Activiteiten[[#This Row],[Vergoeding]]=1,Tb_Activiteiten[[#Headers],[Vergoeding]],""))</f>
        <v/>
      </c>
      <c r="AZ1423" t="str">
        <f>IF(ISNUMBER(FIND("arbeid",Methode_Keuze)),"",IF(Tb_Activiteiten[[#This Row],[Arbeidskosten - vast tarief (excl eigen arbeid)]]=1,Tb_Activiteiten[[#Headers],[Arbeidskosten - vast tarief (excl eigen arbeid)]],""))</f>
        <v/>
      </c>
      <c r="BA1423" t="str">
        <f>IF(ISNUMBER(FIND("overige",Methode_Keuze)),"",IF(Tb_Activiteiten[[#This Row],[Overige kosten]]=1,Tb_Activiteiten[[#Headers],[Overige kosten]],""))</f>
        <v/>
      </c>
    </row>
    <row r="1424" spans="15:53" x14ac:dyDescent="0.25">
      <c r="O1424" s="56"/>
      <c r="Q1424" t="str">
        <f>IFERROR(IF(VLOOKUP(Tb_Activiteiten[[#This Row],[Openstelling]],Tb_Openstelling[],2,0)=1,1,""),"")</f>
        <v/>
      </c>
      <c r="AK1424" t="str">
        <f>IF(ISNUMBER(FIND("arbeid",Methode_Keuze)),"",IF(ISNUMBER(FIND("arbeid",Methode_Keuze)),"",IF(Tb_Activiteiten[[#This Row],[Loonkosten]]=1,Tb_Activiteiten[[#Headers],[Loonkosten]],"")))</f>
        <v/>
      </c>
      <c r="AL1424" t="str">
        <f>IF(ISNUMBER(FIND("arbeid",Methode_Keuze)),"",IF(ISNUMBER(FIND("arbeid",Methode_Keuze)),"",IF(Tb_Activiteiten[[#This Row],[Eigen arbeid]]=1,Tb_Activiteiten[[#Headers],[Eigen arbeid]],"")))</f>
        <v/>
      </c>
      <c r="AM1424" t="str">
        <f>IF(ISNUMBER(FIND("arbeid",Methode_Keuze)),"",IF(ISNUMBER(FIND("arbeid",Methode_Keuze)),"",IF(Tb_Activiteiten[[#This Row],[Projectmedewerker]]=1,Tb_Activiteiten[[#Headers],[Projectmedewerker]],"")))</f>
        <v/>
      </c>
      <c r="AN1424" t="str">
        <f>IF(ISNUMBER(FIND("arbeid",Methode_Keuze)),"",IF(ISNUMBER(FIND("arbeid",Methode_Keuze)),"",IF(Tb_Activiteiten[[#This Row],[Landbouwer]]=1,Tb_Activiteiten[[#Headers],[Landbouwer]],"")))</f>
        <v/>
      </c>
      <c r="AO1424" t="str">
        <f>IF(ISNUMBER(FIND("arbeid",Methode_Keuze)),"",IF(ISNUMBER(FIND("arbeid",Methode_Keuze)),"",IF(Tb_Activiteiten[[#This Row],[Adviseur]]=1,Tb_Activiteiten[[#Headers],[Adviseur]],"")))</f>
        <v/>
      </c>
      <c r="AP1424" t="str">
        <f>IF(ISNUMBER(FIND("arbeid",Methode_Keuze)),"",IF(ISNUMBER(FIND("arbeid",Methode_Keuze)),"",IF(Tb_Activiteiten[[#This Row],[Projectleider/Expert]]=1,Tb_Activiteiten[[#Headers],[Projectleider/Expert]],"")))</f>
        <v/>
      </c>
      <c r="AQ1424" t="str">
        <f>IF(ISNUMBER(FIND("arbeid",Methode_Keuze)),"",IF(ISNUMBER(FIND("arbeid",Methode_Keuze)),"",IF(Tb_Activiteiten[[#This Row],[Arbeidskosten]]=1,Tb_Activiteiten[[#Headers],[Arbeidskosten]],"")))</f>
        <v/>
      </c>
      <c r="AR1424" t="str">
        <f>IF(ISNUMBER(FIND("arbeid",Methode_Keuze)),"",IF(ISNUMBER(FIND("arbeid",Methode_Keuze)),"",IF(Tb_Activiteiten[[#This Row],[Arbeidskosten op basis van IKS]]=1,Tb_Activiteiten[[#Headers],[Arbeidskosten op basis van IKS]],"")))</f>
        <v/>
      </c>
      <c r="AS1424" t="str">
        <f>IF(ISNUMBER(FIND("overige",Methode_Keuze)),"",IF(Tb_Activiteiten[[#This Row],[Kosten derden exclusief btw]]=1,Tb_Activiteiten[[#Headers],[Kosten derden exclusief btw]],""))</f>
        <v/>
      </c>
      <c r="AT1424" t="str">
        <f>IF(ISNUMBER(FIND("overige",Methode_Keuze)),"",IF(Tb_Activiteiten[[#This Row],[Niet verrekenbare btw]]=1,Tb_Activiteiten[[#Headers],[Niet verrekenbare btw]],""))</f>
        <v/>
      </c>
      <c r="AU1424" t="str">
        <f>IF(ISNUMBER(FIND("overige",Methode_Keuze)),"",IF(Tb_Activiteiten[[#This Row],[Grondkosten]]=1,Tb_Activiteiten[[#Headers],[Grondkosten]],""))</f>
        <v/>
      </c>
      <c r="AV1424" t="str">
        <f>IF(ISNUMBER(FIND("overige",Methode_Keuze)),"",IF(Tb_Activiteiten[[#This Row],[Bijdrage in natura (overige)]]=1,Tb_Activiteiten[[#Headers],[Bijdrage in natura (overige)]],""))</f>
        <v/>
      </c>
      <c r="AW1424" t="str">
        <f>IF(ISNUMBER(FIND("overige",Methode_Keuze)),"",IF(Tb_Activiteiten[[#This Row],[Bijdrage in natura (vrijwilligers)]]=1,Tb_Activiteiten[[#Headers],[Bijdrage in natura (vrijwilligers)]],""))</f>
        <v/>
      </c>
      <c r="AX1424" t="str">
        <f>IF(ISNUMBER(FIND("overige",Methode_Keuze)),"",IF(Tb_Activiteiten[[#This Row],[Afschrijvingskosten]]=1,Tb_Activiteiten[[#Headers],[Afschrijvingskosten]],""))</f>
        <v/>
      </c>
      <c r="AY1424" t="str">
        <f>IF(ISNUMBER(FIND("overige",Methode_Keuze)),"",IF(Tb_Activiteiten[[#This Row],[Vergoeding]]=1,Tb_Activiteiten[[#Headers],[Vergoeding]],""))</f>
        <v/>
      </c>
      <c r="AZ1424" t="str">
        <f>IF(ISNUMBER(FIND("arbeid",Methode_Keuze)),"",IF(Tb_Activiteiten[[#This Row],[Arbeidskosten - vast tarief (excl eigen arbeid)]]=1,Tb_Activiteiten[[#Headers],[Arbeidskosten - vast tarief (excl eigen arbeid)]],""))</f>
        <v/>
      </c>
      <c r="BA1424" t="str">
        <f>IF(ISNUMBER(FIND("overige",Methode_Keuze)),"",IF(Tb_Activiteiten[[#This Row],[Overige kosten]]=1,Tb_Activiteiten[[#Headers],[Overige kosten]],""))</f>
        <v/>
      </c>
    </row>
    <row r="1425" spans="15:53" x14ac:dyDescent="0.25">
      <c r="O1425" s="56"/>
      <c r="Q1425" t="str">
        <f>IFERROR(IF(VLOOKUP(Tb_Activiteiten[[#This Row],[Openstelling]],Tb_Openstelling[],2,0)=1,1,""),"")</f>
        <v/>
      </c>
      <c r="AK1425" t="str">
        <f>IF(ISNUMBER(FIND("arbeid",Methode_Keuze)),"",IF(ISNUMBER(FIND("arbeid",Methode_Keuze)),"",IF(Tb_Activiteiten[[#This Row],[Loonkosten]]=1,Tb_Activiteiten[[#Headers],[Loonkosten]],"")))</f>
        <v/>
      </c>
      <c r="AL1425" t="str">
        <f>IF(ISNUMBER(FIND("arbeid",Methode_Keuze)),"",IF(ISNUMBER(FIND("arbeid",Methode_Keuze)),"",IF(Tb_Activiteiten[[#This Row],[Eigen arbeid]]=1,Tb_Activiteiten[[#Headers],[Eigen arbeid]],"")))</f>
        <v/>
      </c>
      <c r="AM1425" t="str">
        <f>IF(ISNUMBER(FIND("arbeid",Methode_Keuze)),"",IF(ISNUMBER(FIND("arbeid",Methode_Keuze)),"",IF(Tb_Activiteiten[[#This Row],[Projectmedewerker]]=1,Tb_Activiteiten[[#Headers],[Projectmedewerker]],"")))</f>
        <v/>
      </c>
      <c r="AN1425" t="str">
        <f>IF(ISNUMBER(FIND("arbeid",Methode_Keuze)),"",IF(ISNUMBER(FIND("arbeid",Methode_Keuze)),"",IF(Tb_Activiteiten[[#This Row],[Landbouwer]]=1,Tb_Activiteiten[[#Headers],[Landbouwer]],"")))</f>
        <v/>
      </c>
      <c r="AO1425" t="str">
        <f>IF(ISNUMBER(FIND("arbeid",Methode_Keuze)),"",IF(ISNUMBER(FIND("arbeid",Methode_Keuze)),"",IF(Tb_Activiteiten[[#This Row],[Adviseur]]=1,Tb_Activiteiten[[#Headers],[Adviseur]],"")))</f>
        <v/>
      </c>
      <c r="AP1425" t="str">
        <f>IF(ISNUMBER(FIND("arbeid",Methode_Keuze)),"",IF(ISNUMBER(FIND("arbeid",Methode_Keuze)),"",IF(Tb_Activiteiten[[#This Row],[Projectleider/Expert]]=1,Tb_Activiteiten[[#Headers],[Projectleider/Expert]],"")))</f>
        <v/>
      </c>
      <c r="AQ1425" t="str">
        <f>IF(ISNUMBER(FIND("arbeid",Methode_Keuze)),"",IF(ISNUMBER(FIND("arbeid",Methode_Keuze)),"",IF(Tb_Activiteiten[[#This Row],[Arbeidskosten]]=1,Tb_Activiteiten[[#Headers],[Arbeidskosten]],"")))</f>
        <v/>
      </c>
      <c r="AR1425" t="str">
        <f>IF(ISNUMBER(FIND("arbeid",Methode_Keuze)),"",IF(ISNUMBER(FIND("arbeid",Methode_Keuze)),"",IF(Tb_Activiteiten[[#This Row],[Arbeidskosten op basis van IKS]]=1,Tb_Activiteiten[[#Headers],[Arbeidskosten op basis van IKS]],"")))</f>
        <v/>
      </c>
      <c r="AS1425" t="str">
        <f>IF(ISNUMBER(FIND("overige",Methode_Keuze)),"",IF(Tb_Activiteiten[[#This Row],[Kosten derden exclusief btw]]=1,Tb_Activiteiten[[#Headers],[Kosten derden exclusief btw]],""))</f>
        <v/>
      </c>
      <c r="AT1425" t="str">
        <f>IF(ISNUMBER(FIND("overige",Methode_Keuze)),"",IF(Tb_Activiteiten[[#This Row],[Niet verrekenbare btw]]=1,Tb_Activiteiten[[#Headers],[Niet verrekenbare btw]],""))</f>
        <v/>
      </c>
      <c r="AU1425" t="str">
        <f>IF(ISNUMBER(FIND("overige",Methode_Keuze)),"",IF(Tb_Activiteiten[[#This Row],[Grondkosten]]=1,Tb_Activiteiten[[#Headers],[Grondkosten]],""))</f>
        <v/>
      </c>
      <c r="AV1425" t="str">
        <f>IF(ISNUMBER(FIND("overige",Methode_Keuze)),"",IF(Tb_Activiteiten[[#This Row],[Bijdrage in natura (overige)]]=1,Tb_Activiteiten[[#Headers],[Bijdrage in natura (overige)]],""))</f>
        <v/>
      </c>
      <c r="AW1425" t="str">
        <f>IF(ISNUMBER(FIND("overige",Methode_Keuze)),"",IF(Tb_Activiteiten[[#This Row],[Bijdrage in natura (vrijwilligers)]]=1,Tb_Activiteiten[[#Headers],[Bijdrage in natura (vrijwilligers)]],""))</f>
        <v/>
      </c>
      <c r="AX1425" t="str">
        <f>IF(ISNUMBER(FIND("overige",Methode_Keuze)),"",IF(Tb_Activiteiten[[#This Row],[Afschrijvingskosten]]=1,Tb_Activiteiten[[#Headers],[Afschrijvingskosten]],""))</f>
        <v/>
      </c>
      <c r="AY1425" t="str">
        <f>IF(ISNUMBER(FIND("overige",Methode_Keuze)),"",IF(Tb_Activiteiten[[#This Row],[Vergoeding]]=1,Tb_Activiteiten[[#Headers],[Vergoeding]],""))</f>
        <v/>
      </c>
      <c r="AZ1425" t="str">
        <f>IF(ISNUMBER(FIND("arbeid",Methode_Keuze)),"",IF(Tb_Activiteiten[[#This Row],[Arbeidskosten - vast tarief (excl eigen arbeid)]]=1,Tb_Activiteiten[[#Headers],[Arbeidskosten - vast tarief (excl eigen arbeid)]],""))</f>
        <v/>
      </c>
      <c r="BA1425" t="str">
        <f>IF(ISNUMBER(FIND("overige",Methode_Keuze)),"",IF(Tb_Activiteiten[[#This Row],[Overige kosten]]=1,Tb_Activiteiten[[#Headers],[Overige kosten]],""))</f>
        <v/>
      </c>
    </row>
    <row r="1426" spans="15:53" x14ac:dyDescent="0.25">
      <c r="O1426" s="56"/>
      <c r="Q1426" t="str">
        <f>IFERROR(IF(VLOOKUP(Tb_Activiteiten[[#This Row],[Openstelling]],Tb_Openstelling[],2,0)=1,1,""),"")</f>
        <v/>
      </c>
      <c r="AK1426" t="str">
        <f>IF(ISNUMBER(FIND("arbeid",Methode_Keuze)),"",IF(ISNUMBER(FIND("arbeid",Methode_Keuze)),"",IF(Tb_Activiteiten[[#This Row],[Loonkosten]]=1,Tb_Activiteiten[[#Headers],[Loonkosten]],"")))</f>
        <v/>
      </c>
      <c r="AL1426" t="str">
        <f>IF(ISNUMBER(FIND("arbeid",Methode_Keuze)),"",IF(ISNUMBER(FIND("arbeid",Methode_Keuze)),"",IF(Tb_Activiteiten[[#This Row],[Eigen arbeid]]=1,Tb_Activiteiten[[#Headers],[Eigen arbeid]],"")))</f>
        <v/>
      </c>
      <c r="AM1426" t="str">
        <f>IF(ISNUMBER(FIND("arbeid",Methode_Keuze)),"",IF(ISNUMBER(FIND("arbeid",Methode_Keuze)),"",IF(Tb_Activiteiten[[#This Row],[Projectmedewerker]]=1,Tb_Activiteiten[[#Headers],[Projectmedewerker]],"")))</f>
        <v/>
      </c>
      <c r="AN1426" t="str">
        <f>IF(ISNUMBER(FIND("arbeid",Methode_Keuze)),"",IF(ISNUMBER(FIND("arbeid",Methode_Keuze)),"",IF(Tb_Activiteiten[[#This Row],[Landbouwer]]=1,Tb_Activiteiten[[#Headers],[Landbouwer]],"")))</f>
        <v/>
      </c>
      <c r="AO1426" t="str">
        <f>IF(ISNUMBER(FIND("arbeid",Methode_Keuze)),"",IF(ISNUMBER(FIND("arbeid",Methode_Keuze)),"",IF(Tb_Activiteiten[[#This Row],[Adviseur]]=1,Tb_Activiteiten[[#Headers],[Adviseur]],"")))</f>
        <v/>
      </c>
      <c r="AP1426" t="str">
        <f>IF(ISNUMBER(FIND("arbeid",Methode_Keuze)),"",IF(ISNUMBER(FIND("arbeid",Methode_Keuze)),"",IF(Tb_Activiteiten[[#This Row],[Projectleider/Expert]]=1,Tb_Activiteiten[[#Headers],[Projectleider/Expert]],"")))</f>
        <v/>
      </c>
      <c r="AQ1426" t="str">
        <f>IF(ISNUMBER(FIND("arbeid",Methode_Keuze)),"",IF(ISNUMBER(FIND("arbeid",Methode_Keuze)),"",IF(Tb_Activiteiten[[#This Row],[Arbeidskosten]]=1,Tb_Activiteiten[[#Headers],[Arbeidskosten]],"")))</f>
        <v/>
      </c>
      <c r="AR1426" t="str">
        <f>IF(ISNUMBER(FIND("arbeid",Methode_Keuze)),"",IF(ISNUMBER(FIND("arbeid",Methode_Keuze)),"",IF(Tb_Activiteiten[[#This Row],[Arbeidskosten op basis van IKS]]=1,Tb_Activiteiten[[#Headers],[Arbeidskosten op basis van IKS]],"")))</f>
        <v/>
      </c>
      <c r="AS1426" t="str">
        <f>IF(ISNUMBER(FIND("overige",Methode_Keuze)),"",IF(Tb_Activiteiten[[#This Row],[Kosten derden exclusief btw]]=1,Tb_Activiteiten[[#Headers],[Kosten derden exclusief btw]],""))</f>
        <v/>
      </c>
      <c r="AT1426" t="str">
        <f>IF(ISNUMBER(FIND("overige",Methode_Keuze)),"",IF(Tb_Activiteiten[[#This Row],[Niet verrekenbare btw]]=1,Tb_Activiteiten[[#Headers],[Niet verrekenbare btw]],""))</f>
        <v/>
      </c>
      <c r="AU1426" t="str">
        <f>IF(ISNUMBER(FIND("overige",Methode_Keuze)),"",IF(Tb_Activiteiten[[#This Row],[Grondkosten]]=1,Tb_Activiteiten[[#Headers],[Grondkosten]],""))</f>
        <v/>
      </c>
      <c r="AV1426" t="str">
        <f>IF(ISNUMBER(FIND("overige",Methode_Keuze)),"",IF(Tb_Activiteiten[[#This Row],[Bijdrage in natura (overige)]]=1,Tb_Activiteiten[[#Headers],[Bijdrage in natura (overige)]],""))</f>
        <v/>
      </c>
      <c r="AW1426" t="str">
        <f>IF(ISNUMBER(FIND("overige",Methode_Keuze)),"",IF(Tb_Activiteiten[[#This Row],[Bijdrage in natura (vrijwilligers)]]=1,Tb_Activiteiten[[#Headers],[Bijdrage in natura (vrijwilligers)]],""))</f>
        <v/>
      </c>
      <c r="AX1426" t="str">
        <f>IF(ISNUMBER(FIND("overige",Methode_Keuze)),"",IF(Tb_Activiteiten[[#This Row],[Afschrijvingskosten]]=1,Tb_Activiteiten[[#Headers],[Afschrijvingskosten]],""))</f>
        <v/>
      </c>
      <c r="AY1426" t="str">
        <f>IF(ISNUMBER(FIND("overige",Methode_Keuze)),"",IF(Tb_Activiteiten[[#This Row],[Vergoeding]]=1,Tb_Activiteiten[[#Headers],[Vergoeding]],""))</f>
        <v/>
      </c>
      <c r="AZ1426" t="str">
        <f>IF(ISNUMBER(FIND("arbeid",Methode_Keuze)),"",IF(Tb_Activiteiten[[#This Row],[Arbeidskosten - vast tarief (excl eigen arbeid)]]=1,Tb_Activiteiten[[#Headers],[Arbeidskosten - vast tarief (excl eigen arbeid)]],""))</f>
        <v/>
      </c>
      <c r="BA1426" t="str">
        <f>IF(ISNUMBER(FIND("overige",Methode_Keuze)),"",IF(Tb_Activiteiten[[#This Row],[Overige kosten]]=1,Tb_Activiteiten[[#Headers],[Overige kosten]],""))</f>
        <v/>
      </c>
    </row>
    <row r="1427" spans="15:53" x14ac:dyDescent="0.25">
      <c r="O1427" s="56"/>
      <c r="Q1427" t="str">
        <f>IFERROR(IF(VLOOKUP(Tb_Activiteiten[[#This Row],[Openstelling]],Tb_Openstelling[],2,0)=1,1,""),"")</f>
        <v/>
      </c>
      <c r="AK1427" t="str">
        <f>IF(ISNUMBER(FIND("arbeid",Methode_Keuze)),"",IF(ISNUMBER(FIND("arbeid",Methode_Keuze)),"",IF(Tb_Activiteiten[[#This Row],[Loonkosten]]=1,Tb_Activiteiten[[#Headers],[Loonkosten]],"")))</f>
        <v/>
      </c>
      <c r="AL1427" t="str">
        <f>IF(ISNUMBER(FIND("arbeid",Methode_Keuze)),"",IF(ISNUMBER(FIND("arbeid",Methode_Keuze)),"",IF(Tb_Activiteiten[[#This Row],[Eigen arbeid]]=1,Tb_Activiteiten[[#Headers],[Eigen arbeid]],"")))</f>
        <v/>
      </c>
      <c r="AM1427" t="str">
        <f>IF(ISNUMBER(FIND("arbeid",Methode_Keuze)),"",IF(ISNUMBER(FIND("arbeid",Methode_Keuze)),"",IF(Tb_Activiteiten[[#This Row],[Projectmedewerker]]=1,Tb_Activiteiten[[#Headers],[Projectmedewerker]],"")))</f>
        <v/>
      </c>
      <c r="AN1427" t="str">
        <f>IF(ISNUMBER(FIND("arbeid",Methode_Keuze)),"",IF(ISNUMBER(FIND("arbeid",Methode_Keuze)),"",IF(Tb_Activiteiten[[#This Row],[Landbouwer]]=1,Tb_Activiteiten[[#Headers],[Landbouwer]],"")))</f>
        <v/>
      </c>
      <c r="AO1427" t="str">
        <f>IF(ISNUMBER(FIND("arbeid",Methode_Keuze)),"",IF(ISNUMBER(FIND("arbeid",Methode_Keuze)),"",IF(Tb_Activiteiten[[#This Row],[Adviseur]]=1,Tb_Activiteiten[[#Headers],[Adviseur]],"")))</f>
        <v/>
      </c>
      <c r="AP1427" t="str">
        <f>IF(ISNUMBER(FIND("arbeid",Methode_Keuze)),"",IF(ISNUMBER(FIND("arbeid",Methode_Keuze)),"",IF(Tb_Activiteiten[[#This Row],[Projectleider/Expert]]=1,Tb_Activiteiten[[#Headers],[Projectleider/Expert]],"")))</f>
        <v/>
      </c>
      <c r="AQ1427" t="str">
        <f>IF(ISNUMBER(FIND("arbeid",Methode_Keuze)),"",IF(ISNUMBER(FIND("arbeid",Methode_Keuze)),"",IF(Tb_Activiteiten[[#This Row],[Arbeidskosten]]=1,Tb_Activiteiten[[#Headers],[Arbeidskosten]],"")))</f>
        <v/>
      </c>
      <c r="AR1427" t="str">
        <f>IF(ISNUMBER(FIND("arbeid",Methode_Keuze)),"",IF(ISNUMBER(FIND("arbeid",Methode_Keuze)),"",IF(Tb_Activiteiten[[#This Row],[Arbeidskosten op basis van IKS]]=1,Tb_Activiteiten[[#Headers],[Arbeidskosten op basis van IKS]],"")))</f>
        <v/>
      </c>
      <c r="AS1427" t="str">
        <f>IF(ISNUMBER(FIND("overige",Methode_Keuze)),"",IF(Tb_Activiteiten[[#This Row],[Kosten derden exclusief btw]]=1,Tb_Activiteiten[[#Headers],[Kosten derden exclusief btw]],""))</f>
        <v/>
      </c>
      <c r="AT1427" t="str">
        <f>IF(ISNUMBER(FIND("overige",Methode_Keuze)),"",IF(Tb_Activiteiten[[#This Row],[Niet verrekenbare btw]]=1,Tb_Activiteiten[[#Headers],[Niet verrekenbare btw]],""))</f>
        <v/>
      </c>
      <c r="AU1427" t="str">
        <f>IF(ISNUMBER(FIND("overige",Methode_Keuze)),"",IF(Tb_Activiteiten[[#This Row],[Grondkosten]]=1,Tb_Activiteiten[[#Headers],[Grondkosten]],""))</f>
        <v/>
      </c>
      <c r="AV1427" t="str">
        <f>IF(ISNUMBER(FIND("overige",Methode_Keuze)),"",IF(Tb_Activiteiten[[#This Row],[Bijdrage in natura (overige)]]=1,Tb_Activiteiten[[#Headers],[Bijdrage in natura (overige)]],""))</f>
        <v/>
      </c>
      <c r="AW1427" t="str">
        <f>IF(ISNUMBER(FIND("overige",Methode_Keuze)),"",IF(Tb_Activiteiten[[#This Row],[Bijdrage in natura (vrijwilligers)]]=1,Tb_Activiteiten[[#Headers],[Bijdrage in natura (vrijwilligers)]],""))</f>
        <v/>
      </c>
      <c r="AX1427" t="str">
        <f>IF(ISNUMBER(FIND("overige",Methode_Keuze)),"",IF(Tb_Activiteiten[[#This Row],[Afschrijvingskosten]]=1,Tb_Activiteiten[[#Headers],[Afschrijvingskosten]],""))</f>
        <v/>
      </c>
      <c r="AY1427" t="str">
        <f>IF(ISNUMBER(FIND("overige",Methode_Keuze)),"",IF(Tb_Activiteiten[[#This Row],[Vergoeding]]=1,Tb_Activiteiten[[#Headers],[Vergoeding]],""))</f>
        <v/>
      </c>
      <c r="AZ1427" t="str">
        <f>IF(ISNUMBER(FIND("arbeid",Methode_Keuze)),"",IF(Tb_Activiteiten[[#This Row],[Arbeidskosten - vast tarief (excl eigen arbeid)]]=1,Tb_Activiteiten[[#Headers],[Arbeidskosten - vast tarief (excl eigen arbeid)]],""))</f>
        <v/>
      </c>
      <c r="BA1427" t="str">
        <f>IF(ISNUMBER(FIND("overige",Methode_Keuze)),"",IF(Tb_Activiteiten[[#This Row],[Overige kosten]]=1,Tb_Activiteiten[[#Headers],[Overige kosten]],""))</f>
        <v/>
      </c>
    </row>
    <row r="1428" spans="15:53" x14ac:dyDescent="0.25">
      <c r="O1428" s="56"/>
      <c r="Q1428" t="str">
        <f>IFERROR(IF(VLOOKUP(Tb_Activiteiten[[#This Row],[Openstelling]],Tb_Openstelling[],2,0)=1,1,""),"")</f>
        <v/>
      </c>
      <c r="AK1428" t="str">
        <f>IF(ISNUMBER(FIND("arbeid",Methode_Keuze)),"",IF(ISNUMBER(FIND("arbeid",Methode_Keuze)),"",IF(Tb_Activiteiten[[#This Row],[Loonkosten]]=1,Tb_Activiteiten[[#Headers],[Loonkosten]],"")))</f>
        <v/>
      </c>
      <c r="AL1428" t="str">
        <f>IF(ISNUMBER(FIND("arbeid",Methode_Keuze)),"",IF(ISNUMBER(FIND("arbeid",Methode_Keuze)),"",IF(Tb_Activiteiten[[#This Row],[Eigen arbeid]]=1,Tb_Activiteiten[[#Headers],[Eigen arbeid]],"")))</f>
        <v/>
      </c>
      <c r="AM1428" t="str">
        <f>IF(ISNUMBER(FIND("arbeid",Methode_Keuze)),"",IF(ISNUMBER(FIND("arbeid",Methode_Keuze)),"",IF(Tb_Activiteiten[[#This Row],[Projectmedewerker]]=1,Tb_Activiteiten[[#Headers],[Projectmedewerker]],"")))</f>
        <v/>
      </c>
      <c r="AN1428" t="str">
        <f>IF(ISNUMBER(FIND("arbeid",Methode_Keuze)),"",IF(ISNUMBER(FIND("arbeid",Methode_Keuze)),"",IF(Tb_Activiteiten[[#This Row],[Landbouwer]]=1,Tb_Activiteiten[[#Headers],[Landbouwer]],"")))</f>
        <v/>
      </c>
      <c r="AO1428" t="str">
        <f>IF(ISNUMBER(FIND("arbeid",Methode_Keuze)),"",IF(ISNUMBER(FIND("arbeid",Methode_Keuze)),"",IF(Tb_Activiteiten[[#This Row],[Adviseur]]=1,Tb_Activiteiten[[#Headers],[Adviseur]],"")))</f>
        <v/>
      </c>
      <c r="AP1428" t="str">
        <f>IF(ISNUMBER(FIND("arbeid",Methode_Keuze)),"",IF(ISNUMBER(FIND("arbeid",Methode_Keuze)),"",IF(Tb_Activiteiten[[#This Row],[Projectleider/Expert]]=1,Tb_Activiteiten[[#Headers],[Projectleider/Expert]],"")))</f>
        <v/>
      </c>
      <c r="AQ1428" t="str">
        <f>IF(ISNUMBER(FIND("arbeid",Methode_Keuze)),"",IF(ISNUMBER(FIND("arbeid",Methode_Keuze)),"",IF(Tb_Activiteiten[[#This Row],[Arbeidskosten]]=1,Tb_Activiteiten[[#Headers],[Arbeidskosten]],"")))</f>
        <v/>
      </c>
      <c r="AR1428" t="str">
        <f>IF(ISNUMBER(FIND("arbeid",Methode_Keuze)),"",IF(ISNUMBER(FIND("arbeid",Methode_Keuze)),"",IF(Tb_Activiteiten[[#This Row],[Arbeidskosten op basis van IKS]]=1,Tb_Activiteiten[[#Headers],[Arbeidskosten op basis van IKS]],"")))</f>
        <v/>
      </c>
      <c r="AS1428" t="str">
        <f>IF(ISNUMBER(FIND("overige",Methode_Keuze)),"",IF(Tb_Activiteiten[[#This Row],[Kosten derden exclusief btw]]=1,Tb_Activiteiten[[#Headers],[Kosten derden exclusief btw]],""))</f>
        <v/>
      </c>
      <c r="AT1428" t="str">
        <f>IF(ISNUMBER(FIND("overige",Methode_Keuze)),"",IF(Tb_Activiteiten[[#This Row],[Niet verrekenbare btw]]=1,Tb_Activiteiten[[#Headers],[Niet verrekenbare btw]],""))</f>
        <v/>
      </c>
      <c r="AU1428" t="str">
        <f>IF(ISNUMBER(FIND("overige",Methode_Keuze)),"",IF(Tb_Activiteiten[[#This Row],[Grondkosten]]=1,Tb_Activiteiten[[#Headers],[Grondkosten]],""))</f>
        <v/>
      </c>
      <c r="AV1428" t="str">
        <f>IF(ISNUMBER(FIND("overige",Methode_Keuze)),"",IF(Tb_Activiteiten[[#This Row],[Bijdrage in natura (overige)]]=1,Tb_Activiteiten[[#Headers],[Bijdrage in natura (overige)]],""))</f>
        <v/>
      </c>
      <c r="AW1428" t="str">
        <f>IF(ISNUMBER(FIND("overige",Methode_Keuze)),"",IF(Tb_Activiteiten[[#This Row],[Bijdrage in natura (vrijwilligers)]]=1,Tb_Activiteiten[[#Headers],[Bijdrage in natura (vrijwilligers)]],""))</f>
        <v/>
      </c>
      <c r="AX1428" t="str">
        <f>IF(ISNUMBER(FIND("overige",Methode_Keuze)),"",IF(Tb_Activiteiten[[#This Row],[Afschrijvingskosten]]=1,Tb_Activiteiten[[#Headers],[Afschrijvingskosten]],""))</f>
        <v/>
      </c>
      <c r="AY1428" t="str">
        <f>IF(ISNUMBER(FIND("overige",Methode_Keuze)),"",IF(Tb_Activiteiten[[#This Row],[Vergoeding]]=1,Tb_Activiteiten[[#Headers],[Vergoeding]],""))</f>
        <v/>
      </c>
      <c r="AZ1428" t="str">
        <f>IF(ISNUMBER(FIND("arbeid",Methode_Keuze)),"",IF(Tb_Activiteiten[[#This Row],[Arbeidskosten - vast tarief (excl eigen arbeid)]]=1,Tb_Activiteiten[[#Headers],[Arbeidskosten - vast tarief (excl eigen arbeid)]],""))</f>
        <v/>
      </c>
      <c r="BA1428" t="str">
        <f>IF(ISNUMBER(FIND("overige",Methode_Keuze)),"",IF(Tb_Activiteiten[[#This Row],[Overige kosten]]=1,Tb_Activiteiten[[#Headers],[Overige kosten]],""))</f>
        <v/>
      </c>
    </row>
    <row r="1429" spans="15:53" x14ac:dyDescent="0.25">
      <c r="O1429" s="56"/>
      <c r="Q1429" t="str">
        <f>IFERROR(IF(VLOOKUP(Tb_Activiteiten[[#This Row],[Openstelling]],Tb_Openstelling[],2,0)=1,1,""),"")</f>
        <v/>
      </c>
      <c r="AK1429" t="str">
        <f>IF(ISNUMBER(FIND("arbeid",Methode_Keuze)),"",IF(ISNUMBER(FIND("arbeid",Methode_Keuze)),"",IF(Tb_Activiteiten[[#This Row],[Loonkosten]]=1,Tb_Activiteiten[[#Headers],[Loonkosten]],"")))</f>
        <v/>
      </c>
      <c r="AL1429" t="str">
        <f>IF(ISNUMBER(FIND("arbeid",Methode_Keuze)),"",IF(ISNUMBER(FIND("arbeid",Methode_Keuze)),"",IF(Tb_Activiteiten[[#This Row],[Eigen arbeid]]=1,Tb_Activiteiten[[#Headers],[Eigen arbeid]],"")))</f>
        <v/>
      </c>
      <c r="AM1429" t="str">
        <f>IF(ISNUMBER(FIND("arbeid",Methode_Keuze)),"",IF(ISNUMBER(FIND("arbeid",Methode_Keuze)),"",IF(Tb_Activiteiten[[#This Row],[Projectmedewerker]]=1,Tb_Activiteiten[[#Headers],[Projectmedewerker]],"")))</f>
        <v/>
      </c>
      <c r="AN1429" t="str">
        <f>IF(ISNUMBER(FIND("arbeid",Methode_Keuze)),"",IF(ISNUMBER(FIND("arbeid",Methode_Keuze)),"",IF(Tb_Activiteiten[[#This Row],[Landbouwer]]=1,Tb_Activiteiten[[#Headers],[Landbouwer]],"")))</f>
        <v/>
      </c>
      <c r="AO1429" t="str">
        <f>IF(ISNUMBER(FIND("arbeid",Methode_Keuze)),"",IF(ISNUMBER(FIND("arbeid",Methode_Keuze)),"",IF(Tb_Activiteiten[[#This Row],[Adviseur]]=1,Tb_Activiteiten[[#Headers],[Adviseur]],"")))</f>
        <v/>
      </c>
      <c r="AP1429" t="str">
        <f>IF(ISNUMBER(FIND("arbeid",Methode_Keuze)),"",IF(ISNUMBER(FIND("arbeid",Methode_Keuze)),"",IF(Tb_Activiteiten[[#This Row],[Projectleider/Expert]]=1,Tb_Activiteiten[[#Headers],[Projectleider/Expert]],"")))</f>
        <v/>
      </c>
      <c r="AQ1429" t="str">
        <f>IF(ISNUMBER(FIND("arbeid",Methode_Keuze)),"",IF(ISNUMBER(FIND("arbeid",Methode_Keuze)),"",IF(Tb_Activiteiten[[#This Row],[Arbeidskosten]]=1,Tb_Activiteiten[[#Headers],[Arbeidskosten]],"")))</f>
        <v/>
      </c>
      <c r="AR1429" t="str">
        <f>IF(ISNUMBER(FIND("arbeid",Methode_Keuze)),"",IF(ISNUMBER(FIND("arbeid",Methode_Keuze)),"",IF(Tb_Activiteiten[[#This Row],[Arbeidskosten op basis van IKS]]=1,Tb_Activiteiten[[#Headers],[Arbeidskosten op basis van IKS]],"")))</f>
        <v/>
      </c>
      <c r="AS1429" t="str">
        <f>IF(ISNUMBER(FIND("overige",Methode_Keuze)),"",IF(Tb_Activiteiten[[#This Row],[Kosten derden exclusief btw]]=1,Tb_Activiteiten[[#Headers],[Kosten derden exclusief btw]],""))</f>
        <v/>
      </c>
      <c r="AT1429" t="str">
        <f>IF(ISNUMBER(FIND("overige",Methode_Keuze)),"",IF(Tb_Activiteiten[[#This Row],[Niet verrekenbare btw]]=1,Tb_Activiteiten[[#Headers],[Niet verrekenbare btw]],""))</f>
        <v/>
      </c>
      <c r="AU1429" t="str">
        <f>IF(ISNUMBER(FIND("overige",Methode_Keuze)),"",IF(Tb_Activiteiten[[#This Row],[Grondkosten]]=1,Tb_Activiteiten[[#Headers],[Grondkosten]],""))</f>
        <v/>
      </c>
      <c r="AV1429" t="str">
        <f>IF(ISNUMBER(FIND("overige",Methode_Keuze)),"",IF(Tb_Activiteiten[[#This Row],[Bijdrage in natura (overige)]]=1,Tb_Activiteiten[[#Headers],[Bijdrage in natura (overige)]],""))</f>
        <v/>
      </c>
      <c r="AW1429" t="str">
        <f>IF(ISNUMBER(FIND("overige",Methode_Keuze)),"",IF(Tb_Activiteiten[[#This Row],[Bijdrage in natura (vrijwilligers)]]=1,Tb_Activiteiten[[#Headers],[Bijdrage in natura (vrijwilligers)]],""))</f>
        <v/>
      </c>
      <c r="AX1429" t="str">
        <f>IF(ISNUMBER(FIND("overige",Methode_Keuze)),"",IF(Tb_Activiteiten[[#This Row],[Afschrijvingskosten]]=1,Tb_Activiteiten[[#Headers],[Afschrijvingskosten]],""))</f>
        <v/>
      </c>
      <c r="AY1429" t="str">
        <f>IF(ISNUMBER(FIND("overige",Methode_Keuze)),"",IF(Tb_Activiteiten[[#This Row],[Vergoeding]]=1,Tb_Activiteiten[[#Headers],[Vergoeding]],""))</f>
        <v/>
      </c>
      <c r="AZ1429" t="str">
        <f>IF(ISNUMBER(FIND("arbeid",Methode_Keuze)),"",IF(Tb_Activiteiten[[#This Row],[Arbeidskosten - vast tarief (excl eigen arbeid)]]=1,Tb_Activiteiten[[#Headers],[Arbeidskosten - vast tarief (excl eigen arbeid)]],""))</f>
        <v/>
      </c>
      <c r="BA1429" t="str">
        <f>IF(ISNUMBER(FIND("overige",Methode_Keuze)),"",IF(Tb_Activiteiten[[#This Row],[Overige kosten]]=1,Tb_Activiteiten[[#Headers],[Overige kosten]],""))</f>
        <v/>
      </c>
    </row>
    <row r="1430" spans="15:53" x14ac:dyDescent="0.25">
      <c r="O1430" s="56"/>
      <c r="Q1430" t="str">
        <f>IFERROR(IF(VLOOKUP(Tb_Activiteiten[[#This Row],[Openstelling]],Tb_Openstelling[],2,0)=1,1,""),"")</f>
        <v/>
      </c>
      <c r="AK1430" t="str">
        <f>IF(ISNUMBER(FIND("arbeid",Methode_Keuze)),"",IF(ISNUMBER(FIND("arbeid",Methode_Keuze)),"",IF(Tb_Activiteiten[[#This Row],[Loonkosten]]=1,Tb_Activiteiten[[#Headers],[Loonkosten]],"")))</f>
        <v/>
      </c>
      <c r="AL1430" t="str">
        <f>IF(ISNUMBER(FIND("arbeid",Methode_Keuze)),"",IF(ISNUMBER(FIND("arbeid",Methode_Keuze)),"",IF(Tb_Activiteiten[[#This Row],[Eigen arbeid]]=1,Tb_Activiteiten[[#Headers],[Eigen arbeid]],"")))</f>
        <v/>
      </c>
      <c r="AM1430" t="str">
        <f>IF(ISNUMBER(FIND("arbeid",Methode_Keuze)),"",IF(ISNUMBER(FIND("arbeid",Methode_Keuze)),"",IF(Tb_Activiteiten[[#This Row],[Projectmedewerker]]=1,Tb_Activiteiten[[#Headers],[Projectmedewerker]],"")))</f>
        <v/>
      </c>
      <c r="AN1430" t="str">
        <f>IF(ISNUMBER(FIND("arbeid",Methode_Keuze)),"",IF(ISNUMBER(FIND("arbeid",Methode_Keuze)),"",IF(Tb_Activiteiten[[#This Row],[Landbouwer]]=1,Tb_Activiteiten[[#Headers],[Landbouwer]],"")))</f>
        <v/>
      </c>
      <c r="AO1430" t="str">
        <f>IF(ISNUMBER(FIND("arbeid",Methode_Keuze)),"",IF(ISNUMBER(FIND("arbeid",Methode_Keuze)),"",IF(Tb_Activiteiten[[#This Row],[Adviseur]]=1,Tb_Activiteiten[[#Headers],[Adviseur]],"")))</f>
        <v/>
      </c>
      <c r="AP1430" t="str">
        <f>IF(ISNUMBER(FIND("arbeid",Methode_Keuze)),"",IF(ISNUMBER(FIND("arbeid",Methode_Keuze)),"",IF(Tb_Activiteiten[[#This Row],[Projectleider/Expert]]=1,Tb_Activiteiten[[#Headers],[Projectleider/Expert]],"")))</f>
        <v/>
      </c>
      <c r="AQ1430" t="str">
        <f>IF(ISNUMBER(FIND("arbeid",Methode_Keuze)),"",IF(ISNUMBER(FIND("arbeid",Methode_Keuze)),"",IF(Tb_Activiteiten[[#This Row],[Arbeidskosten]]=1,Tb_Activiteiten[[#Headers],[Arbeidskosten]],"")))</f>
        <v/>
      </c>
      <c r="AR1430" t="str">
        <f>IF(ISNUMBER(FIND("arbeid",Methode_Keuze)),"",IF(ISNUMBER(FIND("arbeid",Methode_Keuze)),"",IF(Tb_Activiteiten[[#This Row],[Arbeidskosten op basis van IKS]]=1,Tb_Activiteiten[[#Headers],[Arbeidskosten op basis van IKS]],"")))</f>
        <v/>
      </c>
      <c r="AS1430" t="str">
        <f>IF(ISNUMBER(FIND("overige",Methode_Keuze)),"",IF(Tb_Activiteiten[[#This Row],[Kosten derden exclusief btw]]=1,Tb_Activiteiten[[#Headers],[Kosten derden exclusief btw]],""))</f>
        <v/>
      </c>
      <c r="AT1430" t="str">
        <f>IF(ISNUMBER(FIND("overige",Methode_Keuze)),"",IF(Tb_Activiteiten[[#This Row],[Niet verrekenbare btw]]=1,Tb_Activiteiten[[#Headers],[Niet verrekenbare btw]],""))</f>
        <v/>
      </c>
      <c r="AU1430" t="str">
        <f>IF(ISNUMBER(FIND("overige",Methode_Keuze)),"",IF(Tb_Activiteiten[[#This Row],[Grondkosten]]=1,Tb_Activiteiten[[#Headers],[Grondkosten]],""))</f>
        <v/>
      </c>
      <c r="AV1430" t="str">
        <f>IF(ISNUMBER(FIND("overige",Methode_Keuze)),"",IF(Tb_Activiteiten[[#This Row],[Bijdrage in natura (overige)]]=1,Tb_Activiteiten[[#Headers],[Bijdrage in natura (overige)]],""))</f>
        <v/>
      </c>
      <c r="AW1430" t="str">
        <f>IF(ISNUMBER(FIND("overige",Methode_Keuze)),"",IF(Tb_Activiteiten[[#This Row],[Bijdrage in natura (vrijwilligers)]]=1,Tb_Activiteiten[[#Headers],[Bijdrage in natura (vrijwilligers)]],""))</f>
        <v/>
      </c>
      <c r="AX1430" t="str">
        <f>IF(ISNUMBER(FIND("overige",Methode_Keuze)),"",IF(Tb_Activiteiten[[#This Row],[Afschrijvingskosten]]=1,Tb_Activiteiten[[#Headers],[Afschrijvingskosten]],""))</f>
        <v/>
      </c>
      <c r="AY1430" t="str">
        <f>IF(ISNUMBER(FIND("overige",Methode_Keuze)),"",IF(Tb_Activiteiten[[#This Row],[Vergoeding]]=1,Tb_Activiteiten[[#Headers],[Vergoeding]],""))</f>
        <v/>
      </c>
      <c r="AZ1430" t="str">
        <f>IF(ISNUMBER(FIND("arbeid",Methode_Keuze)),"",IF(Tb_Activiteiten[[#This Row],[Arbeidskosten - vast tarief (excl eigen arbeid)]]=1,Tb_Activiteiten[[#Headers],[Arbeidskosten - vast tarief (excl eigen arbeid)]],""))</f>
        <v/>
      </c>
      <c r="BA1430" t="str">
        <f>IF(ISNUMBER(FIND("overige",Methode_Keuze)),"",IF(Tb_Activiteiten[[#This Row],[Overige kosten]]=1,Tb_Activiteiten[[#Headers],[Overige kosten]],""))</f>
        <v/>
      </c>
    </row>
    <row r="1431" spans="15:53" x14ac:dyDescent="0.25">
      <c r="O1431" s="56"/>
      <c r="Q1431" t="str">
        <f>IFERROR(IF(VLOOKUP(Tb_Activiteiten[[#This Row],[Openstelling]],Tb_Openstelling[],2,0)=1,1,""),"")</f>
        <v/>
      </c>
      <c r="AK1431" t="str">
        <f>IF(ISNUMBER(FIND("arbeid",Methode_Keuze)),"",IF(ISNUMBER(FIND("arbeid",Methode_Keuze)),"",IF(Tb_Activiteiten[[#This Row],[Loonkosten]]=1,Tb_Activiteiten[[#Headers],[Loonkosten]],"")))</f>
        <v/>
      </c>
      <c r="AL1431" t="str">
        <f>IF(ISNUMBER(FIND("arbeid",Methode_Keuze)),"",IF(ISNUMBER(FIND("arbeid",Methode_Keuze)),"",IF(Tb_Activiteiten[[#This Row],[Eigen arbeid]]=1,Tb_Activiteiten[[#Headers],[Eigen arbeid]],"")))</f>
        <v/>
      </c>
      <c r="AM1431" t="str">
        <f>IF(ISNUMBER(FIND("arbeid",Methode_Keuze)),"",IF(ISNUMBER(FIND("arbeid",Methode_Keuze)),"",IF(Tb_Activiteiten[[#This Row],[Projectmedewerker]]=1,Tb_Activiteiten[[#Headers],[Projectmedewerker]],"")))</f>
        <v/>
      </c>
      <c r="AN1431" t="str">
        <f>IF(ISNUMBER(FIND("arbeid",Methode_Keuze)),"",IF(ISNUMBER(FIND("arbeid",Methode_Keuze)),"",IF(Tb_Activiteiten[[#This Row],[Landbouwer]]=1,Tb_Activiteiten[[#Headers],[Landbouwer]],"")))</f>
        <v/>
      </c>
      <c r="AO1431" t="str">
        <f>IF(ISNUMBER(FIND("arbeid",Methode_Keuze)),"",IF(ISNUMBER(FIND("arbeid",Methode_Keuze)),"",IF(Tb_Activiteiten[[#This Row],[Adviseur]]=1,Tb_Activiteiten[[#Headers],[Adviseur]],"")))</f>
        <v/>
      </c>
      <c r="AP1431" t="str">
        <f>IF(ISNUMBER(FIND("arbeid",Methode_Keuze)),"",IF(ISNUMBER(FIND("arbeid",Methode_Keuze)),"",IF(Tb_Activiteiten[[#This Row],[Projectleider/Expert]]=1,Tb_Activiteiten[[#Headers],[Projectleider/Expert]],"")))</f>
        <v/>
      </c>
      <c r="AQ1431" t="str">
        <f>IF(ISNUMBER(FIND("arbeid",Methode_Keuze)),"",IF(ISNUMBER(FIND("arbeid",Methode_Keuze)),"",IF(Tb_Activiteiten[[#This Row],[Arbeidskosten]]=1,Tb_Activiteiten[[#Headers],[Arbeidskosten]],"")))</f>
        <v/>
      </c>
      <c r="AR1431" t="str">
        <f>IF(ISNUMBER(FIND("arbeid",Methode_Keuze)),"",IF(ISNUMBER(FIND("arbeid",Methode_Keuze)),"",IF(Tb_Activiteiten[[#This Row],[Arbeidskosten op basis van IKS]]=1,Tb_Activiteiten[[#Headers],[Arbeidskosten op basis van IKS]],"")))</f>
        <v/>
      </c>
      <c r="AS1431" t="str">
        <f>IF(ISNUMBER(FIND("overige",Methode_Keuze)),"",IF(Tb_Activiteiten[[#This Row],[Kosten derden exclusief btw]]=1,Tb_Activiteiten[[#Headers],[Kosten derden exclusief btw]],""))</f>
        <v/>
      </c>
      <c r="AT1431" t="str">
        <f>IF(ISNUMBER(FIND("overige",Methode_Keuze)),"",IF(Tb_Activiteiten[[#This Row],[Niet verrekenbare btw]]=1,Tb_Activiteiten[[#Headers],[Niet verrekenbare btw]],""))</f>
        <v/>
      </c>
      <c r="AU1431" t="str">
        <f>IF(ISNUMBER(FIND("overige",Methode_Keuze)),"",IF(Tb_Activiteiten[[#This Row],[Grondkosten]]=1,Tb_Activiteiten[[#Headers],[Grondkosten]],""))</f>
        <v/>
      </c>
      <c r="AV1431" t="str">
        <f>IF(ISNUMBER(FIND("overige",Methode_Keuze)),"",IF(Tb_Activiteiten[[#This Row],[Bijdrage in natura (overige)]]=1,Tb_Activiteiten[[#Headers],[Bijdrage in natura (overige)]],""))</f>
        <v/>
      </c>
      <c r="AW1431" t="str">
        <f>IF(ISNUMBER(FIND("overige",Methode_Keuze)),"",IF(Tb_Activiteiten[[#This Row],[Bijdrage in natura (vrijwilligers)]]=1,Tb_Activiteiten[[#Headers],[Bijdrage in natura (vrijwilligers)]],""))</f>
        <v/>
      </c>
      <c r="AX1431" t="str">
        <f>IF(ISNUMBER(FIND("overige",Methode_Keuze)),"",IF(Tb_Activiteiten[[#This Row],[Afschrijvingskosten]]=1,Tb_Activiteiten[[#Headers],[Afschrijvingskosten]],""))</f>
        <v/>
      </c>
      <c r="AY1431" t="str">
        <f>IF(ISNUMBER(FIND("overige",Methode_Keuze)),"",IF(Tb_Activiteiten[[#This Row],[Vergoeding]]=1,Tb_Activiteiten[[#Headers],[Vergoeding]],""))</f>
        <v/>
      </c>
      <c r="AZ1431" t="str">
        <f>IF(ISNUMBER(FIND("arbeid",Methode_Keuze)),"",IF(Tb_Activiteiten[[#This Row],[Arbeidskosten - vast tarief (excl eigen arbeid)]]=1,Tb_Activiteiten[[#Headers],[Arbeidskosten - vast tarief (excl eigen arbeid)]],""))</f>
        <v/>
      </c>
      <c r="BA1431" t="str">
        <f>IF(ISNUMBER(FIND("overige",Methode_Keuze)),"",IF(Tb_Activiteiten[[#This Row],[Overige kosten]]=1,Tb_Activiteiten[[#Headers],[Overige kosten]],""))</f>
        <v/>
      </c>
    </row>
    <row r="1432" spans="15:53" x14ac:dyDescent="0.25">
      <c r="O1432" s="56"/>
      <c r="Q1432" t="str">
        <f>IFERROR(IF(VLOOKUP(Tb_Activiteiten[[#This Row],[Openstelling]],Tb_Openstelling[],2,0)=1,1,""),"")</f>
        <v/>
      </c>
      <c r="AK1432" t="str">
        <f>IF(ISNUMBER(FIND("arbeid",Methode_Keuze)),"",IF(ISNUMBER(FIND("arbeid",Methode_Keuze)),"",IF(Tb_Activiteiten[[#This Row],[Loonkosten]]=1,Tb_Activiteiten[[#Headers],[Loonkosten]],"")))</f>
        <v/>
      </c>
      <c r="AL1432" t="str">
        <f>IF(ISNUMBER(FIND("arbeid",Methode_Keuze)),"",IF(ISNUMBER(FIND("arbeid",Methode_Keuze)),"",IF(Tb_Activiteiten[[#This Row],[Eigen arbeid]]=1,Tb_Activiteiten[[#Headers],[Eigen arbeid]],"")))</f>
        <v/>
      </c>
      <c r="AM1432" t="str">
        <f>IF(ISNUMBER(FIND("arbeid",Methode_Keuze)),"",IF(ISNUMBER(FIND("arbeid",Methode_Keuze)),"",IF(Tb_Activiteiten[[#This Row],[Projectmedewerker]]=1,Tb_Activiteiten[[#Headers],[Projectmedewerker]],"")))</f>
        <v/>
      </c>
      <c r="AN1432" t="str">
        <f>IF(ISNUMBER(FIND("arbeid",Methode_Keuze)),"",IF(ISNUMBER(FIND("arbeid",Methode_Keuze)),"",IF(Tb_Activiteiten[[#This Row],[Landbouwer]]=1,Tb_Activiteiten[[#Headers],[Landbouwer]],"")))</f>
        <v/>
      </c>
      <c r="AO1432" t="str">
        <f>IF(ISNUMBER(FIND("arbeid",Methode_Keuze)),"",IF(ISNUMBER(FIND("arbeid",Methode_Keuze)),"",IF(Tb_Activiteiten[[#This Row],[Adviseur]]=1,Tb_Activiteiten[[#Headers],[Adviseur]],"")))</f>
        <v/>
      </c>
      <c r="AP1432" t="str">
        <f>IF(ISNUMBER(FIND("arbeid",Methode_Keuze)),"",IF(ISNUMBER(FIND("arbeid",Methode_Keuze)),"",IF(Tb_Activiteiten[[#This Row],[Projectleider/Expert]]=1,Tb_Activiteiten[[#Headers],[Projectleider/Expert]],"")))</f>
        <v/>
      </c>
      <c r="AQ1432" t="str">
        <f>IF(ISNUMBER(FIND("arbeid",Methode_Keuze)),"",IF(ISNUMBER(FIND("arbeid",Methode_Keuze)),"",IF(Tb_Activiteiten[[#This Row],[Arbeidskosten]]=1,Tb_Activiteiten[[#Headers],[Arbeidskosten]],"")))</f>
        <v/>
      </c>
      <c r="AR1432" t="str">
        <f>IF(ISNUMBER(FIND("arbeid",Methode_Keuze)),"",IF(ISNUMBER(FIND("arbeid",Methode_Keuze)),"",IF(Tb_Activiteiten[[#This Row],[Arbeidskosten op basis van IKS]]=1,Tb_Activiteiten[[#Headers],[Arbeidskosten op basis van IKS]],"")))</f>
        <v/>
      </c>
      <c r="AS1432" t="str">
        <f>IF(ISNUMBER(FIND("overige",Methode_Keuze)),"",IF(Tb_Activiteiten[[#This Row],[Kosten derden exclusief btw]]=1,Tb_Activiteiten[[#Headers],[Kosten derden exclusief btw]],""))</f>
        <v/>
      </c>
      <c r="AT1432" t="str">
        <f>IF(ISNUMBER(FIND("overige",Methode_Keuze)),"",IF(Tb_Activiteiten[[#This Row],[Niet verrekenbare btw]]=1,Tb_Activiteiten[[#Headers],[Niet verrekenbare btw]],""))</f>
        <v/>
      </c>
      <c r="AU1432" t="str">
        <f>IF(ISNUMBER(FIND("overige",Methode_Keuze)),"",IF(Tb_Activiteiten[[#This Row],[Grondkosten]]=1,Tb_Activiteiten[[#Headers],[Grondkosten]],""))</f>
        <v/>
      </c>
      <c r="AV1432" t="str">
        <f>IF(ISNUMBER(FIND("overige",Methode_Keuze)),"",IF(Tb_Activiteiten[[#This Row],[Bijdrage in natura (overige)]]=1,Tb_Activiteiten[[#Headers],[Bijdrage in natura (overige)]],""))</f>
        <v/>
      </c>
      <c r="AW1432" t="str">
        <f>IF(ISNUMBER(FIND("overige",Methode_Keuze)),"",IF(Tb_Activiteiten[[#This Row],[Bijdrage in natura (vrijwilligers)]]=1,Tb_Activiteiten[[#Headers],[Bijdrage in natura (vrijwilligers)]],""))</f>
        <v/>
      </c>
      <c r="AX1432" t="str">
        <f>IF(ISNUMBER(FIND("overige",Methode_Keuze)),"",IF(Tb_Activiteiten[[#This Row],[Afschrijvingskosten]]=1,Tb_Activiteiten[[#Headers],[Afschrijvingskosten]],""))</f>
        <v/>
      </c>
      <c r="AY1432" t="str">
        <f>IF(ISNUMBER(FIND("overige",Methode_Keuze)),"",IF(Tb_Activiteiten[[#This Row],[Vergoeding]]=1,Tb_Activiteiten[[#Headers],[Vergoeding]],""))</f>
        <v/>
      </c>
      <c r="AZ1432" t="str">
        <f>IF(ISNUMBER(FIND("arbeid",Methode_Keuze)),"",IF(Tb_Activiteiten[[#This Row],[Arbeidskosten - vast tarief (excl eigen arbeid)]]=1,Tb_Activiteiten[[#Headers],[Arbeidskosten - vast tarief (excl eigen arbeid)]],""))</f>
        <v/>
      </c>
      <c r="BA1432" t="str">
        <f>IF(ISNUMBER(FIND("overige",Methode_Keuze)),"",IF(Tb_Activiteiten[[#This Row],[Overige kosten]]=1,Tb_Activiteiten[[#Headers],[Overige kosten]],""))</f>
        <v/>
      </c>
    </row>
    <row r="1433" spans="15:53" x14ac:dyDescent="0.25">
      <c r="O1433" s="56"/>
      <c r="Q1433" t="str">
        <f>IFERROR(IF(VLOOKUP(Tb_Activiteiten[[#This Row],[Openstelling]],Tb_Openstelling[],2,0)=1,1,""),"")</f>
        <v/>
      </c>
      <c r="AK1433" t="str">
        <f>IF(ISNUMBER(FIND("arbeid",Methode_Keuze)),"",IF(ISNUMBER(FIND("arbeid",Methode_Keuze)),"",IF(Tb_Activiteiten[[#This Row],[Loonkosten]]=1,Tb_Activiteiten[[#Headers],[Loonkosten]],"")))</f>
        <v/>
      </c>
      <c r="AL1433" t="str">
        <f>IF(ISNUMBER(FIND("arbeid",Methode_Keuze)),"",IF(ISNUMBER(FIND("arbeid",Methode_Keuze)),"",IF(Tb_Activiteiten[[#This Row],[Eigen arbeid]]=1,Tb_Activiteiten[[#Headers],[Eigen arbeid]],"")))</f>
        <v/>
      </c>
      <c r="AM1433" t="str">
        <f>IF(ISNUMBER(FIND("arbeid",Methode_Keuze)),"",IF(ISNUMBER(FIND("arbeid",Methode_Keuze)),"",IF(Tb_Activiteiten[[#This Row],[Projectmedewerker]]=1,Tb_Activiteiten[[#Headers],[Projectmedewerker]],"")))</f>
        <v/>
      </c>
      <c r="AN1433" t="str">
        <f>IF(ISNUMBER(FIND("arbeid",Methode_Keuze)),"",IF(ISNUMBER(FIND("arbeid",Methode_Keuze)),"",IF(Tb_Activiteiten[[#This Row],[Landbouwer]]=1,Tb_Activiteiten[[#Headers],[Landbouwer]],"")))</f>
        <v/>
      </c>
      <c r="AO1433" t="str">
        <f>IF(ISNUMBER(FIND("arbeid",Methode_Keuze)),"",IF(ISNUMBER(FIND("arbeid",Methode_Keuze)),"",IF(Tb_Activiteiten[[#This Row],[Adviseur]]=1,Tb_Activiteiten[[#Headers],[Adviseur]],"")))</f>
        <v/>
      </c>
      <c r="AP1433" t="str">
        <f>IF(ISNUMBER(FIND("arbeid",Methode_Keuze)),"",IF(ISNUMBER(FIND("arbeid",Methode_Keuze)),"",IF(Tb_Activiteiten[[#This Row],[Projectleider/Expert]]=1,Tb_Activiteiten[[#Headers],[Projectleider/Expert]],"")))</f>
        <v/>
      </c>
      <c r="AQ1433" t="str">
        <f>IF(ISNUMBER(FIND("arbeid",Methode_Keuze)),"",IF(ISNUMBER(FIND("arbeid",Methode_Keuze)),"",IF(Tb_Activiteiten[[#This Row],[Arbeidskosten]]=1,Tb_Activiteiten[[#Headers],[Arbeidskosten]],"")))</f>
        <v/>
      </c>
      <c r="AR1433" t="str">
        <f>IF(ISNUMBER(FIND("arbeid",Methode_Keuze)),"",IF(ISNUMBER(FIND("arbeid",Methode_Keuze)),"",IF(Tb_Activiteiten[[#This Row],[Arbeidskosten op basis van IKS]]=1,Tb_Activiteiten[[#Headers],[Arbeidskosten op basis van IKS]],"")))</f>
        <v/>
      </c>
      <c r="AS1433" t="str">
        <f>IF(ISNUMBER(FIND("overige",Methode_Keuze)),"",IF(Tb_Activiteiten[[#This Row],[Kosten derden exclusief btw]]=1,Tb_Activiteiten[[#Headers],[Kosten derden exclusief btw]],""))</f>
        <v/>
      </c>
      <c r="AT1433" t="str">
        <f>IF(ISNUMBER(FIND("overige",Methode_Keuze)),"",IF(Tb_Activiteiten[[#This Row],[Niet verrekenbare btw]]=1,Tb_Activiteiten[[#Headers],[Niet verrekenbare btw]],""))</f>
        <v/>
      </c>
      <c r="AU1433" t="str">
        <f>IF(ISNUMBER(FIND("overige",Methode_Keuze)),"",IF(Tb_Activiteiten[[#This Row],[Grondkosten]]=1,Tb_Activiteiten[[#Headers],[Grondkosten]],""))</f>
        <v/>
      </c>
      <c r="AV1433" t="str">
        <f>IF(ISNUMBER(FIND("overige",Methode_Keuze)),"",IF(Tb_Activiteiten[[#This Row],[Bijdrage in natura (overige)]]=1,Tb_Activiteiten[[#Headers],[Bijdrage in natura (overige)]],""))</f>
        <v/>
      </c>
      <c r="AW1433" t="str">
        <f>IF(ISNUMBER(FIND("overige",Methode_Keuze)),"",IF(Tb_Activiteiten[[#This Row],[Bijdrage in natura (vrijwilligers)]]=1,Tb_Activiteiten[[#Headers],[Bijdrage in natura (vrijwilligers)]],""))</f>
        <v/>
      </c>
      <c r="AX1433" t="str">
        <f>IF(ISNUMBER(FIND("overige",Methode_Keuze)),"",IF(Tb_Activiteiten[[#This Row],[Afschrijvingskosten]]=1,Tb_Activiteiten[[#Headers],[Afschrijvingskosten]],""))</f>
        <v/>
      </c>
      <c r="AY1433" t="str">
        <f>IF(ISNUMBER(FIND("overige",Methode_Keuze)),"",IF(Tb_Activiteiten[[#This Row],[Vergoeding]]=1,Tb_Activiteiten[[#Headers],[Vergoeding]],""))</f>
        <v/>
      </c>
      <c r="AZ1433" t="str">
        <f>IF(ISNUMBER(FIND("arbeid",Methode_Keuze)),"",IF(Tb_Activiteiten[[#This Row],[Arbeidskosten - vast tarief (excl eigen arbeid)]]=1,Tb_Activiteiten[[#Headers],[Arbeidskosten - vast tarief (excl eigen arbeid)]],""))</f>
        <v/>
      </c>
      <c r="BA1433" t="str">
        <f>IF(ISNUMBER(FIND("overige",Methode_Keuze)),"",IF(Tb_Activiteiten[[#This Row],[Overige kosten]]=1,Tb_Activiteiten[[#Headers],[Overige kosten]],""))</f>
        <v/>
      </c>
    </row>
    <row r="1434" spans="15:53" x14ac:dyDescent="0.25">
      <c r="O1434" s="56"/>
      <c r="Q1434" t="str">
        <f>IFERROR(IF(VLOOKUP(Tb_Activiteiten[[#This Row],[Openstelling]],Tb_Openstelling[],2,0)=1,1,""),"")</f>
        <v/>
      </c>
      <c r="AK1434" t="str">
        <f>IF(ISNUMBER(FIND("arbeid",Methode_Keuze)),"",IF(ISNUMBER(FIND("arbeid",Methode_Keuze)),"",IF(Tb_Activiteiten[[#This Row],[Loonkosten]]=1,Tb_Activiteiten[[#Headers],[Loonkosten]],"")))</f>
        <v/>
      </c>
      <c r="AL1434" t="str">
        <f>IF(ISNUMBER(FIND("arbeid",Methode_Keuze)),"",IF(ISNUMBER(FIND("arbeid",Methode_Keuze)),"",IF(Tb_Activiteiten[[#This Row],[Eigen arbeid]]=1,Tb_Activiteiten[[#Headers],[Eigen arbeid]],"")))</f>
        <v/>
      </c>
      <c r="AM1434" t="str">
        <f>IF(ISNUMBER(FIND("arbeid",Methode_Keuze)),"",IF(ISNUMBER(FIND("arbeid",Methode_Keuze)),"",IF(Tb_Activiteiten[[#This Row],[Projectmedewerker]]=1,Tb_Activiteiten[[#Headers],[Projectmedewerker]],"")))</f>
        <v/>
      </c>
      <c r="AN1434" t="str">
        <f>IF(ISNUMBER(FIND("arbeid",Methode_Keuze)),"",IF(ISNUMBER(FIND("arbeid",Methode_Keuze)),"",IF(Tb_Activiteiten[[#This Row],[Landbouwer]]=1,Tb_Activiteiten[[#Headers],[Landbouwer]],"")))</f>
        <v/>
      </c>
      <c r="AO1434" t="str">
        <f>IF(ISNUMBER(FIND("arbeid",Methode_Keuze)),"",IF(ISNUMBER(FIND("arbeid",Methode_Keuze)),"",IF(Tb_Activiteiten[[#This Row],[Adviseur]]=1,Tb_Activiteiten[[#Headers],[Adviseur]],"")))</f>
        <v/>
      </c>
      <c r="AP1434" t="str">
        <f>IF(ISNUMBER(FIND("arbeid",Methode_Keuze)),"",IF(ISNUMBER(FIND("arbeid",Methode_Keuze)),"",IF(Tb_Activiteiten[[#This Row],[Projectleider/Expert]]=1,Tb_Activiteiten[[#Headers],[Projectleider/Expert]],"")))</f>
        <v/>
      </c>
      <c r="AQ1434" t="str">
        <f>IF(ISNUMBER(FIND("arbeid",Methode_Keuze)),"",IF(ISNUMBER(FIND("arbeid",Methode_Keuze)),"",IF(Tb_Activiteiten[[#This Row],[Arbeidskosten]]=1,Tb_Activiteiten[[#Headers],[Arbeidskosten]],"")))</f>
        <v/>
      </c>
      <c r="AR1434" t="str">
        <f>IF(ISNUMBER(FIND("arbeid",Methode_Keuze)),"",IF(ISNUMBER(FIND("arbeid",Methode_Keuze)),"",IF(Tb_Activiteiten[[#This Row],[Arbeidskosten op basis van IKS]]=1,Tb_Activiteiten[[#Headers],[Arbeidskosten op basis van IKS]],"")))</f>
        <v/>
      </c>
      <c r="AS1434" t="str">
        <f>IF(ISNUMBER(FIND("overige",Methode_Keuze)),"",IF(Tb_Activiteiten[[#This Row],[Kosten derden exclusief btw]]=1,Tb_Activiteiten[[#Headers],[Kosten derden exclusief btw]],""))</f>
        <v/>
      </c>
      <c r="AT1434" t="str">
        <f>IF(ISNUMBER(FIND("overige",Methode_Keuze)),"",IF(Tb_Activiteiten[[#This Row],[Niet verrekenbare btw]]=1,Tb_Activiteiten[[#Headers],[Niet verrekenbare btw]],""))</f>
        <v/>
      </c>
      <c r="AU1434" t="str">
        <f>IF(ISNUMBER(FIND("overige",Methode_Keuze)),"",IF(Tb_Activiteiten[[#This Row],[Grondkosten]]=1,Tb_Activiteiten[[#Headers],[Grondkosten]],""))</f>
        <v/>
      </c>
      <c r="AV1434" t="str">
        <f>IF(ISNUMBER(FIND("overige",Methode_Keuze)),"",IF(Tb_Activiteiten[[#This Row],[Bijdrage in natura (overige)]]=1,Tb_Activiteiten[[#Headers],[Bijdrage in natura (overige)]],""))</f>
        <v/>
      </c>
      <c r="AW1434" t="str">
        <f>IF(ISNUMBER(FIND("overige",Methode_Keuze)),"",IF(Tb_Activiteiten[[#This Row],[Bijdrage in natura (vrijwilligers)]]=1,Tb_Activiteiten[[#Headers],[Bijdrage in natura (vrijwilligers)]],""))</f>
        <v/>
      </c>
      <c r="AX1434" t="str">
        <f>IF(ISNUMBER(FIND("overige",Methode_Keuze)),"",IF(Tb_Activiteiten[[#This Row],[Afschrijvingskosten]]=1,Tb_Activiteiten[[#Headers],[Afschrijvingskosten]],""))</f>
        <v/>
      </c>
      <c r="AY1434" t="str">
        <f>IF(ISNUMBER(FIND("overige",Methode_Keuze)),"",IF(Tb_Activiteiten[[#This Row],[Vergoeding]]=1,Tb_Activiteiten[[#Headers],[Vergoeding]],""))</f>
        <v/>
      </c>
      <c r="AZ1434" t="str">
        <f>IF(ISNUMBER(FIND("arbeid",Methode_Keuze)),"",IF(Tb_Activiteiten[[#This Row],[Arbeidskosten - vast tarief (excl eigen arbeid)]]=1,Tb_Activiteiten[[#Headers],[Arbeidskosten - vast tarief (excl eigen arbeid)]],""))</f>
        <v/>
      </c>
      <c r="BA1434" t="str">
        <f>IF(ISNUMBER(FIND("overige",Methode_Keuze)),"",IF(Tb_Activiteiten[[#This Row],[Overige kosten]]=1,Tb_Activiteiten[[#Headers],[Overige kosten]],""))</f>
        <v/>
      </c>
    </row>
    <row r="1435" spans="15:53" x14ac:dyDescent="0.25">
      <c r="O1435" s="56"/>
      <c r="Q1435" t="str">
        <f>IFERROR(IF(VLOOKUP(Tb_Activiteiten[[#This Row],[Openstelling]],Tb_Openstelling[],2,0)=1,1,""),"")</f>
        <v/>
      </c>
      <c r="AK1435" t="str">
        <f>IF(ISNUMBER(FIND("arbeid",Methode_Keuze)),"",IF(ISNUMBER(FIND("arbeid",Methode_Keuze)),"",IF(Tb_Activiteiten[[#This Row],[Loonkosten]]=1,Tb_Activiteiten[[#Headers],[Loonkosten]],"")))</f>
        <v/>
      </c>
      <c r="AL1435" t="str">
        <f>IF(ISNUMBER(FIND("arbeid",Methode_Keuze)),"",IF(ISNUMBER(FIND("arbeid",Methode_Keuze)),"",IF(Tb_Activiteiten[[#This Row],[Eigen arbeid]]=1,Tb_Activiteiten[[#Headers],[Eigen arbeid]],"")))</f>
        <v/>
      </c>
      <c r="AM1435" t="str">
        <f>IF(ISNUMBER(FIND("arbeid",Methode_Keuze)),"",IF(ISNUMBER(FIND("arbeid",Methode_Keuze)),"",IF(Tb_Activiteiten[[#This Row],[Projectmedewerker]]=1,Tb_Activiteiten[[#Headers],[Projectmedewerker]],"")))</f>
        <v/>
      </c>
      <c r="AN1435" t="str">
        <f>IF(ISNUMBER(FIND("arbeid",Methode_Keuze)),"",IF(ISNUMBER(FIND("arbeid",Methode_Keuze)),"",IF(Tb_Activiteiten[[#This Row],[Landbouwer]]=1,Tb_Activiteiten[[#Headers],[Landbouwer]],"")))</f>
        <v/>
      </c>
      <c r="AO1435" t="str">
        <f>IF(ISNUMBER(FIND("arbeid",Methode_Keuze)),"",IF(ISNUMBER(FIND("arbeid",Methode_Keuze)),"",IF(Tb_Activiteiten[[#This Row],[Adviseur]]=1,Tb_Activiteiten[[#Headers],[Adviseur]],"")))</f>
        <v/>
      </c>
      <c r="AP1435" t="str">
        <f>IF(ISNUMBER(FIND("arbeid",Methode_Keuze)),"",IF(ISNUMBER(FIND("arbeid",Methode_Keuze)),"",IF(Tb_Activiteiten[[#This Row],[Projectleider/Expert]]=1,Tb_Activiteiten[[#Headers],[Projectleider/Expert]],"")))</f>
        <v/>
      </c>
      <c r="AQ1435" t="str">
        <f>IF(ISNUMBER(FIND("arbeid",Methode_Keuze)),"",IF(ISNUMBER(FIND("arbeid",Methode_Keuze)),"",IF(Tb_Activiteiten[[#This Row],[Arbeidskosten]]=1,Tb_Activiteiten[[#Headers],[Arbeidskosten]],"")))</f>
        <v/>
      </c>
      <c r="AR1435" t="str">
        <f>IF(ISNUMBER(FIND("arbeid",Methode_Keuze)),"",IF(ISNUMBER(FIND("arbeid",Methode_Keuze)),"",IF(Tb_Activiteiten[[#This Row],[Arbeidskosten op basis van IKS]]=1,Tb_Activiteiten[[#Headers],[Arbeidskosten op basis van IKS]],"")))</f>
        <v/>
      </c>
      <c r="AS1435" t="str">
        <f>IF(ISNUMBER(FIND("overige",Methode_Keuze)),"",IF(Tb_Activiteiten[[#This Row],[Kosten derden exclusief btw]]=1,Tb_Activiteiten[[#Headers],[Kosten derden exclusief btw]],""))</f>
        <v/>
      </c>
      <c r="AT1435" t="str">
        <f>IF(ISNUMBER(FIND("overige",Methode_Keuze)),"",IF(Tb_Activiteiten[[#This Row],[Niet verrekenbare btw]]=1,Tb_Activiteiten[[#Headers],[Niet verrekenbare btw]],""))</f>
        <v/>
      </c>
      <c r="AU1435" t="str">
        <f>IF(ISNUMBER(FIND("overige",Methode_Keuze)),"",IF(Tb_Activiteiten[[#This Row],[Grondkosten]]=1,Tb_Activiteiten[[#Headers],[Grondkosten]],""))</f>
        <v/>
      </c>
      <c r="AV1435" t="str">
        <f>IF(ISNUMBER(FIND("overige",Methode_Keuze)),"",IF(Tb_Activiteiten[[#This Row],[Bijdrage in natura (overige)]]=1,Tb_Activiteiten[[#Headers],[Bijdrage in natura (overige)]],""))</f>
        <v/>
      </c>
      <c r="AW1435" t="str">
        <f>IF(ISNUMBER(FIND("overige",Methode_Keuze)),"",IF(Tb_Activiteiten[[#This Row],[Bijdrage in natura (vrijwilligers)]]=1,Tb_Activiteiten[[#Headers],[Bijdrage in natura (vrijwilligers)]],""))</f>
        <v/>
      </c>
      <c r="AX1435" t="str">
        <f>IF(ISNUMBER(FIND("overige",Methode_Keuze)),"",IF(Tb_Activiteiten[[#This Row],[Afschrijvingskosten]]=1,Tb_Activiteiten[[#Headers],[Afschrijvingskosten]],""))</f>
        <v/>
      </c>
      <c r="AY1435" t="str">
        <f>IF(ISNUMBER(FIND("overige",Methode_Keuze)),"",IF(Tb_Activiteiten[[#This Row],[Vergoeding]]=1,Tb_Activiteiten[[#Headers],[Vergoeding]],""))</f>
        <v/>
      </c>
      <c r="AZ1435" t="str">
        <f>IF(ISNUMBER(FIND("arbeid",Methode_Keuze)),"",IF(Tb_Activiteiten[[#This Row],[Arbeidskosten - vast tarief (excl eigen arbeid)]]=1,Tb_Activiteiten[[#Headers],[Arbeidskosten - vast tarief (excl eigen arbeid)]],""))</f>
        <v/>
      </c>
      <c r="BA1435" t="str">
        <f>IF(ISNUMBER(FIND("overige",Methode_Keuze)),"",IF(Tb_Activiteiten[[#This Row],[Overige kosten]]=1,Tb_Activiteiten[[#Headers],[Overige kosten]],""))</f>
        <v/>
      </c>
    </row>
    <row r="1436" spans="15:53" x14ac:dyDescent="0.25">
      <c r="O1436" s="56"/>
      <c r="Q1436" t="str">
        <f>IFERROR(IF(VLOOKUP(Tb_Activiteiten[[#This Row],[Openstelling]],Tb_Openstelling[],2,0)=1,1,""),"")</f>
        <v/>
      </c>
      <c r="AK1436" t="str">
        <f>IF(ISNUMBER(FIND("arbeid",Methode_Keuze)),"",IF(ISNUMBER(FIND("arbeid",Methode_Keuze)),"",IF(Tb_Activiteiten[[#This Row],[Loonkosten]]=1,Tb_Activiteiten[[#Headers],[Loonkosten]],"")))</f>
        <v/>
      </c>
      <c r="AL1436" t="str">
        <f>IF(ISNUMBER(FIND("arbeid",Methode_Keuze)),"",IF(ISNUMBER(FIND("arbeid",Methode_Keuze)),"",IF(Tb_Activiteiten[[#This Row],[Eigen arbeid]]=1,Tb_Activiteiten[[#Headers],[Eigen arbeid]],"")))</f>
        <v/>
      </c>
      <c r="AM1436" t="str">
        <f>IF(ISNUMBER(FIND("arbeid",Methode_Keuze)),"",IF(ISNUMBER(FIND("arbeid",Methode_Keuze)),"",IF(Tb_Activiteiten[[#This Row],[Projectmedewerker]]=1,Tb_Activiteiten[[#Headers],[Projectmedewerker]],"")))</f>
        <v/>
      </c>
      <c r="AN1436" t="str">
        <f>IF(ISNUMBER(FIND("arbeid",Methode_Keuze)),"",IF(ISNUMBER(FIND("arbeid",Methode_Keuze)),"",IF(Tb_Activiteiten[[#This Row],[Landbouwer]]=1,Tb_Activiteiten[[#Headers],[Landbouwer]],"")))</f>
        <v/>
      </c>
      <c r="AO1436" t="str">
        <f>IF(ISNUMBER(FIND("arbeid",Methode_Keuze)),"",IF(ISNUMBER(FIND("arbeid",Methode_Keuze)),"",IF(Tb_Activiteiten[[#This Row],[Adviseur]]=1,Tb_Activiteiten[[#Headers],[Adviseur]],"")))</f>
        <v/>
      </c>
      <c r="AP1436" t="str">
        <f>IF(ISNUMBER(FIND("arbeid",Methode_Keuze)),"",IF(ISNUMBER(FIND("arbeid",Methode_Keuze)),"",IF(Tb_Activiteiten[[#This Row],[Projectleider/Expert]]=1,Tb_Activiteiten[[#Headers],[Projectleider/Expert]],"")))</f>
        <v/>
      </c>
      <c r="AQ1436" t="str">
        <f>IF(ISNUMBER(FIND("arbeid",Methode_Keuze)),"",IF(ISNUMBER(FIND("arbeid",Methode_Keuze)),"",IF(Tb_Activiteiten[[#This Row],[Arbeidskosten]]=1,Tb_Activiteiten[[#Headers],[Arbeidskosten]],"")))</f>
        <v/>
      </c>
      <c r="AR1436" t="str">
        <f>IF(ISNUMBER(FIND("arbeid",Methode_Keuze)),"",IF(ISNUMBER(FIND("arbeid",Methode_Keuze)),"",IF(Tb_Activiteiten[[#This Row],[Arbeidskosten op basis van IKS]]=1,Tb_Activiteiten[[#Headers],[Arbeidskosten op basis van IKS]],"")))</f>
        <v/>
      </c>
      <c r="AS1436" t="str">
        <f>IF(ISNUMBER(FIND("overige",Methode_Keuze)),"",IF(Tb_Activiteiten[[#This Row],[Kosten derden exclusief btw]]=1,Tb_Activiteiten[[#Headers],[Kosten derden exclusief btw]],""))</f>
        <v/>
      </c>
      <c r="AT1436" t="str">
        <f>IF(ISNUMBER(FIND("overige",Methode_Keuze)),"",IF(Tb_Activiteiten[[#This Row],[Niet verrekenbare btw]]=1,Tb_Activiteiten[[#Headers],[Niet verrekenbare btw]],""))</f>
        <v/>
      </c>
      <c r="AU1436" t="str">
        <f>IF(ISNUMBER(FIND("overige",Methode_Keuze)),"",IF(Tb_Activiteiten[[#This Row],[Grondkosten]]=1,Tb_Activiteiten[[#Headers],[Grondkosten]],""))</f>
        <v/>
      </c>
      <c r="AV1436" t="str">
        <f>IF(ISNUMBER(FIND("overige",Methode_Keuze)),"",IF(Tb_Activiteiten[[#This Row],[Bijdrage in natura (overige)]]=1,Tb_Activiteiten[[#Headers],[Bijdrage in natura (overige)]],""))</f>
        <v/>
      </c>
      <c r="AW1436" t="str">
        <f>IF(ISNUMBER(FIND("overige",Methode_Keuze)),"",IF(Tb_Activiteiten[[#This Row],[Bijdrage in natura (vrijwilligers)]]=1,Tb_Activiteiten[[#Headers],[Bijdrage in natura (vrijwilligers)]],""))</f>
        <v/>
      </c>
      <c r="AX1436" t="str">
        <f>IF(ISNUMBER(FIND("overige",Methode_Keuze)),"",IF(Tb_Activiteiten[[#This Row],[Afschrijvingskosten]]=1,Tb_Activiteiten[[#Headers],[Afschrijvingskosten]],""))</f>
        <v/>
      </c>
      <c r="AY1436" t="str">
        <f>IF(ISNUMBER(FIND("overige",Methode_Keuze)),"",IF(Tb_Activiteiten[[#This Row],[Vergoeding]]=1,Tb_Activiteiten[[#Headers],[Vergoeding]],""))</f>
        <v/>
      </c>
      <c r="AZ1436" t="str">
        <f>IF(ISNUMBER(FIND("arbeid",Methode_Keuze)),"",IF(Tb_Activiteiten[[#This Row],[Arbeidskosten - vast tarief (excl eigen arbeid)]]=1,Tb_Activiteiten[[#Headers],[Arbeidskosten - vast tarief (excl eigen arbeid)]],""))</f>
        <v/>
      </c>
      <c r="BA1436" t="str">
        <f>IF(ISNUMBER(FIND("overige",Methode_Keuze)),"",IF(Tb_Activiteiten[[#This Row],[Overige kosten]]=1,Tb_Activiteiten[[#Headers],[Overige kosten]],""))</f>
        <v/>
      </c>
    </row>
    <row r="1437" spans="15:53" x14ac:dyDescent="0.25">
      <c r="O1437" s="56"/>
      <c r="Q1437" t="str">
        <f>IFERROR(IF(VLOOKUP(Tb_Activiteiten[[#This Row],[Openstelling]],Tb_Openstelling[],2,0)=1,1,""),"")</f>
        <v/>
      </c>
      <c r="AK1437" t="str">
        <f>IF(ISNUMBER(FIND("arbeid",Methode_Keuze)),"",IF(ISNUMBER(FIND("arbeid",Methode_Keuze)),"",IF(Tb_Activiteiten[[#This Row],[Loonkosten]]=1,Tb_Activiteiten[[#Headers],[Loonkosten]],"")))</f>
        <v/>
      </c>
      <c r="AL1437" t="str">
        <f>IF(ISNUMBER(FIND("arbeid",Methode_Keuze)),"",IF(ISNUMBER(FIND("arbeid",Methode_Keuze)),"",IF(Tb_Activiteiten[[#This Row],[Eigen arbeid]]=1,Tb_Activiteiten[[#Headers],[Eigen arbeid]],"")))</f>
        <v/>
      </c>
      <c r="AM1437" t="str">
        <f>IF(ISNUMBER(FIND("arbeid",Methode_Keuze)),"",IF(ISNUMBER(FIND("arbeid",Methode_Keuze)),"",IF(Tb_Activiteiten[[#This Row],[Projectmedewerker]]=1,Tb_Activiteiten[[#Headers],[Projectmedewerker]],"")))</f>
        <v/>
      </c>
      <c r="AN1437" t="str">
        <f>IF(ISNUMBER(FIND("arbeid",Methode_Keuze)),"",IF(ISNUMBER(FIND("arbeid",Methode_Keuze)),"",IF(Tb_Activiteiten[[#This Row],[Landbouwer]]=1,Tb_Activiteiten[[#Headers],[Landbouwer]],"")))</f>
        <v/>
      </c>
      <c r="AO1437" t="str">
        <f>IF(ISNUMBER(FIND("arbeid",Methode_Keuze)),"",IF(ISNUMBER(FIND("arbeid",Methode_Keuze)),"",IF(Tb_Activiteiten[[#This Row],[Adviseur]]=1,Tb_Activiteiten[[#Headers],[Adviseur]],"")))</f>
        <v/>
      </c>
      <c r="AP1437" t="str">
        <f>IF(ISNUMBER(FIND("arbeid",Methode_Keuze)),"",IF(ISNUMBER(FIND("arbeid",Methode_Keuze)),"",IF(Tb_Activiteiten[[#This Row],[Projectleider/Expert]]=1,Tb_Activiteiten[[#Headers],[Projectleider/Expert]],"")))</f>
        <v/>
      </c>
      <c r="AQ1437" t="str">
        <f>IF(ISNUMBER(FIND("arbeid",Methode_Keuze)),"",IF(ISNUMBER(FIND("arbeid",Methode_Keuze)),"",IF(Tb_Activiteiten[[#This Row],[Arbeidskosten]]=1,Tb_Activiteiten[[#Headers],[Arbeidskosten]],"")))</f>
        <v/>
      </c>
      <c r="AR1437" t="str">
        <f>IF(ISNUMBER(FIND("arbeid",Methode_Keuze)),"",IF(ISNUMBER(FIND("arbeid",Methode_Keuze)),"",IF(Tb_Activiteiten[[#This Row],[Arbeidskosten op basis van IKS]]=1,Tb_Activiteiten[[#Headers],[Arbeidskosten op basis van IKS]],"")))</f>
        <v/>
      </c>
      <c r="AS1437" t="str">
        <f>IF(ISNUMBER(FIND("overige",Methode_Keuze)),"",IF(Tb_Activiteiten[[#This Row],[Kosten derden exclusief btw]]=1,Tb_Activiteiten[[#Headers],[Kosten derden exclusief btw]],""))</f>
        <v/>
      </c>
      <c r="AT1437" t="str">
        <f>IF(ISNUMBER(FIND("overige",Methode_Keuze)),"",IF(Tb_Activiteiten[[#This Row],[Niet verrekenbare btw]]=1,Tb_Activiteiten[[#Headers],[Niet verrekenbare btw]],""))</f>
        <v/>
      </c>
      <c r="AU1437" t="str">
        <f>IF(ISNUMBER(FIND("overige",Methode_Keuze)),"",IF(Tb_Activiteiten[[#This Row],[Grondkosten]]=1,Tb_Activiteiten[[#Headers],[Grondkosten]],""))</f>
        <v/>
      </c>
      <c r="AV1437" t="str">
        <f>IF(ISNUMBER(FIND("overige",Methode_Keuze)),"",IF(Tb_Activiteiten[[#This Row],[Bijdrage in natura (overige)]]=1,Tb_Activiteiten[[#Headers],[Bijdrage in natura (overige)]],""))</f>
        <v/>
      </c>
      <c r="AW1437" t="str">
        <f>IF(ISNUMBER(FIND("overige",Methode_Keuze)),"",IF(Tb_Activiteiten[[#This Row],[Bijdrage in natura (vrijwilligers)]]=1,Tb_Activiteiten[[#Headers],[Bijdrage in natura (vrijwilligers)]],""))</f>
        <v/>
      </c>
      <c r="AX1437" t="str">
        <f>IF(ISNUMBER(FIND("overige",Methode_Keuze)),"",IF(Tb_Activiteiten[[#This Row],[Afschrijvingskosten]]=1,Tb_Activiteiten[[#Headers],[Afschrijvingskosten]],""))</f>
        <v/>
      </c>
      <c r="AY1437" t="str">
        <f>IF(ISNUMBER(FIND("overige",Methode_Keuze)),"",IF(Tb_Activiteiten[[#This Row],[Vergoeding]]=1,Tb_Activiteiten[[#Headers],[Vergoeding]],""))</f>
        <v/>
      </c>
      <c r="AZ1437" t="str">
        <f>IF(ISNUMBER(FIND("arbeid",Methode_Keuze)),"",IF(Tb_Activiteiten[[#This Row],[Arbeidskosten - vast tarief (excl eigen arbeid)]]=1,Tb_Activiteiten[[#Headers],[Arbeidskosten - vast tarief (excl eigen arbeid)]],""))</f>
        <v/>
      </c>
      <c r="BA1437" t="str">
        <f>IF(ISNUMBER(FIND("overige",Methode_Keuze)),"",IF(Tb_Activiteiten[[#This Row],[Overige kosten]]=1,Tb_Activiteiten[[#Headers],[Overige kosten]],""))</f>
        <v/>
      </c>
    </row>
    <row r="1438" spans="15:53" x14ac:dyDescent="0.25">
      <c r="O1438" s="56"/>
      <c r="Q1438" t="str">
        <f>IFERROR(IF(VLOOKUP(Tb_Activiteiten[[#This Row],[Openstelling]],Tb_Openstelling[],2,0)=1,1,""),"")</f>
        <v/>
      </c>
      <c r="AK1438" t="str">
        <f>IF(ISNUMBER(FIND("arbeid",Methode_Keuze)),"",IF(ISNUMBER(FIND("arbeid",Methode_Keuze)),"",IF(Tb_Activiteiten[[#This Row],[Loonkosten]]=1,Tb_Activiteiten[[#Headers],[Loonkosten]],"")))</f>
        <v/>
      </c>
      <c r="AL1438" t="str">
        <f>IF(ISNUMBER(FIND("arbeid",Methode_Keuze)),"",IF(ISNUMBER(FIND("arbeid",Methode_Keuze)),"",IF(Tb_Activiteiten[[#This Row],[Eigen arbeid]]=1,Tb_Activiteiten[[#Headers],[Eigen arbeid]],"")))</f>
        <v/>
      </c>
      <c r="AM1438" t="str">
        <f>IF(ISNUMBER(FIND("arbeid",Methode_Keuze)),"",IF(ISNUMBER(FIND("arbeid",Methode_Keuze)),"",IF(Tb_Activiteiten[[#This Row],[Projectmedewerker]]=1,Tb_Activiteiten[[#Headers],[Projectmedewerker]],"")))</f>
        <v/>
      </c>
      <c r="AN1438" t="str">
        <f>IF(ISNUMBER(FIND("arbeid",Methode_Keuze)),"",IF(ISNUMBER(FIND("arbeid",Methode_Keuze)),"",IF(Tb_Activiteiten[[#This Row],[Landbouwer]]=1,Tb_Activiteiten[[#Headers],[Landbouwer]],"")))</f>
        <v/>
      </c>
      <c r="AO1438" t="str">
        <f>IF(ISNUMBER(FIND("arbeid",Methode_Keuze)),"",IF(ISNUMBER(FIND("arbeid",Methode_Keuze)),"",IF(Tb_Activiteiten[[#This Row],[Adviseur]]=1,Tb_Activiteiten[[#Headers],[Adviseur]],"")))</f>
        <v/>
      </c>
      <c r="AP1438" t="str">
        <f>IF(ISNUMBER(FIND("arbeid",Methode_Keuze)),"",IF(ISNUMBER(FIND("arbeid",Methode_Keuze)),"",IF(Tb_Activiteiten[[#This Row],[Projectleider/Expert]]=1,Tb_Activiteiten[[#Headers],[Projectleider/Expert]],"")))</f>
        <v/>
      </c>
      <c r="AQ1438" t="str">
        <f>IF(ISNUMBER(FIND("arbeid",Methode_Keuze)),"",IF(ISNUMBER(FIND("arbeid",Methode_Keuze)),"",IF(Tb_Activiteiten[[#This Row],[Arbeidskosten]]=1,Tb_Activiteiten[[#Headers],[Arbeidskosten]],"")))</f>
        <v/>
      </c>
      <c r="AR1438" t="str">
        <f>IF(ISNUMBER(FIND("arbeid",Methode_Keuze)),"",IF(ISNUMBER(FIND("arbeid",Methode_Keuze)),"",IF(Tb_Activiteiten[[#This Row],[Arbeidskosten op basis van IKS]]=1,Tb_Activiteiten[[#Headers],[Arbeidskosten op basis van IKS]],"")))</f>
        <v/>
      </c>
      <c r="AS1438" t="str">
        <f>IF(ISNUMBER(FIND("overige",Methode_Keuze)),"",IF(Tb_Activiteiten[[#This Row],[Kosten derden exclusief btw]]=1,Tb_Activiteiten[[#Headers],[Kosten derden exclusief btw]],""))</f>
        <v/>
      </c>
      <c r="AT1438" t="str">
        <f>IF(ISNUMBER(FIND("overige",Methode_Keuze)),"",IF(Tb_Activiteiten[[#This Row],[Niet verrekenbare btw]]=1,Tb_Activiteiten[[#Headers],[Niet verrekenbare btw]],""))</f>
        <v/>
      </c>
      <c r="AU1438" t="str">
        <f>IF(ISNUMBER(FIND("overige",Methode_Keuze)),"",IF(Tb_Activiteiten[[#This Row],[Grondkosten]]=1,Tb_Activiteiten[[#Headers],[Grondkosten]],""))</f>
        <v/>
      </c>
      <c r="AV1438" t="str">
        <f>IF(ISNUMBER(FIND("overige",Methode_Keuze)),"",IF(Tb_Activiteiten[[#This Row],[Bijdrage in natura (overige)]]=1,Tb_Activiteiten[[#Headers],[Bijdrage in natura (overige)]],""))</f>
        <v/>
      </c>
      <c r="AW1438" t="str">
        <f>IF(ISNUMBER(FIND("overige",Methode_Keuze)),"",IF(Tb_Activiteiten[[#This Row],[Bijdrage in natura (vrijwilligers)]]=1,Tb_Activiteiten[[#Headers],[Bijdrage in natura (vrijwilligers)]],""))</f>
        <v/>
      </c>
      <c r="AX1438" t="str">
        <f>IF(ISNUMBER(FIND("overige",Methode_Keuze)),"",IF(Tb_Activiteiten[[#This Row],[Afschrijvingskosten]]=1,Tb_Activiteiten[[#Headers],[Afschrijvingskosten]],""))</f>
        <v/>
      </c>
      <c r="AY1438" t="str">
        <f>IF(ISNUMBER(FIND("overige",Methode_Keuze)),"",IF(Tb_Activiteiten[[#This Row],[Vergoeding]]=1,Tb_Activiteiten[[#Headers],[Vergoeding]],""))</f>
        <v/>
      </c>
      <c r="AZ1438" t="str">
        <f>IF(ISNUMBER(FIND("arbeid",Methode_Keuze)),"",IF(Tb_Activiteiten[[#This Row],[Arbeidskosten - vast tarief (excl eigen arbeid)]]=1,Tb_Activiteiten[[#Headers],[Arbeidskosten - vast tarief (excl eigen arbeid)]],""))</f>
        <v/>
      </c>
      <c r="BA1438" t="str">
        <f>IF(ISNUMBER(FIND("overige",Methode_Keuze)),"",IF(Tb_Activiteiten[[#This Row],[Overige kosten]]=1,Tb_Activiteiten[[#Headers],[Overige kosten]],""))</f>
        <v/>
      </c>
    </row>
    <row r="1439" spans="15:53" x14ac:dyDescent="0.25">
      <c r="O1439" s="56"/>
      <c r="Q1439" t="str">
        <f>IFERROR(IF(VLOOKUP(Tb_Activiteiten[[#This Row],[Openstelling]],Tb_Openstelling[],2,0)=1,1,""),"")</f>
        <v/>
      </c>
      <c r="AK1439" t="str">
        <f>IF(ISNUMBER(FIND("arbeid",Methode_Keuze)),"",IF(ISNUMBER(FIND("arbeid",Methode_Keuze)),"",IF(Tb_Activiteiten[[#This Row],[Loonkosten]]=1,Tb_Activiteiten[[#Headers],[Loonkosten]],"")))</f>
        <v/>
      </c>
      <c r="AL1439" t="str">
        <f>IF(ISNUMBER(FIND("arbeid",Methode_Keuze)),"",IF(ISNUMBER(FIND("arbeid",Methode_Keuze)),"",IF(Tb_Activiteiten[[#This Row],[Eigen arbeid]]=1,Tb_Activiteiten[[#Headers],[Eigen arbeid]],"")))</f>
        <v/>
      </c>
      <c r="AM1439" t="str">
        <f>IF(ISNUMBER(FIND("arbeid",Methode_Keuze)),"",IF(ISNUMBER(FIND("arbeid",Methode_Keuze)),"",IF(Tb_Activiteiten[[#This Row],[Projectmedewerker]]=1,Tb_Activiteiten[[#Headers],[Projectmedewerker]],"")))</f>
        <v/>
      </c>
      <c r="AN1439" t="str">
        <f>IF(ISNUMBER(FIND("arbeid",Methode_Keuze)),"",IF(ISNUMBER(FIND("arbeid",Methode_Keuze)),"",IF(Tb_Activiteiten[[#This Row],[Landbouwer]]=1,Tb_Activiteiten[[#Headers],[Landbouwer]],"")))</f>
        <v/>
      </c>
      <c r="AO1439" t="str">
        <f>IF(ISNUMBER(FIND("arbeid",Methode_Keuze)),"",IF(ISNUMBER(FIND("arbeid",Methode_Keuze)),"",IF(Tb_Activiteiten[[#This Row],[Adviseur]]=1,Tb_Activiteiten[[#Headers],[Adviseur]],"")))</f>
        <v/>
      </c>
      <c r="AP1439" t="str">
        <f>IF(ISNUMBER(FIND("arbeid",Methode_Keuze)),"",IF(ISNUMBER(FIND("arbeid",Methode_Keuze)),"",IF(Tb_Activiteiten[[#This Row],[Projectleider/Expert]]=1,Tb_Activiteiten[[#Headers],[Projectleider/Expert]],"")))</f>
        <v/>
      </c>
      <c r="AQ1439" t="str">
        <f>IF(ISNUMBER(FIND("arbeid",Methode_Keuze)),"",IF(ISNUMBER(FIND("arbeid",Methode_Keuze)),"",IF(Tb_Activiteiten[[#This Row],[Arbeidskosten]]=1,Tb_Activiteiten[[#Headers],[Arbeidskosten]],"")))</f>
        <v/>
      </c>
      <c r="AR1439" t="str">
        <f>IF(ISNUMBER(FIND("arbeid",Methode_Keuze)),"",IF(ISNUMBER(FIND("arbeid",Methode_Keuze)),"",IF(Tb_Activiteiten[[#This Row],[Arbeidskosten op basis van IKS]]=1,Tb_Activiteiten[[#Headers],[Arbeidskosten op basis van IKS]],"")))</f>
        <v/>
      </c>
      <c r="AS1439" t="str">
        <f>IF(ISNUMBER(FIND("overige",Methode_Keuze)),"",IF(Tb_Activiteiten[[#This Row],[Kosten derden exclusief btw]]=1,Tb_Activiteiten[[#Headers],[Kosten derden exclusief btw]],""))</f>
        <v/>
      </c>
      <c r="AT1439" t="str">
        <f>IF(ISNUMBER(FIND("overige",Methode_Keuze)),"",IF(Tb_Activiteiten[[#This Row],[Niet verrekenbare btw]]=1,Tb_Activiteiten[[#Headers],[Niet verrekenbare btw]],""))</f>
        <v/>
      </c>
      <c r="AU1439" t="str">
        <f>IF(ISNUMBER(FIND("overige",Methode_Keuze)),"",IF(Tb_Activiteiten[[#This Row],[Grondkosten]]=1,Tb_Activiteiten[[#Headers],[Grondkosten]],""))</f>
        <v/>
      </c>
      <c r="AV1439" t="str">
        <f>IF(ISNUMBER(FIND("overige",Methode_Keuze)),"",IF(Tb_Activiteiten[[#This Row],[Bijdrage in natura (overige)]]=1,Tb_Activiteiten[[#Headers],[Bijdrage in natura (overige)]],""))</f>
        <v/>
      </c>
      <c r="AW1439" t="str">
        <f>IF(ISNUMBER(FIND("overige",Methode_Keuze)),"",IF(Tb_Activiteiten[[#This Row],[Bijdrage in natura (vrijwilligers)]]=1,Tb_Activiteiten[[#Headers],[Bijdrage in natura (vrijwilligers)]],""))</f>
        <v/>
      </c>
      <c r="AX1439" t="str">
        <f>IF(ISNUMBER(FIND("overige",Methode_Keuze)),"",IF(Tb_Activiteiten[[#This Row],[Afschrijvingskosten]]=1,Tb_Activiteiten[[#Headers],[Afschrijvingskosten]],""))</f>
        <v/>
      </c>
      <c r="AY1439" t="str">
        <f>IF(ISNUMBER(FIND("overige",Methode_Keuze)),"",IF(Tb_Activiteiten[[#This Row],[Vergoeding]]=1,Tb_Activiteiten[[#Headers],[Vergoeding]],""))</f>
        <v/>
      </c>
      <c r="AZ1439" t="str">
        <f>IF(ISNUMBER(FIND("arbeid",Methode_Keuze)),"",IF(Tb_Activiteiten[[#This Row],[Arbeidskosten - vast tarief (excl eigen arbeid)]]=1,Tb_Activiteiten[[#Headers],[Arbeidskosten - vast tarief (excl eigen arbeid)]],""))</f>
        <v/>
      </c>
      <c r="BA1439" t="str">
        <f>IF(ISNUMBER(FIND("overige",Methode_Keuze)),"",IF(Tb_Activiteiten[[#This Row],[Overige kosten]]=1,Tb_Activiteiten[[#Headers],[Overige kosten]],""))</f>
        <v/>
      </c>
    </row>
    <row r="1440" spans="15:53" x14ac:dyDescent="0.25">
      <c r="O1440" s="56"/>
      <c r="Q1440" t="str">
        <f>IFERROR(IF(VLOOKUP(Tb_Activiteiten[[#This Row],[Openstelling]],Tb_Openstelling[],2,0)=1,1,""),"")</f>
        <v/>
      </c>
      <c r="AK1440" t="str">
        <f>IF(ISNUMBER(FIND("arbeid",Methode_Keuze)),"",IF(ISNUMBER(FIND("arbeid",Methode_Keuze)),"",IF(Tb_Activiteiten[[#This Row],[Loonkosten]]=1,Tb_Activiteiten[[#Headers],[Loonkosten]],"")))</f>
        <v/>
      </c>
      <c r="AL1440" t="str">
        <f>IF(ISNUMBER(FIND("arbeid",Methode_Keuze)),"",IF(ISNUMBER(FIND("arbeid",Methode_Keuze)),"",IF(Tb_Activiteiten[[#This Row],[Eigen arbeid]]=1,Tb_Activiteiten[[#Headers],[Eigen arbeid]],"")))</f>
        <v/>
      </c>
      <c r="AM1440" t="str">
        <f>IF(ISNUMBER(FIND("arbeid",Methode_Keuze)),"",IF(ISNUMBER(FIND("arbeid",Methode_Keuze)),"",IF(Tb_Activiteiten[[#This Row],[Projectmedewerker]]=1,Tb_Activiteiten[[#Headers],[Projectmedewerker]],"")))</f>
        <v/>
      </c>
      <c r="AN1440" t="str">
        <f>IF(ISNUMBER(FIND("arbeid",Methode_Keuze)),"",IF(ISNUMBER(FIND("arbeid",Methode_Keuze)),"",IF(Tb_Activiteiten[[#This Row],[Landbouwer]]=1,Tb_Activiteiten[[#Headers],[Landbouwer]],"")))</f>
        <v/>
      </c>
      <c r="AO1440" t="str">
        <f>IF(ISNUMBER(FIND("arbeid",Methode_Keuze)),"",IF(ISNUMBER(FIND("arbeid",Methode_Keuze)),"",IF(Tb_Activiteiten[[#This Row],[Adviseur]]=1,Tb_Activiteiten[[#Headers],[Adviseur]],"")))</f>
        <v/>
      </c>
      <c r="AP1440" t="str">
        <f>IF(ISNUMBER(FIND("arbeid",Methode_Keuze)),"",IF(ISNUMBER(FIND("arbeid",Methode_Keuze)),"",IF(Tb_Activiteiten[[#This Row],[Projectleider/Expert]]=1,Tb_Activiteiten[[#Headers],[Projectleider/Expert]],"")))</f>
        <v/>
      </c>
      <c r="AQ1440" t="str">
        <f>IF(ISNUMBER(FIND("arbeid",Methode_Keuze)),"",IF(ISNUMBER(FIND("arbeid",Methode_Keuze)),"",IF(Tb_Activiteiten[[#This Row],[Arbeidskosten]]=1,Tb_Activiteiten[[#Headers],[Arbeidskosten]],"")))</f>
        <v/>
      </c>
      <c r="AR1440" t="str">
        <f>IF(ISNUMBER(FIND("arbeid",Methode_Keuze)),"",IF(ISNUMBER(FIND("arbeid",Methode_Keuze)),"",IF(Tb_Activiteiten[[#This Row],[Arbeidskosten op basis van IKS]]=1,Tb_Activiteiten[[#Headers],[Arbeidskosten op basis van IKS]],"")))</f>
        <v/>
      </c>
      <c r="AS1440" t="str">
        <f>IF(ISNUMBER(FIND("overige",Methode_Keuze)),"",IF(Tb_Activiteiten[[#This Row],[Kosten derden exclusief btw]]=1,Tb_Activiteiten[[#Headers],[Kosten derden exclusief btw]],""))</f>
        <v/>
      </c>
      <c r="AT1440" t="str">
        <f>IF(ISNUMBER(FIND("overige",Methode_Keuze)),"",IF(Tb_Activiteiten[[#This Row],[Niet verrekenbare btw]]=1,Tb_Activiteiten[[#Headers],[Niet verrekenbare btw]],""))</f>
        <v/>
      </c>
      <c r="AU1440" t="str">
        <f>IF(ISNUMBER(FIND("overige",Methode_Keuze)),"",IF(Tb_Activiteiten[[#This Row],[Grondkosten]]=1,Tb_Activiteiten[[#Headers],[Grondkosten]],""))</f>
        <v/>
      </c>
      <c r="AV1440" t="str">
        <f>IF(ISNUMBER(FIND("overige",Methode_Keuze)),"",IF(Tb_Activiteiten[[#This Row],[Bijdrage in natura (overige)]]=1,Tb_Activiteiten[[#Headers],[Bijdrage in natura (overige)]],""))</f>
        <v/>
      </c>
      <c r="AW1440" t="str">
        <f>IF(ISNUMBER(FIND("overige",Methode_Keuze)),"",IF(Tb_Activiteiten[[#This Row],[Bijdrage in natura (vrijwilligers)]]=1,Tb_Activiteiten[[#Headers],[Bijdrage in natura (vrijwilligers)]],""))</f>
        <v/>
      </c>
      <c r="AX1440" t="str">
        <f>IF(ISNUMBER(FIND("overige",Methode_Keuze)),"",IF(Tb_Activiteiten[[#This Row],[Afschrijvingskosten]]=1,Tb_Activiteiten[[#Headers],[Afschrijvingskosten]],""))</f>
        <v/>
      </c>
      <c r="AY1440" t="str">
        <f>IF(ISNUMBER(FIND("overige",Methode_Keuze)),"",IF(Tb_Activiteiten[[#This Row],[Vergoeding]]=1,Tb_Activiteiten[[#Headers],[Vergoeding]],""))</f>
        <v/>
      </c>
      <c r="AZ1440" t="str">
        <f>IF(ISNUMBER(FIND("arbeid",Methode_Keuze)),"",IF(Tb_Activiteiten[[#This Row],[Arbeidskosten - vast tarief (excl eigen arbeid)]]=1,Tb_Activiteiten[[#Headers],[Arbeidskosten - vast tarief (excl eigen arbeid)]],""))</f>
        <v/>
      </c>
      <c r="BA1440" t="str">
        <f>IF(ISNUMBER(FIND("overige",Methode_Keuze)),"",IF(Tb_Activiteiten[[#This Row],[Overige kosten]]=1,Tb_Activiteiten[[#Headers],[Overige kosten]],""))</f>
        <v/>
      </c>
    </row>
    <row r="1441" spans="15:53" x14ac:dyDescent="0.25">
      <c r="O1441" s="56"/>
      <c r="Q1441" t="str">
        <f>IFERROR(IF(VLOOKUP(Tb_Activiteiten[[#This Row],[Openstelling]],Tb_Openstelling[],2,0)=1,1,""),"")</f>
        <v/>
      </c>
      <c r="AK1441" t="str">
        <f>IF(ISNUMBER(FIND("arbeid",Methode_Keuze)),"",IF(ISNUMBER(FIND("arbeid",Methode_Keuze)),"",IF(Tb_Activiteiten[[#This Row],[Loonkosten]]=1,Tb_Activiteiten[[#Headers],[Loonkosten]],"")))</f>
        <v/>
      </c>
      <c r="AL1441" t="str">
        <f>IF(ISNUMBER(FIND("arbeid",Methode_Keuze)),"",IF(ISNUMBER(FIND("arbeid",Methode_Keuze)),"",IF(Tb_Activiteiten[[#This Row],[Eigen arbeid]]=1,Tb_Activiteiten[[#Headers],[Eigen arbeid]],"")))</f>
        <v/>
      </c>
      <c r="AM1441" t="str">
        <f>IF(ISNUMBER(FIND("arbeid",Methode_Keuze)),"",IF(ISNUMBER(FIND("arbeid",Methode_Keuze)),"",IF(Tb_Activiteiten[[#This Row],[Projectmedewerker]]=1,Tb_Activiteiten[[#Headers],[Projectmedewerker]],"")))</f>
        <v/>
      </c>
      <c r="AN1441" t="str">
        <f>IF(ISNUMBER(FIND("arbeid",Methode_Keuze)),"",IF(ISNUMBER(FIND("arbeid",Methode_Keuze)),"",IF(Tb_Activiteiten[[#This Row],[Landbouwer]]=1,Tb_Activiteiten[[#Headers],[Landbouwer]],"")))</f>
        <v/>
      </c>
      <c r="AO1441" t="str">
        <f>IF(ISNUMBER(FIND("arbeid",Methode_Keuze)),"",IF(ISNUMBER(FIND("arbeid",Methode_Keuze)),"",IF(Tb_Activiteiten[[#This Row],[Adviseur]]=1,Tb_Activiteiten[[#Headers],[Adviseur]],"")))</f>
        <v/>
      </c>
      <c r="AP1441" t="str">
        <f>IF(ISNUMBER(FIND("arbeid",Methode_Keuze)),"",IF(ISNUMBER(FIND("arbeid",Methode_Keuze)),"",IF(Tb_Activiteiten[[#This Row],[Projectleider/Expert]]=1,Tb_Activiteiten[[#Headers],[Projectleider/Expert]],"")))</f>
        <v/>
      </c>
      <c r="AQ1441" t="str">
        <f>IF(ISNUMBER(FIND("arbeid",Methode_Keuze)),"",IF(ISNUMBER(FIND("arbeid",Methode_Keuze)),"",IF(Tb_Activiteiten[[#This Row],[Arbeidskosten]]=1,Tb_Activiteiten[[#Headers],[Arbeidskosten]],"")))</f>
        <v/>
      </c>
      <c r="AR1441" t="str">
        <f>IF(ISNUMBER(FIND("arbeid",Methode_Keuze)),"",IF(ISNUMBER(FIND("arbeid",Methode_Keuze)),"",IF(Tb_Activiteiten[[#This Row],[Arbeidskosten op basis van IKS]]=1,Tb_Activiteiten[[#Headers],[Arbeidskosten op basis van IKS]],"")))</f>
        <v/>
      </c>
      <c r="AS1441" t="str">
        <f>IF(ISNUMBER(FIND("overige",Methode_Keuze)),"",IF(Tb_Activiteiten[[#This Row],[Kosten derden exclusief btw]]=1,Tb_Activiteiten[[#Headers],[Kosten derden exclusief btw]],""))</f>
        <v/>
      </c>
      <c r="AT1441" t="str">
        <f>IF(ISNUMBER(FIND("overige",Methode_Keuze)),"",IF(Tb_Activiteiten[[#This Row],[Niet verrekenbare btw]]=1,Tb_Activiteiten[[#Headers],[Niet verrekenbare btw]],""))</f>
        <v/>
      </c>
      <c r="AU1441" t="str">
        <f>IF(ISNUMBER(FIND("overige",Methode_Keuze)),"",IF(Tb_Activiteiten[[#This Row],[Grondkosten]]=1,Tb_Activiteiten[[#Headers],[Grondkosten]],""))</f>
        <v/>
      </c>
      <c r="AV1441" t="str">
        <f>IF(ISNUMBER(FIND("overige",Methode_Keuze)),"",IF(Tb_Activiteiten[[#This Row],[Bijdrage in natura (overige)]]=1,Tb_Activiteiten[[#Headers],[Bijdrage in natura (overige)]],""))</f>
        <v/>
      </c>
      <c r="AW1441" t="str">
        <f>IF(ISNUMBER(FIND("overige",Methode_Keuze)),"",IF(Tb_Activiteiten[[#This Row],[Bijdrage in natura (vrijwilligers)]]=1,Tb_Activiteiten[[#Headers],[Bijdrage in natura (vrijwilligers)]],""))</f>
        <v/>
      </c>
      <c r="AX1441" t="str">
        <f>IF(ISNUMBER(FIND("overige",Methode_Keuze)),"",IF(Tb_Activiteiten[[#This Row],[Afschrijvingskosten]]=1,Tb_Activiteiten[[#Headers],[Afschrijvingskosten]],""))</f>
        <v/>
      </c>
      <c r="AY1441" t="str">
        <f>IF(ISNUMBER(FIND("overige",Methode_Keuze)),"",IF(Tb_Activiteiten[[#This Row],[Vergoeding]]=1,Tb_Activiteiten[[#Headers],[Vergoeding]],""))</f>
        <v/>
      </c>
      <c r="AZ1441" t="str">
        <f>IF(ISNUMBER(FIND("arbeid",Methode_Keuze)),"",IF(Tb_Activiteiten[[#This Row],[Arbeidskosten - vast tarief (excl eigen arbeid)]]=1,Tb_Activiteiten[[#Headers],[Arbeidskosten - vast tarief (excl eigen arbeid)]],""))</f>
        <v/>
      </c>
      <c r="BA1441" t="str">
        <f>IF(ISNUMBER(FIND("overige",Methode_Keuze)),"",IF(Tb_Activiteiten[[#This Row],[Overige kosten]]=1,Tb_Activiteiten[[#Headers],[Overige kosten]],""))</f>
        <v/>
      </c>
    </row>
    <row r="1442" spans="15:53" x14ac:dyDescent="0.25">
      <c r="O1442" s="56"/>
      <c r="Q1442" t="str">
        <f>IFERROR(IF(VLOOKUP(Tb_Activiteiten[[#This Row],[Openstelling]],Tb_Openstelling[],2,0)=1,1,""),"")</f>
        <v/>
      </c>
      <c r="AK1442" t="str">
        <f>IF(ISNUMBER(FIND("arbeid",Methode_Keuze)),"",IF(ISNUMBER(FIND("arbeid",Methode_Keuze)),"",IF(Tb_Activiteiten[[#This Row],[Loonkosten]]=1,Tb_Activiteiten[[#Headers],[Loonkosten]],"")))</f>
        <v/>
      </c>
      <c r="AL1442" t="str">
        <f>IF(ISNUMBER(FIND("arbeid",Methode_Keuze)),"",IF(ISNUMBER(FIND("arbeid",Methode_Keuze)),"",IF(Tb_Activiteiten[[#This Row],[Eigen arbeid]]=1,Tb_Activiteiten[[#Headers],[Eigen arbeid]],"")))</f>
        <v/>
      </c>
      <c r="AM1442" t="str">
        <f>IF(ISNUMBER(FIND("arbeid",Methode_Keuze)),"",IF(ISNUMBER(FIND("arbeid",Methode_Keuze)),"",IF(Tb_Activiteiten[[#This Row],[Projectmedewerker]]=1,Tb_Activiteiten[[#Headers],[Projectmedewerker]],"")))</f>
        <v/>
      </c>
      <c r="AN1442" t="str">
        <f>IF(ISNUMBER(FIND("arbeid",Methode_Keuze)),"",IF(ISNUMBER(FIND("arbeid",Methode_Keuze)),"",IF(Tb_Activiteiten[[#This Row],[Landbouwer]]=1,Tb_Activiteiten[[#Headers],[Landbouwer]],"")))</f>
        <v/>
      </c>
      <c r="AO1442" t="str">
        <f>IF(ISNUMBER(FIND("arbeid",Methode_Keuze)),"",IF(ISNUMBER(FIND("arbeid",Methode_Keuze)),"",IF(Tb_Activiteiten[[#This Row],[Adviseur]]=1,Tb_Activiteiten[[#Headers],[Adviseur]],"")))</f>
        <v/>
      </c>
      <c r="AP1442" t="str">
        <f>IF(ISNUMBER(FIND("arbeid",Methode_Keuze)),"",IF(ISNUMBER(FIND("arbeid",Methode_Keuze)),"",IF(Tb_Activiteiten[[#This Row],[Projectleider/Expert]]=1,Tb_Activiteiten[[#Headers],[Projectleider/Expert]],"")))</f>
        <v/>
      </c>
      <c r="AQ1442" t="str">
        <f>IF(ISNUMBER(FIND("arbeid",Methode_Keuze)),"",IF(ISNUMBER(FIND("arbeid",Methode_Keuze)),"",IF(Tb_Activiteiten[[#This Row],[Arbeidskosten]]=1,Tb_Activiteiten[[#Headers],[Arbeidskosten]],"")))</f>
        <v/>
      </c>
      <c r="AR1442" t="str">
        <f>IF(ISNUMBER(FIND("arbeid",Methode_Keuze)),"",IF(ISNUMBER(FIND("arbeid",Methode_Keuze)),"",IF(Tb_Activiteiten[[#This Row],[Arbeidskosten op basis van IKS]]=1,Tb_Activiteiten[[#Headers],[Arbeidskosten op basis van IKS]],"")))</f>
        <v/>
      </c>
      <c r="AS1442" t="str">
        <f>IF(ISNUMBER(FIND("overige",Methode_Keuze)),"",IF(Tb_Activiteiten[[#This Row],[Kosten derden exclusief btw]]=1,Tb_Activiteiten[[#Headers],[Kosten derden exclusief btw]],""))</f>
        <v/>
      </c>
      <c r="AT1442" t="str">
        <f>IF(ISNUMBER(FIND("overige",Methode_Keuze)),"",IF(Tb_Activiteiten[[#This Row],[Niet verrekenbare btw]]=1,Tb_Activiteiten[[#Headers],[Niet verrekenbare btw]],""))</f>
        <v/>
      </c>
      <c r="AU1442" t="str">
        <f>IF(ISNUMBER(FIND("overige",Methode_Keuze)),"",IF(Tb_Activiteiten[[#This Row],[Grondkosten]]=1,Tb_Activiteiten[[#Headers],[Grondkosten]],""))</f>
        <v/>
      </c>
      <c r="AV1442" t="str">
        <f>IF(ISNUMBER(FIND("overige",Methode_Keuze)),"",IF(Tb_Activiteiten[[#This Row],[Bijdrage in natura (overige)]]=1,Tb_Activiteiten[[#Headers],[Bijdrage in natura (overige)]],""))</f>
        <v/>
      </c>
      <c r="AW1442" t="str">
        <f>IF(ISNUMBER(FIND("overige",Methode_Keuze)),"",IF(Tb_Activiteiten[[#This Row],[Bijdrage in natura (vrijwilligers)]]=1,Tb_Activiteiten[[#Headers],[Bijdrage in natura (vrijwilligers)]],""))</f>
        <v/>
      </c>
      <c r="AX1442" t="str">
        <f>IF(ISNUMBER(FIND("overige",Methode_Keuze)),"",IF(Tb_Activiteiten[[#This Row],[Afschrijvingskosten]]=1,Tb_Activiteiten[[#Headers],[Afschrijvingskosten]],""))</f>
        <v/>
      </c>
      <c r="AY1442" t="str">
        <f>IF(ISNUMBER(FIND("overige",Methode_Keuze)),"",IF(Tb_Activiteiten[[#This Row],[Vergoeding]]=1,Tb_Activiteiten[[#Headers],[Vergoeding]],""))</f>
        <v/>
      </c>
      <c r="AZ1442" t="str">
        <f>IF(ISNUMBER(FIND("arbeid",Methode_Keuze)),"",IF(Tb_Activiteiten[[#This Row],[Arbeidskosten - vast tarief (excl eigen arbeid)]]=1,Tb_Activiteiten[[#Headers],[Arbeidskosten - vast tarief (excl eigen arbeid)]],""))</f>
        <v/>
      </c>
      <c r="BA1442" t="str">
        <f>IF(ISNUMBER(FIND("overige",Methode_Keuze)),"",IF(Tb_Activiteiten[[#This Row],[Overige kosten]]=1,Tb_Activiteiten[[#Headers],[Overige kosten]],""))</f>
        <v/>
      </c>
    </row>
    <row r="1443" spans="15:53" x14ac:dyDescent="0.25">
      <c r="O1443" s="56"/>
      <c r="Q1443" t="str">
        <f>IFERROR(IF(VLOOKUP(Tb_Activiteiten[[#This Row],[Openstelling]],Tb_Openstelling[],2,0)=1,1,""),"")</f>
        <v/>
      </c>
      <c r="AK1443" t="str">
        <f>IF(ISNUMBER(FIND("arbeid",Methode_Keuze)),"",IF(ISNUMBER(FIND("arbeid",Methode_Keuze)),"",IF(Tb_Activiteiten[[#This Row],[Loonkosten]]=1,Tb_Activiteiten[[#Headers],[Loonkosten]],"")))</f>
        <v/>
      </c>
      <c r="AL1443" t="str">
        <f>IF(ISNUMBER(FIND("arbeid",Methode_Keuze)),"",IF(ISNUMBER(FIND("arbeid",Methode_Keuze)),"",IF(Tb_Activiteiten[[#This Row],[Eigen arbeid]]=1,Tb_Activiteiten[[#Headers],[Eigen arbeid]],"")))</f>
        <v/>
      </c>
      <c r="AM1443" t="str">
        <f>IF(ISNUMBER(FIND("arbeid",Methode_Keuze)),"",IF(ISNUMBER(FIND("arbeid",Methode_Keuze)),"",IF(Tb_Activiteiten[[#This Row],[Projectmedewerker]]=1,Tb_Activiteiten[[#Headers],[Projectmedewerker]],"")))</f>
        <v/>
      </c>
      <c r="AN1443" t="str">
        <f>IF(ISNUMBER(FIND("arbeid",Methode_Keuze)),"",IF(ISNUMBER(FIND("arbeid",Methode_Keuze)),"",IF(Tb_Activiteiten[[#This Row],[Landbouwer]]=1,Tb_Activiteiten[[#Headers],[Landbouwer]],"")))</f>
        <v/>
      </c>
      <c r="AO1443" t="str">
        <f>IF(ISNUMBER(FIND("arbeid",Methode_Keuze)),"",IF(ISNUMBER(FIND("arbeid",Methode_Keuze)),"",IF(Tb_Activiteiten[[#This Row],[Adviseur]]=1,Tb_Activiteiten[[#Headers],[Adviseur]],"")))</f>
        <v/>
      </c>
      <c r="AP1443" t="str">
        <f>IF(ISNUMBER(FIND("arbeid",Methode_Keuze)),"",IF(ISNUMBER(FIND("arbeid",Methode_Keuze)),"",IF(Tb_Activiteiten[[#This Row],[Projectleider/Expert]]=1,Tb_Activiteiten[[#Headers],[Projectleider/Expert]],"")))</f>
        <v/>
      </c>
      <c r="AQ1443" t="str">
        <f>IF(ISNUMBER(FIND("arbeid",Methode_Keuze)),"",IF(ISNUMBER(FIND("arbeid",Methode_Keuze)),"",IF(Tb_Activiteiten[[#This Row],[Arbeidskosten]]=1,Tb_Activiteiten[[#Headers],[Arbeidskosten]],"")))</f>
        <v/>
      </c>
      <c r="AR1443" t="str">
        <f>IF(ISNUMBER(FIND("arbeid",Methode_Keuze)),"",IF(ISNUMBER(FIND("arbeid",Methode_Keuze)),"",IF(Tb_Activiteiten[[#This Row],[Arbeidskosten op basis van IKS]]=1,Tb_Activiteiten[[#Headers],[Arbeidskosten op basis van IKS]],"")))</f>
        <v/>
      </c>
      <c r="AS1443" t="str">
        <f>IF(ISNUMBER(FIND("overige",Methode_Keuze)),"",IF(Tb_Activiteiten[[#This Row],[Kosten derden exclusief btw]]=1,Tb_Activiteiten[[#Headers],[Kosten derden exclusief btw]],""))</f>
        <v/>
      </c>
      <c r="AT1443" t="str">
        <f>IF(ISNUMBER(FIND("overige",Methode_Keuze)),"",IF(Tb_Activiteiten[[#This Row],[Niet verrekenbare btw]]=1,Tb_Activiteiten[[#Headers],[Niet verrekenbare btw]],""))</f>
        <v/>
      </c>
      <c r="AU1443" t="str">
        <f>IF(ISNUMBER(FIND("overige",Methode_Keuze)),"",IF(Tb_Activiteiten[[#This Row],[Grondkosten]]=1,Tb_Activiteiten[[#Headers],[Grondkosten]],""))</f>
        <v/>
      </c>
      <c r="AV1443" t="str">
        <f>IF(ISNUMBER(FIND("overige",Methode_Keuze)),"",IF(Tb_Activiteiten[[#This Row],[Bijdrage in natura (overige)]]=1,Tb_Activiteiten[[#Headers],[Bijdrage in natura (overige)]],""))</f>
        <v/>
      </c>
      <c r="AW1443" t="str">
        <f>IF(ISNUMBER(FIND("overige",Methode_Keuze)),"",IF(Tb_Activiteiten[[#This Row],[Bijdrage in natura (vrijwilligers)]]=1,Tb_Activiteiten[[#Headers],[Bijdrage in natura (vrijwilligers)]],""))</f>
        <v/>
      </c>
      <c r="AX1443" t="str">
        <f>IF(ISNUMBER(FIND("overige",Methode_Keuze)),"",IF(Tb_Activiteiten[[#This Row],[Afschrijvingskosten]]=1,Tb_Activiteiten[[#Headers],[Afschrijvingskosten]],""))</f>
        <v/>
      </c>
      <c r="AY1443" t="str">
        <f>IF(ISNUMBER(FIND("overige",Methode_Keuze)),"",IF(Tb_Activiteiten[[#This Row],[Vergoeding]]=1,Tb_Activiteiten[[#Headers],[Vergoeding]],""))</f>
        <v/>
      </c>
      <c r="AZ1443" t="str">
        <f>IF(ISNUMBER(FIND("arbeid",Methode_Keuze)),"",IF(Tb_Activiteiten[[#This Row],[Arbeidskosten - vast tarief (excl eigen arbeid)]]=1,Tb_Activiteiten[[#Headers],[Arbeidskosten - vast tarief (excl eigen arbeid)]],""))</f>
        <v/>
      </c>
      <c r="BA1443" t="str">
        <f>IF(ISNUMBER(FIND("overige",Methode_Keuze)),"",IF(Tb_Activiteiten[[#This Row],[Overige kosten]]=1,Tb_Activiteiten[[#Headers],[Overige kosten]],""))</f>
        <v/>
      </c>
    </row>
    <row r="1444" spans="15:53" x14ac:dyDescent="0.25">
      <c r="O1444" s="56"/>
      <c r="Q1444" t="str">
        <f>IFERROR(IF(VLOOKUP(Tb_Activiteiten[[#This Row],[Openstelling]],Tb_Openstelling[],2,0)=1,1,""),"")</f>
        <v/>
      </c>
      <c r="AK1444" t="str">
        <f>IF(ISNUMBER(FIND("arbeid",Methode_Keuze)),"",IF(ISNUMBER(FIND("arbeid",Methode_Keuze)),"",IF(Tb_Activiteiten[[#This Row],[Loonkosten]]=1,Tb_Activiteiten[[#Headers],[Loonkosten]],"")))</f>
        <v/>
      </c>
      <c r="AL1444" t="str">
        <f>IF(ISNUMBER(FIND("arbeid",Methode_Keuze)),"",IF(ISNUMBER(FIND("arbeid",Methode_Keuze)),"",IF(Tb_Activiteiten[[#This Row],[Eigen arbeid]]=1,Tb_Activiteiten[[#Headers],[Eigen arbeid]],"")))</f>
        <v/>
      </c>
      <c r="AM1444" t="str">
        <f>IF(ISNUMBER(FIND("arbeid",Methode_Keuze)),"",IF(ISNUMBER(FIND("arbeid",Methode_Keuze)),"",IF(Tb_Activiteiten[[#This Row],[Projectmedewerker]]=1,Tb_Activiteiten[[#Headers],[Projectmedewerker]],"")))</f>
        <v/>
      </c>
      <c r="AN1444" t="str">
        <f>IF(ISNUMBER(FIND("arbeid",Methode_Keuze)),"",IF(ISNUMBER(FIND("arbeid",Methode_Keuze)),"",IF(Tb_Activiteiten[[#This Row],[Landbouwer]]=1,Tb_Activiteiten[[#Headers],[Landbouwer]],"")))</f>
        <v/>
      </c>
      <c r="AO1444" t="str">
        <f>IF(ISNUMBER(FIND("arbeid",Methode_Keuze)),"",IF(ISNUMBER(FIND("arbeid",Methode_Keuze)),"",IF(Tb_Activiteiten[[#This Row],[Adviseur]]=1,Tb_Activiteiten[[#Headers],[Adviseur]],"")))</f>
        <v/>
      </c>
      <c r="AP1444" t="str">
        <f>IF(ISNUMBER(FIND("arbeid",Methode_Keuze)),"",IF(ISNUMBER(FIND("arbeid",Methode_Keuze)),"",IF(Tb_Activiteiten[[#This Row],[Projectleider/Expert]]=1,Tb_Activiteiten[[#Headers],[Projectleider/Expert]],"")))</f>
        <v/>
      </c>
      <c r="AQ1444" t="str">
        <f>IF(ISNUMBER(FIND("arbeid",Methode_Keuze)),"",IF(ISNUMBER(FIND("arbeid",Methode_Keuze)),"",IF(Tb_Activiteiten[[#This Row],[Arbeidskosten]]=1,Tb_Activiteiten[[#Headers],[Arbeidskosten]],"")))</f>
        <v/>
      </c>
      <c r="AR1444" t="str">
        <f>IF(ISNUMBER(FIND("arbeid",Methode_Keuze)),"",IF(ISNUMBER(FIND("arbeid",Methode_Keuze)),"",IF(Tb_Activiteiten[[#This Row],[Arbeidskosten op basis van IKS]]=1,Tb_Activiteiten[[#Headers],[Arbeidskosten op basis van IKS]],"")))</f>
        <v/>
      </c>
      <c r="AS1444" t="str">
        <f>IF(ISNUMBER(FIND("overige",Methode_Keuze)),"",IF(Tb_Activiteiten[[#This Row],[Kosten derden exclusief btw]]=1,Tb_Activiteiten[[#Headers],[Kosten derden exclusief btw]],""))</f>
        <v/>
      </c>
      <c r="AT1444" t="str">
        <f>IF(ISNUMBER(FIND("overige",Methode_Keuze)),"",IF(Tb_Activiteiten[[#This Row],[Niet verrekenbare btw]]=1,Tb_Activiteiten[[#Headers],[Niet verrekenbare btw]],""))</f>
        <v/>
      </c>
      <c r="AU1444" t="str">
        <f>IF(ISNUMBER(FIND("overige",Methode_Keuze)),"",IF(Tb_Activiteiten[[#This Row],[Grondkosten]]=1,Tb_Activiteiten[[#Headers],[Grondkosten]],""))</f>
        <v/>
      </c>
      <c r="AV1444" t="str">
        <f>IF(ISNUMBER(FIND("overige",Methode_Keuze)),"",IF(Tb_Activiteiten[[#This Row],[Bijdrage in natura (overige)]]=1,Tb_Activiteiten[[#Headers],[Bijdrage in natura (overige)]],""))</f>
        <v/>
      </c>
      <c r="AW1444" t="str">
        <f>IF(ISNUMBER(FIND("overige",Methode_Keuze)),"",IF(Tb_Activiteiten[[#This Row],[Bijdrage in natura (vrijwilligers)]]=1,Tb_Activiteiten[[#Headers],[Bijdrage in natura (vrijwilligers)]],""))</f>
        <v/>
      </c>
      <c r="AX1444" t="str">
        <f>IF(ISNUMBER(FIND("overige",Methode_Keuze)),"",IF(Tb_Activiteiten[[#This Row],[Afschrijvingskosten]]=1,Tb_Activiteiten[[#Headers],[Afschrijvingskosten]],""))</f>
        <v/>
      </c>
      <c r="AY1444" t="str">
        <f>IF(ISNUMBER(FIND("overige",Methode_Keuze)),"",IF(Tb_Activiteiten[[#This Row],[Vergoeding]]=1,Tb_Activiteiten[[#Headers],[Vergoeding]],""))</f>
        <v/>
      </c>
      <c r="AZ1444" t="str">
        <f>IF(ISNUMBER(FIND("arbeid",Methode_Keuze)),"",IF(Tb_Activiteiten[[#This Row],[Arbeidskosten - vast tarief (excl eigen arbeid)]]=1,Tb_Activiteiten[[#Headers],[Arbeidskosten - vast tarief (excl eigen arbeid)]],""))</f>
        <v/>
      </c>
      <c r="BA1444" t="str">
        <f>IF(ISNUMBER(FIND("overige",Methode_Keuze)),"",IF(Tb_Activiteiten[[#This Row],[Overige kosten]]=1,Tb_Activiteiten[[#Headers],[Overige kosten]],""))</f>
        <v/>
      </c>
    </row>
    <row r="1445" spans="15:53" x14ac:dyDescent="0.25">
      <c r="O1445" s="56"/>
      <c r="Q1445" t="str">
        <f>IFERROR(IF(VLOOKUP(Tb_Activiteiten[[#This Row],[Openstelling]],Tb_Openstelling[],2,0)=1,1,""),"")</f>
        <v/>
      </c>
      <c r="AK1445" t="str">
        <f>IF(ISNUMBER(FIND("arbeid",Methode_Keuze)),"",IF(ISNUMBER(FIND("arbeid",Methode_Keuze)),"",IF(Tb_Activiteiten[[#This Row],[Loonkosten]]=1,Tb_Activiteiten[[#Headers],[Loonkosten]],"")))</f>
        <v/>
      </c>
      <c r="AL1445" t="str">
        <f>IF(ISNUMBER(FIND("arbeid",Methode_Keuze)),"",IF(ISNUMBER(FIND("arbeid",Methode_Keuze)),"",IF(Tb_Activiteiten[[#This Row],[Eigen arbeid]]=1,Tb_Activiteiten[[#Headers],[Eigen arbeid]],"")))</f>
        <v/>
      </c>
      <c r="AM1445" t="str">
        <f>IF(ISNUMBER(FIND("arbeid",Methode_Keuze)),"",IF(ISNUMBER(FIND("arbeid",Methode_Keuze)),"",IF(Tb_Activiteiten[[#This Row],[Projectmedewerker]]=1,Tb_Activiteiten[[#Headers],[Projectmedewerker]],"")))</f>
        <v/>
      </c>
      <c r="AN1445" t="str">
        <f>IF(ISNUMBER(FIND("arbeid",Methode_Keuze)),"",IF(ISNUMBER(FIND("arbeid",Methode_Keuze)),"",IF(Tb_Activiteiten[[#This Row],[Landbouwer]]=1,Tb_Activiteiten[[#Headers],[Landbouwer]],"")))</f>
        <v/>
      </c>
      <c r="AO1445" t="str">
        <f>IF(ISNUMBER(FIND("arbeid",Methode_Keuze)),"",IF(ISNUMBER(FIND("arbeid",Methode_Keuze)),"",IF(Tb_Activiteiten[[#This Row],[Adviseur]]=1,Tb_Activiteiten[[#Headers],[Adviseur]],"")))</f>
        <v/>
      </c>
      <c r="AP1445" t="str">
        <f>IF(ISNUMBER(FIND("arbeid",Methode_Keuze)),"",IF(ISNUMBER(FIND("arbeid",Methode_Keuze)),"",IF(Tb_Activiteiten[[#This Row],[Projectleider/Expert]]=1,Tb_Activiteiten[[#Headers],[Projectleider/Expert]],"")))</f>
        <v/>
      </c>
      <c r="AQ1445" t="str">
        <f>IF(ISNUMBER(FIND("arbeid",Methode_Keuze)),"",IF(ISNUMBER(FIND("arbeid",Methode_Keuze)),"",IF(Tb_Activiteiten[[#This Row],[Arbeidskosten]]=1,Tb_Activiteiten[[#Headers],[Arbeidskosten]],"")))</f>
        <v/>
      </c>
      <c r="AR1445" t="str">
        <f>IF(ISNUMBER(FIND("arbeid",Methode_Keuze)),"",IF(ISNUMBER(FIND("arbeid",Methode_Keuze)),"",IF(Tb_Activiteiten[[#This Row],[Arbeidskosten op basis van IKS]]=1,Tb_Activiteiten[[#Headers],[Arbeidskosten op basis van IKS]],"")))</f>
        <v/>
      </c>
      <c r="AS1445" t="str">
        <f>IF(ISNUMBER(FIND("overige",Methode_Keuze)),"",IF(Tb_Activiteiten[[#This Row],[Kosten derden exclusief btw]]=1,Tb_Activiteiten[[#Headers],[Kosten derden exclusief btw]],""))</f>
        <v/>
      </c>
      <c r="AT1445" t="str">
        <f>IF(ISNUMBER(FIND("overige",Methode_Keuze)),"",IF(Tb_Activiteiten[[#This Row],[Niet verrekenbare btw]]=1,Tb_Activiteiten[[#Headers],[Niet verrekenbare btw]],""))</f>
        <v/>
      </c>
      <c r="AU1445" t="str">
        <f>IF(ISNUMBER(FIND("overige",Methode_Keuze)),"",IF(Tb_Activiteiten[[#This Row],[Grondkosten]]=1,Tb_Activiteiten[[#Headers],[Grondkosten]],""))</f>
        <v/>
      </c>
      <c r="AV1445" t="str">
        <f>IF(ISNUMBER(FIND("overige",Methode_Keuze)),"",IF(Tb_Activiteiten[[#This Row],[Bijdrage in natura (overige)]]=1,Tb_Activiteiten[[#Headers],[Bijdrage in natura (overige)]],""))</f>
        <v/>
      </c>
      <c r="AW1445" t="str">
        <f>IF(ISNUMBER(FIND("overige",Methode_Keuze)),"",IF(Tb_Activiteiten[[#This Row],[Bijdrage in natura (vrijwilligers)]]=1,Tb_Activiteiten[[#Headers],[Bijdrage in natura (vrijwilligers)]],""))</f>
        <v/>
      </c>
      <c r="AX1445" t="str">
        <f>IF(ISNUMBER(FIND("overige",Methode_Keuze)),"",IF(Tb_Activiteiten[[#This Row],[Afschrijvingskosten]]=1,Tb_Activiteiten[[#Headers],[Afschrijvingskosten]],""))</f>
        <v/>
      </c>
      <c r="AY1445" t="str">
        <f>IF(ISNUMBER(FIND("overige",Methode_Keuze)),"",IF(Tb_Activiteiten[[#This Row],[Vergoeding]]=1,Tb_Activiteiten[[#Headers],[Vergoeding]],""))</f>
        <v/>
      </c>
      <c r="AZ1445" t="str">
        <f>IF(ISNUMBER(FIND("arbeid",Methode_Keuze)),"",IF(Tb_Activiteiten[[#This Row],[Arbeidskosten - vast tarief (excl eigen arbeid)]]=1,Tb_Activiteiten[[#Headers],[Arbeidskosten - vast tarief (excl eigen arbeid)]],""))</f>
        <v/>
      </c>
      <c r="BA1445" t="str">
        <f>IF(ISNUMBER(FIND("overige",Methode_Keuze)),"",IF(Tb_Activiteiten[[#This Row],[Overige kosten]]=1,Tb_Activiteiten[[#Headers],[Overige kosten]],""))</f>
        <v/>
      </c>
    </row>
    <row r="1446" spans="15:53" x14ac:dyDescent="0.25">
      <c r="O1446" s="56"/>
      <c r="Q1446" t="str">
        <f>IFERROR(IF(VLOOKUP(Tb_Activiteiten[[#This Row],[Openstelling]],Tb_Openstelling[],2,0)=1,1,""),"")</f>
        <v/>
      </c>
      <c r="AK1446" t="str">
        <f>IF(ISNUMBER(FIND("arbeid",Methode_Keuze)),"",IF(ISNUMBER(FIND("arbeid",Methode_Keuze)),"",IF(Tb_Activiteiten[[#This Row],[Loonkosten]]=1,Tb_Activiteiten[[#Headers],[Loonkosten]],"")))</f>
        <v/>
      </c>
      <c r="AL1446" t="str">
        <f>IF(ISNUMBER(FIND("arbeid",Methode_Keuze)),"",IF(ISNUMBER(FIND("arbeid",Methode_Keuze)),"",IF(Tb_Activiteiten[[#This Row],[Eigen arbeid]]=1,Tb_Activiteiten[[#Headers],[Eigen arbeid]],"")))</f>
        <v/>
      </c>
      <c r="AM1446" t="str">
        <f>IF(ISNUMBER(FIND("arbeid",Methode_Keuze)),"",IF(ISNUMBER(FIND("arbeid",Methode_Keuze)),"",IF(Tb_Activiteiten[[#This Row],[Projectmedewerker]]=1,Tb_Activiteiten[[#Headers],[Projectmedewerker]],"")))</f>
        <v/>
      </c>
      <c r="AN1446" t="str">
        <f>IF(ISNUMBER(FIND("arbeid",Methode_Keuze)),"",IF(ISNUMBER(FIND("arbeid",Methode_Keuze)),"",IF(Tb_Activiteiten[[#This Row],[Landbouwer]]=1,Tb_Activiteiten[[#Headers],[Landbouwer]],"")))</f>
        <v/>
      </c>
      <c r="AO1446" t="str">
        <f>IF(ISNUMBER(FIND("arbeid",Methode_Keuze)),"",IF(ISNUMBER(FIND("arbeid",Methode_Keuze)),"",IF(Tb_Activiteiten[[#This Row],[Adviseur]]=1,Tb_Activiteiten[[#Headers],[Adviseur]],"")))</f>
        <v/>
      </c>
      <c r="AP1446" t="str">
        <f>IF(ISNUMBER(FIND("arbeid",Methode_Keuze)),"",IF(ISNUMBER(FIND("arbeid",Methode_Keuze)),"",IF(Tb_Activiteiten[[#This Row],[Projectleider/Expert]]=1,Tb_Activiteiten[[#Headers],[Projectleider/Expert]],"")))</f>
        <v/>
      </c>
      <c r="AQ1446" t="str">
        <f>IF(ISNUMBER(FIND("arbeid",Methode_Keuze)),"",IF(ISNUMBER(FIND("arbeid",Methode_Keuze)),"",IF(Tb_Activiteiten[[#This Row],[Arbeidskosten]]=1,Tb_Activiteiten[[#Headers],[Arbeidskosten]],"")))</f>
        <v/>
      </c>
      <c r="AR1446" t="str">
        <f>IF(ISNUMBER(FIND("arbeid",Methode_Keuze)),"",IF(ISNUMBER(FIND("arbeid",Methode_Keuze)),"",IF(Tb_Activiteiten[[#This Row],[Arbeidskosten op basis van IKS]]=1,Tb_Activiteiten[[#Headers],[Arbeidskosten op basis van IKS]],"")))</f>
        <v/>
      </c>
      <c r="AS1446" t="str">
        <f>IF(ISNUMBER(FIND("overige",Methode_Keuze)),"",IF(Tb_Activiteiten[[#This Row],[Kosten derden exclusief btw]]=1,Tb_Activiteiten[[#Headers],[Kosten derden exclusief btw]],""))</f>
        <v/>
      </c>
      <c r="AT1446" t="str">
        <f>IF(ISNUMBER(FIND("overige",Methode_Keuze)),"",IF(Tb_Activiteiten[[#This Row],[Niet verrekenbare btw]]=1,Tb_Activiteiten[[#Headers],[Niet verrekenbare btw]],""))</f>
        <v/>
      </c>
      <c r="AU1446" t="str">
        <f>IF(ISNUMBER(FIND("overige",Methode_Keuze)),"",IF(Tb_Activiteiten[[#This Row],[Grondkosten]]=1,Tb_Activiteiten[[#Headers],[Grondkosten]],""))</f>
        <v/>
      </c>
      <c r="AV1446" t="str">
        <f>IF(ISNUMBER(FIND("overige",Methode_Keuze)),"",IF(Tb_Activiteiten[[#This Row],[Bijdrage in natura (overige)]]=1,Tb_Activiteiten[[#Headers],[Bijdrage in natura (overige)]],""))</f>
        <v/>
      </c>
      <c r="AW1446" t="str">
        <f>IF(ISNUMBER(FIND("overige",Methode_Keuze)),"",IF(Tb_Activiteiten[[#This Row],[Bijdrage in natura (vrijwilligers)]]=1,Tb_Activiteiten[[#Headers],[Bijdrage in natura (vrijwilligers)]],""))</f>
        <v/>
      </c>
      <c r="AX1446" t="str">
        <f>IF(ISNUMBER(FIND("overige",Methode_Keuze)),"",IF(Tb_Activiteiten[[#This Row],[Afschrijvingskosten]]=1,Tb_Activiteiten[[#Headers],[Afschrijvingskosten]],""))</f>
        <v/>
      </c>
      <c r="AY1446" t="str">
        <f>IF(ISNUMBER(FIND("overige",Methode_Keuze)),"",IF(Tb_Activiteiten[[#This Row],[Vergoeding]]=1,Tb_Activiteiten[[#Headers],[Vergoeding]],""))</f>
        <v/>
      </c>
      <c r="AZ1446" t="str">
        <f>IF(ISNUMBER(FIND("arbeid",Methode_Keuze)),"",IF(Tb_Activiteiten[[#This Row],[Arbeidskosten - vast tarief (excl eigen arbeid)]]=1,Tb_Activiteiten[[#Headers],[Arbeidskosten - vast tarief (excl eigen arbeid)]],""))</f>
        <v/>
      </c>
      <c r="BA1446" t="str">
        <f>IF(ISNUMBER(FIND("overige",Methode_Keuze)),"",IF(Tb_Activiteiten[[#This Row],[Overige kosten]]=1,Tb_Activiteiten[[#Headers],[Overige kosten]],""))</f>
        <v/>
      </c>
    </row>
    <row r="1447" spans="15:53" x14ac:dyDescent="0.25">
      <c r="O1447" s="56"/>
      <c r="Q1447" t="str">
        <f>IFERROR(IF(VLOOKUP(Tb_Activiteiten[[#This Row],[Openstelling]],Tb_Openstelling[],2,0)=1,1,""),"")</f>
        <v/>
      </c>
      <c r="AK1447" t="str">
        <f>IF(ISNUMBER(FIND("arbeid",Methode_Keuze)),"",IF(ISNUMBER(FIND("arbeid",Methode_Keuze)),"",IF(Tb_Activiteiten[[#This Row],[Loonkosten]]=1,Tb_Activiteiten[[#Headers],[Loonkosten]],"")))</f>
        <v/>
      </c>
      <c r="AL1447" t="str">
        <f>IF(ISNUMBER(FIND("arbeid",Methode_Keuze)),"",IF(ISNUMBER(FIND("arbeid",Methode_Keuze)),"",IF(Tb_Activiteiten[[#This Row],[Eigen arbeid]]=1,Tb_Activiteiten[[#Headers],[Eigen arbeid]],"")))</f>
        <v/>
      </c>
      <c r="AM1447" t="str">
        <f>IF(ISNUMBER(FIND("arbeid",Methode_Keuze)),"",IF(ISNUMBER(FIND("arbeid",Methode_Keuze)),"",IF(Tb_Activiteiten[[#This Row],[Projectmedewerker]]=1,Tb_Activiteiten[[#Headers],[Projectmedewerker]],"")))</f>
        <v/>
      </c>
      <c r="AN1447" t="str">
        <f>IF(ISNUMBER(FIND("arbeid",Methode_Keuze)),"",IF(ISNUMBER(FIND("arbeid",Methode_Keuze)),"",IF(Tb_Activiteiten[[#This Row],[Landbouwer]]=1,Tb_Activiteiten[[#Headers],[Landbouwer]],"")))</f>
        <v/>
      </c>
      <c r="AO1447" t="str">
        <f>IF(ISNUMBER(FIND("arbeid",Methode_Keuze)),"",IF(ISNUMBER(FIND("arbeid",Methode_Keuze)),"",IF(Tb_Activiteiten[[#This Row],[Adviseur]]=1,Tb_Activiteiten[[#Headers],[Adviseur]],"")))</f>
        <v/>
      </c>
      <c r="AP1447" t="str">
        <f>IF(ISNUMBER(FIND("arbeid",Methode_Keuze)),"",IF(ISNUMBER(FIND("arbeid",Methode_Keuze)),"",IF(Tb_Activiteiten[[#This Row],[Projectleider/Expert]]=1,Tb_Activiteiten[[#Headers],[Projectleider/Expert]],"")))</f>
        <v/>
      </c>
      <c r="AQ1447" t="str">
        <f>IF(ISNUMBER(FIND("arbeid",Methode_Keuze)),"",IF(ISNUMBER(FIND("arbeid",Methode_Keuze)),"",IF(Tb_Activiteiten[[#This Row],[Arbeidskosten]]=1,Tb_Activiteiten[[#Headers],[Arbeidskosten]],"")))</f>
        <v/>
      </c>
      <c r="AR1447" t="str">
        <f>IF(ISNUMBER(FIND("arbeid",Methode_Keuze)),"",IF(ISNUMBER(FIND("arbeid",Methode_Keuze)),"",IF(Tb_Activiteiten[[#This Row],[Arbeidskosten op basis van IKS]]=1,Tb_Activiteiten[[#Headers],[Arbeidskosten op basis van IKS]],"")))</f>
        <v/>
      </c>
      <c r="AS1447" t="str">
        <f>IF(ISNUMBER(FIND("overige",Methode_Keuze)),"",IF(Tb_Activiteiten[[#This Row],[Kosten derden exclusief btw]]=1,Tb_Activiteiten[[#Headers],[Kosten derden exclusief btw]],""))</f>
        <v/>
      </c>
      <c r="AT1447" t="str">
        <f>IF(ISNUMBER(FIND("overige",Methode_Keuze)),"",IF(Tb_Activiteiten[[#This Row],[Niet verrekenbare btw]]=1,Tb_Activiteiten[[#Headers],[Niet verrekenbare btw]],""))</f>
        <v/>
      </c>
      <c r="AU1447" t="str">
        <f>IF(ISNUMBER(FIND("overige",Methode_Keuze)),"",IF(Tb_Activiteiten[[#This Row],[Grondkosten]]=1,Tb_Activiteiten[[#Headers],[Grondkosten]],""))</f>
        <v/>
      </c>
      <c r="AV1447" t="str">
        <f>IF(ISNUMBER(FIND("overige",Methode_Keuze)),"",IF(Tb_Activiteiten[[#This Row],[Bijdrage in natura (overige)]]=1,Tb_Activiteiten[[#Headers],[Bijdrage in natura (overige)]],""))</f>
        <v/>
      </c>
      <c r="AW1447" t="str">
        <f>IF(ISNUMBER(FIND("overige",Methode_Keuze)),"",IF(Tb_Activiteiten[[#This Row],[Bijdrage in natura (vrijwilligers)]]=1,Tb_Activiteiten[[#Headers],[Bijdrage in natura (vrijwilligers)]],""))</f>
        <v/>
      </c>
      <c r="AX1447" t="str">
        <f>IF(ISNUMBER(FIND("overige",Methode_Keuze)),"",IF(Tb_Activiteiten[[#This Row],[Afschrijvingskosten]]=1,Tb_Activiteiten[[#Headers],[Afschrijvingskosten]],""))</f>
        <v/>
      </c>
      <c r="AY1447" t="str">
        <f>IF(ISNUMBER(FIND("overige",Methode_Keuze)),"",IF(Tb_Activiteiten[[#This Row],[Vergoeding]]=1,Tb_Activiteiten[[#Headers],[Vergoeding]],""))</f>
        <v/>
      </c>
      <c r="AZ1447" t="str">
        <f>IF(ISNUMBER(FIND("arbeid",Methode_Keuze)),"",IF(Tb_Activiteiten[[#This Row],[Arbeidskosten - vast tarief (excl eigen arbeid)]]=1,Tb_Activiteiten[[#Headers],[Arbeidskosten - vast tarief (excl eigen arbeid)]],""))</f>
        <v/>
      </c>
      <c r="BA1447" t="str">
        <f>IF(ISNUMBER(FIND("overige",Methode_Keuze)),"",IF(Tb_Activiteiten[[#This Row],[Overige kosten]]=1,Tb_Activiteiten[[#Headers],[Overige kosten]],""))</f>
        <v/>
      </c>
    </row>
    <row r="1448" spans="15:53" x14ac:dyDescent="0.25">
      <c r="O1448" s="56"/>
      <c r="Q1448" t="str">
        <f>IFERROR(IF(VLOOKUP(Tb_Activiteiten[[#This Row],[Openstelling]],Tb_Openstelling[],2,0)=1,1,""),"")</f>
        <v/>
      </c>
      <c r="AK1448" t="str">
        <f>IF(ISNUMBER(FIND("arbeid",Methode_Keuze)),"",IF(ISNUMBER(FIND("arbeid",Methode_Keuze)),"",IF(Tb_Activiteiten[[#This Row],[Loonkosten]]=1,Tb_Activiteiten[[#Headers],[Loonkosten]],"")))</f>
        <v/>
      </c>
      <c r="AL1448" t="str">
        <f>IF(ISNUMBER(FIND("arbeid",Methode_Keuze)),"",IF(ISNUMBER(FIND("arbeid",Methode_Keuze)),"",IF(Tb_Activiteiten[[#This Row],[Eigen arbeid]]=1,Tb_Activiteiten[[#Headers],[Eigen arbeid]],"")))</f>
        <v/>
      </c>
      <c r="AM1448" t="str">
        <f>IF(ISNUMBER(FIND("arbeid",Methode_Keuze)),"",IF(ISNUMBER(FIND("arbeid",Methode_Keuze)),"",IF(Tb_Activiteiten[[#This Row],[Projectmedewerker]]=1,Tb_Activiteiten[[#Headers],[Projectmedewerker]],"")))</f>
        <v/>
      </c>
      <c r="AN1448" t="str">
        <f>IF(ISNUMBER(FIND("arbeid",Methode_Keuze)),"",IF(ISNUMBER(FIND("arbeid",Methode_Keuze)),"",IF(Tb_Activiteiten[[#This Row],[Landbouwer]]=1,Tb_Activiteiten[[#Headers],[Landbouwer]],"")))</f>
        <v/>
      </c>
      <c r="AO1448" t="str">
        <f>IF(ISNUMBER(FIND("arbeid",Methode_Keuze)),"",IF(ISNUMBER(FIND("arbeid",Methode_Keuze)),"",IF(Tb_Activiteiten[[#This Row],[Adviseur]]=1,Tb_Activiteiten[[#Headers],[Adviseur]],"")))</f>
        <v/>
      </c>
      <c r="AP1448" t="str">
        <f>IF(ISNUMBER(FIND("arbeid",Methode_Keuze)),"",IF(ISNUMBER(FIND("arbeid",Methode_Keuze)),"",IF(Tb_Activiteiten[[#This Row],[Projectleider/Expert]]=1,Tb_Activiteiten[[#Headers],[Projectleider/Expert]],"")))</f>
        <v/>
      </c>
      <c r="AQ1448" t="str">
        <f>IF(ISNUMBER(FIND("arbeid",Methode_Keuze)),"",IF(ISNUMBER(FIND("arbeid",Methode_Keuze)),"",IF(Tb_Activiteiten[[#This Row],[Arbeidskosten]]=1,Tb_Activiteiten[[#Headers],[Arbeidskosten]],"")))</f>
        <v/>
      </c>
      <c r="AR1448" t="str">
        <f>IF(ISNUMBER(FIND("arbeid",Methode_Keuze)),"",IF(ISNUMBER(FIND("arbeid",Methode_Keuze)),"",IF(Tb_Activiteiten[[#This Row],[Arbeidskosten op basis van IKS]]=1,Tb_Activiteiten[[#Headers],[Arbeidskosten op basis van IKS]],"")))</f>
        <v/>
      </c>
      <c r="AS1448" t="str">
        <f>IF(ISNUMBER(FIND("overige",Methode_Keuze)),"",IF(Tb_Activiteiten[[#This Row],[Kosten derden exclusief btw]]=1,Tb_Activiteiten[[#Headers],[Kosten derden exclusief btw]],""))</f>
        <v/>
      </c>
      <c r="AT1448" t="str">
        <f>IF(ISNUMBER(FIND("overige",Methode_Keuze)),"",IF(Tb_Activiteiten[[#This Row],[Niet verrekenbare btw]]=1,Tb_Activiteiten[[#Headers],[Niet verrekenbare btw]],""))</f>
        <v/>
      </c>
      <c r="AU1448" t="str">
        <f>IF(ISNUMBER(FIND("overige",Methode_Keuze)),"",IF(Tb_Activiteiten[[#This Row],[Grondkosten]]=1,Tb_Activiteiten[[#Headers],[Grondkosten]],""))</f>
        <v/>
      </c>
      <c r="AV1448" t="str">
        <f>IF(ISNUMBER(FIND("overige",Methode_Keuze)),"",IF(Tb_Activiteiten[[#This Row],[Bijdrage in natura (overige)]]=1,Tb_Activiteiten[[#Headers],[Bijdrage in natura (overige)]],""))</f>
        <v/>
      </c>
      <c r="AW1448" t="str">
        <f>IF(ISNUMBER(FIND("overige",Methode_Keuze)),"",IF(Tb_Activiteiten[[#This Row],[Bijdrage in natura (vrijwilligers)]]=1,Tb_Activiteiten[[#Headers],[Bijdrage in natura (vrijwilligers)]],""))</f>
        <v/>
      </c>
      <c r="AX1448" t="str">
        <f>IF(ISNUMBER(FIND("overige",Methode_Keuze)),"",IF(Tb_Activiteiten[[#This Row],[Afschrijvingskosten]]=1,Tb_Activiteiten[[#Headers],[Afschrijvingskosten]],""))</f>
        <v/>
      </c>
      <c r="AY1448" t="str">
        <f>IF(ISNUMBER(FIND("overige",Methode_Keuze)),"",IF(Tb_Activiteiten[[#This Row],[Vergoeding]]=1,Tb_Activiteiten[[#Headers],[Vergoeding]],""))</f>
        <v/>
      </c>
      <c r="AZ1448" t="str">
        <f>IF(ISNUMBER(FIND("arbeid",Methode_Keuze)),"",IF(Tb_Activiteiten[[#This Row],[Arbeidskosten - vast tarief (excl eigen arbeid)]]=1,Tb_Activiteiten[[#Headers],[Arbeidskosten - vast tarief (excl eigen arbeid)]],""))</f>
        <v/>
      </c>
      <c r="BA1448" t="str">
        <f>IF(ISNUMBER(FIND("overige",Methode_Keuze)),"",IF(Tb_Activiteiten[[#This Row],[Overige kosten]]=1,Tb_Activiteiten[[#Headers],[Overige kosten]],""))</f>
        <v/>
      </c>
    </row>
    <row r="1449" spans="15:53" x14ac:dyDescent="0.25">
      <c r="O1449" s="56"/>
      <c r="Q1449" t="str">
        <f>IFERROR(IF(VLOOKUP(Tb_Activiteiten[[#This Row],[Openstelling]],Tb_Openstelling[],2,0)=1,1,""),"")</f>
        <v/>
      </c>
      <c r="AK1449" t="str">
        <f>IF(ISNUMBER(FIND("arbeid",Methode_Keuze)),"",IF(ISNUMBER(FIND("arbeid",Methode_Keuze)),"",IF(Tb_Activiteiten[[#This Row],[Loonkosten]]=1,Tb_Activiteiten[[#Headers],[Loonkosten]],"")))</f>
        <v/>
      </c>
      <c r="AL1449" t="str">
        <f>IF(ISNUMBER(FIND("arbeid",Methode_Keuze)),"",IF(ISNUMBER(FIND("arbeid",Methode_Keuze)),"",IF(Tb_Activiteiten[[#This Row],[Eigen arbeid]]=1,Tb_Activiteiten[[#Headers],[Eigen arbeid]],"")))</f>
        <v/>
      </c>
      <c r="AM1449" t="str">
        <f>IF(ISNUMBER(FIND("arbeid",Methode_Keuze)),"",IF(ISNUMBER(FIND("arbeid",Methode_Keuze)),"",IF(Tb_Activiteiten[[#This Row],[Projectmedewerker]]=1,Tb_Activiteiten[[#Headers],[Projectmedewerker]],"")))</f>
        <v/>
      </c>
      <c r="AN1449" t="str">
        <f>IF(ISNUMBER(FIND("arbeid",Methode_Keuze)),"",IF(ISNUMBER(FIND("arbeid",Methode_Keuze)),"",IF(Tb_Activiteiten[[#This Row],[Landbouwer]]=1,Tb_Activiteiten[[#Headers],[Landbouwer]],"")))</f>
        <v/>
      </c>
      <c r="AO1449" t="str">
        <f>IF(ISNUMBER(FIND("arbeid",Methode_Keuze)),"",IF(ISNUMBER(FIND("arbeid",Methode_Keuze)),"",IF(Tb_Activiteiten[[#This Row],[Adviseur]]=1,Tb_Activiteiten[[#Headers],[Adviseur]],"")))</f>
        <v/>
      </c>
      <c r="AP1449" t="str">
        <f>IF(ISNUMBER(FIND("arbeid",Methode_Keuze)),"",IF(ISNUMBER(FIND("arbeid",Methode_Keuze)),"",IF(Tb_Activiteiten[[#This Row],[Projectleider/Expert]]=1,Tb_Activiteiten[[#Headers],[Projectleider/Expert]],"")))</f>
        <v/>
      </c>
      <c r="AQ1449" t="str">
        <f>IF(ISNUMBER(FIND("arbeid",Methode_Keuze)),"",IF(ISNUMBER(FIND("arbeid",Methode_Keuze)),"",IF(Tb_Activiteiten[[#This Row],[Arbeidskosten]]=1,Tb_Activiteiten[[#Headers],[Arbeidskosten]],"")))</f>
        <v/>
      </c>
      <c r="AR1449" t="str">
        <f>IF(ISNUMBER(FIND("arbeid",Methode_Keuze)),"",IF(ISNUMBER(FIND("arbeid",Methode_Keuze)),"",IF(Tb_Activiteiten[[#This Row],[Arbeidskosten op basis van IKS]]=1,Tb_Activiteiten[[#Headers],[Arbeidskosten op basis van IKS]],"")))</f>
        <v/>
      </c>
      <c r="AS1449" t="str">
        <f>IF(ISNUMBER(FIND("overige",Methode_Keuze)),"",IF(Tb_Activiteiten[[#This Row],[Kosten derden exclusief btw]]=1,Tb_Activiteiten[[#Headers],[Kosten derden exclusief btw]],""))</f>
        <v/>
      </c>
      <c r="AT1449" t="str">
        <f>IF(ISNUMBER(FIND("overige",Methode_Keuze)),"",IF(Tb_Activiteiten[[#This Row],[Niet verrekenbare btw]]=1,Tb_Activiteiten[[#Headers],[Niet verrekenbare btw]],""))</f>
        <v/>
      </c>
      <c r="AU1449" t="str">
        <f>IF(ISNUMBER(FIND("overige",Methode_Keuze)),"",IF(Tb_Activiteiten[[#This Row],[Grondkosten]]=1,Tb_Activiteiten[[#Headers],[Grondkosten]],""))</f>
        <v/>
      </c>
      <c r="AV1449" t="str">
        <f>IF(ISNUMBER(FIND("overige",Methode_Keuze)),"",IF(Tb_Activiteiten[[#This Row],[Bijdrage in natura (overige)]]=1,Tb_Activiteiten[[#Headers],[Bijdrage in natura (overige)]],""))</f>
        <v/>
      </c>
      <c r="AW1449" t="str">
        <f>IF(ISNUMBER(FIND("overige",Methode_Keuze)),"",IF(Tb_Activiteiten[[#This Row],[Bijdrage in natura (vrijwilligers)]]=1,Tb_Activiteiten[[#Headers],[Bijdrage in natura (vrijwilligers)]],""))</f>
        <v/>
      </c>
      <c r="AX1449" t="str">
        <f>IF(ISNUMBER(FIND("overige",Methode_Keuze)),"",IF(Tb_Activiteiten[[#This Row],[Afschrijvingskosten]]=1,Tb_Activiteiten[[#Headers],[Afschrijvingskosten]],""))</f>
        <v/>
      </c>
      <c r="AY1449" t="str">
        <f>IF(ISNUMBER(FIND("overige",Methode_Keuze)),"",IF(Tb_Activiteiten[[#This Row],[Vergoeding]]=1,Tb_Activiteiten[[#Headers],[Vergoeding]],""))</f>
        <v/>
      </c>
      <c r="AZ1449" t="str">
        <f>IF(ISNUMBER(FIND("arbeid",Methode_Keuze)),"",IF(Tb_Activiteiten[[#This Row],[Arbeidskosten - vast tarief (excl eigen arbeid)]]=1,Tb_Activiteiten[[#Headers],[Arbeidskosten - vast tarief (excl eigen arbeid)]],""))</f>
        <v/>
      </c>
      <c r="BA1449" t="str">
        <f>IF(ISNUMBER(FIND("overige",Methode_Keuze)),"",IF(Tb_Activiteiten[[#This Row],[Overige kosten]]=1,Tb_Activiteiten[[#Headers],[Overige kosten]],""))</f>
        <v/>
      </c>
    </row>
    <row r="1450" spans="15:53" x14ac:dyDescent="0.25">
      <c r="O1450" s="56"/>
      <c r="Q1450" t="str">
        <f>IFERROR(IF(VLOOKUP(Tb_Activiteiten[[#This Row],[Openstelling]],Tb_Openstelling[],2,0)=1,1,""),"")</f>
        <v/>
      </c>
      <c r="AK1450" t="str">
        <f>IF(ISNUMBER(FIND("arbeid",Methode_Keuze)),"",IF(ISNUMBER(FIND("arbeid",Methode_Keuze)),"",IF(Tb_Activiteiten[[#This Row],[Loonkosten]]=1,Tb_Activiteiten[[#Headers],[Loonkosten]],"")))</f>
        <v/>
      </c>
      <c r="AL1450" t="str">
        <f>IF(ISNUMBER(FIND("arbeid",Methode_Keuze)),"",IF(ISNUMBER(FIND("arbeid",Methode_Keuze)),"",IF(Tb_Activiteiten[[#This Row],[Eigen arbeid]]=1,Tb_Activiteiten[[#Headers],[Eigen arbeid]],"")))</f>
        <v/>
      </c>
      <c r="AM1450" t="str">
        <f>IF(ISNUMBER(FIND("arbeid",Methode_Keuze)),"",IF(ISNUMBER(FIND("arbeid",Methode_Keuze)),"",IF(Tb_Activiteiten[[#This Row],[Projectmedewerker]]=1,Tb_Activiteiten[[#Headers],[Projectmedewerker]],"")))</f>
        <v/>
      </c>
      <c r="AN1450" t="str">
        <f>IF(ISNUMBER(FIND("arbeid",Methode_Keuze)),"",IF(ISNUMBER(FIND("arbeid",Methode_Keuze)),"",IF(Tb_Activiteiten[[#This Row],[Landbouwer]]=1,Tb_Activiteiten[[#Headers],[Landbouwer]],"")))</f>
        <v/>
      </c>
      <c r="AO1450" t="str">
        <f>IF(ISNUMBER(FIND("arbeid",Methode_Keuze)),"",IF(ISNUMBER(FIND("arbeid",Methode_Keuze)),"",IF(Tb_Activiteiten[[#This Row],[Adviseur]]=1,Tb_Activiteiten[[#Headers],[Adviseur]],"")))</f>
        <v/>
      </c>
      <c r="AP1450" t="str">
        <f>IF(ISNUMBER(FIND("arbeid",Methode_Keuze)),"",IF(ISNUMBER(FIND("arbeid",Methode_Keuze)),"",IF(Tb_Activiteiten[[#This Row],[Projectleider/Expert]]=1,Tb_Activiteiten[[#Headers],[Projectleider/Expert]],"")))</f>
        <v/>
      </c>
      <c r="AQ1450" t="str">
        <f>IF(ISNUMBER(FIND("arbeid",Methode_Keuze)),"",IF(ISNUMBER(FIND("arbeid",Methode_Keuze)),"",IF(Tb_Activiteiten[[#This Row],[Arbeidskosten]]=1,Tb_Activiteiten[[#Headers],[Arbeidskosten]],"")))</f>
        <v/>
      </c>
      <c r="AR1450" t="str">
        <f>IF(ISNUMBER(FIND("arbeid",Methode_Keuze)),"",IF(ISNUMBER(FIND("arbeid",Methode_Keuze)),"",IF(Tb_Activiteiten[[#This Row],[Arbeidskosten op basis van IKS]]=1,Tb_Activiteiten[[#Headers],[Arbeidskosten op basis van IKS]],"")))</f>
        <v/>
      </c>
      <c r="AS1450" t="str">
        <f>IF(ISNUMBER(FIND("overige",Methode_Keuze)),"",IF(Tb_Activiteiten[[#This Row],[Kosten derden exclusief btw]]=1,Tb_Activiteiten[[#Headers],[Kosten derden exclusief btw]],""))</f>
        <v/>
      </c>
      <c r="AT1450" t="str">
        <f>IF(ISNUMBER(FIND("overige",Methode_Keuze)),"",IF(Tb_Activiteiten[[#This Row],[Niet verrekenbare btw]]=1,Tb_Activiteiten[[#Headers],[Niet verrekenbare btw]],""))</f>
        <v/>
      </c>
      <c r="AU1450" t="str">
        <f>IF(ISNUMBER(FIND("overige",Methode_Keuze)),"",IF(Tb_Activiteiten[[#This Row],[Grondkosten]]=1,Tb_Activiteiten[[#Headers],[Grondkosten]],""))</f>
        <v/>
      </c>
      <c r="AV1450" t="str">
        <f>IF(ISNUMBER(FIND("overige",Methode_Keuze)),"",IF(Tb_Activiteiten[[#This Row],[Bijdrage in natura (overige)]]=1,Tb_Activiteiten[[#Headers],[Bijdrage in natura (overige)]],""))</f>
        <v/>
      </c>
      <c r="AW1450" t="str">
        <f>IF(ISNUMBER(FIND("overige",Methode_Keuze)),"",IF(Tb_Activiteiten[[#This Row],[Bijdrage in natura (vrijwilligers)]]=1,Tb_Activiteiten[[#Headers],[Bijdrage in natura (vrijwilligers)]],""))</f>
        <v/>
      </c>
      <c r="AX1450" t="str">
        <f>IF(ISNUMBER(FIND("overige",Methode_Keuze)),"",IF(Tb_Activiteiten[[#This Row],[Afschrijvingskosten]]=1,Tb_Activiteiten[[#Headers],[Afschrijvingskosten]],""))</f>
        <v/>
      </c>
      <c r="AY1450" t="str">
        <f>IF(ISNUMBER(FIND("overige",Methode_Keuze)),"",IF(Tb_Activiteiten[[#This Row],[Vergoeding]]=1,Tb_Activiteiten[[#Headers],[Vergoeding]],""))</f>
        <v/>
      </c>
      <c r="AZ1450" t="str">
        <f>IF(ISNUMBER(FIND("arbeid",Methode_Keuze)),"",IF(Tb_Activiteiten[[#This Row],[Arbeidskosten - vast tarief (excl eigen arbeid)]]=1,Tb_Activiteiten[[#Headers],[Arbeidskosten - vast tarief (excl eigen arbeid)]],""))</f>
        <v/>
      </c>
      <c r="BA1450" t="str">
        <f>IF(ISNUMBER(FIND("overige",Methode_Keuze)),"",IF(Tb_Activiteiten[[#This Row],[Overige kosten]]=1,Tb_Activiteiten[[#Headers],[Overige kosten]],""))</f>
        <v/>
      </c>
    </row>
    <row r="1451" spans="15:53" x14ac:dyDescent="0.25">
      <c r="O1451" s="56"/>
      <c r="Q1451" t="str">
        <f>IFERROR(IF(VLOOKUP(Tb_Activiteiten[[#This Row],[Openstelling]],Tb_Openstelling[],2,0)=1,1,""),"")</f>
        <v/>
      </c>
      <c r="AK1451" t="str">
        <f>IF(ISNUMBER(FIND("arbeid",Methode_Keuze)),"",IF(ISNUMBER(FIND("arbeid",Methode_Keuze)),"",IF(Tb_Activiteiten[[#This Row],[Loonkosten]]=1,Tb_Activiteiten[[#Headers],[Loonkosten]],"")))</f>
        <v/>
      </c>
      <c r="AL1451" t="str">
        <f>IF(ISNUMBER(FIND("arbeid",Methode_Keuze)),"",IF(ISNUMBER(FIND("arbeid",Methode_Keuze)),"",IF(Tb_Activiteiten[[#This Row],[Eigen arbeid]]=1,Tb_Activiteiten[[#Headers],[Eigen arbeid]],"")))</f>
        <v/>
      </c>
      <c r="AM1451" t="str">
        <f>IF(ISNUMBER(FIND("arbeid",Methode_Keuze)),"",IF(ISNUMBER(FIND("arbeid",Methode_Keuze)),"",IF(Tb_Activiteiten[[#This Row],[Projectmedewerker]]=1,Tb_Activiteiten[[#Headers],[Projectmedewerker]],"")))</f>
        <v/>
      </c>
      <c r="AN1451" t="str">
        <f>IF(ISNUMBER(FIND("arbeid",Methode_Keuze)),"",IF(ISNUMBER(FIND("arbeid",Methode_Keuze)),"",IF(Tb_Activiteiten[[#This Row],[Landbouwer]]=1,Tb_Activiteiten[[#Headers],[Landbouwer]],"")))</f>
        <v/>
      </c>
      <c r="AO1451" t="str">
        <f>IF(ISNUMBER(FIND("arbeid",Methode_Keuze)),"",IF(ISNUMBER(FIND("arbeid",Methode_Keuze)),"",IF(Tb_Activiteiten[[#This Row],[Adviseur]]=1,Tb_Activiteiten[[#Headers],[Adviseur]],"")))</f>
        <v/>
      </c>
      <c r="AP1451" t="str">
        <f>IF(ISNUMBER(FIND("arbeid",Methode_Keuze)),"",IF(ISNUMBER(FIND("arbeid",Methode_Keuze)),"",IF(Tb_Activiteiten[[#This Row],[Projectleider/Expert]]=1,Tb_Activiteiten[[#Headers],[Projectleider/Expert]],"")))</f>
        <v/>
      </c>
      <c r="AQ1451" t="str">
        <f>IF(ISNUMBER(FIND("arbeid",Methode_Keuze)),"",IF(ISNUMBER(FIND("arbeid",Methode_Keuze)),"",IF(Tb_Activiteiten[[#This Row],[Arbeidskosten]]=1,Tb_Activiteiten[[#Headers],[Arbeidskosten]],"")))</f>
        <v/>
      </c>
      <c r="AR1451" t="str">
        <f>IF(ISNUMBER(FIND("arbeid",Methode_Keuze)),"",IF(ISNUMBER(FIND("arbeid",Methode_Keuze)),"",IF(Tb_Activiteiten[[#This Row],[Arbeidskosten op basis van IKS]]=1,Tb_Activiteiten[[#Headers],[Arbeidskosten op basis van IKS]],"")))</f>
        <v/>
      </c>
      <c r="AS1451" t="str">
        <f>IF(ISNUMBER(FIND("overige",Methode_Keuze)),"",IF(Tb_Activiteiten[[#This Row],[Kosten derden exclusief btw]]=1,Tb_Activiteiten[[#Headers],[Kosten derden exclusief btw]],""))</f>
        <v/>
      </c>
      <c r="AT1451" t="str">
        <f>IF(ISNUMBER(FIND("overige",Methode_Keuze)),"",IF(Tb_Activiteiten[[#This Row],[Niet verrekenbare btw]]=1,Tb_Activiteiten[[#Headers],[Niet verrekenbare btw]],""))</f>
        <v/>
      </c>
      <c r="AU1451" t="str">
        <f>IF(ISNUMBER(FIND("overige",Methode_Keuze)),"",IF(Tb_Activiteiten[[#This Row],[Grondkosten]]=1,Tb_Activiteiten[[#Headers],[Grondkosten]],""))</f>
        <v/>
      </c>
      <c r="AV1451" t="str">
        <f>IF(ISNUMBER(FIND("overige",Methode_Keuze)),"",IF(Tb_Activiteiten[[#This Row],[Bijdrage in natura (overige)]]=1,Tb_Activiteiten[[#Headers],[Bijdrage in natura (overige)]],""))</f>
        <v/>
      </c>
      <c r="AW1451" t="str">
        <f>IF(ISNUMBER(FIND("overige",Methode_Keuze)),"",IF(Tb_Activiteiten[[#This Row],[Bijdrage in natura (vrijwilligers)]]=1,Tb_Activiteiten[[#Headers],[Bijdrage in natura (vrijwilligers)]],""))</f>
        <v/>
      </c>
      <c r="AX1451" t="str">
        <f>IF(ISNUMBER(FIND("overige",Methode_Keuze)),"",IF(Tb_Activiteiten[[#This Row],[Afschrijvingskosten]]=1,Tb_Activiteiten[[#Headers],[Afschrijvingskosten]],""))</f>
        <v/>
      </c>
      <c r="AY1451" t="str">
        <f>IF(ISNUMBER(FIND("overige",Methode_Keuze)),"",IF(Tb_Activiteiten[[#This Row],[Vergoeding]]=1,Tb_Activiteiten[[#Headers],[Vergoeding]],""))</f>
        <v/>
      </c>
      <c r="AZ1451" t="str">
        <f>IF(ISNUMBER(FIND("arbeid",Methode_Keuze)),"",IF(Tb_Activiteiten[[#This Row],[Arbeidskosten - vast tarief (excl eigen arbeid)]]=1,Tb_Activiteiten[[#Headers],[Arbeidskosten - vast tarief (excl eigen arbeid)]],""))</f>
        <v/>
      </c>
      <c r="BA1451" t="str">
        <f>IF(ISNUMBER(FIND("overige",Methode_Keuze)),"",IF(Tb_Activiteiten[[#This Row],[Overige kosten]]=1,Tb_Activiteiten[[#Headers],[Overige kosten]],""))</f>
        <v/>
      </c>
    </row>
    <row r="1452" spans="15:53" x14ac:dyDescent="0.25">
      <c r="O1452" s="56"/>
      <c r="Q1452" t="str">
        <f>IFERROR(IF(VLOOKUP(Tb_Activiteiten[[#This Row],[Openstelling]],Tb_Openstelling[],2,0)=1,1,""),"")</f>
        <v/>
      </c>
      <c r="AK1452" t="str">
        <f>IF(ISNUMBER(FIND("arbeid",Methode_Keuze)),"",IF(ISNUMBER(FIND("arbeid",Methode_Keuze)),"",IF(Tb_Activiteiten[[#This Row],[Loonkosten]]=1,Tb_Activiteiten[[#Headers],[Loonkosten]],"")))</f>
        <v/>
      </c>
      <c r="AL1452" t="str">
        <f>IF(ISNUMBER(FIND("arbeid",Methode_Keuze)),"",IF(ISNUMBER(FIND("arbeid",Methode_Keuze)),"",IF(Tb_Activiteiten[[#This Row],[Eigen arbeid]]=1,Tb_Activiteiten[[#Headers],[Eigen arbeid]],"")))</f>
        <v/>
      </c>
      <c r="AM1452" t="str">
        <f>IF(ISNUMBER(FIND("arbeid",Methode_Keuze)),"",IF(ISNUMBER(FIND("arbeid",Methode_Keuze)),"",IF(Tb_Activiteiten[[#This Row],[Projectmedewerker]]=1,Tb_Activiteiten[[#Headers],[Projectmedewerker]],"")))</f>
        <v/>
      </c>
      <c r="AN1452" t="str">
        <f>IF(ISNUMBER(FIND("arbeid",Methode_Keuze)),"",IF(ISNUMBER(FIND("arbeid",Methode_Keuze)),"",IF(Tb_Activiteiten[[#This Row],[Landbouwer]]=1,Tb_Activiteiten[[#Headers],[Landbouwer]],"")))</f>
        <v/>
      </c>
      <c r="AO1452" t="str">
        <f>IF(ISNUMBER(FIND("arbeid",Methode_Keuze)),"",IF(ISNUMBER(FIND("arbeid",Methode_Keuze)),"",IF(Tb_Activiteiten[[#This Row],[Adviseur]]=1,Tb_Activiteiten[[#Headers],[Adviseur]],"")))</f>
        <v/>
      </c>
      <c r="AP1452" t="str">
        <f>IF(ISNUMBER(FIND("arbeid",Methode_Keuze)),"",IF(ISNUMBER(FIND("arbeid",Methode_Keuze)),"",IF(Tb_Activiteiten[[#This Row],[Projectleider/Expert]]=1,Tb_Activiteiten[[#Headers],[Projectleider/Expert]],"")))</f>
        <v/>
      </c>
      <c r="AQ1452" t="str">
        <f>IF(ISNUMBER(FIND("arbeid",Methode_Keuze)),"",IF(ISNUMBER(FIND("arbeid",Methode_Keuze)),"",IF(Tb_Activiteiten[[#This Row],[Arbeidskosten]]=1,Tb_Activiteiten[[#Headers],[Arbeidskosten]],"")))</f>
        <v/>
      </c>
      <c r="AR1452" t="str">
        <f>IF(ISNUMBER(FIND("arbeid",Methode_Keuze)),"",IF(ISNUMBER(FIND("arbeid",Methode_Keuze)),"",IF(Tb_Activiteiten[[#This Row],[Arbeidskosten op basis van IKS]]=1,Tb_Activiteiten[[#Headers],[Arbeidskosten op basis van IKS]],"")))</f>
        <v/>
      </c>
      <c r="AS1452" t="str">
        <f>IF(ISNUMBER(FIND("overige",Methode_Keuze)),"",IF(Tb_Activiteiten[[#This Row],[Kosten derden exclusief btw]]=1,Tb_Activiteiten[[#Headers],[Kosten derden exclusief btw]],""))</f>
        <v/>
      </c>
      <c r="AT1452" t="str">
        <f>IF(ISNUMBER(FIND("overige",Methode_Keuze)),"",IF(Tb_Activiteiten[[#This Row],[Niet verrekenbare btw]]=1,Tb_Activiteiten[[#Headers],[Niet verrekenbare btw]],""))</f>
        <v/>
      </c>
      <c r="AU1452" t="str">
        <f>IF(ISNUMBER(FIND("overige",Methode_Keuze)),"",IF(Tb_Activiteiten[[#This Row],[Grondkosten]]=1,Tb_Activiteiten[[#Headers],[Grondkosten]],""))</f>
        <v/>
      </c>
      <c r="AV1452" t="str">
        <f>IF(ISNUMBER(FIND("overige",Methode_Keuze)),"",IF(Tb_Activiteiten[[#This Row],[Bijdrage in natura (overige)]]=1,Tb_Activiteiten[[#Headers],[Bijdrage in natura (overige)]],""))</f>
        <v/>
      </c>
      <c r="AW1452" t="str">
        <f>IF(ISNUMBER(FIND("overige",Methode_Keuze)),"",IF(Tb_Activiteiten[[#This Row],[Bijdrage in natura (vrijwilligers)]]=1,Tb_Activiteiten[[#Headers],[Bijdrage in natura (vrijwilligers)]],""))</f>
        <v/>
      </c>
      <c r="AX1452" t="str">
        <f>IF(ISNUMBER(FIND("overige",Methode_Keuze)),"",IF(Tb_Activiteiten[[#This Row],[Afschrijvingskosten]]=1,Tb_Activiteiten[[#Headers],[Afschrijvingskosten]],""))</f>
        <v/>
      </c>
      <c r="AY1452" t="str">
        <f>IF(ISNUMBER(FIND("overige",Methode_Keuze)),"",IF(Tb_Activiteiten[[#This Row],[Vergoeding]]=1,Tb_Activiteiten[[#Headers],[Vergoeding]],""))</f>
        <v/>
      </c>
      <c r="AZ1452" t="str">
        <f>IF(ISNUMBER(FIND("arbeid",Methode_Keuze)),"",IF(Tb_Activiteiten[[#This Row],[Arbeidskosten - vast tarief (excl eigen arbeid)]]=1,Tb_Activiteiten[[#Headers],[Arbeidskosten - vast tarief (excl eigen arbeid)]],""))</f>
        <v/>
      </c>
      <c r="BA1452" t="str">
        <f>IF(ISNUMBER(FIND("overige",Methode_Keuze)),"",IF(Tb_Activiteiten[[#This Row],[Overige kosten]]=1,Tb_Activiteiten[[#Headers],[Overige kosten]],""))</f>
        <v/>
      </c>
    </row>
    <row r="1453" spans="15:53" x14ac:dyDescent="0.25">
      <c r="O1453" s="56"/>
      <c r="Q1453" t="str">
        <f>IFERROR(IF(VLOOKUP(Tb_Activiteiten[[#This Row],[Openstelling]],Tb_Openstelling[],2,0)=1,1,""),"")</f>
        <v/>
      </c>
      <c r="AK1453" t="str">
        <f>IF(ISNUMBER(FIND("arbeid",Methode_Keuze)),"",IF(ISNUMBER(FIND("arbeid",Methode_Keuze)),"",IF(Tb_Activiteiten[[#This Row],[Loonkosten]]=1,Tb_Activiteiten[[#Headers],[Loonkosten]],"")))</f>
        <v/>
      </c>
      <c r="AL1453" t="str">
        <f>IF(ISNUMBER(FIND("arbeid",Methode_Keuze)),"",IF(ISNUMBER(FIND("arbeid",Methode_Keuze)),"",IF(Tb_Activiteiten[[#This Row],[Eigen arbeid]]=1,Tb_Activiteiten[[#Headers],[Eigen arbeid]],"")))</f>
        <v/>
      </c>
      <c r="AM1453" t="str">
        <f>IF(ISNUMBER(FIND("arbeid",Methode_Keuze)),"",IF(ISNUMBER(FIND("arbeid",Methode_Keuze)),"",IF(Tb_Activiteiten[[#This Row],[Projectmedewerker]]=1,Tb_Activiteiten[[#Headers],[Projectmedewerker]],"")))</f>
        <v/>
      </c>
      <c r="AN1453" t="str">
        <f>IF(ISNUMBER(FIND("arbeid",Methode_Keuze)),"",IF(ISNUMBER(FIND("arbeid",Methode_Keuze)),"",IF(Tb_Activiteiten[[#This Row],[Landbouwer]]=1,Tb_Activiteiten[[#Headers],[Landbouwer]],"")))</f>
        <v/>
      </c>
      <c r="AO1453" t="str">
        <f>IF(ISNUMBER(FIND("arbeid",Methode_Keuze)),"",IF(ISNUMBER(FIND("arbeid",Methode_Keuze)),"",IF(Tb_Activiteiten[[#This Row],[Adviseur]]=1,Tb_Activiteiten[[#Headers],[Adviseur]],"")))</f>
        <v/>
      </c>
      <c r="AP1453" t="str">
        <f>IF(ISNUMBER(FIND("arbeid",Methode_Keuze)),"",IF(ISNUMBER(FIND("arbeid",Methode_Keuze)),"",IF(Tb_Activiteiten[[#This Row],[Projectleider/Expert]]=1,Tb_Activiteiten[[#Headers],[Projectleider/Expert]],"")))</f>
        <v/>
      </c>
      <c r="AQ1453" t="str">
        <f>IF(ISNUMBER(FIND("arbeid",Methode_Keuze)),"",IF(ISNUMBER(FIND("arbeid",Methode_Keuze)),"",IF(Tb_Activiteiten[[#This Row],[Arbeidskosten]]=1,Tb_Activiteiten[[#Headers],[Arbeidskosten]],"")))</f>
        <v/>
      </c>
      <c r="AR1453" t="str">
        <f>IF(ISNUMBER(FIND("arbeid",Methode_Keuze)),"",IF(ISNUMBER(FIND("arbeid",Methode_Keuze)),"",IF(Tb_Activiteiten[[#This Row],[Arbeidskosten op basis van IKS]]=1,Tb_Activiteiten[[#Headers],[Arbeidskosten op basis van IKS]],"")))</f>
        <v/>
      </c>
      <c r="AS1453" t="str">
        <f>IF(ISNUMBER(FIND("overige",Methode_Keuze)),"",IF(Tb_Activiteiten[[#This Row],[Kosten derden exclusief btw]]=1,Tb_Activiteiten[[#Headers],[Kosten derden exclusief btw]],""))</f>
        <v/>
      </c>
      <c r="AT1453" t="str">
        <f>IF(ISNUMBER(FIND("overige",Methode_Keuze)),"",IF(Tb_Activiteiten[[#This Row],[Niet verrekenbare btw]]=1,Tb_Activiteiten[[#Headers],[Niet verrekenbare btw]],""))</f>
        <v/>
      </c>
      <c r="AU1453" t="str">
        <f>IF(ISNUMBER(FIND("overige",Methode_Keuze)),"",IF(Tb_Activiteiten[[#This Row],[Grondkosten]]=1,Tb_Activiteiten[[#Headers],[Grondkosten]],""))</f>
        <v/>
      </c>
      <c r="AV1453" t="str">
        <f>IF(ISNUMBER(FIND("overige",Methode_Keuze)),"",IF(Tb_Activiteiten[[#This Row],[Bijdrage in natura (overige)]]=1,Tb_Activiteiten[[#Headers],[Bijdrage in natura (overige)]],""))</f>
        <v/>
      </c>
      <c r="AW1453" t="str">
        <f>IF(ISNUMBER(FIND("overige",Methode_Keuze)),"",IF(Tb_Activiteiten[[#This Row],[Bijdrage in natura (vrijwilligers)]]=1,Tb_Activiteiten[[#Headers],[Bijdrage in natura (vrijwilligers)]],""))</f>
        <v/>
      </c>
      <c r="AX1453" t="str">
        <f>IF(ISNUMBER(FIND("overige",Methode_Keuze)),"",IF(Tb_Activiteiten[[#This Row],[Afschrijvingskosten]]=1,Tb_Activiteiten[[#Headers],[Afschrijvingskosten]],""))</f>
        <v/>
      </c>
      <c r="AY1453" t="str">
        <f>IF(ISNUMBER(FIND("overige",Methode_Keuze)),"",IF(Tb_Activiteiten[[#This Row],[Vergoeding]]=1,Tb_Activiteiten[[#Headers],[Vergoeding]],""))</f>
        <v/>
      </c>
      <c r="AZ1453" t="str">
        <f>IF(ISNUMBER(FIND("arbeid",Methode_Keuze)),"",IF(Tb_Activiteiten[[#This Row],[Arbeidskosten - vast tarief (excl eigen arbeid)]]=1,Tb_Activiteiten[[#Headers],[Arbeidskosten - vast tarief (excl eigen arbeid)]],""))</f>
        <v/>
      </c>
      <c r="BA1453" t="str">
        <f>IF(ISNUMBER(FIND("overige",Methode_Keuze)),"",IF(Tb_Activiteiten[[#This Row],[Overige kosten]]=1,Tb_Activiteiten[[#Headers],[Overige kosten]],""))</f>
        <v/>
      </c>
    </row>
    <row r="1454" spans="15:53" x14ac:dyDescent="0.25">
      <c r="O1454" s="56"/>
      <c r="Q1454" t="str">
        <f>IFERROR(IF(VLOOKUP(Tb_Activiteiten[[#This Row],[Openstelling]],Tb_Openstelling[],2,0)=1,1,""),"")</f>
        <v/>
      </c>
      <c r="AK1454" t="str">
        <f>IF(ISNUMBER(FIND("arbeid",Methode_Keuze)),"",IF(ISNUMBER(FIND("arbeid",Methode_Keuze)),"",IF(Tb_Activiteiten[[#This Row],[Loonkosten]]=1,Tb_Activiteiten[[#Headers],[Loonkosten]],"")))</f>
        <v/>
      </c>
      <c r="AL1454" t="str">
        <f>IF(ISNUMBER(FIND("arbeid",Methode_Keuze)),"",IF(ISNUMBER(FIND("arbeid",Methode_Keuze)),"",IF(Tb_Activiteiten[[#This Row],[Eigen arbeid]]=1,Tb_Activiteiten[[#Headers],[Eigen arbeid]],"")))</f>
        <v/>
      </c>
      <c r="AM1454" t="str">
        <f>IF(ISNUMBER(FIND("arbeid",Methode_Keuze)),"",IF(ISNUMBER(FIND("arbeid",Methode_Keuze)),"",IF(Tb_Activiteiten[[#This Row],[Projectmedewerker]]=1,Tb_Activiteiten[[#Headers],[Projectmedewerker]],"")))</f>
        <v/>
      </c>
      <c r="AN1454" t="str">
        <f>IF(ISNUMBER(FIND("arbeid",Methode_Keuze)),"",IF(ISNUMBER(FIND("arbeid",Methode_Keuze)),"",IF(Tb_Activiteiten[[#This Row],[Landbouwer]]=1,Tb_Activiteiten[[#Headers],[Landbouwer]],"")))</f>
        <v/>
      </c>
      <c r="AO1454" t="str">
        <f>IF(ISNUMBER(FIND("arbeid",Methode_Keuze)),"",IF(ISNUMBER(FIND("arbeid",Methode_Keuze)),"",IF(Tb_Activiteiten[[#This Row],[Adviseur]]=1,Tb_Activiteiten[[#Headers],[Adviseur]],"")))</f>
        <v/>
      </c>
      <c r="AP1454" t="str">
        <f>IF(ISNUMBER(FIND("arbeid",Methode_Keuze)),"",IF(ISNUMBER(FIND("arbeid",Methode_Keuze)),"",IF(Tb_Activiteiten[[#This Row],[Projectleider/Expert]]=1,Tb_Activiteiten[[#Headers],[Projectleider/Expert]],"")))</f>
        <v/>
      </c>
      <c r="AQ1454" t="str">
        <f>IF(ISNUMBER(FIND("arbeid",Methode_Keuze)),"",IF(ISNUMBER(FIND("arbeid",Methode_Keuze)),"",IF(Tb_Activiteiten[[#This Row],[Arbeidskosten]]=1,Tb_Activiteiten[[#Headers],[Arbeidskosten]],"")))</f>
        <v/>
      </c>
      <c r="AR1454" t="str">
        <f>IF(ISNUMBER(FIND("arbeid",Methode_Keuze)),"",IF(ISNUMBER(FIND("arbeid",Methode_Keuze)),"",IF(Tb_Activiteiten[[#This Row],[Arbeidskosten op basis van IKS]]=1,Tb_Activiteiten[[#Headers],[Arbeidskosten op basis van IKS]],"")))</f>
        <v/>
      </c>
      <c r="AS1454" t="str">
        <f>IF(ISNUMBER(FIND("overige",Methode_Keuze)),"",IF(Tb_Activiteiten[[#This Row],[Kosten derden exclusief btw]]=1,Tb_Activiteiten[[#Headers],[Kosten derden exclusief btw]],""))</f>
        <v/>
      </c>
      <c r="AT1454" t="str">
        <f>IF(ISNUMBER(FIND("overige",Methode_Keuze)),"",IF(Tb_Activiteiten[[#This Row],[Niet verrekenbare btw]]=1,Tb_Activiteiten[[#Headers],[Niet verrekenbare btw]],""))</f>
        <v/>
      </c>
      <c r="AU1454" t="str">
        <f>IF(ISNUMBER(FIND("overige",Methode_Keuze)),"",IF(Tb_Activiteiten[[#This Row],[Grondkosten]]=1,Tb_Activiteiten[[#Headers],[Grondkosten]],""))</f>
        <v/>
      </c>
      <c r="AV1454" t="str">
        <f>IF(ISNUMBER(FIND("overige",Methode_Keuze)),"",IF(Tb_Activiteiten[[#This Row],[Bijdrage in natura (overige)]]=1,Tb_Activiteiten[[#Headers],[Bijdrage in natura (overige)]],""))</f>
        <v/>
      </c>
      <c r="AW1454" t="str">
        <f>IF(ISNUMBER(FIND("overige",Methode_Keuze)),"",IF(Tb_Activiteiten[[#This Row],[Bijdrage in natura (vrijwilligers)]]=1,Tb_Activiteiten[[#Headers],[Bijdrage in natura (vrijwilligers)]],""))</f>
        <v/>
      </c>
      <c r="AX1454" t="str">
        <f>IF(ISNUMBER(FIND("overige",Methode_Keuze)),"",IF(Tb_Activiteiten[[#This Row],[Afschrijvingskosten]]=1,Tb_Activiteiten[[#Headers],[Afschrijvingskosten]],""))</f>
        <v/>
      </c>
      <c r="AY1454" t="str">
        <f>IF(ISNUMBER(FIND("overige",Methode_Keuze)),"",IF(Tb_Activiteiten[[#This Row],[Vergoeding]]=1,Tb_Activiteiten[[#Headers],[Vergoeding]],""))</f>
        <v/>
      </c>
      <c r="AZ1454" t="str">
        <f>IF(ISNUMBER(FIND("arbeid",Methode_Keuze)),"",IF(Tb_Activiteiten[[#This Row],[Arbeidskosten - vast tarief (excl eigen arbeid)]]=1,Tb_Activiteiten[[#Headers],[Arbeidskosten - vast tarief (excl eigen arbeid)]],""))</f>
        <v/>
      </c>
      <c r="BA1454" t="str">
        <f>IF(ISNUMBER(FIND("overige",Methode_Keuze)),"",IF(Tb_Activiteiten[[#This Row],[Overige kosten]]=1,Tb_Activiteiten[[#Headers],[Overige kosten]],""))</f>
        <v/>
      </c>
    </row>
    <row r="1455" spans="15:53" x14ac:dyDescent="0.25">
      <c r="O1455" s="56"/>
      <c r="Q1455" t="str">
        <f>IFERROR(IF(VLOOKUP(Tb_Activiteiten[[#This Row],[Openstelling]],Tb_Openstelling[],2,0)=1,1,""),"")</f>
        <v/>
      </c>
      <c r="AK1455" t="str">
        <f>IF(ISNUMBER(FIND("arbeid",Methode_Keuze)),"",IF(ISNUMBER(FIND("arbeid",Methode_Keuze)),"",IF(Tb_Activiteiten[[#This Row],[Loonkosten]]=1,Tb_Activiteiten[[#Headers],[Loonkosten]],"")))</f>
        <v/>
      </c>
      <c r="AL1455" t="str">
        <f>IF(ISNUMBER(FIND("arbeid",Methode_Keuze)),"",IF(ISNUMBER(FIND("arbeid",Methode_Keuze)),"",IF(Tb_Activiteiten[[#This Row],[Eigen arbeid]]=1,Tb_Activiteiten[[#Headers],[Eigen arbeid]],"")))</f>
        <v/>
      </c>
      <c r="AM1455" t="str">
        <f>IF(ISNUMBER(FIND("arbeid",Methode_Keuze)),"",IF(ISNUMBER(FIND("arbeid",Methode_Keuze)),"",IF(Tb_Activiteiten[[#This Row],[Projectmedewerker]]=1,Tb_Activiteiten[[#Headers],[Projectmedewerker]],"")))</f>
        <v/>
      </c>
      <c r="AN1455" t="str">
        <f>IF(ISNUMBER(FIND("arbeid",Methode_Keuze)),"",IF(ISNUMBER(FIND("arbeid",Methode_Keuze)),"",IF(Tb_Activiteiten[[#This Row],[Landbouwer]]=1,Tb_Activiteiten[[#Headers],[Landbouwer]],"")))</f>
        <v/>
      </c>
      <c r="AO1455" t="str">
        <f>IF(ISNUMBER(FIND("arbeid",Methode_Keuze)),"",IF(ISNUMBER(FIND("arbeid",Methode_Keuze)),"",IF(Tb_Activiteiten[[#This Row],[Adviseur]]=1,Tb_Activiteiten[[#Headers],[Adviseur]],"")))</f>
        <v/>
      </c>
      <c r="AP1455" t="str">
        <f>IF(ISNUMBER(FIND("arbeid",Methode_Keuze)),"",IF(ISNUMBER(FIND("arbeid",Methode_Keuze)),"",IF(Tb_Activiteiten[[#This Row],[Projectleider/Expert]]=1,Tb_Activiteiten[[#Headers],[Projectleider/Expert]],"")))</f>
        <v/>
      </c>
      <c r="AQ1455" t="str">
        <f>IF(ISNUMBER(FIND("arbeid",Methode_Keuze)),"",IF(ISNUMBER(FIND("arbeid",Methode_Keuze)),"",IF(Tb_Activiteiten[[#This Row],[Arbeidskosten]]=1,Tb_Activiteiten[[#Headers],[Arbeidskosten]],"")))</f>
        <v/>
      </c>
      <c r="AR1455" t="str">
        <f>IF(ISNUMBER(FIND("arbeid",Methode_Keuze)),"",IF(ISNUMBER(FIND("arbeid",Methode_Keuze)),"",IF(Tb_Activiteiten[[#This Row],[Arbeidskosten op basis van IKS]]=1,Tb_Activiteiten[[#Headers],[Arbeidskosten op basis van IKS]],"")))</f>
        <v/>
      </c>
      <c r="AS1455" t="str">
        <f>IF(ISNUMBER(FIND("overige",Methode_Keuze)),"",IF(Tb_Activiteiten[[#This Row],[Kosten derden exclusief btw]]=1,Tb_Activiteiten[[#Headers],[Kosten derden exclusief btw]],""))</f>
        <v/>
      </c>
      <c r="AT1455" t="str">
        <f>IF(ISNUMBER(FIND("overige",Methode_Keuze)),"",IF(Tb_Activiteiten[[#This Row],[Niet verrekenbare btw]]=1,Tb_Activiteiten[[#Headers],[Niet verrekenbare btw]],""))</f>
        <v/>
      </c>
      <c r="AU1455" t="str">
        <f>IF(ISNUMBER(FIND("overige",Methode_Keuze)),"",IF(Tb_Activiteiten[[#This Row],[Grondkosten]]=1,Tb_Activiteiten[[#Headers],[Grondkosten]],""))</f>
        <v/>
      </c>
      <c r="AV1455" t="str">
        <f>IF(ISNUMBER(FIND("overige",Methode_Keuze)),"",IF(Tb_Activiteiten[[#This Row],[Bijdrage in natura (overige)]]=1,Tb_Activiteiten[[#Headers],[Bijdrage in natura (overige)]],""))</f>
        <v/>
      </c>
      <c r="AW1455" t="str">
        <f>IF(ISNUMBER(FIND("overige",Methode_Keuze)),"",IF(Tb_Activiteiten[[#This Row],[Bijdrage in natura (vrijwilligers)]]=1,Tb_Activiteiten[[#Headers],[Bijdrage in natura (vrijwilligers)]],""))</f>
        <v/>
      </c>
      <c r="AX1455" t="str">
        <f>IF(ISNUMBER(FIND("overige",Methode_Keuze)),"",IF(Tb_Activiteiten[[#This Row],[Afschrijvingskosten]]=1,Tb_Activiteiten[[#Headers],[Afschrijvingskosten]],""))</f>
        <v/>
      </c>
      <c r="AY1455" t="str">
        <f>IF(ISNUMBER(FIND("overige",Methode_Keuze)),"",IF(Tb_Activiteiten[[#This Row],[Vergoeding]]=1,Tb_Activiteiten[[#Headers],[Vergoeding]],""))</f>
        <v/>
      </c>
      <c r="AZ1455" t="str">
        <f>IF(ISNUMBER(FIND("arbeid",Methode_Keuze)),"",IF(Tb_Activiteiten[[#This Row],[Arbeidskosten - vast tarief (excl eigen arbeid)]]=1,Tb_Activiteiten[[#Headers],[Arbeidskosten - vast tarief (excl eigen arbeid)]],""))</f>
        <v/>
      </c>
      <c r="BA1455" t="str">
        <f>IF(ISNUMBER(FIND("overige",Methode_Keuze)),"",IF(Tb_Activiteiten[[#This Row],[Overige kosten]]=1,Tb_Activiteiten[[#Headers],[Overige kosten]],""))</f>
        <v/>
      </c>
    </row>
    <row r="1456" spans="15:53" x14ac:dyDescent="0.25">
      <c r="O1456" s="56"/>
      <c r="Q1456" t="str">
        <f>IFERROR(IF(VLOOKUP(Tb_Activiteiten[[#This Row],[Openstelling]],Tb_Openstelling[],2,0)=1,1,""),"")</f>
        <v/>
      </c>
      <c r="AK1456" t="str">
        <f>IF(ISNUMBER(FIND("arbeid",Methode_Keuze)),"",IF(ISNUMBER(FIND("arbeid",Methode_Keuze)),"",IF(Tb_Activiteiten[[#This Row],[Loonkosten]]=1,Tb_Activiteiten[[#Headers],[Loonkosten]],"")))</f>
        <v/>
      </c>
      <c r="AL1456" t="str">
        <f>IF(ISNUMBER(FIND("arbeid",Methode_Keuze)),"",IF(ISNUMBER(FIND("arbeid",Methode_Keuze)),"",IF(Tb_Activiteiten[[#This Row],[Eigen arbeid]]=1,Tb_Activiteiten[[#Headers],[Eigen arbeid]],"")))</f>
        <v/>
      </c>
      <c r="AM1456" t="str">
        <f>IF(ISNUMBER(FIND("arbeid",Methode_Keuze)),"",IF(ISNUMBER(FIND("arbeid",Methode_Keuze)),"",IF(Tb_Activiteiten[[#This Row],[Projectmedewerker]]=1,Tb_Activiteiten[[#Headers],[Projectmedewerker]],"")))</f>
        <v/>
      </c>
      <c r="AN1456" t="str">
        <f>IF(ISNUMBER(FIND("arbeid",Methode_Keuze)),"",IF(ISNUMBER(FIND("arbeid",Methode_Keuze)),"",IF(Tb_Activiteiten[[#This Row],[Landbouwer]]=1,Tb_Activiteiten[[#Headers],[Landbouwer]],"")))</f>
        <v/>
      </c>
      <c r="AO1456" t="str">
        <f>IF(ISNUMBER(FIND("arbeid",Methode_Keuze)),"",IF(ISNUMBER(FIND("arbeid",Methode_Keuze)),"",IF(Tb_Activiteiten[[#This Row],[Adviseur]]=1,Tb_Activiteiten[[#Headers],[Adviseur]],"")))</f>
        <v/>
      </c>
      <c r="AP1456" t="str">
        <f>IF(ISNUMBER(FIND("arbeid",Methode_Keuze)),"",IF(ISNUMBER(FIND("arbeid",Methode_Keuze)),"",IF(Tb_Activiteiten[[#This Row],[Projectleider/Expert]]=1,Tb_Activiteiten[[#Headers],[Projectleider/Expert]],"")))</f>
        <v/>
      </c>
      <c r="AQ1456" t="str">
        <f>IF(ISNUMBER(FIND("arbeid",Methode_Keuze)),"",IF(ISNUMBER(FIND("arbeid",Methode_Keuze)),"",IF(Tb_Activiteiten[[#This Row],[Arbeidskosten]]=1,Tb_Activiteiten[[#Headers],[Arbeidskosten]],"")))</f>
        <v/>
      </c>
      <c r="AR1456" t="str">
        <f>IF(ISNUMBER(FIND("arbeid",Methode_Keuze)),"",IF(ISNUMBER(FIND("arbeid",Methode_Keuze)),"",IF(Tb_Activiteiten[[#This Row],[Arbeidskosten op basis van IKS]]=1,Tb_Activiteiten[[#Headers],[Arbeidskosten op basis van IKS]],"")))</f>
        <v/>
      </c>
      <c r="AS1456" t="str">
        <f>IF(ISNUMBER(FIND("overige",Methode_Keuze)),"",IF(Tb_Activiteiten[[#This Row],[Kosten derden exclusief btw]]=1,Tb_Activiteiten[[#Headers],[Kosten derden exclusief btw]],""))</f>
        <v/>
      </c>
      <c r="AT1456" t="str">
        <f>IF(ISNUMBER(FIND("overige",Methode_Keuze)),"",IF(Tb_Activiteiten[[#This Row],[Niet verrekenbare btw]]=1,Tb_Activiteiten[[#Headers],[Niet verrekenbare btw]],""))</f>
        <v/>
      </c>
      <c r="AU1456" t="str">
        <f>IF(ISNUMBER(FIND("overige",Methode_Keuze)),"",IF(Tb_Activiteiten[[#This Row],[Grondkosten]]=1,Tb_Activiteiten[[#Headers],[Grondkosten]],""))</f>
        <v/>
      </c>
      <c r="AV1456" t="str">
        <f>IF(ISNUMBER(FIND("overige",Methode_Keuze)),"",IF(Tb_Activiteiten[[#This Row],[Bijdrage in natura (overige)]]=1,Tb_Activiteiten[[#Headers],[Bijdrage in natura (overige)]],""))</f>
        <v/>
      </c>
      <c r="AW1456" t="str">
        <f>IF(ISNUMBER(FIND("overige",Methode_Keuze)),"",IF(Tb_Activiteiten[[#This Row],[Bijdrage in natura (vrijwilligers)]]=1,Tb_Activiteiten[[#Headers],[Bijdrage in natura (vrijwilligers)]],""))</f>
        <v/>
      </c>
      <c r="AX1456" t="str">
        <f>IF(ISNUMBER(FIND("overige",Methode_Keuze)),"",IF(Tb_Activiteiten[[#This Row],[Afschrijvingskosten]]=1,Tb_Activiteiten[[#Headers],[Afschrijvingskosten]],""))</f>
        <v/>
      </c>
      <c r="AY1456" t="str">
        <f>IF(ISNUMBER(FIND("overige",Methode_Keuze)),"",IF(Tb_Activiteiten[[#This Row],[Vergoeding]]=1,Tb_Activiteiten[[#Headers],[Vergoeding]],""))</f>
        <v/>
      </c>
      <c r="AZ1456" t="str">
        <f>IF(ISNUMBER(FIND("arbeid",Methode_Keuze)),"",IF(Tb_Activiteiten[[#This Row],[Arbeidskosten - vast tarief (excl eigen arbeid)]]=1,Tb_Activiteiten[[#Headers],[Arbeidskosten - vast tarief (excl eigen arbeid)]],""))</f>
        <v/>
      </c>
      <c r="BA1456" t="str">
        <f>IF(ISNUMBER(FIND("overige",Methode_Keuze)),"",IF(Tb_Activiteiten[[#This Row],[Overige kosten]]=1,Tb_Activiteiten[[#Headers],[Overige kosten]],""))</f>
        <v/>
      </c>
    </row>
    <row r="1457" spans="15:53" x14ac:dyDescent="0.25">
      <c r="O1457" s="56"/>
      <c r="Q1457" t="str">
        <f>IFERROR(IF(VLOOKUP(Tb_Activiteiten[[#This Row],[Openstelling]],Tb_Openstelling[],2,0)=1,1,""),"")</f>
        <v/>
      </c>
      <c r="AK1457" t="str">
        <f>IF(ISNUMBER(FIND("arbeid",Methode_Keuze)),"",IF(ISNUMBER(FIND("arbeid",Methode_Keuze)),"",IF(Tb_Activiteiten[[#This Row],[Loonkosten]]=1,Tb_Activiteiten[[#Headers],[Loonkosten]],"")))</f>
        <v/>
      </c>
      <c r="AL1457" t="str">
        <f>IF(ISNUMBER(FIND("arbeid",Methode_Keuze)),"",IF(ISNUMBER(FIND("arbeid",Methode_Keuze)),"",IF(Tb_Activiteiten[[#This Row],[Eigen arbeid]]=1,Tb_Activiteiten[[#Headers],[Eigen arbeid]],"")))</f>
        <v/>
      </c>
      <c r="AM1457" t="str">
        <f>IF(ISNUMBER(FIND("arbeid",Methode_Keuze)),"",IF(ISNUMBER(FIND("arbeid",Methode_Keuze)),"",IF(Tb_Activiteiten[[#This Row],[Projectmedewerker]]=1,Tb_Activiteiten[[#Headers],[Projectmedewerker]],"")))</f>
        <v/>
      </c>
      <c r="AN1457" t="str">
        <f>IF(ISNUMBER(FIND("arbeid",Methode_Keuze)),"",IF(ISNUMBER(FIND("arbeid",Methode_Keuze)),"",IF(Tb_Activiteiten[[#This Row],[Landbouwer]]=1,Tb_Activiteiten[[#Headers],[Landbouwer]],"")))</f>
        <v/>
      </c>
      <c r="AO1457" t="str">
        <f>IF(ISNUMBER(FIND("arbeid",Methode_Keuze)),"",IF(ISNUMBER(FIND("arbeid",Methode_Keuze)),"",IF(Tb_Activiteiten[[#This Row],[Adviseur]]=1,Tb_Activiteiten[[#Headers],[Adviseur]],"")))</f>
        <v/>
      </c>
      <c r="AP1457" t="str">
        <f>IF(ISNUMBER(FIND("arbeid",Methode_Keuze)),"",IF(ISNUMBER(FIND("arbeid",Methode_Keuze)),"",IF(Tb_Activiteiten[[#This Row],[Projectleider/Expert]]=1,Tb_Activiteiten[[#Headers],[Projectleider/Expert]],"")))</f>
        <v/>
      </c>
      <c r="AQ1457" t="str">
        <f>IF(ISNUMBER(FIND("arbeid",Methode_Keuze)),"",IF(ISNUMBER(FIND("arbeid",Methode_Keuze)),"",IF(Tb_Activiteiten[[#This Row],[Arbeidskosten]]=1,Tb_Activiteiten[[#Headers],[Arbeidskosten]],"")))</f>
        <v/>
      </c>
      <c r="AR1457" t="str">
        <f>IF(ISNUMBER(FIND("arbeid",Methode_Keuze)),"",IF(ISNUMBER(FIND("arbeid",Methode_Keuze)),"",IF(Tb_Activiteiten[[#This Row],[Arbeidskosten op basis van IKS]]=1,Tb_Activiteiten[[#Headers],[Arbeidskosten op basis van IKS]],"")))</f>
        <v/>
      </c>
      <c r="AS1457" t="str">
        <f>IF(ISNUMBER(FIND("overige",Methode_Keuze)),"",IF(Tb_Activiteiten[[#This Row],[Kosten derden exclusief btw]]=1,Tb_Activiteiten[[#Headers],[Kosten derden exclusief btw]],""))</f>
        <v/>
      </c>
      <c r="AT1457" t="str">
        <f>IF(ISNUMBER(FIND("overige",Methode_Keuze)),"",IF(Tb_Activiteiten[[#This Row],[Niet verrekenbare btw]]=1,Tb_Activiteiten[[#Headers],[Niet verrekenbare btw]],""))</f>
        <v/>
      </c>
      <c r="AU1457" t="str">
        <f>IF(ISNUMBER(FIND("overige",Methode_Keuze)),"",IF(Tb_Activiteiten[[#This Row],[Grondkosten]]=1,Tb_Activiteiten[[#Headers],[Grondkosten]],""))</f>
        <v/>
      </c>
      <c r="AV1457" t="str">
        <f>IF(ISNUMBER(FIND("overige",Methode_Keuze)),"",IF(Tb_Activiteiten[[#This Row],[Bijdrage in natura (overige)]]=1,Tb_Activiteiten[[#Headers],[Bijdrage in natura (overige)]],""))</f>
        <v/>
      </c>
      <c r="AW1457" t="str">
        <f>IF(ISNUMBER(FIND("overige",Methode_Keuze)),"",IF(Tb_Activiteiten[[#This Row],[Bijdrage in natura (vrijwilligers)]]=1,Tb_Activiteiten[[#Headers],[Bijdrage in natura (vrijwilligers)]],""))</f>
        <v/>
      </c>
      <c r="AX1457" t="str">
        <f>IF(ISNUMBER(FIND("overige",Methode_Keuze)),"",IF(Tb_Activiteiten[[#This Row],[Afschrijvingskosten]]=1,Tb_Activiteiten[[#Headers],[Afschrijvingskosten]],""))</f>
        <v/>
      </c>
      <c r="AY1457" t="str">
        <f>IF(ISNUMBER(FIND("overige",Methode_Keuze)),"",IF(Tb_Activiteiten[[#This Row],[Vergoeding]]=1,Tb_Activiteiten[[#Headers],[Vergoeding]],""))</f>
        <v/>
      </c>
      <c r="AZ1457" t="str">
        <f>IF(ISNUMBER(FIND("arbeid",Methode_Keuze)),"",IF(Tb_Activiteiten[[#This Row],[Arbeidskosten - vast tarief (excl eigen arbeid)]]=1,Tb_Activiteiten[[#Headers],[Arbeidskosten - vast tarief (excl eigen arbeid)]],""))</f>
        <v/>
      </c>
      <c r="BA1457" t="str">
        <f>IF(ISNUMBER(FIND("overige",Methode_Keuze)),"",IF(Tb_Activiteiten[[#This Row],[Overige kosten]]=1,Tb_Activiteiten[[#Headers],[Overige kosten]],""))</f>
        <v/>
      </c>
    </row>
    <row r="1458" spans="15:53" x14ac:dyDescent="0.25">
      <c r="O1458" s="56"/>
      <c r="Q1458" t="str">
        <f>IFERROR(IF(VLOOKUP(Tb_Activiteiten[[#This Row],[Openstelling]],Tb_Openstelling[],2,0)=1,1,""),"")</f>
        <v/>
      </c>
      <c r="AK1458" t="str">
        <f>IF(ISNUMBER(FIND("arbeid",Methode_Keuze)),"",IF(ISNUMBER(FIND("arbeid",Methode_Keuze)),"",IF(Tb_Activiteiten[[#This Row],[Loonkosten]]=1,Tb_Activiteiten[[#Headers],[Loonkosten]],"")))</f>
        <v/>
      </c>
      <c r="AL1458" t="str">
        <f>IF(ISNUMBER(FIND("arbeid",Methode_Keuze)),"",IF(ISNUMBER(FIND("arbeid",Methode_Keuze)),"",IF(Tb_Activiteiten[[#This Row],[Eigen arbeid]]=1,Tb_Activiteiten[[#Headers],[Eigen arbeid]],"")))</f>
        <v/>
      </c>
      <c r="AM1458" t="str">
        <f>IF(ISNUMBER(FIND("arbeid",Methode_Keuze)),"",IF(ISNUMBER(FIND("arbeid",Methode_Keuze)),"",IF(Tb_Activiteiten[[#This Row],[Projectmedewerker]]=1,Tb_Activiteiten[[#Headers],[Projectmedewerker]],"")))</f>
        <v/>
      </c>
      <c r="AN1458" t="str">
        <f>IF(ISNUMBER(FIND("arbeid",Methode_Keuze)),"",IF(ISNUMBER(FIND("arbeid",Methode_Keuze)),"",IF(Tb_Activiteiten[[#This Row],[Landbouwer]]=1,Tb_Activiteiten[[#Headers],[Landbouwer]],"")))</f>
        <v/>
      </c>
      <c r="AO1458" t="str">
        <f>IF(ISNUMBER(FIND("arbeid",Methode_Keuze)),"",IF(ISNUMBER(FIND("arbeid",Methode_Keuze)),"",IF(Tb_Activiteiten[[#This Row],[Adviseur]]=1,Tb_Activiteiten[[#Headers],[Adviseur]],"")))</f>
        <v/>
      </c>
      <c r="AP1458" t="str">
        <f>IF(ISNUMBER(FIND("arbeid",Methode_Keuze)),"",IF(ISNUMBER(FIND("arbeid",Methode_Keuze)),"",IF(Tb_Activiteiten[[#This Row],[Projectleider/Expert]]=1,Tb_Activiteiten[[#Headers],[Projectleider/Expert]],"")))</f>
        <v/>
      </c>
      <c r="AQ1458" t="str">
        <f>IF(ISNUMBER(FIND("arbeid",Methode_Keuze)),"",IF(ISNUMBER(FIND("arbeid",Methode_Keuze)),"",IF(Tb_Activiteiten[[#This Row],[Arbeidskosten]]=1,Tb_Activiteiten[[#Headers],[Arbeidskosten]],"")))</f>
        <v/>
      </c>
      <c r="AR1458" t="str">
        <f>IF(ISNUMBER(FIND("arbeid",Methode_Keuze)),"",IF(ISNUMBER(FIND("arbeid",Methode_Keuze)),"",IF(Tb_Activiteiten[[#This Row],[Arbeidskosten op basis van IKS]]=1,Tb_Activiteiten[[#Headers],[Arbeidskosten op basis van IKS]],"")))</f>
        <v/>
      </c>
      <c r="AS1458" t="str">
        <f>IF(ISNUMBER(FIND("overige",Methode_Keuze)),"",IF(Tb_Activiteiten[[#This Row],[Kosten derden exclusief btw]]=1,Tb_Activiteiten[[#Headers],[Kosten derden exclusief btw]],""))</f>
        <v/>
      </c>
      <c r="AT1458" t="str">
        <f>IF(ISNUMBER(FIND("overige",Methode_Keuze)),"",IF(Tb_Activiteiten[[#This Row],[Niet verrekenbare btw]]=1,Tb_Activiteiten[[#Headers],[Niet verrekenbare btw]],""))</f>
        <v/>
      </c>
      <c r="AU1458" t="str">
        <f>IF(ISNUMBER(FIND("overige",Methode_Keuze)),"",IF(Tb_Activiteiten[[#This Row],[Grondkosten]]=1,Tb_Activiteiten[[#Headers],[Grondkosten]],""))</f>
        <v/>
      </c>
      <c r="AV1458" t="str">
        <f>IF(ISNUMBER(FIND("overige",Methode_Keuze)),"",IF(Tb_Activiteiten[[#This Row],[Bijdrage in natura (overige)]]=1,Tb_Activiteiten[[#Headers],[Bijdrage in natura (overige)]],""))</f>
        <v/>
      </c>
      <c r="AW1458" t="str">
        <f>IF(ISNUMBER(FIND("overige",Methode_Keuze)),"",IF(Tb_Activiteiten[[#This Row],[Bijdrage in natura (vrijwilligers)]]=1,Tb_Activiteiten[[#Headers],[Bijdrage in natura (vrijwilligers)]],""))</f>
        <v/>
      </c>
      <c r="AX1458" t="str">
        <f>IF(ISNUMBER(FIND("overige",Methode_Keuze)),"",IF(Tb_Activiteiten[[#This Row],[Afschrijvingskosten]]=1,Tb_Activiteiten[[#Headers],[Afschrijvingskosten]],""))</f>
        <v/>
      </c>
      <c r="AY1458" t="str">
        <f>IF(ISNUMBER(FIND("overige",Methode_Keuze)),"",IF(Tb_Activiteiten[[#This Row],[Vergoeding]]=1,Tb_Activiteiten[[#Headers],[Vergoeding]],""))</f>
        <v/>
      </c>
      <c r="AZ1458" t="str">
        <f>IF(ISNUMBER(FIND("arbeid",Methode_Keuze)),"",IF(Tb_Activiteiten[[#This Row],[Arbeidskosten - vast tarief (excl eigen arbeid)]]=1,Tb_Activiteiten[[#Headers],[Arbeidskosten - vast tarief (excl eigen arbeid)]],""))</f>
        <v/>
      </c>
      <c r="BA1458" t="str">
        <f>IF(ISNUMBER(FIND("overige",Methode_Keuze)),"",IF(Tb_Activiteiten[[#This Row],[Overige kosten]]=1,Tb_Activiteiten[[#Headers],[Overige kosten]],""))</f>
        <v/>
      </c>
    </row>
    <row r="1459" spans="15:53" x14ac:dyDescent="0.25">
      <c r="O1459" s="56"/>
      <c r="Q1459" t="str">
        <f>IFERROR(IF(VLOOKUP(Tb_Activiteiten[[#This Row],[Openstelling]],Tb_Openstelling[],2,0)=1,1,""),"")</f>
        <v/>
      </c>
      <c r="AK1459" t="str">
        <f>IF(ISNUMBER(FIND("arbeid",Methode_Keuze)),"",IF(ISNUMBER(FIND("arbeid",Methode_Keuze)),"",IF(Tb_Activiteiten[[#This Row],[Loonkosten]]=1,Tb_Activiteiten[[#Headers],[Loonkosten]],"")))</f>
        <v/>
      </c>
      <c r="AL1459" t="str">
        <f>IF(ISNUMBER(FIND("arbeid",Methode_Keuze)),"",IF(ISNUMBER(FIND("arbeid",Methode_Keuze)),"",IF(Tb_Activiteiten[[#This Row],[Eigen arbeid]]=1,Tb_Activiteiten[[#Headers],[Eigen arbeid]],"")))</f>
        <v/>
      </c>
      <c r="AM1459" t="str">
        <f>IF(ISNUMBER(FIND("arbeid",Methode_Keuze)),"",IF(ISNUMBER(FIND("arbeid",Methode_Keuze)),"",IF(Tb_Activiteiten[[#This Row],[Projectmedewerker]]=1,Tb_Activiteiten[[#Headers],[Projectmedewerker]],"")))</f>
        <v/>
      </c>
      <c r="AN1459" t="str">
        <f>IF(ISNUMBER(FIND("arbeid",Methode_Keuze)),"",IF(ISNUMBER(FIND("arbeid",Methode_Keuze)),"",IF(Tb_Activiteiten[[#This Row],[Landbouwer]]=1,Tb_Activiteiten[[#Headers],[Landbouwer]],"")))</f>
        <v/>
      </c>
      <c r="AO1459" t="str">
        <f>IF(ISNUMBER(FIND("arbeid",Methode_Keuze)),"",IF(ISNUMBER(FIND("arbeid",Methode_Keuze)),"",IF(Tb_Activiteiten[[#This Row],[Adviseur]]=1,Tb_Activiteiten[[#Headers],[Adviseur]],"")))</f>
        <v/>
      </c>
      <c r="AP1459" t="str">
        <f>IF(ISNUMBER(FIND("arbeid",Methode_Keuze)),"",IF(ISNUMBER(FIND("arbeid",Methode_Keuze)),"",IF(Tb_Activiteiten[[#This Row],[Projectleider/Expert]]=1,Tb_Activiteiten[[#Headers],[Projectleider/Expert]],"")))</f>
        <v/>
      </c>
      <c r="AQ1459" t="str">
        <f>IF(ISNUMBER(FIND("arbeid",Methode_Keuze)),"",IF(ISNUMBER(FIND("arbeid",Methode_Keuze)),"",IF(Tb_Activiteiten[[#This Row],[Arbeidskosten]]=1,Tb_Activiteiten[[#Headers],[Arbeidskosten]],"")))</f>
        <v/>
      </c>
      <c r="AR1459" t="str">
        <f>IF(ISNUMBER(FIND("arbeid",Methode_Keuze)),"",IF(ISNUMBER(FIND("arbeid",Methode_Keuze)),"",IF(Tb_Activiteiten[[#This Row],[Arbeidskosten op basis van IKS]]=1,Tb_Activiteiten[[#Headers],[Arbeidskosten op basis van IKS]],"")))</f>
        <v/>
      </c>
      <c r="AS1459" t="str">
        <f>IF(ISNUMBER(FIND("overige",Methode_Keuze)),"",IF(Tb_Activiteiten[[#This Row],[Kosten derden exclusief btw]]=1,Tb_Activiteiten[[#Headers],[Kosten derden exclusief btw]],""))</f>
        <v/>
      </c>
      <c r="AT1459" t="str">
        <f>IF(ISNUMBER(FIND("overige",Methode_Keuze)),"",IF(Tb_Activiteiten[[#This Row],[Niet verrekenbare btw]]=1,Tb_Activiteiten[[#Headers],[Niet verrekenbare btw]],""))</f>
        <v/>
      </c>
      <c r="AU1459" t="str">
        <f>IF(ISNUMBER(FIND("overige",Methode_Keuze)),"",IF(Tb_Activiteiten[[#This Row],[Grondkosten]]=1,Tb_Activiteiten[[#Headers],[Grondkosten]],""))</f>
        <v/>
      </c>
      <c r="AV1459" t="str">
        <f>IF(ISNUMBER(FIND("overige",Methode_Keuze)),"",IF(Tb_Activiteiten[[#This Row],[Bijdrage in natura (overige)]]=1,Tb_Activiteiten[[#Headers],[Bijdrage in natura (overige)]],""))</f>
        <v/>
      </c>
      <c r="AW1459" t="str">
        <f>IF(ISNUMBER(FIND("overige",Methode_Keuze)),"",IF(Tb_Activiteiten[[#This Row],[Bijdrage in natura (vrijwilligers)]]=1,Tb_Activiteiten[[#Headers],[Bijdrage in natura (vrijwilligers)]],""))</f>
        <v/>
      </c>
      <c r="AX1459" t="str">
        <f>IF(ISNUMBER(FIND("overige",Methode_Keuze)),"",IF(Tb_Activiteiten[[#This Row],[Afschrijvingskosten]]=1,Tb_Activiteiten[[#Headers],[Afschrijvingskosten]],""))</f>
        <v/>
      </c>
      <c r="AY1459" t="str">
        <f>IF(ISNUMBER(FIND("overige",Methode_Keuze)),"",IF(Tb_Activiteiten[[#This Row],[Vergoeding]]=1,Tb_Activiteiten[[#Headers],[Vergoeding]],""))</f>
        <v/>
      </c>
      <c r="AZ1459" t="str">
        <f>IF(ISNUMBER(FIND("arbeid",Methode_Keuze)),"",IF(Tb_Activiteiten[[#This Row],[Arbeidskosten - vast tarief (excl eigen arbeid)]]=1,Tb_Activiteiten[[#Headers],[Arbeidskosten - vast tarief (excl eigen arbeid)]],""))</f>
        <v/>
      </c>
      <c r="BA1459" t="str">
        <f>IF(ISNUMBER(FIND("overige",Methode_Keuze)),"",IF(Tb_Activiteiten[[#This Row],[Overige kosten]]=1,Tb_Activiteiten[[#Headers],[Overige kosten]],""))</f>
        <v/>
      </c>
    </row>
    <row r="1460" spans="15:53" x14ac:dyDescent="0.25">
      <c r="O1460" s="56"/>
      <c r="Q1460" t="str">
        <f>IFERROR(IF(VLOOKUP(Tb_Activiteiten[[#This Row],[Openstelling]],Tb_Openstelling[],2,0)=1,1,""),"")</f>
        <v/>
      </c>
      <c r="AK1460" t="str">
        <f>IF(ISNUMBER(FIND("arbeid",Methode_Keuze)),"",IF(ISNUMBER(FIND("arbeid",Methode_Keuze)),"",IF(Tb_Activiteiten[[#This Row],[Loonkosten]]=1,Tb_Activiteiten[[#Headers],[Loonkosten]],"")))</f>
        <v/>
      </c>
      <c r="AL1460" t="str">
        <f>IF(ISNUMBER(FIND("arbeid",Methode_Keuze)),"",IF(ISNUMBER(FIND("arbeid",Methode_Keuze)),"",IF(Tb_Activiteiten[[#This Row],[Eigen arbeid]]=1,Tb_Activiteiten[[#Headers],[Eigen arbeid]],"")))</f>
        <v/>
      </c>
      <c r="AM1460" t="str">
        <f>IF(ISNUMBER(FIND("arbeid",Methode_Keuze)),"",IF(ISNUMBER(FIND("arbeid",Methode_Keuze)),"",IF(Tb_Activiteiten[[#This Row],[Projectmedewerker]]=1,Tb_Activiteiten[[#Headers],[Projectmedewerker]],"")))</f>
        <v/>
      </c>
      <c r="AN1460" t="str">
        <f>IF(ISNUMBER(FIND("arbeid",Methode_Keuze)),"",IF(ISNUMBER(FIND("arbeid",Methode_Keuze)),"",IF(Tb_Activiteiten[[#This Row],[Landbouwer]]=1,Tb_Activiteiten[[#Headers],[Landbouwer]],"")))</f>
        <v/>
      </c>
      <c r="AO1460" t="str">
        <f>IF(ISNUMBER(FIND("arbeid",Methode_Keuze)),"",IF(ISNUMBER(FIND("arbeid",Methode_Keuze)),"",IF(Tb_Activiteiten[[#This Row],[Adviseur]]=1,Tb_Activiteiten[[#Headers],[Adviseur]],"")))</f>
        <v/>
      </c>
      <c r="AP1460" t="str">
        <f>IF(ISNUMBER(FIND("arbeid",Methode_Keuze)),"",IF(ISNUMBER(FIND("arbeid",Methode_Keuze)),"",IF(Tb_Activiteiten[[#This Row],[Projectleider/Expert]]=1,Tb_Activiteiten[[#Headers],[Projectleider/Expert]],"")))</f>
        <v/>
      </c>
      <c r="AQ1460" t="str">
        <f>IF(ISNUMBER(FIND("arbeid",Methode_Keuze)),"",IF(ISNUMBER(FIND("arbeid",Methode_Keuze)),"",IF(Tb_Activiteiten[[#This Row],[Arbeidskosten]]=1,Tb_Activiteiten[[#Headers],[Arbeidskosten]],"")))</f>
        <v/>
      </c>
      <c r="AR1460" t="str">
        <f>IF(ISNUMBER(FIND("arbeid",Methode_Keuze)),"",IF(ISNUMBER(FIND("arbeid",Methode_Keuze)),"",IF(Tb_Activiteiten[[#This Row],[Arbeidskosten op basis van IKS]]=1,Tb_Activiteiten[[#Headers],[Arbeidskosten op basis van IKS]],"")))</f>
        <v/>
      </c>
      <c r="AS1460" t="str">
        <f>IF(ISNUMBER(FIND("overige",Methode_Keuze)),"",IF(Tb_Activiteiten[[#This Row],[Kosten derden exclusief btw]]=1,Tb_Activiteiten[[#Headers],[Kosten derden exclusief btw]],""))</f>
        <v/>
      </c>
      <c r="AT1460" t="str">
        <f>IF(ISNUMBER(FIND("overige",Methode_Keuze)),"",IF(Tb_Activiteiten[[#This Row],[Niet verrekenbare btw]]=1,Tb_Activiteiten[[#Headers],[Niet verrekenbare btw]],""))</f>
        <v/>
      </c>
      <c r="AU1460" t="str">
        <f>IF(ISNUMBER(FIND("overige",Methode_Keuze)),"",IF(Tb_Activiteiten[[#This Row],[Grondkosten]]=1,Tb_Activiteiten[[#Headers],[Grondkosten]],""))</f>
        <v/>
      </c>
      <c r="AV1460" t="str">
        <f>IF(ISNUMBER(FIND("overige",Methode_Keuze)),"",IF(Tb_Activiteiten[[#This Row],[Bijdrage in natura (overige)]]=1,Tb_Activiteiten[[#Headers],[Bijdrage in natura (overige)]],""))</f>
        <v/>
      </c>
      <c r="AW1460" t="str">
        <f>IF(ISNUMBER(FIND("overige",Methode_Keuze)),"",IF(Tb_Activiteiten[[#This Row],[Bijdrage in natura (vrijwilligers)]]=1,Tb_Activiteiten[[#Headers],[Bijdrage in natura (vrijwilligers)]],""))</f>
        <v/>
      </c>
      <c r="AX1460" t="str">
        <f>IF(ISNUMBER(FIND("overige",Methode_Keuze)),"",IF(Tb_Activiteiten[[#This Row],[Afschrijvingskosten]]=1,Tb_Activiteiten[[#Headers],[Afschrijvingskosten]],""))</f>
        <v/>
      </c>
      <c r="AY1460" t="str">
        <f>IF(ISNUMBER(FIND("overige",Methode_Keuze)),"",IF(Tb_Activiteiten[[#This Row],[Vergoeding]]=1,Tb_Activiteiten[[#Headers],[Vergoeding]],""))</f>
        <v/>
      </c>
      <c r="AZ1460" t="str">
        <f>IF(ISNUMBER(FIND("arbeid",Methode_Keuze)),"",IF(Tb_Activiteiten[[#This Row],[Arbeidskosten - vast tarief (excl eigen arbeid)]]=1,Tb_Activiteiten[[#Headers],[Arbeidskosten - vast tarief (excl eigen arbeid)]],""))</f>
        <v/>
      </c>
      <c r="BA1460" t="str">
        <f>IF(ISNUMBER(FIND("overige",Methode_Keuze)),"",IF(Tb_Activiteiten[[#This Row],[Overige kosten]]=1,Tb_Activiteiten[[#Headers],[Overige kosten]],""))</f>
        <v/>
      </c>
    </row>
    <row r="1461" spans="15:53" x14ac:dyDescent="0.25">
      <c r="O1461" s="56"/>
      <c r="Q1461" t="str">
        <f>IFERROR(IF(VLOOKUP(Tb_Activiteiten[[#This Row],[Openstelling]],Tb_Openstelling[],2,0)=1,1,""),"")</f>
        <v/>
      </c>
      <c r="AK1461" t="str">
        <f>IF(ISNUMBER(FIND("arbeid",Methode_Keuze)),"",IF(ISNUMBER(FIND("arbeid",Methode_Keuze)),"",IF(Tb_Activiteiten[[#This Row],[Loonkosten]]=1,Tb_Activiteiten[[#Headers],[Loonkosten]],"")))</f>
        <v/>
      </c>
      <c r="AL1461" t="str">
        <f>IF(ISNUMBER(FIND("arbeid",Methode_Keuze)),"",IF(ISNUMBER(FIND("arbeid",Methode_Keuze)),"",IF(Tb_Activiteiten[[#This Row],[Eigen arbeid]]=1,Tb_Activiteiten[[#Headers],[Eigen arbeid]],"")))</f>
        <v/>
      </c>
      <c r="AM1461" t="str">
        <f>IF(ISNUMBER(FIND("arbeid",Methode_Keuze)),"",IF(ISNUMBER(FIND("arbeid",Methode_Keuze)),"",IF(Tb_Activiteiten[[#This Row],[Projectmedewerker]]=1,Tb_Activiteiten[[#Headers],[Projectmedewerker]],"")))</f>
        <v/>
      </c>
      <c r="AN1461" t="str">
        <f>IF(ISNUMBER(FIND("arbeid",Methode_Keuze)),"",IF(ISNUMBER(FIND("arbeid",Methode_Keuze)),"",IF(Tb_Activiteiten[[#This Row],[Landbouwer]]=1,Tb_Activiteiten[[#Headers],[Landbouwer]],"")))</f>
        <v/>
      </c>
      <c r="AO1461" t="str">
        <f>IF(ISNUMBER(FIND("arbeid",Methode_Keuze)),"",IF(ISNUMBER(FIND("arbeid",Methode_Keuze)),"",IF(Tb_Activiteiten[[#This Row],[Adviseur]]=1,Tb_Activiteiten[[#Headers],[Adviseur]],"")))</f>
        <v/>
      </c>
      <c r="AP1461" t="str">
        <f>IF(ISNUMBER(FIND("arbeid",Methode_Keuze)),"",IF(ISNUMBER(FIND("arbeid",Methode_Keuze)),"",IF(Tb_Activiteiten[[#This Row],[Projectleider/Expert]]=1,Tb_Activiteiten[[#Headers],[Projectleider/Expert]],"")))</f>
        <v/>
      </c>
      <c r="AQ1461" t="str">
        <f>IF(ISNUMBER(FIND("arbeid",Methode_Keuze)),"",IF(ISNUMBER(FIND("arbeid",Methode_Keuze)),"",IF(Tb_Activiteiten[[#This Row],[Arbeidskosten]]=1,Tb_Activiteiten[[#Headers],[Arbeidskosten]],"")))</f>
        <v/>
      </c>
      <c r="AR1461" t="str">
        <f>IF(ISNUMBER(FIND("arbeid",Methode_Keuze)),"",IF(ISNUMBER(FIND("arbeid",Methode_Keuze)),"",IF(Tb_Activiteiten[[#This Row],[Arbeidskosten op basis van IKS]]=1,Tb_Activiteiten[[#Headers],[Arbeidskosten op basis van IKS]],"")))</f>
        <v/>
      </c>
      <c r="AS1461" t="str">
        <f>IF(ISNUMBER(FIND("overige",Methode_Keuze)),"",IF(Tb_Activiteiten[[#This Row],[Kosten derden exclusief btw]]=1,Tb_Activiteiten[[#Headers],[Kosten derden exclusief btw]],""))</f>
        <v/>
      </c>
      <c r="AT1461" t="str">
        <f>IF(ISNUMBER(FIND("overige",Methode_Keuze)),"",IF(Tb_Activiteiten[[#This Row],[Niet verrekenbare btw]]=1,Tb_Activiteiten[[#Headers],[Niet verrekenbare btw]],""))</f>
        <v/>
      </c>
      <c r="AU1461" t="str">
        <f>IF(ISNUMBER(FIND("overige",Methode_Keuze)),"",IF(Tb_Activiteiten[[#This Row],[Grondkosten]]=1,Tb_Activiteiten[[#Headers],[Grondkosten]],""))</f>
        <v/>
      </c>
      <c r="AV1461" t="str">
        <f>IF(ISNUMBER(FIND("overige",Methode_Keuze)),"",IF(Tb_Activiteiten[[#This Row],[Bijdrage in natura (overige)]]=1,Tb_Activiteiten[[#Headers],[Bijdrage in natura (overige)]],""))</f>
        <v/>
      </c>
      <c r="AW1461" t="str">
        <f>IF(ISNUMBER(FIND("overige",Methode_Keuze)),"",IF(Tb_Activiteiten[[#This Row],[Bijdrage in natura (vrijwilligers)]]=1,Tb_Activiteiten[[#Headers],[Bijdrage in natura (vrijwilligers)]],""))</f>
        <v/>
      </c>
      <c r="AX1461" t="str">
        <f>IF(ISNUMBER(FIND("overige",Methode_Keuze)),"",IF(Tb_Activiteiten[[#This Row],[Afschrijvingskosten]]=1,Tb_Activiteiten[[#Headers],[Afschrijvingskosten]],""))</f>
        <v/>
      </c>
      <c r="AY1461" t="str">
        <f>IF(ISNUMBER(FIND("overige",Methode_Keuze)),"",IF(Tb_Activiteiten[[#This Row],[Vergoeding]]=1,Tb_Activiteiten[[#Headers],[Vergoeding]],""))</f>
        <v/>
      </c>
      <c r="AZ1461" t="str">
        <f>IF(ISNUMBER(FIND("arbeid",Methode_Keuze)),"",IF(Tb_Activiteiten[[#This Row],[Arbeidskosten - vast tarief (excl eigen arbeid)]]=1,Tb_Activiteiten[[#Headers],[Arbeidskosten - vast tarief (excl eigen arbeid)]],""))</f>
        <v/>
      </c>
      <c r="BA1461" t="str">
        <f>IF(ISNUMBER(FIND("overige",Methode_Keuze)),"",IF(Tb_Activiteiten[[#This Row],[Overige kosten]]=1,Tb_Activiteiten[[#Headers],[Overige kosten]],""))</f>
        <v/>
      </c>
    </row>
    <row r="1462" spans="15:53" x14ac:dyDescent="0.25">
      <c r="O1462" s="56"/>
      <c r="Q1462" t="str">
        <f>IFERROR(IF(VLOOKUP(Tb_Activiteiten[[#This Row],[Openstelling]],Tb_Openstelling[],2,0)=1,1,""),"")</f>
        <v/>
      </c>
      <c r="AK1462" t="str">
        <f>IF(ISNUMBER(FIND("arbeid",Methode_Keuze)),"",IF(ISNUMBER(FIND("arbeid",Methode_Keuze)),"",IF(Tb_Activiteiten[[#This Row],[Loonkosten]]=1,Tb_Activiteiten[[#Headers],[Loonkosten]],"")))</f>
        <v/>
      </c>
      <c r="AL1462" t="str">
        <f>IF(ISNUMBER(FIND("arbeid",Methode_Keuze)),"",IF(ISNUMBER(FIND("arbeid",Methode_Keuze)),"",IF(Tb_Activiteiten[[#This Row],[Eigen arbeid]]=1,Tb_Activiteiten[[#Headers],[Eigen arbeid]],"")))</f>
        <v/>
      </c>
      <c r="AM1462" t="str">
        <f>IF(ISNUMBER(FIND("arbeid",Methode_Keuze)),"",IF(ISNUMBER(FIND("arbeid",Methode_Keuze)),"",IF(Tb_Activiteiten[[#This Row],[Projectmedewerker]]=1,Tb_Activiteiten[[#Headers],[Projectmedewerker]],"")))</f>
        <v/>
      </c>
      <c r="AN1462" t="str">
        <f>IF(ISNUMBER(FIND("arbeid",Methode_Keuze)),"",IF(ISNUMBER(FIND("arbeid",Methode_Keuze)),"",IF(Tb_Activiteiten[[#This Row],[Landbouwer]]=1,Tb_Activiteiten[[#Headers],[Landbouwer]],"")))</f>
        <v/>
      </c>
      <c r="AO1462" t="str">
        <f>IF(ISNUMBER(FIND("arbeid",Methode_Keuze)),"",IF(ISNUMBER(FIND("arbeid",Methode_Keuze)),"",IF(Tb_Activiteiten[[#This Row],[Adviseur]]=1,Tb_Activiteiten[[#Headers],[Adviseur]],"")))</f>
        <v/>
      </c>
      <c r="AP1462" t="str">
        <f>IF(ISNUMBER(FIND("arbeid",Methode_Keuze)),"",IF(ISNUMBER(FIND("arbeid",Methode_Keuze)),"",IF(Tb_Activiteiten[[#This Row],[Projectleider/Expert]]=1,Tb_Activiteiten[[#Headers],[Projectleider/Expert]],"")))</f>
        <v/>
      </c>
      <c r="AQ1462" t="str">
        <f>IF(ISNUMBER(FIND("arbeid",Methode_Keuze)),"",IF(ISNUMBER(FIND("arbeid",Methode_Keuze)),"",IF(Tb_Activiteiten[[#This Row],[Arbeidskosten]]=1,Tb_Activiteiten[[#Headers],[Arbeidskosten]],"")))</f>
        <v/>
      </c>
      <c r="AR1462" t="str">
        <f>IF(ISNUMBER(FIND("arbeid",Methode_Keuze)),"",IF(ISNUMBER(FIND("arbeid",Methode_Keuze)),"",IF(Tb_Activiteiten[[#This Row],[Arbeidskosten op basis van IKS]]=1,Tb_Activiteiten[[#Headers],[Arbeidskosten op basis van IKS]],"")))</f>
        <v/>
      </c>
      <c r="AS1462" t="str">
        <f>IF(ISNUMBER(FIND("overige",Methode_Keuze)),"",IF(Tb_Activiteiten[[#This Row],[Kosten derden exclusief btw]]=1,Tb_Activiteiten[[#Headers],[Kosten derden exclusief btw]],""))</f>
        <v/>
      </c>
      <c r="AT1462" t="str">
        <f>IF(ISNUMBER(FIND("overige",Methode_Keuze)),"",IF(Tb_Activiteiten[[#This Row],[Niet verrekenbare btw]]=1,Tb_Activiteiten[[#Headers],[Niet verrekenbare btw]],""))</f>
        <v/>
      </c>
      <c r="AU1462" t="str">
        <f>IF(ISNUMBER(FIND("overige",Methode_Keuze)),"",IF(Tb_Activiteiten[[#This Row],[Grondkosten]]=1,Tb_Activiteiten[[#Headers],[Grondkosten]],""))</f>
        <v/>
      </c>
      <c r="AV1462" t="str">
        <f>IF(ISNUMBER(FIND("overige",Methode_Keuze)),"",IF(Tb_Activiteiten[[#This Row],[Bijdrage in natura (overige)]]=1,Tb_Activiteiten[[#Headers],[Bijdrage in natura (overige)]],""))</f>
        <v/>
      </c>
      <c r="AW1462" t="str">
        <f>IF(ISNUMBER(FIND("overige",Methode_Keuze)),"",IF(Tb_Activiteiten[[#This Row],[Bijdrage in natura (vrijwilligers)]]=1,Tb_Activiteiten[[#Headers],[Bijdrage in natura (vrijwilligers)]],""))</f>
        <v/>
      </c>
      <c r="AX1462" t="str">
        <f>IF(ISNUMBER(FIND("overige",Methode_Keuze)),"",IF(Tb_Activiteiten[[#This Row],[Afschrijvingskosten]]=1,Tb_Activiteiten[[#Headers],[Afschrijvingskosten]],""))</f>
        <v/>
      </c>
      <c r="AY1462" t="str">
        <f>IF(ISNUMBER(FIND("overige",Methode_Keuze)),"",IF(Tb_Activiteiten[[#This Row],[Vergoeding]]=1,Tb_Activiteiten[[#Headers],[Vergoeding]],""))</f>
        <v/>
      </c>
      <c r="AZ1462" t="str">
        <f>IF(ISNUMBER(FIND("arbeid",Methode_Keuze)),"",IF(Tb_Activiteiten[[#This Row],[Arbeidskosten - vast tarief (excl eigen arbeid)]]=1,Tb_Activiteiten[[#Headers],[Arbeidskosten - vast tarief (excl eigen arbeid)]],""))</f>
        <v/>
      </c>
      <c r="BA1462" t="str">
        <f>IF(ISNUMBER(FIND("overige",Methode_Keuze)),"",IF(Tb_Activiteiten[[#This Row],[Overige kosten]]=1,Tb_Activiteiten[[#Headers],[Overige kosten]],""))</f>
        <v/>
      </c>
    </row>
    <row r="1463" spans="15:53" x14ac:dyDescent="0.25">
      <c r="O1463" s="56"/>
      <c r="Q1463" t="str">
        <f>IFERROR(IF(VLOOKUP(Tb_Activiteiten[[#This Row],[Openstelling]],Tb_Openstelling[],2,0)=1,1,""),"")</f>
        <v/>
      </c>
      <c r="AK1463" t="str">
        <f>IF(ISNUMBER(FIND("arbeid",Methode_Keuze)),"",IF(ISNUMBER(FIND("arbeid",Methode_Keuze)),"",IF(Tb_Activiteiten[[#This Row],[Loonkosten]]=1,Tb_Activiteiten[[#Headers],[Loonkosten]],"")))</f>
        <v/>
      </c>
      <c r="AL1463" t="str">
        <f>IF(ISNUMBER(FIND("arbeid",Methode_Keuze)),"",IF(ISNUMBER(FIND("arbeid",Methode_Keuze)),"",IF(Tb_Activiteiten[[#This Row],[Eigen arbeid]]=1,Tb_Activiteiten[[#Headers],[Eigen arbeid]],"")))</f>
        <v/>
      </c>
      <c r="AM1463" t="str">
        <f>IF(ISNUMBER(FIND("arbeid",Methode_Keuze)),"",IF(ISNUMBER(FIND("arbeid",Methode_Keuze)),"",IF(Tb_Activiteiten[[#This Row],[Projectmedewerker]]=1,Tb_Activiteiten[[#Headers],[Projectmedewerker]],"")))</f>
        <v/>
      </c>
      <c r="AN1463" t="str">
        <f>IF(ISNUMBER(FIND("arbeid",Methode_Keuze)),"",IF(ISNUMBER(FIND("arbeid",Methode_Keuze)),"",IF(Tb_Activiteiten[[#This Row],[Landbouwer]]=1,Tb_Activiteiten[[#Headers],[Landbouwer]],"")))</f>
        <v/>
      </c>
      <c r="AO1463" t="str">
        <f>IF(ISNUMBER(FIND("arbeid",Methode_Keuze)),"",IF(ISNUMBER(FIND("arbeid",Methode_Keuze)),"",IF(Tb_Activiteiten[[#This Row],[Adviseur]]=1,Tb_Activiteiten[[#Headers],[Adviseur]],"")))</f>
        <v/>
      </c>
      <c r="AP1463" t="str">
        <f>IF(ISNUMBER(FIND("arbeid",Methode_Keuze)),"",IF(ISNUMBER(FIND("arbeid",Methode_Keuze)),"",IF(Tb_Activiteiten[[#This Row],[Projectleider/Expert]]=1,Tb_Activiteiten[[#Headers],[Projectleider/Expert]],"")))</f>
        <v/>
      </c>
      <c r="AQ1463" t="str">
        <f>IF(ISNUMBER(FIND("arbeid",Methode_Keuze)),"",IF(ISNUMBER(FIND("arbeid",Methode_Keuze)),"",IF(Tb_Activiteiten[[#This Row],[Arbeidskosten]]=1,Tb_Activiteiten[[#Headers],[Arbeidskosten]],"")))</f>
        <v/>
      </c>
      <c r="AR1463" t="str">
        <f>IF(ISNUMBER(FIND("arbeid",Methode_Keuze)),"",IF(ISNUMBER(FIND("arbeid",Methode_Keuze)),"",IF(Tb_Activiteiten[[#This Row],[Arbeidskosten op basis van IKS]]=1,Tb_Activiteiten[[#Headers],[Arbeidskosten op basis van IKS]],"")))</f>
        <v/>
      </c>
      <c r="AS1463" t="str">
        <f>IF(ISNUMBER(FIND("overige",Methode_Keuze)),"",IF(Tb_Activiteiten[[#This Row],[Kosten derden exclusief btw]]=1,Tb_Activiteiten[[#Headers],[Kosten derden exclusief btw]],""))</f>
        <v/>
      </c>
      <c r="AT1463" t="str">
        <f>IF(ISNUMBER(FIND("overige",Methode_Keuze)),"",IF(Tb_Activiteiten[[#This Row],[Niet verrekenbare btw]]=1,Tb_Activiteiten[[#Headers],[Niet verrekenbare btw]],""))</f>
        <v/>
      </c>
      <c r="AU1463" t="str">
        <f>IF(ISNUMBER(FIND("overige",Methode_Keuze)),"",IF(Tb_Activiteiten[[#This Row],[Grondkosten]]=1,Tb_Activiteiten[[#Headers],[Grondkosten]],""))</f>
        <v/>
      </c>
      <c r="AV1463" t="str">
        <f>IF(ISNUMBER(FIND("overige",Methode_Keuze)),"",IF(Tb_Activiteiten[[#This Row],[Bijdrage in natura (overige)]]=1,Tb_Activiteiten[[#Headers],[Bijdrage in natura (overige)]],""))</f>
        <v/>
      </c>
      <c r="AW1463" t="str">
        <f>IF(ISNUMBER(FIND("overige",Methode_Keuze)),"",IF(Tb_Activiteiten[[#This Row],[Bijdrage in natura (vrijwilligers)]]=1,Tb_Activiteiten[[#Headers],[Bijdrage in natura (vrijwilligers)]],""))</f>
        <v/>
      </c>
      <c r="AX1463" t="str">
        <f>IF(ISNUMBER(FIND("overige",Methode_Keuze)),"",IF(Tb_Activiteiten[[#This Row],[Afschrijvingskosten]]=1,Tb_Activiteiten[[#Headers],[Afschrijvingskosten]],""))</f>
        <v/>
      </c>
      <c r="AY1463" t="str">
        <f>IF(ISNUMBER(FIND("overige",Methode_Keuze)),"",IF(Tb_Activiteiten[[#This Row],[Vergoeding]]=1,Tb_Activiteiten[[#Headers],[Vergoeding]],""))</f>
        <v/>
      </c>
      <c r="AZ1463" t="str">
        <f>IF(ISNUMBER(FIND("arbeid",Methode_Keuze)),"",IF(Tb_Activiteiten[[#This Row],[Arbeidskosten - vast tarief (excl eigen arbeid)]]=1,Tb_Activiteiten[[#Headers],[Arbeidskosten - vast tarief (excl eigen arbeid)]],""))</f>
        <v/>
      </c>
      <c r="BA1463" t="str">
        <f>IF(ISNUMBER(FIND("overige",Methode_Keuze)),"",IF(Tb_Activiteiten[[#This Row],[Overige kosten]]=1,Tb_Activiteiten[[#Headers],[Overige kosten]],""))</f>
        <v/>
      </c>
    </row>
    <row r="1464" spans="15:53" x14ac:dyDescent="0.25">
      <c r="O1464" s="56"/>
      <c r="Q1464" t="str">
        <f>IFERROR(IF(VLOOKUP(Tb_Activiteiten[[#This Row],[Openstelling]],Tb_Openstelling[],2,0)=1,1,""),"")</f>
        <v/>
      </c>
      <c r="AK1464" t="str">
        <f>IF(ISNUMBER(FIND("arbeid",Methode_Keuze)),"",IF(ISNUMBER(FIND("arbeid",Methode_Keuze)),"",IF(Tb_Activiteiten[[#This Row],[Loonkosten]]=1,Tb_Activiteiten[[#Headers],[Loonkosten]],"")))</f>
        <v/>
      </c>
      <c r="AL1464" t="str">
        <f>IF(ISNUMBER(FIND("arbeid",Methode_Keuze)),"",IF(ISNUMBER(FIND("arbeid",Methode_Keuze)),"",IF(Tb_Activiteiten[[#This Row],[Eigen arbeid]]=1,Tb_Activiteiten[[#Headers],[Eigen arbeid]],"")))</f>
        <v/>
      </c>
      <c r="AM1464" t="str">
        <f>IF(ISNUMBER(FIND("arbeid",Methode_Keuze)),"",IF(ISNUMBER(FIND("arbeid",Methode_Keuze)),"",IF(Tb_Activiteiten[[#This Row],[Projectmedewerker]]=1,Tb_Activiteiten[[#Headers],[Projectmedewerker]],"")))</f>
        <v/>
      </c>
      <c r="AN1464" t="str">
        <f>IF(ISNUMBER(FIND("arbeid",Methode_Keuze)),"",IF(ISNUMBER(FIND("arbeid",Methode_Keuze)),"",IF(Tb_Activiteiten[[#This Row],[Landbouwer]]=1,Tb_Activiteiten[[#Headers],[Landbouwer]],"")))</f>
        <v/>
      </c>
      <c r="AO1464" t="str">
        <f>IF(ISNUMBER(FIND("arbeid",Methode_Keuze)),"",IF(ISNUMBER(FIND("arbeid",Methode_Keuze)),"",IF(Tb_Activiteiten[[#This Row],[Adviseur]]=1,Tb_Activiteiten[[#Headers],[Adviseur]],"")))</f>
        <v/>
      </c>
      <c r="AP1464" t="str">
        <f>IF(ISNUMBER(FIND("arbeid",Methode_Keuze)),"",IF(ISNUMBER(FIND("arbeid",Methode_Keuze)),"",IF(Tb_Activiteiten[[#This Row],[Projectleider/Expert]]=1,Tb_Activiteiten[[#Headers],[Projectleider/Expert]],"")))</f>
        <v/>
      </c>
      <c r="AQ1464" t="str">
        <f>IF(ISNUMBER(FIND("arbeid",Methode_Keuze)),"",IF(ISNUMBER(FIND("arbeid",Methode_Keuze)),"",IF(Tb_Activiteiten[[#This Row],[Arbeidskosten]]=1,Tb_Activiteiten[[#Headers],[Arbeidskosten]],"")))</f>
        <v/>
      </c>
      <c r="AR1464" t="str">
        <f>IF(ISNUMBER(FIND("arbeid",Methode_Keuze)),"",IF(ISNUMBER(FIND("arbeid",Methode_Keuze)),"",IF(Tb_Activiteiten[[#This Row],[Arbeidskosten op basis van IKS]]=1,Tb_Activiteiten[[#Headers],[Arbeidskosten op basis van IKS]],"")))</f>
        <v/>
      </c>
      <c r="AS1464" t="str">
        <f>IF(ISNUMBER(FIND("overige",Methode_Keuze)),"",IF(Tb_Activiteiten[[#This Row],[Kosten derden exclusief btw]]=1,Tb_Activiteiten[[#Headers],[Kosten derden exclusief btw]],""))</f>
        <v/>
      </c>
      <c r="AT1464" t="str">
        <f>IF(ISNUMBER(FIND("overige",Methode_Keuze)),"",IF(Tb_Activiteiten[[#This Row],[Niet verrekenbare btw]]=1,Tb_Activiteiten[[#Headers],[Niet verrekenbare btw]],""))</f>
        <v/>
      </c>
      <c r="AU1464" t="str">
        <f>IF(ISNUMBER(FIND("overige",Methode_Keuze)),"",IF(Tb_Activiteiten[[#This Row],[Grondkosten]]=1,Tb_Activiteiten[[#Headers],[Grondkosten]],""))</f>
        <v/>
      </c>
      <c r="AV1464" t="str">
        <f>IF(ISNUMBER(FIND("overige",Methode_Keuze)),"",IF(Tb_Activiteiten[[#This Row],[Bijdrage in natura (overige)]]=1,Tb_Activiteiten[[#Headers],[Bijdrage in natura (overige)]],""))</f>
        <v/>
      </c>
      <c r="AW1464" t="str">
        <f>IF(ISNUMBER(FIND("overige",Methode_Keuze)),"",IF(Tb_Activiteiten[[#This Row],[Bijdrage in natura (vrijwilligers)]]=1,Tb_Activiteiten[[#Headers],[Bijdrage in natura (vrijwilligers)]],""))</f>
        <v/>
      </c>
      <c r="AX1464" t="str">
        <f>IF(ISNUMBER(FIND("overige",Methode_Keuze)),"",IF(Tb_Activiteiten[[#This Row],[Afschrijvingskosten]]=1,Tb_Activiteiten[[#Headers],[Afschrijvingskosten]],""))</f>
        <v/>
      </c>
      <c r="AY1464" t="str">
        <f>IF(ISNUMBER(FIND("overige",Methode_Keuze)),"",IF(Tb_Activiteiten[[#This Row],[Vergoeding]]=1,Tb_Activiteiten[[#Headers],[Vergoeding]],""))</f>
        <v/>
      </c>
      <c r="AZ1464" t="str">
        <f>IF(ISNUMBER(FIND("arbeid",Methode_Keuze)),"",IF(Tb_Activiteiten[[#This Row],[Arbeidskosten - vast tarief (excl eigen arbeid)]]=1,Tb_Activiteiten[[#Headers],[Arbeidskosten - vast tarief (excl eigen arbeid)]],""))</f>
        <v/>
      </c>
      <c r="BA1464" t="str">
        <f>IF(ISNUMBER(FIND("overige",Methode_Keuze)),"",IF(Tb_Activiteiten[[#This Row],[Overige kosten]]=1,Tb_Activiteiten[[#Headers],[Overige kosten]],""))</f>
        <v/>
      </c>
    </row>
    <row r="1465" spans="15:53" x14ac:dyDescent="0.25">
      <c r="O1465" s="56"/>
      <c r="Q1465" t="str">
        <f>IFERROR(IF(VLOOKUP(Tb_Activiteiten[[#This Row],[Openstelling]],Tb_Openstelling[],2,0)=1,1,""),"")</f>
        <v/>
      </c>
      <c r="AK1465" t="str">
        <f>IF(ISNUMBER(FIND("arbeid",Methode_Keuze)),"",IF(ISNUMBER(FIND("arbeid",Methode_Keuze)),"",IF(Tb_Activiteiten[[#This Row],[Loonkosten]]=1,Tb_Activiteiten[[#Headers],[Loonkosten]],"")))</f>
        <v/>
      </c>
      <c r="AL1465" t="str">
        <f>IF(ISNUMBER(FIND("arbeid",Methode_Keuze)),"",IF(ISNUMBER(FIND("arbeid",Methode_Keuze)),"",IF(Tb_Activiteiten[[#This Row],[Eigen arbeid]]=1,Tb_Activiteiten[[#Headers],[Eigen arbeid]],"")))</f>
        <v/>
      </c>
      <c r="AM1465" t="str">
        <f>IF(ISNUMBER(FIND("arbeid",Methode_Keuze)),"",IF(ISNUMBER(FIND("arbeid",Methode_Keuze)),"",IF(Tb_Activiteiten[[#This Row],[Projectmedewerker]]=1,Tb_Activiteiten[[#Headers],[Projectmedewerker]],"")))</f>
        <v/>
      </c>
      <c r="AN1465" t="str">
        <f>IF(ISNUMBER(FIND("arbeid",Methode_Keuze)),"",IF(ISNUMBER(FIND("arbeid",Methode_Keuze)),"",IF(Tb_Activiteiten[[#This Row],[Landbouwer]]=1,Tb_Activiteiten[[#Headers],[Landbouwer]],"")))</f>
        <v/>
      </c>
      <c r="AO1465" t="str">
        <f>IF(ISNUMBER(FIND("arbeid",Methode_Keuze)),"",IF(ISNUMBER(FIND("arbeid",Methode_Keuze)),"",IF(Tb_Activiteiten[[#This Row],[Adviseur]]=1,Tb_Activiteiten[[#Headers],[Adviseur]],"")))</f>
        <v/>
      </c>
      <c r="AP1465" t="str">
        <f>IF(ISNUMBER(FIND("arbeid",Methode_Keuze)),"",IF(ISNUMBER(FIND("arbeid",Methode_Keuze)),"",IF(Tb_Activiteiten[[#This Row],[Projectleider/Expert]]=1,Tb_Activiteiten[[#Headers],[Projectleider/Expert]],"")))</f>
        <v/>
      </c>
      <c r="AQ1465" t="str">
        <f>IF(ISNUMBER(FIND("arbeid",Methode_Keuze)),"",IF(ISNUMBER(FIND("arbeid",Methode_Keuze)),"",IF(Tb_Activiteiten[[#This Row],[Arbeidskosten]]=1,Tb_Activiteiten[[#Headers],[Arbeidskosten]],"")))</f>
        <v/>
      </c>
      <c r="AR1465" t="str">
        <f>IF(ISNUMBER(FIND("arbeid",Methode_Keuze)),"",IF(ISNUMBER(FIND("arbeid",Methode_Keuze)),"",IF(Tb_Activiteiten[[#This Row],[Arbeidskosten op basis van IKS]]=1,Tb_Activiteiten[[#Headers],[Arbeidskosten op basis van IKS]],"")))</f>
        <v/>
      </c>
      <c r="AS1465" t="str">
        <f>IF(ISNUMBER(FIND("overige",Methode_Keuze)),"",IF(Tb_Activiteiten[[#This Row],[Kosten derden exclusief btw]]=1,Tb_Activiteiten[[#Headers],[Kosten derden exclusief btw]],""))</f>
        <v/>
      </c>
      <c r="AT1465" t="str">
        <f>IF(ISNUMBER(FIND("overige",Methode_Keuze)),"",IF(Tb_Activiteiten[[#This Row],[Niet verrekenbare btw]]=1,Tb_Activiteiten[[#Headers],[Niet verrekenbare btw]],""))</f>
        <v/>
      </c>
      <c r="AU1465" t="str">
        <f>IF(ISNUMBER(FIND("overige",Methode_Keuze)),"",IF(Tb_Activiteiten[[#This Row],[Grondkosten]]=1,Tb_Activiteiten[[#Headers],[Grondkosten]],""))</f>
        <v/>
      </c>
      <c r="AV1465" t="str">
        <f>IF(ISNUMBER(FIND("overige",Methode_Keuze)),"",IF(Tb_Activiteiten[[#This Row],[Bijdrage in natura (overige)]]=1,Tb_Activiteiten[[#Headers],[Bijdrage in natura (overige)]],""))</f>
        <v/>
      </c>
      <c r="AW1465" t="str">
        <f>IF(ISNUMBER(FIND("overige",Methode_Keuze)),"",IF(Tb_Activiteiten[[#This Row],[Bijdrage in natura (vrijwilligers)]]=1,Tb_Activiteiten[[#Headers],[Bijdrage in natura (vrijwilligers)]],""))</f>
        <v/>
      </c>
      <c r="AX1465" t="str">
        <f>IF(ISNUMBER(FIND("overige",Methode_Keuze)),"",IF(Tb_Activiteiten[[#This Row],[Afschrijvingskosten]]=1,Tb_Activiteiten[[#Headers],[Afschrijvingskosten]],""))</f>
        <v/>
      </c>
      <c r="AY1465" t="str">
        <f>IF(ISNUMBER(FIND("overige",Methode_Keuze)),"",IF(Tb_Activiteiten[[#This Row],[Vergoeding]]=1,Tb_Activiteiten[[#Headers],[Vergoeding]],""))</f>
        <v/>
      </c>
      <c r="AZ1465" t="str">
        <f>IF(ISNUMBER(FIND("arbeid",Methode_Keuze)),"",IF(Tb_Activiteiten[[#This Row],[Arbeidskosten - vast tarief (excl eigen arbeid)]]=1,Tb_Activiteiten[[#Headers],[Arbeidskosten - vast tarief (excl eigen arbeid)]],""))</f>
        <v/>
      </c>
      <c r="BA1465" t="str">
        <f>IF(ISNUMBER(FIND("overige",Methode_Keuze)),"",IF(Tb_Activiteiten[[#This Row],[Overige kosten]]=1,Tb_Activiteiten[[#Headers],[Overige kosten]],""))</f>
        <v/>
      </c>
    </row>
    <row r="1466" spans="15:53" x14ac:dyDescent="0.25">
      <c r="O1466" s="56"/>
      <c r="Q1466" t="str">
        <f>IFERROR(IF(VLOOKUP(Tb_Activiteiten[[#This Row],[Openstelling]],Tb_Openstelling[],2,0)=1,1,""),"")</f>
        <v/>
      </c>
      <c r="AK1466" t="str">
        <f>IF(ISNUMBER(FIND("arbeid",Methode_Keuze)),"",IF(ISNUMBER(FIND("arbeid",Methode_Keuze)),"",IF(Tb_Activiteiten[[#This Row],[Loonkosten]]=1,Tb_Activiteiten[[#Headers],[Loonkosten]],"")))</f>
        <v/>
      </c>
      <c r="AL1466" t="str">
        <f>IF(ISNUMBER(FIND("arbeid",Methode_Keuze)),"",IF(ISNUMBER(FIND("arbeid",Methode_Keuze)),"",IF(Tb_Activiteiten[[#This Row],[Eigen arbeid]]=1,Tb_Activiteiten[[#Headers],[Eigen arbeid]],"")))</f>
        <v/>
      </c>
      <c r="AM1466" t="str">
        <f>IF(ISNUMBER(FIND("arbeid",Methode_Keuze)),"",IF(ISNUMBER(FIND("arbeid",Methode_Keuze)),"",IF(Tb_Activiteiten[[#This Row],[Projectmedewerker]]=1,Tb_Activiteiten[[#Headers],[Projectmedewerker]],"")))</f>
        <v/>
      </c>
      <c r="AN1466" t="str">
        <f>IF(ISNUMBER(FIND("arbeid",Methode_Keuze)),"",IF(ISNUMBER(FIND("arbeid",Methode_Keuze)),"",IF(Tb_Activiteiten[[#This Row],[Landbouwer]]=1,Tb_Activiteiten[[#Headers],[Landbouwer]],"")))</f>
        <v/>
      </c>
      <c r="AO1466" t="str">
        <f>IF(ISNUMBER(FIND("arbeid",Methode_Keuze)),"",IF(ISNUMBER(FIND("arbeid",Methode_Keuze)),"",IF(Tb_Activiteiten[[#This Row],[Adviseur]]=1,Tb_Activiteiten[[#Headers],[Adviseur]],"")))</f>
        <v/>
      </c>
      <c r="AP1466" t="str">
        <f>IF(ISNUMBER(FIND("arbeid",Methode_Keuze)),"",IF(ISNUMBER(FIND("arbeid",Methode_Keuze)),"",IF(Tb_Activiteiten[[#This Row],[Projectleider/Expert]]=1,Tb_Activiteiten[[#Headers],[Projectleider/Expert]],"")))</f>
        <v/>
      </c>
      <c r="AQ1466" t="str">
        <f>IF(ISNUMBER(FIND("arbeid",Methode_Keuze)),"",IF(ISNUMBER(FIND("arbeid",Methode_Keuze)),"",IF(Tb_Activiteiten[[#This Row],[Arbeidskosten]]=1,Tb_Activiteiten[[#Headers],[Arbeidskosten]],"")))</f>
        <v/>
      </c>
      <c r="AR1466" t="str">
        <f>IF(ISNUMBER(FIND("arbeid",Methode_Keuze)),"",IF(ISNUMBER(FIND("arbeid",Methode_Keuze)),"",IF(Tb_Activiteiten[[#This Row],[Arbeidskosten op basis van IKS]]=1,Tb_Activiteiten[[#Headers],[Arbeidskosten op basis van IKS]],"")))</f>
        <v/>
      </c>
      <c r="AS1466" t="str">
        <f>IF(ISNUMBER(FIND("overige",Methode_Keuze)),"",IF(Tb_Activiteiten[[#This Row],[Kosten derden exclusief btw]]=1,Tb_Activiteiten[[#Headers],[Kosten derden exclusief btw]],""))</f>
        <v/>
      </c>
      <c r="AT1466" t="str">
        <f>IF(ISNUMBER(FIND("overige",Methode_Keuze)),"",IF(Tb_Activiteiten[[#This Row],[Niet verrekenbare btw]]=1,Tb_Activiteiten[[#Headers],[Niet verrekenbare btw]],""))</f>
        <v/>
      </c>
      <c r="AU1466" t="str">
        <f>IF(ISNUMBER(FIND("overige",Methode_Keuze)),"",IF(Tb_Activiteiten[[#This Row],[Grondkosten]]=1,Tb_Activiteiten[[#Headers],[Grondkosten]],""))</f>
        <v/>
      </c>
      <c r="AV1466" t="str">
        <f>IF(ISNUMBER(FIND("overige",Methode_Keuze)),"",IF(Tb_Activiteiten[[#This Row],[Bijdrage in natura (overige)]]=1,Tb_Activiteiten[[#Headers],[Bijdrage in natura (overige)]],""))</f>
        <v/>
      </c>
      <c r="AW1466" t="str">
        <f>IF(ISNUMBER(FIND("overige",Methode_Keuze)),"",IF(Tb_Activiteiten[[#This Row],[Bijdrage in natura (vrijwilligers)]]=1,Tb_Activiteiten[[#Headers],[Bijdrage in natura (vrijwilligers)]],""))</f>
        <v/>
      </c>
      <c r="AX1466" t="str">
        <f>IF(ISNUMBER(FIND("overige",Methode_Keuze)),"",IF(Tb_Activiteiten[[#This Row],[Afschrijvingskosten]]=1,Tb_Activiteiten[[#Headers],[Afschrijvingskosten]],""))</f>
        <v/>
      </c>
      <c r="AY1466" t="str">
        <f>IF(ISNUMBER(FIND("overige",Methode_Keuze)),"",IF(Tb_Activiteiten[[#This Row],[Vergoeding]]=1,Tb_Activiteiten[[#Headers],[Vergoeding]],""))</f>
        <v/>
      </c>
      <c r="AZ1466" t="str">
        <f>IF(ISNUMBER(FIND("arbeid",Methode_Keuze)),"",IF(Tb_Activiteiten[[#This Row],[Arbeidskosten - vast tarief (excl eigen arbeid)]]=1,Tb_Activiteiten[[#Headers],[Arbeidskosten - vast tarief (excl eigen arbeid)]],""))</f>
        <v/>
      </c>
      <c r="BA1466" t="str">
        <f>IF(ISNUMBER(FIND("overige",Methode_Keuze)),"",IF(Tb_Activiteiten[[#This Row],[Overige kosten]]=1,Tb_Activiteiten[[#Headers],[Overige kosten]],""))</f>
        <v/>
      </c>
    </row>
    <row r="1467" spans="15:53" x14ac:dyDescent="0.25">
      <c r="O1467" s="56"/>
      <c r="Q1467" t="str">
        <f>IFERROR(IF(VLOOKUP(Tb_Activiteiten[[#This Row],[Openstelling]],Tb_Openstelling[],2,0)=1,1,""),"")</f>
        <v/>
      </c>
      <c r="AK1467" t="str">
        <f>IF(ISNUMBER(FIND("arbeid",Methode_Keuze)),"",IF(ISNUMBER(FIND("arbeid",Methode_Keuze)),"",IF(Tb_Activiteiten[[#This Row],[Loonkosten]]=1,Tb_Activiteiten[[#Headers],[Loonkosten]],"")))</f>
        <v/>
      </c>
      <c r="AL1467" t="str">
        <f>IF(ISNUMBER(FIND("arbeid",Methode_Keuze)),"",IF(ISNUMBER(FIND("arbeid",Methode_Keuze)),"",IF(Tb_Activiteiten[[#This Row],[Eigen arbeid]]=1,Tb_Activiteiten[[#Headers],[Eigen arbeid]],"")))</f>
        <v/>
      </c>
      <c r="AM1467" t="str">
        <f>IF(ISNUMBER(FIND("arbeid",Methode_Keuze)),"",IF(ISNUMBER(FIND("arbeid",Methode_Keuze)),"",IF(Tb_Activiteiten[[#This Row],[Projectmedewerker]]=1,Tb_Activiteiten[[#Headers],[Projectmedewerker]],"")))</f>
        <v/>
      </c>
      <c r="AN1467" t="str">
        <f>IF(ISNUMBER(FIND("arbeid",Methode_Keuze)),"",IF(ISNUMBER(FIND("arbeid",Methode_Keuze)),"",IF(Tb_Activiteiten[[#This Row],[Landbouwer]]=1,Tb_Activiteiten[[#Headers],[Landbouwer]],"")))</f>
        <v/>
      </c>
      <c r="AO1467" t="str">
        <f>IF(ISNUMBER(FIND("arbeid",Methode_Keuze)),"",IF(ISNUMBER(FIND("arbeid",Methode_Keuze)),"",IF(Tb_Activiteiten[[#This Row],[Adviseur]]=1,Tb_Activiteiten[[#Headers],[Adviseur]],"")))</f>
        <v/>
      </c>
      <c r="AP1467" t="str">
        <f>IF(ISNUMBER(FIND("arbeid",Methode_Keuze)),"",IF(ISNUMBER(FIND("arbeid",Methode_Keuze)),"",IF(Tb_Activiteiten[[#This Row],[Projectleider/Expert]]=1,Tb_Activiteiten[[#Headers],[Projectleider/Expert]],"")))</f>
        <v/>
      </c>
      <c r="AQ1467" t="str">
        <f>IF(ISNUMBER(FIND("arbeid",Methode_Keuze)),"",IF(ISNUMBER(FIND("arbeid",Methode_Keuze)),"",IF(Tb_Activiteiten[[#This Row],[Arbeidskosten]]=1,Tb_Activiteiten[[#Headers],[Arbeidskosten]],"")))</f>
        <v/>
      </c>
      <c r="AR1467" t="str">
        <f>IF(ISNUMBER(FIND("arbeid",Methode_Keuze)),"",IF(ISNUMBER(FIND("arbeid",Methode_Keuze)),"",IF(Tb_Activiteiten[[#This Row],[Arbeidskosten op basis van IKS]]=1,Tb_Activiteiten[[#Headers],[Arbeidskosten op basis van IKS]],"")))</f>
        <v/>
      </c>
      <c r="AS1467" t="str">
        <f>IF(ISNUMBER(FIND("overige",Methode_Keuze)),"",IF(Tb_Activiteiten[[#This Row],[Kosten derden exclusief btw]]=1,Tb_Activiteiten[[#Headers],[Kosten derden exclusief btw]],""))</f>
        <v/>
      </c>
      <c r="AT1467" t="str">
        <f>IF(ISNUMBER(FIND("overige",Methode_Keuze)),"",IF(Tb_Activiteiten[[#This Row],[Niet verrekenbare btw]]=1,Tb_Activiteiten[[#Headers],[Niet verrekenbare btw]],""))</f>
        <v/>
      </c>
      <c r="AU1467" t="str">
        <f>IF(ISNUMBER(FIND("overige",Methode_Keuze)),"",IF(Tb_Activiteiten[[#This Row],[Grondkosten]]=1,Tb_Activiteiten[[#Headers],[Grondkosten]],""))</f>
        <v/>
      </c>
      <c r="AV1467" t="str">
        <f>IF(ISNUMBER(FIND("overige",Methode_Keuze)),"",IF(Tb_Activiteiten[[#This Row],[Bijdrage in natura (overige)]]=1,Tb_Activiteiten[[#Headers],[Bijdrage in natura (overige)]],""))</f>
        <v/>
      </c>
      <c r="AW1467" t="str">
        <f>IF(ISNUMBER(FIND("overige",Methode_Keuze)),"",IF(Tb_Activiteiten[[#This Row],[Bijdrage in natura (vrijwilligers)]]=1,Tb_Activiteiten[[#Headers],[Bijdrage in natura (vrijwilligers)]],""))</f>
        <v/>
      </c>
      <c r="AX1467" t="str">
        <f>IF(ISNUMBER(FIND("overige",Methode_Keuze)),"",IF(Tb_Activiteiten[[#This Row],[Afschrijvingskosten]]=1,Tb_Activiteiten[[#Headers],[Afschrijvingskosten]],""))</f>
        <v/>
      </c>
      <c r="AY1467" t="str">
        <f>IF(ISNUMBER(FIND("overige",Methode_Keuze)),"",IF(Tb_Activiteiten[[#This Row],[Vergoeding]]=1,Tb_Activiteiten[[#Headers],[Vergoeding]],""))</f>
        <v/>
      </c>
      <c r="AZ1467" t="str">
        <f>IF(ISNUMBER(FIND("arbeid",Methode_Keuze)),"",IF(Tb_Activiteiten[[#This Row],[Arbeidskosten - vast tarief (excl eigen arbeid)]]=1,Tb_Activiteiten[[#Headers],[Arbeidskosten - vast tarief (excl eigen arbeid)]],""))</f>
        <v/>
      </c>
      <c r="BA1467" t="str">
        <f>IF(ISNUMBER(FIND("overige",Methode_Keuze)),"",IF(Tb_Activiteiten[[#This Row],[Overige kosten]]=1,Tb_Activiteiten[[#Headers],[Overige kosten]],""))</f>
        <v/>
      </c>
    </row>
    <row r="1468" spans="15:53" x14ac:dyDescent="0.25">
      <c r="O1468" s="56"/>
      <c r="Q1468" t="str">
        <f>IFERROR(IF(VLOOKUP(Tb_Activiteiten[[#This Row],[Openstelling]],Tb_Openstelling[],2,0)=1,1,""),"")</f>
        <v/>
      </c>
      <c r="AK1468" t="str">
        <f>IF(ISNUMBER(FIND("arbeid",Methode_Keuze)),"",IF(ISNUMBER(FIND("arbeid",Methode_Keuze)),"",IF(Tb_Activiteiten[[#This Row],[Loonkosten]]=1,Tb_Activiteiten[[#Headers],[Loonkosten]],"")))</f>
        <v/>
      </c>
      <c r="AL1468" t="str">
        <f>IF(ISNUMBER(FIND("arbeid",Methode_Keuze)),"",IF(ISNUMBER(FIND("arbeid",Methode_Keuze)),"",IF(Tb_Activiteiten[[#This Row],[Eigen arbeid]]=1,Tb_Activiteiten[[#Headers],[Eigen arbeid]],"")))</f>
        <v/>
      </c>
      <c r="AM1468" t="str">
        <f>IF(ISNUMBER(FIND("arbeid",Methode_Keuze)),"",IF(ISNUMBER(FIND("arbeid",Methode_Keuze)),"",IF(Tb_Activiteiten[[#This Row],[Projectmedewerker]]=1,Tb_Activiteiten[[#Headers],[Projectmedewerker]],"")))</f>
        <v/>
      </c>
      <c r="AN1468" t="str">
        <f>IF(ISNUMBER(FIND("arbeid",Methode_Keuze)),"",IF(ISNUMBER(FIND("arbeid",Methode_Keuze)),"",IF(Tb_Activiteiten[[#This Row],[Landbouwer]]=1,Tb_Activiteiten[[#Headers],[Landbouwer]],"")))</f>
        <v/>
      </c>
      <c r="AO1468" t="str">
        <f>IF(ISNUMBER(FIND("arbeid",Methode_Keuze)),"",IF(ISNUMBER(FIND("arbeid",Methode_Keuze)),"",IF(Tb_Activiteiten[[#This Row],[Adviseur]]=1,Tb_Activiteiten[[#Headers],[Adviseur]],"")))</f>
        <v/>
      </c>
      <c r="AP1468" t="str">
        <f>IF(ISNUMBER(FIND("arbeid",Methode_Keuze)),"",IF(ISNUMBER(FIND("arbeid",Methode_Keuze)),"",IF(Tb_Activiteiten[[#This Row],[Projectleider/Expert]]=1,Tb_Activiteiten[[#Headers],[Projectleider/Expert]],"")))</f>
        <v/>
      </c>
      <c r="AQ1468" t="str">
        <f>IF(ISNUMBER(FIND("arbeid",Methode_Keuze)),"",IF(ISNUMBER(FIND("arbeid",Methode_Keuze)),"",IF(Tb_Activiteiten[[#This Row],[Arbeidskosten]]=1,Tb_Activiteiten[[#Headers],[Arbeidskosten]],"")))</f>
        <v/>
      </c>
      <c r="AR1468" t="str">
        <f>IF(ISNUMBER(FIND("arbeid",Methode_Keuze)),"",IF(ISNUMBER(FIND("arbeid",Methode_Keuze)),"",IF(Tb_Activiteiten[[#This Row],[Arbeidskosten op basis van IKS]]=1,Tb_Activiteiten[[#Headers],[Arbeidskosten op basis van IKS]],"")))</f>
        <v/>
      </c>
      <c r="AS1468" t="str">
        <f>IF(ISNUMBER(FIND("overige",Methode_Keuze)),"",IF(Tb_Activiteiten[[#This Row],[Kosten derden exclusief btw]]=1,Tb_Activiteiten[[#Headers],[Kosten derden exclusief btw]],""))</f>
        <v/>
      </c>
      <c r="AT1468" t="str">
        <f>IF(ISNUMBER(FIND("overige",Methode_Keuze)),"",IF(Tb_Activiteiten[[#This Row],[Niet verrekenbare btw]]=1,Tb_Activiteiten[[#Headers],[Niet verrekenbare btw]],""))</f>
        <v/>
      </c>
      <c r="AU1468" t="str">
        <f>IF(ISNUMBER(FIND("overige",Methode_Keuze)),"",IF(Tb_Activiteiten[[#This Row],[Grondkosten]]=1,Tb_Activiteiten[[#Headers],[Grondkosten]],""))</f>
        <v/>
      </c>
      <c r="AV1468" t="str">
        <f>IF(ISNUMBER(FIND("overige",Methode_Keuze)),"",IF(Tb_Activiteiten[[#This Row],[Bijdrage in natura (overige)]]=1,Tb_Activiteiten[[#Headers],[Bijdrage in natura (overige)]],""))</f>
        <v/>
      </c>
      <c r="AW1468" t="str">
        <f>IF(ISNUMBER(FIND("overige",Methode_Keuze)),"",IF(Tb_Activiteiten[[#This Row],[Bijdrage in natura (vrijwilligers)]]=1,Tb_Activiteiten[[#Headers],[Bijdrage in natura (vrijwilligers)]],""))</f>
        <v/>
      </c>
      <c r="AX1468" t="str">
        <f>IF(ISNUMBER(FIND("overige",Methode_Keuze)),"",IF(Tb_Activiteiten[[#This Row],[Afschrijvingskosten]]=1,Tb_Activiteiten[[#Headers],[Afschrijvingskosten]],""))</f>
        <v/>
      </c>
      <c r="AY1468" t="str">
        <f>IF(ISNUMBER(FIND("overige",Methode_Keuze)),"",IF(Tb_Activiteiten[[#This Row],[Vergoeding]]=1,Tb_Activiteiten[[#Headers],[Vergoeding]],""))</f>
        <v/>
      </c>
      <c r="AZ1468" t="str">
        <f>IF(ISNUMBER(FIND("arbeid",Methode_Keuze)),"",IF(Tb_Activiteiten[[#This Row],[Arbeidskosten - vast tarief (excl eigen arbeid)]]=1,Tb_Activiteiten[[#Headers],[Arbeidskosten - vast tarief (excl eigen arbeid)]],""))</f>
        <v/>
      </c>
      <c r="BA1468" t="str">
        <f>IF(ISNUMBER(FIND("overige",Methode_Keuze)),"",IF(Tb_Activiteiten[[#This Row],[Overige kosten]]=1,Tb_Activiteiten[[#Headers],[Overige kosten]],""))</f>
        <v/>
      </c>
    </row>
    <row r="1469" spans="15:53" x14ac:dyDescent="0.25">
      <c r="O1469" s="56"/>
      <c r="Q1469" t="str">
        <f>IFERROR(IF(VLOOKUP(Tb_Activiteiten[[#This Row],[Openstelling]],Tb_Openstelling[],2,0)=1,1,""),"")</f>
        <v/>
      </c>
      <c r="AK1469" t="str">
        <f>IF(ISNUMBER(FIND("arbeid",Methode_Keuze)),"",IF(ISNUMBER(FIND("arbeid",Methode_Keuze)),"",IF(Tb_Activiteiten[[#This Row],[Loonkosten]]=1,Tb_Activiteiten[[#Headers],[Loonkosten]],"")))</f>
        <v/>
      </c>
      <c r="AL1469" t="str">
        <f>IF(ISNUMBER(FIND("arbeid",Methode_Keuze)),"",IF(ISNUMBER(FIND("arbeid",Methode_Keuze)),"",IF(Tb_Activiteiten[[#This Row],[Eigen arbeid]]=1,Tb_Activiteiten[[#Headers],[Eigen arbeid]],"")))</f>
        <v/>
      </c>
      <c r="AM1469" t="str">
        <f>IF(ISNUMBER(FIND("arbeid",Methode_Keuze)),"",IF(ISNUMBER(FIND("arbeid",Methode_Keuze)),"",IF(Tb_Activiteiten[[#This Row],[Projectmedewerker]]=1,Tb_Activiteiten[[#Headers],[Projectmedewerker]],"")))</f>
        <v/>
      </c>
      <c r="AN1469" t="str">
        <f>IF(ISNUMBER(FIND("arbeid",Methode_Keuze)),"",IF(ISNUMBER(FIND("arbeid",Methode_Keuze)),"",IF(Tb_Activiteiten[[#This Row],[Landbouwer]]=1,Tb_Activiteiten[[#Headers],[Landbouwer]],"")))</f>
        <v/>
      </c>
      <c r="AO1469" t="str">
        <f>IF(ISNUMBER(FIND("arbeid",Methode_Keuze)),"",IF(ISNUMBER(FIND("arbeid",Methode_Keuze)),"",IF(Tb_Activiteiten[[#This Row],[Adviseur]]=1,Tb_Activiteiten[[#Headers],[Adviseur]],"")))</f>
        <v/>
      </c>
      <c r="AP1469" t="str">
        <f>IF(ISNUMBER(FIND("arbeid",Methode_Keuze)),"",IF(ISNUMBER(FIND("arbeid",Methode_Keuze)),"",IF(Tb_Activiteiten[[#This Row],[Projectleider/Expert]]=1,Tb_Activiteiten[[#Headers],[Projectleider/Expert]],"")))</f>
        <v/>
      </c>
      <c r="AQ1469" t="str">
        <f>IF(ISNUMBER(FIND("arbeid",Methode_Keuze)),"",IF(ISNUMBER(FIND("arbeid",Methode_Keuze)),"",IF(Tb_Activiteiten[[#This Row],[Arbeidskosten]]=1,Tb_Activiteiten[[#Headers],[Arbeidskosten]],"")))</f>
        <v/>
      </c>
      <c r="AR1469" t="str">
        <f>IF(ISNUMBER(FIND("arbeid",Methode_Keuze)),"",IF(ISNUMBER(FIND("arbeid",Methode_Keuze)),"",IF(Tb_Activiteiten[[#This Row],[Arbeidskosten op basis van IKS]]=1,Tb_Activiteiten[[#Headers],[Arbeidskosten op basis van IKS]],"")))</f>
        <v/>
      </c>
      <c r="AS1469" t="str">
        <f>IF(ISNUMBER(FIND("overige",Methode_Keuze)),"",IF(Tb_Activiteiten[[#This Row],[Kosten derden exclusief btw]]=1,Tb_Activiteiten[[#Headers],[Kosten derden exclusief btw]],""))</f>
        <v/>
      </c>
      <c r="AT1469" t="str">
        <f>IF(ISNUMBER(FIND("overige",Methode_Keuze)),"",IF(Tb_Activiteiten[[#This Row],[Niet verrekenbare btw]]=1,Tb_Activiteiten[[#Headers],[Niet verrekenbare btw]],""))</f>
        <v/>
      </c>
      <c r="AU1469" t="str">
        <f>IF(ISNUMBER(FIND("overige",Methode_Keuze)),"",IF(Tb_Activiteiten[[#This Row],[Grondkosten]]=1,Tb_Activiteiten[[#Headers],[Grondkosten]],""))</f>
        <v/>
      </c>
      <c r="AV1469" t="str">
        <f>IF(ISNUMBER(FIND("overige",Methode_Keuze)),"",IF(Tb_Activiteiten[[#This Row],[Bijdrage in natura (overige)]]=1,Tb_Activiteiten[[#Headers],[Bijdrage in natura (overige)]],""))</f>
        <v/>
      </c>
      <c r="AW1469" t="str">
        <f>IF(ISNUMBER(FIND("overige",Methode_Keuze)),"",IF(Tb_Activiteiten[[#This Row],[Bijdrage in natura (vrijwilligers)]]=1,Tb_Activiteiten[[#Headers],[Bijdrage in natura (vrijwilligers)]],""))</f>
        <v/>
      </c>
      <c r="AX1469" t="str">
        <f>IF(ISNUMBER(FIND("overige",Methode_Keuze)),"",IF(Tb_Activiteiten[[#This Row],[Afschrijvingskosten]]=1,Tb_Activiteiten[[#Headers],[Afschrijvingskosten]],""))</f>
        <v/>
      </c>
      <c r="AY1469" t="str">
        <f>IF(ISNUMBER(FIND("overige",Methode_Keuze)),"",IF(Tb_Activiteiten[[#This Row],[Vergoeding]]=1,Tb_Activiteiten[[#Headers],[Vergoeding]],""))</f>
        <v/>
      </c>
      <c r="AZ1469" t="str">
        <f>IF(ISNUMBER(FIND("arbeid",Methode_Keuze)),"",IF(Tb_Activiteiten[[#This Row],[Arbeidskosten - vast tarief (excl eigen arbeid)]]=1,Tb_Activiteiten[[#Headers],[Arbeidskosten - vast tarief (excl eigen arbeid)]],""))</f>
        <v/>
      </c>
      <c r="BA1469" t="str">
        <f>IF(ISNUMBER(FIND("overige",Methode_Keuze)),"",IF(Tb_Activiteiten[[#This Row],[Overige kosten]]=1,Tb_Activiteiten[[#Headers],[Overige kosten]],""))</f>
        <v/>
      </c>
    </row>
    <row r="1470" spans="15:53" x14ac:dyDescent="0.25">
      <c r="O1470" s="56"/>
      <c r="Q1470" t="str">
        <f>IFERROR(IF(VLOOKUP(Tb_Activiteiten[[#This Row],[Openstelling]],Tb_Openstelling[],2,0)=1,1,""),"")</f>
        <v/>
      </c>
      <c r="AK1470" t="str">
        <f>IF(ISNUMBER(FIND("arbeid",Methode_Keuze)),"",IF(ISNUMBER(FIND("arbeid",Methode_Keuze)),"",IF(Tb_Activiteiten[[#This Row],[Loonkosten]]=1,Tb_Activiteiten[[#Headers],[Loonkosten]],"")))</f>
        <v/>
      </c>
      <c r="AL1470" t="str">
        <f>IF(ISNUMBER(FIND("arbeid",Methode_Keuze)),"",IF(ISNUMBER(FIND("arbeid",Methode_Keuze)),"",IF(Tb_Activiteiten[[#This Row],[Eigen arbeid]]=1,Tb_Activiteiten[[#Headers],[Eigen arbeid]],"")))</f>
        <v/>
      </c>
      <c r="AM1470" t="str">
        <f>IF(ISNUMBER(FIND("arbeid",Methode_Keuze)),"",IF(ISNUMBER(FIND("arbeid",Methode_Keuze)),"",IF(Tb_Activiteiten[[#This Row],[Projectmedewerker]]=1,Tb_Activiteiten[[#Headers],[Projectmedewerker]],"")))</f>
        <v/>
      </c>
      <c r="AN1470" t="str">
        <f>IF(ISNUMBER(FIND("arbeid",Methode_Keuze)),"",IF(ISNUMBER(FIND("arbeid",Methode_Keuze)),"",IF(Tb_Activiteiten[[#This Row],[Landbouwer]]=1,Tb_Activiteiten[[#Headers],[Landbouwer]],"")))</f>
        <v/>
      </c>
      <c r="AO1470" t="str">
        <f>IF(ISNUMBER(FIND("arbeid",Methode_Keuze)),"",IF(ISNUMBER(FIND("arbeid",Methode_Keuze)),"",IF(Tb_Activiteiten[[#This Row],[Adviseur]]=1,Tb_Activiteiten[[#Headers],[Adviseur]],"")))</f>
        <v/>
      </c>
      <c r="AP1470" t="str">
        <f>IF(ISNUMBER(FIND("arbeid",Methode_Keuze)),"",IF(ISNUMBER(FIND("arbeid",Methode_Keuze)),"",IF(Tb_Activiteiten[[#This Row],[Projectleider/Expert]]=1,Tb_Activiteiten[[#Headers],[Projectleider/Expert]],"")))</f>
        <v/>
      </c>
      <c r="AQ1470" t="str">
        <f>IF(ISNUMBER(FIND("arbeid",Methode_Keuze)),"",IF(ISNUMBER(FIND("arbeid",Methode_Keuze)),"",IF(Tb_Activiteiten[[#This Row],[Arbeidskosten]]=1,Tb_Activiteiten[[#Headers],[Arbeidskosten]],"")))</f>
        <v/>
      </c>
      <c r="AR1470" t="str">
        <f>IF(ISNUMBER(FIND("arbeid",Methode_Keuze)),"",IF(ISNUMBER(FIND("arbeid",Methode_Keuze)),"",IF(Tb_Activiteiten[[#This Row],[Arbeidskosten op basis van IKS]]=1,Tb_Activiteiten[[#Headers],[Arbeidskosten op basis van IKS]],"")))</f>
        <v/>
      </c>
      <c r="AS1470" t="str">
        <f>IF(ISNUMBER(FIND("overige",Methode_Keuze)),"",IF(Tb_Activiteiten[[#This Row],[Kosten derden exclusief btw]]=1,Tb_Activiteiten[[#Headers],[Kosten derden exclusief btw]],""))</f>
        <v/>
      </c>
      <c r="AT1470" t="str">
        <f>IF(ISNUMBER(FIND("overige",Methode_Keuze)),"",IF(Tb_Activiteiten[[#This Row],[Niet verrekenbare btw]]=1,Tb_Activiteiten[[#Headers],[Niet verrekenbare btw]],""))</f>
        <v/>
      </c>
      <c r="AU1470" t="str">
        <f>IF(ISNUMBER(FIND("overige",Methode_Keuze)),"",IF(Tb_Activiteiten[[#This Row],[Grondkosten]]=1,Tb_Activiteiten[[#Headers],[Grondkosten]],""))</f>
        <v/>
      </c>
      <c r="AV1470" t="str">
        <f>IF(ISNUMBER(FIND("overige",Methode_Keuze)),"",IF(Tb_Activiteiten[[#This Row],[Bijdrage in natura (overige)]]=1,Tb_Activiteiten[[#Headers],[Bijdrage in natura (overige)]],""))</f>
        <v/>
      </c>
      <c r="AW1470" t="str">
        <f>IF(ISNUMBER(FIND("overige",Methode_Keuze)),"",IF(Tb_Activiteiten[[#This Row],[Bijdrage in natura (vrijwilligers)]]=1,Tb_Activiteiten[[#Headers],[Bijdrage in natura (vrijwilligers)]],""))</f>
        <v/>
      </c>
      <c r="AX1470" t="str">
        <f>IF(ISNUMBER(FIND("overige",Methode_Keuze)),"",IF(Tb_Activiteiten[[#This Row],[Afschrijvingskosten]]=1,Tb_Activiteiten[[#Headers],[Afschrijvingskosten]],""))</f>
        <v/>
      </c>
      <c r="AY1470" t="str">
        <f>IF(ISNUMBER(FIND("overige",Methode_Keuze)),"",IF(Tb_Activiteiten[[#This Row],[Vergoeding]]=1,Tb_Activiteiten[[#Headers],[Vergoeding]],""))</f>
        <v/>
      </c>
      <c r="AZ1470" t="str">
        <f>IF(ISNUMBER(FIND("arbeid",Methode_Keuze)),"",IF(Tb_Activiteiten[[#This Row],[Arbeidskosten - vast tarief (excl eigen arbeid)]]=1,Tb_Activiteiten[[#Headers],[Arbeidskosten - vast tarief (excl eigen arbeid)]],""))</f>
        <v/>
      </c>
      <c r="BA1470" t="str">
        <f>IF(ISNUMBER(FIND("overige",Methode_Keuze)),"",IF(Tb_Activiteiten[[#This Row],[Overige kosten]]=1,Tb_Activiteiten[[#Headers],[Overige kosten]],""))</f>
        <v/>
      </c>
    </row>
    <row r="1471" spans="15:53" x14ac:dyDescent="0.25">
      <c r="O1471" s="56"/>
      <c r="Q1471" t="str">
        <f>IFERROR(IF(VLOOKUP(Tb_Activiteiten[[#This Row],[Openstelling]],Tb_Openstelling[],2,0)=1,1,""),"")</f>
        <v/>
      </c>
      <c r="AK1471" t="str">
        <f>IF(ISNUMBER(FIND("arbeid",Methode_Keuze)),"",IF(ISNUMBER(FIND("arbeid",Methode_Keuze)),"",IF(Tb_Activiteiten[[#This Row],[Loonkosten]]=1,Tb_Activiteiten[[#Headers],[Loonkosten]],"")))</f>
        <v/>
      </c>
      <c r="AL1471" t="str">
        <f>IF(ISNUMBER(FIND("arbeid",Methode_Keuze)),"",IF(ISNUMBER(FIND("arbeid",Methode_Keuze)),"",IF(Tb_Activiteiten[[#This Row],[Eigen arbeid]]=1,Tb_Activiteiten[[#Headers],[Eigen arbeid]],"")))</f>
        <v/>
      </c>
      <c r="AM1471" t="str">
        <f>IF(ISNUMBER(FIND("arbeid",Methode_Keuze)),"",IF(ISNUMBER(FIND("arbeid",Methode_Keuze)),"",IF(Tb_Activiteiten[[#This Row],[Projectmedewerker]]=1,Tb_Activiteiten[[#Headers],[Projectmedewerker]],"")))</f>
        <v/>
      </c>
      <c r="AN1471" t="str">
        <f>IF(ISNUMBER(FIND("arbeid",Methode_Keuze)),"",IF(ISNUMBER(FIND("arbeid",Methode_Keuze)),"",IF(Tb_Activiteiten[[#This Row],[Landbouwer]]=1,Tb_Activiteiten[[#Headers],[Landbouwer]],"")))</f>
        <v/>
      </c>
      <c r="AO1471" t="str">
        <f>IF(ISNUMBER(FIND("arbeid",Methode_Keuze)),"",IF(ISNUMBER(FIND("arbeid",Methode_Keuze)),"",IF(Tb_Activiteiten[[#This Row],[Adviseur]]=1,Tb_Activiteiten[[#Headers],[Adviseur]],"")))</f>
        <v/>
      </c>
      <c r="AP1471" t="str">
        <f>IF(ISNUMBER(FIND("arbeid",Methode_Keuze)),"",IF(ISNUMBER(FIND("arbeid",Methode_Keuze)),"",IF(Tb_Activiteiten[[#This Row],[Projectleider/Expert]]=1,Tb_Activiteiten[[#Headers],[Projectleider/Expert]],"")))</f>
        <v/>
      </c>
      <c r="AQ1471" t="str">
        <f>IF(ISNUMBER(FIND("arbeid",Methode_Keuze)),"",IF(ISNUMBER(FIND("arbeid",Methode_Keuze)),"",IF(Tb_Activiteiten[[#This Row],[Arbeidskosten]]=1,Tb_Activiteiten[[#Headers],[Arbeidskosten]],"")))</f>
        <v/>
      </c>
      <c r="AR1471" t="str">
        <f>IF(ISNUMBER(FIND("arbeid",Methode_Keuze)),"",IF(ISNUMBER(FIND("arbeid",Methode_Keuze)),"",IF(Tb_Activiteiten[[#This Row],[Arbeidskosten op basis van IKS]]=1,Tb_Activiteiten[[#Headers],[Arbeidskosten op basis van IKS]],"")))</f>
        <v/>
      </c>
      <c r="AS1471" t="str">
        <f>IF(ISNUMBER(FIND("overige",Methode_Keuze)),"",IF(Tb_Activiteiten[[#This Row],[Kosten derden exclusief btw]]=1,Tb_Activiteiten[[#Headers],[Kosten derden exclusief btw]],""))</f>
        <v/>
      </c>
      <c r="AT1471" t="str">
        <f>IF(ISNUMBER(FIND("overige",Methode_Keuze)),"",IF(Tb_Activiteiten[[#This Row],[Niet verrekenbare btw]]=1,Tb_Activiteiten[[#Headers],[Niet verrekenbare btw]],""))</f>
        <v/>
      </c>
      <c r="AU1471" t="str">
        <f>IF(ISNUMBER(FIND("overige",Methode_Keuze)),"",IF(Tb_Activiteiten[[#This Row],[Grondkosten]]=1,Tb_Activiteiten[[#Headers],[Grondkosten]],""))</f>
        <v/>
      </c>
      <c r="AV1471" t="str">
        <f>IF(ISNUMBER(FIND("overige",Methode_Keuze)),"",IF(Tb_Activiteiten[[#This Row],[Bijdrage in natura (overige)]]=1,Tb_Activiteiten[[#Headers],[Bijdrage in natura (overige)]],""))</f>
        <v/>
      </c>
      <c r="AW1471" t="str">
        <f>IF(ISNUMBER(FIND("overige",Methode_Keuze)),"",IF(Tb_Activiteiten[[#This Row],[Bijdrage in natura (vrijwilligers)]]=1,Tb_Activiteiten[[#Headers],[Bijdrage in natura (vrijwilligers)]],""))</f>
        <v/>
      </c>
      <c r="AX1471" t="str">
        <f>IF(ISNUMBER(FIND("overige",Methode_Keuze)),"",IF(Tb_Activiteiten[[#This Row],[Afschrijvingskosten]]=1,Tb_Activiteiten[[#Headers],[Afschrijvingskosten]],""))</f>
        <v/>
      </c>
      <c r="AY1471" t="str">
        <f>IF(ISNUMBER(FIND("overige",Methode_Keuze)),"",IF(Tb_Activiteiten[[#This Row],[Vergoeding]]=1,Tb_Activiteiten[[#Headers],[Vergoeding]],""))</f>
        <v/>
      </c>
      <c r="AZ1471" t="str">
        <f>IF(ISNUMBER(FIND("arbeid",Methode_Keuze)),"",IF(Tb_Activiteiten[[#This Row],[Arbeidskosten - vast tarief (excl eigen arbeid)]]=1,Tb_Activiteiten[[#Headers],[Arbeidskosten - vast tarief (excl eigen arbeid)]],""))</f>
        <v/>
      </c>
      <c r="BA1471" t="str">
        <f>IF(ISNUMBER(FIND("overige",Methode_Keuze)),"",IF(Tb_Activiteiten[[#This Row],[Overige kosten]]=1,Tb_Activiteiten[[#Headers],[Overige kosten]],""))</f>
        <v/>
      </c>
    </row>
    <row r="1472" spans="15:53" x14ac:dyDescent="0.25">
      <c r="O1472" s="56"/>
      <c r="Q1472" t="str">
        <f>IFERROR(IF(VLOOKUP(Tb_Activiteiten[[#This Row],[Openstelling]],Tb_Openstelling[],2,0)=1,1,""),"")</f>
        <v/>
      </c>
      <c r="AK1472" t="str">
        <f>IF(ISNUMBER(FIND("arbeid",Methode_Keuze)),"",IF(ISNUMBER(FIND("arbeid",Methode_Keuze)),"",IF(Tb_Activiteiten[[#This Row],[Loonkosten]]=1,Tb_Activiteiten[[#Headers],[Loonkosten]],"")))</f>
        <v/>
      </c>
      <c r="AL1472" t="str">
        <f>IF(ISNUMBER(FIND("arbeid",Methode_Keuze)),"",IF(ISNUMBER(FIND("arbeid",Methode_Keuze)),"",IF(Tb_Activiteiten[[#This Row],[Eigen arbeid]]=1,Tb_Activiteiten[[#Headers],[Eigen arbeid]],"")))</f>
        <v/>
      </c>
      <c r="AM1472" t="str">
        <f>IF(ISNUMBER(FIND("arbeid",Methode_Keuze)),"",IF(ISNUMBER(FIND("arbeid",Methode_Keuze)),"",IF(Tb_Activiteiten[[#This Row],[Projectmedewerker]]=1,Tb_Activiteiten[[#Headers],[Projectmedewerker]],"")))</f>
        <v/>
      </c>
      <c r="AN1472" t="str">
        <f>IF(ISNUMBER(FIND("arbeid",Methode_Keuze)),"",IF(ISNUMBER(FIND("arbeid",Methode_Keuze)),"",IF(Tb_Activiteiten[[#This Row],[Landbouwer]]=1,Tb_Activiteiten[[#Headers],[Landbouwer]],"")))</f>
        <v/>
      </c>
      <c r="AO1472" t="str">
        <f>IF(ISNUMBER(FIND("arbeid",Methode_Keuze)),"",IF(ISNUMBER(FIND("arbeid",Methode_Keuze)),"",IF(Tb_Activiteiten[[#This Row],[Adviseur]]=1,Tb_Activiteiten[[#Headers],[Adviseur]],"")))</f>
        <v/>
      </c>
      <c r="AP1472" t="str">
        <f>IF(ISNUMBER(FIND("arbeid",Methode_Keuze)),"",IF(ISNUMBER(FIND("arbeid",Methode_Keuze)),"",IF(Tb_Activiteiten[[#This Row],[Projectleider/Expert]]=1,Tb_Activiteiten[[#Headers],[Projectleider/Expert]],"")))</f>
        <v/>
      </c>
      <c r="AQ1472" t="str">
        <f>IF(ISNUMBER(FIND("arbeid",Methode_Keuze)),"",IF(ISNUMBER(FIND("arbeid",Methode_Keuze)),"",IF(Tb_Activiteiten[[#This Row],[Arbeidskosten]]=1,Tb_Activiteiten[[#Headers],[Arbeidskosten]],"")))</f>
        <v/>
      </c>
      <c r="AR1472" t="str">
        <f>IF(ISNUMBER(FIND("arbeid",Methode_Keuze)),"",IF(ISNUMBER(FIND("arbeid",Methode_Keuze)),"",IF(Tb_Activiteiten[[#This Row],[Arbeidskosten op basis van IKS]]=1,Tb_Activiteiten[[#Headers],[Arbeidskosten op basis van IKS]],"")))</f>
        <v/>
      </c>
      <c r="AS1472" t="str">
        <f>IF(ISNUMBER(FIND("overige",Methode_Keuze)),"",IF(Tb_Activiteiten[[#This Row],[Kosten derden exclusief btw]]=1,Tb_Activiteiten[[#Headers],[Kosten derden exclusief btw]],""))</f>
        <v/>
      </c>
      <c r="AT1472" t="str">
        <f>IF(ISNUMBER(FIND("overige",Methode_Keuze)),"",IF(Tb_Activiteiten[[#This Row],[Niet verrekenbare btw]]=1,Tb_Activiteiten[[#Headers],[Niet verrekenbare btw]],""))</f>
        <v/>
      </c>
      <c r="AU1472" t="str">
        <f>IF(ISNUMBER(FIND("overige",Methode_Keuze)),"",IF(Tb_Activiteiten[[#This Row],[Grondkosten]]=1,Tb_Activiteiten[[#Headers],[Grondkosten]],""))</f>
        <v/>
      </c>
      <c r="AV1472" t="str">
        <f>IF(ISNUMBER(FIND("overige",Methode_Keuze)),"",IF(Tb_Activiteiten[[#This Row],[Bijdrage in natura (overige)]]=1,Tb_Activiteiten[[#Headers],[Bijdrage in natura (overige)]],""))</f>
        <v/>
      </c>
      <c r="AW1472" t="str">
        <f>IF(ISNUMBER(FIND("overige",Methode_Keuze)),"",IF(Tb_Activiteiten[[#This Row],[Bijdrage in natura (vrijwilligers)]]=1,Tb_Activiteiten[[#Headers],[Bijdrage in natura (vrijwilligers)]],""))</f>
        <v/>
      </c>
      <c r="AX1472" t="str">
        <f>IF(ISNUMBER(FIND("overige",Methode_Keuze)),"",IF(Tb_Activiteiten[[#This Row],[Afschrijvingskosten]]=1,Tb_Activiteiten[[#Headers],[Afschrijvingskosten]],""))</f>
        <v/>
      </c>
      <c r="AY1472" t="str">
        <f>IF(ISNUMBER(FIND("overige",Methode_Keuze)),"",IF(Tb_Activiteiten[[#This Row],[Vergoeding]]=1,Tb_Activiteiten[[#Headers],[Vergoeding]],""))</f>
        <v/>
      </c>
      <c r="AZ1472" t="str">
        <f>IF(ISNUMBER(FIND("arbeid",Methode_Keuze)),"",IF(Tb_Activiteiten[[#This Row],[Arbeidskosten - vast tarief (excl eigen arbeid)]]=1,Tb_Activiteiten[[#Headers],[Arbeidskosten - vast tarief (excl eigen arbeid)]],""))</f>
        <v/>
      </c>
      <c r="BA1472" t="str">
        <f>IF(ISNUMBER(FIND("overige",Methode_Keuze)),"",IF(Tb_Activiteiten[[#This Row],[Overige kosten]]=1,Tb_Activiteiten[[#Headers],[Overige kosten]],""))</f>
        <v/>
      </c>
    </row>
    <row r="1473" spans="15:53" x14ac:dyDescent="0.25">
      <c r="O1473" s="56"/>
      <c r="Q1473" t="str">
        <f>IFERROR(IF(VLOOKUP(Tb_Activiteiten[[#This Row],[Openstelling]],Tb_Openstelling[],2,0)=1,1,""),"")</f>
        <v/>
      </c>
      <c r="AK1473" t="str">
        <f>IF(ISNUMBER(FIND("arbeid",Methode_Keuze)),"",IF(ISNUMBER(FIND("arbeid",Methode_Keuze)),"",IF(Tb_Activiteiten[[#This Row],[Loonkosten]]=1,Tb_Activiteiten[[#Headers],[Loonkosten]],"")))</f>
        <v/>
      </c>
      <c r="AL1473" t="str">
        <f>IF(ISNUMBER(FIND("arbeid",Methode_Keuze)),"",IF(ISNUMBER(FIND("arbeid",Methode_Keuze)),"",IF(Tb_Activiteiten[[#This Row],[Eigen arbeid]]=1,Tb_Activiteiten[[#Headers],[Eigen arbeid]],"")))</f>
        <v/>
      </c>
      <c r="AM1473" t="str">
        <f>IF(ISNUMBER(FIND("arbeid",Methode_Keuze)),"",IF(ISNUMBER(FIND("arbeid",Methode_Keuze)),"",IF(Tb_Activiteiten[[#This Row],[Projectmedewerker]]=1,Tb_Activiteiten[[#Headers],[Projectmedewerker]],"")))</f>
        <v/>
      </c>
      <c r="AN1473" t="str">
        <f>IF(ISNUMBER(FIND("arbeid",Methode_Keuze)),"",IF(ISNUMBER(FIND("arbeid",Methode_Keuze)),"",IF(Tb_Activiteiten[[#This Row],[Landbouwer]]=1,Tb_Activiteiten[[#Headers],[Landbouwer]],"")))</f>
        <v/>
      </c>
      <c r="AO1473" t="str">
        <f>IF(ISNUMBER(FIND("arbeid",Methode_Keuze)),"",IF(ISNUMBER(FIND("arbeid",Methode_Keuze)),"",IF(Tb_Activiteiten[[#This Row],[Adviseur]]=1,Tb_Activiteiten[[#Headers],[Adviseur]],"")))</f>
        <v/>
      </c>
      <c r="AP1473" t="str">
        <f>IF(ISNUMBER(FIND("arbeid",Methode_Keuze)),"",IF(ISNUMBER(FIND("arbeid",Methode_Keuze)),"",IF(Tb_Activiteiten[[#This Row],[Projectleider/Expert]]=1,Tb_Activiteiten[[#Headers],[Projectleider/Expert]],"")))</f>
        <v/>
      </c>
      <c r="AQ1473" t="str">
        <f>IF(ISNUMBER(FIND("arbeid",Methode_Keuze)),"",IF(ISNUMBER(FIND("arbeid",Methode_Keuze)),"",IF(Tb_Activiteiten[[#This Row],[Arbeidskosten]]=1,Tb_Activiteiten[[#Headers],[Arbeidskosten]],"")))</f>
        <v/>
      </c>
      <c r="AR1473" t="str">
        <f>IF(ISNUMBER(FIND("arbeid",Methode_Keuze)),"",IF(ISNUMBER(FIND("arbeid",Methode_Keuze)),"",IF(Tb_Activiteiten[[#This Row],[Arbeidskosten op basis van IKS]]=1,Tb_Activiteiten[[#Headers],[Arbeidskosten op basis van IKS]],"")))</f>
        <v/>
      </c>
      <c r="AS1473" t="str">
        <f>IF(ISNUMBER(FIND("overige",Methode_Keuze)),"",IF(Tb_Activiteiten[[#This Row],[Kosten derden exclusief btw]]=1,Tb_Activiteiten[[#Headers],[Kosten derden exclusief btw]],""))</f>
        <v/>
      </c>
      <c r="AT1473" t="str">
        <f>IF(ISNUMBER(FIND("overige",Methode_Keuze)),"",IF(Tb_Activiteiten[[#This Row],[Niet verrekenbare btw]]=1,Tb_Activiteiten[[#Headers],[Niet verrekenbare btw]],""))</f>
        <v/>
      </c>
      <c r="AU1473" t="str">
        <f>IF(ISNUMBER(FIND("overige",Methode_Keuze)),"",IF(Tb_Activiteiten[[#This Row],[Grondkosten]]=1,Tb_Activiteiten[[#Headers],[Grondkosten]],""))</f>
        <v/>
      </c>
      <c r="AV1473" t="str">
        <f>IF(ISNUMBER(FIND("overige",Methode_Keuze)),"",IF(Tb_Activiteiten[[#This Row],[Bijdrage in natura (overige)]]=1,Tb_Activiteiten[[#Headers],[Bijdrage in natura (overige)]],""))</f>
        <v/>
      </c>
      <c r="AW1473" t="str">
        <f>IF(ISNUMBER(FIND("overige",Methode_Keuze)),"",IF(Tb_Activiteiten[[#This Row],[Bijdrage in natura (vrijwilligers)]]=1,Tb_Activiteiten[[#Headers],[Bijdrage in natura (vrijwilligers)]],""))</f>
        <v/>
      </c>
      <c r="AX1473" t="str">
        <f>IF(ISNUMBER(FIND("overige",Methode_Keuze)),"",IF(Tb_Activiteiten[[#This Row],[Afschrijvingskosten]]=1,Tb_Activiteiten[[#Headers],[Afschrijvingskosten]],""))</f>
        <v/>
      </c>
      <c r="AY1473" t="str">
        <f>IF(ISNUMBER(FIND("overige",Methode_Keuze)),"",IF(Tb_Activiteiten[[#This Row],[Vergoeding]]=1,Tb_Activiteiten[[#Headers],[Vergoeding]],""))</f>
        <v/>
      </c>
      <c r="AZ1473" t="str">
        <f>IF(ISNUMBER(FIND("arbeid",Methode_Keuze)),"",IF(Tb_Activiteiten[[#This Row],[Arbeidskosten - vast tarief (excl eigen arbeid)]]=1,Tb_Activiteiten[[#Headers],[Arbeidskosten - vast tarief (excl eigen arbeid)]],""))</f>
        <v/>
      </c>
      <c r="BA1473" t="str">
        <f>IF(ISNUMBER(FIND("overige",Methode_Keuze)),"",IF(Tb_Activiteiten[[#This Row],[Overige kosten]]=1,Tb_Activiteiten[[#Headers],[Overige kosten]],""))</f>
        <v/>
      </c>
    </row>
    <row r="1474" spans="15:53" x14ac:dyDescent="0.25">
      <c r="O1474" s="56"/>
      <c r="Q1474" t="str">
        <f>IFERROR(IF(VLOOKUP(Tb_Activiteiten[[#This Row],[Openstelling]],Tb_Openstelling[],2,0)=1,1,""),"")</f>
        <v/>
      </c>
      <c r="AK1474" t="str">
        <f>IF(ISNUMBER(FIND("arbeid",Methode_Keuze)),"",IF(ISNUMBER(FIND("arbeid",Methode_Keuze)),"",IF(Tb_Activiteiten[[#This Row],[Loonkosten]]=1,Tb_Activiteiten[[#Headers],[Loonkosten]],"")))</f>
        <v/>
      </c>
      <c r="AL1474" t="str">
        <f>IF(ISNUMBER(FIND("arbeid",Methode_Keuze)),"",IF(ISNUMBER(FIND("arbeid",Methode_Keuze)),"",IF(Tb_Activiteiten[[#This Row],[Eigen arbeid]]=1,Tb_Activiteiten[[#Headers],[Eigen arbeid]],"")))</f>
        <v/>
      </c>
      <c r="AM1474" t="str">
        <f>IF(ISNUMBER(FIND("arbeid",Methode_Keuze)),"",IF(ISNUMBER(FIND("arbeid",Methode_Keuze)),"",IF(Tb_Activiteiten[[#This Row],[Projectmedewerker]]=1,Tb_Activiteiten[[#Headers],[Projectmedewerker]],"")))</f>
        <v/>
      </c>
      <c r="AN1474" t="str">
        <f>IF(ISNUMBER(FIND("arbeid",Methode_Keuze)),"",IF(ISNUMBER(FIND("arbeid",Methode_Keuze)),"",IF(Tb_Activiteiten[[#This Row],[Landbouwer]]=1,Tb_Activiteiten[[#Headers],[Landbouwer]],"")))</f>
        <v/>
      </c>
      <c r="AO1474" t="str">
        <f>IF(ISNUMBER(FIND("arbeid",Methode_Keuze)),"",IF(ISNUMBER(FIND("arbeid",Methode_Keuze)),"",IF(Tb_Activiteiten[[#This Row],[Adviseur]]=1,Tb_Activiteiten[[#Headers],[Adviseur]],"")))</f>
        <v/>
      </c>
      <c r="AP1474" t="str">
        <f>IF(ISNUMBER(FIND("arbeid",Methode_Keuze)),"",IF(ISNUMBER(FIND("arbeid",Methode_Keuze)),"",IF(Tb_Activiteiten[[#This Row],[Projectleider/Expert]]=1,Tb_Activiteiten[[#Headers],[Projectleider/Expert]],"")))</f>
        <v/>
      </c>
      <c r="AQ1474" t="str">
        <f>IF(ISNUMBER(FIND("arbeid",Methode_Keuze)),"",IF(ISNUMBER(FIND("arbeid",Methode_Keuze)),"",IF(Tb_Activiteiten[[#This Row],[Arbeidskosten]]=1,Tb_Activiteiten[[#Headers],[Arbeidskosten]],"")))</f>
        <v/>
      </c>
      <c r="AR1474" t="str">
        <f>IF(ISNUMBER(FIND("arbeid",Methode_Keuze)),"",IF(ISNUMBER(FIND("arbeid",Methode_Keuze)),"",IF(Tb_Activiteiten[[#This Row],[Arbeidskosten op basis van IKS]]=1,Tb_Activiteiten[[#Headers],[Arbeidskosten op basis van IKS]],"")))</f>
        <v/>
      </c>
      <c r="AS1474" t="str">
        <f>IF(ISNUMBER(FIND("overige",Methode_Keuze)),"",IF(Tb_Activiteiten[[#This Row],[Kosten derden exclusief btw]]=1,Tb_Activiteiten[[#Headers],[Kosten derden exclusief btw]],""))</f>
        <v/>
      </c>
      <c r="AT1474" t="str">
        <f>IF(ISNUMBER(FIND("overige",Methode_Keuze)),"",IF(Tb_Activiteiten[[#This Row],[Niet verrekenbare btw]]=1,Tb_Activiteiten[[#Headers],[Niet verrekenbare btw]],""))</f>
        <v/>
      </c>
      <c r="AU1474" t="str">
        <f>IF(ISNUMBER(FIND("overige",Methode_Keuze)),"",IF(Tb_Activiteiten[[#This Row],[Grondkosten]]=1,Tb_Activiteiten[[#Headers],[Grondkosten]],""))</f>
        <v/>
      </c>
      <c r="AV1474" t="str">
        <f>IF(ISNUMBER(FIND("overige",Methode_Keuze)),"",IF(Tb_Activiteiten[[#This Row],[Bijdrage in natura (overige)]]=1,Tb_Activiteiten[[#Headers],[Bijdrage in natura (overige)]],""))</f>
        <v/>
      </c>
      <c r="AW1474" t="str">
        <f>IF(ISNUMBER(FIND("overige",Methode_Keuze)),"",IF(Tb_Activiteiten[[#This Row],[Bijdrage in natura (vrijwilligers)]]=1,Tb_Activiteiten[[#Headers],[Bijdrage in natura (vrijwilligers)]],""))</f>
        <v/>
      </c>
      <c r="AX1474" t="str">
        <f>IF(ISNUMBER(FIND("overige",Methode_Keuze)),"",IF(Tb_Activiteiten[[#This Row],[Afschrijvingskosten]]=1,Tb_Activiteiten[[#Headers],[Afschrijvingskosten]],""))</f>
        <v/>
      </c>
      <c r="AY1474" t="str">
        <f>IF(ISNUMBER(FIND("overige",Methode_Keuze)),"",IF(Tb_Activiteiten[[#This Row],[Vergoeding]]=1,Tb_Activiteiten[[#Headers],[Vergoeding]],""))</f>
        <v/>
      </c>
      <c r="AZ1474" t="str">
        <f>IF(ISNUMBER(FIND("arbeid",Methode_Keuze)),"",IF(Tb_Activiteiten[[#This Row],[Arbeidskosten - vast tarief (excl eigen arbeid)]]=1,Tb_Activiteiten[[#Headers],[Arbeidskosten - vast tarief (excl eigen arbeid)]],""))</f>
        <v/>
      </c>
      <c r="BA1474" t="str">
        <f>IF(ISNUMBER(FIND("overige",Methode_Keuze)),"",IF(Tb_Activiteiten[[#This Row],[Overige kosten]]=1,Tb_Activiteiten[[#Headers],[Overige kosten]],""))</f>
        <v/>
      </c>
    </row>
    <row r="1475" spans="15:53" x14ac:dyDescent="0.25">
      <c r="O1475" s="56"/>
      <c r="Q1475" t="str">
        <f>IFERROR(IF(VLOOKUP(Tb_Activiteiten[[#This Row],[Openstelling]],Tb_Openstelling[],2,0)=1,1,""),"")</f>
        <v/>
      </c>
      <c r="AK1475" t="str">
        <f>IF(ISNUMBER(FIND("arbeid",Methode_Keuze)),"",IF(ISNUMBER(FIND("arbeid",Methode_Keuze)),"",IF(Tb_Activiteiten[[#This Row],[Loonkosten]]=1,Tb_Activiteiten[[#Headers],[Loonkosten]],"")))</f>
        <v/>
      </c>
      <c r="AL1475" t="str">
        <f>IF(ISNUMBER(FIND("arbeid",Methode_Keuze)),"",IF(ISNUMBER(FIND("arbeid",Methode_Keuze)),"",IF(Tb_Activiteiten[[#This Row],[Eigen arbeid]]=1,Tb_Activiteiten[[#Headers],[Eigen arbeid]],"")))</f>
        <v/>
      </c>
      <c r="AM1475" t="str">
        <f>IF(ISNUMBER(FIND("arbeid",Methode_Keuze)),"",IF(ISNUMBER(FIND("arbeid",Methode_Keuze)),"",IF(Tb_Activiteiten[[#This Row],[Projectmedewerker]]=1,Tb_Activiteiten[[#Headers],[Projectmedewerker]],"")))</f>
        <v/>
      </c>
      <c r="AN1475" t="str">
        <f>IF(ISNUMBER(FIND("arbeid",Methode_Keuze)),"",IF(ISNUMBER(FIND("arbeid",Methode_Keuze)),"",IF(Tb_Activiteiten[[#This Row],[Landbouwer]]=1,Tb_Activiteiten[[#Headers],[Landbouwer]],"")))</f>
        <v/>
      </c>
      <c r="AO1475" t="str">
        <f>IF(ISNUMBER(FIND("arbeid",Methode_Keuze)),"",IF(ISNUMBER(FIND("arbeid",Methode_Keuze)),"",IF(Tb_Activiteiten[[#This Row],[Adviseur]]=1,Tb_Activiteiten[[#Headers],[Adviseur]],"")))</f>
        <v/>
      </c>
      <c r="AP1475" t="str">
        <f>IF(ISNUMBER(FIND("arbeid",Methode_Keuze)),"",IF(ISNUMBER(FIND("arbeid",Methode_Keuze)),"",IF(Tb_Activiteiten[[#This Row],[Projectleider/Expert]]=1,Tb_Activiteiten[[#Headers],[Projectleider/Expert]],"")))</f>
        <v/>
      </c>
      <c r="AQ1475" t="str">
        <f>IF(ISNUMBER(FIND("arbeid",Methode_Keuze)),"",IF(ISNUMBER(FIND("arbeid",Methode_Keuze)),"",IF(Tb_Activiteiten[[#This Row],[Arbeidskosten]]=1,Tb_Activiteiten[[#Headers],[Arbeidskosten]],"")))</f>
        <v/>
      </c>
      <c r="AR1475" t="str">
        <f>IF(ISNUMBER(FIND("arbeid",Methode_Keuze)),"",IF(ISNUMBER(FIND("arbeid",Methode_Keuze)),"",IF(Tb_Activiteiten[[#This Row],[Arbeidskosten op basis van IKS]]=1,Tb_Activiteiten[[#Headers],[Arbeidskosten op basis van IKS]],"")))</f>
        <v/>
      </c>
      <c r="AS1475" t="str">
        <f>IF(ISNUMBER(FIND("overige",Methode_Keuze)),"",IF(Tb_Activiteiten[[#This Row],[Kosten derden exclusief btw]]=1,Tb_Activiteiten[[#Headers],[Kosten derden exclusief btw]],""))</f>
        <v/>
      </c>
      <c r="AT1475" t="str">
        <f>IF(ISNUMBER(FIND("overige",Methode_Keuze)),"",IF(Tb_Activiteiten[[#This Row],[Niet verrekenbare btw]]=1,Tb_Activiteiten[[#Headers],[Niet verrekenbare btw]],""))</f>
        <v/>
      </c>
      <c r="AU1475" t="str">
        <f>IF(ISNUMBER(FIND("overige",Methode_Keuze)),"",IF(Tb_Activiteiten[[#This Row],[Grondkosten]]=1,Tb_Activiteiten[[#Headers],[Grondkosten]],""))</f>
        <v/>
      </c>
      <c r="AV1475" t="str">
        <f>IF(ISNUMBER(FIND("overige",Methode_Keuze)),"",IF(Tb_Activiteiten[[#This Row],[Bijdrage in natura (overige)]]=1,Tb_Activiteiten[[#Headers],[Bijdrage in natura (overige)]],""))</f>
        <v/>
      </c>
      <c r="AW1475" t="str">
        <f>IF(ISNUMBER(FIND("overige",Methode_Keuze)),"",IF(Tb_Activiteiten[[#This Row],[Bijdrage in natura (vrijwilligers)]]=1,Tb_Activiteiten[[#Headers],[Bijdrage in natura (vrijwilligers)]],""))</f>
        <v/>
      </c>
      <c r="AX1475" t="str">
        <f>IF(ISNUMBER(FIND("overige",Methode_Keuze)),"",IF(Tb_Activiteiten[[#This Row],[Afschrijvingskosten]]=1,Tb_Activiteiten[[#Headers],[Afschrijvingskosten]],""))</f>
        <v/>
      </c>
      <c r="AY1475" t="str">
        <f>IF(ISNUMBER(FIND("overige",Methode_Keuze)),"",IF(Tb_Activiteiten[[#This Row],[Vergoeding]]=1,Tb_Activiteiten[[#Headers],[Vergoeding]],""))</f>
        <v/>
      </c>
      <c r="AZ1475" t="str">
        <f>IF(ISNUMBER(FIND("arbeid",Methode_Keuze)),"",IF(Tb_Activiteiten[[#This Row],[Arbeidskosten - vast tarief (excl eigen arbeid)]]=1,Tb_Activiteiten[[#Headers],[Arbeidskosten - vast tarief (excl eigen arbeid)]],""))</f>
        <v/>
      </c>
      <c r="BA1475" t="str">
        <f>IF(ISNUMBER(FIND("overige",Methode_Keuze)),"",IF(Tb_Activiteiten[[#This Row],[Overige kosten]]=1,Tb_Activiteiten[[#Headers],[Overige kosten]],""))</f>
        <v/>
      </c>
    </row>
    <row r="1476" spans="15:53" x14ac:dyDescent="0.25">
      <c r="O1476" s="56"/>
      <c r="Q1476" t="str">
        <f>IFERROR(IF(VLOOKUP(Tb_Activiteiten[[#This Row],[Openstelling]],Tb_Openstelling[],2,0)=1,1,""),"")</f>
        <v/>
      </c>
      <c r="AK1476" t="str">
        <f>IF(ISNUMBER(FIND("arbeid",Methode_Keuze)),"",IF(ISNUMBER(FIND("arbeid",Methode_Keuze)),"",IF(Tb_Activiteiten[[#This Row],[Loonkosten]]=1,Tb_Activiteiten[[#Headers],[Loonkosten]],"")))</f>
        <v/>
      </c>
      <c r="AL1476" t="str">
        <f>IF(ISNUMBER(FIND("arbeid",Methode_Keuze)),"",IF(ISNUMBER(FIND("arbeid",Methode_Keuze)),"",IF(Tb_Activiteiten[[#This Row],[Eigen arbeid]]=1,Tb_Activiteiten[[#Headers],[Eigen arbeid]],"")))</f>
        <v/>
      </c>
      <c r="AM1476" t="str">
        <f>IF(ISNUMBER(FIND("arbeid",Methode_Keuze)),"",IF(ISNUMBER(FIND("arbeid",Methode_Keuze)),"",IF(Tb_Activiteiten[[#This Row],[Projectmedewerker]]=1,Tb_Activiteiten[[#Headers],[Projectmedewerker]],"")))</f>
        <v/>
      </c>
      <c r="AN1476" t="str">
        <f>IF(ISNUMBER(FIND("arbeid",Methode_Keuze)),"",IF(ISNUMBER(FIND("arbeid",Methode_Keuze)),"",IF(Tb_Activiteiten[[#This Row],[Landbouwer]]=1,Tb_Activiteiten[[#Headers],[Landbouwer]],"")))</f>
        <v/>
      </c>
      <c r="AO1476" t="str">
        <f>IF(ISNUMBER(FIND("arbeid",Methode_Keuze)),"",IF(ISNUMBER(FIND("arbeid",Methode_Keuze)),"",IF(Tb_Activiteiten[[#This Row],[Adviseur]]=1,Tb_Activiteiten[[#Headers],[Adviseur]],"")))</f>
        <v/>
      </c>
      <c r="AP1476" t="str">
        <f>IF(ISNUMBER(FIND("arbeid",Methode_Keuze)),"",IF(ISNUMBER(FIND("arbeid",Methode_Keuze)),"",IF(Tb_Activiteiten[[#This Row],[Projectleider/Expert]]=1,Tb_Activiteiten[[#Headers],[Projectleider/Expert]],"")))</f>
        <v/>
      </c>
      <c r="AQ1476" t="str">
        <f>IF(ISNUMBER(FIND("arbeid",Methode_Keuze)),"",IF(ISNUMBER(FIND("arbeid",Methode_Keuze)),"",IF(Tb_Activiteiten[[#This Row],[Arbeidskosten]]=1,Tb_Activiteiten[[#Headers],[Arbeidskosten]],"")))</f>
        <v/>
      </c>
      <c r="AR1476" t="str">
        <f>IF(ISNUMBER(FIND("arbeid",Methode_Keuze)),"",IF(ISNUMBER(FIND("arbeid",Methode_Keuze)),"",IF(Tb_Activiteiten[[#This Row],[Arbeidskosten op basis van IKS]]=1,Tb_Activiteiten[[#Headers],[Arbeidskosten op basis van IKS]],"")))</f>
        <v/>
      </c>
      <c r="AS1476" t="str">
        <f>IF(ISNUMBER(FIND("overige",Methode_Keuze)),"",IF(Tb_Activiteiten[[#This Row],[Kosten derden exclusief btw]]=1,Tb_Activiteiten[[#Headers],[Kosten derden exclusief btw]],""))</f>
        <v/>
      </c>
      <c r="AT1476" t="str">
        <f>IF(ISNUMBER(FIND("overige",Methode_Keuze)),"",IF(Tb_Activiteiten[[#This Row],[Niet verrekenbare btw]]=1,Tb_Activiteiten[[#Headers],[Niet verrekenbare btw]],""))</f>
        <v/>
      </c>
      <c r="AU1476" t="str">
        <f>IF(ISNUMBER(FIND("overige",Methode_Keuze)),"",IF(Tb_Activiteiten[[#This Row],[Grondkosten]]=1,Tb_Activiteiten[[#Headers],[Grondkosten]],""))</f>
        <v/>
      </c>
      <c r="AV1476" t="str">
        <f>IF(ISNUMBER(FIND("overige",Methode_Keuze)),"",IF(Tb_Activiteiten[[#This Row],[Bijdrage in natura (overige)]]=1,Tb_Activiteiten[[#Headers],[Bijdrage in natura (overige)]],""))</f>
        <v/>
      </c>
      <c r="AW1476" t="str">
        <f>IF(ISNUMBER(FIND("overige",Methode_Keuze)),"",IF(Tb_Activiteiten[[#This Row],[Bijdrage in natura (vrijwilligers)]]=1,Tb_Activiteiten[[#Headers],[Bijdrage in natura (vrijwilligers)]],""))</f>
        <v/>
      </c>
      <c r="AX1476" t="str">
        <f>IF(ISNUMBER(FIND("overige",Methode_Keuze)),"",IF(Tb_Activiteiten[[#This Row],[Afschrijvingskosten]]=1,Tb_Activiteiten[[#Headers],[Afschrijvingskosten]],""))</f>
        <v/>
      </c>
      <c r="AY1476" t="str">
        <f>IF(ISNUMBER(FIND("overige",Methode_Keuze)),"",IF(Tb_Activiteiten[[#This Row],[Vergoeding]]=1,Tb_Activiteiten[[#Headers],[Vergoeding]],""))</f>
        <v/>
      </c>
      <c r="AZ1476" t="str">
        <f>IF(ISNUMBER(FIND("arbeid",Methode_Keuze)),"",IF(Tb_Activiteiten[[#This Row],[Arbeidskosten - vast tarief (excl eigen arbeid)]]=1,Tb_Activiteiten[[#Headers],[Arbeidskosten - vast tarief (excl eigen arbeid)]],""))</f>
        <v/>
      </c>
      <c r="BA1476" t="str">
        <f>IF(ISNUMBER(FIND("overige",Methode_Keuze)),"",IF(Tb_Activiteiten[[#This Row],[Overige kosten]]=1,Tb_Activiteiten[[#Headers],[Overige kosten]],""))</f>
        <v/>
      </c>
    </row>
    <row r="1477" spans="15:53" x14ac:dyDescent="0.25">
      <c r="O1477" s="56"/>
      <c r="Q1477" t="str">
        <f>IFERROR(IF(VLOOKUP(Tb_Activiteiten[[#This Row],[Openstelling]],Tb_Openstelling[],2,0)=1,1,""),"")</f>
        <v/>
      </c>
      <c r="AK1477" t="str">
        <f>IF(ISNUMBER(FIND("arbeid",Methode_Keuze)),"",IF(ISNUMBER(FIND("arbeid",Methode_Keuze)),"",IF(Tb_Activiteiten[[#This Row],[Loonkosten]]=1,Tb_Activiteiten[[#Headers],[Loonkosten]],"")))</f>
        <v/>
      </c>
      <c r="AL1477" t="str">
        <f>IF(ISNUMBER(FIND("arbeid",Methode_Keuze)),"",IF(ISNUMBER(FIND("arbeid",Methode_Keuze)),"",IF(Tb_Activiteiten[[#This Row],[Eigen arbeid]]=1,Tb_Activiteiten[[#Headers],[Eigen arbeid]],"")))</f>
        <v/>
      </c>
      <c r="AM1477" t="str">
        <f>IF(ISNUMBER(FIND("arbeid",Methode_Keuze)),"",IF(ISNUMBER(FIND("arbeid",Methode_Keuze)),"",IF(Tb_Activiteiten[[#This Row],[Projectmedewerker]]=1,Tb_Activiteiten[[#Headers],[Projectmedewerker]],"")))</f>
        <v/>
      </c>
      <c r="AN1477" t="str">
        <f>IF(ISNUMBER(FIND("arbeid",Methode_Keuze)),"",IF(ISNUMBER(FIND("arbeid",Methode_Keuze)),"",IF(Tb_Activiteiten[[#This Row],[Landbouwer]]=1,Tb_Activiteiten[[#Headers],[Landbouwer]],"")))</f>
        <v/>
      </c>
      <c r="AO1477" t="str">
        <f>IF(ISNUMBER(FIND("arbeid",Methode_Keuze)),"",IF(ISNUMBER(FIND("arbeid",Methode_Keuze)),"",IF(Tb_Activiteiten[[#This Row],[Adviseur]]=1,Tb_Activiteiten[[#Headers],[Adviseur]],"")))</f>
        <v/>
      </c>
      <c r="AP1477" t="str">
        <f>IF(ISNUMBER(FIND("arbeid",Methode_Keuze)),"",IF(ISNUMBER(FIND("arbeid",Methode_Keuze)),"",IF(Tb_Activiteiten[[#This Row],[Projectleider/Expert]]=1,Tb_Activiteiten[[#Headers],[Projectleider/Expert]],"")))</f>
        <v/>
      </c>
      <c r="AQ1477" t="str">
        <f>IF(ISNUMBER(FIND("arbeid",Methode_Keuze)),"",IF(ISNUMBER(FIND("arbeid",Methode_Keuze)),"",IF(Tb_Activiteiten[[#This Row],[Arbeidskosten]]=1,Tb_Activiteiten[[#Headers],[Arbeidskosten]],"")))</f>
        <v/>
      </c>
      <c r="AR1477" t="str">
        <f>IF(ISNUMBER(FIND("arbeid",Methode_Keuze)),"",IF(ISNUMBER(FIND("arbeid",Methode_Keuze)),"",IF(Tb_Activiteiten[[#This Row],[Arbeidskosten op basis van IKS]]=1,Tb_Activiteiten[[#Headers],[Arbeidskosten op basis van IKS]],"")))</f>
        <v/>
      </c>
      <c r="AS1477" t="str">
        <f>IF(ISNUMBER(FIND("overige",Methode_Keuze)),"",IF(Tb_Activiteiten[[#This Row],[Kosten derden exclusief btw]]=1,Tb_Activiteiten[[#Headers],[Kosten derden exclusief btw]],""))</f>
        <v/>
      </c>
      <c r="AT1477" t="str">
        <f>IF(ISNUMBER(FIND("overige",Methode_Keuze)),"",IF(Tb_Activiteiten[[#This Row],[Niet verrekenbare btw]]=1,Tb_Activiteiten[[#Headers],[Niet verrekenbare btw]],""))</f>
        <v/>
      </c>
      <c r="AU1477" t="str">
        <f>IF(ISNUMBER(FIND("overige",Methode_Keuze)),"",IF(Tb_Activiteiten[[#This Row],[Grondkosten]]=1,Tb_Activiteiten[[#Headers],[Grondkosten]],""))</f>
        <v/>
      </c>
      <c r="AV1477" t="str">
        <f>IF(ISNUMBER(FIND("overige",Methode_Keuze)),"",IF(Tb_Activiteiten[[#This Row],[Bijdrage in natura (overige)]]=1,Tb_Activiteiten[[#Headers],[Bijdrage in natura (overige)]],""))</f>
        <v/>
      </c>
      <c r="AW1477" t="str">
        <f>IF(ISNUMBER(FIND("overige",Methode_Keuze)),"",IF(Tb_Activiteiten[[#This Row],[Bijdrage in natura (vrijwilligers)]]=1,Tb_Activiteiten[[#Headers],[Bijdrage in natura (vrijwilligers)]],""))</f>
        <v/>
      </c>
      <c r="AX1477" t="str">
        <f>IF(ISNUMBER(FIND("overige",Methode_Keuze)),"",IF(Tb_Activiteiten[[#This Row],[Afschrijvingskosten]]=1,Tb_Activiteiten[[#Headers],[Afschrijvingskosten]],""))</f>
        <v/>
      </c>
      <c r="AY1477" t="str">
        <f>IF(ISNUMBER(FIND("overige",Methode_Keuze)),"",IF(Tb_Activiteiten[[#This Row],[Vergoeding]]=1,Tb_Activiteiten[[#Headers],[Vergoeding]],""))</f>
        <v/>
      </c>
      <c r="AZ1477" t="str">
        <f>IF(ISNUMBER(FIND("arbeid",Methode_Keuze)),"",IF(Tb_Activiteiten[[#This Row],[Arbeidskosten - vast tarief (excl eigen arbeid)]]=1,Tb_Activiteiten[[#Headers],[Arbeidskosten - vast tarief (excl eigen arbeid)]],""))</f>
        <v/>
      </c>
      <c r="BA1477" t="str">
        <f>IF(ISNUMBER(FIND("overige",Methode_Keuze)),"",IF(Tb_Activiteiten[[#This Row],[Overige kosten]]=1,Tb_Activiteiten[[#Headers],[Overige kosten]],""))</f>
        <v/>
      </c>
    </row>
    <row r="1478" spans="15:53" x14ac:dyDescent="0.25">
      <c r="O1478" s="56"/>
      <c r="Q1478" t="str">
        <f>IFERROR(IF(VLOOKUP(Tb_Activiteiten[[#This Row],[Openstelling]],Tb_Openstelling[],2,0)=1,1,""),"")</f>
        <v/>
      </c>
      <c r="AK1478" t="str">
        <f>IF(ISNUMBER(FIND("arbeid",Methode_Keuze)),"",IF(ISNUMBER(FIND("arbeid",Methode_Keuze)),"",IF(Tb_Activiteiten[[#This Row],[Loonkosten]]=1,Tb_Activiteiten[[#Headers],[Loonkosten]],"")))</f>
        <v/>
      </c>
      <c r="AL1478" t="str">
        <f>IF(ISNUMBER(FIND("arbeid",Methode_Keuze)),"",IF(ISNUMBER(FIND("arbeid",Methode_Keuze)),"",IF(Tb_Activiteiten[[#This Row],[Eigen arbeid]]=1,Tb_Activiteiten[[#Headers],[Eigen arbeid]],"")))</f>
        <v/>
      </c>
      <c r="AM1478" t="str">
        <f>IF(ISNUMBER(FIND("arbeid",Methode_Keuze)),"",IF(ISNUMBER(FIND("arbeid",Methode_Keuze)),"",IF(Tb_Activiteiten[[#This Row],[Projectmedewerker]]=1,Tb_Activiteiten[[#Headers],[Projectmedewerker]],"")))</f>
        <v/>
      </c>
      <c r="AN1478" t="str">
        <f>IF(ISNUMBER(FIND("arbeid",Methode_Keuze)),"",IF(ISNUMBER(FIND("arbeid",Methode_Keuze)),"",IF(Tb_Activiteiten[[#This Row],[Landbouwer]]=1,Tb_Activiteiten[[#Headers],[Landbouwer]],"")))</f>
        <v/>
      </c>
      <c r="AO1478" t="str">
        <f>IF(ISNUMBER(FIND("arbeid",Methode_Keuze)),"",IF(ISNUMBER(FIND("arbeid",Methode_Keuze)),"",IF(Tb_Activiteiten[[#This Row],[Adviseur]]=1,Tb_Activiteiten[[#Headers],[Adviseur]],"")))</f>
        <v/>
      </c>
      <c r="AP1478" t="str">
        <f>IF(ISNUMBER(FIND("arbeid",Methode_Keuze)),"",IF(ISNUMBER(FIND("arbeid",Methode_Keuze)),"",IF(Tb_Activiteiten[[#This Row],[Projectleider/Expert]]=1,Tb_Activiteiten[[#Headers],[Projectleider/Expert]],"")))</f>
        <v/>
      </c>
      <c r="AQ1478" t="str">
        <f>IF(ISNUMBER(FIND("arbeid",Methode_Keuze)),"",IF(ISNUMBER(FIND("arbeid",Methode_Keuze)),"",IF(Tb_Activiteiten[[#This Row],[Arbeidskosten]]=1,Tb_Activiteiten[[#Headers],[Arbeidskosten]],"")))</f>
        <v/>
      </c>
      <c r="AR1478" t="str">
        <f>IF(ISNUMBER(FIND("arbeid",Methode_Keuze)),"",IF(ISNUMBER(FIND("arbeid",Methode_Keuze)),"",IF(Tb_Activiteiten[[#This Row],[Arbeidskosten op basis van IKS]]=1,Tb_Activiteiten[[#Headers],[Arbeidskosten op basis van IKS]],"")))</f>
        <v/>
      </c>
      <c r="AS1478" t="str">
        <f>IF(ISNUMBER(FIND("overige",Methode_Keuze)),"",IF(Tb_Activiteiten[[#This Row],[Kosten derden exclusief btw]]=1,Tb_Activiteiten[[#Headers],[Kosten derden exclusief btw]],""))</f>
        <v/>
      </c>
      <c r="AT1478" t="str">
        <f>IF(ISNUMBER(FIND("overige",Methode_Keuze)),"",IF(Tb_Activiteiten[[#This Row],[Niet verrekenbare btw]]=1,Tb_Activiteiten[[#Headers],[Niet verrekenbare btw]],""))</f>
        <v/>
      </c>
      <c r="AU1478" t="str">
        <f>IF(ISNUMBER(FIND("overige",Methode_Keuze)),"",IF(Tb_Activiteiten[[#This Row],[Grondkosten]]=1,Tb_Activiteiten[[#Headers],[Grondkosten]],""))</f>
        <v/>
      </c>
      <c r="AV1478" t="str">
        <f>IF(ISNUMBER(FIND("overige",Methode_Keuze)),"",IF(Tb_Activiteiten[[#This Row],[Bijdrage in natura (overige)]]=1,Tb_Activiteiten[[#Headers],[Bijdrage in natura (overige)]],""))</f>
        <v/>
      </c>
      <c r="AW1478" t="str">
        <f>IF(ISNUMBER(FIND("overige",Methode_Keuze)),"",IF(Tb_Activiteiten[[#This Row],[Bijdrage in natura (vrijwilligers)]]=1,Tb_Activiteiten[[#Headers],[Bijdrage in natura (vrijwilligers)]],""))</f>
        <v/>
      </c>
      <c r="AX1478" t="str">
        <f>IF(ISNUMBER(FIND("overige",Methode_Keuze)),"",IF(Tb_Activiteiten[[#This Row],[Afschrijvingskosten]]=1,Tb_Activiteiten[[#Headers],[Afschrijvingskosten]],""))</f>
        <v/>
      </c>
      <c r="AY1478" t="str">
        <f>IF(ISNUMBER(FIND("overige",Methode_Keuze)),"",IF(Tb_Activiteiten[[#This Row],[Vergoeding]]=1,Tb_Activiteiten[[#Headers],[Vergoeding]],""))</f>
        <v/>
      </c>
      <c r="AZ1478" t="str">
        <f>IF(ISNUMBER(FIND("arbeid",Methode_Keuze)),"",IF(Tb_Activiteiten[[#This Row],[Arbeidskosten - vast tarief (excl eigen arbeid)]]=1,Tb_Activiteiten[[#Headers],[Arbeidskosten - vast tarief (excl eigen arbeid)]],""))</f>
        <v/>
      </c>
      <c r="BA1478" t="str">
        <f>IF(ISNUMBER(FIND("overige",Methode_Keuze)),"",IF(Tb_Activiteiten[[#This Row],[Overige kosten]]=1,Tb_Activiteiten[[#Headers],[Overige kosten]],""))</f>
        <v/>
      </c>
    </row>
    <row r="1479" spans="15:53" x14ac:dyDescent="0.25">
      <c r="O1479" s="56"/>
      <c r="Q1479" t="str">
        <f>IFERROR(IF(VLOOKUP(Tb_Activiteiten[[#This Row],[Openstelling]],Tb_Openstelling[],2,0)=1,1,""),"")</f>
        <v/>
      </c>
      <c r="AK1479" t="str">
        <f>IF(ISNUMBER(FIND("arbeid",Methode_Keuze)),"",IF(ISNUMBER(FIND("arbeid",Methode_Keuze)),"",IF(Tb_Activiteiten[[#This Row],[Loonkosten]]=1,Tb_Activiteiten[[#Headers],[Loonkosten]],"")))</f>
        <v/>
      </c>
      <c r="AL1479" t="str">
        <f>IF(ISNUMBER(FIND("arbeid",Methode_Keuze)),"",IF(ISNUMBER(FIND("arbeid",Methode_Keuze)),"",IF(Tb_Activiteiten[[#This Row],[Eigen arbeid]]=1,Tb_Activiteiten[[#Headers],[Eigen arbeid]],"")))</f>
        <v/>
      </c>
      <c r="AM1479" t="str">
        <f>IF(ISNUMBER(FIND("arbeid",Methode_Keuze)),"",IF(ISNUMBER(FIND("arbeid",Methode_Keuze)),"",IF(Tb_Activiteiten[[#This Row],[Projectmedewerker]]=1,Tb_Activiteiten[[#Headers],[Projectmedewerker]],"")))</f>
        <v/>
      </c>
      <c r="AN1479" t="str">
        <f>IF(ISNUMBER(FIND("arbeid",Methode_Keuze)),"",IF(ISNUMBER(FIND("arbeid",Methode_Keuze)),"",IF(Tb_Activiteiten[[#This Row],[Landbouwer]]=1,Tb_Activiteiten[[#Headers],[Landbouwer]],"")))</f>
        <v/>
      </c>
      <c r="AO1479" t="str">
        <f>IF(ISNUMBER(FIND("arbeid",Methode_Keuze)),"",IF(ISNUMBER(FIND("arbeid",Methode_Keuze)),"",IF(Tb_Activiteiten[[#This Row],[Adviseur]]=1,Tb_Activiteiten[[#Headers],[Adviseur]],"")))</f>
        <v/>
      </c>
      <c r="AP1479" t="str">
        <f>IF(ISNUMBER(FIND("arbeid",Methode_Keuze)),"",IF(ISNUMBER(FIND("arbeid",Methode_Keuze)),"",IF(Tb_Activiteiten[[#This Row],[Projectleider/Expert]]=1,Tb_Activiteiten[[#Headers],[Projectleider/Expert]],"")))</f>
        <v/>
      </c>
      <c r="AQ1479" t="str">
        <f>IF(ISNUMBER(FIND("arbeid",Methode_Keuze)),"",IF(ISNUMBER(FIND("arbeid",Methode_Keuze)),"",IF(Tb_Activiteiten[[#This Row],[Arbeidskosten]]=1,Tb_Activiteiten[[#Headers],[Arbeidskosten]],"")))</f>
        <v/>
      </c>
      <c r="AR1479" t="str">
        <f>IF(ISNUMBER(FIND("arbeid",Methode_Keuze)),"",IF(ISNUMBER(FIND("arbeid",Methode_Keuze)),"",IF(Tb_Activiteiten[[#This Row],[Arbeidskosten op basis van IKS]]=1,Tb_Activiteiten[[#Headers],[Arbeidskosten op basis van IKS]],"")))</f>
        <v/>
      </c>
      <c r="AS1479" t="str">
        <f>IF(ISNUMBER(FIND("overige",Methode_Keuze)),"",IF(Tb_Activiteiten[[#This Row],[Kosten derden exclusief btw]]=1,Tb_Activiteiten[[#Headers],[Kosten derden exclusief btw]],""))</f>
        <v/>
      </c>
      <c r="AT1479" t="str">
        <f>IF(ISNUMBER(FIND("overige",Methode_Keuze)),"",IF(Tb_Activiteiten[[#This Row],[Niet verrekenbare btw]]=1,Tb_Activiteiten[[#Headers],[Niet verrekenbare btw]],""))</f>
        <v/>
      </c>
      <c r="AU1479" t="str">
        <f>IF(ISNUMBER(FIND("overige",Methode_Keuze)),"",IF(Tb_Activiteiten[[#This Row],[Grondkosten]]=1,Tb_Activiteiten[[#Headers],[Grondkosten]],""))</f>
        <v/>
      </c>
      <c r="AV1479" t="str">
        <f>IF(ISNUMBER(FIND("overige",Methode_Keuze)),"",IF(Tb_Activiteiten[[#This Row],[Bijdrage in natura (overige)]]=1,Tb_Activiteiten[[#Headers],[Bijdrage in natura (overige)]],""))</f>
        <v/>
      </c>
      <c r="AW1479" t="str">
        <f>IF(ISNUMBER(FIND("overige",Methode_Keuze)),"",IF(Tb_Activiteiten[[#This Row],[Bijdrage in natura (vrijwilligers)]]=1,Tb_Activiteiten[[#Headers],[Bijdrage in natura (vrijwilligers)]],""))</f>
        <v/>
      </c>
      <c r="AX1479" t="str">
        <f>IF(ISNUMBER(FIND("overige",Methode_Keuze)),"",IF(Tb_Activiteiten[[#This Row],[Afschrijvingskosten]]=1,Tb_Activiteiten[[#Headers],[Afschrijvingskosten]],""))</f>
        <v/>
      </c>
      <c r="AY1479" t="str">
        <f>IF(ISNUMBER(FIND("overige",Methode_Keuze)),"",IF(Tb_Activiteiten[[#This Row],[Vergoeding]]=1,Tb_Activiteiten[[#Headers],[Vergoeding]],""))</f>
        <v/>
      </c>
      <c r="AZ1479" t="str">
        <f>IF(ISNUMBER(FIND("arbeid",Methode_Keuze)),"",IF(Tb_Activiteiten[[#This Row],[Arbeidskosten - vast tarief (excl eigen arbeid)]]=1,Tb_Activiteiten[[#Headers],[Arbeidskosten - vast tarief (excl eigen arbeid)]],""))</f>
        <v/>
      </c>
      <c r="BA1479" t="str">
        <f>IF(ISNUMBER(FIND("overige",Methode_Keuze)),"",IF(Tb_Activiteiten[[#This Row],[Overige kosten]]=1,Tb_Activiteiten[[#Headers],[Overige kosten]],""))</f>
        <v/>
      </c>
    </row>
    <row r="1480" spans="15:53" x14ac:dyDescent="0.25">
      <c r="O1480" s="56"/>
      <c r="Q1480" t="str">
        <f>IFERROR(IF(VLOOKUP(Tb_Activiteiten[[#This Row],[Openstelling]],Tb_Openstelling[],2,0)=1,1,""),"")</f>
        <v/>
      </c>
      <c r="AK1480" t="str">
        <f>IF(ISNUMBER(FIND("arbeid",Methode_Keuze)),"",IF(ISNUMBER(FIND("arbeid",Methode_Keuze)),"",IF(Tb_Activiteiten[[#This Row],[Loonkosten]]=1,Tb_Activiteiten[[#Headers],[Loonkosten]],"")))</f>
        <v/>
      </c>
      <c r="AL1480" t="str">
        <f>IF(ISNUMBER(FIND("arbeid",Methode_Keuze)),"",IF(ISNUMBER(FIND("arbeid",Methode_Keuze)),"",IF(Tb_Activiteiten[[#This Row],[Eigen arbeid]]=1,Tb_Activiteiten[[#Headers],[Eigen arbeid]],"")))</f>
        <v/>
      </c>
      <c r="AM1480" t="str">
        <f>IF(ISNUMBER(FIND("arbeid",Methode_Keuze)),"",IF(ISNUMBER(FIND("arbeid",Methode_Keuze)),"",IF(Tb_Activiteiten[[#This Row],[Projectmedewerker]]=1,Tb_Activiteiten[[#Headers],[Projectmedewerker]],"")))</f>
        <v/>
      </c>
      <c r="AN1480" t="str">
        <f>IF(ISNUMBER(FIND("arbeid",Methode_Keuze)),"",IF(ISNUMBER(FIND("arbeid",Methode_Keuze)),"",IF(Tb_Activiteiten[[#This Row],[Landbouwer]]=1,Tb_Activiteiten[[#Headers],[Landbouwer]],"")))</f>
        <v/>
      </c>
      <c r="AO1480" t="str">
        <f>IF(ISNUMBER(FIND("arbeid",Methode_Keuze)),"",IF(ISNUMBER(FIND("arbeid",Methode_Keuze)),"",IF(Tb_Activiteiten[[#This Row],[Adviseur]]=1,Tb_Activiteiten[[#Headers],[Adviseur]],"")))</f>
        <v/>
      </c>
      <c r="AP1480" t="str">
        <f>IF(ISNUMBER(FIND("arbeid",Methode_Keuze)),"",IF(ISNUMBER(FIND("arbeid",Methode_Keuze)),"",IF(Tb_Activiteiten[[#This Row],[Projectleider/Expert]]=1,Tb_Activiteiten[[#Headers],[Projectleider/Expert]],"")))</f>
        <v/>
      </c>
      <c r="AQ1480" t="str">
        <f>IF(ISNUMBER(FIND("arbeid",Methode_Keuze)),"",IF(ISNUMBER(FIND("arbeid",Methode_Keuze)),"",IF(Tb_Activiteiten[[#This Row],[Arbeidskosten]]=1,Tb_Activiteiten[[#Headers],[Arbeidskosten]],"")))</f>
        <v/>
      </c>
      <c r="AR1480" t="str">
        <f>IF(ISNUMBER(FIND("arbeid",Methode_Keuze)),"",IF(ISNUMBER(FIND("arbeid",Methode_Keuze)),"",IF(Tb_Activiteiten[[#This Row],[Arbeidskosten op basis van IKS]]=1,Tb_Activiteiten[[#Headers],[Arbeidskosten op basis van IKS]],"")))</f>
        <v/>
      </c>
      <c r="AS1480" t="str">
        <f>IF(ISNUMBER(FIND("overige",Methode_Keuze)),"",IF(Tb_Activiteiten[[#This Row],[Kosten derden exclusief btw]]=1,Tb_Activiteiten[[#Headers],[Kosten derden exclusief btw]],""))</f>
        <v/>
      </c>
      <c r="AT1480" t="str">
        <f>IF(ISNUMBER(FIND("overige",Methode_Keuze)),"",IF(Tb_Activiteiten[[#This Row],[Niet verrekenbare btw]]=1,Tb_Activiteiten[[#Headers],[Niet verrekenbare btw]],""))</f>
        <v/>
      </c>
      <c r="AU1480" t="str">
        <f>IF(ISNUMBER(FIND("overige",Methode_Keuze)),"",IF(Tb_Activiteiten[[#This Row],[Grondkosten]]=1,Tb_Activiteiten[[#Headers],[Grondkosten]],""))</f>
        <v/>
      </c>
      <c r="AV1480" t="str">
        <f>IF(ISNUMBER(FIND("overige",Methode_Keuze)),"",IF(Tb_Activiteiten[[#This Row],[Bijdrage in natura (overige)]]=1,Tb_Activiteiten[[#Headers],[Bijdrage in natura (overige)]],""))</f>
        <v/>
      </c>
      <c r="AW1480" t="str">
        <f>IF(ISNUMBER(FIND("overige",Methode_Keuze)),"",IF(Tb_Activiteiten[[#This Row],[Bijdrage in natura (vrijwilligers)]]=1,Tb_Activiteiten[[#Headers],[Bijdrage in natura (vrijwilligers)]],""))</f>
        <v/>
      </c>
      <c r="AX1480" t="str">
        <f>IF(ISNUMBER(FIND("overige",Methode_Keuze)),"",IF(Tb_Activiteiten[[#This Row],[Afschrijvingskosten]]=1,Tb_Activiteiten[[#Headers],[Afschrijvingskosten]],""))</f>
        <v/>
      </c>
      <c r="AY1480" t="str">
        <f>IF(ISNUMBER(FIND("overige",Methode_Keuze)),"",IF(Tb_Activiteiten[[#This Row],[Vergoeding]]=1,Tb_Activiteiten[[#Headers],[Vergoeding]],""))</f>
        <v/>
      </c>
      <c r="AZ1480" t="str">
        <f>IF(ISNUMBER(FIND("arbeid",Methode_Keuze)),"",IF(Tb_Activiteiten[[#This Row],[Arbeidskosten - vast tarief (excl eigen arbeid)]]=1,Tb_Activiteiten[[#Headers],[Arbeidskosten - vast tarief (excl eigen arbeid)]],""))</f>
        <v/>
      </c>
      <c r="BA1480" t="str">
        <f>IF(ISNUMBER(FIND("overige",Methode_Keuze)),"",IF(Tb_Activiteiten[[#This Row],[Overige kosten]]=1,Tb_Activiteiten[[#Headers],[Overige kosten]],""))</f>
        <v/>
      </c>
    </row>
    <row r="1481" spans="15:53" x14ac:dyDescent="0.25">
      <c r="O1481" s="56"/>
      <c r="Q1481" t="str">
        <f>IFERROR(IF(VLOOKUP(Tb_Activiteiten[[#This Row],[Openstelling]],Tb_Openstelling[],2,0)=1,1,""),"")</f>
        <v/>
      </c>
      <c r="AK1481" t="str">
        <f>IF(ISNUMBER(FIND("arbeid",Methode_Keuze)),"",IF(ISNUMBER(FIND("arbeid",Methode_Keuze)),"",IF(Tb_Activiteiten[[#This Row],[Loonkosten]]=1,Tb_Activiteiten[[#Headers],[Loonkosten]],"")))</f>
        <v/>
      </c>
      <c r="AL1481" t="str">
        <f>IF(ISNUMBER(FIND("arbeid",Methode_Keuze)),"",IF(ISNUMBER(FIND("arbeid",Methode_Keuze)),"",IF(Tb_Activiteiten[[#This Row],[Eigen arbeid]]=1,Tb_Activiteiten[[#Headers],[Eigen arbeid]],"")))</f>
        <v/>
      </c>
      <c r="AM1481" t="str">
        <f>IF(ISNUMBER(FIND("arbeid",Methode_Keuze)),"",IF(ISNUMBER(FIND("arbeid",Methode_Keuze)),"",IF(Tb_Activiteiten[[#This Row],[Projectmedewerker]]=1,Tb_Activiteiten[[#Headers],[Projectmedewerker]],"")))</f>
        <v/>
      </c>
      <c r="AN1481" t="str">
        <f>IF(ISNUMBER(FIND("arbeid",Methode_Keuze)),"",IF(ISNUMBER(FIND("arbeid",Methode_Keuze)),"",IF(Tb_Activiteiten[[#This Row],[Landbouwer]]=1,Tb_Activiteiten[[#Headers],[Landbouwer]],"")))</f>
        <v/>
      </c>
      <c r="AO1481" t="str">
        <f>IF(ISNUMBER(FIND("arbeid",Methode_Keuze)),"",IF(ISNUMBER(FIND("arbeid",Methode_Keuze)),"",IF(Tb_Activiteiten[[#This Row],[Adviseur]]=1,Tb_Activiteiten[[#Headers],[Adviseur]],"")))</f>
        <v/>
      </c>
      <c r="AP1481" t="str">
        <f>IF(ISNUMBER(FIND("arbeid",Methode_Keuze)),"",IF(ISNUMBER(FIND("arbeid",Methode_Keuze)),"",IF(Tb_Activiteiten[[#This Row],[Projectleider/Expert]]=1,Tb_Activiteiten[[#Headers],[Projectleider/Expert]],"")))</f>
        <v/>
      </c>
      <c r="AQ1481" t="str">
        <f>IF(ISNUMBER(FIND("arbeid",Methode_Keuze)),"",IF(ISNUMBER(FIND("arbeid",Methode_Keuze)),"",IF(Tb_Activiteiten[[#This Row],[Arbeidskosten]]=1,Tb_Activiteiten[[#Headers],[Arbeidskosten]],"")))</f>
        <v/>
      </c>
      <c r="AR1481" t="str">
        <f>IF(ISNUMBER(FIND("arbeid",Methode_Keuze)),"",IF(ISNUMBER(FIND("arbeid",Methode_Keuze)),"",IF(Tb_Activiteiten[[#This Row],[Arbeidskosten op basis van IKS]]=1,Tb_Activiteiten[[#Headers],[Arbeidskosten op basis van IKS]],"")))</f>
        <v/>
      </c>
      <c r="AS1481" t="str">
        <f>IF(ISNUMBER(FIND("overige",Methode_Keuze)),"",IF(Tb_Activiteiten[[#This Row],[Kosten derden exclusief btw]]=1,Tb_Activiteiten[[#Headers],[Kosten derden exclusief btw]],""))</f>
        <v/>
      </c>
      <c r="AT1481" t="str">
        <f>IF(ISNUMBER(FIND("overige",Methode_Keuze)),"",IF(Tb_Activiteiten[[#This Row],[Niet verrekenbare btw]]=1,Tb_Activiteiten[[#Headers],[Niet verrekenbare btw]],""))</f>
        <v/>
      </c>
      <c r="AU1481" t="str">
        <f>IF(ISNUMBER(FIND("overige",Methode_Keuze)),"",IF(Tb_Activiteiten[[#This Row],[Grondkosten]]=1,Tb_Activiteiten[[#Headers],[Grondkosten]],""))</f>
        <v/>
      </c>
      <c r="AV1481" t="str">
        <f>IF(ISNUMBER(FIND("overige",Methode_Keuze)),"",IF(Tb_Activiteiten[[#This Row],[Bijdrage in natura (overige)]]=1,Tb_Activiteiten[[#Headers],[Bijdrage in natura (overige)]],""))</f>
        <v/>
      </c>
      <c r="AW1481" t="str">
        <f>IF(ISNUMBER(FIND("overige",Methode_Keuze)),"",IF(Tb_Activiteiten[[#This Row],[Bijdrage in natura (vrijwilligers)]]=1,Tb_Activiteiten[[#Headers],[Bijdrage in natura (vrijwilligers)]],""))</f>
        <v/>
      </c>
      <c r="AX1481" t="str">
        <f>IF(ISNUMBER(FIND("overige",Methode_Keuze)),"",IF(Tb_Activiteiten[[#This Row],[Afschrijvingskosten]]=1,Tb_Activiteiten[[#Headers],[Afschrijvingskosten]],""))</f>
        <v/>
      </c>
      <c r="AY1481" t="str">
        <f>IF(ISNUMBER(FIND("overige",Methode_Keuze)),"",IF(Tb_Activiteiten[[#This Row],[Vergoeding]]=1,Tb_Activiteiten[[#Headers],[Vergoeding]],""))</f>
        <v/>
      </c>
      <c r="AZ1481" t="str">
        <f>IF(ISNUMBER(FIND("arbeid",Methode_Keuze)),"",IF(Tb_Activiteiten[[#This Row],[Arbeidskosten - vast tarief (excl eigen arbeid)]]=1,Tb_Activiteiten[[#Headers],[Arbeidskosten - vast tarief (excl eigen arbeid)]],""))</f>
        <v/>
      </c>
      <c r="BA1481" t="str">
        <f>IF(ISNUMBER(FIND("overige",Methode_Keuze)),"",IF(Tb_Activiteiten[[#This Row],[Overige kosten]]=1,Tb_Activiteiten[[#Headers],[Overige kosten]],""))</f>
        <v/>
      </c>
    </row>
    <row r="1482" spans="15:53" x14ac:dyDescent="0.25">
      <c r="O1482" s="56"/>
      <c r="Q1482" t="str">
        <f>IFERROR(IF(VLOOKUP(Tb_Activiteiten[[#This Row],[Openstelling]],Tb_Openstelling[],2,0)=1,1,""),"")</f>
        <v/>
      </c>
      <c r="AK1482" t="str">
        <f>IF(ISNUMBER(FIND("arbeid",Methode_Keuze)),"",IF(ISNUMBER(FIND("arbeid",Methode_Keuze)),"",IF(Tb_Activiteiten[[#This Row],[Loonkosten]]=1,Tb_Activiteiten[[#Headers],[Loonkosten]],"")))</f>
        <v/>
      </c>
      <c r="AL1482" t="str">
        <f>IF(ISNUMBER(FIND("arbeid",Methode_Keuze)),"",IF(ISNUMBER(FIND("arbeid",Methode_Keuze)),"",IF(Tb_Activiteiten[[#This Row],[Eigen arbeid]]=1,Tb_Activiteiten[[#Headers],[Eigen arbeid]],"")))</f>
        <v/>
      </c>
      <c r="AM1482" t="str">
        <f>IF(ISNUMBER(FIND("arbeid",Methode_Keuze)),"",IF(ISNUMBER(FIND("arbeid",Methode_Keuze)),"",IF(Tb_Activiteiten[[#This Row],[Projectmedewerker]]=1,Tb_Activiteiten[[#Headers],[Projectmedewerker]],"")))</f>
        <v/>
      </c>
      <c r="AN1482" t="str">
        <f>IF(ISNUMBER(FIND("arbeid",Methode_Keuze)),"",IF(ISNUMBER(FIND("arbeid",Methode_Keuze)),"",IF(Tb_Activiteiten[[#This Row],[Landbouwer]]=1,Tb_Activiteiten[[#Headers],[Landbouwer]],"")))</f>
        <v/>
      </c>
      <c r="AO1482" t="str">
        <f>IF(ISNUMBER(FIND("arbeid",Methode_Keuze)),"",IF(ISNUMBER(FIND("arbeid",Methode_Keuze)),"",IF(Tb_Activiteiten[[#This Row],[Adviseur]]=1,Tb_Activiteiten[[#Headers],[Adviseur]],"")))</f>
        <v/>
      </c>
      <c r="AP1482" t="str">
        <f>IF(ISNUMBER(FIND("arbeid",Methode_Keuze)),"",IF(ISNUMBER(FIND("arbeid",Methode_Keuze)),"",IF(Tb_Activiteiten[[#This Row],[Projectleider/Expert]]=1,Tb_Activiteiten[[#Headers],[Projectleider/Expert]],"")))</f>
        <v/>
      </c>
      <c r="AQ1482" t="str">
        <f>IF(ISNUMBER(FIND("arbeid",Methode_Keuze)),"",IF(ISNUMBER(FIND("arbeid",Methode_Keuze)),"",IF(Tb_Activiteiten[[#This Row],[Arbeidskosten]]=1,Tb_Activiteiten[[#Headers],[Arbeidskosten]],"")))</f>
        <v/>
      </c>
      <c r="AR1482" t="str">
        <f>IF(ISNUMBER(FIND("arbeid",Methode_Keuze)),"",IF(ISNUMBER(FIND("arbeid",Methode_Keuze)),"",IF(Tb_Activiteiten[[#This Row],[Arbeidskosten op basis van IKS]]=1,Tb_Activiteiten[[#Headers],[Arbeidskosten op basis van IKS]],"")))</f>
        <v/>
      </c>
      <c r="AS1482" t="str">
        <f>IF(ISNUMBER(FIND("overige",Methode_Keuze)),"",IF(Tb_Activiteiten[[#This Row],[Kosten derden exclusief btw]]=1,Tb_Activiteiten[[#Headers],[Kosten derden exclusief btw]],""))</f>
        <v/>
      </c>
      <c r="AT1482" t="str">
        <f>IF(ISNUMBER(FIND("overige",Methode_Keuze)),"",IF(Tb_Activiteiten[[#This Row],[Niet verrekenbare btw]]=1,Tb_Activiteiten[[#Headers],[Niet verrekenbare btw]],""))</f>
        <v/>
      </c>
      <c r="AU1482" t="str">
        <f>IF(ISNUMBER(FIND("overige",Methode_Keuze)),"",IF(Tb_Activiteiten[[#This Row],[Grondkosten]]=1,Tb_Activiteiten[[#Headers],[Grondkosten]],""))</f>
        <v/>
      </c>
      <c r="AV1482" t="str">
        <f>IF(ISNUMBER(FIND("overige",Methode_Keuze)),"",IF(Tb_Activiteiten[[#This Row],[Bijdrage in natura (overige)]]=1,Tb_Activiteiten[[#Headers],[Bijdrage in natura (overige)]],""))</f>
        <v/>
      </c>
      <c r="AW1482" t="str">
        <f>IF(ISNUMBER(FIND("overige",Methode_Keuze)),"",IF(Tb_Activiteiten[[#This Row],[Bijdrage in natura (vrijwilligers)]]=1,Tb_Activiteiten[[#Headers],[Bijdrage in natura (vrijwilligers)]],""))</f>
        <v/>
      </c>
      <c r="AX1482" t="str">
        <f>IF(ISNUMBER(FIND("overige",Methode_Keuze)),"",IF(Tb_Activiteiten[[#This Row],[Afschrijvingskosten]]=1,Tb_Activiteiten[[#Headers],[Afschrijvingskosten]],""))</f>
        <v/>
      </c>
      <c r="AY1482" t="str">
        <f>IF(ISNUMBER(FIND("overige",Methode_Keuze)),"",IF(Tb_Activiteiten[[#This Row],[Vergoeding]]=1,Tb_Activiteiten[[#Headers],[Vergoeding]],""))</f>
        <v/>
      </c>
      <c r="AZ1482" t="str">
        <f>IF(ISNUMBER(FIND("arbeid",Methode_Keuze)),"",IF(Tb_Activiteiten[[#This Row],[Arbeidskosten - vast tarief (excl eigen arbeid)]]=1,Tb_Activiteiten[[#Headers],[Arbeidskosten - vast tarief (excl eigen arbeid)]],""))</f>
        <v/>
      </c>
      <c r="BA1482" t="str">
        <f>IF(ISNUMBER(FIND("overige",Methode_Keuze)),"",IF(Tb_Activiteiten[[#This Row],[Overige kosten]]=1,Tb_Activiteiten[[#Headers],[Overige kosten]],""))</f>
        <v/>
      </c>
    </row>
    <row r="1483" spans="15:53" x14ac:dyDescent="0.25">
      <c r="O1483" s="56"/>
      <c r="Q1483" t="str">
        <f>IFERROR(IF(VLOOKUP(Tb_Activiteiten[[#This Row],[Openstelling]],Tb_Openstelling[],2,0)=1,1,""),"")</f>
        <v/>
      </c>
      <c r="AK1483" t="str">
        <f>IF(ISNUMBER(FIND("arbeid",Methode_Keuze)),"",IF(ISNUMBER(FIND("arbeid",Methode_Keuze)),"",IF(Tb_Activiteiten[[#This Row],[Loonkosten]]=1,Tb_Activiteiten[[#Headers],[Loonkosten]],"")))</f>
        <v/>
      </c>
      <c r="AL1483" t="str">
        <f>IF(ISNUMBER(FIND("arbeid",Methode_Keuze)),"",IF(ISNUMBER(FIND("arbeid",Methode_Keuze)),"",IF(Tb_Activiteiten[[#This Row],[Eigen arbeid]]=1,Tb_Activiteiten[[#Headers],[Eigen arbeid]],"")))</f>
        <v/>
      </c>
      <c r="AM1483" t="str">
        <f>IF(ISNUMBER(FIND("arbeid",Methode_Keuze)),"",IF(ISNUMBER(FIND("arbeid",Methode_Keuze)),"",IF(Tb_Activiteiten[[#This Row],[Projectmedewerker]]=1,Tb_Activiteiten[[#Headers],[Projectmedewerker]],"")))</f>
        <v/>
      </c>
      <c r="AN1483" t="str">
        <f>IF(ISNUMBER(FIND("arbeid",Methode_Keuze)),"",IF(ISNUMBER(FIND("arbeid",Methode_Keuze)),"",IF(Tb_Activiteiten[[#This Row],[Landbouwer]]=1,Tb_Activiteiten[[#Headers],[Landbouwer]],"")))</f>
        <v/>
      </c>
      <c r="AO1483" t="str">
        <f>IF(ISNUMBER(FIND("arbeid",Methode_Keuze)),"",IF(ISNUMBER(FIND("arbeid",Methode_Keuze)),"",IF(Tb_Activiteiten[[#This Row],[Adviseur]]=1,Tb_Activiteiten[[#Headers],[Adviseur]],"")))</f>
        <v/>
      </c>
      <c r="AP1483" t="str">
        <f>IF(ISNUMBER(FIND("arbeid",Methode_Keuze)),"",IF(ISNUMBER(FIND("arbeid",Methode_Keuze)),"",IF(Tb_Activiteiten[[#This Row],[Projectleider/Expert]]=1,Tb_Activiteiten[[#Headers],[Projectleider/Expert]],"")))</f>
        <v/>
      </c>
      <c r="AQ1483" t="str">
        <f>IF(ISNUMBER(FIND("arbeid",Methode_Keuze)),"",IF(ISNUMBER(FIND("arbeid",Methode_Keuze)),"",IF(Tb_Activiteiten[[#This Row],[Arbeidskosten]]=1,Tb_Activiteiten[[#Headers],[Arbeidskosten]],"")))</f>
        <v/>
      </c>
      <c r="AR1483" t="str">
        <f>IF(ISNUMBER(FIND("arbeid",Methode_Keuze)),"",IF(ISNUMBER(FIND("arbeid",Methode_Keuze)),"",IF(Tb_Activiteiten[[#This Row],[Arbeidskosten op basis van IKS]]=1,Tb_Activiteiten[[#Headers],[Arbeidskosten op basis van IKS]],"")))</f>
        <v/>
      </c>
      <c r="AS1483" t="str">
        <f>IF(ISNUMBER(FIND("overige",Methode_Keuze)),"",IF(Tb_Activiteiten[[#This Row],[Kosten derden exclusief btw]]=1,Tb_Activiteiten[[#Headers],[Kosten derden exclusief btw]],""))</f>
        <v/>
      </c>
      <c r="AT1483" t="str">
        <f>IF(ISNUMBER(FIND("overige",Methode_Keuze)),"",IF(Tb_Activiteiten[[#This Row],[Niet verrekenbare btw]]=1,Tb_Activiteiten[[#Headers],[Niet verrekenbare btw]],""))</f>
        <v/>
      </c>
      <c r="AU1483" t="str">
        <f>IF(ISNUMBER(FIND("overige",Methode_Keuze)),"",IF(Tb_Activiteiten[[#This Row],[Grondkosten]]=1,Tb_Activiteiten[[#Headers],[Grondkosten]],""))</f>
        <v/>
      </c>
      <c r="AV1483" t="str">
        <f>IF(ISNUMBER(FIND("overige",Methode_Keuze)),"",IF(Tb_Activiteiten[[#This Row],[Bijdrage in natura (overige)]]=1,Tb_Activiteiten[[#Headers],[Bijdrage in natura (overige)]],""))</f>
        <v/>
      </c>
      <c r="AW1483" t="str">
        <f>IF(ISNUMBER(FIND("overige",Methode_Keuze)),"",IF(Tb_Activiteiten[[#This Row],[Bijdrage in natura (vrijwilligers)]]=1,Tb_Activiteiten[[#Headers],[Bijdrage in natura (vrijwilligers)]],""))</f>
        <v/>
      </c>
      <c r="AX1483" t="str">
        <f>IF(ISNUMBER(FIND("overige",Methode_Keuze)),"",IF(Tb_Activiteiten[[#This Row],[Afschrijvingskosten]]=1,Tb_Activiteiten[[#Headers],[Afschrijvingskosten]],""))</f>
        <v/>
      </c>
      <c r="AY1483" t="str">
        <f>IF(ISNUMBER(FIND("overige",Methode_Keuze)),"",IF(Tb_Activiteiten[[#This Row],[Vergoeding]]=1,Tb_Activiteiten[[#Headers],[Vergoeding]],""))</f>
        <v/>
      </c>
      <c r="AZ1483" t="str">
        <f>IF(ISNUMBER(FIND("arbeid",Methode_Keuze)),"",IF(Tb_Activiteiten[[#This Row],[Arbeidskosten - vast tarief (excl eigen arbeid)]]=1,Tb_Activiteiten[[#Headers],[Arbeidskosten - vast tarief (excl eigen arbeid)]],""))</f>
        <v/>
      </c>
      <c r="BA1483" t="str">
        <f>IF(ISNUMBER(FIND("overige",Methode_Keuze)),"",IF(Tb_Activiteiten[[#This Row],[Overige kosten]]=1,Tb_Activiteiten[[#Headers],[Overige kosten]],""))</f>
        <v/>
      </c>
    </row>
    <row r="1484" spans="15:53" x14ac:dyDescent="0.25">
      <c r="O1484" s="56"/>
      <c r="Q1484" t="str">
        <f>IFERROR(IF(VLOOKUP(Tb_Activiteiten[[#This Row],[Openstelling]],Tb_Openstelling[],2,0)=1,1,""),"")</f>
        <v/>
      </c>
      <c r="AK1484" t="str">
        <f>IF(ISNUMBER(FIND("arbeid",Methode_Keuze)),"",IF(ISNUMBER(FIND("arbeid",Methode_Keuze)),"",IF(Tb_Activiteiten[[#This Row],[Loonkosten]]=1,Tb_Activiteiten[[#Headers],[Loonkosten]],"")))</f>
        <v/>
      </c>
      <c r="AL1484" t="str">
        <f>IF(ISNUMBER(FIND("arbeid",Methode_Keuze)),"",IF(ISNUMBER(FIND("arbeid",Methode_Keuze)),"",IF(Tb_Activiteiten[[#This Row],[Eigen arbeid]]=1,Tb_Activiteiten[[#Headers],[Eigen arbeid]],"")))</f>
        <v/>
      </c>
      <c r="AM1484" t="str">
        <f>IF(ISNUMBER(FIND("arbeid",Methode_Keuze)),"",IF(ISNUMBER(FIND("arbeid",Methode_Keuze)),"",IF(Tb_Activiteiten[[#This Row],[Projectmedewerker]]=1,Tb_Activiteiten[[#Headers],[Projectmedewerker]],"")))</f>
        <v/>
      </c>
      <c r="AN1484" t="str">
        <f>IF(ISNUMBER(FIND("arbeid",Methode_Keuze)),"",IF(ISNUMBER(FIND("arbeid",Methode_Keuze)),"",IF(Tb_Activiteiten[[#This Row],[Landbouwer]]=1,Tb_Activiteiten[[#Headers],[Landbouwer]],"")))</f>
        <v/>
      </c>
      <c r="AO1484" t="str">
        <f>IF(ISNUMBER(FIND("arbeid",Methode_Keuze)),"",IF(ISNUMBER(FIND("arbeid",Methode_Keuze)),"",IF(Tb_Activiteiten[[#This Row],[Adviseur]]=1,Tb_Activiteiten[[#Headers],[Adviseur]],"")))</f>
        <v/>
      </c>
      <c r="AP1484" t="str">
        <f>IF(ISNUMBER(FIND("arbeid",Methode_Keuze)),"",IF(ISNUMBER(FIND("arbeid",Methode_Keuze)),"",IF(Tb_Activiteiten[[#This Row],[Projectleider/Expert]]=1,Tb_Activiteiten[[#Headers],[Projectleider/Expert]],"")))</f>
        <v/>
      </c>
      <c r="AQ1484" t="str">
        <f>IF(ISNUMBER(FIND("arbeid",Methode_Keuze)),"",IF(ISNUMBER(FIND("arbeid",Methode_Keuze)),"",IF(Tb_Activiteiten[[#This Row],[Arbeidskosten]]=1,Tb_Activiteiten[[#Headers],[Arbeidskosten]],"")))</f>
        <v/>
      </c>
      <c r="AR1484" t="str">
        <f>IF(ISNUMBER(FIND("arbeid",Methode_Keuze)),"",IF(ISNUMBER(FIND("arbeid",Methode_Keuze)),"",IF(Tb_Activiteiten[[#This Row],[Arbeidskosten op basis van IKS]]=1,Tb_Activiteiten[[#Headers],[Arbeidskosten op basis van IKS]],"")))</f>
        <v/>
      </c>
      <c r="AS1484" t="str">
        <f>IF(ISNUMBER(FIND("overige",Methode_Keuze)),"",IF(Tb_Activiteiten[[#This Row],[Kosten derden exclusief btw]]=1,Tb_Activiteiten[[#Headers],[Kosten derden exclusief btw]],""))</f>
        <v/>
      </c>
      <c r="AT1484" t="str">
        <f>IF(ISNUMBER(FIND("overige",Methode_Keuze)),"",IF(Tb_Activiteiten[[#This Row],[Niet verrekenbare btw]]=1,Tb_Activiteiten[[#Headers],[Niet verrekenbare btw]],""))</f>
        <v/>
      </c>
      <c r="AU1484" t="str">
        <f>IF(ISNUMBER(FIND("overige",Methode_Keuze)),"",IF(Tb_Activiteiten[[#This Row],[Grondkosten]]=1,Tb_Activiteiten[[#Headers],[Grondkosten]],""))</f>
        <v/>
      </c>
      <c r="AV1484" t="str">
        <f>IF(ISNUMBER(FIND("overige",Methode_Keuze)),"",IF(Tb_Activiteiten[[#This Row],[Bijdrage in natura (overige)]]=1,Tb_Activiteiten[[#Headers],[Bijdrage in natura (overige)]],""))</f>
        <v/>
      </c>
      <c r="AW1484" t="str">
        <f>IF(ISNUMBER(FIND("overige",Methode_Keuze)),"",IF(Tb_Activiteiten[[#This Row],[Bijdrage in natura (vrijwilligers)]]=1,Tb_Activiteiten[[#Headers],[Bijdrage in natura (vrijwilligers)]],""))</f>
        <v/>
      </c>
      <c r="AX1484" t="str">
        <f>IF(ISNUMBER(FIND("overige",Methode_Keuze)),"",IF(Tb_Activiteiten[[#This Row],[Afschrijvingskosten]]=1,Tb_Activiteiten[[#Headers],[Afschrijvingskosten]],""))</f>
        <v/>
      </c>
      <c r="AY1484" t="str">
        <f>IF(ISNUMBER(FIND("overige",Methode_Keuze)),"",IF(Tb_Activiteiten[[#This Row],[Vergoeding]]=1,Tb_Activiteiten[[#Headers],[Vergoeding]],""))</f>
        <v/>
      </c>
      <c r="AZ1484" t="str">
        <f>IF(ISNUMBER(FIND("arbeid",Methode_Keuze)),"",IF(Tb_Activiteiten[[#This Row],[Arbeidskosten - vast tarief (excl eigen arbeid)]]=1,Tb_Activiteiten[[#Headers],[Arbeidskosten - vast tarief (excl eigen arbeid)]],""))</f>
        <v/>
      </c>
      <c r="BA1484" t="str">
        <f>IF(ISNUMBER(FIND("overige",Methode_Keuze)),"",IF(Tb_Activiteiten[[#This Row],[Overige kosten]]=1,Tb_Activiteiten[[#Headers],[Overige kosten]],""))</f>
        <v/>
      </c>
    </row>
    <row r="1485" spans="15:53" x14ac:dyDescent="0.25">
      <c r="O1485" s="56"/>
      <c r="Q1485" t="str">
        <f>IFERROR(IF(VLOOKUP(Tb_Activiteiten[[#This Row],[Openstelling]],Tb_Openstelling[],2,0)=1,1,""),"")</f>
        <v/>
      </c>
      <c r="AK1485" t="str">
        <f>IF(ISNUMBER(FIND("arbeid",Methode_Keuze)),"",IF(ISNUMBER(FIND("arbeid",Methode_Keuze)),"",IF(Tb_Activiteiten[[#This Row],[Loonkosten]]=1,Tb_Activiteiten[[#Headers],[Loonkosten]],"")))</f>
        <v/>
      </c>
      <c r="AL1485" t="str">
        <f>IF(ISNUMBER(FIND("arbeid",Methode_Keuze)),"",IF(ISNUMBER(FIND("arbeid",Methode_Keuze)),"",IF(Tb_Activiteiten[[#This Row],[Eigen arbeid]]=1,Tb_Activiteiten[[#Headers],[Eigen arbeid]],"")))</f>
        <v/>
      </c>
      <c r="AM1485" t="str">
        <f>IF(ISNUMBER(FIND("arbeid",Methode_Keuze)),"",IF(ISNUMBER(FIND("arbeid",Methode_Keuze)),"",IF(Tb_Activiteiten[[#This Row],[Projectmedewerker]]=1,Tb_Activiteiten[[#Headers],[Projectmedewerker]],"")))</f>
        <v/>
      </c>
      <c r="AN1485" t="str">
        <f>IF(ISNUMBER(FIND("arbeid",Methode_Keuze)),"",IF(ISNUMBER(FIND("arbeid",Methode_Keuze)),"",IF(Tb_Activiteiten[[#This Row],[Landbouwer]]=1,Tb_Activiteiten[[#Headers],[Landbouwer]],"")))</f>
        <v/>
      </c>
      <c r="AO1485" t="str">
        <f>IF(ISNUMBER(FIND("arbeid",Methode_Keuze)),"",IF(ISNUMBER(FIND("arbeid",Methode_Keuze)),"",IF(Tb_Activiteiten[[#This Row],[Adviseur]]=1,Tb_Activiteiten[[#Headers],[Adviseur]],"")))</f>
        <v/>
      </c>
      <c r="AP1485" t="str">
        <f>IF(ISNUMBER(FIND("arbeid",Methode_Keuze)),"",IF(ISNUMBER(FIND("arbeid",Methode_Keuze)),"",IF(Tb_Activiteiten[[#This Row],[Projectleider/Expert]]=1,Tb_Activiteiten[[#Headers],[Projectleider/Expert]],"")))</f>
        <v/>
      </c>
      <c r="AQ1485" t="str">
        <f>IF(ISNUMBER(FIND("arbeid",Methode_Keuze)),"",IF(ISNUMBER(FIND("arbeid",Methode_Keuze)),"",IF(Tb_Activiteiten[[#This Row],[Arbeidskosten]]=1,Tb_Activiteiten[[#Headers],[Arbeidskosten]],"")))</f>
        <v/>
      </c>
      <c r="AR1485" t="str">
        <f>IF(ISNUMBER(FIND("arbeid",Methode_Keuze)),"",IF(ISNUMBER(FIND("arbeid",Methode_Keuze)),"",IF(Tb_Activiteiten[[#This Row],[Arbeidskosten op basis van IKS]]=1,Tb_Activiteiten[[#Headers],[Arbeidskosten op basis van IKS]],"")))</f>
        <v/>
      </c>
      <c r="AS1485" t="str">
        <f>IF(ISNUMBER(FIND("overige",Methode_Keuze)),"",IF(Tb_Activiteiten[[#This Row],[Kosten derden exclusief btw]]=1,Tb_Activiteiten[[#Headers],[Kosten derden exclusief btw]],""))</f>
        <v/>
      </c>
      <c r="AT1485" t="str">
        <f>IF(ISNUMBER(FIND("overige",Methode_Keuze)),"",IF(Tb_Activiteiten[[#This Row],[Niet verrekenbare btw]]=1,Tb_Activiteiten[[#Headers],[Niet verrekenbare btw]],""))</f>
        <v/>
      </c>
      <c r="AU1485" t="str">
        <f>IF(ISNUMBER(FIND("overige",Methode_Keuze)),"",IF(Tb_Activiteiten[[#This Row],[Grondkosten]]=1,Tb_Activiteiten[[#Headers],[Grondkosten]],""))</f>
        <v/>
      </c>
      <c r="AV1485" t="str">
        <f>IF(ISNUMBER(FIND("overige",Methode_Keuze)),"",IF(Tb_Activiteiten[[#This Row],[Bijdrage in natura (overige)]]=1,Tb_Activiteiten[[#Headers],[Bijdrage in natura (overige)]],""))</f>
        <v/>
      </c>
      <c r="AW1485" t="str">
        <f>IF(ISNUMBER(FIND("overige",Methode_Keuze)),"",IF(Tb_Activiteiten[[#This Row],[Bijdrage in natura (vrijwilligers)]]=1,Tb_Activiteiten[[#Headers],[Bijdrage in natura (vrijwilligers)]],""))</f>
        <v/>
      </c>
      <c r="AX1485" t="str">
        <f>IF(ISNUMBER(FIND("overige",Methode_Keuze)),"",IF(Tb_Activiteiten[[#This Row],[Afschrijvingskosten]]=1,Tb_Activiteiten[[#Headers],[Afschrijvingskosten]],""))</f>
        <v/>
      </c>
      <c r="AY1485" t="str">
        <f>IF(ISNUMBER(FIND("overige",Methode_Keuze)),"",IF(Tb_Activiteiten[[#This Row],[Vergoeding]]=1,Tb_Activiteiten[[#Headers],[Vergoeding]],""))</f>
        <v/>
      </c>
      <c r="AZ1485" t="str">
        <f>IF(ISNUMBER(FIND("arbeid",Methode_Keuze)),"",IF(Tb_Activiteiten[[#This Row],[Arbeidskosten - vast tarief (excl eigen arbeid)]]=1,Tb_Activiteiten[[#Headers],[Arbeidskosten - vast tarief (excl eigen arbeid)]],""))</f>
        <v/>
      </c>
      <c r="BA1485" t="str">
        <f>IF(ISNUMBER(FIND("overige",Methode_Keuze)),"",IF(Tb_Activiteiten[[#This Row],[Overige kosten]]=1,Tb_Activiteiten[[#Headers],[Overige kosten]],""))</f>
        <v/>
      </c>
    </row>
    <row r="1486" spans="15:53" x14ac:dyDescent="0.25">
      <c r="O1486" s="56"/>
      <c r="Q1486" t="str">
        <f>IFERROR(IF(VLOOKUP(Tb_Activiteiten[[#This Row],[Openstelling]],Tb_Openstelling[],2,0)=1,1,""),"")</f>
        <v/>
      </c>
      <c r="AK1486" t="str">
        <f>IF(ISNUMBER(FIND("arbeid",Methode_Keuze)),"",IF(ISNUMBER(FIND("arbeid",Methode_Keuze)),"",IF(Tb_Activiteiten[[#This Row],[Loonkosten]]=1,Tb_Activiteiten[[#Headers],[Loonkosten]],"")))</f>
        <v/>
      </c>
      <c r="AL1486" t="str">
        <f>IF(ISNUMBER(FIND("arbeid",Methode_Keuze)),"",IF(ISNUMBER(FIND("arbeid",Methode_Keuze)),"",IF(Tb_Activiteiten[[#This Row],[Eigen arbeid]]=1,Tb_Activiteiten[[#Headers],[Eigen arbeid]],"")))</f>
        <v/>
      </c>
      <c r="AM1486" t="str">
        <f>IF(ISNUMBER(FIND("arbeid",Methode_Keuze)),"",IF(ISNUMBER(FIND("arbeid",Methode_Keuze)),"",IF(Tb_Activiteiten[[#This Row],[Projectmedewerker]]=1,Tb_Activiteiten[[#Headers],[Projectmedewerker]],"")))</f>
        <v/>
      </c>
      <c r="AN1486" t="str">
        <f>IF(ISNUMBER(FIND("arbeid",Methode_Keuze)),"",IF(ISNUMBER(FIND("arbeid",Methode_Keuze)),"",IF(Tb_Activiteiten[[#This Row],[Landbouwer]]=1,Tb_Activiteiten[[#Headers],[Landbouwer]],"")))</f>
        <v/>
      </c>
      <c r="AO1486" t="str">
        <f>IF(ISNUMBER(FIND("arbeid",Methode_Keuze)),"",IF(ISNUMBER(FIND("arbeid",Methode_Keuze)),"",IF(Tb_Activiteiten[[#This Row],[Adviseur]]=1,Tb_Activiteiten[[#Headers],[Adviseur]],"")))</f>
        <v/>
      </c>
      <c r="AP1486" t="str">
        <f>IF(ISNUMBER(FIND("arbeid",Methode_Keuze)),"",IF(ISNUMBER(FIND("arbeid",Methode_Keuze)),"",IF(Tb_Activiteiten[[#This Row],[Projectleider/Expert]]=1,Tb_Activiteiten[[#Headers],[Projectleider/Expert]],"")))</f>
        <v/>
      </c>
      <c r="AQ1486" t="str">
        <f>IF(ISNUMBER(FIND("arbeid",Methode_Keuze)),"",IF(ISNUMBER(FIND("arbeid",Methode_Keuze)),"",IF(Tb_Activiteiten[[#This Row],[Arbeidskosten]]=1,Tb_Activiteiten[[#Headers],[Arbeidskosten]],"")))</f>
        <v/>
      </c>
      <c r="AR1486" t="str">
        <f>IF(ISNUMBER(FIND("arbeid",Methode_Keuze)),"",IF(ISNUMBER(FIND("arbeid",Methode_Keuze)),"",IF(Tb_Activiteiten[[#This Row],[Arbeidskosten op basis van IKS]]=1,Tb_Activiteiten[[#Headers],[Arbeidskosten op basis van IKS]],"")))</f>
        <v/>
      </c>
      <c r="AS1486" t="str">
        <f>IF(ISNUMBER(FIND("overige",Methode_Keuze)),"",IF(Tb_Activiteiten[[#This Row],[Kosten derden exclusief btw]]=1,Tb_Activiteiten[[#Headers],[Kosten derden exclusief btw]],""))</f>
        <v/>
      </c>
      <c r="AT1486" t="str">
        <f>IF(ISNUMBER(FIND("overige",Methode_Keuze)),"",IF(Tb_Activiteiten[[#This Row],[Niet verrekenbare btw]]=1,Tb_Activiteiten[[#Headers],[Niet verrekenbare btw]],""))</f>
        <v/>
      </c>
      <c r="AU1486" t="str">
        <f>IF(ISNUMBER(FIND("overige",Methode_Keuze)),"",IF(Tb_Activiteiten[[#This Row],[Grondkosten]]=1,Tb_Activiteiten[[#Headers],[Grondkosten]],""))</f>
        <v/>
      </c>
      <c r="AV1486" t="str">
        <f>IF(ISNUMBER(FIND("overige",Methode_Keuze)),"",IF(Tb_Activiteiten[[#This Row],[Bijdrage in natura (overige)]]=1,Tb_Activiteiten[[#Headers],[Bijdrage in natura (overige)]],""))</f>
        <v/>
      </c>
      <c r="AW1486" t="str">
        <f>IF(ISNUMBER(FIND("overige",Methode_Keuze)),"",IF(Tb_Activiteiten[[#This Row],[Bijdrage in natura (vrijwilligers)]]=1,Tb_Activiteiten[[#Headers],[Bijdrage in natura (vrijwilligers)]],""))</f>
        <v/>
      </c>
      <c r="AX1486" t="str">
        <f>IF(ISNUMBER(FIND("overige",Methode_Keuze)),"",IF(Tb_Activiteiten[[#This Row],[Afschrijvingskosten]]=1,Tb_Activiteiten[[#Headers],[Afschrijvingskosten]],""))</f>
        <v/>
      </c>
      <c r="AY1486" t="str">
        <f>IF(ISNUMBER(FIND("overige",Methode_Keuze)),"",IF(Tb_Activiteiten[[#This Row],[Vergoeding]]=1,Tb_Activiteiten[[#Headers],[Vergoeding]],""))</f>
        <v/>
      </c>
      <c r="AZ1486" t="str">
        <f>IF(ISNUMBER(FIND("arbeid",Methode_Keuze)),"",IF(Tb_Activiteiten[[#This Row],[Arbeidskosten - vast tarief (excl eigen arbeid)]]=1,Tb_Activiteiten[[#Headers],[Arbeidskosten - vast tarief (excl eigen arbeid)]],""))</f>
        <v/>
      </c>
      <c r="BA1486" t="str">
        <f>IF(ISNUMBER(FIND("overige",Methode_Keuze)),"",IF(Tb_Activiteiten[[#This Row],[Overige kosten]]=1,Tb_Activiteiten[[#Headers],[Overige kosten]],""))</f>
        <v/>
      </c>
    </row>
    <row r="1487" spans="15:53" x14ac:dyDescent="0.25">
      <c r="O1487" s="56"/>
      <c r="Q1487" t="str">
        <f>IFERROR(IF(VLOOKUP(Tb_Activiteiten[[#This Row],[Openstelling]],Tb_Openstelling[],2,0)=1,1,""),"")</f>
        <v/>
      </c>
      <c r="AK1487" t="str">
        <f>IF(ISNUMBER(FIND("arbeid",Methode_Keuze)),"",IF(ISNUMBER(FIND("arbeid",Methode_Keuze)),"",IF(Tb_Activiteiten[[#This Row],[Loonkosten]]=1,Tb_Activiteiten[[#Headers],[Loonkosten]],"")))</f>
        <v/>
      </c>
      <c r="AL1487" t="str">
        <f>IF(ISNUMBER(FIND("arbeid",Methode_Keuze)),"",IF(ISNUMBER(FIND("arbeid",Methode_Keuze)),"",IF(Tb_Activiteiten[[#This Row],[Eigen arbeid]]=1,Tb_Activiteiten[[#Headers],[Eigen arbeid]],"")))</f>
        <v/>
      </c>
      <c r="AM1487" t="str">
        <f>IF(ISNUMBER(FIND("arbeid",Methode_Keuze)),"",IF(ISNUMBER(FIND("arbeid",Methode_Keuze)),"",IF(Tb_Activiteiten[[#This Row],[Projectmedewerker]]=1,Tb_Activiteiten[[#Headers],[Projectmedewerker]],"")))</f>
        <v/>
      </c>
      <c r="AN1487" t="str">
        <f>IF(ISNUMBER(FIND("arbeid",Methode_Keuze)),"",IF(ISNUMBER(FIND("arbeid",Methode_Keuze)),"",IF(Tb_Activiteiten[[#This Row],[Landbouwer]]=1,Tb_Activiteiten[[#Headers],[Landbouwer]],"")))</f>
        <v/>
      </c>
      <c r="AO1487" t="str">
        <f>IF(ISNUMBER(FIND("arbeid",Methode_Keuze)),"",IF(ISNUMBER(FIND("arbeid",Methode_Keuze)),"",IF(Tb_Activiteiten[[#This Row],[Adviseur]]=1,Tb_Activiteiten[[#Headers],[Adviseur]],"")))</f>
        <v/>
      </c>
      <c r="AP1487" t="str">
        <f>IF(ISNUMBER(FIND("arbeid",Methode_Keuze)),"",IF(ISNUMBER(FIND("arbeid",Methode_Keuze)),"",IF(Tb_Activiteiten[[#This Row],[Projectleider/Expert]]=1,Tb_Activiteiten[[#Headers],[Projectleider/Expert]],"")))</f>
        <v/>
      </c>
      <c r="AQ1487" t="str">
        <f>IF(ISNUMBER(FIND("arbeid",Methode_Keuze)),"",IF(ISNUMBER(FIND("arbeid",Methode_Keuze)),"",IF(Tb_Activiteiten[[#This Row],[Arbeidskosten]]=1,Tb_Activiteiten[[#Headers],[Arbeidskosten]],"")))</f>
        <v/>
      </c>
      <c r="AR1487" t="str">
        <f>IF(ISNUMBER(FIND("arbeid",Methode_Keuze)),"",IF(ISNUMBER(FIND("arbeid",Methode_Keuze)),"",IF(Tb_Activiteiten[[#This Row],[Arbeidskosten op basis van IKS]]=1,Tb_Activiteiten[[#Headers],[Arbeidskosten op basis van IKS]],"")))</f>
        <v/>
      </c>
      <c r="AS1487" t="str">
        <f>IF(ISNUMBER(FIND("overige",Methode_Keuze)),"",IF(Tb_Activiteiten[[#This Row],[Kosten derden exclusief btw]]=1,Tb_Activiteiten[[#Headers],[Kosten derden exclusief btw]],""))</f>
        <v/>
      </c>
      <c r="AT1487" t="str">
        <f>IF(ISNUMBER(FIND("overige",Methode_Keuze)),"",IF(Tb_Activiteiten[[#This Row],[Niet verrekenbare btw]]=1,Tb_Activiteiten[[#Headers],[Niet verrekenbare btw]],""))</f>
        <v/>
      </c>
      <c r="AU1487" t="str">
        <f>IF(ISNUMBER(FIND("overige",Methode_Keuze)),"",IF(Tb_Activiteiten[[#This Row],[Grondkosten]]=1,Tb_Activiteiten[[#Headers],[Grondkosten]],""))</f>
        <v/>
      </c>
      <c r="AV1487" t="str">
        <f>IF(ISNUMBER(FIND("overige",Methode_Keuze)),"",IF(Tb_Activiteiten[[#This Row],[Bijdrage in natura (overige)]]=1,Tb_Activiteiten[[#Headers],[Bijdrage in natura (overige)]],""))</f>
        <v/>
      </c>
      <c r="AW1487" t="str">
        <f>IF(ISNUMBER(FIND("overige",Methode_Keuze)),"",IF(Tb_Activiteiten[[#This Row],[Bijdrage in natura (vrijwilligers)]]=1,Tb_Activiteiten[[#Headers],[Bijdrage in natura (vrijwilligers)]],""))</f>
        <v/>
      </c>
      <c r="AX1487" t="str">
        <f>IF(ISNUMBER(FIND("overige",Methode_Keuze)),"",IF(Tb_Activiteiten[[#This Row],[Afschrijvingskosten]]=1,Tb_Activiteiten[[#Headers],[Afschrijvingskosten]],""))</f>
        <v/>
      </c>
      <c r="AY1487" t="str">
        <f>IF(ISNUMBER(FIND("overige",Methode_Keuze)),"",IF(Tb_Activiteiten[[#This Row],[Vergoeding]]=1,Tb_Activiteiten[[#Headers],[Vergoeding]],""))</f>
        <v/>
      </c>
      <c r="AZ1487" t="str">
        <f>IF(ISNUMBER(FIND("arbeid",Methode_Keuze)),"",IF(Tb_Activiteiten[[#This Row],[Arbeidskosten - vast tarief (excl eigen arbeid)]]=1,Tb_Activiteiten[[#Headers],[Arbeidskosten - vast tarief (excl eigen arbeid)]],""))</f>
        <v/>
      </c>
      <c r="BA1487" t="str">
        <f>IF(ISNUMBER(FIND("overige",Methode_Keuze)),"",IF(Tb_Activiteiten[[#This Row],[Overige kosten]]=1,Tb_Activiteiten[[#Headers],[Overige kosten]],""))</f>
        <v/>
      </c>
    </row>
    <row r="1488" spans="15:53" x14ac:dyDescent="0.25">
      <c r="O1488" s="56"/>
      <c r="Q1488" t="str">
        <f>IFERROR(IF(VLOOKUP(Tb_Activiteiten[[#This Row],[Openstelling]],Tb_Openstelling[],2,0)=1,1,""),"")</f>
        <v/>
      </c>
      <c r="AK1488" t="str">
        <f>IF(ISNUMBER(FIND("arbeid",Methode_Keuze)),"",IF(ISNUMBER(FIND("arbeid",Methode_Keuze)),"",IF(Tb_Activiteiten[[#This Row],[Loonkosten]]=1,Tb_Activiteiten[[#Headers],[Loonkosten]],"")))</f>
        <v/>
      </c>
      <c r="AL1488" t="str">
        <f>IF(ISNUMBER(FIND("arbeid",Methode_Keuze)),"",IF(ISNUMBER(FIND("arbeid",Methode_Keuze)),"",IF(Tb_Activiteiten[[#This Row],[Eigen arbeid]]=1,Tb_Activiteiten[[#Headers],[Eigen arbeid]],"")))</f>
        <v/>
      </c>
      <c r="AM1488" t="str">
        <f>IF(ISNUMBER(FIND("arbeid",Methode_Keuze)),"",IF(ISNUMBER(FIND("arbeid",Methode_Keuze)),"",IF(Tb_Activiteiten[[#This Row],[Projectmedewerker]]=1,Tb_Activiteiten[[#Headers],[Projectmedewerker]],"")))</f>
        <v/>
      </c>
      <c r="AN1488" t="str">
        <f>IF(ISNUMBER(FIND("arbeid",Methode_Keuze)),"",IF(ISNUMBER(FIND("arbeid",Methode_Keuze)),"",IF(Tb_Activiteiten[[#This Row],[Landbouwer]]=1,Tb_Activiteiten[[#Headers],[Landbouwer]],"")))</f>
        <v/>
      </c>
      <c r="AO1488" t="str">
        <f>IF(ISNUMBER(FIND("arbeid",Methode_Keuze)),"",IF(ISNUMBER(FIND("arbeid",Methode_Keuze)),"",IF(Tb_Activiteiten[[#This Row],[Adviseur]]=1,Tb_Activiteiten[[#Headers],[Adviseur]],"")))</f>
        <v/>
      </c>
      <c r="AP1488" t="str">
        <f>IF(ISNUMBER(FIND("arbeid",Methode_Keuze)),"",IF(ISNUMBER(FIND("arbeid",Methode_Keuze)),"",IF(Tb_Activiteiten[[#This Row],[Projectleider/Expert]]=1,Tb_Activiteiten[[#Headers],[Projectleider/Expert]],"")))</f>
        <v/>
      </c>
      <c r="AQ1488" t="str">
        <f>IF(ISNUMBER(FIND("arbeid",Methode_Keuze)),"",IF(ISNUMBER(FIND("arbeid",Methode_Keuze)),"",IF(Tb_Activiteiten[[#This Row],[Arbeidskosten]]=1,Tb_Activiteiten[[#Headers],[Arbeidskosten]],"")))</f>
        <v/>
      </c>
      <c r="AR1488" t="str">
        <f>IF(ISNUMBER(FIND("arbeid",Methode_Keuze)),"",IF(ISNUMBER(FIND("arbeid",Methode_Keuze)),"",IF(Tb_Activiteiten[[#This Row],[Arbeidskosten op basis van IKS]]=1,Tb_Activiteiten[[#Headers],[Arbeidskosten op basis van IKS]],"")))</f>
        <v/>
      </c>
      <c r="AS1488" t="str">
        <f>IF(ISNUMBER(FIND("overige",Methode_Keuze)),"",IF(Tb_Activiteiten[[#This Row],[Kosten derden exclusief btw]]=1,Tb_Activiteiten[[#Headers],[Kosten derden exclusief btw]],""))</f>
        <v/>
      </c>
      <c r="AT1488" t="str">
        <f>IF(ISNUMBER(FIND("overige",Methode_Keuze)),"",IF(Tb_Activiteiten[[#This Row],[Niet verrekenbare btw]]=1,Tb_Activiteiten[[#Headers],[Niet verrekenbare btw]],""))</f>
        <v/>
      </c>
      <c r="AU1488" t="str">
        <f>IF(ISNUMBER(FIND("overige",Methode_Keuze)),"",IF(Tb_Activiteiten[[#This Row],[Grondkosten]]=1,Tb_Activiteiten[[#Headers],[Grondkosten]],""))</f>
        <v/>
      </c>
      <c r="AV1488" t="str">
        <f>IF(ISNUMBER(FIND("overige",Methode_Keuze)),"",IF(Tb_Activiteiten[[#This Row],[Bijdrage in natura (overige)]]=1,Tb_Activiteiten[[#Headers],[Bijdrage in natura (overige)]],""))</f>
        <v/>
      </c>
      <c r="AW1488" t="str">
        <f>IF(ISNUMBER(FIND("overige",Methode_Keuze)),"",IF(Tb_Activiteiten[[#This Row],[Bijdrage in natura (vrijwilligers)]]=1,Tb_Activiteiten[[#Headers],[Bijdrage in natura (vrijwilligers)]],""))</f>
        <v/>
      </c>
      <c r="AX1488" t="str">
        <f>IF(ISNUMBER(FIND("overige",Methode_Keuze)),"",IF(Tb_Activiteiten[[#This Row],[Afschrijvingskosten]]=1,Tb_Activiteiten[[#Headers],[Afschrijvingskosten]],""))</f>
        <v/>
      </c>
      <c r="AY1488" t="str">
        <f>IF(ISNUMBER(FIND("overige",Methode_Keuze)),"",IF(Tb_Activiteiten[[#This Row],[Vergoeding]]=1,Tb_Activiteiten[[#Headers],[Vergoeding]],""))</f>
        <v/>
      </c>
      <c r="AZ1488" t="str">
        <f>IF(ISNUMBER(FIND("arbeid",Methode_Keuze)),"",IF(Tb_Activiteiten[[#This Row],[Arbeidskosten - vast tarief (excl eigen arbeid)]]=1,Tb_Activiteiten[[#Headers],[Arbeidskosten - vast tarief (excl eigen arbeid)]],""))</f>
        <v/>
      </c>
      <c r="BA1488" t="str">
        <f>IF(ISNUMBER(FIND("overige",Methode_Keuze)),"",IF(Tb_Activiteiten[[#This Row],[Overige kosten]]=1,Tb_Activiteiten[[#Headers],[Overige kosten]],""))</f>
        <v/>
      </c>
    </row>
    <row r="1489" spans="13:53" x14ac:dyDescent="0.25">
      <c r="O1489" s="56"/>
      <c r="Q1489" t="str">
        <f>IFERROR(IF(VLOOKUP(Tb_Activiteiten[[#This Row],[Openstelling]],Tb_Openstelling[],2,0)=1,1,""),"")</f>
        <v/>
      </c>
      <c r="AK1489" t="str">
        <f>IF(ISNUMBER(FIND("arbeid",Methode_Keuze)),"",IF(ISNUMBER(FIND("arbeid",Methode_Keuze)),"",IF(Tb_Activiteiten[[#This Row],[Loonkosten]]=1,Tb_Activiteiten[[#Headers],[Loonkosten]],"")))</f>
        <v/>
      </c>
      <c r="AL1489" t="str">
        <f>IF(ISNUMBER(FIND("arbeid",Methode_Keuze)),"",IF(ISNUMBER(FIND("arbeid",Methode_Keuze)),"",IF(Tb_Activiteiten[[#This Row],[Eigen arbeid]]=1,Tb_Activiteiten[[#Headers],[Eigen arbeid]],"")))</f>
        <v/>
      </c>
      <c r="AM1489" t="str">
        <f>IF(ISNUMBER(FIND("arbeid",Methode_Keuze)),"",IF(ISNUMBER(FIND("arbeid",Methode_Keuze)),"",IF(Tb_Activiteiten[[#This Row],[Projectmedewerker]]=1,Tb_Activiteiten[[#Headers],[Projectmedewerker]],"")))</f>
        <v/>
      </c>
      <c r="AN1489" t="str">
        <f>IF(ISNUMBER(FIND("arbeid",Methode_Keuze)),"",IF(ISNUMBER(FIND("arbeid",Methode_Keuze)),"",IF(Tb_Activiteiten[[#This Row],[Landbouwer]]=1,Tb_Activiteiten[[#Headers],[Landbouwer]],"")))</f>
        <v/>
      </c>
      <c r="AO1489" t="str">
        <f>IF(ISNUMBER(FIND("arbeid",Methode_Keuze)),"",IF(ISNUMBER(FIND("arbeid",Methode_Keuze)),"",IF(Tb_Activiteiten[[#This Row],[Adviseur]]=1,Tb_Activiteiten[[#Headers],[Adviseur]],"")))</f>
        <v/>
      </c>
      <c r="AP1489" t="str">
        <f>IF(ISNUMBER(FIND("arbeid",Methode_Keuze)),"",IF(ISNUMBER(FIND("arbeid",Methode_Keuze)),"",IF(Tb_Activiteiten[[#This Row],[Projectleider/Expert]]=1,Tb_Activiteiten[[#Headers],[Projectleider/Expert]],"")))</f>
        <v/>
      </c>
      <c r="AQ1489" t="str">
        <f>IF(ISNUMBER(FIND("arbeid",Methode_Keuze)),"",IF(ISNUMBER(FIND("arbeid",Methode_Keuze)),"",IF(Tb_Activiteiten[[#This Row],[Arbeidskosten]]=1,Tb_Activiteiten[[#Headers],[Arbeidskosten]],"")))</f>
        <v/>
      </c>
      <c r="AR1489" t="str">
        <f>IF(ISNUMBER(FIND("arbeid",Methode_Keuze)),"",IF(ISNUMBER(FIND("arbeid",Methode_Keuze)),"",IF(Tb_Activiteiten[[#This Row],[Arbeidskosten op basis van IKS]]=1,Tb_Activiteiten[[#Headers],[Arbeidskosten op basis van IKS]],"")))</f>
        <v/>
      </c>
      <c r="AS1489" t="str">
        <f>IF(ISNUMBER(FIND("overige",Methode_Keuze)),"",IF(Tb_Activiteiten[[#This Row],[Kosten derden exclusief btw]]=1,Tb_Activiteiten[[#Headers],[Kosten derden exclusief btw]],""))</f>
        <v/>
      </c>
      <c r="AT1489" t="str">
        <f>IF(ISNUMBER(FIND("overige",Methode_Keuze)),"",IF(Tb_Activiteiten[[#This Row],[Niet verrekenbare btw]]=1,Tb_Activiteiten[[#Headers],[Niet verrekenbare btw]],""))</f>
        <v/>
      </c>
      <c r="AU1489" t="str">
        <f>IF(ISNUMBER(FIND("overige",Methode_Keuze)),"",IF(Tb_Activiteiten[[#This Row],[Grondkosten]]=1,Tb_Activiteiten[[#Headers],[Grondkosten]],""))</f>
        <v/>
      </c>
      <c r="AV1489" t="str">
        <f>IF(ISNUMBER(FIND("overige",Methode_Keuze)),"",IF(Tb_Activiteiten[[#This Row],[Bijdrage in natura (overige)]]=1,Tb_Activiteiten[[#Headers],[Bijdrage in natura (overige)]],""))</f>
        <v/>
      </c>
      <c r="AW1489" t="str">
        <f>IF(ISNUMBER(FIND("overige",Methode_Keuze)),"",IF(Tb_Activiteiten[[#This Row],[Bijdrage in natura (vrijwilligers)]]=1,Tb_Activiteiten[[#Headers],[Bijdrage in natura (vrijwilligers)]],""))</f>
        <v/>
      </c>
      <c r="AX1489" t="str">
        <f>IF(ISNUMBER(FIND("overige",Methode_Keuze)),"",IF(Tb_Activiteiten[[#This Row],[Afschrijvingskosten]]=1,Tb_Activiteiten[[#Headers],[Afschrijvingskosten]],""))</f>
        <v/>
      </c>
      <c r="AY1489" t="str">
        <f>IF(ISNUMBER(FIND("overige",Methode_Keuze)),"",IF(Tb_Activiteiten[[#This Row],[Vergoeding]]=1,Tb_Activiteiten[[#Headers],[Vergoeding]],""))</f>
        <v/>
      </c>
      <c r="AZ1489" t="str">
        <f>IF(ISNUMBER(FIND("arbeid",Methode_Keuze)),"",IF(Tb_Activiteiten[[#This Row],[Arbeidskosten - vast tarief (excl eigen arbeid)]]=1,Tb_Activiteiten[[#Headers],[Arbeidskosten - vast tarief (excl eigen arbeid)]],""))</f>
        <v/>
      </c>
      <c r="BA1489" t="str">
        <f>IF(ISNUMBER(FIND("overige",Methode_Keuze)),"",IF(Tb_Activiteiten[[#This Row],[Overige kosten]]=1,Tb_Activiteiten[[#Headers],[Overige kosten]],""))</f>
        <v/>
      </c>
    </row>
    <row r="1490" spans="13:53" x14ac:dyDescent="0.25">
      <c r="O1490" s="56"/>
      <c r="Q1490" t="str">
        <f>IFERROR(IF(VLOOKUP(Tb_Activiteiten[[#This Row],[Openstelling]],Tb_Openstelling[],2,0)=1,1,""),"")</f>
        <v/>
      </c>
      <c r="AK1490" t="str">
        <f>IF(ISNUMBER(FIND("arbeid",Methode_Keuze)),"",IF(ISNUMBER(FIND("arbeid",Methode_Keuze)),"",IF(Tb_Activiteiten[[#This Row],[Loonkosten]]=1,Tb_Activiteiten[[#Headers],[Loonkosten]],"")))</f>
        <v/>
      </c>
      <c r="AL1490" t="str">
        <f>IF(ISNUMBER(FIND("arbeid",Methode_Keuze)),"",IF(ISNUMBER(FIND("arbeid",Methode_Keuze)),"",IF(Tb_Activiteiten[[#This Row],[Eigen arbeid]]=1,Tb_Activiteiten[[#Headers],[Eigen arbeid]],"")))</f>
        <v/>
      </c>
      <c r="AM1490" t="str">
        <f>IF(ISNUMBER(FIND("arbeid",Methode_Keuze)),"",IF(ISNUMBER(FIND("arbeid",Methode_Keuze)),"",IF(Tb_Activiteiten[[#This Row],[Projectmedewerker]]=1,Tb_Activiteiten[[#Headers],[Projectmedewerker]],"")))</f>
        <v/>
      </c>
      <c r="AN1490" t="str">
        <f>IF(ISNUMBER(FIND("arbeid",Methode_Keuze)),"",IF(ISNUMBER(FIND("arbeid",Methode_Keuze)),"",IF(Tb_Activiteiten[[#This Row],[Landbouwer]]=1,Tb_Activiteiten[[#Headers],[Landbouwer]],"")))</f>
        <v/>
      </c>
      <c r="AO1490" t="str">
        <f>IF(ISNUMBER(FIND("arbeid",Methode_Keuze)),"",IF(ISNUMBER(FIND("arbeid",Methode_Keuze)),"",IF(Tb_Activiteiten[[#This Row],[Adviseur]]=1,Tb_Activiteiten[[#Headers],[Adviseur]],"")))</f>
        <v/>
      </c>
      <c r="AP1490" t="str">
        <f>IF(ISNUMBER(FIND("arbeid",Methode_Keuze)),"",IF(ISNUMBER(FIND("arbeid",Methode_Keuze)),"",IF(Tb_Activiteiten[[#This Row],[Projectleider/Expert]]=1,Tb_Activiteiten[[#Headers],[Projectleider/Expert]],"")))</f>
        <v/>
      </c>
      <c r="AQ1490" t="str">
        <f>IF(ISNUMBER(FIND("arbeid",Methode_Keuze)),"",IF(ISNUMBER(FIND("arbeid",Methode_Keuze)),"",IF(Tb_Activiteiten[[#This Row],[Arbeidskosten]]=1,Tb_Activiteiten[[#Headers],[Arbeidskosten]],"")))</f>
        <v/>
      </c>
      <c r="AR1490" t="str">
        <f>IF(ISNUMBER(FIND("arbeid",Methode_Keuze)),"",IF(ISNUMBER(FIND("arbeid",Methode_Keuze)),"",IF(Tb_Activiteiten[[#This Row],[Arbeidskosten op basis van IKS]]=1,Tb_Activiteiten[[#Headers],[Arbeidskosten op basis van IKS]],"")))</f>
        <v/>
      </c>
      <c r="AS1490" t="str">
        <f>IF(ISNUMBER(FIND("overige",Methode_Keuze)),"",IF(Tb_Activiteiten[[#This Row],[Kosten derden exclusief btw]]=1,Tb_Activiteiten[[#Headers],[Kosten derden exclusief btw]],""))</f>
        <v/>
      </c>
      <c r="AT1490" t="str">
        <f>IF(ISNUMBER(FIND("overige",Methode_Keuze)),"",IF(Tb_Activiteiten[[#This Row],[Niet verrekenbare btw]]=1,Tb_Activiteiten[[#Headers],[Niet verrekenbare btw]],""))</f>
        <v/>
      </c>
      <c r="AU1490" t="str">
        <f>IF(ISNUMBER(FIND("overige",Methode_Keuze)),"",IF(Tb_Activiteiten[[#This Row],[Grondkosten]]=1,Tb_Activiteiten[[#Headers],[Grondkosten]],""))</f>
        <v/>
      </c>
      <c r="AV1490" t="str">
        <f>IF(ISNUMBER(FIND("overige",Methode_Keuze)),"",IF(Tb_Activiteiten[[#This Row],[Bijdrage in natura (overige)]]=1,Tb_Activiteiten[[#Headers],[Bijdrage in natura (overige)]],""))</f>
        <v/>
      </c>
      <c r="AW1490" t="str">
        <f>IF(ISNUMBER(FIND("overige",Methode_Keuze)),"",IF(Tb_Activiteiten[[#This Row],[Bijdrage in natura (vrijwilligers)]]=1,Tb_Activiteiten[[#Headers],[Bijdrage in natura (vrijwilligers)]],""))</f>
        <v/>
      </c>
      <c r="AX1490" t="str">
        <f>IF(ISNUMBER(FIND("overige",Methode_Keuze)),"",IF(Tb_Activiteiten[[#This Row],[Afschrijvingskosten]]=1,Tb_Activiteiten[[#Headers],[Afschrijvingskosten]],""))</f>
        <v/>
      </c>
      <c r="AY1490" t="str">
        <f>IF(ISNUMBER(FIND("overige",Methode_Keuze)),"",IF(Tb_Activiteiten[[#This Row],[Vergoeding]]=1,Tb_Activiteiten[[#Headers],[Vergoeding]],""))</f>
        <v/>
      </c>
      <c r="AZ1490" t="str">
        <f>IF(ISNUMBER(FIND("arbeid",Methode_Keuze)),"",IF(Tb_Activiteiten[[#This Row],[Arbeidskosten - vast tarief (excl eigen arbeid)]]=1,Tb_Activiteiten[[#Headers],[Arbeidskosten - vast tarief (excl eigen arbeid)]],""))</f>
        <v/>
      </c>
      <c r="BA1490" t="str">
        <f>IF(ISNUMBER(FIND("overige",Methode_Keuze)),"",IF(Tb_Activiteiten[[#This Row],[Overige kosten]]=1,Tb_Activiteiten[[#Headers],[Overige kosten]],""))</f>
        <v/>
      </c>
    </row>
    <row r="1491" spans="13:53" x14ac:dyDescent="0.25">
      <c r="O1491" s="56"/>
      <c r="Q1491" t="str">
        <f>IFERROR(IF(VLOOKUP(Tb_Activiteiten[[#This Row],[Openstelling]],Tb_Openstelling[],2,0)=1,1,""),"")</f>
        <v/>
      </c>
      <c r="AK1491" t="str">
        <f>IF(ISNUMBER(FIND("arbeid",Methode_Keuze)),"",IF(ISNUMBER(FIND("arbeid",Methode_Keuze)),"",IF(Tb_Activiteiten[[#This Row],[Loonkosten]]=1,Tb_Activiteiten[[#Headers],[Loonkosten]],"")))</f>
        <v/>
      </c>
      <c r="AL1491" t="str">
        <f>IF(ISNUMBER(FIND("arbeid",Methode_Keuze)),"",IF(ISNUMBER(FIND("arbeid",Methode_Keuze)),"",IF(Tb_Activiteiten[[#This Row],[Eigen arbeid]]=1,Tb_Activiteiten[[#Headers],[Eigen arbeid]],"")))</f>
        <v/>
      </c>
      <c r="AM1491" t="str">
        <f>IF(ISNUMBER(FIND("arbeid",Methode_Keuze)),"",IF(ISNUMBER(FIND("arbeid",Methode_Keuze)),"",IF(Tb_Activiteiten[[#This Row],[Projectmedewerker]]=1,Tb_Activiteiten[[#Headers],[Projectmedewerker]],"")))</f>
        <v/>
      </c>
      <c r="AN1491" t="str">
        <f>IF(ISNUMBER(FIND("arbeid",Methode_Keuze)),"",IF(ISNUMBER(FIND("arbeid",Methode_Keuze)),"",IF(Tb_Activiteiten[[#This Row],[Landbouwer]]=1,Tb_Activiteiten[[#Headers],[Landbouwer]],"")))</f>
        <v/>
      </c>
      <c r="AO1491" t="str">
        <f>IF(ISNUMBER(FIND("arbeid",Methode_Keuze)),"",IF(ISNUMBER(FIND("arbeid",Methode_Keuze)),"",IF(Tb_Activiteiten[[#This Row],[Adviseur]]=1,Tb_Activiteiten[[#Headers],[Adviseur]],"")))</f>
        <v/>
      </c>
      <c r="AP1491" t="str">
        <f>IF(ISNUMBER(FIND("arbeid",Methode_Keuze)),"",IF(ISNUMBER(FIND("arbeid",Methode_Keuze)),"",IF(Tb_Activiteiten[[#This Row],[Projectleider/Expert]]=1,Tb_Activiteiten[[#Headers],[Projectleider/Expert]],"")))</f>
        <v/>
      </c>
      <c r="AQ1491" t="str">
        <f>IF(ISNUMBER(FIND("arbeid",Methode_Keuze)),"",IF(ISNUMBER(FIND("arbeid",Methode_Keuze)),"",IF(Tb_Activiteiten[[#This Row],[Arbeidskosten]]=1,Tb_Activiteiten[[#Headers],[Arbeidskosten]],"")))</f>
        <v/>
      </c>
      <c r="AR1491" t="str">
        <f>IF(ISNUMBER(FIND("arbeid",Methode_Keuze)),"",IF(ISNUMBER(FIND("arbeid",Methode_Keuze)),"",IF(Tb_Activiteiten[[#This Row],[Arbeidskosten op basis van IKS]]=1,Tb_Activiteiten[[#Headers],[Arbeidskosten op basis van IKS]],"")))</f>
        <v/>
      </c>
      <c r="AS1491" t="str">
        <f>IF(ISNUMBER(FIND("overige",Methode_Keuze)),"",IF(Tb_Activiteiten[[#This Row],[Kosten derden exclusief btw]]=1,Tb_Activiteiten[[#Headers],[Kosten derden exclusief btw]],""))</f>
        <v/>
      </c>
      <c r="AT1491" t="str">
        <f>IF(ISNUMBER(FIND("overige",Methode_Keuze)),"",IF(Tb_Activiteiten[[#This Row],[Niet verrekenbare btw]]=1,Tb_Activiteiten[[#Headers],[Niet verrekenbare btw]],""))</f>
        <v/>
      </c>
      <c r="AU1491" t="str">
        <f>IF(ISNUMBER(FIND("overige",Methode_Keuze)),"",IF(Tb_Activiteiten[[#This Row],[Grondkosten]]=1,Tb_Activiteiten[[#Headers],[Grondkosten]],""))</f>
        <v/>
      </c>
      <c r="AV1491" t="str">
        <f>IF(ISNUMBER(FIND("overige",Methode_Keuze)),"",IF(Tb_Activiteiten[[#This Row],[Bijdrage in natura (overige)]]=1,Tb_Activiteiten[[#Headers],[Bijdrage in natura (overige)]],""))</f>
        <v/>
      </c>
      <c r="AW1491" t="str">
        <f>IF(ISNUMBER(FIND("overige",Methode_Keuze)),"",IF(Tb_Activiteiten[[#This Row],[Bijdrage in natura (vrijwilligers)]]=1,Tb_Activiteiten[[#Headers],[Bijdrage in natura (vrijwilligers)]],""))</f>
        <v/>
      </c>
      <c r="AX1491" t="str">
        <f>IF(ISNUMBER(FIND("overige",Methode_Keuze)),"",IF(Tb_Activiteiten[[#This Row],[Afschrijvingskosten]]=1,Tb_Activiteiten[[#Headers],[Afschrijvingskosten]],""))</f>
        <v/>
      </c>
      <c r="AY1491" t="str">
        <f>IF(ISNUMBER(FIND("overige",Methode_Keuze)),"",IF(Tb_Activiteiten[[#This Row],[Vergoeding]]=1,Tb_Activiteiten[[#Headers],[Vergoeding]],""))</f>
        <v/>
      </c>
      <c r="AZ1491" t="str">
        <f>IF(ISNUMBER(FIND("arbeid",Methode_Keuze)),"",IF(Tb_Activiteiten[[#This Row],[Arbeidskosten - vast tarief (excl eigen arbeid)]]=1,Tb_Activiteiten[[#Headers],[Arbeidskosten - vast tarief (excl eigen arbeid)]],""))</f>
        <v/>
      </c>
      <c r="BA1491" t="str">
        <f>IF(ISNUMBER(FIND("overige",Methode_Keuze)),"",IF(Tb_Activiteiten[[#This Row],[Overige kosten]]=1,Tb_Activiteiten[[#Headers],[Overige kosten]],""))</f>
        <v/>
      </c>
    </row>
    <row r="1492" spans="13:53" x14ac:dyDescent="0.25">
      <c r="O1492" s="56"/>
      <c r="Q1492" t="str">
        <f>IFERROR(IF(VLOOKUP(Tb_Activiteiten[[#This Row],[Openstelling]],Tb_Openstelling[],2,0)=1,1,""),"")</f>
        <v/>
      </c>
      <c r="AK1492" t="str">
        <f>IF(ISNUMBER(FIND("arbeid",Methode_Keuze)),"",IF(ISNUMBER(FIND("arbeid",Methode_Keuze)),"",IF(Tb_Activiteiten[[#This Row],[Loonkosten]]=1,Tb_Activiteiten[[#Headers],[Loonkosten]],"")))</f>
        <v/>
      </c>
      <c r="AL1492" t="str">
        <f>IF(ISNUMBER(FIND("arbeid",Methode_Keuze)),"",IF(ISNUMBER(FIND("arbeid",Methode_Keuze)),"",IF(Tb_Activiteiten[[#This Row],[Eigen arbeid]]=1,Tb_Activiteiten[[#Headers],[Eigen arbeid]],"")))</f>
        <v/>
      </c>
      <c r="AM1492" t="str">
        <f>IF(ISNUMBER(FIND("arbeid",Methode_Keuze)),"",IF(ISNUMBER(FIND("arbeid",Methode_Keuze)),"",IF(Tb_Activiteiten[[#This Row],[Projectmedewerker]]=1,Tb_Activiteiten[[#Headers],[Projectmedewerker]],"")))</f>
        <v/>
      </c>
      <c r="AN1492" t="str">
        <f>IF(ISNUMBER(FIND("arbeid",Methode_Keuze)),"",IF(ISNUMBER(FIND("arbeid",Methode_Keuze)),"",IF(Tb_Activiteiten[[#This Row],[Landbouwer]]=1,Tb_Activiteiten[[#Headers],[Landbouwer]],"")))</f>
        <v/>
      </c>
      <c r="AO1492" t="str">
        <f>IF(ISNUMBER(FIND("arbeid",Methode_Keuze)),"",IF(ISNUMBER(FIND("arbeid",Methode_Keuze)),"",IF(Tb_Activiteiten[[#This Row],[Adviseur]]=1,Tb_Activiteiten[[#Headers],[Adviseur]],"")))</f>
        <v/>
      </c>
      <c r="AP1492" t="str">
        <f>IF(ISNUMBER(FIND("arbeid",Methode_Keuze)),"",IF(ISNUMBER(FIND("arbeid",Methode_Keuze)),"",IF(Tb_Activiteiten[[#This Row],[Projectleider/Expert]]=1,Tb_Activiteiten[[#Headers],[Projectleider/Expert]],"")))</f>
        <v/>
      </c>
      <c r="AQ1492" t="str">
        <f>IF(ISNUMBER(FIND("arbeid",Methode_Keuze)),"",IF(ISNUMBER(FIND("arbeid",Methode_Keuze)),"",IF(Tb_Activiteiten[[#This Row],[Arbeidskosten]]=1,Tb_Activiteiten[[#Headers],[Arbeidskosten]],"")))</f>
        <v/>
      </c>
      <c r="AR1492" t="str">
        <f>IF(ISNUMBER(FIND("arbeid",Methode_Keuze)),"",IF(ISNUMBER(FIND("arbeid",Methode_Keuze)),"",IF(Tb_Activiteiten[[#This Row],[Arbeidskosten op basis van IKS]]=1,Tb_Activiteiten[[#Headers],[Arbeidskosten op basis van IKS]],"")))</f>
        <v/>
      </c>
      <c r="AS1492" t="str">
        <f>IF(ISNUMBER(FIND("overige",Methode_Keuze)),"",IF(Tb_Activiteiten[[#This Row],[Kosten derden exclusief btw]]=1,Tb_Activiteiten[[#Headers],[Kosten derden exclusief btw]],""))</f>
        <v/>
      </c>
      <c r="AT1492" t="str">
        <f>IF(ISNUMBER(FIND("overige",Methode_Keuze)),"",IF(Tb_Activiteiten[[#This Row],[Niet verrekenbare btw]]=1,Tb_Activiteiten[[#Headers],[Niet verrekenbare btw]],""))</f>
        <v/>
      </c>
      <c r="AU1492" t="str">
        <f>IF(ISNUMBER(FIND("overige",Methode_Keuze)),"",IF(Tb_Activiteiten[[#This Row],[Grondkosten]]=1,Tb_Activiteiten[[#Headers],[Grondkosten]],""))</f>
        <v/>
      </c>
      <c r="AV1492" t="str">
        <f>IF(ISNUMBER(FIND("overige",Methode_Keuze)),"",IF(Tb_Activiteiten[[#This Row],[Bijdrage in natura (overige)]]=1,Tb_Activiteiten[[#Headers],[Bijdrage in natura (overige)]],""))</f>
        <v/>
      </c>
      <c r="AW1492" t="str">
        <f>IF(ISNUMBER(FIND("overige",Methode_Keuze)),"",IF(Tb_Activiteiten[[#This Row],[Bijdrage in natura (vrijwilligers)]]=1,Tb_Activiteiten[[#Headers],[Bijdrage in natura (vrijwilligers)]],""))</f>
        <v/>
      </c>
      <c r="AX1492" t="str">
        <f>IF(ISNUMBER(FIND("overige",Methode_Keuze)),"",IF(Tb_Activiteiten[[#This Row],[Afschrijvingskosten]]=1,Tb_Activiteiten[[#Headers],[Afschrijvingskosten]],""))</f>
        <v/>
      </c>
      <c r="AY1492" t="str">
        <f>IF(ISNUMBER(FIND("overige",Methode_Keuze)),"",IF(Tb_Activiteiten[[#This Row],[Vergoeding]]=1,Tb_Activiteiten[[#Headers],[Vergoeding]],""))</f>
        <v/>
      </c>
      <c r="AZ1492" t="str">
        <f>IF(ISNUMBER(FIND("arbeid",Methode_Keuze)),"",IF(Tb_Activiteiten[[#This Row],[Arbeidskosten - vast tarief (excl eigen arbeid)]]=1,Tb_Activiteiten[[#Headers],[Arbeidskosten - vast tarief (excl eigen arbeid)]],""))</f>
        <v/>
      </c>
      <c r="BA1492" t="str">
        <f>IF(ISNUMBER(FIND("overige",Methode_Keuze)),"",IF(Tb_Activiteiten[[#This Row],[Overige kosten]]=1,Tb_Activiteiten[[#Headers],[Overige kosten]],""))</f>
        <v/>
      </c>
    </row>
    <row r="1493" spans="13:53" x14ac:dyDescent="0.25">
      <c r="O1493" s="56"/>
      <c r="Q1493" t="str">
        <f>IFERROR(IF(VLOOKUP(Tb_Activiteiten[[#This Row],[Openstelling]],Tb_Openstelling[],2,0)=1,1,""),"")</f>
        <v/>
      </c>
      <c r="AK1493" t="str">
        <f>IF(ISNUMBER(FIND("arbeid",Methode_Keuze)),"",IF(ISNUMBER(FIND("arbeid",Methode_Keuze)),"",IF(Tb_Activiteiten[[#This Row],[Loonkosten]]=1,Tb_Activiteiten[[#Headers],[Loonkosten]],"")))</f>
        <v/>
      </c>
      <c r="AL1493" t="str">
        <f>IF(ISNUMBER(FIND("arbeid",Methode_Keuze)),"",IF(ISNUMBER(FIND("arbeid",Methode_Keuze)),"",IF(Tb_Activiteiten[[#This Row],[Eigen arbeid]]=1,Tb_Activiteiten[[#Headers],[Eigen arbeid]],"")))</f>
        <v/>
      </c>
      <c r="AM1493" t="str">
        <f>IF(ISNUMBER(FIND("arbeid",Methode_Keuze)),"",IF(ISNUMBER(FIND("arbeid",Methode_Keuze)),"",IF(Tb_Activiteiten[[#This Row],[Projectmedewerker]]=1,Tb_Activiteiten[[#Headers],[Projectmedewerker]],"")))</f>
        <v/>
      </c>
      <c r="AN1493" t="str">
        <f>IF(ISNUMBER(FIND("arbeid",Methode_Keuze)),"",IF(ISNUMBER(FIND("arbeid",Methode_Keuze)),"",IF(Tb_Activiteiten[[#This Row],[Landbouwer]]=1,Tb_Activiteiten[[#Headers],[Landbouwer]],"")))</f>
        <v/>
      </c>
      <c r="AO1493" t="str">
        <f>IF(ISNUMBER(FIND("arbeid",Methode_Keuze)),"",IF(ISNUMBER(FIND("arbeid",Methode_Keuze)),"",IF(Tb_Activiteiten[[#This Row],[Adviseur]]=1,Tb_Activiteiten[[#Headers],[Adviseur]],"")))</f>
        <v/>
      </c>
      <c r="AP1493" t="str">
        <f>IF(ISNUMBER(FIND("arbeid",Methode_Keuze)),"",IF(ISNUMBER(FIND("arbeid",Methode_Keuze)),"",IF(Tb_Activiteiten[[#This Row],[Projectleider/Expert]]=1,Tb_Activiteiten[[#Headers],[Projectleider/Expert]],"")))</f>
        <v/>
      </c>
      <c r="AQ1493" t="str">
        <f>IF(ISNUMBER(FIND("arbeid",Methode_Keuze)),"",IF(ISNUMBER(FIND("arbeid",Methode_Keuze)),"",IF(Tb_Activiteiten[[#This Row],[Arbeidskosten]]=1,Tb_Activiteiten[[#Headers],[Arbeidskosten]],"")))</f>
        <v/>
      </c>
      <c r="AR1493" t="str">
        <f>IF(ISNUMBER(FIND("arbeid",Methode_Keuze)),"",IF(ISNUMBER(FIND("arbeid",Methode_Keuze)),"",IF(Tb_Activiteiten[[#This Row],[Arbeidskosten op basis van IKS]]=1,Tb_Activiteiten[[#Headers],[Arbeidskosten op basis van IKS]],"")))</f>
        <v/>
      </c>
      <c r="AS1493" t="str">
        <f>IF(ISNUMBER(FIND("overige",Methode_Keuze)),"",IF(Tb_Activiteiten[[#This Row],[Kosten derden exclusief btw]]=1,Tb_Activiteiten[[#Headers],[Kosten derden exclusief btw]],""))</f>
        <v/>
      </c>
      <c r="AT1493" t="str">
        <f>IF(ISNUMBER(FIND("overige",Methode_Keuze)),"",IF(Tb_Activiteiten[[#This Row],[Niet verrekenbare btw]]=1,Tb_Activiteiten[[#Headers],[Niet verrekenbare btw]],""))</f>
        <v/>
      </c>
      <c r="AU1493" t="str">
        <f>IF(ISNUMBER(FIND("overige",Methode_Keuze)),"",IF(Tb_Activiteiten[[#This Row],[Grondkosten]]=1,Tb_Activiteiten[[#Headers],[Grondkosten]],""))</f>
        <v/>
      </c>
      <c r="AV1493" t="str">
        <f>IF(ISNUMBER(FIND("overige",Methode_Keuze)),"",IF(Tb_Activiteiten[[#This Row],[Bijdrage in natura (overige)]]=1,Tb_Activiteiten[[#Headers],[Bijdrage in natura (overige)]],""))</f>
        <v/>
      </c>
      <c r="AW1493" t="str">
        <f>IF(ISNUMBER(FIND("overige",Methode_Keuze)),"",IF(Tb_Activiteiten[[#This Row],[Bijdrage in natura (vrijwilligers)]]=1,Tb_Activiteiten[[#Headers],[Bijdrage in natura (vrijwilligers)]],""))</f>
        <v/>
      </c>
      <c r="AX1493" t="str">
        <f>IF(ISNUMBER(FIND("overige",Methode_Keuze)),"",IF(Tb_Activiteiten[[#This Row],[Afschrijvingskosten]]=1,Tb_Activiteiten[[#Headers],[Afschrijvingskosten]],""))</f>
        <v/>
      </c>
      <c r="AY1493" t="str">
        <f>IF(ISNUMBER(FIND("overige",Methode_Keuze)),"",IF(Tb_Activiteiten[[#This Row],[Vergoeding]]=1,Tb_Activiteiten[[#Headers],[Vergoeding]],""))</f>
        <v/>
      </c>
      <c r="AZ1493" t="str">
        <f>IF(ISNUMBER(FIND("arbeid",Methode_Keuze)),"",IF(Tb_Activiteiten[[#This Row],[Arbeidskosten - vast tarief (excl eigen arbeid)]]=1,Tb_Activiteiten[[#Headers],[Arbeidskosten - vast tarief (excl eigen arbeid)]],""))</f>
        <v/>
      </c>
      <c r="BA1493" t="str">
        <f>IF(ISNUMBER(FIND("overige",Methode_Keuze)),"",IF(Tb_Activiteiten[[#This Row],[Overige kosten]]=1,Tb_Activiteiten[[#Headers],[Overige kosten]],""))</f>
        <v/>
      </c>
    </row>
    <row r="1494" spans="13:53" x14ac:dyDescent="0.25">
      <c r="O1494" s="56"/>
      <c r="Q1494" t="str">
        <f>IFERROR(IF(VLOOKUP(Tb_Activiteiten[[#This Row],[Openstelling]],Tb_Openstelling[],2,0)=1,1,""),"")</f>
        <v/>
      </c>
      <c r="AK1494" t="str">
        <f>IF(ISNUMBER(FIND("arbeid",Methode_Keuze)),"",IF(ISNUMBER(FIND("arbeid",Methode_Keuze)),"",IF(Tb_Activiteiten[[#This Row],[Loonkosten]]=1,Tb_Activiteiten[[#Headers],[Loonkosten]],"")))</f>
        <v/>
      </c>
      <c r="AL1494" t="str">
        <f>IF(ISNUMBER(FIND("arbeid",Methode_Keuze)),"",IF(ISNUMBER(FIND("arbeid",Methode_Keuze)),"",IF(Tb_Activiteiten[[#This Row],[Eigen arbeid]]=1,Tb_Activiteiten[[#Headers],[Eigen arbeid]],"")))</f>
        <v/>
      </c>
      <c r="AM1494" t="str">
        <f>IF(ISNUMBER(FIND("arbeid",Methode_Keuze)),"",IF(ISNUMBER(FIND("arbeid",Methode_Keuze)),"",IF(Tb_Activiteiten[[#This Row],[Projectmedewerker]]=1,Tb_Activiteiten[[#Headers],[Projectmedewerker]],"")))</f>
        <v/>
      </c>
      <c r="AN1494" t="str">
        <f>IF(ISNUMBER(FIND("arbeid",Methode_Keuze)),"",IF(ISNUMBER(FIND("arbeid",Methode_Keuze)),"",IF(Tb_Activiteiten[[#This Row],[Landbouwer]]=1,Tb_Activiteiten[[#Headers],[Landbouwer]],"")))</f>
        <v/>
      </c>
      <c r="AO1494" t="str">
        <f>IF(ISNUMBER(FIND("arbeid",Methode_Keuze)),"",IF(ISNUMBER(FIND("arbeid",Methode_Keuze)),"",IF(Tb_Activiteiten[[#This Row],[Adviseur]]=1,Tb_Activiteiten[[#Headers],[Adviseur]],"")))</f>
        <v/>
      </c>
      <c r="AP1494" t="str">
        <f>IF(ISNUMBER(FIND("arbeid",Methode_Keuze)),"",IF(ISNUMBER(FIND("arbeid",Methode_Keuze)),"",IF(Tb_Activiteiten[[#This Row],[Projectleider/Expert]]=1,Tb_Activiteiten[[#Headers],[Projectleider/Expert]],"")))</f>
        <v/>
      </c>
      <c r="AQ1494" t="str">
        <f>IF(ISNUMBER(FIND("arbeid",Methode_Keuze)),"",IF(ISNUMBER(FIND("arbeid",Methode_Keuze)),"",IF(Tb_Activiteiten[[#This Row],[Arbeidskosten]]=1,Tb_Activiteiten[[#Headers],[Arbeidskosten]],"")))</f>
        <v/>
      </c>
      <c r="AR1494" t="str">
        <f>IF(ISNUMBER(FIND("arbeid",Methode_Keuze)),"",IF(ISNUMBER(FIND("arbeid",Methode_Keuze)),"",IF(Tb_Activiteiten[[#This Row],[Arbeidskosten op basis van IKS]]=1,Tb_Activiteiten[[#Headers],[Arbeidskosten op basis van IKS]],"")))</f>
        <v/>
      </c>
      <c r="AS1494" t="str">
        <f>IF(ISNUMBER(FIND("overige",Methode_Keuze)),"",IF(Tb_Activiteiten[[#This Row],[Kosten derden exclusief btw]]=1,Tb_Activiteiten[[#Headers],[Kosten derden exclusief btw]],""))</f>
        <v/>
      </c>
      <c r="AT1494" t="str">
        <f>IF(ISNUMBER(FIND("overige",Methode_Keuze)),"",IF(Tb_Activiteiten[[#This Row],[Niet verrekenbare btw]]=1,Tb_Activiteiten[[#Headers],[Niet verrekenbare btw]],""))</f>
        <v/>
      </c>
      <c r="AU1494" t="str">
        <f>IF(ISNUMBER(FIND("overige",Methode_Keuze)),"",IF(Tb_Activiteiten[[#This Row],[Grondkosten]]=1,Tb_Activiteiten[[#Headers],[Grondkosten]],""))</f>
        <v/>
      </c>
      <c r="AV1494" t="str">
        <f>IF(ISNUMBER(FIND("overige",Methode_Keuze)),"",IF(Tb_Activiteiten[[#This Row],[Bijdrage in natura (overige)]]=1,Tb_Activiteiten[[#Headers],[Bijdrage in natura (overige)]],""))</f>
        <v/>
      </c>
      <c r="AW1494" t="str">
        <f>IF(ISNUMBER(FIND("overige",Methode_Keuze)),"",IF(Tb_Activiteiten[[#This Row],[Bijdrage in natura (vrijwilligers)]]=1,Tb_Activiteiten[[#Headers],[Bijdrage in natura (vrijwilligers)]],""))</f>
        <v/>
      </c>
      <c r="AX1494" t="str">
        <f>IF(ISNUMBER(FIND("overige",Methode_Keuze)),"",IF(Tb_Activiteiten[[#This Row],[Afschrijvingskosten]]=1,Tb_Activiteiten[[#Headers],[Afschrijvingskosten]],""))</f>
        <v/>
      </c>
      <c r="AY1494" t="str">
        <f>IF(ISNUMBER(FIND("overige",Methode_Keuze)),"",IF(Tb_Activiteiten[[#This Row],[Vergoeding]]=1,Tb_Activiteiten[[#Headers],[Vergoeding]],""))</f>
        <v/>
      </c>
      <c r="AZ1494" t="str">
        <f>IF(ISNUMBER(FIND("arbeid",Methode_Keuze)),"",IF(Tb_Activiteiten[[#This Row],[Arbeidskosten - vast tarief (excl eigen arbeid)]]=1,Tb_Activiteiten[[#Headers],[Arbeidskosten - vast tarief (excl eigen arbeid)]],""))</f>
        <v/>
      </c>
      <c r="BA1494" t="str">
        <f>IF(ISNUMBER(FIND("overige",Methode_Keuze)),"",IF(Tb_Activiteiten[[#This Row],[Overige kosten]]=1,Tb_Activiteiten[[#Headers],[Overige kosten]],""))</f>
        <v/>
      </c>
    </row>
    <row r="1495" spans="13:53" x14ac:dyDescent="0.25">
      <c r="O1495" s="56"/>
      <c r="Q1495" t="str">
        <f>IFERROR(IF(VLOOKUP(Tb_Activiteiten[[#This Row],[Openstelling]],Tb_Openstelling[],2,0)=1,1,""),"")</f>
        <v/>
      </c>
      <c r="AK1495" t="str">
        <f>IF(ISNUMBER(FIND("arbeid",Methode_Keuze)),"",IF(ISNUMBER(FIND("arbeid",Methode_Keuze)),"",IF(Tb_Activiteiten[[#This Row],[Loonkosten]]=1,Tb_Activiteiten[[#Headers],[Loonkosten]],"")))</f>
        <v/>
      </c>
      <c r="AL1495" t="str">
        <f>IF(ISNUMBER(FIND("arbeid",Methode_Keuze)),"",IF(ISNUMBER(FIND("arbeid",Methode_Keuze)),"",IF(Tb_Activiteiten[[#This Row],[Eigen arbeid]]=1,Tb_Activiteiten[[#Headers],[Eigen arbeid]],"")))</f>
        <v/>
      </c>
      <c r="AM1495" t="str">
        <f>IF(ISNUMBER(FIND("arbeid",Methode_Keuze)),"",IF(ISNUMBER(FIND("arbeid",Methode_Keuze)),"",IF(Tb_Activiteiten[[#This Row],[Projectmedewerker]]=1,Tb_Activiteiten[[#Headers],[Projectmedewerker]],"")))</f>
        <v/>
      </c>
      <c r="AN1495" t="str">
        <f>IF(ISNUMBER(FIND("arbeid",Methode_Keuze)),"",IF(ISNUMBER(FIND("arbeid",Methode_Keuze)),"",IF(Tb_Activiteiten[[#This Row],[Landbouwer]]=1,Tb_Activiteiten[[#Headers],[Landbouwer]],"")))</f>
        <v/>
      </c>
      <c r="AO1495" t="str">
        <f>IF(ISNUMBER(FIND("arbeid",Methode_Keuze)),"",IF(ISNUMBER(FIND("arbeid",Methode_Keuze)),"",IF(Tb_Activiteiten[[#This Row],[Adviseur]]=1,Tb_Activiteiten[[#Headers],[Adviseur]],"")))</f>
        <v/>
      </c>
      <c r="AP1495" t="str">
        <f>IF(ISNUMBER(FIND("arbeid",Methode_Keuze)),"",IF(ISNUMBER(FIND("arbeid",Methode_Keuze)),"",IF(Tb_Activiteiten[[#This Row],[Projectleider/Expert]]=1,Tb_Activiteiten[[#Headers],[Projectleider/Expert]],"")))</f>
        <v/>
      </c>
      <c r="AQ1495" t="str">
        <f>IF(ISNUMBER(FIND("arbeid",Methode_Keuze)),"",IF(ISNUMBER(FIND("arbeid",Methode_Keuze)),"",IF(Tb_Activiteiten[[#This Row],[Arbeidskosten]]=1,Tb_Activiteiten[[#Headers],[Arbeidskosten]],"")))</f>
        <v/>
      </c>
      <c r="AR1495" t="str">
        <f>IF(ISNUMBER(FIND("arbeid",Methode_Keuze)),"",IF(ISNUMBER(FIND("arbeid",Methode_Keuze)),"",IF(Tb_Activiteiten[[#This Row],[Arbeidskosten op basis van IKS]]=1,Tb_Activiteiten[[#Headers],[Arbeidskosten op basis van IKS]],"")))</f>
        <v/>
      </c>
      <c r="AS1495" t="str">
        <f>IF(ISNUMBER(FIND("overige",Methode_Keuze)),"",IF(Tb_Activiteiten[[#This Row],[Kosten derden exclusief btw]]=1,Tb_Activiteiten[[#Headers],[Kosten derden exclusief btw]],""))</f>
        <v/>
      </c>
      <c r="AT1495" t="str">
        <f>IF(ISNUMBER(FIND("overige",Methode_Keuze)),"",IF(Tb_Activiteiten[[#This Row],[Niet verrekenbare btw]]=1,Tb_Activiteiten[[#Headers],[Niet verrekenbare btw]],""))</f>
        <v/>
      </c>
      <c r="AU1495" t="str">
        <f>IF(ISNUMBER(FIND("overige",Methode_Keuze)),"",IF(Tb_Activiteiten[[#This Row],[Grondkosten]]=1,Tb_Activiteiten[[#Headers],[Grondkosten]],""))</f>
        <v/>
      </c>
      <c r="AV1495" t="str">
        <f>IF(ISNUMBER(FIND("overige",Methode_Keuze)),"",IF(Tb_Activiteiten[[#This Row],[Bijdrage in natura (overige)]]=1,Tb_Activiteiten[[#Headers],[Bijdrage in natura (overige)]],""))</f>
        <v/>
      </c>
      <c r="AW1495" t="str">
        <f>IF(ISNUMBER(FIND("overige",Methode_Keuze)),"",IF(Tb_Activiteiten[[#This Row],[Bijdrage in natura (vrijwilligers)]]=1,Tb_Activiteiten[[#Headers],[Bijdrage in natura (vrijwilligers)]],""))</f>
        <v/>
      </c>
      <c r="AX1495" t="str">
        <f>IF(ISNUMBER(FIND("overige",Methode_Keuze)),"",IF(Tb_Activiteiten[[#This Row],[Afschrijvingskosten]]=1,Tb_Activiteiten[[#Headers],[Afschrijvingskosten]],""))</f>
        <v/>
      </c>
      <c r="AY1495" t="str">
        <f>IF(ISNUMBER(FIND("overige",Methode_Keuze)),"",IF(Tb_Activiteiten[[#This Row],[Vergoeding]]=1,Tb_Activiteiten[[#Headers],[Vergoeding]],""))</f>
        <v/>
      </c>
      <c r="AZ1495" t="str">
        <f>IF(ISNUMBER(FIND("arbeid",Methode_Keuze)),"",IF(Tb_Activiteiten[[#This Row],[Arbeidskosten - vast tarief (excl eigen arbeid)]]=1,Tb_Activiteiten[[#Headers],[Arbeidskosten - vast tarief (excl eigen arbeid)]],""))</f>
        <v/>
      </c>
      <c r="BA1495" t="str">
        <f>IF(ISNUMBER(FIND("overige",Methode_Keuze)),"",IF(Tb_Activiteiten[[#This Row],[Overige kosten]]=1,Tb_Activiteiten[[#Headers],[Overige kosten]],""))</f>
        <v/>
      </c>
    </row>
    <row r="1496" spans="13:53" x14ac:dyDescent="0.25">
      <c r="O1496" s="56"/>
      <c r="Q1496" t="str">
        <f>IFERROR(IF(VLOOKUP(Tb_Activiteiten[[#This Row],[Openstelling]],Tb_Openstelling[],2,0)=1,1,""),"")</f>
        <v/>
      </c>
      <c r="AK1496" t="str">
        <f>IF(ISNUMBER(FIND("arbeid",Methode_Keuze)),"",IF(ISNUMBER(FIND("arbeid",Methode_Keuze)),"",IF(Tb_Activiteiten[[#This Row],[Loonkosten]]=1,Tb_Activiteiten[[#Headers],[Loonkosten]],"")))</f>
        <v/>
      </c>
      <c r="AL1496" t="str">
        <f>IF(ISNUMBER(FIND("arbeid",Methode_Keuze)),"",IF(ISNUMBER(FIND("arbeid",Methode_Keuze)),"",IF(Tb_Activiteiten[[#This Row],[Eigen arbeid]]=1,Tb_Activiteiten[[#Headers],[Eigen arbeid]],"")))</f>
        <v/>
      </c>
      <c r="AM1496" t="str">
        <f>IF(ISNUMBER(FIND("arbeid",Methode_Keuze)),"",IF(ISNUMBER(FIND("arbeid",Methode_Keuze)),"",IF(Tb_Activiteiten[[#This Row],[Projectmedewerker]]=1,Tb_Activiteiten[[#Headers],[Projectmedewerker]],"")))</f>
        <v/>
      </c>
      <c r="AN1496" t="str">
        <f>IF(ISNUMBER(FIND("arbeid",Methode_Keuze)),"",IF(ISNUMBER(FIND("arbeid",Methode_Keuze)),"",IF(Tb_Activiteiten[[#This Row],[Landbouwer]]=1,Tb_Activiteiten[[#Headers],[Landbouwer]],"")))</f>
        <v/>
      </c>
      <c r="AO1496" t="str">
        <f>IF(ISNUMBER(FIND("arbeid",Methode_Keuze)),"",IF(ISNUMBER(FIND("arbeid",Methode_Keuze)),"",IF(Tb_Activiteiten[[#This Row],[Adviseur]]=1,Tb_Activiteiten[[#Headers],[Adviseur]],"")))</f>
        <v/>
      </c>
      <c r="AP1496" t="str">
        <f>IF(ISNUMBER(FIND("arbeid",Methode_Keuze)),"",IF(ISNUMBER(FIND("arbeid",Methode_Keuze)),"",IF(Tb_Activiteiten[[#This Row],[Projectleider/Expert]]=1,Tb_Activiteiten[[#Headers],[Projectleider/Expert]],"")))</f>
        <v/>
      </c>
      <c r="AQ1496" t="str">
        <f>IF(ISNUMBER(FIND("arbeid",Methode_Keuze)),"",IF(ISNUMBER(FIND("arbeid",Methode_Keuze)),"",IF(Tb_Activiteiten[[#This Row],[Arbeidskosten]]=1,Tb_Activiteiten[[#Headers],[Arbeidskosten]],"")))</f>
        <v/>
      </c>
      <c r="AR1496" t="str">
        <f>IF(ISNUMBER(FIND("arbeid",Methode_Keuze)),"",IF(ISNUMBER(FIND("arbeid",Methode_Keuze)),"",IF(Tb_Activiteiten[[#This Row],[Arbeidskosten op basis van IKS]]=1,Tb_Activiteiten[[#Headers],[Arbeidskosten op basis van IKS]],"")))</f>
        <v/>
      </c>
      <c r="AS1496" t="str">
        <f>IF(ISNUMBER(FIND("overige",Methode_Keuze)),"",IF(Tb_Activiteiten[[#This Row],[Kosten derden exclusief btw]]=1,Tb_Activiteiten[[#Headers],[Kosten derden exclusief btw]],""))</f>
        <v/>
      </c>
      <c r="AT1496" t="str">
        <f>IF(ISNUMBER(FIND("overige",Methode_Keuze)),"",IF(Tb_Activiteiten[[#This Row],[Niet verrekenbare btw]]=1,Tb_Activiteiten[[#Headers],[Niet verrekenbare btw]],""))</f>
        <v/>
      </c>
      <c r="AU1496" t="str">
        <f>IF(ISNUMBER(FIND("overige",Methode_Keuze)),"",IF(Tb_Activiteiten[[#This Row],[Grondkosten]]=1,Tb_Activiteiten[[#Headers],[Grondkosten]],""))</f>
        <v/>
      </c>
      <c r="AV1496" t="str">
        <f>IF(ISNUMBER(FIND("overige",Methode_Keuze)),"",IF(Tb_Activiteiten[[#This Row],[Bijdrage in natura (overige)]]=1,Tb_Activiteiten[[#Headers],[Bijdrage in natura (overige)]],""))</f>
        <v/>
      </c>
      <c r="AW1496" t="str">
        <f>IF(ISNUMBER(FIND("overige",Methode_Keuze)),"",IF(Tb_Activiteiten[[#This Row],[Bijdrage in natura (vrijwilligers)]]=1,Tb_Activiteiten[[#Headers],[Bijdrage in natura (vrijwilligers)]],""))</f>
        <v/>
      </c>
      <c r="AX1496" t="str">
        <f>IF(ISNUMBER(FIND("overige",Methode_Keuze)),"",IF(Tb_Activiteiten[[#This Row],[Afschrijvingskosten]]=1,Tb_Activiteiten[[#Headers],[Afschrijvingskosten]],""))</f>
        <v/>
      </c>
      <c r="AY1496" t="str">
        <f>IF(ISNUMBER(FIND("overige",Methode_Keuze)),"",IF(Tb_Activiteiten[[#This Row],[Vergoeding]]=1,Tb_Activiteiten[[#Headers],[Vergoeding]],""))</f>
        <v/>
      </c>
      <c r="AZ1496" t="str">
        <f>IF(ISNUMBER(FIND("arbeid",Methode_Keuze)),"",IF(Tb_Activiteiten[[#This Row],[Arbeidskosten - vast tarief (excl eigen arbeid)]]=1,Tb_Activiteiten[[#Headers],[Arbeidskosten - vast tarief (excl eigen arbeid)]],""))</f>
        <v/>
      </c>
      <c r="BA1496" t="str">
        <f>IF(ISNUMBER(FIND("overige",Methode_Keuze)),"",IF(Tb_Activiteiten[[#This Row],[Overige kosten]]=1,Tb_Activiteiten[[#Headers],[Overige kosten]],""))</f>
        <v/>
      </c>
    </row>
    <row r="1497" spans="13:53" x14ac:dyDescent="0.25">
      <c r="O1497" s="56"/>
      <c r="Q1497" t="str">
        <f>IFERROR(IF(VLOOKUP(Tb_Activiteiten[[#This Row],[Openstelling]],Tb_Openstelling[],2,0)=1,1,""),"")</f>
        <v/>
      </c>
      <c r="AK1497" t="str">
        <f>IF(ISNUMBER(FIND("arbeid",Methode_Keuze)),"",IF(ISNUMBER(FIND("arbeid",Methode_Keuze)),"",IF(Tb_Activiteiten[[#This Row],[Loonkosten]]=1,Tb_Activiteiten[[#Headers],[Loonkosten]],"")))</f>
        <v/>
      </c>
      <c r="AL1497" t="str">
        <f>IF(ISNUMBER(FIND("arbeid",Methode_Keuze)),"",IF(ISNUMBER(FIND("arbeid",Methode_Keuze)),"",IF(Tb_Activiteiten[[#This Row],[Eigen arbeid]]=1,Tb_Activiteiten[[#Headers],[Eigen arbeid]],"")))</f>
        <v/>
      </c>
      <c r="AM1497" t="str">
        <f>IF(ISNUMBER(FIND("arbeid",Methode_Keuze)),"",IF(ISNUMBER(FIND("arbeid",Methode_Keuze)),"",IF(Tb_Activiteiten[[#This Row],[Projectmedewerker]]=1,Tb_Activiteiten[[#Headers],[Projectmedewerker]],"")))</f>
        <v/>
      </c>
      <c r="AN1497" t="str">
        <f>IF(ISNUMBER(FIND("arbeid",Methode_Keuze)),"",IF(ISNUMBER(FIND("arbeid",Methode_Keuze)),"",IF(Tb_Activiteiten[[#This Row],[Landbouwer]]=1,Tb_Activiteiten[[#Headers],[Landbouwer]],"")))</f>
        <v/>
      </c>
      <c r="AO1497" t="str">
        <f>IF(ISNUMBER(FIND("arbeid",Methode_Keuze)),"",IF(ISNUMBER(FIND("arbeid",Methode_Keuze)),"",IF(Tb_Activiteiten[[#This Row],[Adviseur]]=1,Tb_Activiteiten[[#Headers],[Adviseur]],"")))</f>
        <v/>
      </c>
      <c r="AP1497" t="str">
        <f>IF(ISNUMBER(FIND("arbeid",Methode_Keuze)),"",IF(ISNUMBER(FIND("arbeid",Methode_Keuze)),"",IF(Tb_Activiteiten[[#This Row],[Projectleider/Expert]]=1,Tb_Activiteiten[[#Headers],[Projectleider/Expert]],"")))</f>
        <v/>
      </c>
      <c r="AQ1497" t="str">
        <f>IF(ISNUMBER(FIND("arbeid",Methode_Keuze)),"",IF(ISNUMBER(FIND("arbeid",Methode_Keuze)),"",IF(Tb_Activiteiten[[#This Row],[Arbeidskosten]]=1,Tb_Activiteiten[[#Headers],[Arbeidskosten]],"")))</f>
        <v/>
      </c>
      <c r="AR1497" t="str">
        <f>IF(ISNUMBER(FIND("arbeid",Methode_Keuze)),"",IF(ISNUMBER(FIND("arbeid",Methode_Keuze)),"",IF(Tb_Activiteiten[[#This Row],[Arbeidskosten op basis van IKS]]=1,Tb_Activiteiten[[#Headers],[Arbeidskosten op basis van IKS]],"")))</f>
        <v/>
      </c>
      <c r="AS1497" t="str">
        <f>IF(ISNUMBER(FIND("overige",Methode_Keuze)),"",IF(Tb_Activiteiten[[#This Row],[Kosten derden exclusief btw]]=1,Tb_Activiteiten[[#Headers],[Kosten derden exclusief btw]],""))</f>
        <v/>
      </c>
      <c r="AT1497" t="str">
        <f>IF(ISNUMBER(FIND("overige",Methode_Keuze)),"",IF(Tb_Activiteiten[[#This Row],[Niet verrekenbare btw]]=1,Tb_Activiteiten[[#Headers],[Niet verrekenbare btw]],""))</f>
        <v/>
      </c>
      <c r="AU1497" t="str">
        <f>IF(ISNUMBER(FIND("overige",Methode_Keuze)),"",IF(Tb_Activiteiten[[#This Row],[Grondkosten]]=1,Tb_Activiteiten[[#Headers],[Grondkosten]],""))</f>
        <v/>
      </c>
      <c r="AV1497" t="str">
        <f>IF(ISNUMBER(FIND("overige",Methode_Keuze)),"",IF(Tb_Activiteiten[[#This Row],[Bijdrage in natura (overige)]]=1,Tb_Activiteiten[[#Headers],[Bijdrage in natura (overige)]],""))</f>
        <v/>
      </c>
      <c r="AW1497" t="str">
        <f>IF(ISNUMBER(FIND("overige",Methode_Keuze)),"",IF(Tb_Activiteiten[[#This Row],[Bijdrage in natura (vrijwilligers)]]=1,Tb_Activiteiten[[#Headers],[Bijdrage in natura (vrijwilligers)]],""))</f>
        <v/>
      </c>
      <c r="AX1497" t="str">
        <f>IF(ISNUMBER(FIND("overige",Methode_Keuze)),"",IF(Tb_Activiteiten[[#This Row],[Afschrijvingskosten]]=1,Tb_Activiteiten[[#Headers],[Afschrijvingskosten]],""))</f>
        <v/>
      </c>
      <c r="AY1497" t="str">
        <f>IF(ISNUMBER(FIND("overige",Methode_Keuze)),"",IF(Tb_Activiteiten[[#This Row],[Vergoeding]]=1,Tb_Activiteiten[[#Headers],[Vergoeding]],""))</f>
        <v/>
      </c>
      <c r="AZ1497" t="str">
        <f>IF(ISNUMBER(FIND("arbeid",Methode_Keuze)),"",IF(Tb_Activiteiten[[#This Row],[Arbeidskosten - vast tarief (excl eigen arbeid)]]=1,Tb_Activiteiten[[#Headers],[Arbeidskosten - vast tarief (excl eigen arbeid)]],""))</f>
        <v/>
      </c>
      <c r="BA1497" t="str">
        <f>IF(ISNUMBER(FIND("overige",Methode_Keuze)),"",IF(Tb_Activiteiten[[#This Row],[Overige kosten]]=1,Tb_Activiteiten[[#Headers],[Overige kosten]],""))</f>
        <v/>
      </c>
    </row>
    <row r="1498" spans="13:53" x14ac:dyDescent="0.25">
      <c r="O1498" s="56"/>
      <c r="Q1498" t="str">
        <f>IFERROR(IF(VLOOKUP(Tb_Activiteiten[[#This Row],[Openstelling]],Tb_Openstelling[],2,0)=1,1,""),"")</f>
        <v/>
      </c>
      <c r="AK1498" t="str">
        <f>IF(ISNUMBER(FIND("arbeid",Methode_Keuze)),"",IF(ISNUMBER(FIND("arbeid",Methode_Keuze)),"",IF(Tb_Activiteiten[[#This Row],[Loonkosten]]=1,Tb_Activiteiten[[#Headers],[Loonkosten]],"")))</f>
        <v/>
      </c>
      <c r="AL1498" t="str">
        <f>IF(ISNUMBER(FIND("arbeid",Methode_Keuze)),"",IF(ISNUMBER(FIND("arbeid",Methode_Keuze)),"",IF(Tb_Activiteiten[[#This Row],[Eigen arbeid]]=1,Tb_Activiteiten[[#Headers],[Eigen arbeid]],"")))</f>
        <v/>
      </c>
      <c r="AM1498" t="str">
        <f>IF(ISNUMBER(FIND("arbeid",Methode_Keuze)),"",IF(ISNUMBER(FIND("arbeid",Methode_Keuze)),"",IF(Tb_Activiteiten[[#This Row],[Projectmedewerker]]=1,Tb_Activiteiten[[#Headers],[Projectmedewerker]],"")))</f>
        <v/>
      </c>
      <c r="AN1498" t="str">
        <f>IF(ISNUMBER(FIND("arbeid",Methode_Keuze)),"",IF(ISNUMBER(FIND("arbeid",Methode_Keuze)),"",IF(Tb_Activiteiten[[#This Row],[Landbouwer]]=1,Tb_Activiteiten[[#Headers],[Landbouwer]],"")))</f>
        <v/>
      </c>
      <c r="AO1498" t="str">
        <f>IF(ISNUMBER(FIND("arbeid",Methode_Keuze)),"",IF(ISNUMBER(FIND("arbeid",Methode_Keuze)),"",IF(Tb_Activiteiten[[#This Row],[Adviseur]]=1,Tb_Activiteiten[[#Headers],[Adviseur]],"")))</f>
        <v/>
      </c>
      <c r="AP1498" t="str">
        <f>IF(ISNUMBER(FIND("arbeid",Methode_Keuze)),"",IF(ISNUMBER(FIND("arbeid",Methode_Keuze)),"",IF(Tb_Activiteiten[[#This Row],[Projectleider/Expert]]=1,Tb_Activiteiten[[#Headers],[Projectleider/Expert]],"")))</f>
        <v/>
      </c>
      <c r="AQ1498" t="str">
        <f>IF(ISNUMBER(FIND("arbeid",Methode_Keuze)),"",IF(ISNUMBER(FIND("arbeid",Methode_Keuze)),"",IF(Tb_Activiteiten[[#This Row],[Arbeidskosten]]=1,Tb_Activiteiten[[#Headers],[Arbeidskosten]],"")))</f>
        <v/>
      </c>
      <c r="AR1498" t="str">
        <f>IF(ISNUMBER(FIND("arbeid",Methode_Keuze)),"",IF(ISNUMBER(FIND("arbeid",Methode_Keuze)),"",IF(Tb_Activiteiten[[#This Row],[Arbeidskosten op basis van IKS]]=1,Tb_Activiteiten[[#Headers],[Arbeidskosten op basis van IKS]],"")))</f>
        <v/>
      </c>
      <c r="AS1498" t="str">
        <f>IF(ISNUMBER(FIND("overige",Methode_Keuze)),"",IF(Tb_Activiteiten[[#This Row],[Kosten derden exclusief btw]]=1,Tb_Activiteiten[[#Headers],[Kosten derden exclusief btw]],""))</f>
        <v/>
      </c>
      <c r="AT1498" t="str">
        <f>IF(ISNUMBER(FIND("overige",Methode_Keuze)),"",IF(Tb_Activiteiten[[#This Row],[Niet verrekenbare btw]]=1,Tb_Activiteiten[[#Headers],[Niet verrekenbare btw]],""))</f>
        <v/>
      </c>
      <c r="AU1498" t="str">
        <f>IF(ISNUMBER(FIND("overige",Methode_Keuze)),"",IF(Tb_Activiteiten[[#This Row],[Grondkosten]]=1,Tb_Activiteiten[[#Headers],[Grondkosten]],""))</f>
        <v/>
      </c>
      <c r="AV1498" t="str">
        <f>IF(ISNUMBER(FIND("overige",Methode_Keuze)),"",IF(Tb_Activiteiten[[#This Row],[Bijdrage in natura (overige)]]=1,Tb_Activiteiten[[#Headers],[Bijdrage in natura (overige)]],""))</f>
        <v/>
      </c>
      <c r="AW1498" t="str">
        <f>IF(ISNUMBER(FIND("overige",Methode_Keuze)),"",IF(Tb_Activiteiten[[#This Row],[Bijdrage in natura (vrijwilligers)]]=1,Tb_Activiteiten[[#Headers],[Bijdrage in natura (vrijwilligers)]],""))</f>
        <v/>
      </c>
      <c r="AX1498" t="str">
        <f>IF(ISNUMBER(FIND("overige",Methode_Keuze)),"",IF(Tb_Activiteiten[[#This Row],[Afschrijvingskosten]]=1,Tb_Activiteiten[[#Headers],[Afschrijvingskosten]],""))</f>
        <v/>
      </c>
      <c r="AY1498" t="str">
        <f>IF(ISNUMBER(FIND("overige",Methode_Keuze)),"",IF(Tb_Activiteiten[[#This Row],[Vergoeding]]=1,Tb_Activiteiten[[#Headers],[Vergoeding]],""))</f>
        <v/>
      </c>
      <c r="AZ1498" t="str">
        <f>IF(ISNUMBER(FIND("arbeid",Methode_Keuze)),"",IF(Tb_Activiteiten[[#This Row],[Arbeidskosten - vast tarief (excl eigen arbeid)]]=1,Tb_Activiteiten[[#Headers],[Arbeidskosten - vast tarief (excl eigen arbeid)]],""))</f>
        <v/>
      </c>
      <c r="BA1498" t="str">
        <f>IF(ISNUMBER(FIND("overige",Methode_Keuze)),"",IF(Tb_Activiteiten[[#This Row],[Overige kosten]]=1,Tb_Activiteiten[[#Headers],[Overige kosten]],""))</f>
        <v/>
      </c>
    </row>
    <row r="1499" spans="13:53" x14ac:dyDescent="0.25">
      <c r="O1499" s="56"/>
      <c r="Q1499" t="str">
        <f>IFERROR(IF(VLOOKUP(Tb_Activiteiten[[#This Row],[Openstelling]],Tb_Openstelling[],2,0)=1,1,""),"")</f>
        <v/>
      </c>
      <c r="AK1499" t="str">
        <f>IF(ISNUMBER(FIND("arbeid",Methode_Keuze)),"",IF(ISNUMBER(FIND("arbeid",Methode_Keuze)),"",IF(Tb_Activiteiten[[#This Row],[Loonkosten]]=1,Tb_Activiteiten[[#Headers],[Loonkosten]],"")))</f>
        <v/>
      </c>
      <c r="AL1499" t="str">
        <f>IF(ISNUMBER(FIND("arbeid",Methode_Keuze)),"",IF(ISNUMBER(FIND("arbeid",Methode_Keuze)),"",IF(Tb_Activiteiten[[#This Row],[Eigen arbeid]]=1,Tb_Activiteiten[[#Headers],[Eigen arbeid]],"")))</f>
        <v/>
      </c>
      <c r="AM1499" t="str">
        <f>IF(ISNUMBER(FIND("arbeid",Methode_Keuze)),"",IF(ISNUMBER(FIND("arbeid",Methode_Keuze)),"",IF(Tb_Activiteiten[[#This Row],[Projectmedewerker]]=1,Tb_Activiteiten[[#Headers],[Projectmedewerker]],"")))</f>
        <v/>
      </c>
      <c r="AN1499" t="str">
        <f>IF(ISNUMBER(FIND("arbeid",Methode_Keuze)),"",IF(ISNUMBER(FIND("arbeid",Methode_Keuze)),"",IF(Tb_Activiteiten[[#This Row],[Landbouwer]]=1,Tb_Activiteiten[[#Headers],[Landbouwer]],"")))</f>
        <v/>
      </c>
      <c r="AO1499" t="str">
        <f>IF(ISNUMBER(FIND("arbeid",Methode_Keuze)),"",IF(ISNUMBER(FIND("arbeid",Methode_Keuze)),"",IF(Tb_Activiteiten[[#This Row],[Adviseur]]=1,Tb_Activiteiten[[#Headers],[Adviseur]],"")))</f>
        <v/>
      </c>
      <c r="AP1499" t="str">
        <f>IF(ISNUMBER(FIND("arbeid",Methode_Keuze)),"",IF(ISNUMBER(FIND("arbeid",Methode_Keuze)),"",IF(Tb_Activiteiten[[#This Row],[Projectleider/Expert]]=1,Tb_Activiteiten[[#Headers],[Projectleider/Expert]],"")))</f>
        <v/>
      </c>
      <c r="AQ1499" t="str">
        <f>IF(ISNUMBER(FIND("arbeid",Methode_Keuze)),"",IF(ISNUMBER(FIND("arbeid",Methode_Keuze)),"",IF(Tb_Activiteiten[[#This Row],[Arbeidskosten]]=1,Tb_Activiteiten[[#Headers],[Arbeidskosten]],"")))</f>
        <v/>
      </c>
      <c r="AR1499" t="str">
        <f>IF(ISNUMBER(FIND("arbeid",Methode_Keuze)),"",IF(ISNUMBER(FIND("arbeid",Methode_Keuze)),"",IF(Tb_Activiteiten[[#This Row],[Arbeidskosten op basis van IKS]]=1,Tb_Activiteiten[[#Headers],[Arbeidskosten op basis van IKS]],"")))</f>
        <v/>
      </c>
      <c r="AS1499" t="str">
        <f>IF(ISNUMBER(FIND("overige",Methode_Keuze)),"",IF(Tb_Activiteiten[[#This Row],[Kosten derden exclusief btw]]=1,Tb_Activiteiten[[#Headers],[Kosten derden exclusief btw]],""))</f>
        <v/>
      </c>
      <c r="AT1499" t="str">
        <f>IF(ISNUMBER(FIND("overige",Methode_Keuze)),"",IF(Tb_Activiteiten[[#This Row],[Niet verrekenbare btw]]=1,Tb_Activiteiten[[#Headers],[Niet verrekenbare btw]],""))</f>
        <v/>
      </c>
      <c r="AU1499" t="str">
        <f>IF(ISNUMBER(FIND("overige",Methode_Keuze)),"",IF(Tb_Activiteiten[[#This Row],[Grondkosten]]=1,Tb_Activiteiten[[#Headers],[Grondkosten]],""))</f>
        <v/>
      </c>
      <c r="AV1499" t="str">
        <f>IF(ISNUMBER(FIND("overige",Methode_Keuze)),"",IF(Tb_Activiteiten[[#This Row],[Bijdrage in natura (overige)]]=1,Tb_Activiteiten[[#Headers],[Bijdrage in natura (overige)]],""))</f>
        <v/>
      </c>
      <c r="AW1499" t="str">
        <f>IF(ISNUMBER(FIND("overige",Methode_Keuze)),"",IF(Tb_Activiteiten[[#This Row],[Bijdrage in natura (vrijwilligers)]]=1,Tb_Activiteiten[[#Headers],[Bijdrage in natura (vrijwilligers)]],""))</f>
        <v/>
      </c>
      <c r="AX1499" t="str">
        <f>IF(ISNUMBER(FIND("overige",Methode_Keuze)),"",IF(Tb_Activiteiten[[#This Row],[Afschrijvingskosten]]=1,Tb_Activiteiten[[#Headers],[Afschrijvingskosten]],""))</f>
        <v/>
      </c>
      <c r="AY1499" t="str">
        <f>IF(ISNUMBER(FIND("overige",Methode_Keuze)),"",IF(Tb_Activiteiten[[#This Row],[Vergoeding]]=1,Tb_Activiteiten[[#Headers],[Vergoeding]],""))</f>
        <v/>
      </c>
      <c r="AZ1499" t="str">
        <f>IF(ISNUMBER(FIND("arbeid",Methode_Keuze)),"",IF(Tb_Activiteiten[[#This Row],[Arbeidskosten - vast tarief (excl eigen arbeid)]]=1,Tb_Activiteiten[[#Headers],[Arbeidskosten - vast tarief (excl eigen arbeid)]],""))</f>
        <v/>
      </c>
      <c r="BA1499" t="str">
        <f>IF(ISNUMBER(FIND("overige",Methode_Keuze)),"",IF(Tb_Activiteiten[[#This Row],[Overige kosten]]=1,Tb_Activiteiten[[#Headers],[Overige kosten]],""))</f>
        <v/>
      </c>
    </row>
    <row r="1500" spans="13:53" x14ac:dyDescent="0.25">
      <c r="O1500" s="56"/>
      <c r="Q1500" t="str">
        <f>IFERROR(IF(VLOOKUP(Tb_Activiteiten[[#This Row],[Openstelling]],Tb_Openstelling[],2,0)=1,1,""),"")</f>
        <v/>
      </c>
      <c r="AJ1500" s="56"/>
      <c r="AK1500" t="str">
        <f>IF(ISNUMBER(FIND("arbeid",Methode_Keuze)),"",IF(ISNUMBER(FIND("arbeid",Methode_Keuze)),"",IF(Tb_Activiteiten[[#This Row],[Loonkosten]]=1,Tb_Activiteiten[[#Headers],[Loonkosten]],"")))</f>
        <v/>
      </c>
      <c r="AL1500" t="str">
        <f>IF(ISNUMBER(FIND("arbeid",Methode_Keuze)),"",IF(ISNUMBER(FIND("arbeid",Methode_Keuze)),"",IF(Tb_Activiteiten[[#This Row],[Eigen arbeid]]=1,Tb_Activiteiten[[#Headers],[Eigen arbeid]],"")))</f>
        <v/>
      </c>
      <c r="AM1500" t="str">
        <f>IF(ISNUMBER(FIND("arbeid",Methode_Keuze)),"",IF(ISNUMBER(FIND("arbeid",Methode_Keuze)),"",IF(Tb_Activiteiten[[#This Row],[Projectmedewerker]]=1,Tb_Activiteiten[[#Headers],[Projectmedewerker]],"")))</f>
        <v/>
      </c>
      <c r="AN1500" t="str">
        <f>IF(ISNUMBER(FIND("arbeid",Methode_Keuze)),"",IF(ISNUMBER(FIND("arbeid",Methode_Keuze)),"",IF(Tb_Activiteiten[[#This Row],[Landbouwer]]=1,Tb_Activiteiten[[#Headers],[Landbouwer]],"")))</f>
        <v/>
      </c>
      <c r="AO1500" t="str">
        <f>IF(ISNUMBER(FIND("arbeid",Methode_Keuze)),"",IF(ISNUMBER(FIND("arbeid",Methode_Keuze)),"",IF(Tb_Activiteiten[[#This Row],[Adviseur]]=1,Tb_Activiteiten[[#Headers],[Adviseur]],"")))</f>
        <v/>
      </c>
      <c r="AP1500" t="str">
        <f>IF(ISNUMBER(FIND("arbeid",Methode_Keuze)),"",IF(ISNUMBER(FIND("arbeid",Methode_Keuze)),"",IF(Tb_Activiteiten[[#This Row],[Projectleider/Expert]]=1,Tb_Activiteiten[[#Headers],[Projectleider/Expert]],"")))</f>
        <v/>
      </c>
      <c r="AQ1500" t="str">
        <f>IF(ISNUMBER(FIND("arbeid",Methode_Keuze)),"",IF(ISNUMBER(FIND("arbeid",Methode_Keuze)),"",IF(Tb_Activiteiten[[#This Row],[Arbeidskosten]]=1,Tb_Activiteiten[[#Headers],[Arbeidskosten]],"")))</f>
        <v/>
      </c>
      <c r="AR1500" t="str">
        <f>IF(ISNUMBER(FIND("arbeid",Methode_Keuze)),"",IF(ISNUMBER(FIND("arbeid",Methode_Keuze)),"",IF(Tb_Activiteiten[[#This Row],[Arbeidskosten op basis van IKS]]=1,Tb_Activiteiten[[#Headers],[Arbeidskosten op basis van IKS]],"")))</f>
        <v/>
      </c>
      <c r="AS1500" t="str">
        <f>IF(ISNUMBER(FIND("overige",Methode_Keuze)),"",IF(Tb_Activiteiten[[#This Row],[Kosten derden exclusief btw]]=1,Tb_Activiteiten[[#Headers],[Kosten derden exclusief btw]],""))</f>
        <v/>
      </c>
      <c r="AT1500" t="str">
        <f>IF(ISNUMBER(FIND("overige",Methode_Keuze)),"",IF(Tb_Activiteiten[[#This Row],[Niet verrekenbare btw]]=1,Tb_Activiteiten[[#Headers],[Niet verrekenbare btw]],""))</f>
        <v/>
      </c>
      <c r="AU1500" t="str">
        <f>IF(ISNUMBER(FIND("overige",Methode_Keuze)),"",IF(Tb_Activiteiten[[#This Row],[Grondkosten]]=1,Tb_Activiteiten[[#Headers],[Grondkosten]],""))</f>
        <v/>
      </c>
      <c r="AV1500" t="str">
        <f>IF(ISNUMBER(FIND("overige",Methode_Keuze)),"",IF(Tb_Activiteiten[[#This Row],[Bijdrage in natura (overige)]]=1,Tb_Activiteiten[[#Headers],[Bijdrage in natura (overige)]],""))</f>
        <v/>
      </c>
      <c r="AW1500" t="str">
        <f>IF(ISNUMBER(FIND("overige",Methode_Keuze)),"",IF(Tb_Activiteiten[[#This Row],[Bijdrage in natura (vrijwilligers)]]=1,Tb_Activiteiten[[#Headers],[Bijdrage in natura (vrijwilligers)]],""))</f>
        <v/>
      </c>
      <c r="AX1500" t="str">
        <f>IF(ISNUMBER(FIND("overige",Methode_Keuze)),"",IF(Tb_Activiteiten[[#This Row],[Afschrijvingskosten]]=1,Tb_Activiteiten[[#Headers],[Afschrijvingskosten]],""))</f>
        <v/>
      </c>
      <c r="AY1500" t="str">
        <f>IF(ISNUMBER(FIND("overige",Methode_Keuze)),"",IF(Tb_Activiteiten[[#This Row],[Vergoeding]]=1,Tb_Activiteiten[[#Headers],[Vergoeding]],""))</f>
        <v/>
      </c>
      <c r="AZ1500" t="str">
        <f>IF(ISNUMBER(FIND("arbeid",Methode_Keuze)),"",IF(Tb_Activiteiten[[#This Row],[Arbeidskosten - vast tarief (excl eigen arbeid)]]=1,Tb_Activiteiten[[#Headers],[Arbeidskosten - vast tarief (excl eigen arbeid)]],""))</f>
        <v/>
      </c>
      <c r="BA1500" t="str">
        <f>IF(ISNUMBER(FIND("overige",Methode_Keuze)),"",IF(Tb_Activiteiten[[#This Row],[Overige kosten]]=1,Tb_Activiteiten[[#Headers],[Overige kosten]],""))</f>
        <v/>
      </c>
    </row>
    <row r="1501" spans="13:53" x14ac:dyDescent="0.25">
      <c r="M1501" s="139"/>
      <c r="N1501" s="139"/>
      <c r="O1501" s="139"/>
      <c r="P1501" s="139"/>
      <c r="R1501" s="139"/>
      <c r="S1501" s="139"/>
      <c r="T1501" s="139"/>
      <c r="U1501" s="139"/>
      <c r="V1501" s="139"/>
      <c r="W1501" s="139"/>
      <c r="X1501" s="139"/>
      <c r="Y1501" s="139"/>
      <c r="Z1501" s="139"/>
      <c r="AA1501" s="139"/>
      <c r="AB1501" s="139"/>
      <c r="AC1501" s="139"/>
      <c r="AD1501" s="139"/>
      <c r="AE1501" s="139"/>
      <c r="AF1501" s="139"/>
      <c r="AG1501" s="139"/>
      <c r="AH1501" s="139"/>
      <c r="AI1501" s="139"/>
      <c r="AJ1501" s="139"/>
      <c r="AK1501" s="139"/>
    </row>
    <row r="1502" spans="13:53" x14ac:dyDescent="0.25">
      <c r="M1502" s="139"/>
      <c r="N1502" s="139"/>
      <c r="O1502" s="139"/>
      <c r="P1502" s="139"/>
      <c r="R1502" s="139"/>
      <c r="S1502" s="139"/>
      <c r="T1502" s="139"/>
      <c r="U1502" s="139"/>
      <c r="V1502" s="139"/>
      <c r="W1502" s="139"/>
      <c r="X1502" s="139"/>
      <c r="Y1502" s="139"/>
      <c r="Z1502" s="139"/>
      <c r="AA1502" s="139"/>
      <c r="AB1502" s="139"/>
      <c r="AC1502" s="139"/>
      <c r="AD1502" s="139"/>
      <c r="AE1502" s="139"/>
      <c r="AF1502" s="139"/>
      <c r="AG1502" s="139"/>
      <c r="AH1502" s="139"/>
      <c r="AI1502" s="139"/>
      <c r="AJ1502" s="139"/>
      <c r="AK1502" s="139"/>
    </row>
    <row r="1503" spans="13:53" x14ac:dyDescent="0.25">
      <c r="M1503" s="139"/>
      <c r="N1503" s="139"/>
      <c r="O1503" s="139"/>
      <c r="P1503" s="139"/>
      <c r="R1503" s="139"/>
      <c r="S1503" s="139"/>
      <c r="T1503" s="139"/>
      <c r="U1503" s="139"/>
      <c r="V1503" s="139"/>
      <c r="W1503" s="139"/>
      <c r="X1503" s="139"/>
      <c r="Y1503" s="139"/>
      <c r="Z1503" s="139"/>
      <c r="AA1503" s="139"/>
      <c r="AB1503" s="139"/>
      <c r="AC1503" s="139"/>
      <c r="AD1503" s="139"/>
      <c r="AE1503" s="139"/>
      <c r="AF1503" s="139"/>
      <c r="AG1503" s="139"/>
      <c r="AH1503" s="139"/>
      <c r="AI1503" s="139"/>
      <c r="AJ1503" s="139"/>
      <c r="AK1503" s="139"/>
    </row>
    <row r="1504" spans="13:53" x14ac:dyDescent="0.25">
      <c r="M1504" s="139"/>
      <c r="N1504" s="139"/>
      <c r="O1504" s="139"/>
      <c r="P1504" s="139"/>
      <c r="R1504" s="139"/>
      <c r="S1504" s="139"/>
      <c r="T1504" s="139"/>
      <c r="U1504" s="139"/>
      <c r="V1504" s="139"/>
      <c r="W1504" s="139"/>
      <c r="X1504" s="139"/>
      <c r="Y1504" s="139"/>
      <c r="Z1504" s="139"/>
      <c r="AA1504" s="139"/>
      <c r="AB1504" s="139"/>
      <c r="AC1504" s="139"/>
      <c r="AD1504" s="139"/>
      <c r="AE1504" s="139"/>
      <c r="AF1504" s="139"/>
      <c r="AG1504" s="139"/>
      <c r="AH1504" s="139"/>
      <c r="AI1504" s="139"/>
      <c r="AJ1504" s="139"/>
      <c r="AK1504" s="139"/>
    </row>
    <row r="1505" spans="13:37" x14ac:dyDescent="0.25">
      <c r="M1505" s="139"/>
      <c r="N1505" s="139"/>
      <c r="O1505" s="139"/>
      <c r="P1505" s="139"/>
      <c r="R1505" s="139"/>
      <c r="S1505" s="139"/>
      <c r="T1505" s="139"/>
      <c r="U1505" s="139"/>
      <c r="V1505" s="139"/>
      <c r="W1505" s="139"/>
      <c r="X1505" s="139"/>
      <c r="Y1505" s="139"/>
      <c r="Z1505" s="139"/>
      <c r="AA1505" s="139"/>
      <c r="AB1505" s="139"/>
      <c r="AC1505" s="139"/>
      <c r="AD1505" s="139"/>
      <c r="AE1505" s="139"/>
      <c r="AF1505" s="139"/>
      <c r="AG1505" s="139"/>
      <c r="AH1505" s="139"/>
      <c r="AI1505" s="139"/>
      <c r="AJ1505" s="139"/>
      <c r="AK1505" s="139"/>
    </row>
    <row r="1506" spans="13:37" x14ac:dyDescent="0.25">
      <c r="M1506" s="139"/>
      <c r="N1506" s="139"/>
      <c r="O1506" s="139"/>
      <c r="P1506" s="139"/>
      <c r="R1506" s="139"/>
      <c r="S1506" s="139"/>
      <c r="T1506" s="139"/>
      <c r="U1506" s="139"/>
      <c r="V1506" s="139"/>
      <c r="W1506" s="139"/>
      <c r="X1506" s="139"/>
      <c r="Y1506" s="139"/>
      <c r="Z1506" s="139"/>
      <c r="AA1506" s="139"/>
      <c r="AB1506" s="139"/>
      <c r="AC1506" s="139"/>
      <c r="AD1506" s="139"/>
      <c r="AE1506" s="139"/>
      <c r="AF1506" s="139"/>
      <c r="AG1506" s="139"/>
      <c r="AH1506" s="139"/>
      <c r="AI1506" s="139"/>
      <c r="AJ1506" s="139"/>
      <c r="AK1506" s="139"/>
    </row>
    <row r="1507" spans="13:37" x14ac:dyDescent="0.25">
      <c r="M1507" s="139"/>
      <c r="N1507" s="139"/>
      <c r="O1507" s="139"/>
      <c r="P1507" s="139"/>
      <c r="R1507" s="139"/>
      <c r="S1507" s="139"/>
      <c r="T1507" s="139"/>
      <c r="U1507" s="139"/>
      <c r="V1507" s="139"/>
      <c r="W1507" s="139"/>
      <c r="X1507" s="139"/>
      <c r="Y1507" s="139"/>
      <c r="Z1507" s="139"/>
      <c r="AA1507" s="139"/>
      <c r="AB1507" s="139"/>
      <c r="AC1507" s="139"/>
      <c r="AD1507" s="139"/>
      <c r="AE1507" s="139"/>
      <c r="AF1507" s="139"/>
      <c r="AG1507" s="139"/>
      <c r="AH1507" s="139"/>
      <c r="AI1507" s="139"/>
      <c r="AJ1507" s="139"/>
      <c r="AK1507" s="139"/>
    </row>
    <row r="1508" spans="13:37" x14ac:dyDescent="0.25">
      <c r="M1508" s="139"/>
      <c r="N1508" s="139"/>
      <c r="O1508" s="139"/>
      <c r="P1508" s="139"/>
      <c r="R1508" s="139"/>
      <c r="S1508" s="139"/>
      <c r="T1508" s="139"/>
      <c r="U1508" s="139"/>
      <c r="V1508" s="139"/>
      <c r="W1508" s="139"/>
      <c r="X1508" s="139"/>
      <c r="Y1508" s="139"/>
      <c r="Z1508" s="139"/>
      <c r="AA1508" s="139"/>
      <c r="AB1508" s="139"/>
      <c r="AC1508" s="139"/>
      <c r="AD1508" s="139"/>
      <c r="AE1508" s="139"/>
      <c r="AF1508" s="139"/>
      <c r="AG1508" s="139"/>
      <c r="AH1508" s="139"/>
      <c r="AI1508" s="139"/>
      <c r="AJ1508" s="139"/>
      <c r="AK1508" s="139"/>
    </row>
    <row r="1509" spans="13:37" x14ac:dyDescent="0.25">
      <c r="M1509" s="139"/>
      <c r="N1509" s="139"/>
      <c r="O1509" s="139"/>
      <c r="P1509" s="139"/>
      <c r="R1509" s="139"/>
      <c r="S1509" s="139"/>
      <c r="T1509" s="139"/>
      <c r="U1509" s="139"/>
      <c r="V1509" s="139"/>
      <c r="W1509" s="139"/>
      <c r="X1509" s="139"/>
      <c r="Y1509" s="139"/>
      <c r="Z1509" s="139"/>
      <c r="AA1509" s="139"/>
      <c r="AB1509" s="139"/>
      <c r="AC1509" s="139"/>
      <c r="AD1509" s="139"/>
      <c r="AE1509" s="139"/>
      <c r="AF1509" s="139"/>
      <c r="AG1509" s="139"/>
      <c r="AH1509" s="139"/>
      <c r="AI1509" s="139"/>
      <c r="AJ1509" s="139"/>
      <c r="AK1509" s="139"/>
    </row>
    <row r="1510" spans="13:37" x14ac:dyDescent="0.25">
      <c r="M1510" s="139"/>
      <c r="N1510" s="139"/>
      <c r="O1510" s="139"/>
      <c r="P1510" s="139"/>
      <c r="R1510" s="139"/>
      <c r="S1510" s="139"/>
      <c r="T1510" s="139"/>
      <c r="U1510" s="139"/>
      <c r="V1510" s="139"/>
      <c r="W1510" s="139"/>
      <c r="X1510" s="139"/>
      <c r="Y1510" s="139"/>
      <c r="Z1510" s="139"/>
      <c r="AA1510" s="139"/>
      <c r="AB1510" s="139"/>
      <c r="AC1510" s="139"/>
      <c r="AD1510" s="139"/>
      <c r="AE1510" s="139"/>
      <c r="AF1510" s="139"/>
      <c r="AG1510" s="139"/>
      <c r="AH1510" s="139"/>
      <c r="AI1510" s="139"/>
      <c r="AJ1510" s="139"/>
      <c r="AK1510" s="139"/>
    </row>
    <row r="1511" spans="13:37" x14ac:dyDescent="0.25">
      <c r="M1511" s="139"/>
      <c r="N1511" s="139"/>
      <c r="O1511" s="139"/>
      <c r="P1511" s="139"/>
      <c r="R1511" s="139"/>
      <c r="S1511" s="139"/>
      <c r="T1511" s="139"/>
      <c r="U1511" s="139"/>
      <c r="V1511" s="139"/>
      <c r="W1511" s="139"/>
      <c r="X1511" s="139"/>
      <c r="Y1511" s="139"/>
      <c r="Z1511" s="139"/>
      <c r="AA1511" s="139"/>
      <c r="AB1511" s="139"/>
      <c r="AC1511" s="139"/>
      <c r="AD1511" s="139"/>
      <c r="AE1511" s="139"/>
      <c r="AF1511" s="139"/>
      <c r="AG1511" s="139"/>
      <c r="AH1511" s="139"/>
      <c r="AI1511" s="139"/>
      <c r="AJ1511" s="139"/>
      <c r="AK1511" s="139"/>
    </row>
    <row r="1512" spans="13:37" x14ac:dyDescent="0.25">
      <c r="M1512" s="139"/>
      <c r="N1512" s="139"/>
      <c r="O1512" s="139"/>
      <c r="P1512" s="139"/>
      <c r="R1512" s="139"/>
      <c r="S1512" s="139"/>
      <c r="T1512" s="139"/>
      <c r="U1512" s="139"/>
      <c r="V1512" s="139"/>
      <c r="W1512" s="139"/>
      <c r="X1512" s="139"/>
      <c r="Y1512" s="139"/>
      <c r="Z1512" s="139"/>
      <c r="AA1512" s="139"/>
      <c r="AB1512" s="139"/>
      <c r="AC1512" s="139"/>
      <c r="AD1512" s="139"/>
      <c r="AE1512" s="139"/>
      <c r="AF1512" s="139"/>
      <c r="AG1512" s="139"/>
      <c r="AH1512" s="139"/>
      <c r="AI1512" s="139"/>
      <c r="AJ1512" s="139"/>
      <c r="AK1512" s="139"/>
    </row>
    <row r="1513" spans="13:37" x14ac:dyDescent="0.25">
      <c r="M1513" s="139"/>
      <c r="N1513" s="139"/>
      <c r="O1513" s="139"/>
      <c r="P1513" s="139"/>
      <c r="R1513" s="139"/>
      <c r="S1513" s="139"/>
      <c r="T1513" s="139"/>
      <c r="U1513" s="139"/>
      <c r="V1513" s="139"/>
      <c r="W1513" s="139"/>
      <c r="X1513" s="139"/>
      <c r="Y1513" s="139"/>
      <c r="Z1513" s="139"/>
      <c r="AA1513" s="139"/>
      <c r="AB1513" s="139"/>
      <c r="AC1513" s="139"/>
      <c r="AD1513" s="139"/>
      <c r="AE1513" s="139"/>
      <c r="AF1513" s="139"/>
      <c r="AG1513" s="139"/>
      <c r="AH1513" s="139"/>
      <c r="AI1513" s="139"/>
      <c r="AJ1513" s="139"/>
      <c r="AK1513" s="139"/>
    </row>
    <row r="1514" spans="13:37" x14ac:dyDescent="0.25">
      <c r="M1514" s="139"/>
      <c r="N1514" s="139"/>
      <c r="O1514" s="139"/>
      <c r="P1514" s="139"/>
      <c r="R1514" s="139"/>
      <c r="S1514" s="139"/>
      <c r="T1514" s="139"/>
      <c r="U1514" s="139"/>
      <c r="V1514" s="139"/>
      <c r="W1514" s="139"/>
      <c r="X1514" s="139"/>
      <c r="Y1514" s="139"/>
      <c r="Z1514" s="139"/>
      <c r="AA1514" s="139"/>
      <c r="AB1514" s="139"/>
      <c r="AC1514" s="139"/>
      <c r="AD1514" s="139"/>
      <c r="AE1514" s="139"/>
      <c r="AF1514" s="139"/>
      <c r="AG1514" s="139"/>
      <c r="AH1514" s="139"/>
      <c r="AI1514" s="139"/>
      <c r="AJ1514" s="139"/>
      <c r="AK1514" s="139"/>
    </row>
    <row r="1515" spans="13:37" x14ac:dyDescent="0.25">
      <c r="M1515" s="139"/>
      <c r="N1515" s="139"/>
      <c r="O1515" s="139"/>
      <c r="P1515" s="139"/>
      <c r="R1515" s="139"/>
      <c r="S1515" s="139"/>
      <c r="T1515" s="139"/>
      <c r="U1515" s="139"/>
      <c r="V1515" s="139"/>
      <c r="W1515" s="139"/>
      <c r="X1515" s="139"/>
      <c r="Y1515" s="139"/>
      <c r="Z1515" s="139"/>
      <c r="AA1515" s="139"/>
      <c r="AB1515" s="139"/>
      <c r="AC1515" s="139"/>
      <c r="AD1515" s="139"/>
      <c r="AE1515" s="139"/>
      <c r="AF1515" s="139"/>
      <c r="AG1515" s="139"/>
      <c r="AH1515" s="139"/>
      <c r="AI1515" s="139"/>
      <c r="AJ1515" s="139"/>
      <c r="AK1515" s="139"/>
    </row>
    <row r="1516" spans="13:37" x14ac:dyDescent="0.25">
      <c r="M1516" s="139"/>
      <c r="N1516" s="139"/>
      <c r="O1516" s="139"/>
      <c r="P1516" s="139"/>
      <c r="R1516" s="139"/>
      <c r="S1516" s="139"/>
      <c r="T1516" s="139"/>
      <c r="U1516" s="139"/>
      <c r="V1516" s="139"/>
      <c r="W1516" s="139"/>
      <c r="X1516" s="139"/>
      <c r="Y1516" s="139"/>
      <c r="Z1516" s="139"/>
      <c r="AA1516" s="139"/>
      <c r="AB1516" s="139"/>
      <c r="AC1516" s="139"/>
      <c r="AD1516" s="139"/>
      <c r="AE1516" s="139"/>
      <c r="AF1516" s="139"/>
      <c r="AG1516" s="139"/>
      <c r="AH1516" s="139"/>
      <c r="AI1516" s="139"/>
      <c r="AJ1516" s="139"/>
      <c r="AK1516" s="139"/>
    </row>
    <row r="1517" spans="13:37" x14ac:dyDescent="0.25">
      <c r="M1517" s="139"/>
      <c r="N1517" s="139"/>
      <c r="O1517" s="139"/>
      <c r="P1517" s="139"/>
      <c r="R1517" s="139"/>
      <c r="S1517" s="139"/>
      <c r="T1517" s="139"/>
      <c r="U1517" s="139"/>
      <c r="V1517" s="139"/>
      <c r="W1517" s="139"/>
      <c r="X1517" s="139"/>
      <c r="Y1517" s="139"/>
      <c r="Z1517" s="139"/>
      <c r="AA1517" s="139"/>
      <c r="AB1517" s="139"/>
      <c r="AC1517" s="139"/>
      <c r="AD1517" s="139"/>
      <c r="AE1517" s="139"/>
      <c r="AF1517" s="139"/>
      <c r="AG1517" s="139"/>
      <c r="AH1517" s="139"/>
      <c r="AI1517" s="139"/>
      <c r="AJ1517" s="139"/>
      <c r="AK1517" s="139"/>
    </row>
    <row r="1518" spans="13:37" x14ac:dyDescent="0.25">
      <c r="M1518" s="139"/>
      <c r="N1518" s="139"/>
      <c r="O1518" s="139"/>
      <c r="P1518" s="139"/>
      <c r="R1518" s="139"/>
      <c r="S1518" s="139"/>
      <c r="T1518" s="139"/>
      <c r="U1518" s="139"/>
      <c r="V1518" s="139"/>
      <c r="W1518" s="139"/>
      <c r="X1518" s="139"/>
      <c r="Y1518" s="139"/>
      <c r="Z1518" s="139"/>
      <c r="AA1518" s="139"/>
      <c r="AB1518" s="139"/>
      <c r="AC1518" s="139"/>
      <c r="AD1518" s="139"/>
      <c r="AE1518" s="139"/>
      <c r="AF1518" s="139"/>
      <c r="AG1518" s="139"/>
      <c r="AH1518" s="139"/>
      <c r="AI1518" s="139"/>
      <c r="AJ1518" s="139"/>
      <c r="AK1518" s="139"/>
    </row>
    <row r="1519" spans="13:37" x14ac:dyDescent="0.25">
      <c r="M1519" s="139"/>
      <c r="N1519" s="139"/>
      <c r="O1519" s="139"/>
      <c r="P1519" s="139"/>
      <c r="R1519" s="139"/>
      <c r="S1519" s="139"/>
      <c r="T1519" s="139"/>
      <c r="U1519" s="139"/>
      <c r="V1519" s="139"/>
      <c r="W1519" s="139"/>
      <c r="X1519" s="139"/>
      <c r="Y1519" s="139"/>
      <c r="Z1519" s="139"/>
      <c r="AA1519" s="139"/>
      <c r="AB1519" s="139"/>
      <c r="AC1519" s="139"/>
      <c r="AD1519" s="139"/>
      <c r="AE1519" s="139"/>
      <c r="AF1519" s="139"/>
      <c r="AG1519" s="139"/>
      <c r="AH1519" s="139"/>
      <c r="AI1519" s="139"/>
      <c r="AJ1519" s="139"/>
      <c r="AK1519" s="139"/>
    </row>
    <row r="1520" spans="13:37" x14ac:dyDescent="0.25">
      <c r="M1520" s="139"/>
      <c r="N1520" s="139"/>
      <c r="O1520" s="139"/>
      <c r="P1520" s="139"/>
      <c r="R1520" s="139"/>
      <c r="S1520" s="139"/>
      <c r="T1520" s="139"/>
      <c r="U1520" s="139"/>
      <c r="V1520" s="139"/>
      <c r="W1520" s="139"/>
      <c r="X1520" s="139"/>
      <c r="Y1520" s="139"/>
      <c r="Z1520" s="139"/>
      <c r="AA1520" s="139"/>
      <c r="AB1520" s="139"/>
      <c r="AC1520" s="139"/>
      <c r="AD1520" s="139"/>
      <c r="AE1520" s="139"/>
      <c r="AF1520" s="139"/>
      <c r="AG1520" s="139"/>
      <c r="AH1520" s="139"/>
      <c r="AI1520" s="139"/>
      <c r="AJ1520" s="139"/>
      <c r="AK1520" s="139"/>
    </row>
    <row r="1521" spans="13:37" x14ac:dyDescent="0.25">
      <c r="M1521" s="139"/>
      <c r="N1521" s="139"/>
      <c r="O1521" s="139"/>
      <c r="P1521" s="139"/>
      <c r="R1521" s="139"/>
      <c r="S1521" s="139"/>
      <c r="T1521" s="139"/>
      <c r="U1521" s="139"/>
      <c r="V1521" s="139"/>
      <c r="W1521" s="139"/>
      <c r="X1521" s="139"/>
      <c r="Y1521" s="139"/>
      <c r="Z1521" s="139"/>
      <c r="AA1521" s="139"/>
      <c r="AB1521" s="139"/>
      <c r="AC1521" s="139"/>
      <c r="AD1521" s="139"/>
      <c r="AE1521" s="139"/>
      <c r="AF1521" s="139"/>
      <c r="AG1521" s="139"/>
      <c r="AH1521" s="139"/>
      <c r="AI1521" s="139"/>
      <c r="AJ1521" s="139"/>
      <c r="AK1521" s="139"/>
    </row>
    <row r="1522" spans="13:37" x14ac:dyDescent="0.25">
      <c r="M1522" s="139"/>
      <c r="N1522" s="139"/>
      <c r="O1522" s="139"/>
      <c r="P1522" s="139"/>
      <c r="R1522" s="139"/>
      <c r="S1522" s="139"/>
      <c r="T1522" s="139"/>
      <c r="U1522" s="139"/>
      <c r="V1522" s="139"/>
      <c r="W1522" s="139"/>
      <c r="X1522" s="139"/>
      <c r="Y1522" s="139"/>
      <c r="Z1522" s="139"/>
      <c r="AA1522" s="139"/>
      <c r="AB1522" s="139"/>
      <c r="AC1522" s="139"/>
      <c r="AD1522" s="139"/>
      <c r="AE1522" s="139"/>
      <c r="AF1522" s="139"/>
      <c r="AG1522" s="139"/>
      <c r="AH1522" s="139"/>
      <c r="AI1522" s="139"/>
      <c r="AJ1522" s="139"/>
      <c r="AK1522" s="139"/>
    </row>
    <row r="1523" spans="13:37" x14ac:dyDescent="0.25">
      <c r="M1523" s="139"/>
      <c r="N1523" s="139"/>
      <c r="O1523" s="139"/>
      <c r="P1523" s="139"/>
      <c r="R1523" s="139"/>
      <c r="S1523" s="139"/>
      <c r="T1523" s="139"/>
      <c r="U1523" s="139"/>
      <c r="V1523" s="139"/>
      <c r="W1523" s="139"/>
      <c r="X1523" s="139"/>
      <c r="Y1523" s="139"/>
      <c r="Z1523" s="139"/>
      <c r="AA1523" s="139"/>
      <c r="AB1523" s="139"/>
      <c r="AC1523" s="139"/>
      <c r="AD1523" s="139"/>
      <c r="AE1523" s="139"/>
      <c r="AF1523" s="139"/>
      <c r="AG1523" s="139"/>
      <c r="AH1523" s="139"/>
      <c r="AI1523" s="139"/>
      <c r="AJ1523" s="139"/>
      <c r="AK1523" s="139"/>
    </row>
    <row r="1524" spans="13:37" x14ac:dyDescent="0.25">
      <c r="M1524" s="139"/>
      <c r="N1524" s="139"/>
      <c r="O1524" s="139"/>
      <c r="P1524" s="139"/>
      <c r="R1524" s="139"/>
      <c r="S1524" s="139"/>
      <c r="T1524" s="139"/>
      <c r="U1524" s="139"/>
      <c r="V1524" s="139"/>
      <c r="W1524" s="139"/>
      <c r="X1524" s="139"/>
      <c r="Y1524" s="139"/>
      <c r="Z1524" s="139"/>
      <c r="AA1524" s="139"/>
      <c r="AB1524" s="139"/>
      <c r="AC1524" s="139"/>
      <c r="AD1524" s="139"/>
      <c r="AE1524" s="139"/>
      <c r="AF1524" s="139"/>
      <c r="AG1524" s="139"/>
      <c r="AH1524" s="139"/>
      <c r="AI1524" s="139"/>
      <c r="AJ1524" s="139"/>
      <c r="AK1524" s="139"/>
    </row>
    <row r="1525" spans="13:37" x14ac:dyDescent="0.25">
      <c r="M1525" s="139"/>
      <c r="N1525" s="139"/>
      <c r="O1525" s="139"/>
      <c r="P1525" s="139"/>
      <c r="R1525" s="139"/>
      <c r="S1525" s="139"/>
      <c r="T1525" s="139"/>
      <c r="U1525" s="139"/>
      <c r="V1525" s="139"/>
      <c r="W1525" s="139"/>
      <c r="X1525" s="139"/>
      <c r="Y1525" s="139"/>
      <c r="Z1525" s="139"/>
      <c r="AA1525" s="139"/>
      <c r="AB1525" s="139"/>
      <c r="AC1525" s="139"/>
      <c r="AD1525" s="139"/>
      <c r="AE1525" s="139"/>
      <c r="AF1525" s="139"/>
      <c r="AG1525" s="139"/>
      <c r="AH1525" s="139"/>
      <c r="AI1525" s="139"/>
      <c r="AJ1525" s="139"/>
      <c r="AK1525" s="139"/>
    </row>
    <row r="1526" spans="13:37" x14ac:dyDescent="0.25">
      <c r="M1526" s="139"/>
      <c r="N1526" s="139"/>
      <c r="O1526" s="139"/>
      <c r="P1526" s="139"/>
      <c r="R1526" s="139"/>
      <c r="S1526" s="139"/>
      <c r="T1526" s="139"/>
      <c r="U1526" s="139"/>
      <c r="V1526" s="139"/>
      <c r="W1526" s="139"/>
      <c r="X1526" s="139"/>
      <c r="Y1526" s="139"/>
      <c r="Z1526" s="139"/>
      <c r="AA1526" s="139"/>
      <c r="AB1526" s="139"/>
      <c r="AC1526" s="139"/>
      <c r="AD1526" s="139"/>
      <c r="AE1526" s="139"/>
      <c r="AF1526" s="139"/>
      <c r="AG1526" s="139"/>
      <c r="AH1526" s="139"/>
      <c r="AI1526" s="139"/>
      <c r="AJ1526" s="139"/>
      <c r="AK1526" s="139"/>
    </row>
    <row r="1527" spans="13:37" x14ac:dyDescent="0.25">
      <c r="M1527" s="139"/>
      <c r="N1527" s="139"/>
      <c r="O1527" s="139"/>
      <c r="P1527" s="139"/>
      <c r="R1527" s="139"/>
      <c r="S1527" s="139"/>
      <c r="T1527" s="139"/>
      <c r="U1527" s="139"/>
      <c r="V1527" s="139"/>
      <c r="W1527" s="139"/>
      <c r="X1527" s="139"/>
      <c r="Y1527" s="139"/>
      <c r="Z1527" s="139"/>
      <c r="AA1527" s="139"/>
      <c r="AB1527" s="139"/>
      <c r="AC1527" s="139"/>
      <c r="AD1527" s="139"/>
      <c r="AE1527" s="139"/>
      <c r="AF1527" s="139"/>
      <c r="AG1527" s="139"/>
      <c r="AH1527" s="139"/>
      <c r="AI1527" s="139"/>
      <c r="AJ1527" s="139"/>
      <c r="AK1527" s="139"/>
    </row>
    <row r="1528" spans="13:37" x14ac:dyDescent="0.25">
      <c r="M1528" s="139"/>
      <c r="N1528" s="139"/>
      <c r="O1528" s="139"/>
      <c r="P1528" s="139"/>
      <c r="R1528" s="139"/>
      <c r="S1528" s="139"/>
      <c r="T1528" s="139"/>
      <c r="U1528" s="139"/>
      <c r="V1528" s="139"/>
      <c r="W1528" s="139"/>
      <c r="X1528" s="139"/>
      <c r="Y1528" s="139"/>
      <c r="Z1528" s="139"/>
      <c r="AA1528" s="139"/>
      <c r="AB1528" s="139"/>
      <c r="AC1528" s="139"/>
      <c r="AD1528" s="139"/>
      <c r="AE1528" s="139"/>
      <c r="AF1528" s="139"/>
      <c r="AG1528" s="139"/>
      <c r="AH1528" s="139"/>
      <c r="AI1528" s="139"/>
      <c r="AJ1528" s="139"/>
      <c r="AK1528" s="139"/>
    </row>
    <row r="1529" spans="13:37" x14ac:dyDescent="0.25">
      <c r="M1529" s="139"/>
      <c r="N1529" s="139"/>
      <c r="O1529" s="139"/>
      <c r="P1529" s="139"/>
      <c r="R1529" s="139"/>
      <c r="S1529" s="139"/>
      <c r="T1529" s="139"/>
      <c r="U1529" s="139"/>
      <c r="V1529" s="139"/>
      <c r="W1529" s="139"/>
      <c r="X1529" s="139"/>
      <c r="Y1529" s="139"/>
      <c r="Z1529" s="139"/>
      <c r="AA1529" s="139"/>
      <c r="AB1529" s="139"/>
      <c r="AC1529" s="139"/>
      <c r="AD1529" s="139"/>
      <c r="AE1529" s="139"/>
      <c r="AF1529" s="139"/>
      <c r="AG1529" s="139"/>
      <c r="AH1529" s="139"/>
      <c r="AI1529" s="139"/>
      <c r="AJ1529" s="139"/>
      <c r="AK1529" s="139"/>
    </row>
    <row r="1530" spans="13:37" x14ac:dyDescent="0.25">
      <c r="M1530" s="139"/>
      <c r="N1530" s="139"/>
      <c r="O1530" s="139"/>
      <c r="P1530" s="139"/>
      <c r="R1530" s="139"/>
      <c r="S1530" s="139"/>
      <c r="T1530" s="139"/>
      <c r="U1530" s="139"/>
      <c r="V1530" s="139"/>
      <c r="W1530" s="139"/>
      <c r="X1530" s="139"/>
      <c r="Y1530" s="139"/>
      <c r="Z1530" s="139"/>
      <c r="AA1530" s="139"/>
      <c r="AB1530" s="139"/>
      <c r="AC1530" s="139"/>
      <c r="AD1530" s="139"/>
      <c r="AE1530" s="139"/>
      <c r="AF1530" s="139"/>
      <c r="AG1530" s="139"/>
      <c r="AH1530" s="139"/>
      <c r="AI1530" s="139"/>
      <c r="AJ1530" s="139"/>
      <c r="AK1530" s="139"/>
    </row>
    <row r="1531" spans="13:37" x14ac:dyDescent="0.25">
      <c r="M1531" s="139"/>
      <c r="N1531" s="139"/>
      <c r="O1531" s="139"/>
      <c r="P1531" s="139"/>
      <c r="R1531" s="139"/>
      <c r="S1531" s="139"/>
      <c r="T1531" s="139"/>
      <c r="U1531" s="139"/>
      <c r="V1531" s="139"/>
      <c r="W1531" s="139"/>
      <c r="X1531" s="139"/>
      <c r="Y1531" s="139"/>
      <c r="Z1531" s="139"/>
      <c r="AA1531" s="139"/>
      <c r="AB1531" s="139"/>
      <c r="AC1531" s="139"/>
      <c r="AD1531" s="139"/>
      <c r="AE1531" s="139"/>
      <c r="AF1531" s="139"/>
      <c r="AG1531" s="139"/>
      <c r="AH1531" s="139"/>
      <c r="AI1531" s="139"/>
      <c r="AJ1531" s="139"/>
      <c r="AK1531" s="139"/>
    </row>
    <row r="1532" spans="13:37" x14ac:dyDescent="0.25">
      <c r="M1532" s="139"/>
      <c r="N1532" s="139"/>
      <c r="O1532" s="139"/>
      <c r="P1532" s="139"/>
      <c r="R1532" s="139"/>
      <c r="S1532" s="139"/>
      <c r="T1532" s="139"/>
      <c r="U1532" s="139"/>
      <c r="V1532" s="139"/>
      <c r="W1532" s="139"/>
      <c r="X1532" s="139"/>
      <c r="Y1532" s="139"/>
      <c r="Z1532" s="139"/>
      <c r="AA1532" s="139"/>
      <c r="AB1532" s="139"/>
      <c r="AC1532" s="139"/>
      <c r="AD1532" s="139"/>
      <c r="AE1532" s="139"/>
      <c r="AF1532" s="139"/>
      <c r="AG1532" s="139"/>
      <c r="AH1532" s="139"/>
      <c r="AI1532" s="139"/>
      <c r="AJ1532" s="139"/>
      <c r="AK1532" s="139"/>
    </row>
    <row r="1533" spans="13:37" x14ac:dyDescent="0.25">
      <c r="M1533" s="139"/>
      <c r="N1533" s="139"/>
      <c r="O1533" s="139"/>
      <c r="P1533" s="139"/>
      <c r="R1533" s="139"/>
      <c r="S1533" s="139"/>
      <c r="T1533" s="139"/>
      <c r="U1533" s="139"/>
      <c r="V1533" s="139"/>
      <c r="W1533" s="139"/>
      <c r="X1533" s="139"/>
      <c r="Y1533" s="139"/>
      <c r="Z1533" s="139"/>
      <c r="AA1533" s="139"/>
      <c r="AB1533" s="139"/>
      <c r="AC1533" s="139"/>
      <c r="AD1533" s="139"/>
      <c r="AE1533" s="139"/>
      <c r="AF1533" s="139"/>
      <c r="AG1533" s="139"/>
      <c r="AH1533" s="139"/>
      <c r="AI1533" s="139"/>
      <c r="AJ1533" s="139"/>
      <c r="AK1533" s="139"/>
    </row>
    <row r="1534" spans="13:37" x14ac:dyDescent="0.25">
      <c r="M1534" s="139"/>
      <c r="N1534" s="139"/>
      <c r="O1534" s="139"/>
      <c r="P1534" s="139"/>
      <c r="R1534" s="139"/>
      <c r="S1534" s="139"/>
      <c r="T1534" s="139"/>
      <c r="U1534" s="139"/>
      <c r="V1534" s="139"/>
      <c r="W1534" s="139"/>
      <c r="X1534" s="139"/>
      <c r="Y1534" s="139"/>
      <c r="Z1534" s="139"/>
      <c r="AA1534" s="139"/>
      <c r="AB1534" s="139"/>
      <c r="AC1534" s="139"/>
      <c r="AD1534" s="139"/>
      <c r="AE1534" s="139"/>
      <c r="AF1534" s="139"/>
      <c r="AG1534" s="139"/>
      <c r="AH1534" s="139"/>
      <c r="AI1534" s="139"/>
      <c r="AJ1534" s="139"/>
      <c r="AK1534" s="139"/>
    </row>
    <row r="1535" spans="13:37" x14ac:dyDescent="0.25">
      <c r="M1535" s="139"/>
      <c r="N1535" s="139"/>
      <c r="O1535" s="139"/>
      <c r="P1535" s="139"/>
      <c r="R1535" s="139"/>
      <c r="S1535" s="139"/>
      <c r="T1535" s="139"/>
      <c r="U1535" s="139"/>
      <c r="V1535" s="139"/>
      <c r="W1535" s="139"/>
      <c r="X1535" s="139"/>
      <c r="Y1535" s="139"/>
      <c r="Z1535" s="139"/>
      <c r="AA1535" s="139"/>
      <c r="AB1535" s="139"/>
      <c r="AC1535" s="139"/>
      <c r="AD1535" s="139"/>
      <c r="AE1535" s="139"/>
      <c r="AF1535" s="139"/>
      <c r="AG1535" s="139"/>
      <c r="AH1535" s="139"/>
      <c r="AI1535" s="139"/>
      <c r="AJ1535" s="139"/>
      <c r="AK1535" s="139"/>
    </row>
    <row r="1536" spans="13:37" x14ac:dyDescent="0.25">
      <c r="M1536" s="139"/>
      <c r="N1536" s="139"/>
      <c r="O1536" s="139"/>
      <c r="P1536" s="139"/>
      <c r="R1536" s="139"/>
      <c r="S1536" s="139"/>
      <c r="T1536" s="139"/>
      <c r="U1536" s="139"/>
      <c r="V1536" s="139"/>
      <c r="W1536" s="139"/>
      <c r="X1536" s="139"/>
      <c r="Y1536" s="139"/>
      <c r="Z1536" s="139"/>
      <c r="AA1536" s="139"/>
      <c r="AB1536" s="139"/>
      <c r="AC1536" s="139"/>
      <c r="AD1536" s="139"/>
      <c r="AE1536" s="139"/>
      <c r="AF1536" s="139"/>
      <c r="AG1536" s="139"/>
      <c r="AH1536" s="139"/>
      <c r="AI1536" s="139"/>
      <c r="AJ1536" s="139"/>
      <c r="AK1536" s="139"/>
    </row>
    <row r="1537" spans="13:37" x14ac:dyDescent="0.25">
      <c r="M1537" s="139"/>
      <c r="N1537" s="139"/>
      <c r="O1537" s="139"/>
      <c r="P1537" s="139"/>
      <c r="R1537" s="139"/>
      <c r="S1537" s="139"/>
      <c r="T1537" s="139"/>
      <c r="U1537" s="139"/>
      <c r="V1537" s="139"/>
      <c r="W1537" s="139"/>
      <c r="X1537" s="139"/>
      <c r="Y1537" s="139"/>
      <c r="Z1537" s="139"/>
      <c r="AA1537" s="139"/>
      <c r="AB1537" s="139"/>
      <c r="AC1537" s="139"/>
      <c r="AD1537" s="139"/>
      <c r="AE1537" s="139"/>
      <c r="AF1537" s="139"/>
      <c r="AG1537" s="139"/>
      <c r="AH1537" s="139"/>
      <c r="AI1537" s="139"/>
      <c r="AJ1537" s="139"/>
      <c r="AK1537" s="139"/>
    </row>
    <row r="1538" spans="13:37" x14ac:dyDescent="0.25">
      <c r="M1538" s="139"/>
      <c r="N1538" s="139"/>
      <c r="O1538" s="139"/>
      <c r="P1538" s="139"/>
      <c r="R1538" s="139"/>
      <c r="S1538" s="139"/>
      <c r="T1538" s="139"/>
      <c r="U1538" s="139"/>
      <c r="V1538" s="139"/>
      <c r="W1538" s="139"/>
      <c r="X1538" s="139"/>
      <c r="Y1538" s="139"/>
      <c r="Z1538" s="139"/>
      <c r="AA1538" s="139"/>
      <c r="AB1538" s="139"/>
      <c r="AC1538" s="139"/>
      <c r="AD1538" s="139"/>
      <c r="AE1538" s="139"/>
      <c r="AF1538" s="139"/>
      <c r="AG1538" s="139"/>
      <c r="AH1538" s="139"/>
      <c r="AI1538" s="139"/>
      <c r="AJ1538" s="139"/>
      <c r="AK1538" s="139"/>
    </row>
    <row r="1539" spans="13:37" x14ac:dyDescent="0.25">
      <c r="M1539" s="139"/>
      <c r="N1539" s="139"/>
      <c r="O1539" s="139"/>
      <c r="P1539" s="139"/>
      <c r="R1539" s="139"/>
      <c r="S1539" s="139"/>
      <c r="T1539" s="139"/>
      <c r="U1539" s="139"/>
      <c r="V1539" s="139"/>
      <c r="W1539" s="139"/>
      <c r="X1539" s="139"/>
      <c r="Y1539" s="139"/>
      <c r="Z1539" s="139"/>
      <c r="AA1539" s="139"/>
      <c r="AB1539" s="139"/>
      <c r="AC1539" s="139"/>
      <c r="AD1539" s="139"/>
      <c r="AE1539" s="139"/>
      <c r="AF1539" s="139"/>
      <c r="AG1539" s="139"/>
      <c r="AH1539" s="139"/>
      <c r="AI1539" s="139"/>
      <c r="AJ1539" s="139"/>
      <c r="AK1539" s="139"/>
    </row>
    <row r="1540" spans="13:37" x14ac:dyDescent="0.25">
      <c r="M1540" s="139"/>
      <c r="N1540" s="139"/>
      <c r="O1540" s="139"/>
      <c r="P1540" s="139"/>
      <c r="R1540" s="139"/>
      <c r="S1540" s="139"/>
      <c r="T1540" s="139"/>
      <c r="U1540" s="139"/>
      <c r="V1540" s="139"/>
      <c r="W1540" s="139"/>
      <c r="X1540" s="139"/>
      <c r="Y1540" s="139"/>
      <c r="Z1540" s="139"/>
      <c r="AA1540" s="139"/>
      <c r="AB1540" s="139"/>
      <c r="AC1540" s="139"/>
      <c r="AD1540" s="139"/>
      <c r="AE1540" s="139"/>
      <c r="AF1540" s="139"/>
      <c r="AG1540" s="139"/>
      <c r="AH1540" s="139"/>
      <c r="AI1540" s="139"/>
      <c r="AJ1540" s="139"/>
      <c r="AK1540" s="139"/>
    </row>
    <row r="1541" spans="13:37" x14ac:dyDescent="0.25">
      <c r="M1541" s="139"/>
      <c r="N1541" s="139"/>
      <c r="O1541" s="139"/>
      <c r="P1541" s="139"/>
      <c r="R1541" s="139"/>
      <c r="S1541" s="139"/>
      <c r="T1541" s="139"/>
      <c r="U1541" s="139"/>
      <c r="V1541" s="139"/>
      <c r="W1541" s="139"/>
      <c r="X1541" s="139"/>
      <c r="Y1541" s="139"/>
      <c r="Z1541" s="139"/>
      <c r="AA1541" s="139"/>
      <c r="AB1541" s="139"/>
      <c r="AC1541" s="139"/>
      <c r="AD1541" s="139"/>
      <c r="AE1541" s="139"/>
      <c r="AF1541" s="139"/>
      <c r="AG1541" s="139"/>
      <c r="AH1541" s="139"/>
      <c r="AI1541" s="139"/>
      <c r="AJ1541" s="139"/>
      <c r="AK1541" s="139"/>
    </row>
    <row r="1542" spans="13:37" x14ac:dyDescent="0.25">
      <c r="M1542" s="139"/>
      <c r="N1542" s="139"/>
      <c r="O1542" s="139"/>
      <c r="P1542" s="139"/>
      <c r="R1542" s="139"/>
      <c r="S1542" s="139"/>
      <c r="T1542" s="139"/>
      <c r="U1542" s="139"/>
      <c r="V1542" s="139"/>
      <c r="W1542" s="139"/>
      <c r="X1542" s="139"/>
      <c r="Y1542" s="139"/>
      <c r="Z1542" s="139"/>
      <c r="AA1542" s="139"/>
      <c r="AB1542" s="139"/>
      <c r="AC1542" s="139"/>
      <c r="AD1542" s="139"/>
      <c r="AE1542" s="139"/>
      <c r="AF1542" s="139"/>
      <c r="AG1542" s="139"/>
      <c r="AH1542" s="139"/>
      <c r="AI1542" s="139"/>
      <c r="AJ1542" s="139"/>
      <c r="AK1542" s="139"/>
    </row>
    <row r="1543" spans="13:37" x14ac:dyDescent="0.25">
      <c r="M1543" s="139"/>
      <c r="N1543" s="139"/>
      <c r="O1543" s="139"/>
      <c r="P1543" s="139"/>
      <c r="R1543" s="139"/>
      <c r="S1543" s="139"/>
      <c r="T1543" s="139"/>
      <c r="U1543" s="139"/>
      <c r="V1543" s="139"/>
      <c r="W1543" s="139"/>
      <c r="X1543" s="139"/>
      <c r="Y1543" s="139"/>
      <c r="Z1543" s="139"/>
      <c r="AA1543" s="139"/>
      <c r="AB1543" s="139"/>
      <c r="AC1543" s="139"/>
      <c r="AD1543" s="139"/>
      <c r="AE1543" s="139"/>
      <c r="AF1543" s="139"/>
      <c r="AG1543" s="139"/>
      <c r="AH1543" s="139"/>
      <c r="AI1543" s="139"/>
      <c r="AJ1543" s="139"/>
      <c r="AK1543" s="139"/>
    </row>
    <row r="1544" spans="13:37" x14ac:dyDescent="0.25">
      <c r="M1544" s="139"/>
      <c r="N1544" s="139"/>
      <c r="O1544" s="139"/>
      <c r="P1544" s="139"/>
      <c r="R1544" s="139"/>
      <c r="S1544" s="139"/>
      <c r="T1544" s="139"/>
      <c r="U1544" s="139"/>
      <c r="V1544" s="139"/>
      <c r="W1544" s="139"/>
      <c r="X1544" s="139"/>
      <c r="Y1544" s="139"/>
      <c r="Z1544" s="139"/>
      <c r="AA1544" s="139"/>
      <c r="AB1544" s="139"/>
      <c r="AC1544" s="139"/>
      <c r="AD1544" s="139"/>
      <c r="AE1544" s="139"/>
      <c r="AF1544" s="139"/>
      <c r="AG1544" s="139"/>
      <c r="AH1544" s="139"/>
      <c r="AI1544" s="139"/>
      <c r="AJ1544" s="139"/>
      <c r="AK1544" s="139"/>
    </row>
    <row r="1545" spans="13:37" x14ac:dyDescent="0.25">
      <c r="M1545" s="139"/>
      <c r="N1545" s="139"/>
      <c r="O1545" s="139"/>
      <c r="P1545" s="139"/>
      <c r="R1545" s="139"/>
      <c r="S1545" s="139"/>
      <c r="T1545" s="139"/>
      <c r="U1545" s="139"/>
      <c r="V1545" s="139"/>
      <c r="W1545" s="139"/>
      <c r="X1545" s="139"/>
      <c r="Y1545" s="139"/>
      <c r="Z1545" s="139"/>
      <c r="AA1545" s="139"/>
      <c r="AB1545" s="139"/>
      <c r="AC1545" s="139"/>
      <c r="AD1545" s="139"/>
      <c r="AE1545" s="139"/>
      <c r="AF1545" s="139"/>
      <c r="AG1545" s="139"/>
      <c r="AH1545" s="139"/>
      <c r="AI1545" s="139"/>
      <c r="AJ1545" s="139"/>
      <c r="AK1545" s="139"/>
    </row>
    <row r="1546" spans="13:37" x14ac:dyDescent="0.25">
      <c r="M1546" s="139"/>
      <c r="N1546" s="139"/>
      <c r="O1546" s="139"/>
      <c r="P1546" s="139"/>
      <c r="R1546" s="139"/>
      <c r="S1546" s="139"/>
      <c r="T1546" s="139"/>
      <c r="U1546" s="139"/>
      <c r="V1546" s="139"/>
      <c r="W1546" s="139"/>
      <c r="X1546" s="139"/>
      <c r="Y1546" s="139"/>
      <c r="Z1546" s="139"/>
      <c r="AA1546" s="139"/>
      <c r="AB1546" s="139"/>
      <c r="AC1546" s="139"/>
      <c r="AD1546" s="139"/>
      <c r="AE1546" s="139"/>
      <c r="AF1546" s="139"/>
      <c r="AG1546" s="139"/>
      <c r="AH1546" s="139"/>
      <c r="AI1546" s="139"/>
      <c r="AJ1546" s="139"/>
      <c r="AK1546" s="139"/>
    </row>
    <row r="1547" spans="13:37" x14ac:dyDescent="0.25">
      <c r="M1547" s="139"/>
      <c r="N1547" s="139"/>
      <c r="O1547" s="139"/>
      <c r="P1547" s="139"/>
      <c r="R1547" s="139"/>
      <c r="S1547" s="139"/>
      <c r="T1547" s="139"/>
      <c r="U1547" s="139"/>
      <c r="V1547" s="139"/>
      <c r="W1547" s="139"/>
      <c r="X1547" s="139"/>
      <c r="Y1547" s="139"/>
      <c r="Z1547" s="139"/>
      <c r="AA1547" s="139"/>
      <c r="AB1547" s="139"/>
      <c r="AC1547" s="139"/>
      <c r="AD1547" s="139"/>
      <c r="AE1547" s="139"/>
      <c r="AF1547" s="139"/>
      <c r="AG1547" s="139"/>
      <c r="AH1547" s="139"/>
      <c r="AI1547" s="139"/>
      <c r="AJ1547" s="139"/>
      <c r="AK1547" s="139"/>
    </row>
    <row r="1548" spans="13:37" x14ac:dyDescent="0.25">
      <c r="M1548" s="139"/>
      <c r="N1548" s="139"/>
      <c r="O1548" s="139"/>
      <c r="P1548" s="139"/>
      <c r="R1548" s="139"/>
      <c r="S1548" s="139"/>
      <c r="T1548" s="139"/>
      <c r="U1548" s="139"/>
      <c r="V1548" s="139"/>
      <c r="W1548" s="139"/>
      <c r="X1548" s="139"/>
      <c r="Y1548" s="139"/>
      <c r="Z1548" s="139"/>
      <c r="AA1548" s="139"/>
      <c r="AB1548" s="139"/>
      <c r="AC1548" s="139"/>
      <c r="AD1548" s="139"/>
      <c r="AE1548" s="139"/>
      <c r="AF1548" s="139"/>
      <c r="AG1548" s="139"/>
      <c r="AH1548" s="139"/>
      <c r="AI1548" s="139"/>
      <c r="AJ1548" s="139"/>
      <c r="AK1548" s="139"/>
    </row>
    <row r="1549" spans="13:37" x14ac:dyDescent="0.25">
      <c r="M1549" s="139"/>
      <c r="N1549" s="139"/>
      <c r="O1549" s="139"/>
      <c r="P1549" s="139"/>
      <c r="R1549" s="139"/>
      <c r="S1549" s="139"/>
      <c r="T1549" s="139"/>
      <c r="U1549" s="139"/>
      <c r="V1549" s="139"/>
      <c r="W1549" s="139"/>
      <c r="X1549" s="139"/>
      <c r="Y1549" s="139"/>
      <c r="Z1549" s="139"/>
      <c r="AA1549" s="139"/>
      <c r="AB1549" s="139"/>
      <c r="AC1549" s="139"/>
      <c r="AD1549" s="139"/>
      <c r="AE1549" s="139"/>
      <c r="AF1549" s="139"/>
      <c r="AG1549" s="139"/>
      <c r="AH1549" s="139"/>
      <c r="AI1549" s="139"/>
      <c r="AJ1549" s="139"/>
      <c r="AK1549" s="139"/>
    </row>
    <row r="1550" spans="13:37" x14ac:dyDescent="0.25">
      <c r="M1550" s="139"/>
      <c r="N1550" s="139"/>
      <c r="O1550" s="139"/>
      <c r="P1550" s="139"/>
      <c r="R1550" s="139"/>
      <c r="S1550" s="139"/>
      <c r="T1550" s="139"/>
      <c r="U1550" s="139"/>
      <c r="V1550" s="139"/>
      <c r="W1550" s="139"/>
      <c r="X1550" s="139"/>
      <c r="Y1550" s="139"/>
      <c r="Z1550" s="139"/>
      <c r="AA1550" s="139"/>
      <c r="AB1550" s="139"/>
      <c r="AC1550" s="139"/>
      <c r="AD1550" s="139"/>
      <c r="AE1550" s="139"/>
      <c r="AF1550" s="139"/>
      <c r="AG1550" s="139"/>
      <c r="AH1550" s="139"/>
      <c r="AI1550" s="139"/>
      <c r="AJ1550" s="139"/>
      <c r="AK1550" s="139"/>
    </row>
    <row r="1551" spans="13:37" x14ac:dyDescent="0.25">
      <c r="M1551" s="139"/>
      <c r="N1551" s="139"/>
      <c r="O1551" s="139"/>
      <c r="P1551" s="139"/>
      <c r="R1551" s="139"/>
      <c r="S1551" s="139"/>
      <c r="T1551" s="139"/>
      <c r="U1551" s="139"/>
      <c r="V1551" s="139"/>
      <c r="W1551" s="139"/>
      <c r="X1551" s="139"/>
      <c r="Y1551" s="139"/>
      <c r="Z1551" s="139"/>
      <c r="AA1551" s="139"/>
      <c r="AB1551" s="139"/>
      <c r="AC1551" s="139"/>
      <c r="AD1551" s="139"/>
      <c r="AE1551" s="139"/>
      <c r="AF1551" s="139"/>
      <c r="AG1551" s="139"/>
      <c r="AH1551" s="139"/>
      <c r="AI1551" s="139"/>
      <c r="AJ1551" s="139"/>
      <c r="AK1551" s="139"/>
    </row>
    <row r="1552" spans="13:37" x14ac:dyDescent="0.25">
      <c r="M1552" s="139"/>
      <c r="N1552" s="139"/>
      <c r="O1552" s="139"/>
      <c r="P1552" s="139"/>
      <c r="R1552" s="139"/>
      <c r="S1552" s="139"/>
      <c r="T1552" s="139"/>
      <c r="U1552" s="139"/>
      <c r="V1552" s="139"/>
      <c r="W1552" s="139"/>
      <c r="X1552" s="139"/>
      <c r="Y1552" s="139"/>
      <c r="Z1552" s="139"/>
      <c r="AA1552" s="139"/>
      <c r="AB1552" s="139"/>
      <c r="AC1552" s="139"/>
      <c r="AD1552" s="139"/>
      <c r="AE1552" s="139"/>
      <c r="AF1552" s="139"/>
      <c r="AG1552" s="139"/>
      <c r="AH1552" s="139"/>
      <c r="AI1552" s="139"/>
      <c r="AJ1552" s="139"/>
      <c r="AK1552" s="139"/>
    </row>
    <row r="1553" spans="13:37" x14ac:dyDescent="0.25">
      <c r="M1553" s="139"/>
      <c r="N1553" s="139"/>
      <c r="O1553" s="139"/>
      <c r="P1553" s="139"/>
      <c r="R1553" s="139"/>
      <c r="S1553" s="139"/>
      <c r="T1553" s="139"/>
      <c r="U1553" s="139"/>
      <c r="V1553" s="139"/>
      <c r="W1553" s="139"/>
      <c r="X1553" s="139"/>
      <c r="Y1553" s="139"/>
      <c r="Z1553" s="139"/>
      <c r="AA1553" s="139"/>
      <c r="AB1553" s="139"/>
      <c r="AC1553" s="139"/>
      <c r="AD1553" s="139"/>
      <c r="AE1553" s="139"/>
      <c r="AF1553" s="139"/>
      <c r="AG1553" s="139"/>
      <c r="AH1553" s="139"/>
      <c r="AI1553" s="139"/>
      <c r="AJ1553" s="139"/>
      <c r="AK1553" s="139"/>
    </row>
    <row r="1554" spans="13:37" x14ac:dyDescent="0.25">
      <c r="M1554" s="139"/>
      <c r="N1554" s="139"/>
      <c r="O1554" s="139"/>
      <c r="P1554" s="139"/>
      <c r="R1554" s="139"/>
      <c r="S1554" s="139"/>
      <c r="T1554" s="139"/>
      <c r="U1554" s="139"/>
      <c r="V1554" s="139"/>
      <c r="W1554" s="139"/>
      <c r="X1554" s="139"/>
      <c r="Y1554" s="139"/>
      <c r="Z1554" s="139"/>
      <c r="AA1554" s="139"/>
      <c r="AB1554" s="139"/>
      <c r="AC1554" s="139"/>
      <c r="AD1554" s="139"/>
      <c r="AE1554" s="139"/>
      <c r="AF1554" s="139"/>
      <c r="AG1554" s="139"/>
      <c r="AH1554" s="139"/>
      <c r="AI1554" s="139"/>
      <c r="AJ1554" s="139"/>
      <c r="AK1554" s="139"/>
    </row>
    <row r="1555" spans="13:37" x14ac:dyDescent="0.25">
      <c r="M1555" s="139"/>
      <c r="N1555" s="139"/>
      <c r="O1555" s="139"/>
      <c r="P1555" s="139"/>
      <c r="R1555" s="139"/>
      <c r="S1555" s="139"/>
      <c r="T1555" s="139"/>
      <c r="U1555" s="139"/>
      <c r="V1555" s="139"/>
      <c r="W1555" s="139"/>
      <c r="X1555" s="139"/>
      <c r="Y1555" s="139"/>
      <c r="Z1555" s="139"/>
      <c r="AA1555" s="139"/>
      <c r="AB1555" s="139"/>
      <c r="AC1555" s="139"/>
      <c r="AD1555" s="139"/>
      <c r="AE1555" s="139"/>
      <c r="AF1555" s="139"/>
      <c r="AG1555" s="139"/>
      <c r="AH1555" s="139"/>
      <c r="AI1555" s="139"/>
      <c r="AJ1555" s="139"/>
      <c r="AK1555" s="139"/>
    </row>
    <row r="1556" spans="13:37" x14ac:dyDescent="0.25">
      <c r="M1556" s="139"/>
      <c r="N1556" s="139"/>
      <c r="O1556" s="139"/>
      <c r="P1556" s="139"/>
      <c r="R1556" s="139"/>
      <c r="S1556" s="139"/>
      <c r="T1556" s="139"/>
      <c r="U1556" s="139"/>
      <c r="V1556" s="139"/>
      <c r="W1556" s="139"/>
      <c r="X1556" s="139"/>
      <c r="Y1556" s="139"/>
      <c r="Z1556" s="139"/>
      <c r="AA1556" s="139"/>
      <c r="AB1556" s="139"/>
      <c r="AC1556" s="139"/>
      <c r="AD1556" s="139"/>
      <c r="AE1556" s="139"/>
      <c r="AF1556" s="139"/>
      <c r="AG1556" s="139"/>
      <c r="AH1556" s="139"/>
      <c r="AI1556" s="139"/>
      <c r="AJ1556" s="139"/>
      <c r="AK1556" s="139"/>
    </row>
    <row r="1557" spans="13:37" x14ac:dyDescent="0.25">
      <c r="M1557" s="139"/>
      <c r="N1557" s="139"/>
      <c r="O1557" s="139"/>
      <c r="P1557" s="139"/>
      <c r="R1557" s="139"/>
      <c r="S1557" s="139"/>
      <c r="T1557" s="139"/>
      <c r="U1557" s="139"/>
      <c r="V1557" s="139"/>
      <c r="W1557" s="139"/>
      <c r="X1557" s="139"/>
      <c r="Y1557" s="139"/>
      <c r="Z1557" s="139"/>
      <c r="AA1557" s="139"/>
      <c r="AB1557" s="139"/>
      <c r="AC1557" s="139"/>
      <c r="AD1557" s="139"/>
      <c r="AE1557" s="139"/>
      <c r="AF1557" s="139"/>
      <c r="AG1557" s="139"/>
      <c r="AH1557" s="139"/>
      <c r="AI1557" s="139"/>
      <c r="AJ1557" s="139"/>
      <c r="AK1557" s="139"/>
    </row>
    <row r="1558" spans="13:37" x14ac:dyDescent="0.25">
      <c r="M1558" s="139"/>
      <c r="N1558" s="139"/>
      <c r="O1558" s="139"/>
      <c r="P1558" s="139"/>
      <c r="R1558" s="139"/>
      <c r="S1558" s="139"/>
      <c r="T1558" s="139"/>
      <c r="U1558" s="139"/>
      <c r="V1558" s="139"/>
      <c r="W1558" s="139"/>
      <c r="X1558" s="139"/>
      <c r="Y1558" s="139"/>
      <c r="Z1558" s="139"/>
      <c r="AA1558" s="139"/>
      <c r="AB1558" s="139"/>
      <c r="AC1558" s="139"/>
      <c r="AD1558" s="139"/>
      <c r="AE1558" s="139"/>
      <c r="AF1558" s="139"/>
      <c r="AG1558" s="139"/>
      <c r="AH1558" s="139"/>
      <c r="AI1558" s="139"/>
      <c r="AJ1558" s="139"/>
      <c r="AK1558" s="139"/>
    </row>
    <row r="1559" spans="13:37" x14ac:dyDescent="0.25">
      <c r="M1559" s="139"/>
      <c r="N1559" s="139"/>
      <c r="O1559" s="139"/>
      <c r="P1559" s="139"/>
      <c r="R1559" s="139"/>
      <c r="S1559" s="139"/>
      <c r="T1559" s="139"/>
      <c r="U1559" s="139"/>
      <c r="V1559" s="139"/>
      <c r="W1559" s="139"/>
      <c r="X1559" s="139"/>
      <c r="Y1559" s="139"/>
      <c r="Z1559" s="139"/>
      <c r="AA1559" s="139"/>
      <c r="AB1559" s="139"/>
      <c r="AC1559" s="139"/>
      <c r="AD1559" s="139"/>
      <c r="AE1559" s="139"/>
      <c r="AF1559" s="139"/>
      <c r="AG1559" s="139"/>
      <c r="AH1559" s="139"/>
      <c r="AI1559" s="139"/>
      <c r="AJ1559" s="139"/>
      <c r="AK1559" s="139"/>
    </row>
    <row r="1560" spans="13:37" x14ac:dyDescent="0.25">
      <c r="M1560" s="139"/>
      <c r="N1560" s="139"/>
      <c r="O1560" s="139"/>
      <c r="P1560" s="139"/>
      <c r="R1560" s="139"/>
      <c r="S1560" s="139"/>
      <c r="T1560" s="139"/>
      <c r="U1560" s="139"/>
      <c r="V1560" s="139"/>
      <c r="W1560" s="139"/>
      <c r="X1560" s="139"/>
      <c r="Y1560" s="139"/>
      <c r="Z1560" s="139"/>
      <c r="AA1560" s="139"/>
      <c r="AB1560" s="139"/>
      <c r="AC1560" s="139"/>
      <c r="AD1560" s="139"/>
      <c r="AE1560" s="139"/>
      <c r="AF1560" s="139"/>
      <c r="AG1560" s="139"/>
      <c r="AH1560" s="139"/>
      <c r="AI1560" s="139"/>
      <c r="AJ1560" s="139"/>
      <c r="AK1560" s="139"/>
    </row>
    <row r="1561" spans="13:37" x14ac:dyDescent="0.25">
      <c r="M1561" s="139"/>
      <c r="N1561" s="139"/>
      <c r="O1561" s="139"/>
      <c r="P1561" s="139"/>
      <c r="R1561" s="139"/>
      <c r="S1561" s="139"/>
      <c r="T1561" s="139"/>
      <c r="U1561" s="139"/>
      <c r="V1561" s="139"/>
      <c r="W1561" s="139"/>
      <c r="X1561" s="139"/>
      <c r="Y1561" s="139"/>
      <c r="Z1561" s="139"/>
      <c r="AA1561" s="139"/>
      <c r="AB1561" s="139"/>
      <c r="AC1561" s="139"/>
      <c r="AD1561" s="139"/>
      <c r="AE1561" s="139"/>
      <c r="AF1561" s="139"/>
      <c r="AG1561" s="139"/>
      <c r="AH1561" s="139"/>
      <c r="AI1561" s="139"/>
      <c r="AJ1561" s="139"/>
      <c r="AK1561" s="139"/>
    </row>
    <row r="1562" spans="13:37" x14ac:dyDescent="0.25">
      <c r="M1562" s="139"/>
      <c r="N1562" s="139"/>
      <c r="O1562" s="139"/>
      <c r="P1562" s="139"/>
      <c r="R1562" s="139"/>
      <c r="S1562" s="139"/>
      <c r="T1562" s="139"/>
      <c r="U1562" s="139"/>
      <c r="V1562" s="139"/>
      <c r="W1562" s="139"/>
      <c r="X1562" s="139"/>
      <c r="Y1562" s="139"/>
      <c r="Z1562" s="139"/>
      <c r="AA1562" s="139"/>
      <c r="AB1562" s="139"/>
      <c r="AC1562" s="139"/>
      <c r="AD1562" s="139"/>
      <c r="AE1562" s="139"/>
      <c r="AF1562" s="139"/>
      <c r="AG1562" s="139"/>
      <c r="AH1562" s="139"/>
      <c r="AI1562" s="139"/>
      <c r="AJ1562" s="139"/>
      <c r="AK1562" s="139"/>
    </row>
    <row r="1563" spans="13:37" x14ac:dyDescent="0.25">
      <c r="M1563" s="139"/>
      <c r="N1563" s="139"/>
      <c r="O1563" s="139"/>
      <c r="P1563" s="139"/>
      <c r="R1563" s="139"/>
      <c r="S1563" s="139"/>
      <c r="T1563" s="139"/>
      <c r="U1563" s="139"/>
      <c r="V1563" s="139"/>
      <c r="W1563" s="139"/>
      <c r="X1563" s="139"/>
      <c r="Y1563" s="139"/>
      <c r="Z1563" s="139"/>
      <c r="AA1563" s="139"/>
      <c r="AB1563" s="139"/>
      <c r="AC1563" s="139"/>
      <c r="AD1563" s="139"/>
      <c r="AE1563" s="139"/>
      <c r="AF1563" s="139"/>
      <c r="AG1563" s="139"/>
      <c r="AH1563" s="139"/>
      <c r="AI1563" s="139"/>
      <c r="AJ1563" s="139"/>
      <c r="AK1563" s="139"/>
    </row>
    <row r="1564" spans="13:37" x14ac:dyDescent="0.25">
      <c r="M1564" s="139"/>
      <c r="N1564" s="139"/>
      <c r="O1564" s="139"/>
      <c r="P1564" s="139"/>
      <c r="R1564" s="139"/>
      <c r="S1564" s="139"/>
      <c r="T1564" s="139"/>
      <c r="U1564" s="139"/>
      <c r="V1564" s="139"/>
      <c r="W1564" s="139"/>
      <c r="X1564" s="139"/>
      <c r="Y1564" s="139"/>
      <c r="Z1564" s="139"/>
      <c r="AA1564" s="139"/>
      <c r="AB1564" s="139"/>
      <c r="AC1564" s="139"/>
      <c r="AD1564" s="139"/>
      <c r="AE1564" s="139"/>
      <c r="AF1564" s="139"/>
      <c r="AG1564" s="139"/>
      <c r="AH1564" s="139"/>
      <c r="AI1564" s="139"/>
      <c r="AJ1564" s="139"/>
      <c r="AK1564" s="139"/>
    </row>
    <row r="1565" spans="13:37" x14ac:dyDescent="0.25">
      <c r="M1565" s="139"/>
      <c r="N1565" s="139"/>
      <c r="O1565" s="139"/>
      <c r="P1565" s="139"/>
      <c r="R1565" s="139"/>
      <c r="S1565" s="139"/>
      <c r="T1565" s="139"/>
      <c r="U1565" s="139"/>
      <c r="V1565" s="139"/>
      <c r="W1565" s="139"/>
      <c r="X1565" s="139"/>
      <c r="Y1565" s="139"/>
      <c r="Z1565" s="139"/>
      <c r="AA1565" s="139"/>
      <c r="AB1565" s="139"/>
      <c r="AC1565" s="139"/>
      <c r="AD1565" s="139"/>
      <c r="AE1565" s="139"/>
      <c r="AF1565" s="139"/>
      <c r="AG1565" s="139"/>
      <c r="AH1565" s="139"/>
      <c r="AI1565" s="139"/>
      <c r="AJ1565" s="139"/>
      <c r="AK1565" s="139"/>
    </row>
    <row r="1566" spans="13:37" x14ac:dyDescent="0.25">
      <c r="M1566" s="139"/>
      <c r="N1566" s="139"/>
      <c r="O1566" s="139"/>
      <c r="P1566" s="139"/>
      <c r="R1566" s="139"/>
      <c r="S1566" s="139"/>
      <c r="T1566" s="139"/>
      <c r="U1566" s="139"/>
      <c r="V1566" s="139"/>
      <c r="W1566" s="139"/>
      <c r="X1566" s="139"/>
      <c r="Y1566" s="139"/>
      <c r="Z1566" s="139"/>
      <c r="AA1566" s="139"/>
      <c r="AB1566" s="139"/>
      <c r="AC1566" s="139"/>
      <c r="AD1566" s="139"/>
      <c r="AE1566" s="139"/>
      <c r="AF1566" s="139"/>
      <c r="AG1566" s="139"/>
      <c r="AH1566" s="139"/>
      <c r="AI1566" s="139"/>
      <c r="AJ1566" s="139"/>
      <c r="AK1566" s="139"/>
    </row>
    <row r="1567" spans="13:37" x14ac:dyDescent="0.25">
      <c r="M1567" s="139"/>
      <c r="N1567" s="139"/>
      <c r="O1567" s="139"/>
      <c r="P1567" s="139"/>
      <c r="R1567" s="139"/>
      <c r="S1567" s="139"/>
      <c r="T1567" s="139"/>
      <c r="U1567" s="139"/>
      <c r="V1567" s="139"/>
      <c r="W1567" s="139"/>
      <c r="X1567" s="139"/>
      <c r="Y1567" s="139"/>
      <c r="Z1567" s="139"/>
      <c r="AA1567" s="139"/>
      <c r="AB1567" s="139"/>
      <c r="AC1567" s="139"/>
      <c r="AD1567" s="139"/>
      <c r="AE1567" s="139"/>
      <c r="AF1567" s="139"/>
      <c r="AG1567" s="139"/>
      <c r="AH1567" s="139"/>
      <c r="AI1567" s="139"/>
      <c r="AJ1567" s="139"/>
      <c r="AK1567" s="139"/>
    </row>
    <row r="1568" spans="13:37" x14ac:dyDescent="0.25">
      <c r="M1568" s="139"/>
      <c r="N1568" s="139"/>
      <c r="O1568" s="139"/>
      <c r="P1568" s="139"/>
      <c r="R1568" s="139"/>
      <c r="S1568" s="139"/>
      <c r="T1568" s="139"/>
      <c r="U1568" s="139"/>
      <c r="V1568" s="139"/>
      <c r="W1568" s="139"/>
      <c r="X1568" s="139"/>
      <c r="Y1568" s="139"/>
      <c r="Z1568" s="139"/>
      <c r="AA1568" s="139"/>
      <c r="AB1568" s="139"/>
      <c r="AC1568" s="139"/>
      <c r="AD1568" s="139"/>
      <c r="AE1568" s="139"/>
      <c r="AF1568" s="139"/>
      <c r="AG1568" s="139"/>
      <c r="AH1568" s="139"/>
      <c r="AI1568" s="139"/>
      <c r="AJ1568" s="139"/>
      <c r="AK1568" s="139"/>
    </row>
    <row r="1569" spans="13:37" x14ac:dyDescent="0.25">
      <c r="M1569" s="139"/>
      <c r="N1569" s="139"/>
      <c r="O1569" s="139"/>
      <c r="P1569" s="139"/>
      <c r="R1569" s="139"/>
      <c r="S1569" s="139"/>
      <c r="T1569" s="139"/>
      <c r="U1569" s="139"/>
      <c r="V1569" s="139"/>
      <c r="W1569" s="139"/>
      <c r="X1569" s="139"/>
      <c r="Y1569" s="139"/>
      <c r="Z1569" s="139"/>
      <c r="AA1569" s="139"/>
      <c r="AB1569" s="139"/>
      <c r="AC1569" s="139"/>
      <c r="AD1569" s="139"/>
      <c r="AE1569" s="139"/>
      <c r="AF1569" s="139"/>
      <c r="AG1569" s="139"/>
      <c r="AH1569" s="139"/>
      <c r="AI1569" s="139"/>
      <c r="AJ1569" s="139"/>
      <c r="AK1569" s="139"/>
    </row>
    <row r="1570" spans="13:37" x14ac:dyDescent="0.25">
      <c r="M1570" s="139"/>
      <c r="N1570" s="139"/>
      <c r="O1570" s="139"/>
      <c r="P1570" s="139"/>
      <c r="R1570" s="139"/>
      <c r="S1570" s="139"/>
      <c r="T1570" s="139"/>
      <c r="U1570" s="139"/>
      <c r="V1570" s="139"/>
      <c r="W1570" s="139"/>
      <c r="X1570" s="139"/>
      <c r="Y1570" s="139"/>
      <c r="Z1570" s="139"/>
      <c r="AA1570" s="139"/>
      <c r="AB1570" s="139"/>
      <c r="AC1570" s="139"/>
      <c r="AD1570" s="139"/>
      <c r="AE1570" s="139"/>
      <c r="AF1570" s="139"/>
      <c r="AG1570" s="139"/>
      <c r="AH1570" s="139"/>
      <c r="AI1570" s="139"/>
      <c r="AJ1570" s="139"/>
      <c r="AK1570" s="139"/>
    </row>
    <row r="1571" spans="13:37" x14ac:dyDescent="0.25">
      <c r="M1571" s="139"/>
      <c r="N1571" s="139"/>
      <c r="O1571" s="139"/>
      <c r="P1571" s="139"/>
      <c r="R1571" s="139"/>
      <c r="S1571" s="139"/>
      <c r="T1571" s="139"/>
      <c r="U1571" s="139"/>
      <c r="V1571" s="139"/>
      <c r="W1571" s="139"/>
      <c r="X1571" s="139"/>
      <c r="Y1571" s="139"/>
      <c r="Z1571" s="139"/>
      <c r="AA1571" s="139"/>
      <c r="AB1571" s="139"/>
      <c r="AC1571" s="139"/>
      <c r="AD1571" s="139"/>
      <c r="AE1571" s="139"/>
      <c r="AF1571" s="139"/>
      <c r="AG1571" s="139"/>
      <c r="AH1571" s="139"/>
      <c r="AI1571" s="139"/>
      <c r="AJ1571" s="139"/>
      <c r="AK1571" s="139"/>
    </row>
    <row r="1572" spans="13:37" x14ac:dyDescent="0.25">
      <c r="M1572" s="139"/>
      <c r="N1572" s="139"/>
      <c r="O1572" s="139"/>
      <c r="P1572" s="139"/>
      <c r="R1572" s="139"/>
      <c r="S1572" s="139"/>
      <c r="T1572" s="139"/>
      <c r="U1572" s="139"/>
      <c r="V1572" s="139"/>
      <c r="W1572" s="139"/>
      <c r="X1572" s="139"/>
      <c r="Y1572" s="139"/>
      <c r="Z1572" s="139"/>
      <c r="AA1572" s="139"/>
      <c r="AB1572" s="139"/>
      <c r="AC1572" s="139"/>
      <c r="AD1572" s="139"/>
      <c r="AE1572" s="139"/>
      <c r="AF1572" s="139"/>
      <c r="AG1572" s="139"/>
      <c r="AH1572" s="139"/>
      <c r="AI1572" s="139"/>
      <c r="AJ1572" s="139"/>
      <c r="AK1572" s="139"/>
    </row>
    <row r="1573" spans="13:37" x14ac:dyDescent="0.25">
      <c r="M1573" s="139"/>
      <c r="N1573" s="139"/>
      <c r="O1573" s="139"/>
      <c r="P1573" s="139"/>
      <c r="R1573" s="139"/>
      <c r="S1573" s="139"/>
      <c r="T1573" s="139"/>
      <c r="U1573" s="139"/>
      <c r="V1573" s="139"/>
      <c r="W1573" s="139"/>
      <c r="X1573" s="139"/>
      <c r="Y1573" s="139"/>
      <c r="Z1573" s="139"/>
      <c r="AA1573" s="139"/>
      <c r="AB1573" s="139"/>
      <c r="AC1573" s="139"/>
      <c r="AD1573" s="139"/>
      <c r="AE1573" s="139"/>
      <c r="AF1573" s="139"/>
      <c r="AG1573" s="139"/>
      <c r="AH1573" s="139"/>
      <c r="AI1573" s="139"/>
      <c r="AJ1573" s="139"/>
      <c r="AK1573" s="139"/>
    </row>
    <row r="1574" spans="13:37" x14ac:dyDescent="0.25">
      <c r="M1574" s="139"/>
      <c r="N1574" s="139"/>
      <c r="O1574" s="139"/>
      <c r="P1574" s="139"/>
      <c r="R1574" s="139"/>
      <c r="S1574" s="139"/>
      <c r="T1574" s="139"/>
      <c r="U1574" s="139"/>
      <c r="V1574" s="139"/>
      <c r="W1574" s="139"/>
      <c r="X1574" s="139"/>
      <c r="Y1574" s="139"/>
      <c r="Z1574" s="139"/>
      <c r="AA1574" s="139"/>
      <c r="AB1574" s="139"/>
      <c r="AC1574" s="139"/>
      <c r="AD1574" s="139"/>
      <c r="AE1574" s="139"/>
      <c r="AF1574" s="139"/>
      <c r="AG1574" s="139"/>
      <c r="AH1574" s="139"/>
      <c r="AI1574" s="139"/>
      <c r="AJ1574" s="139"/>
      <c r="AK1574" s="139"/>
    </row>
    <row r="1575" spans="13:37" x14ac:dyDescent="0.25">
      <c r="M1575" s="139"/>
      <c r="N1575" s="139"/>
      <c r="O1575" s="139"/>
      <c r="P1575" s="139"/>
      <c r="R1575" s="139"/>
      <c r="S1575" s="139"/>
      <c r="T1575" s="139"/>
      <c r="U1575" s="139"/>
      <c r="V1575" s="139"/>
      <c r="W1575" s="139"/>
      <c r="X1575" s="139"/>
      <c r="Y1575" s="139"/>
      <c r="Z1575" s="139"/>
      <c r="AA1575" s="139"/>
      <c r="AB1575" s="139"/>
      <c r="AC1575" s="139"/>
      <c r="AD1575" s="139"/>
      <c r="AE1575" s="139"/>
      <c r="AF1575" s="139"/>
      <c r="AG1575" s="139"/>
      <c r="AH1575" s="139"/>
      <c r="AI1575" s="139"/>
      <c r="AJ1575" s="139"/>
      <c r="AK1575" s="139"/>
    </row>
    <row r="1576" spans="13:37" x14ac:dyDescent="0.25">
      <c r="M1576" s="139"/>
      <c r="N1576" s="139"/>
      <c r="O1576" s="139"/>
      <c r="P1576" s="139"/>
      <c r="R1576" s="139"/>
      <c r="S1576" s="139"/>
      <c r="T1576" s="139"/>
      <c r="U1576" s="139"/>
      <c r="V1576" s="139"/>
      <c r="W1576" s="139"/>
      <c r="X1576" s="139"/>
      <c r="Y1576" s="139"/>
      <c r="Z1576" s="139"/>
      <c r="AA1576" s="139"/>
      <c r="AB1576" s="139"/>
      <c r="AC1576" s="139"/>
      <c r="AD1576" s="139"/>
      <c r="AE1576" s="139"/>
      <c r="AF1576" s="139"/>
      <c r="AG1576" s="139"/>
      <c r="AH1576" s="139"/>
      <c r="AI1576" s="139"/>
      <c r="AJ1576" s="139"/>
      <c r="AK1576" s="139"/>
    </row>
    <row r="1577" spans="13:37" x14ac:dyDescent="0.25">
      <c r="M1577" s="139"/>
      <c r="N1577" s="139"/>
      <c r="O1577" s="139"/>
      <c r="P1577" s="139"/>
      <c r="R1577" s="139"/>
      <c r="S1577" s="139"/>
      <c r="T1577" s="139"/>
      <c r="U1577" s="139"/>
      <c r="V1577" s="139"/>
      <c r="W1577" s="139"/>
      <c r="X1577" s="139"/>
      <c r="Y1577" s="139"/>
      <c r="Z1577" s="139"/>
      <c r="AA1577" s="139"/>
      <c r="AB1577" s="139"/>
      <c r="AC1577" s="139"/>
      <c r="AD1577" s="139"/>
      <c r="AE1577" s="139"/>
      <c r="AF1577" s="139"/>
      <c r="AG1577" s="139"/>
      <c r="AH1577" s="139"/>
      <c r="AI1577" s="139"/>
      <c r="AJ1577" s="139"/>
      <c r="AK1577" s="139"/>
    </row>
    <row r="1578" spans="13:37" x14ac:dyDescent="0.25">
      <c r="M1578" s="139"/>
      <c r="N1578" s="139"/>
      <c r="O1578" s="139"/>
      <c r="P1578" s="139"/>
      <c r="R1578" s="139"/>
      <c r="S1578" s="139"/>
      <c r="T1578" s="139"/>
      <c r="U1578" s="139"/>
      <c r="V1578" s="139"/>
      <c r="W1578" s="139"/>
      <c r="X1578" s="139"/>
      <c r="Y1578" s="139"/>
      <c r="Z1578" s="139"/>
      <c r="AA1578" s="139"/>
      <c r="AB1578" s="139"/>
      <c r="AC1578" s="139"/>
      <c r="AD1578" s="139"/>
      <c r="AE1578" s="139"/>
      <c r="AF1578" s="139"/>
      <c r="AG1578" s="139"/>
      <c r="AH1578" s="139"/>
      <c r="AI1578" s="139"/>
      <c r="AJ1578" s="139"/>
      <c r="AK1578" s="139"/>
    </row>
    <row r="1579" spans="13:37" x14ac:dyDescent="0.25">
      <c r="M1579" s="139"/>
      <c r="N1579" s="139"/>
      <c r="O1579" s="139"/>
      <c r="P1579" s="139"/>
      <c r="R1579" s="139"/>
      <c r="S1579" s="139"/>
      <c r="T1579" s="139"/>
      <c r="U1579" s="139"/>
      <c r="V1579" s="139"/>
      <c r="W1579" s="139"/>
      <c r="X1579" s="139"/>
      <c r="Y1579" s="139"/>
      <c r="Z1579" s="139"/>
      <c r="AA1579" s="139"/>
      <c r="AB1579" s="139"/>
      <c r="AC1579" s="139"/>
      <c r="AD1579" s="139"/>
      <c r="AE1579" s="139"/>
      <c r="AF1579" s="139"/>
      <c r="AG1579" s="139"/>
      <c r="AH1579" s="139"/>
      <c r="AI1579" s="139"/>
      <c r="AJ1579" s="139"/>
      <c r="AK1579" s="139"/>
    </row>
    <row r="1580" spans="13:37" x14ac:dyDescent="0.25">
      <c r="M1580" s="139"/>
      <c r="N1580" s="139"/>
      <c r="O1580" s="139"/>
      <c r="P1580" s="139"/>
      <c r="R1580" s="139"/>
      <c r="S1580" s="139"/>
      <c r="T1580" s="139"/>
      <c r="U1580" s="139"/>
      <c r="V1580" s="139"/>
      <c r="W1580" s="139"/>
      <c r="X1580" s="139"/>
      <c r="Y1580" s="139"/>
      <c r="Z1580" s="139"/>
      <c r="AA1580" s="139"/>
      <c r="AB1580" s="139"/>
      <c r="AC1580" s="139"/>
      <c r="AD1580" s="139"/>
      <c r="AE1580" s="139"/>
      <c r="AF1580" s="139"/>
      <c r="AG1580" s="139"/>
      <c r="AH1580" s="139"/>
      <c r="AI1580" s="139"/>
      <c r="AJ1580" s="139"/>
      <c r="AK1580" s="139"/>
    </row>
    <row r="1581" spans="13:37" x14ac:dyDescent="0.25">
      <c r="M1581" s="139"/>
      <c r="N1581" s="139"/>
      <c r="O1581" s="139"/>
      <c r="P1581" s="139"/>
      <c r="R1581" s="139"/>
      <c r="S1581" s="139"/>
      <c r="T1581" s="139"/>
      <c r="U1581" s="139"/>
      <c r="V1581" s="139"/>
      <c r="W1581" s="139"/>
      <c r="X1581" s="139"/>
      <c r="Y1581" s="139"/>
      <c r="Z1581" s="139"/>
      <c r="AA1581" s="139"/>
      <c r="AB1581" s="139"/>
      <c r="AC1581" s="139"/>
      <c r="AD1581" s="139"/>
      <c r="AE1581" s="139"/>
      <c r="AF1581" s="139"/>
      <c r="AG1581" s="139"/>
      <c r="AH1581" s="139"/>
      <c r="AI1581" s="139"/>
      <c r="AJ1581" s="139"/>
      <c r="AK1581" s="139"/>
    </row>
    <row r="1582" spans="13:37" x14ac:dyDescent="0.25">
      <c r="M1582" s="139"/>
      <c r="N1582" s="139"/>
      <c r="O1582" s="139"/>
      <c r="P1582" s="139"/>
      <c r="R1582" s="139"/>
      <c r="S1582" s="139"/>
      <c r="T1582" s="139"/>
      <c r="U1582" s="139"/>
      <c r="V1582" s="139"/>
      <c r="W1582" s="139"/>
      <c r="X1582" s="139"/>
      <c r="Y1582" s="139"/>
      <c r="Z1582" s="139"/>
      <c r="AA1582" s="139"/>
      <c r="AB1582" s="139"/>
      <c r="AC1582" s="139"/>
      <c r="AD1582" s="139"/>
      <c r="AE1582" s="139"/>
      <c r="AF1582" s="139"/>
      <c r="AG1582" s="139"/>
      <c r="AH1582" s="139"/>
      <c r="AI1582" s="139"/>
      <c r="AJ1582" s="139"/>
      <c r="AK1582" s="139"/>
    </row>
    <row r="1583" spans="13:37" x14ac:dyDescent="0.25">
      <c r="M1583" s="139"/>
      <c r="N1583" s="139"/>
      <c r="O1583" s="139"/>
      <c r="P1583" s="139"/>
      <c r="R1583" s="139"/>
      <c r="S1583" s="139"/>
      <c r="T1583" s="139"/>
      <c r="U1583" s="139"/>
      <c r="V1583" s="139"/>
      <c r="W1583" s="139"/>
      <c r="X1583" s="139"/>
      <c r="Y1583" s="139"/>
      <c r="Z1583" s="139"/>
      <c r="AA1583" s="139"/>
      <c r="AB1583" s="139"/>
      <c r="AC1583" s="139"/>
      <c r="AD1583" s="139"/>
      <c r="AE1583" s="139"/>
      <c r="AF1583" s="139"/>
      <c r="AG1583" s="139"/>
      <c r="AH1583" s="139"/>
      <c r="AI1583" s="139"/>
      <c r="AJ1583" s="139"/>
      <c r="AK1583" s="139"/>
    </row>
    <row r="1584" spans="13:37" x14ac:dyDescent="0.25">
      <c r="M1584" s="139"/>
      <c r="N1584" s="139"/>
      <c r="O1584" s="139"/>
      <c r="P1584" s="139"/>
      <c r="R1584" s="139"/>
      <c r="S1584" s="139"/>
      <c r="T1584" s="139"/>
      <c r="U1584" s="139"/>
      <c r="V1584" s="139"/>
      <c r="W1584" s="139"/>
      <c r="X1584" s="139"/>
      <c r="Y1584" s="139"/>
      <c r="Z1584" s="139"/>
      <c r="AA1584" s="139"/>
      <c r="AB1584" s="139"/>
      <c r="AC1584" s="139"/>
      <c r="AD1584" s="139"/>
      <c r="AE1584" s="139"/>
      <c r="AF1584" s="139"/>
      <c r="AG1584" s="139"/>
      <c r="AH1584" s="139"/>
      <c r="AI1584" s="139"/>
      <c r="AJ1584" s="139"/>
      <c r="AK1584" s="139"/>
    </row>
    <row r="1585" spans="13:37" x14ac:dyDescent="0.25">
      <c r="M1585" s="139"/>
      <c r="N1585" s="139"/>
      <c r="O1585" s="139"/>
      <c r="P1585" s="139"/>
      <c r="R1585" s="139"/>
      <c r="S1585" s="139"/>
      <c r="T1585" s="139"/>
      <c r="U1585" s="139"/>
      <c r="V1585" s="139"/>
      <c r="W1585" s="139"/>
      <c r="X1585" s="139"/>
      <c r="Y1585" s="139"/>
      <c r="Z1585" s="139"/>
      <c r="AA1585" s="139"/>
      <c r="AB1585" s="139"/>
      <c r="AC1585" s="139"/>
      <c r="AD1585" s="139"/>
      <c r="AE1585" s="139"/>
      <c r="AF1585" s="139"/>
      <c r="AG1585" s="139"/>
      <c r="AH1585" s="139"/>
      <c r="AI1585" s="139"/>
      <c r="AJ1585" s="139"/>
      <c r="AK1585" s="139"/>
    </row>
    <row r="1586" spans="13:37" x14ac:dyDescent="0.25">
      <c r="M1586" s="139"/>
      <c r="N1586" s="139"/>
      <c r="O1586" s="139"/>
      <c r="P1586" s="139"/>
      <c r="R1586" s="139"/>
      <c r="S1586" s="139"/>
      <c r="T1586" s="139"/>
      <c r="U1586" s="139"/>
      <c r="V1586" s="139"/>
      <c r="W1586" s="139"/>
      <c r="X1586" s="139"/>
      <c r="Y1586" s="139"/>
      <c r="Z1586" s="139"/>
      <c r="AA1586" s="139"/>
      <c r="AB1586" s="139"/>
      <c r="AC1586" s="139"/>
      <c r="AD1586" s="139"/>
      <c r="AE1586" s="139"/>
      <c r="AF1586" s="139"/>
      <c r="AG1586" s="139"/>
      <c r="AH1586" s="139"/>
      <c r="AI1586" s="139"/>
      <c r="AJ1586" s="139"/>
      <c r="AK1586" s="139"/>
    </row>
    <row r="1587" spans="13:37" x14ac:dyDescent="0.25">
      <c r="M1587" s="139"/>
      <c r="N1587" s="139"/>
      <c r="O1587" s="139"/>
      <c r="P1587" s="139"/>
      <c r="R1587" s="139"/>
      <c r="S1587" s="139"/>
      <c r="T1587" s="139"/>
      <c r="U1587" s="139"/>
      <c r="V1587" s="139"/>
      <c r="W1587" s="139"/>
      <c r="X1587" s="139"/>
      <c r="Y1587" s="139"/>
      <c r="Z1587" s="139"/>
      <c r="AA1587" s="139"/>
      <c r="AB1587" s="139"/>
      <c r="AC1587" s="139"/>
      <c r="AD1587" s="139"/>
      <c r="AE1587" s="139"/>
      <c r="AF1587" s="139"/>
      <c r="AG1587" s="139"/>
      <c r="AH1587" s="139"/>
      <c r="AI1587" s="139"/>
      <c r="AJ1587" s="139"/>
      <c r="AK1587" s="139"/>
    </row>
    <row r="1588" spans="13:37" x14ac:dyDescent="0.25">
      <c r="M1588" s="139"/>
      <c r="N1588" s="139"/>
      <c r="O1588" s="139"/>
      <c r="P1588" s="139"/>
      <c r="R1588" s="139"/>
      <c r="S1588" s="139"/>
      <c r="T1588" s="139"/>
      <c r="U1588" s="139"/>
      <c r="V1588" s="139"/>
      <c r="W1588" s="139"/>
      <c r="X1588" s="139"/>
      <c r="Y1588" s="139"/>
      <c r="Z1588" s="139"/>
      <c r="AA1588" s="139"/>
      <c r="AB1588" s="139"/>
      <c r="AC1588" s="139"/>
      <c r="AD1588" s="139"/>
      <c r="AE1588" s="139"/>
      <c r="AF1588" s="139"/>
      <c r="AG1588" s="139"/>
      <c r="AH1588" s="139"/>
      <c r="AI1588" s="139"/>
      <c r="AJ1588" s="139"/>
      <c r="AK1588" s="139"/>
    </row>
    <row r="1589" spans="13:37" x14ac:dyDescent="0.25">
      <c r="M1589" s="139"/>
      <c r="N1589" s="139"/>
      <c r="O1589" s="139"/>
      <c r="P1589" s="139"/>
      <c r="R1589" s="139"/>
      <c r="S1589" s="139"/>
      <c r="T1589" s="139"/>
      <c r="U1589" s="139"/>
      <c r="V1589" s="139"/>
      <c r="W1589" s="139"/>
      <c r="X1589" s="139"/>
      <c r="Y1589" s="139"/>
      <c r="Z1589" s="139"/>
      <c r="AA1589" s="139"/>
      <c r="AB1589" s="139"/>
      <c r="AC1589" s="139"/>
      <c r="AD1589" s="139"/>
      <c r="AE1589" s="139"/>
      <c r="AF1589" s="139"/>
      <c r="AG1589" s="139"/>
      <c r="AH1589" s="139"/>
      <c r="AI1589" s="139"/>
      <c r="AJ1589" s="139"/>
      <c r="AK1589" s="139"/>
    </row>
    <row r="1590" spans="13:37" x14ac:dyDescent="0.25">
      <c r="M1590" s="139"/>
      <c r="N1590" s="139"/>
      <c r="O1590" s="139"/>
      <c r="P1590" s="139"/>
      <c r="R1590" s="139"/>
      <c r="S1590" s="139"/>
      <c r="T1590" s="139"/>
      <c r="U1590" s="139"/>
      <c r="V1590" s="139"/>
      <c r="W1590" s="139"/>
      <c r="X1590" s="139"/>
      <c r="Y1590" s="139"/>
      <c r="Z1590" s="139"/>
      <c r="AA1590" s="139"/>
      <c r="AB1590" s="139"/>
      <c r="AC1590" s="139"/>
      <c r="AD1590" s="139"/>
      <c r="AE1590" s="139"/>
      <c r="AF1590" s="139"/>
      <c r="AG1590" s="139"/>
      <c r="AH1590" s="139"/>
      <c r="AI1590" s="139"/>
      <c r="AJ1590" s="139"/>
      <c r="AK1590" s="139"/>
    </row>
    <row r="1591" spans="13:37" x14ac:dyDescent="0.25">
      <c r="M1591" s="139"/>
      <c r="N1591" s="139"/>
      <c r="O1591" s="139"/>
      <c r="P1591" s="139"/>
      <c r="R1591" s="139"/>
      <c r="S1591" s="139"/>
      <c r="T1591" s="139"/>
      <c r="U1591" s="139"/>
      <c r="V1591" s="139"/>
      <c r="W1591" s="139"/>
      <c r="X1591" s="139"/>
      <c r="Y1591" s="139"/>
      <c r="Z1591" s="139"/>
      <c r="AA1591" s="139"/>
      <c r="AB1591" s="139"/>
      <c r="AC1591" s="139"/>
      <c r="AD1591" s="139"/>
      <c r="AE1591" s="139"/>
      <c r="AF1591" s="139"/>
      <c r="AG1591" s="139"/>
      <c r="AH1591" s="139"/>
      <c r="AI1591" s="139"/>
      <c r="AJ1591" s="139"/>
      <c r="AK1591" s="139"/>
    </row>
    <row r="1592" spans="13:37" x14ac:dyDescent="0.25">
      <c r="M1592" s="139"/>
      <c r="N1592" s="139"/>
      <c r="O1592" s="139"/>
      <c r="P1592" s="139"/>
      <c r="R1592" s="139"/>
      <c r="S1592" s="139"/>
      <c r="T1592" s="139"/>
      <c r="U1592" s="139"/>
      <c r="V1592" s="139"/>
      <c r="W1592" s="139"/>
      <c r="X1592" s="139"/>
      <c r="Y1592" s="139"/>
      <c r="Z1592" s="139"/>
      <c r="AA1592" s="139"/>
      <c r="AB1592" s="139"/>
      <c r="AC1592" s="139"/>
      <c r="AD1592" s="139"/>
      <c r="AE1592" s="139"/>
      <c r="AF1592" s="139"/>
      <c r="AG1592" s="139"/>
      <c r="AH1592" s="139"/>
      <c r="AI1592" s="139"/>
      <c r="AJ1592" s="139"/>
      <c r="AK1592" s="139"/>
    </row>
    <row r="1593" spans="13:37" x14ac:dyDescent="0.25">
      <c r="M1593" s="139"/>
      <c r="N1593" s="139"/>
      <c r="O1593" s="139"/>
      <c r="P1593" s="139"/>
      <c r="R1593" s="139"/>
      <c r="S1593" s="139"/>
      <c r="T1593" s="139"/>
      <c r="U1593" s="139"/>
      <c r="V1593" s="139"/>
      <c r="W1593" s="139"/>
      <c r="X1593" s="139"/>
      <c r="Y1593" s="139"/>
      <c r="Z1593" s="139"/>
      <c r="AA1593" s="139"/>
      <c r="AB1593" s="139"/>
      <c r="AC1593" s="139"/>
      <c r="AD1593" s="139"/>
      <c r="AE1593" s="139"/>
      <c r="AF1593" s="139"/>
      <c r="AG1593" s="139"/>
      <c r="AH1593" s="139"/>
      <c r="AI1593" s="139"/>
      <c r="AJ1593" s="139"/>
      <c r="AK1593" s="139"/>
    </row>
    <row r="1594" spans="13:37" x14ac:dyDescent="0.25">
      <c r="M1594" s="139"/>
      <c r="N1594" s="139"/>
      <c r="O1594" s="139"/>
      <c r="P1594" s="139"/>
      <c r="R1594" s="139"/>
      <c r="S1594" s="139"/>
      <c r="T1594" s="139"/>
      <c r="U1594" s="139"/>
      <c r="V1594" s="139"/>
      <c r="W1594" s="139"/>
      <c r="X1594" s="139"/>
      <c r="Y1594" s="139"/>
      <c r="Z1594" s="139"/>
      <c r="AA1594" s="139"/>
      <c r="AB1594" s="139"/>
      <c r="AC1594" s="139"/>
      <c r="AD1594" s="139"/>
      <c r="AE1594" s="139"/>
      <c r="AF1594" s="139"/>
      <c r="AG1594" s="139"/>
      <c r="AH1594" s="139"/>
      <c r="AI1594" s="139"/>
      <c r="AJ1594" s="139"/>
      <c r="AK1594" s="139"/>
    </row>
    <row r="1595" spans="13:37" x14ac:dyDescent="0.25">
      <c r="M1595" s="139"/>
      <c r="N1595" s="139"/>
      <c r="O1595" s="139"/>
      <c r="P1595" s="139"/>
      <c r="R1595" s="139"/>
      <c r="S1595" s="139"/>
      <c r="T1595" s="139"/>
      <c r="U1595" s="139"/>
      <c r="V1595" s="139"/>
      <c r="W1595" s="139"/>
      <c r="X1595" s="139"/>
      <c r="Y1595" s="139"/>
      <c r="Z1595" s="139"/>
      <c r="AA1595" s="139"/>
      <c r="AB1595" s="139"/>
      <c r="AC1595" s="139"/>
      <c r="AD1595" s="139"/>
      <c r="AE1595" s="139"/>
      <c r="AF1595" s="139"/>
      <c r="AG1595" s="139"/>
      <c r="AH1595" s="139"/>
      <c r="AI1595" s="139"/>
      <c r="AJ1595" s="139"/>
      <c r="AK1595" s="139"/>
    </row>
    <row r="1596" spans="13:37" x14ac:dyDescent="0.25">
      <c r="M1596" s="139"/>
      <c r="N1596" s="139"/>
      <c r="O1596" s="139"/>
      <c r="P1596" s="139"/>
      <c r="R1596" s="139"/>
      <c r="S1596" s="139"/>
      <c r="T1596" s="139"/>
      <c r="U1596" s="139"/>
      <c r="V1596" s="139"/>
      <c r="W1596" s="139"/>
      <c r="X1596" s="139"/>
      <c r="Y1596" s="139"/>
      <c r="Z1596" s="139"/>
      <c r="AA1596" s="139"/>
      <c r="AB1596" s="139"/>
      <c r="AC1596" s="139"/>
      <c r="AD1596" s="139"/>
      <c r="AE1596" s="139"/>
      <c r="AF1596" s="139"/>
      <c r="AG1596" s="139"/>
      <c r="AH1596" s="139"/>
      <c r="AI1596" s="139"/>
      <c r="AJ1596" s="139"/>
      <c r="AK1596" s="139"/>
    </row>
    <row r="1597" spans="13:37" x14ac:dyDescent="0.25">
      <c r="M1597" s="139"/>
      <c r="N1597" s="139"/>
      <c r="O1597" s="139"/>
      <c r="P1597" s="139"/>
      <c r="R1597" s="139"/>
      <c r="S1597" s="139"/>
      <c r="T1597" s="139"/>
      <c r="U1597" s="139"/>
      <c r="V1597" s="139"/>
      <c r="W1597" s="139"/>
      <c r="X1597" s="139"/>
      <c r="Y1597" s="139"/>
      <c r="Z1597" s="139"/>
      <c r="AA1597" s="139"/>
      <c r="AB1597" s="139"/>
      <c r="AC1597" s="139"/>
      <c r="AD1597" s="139"/>
      <c r="AE1597" s="139"/>
      <c r="AF1597" s="139"/>
      <c r="AG1597" s="139"/>
      <c r="AH1597" s="139"/>
      <c r="AI1597" s="139"/>
      <c r="AJ1597" s="139"/>
      <c r="AK1597" s="139"/>
    </row>
    <row r="1598" spans="13:37" x14ac:dyDescent="0.25">
      <c r="M1598" s="139"/>
      <c r="N1598" s="139"/>
      <c r="O1598" s="139"/>
      <c r="P1598" s="139"/>
      <c r="R1598" s="139"/>
      <c r="S1598" s="139"/>
      <c r="T1598" s="139"/>
      <c r="U1598" s="139"/>
      <c r="V1598" s="139"/>
      <c r="W1598" s="139"/>
      <c r="X1598" s="139"/>
      <c r="Y1598" s="139"/>
      <c r="Z1598" s="139"/>
      <c r="AA1598" s="139"/>
      <c r="AB1598" s="139"/>
      <c r="AC1598" s="139"/>
      <c r="AD1598" s="139"/>
      <c r="AE1598" s="139"/>
      <c r="AF1598" s="139"/>
      <c r="AG1598" s="139"/>
      <c r="AH1598" s="139"/>
      <c r="AI1598" s="139"/>
      <c r="AJ1598" s="139"/>
      <c r="AK1598" s="139"/>
    </row>
    <row r="1599" spans="13:37" x14ac:dyDescent="0.25">
      <c r="M1599" s="139"/>
      <c r="N1599" s="139"/>
      <c r="O1599" s="139"/>
      <c r="P1599" s="139"/>
      <c r="R1599" s="139"/>
      <c r="S1599" s="139"/>
      <c r="T1599" s="139"/>
      <c r="U1599" s="139"/>
      <c r="V1599" s="139"/>
      <c r="W1599" s="139"/>
      <c r="X1599" s="139"/>
      <c r="Y1599" s="139"/>
      <c r="Z1599" s="139"/>
      <c r="AA1599" s="139"/>
      <c r="AB1599" s="139"/>
      <c r="AC1599" s="139"/>
      <c r="AD1599" s="139"/>
      <c r="AE1599" s="139"/>
      <c r="AF1599" s="139"/>
      <c r="AG1599" s="139"/>
      <c r="AH1599" s="139"/>
      <c r="AI1599" s="139"/>
      <c r="AJ1599" s="139"/>
      <c r="AK1599" s="139"/>
    </row>
    <row r="1600" spans="13:37" x14ac:dyDescent="0.25">
      <c r="M1600" s="139"/>
      <c r="N1600" s="139"/>
      <c r="O1600" s="139"/>
      <c r="P1600" s="139"/>
      <c r="R1600" s="139"/>
      <c r="S1600" s="139"/>
      <c r="T1600" s="139"/>
      <c r="U1600" s="139"/>
      <c r="V1600" s="139"/>
      <c r="W1600" s="139"/>
      <c r="X1600" s="139"/>
      <c r="Y1600" s="139"/>
      <c r="Z1600" s="139"/>
      <c r="AA1600" s="139"/>
      <c r="AB1600" s="139"/>
      <c r="AC1600" s="139"/>
      <c r="AD1600" s="139"/>
      <c r="AE1600" s="139"/>
      <c r="AF1600" s="139"/>
      <c r="AG1600" s="139"/>
      <c r="AH1600" s="139"/>
      <c r="AI1600" s="139"/>
      <c r="AJ1600" s="139"/>
      <c r="AK1600" s="139"/>
    </row>
    <row r="1601" spans="13:37" x14ac:dyDescent="0.25">
      <c r="M1601" s="139"/>
      <c r="N1601" s="139"/>
      <c r="O1601" s="139"/>
      <c r="P1601" s="139"/>
      <c r="R1601" s="139"/>
      <c r="S1601" s="139"/>
      <c r="T1601" s="139"/>
      <c r="U1601" s="139"/>
      <c r="V1601" s="139"/>
      <c r="W1601" s="139"/>
      <c r="X1601" s="139"/>
      <c r="Y1601" s="139"/>
      <c r="Z1601" s="139"/>
      <c r="AA1601" s="139"/>
      <c r="AB1601" s="139"/>
      <c r="AC1601" s="139"/>
      <c r="AD1601" s="139"/>
      <c r="AE1601" s="139"/>
      <c r="AF1601" s="139"/>
      <c r="AG1601" s="139"/>
      <c r="AH1601" s="139"/>
      <c r="AI1601" s="139"/>
      <c r="AJ1601" s="139"/>
      <c r="AK1601" s="139"/>
    </row>
    <row r="1602" spans="13:37" x14ac:dyDescent="0.25">
      <c r="M1602" s="139"/>
      <c r="N1602" s="139"/>
      <c r="O1602" s="139"/>
      <c r="P1602" s="139"/>
      <c r="R1602" s="139"/>
      <c r="S1602" s="139"/>
      <c r="T1602" s="139"/>
      <c r="U1602" s="139"/>
      <c r="V1602" s="139"/>
      <c r="W1602" s="139"/>
      <c r="X1602" s="139"/>
      <c r="Y1602" s="139"/>
      <c r="Z1602" s="139"/>
      <c r="AA1602" s="139"/>
      <c r="AB1602" s="139"/>
      <c r="AC1602" s="139"/>
      <c r="AD1602" s="139"/>
      <c r="AE1602" s="139"/>
      <c r="AF1602" s="139"/>
      <c r="AG1602" s="139"/>
      <c r="AH1602" s="139"/>
      <c r="AI1602" s="139"/>
      <c r="AJ1602" s="139"/>
      <c r="AK1602" s="139"/>
    </row>
    <row r="1603" spans="13:37" x14ac:dyDescent="0.25">
      <c r="M1603" s="139"/>
      <c r="N1603" s="139"/>
      <c r="O1603" s="139"/>
      <c r="P1603" s="139"/>
      <c r="R1603" s="139"/>
      <c r="S1603" s="139"/>
      <c r="T1603" s="139"/>
      <c r="U1603" s="139"/>
      <c r="V1603" s="139"/>
      <c r="W1603" s="139"/>
      <c r="X1603" s="139"/>
      <c r="Y1603" s="139"/>
      <c r="Z1603" s="139"/>
      <c r="AA1603" s="139"/>
      <c r="AB1603" s="139"/>
      <c r="AC1603" s="139"/>
      <c r="AD1603" s="139"/>
      <c r="AE1603" s="139"/>
      <c r="AF1603" s="139"/>
      <c r="AG1603" s="139"/>
      <c r="AH1603" s="139"/>
      <c r="AI1603" s="139"/>
      <c r="AJ1603" s="139"/>
      <c r="AK1603" s="139"/>
    </row>
    <row r="1604" spans="13:37" x14ac:dyDescent="0.25">
      <c r="M1604" s="139"/>
      <c r="N1604" s="139"/>
      <c r="O1604" s="139"/>
      <c r="P1604" s="139"/>
      <c r="R1604" s="139"/>
      <c r="S1604" s="139"/>
      <c r="T1604" s="139"/>
      <c r="U1604" s="139"/>
      <c r="V1604" s="139"/>
      <c r="W1604" s="139"/>
      <c r="X1604" s="139"/>
      <c r="Y1604" s="139"/>
      <c r="Z1604" s="139"/>
      <c r="AA1604" s="139"/>
      <c r="AB1604" s="139"/>
      <c r="AC1604" s="139"/>
      <c r="AD1604" s="139"/>
      <c r="AE1604" s="139"/>
      <c r="AF1604" s="139"/>
      <c r="AG1604" s="139"/>
      <c r="AH1604" s="139"/>
      <c r="AI1604" s="139"/>
      <c r="AJ1604" s="139"/>
      <c r="AK1604" s="139"/>
    </row>
    <row r="1605" spans="13:37" x14ac:dyDescent="0.25">
      <c r="M1605" s="139"/>
      <c r="N1605" s="139"/>
      <c r="O1605" s="139"/>
      <c r="P1605" s="139"/>
      <c r="R1605" s="139"/>
      <c r="S1605" s="139"/>
      <c r="T1605" s="139"/>
      <c r="U1605" s="139"/>
      <c r="V1605" s="139"/>
      <c r="W1605" s="139"/>
      <c r="X1605" s="139"/>
      <c r="Y1605" s="139"/>
      <c r="Z1605" s="139"/>
      <c r="AA1605" s="139"/>
      <c r="AB1605" s="139"/>
      <c r="AC1605" s="139"/>
      <c r="AD1605" s="139"/>
      <c r="AE1605" s="139"/>
      <c r="AF1605" s="139"/>
      <c r="AG1605" s="139"/>
      <c r="AH1605" s="139"/>
      <c r="AI1605" s="139"/>
      <c r="AJ1605" s="139"/>
      <c r="AK1605" s="139"/>
    </row>
    <row r="1606" spans="13:37" x14ac:dyDescent="0.25">
      <c r="M1606" s="139"/>
      <c r="N1606" s="139"/>
      <c r="O1606" s="139"/>
      <c r="P1606" s="139"/>
      <c r="R1606" s="139"/>
      <c r="S1606" s="139"/>
      <c r="T1606" s="139"/>
      <c r="U1606" s="139"/>
      <c r="V1606" s="139"/>
      <c r="W1606" s="139"/>
      <c r="X1606" s="139"/>
      <c r="Y1606" s="139"/>
      <c r="Z1606" s="139"/>
      <c r="AA1606" s="139"/>
      <c r="AB1606" s="139"/>
      <c r="AC1606" s="139"/>
      <c r="AD1606" s="139"/>
      <c r="AE1606" s="139"/>
      <c r="AF1606" s="139"/>
      <c r="AG1606" s="139"/>
      <c r="AH1606" s="139"/>
      <c r="AI1606" s="139"/>
      <c r="AJ1606" s="139"/>
      <c r="AK1606" s="139"/>
    </row>
    <row r="1607" spans="13:37" x14ac:dyDescent="0.25">
      <c r="M1607" s="139"/>
      <c r="N1607" s="139"/>
      <c r="O1607" s="139"/>
      <c r="P1607" s="139"/>
      <c r="R1607" s="139"/>
      <c r="S1607" s="139"/>
      <c r="T1607" s="139"/>
      <c r="U1607" s="139"/>
      <c r="V1607" s="139"/>
      <c r="W1607" s="139"/>
      <c r="X1607" s="139"/>
      <c r="Y1607" s="139"/>
      <c r="Z1607" s="139"/>
      <c r="AA1607" s="139"/>
      <c r="AB1607" s="139"/>
      <c r="AC1607" s="139"/>
      <c r="AD1607" s="139"/>
      <c r="AE1607" s="139"/>
      <c r="AF1607" s="139"/>
      <c r="AG1607" s="139"/>
      <c r="AH1607" s="139"/>
      <c r="AI1607" s="139"/>
      <c r="AJ1607" s="139"/>
      <c r="AK1607" s="139"/>
    </row>
    <row r="1608" spans="13:37" x14ac:dyDescent="0.25">
      <c r="M1608" s="139"/>
      <c r="N1608" s="139"/>
      <c r="O1608" s="139"/>
      <c r="P1608" s="139"/>
      <c r="R1608" s="139"/>
      <c r="S1608" s="139"/>
      <c r="T1608" s="139"/>
      <c r="U1608" s="139"/>
      <c r="V1608" s="139"/>
      <c r="W1608" s="139"/>
      <c r="X1608" s="139"/>
      <c r="Y1608" s="139"/>
      <c r="Z1608" s="139"/>
      <c r="AA1608" s="139"/>
      <c r="AB1608" s="139"/>
      <c r="AC1608" s="139"/>
      <c r="AD1608" s="139"/>
      <c r="AE1608" s="139"/>
      <c r="AF1608" s="139"/>
      <c r="AG1608" s="139"/>
      <c r="AH1608" s="139"/>
      <c r="AI1608" s="139"/>
      <c r="AJ1608" s="139"/>
      <c r="AK1608" s="139"/>
    </row>
    <row r="1609" spans="13:37" x14ac:dyDescent="0.25">
      <c r="M1609" s="139"/>
      <c r="N1609" s="139"/>
      <c r="O1609" s="139"/>
      <c r="P1609" s="139"/>
      <c r="R1609" s="139"/>
      <c r="S1609" s="139"/>
      <c r="T1609" s="139"/>
      <c r="U1609" s="139"/>
      <c r="V1609" s="139"/>
      <c r="W1609" s="139"/>
      <c r="X1609" s="139"/>
      <c r="Y1609" s="139"/>
      <c r="Z1609" s="139"/>
      <c r="AA1609" s="139"/>
      <c r="AB1609" s="139"/>
      <c r="AC1609" s="139"/>
      <c r="AD1609" s="139"/>
      <c r="AE1609" s="139"/>
      <c r="AF1609" s="139"/>
      <c r="AG1609" s="139"/>
      <c r="AH1609" s="139"/>
      <c r="AI1609" s="139"/>
      <c r="AJ1609" s="139"/>
      <c r="AK1609" s="139"/>
    </row>
    <row r="1610" spans="13:37" x14ac:dyDescent="0.25">
      <c r="M1610" s="139"/>
      <c r="N1610" s="139"/>
      <c r="O1610" s="139"/>
      <c r="P1610" s="139"/>
      <c r="R1610" s="139"/>
      <c r="S1610" s="139"/>
      <c r="T1610" s="139"/>
      <c r="U1610" s="139"/>
      <c r="V1610" s="139"/>
      <c r="W1610" s="139"/>
      <c r="X1610" s="139"/>
      <c r="Y1610" s="139"/>
      <c r="Z1610" s="139"/>
      <c r="AA1610" s="139"/>
      <c r="AB1610" s="139"/>
      <c r="AC1610" s="139"/>
      <c r="AD1610" s="139"/>
      <c r="AE1610" s="139"/>
      <c r="AF1610" s="139"/>
      <c r="AG1610" s="139"/>
      <c r="AH1610" s="139"/>
      <c r="AI1610" s="139"/>
      <c r="AJ1610" s="139"/>
      <c r="AK1610" s="139"/>
    </row>
    <row r="1611" spans="13:37" x14ac:dyDescent="0.25">
      <c r="M1611" s="139"/>
      <c r="N1611" s="139"/>
      <c r="O1611" s="139"/>
      <c r="P1611" s="139"/>
      <c r="R1611" s="139"/>
      <c r="S1611" s="139"/>
      <c r="T1611" s="139"/>
      <c r="U1611" s="139"/>
      <c r="V1611" s="139"/>
      <c r="W1611" s="139"/>
      <c r="X1611" s="139"/>
      <c r="Y1611" s="139"/>
      <c r="Z1611" s="139"/>
      <c r="AA1611" s="139"/>
      <c r="AB1611" s="139"/>
      <c r="AC1611" s="139"/>
      <c r="AD1611" s="139"/>
      <c r="AE1611" s="139"/>
      <c r="AF1611" s="139"/>
      <c r="AG1611" s="139"/>
      <c r="AH1611" s="139"/>
      <c r="AI1611" s="139"/>
      <c r="AJ1611" s="139"/>
      <c r="AK1611" s="139"/>
    </row>
    <row r="1612" spans="13:37" x14ac:dyDescent="0.25">
      <c r="M1612" s="139"/>
      <c r="N1612" s="139"/>
      <c r="O1612" s="139"/>
      <c r="P1612" s="139"/>
      <c r="R1612" s="139"/>
      <c r="S1612" s="139"/>
      <c r="T1612" s="139"/>
      <c r="U1612" s="139"/>
      <c r="V1612" s="139"/>
      <c r="W1612" s="139"/>
      <c r="X1612" s="139"/>
      <c r="Y1612" s="139"/>
      <c r="Z1612" s="139"/>
      <c r="AA1612" s="139"/>
      <c r="AB1612" s="139"/>
      <c r="AC1612" s="139"/>
      <c r="AD1612" s="139"/>
      <c r="AE1612" s="139"/>
      <c r="AF1612" s="139"/>
      <c r="AG1612" s="139"/>
      <c r="AH1612" s="139"/>
      <c r="AI1612" s="139"/>
      <c r="AJ1612" s="139"/>
      <c r="AK1612" s="139"/>
    </row>
    <row r="1613" spans="13:37" x14ac:dyDescent="0.25">
      <c r="M1613" s="139"/>
      <c r="N1613" s="139"/>
      <c r="O1613" s="139"/>
      <c r="P1613" s="139"/>
      <c r="R1613" s="139"/>
      <c r="S1613" s="139"/>
      <c r="T1613" s="139"/>
      <c r="U1613" s="139"/>
      <c r="V1613" s="139"/>
      <c r="W1613" s="139"/>
      <c r="X1613" s="139"/>
      <c r="Y1613" s="139"/>
      <c r="Z1613" s="139"/>
      <c r="AA1613" s="139"/>
      <c r="AB1613" s="139"/>
      <c r="AC1613" s="139"/>
      <c r="AD1613" s="139"/>
      <c r="AE1613" s="139"/>
      <c r="AF1613" s="139"/>
      <c r="AG1613" s="139"/>
      <c r="AH1613" s="139"/>
      <c r="AI1613" s="139"/>
      <c r="AJ1613" s="139"/>
      <c r="AK1613" s="139"/>
    </row>
    <row r="1614" spans="13:37" x14ac:dyDescent="0.25">
      <c r="M1614" s="139"/>
      <c r="N1614" s="139"/>
      <c r="O1614" s="139"/>
      <c r="P1614" s="139"/>
      <c r="R1614" s="139"/>
      <c r="S1614" s="139"/>
      <c r="T1614" s="139"/>
      <c r="U1614" s="139"/>
      <c r="V1614" s="139"/>
      <c r="W1614" s="139"/>
      <c r="X1614" s="139"/>
      <c r="Y1614" s="139"/>
      <c r="Z1614" s="139"/>
      <c r="AA1614" s="139"/>
      <c r="AB1614" s="139"/>
      <c r="AC1614" s="139"/>
      <c r="AD1614" s="139"/>
      <c r="AE1614" s="139"/>
      <c r="AF1614" s="139"/>
      <c r="AG1614" s="139"/>
      <c r="AH1614" s="139"/>
      <c r="AI1614" s="139"/>
      <c r="AJ1614" s="139"/>
      <c r="AK1614" s="139"/>
    </row>
    <row r="1615" spans="13:37" x14ac:dyDescent="0.25">
      <c r="M1615" s="139"/>
      <c r="N1615" s="139"/>
      <c r="O1615" s="139"/>
      <c r="P1615" s="139"/>
      <c r="R1615" s="139"/>
      <c r="S1615" s="139"/>
      <c r="T1615" s="139"/>
      <c r="U1615" s="139"/>
      <c r="V1615" s="139"/>
      <c r="W1615" s="139"/>
      <c r="X1615" s="139"/>
      <c r="Y1615" s="139"/>
      <c r="Z1615" s="139"/>
      <c r="AA1615" s="139"/>
      <c r="AB1615" s="139"/>
      <c r="AC1615" s="139"/>
      <c r="AD1615" s="139"/>
      <c r="AE1615" s="139"/>
      <c r="AF1615" s="139"/>
      <c r="AG1615" s="139"/>
      <c r="AH1615" s="139"/>
      <c r="AI1615" s="139"/>
      <c r="AJ1615" s="139"/>
      <c r="AK1615" s="139"/>
    </row>
    <row r="1616" spans="13:37" x14ac:dyDescent="0.25">
      <c r="M1616" s="139"/>
      <c r="N1616" s="139"/>
      <c r="O1616" s="139"/>
      <c r="P1616" s="139"/>
      <c r="R1616" s="139"/>
      <c r="S1616" s="139"/>
      <c r="T1616" s="139"/>
      <c r="U1616" s="139"/>
      <c r="V1616" s="139"/>
      <c r="W1616" s="139"/>
      <c r="X1616" s="139"/>
      <c r="Y1616" s="139"/>
      <c r="Z1616" s="139"/>
      <c r="AA1616" s="139"/>
      <c r="AB1616" s="139"/>
      <c r="AC1616" s="139"/>
      <c r="AD1616" s="139"/>
      <c r="AE1616" s="139"/>
      <c r="AF1616" s="139"/>
      <c r="AG1616" s="139"/>
      <c r="AH1616" s="139"/>
      <c r="AI1616" s="139"/>
      <c r="AJ1616" s="139"/>
      <c r="AK1616" s="139"/>
    </row>
    <row r="1617" spans="13:37" x14ac:dyDescent="0.25">
      <c r="M1617" s="139"/>
      <c r="N1617" s="139"/>
      <c r="O1617" s="139"/>
      <c r="P1617" s="139"/>
      <c r="R1617" s="139"/>
      <c r="S1617" s="139"/>
      <c r="T1617" s="139"/>
      <c r="U1617" s="139"/>
      <c r="V1617" s="139"/>
      <c r="W1617" s="139"/>
      <c r="X1617" s="139"/>
      <c r="Y1617" s="139"/>
      <c r="Z1617" s="139"/>
      <c r="AA1617" s="139"/>
      <c r="AB1617" s="139"/>
      <c r="AC1617" s="139"/>
      <c r="AD1617" s="139"/>
      <c r="AE1617" s="139"/>
      <c r="AF1617" s="139"/>
      <c r="AG1617" s="139"/>
      <c r="AH1617" s="139"/>
      <c r="AI1617" s="139"/>
      <c r="AJ1617" s="139"/>
      <c r="AK1617" s="139"/>
    </row>
    <row r="1618" spans="13:37" x14ac:dyDescent="0.25">
      <c r="M1618" s="139"/>
      <c r="N1618" s="139"/>
      <c r="O1618" s="139"/>
      <c r="P1618" s="139"/>
      <c r="R1618" s="139"/>
      <c r="S1618" s="139"/>
      <c r="T1618" s="139"/>
      <c r="U1618" s="139"/>
      <c r="V1618" s="139"/>
      <c r="W1618" s="139"/>
      <c r="X1618" s="139"/>
      <c r="Y1618" s="139"/>
      <c r="Z1618" s="139"/>
      <c r="AA1618" s="139"/>
      <c r="AB1618" s="139"/>
      <c r="AC1618" s="139"/>
      <c r="AD1618" s="139"/>
      <c r="AE1618" s="139"/>
      <c r="AF1618" s="139"/>
      <c r="AG1618" s="139"/>
      <c r="AH1618" s="139"/>
      <c r="AI1618" s="139"/>
      <c r="AJ1618" s="139"/>
      <c r="AK1618" s="139"/>
    </row>
    <row r="1619" spans="13:37" x14ac:dyDescent="0.25">
      <c r="M1619" s="139"/>
      <c r="N1619" s="139"/>
      <c r="O1619" s="139"/>
      <c r="P1619" s="139"/>
      <c r="R1619" s="139"/>
      <c r="S1619" s="139"/>
      <c r="T1619" s="139"/>
      <c r="U1619" s="139"/>
      <c r="V1619" s="139"/>
      <c r="W1619" s="139"/>
      <c r="X1619" s="139"/>
      <c r="Y1619" s="139"/>
      <c r="Z1619" s="139"/>
      <c r="AA1619" s="139"/>
      <c r="AB1619" s="139"/>
      <c r="AC1619" s="139"/>
      <c r="AD1619" s="139"/>
      <c r="AE1619" s="139"/>
      <c r="AF1619" s="139"/>
      <c r="AG1619" s="139"/>
      <c r="AH1619" s="139"/>
      <c r="AI1619" s="139"/>
      <c r="AJ1619" s="139"/>
      <c r="AK1619" s="139"/>
    </row>
    <row r="1620" spans="13:37" x14ac:dyDescent="0.25">
      <c r="M1620" s="139"/>
      <c r="N1620" s="139"/>
      <c r="O1620" s="139"/>
      <c r="P1620" s="139"/>
      <c r="R1620" s="139"/>
      <c r="S1620" s="139"/>
      <c r="T1620" s="139"/>
      <c r="U1620" s="139"/>
      <c r="V1620" s="139"/>
      <c r="W1620" s="139"/>
      <c r="X1620" s="139"/>
      <c r="Y1620" s="139"/>
      <c r="Z1620" s="139"/>
      <c r="AA1620" s="139"/>
      <c r="AB1620" s="139"/>
      <c r="AC1620" s="139"/>
      <c r="AD1620" s="139"/>
      <c r="AE1620" s="139"/>
      <c r="AF1620" s="139"/>
      <c r="AG1620" s="139"/>
      <c r="AH1620" s="139"/>
      <c r="AI1620" s="139"/>
      <c r="AJ1620" s="139"/>
      <c r="AK1620" s="139"/>
    </row>
    <row r="1621" spans="13:37" x14ac:dyDescent="0.25">
      <c r="M1621" s="139"/>
      <c r="N1621" s="139"/>
      <c r="O1621" s="139"/>
      <c r="P1621" s="139"/>
      <c r="R1621" s="139"/>
      <c r="S1621" s="139"/>
      <c r="T1621" s="139"/>
      <c r="U1621" s="139"/>
      <c r="V1621" s="139"/>
      <c r="W1621" s="139"/>
      <c r="X1621" s="139"/>
      <c r="Y1621" s="139"/>
      <c r="Z1621" s="139"/>
      <c r="AA1621" s="139"/>
      <c r="AB1621" s="139"/>
      <c r="AC1621" s="139"/>
      <c r="AD1621" s="139"/>
      <c r="AE1621" s="139"/>
      <c r="AF1621" s="139"/>
      <c r="AG1621" s="139"/>
      <c r="AH1621" s="139"/>
      <c r="AI1621" s="139"/>
      <c r="AJ1621" s="139"/>
      <c r="AK1621" s="139"/>
    </row>
    <row r="1622" spans="13:37" x14ac:dyDescent="0.25">
      <c r="M1622" s="139"/>
      <c r="N1622" s="139"/>
      <c r="O1622" s="139"/>
      <c r="P1622" s="139"/>
      <c r="R1622" s="139"/>
      <c r="S1622" s="139"/>
      <c r="T1622" s="139"/>
      <c r="U1622" s="139"/>
      <c r="V1622" s="139"/>
      <c r="W1622" s="139"/>
      <c r="X1622" s="139"/>
      <c r="Y1622" s="139"/>
      <c r="Z1622" s="139"/>
      <c r="AA1622" s="139"/>
      <c r="AB1622" s="139"/>
      <c r="AC1622" s="139"/>
      <c r="AD1622" s="139"/>
      <c r="AE1622" s="139"/>
      <c r="AF1622" s="139"/>
      <c r="AG1622" s="139"/>
      <c r="AH1622" s="139"/>
      <c r="AI1622" s="139"/>
      <c r="AJ1622" s="139"/>
      <c r="AK1622" s="139"/>
    </row>
    <row r="1623" spans="13:37" x14ac:dyDescent="0.25">
      <c r="M1623" s="139"/>
      <c r="N1623" s="139"/>
      <c r="O1623" s="139"/>
      <c r="P1623" s="139"/>
      <c r="R1623" s="139"/>
      <c r="S1623" s="139"/>
      <c r="T1623" s="139"/>
      <c r="U1623" s="139"/>
      <c r="V1623" s="139"/>
      <c r="W1623" s="139"/>
      <c r="X1623" s="139"/>
      <c r="Y1623" s="139"/>
      <c r="Z1623" s="139"/>
      <c r="AA1623" s="139"/>
      <c r="AB1623" s="139"/>
      <c r="AC1623" s="139"/>
      <c r="AD1623" s="139"/>
      <c r="AE1623" s="139"/>
      <c r="AF1623" s="139"/>
      <c r="AG1623" s="139"/>
      <c r="AH1623" s="139"/>
      <c r="AI1623" s="139"/>
      <c r="AJ1623" s="139"/>
      <c r="AK1623" s="139"/>
    </row>
    <row r="1624" spans="13:37" x14ac:dyDescent="0.25">
      <c r="M1624" s="139"/>
      <c r="N1624" s="139"/>
      <c r="O1624" s="139"/>
      <c r="P1624" s="139"/>
      <c r="R1624" s="139"/>
      <c r="S1624" s="139"/>
      <c r="T1624" s="139"/>
      <c r="U1624" s="139"/>
      <c r="V1624" s="139"/>
      <c r="W1624" s="139"/>
      <c r="X1624" s="139"/>
      <c r="Y1624" s="139"/>
      <c r="Z1624" s="139"/>
      <c r="AA1624" s="139"/>
      <c r="AB1624" s="139"/>
      <c r="AC1624" s="139"/>
      <c r="AD1624" s="139"/>
      <c r="AE1624" s="139"/>
      <c r="AF1624" s="139"/>
      <c r="AG1624" s="139"/>
      <c r="AH1624" s="139"/>
      <c r="AI1624" s="139"/>
      <c r="AJ1624" s="139"/>
      <c r="AK1624" s="139"/>
    </row>
    <row r="1625" spans="13:37" x14ac:dyDescent="0.25">
      <c r="M1625" s="139"/>
      <c r="N1625" s="139"/>
      <c r="O1625" s="139"/>
      <c r="P1625" s="139"/>
      <c r="R1625" s="139"/>
      <c r="S1625" s="139"/>
      <c r="T1625" s="139"/>
      <c r="U1625" s="139"/>
      <c r="V1625" s="139"/>
      <c r="W1625" s="139"/>
      <c r="X1625" s="139"/>
      <c r="Y1625" s="139"/>
      <c r="Z1625" s="139"/>
      <c r="AA1625" s="139"/>
      <c r="AB1625" s="139"/>
      <c r="AC1625" s="139"/>
      <c r="AD1625" s="139"/>
      <c r="AE1625" s="139"/>
      <c r="AF1625" s="139"/>
      <c r="AG1625" s="139"/>
      <c r="AH1625" s="139"/>
      <c r="AI1625" s="139"/>
      <c r="AJ1625" s="139"/>
      <c r="AK1625" s="139"/>
    </row>
    <row r="1626" spans="13:37" x14ac:dyDescent="0.25">
      <c r="M1626" s="139"/>
      <c r="N1626" s="139"/>
      <c r="O1626" s="139"/>
      <c r="P1626" s="139"/>
      <c r="R1626" s="139"/>
      <c r="S1626" s="139"/>
      <c r="T1626" s="139"/>
      <c r="U1626" s="139"/>
      <c r="V1626" s="139"/>
      <c r="W1626" s="139"/>
      <c r="X1626" s="139"/>
      <c r="Y1626" s="139"/>
      <c r="Z1626" s="139"/>
      <c r="AA1626" s="139"/>
      <c r="AB1626" s="139"/>
      <c r="AC1626" s="139"/>
      <c r="AD1626" s="139"/>
      <c r="AE1626" s="139"/>
      <c r="AF1626" s="139"/>
      <c r="AG1626" s="139"/>
      <c r="AH1626" s="139"/>
      <c r="AI1626" s="139"/>
      <c r="AJ1626" s="139"/>
      <c r="AK1626" s="139"/>
    </row>
    <row r="1627" spans="13:37" x14ac:dyDescent="0.25">
      <c r="M1627" s="139"/>
      <c r="N1627" s="139"/>
      <c r="O1627" s="139"/>
      <c r="P1627" s="139"/>
      <c r="R1627" s="139"/>
      <c r="S1627" s="139"/>
      <c r="T1627" s="139"/>
      <c r="U1627" s="139"/>
      <c r="V1627" s="139"/>
      <c r="W1627" s="139"/>
      <c r="X1627" s="139"/>
      <c r="Y1627" s="139"/>
      <c r="Z1627" s="139"/>
      <c r="AA1627" s="139"/>
      <c r="AB1627" s="139"/>
      <c r="AC1627" s="139"/>
      <c r="AD1627" s="139"/>
      <c r="AE1627" s="139"/>
      <c r="AF1627" s="139"/>
      <c r="AG1627" s="139"/>
      <c r="AH1627" s="139"/>
      <c r="AI1627" s="139"/>
      <c r="AJ1627" s="139"/>
      <c r="AK1627" s="139"/>
    </row>
    <row r="1628" spans="13:37" x14ac:dyDescent="0.25">
      <c r="M1628" s="139"/>
      <c r="N1628" s="139"/>
      <c r="O1628" s="139"/>
      <c r="P1628" s="139"/>
      <c r="R1628" s="139"/>
      <c r="S1628" s="139"/>
      <c r="T1628" s="139"/>
      <c r="U1628" s="139"/>
      <c r="V1628" s="139"/>
      <c r="W1628" s="139"/>
      <c r="X1628" s="139"/>
      <c r="Y1628" s="139"/>
      <c r="Z1628" s="139"/>
      <c r="AA1628" s="139"/>
      <c r="AB1628" s="139"/>
      <c r="AC1628" s="139"/>
      <c r="AD1628" s="139"/>
      <c r="AE1628" s="139"/>
      <c r="AF1628" s="139"/>
      <c r="AG1628" s="139"/>
      <c r="AH1628" s="139"/>
      <c r="AI1628" s="139"/>
      <c r="AJ1628" s="139"/>
      <c r="AK1628" s="139"/>
    </row>
    <row r="1629" spans="13:37" x14ac:dyDescent="0.25">
      <c r="M1629" s="139"/>
      <c r="N1629" s="139"/>
      <c r="O1629" s="139"/>
      <c r="P1629" s="139"/>
      <c r="R1629" s="139"/>
      <c r="S1629" s="139"/>
      <c r="T1629" s="139"/>
      <c r="U1629" s="139"/>
      <c r="V1629" s="139"/>
      <c r="W1629" s="139"/>
      <c r="X1629" s="139"/>
      <c r="Y1629" s="139"/>
      <c r="Z1629" s="139"/>
      <c r="AA1629" s="139"/>
      <c r="AB1629" s="139"/>
      <c r="AC1629" s="139"/>
      <c r="AD1629" s="139"/>
      <c r="AE1629" s="139"/>
      <c r="AF1629" s="139"/>
      <c r="AG1629" s="139"/>
      <c r="AH1629" s="139"/>
      <c r="AI1629" s="139"/>
      <c r="AJ1629" s="139"/>
      <c r="AK1629" s="139"/>
    </row>
    <row r="1630" spans="13:37" x14ac:dyDescent="0.25">
      <c r="M1630" s="139"/>
      <c r="N1630" s="139"/>
      <c r="O1630" s="139"/>
      <c r="P1630" s="139"/>
      <c r="R1630" s="139"/>
      <c r="S1630" s="139"/>
      <c r="T1630" s="139"/>
      <c r="U1630" s="139"/>
      <c r="V1630" s="139"/>
      <c r="W1630" s="139"/>
      <c r="X1630" s="139"/>
      <c r="Y1630" s="139"/>
      <c r="Z1630" s="139"/>
      <c r="AA1630" s="139"/>
      <c r="AB1630" s="139"/>
      <c r="AC1630" s="139"/>
      <c r="AD1630" s="139"/>
      <c r="AE1630" s="139"/>
      <c r="AF1630" s="139"/>
      <c r="AG1630" s="139"/>
      <c r="AH1630" s="139"/>
      <c r="AI1630" s="139"/>
      <c r="AJ1630" s="139"/>
      <c r="AK1630" s="139"/>
    </row>
    <row r="1631" spans="13:37" x14ac:dyDescent="0.25">
      <c r="M1631" s="139"/>
      <c r="N1631" s="139"/>
      <c r="O1631" s="139"/>
      <c r="P1631" s="139"/>
      <c r="R1631" s="139"/>
      <c r="S1631" s="139"/>
      <c r="T1631" s="139"/>
      <c r="U1631" s="139"/>
      <c r="V1631" s="139"/>
      <c r="W1631" s="139"/>
      <c r="X1631" s="139"/>
      <c r="Y1631" s="139"/>
      <c r="Z1631" s="139"/>
      <c r="AA1631" s="139"/>
      <c r="AB1631" s="139"/>
      <c r="AC1631" s="139"/>
      <c r="AD1631" s="139"/>
      <c r="AE1631" s="139"/>
      <c r="AF1631" s="139"/>
      <c r="AG1631" s="139"/>
      <c r="AH1631" s="139"/>
      <c r="AI1631" s="139"/>
      <c r="AJ1631" s="139"/>
      <c r="AK1631" s="139"/>
    </row>
    <row r="1632" spans="13:37" x14ac:dyDescent="0.25">
      <c r="M1632" s="139"/>
      <c r="N1632" s="139"/>
      <c r="O1632" s="139"/>
      <c r="P1632" s="139"/>
      <c r="R1632" s="139"/>
      <c r="S1632" s="139"/>
      <c r="T1632" s="139"/>
      <c r="U1632" s="139"/>
      <c r="V1632" s="139"/>
      <c r="W1632" s="139"/>
      <c r="X1632" s="139"/>
      <c r="Y1632" s="139"/>
      <c r="Z1632" s="139"/>
      <c r="AA1632" s="139"/>
      <c r="AB1632" s="139"/>
      <c r="AC1632" s="139"/>
      <c r="AD1632" s="139"/>
      <c r="AE1632" s="139"/>
      <c r="AF1632" s="139"/>
      <c r="AG1632" s="139"/>
      <c r="AH1632" s="139"/>
      <c r="AI1632" s="139"/>
      <c r="AJ1632" s="139"/>
      <c r="AK1632" s="139"/>
    </row>
    <row r="1633" spans="13:37" x14ac:dyDescent="0.25">
      <c r="M1633" s="139"/>
      <c r="N1633" s="139"/>
      <c r="O1633" s="139"/>
      <c r="P1633" s="139"/>
      <c r="R1633" s="139"/>
      <c r="S1633" s="139"/>
      <c r="T1633" s="139"/>
      <c r="U1633" s="139"/>
      <c r="V1633" s="139"/>
      <c r="W1633" s="139"/>
      <c r="X1633" s="139"/>
      <c r="Y1633" s="139"/>
      <c r="Z1633" s="139"/>
      <c r="AA1633" s="139"/>
      <c r="AB1633" s="139"/>
      <c r="AC1633" s="139"/>
      <c r="AD1633" s="139"/>
      <c r="AE1633" s="139"/>
      <c r="AF1633" s="139"/>
      <c r="AG1633" s="139"/>
      <c r="AH1633" s="139"/>
      <c r="AI1633" s="139"/>
      <c r="AJ1633" s="139"/>
      <c r="AK1633" s="139"/>
    </row>
    <row r="1634" spans="13:37" x14ac:dyDescent="0.25">
      <c r="M1634" s="139"/>
      <c r="N1634" s="139"/>
      <c r="O1634" s="139"/>
      <c r="P1634" s="139"/>
      <c r="R1634" s="139"/>
      <c r="S1634" s="139"/>
      <c r="T1634" s="139"/>
      <c r="U1634" s="139"/>
      <c r="V1634" s="139"/>
      <c r="W1634" s="139"/>
      <c r="X1634" s="139"/>
      <c r="Y1634" s="139"/>
      <c r="Z1634" s="139"/>
      <c r="AA1634" s="139"/>
      <c r="AB1634" s="139"/>
      <c r="AC1634" s="139"/>
      <c r="AD1634" s="139"/>
      <c r="AE1634" s="139"/>
      <c r="AF1634" s="139"/>
      <c r="AG1634" s="139"/>
      <c r="AH1634" s="139"/>
      <c r="AI1634" s="139"/>
      <c r="AJ1634" s="139"/>
      <c r="AK1634" s="139"/>
    </row>
    <row r="1635" spans="13:37" x14ac:dyDescent="0.25">
      <c r="M1635" s="139"/>
      <c r="N1635" s="139"/>
      <c r="O1635" s="139"/>
      <c r="P1635" s="139"/>
      <c r="R1635" s="139"/>
      <c r="S1635" s="139"/>
      <c r="T1635" s="139"/>
      <c r="U1635" s="139"/>
      <c r="V1635" s="139"/>
      <c r="W1635" s="139"/>
      <c r="X1635" s="139"/>
      <c r="Y1635" s="139"/>
      <c r="Z1635" s="139"/>
      <c r="AA1635" s="139"/>
      <c r="AB1635" s="139"/>
      <c r="AC1635" s="139"/>
      <c r="AD1635" s="139"/>
      <c r="AE1635" s="139"/>
      <c r="AF1635" s="139"/>
      <c r="AG1635" s="139"/>
      <c r="AH1635" s="139"/>
      <c r="AI1635" s="139"/>
      <c r="AJ1635" s="139"/>
      <c r="AK1635" s="139"/>
    </row>
    <row r="1636" spans="13:37" x14ac:dyDescent="0.25">
      <c r="M1636" s="139"/>
      <c r="N1636" s="139"/>
      <c r="O1636" s="139"/>
      <c r="P1636" s="139"/>
      <c r="R1636" s="139"/>
      <c r="S1636" s="139"/>
      <c r="T1636" s="139"/>
      <c r="U1636" s="139"/>
      <c r="V1636" s="139"/>
      <c r="W1636" s="139"/>
      <c r="X1636" s="139"/>
      <c r="Y1636" s="139"/>
      <c r="Z1636" s="139"/>
      <c r="AA1636" s="139"/>
      <c r="AB1636" s="139"/>
      <c r="AC1636" s="139"/>
      <c r="AD1636" s="139"/>
      <c r="AE1636" s="139"/>
      <c r="AF1636" s="139"/>
      <c r="AG1636" s="139"/>
      <c r="AH1636" s="139"/>
      <c r="AI1636" s="139"/>
      <c r="AJ1636" s="139"/>
      <c r="AK1636" s="139"/>
    </row>
    <row r="1637" spans="13:37" x14ac:dyDescent="0.25">
      <c r="M1637" s="139"/>
      <c r="N1637" s="139"/>
      <c r="O1637" s="139"/>
      <c r="P1637" s="139"/>
      <c r="R1637" s="139"/>
      <c r="S1637" s="139"/>
      <c r="T1637" s="139"/>
      <c r="U1637" s="139"/>
      <c r="V1637" s="139"/>
      <c r="W1637" s="139"/>
      <c r="X1637" s="139"/>
      <c r="Y1637" s="139"/>
      <c r="Z1637" s="139"/>
      <c r="AA1637" s="139"/>
      <c r="AB1637" s="139"/>
      <c r="AC1637" s="139"/>
      <c r="AD1637" s="139"/>
      <c r="AE1637" s="139"/>
      <c r="AF1637" s="139"/>
      <c r="AG1637" s="139"/>
      <c r="AH1637" s="139"/>
      <c r="AI1637" s="139"/>
      <c r="AJ1637" s="139"/>
      <c r="AK1637" s="139"/>
    </row>
    <row r="1638" spans="13:37" x14ac:dyDescent="0.25">
      <c r="M1638" s="139"/>
      <c r="N1638" s="139"/>
      <c r="O1638" s="139"/>
      <c r="P1638" s="139"/>
      <c r="R1638" s="139"/>
      <c r="S1638" s="139"/>
      <c r="T1638" s="139"/>
      <c r="U1638" s="139"/>
      <c r="V1638" s="139"/>
      <c r="W1638" s="139"/>
      <c r="X1638" s="139"/>
      <c r="Y1638" s="139"/>
      <c r="Z1638" s="139"/>
      <c r="AA1638" s="139"/>
      <c r="AB1638" s="139"/>
      <c r="AC1638" s="139"/>
      <c r="AD1638" s="139"/>
      <c r="AE1638" s="139"/>
      <c r="AF1638" s="139"/>
      <c r="AG1638" s="139"/>
      <c r="AH1638" s="139"/>
      <c r="AI1638" s="139"/>
      <c r="AJ1638" s="139"/>
      <c r="AK1638" s="139"/>
    </row>
    <row r="1639" spans="13:37" x14ac:dyDescent="0.25">
      <c r="M1639" s="139"/>
      <c r="N1639" s="139"/>
      <c r="O1639" s="139"/>
      <c r="P1639" s="139"/>
      <c r="R1639" s="139"/>
      <c r="S1639" s="139"/>
      <c r="T1639" s="139"/>
      <c r="U1639" s="139"/>
      <c r="V1639" s="139"/>
      <c r="W1639" s="139"/>
      <c r="X1639" s="139"/>
      <c r="Y1639" s="139"/>
      <c r="Z1639" s="139"/>
      <c r="AA1639" s="139"/>
      <c r="AB1639" s="139"/>
      <c r="AC1639" s="139"/>
      <c r="AD1639" s="139"/>
      <c r="AE1639" s="139"/>
      <c r="AF1639" s="139"/>
      <c r="AG1639" s="139"/>
      <c r="AH1639" s="139"/>
      <c r="AI1639" s="139"/>
      <c r="AJ1639" s="139"/>
      <c r="AK1639" s="139"/>
    </row>
    <row r="1640" spans="13:37" x14ac:dyDescent="0.25">
      <c r="M1640" s="139"/>
      <c r="N1640" s="139"/>
      <c r="O1640" s="139"/>
      <c r="P1640" s="139"/>
      <c r="R1640" s="139"/>
      <c r="S1640" s="139"/>
      <c r="T1640" s="139"/>
      <c r="U1640" s="139"/>
      <c r="V1640" s="139"/>
      <c r="W1640" s="139"/>
      <c r="X1640" s="139"/>
      <c r="Y1640" s="139"/>
      <c r="Z1640" s="139"/>
      <c r="AA1640" s="139"/>
      <c r="AB1640" s="139"/>
      <c r="AC1640" s="139"/>
      <c r="AD1640" s="139"/>
      <c r="AE1640" s="139"/>
      <c r="AF1640" s="139"/>
      <c r="AG1640" s="139"/>
      <c r="AH1640" s="139"/>
      <c r="AI1640" s="139"/>
      <c r="AJ1640" s="139"/>
      <c r="AK1640" s="139"/>
    </row>
    <row r="1641" spans="13:37" x14ac:dyDescent="0.25">
      <c r="M1641" s="139"/>
      <c r="N1641" s="139"/>
      <c r="O1641" s="139"/>
      <c r="P1641" s="139"/>
      <c r="R1641" s="139"/>
      <c r="S1641" s="139"/>
      <c r="T1641" s="139"/>
      <c r="U1641" s="139"/>
      <c r="V1641" s="139"/>
      <c r="W1641" s="139"/>
      <c r="X1641" s="139"/>
      <c r="Y1641" s="139"/>
      <c r="Z1641" s="139"/>
      <c r="AA1641" s="139"/>
      <c r="AB1641" s="139"/>
      <c r="AC1641" s="139"/>
      <c r="AD1641" s="139"/>
      <c r="AE1641" s="139"/>
      <c r="AF1641" s="139"/>
      <c r="AG1641" s="139"/>
      <c r="AH1641" s="139"/>
      <c r="AI1641" s="139"/>
      <c r="AJ1641" s="139"/>
      <c r="AK1641" s="139"/>
    </row>
    <row r="1642" spans="13:37" x14ac:dyDescent="0.25">
      <c r="M1642" s="139"/>
      <c r="N1642" s="139"/>
      <c r="O1642" s="139"/>
      <c r="P1642" s="139"/>
      <c r="R1642" s="139"/>
      <c r="S1642" s="139"/>
      <c r="T1642" s="139"/>
      <c r="U1642" s="139"/>
      <c r="V1642" s="139"/>
      <c r="W1642" s="139"/>
      <c r="X1642" s="139"/>
      <c r="Y1642" s="139"/>
      <c r="Z1642" s="139"/>
      <c r="AA1642" s="139"/>
      <c r="AB1642" s="139"/>
      <c r="AC1642" s="139"/>
      <c r="AD1642" s="139"/>
      <c r="AE1642" s="139"/>
      <c r="AF1642" s="139"/>
      <c r="AG1642" s="139"/>
      <c r="AH1642" s="139"/>
      <c r="AI1642" s="139"/>
      <c r="AJ1642" s="139"/>
      <c r="AK1642" s="139"/>
    </row>
    <row r="1643" spans="13:37" x14ac:dyDescent="0.25">
      <c r="M1643" s="139"/>
      <c r="N1643" s="139"/>
      <c r="O1643" s="139"/>
      <c r="P1643" s="139"/>
      <c r="R1643" s="139"/>
      <c r="S1643" s="139"/>
      <c r="T1643" s="139"/>
      <c r="U1643" s="139"/>
      <c r="V1643" s="139"/>
      <c r="W1643" s="139"/>
      <c r="X1643" s="139"/>
      <c r="Y1643" s="139"/>
      <c r="Z1643" s="139"/>
      <c r="AA1643" s="139"/>
      <c r="AB1643" s="139"/>
      <c r="AC1643" s="139"/>
      <c r="AD1643" s="139"/>
      <c r="AE1643" s="139"/>
      <c r="AF1643" s="139"/>
      <c r="AG1643" s="139"/>
      <c r="AH1643" s="139"/>
      <c r="AI1643" s="139"/>
      <c r="AJ1643" s="139"/>
      <c r="AK1643" s="139"/>
    </row>
    <row r="1644" spans="13:37" x14ac:dyDescent="0.25">
      <c r="M1644" s="139"/>
      <c r="N1644" s="139"/>
      <c r="O1644" s="139"/>
      <c r="P1644" s="139"/>
      <c r="R1644" s="139"/>
      <c r="S1644" s="139"/>
      <c r="T1644" s="139"/>
      <c r="U1644" s="139"/>
      <c r="V1644" s="139"/>
      <c r="W1644" s="139"/>
      <c r="X1644" s="139"/>
      <c r="Y1644" s="139"/>
      <c r="Z1644" s="139"/>
      <c r="AA1644" s="139"/>
      <c r="AB1644" s="139"/>
      <c r="AC1644" s="139"/>
      <c r="AD1644" s="139"/>
      <c r="AE1644" s="139"/>
      <c r="AF1644" s="139"/>
      <c r="AG1644" s="139"/>
      <c r="AH1644" s="139"/>
      <c r="AI1644" s="139"/>
      <c r="AJ1644" s="139"/>
      <c r="AK1644" s="139"/>
    </row>
    <row r="1645" spans="13:37" x14ac:dyDescent="0.25">
      <c r="M1645" s="139"/>
      <c r="N1645" s="139"/>
      <c r="O1645" s="139"/>
      <c r="P1645" s="139"/>
      <c r="R1645" s="139"/>
      <c r="S1645" s="139"/>
      <c r="T1645" s="139"/>
      <c r="U1645" s="139"/>
      <c r="V1645" s="139"/>
      <c r="W1645" s="139"/>
      <c r="X1645" s="139"/>
      <c r="Y1645" s="139"/>
      <c r="Z1645" s="139"/>
      <c r="AA1645" s="139"/>
      <c r="AB1645" s="139"/>
      <c r="AC1645" s="139"/>
      <c r="AD1645" s="139"/>
      <c r="AE1645" s="139"/>
      <c r="AF1645" s="139"/>
      <c r="AG1645" s="139"/>
      <c r="AH1645" s="139"/>
      <c r="AI1645" s="139"/>
      <c r="AJ1645" s="139"/>
      <c r="AK1645" s="139"/>
    </row>
    <row r="1646" spans="13:37" x14ac:dyDescent="0.25">
      <c r="M1646" s="139"/>
      <c r="N1646" s="139"/>
      <c r="O1646" s="139"/>
      <c r="P1646" s="139"/>
      <c r="R1646" s="139"/>
      <c r="S1646" s="139"/>
      <c r="T1646" s="139"/>
      <c r="U1646" s="139"/>
      <c r="V1646" s="139"/>
      <c r="W1646" s="139"/>
      <c r="X1646" s="139"/>
      <c r="Y1646" s="139"/>
      <c r="Z1646" s="139"/>
      <c r="AA1646" s="139"/>
      <c r="AB1646" s="139"/>
      <c r="AC1646" s="139"/>
      <c r="AD1646" s="139"/>
      <c r="AE1646" s="139"/>
      <c r="AF1646" s="139"/>
      <c r="AG1646" s="139"/>
      <c r="AH1646" s="139"/>
      <c r="AI1646" s="139"/>
      <c r="AJ1646" s="139"/>
      <c r="AK1646" s="139"/>
    </row>
    <row r="1647" spans="13:37" x14ac:dyDescent="0.25">
      <c r="M1647" s="139"/>
      <c r="N1647" s="139"/>
      <c r="O1647" s="139"/>
      <c r="P1647" s="139"/>
      <c r="R1647" s="139"/>
      <c r="S1647" s="139"/>
      <c r="T1647" s="139"/>
      <c r="U1647" s="139"/>
      <c r="V1647" s="139"/>
      <c r="W1647" s="139"/>
      <c r="X1647" s="139"/>
      <c r="Y1647" s="139"/>
      <c r="Z1647" s="139"/>
      <c r="AA1647" s="139"/>
      <c r="AB1647" s="139"/>
      <c r="AC1647" s="139"/>
      <c r="AD1647" s="139"/>
      <c r="AE1647" s="139"/>
      <c r="AF1647" s="139"/>
      <c r="AG1647" s="139"/>
      <c r="AH1647" s="139"/>
      <c r="AI1647" s="139"/>
      <c r="AJ1647" s="139"/>
      <c r="AK1647" s="139"/>
    </row>
    <row r="1648" spans="13:37" x14ac:dyDescent="0.25">
      <c r="M1648" s="139"/>
      <c r="N1648" s="139"/>
      <c r="O1648" s="139"/>
      <c r="P1648" s="139"/>
      <c r="R1648" s="139"/>
      <c r="S1648" s="139"/>
      <c r="T1648" s="139"/>
      <c r="U1648" s="139"/>
      <c r="V1648" s="139"/>
      <c r="W1648" s="139"/>
      <c r="X1648" s="139"/>
      <c r="Y1648" s="139"/>
      <c r="Z1648" s="139"/>
      <c r="AA1648" s="139"/>
      <c r="AB1648" s="139"/>
      <c r="AC1648" s="139"/>
      <c r="AD1648" s="139"/>
      <c r="AE1648" s="139"/>
      <c r="AF1648" s="139"/>
      <c r="AG1648" s="139"/>
      <c r="AH1648" s="139"/>
      <c r="AI1648" s="139"/>
      <c r="AJ1648" s="139"/>
      <c r="AK1648" s="139"/>
    </row>
    <row r="1649" spans="13:37" x14ac:dyDescent="0.25">
      <c r="M1649" s="139"/>
      <c r="N1649" s="139"/>
      <c r="O1649" s="139"/>
      <c r="P1649" s="139"/>
      <c r="R1649" s="139"/>
      <c r="S1649" s="139"/>
      <c r="T1649" s="139"/>
      <c r="U1649" s="139"/>
      <c r="V1649" s="139"/>
      <c r="W1649" s="139"/>
      <c r="X1649" s="139"/>
      <c r="Y1649" s="139"/>
      <c r="Z1649" s="139"/>
      <c r="AA1649" s="139"/>
      <c r="AB1649" s="139"/>
      <c r="AC1649" s="139"/>
      <c r="AD1649" s="139"/>
      <c r="AE1649" s="139"/>
      <c r="AF1649" s="139"/>
      <c r="AG1649" s="139"/>
      <c r="AH1649" s="139"/>
      <c r="AI1649" s="139"/>
      <c r="AJ1649" s="139"/>
      <c r="AK1649" s="139"/>
    </row>
    <row r="1650" spans="13:37" x14ac:dyDescent="0.25">
      <c r="M1650" s="139"/>
      <c r="N1650" s="139"/>
      <c r="O1650" s="139"/>
      <c r="P1650" s="139"/>
      <c r="R1650" s="139"/>
      <c r="S1650" s="139"/>
      <c r="T1650" s="139"/>
      <c r="U1650" s="139"/>
      <c r="V1650" s="139"/>
      <c r="W1650" s="139"/>
      <c r="X1650" s="139"/>
      <c r="Y1650" s="139"/>
      <c r="Z1650" s="139"/>
      <c r="AA1650" s="139"/>
      <c r="AB1650" s="139"/>
      <c r="AC1650" s="139"/>
      <c r="AD1650" s="139"/>
      <c r="AE1650" s="139"/>
      <c r="AF1650" s="139"/>
      <c r="AG1650" s="139"/>
      <c r="AH1650" s="139"/>
      <c r="AI1650" s="139"/>
      <c r="AJ1650" s="139"/>
      <c r="AK1650" s="139"/>
    </row>
    <row r="1651" spans="13:37" x14ac:dyDescent="0.25">
      <c r="M1651" s="139"/>
      <c r="N1651" s="139"/>
      <c r="O1651" s="139"/>
      <c r="P1651" s="139"/>
      <c r="R1651" s="139"/>
      <c r="S1651" s="139"/>
      <c r="T1651" s="139"/>
      <c r="U1651" s="139"/>
      <c r="V1651" s="139"/>
      <c r="W1651" s="139"/>
      <c r="X1651" s="139"/>
      <c r="Y1651" s="139"/>
      <c r="Z1651" s="139"/>
      <c r="AA1651" s="139"/>
      <c r="AB1651" s="139"/>
      <c r="AC1651" s="139"/>
      <c r="AD1651" s="139"/>
      <c r="AE1651" s="139"/>
      <c r="AF1651" s="139"/>
      <c r="AG1651" s="139"/>
      <c r="AH1651" s="139"/>
      <c r="AI1651" s="139"/>
      <c r="AJ1651" s="139"/>
      <c r="AK1651" s="139"/>
    </row>
    <row r="1652" spans="13:37" x14ac:dyDescent="0.25">
      <c r="M1652" s="139"/>
      <c r="N1652" s="139"/>
      <c r="O1652" s="139"/>
      <c r="P1652" s="139"/>
      <c r="R1652" s="139"/>
      <c r="S1652" s="139"/>
      <c r="T1652" s="139"/>
      <c r="U1652" s="139"/>
      <c r="V1652" s="139"/>
      <c r="W1652" s="139"/>
      <c r="X1652" s="139"/>
      <c r="Y1652" s="139"/>
      <c r="Z1652" s="139"/>
      <c r="AA1652" s="139"/>
      <c r="AB1652" s="139"/>
      <c r="AC1652" s="139"/>
      <c r="AD1652" s="139"/>
      <c r="AE1652" s="139"/>
      <c r="AF1652" s="139"/>
      <c r="AG1652" s="139"/>
      <c r="AH1652" s="139"/>
      <c r="AI1652" s="139"/>
      <c r="AJ1652" s="139"/>
      <c r="AK1652" s="139"/>
    </row>
    <row r="1653" spans="13:37" x14ac:dyDescent="0.25">
      <c r="M1653" s="139"/>
      <c r="N1653" s="139"/>
      <c r="O1653" s="139"/>
      <c r="P1653" s="139"/>
      <c r="R1653" s="139"/>
      <c r="S1653" s="139"/>
      <c r="T1653" s="139"/>
      <c r="U1653" s="139"/>
      <c r="V1653" s="139"/>
      <c r="W1653" s="139"/>
      <c r="X1653" s="139"/>
      <c r="Y1653" s="139"/>
      <c r="Z1653" s="139"/>
      <c r="AA1653" s="139"/>
      <c r="AB1653" s="139"/>
      <c r="AC1653" s="139"/>
      <c r="AD1653" s="139"/>
      <c r="AE1653" s="139"/>
      <c r="AF1653" s="139"/>
      <c r="AG1653" s="139"/>
      <c r="AH1653" s="139"/>
      <c r="AI1653" s="139"/>
      <c r="AJ1653" s="139"/>
      <c r="AK1653" s="139"/>
    </row>
    <row r="1654" spans="13:37" x14ac:dyDescent="0.25">
      <c r="M1654" s="139"/>
      <c r="N1654" s="139"/>
      <c r="O1654" s="139"/>
      <c r="P1654" s="139"/>
      <c r="R1654" s="139"/>
      <c r="S1654" s="139"/>
      <c r="T1654" s="139"/>
      <c r="U1654" s="139"/>
      <c r="V1654" s="139"/>
      <c r="W1654" s="139"/>
      <c r="X1654" s="139"/>
      <c r="Y1654" s="139"/>
      <c r="Z1654" s="139"/>
      <c r="AA1654" s="139"/>
      <c r="AB1654" s="139"/>
      <c r="AC1654" s="139"/>
      <c r="AD1654" s="139"/>
      <c r="AE1654" s="139"/>
      <c r="AF1654" s="139"/>
      <c r="AG1654" s="139"/>
      <c r="AH1654" s="139"/>
      <c r="AI1654" s="139"/>
      <c r="AJ1654" s="139"/>
      <c r="AK1654" s="139"/>
    </row>
    <row r="1655" spans="13:37" x14ac:dyDescent="0.25">
      <c r="M1655" s="139"/>
      <c r="N1655" s="139"/>
      <c r="O1655" s="139"/>
      <c r="P1655" s="139"/>
      <c r="R1655" s="139"/>
      <c r="S1655" s="139"/>
      <c r="T1655" s="139"/>
      <c r="U1655" s="139"/>
      <c r="V1655" s="139"/>
      <c r="W1655" s="139"/>
      <c r="X1655" s="139"/>
      <c r="Y1655" s="139"/>
      <c r="Z1655" s="139"/>
      <c r="AA1655" s="139"/>
      <c r="AB1655" s="139"/>
      <c r="AC1655" s="139"/>
      <c r="AD1655" s="139"/>
      <c r="AE1655" s="139"/>
      <c r="AF1655" s="139"/>
      <c r="AG1655" s="139"/>
      <c r="AH1655" s="139"/>
      <c r="AI1655" s="139"/>
      <c r="AJ1655" s="139"/>
      <c r="AK1655" s="139"/>
    </row>
    <row r="1656" spans="13:37" x14ac:dyDescent="0.25">
      <c r="M1656" s="139"/>
      <c r="N1656" s="139"/>
      <c r="O1656" s="139"/>
      <c r="P1656" s="139"/>
      <c r="R1656" s="139"/>
      <c r="S1656" s="139"/>
      <c r="T1656" s="139"/>
      <c r="U1656" s="139"/>
      <c r="V1656" s="139"/>
      <c r="W1656" s="139"/>
      <c r="X1656" s="139"/>
      <c r="Y1656" s="139"/>
      <c r="Z1656" s="139"/>
      <c r="AA1656" s="139"/>
      <c r="AB1656" s="139"/>
      <c r="AC1656" s="139"/>
      <c r="AD1656" s="139"/>
      <c r="AE1656" s="139"/>
      <c r="AF1656" s="139"/>
      <c r="AG1656" s="139"/>
      <c r="AH1656" s="139"/>
      <c r="AI1656" s="139"/>
      <c r="AJ1656" s="139"/>
      <c r="AK1656" s="139"/>
    </row>
    <row r="1657" spans="13:37" x14ac:dyDescent="0.25">
      <c r="M1657" s="139"/>
      <c r="N1657" s="139"/>
      <c r="O1657" s="139"/>
      <c r="P1657" s="139"/>
      <c r="R1657" s="139"/>
      <c r="S1657" s="139"/>
      <c r="T1657" s="139"/>
      <c r="U1657" s="139"/>
      <c r="V1657" s="139"/>
      <c r="W1657" s="139"/>
      <c r="X1657" s="139"/>
      <c r="Y1657" s="139"/>
      <c r="Z1657" s="139"/>
      <c r="AA1657" s="139"/>
      <c r="AB1657" s="139"/>
      <c r="AC1657" s="139"/>
      <c r="AD1657" s="139"/>
      <c r="AE1657" s="139"/>
      <c r="AF1657" s="139"/>
      <c r="AG1657" s="139"/>
      <c r="AH1657" s="139"/>
      <c r="AI1657" s="139"/>
      <c r="AJ1657" s="139"/>
      <c r="AK1657" s="139"/>
    </row>
    <row r="1658" spans="13:37" x14ac:dyDescent="0.25">
      <c r="M1658" s="139"/>
      <c r="N1658" s="139"/>
      <c r="O1658" s="139"/>
      <c r="P1658" s="139"/>
      <c r="R1658" s="139"/>
      <c r="S1658" s="139"/>
      <c r="T1658" s="139"/>
      <c r="U1658" s="139"/>
      <c r="V1658" s="139"/>
      <c r="W1658" s="139"/>
      <c r="X1658" s="139"/>
      <c r="Y1658" s="139"/>
      <c r="Z1658" s="139"/>
      <c r="AA1658" s="139"/>
      <c r="AB1658" s="139"/>
      <c r="AC1658" s="139"/>
      <c r="AD1658" s="139"/>
      <c r="AE1658" s="139"/>
      <c r="AF1658" s="139"/>
      <c r="AG1658" s="139"/>
      <c r="AH1658" s="139"/>
      <c r="AI1658" s="139"/>
      <c r="AJ1658" s="139"/>
      <c r="AK1658" s="139"/>
    </row>
    <row r="1659" spans="13:37" x14ac:dyDescent="0.25">
      <c r="M1659" s="139"/>
      <c r="N1659" s="139"/>
      <c r="O1659" s="139"/>
      <c r="P1659" s="139"/>
      <c r="R1659" s="139"/>
      <c r="S1659" s="139"/>
      <c r="T1659" s="139"/>
      <c r="U1659" s="139"/>
      <c r="V1659" s="139"/>
      <c r="W1659" s="139"/>
      <c r="X1659" s="139"/>
      <c r="Y1659" s="139"/>
      <c r="Z1659" s="139"/>
      <c r="AA1659" s="139"/>
      <c r="AB1659" s="139"/>
      <c r="AC1659" s="139"/>
      <c r="AD1659" s="139"/>
      <c r="AE1659" s="139"/>
      <c r="AF1659" s="139"/>
      <c r="AG1659" s="139"/>
      <c r="AH1659" s="139"/>
      <c r="AI1659" s="139"/>
      <c r="AJ1659" s="139"/>
      <c r="AK1659" s="139"/>
    </row>
    <row r="1660" spans="13:37" x14ac:dyDescent="0.25">
      <c r="M1660" s="139"/>
      <c r="N1660" s="139"/>
      <c r="O1660" s="139"/>
      <c r="P1660" s="139"/>
      <c r="R1660" s="139"/>
      <c r="S1660" s="139"/>
      <c r="T1660" s="139"/>
      <c r="U1660" s="139"/>
      <c r="V1660" s="139"/>
      <c r="W1660" s="139"/>
      <c r="X1660" s="139"/>
      <c r="Y1660" s="139"/>
      <c r="Z1660" s="139"/>
      <c r="AA1660" s="139"/>
      <c r="AB1660" s="139"/>
      <c r="AC1660" s="139"/>
      <c r="AD1660" s="139"/>
      <c r="AE1660" s="139"/>
      <c r="AF1660" s="139"/>
      <c r="AG1660" s="139"/>
      <c r="AH1660" s="139"/>
      <c r="AI1660" s="139"/>
      <c r="AJ1660" s="139"/>
      <c r="AK1660" s="139"/>
    </row>
    <row r="1661" spans="13:37" x14ac:dyDescent="0.25">
      <c r="M1661" s="139"/>
      <c r="N1661" s="139"/>
      <c r="O1661" s="139"/>
      <c r="P1661" s="139"/>
      <c r="R1661" s="139"/>
      <c r="S1661" s="139"/>
      <c r="T1661" s="139"/>
      <c r="U1661" s="139"/>
      <c r="V1661" s="139"/>
      <c r="W1661" s="139"/>
      <c r="X1661" s="139"/>
      <c r="Y1661" s="139"/>
      <c r="Z1661" s="139"/>
      <c r="AA1661" s="139"/>
      <c r="AB1661" s="139"/>
      <c r="AC1661" s="139"/>
      <c r="AD1661" s="139"/>
      <c r="AE1661" s="139"/>
      <c r="AF1661" s="139"/>
      <c r="AG1661" s="139"/>
      <c r="AH1661" s="139"/>
      <c r="AI1661" s="139"/>
      <c r="AJ1661" s="139"/>
      <c r="AK1661" s="139"/>
    </row>
    <row r="1662" spans="13:37" x14ac:dyDescent="0.25">
      <c r="M1662" s="139"/>
      <c r="N1662" s="139"/>
      <c r="O1662" s="139"/>
      <c r="P1662" s="139"/>
      <c r="R1662" s="139"/>
      <c r="S1662" s="139"/>
      <c r="T1662" s="139"/>
      <c r="U1662" s="139"/>
      <c r="V1662" s="139"/>
      <c r="W1662" s="139"/>
      <c r="X1662" s="139"/>
      <c r="Y1662" s="139"/>
      <c r="Z1662" s="139"/>
      <c r="AA1662" s="139"/>
      <c r="AB1662" s="139"/>
      <c r="AC1662" s="139"/>
      <c r="AD1662" s="139"/>
      <c r="AE1662" s="139"/>
      <c r="AF1662" s="139"/>
      <c r="AG1662" s="139"/>
      <c r="AH1662" s="139"/>
      <c r="AI1662" s="139"/>
      <c r="AJ1662" s="139"/>
      <c r="AK1662" s="139"/>
    </row>
    <row r="1663" spans="13:37" x14ac:dyDescent="0.25">
      <c r="M1663" s="139"/>
      <c r="N1663" s="139"/>
      <c r="O1663" s="139"/>
      <c r="P1663" s="139"/>
      <c r="R1663" s="139"/>
      <c r="S1663" s="139"/>
      <c r="T1663" s="139"/>
      <c r="U1663" s="139"/>
      <c r="V1663" s="139"/>
      <c r="W1663" s="139"/>
      <c r="X1663" s="139"/>
      <c r="Y1663" s="139"/>
      <c r="Z1663" s="139"/>
      <c r="AA1663" s="139"/>
      <c r="AB1663" s="139"/>
      <c r="AC1663" s="139"/>
      <c r="AD1663" s="139"/>
      <c r="AE1663" s="139"/>
      <c r="AF1663" s="139"/>
      <c r="AG1663" s="139"/>
      <c r="AH1663" s="139"/>
      <c r="AI1663" s="139"/>
      <c r="AJ1663" s="139"/>
      <c r="AK1663" s="139"/>
    </row>
    <row r="1664" spans="13:37" x14ac:dyDescent="0.25">
      <c r="M1664" s="139"/>
      <c r="N1664" s="139"/>
      <c r="O1664" s="139"/>
      <c r="P1664" s="139"/>
      <c r="R1664" s="139"/>
      <c r="S1664" s="139"/>
      <c r="T1664" s="139"/>
      <c r="U1664" s="139"/>
      <c r="V1664" s="139"/>
      <c r="W1664" s="139"/>
      <c r="X1664" s="139"/>
      <c r="Y1664" s="139"/>
      <c r="Z1664" s="139"/>
      <c r="AA1664" s="139"/>
      <c r="AB1664" s="139"/>
      <c r="AC1664" s="139"/>
      <c r="AD1664" s="139"/>
      <c r="AE1664" s="139"/>
      <c r="AF1664" s="139"/>
      <c r="AG1664" s="139"/>
      <c r="AH1664" s="139"/>
      <c r="AI1664" s="139"/>
      <c r="AJ1664" s="139"/>
      <c r="AK1664" s="139"/>
    </row>
    <row r="1665" spans="13:37" x14ac:dyDescent="0.25">
      <c r="M1665" s="139"/>
      <c r="N1665" s="139"/>
      <c r="O1665" s="139"/>
      <c r="P1665" s="139"/>
      <c r="R1665" s="139"/>
      <c r="S1665" s="139"/>
      <c r="T1665" s="139"/>
      <c r="U1665" s="139"/>
      <c r="V1665" s="139"/>
      <c r="W1665" s="139"/>
      <c r="X1665" s="139"/>
      <c r="Y1665" s="139"/>
      <c r="Z1665" s="139"/>
      <c r="AA1665" s="139"/>
      <c r="AB1665" s="139"/>
      <c r="AC1665" s="139"/>
      <c r="AD1665" s="139"/>
      <c r="AE1665" s="139"/>
      <c r="AF1665" s="139"/>
      <c r="AG1665" s="139"/>
      <c r="AH1665" s="139"/>
      <c r="AI1665" s="139"/>
      <c r="AJ1665" s="139"/>
      <c r="AK1665" s="139"/>
    </row>
    <row r="1666" spans="13:37" x14ac:dyDescent="0.25">
      <c r="M1666" s="139"/>
      <c r="N1666" s="139"/>
      <c r="O1666" s="139"/>
      <c r="P1666" s="139"/>
      <c r="R1666" s="139"/>
      <c r="S1666" s="139"/>
      <c r="T1666" s="139"/>
      <c r="U1666" s="139"/>
      <c r="V1666" s="139"/>
      <c r="W1666" s="139"/>
      <c r="X1666" s="139"/>
      <c r="Y1666" s="139"/>
      <c r="Z1666" s="139"/>
      <c r="AA1666" s="139"/>
      <c r="AB1666" s="139"/>
      <c r="AC1666" s="139"/>
      <c r="AD1666" s="139"/>
      <c r="AE1666" s="139"/>
      <c r="AF1666" s="139"/>
      <c r="AG1666" s="139"/>
      <c r="AH1666" s="139"/>
      <c r="AI1666" s="139"/>
      <c r="AJ1666" s="139"/>
      <c r="AK1666" s="139"/>
    </row>
    <row r="1667" spans="13:37" x14ac:dyDescent="0.25">
      <c r="M1667" s="139"/>
      <c r="N1667" s="139"/>
      <c r="O1667" s="139"/>
      <c r="P1667" s="139"/>
      <c r="R1667" s="139"/>
      <c r="S1667" s="139"/>
      <c r="T1667" s="139"/>
      <c r="U1667" s="139"/>
      <c r="V1667" s="139"/>
      <c r="W1667" s="139"/>
      <c r="X1667" s="139"/>
      <c r="Y1667" s="139"/>
      <c r="Z1667" s="139"/>
      <c r="AA1667" s="139"/>
      <c r="AB1667" s="139"/>
      <c r="AC1667" s="139"/>
      <c r="AD1667" s="139"/>
      <c r="AE1667" s="139"/>
      <c r="AF1667" s="139"/>
      <c r="AG1667" s="139"/>
      <c r="AH1667" s="139"/>
      <c r="AI1667" s="139"/>
      <c r="AJ1667" s="139"/>
      <c r="AK1667" s="139"/>
    </row>
    <row r="1668" spans="13:37" x14ac:dyDescent="0.25">
      <c r="M1668" s="139"/>
      <c r="N1668" s="139"/>
      <c r="O1668" s="139"/>
      <c r="P1668" s="139"/>
      <c r="R1668" s="139"/>
      <c r="S1668" s="139"/>
      <c r="T1668" s="139"/>
      <c r="U1668" s="139"/>
      <c r="V1668" s="139"/>
      <c r="W1668" s="139"/>
      <c r="X1668" s="139"/>
      <c r="Y1668" s="139"/>
      <c r="Z1668" s="139"/>
      <c r="AA1668" s="139"/>
      <c r="AB1668" s="139"/>
      <c r="AC1668" s="139"/>
      <c r="AD1668" s="139"/>
      <c r="AE1668" s="139"/>
      <c r="AF1668" s="139"/>
      <c r="AG1668" s="139"/>
      <c r="AH1668" s="139"/>
      <c r="AI1668" s="139"/>
      <c r="AJ1668" s="139"/>
      <c r="AK1668" s="139"/>
    </row>
    <row r="1669" spans="13:37" x14ac:dyDescent="0.25">
      <c r="M1669" s="139"/>
      <c r="N1669" s="139"/>
      <c r="O1669" s="139"/>
      <c r="P1669" s="139"/>
      <c r="R1669" s="139"/>
      <c r="S1669" s="139"/>
      <c r="T1669" s="139"/>
      <c r="U1669" s="139"/>
      <c r="V1669" s="139"/>
      <c r="W1669" s="139"/>
      <c r="X1669" s="139"/>
      <c r="Y1669" s="139"/>
      <c r="Z1669" s="139"/>
      <c r="AA1669" s="139"/>
      <c r="AB1669" s="139"/>
      <c r="AC1669" s="139"/>
      <c r="AD1669" s="139"/>
      <c r="AE1669" s="139"/>
      <c r="AF1669" s="139"/>
      <c r="AG1669" s="139"/>
      <c r="AH1669" s="139"/>
      <c r="AI1669" s="139"/>
      <c r="AJ1669" s="139"/>
      <c r="AK1669" s="139"/>
    </row>
    <row r="1670" spans="13:37" x14ac:dyDescent="0.25">
      <c r="M1670" s="139"/>
      <c r="N1670" s="139"/>
      <c r="O1670" s="139"/>
      <c r="P1670" s="139"/>
      <c r="R1670" s="139"/>
      <c r="S1670" s="139"/>
      <c r="T1670" s="139"/>
      <c r="U1670" s="139"/>
      <c r="V1670" s="139"/>
      <c r="W1670" s="139"/>
      <c r="X1670" s="139"/>
      <c r="Y1670" s="139"/>
      <c r="Z1670" s="139"/>
      <c r="AA1670" s="139"/>
      <c r="AB1670" s="139"/>
      <c r="AC1670" s="139"/>
      <c r="AD1670" s="139"/>
      <c r="AE1670" s="139"/>
      <c r="AF1670" s="139"/>
      <c r="AG1670" s="139"/>
      <c r="AH1670" s="139"/>
      <c r="AI1670" s="139"/>
      <c r="AJ1670" s="139"/>
      <c r="AK1670" s="139"/>
    </row>
    <row r="1671" spans="13:37" x14ac:dyDescent="0.25">
      <c r="M1671" s="139"/>
      <c r="N1671" s="139"/>
      <c r="O1671" s="139"/>
      <c r="P1671" s="139"/>
      <c r="R1671" s="139"/>
      <c r="S1671" s="139"/>
      <c r="T1671" s="139"/>
      <c r="U1671" s="139"/>
      <c r="V1671" s="139"/>
      <c r="W1671" s="139"/>
      <c r="X1671" s="139"/>
      <c r="Y1671" s="139"/>
      <c r="Z1671" s="139"/>
      <c r="AA1671" s="139"/>
      <c r="AB1671" s="139"/>
      <c r="AC1671" s="139"/>
      <c r="AD1671" s="139"/>
      <c r="AE1671" s="139"/>
      <c r="AF1671" s="139"/>
      <c r="AG1671" s="139"/>
      <c r="AH1671" s="139"/>
      <c r="AI1671" s="139"/>
      <c r="AJ1671" s="139"/>
      <c r="AK1671" s="139"/>
    </row>
    <row r="1672" spans="13:37" x14ac:dyDescent="0.25">
      <c r="M1672" s="139"/>
      <c r="N1672" s="139"/>
      <c r="O1672" s="139"/>
      <c r="P1672" s="139"/>
      <c r="R1672" s="139"/>
      <c r="S1672" s="139"/>
      <c r="T1672" s="139"/>
      <c r="U1672" s="139"/>
      <c r="V1672" s="139"/>
      <c r="W1672" s="139"/>
      <c r="X1672" s="139"/>
      <c r="Y1672" s="139"/>
      <c r="Z1672" s="139"/>
      <c r="AA1672" s="139"/>
      <c r="AB1672" s="139"/>
      <c r="AC1672" s="139"/>
      <c r="AD1672" s="139"/>
      <c r="AE1672" s="139"/>
      <c r="AF1672" s="139"/>
      <c r="AG1672" s="139"/>
      <c r="AH1672" s="139"/>
      <c r="AI1672" s="139"/>
      <c r="AJ1672" s="139"/>
      <c r="AK1672" s="139"/>
    </row>
    <row r="1673" spans="13:37" x14ac:dyDescent="0.25">
      <c r="M1673" s="139"/>
      <c r="N1673" s="139"/>
      <c r="O1673" s="139"/>
      <c r="P1673" s="139"/>
      <c r="R1673" s="139"/>
      <c r="S1673" s="139"/>
      <c r="T1673" s="139"/>
      <c r="U1673" s="139"/>
      <c r="V1673" s="139"/>
      <c r="W1673" s="139"/>
      <c r="X1673" s="139"/>
      <c r="Y1673" s="139"/>
      <c r="Z1673" s="139"/>
      <c r="AA1673" s="139"/>
      <c r="AB1673" s="139"/>
      <c r="AC1673" s="139"/>
      <c r="AD1673" s="139"/>
      <c r="AE1673" s="139"/>
      <c r="AF1673" s="139"/>
      <c r="AG1673" s="139"/>
      <c r="AH1673" s="139"/>
      <c r="AI1673" s="139"/>
      <c r="AJ1673" s="139"/>
      <c r="AK1673" s="139"/>
    </row>
    <row r="1674" spans="13:37" x14ac:dyDescent="0.25">
      <c r="M1674" s="139"/>
      <c r="N1674" s="139"/>
      <c r="O1674" s="139"/>
      <c r="P1674" s="139"/>
      <c r="R1674" s="139"/>
      <c r="S1674" s="139"/>
      <c r="T1674" s="139"/>
      <c r="U1674" s="139"/>
      <c r="V1674" s="139"/>
      <c r="W1674" s="139"/>
      <c r="X1674" s="139"/>
      <c r="Y1674" s="139"/>
      <c r="Z1674" s="139"/>
      <c r="AA1674" s="139"/>
      <c r="AB1674" s="139"/>
      <c r="AC1674" s="139"/>
      <c r="AD1674" s="139"/>
      <c r="AE1674" s="139"/>
      <c r="AF1674" s="139"/>
      <c r="AG1674" s="139"/>
      <c r="AH1674" s="139"/>
      <c r="AI1674" s="139"/>
      <c r="AJ1674" s="139"/>
      <c r="AK1674" s="139"/>
    </row>
    <row r="1675" spans="13:37" x14ac:dyDescent="0.25">
      <c r="M1675" s="139"/>
      <c r="N1675" s="139"/>
      <c r="O1675" s="139"/>
      <c r="P1675" s="139"/>
      <c r="R1675" s="139"/>
      <c r="S1675" s="139"/>
      <c r="T1675" s="139"/>
      <c r="U1675" s="139"/>
      <c r="V1675" s="139"/>
      <c r="W1675" s="139"/>
      <c r="X1675" s="139"/>
      <c r="Y1675" s="139"/>
      <c r="Z1675" s="139"/>
      <c r="AA1675" s="139"/>
      <c r="AB1675" s="139"/>
      <c r="AC1675" s="139"/>
      <c r="AD1675" s="139"/>
      <c r="AE1675" s="139"/>
      <c r="AF1675" s="139"/>
      <c r="AG1675" s="139"/>
      <c r="AH1675" s="139"/>
      <c r="AI1675" s="139"/>
      <c r="AJ1675" s="139"/>
      <c r="AK1675" s="139"/>
    </row>
    <row r="1676" spans="13:37" x14ac:dyDescent="0.25">
      <c r="M1676" s="139"/>
      <c r="N1676" s="139"/>
      <c r="O1676" s="139"/>
      <c r="P1676" s="139"/>
      <c r="R1676" s="139"/>
      <c r="S1676" s="139"/>
      <c r="T1676" s="139"/>
      <c r="U1676" s="139"/>
      <c r="V1676" s="139"/>
      <c r="W1676" s="139"/>
      <c r="X1676" s="139"/>
      <c r="Y1676" s="139"/>
      <c r="Z1676" s="139"/>
      <c r="AA1676" s="139"/>
      <c r="AB1676" s="139"/>
      <c r="AC1676" s="139"/>
      <c r="AD1676" s="139"/>
      <c r="AE1676" s="139"/>
      <c r="AF1676" s="139"/>
      <c r="AG1676" s="139"/>
      <c r="AH1676" s="139"/>
      <c r="AI1676" s="139"/>
      <c r="AJ1676" s="139"/>
      <c r="AK1676" s="139"/>
    </row>
    <row r="1677" spans="13:37" x14ac:dyDescent="0.25">
      <c r="M1677" s="139"/>
      <c r="N1677" s="139"/>
      <c r="O1677" s="139"/>
      <c r="P1677" s="139"/>
      <c r="R1677" s="139"/>
      <c r="S1677" s="139"/>
      <c r="T1677" s="139"/>
      <c r="U1677" s="139"/>
      <c r="V1677" s="139"/>
      <c r="W1677" s="139"/>
      <c r="X1677" s="139"/>
      <c r="Y1677" s="139"/>
      <c r="Z1677" s="139"/>
      <c r="AA1677" s="139"/>
      <c r="AB1677" s="139"/>
      <c r="AC1677" s="139"/>
      <c r="AD1677" s="139"/>
      <c r="AE1677" s="139"/>
      <c r="AF1677" s="139"/>
      <c r="AG1677" s="139"/>
      <c r="AH1677" s="139"/>
      <c r="AI1677" s="139"/>
      <c r="AJ1677" s="139"/>
      <c r="AK1677" s="139"/>
    </row>
    <row r="1678" spans="13:37" x14ac:dyDescent="0.25">
      <c r="M1678" s="139"/>
      <c r="N1678" s="139"/>
      <c r="O1678" s="139"/>
      <c r="P1678" s="139"/>
      <c r="R1678" s="139"/>
      <c r="S1678" s="139"/>
      <c r="T1678" s="139"/>
      <c r="U1678" s="139"/>
      <c r="V1678" s="139"/>
      <c r="W1678" s="139"/>
      <c r="X1678" s="139"/>
      <c r="Y1678" s="139"/>
      <c r="Z1678" s="139"/>
      <c r="AA1678" s="139"/>
      <c r="AB1678" s="139"/>
      <c r="AC1678" s="139"/>
      <c r="AD1678" s="139"/>
      <c r="AE1678" s="139"/>
      <c r="AF1678" s="139"/>
      <c r="AG1678" s="139"/>
      <c r="AH1678" s="139"/>
      <c r="AI1678" s="139"/>
      <c r="AJ1678" s="139"/>
      <c r="AK1678" s="139"/>
    </row>
    <row r="1679" spans="13:37" x14ac:dyDescent="0.25">
      <c r="M1679" s="139"/>
      <c r="N1679" s="139"/>
      <c r="O1679" s="139"/>
      <c r="P1679" s="139"/>
      <c r="R1679" s="139"/>
      <c r="S1679" s="139"/>
      <c r="T1679" s="139"/>
      <c r="U1679" s="139"/>
      <c r="V1679" s="139"/>
      <c r="W1679" s="139"/>
      <c r="X1679" s="139"/>
      <c r="Y1679" s="139"/>
      <c r="Z1679" s="139"/>
      <c r="AA1679" s="139"/>
      <c r="AB1679" s="139"/>
      <c r="AC1679" s="139"/>
      <c r="AD1679" s="139"/>
      <c r="AE1679" s="139"/>
      <c r="AF1679" s="139"/>
      <c r="AG1679" s="139"/>
      <c r="AH1679" s="139"/>
      <c r="AI1679" s="139"/>
      <c r="AJ1679" s="139"/>
      <c r="AK1679" s="139"/>
    </row>
    <row r="1680" spans="13:37" x14ac:dyDescent="0.25">
      <c r="M1680" s="139"/>
      <c r="N1680" s="139"/>
      <c r="O1680" s="139"/>
      <c r="P1680" s="139"/>
      <c r="R1680" s="139"/>
      <c r="S1680" s="139"/>
      <c r="T1680" s="139"/>
      <c r="U1680" s="139"/>
      <c r="V1680" s="139"/>
      <c r="W1680" s="139"/>
      <c r="X1680" s="139"/>
      <c r="Y1680" s="139"/>
      <c r="Z1680" s="139"/>
      <c r="AA1680" s="139"/>
      <c r="AB1680" s="139"/>
      <c r="AC1680" s="139"/>
      <c r="AD1680" s="139"/>
      <c r="AE1680" s="139"/>
      <c r="AF1680" s="139"/>
      <c r="AG1680" s="139"/>
      <c r="AH1680" s="139"/>
      <c r="AI1680" s="139"/>
      <c r="AJ1680" s="139"/>
      <c r="AK1680" s="139"/>
    </row>
    <row r="1681" spans="13:37" x14ac:dyDescent="0.25">
      <c r="M1681" s="139"/>
      <c r="N1681" s="139"/>
      <c r="O1681" s="139"/>
      <c r="P1681" s="139"/>
      <c r="R1681" s="139"/>
      <c r="S1681" s="139"/>
      <c r="T1681" s="139"/>
      <c r="U1681" s="139"/>
      <c r="V1681" s="139"/>
      <c r="W1681" s="139"/>
      <c r="X1681" s="139"/>
      <c r="Y1681" s="139"/>
      <c r="Z1681" s="139"/>
      <c r="AA1681" s="139"/>
      <c r="AB1681" s="139"/>
      <c r="AC1681" s="139"/>
      <c r="AD1681" s="139"/>
      <c r="AE1681" s="139"/>
      <c r="AF1681" s="139"/>
      <c r="AG1681" s="139"/>
      <c r="AH1681" s="139"/>
      <c r="AI1681" s="139"/>
      <c r="AJ1681" s="139"/>
      <c r="AK1681" s="139"/>
    </row>
    <row r="1682" spans="13:37" x14ac:dyDescent="0.25">
      <c r="M1682" s="139"/>
      <c r="N1682" s="139"/>
      <c r="O1682" s="139"/>
      <c r="P1682" s="139"/>
      <c r="R1682" s="139"/>
      <c r="S1682" s="139"/>
      <c r="T1682" s="139"/>
      <c r="U1682" s="139"/>
      <c r="V1682" s="139"/>
      <c r="W1682" s="139"/>
      <c r="X1682" s="139"/>
      <c r="Y1682" s="139"/>
      <c r="Z1682" s="139"/>
      <c r="AA1682" s="139"/>
      <c r="AB1682" s="139"/>
      <c r="AC1682" s="139"/>
      <c r="AD1682" s="139"/>
      <c r="AE1682" s="139"/>
      <c r="AF1682" s="139"/>
      <c r="AG1682" s="139"/>
      <c r="AH1682" s="139"/>
      <c r="AI1682" s="139"/>
      <c r="AJ1682" s="139"/>
      <c r="AK1682" s="139"/>
    </row>
    <row r="1683" spans="13:37" x14ac:dyDescent="0.25">
      <c r="M1683" s="139"/>
      <c r="N1683" s="139"/>
      <c r="O1683" s="139"/>
      <c r="P1683" s="139"/>
      <c r="R1683" s="139"/>
      <c r="S1683" s="139"/>
      <c r="T1683" s="139"/>
      <c r="U1683" s="139"/>
      <c r="V1683" s="139"/>
      <c r="W1683" s="139"/>
      <c r="X1683" s="139"/>
      <c r="Y1683" s="139"/>
      <c r="Z1683" s="139"/>
      <c r="AA1683" s="139"/>
      <c r="AB1683" s="139"/>
      <c r="AC1683" s="139"/>
      <c r="AD1683" s="139"/>
      <c r="AE1683" s="139"/>
      <c r="AF1683" s="139"/>
      <c r="AG1683" s="139"/>
      <c r="AH1683" s="139"/>
      <c r="AI1683" s="139"/>
      <c r="AJ1683" s="139"/>
      <c r="AK1683" s="139"/>
    </row>
    <row r="1684" spans="13:37" x14ac:dyDescent="0.25">
      <c r="M1684" s="139"/>
      <c r="N1684" s="139"/>
      <c r="O1684" s="139"/>
      <c r="P1684" s="139"/>
      <c r="R1684" s="139"/>
      <c r="S1684" s="139"/>
      <c r="T1684" s="139"/>
      <c r="U1684" s="139"/>
      <c r="V1684" s="139"/>
      <c r="W1684" s="139"/>
      <c r="X1684" s="139"/>
      <c r="Y1684" s="139"/>
      <c r="Z1684" s="139"/>
      <c r="AA1684" s="139"/>
      <c r="AB1684" s="139"/>
      <c r="AC1684" s="139"/>
      <c r="AD1684" s="139"/>
      <c r="AE1684" s="139"/>
      <c r="AF1684" s="139"/>
      <c r="AG1684" s="139"/>
      <c r="AH1684" s="139"/>
      <c r="AI1684" s="139"/>
      <c r="AJ1684" s="139"/>
      <c r="AK1684" s="139"/>
    </row>
    <row r="1685" spans="13:37" x14ac:dyDescent="0.25">
      <c r="M1685" s="139"/>
      <c r="N1685" s="139"/>
      <c r="O1685" s="139"/>
      <c r="P1685" s="139"/>
      <c r="R1685" s="139"/>
      <c r="S1685" s="139"/>
      <c r="T1685" s="139"/>
      <c r="U1685" s="139"/>
      <c r="V1685" s="139"/>
      <c r="W1685" s="139"/>
      <c r="X1685" s="139"/>
      <c r="Y1685" s="139"/>
      <c r="Z1685" s="139"/>
      <c r="AA1685" s="139"/>
      <c r="AB1685" s="139"/>
      <c r="AC1685" s="139"/>
      <c r="AD1685" s="139"/>
      <c r="AE1685" s="139"/>
      <c r="AF1685" s="139"/>
      <c r="AG1685" s="139"/>
      <c r="AH1685" s="139"/>
      <c r="AI1685" s="139"/>
      <c r="AJ1685" s="139"/>
      <c r="AK1685" s="139"/>
    </row>
    <row r="1686" spans="13:37" x14ac:dyDescent="0.25">
      <c r="M1686" s="139"/>
      <c r="N1686" s="139"/>
      <c r="O1686" s="139"/>
      <c r="P1686" s="139"/>
      <c r="R1686" s="139"/>
      <c r="S1686" s="139"/>
      <c r="T1686" s="139"/>
      <c r="U1686" s="139"/>
      <c r="V1686" s="139"/>
      <c r="W1686" s="139"/>
      <c r="X1686" s="139"/>
      <c r="Y1686" s="139"/>
      <c r="Z1686" s="139"/>
      <c r="AA1686" s="139"/>
      <c r="AB1686" s="139"/>
      <c r="AC1686" s="139"/>
      <c r="AD1686" s="139"/>
      <c r="AE1686" s="139"/>
      <c r="AF1686" s="139"/>
      <c r="AG1686" s="139"/>
      <c r="AH1686" s="139"/>
      <c r="AI1686" s="139"/>
      <c r="AJ1686" s="139"/>
      <c r="AK1686" s="139"/>
    </row>
    <row r="1687" spans="13:37" x14ac:dyDescent="0.25">
      <c r="M1687" s="139"/>
      <c r="N1687" s="139"/>
      <c r="O1687" s="139"/>
      <c r="P1687" s="139"/>
      <c r="R1687" s="139"/>
      <c r="S1687" s="139"/>
      <c r="T1687" s="139"/>
      <c r="U1687" s="139"/>
      <c r="V1687" s="139"/>
      <c r="W1687" s="139"/>
      <c r="X1687" s="139"/>
      <c r="Y1687" s="139"/>
      <c r="Z1687" s="139"/>
      <c r="AA1687" s="139"/>
      <c r="AB1687" s="139"/>
      <c r="AC1687" s="139"/>
      <c r="AD1687" s="139"/>
      <c r="AE1687" s="139"/>
      <c r="AF1687" s="139"/>
      <c r="AG1687" s="139"/>
      <c r="AH1687" s="139"/>
      <c r="AI1687" s="139"/>
      <c r="AJ1687" s="139"/>
      <c r="AK1687" s="139"/>
    </row>
    <row r="1688" spans="13:37" x14ac:dyDescent="0.25">
      <c r="M1688" s="139"/>
      <c r="N1688" s="139"/>
      <c r="O1688" s="139"/>
      <c r="P1688" s="139"/>
      <c r="R1688" s="139"/>
      <c r="S1688" s="139"/>
      <c r="T1688" s="139"/>
      <c r="U1688" s="139"/>
      <c r="V1688" s="139"/>
      <c r="W1688" s="139"/>
      <c r="X1688" s="139"/>
      <c r="Y1688" s="139"/>
      <c r="Z1688" s="139"/>
      <c r="AA1688" s="139"/>
      <c r="AB1688" s="139"/>
      <c r="AC1688" s="139"/>
      <c r="AD1688" s="139"/>
      <c r="AE1688" s="139"/>
      <c r="AF1688" s="139"/>
      <c r="AG1688" s="139"/>
      <c r="AH1688" s="139"/>
      <c r="AI1688" s="139"/>
      <c r="AJ1688" s="139"/>
      <c r="AK1688" s="139"/>
    </row>
    <row r="1689" spans="13:37" x14ac:dyDescent="0.25">
      <c r="M1689" s="139"/>
      <c r="N1689" s="139"/>
      <c r="O1689" s="139"/>
      <c r="P1689" s="139"/>
      <c r="R1689" s="139"/>
      <c r="S1689" s="139"/>
      <c r="T1689" s="139"/>
      <c r="U1689" s="139"/>
      <c r="V1689" s="139"/>
      <c r="W1689" s="139"/>
      <c r="X1689" s="139"/>
      <c r="Y1689" s="139"/>
      <c r="Z1689" s="139"/>
      <c r="AA1689" s="139"/>
      <c r="AB1689" s="139"/>
      <c r="AC1689" s="139"/>
      <c r="AD1689" s="139"/>
      <c r="AE1689" s="139"/>
      <c r="AF1689" s="139"/>
      <c r="AG1689" s="139"/>
      <c r="AH1689" s="139"/>
      <c r="AI1689" s="139"/>
      <c r="AJ1689" s="139"/>
      <c r="AK1689" s="139"/>
    </row>
    <row r="1690" spans="13:37" x14ac:dyDescent="0.25">
      <c r="M1690" s="139"/>
      <c r="N1690" s="139"/>
      <c r="O1690" s="139"/>
      <c r="P1690" s="139"/>
      <c r="R1690" s="139"/>
      <c r="S1690" s="139"/>
      <c r="T1690" s="139"/>
      <c r="U1690" s="139"/>
      <c r="V1690" s="139"/>
      <c r="W1690" s="139"/>
      <c r="X1690" s="139"/>
      <c r="Y1690" s="139"/>
      <c r="Z1690" s="139"/>
      <c r="AA1690" s="139"/>
      <c r="AB1690" s="139"/>
      <c r="AC1690" s="139"/>
      <c r="AD1690" s="139"/>
      <c r="AE1690" s="139"/>
      <c r="AF1690" s="139"/>
      <c r="AG1690" s="139"/>
      <c r="AH1690" s="139"/>
      <c r="AI1690" s="139"/>
      <c r="AJ1690" s="139"/>
      <c r="AK1690" s="139"/>
    </row>
    <row r="1691" spans="13:37" x14ac:dyDescent="0.25">
      <c r="M1691" s="139"/>
      <c r="N1691" s="139"/>
      <c r="O1691" s="139"/>
      <c r="P1691" s="139"/>
      <c r="R1691" s="139"/>
      <c r="S1691" s="139"/>
      <c r="T1691" s="139"/>
      <c r="U1691" s="139"/>
      <c r="V1691" s="139"/>
      <c r="W1691" s="139"/>
      <c r="X1691" s="139"/>
      <c r="Y1691" s="139"/>
      <c r="Z1691" s="139"/>
      <c r="AA1691" s="139"/>
      <c r="AB1691" s="139"/>
      <c r="AC1691" s="139"/>
      <c r="AD1691" s="139"/>
      <c r="AE1691" s="139"/>
      <c r="AF1691" s="139"/>
      <c r="AG1691" s="139"/>
      <c r="AH1691" s="139"/>
      <c r="AI1691" s="139"/>
      <c r="AJ1691" s="139"/>
      <c r="AK1691" s="139"/>
    </row>
    <row r="1692" spans="13:37" x14ac:dyDescent="0.25">
      <c r="M1692" s="139"/>
      <c r="N1692" s="139"/>
      <c r="O1692" s="139"/>
      <c r="P1692" s="139"/>
      <c r="R1692" s="139"/>
      <c r="S1692" s="139"/>
      <c r="T1692" s="139"/>
      <c r="U1692" s="139"/>
      <c r="V1692" s="139"/>
      <c r="W1692" s="139"/>
      <c r="X1692" s="139"/>
      <c r="Y1692" s="139"/>
      <c r="Z1692" s="139"/>
      <c r="AA1692" s="139"/>
      <c r="AB1692" s="139"/>
      <c r="AC1692" s="139"/>
      <c r="AD1692" s="139"/>
      <c r="AE1692" s="139"/>
      <c r="AF1692" s="139"/>
      <c r="AG1692" s="139"/>
      <c r="AH1692" s="139"/>
      <c r="AI1692" s="139"/>
      <c r="AJ1692" s="139"/>
      <c r="AK1692" s="139"/>
    </row>
    <row r="1693" spans="13:37" x14ac:dyDescent="0.25">
      <c r="M1693" s="139"/>
      <c r="N1693" s="139"/>
      <c r="O1693" s="139"/>
      <c r="P1693" s="139"/>
      <c r="R1693" s="139"/>
      <c r="S1693" s="139"/>
      <c r="T1693" s="139"/>
      <c r="U1693" s="139"/>
      <c r="V1693" s="139"/>
      <c r="W1693" s="139"/>
      <c r="X1693" s="139"/>
      <c r="Y1693" s="139"/>
      <c r="Z1693" s="139"/>
      <c r="AA1693" s="139"/>
      <c r="AB1693" s="139"/>
      <c r="AC1693" s="139"/>
      <c r="AD1693" s="139"/>
      <c r="AE1693" s="139"/>
      <c r="AF1693" s="139"/>
      <c r="AG1693" s="139"/>
      <c r="AH1693" s="139"/>
      <c r="AI1693" s="139"/>
      <c r="AJ1693" s="139"/>
      <c r="AK1693" s="139"/>
    </row>
    <row r="1694" spans="13:37" x14ac:dyDescent="0.25">
      <c r="M1694" s="139"/>
      <c r="N1694" s="139"/>
      <c r="O1694" s="139"/>
      <c r="P1694" s="139"/>
      <c r="R1694" s="139"/>
      <c r="S1694" s="139"/>
      <c r="T1694" s="139"/>
      <c r="U1694" s="139"/>
      <c r="V1694" s="139"/>
      <c r="W1694" s="139"/>
      <c r="X1694" s="139"/>
      <c r="Y1694" s="139"/>
      <c r="Z1694" s="139"/>
      <c r="AA1694" s="139"/>
      <c r="AB1694" s="139"/>
      <c r="AC1694" s="139"/>
      <c r="AD1694" s="139"/>
      <c r="AE1694" s="139"/>
      <c r="AF1694" s="139"/>
      <c r="AG1694" s="139"/>
      <c r="AH1694" s="139"/>
      <c r="AI1694" s="139"/>
      <c r="AJ1694" s="139"/>
      <c r="AK1694" s="139"/>
    </row>
    <row r="1695" spans="13:37" x14ac:dyDescent="0.25">
      <c r="M1695" s="139"/>
      <c r="N1695" s="139"/>
      <c r="O1695" s="139"/>
      <c r="P1695" s="139"/>
      <c r="R1695" s="139"/>
      <c r="S1695" s="139"/>
      <c r="T1695" s="139"/>
      <c r="U1695" s="139"/>
      <c r="V1695" s="139"/>
      <c r="W1695" s="139"/>
      <c r="X1695" s="139"/>
      <c r="Y1695" s="139"/>
      <c r="Z1695" s="139"/>
      <c r="AA1695" s="139"/>
      <c r="AB1695" s="139"/>
      <c r="AC1695" s="139"/>
      <c r="AD1695" s="139"/>
      <c r="AE1695" s="139"/>
      <c r="AF1695" s="139"/>
      <c r="AG1695" s="139"/>
      <c r="AH1695" s="139"/>
      <c r="AI1695" s="139"/>
      <c r="AJ1695" s="139"/>
      <c r="AK1695" s="139"/>
    </row>
    <row r="1696" spans="13:37" x14ac:dyDescent="0.25">
      <c r="M1696" s="139"/>
      <c r="N1696" s="139"/>
      <c r="O1696" s="139"/>
      <c r="P1696" s="139"/>
      <c r="R1696" s="139"/>
      <c r="S1696" s="139"/>
      <c r="T1696" s="139"/>
      <c r="U1696" s="139"/>
      <c r="V1696" s="139"/>
      <c r="W1696" s="139"/>
      <c r="X1696" s="139"/>
      <c r="Y1696" s="139"/>
      <c r="Z1696" s="139"/>
      <c r="AA1696" s="139"/>
      <c r="AB1696" s="139"/>
      <c r="AC1696" s="139"/>
      <c r="AD1696" s="139"/>
      <c r="AE1696" s="139"/>
      <c r="AF1696" s="139"/>
      <c r="AG1696" s="139"/>
      <c r="AH1696" s="139"/>
      <c r="AI1696" s="139"/>
      <c r="AJ1696" s="139"/>
      <c r="AK1696" s="139"/>
    </row>
    <row r="1697" spans="13:37" x14ac:dyDescent="0.25">
      <c r="M1697" s="139"/>
      <c r="N1697" s="139"/>
      <c r="O1697" s="139"/>
      <c r="P1697" s="139"/>
      <c r="R1697" s="139"/>
      <c r="S1697" s="139"/>
      <c r="T1697" s="139"/>
      <c r="U1697" s="139"/>
      <c r="V1697" s="139"/>
      <c r="W1697" s="139"/>
      <c r="X1697" s="139"/>
      <c r="Y1697" s="139"/>
      <c r="Z1697" s="139"/>
      <c r="AA1697" s="139"/>
      <c r="AB1697" s="139"/>
      <c r="AC1697" s="139"/>
      <c r="AD1697" s="139"/>
      <c r="AE1697" s="139"/>
      <c r="AF1697" s="139"/>
      <c r="AG1697" s="139"/>
      <c r="AH1697" s="139"/>
      <c r="AI1697" s="139"/>
      <c r="AJ1697" s="139"/>
      <c r="AK1697" s="139"/>
    </row>
    <row r="1698" spans="13:37" x14ac:dyDescent="0.25">
      <c r="M1698" s="139"/>
      <c r="N1698" s="139"/>
      <c r="O1698" s="139"/>
      <c r="P1698" s="139"/>
      <c r="R1698" s="139"/>
      <c r="S1698" s="139"/>
      <c r="T1698" s="139"/>
      <c r="U1698" s="139"/>
      <c r="V1698" s="139"/>
      <c r="W1698" s="139"/>
      <c r="X1698" s="139"/>
      <c r="Y1698" s="139"/>
      <c r="Z1698" s="139"/>
      <c r="AA1698" s="139"/>
      <c r="AB1698" s="139"/>
      <c r="AC1698" s="139"/>
      <c r="AD1698" s="139"/>
      <c r="AE1698" s="139"/>
      <c r="AF1698" s="139"/>
      <c r="AG1698" s="139"/>
      <c r="AH1698" s="139"/>
      <c r="AI1698" s="139"/>
      <c r="AJ1698" s="139"/>
      <c r="AK1698" s="139"/>
    </row>
    <row r="1699" spans="13:37" x14ac:dyDescent="0.25">
      <c r="M1699" s="139"/>
      <c r="N1699" s="139"/>
      <c r="O1699" s="139"/>
      <c r="P1699" s="139"/>
      <c r="R1699" s="139"/>
      <c r="S1699" s="139"/>
      <c r="T1699" s="139"/>
      <c r="U1699" s="139"/>
      <c r="V1699" s="139"/>
      <c r="W1699" s="139"/>
      <c r="X1699" s="139"/>
      <c r="Y1699" s="139"/>
      <c r="Z1699" s="139"/>
      <c r="AA1699" s="139"/>
      <c r="AB1699" s="139"/>
      <c r="AC1699" s="139"/>
      <c r="AD1699" s="139"/>
      <c r="AE1699" s="139"/>
      <c r="AF1699" s="139"/>
      <c r="AG1699" s="139"/>
      <c r="AH1699" s="139"/>
      <c r="AI1699" s="139"/>
      <c r="AJ1699" s="139"/>
      <c r="AK1699" s="139"/>
    </row>
    <row r="1700" spans="13:37" x14ac:dyDescent="0.25">
      <c r="M1700" s="139"/>
      <c r="N1700" s="139"/>
      <c r="O1700" s="139"/>
      <c r="P1700" s="139"/>
      <c r="R1700" s="139"/>
      <c r="S1700" s="139"/>
      <c r="T1700" s="139"/>
      <c r="U1700" s="139"/>
      <c r="V1700" s="139"/>
      <c r="W1700" s="139"/>
      <c r="X1700" s="139"/>
      <c r="Y1700" s="139"/>
      <c r="Z1700" s="139"/>
      <c r="AA1700" s="139"/>
      <c r="AB1700" s="139"/>
      <c r="AC1700" s="139"/>
      <c r="AD1700" s="139"/>
      <c r="AE1700" s="139"/>
      <c r="AF1700" s="139"/>
      <c r="AG1700" s="139"/>
      <c r="AH1700" s="139"/>
      <c r="AI1700" s="139"/>
      <c r="AJ1700" s="139"/>
      <c r="AK1700" s="139"/>
    </row>
    <row r="1701" spans="13:37" x14ac:dyDescent="0.25">
      <c r="M1701" s="139"/>
      <c r="N1701" s="139"/>
      <c r="O1701" s="139"/>
      <c r="P1701" s="139"/>
      <c r="R1701" s="139"/>
      <c r="S1701" s="139"/>
      <c r="T1701" s="139"/>
      <c r="U1701" s="139"/>
      <c r="V1701" s="139"/>
      <c r="W1701" s="139"/>
      <c r="X1701" s="139"/>
      <c r="Y1701" s="139"/>
      <c r="Z1701" s="139"/>
      <c r="AA1701" s="139"/>
      <c r="AB1701" s="139"/>
      <c r="AC1701" s="139"/>
      <c r="AD1701" s="139"/>
      <c r="AE1701" s="139"/>
      <c r="AF1701" s="139"/>
      <c r="AG1701" s="139"/>
      <c r="AH1701" s="139"/>
      <c r="AI1701" s="139"/>
      <c r="AJ1701" s="139"/>
      <c r="AK1701" s="139"/>
    </row>
    <row r="1702" spans="13:37" x14ac:dyDescent="0.25">
      <c r="M1702" s="139"/>
      <c r="N1702" s="139"/>
      <c r="O1702" s="139"/>
      <c r="P1702" s="139"/>
      <c r="R1702" s="139"/>
      <c r="S1702" s="139"/>
      <c r="T1702" s="139"/>
      <c r="U1702" s="139"/>
      <c r="V1702" s="139"/>
      <c r="W1702" s="139"/>
      <c r="X1702" s="139"/>
      <c r="Y1702" s="139"/>
      <c r="Z1702" s="139"/>
      <c r="AA1702" s="139"/>
      <c r="AB1702" s="139"/>
      <c r="AC1702" s="139"/>
      <c r="AD1702" s="139"/>
      <c r="AE1702" s="139"/>
      <c r="AF1702" s="139"/>
      <c r="AG1702" s="139"/>
      <c r="AH1702" s="139"/>
      <c r="AI1702" s="139"/>
      <c r="AJ1702" s="139"/>
      <c r="AK1702" s="139"/>
    </row>
    <row r="1703" spans="13:37" x14ac:dyDescent="0.25">
      <c r="M1703" s="139"/>
      <c r="N1703" s="139"/>
      <c r="O1703" s="139"/>
      <c r="P1703" s="139"/>
      <c r="R1703" s="139"/>
      <c r="S1703" s="139"/>
      <c r="T1703" s="139"/>
      <c r="U1703" s="139"/>
      <c r="V1703" s="139"/>
      <c r="W1703" s="139"/>
      <c r="X1703" s="139"/>
      <c r="Y1703" s="139"/>
      <c r="Z1703" s="139"/>
      <c r="AA1703" s="139"/>
      <c r="AB1703" s="139"/>
      <c r="AC1703" s="139"/>
      <c r="AD1703" s="139"/>
      <c r="AE1703" s="139"/>
      <c r="AF1703" s="139"/>
      <c r="AG1703" s="139"/>
      <c r="AH1703" s="139"/>
      <c r="AI1703" s="139"/>
      <c r="AJ1703" s="139"/>
      <c r="AK1703" s="139"/>
    </row>
    <row r="1704" spans="13:37" x14ac:dyDescent="0.25">
      <c r="M1704" s="139"/>
      <c r="N1704" s="139"/>
      <c r="O1704" s="139"/>
      <c r="P1704" s="139"/>
      <c r="R1704" s="139"/>
      <c r="S1704" s="139"/>
      <c r="T1704" s="139"/>
      <c r="U1704" s="139"/>
      <c r="V1704" s="139"/>
      <c r="W1704" s="139"/>
      <c r="X1704" s="139"/>
      <c r="Y1704" s="139"/>
      <c r="Z1704" s="139"/>
      <c r="AA1704" s="139"/>
      <c r="AB1704" s="139"/>
      <c r="AC1704" s="139"/>
      <c r="AD1704" s="139"/>
      <c r="AE1704" s="139"/>
      <c r="AF1704" s="139"/>
      <c r="AG1704" s="139"/>
      <c r="AH1704" s="139"/>
      <c r="AI1704" s="139"/>
      <c r="AJ1704" s="139"/>
      <c r="AK1704" s="139"/>
    </row>
    <row r="1705" spans="13:37" x14ac:dyDescent="0.25">
      <c r="M1705" s="139"/>
      <c r="N1705" s="139"/>
      <c r="O1705" s="139"/>
      <c r="P1705" s="139"/>
      <c r="R1705" s="139"/>
      <c r="S1705" s="139"/>
      <c r="T1705" s="139"/>
      <c r="U1705" s="139"/>
      <c r="V1705" s="139"/>
      <c r="W1705" s="139"/>
      <c r="X1705" s="139"/>
      <c r="Y1705" s="139"/>
      <c r="Z1705" s="139"/>
      <c r="AA1705" s="139"/>
      <c r="AB1705" s="139"/>
      <c r="AC1705" s="139"/>
      <c r="AD1705" s="139"/>
      <c r="AE1705" s="139"/>
      <c r="AF1705" s="139"/>
      <c r="AG1705" s="139"/>
      <c r="AH1705" s="139"/>
      <c r="AI1705" s="139"/>
      <c r="AJ1705" s="139"/>
      <c r="AK1705" s="139"/>
    </row>
    <row r="1706" spans="13:37" x14ac:dyDescent="0.25">
      <c r="M1706" s="139"/>
      <c r="N1706" s="139"/>
      <c r="O1706" s="139"/>
      <c r="P1706" s="139"/>
      <c r="R1706" s="139"/>
      <c r="S1706" s="139"/>
      <c r="T1706" s="139"/>
      <c r="U1706" s="139"/>
      <c r="V1706" s="139"/>
      <c r="W1706" s="139"/>
      <c r="X1706" s="139"/>
      <c r="Y1706" s="139"/>
      <c r="Z1706" s="139"/>
      <c r="AA1706" s="139"/>
      <c r="AB1706" s="139"/>
      <c r="AC1706" s="139"/>
      <c r="AD1706" s="139"/>
      <c r="AE1706" s="139"/>
      <c r="AF1706" s="139"/>
      <c r="AG1706" s="139"/>
      <c r="AH1706" s="139"/>
      <c r="AI1706" s="139"/>
      <c r="AJ1706" s="139"/>
      <c r="AK1706" s="139"/>
    </row>
    <row r="1707" spans="13:37" x14ac:dyDescent="0.25">
      <c r="M1707" s="139"/>
      <c r="N1707" s="139"/>
      <c r="O1707" s="139"/>
      <c r="P1707" s="139"/>
      <c r="R1707" s="139"/>
      <c r="S1707" s="139"/>
      <c r="T1707" s="139"/>
      <c r="U1707" s="139"/>
      <c r="V1707" s="139"/>
      <c r="W1707" s="139"/>
      <c r="X1707" s="139"/>
      <c r="Y1707" s="139"/>
      <c r="Z1707" s="139"/>
      <c r="AA1707" s="139"/>
      <c r="AB1707" s="139"/>
      <c r="AC1707" s="139"/>
      <c r="AD1707" s="139"/>
      <c r="AE1707" s="139"/>
      <c r="AF1707" s="139"/>
      <c r="AG1707" s="139"/>
      <c r="AH1707" s="139"/>
      <c r="AI1707" s="139"/>
      <c r="AJ1707" s="139"/>
      <c r="AK1707" s="139"/>
    </row>
    <row r="1708" spans="13:37" x14ac:dyDescent="0.25">
      <c r="M1708" s="139"/>
      <c r="N1708" s="139"/>
      <c r="O1708" s="139"/>
      <c r="P1708" s="139"/>
      <c r="R1708" s="139"/>
      <c r="S1708" s="139"/>
      <c r="T1708" s="139"/>
      <c r="U1708" s="139"/>
      <c r="V1708" s="139"/>
      <c r="W1708" s="139"/>
      <c r="X1708" s="139"/>
      <c r="Y1708" s="139"/>
      <c r="Z1708" s="139"/>
      <c r="AA1708" s="139"/>
      <c r="AB1708" s="139"/>
      <c r="AC1708" s="139"/>
      <c r="AD1708" s="139"/>
      <c r="AE1708" s="139"/>
      <c r="AF1708" s="139"/>
      <c r="AG1708" s="139"/>
      <c r="AH1708" s="139"/>
      <c r="AI1708" s="139"/>
      <c r="AJ1708" s="139"/>
      <c r="AK1708" s="139"/>
    </row>
    <row r="1709" spans="13:37" x14ac:dyDescent="0.25">
      <c r="M1709" s="139"/>
      <c r="N1709" s="139"/>
      <c r="O1709" s="139"/>
      <c r="P1709" s="139"/>
      <c r="R1709" s="139"/>
      <c r="S1709" s="139"/>
      <c r="T1709" s="139"/>
      <c r="U1709" s="139"/>
      <c r="V1709" s="139"/>
      <c r="W1709" s="139"/>
      <c r="X1709" s="139"/>
      <c r="Y1709" s="139"/>
      <c r="Z1709" s="139"/>
      <c r="AA1709" s="139"/>
      <c r="AB1709" s="139"/>
      <c r="AC1709" s="139"/>
      <c r="AD1709" s="139"/>
      <c r="AE1709" s="139"/>
      <c r="AF1709" s="139"/>
      <c r="AG1709" s="139"/>
      <c r="AH1709" s="139"/>
      <c r="AI1709" s="139"/>
      <c r="AJ1709" s="139"/>
      <c r="AK1709" s="139"/>
    </row>
    <row r="1710" spans="13:37" x14ac:dyDescent="0.25">
      <c r="M1710" s="139"/>
      <c r="N1710" s="139"/>
      <c r="O1710" s="139"/>
      <c r="P1710" s="139"/>
      <c r="R1710" s="139"/>
      <c r="S1710" s="139"/>
      <c r="T1710" s="139"/>
      <c r="U1710" s="139"/>
      <c r="V1710" s="139"/>
      <c r="W1710" s="139"/>
      <c r="X1710" s="139"/>
      <c r="Y1710" s="139"/>
      <c r="Z1710" s="139"/>
      <c r="AA1710" s="139"/>
      <c r="AB1710" s="139"/>
      <c r="AC1710" s="139"/>
      <c r="AD1710" s="139"/>
      <c r="AE1710" s="139"/>
      <c r="AF1710" s="139"/>
      <c r="AG1710" s="139"/>
      <c r="AH1710" s="139"/>
      <c r="AI1710" s="139"/>
      <c r="AJ1710" s="139"/>
      <c r="AK1710" s="139"/>
    </row>
    <row r="1711" spans="13:37" x14ac:dyDescent="0.25">
      <c r="M1711" s="139"/>
      <c r="N1711" s="139"/>
      <c r="O1711" s="139"/>
      <c r="P1711" s="139"/>
      <c r="R1711" s="139"/>
      <c r="S1711" s="139"/>
      <c r="T1711" s="139"/>
      <c r="U1711" s="139"/>
      <c r="V1711" s="139"/>
      <c r="W1711" s="139"/>
      <c r="X1711" s="139"/>
      <c r="Y1711" s="139"/>
      <c r="Z1711" s="139"/>
      <c r="AA1711" s="139"/>
      <c r="AB1711" s="139"/>
      <c r="AC1711" s="139"/>
      <c r="AD1711" s="139"/>
      <c r="AE1711" s="139"/>
      <c r="AF1711" s="139"/>
      <c r="AG1711" s="139"/>
      <c r="AH1711" s="139"/>
      <c r="AI1711" s="139"/>
      <c r="AJ1711" s="139"/>
      <c r="AK1711" s="139"/>
    </row>
    <row r="1712" spans="13:37" x14ac:dyDescent="0.25">
      <c r="M1712" s="139"/>
      <c r="N1712" s="139"/>
      <c r="O1712" s="139"/>
      <c r="P1712" s="139"/>
      <c r="R1712" s="139"/>
      <c r="S1712" s="139"/>
      <c r="T1712" s="139"/>
      <c r="U1712" s="139"/>
      <c r="V1712" s="139"/>
      <c r="W1712" s="139"/>
      <c r="X1712" s="139"/>
      <c r="Y1712" s="139"/>
      <c r="Z1712" s="139"/>
      <c r="AA1712" s="139"/>
      <c r="AB1712" s="139"/>
      <c r="AC1712" s="139"/>
      <c r="AD1712" s="139"/>
      <c r="AE1712" s="139"/>
      <c r="AF1712" s="139"/>
      <c r="AG1712" s="139"/>
      <c r="AH1712" s="139"/>
      <c r="AI1712" s="139"/>
      <c r="AJ1712" s="139"/>
      <c r="AK1712" s="139"/>
    </row>
    <row r="1713" spans="13:37" x14ac:dyDescent="0.25">
      <c r="M1713" s="139"/>
      <c r="N1713" s="139"/>
      <c r="O1713" s="139"/>
      <c r="P1713" s="139"/>
      <c r="R1713" s="139"/>
      <c r="S1713" s="139"/>
      <c r="T1713" s="139"/>
      <c r="U1713" s="139"/>
      <c r="V1713" s="139"/>
      <c r="W1713" s="139"/>
      <c r="X1713" s="139"/>
      <c r="Y1713" s="139"/>
      <c r="Z1713" s="139"/>
      <c r="AA1713" s="139"/>
      <c r="AB1713" s="139"/>
      <c r="AC1713" s="139"/>
      <c r="AD1713" s="139"/>
      <c r="AE1713" s="139"/>
      <c r="AF1713" s="139"/>
      <c r="AG1713" s="139"/>
      <c r="AH1713" s="139"/>
      <c r="AI1713" s="139"/>
      <c r="AJ1713" s="139"/>
      <c r="AK1713" s="139"/>
    </row>
    <row r="1714" spans="13:37" x14ac:dyDescent="0.25">
      <c r="M1714" s="139"/>
      <c r="N1714" s="139"/>
      <c r="O1714" s="139"/>
      <c r="P1714" s="139"/>
      <c r="R1714" s="139"/>
      <c r="S1714" s="139"/>
      <c r="T1714" s="139"/>
      <c r="U1714" s="139"/>
      <c r="V1714" s="139"/>
      <c r="W1714" s="139"/>
      <c r="X1714" s="139"/>
      <c r="Y1714" s="139"/>
      <c r="Z1714" s="139"/>
      <c r="AA1714" s="139"/>
      <c r="AB1714" s="139"/>
      <c r="AC1714" s="139"/>
      <c r="AD1714" s="139"/>
      <c r="AE1714" s="139"/>
      <c r="AF1714" s="139"/>
      <c r="AG1714" s="139"/>
      <c r="AH1714" s="139"/>
      <c r="AI1714" s="139"/>
      <c r="AJ1714" s="139"/>
      <c r="AK1714" s="139"/>
    </row>
    <row r="1715" spans="13:37" x14ac:dyDescent="0.25">
      <c r="M1715" s="139"/>
      <c r="N1715" s="139"/>
      <c r="O1715" s="139"/>
      <c r="P1715" s="139"/>
      <c r="R1715" s="139"/>
      <c r="S1715" s="139"/>
      <c r="T1715" s="139"/>
      <c r="U1715" s="139"/>
      <c r="V1715" s="139"/>
      <c r="W1715" s="139"/>
      <c r="X1715" s="139"/>
      <c r="Y1715" s="139"/>
      <c r="Z1715" s="139"/>
      <c r="AA1715" s="139"/>
      <c r="AB1715" s="139"/>
      <c r="AC1715" s="139"/>
      <c r="AD1715" s="139"/>
      <c r="AE1715" s="139"/>
      <c r="AF1715" s="139"/>
      <c r="AG1715" s="139"/>
      <c r="AH1715" s="139"/>
      <c r="AI1715" s="139"/>
      <c r="AJ1715" s="139"/>
      <c r="AK1715" s="139"/>
    </row>
    <row r="1716" spans="13:37" x14ac:dyDescent="0.25">
      <c r="M1716" s="139"/>
      <c r="N1716" s="139"/>
      <c r="O1716" s="139"/>
      <c r="P1716" s="139"/>
      <c r="R1716" s="139"/>
      <c r="S1716" s="139"/>
      <c r="T1716" s="139"/>
      <c r="U1716" s="139"/>
      <c r="V1716" s="139"/>
      <c r="W1716" s="139"/>
      <c r="X1716" s="139"/>
      <c r="Y1716" s="139"/>
      <c r="Z1716" s="139"/>
      <c r="AA1716" s="139"/>
      <c r="AB1716" s="139"/>
      <c r="AC1716" s="139"/>
      <c r="AD1716" s="139"/>
      <c r="AE1716" s="139"/>
      <c r="AF1716" s="139"/>
      <c r="AG1716" s="139"/>
      <c r="AH1716" s="139"/>
      <c r="AI1716" s="139"/>
      <c r="AJ1716" s="139"/>
      <c r="AK1716" s="139"/>
    </row>
    <row r="1717" spans="13:37" x14ac:dyDescent="0.25">
      <c r="M1717" s="139"/>
      <c r="N1717" s="139"/>
      <c r="O1717" s="139"/>
      <c r="P1717" s="139"/>
      <c r="R1717" s="139"/>
      <c r="S1717" s="139"/>
      <c r="T1717" s="139"/>
      <c r="U1717" s="139"/>
      <c r="V1717" s="139"/>
      <c r="W1717" s="139"/>
      <c r="X1717" s="139"/>
      <c r="Y1717" s="139"/>
      <c r="Z1717" s="139"/>
      <c r="AA1717" s="139"/>
      <c r="AB1717" s="139"/>
      <c r="AC1717" s="139"/>
      <c r="AD1717" s="139"/>
      <c r="AE1717" s="139"/>
      <c r="AF1717" s="139"/>
      <c r="AG1717" s="139"/>
      <c r="AH1717" s="139"/>
      <c r="AI1717" s="139"/>
      <c r="AJ1717" s="139"/>
      <c r="AK1717" s="139"/>
    </row>
    <row r="1718" spans="13:37" x14ac:dyDescent="0.25">
      <c r="M1718" s="139"/>
      <c r="N1718" s="139"/>
      <c r="O1718" s="139"/>
      <c r="P1718" s="139"/>
      <c r="R1718" s="139"/>
      <c r="S1718" s="139"/>
      <c r="T1718" s="139"/>
      <c r="U1718" s="139"/>
      <c r="V1718" s="139"/>
      <c r="W1718" s="139"/>
      <c r="X1718" s="139"/>
      <c r="Y1718" s="139"/>
      <c r="Z1718" s="139"/>
      <c r="AA1718" s="139"/>
      <c r="AB1718" s="139"/>
      <c r="AC1718" s="139"/>
      <c r="AD1718" s="139"/>
      <c r="AE1718" s="139"/>
      <c r="AF1718" s="139"/>
      <c r="AG1718" s="139"/>
      <c r="AH1718" s="139"/>
      <c r="AI1718" s="139"/>
      <c r="AJ1718" s="139"/>
      <c r="AK1718" s="139"/>
    </row>
    <row r="1719" spans="13:37" x14ac:dyDescent="0.25">
      <c r="M1719" s="139"/>
      <c r="N1719" s="139"/>
      <c r="O1719" s="139"/>
      <c r="P1719" s="139"/>
      <c r="R1719" s="139"/>
      <c r="S1719" s="139"/>
      <c r="T1719" s="139"/>
      <c r="U1719" s="139"/>
      <c r="V1719" s="139"/>
      <c r="W1719" s="139"/>
      <c r="X1719" s="139"/>
      <c r="Y1719" s="139"/>
      <c r="Z1719" s="139"/>
      <c r="AA1719" s="139"/>
      <c r="AB1719" s="139"/>
      <c r="AC1719" s="139"/>
      <c r="AD1719" s="139"/>
      <c r="AE1719" s="139"/>
      <c r="AF1719" s="139"/>
      <c r="AG1719" s="139"/>
      <c r="AH1719" s="139"/>
      <c r="AI1719" s="139"/>
      <c r="AJ1719" s="139"/>
      <c r="AK1719" s="139"/>
    </row>
    <row r="1720" spans="13:37" x14ac:dyDescent="0.25">
      <c r="M1720" s="139"/>
      <c r="N1720" s="139"/>
      <c r="O1720" s="139"/>
      <c r="P1720" s="139"/>
      <c r="R1720" s="139"/>
      <c r="S1720" s="139"/>
      <c r="T1720" s="139"/>
      <c r="U1720" s="139"/>
      <c r="V1720" s="139"/>
      <c r="W1720" s="139"/>
      <c r="X1720" s="139"/>
      <c r="Y1720" s="139"/>
      <c r="Z1720" s="139"/>
      <c r="AA1720" s="139"/>
      <c r="AB1720" s="139"/>
      <c r="AC1720" s="139"/>
      <c r="AD1720" s="139"/>
      <c r="AE1720" s="139"/>
      <c r="AF1720" s="139"/>
      <c r="AG1720" s="139"/>
      <c r="AH1720" s="139"/>
      <c r="AI1720" s="139"/>
      <c r="AJ1720" s="139"/>
      <c r="AK1720" s="139"/>
    </row>
    <row r="1721" spans="13:37" x14ac:dyDescent="0.25">
      <c r="M1721" s="139"/>
      <c r="N1721" s="139"/>
      <c r="O1721" s="139"/>
      <c r="P1721" s="139"/>
      <c r="R1721" s="139"/>
      <c r="S1721" s="139"/>
      <c r="T1721" s="139"/>
      <c r="U1721" s="139"/>
      <c r="V1721" s="139"/>
      <c r="W1721" s="139"/>
      <c r="X1721" s="139"/>
      <c r="Y1721" s="139"/>
      <c r="Z1721" s="139"/>
      <c r="AA1721" s="139"/>
      <c r="AB1721" s="139"/>
      <c r="AC1721" s="139"/>
      <c r="AD1721" s="139"/>
      <c r="AE1721" s="139"/>
      <c r="AF1721" s="139"/>
      <c r="AG1721" s="139"/>
      <c r="AH1721" s="139"/>
      <c r="AI1721" s="139"/>
      <c r="AJ1721" s="139"/>
      <c r="AK1721" s="139"/>
    </row>
    <row r="1722" spans="13:37" x14ac:dyDescent="0.25">
      <c r="M1722" s="139"/>
      <c r="N1722" s="139"/>
      <c r="O1722" s="139"/>
      <c r="P1722" s="139"/>
      <c r="R1722" s="139"/>
      <c r="S1722" s="139"/>
      <c r="T1722" s="139"/>
      <c r="U1722" s="139"/>
      <c r="V1722" s="139"/>
      <c r="W1722" s="139"/>
      <c r="X1722" s="139"/>
      <c r="Y1722" s="139"/>
      <c r="Z1722" s="139"/>
      <c r="AA1722" s="139"/>
      <c r="AB1722" s="139"/>
      <c r="AC1722" s="139"/>
      <c r="AD1722" s="139"/>
      <c r="AE1722" s="139"/>
      <c r="AF1722" s="139"/>
      <c r="AG1722" s="139"/>
      <c r="AH1722" s="139"/>
      <c r="AI1722" s="139"/>
      <c r="AJ1722" s="139"/>
      <c r="AK1722" s="139"/>
    </row>
    <row r="1723" spans="13:37" x14ac:dyDescent="0.25">
      <c r="M1723" s="139"/>
      <c r="N1723" s="139"/>
      <c r="O1723" s="139"/>
      <c r="P1723" s="139"/>
      <c r="R1723" s="139"/>
      <c r="S1723" s="139"/>
      <c r="T1723" s="139"/>
      <c r="U1723" s="139"/>
      <c r="V1723" s="139"/>
      <c r="W1723" s="139"/>
      <c r="X1723" s="139"/>
      <c r="Y1723" s="139"/>
      <c r="Z1723" s="139"/>
      <c r="AA1723" s="139"/>
      <c r="AB1723" s="139"/>
      <c r="AC1723" s="139"/>
      <c r="AD1723" s="139"/>
      <c r="AE1723" s="139"/>
      <c r="AF1723" s="139"/>
      <c r="AG1723" s="139"/>
      <c r="AH1723" s="139"/>
      <c r="AI1723" s="139"/>
      <c r="AJ1723" s="139"/>
      <c r="AK1723" s="139"/>
    </row>
    <row r="1724" spans="13:37" x14ac:dyDescent="0.25">
      <c r="M1724" s="139"/>
      <c r="N1724" s="139"/>
      <c r="O1724" s="139"/>
      <c r="P1724" s="139"/>
      <c r="R1724" s="139"/>
      <c r="S1724" s="139"/>
      <c r="T1724" s="139"/>
      <c r="U1724" s="139"/>
      <c r="V1724" s="139"/>
      <c r="W1724" s="139"/>
      <c r="X1724" s="139"/>
      <c r="Y1724" s="139"/>
      <c r="Z1724" s="139"/>
      <c r="AA1724" s="139"/>
      <c r="AB1724" s="139"/>
      <c r="AC1724" s="139"/>
      <c r="AD1724" s="139"/>
      <c r="AE1724" s="139"/>
      <c r="AF1724" s="139"/>
      <c r="AG1724" s="139"/>
      <c r="AH1724" s="139"/>
      <c r="AI1724" s="139"/>
      <c r="AJ1724" s="139"/>
      <c r="AK1724" s="139"/>
    </row>
    <row r="1725" spans="13:37" x14ac:dyDescent="0.25">
      <c r="M1725" s="139"/>
      <c r="N1725" s="139"/>
      <c r="O1725" s="139"/>
      <c r="P1725" s="139"/>
      <c r="R1725" s="139"/>
      <c r="S1725" s="139"/>
      <c r="T1725" s="139"/>
      <c r="U1725" s="139"/>
      <c r="V1725" s="139"/>
      <c r="W1725" s="139"/>
      <c r="X1725" s="139"/>
      <c r="Y1725" s="139"/>
      <c r="Z1725" s="139"/>
      <c r="AA1725" s="139"/>
      <c r="AB1725" s="139"/>
      <c r="AC1725" s="139"/>
      <c r="AD1725" s="139"/>
      <c r="AE1725" s="139"/>
      <c r="AF1725" s="139"/>
      <c r="AG1725" s="139"/>
      <c r="AH1725" s="139"/>
      <c r="AI1725" s="139"/>
      <c r="AJ1725" s="139"/>
      <c r="AK1725" s="139"/>
    </row>
    <row r="1726" spans="13:37" x14ac:dyDescent="0.25">
      <c r="M1726" s="139"/>
      <c r="N1726" s="139"/>
      <c r="O1726" s="139"/>
      <c r="P1726" s="139"/>
      <c r="R1726" s="139"/>
      <c r="S1726" s="139"/>
      <c r="T1726" s="139"/>
      <c r="U1726" s="139"/>
      <c r="V1726" s="139"/>
      <c r="W1726" s="139"/>
      <c r="X1726" s="139"/>
      <c r="Y1726" s="139"/>
      <c r="Z1726" s="139"/>
      <c r="AA1726" s="139"/>
      <c r="AB1726" s="139"/>
      <c r="AC1726" s="139"/>
      <c r="AD1726" s="139"/>
      <c r="AE1726" s="139"/>
      <c r="AF1726" s="139"/>
      <c r="AG1726" s="139"/>
      <c r="AH1726" s="139"/>
      <c r="AI1726" s="139"/>
      <c r="AJ1726" s="139"/>
      <c r="AK1726" s="139"/>
    </row>
    <row r="1727" spans="13:37" x14ac:dyDescent="0.25">
      <c r="M1727" s="139"/>
      <c r="N1727" s="139"/>
      <c r="O1727" s="139"/>
      <c r="P1727" s="139"/>
      <c r="R1727" s="139"/>
      <c r="S1727" s="139"/>
      <c r="T1727" s="139"/>
      <c r="U1727" s="139"/>
      <c r="V1727" s="139"/>
      <c r="W1727" s="139"/>
      <c r="X1727" s="139"/>
      <c r="Y1727" s="139"/>
      <c r="Z1727" s="139"/>
      <c r="AA1727" s="139"/>
      <c r="AB1727" s="139"/>
      <c r="AC1727" s="139"/>
      <c r="AD1727" s="139"/>
      <c r="AE1727" s="139"/>
      <c r="AF1727" s="139"/>
      <c r="AG1727" s="139"/>
      <c r="AH1727" s="139"/>
      <c r="AI1727" s="139"/>
      <c r="AJ1727" s="139"/>
      <c r="AK1727" s="139"/>
    </row>
    <row r="1728" spans="13:37" x14ac:dyDescent="0.25">
      <c r="M1728" s="139"/>
      <c r="N1728" s="139"/>
      <c r="O1728" s="139"/>
      <c r="P1728" s="139"/>
      <c r="R1728" s="139"/>
      <c r="S1728" s="139"/>
      <c r="T1728" s="139"/>
      <c r="U1728" s="139"/>
      <c r="V1728" s="139"/>
      <c r="W1728" s="139"/>
      <c r="X1728" s="139"/>
      <c r="Y1728" s="139"/>
      <c r="Z1728" s="139"/>
      <c r="AA1728" s="139"/>
      <c r="AB1728" s="139"/>
      <c r="AC1728" s="139"/>
      <c r="AD1728" s="139"/>
      <c r="AE1728" s="139"/>
      <c r="AF1728" s="139"/>
      <c r="AG1728" s="139"/>
      <c r="AH1728" s="139"/>
      <c r="AI1728" s="139"/>
      <c r="AJ1728" s="139"/>
      <c r="AK1728" s="139"/>
    </row>
    <row r="1729" spans="13:37" x14ac:dyDescent="0.25">
      <c r="M1729" s="139"/>
      <c r="N1729" s="139"/>
      <c r="O1729" s="139"/>
      <c r="P1729" s="139"/>
      <c r="R1729" s="139"/>
      <c r="S1729" s="139"/>
      <c r="T1729" s="139"/>
      <c r="U1729" s="139"/>
      <c r="V1729" s="139"/>
      <c r="W1729" s="139"/>
      <c r="X1729" s="139"/>
      <c r="Y1729" s="139"/>
      <c r="Z1729" s="139"/>
      <c r="AA1729" s="139"/>
      <c r="AB1729" s="139"/>
      <c r="AC1729" s="139"/>
      <c r="AD1729" s="139"/>
      <c r="AE1729" s="139"/>
      <c r="AF1729" s="139"/>
      <c r="AG1729" s="139"/>
      <c r="AH1729" s="139"/>
      <c r="AI1729" s="139"/>
      <c r="AJ1729" s="139"/>
      <c r="AK1729" s="139"/>
    </row>
    <row r="1730" spans="13:37" x14ac:dyDescent="0.25">
      <c r="M1730" s="139"/>
      <c r="N1730" s="139"/>
      <c r="O1730" s="139"/>
      <c r="P1730" s="139"/>
      <c r="R1730" s="139"/>
      <c r="S1730" s="139"/>
      <c r="T1730" s="139"/>
      <c r="U1730" s="139"/>
      <c r="V1730" s="139"/>
      <c r="W1730" s="139"/>
      <c r="X1730" s="139"/>
      <c r="Y1730" s="139"/>
      <c r="Z1730" s="139"/>
      <c r="AA1730" s="139"/>
      <c r="AB1730" s="139"/>
      <c r="AC1730" s="139"/>
      <c r="AD1730" s="139"/>
      <c r="AE1730" s="139"/>
      <c r="AF1730" s="139"/>
      <c r="AG1730" s="139"/>
      <c r="AH1730" s="139"/>
      <c r="AI1730" s="139"/>
      <c r="AJ1730" s="139"/>
      <c r="AK1730" s="139"/>
    </row>
    <row r="1731" spans="13:37" x14ac:dyDescent="0.25">
      <c r="M1731" s="139"/>
      <c r="N1731" s="139"/>
      <c r="O1731" s="139"/>
      <c r="P1731" s="139"/>
      <c r="R1731" s="139"/>
      <c r="S1731" s="139"/>
      <c r="T1731" s="139"/>
      <c r="U1731" s="139"/>
      <c r="V1731" s="139"/>
      <c r="W1731" s="139"/>
      <c r="X1731" s="139"/>
      <c r="Y1731" s="139"/>
      <c r="Z1731" s="139"/>
      <c r="AA1731" s="139"/>
      <c r="AB1731" s="139"/>
      <c r="AC1731" s="139"/>
      <c r="AD1731" s="139"/>
      <c r="AE1731" s="139"/>
      <c r="AF1731" s="139"/>
      <c r="AG1731" s="139"/>
      <c r="AH1731" s="139"/>
      <c r="AI1731" s="139"/>
      <c r="AJ1731" s="139"/>
      <c r="AK1731" s="139"/>
    </row>
    <row r="1732" spans="13:37" x14ac:dyDescent="0.25">
      <c r="M1732" s="139"/>
      <c r="N1732" s="139"/>
      <c r="O1732" s="139"/>
      <c r="P1732" s="139"/>
      <c r="R1732" s="139"/>
      <c r="S1732" s="139"/>
      <c r="T1732" s="139"/>
      <c r="U1732" s="139"/>
      <c r="V1732" s="139"/>
      <c r="W1732" s="139"/>
      <c r="X1732" s="139"/>
      <c r="Y1732" s="139"/>
      <c r="Z1732" s="139"/>
      <c r="AA1732" s="139"/>
      <c r="AB1732" s="139"/>
      <c r="AC1732" s="139"/>
      <c r="AD1732" s="139"/>
      <c r="AE1732" s="139"/>
      <c r="AF1732" s="139"/>
      <c r="AG1732" s="139"/>
      <c r="AH1732" s="139"/>
      <c r="AI1732" s="139"/>
      <c r="AJ1732" s="139"/>
      <c r="AK1732" s="139"/>
    </row>
    <row r="1733" spans="13:37" x14ac:dyDescent="0.25">
      <c r="M1733" s="139"/>
      <c r="N1733" s="139"/>
      <c r="O1733" s="139"/>
      <c r="P1733" s="139"/>
      <c r="R1733" s="139"/>
      <c r="S1733" s="139"/>
      <c r="T1733" s="139"/>
      <c r="U1733" s="139"/>
      <c r="V1733" s="139"/>
      <c r="W1733" s="139"/>
      <c r="X1733" s="139"/>
      <c r="Y1733" s="139"/>
      <c r="Z1733" s="139"/>
      <c r="AA1733" s="139"/>
      <c r="AB1733" s="139"/>
      <c r="AC1733" s="139"/>
      <c r="AD1733" s="139"/>
      <c r="AE1733" s="139"/>
      <c r="AF1733" s="139"/>
      <c r="AG1733" s="139"/>
      <c r="AH1733" s="139"/>
      <c r="AI1733" s="139"/>
      <c r="AJ1733" s="139"/>
      <c r="AK1733" s="139"/>
    </row>
    <row r="1734" spans="13:37" x14ac:dyDescent="0.25">
      <c r="M1734" s="139"/>
      <c r="N1734" s="139"/>
      <c r="O1734" s="139"/>
      <c r="P1734" s="139"/>
      <c r="R1734" s="139"/>
      <c r="S1734" s="139"/>
      <c r="T1734" s="139"/>
      <c r="U1734" s="139"/>
      <c r="V1734" s="139"/>
      <c r="W1734" s="139"/>
      <c r="X1734" s="139"/>
      <c r="Y1734" s="139"/>
      <c r="Z1734" s="139"/>
      <c r="AA1734" s="139"/>
      <c r="AB1734" s="139"/>
      <c r="AC1734" s="139"/>
      <c r="AD1734" s="139"/>
      <c r="AE1734" s="139"/>
      <c r="AF1734" s="139"/>
      <c r="AG1734" s="139"/>
      <c r="AH1734" s="139"/>
      <c r="AI1734" s="139"/>
      <c r="AJ1734" s="139"/>
      <c r="AK1734" s="139"/>
    </row>
    <row r="1735" spans="13:37" x14ac:dyDescent="0.25">
      <c r="M1735" s="139"/>
      <c r="N1735" s="139"/>
      <c r="O1735" s="139"/>
      <c r="P1735" s="139"/>
      <c r="R1735" s="139"/>
      <c r="S1735" s="139"/>
      <c r="T1735" s="139"/>
      <c r="U1735" s="139"/>
      <c r="V1735" s="139"/>
      <c r="W1735" s="139"/>
      <c r="X1735" s="139"/>
      <c r="Y1735" s="139"/>
      <c r="Z1735" s="139"/>
      <c r="AA1735" s="139"/>
      <c r="AB1735" s="139"/>
      <c r="AC1735" s="139"/>
      <c r="AD1735" s="139"/>
      <c r="AE1735" s="139"/>
      <c r="AF1735" s="139"/>
      <c r="AG1735" s="139"/>
      <c r="AH1735" s="139"/>
      <c r="AI1735" s="139"/>
      <c r="AJ1735" s="139"/>
      <c r="AK1735" s="139"/>
    </row>
    <row r="1736" spans="13:37" x14ac:dyDescent="0.25">
      <c r="M1736" s="139"/>
      <c r="N1736" s="139"/>
      <c r="O1736" s="139"/>
      <c r="P1736" s="139"/>
      <c r="R1736" s="139"/>
      <c r="S1736" s="139"/>
      <c r="T1736" s="139"/>
      <c r="U1736" s="139"/>
      <c r="V1736" s="139"/>
      <c r="W1736" s="139"/>
      <c r="X1736" s="139"/>
      <c r="Y1736" s="139"/>
      <c r="Z1736" s="139"/>
      <c r="AA1736" s="139"/>
      <c r="AB1736" s="139"/>
      <c r="AC1736" s="139"/>
      <c r="AD1736" s="139"/>
      <c r="AE1736" s="139"/>
      <c r="AF1736" s="139"/>
      <c r="AG1736" s="139"/>
      <c r="AH1736" s="139"/>
      <c r="AI1736" s="139"/>
      <c r="AJ1736" s="139"/>
      <c r="AK1736" s="139"/>
    </row>
    <row r="1737" spans="13:37" x14ac:dyDescent="0.25">
      <c r="M1737" s="139"/>
      <c r="N1737" s="139"/>
      <c r="O1737" s="139"/>
      <c r="P1737" s="139"/>
      <c r="R1737" s="139"/>
      <c r="S1737" s="139"/>
      <c r="T1737" s="139"/>
      <c r="U1737" s="139"/>
      <c r="V1737" s="139"/>
      <c r="W1737" s="139"/>
      <c r="X1737" s="139"/>
      <c r="Y1737" s="139"/>
      <c r="Z1737" s="139"/>
      <c r="AA1737" s="139"/>
      <c r="AB1737" s="139"/>
      <c r="AC1737" s="139"/>
      <c r="AD1737" s="139"/>
      <c r="AE1737" s="139"/>
      <c r="AF1737" s="139"/>
      <c r="AG1737" s="139"/>
      <c r="AH1737" s="139"/>
      <c r="AI1737" s="139"/>
      <c r="AJ1737" s="139"/>
      <c r="AK1737" s="139"/>
    </row>
    <row r="1738" spans="13:37" x14ac:dyDescent="0.25">
      <c r="M1738" s="139"/>
      <c r="N1738" s="139"/>
      <c r="O1738" s="139"/>
      <c r="P1738" s="139"/>
      <c r="R1738" s="139"/>
      <c r="S1738" s="139"/>
      <c r="T1738" s="139"/>
      <c r="U1738" s="139"/>
      <c r="V1738" s="139"/>
      <c r="W1738" s="139"/>
      <c r="X1738" s="139"/>
      <c r="Y1738" s="139"/>
      <c r="Z1738" s="139"/>
      <c r="AA1738" s="139"/>
      <c r="AB1738" s="139"/>
      <c r="AC1738" s="139"/>
      <c r="AD1738" s="139"/>
      <c r="AE1738" s="139"/>
      <c r="AF1738" s="139"/>
      <c r="AG1738" s="139"/>
      <c r="AH1738" s="139"/>
      <c r="AI1738" s="139"/>
      <c r="AJ1738" s="139"/>
      <c r="AK1738" s="139"/>
    </row>
    <row r="1739" spans="13:37" x14ac:dyDescent="0.25">
      <c r="M1739" s="139"/>
      <c r="N1739" s="139"/>
      <c r="O1739" s="139"/>
      <c r="P1739" s="139"/>
      <c r="R1739" s="139"/>
      <c r="S1739" s="139"/>
      <c r="T1739" s="139"/>
      <c r="U1739" s="139"/>
      <c r="V1739" s="139"/>
      <c r="W1739" s="139"/>
      <c r="X1739" s="139"/>
      <c r="Y1739" s="139"/>
      <c r="Z1739" s="139"/>
      <c r="AA1739" s="139"/>
      <c r="AB1739" s="139"/>
      <c r="AC1739" s="139"/>
      <c r="AD1739" s="139"/>
      <c r="AE1739" s="139"/>
      <c r="AF1739" s="139"/>
      <c r="AG1739" s="139"/>
      <c r="AH1739" s="139"/>
      <c r="AI1739" s="139"/>
      <c r="AJ1739" s="139"/>
      <c r="AK1739" s="139"/>
    </row>
    <row r="1740" spans="13:37" x14ac:dyDescent="0.25">
      <c r="M1740" s="139"/>
      <c r="N1740" s="139"/>
      <c r="O1740" s="139"/>
      <c r="P1740" s="139"/>
      <c r="R1740" s="139"/>
      <c r="S1740" s="139"/>
      <c r="T1740" s="139"/>
      <c r="U1740" s="139"/>
      <c r="V1740" s="139"/>
      <c r="W1740" s="139"/>
      <c r="X1740" s="139"/>
      <c r="Y1740" s="139"/>
      <c r="Z1740" s="139"/>
      <c r="AA1740" s="139"/>
      <c r="AB1740" s="139"/>
      <c r="AC1740" s="139"/>
      <c r="AD1740" s="139"/>
      <c r="AE1740" s="139"/>
      <c r="AF1740" s="139"/>
      <c r="AG1740" s="139"/>
      <c r="AH1740" s="139"/>
      <c r="AI1740" s="139"/>
      <c r="AJ1740" s="139"/>
      <c r="AK1740" s="139"/>
    </row>
    <row r="1741" spans="13:37" x14ac:dyDescent="0.25">
      <c r="M1741" s="139"/>
      <c r="N1741" s="139"/>
      <c r="O1741" s="139"/>
      <c r="P1741" s="139"/>
      <c r="R1741" s="139"/>
      <c r="S1741" s="139"/>
      <c r="T1741" s="139"/>
      <c r="U1741" s="139"/>
      <c r="V1741" s="139"/>
      <c r="W1741" s="139"/>
      <c r="X1741" s="139"/>
      <c r="Y1741" s="139"/>
      <c r="Z1741" s="139"/>
      <c r="AA1741" s="139"/>
      <c r="AB1741" s="139"/>
      <c r="AC1741" s="139"/>
      <c r="AD1741" s="139"/>
      <c r="AE1741" s="139"/>
      <c r="AF1741" s="139"/>
      <c r="AG1741" s="139"/>
      <c r="AH1741" s="139"/>
      <c r="AI1741" s="139"/>
      <c r="AJ1741" s="139"/>
      <c r="AK1741" s="139"/>
    </row>
    <row r="1742" spans="13:37" x14ac:dyDescent="0.25">
      <c r="M1742" s="139"/>
      <c r="N1742" s="139"/>
      <c r="O1742" s="139"/>
      <c r="P1742" s="139"/>
      <c r="R1742" s="139"/>
      <c r="S1742" s="139"/>
      <c r="T1742" s="139"/>
      <c r="U1742" s="139"/>
      <c r="V1742" s="139"/>
      <c r="W1742" s="139"/>
      <c r="X1742" s="139"/>
      <c r="Y1742" s="139"/>
      <c r="Z1742" s="139"/>
      <c r="AA1742" s="139"/>
      <c r="AB1742" s="139"/>
      <c r="AC1742" s="139"/>
      <c r="AD1742" s="139"/>
      <c r="AE1742" s="139"/>
      <c r="AF1742" s="139"/>
      <c r="AG1742" s="139"/>
      <c r="AH1742" s="139"/>
      <c r="AI1742" s="139"/>
      <c r="AJ1742" s="139"/>
      <c r="AK1742" s="139"/>
    </row>
    <row r="1743" spans="13:37" x14ac:dyDescent="0.25">
      <c r="M1743" s="139"/>
      <c r="N1743" s="139"/>
      <c r="O1743" s="139"/>
      <c r="P1743" s="139"/>
      <c r="R1743" s="139"/>
      <c r="S1743" s="139"/>
      <c r="T1743" s="139"/>
      <c r="U1743" s="139"/>
      <c r="V1743" s="139"/>
      <c r="W1743" s="139"/>
      <c r="X1743" s="139"/>
      <c r="Y1743" s="139"/>
      <c r="Z1743" s="139"/>
      <c r="AA1743" s="139"/>
      <c r="AB1743" s="139"/>
      <c r="AC1743" s="139"/>
      <c r="AD1743" s="139"/>
      <c r="AE1743" s="139"/>
      <c r="AF1743" s="139"/>
      <c r="AG1743" s="139"/>
      <c r="AH1743" s="139"/>
      <c r="AI1743" s="139"/>
      <c r="AJ1743" s="139"/>
      <c r="AK1743" s="139"/>
    </row>
    <row r="1744" spans="13:37" x14ac:dyDescent="0.25">
      <c r="M1744" s="139"/>
      <c r="N1744" s="139"/>
      <c r="O1744" s="139"/>
      <c r="P1744" s="139"/>
      <c r="R1744" s="139"/>
      <c r="S1744" s="139"/>
      <c r="T1744" s="139"/>
      <c r="U1744" s="139"/>
      <c r="V1744" s="139"/>
      <c r="W1744" s="139"/>
      <c r="X1744" s="139"/>
      <c r="Y1744" s="139"/>
      <c r="Z1744" s="139"/>
      <c r="AA1744" s="139"/>
      <c r="AB1744" s="139"/>
      <c r="AC1744" s="139"/>
      <c r="AD1744" s="139"/>
      <c r="AE1744" s="139"/>
      <c r="AF1744" s="139"/>
      <c r="AG1744" s="139"/>
      <c r="AH1744" s="139"/>
      <c r="AI1744" s="139"/>
      <c r="AJ1744" s="139"/>
      <c r="AK1744" s="139"/>
    </row>
    <row r="1745" spans="13:37" x14ac:dyDescent="0.25">
      <c r="M1745" s="139"/>
      <c r="N1745" s="139"/>
      <c r="O1745" s="139"/>
      <c r="P1745" s="139"/>
      <c r="R1745" s="139"/>
      <c r="S1745" s="139"/>
      <c r="T1745" s="139"/>
      <c r="U1745" s="139"/>
      <c r="V1745" s="139"/>
      <c r="W1745" s="139"/>
      <c r="X1745" s="139"/>
      <c r="Y1745" s="139"/>
      <c r="Z1745" s="139"/>
      <c r="AA1745" s="139"/>
      <c r="AB1745" s="139"/>
      <c r="AC1745" s="139"/>
      <c r="AD1745" s="139"/>
      <c r="AE1745" s="139"/>
      <c r="AF1745" s="139"/>
      <c r="AG1745" s="139"/>
      <c r="AH1745" s="139"/>
      <c r="AI1745" s="139"/>
      <c r="AJ1745" s="139"/>
      <c r="AK1745" s="139"/>
    </row>
    <row r="1746" spans="13:37" x14ac:dyDescent="0.25">
      <c r="M1746" s="139"/>
      <c r="N1746" s="139"/>
      <c r="O1746" s="139"/>
      <c r="P1746" s="139"/>
      <c r="R1746" s="139"/>
      <c r="S1746" s="139"/>
      <c r="T1746" s="139"/>
      <c r="U1746" s="139"/>
      <c r="V1746" s="139"/>
      <c r="W1746" s="139"/>
      <c r="X1746" s="139"/>
      <c r="Y1746" s="139"/>
      <c r="Z1746" s="139"/>
      <c r="AA1746" s="139"/>
      <c r="AB1746" s="139"/>
      <c r="AC1746" s="139"/>
      <c r="AD1746" s="139"/>
      <c r="AE1746" s="139"/>
      <c r="AF1746" s="139"/>
      <c r="AG1746" s="139"/>
      <c r="AH1746" s="139"/>
      <c r="AI1746" s="139"/>
      <c r="AJ1746" s="139"/>
      <c r="AK1746" s="139"/>
    </row>
    <row r="1747" spans="13:37" x14ac:dyDescent="0.25">
      <c r="M1747" s="139"/>
      <c r="N1747" s="139"/>
      <c r="O1747" s="139"/>
      <c r="P1747" s="139"/>
      <c r="R1747" s="139"/>
      <c r="S1747" s="139"/>
      <c r="T1747" s="139"/>
      <c r="U1747" s="139"/>
      <c r="V1747" s="139"/>
      <c r="W1747" s="139"/>
      <c r="X1747" s="139"/>
      <c r="Y1747" s="139"/>
      <c r="Z1747" s="139"/>
      <c r="AA1747" s="139"/>
      <c r="AB1747" s="139"/>
      <c r="AC1747" s="139"/>
      <c r="AD1747" s="139"/>
      <c r="AE1747" s="139"/>
      <c r="AF1747" s="139"/>
      <c r="AG1747" s="139"/>
      <c r="AH1747" s="139"/>
      <c r="AI1747" s="139"/>
      <c r="AJ1747" s="139"/>
      <c r="AK1747" s="139"/>
    </row>
    <row r="1748" spans="13:37" x14ac:dyDescent="0.25">
      <c r="M1748" s="139"/>
      <c r="N1748" s="139"/>
      <c r="O1748" s="139"/>
      <c r="P1748" s="139"/>
      <c r="R1748" s="139"/>
      <c r="S1748" s="139"/>
      <c r="T1748" s="139"/>
      <c r="U1748" s="139"/>
      <c r="V1748" s="139"/>
      <c r="W1748" s="139"/>
      <c r="X1748" s="139"/>
      <c r="Y1748" s="139"/>
      <c r="Z1748" s="139"/>
      <c r="AA1748" s="139"/>
      <c r="AB1748" s="139"/>
      <c r="AC1748" s="139"/>
      <c r="AD1748" s="139"/>
      <c r="AE1748" s="139"/>
      <c r="AF1748" s="139"/>
      <c r="AG1748" s="139"/>
      <c r="AH1748" s="139"/>
      <c r="AI1748" s="139"/>
      <c r="AJ1748" s="139"/>
      <c r="AK1748" s="139"/>
    </row>
    <row r="1749" spans="13:37" x14ac:dyDescent="0.25">
      <c r="M1749" s="139"/>
      <c r="N1749" s="139"/>
      <c r="O1749" s="139"/>
      <c r="P1749" s="139"/>
      <c r="R1749" s="139"/>
      <c r="S1749" s="139"/>
      <c r="T1749" s="139"/>
      <c r="U1749" s="139"/>
      <c r="V1749" s="139"/>
      <c r="W1749" s="139"/>
      <c r="X1749" s="139"/>
      <c r="Y1749" s="139"/>
      <c r="Z1749" s="139"/>
      <c r="AA1749" s="139"/>
      <c r="AB1749" s="139"/>
      <c r="AC1749" s="139"/>
      <c r="AD1749" s="139"/>
      <c r="AE1749" s="139"/>
      <c r="AF1749" s="139"/>
      <c r="AG1749" s="139"/>
      <c r="AH1749" s="139"/>
      <c r="AI1749" s="139"/>
      <c r="AJ1749" s="139"/>
      <c r="AK1749" s="139"/>
    </row>
    <row r="1750" spans="13:37" x14ac:dyDescent="0.25">
      <c r="M1750" s="139"/>
      <c r="N1750" s="139"/>
      <c r="O1750" s="139"/>
      <c r="P1750" s="139"/>
      <c r="R1750" s="139"/>
      <c r="S1750" s="139"/>
      <c r="T1750" s="139"/>
      <c r="U1750" s="139"/>
      <c r="V1750" s="139"/>
      <c r="W1750" s="139"/>
      <c r="X1750" s="139"/>
      <c r="Y1750" s="139"/>
      <c r="Z1750" s="139"/>
      <c r="AA1750" s="139"/>
      <c r="AB1750" s="139"/>
      <c r="AC1750" s="139"/>
      <c r="AD1750" s="139"/>
      <c r="AE1750" s="139"/>
      <c r="AF1750" s="139"/>
      <c r="AG1750" s="139"/>
      <c r="AH1750" s="139"/>
      <c r="AI1750" s="139"/>
      <c r="AJ1750" s="139"/>
      <c r="AK1750" s="139"/>
    </row>
    <row r="1751" spans="13:37" x14ac:dyDescent="0.25">
      <c r="M1751" s="139"/>
      <c r="N1751" s="139"/>
      <c r="O1751" s="139"/>
      <c r="P1751" s="139"/>
      <c r="R1751" s="139"/>
      <c r="S1751" s="139"/>
      <c r="T1751" s="139"/>
      <c r="U1751" s="139"/>
      <c r="V1751" s="139"/>
      <c r="W1751" s="139"/>
      <c r="X1751" s="139"/>
      <c r="Y1751" s="139"/>
      <c r="Z1751" s="139"/>
      <c r="AA1751" s="139"/>
      <c r="AB1751" s="139"/>
      <c r="AC1751" s="139"/>
      <c r="AD1751" s="139"/>
      <c r="AE1751" s="139"/>
      <c r="AF1751" s="139"/>
      <c r="AG1751" s="139"/>
      <c r="AH1751" s="139"/>
      <c r="AI1751" s="139"/>
      <c r="AJ1751" s="139"/>
      <c r="AK1751" s="139"/>
    </row>
    <row r="1752" spans="13:37" x14ac:dyDescent="0.25">
      <c r="M1752" s="139"/>
      <c r="N1752" s="139"/>
      <c r="O1752" s="139"/>
      <c r="P1752" s="139"/>
      <c r="R1752" s="139"/>
      <c r="S1752" s="139"/>
      <c r="T1752" s="139"/>
      <c r="U1752" s="139"/>
      <c r="V1752" s="139"/>
      <c r="W1752" s="139"/>
      <c r="X1752" s="139"/>
      <c r="Y1752" s="139"/>
      <c r="Z1752" s="139"/>
      <c r="AA1752" s="139"/>
      <c r="AB1752" s="139"/>
      <c r="AC1752" s="139"/>
      <c r="AD1752" s="139"/>
      <c r="AE1752" s="139"/>
      <c r="AF1752" s="139"/>
      <c r="AG1752" s="139"/>
      <c r="AH1752" s="139"/>
      <c r="AI1752" s="139"/>
      <c r="AJ1752" s="139"/>
      <c r="AK1752" s="139"/>
    </row>
    <row r="1753" spans="13:37" x14ac:dyDescent="0.25">
      <c r="M1753" s="139"/>
      <c r="N1753" s="139"/>
      <c r="O1753" s="139"/>
      <c r="P1753" s="139"/>
      <c r="R1753" s="139"/>
      <c r="S1753" s="139"/>
      <c r="T1753" s="139"/>
      <c r="U1753" s="139"/>
      <c r="V1753" s="139"/>
      <c r="W1753" s="139"/>
      <c r="X1753" s="139"/>
      <c r="Y1753" s="139"/>
      <c r="Z1753" s="139"/>
      <c r="AA1753" s="139"/>
      <c r="AB1753" s="139"/>
      <c r="AC1753" s="139"/>
      <c r="AD1753" s="139"/>
      <c r="AE1753" s="139"/>
      <c r="AF1753" s="139"/>
      <c r="AG1753" s="139"/>
      <c r="AH1753" s="139"/>
      <c r="AI1753" s="139"/>
      <c r="AJ1753" s="139"/>
      <c r="AK1753" s="139"/>
    </row>
    <row r="1754" spans="13:37" x14ac:dyDescent="0.25">
      <c r="M1754" s="139"/>
      <c r="N1754" s="139"/>
      <c r="O1754" s="139"/>
      <c r="P1754" s="139"/>
      <c r="R1754" s="139"/>
      <c r="S1754" s="139"/>
      <c r="T1754" s="139"/>
      <c r="U1754" s="139"/>
      <c r="V1754" s="139"/>
      <c r="W1754" s="139"/>
      <c r="X1754" s="139"/>
      <c r="Y1754" s="139"/>
      <c r="Z1754" s="139"/>
      <c r="AA1754" s="139"/>
      <c r="AB1754" s="139"/>
      <c r="AC1754" s="139"/>
      <c r="AD1754" s="139"/>
      <c r="AE1754" s="139"/>
      <c r="AF1754" s="139"/>
      <c r="AG1754" s="139"/>
      <c r="AH1754" s="139"/>
      <c r="AI1754" s="139"/>
      <c r="AJ1754" s="139"/>
      <c r="AK1754" s="139"/>
    </row>
    <row r="1755" spans="13:37" x14ac:dyDescent="0.25">
      <c r="M1755" s="139"/>
      <c r="N1755" s="139"/>
      <c r="O1755" s="139"/>
      <c r="P1755" s="139"/>
      <c r="R1755" s="139"/>
      <c r="S1755" s="139"/>
      <c r="T1755" s="139"/>
      <c r="U1755" s="139"/>
      <c r="V1755" s="139"/>
      <c r="W1755" s="139"/>
      <c r="X1755" s="139"/>
      <c r="Y1755" s="139"/>
      <c r="Z1755" s="139"/>
      <c r="AA1755" s="139"/>
      <c r="AB1755" s="139"/>
      <c r="AC1755" s="139"/>
      <c r="AD1755" s="139"/>
      <c r="AE1755" s="139"/>
      <c r="AF1755" s="139"/>
      <c r="AG1755" s="139"/>
      <c r="AH1755" s="139"/>
      <c r="AI1755" s="139"/>
      <c r="AJ1755" s="139"/>
      <c r="AK1755" s="139"/>
    </row>
    <row r="1756" spans="13:37" x14ac:dyDescent="0.25">
      <c r="M1756" s="139"/>
      <c r="N1756" s="139"/>
      <c r="O1756" s="139"/>
      <c r="P1756" s="139"/>
      <c r="R1756" s="139"/>
      <c r="S1756" s="139"/>
      <c r="T1756" s="139"/>
      <c r="U1756" s="139"/>
      <c r="V1756" s="139"/>
      <c r="W1756" s="139"/>
      <c r="X1756" s="139"/>
      <c r="Y1756" s="139"/>
      <c r="Z1756" s="139"/>
      <c r="AA1756" s="139"/>
      <c r="AB1756" s="139"/>
      <c r="AC1756" s="139"/>
      <c r="AD1756" s="139"/>
      <c r="AE1756" s="139"/>
      <c r="AF1756" s="139"/>
      <c r="AG1756" s="139"/>
      <c r="AH1756" s="139"/>
      <c r="AI1756" s="139"/>
      <c r="AJ1756" s="139"/>
      <c r="AK1756" s="139"/>
    </row>
    <row r="1757" spans="13:37" x14ac:dyDescent="0.25">
      <c r="M1757" s="139"/>
      <c r="N1757" s="139"/>
      <c r="O1757" s="139"/>
      <c r="P1757" s="139"/>
      <c r="R1757" s="139"/>
      <c r="S1757" s="139"/>
      <c r="T1757" s="139"/>
      <c r="U1757" s="139"/>
      <c r="V1757" s="139"/>
      <c r="W1757" s="139"/>
      <c r="X1757" s="139"/>
      <c r="Y1757" s="139"/>
      <c r="Z1757" s="139"/>
      <c r="AA1757" s="139"/>
      <c r="AB1757" s="139"/>
      <c r="AC1757" s="139"/>
      <c r="AD1757" s="139"/>
      <c r="AE1757" s="139"/>
      <c r="AF1757" s="139"/>
      <c r="AG1757" s="139"/>
      <c r="AH1757" s="139"/>
      <c r="AI1757" s="139"/>
      <c r="AJ1757" s="139"/>
      <c r="AK1757" s="139"/>
    </row>
    <row r="1758" spans="13:37" x14ac:dyDescent="0.25">
      <c r="M1758" s="139"/>
      <c r="N1758" s="139"/>
      <c r="O1758" s="139"/>
      <c r="P1758" s="139"/>
      <c r="R1758" s="139"/>
      <c r="S1758" s="139"/>
      <c r="T1758" s="139"/>
      <c r="U1758" s="139"/>
      <c r="V1758" s="139"/>
      <c r="W1758" s="139"/>
      <c r="X1758" s="139"/>
      <c r="Y1758" s="139"/>
      <c r="Z1758" s="139"/>
      <c r="AA1758" s="139"/>
      <c r="AB1758" s="139"/>
      <c r="AC1758" s="139"/>
      <c r="AD1758" s="139"/>
      <c r="AE1758" s="139"/>
      <c r="AF1758" s="139"/>
      <c r="AG1758" s="139"/>
      <c r="AH1758" s="139"/>
      <c r="AI1758" s="139"/>
      <c r="AJ1758" s="139"/>
      <c r="AK1758" s="139"/>
    </row>
    <row r="1759" spans="13:37" x14ac:dyDescent="0.25">
      <c r="M1759" s="139"/>
      <c r="N1759" s="139"/>
      <c r="O1759" s="139"/>
      <c r="P1759" s="139"/>
      <c r="R1759" s="139"/>
      <c r="S1759" s="139"/>
      <c r="T1759" s="139"/>
      <c r="U1759" s="139"/>
      <c r="V1759" s="139"/>
      <c r="W1759" s="139"/>
      <c r="X1759" s="139"/>
      <c r="Y1759" s="139"/>
      <c r="Z1759" s="139"/>
      <c r="AA1759" s="139"/>
      <c r="AB1759" s="139"/>
      <c r="AC1759" s="139"/>
      <c r="AD1759" s="139"/>
      <c r="AE1759" s="139"/>
      <c r="AF1759" s="139"/>
      <c r="AG1759" s="139"/>
      <c r="AH1759" s="139"/>
      <c r="AI1759" s="139"/>
      <c r="AJ1759" s="139"/>
      <c r="AK1759" s="139"/>
    </row>
    <row r="1760" spans="13:37" x14ac:dyDescent="0.25">
      <c r="M1760" s="139"/>
      <c r="N1760" s="139"/>
      <c r="O1760" s="139"/>
      <c r="P1760" s="139"/>
      <c r="R1760" s="139"/>
      <c r="S1760" s="139"/>
      <c r="T1760" s="139"/>
      <c r="U1760" s="139"/>
      <c r="V1760" s="139"/>
      <c r="W1760" s="139"/>
      <c r="X1760" s="139"/>
      <c r="Y1760" s="139"/>
      <c r="Z1760" s="139"/>
      <c r="AA1760" s="139"/>
      <c r="AB1760" s="139"/>
      <c r="AC1760" s="139"/>
      <c r="AD1760" s="139"/>
      <c r="AE1760" s="139"/>
      <c r="AF1760" s="139"/>
      <c r="AG1760" s="139"/>
      <c r="AH1760" s="139"/>
      <c r="AI1760" s="139"/>
      <c r="AJ1760" s="139"/>
      <c r="AK1760" s="139"/>
    </row>
    <row r="1761" spans="13:37" x14ac:dyDescent="0.25">
      <c r="M1761" s="139"/>
      <c r="N1761" s="139"/>
      <c r="O1761" s="139"/>
      <c r="P1761" s="139"/>
      <c r="R1761" s="139"/>
      <c r="S1761" s="139"/>
      <c r="T1761" s="139"/>
      <c r="U1761" s="139"/>
      <c r="V1761" s="139"/>
      <c r="W1761" s="139"/>
      <c r="X1761" s="139"/>
      <c r="Y1761" s="139"/>
      <c r="Z1761" s="139"/>
      <c r="AA1761" s="139"/>
      <c r="AB1761" s="139"/>
      <c r="AC1761" s="139"/>
      <c r="AD1761" s="139"/>
      <c r="AE1761" s="139"/>
      <c r="AF1761" s="139"/>
      <c r="AG1761" s="139"/>
      <c r="AH1761" s="139"/>
      <c r="AI1761" s="139"/>
      <c r="AJ1761" s="139"/>
      <c r="AK1761" s="139"/>
    </row>
    <row r="1762" spans="13:37" x14ac:dyDescent="0.25">
      <c r="M1762" s="139"/>
      <c r="N1762" s="139"/>
      <c r="O1762" s="139"/>
      <c r="P1762" s="139"/>
      <c r="R1762" s="139"/>
      <c r="S1762" s="139"/>
      <c r="T1762" s="139"/>
      <c r="U1762" s="139"/>
      <c r="V1762" s="139"/>
      <c r="W1762" s="139"/>
      <c r="X1762" s="139"/>
      <c r="Y1762" s="139"/>
      <c r="Z1762" s="139"/>
      <c r="AA1762" s="139"/>
      <c r="AB1762" s="139"/>
      <c r="AC1762" s="139"/>
      <c r="AD1762" s="139"/>
      <c r="AE1762" s="139"/>
      <c r="AF1762" s="139"/>
      <c r="AG1762" s="139"/>
      <c r="AH1762" s="139"/>
      <c r="AI1762" s="139"/>
      <c r="AJ1762" s="139"/>
      <c r="AK1762" s="139"/>
    </row>
    <row r="1763" spans="13:37" x14ac:dyDescent="0.25">
      <c r="M1763" s="139"/>
      <c r="N1763" s="139"/>
      <c r="O1763" s="139"/>
      <c r="P1763" s="139"/>
      <c r="R1763" s="139"/>
      <c r="S1763" s="139"/>
      <c r="T1763" s="139"/>
      <c r="U1763" s="139"/>
      <c r="V1763" s="139"/>
      <c r="W1763" s="139"/>
      <c r="X1763" s="139"/>
      <c r="Y1763" s="139"/>
      <c r="Z1763" s="139"/>
      <c r="AA1763" s="139"/>
      <c r="AB1763" s="139"/>
      <c r="AC1763" s="139"/>
      <c r="AD1763" s="139"/>
      <c r="AE1763" s="139"/>
      <c r="AF1763" s="139"/>
      <c r="AG1763" s="139"/>
      <c r="AH1763" s="139"/>
      <c r="AI1763" s="139"/>
      <c r="AJ1763" s="139"/>
      <c r="AK1763" s="139"/>
    </row>
    <row r="1764" spans="13:37" x14ac:dyDescent="0.25">
      <c r="M1764" s="139"/>
      <c r="N1764" s="139"/>
      <c r="O1764" s="139"/>
      <c r="P1764" s="139"/>
      <c r="R1764" s="139"/>
      <c r="S1764" s="139"/>
      <c r="T1764" s="139"/>
      <c r="U1764" s="139"/>
      <c r="V1764" s="139"/>
      <c r="W1764" s="139"/>
      <c r="X1764" s="139"/>
      <c r="Y1764" s="139"/>
      <c r="Z1764" s="139"/>
      <c r="AA1764" s="139"/>
      <c r="AB1764" s="139"/>
      <c r="AC1764" s="139"/>
      <c r="AD1764" s="139"/>
      <c r="AE1764" s="139"/>
      <c r="AF1764" s="139"/>
      <c r="AG1764" s="139"/>
      <c r="AH1764" s="139"/>
      <c r="AI1764" s="139"/>
      <c r="AJ1764" s="139"/>
      <c r="AK1764" s="139"/>
    </row>
    <row r="1765" spans="13:37" x14ac:dyDescent="0.25">
      <c r="M1765" s="139"/>
      <c r="N1765" s="139"/>
      <c r="O1765" s="139"/>
      <c r="P1765" s="139"/>
      <c r="R1765" s="139"/>
      <c r="S1765" s="139"/>
      <c r="T1765" s="139"/>
      <c r="U1765" s="139"/>
      <c r="V1765" s="139"/>
      <c r="W1765" s="139"/>
      <c r="X1765" s="139"/>
      <c r="Y1765" s="139"/>
      <c r="Z1765" s="139"/>
      <c r="AA1765" s="139"/>
      <c r="AB1765" s="139"/>
      <c r="AC1765" s="139"/>
      <c r="AD1765" s="139"/>
      <c r="AE1765" s="139"/>
      <c r="AF1765" s="139"/>
      <c r="AG1765" s="139"/>
      <c r="AH1765" s="139"/>
      <c r="AI1765" s="139"/>
      <c r="AJ1765" s="139"/>
      <c r="AK1765" s="139"/>
    </row>
    <row r="1766" spans="13:37" x14ac:dyDescent="0.25">
      <c r="M1766" s="139"/>
      <c r="N1766" s="139"/>
      <c r="O1766" s="139"/>
      <c r="P1766" s="139"/>
      <c r="R1766" s="139"/>
      <c r="S1766" s="139"/>
      <c r="T1766" s="139"/>
      <c r="U1766" s="139"/>
      <c r="V1766" s="139"/>
      <c r="W1766" s="139"/>
      <c r="X1766" s="139"/>
      <c r="Y1766" s="139"/>
      <c r="Z1766" s="139"/>
      <c r="AA1766" s="139"/>
      <c r="AB1766" s="139"/>
      <c r="AC1766" s="139"/>
      <c r="AD1766" s="139"/>
      <c r="AE1766" s="139"/>
      <c r="AF1766" s="139"/>
      <c r="AG1766" s="139"/>
      <c r="AH1766" s="139"/>
      <c r="AI1766" s="139"/>
      <c r="AJ1766" s="139"/>
      <c r="AK1766" s="139"/>
    </row>
    <row r="1767" spans="13:37" x14ac:dyDescent="0.25">
      <c r="M1767" s="139"/>
      <c r="N1767" s="139"/>
      <c r="O1767" s="139"/>
      <c r="P1767" s="139"/>
      <c r="R1767" s="139"/>
      <c r="S1767" s="139"/>
      <c r="T1767" s="139"/>
      <c r="U1767" s="139"/>
      <c r="V1767" s="139"/>
      <c r="W1767" s="139"/>
      <c r="X1767" s="139"/>
      <c r="Y1767" s="139"/>
      <c r="Z1767" s="139"/>
      <c r="AA1767" s="139"/>
      <c r="AB1767" s="139"/>
      <c r="AC1767" s="139"/>
      <c r="AD1767" s="139"/>
      <c r="AE1767" s="139"/>
      <c r="AF1767" s="139"/>
      <c r="AG1767" s="139"/>
      <c r="AH1767" s="139"/>
      <c r="AI1767" s="139"/>
      <c r="AJ1767" s="139"/>
      <c r="AK1767" s="139"/>
    </row>
    <row r="1768" spans="13:37" x14ac:dyDescent="0.25">
      <c r="M1768" s="139"/>
      <c r="N1768" s="139"/>
      <c r="O1768" s="139"/>
      <c r="P1768" s="139"/>
      <c r="R1768" s="139"/>
      <c r="S1768" s="139"/>
      <c r="T1768" s="139"/>
      <c r="U1768" s="139"/>
      <c r="V1768" s="139"/>
      <c r="W1768" s="139"/>
      <c r="X1768" s="139"/>
      <c r="Y1768" s="139"/>
      <c r="Z1768" s="139"/>
      <c r="AA1768" s="139"/>
      <c r="AB1768" s="139"/>
      <c r="AC1768" s="139"/>
      <c r="AD1768" s="139"/>
      <c r="AE1768" s="139"/>
      <c r="AF1768" s="139"/>
      <c r="AG1768" s="139"/>
      <c r="AH1768" s="139"/>
      <c r="AI1768" s="139"/>
      <c r="AJ1768" s="139"/>
      <c r="AK1768" s="139"/>
    </row>
    <row r="1769" spans="13:37" x14ac:dyDescent="0.25">
      <c r="M1769" s="139"/>
      <c r="N1769" s="139"/>
      <c r="O1769" s="139"/>
      <c r="P1769" s="139"/>
      <c r="R1769" s="139"/>
      <c r="S1769" s="139"/>
      <c r="T1769" s="139"/>
      <c r="U1769" s="139"/>
      <c r="V1769" s="139"/>
      <c r="W1769" s="139"/>
      <c r="X1769" s="139"/>
      <c r="Y1769" s="139"/>
      <c r="Z1769" s="139"/>
      <c r="AA1769" s="139"/>
      <c r="AB1769" s="139"/>
      <c r="AC1769" s="139"/>
      <c r="AD1769" s="139"/>
      <c r="AE1769" s="139"/>
      <c r="AF1769" s="139"/>
      <c r="AG1769" s="139"/>
      <c r="AH1769" s="139"/>
      <c r="AI1769" s="139"/>
      <c r="AJ1769" s="139"/>
      <c r="AK1769" s="139"/>
    </row>
    <row r="1770" spans="13:37" x14ac:dyDescent="0.25">
      <c r="M1770" s="139"/>
      <c r="N1770" s="139"/>
      <c r="O1770" s="139"/>
      <c r="P1770" s="139"/>
      <c r="R1770" s="139"/>
      <c r="S1770" s="139"/>
      <c r="T1770" s="139"/>
      <c r="U1770" s="139"/>
      <c r="V1770" s="139"/>
      <c r="W1770" s="139"/>
      <c r="X1770" s="139"/>
      <c r="Y1770" s="139"/>
      <c r="Z1770" s="139"/>
      <c r="AA1770" s="139"/>
      <c r="AB1770" s="139"/>
      <c r="AC1770" s="139"/>
      <c r="AD1770" s="139"/>
      <c r="AE1770" s="139"/>
      <c r="AF1770" s="139"/>
      <c r="AG1770" s="139"/>
      <c r="AH1770" s="139"/>
      <c r="AI1770" s="139"/>
      <c r="AJ1770" s="139"/>
      <c r="AK1770" s="139"/>
    </row>
    <row r="1771" spans="13:37" x14ac:dyDescent="0.25">
      <c r="M1771" s="139"/>
      <c r="N1771" s="139"/>
      <c r="O1771" s="139"/>
      <c r="P1771" s="139"/>
      <c r="R1771" s="139"/>
      <c r="S1771" s="139"/>
      <c r="T1771" s="139"/>
      <c r="U1771" s="139"/>
      <c r="V1771" s="139"/>
      <c r="W1771" s="139"/>
      <c r="X1771" s="139"/>
      <c r="Y1771" s="139"/>
      <c r="Z1771" s="139"/>
      <c r="AA1771" s="139"/>
      <c r="AB1771" s="139"/>
      <c r="AC1771" s="139"/>
      <c r="AD1771" s="139"/>
      <c r="AE1771" s="139"/>
      <c r="AF1771" s="139"/>
      <c r="AG1771" s="139"/>
      <c r="AH1771" s="139"/>
      <c r="AI1771" s="139"/>
      <c r="AJ1771" s="139"/>
      <c r="AK1771" s="139"/>
    </row>
    <row r="1772" spans="13:37" x14ac:dyDescent="0.25">
      <c r="M1772" s="139"/>
      <c r="N1772" s="139"/>
      <c r="O1772" s="139"/>
      <c r="P1772" s="139"/>
      <c r="R1772" s="139"/>
      <c r="S1772" s="139"/>
      <c r="T1772" s="139"/>
      <c r="U1772" s="139"/>
      <c r="V1772" s="139"/>
      <c r="W1772" s="139"/>
      <c r="X1772" s="139"/>
      <c r="Y1772" s="139"/>
      <c r="Z1772" s="139"/>
      <c r="AA1772" s="139"/>
      <c r="AB1772" s="139"/>
      <c r="AC1772" s="139"/>
      <c r="AD1772" s="139"/>
      <c r="AE1772" s="139"/>
      <c r="AF1772" s="139"/>
      <c r="AG1772" s="139"/>
      <c r="AH1772" s="139"/>
      <c r="AI1772" s="139"/>
      <c r="AJ1772" s="139"/>
      <c r="AK1772" s="139"/>
    </row>
    <row r="1773" spans="13:37" x14ac:dyDescent="0.25">
      <c r="M1773" s="139"/>
      <c r="N1773" s="139"/>
      <c r="O1773" s="139"/>
      <c r="P1773" s="139"/>
      <c r="R1773" s="139"/>
      <c r="S1773" s="139"/>
      <c r="T1773" s="139"/>
      <c r="U1773" s="139"/>
      <c r="V1773" s="139"/>
      <c r="W1773" s="139"/>
      <c r="X1773" s="139"/>
      <c r="Y1773" s="139"/>
      <c r="Z1773" s="139"/>
      <c r="AA1773" s="139"/>
      <c r="AB1773" s="139"/>
      <c r="AC1773" s="139"/>
      <c r="AD1773" s="139"/>
      <c r="AE1773" s="139"/>
      <c r="AF1773" s="139"/>
      <c r="AG1773" s="139"/>
      <c r="AH1773" s="139"/>
      <c r="AI1773" s="139"/>
      <c r="AJ1773" s="139"/>
      <c r="AK1773" s="139"/>
    </row>
    <row r="1774" spans="13:37" x14ac:dyDescent="0.25">
      <c r="M1774" s="139"/>
      <c r="N1774" s="139"/>
      <c r="O1774" s="139"/>
      <c r="P1774" s="139"/>
      <c r="R1774" s="139"/>
      <c r="S1774" s="139"/>
      <c r="T1774" s="139"/>
      <c r="U1774" s="139"/>
      <c r="V1774" s="139"/>
      <c r="W1774" s="139"/>
      <c r="X1774" s="139"/>
      <c r="Y1774" s="139"/>
      <c r="Z1774" s="139"/>
      <c r="AA1774" s="139"/>
      <c r="AB1774" s="139"/>
      <c r="AC1774" s="139"/>
      <c r="AD1774" s="139"/>
      <c r="AE1774" s="139"/>
      <c r="AF1774" s="139"/>
      <c r="AG1774" s="139"/>
      <c r="AH1774" s="139"/>
      <c r="AI1774" s="139"/>
      <c r="AJ1774" s="139"/>
      <c r="AK1774" s="139"/>
    </row>
    <row r="1775" spans="13:37" x14ac:dyDescent="0.25">
      <c r="M1775" s="139"/>
      <c r="N1775" s="139"/>
      <c r="O1775" s="139"/>
      <c r="P1775" s="139"/>
      <c r="R1775" s="139"/>
      <c r="S1775" s="139"/>
      <c r="T1775" s="139"/>
      <c r="U1775" s="139"/>
      <c r="V1775" s="139"/>
      <c r="W1775" s="139"/>
      <c r="X1775" s="139"/>
      <c r="Y1775" s="139"/>
      <c r="Z1775" s="139"/>
      <c r="AA1775" s="139"/>
      <c r="AB1775" s="139"/>
      <c r="AC1775" s="139"/>
      <c r="AD1775" s="139"/>
      <c r="AE1775" s="139"/>
      <c r="AF1775" s="139"/>
      <c r="AG1775" s="139"/>
      <c r="AH1775" s="139"/>
      <c r="AI1775" s="139"/>
      <c r="AJ1775" s="139"/>
      <c r="AK1775" s="139"/>
    </row>
    <row r="1776" spans="13:37" x14ac:dyDescent="0.25">
      <c r="M1776" s="139"/>
      <c r="N1776" s="139"/>
      <c r="O1776" s="139"/>
      <c r="P1776" s="139"/>
      <c r="R1776" s="139"/>
      <c r="S1776" s="139"/>
      <c r="T1776" s="139"/>
      <c r="U1776" s="139"/>
      <c r="V1776" s="139"/>
      <c r="W1776" s="139"/>
      <c r="X1776" s="139"/>
      <c r="Y1776" s="139"/>
      <c r="Z1776" s="139"/>
      <c r="AA1776" s="139"/>
      <c r="AB1776" s="139"/>
      <c r="AC1776" s="139"/>
      <c r="AD1776" s="139"/>
      <c r="AE1776" s="139"/>
      <c r="AF1776" s="139"/>
      <c r="AG1776" s="139"/>
      <c r="AH1776" s="139"/>
      <c r="AI1776" s="139"/>
      <c r="AJ1776" s="139"/>
      <c r="AK1776" s="139"/>
    </row>
    <row r="1777" spans="13:37" x14ac:dyDescent="0.25">
      <c r="M1777" s="139"/>
      <c r="N1777" s="139"/>
      <c r="O1777" s="139"/>
      <c r="P1777" s="139"/>
      <c r="R1777" s="139"/>
      <c r="S1777" s="139"/>
      <c r="T1777" s="139"/>
      <c r="U1777" s="139"/>
      <c r="V1777" s="139"/>
      <c r="W1777" s="139"/>
      <c r="X1777" s="139"/>
      <c r="Y1777" s="139"/>
      <c r="Z1777" s="139"/>
      <c r="AA1777" s="139"/>
      <c r="AB1777" s="139"/>
      <c r="AC1777" s="139"/>
      <c r="AD1777" s="139"/>
      <c r="AE1777" s="139"/>
      <c r="AF1777" s="139"/>
      <c r="AG1777" s="139"/>
      <c r="AH1777" s="139"/>
      <c r="AI1777" s="139"/>
      <c r="AJ1777" s="139"/>
      <c r="AK1777" s="139"/>
    </row>
    <row r="1778" spans="13:37" x14ac:dyDescent="0.25">
      <c r="M1778" s="139"/>
      <c r="N1778" s="139"/>
      <c r="O1778" s="139"/>
      <c r="P1778" s="139"/>
      <c r="R1778" s="139"/>
      <c r="S1778" s="139"/>
      <c r="T1778" s="139"/>
      <c r="U1778" s="139"/>
      <c r="V1778" s="139"/>
      <c r="W1778" s="139"/>
      <c r="X1778" s="139"/>
      <c r="Y1778" s="139"/>
      <c r="Z1778" s="139"/>
      <c r="AA1778" s="139"/>
      <c r="AB1778" s="139"/>
      <c r="AC1778" s="139"/>
      <c r="AD1778" s="139"/>
      <c r="AE1778" s="139"/>
      <c r="AF1778" s="139"/>
      <c r="AG1778" s="139"/>
      <c r="AH1778" s="139"/>
      <c r="AI1778" s="139"/>
      <c r="AJ1778" s="139"/>
      <c r="AK1778" s="139"/>
    </row>
    <row r="1779" spans="13:37" x14ac:dyDescent="0.25">
      <c r="M1779" s="139"/>
      <c r="N1779" s="139"/>
      <c r="O1779" s="139"/>
      <c r="P1779" s="139"/>
      <c r="R1779" s="139"/>
      <c r="S1779" s="139"/>
      <c r="T1779" s="139"/>
      <c r="U1779" s="139"/>
      <c r="V1779" s="139"/>
      <c r="W1779" s="139"/>
      <c r="X1779" s="139"/>
      <c r="Y1779" s="139"/>
      <c r="Z1779" s="139"/>
      <c r="AA1779" s="139"/>
      <c r="AB1779" s="139"/>
      <c r="AC1779" s="139"/>
      <c r="AD1779" s="139"/>
      <c r="AE1779" s="139"/>
      <c r="AF1779" s="139"/>
      <c r="AG1779" s="139"/>
      <c r="AH1779" s="139"/>
      <c r="AI1779" s="139"/>
      <c r="AJ1779" s="139"/>
      <c r="AK1779" s="139"/>
    </row>
    <row r="1780" spans="13:37" x14ac:dyDescent="0.25">
      <c r="M1780" s="139"/>
      <c r="N1780" s="139"/>
      <c r="O1780" s="139"/>
      <c r="P1780" s="139"/>
      <c r="R1780" s="139"/>
      <c r="S1780" s="139"/>
      <c r="T1780" s="139"/>
      <c r="U1780" s="139"/>
      <c r="V1780" s="139"/>
      <c r="W1780" s="139"/>
      <c r="X1780" s="139"/>
      <c r="Y1780" s="139"/>
      <c r="Z1780" s="139"/>
      <c r="AA1780" s="139"/>
      <c r="AB1780" s="139"/>
      <c r="AC1780" s="139"/>
      <c r="AD1780" s="139"/>
      <c r="AE1780" s="139"/>
      <c r="AF1780" s="139"/>
      <c r="AG1780" s="139"/>
      <c r="AH1780" s="139"/>
      <c r="AI1780" s="139"/>
      <c r="AJ1780" s="139"/>
      <c r="AK1780" s="139"/>
    </row>
    <row r="1781" spans="13:37" x14ac:dyDescent="0.25">
      <c r="M1781" s="139"/>
      <c r="N1781" s="139"/>
      <c r="O1781" s="139"/>
      <c r="P1781" s="139"/>
      <c r="R1781" s="139"/>
      <c r="S1781" s="139"/>
      <c r="T1781" s="139"/>
      <c r="U1781" s="139"/>
      <c r="V1781" s="139"/>
      <c r="W1781" s="139"/>
      <c r="X1781" s="139"/>
      <c r="Y1781" s="139"/>
      <c r="Z1781" s="139"/>
      <c r="AA1781" s="139"/>
      <c r="AB1781" s="139"/>
      <c r="AC1781" s="139"/>
      <c r="AD1781" s="139"/>
      <c r="AE1781" s="139"/>
      <c r="AF1781" s="139"/>
      <c r="AG1781" s="139"/>
      <c r="AH1781" s="139"/>
      <c r="AI1781" s="139"/>
      <c r="AJ1781" s="139"/>
      <c r="AK1781" s="139"/>
    </row>
    <row r="1782" spans="13:37" x14ac:dyDescent="0.25">
      <c r="M1782" s="139"/>
      <c r="N1782" s="139"/>
      <c r="O1782" s="139"/>
      <c r="P1782" s="139"/>
      <c r="R1782" s="139"/>
      <c r="S1782" s="139"/>
      <c r="T1782" s="139"/>
      <c r="U1782" s="139"/>
      <c r="V1782" s="139"/>
      <c r="W1782" s="139"/>
      <c r="X1782" s="139"/>
      <c r="Y1782" s="139"/>
      <c r="Z1782" s="139"/>
      <c r="AA1782" s="139"/>
      <c r="AB1782" s="139"/>
      <c r="AC1782" s="139"/>
      <c r="AD1782" s="139"/>
      <c r="AE1782" s="139"/>
      <c r="AF1782" s="139"/>
      <c r="AG1782" s="139"/>
      <c r="AH1782" s="139"/>
      <c r="AI1782" s="139"/>
      <c r="AJ1782" s="139"/>
      <c r="AK1782" s="139"/>
    </row>
    <row r="1783" spans="13:37" x14ac:dyDescent="0.25">
      <c r="M1783" s="139"/>
      <c r="N1783" s="139"/>
      <c r="O1783" s="139"/>
      <c r="P1783" s="139"/>
      <c r="R1783" s="139"/>
      <c r="S1783" s="139"/>
      <c r="T1783" s="139"/>
      <c r="U1783" s="139"/>
      <c r="V1783" s="139"/>
      <c r="W1783" s="139"/>
      <c r="X1783" s="139"/>
      <c r="Y1783" s="139"/>
      <c r="Z1783" s="139"/>
      <c r="AA1783" s="139"/>
      <c r="AB1783" s="139"/>
      <c r="AC1783" s="139"/>
      <c r="AD1783" s="139"/>
      <c r="AE1783" s="139"/>
      <c r="AF1783" s="139"/>
      <c r="AG1783" s="139"/>
      <c r="AH1783" s="139"/>
      <c r="AI1783" s="139"/>
      <c r="AJ1783" s="139"/>
      <c r="AK1783" s="139"/>
    </row>
    <row r="1784" spans="13:37" x14ac:dyDescent="0.25">
      <c r="M1784" s="139"/>
      <c r="N1784" s="139"/>
      <c r="O1784" s="139"/>
      <c r="P1784" s="139"/>
      <c r="R1784" s="139"/>
      <c r="S1784" s="139"/>
      <c r="T1784" s="139"/>
      <c r="U1784" s="139"/>
      <c r="V1784" s="139"/>
      <c r="W1784" s="139"/>
      <c r="X1784" s="139"/>
      <c r="Y1784" s="139"/>
      <c r="Z1784" s="139"/>
      <c r="AA1784" s="139"/>
      <c r="AB1784" s="139"/>
      <c r="AC1784" s="139"/>
      <c r="AD1784" s="139"/>
      <c r="AE1784" s="139"/>
      <c r="AF1784" s="139"/>
      <c r="AG1784" s="139"/>
      <c r="AH1784" s="139"/>
      <c r="AI1784" s="139"/>
      <c r="AJ1784" s="139"/>
      <c r="AK1784" s="139"/>
    </row>
    <row r="1785" spans="13:37" x14ac:dyDescent="0.25">
      <c r="M1785" s="139"/>
      <c r="N1785" s="139"/>
      <c r="O1785" s="139"/>
      <c r="P1785" s="139"/>
      <c r="R1785" s="139"/>
      <c r="S1785" s="139"/>
      <c r="T1785" s="139"/>
      <c r="U1785" s="139"/>
      <c r="V1785" s="139"/>
      <c r="W1785" s="139"/>
      <c r="X1785" s="139"/>
      <c r="Y1785" s="139"/>
      <c r="Z1785" s="139"/>
      <c r="AA1785" s="139"/>
      <c r="AB1785" s="139"/>
      <c r="AC1785" s="139"/>
      <c r="AD1785" s="139"/>
      <c r="AE1785" s="139"/>
      <c r="AF1785" s="139"/>
      <c r="AG1785" s="139"/>
      <c r="AH1785" s="139"/>
      <c r="AI1785" s="139"/>
      <c r="AJ1785" s="139"/>
      <c r="AK1785" s="139"/>
    </row>
    <row r="1786" spans="13:37" x14ac:dyDescent="0.25">
      <c r="M1786" s="139"/>
      <c r="N1786" s="139"/>
      <c r="O1786" s="139"/>
      <c r="P1786" s="139"/>
      <c r="R1786" s="139"/>
      <c r="S1786" s="139"/>
      <c r="T1786" s="139"/>
      <c r="U1786" s="139"/>
      <c r="V1786" s="139"/>
      <c r="W1786" s="139"/>
      <c r="X1786" s="139"/>
      <c r="Y1786" s="139"/>
      <c r="Z1786" s="139"/>
      <c r="AA1786" s="139"/>
      <c r="AB1786" s="139"/>
      <c r="AC1786" s="139"/>
      <c r="AD1786" s="139"/>
      <c r="AE1786" s="139"/>
      <c r="AF1786" s="139"/>
      <c r="AG1786" s="139"/>
      <c r="AH1786" s="139"/>
      <c r="AI1786" s="139"/>
      <c r="AJ1786" s="139"/>
      <c r="AK1786" s="139"/>
    </row>
    <row r="1787" spans="13:37" x14ac:dyDescent="0.25">
      <c r="M1787" s="139"/>
      <c r="N1787" s="139"/>
      <c r="O1787" s="139"/>
      <c r="P1787" s="139"/>
      <c r="R1787" s="139"/>
      <c r="S1787" s="139"/>
      <c r="T1787" s="139"/>
      <c r="U1787" s="139"/>
      <c r="V1787" s="139"/>
      <c r="W1787" s="139"/>
      <c r="X1787" s="139"/>
      <c r="Y1787" s="139"/>
      <c r="Z1787" s="139"/>
      <c r="AA1787" s="139"/>
      <c r="AB1787" s="139"/>
      <c r="AC1787" s="139"/>
      <c r="AD1787" s="139"/>
      <c r="AE1787" s="139"/>
      <c r="AF1787" s="139"/>
      <c r="AG1787" s="139"/>
      <c r="AH1787" s="139"/>
      <c r="AI1787" s="139"/>
      <c r="AJ1787" s="139"/>
      <c r="AK1787" s="139"/>
    </row>
    <row r="1788" spans="13:37" x14ac:dyDescent="0.25">
      <c r="M1788" s="139"/>
      <c r="N1788" s="139"/>
      <c r="O1788" s="139"/>
      <c r="P1788" s="139"/>
      <c r="R1788" s="139"/>
      <c r="S1788" s="139"/>
      <c r="T1788" s="139"/>
      <c r="U1788" s="139"/>
      <c r="V1788" s="139"/>
      <c r="W1788" s="139"/>
      <c r="X1788" s="139"/>
      <c r="Y1788" s="139"/>
      <c r="Z1788" s="139"/>
      <c r="AA1788" s="139"/>
      <c r="AB1788" s="139"/>
      <c r="AC1788" s="139"/>
      <c r="AD1788" s="139"/>
      <c r="AE1788" s="139"/>
      <c r="AF1788" s="139"/>
      <c r="AG1788" s="139"/>
      <c r="AH1788" s="139"/>
      <c r="AI1788" s="139"/>
      <c r="AJ1788" s="139"/>
      <c r="AK1788" s="139"/>
    </row>
    <row r="1789" spans="13:37" x14ac:dyDescent="0.25">
      <c r="M1789" s="139"/>
      <c r="N1789" s="139"/>
      <c r="O1789" s="139"/>
      <c r="P1789" s="139"/>
      <c r="R1789" s="139"/>
      <c r="S1789" s="139"/>
      <c r="T1789" s="139"/>
      <c r="U1789" s="139"/>
      <c r="V1789" s="139"/>
      <c r="W1789" s="139"/>
      <c r="X1789" s="139"/>
      <c r="Y1789" s="139"/>
      <c r="Z1789" s="139"/>
      <c r="AA1789" s="139"/>
      <c r="AB1789" s="139"/>
      <c r="AC1789" s="139"/>
      <c r="AD1789" s="139"/>
      <c r="AE1789" s="139"/>
      <c r="AF1789" s="139"/>
      <c r="AG1789" s="139"/>
      <c r="AH1789" s="139"/>
      <c r="AI1789" s="139"/>
      <c r="AJ1789" s="139"/>
      <c r="AK1789" s="139"/>
    </row>
    <row r="1790" spans="13:37" x14ac:dyDescent="0.25">
      <c r="M1790" s="139"/>
      <c r="N1790" s="139"/>
      <c r="O1790" s="139"/>
      <c r="P1790" s="139"/>
      <c r="R1790" s="139"/>
      <c r="S1790" s="139"/>
      <c r="T1790" s="139"/>
      <c r="U1790" s="139"/>
      <c r="V1790" s="139"/>
      <c r="W1790" s="139"/>
      <c r="X1790" s="139"/>
      <c r="Y1790" s="139"/>
      <c r="Z1790" s="139"/>
      <c r="AA1790" s="139"/>
      <c r="AB1790" s="139"/>
      <c r="AC1790" s="139"/>
      <c r="AD1790" s="139"/>
      <c r="AE1790" s="139"/>
      <c r="AF1790" s="139"/>
      <c r="AG1790" s="139"/>
      <c r="AH1790" s="139"/>
      <c r="AI1790" s="139"/>
      <c r="AJ1790" s="139"/>
      <c r="AK1790" s="139"/>
    </row>
    <row r="1791" spans="13:37" x14ac:dyDescent="0.25">
      <c r="M1791" s="139"/>
      <c r="N1791" s="139"/>
      <c r="O1791" s="139"/>
      <c r="P1791" s="139"/>
      <c r="R1791" s="139"/>
      <c r="S1791" s="139"/>
      <c r="T1791" s="139"/>
      <c r="U1791" s="139"/>
      <c r="V1791" s="139"/>
      <c r="W1791" s="139"/>
      <c r="X1791" s="139"/>
      <c r="Y1791" s="139"/>
      <c r="Z1791" s="139"/>
      <c r="AA1791" s="139"/>
      <c r="AB1791" s="139"/>
      <c r="AC1791" s="139"/>
      <c r="AD1791" s="139"/>
      <c r="AE1791" s="139"/>
      <c r="AF1791" s="139"/>
      <c r="AG1791" s="139"/>
      <c r="AH1791" s="139"/>
      <c r="AI1791" s="139"/>
      <c r="AJ1791" s="139"/>
      <c r="AK1791" s="139"/>
    </row>
    <row r="1792" spans="13:37" x14ac:dyDescent="0.25">
      <c r="M1792" s="139"/>
      <c r="N1792" s="139"/>
      <c r="O1792" s="139"/>
      <c r="P1792" s="139"/>
      <c r="R1792" s="139"/>
      <c r="S1792" s="139"/>
      <c r="T1792" s="139"/>
      <c r="U1792" s="139"/>
      <c r="V1792" s="139"/>
      <c r="W1792" s="139"/>
      <c r="X1792" s="139"/>
      <c r="Y1792" s="139"/>
      <c r="Z1792" s="139"/>
      <c r="AA1792" s="139"/>
      <c r="AB1792" s="139"/>
      <c r="AC1792" s="139"/>
      <c r="AD1792" s="139"/>
      <c r="AE1792" s="139"/>
      <c r="AF1792" s="139"/>
      <c r="AG1792" s="139"/>
      <c r="AH1792" s="139"/>
      <c r="AI1792" s="139"/>
      <c r="AJ1792" s="139"/>
      <c r="AK1792" s="139"/>
    </row>
    <row r="1793" spans="13:37" x14ac:dyDescent="0.25">
      <c r="M1793" s="139"/>
      <c r="N1793" s="139"/>
      <c r="O1793" s="139"/>
      <c r="P1793" s="139"/>
      <c r="R1793" s="139"/>
      <c r="S1793" s="139"/>
      <c r="T1793" s="139"/>
      <c r="U1793" s="139"/>
      <c r="V1793" s="139"/>
      <c r="W1793" s="139"/>
      <c r="X1793" s="139"/>
      <c r="Y1793" s="139"/>
      <c r="Z1793" s="139"/>
      <c r="AA1793" s="139"/>
      <c r="AB1793" s="139"/>
      <c r="AC1793" s="139"/>
      <c r="AD1793" s="139"/>
      <c r="AE1793" s="139"/>
      <c r="AF1793" s="139"/>
      <c r="AG1793" s="139"/>
      <c r="AH1793" s="139"/>
      <c r="AI1793" s="139"/>
      <c r="AJ1793" s="139"/>
      <c r="AK1793" s="139"/>
    </row>
    <row r="1794" spans="13:37" x14ac:dyDescent="0.25">
      <c r="M1794" s="139"/>
      <c r="N1794" s="139"/>
      <c r="O1794" s="139"/>
      <c r="P1794" s="139"/>
      <c r="R1794" s="139"/>
      <c r="S1794" s="139"/>
      <c r="T1794" s="139"/>
      <c r="U1794" s="139"/>
      <c r="V1794" s="139"/>
      <c r="W1794" s="139"/>
      <c r="X1794" s="139"/>
      <c r="Y1794" s="139"/>
      <c r="Z1794" s="139"/>
      <c r="AA1794" s="139"/>
      <c r="AB1794" s="139"/>
      <c r="AC1794" s="139"/>
      <c r="AD1794" s="139"/>
      <c r="AE1794" s="139"/>
      <c r="AF1794" s="139"/>
      <c r="AG1794" s="139"/>
      <c r="AH1794" s="139"/>
      <c r="AI1794" s="139"/>
      <c r="AJ1794" s="139"/>
      <c r="AK1794" s="139"/>
    </row>
    <row r="1795" spans="13:37" x14ac:dyDescent="0.25">
      <c r="M1795" s="139"/>
      <c r="N1795" s="139"/>
      <c r="O1795" s="139"/>
      <c r="P1795" s="139"/>
      <c r="R1795" s="139"/>
      <c r="S1795" s="139"/>
      <c r="T1795" s="139"/>
      <c r="U1795" s="139"/>
      <c r="V1795" s="139"/>
      <c r="W1795" s="139"/>
      <c r="X1795" s="139"/>
      <c r="Y1795" s="139"/>
      <c r="Z1795" s="139"/>
      <c r="AA1795" s="139"/>
      <c r="AB1795" s="139"/>
      <c r="AC1795" s="139"/>
      <c r="AD1795" s="139"/>
      <c r="AE1795" s="139"/>
      <c r="AF1795" s="139"/>
      <c r="AG1795" s="139"/>
      <c r="AH1795" s="139"/>
      <c r="AI1795" s="139"/>
      <c r="AJ1795" s="139"/>
      <c r="AK1795" s="139"/>
    </row>
    <row r="1796" spans="13:37" x14ac:dyDescent="0.25">
      <c r="M1796" s="139"/>
      <c r="N1796" s="139"/>
      <c r="O1796" s="139"/>
      <c r="P1796" s="139"/>
      <c r="R1796" s="139"/>
      <c r="S1796" s="139"/>
      <c r="T1796" s="139"/>
      <c r="U1796" s="139"/>
      <c r="V1796" s="139"/>
      <c r="W1796" s="139"/>
      <c r="X1796" s="139"/>
      <c r="Y1796" s="139"/>
      <c r="Z1796" s="139"/>
      <c r="AA1796" s="139"/>
      <c r="AB1796" s="139"/>
      <c r="AC1796" s="139"/>
      <c r="AD1796" s="139"/>
      <c r="AE1796" s="139"/>
      <c r="AF1796" s="139"/>
      <c r="AG1796" s="139"/>
      <c r="AH1796" s="139"/>
      <c r="AI1796" s="139"/>
      <c r="AJ1796" s="139"/>
      <c r="AK1796" s="139"/>
    </row>
    <row r="1797" spans="13:37" x14ac:dyDescent="0.25">
      <c r="M1797" s="139"/>
      <c r="N1797" s="139"/>
      <c r="O1797" s="139"/>
      <c r="P1797" s="139"/>
      <c r="R1797" s="139"/>
      <c r="S1797" s="139"/>
      <c r="T1797" s="139"/>
      <c r="U1797" s="139"/>
      <c r="V1797" s="139"/>
      <c r="W1797" s="139"/>
      <c r="X1797" s="139"/>
      <c r="Y1797" s="139"/>
      <c r="Z1797" s="139"/>
      <c r="AA1797" s="139"/>
      <c r="AB1797" s="139"/>
      <c r="AC1797" s="139"/>
      <c r="AD1797" s="139"/>
      <c r="AE1797" s="139"/>
      <c r="AF1797" s="139"/>
      <c r="AG1797" s="139"/>
      <c r="AH1797" s="139"/>
      <c r="AI1797" s="139"/>
      <c r="AJ1797" s="139"/>
      <c r="AK1797" s="139"/>
    </row>
    <row r="1798" spans="13:37" x14ac:dyDescent="0.25">
      <c r="M1798" s="139"/>
      <c r="N1798" s="139"/>
      <c r="O1798" s="139"/>
      <c r="P1798" s="139"/>
      <c r="R1798" s="139"/>
      <c r="S1798" s="139"/>
      <c r="T1798" s="139"/>
      <c r="U1798" s="139"/>
      <c r="V1798" s="139"/>
      <c r="W1798" s="139"/>
      <c r="X1798" s="139"/>
      <c r="Y1798" s="139"/>
      <c r="Z1798" s="139"/>
      <c r="AA1798" s="139"/>
      <c r="AB1798" s="139"/>
      <c r="AC1798" s="139"/>
      <c r="AD1798" s="139"/>
      <c r="AE1798" s="139"/>
      <c r="AF1798" s="139"/>
      <c r="AG1798" s="139"/>
      <c r="AH1798" s="139"/>
      <c r="AI1798" s="139"/>
      <c r="AJ1798" s="139"/>
      <c r="AK1798" s="139"/>
    </row>
    <row r="1799" spans="13:37" x14ac:dyDescent="0.25">
      <c r="M1799" s="139"/>
      <c r="N1799" s="139"/>
      <c r="O1799" s="139"/>
      <c r="P1799" s="139"/>
      <c r="R1799" s="139"/>
      <c r="S1799" s="139"/>
      <c r="T1799" s="139"/>
      <c r="U1799" s="139"/>
      <c r="V1799" s="139"/>
      <c r="W1799" s="139"/>
      <c r="X1799" s="139"/>
      <c r="Y1799" s="139"/>
      <c r="Z1799" s="139"/>
      <c r="AA1799" s="139"/>
      <c r="AB1799" s="139"/>
      <c r="AC1799" s="139"/>
      <c r="AD1799" s="139"/>
      <c r="AE1799" s="139"/>
      <c r="AF1799" s="139"/>
      <c r="AG1799" s="139"/>
      <c r="AH1799" s="139"/>
      <c r="AI1799" s="139"/>
      <c r="AJ1799" s="139"/>
      <c r="AK1799" s="139"/>
    </row>
    <row r="1800" spans="13:37" x14ac:dyDescent="0.25">
      <c r="M1800" s="139"/>
      <c r="N1800" s="139"/>
      <c r="O1800" s="139"/>
      <c r="P1800" s="139"/>
      <c r="R1800" s="139"/>
      <c r="S1800" s="139"/>
      <c r="T1800" s="139"/>
      <c r="U1800" s="139"/>
      <c r="V1800" s="139"/>
      <c r="W1800" s="139"/>
      <c r="X1800" s="139"/>
      <c r="Y1800" s="139"/>
      <c r="Z1800" s="139"/>
      <c r="AA1800" s="139"/>
      <c r="AB1800" s="139"/>
      <c r="AC1800" s="139"/>
      <c r="AD1800" s="139"/>
      <c r="AE1800" s="139"/>
      <c r="AF1800" s="139"/>
      <c r="AG1800" s="139"/>
      <c r="AH1800" s="139"/>
      <c r="AI1800" s="139"/>
      <c r="AJ1800" s="139"/>
      <c r="AK1800" s="139"/>
    </row>
    <row r="1801" spans="13:37" x14ac:dyDescent="0.25">
      <c r="M1801" s="139"/>
      <c r="N1801" s="139"/>
      <c r="O1801" s="139"/>
      <c r="P1801" s="139"/>
      <c r="R1801" s="139"/>
      <c r="S1801" s="139"/>
      <c r="T1801" s="139"/>
      <c r="U1801" s="139"/>
      <c r="V1801" s="139"/>
      <c r="W1801" s="139"/>
      <c r="X1801" s="139"/>
      <c r="Y1801" s="139"/>
      <c r="Z1801" s="139"/>
      <c r="AA1801" s="139"/>
      <c r="AB1801" s="139"/>
      <c r="AC1801" s="139"/>
      <c r="AD1801" s="139"/>
      <c r="AE1801" s="139"/>
      <c r="AF1801" s="139"/>
      <c r="AG1801" s="139"/>
      <c r="AH1801" s="139"/>
      <c r="AI1801" s="139"/>
      <c r="AJ1801" s="139"/>
      <c r="AK1801" s="139"/>
    </row>
    <row r="1802" spans="13:37" x14ac:dyDescent="0.25">
      <c r="M1802" s="139"/>
      <c r="N1802" s="139"/>
      <c r="O1802" s="139"/>
      <c r="P1802" s="139"/>
      <c r="R1802" s="139"/>
      <c r="S1802" s="139"/>
      <c r="T1802" s="139"/>
      <c r="U1802" s="139"/>
      <c r="V1802" s="139"/>
      <c r="W1802" s="139"/>
      <c r="X1802" s="139"/>
      <c r="Y1802" s="139"/>
      <c r="Z1802" s="139"/>
      <c r="AA1802" s="139"/>
      <c r="AB1802" s="139"/>
      <c r="AC1802" s="139"/>
      <c r="AD1802" s="139"/>
      <c r="AE1802" s="139"/>
      <c r="AF1802" s="139"/>
      <c r="AG1802" s="139"/>
      <c r="AH1802" s="139"/>
      <c r="AI1802" s="139"/>
      <c r="AJ1802" s="139"/>
      <c r="AK1802" s="139"/>
    </row>
    <row r="1803" spans="13:37" x14ac:dyDescent="0.25">
      <c r="M1803" s="139"/>
      <c r="N1803" s="139"/>
      <c r="O1803" s="139"/>
      <c r="P1803" s="139"/>
      <c r="R1803" s="139"/>
      <c r="S1803" s="139"/>
      <c r="T1803" s="139"/>
      <c r="U1803" s="139"/>
      <c r="V1803" s="139"/>
      <c r="W1803" s="139"/>
      <c r="X1803" s="139"/>
      <c r="Y1803" s="139"/>
      <c r="Z1803" s="139"/>
      <c r="AA1803" s="139"/>
      <c r="AB1803" s="139"/>
      <c r="AC1803" s="139"/>
      <c r="AD1803" s="139"/>
      <c r="AE1803" s="139"/>
      <c r="AF1803" s="139"/>
      <c r="AG1803" s="139"/>
      <c r="AH1803" s="139"/>
      <c r="AI1803" s="139"/>
      <c r="AJ1803" s="139"/>
      <c r="AK1803" s="139"/>
    </row>
    <row r="1804" spans="13:37" x14ac:dyDescent="0.25">
      <c r="M1804" s="139"/>
      <c r="N1804" s="139"/>
      <c r="O1804" s="139"/>
      <c r="P1804" s="139"/>
      <c r="R1804" s="139"/>
      <c r="S1804" s="139"/>
      <c r="T1804" s="139"/>
      <c r="U1804" s="139"/>
      <c r="V1804" s="139"/>
      <c r="W1804" s="139"/>
      <c r="X1804" s="139"/>
      <c r="Y1804" s="139"/>
      <c r="Z1804" s="139"/>
      <c r="AA1804" s="139"/>
      <c r="AB1804" s="139"/>
      <c r="AC1804" s="139"/>
      <c r="AD1804" s="139"/>
      <c r="AE1804" s="139"/>
      <c r="AF1804" s="139"/>
      <c r="AG1804" s="139"/>
      <c r="AH1804" s="139"/>
      <c r="AI1804" s="139"/>
      <c r="AJ1804" s="139"/>
      <c r="AK1804" s="139"/>
    </row>
    <row r="1805" spans="13:37" x14ac:dyDescent="0.25">
      <c r="M1805" s="139"/>
      <c r="N1805" s="139"/>
      <c r="O1805" s="139"/>
      <c r="P1805" s="139"/>
      <c r="R1805" s="139"/>
      <c r="S1805" s="139"/>
      <c r="T1805" s="139"/>
      <c r="U1805" s="139"/>
      <c r="V1805" s="139"/>
      <c r="W1805" s="139"/>
      <c r="X1805" s="139"/>
      <c r="Y1805" s="139"/>
      <c r="Z1805" s="139"/>
      <c r="AA1805" s="139"/>
      <c r="AB1805" s="139"/>
      <c r="AC1805" s="139"/>
      <c r="AD1805" s="139"/>
      <c r="AE1805" s="139"/>
      <c r="AF1805" s="139"/>
      <c r="AG1805" s="139"/>
      <c r="AH1805" s="139"/>
      <c r="AI1805" s="139"/>
      <c r="AJ1805" s="139"/>
      <c r="AK1805" s="139"/>
    </row>
    <row r="1806" spans="13:37" x14ac:dyDescent="0.25">
      <c r="M1806" s="139"/>
      <c r="N1806" s="139"/>
      <c r="O1806" s="139"/>
      <c r="P1806" s="139"/>
      <c r="R1806" s="139"/>
      <c r="S1806" s="139"/>
      <c r="T1806" s="139"/>
      <c r="U1806" s="139"/>
      <c r="V1806" s="139"/>
      <c r="W1806" s="139"/>
      <c r="X1806" s="139"/>
      <c r="Y1806" s="139"/>
      <c r="Z1806" s="139"/>
      <c r="AA1806" s="139"/>
      <c r="AB1806" s="139"/>
      <c r="AC1806" s="139"/>
      <c r="AD1806" s="139"/>
      <c r="AE1806" s="139"/>
      <c r="AF1806" s="139"/>
      <c r="AG1806" s="139"/>
      <c r="AH1806" s="139"/>
      <c r="AI1806" s="139"/>
      <c r="AJ1806" s="139"/>
      <c r="AK1806" s="139"/>
    </row>
    <row r="1807" spans="13:37" x14ac:dyDescent="0.25">
      <c r="M1807" s="139"/>
      <c r="N1807" s="139"/>
      <c r="O1807" s="139"/>
      <c r="P1807" s="139"/>
      <c r="R1807" s="139"/>
      <c r="S1807" s="139"/>
      <c r="T1807" s="139"/>
      <c r="U1807" s="139"/>
      <c r="V1807" s="139"/>
      <c r="W1807" s="139"/>
      <c r="X1807" s="139"/>
      <c r="Y1807" s="139"/>
      <c r="Z1807" s="139"/>
      <c r="AA1807" s="139"/>
      <c r="AB1807" s="139"/>
      <c r="AC1807" s="139"/>
      <c r="AD1807" s="139"/>
      <c r="AE1807" s="139"/>
      <c r="AF1807" s="139"/>
      <c r="AG1807" s="139"/>
      <c r="AH1807" s="139"/>
      <c r="AI1807" s="139"/>
      <c r="AJ1807" s="139"/>
      <c r="AK1807" s="139"/>
    </row>
    <row r="1808" spans="13:37" x14ac:dyDescent="0.25">
      <c r="M1808" s="139"/>
      <c r="N1808" s="139"/>
      <c r="O1808" s="139"/>
      <c r="P1808" s="139"/>
      <c r="R1808" s="139"/>
      <c r="S1808" s="139"/>
      <c r="T1808" s="139"/>
      <c r="U1808" s="139"/>
      <c r="V1808" s="139"/>
      <c r="W1808" s="139"/>
      <c r="X1808" s="139"/>
      <c r="Y1808" s="139"/>
      <c r="Z1808" s="139"/>
      <c r="AA1808" s="139"/>
      <c r="AB1808" s="139"/>
      <c r="AC1808" s="139"/>
      <c r="AD1808" s="139"/>
      <c r="AE1808" s="139"/>
      <c r="AF1808" s="139"/>
      <c r="AG1808" s="139"/>
      <c r="AH1808" s="139"/>
      <c r="AI1808" s="139"/>
      <c r="AJ1808" s="139"/>
      <c r="AK1808" s="139"/>
    </row>
    <row r="1809" spans="13:37" x14ac:dyDescent="0.25">
      <c r="M1809" s="139"/>
      <c r="N1809" s="139"/>
      <c r="O1809" s="139"/>
      <c r="P1809" s="139"/>
      <c r="R1809" s="139"/>
      <c r="S1809" s="139"/>
      <c r="T1809" s="139"/>
      <c r="U1809" s="139"/>
      <c r="V1809" s="139"/>
      <c r="W1809" s="139"/>
      <c r="X1809" s="139"/>
      <c r="Y1809" s="139"/>
      <c r="Z1809" s="139"/>
      <c r="AA1809" s="139"/>
      <c r="AB1809" s="139"/>
      <c r="AC1809" s="139"/>
      <c r="AD1809" s="139"/>
      <c r="AE1809" s="139"/>
      <c r="AF1809" s="139"/>
      <c r="AG1809" s="139"/>
      <c r="AH1809" s="139"/>
      <c r="AI1809" s="139"/>
      <c r="AJ1809" s="139"/>
      <c r="AK1809" s="139"/>
    </row>
    <row r="1810" spans="13:37" x14ac:dyDescent="0.25">
      <c r="M1810" s="139"/>
      <c r="N1810" s="139"/>
      <c r="O1810" s="139"/>
      <c r="P1810" s="139"/>
      <c r="R1810" s="139"/>
      <c r="S1810" s="139"/>
      <c r="T1810" s="139"/>
      <c r="U1810" s="139"/>
      <c r="V1810" s="139"/>
      <c r="W1810" s="139"/>
      <c r="X1810" s="139"/>
      <c r="Y1810" s="139"/>
      <c r="Z1810" s="139"/>
      <c r="AA1810" s="139"/>
      <c r="AB1810" s="139"/>
      <c r="AC1810" s="139"/>
      <c r="AD1810" s="139"/>
      <c r="AE1810" s="139"/>
      <c r="AF1810" s="139"/>
      <c r="AG1810" s="139"/>
      <c r="AH1810" s="139"/>
      <c r="AI1810" s="139"/>
      <c r="AJ1810" s="139"/>
      <c r="AK1810" s="139"/>
    </row>
    <row r="1811" spans="13:37" x14ac:dyDescent="0.25">
      <c r="M1811" s="139"/>
      <c r="N1811" s="139"/>
      <c r="O1811" s="139"/>
      <c r="P1811" s="139"/>
      <c r="R1811" s="139"/>
      <c r="S1811" s="139"/>
      <c r="T1811" s="139"/>
      <c r="U1811" s="139"/>
      <c r="V1811" s="139"/>
      <c r="W1811" s="139"/>
      <c r="X1811" s="139"/>
      <c r="Y1811" s="139"/>
      <c r="Z1811" s="139"/>
      <c r="AA1811" s="139"/>
      <c r="AB1811" s="139"/>
      <c r="AC1811" s="139"/>
      <c r="AD1811" s="139"/>
      <c r="AE1811" s="139"/>
      <c r="AF1811" s="139"/>
      <c r="AG1811" s="139"/>
      <c r="AH1811" s="139"/>
      <c r="AI1811" s="139"/>
      <c r="AJ1811" s="139"/>
      <c r="AK1811" s="139"/>
    </row>
    <row r="1812" spans="13:37" x14ac:dyDescent="0.25">
      <c r="M1812" s="139"/>
      <c r="N1812" s="139"/>
      <c r="O1812" s="139"/>
      <c r="P1812" s="139"/>
      <c r="R1812" s="139"/>
      <c r="S1812" s="139"/>
      <c r="T1812" s="139"/>
      <c r="U1812" s="139"/>
      <c r="V1812" s="139"/>
      <c r="W1812" s="139"/>
      <c r="X1812" s="139"/>
      <c r="Y1812" s="139"/>
      <c r="Z1812" s="139"/>
      <c r="AA1812" s="139"/>
      <c r="AB1812" s="139"/>
      <c r="AC1812" s="139"/>
      <c r="AD1812" s="139"/>
      <c r="AE1812" s="139"/>
      <c r="AF1812" s="139"/>
      <c r="AG1812" s="139"/>
      <c r="AH1812" s="139"/>
      <c r="AI1812" s="139"/>
      <c r="AJ1812" s="139"/>
      <c r="AK1812" s="139"/>
    </row>
    <row r="1813" spans="13:37" x14ac:dyDescent="0.25">
      <c r="M1813" s="139"/>
      <c r="N1813" s="139"/>
      <c r="O1813" s="139"/>
      <c r="P1813" s="139"/>
      <c r="R1813" s="139"/>
      <c r="S1813" s="139"/>
      <c r="T1813" s="139"/>
      <c r="U1813" s="139"/>
      <c r="V1813" s="139"/>
      <c r="W1813" s="139"/>
      <c r="X1813" s="139"/>
      <c r="Y1813" s="139"/>
      <c r="Z1813" s="139"/>
      <c r="AA1813" s="139"/>
      <c r="AB1813" s="139"/>
      <c r="AC1813" s="139"/>
      <c r="AD1813" s="139"/>
      <c r="AE1813" s="139"/>
      <c r="AF1813" s="139"/>
      <c r="AG1813" s="139"/>
      <c r="AH1813" s="139"/>
      <c r="AI1813" s="139"/>
      <c r="AJ1813" s="139"/>
      <c r="AK1813" s="139"/>
    </row>
    <row r="1814" spans="13:37" x14ac:dyDescent="0.25">
      <c r="M1814" s="139"/>
      <c r="N1814" s="139"/>
      <c r="O1814" s="139"/>
      <c r="P1814" s="139"/>
      <c r="R1814" s="139"/>
      <c r="S1814" s="139"/>
      <c r="T1814" s="139"/>
      <c r="U1814" s="139"/>
      <c r="V1814" s="139"/>
      <c r="W1814" s="139"/>
      <c r="X1814" s="139"/>
      <c r="Y1814" s="139"/>
      <c r="Z1814" s="139"/>
      <c r="AA1814" s="139"/>
      <c r="AB1814" s="139"/>
      <c r="AC1814" s="139"/>
      <c r="AD1814" s="139"/>
      <c r="AE1814" s="139"/>
      <c r="AF1814" s="139"/>
      <c r="AG1814" s="139"/>
      <c r="AH1814" s="139"/>
      <c r="AI1814" s="139"/>
      <c r="AJ1814" s="139"/>
      <c r="AK1814" s="139"/>
    </row>
    <row r="1815" spans="13:37" x14ac:dyDescent="0.25">
      <c r="M1815" s="139"/>
      <c r="N1815" s="139"/>
      <c r="O1815" s="139"/>
      <c r="P1815" s="139"/>
      <c r="R1815" s="139"/>
      <c r="S1815" s="139"/>
      <c r="T1815" s="139"/>
      <c r="U1815" s="139"/>
      <c r="V1815" s="139"/>
      <c r="W1815" s="139"/>
      <c r="X1815" s="139"/>
      <c r="Y1815" s="139"/>
      <c r="Z1815" s="139"/>
      <c r="AA1815" s="139"/>
      <c r="AB1815" s="139"/>
      <c r="AC1815" s="139"/>
      <c r="AD1815" s="139"/>
      <c r="AE1815" s="139"/>
      <c r="AF1815" s="139"/>
      <c r="AG1815" s="139"/>
      <c r="AH1815" s="139"/>
      <c r="AI1815" s="139"/>
      <c r="AJ1815" s="139"/>
      <c r="AK1815" s="139"/>
    </row>
    <row r="1816" spans="13:37" x14ac:dyDescent="0.25">
      <c r="M1816" s="139"/>
      <c r="N1816" s="139"/>
      <c r="O1816" s="139"/>
      <c r="P1816" s="139"/>
      <c r="R1816" s="139"/>
      <c r="S1816" s="139"/>
      <c r="T1816" s="139"/>
      <c r="U1816" s="139"/>
      <c r="V1816" s="139"/>
      <c r="W1816" s="139"/>
      <c r="X1816" s="139"/>
      <c r="Y1816" s="139"/>
      <c r="Z1816" s="139"/>
      <c r="AA1816" s="139"/>
      <c r="AB1816" s="139"/>
      <c r="AC1816" s="139"/>
      <c r="AD1816" s="139"/>
      <c r="AE1816" s="139"/>
      <c r="AF1816" s="139"/>
      <c r="AG1816" s="139"/>
      <c r="AH1816" s="139"/>
      <c r="AI1816" s="139"/>
      <c r="AJ1816" s="139"/>
      <c r="AK1816" s="139"/>
    </row>
    <row r="1817" spans="13:37" x14ac:dyDescent="0.25">
      <c r="M1817" s="139"/>
      <c r="N1817" s="139"/>
      <c r="O1817" s="139"/>
      <c r="P1817" s="139"/>
      <c r="R1817" s="139"/>
      <c r="S1817" s="139"/>
      <c r="T1817" s="139"/>
      <c r="U1817" s="139"/>
      <c r="V1817" s="139"/>
      <c r="W1817" s="139"/>
      <c r="X1817" s="139"/>
      <c r="Y1817" s="139"/>
      <c r="Z1817" s="139"/>
      <c r="AA1817" s="139"/>
      <c r="AB1817" s="139"/>
      <c r="AC1817" s="139"/>
      <c r="AD1817" s="139"/>
      <c r="AE1817" s="139"/>
      <c r="AF1817" s="139"/>
      <c r="AG1817" s="139"/>
      <c r="AH1817" s="139"/>
      <c r="AI1817" s="139"/>
      <c r="AJ1817" s="139"/>
      <c r="AK1817" s="139"/>
    </row>
    <row r="1818" spans="13:37" x14ac:dyDescent="0.25">
      <c r="M1818" s="139"/>
      <c r="N1818" s="139"/>
      <c r="O1818" s="139"/>
      <c r="P1818" s="139"/>
      <c r="R1818" s="139"/>
      <c r="S1818" s="139"/>
      <c r="T1818" s="139"/>
      <c r="U1818" s="139"/>
      <c r="V1818" s="139"/>
      <c r="W1818" s="139"/>
      <c r="X1818" s="139"/>
      <c r="Y1818" s="139"/>
      <c r="Z1818" s="139"/>
      <c r="AA1818" s="139"/>
      <c r="AB1818" s="139"/>
      <c r="AC1818" s="139"/>
      <c r="AD1818" s="139"/>
      <c r="AE1818" s="139"/>
      <c r="AF1818" s="139"/>
      <c r="AG1818" s="139"/>
      <c r="AH1818" s="139"/>
      <c r="AI1818" s="139"/>
      <c r="AJ1818" s="139"/>
      <c r="AK1818" s="139"/>
    </row>
    <row r="1819" spans="13:37" x14ac:dyDescent="0.25">
      <c r="M1819" s="139"/>
      <c r="N1819" s="139"/>
      <c r="O1819" s="139"/>
      <c r="P1819" s="139"/>
      <c r="R1819" s="139"/>
      <c r="S1819" s="139"/>
      <c r="T1819" s="139"/>
      <c r="U1819" s="139"/>
      <c r="V1819" s="139"/>
      <c r="W1819" s="139"/>
      <c r="X1819" s="139"/>
      <c r="Y1819" s="139"/>
      <c r="Z1819" s="139"/>
      <c r="AA1819" s="139"/>
      <c r="AB1819" s="139"/>
      <c r="AC1819" s="139"/>
      <c r="AD1819" s="139"/>
      <c r="AE1819" s="139"/>
      <c r="AF1819" s="139"/>
      <c r="AG1819" s="139"/>
      <c r="AH1819" s="139"/>
      <c r="AI1819" s="139"/>
      <c r="AJ1819" s="139"/>
      <c r="AK1819" s="139"/>
    </row>
    <row r="1820" spans="13:37" x14ac:dyDescent="0.25">
      <c r="M1820" s="139"/>
      <c r="N1820" s="139"/>
      <c r="O1820" s="139"/>
      <c r="P1820" s="139"/>
      <c r="R1820" s="139"/>
      <c r="S1820" s="139"/>
      <c r="T1820" s="139"/>
      <c r="U1820" s="139"/>
      <c r="V1820" s="139"/>
      <c r="W1820" s="139"/>
      <c r="X1820" s="139"/>
      <c r="Y1820" s="139"/>
      <c r="Z1820" s="139"/>
      <c r="AA1820" s="139"/>
      <c r="AB1820" s="139"/>
      <c r="AC1820" s="139"/>
      <c r="AD1820" s="139"/>
      <c r="AE1820" s="139"/>
      <c r="AF1820" s="139"/>
      <c r="AG1820" s="139"/>
      <c r="AH1820" s="139"/>
      <c r="AI1820" s="139"/>
      <c r="AJ1820" s="139"/>
      <c r="AK1820" s="139"/>
    </row>
    <row r="1821" spans="13:37" x14ac:dyDescent="0.25">
      <c r="M1821" s="139"/>
      <c r="N1821" s="139"/>
      <c r="O1821" s="139"/>
      <c r="P1821" s="139"/>
      <c r="R1821" s="139"/>
      <c r="S1821" s="139"/>
      <c r="T1821" s="139"/>
      <c r="U1821" s="139"/>
      <c r="V1821" s="139"/>
      <c r="W1821" s="139"/>
      <c r="X1821" s="139"/>
      <c r="Y1821" s="139"/>
      <c r="Z1821" s="139"/>
      <c r="AA1821" s="139"/>
      <c r="AB1821" s="139"/>
      <c r="AC1821" s="139"/>
      <c r="AD1821" s="139"/>
      <c r="AE1821" s="139"/>
      <c r="AF1821" s="139"/>
      <c r="AG1821" s="139"/>
      <c r="AH1821" s="139"/>
      <c r="AI1821" s="139"/>
      <c r="AJ1821" s="139"/>
      <c r="AK1821" s="139"/>
    </row>
    <row r="1822" spans="13:37" x14ac:dyDescent="0.25">
      <c r="M1822" s="139"/>
      <c r="N1822" s="139"/>
      <c r="O1822" s="139"/>
      <c r="P1822" s="139"/>
      <c r="R1822" s="139"/>
      <c r="S1822" s="139"/>
      <c r="T1822" s="139"/>
      <c r="U1822" s="139"/>
      <c r="V1822" s="139"/>
      <c r="W1822" s="139"/>
      <c r="X1822" s="139"/>
      <c r="Y1822" s="139"/>
      <c r="Z1822" s="139"/>
      <c r="AA1822" s="139"/>
      <c r="AB1822" s="139"/>
      <c r="AC1822" s="139"/>
      <c r="AD1822" s="139"/>
      <c r="AE1822" s="139"/>
      <c r="AF1822" s="139"/>
      <c r="AG1822" s="139"/>
      <c r="AH1822" s="139"/>
      <c r="AI1822" s="139"/>
      <c r="AJ1822" s="139"/>
      <c r="AK1822" s="139"/>
    </row>
    <row r="1823" spans="13:37" x14ac:dyDescent="0.25">
      <c r="M1823" s="139"/>
      <c r="N1823" s="139"/>
      <c r="O1823" s="139"/>
      <c r="P1823" s="139"/>
      <c r="R1823" s="139"/>
      <c r="S1823" s="139"/>
      <c r="T1823" s="139"/>
      <c r="U1823" s="139"/>
      <c r="V1823" s="139"/>
      <c r="W1823" s="139"/>
      <c r="X1823" s="139"/>
      <c r="Y1823" s="139"/>
      <c r="Z1823" s="139"/>
      <c r="AA1823" s="139"/>
      <c r="AB1823" s="139"/>
      <c r="AC1823" s="139"/>
      <c r="AD1823" s="139"/>
      <c r="AE1823" s="139"/>
      <c r="AF1823" s="139"/>
      <c r="AG1823" s="139"/>
      <c r="AH1823" s="139"/>
      <c r="AI1823" s="139"/>
      <c r="AJ1823" s="139"/>
      <c r="AK1823" s="139"/>
    </row>
    <row r="1824" spans="13:37" x14ac:dyDescent="0.25">
      <c r="M1824" s="139"/>
      <c r="N1824" s="139"/>
      <c r="O1824" s="139"/>
      <c r="P1824" s="139"/>
      <c r="R1824" s="139"/>
      <c r="S1824" s="139"/>
      <c r="T1824" s="139"/>
      <c r="U1824" s="139"/>
      <c r="V1824" s="139"/>
      <c r="W1824" s="139"/>
      <c r="X1824" s="139"/>
      <c r="Y1824" s="139"/>
      <c r="Z1824" s="139"/>
      <c r="AA1824" s="139"/>
      <c r="AB1824" s="139"/>
      <c r="AC1824" s="139"/>
      <c r="AD1824" s="139"/>
      <c r="AE1824" s="139"/>
      <c r="AF1824" s="139"/>
      <c r="AG1824" s="139"/>
      <c r="AH1824" s="139"/>
      <c r="AI1824" s="139"/>
      <c r="AJ1824" s="139"/>
      <c r="AK1824" s="139"/>
    </row>
    <row r="1825" spans="13:37" x14ac:dyDescent="0.25">
      <c r="M1825" s="139"/>
      <c r="N1825" s="139"/>
      <c r="O1825" s="139"/>
      <c r="P1825" s="139"/>
      <c r="R1825" s="139"/>
      <c r="S1825" s="139"/>
      <c r="T1825" s="139"/>
      <c r="U1825" s="139"/>
      <c r="V1825" s="139"/>
      <c r="W1825" s="139"/>
      <c r="X1825" s="139"/>
      <c r="Y1825" s="139"/>
      <c r="Z1825" s="139"/>
      <c r="AA1825" s="139"/>
      <c r="AB1825" s="139"/>
      <c r="AC1825" s="139"/>
      <c r="AD1825" s="139"/>
      <c r="AE1825" s="139"/>
      <c r="AF1825" s="139"/>
      <c r="AG1825" s="139"/>
      <c r="AH1825" s="139"/>
      <c r="AI1825" s="139"/>
      <c r="AJ1825" s="139"/>
      <c r="AK1825" s="139"/>
    </row>
    <row r="1826" spans="13:37" x14ac:dyDescent="0.25">
      <c r="M1826" s="139"/>
      <c r="N1826" s="139"/>
      <c r="O1826" s="139"/>
      <c r="P1826" s="139"/>
      <c r="R1826" s="139"/>
      <c r="S1826" s="139"/>
      <c r="T1826" s="139"/>
      <c r="U1826" s="139"/>
      <c r="V1826" s="139"/>
      <c r="W1826" s="139"/>
      <c r="X1826" s="139"/>
      <c r="Y1826" s="139"/>
      <c r="Z1826" s="139"/>
      <c r="AA1826" s="139"/>
      <c r="AB1826" s="139"/>
      <c r="AC1826" s="139"/>
      <c r="AD1826" s="139"/>
      <c r="AE1826" s="139"/>
      <c r="AF1826" s="139"/>
      <c r="AG1826" s="139"/>
      <c r="AH1826" s="139"/>
      <c r="AI1826" s="139"/>
      <c r="AJ1826" s="139"/>
      <c r="AK1826" s="139"/>
    </row>
    <row r="1827" spans="13:37" x14ac:dyDescent="0.25">
      <c r="M1827" s="139"/>
      <c r="N1827" s="139"/>
      <c r="O1827" s="139"/>
      <c r="P1827" s="139"/>
      <c r="R1827" s="139"/>
      <c r="S1827" s="139"/>
      <c r="T1827" s="139"/>
      <c r="U1827" s="139"/>
      <c r="V1827" s="139"/>
      <c r="W1827" s="139"/>
      <c r="X1827" s="139"/>
      <c r="Y1827" s="139"/>
      <c r="Z1827" s="139"/>
      <c r="AA1827" s="139"/>
      <c r="AB1827" s="139"/>
      <c r="AC1827" s="139"/>
      <c r="AD1827" s="139"/>
      <c r="AE1827" s="139"/>
      <c r="AF1827" s="139"/>
      <c r="AG1827" s="139"/>
      <c r="AH1827" s="139"/>
      <c r="AI1827" s="139"/>
      <c r="AJ1827" s="139"/>
      <c r="AK1827" s="139"/>
    </row>
    <row r="1828" spans="13:37" x14ac:dyDescent="0.25">
      <c r="M1828" s="139"/>
      <c r="N1828" s="139"/>
      <c r="O1828" s="139"/>
      <c r="P1828" s="139"/>
      <c r="R1828" s="139"/>
      <c r="S1828" s="139"/>
      <c r="T1828" s="139"/>
      <c r="U1828" s="139"/>
      <c r="V1828" s="139"/>
      <c r="W1828" s="139"/>
      <c r="X1828" s="139"/>
      <c r="Y1828" s="139"/>
      <c r="Z1828" s="139"/>
      <c r="AA1828" s="139"/>
      <c r="AB1828" s="139"/>
      <c r="AC1828" s="139"/>
      <c r="AD1828" s="139"/>
      <c r="AE1828" s="139"/>
      <c r="AF1828" s="139"/>
      <c r="AG1828" s="139"/>
      <c r="AH1828" s="139"/>
      <c r="AI1828" s="139"/>
      <c r="AJ1828" s="139"/>
      <c r="AK1828" s="139"/>
    </row>
    <row r="1829" spans="13:37" x14ac:dyDescent="0.25">
      <c r="M1829" s="139"/>
      <c r="N1829" s="139"/>
      <c r="O1829" s="139"/>
      <c r="P1829" s="139"/>
      <c r="R1829" s="139"/>
      <c r="S1829" s="139"/>
      <c r="T1829" s="139"/>
      <c r="U1829" s="139"/>
      <c r="V1829" s="139"/>
      <c r="W1829" s="139"/>
      <c r="X1829" s="139"/>
      <c r="Y1829" s="139"/>
      <c r="Z1829" s="139"/>
      <c r="AA1829" s="139"/>
      <c r="AB1829" s="139"/>
      <c r="AC1829" s="139"/>
      <c r="AD1829" s="139"/>
      <c r="AE1829" s="139"/>
      <c r="AF1829" s="139"/>
      <c r="AG1829" s="139"/>
      <c r="AH1829" s="139"/>
      <c r="AI1829" s="139"/>
      <c r="AJ1829" s="139"/>
      <c r="AK1829" s="139"/>
    </row>
    <row r="1830" spans="13:37" x14ac:dyDescent="0.25">
      <c r="M1830" s="139"/>
      <c r="N1830" s="139"/>
      <c r="O1830" s="139"/>
      <c r="P1830" s="139"/>
      <c r="R1830" s="139"/>
      <c r="S1830" s="139"/>
      <c r="T1830" s="139"/>
      <c r="U1830" s="139"/>
      <c r="V1830" s="139"/>
      <c r="W1830" s="139"/>
      <c r="X1830" s="139"/>
      <c r="Y1830" s="139"/>
      <c r="Z1830" s="139"/>
      <c r="AA1830" s="139"/>
      <c r="AB1830" s="139"/>
      <c r="AC1830" s="139"/>
      <c r="AD1830" s="139"/>
      <c r="AE1830" s="139"/>
      <c r="AF1830" s="139"/>
      <c r="AG1830" s="139"/>
      <c r="AH1830" s="139"/>
      <c r="AI1830" s="139"/>
      <c r="AJ1830" s="139"/>
      <c r="AK1830" s="139"/>
    </row>
    <row r="1831" spans="13:37" x14ac:dyDescent="0.25">
      <c r="M1831" s="139"/>
      <c r="N1831" s="139"/>
      <c r="O1831" s="139"/>
      <c r="P1831" s="139"/>
      <c r="R1831" s="139"/>
      <c r="S1831" s="139"/>
      <c r="T1831" s="139"/>
      <c r="U1831" s="139"/>
      <c r="V1831" s="139"/>
      <c r="W1831" s="139"/>
      <c r="X1831" s="139"/>
      <c r="Y1831" s="139"/>
      <c r="Z1831" s="139"/>
      <c r="AA1831" s="139"/>
      <c r="AB1831" s="139"/>
      <c r="AC1831" s="139"/>
      <c r="AD1831" s="139"/>
      <c r="AE1831" s="139"/>
      <c r="AF1831" s="139"/>
      <c r="AG1831" s="139"/>
      <c r="AH1831" s="139"/>
      <c r="AI1831" s="139"/>
      <c r="AJ1831" s="139"/>
      <c r="AK1831" s="139"/>
    </row>
    <row r="1832" spans="13:37" x14ac:dyDescent="0.25">
      <c r="M1832" s="139"/>
      <c r="N1832" s="139"/>
      <c r="O1832" s="139"/>
      <c r="P1832" s="139"/>
      <c r="R1832" s="139"/>
      <c r="S1832" s="139"/>
      <c r="T1832" s="139"/>
      <c r="U1832" s="139"/>
      <c r="V1832" s="139"/>
      <c r="W1832" s="139"/>
      <c r="X1832" s="139"/>
      <c r="Y1832" s="139"/>
      <c r="Z1832" s="139"/>
      <c r="AA1832" s="139"/>
      <c r="AB1832" s="139"/>
      <c r="AC1832" s="139"/>
      <c r="AD1832" s="139"/>
      <c r="AE1832" s="139"/>
      <c r="AF1832" s="139"/>
      <c r="AG1832" s="139"/>
      <c r="AH1832" s="139"/>
      <c r="AI1832" s="139"/>
      <c r="AJ1832" s="139"/>
      <c r="AK1832" s="139"/>
    </row>
    <row r="1833" spans="13:37" x14ac:dyDescent="0.25">
      <c r="M1833" s="139"/>
      <c r="N1833" s="139"/>
      <c r="O1833" s="139"/>
      <c r="P1833" s="139"/>
      <c r="R1833" s="139"/>
      <c r="S1833" s="139"/>
      <c r="T1833" s="139"/>
      <c r="U1833" s="139"/>
      <c r="V1833" s="139"/>
      <c r="W1833" s="139"/>
      <c r="X1833" s="139"/>
      <c r="Y1833" s="139"/>
      <c r="Z1833" s="139"/>
      <c r="AA1833" s="139"/>
      <c r="AB1833" s="139"/>
      <c r="AC1833" s="139"/>
      <c r="AD1833" s="139"/>
      <c r="AE1833" s="139"/>
      <c r="AF1833" s="139"/>
      <c r="AG1833" s="139"/>
      <c r="AH1833" s="139"/>
      <c r="AI1833" s="139"/>
      <c r="AJ1833" s="139"/>
      <c r="AK1833" s="139"/>
    </row>
    <row r="1834" spans="13:37" x14ac:dyDescent="0.25">
      <c r="M1834" s="139"/>
      <c r="N1834" s="139"/>
      <c r="O1834" s="139"/>
      <c r="P1834" s="139"/>
      <c r="R1834" s="139"/>
      <c r="S1834" s="139"/>
      <c r="T1834" s="139"/>
      <c r="U1834" s="139"/>
      <c r="V1834" s="139"/>
      <c r="W1834" s="139"/>
      <c r="X1834" s="139"/>
      <c r="Y1834" s="139"/>
      <c r="Z1834" s="139"/>
      <c r="AA1834" s="139"/>
      <c r="AB1834" s="139"/>
      <c r="AC1834" s="139"/>
      <c r="AD1834" s="139"/>
      <c r="AE1834" s="139"/>
      <c r="AF1834" s="139"/>
      <c r="AG1834" s="139"/>
      <c r="AH1834" s="139"/>
      <c r="AI1834" s="139"/>
      <c r="AJ1834" s="139"/>
      <c r="AK1834" s="139"/>
    </row>
    <row r="1835" spans="13:37" x14ac:dyDescent="0.25">
      <c r="M1835" s="139"/>
      <c r="N1835" s="139"/>
      <c r="O1835" s="139"/>
      <c r="P1835" s="139"/>
      <c r="R1835" s="139"/>
      <c r="S1835" s="139"/>
      <c r="T1835" s="139"/>
      <c r="U1835" s="139"/>
      <c r="V1835" s="139"/>
      <c r="W1835" s="139"/>
      <c r="X1835" s="139"/>
      <c r="Y1835" s="139"/>
      <c r="Z1835" s="139"/>
      <c r="AA1835" s="139"/>
      <c r="AB1835" s="139"/>
      <c r="AC1835" s="139"/>
      <c r="AD1835" s="139"/>
      <c r="AE1835" s="139"/>
      <c r="AF1835" s="139"/>
      <c r="AG1835" s="139"/>
      <c r="AH1835" s="139"/>
      <c r="AI1835" s="139"/>
      <c r="AJ1835" s="139"/>
      <c r="AK1835" s="139"/>
    </row>
    <row r="1836" spans="13:37" x14ac:dyDescent="0.25">
      <c r="M1836" s="139"/>
      <c r="N1836" s="139"/>
      <c r="O1836" s="139"/>
      <c r="P1836" s="139"/>
      <c r="R1836" s="139"/>
      <c r="S1836" s="139"/>
      <c r="T1836" s="139"/>
      <c r="U1836" s="139"/>
      <c r="V1836" s="139"/>
      <c r="W1836" s="139"/>
      <c r="X1836" s="139"/>
      <c r="Y1836" s="139"/>
      <c r="Z1836" s="139"/>
      <c r="AA1836" s="139"/>
      <c r="AB1836" s="139"/>
      <c r="AC1836" s="139"/>
      <c r="AD1836" s="139"/>
      <c r="AE1836" s="139"/>
      <c r="AF1836" s="139"/>
      <c r="AG1836" s="139"/>
      <c r="AH1836" s="139"/>
      <c r="AI1836" s="139"/>
      <c r="AJ1836" s="139"/>
      <c r="AK1836" s="139"/>
    </row>
    <row r="1837" spans="13:37" x14ac:dyDescent="0.25">
      <c r="M1837" s="139"/>
      <c r="N1837" s="139"/>
      <c r="O1837" s="139"/>
      <c r="P1837" s="139"/>
      <c r="R1837" s="139"/>
      <c r="S1837" s="139"/>
      <c r="T1837" s="139"/>
      <c r="U1837" s="139"/>
      <c r="V1837" s="139"/>
      <c r="W1837" s="139"/>
      <c r="X1837" s="139"/>
      <c r="Y1837" s="139"/>
      <c r="Z1837" s="139"/>
      <c r="AA1837" s="139"/>
      <c r="AB1837" s="139"/>
      <c r="AC1837" s="139"/>
      <c r="AD1837" s="139"/>
      <c r="AE1837" s="139"/>
      <c r="AF1837" s="139"/>
      <c r="AG1837" s="139"/>
      <c r="AH1837" s="139"/>
      <c r="AI1837" s="139"/>
      <c r="AJ1837" s="139"/>
      <c r="AK1837" s="139"/>
    </row>
    <row r="1838" spans="13:37" x14ac:dyDescent="0.25">
      <c r="M1838" s="139"/>
      <c r="N1838" s="139"/>
      <c r="O1838" s="139"/>
      <c r="P1838" s="139"/>
      <c r="R1838" s="139"/>
      <c r="S1838" s="139"/>
      <c r="T1838" s="139"/>
      <c r="U1838" s="139"/>
      <c r="V1838" s="139"/>
      <c r="W1838" s="139"/>
      <c r="X1838" s="139"/>
      <c r="Y1838" s="139"/>
      <c r="Z1838" s="139"/>
      <c r="AA1838" s="139"/>
      <c r="AB1838" s="139"/>
      <c r="AC1838" s="139"/>
      <c r="AD1838" s="139"/>
      <c r="AE1838" s="139"/>
      <c r="AF1838" s="139"/>
      <c r="AG1838" s="139"/>
      <c r="AH1838" s="139"/>
      <c r="AI1838" s="139"/>
      <c r="AJ1838" s="139"/>
      <c r="AK1838" s="139"/>
    </row>
    <row r="1839" spans="13:37" x14ac:dyDescent="0.25">
      <c r="M1839" s="139"/>
      <c r="N1839" s="139"/>
      <c r="O1839" s="139"/>
      <c r="P1839" s="139"/>
      <c r="R1839" s="139"/>
      <c r="S1839" s="139"/>
      <c r="T1839" s="139"/>
      <c r="U1839" s="139"/>
      <c r="V1839" s="139"/>
      <c r="W1839" s="139"/>
      <c r="X1839" s="139"/>
      <c r="Y1839" s="139"/>
      <c r="Z1839" s="139"/>
      <c r="AA1839" s="139"/>
      <c r="AB1839" s="139"/>
      <c r="AC1839" s="139"/>
      <c r="AD1839" s="139"/>
      <c r="AE1839" s="139"/>
      <c r="AF1839" s="139"/>
      <c r="AG1839" s="139"/>
      <c r="AH1839" s="139"/>
      <c r="AI1839" s="139"/>
      <c r="AJ1839" s="139"/>
      <c r="AK1839" s="139"/>
    </row>
    <row r="1840" spans="13:37" x14ac:dyDescent="0.25">
      <c r="M1840" s="139"/>
      <c r="N1840" s="139"/>
      <c r="O1840" s="139"/>
      <c r="P1840" s="139"/>
      <c r="R1840" s="139"/>
      <c r="S1840" s="139"/>
      <c r="T1840" s="139"/>
      <c r="U1840" s="139"/>
      <c r="V1840" s="139"/>
      <c r="W1840" s="139"/>
      <c r="X1840" s="139"/>
      <c r="Y1840" s="139"/>
      <c r="Z1840" s="139"/>
      <c r="AA1840" s="139"/>
      <c r="AB1840" s="139"/>
      <c r="AC1840" s="139"/>
      <c r="AD1840" s="139"/>
      <c r="AE1840" s="139"/>
      <c r="AF1840" s="139"/>
      <c r="AG1840" s="139"/>
      <c r="AH1840" s="139"/>
      <c r="AI1840" s="139"/>
      <c r="AJ1840" s="139"/>
      <c r="AK1840" s="139"/>
    </row>
    <row r="1841" spans="13:37" x14ac:dyDescent="0.25">
      <c r="M1841" s="139"/>
      <c r="N1841" s="139"/>
      <c r="O1841" s="139"/>
      <c r="P1841" s="139"/>
      <c r="R1841" s="139"/>
      <c r="S1841" s="139"/>
      <c r="T1841" s="139"/>
      <c r="U1841" s="139"/>
      <c r="V1841" s="139"/>
      <c r="W1841" s="139"/>
      <c r="X1841" s="139"/>
      <c r="Y1841" s="139"/>
      <c r="Z1841" s="139"/>
      <c r="AA1841" s="139"/>
      <c r="AB1841" s="139"/>
      <c r="AC1841" s="139"/>
      <c r="AD1841" s="139"/>
      <c r="AE1841" s="139"/>
      <c r="AF1841" s="139"/>
      <c r="AG1841" s="139"/>
      <c r="AH1841" s="139"/>
      <c r="AI1841" s="139"/>
      <c r="AJ1841" s="139"/>
      <c r="AK1841" s="139"/>
    </row>
    <row r="1842" spans="13:37" x14ac:dyDescent="0.25">
      <c r="M1842" s="139"/>
      <c r="N1842" s="139"/>
      <c r="O1842" s="139"/>
      <c r="P1842" s="139"/>
      <c r="R1842" s="139"/>
      <c r="S1842" s="139"/>
      <c r="T1842" s="139"/>
      <c r="U1842" s="139"/>
      <c r="V1842" s="139"/>
      <c r="W1842" s="139"/>
      <c r="X1842" s="139"/>
      <c r="Y1842" s="139"/>
      <c r="Z1842" s="139"/>
      <c r="AA1842" s="139"/>
      <c r="AB1842" s="139"/>
      <c r="AC1842" s="139"/>
      <c r="AD1842" s="139"/>
      <c r="AE1842" s="139"/>
      <c r="AF1842" s="139"/>
      <c r="AG1842" s="139"/>
      <c r="AH1842" s="139"/>
      <c r="AI1842" s="139"/>
      <c r="AJ1842" s="139"/>
      <c r="AK1842" s="139"/>
    </row>
    <row r="1843" spans="13:37" x14ac:dyDescent="0.25">
      <c r="M1843" s="139"/>
      <c r="N1843" s="139"/>
      <c r="O1843" s="139"/>
      <c r="P1843" s="139"/>
      <c r="R1843" s="139"/>
      <c r="S1843" s="139"/>
      <c r="T1843" s="139"/>
      <c r="U1843" s="139"/>
      <c r="V1843" s="139"/>
      <c r="W1843" s="139"/>
      <c r="X1843" s="139"/>
      <c r="Y1843" s="139"/>
      <c r="Z1843" s="139"/>
      <c r="AA1843" s="139"/>
      <c r="AB1843" s="139"/>
      <c r="AC1843" s="139"/>
      <c r="AD1843" s="139"/>
      <c r="AE1843" s="139"/>
      <c r="AF1843" s="139"/>
      <c r="AG1843" s="139"/>
      <c r="AH1843" s="139"/>
      <c r="AI1843" s="139"/>
      <c r="AJ1843" s="139"/>
      <c r="AK1843" s="139"/>
    </row>
    <row r="1844" spans="13:37" x14ac:dyDescent="0.25">
      <c r="M1844" s="139"/>
      <c r="N1844" s="139"/>
      <c r="O1844" s="139"/>
      <c r="P1844" s="139"/>
      <c r="R1844" s="139"/>
      <c r="S1844" s="139"/>
      <c r="T1844" s="139"/>
      <c r="U1844" s="139"/>
      <c r="V1844" s="139"/>
      <c r="W1844" s="139"/>
      <c r="X1844" s="139"/>
      <c r="Y1844" s="139"/>
      <c r="Z1844" s="139"/>
      <c r="AA1844" s="139"/>
      <c r="AB1844" s="139"/>
      <c r="AC1844" s="139"/>
      <c r="AD1844" s="139"/>
      <c r="AE1844" s="139"/>
      <c r="AF1844" s="139"/>
      <c r="AG1844" s="139"/>
      <c r="AH1844" s="139"/>
      <c r="AI1844" s="139"/>
      <c r="AJ1844" s="139"/>
      <c r="AK1844" s="139"/>
    </row>
    <row r="1845" spans="13:37" x14ac:dyDescent="0.25">
      <c r="M1845" s="139"/>
      <c r="N1845" s="139"/>
      <c r="O1845" s="139"/>
      <c r="P1845" s="139"/>
      <c r="R1845" s="139"/>
      <c r="S1845" s="139"/>
      <c r="T1845" s="139"/>
      <c r="U1845" s="139"/>
      <c r="V1845" s="139"/>
      <c r="W1845" s="139"/>
      <c r="X1845" s="139"/>
      <c r="Y1845" s="139"/>
      <c r="Z1845" s="139"/>
      <c r="AA1845" s="139"/>
      <c r="AB1845" s="139"/>
      <c r="AC1845" s="139"/>
      <c r="AD1845" s="139"/>
      <c r="AE1845" s="139"/>
      <c r="AF1845" s="139"/>
      <c r="AG1845" s="139"/>
      <c r="AH1845" s="139"/>
      <c r="AI1845" s="139"/>
      <c r="AJ1845" s="139"/>
      <c r="AK1845" s="139"/>
    </row>
    <row r="1846" spans="13:37" x14ac:dyDescent="0.25">
      <c r="M1846" s="139"/>
      <c r="N1846" s="139"/>
      <c r="O1846" s="139"/>
      <c r="P1846" s="139"/>
      <c r="R1846" s="139"/>
      <c r="S1846" s="139"/>
      <c r="T1846" s="139"/>
      <c r="U1846" s="139"/>
      <c r="V1846" s="139"/>
      <c r="W1846" s="139"/>
      <c r="X1846" s="139"/>
      <c r="Y1846" s="139"/>
      <c r="Z1846" s="139"/>
      <c r="AA1846" s="139"/>
      <c r="AB1846" s="139"/>
      <c r="AC1846" s="139"/>
      <c r="AD1846" s="139"/>
      <c r="AE1846" s="139"/>
      <c r="AF1846" s="139"/>
      <c r="AG1846" s="139"/>
      <c r="AH1846" s="139"/>
      <c r="AI1846" s="139"/>
      <c r="AJ1846" s="139"/>
      <c r="AK1846" s="139"/>
    </row>
    <row r="1847" spans="13:37" x14ac:dyDescent="0.25">
      <c r="M1847" s="139"/>
      <c r="N1847" s="139"/>
      <c r="O1847" s="139"/>
      <c r="P1847" s="139"/>
      <c r="R1847" s="139"/>
      <c r="S1847" s="139"/>
      <c r="T1847" s="139"/>
      <c r="U1847" s="139"/>
      <c r="V1847" s="139"/>
      <c r="W1847" s="139"/>
      <c r="X1847" s="139"/>
      <c r="Y1847" s="139"/>
      <c r="Z1847" s="139"/>
      <c r="AA1847" s="139"/>
      <c r="AB1847" s="139"/>
      <c r="AC1847" s="139"/>
      <c r="AD1847" s="139"/>
      <c r="AE1847" s="139"/>
      <c r="AF1847" s="139"/>
      <c r="AG1847" s="139"/>
      <c r="AH1847" s="139"/>
      <c r="AI1847" s="139"/>
      <c r="AJ1847" s="139"/>
      <c r="AK1847" s="139"/>
    </row>
    <row r="1848" spans="13:37" x14ac:dyDescent="0.25">
      <c r="M1848" s="139"/>
      <c r="N1848" s="139"/>
      <c r="O1848" s="139"/>
      <c r="P1848" s="139"/>
      <c r="R1848" s="139"/>
      <c r="S1848" s="139"/>
      <c r="T1848" s="139"/>
      <c r="U1848" s="139"/>
      <c r="V1848" s="139"/>
      <c r="W1848" s="139"/>
      <c r="X1848" s="139"/>
      <c r="Y1848" s="139"/>
      <c r="Z1848" s="139"/>
      <c r="AA1848" s="139"/>
      <c r="AB1848" s="139"/>
      <c r="AC1848" s="139"/>
      <c r="AD1848" s="139"/>
      <c r="AE1848" s="139"/>
      <c r="AF1848" s="139"/>
      <c r="AG1848" s="139"/>
      <c r="AH1848" s="139"/>
      <c r="AI1848" s="139"/>
      <c r="AJ1848" s="139"/>
      <c r="AK1848" s="139"/>
    </row>
    <row r="1849" spans="13:37" x14ac:dyDescent="0.25">
      <c r="M1849" s="139"/>
      <c r="N1849" s="139"/>
      <c r="O1849" s="139"/>
      <c r="P1849" s="139"/>
      <c r="R1849" s="139"/>
      <c r="S1849" s="139"/>
      <c r="T1849" s="139"/>
      <c r="U1849" s="139"/>
      <c r="V1849" s="139"/>
      <c r="W1849" s="139"/>
      <c r="X1849" s="139"/>
      <c r="Y1849" s="139"/>
      <c r="Z1849" s="139"/>
      <c r="AA1849" s="139"/>
      <c r="AB1849" s="139"/>
      <c r="AC1849" s="139"/>
      <c r="AD1849" s="139"/>
      <c r="AE1849" s="139"/>
      <c r="AF1849" s="139"/>
      <c r="AG1849" s="139"/>
      <c r="AH1849" s="139"/>
      <c r="AI1849" s="139"/>
      <c r="AJ1849" s="139"/>
      <c r="AK1849" s="139"/>
    </row>
    <row r="1850" spans="13:37" x14ac:dyDescent="0.25">
      <c r="M1850" s="139"/>
      <c r="N1850" s="139"/>
      <c r="O1850" s="139"/>
      <c r="P1850" s="139"/>
      <c r="R1850" s="139"/>
      <c r="S1850" s="139"/>
      <c r="T1850" s="139"/>
      <c r="U1850" s="139"/>
      <c r="V1850" s="139"/>
      <c r="W1850" s="139"/>
      <c r="X1850" s="139"/>
      <c r="Y1850" s="139"/>
      <c r="Z1850" s="139"/>
      <c r="AA1850" s="139"/>
      <c r="AB1850" s="139"/>
      <c r="AC1850" s="139"/>
      <c r="AD1850" s="139"/>
      <c r="AE1850" s="139"/>
      <c r="AF1850" s="139"/>
      <c r="AG1850" s="139"/>
      <c r="AH1850" s="139"/>
      <c r="AI1850" s="139"/>
      <c r="AJ1850" s="139"/>
      <c r="AK1850" s="139"/>
    </row>
    <row r="1851" spans="13:37" x14ac:dyDescent="0.25">
      <c r="M1851" s="139"/>
      <c r="N1851" s="139"/>
      <c r="O1851" s="139"/>
      <c r="P1851" s="139"/>
      <c r="R1851" s="139"/>
      <c r="S1851" s="139"/>
      <c r="T1851" s="139"/>
      <c r="U1851" s="139"/>
      <c r="V1851" s="139"/>
      <c r="W1851" s="139"/>
      <c r="X1851" s="139"/>
      <c r="Y1851" s="139"/>
      <c r="Z1851" s="139"/>
      <c r="AA1851" s="139"/>
      <c r="AB1851" s="139"/>
      <c r="AC1851" s="139"/>
      <c r="AD1851" s="139"/>
      <c r="AE1851" s="139"/>
      <c r="AF1851" s="139"/>
      <c r="AG1851" s="139"/>
      <c r="AH1851" s="139"/>
      <c r="AI1851" s="139"/>
      <c r="AJ1851" s="139"/>
      <c r="AK1851" s="139"/>
    </row>
    <row r="1852" spans="13:37" x14ac:dyDescent="0.25">
      <c r="M1852" s="139"/>
      <c r="N1852" s="139"/>
      <c r="O1852" s="139"/>
      <c r="P1852" s="139"/>
      <c r="R1852" s="139"/>
      <c r="S1852" s="139"/>
      <c r="T1852" s="139"/>
      <c r="U1852" s="139"/>
      <c r="V1852" s="139"/>
      <c r="W1852" s="139"/>
      <c r="X1852" s="139"/>
      <c r="Y1852" s="139"/>
      <c r="Z1852" s="139"/>
      <c r="AA1852" s="139"/>
      <c r="AB1852" s="139"/>
      <c r="AC1852" s="139"/>
      <c r="AD1852" s="139"/>
      <c r="AE1852" s="139"/>
      <c r="AF1852" s="139"/>
      <c r="AG1852" s="139"/>
      <c r="AH1852" s="139"/>
      <c r="AI1852" s="139"/>
      <c r="AJ1852" s="139"/>
      <c r="AK1852" s="139"/>
    </row>
    <row r="1853" spans="13:37" x14ac:dyDescent="0.25">
      <c r="M1853" s="139"/>
      <c r="N1853" s="139"/>
      <c r="O1853" s="139"/>
      <c r="P1853" s="139"/>
      <c r="R1853" s="139"/>
      <c r="S1853" s="139"/>
      <c r="T1853" s="139"/>
      <c r="U1853" s="139"/>
      <c r="V1853" s="139"/>
      <c r="W1853" s="139"/>
      <c r="X1853" s="139"/>
      <c r="Y1853" s="139"/>
      <c r="Z1853" s="139"/>
      <c r="AA1853" s="139"/>
      <c r="AB1853" s="139"/>
      <c r="AC1853" s="139"/>
      <c r="AD1853" s="139"/>
      <c r="AE1853" s="139"/>
      <c r="AF1853" s="139"/>
      <c r="AG1853" s="139"/>
      <c r="AH1853" s="139"/>
      <c r="AI1853" s="139"/>
      <c r="AJ1853" s="139"/>
      <c r="AK1853" s="139"/>
    </row>
    <row r="1854" spans="13:37" x14ac:dyDescent="0.25">
      <c r="M1854" s="139"/>
      <c r="N1854" s="139"/>
      <c r="O1854" s="139"/>
      <c r="P1854" s="139"/>
      <c r="R1854" s="139"/>
      <c r="S1854" s="139"/>
      <c r="T1854" s="139"/>
      <c r="U1854" s="139"/>
      <c r="V1854" s="139"/>
      <c r="W1854" s="139"/>
      <c r="X1854" s="139"/>
      <c r="Y1854" s="139"/>
      <c r="Z1854" s="139"/>
      <c r="AA1854" s="139"/>
      <c r="AB1854" s="139"/>
      <c r="AC1854" s="139"/>
      <c r="AD1854" s="139"/>
      <c r="AE1854" s="139"/>
      <c r="AF1854" s="139"/>
      <c r="AG1854" s="139"/>
      <c r="AH1854" s="139"/>
      <c r="AI1854" s="139"/>
      <c r="AJ1854" s="139"/>
      <c r="AK1854" s="139"/>
    </row>
    <row r="1855" spans="13:37" x14ac:dyDescent="0.25">
      <c r="M1855" s="139"/>
      <c r="N1855" s="139"/>
      <c r="O1855" s="139"/>
      <c r="P1855" s="139"/>
      <c r="R1855" s="139"/>
      <c r="S1855" s="139"/>
      <c r="T1855" s="139"/>
      <c r="U1855" s="139"/>
      <c r="V1855" s="139"/>
      <c r="W1855" s="139"/>
      <c r="X1855" s="139"/>
      <c r="Y1855" s="139"/>
      <c r="Z1855" s="139"/>
      <c r="AA1855" s="139"/>
      <c r="AB1855" s="139"/>
      <c r="AC1855" s="139"/>
      <c r="AD1855" s="139"/>
      <c r="AE1855" s="139"/>
      <c r="AF1855" s="139"/>
      <c r="AG1855" s="139"/>
      <c r="AH1855" s="139"/>
      <c r="AI1855" s="139"/>
      <c r="AJ1855" s="139"/>
      <c r="AK1855" s="139"/>
    </row>
    <row r="1856" spans="13:37" x14ac:dyDescent="0.25">
      <c r="M1856" s="139"/>
      <c r="N1856" s="139"/>
      <c r="O1856" s="139"/>
      <c r="P1856" s="139"/>
      <c r="R1856" s="139"/>
      <c r="S1856" s="139"/>
      <c r="T1856" s="139"/>
      <c r="U1856" s="139"/>
      <c r="V1856" s="139"/>
      <c r="W1856" s="139"/>
      <c r="X1856" s="139"/>
      <c r="Y1856" s="139"/>
      <c r="Z1856" s="139"/>
      <c r="AA1856" s="139"/>
      <c r="AB1856" s="139"/>
      <c r="AC1856" s="139"/>
      <c r="AD1856" s="139"/>
      <c r="AE1856" s="139"/>
      <c r="AF1856" s="139"/>
      <c r="AG1856" s="139"/>
      <c r="AH1856" s="139"/>
      <c r="AI1856" s="139"/>
      <c r="AJ1856" s="139"/>
      <c r="AK1856" s="139"/>
    </row>
    <row r="1857" spans="13:37" x14ac:dyDescent="0.25">
      <c r="M1857" s="139"/>
      <c r="N1857" s="139"/>
      <c r="O1857" s="139"/>
      <c r="P1857" s="139"/>
      <c r="R1857" s="139"/>
      <c r="S1857" s="139"/>
      <c r="T1857" s="139"/>
      <c r="U1857" s="139"/>
      <c r="V1857" s="139"/>
      <c r="W1857" s="139"/>
      <c r="X1857" s="139"/>
      <c r="Y1857" s="139"/>
      <c r="Z1857" s="139"/>
      <c r="AA1857" s="139"/>
      <c r="AB1857" s="139"/>
      <c r="AC1857" s="139"/>
      <c r="AD1857" s="139"/>
      <c r="AE1857" s="139"/>
      <c r="AF1857" s="139"/>
      <c r="AG1857" s="139"/>
      <c r="AH1857" s="139"/>
      <c r="AI1857" s="139"/>
      <c r="AJ1857" s="139"/>
      <c r="AK1857" s="139"/>
    </row>
    <row r="1858" spans="13:37" x14ac:dyDescent="0.25">
      <c r="M1858" s="139"/>
      <c r="N1858" s="139"/>
      <c r="O1858" s="139"/>
      <c r="P1858" s="139"/>
      <c r="R1858" s="139"/>
      <c r="S1858" s="139"/>
      <c r="T1858" s="139"/>
      <c r="U1858" s="139"/>
      <c r="V1858" s="139"/>
      <c r="W1858" s="139"/>
      <c r="X1858" s="139"/>
      <c r="Y1858" s="139"/>
      <c r="Z1858" s="139"/>
      <c r="AA1858" s="139"/>
      <c r="AB1858" s="139"/>
      <c r="AC1858" s="139"/>
      <c r="AD1858" s="139"/>
      <c r="AE1858" s="139"/>
      <c r="AF1858" s="139"/>
      <c r="AG1858" s="139"/>
      <c r="AH1858" s="139"/>
      <c r="AI1858" s="139"/>
      <c r="AJ1858" s="139"/>
      <c r="AK1858" s="139"/>
    </row>
    <row r="1859" spans="13:37" x14ac:dyDescent="0.25">
      <c r="M1859" s="139"/>
      <c r="N1859" s="139"/>
      <c r="O1859" s="139"/>
      <c r="P1859" s="139"/>
      <c r="R1859" s="139"/>
      <c r="S1859" s="139"/>
      <c r="T1859" s="139"/>
      <c r="U1859" s="139"/>
      <c r="V1859" s="139"/>
      <c r="W1859" s="139"/>
      <c r="X1859" s="139"/>
      <c r="Y1859" s="139"/>
      <c r="Z1859" s="139"/>
      <c r="AA1859" s="139"/>
      <c r="AB1859" s="139"/>
      <c r="AC1859" s="139"/>
      <c r="AD1859" s="139"/>
      <c r="AE1859" s="139"/>
      <c r="AF1859" s="139"/>
      <c r="AG1859" s="139"/>
      <c r="AH1859" s="139"/>
      <c r="AI1859" s="139"/>
      <c r="AJ1859" s="139"/>
      <c r="AK1859" s="139"/>
    </row>
    <row r="1860" spans="13:37" x14ac:dyDescent="0.25">
      <c r="M1860" s="139"/>
      <c r="N1860" s="139"/>
      <c r="O1860" s="139"/>
      <c r="P1860" s="139"/>
      <c r="R1860" s="139"/>
      <c r="S1860" s="139"/>
      <c r="T1860" s="139"/>
      <c r="U1860" s="139"/>
      <c r="V1860" s="139"/>
      <c r="W1860" s="139"/>
      <c r="X1860" s="139"/>
      <c r="Y1860" s="139"/>
      <c r="Z1860" s="139"/>
      <c r="AA1860" s="139"/>
      <c r="AB1860" s="139"/>
      <c r="AC1860" s="139"/>
      <c r="AD1860" s="139"/>
      <c r="AE1860" s="139"/>
      <c r="AF1860" s="139"/>
      <c r="AG1860" s="139"/>
      <c r="AH1860" s="139"/>
      <c r="AI1860" s="139"/>
      <c r="AJ1860" s="139"/>
      <c r="AK1860" s="139"/>
    </row>
    <row r="1861" spans="13:37" x14ac:dyDescent="0.25">
      <c r="M1861" s="139"/>
      <c r="N1861" s="139"/>
      <c r="O1861" s="139"/>
      <c r="P1861" s="139"/>
      <c r="R1861" s="139"/>
      <c r="S1861" s="139"/>
      <c r="T1861" s="139"/>
      <c r="U1861" s="139"/>
      <c r="V1861" s="139"/>
      <c r="W1861" s="139"/>
      <c r="X1861" s="139"/>
      <c r="Y1861" s="139"/>
      <c r="Z1861" s="139"/>
      <c r="AA1861" s="139"/>
      <c r="AB1861" s="139"/>
      <c r="AC1861" s="139"/>
      <c r="AD1861" s="139"/>
      <c r="AE1861" s="139"/>
      <c r="AF1861" s="139"/>
      <c r="AG1861" s="139"/>
      <c r="AH1861" s="139"/>
      <c r="AI1861" s="139"/>
      <c r="AJ1861" s="139"/>
      <c r="AK1861" s="139"/>
    </row>
    <row r="1862" spans="13:37" x14ac:dyDescent="0.25">
      <c r="M1862" s="139"/>
      <c r="N1862" s="139"/>
      <c r="O1862" s="139"/>
      <c r="P1862" s="139"/>
      <c r="R1862" s="139"/>
      <c r="S1862" s="139"/>
      <c r="T1862" s="139"/>
      <c r="U1862" s="139"/>
      <c r="V1862" s="139"/>
      <c r="W1862" s="139"/>
      <c r="X1862" s="139"/>
      <c r="Y1862" s="139"/>
      <c r="Z1862" s="139"/>
      <c r="AA1862" s="139"/>
      <c r="AB1862" s="139"/>
      <c r="AC1862" s="139"/>
      <c r="AD1862" s="139"/>
      <c r="AE1862" s="139"/>
      <c r="AF1862" s="139"/>
      <c r="AG1862" s="139"/>
      <c r="AH1862" s="139"/>
      <c r="AI1862" s="139"/>
      <c r="AJ1862" s="139"/>
      <c r="AK1862" s="139"/>
    </row>
    <row r="1863" spans="13:37" x14ac:dyDescent="0.25">
      <c r="M1863" s="139"/>
      <c r="N1863" s="139"/>
      <c r="O1863" s="139"/>
      <c r="P1863" s="139"/>
      <c r="R1863" s="139"/>
      <c r="S1863" s="139"/>
      <c r="T1863" s="139"/>
      <c r="U1863" s="139"/>
      <c r="V1863" s="139"/>
      <c r="W1863" s="139"/>
      <c r="X1863" s="139"/>
      <c r="Y1863" s="139"/>
      <c r="Z1863" s="139"/>
      <c r="AA1863" s="139"/>
      <c r="AB1863" s="139"/>
      <c r="AC1863" s="139"/>
      <c r="AD1863" s="139"/>
      <c r="AE1863" s="139"/>
      <c r="AF1863" s="139"/>
      <c r="AG1863" s="139"/>
      <c r="AH1863" s="139"/>
      <c r="AI1863" s="139"/>
      <c r="AJ1863" s="139"/>
      <c r="AK1863" s="139"/>
    </row>
    <row r="1864" spans="13:37" x14ac:dyDescent="0.25">
      <c r="M1864" s="139"/>
      <c r="N1864" s="139"/>
      <c r="O1864" s="139"/>
      <c r="P1864" s="139"/>
      <c r="R1864" s="139"/>
      <c r="S1864" s="139"/>
      <c r="T1864" s="139"/>
      <c r="U1864" s="139"/>
      <c r="V1864" s="139"/>
      <c r="W1864" s="139"/>
      <c r="X1864" s="139"/>
      <c r="Y1864" s="139"/>
      <c r="Z1864" s="139"/>
      <c r="AA1864" s="139"/>
      <c r="AB1864" s="139"/>
      <c r="AC1864" s="139"/>
      <c r="AD1864" s="139"/>
      <c r="AE1864" s="139"/>
      <c r="AF1864" s="139"/>
      <c r="AG1864" s="139"/>
      <c r="AH1864" s="139"/>
      <c r="AI1864" s="139"/>
      <c r="AJ1864" s="139"/>
      <c r="AK1864" s="139"/>
    </row>
    <row r="1865" spans="13:37" x14ac:dyDescent="0.25">
      <c r="M1865" s="139"/>
      <c r="N1865" s="139"/>
      <c r="O1865" s="139"/>
      <c r="P1865" s="139"/>
      <c r="R1865" s="139"/>
      <c r="S1865" s="139"/>
      <c r="T1865" s="139"/>
      <c r="U1865" s="139"/>
      <c r="V1865" s="139"/>
      <c r="W1865" s="139"/>
      <c r="X1865" s="139"/>
      <c r="Y1865" s="139"/>
      <c r="Z1865" s="139"/>
      <c r="AA1865" s="139"/>
      <c r="AB1865" s="139"/>
      <c r="AC1865" s="139"/>
      <c r="AD1865" s="139"/>
      <c r="AE1865" s="139"/>
      <c r="AF1865" s="139"/>
      <c r="AG1865" s="139"/>
      <c r="AH1865" s="139"/>
      <c r="AI1865" s="139"/>
      <c r="AJ1865" s="139"/>
      <c r="AK1865" s="139"/>
    </row>
    <row r="1866" spans="13:37" x14ac:dyDescent="0.25">
      <c r="M1866" s="139"/>
      <c r="N1866" s="139"/>
      <c r="O1866" s="139"/>
      <c r="P1866" s="139"/>
      <c r="R1866" s="139"/>
      <c r="S1866" s="139"/>
      <c r="T1866" s="139"/>
      <c r="U1866" s="139"/>
      <c r="V1866" s="139"/>
      <c r="W1866" s="139"/>
      <c r="X1866" s="139"/>
      <c r="Y1866" s="139"/>
      <c r="Z1866" s="139"/>
      <c r="AA1866" s="139"/>
      <c r="AB1866" s="139"/>
      <c r="AC1866" s="139"/>
      <c r="AD1866" s="139"/>
      <c r="AE1866" s="139"/>
      <c r="AF1866" s="139"/>
      <c r="AG1866" s="139"/>
      <c r="AH1866" s="139"/>
      <c r="AI1866" s="139"/>
      <c r="AJ1866" s="139"/>
      <c r="AK1866" s="139"/>
    </row>
    <row r="1867" spans="13:37" x14ac:dyDescent="0.25">
      <c r="M1867" s="139"/>
      <c r="N1867" s="139"/>
      <c r="O1867" s="139"/>
      <c r="P1867" s="139"/>
      <c r="R1867" s="139"/>
      <c r="S1867" s="139"/>
      <c r="T1867" s="139"/>
      <c r="U1867" s="139"/>
      <c r="V1867" s="139"/>
      <c r="W1867" s="139"/>
      <c r="X1867" s="139"/>
      <c r="Y1867" s="139"/>
      <c r="Z1867" s="139"/>
      <c r="AA1867" s="139"/>
      <c r="AB1867" s="139"/>
      <c r="AC1867" s="139"/>
      <c r="AD1867" s="139"/>
      <c r="AE1867" s="139"/>
      <c r="AF1867" s="139"/>
      <c r="AG1867" s="139"/>
      <c r="AH1867" s="139"/>
      <c r="AI1867" s="139"/>
      <c r="AJ1867" s="139"/>
      <c r="AK1867" s="139"/>
    </row>
    <row r="1868" spans="13:37" x14ac:dyDescent="0.25">
      <c r="M1868" s="139"/>
      <c r="N1868" s="139"/>
      <c r="O1868" s="139"/>
      <c r="P1868" s="139"/>
      <c r="R1868" s="139"/>
      <c r="S1868" s="139"/>
      <c r="T1868" s="139"/>
      <c r="U1868" s="139"/>
      <c r="V1868" s="139"/>
      <c r="W1868" s="139"/>
      <c r="X1868" s="139"/>
      <c r="Y1868" s="139"/>
      <c r="Z1868" s="139"/>
      <c r="AA1868" s="139"/>
      <c r="AB1868" s="139"/>
      <c r="AC1868" s="139"/>
      <c r="AD1868" s="139"/>
      <c r="AE1868" s="139"/>
      <c r="AF1868" s="139"/>
      <c r="AG1868" s="139"/>
      <c r="AH1868" s="139"/>
      <c r="AI1868" s="139"/>
      <c r="AJ1868" s="139"/>
      <c r="AK1868" s="139"/>
    </row>
    <row r="1869" spans="13:37" x14ac:dyDescent="0.25">
      <c r="M1869" s="139"/>
      <c r="N1869" s="139"/>
      <c r="O1869" s="139"/>
      <c r="P1869" s="139"/>
      <c r="R1869" s="139"/>
      <c r="S1869" s="139"/>
      <c r="T1869" s="139"/>
      <c r="U1869" s="139"/>
      <c r="V1869" s="139"/>
      <c r="W1869" s="139"/>
      <c r="X1869" s="139"/>
      <c r="Y1869" s="139"/>
      <c r="Z1869" s="139"/>
      <c r="AA1869" s="139"/>
      <c r="AB1869" s="139"/>
      <c r="AC1869" s="139"/>
      <c r="AD1869" s="139"/>
      <c r="AE1869" s="139"/>
      <c r="AF1869" s="139"/>
      <c r="AG1869" s="139"/>
      <c r="AH1869" s="139"/>
      <c r="AI1869" s="139"/>
      <c r="AJ1869" s="139"/>
      <c r="AK1869" s="139"/>
    </row>
    <row r="1870" spans="13:37" x14ac:dyDescent="0.25">
      <c r="M1870" s="139"/>
      <c r="N1870" s="139"/>
      <c r="O1870" s="139"/>
      <c r="P1870" s="139"/>
      <c r="R1870" s="139"/>
      <c r="S1870" s="139"/>
      <c r="T1870" s="139"/>
      <c r="U1870" s="139"/>
      <c r="V1870" s="139"/>
      <c r="W1870" s="139"/>
      <c r="X1870" s="139"/>
      <c r="Y1870" s="139"/>
      <c r="Z1870" s="139"/>
      <c r="AA1870" s="139"/>
      <c r="AB1870" s="139"/>
      <c r="AC1870" s="139"/>
      <c r="AD1870" s="139"/>
      <c r="AE1870" s="139"/>
      <c r="AF1870" s="139"/>
      <c r="AG1870" s="139"/>
      <c r="AH1870" s="139"/>
      <c r="AI1870" s="139"/>
      <c r="AJ1870" s="139"/>
      <c r="AK1870" s="139"/>
    </row>
    <row r="1871" spans="13:37" x14ac:dyDescent="0.25">
      <c r="M1871" s="139"/>
      <c r="N1871" s="139"/>
      <c r="O1871" s="139"/>
      <c r="P1871" s="139"/>
      <c r="R1871" s="139"/>
      <c r="S1871" s="139"/>
      <c r="T1871" s="139"/>
      <c r="U1871" s="139"/>
      <c r="V1871" s="139"/>
      <c r="W1871" s="139"/>
      <c r="X1871" s="139"/>
      <c r="Y1871" s="139"/>
      <c r="Z1871" s="139"/>
      <c r="AA1871" s="139"/>
      <c r="AB1871" s="139"/>
      <c r="AC1871" s="139"/>
      <c r="AD1871" s="139"/>
      <c r="AE1871" s="139"/>
      <c r="AF1871" s="139"/>
      <c r="AG1871" s="139"/>
      <c r="AH1871" s="139"/>
      <c r="AI1871" s="139"/>
      <c r="AJ1871" s="139"/>
      <c r="AK1871" s="139"/>
    </row>
    <row r="1872" spans="13:37" x14ac:dyDescent="0.25">
      <c r="M1872" s="139"/>
      <c r="N1872" s="139"/>
      <c r="O1872" s="139"/>
      <c r="P1872" s="139"/>
      <c r="R1872" s="139"/>
      <c r="S1872" s="139"/>
      <c r="T1872" s="139"/>
      <c r="U1872" s="139"/>
      <c r="V1872" s="139"/>
      <c r="W1872" s="139"/>
      <c r="X1872" s="139"/>
      <c r="Y1872" s="139"/>
      <c r="Z1872" s="139"/>
      <c r="AA1872" s="139"/>
      <c r="AB1872" s="139"/>
      <c r="AC1872" s="139"/>
      <c r="AD1872" s="139"/>
      <c r="AE1872" s="139"/>
      <c r="AF1872" s="139"/>
      <c r="AG1872" s="139"/>
      <c r="AH1872" s="139"/>
      <c r="AI1872" s="139"/>
      <c r="AJ1872" s="139"/>
      <c r="AK1872" s="139"/>
    </row>
    <row r="1873" spans="13:37" x14ac:dyDescent="0.25">
      <c r="M1873" s="139"/>
      <c r="N1873" s="139"/>
      <c r="O1873" s="139"/>
      <c r="P1873" s="139"/>
      <c r="R1873" s="139"/>
      <c r="S1873" s="139"/>
      <c r="T1873" s="139"/>
      <c r="U1873" s="139"/>
      <c r="V1873" s="139"/>
      <c r="W1873" s="139"/>
      <c r="X1873" s="139"/>
      <c r="Y1873" s="139"/>
      <c r="Z1873" s="139"/>
      <c r="AA1873" s="139"/>
      <c r="AB1873" s="139"/>
      <c r="AC1873" s="139"/>
      <c r="AD1873" s="139"/>
      <c r="AE1873" s="139"/>
      <c r="AF1873" s="139"/>
      <c r="AG1873" s="139"/>
      <c r="AH1873" s="139"/>
      <c r="AI1873" s="139"/>
      <c r="AJ1873" s="139"/>
      <c r="AK1873" s="139"/>
    </row>
    <row r="1874" spans="13:37" x14ac:dyDescent="0.25">
      <c r="M1874" s="139"/>
      <c r="N1874" s="139"/>
      <c r="O1874" s="139"/>
      <c r="P1874" s="139"/>
      <c r="R1874" s="139"/>
      <c r="S1874" s="139"/>
      <c r="T1874" s="139"/>
      <c r="U1874" s="139"/>
      <c r="V1874" s="139"/>
      <c r="W1874" s="139"/>
      <c r="X1874" s="139"/>
      <c r="Y1874" s="139"/>
      <c r="Z1874" s="139"/>
      <c r="AA1874" s="139"/>
      <c r="AB1874" s="139"/>
      <c r="AC1874" s="139"/>
      <c r="AD1874" s="139"/>
      <c r="AE1874" s="139"/>
      <c r="AF1874" s="139"/>
      <c r="AG1874" s="139"/>
      <c r="AH1874" s="139"/>
      <c r="AI1874" s="139"/>
      <c r="AJ1874" s="139"/>
      <c r="AK1874" s="139"/>
    </row>
    <row r="1875" spans="13:37" x14ac:dyDescent="0.25">
      <c r="M1875" s="139"/>
      <c r="N1875" s="139"/>
      <c r="O1875" s="139"/>
      <c r="P1875" s="139"/>
      <c r="R1875" s="139"/>
      <c r="S1875" s="139"/>
      <c r="T1875" s="139"/>
      <c r="U1875" s="139"/>
      <c r="V1875" s="139"/>
      <c r="W1875" s="139"/>
      <c r="X1875" s="139"/>
      <c r="Y1875" s="139"/>
      <c r="Z1875" s="139"/>
      <c r="AA1875" s="139"/>
      <c r="AB1875" s="139"/>
      <c r="AC1875" s="139"/>
      <c r="AD1875" s="139"/>
      <c r="AE1875" s="139"/>
      <c r="AF1875" s="139"/>
      <c r="AG1875" s="139"/>
      <c r="AH1875" s="139"/>
      <c r="AI1875" s="139"/>
      <c r="AJ1875" s="139"/>
      <c r="AK1875" s="139"/>
    </row>
    <row r="1876" spans="13:37" x14ac:dyDescent="0.25">
      <c r="M1876" s="139"/>
      <c r="N1876" s="139"/>
      <c r="O1876" s="139"/>
      <c r="P1876" s="139"/>
      <c r="R1876" s="139"/>
      <c r="S1876" s="139"/>
      <c r="T1876" s="139"/>
      <c r="U1876" s="139"/>
      <c r="V1876" s="139"/>
      <c r="W1876" s="139"/>
      <c r="X1876" s="139"/>
      <c r="Y1876" s="139"/>
      <c r="Z1876" s="139"/>
      <c r="AA1876" s="139"/>
      <c r="AB1876" s="139"/>
      <c r="AC1876" s="139"/>
      <c r="AD1876" s="139"/>
      <c r="AE1876" s="139"/>
      <c r="AF1876" s="139"/>
      <c r="AG1876" s="139"/>
      <c r="AH1876" s="139"/>
      <c r="AI1876" s="139"/>
      <c r="AJ1876" s="139"/>
      <c r="AK1876" s="139"/>
    </row>
    <row r="1877" spans="13:37" x14ac:dyDescent="0.25">
      <c r="M1877" s="139"/>
      <c r="N1877" s="139"/>
      <c r="O1877" s="139"/>
      <c r="P1877" s="139"/>
      <c r="R1877" s="139"/>
      <c r="S1877" s="139"/>
      <c r="T1877" s="139"/>
      <c r="U1877" s="139"/>
      <c r="V1877" s="139"/>
      <c r="W1877" s="139"/>
      <c r="X1877" s="139"/>
      <c r="Y1877" s="139"/>
      <c r="Z1877" s="139"/>
      <c r="AA1877" s="139"/>
      <c r="AB1877" s="139"/>
      <c r="AC1877" s="139"/>
      <c r="AD1877" s="139"/>
      <c r="AE1877" s="139"/>
      <c r="AF1877" s="139"/>
      <c r="AG1877" s="139"/>
      <c r="AH1877" s="139"/>
      <c r="AI1877" s="139"/>
      <c r="AJ1877" s="139"/>
      <c r="AK1877" s="139"/>
    </row>
    <row r="1878" spans="13:37" x14ac:dyDescent="0.25">
      <c r="M1878" s="139"/>
      <c r="N1878" s="139"/>
      <c r="O1878" s="139"/>
      <c r="P1878" s="139"/>
      <c r="R1878" s="139"/>
      <c r="S1878" s="139"/>
      <c r="T1878" s="139"/>
      <c r="U1878" s="139"/>
      <c r="V1878" s="139"/>
      <c r="W1878" s="139"/>
      <c r="X1878" s="139"/>
      <c r="Y1878" s="139"/>
      <c r="Z1878" s="139"/>
      <c r="AA1878" s="139"/>
      <c r="AB1878" s="139"/>
      <c r="AC1878" s="139"/>
      <c r="AD1878" s="139"/>
      <c r="AE1878" s="139"/>
      <c r="AF1878" s="139"/>
      <c r="AG1878" s="139"/>
      <c r="AH1878" s="139"/>
      <c r="AI1878" s="139"/>
      <c r="AJ1878" s="139"/>
      <c r="AK1878" s="139"/>
    </row>
    <row r="1879" spans="13:37" x14ac:dyDescent="0.25">
      <c r="M1879" s="139"/>
      <c r="N1879" s="139"/>
      <c r="O1879" s="139"/>
      <c r="P1879" s="139"/>
      <c r="R1879" s="139"/>
      <c r="S1879" s="139"/>
      <c r="T1879" s="139"/>
      <c r="U1879" s="139"/>
      <c r="V1879" s="139"/>
      <c r="W1879" s="139"/>
      <c r="X1879" s="139"/>
      <c r="Y1879" s="139"/>
      <c r="Z1879" s="139"/>
      <c r="AA1879" s="139"/>
      <c r="AB1879" s="139"/>
      <c r="AC1879" s="139"/>
      <c r="AD1879" s="139"/>
      <c r="AE1879" s="139"/>
      <c r="AF1879" s="139"/>
      <c r="AG1879" s="139"/>
      <c r="AH1879" s="139"/>
      <c r="AI1879" s="139"/>
      <c r="AJ1879" s="139"/>
      <c r="AK1879" s="139"/>
    </row>
    <row r="1880" spans="13:37" x14ac:dyDescent="0.25">
      <c r="M1880" s="139"/>
      <c r="N1880" s="139"/>
      <c r="O1880" s="139"/>
      <c r="P1880" s="139"/>
      <c r="R1880" s="139"/>
      <c r="S1880" s="139"/>
      <c r="T1880" s="139"/>
      <c r="U1880" s="139"/>
      <c r="V1880" s="139"/>
      <c r="W1880" s="139"/>
      <c r="X1880" s="139"/>
      <c r="Y1880" s="139"/>
      <c r="Z1880" s="139"/>
      <c r="AA1880" s="139"/>
      <c r="AB1880" s="139"/>
      <c r="AC1880" s="139"/>
      <c r="AD1880" s="139"/>
      <c r="AE1880" s="139"/>
      <c r="AF1880" s="139"/>
      <c r="AG1880" s="139"/>
      <c r="AH1880" s="139"/>
      <c r="AI1880" s="139"/>
      <c r="AJ1880" s="139"/>
      <c r="AK1880" s="139"/>
    </row>
    <row r="1881" spans="13:37" x14ac:dyDescent="0.25">
      <c r="M1881" s="139"/>
      <c r="N1881" s="139"/>
      <c r="O1881" s="139"/>
      <c r="P1881" s="139"/>
      <c r="R1881" s="139"/>
      <c r="S1881" s="139"/>
      <c r="T1881" s="139"/>
      <c r="U1881" s="139"/>
      <c r="V1881" s="139"/>
      <c r="W1881" s="139"/>
      <c r="X1881" s="139"/>
      <c r="Y1881" s="139"/>
      <c r="Z1881" s="139"/>
      <c r="AA1881" s="139"/>
      <c r="AB1881" s="139"/>
      <c r="AC1881" s="139"/>
      <c r="AD1881" s="139"/>
      <c r="AE1881" s="139"/>
      <c r="AF1881" s="139"/>
      <c r="AG1881" s="139"/>
      <c r="AH1881" s="139"/>
      <c r="AI1881" s="139"/>
      <c r="AJ1881" s="139"/>
      <c r="AK1881" s="139"/>
    </row>
    <row r="1882" spans="13:37" x14ac:dyDescent="0.25">
      <c r="M1882" s="139"/>
      <c r="N1882" s="139"/>
      <c r="O1882" s="139"/>
      <c r="P1882" s="139"/>
      <c r="R1882" s="139"/>
      <c r="S1882" s="139"/>
      <c r="T1882" s="139"/>
      <c r="U1882" s="139"/>
      <c r="V1882" s="139"/>
      <c r="W1882" s="139"/>
      <c r="X1882" s="139"/>
      <c r="Y1882" s="139"/>
      <c r="Z1882" s="139"/>
      <c r="AA1882" s="139"/>
      <c r="AB1882" s="139"/>
      <c r="AC1882" s="139"/>
      <c r="AD1882" s="139"/>
      <c r="AE1882" s="139"/>
      <c r="AF1882" s="139"/>
      <c r="AG1882" s="139"/>
      <c r="AH1882" s="139"/>
      <c r="AI1882" s="139"/>
      <c r="AJ1882" s="139"/>
      <c r="AK1882" s="139"/>
    </row>
    <row r="1883" spans="13:37" x14ac:dyDescent="0.25">
      <c r="M1883" s="139"/>
      <c r="N1883" s="139"/>
      <c r="O1883" s="139"/>
      <c r="P1883" s="139"/>
      <c r="R1883" s="139"/>
      <c r="S1883" s="139"/>
      <c r="T1883" s="139"/>
      <c r="U1883" s="139"/>
      <c r="V1883" s="139"/>
      <c r="W1883" s="139"/>
      <c r="X1883" s="139"/>
      <c r="Y1883" s="139"/>
      <c r="Z1883" s="139"/>
      <c r="AA1883" s="139"/>
      <c r="AB1883" s="139"/>
      <c r="AC1883" s="139"/>
      <c r="AD1883" s="139"/>
      <c r="AE1883" s="139"/>
      <c r="AF1883" s="139"/>
      <c r="AG1883" s="139"/>
      <c r="AH1883" s="139"/>
      <c r="AI1883" s="139"/>
      <c r="AJ1883" s="139"/>
      <c r="AK1883" s="139"/>
    </row>
    <row r="1884" spans="13:37" x14ac:dyDescent="0.25">
      <c r="M1884" s="139"/>
      <c r="N1884" s="139"/>
      <c r="O1884" s="139"/>
      <c r="P1884" s="139"/>
      <c r="R1884" s="139"/>
      <c r="S1884" s="139"/>
      <c r="T1884" s="139"/>
      <c r="U1884" s="139"/>
      <c r="V1884" s="139"/>
      <c r="W1884" s="139"/>
      <c r="X1884" s="139"/>
      <c r="Y1884" s="139"/>
      <c r="Z1884" s="139"/>
      <c r="AA1884" s="139"/>
      <c r="AB1884" s="139"/>
      <c r="AC1884" s="139"/>
      <c r="AD1884" s="139"/>
      <c r="AE1884" s="139"/>
      <c r="AF1884" s="139"/>
      <c r="AG1884" s="139"/>
      <c r="AH1884" s="139"/>
      <c r="AI1884" s="139"/>
      <c r="AJ1884" s="139"/>
      <c r="AK1884" s="139"/>
    </row>
    <row r="1885" spans="13:37" x14ac:dyDescent="0.25">
      <c r="M1885" s="139"/>
      <c r="N1885" s="139"/>
      <c r="O1885" s="139"/>
      <c r="P1885" s="139"/>
      <c r="R1885" s="139"/>
      <c r="S1885" s="139"/>
      <c r="T1885" s="139"/>
      <c r="U1885" s="139"/>
      <c r="V1885" s="139"/>
      <c r="W1885" s="139"/>
      <c r="X1885" s="139"/>
      <c r="Y1885" s="139"/>
      <c r="Z1885" s="139"/>
      <c r="AA1885" s="139"/>
      <c r="AB1885" s="139"/>
      <c r="AC1885" s="139"/>
      <c r="AD1885" s="139"/>
      <c r="AE1885" s="139"/>
      <c r="AF1885" s="139"/>
      <c r="AG1885" s="139"/>
      <c r="AH1885" s="139"/>
      <c r="AI1885" s="139"/>
      <c r="AJ1885" s="139"/>
      <c r="AK1885" s="139"/>
    </row>
    <row r="1886" spans="13:37" x14ac:dyDescent="0.25">
      <c r="M1886" s="139"/>
      <c r="N1886" s="139"/>
      <c r="O1886" s="139"/>
      <c r="P1886" s="139"/>
      <c r="R1886" s="139"/>
      <c r="S1886" s="139"/>
      <c r="T1886" s="139"/>
      <c r="U1886" s="139"/>
      <c r="V1886" s="139"/>
      <c r="W1886" s="139"/>
      <c r="X1886" s="139"/>
      <c r="Y1886" s="139"/>
      <c r="Z1886" s="139"/>
      <c r="AA1886" s="139"/>
      <c r="AB1886" s="139"/>
      <c r="AC1886" s="139"/>
      <c r="AD1886" s="139"/>
      <c r="AE1886" s="139"/>
      <c r="AF1886" s="139"/>
      <c r="AG1886" s="139"/>
      <c r="AH1886" s="139"/>
      <c r="AI1886" s="139"/>
      <c r="AJ1886" s="139"/>
      <c r="AK1886" s="139"/>
    </row>
    <row r="1887" spans="13:37" x14ac:dyDescent="0.25">
      <c r="M1887" s="139"/>
      <c r="N1887" s="139"/>
      <c r="O1887" s="139"/>
      <c r="P1887" s="139"/>
      <c r="R1887" s="139"/>
      <c r="S1887" s="139"/>
      <c r="T1887" s="139"/>
      <c r="U1887" s="139"/>
      <c r="V1887" s="139"/>
      <c r="W1887" s="139"/>
      <c r="X1887" s="139"/>
      <c r="Y1887" s="139"/>
      <c r="Z1887" s="139"/>
      <c r="AA1887" s="139"/>
      <c r="AB1887" s="139"/>
      <c r="AC1887" s="139"/>
      <c r="AD1887" s="139"/>
      <c r="AE1887" s="139"/>
      <c r="AF1887" s="139"/>
      <c r="AG1887" s="139"/>
      <c r="AH1887" s="139"/>
      <c r="AI1887" s="139"/>
      <c r="AJ1887" s="139"/>
      <c r="AK1887" s="139"/>
    </row>
    <row r="1888" spans="13:37" x14ac:dyDescent="0.25">
      <c r="M1888" s="139"/>
      <c r="N1888" s="139"/>
      <c r="O1888" s="139"/>
      <c r="P1888" s="139"/>
      <c r="R1888" s="139"/>
      <c r="S1888" s="139"/>
      <c r="T1888" s="139"/>
      <c r="U1888" s="139"/>
      <c r="V1888" s="139"/>
      <c r="W1888" s="139"/>
      <c r="X1888" s="139"/>
      <c r="Y1888" s="139"/>
      <c r="Z1888" s="139"/>
      <c r="AA1888" s="139"/>
      <c r="AB1888" s="139"/>
      <c r="AC1888" s="139"/>
      <c r="AD1888" s="139"/>
      <c r="AE1888" s="139"/>
      <c r="AF1888" s="139"/>
      <c r="AG1888" s="139"/>
      <c r="AH1888" s="139"/>
      <c r="AI1888" s="139"/>
      <c r="AJ1888" s="139"/>
      <c r="AK1888" s="139"/>
    </row>
    <row r="1889" spans="13:37" x14ac:dyDescent="0.25">
      <c r="M1889" s="139"/>
      <c r="N1889" s="139"/>
      <c r="O1889" s="139"/>
      <c r="P1889" s="139"/>
      <c r="R1889" s="139"/>
      <c r="S1889" s="139"/>
      <c r="T1889" s="139"/>
      <c r="U1889" s="139"/>
      <c r="V1889" s="139"/>
      <c r="W1889" s="139"/>
      <c r="X1889" s="139"/>
      <c r="Y1889" s="139"/>
      <c r="Z1889" s="139"/>
      <c r="AA1889" s="139"/>
      <c r="AB1889" s="139"/>
      <c r="AC1889" s="139"/>
      <c r="AD1889" s="139"/>
      <c r="AE1889" s="139"/>
      <c r="AF1889" s="139"/>
      <c r="AG1889" s="139"/>
      <c r="AH1889" s="139"/>
      <c r="AI1889" s="139"/>
      <c r="AJ1889" s="139"/>
      <c r="AK1889" s="139"/>
    </row>
    <row r="1890" spans="13:37" x14ac:dyDescent="0.25">
      <c r="M1890" s="139"/>
      <c r="N1890" s="139"/>
      <c r="O1890" s="139"/>
      <c r="P1890" s="139"/>
      <c r="R1890" s="139"/>
      <c r="S1890" s="139"/>
      <c r="T1890" s="139"/>
      <c r="U1890" s="139"/>
      <c r="V1890" s="139"/>
      <c r="W1890" s="139"/>
      <c r="X1890" s="139"/>
      <c r="Y1890" s="139"/>
      <c r="Z1890" s="139"/>
      <c r="AA1890" s="139"/>
      <c r="AB1890" s="139"/>
      <c r="AC1890" s="139"/>
      <c r="AD1890" s="139"/>
      <c r="AE1890" s="139"/>
      <c r="AF1890" s="139"/>
      <c r="AG1890" s="139"/>
      <c r="AH1890" s="139"/>
      <c r="AI1890" s="139"/>
      <c r="AJ1890" s="139"/>
      <c r="AK1890" s="139"/>
    </row>
    <row r="1891" spans="13:37" x14ac:dyDescent="0.25">
      <c r="M1891" s="139"/>
      <c r="N1891" s="139"/>
      <c r="O1891" s="139"/>
      <c r="P1891" s="139"/>
      <c r="R1891" s="139"/>
      <c r="S1891" s="139"/>
      <c r="T1891" s="139"/>
      <c r="U1891" s="139"/>
      <c r="V1891" s="139"/>
      <c r="W1891" s="139"/>
      <c r="X1891" s="139"/>
      <c r="Y1891" s="139"/>
      <c r="Z1891" s="139"/>
      <c r="AA1891" s="139"/>
      <c r="AB1891" s="139"/>
      <c r="AC1891" s="139"/>
      <c r="AD1891" s="139"/>
      <c r="AE1891" s="139"/>
      <c r="AF1891" s="139"/>
      <c r="AG1891" s="139"/>
      <c r="AH1891" s="139"/>
      <c r="AI1891" s="139"/>
      <c r="AJ1891" s="139"/>
      <c r="AK1891" s="139"/>
    </row>
    <row r="1892" spans="13:37" x14ac:dyDescent="0.25">
      <c r="M1892" s="139"/>
      <c r="N1892" s="139"/>
      <c r="O1892" s="139"/>
      <c r="P1892" s="139"/>
      <c r="R1892" s="139"/>
      <c r="S1892" s="139"/>
      <c r="T1892" s="139"/>
      <c r="U1892" s="139"/>
      <c r="V1892" s="139"/>
      <c r="W1892" s="139"/>
      <c r="X1892" s="139"/>
      <c r="Y1892" s="139"/>
      <c r="Z1892" s="139"/>
      <c r="AA1892" s="139"/>
      <c r="AB1892" s="139"/>
      <c r="AC1892" s="139"/>
      <c r="AD1892" s="139"/>
      <c r="AE1892" s="139"/>
      <c r="AF1892" s="139"/>
      <c r="AG1892" s="139"/>
      <c r="AH1892" s="139"/>
      <c r="AI1892" s="139"/>
      <c r="AJ1892" s="139"/>
      <c r="AK1892" s="139"/>
    </row>
    <row r="1893" spans="13:37" x14ac:dyDescent="0.25">
      <c r="M1893" s="139"/>
      <c r="N1893" s="139"/>
      <c r="O1893" s="139"/>
      <c r="P1893" s="139"/>
      <c r="R1893" s="139"/>
      <c r="S1893" s="139"/>
      <c r="T1893" s="139"/>
      <c r="U1893" s="139"/>
      <c r="V1893" s="139"/>
      <c r="W1893" s="139"/>
      <c r="X1893" s="139"/>
      <c r="Y1893" s="139"/>
      <c r="Z1893" s="139"/>
      <c r="AA1893" s="139"/>
      <c r="AB1893" s="139"/>
      <c r="AC1893" s="139"/>
      <c r="AD1893" s="139"/>
      <c r="AE1893" s="139"/>
      <c r="AF1893" s="139"/>
      <c r="AG1893" s="139"/>
      <c r="AH1893" s="139"/>
      <c r="AI1893" s="139"/>
      <c r="AJ1893" s="139"/>
      <c r="AK1893" s="139"/>
    </row>
    <row r="1894" spans="13:37" x14ac:dyDescent="0.25">
      <c r="M1894" s="139"/>
      <c r="N1894" s="139"/>
      <c r="O1894" s="139"/>
      <c r="P1894" s="139"/>
      <c r="R1894" s="139"/>
      <c r="S1894" s="139"/>
      <c r="T1894" s="139"/>
      <c r="U1894" s="139"/>
      <c r="V1894" s="139"/>
      <c r="W1894" s="139"/>
      <c r="X1894" s="139"/>
      <c r="Y1894" s="139"/>
      <c r="Z1894" s="139"/>
      <c r="AA1894" s="139"/>
      <c r="AB1894" s="139"/>
      <c r="AC1894" s="139"/>
      <c r="AD1894" s="139"/>
      <c r="AE1894" s="139"/>
      <c r="AF1894" s="139"/>
      <c r="AG1894" s="139"/>
      <c r="AH1894" s="139"/>
      <c r="AI1894" s="139"/>
      <c r="AJ1894" s="139"/>
      <c r="AK1894" s="139"/>
    </row>
    <row r="1895" spans="13:37" x14ac:dyDescent="0.25">
      <c r="M1895" s="139"/>
      <c r="N1895" s="139"/>
      <c r="O1895" s="139"/>
      <c r="P1895" s="139"/>
      <c r="R1895" s="139"/>
      <c r="S1895" s="139"/>
      <c r="T1895" s="139"/>
      <c r="U1895" s="139"/>
      <c r="V1895" s="139"/>
      <c r="W1895" s="139"/>
      <c r="X1895" s="139"/>
      <c r="Y1895" s="139"/>
      <c r="Z1895" s="139"/>
      <c r="AA1895" s="139"/>
      <c r="AB1895" s="139"/>
      <c r="AC1895" s="139"/>
      <c r="AD1895" s="139"/>
      <c r="AE1895" s="139"/>
      <c r="AF1895" s="139"/>
      <c r="AG1895" s="139"/>
      <c r="AH1895" s="139"/>
      <c r="AI1895" s="139"/>
      <c r="AJ1895" s="139"/>
      <c r="AK1895" s="139"/>
    </row>
    <row r="1896" spans="13:37" x14ac:dyDescent="0.25">
      <c r="M1896" s="139"/>
      <c r="N1896" s="139"/>
      <c r="O1896" s="139"/>
      <c r="P1896" s="139"/>
      <c r="R1896" s="139"/>
      <c r="S1896" s="139"/>
      <c r="T1896" s="139"/>
      <c r="U1896" s="139"/>
      <c r="V1896" s="139"/>
      <c r="W1896" s="139"/>
      <c r="X1896" s="139"/>
      <c r="Y1896" s="139"/>
      <c r="Z1896" s="139"/>
      <c r="AA1896" s="139"/>
      <c r="AB1896" s="139"/>
      <c r="AC1896" s="139"/>
      <c r="AD1896" s="139"/>
      <c r="AE1896" s="139"/>
      <c r="AF1896" s="139"/>
      <c r="AG1896" s="139"/>
      <c r="AH1896" s="139"/>
      <c r="AI1896" s="139"/>
      <c r="AJ1896" s="139"/>
      <c r="AK1896" s="139"/>
    </row>
    <row r="1897" spans="13:37" x14ac:dyDescent="0.25">
      <c r="M1897" s="139"/>
      <c r="N1897" s="139"/>
      <c r="O1897" s="139"/>
      <c r="P1897" s="139"/>
      <c r="R1897" s="139"/>
      <c r="S1897" s="139"/>
      <c r="T1897" s="139"/>
      <c r="U1897" s="139"/>
      <c r="V1897" s="139"/>
      <c r="W1897" s="139"/>
      <c r="X1897" s="139"/>
      <c r="Y1897" s="139"/>
      <c r="Z1897" s="139"/>
      <c r="AA1897" s="139"/>
      <c r="AB1897" s="139"/>
      <c r="AC1897" s="139"/>
      <c r="AD1897" s="139"/>
      <c r="AE1897" s="139"/>
      <c r="AF1897" s="139"/>
      <c r="AG1897" s="139"/>
      <c r="AH1897" s="139"/>
      <c r="AI1897" s="139"/>
      <c r="AJ1897" s="139"/>
      <c r="AK1897" s="139"/>
    </row>
    <row r="1898" spans="13:37" x14ac:dyDescent="0.25">
      <c r="M1898" s="139"/>
      <c r="N1898" s="139"/>
      <c r="O1898" s="139"/>
      <c r="P1898" s="139"/>
      <c r="R1898" s="139"/>
      <c r="S1898" s="139"/>
      <c r="T1898" s="139"/>
      <c r="U1898" s="139"/>
      <c r="V1898" s="139"/>
      <c r="W1898" s="139"/>
      <c r="X1898" s="139"/>
      <c r="Y1898" s="139"/>
      <c r="Z1898" s="139"/>
      <c r="AA1898" s="139"/>
      <c r="AB1898" s="139"/>
      <c r="AC1898" s="139"/>
      <c r="AD1898" s="139"/>
      <c r="AE1898" s="139"/>
      <c r="AF1898" s="139"/>
      <c r="AG1898" s="139"/>
      <c r="AH1898" s="139"/>
      <c r="AI1898" s="139"/>
      <c r="AJ1898" s="139"/>
      <c r="AK1898" s="139"/>
    </row>
    <row r="1899" spans="13:37" x14ac:dyDescent="0.25">
      <c r="M1899" s="139"/>
      <c r="N1899" s="139"/>
      <c r="O1899" s="139"/>
      <c r="P1899" s="139"/>
      <c r="R1899" s="139"/>
      <c r="S1899" s="139"/>
      <c r="T1899" s="139"/>
      <c r="U1899" s="139"/>
      <c r="V1899" s="139"/>
      <c r="W1899" s="139"/>
      <c r="X1899" s="139"/>
      <c r="Y1899" s="139"/>
      <c r="Z1899" s="139"/>
      <c r="AA1899" s="139"/>
      <c r="AB1899" s="139"/>
      <c r="AC1899" s="139"/>
      <c r="AD1899" s="139"/>
      <c r="AE1899" s="139"/>
      <c r="AF1899" s="139"/>
      <c r="AG1899" s="139"/>
      <c r="AH1899" s="139"/>
      <c r="AI1899" s="139"/>
      <c r="AJ1899" s="139"/>
      <c r="AK1899" s="139"/>
    </row>
    <row r="1900" spans="13:37" x14ac:dyDescent="0.25">
      <c r="M1900" s="139"/>
      <c r="N1900" s="139"/>
      <c r="O1900" s="139"/>
      <c r="P1900" s="139"/>
      <c r="R1900" s="139"/>
      <c r="S1900" s="139"/>
      <c r="T1900" s="139"/>
      <c r="U1900" s="139"/>
      <c r="V1900" s="139"/>
      <c r="W1900" s="139"/>
      <c r="X1900" s="139"/>
      <c r="Y1900" s="139"/>
      <c r="Z1900" s="139"/>
      <c r="AA1900" s="139"/>
      <c r="AB1900" s="139"/>
      <c r="AC1900" s="139"/>
      <c r="AD1900" s="139"/>
      <c r="AE1900" s="139"/>
      <c r="AF1900" s="139"/>
      <c r="AG1900" s="139"/>
      <c r="AH1900" s="139"/>
      <c r="AI1900" s="139"/>
      <c r="AJ1900" s="139"/>
      <c r="AK1900" s="139"/>
    </row>
    <row r="1901" spans="13:37" x14ac:dyDescent="0.25">
      <c r="M1901" s="139"/>
      <c r="N1901" s="139"/>
      <c r="O1901" s="139"/>
      <c r="P1901" s="139"/>
      <c r="R1901" s="139"/>
      <c r="S1901" s="139"/>
      <c r="T1901" s="139"/>
      <c r="U1901" s="139"/>
      <c r="V1901" s="139"/>
      <c r="W1901" s="139"/>
      <c r="X1901" s="139"/>
      <c r="Y1901" s="139"/>
      <c r="Z1901" s="139"/>
      <c r="AA1901" s="139"/>
      <c r="AB1901" s="139"/>
      <c r="AC1901" s="139"/>
      <c r="AD1901" s="139"/>
      <c r="AE1901" s="139"/>
      <c r="AF1901" s="139"/>
      <c r="AG1901" s="139"/>
      <c r="AH1901" s="139"/>
      <c r="AI1901" s="139"/>
      <c r="AJ1901" s="139"/>
      <c r="AK1901" s="139"/>
    </row>
    <row r="1902" spans="13:37" x14ac:dyDescent="0.25">
      <c r="M1902" s="139"/>
      <c r="N1902" s="139"/>
      <c r="O1902" s="139"/>
      <c r="P1902" s="139"/>
      <c r="R1902" s="139"/>
      <c r="S1902" s="139"/>
      <c r="T1902" s="139"/>
      <c r="U1902" s="139"/>
      <c r="V1902" s="139"/>
      <c r="W1902" s="139"/>
      <c r="X1902" s="139"/>
      <c r="Y1902" s="139"/>
      <c r="Z1902" s="139"/>
      <c r="AA1902" s="139"/>
      <c r="AB1902" s="139"/>
      <c r="AC1902" s="139"/>
      <c r="AD1902" s="139"/>
      <c r="AE1902" s="139"/>
      <c r="AF1902" s="139"/>
      <c r="AG1902" s="139"/>
      <c r="AH1902" s="139"/>
      <c r="AI1902" s="139"/>
      <c r="AJ1902" s="139"/>
      <c r="AK1902" s="139"/>
    </row>
    <row r="1903" spans="13:37" x14ac:dyDescent="0.25">
      <c r="M1903" s="139"/>
      <c r="N1903" s="139"/>
      <c r="O1903" s="139"/>
      <c r="P1903" s="139"/>
      <c r="R1903" s="139"/>
      <c r="S1903" s="139"/>
      <c r="T1903" s="139"/>
      <c r="U1903" s="139"/>
      <c r="V1903" s="139"/>
      <c r="W1903" s="139"/>
      <c r="X1903" s="139"/>
      <c r="Y1903" s="139"/>
      <c r="Z1903" s="139"/>
      <c r="AA1903" s="139"/>
      <c r="AB1903" s="139"/>
      <c r="AC1903" s="139"/>
      <c r="AD1903" s="139"/>
      <c r="AE1903" s="139"/>
      <c r="AF1903" s="139"/>
      <c r="AG1903" s="139"/>
      <c r="AH1903" s="139"/>
      <c r="AI1903" s="139"/>
      <c r="AJ1903" s="139"/>
      <c r="AK1903" s="139"/>
    </row>
    <row r="1904" spans="13:37" x14ac:dyDescent="0.25">
      <c r="M1904" s="139"/>
      <c r="N1904" s="139"/>
      <c r="O1904" s="139"/>
      <c r="P1904" s="139"/>
      <c r="R1904" s="139"/>
      <c r="S1904" s="139"/>
      <c r="T1904" s="139"/>
      <c r="U1904" s="139"/>
      <c r="V1904" s="139"/>
      <c r="W1904" s="139"/>
      <c r="X1904" s="139"/>
      <c r="Y1904" s="139"/>
      <c r="Z1904" s="139"/>
      <c r="AA1904" s="139"/>
      <c r="AB1904" s="139"/>
      <c r="AC1904" s="139"/>
      <c r="AD1904" s="139"/>
      <c r="AE1904" s="139"/>
      <c r="AF1904" s="139"/>
      <c r="AG1904" s="139"/>
      <c r="AH1904" s="139"/>
      <c r="AI1904" s="139"/>
      <c r="AJ1904" s="139"/>
      <c r="AK1904" s="139"/>
    </row>
    <row r="1905" spans="13:37" x14ac:dyDescent="0.25">
      <c r="M1905" s="139"/>
      <c r="N1905" s="139"/>
      <c r="O1905" s="139"/>
      <c r="P1905" s="139"/>
      <c r="R1905" s="139"/>
      <c r="S1905" s="139"/>
      <c r="T1905" s="139"/>
      <c r="U1905" s="139"/>
      <c r="V1905" s="139"/>
      <c r="W1905" s="139"/>
      <c r="X1905" s="139"/>
      <c r="Y1905" s="139"/>
      <c r="Z1905" s="139"/>
      <c r="AA1905" s="139"/>
      <c r="AB1905" s="139"/>
      <c r="AC1905" s="139"/>
      <c r="AD1905" s="139"/>
      <c r="AE1905" s="139"/>
      <c r="AF1905" s="139"/>
      <c r="AG1905" s="139"/>
      <c r="AH1905" s="139"/>
      <c r="AI1905" s="139"/>
      <c r="AJ1905" s="139"/>
      <c r="AK1905" s="139"/>
    </row>
    <row r="1906" spans="13:37" x14ac:dyDescent="0.25">
      <c r="M1906" s="139"/>
      <c r="N1906" s="139"/>
      <c r="O1906" s="139"/>
      <c r="P1906" s="139"/>
      <c r="R1906" s="139"/>
      <c r="S1906" s="139"/>
      <c r="T1906" s="139"/>
      <c r="U1906" s="139"/>
      <c r="V1906" s="139"/>
      <c r="W1906" s="139"/>
      <c r="X1906" s="139"/>
      <c r="Y1906" s="139"/>
      <c r="Z1906" s="139"/>
      <c r="AA1906" s="139"/>
      <c r="AB1906" s="139"/>
      <c r="AC1906" s="139"/>
      <c r="AD1906" s="139"/>
      <c r="AE1906" s="139"/>
      <c r="AF1906" s="139"/>
      <c r="AG1906" s="139"/>
      <c r="AH1906" s="139"/>
      <c r="AI1906" s="139"/>
      <c r="AJ1906" s="139"/>
      <c r="AK1906" s="139"/>
    </row>
    <row r="1907" spans="13:37" x14ac:dyDescent="0.25">
      <c r="M1907" s="139"/>
      <c r="N1907" s="139"/>
      <c r="O1907" s="139"/>
      <c r="P1907" s="139"/>
      <c r="R1907" s="139"/>
      <c r="S1907" s="139"/>
      <c r="T1907" s="139"/>
      <c r="U1907" s="139"/>
      <c r="V1907" s="139"/>
      <c r="W1907" s="139"/>
      <c r="X1907" s="139"/>
      <c r="Y1907" s="139"/>
      <c r="Z1907" s="139"/>
      <c r="AA1907" s="139"/>
      <c r="AB1907" s="139"/>
      <c r="AC1907" s="139"/>
      <c r="AD1907" s="139"/>
      <c r="AE1907" s="139"/>
      <c r="AF1907" s="139"/>
      <c r="AG1907" s="139"/>
      <c r="AH1907" s="139"/>
      <c r="AI1907" s="139"/>
      <c r="AJ1907" s="139"/>
      <c r="AK1907" s="139"/>
    </row>
    <row r="1908" spans="13:37" x14ac:dyDescent="0.25">
      <c r="M1908" s="139"/>
      <c r="N1908" s="139"/>
      <c r="O1908" s="139"/>
      <c r="P1908" s="139"/>
      <c r="R1908" s="139"/>
      <c r="S1908" s="139"/>
      <c r="T1908" s="139"/>
      <c r="U1908" s="139"/>
      <c r="V1908" s="139"/>
      <c r="W1908" s="139"/>
      <c r="X1908" s="139"/>
      <c r="Y1908" s="139"/>
      <c r="Z1908" s="139"/>
      <c r="AA1908" s="139"/>
      <c r="AB1908" s="139"/>
      <c r="AC1908" s="139"/>
      <c r="AD1908" s="139"/>
      <c r="AE1908" s="139"/>
      <c r="AF1908" s="139"/>
      <c r="AG1908" s="139"/>
      <c r="AH1908" s="139"/>
      <c r="AI1908" s="139"/>
      <c r="AJ1908" s="139"/>
      <c r="AK1908" s="139"/>
    </row>
    <row r="1909" spans="13:37" x14ac:dyDescent="0.25">
      <c r="M1909" s="139"/>
      <c r="N1909" s="139"/>
      <c r="O1909" s="139"/>
      <c r="P1909" s="139"/>
      <c r="R1909" s="139"/>
      <c r="S1909" s="139"/>
      <c r="T1909" s="139"/>
      <c r="U1909" s="139"/>
      <c r="V1909" s="139"/>
      <c r="W1909" s="139"/>
      <c r="X1909" s="139"/>
      <c r="Y1909" s="139"/>
      <c r="Z1909" s="139"/>
      <c r="AA1909" s="139"/>
      <c r="AB1909" s="139"/>
      <c r="AC1909" s="139"/>
      <c r="AD1909" s="139"/>
      <c r="AE1909" s="139"/>
      <c r="AF1909" s="139"/>
      <c r="AG1909" s="139"/>
      <c r="AH1909" s="139"/>
      <c r="AI1909" s="139"/>
      <c r="AJ1909" s="139"/>
      <c r="AK1909" s="139"/>
    </row>
    <row r="1910" spans="13:37" x14ac:dyDescent="0.25">
      <c r="M1910" s="139"/>
      <c r="N1910" s="139"/>
      <c r="O1910" s="139"/>
      <c r="P1910" s="139"/>
      <c r="R1910" s="139"/>
      <c r="S1910" s="139"/>
      <c r="T1910" s="139"/>
      <c r="U1910" s="139"/>
      <c r="V1910" s="139"/>
      <c r="W1910" s="139"/>
      <c r="X1910" s="139"/>
      <c r="Y1910" s="139"/>
      <c r="Z1910" s="139"/>
      <c r="AA1910" s="139"/>
      <c r="AB1910" s="139"/>
      <c r="AC1910" s="139"/>
      <c r="AD1910" s="139"/>
      <c r="AE1910" s="139"/>
      <c r="AF1910" s="139"/>
      <c r="AG1910" s="139"/>
      <c r="AH1910" s="139"/>
      <c r="AI1910" s="139"/>
      <c r="AJ1910" s="139"/>
      <c r="AK1910" s="139"/>
    </row>
    <row r="1911" spans="13:37" x14ac:dyDescent="0.25">
      <c r="M1911" s="139"/>
      <c r="N1911" s="139"/>
      <c r="O1911" s="139"/>
      <c r="P1911" s="139"/>
      <c r="R1911" s="139"/>
      <c r="S1911" s="139"/>
      <c r="T1911" s="139"/>
      <c r="U1911" s="139"/>
      <c r="V1911" s="139"/>
      <c r="W1911" s="139"/>
      <c r="X1911" s="139"/>
      <c r="Y1911" s="139"/>
      <c r="Z1911" s="139"/>
      <c r="AA1911" s="139"/>
      <c r="AB1911" s="139"/>
      <c r="AC1911" s="139"/>
      <c r="AD1911" s="139"/>
      <c r="AE1911" s="139"/>
      <c r="AF1911" s="139"/>
      <c r="AG1911" s="139"/>
      <c r="AH1911" s="139"/>
      <c r="AI1911" s="139"/>
      <c r="AJ1911" s="139"/>
      <c r="AK1911" s="139"/>
    </row>
    <row r="1912" spans="13:37" x14ac:dyDescent="0.25">
      <c r="M1912" s="139"/>
      <c r="N1912" s="139"/>
      <c r="O1912" s="139"/>
      <c r="P1912" s="139"/>
      <c r="R1912" s="139"/>
      <c r="S1912" s="139"/>
      <c r="T1912" s="139"/>
      <c r="U1912" s="139"/>
      <c r="V1912" s="139"/>
      <c r="W1912" s="139"/>
      <c r="X1912" s="139"/>
      <c r="Y1912" s="139"/>
      <c r="Z1912" s="139"/>
      <c r="AA1912" s="139"/>
      <c r="AB1912" s="139"/>
      <c r="AC1912" s="139"/>
      <c r="AD1912" s="139"/>
      <c r="AE1912" s="139"/>
      <c r="AF1912" s="139"/>
      <c r="AG1912" s="139"/>
      <c r="AH1912" s="139"/>
      <c r="AI1912" s="139"/>
      <c r="AJ1912" s="139"/>
      <c r="AK1912" s="139"/>
    </row>
    <row r="1913" spans="13:37" x14ac:dyDescent="0.25">
      <c r="M1913" s="139"/>
      <c r="N1913" s="139"/>
      <c r="O1913" s="139"/>
      <c r="P1913" s="139"/>
      <c r="R1913" s="139"/>
      <c r="S1913" s="139"/>
      <c r="T1913" s="139"/>
      <c r="U1913" s="139"/>
      <c r="V1913" s="139"/>
      <c r="W1913" s="139"/>
      <c r="X1913" s="139"/>
      <c r="Y1913" s="139"/>
      <c r="Z1913" s="139"/>
      <c r="AA1913" s="139"/>
      <c r="AB1913" s="139"/>
      <c r="AC1913" s="139"/>
      <c r="AD1913" s="139"/>
      <c r="AE1913" s="139"/>
      <c r="AF1913" s="139"/>
      <c r="AG1913" s="139"/>
      <c r="AH1913" s="139"/>
      <c r="AI1913" s="139"/>
      <c r="AJ1913" s="139"/>
      <c r="AK1913" s="139"/>
    </row>
    <row r="1914" spans="13:37" x14ac:dyDescent="0.25">
      <c r="M1914" s="139"/>
      <c r="N1914" s="139"/>
      <c r="O1914" s="139"/>
      <c r="P1914" s="139"/>
      <c r="R1914" s="139"/>
      <c r="S1914" s="139"/>
      <c r="T1914" s="139"/>
      <c r="U1914" s="139"/>
      <c r="V1914" s="139"/>
      <c r="W1914" s="139"/>
      <c r="X1914" s="139"/>
      <c r="Y1914" s="139"/>
      <c r="Z1914" s="139"/>
      <c r="AA1914" s="139"/>
      <c r="AB1914" s="139"/>
      <c r="AC1914" s="139"/>
      <c r="AD1914" s="139"/>
      <c r="AE1914" s="139"/>
      <c r="AF1914" s="139"/>
      <c r="AG1914" s="139"/>
      <c r="AH1914" s="139"/>
      <c r="AI1914" s="139"/>
      <c r="AJ1914" s="139"/>
      <c r="AK1914" s="139"/>
    </row>
    <row r="1915" spans="13:37" x14ac:dyDescent="0.25">
      <c r="M1915" s="139"/>
      <c r="N1915" s="139"/>
      <c r="O1915" s="139"/>
      <c r="P1915" s="139"/>
      <c r="R1915" s="139"/>
      <c r="S1915" s="139"/>
      <c r="T1915" s="139"/>
      <c r="U1915" s="139"/>
      <c r="V1915" s="139"/>
      <c r="W1915" s="139"/>
      <c r="X1915" s="139"/>
      <c r="Y1915" s="139"/>
      <c r="Z1915" s="139"/>
      <c r="AA1915" s="139"/>
      <c r="AB1915" s="139"/>
      <c r="AC1915" s="139"/>
      <c r="AD1915" s="139"/>
      <c r="AE1915" s="139"/>
      <c r="AF1915" s="139"/>
      <c r="AG1915" s="139"/>
      <c r="AH1915" s="139"/>
      <c r="AI1915" s="139"/>
      <c r="AJ1915" s="139"/>
      <c r="AK1915" s="139"/>
    </row>
    <row r="1916" spans="13:37" x14ac:dyDescent="0.25">
      <c r="M1916" s="139"/>
      <c r="N1916" s="139"/>
      <c r="O1916" s="139"/>
      <c r="P1916" s="139"/>
      <c r="R1916" s="139"/>
      <c r="S1916" s="139"/>
      <c r="T1916" s="139"/>
      <c r="U1916" s="139"/>
      <c r="V1916" s="139"/>
      <c r="W1916" s="139"/>
      <c r="X1916" s="139"/>
      <c r="Y1916" s="139"/>
      <c r="Z1916" s="139"/>
      <c r="AA1916" s="139"/>
      <c r="AB1916" s="139"/>
      <c r="AC1916" s="139"/>
      <c r="AD1916" s="139"/>
      <c r="AE1916" s="139"/>
      <c r="AF1916" s="139"/>
      <c r="AG1916" s="139"/>
      <c r="AH1916" s="139"/>
      <c r="AI1916" s="139"/>
      <c r="AJ1916" s="139"/>
      <c r="AK1916" s="139"/>
    </row>
    <row r="1917" spans="13:37" x14ac:dyDescent="0.25">
      <c r="M1917" s="139"/>
      <c r="N1917" s="139"/>
      <c r="O1917" s="139"/>
      <c r="P1917" s="139"/>
      <c r="R1917" s="139"/>
      <c r="S1917" s="139"/>
      <c r="T1917" s="139"/>
      <c r="U1917" s="139"/>
      <c r="V1917" s="139"/>
      <c r="W1917" s="139"/>
      <c r="X1917" s="139"/>
      <c r="Y1917" s="139"/>
      <c r="Z1917" s="139"/>
      <c r="AA1917" s="139"/>
      <c r="AB1917" s="139"/>
      <c r="AC1917" s="139"/>
      <c r="AD1917" s="139"/>
      <c r="AE1917" s="139"/>
      <c r="AF1917" s="139"/>
      <c r="AG1917" s="139"/>
      <c r="AH1917" s="139"/>
      <c r="AI1917" s="139"/>
      <c r="AJ1917" s="139"/>
      <c r="AK1917" s="139"/>
    </row>
    <row r="1918" spans="13:37" x14ac:dyDescent="0.25">
      <c r="M1918" s="139"/>
      <c r="N1918" s="139"/>
      <c r="O1918" s="139"/>
      <c r="P1918" s="139"/>
      <c r="R1918" s="139"/>
      <c r="S1918" s="139"/>
      <c r="T1918" s="139"/>
      <c r="U1918" s="139"/>
      <c r="V1918" s="139"/>
      <c r="W1918" s="139"/>
      <c r="X1918" s="139"/>
      <c r="Y1918" s="139"/>
      <c r="Z1918" s="139"/>
      <c r="AA1918" s="139"/>
      <c r="AB1918" s="139"/>
      <c r="AC1918" s="139"/>
      <c r="AD1918" s="139"/>
      <c r="AE1918" s="139"/>
      <c r="AF1918" s="139"/>
      <c r="AG1918" s="139"/>
      <c r="AH1918" s="139"/>
      <c r="AI1918" s="139"/>
      <c r="AJ1918" s="139"/>
      <c r="AK1918" s="139"/>
    </row>
    <row r="1919" spans="13:37" x14ac:dyDescent="0.25">
      <c r="M1919" s="139"/>
      <c r="N1919" s="139"/>
      <c r="O1919" s="139"/>
      <c r="P1919" s="139"/>
      <c r="R1919" s="139"/>
      <c r="S1919" s="139"/>
      <c r="T1919" s="139"/>
      <c r="U1919" s="139"/>
      <c r="V1919" s="139"/>
      <c r="W1919" s="139"/>
      <c r="X1919" s="139"/>
      <c r="Y1919" s="139"/>
      <c r="Z1919" s="139"/>
      <c r="AA1919" s="139"/>
      <c r="AB1919" s="139"/>
      <c r="AC1919" s="139"/>
      <c r="AD1919" s="139"/>
      <c r="AE1919" s="139"/>
      <c r="AF1919" s="139"/>
      <c r="AG1919" s="139"/>
      <c r="AH1919" s="139"/>
      <c r="AI1919" s="139"/>
      <c r="AJ1919" s="139"/>
      <c r="AK1919" s="139"/>
    </row>
    <row r="1920" spans="13:37" x14ac:dyDescent="0.25">
      <c r="M1920" s="139"/>
      <c r="N1920" s="139"/>
      <c r="O1920" s="139"/>
      <c r="P1920" s="139"/>
      <c r="R1920" s="139"/>
      <c r="S1920" s="139"/>
      <c r="T1920" s="139"/>
      <c r="U1920" s="139"/>
      <c r="V1920" s="139"/>
      <c r="W1920" s="139"/>
      <c r="X1920" s="139"/>
      <c r="Y1920" s="139"/>
      <c r="Z1920" s="139"/>
      <c r="AA1920" s="139"/>
      <c r="AB1920" s="139"/>
      <c r="AC1920" s="139"/>
      <c r="AD1920" s="139"/>
      <c r="AE1920" s="139"/>
      <c r="AF1920" s="139"/>
      <c r="AG1920" s="139"/>
      <c r="AH1920" s="139"/>
      <c r="AI1920" s="139"/>
      <c r="AJ1920" s="139"/>
      <c r="AK1920" s="139"/>
    </row>
    <row r="1921" spans="13:37" x14ac:dyDescent="0.25">
      <c r="M1921" s="139"/>
      <c r="N1921" s="139"/>
      <c r="O1921" s="139"/>
      <c r="P1921" s="139"/>
      <c r="R1921" s="139"/>
      <c r="S1921" s="139"/>
      <c r="T1921" s="139"/>
      <c r="U1921" s="139"/>
      <c r="V1921" s="139"/>
      <c r="W1921" s="139"/>
      <c r="X1921" s="139"/>
      <c r="Y1921" s="139"/>
      <c r="Z1921" s="139"/>
      <c r="AA1921" s="139"/>
      <c r="AB1921" s="139"/>
      <c r="AC1921" s="139"/>
      <c r="AD1921" s="139"/>
      <c r="AE1921" s="139"/>
      <c r="AF1921" s="139"/>
      <c r="AG1921" s="139"/>
      <c r="AH1921" s="139"/>
      <c r="AI1921" s="139"/>
      <c r="AJ1921" s="139"/>
      <c r="AK1921" s="139"/>
    </row>
    <row r="1922" spans="13:37" x14ac:dyDescent="0.25">
      <c r="M1922" s="139"/>
      <c r="N1922" s="139"/>
      <c r="O1922" s="139"/>
      <c r="P1922" s="139"/>
      <c r="R1922" s="139"/>
      <c r="S1922" s="139"/>
      <c r="T1922" s="139"/>
      <c r="U1922" s="139"/>
      <c r="V1922" s="139"/>
      <c r="W1922" s="139"/>
      <c r="X1922" s="139"/>
      <c r="Y1922" s="139"/>
      <c r="Z1922" s="139"/>
      <c r="AA1922" s="139"/>
      <c r="AB1922" s="139"/>
      <c r="AC1922" s="139"/>
      <c r="AD1922" s="139"/>
      <c r="AE1922" s="139"/>
      <c r="AF1922" s="139"/>
      <c r="AG1922" s="139"/>
      <c r="AH1922" s="139"/>
      <c r="AI1922" s="139"/>
      <c r="AJ1922" s="139"/>
      <c r="AK1922" s="139"/>
    </row>
    <row r="1923" spans="13:37" x14ac:dyDescent="0.25">
      <c r="M1923" s="139"/>
      <c r="N1923" s="139"/>
      <c r="O1923" s="139"/>
      <c r="P1923" s="139"/>
      <c r="R1923" s="139"/>
      <c r="S1923" s="139"/>
      <c r="T1923" s="139"/>
      <c r="U1923" s="139"/>
      <c r="V1923" s="139"/>
      <c r="W1923" s="139"/>
      <c r="X1923" s="139"/>
      <c r="Y1923" s="139"/>
      <c r="Z1923" s="139"/>
      <c r="AA1923" s="139"/>
      <c r="AB1923" s="139"/>
      <c r="AC1923" s="139"/>
      <c r="AD1923" s="139"/>
      <c r="AE1923" s="139"/>
      <c r="AF1923" s="139"/>
      <c r="AG1923" s="139"/>
      <c r="AH1923" s="139"/>
      <c r="AI1923" s="139"/>
      <c r="AJ1923" s="139"/>
      <c r="AK1923" s="139"/>
    </row>
    <row r="1924" spans="13:37" x14ac:dyDescent="0.25">
      <c r="M1924" s="139"/>
      <c r="N1924" s="139"/>
      <c r="O1924" s="139"/>
      <c r="P1924" s="139"/>
      <c r="R1924" s="139"/>
      <c r="S1924" s="139"/>
      <c r="T1924" s="139"/>
      <c r="U1924" s="139"/>
      <c r="V1924" s="139"/>
      <c r="W1924" s="139"/>
      <c r="X1924" s="139"/>
      <c r="Y1924" s="139"/>
      <c r="Z1924" s="139"/>
      <c r="AA1924" s="139"/>
      <c r="AB1924" s="139"/>
      <c r="AC1924" s="139"/>
      <c r="AD1924" s="139"/>
      <c r="AE1924" s="139"/>
      <c r="AF1924" s="139"/>
      <c r="AG1924" s="139"/>
      <c r="AH1924" s="139"/>
      <c r="AI1924" s="139"/>
      <c r="AJ1924" s="139"/>
      <c r="AK1924" s="139"/>
    </row>
    <row r="1925" spans="13:37" x14ac:dyDescent="0.25">
      <c r="M1925" s="139"/>
      <c r="N1925" s="139"/>
      <c r="O1925" s="139"/>
      <c r="P1925" s="139"/>
      <c r="R1925" s="139"/>
      <c r="S1925" s="139"/>
      <c r="T1925" s="139"/>
      <c r="U1925" s="139"/>
      <c r="V1925" s="139"/>
      <c r="W1925" s="139"/>
      <c r="X1925" s="139"/>
      <c r="Y1925" s="139"/>
      <c r="Z1925" s="139"/>
      <c r="AA1925" s="139"/>
      <c r="AB1925" s="139"/>
      <c r="AC1925" s="139"/>
      <c r="AD1925" s="139"/>
      <c r="AE1925" s="139"/>
      <c r="AF1925" s="139"/>
      <c r="AG1925" s="139"/>
      <c r="AH1925" s="139"/>
      <c r="AI1925" s="139"/>
      <c r="AJ1925" s="139"/>
      <c r="AK1925" s="139"/>
    </row>
    <row r="1926" spans="13:37" x14ac:dyDescent="0.25">
      <c r="M1926" s="139"/>
      <c r="N1926" s="139"/>
      <c r="O1926" s="139"/>
      <c r="P1926" s="139"/>
      <c r="R1926" s="139"/>
      <c r="S1926" s="139"/>
      <c r="T1926" s="139"/>
      <c r="U1926" s="139"/>
      <c r="V1926" s="139"/>
      <c r="W1926" s="139"/>
      <c r="X1926" s="139"/>
      <c r="Y1926" s="139"/>
      <c r="Z1926" s="139"/>
      <c r="AA1926" s="139"/>
      <c r="AB1926" s="139"/>
      <c r="AC1926" s="139"/>
      <c r="AD1926" s="139"/>
      <c r="AE1926" s="139"/>
      <c r="AF1926" s="139"/>
      <c r="AG1926" s="139"/>
      <c r="AH1926" s="139"/>
      <c r="AI1926" s="139"/>
      <c r="AJ1926" s="139"/>
      <c r="AK1926" s="139"/>
    </row>
    <row r="1927" spans="13:37" x14ac:dyDescent="0.25">
      <c r="M1927" s="139"/>
      <c r="N1927" s="139"/>
      <c r="O1927" s="139"/>
      <c r="P1927" s="139"/>
      <c r="R1927" s="139"/>
      <c r="S1927" s="139"/>
      <c r="T1927" s="139"/>
      <c r="U1927" s="139"/>
      <c r="V1927" s="139"/>
      <c r="W1927" s="139"/>
      <c r="X1927" s="139"/>
      <c r="Y1927" s="139"/>
      <c r="Z1927" s="139"/>
      <c r="AA1927" s="139"/>
      <c r="AB1927" s="139"/>
      <c r="AC1927" s="139"/>
      <c r="AD1927" s="139"/>
      <c r="AE1927" s="139"/>
      <c r="AF1927" s="139"/>
      <c r="AG1927" s="139"/>
      <c r="AH1927" s="139"/>
      <c r="AI1927" s="139"/>
      <c r="AJ1927" s="139"/>
      <c r="AK1927" s="139"/>
    </row>
    <row r="1928" spans="13:37" x14ac:dyDescent="0.25">
      <c r="M1928" s="139"/>
      <c r="N1928" s="139"/>
      <c r="O1928" s="139"/>
      <c r="P1928" s="139"/>
      <c r="R1928" s="139"/>
      <c r="S1928" s="139"/>
      <c r="T1928" s="139"/>
      <c r="U1928" s="139"/>
      <c r="V1928" s="139"/>
      <c r="W1928" s="139"/>
      <c r="X1928" s="139"/>
      <c r="Y1928" s="139"/>
      <c r="Z1928" s="139"/>
      <c r="AA1928" s="139"/>
      <c r="AB1928" s="139"/>
      <c r="AC1928" s="139"/>
      <c r="AD1928" s="139"/>
      <c r="AE1928" s="139"/>
      <c r="AF1928" s="139"/>
      <c r="AG1928" s="139"/>
      <c r="AH1928" s="139"/>
      <c r="AI1928" s="139"/>
      <c r="AJ1928" s="139"/>
      <c r="AK1928" s="139"/>
    </row>
    <row r="1929" spans="13:37" x14ac:dyDescent="0.25">
      <c r="M1929" s="139"/>
      <c r="N1929" s="139"/>
      <c r="O1929" s="139"/>
      <c r="P1929" s="139"/>
      <c r="R1929" s="139"/>
      <c r="S1929" s="139"/>
      <c r="T1929" s="139"/>
      <c r="U1929" s="139"/>
      <c r="V1929" s="139"/>
      <c r="W1929" s="139"/>
      <c r="X1929" s="139"/>
      <c r="Y1929" s="139"/>
      <c r="Z1929" s="139"/>
      <c r="AA1929" s="139"/>
      <c r="AB1929" s="139"/>
      <c r="AC1929" s="139"/>
      <c r="AD1929" s="139"/>
      <c r="AE1929" s="139"/>
      <c r="AF1929" s="139"/>
      <c r="AG1929" s="139"/>
      <c r="AH1929" s="139"/>
      <c r="AI1929" s="139"/>
      <c r="AJ1929" s="139"/>
      <c r="AK1929" s="139"/>
    </row>
    <row r="1930" spans="13:37" x14ac:dyDescent="0.25">
      <c r="M1930" s="139"/>
      <c r="N1930" s="139"/>
      <c r="O1930" s="139"/>
      <c r="P1930" s="139"/>
      <c r="R1930" s="139"/>
      <c r="S1930" s="139"/>
      <c r="T1930" s="139"/>
      <c r="U1930" s="139"/>
      <c r="V1930" s="139"/>
      <c r="W1930" s="139"/>
      <c r="X1930" s="139"/>
      <c r="Y1930" s="139"/>
      <c r="Z1930" s="139"/>
      <c r="AA1930" s="139"/>
      <c r="AB1930" s="139"/>
      <c r="AC1930" s="139"/>
      <c r="AD1930" s="139"/>
      <c r="AE1930" s="139"/>
      <c r="AF1930" s="139"/>
      <c r="AG1930" s="139"/>
      <c r="AH1930" s="139"/>
      <c r="AI1930" s="139"/>
      <c r="AJ1930" s="139"/>
      <c r="AK1930" s="139"/>
    </row>
    <row r="1931" spans="13:37" x14ac:dyDescent="0.25">
      <c r="M1931" s="139"/>
      <c r="N1931" s="139"/>
      <c r="O1931" s="139"/>
      <c r="P1931" s="139"/>
      <c r="R1931" s="139"/>
      <c r="S1931" s="139"/>
      <c r="T1931" s="139"/>
      <c r="U1931" s="139"/>
      <c r="V1931" s="139"/>
      <c r="W1931" s="139"/>
      <c r="X1931" s="139"/>
      <c r="Y1931" s="139"/>
      <c r="Z1931" s="139"/>
      <c r="AA1931" s="139"/>
      <c r="AB1931" s="139"/>
      <c r="AC1931" s="139"/>
      <c r="AD1931" s="139"/>
      <c r="AE1931" s="139"/>
      <c r="AF1931" s="139"/>
      <c r="AG1931" s="139"/>
      <c r="AH1931" s="139"/>
      <c r="AI1931" s="139"/>
      <c r="AJ1931" s="139"/>
      <c r="AK1931" s="139"/>
    </row>
    <row r="1932" spans="13:37" x14ac:dyDescent="0.25">
      <c r="M1932" s="139"/>
      <c r="N1932" s="139"/>
      <c r="O1932" s="139"/>
      <c r="P1932" s="139"/>
      <c r="R1932" s="139"/>
      <c r="S1932" s="139"/>
      <c r="T1932" s="139"/>
      <c r="U1932" s="139"/>
      <c r="V1932" s="139"/>
      <c r="W1932" s="139"/>
      <c r="X1932" s="139"/>
      <c r="Y1932" s="139"/>
      <c r="Z1932" s="139"/>
      <c r="AA1932" s="139"/>
      <c r="AB1932" s="139"/>
      <c r="AC1932" s="139"/>
      <c r="AD1932" s="139"/>
      <c r="AE1932" s="139"/>
      <c r="AF1932" s="139"/>
      <c r="AG1932" s="139"/>
      <c r="AH1932" s="139"/>
      <c r="AI1932" s="139"/>
      <c r="AJ1932" s="139"/>
      <c r="AK1932" s="139"/>
    </row>
    <row r="1933" spans="13:37" x14ac:dyDescent="0.25">
      <c r="M1933" s="139"/>
      <c r="N1933" s="139"/>
      <c r="O1933" s="139"/>
      <c r="P1933" s="139"/>
      <c r="R1933" s="139"/>
      <c r="S1933" s="139"/>
      <c r="T1933" s="139"/>
      <c r="U1933" s="139"/>
      <c r="V1933" s="139"/>
      <c r="W1933" s="139"/>
      <c r="X1933" s="139"/>
      <c r="Y1933" s="139"/>
      <c r="Z1933" s="139"/>
      <c r="AA1933" s="139"/>
      <c r="AB1933" s="139"/>
      <c r="AC1933" s="139"/>
      <c r="AD1933" s="139"/>
      <c r="AE1933" s="139"/>
      <c r="AF1933" s="139"/>
      <c r="AG1933" s="139"/>
      <c r="AH1933" s="139"/>
      <c r="AI1933" s="139"/>
      <c r="AJ1933" s="139"/>
      <c r="AK1933" s="139"/>
    </row>
    <row r="1934" spans="13:37" x14ac:dyDescent="0.25">
      <c r="M1934" s="139"/>
      <c r="N1934" s="139"/>
      <c r="O1934" s="139"/>
      <c r="P1934" s="139"/>
      <c r="R1934" s="139"/>
      <c r="S1934" s="139"/>
      <c r="T1934" s="139"/>
      <c r="U1934" s="139"/>
      <c r="V1934" s="139"/>
      <c r="W1934" s="139"/>
      <c r="X1934" s="139"/>
      <c r="Y1934" s="139"/>
      <c r="Z1934" s="139"/>
      <c r="AA1934" s="139"/>
      <c r="AB1934" s="139"/>
      <c r="AC1934" s="139"/>
      <c r="AD1934" s="139"/>
      <c r="AE1934" s="139"/>
      <c r="AF1934" s="139"/>
      <c r="AG1934" s="139"/>
      <c r="AH1934" s="139"/>
      <c r="AI1934" s="139"/>
      <c r="AJ1934" s="139"/>
      <c r="AK1934" s="139"/>
    </row>
    <row r="1935" spans="13:37" x14ac:dyDescent="0.25">
      <c r="M1935" s="139"/>
      <c r="N1935" s="139"/>
      <c r="O1935" s="139"/>
      <c r="P1935" s="139"/>
      <c r="R1935" s="139"/>
      <c r="S1935" s="139"/>
      <c r="T1935" s="139"/>
      <c r="U1935" s="139"/>
      <c r="V1935" s="139"/>
      <c r="W1935" s="139"/>
      <c r="X1935" s="139"/>
      <c r="Y1935" s="139"/>
      <c r="Z1935" s="139"/>
      <c r="AA1935" s="139"/>
      <c r="AB1935" s="139"/>
      <c r="AC1935" s="139"/>
      <c r="AD1935" s="139"/>
      <c r="AE1935" s="139"/>
      <c r="AF1935" s="139"/>
      <c r="AG1935" s="139"/>
      <c r="AH1935" s="139"/>
      <c r="AI1935" s="139"/>
      <c r="AJ1935" s="139"/>
      <c r="AK1935" s="139"/>
    </row>
    <row r="1936" spans="13:37" x14ac:dyDescent="0.25">
      <c r="M1936" s="139"/>
      <c r="N1936" s="139"/>
      <c r="O1936" s="139"/>
      <c r="P1936" s="139"/>
      <c r="R1936" s="139"/>
      <c r="S1936" s="139"/>
      <c r="T1936" s="139"/>
      <c r="U1936" s="139"/>
      <c r="V1936" s="139"/>
      <c r="W1936" s="139"/>
      <c r="X1936" s="139"/>
      <c r="Y1936" s="139"/>
      <c r="Z1936" s="139"/>
      <c r="AA1936" s="139"/>
      <c r="AB1936" s="139"/>
      <c r="AC1936" s="139"/>
      <c r="AD1936" s="139"/>
      <c r="AE1936" s="139"/>
      <c r="AF1936" s="139"/>
      <c r="AG1936" s="139"/>
      <c r="AH1936" s="139"/>
      <c r="AI1936" s="139"/>
      <c r="AJ1936" s="139"/>
      <c r="AK1936" s="139"/>
    </row>
    <row r="1937" spans="13:37" x14ac:dyDescent="0.25">
      <c r="M1937" s="139"/>
      <c r="N1937" s="139"/>
      <c r="O1937" s="139"/>
      <c r="P1937" s="139"/>
      <c r="R1937" s="139"/>
      <c r="S1937" s="139"/>
      <c r="T1937" s="139"/>
      <c r="U1937" s="139"/>
      <c r="V1937" s="139"/>
      <c r="W1937" s="139"/>
      <c r="X1937" s="139"/>
      <c r="Y1937" s="139"/>
      <c r="Z1937" s="139"/>
      <c r="AA1937" s="139"/>
      <c r="AB1937" s="139"/>
      <c r="AC1937" s="139"/>
      <c r="AD1937" s="139"/>
      <c r="AE1937" s="139"/>
      <c r="AF1937" s="139"/>
      <c r="AG1937" s="139"/>
      <c r="AH1937" s="139"/>
      <c r="AI1937" s="139"/>
      <c r="AJ1937" s="139"/>
      <c r="AK1937" s="139"/>
    </row>
    <row r="1938" spans="13:37" x14ac:dyDescent="0.25">
      <c r="M1938" s="139"/>
      <c r="N1938" s="139"/>
      <c r="O1938" s="139"/>
      <c r="P1938" s="139"/>
      <c r="R1938" s="139"/>
      <c r="S1938" s="139"/>
      <c r="T1938" s="139"/>
      <c r="U1938" s="139"/>
      <c r="V1938" s="139"/>
      <c r="W1938" s="139"/>
      <c r="X1938" s="139"/>
      <c r="Y1938" s="139"/>
      <c r="Z1938" s="139"/>
      <c r="AA1938" s="139"/>
      <c r="AB1938" s="139"/>
      <c r="AC1938" s="139"/>
      <c r="AD1938" s="139"/>
      <c r="AE1938" s="139"/>
      <c r="AF1938" s="139"/>
      <c r="AG1938" s="139"/>
      <c r="AH1938" s="139"/>
      <c r="AI1938" s="139"/>
      <c r="AJ1938" s="139"/>
      <c r="AK1938" s="139"/>
    </row>
    <row r="1939" spans="13:37" x14ac:dyDescent="0.25">
      <c r="M1939" s="139"/>
      <c r="N1939" s="139"/>
      <c r="O1939" s="139"/>
      <c r="P1939" s="139"/>
      <c r="R1939" s="139"/>
      <c r="S1939" s="139"/>
      <c r="T1939" s="139"/>
      <c r="U1939" s="139"/>
      <c r="V1939" s="139"/>
      <c r="W1939" s="139"/>
      <c r="X1939" s="139"/>
      <c r="Y1939" s="139"/>
      <c r="Z1939" s="139"/>
      <c r="AA1939" s="139"/>
      <c r="AB1939" s="139"/>
      <c r="AC1939" s="139"/>
      <c r="AD1939" s="139"/>
      <c r="AE1939" s="139"/>
      <c r="AF1939" s="139"/>
      <c r="AG1939" s="139"/>
      <c r="AH1939" s="139"/>
      <c r="AI1939" s="139"/>
      <c r="AJ1939" s="139"/>
      <c r="AK1939" s="139"/>
    </row>
    <row r="1940" spans="13:37" x14ac:dyDescent="0.25">
      <c r="M1940" s="139"/>
      <c r="N1940" s="139"/>
      <c r="O1940" s="139"/>
      <c r="P1940" s="139"/>
      <c r="R1940" s="139"/>
      <c r="S1940" s="139"/>
      <c r="T1940" s="139"/>
      <c r="U1940" s="139"/>
      <c r="V1940" s="139"/>
      <c r="W1940" s="139"/>
      <c r="X1940" s="139"/>
      <c r="Y1940" s="139"/>
      <c r="Z1940" s="139"/>
      <c r="AA1940" s="139"/>
      <c r="AB1940" s="139"/>
      <c r="AC1940" s="139"/>
      <c r="AD1940" s="139"/>
      <c r="AE1940" s="139"/>
      <c r="AF1940" s="139"/>
      <c r="AG1940" s="139"/>
      <c r="AH1940" s="139"/>
      <c r="AI1940" s="139"/>
      <c r="AJ1940" s="139"/>
      <c r="AK1940" s="139"/>
    </row>
    <row r="1941" spans="13:37" x14ac:dyDescent="0.25">
      <c r="M1941" s="139"/>
      <c r="N1941" s="139"/>
      <c r="O1941" s="139"/>
      <c r="P1941" s="139"/>
      <c r="R1941" s="139"/>
      <c r="S1941" s="139"/>
      <c r="T1941" s="139"/>
      <c r="U1941" s="139"/>
      <c r="V1941" s="139"/>
      <c r="W1941" s="139"/>
      <c r="X1941" s="139"/>
      <c r="Y1941" s="139"/>
      <c r="Z1941" s="139"/>
      <c r="AA1941" s="139"/>
      <c r="AB1941" s="139"/>
      <c r="AC1941" s="139"/>
      <c r="AD1941" s="139"/>
      <c r="AE1941" s="139"/>
      <c r="AF1941" s="139"/>
      <c r="AG1941" s="139"/>
      <c r="AH1941" s="139"/>
      <c r="AI1941" s="139"/>
      <c r="AJ1941" s="139"/>
      <c r="AK1941" s="139"/>
    </row>
    <row r="1942" spans="13:37" x14ac:dyDescent="0.25">
      <c r="M1942" s="139"/>
      <c r="N1942" s="139"/>
      <c r="O1942" s="139"/>
      <c r="P1942" s="139"/>
      <c r="R1942" s="139"/>
      <c r="S1942" s="139"/>
      <c r="T1942" s="139"/>
      <c r="U1942" s="139"/>
      <c r="V1942" s="139"/>
      <c r="W1942" s="139"/>
      <c r="X1942" s="139"/>
      <c r="Y1942" s="139"/>
      <c r="Z1942" s="139"/>
      <c r="AA1942" s="139"/>
      <c r="AB1942" s="139"/>
      <c r="AC1942" s="139"/>
      <c r="AD1942" s="139"/>
      <c r="AE1942" s="139"/>
      <c r="AF1942" s="139"/>
      <c r="AG1942" s="139"/>
      <c r="AH1942" s="139"/>
      <c r="AI1942" s="139"/>
      <c r="AJ1942" s="139"/>
      <c r="AK1942" s="139"/>
    </row>
    <row r="1943" spans="13:37" x14ac:dyDescent="0.25">
      <c r="M1943" s="139"/>
      <c r="N1943" s="139"/>
      <c r="O1943" s="139"/>
      <c r="P1943" s="139"/>
      <c r="R1943" s="139"/>
      <c r="S1943" s="139"/>
      <c r="T1943" s="139"/>
      <c r="U1943" s="139"/>
      <c r="V1943" s="139"/>
      <c r="W1943" s="139"/>
      <c r="X1943" s="139"/>
      <c r="Y1943" s="139"/>
      <c r="Z1943" s="139"/>
      <c r="AA1943" s="139"/>
      <c r="AB1943" s="139"/>
      <c r="AC1943" s="139"/>
      <c r="AD1943" s="139"/>
      <c r="AE1943" s="139"/>
      <c r="AF1943" s="139"/>
      <c r="AG1943" s="139"/>
      <c r="AH1943" s="139"/>
      <c r="AI1943" s="139"/>
      <c r="AJ1943" s="139"/>
      <c r="AK1943" s="139"/>
    </row>
    <row r="1944" spans="13:37" x14ac:dyDescent="0.25">
      <c r="M1944" s="139"/>
      <c r="N1944" s="139"/>
      <c r="O1944" s="139"/>
      <c r="P1944" s="139"/>
      <c r="R1944" s="139"/>
      <c r="S1944" s="139"/>
      <c r="T1944" s="139"/>
      <c r="U1944" s="139"/>
      <c r="V1944" s="139"/>
      <c r="W1944" s="139"/>
      <c r="X1944" s="139"/>
      <c r="Y1944" s="139"/>
      <c r="Z1944" s="139"/>
      <c r="AA1944" s="139"/>
      <c r="AB1944" s="139"/>
      <c r="AC1944" s="139"/>
      <c r="AD1944" s="139"/>
      <c r="AE1944" s="139"/>
      <c r="AF1944" s="139"/>
      <c r="AG1944" s="139"/>
      <c r="AH1944" s="139"/>
      <c r="AI1944" s="139"/>
      <c r="AJ1944" s="139"/>
      <c r="AK1944" s="139"/>
    </row>
    <row r="1945" spans="13:37" x14ac:dyDescent="0.25">
      <c r="M1945" s="139"/>
      <c r="N1945" s="139"/>
      <c r="O1945" s="139"/>
      <c r="P1945" s="139"/>
      <c r="R1945" s="139"/>
      <c r="S1945" s="139"/>
      <c r="T1945" s="139"/>
      <c r="U1945" s="139"/>
      <c r="V1945" s="139"/>
      <c r="W1945" s="139"/>
      <c r="X1945" s="139"/>
      <c r="Y1945" s="139"/>
      <c r="Z1945" s="139"/>
      <c r="AA1945" s="139"/>
      <c r="AB1945" s="139"/>
      <c r="AC1945" s="139"/>
      <c r="AD1945" s="139"/>
      <c r="AE1945" s="139"/>
      <c r="AF1945" s="139"/>
      <c r="AG1945" s="139"/>
      <c r="AH1945" s="139"/>
      <c r="AI1945" s="139"/>
      <c r="AJ1945" s="139"/>
      <c r="AK1945" s="139"/>
    </row>
    <row r="1946" spans="13:37" x14ac:dyDescent="0.25">
      <c r="M1946" s="139"/>
      <c r="N1946" s="139"/>
      <c r="O1946" s="139"/>
      <c r="P1946" s="139"/>
      <c r="R1946" s="139"/>
      <c r="S1946" s="139"/>
      <c r="T1946" s="139"/>
      <c r="U1946" s="139"/>
      <c r="V1946" s="139"/>
      <c r="W1946" s="139"/>
      <c r="X1946" s="139"/>
      <c r="Y1946" s="139"/>
      <c r="Z1946" s="139"/>
      <c r="AA1946" s="139"/>
      <c r="AB1946" s="139"/>
      <c r="AC1946" s="139"/>
      <c r="AD1946" s="139"/>
      <c r="AE1946" s="139"/>
      <c r="AF1946" s="139"/>
      <c r="AG1946" s="139"/>
      <c r="AH1946" s="139"/>
      <c r="AI1946" s="139"/>
      <c r="AJ1946" s="139"/>
      <c r="AK1946" s="139"/>
    </row>
    <row r="1947" spans="13:37" x14ac:dyDescent="0.25">
      <c r="M1947" s="139"/>
      <c r="N1947" s="139"/>
      <c r="O1947" s="139"/>
      <c r="P1947" s="139"/>
      <c r="R1947" s="139"/>
      <c r="S1947" s="139"/>
      <c r="T1947" s="139"/>
      <c r="U1947" s="139"/>
      <c r="V1947" s="139"/>
      <c r="W1947" s="139"/>
      <c r="X1947" s="139"/>
      <c r="Y1947" s="139"/>
      <c r="Z1947" s="139"/>
      <c r="AA1947" s="139"/>
      <c r="AB1947" s="139"/>
      <c r="AC1947" s="139"/>
      <c r="AD1947" s="139"/>
      <c r="AE1947" s="139"/>
      <c r="AF1947" s="139"/>
      <c r="AG1947" s="139"/>
      <c r="AH1947" s="139"/>
      <c r="AI1947" s="139"/>
      <c r="AJ1947" s="139"/>
      <c r="AK1947" s="139"/>
    </row>
    <row r="1948" spans="13:37" x14ac:dyDescent="0.25">
      <c r="M1948" s="139"/>
      <c r="N1948" s="139"/>
      <c r="O1948" s="139"/>
      <c r="P1948" s="139"/>
      <c r="R1948" s="139"/>
      <c r="S1948" s="139"/>
      <c r="T1948" s="139"/>
      <c r="U1948" s="139"/>
      <c r="V1948" s="139"/>
      <c r="W1948" s="139"/>
      <c r="X1948" s="139"/>
      <c r="Y1948" s="139"/>
      <c r="Z1948" s="139"/>
      <c r="AA1948" s="139"/>
      <c r="AB1948" s="139"/>
      <c r="AC1948" s="139"/>
      <c r="AD1948" s="139"/>
      <c r="AE1948" s="139"/>
      <c r="AF1948" s="139"/>
      <c r="AG1948" s="139"/>
      <c r="AH1948" s="139"/>
      <c r="AI1948" s="139"/>
      <c r="AJ1948" s="139"/>
      <c r="AK1948" s="139"/>
    </row>
    <row r="1949" spans="13:37" x14ac:dyDescent="0.25">
      <c r="M1949" s="139"/>
      <c r="N1949" s="139"/>
      <c r="O1949" s="139"/>
      <c r="P1949" s="139"/>
      <c r="R1949" s="139"/>
      <c r="S1949" s="139"/>
      <c r="T1949" s="139"/>
      <c r="U1949" s="139"/>
      <c r="V1949" s="139"/>
      <c r="W1949" s="139"/>
      <c r="X1949" s="139"/>
      <c r="Y1949" s="139"/>
      <c r="Z1949" s="139"/>
      <c r="AA1949" s="139"/>
      <c r="AB1949" s="139"/>
      <c r="AC1949" s="139"/>
      <c r="AD1949" s="139"/>
      <c r="AE1949" s="139"/>
      <c r="AF1949" s="139"/>
      <c r="AG1949" s="139"/>
      <c r="AH1949" s="139"/>
      <c r="AI1949" s="139"/>
      <c r="AJ1949" s="139"/>
      <c r="AK1949" s="139"/>
    </row>
    <row r="1950" spans="13:37" x14ac:dyDescent="0.25">
      <c r="M1950" s="139"/>
      <c r="N1950" s="139"/>
      <c r="O1950" s="139"/>
      <c r="P1950" s="139"/>
      <c r="R1950" s="139"/>
      <c r="S1950" s="139"/>
      <c r="T1950" s="139"/>
      <c r="U1950" s="139"/>
      <c r="V1950" s="139"/>
      <c r="W1950" s="139"/>
      <c r="X1950" s="139"/>
      <c r="Y1950" s="139"/>
      <c r="Z1950" s="139"/>
      <c r="AA1950" s="139"/>
      <c r="AB1950" s="139"/>
      <c r="AC1950" s="139"/>
      <c r="AD1950" s="139"/>
      <c r="AE1950" s="139"/>
      <c r="AF1950" s="139"/>
      <c r="AG1950" s="139"/>
      <c r="AH1950" s="139"/>
      <c r="AI1950" s="139"/>
      <c r="AJ1950" s="139"/>
      <c r="AK1950" s="139"/>
    </row>
    <row r="1951" spans="13:37" x14ac:dyDescent="0.25">
      <c r="M1951" s="139"/>
      <c r="N1951" s="139"/>
      <c r="O1951" s="139"/>
      <c r="P1951" s="139"/>
      <c r="R1951" s="139"/>
      <c r="S1951" s="139"/>
      <c r="T1951" s="139"/>
      <c r="U1951" s="139"/>
      <c r="V1951" s="139"/>
      <c r="W1951" s="139"/>
      <c r="X1951" s="139"/>
      <c r="Y1951" s="139"/>
      <c r="Z1951" s="139"/>
      <c r="AA1951" s="139"/>
      <c r="AB1951" s="139"/>
      <c r="AC1951" s="139"/>
      <c r="AD1951" s="139"/>
      <c r="AE1951" s="139"/>
      <c r="AF1951" s="139"/>
      <c r="AG1951" s="139"/>
      <c r="AH1951" s="139"/>
      <c r="AI1951" s="139"/>
      <c r="AJ1951" s="139"/>
      <c r="AK1951" s="139"/>
    </row>
    <row r="1952" spans="13:37" x14ac:dyDescent="0.25">
      <c r="M1952" s="139"/>
      <c r="N1952" s="139"/>
      <c r="O1952" s="139"/>
      <c r="P1952" s="139"/>
      <c r="R1952" s="139"/>
      <c r="S1952" s="139"/>
      <c r="T1952" s="139"/>
      <c r="U1952" s="139"/>
      <c r="V1952" s="139"/>
      <c r="W1952" s="139"/>
      <c r="X1952" s="139"/>
      <c r="Y1952" s="139"/>
      <c r="Z1952" s="139"/>
      <c r="AA1952" s="139"/>
      <c r="AB1952" s="139"/>
      <c r="AC1952" s="139"/>
      <c r="AD1952" s="139"/>
      <c r="AE1952" s="139"/>
      <c r="AF1952" s="139"/>
      <c r="AG1952" s="139"/>
      <c r="AH1952" s="139"/>
      <c r="AI1952" s="139"/>
      <c r="AJ1952" s="139"/>
      <c r="AK1952" s="139"/>
    </row>
    <row r="1953" spans="13:37" x14ac:dyDescent="0.25">
      <c r="M1953" s="139"/>
      <c r="N1953" s="139"/>
      <c r="O1953" s="139"/>
      <c r="P1953" s="139"/>
      <c r="R1953" s="139"/>
      <c r="S1953" s="139"/>
      <c r="T1953" s="139"/>
      <c r="U1953" s="139"/>
      <c r="V1953" s="139"/>
      <c r="W1953" s="139"/>
      <c r="X1953" s="139"/>
      <c r="Y1953" s="139"/>
      <c r="Z1953" s="139"/>
      <c r="AA1953" s="139"/>
      <c r="AB1953" s="139"/>
      <c r="AC1953" s="139"/>
      <c r="AD1953" s="139"/>
      <c r="AE1953" s="139"/>
      <c r="AF1953" s="139"/>
      <c r="AG1953" s="139"/>
      <c r="AH1953" s="139"/>
      <c r="AI1953" s="139"/>
      <c r="AJ1953" s="139"/>
      <c r="AK1953" s="139"/>
    </row>
    <row r="1954" spans="13:37" x14ac:dyDescent="0.25">
      <c r="M1954" s="139"/>
      <c r="N1954" s="139"/>
      <c r="O1954" s="139"/>
      <c r="P1954" s="139"/>
      <c r="R1954" s="139"/>
      <c r="S1954" s="139"/>
      <c r="T1954" s="139"/>
      <c r="U1954" s="139"/>
      <c r="V1954" s="139"/>
      <c r="W1954" s="139"/>
      <c r="X1954" s="139"/>
      <c r="Y1954" s="139"/>
      <c r="Z1954" s="139"/>
      <c r="AA1954" s="139"/>
      <c r="AB1954" s="139"/>
      <c r="AC1954" s="139"/>
      <c r="AD1954" s="139"/>
      <c r="AE1954" s="139"/>
      <c r="AF1954" s="139"/>
      <c r="AG1954" s="139"/>
      <c r="AH1954" s="139"/>
      <c r="AI1954" s="139"/>
      <c r="AJ1954" s="139"/>
      <c r="AK1954" s="139"/>
    </row>
    <row r="1955" spans="13:37" x14ac:dyDescent="0.25">
      <c r="M1955" s="139"/>
      <c r="N1955" s="139"/>
      <c r="O1955" s="139"/>
      <c r="P1955" s="139"/>
      <c r="R1955" s="139"/>
      <c r="S1955" s="139"/>
      <c r="T1955" s="139"/>
      <c r="U1955" s="139"/>
      <c r="V1955" s="139"/>
      <c r="W1955" s="139"/>
      <c r="X1955" s="139"/>
      <c r="Y1955" s="139"/>
      <c r="Z1955" s="139"/>
      <c r="AA1955" s="139"/>
      <c r="AB1955" s="139"/>
      <c r="AC1955" s="139"/>
      <c r="AD1955" s="139"/>
      <c r="AE1955" s="139"/>
      <c r="AF1955" s="139"/>
      <c r="AG1955" s="139"/>
      <c r="AH1955" s="139"/>
      <c r="AI1955" s="139"/>
      <c r="AJ1955" s="139"/>
      <c r="AK1955" s="139"/>
    </row>
    <row r="1956" spans="13:37" x14ac:dyDescent="0.25">
      <c r="M1956" s="139"/>
      <c r="N1956" s="139"/>
      <c r="O1956" s="139"/>
      <c r="P1956" s="139"/>
      <c r="R1956" s="139"/>
      <c r="S1956" s="139"/>
      <c r="T1956" s="139"/>
      <c r="U1956" s="139"/>
      <c r="V1956" s="139"/>
      <c r="W1956" s="139"/>
      <c r="X1956" s="139"/>
      <c r="Y1956" s="139"/>
      <c r="Z1956" s="139"/>
      <c r="AA1956" s="139"/>
      <c r="AB1956" s="139"/>
      <c r="AC1956" s="139"/>
      <c r="AD1956" s="139"/>
      <c r="AE1956" s="139"/>
      <c r="AF1956" s="139"/>
      <c r="AG1956" s="139"/>
      <c r="AH1956" s="139"/>
      <c r="AI1956" s="139"/>
      <c r="AJ1956" s="139"/>
      <c r="AK1956" s="139"/>
    </row>
    <row r="1957" spans="13:37" x14ac:dyDescent="0.25">
      <c r="M1957" s="139"/>
      <c r="N1957" s="139"/>
      <c r="O1957" s="139"/>
      <c r="P1957" s="139"/>
      <c r="R1957" s="139"/>
      <c r="S1957" s="139"/>
      <c r="T1957" s="139"/>
      <c r="U1957" s="139"/>
      <c r="V1957" s="139"/>
      <c r="W1957" s="139"/>
      <c r="X1957" s="139"/>
      <c r="Y1957" s="139"/>
      <c r="Z1957" s="139"/>
      <c r="AA1957" s="139"/>
      <c r="AB1957" s="139"/>
      <c r="AC1957" s="139"/>
      <c r="AD1957" s="139"/>
      <c r="AE1957" s="139"/>
      <c r="AF1957" s="139"/>
      <c r="AG1957" s="139"/>
      <c r="AH1957" s="139"/>
      <c r="AI1957" s="139"/>
      <c r="AJ1957" s="139"/>
      <c r="AK1957" s="139"/>
    </row>
    <row r="1958" spans="13:37" x14ac:dyDescent="0.25">
      <c r="M1958" s="139"/>
      <c r="N1958" s="139"/>
      <c r="O1958" s="139"/>
      <c r="P1958" s="139"/>
      <c r="R1958" s="139"/>
      <c r="S1958" s="139"/>
      <c r="T1958" s="139"/>
      <c r="U1958" s="139"/>
      <c r="V1958" s="139"/>
      <c r="W1958" s="139"/>
      <c r="X1958" s="139"/>
      <c r="Y1958" s="139"/>
      <c r="Z1958" s="139"/>
      <c r="AA1958" s="139"/>
      <c r="AB1958" s="139"/>
      <c r="AC1958" s="139"/>
      <c r="AD1958" s="139"/>
      <c r="AE1958" s="139"/>
      <c r="AF1958" s="139"/>
      <c r="AG1958" s="139"/>
      <c r="AH1958" s="139"/>
      <c r="AI1958" s="139"/>
      <c r="AJ1958" s="139"/>
      <c r="AK1958" s="139"/>
    </row>
    <row r="1959" spans="13:37" x14ac:dyDescent="0.25">
      <c r="M1959" s="139"/>
      <c r="N1959" s="139"/>
      <c r="O1959" s="139"/>
      <c r="P1959" s="139"/>
      <c r="R1959" s="139"/>
      <c r="S1959" s="139"/>
      <c r="T1959" s="139"/>
      <c r="U1959" s="139"/>
      <c r="V1959" s="139"/>
      <c r="W1959" s="139"/>
      <c r="X1959" s="139"/>
      <c r="Y1959" s="139"/>
      <c r="Z1959" s="139"/>
      <c r="AA1959" s="139"/>
      <c r="AB1959" s="139"/>
      <c r="AC1959" s="139"/>
      <c r="AD1959" s="139"/>
      <c r="AE1959" s="139"/>
      <c r="AF1959" s="139"/>
      <c r="AG1959" s="139"/>
      <c r="AH1959" s="139"/>
      <c r="AI1959" s="139"/>
      <c r="AJ1959" s="139"/>
      <c r="AK1959" s="139"/>
    </row>
    <row r="1960" spans="13:37" x14ac:dyDescent="0.25">
      <c r="M1960" s="139"/>
      <c r="N1960" s="139"/>
      <c r="O1960" s="139"/>
      <c r="P1960" s="139"/>
      <c r="R1960" s="139"/>
      <c r="S1960" s="139"/>
      <c r="T1960" s="139"/>
      <c r="U1960" s="139"/>
      <c r="V1960" s="139"/>
      <c r="W1960" s="139"/>
      <c r="X1960" s="139"/>
      <c r="Y1960" s="139"/>
      <c r="Z1960" s="139"/>
      <c r="AA1960" s="139"/>
      <c r="AB1960" s="139"/>
      <c r="AC1960" s="139"/>
      <c r="AD1960" s="139"/>
      <c r="AE1960" s="139"/>
      <c r="AF1960" s="139"/>
      <c r="AG1960" s="139"/>
      <c r="AH1960" s="139"/>
      <c r="AI1960" s="139"/>
      <c r="AJ1960" s="139"/>
      <c r="AK1960" s="139"/>
    </row>
    <row r="1961" spans="13:37" x14ac:dyDescent="0.25">
      <c r="M1961" s="139"/>
      <c r="N1961" s="139"/>
      <c r="O1961" s="139"/>
      <c r="P1961" s="139"/>
      <c r="R1961" s="139"/>
      <c r="S1961" s="139"/>
      <c r="T1961" s="139"/>
      <c r="U1961" s="139"/>
      <c r="V1961" s="139"/>
      <c r="W1961" s="139"/>
      <c r="X1961" s="139"/>
      <c r="Y1961" s="139"/>
      <c r="Z1961" s="139"/>
      <c r="AA1961" s="139"/>
      <c r="AB1961" s="139"/>
      <c r="AC1961" s="139"/>
      <c r="AD1961" s="139"/>
      <c r="AE1961" s="139"/>
      <c r="AF1961" s="139"/>
      <c r="AG1961" s="139"/>
      <c r="AH1961" s="139"/>
      <c r="AI1961" s="139"/>
      <c r="AJ1961" s="139"/>
      <c r="AK1961" s="139"/>
    </row>
    <row r="1962" spans="13:37" x14ac:dyDescent="0.25">
      <c r="M1962" s="139"/>
      <c r="N1962" s="139"/>
      <c r="O1962" s="139"/>
      <c r="P1962" s="139"/>
      <c r="R1962" s="139"/>
      <c r="S1962" s="139"/>
      <c r="T1962" s="139"/>
      <c r="U1962" s="139"/>
      <c r="V1962" s="139"/>
      <c r="W1962" s="139"/>
      <c r="X1962" s="139"/>
      <c r="Y1962" s="139"/>
      <c r="Z1962" s="139"/>
      <c r="AA1962" s="139"/>
      <c r="AB1962" s="139"/>
      <c r="AC1962" s="139"/>
      <c r="AD1962" s="139"/>
      <c r="AE1962" s="139"/>
      <c r="AF1962" s="139"/>
      <c r="AG1962" s="139"/>
      <c r="AH1962" s="139"/>
      <c r="AI1962" s="139"/>
      <c r="AJ1962" s="139"/>
      <c r="AK1962" s="139"/>
    </row>
    <row r="1963" spans="13:37" x14ac:dyDescent="0.25">
      <c r="M1963" s="139"/>
      <c r="N1963" s="139"/>
      <c r="O1963" s="139"/>
      <c r="P1963" s="139"/>
      <c r="R1963" s="139"/>
      <c r="S1963" s="139"/>
      <c r="T1963" s="139"/>
      <c r="U1963" s="139"/>
      <c r="V1963" s="139"/>
      <c r="W1963" s="139"/>
      <c r="X1963" s="139"/>
      <c r="Y1963" s="139"/>
      <c r="Z1963" s="139"/>
      <c r="AA1963" s="139"/>
      <c r="AB1963" s="139"/>
      <c r="AC1963" s="139"/>
      <c r="AD1963" s="139"/>
      <c r="AE1963" s="139"/>
      <c r="AF1963" s="139"/>
      <c r="AG1963" s="139"/>
      <c r="AH1963" s="139"/>
      <c r="AI1963" s="139"/>
      <c r="AJ1963" s="139"/>
      <c r="AK1963" s="139"/>
    </row>
    <row r="1964" spans="13:37" x14ac:dyDescent="0.25">
      <c r="M1964" s="139"/>
      <c r="N1964" s="139"/>
      <c r="O1964" s="139"/>
      <c r="P1964" s="139"/>
      <c r="R1964" s="139"/>
      <c r="S1964" s="139"/>
      <c r="T1964" s="139"/>
      <c r="U1964" s="139"/>
      <c r="V1964" s="139"/>
      <c r="W1964" s="139"/>
      <c r="X1964" s="139"/>
      <c r="Y1964" s="139"/>
      <c r="Z1964" s="139"/>
      <c r="AA1964" s="139"/>
      <c r="AB1964" s="139"/>
      <c r="AC1964" s="139"/>
      <c r="AD1964" s="139"/>
      <c r="AE1964" s="139"/>
      <c r="AF1964" s="139"/>
      <c r="AG1964" s="139"/>
      <c r="AH1964" s="139"/>
      <c r="AI1964" s="139"/>
      <c r="AJ1964" s="139"/>
      <c r="AK1964" s="139"/>
    </row>
    <row r="1965" spans="13:37" x14ac:dyDescent="0.25">
      <c r="M1965" s="139"/>
      <c r="N1965" s="139"/>
      <c r="O1965" s="139"/>
      <c r="P1965" s="139"/>
      <c r="R1965" s="139"/>
      <c r="S1965" s="139"/>
      <c r="T1965" s="139"/>
      <c r="U1965" s="139"/>
      <c r="V1965" s="139"/>
      <c r="W1965" s="139"/>
      <c r="X1965" s="139"/>
      <c r="Y1965" s="139"/>
      <c r="Z1965" s="139"/>
      <c r="AA1965" s="139"/>
      <c r="AB1965" s="139"/>
      <c r="AC1965" s="139"/>
      <c r="AD1965" s="139"/>
      <c r="AE1965" s="139"/>
      <c r="AF1965" s="139"/>
      <c r="AG1965" s="139"/>
      <c r="AH1965" s="139"/>
      <c r="AI1965" s="139"/>
      <c r="AJ1965" s="139"/>
      <c r="AK1965" s="139"/>
    </row>
    <row r="1966" spans="13:37" x14ac:dyDescent="0.25">
      <c r="M1966" s="139"/>
      <c r="N1966" s="139"/>
      <c r="O1966" s="139"/>
      <c r="P1966" s="139"/>
      <c r="R1966" s="139"/>
      <c r="S1966" s="139"/>
      <c r="T1966" s="139"/>
      <c r="U1966" s="139"/>
      <c r="V1966" s="139"/>
      <c r="W1966" s="139"/>
      <c r="X1966" s="139"/>
      <c r="Y1966" s="139"/>
      <c r="Z1966" s="139"/>
      <c r="AA1966" s="139"/>
      <c r="AB1966" s="139"/>
      <c r="AC1966" s="139"/>
      <c r="AD1966" s="139"/>
      <c r="AE1966" s="139"/>
      <c r="AF1966" s="139"/>
      <c r="AG1966" s="139"/>
      <c r="AH1966" s="139"/>
      <c r="AI1966" s="139"/>
      <c r="AJ1966" s="139"/>
      <c r="AK1966" s="139"/>
    </row>
    <row r="1967" spans="13:37" x14ac:dyDescent="0.25">
      <c r="M1967" s="139"/>
      <c r="N1967" s="139"/>
      <c r="O1967" s="139"/>
      <c r="P1967" s="139"/>
      <c r="R1967" s="139"/>
      <c r="S1967" s="139"/>
      <c r="T1967" s="139"/>
      <c r="U1967" s="139"/>
      <c r="V1967" s="139"/>
      <c r="W1967" s="139"/>
      <c r="X1967" s="139"/>
      <c r="Y1967" s="139"/>
      <c r="Z1967" s="139"/>
      <c r="AA1967" s="139"/>
      <c r="AB1967" s="139"/>
      <c r="AC1967" s="139"/>
      <c r="AD1967" s="139"/>
      <c r="AE1967" s="139"/>
      <c r="AF1967" s="139"/>
      <c r="AG1967" s="139"/>
      <c r="AH1967" s="139"/>
      <c r="AI1967" s="139"/>
      <c r="AJ1967" s="139"/>
      <c r="AK1967" s="139"/>
    </row>
    <row r="1968" spans="13:37" x14ac:dyDescent="0.25">
      <c r="M1968" s="139"/>
      <c r="N1968" s="139"/>
      <c r="O1968" s="139"/>
      <c r="P1968" s="139"/>
      <c r="R1968" s="139"/>
      <c r="S1968" s="139"/>
      <c r="T1968" s="139"/>
      <c r="U1968" s="139"/>
      <c r="V1968" s="139"/>
      <c r="W1968" s="139"/>
      <c r="X1968" s="139"/>
      <c r="Y1968" s="139"/>
      <c r="Z1968" s="139"/>
      <c r="AA1968" s="139"/>
      <c r="AB1968" s="139"/>
      <c r="AC1968" s="139"/>
      <c r="AD1968" s="139"/>
      <c r="AE1968" s="139"/>
      <c r="AF1968" s="139"/>
      <c r="AG1968" s="139"/>
      <c r="AH1968" s="139"/>
      <c r="AI1968" s="139"/>
      <c r="AJ1968" s="139"/>
      <c r="AK1968" s="139"/>
    </row>
    <row r="1969" spans="13:37" x14ac:dyDescent="0.25">
      <c r="M1969" s="139"/>
      <c r="N1969" s="139"/>
      <c r="O1969" s="139"/>
      <c r="P1969" s="139"/>
      <c r="R1969" s="139"/>
      <c r="S1969" s="139"/>
      <c r="T1969" s="139"/>
      <c r="U1969" s="139"/>
      <c r="V1969" s="139"/>
      <c r="W1969" s="139"/>
      <c r="X1969" s="139"/>
      <c r="Y1969" s="139"/>
      <c r="Z1969" s="139"/>
      <c r="AA1969" s="139"/>
      <c r="AB1969" s="139"/>
      <c r="AC1969" s="139"/>
      <c r="AD1969" s="139"/>
      <c r="AE1969" s="139"/>
      <c r="AF1969" s="139"/>
      <c r="AG1969" s="139"/>
      <c r="AH1969" s="139"/>
      <c r="AI1969" s="139"/>
      <c r="AJ1969" s="139"/>
      <c r="AK1969" s="139"/>
    </row>
    <row r="1970" spans="13:37" x14ac:dyDescent="0.25">
      <c r="M1970" s="139"/>
      <c r="N1970" s="139"/>
      <c r="O1970" s="139"/>
      <c r="P1970" s="139"/>
      <c r="R1970" s="139"/>
      <c r="S1970" s="139"/>
      <c r="T1970" s="139"/>
      <c r="U1970" s="139"/>
      <c r="V1970" s="139"/>
      <c r="W1970" s="139"/>
      <c r="X1970" s="139"/>
      <c r="Y1970" s="139"/>
      <c r="Z1970" s="139"/>
      <c r="AA1970" s="139"/>
      <c r="AB1970" s="139"/>
      <c r="AC1970" s="139"/>
      <c r="AD1970" s="139"/>
      <c r="AE1970" s="139"/>
      <c r="AF1970" s="139"/>
      <c r="AG1970" s="139"/>
      <c r="AH1970" s="139"/>
      <c r="AI1970" s="139"/>
      <c r="AJ1970" s="139"/>
      <c r="AK1970" s="139"/>
    </row>
    <row r="1971" spans="13:37" x14ac:dyDescent="0.25">
      <c r="M1971" s="139"/>
      <c r="N1971" s="139"/>
      <c r="O1971" s="139"/>
      <c r="P1971" s="139"/>
      <c r="R1971" s="139"/>
      <c r="S1971" s="139"/>
      <c r="T1971" s="139"/>
      <c r="U1971" s="139"/>
      <c r="V1971" s="139"/>
      <c r="W1971" s="139"/>
      <c r="X1971" s="139"/>
      <c r="Y1971" s="139"/>
      <c r="Z1971" s="139"/>
      <c r="AA1971" s="139"/>
      <c r="AB1971" s="139"/>
      <c r="AC1971" s="139"/>
      <c r="AD1971" s="139"/>
      <c r="AE1971" s="139"/>
      <c r="AF1971" s="139"/>
      <c r="AG1971" s="139"/>
      <c r="AH1971" s="139"/>
      <c r="AI1971" s="139"/>
      <c r="AJ1971" s="139"/>
      <c r="AK1971" s="139"/>
    </row>
    <row r="1972" spans="13:37" x14ac:dyDescent="0.25">
      <c r="M1972" s="139"/>
      <c r="N1972" s="139"/>
      <c r="O1972" s="139"/>
      <c r="P1972" s="139"/>
      <c r="R1972" s="139"/>
      <c r="S1972" s="139"/>
      <c r="T1972" s="139"/>
      <c r="U1972" s="139"/>
      <c r="V1972" s="139"/>
      <c r="W1972" s="139"/>
      <c r="X1972" s="139"/>
      <c r="Y1972" s="139"/>
      <c r="Z1972" s="139"/>
      <c r="AA1972" s="139"/>
      <c r="AB1972" s="139"/>
      <c r="AC1972" s="139"/>
      <c r="AD1972" s="139"/>
      <c r="AE1972" s="139"/>
      <c r="AF1972" s="139"/>
      <c r="AG1972" s="139"/>
      <c r="AH1972" s="139"/>
      <c r="AI1972" s="139"/>
      <c r="AJ1972" s="139"/>
      <c r="AK1972" s="139"/>
    </row>
    <row r="1973" spans="13:37" x14ac:dyDescent="0.25">
      <c r="M1973" s="139"/>
      <c r="N1973" s="139"/>
      <c r="O1973" s="139"/>
      <c r="P1973" s="139"/>
      <c r="R1973" s="139"/>
      <c r="S1973" s="139"/>
      <c r="T1973" s="139"/>
      <c r="U1973" s="139"/>
      <c r="V1973" s="139"/>
      <c r="W1973" s="139"/>
      <c r="X1973" s="139"/>
      <c r="Y1973" s="139"/>
      <c r="Z1973" s="139"/>
      <c r="AA1973" s="139"/>
      <c r="AB1973" s="139"/>
      <c r="AC1973" s="139"/>
      <c r="AD1973" s="139"/>
      <c r="AE1973" s="139"/>
      <c r="AF1973" s="139"/>
      <c r="AG1973" s="139"/>
      <c r="AH1973" s="139"/>
      <c r="AI1973" s="139"/>
      <c r="AJ1973" s="139"/>
      <c r="AK1973" s="139"/>
    </row>
    <row r="1974" spans="13:37" x14ac:dyDescent="0.25">
      <c r="M1974" s="139"/>
      <c r="N1974" s="139"/>
      <c r="O1974" s="139"/>
      <c r="P1974" s="139"/>
      <c r="R1974" s="139"/>
      <c r="S1974" s="139"/>
      <c r="T1974" s="139"/>
      <c r="U1974" s="139"/>
      <c r="V1974" s="139"/>
      <c r="W1974" s="139"/>
      <c r="X1974" s="139"/>
      <c r="Y1974" s="139"/>
      <c r="Z1974" s="139"/>
      <c r="AA1974" s="139"/>
      <c r="AB1974" s="139"/>
      <c r="AC1974" s="139"/>
      <c r="AD1974" s="139"/>
      <c r="AE1974" s="139"/>
      <c r="AF1974" s="139"/>
      <c r="AG1974" s="139"/>
      <c r="AH1974" s="139"/>
      <c r="AI1974" s="139"/>
      <c r="AJ1974" s="139"/>
      <c r="AK1974" s="139"/>
    </row>
    <row r="1975" spans="13:37" x14ac:dyDescent="0.25">
      <c r="M1975" s="139"/>
      <c r="N1975" s="139"/>
      <c r="O1975" s="139"/>
      <c r="P1975" s="139"/>
      <c r="R1975" s="139"/>
      <c r="S1975" s="139"/>
      <c r="T1975" s="139"/>
      <c r="U1975" s="139"/>
      <c r="V1975" s="139"/>
      <c r="W1975" s="139"/>
      <c r="X1975" s="139"/>
      <c r="Y1975" s="139"/>
      <c r="Z1975" s="139"/>
      <c r="AA1975" s="139"/>
      <c r="AB1975" s="139"/>
      <c r="AC1975" s="139"/>
      <c r="AD1975" s="139"/>
      <c r="AE1975" s="139"/>
      <c r="AF1975" s="139"/>
      <c r="AG1975" s="139"/>
      <c r="AH1975" s="139"/>
      <c r="AI1975" s="139"/>
      <c r="AJ1975" s="139"/>
      <c r="AK1975" s="139"/>
    </row>
    <row r="1976" spans="13:37" x14ac:dyDescent="0.25">
      <c r="M1976" s="139"/>
      <c r="N1976" s="139"/>
      <c r="O1976" s="139"/>
      <c r="P1976" s="139"/>
      <c r="R1976" s="139"/>
      <c r="S1976" s="139"/>
      <c r="T1976" s="139"/>
      <c r="U1976" s="139"/>
      <c r="V1976" s="139"/>
      <c r="W1976" s="139"/>
      <c r="X1976" s="139"/>
      <c r="Y1976" s="139"/>
      <c r="Z1976" s="139"/>
      <c r="AA1976" s="139"/>
      <c r="AB1976" s="139"/>
      <c r="AC1976" s="139"/>
      <c r="AD1976" s="139"/>
      <c r="AE1976" s="139"/>
      <c r="AF1976" s="139"/>
      <c r="AG1976" s="139"/>
      <c r="AH1976" s="139"/>
      <c r="AI1976" s="139"/>
      <c r="AJ1976" s="139"/>
      <c r="AK1976" s="139"/>
    </row>
    <row r="1977" spans="13:37" x14ac:dyDescent="0.25">
      <c r="M1977" s="139"/>
      <c r="N1977" s="139"/>
      <c r="O1977" s="139"/>
      <c r="P1977" s="139"/>
      <c r="R1977" s="139"/>
      <c r="S1977" s="139"/>
      <c r="T1977" s="139"/>
      <c r="U1977" s="139"/>
      <c r="V1977" s="139"/>
      <c r="W1977" s="139"/>
      <c r="X1977" s="139"/>
      <c r="Y1977" s="139"/>
      <c r="Z1977" s="139"/>
      <c r="AA1977" s="139"/>
      <c r="AB1977" s="139"/>
      <c r="AC1977" s="139"/>
      <c r="AD1977" s="139"/>
      <c r="AE1977" s="139"/>
      <c r="AF1977" s="139"/>
      <c r="AG1977" s="139"/>
      <c r="AH1977" s="139"/>
      <c r="AI1977" s="139"/>
      <c r="AJ1977" s="139"/>
      <c r="AK1977" s="139"/>
    </row>
    <row r="1978" spans="13:37" x14ac:dyDescent="0.25">
      <c r="M1978" s="139"/>
      <c r="N1978" s="139"/>
      <c r="O1978" s="139"/>
      <c r="P1978" s="139"/>
      <c r="R1978" s="139"/>
      <c r="S1978" s="139"/>
      <c r="T1978" s="139"/>
      <c r="U1978" s="139"/>
      <c r="V1978" s="139"/>
      <c r="W1978" s="139"/>
      <c r="X1978" s="139"/>
      <c r="Y1978" s="139"/>
      <c r="Z1978" s="139"/>
      <c r="AA1978" s="139"/>
      <c r="AB1978" s="139"/>
      <c r="AC1978" s="139"/>
      <c r="AD1978" s="139"/>
      <c r="AE1978" s="139"/>
      <c r="AF1978" s="139"/>
      <c r="AG1978" s="139"/>
      <c r="AH1978" s="139"/>
      <c r="AI1978" s="139"/>
      <c r="AJ1978" s="139"/>
      <c r="AK1978" s="139"/>
    </row>
    <row r="1979" spans="13:37" x14ac:dyDescent="0.25">
      <c r="M1979" s="139"/>
      <c r="N1979" s="139"/>
      <c r="O1979" s="139"/>
      <c r="P1979" s="139"/>
      <c r="R1979" s="139"/>
      <c r="S1979" s="139"/>
      <c r="T1979" s="139"/>
      <c r="U1979" s="139"/>
      <c r="V1979" s="139"/>
      <c r="W1979" s="139"/>
      <c r="X1979" s="139"/>
      <c r="Y1979" s="139"/>
      <c r="Z1979" s="139"/>
      <c r="AA1979" s="139"/>
      <c r="AB1979" s="139"/>
      <c r="AC1979" s="139"/>
      <c r="AD1979" s="139"/>
      <c r="AE1979" s="139"/>
      <c r="AF1979" s="139"/>
      <c r="AG1979" s="139"/>
      <c r="AH1979" s="139"/>
      <c r="AI1979" s="139"/>
      <c r="AJ1979" s="139"/>
      <c r="AK1979" s="139"/>
    </row>
    <row r="1980" spans="13:37" x14ac:dyDescent="0.25">
      <c r="M1980" s="139"/>
      <c r="N1980" s="139"/>
      <c r="O1980" s="139"/>
      <c r="P1980" s="139"/>
      <c r="R1980" s="139"/>
      <c r="S1980" s="139"/>
      <c r="T1980" s="139"/>
      <c r="U1980" s="139"/>
      <c r="V1980" s="139"/>
      <c r="W1980" s="139"/>
      <c r="X1980" s="139"/>
      <c r="Y1980" s="139"/>
      <c r="Z1980" s="139"/>
      <c r="AA1980" s="139"/>
      <c r="AB1980" s="139"/>
      <c r="AC1980" s="139"/>
      <c r="AD1980" s="139"/>
      <c r="AE1980" s="139"/>
      <c r="AF1980" s="139"/>
      <c r="AG1980" s="139"/>
      <c r="AH1980" s="139"/>
      <c r="AI1980" s="139"/>
      <c r="AJ1980" s="139"/>
      <c r="AK1980" s="139"/>
    </row>
    <row r="1981" spans="13:37" x14ac:dyDescent="0.25">
      <c r="M1981" s="139"/>
      <c r="N1981" s="139"/>
      <c r="O1981" s="139"/>
      <c r="P1981" s="139"/>
      <c r="R1981" s="139"/>
      <c r="S1981" s="139"/>
      <c r="T1981" s="139"/>
      <c r="U1981" s="139"/>
      <c r="V1981" s="139"/>
      <c r="W1981" s="139"/>
      <c r="X1981" s="139"/>
      <c r="Y1981" s="139"/>
      <c r="Z1981" s="139"/>
      <c r="AA1981" s="139"/>
      <c r="AB1981" s="139"/>
      <c r="AC1981" s="139"/>
      <c r="AD1981" s="139"/>
      <c r="AE1981" s="139"/>
      <c r="AF1981" s="139"/>
      <c r="AG1981" s="139"/>
      <c r="AH1981" s="139"/>
      <c r="AI1981" s="139"/>
      <c r="AJ1981" s="139"/>
      <c r="AK1981" s="139"/>
    </row>
    <row r="1982" spans="13:37" x14ac:dyDescent="0.25">
      <c r="M1982" s="139"/>
      <c r="N1982" s="139"/>
      <c r="O1982" s="139"/>
      <c r="P1982" s="139"/>
      <c r="R1982" s="139"/>
      <c r="S1982" s="139"/>
      <c r="T1982" s="139"/>
      <c r="U1982" s="139"/>
      <c r="V1982" s="139"/>
      <c r="W1982" s="139"/>
      <c r="X1982" s="139"/>
      <c r="Y1982" s="139"/>
      <c r="Z1982" s="139"/>
      <c r="AA1982" s="139"/>
      <c r="AB1982" s="139"/>
      <c r="AC1982" s="139"/>
      <c r="AD1982" s="139"/>
      <c r="AE1982" s="139"/>
      <c r="AF1982" s="139"/>
      <c r="AG1982" s="139"/>
      <c r="AH1982" s="139"/>
      <c r="AI1982" s="139"/>
      <c r="AJ1982" s="139"/>
      <c r="AK1982" s="139"/>
    </row>
    <row r="1983" spans="13:37" x14ac:dyDescent="0.25">
      <c r="M1983" s="139"/>
      <c r="N1983" s="139"/>
      <c r="O1983" s="139"/>
      <c r="P1983" s="139"/>
      <c r="R1983" s="139"/>
      <c r="S1983" s="139"/>
      <c r="T1983" s="139"/>
      <c r="U1983" s="139"/>
      <c r="V1983" s="139"/>
      <c r="W1983" s="139"/>
      <c r="X1983" s="139"/>
      <c r="Y1983" s="139"/>
      <c r="Z1983" s="139"/>
      <c r="AA1983" s="139"/>
      <c r="AB1983" s="139"/>
      <c r="AC1983" s="139"/>
      <c r="AD1983" s="139"/>
      <c r="AE1983" s="139"/>
      <c r="AF1983" s="139"/>
      <c r="AG1983" s="139"/>
      <c r="AH1983" s="139"/>
      <c r="AI1983" s="139"/>
      <c r="AJ1983" s="139"/>
      <c r="AK1983" s="139"/>
    </row>
    <row r="1984" spans="13:37" x14ac:dyDescent="0.25">
      <c r="M1984" s="139"/>
      <c r="N1984" s="139"/>
      <c r="O1984" s="139"/>
      <c r="P1984" s="139"/>
      <c r="R1984" s="139"/>
      <c r="S1984" s="139"/>
      <c r="T1984" s="139"/>
      <c r="U1984" s="139"/>
      <c r="V1984" s="139"/>
      <c r="W1984" s="139"/>
      <c r="X1984" s="139"/>
      <c r="Y1984" s="139"/>
      <c r="Z1984" s="139"/>
      <c r="AA1984" s="139"/>
      <c r="AB1984" s="139"/>
      <c r="AC1984" s="139"/>
      <c r="AD1984" s="139"/>
      <c r="AE1984" s="139"/>
      <c r="AF1984" s="139"/>
      <c r="AG1984" s="139"/>
      <c r="AH1984" s="139"/>
      <c r="AI1984" s="139"/>
      <c r="AJ1984" s="139"/>
      <c r="AK1984" s="139"/>
    </row>
    <row r="1985" spans="13:37" x14ac:dyDescent="0.25">
      <c r="M1985" s="139"/>
      <c r="N1985" s="139"/>
      <c r="O1985" s="139"/>
      <c r="P1985" s="139"/>
      <c r="R1985" s="139"/>
      <c r="S1985" s="139"/>
      <c r="T1985" s="139"/>
      <c r="U1985" s="139"/>
      <c r="V1985" s="139"/>
      <c r="W1985" s="139"/>
      <c r="X1985" s="139"/>
      <c r="Y1985" s="139"/>
      <c r="Z1985" s="139"/>
      <c r="AA1985" s="139"/>
      <c r="AB1985" s="139"/>
      <c r="AC1985" s="139"/>
      <c r="AD1985" s="139"/>
      <c r="AE1985" s="139"/>
      <c r="AF1985" s="139"/>
      <c r="AG1985" s="139"/>
      <c r="AH1985" s="139"/>
      <c r="AI1985" s="139"/>
      <c r="AJ1985" s="139"/>
      <c r="AK1985" s="139"/>
    </row>
    <row r="1986" spans="13:37" x14ac:dyDescent="0.25">
      <c r="M1986" s="139"/>
      <c r="N1986" s="139"/>
      <c r="O1986" s="139"/>
      <c r="P1986" s="139"/>
      <c r="R1986" s="139"/>
      <c r="S1986" s="139"/>
      <c r="T1986" s="139"/>
      <c r="U1986" s="139"/>
      <c r="V1986" s="139"/>
      <c r="W1986" s="139"/>
      <c r="X1986" s="139"/>
      <c r="Y1986" s="139"/>
      <c r="Z1986" s="139"/>
      <c r="AA1986" s="139"/>
      <c r="AB1986" s="139"/>
      <c r="AC1986" s="139"/>
      <c r="AD1986" s="139"/>
      <c r="AE1986" s="139"/>
      <c r="AF1986" s="139"/>
      <c r="AG1986" s="139"/>
      <c r="AH1986" s="139"/>
      <c r="AI1986" s="139"/>
      <c r="AJ1986" s="139"/>
      <c r="AK1986" s="139"/>
    </row>
    <row r="1987" spans="13:37" x14ac:dyDescent="0.25">
      <c r="M1987" s="139"/>
      <c r="N1987" s="139"/>
      <c r="O1987" s="139"/>
      <c r="P1987" s="139"/>
      <c r="R1987" s="139"/>
      <c r="S1987" s="139"/>
      <c r="T1987" s="139"/>
      <c r="U1987" s="139"/>
      <c r="V1987" s="139"/>
      <c r="W1987" s="139"/>
      <c r="X1987" s="139"/>
      <c r="Y1987" s="139"/>
      <c r="Z1987" s="139"/>
      <c r="AA1987" s="139"/>
      <c r="AB1987" s="139"/>
      <c r="AC1987" s="139"/>
      <c r="AD1987" s="139"/>
      <c r="AE1987" s="139"/>
      <c r="AF1987" s="139"/>
      <c r="AG1987" s="139"/>
      <c r="AH1987" s="139"/>
      <c r="AI1987" s="139"/>
      <c r="AJ1987" s="139"/>
      <c r="AK1987" s="139"/>
    </row>
    <row r="1988" spans="13:37" x14ac:dyDescent="0.25">
      <c r="M1988" s="139"/>
      <c r="N1988" s="139"/>
      <c r="O1988" s="139"/>
      <c r="P1988" s="139"/>
      <c r="R1988" s="139"/>
      <c r="S1988" s="139"/>
      <c r="T1988" s="139"/>
      <c r="U1988" s="139"/>
      <c r="V1988" s="139"/>
      <c r="W1988" s="139"/>
      <c r="X1988" s="139"/>
      <c r="Y1988" s="139"/>
      <c r="Z1988" s="139"/>
      <c r="AA1988" s="139"/>
      <c r="AB1988" s="139"/>
      <c r="AC1988" s="139"/>
      <c r="AD1988" s="139"/>
      <c r="AE1988" s="139"/>
      <c r="AF1988" s="139"/>
      <c r="AG1988" s="139"/>
      <c r="AH1988" s="139"/>
      <c r="AI1988" s="139"/>
      <c r="AJ1988" s="139"/>
      <c r="AK1988" s="139"/>
    </row>
    <row r="1989" spans="13:37" x14ac:dyDescent="0.25">
      <c r="M1989" s="139"/>
      <c r="N1989" s="139"/>
      <c r="O1989" s="139"/>
      <c r="P1989" s="139"/>
      <c r="R1989" s="139"/>
      <c r="S1989" s="139"/>
      <c r="T1989" s="139"/>
      <c r="U1989" s="139"/>
      <c r="V1989" s="139"/>
      <c r="W1989" s="139"/>
      <c r="X1989" s="139"/>
      <c r="Y1989" s="139"/>
      <c r="Z1989" s="139"/>
      <c r="AA1989" s="139"/>
      <c r="AB1989" s="139"/>
      <c r="AC1989" s="139"/>
      <c r="AD1989" s="139"/>
      <c r="AE1989" s="139"/>
      <c r="AF1989" s="139"/>
      <c r="AG1989" s="139"/>
      <c r="AH1989" s="139"/>
      <c r="AI1989" s="139"/>
      <c r="AJ1989" s="139"/>
      <c r="AK1989" s="139"/>
    </row>
    <row r="1990" spans="13:37" x14ac:dyDescent="0.25">
      <c r="M1990" s="139"/>
      <c r="N1990" s="139"/>
      <c r="O1990" s="139"/>
      <c r="P1990" s="139"/>
      <c r="R1990" s="139"/>
      <c r="S1990" s="139"/>
      <c r="T1990" s="139"/>
      <c r="U1990" s="139"/>
      <c r="V1990" s="139"/>
      <c r="W1990" s="139"/>
      <c r="X1990" s="139"/>
      <c r="Y1990" s="139"/>
      <c r="Z1990" s="139"/>
      <c r="AA1990" s="139"/>
      <c r="AB1990" s="139"/>
      <c r="AC1990" s="139"/>
      <c r="AD1990" s="139"/>
      <c r="AE1990" s="139"/>
      <c r="AF1990" s="139"/>
      <c r="AG1990" s="139"/>
      <c r="AH1990" s="139"/>
      <c r="AI1990" s="139"/>
      <c r="AJ1990" s="139"/>
      <c r="AK1990" s="139"/>
    </row>
    <row r="1991" spans="13:37" x14ac:dyDescent="0.25">
      <c r="M1991" s="139"/>
      <c r="N1991" s="139"/>
      <c r="O1991" s="139"/>
      <c r="P1991" s="139"/>
      <c r="R1991" s="139"/>
      <c r="S1991" s="139"/>
      <c r="T1991" s="139"/>
      <c r="U1991" s="139"/>
      <c r="V1991" s="139"/>
      <c r="W1991" s="139"/>
      <c r="X1991" s="139"/>
      <c r="Y1991" s="139"/>
      <c r="Z1991" s="139"/>
      <c r="AA1991" s="139"/>
      <c r="AB1991" s="139"/>
      <c r="AC1991" s="139"/>
      <c r="AD1991" s="139"/>
      <c r="AE1991" s="139"/>
      <c r="AF1991" s="139"/>
      <c r="AG1991" s="139"/>
      <c r="AH1991" s="139"/>
      <c r="AI1991" s="139"/>
      <c r="AJ1991" s="139"/>
      <c r="AK1991" s="139"/>
    </row>
    <row r="1992" spans="13:37" x14ac:dyDescent="0.25">
      <c r="M1992" s="139"/>
      <c r="N1992" s="139"/>
      <c r="O1992" s="139"/>
      <c r="P1992" s="139"/>
      <c r="R1992" s="139"/>
      <c r="S1992" s="139"/>
      <c r="T1992" s="139"/>
      <c r="U1992" s="139"/>
      <c r="V1992" s="139"/>
      <c r="W1992" s="139"/>
      <c r="X1992" s="139"/>
      <c r="Y1992" s="139"/>
      <c r="Z1992" s="139"/>
      <c r="AA1992" s="139"/>
      <c r="AB1992" s="139"/>
      <c r="AC1992" s="139"/>
      <c r="AD1992" s="139"/>
      <c r="AE1992" s="139"/>
      <c r="AF1992" s="139"/>
      <c r="AG1992" s="139"/>
      <c r="AH1992" s="139"/>
      <c r="AI1992" s="139"/>
      <c r="AJ1992" s="139"/>
      <c r="AK1992" s="139"/>
    </row>
    <row r="1993" spans="13:37" x14ac:dyDescent="0.25">
      <c r="M1993" s="139"/>
      <c r="N1993" s="139"/>
      <c r="O1993" s="139"/>
      <c r="P1993" s="139"/>
      <c r="R1993" s="139"/>
      <c r="S1993" s="139"/>
      <c r="T1993" s="139"/>
      <c r="U1993" s="139"/>
      <c r="V1993" s="139"/>
      <c r="W1993" s="139"/>
      <c r="X1993" s="139"/>
      <c r="Y1993" s="139"/>
      <c r="Z1993" s="139"/>
      <c r="AA1993" s="139"/>
      <c r="AB1993" s="139"/>
      <c r="AC1993" s="139"/>
      <c r="AD1993" s="139"/>
      <c r="AE1993" s="139"/>
      <c r="AF1993" s="139"/>
      <c r="AG1993" s="139"/>
      <c r="AH1993" s="139"/>
      <c r="AI1993" s="139"/>
      <c r="AJ1993" s="139"/>
      <c r="AK1993" s="139"/>
    </row>
    <row r="1994" spans="13:37" x14ac:dyDescent="0.25">
      <c r="M1994" s="139"/>
      <c r="N1994" s="139"/>
      <c r="O1994" s="139"/>
      <c r="P1994" s="139"/>
      <c r="R1994" s="139"/>
      <c r="S1994" s="139"/>
      <c r="T1994" s="139"/>
      <c r="U1994" s="139"/>
      <c r="V1994" s="139"/>
      <c r="W1994" s="139"/>
      <c r="X1994" s="139"/>
      <c r="Y1994" s="139"/>
      <c r="Z1994" s="139"/>
      <c r="AA1994" s="139"/>
      <c r="AB1994" s="139"/>
      <c r="AC1994" s="139"/>
      <c r="AD1994" s="139"/>
      <c r="AE1994" s="139"/>
      <c r="AF1994" s="139"/>
      <c r="AG1994" s="139"/>
      <c r="AH1994" s="139"/>
      <c r="AI1994" s="139"/>
      <c r="AJ1994" s="139"/>
      <c r="AK1994" s="139"/>
    </row>
    <row r="1995" spans="13:37" x14ac:dyDescent="0.25">
      <c r="M1995" s="139"/>
      <c r="N1995" s="139"/>
      <c r="O1995" s="139"/>
      <c r="P1995" s="139"/>
      <c r="R1995" s="139"/>
      <c r="S1995" s="139"/>
      <c r="T1995" s="139"/>
      <c r="U1995" s="139"/>
      <c r="V1995" s="139"/>
      <c r="W1995" s="139"/>
      <c r="X1995" s="139"/>
      <c r="Y1995" s="139"/>
      <c r="Z1995" s="139"/>
      <c r="AA1995" s="139"/>
      <c r="AB1995" s="139"/>
      <c r="AC1995" s="139"/>
      <c r="AD1995" s="139"/>
      <c r="AE1995" s="139"/>
      <c r="AF1995" s="139"/>
      <c r="AG1995" s="139"/>
      <c r="AH1995" s="139"/>
      <c r="AI1995" s="139"/>
      <c r="AJ1995" s="139"/>
      <c r="AK1995" s="139"/>
    </row>
    <row r="1996" spans="13:37" x14ac:dyDescent="0.25">
      <c r="M1996" s="139"/>
      <c r="N1996" s="139"/>
      <c r="O1996" s="139"/>
      <c r="P1996" s="139"/>
      <c r="R1996" s="139"/>
      <c r="S1996" s="139"/>
      <c r="T1996" s="139"/>
      <c r="U1996" s="139"/>
      <c r="V1996" s="139"/>
      <c r="W1996" s="139"/>
      <c r="X1996" s="139"/>
      <c r="Y1996" s="139"/>
      <c r="Z1996" s="139"/>
      <c r="AA1996" s="139"/>
      <c r="AB1996" s="139"/>
      <c r="AC1996" s="139"/>
      <c r="AD1996" s="139"/>
      <c r="AE1996" s="139"/>
      <c r="AF1996" s="139"/>
      <c r="AG1996" s="139"/>
      <c r="AH1996" s="139"/>
      <c r="AI1996" s="139"/>
      <c r="AJ1996" s="139"/>
      <c r="AK1996" s="139"/>
    </row>
    <row r="1997" spans="13:37" x14ac:dyDescent="0.25">
      <c r="M1997" s="139"/>
      <c r="N1997" s="139"/>
      <c r="O1997" s="139"/>
      <c r="P1997" s="139"/>
      <c r="R1997" s="139"/>
      <c r="S1997" s="139"/>
      <c r="T1997" s="139"/>
      <c r="U1997" s="139"/>
      <c r="V1997" s="139"/>
      <c r="W1997" s="139"/>
      <c r="X1997" s="139"/>
      <c r="Y1997" s="139"/>
      <c r="Z1997" s="139"/>
      <c r="AA1997" s="139"/>
      <c r="AB1997" s="139"/>
      <c r="AC1997" s="139"/>
      <c r="AD1997" s="139"/>
      <c r="AE1997" s="139"/>
      <c r="AF1997" s="139"/>
      <c r="AG1997" s="139"/>
      <c r="AH1997" s="139"/>
      <c r="AI1997" s="139"/>
      <c r="AJ1997" s="139"/>
      <c r="AK1997" s="139"/>
    </row>
    <row r="1998" spans="13:37" x14ac:dyDescent="0.25">
      <c r="M1998" s="139"/>
      <c r="N1998" s="139"/>
      <c r="O1998" s="139"/>
      <c r="P1998" s="139"/>
      <c r="R1998" s="139"/>
      <c r="S1998" s="139"/>
      <c r="T1998" s="139"/>
      <c r="U1998" s="139"/>
      <c r="V1998" s="139"/>
      <c r="W1998" s="139"/>
      <c r="X1998" s="139"/>
      <c r="Y1998" s="139"/>
      <c r="Z1998" s="139"/>
      <c r="AA1998" s="139"/>
      <c r="AB1998" s="139"/>
      <c r="AC1998" s="139"/>
      <c r="AD1998" s="139"/>
      <c r="AE1998" s="139"/>
      <c r="AF1998" s="139"/>
      <c r="AG1998" s="139"/>
      <c r="AH1998" s="139"/>
      <c r="AI1998" s="139"/>
      <c r="AJ1998" s="139"/>
      <c r="AK1998" s="139"/>
    </row>
    <row r="1999" spans="13:37" x14ac:dyDescent="0.25">
      <c r="M1999" s="139"/>
      <c r="N1999" s="139"/>
      <c r="O1999" s="139"/>
      <c r="P1999" s="139"/>
      <c r="R1999" s="139"/>
      <c r="S1999" s="139"/>
      <c r="T1999" s="139"/>
      <c r="U1999" s="139"/>
      <c r="V1999" s="139"/>
      <c r="W1999" s="139"/>
      <c r="X1999" s="139"/>
      <c r="Y1999" s="139"/>
      <c r="Z1999" s="139"/>
      <c r="AA1999" s="139"/>
      <c r="AB1999" s="139"/>
      <c r="AC1999" s="139"/>
      <c r="AD1999" s="139"/>
      <c r="AE1999" s="139"/>
      <c r="AF1999" s="139"/>
      <c r="AG1999" s="139"/>
      <c r="AH1999" s="139"/>
      <c r="AI1999" s="139"/>
      <c r="AJ1999" s="139"/>
      <c r="AK1999" s="139"/>
    </row>
    <row r="2000" spans="13:37" x14ac:dyDescent="0.25">
      <c r="M2000" s="139"/>
      <c r="N2000" s="139"/>
      <c r="O2000" s="139"/>
      <c r="P2000" s="139"/>
      <c r="R2000" s="139"/>
      <c r="S2000" s="139"/>
      <c r="T2000" s="139"/>
      <c r="U2000" s="139"/>
      <c r="V2000" s="139"/>
      <c r="W2000" s="139"/>
      <c r="X2000" s="139"/>
      <c r="Y2000" s="139"/>
      <c r="Z2000" s="139"/>
      <c r="AA2000" s="139"/>
      <c r="AB2000" s="139"/>
      <c r="AC2000" s="139"/>
      <c r="AD2000" s="139"/>
      <c r="AE2000" s="139"/>
      <c r="AF2000" s="139"/>
      <c r="AG2000" s="139"/>
      <c r="AH2000" s="139"/>
      <c r="AI2000" s="139"/>
      <c r="AJ2000" s="139"/>
      <c r="AK2000" s="139"/>
    </row>
  </sheetData>
  <sheetProtection algorithmName="SHA-512" hashValue="XG/qcCRMHwOYUrCuApWVVOkzFVdKSXp6uYavYuK52uVzxUl55QxXa/6KiQbo95lcLmcfOfBhuEFe6TZjglHSMw==" saltValue="xX2rutmucgczhqeq4BNI/A==" spinCount="100000" sheet="1" objects="1" scenarios="1"/>
  <phoneticPr fontId="4" type="noConversion"/>
  <conditionalFormatting sqref="M4:M2000">
    <cfRule type="expression" dxfId="0" priority="1">
      <formula>ISERROR(MATCH($M4,$A$3:$A$2000,0))</formula>
    </cfRule>
  </conditionalFormatting>
  <dataValidations count="1">
    <dataValidation type="decimal" operator="greaterThanOrEqual" allowBlank="1" showInputMessage="1" showErrorMessage="1" errorTitle="Geen getal" error="Alleen (gehele) getallen invoeren tussen 0 en 1 miljard." sqref="F4:F1000 G4:G1000" xr:uid="{BA88F1B1-4525-46CE-AF27-B6A19D8860B7}">
      <formula1>0</formula1>
    </dataValidation>
  </dataValidations>
  <pageMargins left="0.7" right="0.7" top="0.75" bottom="0.75" header="0.3" footer="0.3"/>
  <pageSetup paperSize="9" orientation="portrait" r:id="rId1"/>
  <tableParts count="2">
    <tablePart r:id="rId2"/>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F22BA-26C9-4012-8517-892A654195DB}">
  <sheetPr codeName="Blad24">
    <tabColor rgb="FF7030A0"/>
  </sheetPr>
  <dimension ref="A1:AJ1498"/>
  <sheetViews>
    <sheetView workbookViewId="0">
      <pane xSplit="2" ySplit="1" topLeftCell="C2" activePane="bottomRight" state="frozen"/>
      <selection pane="topRight" activeCell="C1" sqref="C1"/>
      <selection pane="bottomLeft" activeCell="A2" sqref="A2"/>
      <selection pane="bottomRight" activeCell="C2" sqref="C2"/>
    </sheetView>
  </sheetViews>
  <sheetFormatPr defaultRowHeight="15" x14ac:dyDescent="0.25"/>
  <cols>
    <col min="1" max="1" width="51.7109375" bestFit="1" customWidth="1"/>
    <col min="2" max="2" width="59.5703125" customWidth="1"/>
    <col min="3" max="36" width="25.7109375" customWidth="1"/>
  </cols>
  <sheetData>
    <row r="1" spans="1:36" ht="64.5" customHeight="1" x14ac:dyDescent="0.25">
      <c r="A1" s="260" t="s">
        <v>80</v>
      </c>
      <c r="B1" s="261" t="s">
        <v>228</v>
      </c>
      <c r="C1" s="261" t="str">
        <f ca="1">OFFSET('Vast tarief'!$B$10,COLUMN(C1)-3,0)</f>
        <v>Extensiveren max. 150 kg N</v>
      </c>
      <c r="D1" s="261" t="str">
        <f ca="1">OFFSET('Vast tarief'!$B$10,COLUMN(D1)-3,0)</f>
        <v>Extensiveren max. 100 kg N</v>
      </c>
      <c r="E1" s="261" t="str">
        <f ca="1">OFFSET('Vast tarief'!$B$10,COLUMN(E1)-3,0)</f>
        <v>Geringere drooglegging 40 cm</v>
      </c>
      <c r="F1" s="261" t="str">
        <f ca="1">OFFSET('Vast tarief'!$B$10,COLUMN(F1)-3,0)</f>
        <v>Geringere drooglegging 30 cm</v>
      </c>
      <c r="G1" s="261" t="str">
        <f ca="1">OFFSET('Vast tarief'!$B$10,COLUMN(G1)-3,0)</f>
        <v>Geringere drooglegging 20 cm</v>
      </c>
      <c r="H1" s="261" t="str">
        <f ca="1">OFFSET('Vast tarief'!$B$10,COLUMN(H1)-3,0)</f>
        <v>Geringere drooglegging 40 cm met extensiveren max. 150 kg N</v>
      </c>
      <c r="I1" s="261" t="str">
        <f ca="1">OFFSET('Vast tarief'!$B$10,COLUMN(I1)-3,0)</f>
        <v>Geringere drooglegging 30 cm met extensiveren max. 150 kg N</v>
      </c>
      <c r="J1" s="261" t="str">
        <f ca="1">OFFSET('Vast tarief'!$B$10,COLUMN(J1)-3,0)</f>
        <v>Geringere drooglegging 20 cm met extensiveren max 150 kg N</v>
      </c>
      <c r="K1" s="261" t="str">
        <f ca="1">OFFSET('Vast tarief'!$B$10,COLUMN(K1)-3,0)</f>
        <v>Geringere drooglegging 40 cm met extensiveren max 100 kg N</v>
      </c>
      <c r="L1" s="261" t="str">
        <f ca="1">OFFSET('Vast tarief'!$B$10,COLUMN(L1)-3,0)</f>
        <v>Geringere drooglegging 30 cm met extensiveren max 100 kg N</v>
      </c>
      <c r="M1" s="261" t="str">
        <f ca="1">OFFSET('Vast tarief'!$B$10,COLUMN(M1)-3,0)</f>
        <v>Geringere drooglegging 20 cm met extensiveren max 100 kg N</v>
      </c>
      <c r="N1" s="261" t="str">
        <f ca="1">OFFSET('Vast tarief'!$B$10,COLUMN(N1)-3,0)</f>
        <v>Extensiveren max. 150 kg N (10/12)</v>
      </c>
      <c r="O1" s="261" t="str">
        <f ca="1">OFFSET('Vast tarief'!$B$10,COLUMN(O1)-3,0)</f>
        <v>Extensiveren max. 100 kg N (10/12)</v>
      </c>
      <c r="P1" s="261" t="str">
        <f ca="1">OFFSET('Vast tarief'!$B$10,COLUMN(P1)-3,0)</f>
        <v>Geringere drooglegging 40 cm met extensiveren max. 150 kg N (10/12)</v>
      </c>
      <c r="Q1" s="261" t="str">
        <f ca="1">OFFSET('Vast tarief'!$B$10,COLUMN(Q1)-3,0)</f>
        <v>Geringere drooglegging 30 cm met extensiveren max. 150 kg N (10/12)</v>
      </c>
      <c r="R1" s="261" t="str">
        <f ca="1">OFFSET('Vast tarief'!$B$10,COLUMN(R1)-3,0)</f>
        <v>Geringere drooglegging 20 cm met extensiveren max. 150 kg N (10/12)</v>
      </c>
      <c r="S1" s="261" t="str">
        <f ca="1">OFFSET('Vast tarief'!$B$10,COLUMN(S1)-3,0)</f>
        <v>Geringere drooglegging 40 cm met extensiveren max. 100 kg N (10/12)</v>
      </c>
      <c r="T1" s="261" t="str">
        <f ca="1">OFFSET('Vast tarief'!$B$10,COLUMN(T1)-3,0)</f>
        <v>Geringere drooglegging 30 cm met extensiveren max. 100 kg N (10/12)</v>
      </c>
      <c r="U1" s="261" t="str">
        <f ca="1">OFFSET('Vast tarief'!$B$10,COLUMN(U1)-3,0)</f>
        <v>Geringere drooglegging 20 cm met extensiveren max. 100 kg N (10/12)</v>
      </c>
      <c r="V1" s="261" t="str">
        <f ca="1">OFFSET('Vast tarief'!$B$10,COLUMN(V1)-3,0)</f>
        <v>Geringere drooglegging 40 cm (verlaging ANLB)</v>
      </c>
      <c r="W1" s="261" t="str">
        <f ca="1">OFFSET('Vast tarief'!$B$10,COLUMN(W1)-3,0)</f>
        <v>Geringere drooglegging 30 cm (verlaging ANLB)</v>
      </c>
      <c r="X1" s="261" t="str">
        <f ca="1">OFFSET('Vast tarief'!$B$10,COLUMN(X1)-3,0)</f>
        <v>Geringere drooglegging 20 cm (verlaging ANLB)</v>
      </c>
      <c r="Y1" s="261" t="str">
        <f ca="1">OFFSET('Vast tarief'!$B$10,COLUMN(Y1)-3,0)</f>
        <v>Geringere drooglegging 40 cm met extensiveren max. 150 kg N (verlaging ANLB)</v>
      </c>
      <c r="Z1" s="261" t="str">
        <f ca="1">OFFSET('Vast tarief'!$B$10,COLUMN(Z1)-3,0)</f>
        <v>Geringere drooglegging 30 cm met extensiveren max. 150 kg N (verlaging ANLB)</v>
      </c>
      <c r="AA1" s="261" t="str">
        <f ca="1">OFFSET('Vast tarief'!$B$10,COLUMN(AA1)-3,0)</f>
        <v>Geringere drooglegging 20 cm met extensiveren max 150 kg N (verlaging ANLB)</v>
      </c>
      <c r="AB1" s="261" t="str">
        <f ca="1">OFFSET('Vast tarief'!$B$10,COLUMN(AB1)-3,0)</f>
        <v>Geringere drooglegging 40 cm met extensiveren max 100 kg N (verlaging ANLB)</v>
      </c>
      <c r="AC1" s="261" t="str">
        <f ca="1">OFFSET('Vast tarief'!$B$10,COLUMN(AC1)-3,0)</f>
        <v>Geringere drooglegging 30 cm met extensiveren max 100 kg N (verlaging ANLB)</v>
      </c>
      <c r="AD1" s="261" t="str">
        <f ca="1">OFFSET('Vast tarief'!$B$10,COLUMN(AD1)-3,0)</f>
        <v>Geringere drooglegging 20 cm met extensiveren max 100 kg N (verlaging ANLB)</v>
      </c>
      <c r="AE1" s="261" t="str">
        <f ca="1">OFFSET('Vast tarief'!$B$10,COLUMN(AE1)-3,0)</f>
        <v>Geringere drooglegging 40 cm met extensiveren max. 150 kg N (10/12) (verlaging ANLB)</v>
      </c>
      <c r="AF1" s="261" t="str">
        <f ca="1">OFFSET('Vast tarief'!$B$10,COLUMN(AF1)-3,0)</f>
        <v>Geringere drooglegging 30 cm met extensiveren max. 150 kg N (10/12) (verlaging ANLB)</v>
      </c>
      <c r="AG1" s="261" t="str">
        <f ca="1">OFFSET('Vast tarief'!$B$10,COLUMN(AG1)-3,0)</f>
        <v>Geringere drooglegging 20 cm met extensiveren max. 150 kg N (10/12) (verlaging ANLB)</v>
      </c>
      <c r="AH1" s="261" t="str">
        <f ca="1">OFFSET('Vast tarief'!$B$10,COLUMN(AH1)-3,0)</f>
        <v>Geringere drooglegging 40 cm met extensiveren max. 100 kg N (10/12) (verlaging ANLB)</v>
      </c>
      <c r="AI1" s="261" t="str">
        <f ca="1">OFFSET('Vast tarief'!$B$10,COLUMN(AI1)-3,0)</f>
        <v>Geringere drooglegging 30 cm met extensiveren max. 100 kg N (10/12) (verlaging ANLB)</v>
      </c>
      <c r="AJ1" s="261" t="str">
        <f ca="1">OFFSET('Vast tarief'!$B$10,COLUMN(AJ1)-3,0)</f>
        <v>Geringere drooglegging 20 cm met extensiveren max. 100 kg N (10/12) (verlaging ANLB)</v>
      </c>
    </row>
    <row r="2" spans="1:36" x14ac:dyDescent="0.25">
      <c r="A2" s="273" t="str" cm="1">
        <f t="array" ref="A2:B3">IFERROR(_xlfn._xlws.FILTER(Tb_Activiteiten[[Openstelling]:[Subsidiabele_Activiteit]],Tb_Activiteiten[Openstelling]&lt;&gt;""),"")</f>
        <v xml:space="preserve">Samenwerkingsregeling  in Veenweiden en overgangsgebieden Natura 2000 ; Oprichten samenwerkingsverband of opstellen gebiedsplan </v>
      </c>
      <c r="B2" s="86" t="str">
        <v>Oprichten samenwerkingsverband</v>
      </c>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row>
    <row r="3" spans="1:36" x14ac:dyDescent="0.25">
      <c r="A3" s="274" t="str">
        <v xml:space="preserve">Samenwerkingsregeling  in Veenweiden en overgangsgebieden Natura 2000 ; Oprichten samenwerkingsverband of opstellen gebiedsplan </v>
      </c>
      <c r="B3" s="87" t="str">
        <v>Opstellen gebiedsplan</v>
      </c>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row>
    <row r="4" spans="1:36" x14ac:dyDescent="0.25">
      <c r="A4" s="273"/>
      <c r="B4" s="86"/>
      <c r="C4" s="86"/>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6"/>
      <c r="AF4" s="86"/>
      <c r="AG4" s="86"/>
      <c r="AH4" s="86"/>
      <c r="AI4" s="86"/>
      <c r="AJ4" s="86"/>
    </row>
    <row r="5" spans="1:36" x14ac:dyDescent="0.25">
      <c r="A5" s="274"/>
      <c r="B5" s="87"/>
      <c r="C5" s="87"/>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row>
    <row r="6" spans="1:36" x14ac:dyDescent="0.25">
      <c r="A6" s="273"/>
      <c r="B6" s="86"/>
      <c r="C6" s="86"/>
      <c r="D6" s="86"/>
      <c r="E6" s="86"/>
      <c r="F6" s="86"/>
      <c r="G6" s="86"/>
      <c r="H6" s="86"/>
      <c r="I6" s="86"/>
      <c r="J6" s="86"/>
      <c r="K6" s="86"/>
      <c r="L6" s="86"/>
      <c r="M6" s="86"/>
      <c r="N6" s="86"/>
      <c r="O6" s="86"/>
      <c r="P6" s="86"/>
      <c r="Q6" s="86"/>
      <c r="R6" s="86"/>
      <c r="S6" s="86"/>
      <c r="T6" s="86"/>
      <c r="U6" s="86"/>
      <c r="V6" s="86"/>
      <c r="W6" s="86"/>
      <c r="X6" s="86"/>
      <c r="Y6" s="86"/>
      <c r="Z6" s="86"/>
      <c r="AA6" s="86"/>
      <c r="AB6" s="86"/>
      <c r="AC6" s="86"/>
      <c r="AD6" s="86"/>
      <c r="AE6" s="86"/>
      <c r="AF6" s="86"/>
      <c r="AG6" s="86"/>
      <c r="AH6" s="86"/>
      <c r="AI6" s="86"/>
      <c r="AJ6" s="86"/>
    </row>
    <row r="7" spans="1:36" x14ac:dyDescent="0.25">
      <c r="A7" s="274"/>
      <c r="B7" s="87"/>
      <c r="C7" s="87"/>
      <c r="D7" s="87"/>
      <c r="E7" s="87"/>
      <c r="F7" s="87"/>
      <c r="G7" s="87"/>
      <c r="H7" s="87"/>
      <c r="I7" s="87"/>
      <c r="J7" s="87"/>
      <c r="K7" s="87"/>
      <c r="L7" s="87"/>
      <c r="M7" s="87"/>
      <c r="N7" s="87"/>
      <c r="O7" s="87"/>
      <c r="P7" s="87"/>
      <c r="Q7" s="87"/>
      <c r="R7" s="87"/>
      <c r="S7" s="87"/>
      <c r="T7" s="87"/>
      <c r="U7" s="87"/>
      <c r="V7" s="87"/>
      <c r="W7" s="87"/>
      <c r="X7" s="87"/>
      <c r="Y7" s="87"/>
      <c r="Z7" s="87"/>
      <c r="AA7" s="87"/>
      <c r="AB7" s="87"/>
      <c r="AC7" s="87"/>
      <c r="AD7" s="87"/>
      <c r="AE7" s="87"/>
      <c r="AF7" s="87"/>
      <c r="AG7" s="87"/>
      <c r="AH7" s="87"/>
      <c r="AI7" s="87"/>
      <c r="AJ7" s="87"/>
    </row>
    <row r="8" spans="1:36" x14ac:dyDescent="0.25">
      <c r="A8" s="273"/>
      <c r="B8" s="86"/>
      <c r="C8" s="86"/>
      <c r="D8" s="86"/>
      <c r="E8" s="86"/>
      <c r="F8" s="86"/>
      <c r="G8" s="86"/>
      <c r="H8" s="86"/>
      <c r="I8" s="86"/>
      <c r="J8" s="86"/>
      <c r="K8" s="86"/>
      <c r="L8" s="86"/>
      <c r="M8" s="86"/>
      <c r="N8" s="86"/>
      <c r="O8" s="86"/>
      <c r="P8" s="86"/>
      <c r="Q8" s="86"/>
      <c r="R8" s="86"/>
      <c r="S8" s="86"/>
      <c r="T8" s="86"/>
      <c r="U8" s="86"/>
      <c r="V8" s="86"/>
      <c r="W8" s="86"/>
      <c r="X8" s="86"/>
      <c r="Y8" s="86"/>
      <c r="Z8" s="86"/>
      <c r="AA8" s="86"/>
      <c r="AB8" s="86"/>
      <c r="AC8" s="86"/>
      <c r="AD8" s="86"/>
      <c r="AE8" s="86"/>
      <c r="AF8" s="86"/>
      <c r="AG8" s="86"/>
      <c r="AH8" s="86"/>
      <c r="AI8" s="86"/>
      <c r="AJ8" s="86"/>
    </row>
    <row r="9" spans="1:36" x14ac:dyDescent="0.25">
      <c r="A9" s="274"/>
      <c r="B9" s="87"/>
      <c r="C9" s="87"/>
      <c r="D9" s="87"/>
      <c r="E9" s="87"/>
      <c r="F9" s="87"/>
      <c r="G9" s="87"/>
      <c r="H9" s="87"/>
      <c r="I9" s="87"/>
      <c r="J9" s="87"/>
      <c r="K9" s="87"/>
      <c r="L9" s="87"/>
      <c r="M9" s="87"/>
      <c r="N9" s="87"/>
      <c r="O9" s="87"/>
      <c r="P9" s="87"/>
      <c r="Q9" s="87"/>
      <c r="R9" s="87"/>
      <c r="S9" s="87"/>
      <c r="T9" s="87"/>
      <c r="U9" s="87"/>
      <c r="V9" s="87"/>
      <c r="W9" s="87"/>
      <c r="X9" s="87"/>
      <c r="Y9" s="87"/>
      <c r="Z9" s="87"/>
      <c r="AA9" s="87"/>
      <c r="AB9" s="87"/>
      <c r="AC9" s="87"/>
      <c r="AD9" s="87"/>
      <c r="AE9" s="87"/>
      <c r="AF9" s="87"/>
      <c r="AG9" s="87"/>
      <c r="AH9" s="87"/>
      <c r="AI9" s="87"/>
      <c r="AJ9" s="87"/>
    </row>
    <row r="10" spans="1:36" x14ac:dyDescent="0.25">
      <c r="A10" s="273"/>
      <c r="B10" s="86"/>
      <c r="C10" s="86"/>
      <c r="D10" s="86"/>
      <c r="E10" s="86"/>
      <c r="F10" s="86"/>
      <c r="G10" s="86"/>
      <c r="H10" s="86"/>
      <c r="I10" s="86"/>
      <c r="J10" s="86"/>
      <c r="K10" s="86"/>
      <c r="L10" s="86"/>
      <c r="M10" s="86"/>
      <c r="N10" s="86"/>
      <c r="O10" s="86"/>
      <c r="P10" s="86"/>
      <c r="Q10" s="86"/>
      <c r="R10" s="86"/>
      <c r="S10" s="86"/>
      <c r="T10" s="86"/>
      <c r="U10" s="86"/>
      <c r="V10" s="86"/>
      <c r="W10" s="86"/>
      <c r="X10" s="86"/>
      <c r="Y10" s="86"/>
      <c r="Z10" s="86"/>
      <c r="AA10" s="86"/>
      <c r="AB10" s="86"/>
      <c r="AC10" s="86"/>
      <c r="AD10" s="86"/>
      <c r="AE10" s="86"/>
      <c r="AF10" s="86"/>
      <c r="AG10" s="86"/>
      <c r="AH10" s="86"/>
      <c r="AI10" s="86"/>
      <c r="AJ10" s="86"/>
    </row>
    <row r="11" spans="1:36" x14ac:dyDescent="0.25">
      <c r="A11" s="274"/>
      <c r="B11" s="87"/>
      <c r="C11" s="87"/>
      <c r="D11" s="87"/>
      <c r="E11" s="87"/>
      <c r="F11" s="87"/>
      <c r="G11" s="87"/>
      <c r="H11" s="87"/>
      <c r="I11" s="87"/>
      <c r="J11" s="87"/>
      <c r="K11" s="87"/>
      <c r="L11" s="87"/>
      <c r="M11" s="87"/>
      <c r="N11" s="87"/>
      <c r="O11" s="87"/>
      <c r="P11" s="87"/>
      <c r="Q11" s="87"/>
      <c r="R11" s="87"/>
      <c r="S11" s="87"/>
      <c r="T11" s="87"/>
      <c r="U11" s="87"/>
      <c r="V11" s="87"/>
      <c r="W11" s="87"/>
      <c r="X11" s="87"/>
      <c r="Y11" s="87"/>
      <c r="Z11" s="87"/>
      <c r="AA11" s="87"/>
      <c r="AB11" s="87"/>
      <c r="AC11" s="87"/>
      <c r="AD11" s="87"/>
      <c r="AE11" s="87"/>
      <c r="AF11" s="87"/>
      <c r="AG11" s="87"/>
      <c r="AH11" s="87"/>
      <c r="AI11" s="87"/>
      <c r="AJ11" s="87"/>
    </row>
    <row r="12" spans="1:36" x14ac:dyDescent="0.25">
      <c r="A12" s="273"/>
      <c r="B12" s="86"/>
      <c r="C12" s="86"/>
      <c r="D12" s="86"/>
      <c r="E12" s="86"/>
      <c r="F12" s="86"/>
      <c r="G12" s="86"/>
      <c r="H12" s="86"/>
      <c r="I12" s="86"/>
      <c r="J12" s="86"/>
      <c r="K12" s="86"/>
      <c r="L12" s="86"/>
      <c r="M12" s="86"/>
      <c r="N12" s="86"/>
      <c r="O12" s="86"/>
      <c r="P12" s="86"/>
      <c r="Q12" s="86"/>
      <c r="R12" s="86"/>
      <c r="S12" s="86"/>
      <c r="T12" s="86"/>
      <c r="U12" s="86"/>
      <c r="V12" s="86"/>
      <c r="W12" s="86"/>
      <c r="X12" s="86"/>
      <c r="Y12" s="86"/>
      <c r="Z12" s="86"/>
      <c r="AA12" s="86"/>
      <c r="AB12" s="86"/>
      <c r="AC12" s="86"/>
      <c r="AD12" s="86"/>
      <c r="AE12" s="86"/>
      <c r="AF12" s="86"/>
      <c r="AG12" s="86"/>
      <c r="AH12" s="86"/>
      <c r="AI12" s="86"/>
      <c r="AJ12" s="86"/>
    </row>
    <row r="13" spans="1:36" x14ac:dyDescent="0.25">
      <c r="A13" s="274"/>
      <c r="B13" s="87"/>
      <c r="C13" s="87"/>
      <c r="D13" s="87"/>
      <c r="E13" s="87"/>
      <c r="F13" s="87"/>
      <c r="G13" s="87"/>
      <c r="H13" s="87"/>
      <c r="I13" s="87"/>
      <c r="J13" s="87"/>
      <c r="K13" s="87"/>
      <c r="L13" s="87"/>
      <c r="M13" s="87"/>
      <c r="N13" s="87"/>
      <c r="O13" s="87"/>
      <c r="P13" s="87"/>
      <c r="Q13" s="87"/>
      <c r="R13" s="87"/>
      <c r="S13" s="87"/>
      <c r="T13" s="87"/>
      <c r="U13" s="87"/>
      <c r="V13" s="87"/>
      <c r="W13" s="87"/>
      <c r="X13" s="87"/>
      <c r="Y13" s="87"/>
      <c r="Z13" s="87"/>
      <c r="AA13" s="87"/>
      <c r="AB13" s="87"/>
      <c r="AC13" s="87"/>
      <c r="AD13" s="87"/>
      <c r="AE13" s="87"/>
      <c r="AF13" s="87"/>
      <c r="AG13" s="87"/>
      <c r="AH13" s="87"/>
      <c r="AI13" s="87"/>
      <c r="AJ13" s="87"/>
    </row>
    <row r="14" spans="1:36" x14ac:dyDescent="0.25">
      <c r="A14" s="273"/>
      <c r="B14" s="86"/>
      <c r="C14" s="86"/>
      <c r="D14" s="86"/>
      <c r="E14" s="86"/>
      <c r="F14" s="86"/>
      <c r="G14" s="86"/>
      <c r="H14" s="86"/>
      <c r="I14" s="86"/>
      <c r="J14" s="86"/>
      <c r="K14" s="86"/>
      <c r="L14" s="86"/>
      <c r="M14" s="86"/>
      <c r="N14" s="86"/>
      <c r="O14" s="86"/>
      <c r="P14" s="86"/>
      <c r="Q14" s="86"/>
      <c r="R14" s="86"/>
      <c r="S14" s="86"/>
      <c r="T14" s="86"/>
      <c r="U14" s="86"/>
      <c r="V14" s="86"/>
      <c r="W14" s="86"/>
      <c r="X14" s="86"/>
      <c r="Y14" s="86"/>
      <c r="Z14" s="86"/>
      <c r="AA14" s="86"/>
      <c r="AB14" s="86"/>
      <c r="AC14" s="86"/>
      <c r="AD14" s="86"/>
      <c r="AE14" s="86"/>
      <c r="AF14" s="86"/>
      <c r="AG14" s="86"/>
      <c r="AH14" s="86"/>
      <c r="AI14" s="86"/>
      <c r="AJ14" s="86"/>
    </row>
    <row r="15" spans="1:36" x14ac:dyDescent="0.25">
      <c r="A15" s="274"/>
      <c r="B15" s="87"/>
      <c r="C15" s="87"/>
      <c r="D15" s="87"/>
      <c r="E15" s="87"/>
      <c r="F15" s="87"/>
      <c r="G15" s="87"/>
      <c r="H15" s="87"/>
      <c r="I15" s="87"/>
      <c r="J15" s="87"/>
      <c r="K15" s="87"/>
      <c r="L15" s="87"/>
      <c r="M15" s="87"/>
      <c r="N15" s="87"/>
      <c r="O15" s="87"/>
      <c r="P15" s="87"/>
      <c r="Q15" s="87"/>
      <c r="R15" s="87"/>
      <c r="S15" s="87"/>
      <c r="T15" s="87"/>
      <c r="U15" s="87"/>
      <c r="V15" s="87"/>
      <c r="W15" s="87"/>
      <c r="X15" s="87"/>
      <c r="Y15" s="87"/>
      <c r="Z15" s="87"/>
      <c r="AA15" s="87"/>
      <c r="AB15" s="87"/>
      <c r="AC15" s="87"/>
      <c r="AD15" s="87"/>
      <c r="AE15" s="87"/>
      <c r="AF15" s="87"/>
      <c r="AG15" s="87"/>
      <c r="AH15" s="87"/>
      <c r="AI15" s="87"/>
      <c r="AJ15" s="87"/>
    </row>
    <row r="16" spans="1:36" x14ac:dyDescent="0.25">
      <c r="A16" s="273"/>
      <c r="B16" s="86"/>
      <c r="C16" s="86"/>
      <c r="D16" s="86"/>
      <c r="E16" s="86"/>
      <c r="F16" s="86"/>
      <c r="G16" s="86"/>
      <c r="H16" s="86"/>
      <c r="I16" s="86"/>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row>
    <row r="17" spans="1:36" x14ac:dyDescent="0.25">
      <c r="A17" s="274"/>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87"/>
      <c r="AH17" s="87"/>
      <c r="AI17" s="87"/>
      <c r="AJ17" s="87"/>
    </row>
    <row r="18" spans="1:36" x14ac:dyDescent="0.25">
      <c r="A18" s="273"/>
      <c r="B18" s="86"/>
      <c r="C18" s="86"/>
      <c r="D18" s="86"/>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row>
    <row r="19" spans="1:36" x14ac:dyDescent="0.25">
      <c r="A19" s="274"/>
      <c r="B19" s="87"/>
      <c r="C19" s="87"/>
      <c r="D19" s="87"/>
      <c r="E19" s="87"/>
      <c r="F19" s="87"/>
      <c r="G19" s="87"/>
      <c r="H19" s="87"/>
      <c r="I19" s="87"/>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row>
    <row r="20" spans="1:36" x14ac:dyDescent="0.25">
      <c r="A20" s="273"/>
      <c r="B20" s="86"/>
      <c r="C20" s="86"/>
      <c r="D20" s="86"/>
      <c r="E20" s="86"/>
      <c r="F20" s="86"/>
      <c r="G20" s="86"/>
      <c r="H20" s="86"/>
      <c r="I20" s="86"/>
      <c r="J20" s="86"/>
      <c r="K20" s="86"/>
      <c r="L20" s="86"/>
      <c r="M20" s="86"/>
      <c r="N20" s="86"/>
      <c r="O20" s="86"/>
      <c r="P20" s="86"/>
      <c r="Q20" s="86"/>
      <c r="R20" s="86"/>
      <c r="S20" s="86"/>
      <c r="T20" s="86"/>
      <c r="U20" s="86"/>
      <c r="V20" s="86"/>
      <c r="W20" s="86"/>
      <c r="X20" s="86"/>
      <c r="Y20" s="86"/>
      <c r="Z20" s="86"/>
      <c r="AA20" s="86"/>
      <c r="AB20" s="86"/>
      <c r="AC20" s="86"/>
      <c r="AD20" s="86"/>
      <c r="AE20" s="86"/>
      <c r="AF20" s="86"/>
      <c r="AG20" s="86"/>
      <c r="AH20" s="86"/>
      <c r="AI20" s="86"/>
      <c r="AJ20" s="86"/>
    </row>
    <row r="21" spans="1:36" x14ac:dyDescent="0.25">
      <c r="A21" s="274"/>
      <c r="B21" s="87"/>
      <c r="C21" s="87"/>
      <c r="D21" s="87"/>
      <c r="E21" s="87"/>
      <c r="F21" s="87"/>
      <c r="G21" s="87"/>
      <c r="H21" s="87"/>
      <c r="I21" s="87"/>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row>
    <row r="22" spans="1:36" x14ac:dyDescent="0.25">
      <c r="A22" s="273"/>
      <c r="B22" s="86"/>
      <c r="C22" s="86"/>
      <c r="D22" s="86"/>
      <c r="E22" s="86"/>
      <c r="F22" s="86"/>
      <c r="G22" s="86"/>
      <c r="H22" s="86"/>
      <c r="I22" s="86"/>
      <c r="J22" s="86"/>
      <c r="K22" s="86"/>
      <c r="L22" s="86"/>
      <c r="M22" s="86"/>
      <c r="N22" s="86"/>
      <c r="O22" s="86"/>
      <c r="P22" s="86"/>
      <c r="Q22" s="86"/>
      <c r="R22" s="86"/>
      <c r="S22" s="86"/>
      <c r="T22" s="86"/>
      <c r="U22" s="86"/>
      <c r="V22" s="86"/>
      <c r="W22" s="86"/>
      <c r="X22" s="86"/>
      <c r="Y22" s="86"/>
      <c r="Z22" s="86"/>
      <c r="AA22" s="86"/>
      <c r="AB22" s="86"/>
      <c r="AC22" s="86"/>
      <c r="AD22" s="86"/>
      <c r="AE22" s="86"/>
      <c r="AF22" s="86"/>
      <c r="AG22" s="86"/>
      <c r="AH22" s="86"/>
      <c r="AI22" s="86"/>
      <c r="AJ22" s="86"/>
    </row>
    <row r="23" spans="1:36" x14ac:dyDescent="0.25">
      <c r="A23" s="274"/>
      <c r="B23" s="87"/>
      <c r="C23" s="87"/>
      <c r="D23" s="87"/>
      <c r="E23" s="87"/>
      <c r="F23" s="87"/>
      <c r="G23" s="87"/>
      <c r="H23" s="87"/>
      <c r="I23" s="87"/>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row>
    <row r="24" spans="1:36" x14ac:dyDescent="0.25">
      <c r="A24" s="273"/>
      <c r="B24" s="86"/>
      <c r="C24" s="86"/>
      <c r="D24" s="86"/>
      <c r="E24" s="86"/>
      <c r="F24" s="86"/>
      <c r="G24" s="86"/>
      <c r="H24" s="86"/>
      <c r="I24" s="86"/>
      <c r="J24" s="86"/>
      <c r="K24" s="86"/>
      <c r="L24" s="86"/>
      <c r="M24" s="86"/>
      <c r="N24" s="86"/>
      <c r="O24" s="86"/>
      <c r="P24" s="86"/>
      <c r="Q24" s="86"/>
      <c r="R24" s="86"/>
      <c r="S24" s="86"/>
      <c r="T24" s="86"/>
      <c r="U24" s="86"/>
      <c r="V24" s="86"/>
      <c r="W24" s="86"/>
      <c r="X24" s="86"/>
      <c r="Y24" s="86"/>
      <c r="Z24" s="86"/>
      <c r="AA24" s="86"/>
      <c r="AB24" s="86"/>
      <c r="AC24" s="86"/>
      <c r="AD24" s="86"/>
      <c r="AE24" s="86"/>
      <c r="AF24" s="86"/>
      <c r="AG24" s="86"/>
      <c r="AH24" s="86"/>
      <c r="AI24" s="86"/>
      <c r="AJ24" s="86"/>
    </row>
    <row r="25" spans="1:36" x14ac:dyDescent="0.25">
      <c r="A25" s="274"/>
      <c r="B25" s="87"/>
      <c r="C25" s="87"/>
      <c r="D25" s="87"/>
      <c r="E25" s="87"/>
      <c r="F25" s="87"/>
      <c r="G25" s="87"/>
      <c r="H25" s="87"/>
      <c r="I25" s="87"/>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row>
    <row r="26" spans="1:36" x14ac:dyDescent="0.25">
      <c r="A26" s="273"/>
      <c r="B26" s="86"/>
      <c r="C26" s="86"/>
      <c r="D26" s="86"/>
      <c r="E26" s="86"/>
      <c r="F26" s="86"/>
      <c r="G26" s="86"/>
      <c r="H26" s="86"/>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86"/>
      <c r="AH26" s="86"/>
      <c r="AI26" s="86"/>
      <c r="AJ26" s="86"/>
    </row>
    <row r="27" spans="1:36" x14ac:dyDescent="0.25">
      <c r="A27" s="274"/>
      <c r="B27" s="87"/>
      <c r="C27" s="87"/>
      <c r="D27" s="87"/>
      <c r="E27" s="87"/>
      <c r="F27" s="87"/>
      <c r="G27" s="87"/>
      <c r="H27" s="87"/>
      <c r="I27" s="87"/>
      <c r="J27" s="87"/>
      <c r="K27" s="87"/>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87"/>
    </row>
    <row r="28" spans="1:36" x14ac:dyDescent="0.25">
      <c r="A28" s="273"/>
      <c r="B28" s="86"/>
      <c r="C28" s="86"/>
      <c r="D28" s="86"/>
      <c r="E28" s="86"/>
      <c r="F28" s="86"/>
      <c r="G28" s="86"/>
      <c r="H28" s="86"/>
      <c r="I28" s="86"/>
      <c r="J28" s="86"/>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row>
    <row r="29" spans="1:36" x14ac:dyDescent="0.25">
      <c r="A29" s="274"/>
      <c r="B29" s="87"/>
      <c r="C29" s="87"/>
      <c r="D29" s="87"/>
      <c r="E29" s="87"/>
      <c r="F29" s="87"/>
      <c r="G29" s="87"/>
      <c r="H29" s="87"/>
      <c r="I29" s="87"/>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row>
    <row r="30" spans="1:36" x14ac:dyDescent="0.25">
      <c r="A30" s="273"/>
      <c r="B30" s="86"/>
      <c r="C30" s="86"/>
      <c r="D30" s="86"/>
      <c r="E30" s="86"/>
      <c r="F30" s="86"/>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6"/>
      <c r="AH30" s="86"/>
      <c r="AI30" s="86"/>
      <c r="AJ30" s="86"/>
    </row>
    <row r="31" spans="1:36" x14ac:dyDescent="0.25">
      <c r="A31" s="274"/>
      <c r="B31" s="87"/>
      <c r="C31" s="87"/>
      <c r="D31" s="87"/>
      <c r="E31" s="87"/>
      <c r="F31" s="87"/>
      <c r="G31" s="87"/>
      <c r="H31" s="87"/>
      <c r="I31" s="87"/>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row>
    <row r="32" spans="1:36" x14ac:dyDescent="0.25">
      <c r="A32" s="273"/>
      <c r="B32" s="86"/>
      <c r="C32" s="86"/>
      <c r="D32" s="86"/>
      <c r="E32" s="86"/>
      <c r="F32" s="86"/>
      <c r="G32" s="86"/>
      <c r="H32" s="86"/>
      <c r="I32" s="86"/>
      <c r="J32" s="86"/>
      <c r="K32" s="86"/>
      <c r="L32" s="86"/>
      <c r="M32" s="86"/>
      <c r="N32" s="86"/>
      <c r="O32" s="86"/>
      <c r="P32" s="86"/>
      <c r="Q32" s="86"/>
      <c r="R32" s="86"/>
      <c r="S32" s="86"/>
      <c r="T32" s="86"/>
      <c r="U32" s="86"/>
      <c r="V32" s="86"/>
      <c r="W32" s="86"/>
      <c r="X32" s="86"/>
      <c r="Y32" s="86"/>
      <c r="Z32" s="86"/>
      <c r="AA32" s="86"/>
      <c r="AB32" s="86"/>
      <c r="AC32" s="86"/>
      <c r="AD32" s="86"/>
      <c r="AE32" s="86"/>
      <c r="AF32" s="86"/>
      <c r="AG32" s="86"/>
      <c r="AH32" s="86"/>
      <c r="AI32" s="86"/>
      <c r="AJ32" s="86"/>
    </row>
    <row r="33" spans="1:36" x14ac:dyDescent="0.25">
      <c r="A33" s="274"/>
      <c r="B33" s="87"/>
      <c r="C33" s="87"/>
      <c r="D33" s="87"/>
      <c r="E33" s="87"/>
      <c r="F33" s="87"/>
      <c r="G33" s="87"/>
      <c r="H33" s="87"/>
      <c r="I33" s="87"/>
      <c r="J33" s="87"/>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row>
    <row r="34" spans="1:36" x14ac:dyDescent="0.25">
      <c r="A34" s="273"/>
      <c r="B34" s="86"/>
      <c r="C34" s="86"/>
      <c r="D34" s="86"/>
      <c r="E34" s="86"/>
      <c r="F34" s="86"/>
      <c r="G34" s="86"/>
      <c r="H34" s="86"/>
      <c r="I34" s="86"/>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row>
    <row r="35" spans="1:36" x14ac:dyDescent="0.25">
      <c r="A35" s="274"/>
      <c r="B35" s="87"/>
      <c r="C35" s="87"/>
      <c r="D35" s="87"/>
      <c r="E35" s="87"/>
      <c r="F35" s="87"/>
      <c r="G35" s="87"/>
      <c r="H35" s="87"/>
      <c r="I35" s="87"/>
      <c r="J35" s="87"/>
      <c r="K35" s="87"/>
      <c r="L35" s="87"/>
      <c r="M35" s="87"/>
      <c r="N35" s="87"/>
      <c r="O35" s="87"/>
      <c r="P35" s="87"/>
      <c r="Q35" s="87"/>
      <c r="R35" s="87"/>
      <c r="S35" s="87"/>
      <c r="T35" s="87"/>
      <c r="U35" s="87"/>
      <c r="V35" s="87"/>
      <c r="W35" s="87"/>
      <c r="X35" s="87"/>
      <c r="Y35" s="87"/>
      <c r="Z35" s="87"/>
      <c r="AA35" s="87"/>
      <c r="AB35" s="87"/>
      <c r="AC35" s="87"/>
      <c r="AD35" s="87"/>
      <c r="AE35" s="87"/>
      <c r="AF35" s="87"/>
      <c r="AG35" s="87"/>
      <c r="AH35" s="87"/>
      <c r="AI35" s="87"/>
      <c r="AJ35" s="87"/>
    </row>
    <row r="36" spans="1:36" x14ac:dyDescent="0.25">
      <c r="A36" s="273"/>
      <c r="B36" s="86"/>
      <c r="C36" s="86"/>
      <c r="D36" s="86"/>
      <c r="E36" s="86"/>
      <c r="F36" s="86"/>
      <c r="G36" s="86"/>
      <c r="H36" s="86"/>
      <c r="I36" s="86"/>
      <c r="J36" s="86"/>
      <c r="K36" s="86"/>
      <c r="L36" s="86"/>
      <c r="M36" s="86"/>
      <c r="N36" s="86"/>
      <c r="O36" s="86"/>
      <c r="P36" s="86"/>
      <c r="Q36" s="86"/>
      <c r="R36" s="86"/>
      <c r="S36" s="86"/>
      <c r="T36" s="86"/>
      <c r="U36" s="86"/>
      <c r="V36" s="86"/>
      <c r="W36" s="86"/>
      <c r="X36" s="86"/>
      <c r="Y36" s="86"/>
      <c r="Z36" s="86"/>
      <c r="AA36" s="86"/>
      <c r="AB36" s="86"/>
      <c r="AC36" s="86"/>
      <c r="AD36" s="86"/>
      <c r="AE36" s="86"/>
      <c r="AF36" s="86"/>
      <c r="AG36" s="86"/>
      <c r="AH36" s="86"/>
      <c r="AI36" s="86"/>
      <c r="AJ36" s="86"/>
    </row>
    <row r="37" spans="1:36" x14ac:dyDescent="0.25">
      <c r="A37" s="274"/>
      <c r="B37" s="87"/>
      <c r="C37" s="87"/>
      <c r="D37" s="87"/>
      <c r="E37" s="87"/>
      <c r="F37" s="87"/>
      <c r="G37" s="87"/>
      <c r="H37" s="87"/>
      <c r="I37" s="87"/>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row>
    <row r="38" spans="1:36" x14ac:dyDescent="0.25">
      <c r="A38" s="273"/>
      <c r="B38" s="86"/>
      <c r="C38" s="86"/>
      <c r="D38" s="86"/>
      <c r="E38" s="86"/>
      <c r="F38" s="86"/>
      <c r="G38" s="86"/>
      <c r="H38" s="86"/>
      <c r="I38" s="86"/>
      <c r="J38" s="86"/>
      <c r="K38" s="86"/>
      <c r="L38" s="86"/>
      <c r="M38" s="86"/>
      <c r="N38" s="86"/>
      <c r="O38" s="86"/>
      <c r="P38" s="86"/>
      <c r="Q38" s="86"/>
      <c r="R38" s="86"/>
      <c r="S38" s="86"/>
      <c r="T38" s="86"/>
      <c r="U38" s="86"/>
      <c r="V38" s="86"/>
      <c r="W38" s="86"/>
      <c r="X38" s="86"/>
      <c r="Y38" s="86"/>
      <c r="Z38" s="86"/>
      <c r="AA38" s="86"/>
      <c r="AB38" s="86"/>
      <c r="AC38" s="86"/>
      <c r="AD38" s="86"/>
      <c r="AE38" s="86"/>
      <c r="AF38" s="86"/>
      <c r="AG38" s="86"/>
      <c r="AH38" s="86"/>
      <c r="AI38" s="86"/>
      <c r="AJ38" s="86"/>
    </row>
    <row r="39" spans="1:36" x14ac:dyDescent="0.25">
      <c r="A39" s="274"/>
      <c r="B39" s="87"/>
      <c r="C39" s="87"/>
      <c r="D39" s="87"/>
      <c r="E39" s="87"/>
      <c r="F39" s="87"/>
      <c r="G39" s="87"/>
      <c r="H39" s="87"/>
      <c r="I39" s="87"/>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row>
    <row r="40" spans="1:36" x14ac:dyDescent="0.25">
      <c r="A40" s="273"/>
      <c r="B40" s="86"/>
      <c r="C40" s="86"/>
      <c r="D40" s="86"/>
      <c r="E40" s="86"/>
      <c r="F40" s="86"/>
      <c r="G40" s="86"/>
      <c r="H40" s="86"/>
      <c r="I40" s="86"/>
      <c r="J40" s="86"/>
      <c r="K40" s="86"/>
      <c r="L40" s="86"/>
      <c r="M40" s="86"/>
      <c r="N40" s="86"/>
      <c r="O40" s="86"/>
      <c r="P40" s="86"/>
      <c r="Q40" s="86"/>
      <c r="R40" s="86"/>
      <c r="S40" s="86"/>
      <c r="T40" s="86"/>
      <c r="U40" s="86"/>
      <c r="V40" s="86"/>
      <c r="W40" s="86"/>
      <c r="X40" s="86"/>
      <c r="Y40" s="86"/>
      <c r="Z40" s="86"/>
      <c r="AA40" s="86"/>
      <c r="AB40" s="86"/>
      <c r="AC40" s="86"/>
      <c r="AD40" s="86"/>
      <c r="AE40" s="86"/>
      <c r="AF40" s="86"/>
      <c r="AG40" s="86"/>
      <c r="AH40" s="86"/>
      <c r="AI40" s="86"/>
      <c r="AJ40" s="86"/>
    </row>
    <row r="41" spans="1:36" x14ac:dyDescent="0.25">
      <c r="A41" s="274"/>
      <c r="B41" s="87"/>
      <c r="C41" s="87"/>
      <c r="D41" s="87"/>
      <c r="E41" s="87"/>
      <c r="F41" s="87"/>
      <c r="G41" s="87"/>
      <c r="H41" s="87"/>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row>
    <row r="42" spans="1:36" x14ac:dyDescent="0.25">
      <c r="A42" s="273"/>
      <c r="B42" s="86"/>
      <c r="C42" s="86"/>
      <c r="D42" s="86"/>
      <c r="E42" s="86"/>
      <c r="F42" s="86"/>
      <c r="G42" s="86"/>
      <c r="H42" s="86"/>
      <c r="I42" s="86"/>
      <c r="J42" s="86"/>
      <c r="K42" s="86"/>
      <c r="L42" s="86"/>
      <c r="M42" s="86"/>
      <c r="N42" s="86"/>
      <c r="O42" s="86"/>
      <c r="P42" s="86"/>
      <c r="Q42" s="86"/>
      <c r="R42" s="86"/>
      <c r="S42" s="86"/>
      <c r="T42" s="86"/>
      <c r="U42" s="86"/>
      <c r="V42" s="86"/>
      <c r="W42" s="86"/>
      <c r="X42" s="86"/>
      <c r="Y42" s="86"/>
      <c r="Z42" s="86"/>
      <c r="AA42" s="86"/>
      <c r="AB42" s="86"/>
      <c r="AC42" s="86"/>
      <c r="AD42" s="86"/>
      <c r="AE42" s="86"/>
      <c r="AF42" s="86"/>
      <c r="AG42" s="86"/>
      <c r="AH42" s="86"/>
      <c r="AI42" s="86"/>
      <c r="AJ42" s="86"/>
    </row>
    <row r="43" spans="1:36" x14ac:dyDescent="0.25">
      <c r="A43" s="274"/>
      <c r="B43" s="87"/>
      <c r="C43" s="87"/>
      <c r="D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row>
    <row r="44" spans="1:36" x14ac:dyDescent="0.25">
      <c r="A44" s="273"/>
      <c r="B44" s="86"/>
      <c r="C44" s="86"/>
      <c r="D44" s="86"/>
      <c r="E44" s="86"/>
      <c r="F44" s="86"/>
      <c r="G44" s="86"/>
      <c r="H44" s="86"/>
      <c r="I44" s="86"/>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row>
    <row r="45" spans="1:36" x14ac:dyDescent="0.25">
      <c r="A45" s="274"/>
      <c r="B45" s="87"/>
      <c r="C45" s="87"/>
      <c r="D45" s="87"/>
      <c r="E45" s="87"/>
      <c r="F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row>
    <row r="46" spans="1:36" x14ac:dyDescent="0.25">
      <c r="A46" s="273"/>
      <c r="B46" s="86"/>
      <c r="C46" s="86"/>
      <c r="D46" s="86"/>
      <c r="E46" s="86"/>
      <c r="F46" s="86"/>
      <c r="G46" s="86"/>
      <c r="H46" s="86"/>
      <c r="I46" s="86"/>
      <c r="J46" s="86"/>
      <c r="K46" s="86"/>
      <c r="L46" s="86"/>
      <c r="M46" s="86"/>
      <c r="N46" s="86"/>
      <c r="O46" s="86"/>
      <c r="P46" s="86"/>
      <c r="Q46" s="86"/>
      <c r="R46" s="86"/>
      <c r="S46" s="86"/>
      <c r="T46" s="86"/>
      <c r="U46" s="86"/>
      <c r="V46" s="86"/>
      <c r="W46" s="86"/>
      <c r="X46" s="86"/>
      <c r="Y46" s="86"/>
      <c r="Z46" s="86"/>
      <c r="AA46" s="86"/>
      <c r="AB46" s="86"/>
      <c r="AC46" s="86"/>
      <c r="AD46" s="86"/>
      <c r="AE46" s="86"/>
      <c r="AF46" s="86"/>
      <c r="AG46" s="86"/>
      <c r="AH46" s="86"/>
      <c r="AI46" s="86"/>
      <c r="AJ46" s="86"/>
    </row>
    <row r="47" spans="1:36" x14ac:dyDescent="0.25">
      <c r="A47" s="274"/>
      <c r="B47" s="87"/>
      <c r="C47" s="87"/>
      <c r="D47" s="87"/>
      <c r="E47" s="87"/>
      <c r="F47" s="87"/>
      <c r="G47" s="87"/>
      <c r="H47" s="87"/>
      <c r="I47" s="87"/>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row>
    <row r="48" spans="1:36" x14ac:dyDescent="0.25">
      <c r="A48" s="273"/>
      <c r="B48" s="86"/>
      <c r="C48" s="86"/>
      <c r="D48" s="86"/>
      <c r="E48" s="86"/>
      <c r="F48" s="86"/>
      <c r="G48" s="86"/>
      <c r="H48" s="86"/>
      <c r="I48" s="86"/>
      <c r="J48" s="86"/>
      <c r="K48" s="86"/>
      <c r="L48" s="86"/>
      <c r="M48" s="86"/>
      <c r="N48" s="86"/>
      <c r="O48" s="86"/>
      <c r="P48" s="86"/>
      <c r="Q48" s="86"/>
      <c r="R48" s="86"/>
      <c r="S48" s="86"/>
      <c r="T48" s="86"/>
      <c r="U48" s="86"/>
      <c r="V48" s="86"/>
      <c r="W48" s="86"/>
      <c r="X48" s="86"/>
      <c r="Y48" s="86"/>
      <c r="Z48" s="86"/>
      <c r="AA48" s="86"/>
      <c r="AB48" s="86"/>
      <c r="AC48" s="86"/>
      <c r="AD48" s="86"/>
      <c r="AE48" s="86"/>
      <c r="AF48" s="86"/>
      <c r="AG48" s="86"/>
      <c r="AH48" s="86"/>
      <c r="AI48" s="86"/>
      <c r="AJ48" s="86"/>
    </row>
    <row r="49" spans="1:36" x14ac:dyDescent="0.25">
      <c r="A49" s="274"/>
      <c r="B49" s="87"/>
      <c r="C49" s="87"/>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row>
    <row r="50" spans="1:36" x14ac:dyDescent="0.25">
      <c r="A50" s="273"/>
      <c r="B50" s="86"/>
      <c r="C50" s="86"/>
      <c r="D50" s="86"/>
      <c r="E50" s="86"/>
      <c r="F50" s="86"/>
      <c r="G50" s="86"/>
      <c r="H50" s="86"/>
      <c r="I50" s="86"/>
      <c r="J50" s="86"/>
      <c r="K50" s="86"/>
      <c r="L50" s="86"/>
      <c r="M50" s="86"/>
      <c r="N50" s="86"/>
      <c r="O50" s="86"/>
      <c r="P50" s="86"/>
      <c r="Q50" s="86"/>
      <c r="R50" s="86"/>
      <c r="S50" s="86"/>
      <c r="T50" s="86"/>
      <c r="U50" s="86"/>
      <c r="V50" s="86"/>
      <c r="W50" s="86"/>
      <c r="X50" s="86"/>
      <c r="Y50" s="86"/>
      <c r="Z50" s="86"/>
      <c r="AA50" s="86"/>
      <c r="AB50" s="86"/>
      <c r="AC50" s="86"/>
      <c r="AD50" s="86"/>
      <c r="AE50" s="86"/>
      <c r="AF50" s="86"/>
      <c r="AG50" s="86"/>
      <c r="AH50" s="86"/>
      <c r="AI50" s="86"/>
      <c r="AJ50" s="86"/>
    </row>
    <row r="51" spans="1:36" x14ac:dyDescent="0.25">
      <c r="A51" s="274"/>
      <c r="B51" s="87"/>
      <c r="C51" s="87"/>
      <c r="D51" s="87"/>
      <c r="E51" s="87"/>
      <c r="F51" s="87"/>
      <c r="G51" s="87"/>
      <c r="H51" s="87"/>
      <c r="I51" s="87"/>
      <c r="J51" s="87"/>
      <c r="K51" s="87"/>
      <c r="L51" s="87"/>
      <c r="M51" s="87"/>
      <c r="N51" s="87"/>
      <c r="O51" s="87"/>
      <c r="P51" s="87"/>
      <c r="Q51" s="87"/>
      <c r="R51" s="87"/>
      <c r="S51" s="87"/>
      <c r="T51" s="87"/>
      <c r="U51" s="87"/>
      <c r="V51" s="87"/>
      <c r="W51" s="87"/>
      <c r="X51" s="87"/>
      <c r="Y51" s="87"/>
      <c r="Z51" s="87"/>
      <c r="AA51" s="87"/>
      <c r="AB51" s="87"/>
      <c r="AC51" s="87"/>
      <c r="AD51" s="87"/>
      <c r="AE51" s="87"/>
      <c r="AF51" s="87"/>
      <c r="AG51" s="87"/>
      <c r="AH51" s="87"/>
      <c r="AI51" s="87"/>
      <c r="AJ51" s="87"/>
    </row>
    <row r="52" spans="1:36" x14ac:dyDescent="0.25">
      <c r="A52" s="273"/>
      <c r="B52" s="86"/>
      <c r="C52" s="86"/>
      <c r="D52" s="86"/>
      <c r="E52" s="86"/>
      <c r="F52" s="86"/>
      <c r="G52" s="86"/>
      <c r="H52" s="86"/>
      <c r="I52" s="86"/>
      <c r="J52" s="86"/>
      <c r="K52" s="86"/>
      <c r="L52" s="86"/>
      <c r="M52" s="86"/>
      <c r="N52" s="86"/>
      <c r="O52" s="86"/>
      <c r="P52" s="86"/>
      <c r="Q52" s="86"/>
      <c r="R52" s="86"/>
      <c r="S52" s="86"/>
      <c r="T52" s="86"/>
      <c r="U52" s="86"/>
      <c r="V52" s="86"/>
      <c r="W52" s="86"/>
      <c r="X52" s="86"/>
      <c r="Y52" s="86"/>
      <c r="Z52" s="86"/>
      <c r="AA52" s="86"/>
      <c r="AB52" s="86"/>
      <c r="AC52" s="86"/>
      <c r="AD52" s="86"/>
      <c r="AE52" s="86"/>
      <c r="AF52" s="86"/>
      <c r="AG52" s="86"/>
      <c r="AH52" s="86"/>
      <c r="AI52" s="86"/>
      <c r="AJ52" s="86"/>
    </row>
    <row r="53" spans="1:36" x14ac:dyDescent="0.25">
      <c r="A53" s="274"/>
      <c r="B53" s="87"/>
      <c r="C53" s="87"/>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row>
    <row r="54" spans="1:36" x14ac:dyDescent="0.25">
      <c r="A54" s="273"/>
      <c r="B54" s="86"/>
      <c r="C54" s="86"/>
      <c r="D54" s="86"/>
      <c r="E54" s="86"/>
      <c r="F54" s="86"/>
      <c r="G54" s="86"/>
      <c r="H54" s="86"/>
      <c r="I54" s="86"/>
      <c r="J54" s="86"/>
      <c r="K54" s="86"/>
      <c r="L54" s="86"/>
      <c r="M54" s="86"/>
      <c r="N54" s="86"/>
      <c r="O54" s="86"/>
      <c r="P54" s="86"/>
      <c r="Q54" s="86"/>
      <c r="R54" s="86"/>
      <c r="S54" s="86"/>
      <c r="T54" s="86"/>
      <c r="U54" s="86"/>
      <c r="V54" s="86"/>
      <c r="W54" s="86"/>
      <c r="X54" s="86"/>
      <c r="Y54" s="86"/>
      <c r="Z54" s="86"/>
      <c r="AA54" s="86"/>
      <c r="AB54" s="86"/>
      <c r="AC54" s="86"/>
      <c r="AD54" s="86"/>
      <c r="AE54" s="86"/>
      <c r="AF54" s="86"/>
      <c r="AG54" s="86"/>
      <c r="AH54" s="86"/>
      <c r="AI54" s="86"/>
      <c r="AJ54" s="86"/>
    </row>
    <row r="55" spans="1:36" x14ac:dyDescent="0.25">
      <c r="A55" s="274"/>
      <c r="B55" s="87"/>
      <c r="C55" s="87"/>
      <c r="D55" s="87"/>
      <c r="E55" s="87"/>
      <c r="F55" s="87"/>
      <c r="G55" s="87"/>
      <c r="H55" s="87"/>
      <c r="I55" s="87"/>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row>
    <row r="56" spans="1:36" x14ac:dyDescent="0.25">
      <c r="A56" s="273"/>
      <c r="B56" s="86"/>
      <c r="C56" s="86"/>
      <c r="D56" s="86"/>
      <c r="E56" s="86"/>
      <c r="F56" s="86"/>
      <c r="G56" s="86"/>
      <c r="H56" s="86"/>
      <c r="I56" s="86"/>
      <c r="J56" s="86"/>
      <c r="K56" s="86"/>
      <c r="L56" s="86"/>
      <c r="M56" s="86"/>
      <c r="N56" s="86"/>
      <c r="O56" s="86"/>
      <c r="P56" s="86"/>
      <c r="Q56" s="86"/>
      <c r="R56" s="86"/>
      <c r="S56" s="86"/>
      <c r="T56" s="86"/>
      <c r="U56" s="86"/>
      <c r="V56" s="86"/>
      <c r="W56" s="86"/>
      <c r="X56" s="86"/>
      <c r="Y56" s="86"/>
      <c r="Z56" s="86"/>
      <c r="AA56" s="86"/>
      <c r="AB56" s="86"/>
      <c r="AC56" s="86"/>
      <c r="AD56" s="86"/>
      <c r="AE56" s="86"/>
      <c r="AF56" s="86"/>
      <c r="AG56" s="86"/>
      <c r="AH56" s="86"/>
      <c r="AI56" s="86"/>
      <c r="AJ56" s="86"/>
    </row>
    <row r="57" spans="1:36" x14ac:dyDescent="0.25">
      <c r="A57" s="274"/>
      <c r="B57" s="87"/>
      <c r="C57" s="87"/>
      <c r="D57" s="87"/>
      <c r="E57" s="87"/>
      <c r="F57" s="87"/>
      <c r="G57" s="87"/>
      <c r="H57" s="87"/>
      <c r="I57" s="87"/>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row>
    <row r="58" spans="1:36" x14ac:dyDescent="0.25">
      <c r="A58" s="273"/>
      <c r="B58" s="86"/>
      <c r="C58" s="86"/>
      <c r="D58" s="86"/>
      <c r="E58" s="86"/>
      <c r="F58" s="86"/>
      <c r="G58" s="86"/>
      <c r="H58" s="86"/>
      <c r="I58" s="86"/>
      <c r="J58" s="86"/>
      <c r="K58" s="86"/>
      <c r="L58" s="86"/>
      <c r="M58" s="86"/>
      <c r="N58" s="86"/>
      <c r="O58" s="86"/>
      <c r="P58" s="86"/>
      <c r="Q58" s="86"/>
      <c r="R58" s="86"/>
      <c r="S58" s="86"/>
      <c r="T58" s="86"/>
      <c r="U58" s="86"/>
      <c r="V58" s="86"/>
      <c r="W58" s="86"/>
      <c r="X58" s="86"/>
      <c r="Y58" s="86"/>
      <c r="Z58" s="86"/>
      <c r="AA58" s="86"/>
      <c r="AB58" s="86"/>
      <c r="AC58" s="86"/>
      <c r="AD58" s="86"/>
      <c r="AE58" s="86"/>
      <c r="AF58" s="86"/>
      <c r="AG58" s="86"/>
      <c r="AH58" s="86"/>
      <c r="AI58" s="86"/>
      <c r="AJ58" s="86"/>
    </row>
    <row r="59" spans="1:36" x14ac:dyDescent="0.25">
      <c r="A59" s="274"/>
      <c r="B59" s="87"/>
      <c r="C59" s="87"/>
      <c r="D59" s="87"/>
      <c r="E59" s="87"/>
      <c r="F59" s="87"/>
      <c r="G59" s="87"/>
      <c r="H59" s="87"/>
      <c r="I59" s="87"/>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row>
    <row r="60" spans="1:36" x14ac:dyDescent="0.25">
      <c r="A60" s="273"/>
      <c r="B60" s="86"/>
      <c r="C60" s="86"/>
      <c r="D60" s="86"/>
      <c r="E60" s="86"/>
      <c r="F60" s="86"/>
      <c r="G60" s="86"/>
      <c r="H60" s="86"/>
      <c r="I60" s="86"/>
      <c r="J60" s="86"/>
      <c r="K60" s="86"/>
      <c r="L60" s="86"/>
      <c r="M60" s="86"/>
      <c r="N60" s="86"/>
      <c r="O60" s="86"/>
      <c r="P60" s="86"/>
      <c r="Q60" s="86"/>
      <c r="R60" s="86"/>
      <c r="S60" s="86"/>
      <c r="T60" s="86"/>
      <c r="U60" s="86"/>
      <c r="V60" s="86"/>
      <c r="W60" s="86"/>
      <c r="X60" s="86"/>
      <c r="Y60" s="86"/>
      <c r="Z60" s="86"/>
      <c r="AA60" s="86"/>
      <c r="AB60" s="86"/>
      <c r="AC60" s="86"/>
      <c r="AD60" s="86"/>
      <c r="AE60" s="86"/>
      <c r="AF60" s="86"/>
      <c r="AG60" s="86"/>
      <c r="AH60" s="86"/>
      <c r="AI60" s="86"/>
      <c r="AJ60" s="86"/>
    </row>
    <row r="61" spans="1:36" x14ac:dyDescent="0.25">
      <c r="A61" s="274"/>
      <c r="B61" s="87"/>
      <c r="C61" s="87"/>
      <c r="D61" s="87"/>
      <c r="E61" s="87"/>
      <c r="F61" s="87"/>
      <c r="G61" s="87"/>
      <c r="H61" s="87"/>
      <c r="I61" s="87"/>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row>
    <row r="62" spans="1:36" x14ac:dyDescent="0.25">
      <c r="A62" s="273"/>
      <c r="B62" s="86"/>
      <c r="C62" s="86"/>
      <c r="D62" s="86"/>
      <c r="E62" s="86"/>
      <c r="F62" s="86"/>
      <c r="G62" s="86"/>
      <c r="H62" s="86"/>
      <c r="I62" s="86"/>
      <c r="J62" s="86"/>
      <c r="K62" s="86"/>
      <c r="L62" s="86"/>
      <c r="M62" s="86"/>
      <c r="N62" s="86"/>
      <c r="O62" s="86"/>
      <c r="P62" s="86"/>
      <c r="Q62" s="86"/>
      <c r="R62" s="86"/>
      <c r="S62" s="86"/>
      <c r="T62" s="86"/>
      <c r="U62" s="86"/>
      <c r="V62" s="86"/>
      <c r="W62" s="86"/>
      <c r="X62" s="86"/>
      <c r="Y62" s="86"/>
      <c r="Z62" s="86"/>
      <c r="AA62" s="86"/>
      <c r="AB62" s="86"/>
      <c r="AC62" s="86"/>
      <c r="AD62" s="86"/>
      <c r="AE62" s="86"/>
      <c r="AF62" s="86"/>
      <c r="AG62" s="86"/>
      <c r="AH62" s="86"/>
      <c r="AI62" s="86"/>
      <c r="AJ62" s="86"/>
    </row>
    <row r="63" spans="1:36" x14ac:dyDescent="0.25">
      <c r="A63" s="274"/>
      <c r="B63" s="87"/>
      <c r="C63" s="87"/>
      <c r="D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row>
    <row r="64" spans="1:36" x14ac:dyDescent="0.25">
      <c r="A64" s="273"/>
      <c r="B64" s="86"/>
      <c r="C64" s="86"/>
      <c r="D64" s="86"/>
      <c r="E64" s="86"/>
      <c r="F64" s="86"/>
      <c r="G64" s="86"/>
      <c r="H64" s="86"/>
      <c r="I64" s="86"/>
      <c r="J64" s="86"/>
      <c r="K64" s="86"/>
      <c r="L64" s="86"/>
      <c r="M64" s="86"/>
      <c r="N64" s="86"/>
      <c r="O64" s="86"/>
      <c r="P64" s="86"/>
      <c r="Q64" s="86"/>
      <c r="R64" s="86"/>
      <c r="S64" s="86"/>
      <c r="T64" s="86"/>
      <c r="U64" s="86"/>
      <c r="V64" s="86"/>
      <c r="W64" s="86"/>
      <c r="X64" s="86"/>
      <c r="Y64" s="86"/>
      <c r="Z64" s="86"/>
      <c r="AA64" s="86"/>
      <c r="AB64" s="86"/>
      <c r="AC64" s="86"/>
      <c r="AD64" s="86"/>
      <c r="AE64" s="86"/>
      <c r="AF64" s="86"/>
      <c r="AG64" s="86"/>
      <c r="AH64" s="86"/>
      <c r="AI64" s="86"/>
      <c r="AJ64" s="86"/>
    </row>
    <row r="65" spans="1:36" x14ac:dyDescent="0.25">
      <c r="A65" s="274"/>
      <c r="B65" s="87"/>
      <c r="C65" s="87"/>
      <c r="D65" s="87"/>
      <c r="E65" s="87"/>
      <c r="F65" s="87"/>
      <c r="G65" s="87"/>
      <c r="H65" s="87"/>
      <c r="I65" s="87"/>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row>
    <row r="66" spans="1:36" x14ac:dyDescent="0.25">
      <c r="A66" s="273"/>
      <c r="B66" s="86"/>
      <c r="C66" s="86"/>
      <c r="D66" s="86"/>
      <c r="E66" s="86"/>
      <c r="F66" s="86"/>
      <c r="G66" s="86"/>
      <c r="H66" s="86"/>
      <c r="I66" s="86"/>
      <c r="J66" s="86"/>
      <c r="K66" s="86"/>
      <c r="L66" s="86"/>
      <c r="M66" s="86"/>
      <c r="N66" s="86"/>
      <c r="O66" s="86"/>
      <c r="P66" s="86"/>
      <c r="Q66" s="86"/>
      <c r="R66" s="86"/>
      <c r="S66" s="86"/>
      <c r="T66" s="86"/>
      <c r="U66" s="86"/>
      <c r="V66" s="86"/>
      <c r="W66" s="86"/>
      <c r="X66" s="86"/>
      <c r="Y66" s="86"/>
      <c r="Z66" s="86"/>
      <c r="AA66" s="86"/>
      <c r="AB66" s="86"/>
      <c r="AC66" s="86"/>
      <c r="AD66" s="86"/>
      <c r="AE66" s="86"/>
      <c r="AF66" s="86"/>
      <c r="AG66" s="86"/>
      <c r="AH66" s="86"/>
      <c r="AI66" s="86"/>
      <c r="AJ66" s="86"/>
    </row>
    <row r="67" spans="1:36" x14ac:dyDescent="0.25">
      <c r="A67" s="274"/>
      <c r="B67" s="87"/>
      <c r="C67" s="87"/>
      <c r="D67" s="87"/>
      <c r="E67" s="87"/>
      <c r="F67" s="87"/>
      <c r="G67" s="87"/>
      <c r="H67" s="87"/>
      <c r="I67" s="87"/>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row>
    <row r="68" spans="1:36" x14ac:dyDescent="0.25">
      <c r="A68" s="273"/>
      <c r="B68" s="86"/>
      <c r="C68" s="86"/>
      <c r="D68" s="86"/>
      <c r="E68" s="86"/>
      <c r="F68" s="86"/>
      <c r="G68" s="86"/>
      <c r="H68" s="86"/>
      <c r="I68" s="86"/>
      <c r="J68" s="86"/>
      <c r="K68" s="86"/>
      <c r="L68" s="86"/>
      <c r="M68" s="86"/>
      <c r="N68" s="86"/>
      <c r="O68" s="86"/>
      <c r="P68" s="86"/>
      <c r="Q68" s="86"/>
      <c r="R68" s="86"/>
      <c r="S68" s="86"/>
      <c r="T68" s="86"/>
      <c r="U68" s="86"/>
      <c r="V68" s="86"/>
      <c r="W68" s="86"/>
      <c r="X68" s="86"/>
      <c r="Y68" s="86"/>
      <c r="Z68" s="86"/>
      <c r="AA68" s="86"/>
      <c r="AB68" s="86"/>
      <c r="AC68" s="86"/>
      <c r="AD68" s="86"/>
      <c r="AE68" s="86"/>
      <c r="AF68" s="86"/>
      <c r="AG68" s="86"/>
      <c r="AH68" s="86"/>
      <c r="AI68" s="86"/>
      <c r="AJ68" s="86"/>
    </row>
    <row r="69" spans="1:36" x14ac:dyDescent="0.25">
      <c r="A69" s="274"/>
      <c r="B69" s="87"/>
      <c r="C69" s="87"/>
      <c r="D69" s="87"/>
      <c r="E69" s="87"/>
      <c r="F69" s="87"/>
      <c r="G69" s="87"/>
      <c r="H69" s="87"/>
      <c r="I69" s="87"/>
      <c r="J69" s="87"/>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row>
    <row r="70" spans="1:36" x14ac:dyDescent="0.25">
      <c r="A70" s="273"/>
      <c r="B70" s="86"/>
      <c r="C70" s="86"/>
      <c r="D70" s="86"/>
      <c r="E70" s="86"/>
      <c r="F70" s="86"/>
      <c r="G70" s="86"/>
      <c r="H70" s="86"/>
      <c r="I70" s="86"/>
      <c r="J70" s="86"/>
      <c r="K70" s="86"/>
      <c r="L70" s="86"/>
      <c r="M70" s="86"/>
      <c r="N70" s="86"/>
      <c r="O70" s="86"/>
      <c r="P70" s="86"/>
      <c r="Q70" s="86"/>
      <c r="R70" s="86"/>
      <c r="S70" s="86"/>
      <c r="T70" s="86"/>
      <c r="U70" s="86"/>
      <c r="V70" s="86"/>
      <c r="W70" s="86"/>
      <c r="X70" s="86"/>
      <c r="Y70" s="86"/>
      <c r="Z70" s="86"/>
      <c r="AA70" s="86"/>
      <c r="AB70" s="86"/>
      <c r="AC70" s="86"/>
      <c r="AD70" s="86"/>
      <c r="AE70" s="86"/>
      <c r="AF70" s="86"/>
      <c r="AG70" s="86"/>
      <c r="AH70" s="86"/>
      <c r="AI70" s="86"/>
      <c r="AJ70" s="86"/>
    </row>
    <row r="71" spans="1:36" x14ac:dyDescent="0.25">
      <c r="A71" s="274"/>
      <c r="B71" s="87"/>
      <c r="C71" s="87"/>
      <c r="D71" s="87"/>
      <c r="E71" s="87"/>
      <c r="F71" s="87"/>
      <c r="G71" s="87"/>
      <c r="H71" s="87"/>
      <c r="I71" s="87"/>
      <c r="J71" s="87"/>
      <c r="K71" s="87"/>
      <c r="L71" s="87"/>
      <c r="M71" s="87"/>
      <c r="N71" s="87"/>
      <c r="O71" s="87"/>
      <c r="P71" s="87"/>
      <c r="Q71" s="87"/>
      <c r="R71" s="87"/>
      <c r="S71" s="87"/>
      <c r="T71" s="87"/>
      <c r="U71" s="87"/>
      <c r="V71" s="87"/>
      <c r="W71" s="87"/>
      <c r="X71" s="87"/>
      <c r="Y71" s="87"/>
      <c r="Z71" s="87"/>
      <c r="AA71" s="87"/>
      <c r="AB71" s="87"/>
      <c r="AC71" s="87"/>
      <c r="AD71" s="87"/>
      <c r="AE71" s="87"/>
      <c r="AF71" s="87"/>
      <c r="AG71" s="87"/>
      <c r="AH71" s="87"/>
      <c r="AI71" s="87"/>
      <c r="AJ71" s="87"/>
    </row>
    <row r="72" spans="1:36" x14ac:dyDescent="0.25">
      <c r="A72" s="273"/>
      <c r="B72" s="86"/>
      <c r="C72" s="86"/>
      <c r="D72" s="86"/>
      <c r="E72" s="86"/>
      <c r="F72" s="86"/>
      <c r="G72" s="86"/>
      <c r="H72" s="86"/>
      <c r="I72" s="86"/>
      <c r="J72" s="86"/>
      <c r="K72" s="86"/>
      <c r="L72" s="86"/>
      <c r="M72" s="86"/>
      <c r="N72" s="86"/>
      <c r="O72" s="86"/>
      <c r="P72" s="86"/>
      <c r="Q72" s="86"/>
      <c r="R72" s="86"/>
      <c r="S72" s="86"/>
      <c r="T72" s="86"/>
      <c r="U72" s="86"/>
      <c r="V72" s="86"/>
      <c r="W72" s="86"/>
      <c r="X72" s="86"/>
      <c r="Y72" s="86"/>
      <c r="Z72" s="86"/>
      <c r="AA72" s="86"/>
      <c r="AB72" s="86"/>
      <c r="AC72" s="86"/>
      <c r="AD72" s="86"/>
      <c r="AE72" s="86"/>
      <c r="AF72" s="86"/>
      <c r="AG72" s="86"/>
      <c r="AH72" s="86"/>
      <c r="AI72" s="86"/>
      <c r="AJ72" s="86"/>
    </row>
    <row r="73" spans="1:36" x14ac:dyDescent="0.25">
      <c r="A73" s="274"/>
      <c r="B73" s="87"/>
      <c r="C73" s="87"/>
      <c r="D73" s="87"/>
      <c r="E73" s="87"/>
      <c r="F73" s="87"/>
      <c r="G73" s="87"/>
      <c r="H73" s="87"/>
      <c r="I73" s="87"/>
      <c r="J73" s="87"/>
      <c r="K73" s="87"/>
      <c r="L73" s="87"/>
      <c r="M73" s="87"/>
      <c r="N73" s="87"/>
      <c r="O73" s="87"/>
      <c r="P73" s="87"/>
      <c r="Q73" s="87"/>
      <c r="R73" s="87"/>
      <c r="S73" s="87"/>
      <c r="T73" s="87"/>
      <c r="U73" s="87"/>
      <c r="V73" s="87"/>
      <c r="W73" s="87"/>
      <c r="X73" s="87"/>
      <c r="Y73" s="87"/>
      <c r="Z73" s="87"/>
      <c r="AA73" s="87"/>
      <c r="AB73" s="87"/>
      <c r="AC73" s="87"/>
      <c r="AD73" s="87"/>
      <c r="AE73" s="87"/>
      <c r="AF73" s="87"/>
      <c r="AG73" s="87"/>
      <c r="AH73" s="87"/>
      <c r="AI73" s="87"/>
      <c r="AJ73" s="87"/>
    </row>
    <row r="74" spans="1:36" x14ac:dyDescent="0.25">
      <c r="A74" s="273"/>
      <c r="B74" s="86"/>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6"/>
      <c r="AG74" s="86"/>
      <c r="AH74" s="86"/>
      <c r="AI74" s="86"/>
      <c r="AJ74" s="86"/>
    </row>
    <row r="75" spans="1:36" x14ac:dyDescent="0.25">
      <c r="A75" s="274"/>
      <c r="B75" s="87"/>
      <c r="C75" s="87"/>
      <c r="D75" s="87"/>
      <c r="E75" s="87"/>
      <c r="F75" s="87"/>
      <c r="G75" s="87"/>
      <c r="H75" s="87"/>
      <c r="I75" s="87"/>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row>
    <row r="76" spans="1:36" x14ac:dyDescent="0.25">
      <c r="A76" s="273"/>
      <c r="B76" s="86"/>
      <c r="C76" s="86"/>
      <c r="D76" s="86"/>
      <c r="E76" s="86"/>
      <c r="F76" s="86"/>
      <c r="G76" s="86"/>
      <c r="H76" s="86"/>
      <c r="I76" s="86"/>
      <c r="J76" s="86"/>
      <c r="K76" s="86"/>
      <c r="L76" s="86"/>
      <c r="M76" s="86"/>
      <c r="N76" s="86"/>
      <c r="O76" s="86"/>
      <c r="P76" s="86"/>
      <c r="Q76" s="86"/>
      <c r="R76" s="86"/>
      <c r="S76" s="86"/>
      <c r="T76" s="86"/>
      <c r="U76" s="86"/>
      <c r="V76" s="86"/>
      <c r="W76" s="86"/>
      <c r="X76" s="86"/>
      <c r="Y76" s="86"/>
      <c r="Z76" s="86"/>
      <c r="AA76" s="86"/>
      <c r="AB76" s="86"/>
      <c r="AC76" s="86"/>
      <c r="AD76" s="86"/>
      <c r="AE76" s="86"/>
      <c r="AF76" s="86"/>
      <c r="AG76" s="86"/>
      <c r="AH76" s="86"/>
      <c r="AI76" s="86"/>
      <c r="AJ76" s="86"/>
    </row>
    <row r="77" spans="1:36" x14ac:dyDescent="0.25">
      <c r="A77" s="274"/>
      <c r="B77" s="87"/>
      <c r="C77" s="87"/>
      <c r="D77" s="87"/>
      <c r="E77" s="87"/>
      <c r="F77" s="87"/>
      <c r="G77" s="87"/>
      <c r="H77" s="87"/>
      <c r="I77" s="87"/>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87"/>
    </row>
    <row r="78" spans="1:36" x14ac:dyDescent="0.25">
      <c r="A78" s="273"/>
      <c r="B78" s="86"/>
      <c r="C78" s="86"/>
      <c r="D78" s="86"/>
      <c r="E78" s="86"/>
      <c r="F78" s="86"/>
      <c r="G78" s="86"/>
      <c r="H78" s="86"/>
      <c r="I78" s="86"/>
      <c r="J78" s="86"/>
      <c r="K78" s="86"/>
      <c r="L78" s="86"/>
      <c r="M78" s="86"/>
      <c r="N78" s="86"/>
      <c r="O78" s="86"/>
      <c r="P78" s="86"/>
      <c r="Q78" s="86"/>
      <c r="R78" s="86"/>
      <c r="S78" s="86"/>
      <c r="T78" s="86"/>
      <c r="U78" s="86"/>
      <c r="V78" s="86"/>
      <c r="W78" s="86"/>
      <c r="X78" s="86"/>
      <c r="Y78" s="86"/>
      <c r="Z78" s="86"/>
      <c r="AA78" s="86"/>
      <c r="AB78" s="86"/>
      <c r="AC78" s="86"/>
      <c r="AD78" s="86"/>
      <c r="AE78" s="86"/>
      <c r="AF78" s="86"/>
      <c r="AG78" s="86"/>
      <c r="AH78" s="86"/>
      <c r="AI78" s="86"/>
      <c r="AJ78" s="86"/>
    </row>
    <row r="79" spans="1:36" x14ac:dyDescent="0.25">
      <c r="A79" s="274"/>
      <c r="B79" s="87"/>
      <c r="C79" s="87"/>
      <c r="D79" s="87"/>
      <c r="E79" s="87"/>
      <c r="F79" s="87"/>
      <c r="G79" s="87"/>
      <c r="H79" s="87"/>
      <c r="I79" s="87"/>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row>
    <row r="80" spans="1:36" x14ac:dyDescent="0.25">
      <c r="A80" s="273"/>
      <c r="B80" s="86"/>
      <c r="C80" s="86"/>
      <c r="D80" s="86"/>
      <c r="E80" s="86"/>
      <c r="F80" s="86"/>
      <c r="G80" s="86"/>
      <c r="H80" s="86"/>
      <c r="I80" s="86"/>
      <c r="J80" s="86"/>
      <c r="K80" s="86"/>
      <c r="L80" s="86"/>
      <c r="M80" s="86"/>
      <c r="N80" s="86"/>
      <c r="O80" s="86"/>
      <c r="P80" s="86"/>
      <c r="Q80" s="86"/>
      <c r="R80" s="86"/>
      <c r="S80" s="86"/>
      <c r="T80" s="86"/>
      <c r="U80" s="86"/>
      <c r="V80" s="86"/>
      <c r="W80" s="86"/>
      <c r="X80" s="86"/>
      <c r="Y80" s="86"/>
      <c r="Z80" s="86"/>
      <c r="AA80" s="86"/>
      <c r="AB80" s="86"/>
      <c r="AC80" s="86"/>
      <c r="AD80" s="86"/>
      <c r="AE80" s="86"/>
      <c r="AF80" s="86"/>
      <c r="AG80" s="86"/>
      <c r="AH80" s="86"/>
      <c r="AI80" s="86"/>
      <c r="AJ80" s="86"/>
    </row>
    <row r="81" spans="1:36" x14ac:dyDescent="0.25">
      <c r="A81" s="274"/>
      <c r="B81" s="87"/>
      <c r="C81" s="87"/>
      <c r="D81" s="87"/>
      <c r="E81" s="87"/>
      <c r="F81" s="87"/>
      <c r="G81" s="87"/>
      <c r="H81" s="87"/>
      <c r="I81" s="87"/>
      <c r="J81" s="87"/>
      <c r="K81" s="87"/>
      <c r="L81" s="87"/>
      <c r="M81" s="87"/>
      <c r="N81" s="87"/>
      <c r="O81" s="87"/>
      <c r="P81" s="87"/>
      <c r="Q81" s="87"/>
      <c r="R81" s="87"/>
      <c r="S81" s="87"/>
      <c r="T81" s="87"/>
      <c r="U81" s="87"/>
      <c r="V81" s="87"/>
      <c r="W81" s="87"/>
      <c r="X81" s="87"/>
      <c r="Y81" s="87"/>
      <c r="Z81" s="87"/>
      <c r="AA81" s="87"/>
      <c r="AB81" s="87"/>
      <c r="AC81" s="87"/>
      <c r="AD81" s="87"/>
      <c r="AE81" s="87"/>
      <c r="AF81" s="87"/>
      <c r="AG81" s="87"/>
      <c r="AH81" s="87"/>
      <c r="AI81" s="87"/>
      <c r="AJ81" s="87"/>
    </row>
    <row r="82" spans="1:36" x14ac:dyDescent="0.25">
      <c r="A82" s="273"/>
      <c r="B82" s="86"/>
      <c r="C82" s="86"/>
      <c r="D82" s="86"/>
      <c r="E82" s="86"/>
      <c r="F82" s="86"/>
      <c r="G82" s="86"/>
      <c r="H82" s="86"/>
      <c r="I82" s="86"/>
      <c r="J82" s="86"/>
      <c r="K82" s="86"/>
      <c r="L82" s="86"/>
      <c r="M82" s="86"/>
      <c r="N82" s="86"/>
      <c r="O82" s="86"/>
      <c r="P82" s="86"/>
      <c r="Q82" s="86"/>
      <c r="R82" s="86"/>
      <c r="S82" s="86"/>
      <c r="T82" s="86"/>
      <c r="U82" s="86"/>
      <c r="V82" s="86"/>
      <c r="W82" s="86"/>
      <c r="X82" s="86"/>
      <c r="Y82" s="86"/>
      <c r="Z82" s="86"/>
      <c r="AA82" s="86"/>
      <c r="AB82" s="86"/>
      <c r="AC82" s="86"/>
      <c r="AD82" s="86"/>
      <c r="AE82" s="86"/>
      <c r="AF82" s="86"/>
      <c r="AG82" s="86"/>
      <c r="AH82" s="86"/>
      <c r="AI82" s="86"/>
      <c r="AJ82" s="86"/>
    </row>
    <row r="83" spans="1:36" x14ac:dyDescent="0.25">
      <c r="A83" s="274"/>
      <c r="B83" s="87"/>
      <c r="C83" s="87"/>
      <c r="D83" s="87"/>
      <c r="E83" s="87"/>
      <c r="F83" s="87"/>
      <c r="G83" s="87"/>
      <c r="H83" s="87"/>
      <c r="I83" s="87"/>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row>
    <row r="84" spans="1:36" x14ac:dyDescent="0.25">
      <c r="A84" s="273"/>
      <c r="B84" s="86"/>
      <c r="C84" s="86"/>
      <c r="D84" s="86"/>
      <c r="E84" s="86"/>
      <c r="F84" s="86"/>
      <c r="G84" s="86"/>
      <c r="H84" s="86"/>
      <c r="I84" s="86"/>
      <c r="J84" s="86"/>
      <c r="K84" s="86"/>
      <c r="L84" s="86"/>
      <c r="M84" s="86"/>
      <c r="N84" s="86"/>
      <c r="O84" s="86"/>
      <c r="P84" s="86"/>
      <c r="Q84" s="86"/>
      <c r="R84" s="86"/>
      <c r="S84" s="86"/>
      <c r="T84" s="86"/>
      <c r="U84" s="86"/>
      <c r="V84" s="86"/>
      <c r="W84" s="86"/>
      <c r="X84" s="86"/>
      <c r="Y84" s="86"/>
      <c r="Z84" s="86"/>
      <c r="AA84" s="86"/>
      <c r="AB84" s="86"/>
      <c r="AC84" s="86"/>
      <c r="AD84" s="86"/>
      <c r="AE84" s="86"/>
      <c r="AF84" s="86"/>
      <c r="AG84" s="86"/>
      <c r="AH84" s="86"/>
      <c r="AI84" s="86"/>
      <c r="AJ84" s="86"/>
    </row>
    <row r="85" spans="1:36" x14ac:dyDescent="0.25">
      <c r="A85" s="274"/>
      <c r="B85" s="87"/>
      <c r="C85" s="87"/>
      <c r="D85" s="87"/>
      <c r="E85" s="87"/>
      <c r="F85" s="87"/>
      <c r="G85" s="87"/>
      <c r="H85" s="87"/>
      <c r="I85" s="87"/>
      <c r="J85" s="87"/>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7"/>
      <c r="AJ85" s="87"/>
    </row>
    <row r="86" spans="1:36" x14ac:dyDescent="0.25">
      <c r="A86" s="273"/>
      <c r="B86" s="86"/>
      <c r="C86" s="86"/>
      <c r="D86" s="86"/>
      <c r="E86" s="86"/>
      <c r="F86" s="86"/>
      <c r="G86" s="86"/>
      <c r="H86" s="86"/>
      <c r="I86" s="86"/>
      <c r="J86" s="86"/>
      <c r="K86" s="86"/>
      <c r="L86" s="86"/>
      <c r="M86" s="86"/>
      <c r="N86" s="86"/>
      <c r="O86" s="86"/>
      <c r="P86" s="86"/>
      <c r="Q86" s="86"/>
      <c r="R86" s="86"/>
      <c r="S86" s="86"/>
      <c r="T86" s="86"/>
      <c r="U86" s="86"/>
      <c r="V86" s="86"/>
      <c r="W86" s="86"/>
      <c r="X86" s="86"/>
      <c r="Y86" s="86"/>
      <c r="Z86" s="86"/>
      <c r="AA86" s="86"/>
      <c r="AB86" s="86"/>
      <c r="AC86" s="86"/>
      <c r="AD86" s="86"/>
      <c r="AE86" s="86"/>
      <c r="AF86" s="86"/>
      <c r="AG86" s="86"/>
      <c r="AH86" s="86"/>
      <c r="AI86" s="86"/>
      <c r="AJ86" s="86"/>
    </row>
    <row r="87" spans="1:36" x14ac:dyDescent="0.25">
      <c r="A87" s="274"/>
      <c r="B87" s="87"/>
      <c r="C87" s="87"/>
      <c r="D87" s="87"/>
      <c r="E87" s="87"/>
      <c r="F87" s="87"/>
      <c r="G87" s="87"/>
      <c r="H87" s="87"/>
      <c r="I87" s="87"/>
      <c r="J87" s="87"/>
      <c r="K87" s="87"/>
      <c r="L87" s="87"/>
      <c r="M87" s="87"/>
      <c r="N87" s="87"/>
      <c r="O87" s="87"/>
      <c r="P87" s="87"/>
      <c r="Q87" s="87"/>
      <c r="R87" s="87"/>
      <c r="S87" s="87"/>
      <c r="T87" s="87"/>
      <c r="U87" s="87"/>
      <c r="V87" s="87"/>
      <c r="W87" s="87"/>
      <c r="X87" s="87"/>
      <c r="Y87" s="87"/>
      <c r="Z87" s="87"/>
      <c r="AA87" s="87"/>
      <c r="AB87" s="87"/>
      <c r="AC87" s="87"/>
      <c r="AD87" s="87"/>
      <c r="AE87" s="87"/>
      <c r="AF87" s="87"/>
      <c r="AG87" s="87"/>
      <c r="AH87" s="87"/>
      <c r="AI87" s="87"/>
      <c r="AJ87" s="87"/>
    </row>
    <row r="88" spans="1:36" x14ac:dyDescent="0.25">
      <c r="A88" s="273"/>
      <c r="B88" s="86"/>
      <c r="C88" s="86"/>
      <c r="D88" s="86"/>
      <c r="E88" s="86"/>
      <c r="F88" s="86"/>
      <c r="G88" s="86"/>
      <c r="H88" s="86"/>
      <c r="I88" s="86"/>
      <c r="J88" s="86"/>
      <c r="K88" s="86"/>
      <c r="L88" s="86"/>
      <c r="M88" s="86"/>
      <c r="N88" s="86"/>
      <c r="O88" s="86"/>
      <c r="P88" s="86"/>
      <c r="Q88" s="86"/>
      <c r="R88" s="86"/>
      <c r="S88" s="86"/>
      <c r="T88" s="86"/>
      <c r="U88" s="86"/>
      <c r="V88" s="86"/>
      <c r="W88" s="86"/>
      <c r="X88" s="86"/>
      <c r="Y88" s="86"/>
      <c r="Z88" s="86"/>
      <c r="AA88" s="86"/>
      <c r="AB88" s="86"/>
      <c r="AC88" s="86"/>
      <c r="AD88" s="86"/>
      <c r="AE88" s="86"/>
      <c r="AF88" s="86"/>
      <c r="AG88" s="86"/>
      <c r="AH88" s="86"/>
      <c r="AI88" s="86"/>
      <c r="AJ88" s="86"/>
    </row>
    <row r="89" spans="1:36" x14ac:dyDescent="0.25">
      <c r="A89" s="274"/>
      <c r="B89" s="87"/>
      <c r="C89" s="87"/>
      <c r="D89" s="87"/>
      <c r="E89" s="87"/>
      <c r="F89" s="87"/>
      <c r="G89" s="87"/>
      <c r="H89" s="87"/>
      <c r="I89" s="87"/>
      <c r="J89" s="87"/>
      <c r="K89" s="87"/>
      <c r="L89" s="87"/>
      <c r="M89" s="87"/>
      <c r="N89" s="87"/>
      <c r="O89" s="87"/>
      <c r="P89" s="87"/>
      <c r="Q89" s="87"/>
      <c r="R89" s="87"/>
      <c r="S89" s="87"/>
      <c r="T89" s="87"/>
      <c r="U89" s="87"/>
      <c r="V89" s="87"/>
      <c r="W89" s="87"/>
      <c r="X89" s="87"/>
      <c r="Y89" s="87"/>
      <c r="Z89" s="87"/>
      <c r="AA89" s="87"/>
      <c r="AB89" s="87"/>
      <c r="AC89" s="87"/>
      <c r="AD89" s="87"/>
      <c r="AE89" s="87"/>
      <c r="AF89" s="87"/>
      <c r="AG89" s="87"/>
      <c r="AH89" s="87"/>
      <c r="AI89" s="87"/>
      <c r="AJ89" s="87"/>
    </row>
    <row r="90" spans="1:36" x14ac:dyDescent="0.25">
      <c r="A90" s="273"/>
      <c r="B90" s="86"/>
      <c r="C90" s="86"/>
      <c r="D90" s="86"/>
      <c r="E90" s="86"/>
      <c r="F90" s="86"/>
      <c r="G90" s="86"/>
      <c r="H90" s="86"/>
      <c r="I90" s="86"/>
      <c r="J90" s="86"/>
      <c r="K90" s="86"/>
      <c r="L90" s="86"/>
      <c r="M90" s="86"/>
      <c r="N90" s="86"/>
      <c r="O90" s="86"/>
      <c r="P90" s="86"/>
      <c r="Q90" s="86"/>
      <c r="R90" s="86"/>
      <c r="S90" s="86"/>
      <c r="T90" s="86"/>
      <c r="U90" s="86"/>
      <c r="V90" s="86"/>
      <c r="W90" s="86"/>
      <c r="X90" s="86"/>
      <c r="Y90" s="86"/>
      <c r="Z90" s="86"/>
      <c r="AA90" s="86"/>
      <c r="AB90" s="86"/>
      <c r="AC90" s="86"/>
      <c r="AD90" s="86"/>
      <c r="AE90" s="86"/>
      <c r="AF90" s="86"/>
      <c r="AG90" s="86"/>
      <c r="AH90" s="86"/>
      <c r="AI90" s="86"/>
      <c r="AJ90" s="86"/>
    </row>
    <row r="91" spans="1:36" x14ac:dyDescent="0.25">
      <c r="A91" s="274"/>
      <c r="B91" s="87"/>
      <c r="C91" s="87"/>
      <c r="D91" s="87"/>
      <c r="E91" s="87"/>
      <c r="F91" s="87"/>
      <c r="G91" s="87"/>
      <c r="H91" s="87"/>
      <c r="I91" s="87"/>
      <c r="J91" s="87"/>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row>
    <row r="92" spans="1:36" x14ac:dyDescent="0.25">
      <c r="A92" s="273"/>
      <c r="B92" s="86"/>
      <c r="C92" s="86"/>
      <c r="D92" s="86"/>
      <c r="E92" s="86"/>
      <c r="F92" s="86"/>
      <c r="G92" s="86"/>
      <c r="H92" s="86"/>
      <c r="I92" s="86"/>
      <c r="J92" s="86"/>
      <c r="K92" s="86"/>
      <c r="L92" s="86"/>
      <c r="M92" s="86"/>
      <c r="N92" s="86"/>
      <c r="O92" s="86"/>
      <c r="P92" s="86"/>
      <c r="Q92" s="86"/>
      <c r="R92" s="86"/>
      <c r="S92" s="86"/>
      <c r="T92" s="86"/>
      <c r="U92" s="86"/>
      <c r="V92" s="86"/>
      <c r="W92" s="86"/>
      <c r="X92" s="86"/>
      <c r="Y92" s="86"/>
      <c r="Z92" s="86"/>
      <c r="AA92" s="86"/>
      <c r="AB92" s="86"/>
      <c r="AC92" s="86"/>
      <c r="AD92" s="86"/>
      <c r="AE92" s="86"/>
      <c r="AF92" s="86"/>
      <c r="AG92" s="86"/>
      <c r="AH92" s="86"/>
      <c r="AI92" s="86"/>
      <c r="AJ92" s="86"/>
    </row>
    <row r="93" spans="1:36" x14ac:dyDescent="0.25">
      <c r="A93" s="274"/>
      <c r="B93" s="87"/>
      <c r="C93" s="87"/>
      <c r="D93" s="87"/>
      <c r="E93" s="87"/>
      <c r="F93" s="87"/>
      <c r="G93" s="87"/>
      <c r="H93" s="87"/>
      <c r="I93" s="87"/>
      <c r="J93" s="87"/>
      <c r="K93" s="87"/>
      <c r="L93" s="87"/>
      <c r="M93" s="87"/>
      <c r="N93" s="87"/>
      <c r="O93" s="87"/>
      <c r="P93" s="87"/>
      <c r="Q93" s="87"/>
      <c r="R93" s="87"/>
      <c r="S93" s="87"/>
      <c r="T93" s="87"/>
      <c r="U93" s="87"/>
      <c r="V93" s="87"/>
      <c r="W93" s="87"/>
      <c r="X93" s="87"/>
      <c r="Y93" s="87"/>
      <c r="Z93" s="87"/>
      <c r="AA93" s="87"/>
      <c r="AB93" s="87"/>
      <c r="AC93" s="87"/>
      <c r="AD93" s="87"/>
      <c r="AE93" s="87"/>
      <c r="AF93" s="87"/>
      <c r="AG93" s="87"/>
      <c r="AH93" s="87"/>
      <c r="AI93" s="87"/>
      <c r="AJ93" s="87"/>
    </row>
    <row r="94" spans="1:36" x14ac:dyDescent="0.25">
      <c r="A94" s="273"/>
      <c r="B94" s="86"/>
      <c r="C94" s="86"/>
      <c r="D94" s="86"/>
      <c r="E94" s="86"/>
      <c r="F94" s="86"/>
      <c r="G94" s="86"/>
      <c r="H94" s="86"/>
      <c r="I94" s="86"/>
      <c r="J94" s="86"/>
      <c r="K94" s="86"/>
      <c r="L94" s="86"/>
      <c r="M94" s="86"/>
      <c r="N94" s="86"/>
      <c r="O94" s="86"/>
      <c r="P94" s="86"/>
      <c r="Q94" s="86"/>
      <c r="R94" s="86"/>
      <c r="S94" s="86"/>
      <c r="T94" s="86"/>
      <c r="U94" s="86"/>
      <c r="V94" s="86"/>
      <c r="W94" s="86"/>
      <c r="X94" s="86"/>
      <c r="Y94" s="86"/>
      <c r="Z94" s="86"/>
      <c r="AA94" s="86"/>
      <c r="AB94" s="86"/>
      <c r="AC94" s="86"/>
      <c r="AD94" s="86"/>
      <c r="AE94" s="86"/>
      <c r="AF94" s="86"/>
      <c r="AG94" s="86"/>
      <c r="AH94" s="86"/>
      <c r="AI94" s="86"/>
      <c r="AJ94" s="86"/>
    </row>
    <row r="95" spans="1:36" x14ac:dyDescent="0.25">
      <c r="A95" s="274"/>
      <c r="B95" s="87"/>
      <c r="C95" s="87"/>
      <c r="D95" s="87"/>
      <c r="E95" s="87"/>
      <c r="F95" s="87"/>
      <c r="G95" s="87"/>
      <c r="H95" s="87"/>
      <c r="I95" s="87"/>
      <c r="J95" s="87"/>
      <c r="K95" s="87"/>
      <c r="L95" s="87"/>
      <c r="M95" s="87"/>
      <c r="N95" s="87"/>
      <c r="O95" s="87"/>
      <c r="P95" s="87"/>
      <c r="Q95" s="87"/>
      <c r="R95" s="87"/>
      <c r="S95" s="87"/>
      <c r="T95" s="87"/>
      <c r="U95" s="87"/>
      <c r="V95" s="87"/>
      <c r="W95" s="87"/>
      <c r="X95" s="87"/>
      <c r="Y95" s="87"/>
      <c r="Z95" s="87"/>
      <c r="AA95" s="87"/>
      <c r="AB95" s="87"/>
      <c r="AC95" s="87"/>
      <c r="AD95" s="87"/>
      <c r="AE95" s="87"/>
      <c r="AF95" s="87"/>
      <c r="AG95" s="87"/>
      <c r="AH95" s="87"/>
      <c r="AI95" s="87"/>
      <c r="AJ95" s="87"/>
    </row>
    <row r="96" spans="1:36" x14ac:dyDescent="0.25">
      <c r="A96" s="273"/>
      <c r="B96" s="86"/>
      <c r="C96" s="86"/>
      <c r="D96" s="86"/>
      <c r="E96" s="86"/>
      <c r="F96" s="86"/>
      <c r="G96" s="86"/>
      <c r="H96" s="86"/>
      <c r="I96" s="86"/>
      <c r="J96" s="86"/>
      <c r="K96" s="86"/>
      <c r="L96" s="86"/>
      <c r="M96" s="86"/>
      <c r="N96" s="86"/>
      <c r="O96" s="86"/>
      <c r="P96" s="86"/>
      <c r="Q96" s="86"/>
      <c r="R96" s="86"/>
      <c r="S96" s="86"/>
      <c r="T96" s="86"/>
      <c r="U96" s="86"/>
      <c r="V96" s="86"/>
      <c r="W96" s="86"/>
      <c r="X96" s="86"/>
      <c r="Y96" s="86"/>
      <c r="Z96" s="86"/>
      <c r="AA96" s="86"/>
      <c r="AB96" s="86"/>
      <c r="AC96" s="86"/>
      <c r="AD96" s="86"/>
      <c r="AE96" s="86"/>
      <c r="AF96" s="86"/>
      <c r="AG96" s="86"/>
      <c r="AH96" s="86"/>
      <c r="AI96" s="86"/>
      <c r="AJ96" s="86"/>
    </row>
    <row r="97" spans="1:36" x14ac:dyDescent="0.25">
      <c r="A97" s="274"/>
      <c r="B97" s="87"/>
      <c r="C97" s="87"/>
      <c r="D97" s="87"/>
      <c r="E97" s="87"/>
      <c r="F97" s="87"/>
      <c r="G97" s="87"/>
      <c r="H97" s="87"/>
      <c r="I97" s="87"/>
      <c r="J97" s="87"/>
      <c r="K97" s="87"/>
      <c r="L97" s="87"/>
      <c r="M97" s="87"/>
      <c r="N97" s="87"/>
      <c r="O97" s="87"/>
      <c r="P97" s="87"/>
      <c r="Q97" s="87"/>
      <c r="R97" s="87"/>
      <c r="S97" s="87"/>
      <c r="T97" s="87"/>
      <c r="U97" s="87"/>
      <c r="V97" s="87"/>
      <c r="W97" s="87"/>
      <c r="X97" s="87"/>
      <c r="Y97" s="87"/>
      <c r="Z97" s="87"/>
      <c r="AA97" s="87"/>
      <c r="AB97" s="87"/>
      <c r="AC97" s="87"/>
      <c r="AD97" s="87"/>
      <c r="AE97" s="87"/>
      <c r="AF97" s="87"/>
      <c r="AG97" s="87"/>
      <c r="AH97" s="87"/>
      <c r="AI97" s="87"/>
      <c r="AJ97" s="87"/>
    </row>
    <row r="98" spans="1:36" x14ac:dyDescent="0.25">
      <c r="A98" s="273"/>
      <c r="B98" s="86"/>
      <c r="C98" s="86"/>
      <c r="D98" s="86"/>
      <c r="E98" s="86"/>
      <c r="F98" s="86"/>
      <c r="G98" s="86"/>
      <c r="H98" s="86"/>
      <c r="I98" s="86"/>
      <c r="J98" s="86"/>
      <c r="K98" s="86"/>
      <c r="L98" s="86"/>
      <c r="M98" s="86"/>
      <c r="N98" s="86"/>
      <c r="O98" s="86"/>
      <c r="P98" s="86"/>
      <c r="Q98" s="86"/>
      <c r="R98" s="86"/>
      <c r="S98" s="86"/>
      <c r="T98" s="86"/>
      <c r="U98" s="86"/>
      <c r="V98" s="86"/>
      <c r="W98" s="86"/>
      <c r="X98" s="86"/>
      <c r="Y98" s="86"/>
      <c r="Z98" s="86"/>
      <c r="AA98" s="86"/>
      <c r="AB98" s="86"/>
      <c r="AC98" s="86"/>
      <c r="AD98" s="86"/>
      <c r="AE98" s="86"/>
      <c r="AF98" s="86"/>
      <c r="AG98" s="86"/>
      <c r="AH98" s="86"/>
      <c r="AI98" s="86"/>
      <c r="AJ98" s="86"/>
    </row>
    <row r="99" spans="1:36" x14ac:dyDescent="0.25">
      <c r="A99" s="274"/>
      <c r="B99" s="87"/>
      <c r="C99" s="87"/>
      <c r="D99" s="87"/>
      <c r="E99" s="87"/>
      <c r="F99" s="87"/>
      <c r="G99" s="87"/>
      <c r="H99" s="87"/>
      <c r="I99" s="87"/>
      <c r="J99" s="87"/>
      <c r="K99" s="87"/>
      <c r="L99" s="87"/>
      <c r="M99" s="87"/>
      <c r="N99" s="87"/>
      <c r="O99" s="87"/>
      <c r="P99" s="87"/>
      <c r="Q99" s="87"/>
      <c r="R99" s="87"/>
      <c r="S99" s="87"/>
      <c r="T99" s="87"/>
      <c r="U99" s="87"/>
      <c r="V99" s="87"/>
      <c r="W99" s="87"/>
      <c r="X99" s="87"/>
      <c r="Y99" s="87"/>
      <c r="Z99" s="87"/>
      <c r="AA99" s="87"/>
      <c r="AB99" s="87"/>
      <c r="AC99" s="87"/>
      <c r="AD99" s="87"/>
      <c r="AE99" s="87"/>
      <c r="AF99" s="87"/>
      <c r="AG99" s="87"/>
      <c r="AH99" s="87"/>
      <c r="AI99" s="87"/>
      <c r="AJ99" s="87"/>
    </row>
    <row r="100" spans="1:36" x14ac:dyDescent="0.25">
      <c r="A100" s="273"/>
      <c r="B100" s="86"/>
      <c r="C100" s="86"/>
      <c r="D100" s="86"/>
      <c r="E100" s="86"/>
      <c r="F100" s="86"/>
      <c r="G100" s="86"/>
      <c r="H100" s="86"/>
      <c r="I100" s="86"/>
      <c r="J100" s="86"/>
      <c r="K100" s="86"/>
      <c r="L100" s="86"/>
      <c r="M100" s="86"/>
      <c r="N100" s="86"/>
      <c r="O100" s="86"/>
      <c r="P100" s="86"/>
      <c r="Q100" s="86"/>
      <c r="R100" s="86"/>
      <c r="S100" s="86"/>
      <c r="T100" s="86"/>
      <c r="U100" s="86"/>
      <c r="V100" s="86"/>
      <c r="W100" s="86"/>
      <c r="X100" s="86"/>
      <c r="Y100" s="86"/>
      <c r="Z100" s="86"/>
      <c r="AA100" s="86"/>
      <c r="AB100" s="86"/>
      <c r="AC100" s="86"/>
      <c r="AD100" s="86"/>
      <c r="AE100" s="86"/>
      <c r="AF100" s="86"/>
      <c r="AG100" s="86"/>
      <c r="AH100" s="86"/>
      <c r="AI100" s="86"/>
      <c r="AJ100" s="86"/>
    </row>
    <row r="101" spans="1:36" x14ac:dyDescent="0.25">
      <c r="A101" s="274"/>
      <c r="B101" s="87"/>
      <c r="C101" s="87"/>
      <c r="D101" s="87"/>
      <c r="E101" s="87"/>
      <c r="F101" s="87"/>
      <c r="G101" s="87"/>
      <c r="H101" s="87"/>
      <c r="I101" s="87"/>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87"/>
      <c r="AJ101" s="87"/>
    </row>
    <row r="102" spans="1:36" x14ac:dyDescent="0.25">
      <c r="A102" s="273"/>
      <c r="B102" s="86"/>
      <c r="C102" s="86"/>
      <c r="D102" s="86"/>
      <c r="E102" s="86"/>
      <c r="F102" s="86"/>
      <c r="G102" s="86"/>
      <c r="H102" s="86"/>
      <c r="I102" s="86"/>
      <c r="J102" s="86"/>
      <c r="K102" s="86"/>
      <c r="L102" s="86"/>
      <c r="M102" s="86"/>
      <c r="N102" s="86"/>
      <c r="O102" s="86"/>
      <c r="P102" s="86"/>
      <c r="Q102" s="86"/>
      <c r="R102" s="86"/>
      <c r="S102" s="86"/>
      <c r="T102" s="86"/>
      <c r="U102" s="86"/>
      <c r="V102" s="86"/>
      <c r="W102" s="86"/>
      <c r="X102" s="86"/>
      <c r="Y102" s="86"/>
      <c r="Z102" s="86"/>
      <c r="AA102" s="86"/>
      <c r="AB102" s="86"/>
      <c r="AC102" s="86"/>
      <c r="AD102" s="86"/>
      <c r="AE102" s="86"/>
      <c r="AF102" s="86"/>
      <c r="AG102" s="86"/>
      <c r="AH102" s="86"/>
      <c r="AI102" s="86"/>
      <c r="AJ102" s="86"/>
    </row>
    <row r="103" spans="1:36" x14ac:dyDescent="0.25">
      <c r="A103" s="274"/>
      <c r="B103" s="87"/>
      <c r="C103" s="87"/>
      <c r="D103" s="87"/>
      <c r="E103" s="87"/>
      <c r="F103" s="87"/>
      <c r="G103" s="87"/>
      <c r="H103" s="87"/>
      <c r="I103" s="87"/>
      <c r="J103" s="87"/>
      <c r="K103" s="87"/>
      <c r="L103" s="87"/>
      <c r="M103" s="87"/>
      <c r="N103" s="87"/>
      <c r="O103" s="87"/>
      <c r="P103" s="87"/>
      <c r="Q103" s="87"/>
      <c r="R103" s="87"/>
      <c r="S103" s="87"/>
      <c r="T103" s="87"/>
      <c r="U103" s="87"/>
      <c r="V103" s="87"/>
      <c r="W103" s="87"/>
      <c r="X103" s="87"/>
      <c r="Y103" s="87"/>
      <c r="Z103" s="87"/>
      <c r="AA103" s="87"/>
      <c r="AB103" s="87"/>
      <c r="AC103" s="87"/>
      <c r="AD103" s="87"/>
      <c r="AE103" s="87"/>
      <c r="AF103" s="87"/>
      <c r="AG103" s="87"/>
      <c r="AH103" s="87"/>
      <c r="AI103" s="87"/>
      <c r="AJ103" s="87"/>
    </row>
    <row r="104" spans="1:36" x14ac:dyDescent="0.25">
      <c r="A104" s="273"/>
      <c r="B104" s="86"/>
      <c r="C104" s="86"/>
      <c r="D104" s="86"/>
      <c r="E104" s="86"/>
      <c r="F104" s="86"/>
      <c r="G104" s="86"/>
      <c r="H104" s="86"/>
      <c r="I104" s="86"/>
      <c r="J104" s="86"/>
      <c r="K104" s="86"/>
      <c r="L104" s="86"/>
      <c r="M104" s="86"/>
      <c r="N104" s="86"/>
      <c r="O104" s="86"/>
      <c r="P104" s="86"/>
      <c r="Q104" s="86"/>
      <c r="R104" s="86"/>
      <c r="S104" s="86"/>
      <c r="T104" s="86"/>
      <c r="U104" s="86"/>
      <c r="V104" s="86"/>
      <c r="W104" s="86"/>
      <c r="X104" s="86"/>
      <c r="Y104" s="86"/>
      <c r="Z104" s="86"/>
      <c r="AA104" s="86"/>
      <c r="AB104" s="86"/>
      <c r="AC104" s="86"/>
      <c r="AD104" s="86"/>
      <c r="AE104" s="86"/>
      <c r="AF104" s="86"/>
      <c r="AG104" s="86"/>
      <c r="AH104" s="86"/>
      <c r="AI104" s="86"/>
      <c r="AJ104" s="86"/>
    </row>
    <row r="105" spans="1:36" x14ac:dyDescent="0.25">
      <c r="A105" s="274"/>
      <c r="B105" s="87"/>
      <c r="C105" s="87"/>
      <c r="D105" s="87"/>
      <c r="E105" s="87"/>
      <c r="F105" s="87"/>
      <c r="G105" s="87"/>
      <c r="H105" s="87"/>
      <c r="I105" s="87"/>
      <c r="J105" s="87"/>
      <c r="K105" s="87"/>
      <c r="L105" s="87"/>
      <c r="M105" s="87"/>
      <c r="N105" s="87"/>
      <c r="O105" s="87"/>
      <c r="P105" s="87"/>
      <c r="Q105" s="87"/>
      <c r="R105" s="87"/>
      <c r="S105" s="87"/>
      <c r="T105" s="87"/>
      <c r="U105" s="87"/>
      <c r="V105" s="87"/>
      <c r="W105" s="87"/>
      <c r="X105" s="87"/>
      <c r="Y105" s="87"/>
      <c r="Z105" s="87"/>
      <c r="AA105" s="87"/>
      <c r="AB105" s="87"/>
      <c r="AC105" s="87"/>
      <c r="AD105" s="87"/>
      <c r="AE105" s="87"/>
      <c r="AF105" s="87"/>
      <c r="AG105" s="87"/>
      <c r="AH105" s="87"/>
      <c r="AI105" s="87"/>
      <c r="AJ105" s="87"/>
    </row>
    <row r="106" spans="1:36" x14ac:dyDescent="0.25">
      <c r="A106" s="273"/>
      <c r="B106" s="86"/>
      <c r="C106" s="86"/>
      <c r="D106" s="86"/>
      <c r="E106" s="86"/>
      <c r="F106" s="86"/>
      <c r="G106" s="86"/>
      <c r="H106" s="86"/>
      <c r="I106" s="86"/>
      <c r="J106" s="86"/>
      <c r="K106" s="86"/>
      <c r="L106" s="86"/>
      <c r="M106" s="86"/>
      <c r="N106" s="86"/>
      <c r="O106" s="86"/>
      <c r="P106" s="86"/>
      <c r="Q106" s="86"/>
      <c r="R106" s="86"/>
      <c r="S106" s="86"/>
      <c r="T106" s="86"/>
      <c r="U106" s="86"/>
      <c r="V106" s="86"/>
      <c r="W106" s="86"/>
      <c r="X106" s="86"/>
      <c r="Y106" s="86"/>
      <c r="Z106" s="86"/>
      <c r="AA106" s="86"/>
      <c r="AB106" s="86"/>
      <c r="AC106" s="86"/>
      <c r="AD106" s="86"/>
      <c r="AE106" s="86"/>
      <c r="AF106" s="86"/>
      <c r="AG106" s="86"/>
      <c r="AH106" s="86"/>
      <c r="AI106" s="86"/>
      <c r="AJ106" s="86"/>
    </row>
    <row r="107" spans="1:36" x14ac:dyDescent="0.25">
      <c r="A107" s="274"/>
      <c r="B107" s="87"/>
      <c r="C107" s="87"/>
      <c r="D107" s="87"/>
      <c r="E107" s="87"/>
      <c r="F107" s="87"/>
      <c r="G107" s="87"/>
      <c r="H107" s="87"/>
      <c r="I107" s="87"/>
      <c r="J107" s="87"/>
      <c r="K107" s="87"/>
      <c r="L107" s="87"/>
      <c r="M107" s="87"/>
      <c r="N107" s="87"/>
      <c r="O107" s="87"/>
      <c r="P107" s="87"/>
      <c r="Q107" s="87"/>
      <c r="R107" s="87"/>
      <c r="S107" s="87"/>
      <c r="T107" s="87"/>
      <c r="U107" s="87"/>
      <c r="V107" s="87"/>
      <c r="W107" s="87"/>
      <c r="X107" s="87"/>
      <c r="Y107" s="87"/>
      <c r="Z107" s="87"/>
      <c r="AA107" s="87"/>
      <c r="AB107" s="87"/>
      <c r="AC107" s="87"/>
      <c r="AD107" s="87"/>
      <c r="AE107" s="87"/>
      <c r="AF107" s="87"/>
      <c r="AG107" s="87"/>
      <c r="AH107" s="87"/>
      <c r="AI107" s="87"/>
      <c r="AJ107" s="87"/>
    </row>
    <row r="108" spans="1:36" x14ac:dyDescent="0.25">
      <c r="A108" s="273"/>
      <c r="B108" s="86"/>
      <c r="C108" s="86"/>
      <c r="D108" s="86"/>
      <c r="E108" s="86"/>
      <c r="F108" s="86"/>
      <c r="G108" s="86"/>
      <c r="H108" s="86"/>
      <c r="I108" s="86"/>
      <c r="J108" s="86"/>
      <c r="K108" s="86"/>
      <c r="L108" s="86"/>
      <c r="M108" s="86"/>
      <c r="N108" s="86"/>
      <c r="O108" s="86"/>
      <c r="P108" s="86"/>
      <c r="Q108" s="86"/>
      <c r="R108" s="86"/>
      <c r="S108" s="86"/>
      <c r="T108" s="86"/>
      <c r="U108" s="86"/>
      <c r="V108" s="86"/>
      <c r="W108" s="86"/>
      <c r="X108" s="86"/>
      <c r="Y108" s="86"/>
      <c r="Z108" s="86"/>
      <c r="AA108" s="86"/>
      <c r="AB108" s="86"/>
      <c r="AC108" s="86"/>
      <c r="AD108" s="86"/>
      <c r="AE108" s="86"/>
      <c r="AF108" s="86"/>
      <c r="AG108" s="86"/>
      <c r="AH108" s="86"/>
      <c r="AI108" s="86"/>
      <c r="AJ108" s="86"/>
    </row>
    <row r="109" spans="1:36" x14ac:dyDescent="0.25">
      <c r="A109" s="274"/>
      <c r="B109" s="87"/>
      <c r="C109" s="87"/>
      <c r="D109" s="87"/>
      <c r="E109" s="87"/>
      <c r="F109" s="87"/>
      <c r="G109" s="87"/>
      <c r="H109" s="87"/>
      <c r="I109" s="87"/>
      <c r="J109" s="87"/>
      <c r="K109" s="87"/>
      <c r="L109" s="87"/>
      <c r="M109" s="87"/>
      <c r="N109" s="87"/>
      <c r="O109" s="87"/>
      <c r="P109" s="87"/>
      <c r="Q109" s="87"/>
      <c r="R109" s="87"/>
      <c r="S109" s="87"/>
      <c r="T109" s="87"/>
      <c r="U109" s="87"/>
      <c r="V109" s="87"/>
      <c r="W109" s="87"/>
      <c r="X109" s="87"/>
      <c r="Y109" s="87"/>
      <c r="Z109" s="87"/>
      <c r="AA109" s="87"/>
      <c r="AB109" s="87"/>
      <c r="AC109" s="87"/>
      <c r="AD109" s="87"/>
      <c r="AE109" s="87"/>
      <c r="AF109" s="87"/>
      <c r="AG109" s="87"/>
      <c r="AH109" s="87"/>
      <c r="AI109" s="87"/>
      <c r="AJ109" s="87"/>
    </row>
    <row r="110" spans="1:36" x14ac:dyDescent="0.25">
      <c r="A110" s="273"/>
      <c r="B110" s="86"/>
      <c r="C110" s="86"/>
      <c r="D110" s="86"/>
      <c r="E110" s="86"/>
      <c r="F110" s="86"/>
      <c r="G110" s="86"/>
      <c r="H110" s="86"/>
      <c r="I110" s="86"/>
      <c r="J110" s="86"/>
      <c r="K110" s="86"/>
      <c r="L110" s="86"/>
      <c r="M110" s="86"/>
      <c r="N110" s="86"/>
      <c r="O110" s="86"/>
      <c r="P110" s="86"/>
      <c r="Q110" s="86"/>
      <c r="R110" s="86"/>
      <c r="S110" s="86"/>
      <c r="T110" s="86"/>
      <c r="U110" s="86"/>
      <c r="V110" s="86"/>
      <c r="W110" s="86"/>
      <c r="X110" s="86"/>
      <c r="Y110" s="86"/>
      <c r="Z110" s="86"/>
      <c r="AA110" s="86"/>
      <c r="AB110" s="86"/>
      <c r="AC110" s="86"/>
      <c r="AD110" s="86"/>
      <c r="AE110" s="86"/>
      <c r="AF110" s="86"/>
      <c r="AG110" s="86"/>
      <c r="AH110" s="86"/>
      <c r="AI110" s="86"/>
      <c r="AJ110" s="86"/>
    </row>
    <row r="111" spans="1:36" x14ac:dyDescent="0.25">
      <c r="A111" s="274"/>
      <c r="B111" s="87"/>
      <c r="C111" s="87"/>
      <c r="D111" s="87"/>
      <c r="E111" s="87"/>
      <c r="F111" s="87"/>
      <c r="G111" s="87"/>
      <c r="H111" s="87"/>
      <c r="I111" s="87"/>
      <c r="J111" s="87"/>
      <c r="K111" s="87"/>
      <c r="L111" s="87"/>
      <c r="M111" s="87"/>
      <c r="N111" s="87"/>
      <c r="O111" s="87"/>
      <c r="P111" s="87"/>
      <c r="Q111" s="87"/>
      <c r="R111" s="87"/>
      <c r="S111" s="87"/>
      <c r="T111" s="87"/>
      <c r="U111" s="87"/>
      <c r="V111" s="87"/>
      <c r="W111" s="87"/>
      <c r="X111" s="87"/>
      <c r="Y111" s="87"/>
      <c r="Z111" s="87"/>
      <c r="AA111" s="87"/>
      <c r="AB111" s="87"/>
      <c r="AC111" s="87"/>
      <c r="AD111" s="87"/>
      <c r="AE111" s="87"/>
      <c r="AF111" s="87"/>
      <c r="AG111" s="87"/>
      <c r="AH111" s="87"/>
      <c r="AI111" s="87"/>
      <c r="AJ111" s="87"/>
    </row>
    <row r="112" spans="1:36" x14ac:dyDescent="0.25">
      <c r="A112" s="273"/>
      <c r="B112" s="86"/>
      <c r="C112" s="86"/>
      <c r="D112" s="86"/>
      <c r="E112" s="86"/>
      <c r="F112" s="86"/>
      <c r="G112" s="86"/>
      <c r="H112" s="86"/>
      <c r="I112" s="86"/>
      <c r="J112" s="86"/>
      <c r="K112" s="86"/>
      <c r="L112" s="86"/>
      <c r="M112" s="86"/>
      <c r="N112" s="86"/>
      <c r="O112" s="86"/>
      <c r="P112" s="86"/>
      <c r="Q112" s="86"/>
      <c r="R112" s="86"/>
      <c r="S112" s="86"/>
      <c r="T112" s="86"/>
      <c r="U112" s="86"/>
      <c r="V112" s="86"/>
      <c r="W112" s="86"/>
      <c r="X112" s="86"/>
      <c r="Y112" s="86"/>
      <c r="Z112" s="86"/>
      <c r="AA112" s="86"/>
      <c r="AB112" s="86"/>
      <c r="AC112" s="86"/>
      <c r="AD112" s="86"/>
      <c r="AE112" s="86"/>
      <c r="AF112" s="86"/>
      <c r="AG112" s="86"/>
      <c r="AH112" s="86"/>
      <c r="AI112" s="86"/>
      <c r="AJ112" s="86"/>
    </row>
    <row r="113" spans="1:36" x14ac:dyDescent="0.25">
      <c r="A113" s="274"/>
      <c r="B113" s="87"/>
      <c r="C113" s="87"/>
      <c r="D113" s="87"/>
      <c r="E113" s="87"/>
      <c r="F113" s="87"/>
      <c r="G113" s="87"/>
      <c r="H113" s="87"/>
      <c r="I113" s="87"/>
      <c r="J113" s="87"/>
      <c r="K113" s="87"/>
      <c r="L113" s="87"/>
      <c r="M113" s="87"/>
      <c r="N113" s="87"/>
      <c r="O113" s="87"/>
      <c r="P113" s="87"/>
      <c r="Q113" s="87"/>
      <c r="R113" s="87"/>
      <c r="S113" s="87"/>
      <c r="T113" s="87"/>
      <c r="U113" s="87"/>
      <c r="V113" s="87"/>
      <c r="W113" s="87"/>
      <c r="X113" s="87"/>
      <c r="Y113" s="87"/>
      <c r="Z113" s="87"/>
      <c r="AA113" s="87"/>
      <c r="AB113" s="87"/>
      <c r="AC113" s="87"/>
      <c r="AD113" s="87"/>
      <c r="AE113" s="87"/>
      <c r="AF113" s="87"/>
      <c r="AG113" s="87"/>
      <c r="AH113" s="87"/>
      <c r="AI113" s="87"/>
      <c r="AJ113" s="87"/>
    </row>
    <row r="114" spans="1:36" x14ac:dyDescent="0.25">
      <c r="A114" s="273"/>
      <c r="B114" s="86"/>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86"/>
      <c r="AA114" s="86"/>
      <c r="AB114" s="86"/>
      <c r="AC114" s="86"/>
      <c r="AD114" s="86"/>
      <c r="AE114" s="86"/>
      <c r="AF114" s="86"/>
      <c r="AG114" s="86"/>
      <c r="AH114" s="86"/>
      <c r="AI114" s="86"/>
      <c r="AJ114" s="86"/>
    </row>
    <row r="115" spans="1:36" x14ac:dyDescent="0.25">
      <c r="A115" s="274"/>
      <c r="B115" s="87"/>
      <c r="C115" s="87"/>
      <c r="D115" s="87"/>
      <c r="E115" s="87"/>
      <c r="F115" s="87"/>
      <c r="G115" s="87"/>
      <c r="H115" s="87"/>
      <c r="I115" s="87"/>
      <c r="J115" s="87"/>
      <c r="K115" s="87"/>
      <c r="L115" s="87"/>
      <c r="M115" s="87"/>
      <c r="N115" s="87"/>
      <c r="O115" s="87"/>
      <c r="P115" s="87"/>
      <c r="Q115" s="87"/>
      <c r="R115" s="87"/>
      <c r="S115" s="87"/>
      <c r="T115" s="87"/>
      <c r="U115" s="87"/>
      <c r="V115" s="87"/>
      <c r="W115" s="87"/>
      <c r="X115" s="87"/>
      <c r="Y115" s="87"/>
      <c r="Z115" s="87"/>
      <c r="AA115" s="87"/>
      <c r="AB115" s="87"/>
      <c r="AC115" s="87"/>
      <c r="AD115" s="87"/>
      <c r="AE115" s="87"/>
      <c r="AF115" s="87"/>
      <c r="AG115" s="87"/>
      <c r="AH115" s="87"/>
      <c r="AI115" s="87"/>
      <c r="AJ115" s="87"/>
    </row>
    <row r="116" spans="1:36" x14ac:dyDescent="0.25">
      <c r="A116" s="273"/>
      <c r="B116" s="86"/>
      <c r="C116" s="86"/>
      <c r="D116" s="86"/>
      <c r="E116" s="86"/>
      <c r="F116" s="86"/>
      <c r="G116" s="86"/>
      <c r="H116" s="86"/>
      <c r="I116" s="86"/>
      <c r="J116" s="86"/>
      <c r="K116" s="86"/>
      <c r="L116" s="86"/>
      <c r="M116" s="86"/>
      <c r="N116" s="86"/>
      <c r="O116" s="86"/>
      <c r="P116" s="86"/>
      <c r="Q116" s="86"/>
      <c r="R116" s="86"/>
      <c r="S116" s="86"/>
      <c r="T116" s="86"/>
      <c r="U116" s="86"/>
      <c r="V116" s="86"/>
      <c r="W116" s="86"/>
      <c r="X116" s="86"/>
      <c r="Y116" s="86"/>
      <c r="Z116" s="86"/>
      <c r="AA116" s="86"/>
      <c r="AB116" s="86"/>
      <c r="AC116" s="86"/>
      <c r="AD116" s="86"/>
      <c r="AE116" s="86"/>
      <c r="AF116" s="86"/>
      <c r="AG116" s="86"/>
      <c r="AH116" s="86"/>
      <c r="AI116" s="86"/>
      <c r="AJ116" s="86"/>
    </row>
    <row r="117" spans="1:36" x14ac:dyDescent="0.25">
      <c r="A117" s="274"/>
      <c r="B117" s="87"/>
      <c r="C117" s="87"/>
      <c r="D117" s="87"/>
      <c r="E117" s="87"/>
      <c r="F117" s="87"/>
      <c r="G117" s="87"/>
      <c r="H117" s="87"/>
      <c r="I117" s="87"/>
      <c r="J117" s="87"/>
      <c r="K117" s="87"/>
      <c r="L117" s="87"/>
      <c r="M117" s="87"/>
      <c r="N117" s="87"/>
      <c r="O117" s="87"/>
      <c r="P117" s="87"/>
      <c r="Q117" s="87"/>
      <c r="R117" s="87"/>
      <c r="S117" s="87"/>
      <c r="T117" s="87"/>
      <c r="U117" s="87"/>
      <c r="V117" s="87"/>
      <c r="W117" s="87"/>
      <c r="X117" s="87"/>
      <c r="Y117" s="87"/>
      <c r="Z117" s="87"/>
      <c r="AA117" s="87"/>
      <c r="AB117" s="87"/>
      <c r="AC117" s="87"/>
      <c r="AD117" s="87"/>
      <c r="AE117" s="87"/>
      <c r="AF117" s="87"/>
      <c r="AG117" s="87"/>
      <c r="AH117" s="87"/>
      <c r="AI117" s="87"/>
      <c r="AJ117" s="87"/>
    </row>
    <row r="118" spans="1:36" x14ac:dyDescent="0.25">
      <c r="A118" s="273"/>
      <c r="B118" s="86"/>
      <c r="C118" s="86"/>
      <c r="D118" s="86"/>
      <c r="E118" s="86"/>
      <c r="F118" s="86"/>
      <c r="G118" s="86"/>
      <c r="H118" s="86"/>
      <c r="I118" s="86"/>
      <c r="J118" s="86"/>
      <c r="K118" s="86"/>
      <c r="L118" s="86"/>
      <c r="M118" s="86"/>
      <c r="N118" s="86"/>
      <c r="O118" s="86"/>
      <c r="P118" s="86"/>
      <c r="Q118" s="86"/>
      <c r="R118" s="86"/>
      <c r="S118" s="86"/>
      <c r="T118" s="86"/>
      <c r="U118" s="86"/>
      <c r="V118" s="86"/>
      <c r="W118" s="86"/>
      <c r="X118" s="86"/>
      <c r="Y118" s="86"/>
      <c r="Z118" s="86"/>
      <c r="AA118" s="86"/>
      <c r="AB118" s="86"/>
      <c r="AC118" s="86"/>
      <c r="AD118" s="86"/>
      <c r="AE118" s="86"/>
      <c r="AF118" s="86"/>
      <c r="AG118" s="86"/>
      <c r="AH118" s="86"/>
      <c r="AI118" s="86"/>
      <c r="AJ118" s="86"/>
    </row>
    <row r="119" spans="1:36" x14ac:dyDescent="0.25">
      <c r="A119" s="274"/>
      <c r="B119" s="87"/>
      <c r="C119" s="87"/>
      <c r="D119" s="87"/>
      <c r="E119" s="87"/>
      <c r="F119" s="87"/>
      <c r="G119" s="87"/>
      <c r="H119" s="87"/>
      <c r="I119" s="87"/>
      <c r="J119" s="87"/>
      <c r="K119" s="87"/>
      <c r="L119" s="87"/>
      <c r="M119" s="87"/>
      <c r="N119" s="87"/>
      <c r="O119" s="87"/>
      <c r="P119" s="87"/>
      <c r="Q119" s="87"/>
      <c r="R119" s="87"/>
      <c r="S119" s="87"/>
      <c r="T119" s="87"/>
      <c r="U119" s="87"/>
      <c r="V119" s="87"/>
      <c r="W119" s="87"/>
      <c r="X119" s="87"/>
      <c r="Y119" s="87"/>
      <c r="Z119" s="87"/>
      <c r="AA119" s="87"/>
      <c r="AB119" s="87"/>
      <c r="AC119" s="87"/>
      <c r="AD119" s="87"/>
      <c r="AE119" s="87"/>
      <c r="AF119" s="87"/>
      <c r="AG119" s="87"/>
      <c r="AH119" s="87"/>
      <c r="AI119" s="87"/>
      <c r="AJ119" s="87"/>
    </row>
    <row r="120" spans="1:36" x14ac:dyDescent="0.25">
      <c r="A120" s="273"/>
      <c r="B120" s="86"/>
      <c r="C120" s="86"/>
      <c r="D120" s="86"/>
      <c r="E120" s="86"/>
      <c r="F120" s="86"/>
      <c r="G120" s="86"/>
      <c r="H120" s="86"/>
      <c r="I120" s="86"/>
      <c r="J120" s="86"/>
      <c r="K120" s="86"/>
      <c r="L120" s="86"/>
      <c r="M120" s="86"/>
      <c r="N120" s="86"/>
      <c r="O120" s="86"/>
      <c r="P120" s="86"/>
      <c r="Q120" s="86"/>
      <c r="R120" s="86"/>
      <c r="S120" s="86"/>
      <c r="T120" s="86"/>
      <c r="U120" s="86"/>
      <c r="V120" s="86"/>
      <c r="W120" s="86"/>
      <c r="X120" s="86"/>
      <c r="Y120" s="86"/>
      <c r="Z120" s="86"/>
      <c r="AA120" s="86"/>
      <c r="AB120" s="86"/>
      <c r="AC120" s="86"/>
      <c r="AD120" s="86"/>
      <c r="AE120" s="86"/>
      <c r="AF120" s="86"/>
      <c r="AG120" s="86"/>
      <c r="AH120" s="86"/>
      <c r="AI120" s="86"/>
      <c r="AJ120" s="86"/>
    </row>
    <row r="121" spans="1:36" x14ac:dyDescent="0.25">
      <c r="A121" s="274"/>
      <c r="B121" s="87"/>
      <c r="C121" s="87"/>
      <c r="D121" s="87"/>
      <c r="E121" s="87"/>
      <c r="F121" s="87"/>
      <c r="G121" s="87"/>
      <c r="H121" s="87"/>
      <c r="I121" s="87"/>
      <c r="J121" s="87"/>
      <c r="K121" s="87"/>
      <c r="L121" s="87"/>
      <c r="M121" s="87"/>
      <c r="N121" s="87"/>
      <c r="O121" s="87"/>
      <c r="P121" s="87"/>
      <c r="Q121" s="87"/>
      <c r="R121" s="87"/>
      <c r="S121" s="87"/>
      <c r="T121" s="87"/>
      <c r="U121" s="87"/>
      <c r="V121" s="87"/>
      <c r="W121" s="87"/>
      <c r="X121" s="87"/>
      <c r="Y121" s="87"/>
      <c r="Z121" s="87"/>
      <c r="AA121" s="87"/>
      <c r="AB121" s="87"/>
      <c r="AC121" s="87"/>
      <c r="AD121" s="87"/>
      <c r="AE121" s="87"/>
      <c r="AF121" s="87"/>
      <c r="AG121" s="87"/>
      <c r="AH121" s="87"/>
      <c r="AI121" s="87"/>
      <c r="AJ121" s="87"/>
    </row>
    <row r="122" spans="1:36" x14ac:dyDescent="0.25">
      <c r="A122" s="273"/>
      <c r="B122" s="86"/>
      <c r="C122" s="86"/>
      <c r="D122" s="86"/>
      <c r="E122" s="86"/>
      <c r="F122" s="86"/>
      <c r="G122" s="86"/>
      <c r="H122" s="86"/>
      <c r="I122" s="86"/>
      <c r="J122" s="86"/>
      <c r="K122" s="86"/>
      <c r="L122" s="86"/>
      <c r="M122" s="86"/>
      <c r="N122" s="86"/>
      <c r="O122" s="86"/>
      <c r="P122" s="86"/>
      <c r="Q122" s="86"/>
      <c r="R122" s="86"/>
      <c r="S122" s="86"/>
      <c r="T122" s="86"/>
      <c r="U122" s="86"/>
      <c r="V122" s="86"/>
      <c r="W122" s="86"/>
      <c r="X122" s="86"/>
      <c r="Y122" s="86"/>
      <c r="Z122" s="86"/>
      <c r="AA122" s="86"/>
      <c r="AB122" s="86"/>
      <c r="AC122" s="86"/>
      <c r="AD122" s="86"/>
      <c r="AE122" s="86"/>
      <c r="AF122" s="86"/>
      <c r="AG122" s="86"/>
      <c r="AH122" s="86"/>
      <c r="AI122" s="86"/>
      <c r="AJ122" s="86"/>
    </row>
    <row r="123" spans="1:36" x14ac:dyDescent="0.25">
      <c r="A123" s="274"/>
      <c r="B123" s="87"/>
      <c r="C123" s="87"/>
      <c r="D123" s="87"/>
      <c r="E123" s="87"/>
      <c r="F123" s="87"/>
      <c r="G123" s="87"/>
      <c r="H123" s="87"/>
      <c r="I123" s="87"/>
      <c r="J123" s="87"/>
      <c r="K123" s="87"/>
      <c r="L123" s="87"/>
      <c r="M123" s="87"/>
      <c r="N123" s="87"/>
      <c r="O123" s="87"/>
      <c r="P123" s="87"/>
      <c r="Q123" s="87"/>
      <c r="R123" s="87"/>
      <c r="S123" s="87"/>
      <c r="T123" s="87"/>
      <c r="U123" s="87"/>
      <c r="V123" s="87"/>
      <c r="W123" s="87"/>
      <c r="X123" s="87"/>
      <c r="Y123" s="87"/>
      <c r="Z123" s="87"/>
      <c r="AA123" s="87"/>
      <c r="AB123" s="87"/>
      <c r="AC123" s="87"/>
      <c r="AD123" s="87"/>
      <c r="AE123" s="87"/>
      <c r="AF123" s="87"/>
      <c r="AG123" s="87"/>
      <c r="AH123" s="87"/>
      <c r="AI123" s="87"/>
      <c r="AJ123" s="87"/>
    </row>
    <row r="124" spans="1:36" x14ac:dyDescent="0.25">
      <c r="A124" s="273"/>
      <c r="B124" s="86"/>
      <c r="C124" s="86"/>
      <c r="D124" s="86"/>
      <c r="E124" s="86"/>
      <c r="F124" s="86"/>
      <c r="G124" s="86"/>
      <c r="H124" s="86"/>
      <c r="I124" s="86"/>
      <c r="J124" s="86"/>
      <c r="K124" s="86"/>
      <c r="L124" s="86"/>
      <c r="M124" s="86"/>
      <c r="N124" s="86"/>
      <c r="O124" s="86"/>
      <c r="P124" s="86"/>
      <c r="Q124" s="86"/>
      <c r="R124" s="86"/>
      <c r="S124" s="86"/>
      <c r="T124" s="86"/>
      <c r="U124" s="86"/>
      <c r="V124" s="86"/>
      <c r="W124" s="86"/>
      <c r="X124" s="86"/>
      <c r="Y124" s="86"/>
      <c r="Z124" s="86"/>
      <c r="AA124" s="86"/>
      <c r="AB124" s="86"/>
      <c r="AC124" s="86"/>
      <c r="AD124" s="86"/>
      <c r="AE124" s="86"/>
      <c r="AF124" s="86"/>
      <c r="AG124" s="86"/>
      <c r="AH124" s="86"/>
      <c r="AI124" s="86"/>
      <c r="AJ124" s="86"/>
    </row>
    <row r="125" spans="1:36" x14ac:dyDescent="0.25">
      <c r="A125" s="274"/>
      <c r="B125" s="87"/>
      <c r="C125" s="87"/>
      <c r="D125" s="87"/>
      <c r="E125" s="87"/>
      <c r="F125" s="87"/>
      <c r="G125" s="87"/>
      <c r="H125" s="87"/>
      <c r="I125" s="87"/>
      <c r="J125" s="87"/>
      <c r="K125" s="87"/>
      <c r="L125" s="87"/>
      <c r="M125" s="87"/>
      <c r="N125" s="87"/>
      <c r="O125" s="87"/>
      <c r="P125" s="87"/>
      <c r="Q125" s="87"/>
      <c r="R125" s="87"/>
      <c r="S125" s="87"/>
      <c r="T125" s="87"/>
      <c r="U125" s="87"/>
      <c r="V125" s="87"/>
      <c r="W125" s="87"/>
      <c r="X125" s="87"/>
      <c r="Y125" s="87"/>
      <c r="Z125" s="87"/>
      <c r="AA125" s="87"/>
      <c r="AB125" s="87"/>
      <c r="AC125" s="87"/>
      <c r="AD125" s="87"/>
      <c r="AE125" s="87"/>
      <c r="AF125" s="87"/>
      <c r="AG125" s="87"/>
      <c r="AH125" s="87"/>
      <c r="AI125" s="87"/>
      <c r="AJ125" s="87"/>
    </row>
    <row r="126" spans="1:36" x14ac:dyDescent="0.25">
      <c r="A126" s="273"/>
      <c r="B126" s="86"/>
      <c r="C126" s="86"/>
      <c r="D126" s="86"/>
      <c r="E126" s="86"/>
      <c r="F126" s="86"/>
      <c r="G126" s="86"/>
      <c r="H126" s="86"/>
      <c r="I126" s="86"/>
      <c r="J126" s="86"/>
      <c r="K126" s="86"/>
      <c r="L126" s="86"/>
      <c r="M126" s="86"/>
      <c r="N126" s="86"/>
      <c r="O126" s="86"/>
      <c r="P126" s="86"/>
      <c r="Q126" s="86"/>
      <c r="R126" s="86"/>
      <c r="S126" s="86"/>
      <c r="T126" s="86"/>
      <c r="U126" s="86"/>
      <c r="V126" s="86"/>
      <c r="W126" s="86"/>
      <c r="X126" s="86"/>
      <c r="Y126" s="86"/>
      <c r="Z126" s="86"/>
      <c r="AA126" s="86"/>
      <c r="AB126" s="86"/>
      <c r="AC126" s="86"/>
      <c r="AD126" s="86"/>
      <c r="AE126" s="86"/>
      <c r="AF126" s="86"/>
      <c r="AG126" s="86"/>
      <c r="AH126" s="86"/>
      <c r="AI126" s="86"/>
      <c r="AJ126" s="86"/>
    </row>
    <row r="127" spans="1:36" x14ac:dyDescent="0.25">
      <c r="A127" s="274"/>
      <c r="B127" s="87"/>
      <c r="C127" s="87"/>
      <c r="D127" s="87"/>
      <c r="E127" s="87"/>
      <c r="F127" s="87"/>
      <c r="G127" s="87"/>
      <c r="H127" s="87"/>
      <c r="I127" s="87"/>
      <c r="J127" s="87"/>
      <c r="K127" s="87"/>
      <c r="L127" s="87"/>
      <c r="M127" s="87"/>
      <c r="N127" s="87"/>
      <c r="O127" s="87"/>
      <c r="P127" s="87"/>
      <c r="Q127" s="87"/>
      <c r="R127" s="87"/>
      <c r="S127" s="87"/>
      <c r="T127" s="87"/>
      <c r="U127" s="87"/>
      <c r="V127" s="87"/>
      <c r="W127" s="87"/>
      <c r="X127" s="87"/>
      <c r="Y127" s="87"/>
      <c r="Z127" s="87"/>
      <c r="AA127" s="87"/>
      <c r="AB127" s="87"/>
      <c r="AC127" s="87"/>
      <c r="AD127" s="87"/>
      <c r="AE127" s="87"/>
      <c r="AF127" s="87"/>
      <c r="AG127" s="87"/>
      <c r="AH127" s="87"/>
      <c r="AI127" s="87"/>
      <c r="AJ127" s="87"/>
    </row>
    <row r="128" spans="1:36" x14ac:dyDescent="0.25">
      <c r="A128" s="273"/>
      <c r="B128" s="86"/>
      <c r="C128" s="86"/>
      <c r="D128" s="86"/>
      <c r="E128" s="86"/>
      <c r="F128" s="86"/>
      <c r="G128" s="86"/>
      <c r="H128" s="86"/>
      <c r="I128" s="86"/>
      <c r="J128" s="86"/>
      <c r="K128" s="86"/>
      <c r="L128" s="86"/>
      <c r="M128" s="86"/>
      <c r="N128" s="86"/>
      <c r="O128" s="86"/>
      <c r="P128" s="86"/>
      <c r="Q128" s="86"/>
      <c r="R128" s="86"/>
      <c r="S128" s="86"/>
      <c r="T128" s="86"/>
      <c r="U128" s="86"/>
      <c r="V128" s="86"/>
      <c r="W128" s="86"/>
      <c r="X128" s="86"/>
      <c r="Y128" s="86"/>
      <c r="Z128" s="86"/>
      <c r="AA128" s="86"/>
      <c r="AB128" s="86"/>
      <c r="AC128" s="86"/>
      <c r="AD128" s="86"/>
      <c r="AE128" s="86"/>
      <c r="AF128" s="86"/>
      <c r="AG128" s="86"/>
      <c r="AH128" s="86"/>
      <c r="AI128" s="86"/>
      <c r="AJ128" s="86"/>
    </row>
    <row r="129" spans="1:36" x14ac:dyDescent="0.25">
      <c r="A129" s="274"/>
      <c r="B129" s="87"/>
      <c r="C129" s="87"/>
      <c r="D129" s="87"/>
      <c r="E129" s="87"/>
      <c r="F129" s="87"/>
      <c r="G129" s="87"/>
      <c r="H129" s="87"/>
      <c r="I129" s="87"/>
      <c r="J129" s="87"/>
      <c r="K129" s="87"/>
      <c r="L129" s="87"/>
      <c r="M129" s="87"/>
      <c r="N129" s="87"/>
      <c r="O129" s="87"/>
      <c r="P129" s="87"/>
      <c r="Q129" s="87"/>
      <c r="R129" s="87"/>
      <c r="S129" s="87"/>
      <c r="T129" s="87"/>
      <c r="U129" s="87"/>
      <c r="V129" s="87"/>
      <c r="W129" s="87"/>
      <c r="X129" s="87"/>
      <c r="Y129" s="87"/>
      <c r="Z129" s="87"/>
      <c r="AA129" s="87"/>
      <c r="AB129" s="87"/>
      <c r="AC129" s="87"/>
      <c r="AD129" s="87"/>
      <c r="AE129" s="87"/>
      <c r="AF129" s="87"/>
      <c r="AG129" s="87"/>
      <c r="AH129" s="87"/>
      <c r="AI129" s="87"/>
      <c r="AJ129" s="87"/>
    </row>
    <row r="130" spans="1:36" x14ac:dyDescent="0.25">
      <c r="A130" s="273"/>
      <c r="B130" s="86"/>
      <c r="C130" s="86"/>
      <c r="D130" s="86"/>
      <c r="E130" s="86"/>
      <c r="F130" s="86"/>
      <c r="G130" s="86"/>
      <c r="H130" s="86"/>
      <c r="I130" s="86"/>
      <c r="J130" s="86"/>
      <c r="K130" s="86"/>
      <c r="L130" s="86"/>
      <c r="M130" s="86"/>
      <c r="N130" s="86"/>
      <c r="O130" s="86"/>
      <c r="P130" s="86"/>
      <c r="Q130" s="86"/>
      <c r="R130" s="86"/>
      <c r="S130" s="86"/>
      <c r="T130" s="86"/>
      <c r="U130" s="86"/>
      <c r="V130" s="86"/>
      <c r="W130" s="86"/>
      <c r="X130" s="86"/>
      <c r="Y130" s="86"/>
      <c r="Z130" s="86"/>
      <c r="AA130" s="86"/>
      <c r="AB130" s="86"/>
      <c r="AC130" s="86"/>
      <c r="AD130" s="86"/>
      <c r="AE130" s="86"/>
      <c r="AF130" s="86"/>
      <c r="AG130" s="86"/>
      <c r="AH130" s="86"/>
      <c r="AI130" s="86"/>
      <c r="AJ130" s="86"/>
    </row>
    <row r="131" spans="1:36" x14ac:dyDescent="0.25">
      <c r="A131" s="274"/>
      <c r="B131" s="87"/>
      <c r="C131" s="87"/>
      <c r="D131" s="87"/>
      <c r="E131" s="87"/>
      <c r="F131" s="87"/>
      <c r="G131" s="87"/>
      <c r="H131" s="87"/>
      <c r="I131" s="87"/>
      <c r="J131" s="87"/>
      <c r="K131" s="87"/>
      <c r="L131" s="87"/>
      <c r="M131" s="87"/>
      <c r="N131" s="87"/>
      <c r="O131" s="87"/>
      <c r="P131" s="87"/>
      <c r="Q131" s="87"/>
      <c r="R131" s="87"/>
      <c r="S131" s="87"/>
      <c r="T131" s="87"/>
      <c r="U131" s="87"/>
      <c r="V131" s="87"/>
      <c r="W131" s="87"/>
      <c r="X131" s="87"/>
      <c r="Y131" s="87"/>
      <c r="Z131" s="87"/>
      <c r="AA131" s="87"/>
      <c r="AB131" s="87"/>
      <c r="AC131" s="87"/>
      <c r="AD131" s="87"/>
      <c r="AE131" s="87"/>
      <c r="AF131" s="87"/>
      <c r="AG131" s="87"/>
      <c r="AH131" s="87"/>
      <c r="AI131" s="87"/>
      <c r="AJ131" s="87"/>
    </row>
    <row r="132" spans="1:36" x14ac:dyDescent="0.25">
      <c r="A132" s="273"/>
      <c r="B132" s="86"/>
      <c r="C132" s="86"/>
      <c r="D132" s="86"/>
      <c r="E132" s="86"/>
      <c r="F132" s="86"/>
      <c r="G132" s="86"/>
      <c r="H132" s="86"/>
      <c r="I132" s="86"/>
      <c r="J132" s="86"/>
      <c r="K132" s="86"/>
      <c r="L132" s="86"/>
      <c r="M132" s="86"/>
      <c r="N132" s="86"/>
      <c r="O132" s="86"/>
      <c r="P132" s="86"/>
      <c r="Q132" s="86"/>
      <c r="R132" s="86"/>
      <c r="S132" s="86"/>
      <c r="T132" s="86"/>
      <c r="U132" s="86"/>
      <c r="V132" s="86"/>
      <c r="W132" s="86"/>
      <c r="X132" s="86"/>
      <c r="Y132" s="86"/>
      <c r="Z132" s="86"/>
      <c r="AA132" s="86"/>
      <c r="AB132" s="86"/>
      <c r="AC132" s="86"/>
      <c r="AD132" s="86"/>
      <c r="AE132" s="86"/>
      <c r="AF132" s="86"/>
      <c r="AG132" s="86"/>
      <c r="AH132" s="86"/>
      <c r="AI132" s="86"/>
      <c r="AJ132" s="86"/>
    </row>
    <row r="133" spans="1:36" x14ac:dyDescent="0.25">
      <c r="A133" s="274"/>
      <c r="B133" s="87"/>
      <c r="C133" s="87"/>
      <c r="D133" s="87"/>
      <c r="E133" s="87"/>
      <c r="F133" s="87"/>
      <c r="G133" s="87"/>
      <c r="H133" s="87"/>
      <c r="I133" s="87"/>
      <c r="J133" s="87"/>
      <c r="K133" s="87"/>
      <c r="L133" s="87"/>
      <c r="M133" s="87"/>
      <c r="N133" s="87"/>
      <c r="O133" s="87"/>
      <c r="P133" s="87"/>
      <c r="Q133" s="87"/>
      <c r="R133" s="87"/>
      <c r="S133" s="87"/>
      <c r="T133" s="87"/>
      <c r="U133" s="87"/>
      <c r="V133" s="87"/>
      <c r="W133" s="87"/>
      <c r="X133" s="87"/>
      <c r="Y133" s="87"/>
      <c r="Z133" s="87"/>
      <c r="AA133" s="87"/>
      <c r="AB133" s="87"/>
      <c r="AC133" s="87"/>
      <c r="AD133" s="87"/>
      <c r="AE133" s="87"/>
      <c r="AF133" s="87"/>
      <c r="AG133" s="87"/>
      <c r="AH133" s="87"/>
      <c r="AI133" s="87"/>
      <c r="AJ133" s="87"/>
    </row>
    <row r="134" spans="1:36" x14ac:dyDescent="0.25">
      <c r="A134" s="273"/>
      <c r="B134" s="86"/>
      <c r="C134" s="86"/>
      <c r="D134" s="86"/>
      <c r="E134" s="86"/>
      <c r="F134" s="86"/>
      <c r="G134" s="86"/>
      <c r="H134" s="86"/>
      <c r="I134" s="86"/>
      <c r="J134" s="86"/>
      <c r="K134" s="86"/>
      <c r="L134" s="86"/>
      <c r="M134" s="86"/>
      <c r="N134" s="86"/>
      <c r="O134" s="86"/>
      <c r="P134" s="86"/>
      <c r="Q134" s="86"/>
      <c r="R134" s="86"/>
      <c r="S134" s="86"/>
      <c r="T134" s="86"/>
      <c r="U134" s="86"/>
      <c r="V134" s="86"/>
      <c r="W134" s="86"/>
      <c r="X134" s="86"/>
      <c r="Y134" s="86"/>
      <c r="Z134" s="86"/>
      <c r="AA134" s="86"/>
      <c r="AB134" s="86"/>
      <c r="AC134" s="86"/>
      <c r="AD134" s="86"/>
      <c r="AE134" s="86"/>
      <c r="AF134" s="86"/>
      <c r="AG134" s="86"/>
      <c r="AH134" s="86"/>
      <c r="AI134" s="86"/>
      <c r="AJ134" s="86"/>
    </row>
    <row r="135" spans="1:36" x14ac:dyDescent="0.25">
      <c r="A135" s="274"/>
      <c r="B135" s="87"/>
      <c r="C135" s="87"/>
      <c r="D135" s="87"/>
      <c r="E135" s="87"/>
      <c r="F135" s="87"/>
      <c r="G135" s="87"/>
      <c r="H135" s="87"/>
      <c r="I135" s="87"/>
      <c r="J135" s="87"/>
      <c r="K135" s="87"/>
      <c r="L135" s="87"/>
      <c r="M135" s="87"/>
      <c r="N135" s="87"/>
      <c r="O135" s="87"/>
      <c r="P135" s="87"/>
      <c r="Q135" s="87"/>
      <c r="R135" s="87"/>
      <c r="S135" s="87"/>
      <c r="T135" s="87"/>
      <c r="U135" s="87"/>
      <c r="V135" s="87"/>
      <c r="W135" s="87"/>
      <c r="X135" s="87"/>
      <c r="Y135" s="87"/>
      <c r="Z135" s="87"/>
      <c r="AA135" s="87"/>
      <c r="AB135" s="87"/>
      <c r="AC135" s="87"/>
      <c r="AD135" s="87"/>
      <c r="AE135" s="87"/>
      <c r="AF135" s="87"/>
      <c r="AG135" s="87"/>
      <c r="AH135" s="87"/>
      <c r="AI135" s="87"/>
      <c r="AJ135" s="87"/>
    </row>
    <row r="136" spans="1:36" x14ac:dyDescent="0.25">
      <c r="A136" s="273"/>
      <c r="B136" s="86"/>
      <c r="C136" s="86"/>
      <c r="D136" s="86"/>
      <c r="E136" s="86"/>
      <c r="F136" s="86"/>
      <c r="G136" s="86"/>
      <c r="H136" s="86"/>
      <c r="I136" s="86"/>
      <c r="J136" s="86"/>
      <c r="K136" s="86"/>
      <c r="L136" s="86"/>
      <c r="M136" s="86"/>
      <c r="N136" s="86"/>
      <c r="O136" s="86"/>
      <c r="P136" s="86"/>
      <c r="Q136" s="86"/>
      <c r="R136" s="86"/>
      <c r="S136" s="86"/>
      <c r="T136" s="86"/>
      <c r="U136" s="86"/>
      <c r="V136" s="86"/>
      <c r="W136" s="86"/>
      <c r="X136" s="86"/>
      <c r="Y136" s="86"/>
      <c r="Z136" s="86"/>
      <c r="AA136" s="86"/>
      <c r="AB136" s="86"/>
      <c r="AC136" s="86"/>
      <c r="AD136" s="86"/>
      <c r="AE136" s="86"/>
      <c r="AF136" s="86"/>
      <c r="AG136" s="86"/>
      <c r="AH136" s="86"/>
      <c r="AI136" s="86"/>
      <c r="AJ136" s="86"/>
    </row>
    <row r="137" spans="1:36" x14ac:dyDescent="0.25">
      <c r="A137" s="274"/>
      <c r="B137" s="87"/>
      <c r="C137" s="87"/>
      <c r="D137" s="87"/>
      <c r="E137" s="87"/>
      <c r="F137" s="87"/>
      <c r="G137" s="87"/>
      <c r="H137" s="87"/>
      <c r="I137" s="87"/>
      <c r="J137" s="87"/>
      <c r="K137" s="87"/>
      <c r="L137" s="87"/>
      <c r="M137" s="87"/>
      <c r="N137" s="87"/>
      <c r="O137" s="87"/>
      <c r="P137" s="87"/>
      <c r="Q137" s="87"/>
      <c r="R137" s="87"/>
      <c r="S137" s="87"/>
      <c r="T137" s="87"/>
      <c r="U137" s="87"/>
      <c r="V137" s="87"/>
      <c r="W137" s="87"/>
      <c r="X137" s="87"/>
      <c r="Y137" s="87"/>
      <c r="Z137" s="87"/>
      <c r="AA137" s="87"/>
      <c r="AB137" s="87"/>
      <c r="AC137" s="87"/>
      <c r="AD137" s="87"/>
      <c r="AE137" s="87"/>
      <c r="AF137" s="87"/>
      <c r="AG137" s="87"/>
      <c r="AH137" s="87"/>
      <c r="AI137" s="87"/>
      <c r="AJ137" s="87"/>
    </row>
    <row r="138" spans="1:36" x14ac:dyDescent="0.25">
      <c r="A138" s="273"/>
      <c r="B138" s="86"/>
      <c r="C138" s="86"/>
      <c r="D138" s="86"/>
      <c r="E138" s="86"/>
      <c r="F138" s="86"/>
      <c r="G138" s="86"/>
      <c r="H138" s="86"/>
      <c r="I138" s="86"/>
      <c r="J138" s="86"/>
      <c r="K138" s="86"/>
      <c r="L138" s="86"/>
      <c r="M138" s="86"/>
      <c r="N138" s="86"/>
      <c r="O138" s="86"/>
      <c r="P138" s="86"/>
      <c r="Q138" s="86"/>
      <c r="R138" s="86"/>
      <c r="S138" s="86"/>
      <c r="T138" s="86"/>
      <c r="U138" s="86"/>
      <c r="V138" s="86"/>
      <c r="W138" s="86"/>
      <c r="X138" s="86"/>
      <c r="Y138" s="86"/>
      <c r="Z138" s="86"/>
      <c r="AA138" s="86"/>
      <c r="AB138" s="86"/>
      <c r="AC138" s="86"/>
      <c r="AD138" s="86"/>
      <c r="AE138" s="86"/>
      <c r="AF138" s="86"/>
      <c r="AG138" s="86"/>
      <c r="AH138" s="86"/>
      <c r="AI138" s="86"/>
      <c r="AJ138" s="86"/>
    </row>
    <row r="139" spans="1:36" x14ac:dyDescent="0.25">
      <c r="A139" s="274"/>
      <c r="B139" s="87"/>
      <c r="C139" s="87"/>
      <c r="D139" s="87"/>
      <c r="E139" s="87"/>
      <c r="F139" s="87"/>
      <c r="G139" s="87"/>
      <c r="H139" s="87"/>
      <c r="I139" s="87"/>
      <c r="J139" s="87"/>
      <c r="K139" s="87"/>
      <c r="L139" s="87"/>
      <c r="M139" s="87"/>
      <c r="N139" s="87"/>
      <c r="O139" s="87"/>
      <c r="P139" s="87"/>
      <c r="Q139" s="87"/>
      <c r="R139" s="87"/>
      <c r="S139" s="87"/>
      <c r="T139" s="87"/>
      <c r="U139" s="87"/>
      <c r="V139" s="87"/>
      <c r="W139" s="87"/>
      <c r="X139" s="87"/>
      <c r="Y139" s="87"/>
      <c r="Z139" s="87"/>
      <c r="AA139" s="87"/>
      <c r="AB139" s="87"/>
      <c r="AC139" s="87"/>
      <c r="AD139" s="87"/>
      <c r="AE139" s="87"/>
      <c r="AF139" s="87"/>
      <c r="AG139" s="87"/>
      <c r="AH139" s="87"/>
      <c r="AI139" s="87"/>
      <c r="AJ139" s="87"/>
    </row>
    <row r="140" spans="1:36" x14ac:dyDescent="0.25">
      <c r="A140" s="273"/>
      <c r="B140" s="86"/>
      <c r="C140" s="86"/>
      <c r="D140" s="86"/>
      <c r="E140" s="86"/>
      <c r="F140" s="86"/>
      <c r="G140" s="86"/>
      <c r="H140" s="86"/>
      <c r="I140" s="86"/>
      <c r="J140" s="86"/>
      <c r="K140" s="86"/>
      <c r="L140" s="86"/>
      <c r="M140" s="86"/>
      <c r="N140" s="86"/>
      <c r="O140" s="86"/>
      <c r="P140" s="86"/>
      <c r="Q140" s="86"/>
      <c r="R140" s="86"/>
      <c r="S140" s="86"/>
      <c r="T140" s="86"/>
      <c r="U140" s="86"/>
      <c r="V140" s="86"/>
      <c r="W140" s="86"/>
      <c r="X140" s="86"/>
      <c r="Y140" s="86"/>
      <c r="Z140" s="86"/>
      <c r="AA140" s="86"/>
      <c r="AB140" s="86"/>
      <c r="AC140" s="86"/>
      <c r="AD140" s="86"/>
      <c r="AE140" s="86"/>
      <c r="AF140" s="86"/>
      <c r="AG140" s="86"/>
      <c r="AH140" s="86"/>
      <c r="AI140" s="86"/>
      <c r="AJ140" s="86"/>
    </row>
    <row r="141" spans="1:36" x14ac:dyDescent="0.25">
      <c r="A141" s="274"/>
      <c r="B141" s="87"/>
      <c r="C141" s="87"/>
      <c r="D141" s="87"/>
      <c r="E141" s="87"/>
      <c r="F141" s="87"/>
      <c r="G141" s="87"/>
      <c r="H141" s="87"/>
      <c r="I141" s="87"/>
      <c r="J141" s="87"/>
      <c r="K141" s="87"/>
      <c r="L141" s="87"/>
      <c r="M141" s="87"/>
      <c r="N141" s="87"/>
      <c r="O141" s="87"/>
      <c r="P141" s="87"/>
      <c r="Q141" s="87"/>
      <c r="R141" s="87"/>
      <c r="S141" s="87"/>
      <c r="T141" s="87"/>
      <c r="U141" s="87"/>
      <c r="V141" s="87"/>
      <c r="W141" s="87"/>
      <c r="X141" s="87"/>
      <c r="Y141" s="87"/>
      <c r="Z141" s="87"/>
      <c r="AA141" s="87"/>
      <c r="AB141" s="87"/>
      <c r="AC141" s="87"/>
      <c r="AD141" s="87"/>
      <c r="AE141" s="87"/>
      <c r="AF141" s="87"/>
      <c r="AG141" s="87"/>
      <c r="AH141" s="87"/>
      <c r="AI141" s="87"/>
      <c r="AJ141" s="87"/>
    </row>
    <row r="142" spans="1:36" x14ac:dyDescent="0.25">
      <c r="A142" s="273"/>
      <c r="B142" s="86"/>
      <c r="C142" s="86"/>
      <c r="D142" s="86"/>
      <c r="E142" s="86"/>
      <c r="F142" s="86"/>
      <c r="G142" s="86"/>
      <c r="H142" s="86"/>
      <c r="I142" s="86"/>
      <c r="J142" s="86"/>
      <c r="K142" s="86"/>
      <c r="L142" s="86"/>
      <c r="M142" s="86"/>
      <c r="N142" s="86"/>
      <c r="O142" s="86"/>
      <c r="P142" s="86"/>
      <c r="Q142" s="86"/>
      <c r="R142" s="86"/>
      <c r="S142" s="86"/>
      <c r="T142" s="86"/>
      <c r="U142" s="86"/>
      <c r="V142" s="86"/>
      <c r="W142" s="86"/>
      <c r="X142" s="86"/>
      <c r="Y142" s="86"/>
      <c r="Z142" s="86"/>
      <c r="AA142" s="86"/>
      <c r="AB142" s="86"/>
      <c r="AC142" s="86"/>
      <c r="AD142" s="86"/>
      <c r="AE142" s="86"/>
      <c r="AF142" s="86"/>
      <c r="AG142" s="86"/>
      <c r="AH142" s="86"/>
      <c r="AI142" s="86"/>
      <c r="AJ142" s="86"/>
    </row>
    <row r="143" spans="1:36" x14ac:dyDescent="0.25">
      <c r="A143" s="274"/>
      <c r="B143" s="87"/>
      <c r="C143" s="87"/>
      <c r="D143" s="87"/>
      <c r="E143" s="87"/>
      <c r="F143" s="87"/>
      <c r="G143" s="87"/>
      <c r="H143" s="87"/>
      <c r="I143" s="87"/>
      <c r="J143" s="87"/>
      <c r="K143" s="87"/>
      <c r="L143" s="87"/>
      <c r="M143" s="87"/>
      <c r="N143" s="87"/>
      <c r="O143" s="87"/>
      <c r="P143" s="87"/>
      <c r="Q143" s="87"/>
      <c r="R143" s="87"/>
      <c r="S143" s="87"/>
      <c r="T143" s="87"/>
      <c r="U143" s="87"/>
      <c r="V143" s="87"/>
      <c r="W143" s="87"/>
      <c r="X143" s="87"/>
      <c r="Y143" s="87"/>
      <c r="Z143" s="87"/>
      <c r="AA143" s="87"/>
      <c r="AB143" s="87"/>
      <c r="AC143" s="87"/>
      <c r="AD143" s="87"/>
      <c r="AE143" s="87"/>
      <c r="AF143" s="87"/>
      <c r="AG143" s="87"/>
      <c r="AH143" s="87"/>
      <c r="AI143" s="87"/>
      <c r="AJ143" s="87"/>
    </row>
    <row r="144" spans="1:36" x14ac:dyDescent="0.25">
      <c r="A144" s="273"/>
      <c r="B144" s="86"/>
      <c r="C144" s="86"/>
      <c r="D144" s="86"/>
      <c r="E144" s="86"/>
      <c r="F144" s="86"/>
      <c r="G144" s="86"/>
      <c r="H144" s="86"/>
      <c r="I144" s="86"/>
      <c r="J144" s="86"/>
      <c r="K144" s="86"/>
      <c r="L144" s="86"/>
      <c r="M144" s="86"/>
      <c r="N144" s="86"/>
      <c r="O144" s="86"/>
      <c r="P144" s="86"/>
      <c r="Q144" s="86"/>
      <c r="R144" s="86"/>
      <c r="S144" s="86"/>
      <c r="T144" s="86"/>
      <c r="U144" s="86"/>
      <c r="V144" s="86"/>
      <c r="W144" s="86"/>
      <c r="X144" s="86"/>
      <c r="Y144" s="86"/>
      <c r="Z144" s="86"/>
      <c r="AA144" s="86"/>
      <c r="AB144" s="86"/>
      <c r="AC144" s="86"/>
      <c r="AD144" s="86"/>
      <c r="AE144" s="86"/>
      <c r="AF144" s="86"/>
      <c r="AG144" s="86"/>
      <c r="AH144" s="86"/>
      <c r="AI144" s="86"/>
      <c r="AJ144" s="86"/>
    </row>
    <row r="145" spans="1:36" x14ac:dyDescent="0.25">
      <c r="A145" s="274"/>
      <c r="B145" s="87"/>
      <c r="C145" s="87"/>
      <c r="D145" s="87"/>
      <c r="E145" s="87"/>
      <c r="F145" s="87"/>
      <c r="G145" s="87"/>
      <c r="H145" s="87"/>
      <c r="I145" s="87"/>
      <c r="J145" s="87"/>
      <c r="K145" s="87"/>
      <c r="L145" s="87"/>
      <c r="M145" s="87"/>
      <c r="N145" s="87"/>
      <c r="O145" s="87"/>
      <c r="P145" s="87"/>
      <c r="Q145" s="87"/>
      <c r="R145" s="87"/>
      <c r="S145" s="87"/>
      <c r="T145" s="87"/>
      <c r="U145" s="87"/>
      <c r="V145" s="87"/>
      <c r="W145" s="87"/>
      <c r="X145" s="87"/>
      <c r="Y145" s="87"/>
      <c r="Z145" s="87"/>
      <c r="AA145" s="87"/>
      <c r="AB145" s="87"/>
      <c r="AC145" s="87"/>
      <c r="AD145" s="87"/>
      <c r="AE145" s="87"/>
      <c r="AF145" s="87"/>
      <c r="AG145" s="87"/>
      <c r="AH145" s="87"/>
      <c r="AI145" s="87"/>
      <c r="AJ145" s="87"/>
    </row>
    <row r="146" spans="1:36" x14ac:dyDescent="0.25">
      <c r="A146" s="273"/>
      <c r="B146" s="86"/>
      <c r="C146" s="86"/>
      <c r="D146" s="86"/>
      <c r="E146" s="86"/>
      <c r="F146" s="86"/>
      <c r="G146" s="86"/>
      <c r="H146" s="86"/>
      <c r="I146" s="86"/>
      <c r="J146" s="86"/>
      <c r="K146" s="86"/>
      <c r="L146" s="86"/>
      <c r="M146" s="86"/>
      <c r="N146" s="86"/>
      <c r="O146" s="86"/>
      <c r="P146" s="86"/>
      <c r="Q146" s="86"/>
      <c r="R146" s="86"/>
      <c r="S146" s="86"/>
      <c r="T146" s="86"/>
      <c r="U146" s="86"/>
      <c r="V146" s="86"/>
      <c r="W146" s="86"/>
      <c r="X146" s="86"/>
      <c r="Y146" s="86"/>
      <c r="Z146" s="86"/>
      <c r="AA146" s="86"/>
      <c r="AB146" s="86"/>
      <c r="AC146" s="86"/>
      <c r="AD146" s="86"/>
      <c r="AE146" s="86"/>
      <c r="AF146" s="86"/>
      <c r="AG146" s="86"/>
      <c r="AH146" s="86"/>
      <c r="AI146" s="86"/>
      <c r="AJ146" s="86"/>
    </row>
    <row r="147" spans="1:36" x14ac:dyDescent="0.25">
      <c r="A147" s="274"/>
      <c r="B147" s="87"/>
      <c r="C147" s="87"/>
      <c r="D147" s="87"/>
      <c r="E147" s="87"/>
      <c r="F147" s="87"/>
      <c r="G147" s="87"/>
      <c r="H147" s="87"/>
      <c r="I147" s="87"/>
      <c r="J147" s="87"/>
      <c r="K147" s="87"/>
      <c r="L147" s="87"/>
      <c r="M147" s="87"/>
      <c r="N147" s="87"/>
      <c r="O147" s="87"/>
      <c r="P147" s="87"/>
      <c r="Q147" s="87"/>
      <c r="R147" s="87"/>
      <c r="S147" s="87"/>
      <c r="T147" s="87"/>
      <c r="U147" s="87"/>
      <c r="V147" s="87"/>
      <c r="W147" s="87"/>
      <c r="X147" s="87"/>
      <c r="Y147" s="87"/>
      <c r="Z147" s="87"/>
      <c r="AA147" s="87"/>
      <c r="AB147" s="87"/>
      <c r="AC147" s="87"/>
      <c r="AD147" s="87"/>
      <c r="AE147" s="87"/>
      <c r="AF147" s="87"/>
      <c r="AG147" s="87"/>
      <c r="AH147" s="87"/>
      <c r="AI147" s="87"/>
      <c r="AJ147" s="87"/>
    </row>
    <row r="148" spans="1:36" x14ac:dyDescent="0.25">
      <c r="A148" s="273"/>
      <c r="B148" s="86"/>
      <c r="C148" s="86"/>
      <c r="D148" s="86"/>
      <c r="E148" s="86"/>
      <c r="F148" s="86"/>
      <c r="G148" s="86"/>
      <c r="H148" s="86"/>
      <c r="I148" s="86"/>
      <c r="J148" s="86"/>
      <c r="K148" s="86"/>
      <c r="L148" s="86"/>
      <c r="M148" s="86"/>
      <c r="N148" s="86"/>
      <c r="O148" s="86"/>
      <c r="P148" s="86"/>
      <c r="Q148" s="86"/>
      <c r="R148" s="86"/>
      <c r="S148" s="86"/>
      <c r="T148" s="86"/>
      <c r="U148" s="86"/>
      <c r="V148" s="86"/>
      <c r="W148" s="86"/>
      <c r="X148" s="86"/>
      <c r="Y148" s="86"/>
      <c r="Z148" s="86"/>
      <c r="AA148" s="86"/>
      <c r="AB148" s="86"/>
      <c r="AC148" s="86"/>
      <c r="AD148" s="86"/>
      <c r="AE148" s="86"/>
      <c r="AF148" s="86"/>
      <c r="AG148" s="86"/>
      <c r="AH148" s="86"/>
      <c r="AI148" s="86"/>
      <c r="AJ148" s="86"/>
    </row>
    <row r="149" spans="1:36" x14ac:dyDescent="0.25">
      <c r="A149" s="274"/>
      <c r="B149" s="87"/>
      <c r="C149" s="87"/>
      <c r="D149" s="87"/>
      <c r="E149" s="87"/>
      <c r="F149" s="87"/>
      <c r="G149" s="87"/>
      <c r="H149" s="87"/>
      <c r="I149" s="87"/>
      <c r="J149" s="87"/>
      <c r="K149" s="87"/>
      <c r="L149" s="87"/>
      <c r="M149" s="87"/>
      <c r="N149" s="87"/>
      <c r="O149" s="87"/>
      <c r="P149" s="87"/>
      <c r="Q149" s="87"/>
      <c r="R149" s="87"/>
      <c r="S149" s="87"/>
      <c r="T149" s="87"/>
      <c r="U149" s="87"/>
      <c r="V149" s="87"/>
      <c r="W149" s="87"/>
      <c r="X149" s="87"/>
      <c r="Y149" s="87"/>
      <c r="Z149" s="87"/>
      <c r="AA149" s="87"/>
      <c r="AB149" s="87"/>
      <c r="AC149" s="87"/>
      <c r="AD149" s="87"/>
      <c r="AE149" s="87"/>
      <c r="AF149" s="87"/>
      <c r="AG149" s="87"/>
      <c r="AH149" s="87"/>
      <c r="AI149" s="87"/>
      <c r="AJ149" s="87"/>
    </row>
    <row r="150" spans="1:36" x14ac:dyDescent="0.25">
      <c r="A150" s="273"/>
      <c r="B150" s="86"/>
      <c r="C150" s="86"/>
      <c r="D150" s="86"/>
      <c r="E150" s="86"/>
      <c r="F150" s="86"/>
      <c r="G150" s="86"/>
      <c r="H150" s="86"/>
      <c r="I150" s="86"/>
      <c r="J150" s="86"/>
      <c r="K150" s="86"/>
      <c r="L150" s="86"/>
      <c r="M150" s="86"/>
      <c r="N150" s="86"/>
      <c r="O150" s="86"/>
      <c r="P150" s="86"/>
      <c r="Q150" s="86"/>
      <c r="R150" s="86"/>
      <c r="S150" s="86"/>
      <c r="T150" s="86"/>
      <c r="U150" s="86"/>
      <c r="V150" s="86"/>
      <c r="W150" s="86"/>
      <c r="X150" s="86"/>
      <c r="Y150" s="86"/>
      <c r="Z150" s="86"/>
      <c r="AA150" s="86"/>
      <c r="AB150" s="86"/>
      <c r="AC150" s="86"/>
      <c r="AD150" s="86"/>
      <c r="AE150" s="86"/>
      <c r="AF150" s="86"/>
      <c r="AG150" s="86"/>
      <c r="AH150" s="86"/>
      <c r="AI150" s="86"/>
      <c r="AJ150" s="86"/>
    </row>
    <row r="151" spans="1:36" x14ac:dyDescent="0.25">
      <c r="A151" s="274"/>
      <c r="B151" s="87"/>
      <c r="C151" s="87"/>
      <c r="D151" s="87"/>
      <c r="E151" s="87"/>
      <c r="F151" s="87"/>
      <c r="G151" s="87"/>
      <c r="H151" s="87"/>
      <c r="I151" s="87"/>
      <c r="J151" s="87"/>
      <c r="K151" s="87"/>
      <c r="L151" s="87"/>
      <c r="M151" s="87"/>
      <c r="N151" s="87"/>
      <c r="O151" s="87"/>
      <c r="P151" s="87"/>
      <c r="Q151" s="87"/>
      <c r="R151" s="87"/>
      <c r="S151" s="87"/>
      <c r="T151" s="87"/>
      <c r="U151" s="87"/>
      <c r="V151" s="87"/>
      <c r="W151" s="87"/>
      <c r="X151" s="87"/>
      <c r="Y151" s="87"/>
      <c r="Z151" s="87"/>
      <c r="AA151" s="87"/>
      <c r="AB151" s="87"/>
      <c r="AC151" s="87"/>
      <c r="AD151" s="87"/>
      <c r="AE151" s="87"/>
      <c r="AF151" s="87"/>
      <c r="AG151" s="87"/>
      <c r="AH151" s="87"/>
      <c r="AI151" s="87"/>
      <c r="AJ151" s="87"/>
    </row>
    <row r="152" spans="1:36" x14ac:dyDescent="0.25">
      <c r="A152" s="273"/>
      <c r="B152" s="86"/>
      <c r="C152" s="86"/>
      <c r="D152" s="86"/>
      <c r="E152" s="86"/>
      <c r="F152" s="86"/>
      <c r="G152" s="86"/>
      <c r="H152" s="86"/>
      <c r="I152" s="86"/>
      <c r="J152" s="86"/>
      <c r="K152" s="86"/>
      <c r="L152" s="86"/>
      <c r="M152" s="86"/>
      <c r="N152" s="86"/>
      <c r="O152" s="86"/>
      <c r="P152" s="86"/>
      <c r="Q152" s="86"/>
      <c r="R152" s="86"/>
      <c r="S152" s="86"/>
      <c r="T152" s="86"/>
      <c r="U152" s="86"/>
      <c r="V152" s="86"/>
      <c r="W152" s="86"/>
      <c r="X152" s="86"/>
      <c r="Y152" s="86"/>
      <c r="Z152" s="86"/>
      <c r="AA152" s="86"/>
      <c r="AB152" s="86"/>
      <c r="AC152" s="86"/>
      <c r="AD152" s="86"/>
      <c r="AE152" s="86"/>
      <c r="AF152" s="86"/>
      <c r="AG152" s="86"/>
      <c r="AH152" s="86"/>
      <c r="AI152" s="86"/>
      <c r="AJ152" s="86"/>
    </row>
    <row r="153" spans="1:36" x14ac:dyDescent="0.25">
      <c r="A153" s="274"/>
      <c r="B153" s="87"/>
      <c r="C153" s="87"/>
      <c r="D153" s="87"/>
      <c r="E153" s="87"/>
      <c r="F153" s="87"/>
      <c r="G153" s="87"/>
      <c r="H153" s="87"/>
      <c r="I153" s="87"/>
      <c r="J153" s="87"/>
      <c r="K153" s="87"/>
      <c r="L153" s="87"/>
      <c r="M153" s="87"/>
      <c r="N153" s="87"/>
      <c r="O153" s="87"/>
      <c r="P153" s="87"/>
      <c r="Q153" s="87"/>
      <c r="R153" s="87"/>
      <c r="S153" s="87"/>
      <c r="T153" s="87"/>
      <c r="U153" s="87"/>
      <c r="V153" s="87"/>
      <c r="W153" s="87"/>
      <c r="X153" s="87"/>
      <c r="Y153" s="87"/>
      <c r="Z153" s="87"/>
      <c r="AA153" s="87"/>
      <c r="AB153" s="87"/>
      <c r="AC153" s="87"/>
      <c r="AD153" s="87"/>
      <c r="AE153" s="87"/>
      <c r="AF153" s="87"/>
      <c r="AG153" s="87"/>
      <c r="AH153" s="87"/>
      <c r="AI153" s="87"/>
      <c r="AJ153" s="87"/>
    </row>
    <row r="154" spans="1:36" x14ac:dyDescent="0.25">
      <c r="A154" s="273"/>
      <c r="B154" s="86"/>
      <c r="C154" s="86"/>
      <c r="D154" s="86"/>
      <c r="E154" s="86"/>
      <c r="F154" s="86"/>
      <c r="G154" s="86"/>
      <c r="H154" s="86"/>
      <c r="I154" s="86"/>
      <c r="J154" s="86"/>
      <c r="K154" s="86"/>
      <c r="L154" s="86"/>
      <c r="M154" s="86"/>
      <c r="N154" s="86"/>
      <c r="O154" s="86"/>
      <c r="P154" s="86"/>
      <c r="Q154" s="86"/>
      <c r="R154" s="86"/>
      <c r="S154" s="86"/>
      <c r="T154" s="86"/>
      <c r="U154" s="86"/>
      <c r="V154" s="86"/>
      <c r="W154" s="86"/>
      <c r="X154" s="86"/>
      <c r="Y154" s="86"/>
      <c r="Z154" s="86"/>
      <c r="AA154" s="86"/>
      <c r="AB154" s="86"/>
      <c r="AC154" s="86"/>
      <c r="AD154" s="86"/>
      <c r="AE154" s="86"/>
      <c r="AF154" s="86"/>
      <c r="AG154" s="86"/>
      <c r="AH154" s="86"/>
      <c r="AI154" s="86"/>
      <c r="AJ154" s="86"/>
    </row>
    <row r="155" spans="1:36" x14ac:dyDescent="0.25">
      <c r="A155" s="274"/>
      <c r="B155" s="87"/>
      <c r="C155" s="87"/>
      <c r="D155" s="87"/>
      <c r="E155" s="87"/>
      <c r="F155" s="87"/>
      <c r="G155" s="87"/>
      <c r="H155" s="87"/>
      <c r="I155" s="87"/>
      <c r="J155" s="87"/>
      <c r="K155" s="87"/>
      <c r="L155" s="87"/>
      <c r="M155" s="87"/>
      <c r="N155" s="87"/>
      <c r="O155" s="87"/>
      <c r="P155" s="87"/>
      <c r="Q155" s="87"/>
      <c r="R155" s="87"/>
      <c r="S155" s="87"/>
      <c r="T155" s="87"/>
      <c r="U155" s="87"/>
      <c r="V155" s="87"/>
      <c r="W155" s="87"/>
      <c r="X155" s="87"/>
      <c r="Y155" s="87"/>
      <c r="Z155" s="87"/>
      <c r="AA155" s="87"/>
      <c r="AB155" s="87"/>
      <c r="AC155" s="87"/>
      <c r="AD155" s="87"/>
      <c r="AE155" s="87"/>
      <c r="AF155" s="87"/>
      <c r="AG155" s="87"/>
      <c r="AH155" s="87"/>
      <c r="AI155" s="87"/>
      <c r="AJ155" s="87"/>
    </row>
    <row r="156" spans="1:36" x14ac:dyDescent="0.25">
      <c r="A156" s="273"/>
      <c r="B156" s="86"/>
      <c r="C156" s="86"/>
      <c r="D156" s="86"/>
      <c r="E156" s="86"/>
      <c r="F156" s="86"/>
      <c r="G156" s="86"/>
      <c r="H156" s="86"/>
      <c r="I156" s="86"/>
      <c r="J156" s="86"/>
      <c r="K156" s="86"/>
      <c r="L156" s="86"/>
      <c r="M156" s="86"/>
      <c r="N156" s="86"/>
      <c r="O156" s="86"/>
      <c r="P156" s="86"/>
      <c r="Q156" s="86"/>
      <c r="R156" s="86"/>
      <c r="S156" s="86"/>
      <c r="T156" s="86"/>
      <c r="U156" s="86"/>
      <c r="V156" s="86"/>
      <c r="W156" s="86"/>
      <c r="X156" s="86"/>
      <c r="Y156" s="86"/>
      <c r="Z156" s="86"/>
      <c r="AA156" s="86"/>
      <c r="AB156" s="86"/>
      <c r="AC156" s="86"/>
      <c r="AD156" s="86"/>
      <c r="AE156" s="86"/>
      <c r="AF156" s="86"/>
      <c r="AG156" s="86"/>
      <c r="AH156" s="86"/>
      <c r="AI156" s="86"/>
      <c r="AJ156" s="86"/>
    </row>
    <row r="157" spans="1:36" x14ac:dyDescent="0.25">
      <c r="A157" s="274"/>
      <c r="B157" s="87"/>
      <c r="C157" s="87"/>
      <c r="D157" s="87"/>
      <c r="E157" s="87"/>
      <c r="F157" s="87"/>
      <c r="G157" s="87"/>
      <c r="H157" s="87"/>
      <c r="I157" s="87"/>
      <c r="J157" s="87"/>
      <c r="K157" s="87"/>
      <c r="L157" s="87"/>
      <c r="M157" s="87"/>
      <c r="N157" s="87"/>
      <c r="O157" s="87"/>
      <c r="P157" s="87"/>
      <c r="Q157" s="87"/>
      <c r="R157" s="87"/>
      <c r="S157" s="87"/>
      <c r="T157" s="87"/>
      <c r="U157" s="87"/>
      <c r="V157" s="87"/>
      <c r="W157" s="87"/>
      <c r="X157" s="87"/>
      <c r="Y157" s="87"/>
      <c r="Z157" s="87"/>
      <c r="AA157" s="87"/>
      <c r="AB157" s="87"/>
      <c r="AC157" s="87"/>
      <c r="AD157" s="87"/>
      <c r="AE157" s="87"/>
      <c r="AF157" s="87"/>
      <c r="AG157" s="87"/>
      <c r="AH157" s="87"/>
      <c r="AI157" s="87"/>
      <c r="AJ157" s="87"/>
    </row>
    <row r="158" spans="1:36" x14ac:dyDescent="0.25">
      <c r="A158" s="273"/>
      <c r="B158" s="86"/>
      <c r="C158" s="86"/>
      <c r="D158" s="86"/>
      <c r="E158" s="86"/>
      <c r="F158" s="86"/>
      <c r="G158" s="86"/>
      <c r="H158" s="86"/>
      <c r="I158" s="86"/>
      <c r="J158" s="86"/>
      <c r="K158" s="86"/>
      <c r="L158" s="86"/>
      <c r="M158" s="86"/>
      <c r="N158" s="86"/>
      <c r="O158" s="86"/>
      <c r="P158" s="86"/>
      <c r="Q158" s="86"/>
      <c r="R158" s="86"/>
      <c r="S158" s="86"/>
      <c r="T158" s="86"/>
      <c r="U158" s="86"/>
      <c r="V158" s="86"/>
      <c r="W158" s="86"/>
      <c r="X158" s="86"/>
      <c r="Y158" s="86"/>
      <c r="Z158" s="86"/>
      <c r="AA158" s="86"/>
      <c r="AB158" s="86"/>
      <c r="AC158" s="86"/>
      <c r="AD158" s="86"/>
      <c r="AE158" s="86"/>
      <c r="AF158" s="86"/>
      <c r="AG158" s="86"/>
      <c r="AH158" s="86"/>
      <c r="AI158" s="86"/>
      <c r="AJ158" s="86"/>
    </row>
    <row r="159" spans="1:36" x14ac:dyDescent="0.25">
      <c r="A159" s="274"/>
      <c r="B159" s="87"/>
      <c r="C159" s="87"/>
      <c r="D159" s="87"/>
      <c r="E159" s="87"/>
      <c r="F159" s="87"/>
      <c r="G159" s="87"/>
      <c r="H159" s="87"/>
      <c r="I159" s="87"/>
      <c r="J159" s="87"/>
      <c r="K159" s="87"/>
      <c r="L159" s="87"/>
      <c r="M159" s="87"/>
      <c r="N159" s="87"/>
      <c r="O159" s="87"/>
      <c r="P159" s="87"/>
      <c r="Q159" s="87"/>
      <c r="R159" s="87"/>
      <c r="S159" s="87"/>
      <c r="T159" s="87"/>
      <c r="U159" s="87"/>
      <c r="V159" s="87"/>
      <c r="W159" s="87"/>
      <c r="X159" s="87"/>
      <c r="Y159" s="87"/>
      <c r="Z159" s="87"/>
      <c r="AA159" s="87"/>
      <c r="AB159" s="87"/>
      <c r="AC159" s="87"/>
      <c r="AD159" s="87"/>
      <c r="AE159" s="87"/>
      <c r="AF159" s="87"/>
      <c r="AG159" s="87"/>
      <c r="AH159" s="87"/>
      <c r="AI159" s="87"/>
      <c r="AJ159" s="87"/>
    </row>
    <row r="160" spans="1:36" x14ac:dyDescent="0.25">
      <c r="A160" s="273"/>
      <c r="B160" s="86"/>
      <c r="C160" s="86"/>
      <c r="D160" s="86"/>
      <c r="E160" s="86"/>
      <c r="F160" s="86"/>
      <c r="G160" s="86"/>
      <c r="H160" s="86"/>
      <c r="I160" s="86"/>
      <c r="J160" s="86"/>
      <c r="K160" s="86"/>
      <c r="L160" s="86"/>
      <c r="M160" s="86"/>
      <c r="N160" s="86"/>
      <c r="O160" s="86"/>
      <c r="P160" s="86"/>
      <c r="Q160" s="86"/>
      <c r="R160" s="86"/>
      <c r="S160" s="86"/>
      <c r="T160" s="86"/>
      <c r="U160" s="86"/>
      <c r="V160" s="86"/>
      <c r="W160" s="86"/>
      <c r="X160" s="86"/>
      <c r="Y160" s="86"/>
      <c r="Z160" s="86"/>
      <c r="AA160" s="86"/>
      <c r="AB160" s="86"/>
      <c r="AC160" s="86"/>
      <c r="AD160" s="86"/>
      <c r="AE160" s="86"/>
      <c r="AF160" s="86"/>
      <c r="AG160" s="86"/>
      <c r="AH160" s="86"/>
      <c r="AI160" s="86"/>
      <c r="AJ160" s="86"/>
    </row>
    <row r="161" spans="1:36" x14ac:dyDescent="0.25">
      <c r="A161" s="274"/>
      <c r="B161" s="87"/>
      <c r="C161" s="87"/>
      <c r="D161" s="87"/>
      <c r="E161" s="87"/>
      <c r="F161" s="87"/>
      <c r="G161" s="87"/>
      <c r="H161" s="87"/>
      <c r="I161" s="87"/>
      <c r="J161" s="87"/>
      <c r="K161" s="87"/>
      <c r="L161" s="87"/>
      <c r="M161" s="87"/>
      <c r="N161" s="87"/>
      <c r="O161" s="87"/>
      <c r="P161" s="87"/>
      <c r="Q161" s="87"/>
      <c r="R161" s="87"/>
      <c r="S161" s="87"/>
      <c r="T161" s="87"/>
      <c r="U161" s="87"/>
      <c r="V161" s="87"/>
      <c r="W161" s="87"/>
      <c r="X161" s="87"/>
      <c r="Y161" s="87"/>
      <c r="Z161" s="87"/>
      <c r="AA161" s="87"/>
      <c r="AB161" s="87"/>
      <c r="AC161" s="87"/>
      <c r="AD161" s="87"/>
      <c r="AE161" s="87"/>
      <c r="AF161" s="87"/>
      <c r="AG161" s="87"/>
      <c r="AH161" s="87"/>
      <c r="AI161" s="87"/>
      <c r="AJ161" s="87"/>
    </row>
    <row r="162" spans="1:36" x14ac:dyDescent="0.25">
      <c r="A162" s="273"/>
      <c r="B162" s="86"/>
      <c r="C162" s="86"/>
      <c r="D162" s="86"/>
      <c r="E162" s="86"/>
      <c r="F162" s="86"/>
      <c r="G162" s="86"/>
      <c r="H162" s="86"/>
      <c r="I162" s="86"/>
      <c r="J162" s="86"/>
      <c r="K162" s="86"/>
      <c r="L162" s="86"/>
      <c r="M162" s="86"/>
      <c r="N162" s="86"/>
      <c r="O162" s="86"/>
      <c r="P162" s="86"/>
      <c r="Q162" s="86"/>
      <c r="R162" s="86"/>
      <c r="S162" s="86"/>
      <c r="T162" s="86"/>
      <c r="U162" s="86"/>
      <c r="V162" s="86"/>
      <c r="W162" s="86"/>
      <c r="X162" s="86"/>
      <c r="Y162" s="86"/>
      <c r="Z162" s="86"/>
      <c r="AA162" s="86"/>
      <c r="AB162" s="86"/>
      <c r="AC162" s="86"/>
      <c r="AD162" s="86"/>
      <c r="AE162" s="86"/>
      <c r="AF162" s="86"/>
      <c r="AG162" s="86"/>
      <c r="AH162" s="86"/>
      <c r="AI162" s="86"/>
      <c r="AJ162" s="86"/>
    </row>
    <row r="163" spans="1:36" x14ac:dyDescent="0.25">
      <c r="A163" s="274"/>
      <c r="B163" s="87"/>
      <c r="C163" s="87"/>
      <c r="D163" s="87"/>
      <c r="E163" s="87"/>
      <c r="F163" s="87"/>
      <c r="G163" s="87"/>
      <c r="H163" s="87"/>
      <c r="I163" s="87"/>
      <c r="J163" s="87"/>
      <c r="K163" s="87"/>
      <c r="L163" s="87"/>
      <c r="M163" s="87"/>
      <c r="N163" s="87"/>
      <c r="O163" s="87"/>
      <c r="P163" s="87"/>
      <c r="Q163" s="87"/>
      <c r="R163" s="87"/>
      <c r="S163" s="87"/>
      <c r="T163" s="87"/>
      <c r="U163" s="87"/>
      <c r="V163" s="87"/>
      <c r="W163" s="87"/>
      <c r="X163" s="87"/>
      <c r="Y163" s="87"/>
      <c r="Z163" s="87"/>
      <c r="AA163" s="87"/>
      <c r="AB163" s="87"/>
      <c r="AC163" s="87"/>
      <c r="AD163" s="87"/>
      <c r="AE163" s="87"/>
      <c r="AF163" s="87"/>
      <c r="AG163" s="87"/>
      <c r="AH163" s="87"/>
      <c r="AI163" s="87"/>
      <c r="AJ163" s="87"/>
    </row>
    <row r="164" spans="1:36" x14ac:dyDescent="0.25">
      <c r="A164" s="273"/>
      <c r="B164" s="86"/>
      <c r="C164" s="86"/>
      <c r="D164" s="86"/>
      <c r="E164" s="86"/>
      <c r="F164" s="86"/>
      <c r="G164" s="86"/>
      <c r="H164" s="86"/>
      <c r="I164" s="86"/>
      <c r="J164" s="86"/>
      <c r="K164" s="86"/>
      <c r="L164" s="86"/>
      <c r="M164" s="86"/>
      <c r="N164" s="86"/>
      <c r="O164" s="86"/>
      <c r="P164" s="86"/>
      <c r="Q164" s="86"/>
      <c r="R164" s="86"/>
      <c r="S164" s="86"/>
      <c r="T164" s="86"/>
      <c r="U164" s="86"/>
      <c r="V164" s="86"/>
      <c r="W164" s="86"/>
      <c r="X164" s="86"/>
      <c r="Y164" s="86"/>
      <c r="Z164" s="86"/>
      <c r="AA164" s="86"/>
      <c r="AB164" s="86"/>
      <c r="AC164" s="86"/>
      <c r="AD164" s="86"/>
      <c r="AE164" s="86"/>
      <c r="AF164" s="86"/>
      <c r="AG164" s="86"/>
      <c r="AH164" s="86"/>
      <c r="AI164" s="86"/>
      <c r="AJ164" s="86"/>
    </row>
    <row r="165" spans="1:36" x14ac:dyDescent="0.25">
      <c r="A165" s="274"/>
      <c r="B165" s="87"/>
      <c r="C165" s="87"/>
      <c r="D165" s="87"/>
      <c r="E165" s="87"/>
      <c r="F165" s="87"/>
      <c r="G165" s="87"/>
      <c r="H165" s="87"/>
      <c r="I165" s="87"/>
      <c r="J165" s="87"/>
      <c r="K165" s="87"/>
      <c r="L165" s="87"/>
      <c r="M165" s="87"/>
      <c r="N165" s="87"/>
      <c r="O165" s="87"/>
      <c r="P165" s="87"/>
      <c r="Q165" s="87"/>
      <c r="R165" s="87"/>
      <c r="S165" s="87"/>
      <c r="T165" s="87"/>
      <c r="U165" s="87"/>
      <c r="V165" s="87"/>
      <c r="W165" s="87"/>
      <c r="X165" s="87"/>
      <c r="Y165" s="87"/>
      <c r="Z165" s="87"/>
      <c r="AA165" s="87"/>
      <c r="AB165" s="87"/>
      <c r="AC165" s="87"/>
      <c r="AD165" s="87"/>
      <c r="AE165" s="87"/>
      <c r="AF165" s="87"/>
      <c r="AG165" s="87"/>
      <c r="AH165" s="87"/>
      <c r="AI165" s="87"/>
      <c r="AJ165" s="87"/>
    </row>
    <row r="166" spans="1:36" x14ac:dyDescent="0.25">
      <c r="A166" s="273"/>
      <c r="B166" s="86"/>
      <c r="C166" s="86"/>
      <c r="D166" s="86"/>
      <c r="E166" s="86"/>
      <c r="F166" s="86"/>
      <c r="G166" s="86"/>
      <c r="H166" s="86"/>
      <c r="I166" s="86"/>
      <c r="J166" s="86"/>
      <c r="K166" s="86"/>
      <c r="L166" s="86"/>
      <c r="M166" s="86"/>
      <c r="N166" s="86"/>
      <c r="O166" s="86"/>
      <c r="P166" s="86"/>
      <c r="Q166" s="86"/>
      <c r="R166" s="86"/>
      <c r="S166" s="86"/>
      <c r="T166" s="86"/>
      <c r="U166" s="86"/>
      <c r="V166" s="86"/>
      <c r="W166" s="86"/>
      <c r="X166" s="86"/>
      <c r="Y166" s="86"/>
      <c r="Z166" s="86"/>
      <c r="AA166" s="86"/>
      <c r="AB166" s="86"/>
      <c r="AC166" s="86"/>
      <c r="AD166" s="86"/>
      <c r="AE166" s="86"/>
      <c r="AF166" s="86"/>
      <c r="AG166" s="86"/>
      <c r="AH166" s="86"/>
      <c r="AI166" s="86"/>
      <c r="AJ166" s="86"/>
    </row>
    <row r="167" spans="1:36" x14ac:dyDescent="0.25">
      <c r="A167" s="274"/>
      <c r="B167" s="87"/>
      <c r="C167" s="87"/>
      <c r="D167" s="87"/>
      <c r="E167" s="87"/>
      <c r="F167" s="87"/>
      <c r="G167" s="87"/>
      <c r="H167" s="87"/>
      <c r="I167" s="87"/>
      <c r="J167" s="87"/>
      <c r="K167" s="87"/>
      <c r="L167" s="87"/>
      <c r="M167" s="87"/>
      <c r="N167" s="87"/>
      <c r="O167" s="87"/>
      <c r="P167" s="87"/>
      <c r="Q167" s="87"/>
      <c r="R167" s="87"/>
      <c r="S167" s="87"/>
      <c r="T167" s="87"/>
      <c r="U167" s="87"/>
      <c r="V167" s="87"/>
      <c r="W167" s="87"/>
      <c r="X167" s="87"/>
      <c r="Y167" s="87"/>
      <c r="Z167" s="87"/>
      <c r="AA167" s="87"/>
      <c r="AB167" s="87"/>
      <c r="AC167" s="87"/>
      <c r="AD167" s="87"/>
      <c r="AE167" s="87"/>
      <c r="AF167" s="87"/>
      <c r="AG167" s="87"/>
      <c r="AH167" s="87"/>
      <c r="AI167" s="87"/>
      <c r="AJ167" s="87"/>
    </row>
    <row r="168" spans="1:36" x14ac:dyDescent="0.25">
      <c r="A168" s="273"/>
      <c r="B168" s="86"/>
      <c r="C168" s="86"/>
      <c r="D168" s="86"/>
      <c r="E168" s="86"/>
      <c r="F168" s="86"/>
      <c r="G168" s="86"/>
      <c r="H168" s="86"/>
      <c r="I168" s="86"/>
      <c r="J168" s="86"/>
      <c r="K168" s="86"/>
      <c r="L168" s="86"/>
      <c r="M168" s="86"/>
      <c r="N168" s="86"/>
      <c r="O168" s="86"/>
      <c r="P168" s="86"/>
      <c r="Q168" s="86"/>
      <c r="R168" s="86"/>
      <c r="S168" s="86"/>
      <c r="T168" s="86"/>
      <c r="U168" s="86"/>
      <c r="V168" s="86"/>
      <c r="W168" s="86"/>
      <c r="X168" s="86"/>
      <c r="Y168" s="86"/>
      <c r="Z168" s="86"/>
      <c r="AA168" s="86"/>
      <c r="AB168" s="86"/>
      <c r="AC168" s="86"/>
      <c r="AD168" s="86"/>
      <c r="AE168" s="86"/>
      <c r="AF168" s="86"/>
      <c r="AG168" s="86"/>
      <c r="AH168" s="86"/>
      <c r="AI168" s="86"/>
      <c r="AJ168" s="86"/>
    </row>
    <row r="169" spans="1:36" x14ac:dyDescent="0.25">
      <c r="A169" s="274"/>
      <c r="B169" s="87"/>
      <c r="C169" s="87"/>
      <c r="D169" s="87"/>
      <c r="E169" s="87"/>
      <c r="F169" s="87"/>
      <c r="G169" s="87"/>
      <c r="H169" s="87"/>
      <c r="I169" s="87"/>
      <c r="J169" s="87"/>
      <c r="K169" s="87"/>
      <c r="L169" s="87"/>
      <c r="M169" s="87"/>
      <c r="N169" s="87"/>
      <c r="O169" s="87"/>
      <c r="P169" s="87"/>
      <c r="Q169" s="87"/>
      <c r="R169" s="87"/>
      <c r="S169" s="87"/>
      <c r="T169" s="87"/>
      <c r="U169" s="87"/>
      <c r="V169" s="87"/>
      <c r="W169" s="87"/>
      <c r="X169" s="87"/>
      <c r="Y169" s="87"/>
      <c r="Z169" s="87"/>
      <c r="AA169" s="87"/>
      <c r="AB169" s="87"/>
      <c r="AC169" s="87"/>
      <c r="AD169" s="87"/>
      <c r="AE169" s="87"/>
      <c r="AF169" s="87"/>
      <c r="AG169" s="87"/>
      <c r="AH169" s="87"/>
      <c r="AI169" s="87"/>
      <c r="AJ169" s="87"/>
    </row>
    <row r="170" spans="1:36" x14ac:dyDescent="0.25">
      <c r="A170" s="273"/>
      <c r="B170" s="86"/>
      <c r="C170" s="86"/>
      <c r="D170" s="86"/>
      <c r="E170" s="86"/>
      <c r="F170" s="86"/>
      <c r="G170" s="86"/>
      <c r="H170" s="86"/>
      <c r="I170" s="86"/>
      <c r="J170" s="86"/>
      <c r="K170" s="86"/>
      <c r="L170" s="86"/>
      <c r="M170" s="86"/>
      <c r="N170" s="86"/>
      <c r="O170" s="86"/>
      <c r="P170" s="86"/>
      <c r="Q170" s="86"/>
      <c r="R170" s="86"/>
      <c r="S170" s="86"/>
      <c r="T170" s="86"/>
      <c r="U170" s="86"/>
      <c r="V170" s="86"/>
      <c r="W170" s="86"/>
      <c r="X170" s="86"/>
      <c r="Y170" s="86"/>
      <c r="Z170" s="86"/>
      <c r="AA170" s="86"/>
      <c r="AB170" s="86"/>
      <c r="AC170" s="86"/>
      <c r="AD170" s="86"/>
      <c r="AE170" s="86"/>
      <c r="AF170" s="86"/>
      <c r="AG170" s="86"/>
      <c r="AH170" s="86"/>
      <c r="AI170" s="86"/>
      <c r="AJ170" s="86"/>
    </row>
    <row r="171" spans="1:36" x14ac:dyDescent="0.25">
      <c r="A171" s="274"/>
      <c r="B171" s="87"/>
      <c r="C171" s="87"/>
      <c r="D171" s="87"/>
      <c r="E171" s="87"/>
      <c r="F171" s="87"/>
      <c r="G171" s="87"/>
      <c r="H171" s="87"/>
      <c r="I171" s="87"/>
      <c r="J171" s="87"/>
      <c r="K171" s="87"/>
      <c r="L171" s="87"/>
      <c r="M171" s="87"/>
      <c r="N171" s="87"/>
      <c r="O171" s="87"/>
      <c r="P171" s="87"/>
      <c r="Q171" s="87"/>
      <c r="R171" s="87"/>
      <c r="S171" s="87"/>
      <c r="T171" s="87"/>
      <c r="U171" s="87"/>
      <c r="V171" s="87"/>
      <c r="W171" s="87"/>
      <c r="X171" s="87"/>
      <c r="Y171" s="87"/>
      <c r="Z171" s="87"/>
      <c r="AA171" s="87"/>
      <c r="AB171" s="87"/>
      <c r="AC171" s="87"/>
      <c r="AD171" s="87"/>
      <c r="AE171" s="87"/>
      <c r="AF171" s="87"/>
      <c r="AG171" s="87"/>
      <c r="AH171" s="87"/>
      <c r="AI171" s="87"/>
      <c r="AJ171" s="87"/>
    </row>
    <row r="172" spans="1:36" x14ac:dyDescent="0.25">
      <c r="A172" s="273"/>
      <c r="B172" s="86"/>
      <c r="C172" s="86"/>
      <c r="D172" s="86"/>
      <c r="E172" s="86"/>
      <c r="F172" s="86"/>
      <c r="G172" s="86"/>
      <c r="H172" s="86"/>
      <c r="I172" s="86"/>
      <c r="J172" s="86"/>
      <c r="K172" s="86"/>
      <c r="L172" s="86"/>
      <c r="M172" s="86"/>
      <c r="N172" s="86"/>
      <c r="O172" s="86"/>
      <c r="P172" s="86"/>
      <c r="Q172" s="86"/>
      <c r="R172" s="86"/>
      <c r="S172" s="86"/>
      <c r="T172" s="86"/>
      <c r="U172" s="86"/>
      <c r="V172" s="86"/>
      <c r="W172" s="86"/>
      <c r="X172" s="86"/>
      <c r="Y172" s="86"/>
      <c r="Z172" s="86"/>
      <c r="AA172" s="86"/>
      <c r="AB172" s="86"/>
      <c r="AC172" s="86"/>
      <c r="AD172" s="86"/>
      <c r="AE172" s="86"/>
      <c r="AF172" s="86"/>
      <c r="AG172" s="86"/>
      <c r="AH172" s="86"/>
      <c r="AI172" s="86"/>
      <c r="AJ172" s="86"/>
    </row>
    <row r="173" spans="1:36" x14ac:dyDescent="0.25">
      <c r="A173" s="274"/>
      <c r="B173" s="87"/>
      <c r="C173" s="87"/>
      <c r="D173" s="87"/>
      <c r="E173" s="87"/>
      <c r="F173" s="87"/>
      <c r="G173" s="87"/>
      <c r="H173" s="87"/>
      <c r="I173" s="87"/>
      <c r="J173" s="87"/>
      <c r="K173" s="87"/>
      <c r="L173" s="87"/>
      <c r="M173" s="87"/>
      <c r="N173" s="87"/>
      <c r="O173" s="87"/>
      <c r="P173" s="87"/>
      <c r="Q173" s="87"/>
      <c r="R173" s="87"/>
      <c r="S173" s="87"/>
      <c r="T173" s="87"/>
      <c r="U173" s="87"/>
      <c r="V173" s="87"/>
      <c r="W173" s="87"/>
      <c r="X173" s="87"/>
      <c r="Y173" s="87"/>
      <c r="Z173" s="87"/>
      <c r="AA173" s="87"/>
      <c r="AB173" s="87"/>
      <c r="AC173" s="87"/>
      <c r="AD173" s="87"/>
      <c r="AE173" s="87"/>
      <c r="AF173" s="87"/>
      <c r="AG173" s="87"/>
      <c r="AH173" s="87"/>
      <c r="AI173" s="87"/>
      <c r="AJ173" s="87"/>
    </row>
    <row r="174" spans="1:36" x14ac:dyDescent="0.25">
      <c r="A174" s="273"/>
      <c r="B174" s="86"/>
      <c r="C174" s="86"/>
      <c r="D174" s="86"/>
      <c r="E174" s="86"/>
      <c r="F174" s="86"/>
      <c r="G174" s="86"/>
      <c r="H174" s="86"/>
      <c r="I174" s="86"/>
      <c r="J174" s="86"/>
      <c r="K174" s="86"/>
      <c r="L174" s="86"/>
      <c r="M174" s="86"/>
      <c r="N174" s="86"/>
      <c r="O174" s="86"/>
      <c r="P174" s="86"/>
      <c r="Q174" s="86"/>
      <c r="R174" s="86"/>
      <c r="S174" s="86"/>
      <c r="T174" s="86"/>
      <c r="U174" s="86"/>
      <c r="V174" s="86"/>
      <c r="W174" s="86"/>
      <c r="X174" s="86"/>
      <c r="Y174" s="86"/>
      <c r="Z174" s="86"/>
      <c r="AA174" s="86"/>
      <c r="AB174" s="86"/>
      <c r="AC174" s="86"/>
      <c r="AD174" s="86"/>
      <c r="AE174" s="86"/>
      <c r="AF174" s="86"/>
      <c r="AG174" s="86"/>
      <c r="AH174" s="86"/>
      <c r="AI174" s="86"/>
      <c r="AJ174" s="86"/>
    </row>
    <row r="175" spans="1:36" x14ac:dyDescent="0.25">
      <c r="A175" s="274"/>
      <c r="B175" s="87"/>
      <c r="C175" s="87"/>
      <c r="D175" s="87"/>
      <c r="E175" s="87"/>
      <c r="F175" s="87"/>
      <c r="G175" s="87"/>
      <c r="H175" s="87"/>
      <c r="I175" s="87"/>
      <c r="J175" s="87"/>
      <c r="K175" s="87"/>
      <c r="L175" s="87"/>
      <c r="M175" s="87"/>
      <c r="N175" s="87"/>
      <c r="O175" s="87"/>
      <c r="P175" s="87"/>
      <c r="Q175" s="87"/>
      <c r="R175" s="87"/>
      <c r="S175" s="87"/>
      <c r="T175" s="87"/>
      <c r="U175" s="87"/>
      <c r="V175" s="87"/>
      <c r="W175" s="87"/>
      <c r="X175" s="87"/>
      <c r="Y175" s="87"/>
      <c r="Z175" s="87"/>
      <c r="AA175" s="87"/>
      <c r="AB175" s="87"/>
      <c r="AC175" s="87"/>
      <c r="AD175" s="87"/>
      <c r="AE175" s="87"/>
      <c r="AF175" s="87"/>
      <c r="AG175" s="87"/>
      <c r="AH175" s="87"/>
      <c r="AI175" s="87"/>
      <c r="AJ175" s="87"/>
    </row>
    <row r="176" spans="1:36" x14ac:dyDescent="0.25">
      <c r="A176" s="273"/>
      <c r="B176" s="86"/>
      <c r="C176" s="86"/>
      <c r="D176" s="86"/>
      <c r="E176" s="86"/>
      <c r="F176" s="86"/>
      <c r="G176" s="86"/>
      <c r="H176" s="86"/>
      <c r="I176" s="86"/>
      <c r="J176" s="86"/>
      <c r="K176" s="86"/>
      <c r="L176" s="86"/>
      <c r="M176" s="86"/>
      <c r="N176" s="86"/>
      <c r="O176" s="86"/>
      <c r="P176" s="86"/>
      <c r="Q176" s="86"/>
      <c r="R176" s="86"/>
      <c r="S176" s="86"/>
      <c r="T176" s="86"/>
      <c r="U176" s="86"/>
      <c r="V176" s="86"/>
      <c r="W176" s="86"/>
      <c r="X176" s="86"/>
      <c r="Y176" s="86"/>
      <c r="Z176" s="86"/>
      <c r="AA176" s="86"/>
      <c r="AB176" s="86"/>
      <c r="AC176" s="86"/>
      <c r="AD176" s="86"/>
      <c r="AE176" s="86"/>
      <c r="AF176" s="86"/>
      <c r="AG176" s="86"/>
      <c r="AH176" s="86"/>
      <c r="AI176" s="86"/>
      <c r="AJ176" s="86"/>
    </row>
    <row r="177" spans="1:36" x14ac:dyDescent="0.25">
      <c r="A177" s="274"/>
      <c r="B177" s="87"/>
      <c r="C177" s="87"/>
      <c r="D177" s="87"/>
      <c r="E177" s="87"/>
      <c r="F177" s="87"/>
      <c r="G177" s="87"/>
      <c r="H177" s="87"/>
      <c r="I177" s="87"/>
      <c r="J177" s="87"/>
      <c r="K177" s="87"/>
      <c r="L177" s="87"/>
      <c r="M177" s="87"/>
      <c r="N177" s="87"/>
      <c r="O177" s="87"/>
      <c r="P177" s="87"/>
      <c r="Q177" s="87"/>
      <c r="R177" s="87"/>
      <c r="S177" s="87"/>
      <c r="T177" s="87"/>
      <c r="U177" s="87"/>
      <c r="V177" s="87"/>
      <c r="W177" s="87"/>
      <c r="X177" s="87"/>
      <c r="Y177" s="87"/>
      <c r="Z177" s="87"/>
      <c r="AA177" s="87"/>
      <c r="AB177" s="87"/>
      <c r="AC177" s="87"/>
      <c r="AD177" s="87"/>
      <c r="AE177" s="87"/>
      <c r="AF177" s="87"/>
      <c r="AG177" s="87"/>
      <c r="AH177" s="87"/>
      <c r="AI177" s="87"/>
      <c r="AJ177" s="87"/>
    </row>
    <row r="178" spans="1:36" x14ac:dyDescent="0.25">
      <c r="A178" s="273"/>
      <c r="B178" s="86"/>
      <c r="C178" s="86"/>
      <c r="D178" s="86"/>
      <c r="E178" s="86"/>
      <c r="F178" s="86"/>
      <c r="G178" s="86"/>
      <c r="H178" s="86"/>
      <c r="I178" s="86"/>
      <c r="J178" s="86"/>
      <c r="K178" s="86"/>
      <c r="L178" s="86"/>
      <c r="M178" s="86"/>
      <c r="N178" s="86"/>
      <c r="O178" s="86"/>
      <c r="P178" s="86"/>
      <c r="Q178" s="86"/>
      <c r="R178" s="86"/>
      <c r="S178" s="86"/>
      <c r="T178" s="86"/>
      <c r="U178" s="86"/>
      <c r="V178" s="86"/>
      <c r="W178" s="86"/>
      <c r="X178" s="86"/>
      <c r="Y178" s="86"/>
      <c r="Z178" s="86"/>
      <c r="AA178" s="86"/>
      <c r="AB178" s="86"/>
      <c r="AC178" s="86"/>
      <c r="AD178" s="86"/>
      <c r="AE178" s="86"/>
      <c r="AF178" s="86"/>
      <c r="AG178" s="86"/>
      <c r="AH178" s="86"/>
      <c r="AI178" s="86"/>
      <c r="AJ178" s="86"/>
    </row>
    <row r="179" spans="1:36" x14ac:dyDescent="0.25">
      <c r="A179" s="274"/>
      <c r="B179" s="87"/>
      <c r="C179" s="87"/>
      <c r="D179" s="87"/>
      <c r="E179" s="87"/>
      <c r="F179" s="87"/>
      <c r="G179" s="87"/>
      <c r="H179" s="87"/>
      <c r="I179" s="87"/>
      <c r="J179" s="87"/>
      <c r="K179" s="87"/>
      <c r="L179" s="87"/>
      <c r="M179" s="87"/>
      <c r="N179" s="87"/>
      <c r="O179" s="87"/>
      <c r="P179" s="87"/>
      <c r="Q179" s="87"/>
      <c r="R179" s="87"/>
      <c r="S179" s="87"/>
      <c r="T179" s="87"/>
      <c r="U179" s="87"/>
      <c r="V179" s="87"/>
      <c r="W179" s="87"/>
      <c r="X179" s="87"/>
      <c r="Y179" s="87"/>
      <c r="Z179" s="87"/>
      <c r="AA179" s="87"/>
      <c r="AB179" s="87"/>
      <c r="AC179" s="87"/>
      <c r="AD179" s="87"/>
      <c r="AE179" s="87"/>
      <c r="AF179" s="87"/>
      <c r="AG179" s="87"/>
      <c r="AH179" s="87"/>
      <c r="AI179" s="87"/>
      <c r="AJ179" s="87"/>
    </row>
    <row r="180" spans="1:36" x14ac:dyDescent="0.25">
      <c r="A180" s="273"/>
      <c r="B180" s="86"/>
      <c r="C180" s="86"/>
      <c r="D180" s="86"/>
      <c r="E180" s="86"/>
      <c r="F180" s="86"/>
      <c r="G180" s="86"/>
      <c r="H180" s="86"/>
      <c r="I180" s="86"/>
      <c r="J180" s="86"/>
      <c r="K180" s="86"/>
      <c r="L180" s="86"/>
      <c r="M180" s="86"/>
      <c r="N180" s="86"/>
      <c r="O180" s="86"/>
      <c r="P180" s="86"/>
      <c r="Q180" s="86"/>
      <c r="R180" s="86"/>
      <c r="S180" s="86"/>
      <c r="T180" s="86"/>
      <c r="U180" s="86"/>
      <c r="V180" s="86"/>
      <c r="W180" s="86"/>
      <c r="X180" s="86"/>
      <c r="Y180" s="86"/>
      <c r="Z180" s="86"/>
      <c r="AA180" s="86"/>
      <c r="AB180" s="86"/>
      <c r="AC180" s="86"/>
      <c r="AD180" s="86"/>
      <c r="AE180" s="86"/>
      <c r="AF180" s="86"/>
      <c r="AG180" s="86"/>
      <c r="AH180" s="86"/>
      <c r="AI180" s="86"/>
      <c r="AJ180" s="86"/>
    </row>
    <row r="181" spans="1:36" x14ac:dyDescent="0.25">
      <c r="A181" s="274"/>
      <c r="B181" s="87"/>
      <c r="C181" s="87"/>
      <c r="D181" s="87"/>
      <c r="E181" s="87"/>
      <c r="F181" s="87"/>
      <c r="G181" s="87"/>
      <c r="H181" s="87"/>
      <c r="I181" s="87"/>
      <c r="J181" s="87"/>
      <c r="K181" s="87"/>
      <c r="L181" s="87"/>
      <c r="M181" s="87"/>
      <c r="N181" s="87"/>
      <c r="O181" s="87"/>
      <c r="P181" s="87"/>
      <c r="Q181" s="87"/>
      <c r="R181" s="87"/>
      <c r="S181" s="87"/>
      <c r="T181" s="87"/>
      <c r="U181" s="87"/>
      <c r="V181" s="87"/>
      <c r="W181" s="87"/>
      <c r="X181" s="87"/>
      <c r="Y181" s="87"/>
      <c r="Z181" s="87"/>
      <c r="AA181" s="87"/>
      <c r="AB181" s="87"/>
      <c r="AC181" s="87"/>
      <c r="AD181" s="87"/>
      <c r="AE181" s="87"/>
      <c r="AF181" s="87"/>
      <c r="AG181" s="87"/>
      <c r="AH181" s="87"/>
      <c r="AI181" s="87"/>
      <c r="AJ181" s="87"/>
    </row>
    <row r="182" spans="1:36" x14ac:dyDescent="0.25">
      <c r="A182" s="273"/>
      <c r="B182" s="86"/>
      <c r="C182" s="86"/>
      <c r="D182" s="86"/>
      <c r="E182" s="86"/>
      <c r="F182" s="86"/>
      <c r="G182" s="86"/>
      <c r="H182" s="86"/>
      <c r="I182" s="86"/>
      <c r="J182" s="86"/>
      <c r="K182" s="86"/>
      <c r="L182" s="86"/>
      <c r="M182" s="86"/>
      <c r="N182" s="86"/>
      <c r="O182" s="86"/>
      <c r="P182" s="86"/>
      <c r="Q182" s="86"/>
      <c r="R182" s="86"/>
      <c r="S182" s="86"/>
      <c r="T182" s="86"/>
      <c r="U182" s="86"/>
      <c r="V182" s="86"/>
      <c r="W182" s="86"/>
      <c r="X182" s="86"/>
      <c r="Y182" s="86"/>
      <c r="Z182" s="86"/>
      <c r="AA182" s="86"/>
      <c r="AB182" s="86"/>
      <c r="AC182" s="86"/>
      <c r="AD182" s="86"/>
      <c r="AE182" s="86"/>
      <c r="AF182" s="86"/>
      <c r="AG182" s="86"/>
      <c r="AH182" s="86"/>
      <c r="AI182" s="86"/>
      <c r="AJ182" s="86"/>
    </row>
    <row r="183" spans="1:36" x14ac:dyDescent="0.25">
      <c r="A183" s="274"/>
      <c r="B183" s="87"/>
      <c r="C183" s="87"/>
      <c r="D183" s="87"/>
      <c r="E183" s="87"/>
      <c r="F183" s="87"/>
      <c r="G183" s="87"/>
      <c r="H183" s="87"/>
      <c r="I183" s="87"/>
      <c r="J183" s="87"/>
      <c r="K183" s="87"/>
      <c r="L183" s="87"/>
      <c r="M183" s="87"/>
      <c r="N183" s="87"/>
      <c r="O183" s="87"/>
      <c r="P183" s="87"/>
      <c r="Q183" s="87"/>
      <c r="R183" s="87"/>
      <c r="S183" s="87"/>
      <c r="T183" s="87"/>
      <c r="U183" s="87"/>
      <c r="V183" s="87"/>
      <c r="W183" s="87"/>
      <c r="X183" s="87"/>
      <c r="Y183" s="87"/>
      <c r="Z183" s="87"/>
      <c r="AA183" s="87"/>
      <c r="AB183" s="87"/>
      <c r="AC183" s="87"/>
      <c r="AD183" s="87"/>
      <c r="AE183" s="87"/>
      <c r="AF183" s="87"/>
      <c r="AG183" s="87"/>
      <c r="AH183" s="87"/>
      <c r="AI183" s="87"/>
      <c r="AJ183" s="87"/>
    </row>
    <row r="184" spans="1:36" x14ac:dyDescent="0.25">
      <c r="A184" s="273"/>
      <c r="B184" s="86"/>
      <c r="C184" s="86"/>
      <c r="D184" s="86"/>
      <c r="E184" s="86"/>
      <c r="F184" s="86"/>
      <c r="G184" s="86"/>
      <c r="H184" s="86"/>
      <c r="I184" s="86"/>
      <c r="J184" s="86"/>
      <c r="K184" s="86"/>
      <c r="L184" s="86"/>
      <c r="M184" s="86"/>
      <c r="N184" s="86"/>
      <c r="O184" s="86"/>
      <c r="P184" s="86"/>
      <c r="Q184" s="86"/>
      <c r="R184" s="86"/>
      <c r="S184" s="86"/>
      <c r="T184" s="86"/>
      <c r="U184" s="86"/>
      <c r="V184" s="86"/>
      <c r="W184" s="86"/>
      <c r="X184" s="86"/>
      <c r="Y184" s="86"/>
      <c r="Z184" s="86"/>
      <c r="AA184" s="86"/>
      <c r="AB184" s="86"/>
      <c r="AC184" s="86"/>
      <c r="AD184" s="86"/>
      <c r="AE184" s="86"/>
      <c r="AF184" s="86"/>
      <c r="AG184" s="86"/>
      <c r="AH184" s="86"/>
      <c r="AI184" s="86"/>
      <c r="AJ184" s="86"/>
    </row>
    <row r="185" spans="1:36" x14ac:dyDescent="0.25">
      <c r="A185" s="274"/>
      <c r="B185" s="87"/>
      <c r="C185" s="87"/>
      <c r="D185" s="87"/>
      <c r="E185" s="87"/>
      <c r="F185" s="87"/>
      <c r="G185" s="87"/>
      <c r="H185" s="87"/>
      <c r="I185" s="87"/>
      <c r="J185" s="87"/>
      <c r="K185" s="87"/>
      <c r="L185" s="87"/>
      <c r="M185" s="87"/>
      <c r="N185" s="87"/>
      <c r="O185" s="87"/>
      <c r="P185" s="87"/>
      <c r="Q185" s="87"/>
      <c r="R185" s="87"/>
      <c r="S185" s="87"/>
      <c r="T185" s="87"/>
      <c r="U185" s="87"/>
      <c r="V185" s="87"/>
      <c r="W185" s="87"/>
      <c r="X185" s="87"/>
      <c r="Y185" s="87"/>
      <c r="Z185" s="87"/>
      <c r="AA185" s="87"/>
      <c r="AB185" s="87"/>
      <c r="AC185" s="87"/>
      <c r="AD185" s="87"/>
      <c r="AE185" s="87"/>
      <c r="AF185" s="87"/>
      <c r="AG185" s="87"/>
      <c r="AH185" s="87"/>
      <c r="AI185" s="87"/>
      <c r="AJ185" s="87"/>
    </row>
    <row r="186" spans="1:36" x14ac:dyDescent="0.25">
      <c r="A186" s="273"/>
      <c r="B186" s="86"/>
      <c r="C186" s="86"/>
      <c r="D186" s="86"/>
      <c r="E186" s="86"/>
      <c r="F186" s="86"/>
      <c r="G186" s="86"/>
      <c r="H186" s="86"/>
      <c r="I186" s="86"/>
      <c r="J186" s="86"/>
      <c r="K186" s="86"/>
      <c r="L186" s="86"/>
      <c r="M186" s="86"/>
      <c r="N186" s="86"/>
      <c r="O186" s="86"/>
      <c r="P186" s="86"/>
      <c r="Q186" s="86"/>
      <c r="R186" s="86"/>
      <c r="S186" s="86"/>
      <c r="T186" s="86"/>
      <c r="U186" s="86"/>
      <c r="V186" s="86"/>
      <c r="W186" s="86"/>
      <c r="X186" s="86"/>
      <c r="Y186" s="86"/>
      <c r="Z186" s="86"/>
      <c r="AA186" s="86"/>
      <c r="AB186" s="86"/>
      <c r="AC186" s="86"/>
      <c r="AD186" s="86"/>
      <c r="AE186" s="86"/>
      <c r="AF186" s="86"/>
      <c r="AG186" s="86"/>
      <c r="AH186" s="86"/>
      <c r="AI186" s="86"/>
      <c r="AJ186" s="86"/>
    </row>
    <row r="187" spans="1:36" x14ac:dyDescent="0.25">
      <c r="A187" s="274"/>
      <c r="B187" s="87"/>
      <c r="C187" s="87"/>
      <c r="D187" s="87"/>
      <c r="E187" s="87"/>
      <c r="F187" s="87"/>
      <c r="G187" s="87"/>
      <c r="H187" s="87"/>
      <c r="I187" s="87"/>
      <c r="J187" s="87"/>
      <c r="K187" s="87"/>
      <c r="L187" s="87"/>
      <c r="M187" s="87"/>
      <c r="N187" s="87"/>
      <c r="O187" s="87"/>
      <c r="P187" s="87"/>
      <c r="Q187" s="87"/>
      <c r="R187" s="87"/>
      <c r="S187" s="87"/>
      <c r="T187" s="87"/>
      <c r="U187" s="87"/>
      <c r="V187" s="87"/>
      <c r="W187" s="87"/>
      <c r="X187" s="87"/>
      <c r="Y187" s="87"/>
      <c r="Z187" s="87"/>
      <c r="AA187" s="87"/>
      <c r="AB187" s="87"/>
      <c r="AC187" s="87"/>
      <c r="AD187" s="87"/>
      <c r="AE187" s="87"/>
      <c r="AF187" s="87"/>
      <c r="AG187" s="87"/>
      <c r="AH187" s="87"/>
      <c r="AI187" s="87"/>
      <c r="AJ187" s="87"/>
    </row>
    <row r="188" spans="1:36" x14ac:dyDescent="0.25">
      <c r="A188" s="273"/>
      <c r="B188" s="86"/>
      <c r="C188" s="86"/>
      <c r="D188" s="86"/>
      <c r="E188" s="86"/>
      <c r="F188" s="86"/>
      <c r="G188" s="86"/>
      <c r="H188" s="86"/>
      <c r="I188" s="86"/>
      <c r="J188" s="86"/>
      <c r="K188" s="86"/>
      <c r="L188" s="86"/>
      <c r="M188" s="86"/>
      <c r="N188" s="86"/>
      <c r="O188" s="86"/>
      <c r="P188" s="86"/>
      <c r="Q188" s="86"/>
      <c r="R188" s="86"/>
      <c r="S188" s="86"/>
      <c r="T188" s="86"/>
      <c r="U188" s="86"/>
      <c r="V188" s="86"/>
      <c r="W188" s="86"/>
      <c r="X188" s="86"/>
      <c r="Y188" s="86"/>
      <c r="Z188" s="86"/>
      <c r="AA188" s="86"/>
      <c r="AB188" s="86"/>
      <c r="AC188" s="86"/>
      <c r="AD188" s="86"/>
      <c r="AE188" s="86"/>
      <c r="AF188" s="86"/>
      <c r="AG188" s="86"/>
      <c r="AH188" s="86"/>
      <c r="AI188" s="86"/>
      <c r="AJ188" s="86"/>
    </row>
    <row r="189" spans="1:36" x14ac:dyDescent="0.25">
      <c r="A189" s="274"/>
      <c r="B189" s="87"/>
      <c r="C189" s="87"/>
      <c r="D189" s="87"/>
      <c r="E189" s="87"/>
      <c r="F189" s="87"/>
      <c r="G189" s="87"/>
      <c r="H189" s="87"/>
      <c r="I189" s="87"/>
      <c r="J189" s="87"/>
      <c r="K189" s="87"/>
      <c r="L189" s="87"/>
      <c r="M189" s="87"/>
      <c r="N189" s="87"/>
      <c r="O189" s="87"/>
      <c r="P189" s="87"/>
      <c r="Q189" s="87"/>
      <c r="R189" s="87"/>
      <c r="S189" s="87"/>
      <c r="T189" s="87"/>
      <c r="U189" s="87"/>
      <c r="V189" s="87"/>
      <c r="W189" s="87"/>
      <c r="X189" s="87"/>
      <c r="Y189" s="87"/>
      <c r="Z189" s="87"/>
      <c r="AA189" s="87"/>
      <c r="AB189" s="87"/>
      <c r="AC189" s="87"/>
      <c r="AD189" s="87"/>
      <c r="AE189" s="87"/>
      <c r="AF189" s="87"/>
      <c r="AG189" s="87"/>
      <c r="AH189" s="87"/>
      <c r="AI189" s="87"/>
      <c r="AJ189" s="87"/>
    </row>
    <row r="190" spans="1:36" x14ac:dyDescent="0.25">
      <c r="A190" s="273"/>
      <c r="B190" s="86"/>
      <c r="C190" s="86"/>
      <c r="D190" s="86"/>
      <c r="E190" s="86"/>
      <c r="F190" s="86"/>
      <c r="G190" s="86"/>
      <c r="H190" s="86"/>
      <c r="I190" s="86"/>
      <c r="J190" s="86"/>
      <c r="K190" s="86"/>
      <c r="L190" s="86"/>
      <c r="M190" s="86"/>
      <c r="N190" s="86"/>
      <c r="O190" s="86"/>
      <c r="P190" s="86"/>
      <c r="Q190" s="86"/>
      <c r="R190" s="86"/>
      <c r="S190" s="86"/>
      <c r="T190" s="86"/>
      <c r="U190" s="86"/>
      <c r="V190" s="86"/>
      <c r="W190" s="86"/>
      <c r="X190" s="86"/>
      <c r="Y190" s="86"/>
      <c r="Z190" s="86"/>
      <c r="AA190" s="86"/>
      <c r="AB190" s="86"/>
      <c r="AC190" s="86"/>
      <c r="AD190" s="86"/>
      <c r="AE190" s="86"/>
      <c r="AF190" s="86"/>
      <c r="AG190" s="86"/>
      <c r="AH190" s="86"/>
      <c r="AI190" s="86"/>
      <c r="AJ190" s="86"/>
    </row>
    <row r="191" spans="1:36" x14ac:dyDescent="0.25">
      <c r="A191" s="274"/>
      <c r="B191" s="87"/>
      <c r="C191" s="87"/>
      <c r="D191" s="87"/>
      <c r="E191" s="87"/>
      <c r="F191" s="87"/>
      <c r="G191" s="87"/>
      <c r="H191" s="87"/>
      <c r="I191" s="87"/>
      <c r="J191" s="87"/>
      <c r="K191" s="87"/>
      <c r="L191" s="87"/>
      <c r="M191" s="87"/>
      <c r="N191" s="87"/>
      <c r="O191" s="87"/>
      <c r="P191" s="87"/>
      <c r="Q191" s="87"/>
      <c r="R191" s="87"/>
      <c r="S191" s="87"/>
      <c r="T191" s="87"/>
      <c r="U191" s="87"/>
      <c r="V191" s="87"/>
      <c r="W191" s="87"/>
      <c r="X191" s="87"/>
      <c r="Y191" s="87"/>
      <c r="Z191" s="87"/>
      <c r="AA191" s="87"/>
      <c r="AB191" s="87"/>
      <c r="AC191" s="87"/>
      <c r="AD191" s="87"/>
      <c r="AE191" s="87"/>
      <c r="AF191" s="87"/>
      <c r="AG191" s="87"/>
      <c r="AH191" s="87"/>
      <c r="AI191" s="87"/>
      <c r="AJ191" s="87"/>
    </row>
    <row r="192" spans="1:36" x14ac:dyDescent="0.25">
      <c r="A192" s="273"/>
      <c r="B192" s="86"/>
      <c r="C192" s="86"/>
      <c r="D192" s="86"/>
      <c r="E192" s="86"/>
      <c r="F192" s="86"/>
      <c r="G192" s="86"/>
      <c r="H192" s="86"/>
      <c r="I192" s="86"/>
      <c r="J192" s="86"/>
      <c r="K192" s="86"/>
      <c r="L192" s="86"/>
      <c r="M192" s="86"/>
      <c r="N192" s="86"/>
      <c r="O192" s="86"/>
      <c r="P192" s="86"/>
      <c r="Q192" s="86"/>
      <c r="R192" s="86"/>
      <c r="S192" s="86"/>
      <c r="T192" s="86"/>
      <c r="U192" s="86"/>
      <c r="V192" s="86"/>
      <c r="W192" s="86"/>
      <c r="X192" s="86"/>
      <c r="Y192" s="86"/>
      <c r="Z192" s="86"/>
      <c r="AA192" s="86"/>
      <c r="AB192" s="86"/>
      <c r="AC192" s="86"/>
      <c r="AD192" s="86"/>
      <c r="AE192" s="86"/>
      <c r="AF192" s="86"/>
      <c r="AG192" s="86"/>
      <c r="AH192" s="86"/>
      <c r="AI192" s="86"/>
      <c r="AJ192" s="86"/>
    </row>
    <row r="193" spans="1:36" x14ac:dyDescent="0.25">
      <c r="A193" s="274"/>
      <c r="B193" s="87"/>
      <c r="C193" s="87"/>
      <c r="D193" s="87"/>
      <c r="E193" s="87"/>
      <c r="F193" s="87"/>
      <c r="G193" s="87"/>
      <c r="H193" s="87"/>
      <c r="I193" s="87"/>
      <c r="J193" s="87"/>
      <c r="K193" s="87"/>
      <c r="L193" s="87"/>
      <c r="M193" s="87"/>
      <c r="N193" s="87"/>
      <c r="O193" s="87"/>
      <c r="P193" s="87"/>
      <c r="Q193" s="87"/>
      <c r="R193" s="87"/>
      <c r="S193" s="87"/>
      <c r="T193" s="87"/>
      <c r="U193" s="87"/>
      <c r="V193" s="87"/>
      <c r="W193" s="87"/>
      <c r="X193" s="87"/>
      <c r="Y193" s="87"/>
      <c r="Z193" s="87"/>
      <c r="AA193" s="87"/>
      <c r="AB193" s="87"/>
      <c r="AC193" s="87"/>
      <c r="AD193" s="87"/>
      <c r="AE193" s="87"/>
      <c r="AF193" s="87"/>
      <c r="AG193" s="87"/>
      <c r="AH193" s="87"/>
      <c r="AI193" s="87"/>
      <c r="AJ193" s="87"/>
    </row>
    <row r="194" spans="1:36" x14ac:dyDescent="0.25">
      <c r="A194" s="273"/>
      <c r="B194" s="86"/>
      <c r="C194" s="86"/>
      <c r="D194" s="86"/>
      <c r="E194" s="86"/>
      <c r="F194" s="86"/>
      <c r="G194" s="86"/>
      <c r="H194" s="86"/>
      <c r="I194" s="86"/>
      <c r="J194" s="86"/>
      <c r="K194" s="86"/>
      <c r="L194" s="86"/>
      <c r="M194" s="86"/>
      <c r="N194" s="86"/>
      <c r="O194" s="86"/>
      <c r="P194" s="86"/>
      <c r="Q194" s="86"/>
      <c r="R194" s="86"/>
      <c r="S194" s="86"/>
      <c r="T194" s="86"/>
      <c r="U194" s="86"/>
      <c r="V194" s="86"/>
      <c r="W194" s="86"/>
      <c r="X194" s="86"/>
      <c r="Y194" s="86"/>
      <c r="Z194" s="86"/>
      <c r="AA194" s="86"/>
      <c r="AB194" s="86"/>
      <c r="AC194" s="86"/>
      <c r="AD194" s="86"/>
      <c r="AE194" s="86"/>
      <c r="AF194" s="86"/>
      <c r="AG194" s="86"/>
      <c r="AH194" s="86"/>
      <c r="AI194" s="86"/>
      <c r="AJ194" s="86"/>
    </row>
    <row r="195" spans="1:36" x14ac:dyDescent="0.25">
      <c r="A195" s="274"/>
      <c r="B195" s="87"/>
      <c r="C195" s="87"/>
      <c r="D195" s="87"/>
      <c r="E195" s="87"/>
      <c r="F195" s="87"/>
      <c r="G195" s="87"/>
      <c r="H195" s="87"/>
      <c r="I195" s="87"/>
      <c r="J195" s="87"/>
      <c r="K195" s="87"/>
      <c r="L195" s="87"/>
      <c r="M195" s="87"/>
      <c r="N195" s="87"/>
      <c r="O195" s="87"/>
      <c r="P195" s="87"/>
      <c r="Q195" s="87"/>
      <c r="R195" s="87"/>
      <c r="S195" s="87"/>
      <c r="T195" s="87"/>
      <c r="U195" s="87"/>
      <c r="V195" s="87"/>
      <c r="W195" s="87"/>
      <c r="X195" s="87"/>
      <c r="Y195" s="87"/>
      <c r="Z195" s="87"/>
      <c r="AA195" s="87"/>
      <c r="AB195" s="87"/>
      <c r="AC195" s="87"/>
      <c r="AD195" s="87"/>
      <c r="AE195" s="87"/>
      <c r="AF195" s="87"/>
      <c r="AG195" s="87"/>
      <c r="AH195" s="87"/>
      <c r="AI195" s="87"/>
      <c r="AJ195" s="87"/>
    </row>
    <row r="196" spans="1:36" x14ac:dyDescent="0.25">
      <c r="A196" s="273"/>
      <c r="B196" s="86"/>
      <c r="C196" s="86"/>
      <c r="D196" s="86"/>
      <c r="E196" s="86"/>
      <c r="F196" s="86"/>
      <c r="G196" s="86"/>
      <c r="H196" s="86"/>
      <c r="I196" s="86"/>
      <c r="J196" s="86"/>
      <c r="K196" s="86"/>
      <c r="L196" s="86"/>
      <c r="M196" s="86"/>
      <c r="N196" s="86"/>
      <c r="O196" s="86"/>
      <c r="P196" s="86"/>
      <c r="Q196" s="86"/>
      <c r="R196" s="86"/>
      <c r="S196" s="86"/>
      <c r="T196" s="86"/>
      <c r="U196" s="86"/>
      <c r="V196" s="86"/>
      <c r="W196" s="86"/>
      <c r="X196" s="86"/>
      <c r="Y196" s="86"/>
      <c r="Z196" s="86"/>
      <c r="AA196" s="86"/>
      <c r="AB196" s="86"/>
      <c r="AC196" s="86"/>
      <c r="AD196" s="86"/>
      <c r="AE196" s="86"/>
      <c r="AF196" s="86"/>
      <c r="AG196" s="86"/>
      <c r="AH196" s="86"/>
      <c r="AI196" s="86"/>
      <c r="AJ196" s="86"/>
    </row>
    <row r="197" spans="1:36" x14ac:dyDescent="0.25">
      <c r="A197" s="274"/>
      <c r="B197" s="87"/>
      <c r="C197" s="87"/>
      <c r="D197" s="87"/>
      <c r="E197" s="87"/>
      <c r="F197" s="87"/>
      <c r="G197" s="87"/>
      <c r="H197" s="87"/>
      <c r="I197" s="87"/>
      <c r="J197" s="87"/>
      <c r="K197" s="87"/>
      <c r="L197" s="87"/>
      <c r="M197" s="87"/>
      <c r="N197" s="87"/>
      <c r="O197" s="87"/>
      <c r="P197" s="87"/>
      <c r="Q197" s="87"/>
      <c r="R197" s="87"/>
      <c r="S197" s="87"/>
      <c r="T197" s="87"/>
      <c r="U197" s="87"/>
      <c r="V197" s="87"/>
      <c r="W197" s="87"/>
      <c r="X197" s="87"/>
      <c r="Y197" s="87"/>
      <c r="Z197" s="87"/>
      <c r="AA197" s="87"/>
      <c r="AB197" s="87"/>
      <c r="AC197" s="87"/>
      <c r="AD197" s="87"/>
      <c r="AE197" s="87"/>
      <c r="AF197" s="87"/>
      <c r="AG197" s="87"/>
      <c r="AH197" s="87"/>
      <c r="AI197" s="87"/>
      <c r="AJ197" s="87"/>
    </row>
    <row r="198" spans="1:36" x14ac:dyDescent="0.25">
      <c r="A198" s="273"/>
      <c r="B198" s="86"/>
      <c r="C198" s="86"/>
      <c r="D198" s="86"/>
      <c r="E198" s="86"/>
      <c r="F198" s="86"/>
      <c r="G198" s="86"/>
      <c r="H198" s="86"/>
      <c r="I198" s="86"/>
      <c r="J198" s="86"/>
      <c r="K198" s="86"/>
      <c r="L198" s="86"/>
      <c r="M198" s="86"/>
      <c r="N198" s="86"/>
      <c r="O198" s="86"/>
      <c r="P198" s="86"/>
      <c r="Q198" s="86"/>
      <c r="R198" s="86"/>
      <c r="S198" s="86"/>
      <c r="T198" s="86"/>
      <c r="U198" s="86"/>
      <c r="V198" s="86"/>
      <c r="W198" s="86"/>
      <c r="X198" s="86"/>
      <c r="Y198" s="86"/>
      <c r="Z198" s="86"/>
      <c r="AA198" s="86"/>
      <c r="AB198" s="86"/>
      <c r="AC198" s="86"/>
      <c r="AD198" s="86"/>
      <c r="AE198" s="86"/>
      <c r="AF198" s="86"/>
      <c r="AG198" s="86"/>
      <c r="AH198" s="86"/>
      <c r="AI198" s="86"/>
      <c r="AJ198" s="86"/>
    </row>
    <row r="199" spans="1:36" x14ac:dyDescent="0.25">
      <c r="A199" s="274"/>
      <c r="B199" s="87"/>
      <c r="C199" s="87"/>
      <c r="D199" s="87"/>
      <c r="E199" s="87"/>
      <c r="F199" s="87"/>
      <c r="G199" s="87"/>
      <c r="H199" s="87"/>
      <c r="I199" s="87"/>
      <c r="J199" s="87"/>
      <c r="K199" s="87"/>
      <c r="L199" s="87"/>
      <c r="M199" s="87"/>
      <c r="N199" s="87"/>
      <c r="O199" s="87"/>
      <c r="P199" s="87"/>
      <c r="Q199" s="87"/>
      <c r="R199" s="87"/>
      <c r="S199" s="87"/>
      <c r="T199" s="87"/>
      <c r="U199" s="87"/>
      <c r="V199" s="87"/>
      <c r="W199" s="87"/>
      <c r="X199" s="87"/>
      <c r="Y199" s="87"/>
      <c r="Z199" s="87"/>
      <c r="AA199" s="87"/>
      <c r="AB199" s="87"/>
      <c r="AC199" s="87"/>
      <c r="AD199" s="87"/>
      <c r="AE199" s="87"/>
      <c r="AF199" s="87"/>
      <c r="AG199" s="87"/>
      <c r="AH199" s="87"/>
      <c r="AI199" s="87"/>
      <c r="AJ199" s="87"/>
    </row>
    <row r="200" spans="1:36" x14ac:dyDescent="0.25">
      <c r="A200" s="273"/>
      <c r="B200" s="86"/>
      <c r="C200" s="86"/>
      <c r="D200" s="86"/>
      <c r="E200" s="86"/>
      <c r="F200" s="86"/>
      <c r="G200" s="86"/>
      <c r="H200" s="86"/>
      <c r="I200" s="86"/>
      <c r="J200" s="86"/>
      <c r="K200" s="86"/>
      <c r="L200" s="86"/>
      <c r="M200" s="86"/>
      <c r="N200" s="86"/>
      <c r="O200" s="86"/>
      <c r="P200" s="86"/>
      <c r="Q200" s="86"/>
      <c r="R200" s="86"/>
      <c r="S200" s="86"/>
      <c r="T200" s="86"/>
      <c r="U200" s="86"/>
      <c r="V200" s="86"/>
      <c r="W200" s="86"/>
      <c r="X200" s="86"/>
      <c r="Y200" s="86"/>
      <c r="Z200" s="86"/>
      <c r="AA200" s="86"/>
      <c r="AB200" s="86"/>
      <c r="AC200" s="86"/>
      <c r="AD200" s="86"/>
      <c r="AE200" s="86"/>
      <c r="AF200" s="86"/>
      <c r="AG200" s="86"/>
      <c r="AH200" s="86"/>
      <c r="AI200" s="86"/>
      <c r="AJ200" s="86"/>
    </row>
    <row r="201" spans="1:36" x14ac:dyDescent="0.25">
      <c r="A201" s="274"/>
      <c r="B201" s="87"/>
      <c r="C201" s="87"/>
      <c r="D201" s="87"/>
      <c r="E201" s="87"/>
      <c r="F201" s="87"/>
      <c r="G201" s="87"/>
      <c r="H201" s="87"/>
      <c r="I201" s="87"/>
      <c r="J201" s="87"/>
      <c r="K201" s="87"/>
      <c r="L201" s="87"/>
      <c r="M201" s="87"/>
      <c r="N201" s="87"/>
      <c r="O201" s="87"/>
      <c r="P201" s="87"/>
      <c r="Q201" s="87"/>
      <c r="R201" s="87"/>
      <c r="S201" s="87"/>
      <c r="T201" s="87"/>
      <c r="U201" s="87"/>
      <c r="V201" s="87"/>
      <c r="W201" s="87"/>
      <c r="X201" s="87"/>
      <c r="Y201" s="87"/>
      <c r="Z201" s="87"/>
      <c r="AA201" s="87"/>
      <c r="AB201" s="87"/>
      <c r="AC201" s="87"/>
      <c r="AD201" s="87"/>
      <c r="AE201" s="87"/>
      <c r="AF201" s="87"/>
      <c r="AG201" s="87"/>
      <c r="AH201" s="87"/>
      <c r="AI201" s="87"/>
      <c r="AJ201" s="87"/>
    </row>
    <row r="202" spans="1:36" x14ac:dyDescent="0.25">
      <c r="A202" s="273"/>
      <c r="B202" s="86"/>
      <c r="C202" s="86"/>
      <c r="D202" s="86"/>
      <c r="E202" s="86"/>
      <c r="F202" s="86"/>
      <c r="G202" s="86"/>
      <c r="H202" s="86"/>
      <c r="I202" s="86"/>
      <c r="J202" s="86"/>
      <c r="K202" s="86"/>
      <c r="L202" s="86"/>
      <c r="M202" s="86"/>
      <c r="N202" s="86"/>
      <c r="O202" s="86"/>
      <c r="P202" s="86"/>
      <c r="Q202" s="86"/>
      <c r="R202" s="86"/>
      <c r="S202" s="86"/>
      <c r="T202" s="86"/>
      <c r="U202" s="86"/>
      <c r="V202" s="86"/>
      <c r="W202" s="86"/>
      <c r="X202" s="86"/>
      <c r="Y202" s="86"/>
      <c r="Z202" s="86"/>
      <c r="AA202" s="86"/>
      <c r="AB202" s="86"/>
      <c r="AC202" s="86"/>
      <c r="AD202" s="86"/>
      <c r="AE202" s="86"/>
      <c r="AF202" s="86"/>
      <c r="AG202" s="86"/>
      <c r="AH202" s="86"/>
      <c r="AI202" s="86"/>
      <c r="AJ202" s="86"/>
    </row>
    <row r="203" spans="1:36" x14ac:dyDescent="0.25">
      <c r="A203" s="274"/>
      <c r="B203" s="87"/>
      <c r="C203" s="87"/>
      <c r="D203" s="87"/>
      <c r="E203" s="87"/>
      <c r="F203" s="87"/>
      <c r="G203" s="87"/>
      <c r="H203" s="87"/>
      <c r="I203" s="87"/>
      <c r="J203" s="87"/>
      <c r="K203" s="87"/>
      <c r="L203" s="87"/>
      <c r="M203" s="87"/>
      <c r="N203" s="87"/>
      <c r="O203" s="87"/>
      <c r="P203" s="87"/>
      <c r="Q203" s="87"/>
      <c r="R203" s="87"/>
      <c r="S203" s="87"/>
      <c r="T203" s="87"/>
      <c r="U203" s="87"/>
      <c r="V203" s="87"/>
      <c r="W203" s="87"/>
      <c r="X203" s="87"/>
      <c r="Y203" s="87"/>
      <c r="Z203" s="87"/>
      <c r="AA203" s="87"/>
      <c r="AB203" s="87"/>
      <c r="AC203" s="87"/>
      <c r="AD203" s="87"/>
      <c r="AE203" s="87"/>
      <c r="AF203" s="87"/>
      <c r="AG203" s="87"/>
      <c r="AH203" s="87"/>
      <c r="AI203" s="87"/>
      <c r="AJ203" s="87"/>
    </row>
    <row r="204" spans="1:36" x14ac:dyDescent="0.25">
      <c r="A204" s="273"/>
      <c r="B204" s="86"/>
      <c r="C204" s="86"/>
      <c r="D204" s="86"/>
      <c r="E204" s="86"/>
      <c r="F204" s="86"/>
      <c r="G204" s="86"/>
      <c r="H204" s="86"/>
      <c r="I204" s="86"/>
      <c r="J204" s="86"/>
      <c r="K204" s="86"/>
      <c r="L204" s="86"/>
      <c r="M204" s="86"/>
      <c r="N204" s="86"/>
      <c r="O204" s="86"/>
      <c r="P204" s="86"/>
      <c r="Q204" s="86"/>
      <c r="R204" s="86"/>
      <c r="S204" s="86"/>
      <c r="T204" s="86"/>
      <c r="U204" s="86"/>
      <c r="V204" s="86"/>
      <c r="W204" s="86"/>
      <c r="X204" s="86"/>
      <c r="Y204" s="86"/>
      <c r="Z204" s="86"/>
      <c r="AA204" s="86"/>
      <c r="AB204" s="86"/>
      <c r="AC204" s="86"/>
      <c r="AD204" s="86"/>
      <c r="AE204" s="86"/>
      <c r="AF204" s="86"/>
      <c r="AG204" s="86"/>
      <c r="AH204" s="86"/>
      <c r="AI204" s="86"/>
      <c r="AJ204" s="86"/>
    </row>
    <row r="205" spans="1:36" x14ac:dyDescent="0.25">
      <c r="A205" s="274"/>
      <c r="B205" s="87"/>
      <c r="C205" s="87"/>
      <c r="D205" s="87"/>
      <c r="E205" s="87"/>
      <c r="F205" s="87"/>
      <c r="G205" s="87"/>
      <c r="H205" s="87"/>
      <c r="I205" s="87"/>
      <c r="J205" s="87"/>
      <c r="K205" s="87"/>
      <c r="L205" s="87"/>
      <c r="M205" s="87"/>
      <c r="N205" s="87"/>
      <c r="O205" s="87"/>
      <c r="P205" s="87"/>
      <c r="Q205" s="87"/>
      <c r="R205" s="87"/>
      <c r="S205" s="87"/>
      <c r="T205" s="87"/>
      <c r="U205" s="87"/>
      <c r="V205" s="87"/>
      <c r="W205" s="87"/>
      <c r="X205" s="87"/>
      <c r="Y205" s="87"/>
      <c r="Z205" s="87"/>
      <c r="AA205" s="87"/>
      <c r="AB205" s="87"/>
      <c r="AC205" s="87"/>
      <c r="AD205" s="87"/>
      <c r="AE205" s="87"/>
      <c r="AF205" s="87"/>
      <c r="AG205" s="87"/>
      <c r="AH205" s="87"/>
      <c r="AI205" s="87"/>
      <c r="AJ205" s="87"/>
    </row>
    <row r="206" spans="1:36" x14ac:dyDescent="0.25">
      <c r="A206" s="273"/>
      <c r="B206" s="86"/>
      <c r="C206" s="86"/>
      <c r="D206" s="86"/>
      <c r="E206" s="86"/>
      <c r="F206" s="86"/>
      <c r="G206" s="86"/>
      <c r="H206" s="86"/>
      <c r="I206" s="86"/>
      <c r="J206" s="86"/>
      <c r="K206" s="86"/>
      <c r="L206" s="86"/>
      <c r="M206" s="86"/>
      <c r="N206" s="86"/>
      <c r="O206" s="86"/>
      <c r="P206" s="86"/>
      <c r="Q206" s="86"/>
      <c r="R206" s="86"/>
      <c r="S206" s="86"/>
      <c r="T206" s="86"/>
      <c r="U206" s="86"/>
      <c r="V206" s="86"/>
      <c r="W206" s="86"/>
      <c r="X206" s="86"/>
      <c r="Y206" s="86"/>
      <c r="Z206" s="86"/>
      <c r="AA206" s="86"/>
      <c r="AB206" s="86"/>
      <c r="AC206" s="86"/>
      <c r="AD206" s="86"/>
      <c r="AE206" s="86"/>
      <c r="AF206" s="86"/>
      <c r="AG206" s="86"/>
      <c r="AH206" s="86"/>
      <c r="AI206" s="86"/>
      <c r="AJ206" s="86"/>
    </row>
    <row r="207" spans="1:36" x14ac:dyDescent="0.25">
      <c r="A207" s="274"/>
      <c r="B207" s="87"/>
      <c r="C207" s="87"/>
      <c r="D207" s="87"/>
      <c r="E207" s="87"/>
      <c r="F207" s="87"/>
      <c r="G207" s="87"/>
      <c r="H207" s="87"/>
      <c r="I207" s="87"/>
      <c r="J207" s="87"/>
      <c r="K207" s="87"/>
      <c r="L207" s="87"/>
      <c r="M207" s="87"/>
      <c r="N207" s="87"/>
      <c r="O207" s="87"/>
      <c r="P207" s="87"/>
      <c r="Q207" s="87"/>
      <c r="R207" s="87"/>
      <c r="S207" s="87"/>
      <c r="T207" s="87"/>
      <c r="U207" s="87"/>
      <c r="V207" s="87"/>
      <c r="W207" s="87"/>
      <c r="X207" s="87"/>
      <c r="Y207" s="87"/>
      <c r="Z207" s="87"/>
      <c r="AA207" s="87"/>
      <c r="AB207" s="87"/>
      <c r="AC207" s="87"/>
      <c r="AD207" s="87"/>
      <c r="AE207" s="87"/>
      <c r="AF207" s="87"/>
      <c r="AG207" s="87"/>
      <c r="AH207" s="87"/>
      <c r="AI207" s="87"/>
      <c r="AJ207" s="87"/>
    </row>
    <row r="208" spans="1:36" x14ac:dyDescent="0.25">
      <c r="A208" s="273"/>
      <c r="B208" s="86"/>
      <c r="C208" s="86"/>
      <c r="D208" s="86"/>
      <c r="E208" s="86"/>
      <c r="F208" s="86"/>
      <c r="G208" s="86"/>
      <c r="H208" s="86"/>
      <c r="I208" s="86"/>
      <c r="J208" s="86"/>
      <c r="K208" s="86"/>
      <c r="L208" s="86"/>
      <c r="M208" s="86"/>
      <c r="N208" s="86"/>
      <c r="O208" s="86"/>
      <c r="P208" s="86"/>
      <c r="Q208" s="86"/>
      <c r="R208" s="86"/>
      <c r="S208" s="86"/>
      <c r="T208" s="86"/>
      <c r="U208" s="86"/>
      <c r="V208" s="86"/>
      <c r="W208" s="86"/>
      <c r="X208" s="86"/>
      <c r="Y208" s="86"/>
      <c r="Z208" s="86"/>
      <c r="AA208" s="86"/>
      <c r="AB208" s="86"/>
      <c r="AC208" s="86"/>
      <c r="AD208" s="86"/>
      <c r="AE208" s="86"/>
      <c r="AF208" s="86"/>
      <c r="AG208" s="86"/>
      <c r="AH208" s="86"/>
      <c r="AI208" s="86"/>
      <c r="AJ208" s="86"/>
    </row>
    <row r="209" spans="1:36" x14ac:dyDescent="0.25">
      <c r="A209" s="274"/>
      <c r="B209" s="87"/>
      <c r="C209" s="87"/>
      <c r="D209" s="87"/>
      <c r="E209" s="87"/>
      <c r="F209" s="87"/>
      <c r="G209" s="87"/>
      <c r="H209" s="87"/>
      <c r="I209" s="87"/>
      <c r="J209" s="87"/>
      <c r="K209" s="87"/>
      <c r="L209" s="87"/>
      <c r="M209" s="87"/>
      <c r="N209" s="87"/>
      <c r="O209" s="87"/>
      <c r="P209" s="87"/>
      <c r="Q209" s="87"/>
      <c r="R209" s="87"/>
      <c r="S209" s="87"/>
      <c r="T209" s="87"/>
      <c r="U209" s="87"/>
      <c r="V209" s="87"/>
      <c r="W209" s="87"/>
      <c r="X209" s="87"/>
      <c r="Y209" s="87"/>
      <c r="Z209" s="87"/>
      <c r="AA209" s="87"/>
      <c r="AB209" s="87"/>
      <c r="AC209" s="87"/>
      <c r="AD209" s="87"/>
      <c r="AE209" s="87"/>
      <c r="AF209" s="87"/>
      <c r="AG209" s="87"/>
      <c r="AH209" s="87"/>
      <c r="AI209" s="87"/>
      <c r="AJ209" s="87"/>
    </row>
    <row r="210" spans="1:36" x14ac:dyDescent="0.25">
      <c r="A210" s="273"/>
      <c r="B210" s="86"/>
      <c r="C210" s="86"/>
      <c r="D210" s="86"/>
      <c r="E210" s="86"/>
      <c r="F210" s="86"/>
      <c r="G210" s="86"/>
      <c r="H210" s="86"/>
      <c r="I210" s="86"/>
      <c r="J210" s="86"/>
      <c r="K210" s="86"/>
      <c r="L210" s="86"/>
      <c r="M210" s="86"/>
      <c r="N210" s="86"/>
      <c r="O210" s="86"/>
      <c r="P210" s="86"/>
      <c r="Q210" s="86"/>
      <c r="R210" s="86"/>
      <c r="S210" s="86"/>
      <c r="T210" s="86"/>
      <c r="U210" s="86"/>
      <c r="V210" s="86"/>
      <c r="W210" s="86"/>
      <c r="X210" s="86"/>
      <c r="Y210" s="86"/>
      <c r="Z210" s="86"/>
      <c r="AA210" s="86"/>
      <c r="AB210" s="86"/>
      <c r="AC210" s="86"/>
      <c r="AD210" s="86"/>
      <c r="AE210" s="86"/>
      <c r="AF210" s="86"/>
      <c r="AG210" s="86"/>
      <c r="AH210" s="86"/>
      <c r="AI210" s="86"/>
      <c r="AJ210" s="86"/>
    </row>
    <row r="211" spans="1:36" x14ac:dyDescent="0.25">
      <c r="A211" s="274"/>
      <c r="B211" s="87"/>
      <c r="C211" s="87"/>
      <c r="D211" s="87"/>
      <c r="E211" s="87"/>
      <c r="F211" s="87"/>
      <c r="G211" s="87"/>
      <c r="H211" s="87"/>
      <c r="I211" s="87"/>
      <c r="J211" s="87"/>
      <c r="K211" s="87"/>
      <c r="L211" s="87"/>
      <c r="M211" s="87"/>
      <c r="N211" s="87"/>
      <c r="O211" s="87"/>
      <c r="P211" s="87"/>
      <c r="Q211" s="87"/>
      <c r="R211" s="87"/>
      <c r="S211" s="87"/>
      <c r="T211" s="87"/>
      <c r="U211" s="87"/>
      <c r="V211" s="87"/>
      <c r="W211" s="87"/>
      <c r="X211" s="87"/>
      <c r="Y211" s="87"/>
      <c r="Z211" s="87"/>
      <c r="AA211" s="87"/>
      <c r="AB211" s="87"/>
      <c r="AC211" s="87"/>
      <c r="AD211" s="87"/>
      <c r="AE211" s="87"/>
      <c r="AF211" s="87"/>
      <c r="AG211" s="87"/>
      <c r="AH211" s="87"/>
      <c r="AI211" s="87"/>
      <c r="AJ211" s="87"/>
    </row>
    <row r="212" spans="1:36" x14ac:dyDescent="0.25">
      <c r="A212" s="273"/>
      <c r="B212" s="86"/>
      <c r="C212" s="86"/>
      <c r="D212" s="86"/>
      <c r="E212" s="86"/>
      <c r="F212" s="86"/>
      <c r="G212" s="86"/>
      <c r="H212" s="86"/>
      <c r="I212" s="86"/>
      <c r="J212" s="86"/>
      <c r="K212" s="86"/>
      <c r="L212" s="86"/>
      <c r="M212" s="86"/>
      <c r="N212" s="86"/>
      <c r="O212" s="86"/>
      <c r="P212" s="86"/>
      <c r="Q212" s="86"/>
      <c r="R212" s="86"/>
      <c r="S212" s="86"/>
      <c r="T212" s="86"/>
      <c r="U212" s="86"/>
      <c r="V212" s="86"/>
      <c r="W212" s="86"/>
      <c r="X212" s="86"/>
      <c r="Y212" s="86"/>
      <c r="Z212" s="86"/>
      <c r="AA212" s="86"/>
      <c r="AB212" s="86"/>
      <c r="AC212" s="86"/>
      <c r="AD212" s="86"/>
      <c r="AE212" s="86"/>
      <c r="AF212" s="86"/>
      <c r="AG212" s="86"/>
      <c r="AH212" s="86"/>
      <c r="AI212" s="86"/>
      <c r="AJ212" s="86"/>
    </row>
    <row r="213" spans="1:36" x14ac:dyDescent="0.25">
      <c r="A213" s="274"/>
      <c r="B213" s="87"/>
      <c r="C213" s="87"/>
      <c r="D213" s="87"/>
      <c r="E213" s="87"/>
      <c r="F213" s="87"/>
      <c r="G213" s="87"/>
      <c r="H213" s="87"/>
      <c r="I213" s="87"/>
      <c r="J213" s="87"/>
      <c r="K213" s="87"/>
      <c r="L213" s="87"/>
      <c r="M213" s="87"/>
      <c r="N213" s="87"/>
      <c r="O213" s="87"/>
      <c r="P213" s="87"/>
      <c r="Q213" s="87"/>
      <c r="R213" s="87"/>
      <c r="S213" s="87"/>
      <c r="T213" s="87"/>
      <c r="U213" s="87"/>
      <c r="V213" s="87"/>
      <c r="W213" s="87"/>
      <c r="X213" s="87"/>
      <c r="Y213" s="87"/>
      <c r="Z213" s="87"/>
      <c r="AA213" s="87"/>
      <c r="AB213" s="87"/>
      <c r="AC213" s="87"/>
      <c r="AD213" s="87"/>
      <c r="AE213" s="87"/>
      <c r="AF213" s="87"/>
      <c r="AG213" s="87"/>
      <c r="AH213" s="87"/>
      <c r="AI213" s="87"/>
      <c r="AJ213" s="87"/>
    </row>
    <row r="214" spans="1:36" x14ac:dyDescent="0.25">
      <c r="A214" s="273"/>
      <c r="B214" s="86"/>
      <c r="C214" s="86"/>
      <c r="D214" s="86"/>
      <c r="E214" s="86"/>
      <c r="F214" s="86"/>
      <c r="G214" s="86"/>
      <c r="H214" s="86"/>
      <c r="I214" s="86"/>
      <c r="J214" s="86"/>
      <c r="K214" s="86"/>
      <c r="L214" s="86"/>
      <c r="M214" s="86"/>
      <c r="N214" s="86"/>
      <c r="O214" s="86"/>
      <c r="P214" s="86"/>
      <c r="Q214" s="86"/>
      <c r="R214" s="86"/>
      <c r="S214" s="86"/>
      <c r="T214" s="86"/>
      <c r="U214" s="86"/>
      <c r="V214" s="86"/>
      <c r="W214" s="86"/>
      <c r="X214" s="86"/>
      <c r="Y214" s="86"/>
      <c r="Z214" s="86"/>
      <c r="AA214" s="86"/>
      <c r="AB214" s="86"/>
      <c r="AC214" s="86"/>
      <c r="AD214" s="86"/>
      <c r="AE214" s="86"/>
      <c r="AF214" s="86"/>
      <c r="AG214" s="86"/>
      <c r="AH214" s="86"/>
      <c r="AI214" s="86"/>
      <c r="AJ214" s="86"/>
    </row>
    <row r="215" spans="1:36" x14ac:dyDescent="0.25">
      <c r="A215" s="274"/>
      <c r="B215" s="87"/>
      <c r="C215" s="87"/>
      <c r="D215" s="87"/>
      <c r="E215" s="87"/>
      <c r="F215" s="87"/>
      <c r="G215" s="87"/>
      <c r="H215" s="87"/>
      <c r="I215" s="87"/>
      <c r="J215" s="87"/>
      <c r="K215" s="87"/>
      <c r="L215" s="87"/>
      <c r="M215" s="87"/>
      <c r="N215" s="87"/>
      <c r="O215" s="87"/>
      <c r="P215" s="87"/>
      <c r="Q215" s="87"/>
      <c r="R215" s="87"/>
      <c r="S215" s="87"/>
      <c r="T215" s="87"/>
      <c r="U215" s="87"/>
      <c r="V215" s="87"/>
      <c r="W215" s="87"/>
      <c r="X215" s="87"/>
      <c r="Y215" s="87"/>
      <c r="Z215" s="87"/>
      <c r="AA215" s="87"/>
      <c r="AB215" s="87"/>
      <c r="AC215" s="87"/>
      <c r="AD215" s="87"/>
      <c r="AE215" s="87"/>
      <c r="AF215" s="87"/>
      <c r="AG215" s="87"/>
      <c r="AH215" s="87"/>
      <c r="AI215" s="87"/>
      <c r="AJ215" s="87"/>
    </row>
    <row r="216" spans="1:36" x14ac:dyDescent="0.25">
      <c r="A216" s="273"/>
      <c r="B216" s="86"/>
      <c r="C216" s="86"/>
      <c r="D216" s="86"/>
      <c r="E216" s="86"/>
      <c r="F216" s="86"/>
      <c r="G216" s="86"/>
      <c r="H216" s="86"/>
      <c r="I216" s="86"/>
      <c r="J216" s="86"/>
      <c r="K216" s="86"/>
      <c r="L216" s="86"/>
      <c r="M216" s="86"/>
      <c r="N216" s="86"/>
      <c r="O216" s="86"/>
      <c r="P216" s="86"/>
      <c r="Q216" s="86"/>
      <c r="R216" s="86"/>
      <c r="S216" s="86"/>
      <c r="T216" s="86"/>
      <c r="U216" s="86"/>
      <c r="V216" s="86"/>
      <c r="W216" s="86"/>
      <c r="X216" s="86"/>
      <c r="Y216" s="86"/>
      <c r="Z216" s="86"/>
      <c r="AA216" s="86"/>
      <c r="AB216" s="86"/>
      <c r="AC216" s="86"/>
      <c r="AD216" s="86"/>
      <c r="AE216" s="86"/>
      <c r="AF216" s="86"/>
      <c r="AG216" s="86"/>
      <c r="AH216" s="86"/>
      <c r="AI216" s="86"/>
      <c r="AJ216" s="86"/>
    </row>
    <row r="217" spans="1:36" x14ac:dyDescent="0.25">
      <c r="A217" s="274"/>
      <c r="B217" s="87"/>
      <c r="C217" s="87"/>
      <c r="D217" s="87"/>
      <c r="E217" s="87"/>
      <c r="F217" s="87"/>
      <c r="G217" s="87"/>
      <c r="H217" s="87"/>
      <c r="I217" s="87"/>
      <c r="J217" s="87"/>
      <c r="K217" s="87"/>
      <c r="L217" s="87"/>
      <c r="M217" s="87"/>
      <c r="N217" s="87"/>
      <c r="O217" s="87"/>
      <c r="P217" s="87"/>
      <c r="Q217" s="87"/>
      <c r="R217" s="87"/>
      <c r="S217" s="87"/>
      <c r="T217" s="87"/>
      <c r="U217" s="87"/>
      <c r="V217" s="87"/>
      <c r="W217" s="87"/>
      <c r="X217" s="87"/>
      <c r="Y217" s="87"/>
      <c r="Z217" s="87"/>
      <c r="AA217" s="87"/>
      <c r="AB217" s="87"/>
      <c r="AC217" s="87"/>
      <c r="AD217" s="87"/>
      <c r="AE217" s="87"/>
      <c r="AF217" s="87"/>
      <c r="AG217" s="87"/>
      <c r="AH217" s="87"/>
      <c r="AI217" s="87"/>
      <c r="AJ217" s="87"/>
    </row>
    <row r="218" spans="1:36" x14ac:dyDescent="0.25">
      <c r="A218" s="273"/>
      <c r="B218" s="86"/>
      <c r="C218" s="86"/>
      <c r="D218" s="86"/>
      <c r="E218" s="86"/>
      <c r="F218" s="86"/>
      <c r="G218" s="86"/>
      <c r="H218" s="86"/>
      <c r="I218" s="86"/>
      <c r="J218" s="86"/>
      <c r="K218" s="86"/>
      <c r="L218" s="86"/>
      <c r="M218" s="86"/>
      <c r="N218" s="86"/>
      <c r="O218" s="86"/>
      <c r="P218" s="86"/>
      <c r="Q218" s="86"/>
      <c r="R218" s="86"/>
      <c r="S218" s="86"/>
      <c r="T218" s="86"/>
      <c r="U218" s="86"/>
      <c r="V218" s="86"/>
      <c r="W218" s="86"/>
      <c r="X218" s="86"/>
      <c r="Y218" s="86"/>
      <c r="Z218" s="86"/>
      <c r="AA218" s="86"/>
      <c r="AB218" s="86"/>
      <c r="AC218" s="86"/>
      <c r="AD218" s="86"/>
      <c r="AE218" s="86"/>
      <c r="AF218" s="86"/>
      <c r="AG218" s="86"/>
      <c r="AH218" s="86"/>
      <c r="AI218" s="86"/>
      <c r="AJ218" s="86"/>
    </row>
    <row r="219" spans="1:36" x14ac:dyDescent="0.25">
      <c r="A219" s="274"/>
      <c r="B219" s="87"/>
      <c r="C219" s="87"/>
      <c r="D219" s="87"/>
      <c r="E219" s="87"/>
      <c r="F219" s="87"/>
      <c r="G219" s="87"/>
      <c r="H219" s="87"/>
      <c r="I219" s="87"/>
      <c r="J219" s="87"/>
      <c r="K219" s="87"/>
      <c r="L219" s="87"/>
      <c r="M219" s="87"/>
      <c r="N219" s="87"/>
      <c r="O219" s="87"/>
      <c r="P219" s="87"/>
      <c r="Q219" s="87"/>
      <c r="R219" s="87"/>
      <c r="S219" s="87"/>
      <c r="T219" s="87"/>
      <c r="U219" s="87"/>
      <c r="V219" s="87"/>
      <c r="W219" s="87"/>
      <c r="X219" s="87"/>
      <c r="Y219" s="87"/>
      <c r="Z219" s="87"/>
      <c r="AA219" s="87"/>
      <c r="AB219" s="87"/>
      <c r="AC219" s="87"/>
      <c r="AD219" s="87"/>
      <c r="AE219" s="87"/>
      <c r="AF219" s="87"/>
      <c r="AG219" s="87"/>
      <c r="AH219" s="87"/>
      <c r="AI219" s="87"/>
      <c r="AJ219" s="87"/>
    </row>
    <row r="220" spans="1:36" x14ac:dyDescent="0.25">
      <c r="A220" s="273"/>
      <c r="B220" s="86"/>
      <c r="C220" s="86"/>
      <c r="D220" s="86"/>
      <c r="E220" s="86"/>
      <c r="F220" s="86"/>
      <c r="G220" s="86"/>
      <c r="H220" s="86"/>
      <c r="I220" s="86"/>
      <c r="J220" s="86"/>
      <c r="K220" s="86"/>
      <c r="L220" s="86"/>
      <c r="M220" s="86"/>
      <c r="N220" s="86"/>
      <c r="O220" s="86"/>
      <c r="P220" s="86"/>
      <c r="Q220" s="86"/>
      <c r="R220" s="86"/>
      <c r="S220" s="86"/>
      <c r="T220" s="86"/>
      <c r="U220" s="86"/>
      <c r="V220" s="86"/>
      <c r="W220" s="86"/>
      <c r="X220" s="86"/>
      <c r="Y220" s="86"/>
      <c r="Z220" s="86"/>
      <c r="AA220" s="86"/>
      <c r="AB220" s="86"/>
      <c r="AC220" s="86"/>
      <c r="AD220" s="86"/>
      <c r="AE220" s="86"/>
      <c r="AF220" s="86"/>
      <c r="AG220" s="86"/>
      <c r="AH220" s="86"/>
      <c r="AI220" s="86"/>
      <c r="AJ220" s="86"/>
    </row>
    <row r="221" spans="1:36" x14ac:dyDescent="0.25">
      <c r="A221" s="274"/>
      <c r="B221" s="87"/>
      <c r="C221" s="87"/>
      <c r="D221" s="87"/>
      <c r="E221" s="87"/>
      <c r="F221" s="87"/>
      <c r="G221" s="87"/>
      <c r="H221" s="87"/>
      <c r="I221" s="87"/>
      <c r="J221" s="87"/>
      <c r="K221" s="87"/>
      <c r="L221" s="87"/>
      <c r="M221" s="87"/>
      <c r="N221" s="87"/>
      <c r="O221" s="87"/>
      <c r="P221" s="87"/>
      <c r="Q221" s="87"/>
      <c r="R221" s="87"/>
      <c r="S221" s="87"/>
      <c r="T221" s="87"/>
      <c r="U221" s="87"/>
      <c r="V221" s="87"/>
      <c r="W221" s="87"/>
      <c r="X221" s="87"/>
      <c r="Y221" s="87"/>
      <c r="Z221" s="87"/>
      <c r="AA221" s="87"/>
      <c r="AB221" s="87"/>
      <c r="AC221" s="87"/>
      <c r="AD221" s="87"/>
      <c r="AE221" s="87"/>
      <c r="AF221" s="87"/>
      <c r="AG221" s="87"/>
      <c r="AH221" s="87"/>
      <c r="AI221" s="87"/>
      <c r="AJ221" s="87"/>
    </row>
    <row r="222" spans="1:36" x14ac:dyDescent="0.25">
      <c r="A222" s="273"/>
      <c r="B222" s="86"/>
      <c r="C222" s="86"/>
      <c r="D222" s="86"/>
      <c r="E222" s="86"/>
      <c r="F222" s="86"/>
      <c r="G222" s="86"/>
      <c r="H222" s="86"/>
      <c r="I222" s="86"/>
      <c r="J222" s="86"/>
      <c r="K222" s="86"/>
      <c r="L222" s="86"/>
      <c r="M222" s="86"/>
      <c r="N222" s="86"/>
      <c r="O222" s="86"/>
      <c r="P222" s="86"/>
      <c r="Q222" s="86"/>
      <c r="R222" s="86"/>
      <c r="S222" s="86"/>
      <c r="T222" s="86"/>
      <c r="U222" s="86"/>
      <c r="V222" s="86"/>
      <c r="W222" s="86"/>
      <c r="X222" s="86"/>
      <c r="Y222" s="86"/>
      <c r="Z222" s="86"/>
      <c r="AA222" s="86"/>
      <c r="AB222" s="86"/>
      <c r="AC222" s="86"/>
      <c r="AD222" s="86"/>
      <c r="AE222" s="86"/>
      <c r="AF222" s="86"/>
      <c r="AG222" s="86"/>
      <c r="AH222" s="86"/>
      <c r="AI222" s="86"/>
      <c r="AJ222" s="86"/>
    </row>
    <row r="223" spans="1:36" x14ac:dyDescent="0.25">
      <c r="A223" s="274"/>
      <c r="B223" s="87"/>
      <c r="C223" s="87"/>
      <c r="D223" s="87"/>
      <c r="E223" s="87"/>
      <c r="F223" s="87"/>
      <c r="G223" s="87"/>
      <c r="H223" s="87"/>
      <c r="I223" s="87"/>
      <c r="J223" s="87"/>
      <c r="K223" s="87"/>
      <c r="L223" s="87"/>
      <c r="M223" s="87"/>
      <c r="N223" s="87"/>
      <c r="O223" s="87"/>
      <c r="P223" s="87"/>
      <c r="Q223" s="87"/>
      <c r="R223" s="87"/>
      <c r="S223" s="87"/>
      <c r="T223" s="87"/>
      <c r="U223" s="87"/>
      <c r="V223" s="87"/>
      <c r="W223" s="87"/>
      <c r="X223" s="87"/>
      <c r="Y223" s="87"/>
      <c r="Z223" s="87"/>
      <c r="AA223" s="87"/>
      <c r="AB223" s="87"/>
      <c r="AC223" s="87"/>
      <c r="AD223" s="87"/>
      <c r="AE223" s="87"/>
      <c r="AF223" s="87"/>
      <c r="AG223" s="87"/>
      <c r="AH223" s="87"/>
      <c r="AI223" s="87"/>
      <c r="AJ223" s="87"/>
    </row>
    <row r="224" spans="1:36" x14ac:dyDescent="0.25">
      <c r="A224" s="273"/>
      <c r="B224" s="86"/>
      <c r="C224" s="86"/>
      <c r="D224" s="86"/>
      <c r="E224" s="86"/>
      <c r="F224" s="86"/>
      <c r="G224" s="86"/>
      <c r="H224" s="86"/>
      <c r="I224" s="86"/>
      <c r="J224" s="86"/>
      <c r="K224" s="86"/>
      <c r="L224" s="86"/>
      <c r="M224" s="86"/>
      <c r="N224" s="86"/>
      <c r="O224" s="86"/>
      <c r="P224" s="86"/>
      <c r="Q224" s="86"/>
      <c r="R224" s="86"/>
      <c r="S224" s="86"/>
      <c r="T224" s="86"/>
      <c r="U224" s="86"/>
      <c r="V224" s="86"/>
      <c r="W224" s="86"/>
      <c r="X224" s="86"/>
      <c r="Y224" s="86"/>
      <c r="Z224" s="86"/>
      <c r="AA224" s="86"/>
      <c r="AB224" s="86"/>
      <c r="AC224" s="86"/>
      <c r="AD224" s="86"/>
      <c r="AE224" s="86"/>
      <c r="AF224" s="86"/>
      <c r="AG224" s="86"/>
      <c r="AH224" s="86"/>
      <c r="AI224" s="86"/>
      <c r="AJ224" s="86"/>
    </row>
    <row r="225" spans="1:36" x14ac:dyDescent="0.25">
      <c r="A225" s="274"/>
      <c r="B225" s="87"/>
      <c r="C225" s="87"/>
      <c r="D225" s="87"/>
      <c r="E225" s="87"/>
      <c r="F225" s="87"/>
      <c r="G225" s="87"/>
      <c r="H225" s="87"/>
      <c r="I225" s="87"/>
      <c r="J225" s="87"/>
      <c r="K225" s="87"/>
      <c r="L225" s="87"/>
      <c r="M225" s="87"/>
      <c r="N225" s="87"/>
      <c r="O225" s="87"/>
      <c r="P225" s="87"/>
      <c r="Q225" s="87"/>
      <c r="R225" s="87"/>
      <c r="S225" s="87"/>
      <c r="T225" s="87"/>
      <c r="U225" s="87"/>
      <c r="V225" s="87"/>
      <c r="W225" s="87"/>
      <c r="X225" s="87"/>
      <c r="Y225" s="87"/>
      <c r="Z225" s="87"/>
      <c r="AA225" s="87"/>
      <c r="AB225" s="87"/>
      <c r="AC225" s="87"/>
      <c r="AD225" s="87"/>
      <c r="AE225" s="87"/>
      <c r="AF225" s="87"/>
      <c r="AG225" s="87"/>
      <c r="AH225" s="87"/>
      <c r="AI225" s="87"/>
      <c r="AJ225" s="87"/>
    </row>
    <row r="226" spans="1:36" x14ac:dyDescent="0.25">
      <c r="A226" s="273"/>
      <c r="B226" s="86"/>
      <c r="C226" s="86"/>
      <c r="D226" s="86"/>
      <c r="E226" s="86"/>
      <c r="F226" s="86"/>
      <c r="G226" s="86"/>
      <c r="H226" s="86"/>
      <c r="I226" s="86"/>
      <c r="J226" s="86"/>
      <c r="K226" s="86"/>
      <c r="L226" s="86"/>
      <c r="M226" s="86"/>
      <c r="N226" s="86"/>
      <c r="O226" s="86"/>
      <c r="P226" s="86"/>
      <c r="Q226" s="86"/>
      <c r="R226" s="86"/>
      <c r="S226" s="86"/>
      <c r="T226" s="86"/>
      <c r="U226" s="86"/>
      <c r="V226" s="86"/>
      <c r="W226" s="86"/>
      <c r="X226" s="86"/>
      <c r="Y226" s="86"/>
      <c r="Z226" s="86"/>
      <c r="AA226" s="86"/>
      <c r="AB226" s="86"/>
      <c r="AC226" s="86"/>
      <c r="AD226" s="86"/>
      <c r="AE226" s="86"/>
      <c r="AF226" s="86"/>
      <c r="AG226" s="86"/>
      <c r="AH226" s="86"/>
      <c r="AI226" s="86"/>
      <c r="AJ226" s="86"/>
    </row>
    <row r="227" spans="1:36" x14ac:dyDescent="0.25">
      <c r="A227" s="274"/>
      <c r="B227" s="87"/>
      <c r="C227" s="87"/>
      <c r="D227" s="87"/>
      <c r="E227" s="87"/>
      <c r="F227" s="87"/>
      <c r="G227" s="87"/>
      <c r="H227" s="87"/>
      <c r="I227" s="87"/>
      <c r="J227" s="87"/>
      <c r="K227" s="87"/>
      <c r="L227" s="87"/>
      <c r="M227" s="87"/>
      <c r="N227" s="87"/>
      <c r="O227" s="87"/>
      <c r="P227" s="87"/>
      <c r="Q227" s="87"/>
      <c r="R227" s="87"/>
      <c r="S227" s="87"/>
      <c r="T227" s="87"/>
      <c r="U227" s="87"/>
      <c r="V227" s="87"/>
      <c r="W227" s="87"/>
      <c r="X227" s="87"/>
      <c r="Y227" s="87"/>
      <c r="Z227" s="87"/>
      <c r="AA227" s="87"/>
      <c r="AB227" s="87"/>
      <c r="AC227" s="87"/>
      <c r="AD227" s="87"/>
      <c r="AE227" s="87"/>
      <c r="AF227" s="87"/>
      <c r="AG227" s="87"/>
      <c r="AH227" s="87"/>
      <c r="AI227" s="87"/>
      <c r="AJ227" s="87"/>
    </row>
    <row r="228" spans="1:36" x14ac:dyDescent="0.25">
      <c r="A228" s="273"/>
      <c r="B228" s="86"/>
      <c r="C228" s="86"/>
      <c r="D228" s="86"/>
      <c r="E228" s="86"/>
      <c r="F228" s="86"/>
      <c r="G228" s="86"/>
      <c r="H228" s="86"/>
      <c r="I228" s="86"/>
      <c r="J228" s="86"/>
      <c r="K228" s="86"/>
      <c r="L228" s="86"/>
      <c r="M228" s="86"/>
      <c r="N228" s="86"/>
      <c r="O228" s="86"/>
      <c r="P228" s="86"/>
      <c r="Q228" s="86"/>
      <c r="R228" s="86"/>
      <c r="S228" s="86"/>
      <c r="T228" s="86"/>
      <c r="U228" s="86"/>
      <c r="V228" s="86"/>
      <c r="W228" s="86"/>
      <c r="X228" s="86"/>
      <c r="Y228" s="86"/>
      <c r="Z228" s="86"/>
      <c r="AA228" s="86"/>
      <c r="AB228" s="86"/>
      <c r="AC228" s="86"/>
      <c r="AD228" s="86"/>
      <c r="AE228" s="86"/>
      <c r="AF228" s="86"/>
      <c r="AG228" s="86"/>
      <c r="AH228" s="86"/>
      <c r="AI228" s="86"/>
      <c r="AJ228" s="86"/>
    </row>
    <row r="229" spans="1:36" x14ac:dyDescent="0.25">
      <c r="A229" s="274"/>
      <c r="B229" s="87"/>
      <c r="C229" s="87"/>
      <c r="D229" s="87"/>
      <c r="E229" s="87"/>
      <c r="F229" s="87"/>
      <c r="G229" s="87"/>
      <c r="H229" s="87"/>
      <c r="I229" s="87"/>
      <c r="J229" s="87"/>
      <c r="K229" s="87"/>
      <c r="L229" s="87"/>
      <c r="M229" s="87"/>
      <c r="N229" s="87"/>
      <c r="O229" s="87"/>
      <c r="P229" s="87"/>
      <c r="Q229" s="87"/>
      <c r="R229" s="87"/>
      <c r="S229" s="87"/>
      <c r="T229" s="87"/>
      <c r="U229" s="87"/>
      <c r="V229" s="87"/>
      <c r="W229" s="87"/>
      <c r="X229" s="87"/>
      <c r="Y229" s="87"/>
      <c r="Z229" s="87"/>
      <c r="AA229" s="87"/>
      <c r="AB229" s="87"/>
      <c r="AC229" s="87"/>
      <c r="AD229" s="87"/>
      <c r="AE229" s="87"/>
      <c r="AF229" s="87"/>
      <c r="AG229" s="87"/>
      <c r="AH229" s="87"/>
      <c r="AI229" s="87"/>
      <c r="AJ229" s="87"/>
    </row>
    <row r="230" spans="1:36" x14ac:dyDescent="0.25">
      <c r="A230" s="273"/>
      <c r="B230" s="86"/>
      <c r="C230" s="86"/>
      <c r="D230" s="86"/>
      <c r="E230" s="86"/>
      <c r="F230" s="86"/>
      <c r="G230" s="86"/>
      <c r="H230" s="86"/>
      <c r="I230" s="86"/>
      <c r="J230" s="86"/>
      <c r="K230" s="86"/>
      <c r="L230" s="86"/>
      <c r="M230" s="86"/>
      <c r="N230" s="86"/>
      <c r="O230" s="86"/>
      <c r="P230" s="86"/>
      <c r="Q230" s="86"/>
      <c r="R230" s="86"/>
      <c r="S230" s="86"/>
      <c r="T230" s="86"/>
      <c r="U230" s="86"/>
      <c r="V230" s="86"/>
      <c r="W230" s="86"/>
      <c r="X230" s="86"/>
      <c r="Y230" s="86"/>
      <c r="Z230" s="86"/>
      <c r="AA230" s="86"/>
      <c r="AB230" s="86"/>
      <c r="AC230" s="86"/>
      <c r="AD230" s="86"/>
      <c r="AE230" s="86"/>
      <c r="AF230" s="86"/>
      <c r="AG230" s="86"/>
      <c r="AH230" s="86"/>
      <c r="AI230" s="86"/>
      <c r="AJ230" s="86"/>
    </row>
    <row r="231" spans="1:36" x14ac:dyDescent="0.25">
      <c r="A231" s="274"/>
      <c r="B231" s="87"/>
      <c r="C231" s="87"/>
      <c r="D231" s="87"/>
      <c r="E231" s="87"/>
      <c r="F231" s="87"/>
      <c r="G231" s="87"/>
      <c r="H231" s="87"/>
      <c r="I231" s="87"/>
      <c r="J231" s="87"/>
      <c r="K231" s="87"/>
      <c r="L231" s="87"/>
      <c r="M231" s="87"/>
      <c r="N231" s="87"/>
      <c r="O231" s="87"/>
      <c r="P231" s="87"/>
      <c r="Q231" s="87"/>
      <c r="R231" s="87"/>
      <c r="S231" s="87"/>
      <c r="T231" s="87"/>
      <c r="U231" s="87"/>
      <c r="V231" s="87"/>
      <c r="W231" s="87"/>
      <c r="X231" s="87"/>
      <c r="Y231" s="87"/>
      <c r="Z231" s="87"/>
      <c r="AA231" s="87"/>
      <c r="AB231" s="87"/>
      <c r="AC231" s="87"/>
      <c r="AD231" s="87"/>
      <c r="AE231" s="87"/>
      <c r="AF231" s="87"/>
      <c r="AG231" s="87"/>
      <c r="AH231" s="87"/>
      <c r="AI231" s="87"/>
      <c r="AJ231" s="87"/>
    </row>
    <row r="232" spans="1:36" x14ac:dyDescent="0.25">
      <c r="A232" s="273"/>
      <c r="B232" s="86"/>
      <c r="C232" s="86"/>
      <c r="D232" s="86"/>
      <c r="E232" s="86"/>
      <c r="F232" s="86"/>
      <c r="G232" s="86"/>
      <c r="H232" s="86"/>
      <c r="I232" s="86"/>
      <c r="J232" s="86"/>
      <c r="K232" s="86"/>
      <c r="L232" s="86"/>
      <c r="M232" s="86"/>
      <c r="N232" s="86"/>
      <c r="O232" s="86"/>
      <c r="P232" s="86"/>
      <c r="Q232" s="86"/>
      <c r="R232" s="86"/>
      <c r="S232" s="86"/>
      <c r="T232" s="86"/>
      <c r="U232" s="86"/>
      <c r="V232" s="86"/>
      <c r="W232" s="86"/>
      <c r="X232" s="86"/>
      <c r="Y232" s="86"/>
      <c r="Z232" s="86"/>
      <c r="AA232" s="86"/>
      <c r="AB232" s="86"/>
      <c r="AC232" s="86"/>
      <c r="AD232" s="86"/>
      <c r="AE232" s="86"/>
      <c r="AF232" s="86"/>
      <c r="AG232" s="86"/>
      <c r="AH232" s="86"/>
      <c r="AI232" s="86"/>
      <c r="AJ232" s="86"/>
    </row>
    <row r="233" spans="1:36" x14ac:dyDescent="0.25">
      <c r="A233" s="274"/>
      <c r="B233" s="87"/>
      <c r="C233" s="87"/>
      <c r="D233" s="87"/>
      <c r="E233" s="87"/>
      <c r="F233" s="87"/>
      <c r="G233" s="87"/>
      <c r="H233" s="87"/>
      <c r="I233" s="87"/>
      <c r="J233" s="87"/>
      <c r="K233" s="87"/>
      <c r="L233" s="87"/>
      <c r="M233" s="87"/>
      <c r="N233" s="87"/>
      <c r="O233" s="87"/>
      <c r="P233" s="87"/>
      <c r="Q233" s="87"/>
      <c r="R233" s="87"/>
      <c r="S233" s="87"/>
      <c r="T233" s="87"/>
      <c r="U233" s="87"/>
      <c r="V233" s="87"/>
      <c r="W233" s="87"/>
      <c r="X233" s="87"/>
      <c r="Y233" s="87"/>
      <c r="Z233" s="87"/>
      <c r="AA233" s="87"/>
      <c r="AB233" s="87"/>
      <c r="AC233" s="87"/>
      <c r="AD233" s="87"/>
      <c r="AE233" s="87"/>
      <c r="AF233" s="87"/>
      <c r="AG233" s="87"/>
      <c r="AH233" s="87"/>
      <c r="AI233" s="87"/>
      <c r="AJ233" s="87"/>
    </row>
    <row r="234" spans="1:36" x14ac:dyDescent="0.25">
      <c r="A234" s="273"/>
      <c r="B234" s="86"/>
      <c r="C234" s="86"/>
      <c r="D234" s="86"/>
      <c r="E234" s="86"/>
      <c r="F234" s="86"/>
      <c r="G234" s="86"/>
      <c r="H234" s="86"/>
      <c r="I234" s="86"/>
      <c r="J234" s="86"/>
      <c r="K234" s="86"/>
      <c r="L234" s="86"/>
      <c r="M234" s="86"/>
      <c r="N234" s="86"/>
      <c r="O234" s="86"/>
      <c r="P234" s="86"/>
      <c r="Q234" s="86"/>
      <c r="R234" s="86"/>
      <c r="S234" s="86"/>
      <c r="T234" s="86"/>
      <c r="U234" s="86"/>
      <c r="V234" s="86"/>
      <c r="W234" s="86"/>
      <c r="X234" s="86"/>
      <c r="Y234" s="86"/>
      <c r="Z234" s="86"/>
      <c r="AA234" s="86"/>
      <c r="AB234" s="86"/>
      <c r="AC234" s="86"/>
      <c r="AD234" s="86"/>
      <c r="AE234" s="86"/>
      <c r="AF234" s="86"/>
      <c r="AG234" s="86"/>
      <c r="AH234" s="86"/>
      <c r="AI234" s="86"/>
      <c r="AJ234" s="86"/>
    </row>
    <row r="235" spans="1:36" x14ac:dyDescent="0.25">
      <c r="A235" s="274"/>
      <c r="B235" s="87"/>
      <c r="C235" s="87"/>
      <c r="D235" s="87"/>
      <c r="E235" s="87"/>
      <c r="F235" s="87"/>
      <c r="G235" s="87"/>
      <c r="H235" s="87"/>
      <c r="I235" s="87"/>
      <c r="J235" s="87"/>
      <c r="K235" s="87"/>
      <c r="L235" s="87"/>
      <c r="M235" s="87"/>
      <c r="N235" s="87"/>
      <c r="O235" s="87"/>
      <c r="P235" s="87"/>
      <c r="Q235" s="87"/>
      <c r="R235" s="87"/>
      <c r="S235" s="87"/>
      <c r="T235" s="87"/>
      <c r="U235" s="87"/>
      <c r="V235" s="87"/>
      <c r="W235" s="87"/>
      <c r="X235" s="87"/>
      <c r="Y235" s="87"/>
      <c r="Z235" s="87"/>
      <c r="AA235" s="87"/>
      <c r="AB235" s="87"/>
      <c r="AC235" s="87"/>
      <c r="AD235" s="87"/>
      <c r="AE235" s="87"/>
      <c r="AF235" s="87"/>
      <c r="AG235" s="87"/>
      <c r="AH235" s="87"/>
      <c r="AI235" s="87"/>
      <c r="AJ235" s="87"/>
    </row>
    <row r="236" spans="1:36" x14ac:dyDescent="0.25">
      <c r="A236" s="273"/>
      <c r="B236" s="86"/>
      <c r="C236" s="86"/>
      <c r="D236" s="86"/>
      <c r="E236" s="86"/>
      <c r="F236" s="86"/>
      <c r="G236" s="86"/>
      <c r="H236" s="86"/>
      <c r="I236" s="86"/>
      <c r="J236" s="86"/>
      <c r="K236" s="86"/>
      <c r="L236" s="86"/>
      <c r="M236" s="86"/>
      <c r="N236" s="86"/>
      <c r="O236" s="86"/>
      <c r="P236" s="86"/>
      <c r="Q236" s="86"/>
      <c r="R236" s="86"/>
      <c r="S236" s="86"/>
      <c r="T236" s="86"/>
      <c r="U236" s="86"/>
      <c r="V236" s="86"/>
      <c r="W236" s="86"/>
      <c r="X236" s="86"/>
      <c r="Y236" s="86"/>
      <c r="Z236" s="86"/>
      <c r="AA236" s="86"/>
      <c r="AB236" s="86"/>
      <c r="AC236" s="86"/>
      <c r="AD236" s="86"/>
      <c r="AE236" s="86"/>
      <c r="AF236" s="86"/>
      <c r="AG236" s="86"/>
      <c r="AH236" s="86"/>
      <c r="AI236" s="86"/>
      <c r="AJ236" s="86"/>
    </row>
    <row r="237" spans="1:36" x14ac:dyDescent="0.25">
      <c r="A237" s="274"/>
      <c r="B237" s="87"/>
      <c r="C237" s="87"/>
      <c r="D237" s="87"/>
      <c r="E237" s="87"/>
      <c r="F237" s="87"/>
      <c r="G237" s="87"/>
      <c r="H237" s="87"/>
      <c r="I237" s="87"/>
      <c r="J237" s="87"/>
      <c r="K237" s="87"/>
      <c r="L237" s="87"/>
      <c r="M237" s="87"/>
      <c r="N237" s="87"/>
      <c r="O237" s="87"/>
      <c r="P237" s="87"/>
      <c r="Q237" s="87"/>
      <c r="R237" s="87"/>
      <c r="S237" s="87"/>
      <c r="T237" s="87"/>
      <c r="U237" s="87"/>
      <c r="V237" s="87"/>
      <c r="W237" s="87"/>
      <c r="X237" s="87"/>
      <c r="Y237" s="87"/>
      <c r="Z237" s="87"/>
      <c r="AA237" s="87"/>
      <c r="AB237" s="87"/>
      <c r="AC237" s="87"/>
      <c r="AD237" s="87"/>
      <c r="AE237" s="87"/>
      <c r="AF237" s="87"/>
      <c r="AG237" s="87"/>
      <c r="AH237" s="87"/>
      <c r="AI237" s="87"/>
      <c r="AJ237" s="87"/>
    </row>
    <row r="238" spans="1:36" x14ac:dyDescent="0.25">
      <c r="A238" s="273"/>
      <c r="B238" s="86"/>
      <c r="C238" s="86"/>
      <c r="D238" s="86"/>
      <c r="E238" s="86"/>
      <c r="F238" s="86"/>
      <c r="G238" s="86"/>
      <c r="H238" s="86"/>
      <c r="I238" s="86"/>
      <c r="J238" s="86"/>
      <c r="K238" s="86"/>
      <c r="L238" s="86"/>
      <c r="M238" s="86"/>
      <c r="N238" s="86"/>
      <c r="O238" s="86"/>
      <c r="P238" s="86"/>
      <c r="Q238" s="86"/>
      <c r="R238" s="86"/>
      <c r="S238" s="86"/>
      <c r="T238" s="86"/>
      <c r="U238" s="86"/>
      <c r="V238" s="86"/>
      <c r="W238" s="86"/>
      <c r="X238" s="86"/>
      <c r="Y238" s="86"/>
      <c r="Z238" s="86"/>
      <c r="AA238" s="86"/>
      <c r="AB238" s="86"/>
      <c r="AC238" s="86"/>
      <c r="AD238" s="86"/>
      <c r="AE238" s="86"/>
      <c r="AF238" s="86"/>
      <c r="AG238" s="86"/>
      <c r="AH238" s="86"/>
      <c r="AI238" s="86"/>
      <c r="AJ238" s="86"/>
    </row>
    <row r="239" spans="1:36" x14ac:dyDescent="0.25">
      <c r="A239" s="274"/>
      <c r="B239" s="87"/>
      <c r="C239" s="87"/>
      <c r="D239" s="87"/>
      <c r="E239" s="87"/>
      <c r="F239" s="87"/>
      <c r="G239" s="87"/>
      <c r="H239" s="87"/>
      <c r="I239" s="87"/>
      <c r="J239" s="87"/>
      <c r="K239" s="87"/>
      <c r="L239" s="87"/>
      <c r="M239" s="87"/>
      <c r="N239" s="87"/>
      <c r="O239" s="87"/>
      <c r="P239" s="87"/>
      <c r="Q239" s="87"/>
      <c r="R239" s="87"/>
      <c r="S239" s="87"/>
      <c r="T239" s="87"/>
      <c r="U239" s="87"/>
      <c r="V239" s="87"/>
      <c r="W239" s="87"/>
      <c r="X239" s="87"/>
      <c r="Y239" s="87"/>
      <c r="Z239" s="87"/>
      <c r="AA239" s="87"/>
      <c r="AB239" s="87"/>
      <c r="AC239" s="87"/>
      <c r="AD239" s="87"/>
      <c r="AE239" s="87"/>
      <c r="AF239" s="87"/>
      <c r="AG239" s="87"/>
      <c r="AH239" s="87"/>
      <c r="AI239" s="87"/>
      <c r="AJ239" s="87"/>
    </row>
    <row r="240" spans="1:36" x14ac:dyDescent="0.25">
      <c r="A240" s="273"/>
      <c r="B240" s="86"/>
      <c r="C240" s="86"/>
      <c r="D240" s="86"/>
      <c r="E240" s="86"/>
      <c r="F240" s="86"/>
      <c r="G240" s="86"/>
      <c r="H240" s="86"/>
      <c r="I240" s="86"/>
      <c r="J240" s="86"/>
      <c r="K240" s="86"/>
      <c r="L240" s="86"/>
      <c r="M240" s="86"/>
      <c r="N240" s="86"/>
      <c r="O240" s="86"/>
      <c r="P240" s="86"/>
      <c r="Q240" s="86"/>
      <c r="R240" s="86"/>
      <c r="S240" s="86"/>
      <c r="T240" s="86"/>
      <c r="U240" s="86"/>
      <c r="V240" s="86"/>
      <c r="W240" s="86"/>
      <c r="X240" s="86"/>
      <c r="Y240" s="86"/>
      <c r="Z240" s="86"/>
      <c r="AA240" s="86"/>
      <c r="AB240" s="86"/>
      <c r="AC240" s="86"/>
      <c r="AD240" s="86"/>
      <c r="AE240" s="86"/>
      <c r="AF240" s="86"/>
      <c r="AG240" s="86"/>
      <c r="AH240" s="86"/>
      <c r="AI240" s="86"/>
      <c r="AJ240" s="86"/>
    </row>
    <row r="241" spans="1:36" x14ac:dyDescent="0.25">
      <c r="A241" s="274"/>
      <c r="B241" s="87"/>
      <c r="C241" s="87"/>
      <c r="D241" s="87"/>
      <c r="E241" s="87"/>
      <c r="F241" s="87"/>
      <c r="G241" s="87"/>
      <c r="H241" s="87"/>
      <c r="I241" s="87"/>
      <c r="J241" s="87"/>
      <c r="K241" s="87"/>
      <c r="L241" s="87"/>
      <c r="M241" s="87"/>
      <c r="N241" s="87"/>
      <c r="O241" s="87"/>
      <c r="P241" s="87"/>
      <c r="Q241" s="87"/>
      <c r="R241" s="87"/>
      <c r="S241" s="87"/>
      <c r="T241" s="87"/>
      <c r="U241" s="87"/>
      <c r="V241" s="87"/>
      <c r="W241" s="87"/>
      <c r="X241" s="87"/>
      <c r="Y241" s="87"/>
      <c r="Z241" s="87"/>
      <c r="AA241" s="87"/>
      <c r="AB241" s="87"/>
      <c r="AC241" s="87"/>
      <c r="AD241" s="87"/>
      <c r="AE241" s="87"/>
      <c r="AF241" s="87"/>
      <c r="AG241" s="87"/>
      <c r="AH241" s="87"/>
      <c r="AI241" s="87"/>
      <c r="AJ241" s="87"/>
    </row>
    <row r="242" spans="1:36" x14ac:dyDescent="0.25">
      <c r="A242" s="273"/>
      <c r="B242" s="86"/>
      <c r="C242" s="86"/>
      <c r="D242" s="86"/>
      <c r="E242" s="86"/>
      <c r="F242" s="86"/>
      <c r="G242" s="86"/>
      <c r="H242" s="86"/>
      <c r="I242" s="86"/>
      <c r="J242" s="86"/>
      <c r="K242" s="86"/>
      <c r="L242" s="86"/>
      <c r="M242" s="86"/>
      <c r="N242" s="86"/>
      <c r="O242" s="86"/>
      <c r="P242" s="86"/>
      <c r="Q242" s="86"/>
      <c r="R242" s="86"/>
      <c r="S242" s="86"/>
      <c r="T242" s="86"/>
      <c r="U242" s="86"/>
      <c r="V242" s="86"/>
      <c r="W242" s="86"/>
      <c r="X242" s="86"/>
      <c r="Y242" s="86"/>
      <c r="Z242" s="86"/>
      <c r="AA242" s="86"/>
      <c r="AB242" s="86"/>
      <c r="AC242" s="86"/>
      <c r="AD242" s="86"/>
      <c r="AE242" s="86"/>
      <c r="AF242" s="86"/>
      <c r="AG242" s="86"/>
      <c r="AH242" s="86"/>
      <c r="AI242" s="86"/>
      <c r="AJ242" s="86"/>
    </row>
    <row r="243" spans="1:36" x14ac:dyDescent="0.25">
      <c r="A243" s="274"/>
      <c r="B243" s="87"/>
      <c r="C243" s="87"/>
      <c r="D243" s="87"/>
      <c r="E243" s="87"/>
      <c r="F243" s="87"/>
      <c r="G243" s="87"/>
      <c r="H243" s="87"/>
      <c r="I243" s="87"/>
      <c r="J243" s="87"/>
      <c r="K243" s="87"/>
      <c r="L243" s="87"/>
      <c r="M243" s="87"/>
      <c r="N243" s="87"/>
      <c r="O243" s="87"/>
      <c r="P243" s="87"/>
      <c r="Q243" s="87"/>
      <c r="R243" s="87"/>
      <c r="S243" s="87"/>
      <c r="T243" s="87"/>
      <c r="U243" s="87"/>
      <c r="V243" s="87"/>
      <c r="W243" s="87"/>
      <c r="X243" s="87"/>
      <c r="Y243" s="87"/>
      <c r="Z243" s="87"/>
      <c r="AA243" s="87"/>
      <c r="AB243" s="87"/>
      <c r="AC243" s="87"/>
      <c r="AD243" s="87"/>
      <c r="AE243" s="87"/>
      <c r="AF243" s="87"/>
      <c r="AG243" s="87"/>
      <c r="AH243" s="87"/>
      <c r="AI243" s="87"/>
      <c r="AJ243" s="87"/>
    </row>
    <row r="244" spans="1:36" x14ac:dyDescent="0.25">
      <c r="A244" s="273"/>
      <c r="B244" s="86"/>
      <c r="C244" s="86"/>
      <c r="D244" s="86"/>
      <c r="E244" s="86"/>
      <c r="F244" s="86"/>
      <c r="G244" s="86"/>
      <c r="H244" s="86"/>
      <c r="I244" s="86"/>
      <c r="J244" s="86"/>
      <c r="K244" s="86"/>
      <c r="L244" s="86"/>
      <c r="M244" s="86"/>
      <c r="N244" s="86"/>
      <c r="O244" s="86"/>
      <c r="P244" s="86"/>
      <c r="Q244" s="86"/>
      <c r="R244" s="86"/>
      <c r="S244" s="86"/>
      <c r="T244" s="86"/>
      <c r="U244" s="86"/>
      <c r="V244" s="86"/>
      <c r="W244" s="86"/>
      <c r="X244" s="86"/>
      <c r="Y244" s="86"/>
      <c r="Z244" s="86"/>
      <c r="AA244" s="86"/>
      <c r="AB244" s="86"/>
      <c r="AC244" s="86"/>
      <c r="AD244" s="86"/>
      <c r="AE244" s="86"/>
      <c r="AF244" s="86"/>
      <c r="AG244" s="86"/>
      <c r="AH244" s="86"/>
      <c r="AI244" s="86"/>
      <c r="AJ244" s="86"/>
    </row>
    <row r="245" spans="1:36" x14ac:dyDescent="0.25">
      <c r="A245" s="274"/>
      <c r="B245" s="87"/>
      <c r="C245" s="87"/>
      <c r="D245" s="87"/>
      <c r="E245" s="87"/>
      <c r="F245" s="87"/>
      <c r="G245" s="87"/>
      <c r="H245" s="87"/>
      <c r="I245" s="87"/>
      <c r="J245" s="87"/>
      <c r="K245" s="87"/>
      <c r="L245" s="87"/>
      <c r="M245" s="87"/>
      <c r="N245" s="87"/>
      <c r="O245" s="87"/>
      <c r="P245" s="87"/>
      <c r="Q245" s="87"/>
      <c r="R245" s="87"/>
      <c r="S245" s="87"/>
      <c r="T245" s="87"/>
      <c r="U245" s="87"/>
      <c r="V245" s="87"/>
      <c r="W245" s="87"/>
      <c r="X245" s="87"/>
      <c r="Y245" s="87"/>
      <c r="Z245" s="87"/>
      <c r="AA245" s="87"/>
      <c r="AB245" s="87"/>
      <c r="AC245" s="87"/>
      <c r="AD245" s="87"/>
      <c r="AE245" s="87"/>
      <c r="AF245" s="87"/>
      <c r="AG245" s="87"/>
      <c r="AH245" s="87"/>
      <c r="AI245" s="87"/>
      <c r="AJ245" s="87"/>
    </row>
    <row r="246" spans="1:36" x14ac:dyDescent="0.25">
      <c r="A246" s="273"/>
      <c r="B246" s="86"/>
      <c r="C246" s="86"/>
      <c r="D246" s="86"/>
      <c r="E246" s="86"/>
      <c r="F246" s="86"/>
      <c r="G246" s="86"/>
      <c r="H246" s="86"/>
      <c r="I246" s="86"/>
      <c r="J246" s="86"/>
      <c r="K246" s="86"/>
      <c r="L246" s="86"/>
      <c r="M246" s="86"/>
      <c r="N246" s="86"/>
      <c r="O246" s="86"/>
      <c r="P246" s="86"/>
      <c r="Q246" s="86"/>
      <c r="R246" s="86"/>
      <c r="S246" s="86"/>
      <c r="T246" s="86"/>
      <c r="U246" s="86"/>
      <c r="V246" s="86"/>
      <c r="W246" s="86"/>
      <c r="X246" s="86"/>
      <c r="Y246" s="86"/>
      <c r="Z246" s="86"/>
      <c r="AA246" s="86"/>
      <c r="AB246" s="86"/>
      <c r="AC246" s="86"/>
      <c r="AD246" s="86"/>
      <c r="AE246" s="86"/>
      <c r="AF246" s="86"/>
      <c r="AG246" s="86"/>
      <c r="AH246" s="86"/>
      <c r="AI246" s="86"/>
      <c r="AJ246" s="86"/>
    </row>
    <row r="247" spans="1:36" x14ac:dyDescent="0.25">
      <c r="A247" s="274"/>
      <c r="B247" s="87"/>
      <c r="C247" s="87"/>
      <c r="D247" s="87"/>
      <c r="E247" s="87"/>
      <c r="F247" s="87"/>
      <c r="G247" s="87"/>
      <c r="H247" s="87"/>
      <c r="I247" s="87"/>
      <c r="J247" s="87"/>
      <c r="K247" s="87"/>
      <c r="L247" s="87"/>
      <c r="M247" s="87"/>
      <c r="N247" s="87"/>
      <c r="O247" s="87"/>
      <c r="P247" s="87"/>
      <c r="Q247" s="87"/>
      <c r="R247" s="87"/>
      <c r="S247" s="87"/>
      <c r="T247" s="87"/>
      <c r="U247" s="87"/>
      <c r="V247" s="87"/>
      <c r="W247" s="87"/>
      <c r="X247" s="87"/>
      <c r="Y247" s="87"/>
      <c r="Z247" s="87"/>
      <c r="AA247" s="87"/>
      <c r="AB247" s="87"/>
      <c r="AC247" s="87"/>
      <c r="AD247" s="87"/>
      <c r="AE247" s="87"/>
      <c r="AF247" s="87"/>
      <c r="AG247" s="87"/>
      <c r="AH247" s="87"/>
      <c r="AI247" s="87"/>
      <c r="AJ247" s="87"/>
    </row>
    <row r="248" spans="1:36" x14ac:dyDescent="0.25">
      <c r="A248" s="273"/>
      <c r="B248" s="86"/>
      <c r="C248" s="86"/>
      <c r="D248" s="86"/>
      <c r="E248" s="86"/>
      <c r="F248" s="86"/>
      <c r="G248" s="86"/>
      <c r="H248" s="86"/>
      <c r="I248" s="86"/>
      <c r="J248" s="86"/>
      <c r="K248" s="86"/>
      <c r="L248" s="86"/>
      <c r="M248" s="86"/>
      <c r="N248" s="86"/>
      <c r="O248" s="86"/>
      <c r="P248" s="86"/>
      <c r="Q248" s="86"/>
      <c r="R248" s="86"/>
      <c r="S248" s="86"/>
      <c r="T248" s="86"/>
      <c r="U248" s="86"/>
      <c r="V248" s="86"/>
      <c r="W248" s="86"/>
      <c r="X248" s="86"/>
      <c r="Y248" s="86"/>
      <c r="Z248" s="86"/>
      <c r="AA248" s="86"/>
      <c r="AB248" s="86"/>
      <c r="AC248" s="86"/>
      <c r="AD248" s="86"/>
      <c r="AE248" s="86"/>
      <c r="AF248" s="86"/>
      <c r="AG248" s="86"/>
      <c r="AH248" s="86"/>
      <c r="AI248" s="86"/>
      <c r="AJ248" s="86"/>
    </row>
    <row r="249" spans="1:36" x14ac:dyDescent="0.25">
      <c r="A249" s="274"/>
      <c r="B249" s="87"/>
      <c r="C249" s="87"/>
      <c r="D249" s="87"/>
      <c r="E249" s="87"/>
      <c r="F249" s="87"/>
      <c r="G249" s="87"/>
      <c r="H249" s="87"/>
      <c r="I249" s="87"/>
      <c r="J249" s="87"/>
      <c r="K249" s="87"/>
      <c r="L249" s="87"/>
      <c r="M249" s="87"/>
      <c r="N249" s="87"/>
      <c r="O249" s="87"/>
      <c r="P249" s="87"/>
      <c r="Q249" s="87"/>
      <c r="R249" s="87"/>
      <c r="S249" s="87"/>
      <c r="T249" s="87"/>
      <c r="U249" s="87"/>
      <c r="V249" s="87"/>
      <c r="W249" s="87"/>
      <c r="X249" s="87"/>
      <c r="Y249" s="87"/>
      <c r="Z249" s="87"/>
      <c r="AA249" s="87"/>
      <c r="AB249" s="87"/>
      <c r="AC249" s="87"/>
      <c r="AD249" s="87"/>
      <c r="AE249" s="87"/>
      <c r="AF249" s="87"/>
      <c r="AG249" s="87"/>
      <c r="AH249" s="87"/>
      <c r="AI249" s="87"/>
      <c r="AJ249" s="87"/>
    </row>
    <row r="250" spans="1:36" x14ac:dyDescent="0.25">
      <c r="A250" s="273"/>
      <c r="B250" s="86"/>
      <c r="C250" s="86"/>
      <c r="D250" s="86"/>
      <c r="E250" s="86"/>
      <c r="F250" s="86"/>
      <c r="G250" s="86"/>
      <c r="H250" s="86"/>
      <c r="I250" s="86"/>
      <c r="J250" s="86"/>
      <c r="K250" s="86"/>
      <c r="L250" s="86"/>
      <c r="M250" s="86"/>
      <c r="N250" s="86"/>
      <c r="O250" s="86"/>
      <c r="P250" s="86"/>
      <c r="Q250" s="86"/>
      <c r="R250" s="86"/>
      <c r="S250" s="86"/>
      <c r="T250" s="86"/>
      <c r="U250" s="86"/>
      <c r="V250" s="86"/>
      <c r="W250" s="86"/>
      <c r="X250" s="86"/>
      <c r="Y250" s="86"/>
      <c r="Z250" s="86"/>
      <c r="AA250" s="86"/>
      <c r="AB250" s="86"/>
      <c r="AC250" s="86"/>
      <c r="AD250" s="86"/>
      <c r="AE250" s="86"/>
      <c r="AF250" s="86"/>
      <c r="AG250" s="86"/>
      <c r="AH250" s="86"/>
      <c r="AI250" s="86"/>
      <c r="AJ250" s="86"/>
    </row>
    <row r="251" spans="1:36" x14ac:dyDescent="0.25">
      <c r="A251" s="274"/>
      <c r="B251" s="87"/>
      <c r="C251" s="87"/>
      <c r="D251" s="87"/>
      <c r="E251" s="87"/>
      <c r="F251" s="87"/>
      <c r="G251" s="87"/>
      <c r="H251" s="87"/>
      <c r="I251" s="87"/>
      <c r="J251" s="87"/>
      <c r="K251" s="87"/>
      <c r="L251" s="87"/>
      <c r="M251" s="87"/>
      <c r="N251" s="87"/>
      <c r="O251" s="87"/>
      <c r="P251" s="87"/>
      <c r="Q251" s="87"/>
      <c r="R251" s="87"/>
      <c r="S251" s="87"/>
      <c r="T251" s="87"/>
      <c r="U251" s="87"/>
      <c r="V251" s="87"/>
      <c r="W251" s="87"/>
      <c r="X251" s="87"/>
      <c r="Y251" s="87"/>
      <c r="Z251" s="87"/>
      <c r="AA251" s="87"/>
      <c r="AB251" s="87"/>
      <c r="AC251" s="87"/>
      <c r="AD251" s="87"/>
      <c r="AE251" s="87"/>
      <c r="AF251" s="87"/>
      <c r="AG251" s="87"/>
      <c r="AH251" s="87"/>
      <c r="AI251" s="87"/>
      <c r="AJ251" s="87"/>
    </row>
    <row r="252" spans="1:36" x14ac:dyDescent="0.25">
      <c r="A252" s="273"/>
      <c r="B252" s="86"/>
      <c r="C252" s="86"/>
      <c r="D252" s="86"/>
      <c r="E252" s="86"/>
      <c r="F252" s="86"/>
      <c r="G252" s="86"/>
      <c r="H252" s="86"/>
      <c r="I252" s="86"/>
      <c r="J252" s="86"/>
      <c r="K252" s="86"/>
      <c r="L252" s="86"/>
      <c r="M252" s="86"/>
      <c r="N252" s="86"/>
      <c r="O252" s="86"/>
      <c r="P252" s="86"/>
      <c r="Q252" s="86"/>
      <c r="R252" s="86"/>
      <c r="S252" s="86"/>
      <c r="T252" s="86"/>
      <c r="U252" s="86"/>
      <c r="V252" s="86"/>
      <c r="W252" s="86"/>
      <c r="X252" s="86"/>
      <c r="Y252" s="86"/>
      <c r="Z252" s="86"/>
      <c r="AA252" s="86"/>
      <c r="AB252" s="86"/>
      <c r="AC252" s="86"/>
      <c r="AD252" s="86"/>
      <c r="AE252" s="86"/>
      <c r="AF252" s="86"/>
      <c r="AG252" s="86"/>
      <c r="AH252" s="86"/>
      <c r="AI252" s="86"/>
      <c r="AJ252" s="86"/>
    </row>
    <row r="253" spans="1:36" x14ac:dyDescent="0.25">
      <c r="A253" s="274"/>
      <c r="B253" s="87"/>
      <c r="C253" s="87"/>
      <c r="D253" s="87"/>
      <c r="E253" s="87"/>
      <c r="F253" s="87"/>
      <c r="G253" s="87"/>
      <c r="H253" s="87"/>
      <c r="I253" s="87"/>
      <c r="J253" s="87"/>
      <c r="K253" s="87"/>
      <c r="L253" s="87"/>
      <c r="M253" s="87"/>
      <c r="N253" s="87"/>
      <c r="O253" s="87"/>
      <c r="P253" s="87"/>
      <c r="Q253" s="87"/>
      <c r="R253" s="87"/>
      <c r="S253" s="87"/>
      <c r="T253" s="87"/>
      <c r="U253" s="87"/>
      <c r="V253" s="87"/>
      <c r="W253" s="87"/>
      <c r="X253" s="87"/>
      <c r="Y253" s="87"/>
      <c r="Z253" s="87"/>
      <c r="AA253" s="87"/>
      <c r="AB253" s="87"/>
      <c r="AC253" s="87"/>
      <c r="AD253" s="87"/>
      <c r="AE253" s="87"/>
      <c r="AF253" s="87"/>
      <c r="AG253" s="87"/>
      <c r="AH253" s="87"/>
      <c r="AI253" s="87"/>
      <c r="AJ253" s="87"/>
    </row>
    <row r="254" spans="1:36" x14ac:dyDescent="0.25">
      <c r="A254" s="273"/>
      <c r="B254" s="86"/>
      <c r="C254" s="86"/>
      <c r="D254" s="86"/>
      <c r="E254" s="86"/>
      <c r="F254" s="86"/>
      <c r="G254" s="86"/>
      <c r="H254" s="86"/>
      <c r="I254" s="86"/>
      <c r="J254" s="86"/>
      <c r="K254" s="86"/>
      <c r="L254" s="86"/>
      <c r="M254" s="86"/>
      <c r="N254" s="86"/>
      <c r="O254" s="86"/>
      <c r="P254" s="86"/>
      <c r="Q254" s="86"/>
      <c r="R254" s="86"/>
      <c r="S254" s="86"/>
      <c r="T254" s="86"/>
      <c r="U254" s="86"/>
      <c r="V254" s="86"/>
      <c r="W254" s="86"/>
      <c r="X254" s="86"/>
      <c r="Y254" s="86"/>
      <c r="Z254" s="86"/>
      <c r="AA254" s="86"/>
      <c r="AB254" s="86"/>
      <c r="AC254" s="86"/>
      <c r="AD254" s="86"/>
      <c r="AE254" s="86"/>
      <c r="AF254" s="86"/>
      <c r="AG254" s="86"/>
      <c r="AH254" s="86"/>
      <c r="AI254" s="86"/>
      <c r="AJ254" s="86"/>
    </row>
    <row r="255" spans="1:36" x14ac:dyDescent="0.25">
      <c r="A255" s="274"/>
      <c r="B255" s="87"/>
      <c r="C255" s="87"/>
      <c r="D255" s="87"/>
      <c r="E255" s="87"/>
      <c r="F255" s="87"/>
      <c r="G255" s="87"/>
      <c r="H255" s="87"/>
      <c r="I255" s="87"/>
      <c r="J255" s="87"/>
      <c r="K255" s="87"/>
      <c r="L255" s="87"/>
      <c r="M255" s="87"/>
      <c r="N255" s="87"/>
      <c r="O255" s="87"/>
      <c r="P255" s="87"/>
      <c r="Q255" s="87"/>
      <c r="R255" s="87"/>
      <c r="S255" s="87"/>
      <c r="T255" s="87"/>
      <c r="U255" s="87"/>
      <c r="V255" s="87"/>
      <c r="W255" s="87"/>
      <c r="X255" s="87"/>
      <c r="Y255" s="87"/>
      <c r="Z255" s="87"/>
      <c r="AA255" s="87"/>
      <c r="AB255" s="87"/>
      <c r="AC255" s="87"/>
      <c r="AD255" s="87"/>
      <c r="AE255" s="87"/>
      <c r="AF255" s="87"/>
      <c r="AG255" s="87"/>
      <c r="AH255" s="87"/>
      <c r="AI255" s="87"/>
      <c r="AJ255" s="87"/>
    </row>
    <row r="256" spans="1:36" x14ac:dyDescent="0.25">
      <c r="A256" s="273"/>
      <c r="B256" s="86"/>
      <c r="C256" s="86"/>
      <c r="D256" s="86"/>
      <c r="E256" s="86"/>
      <c r="F256" s="86"/>
      <c r="G256" s="86"/>
      <c r="H256" s="86"/>
      <c r="I256" s="86"/>
      <c r="J256" s="86"/>
      <c r="K256" s="86"/>
      <c r="L256" s="86"/>
      <c r="M256" s="86"/>
      <c r="N256" s="86"/>
      <c r="O256" s="86"/>
      <c r="P256" s="86"/>
      <c r="Q256" s="86"/>
      <c r="R256" s="86"/>
      <c r="S256" s="86"/>
      <c r="T256" s="86"/>
      <c r="U256" s="86"/>
      <c r="V256" s="86"/>
      <c r="W256" s="86"/>
      <c r="X256" s="86"/>
      <c r="Y256" s="86"/>
      <c r="Z256" s="86"/>
      <c r="AA256" s="86"/>
      <c r="AB256" s="86"/>
      <c r="AC256" s="86"/>
      <c r="AD256" s="86"/>
      <c r="AE256" s="86"/>
      <c r="AF256" s="86"/>
      <c r="AG256" s="86"/>
      <c r="AH256" s="86"/>
      <c r="AI256" s="86"/>
      <c r="AJ256" s="86"/>
    </row>
    <row r="257" spans="1:36" x14ac:dyDescent="0.25">
      <c r="A257" s="274"/>
      <c r="B257" s="87"/>
      <c r="C257" s="87"/>
      <c r="D257" s="87"/>
      <c r="E257" s="87"/>
      <c r="F257" s="87"/>
      <c r="G257" s="87"/>
      <c r="H257" s="87"/>
      <c r="I257" s="87"/>
      <c r="J257" s="87"/>
      <c r="K257" s="87"/>
      <c r="L257" s="87"/>
      <c r="M257" s="87"/>
      <c r="N257" s="87"/>
      <c r="O257" s="87"/>
      <c r="P257" s="87"/>
      <c r="Q257" s="87"/>
      <c r="R257" s="87"/>
      <c r="S257" s="87"/>
      <c r="T257" s="87"/>
      <c r="U257" s="87"/>
      <c r="V257" s="87"/>
      <c r="W257" s="87"/>
      <c r="X257" s="87"/>
      <c r="Y257" s="87"/>
      <c r="Z257" s="87"/>
      <c r="AA257" s="87"/>
      <c r="AB257" s="87"/>
      <c r="AC257" s="87"/>
      <c r="AD257" s="87"/>
      <c r="AE257" s="87"/>
      <c r="AF257" s="87"/>
      <c r="AG257" s="87"/>
      <c r="AH257" s="87"/>
      <c r="AI257" s="87"/>
      <c r="AJ257" s="87"/>
    </row>
    <row r="258" spans="1:36" x14ac:dyDescent="0.25">
      <c r="A258" s="273"/>
      <c r="B258" s="86"/>
      <c r="C258" s="86"/>
      <c r="D258" s="86"/>
      <c r="E258" s="86"/>
      <c r="F258" s="86"/>
      <c r="G258" s="86"/>
      <c r="H258" s="86"/>
      <c r="I258" s="86"/>
      <c r="J258" s="86"/>
      <c r="K258" s="86"/>
      <c r="L258" s="86"/>
      <c r="M258" s="86"/>
      <c r="N258" s="86"/>
      <c r="O258" s="86"/>
      <c r="P258" s="86"/>
      <c r="Q258" s="86"/>
      <c r="R258" s="86"/>
      <c r="S258" s="86"/>
      <c r="T258" s="86"/>
      <c r="U258" s="86"/>
      <c r="V258" s="86"/>
      <c r="W258" s="86"/>
      <c r="X258" s="86"/>
      <c r="Y258" s="86"/>
      <c r="Z258" s="86"/>
      <c r="AA258" s="86"/>
      <c r="AB258" s="86"/>
      <c r="AC258" s="86"/>
      <c r="AD258" s="86"/>
      <c r="AE258" s="86"/>
      <c r="AF258" s="86"/>
      <c r="AG258" s="86"/>
      <c r="AH258" s="86"/>
      <c r="AI258" s="86"/>
      <c r="AJ258" s="86"/>
    </row>
    <row r="259" spans="1:36" x14ac:dyDescent="0.25">
      <c r="A259" s="274"/>
      <c r="B259" s="87"/>
      <c r="C259" s="87"/>
      <c r="D259" s="87"/>
      <c r="E259" s="87"/>
      <c r="F259" s="87"/>
      <c r="G259" s="87"/>
      <c r="H259" s="87"/>
      <c r="I259" s="87"/>
      <c r="J259" s="87"/>
      <c r="K259" s="87"/>
      <c r="L259" s="87"/>
      <c r="M259" s="87"/>
      <c r="N259" s="87"/>
      <c r="O259" s="87"/>
      <c r="P259" s="87"/>
      <c r="Q259" s="87"/>
      <c r="R259" s="87"/>
      <c r="S259" s="87"/>
      <c r="T259" s="87"/>
      <c r="U259" s="87"/>
      <c r="V259" s="87"/>
      <c r="W259" s="87"/>
      <c r="X259" s="87"/>
      <c r="Y259" s="87"/>
      <c r="Z259" s="87"/>
      <c r="AA259" s="87"/>
      <c r="AB259" s="87"/>
      <c r="AC259" s="87"/>
      <c r="AD259" s="87"/>
      <c r="AE259" s="87"/>
      <c r="AF259" s="87"/>
      <c r="AG259" s="87"/>
      <c r="AH259" s="87"/>
      <c r="AI259" s="87"/>
      <c r="AJ259" s="87"/>
    </row>
    <row r="260" spans="1:36" x14ac:dyDescent="0.25">
      <c r="A260" s="273"/>
      <c r="B260" s="86"/>
      <c r="C260" s="86"/>
      <c r="D260" s="86"/>
      <c r="E260" s="86"/>
      <c r="F260" s="86"/>
      <c r="G260" s="86"/>
      <c r="H260" s="86"/>
      <c r="I260" s="86"/>
      <c r="J260" s="86"/>
      <c r="K260" s="86"/>
      <c r="L260" s="86"/>
      <c r="M260" s="86"/>
      <c r="N260" s="86"/>
      <c r="O260" s="86"/>
      <c r="P260" s="86"/>
      <c r="Q260" s="86"/>
      <c r="R260" s="86"/>
      <c r="S260" s="86"/>
      <c r="T260" s="86"/>
      <c r="U260" s="86"/>
      <c r="V260" s="86"/>
      <c r="W260" s="86"/>
      <c r="X260" s="86"/>
      <c r="Y260" s="86"/>
      <c r="Z260" s="86"/>
      <c r="AA260" s="86"/>
      <c r="AB260" s="86"/>
      <c r="AC260" s="86"/>
      <c r="AD260" s="86"/>
      <c r="AE260" s="86"/>
      <c r="AF260" s="86"/>
      <c r="AG260" s="86"/>
      <c r="AH260" s="86"/>
      <c r="AI260" s="86"/>
      <c r="AJ260" s="86"/>
    </row>
    <row r="261" spans="1:36" x14ac:dyDescent="0.25">
      <c r="A261" s="274"/>
      <c r="B261" s="87"/>
      <c r="C261" s="87"/>
      <c r="D261" s="87"/>
      <c r="E261" s="87"/>
      <c r="F261" s="87"/>
      <c r="G261" s="87"/>
      <c r="H261" s="87"/>
      <c r="I261" s="87"/>
      <c r="J261" s="87"/>
      <c r="K261" s="87"/>
      <c r="L261" s="87"/>
      <c r="M261" s="87"/>
      <c r="N261" s="87"/>
      <c r="O261" s="87"/>
      <c r="P261" s="87"/>
      <c r="Q261" s="87"/>
      <c r="R261" s="87"/>
      <c r="S261" s="87"/>
      <c r="T261" s="87"/>
      <c r="U261" s="87"/>
      <c r="V261" s="87"/>
      <c r="W261" s="87"/>
      <c r="X261" s="87"/>
      <c r="Y261" s="87"/>
      <c r="Z261" s="87"/>
      <c r="AA261" s="87"/>
      <c r="AB261" s="87"/>
      <c r="AC261" s="87"/>
      <c r="AD261" s="87"/>
      <c r="AE261" s="87"/>
      <c r="AF261" s="87"/>
      <c r="AG261" s="87"/>
      <c r="AH261" s="87"/>
      <c r="AI261" s="87"/>
      <c r="AJ261" s="87"/>
    </row>
    <row r="262" spans="1:36" x14ac:dyDescent="0.25">
      <c r="A262" s="273"/>
      <c r="B262" s="86"/>
      <c r="C262" s="86"/>
      <c r="D262" s="86"/>
      <c r="E262" s="86"/>
      <c r="F262" s="86"/>
      <c r="G262" s="86"/>
      <c r="H262" s="86"/>
      <c r="I262" s="86"/>
      <c r="J262" s="86"/>
      <c r="K262" s="86"/>
      <c r="L262" s="86"/>
      <c r="M262" s="86"/>
      <c r="N262" s="86"/>
      <c r="O262" s="86"/>
      <c r="P262" s="86"/>
      <c r="Q262" s="86"/>
      <c r="R262" s="86"/>
      <c r="S262" s="86"/>
      <c r="T262" s="86"/>
      <c r="U262" s="86"/>
      <c r="V262" s="86"/>
      <c r="W262" s="86"/>
      <c r="X262" s="86"/>
      <c r="Y262" s="86"/>
      <c r="Z262" s="86"/>
      <c r="AA262" s="86"/>
      <c r="AB262" s="86"/>
      <c r="AC262" s="86"/>
      <c r="AD262" s="86"/>
      <c r="AE262" s="86"/>
      <c r="AF262" s="86"/>
      <c r="AG262" s="86"/>
      <c r="AH262" s="86"/>
      <c r="AI262" s="86"/>
      <c r="AJ262" s="86"/>
    </row>
    <row r="263" spans="1:36" x14ac:dyDescent="0.25">
      <c r="A263" s="274"/>
      <c r="B263" s="87"/>
      <c r="C263" s="87"/>
      <c r="D263" s="87"/>
      <c r="E263" s="87"/>
      <c r="F263" s="87"/>
      <c r="G263" s="87"/>
      <c r="H263" s="87"/>
      <c r="I263" s="87"/>
      <c r="J263" s="87"/>
      <c r="K263" s="87"/>
      <c r="L263" s="87"/>
      <c r="M263" s="87"/>
      <c r="N263" s="87"/>
      <c r="O263" s="87"/>
      <c r="P263" s="87"/>
      <c r="Q263" s="87"/>
      <c r="R263" s="87"/>
      <c r="S263" s="87"/>
      <c r="T263" s="87"/>
      <c r="U263" s="87"/>
      <c r="V263" s="87"/>
      <c r="W263" s="87"/>
      <c r="X263" s="87"/>
      <c r="Y263" s="87"/>
      <c r="Z263" s="87"/>
      <c r="AA263" s="87"/>
      <c r="AB263" s="87"/>
      <c r="AC263" s="87"/>
      <c r="AD263" s="87"/>
      <c r="AE263" s="87"/>
      <c r="AF263" s="87"/>
      <c r="AG263" s="87"/>
      <c r="AH263" s="87"/>
      <c r="AI263" s="87"/>
      <c r="AJ263" s="87"/>
    </row>
    <row r="264" spans="1:36" x14ac:dyDescent="0.25">
      <c r="A264" s="273"/>
      <c r="B264" s="86"/>
      <c r="C264" s="86"/>
      <c r="D264" s="86"/>
      <c r="E264" s="86"/>
      <c r="F264" s="86"/>
      <c r="G264" s="86"/>
      <c r="H264" s="86"/>
      <c r="I264" s="86"/>
      <c r="J264" s="86"/>
      <c r="K264" s="86"/>
      <c r="L264" s="86"/>
      <c r="M264" s="86"/>
      <c r="N264" s="86"/>
      <c r="O264" s="86"/>
      <c r="P264" s="86"/>
      <c r="Q264" s="86"/>
      <c r="R264" s="86"/>
      <c r="S264" s="86"/>
      <c r="T264" s="86"/>
      <c r="U264" s="86"/>
      <c r="V264" s="86"/>
      <c r="W264" s="86"/>
      <c r="X264" s="86"/>
      <c r="Y264" s="86"/>
      <c r="Z264" s="86"/>
      <c r="AA264" s="86"/>
      <c r="AB264" s="86"/>
      <c r="AC264" s="86"/>
      <c r="AD264" s="86"/>
      <c r="AE264" s="86"/>
      <c r="AF264" s="86"/>
      <c r="AG264" s="86"/>
      <c r="AH264" s="86"/>
      <c r="AI264" s="86"/>
      <c r="AJ264" s="86"/>
    </row>
    <row r="265" spans="1:36" x14ac:dyDescent="0.25">
      <c r="A265" s="274"/>
      <c r="B265" s="87"/>
      <c r="C265" s="87"/>
      <c r="D265" s="87"/>
      <c r="E265" s="87"/>
      <c r="F265" s="87"/>
      <c r="G265" s="87"/>
      <c r="H265" s="87"/>
      <c r="I265" s="87"/>
      <c r="J265" s="87"/>
      <c r="K265" s="87"/>
      <c r="L265" s="87"/>
      <c r="M265" s="87"/>
      <c r="N265" s="87"/>
      <c r="O265" s="87"/>
      <c r="P265" s="87"/>
      <c r="Q265" s="87"/>
      <c r="R265" s="87"/>
      <c r="S265" s="87"/>
      <c r="T265" s="87"/>
      <c r="U265" s="87"/>
      <c r="V265" s="87"/>
      <c r="W265" s="87"/>
      <c r="X265" s="87"/>
      <c r="Y265" s="87"/>
      <c r="Z265" s="87"/>
      <c r="AA265" s="87"/>
      <c r="AB265" s="87"/>
      <c r="AC265" s="87"/>
      <c r="AD265" s="87"/>
      <c r="AE265" s="87"/>
      <c r="AF265" s="87"/>
      <c r="AG265" s="87"/>
      <c r="AH265" s="87"/>
      <c r="AI265" s="87"/>
      <c r="AJ265" s="87"/>
    </row>
    <row r="266" spans="1:36" x14ac:dyDescent="0.25">
      <c r="A266" s="273"/>
      <c r="B266" s="86"/>
      <c r="C266" s="86"/>
      <c r="D266" s="86"/>
      <c r="E266" s="86"/>
      <c r="F266" s="86"/>
      <c r="G266" s="86"/>
      <c r="H266" s="86"/>
      <c r="I266" s="86"/>
      <c r="J266" s="86"/>
      <c r="K266" s="86"/>
      <c r="L266" s="86"/>
      <c r="M266" s="86"/>
      <c r="N266" s="86"/>
      <c r="O266" s="86"/>
      <c r="P266" s="86"/>
      <c r="Q266" s="86"/>
      <c r="R266" s="86"/>
      <c r="S266" s="86"/>
      <c r="T266" s="86"/>
      <c r="U266" s="86"/>
      <c r="V266" s="86"/>
      <c r="W266" s="86"/>
      <c r="X266" s="86"/>
      <c r="Y266" s="86"/>
      <c r="Z266" s="86"/>
      <c r="AA266" s="86"/>
      <c r="AB266" s="86"/>
      <c r="AC266" s="86"/>
      <c r="AD266" s="86"/>
      <c r="AE266" s="86"/>
      <c r="AF266" s="86"/>
      <c r="AG266" s="86"/>
      <c r="AH266" s="86"/>
      <c r="AI266" s="86"/>
      <c r="AJ266" s="86"/>
    </row>
    <row r="267" spans="1:36" x14ac:dyDescent="0.25">
      <c r="A267" s="274"/>
      <c r="B267" s="87"/>
      <c r="C267" s="87"/>
      <c r="D267" s="87"/>
      <c r="E267" s="87"/>
      <c r="F267" s="87"/>
      <c r="G267" s="87"/>
      <c r="H267" s="87"/>
      <c r="I267" s="87"/>
      <c r="J267" s="87"/>
      <c r="K267" s="87"/>
      <c r="L267" s="87"/>
      <c r="M267" s="87"/>
      <c r="N267" s="87"/>
      <c r="O267" s="87"/>
      <c r="P267" s="87"/>
      <c r="Q267" s="87"/>
      <c r="R267" s="87"/>
      <c r="S267" s="87"/>
      <c r="T267" s="87"/>
      <c r="U267" s="87"/>
      <c r="V267" s="87"/>
      <c r="W267" s="87"/>
      <c r="X267" s="87"/>
      <c r="Y267" s="87"/>
      <c r="Z267" s="87"/>
      <c r="AA267" s="87"/>
      <c r="AB267" s="87"/>
      <c r="AC267" s="87"/>
      <c r="AD267" s="87"/>
      <c r="AE267" s="87"/>
      <c r="AF267" s="87"/>
      <c r="AG267" s="87"/>
      <c r="AH267" s="87"/>
      <c r="AI267" s="87"/>
      <c r="AJ267" s="87"/>
    </row>
    <row r="268" spans="1:36" x14ac:dyDescent="0.25">
      <c r="A268" s="273"/>
      <c r="B268" s="86"/>
      <c r="C268" s="86"/>
      <c r="D268" s="86"/>
      <c r="E268" s="86"/>
      <c r="F268" s="86"/>
      <c r="G268" s="86"/>
      <c r="H268" s="86"/>
      <c r="I268" s="86"/>
      <c r="J268" s="86"/>
      <c r="K268" s="86"/>
      <c r="L268" s="86"/>
      <c r="M268" s="86"/>
      <c r="N268" s="86"/>
      <c r="O268" s="86"/>
      <c r="P268" s="86"/>
      <c r="Q268" s="86"/>
      <c r="R268" s="86"/>
      <c r="S268" s="86"/>
      <c r="T268" s="86"/>
      <c r="U268" s="86"/>
      <c r="V268" s="86"/>
      <c r="W268" s="86"/>
      <c r="X268" s="86"/>
      <c r="Y268" s="86"/>
      <c r="Z268" s="86"/>
      <c r="AA268" s="86"/>
      <c r="AB268" s="86"/>
      <c r="AC268" s="86"/>
      <c r="AD268" s="86"/>
      <c r="AE268" s="86"/>
      <c r="AF268" s="86"/>
      <c r="AG268" s="86"/>
      <c r="AH268" s="86"/>
      <c r="AI268" s="86"/>
      <c r="AJ268" s="86"/>
    </row>
    <row r="269" spans="1:36" x14ac:dyDescent="0.25">
      <c r="A269" s="274"/>
      <c r="B269" s="87"/>
      <c r="C269" s="87"/>
      <c r="D269" s="87"/>
      <c r="E269" s="87"/>
      <c r="F269" s="87"/>
      <c r="G269" s="87"/>
      <c r="H269" s="87"/>
      <c r="I269" s="87"/>
      <c r="J269" s="87"/>
      <c r="K269" s="87"/>
      <c r="L269" s="87"/>
      <c r="M269" s="87"/>
      <c r="N269" s="87"/>
      <c r="O269" s="87"/>
      <c r="P269" s="87"/>
      <c r="Q269" s="87"/>
      <c r="R269" s="87"/>
      <c r="S269" s="87"/>
      <c r="T269" s="87"/>
      <c r="U269" s="87"/>
      <c r="V269" s="87"/>
      <c r="W269" s="87"/>
      <c r="X269" s="87"/>
      <c r="Y269" s="87"/>
      <c r="Z269" s="87"/>
      <c r="AA269" s="87"/>
      <c r="AB269" s="87"/>
      <c r="AC269" s="87"/>
      <c r="AD269" s="87"/>
      <c r="AE269" s="87"/>
      <c r="AF269" s="87"/>
      <c r="AG269" s="87"/>
      <c r="AH269" s="87"/>
      <c r="AI269" s="87"/>
      <c r="AJ269" s="87"/>
    </row>
    <row r="270" spans="1:36" x14ac:dyDescent="0.25">
      <c r="A270" s="273"/>
      <c r="B270" s="86"/>
      <c r="C270" s="86"/>
      <c r="D270" s="86"/>
      <c r="E270" s="86"/>
      <c r="F270" s="86"/>
      <c r="G270" s="86"/>
      <c r="H270" s="86"/>
      <c r="I270" s="86"/>
      <c r="J270" s="86"/>
      <c r="K270" s="86"/>
      <c r="L270" s="86"/>
      <c r="M270" s="86"/>
      <c r="N270" s="86"/>
      <c r="O270" s="86"/>
      <c r="P270" s="86"/>
      <c r="Q270" s="86"/>
      <c r="R270" s="86"/>
      <c r="S270" s="86"/>
      <c r="T270" s="86"/>
      <c r="U270" s="86"/>
      <c r="V270" s="86"/>
      <c r="W270" s="86"/>
      <c r="X270" s="86"/>
      <c r="Y270" s="86"/>
      <c r="Z270" s="86"/>
      <c r="AA270" s="86"/>
      <c r="AB270" s="86"/>
      <c r="AC270" s="86"/>
      <c r="AD270" s="86"/>
      <c r="AE270" s="86"/>
      <c r="AF270" s="86"/>
      <c r="AG270" s="86"/>
      <c r="AH270" s="86"/>
      <c r="AI270" s="86"/>
      <c r="AJ270" s="86"/>
    </row>
    <row r="271" spans="1:36" x14ac:dyDescent="0.25">
      <c r="A271" s="274"/>
      <c r="B271" s="87"/>
      <c r="C271" s="87"/>
      <c r="D271" s="87"/>
      <c r="E271" s="87"/>
      <c r="F271" s="87"/>
      <c r="G271" s="87"/>
      <c r="H271" s="87"/>
      <c r="I271" s="87"/>
      <c r="J271" s="87"/>
      <c r="K271" s="87"/>
      <c r="L271" s="87"/>
      <c r="M271" s="87"/>
      <c r="N271" s="87"/>
      <c r="O271" s="87"/>
      <c r="P271" s="87"/>
      <c r="Q271" s="87"/>
      <c r="R271" s="87"/>
      <c r="S271" s="87"/>
      <c r="T271" s="87"/>
      <c r="U271" s="87"/>
      <c r="V271" s="87"/>
      <c r="W271" s="87"/>
      <c r="X271" s="87"/>
      <c r="Y271" s="87"/>
      <c r="Z271" s="87"/>
      <c r="AA271" s="87"/>
      <c r="AB271" s="87"/>
      <c r="AC271" s="87"/>
      <c r="AD271" s="87"/>
      <c r="AE271" s="87"/>
      <c r="AF271" s="87"/>
      <c r="AG271" s="87"/>
      <c r="AH271" s="87"/>
      <c r="AI271" s="87"/>
      <c r="AJ271" s="87"/>
    </row>
    <row r="272" spans="1:36" x14ac:dyDescent="0.25">
      <c r="A272" s="273"/>
      <c r="B272" s="86"/>
      <c r="C272" s="86"/>
      <c r="D272" s="86"/>
      <c r="E272" s="86"/>
      <c r="F272" s="86"/>
      <c r="G272" s="86"/>
      <c r="H272" s="86"/>
      <c r="I272" s="86"/>
      <c r="J272" s="86"/>
      <c r="K272" s="86"/>
      <c r="L272" s="86"/>
      <c r="M272" s="86"/>
      <c r="N272" s="86"/>
      <c r="O272" s="86"/>
      <c r="P272" s="86"/>
      <c r="Q272" s="86"/>
      <c r="R272" s="86"/>
      <c r="S272" s="86"/>
      <c r="T272" s="86"/>
      <c r="U272" s="86"/>
      <c r="V272" s="86"/>
      <c r="W272" s="86"/>
      <c r="X272" s="86"/>
      <c r="Y272" s="86"/>
      <c r="Z272" s="86"/>
      <c r="AA272" s="86"/>
      <c r="AB272" s="86"/>
      <c r="AC272" s="86"/>
      <c r="AD272" s="86"/>
      <c r="AE272" s="86"/>
      <c r="AF272" s="86"/>
      <c r="AG272" s="86"/>
      <c r="AH272" s="86"/>
      <c r="AI272" s="86"/>
      <c r="AJ272" s="86"/>
    </row>
    <row r="273" spans="1:36" x14ac:dyDescent="0.25">
      <c r="A273" s="274"/>
      <c r="B273" s="87"/>
      <c r="C273" s="87"/>
      <c r="D273" s="87"/>
      <c r="E273" s="87"/>
      <c r="F273" s="87"/>
      <c r="G273" s="87"/>
      <c r="H273" s="87"/>
      <c r="I273" s="87"/>
      <c r="J273" s="87"/>
      <c r="K273" s="87"/>
      <c r="L273" s="87"/>
      <c r="M273" s="87"/>
      <c r="N273" s="87"/>
      <c r="O273" s="87"/>
      <c r="P273" s="87"/>
      <c r="Q273" s="87"/>
      <c r="R273" s="87"/>
      <c r="S273" s="87"/>
      <c r="T273" s="87"/>
      <c r="U273" s="87"/>
      <c r="V273" s="87"/>
      <c r="W273" s="87"/>
      <c r="X273" s="87"/>
      <c r="Y273" s="87"/>
      <c r="Z273" s="87"/>
      <c r="AA273" s="87"/>
      <c r="AB273" s="87"/>
      <c r="AC273" s="87"/>
      <c r="AD273" s="87"/>
      <c r="AE273" s="87"/>
      <c r="AF273" s="87"/>
      <c r="AG273" s="87"/>
      <c r="AH273" s="87"/>
      <c r="AI273" s="87"/>
      <c r="AJ273" s="87"/>
    </row>
    <row r="274" spans="1:36" x14ac:dyDescent="0.25">
      <c r="A274" s="273"/>
      <c r="B274" s="86"/>
      <c r="C274" s="86"/>
      <c r="D274" s="86"/>
      <c r="E274" s="86"/>
      <c r="F274" s="86"/>
      <c r="G274" s="86"/>
      <c r="H274" s="86"/>
      <c r="I274" s="86"/>
      <c r="J274" s="86"/>
      <c r="K274" s="86"/>
      <c r="L274" s="86"/>
      <c r="M274" s="86"/>
      <c r="N274" s="86"/>
      <c r="O274" s="86"/>
      <c r="P274" s="86"/>
      <c r="Q274" s="86"/>
      <c r="R274" s="86"/>
      <c r="S274" s="86"/>
      <c r="T274" s="86"/>
      <c r="U274" s="86"/>
      <c r="V274" s="86"/>
      <c r="W274" s="86"/>
      <c r="X274" s="86"/>
      <c r="Y274" s="86"/>
      <c r="Z274" s="86"/>
      <c r="AA274" s="86"/>
      <c r="AB274" s="86"/>
      <c r="AC274" s="86"/>
      <c r="AD274" s="86"/>
      <c r="AE274" s="86"/>
      <c r="AF274" s="86"/>
      <c r="AG274" s="86"/>
      <c r="AH274" s="86"/>
      <c r="AI274" s="86"/>
      <c r="AJ274" s="86"/>
    </row>
    <row r="275" spans="1:36" x14ac:dyDescent="0.25">
      <c r="A275" s="274"/>
      <c r="B275" s="87"/>
      <c r="C275" s="87"/>
      <c r="D275" s="87"/>
      <c r="E275" s="87"/>
      <c r="F275" s="87"/>
      <c r="G275" s="87"/>
      <c r="H275" s="87"/>
      <c r="I275" s="87"/>
      <c r="J275" s="87"/>
      <c r="K275" s="87"/>
      <c r="L275" s="87"/>
      <c r="M275" s="87"/>
      <c r="N275" s="87"/>
      <c r="O275" s="87"/>
      <c r="P275" s="87"/>
      <c r="Q275" s="87"/>
      <c r="R275" s="87"/>
      <c r="S275" s="87"/>
      <c r="T275" s="87"/>
      <c r="U275" s="87"/>
      <c r="V275" s="87"/>
      <c r="W275" s="87"/>
      <c r="X275" s="87"/>
      <c r="Y275" s="87"/>
      <c r="Z275" s="87"/>
      <c r="AA275" s="87"/>
      <c r="AB275" s="87"/>
      <c r="AC275" s="87"/>
      <c r="AD275" s="87"/>
      <c r="AE275" s="87"/>
      <c r="AF275" s="87"/>
      <c r="AG275" s="87"/>
      <c r="AH275" s="87"/>
      <c r="AI275" s="87"/>
      <c r="AJ275" s="87"/>
    </row>
    <row r="276" spans="1:36" x14ac:dyDescent="0.25">
      <c r="A276" s="273"/>
      <c r="B276" s="86"/>
      <c r="C276" s="86"/>
      <c r="D276" s="86"/>
      <c r="E276" s="86"/>
      <c r="F276" s="86"/>
      <c r="G276" s="86"/>
      <c r="H276" s="86"/>
      <c r="I276" s="86"/>
      <c r="J276" s="86"/>
      <c r="K276" s="86"/>
      <c r="L276" s="86"/>
      <c r="M276" s="86"/>
      <c r="N276" s="86"/>
      <c r="O276" s="86"/>
      <c r="P276" s="86"/>
      <c r="Q276" s="86"/>
      <c r="R276" s="86"/>
      <c r="S276" s="86"/>
      <c r="T276" s="86"/>
      <c r="U276" s="86"/>
      <c r="V276" s="86"/>
      <c r="W276" s="86"/>
      <c r="X276" s="86"/>
      <c r="Y276" s="86"/>
      <c r="Z276" s="86"/>
      <c r="AA276" s="86"/>
      <c r="AB276" s="86"/>
      <c r="AC276" s="86"/>
      <c r="AD276" s="86"/>
      <c r="AE276" s="86"/>
      <c r="AF276" s="86"/>
      <c r="AG276" s="86"/>
      <c r="AH276" s="86"/>
      <c r="AI276" s="86"/>
      <c r="AJ276" s="86"/>
    </row>
    <row r="277" spans="1:36" x14ac:dyDescent="0.25">
      <c r="A277" s="274"/>
      <c r="B277" s="87"/>
      <c r="C277" s="87"/>
      <c r="D277" s="87"/>
      <c r="E277" s="87"/>
      <c r="F277" s="87"/>
      <c r="G277" s="87"/>
      <c r="H277" s="87"/>
      <c r="I277" s="87"/>
      <c r="J277" s="87"/>
      <c r="K277" s="87"/>
      <c r="L277" s="87"/>
      <c r="M277" s="87"/>
      <c r="N277" s="87"/>
      <c r="O277" s="87"/>
      <c r="P277" s="87"/>
      <c r="Q277" s="87"/>
      <c r="R277" s="87"/>
      <c r="S277" s="87"/>
      <c r="T277" s="87"/>
      <c r="U277" s="87"/>
      <c r="V277" s="87"/>
      <c r="W277" s="87"/>
      <c r="X277" s="87"/>
      <c r="Y277" s="87"/>
      <c r="Z277" s="87"/>
      <c r="AA277" s="87"/>
      <c r="AB277" s="87"/>
      <c r="AC277" s="87"/>
      <c r="AD277" s="87"/>
      <c r="AE277" s="87"/>
      <c r="AF277" s="87"/>
      <c r="AG277" s="87"/>
      <c r="AH277" s="87"/>
      <c r="AI277" s="87"/>
      <c r="AJ277" s="87"/>
    </row>
    <row r="278" spans="1:36" x14ac:dyDescent="0.25">
      <c r="A278" s="273"/>
      <c r="B278" s="86"/>
      <c r="C278" s="86"/>
      <c r="D278" s="86"/>
      <c r="E278" s="86"/>
      <c r="F278" s="86"/>
      <c r="G278" s="86"/>
      <c r="H278" s="86"/>
      <c r="I278" s="86"/>
      <c r="J278" s="86"/>
      <c r="K278" s="86"/>
      <c r="L278" s="86"/>
      <c r="M278" s="86"/>
      <c r="N278" s="86"/>
      <c r="O278" s="86"/>
      <c r="P278" s="86"/>
      <c r="Q278" s="86"/>
      <c r="R278" s="86"/>
      <c r="S278" s="86"/>
      <c r="T278" s="86"/>
      <c r="U278" s="86"/>
      <c r="V278" s="86"/>
      <c r="W278" s="86"/>
      <c r="X278" s="86"/>
      <c r="Y278" s="86"/>
      <c r="Z278" s="86"/>
      <c r="AA278" s="86"/>
      <c r="AB278" s="86"/>
      <c r="AC278" s="86"/>
      <c r="AD278" s="86"/>
      <c r="AE278" s="86"/>
      <c r="AF278" s="86"/>
      <c r="AG278" s="86"/>
      <c r="AH278" s="86"/>
      <c r="AI278" s="86"/>
      <c r="AJ278" s="86"/>
    </row>
    <row r="279" spans="1:36" x14ac:dyDescent="0.25">
      <c r="A279" s="274"/>
      <c r="B279" s="87"/>
      <c r="C279" s="87"/>
      <c r="D279" s="87"/>
      <c r="E279" s="87"/>
      <c r="F279" s="87"/>
      <c r="G279" s="87"/>
      <c r="H279" s="87"/>
      <c r="I279" s="87"/>
      <c r="J279" s="87"/>
      <c r="K279" s="87"/>
      <c r="L279" s="87"/>
      <c r="M279" s="87"/>
      <c r="N279" s="87"/>
      <c r="O279" s="87"/>
      <c r="P279" s="87"/>
      <c r="Q279" s="87"/>
      <c r="R279" s="87"/>
      <c r="S279" s="87"/>
      <c r="T279" s="87"/>
      <c r="U279" s="87"/>
      <c r="V279" s="87"/>
      <c r="W279" s="87"/>
      <c r="X279" s="87"/>
      <c r="Y279" s="87"/>
      <c r="Z279" s="87"/>
      <c r="AA279" s="87"/>
      <c r="AB279" s="87"/>
      <c r="AC279" s="87"/>
      <c r="AD279" s="87"/>
      <c r="AE279" s="87"/>
      <c r="AF279" s="87"/>
      <c r="AG279" s="87"/>
      <c r="AH279" s="87"/>
      <c r="AI279" s="87"/>
      <c r="AJ279" s="87"/>
    </row>
    <row r="280" spans="1:36" x14ac:dyDescent="0.25">
      <c r="A280" s="273"/>
      <c r="B280" s="86"/>
      <c r="C280" s="86"/>
      <c r="D280" s="86"/>
      <c r="E280" s="86"/>
      <c r="F280" s="86"/>
      <c r="G280" s="86"/>
      <c r="H280" s="86"/>
      <c r="I280" s="86"/>
      <c r="J280" s="86"/>
      <c r="K280" s="86"/>
      <c r="L280" s="86"/>
      <c r="M280" s="86"/>
      <c r="N280" s="86"/>
      <c r="O280" s="86"/>
      <c r="P280" s="86"/>
      <c r="Q280" s="86"/>
      <c r="R280" s="86"/>
      <c r="S280" s="86"/>
      <c r="T280" s="86"/>
      <c r="U280" s="86"/>
      <c r="V280" s="86"/>
      <c r="W280" s="86"/>
      <c r="X280" s="86"/>
      <c r="Y280" s="86"/>
      <c r="Z280" s="86"/>
      <c r="AA280" s="86"/>
      <c r="AB280" s="86"/>
      <c r="AC280" s="86"/>
      <c r="AD280" s="86"/>
      <c r="AE280" s="86"/>
      <c r="AF280" s="86"/>
      <c r="AG280" s="86"/>
      <c r="AH280" s="86"/>
      <c r="AI280" s="86"/>
      <c r="AJ280" s="86"/>
    </row>
    <row r="281" spans="1:36" x14ac:dyDescent="0.25">
      <c r="A281" s="274"/>
      <c r="B281" s="87"/>
      <c r="C281" s="87"/>
      <c r="D281" s="87"/>
      <c r="E281" s="87"/>
      <c r="F281" s="87"/>
      <c r="G281" s="87"/>
      <c r="H281" s="87"/>
      <c r="I281" s="87"/>
      <c r="J281" s="87"/>
      <c r="K281" s="87"/>
      <c r="L281" s="87"/>
      <c r="M281" s="87"/>
      <c r="N281" s="87"/>
      <c r="O281" s="87"/>
      <c r="P281" s="87"/>
      <c r="Q281" s="87"/>
      <c r="R281" s="87"/>
      <c r="S281" s="87"/>
      <c r="T281" s="87"/>
      <c r="U281" s="87"/>
      <c r="V281" s="87"/>
      <c r="W281" s="87"/>
      <c r="X281" s="87"/>
      <c r="Y281" s="87"/>
      <c r="Z281" s="87"/>
      <c r="AA281" s="87"/>
      <c r="AB281" s="87"/>
      <c r="AC281" s="87"/>
      <c r="AD281" s="87"/>
      <c r="AE281" s="87"/>
      <c r="AF281" s="87"/>
      <c r="AG281" s="87"/>
      <c r="AH281" s="87"/>
      <c r="AI281" s="87"/>
      <c r="AJ281" s="87"/>
    </row>
    <row r="282" spans="1:36" x14ac:dyDescent="0.25">
      <c r="A282" s="273"/>
      <c r="B282" s="86"/>
      <c r="C282" s="86"/>
      <c r="D282" s="86"/>
      <c r="E282" s="86"/>
      <c r="F282" s="86"/>
      <c r="G282" s="86"/>
      <c r="H282" s="86"/>
      <c r="I282" s="86"/>
      <c r="J282" s="86"/>
      <c r="K282" s="86"/>
      <c r="L282" s="86"/>
      <c r="M282" s="86"/>
      <c r="N282" s="86"/>
      <c r="O282" s="86"/>
      <c r="P282" s="86"/>
      <c r="Q282" s="86"/>
      <c r="R282" s="86"/>
      <c r="S282" s="86"/>
      <c r="T282" s="86"/>
      <c r="U282" s="86"/>
      <c r="V282" s="86"/>
      <c r="W282" s="86"/>
      <c r="X282" s="86"/>
      <c r="Y282" s="86"/>
      <c r="Z282" s="86"/>
      <c r="AA282" s="86"/>
      <c r="AB282" s="86"/>
      <c r="AC282" s="86"/>
      <c r="AD282" s="86"/>
      <c r="AE282" s="86"/>
      <c r="AF282" s="86"/>
      <c r="AG282" s="86"/>
      <c r="AH282" s="86"/>
      <c r="AI282" s="86"/>
      <c r="AJ282" s="86"/>
    </row>
    <row r="283" spans="1:36" x14ac:dyDescent="0.25">
      <c r="A283" s="274"/>
      <c r="B283" s="87"/>
      <c r="C283" s="87"/>
      <c r="D283" s="87"/>
      <c r="E283" s="87"/>
      <c r="F283" s="87"/>
      <c r="G283" s="87"/>
      <c r="H283" s="87"/>
      <c r="I283" s="87"/>
      <c r="J283" s="87"/>
      <c r="K283" s="87"/>
      <c r="L283" s="87"/>
      <c r="M283" s="87"/>
      <c r="N283" s="87"/>
      <c r="O283" s="87"/>
      <c r="P283" s="87"/>
      <c r="Q283" s="87"/>
      <c r="R283" s="87"/>
      <c r="S283" s="87"/>
      <c r="T283" s="87"/>
      <c r="U283" s="87"/>
      <c r="V283" s="87"/>
      <c r="W283" s="87"/>
      <c r="X283" s="87"/>
      <c r="Y283" s="87"/>
      <c r="Z283" s="87"/>
      <c r="AA283" s="87"/>
      <c r="AB283" s="87"/>
      <c r="AC283" s="87"/>
      <c r="AD283" s="87"/>
      <c r="AE283" s="87"/>
      <c r="AF283" s="87"/>
      <c r="AG283" s="87"/>
      <c r="AH283" s="87"/>
      <c r="AI283" s="87"/>
      <c r="AJ283" s="87"/>
    </row>
    <row r="284" spans="1:36" x14ac:dyDescent="0.25">
      <c r="A284" s="273"/>
      <c r="B284" s="86"/>
      <c r="C284" s="86"/>
      <c r="D284" s="86"/>
      <c r="E284" s="86"/>
      <c r="F284" s="86"/>
      <c r="G284" s="86"/>
      <c r="H284" s="86"/>
      <c r="I284" s="86"/>
      <c r="J284" s="86"/>
      <c r="K284" s="86"/>
      <c r="L284" s="86"/>
      <c r="M284" s="86"/>
      <c r="N284" s="86"/>
      <c r="O284" s="86"/>
      <c r="P284" s="86"/>
      <c r="Q284" s="86"/>
      <c r="R284" s="86"/>
      <c r="S284" s="86"/>
      <c r="T284" s="86"/>
      <c r="U284" s="86"/>
      <c r="V284" s="86"/>
      <c r="W284" s="86"/>
      <c r="X284" s="86"/>
      <c r="Y284" s="86"/>
      <c r="Z284" s="86"/>
      <c r="AA284" s="86"/>
      <c r="AB284" s="86"/>
      <c r="AC284" s="86"/>
      <c r="AD284" s="86"/>
      <c r="AE284" s="86"/>
      <c r="AF284" s="86"/>
      <c r="AG284" s="86"/>
      <c r="AH284" s="86"/>
      <c r="AI284" s="86"/>
      <c r="AJ284" s="86"/>
    </row>
    <row r="285" spans="1:36" x14ac:dyDescent="0.25">
      <c r="A285" s="274"/>
      <c r="B285" s="87"/>
      <c r="C285" s="87"/>
      <c r="D285" s="87"/>
      <c r="E285" s="87"/>
      <c r="F285" s="87"/>
      <c r="G285" s="87"/>
      <c r="H285" s="87"/>
      <c r="I285" s="87"/>
      <c r="J285" s="87"/>
      <c r="K285" s="87"/>
      <c r="L285" s="87"/>
      <c r="M285" s="87"/>
      <c r="N285" s="87"/>
      <c r="O285" s="87"/>
      <c r="P285" s="87"/>
      <c r="Q285" s="87"/>
      <c r="R285" s="87"/>
      <c r="S285" s="87"/>
      <c r="T285" s="87"/>
      <c r="U285" s="87"/>
      <c r="V285" s="87"/>
      <c r="W285" s="87"/>
      <c r="X285" s="87"/>
      <c r="Y285" s="87"/>
      <c r="Z285" s="87"/>
      <c r="AA285" s="87"/>
      <c r="AB285" s="87"/>
      <c r="AC285" s="87"/>
      <c r="AD285" s="87"/>
      <c r="AE285" s="87"/>
      <c r="AF285" s="87"/>
      <c r="AG285" s="87"/>
      <c r="AH285" s="87"/>
      <c r="AI285" s="87"/>
      <c r="AJ285" s="87"/>
    </row>
    <row r="286" spans="1:36" x14ac:dyDescent="0.25">
      <c r="A286" s="273"/>
      <c r="B286" s="86"/>
      <c r="C286" s="86"/>
      <c r="D286" s="86"/>
      <c r="E286" s="86"/>
      <c r="F286" s="86"/>
      <c r="G286" s="86"/>
      <c r="H286" s="86"/>
      <c r="I286" s="86"/>
      <c r="J286" s="86"/>
      <c r="K286" s="86"/>
      <c r="L286" s="86"/>
      <c r="M286" s="86"/>
      <c r="N286" s="86"/>
      <c r="O286" s="86"/>
      <c r="P286" s="86"/>
      <c r="Q286" s="86"/>
      <c r="R286" s="86"/>
      <c r="S286" s="86"/>
      <c r="T286" s="86"/>
      <c r="U286" s="86"/>
      <c r="V286" s="86"/>
      <c r="W286" s="86"/>
      <c r="X286" s="86"/>
      <c r="Y286" s="86"/>
      <c r="Z286" s="86"/>
      <c r="AA286" s="86"/>
      <c r="AB286" s="86"/>
      <c r="AC286" s="86"/>
      <c r="AD286" s="86"/>
      <c r="AE286" s="86"/>
      <c r="AF286" s="86"/>
      <c r="AG286" s="86"/>
      <c r="AH286" s="86"/>
      <c r="AI286" s="86"/>
      <c r="AJ286" s="86"/>
    </row>
    <row r="287" spans="1:36" x14ac:dyDescent="0.25">
      <c r="A287" s="274"/>
      <c r="B287" s="87"/>
      <c r="C287" s="87"/>
      <c r="D287" s="87"/>
      <c r="E287" s="87"/>
      <c r="F287" s="87"/>
      <c r="G287" s="87"/>
      <c r="H287" s="87"/>
      <c r="I287" s="87"/>
      <c r="J287" s="87"/>
      <c r="K287" s="87"/>
      <c r="L287" s="87"/>
      <c r="M287" s="87"/>
      <c r="N287" s="87"/>
      <c r="O287" s="87"/>
      <c r="P287" s="87"/>
      <c r="Q287" s="87"/>
      <c r="R287" s="87"/>
      <c r="S287" s="87"/>
      <c r="T287" s="87"/>
      <c r="U287" s="87"/>
      <c r="V287" s="87"/>
      <c r="W287" s="87"/>
      <c r="X287" s="87"/>
      <c r="Y287" s="87"/>
      <c r="Z287" s="87"/>
      <c r="AA287" s="87"/>
      <c r="AB287" s="87"/>
      <c r="AC287" s="87"/>
      <c r="AD287" s="87"/>
      <c r="AE287" s="87"/>
      <c r="AF287" s="87"/>
      <c r="AG287" s="87"/>
      <c r="AH287" s="87"/>
      <c r="AI287" s="87"/>
      <c r="AJ287" s="87"/>
    </row>
    <row r="288" spans="1:36" x14ac:dyDescent="0.25">
      <c r="A288" s="273"/>
      <c r="B288" s="86"/>
      <c r="C288" s="86"/>
      <c r="D288" s="86"/>
      <c r="E288" s="86"/>
      <c r="F288" s="86"/>
      <c r="G288" s="86"/>
      <c r="H288" s="86"/>
      <c r="I288" s="86"/>
      <c r="J288" s="86"/>
      <c r="K288" s="86"/>
      <c r="L288" s="86"/>
      <c r="M288" s="86"/>
      <c r="N288" s="86"/>
      <c r="O288" s="86"/>
      <c r="P288" s="86"/>
      <c r="Q288" s="86"/>
      <c r="R288" s="86"/>
      <c r="S288" s="86"/>
      <c r="T288" s="86"/>
      <c r="U288" s="86"/>
      <c r="V288" s="86"/>
      <c r="W288" s="86"/>
      <c r="X288" s="86"/>
      <c r="Y288" s="86"/>
      <c r="Z288" s="86"/>
      <c r="AA288" s="86"/>
      <c r="AB288" s="86"/>
      <c r="AC288" s="86"/>
      <c r="AD288" s="86"/>
      <c r="AE288" s="86"/>
      <c r="AF288" s="86"/>
      <c r="AG288" s="86"/>
      <c r="AH288" s="86"/>
      <c r="AI288" s="86"/>
      <c r="AJ288" s="86"/>
    </row>
    <row r="289" spans="1:36" x14ac:dyDescent="0.25">
      <c r="A289" s="274"/>
      <c r="B289" s="87"/>
      <c r="C289" s="87"/>
      <c r="D289" s="87"/>
      <c r="E289" s="87"/>
      <c r="F289" s="87"/>
      <c r="G289" s="87"/>
      <c r="H289" s="87"/>
      <c r="I289" s="87"/>
      <c r="J289" s="87"/>
      <c r="K289" s="87"/>
      <c r="L289" s="87"/>
      <c r="M289" s="87"/>
      <c r="N289" s="87"/>
      <c r="O289" s="87"/>
      <c r="P289" s="87"/>
      <c r="Q289" s="87"/>
      <c r="R289" s="87"/>
      <c r="S289" s="87"/>
      <c r="T289" s="87"/>
      <c r="U289" s="87"/>
      <c r="V289" s="87"/>
      <c r="W289" s="87"/>
      <c r="X289" s="87"/>
      <c r="Y289" s="87"/>
      <c r="Z289" s="87"/>
      <c r="AA289" s="87"/>
      <c r="AB289" s="87"/>
      <c r="AC289" s="87"/>
      <c r="AD289" s="87"/>
      <c r="AE289" s="87"/>
      <c r="AF289" s="87"/>
      <c r="AG289" s="87"/>
      <c r="AH289" s="87"/>
      <c r="AI289" s="87"/>
      <c r="AJ289" s="87"/>
    </row>
    <row r="290" spans="1:36" x14ac:dyDescent="0.25">
      <c r="A290" s="273"/>
      <c r="B290" s="86"/>
      <c r="C290" s="86"/>
      <c r="D290" s="86"/>
      <c r="E290" s="86"/>
      <c r="F290" s="86"/>
      <c r="G290" s="86"/>
      <c r="H290" s="86"/>
      <c r="I290" s="86"/>
      <c r="J290" s="86"/>
      <c r="K290" s="86"/>
      <c r="L290" s="86"/>
      <c r="M290" s="86"/>
      <c r="N290" s="86"/>
      <c r="O290" s="86"/>
      <c r="P290" s="86"/>
      <c r="Q290" s="86"/>
      <c r="R290" s="86"/>
      <c r="S290" s="86"/>
      <c r="T290" s="86"/>
      <c r="U290" s="86"/>
      <c r="V290" s="86"/>
      <c r="W290" s="86"/>
      <c r="X290" s="86"/>
      <c r="Y290" s="86"/>
      <c r="Z290" s="86"/>
      <c r="AA290" s="86"/>
      <c r="AB290" s="86"/>
      <c r="AC290" s="86"/>
      <c r="AD290" s="86"/>
      <c r="AE290" s="86"/>
      <c r="AF290" s="86"/>
      <c r="AG290" s="86"/>
      <c r="AH290" s="86"/>
      <c r="AI290" s="86"/>
      <c r="AJ290" s="86"/>
    </row>
    <row r="291" spans="1:36" x14ac:dyDescent="0.25">
      <c r="A291" s="274"/>
      <c r="B291" s="87"/>
      <c r="C291" s="87"/>
      <c r="D291" s="87"/>
      <c r="E291" s="87"/>
      <c r="F291" s="87"/>
      <c r="G291" s="87"/>
      <c r="H291" s="87"/>
      <c r="I291" s="87"/>
      <c r="J291" s="87"/>
      <c r="K291" s="87"/>
      <c r="L291" s="87"/>
      <c r="M291" s="87"/>
      <c r="N291" s="87"/>
      <c r="O291" s="87"/>
      <c r="P291" s="87"/>
      <c r="Q291" s="87"/>
      <c r="R291" s="87"/>
      <c r="S291" s="87"/>
      <c r="T291" s="87"/>
      <c r="U291" s="87"/>
      <c r="V291" s="87"/>
      <c r="W291" s="87"/>
      <c r="X291" s="87"/>
      <c r="Y291" s="87"/>
      <c r="Z291" s="87"/>
      <c r="AA291" s="87"/>
      <c r="AB291" s="87"/>
      <c r="AC291" s="87"/>
      <c r="AD291" s="87"/>
      <c r="AE291" s="87"/>
      <c r="AF291" s="87"/>
      <c r="AG291" s="87"/>
      <c r="AH291" s="87"/>
      <c r="AI291" s="87"/>
      <c r="AJ291" s="87"/>
    </row>
    <row r="292" spans="1:36" x14ac:dyDescent="0.25">
      <c r="A292" s="273"/>
      <c r="B292" s="86"/>
      <c r="C292" s="86"/>
      <c r="D292" s="86"/>
      <c r="E292" s="86"/>
      <c r="F292" s="86"/>
      <c r="G292" s="86"/>
      <c r="H292" s="86"/>
      <c r="I292" s="86"/>
      <c r="J292" s="86"/>
      <c r="K292" s="86"/>
      <c r="L292" s="86"/>
      <c r="M292" s="86"/>
      <c r="N292" s="86"/>
      <c r="O292" s="86"/>
      <c r="P292" s="86"/>
      <c r="Q292" s="86"/>
      <c r="R292" s="86"/>
      <c r="S292" s="86"/>
      <c r="T292" s="86"/>
      <c r="U292" s="86"/>
      <c r="V292" s="86"/>
      <c r="W292" s="86"/>
      <c r="X292" s="86"/>
      <c r="Y292" s="86"/>
      <c r="Z292" s="86"/>
      <c r="AA292" s="86"/>
      <c r="AB292" s="86"/>
      <c r="AC292" s="86"/>
      <c r="AD292" s="86"/>
      <c r="AE292" s="86"/>
      <c r="AF292" s="86"/>
      <c r="AG292" s="86"/>
      <c r="AH292" s="86"/>
      <c r="AI292" s="86"/>
      <c r="AJ292" s="86"/>
    </row>
    <row r="293" spans="1:36" x14ac:dyDescent="0.25">
      <c r="A293" s="274"/>
      <c r="B293" s="87"/>
      <c r="C293" s="87"/>
      <c r="D293" s="87"/>
      <c r="E293" s="87"/>
      <c r="F293" s="87"/>
      <c r="G293" s="87"/>
      <c r="H293" s="87"/>
      <c r="I293" s="87"/>
      <c r="J293" s="87"/>
      <c r="K293" s="87"/>
      <c r="L293" s="87"/>
      <c r="M293" s="87"/>
      <c r="N293" s="87"/>
      <c r="O293" s="87"/>
      <c r="P293" s="87"/>
      <c r="Q293" s="87"/>
      <c r="R293" s="87"/>
      <c r="S293" s="87"/>
      <c r="T293" s="87"/>
      <c r="U293" s="87"/>
      <c r="V293" s="87"/>
      <c r="W293" s="87"/>
      <c r="X293" s="87"/>
      <c r="Y293" s="87"/>
      <c r="Z293" s="87"/>
      <c r="AA293" s="87"/>
      <c r="AB293" s="87"/>
      <c r="AC293" s="87"/>
      <c r="AD293" s="87"/>
      <c r="AE293" s="87"/>
      <c r="AF293" s="87"/>
      <c r="AG293" s="87"/>
      <c r="AH293" s="87"/>
      <c r="AI293" s="87"/>
      <c r="AJ293" s="87"/>
    </row>
    <row r="294" spans="1:36" x14ac:dyDescent="0.25">
      <c r="A294" s="273"/>
      <c r="B294" s="86"/>
      <c r="C294" s="86"/>
      <c r="D294" s="86"/>
      <c r="E294" s="86"/>
      <c r="F294" s="86"/>
      <c r="G294" s="86"/>
      <c r="H294" s="86"/>
      <c r="I294" s="86"/>
      <c r="J294" s="86"/>
      <c r="K294" s="86"/>
      <c r="L294" s="86"/>
      <c r="M294" s="86"/>
      <c r="N294" s="86"/>
      <c r="O294" s="86"/>
      <c r="P294" s="86"/>
      <c r="Q294" s="86"/>
      <c r="R294" s="86"/>
      <c r="S294" s="86"/>
      <c r="T294" s="86"/>
      <c r="U294" s="86"/>
      <c r="V294" s="86"/>
      <c r="W294" s="86"/>
      <c r="X294" s="86"/>
      <c r="Y294" s="86"/>
      <c r="Z294" s="86"/>
      <c r="AA294" s="86"/>
      <c r="AB294" s="86"/>
      <c r="AC294" s="86"/>
      <c r="AD294" s="86"/>
      <c r="AE294" s="86"/>
      <c r="AF294" s="86"/>
      <c r="AG294" s="86"/>
      <c r="AH294" s="86"/>
      <c r="AI294" s="86"/>
      <c r="AJ294" s="86"/>
    </row>
    <row r="295" spans="1:36" x14ac:dyDescent="0.25">
      <c r="A295" s="274"/>
      <c r="B295" s="87"/>
      <c r="C295" s="87"/>
      <c r="D295" s="87"/>
      <c r="E295" s="87"/>
      <c r="F295" s="87"/>
      <c r="G295" s="87"/>
      <c r="H295" s="87"/>
      <c r="I295" s="87"/>
      <c r="J295" s="87"/>
      <c r="K295" s="87"/>
      <c r="L295" s="87"/>
      <c r="M295" s="87"/>
      <c r="N295" s="87"/>
      <c r="O295" s="87"/>
      <c r="P295" s="87"/>
      <c r="Q295" s="87"/>
      <c r="R295" s="87"/>
      <c r="S295" s="87"/>
      <c r="T295" s="87"/>
      <c r="U295" s="87"/>
      <c r="V295" s="87"/>
      <c r="W295" s="87"/>
      <c r="X295" s="87"/>
      <c r="Y295" s="87"/>
      <c r="Z295" s="87"/>
      <c r="AA295" s="87"/>
      <c r="AB295" s="87"/>
      <c r="AC295" s="87"/>
      <c r="AD295" s="87"/>
      <c r="AE295" s="87"/>
      <c r="AF295" s="87"/>
      <c r="AG295" s="87"/>
      <c r="AH295" s="87"/>
      <c r="AI295" s="87"/>
      <c r="AJ295" s="87"/>
    </row>
    <row r="296" spans="1:36" x14ac:dyDescent="0.25">
      <c r="A296" s="273"/>
      <c r="B296" s="86"/>
      <c r="C296" s="86"/>
      <c r="D296" s="86"/>
      <c r="E296" s="86"/>
      <c r="F296" s="86"/>
      <c r="G296" s="86"/>
      <c r="H296" s="86"/>
      <c r="I296" s="86"/>
      <c r="J296" s="86"/>
      <c r="K296" s="86"/>
      <c r="L296" s="86"/>
      <c r="M296" s="86"/>
      <c r="N296" s="86"/>
      <c r="O296" s="86"/>
      <c r="P296" s="86"/>
      <c r="Q296" s="86"/>
      <c r="R296" s="86"/>
      <c r="S296" s="86"/>
      <c r="T296" s="86"/>
      <c r="U296" s="86"/>
      <c r="V296" s="86"/>
      <c r="W296" s="86"/>
      <c r="X296" s="86"/>
      <c r="Y296" s="86"/>
      <c r="Z296" s="86"/>
      <c r="AA296" s="86"/>
      <c r="AB296" s="86"/>
      <c r="AC296" s="86"/>
      <c r="AD296" s="86"/>
      <c r="AE296" s="86"/>
      <c r="AF296" s="86"/>
      <c r="AG296" s="86"/>
      <c r="AH296" s="86"/>
      <c r="AI296" s="86"/>
      <c r="AJ296" s="86"/>
    </row>
    <row r="297" spans="1:36" x14ac:dyDescent="0.25">
      <c r="A297" s="274"/>
      <c r="B297" s="87"/>
      <c r="C297" s="87"/>
      <c r="D297" s="87"/>
      <c r="E297" s="87"/>
      <c r="F297" s="87"/>
      <c r="G297" s="87"/>
      <c r="H297" s="87"/>
      <c r="I297" s="87"/>
      <c r="J297" s="87"/>
      <c r="K297" s="87"/>
      <c r="L297" s="87"/>
      <c r="M297" s="87"/>
      <c r="N297" s="87"/>
      <c r="O297" s="87"/>
      <c r="P297" s="87"/>
      <c r="Q297" s="87"/>
      <c r="R297" s="87"/>
      <c r="S297" s="87"/>
      <c r="T297" s="87"/>
      <c r="U297" s="87"/>
      <c r="V297" s="87"/>
      <c r="W297" s="87"/>
      <c r="X297" s="87"/>
      <c r="Y297" s="87"/>
      <c r="Z297" s="87"/>
      <c r="AA297" s="87"/>
      <c r="AB297" s="87"/>
      <c r="AC297" s="87"/>
      <c r="AD297" s="87"/>
      <c r="AE297" s="87"/>
      <c r="AF297" s="87"/>
      <c r="AG297" s="87"/>
      <c r="AH297" s="87"/>
      <c r="AI297" s="87"/>
      <c r="AJ297" s="87"/>
    </row>
    <row r="298" spans="1:36" x14ac:dyDescent="0.25">
      <c r="A298" s="273"/>
      <c r="B298" s="86"/>
      <c r="C298" s="86"/>
      <c r="D298" s="86"/>
      <c r="E298" s="86"/>
      <c r="F298" s="86"/>
      <c r="G298" s="86"/>
      <c r="H298" s="86"/>
      <c r="I298" s="86"/>
      <c r="J298" s="86"/>
      <c r="K298" s="86"/>
      <c r="L298" s="86"/>
      <c r="M298" s="86"/>
      <c r="N298" s="86"/>
      <c r="O298" s="86"/>
      <c r="P298" s="86"/>
      <c r="Q298" s="86"/>
      <c r="R298" s="86"/>
      <c r="S298" s="86"/>
      <c r="T298" s="86"/>
      <c r="U298" s="86"/>
      <c r="V298" s="86"/>
      <c r="W298" s="86"/>
      <c r="X298" s="86"/>
      <c r="Y298" s="86"/>
      <c r="Z298" s="86"/>
      <c r="AA298" s="86"/>
      <c r="AB298" s="86"/>
      <c r="AC298" s="86"/>
      <c r="AD298" s="86"/>
      <c r="AE298" s="86"/>
      <c r="AF298" s="86"/>
      <c r="AG298" s="86"/>
      <c r="AH298" s="86"/>
      <c r="AI298" s="86"/>
      <c r="AJ298" s="86"/>
    </row>
    <row r="299" spans="1:36" x14ac:dyDescent="0.25">
      <c r="A299" s="274"/>
      <c r="B299" s="87"/>
      <c r="C299" s="87"/>
      <c r="D299" s="87"/>
      <c r="E299" s="87"/>
      <c r="F299" s="87"/>
      <c r="G299" s="87"/>
      <c r="H299" s="87"/>
      <c r="I299" s="87"/>
      <c r="J299" s="87"/>
      <c r="K299" s="87"/>
      <c r="L299" s="87"/>
      <c r="M299" s="87"/>
      <c r="N299" s="87"/>
      <c r="O299" s="87"/>
      <c r="P299" s="87"/>
      <c r="Q299" s="87"/>
      <c r="R299" s="87"/>
      <c r="S299" s="87"/>
      <c r="T299" s="87"/>
      <c r="U299" s="87"/>
      <c r="V299" s="87"/>
      <c r="W299" s="87"/>
      <c r="X299" s="87"/>
      <c r="Y299" s="87"/>
      <c r="Z299" s="87"/>
      <c r="AA299" s="87"/>
      <c r="AB299" s="87"/>
      <c r="AC299" s="87"/>
      <c r="AD299" s="87"/>
      <c r="AE299" s="87"/>
      <c r="AF299" s="87"/>
      <c r="AG299" s="87"/>
      <c r="AH299" s="87"/>
      <c r="AI299" s="87"/>
      <c r="AJ299" s="87"/>
    </row>
    <row r="300" spans="1:36" x14ac:dyDescent="0.25">
      <c r="A300" s="273"/>
      <c r="B300" s="86"/>
      <c r="C300" s="86"/>
      <c r="D300" s="86"/>
      <c r="E300" s="86"/>
      <c r="F300" s="86"/>
      <c r="G300" s="86"/>
      <c r="H300" s="86"/>
      <c r="I300" s="86"/>
      <c r="J300" s="86"/>
      <c r="K300" s="86"/>
      <c r="L300" s="86"/>
      <c r="M300" s="86"/>
      <c r="N300" s="86"/>
      <c r="O300" s="86"/>
      <c r="P300" s="86"/>
      <c r="Q300" s="86"/>
      <c r="R300" s="86"/>
      <c r="S300" s="86"/>
      <c r="T300" s="86"/>
      <c r="U300" s="86"/>
      <c r="V300" s="86"/>
      <c r="W300" s="86"/>
      <c r="X300" s="86"/>
      <c r="Y300" s="86"/>
      <c r="Z300" s="86"/>
      <c r="AA300" s="86"/>
      <c r="AB300" s="86"/>
      <c r="AC300" s="86"/>
      <c r="AD300" s="86"/>
      <c r="AE300" s="86"/>
      <c r="AF300" s="86"/>
      <c r="AG300" s="86"/>
      <c r="AH300" s="86"/>
      <c r="AI300" s="86"/>
      <c r="AJ300" s="86"/>
    </row>
    <row r="301" spans="1:36" x14ac:dyDescent="0.25">
      <c r="A301" s="274"/>
      <c r="B301" s="87"/>
      <c r="C301" s="87"/>
      <c r="D301" s="87"/>
      <c r="E301" s="87"/>
      <c r="F301" s="87"/>
      <c r="G301" s="87"/>
      <c r="H301" s="87"/>
      <c r="I301" s="87"/>
      <c r="J301" s="87"/>
      <c r="K301" s="87"/>
      <c r="L301" s="87"/>
      <c r="M301" s="87"/>
      <c r="N301" s="87"/>
      <c r="O301" s="87"/>
      <c r="P301" s="87"/>
      <c r="Q301" s="87"/>
      <c r="R301" s="87"/>
      <c r="S301" s="87"/>
      <c r="T301" s="87"/>
      <c r="U301" s="87"/>
      <c r="V301" s="87"/>
      <c r="W301" s="87"/>
      <c r="X301" s="87"/>
      <c r="Y301" s="87"/>
      <c r="Z301" s="87"/>
      <c r="AA301" s="87"/>
      <c r="AB301" s="87"/>
      <c r="AC301" s="87"/>
      <c r="AD301" s="87"/>
      <c r="AE301" s="87"/>
      <c r="AF301" s="87"/>
      <c r="AG301" s="87"/>
      <c r="AH301" s="87"/>
      <c r="AI301" s="87"/>
      <c r="AJ301" s="87"/>
    </row>
    <row r="302" spans="1:36" x14ac:dyDescent="0.25">
      <c r="A302" s="273"/>
      <c r="B302" s="86"/>
      <c r="C302" s="86"/>
      <c r="D302" s="86"/>
      <c r="E302" s="86"/>
      <c r="F302" s="86"/>
      <c r="G302" s="86"/>
      <c r="H302" s="86"/>
      <c r="I302" s="86"/>
      <c r="J302" s="86"/>
      <c r="K302" s="86"/>
      <c r="L302" s="86"/>
      <c r="M302" s="86"/>
      <c r="N302" s="86"/>
      <c r="O302" s="86"/>
      <c r="P302" s="86"/>
      <c r="Q302" s="86"/>
      <c r="R302" s="86"/>
      <c r="S302" s="86"/>
      <c r="T302" s="86"/>
      <c r="U302" s="86"/>
      <c r="V302" s="86"/>
      <c r="W302" s="86"/>
      <c r="X302" s="86"/>
      <c r="Y302" s="86"/>
      <c r="Z302" s="86"/>
      <c r="AA302" s="86"/>
      <c r="AB302" s="86"/>
      <c r="AC302" s="86"/>
      <c r="AD302" s="86"/>
      <c r="AE302" s="86"/>
      <c r="AF302" s="86"/>
      <c r="AG302" s="86"/>
      <c r="AH302" s="86"/>
      <c r="AI302" s="86"/>
      <c r="AJ302" s="86"/>
    </row>
    <row r="303" spans="1:36" x14ac:dyDescent="0.25">
      <c r="A303" s="274"/>
      <c r="B303" s="87"/>
      <c r="C303" s="87"/>
      <c r="D303" s="87"/>
      <c r="E303" s="87"/>
      <c r="F303" s="87"/>
      <c r="G303" s="87"/>
      <c r="H303" s="87"/>
      <c r="I303" s="87"/>
      <c r="J303" s="87"/>
      <c r="K303" s="87"/>
      <c r="L303" s="87"/>
      <c r="M303" s="87"/>
      <c r="N303" s="87"/>
      <c r="O303" s="87"/>
      <c r="P303" s="87"/>
      <c r="Q303" s="87"/>
      <c r="R303" s="87"/>
      <c r="S303" s="87"/>
      <c r="T303" s="87"/>
      <c r="U303" s="87"/>
      <c r="V303" s="87"/>
      <c r="W303" s="87"/>
      <c r="X303" s="87"/>
      <c r="Y303" s="87"/>
      <c r="Z303" s="87"/>
      <c r="AA303" s="87"/>
      <c r="AB303" s="87"/>
      <c r="AC303" s="87"/>
      <c r="AD303" s="87"/>
      <c r="AE303" s="87"/>
      <c r="AF303" s="87"/>
      <c r="AG303" s="87"/>
      <c r="AH303" s="87"/>
      <c r="AI303" s="87"/>
      <c r="AJ303" s="87"/>
    </row>
    <row r="304" spans="1:36" x14ac:dyDescent="0.25">
      <c r="A304" s="273"/>
      <c r="B304" s="86"/>
      <c r="C304" s="86"/>
      <c r="D304" s="86"/>
      <c r="E304" s="86"/>
      <c r="F304" s="86"/>
      <c r="G304" s="86"/>
      <c r="H304" s="86"/>
      <c r="I304" s="86"/>
      <c r="J304" s="86"/>
      <c r="K304" s="86"/>
      <c r="L304" s="86"/>
      <c r="M304" s="86"/>
      <c r="N304" s="86"/>
      <c r="O304" s="86"/>
      <c r="P304" s="86"/>
      <c r="Q304" s="86"/>
      <c r="R304" s="86"/>
      <c r="S304" s="86"/>
      <c r="T304" s="86"/>
      <c r="U304" s="86"/>
      <c r="V304" s="86"/>
      <c r="W304" s="86"/>
      <c r="X304" s="86"/>
      <c r="Y304" s="86"/>
      <c r="Z304" s="86"/>
      <c r="AA304" s="86"/>
      <c r="AB304" s="86"/>
      <c r="AC304" s="86"/>
      <c r="AD304" s="86"/>
      <c r="AE304" s="86"/>
      <c r="AF304" s="86"/>
      <c r="AG304" s="86"/>
      <c r="AH304" s="86"/>
      <c r="AI304" s="86"/>
      <c r="AJ304" s="86"/>
    </row>
    <row r="305" spans="1:36" x14ac:dyDescent="0.25">
      <c r="A305" s="274"/>
      <c r="B305" s="87"/>
      <c r="C305" s="87"/>
      <c r="D305" s="87"/>
      <c r="E305" s="87"/>
      <c r="F305" s="87"/>
      <c r="G305" s="87"/>
      <c r="H305" s="87"/>
      <c r="I305" s="87"/>
      <c r="J305" s="87"/>
      <c r="K305" s="87"/>
      <c r="L305" s="87"/>
      <c r="M305" s="87"/>
      <c r="N305" s="87"/>
      <c r="O305" s="87"/>
      <c r="P305" s="87"/>
      <c r="Q305" s="87"/>
      <c r="R305" s="87"/>
      <c r="S305" s="87"/>
      <c r="T305" s="87"/>
      <c r="U305" s="87"/>
      <c r="V305" s="87"/>
      <c r="W305" s="87"/>
      <c r="X305" s="87"/>
      <c r="Y305" s="87"/>
      <c r="Z305" s="87"/>
      <c r="AA305" s="87"/>
      <c r="AB305" s="87"/>
      <c r="AC305" s="87"/>
      <c r="AD305" s="87"/>
      <c r="AE305" s="87"/>
      <c r="AF305" s="87"/>
      <c r="AG305" s="87"/>
      <c r="AH305" s="87"/>
      <c r="AI305" s="87"/>
      <c r="AJ305" s="87"/>
    </row>
    <row r="306" spans="1:36" x14ac:dyDescent="0.25">
      <c r="A306" s="273"/>
      <c r="B306" s="86"/>
      <c r="C306" s="86"/>
      <c r="D306" s="86"/>
      <c r="E306" s="86"/>
      <c r="F306" s="86"/>
      <c r="G306" s="86"/>
      <c r="H306" s="86"/>
      <c r="I306" s="86"/>
      <c r="J306" s="86"/>
      <c r="K306" s="86"/>
      <c r="L306" s="86"/>
      <c r="M306" s="86"/>
      <c r="N306" s="86"/>
      <c r="O306" s="86"/>
      <c r="P306" s="86"/>
      <c r="Q306" s="86"/>
      <c r="R306" s="86"/>
      <c r="S306" s="86"/>
      <c r="T306" s="86"/>
      <c r="U306" s="86"/>
      <c r="V306" s="86"/>
      <c r="W306" s="86"/>
      <c r="X306" s="86"/>
      <c r="Y306" s="86"/>
      <c r="Z306" s="86"/>
      <c r="AA306" s="86"/>
      <c r="AB306" s="86"/>
      <c r="AC306" s="86"/>
      <c r="AD306" s="86"/>
      <c r="AE306" s="86"/>
      <c r="AF306" s="86"/>
      <c r="AG306" s="86"/>
      <c r="AH306" s="86"/>
      <c r="AI306" s="86"/>
      <c r="AJ306" s="86"/>
    </row>
    <row r="307" spans="1:36" x14ac:dyDescent="0.25">
      <c r="A307" s="274"/>
      <c r="B307" s="87"/>
      <c r="C307" s="87"/>
      <c r="D307" s="87"/>
      <c r="E307" s="87"/>
      <c r="F307" s="87"/>
      <c r="G307" s="87"/>
      <c r="H307" s="87"/>
      <c r="I307" s="87"/>
      <c r="J307" s="87"/>
      <c r="K307" s="87"/>
      <c r="L307" s="87"/>
      <c r="M307" s="87"/>
      <c r="N307" s="87"/>
      <c r="O307" s="87"/>
      <c r="P307" s="87"/>
      <c r="Q307" s="87"/>
      <c r="R307" s="87"/>
      <c r="S307" s="87"/>
      <c r="T307" s="87"/>
      <c r="U307" s="87"/>
      <c r="V307" s="87"/>
      <c r="W307" s="87"/>
      <c r="X307" s="87"/>
      <c r="Y307" s="87"/>
      <c r="Z307" s="87"/>
      <c r="AA307" s="87"/>
      <c r="AB307" s="87"/>
      <c r="AC307" s="87"/>
      <c r="AD307" s="87"/>
      <c r="AE307" s="87"/>
      <c r="AF307" s="87"/>
      <c r="AG307" s="87"/>
      <c r="AH307" s="87"/>
      <c r="AI307" s="87"/>
      <c r="AJ307" s="87"/>
    </row>
    <row r="308" spans="1:36" x14ac:dyDescent="0.25">
      <c r="A308" s="273"/>
      <c r="B308" s="86"/>
      <c r="C308" s="86"/>
      <c r="D308" s="86"/>
      <c r="E308" s="86"/>
      <c r="F308" s="86"/>
      <c r="G308" s="86"/>
      <c r="H308" s="86"/>
      <c r="I308" s="86"/>
      <c r="J308" s="86"/>
      <c r="K308" s="86"/>
      <c r="L308" s="86"/>
      <c r="M308" s="86"/>
      <c r="N308" s="86"/>
      <c r="O308" s="86"/>
      <c r="P308" s="86"/>
      <c r="Q308" s="86"/>
      <c r="R308" s="86"/>
      <c r="S308" s="86"/>
      <c r="T308" s="86"/>
      <c r="U308" s="86"/>
      <c r="V308" s="86"/>
      <c r="W308" s="86"/>
      <c r="X308" s="86"/>
      <c r="Y308" s="86"/>
      <c r="Z308" s="86"/>
      <c r="AA308" s="86"/>
      <c r="AB308" s="86"/>
      <c r="AC308" s="86"/>
      <c r="AD308" s="86"/>
      <c r="AE308" s="86"/>
      <c r="AF308" s="86"/>
      <c r="AG308" s="86"/>
      <c r="AH308" s="86"/>
      <c r="AI308" s="86"/>
      <c r="AJ308" s="86"/>
    </row>
    <row r="309" spans="1:36" x14ac:dyDescent="0.25">
      <c r="A309" s="274"/>
      <c r="B309" s="87"/>
      <c r="C309" s="87"/>
      <c r="D309" s="87"/>
      <c r="E309" s="87"/>
      <c r="F309" s="87"/>
      <c r="G309" s="87"/>
      <c r="H309" s="87"/>
      <c r="I309" s="87"/>
      <c r="J309" s="87"/>
      <c r="K309" s="87"/>
      <c r="L309" s="87"/>
      <c r="M309" s="87"/>
      <c r="N309" s="87"/>
      <c r="O309" s="87"/>
      <c r="P309" s="87"/>
      <c r="Q309" s="87"/>
      <c r="R309" s="87"/>
      <c r="S309" s="87"/>
      <c r="T309" s="87"/>
      <c r="U309" s="87"/>
      <c r="V309" s="87"/>
      <c r="W309" s="87"/>
      <c r="X309" s="87"/>
      <c r="Y309" s="87"/>
      <c r="Z309" s="87"/>
      <c r="AA309" s="87"/>
      <c r="AB309" s="87"/>
      <c r="AC309" s="87"/>
      <c r="AD309" s="87"/>
      <c r="AE309" s="87"/>
      <c r="AF309" s="87"/>
      <c r="AG309" s="87"/>
      <c r="AH309" s="87"/>
      <c r="AI309" s="87"/>
      <c r="AJ309" s="87"/>
    </row>
    <row r="310" spans="1:36" x14ac:dyDescent="0.25">
      <c r="A310" s="273"/>
      <c r="B310" s="86"/>
      <c r="C310" s="86"/>
      <c r="D310" s="86"/>
      <c r="E310" s="86"/>
      <c r="F310" s="86"/>
      <c r="G310" s="86"/>
      <c r="H310" s="86"/>
      <c r="I310" s="86"/>
      <c r="J310" s="86"/>
      <c r="K310" s="86"/>
      <c r="L310" s="86"/>
      <c r="M310" s="86"/>
      <c r="N310" s="86"/>
      <c r="O310" s="86"/>
      <c r="P310" s="86"/>
      <c r="Q310" s="86"/>
      <c r="R310" s="86"/>
      <c r="S310" s="86"/>
      <c r="T310" s="86"/>
      <c r="U310" s="86"/>
      <c r="V310" s="86"/>
      <c r="W310" s="86"/>
      <c r="X310" s="86"/>
      <c r="Y310" s="86"/>
      <c r="Z310" s="86"/>
      <c r="AA310" s="86"/>
      <c r="AB310" s="86"/>
      <c r="AC310" s="86"/>
      <c r="AD310" s="86"/>
      <c r="AE310" s="86"/>
      <c r="AF310" s="86"/>
      <c r="AG310" s="86"/>
      <c r="AH310" s="86"/>
      <c r="AI310" s="86"/>
      <c r="AJ310" s="86"/>
    </row>
    <row r="311" spans="1:36" x14ac:dyDescent="0.25">
      <c r="A311" s="274"/>
      <c r="B311" s="87"/>
      <c r="C311" s="87"/>
      <c r="D311" s="87"/>
      <c r="E311" s="87"/>
      <c r="F311" s="87"/>
      <c r="G311" s="87"/>
      <c r="H311" s="87"/>
      <c r="I311" s="87"/>
      <c r="J311" s="87"/>
      <c r="K311" s="87"/>
      <c r="L311" s="87"/>
      <c r="M311" s="87"/>
      <c r="N311" s="87"/>
      <c r="O311" s="87"/>
      <c r="P311" s="87"/>
      <c r="Q311" s="87"/>
      <c r="R311" s="87"/>
      <c r="S311" s="87"/>
      <c r="T311" s="87"/>
      <c r="U311" s="87"/>
      <c r="V311" s="87"/>
      <c r="W311" s="87"/>
      <c r="X311" s="87"/>
      <c r="Y311" s="87"/>
      <c r="Z311" s="87"/>
      <c r="AA311" s="87"/>
      <c r="AB311" s="87"/>
      <c r="AC311" s="87"/>
      <c r="AD311" s="87"/>
      <c r="AE311" s="87"/>
      <c r="AF311" s="87"/>
      <c r="AG311" s="87"/>
      <c r="AH311" s="87"/>
      <c r="AI311" s="87"/>
      <c r="AJ311" s="87"/>
    </row>
    <row r="312" spans="1:36" x14ac:dyDescent="0.25">
      <c r="A312" s="273"/>
      <c r="B312" s="86"/>
      <c r="C312" s="86"/>
      <c r="D312" s="86"/>
      <c r="E312" s="86"/>
      <c r="F312" s="86"/>
      <c r="G312" s="86"/>
      <c r="H312" s="86"/>
      <c r="I312" s="86"/>
      <c r="J312" s="86"/>
      <c r="K312" s="86"/>
      <c r="L312" s="86"/>
      <c r="M312" s="86"/>
      <c r="N312" s="86"/>
      <c r="O312" s="86"/>
      <c r="P312" s="86"/>
      <c r="Q312" s="86"/>
      <c r="R312" s="86"/>
      <c r="S312" s="86"/>
      <c r="T312" s="86"/>
      <c r="U312" s="86"/>
      <c r="V312" s="86"/>
      <c r="W312" s="86"/>
      <c r="X312" s="86"/>
      <c r="Y312" s="86"/>
      <c r="Z312" s="86"/>
      <c r="AA312" s="86"/>
      <c r="AB312" s="86"/>
      <c r="AC312" s="86"/>
      <c r="AD312" s="86"/>
      <c r="AE312" s="86"/>
      <c r="AF312" s="86"/>
      <c r="AG312" s="86"/>
      <c r="AH312" s="86"/>
      <c r="AI312" s="86"/>
      <c r="AJ312" s="86"/>
    </row>
    <row r="313" spans="1:36" x14ac:dyDescent="0.25">
      <c r="A313" s="274"/>
      <c r="B313" s="87"/>
      <c r="C313" s="87"/>
      <c r="D313" s="87"/>
      <c r="E313" s="87"/>
      <c r="F313" s="87"/>
      <c r="G313" s="87"/>
      <c r="H313" s="87"/>
      <c r="I313" s="87"/>
      <c r="J313" s="87"/>
      <c r="K313" s="87"/>
      <c r="L313" s="87"/>
      <c r="M313" s="87"/>
      <c r="N313" s="87"/>
      <c r="O313" s="87"/>
      <c r="P313" s="87"/>
      <c r="Q313" s="87"/>
      <c r="R313" s="87"/>
      <c r="S313" s="87"/>
      <c r="T313" s="87"/>
      <c r="U313" s="87"/>
      <c r="V313" s="87"/>
      <c r="W313" s="87"/>
      <c r="X313" s="87"/>
      <c r="Y313" s="87"/>
      <c r="Z313" s="87"/>
      <c r="AA313" s="87"/>
      <c r="AB313" s="87"/>
      <c r="AC313" s="87"/>
      <c r="AD313" s="87"/>
      <c r="AE313" s="87"/>
      <c r="AF313" s="87"/>
      <c r="AG313" s="87"/>
      <c r="AH313" s="87"/>
      <c r="AI313" s="87"/>
      <c r="AJ313" s="87"/>
    </row>
    <row r="314" spans="1:36" x14ac:dyDescent="0.25">
      <c r="A314" s="273"/>
      <c r="B314" s="86"/>
      <c r="C314" s="86"/>
      <c r="D314" s="86"/>
      <c r="E314" s="86"/>
      <c r="F314" s="86"/>
      <c r="G314" s="86"/>
      <c r="H314" s="86"/>
      <c r="I314" s="86"/>
      <c r="J314" s="86"/>
      <c r="K314" s="86"/>
      <c r="L314" s="86"/>
      <c r="M314" s="86"/>
      <c r="N314" s="86"/>
      <c r="O314" s="86"/>
      <c r="P314" s="86"/>
      <c r="Q314" s="86"/>
      <c r="R314" s="86"/>
      <c r="S314" s="86"/>
      <c r="T314" s="86"/>
      <c r="U314" s="86"/>
      <c r="V314" s="86"/>
      <c r="W314" s="86"/>
      <c r="X314" s="86"/>
      <c r="Y314" s="86"/>
      <c r="Z314" s="86"/>
      <c r="AA314" s="86"/>
      <c r="AB314" s="86"/>
      <c r="AC314" s="86"/>
      <c r="AD314" s="86"/>
      <c r="AE314" s="86"/>
      <c r="AF314" s="86"/>
      <c r="AG314" s="86"/>
      <c r="AH314" s="86"/>
      <c r="AI314" s="86"/>
      <c r="AJ314" s="86"/>
    </row>
    <row r="315" spans="1:36" x14ac:dyDescent="0.25">
      <c r="A315" s="274"/>
      <c r="B315" s="87"/>
      <c r="C315" s="87"/>
      <c r="D315" s="87"/>
      <c r="E315" s="87"/>
      <c r="F315" s="87"/>
      <c r="G315" s="87"/>
      <c r="H315" s="87"/>
      <c r="I315" s="87"/>
      <c r="J315" s="87"/>
      <c r="K315" s="87"/>
      <c r="L315" s="87"/>
      <c r="M315" s="87"/>
      <c r="N315" s="87"/>
      <c r="O315" s="87"/>
      <c r="P315" s="87"/>
      <c r="Q315" s="87"/>
      <c r="R315" s="87"/>
      <c r="S315" s="87"/>
      <c r="T315" s="87"/>
      <c r="U315" s="87"/>
      <c r="V315" s="87"/>
      <c r="W315" s="87"/>
      <c r="X315" s="87"/>
      <c r="Y315" s="87"/>
      <c r="Z315" s="87"/>
      <c r="AA315" s="87"/>
      <c r="AB315" s="87"/>
      <c r="AC315" s="87"/>
      <c r="AD315" s="87"/>
      <c r="AE315" s="87"/>
      <c r="AF315" s="87"/>
      <c r="AG315" s="87"/>
      <c r="AH315" s="87"/>
      <c r="AI315" s="87"/>
      <c r="AJ315" s="87"/>
    </row>
    <row r="316" spans="1:36" x14ac:dyDescent="0.25">
      <c r="A316" s="273"/>
      <c r="B316" s="86"/>
      <c r="C316" s="86"/>
      <c r="D316" s="86"/>
      <c r="E316" s="86"/>
      <c r="F316" s="86"/>
      <c r="G316" s="86"/>
      <c r="H316" s="86"/>
      <c r="I316" s="86"/>
      <c r="J316" s="86"/>
      <c r="K316" s="86"/>
      <c r="L316" s="86"/>
      <c r="M316" s="86"/>
      <c r="N316" s="86"/>
      <c r="O316" s="86"/>
      <c r="P316" s="86"/>
      <c r="Q316" s="86"/>
      <c r="R316" s="86"/>
      <c r="S316" s="86"/>
      <c r="T316" s="86"/>
      <c r="U316" s="86"/>
      <c r="V316" s="86"/>
      <c r="W316" s="86"/>
      <c r="X316" s="86"/>
      <c r="Y316" s="86"/>
      <c r="Z316" s="86"/>
      <c r="AA316" s="86"/>
      <c r="AB316" s="86"/>
      <c r="AC316" s="86"/>
      <c r="AD316" s="86"/>
      <c r="AE316" s="86"/>
      <c r="AF316" s="86"/>
      <c r="AG316" s="86"/>
      <c r="AH316" s="86"/>
      <c r="AI316" s="86"/>
      <c r="AJ316" s="86"/>
    </row>
    <row r="317" spans="1:36" x14ac:dyDescent="0.25">
      <c r="A317" s="274"/>
      <c r="B317" s="87"/>
      <c r="C317" s="87"/>
      <c r="D317" s="87"/>
      <c r="E317" s="87"/>
      <c r="F317" s="87"/>
      <c r="G317" s="87"/>
      <c r="H317" s="87"/>
      <c r="I317" s="87"/>
      <c r="J317" s="87"/>
      <c r="K317" s="87"/>
      <c r="L317" s="87"/>
      <c r="M317" s="87"/>
      <c r="N317" s="87"/>
      <c r="O317" s="87"/>
      <c r="P317" s="87"/>
      <c r="Q317" s="87"/>
      <c r="R317" s="87"/>
      <c r="S317" s="87"/>
      <c r="T317" s="87"/>
      <c r="U317" s="87"/>
      <c r="V317" s="87"/>
      <c r="W317" s="87"/>
      <c r="X317" s="87"/>
      <c r="Y317" s="87"/>
      <c r="Z317" s="87"/>
      <c r="AA317" s="87"/>
      <c r="AB317" s="87"/>
      <c r="AC317" s="87"/>
      <c r="AD317" s="87"/>
      <c r="AE317" s="87"/>
      <c r="AF317" s="87"/>
      <c r="AG317" s="87"/>
      <c r="AH317" s="87"/>
      <c r="AI317" s="87"/>
      <c r="AJ317" s="87"/>
    </row>
    <row r="318" spans="1:36" x14ac:dyDescent="0.25">
      <c r="A318" s="273"/>
      <c r="B318" s="86"/>
      <c r="C318" s="86"/>
      <c r="D318" s="86"/>
      <c r="E318" s="86"/>
      <c r="F318" s="86"/>
      <c r="G318" s="86"/>
      <c r="H318" s="86"/>
      <c r="I318" s="86"/>
      <c r="J318" s="86"/>
      <c r="K318" s="86"/>
      <c r="L318" s="86"/>
      <c r="M318" s="86"/>
      <c r="N318" s="86"/>
      <c r="O318" s="86"/>
      <c r="P318" s="86"/>
      <c r="Q318" s="86"/>
      <c r="R318" s="86"/>
      <c r="S318" s="86"/>
      <c r="T318" s="86"/>
      <c r="U318" s="86"/>
      <c r="V318" s="86"/>
      <c r="W318" s="86"/>
      <c r="X318" s="86"/>
      <c r="Y318" s="86"/>
      <c r="Z318" s="86"/>
      <c r="AA318" s="86"/>
      <c r="AB318" s="86"/>
      <c r="AC318" s="86"/>
      <c r="AD318" s="86"/>
      <c r="AE318" s="86"/>
      <c r="AF318" s="86"/>
      <c r="AG318" s="86"/>
      <c r="AH318" s="86"/>
      <c r="AI318" s="86"/>
      <c r="AJ318" s="86"/>
    </row>
    <row r="319" spans="1:36" x14ac:dyDescent="0.25">
      <c r="A319" s="274"/>
      <c r="B319" s="87"/>
      <c r="C319" s="87"/>
      <c r="D319" s="87"/>
      <c r="E319" s="87"/>
      <c r="F319" s="87"/>
      <c r="G319" s="87"/>
      <c r="H319" s="87"/>
      <c r="I319" s="87"/>
      <c r="J319" s="87"/>
      <c r="K319" s="87"/>
      <c r="L319" s="87"/>
      <c r="M319" s="87"/>
      <c r="N319" s="87"/>
      <c r="O319" s="87"/>
      <c r="P319" s="87"/>
      <c r="Q319" s="87"/>
      <c r="R319" s="87"/>
      <c r="S319" s="87"/>
      <c r="T319" s="87"/>
      <c r="U319" s="87"/>
      <c r="V319" s="87"/>
      <c r="W319" s="87"/>
      <c r="X319" s="87"/>
      <c r="Y319" s="87"/>
      <c r="Z319" s="87"/>
      <c r="AA319" s="87"/>
      <c r="AB319" s="87"/>
      <c r="AC319" s="87"/>
      <c r="AD319" s="87"/>
      <c r="AE319" s="87"/>
      <c r="AF319" s="87"/>
      <c r="AG319" s="87"/>
      <c r="AH319" s="87"/>
      <c r="AI319" s="87"/>
      <c r="AJ319" s="87"/>
    </row>
    <row r="320" spans="1:36" x14ac:dyDescent="0.25">
      <c r="A320" s="273"/>
      <c r="B320" s="86"/>
      <c r="C320" s="86"/>
      <c r="D320" s="86"/>
      <c r="E320" s="86"/>
      <c r="F320" s="86"/>
      <c r="G320" s="86"/>
      <c r="H320" s="86"/>
      <c r="I320" s="86"/>
      <c r="J320" s="86"/>
      <c r="K320" s="86"/>
      <c r="L320" s="86"/>
      <c r="M320" s="86"/>
      <c r="N320" s="86"/>
      <c r="O320" s="86"/>
      <c r="P320" s="86"/>
      <c r="Q320" s="86"/>
      <c r="R320" s="86"/>
      <c r="S320" s="86"/>
      <c r="T320" s="86"/>
      <c r="U320" s="86"/>
      <c r="V320" s="86"/>
      <c r="W320" s="86"/>
      <c r="X320" s="86"/>
      <c r="Y320" s="86"/>
      <c r="Z320" s="86"/>
      <c r="AA320" s="86"/>
      <c r="AB320" s="86"/>
      <c r="AC320" s="86"/>
      <c r="AD320" s="86"/>
      <c r="AE320" s="86"/>
      <c r="AF320" s="86"/>
      <c r="AG320" s="86"/>
      <c r="AH320" s="86"/>
      <c r="AI320" s="86"/>
      <c r="AJ320" s="86"/>
    </row>
    <row r="321" spans="1:36" x14ac:dyDescent="0.25">
      <c r="A321" s="274"/>
      <c r="B321" s="87"/>
      <c r="C321" s="87"/>
      <c r="D321" s="87"/>
      <c r="E321" s="87"/>
      <c r="F321" s="87"/>
      <c r="G321" s="87"/>
      <c r="H321" s="87"/>
      <c r="I321" s="87"/>
      <c r="J321" s="87"/>
      <c r="K321" s="87"/>
      <c r="L321" s="87"/>
      <c r="M321" s="87"/>
      <c r="N321" s="87"/>
      <c r="O321" s="87"/>
      <c r="P321" s="87"/>
      <c r="Q321" s="87"/>
      <c r="R321" s="87"/>
      <c r="S321" s="87"/>
      <c r="T321" s="87"/>
      <c r="U321" s="87"/>
      <c r="V321" s="87"/>
      <c r="W321" s="87"/>
      <c r="X321" s="87"/>
      <c r="Y321" s="87"/>
      <c r="Z321" s="87"/>
      <c r="AA321" s="87"/>
      <c r="AB321" s="87"/>
      <c r="AC321" s="87"/>
      <c r="AD321" s="87"/>
      <c r="AE321" s="87"/>
      <c r="AF321" s="87"/>
      <c r="AG321" s="87"/>
      <c r="AH321" s="87"/>
      <c r="AI321" s="87"/>
      <c r="AJ321" s="87"/>
    </row>
    <row r="322" spans="1:36" x14ac:dyDescent="0.25">
      <c r="A322" s="273"/>
      <c r="B322" s="86"/>
      <c r="C322" s="86"/>
      <c r="D322" s="86"/>
      <c r="E322" s="86"/>
      <c r="F322" s="86"/>
      <c r="G322" s="86"/>
      <c r="H322" s="86"/>
      <c r="I322" s="86"/>
      <c r="J322" s="86"/>
      <c r="K322" s="86"/>
      <c r="L322" s="86"/>
      <c r="M322" s="86"/>
      <c r="N322" s="86"/>
      <c r="O322" s="86"/>
      <c r="P322" s="86"/>
      <c r="Q322" s="86"/>
      <c r="R322" s="86"/>
      <c r="S322" s="86"/>
      <c r="T322" s="86"/>
      <c r="U322" s="86"/>
      <c r="V322" s="86"/>
      <c r="W322" s="86"/>
      <c r="X322" s="86"/>
      <c r="Y322" s="86"/>
      <c r="Z322" s="86"/>
      <c r="AA322" s="86"/>
      <c r="AB322" s="86"/>
      <c r="AC322" s="86"/>
      <c r="AD322" s="86"/>
      <c r="AE322" s="86"/>
      <c r="AF322" s="86"/>
      <c r="AG322" s="86"/>
      <c r="AH322" s="86"/>
      <c r="AI322" s="86"/>
      <c r="AJ322" s="86"/>
    </row>
    <row r="323" spans="1:36" x14ac:dyDescent="0.25">
      <c r="A323" s="274"/>
      <c r="B323" s="87"/>
      <c r="C323" s="87"/>
      <c r="D323" s="87"/>
      <c r="E323" s="87"/>
      <c r="F323" s="87"/>
      <c r="G323" s="87"/>
      <c r="H323" s="87"/>
      <c r="I323" s="87"/>
      <c r="J323" s="87"/>
      <c r="K323" s="87"/>
      <c r="L323" s="87"/>
      <c r="M323" s="87"/>
      <c r="N323" s="87"/>
      <c r="O323" s="87"/>
      <c r="P323" s="87"/>
      <c r="Q323" s="87"/>
      <c r="R323" s="87"/>
      <c r="S323" s="87"/>
      <c r="T323" s="87"/>
      <c r="U323" s="87"/>
      <c r="V323" s="87"/>
      <c r="W323" s="87"/>
      <c r="X323" s="87"/>
      <c r="Y323" s="87"/>
      <c r="Z323" s="87"/>
      <c r="AA323" s="87"/>
      <c r="AB323" s="87"/>
      <c r="AC323" s="87"/>
      <c r="AD323" s="87"/>
      <c r="AE323" s="87"/>
      <c r="AF323" s="87"/>
      <c r="AG323" s="87"/>
      <c r="AH323" s="87"/>
      <c r="AI323" s="87"/>
      <c r="AJ323" s="87"/>
    </row>
    <row r="324" spans="1:36" x14ac:dyDescent="0.25">
      <c r="A324" s="273"/>
      <c r="B324" s="86"/>
      <c r="C324" s="86"/>
      <c r="D324" s="86"/>
      <c r="E324" s="86"/>
      <c r="F324" s="86"/>
      <c r="G324" s="86"/>
      <c r="H324" s="86"/>
      <c r="I324" s="86"/>
      <c r="J324" s="86"/>
      <c r="K324" s="86"/>
      <c r="L324" s="86"/>
      <c r="M324" s="86"/>
      <c r="N324" s="86"/>
      <c r="O324" s="86"/>
      <c r="P324" s="86"/>
      <c r="Q324" s="86"/>
      <c r="R324" s="86"/>
      <c r="S324" s="86"/>
      <c r="T324" s="86"/>
      <c r="U324" s="86"/>
      <c r="V324" s="86"/>
      <c r="W324" s="86"/>
      <c r="X324" s="86"/>
      <c r="Y324" s="86"/>
      <c r="Z324" s="86"/>
      <c r="AA324" s="86"/>
      <c r="AB324" s="86"/>
      <c r="AC324" s="86"/>
      <c r="AD324" s="86"/>
      <c r="AE324" s="86"/>
      <c r="AF324" s="86"/>
      <c r="AG324" s="86"/>
      <c r="AH324" s="86"/>
      <c r="AI324" s="86"/>
      <c r="AJ324" s="86"/>
    </row>
    <row r="325" spans="1:36" x14ac:dyDescent="0.25">
      <c r="A325" s="274"/>
      <c r="B325" s="87"/>
      <c r="C325" s="87"/>
      <c r="D325" s="87"/>
      <c r="E325" s="87"/>
      <c r="F325" s="87"/>
      <c r="G325" s="87"/>
      <c r="H325" s="87"/>
      <c r="I325" s="87"/>
      <c r="J325" s="87"/>
      <c r="K325" s="87"/>
      <c r="L325" s="87"/>
      <c r="M325" s="87"/>
      <c r="N325" s="87"/>
      <c r="O325" s="87"/>
      <c r="P325" s="87"/>
      <c r="Q325" s="87"/>
      <c r="R325" s="87"/>
      <c r="S325" s="87"/>
      <c r="T325" s="87"/>
      <c r="U325" s="87"/>
      <c r="V325" s="87"/>
      <c r="W325" s="87"/>
      <c r="X325" s="87"/>
      <c r="Y325" s="87"/>
      <c r="Z325" s="87"/>
      <c r="AA325" s="87"/>
      <c r="AB325" s="87"/>
      <c r="AC325" s="87"/>
      <c r="AD325" s="87"/>
      <c r="AE325" s="87"/>
      <c r="AF325" s="87"/>
      <c r="AG325" s="87"/>
      <c r="AH325" s="87"/>
      <c r="AI325" s="87"/>
      <c r="AJ325" s="87"/>
    </row>
    <row r="326" spans="1:36" x14ac:dyDescent="0.25">
      <c r="A326" s="273"/>
      <c r="B326" s="86"/>
      <c r="C326" s="86"/>
      <c r="D326" s="86"/>
      <c r="E326" s="86"/>
      <c r="F326" s="86"/>
      <c r="G326" s="86"/>
      <c r="H326" s="86"/>
      <c r="I326" s="86"/>
      <c r="J326" s="86"/>
      <c r="K326" s="86"/>
      <c r="L326" s="86"/>
      <c r="M326" s="86"/>
      <c r="N326" s="86"/>
      <c r="O326" s="86"/>
      <c r="P326" s="86"/>
      <c r="Q326" s="86"/>
      <c r="R326" s="86"/>
      <c r="S326" s="86"/>
      <c r="T326" s="86"/>
      <c r="U326" s="86"/>
      <c r="V326" s="86"/>
      <c r="W326" s="86"/>
      <c r="X326" s="86"/>
      <c r="Y326" s="86"/>
      <c r="Z326" s="86"/>
      <c r="AA326" s="86"/>
      <c r="AB326" s="86"/>
      <c r="AC326" s="86"/>
      <c r="AD326" s="86"/>
      <c r="AE326" s="86"/>
      <c r="AF326" s="86"/>
      <c r="AG326" s="86"/>
      <c r="AH326" s="86"/>
      <c r="AI326" s="86"/>
      <c r="AJ326" s="86"/>
    </row>
    <row r="327" spans="1:36" x14ac:dyDescent="0.25">
      <c r="A327" s="274"/>
      <c r="B327" s="87"/>
      <c r="C327" s="87"/>
      <c r="D327" s="87"/>
      <c r="E327" s="87"/>
      <c r="F327" s="87"/>
      <c r="G327" s="87"/>
      <c r="H327" s="87"/>
      <c r="I327" s="87"/>
      <c r="J327" s="87"/>
      <c r="K327" s="87"/>
      <c r="L327" s="87"/>
      <c r="M327" s="87"/>
      <c r="N327" s="87"/>
      <c r="O327" s="87"/>
      <c r="P327" s="87"/>
      <c r="Q327" s="87"/>
      <c r="R327" s="87"/>
      <c r="S327" s="87"/>
      <c r="T327" s="87"/>
      <c r="U327" s="87"/>
      <c r="V327" s="87"/>
      <c r="W327" s="87"/>
      <c r="X327" s="87"/>
      <c r="Y327" s="87"/>
      <c r="Z327" s="87"/>
      <c r="AA327" s="87"/>
      <c r="AB327" s="87"/>
      <c r="AC327" s="87"/>
      <c r="AD327" s="87"/>
      <c r="AE327" s="87"/>
      <c r="AF327" s="87"/>
      <c r="AG327" s="87"/>
      <c r="AH327" s="87"/>
      <c r="AI327" s="87"/>
      <c r="AJ327" s="87"/>
    </row>
    <row r="328" spans="1:36" x14ac:dyDescent="0.25">
      <c r="A328" s="273"/>
      <c r="B328" s="86"/>
      <c r="C328" s="86"/>
      <c r="D328" s="86"/>
      <c r="E328" s="86"/>
      <c r="F328" s="86"/>
      <c r="G328" s="86"/>
      <c r="H328" s="86"/>
      <c r="I328" s="86"/>
      <c r="J328" s="86"/>
      <c r="K328" s="86"/>
      <c r="L328" s="86"/>
      <c r="M328" s="86"/>
      <c r="N328" s="86"/>
      <c r="O328" s="86"/>
      <c r="P328" s="86"/>
      <c r="Q328" s="86"/>
      <c r="R328" s="86"/>
      <c r="S328" s="86"/>
      <c r="T328" s="86"/>
      <c r="U328" s="86"/>
      <c r="V328" s="86"/>
      <c r="W328" s="86"/>
      <c r="X328" s="86"/>
      <c r="Y328" s="86"/>
      <c r="Z328" s="86"/>
      <c r="AA328" s="86"/>
      <c r="AB328" s="86"/>
      <c r="AC328" s="86"/>
      <c r="AD328" s="86"/>
      <c r="AE328" s="86"/>
      <c r="AF328" s="86"/>
      <c r="AG328" s="86"/>
      <c r="AH328" s="86"/>
      <c r="AI328" s="86"/>
      <c r="AJ328" s="86"/>
    </row>
    <row r="329" spans="1:36" x14ac:dyDescent="0.25">
      <c r="A329" s="274"/>
      <c r="B329" s="87"/>
      <c r="C329" s="87"/>
      <c r="D329" s="87"/>
      <c r="E329" s="87"/>
      <c r="F329" s="87"/>
      <c r="G329" s="87"/>
      <c r="H329" s="87"/>
      <c r="I329" s="87"/>
      <c r="J329" s="87"/>
      <c r="K329" s="87"/>
      <c r="L329" s="87"/>
      <c r="M329" s="87"/>
      <c r="N329" s="87"/>
      <c r="O329" s="87"/>
      <c r="P329" s="87"/>
      <c r="Q329" s="87"/>
      <c r="R329" s="87"/>
      <c r="S329" s="87"/>
      <c r="T329" s="87"/>
      <c r="U329" s="87"/>
      <c r="V329" s="87"/>
      <c r="W329" s="87"/>
      <c r="X329" s="87"/>
      <c r="Y329" s="87"/>
      <c r="Z329" s="87"/>
      <c r="AA329" s="87"/>
      <c r="AB329" s="87"/>
      <c r="AC329" s="87"/>
      <c r="AD329" s="87"/>
      <c r="AE329" s="87"/>
      <c r="AF329" s="87"/>
      <c r="AG329" s="87"/>
      <c r="AH329" s="87"/>
      <c r="AI329" s="87"/>
      <c r="AJ329" s="87"/>
    </row>
    <row r="330" spans="1:36" x14ac:dyDescent="0.25">
      <c r="A330" s="273"/>
      <c r="B330" s="86"/>
      <c r="C330" s="86"/>
      <c r="D330" s="86"/>
      <c r="E330" s="86"/>
      <c r="F330" s="86"/>
      <c r="G330" s="86"/>
      <c r="H330" s="86"/>
      <c r="I330" s="86"/>
      <c r="J330" s="86"/>
      <c r="K330" s="86"/>
      <c r="L330" s="86"/>
      <c r="M330" s="86"/>
      <c r="N330" s="86"/>
      <c r="O330" s="86"/>
      <c r="P330" s="86"/>
      <c r="Q330" s="86"/>
      <c r="R330" s="86"/>
      <c r="S330" s="86"/>
      <c r="T330" s="86"/>
      <c r="U330" s="86"/>
      <c r="V330" s="86"/>
      <c r="W330" s="86"/>
      <c r="X330" s="86"/>
      <c r="Y330" s="86"/>
      <c r="Z330" s="86"/>
      <c r="AA330" s="86"/>
      <c r="AB330" s="86"/>
      <c r="AC330" s="86"/>
      <c r="AD330" s="86"/>
      <c r="AE330" s="86"/>
      <c r="AF330" s="86"/>
      <c r="AG330" s="86"/>
      <c r="AH330" s="86"/>
      <c r="AI330" s="86"/>
      <c r="AJ330" s="86"/>
    </row>
    <row r="331" spans="1:36" x14ac:dyDescent="0.25">
      <c r="A331" s="274"/>
      <c r="B331" s="87"/>
      <c r="C331" s="87"/>
      <c r="D331" s="87"/>
      <c r="E331" s="87"/>
      <c r="F331" s="87"/>
      <c r="G331" s="87"/>
      <c r="H331" s="87"/>
      <c r="I331" s="87"/>
      <c r="J331" s="87"/>
      <c r="K331" s="87"/>
      <c r="L331" s="87"/>
      <c r="M331" s="87"/>
      <c r="N331" s="87"/>
      <c r="O331" s="87"/>
      <c r="P331" s="87"/>
      <c r="Q331" s="87"/>
      <c r="R331" s="87"/>
      <c r="S331" s="87"/>
      <c r="T331" s="87"/>
      <c r="U331" s="87"/>
      <c r="V331" s="87"/>
      <c r="W331" s="87"/>
      <c r="X331" s="87"/>
      <c r="Y331" s="87"/>
      <c r="Z331" s="87"/>
      <c r="AA331" s="87"/>
      <c r="AB331" s="87"/>
      <c r="AC331" s="87"/>
      <c r="AD331" s="87"/>
      <c r="AE331" s="87"/>
      <c r="AF331" s="87"/>
      <c r="AG331" s="87"/>
      <c r="AH331" s="87"/>
      <c r="AI331" s="87"/>
      <c r="AJ331" s="87"/>
    </row>
    <row r="332" spans="1:36" x14ac:dyDescent="0.25">
      <c r="A332" s="273"/>
      <c r="B332" s="86"/>
      <c r="C332" s="86"/>
      <c r="D332" s="86"/>
      <c r="E332" s="86"/>
      <c r="F332" s="86"/>
      <c r="G332" s="86"/>
      <c r="H332" s="86"/>
      <c r="I332" s="86"/>
      <c r="J332" s="86"/>
      <c r="K332" s="86"/>
      <c r="L332" s="86"/>
      <c r="M332" s="86"/>
      <c r="N332" s="86"/>
      <c r="O332" s="86"/>
      <c r="P332" s="86"/>
      <c r="Q332" s="86"/>
      <c r="R332" s="86"/>
      <c r="S332" s="86"/>
      <c r="T332" s="86"/>
      <c r="U332" s="86"/>
      <c r="V332" s="86"/>
      <c r="W332" s="86"/>
      <c r="X332" s="86"/>
      <c r="Y332" s="86"/>
      <c r="Z332" s="86"/>
      <c r="AA332" s="86"/>
      <c r="AB332" s="86"/>
      <c r="AC332" s="86"/>
      <c r="AD332" s="86"/>
      <c r="AE332" s="86"/>
      <c r="AF332" s="86"/>
      <c r="AG332" s="86"/>
      <c r="AH332" s="86"/>
      <c r="AI332" s="86"/>
      <c r="AJ332" s="86"/>
    </row>
    <row r="333" spans="1:36" x14ac:dyDescent="0.25">
      <c r="A333" s="274"/>
      <c r="B333" s="87"/>
      <c r="C333" s="87"/>
      <c r="D333" s="87"/>
      <c r="E333" s="87"/>
      <c r="F333" s="87"/>
      <c r="G333" s="87"/>
      <c r="H333" s="87"/>
      <c r="I333" s="87"/>
      <c r="J333" s="87"/>
      <c r="K333" s="87"/>
      <c r="L333" s="87"/>
      <c r="M333" s="87"/>
      <c r="N333" s="87"/>
      <c r="O333" s="87"/>
      <c r="P333" s="87"/>
      <c r="Q333" s="87"/>
      <c r="R333" s="87"/>
      <c r="S333" s="87"/>
      <c r="T333" s="87"/>
      <c r="U333" s="87"/>
      <c r="V333" s="87"/>
      <c r="W333" s="87"/>
      <c r="X333" s="87"/>
      <c r="Y333" s="87"/>
      <c r="Z333" s="87"/>
      <c r="AA333" s="87"/>
      <c r="AB333" s="87"/>
      <c r="AC333" s="87"/>
      <c r="AD333" s="87"/>
      <c r="AE333" s="87"/>
      <c r="AF333" s="87"/>
      <c r="AG333" s="87"/>
      <c r="AH333" s="87"/>
      <c r="AI333" s="87"/>
      <c r="AJ333" s="87"/>
    </row>
    <row r="334" spans="1:36" x14ac:dyDescent="0.25">
      <c r="A334" s="273"/>
      <c r="B334" s="86"/>
      <c r="C334" s="86"/>
      <c r="D334" s="86"/>
      <c r="E334" s="86"/>
      <c r="F334" s="86"/>
      <c r="G334" s="86"/>
      <c r="H334" s="86"/>
      <c r="I334" s="86"/>
      <c r="J334" s="86"/>
      <c r="K334" s="86"/>
      <c r="L334" s="86"/>
      <c r="M334" s="86"/>
      <c r="N334" s="86"/>
      <c r="O334" s="86"/>
      <c r="P334" s="86"/>
      <c r="Q334" s="86"/>
      <c r="R334" s="86"/>
      <c r="S334" s="86"/>
      <c r="T334" s="86"/>
      <c r="U334" s="86"/>
      <c r="V334" s="86"/>
      <c r="W334" s="86"/>
      <c r="X334" s="86"/>
      <c r="Y334" s="86"/>
      <c r="Z334" s="86"/>
      <c r="AA334" s="86"/>
      <c r="AB334" s="86"/>
      <c r="AC334" s="86"/>
      <c r="AD334" s="86"/>
      <c r="AE334" s="86"/>
      <c r="AF334" s="86"/>
      <c r="AG334" s="86"/>
      <c r="AH334" s="86"/>
      <c r="AI334" s="86"/>
      <c r="AJ334" s="86"/>
    </row>
    <row r="335" spans="1:36" x14ac:dyDescent="0.25">
      <c r="A335" s="274"/>
      <c r="B335" s="87"/>
      <c r="C335" s="87"/>
      <c r="D335" s="87"/>
      <c r="E335" s="87"/>
      <c r="F335" s="87"/>
      <c r="G335" s="87"/>
      <c r="H335" s="87"/>
      <c r="I335" s="87"/>
      <c r="J335" s="87"/>
      <c r="K335" s="87"/>
      <c r="L335" s="87"/>
      <c r="M335" s="87"/>
      <c r="N335" s="87"/>
      <c r="O335" s="87"/>
      <c r="P335" s="87"/>
      <c r="Q335" s="87"/>
      <c r="R335" s="87"/>
      <c r="S335" s="87"/>
      <c r="T335" s="87"/>
      <c r="U335" s="87"/>
      <c r="V335" s="87"/>
      <c r="W335" s="87"/>
      <c r="X335" s="87"/>
      <c r="Y335" s="87"/>
      <c r="Z335" s="87"/>
      <c r="AA335" s="87"/>
      <c r="AB335" s="87"/>
      <c r="AC335" s="87"/>
      <c r="AD335" s="87"/>
      <c r="AE335" s="87"/>
      <c r="AF335" s="87"/>
      <c r="AG335" s="87"/>
      <c r="AH335" s="87"/>
      <c r="AI335" s="87"/>
      <c r="AJ335" s="87"/>
    </row>
    <row r="336" spans="1:36" x14ac:dyDescent="0.25">
      <c r="A336" s="273"/>
      <c r="B336" s="86"/>
      <c r="C336" s="86"/>
      <c r="D336" s="86"/>
      <c r="E336" s="86"/>
      <c r="F336" s="86"/>
      <c r="G336" s="86"/>
      <c r="H336" s="86"/>
      <c r="I336" s="86"/>
      <c r="J336" s="86"/>
      <c r="K336" s="86"/>
      <c r="L336" s="86"/>
      <c r="M336" s="86"/>
      <c r="N336" s="86"/>
      <c r="O336" s="86"/>
      <c r="P336" s="86"/>
      <c r="Q336" s="86"/>
      <c r="R336" s="86"/>
      <c r="S336" s="86"/>
      <c r="T336" s="86"/>
      <c r="U336" s="86"/>
      <c r="V336" s="86"/>
      <c r="W336" s="86"/>
      <c r="X336" s="86"/>
      <c r="Y336" s="86"/>
      <c r="Z336" s="86"/>
      <c r="AA336" s="86"/>
      <c r="AB336" s="86"/>
      <c r="AC336" s="86"/>
      <c r="AD336" s="86"/>
      <c r="AE336" s="86"/>
      <c r="AF336" s="86"/>
      <c r="AG336" s="86"/>
      <c r="AH336" s="86"/>
      <c r="AI336" s="86"/>
      <c r="AJ336" s="86"/>
    </row>
    <row r="337" spans="1:36" x14ac:dyDescent="0.25">
      <c r="A337" s="274"/>
      <c r="B337" s="87"/>
      <c r="C337" s="87"/>
      <c r="D337" s="87"/>
      <c r="E337" s="87"/>
      <c r="F337" s="87"/>
      <c r="G337" s="87"/>
      <c r="H337" s="87"/>
      <c r="I337" s="87"/>
      <c r="J337" s="87"/>
      <c r="K337" s="87"/>
      <c r="L337" s="87"/>
      <c r="M337" s="87"/>
      <c r="N337" s="87"/>
      <c r="O337" s="87"/>
      <c r="P337" s="87"/>
      <c r="Q337" s="87"/>
      <c r="R337" s="87"/>
      <c r="S337" s="87"/>
      <c r="T337" s="87"/>
      <c r="U337" s="87"/>
      <c r="V337" s="87"/>
      <c r="W337" s="87"/>
      <c r="X337" s="87"/>
      <c r="Y337" s="87"/>
      <c r="Z337" s="87"/>
      <c r="AA337" s="87"/>
      <c r="AB337" s="87"/>
      <c r="AC337" s="87"/>
      <c r="AD337" s="87"/>
      <c r="AE337" s="87"/>
      <c r="AF337" s="87"/>
      <c r="AG337" s="87"/>
      <c r="AH337" s="87"/>
      <c r="AI337" s="87"/>
      <c r="AJ337" s="87"/>
    </row>
    <row r="338" spans="1:36" x14ac:dyDescent="0.25">
      <c r="A338" s="273"/>
      <c r="B338" s="86"/>
      <c r="C338" s="86"/>
      <c r="D338" s="86"/>
      <c r="E338" s="86"/>
      <c r="F338" s="86"/>
      <c r="G338" s="86"/>
      <c r="H338" s="86"/>
      <c r="I338" s="86"/>
      <c r="J338" s="86"/>
      <c r="K338" s="86"/>
      <c r="L338" s="86"/>
      <c r="M338" s="86"/>
      <c r="N338" s="86"/>
      <c r="O338" s="86"/>
      <c r="P338" s="86"/>
      <c r="Q338" s="86"/>
      <c r="R338" s="86"/>
      <c r="S338" s="86"/>
      <c r="T338" s="86"/>
      <c r="U338" s="86"/>
      <c r="V338" s="86"/>
      <c r="W338" s="86"/>
      <c r="X338" s="86"/>
      <c r="Y338" s="86"/>
      <c r="Z338" s="86"/>
      <c r="AA338" s="86"/>
      <c r="AB338" s="86"/>
      <c r="AC338" s="86"/>
      <c r="AD338" s="86"/>
      <c r="AE338" s="86"/>
      <c r="AF338" s="86"/>
      <c r="AG338" s="86"/>
      <c r="AH338" s="86"/>
      <c r="AI338" s="86"/>
      <c r="AJ338" s="86"/>
    </row>
    <row r="339" spans="1:36" x14ac:dyDescent="0.25">
      <c r="A339" s="274"/>
      <c r="B339" s="87"/>
      <c r="C339" s="87"/>
      <c r="D339" s="87"/>
      <c r="E339" s="87"/>
      <c r="F339" s="87"/>
      <c r="G339" s="87"/>
      <c r="H339" s="87"/>
      <c r="I339" s="87"/>
      <c r="J339" s="87"/>
      <c r="K339" s="87"/>
      <c r="L339" s="87"/>
      <c r="M339" s="87"/>
      <c r="N339" s="87"/>
      <c r="O339" s="87"/>
      <c r="P339" s="87"/>
      <c r="Q339" s="87"/>
      <c r="R339" s="87"/>
      <c r="S339" s="87"/>
      <c r="T339" s="87"/>
      <c r="U339" s="87"/>
      <c r="V339" s="87"/>
      <c r="W339" s="87"/>
      <c r="X339" s="87"/>
      <c r="Y339" s="87"/>
      <c r="Z339" s="87"/>
      <c r="AA339" s="87"/>
      <c r="AB339" s="87"/>
      <c r="AC339" s="87"/>
      <c r="AD339" s="87"/>
      <c r="AE339" s="87"/>
      <c r="AF339" s="87"/>
      <c r="AG339" s="87"/>
      <c r="AH339" s="87"/>
      <c r="AI339" s="87"/>
      <c r="AJ339" s="87"/>
    </row>
    <row r="340" spans="1:36" x14ac:dyDescent="0.25">
      <c r="A340" s="273"/>
      <c r="B340" s="86"/>
      <c r="C340" s="86"/>
      <c r="D340" s="86"/>
      <c r="E340" s="86"/>
      <c r="F340" s="86"/>
      <c r="G340" s="86"/>
      <c r="H340" s="86"/>
      <c r="I340" s="86"/>
      <c r="J340" s="86"/>
      <c r="K340" s="86"/>
      <c r="L340" s="86"/>
      <c r="M340" s="86"/>
      <c r="N340" s="86"/>
      <c r="O340" s="86"/>
      <c r="P340" s="86"/>
      <c r="Q340" s="86"/>
      <c r="R340" s="86"/>
      <c r="S340" s="86"/>
      <c r="T340" s="86"/>
      <c r="U340" s="86"/>
      <c r="V340" s="86"/>
      <c r="W340" s="86"/>
      <c r="X340" s="86"/>
      <c r="Y340" s="86"/>
      <c r="Z340" s="86"/>
      <c r="AA340" s="86"/>
      <c r="AB340" s="86"/>
      <c r="AC340" s="86"/>
      <c r="AD340" s="86"/>
      <c r="AE340" s="86"/>
      <c r="AF340" s="86"/>
      <c r="AG340" s="86"/>
      <c r="AH340" s="86"/>
      <c r="AI340" s="86"/>
      <c r="AJ340" s="86"/>
    </row>
    <row r="341" spans="1:36" x14ac:dyDescent="0.25">
      <c r="A341" s="274"/>
      <c r="B341" s="87"/>
      <c r="C341" s="87"/>
      <c r="D341" s="87"/>
      <c r="E341" s="87"/>
      <c r="F341" s="87"/>
      <c r="G341" s="87"/>
      <c r="H341" s="87"/>
      <c r="I341" s="87"/>
      <c r="J341" s="87"/>
      <c r="K341" s="87"/>
      <c r="L341" s="87"/>
      <c r="M341" s="87"/>
      <c r="N341" s="87"/>
      <c r="O341" s="87"/>
      <c r="P341" s="87"/>
      <c r="Q341" s="87"/>
      <c r="R341" s="87"/>
      <c r="S341" s="87"/>
      <c r="T341" s="87"/>
      <c r="U341" s="87"/>
      <c r="V341" s="87"/>
      <c r="W341" s="87"/>
      <c r="X341" s="87"/>
      <c r="Y341" s="87"/>
      <c r="Z341" s="87"/>
      <c r="AA341" s="87"/>
      <c r="AB341" s="87"/>
      <c r="AC341" s="87"/>
      <c r="AD341" s="87"/>
      <c r="AE341" s="87"/>
      <c r="AF341" s="87"/>
      <c r="AG341" s="87"/>
      <c r="AH341" s="87"/>
      <c r="AI341" s="87"/>
      <c r="AJ341" s="87"/>
    </row>
    <row r="342" spans="1:36" x14ac:dyDescent="0.25">
      <c r="A342" s="273"/>
      <c r="B342" s="86"/>
      <c r="C342" s="86"/>
      <c r="D342" s="86"/>
      <c r="E342" s="86"/>
      <c r="F342" s="86"/>
      <c r="G342" s="86"/>
      <c r="H342" s="86"/>
      <c r="I342" s="86"/>
      <c r="J342" s="86"/>
      <c r="K342" s="86"/>
      <c r="L342" s="86"/>
      <c r="M342" s="86"/>
      <c r="N342" s="86"/>
      <c r="O342" s="86"/>
      <c r="P342" s="86"/>
      <c r="Q342" s="86"/>
      <c r="R342" s="86"/>
      <c r="S342" s="86"/>
      <c r="T342" s="86"/>
      <c r="U342" s="86"/>
      <c r="V342" s="86"/>
      <c r="W342" s="86"/>
      <c r="X342" s="86"/>
      <c r="Y342" s="86"/>
      <c r="Z342" s="86"/>
      <c r="AA342" s="86"/>
      <c r="AB342" s="86"/>
      <c r="AC342" s="86"/>
      <c r="AD342" s="86"/>
      <c r="AE342" s="86"/>
      <c r="AF342" s="86"/>
      <c r="AG342" s="86"/>
      <c r="AH342" s="86"/>
      <c r="AI342" s="86"/>
      <c r="AJ342" s="86"/>
    </row>
    <row r="343" spans="1:36" x14ac:dyDescent="0.25">
      <c r="A343" s="274"/>
      <c r="B343" s="87"/>
      <c r="C343" s="87"/>
      <c r="D343" s="87"/>
      <c r="E343" s="87"/>
      <c r="F343" s="87"/>
      <c r="G343" s="87"/>
      <c r="H343" s="87"/>
      <c r="I343" s="87"/>
      <c r="J343" s="87"/>
      <c r="K343" s="87"/>
      <c r="L343" s="87"/>
      <c r="M343" s="87"/>
      <c r="N343" s="87"/>
      <c r="O343" s="87"/>
      <c r="P343" s="87"/>
      <c r="Q343" s="87"/>
      <c r="R343" s="87"/>
      <c r="S343" s="87"/>
      <c r="T343" s="87"/>
      <c r="U343" s="87"/>
      <c r="V343" s="87"/>
      <c r="W343" s="87"/>
      <c r="X343" s="87"/>
      <c r="Y343" s="87"/>
      <c r="Z343" s="87"/>
      <c r="AA343" s="87"/>
      <c r="AB343" s="87"/>
      <c r="AC343" s="87"/>
      <c r="AD343" s="87"/>
      <c r="AE343" s="87"/>
      <c r="AF343" s="87"/>
      <c r="AG343" s="87"/>
      <c r="AH343" s="87"/>
      <c r="AI343" s="87"/>
      <c r="AJ343" s="87"/>
    </row>
    <row r="344" spans="1:36" x14ac:dyDescent="0.25">
      <c r="A344" s="273"/>
      <c r="B344" s="86"/>
      <c r="C344" s="86"/>
      <c r="D344" s="86"/>
      <c r="E344" s="86"/>
      <c r="F344" s="86"/>
      <c r="G344" s="86"/>
      <c r="H344" s="86"/>
      <c r="I344" s="86"/>
      <c r="J344" s="86"/>
      <c r="K344" s="86"/>
      <c r="L344" s="86"/>
      <c r="M344" s="86"/>
      <c r="N344" s="86"/>
      <c r="O344" s="86"/>
      <c r="P344" s="86"/>
      <c r="Q344" s="86"/>
      <c r="R344" s="86"/>
      <c r="S344" s="86"/>
      <c r="T344" s="86"/>
      <c r="U344" s="86"/>
      <c r="V344" s="86"/>
      <c r="W344" s="86"/>
      <c r="X344" s="86"/>
      <c r="Y344" s="86"/>
      <c r="Z344" s="86"/>
      <c r="AA344" s="86"/>
      <c r="AB344" s="86"/>
      <c r="AC344" s="86"/>
      <c r="AD344" s="86"/>
      <c r="AE344" s="86"/>
      <c r="AF344" s="86"/>
      <c r="AG344" s="86"/>
      <c r="AH344" s="86"/>
      <c r="AI344" s="86"/>
      <c r="AJ344" s="86"/>
    </row>
    <row r="345" spans="1:36" x14ac:dyDescent="0.25">
      <c r="A345" s="274"/>
      <c r="B345" s="87"/>
      <c r="C345" s="87"/>
      <c r="D345" s="87"/>
      <c r="E345" s="87"/>
      <c r="F345" s="87"/>
      <c r="G345" s="87"/>
      <c r="H345" s="87"/>
      <c r="I345" s="87"/>
      <c r="J345" s="87"/>
      <c r="K345" s="87"/>
      <c r="L345" s="87"/>
      <c r="M345" s="87"/>
      <c r="N345" s="87"/>
      <c r="O345" s="87"/>
      <c r="P345" s="87"/>
      <c r="Q345" s="87"/>
      <c r="R345" s="87"/>
      <c r="S345" s="87"/>
      <c r="T345" s="87"/>
      <c r="U345" s="87"/>
      <c r="V345" s="87"/>
      <c r="W345" s="87"/>
      <c r="X345" s="87"/>
      <c r="Y345" s="87"/>
      <c r="Z345" s="87"/>
      <c r="AA345" s="87"/>
      <c r="AB345" s="87"/>
      <c r="AC345" s="87"/>
      <c r="AD345" s="87"/>
      <c r="AE345" s="87"/>
      <c r="AF345" s="87"/>
      <c r="AG345" s="87"/>
      <c r="AH345" s="87"/>
      <c r="AI345" s="87"/>
      <c r="AJ345" s="87"/>
    </row>
    <row r="346" spans="1:36" x14ac:dyDescent="0.25">
      <c r="A346" s="273"/>
      <c r="B346" s="86"/>
      <c r="C346" s="86"/>
      <c r="D346" s="86"/>
      <c r="E346" s="86"/>
      <c r="F346" s="86"/>
      <c r="G346" s="86"/>
      <c r="H346" s="86"/>
      <c r="I346" s="86"/>
      <c r="J346" s="86"/>
      <c r="K346" s="86"/>
      <c r="L346" s="86"/>
      <c r="M346" s="86"/>
      <c r="N346" s="86"/>
      <c r="O346" s="86"/>
      <c r="P346" s="86"/>
      <c r="Q346" s="86"/>
      <c r="R346" s="86"/>
      <c r="S346" s="86"/>
      <c r="T346" s="86"/>
      <c r="U346" s="86"/>
      <c r="V346" s="86"/>
      <c r="W346" s="86"/>
      <c r="X346" s="86"/>
      <c r="Y346" s="86"/>
      <c r="Z346" s="86"/>
      <c r="AA346" s="86"/>
      <c r="AB346" s="86"/>
      <c r="AC346" s="86"/>
      <c r="AD346" s="86"/>
      <c r="AE346" s="86"/>
      <c r="AF346" s="86"/>
      <c r="AG346" s="86"/>
      <c r="AH346" s="86"/>
      <c r="AI346" s="86"/>
      <c r="AJ346" s="86"/>
    </row>
    <row r="347" spans="1:36" x14ac:dyDescent="0.25">
      <c r="A347" s="274"/>
      <c r="B347" s="87"/>
      <c r="C347" s="87"/>
      <c r="D347" s="87"/>
      <c r="E347" s="87"/>
      <c r="F347" s="87"/>
      <c r="G347" s="87"/>
      <c r="H347" s="87"/>
      <c r="I347" s="87"/>
      <c r="J347" s="87"/>
      <c r="K347" s="87"/>
      <c r="L347" s="87"/>
      <c r="M347" s="87"/>
      <c r="N347" s="87"/>
      <c r="O347" s="87"/>
      <c r="P347" s="87"/>
      <c r="Q347" s="87"/>
      <c r="R347" s="87"/>
      <c r="S347" s="87"/>
      <c r="T347" s="87"/>
      <c r="U347" s="87"/>
      <c r="V347" s="87"/>
      <c r="W347" s="87"/>
      <c r="X347" s="87"/>
      <c r="Y347" s="87"/>
      <c r="Z347" s="87"/>
      <c r="AA347" s="87"/>
      <c r="AB347" s="87"/>
      <c r="AC347" s="87"/>
      <c r="AD347" s="87"/>
      <c r="AE347" s="87"/>
      <c r="AF347" s="87"/>
      <c r="AG347" s="87"/>
      <c r="AH347" s="87"/>
      <c r="AI347" s="87"/>
      <c r="AJ347" s="87"/>
    </row>
    <row r="348" spans="1:36" x14ac:dyDescent="0.25">
      <c r="A348" s="273"/>
      <c r="B348" s="86"/>
      <c r="C348" s="86"/>
      <c r="D348" s="86"/>
      <c r="E348" s="86"/>
      <c r="F348" s="86"/>
      <c r="G348" s="86"/>
      <c r="H348" s="86"/>
      <c r="I348" s="86"/>
      <c r="J348" s="86"/>
      <c r="K348" s="86"/>
      <c r="L348" s="86"/>
      <c r="M348" s="86"/>
      <c r="N348" s="86"/>
      <c r="O348" s="86"/>
      <c r="P348" s="86"/>
      <c r="Q348" s="86"/>
      <c r="R348" s="86"/>
      <c r="S348" s="86"/>
      <c r="T348" s="86"/>
      <c r="U348" s="86"/>
      <c r="V348" s="86"/>
      <c r="W348" s="86"/>
      <c r="X348" s="86"/>
      <c r="Y348" s="86"/>
      <c r="Z348" s="86"/>
      <c r="AA348" s="86"/>
      <c r="AB348" s="86"/>
      <c r="AC348" s="86"/>
      <c r="AD348" s="86"/>
      <c r="AE348" s="86"/>
      <c r="AF348" s="86"/>
      <c r="AG348" s="86"/>
      <c r="AH348" s="86"/>
      <c r="AI348" s="86"/>
      <c r="AJ348" s="86"/>
    </row>
    <row r="349" spans="1:36" x14ac:dyDescent="0.25">
      <c r="A349" s="274"/>
      <c r="B349" s="87"/>
      <c r="C349" s="87"/>
      <c r="D349" s="87"/>
      <c r="E349" s="87"/>
      <c r="F349" s="87"/>
      <c r="G349" s="87"/>
      <c r="H349" s="87"/>
      <c r="I349" s="87"/>
      <c r="J349" s="87"/>
      <c r="K349" s="87"/>
      <c r="L349" s="87"/>
      <c r="M349" s="87"/>
      <c r="N349" s="87"/>
      <c r="O349" s="87"/>
      <c r="P349" s="87"/>
      <c r="Q349" s="87"/>
      <c r="R349" s="87"/>
      <c r="S349" s="87"/>
      <c r="T349" s="87"/>
      <c r="U349" s="87"/>
      <c r="V349" s="87"/>
      <c r="W349" s="87"/>
      <c r="X349" s="87"/>
      <c r="Y349" s="87"/>
      <c r="Z349" s="87"/>
      <c r="AA349" s="87"/>
      <c r="AB349" s="87"/>
      <c r="AC349" s="87"/>
      <c r="AD349" s="87"/>
      <c r="AE349" s="87"/>
      <c r="AF349" s="87"/>
      <c r="AG349" s="87"/>
      <c r="AH349" s="87"/>
      <c r="AI349" s="87"/>
      <c r="AJ349" s="87"/>
    </row>
    <row r="350" spans="1:36" x14ac:dyDescent="0.25">
      <c r="A350" s="273"/>
      <c r="B350" s="86"/>
      <c r="C350" s="86"/>
      <c r="D350" s="86"/>
      <c r="E350" s="86"/>
      <c r="F350" s="86"/>
      <c r="G350" s="86"/>
      <c r="H350" s="86"/>
      <c r="I350" s="86"/>
      <c r="J350" s="86"/>
      <c r="K350" s="86"/>
      <c r="L350" s="86"/>
      <c r="M350" s="86"/>
      <c r="N350" s="86"/>
      <c r="O350" s="86"/>
      <c r="P350" s="86"/>
      <c r="Q350" s="86"/>
      <c r="R350" s="86"/>
      <c r="S350" s="86"/>
      <c r="T350" s="86"/>
      <c r="U350" s="86"/>
      <c r="V350" s="86"/>
      <c r="W350" s="86"/>
      <c r="X350" s="86"/>
      <c r="Y350" s="86"/>
      <c r="Z350" s="86"/>
      <c r="AA350" s="86"/>
      <c r="AB350" s="86"/>
      <c r="AC350" s="86"/>
      <c r="AD350" s="86"/>
      <c r="AE350" s="86"/>
      <c r="AF350" s="86"/>
      <c r="AG350" s="86"/>
      <c r="AH350" s="86"/>
      <c r="AI350" s="86"/>
      <c r="AJ350" s="86"/>
    </row>
    <row r="351" spans="1:36" x14ac:dyDescent="0.25">
      <c r="A351" s="274"/>
      <c r="B351" s="87"/>
      <c r="C351" s="87"/>
      <c r="D351" s="87"/>
      <c r="E351" s="87"/>
      <c r="F351" s="87"/>
      <c r="G351" s="87"/>
      <c r="H351" s="87"/>
      <c r="I351" s="87"/>
      <c r="J351" s="87"/>
      <c r="K351" s="87"/>
      <c r="L351" s="87"/>
      <c r="M351" s="87"/>
      <c r="N351" s="87"/>
      <c r="O351" s="87"/>
      <c r="P351" s="87"/>
      <c r="Q351" s="87"/>
      <c r="R351" s="87"/>
      <c r="S351" s="87"/>
      <c r="T351" s="87"/>
      <c r="U351" s="87"/>
      <c r="V351" s="87"/>
      <c r="W351" s="87"/>
      <c r="X351" s="87"/>
      <c r="Y351" s="87"/>
      <c r="Z351" s="87"/>
      <c r="AA351" s="87"/>
      <c r="AB351" s="87"/>
      <c r="AC351" s="87"/>
      <c r="AD351" s="87"/>
      <c r="AE351" s="87"/>
      <c r="AF351" s="87"/>
      <c r="AG351" s="87"/>
      <c r="AH351" s="87"/>
      <c r="AI351" s="87"/>
      <c r="AJ351" s="87"/>
    </row>
    <row r="352" spans="1:36" x14ac:dyDescent="0.25">
      <c r="A352" s="273"/>
      <c r="B352" s="86"/>
      <c r="C352" s="86"/>
      <c r="D352" s="86"/>
      <c r="E352" s="86"/>
      <c r="F352" s="86"/>
      <c r="G352" s="86"/>
      <c r="H352" s="86"/>
      <c r="I352" s="86"/>
      <c r="J352" s="86"/>
      <c r="K352" s="86"/>
      <c r="L352" s="86"/>
      <c r="M352" s="86"/>
      <c r="N352" s="86"/>
      <c r="O352" s="86"/>
      <c r="P352" s="86"/>
      <c r="Q352" s="86"/>
      <c r="R352" s="86"/>
      <c r="S352" s="86"/>
      <c r="T352" s="86"/>
      <c r="U352" s="86"/>
      <c r="V352" s="86"/>
      <c r="W352" s="86"/>
      <c r="X352" s="86"/>
      <c r="Y352" s="86"/>
      <c r="Z352" s="86"/>
      <c r="AA352" s="86"/>
      <c r="AB352" s="86"/>
      <c r="AC352" s="86"/>
      <c r="AD352" s="86"/>
      <c r="AE352" s="86"/>
      <c r="AF352" s="86"/>
      <c r="AG352" s="86"/>
      <c r="AH352" s="86"/>
      <c r="AI352" s="86"/>
      <c r="AJ352" s="86"/>
    </row>
    <row r="353" spans="1:36" x14ac:dyDescent="0.25">
      <c r="A353" s="274"/>
      <c r="B353" s="87"/>
      <c r="C353" s="87"/>
      <c r="D353" s="87"/>
      <c r="E353" s="87"/>
      <c r="F353" s="87"/>
      <c r="G353" s="87"/>
      <c r="H353" s="87"/>
      <c r="I353" s="87"/>
      <c r="J353" s="87"/>
      <c r="K353" s="87"/>
      <c r="L353" s="87"/>
      <c r="M353" s="87"/>
      <c r="N353" s="87"/>
      <c r="O353" s="87"/>
      <c r="P353" s="87"/>
      <c r="Q353" s="87"/>
      <c r="R353" s="87"/>
      <c r="S353" s="87"/>
      <c r="T353" s="87"/>
      <c r="U353" s="87"/>
      <c r="V353" s="87"/>
      <c r="W353" s="87"/>
      <c r="X353" s="87"/>
      <c r="Y353" s="87"/>
      <c r="Z353" s="87"/>
      <c r="AA353" s="87"/>
      <c r="AB353" s="87"/>
      <c r="AC353" s="87"/>
      <c r="AD353" s="87"/>
      <c r="AE353" s="87"/>
      <c r="AF353" s="87"/>
      <c r="AG353" s="87"/>
      <c r="AH353" s="87"/>
      <c r="AI353" s="87"/>
      <c r="AJ353" s="87"/>
    </row>
    <row r="354" spans="1:36" x14ac:dyDescent="0.25">
      <c r="A354" s="273"/>
      <c r="B354" s="86"/>
      <c r="C354" s="86"/>
      <c r="D354" s="86"/>
      <c r="E354" s="86"/>
      <c r="F354" s="86"/>
      <c r="G354" s="86"/>
      <c r="H354" s="86"/>
      <c r="I354" s="86"/>
      <c r="J354" s="86"/>
      <c r="K354" s="86"/>
      <c r="L354" s="86"/>
      <c r="M354" s="86"/>
      <c r="N354" s="86"/>
      <c r="O354" s="86"/>
      <c r="P354" s="86"/>
      <c r="Q354" s="86"/>
      <c r="R354" s="86"/>
      <c r="S354" s="86"/>
      <c r="T354" s="86"/>
      <c r="U354" s="86"/>
      <c r="V354" s="86"/>
      <c r="W354" s="86"/>
      <c r="X354" s="86"/>
      <c r="Y354" s="86"/>
      <c r="Z354" s="86"/>
      <c r="AA354" s="86"/>
      <c r="AB354" s="86"/>
      <c r="AC354" s="86"/>
      <c r="AD354" s="86"/>
      <c r="AE354" s="86"/>
      <c r="AF354" s="86"/>
      <c r="AG354" s="86"/>
      <c r="AH354" s="86"/>
      <c r="AI354" s="86"/>
      <c r="AJ354" s="86"/>
    </row>
    <row r="355" spans="1:36" x14ac:dyDescent="0.25">
      <c r="A355" s="274"/>
      <c r="B355" s="87"/>
      <c r="C355" s="87"/>
      <c r="D355" s="87"/>
      <c r="E355" s="87"/>
      <c r="F355" s="87"/>
      <c r="G355" s="87"/>
      <c r="H355" s="87"/>
      <c r="I355" s="87"/>
      <c r="J355" s="87"/>
      <c r="K355" s="87"/>
      <c r="L355" s="87"/>
      <c r="M355" s="87"/>
      <c r="N355" s="87"/>
      <c r="O355" s="87"/>
      <c r="P355" s="87"/>
      <c r="Q355" s="87"/>
      <c r="R355" s="87"/>
      <c r="S355" s="87"/>
      <c r="T355" s="87"/>
      <c r="U355" s="87"/>
      <c r="V355" s="87"/>
      <c r="W355" s="87"/>
      <c r="X355" s="87"/>
      <c r="Y355" s="87"/>
      <c r="Z355" s="87"/>
      <c r="AA355" s="87"/>
      <c r="AB355" s="87"/>
      <c r="AC355" s="87"/>
      <c r="AD355" s="87"/>
      <c r="AE355" s="87"/>
      <c r="AF355" s="87"/>
      <c r="AG355" s="87"/>
      <c r="AH355" s="87"/>
      <c r="AI355" s="87"/>
      <c r="AJ355" s="87"/>
    </row>
    <row r="356" spans="1:36" x14ac:dyDescent="0.25">
      <c r="A356" s="273"/>
      <c r="B356" s="86"/>
      <c r="C356" s="86"/>
      <c r="D356" s="86"/>
      <c r="E356" s="86"/>
      <c r="F356" s="86"/>
      <c r="G356" s="86"/>
      <c r="H356" s="86"/>
      <c r="I356" s="86"/>
      <c r="J356" s="86"/>
      <c r="K356" s="86"/>
      <c r="L356" s="86"/>
      <c r="M356" s="86"/>
      <c r="N356" s="86"/>
      <c r="O356" s="86"/>
      <c r="P356" s="86"/>
      <c r="Q356" s="86"/>
      <c r="R356" s="86"/>
      <c r="S356" s="86"/>
      <c r="T356" s="86"/>
      <c r="U356" s="86"/>
      <c r="V356" s="86"/>
      <c r="W356" s="86"/>
      <c r="X356" s="86"/>
      <c r="Y356" s="86"/>
      <c r="Z356" s="86"/>
      <c r="AA356" s="86"/>
      <c r="AB356" s="86"/>
      <c r="AC356" s="86"/>
      <c r="AD356" s="86"/>
      <c r="AE356" s="86"/>
      <c r="AF356" s="86"/>
      <c r="AG356" s="86"/>
      <c r="AH356" s="86"/>
      <c r="AI356" s="86"/>
      <c r="AJ356" s="86"/>
    </row>
    <row r="357" spans="1:36" x14ac:dyDescent="0.25">
      <c r="A357" s="274"/>
      <c r="B357" s="87"/>
      <c r="C357" s="87"/>
      <c r="D357" s="87"/>
      <c r="E357" s="87"/>
      <c r="F357" s="87"/>
      <c r="G357" s="87"/>
      <c r="H357" s="87"/>
      <c r="I357" s="87"/>
      <c r="J357" s="87"/>
      <c r="K357" s="87"/>
      <c r="L357" s="87"/>
      <c r="M357" s="87"/>
      <c r="N357" s="87"/>
      <c r="O357" s="87"/>
      <c r="P357" s="87"/>
      <c r="Q357" s="87"/>
      <c r="R357" s="87"/>
      <c r="S357" s="87"/>
      <c r="T357" s="87"/>
      <c r="U357" s="87"/>
      <c r="V357" s="87"/>
      <c r="W357" s="87"/>
      <c r="X357" s="87"/>
      <c r="Y357" s="87"/>
      <c r="Z357" s="87"/>
      <c r="AA357" s="87"/>
      <c r="AB357" s="87"/>
      <c r="AC357" s="87"/>
      <c r="AD357" s="87"/>
      <c r="AE357" s="87"/>
      <c r="AF357" s="87"/>
      <c r="AG357" s="87"/>
      <c r="AH357" s="87"/>
      <c r="AI357" s="87"/>
      <c r="AJ357" s="87"/>
    </row>
    <row r="358" spans="1:36" x14ac:dyDescent="0.25">
      <c r="A358" s="273"/>
      <c r="B358" s="86"/>
      <c r="C358" s="86"/>
      <c r="D358" s="86"/>
      <c r="E358" s="86"/>
      <c r="F358" s="86"/>
      <c r="G358" s="86"/>
      <c r="H358" s="86"/>
      <c r="I358" s="86"/>
      <c r="J358" s="86"/>
      <c r="K358" s="86"/>
      <c r="L358" s="86"/>
      <c r="M358" s="86"/>
      <c r="N358" s="86"/>
      <c r="O358" s="86"/>
      <c r="P358" s="86"/>
      <c r="Q358" s="86"/>
      <c r="R358" s="86"/>
      <c r="S358" s="86"/>
      <c r="T358" s="86"/>
      <c r="U358" s="86"/>
      <c r="V358" s="86"/>
      <c r="W358" s="86"/>
      <c r="X358" s="86"/>
      <c r="Y358" s="86"/>
      <c r="Z358" s="86"/>
      <c r="AA358" s="86"/>
      <c r="AB358" s="86"/>
      <c r="AC358" s="86"/>
      <c r="AD358" s="86"/>
      <c r="AE358" s="86"/>
      <c r="AF358" s="86"/>
      <c r="AG358" s="86"/>
      <c r="AH358" s="86"/>
      <c r="AI358" s="86"/>
      <c r="AJ358" s="86"/>
    </row>
    <row r="359" spans="1:36" x14ac:dyDescent="0.25">
      <c r="A359" s="274"/>
      <c r="B359" s="87"/>
      <c r="C359" s="87"/>
      <c r="D359" s="87"/>
      <c r="E359" s="87"/>
      <c r="F359" s="87"/>
      <c r="G359" s="87"/>
      <c r="H359" s="87"/>
      <c r="I359" s="87"/>
      <c r="J359" s="87"/>
      <c r="K359" s="87"/>
      <c r="L359" s="87"/>
      <c r="M359" s="87"/>
      <c r="N359" s="87"/>
      <c r="O359" s="87"/>
      <c r="P359" s="87"/>
      <c r="Q359" s="87"/>
      <c r="R359" s="87"/>
      <c r="S359" s="87"/>
      <c r="T359" s="87"/>
      <c r="U359" s="87"/>
      <c r="V359" s="87"/>
      <c r="W359" s="87"/>
      <c r="X359" s="87"/>
      <c r="Y359" s="87"/>
      <c r="Z359" s="87"/>
      <c r="AA359" s="87"/>
      <c r="AB359" s="87"/>
      <c r="AC359" s="87"/>
      <c r="AD359" s="87"/>
      <c r="AE359" s="87"/>
      <c r="AF359" s="87"/>
      <c r="AG359" s="87"/>
      <c r="AH359" s="87"/>
      <c r="AI359" s="87"/>
      <c r="AJ359" s="87"/>
    </row>
    <row r="360" spans="1:36" x14ac:dyDescent="0.25">
      <c r="A360" s="273"/>
      <c r="B360" s="86"/>
      <c r="C360" s="86"/>
      <c r="D360" s="86"/>
      <c r="E360" s="86"/>
      <c r="F360" s="86"/>
      <c r="G360" s="86"/>
      <c r="H360" s="86"/>
      <c r="I360" s="86"/>
      <c r="J360" s="86"/>
      <c r="K360" s="86"/>
      <c r="L360" s="86"/>
      <c r="M360" s="86"/>
      <c r="N360" s="86"/>
      <c r="O360" s="86"/>
      <c r="P360" s="86"/>
      <c r="Q360" s="86"/>
      <c r="R360" s="86"/>
      <c r="S360" s="86"/>
      <c r="T360" s="86"/>
      <c r="U360" s="86"/>
      <c r="V360" s="86"/>
      <c r="W360" s="86"/>
      <c r="X360" s="86"/>
      <c r="Y360" s="86"/>
      <c r="Z360" s="86"/>
      <c r="AA360" s="86"/>
      <c r="AB360" s="86"/>
      <c r="AC360" s="86"/>
      <c r="AD360" s="86"/>
      <c r="AE360" s="86"/>
      <c r="AF360" s="86"/>
      <c r="AG360" s="86"/>
      <c r="AH360" s="86"/>
      <c r="AI360" s="86"/>
      <c r="AJ360" s="86"/>
    </row>
    <row r="361" spans="1:36" x14ac:dyDescent="0.25">
      <c r="A361" s="274"/>
      <c r="B361" s="87"/>
      <c r="C361" s="87"/>
      <c r="D361" s="87"/>
      <c r="E361" s="87"/>
      <c r="F361" s="87"/>
      <c r="G361" s="87"/>
      <c r="H361" s="87"/>
      <c r="I361" s="87"/>
      <c r="J361" s="87"/>
      <c r="K361" s="87"/>
      <c r="L361" s="87"/>
      <c r="M361" s="87"/>
      <c r="N361" s="87"/>
      <c r="O361" s="87"/>
      <c r="P361" s="87"/>
      <c r="Q361" s="87"/>
      <c r="R361" s="87"/>
      <c r="S361" s="87"/>
      <c r="T361" s="87"/>
      <c r="U361" s="87"/>
      <c r="V361" s="87"/>
      <c r="W361" s="87"/>
      <c r="X361" s="87"/>
      <c r="Y361" s="87"/>
      <c r="Z361" s="87"/>
      <c r="AA361" s="87"/>
      <c r="AB361" s="87"/>
      <c r="AC361" s="87"/>
      <c r="AD361" s="87"/>
      <c r="AE361" s="87"/>
      <c r="AF361" s="87"/>
      <c r="AG361" s="87"/>
      <c r="AH361" s="87"/>
      <c r="AI361" s="87"/>
      <c r="AJ361" s="87"/>
    </row>
    <row r="362" spans="1:36" x14ac:dyDescent="0.25">
      <c r="A362" s="273"/>
      <c r="B362" s="86"/>
      <c r="C362" s="86"/>
      <c r="D362" s="86"/>
      <c r="E362" s="86"/>
      <c r="F362" s="86"/>
      <c r="G362" s="86"/>
      <c r="H362" s="86"/>
      <c r="I362" s="86"/>
      <c r="J362" s="86"/>
      <c r="K362" s="86"/>
      <c r="L362" s="86"/>
      <c r="M362" s="86"/>
      <c r="N362" s="86"/>
      <c r="O362" s="86"/>
      <c r="P362" s="86"/>
      <c r="Q362" s="86"/>
      <c r="R362" s="86"/>
      <c r="S362" s="86"/>
      <c r="T362" s="86"/>
      <c r="U362" s="86"/>
      <c r="V362" s="86"/>
      <c r="W362" s="86"/>
      <c r="X362" s="86"/>
      <c r="Y362" s="86"/>
      <c r="Z362" s="86"/>
      <c r="AA362" s="86"/>
      <c r="AB362" s="86"/>
      <c r="AC362" s="86"/>
      <c r="AD362" s="86"/>
      <c r="AE362" s="86"/>
      <c r="AF362" s="86"/>
      <c r="AG362" s="86"/>
      <c r="AH362" s="86"/>
      <c r="AI362" s="86"/>
      <c r="AJ362" s="86"/>
    </row>
    <row r="363" spans="1:36" x14ac:dyDescent="0.25">
      <c r="A363" s="274"/>
      <c r="B363" s="87"/>
      <c r="C363" s="87"/>
      <c r="D363" s="87"/>
      <c r="E363" s="87"/>
      <c r="F363" s="87"/>
      <c r="G363" s="87"/>
      <c r="H363" s="87"/>
      <c r="I363" s="87"/>
      <c r="J363" s="87"/>
      <c r="K363" s="87"/>
      <c r="L363" s="87"/>
      <c r="M363" s="87"/>
      <c r="N363" s="87"/>
      <c r="O363" s="87"/>
      <c r="P363" s="87"/>
      <c r="Q363" s="87"/>
      <c r="R363" s="87"/>
      <c r="S363" s="87"/>
      <c r="T363" s="87"/>
      <c r="U363" s="87"/>
      <c r="V363" s="87"/>
      <c r="W363" s="87"/>
      <c r="X363" s="87"/>
      <c r="Y363" s="87"/>
      <c r="Z363" s="87"/>
      <c r="AA363" s="87"/>
      <c r="AB363" s="87"/>
      <c r="AC363" s="87"/>
      <c r="AD363" s="87"/>
      <c r="AE363" s="87"/>
      <c r="AF363" s="87"/>
      <c r="AG363" s="87"/>
      <c r="AH363" s="87"/>
      <c r="AI363" s="87"/>
      <c r="AJ363" s="87"/>
    </row>
    <row r="364" spans="1:36" x14ac:dyDescent="0.25">
      <c r="A364" s="273"/>
      <c r="B364" s="86"/>
      <c r="C364" s="86"/>
      <c r="D364" s="86"/>
      <c r="E364" s="86"/>
      <c r="F364" s="86"/>
      <c r="G364" s="86"/>
      <c r="H364" s="86"/>
      <c r="I364" s="86"/>
      <c r="J364" s="86"/>
      <c r="K364" s="86"/>
      <c r="L364" s="86"/>
      <c r="M364" s="86"/>
      <c r="N364" s="86"/>
      <c r="O364" s="86"/>
      <c r="P364" s="86"/>
      <c r="Q364" s="86"/>
      <c r="R364" s="86"/>
      <c r="S364" s="86"/>
      <c r="T364" s="86"/>
      <c r="U364" s="86"/>
      <c r="V364" s="86"/>
      <c r="W364" s="86"/>
      <c r="X364" s="86"/>
      <c r="Y364" s="86"/>
      <c r="Z364" s="86"/>
      <c r="AA364" s="86"/>
      <c r="AB364" s="86"/>
      <c r="AC364" s="86"/>
      <c r="AD364" s="86"/>
      <c r="AE364" s="86"/>
      <c r="AF364" s="86"/>
      <c r="AG364" s="86"/>
      <c r="AH364" s="86"/>
      <c r="AI364" s="86"/>
      <c r="AJ364" s="86"/>
    </row>
    <row r="365" spans="1:36" x14ac:dyDescent="0.25">
      <c r="A365" s="274"/>
      <c r="B365" s="87"/>
      <c r="C365" s="87"/>
      <c r="D365" s="87"/>
      <c r="E365" s="87"/>
      <c r="F365" s="87"/>
      <c r="G365" s="87"/>
      <c r="H365" s="87"/>
      <c r="I365" s="87"/>
      <c r="J365" s="87"/>
      <c r="K365" s="87"/>
      <c r="L365" s="87"/>
      <c r="M365" s="87"/>
      <c r="N365" s="87"/>
      <c r="O365" s="87"/>
      <c r="P365" s="87"/>
      <c r="Q365" s="87"/>
      <c r="R365" s="87"/>
      <c r="S365" s="87"/>
      <c r="T365" s="87"/>
      <c r="U365" s="87"/>
      <c r="V365" s="87"/>
      <c r="W365" s="87"/>
      <c r="X365" s="87"/>
      <c r="Y365" s="87"/>
      <c r="Z365" s="87"/>
      <c r="AA365" s="87"/>
      <c r="AB365" s="87"/>
      <c r="AC365" s="87"/>
      <c r="AD365" s="87"/>
      <c r="AE365" s="87"/>
      <c r="AF365" s="87"/>
      <c r="AG365" s="87"/>
      <c r="AH365" s="87"/>
      <c r="AI365" s="87"/>
      <c r="AJ365" s="87"/>
    </row>
    <row r="366" spans="1:36" x14ac:dyDescent="0.25">
      <c r="A366" s="273"/>
      <c r="B366" s="86"/>
      <c r="C366" s="86"/>
      <c r="D366" s="86"/>
      <c r="E366" s="86"/>
      <c r="F366" s="86"/>
      <c r="G366" s="86"/>
      <c r="H366" s="86"/>
      <c r="I366" s="86"/>
      <c r="J366" s="86"/>
      <c r="K366" s="86"/>
      <c r="L366" s="86"/>
      <c r="M366" s="86"/>
      <c r="N366" s="86"/>
      <c r="O366" s="86"/>
      <c r="P366" s="86"/>
      <c r="Q366" s="86"/>
      <c r="R366" s="86"/>
      <c r="S366" s="86"/>
      <c r="T366" s="86"/>
      <c r="U366" s="86"/>
      <c r="V366" s="86"/>
      <c r="W366" s="86"/>
      <c r="X366" s="86"/>
      <c r="Y366" s="86"/>
      <c r="Z366" s="86"/>
      <c r="AA366" s="86"/>
      <c r="AB366" s="86"/>
      <c r="AC366" s="86"/>
      <c r="AD366" s="86"/>
      <c r="AE366" s="86"/>
      <c r="AF366" s="86"/>
      <c r="AG366" s="86"/>
      <c r="AH366" s="86"/>
      <c r="AI366" s="86"/>
      <c r="AJ366" s="86"/>
    </row>
    <row r="367" spans="1:36" x14ac:dyDescent="0.25">
      <c r="A367" s="274"/>
      <c r="B367" s="87"/>
      <c r="C367" s="87"/>
      <c r="D367" s="87"/>
      <c r="E367" s="87"/>
      <c r="F367" s="87"/>
      <c r="G367" s="87"/>
      <c r="H367" s="87"/>
      <c r="I367" s="87"/>
      <c r="J367" s="87"/>
      <c r="K367" s="87"/>
      <c r="L367" s="87"/>
      <c r="M367" s="87"/>
      <c r="N367" s="87"/>
      <c r="O367" s="87"/>
      <c r="P367" s="87"/>
      <c r="Q367" s="87"/>
      <c r="R367" s="87"/>
      <c r="S367" s="87"/>
      <c r="T367" s="87"/>
      <c r="U367" s="87"/>
      <c r="V367" s="87"/>
      <c r="W367" s="87"/>
      <c r="X367" s="87"/>
      <c r="Y367" s="87"/>
      <c r="Z367" s="87"/>
      <c r="AA367" s="87"/>
      <c r="AB367" s="87"/>
      <c r="AC367" s="87"/>
      <c r="AD367" s="87"/>
      <c r="AE367" s="87"/>
      <c r="AF367" s="87"/>
      <c r="AG367" s="87"/>
      <c r="AH367" s="87"/>
      <c r="AI367" s="87"/>
      <c r="AJ367" s="87"/>
    </row>
    <row r="368" spans="1:36" x14ac:dyDescent="0.25">
      <c r="A368" s="273"/>
      <c r="B368" s="86"/>
      <c r="C368" s="86"/>
      <c r="D368" s="86"/>
      <c r="E368" s="86"/>
      <c r="F368" s="86"/>
      <c r="G368" s="86"/>
      <c r="H368" s="86"/>
      <c r="I368" s="86"/>
      <c r="J368" s="86"/>
      <c r="K368" s="86"/>
      <c r="L368" s="86"/>
      <c r="M368" s="86"/>
      <c r="N368" s="86"/>
      <c r="O368" s="86"/>
      <c r="P368" s="86"/>
      <c r="Q368" s="86"/>
      <c r="R368" s="86"/>
      <c r="S368" s="86"/>
      <c r="T368" s="86"/>
      <c r="U368" s="86"/>
      <c r="V368" s="86"/>
      <c r="W368" s="86"/>
      <c r="X368" s="86"/>
      <c r="Y368" s="86"/>
      <c r="Z368" s="86"/>
      <c r="AA368" s="86"/>
      <c r="AB368" s="86"/>
      <c r="AC368" s="86"/>
      <c r="AD368" s="86"/>
      <c r="AE368" s="86"/>
      <c r="AF368" s="86"/>
      <c r="AG368" s="86"/>
      <c r="AH368" s="86"/>
      <c r="AI368" s="86"/>
      <c r="AJ368" s="86"/>
    </row>
    <row r="369" spans="1:36" x14ac:dyDescent="0.25">
      <c r="A369" s="274"/>
      <c r="B369" s="87"/>
      <c r="C369" s="87"/>
      <c r="D369" s="87"/>
      <c r="E369" s="87"/>
      <c r="F369" s="87"/>
      <c r="G369" s="87"/>
      <c r="H369" s="87"/>
      <c r="I369" s="87"/>
      <c r="J369" s="87"/>
      <c r="K369" s="87"/>
      <c r="L369" s="87"/>
      <c r="M369" s="87"/>
      <c r="N369" s="87"/>
      <c r="O369" s="87"/>
      <c r="P369" s="87"/>
      <c r="Q369" s="87"/>
      <c r="R369" s="87"/>
      <c r="S369" s="87"/>
      <c r="T369" s="87"/>
      <c r="U369" s="87"/>
      <c r="V369" s="87"/>
      <c r="W369" s="87"/>
      <c r="X369" s="87"/>
      <c r="Y369" s="87"/>
      <c r="Z369" s="87"/>
      <c r="AA369" s="87"/>
      <c r="AB369" s="87"/>
      <c r="AC369" s="87"/>
      <c r="AD369" s="87"/>
      <c r="AE369" s="87"/>
      <c r="AF369" s="87"/>
      <c r="AG369" s="87"/>
      <c r="AH369" s="87"/>
      <c r="AI369" s="87"/>
      <c r="AJ369" s="87"/>
    </row>
    <row r="370" spans="1:36" x14ac:dyDescent="0.25">
      <c r="A370" s="273"/>
      <c r="B370" s="86"/>
      <c r="C370" s="86"/>
      <c r="D370" s="86"/>
      <c r="E370" s="86"/>
      <c r="F370" s="86"/>
      <c r="G370" s="86"/>
      <c r="H370" s="86"/>
      <c r="I370" s="86"/>
      <c r="J370" s="86"/>
      <c r="K370" s="86"/>
      <c r="L370" s="86"/>
      <c r="M370" s="86"/>
      <c r="N370" s="86"/>
      <c r="O370" s="86"/>
      <c r="P370" s="86"/>
      <c r="Q370" s="86"/>
      <c r="R370" s="86"/>
      <c r="S370" s="86"/>
      <c r="T370" s="86"/>
      <c r="U370" s="86"/>
      <c r="V370" s="86"/>
      <c r="W370" s="86"/>
      <c r="X370" s="86"/>
      <c r="Y370" s="86"/>
      <c r="Z370" s="86"/>
      <c r="AA370" s="86"/>
      <c r="AB370" s="86"/>
      <c r="AC370" s="86"/>
      <c r="AD370" s="86"/>
      <c r="AE370" s="86"/>
      <c r="AF370" s="86"/>
      <c r="AG370" s="86"/>
      <c r="AH370" s="86"/>
      <c r="AI370" s="86"/>
      <c r="AJ370" s="86"/>
    </row>
    <row r="371" spans="1:36" x14ac:dyDescent="0.25">
      <c r="A371" s="274"/>
      <c r="B371" s="87"/>
      <c r="C371" s="87"/>
      <c r="D371" s="87"/>
      <c r="E371" s="87"/>
      <c r="F371" s="87"/>
      <c r="G371" s="87"/>
      <c r="H371" s="87"/>
      <c r="I371" s="87"/>
      <c r="J371" s="87"/>
      <c r="K371" s="87"/>
      <c r="L371" s="87"/>
      <c r="M371" s="87"/>
      <c r="N371" s="87"/>
      <c r="O371" s="87"/>
      <c r="P371" s="87"/>
      <c r="Q371" s="87"/>
      <c r="R371" s="87"/>
      <c r="S371" s="87"/>
      <c r="T371" s="87"/>
      <c r="U371" s="87"/>
      <c r="V371" s="87"/>
      <c r="W371" s="87"/>
      <c r="X371" s="87"/>
      <c r="Y371" s="87"/>
      <c r="Z371" s="87"/>
      <c r="AA371" s="87"/>
      <c r="AB371" s="87"/>
      <c r="AC371" s="87"/>
      <c r="AD371" s="87"/>
      <c r="AE371" s="87"/>
      <c r="AF371" s="87"/>
      <c r="AG371" s="87"/>
      <c r="AH371" s="87"/>
      <c r="AI371" s="87"/>
      <c r="AJ371" s="87"/>
    </row>
    <row r="372" spans="1:36" x14ac:dyDescent="0.25">
      <c r="A372" s="273"/>
      <c r="B372" s="86"/>
      <c r="C372" s="86"/>
      <c r="D372" s="86"/>
      <c r="E372" s="86"/>
      <c r="F372" s="86"/>
      <c r="G372" s="86"/>
      <c r="H372" s="86"/>
      <c r="I372" s="86"/>
      <c r="J372" s="86"/>
      <c r="K372" s="86"/>
      <c r="L372" s="86"/>
      <c r="M372" s="86"/>
      <c r="N372" s="86"/>
      <c r="O372" s="86"/>
      <c r="P372" s="86"/>
      <c r="Q372" s="86"/>
      <c r="R372" s="86"/>
      <c r="S372" s="86"/>
      <c r="T372" s="86"/>
      <c r="U372" s="86"/>
      <c r="V372" s="86"/>
      <c r="W372" s="86"/>
      <c r="X372" s="86"/>
      <c r="Y372" s="86"/>
      <c r="Z372" s="86"/>
      <c r="AA372" s="86"/>
      <c r="AB372" s="86"/>
      <c r="AC372" s="86"/>
      <c r="AD372" s="86"/>
      <c r="AE372" s="86"/>
      <c r="AF372" s="86"/>
      <c r="AG372" s="86"/>
      <c r="AH372" s="86"/>
      <c r="AI372" s="86"/>
      <c r="AJ372" s="86"/>
    </row>
    <row r="373" spans="1:36" x14ac:dyDescent="0.25">
      <c r="A373" s="274"/>
      <c r="B373" s="87"/>
      <c r="C373" s="87"/>
      <c r="D373" s="87"/>
      <c r="E373" s="87"/>
      <c r="F373" s="87"/>
      <c r="G373" s="87"/>
      <c r="H373" s="87"/>
      <c r="I373" s="87"/>
      <c r="J373" s="87"/>
      <c r="K373" s="87"/>
      <c r="L373" s="87"/>
      <c r="M373" s="87"/>
      <c r="N373" s="87"/>
      <c r="O373" s="87"/>
      <c r="P373" s="87"/>
      <c r="Q373" s="87"/>
      <c r="R373" s="87"/>
      <c r="S373" s="87"/>
      <c r="T373" s="87"/>
      <c r="U373" s="87"/>
      <c r="V373" s="87"/>
      <c r="W373" s="87"/>
      <c r="X373" s="87"/>
      <c r="Y373" s="87"/>
      <c r="Z373" s="87"/>
      <c r="AA373" s="87"/>
      <c r="AB373" s="87"/>
      <c r="AC373" s="87"/>
      <c r="AD373" s="87"/>
      <c r="AE373" s="87"/>
      <c r="AF373" s="87"/>
      <c r="AG373" s="87"/>
      <c r="AH373" s="87"/>
      <c r="AI373" s="87"/>
      <c r="AJ373" s="87"/>
    </row>
    <row r="374" spans="1:36" x14ac:dyDescent="0.25">
      <c r="A374" s="273"/>
      <c r="B374" s="86"/>
      <c r="C374" s="86"/>
      <c r="D374" s="86"/>
      <c r="E374" s="86"/>
      <c r="F374" s="86"/>
      <c r="G374" s="86"/>
      <c r="H374" s="86"/>
      <c r="I374" s="86"/>
      <c r="J374" s="86"/>
      <c r="K374" s="86"/>
      <c r="L374" s="86"/>
      <c r="M374" s="86"/>
      <c r="N374" s="86"/>
      <c r="O374" s="86"/>
      <c r="P374" s="86"/>
      <c r="Q374" s="86"/>
      <c r="R374" s="86"/>
      <c r="S374" s="86"/>
      <c r="T374" s="86"/>
      <c r="U374" s="86"/>
      <c r="V374" s="86"/>
      <c r="W374" s="86"/>
      <c r="X374" s="86"/>
      <c r="Y374" s="86"/>
      <c r="Z374" s="86"/>
      <c r="AA374" s="86"/>
      <c r="AB374" s="86"/>
      <c r="AC374" s="86"/>
      <c r="AD374" s="86"/>
      <c r="AE374" s="86"/>
      <c r="AF374" s="86"/>
      <c r="AG374" s="86"/>
      <c r="AH374" s="86"/>
      <c r="AI374" s="86"/>
      <c r="AJ374" s="86"/>
    </row>
    <row r="375" spans="1:36" x14ac:dyDescent="0.25">
      <c r="A375" s="274"/>
      <c r="B375" s="87"/>
      <c r="C375" s="87"/>
      <c r="D375" s="87"/>
      <c r="E375" s="87"/>
      <c r="F375" s="87"/>
      <c r="G375" s="87"/>
      <c r="H375" s="87"/>
      <c r="I375" s="87"/>
      <c r="J375" s="87"/>
      <c r="K375" s="87"/>
      <c r="L375" s="87"/>
      <c r="M375" s="87"/>
      <c r="N375" s="87"/>
      <c r="O375" s="87"/>
      <c r="P375" s="87"/>
      <c r="Q375" s="87"/>
      <c r="R375" s="87"/>
      <c r="S375" s="87"/>
      <c r="T375" s="87"/>
      <c r="U375" s="87"/>
      <c r="V375" s="87"/>
      <c r="W375" s="87"/>
      <c r="X375" s="87"/>
      <c r="Y375" s="87"/>
      <c r="Z375" s="87"/>
      <c r="AA375" s="87"/>
      <c r="AB375" s="87"/>
      <c r="AC375" s="87"/>
      <c r="AD375" s="87"/>
      <c r="AE375" s="87"/>
      <c r="AF375" s="87"/>
      <c r="AG375" s="87"/>
      <c r="AH375" s="87"/>
      <c r="AI375" s="87"/>
      <c r="AJ375" s="87"/>
    </row>
    <row r="376" spans="1:36" x14ac:dyDescent="0.25">
      <c r="A376" s="273"/>
      <c r="B376" s="86"/>
      <c r="C376" s="86"/>
      <c r="D376" s="86"/>
      <c r="E376" s="86"/>
      <c r="F376" s="86"/>
      <c r="G376" s="86"/>
      <c r="H376" s="86"/>
      <c r="I376" s="86"/>
      <c r="J376" s="86"/>
      <c r="K376" s="86"/>
      <c r="L376" s="86"/>
      <c r="M376" s="86"/>
      <c r="N376" s="86"/>
      <c r="O376" s="86"/>
      <c r="P376" s="86"/>
      <c r="Q376" s="86"/>
      <c r="R376" s="86"/>
      <c r="S376" s="86"/>
      <c r="T376" s="86"/>
      <c r="U376" s="86"/>
      <c r="V376" s="86"/>
      <c r="W376" s="86"/>
      <c r="X376" s="86"/>
      <c r="Y376" s="86"/>
      <c r="Z376" s="86"/>
      <c r="AA376" s="86"/>
      <c r="AB376" s="86"/>
      <c r="AC376" s="86"/>
      <c r="AD376" s="86"/>
      <c r="AE376" s="86"/>
      <c r="AF376" s="86"/>
      <c r="AG376" s="86"/>
      <c r="AH376" s="86"/>
      <c r="AI376" s="86"/>
      <c r="AJ376" s="86"/>
    </row>
    <row r="377" spans="1:36" x14ac:dyDescent="0.25">
      <c r="A377" s="274"/>
      <c r="B377" s="87"/>
      <c r="C377" s="87"/>
      <c r="D377" s="87"/>
      <c r="E377" s="87"/>
      <c r="F377" s="87"/>
      <c r="G377" s="87"/>
      <c r="H377" s="87"/>
      <c r="I377" s="87"/>
      <c r="J377" s="87"/>
      <c r="K377" s="87"/>
      <c r="L377" s="87"/>
      <c r="M377" s="87"/>
      <c r="N377" s="87"/>
      <c r="O377" s="87"/>
      <c r="P377" s="87"/>
      <c r="Q377" s="87"/>
      <c r="R377" s="87"/>
      <c r="S377" s="87"/>
      <c r="T377" s="87"/>
      <c r="U377" s="87"/>
      <c r="V377" s="87"/>
      <c r="W377" s="87"/>
      <c r="X377" s="87"/>
      <c r="Y377" s="87"/>
      <c r="Z377" s="87"/>
      <c r="AA377" s="87"/>
      <c r="AB377" s="87"/>
      <c r="AC377" s="87"/>
      <c r="AD377" s="87"/>
      <c r="AE377" s="87"/>
      <c r="AF377" s="87"/>
      <c r="AG377" s="87"/>
      <c r="AH377" s="87"/>
      <c r="AI377" s="87"/>
      <c r="AJ377" s="87"/>
    </row>
    <row r="378" spans="1:36" x14ac:dyDescent="0.25">
      <c r="A378" s="273"/>
      <c r="B378" s="86"/>
      <c r="C378" s="86"/>
      <c r="D378" s="86"/>
      <c r="E378" s="86"/>
      <c r="F378" s="86"/>
      <c r="G378" s="86"/>
      <c r="H378" s="86"/>
      <c r="I378" s="86"/>
      <c r="J378" s="86"/>
      <c r="K378" s="86"/>
      <c r="L378" s="86"/>
      <c r="M378" s="86"/>
      <c r="N378" s="86"/>
      <c r="O378" s="86"/>
      <c r="P378" s="86"/>
      <c r="Q378" s="86"/>
      <c r="R378" s="86"/>
      <c r="S378" s="86"/>
      <c r="T378" s="86"/>
      <c r="U378" s="86"/>
      <c r="V378" s="86"/>
      <c r="W378" s="86"/>
      <c r="X378" s="86"/>
      <c r="Y378" s="86"/>
      <c r="Z378" s="86"/>
      <c r="AA378" s="86"/>
      <c r="AB378" s="86"/>
      <c r="AC378" s="86"/>
      <c r="AD378" s="86"/>
      <c r="AE378" s="86"/>
      <c r="AF378" s="86"/>
      <c r="AG378" s="86"/>
      <c r="AH378" s="86"/>
      <c r="AI378" s="86"/>
      <c r="AJ378" s="86"/>
    </row>
    <row r="379" spans="1:36" x14ac:dyDescent="0.25">
      <c r="A379" s="274"/>
      <c r="B379" s="87"/>
      <c r="C379" s="87"/>
      <c r="D379" s="87"/>
      <c r="E379" s="87"/>
      <c r="F379" s="87"/>
      <c r="G379" s="87"/>
      <c r="H379" s="87"/>
      <c r="I379" s="87"/>
      <c r="J379" s="87"/>
      <c r="K379" s="87"/>
      <c r="L379" s="87"/>
      <c r="M379" s="87"/>
      <c r="N379" s="87"/>
      <c r="O379" s="87"/>
      <c r="P379" s="87"/>
      <c r="Q379" s="87"/>
      <c r="R379" s="87"/>
      <c r="S379" s="87"/>
      <c r="T379" s="87"/>
      <c r="U379" s="87"/>
      <c r="V379" s="87"/>
      <c r="W379" s="87"/>
      <c r="X379" s="87"/>
      <c r="Y379" s="87"/>
      <c r="Z379" s="87"/>
      <c r="AA379" s="87"/>
      <c r="AB379" s="87"/>
      <c r="AC379" s="87"/>
      <c r="AD379" s="87"/>
      <c r="AE379" s="87"/>
      <c r="AF379" s="87"/>
      <c r="AG379" s="87"/>
      <c r="AH379" s="87"/>
      <c r="AI379" s="87"/>
      <c r="AJ379" s="87"/>
    </row>
    <row r="380" spans="1:36" x14ac:dyDescent="0.25">
      <c r="A380" s="273"/>
      <c r="B380" s="86"/>
      <c r="C380" s="86"/>
      <c r="D380" s="86"/>
      <c r="E380" s="86"/>
      <c r="F380" s="86"/>
      <c r="G380" s="86"/>
      <c r="H380" s="86"/>
      <c r="I380" s="86"/>
      <c r="J380" s="86"/>
      <c r="K380" s="86"/>
      <c r="L380" s="86"/>
      <c r="M380" s="86"/>
      <c r="N380" s="86"/>
      <c r="O380" s="86"/>
      <c r="P380" s="86"/>
      <c r="Q380" s="86"/>
      <c r="R380" s="86"/>
      <c r="S380" s="86"/>
      <c r="T380" s="86"/>
      <c r="U380" s="86"/>
      <c r="V380" s="86"/>
      <c r="W380" s="86"/>
      <c r="X380" s="86"/>
      <c r="Y380" s="86"/>
      <c r="Z380" s="86"/>
      <c r="AA380" s="86"/>
      <c r="AB380" s="86"/>
      <c r="AC380" s="86"/>
      <c r="AD380" s="86"/>
      <c r="AE380" s="86"/>
      <c r="AF380" s="86"/>
      <c r="AG380" s="86"/>
      <c r="AH380" s="86"/>
      <c r="AI380" s="86"/>
      <c r="AJ380" s="86"/>
    </row>
    <row r="381" spans="1:36" x14ac:dyDescent="0.25">
      <c r="A381" s="274"/>
      <c r="B381" s="87"/>
      <c r="C381" s="87"/>
      <c r="D381" s="87"/>
      <c r="E381" s="87"/>
      <c r="F381" s="87"/>
      <c r="G381" s="87"/>
      <c r="H381" s="87"/>
      <c r="I381" s="87"/>
      <c r="J381" s="87"/>
      <c r="K381" s="87"/>
      <c r="L381" s="87"/>
      <c r="M381" s="87"/>
      <c r="N381" s="87"/>
      <c r="O381" s="87"/>
      <c r="P381" s="87"/>
      <c r="Q381" s="87"/>
      <c r="R381" s="87"/>
      <c r="S381" s="87"/>
      <c r="T381" s="87"/>
      <c r="U381" s="87"/>
      <c r="V381" s="87"/>
      <c r="W381" s="87"/>
      <c r="X381" s="87"/>
      <c r="Y381" s="87"/>
      <c r="Z381" s="87"/>
      <c r="AA381" s="87"/>
      <c r="AB381" s="87"/>
      <c r="AC381" s="87"/>
      <c r="AD381" s="87"/>
      <c r="AE381" s="87"/>
      <c r="AF381" s="87"/>
      <c r="AG381" s="87"/>
      <c r="AH381" s="87"/>
      <c r="AI381" s="87"/>
      <c r="AJ381" s="87"/>
    </row>
    <row r="382" spans="1:36" x14ac:dyDescent="0.25">
      <c r="A382" s="273"/>
      <c r="B382" s="86"/>
      <c r="C382" s="86"/>
      <c r="D382" s="86"/>
      <c r="E382" s="86"/>
      <c r="F382" s="86"/>
      <c r="G382" s="86"/>
      <c r="H382" s="86"/>
      <c r="I382" s="86"/>
      <c r="J382" s="86"/>
      <c r="K382" s="86"/>
      <c r="L382" s="86"/>
      <c r="M382" s="86"/>
      <c r="N382" s="86"/>
      <c r="O382" s="86"/>
      <c r="P382" s="86"/>
      <c r="Q382" s="86"/>
      <c r="R382" s="86"/>
      <c r="S382" s="86"/>
      <c r="T382" s="86"/>
      <c r="U382" s="86"/>
      <c r="V382" s="86"/>
      <c r="W382" s="86"/>
      <c r="X382" s="86"/>
      <c r="Y382" s="86"/>
      <c r="Z382" s="86"/>
      <c r="AA382" s="86"/>
      <c r="AB382" s="86"/>
      <c r="AC382" s="86"/>
      <c r="AD382" s="86"/>
      <c r="AE382" s="86"/>
      <c r="AF382" s="86"/>
      <c r="AG382" s="86"/>
      <c r="AH382" s="86"/>
      <c r="AI382" s="86"/>
      <c r="AJ382" s="86"/>
    </row>
    <row r="383" spans="1:36" x14ac:dyDescent="0.25">
      <c r="A383" s="274"/>
      <c r="B383" s="87"/>
      <c r="C383" s="87"/>
      <c r="D383" s="87"/>
      <c r="E383" s="87"/>
      <c r="F383" s="87"/>
      <c r="G383" s="87"/>
      <c r="H383" s="87"/>
      <c r="I383" s="87"/>
      <c r="J383" s="87"/>
      <c r="K383" s="87"/>
      <c r="L383" s="87"/>
      <c r="M383" s="87"/>
      <c r="N383" s="87"/>
      <c r="O383" s="87"/>
      <c r="P383" s="87"/>
      <c r="Q383" s="87"/>
      <c r="R383" s="87"/>
      <c r="S383" s="87"/>
      <c r="T383" s="87"/>
      <c r="U383" s="87"/>
      <c r="V383" s="87"/>
      <c r="W383" s="87"/>
      <c r="X383" s="87"/>
      <c r="Y383" s="87"/>
      <c r="Z383" s="87"/>
      <c r="AA383" s="87"/>
      <c r="AB383" s="87"/>
      <c r="AC383" s="87"/>
      <c r="AD383" s="87"/>
      <c r="AE383" s="87"/>
      <c r="AF383" s="87"/>
      <c r="AG383" s="87"/>
      <c r="AH383" s="87"/>
      <c r="AI383" s="87"/>
      <c r="AJ383" s="87"/>
    </row>
    <row r="384" spans="1:36" x14ac:dyDescent="0.25">
      <c r="A384" s="273"/>
      <c r="B384" s="86"/>
      <c r="C384" s="86"/>
      <c r="D384" s="86"/>
      <c r="E384" s="86"/>
      <c r="F384" s="86"/>
      <c r="G384" s="86"/>
      <c r="H384" s="86"/>
      <c r="I384" s="86"/>
      <c r="J384" s="86"/>
      <c r="K384" s="86"/>
      <c r="L384" s="86"/>
      <c r="M384" s="86"/>
      <c r="N384" s="86"/>
      <c r="O384" s="86"/>
      <c r="P384" s="86"/>
      <c r="Q384" s="86"/>
      <c r="R384" s="86"/>
      <c r="S384" s="86"/>
      <c r="T384" s="86"/>
      <c r="U384" s="86"/>
      <c r="V384" s="86"/>
      <c r="W384" s="86"/>
      <c r="X384" s="86"/>
      <c r="Y384" s="86"/>
      <c r="Z384" s="86"/>
      <c r="AA384" s="86"/>
      <c r="AB384" s="86"/>
      <c r="AC384" s="86"/>
      <c r="AD384" s="86"/>
      <c r="AE384" s="86"/>
      <c r="AF384" s="86"/>
      <c r="AG384" s="86"/>
      <c r="AH384" s="86"/>
      <c r="AI384" s="86"/>
      <c r="AJ384" s="86"/>
    </row>
    <row r="385" spans="1:36" x14ac:dyDescent="0.25">
      <c r="A385" s="274"/>
      <c r="B385" s="87"/>
      <c r="C385" s="87"/>
      <c r="D385" s="87"/>
      <c r="E385" s="87"/>
      <c r="F385" s="87"/>
      <c r="G385" s="87"/>
      <c r="H385" s="87"/>
      <c r="I385" s="87"/>
      <c r="J385" s="87"/>
      <c r="K385" s="87"/>
      <c r="L385" s="87"/>
      <c r="M385" s="87"/>
      <c r="N385" s="87"/>
      <c r="O385" s="87"/>
      <c r="P385" s="87"/>
      <c r="Q385" s="87"/>
      <c r="R385" s="87"/>
      <c r="S385" s="87"/>
      <c r="T385" s="87"/>
      <c r="U385" s="87"/>
      <c r="V385" s="87"/>
      <c r="W385" s="87"/>
      <c r="X385" s="87"/>
      <c r="Y385" s="87"/>
      <c r="Z385" s="87"/>
      <c r="AA385" s="87"/>
      <c r="AB385" s="87"/>
      <c r="AC385" s="87"/>
      <c r="AD385" s="87"/>
      <c r="AE385" s="87"/>
      <c r="AF385" s="87"/>
      <c r="AG385" s="87"/>
      <c r="AH385" s="87"/>
      <c r="AI385" s="87"/>
      <c r="AJ385" s="87"/>
    </row>
    <row r="386" spans="1:36" x14ac:dyDescent="0.25">
      <c r="A386" s="273"/>
      <c r="B386" s="86"/>
      <c r="C386" s="86"/>
      <c r="D386" s="86"/>
      <c r="E386" s="86"/>
      <c r="F386" s="86"/>
      <c r="G386" s="86"/>
      <c r="H386" s="86"/>
      <c r="I386" s="86"/>
      <c r="J386" s="86"/>
      <c r="K386" s="86"/>
      <c r="L386" s="86"/>
      <c r="M386" s="86"/>
      <c r="N386" s="86"/>
      <c r="O386" s="86"/>
      <c r="P386" s="86"/>
      <c r="Q386" s="86"/>
      <c r="R386" s="86"/>
      <c r="S386" s="86"/>
      <c r="T386" s="86"/>
      <c r="U386" s="86"/>
      <c r="V386" s="86"/>
      <c r="W386" s="86"/>
      <c r="X386" s="86"/>
      <c r="Y386" s="86"/>
      <c r="Z386" s="86"/>
      <c r="AA386" s="86"/>
      <c r="AB386" s="86"/>
      <c r="AC386" s="86"/>
      <c r="AD386" s="86"/>
      <c r="AE386" s="86"/>
      <c r="AF386" s="86"/>
      <c r="AG386" s="86"/>
      <c r="AH386" s="86"/>
      <c r="AI386" s="86"/>
      <c r="AJ386" s="86"/>
    </row>
    <row r="387" spans="1:36" x14ac:dyDescent="0.25">
      <c r="A387" s="274"/>
      <c r="B387" s="87"/>
      <c r="C387" s="87"/>
      <c r="D387" s="87"/>
      <c r="E387" s="87"/>
      <c r="F387" s="87"/>
      <c r="G387" s="87"/>
      <c r="H387" s="87"/>
      <c r="I387" s="87"/>
      <c r="J387" s="87"/>
      <c r="K387" s="87"/>
      <c r="L387" s="87"/>
      <c r="M387" s="87"/>
      <c r="N387" s="87"/>
      <c r="O387" s="87"/>
      <c r="P387" s="87"/>
      <c r="Q387" s="87"/>
      <c r="R387" s="87"/>
      <c r="S387" s="87"/>
      <c r="T387" s="87"/>
      <c r="U387" s="87"/>
      <c r="V387" s="87"/>
      <c r="W387" s="87"/>
      <c r="X387" s="87"/>
      <c r="Y387" s="87"/>
      <c r="Z387" s="87"/>
      <c r="AA387" s="87"/>
      <c r="AB387" s="87"/>
      <c r="AC387" s="87"/>
      <c r="AD387" s="87"/>
      <c r="AE387" s="87"/>
      <c r="AF387" s="87"/>
      <c r="AG387" s="87"/>
      <c r="AH387" s="87"/>
      <c r="AI387" s="87"/>
      <c r="AJ387" s="87"/>
    </row>
    <row r="388" spans="1:36" x14ac:dyDescent="0.25">
      <c r="A388" s="273"/>
      <c r="B388" s="86"/>
      <c r="C388" s="86"/>
      <c r="D388" s="86"/>
      <c r="E388" s="86"/>
      <c r="F388" s="86"/>
      <c r="G388" s="86"/>
      <c r="H388" s="86"/>
      <c r="I388" s="86"/>
      <c r="J388" s="86"/>
      <c r="K388" s="86"/>
      <c r="L388" s="86"/>
      <c r="M388" s="86"/>
      <c r="N388" s="86"/>
      <c r="O388" s="86"/>
      <c r="P388" s="86"/>
      <c r="Q388" s="86"/>
      <c r="R388" s="86"/>
      <c r="S388" s="86"/>
      <c r="T388" s="86"/>
      <c r="U388" s="86"/>
      <c r="V388" s="86"/>
      <c r="W388" s="86"/>
      <c r="X388" s="86"/>
      <c r="Y388" s="86"/>
      <c r="Z388" s="86"/>
      <c r="AA388" s="86"/>
      <c r="AB388" s="86"/>
      <c r="AC388" s="86"/>
      <c r="AD388" s="86"/>
      <c r="AE388" s="86"/>
      <c r="AF388" s="86"/>
      <c r="AG388" s="86"/>
      <c r="AH388" s="86"/>
      <c r="AI388" s="86"/>
      <c r="AJ388" s="86"/>
    </row>
    <row r="389" spans="1:36" x14ac:dyDescent="0.25">
      <c r="A389" s="274"/>
      <c r="B389" s="87"/>
      <c r="C389" s="87"/>
      <c r="D389" s="87"/>
      <c r="E389" s="87"/>
      <c r="F389" s="87"/>
      <c r="G389" s="87"/>
      <c r="H389" s="87"/>
      <c r="I389" s="87"/>
      <c r="J389" s="87"/>
      <c r="K389" s="87"/>
      <c r="L389" s="87"/>
      <c r="M389" s="87"/>
      <c r="N389" s="87"/>
      <c r="O389" s="87"/>
      <c r="P389" s="87"/>
      <c r="Q389" s="87"/>
      <c r="R389" s="87"/>
      <c r="S389" s="87"/>
      <c r="T389" s="87"/>
      <c r="U389" s="87"/>
      <c r="V389" s="87"/>
      <c r="W389" s="87"/>
      <c r="X389" s="87"/>
      <c r="Y389" s="87"/>
      <c r="Z389" s="87"/>
      <c r="AA389" s="87"/>
      <c r="AB389" s="87"/>
      <c r="AC389" s="87"/>
      <c r="AD389" s="87"/>
      <c r="AE389" s="87"/>
      <c r="AF389" s="87"/>
      <c r="AG389" s="87"/>
      <c r="AH389" s="87"/>
      <c r="AI389" s="87"/>
      <c r="AJ389" s="87"/>
    </row>
    <row r="390" spans="1:36" x14ac:dyDescent="0.25">
      <c r="A390" s="273"/>
      <c r="B390" s="86"/>
      <c r="C390" s="86"/>
      <c r="D390" s="86"/>
      <c r="E390" s="86"/>
      <c r="F390" s="86"/>
      <c r="G390" s="86"/>
      <c r="H390" s="86"/>
      <c r="I390" s="86"/>
      <c r="J390" s="86"/>
      <c r="K390" s="86"/>
      <c r="L390" s="86"/>
      <c r="M390" s="86"/>
      <c r="N390" s="86"/>
      <c r="O390" s="86"/>
      <c r="P390" s="86"/>
      <c r="Q390" s="86"/>
      <c r="R390" s="86"/>
      <c r="S390" s="86"/>
      <c r="T390" s="86"/>
      <c r="U390" s="86"/>
      <c r="V390" s="86"/>
      <c r="W390" s="86"/>
      <c r="X390" s="86"/>
      <c r="Y390" s="86"/>
      <c r="Z390" s="86"/>
      <c r="AA390" s="86"/>
      <c r="AB390" s="86"/>
      <c r="AC390" s="86"/>
      <c r="AD390" s="86"/>
      <c r="AE390" s="86"/>
      <c r="AF390" s="86"/>
      <c r="AG390" s="86"/>
      <c r="AH390" s="86"/>
      <c r="AI390" s="86"/>
      <c r="AJ390" s="86"/>
    </row>
    <row r="391" spans="1:36" x14ac:dyDescent="0.25">
      <c r="A391" s="274"/>
      <c r="B391" s="87"/>
      <c r="C391" s="87"/>
      <c r="D391" s="87"/>
      <c r="E391" s="87"/>
      <c r="F391" s="87"/>
      <c r="G391" s="87"/>
      <c r="H391" s="87"/>
      <c r="I391" s="87"/>
      <c r="J391" s="87"/>
      <c r="K391" s="87"/>
      <c r="L391" s="87"/>
      <c r="M391" s="87"/>
      <c r="N391" s="87"/>
      <c r="O391" s="87"/>
      <c r="P391" s="87"/>
      <c r="Q391" s="87"/>
      <c r="R391" s="87"/>
      <c r="S391" s="87"/>
      <c r="T391" s="87"/>
      <c r="U391" s="87"/>
      <c r="V391" s="87"/>
      <c r="W391" s="87"/>
      <c r="X391" s="87"/>
      <c r="Y391" s="87"/>
      <c r="Z391" s="87"/>
      <c r="AA391" s="87"/>
      <c r="AB391" s="87"/>
      <c r="AC391" s="87"/>
      <c r="AD391" s="87"/>
      <c r="AE391" s="87"/>
      <c r="AF391" s="87"/>
      <c r="AG391" s="87"/>
      <c r="AH391" s="87"/>
      <c r="AI391" s="87"/>
      <c r="AJ391" s="87"/>
    </row>
    <row r="392" spans="1:36" x14ac:dyDescent="0.25">
      <c r="A392" s="273"/>
      <c r="B392" s="86"/>
      <c r="C392" s="86"/>
      <c r="D392" s="86"/>
      <c r="E392" s="86"/>
      <c r="F392" s="86"/>
      <c r="G392" s="86"/>
      <c r="H392" s="86"/>
      <c r="I392" s="86"/>
      <c r="J392" s="86"/>
      <c r="K392" s="86"/>
      <c r="L392" s="86"/>
      <c r="M392" s="86"/>
      <c r="N392" s="86"/>
      <c r="O392" s="86"/>
      <c r="P392" s="86"/>
      <c r="Q392" s="86"/>
      <c r="R392" s="86"/>
      <c r="S392" s="86"/>
      <c r="T392" s="86"/>
      <c r="U392" s="86"/>
      <c r="V392" s="86"/>
      <c r="W392" s="86"/>
      <c r="X392" s="86"/>
      <c r="Y392" s="86"/>
      <c r="Z392" s="86"/>
      <c r="AA392" s="86"/>
      <c r="AB392" s="86"/>
      <c r="AC392" s="86"/>
      <c r="AD392" s="86"/>
      <c r="AE392" s="86"/>
      <c r="AF392" s="86"/>
      <c r="AG392" s="86"/>
      <c r="AH392" s="86"/>
      <c r="AI392" s="86"/>
      <c r="AJ392" s="86"/>
    </row>
    <row r="393" spans="1:36" x14ac:dyDescent="0.25">
      <c r="A393" s="274"/>
      <c r="B393" s="87"/>
      <c r="C393" s="87"/>
      <c r="D393" s="87"/>
      <c r="E393" s="87"/>
      <c r="F393" s="87"/>
      <c r="G393" s="87"/>
      <c r="H393" s="87"/>
      <c r="I393" s="87"/>
      <c r="J393" s="87"/>
      <c r="K393" s="87"/>
      <c r="L393" s="87"/>
      <c r="M393" s="87"/>
      <c r="N393" s="87"/>
      <c r="O393" s="87"/>
      <c r="P393" s="87"/>
      <c r="Q393" s="87"/>
      <c r="R393" s="87"/>
      <c r="S393" s="87"/>
      <c r="T393" s="87"/>
      <c r="U393" s="87"/>
      <c r="V393" s="87"/>
      <c r="W393" s="87"/>
      <c r="X393" s="87"/>
      <c r="Y393" s="87"/>
      <c r="Z393" s="87"/>
      <c r="AA393" s="87"/>
      <c r="AB393" s="87"/>
      <c r="AC393" s="87"/>
      <c r="AD393" s="87"/>
      <c r="AE393" s="87"/>
      <c r="AF393" s="87"/>
      <c r="AG393" s="87"/>
      <c r="AH393" s="87"/>
      <c r="AI393" s="87"/>
      <c r="AJ393" s="87"/>
    </row>
    <row r="394" spans="1:36" x14ac:dyDescent="0.25">
      <c r="A394" s="273"/>
      <c r="B394" s="86"/>
      <c r="C394" s="86"/>
      <c r="D394" s="86"/>
      <c r="E394" s="86"/>
      <c r="F394" s="86"/>
      <c r="G394" s="86"/>
      <c r="H394" s="86"/>
      <c r="I394" s="86"/>
      <c r="J394" s="86"/>
      <c r="K394" s="86"/>
      <c r="L394" s="86"/>
      <c r="M394" s="86"/>
      <c r="N394" s="86"/>
      <c r="O394" s="86"/>
      <c r="P394" s="86"/>
      <c r="Q394" s="86"/>
      <c r="R394" s="86"/>
      <c r="S394" s="86"/>
      <c r="T394" s="86"/>
      <c r="U394" s="86"/>
      <c r="V394" s="86"/>
      <c r="W394" s="86"/>
      <c r="X394" s="86"/>
      <c r="Y394" s="86"/>
      <c r="Z394" s="86"/>
      <c r="AA394" s="86"/>
      <c r="AB394" s="86"/>
      <c r="AC394" s="86"/>
      <c r="AD394" s="86"/>
      <c r="AE394" s="86"/>
      <c r="AF394" s="86"/>
      <c r="AG394" s="86"/>
      <c r="AH394" s="86"/>
      <c r="AI394" s="86"/>
      <c r="AJ394" s="86"/>
    </row>
    <row r="395" spans="1:36" x14ac:dyDescent="0.25">
      <c r="A395" s="274"/>
      <c r="B395" s="87"/>
      <c r="C395" s="87"/>
      <c r="D395" s="87"/>
      <c r="E395" s="87"/>
      <c r="F395" s="87"/>
      <c r="G395" s="87"/>
      <c r="H395" s="87"/>
      <c r="I395" s="87"/>
      <c r="J395" s="87"/>
      <c r="K395" s="87"/>
      <c r="L395" s="87"/>
      <c r="M395" s="87"/>
      <c r="N395" s="87"/>
      <c r="O395" s="87"/>
      <c r="P395" s="87"/>
      <c r="Q395" s="87"/>
      <c r="R395" s="87"/>
      <c r="S395" s="87"/>
      <c r="T395" s="87"/>
      <c r="U395" s="87"/>
      <c r="V395" s="87"/>
      <c r="W395" s="87"/>
      <c r="X395" s="87"/>
      <c r="Y395" s="87"/>
      <c r="Z395" s="87"/>
      <c r="AA395" s="87"/>
      <c r="AB395" s="87"/>
      <c r="AC395" s="87"/>
      <c r="AD395" s="87"/>
      <c r="AE395" s="87"/>
      <c r="AF395" s="87"/>
      <c r="AG395" s="87"/>
      <c r="AH395" s="87"/>
      <c r="AI395" s="87"/>
      <c r="AJ395" s="87"/>
    </row>
    <row r="396" spans="1:36" x14ac:dyDescent="0.25">
      <c r="A396" s="273"/>
      <c r="B396" s="86"/>
      <c r="C396" s="86"/>
      <c r="D396" s="86"/>
      <c r="E396" s="86"/>
      <c r="F396" s="86"/>
      <c r="G396" s="86"/>
      <c r="H396" s="86"/>
      <c r="I396" s="86"/>
      <c r="J396" s="86"/>
      <c r="K396" s="86"/>
      <c r="L396" s="86"/>
      <c r="M396" s="86"/>
      <c r="N396" s="86"/>
      <c r="O396" s="86"/>
      <c r="P396" s="86"/>
      <c r="Q396" s="86"/>
      <c r="R396" s="86"/>
      <c r="S396" s="86"/>
      <c r="T396" s="86"/>
      <c r="U396" s="86"/>
      <c r="V396" s="86"/>
      <c r="W396" s="86"/>
      <c r="X396" s="86"/>
      <c r="Y396" s="86"/>
      <c r="Z396" s="86"/>
      <c r="AA396" s="86"/>
      <c r="AB396" s="86"/>
      <c r="AC396" s="86"/>
      <c r="AD396" s="86"/>
      <c r="AE396" s="86"/>
      <c r="AF396" s="86"/>
      <c r="AG396" s="86"/>
      <c r="AH396" s="86"/>
      <c r="AI396" s="86"/>
      <c r="AJ396" s="86"/>
    </row>
    <row r="397" spans="1:36" x14ac:dyDescent="0.25">
      <c r="A397" s="274"/>
      <c r="B397" s="87"/>
      <c r="C397" s="87"/>
      <c r="D397" s="87"/>
      <c r="E397" s="87"/>
      <c r="F397" s="87"/>
      <c r="G397" s="87"/>
      <c r="H397" s="87"/>
      <c r="I397" s="87"/>
      <c r="J397" s="87"/>
      <c r="K397" s="87"/>
      <c r="L397" s="87"/>
      <c r="M397" s="87"/>
      <c r="N397" s="87"/>
      <c r="O397" s="87"/>
      <c r="P397" s="87"/>
      <c r="Q397" s="87"/>
      <c r="R397" s="87"/>
      <c r="S397" s="87"/>
      <c r="T397" s="87"/>
      <c r="U397" s="87"/>
      <c r="V397" s="87"/>
      <c r="W397" s="87"/>
      <c r="X397" s="87"/>
      <c r="Y397" s="87"/>
      <c r="Z397" s="87"/>
      <c r="AA397" s="87"/>
      <c r="AB397" s="87"/>
      <c r="AC397" s="87"/>
      <c r="AD397" s="87"/>
      <c r="AE397" s="87"/>
      <c r="AF397" s="87"/>
      <c r="AG397" s="87"/>
      <c r="AH397" s="87"/>
      <c r="AI397" s="87"/>
      <c r="AJ397" s="87"/>
    </row>
    <row r="398" spans="1:36" x14ac:dyDescent="0.25">
      <c r="A398" s="273"/>
      <c r="B398" s="86"/>
      <c r="C398" s="86"/>
      <c r="D398" s="86"/>
      <c r="E398" s="86"/>
      <c r="F398" s="86"/>
      <c r="G398" s="86"/>
      <c r="H398" s="86"/>
      <c r="I398" s="86"/>
      <c r="J398" s="86"/>
      <c r="K398" s="86"/>
      <c r="L398" s="86"/>
      <c r="M398" s="86"/>
      <c r="N398" s="86"/>
      <c r="O398" s="86"/>
      <c r="P398" s="86"/>
      <c r="Q398" s="86"/>
      <c r="R398" s="86"/>
      <c r="S398" s="86"/>
      <c r="T398" s="86"/>
      <c r="U398" s="86"/>
      <c r="V398" s="86"/>
      <c r="W398" s="86"/>
      <c r="X398" s="86"/>
      <c r="Y398" s="86"/>
      <c r="Z398" s="86"/>
      <c r="AA398" s="86"/>
      <c r="AB398" s="86"/>
      <c r="AC398" s="86"/>
      <c r="AD398" s="86"/>
      <c r="AE398" s="86"/>
      <c r="AF398" s="86"/>
      <c r="AG398" s="86"/>
      <c r="AH398" s="86"/>
      <c r="AI398" s="86"/>
      <c r="AJ398" s="86"/>
    </row>
    <row r="399" spans="1:36" x14ac:dyDescent="0.25">
      <c r="A399" s="274"/>
      <c r="B399" s="87"/>
      <c r="C399" s="87"/>
      <c r="D399" s="87"/>
      <c r="E399" s="87"/>
      <c r="F399" s="87"/>
      <c r="G399" s="87"/>
      <c r="H399" s="87"/>
      <c r="I399" s="87"/>
      <c r="J399" s="87"/>
      <c r="K399" s="87"/>
      <c r="L399" s="87"/>
      <c r="M399" s="87"/>
      <c r="N399" s="87"/>
      <c r="O399" s="87"/>
      <c r="P399" s="87"/>
      <c r="Q399" s="87"/>
      <c r="R399" s="87"/>
      <c r="S399" s="87"/>
      <c r="T399" s="87"/>
      <c r="U399" s="87"/>
      <c r="V399" s="87"/>
      <c r="W399" s="87"/>
      <c r="X399" s="87"/>
      <c r="Y399" s="87"/>
      <c r="Z399" s="87"/>
      <c r="AA399" s="87"/>
      <c r="AB399" s="87"/>
      <c r="AC399" s="87"/>
      <c r="AD399" s="87"/>
      <c r="AE399" s="87"/>
      <c r="AF399" s="87"/>
      <c r="AG399" s="87"/>
      <c r="AH399" s="87"/>
      <c r="AI399" s="87"/>
      <c r="AJ399" s="87"/>
    </row>
    <row r="400" spans="1:36" x14ac:dyDescent="0.25">
      <c r="A400" s="273"/>
      <c r="B400" s="86"/>
      <c r="C400" s="86"/>
      <c r="D400" s="86"/>
      <c r="E400" s="86"/>
      <c r="F400" s="86"/>
      <c r="G400" s="86"/>
      <c r="H400" s="86"/>
      <c r="I400" s="86"/>
      <c r="J400" s="86"/>
      <c r="K400" s="86"/>
      <c r="L400" s="86"/>
      <c r="M400" s="86"/>
      <c r="N400" s="86"/>
      <c r="O400" s="86"/>
      <c r="P400" s="86"/>
      <c r="Q400" s="86"/>
      <c r="R400" s="86"/>
      <c r="S400" s="86"/>
      <c r="T400" s="86"/>
      <c r="U400" s="86"/>
      <c r="V400" s="86"/>
      <c r="W400" s="86"/>
      <c r="X400" s="86"/>
      <c r="Y400" s="86"/>
      <c r="Z400" s="86"/>
      <c r="AA400" s="86"/>
      <c r="AB400" s="86"/>
      <c r="AC400" s="86"/>
      <c r="AD400" s="86"/>
      <c r="AE400" s="86"/>
      <c r="AF400" s="86"/>
      <c r="AG400" s="86"/>
      <c r="AH400" s="86"/>
      <c r="AI400" s="86"/>
      <c r="AJ400" s="86"/>
    </row>
    <row r="401" spans="1:36" x14ac:dyDescent="0.25">
      <c r="A401" s="274"/>
      <c r="B401" s="87"/>
      <c r="C401" s="87"/>
      <c r="D401" s="87"/>
      <c r="E401" s="87"/>
      <c r="F401" s="87"/>
      <c r="G401" s="87"/>
      <c r="H401" s="87"/>
      <c r="I401" s="87"/>
      <c r="J401" s="87"/>
      <c r="K401" s="87"/>
      <c r="L401" s="87"/>
      <c r="M401" s="87"/>
      <c r="N401" s="87"/>
      <c r="O401" s="87"/>
      <c r="P401" s="87"/>
      <c r="Q401" s="87"/>
      <c r="R401" s="87"/>
      <c r="S401" s="87"/>
      <c r="T401" s="87"/>
      <c r="U401" s="87"/>
      <c r="V401" s="87"/>
      <c r="W401" s="87"/>
      <c r="X401" s="87"/>
      <c r="Y401" s="87"/>
      <c r="Z401" s="87"/>
      <c r="AA401" s="87"/>
      <c r="AB401" s="87"/>
      <c r="AC401" s="87"/>
      <c r="AD401" s="87"/>
      <c r="AE401" s="87"/>
      <c r="AF401" s="87"/>
      <c r="AG401" s="87"/>
      <c r="AH401" s="87"/>
      <c r="AI401" s="87"/>
      <c r="AJ401" s="87"/>
    </row>
    <row r="402" spans="1:36" x14ac:dyDescent="0.25">
      <c r="A402" s="273"/>
      <c r="B402" s="86"/>
      <c r="C402" s="86"/>
      <c r="D402" s="86"/>
      <c r="E402" s="86"/>
      <c r="F402" s="86"/>
      <c r="G402" s="86"/>
      <c r="H402" s="86"/>
      <c r="I402" s="86"/>
      <c r="J402" s="86"/>
      <c r="K402" s="86"/>
      <c r="L402" s="86"/>
      <c r="M402" s="86"/>
      <c r="N402" s="86"/>
      <c r="O402" s="86"/>
      <c r="P402" s="86"/>
      <c r="Q402" s="86"/>
      <c r="R402" s="86"/>
      <c r="S402" s="86"/>
      <c r="T402" s="86"/>
      <c r="U402" s="86"/>
      <c r="V402" s="86"/>
      <c r="W402" s="86"/>
      <c r="X402" s="86"/>
      <c r="Y402" s="86"/>
      <c r="Z402" s="86"/>
      <c r="AA402" s="86"/>
      <c r="AB402" s="86"/>
      <c r="AC402" s="86"/>
      <c r="AD402" s="86"/>
      <c r="AE402" s="86"/>
      <c r="AF402" s="86"/>
      <c r="AG402" s="86"/>
      <c r="AH402" s="86"/>
      <c r="AI402" s="86"/>
      <c r="AJ402" s="86"/>
    </row>
    <row r="403" spans="1:36" x14ac:dyDescent="0.25">
      <c r="A403" s="274"/>
      <c r="B403" s="87"/>
      <c r="C403" s="87"/>
      <c r="D403" s="87"/>
      <c r="E403" s="87"/>
      <c r="F403" s="87"/>
      <c r="G403" s="87"/>
      <c r="H403" s="87"/>
      <c r="I403" s="87"/>
      <c r="J403" s="87"/>
      <c r="K403" s="87"/>
      <c r="L403" s="87"/>
      <c r="M403" s="87"/>
      <c r="N403" s="87"/>
      <c r="O403" s="87"/>
      <c r="P403" s="87"/>
      <c r="Q403" s="87"/>
      <c r="R403" s="87"/>
      <c r="S403" s="87"/>
      <c r="T403" s="87"/>
      <c r="U403" s="87"/>
      <c r="V403" s="87"/>
      <c r="W403" s="87"/>
      <c r="X403" s="87"/>
      <c r="Y403" s="87"/>
      <c r="Z403" s="87"/>
      <c r="AA403" s="87"/>
      <c r="AB403" s="87"/>
      <c r="AC403" s="87"/>
      <c r="AD403" s="87"/>
      <c r="AE403" s="87"/>
      <c r="AF403" s="87"/>
      <c r="AG403" s="87"/>
      <c r="AH403" s="87"/>
      <c r="AI403" s="87"/>
      <c r="AJ403" s="87"/>
    </row>
    <row r="404" spans="1:36" x14ac:dyDescent="0.25">
      <c r="A404" s="273"/>
      <c r="B404" s="86"/>
      <c r="C404" s="86"/>
      <c r="D404" s="86"/>
      <c r="E404" s="86"/>
      <c r="F404" s="86"/>
      <c r="G404" s="86"/>
      <c r="H404" s="86"/>
      <c r="I404" s="86"/>
      <c r="J404" s="86"/>
      <c r="K404" s="86"/>
      <c r="L404" s="86"/>
      <c r="M404" s="86"/>
      <c r="N404" s="86"/>
      <c r="O404" s="86"/>
      <c r="P404" s="86"/>
      <c r="Q404" s="86"/>
      <c r="R404" s="86"/>
      <c r="S404" s="86"/>
      <c r="T404" s="86"/>
      <c r="U404" s="86"/>
      <c r="V404" s="86"/>
      <c r="W404" s="86"/>
      <c r="X404" s="86"/>
      <c r="Y404" s="86"/>
      <c r="Z404" s="86"/>
      <c r="AA404" s="86"/>
      <c r="AB404" s="86"/>
      <c r="AC404" s="86"/>
      <c r="AD404" s="86"/>
      <c r="AE404" s="86"/>
      <c r="AF404" s="86"/>
      <c r="AG404" s="86"/>
      <c r="AH404" s="86"/>
      <c r="AI404" s="86"/>
      <c r="AJ404" s="86"/>
    </row>
    <row r="405" spans="1:36" x14ac:dyDescent="0.25">
      <c r="A405" s="274"/>
      <c r="B405" s="87"/>
      <c r="C405" s="87"/>
      <c r="D405" s="87"/>
      <c r="E405" s="87"/>
      <c r="F405" s="87"/>
      <c r="G405" s="87"/>
      <c r="H405" s="87"/>
      <c r="I405" s="87"/>
      <c r="J405" s="87"/>
      <c r="K405" s="87"/>
      <c r="L405" s="87"/>
      <c r="M405" s="87"/>
      <c r="N405" s="87"/>
      <c r="O405" s="87"/>
      <c r="P405" s="87"/>
      <c r="Q405" s="87"/>
      <c r="R405" s="87"/>
      <c r="S405" s="87"/>
      <c r="T405" s="87"/>
      <c r="U405" s="87"/>
      <c r="V405" s="87"/>
      <c r="W405" s="87"/>
      <c r="X405" s="87"/>
      <c r="Y405" s="87"/>
      <c r="Z405" s="87"/>
      <c r="AA405" s="87"/>
      <c r="AB405" s="87"/>
      <c r="AC405" s="87"/>
      <c r="AD405" s="87"/>
      <c r="AE405" s="87"/>
      <c r="AF405" s="87"/>
      <c r="AG405" s="87"/>
      <c r="AH405" s="87"/>
      <c r="AI405" s="87"/>
      <c r="AJ405" s="87"/>
    </row>
    <row r="406" spans="1:36" x14ac:dyDescent="0.25">
      <c r="A406" s="273"/>
      <c r="B406" s="86"/>
      <c r="C406" s="86"/>
      <c r="D406" s="86"/>
      <c r="E406" s="86"/>
      <c r="F406" s="86"/>
      <c r="G406" s="86"/>
      <c r="H406" s="86"/>
      <c r="I406" s="86"/>
      <c r="J406" s="86"/>
      <c r="K406" s="86"/>
      <c r="L406" s="86"/>
      <c r="M406" s="86"/>
      <c r="N406" s="86"/>
      <c r="O406" s="86"/>
      <c r="P406" s="86"/>
      <c r="Q406" s="86"/>
      <c r="R406" s="86"/>
      <c r="S406" s="86"/>
      <c r="T406" s="86"/>
      <c r="U406" s="86"/>
      <c r="V406" s="86"/>
      <c r="W406" s="86"/>
      <c r="X406" s="86"/>
      <c r="Y406" s="86"/>
      <c r="Z406" s="86"/>
      <c r="AA406" s="86"/>
      <c r="AB406" s="86"/>
      <c r="AC406" s="86"/>
      <c r="AD406" s="86"/>
      <c r="AE406" s="86"/>
      <c r="AF406" s="86"/>
      <c r="AG406" s="86"/>
      <c r="AH406" s="86"/>
      <c r="AI406" s="86"/>
      <c r="AJ406" s="86"/>
    </row>
    <row r="407" spans="1:36" x14ac:dyDescent="0.25">
      <c r="A407" s="274"/>
      <c r="B407" s="87"/>
      <c r="C407" s="87"/>
      <c r="D407" s="87"/>
      <c r="E407" s="87"/>
      <c r="F407" s="87"/>
      <c r="G407" s="87"/>
      <c r="H407" s="87"/>
      <c r="I407" s="87"/>
      <c r="J407" s="87"/>
      <c r="K407" s="87"/>
      <c r="L407" s="87"/>
      <c r="M407" s="87"/>
      <c r="N407" s="87"/>
      <c r="O407" s="87"/>
      <c r="P407" s="87"/>
      <c r="Q407" s="87"/>
      <c r="R407" s="87"/>
      <c r="S407" s="87"/>
      <c r="T407" s="87"/>
      <c r="U407" s="87"/>
      <c r="V407" s="87"/>
      <c r="W407" s="87"/>
      <c r="X407" s="87"/>
      <c r="Y407" s="87"/>
      <c r="Z407" s="87"/>
      <c r="AA407" s="87"/>
      <c r="AB407" s="87"/>
      <c r="AC407" s="87"/>
      <c r="AD407" s="87"/>
      <c r="AE407" s="87"/>
      <c r="AF407" s="87"/>
      <c r="AG407" s="87"/>
      <c r="AH407" s="87"/>
      <c r="AI407" s="87"/>
      <c r="AJ407" s="87"/>
    </row>
    <row r="408" spans="1:36" x14ac:dyDescent="0.25">
      <c r="A408" s="273"/>
      <c r="B408" s="86"/>
      <c r="C408" s="86"/>
      <c r="D408" s="86"/>
      <c r="E408" s="86"/>
      <c r="F408" s="86"/>
      <c r="G408" s="86"/>
      <c r="H408" s="86"/>
      <c r="I408" s="86"/>
      <c r="J408" s="86"/>
      <c r="K408" s="86"/>
      <c r="L408" s="86"/>
      <c r="M408" s="86"/>
      <c r="N408" s="86"/>
      <c r="O408" s="86"/>
      <c r="P408" s="86"/>
      <c r="Q408" s="86"/>
      <c r="R408" s="86"/>
      <c r="S408" s="86"/>
      <c r="T408" s="86"/>
      <c r="U408" s="86"/>
      <c r="V408" s="86"/>
      <c r="W408" s="86"/>
      <c r="X408" s="86"/>
      <c r="Y408" s="86"/>
      <c r="Z408" s="86"/>
      <c r="AA408" s="86"/>
      <c r="AB408" s="86"/>
      <c r="AC408" s="86"/>
      <c r="AD408" s="86"/>
      <c r="AE408" s="86"/>
      <c r="AF408" s="86"/>
      <c r="AG408" s="86"/>
      <c r="AH408" s="86"/>
      <c r="AI408" s="86"/>
      <c r="AJ408" s="86"/>
    </row>
    <row r="409" spans="1:36" x14ac:dyDescent="0.25">
      <c r="A409" s="274"/>
      <c r="B409" s="87"/>
      <c r="C409" s="87"/>
      <c r="D409" s="87"/>
      <c r="E409" s="87"/>
      <c r="F409" s="87"/>
      <c r="G409" s="87"/>
      <c r="H409" s="87"/>
      <c r="I409" s="87"/>
      <c r="J409" s="87"/>
      <c r="K409" s="87"/>
      <c r="L409" s="87"/>
      <c r="M409" s="87"/>
      <c r="N409" s="87"/>
      <c r="O409" s="87"/>
      <c r="P409" s="87"/>
      <c r="Q409" s="87"/>
      <c r="R409" s="87"/>
      <c r="S409" s="87"/>
      <c r="T409" s="87"/>
      <c r="U409" s="87"/>
      <c r="V409" s="87"/>
      <c r="W409" s="87"/>
      <c r="X409" s="87"/>
      <c r="Y409" s="87"/>
      <c r="Z409" s="87"/>
      <c r="AA409" s="87"/>
      <c r="AB409" s="87"/>
      <c r="AC409" s="87"/>
      <c r="AD409" s="87"/>
      <c r="AE409" s="87"/>
      <c r="AF409" s="87"/>
      <c r="AG409" s="87"/>
      <c r="AH409" s="87"/>
      <c r="AI409" s="87"/>
      <c r="AJ409" s="87"/>
    </row>
    <row r="410" spans="1:36" x14ac:dyDescent="0.25">
      <c r="A410" s="273"/>
      <c r="B410" s="86"/>
      <c r="C410" s="86"/>
      <c r="D410" s="86"/>
      <c r="E410" s="86"/>
      <c r="F410" s="86"/>
      <c r="G410" s="86"/>
      <c r="H410" s="86"/>
      <c r="I410" s="86"/>
      <c r="J410" s="86"/>
      <c r="K410" s="86"/>
      <c r="L410" s="86"/>
      <c r="M410" s="86"/>
      <c r="N410" s="86"/>
      <c r="O410" s="86"/>
      <c r="P410" s="86"/>
      <c r="Q410" s="86"/>
      <c r="R410" s="86"/>
      <c r="S410" s="86"/>
      <c r="T410" s="86"/>
      <c r="U410" s="86"/>
      <c r="V410" s="86"/>
      <c r="W410" s="86"/>
      <c r="X410" s="86"/>
      <c r="Y410" s="86"/>
      <c r="Z410" s="86"/>
      <c r="AA410" s="86"/>
      <c r="AB410" s="86"/>
      <c r="AC410" s="86"/>
      <c r="AD410" s="86"/>
      <c r="AE410" s="86"/>
      <c r="AF410" s="86"/>
      <c r="AG410" s="86"/>
      <c r="AH410" s="86"/>
      <c r="AI410" s="86"/>
      <c r="AJ410" s="86"/>
    </row>
    <row r="411" spans="1:36" x14ac:dyDescent="0.25">
      <c r="A411" s="274"/>
      <c r="B411" s="87"/>
      <c r="C411" s="87"/>
      <c r="D411" s="87"/>
      <c r="E411" s="87"/>
      <c r="F411" s="87"/>
      <c r="G411" s="87"/>
      <c r="H411" s="87"/>
      <c r="I411" s="87"/>
      <c r="J411" s="87"/>
      <c r="K411" s="87"/>
      <c r="L411" s="87"/>
      <c r="M411" s="87"/>
      <c r="N411" s="87"/>
      <c r="O411" s="87"/>
      <c r="P411" s="87"/>
      <c r="Q411" s="87"/>
      <c r="R411" s="87"/>
      <c r="S411" s="87"/>
      <c r="T411" s="87"/>
      <c r="U411" s="87"/>
      <c r="V411" s="87"/>
      <c r="W411" s="87"/>
      <c r="X411" s="87"/>
      <c r="Y411" s="87"/>
      <c r="Z411" s="87"/>
      <c r="AA411" s="87"/>
      <c r="AB411" s="87"/>
      <c r="AC411" s="87"/>
      <c r="AD411" s="87"/>
      <c r="AE411" s="87"/>
      <c r="AF411" s="87"/>
      <c r="AG411" s="87"/>
      <c r="AH411" s="87"/>
      <c r="AI411" s="87"/>
      <c r="AJ411" s="87"/>
    </row>
    <row r="412" spans="1:36" x14ac:dyDescent="0.25">
      <c r="A412" s="273"/>
      <c r="B412" s="86"/>
      <c r="C412" s="86"/>
      <c r="D412" s="86"/>
      <c r="E412" s="86"/>
      <c r="F412" s="86"/>
      <c r="G412" s="86"/>
      <c r="H412" s="86"/>
      <c r="I412" s="86"/>
      <c r="J412" s="86"/>
      <c r="K412" s="86"/>
      <c r="L412" s="86"/>
      <c r="M412" s="86"/>
      <c r="N412" s="86"/>
      <c r="O412" s="86"/>
      <c r="P412" s="86"/>
      <c r="Q412" s="86"/>
      <c r="R412" s="86"/>
      <c r="S412" s="86"/>
      <c r="T412" s="86"/>
      <c r="U412" s="86"/>
      <c r="V412" s="86"/>
      <c r="W412" s="86"/>
      <c r="X412" s="86"/>
      <c r="Y412" s="86"/>
      <c r="Z412" s="86"/>
      <c r="AA412" s="86"/>
      <c r="AB412" s="86"/>
      <c r="AC412" s="86"/>
      <c r="AD412" s="86"/>
      <c r="AE412" s="86"/>
      <c r="AF412" s="86"/>
      <c r="AG412" s="86"/>
      <c r="AH412" s="86"/>
      <c r="AI412" s="86"/>
      <c r="AJ412" s="86"/>
    </row>
    <row r="413" spans="1:36" x14ac:dyDescent="0.25">
      <c r="A413" s="274"/>
      <c r="B413" s="87"/>
      <c r="C413" s="87"/>
      <c r="D413" s="87"/>
      <c r="E413" s="87"/>
      <c r="F413" s="87"/>
      <c r="G413" s="87"/>
      <c r="H413" s="87"/>
      <c r="I413" s="87"/>
      <c r="J413" s="87"/>
      <c r="K413" s="87"/>
      <c r="L413" s="87"/>
      <c r="M413" s="87"/>
      <c r="N413" s="87"/>
      <c r="O413" s="87"/>
      <c r="P413" s="87"/>
      <c r="Q413" s="87"/>
      <c r="R413" s="87"/>
      <c r="S413" s="87"/>
      <c r="T413" s="87"/>
      <c r="U413" s="87"/>
      <c r="V413" s="87"/>
      <c r="W413" s="87"/>
      <c r="X413" s="87"/>
      <c r="Y413" s="87"/>
      <c r="Z413" s="87"/>
      <c r="AA413" s="87"/>
      <c r="AB413" s="87"/>
      <c r="AC413" s="87"/>
      <c r="AD413" s="87"/>
      <c r="AE413" s="87"/>
      <c r="AF413" s="87"/>
      <c r="AG413" s="87"/>
      <c r="AH413" s="87"/>
      <c r="AI413" s="87"/>
      <c r="AJ413" s="87"/>
    </row>
    <row r="414" spans="1:36" x14ac:dyDescent="0.25">
      <c r="A414" s="273"/>
      <c r="B414" s="86"/>
      <c r="C414" s="86"/>
      <c r="D414" s="86"/>
      <c r="E414" s="86"/>
      <c r="F414" s="86"/>
      <c r="G414" s="86"/>
      <c r="H414" s="86"/>
      <c r="I414" s="86"/>
      <c r="J414" s="86"/>
      <c r="K414" s="86"/>
      <c r="L414" s="86"/>
      <c r="M414" s="86"/>
      <c r="N414" s="86"/>
      <c r="O414" s="86"/>
      <c r="P414" s="86"/>
      <c r="Q414" s="86"/>
      <c r="R414" s="86"/>
      <c r="S414" s="86"/>
      <c r="T414" s="86"/>
      <c r="U414" s="86"/>
      <c r="V414" s="86"/>
      <c r="W414" s="86"/>
      <c r="X414" s="86"/>
      <c r="Y414" s="86"/>
      <c r="Z414" s="86"/>
      <c r="AA414" s="86"/>
      <c r="AB414" s="86"/>
      <c r="AC414" s="86"/>
      <c r="AD414" s="86"/>
      <c r="AE414" s="86"/>
      <c r="AF414" s="86"/>
      <c r="AG414" s="86"/>
      <c r="AH414" s="86"/>
      <c r="AI414" s="86"/>
      <c r="AJ414" s="86"/>
    </row>
    <row r="415" spans="1:36" x14ac:dyDescent="0.25">
      <c r="A415" s="274"/>
      <c r="B415" s="87"/>
      <c r="C415" s="87"/>
      <c r="D415" s="87"/>
      <c r="E415" s="87"/>
      <c r="F415" s="87"/>
      <c r="G415" s="87"/>
      <c r="H415" s="87"/>
      <c r="I415" s="87"/>
      <c r="J415" s="87"/>
      <c r="K415" s="87"/>
      <c r="L415" s="87"/>
      <c r="M415" s="87"/>
      <c r="N415" s="87"/>
      <c r="O415" s="87"/>
      <c r="P415" s="87"/>
      <c r="Q415" s="87"/>
      <c r="R415" s="87"/>
      <c r="S415" s="87"/>
      <c r="T415" s="87"/>
      <c r="U415" s="87"/>
      <c r="V415" s="87"/>
      <c r="W415" s="87"/>
      <c r="X415" s="87"/>
      <c r="Y415" s="87"/>
      <c r="Z415" s="87"/>
      <c r="AA415" s="87"/>
      <c r="AB415" s="87"/>
      <c r="AC415" s="87"/>
      <c r="AD415" s="87"/>
      <c r="AE415" s="87"/>
      <c r="AF415" s="87"/>
      <c r="AG415" s="87"/>
      <c r="AH415" s="87"/>
      <c r="AI415" s="87"/>
      <c r="AJ415" s="87"/>
    </row>
    <row r="416" spans="1:36" x14ac:dyDescent="0.25">
      <c r="A416" s="273"/>
      <c r="B416" s="86"/>
      <c r="C416" s="86"/>
      <c r="D416" s="86"/>
      <c r="E416" s="86"/>
      <c r="F416" s="86"/>
      <c r="G416" s="86"/>
      <c r="H416" s="86"/>
      <c r="I416" s="86"/>
      <c r="J416" s="86"/>
      <c r="K416" s="86"/>
      <c r="L416" s="86"/>
      <c r="M416" s="86"/>
      <c r="N416" s="86"/>
      <c r="O416" s="86"/>
      <c r="P416" s="86"/>
      <c r="Q416" s="86"/>
      <c r="R416" s="86"/>
      <c r="S416" s="86"/>
      <c r="T416" s="86"/>
      <c r="U416" s="86"/>
      <c r="V416" s="86"/>
      <c r="W416" s="86"/>
      <c r="X416" s="86"/>
      <c r="Y416" s="86"/>
      <c r="Z416" s="86"/>
      <c r="AA416" s="86"/>
      <c r="AB416" s="86"/>
      <c r="AC416" s="86"/>
      <c r="AD416" s="86"/>
      <c r="AE416" s="86"/>
      <c r="AF416" s="86"/>
      <c r="AG416" s="86"/>
      <c r="AH416" s="86"/>
      <c r="AI416" s="86"/>
      <c r="AJ416" s="86"/>
    </row>
    <row r="417" spans="1:36" x14ac:dyDescent="0.25">
      <c r="A417" s="274"/>
      <c r="B417" s="87"/>
      <c r="C417" s="87"/>
      <c r="D417" s="87"/>
      <c r="E417" s="87"/>
      <c r="F417" s="87"/>
      <c r="G417" s="87"/>
      <c r="H417" s="87"/>
      <c r="I417" s="87"/>
      <c r="J417" s="87"/>
      <c r="K417" s="87"/>
      <c r="L417" s="87"/>
      <c r="M417" s="87"/>
      <c r="N417" s="87"/>
      <c r="O417" s="87"/>
      <c r="P417" s="87"/>
      <c r="Q417" s="87"/>
      <c r="R417" s="87"/>
      <c r="S417" s="87"/>
      <c r="T417" s="87"/>
      <c r="U417" s="87"/>
      <c r="V417" s="87"/>
      <c r="W417" s="87"/>
      <c r="X417" s="87"/>
      <c r="Y417" s="87"/>
      <c r="Z417" s="87"/>
      <c r="AA417" s="87"/>
      <c r="AB417" s="87"/>
      <c r="AC417" s="87"/>
      <c r="AD417" s="87"/>
      <c r="AE417" s="87"/>
      <c r="AF417" s="87"/>
      <c r="AG417" s="87"/>
      <c r="AH417" s="87"/>
      <c r="AI417" s="87"/>
      <c r="AJ417" s="87"/>
    </row>
    <row r="418" spans="1:36" x14ac:dyDescent="0.25">
      <c r="A418" s="273"/>
      <c r="B418" s="86"/>
      <c r="C418" s="86"/>
      <c r="D418" s="86"/>
      <c r="E418" s="86"/>
      <c r="F418" s="86"/>
      <c r="G418" s="86"/>
      <c r="H418" s="86"/>
      <c r="I418" s="86"/>
      <c r="J418" s="86"/>
      <c r="K418" s="86"/>
      <c r="L418" s="86"/>
      <c r="M418" s="86"/>
      <c r="N418" s="86"/>
      <c r="O418" s="86"/>
      <c r="P418" s="86"/>
      <c r="Q418" s="86"/>
      <c r="R418" s="86"/>
      <c r="S418" s="86"/>
      <c r="T418" s="86"/>
      <c r="U418" s="86"/>
      <c r="V418" s="86"/>
      <c r="W418" s="86"/>
      <c r="X418" s="86"/>
      <c r="Y418" s="86"/>
      <c r="Z418" s="86"/>
      <c r="AA418" s="86"/>
      <c r="AB418" s="86"/>
      <c r="AC418" s="86"/>
      <c r="AD418" s="86"/>
      <c r="AE418" s="86"/>
      <c r="AF418" s="86"/>
      <c r="AG418" s="86"/>
      <c r="AH418" s="86"/>
      <c r="AI418" s="86"/>
      <c r="AJ418" s="86"/>
    </row>
    <row r="419" spans="1:36" x14ac:dyDescent="0.25">
      <c r="A419" s="274"/>
      <c r="B419" s="87"/>
      <c r="C419" s="87"/>
      <c r="D419" s="87"/>
      <c r="E419" s="87"/>
      <c r="F419" s="87"/>
      <c r="G419" s="87"/>
      <c r="H419" s="87"/>
      <c r="I419" s="87"/>
      <c r="J419" s="87"/>
      <c r="K419" s="87"/>
      <c r="L419" s="87"/>
      <c r="M419" s="87"/>
      <c r="N419" s="87"/>
      <c r="O419" s="87"/>
      <c r="P419" s="87"/>
      <c r="Q419" s="87"/>
      <c r="R419" s="87"/>
      <c r="S419" s="87"/>
      <c r="T419" s="87"/>
      <c r="U419" s="87"/>
      <c r="V419" s="87"/>
      <c r="W419" s="87"/>
      <c r="X419" s="87"/>
      <c r="Y419" s="87"/>
      <c r="Z419" s="87"/>
      <c r="AA419" s="87"/>
      <c r="AB419" s="87"/>
      <c r="AC419" s="87"/>
      <c r="AD419" s="87"/>
      <c r="AE419" s="87"/>
      <c r="AF419" s="87"/>
      <c r="AG419" s="87"/>
      <c r="AH419" s="87"/>
      <c r="AI419" s="87"/>
      <c r="AJ419" s="87"/>
    </row>
    <row r="420" spans="1:36" x14ac:dyDescent="0.25">
      <c r="A420" s="273"/>
      <c r="B420" s="86"/>
      <c r="C420" s="86"/>
      <c r="D420" s="86"/>
      <c r="E420" s="86"/>
      <c r="F420" s="86"/>
      <c r="G420" s="86"/>
      <c r="H420" s="86"/>
      <c r="I420" s="86"/>
      <c r="J420" s="86"/>
      <c r="K420" s="86"/>
      <c r="L420" s="86"/>
      <c r="M420" s="86"/>
      <c r="N420" s="86"/>
      <c r="O420" s="86"/>
      <c r="P420" s="86"/>
      <c r="Q420" s="86"/>
      <c r="R420" s="86"/>
      <c r="S420" s="86"/>
      <c r="T420" s="86"/>
      <c r="U420" s="86"/>
      <c r="V420" s="86"/>
      <c r="W420" s="86"/>
      <c r="X420" s="86"/>
      <c r="Y420" s="86"/>
      <c r="Z420" s="86"/>
      <c r="AA420" s="86"/>
      <c r="AB420" s="86"/>
      <c r="AC420" s="86"/>
      <c r="AD420" s="86"/>
      <c r="AE420" s="86"/>
      <c r="AF420" s="86"/>
      <c r="AG420" s="86"/>
      <c r="AH420" s="86"/>
      <c r="AI420" s="86"/>
      <c r="AJ420" s="86"/>
    </row>
    <row r="421" spans="1:36" x14ac:dyDescent="0.25">
      <c r="A421" s="274"/>
      <c r="B421" s="87"/>
      <c r="C421" s="87"/>
      <c r="D421" s="87"/>
      <c r="E421" s="87"/>
      <c r="F421" s="87"/>
      <c r="G421" s="87"/>
      <c r="H421" s="87"/>
      <c r="I421" s="87"/>
      <c r="J421" s="87"/>
      <c r="K421" s="87"/>
      <c r="L421" s="87"/>
      <c r="M421" s="87"/>
      <c r="N421" s="87"/>
      <c r="O421" s="87"/>
      <c r="P421" s="87"/>
      <c r="Q421" s="87"/>
      <c r="R421" s="87"/>
      <c r="S421" s="87"/>
      <c r="T421" s="87"/>
      <c r="U421" s="87"/>
      <c r="V421" s="87"/>
      <c r="W421" s="87"/>
      <c r="X421" s="87"/>
      <c r="Y421" s="87"/>
      <c r="Z421" s="87"/>
      <c r="AA421" s="87"/>
      <c r="AB421" s="87"/>
      <c r="AC421" s="87"/>
      <c r="AD421" s="87"/>
      <c r="AE421" s="87"/>
      <c r="AF421" s="87"/>
      <c r="AG421" s="87"/>
      <c r="AH421" s="87"/>
      <c r="AI421" s="87"/>
      <c r="AJ421" s="87"/>
    </row>
    <row r="422" spans="1:36" x14ac:dyDescent="0.25">
      <c r="A422" s="273"/>
      <c r="B422" s="86"/>
      <c r="C422" s="86"/>
      <c r="D422" s="86"/>
      <c r="E422" s="86"/>
      <c r="F422" s="86"/>
      <c r="G422" s="86"/>
      <c r="H422" s="86"/>
      <c r="I422" s="86"/>
      <c r="J422" s="86"/>
      <c r="K422" s="86"/>
      <c r="L422" s="86"/>
      <c r="M422" s="86"/>
      <c r="N422" s="86"/>
      <c r="O422" s="86"/>
      <c r="P422" s="86"/>
      <c r="Q422" s="86"/>
      <c r="R422" s="86"/>
      <c r="S422" s="86"/>
      <c r="T422" s="86"/>
      <c r="U422" s="86"/>
      <c r="V422" s="86"/>
      <c r="W422" s="86"/>
      <c r="X422" s="86"/>
      <c r="Y422" s="86"/>
      <c r="Z422" s="86"/>
      <c r="AA422" s="86"/>
      <c r="AB422" s="86"/>
      <c r="AC422" s="86"/>
      <c r="AD422" s="86"/>
      <c r="AE422" s="86"/>
      <c r="AF422" s="86"/>
      <c r="AG422" s="86"/>
      <c r="AH422" s="86"/>
      <c r="AI422" s="86"/>
      <c r="AJ422" s="86"/>
    </row>
    <row r="423" spans="1:36" x14ac:dyDescent="0.25">
      <c r="A423" s="274"/>
      <c r="B423" s="87"/>
      <c r="C423" s="87"/>
      <c r="D423" s="87"/>
      <c r="E423" s="87"/>
      <c r="F423" s="87"/>
      <c r="G423" s="87"/>
      <c r="H423" s="87"/>
      <c r="I423" s="87"/>
      <c r="J423" s="87"/>
      <c r="K423" s="87"/>
      <c r="L423" s="87"/>
      <c r="M423" s="87"/>
      <c r="N423" s="87"/>
      <c r="O423" s="87"/>
      <c r="P423" s="87"/>
      <c r="Q423" s="87"/>
      <c r="R423" s="87"/>
      <c r="S423" s="87"/>
      <c r="T423" s="87"/>
      <c r="U423" s="87"/>
      <c r="V423" s="87"/>
      <c r="W423" s="87"/>
      <c r="X423" s="87"/>
      <c r="Y423" s="87"/>
      <c r="Z423" s="87"/>
      <c r="AA423" s="87"/>
      <c r="AB423" s="87"/>
      <c r="AC423" s="87"/>
      <c r="AD423" s="87"/>
      <c r="AE423" s="87"/>
      <c r="AF423" s="87"/>
      <c r="AG423" s="87"/>
      <c r="AH423" s="87"/>
      <c r="AI423" s="87"/>
      <c r="AJ423" s="87"/>
    </row>
    <row r="424" spans="1:36" x14ac:dyDescent="0.25">
      <c r="A424" s="273"/>
      <c r="B424" s="86"/>
      <c r="C424" s="86"/>
      <c r="D424" s="86"/>
      <c r="E424" s="86"/>
      <c r="F424" s="86"/>
      <c r="G424" s="86"/>
      <c r="H424" s="86"/>
      <c r="I424" s="86"/>
      <c r="J424" s="86"/>
      <c r="K424" s="86"/>
      <c r="L424" s="86"/>
      <c r="M424" s="86"/>
      <c r="N424" s="86"/>
      <c r="O424" s="86"/>
      <c r="P424" s="86"/>
      <c r="Q424" s="86"/>
      <c r="R424" s="86"/>
      <c r="S424" s="86"/>
      <c r="T424" s="86"/>
      <c r="U424" s="86"/>
      <c r="V424" s="86"/>
      <c r="W424" s="86"/>
      <c r="X424" s="86"/>
      <c r="Y424" s="86"/>
      <c r="Z424" s="86"/>
      <c r="AA424" s="86"/>
      <c r="AB424" s="86"/>
      <c r="AC424" s="86"/>
      <c r="AD424" s="86"/>
      <c r="AE424" s="86"/>
      <c r="AF424" s="86"/>
      <c r="AG424" s="86"/>
      <c r="AH424" s="86"/>
      <c r="AI424" s="86"/>
      <c r="AJ424" s="86"/>
    </row>
    <row r="425" spans="1:36" x14ac:dyDescent="0.25">
      <c r="A425" s="274"/>
      <c r="B425" s="87"/>
      <c r="C425" s="87"/>
      <c r="D425" s="87"/>
      <c r="E425" s="87"/>
      <c r="F425" s="87"/>
      <c r="G425" s="87"/>
      <c r="H425" s="87"/>
      <c r="I425" s="87"/>
      <c r="J425" s="87"/>
      <c r="K425" s="87"/>
      <c r="L425" s="87"/>
      <c r="M425" s="87"/>
      <c r="N425" s="87"/>
      <c r="O425" s="87"/>
      <c r="P425" s="87"/>
      <c r="Q425" s="87"/>
      <c r="R425" s="87"/>
      <c r="S425" s="87"/>
      <c r="T425" s="87"/>
      <c r="U425" s="87"/>
      <c r="V425" s="87"/>
      <c r="W425" s="87"/>
      <c r="X425" s="87"/>
      <c r="Y425" s="87"/>
      <c r="Z425" s="87"/>
      <c r="AA425" s="87"/>
      <c r="AB425" s="87"/>
      <c r="AC425" s="87"/>
      <c r="AD425" s="87"/>
      <c r="AE425" s="87"/>
      <c r="AF425" s="87"/>
      <c r="AG425" s="87"/>
      <c r="AH425" s="87"/>
      <c r="AI425" s="87"/>
      <c r="AJ425" s="87"/>
    </row>
    <row r="426" spans="1:36" x14ac:dyDescent="0.25">
      <c r="A426" s="273"/>
      <c r="B426" s="86"/>
      <c r="C426" s="86"/>
      <c r="D426" s="86"/>
      <c r="E426" s="86"/>
      <c r="F426" s="86"/>
      <c r="G426" s="86"/>
      <c r="H426" s="86"/>
      <c r="I426" s="86"/>
      <c r="J426" s="86"/>
      <c r="K426" s="86"/>
      <c r="L426" s="86"/>
      <c r="M426" s="86"/>
      <c r="N426" s="86"/>
      <c r="O426" s="86"/>
      <c r="P426" s="86"/>
      <c r="Q426" s="86"/>
      <c r="R426" s="86"/>
      <c r="S426" s="86"/>
      <c r="T426" s="86"/>
      <c r="U426" s="86"/>
      <c r="V426" s="86"/>
      <c r="W426" s="86"/>
      <c r="X426" s="86"/>
      <c r="Y426" s="86"/>
      <c r="Z426" s="86"/>
      <c r="AA426" s="86"/>
      <c r="AB426" s="86"/>
      <c r="AC426" s="86"/>
      <c r="AD426" s="86"/>
      <c r="AE426" s="86"/>
      <c r="AF426" s="86"/>
      <c r="AG426" s="86"/>
      <c r="AH426" s="86"/>
      <c r="AI426" s="86"/>
      <c r="AJ426" s="86"/>
    </row>
    <row r="427" spans="1:36" x14ac:dyDescent="0.25">
      <c r="A427" s="274"/>
      <c r="B427" s="87"/>
      <c r="C427" s="87"/>
      <c r="D427" s="87"/>
      <c r="E427" s="87"/>
      <c r="F427" s="87"/>
      <c r="G427" s="87"/>
      <c r="H427" s="87"/>
      <c r="I427" s="87"/>
      <c r="J427" s="87"/>
      <c r="K427" s="87"/>
      <c r="L427" s="87"/>
      <c r="M427" s="87"/>
      <c r="N427" s="87"/>
      <c r="O427" s="87"/>
      <c r="P427" s="87"/>
      <c r="Q427" s="87"/>
      <c r="R427" s="87"/>
      <c r="S427" s="87"/>
      <c r="T427" s="87"/>
      <c r="U427" s="87"/>
      <c r="V427" s="87"/>
      <c r="W427" s="87"/>
      <c r="X427" s="87"/>
      <c r="Y427" s="87"/>
      <c r="Z427" s="87"/>
      <c r="AA427" s="87"/>
      <c r="AB427" s="87"/>
      <c r="AC427" s="87"/>
      <c r="AD427" s="87"/>
      <c r="AE427" s="87"/>
      <c r="AF427" s="87"/>
      <c r="AG427" s="87"/>
      <c r="AH427" s="87"/>
      <c r="AI427" s="87"/>
      <c r="AJ427" s="87"/>
    </row>
    <row r="428" spans="1:36" x14ac:dyDescent="0.25">
      <c r="A428" s="273"/>
      <c r="B428" s="86"/>
      <c r="C428" s="86"/>
      <c r="D428" s="86"/>
      <c r="E428" s="86"/>
      <c r="F428" s="86"/>
      <c r="G428" s="86"/>
      <c r="H428" s="86"/>
      <c r="I428" s="86"/>
      <c r="J428" s="86"/>
      <c r="K428" s="86"/>
      <c r="L428" s="86"/>
      <c r="M428" s="86"/>
      <c r="N428" s="86"/>
      <c r="O428" s="86"/>
      <c r="P428" s="86"/>
      <c r="Q428" s="86"/>
      <c r="R428" s="86"/>
      <c r="S428" s="86"/>
      <c r="T428" s="86"/>
      <c r="U428" s="86"/>
      <c r="V428" s="86"/>
      <c r="W428" s="86"/>
      <c r="X428" s="86"/>
      <c r="Y428" s="86"/>
      <c r="Z428" s="86"/>
      <c r="AA428" s="86"/>
      <c r="AB428" s="86"/>
      <c r="AC428" s="86"/>
      <c r="AD428" s="86"/>
      <c r="AE428" s="86"/>
      <c r="AF428" s="86"/>
      <c r="AG428" s="86"/>
      <c r="AH428" s="86"/>
      <c r="AI428" s="86"/>
      <c r="AJ428" s="86"/>
    </row>
    <row r="429" spans="1:36" x14ac:dyDescent="0.25">
      <c r="A429" s="274"/>
      <c r="B429" s="87"/>
      <c r="C429" s="87"/>
      <c r="D429" s="87"/>
      <c r="E429" s="87"/>
      <c r="F429" s="87"/>
      <c r="G429" s="87"/>
      <c r="H429" s="87"/>
      <c r="I429" s="87"/>
      <c r="J429" s="87"/>
      <c r="K429" s="87"/>
      <c r="L429" s="87"/>
      <c r="M429" s="87"/>
      <c r="N429" s="87"/>
      <c r="O429" s="87"/>
      <c r="P429" s="87"/>
      <c r="Q429" s="87"/>
      <c r="R429" s="87"/>
      <c r="S429" s="87"/>
      <c r="T429" s="87"/>
      <c r="U429" s="87"/>
      <c r="V429" s="87"/>
      <c r="W429" s="87"/>
      <c r="X429" s="87"/>
      <c r="Y429" s="87"/>
      <c r="Z429" s="87"/>
      <c r="AA429" s="87"/>
      <c r="AB429" s="87"/>
      <c r="AC429" s="87"/>
      <c r="AD429" s="87"/>
      <c r="AE429" s="87"/>
      <c r="AF429" s="87"/>
      <c r="AG429" s="87"/>
      <c r="AH429" s="87"/>
      <c r="AI429" s="87"/>
      <c r="AJ429" s="87"/>
    </row>
    <row r="430" spans="1:36" x14ac:dyDescent="0.25">
      <c r="A430" s="273"/>
      <c r="B430" s="86"/>
      <c r="C430" s="86"/>
      <c r="D430" s="86"/>
      <c r="E430" s="86"/>
      <c r="F430" s="86"/>
      <c r="G430" s="86"/>
      <c r="H430" s="86"/>
      <c r="I430" s="86"/>
      <c r="J430" s="86"/>
      <c r="K430" s="86"/>
      <c r="L430" s="86"/>
      <c r="M430" s="86"/>
      <c r="N430" s="86"/>
      <c r="O430" s="86"/>
      <c r="P430" s="86"/>
      <c r="Q430" s="86"/>
      <c r="R430" s="86"/>
      <c r="S430" s="86"/>
      <c r="T430" s="86"/>
      <c r="U430" s="86"/>
      <c r="V430" s="86"/>
      <c r="W430" s="86"/>
      <c r="X430" s="86"/>
      <c r="Y430" s="86"/>
      <c r="Z430" s="86"/>
      <c r="AA430" s="86"/>
      <c r="AB430" s="86"/>
      <c r="AC430" s="86"/>
      <c r="AD430" s="86"/>
      <c r="AE430" s="86"/>
      <c r="AF430" s="86"/>
      <c r="AG430" s="86"/>
      <c r="AH430" s="86"/>
      <c r="AI430" s="86"/>
      <c r="AJ430" s="86"/>
    </row>
    <row r="431" spans="1:36" x14ac:dyDescent="0.25">
      <c r="A431" s="274"/>
      <c r="B431" s="87"/>
      <c r="C431" s="87"/>
      <c r="D431" s="87"/>
      <c r="E431" s="87"/>
      <c r="F431" s="87"/>
      <c r="G431" s="87"/>
      <c r="H431" s="87"/>
      <c r="I431" s="87"/>
      <c r="J431" s="87"/>
      <c r="K431" s="87"/>
      <c r="L431" s="87"/>
      <c r="M431" s="87"/>
      <c r="N431" s="87"/>
      <c r="O431" s="87"/>
      <c r="P431" s="87"/>
      <c r="Q431" s="87"/>
      <c r="R431" s="87"/>
      <c r="S431" s="87"/>
      <c r="T431" s="87"/>
      <c r="U431" s="87"/>
      <c r="V431" s="87"/>
      <c r="W431" s="87"/>
      <c r="X431" s="87"/>
      <c r="Y431" s="87"/>
      <c r="Z431" s="87"/>
      <c r="AA431" s="87"/>
      <c r="AB431" s="87"/>
      <c r="AC431" s="87"/>
      <c r="AD431" s="87"/>
      <c r="AE431" s="87"/>
      <c r="AF431" s="87"/>
      <c r="AG431" s="87"/>
      <c r="AH431" s="87"/>
      <c r="AI431" s="87"/>
      <c r="AJ431" s="87"/>
    </row>
    <row r="432" spans="1:36" x14ac:dyDescent="0.25">
      <c r="A432" s="273"/>
      <c r="B432" s="86"/>
      <c r="C432" s="86"/>
      <c r="D432" s="86"/>
      <c r="E432" s="86"/>
      <c r="F432" s="86"/>
      <c r="G432" s="86"/>
      <c r="H432" s="86"/>
      <c r="I432" s="86"/>
      <c r="J432" s="86"/>
      <c r="K432" s="86"/>
      <c r="L432" s="86"/>
      <c r="M432" s="86"/>
      <c r="N432" s="86"/>
      <c r="O432" s="86"/>
      <c r="P432" s="86"/>
      <c r="Q432" s="86"/>
      <c r="R432" s="86"/>
      <c r="S432" s="86"/>
      <c r="T432" s="86"/>
      <c r="U432" s="86"/>
      <c r="V432" s="86"/>
      <c r="W432" s="86"/>
      <c r="X432" s="86"/>
      <c r="Y432" s="86"/>
      <c r="Z432" s="86"/>
      <c r="AA432" s="86"/>
      <c r="AB432" s="86"/>
      <c r="AC432" s="86"/>
      <c r="AD432" s="86"/>
      <c r="AE432" s="86"/>
      <c r="AF432" s="86"/>
      <c r="AG432" s="86"/>
      <c r="AH432" s="86"/>
      <c r="AI432" s="86"/>
      <c r="AJ432" s="86"/>
    </row>
    <row r="433" spans="1:36" x14ac:dyDescent="0.25">
      <c r="A433" s="274"/>
      <c r="B433" s="87"/>
      <c r="C433" s="87"/>
      <c r="D433" s="87"/>
      <c r="E433" s="87"/>
      <c r="F433" s="87"/>
      <c r="G433" s="87"/>
      <c r="H433" s="87"/>
      <c r="I433" s="87"/>
      <c r="J433" s="87"/>
      <c r="K433" s="87"/>
      <c r="L433" s="87"/>
      <c r="M433" s="87"/>
      <c r="N433" s="87"/>
      <c r="O433" s="87"/>
      <c r="P433" s="87"/>
      <c r="Q433" s="87"/>
      <c r="R433" s="87"/>
      <c r="S433" s="87"/>
      <c r="T433" s="87"/>
      <c r="U433" s="87"/>
      <c r="V433" s="87"/>
      <c r="W433" s="87"/>
      <c r="X433" s="87"/>
      <c r="Y433" s="87"/>
      <c r="Z433" s="87"/>
      <c r="AA433" s="87"/>
      <c r="AB433" s="87"/>
      <c r="AC433" s="87"/>
      <c r="AD433" s="87"/>
      <c r="AE433" s="87"/>
      <c r="AF433" s="87"/>
      <c r="AG433" s="87"/>
      <c r="AH433" s="87"/>
      <c r="AI433" s="87"/>
      <c r="AJ433" s="87"/>
    </row>
    <row r="434" spans="1:36" x14ac:dyDescent="0.25">
      <c r="A434" s="273"/>
      <c r="B434" s="86"/>
      <c r="C434" s="86"/>
      <c r="D434" s="86"/>
      <c r="E434" s="86"/>
      <c r="F434" s="86"/>
      <c r="G434" s="86"/>
      <c r="H434" s="86"/>
      <c r="I434" s="86"/>
      <c r="J434" s="86"/>
      <c r="K434" s="86"/>
      <c r="L434" s="86"/>
      <c r="M434" s="86"/>
      <c r="N434" s="86"/>
      <c r="O434" s="86"/>
      <c r="P434" s="86"/>
      <c r="Q434" s="86"/>
      <c r="R434" s="86"/>
      <c r="S434" s="86"/>
      <c r="T434" s="86"/>
      <c r="U434" s="86"/>
      <c r="V434" s="86"/>
      <c r="W434" s="86"/>
      <c r="X434" s="86"/>
      <c r="Y434" s="86"/>
      <c r="Z434" s="86"/>
      <c r="AA434" s="86"/>
      <c r="AB434" s="86"/>
      <c r="AC434" s="86"/>
      <c r="AD434" s="86"/>
      <c r="AE434" s="86"/>
      <c r="AF434" s="86"/>
      <c r="AG434" s="86"/>
      <c r="AH434" s="86"/>
      <c r="AI434" s="86"/>
      <c r="AJ434" s="86"/>
    </row>
    <row r="435" spans="1:36" x14ac:dyDescent="0.25">
      <c r="A435" s="274"/>
      <c r="B435" s="87"/>
      <c r="C435" s="87"/>
      <c r="D435" s="87"/>
      <c r="E435" s="87"/>
      <c r="F435" s="87"/>
      <c r="G435" s="87"/>
      <c r="H435" s="87"/>
      <c r="I435" s="87"/>
      <c r="J435" s="87"/>
      <c r="K435" s="87"/>
      <c r="L435" s="87"/>
      <c r="M435" s="87"/>
      <c r="N435" s="87"/>
      <c r="O435" s="87"/>
      <c r="P435" s="87"/>
      <c r="Q435" s="87"/>
      <c r="R435" s="87"/>
      <c r="S435" s="87"/>
      <c r="T435" s="87"/>
      <c r="U435" s="87"/>
      <c r="V435" s="87"/>
      <c r="W435" s="87"/>
      <c r="X435" s="87"/>
      <c r="Y435" s="87"/>
      <c r="Z435" s="87"/>
      <c r="AA435" s="87"/>
      <c r="AB435" s="87"/>
      <c r="AC435" s="87"/>
      <c r="AD435" s="87"/>
      <c r="AE435" s="87"/>
      <c r="AF435" s="87"/>
      <c r="AG435" s="87"/>
      <c r="AH435" s="87"/>
      <c r="AI435" s="87"/>
      <c r="AJ435" s="87"/>
    </row>
    <row r="436" spans="1:36" x14ac:dyDescent="0.25">
      <c r="A436" s="273"/>
      <c r="B436" s="86"/>
      <c r="C436" s="86"/>
      <c r="D436" s="86"/>
      <c r="E436" s="86"/>
      <c r="F436" s="86"/>
      <c r="G436" s="86"/>
      <c r="H436" s="86"/>
      <c r="I436" s="86"/>
      <c r="J436" s="86"/>
      <c r="K436" s="86"/>
      <c r="L436" s="86"/>
      <c r="M436" s="86"/>
      <c r="N436" s="86"/>
      <c r="O436" s="86"/>
      <c r="P436" s="86"/>
      <c r="Q436" s="86"/>
      <c r="R436" s="86"/>
      <c r="S436" s="86"/>
      <c r="T436" s="86"/>
      <c r="U436" s="86"/>
      <c r="V436" s="86"/>
      <c r="W436" s="86"/>
      <c r="X436" s="86"/>
      <c r="Y436" s="86"/>
      <c r="Z436" s="86"/>
      <c r="AA436" s="86"/>
      <c r="AB436" s="86"/>
      <c r="AC436" s="86"/>
      <c r="AD436" s="86"/>
      <c r="AE436" s="86"/>
      <c r="AF436" s="86"/>
      <c r="AG436" s="86"/>
      <c r="AH436" s="86"/>
      <c r="AI436" s="86"/>
      <c r="AJ436" s="86"/>
    </row>
    <row r="437" spans="1:36" x14ac:dyDescent="0.25">
      <c r="A437" s="274"/>
      <c r="B437" s="87"/>
      <c r="C437" s="87"/>
      <c r="D437" s="87"/>
      <c r="E437" s="87"/>
      <c r="F437" s="87"/>
      <c r="G437" s="87"/>
      <c r="H437" s="87"/>
      <c r="I437" s="87"/>
      <c r="J437" s="87"/>
      <c r="K437" s="87"/>
      <c r="L437" s="87"/>
      <c r="M437" s="87"/>
      <c r="N437" s="87"/>
      <c r="O437" s="87"/>
      <c r="P437" s="87"/>
      <c r="Q437" s="87"/>
      <c r="R437" s="87"/>
      <c r="S437" s="87"/>
      <c r="T437" s="87"/>
      <c r="U437" s="87"/>
      <c r="V437" s="87"/>
      <c r="W437" s="87"/>
      <c r="X437" s="87"/>
      <c r="Y437" s="87"/>
      <c r="Z437" s="87"/>
      <c r="AA437" s="87"/>
      <c r="AB437" s="87"/>
      <c r="AC437" s="87"/>
      <c r="AD437" s="87"/>
      <c r="AE437" s="87"/>
      <c r="AF437" s="87"/>
      <c r="AG437" s="87"/>
      <c r="AH437" s="87"/>
      <c r="AI437" s="87"/>
      <c r="AJ437" s="87"/>
    </row>
    <row r="438" spans="1:36" x14ac:dyDescent="0.25">
      <c r="A438" s="273"/>
      <c r="B438" s="86"/>
      <c r="C438" s="86"/>
      <c r="D438" s="86"/>
      <c r="E438" s="86"/>
      <c r="F438" s="86"/>
      <c r="G438" s="86"/>
      <c r="H438" s="86"/>
      <c r="I438" s="86"/>
      <c r="J438" s="86"/>
      <c r="K438" s="86"/>
      <c r="L438" s="86"/>
      <c r="M438" s="86"/>
      <c r="N438" s="86"/>
      <c r="O438" s="86"/>
      <c r="P438" s="86"/>
      <c r="Q438" s="86"/>
      <c r="R438" s="86"/>
      <c r="S438" s="86"/>
      <c r="T438" s="86"/>
      <c r="U438" s="86"/>
      <c r="V438" s="86"/>
      <c r="W438" s="86"/>
      <c r="X438" s="86"/>
      <c r="Y438" s="86"/>
      <c r="Z438" s="86"/>
      <c r="AA438" s="86"/>
      <c r="AB438" s="86"/>
      <c r="AC438" s="86"/>
      <c r="AD438" s="86"/>
      <c r="AE438" s="86"/>
      <c r="AF438" s="86"/>
      <c r="AG438" s="86"/>
      <c r="AH438" s="86"/>
      <c r="AI438" s="86"/>
      <c r="AJ438" s="86"/>
    </row>
    <row r="439" spans="1:36" x14ac:dyDescent="0.25">
      <c r="A439" s="274"/>
      <c r="B439" s="87"/>
      <c r="C439" s="87"/>
      <c r="D439" s="87"/>
      <c r="E439" s="87"/>
      <c r="F439" s="87"/>
      <c r="G439" s="87"/>
      <c r="H439" s="87"/>
      <c r="I439" s="87"/>
      <c r="J439" s="87"/>
      <c r="K439" s="87"/>
      <c r="L439" s="87"/>
      <c r="M439" s="87"/>
      <c r="N439" s="87"/>
      <c r="O439" s="87"/>
      <c r="P439" s="87"/>
      <c r="Q439" s="87"/>
      <c r="R439" s="87"/>
      <c r="S439" s="87"/>
      <c r="T439" s="87"/>
      <c r="U439" s="87"/>
      <c r="V439" s="87"/>
      <c r="W439" s="87"/>
      <c r="X439" s="87"/>
      <c r="Y439" s="87"/>
      <c r="Z439" s="87"/>
      <c r="AA439" s="87"/>
      <c r="AB439" s="87"/>
      <c r="AC439" s="87"/>
      <c r="AD439" s="87"/>
      <c r="AE439" s="87"/>
      <c r="AF439" s="87"/>
      <c r="AG439" s="87"/>
      <c r="AH439" s="87"/>
      <c r="AI439" s="87"/>
      <c r="AJ439" s="87"/>
    </row>
    <row r="440" spans="1:36" x14ac:dyDescent="0.25">
      <c r="A440" s="273"/>
      <c r="B440" s="86"/>
      <c r="C440" s="86"/>
      <c r="D440" s="86"/>
      <c r="E440" s="86"/>
      <c r="F440" s="86"/>
      <c r="G440" s="86"/>
      <c r="H440" s="86"/>
      <c r="I440" s="86"/>
      <c r="J440" s="86"/>
      <c r="K440" s="86"/>
      <c r="L440" s="86"/>
      <c r="M440" s="86"/>
      <c r="N440" s="86"/>
      <c r="O440" s="86"/>
      <c r="P440" s="86"/>
      <c r="Q440" s="86"/>
      <c r="R440" s="86"/>
      <c r="S440" s="86"/>
      <c r="T440" s="86"/>
      <c r="U440" s="86"/>
      <c r="V440" s="86"/>
      <c r="W440" s="86"/>
      <c r="X440" s="86"/>
      <c r="Y440" s="86"/>
      <c r="Z440" s="86"/>
      <c r="AA440" s="86"/>
      <c r="AB440" s="86"/>
      <c r="AC440" s="86"/>
      <c r="AD440" s="86"/>
      <c r="AE440" s="86"/>
      <c r="AF440" s="86"/>
      <c r="AG440" s="86"/>
      <c r="AH440" s="86"/>
      <c r="AI440" s="86"/>
      <c r="AJ440" s="86"/>
    </row>
    <row r="441" spans="1:36" x14ac:dyDescent="0.25">
      <c r="A441" s="274"/>
      <c r="B441" s="87"/>
      <c r="C441" s="87"/>
      <c r="D441" s="87"/>
      <c r="E441" s="87"/>
      <c r="F441" s="87"/>
      <c r="G441" s="87"/>
      <c r="H441" s="87"/>
      <c r="I441" s="87"/>
      <c r="J441" s="87"/>
      <c r="K441" s="87"/>
      <c r="L441" s="87"/>
      <c r="M441" s="87"/>
      <c r="N441" s="87"/>
      <c r="O441" s="87"/>
      <c r="P441" s="87"/>
      <c r="Q441" s="87"/>
      <c r="R441" s="87"/>
      <c r="S441" s="87"/>
      <c r="T441" s="87"/>
      <c r="U441" s="87"/>
      <c r="V441" s="87"/>
      <c r="W441" s="87"/>
      <c r="X441" s="87"/>
      <c r="Y441" s="87"/>
      <c r="Z441" s="87"/>
      <c r="AA441" s="87"/>
      <c r="AB441" s="87"/>
      <c r="AC441" s="87"/>
      <c r="AD441" s="87"/>
      <c r="AE441" s="87"/>
      <c r="AF441" s="87"/>
      <c r="AG441" s="87"/>
      <c r="AH441" s="87"/>
      <c r="AI441" s="87"/>
      <c r="AJ441" s="87"/>
    </row>
    <row r="442" spans="1:36" x14ac:dyDescent="0.25">
      <c r="A442" s="273"/>
      <c r="B442" s="86"/>
      <c r="C442" s="86"/>
      <c r="D442" s="86"/>
      <c r="E442" s="86"/>
      <c r="F442" s="86"/>
      <c r="G442" s="86"/>
      <c r="H442" s="86"/>
      <c r="I442" s="86"/>
      <c r="J442" s="86"/>
      <c r="K442" s="86"/>
      <c r="L442" s="86"/>
      <c r="M442" s="86"/>
      <c r="N442" s="86"/>
      <c r="O442" s="86"/>
      <c r="P442" s="86"/>
      <c r="Q442" s="86"/>
      <c r="R442" s="86"/>
      <c r="S442" s="86"/>
      <c r="T442" s="86"/>
      <c r="U442" s="86"/>
      <c r="V442" s="86"/>
      <c r="W442" s="86"/>
      <c r="X442" s="86"/>
      <c r="Y442" s="86"/>
      <c r="Z442" s="86"/>
      <c r="AA442" s="86"/>
      <c r="AB442" s="86"/>
      <c r="AC442" s="86"/>
      <c r="AD442" s="86"/>
      <c r="AE442" s="86"/>
      <c r="AF442" s="86"/>
      <c r="AG442" s="86"/>
      <c r="AH442" s="86"/>
      <c r="AI442" s="86"/>
      <c r="AJ442" s="86"/>
    </row>
    <row r="443" spans="1:36" x14ac:dyDescent="0.25">
      <c r="A443" s="274"/>
      <c r="B443" s="87"/>
      <c r="C443" s="87"/>
      <c r="D443" s="87"/>
      <c r="E443" s="87"/>
      <c r="F443" s="87"/>
      <c r="G443" s="87"/>
      <c r="H443" s="87"/>
      <c r="I443" s="87"/>
      <c r="J443" s="87"/>
      <c r="K443" s="87"/>
      <c r="L443" s="87"/>
      <c r="M443" s="87"/>
      <c r="N443" s="87"/>
      <c r="O443" s="87"/>
      <c r="P443" s="87"/>
      <c r="Q443" s="87"/>
      <c r="R443" s="87"/>
      <c r="S443" s="87"/>
      <c r="T443" s="87"/>
      <c r="U443" s="87"/>
      <c r="V443" s="87"/>
      <c r="W443" s="87"/>
      <c r="X443" s="87"/>
      <c r="Y443" s="87"/>
      <c r="Z443" s="87"/>
      <c r="AA443" s="87"/>
      <c r="AB443" s="87"/>
      <c r="AC443" s="87"/>
      <c r="AD443" s="87"/>
      <c r="AE443" s="87"/>
      <c r="AF443" s="87"/>
      <c r="AG443" s="87"/>
      <c r="AH443" s="87"/>
      <c r="AI443" s="87"/>
      <c r="AJ443" s="87"/>
    </row>
    <row r="444" spans="1:36" x14ac:dyDescent="0.25">
      <c r="A444" s="273"/>
      <c r="B444" s="86"/>
      <c r="C444" s="86"/>
      <c r="D444" s="86"/>
      <c r="E444" s="86"/>
      <c r="F444" s="86"/>
      <c r="G444" s="86"/>
      <c r="H444" s="86"/>
      <c r="I444" s="86"/>
      <c r="J444" s="86"/>
      <c r="K444" s="86"/>
      <c r="L444" s="86"/>
      <c r="M444" s="86"/>
      <c r="N444" s="86"/>
      <c r="O444" s="86"/>
      <c r="P444" s="86"/>
      <c r="Q444" s="86"/>
      <c r="R444" s="86"/>
      <c r="S444" s="86"/>
      <c r="T444" s="86"/>
      <c r="U444" s="86"/>
      <c r="V444" s="86"/>
      <c r="W444" s="86"/>
      <c r="X444" s="86"/>
      <c r="Y444" s="86"/>
      <c r="Z444" s="86"/>
      <c r="AA444" s="86"/>
      <c r="AB444" s="86"/>
      <c r="AC444" s="86"/>
      <c r="AD444" s="86"/>
      <c r="AE444" s="86"/>
      <c r="AF444" s="86"/>
      <c r="AG444" s="86"/>
      <c r="AH444" s="86"/>
      <c r="AI444" s="86"/>
      <c r="AJ444" s="86"/>
    </row>
    <row r="445" spans="1:36" x14ac:dyDescent="0.25">
      <c r="A445" s="274"/>
      <c r="B445" s="87"/>
      <c r="C445" s="87"/>
      <c r="D445" s="87"/>
      <c r="E445" s="87"/>
      <c r="F445" s="87"/>
      <c r="G445" s="87"/>
      <c r="H445" s="87"/>
      <c r="I445" s="87"/>
      <c r="J445" s="87"/>
      <c r="K445" s="87"/>
      <c r="L445" s="87"/>
      <c r="M445" s="87"/>
      <c r="N445" s="87"/>
      <c r="O445" s="87"/>
      <c r="P445" s="87"/>
      <c r="Q445" s="87"/>
      <c r="R445" s="87"/>
      <c r="S445" s="87"/>
      <c r="T445" s="87"/>
      <c r="U445" s="87"/>
      <c r="V445" s="87"/>
      <c r="W445" s="87"/>
      <c r="X445" s="87"/>
      <c r="Y445" s="87"/>
      <c r="Z445" s="87"/>
      <c r="AA445" s="87"/>
      <c r="AB445" s="87"/>
      <c r="AC445" s="87"/>
      <c r="AD445" s="87"/>
      <c r="AE445" s="87"/>
      <c r="AF445" s="87"/>
      <c r="AG445" s="87"/>
      <c r="AH445" s="87"/>
      <c r="AI445" s="87"/>
      <c r="AJ445" s="87"/>
    </row>
    <row r="446" spans="1:36" x14ac:dyDescent="0.25">
      <c r="A446" s="273"/>
      <c r="B446" s="86"/>
      <c r="C446" s="86"/>
      <c r="D446" s="86"/>
      <c r="E446" s="86"/>
      <c r="F446" s="86"/>
      <c r="G446" s="86"/>
      <c r="H446" s="86"/>
      <c r="I446" s="86"/>
      <c r="J446" s="86"/>
      <c r="K446" s="86"/>
      <c r="L446" s="86"/>
      <c r="M446" s="86"/>
      <c r="N446" s="86"/>
      <c r="O446" s="86"/>
      <c r="P446" s="86"/>
      <c r="Q446" s="86"/>
      <c r="R446" s="86"/>
      <c r="S446" s="86"/>
      <c r="T446" s="86"/>
      <c r="U446" s="86"/>
      <c r="V446" s="86"/>
      <c r="W446" s="86"/>
      <c r="X446" s="86"/>
      <c r="Y446" s="86"/>
      <c r="Z446" s="86"/>
      <c r="AA446" s="86"/>
      <c r="AB446" s="86"/>
      <c r="AC446" s="86"/>
      <c r="AD446" s="86"/>
      <c r="AE446" s="86"/>
      <c r="AF446" s="86"/>
      <c r="AG446" s="86"/>
      <c r="AH446" s="86"/>
      <c r="AI446" s="86"/>
      <c r="AJ446" s="86"/>
    </row>
    <row r="447" spans="1:36" x14ac:dyDescent="0.25">
      <c r="A447" s="274"/>
      <c r="B447" s="87"/>
      <c r="C447" s="87"/>
      <c r="D447" s="87"/>
      <c r="E447" s="87"/>
      <c r="F447" s="87"/>
      <c r="G447" s="87"/>
      <c r="H447" s="87"/>
      <c r="I447" s="87"/>
      <c r="J447" s="87"/>
      <c r="K447" s="87"/>
      <c r="L447" s="87"/>
      <c r="M447" s="87"/>
      <c r="N447" s="87"/>
      <c r="O447" s="87"/>
      <c r="P447" s="87"/>
      <c r="Q447" s="87"/>
      <c r="R447" s="87"/>
      <c r="S447" s="87"/>
      <c r="T447" s="87"/>
      <c r="U447" s="87"/>
      <c r="V447" s="87"/>
      <c r="W447" s="87"/>
      <c r="X447" s="87"/>
      <c r="Y447" s="87"/>
      <c r="Z447" s="87"/>
      <c r="AA447" s="87"/>
      <c r="AB447" s="87"/>
      <c r="AC447" s="87"/>
      <c r="AD447" s="87"/>
      <c r="AE447" s="87"/>
      <c r="AF447" s="87"/>
      <c r="AG447" s="87"/>
      <c r="AH447" s="87"/>
      <c r="AI447" s="87"/>
      <c r="AJ447" s="87"/>
    </row>
    <row r="448" spans="1:36" x14ac:dyDescent="0.25">
      <c r="A448" s="273"/>
      <c r="B448" s="86"/>
      <c r="C448" s="86"/>
      <c r="D448" s="86"/>
      <c r="E448" s="86"/>
      <c r="F448" s="86"/>
      <c r="G448" s="86"/>
      <c r="H448" s="86"/>
      <c r="I448" s="86"/>
      <c r="J448" s="86"/>
      <c r="K448" s="86"/>
      <c r="L448" s="86"/>
      <c r="M448" s="86"/>
      <c r="N448" s="86"/>
      <c r="O448" s="86"/>
      <c r="P448" s="86"/>
      <c r="Q448" s="86"/>
      <c r="R448" s="86"/>
      <c r="S448" s="86"/>
      <c r="T448" s="86"/>
      <c r="U448" s="86"/>
      <c r="V448" s="86"/>
      <c r="W448" s="86"/>
      <c r="X448" s="86"/>
      <c r="Y448" s="86"/>
      <c r="Z448" s="86"/>
      <c r="AA448" s="86"/>
      <c r="AB448" s="86"/>
      <c r="AC448" s="86"/>
      <c r="AD448" s="86"/>
      <c r="AE448" s="86"/>
      <c r="AF448" s="86"/>
      <c r="AG448" s="86"/>
      <c r="AH448" s="86"/>
      <c r="AI448" s="86"/>
      <c r="AJ448" s="86"/>
    </row>
    <row r="449" spans="1:36" x14ac:dyDescent="0.25">
      <c r="A449" s="274"/>
      <c r="B449" s="87"/>
      <c r="C449" s="87"/>
      <c r="D449" s="87"/>
      <c r="E449" s="87"/>
      <c r="F449" s="87"/>
      <c r="G449" s="87"/>
      <c r="H449" s="87"/>
      <c r="I449" s="87"/>
      <c r="J449" s="87"/>
      <c r="K449" s="87"/>
      <c r="L449" s="87"/>
      <c r="M449" s="87"/>
      <c r="N449" s="87"/>
      <c r="O449" s="87"/>
      <c r="P449" s="87"/>
      <c r="Q449" s="87"/>
      <c r="R449" s="87"/>
      <c r="S449" s="87"/>
      <c r="T449" s="87"/>
      <c r="U449" s="87"/>
      <c r="V449" s="87"/>
      <c r="W449" s="87"/>
      <c r="X449" s="87"/>
      <c r="Y449" s="87"/>
      <c r="Z449" s="87"/>
      <c r="AA449" s="87"/>
      <c r="AB449" s="87"/>
      <c r="AC449" s="87"/>
      <c r="AD449" s="87"/>
      <c r="AE449" s="87"/>
      <c r="AF449" s="87"/>
      <c r="AG449" s="87"/>
      <c r="AH449" s="87"/>
      <c r="AI449" s="87"/>
      <c r="AJ449" s="87"/>
    </row>
    <row r="450" spans="1:36" x14ac:dyDescent="0.25">
      <c r="A450" s="273"/>
      <c r="B450" s="86"/>
      <c r="C450" s="86"/>
      <c r="D450" s="86"/>
      <c r="E450" s="86"/>
      <c r="F450" s="86"/>
      <c r="G450" s="86"/>
      <c r="H450" s="86"/>
      <c r="I450" s="86"/>
      <c r="J450" s="86"/>
      <c r="K450" s="86"/>
      <c r="L450" s="86"/>
      <c r="M450" s="86"/>
      <c r="N450" s="86"/>
      <c r="O450" s="86"/>
      <c r="P450" s="86"/>
      <c r="Q450" s="86"/>
      <c r="R450" s="86"/>
      <c r="S450" s="86"/>
      <c r="T450" s="86"/>
      <c r="U450" s="86"/>
      <c r="V450" s="86"/>
      <c r="W450" s="86"/>
      <c r="X450" s="86"/>
      <c r="Y450" s="86"/>
      <c r="Z450" s="86"/>
      <c r="AA450" s="86"/>
      <c r="AB450" s="86"/>
      <c r="AC450" s="86"/>
      <c r="AD450" s="86"/>
      <c r="AE450" s="86"/>
      <c r="AF450" s="86"/>
      <c r="AG450" s="86"/>
      <c r="AH450" s="86"/>
      <c r="AI450" s="86"/>
      <c r="AJ450" s="86"/>
    </row>
    <row r="451" spans="1:36" x14ac:dyDescent="0.25">
      <c r="A451" s="274"/>
      <c r="B451" s="87"/>
      <c r="C451" s="87"/>
      <c r="D451" s="87"/>
      <c r="E451" s="87"/>
      <c r="F451" s="87"/>
      <c r="G451" s="87"/>
      <c r="H451" s="87"/>
      <c r="I451" s="87"/>
      <c r="J451" s="87"/>
      <c r="K451" s="87"/>
      <c r="L451" s="87"/>
      <c r="M451" s="87"/>
      <c r="N451" s="87"/>
      <c r="O451" s="87"/>
      <c r="P451" s="87"/>
      <c r="Q451" s="87"/>
      <c r="R451" s="87"/>
      <c r="S451" s="87"/>
      <c r="T451" s="87"/>
      <c r="U451" s="87"/>
      <c r="V451" s="87"/>
      <c r="W451" s="87"/>
      <c r="X451" s="87"/>
      <c r="Y451" s="87"/>
      <c r="Z451" s="87"/>
      <c r="AA451" s="87"/>
      <c r="AB451" s="87"/>
      <c r="AC451" s="87"/>
      <c r="AD451" s="87"/>
      <c r="AE451" s="87"/>
      <c r="AF451" s="87"/>
      <c r="AG451" s="87"/>
      <c r="AH451" s="87"/>
      <c r="AI451" s="87"/>
      <c r="AJ451" s="87"/>
    </row>
    <row r="452" spans="1:36" x14ac:dyDescent="0.25">
      <c r="A452" s="273"/>
      <c r="B452" s="86"/>
      <c r="C452" s="86"/>
      <c r="D452" s="86"/>
      <c r="E452" s="86"/>
      <c r="F452" s="86"/>
      <c r="G452" s="86"/>
      <c r="H452" s="86"/>
      <c r="I452" s="86"/>
      <c r="J452" s="86"/>
      <c r="K452" s="86"/>
      <c r="L452" s="86"/>
      <c r="M452" s="86"/>
      <c r="N452" s="86"/>
      <c r="O452" s="86"/>
      <c r="P452" s="86"/>
      <c r="Q452" s="86"/>
      <c r="R452" s="86"/>
      <c r="S452" s="86"/>
      <c r="T452" s="86"/>
      <c r="U452" s="86"/>
      <c r="V452" s="86"/>
      <c r="W452" s="86"/>
      <c r="X452" s="86"/>
      <c r="Y452" s="86"/>
      <c r="Z452" s="86"/>
      <c r="AA452" s="86"/>
      <c r="AB452" s="86"/>
      <c r="AC452" s="86"/>
      <c r="AD452" s="86"/>
      <c r="AE452" s="86"/>
      <c r="AF452" s="86"/>
      <c r="AG452" s="86"/>
      <c r="AH452" s="86"/>
      <c r="AI452" s="86"/>
      <c r="AJ452" s="86"/>
    </row>
    <row r="453" spans="1:36" x14ac:dyDescent="0.25">
      <c r="A453" s="274"/>
      <c r="B453" s="87"/>
      <c r="C453" s="87"/>
      <c r="D453" s="87"/>
      <c r="E453" s="87"/>
      <c r="F453" s="87"/>
      <c r="G453" s="87"/>
      <c r="H453" s="87"/>
      <c r="I453" s="87"/>
      <c r="J453" s="87"/>
      <c r="K453" s="87"/>
      <c r="L453" s="87"/>
      <c r="M453" s="87"/>
      <c r="N453" s="87"/>
      <c r="O453" s="87"/>
      <c r="P453" s="87"/>
      <c r="Q453" s="87"/>
      <c r="R453" s="87"/>
      <c r="S453" s="87"/>
      <c r="T453" s="87"/>
      <c r="U453" s="87"/>
      <c r="V453" s="87"/>
      <c r="W453" s="87"/>
      <c r="X453" s="87"/>
      <c r="Y453" s="87"/>
      <c r="Z453" s="87"/>
      <c r="AA453" s="87"/>
      <c r="AB453" s="87"/>
      <c r="AC453" s="87"/>
      <c r="AD453" s="87"/>
      <c r="AE453" s="87"/>
      <c r="AF453" s="87"/>
      <c r="AG453" s="87"/>
      <c r="AH453" s="87"/>
      <c r="AI453" s="87"/>
      <c r="AJ453" s="87"/>
    </row>
    <row r="454" spans="1:36" x14ac:dyDescent="0.25">
      <c r="A454" s="273"/>
      <c r="B454" s="86"/>
      <c r="C454" s="86"/>
      <c r="D454" s="86"/>
      <c r="E454" s="86"/>
      <c r="F454" s="86"/>
      <c r="G454" s="86"/>
      <c r="H454" s="86"/>
      <c r="I454" s="86"/>
      <c r="J454" s="86"/>
      <c r="K454" s="86"/>
      <c r="L454" s="86"/>
      <c r="M454" s="86"/>
      <c r="N454" s="86"/>
      <c r="O454" s="86"/>
      <c r="P454" s="86"/>
      <c r="Q454" s="86"/>
      <c r="R454" s="86"/>
      <c r="S454" s="86"/>
      <c r="T454" s="86"/>
      <c r="U454" s="86"/>
      <c r="V454" s="86"/>
      <c r="W454" s="86"/>
      <c r="X454" s="86"/>
      <c r="Y454" s="86"/>
      <c r="Z454" s="86"/>
      <c r="AA454" s="86"/>
      <c r="AB454" s="86"/>
      <c r="AC454" s="86"/>
      <c r="AD454" s="86"/>
      <c r="AE454" s="86"/>
      <c r="AF454" s="86"/>
      <c r="AG454" s="86"/>
      <c r="AH454" s="86"/>
      <c r="AI454" s="86"/>
      <c r="AJ454" s="86"/>
    </row>
    <row r="455" spans="1:36" x14ac:dyDescent="0.25">
      <c r="A455" s="274"/>
      <c r="B455" s="87"/>
      <c r="C455" s="87"/>
      <c r="D455" s="87"/>
      <c r="E455" s="87"/>
      <c r="F455" s="87"/>
      <c r="G455" s="87"/>
      <c r="H455" s="87"/>
      <c r="I455" s="87"/>
      <c r="J455" s="87"/>
      <c r="K455" s="87"/>
      <c r="L455" s="87"/>
      <c r="M455" s="87"/>
      <c r="N455" s="87"/>
      <c r="O455" s="87"/>
      <c r="P455" s="87"/>
      <c r="Q455" s="87"/>
      <c r="R455" s="87"/>
      <c r="S455" s="87"/>
      <c r="T455" s="87"/>
      <c r="U455" s="87"/>
      <c r="V455" s="87"/>
      <c r="W455" s="87"/>
      <c r="X455" s="87"/>
      <c r="Y455" s="87"/>
      <c r="Z455" s="87"/>
      <c r="AA455" s="87"/>
      <c r="AB455" s="87"/>
      <c r="AC455" s="87"/>
      <c r="AD455" s="87"/>
      <c r="AE455" s="87"/>
      <c r="AF455" s="87"/>
      <c r="AG455" s="87"/>
      <c r="AH455" s="87"/>
      <c r="AI455" s="87"/>
      <c r="AJ455" s="87"/>
    </row>
    <row r="456" spans="1:36" x14ac:dyDescent="0.25">
      <c r="A456" s="273"/>
      <c r="B456" s="86"/>
      <c r="C456" s="86"/>
      <c r="D456" s="86"/>
      <c r="E456" s="86"/>
      <c r="F456" s="86"/>
      <c r="G456" s="86"/>
      <c r="H456" s="86"/>
      <c r="I456" s="86"/>
      <c r="J456" s="86"/>
      <c r="K456" s="86"/>
      <c r="L456" s="86"/>
      <c r="M456" s="86"/>
      <c r="N456" s="86"/>
      <c r="O456" s="86"/>
      <c r="P456" s="86"/>
      <c r="Q456" s="86"/>
      <c r="R456" s="86"/>
      <c r="S456" s="86"/>
      <c r="T456" s="86"/>
      <c r="U456" s="86"/>
      <c r="V456" s="86"/>
      <c r="W456" s="86"/>
      <c r="X456" s="86"/>
      <c r="Y456" s="86"/>
      <c r="Z456" s="86"/>
      <c r="AA456" s="86"/>
      <c r="AB456" s="86"/>
      <c r="AC456" s="86"/>
      <c r="AD456" s="86"/>
      <c r="AE456" s="86"/>
      <c r="AF456" s="86"/>
      <c r="AG456" s="86"/>
      <c r="AH456" s="86"/>
      <c r="AI456" s="86"/>
      <c r="AJ456" s="86"/>
    </row>
    <row r="457" spans="1:36" x14ac:dyDescent="0.25">
      <c r="A457" s="274"/>
      <c r="B457" s="87"/>
      <c r="C457" s="87"/>
      <c r="D457" s="87"/>
      <c r="E457" s="87"/>
      <c r="F457" s="87"/>
      <c r="G457" s="87"/>
      <c r="H457" s="87"/>
      <c r="I457" s="87"/>
      <c r="J457" s="87"/>
      <c r="K457" s="87"/>
      <c r="L457" s="87"/>
      <c r="M457" s="87"/>
      <c r="N457" s="87"/>
      <c r="O457" s="87"/>
      <c r="P457" s="87"/>
      <c r="Q457" s="87"/>
      <c r="R457" s="87"/>
      <c r="S457" s="87"/>
      <c r="T457" s="87"/>
      <c r="U457" s="87"/>
      <c r="V457" s="87"/>
      <c r="W457" s="87"/>
      <c r="X457" s="87"/>
      <c r="Y457" s="87"/>
      <c r="Z457" s="87"/>
      <c r="AA457" s="87"/>
      <c r="AB457" s="87"/>
      <c r="AC457" s="87"/>
      <c r="AD457" s="87"/>
      <c r="AE457" s="87"/>
      <c r="AF457" s="87"/>
      <c r="AG457" s="87"/>
      <c r="AH457" s="87"/>
      <c r="AI457" s="87"/>
      <c r="AJ457" s="87"/>
    </row>
    <row r="458" spans="1:36" x14ac:dyDescent="0.25">
      <c r="A458" s="273"/>
      <c r="B458" s="86"/>
      <c r="C458" s="86"/>
      <c r="D458" s="86"/>
      <c r="E458" s="86"/>
      <c r="F458" s="86"/>
      <c r="G458" s="86"/>
      <c r="H458" s="86"/>
      <c r="I458" s="86"/>
      <c r="J458" s="86"/>
      <c r="K458" s="86"/>
      <c r="L458" s="86"/>
      <c r="M458" s="86"/>
      <c r="N458" s="86"/>
      <c r="O458" s="86"/>
      <c r="P458" s="86"/>
      <c r="Q458" s="86"/>
      <c r="R458" s="86"/>
      <c r="S458" s="86"/>
      <c r="T458" s="86"/>
      <c r="U458" s="86"/>
      <c r="V458" s="86"/>
      <c r="W458" s="86"/>
      <c r="X458" s="86"/>
      <c r="Y458" s="86"/>
      <c r="Z458" s="86"/>
      <c r="AA458" s="86"/>
      <c r="AB458" s="86"/>
      <c r="AC458" s="86"/>
      <c r="AD458" s="86"/>
      <c r="AE458" s="86"/>
      <c r="AF458" s="86"/>
      <c r="AG458" s="86"/>
      <c r="AH458" s="86"/>
      <c r="AI458" s="86"/>
      <c r="AJ458" s="86"/>
    </row>
    <row r="459" spans="1:36" x14ac:dyDescent="0.25">
      <c r="A459" s="274"/>
      <c r="B459" s="87"/>
      <c r="C459" s="87"/>
      <c r="D459" s="87"/>
      <c r="E459" s="87"/>
      <c r="F459" s="87"/>
      <c r="G459" s="87"/>
      <c r="H459" s="87"/>
      <c r="I459" s="87"/>
      <c r="J459" s="87"/>
      <c r="K459" s="87"/>
      <c r="L459" s="87"/>
      <c r="M459" s="87"/>
      <c r="N459" s="87"/>
      <c r="O459" s="87"/>
      <c r="P459" s="87"/>
      <c r="Q459" s="87"/>
      <c r="R459" s="87"/>
      <c r="S459" s="87"/>
      <c r="T459" s="87"/>
      <c r="U459" s="87"/>
      <c r="V459" s="87"/>
      <c r="W459" s="87"/>
      <c r="X459" s="87"/>
      <c r="Y459" s="87"/>
      <c r="Z459" s="87"/>
      <c r="AA459" s="87"/>
      <c r="AB459" s="87"/>
      <c r="AC459" s="87"/>
      <c r="AD459" s="87"/>
      <c r="AE459" s="87"/>
      <c r="AF459" s="87"/>
      <c r="AG459" s="87"/>
      <c r="AH459" s="87"/>
      <c r="AI459" s="87"/>
      <c r="AJ459" s="87"/>
    </row>
    <row r="460" spans="1:36" x14ac:dyDescent="0.25">
      <c r="A460" s="273"/>
      <c r="B460" s="86"/>
      <c r="C460" s="86"/>
      <c r="D460" s="86"/>
      <c r="E460" s="86"/>
      <c r="F460" s="86"/>
      <c r="G460" s="86"/>
      <c r="H460" s="86"/>
      <c r="I460" s="86"/>
      <c r="J460" s="86"/>
      <c r="K460" s="86"/>
      <c r="L460" s="86"/>
      <c r="M460" s="86"/>
      <c r="N460" s="86"/>
      <c r="O460" s="86"/>
      <c r="P460" s="86"/>
      <c r="Q460" s="86"/>
      <c r="R460" s="86"/>
      <c r="S460" s="86"/>
      <c r="T460" s="86"/>
      <c r="U460" s="86"/>
      <c r="V460" s="86"/>
      <c r="W460" s="86"/>
      <c r="X460" s="86"/>
      <c r="Y460" s="86"/>
      <c r="Z460" s="86"/>
      <c r="AA460" s="86"/>
      <c r="AB460" s="86"/>
      <c r="AC460" s="86"/>
      <c r="AD460" s="86"/>
      <c r="AE460" s="86"/>
      <c r="AF460" s="86"/>
      <c r="AG460" s="86"/>
      <c r="AH460" s="86"/>
      <c r="AI460" s="86"/>
      <c r="AJ460" s="86"/>
    </row>
    <row r="461" spans="1:36" x14ac:dyDescent="0.25">
      <c r="A461" s="274"/>
      <c r="B461" s="87"/>
      <c r="C461" s="87"/>
      <c r="D461" s="87"/>
      <c r="E461" s="87"/>
      <c r="F461" s="87"/>
      <c r="G461" s="87"/>
      <c r="H461" s="87"/>
      <c r="I461" s="87"/>
      <c r="J461" s="87"/>
      <c r="K461" s="87"/>
      <c r="L461" s="87"/>
      <c r="M461" s="87"/>
      <c r="N461" s="87"/>
      <c r="O461" s="87"/>
      <c r="P461" s="87"/>
      <c r="Q461" s="87"/>
      <c r="R461" s="87"/>
      <c r="S461" s="87"/>
      <c r="T461" s="87"/>
      <c r="U461" s="87"/>
      <c r="V461" s="87"/>
      <c r="W461" s="87"/>
      <c r="X461" s="87"/>
      <c r="Y461" s="87"/>
      <c r="Z461" s="87"/>
      <c r="AA461" s="87"/>
      <c r="AB461" s="87"/>
      <c r="AC461" s="87"/>
      <c r="AD461" s="87"/>
      <c r="AE461" s="87"/>
      <c r="AF461" s="87"/>
      <c r="AG461" s="87"/>
      <c r="AH461" s="87"/>
      <c r="AI461" s="87"/>
      <c r="AJ461" s="87"/>
    </row>
    <row r="462" spans="1:36" x14ac:dyDescent="0.25">
      <c r="A462" s="273"/>
      <c r="B462" s="86"/>
      <c r="C462" s="86"/>
      <c r="D462" s="86"/>
      <c r="E462" s="86"/>
      <c r="F462" s="86"/>
      <c r="G462" s="86"/>
      <c r="H462" s="86"/>
      <c r="I462" s="86"/>
      <c r="J462" s="86"/>
      <c r="K462" s="86"/>
      <c r="L462" s="86"/>
      <c r="M462" s="86"/>
      <c r="N462" s="86"/>
      <c r="O462" s="86"/>
      <c r="P462" s="86"/>
      <c r="Q462" s="86"/>
      <c r="R462" s="86"/>
      <c r="S462" s="86"/>
      <c r="T462" s="86"/>
      <c r="U462" s="86"/>
      <c r="V462" s="86"/>
      <c r="W462" s="86"/>
      <c r="X462" s="86"/>
      <c r="Y462" s="86"/>
      <c r="Z462" s="86"/>
      <c r="AA462" s="86"/>
      <c r="AB462" s="86"/>
      <c r="AC462" s="86"/>
      <c r="AD462" s="86"/>
      <c r="AE462" s="86"/>
      <c r="AF462" s="86"/>
      <c r="AG462" s="86"/>
      <c r="AH462" s="86"/>
      <c r="AI462" s="86"/>
      <c r="AJ462" s="86"/>
    </row>
    <row r="463" spans="1:36" x14ac:dyDescent="0.25">
      <c r="A463" s="274"/>
      <c r="B463" s="87"/>
      <c r="C463" s="87"/>
      <c r="D463" s="87"/>
      <c r="E463" s="87"/>
      <c r="F463" s="87"/>
      <c r="G463" s="87"/>
      <c r="H463" s="87"/>
      <c r="I463" s="87"/>
      <c r="J463" s="87"/>
      <c r="K463" s="87"/>
      <c r="L463" s="87"/>
      <c r="M463" s="87"/>
      <c r="N463" s="87"/>
      <c r="O463" s="87"/>
      <c r="P463" s="87"/>
      <c r="Q463" s="87"/>
      <c r="R463" s="87"/>
      <c r="S463" s="87"/>
      <c r="T463" s="87"/>
      <c r="U463" s="87"/>
      <c r="V463" s="87"/>
      <c r="W463" s="87"/>
      <c r="X463" s="87"/>
      <c r="Y463" s="87"/>
      <c r="Z463" s="87"/>
      <c r="AA463" s="87"/>
      <c r="AB463" s="87"/>
      <c r="AC463" s="87"/>
      <c r="AD463" s="87"/>
      <c r="AE463" s="87"/>
      <c r="AF463" s="87"/>
      <c r="AG463" s="87"/>
      <c r="AH463" s="87"/>
      <c r="AI463" s="87"/>
      <c r="AJ463" s="87"/>
    </row>
    <row r="464" spans="1:36" x14ac:dyDescent="0.25">
      <c r="A464" s="273"/>
      <c r="B464" s="86"/>
      <c r="C464" s="86"/>
      <c r="D464" s="86"/>
      <c r="E464" s="86"/>
      <c r="F464" s="86"/>
      <c r="G464" s="86"/>
      <c r="H464" s="86"/>
      <c r="I464" s="86"/>
      <c r="J464" s="86"/>
      <c r="K464" s="86"/>
      <c r="L464" s="86"/>
      <c r="M464" s="86"/>
      <c r="N464" s="86"/>
      <c r="O464" s="86"/>
      <c r="P464" s="86"/>
      <c r="Q464" s="86"/>
      <c r="R464" s="86"/>
      <c r="S464" s="86"/>
      <c r="T464" s="86"/>
      <c r="U464" s="86"/>
      <c r="V464" s="86"/>
      <c r="W464" s="86"/>
      <c r="X464" s="86"/>
      <c r="Y464" s="86"/>
      <c r="Z464" s="86"/>
      <c r="AA464" s="86"/>
      <c r="AB464" s="86"/>
      <c r="AC464" s="86"/>
      <c r="AD464" s="86"/>
      <c r="AE464" s="86"/>
      <c r="AF464" s="86"/>
      <c r="AG464" s="86"/>
      <c r="AH464" s="86"/>
      <c r="AI464" s="86"/>
      <c r="AJ464" s="86"/>
    </row>
    <row r="465" spans="1:36" x14ac:dyDescent="0.25">
      <c r="A465" s="274"/>
      <c r="B465" s="87"/>
      <c r="C465" s="87"/>
      <c r="D465" s="87"/>
      <c r="E465" s="87"/>
      <c r="F465" s="87"/>
      <c r="G465" s="87"/>
      <c r="H465" s="87"/>
      <c r="I465" s="87"/>
      <c r="J465" s="87"/>
      <c r="K465" s="87"/>
      <c r="L465" s="87"/>
      <c r="M465" s="87"/>
      <c r="N465" s="87"/>
      <c r="O465" s="87"/>
      <c r="P465" s="87"/>
      <c r="Q465" s="87"/>
      <c r="R465" s="87"/>
      <c r="S465" s="87"/>
      <c r="T465" s="87"/>
      <c r="U465" s="87"/>
      <c r="V465" s="87"/>
      <c r="W465" s="87"/>
      <c r="X465" s="87"/>
      <c r="Y465" s="87"/>
      <c r="Z465" s="87"/>
      <c r="AA465" s="87"/>
      <c r="AB465" s="87"/>
      <c r="AC465" s="87"/>
      <c r="AD465" s="87"/>
      <c r="AE465" s="87"/>
      <c r="AF465" s="87"/>
      <c r="AG465" s="87"/>
      <c r="AH465" s="87"/>
      <c r="AI465" s="87"/>
      <c r="AJ465" s="87"/>
    </row>
    <row r="466" spans="1:36" x14ac:dyDescent="0.25">
      <c r="A466" s="273"/>
      <c r="B466" s="86"/>
      <c r="C466" s="86"/>
      <c r="D466" s="86"/>
      <c r="E466" s="86"/>
      <c r="F466" s="86"/>
      <c r="G466" s="86"/>
      <c r="H466" s="86"/>
      <c r="I466" s="86"/>
      <c r="J466" s="86"/>
      <c r="K466" s="86"/>
      <c r="L466" s="86"/>
      <c r="M466" s="86"/>
      <c r="N466" s="86"/>
      <c r="O466" s="86"/>
      <c r="P466" s="86"/>
      <c r="Q466" s="86"/>
      <c r="R466" s="86"/>
      <c r="S466" s="86"/>
      <c r="T466" s="86"/>
      <c r="U466" s="86"/>
      <c r="V466" s="86"/>
      <c r="W466" s="86"/>
      <c r="X466" s="86"/>
      <c r="Y466" s="86"/>
      <c r="Z466" s="86"/>
      <c r="AA466" s="86"/>
      <c r="AB466" s="86"/>
      <c r="AC466" s="86"/>
      <c r="AD466" s="86"/>
      <c r="AE466" s="86"/>
      <c r="AF466" s="86"/>
      <c r="AG466" s="86"/>
      <c r="AH466" s="86"/>
      <c r="AI466" s="86"/>
      <c r="AJ466" s="86"/>
    </row>
    <row r="467" spans="1:36" x14ac:dyDescent="0.25">
      <c r="A467" s="274"/>
      <c r="B467" s="87"/>
      <c r="C467" s="87"/>
      <c r="D467" s="87"/>
      <c r="E467" s="87"/>
      <c r="F467" s="87"/>
      <c r="G467" s="87"/>
      <c r="H467" s="87"/>
      <c r="I467" s="87"/>
      <c r="J467" s="87"/>
      <c r="K467" s="87"/>
      <c r="L467" s="87"/>
      <c r="M467" s="87"/>
      <c r="N467" s="87"/>
      <c r="O467" s="87"/>
      <c r="P467" s="87"/>
      <c r="Q467" s="87"/>
      <c r="R467" s="87"/>
      <c r="S467" s="87"/>
      <c r="T467" s="87"/>
      <c r="U467" s="87"/>
      <c r="V467" s="87"/>
      <c r="W467" s="87"/>
      <c r="X467" s="87"/>
      <c r="Y467" s="87"/>
      <c r="Z467" s="87"/>
      <c r="AA467" s="87"/>
      <c r="AB467" s="87"/>
      <c r="AC467" s="87"/>
      <c r="AD467" s="87"/>
      <c r="AE467" s="87"/>
      <c r="AF467" s="87"/>
      <c r="AG467" s="87"/>
      <c r="AH467" s="87"/>
      <c r="AI467" s="87"/>
      <c r="AJ467" s="87"/>
    </row>
    <row r="468" spans="1:36" x14ac:dyDescent="0.25">
      <c r="A468" s="273"/>
      <c r="B468" s="86"/>
      <c r="C468" s="86"/>
      <c r="D468" s="86"/>
      <c r="E468" s="86"/>
      <c r="F468" s="86"/>
      <c r="G468" s="86"/>
      <c r="H468" s="86"/>
      <c r="I468" s="86"/>
      <c r="J468" s="86"/>
      <c r="K468" s="86"/>
      <c r="L468" s="86"/>
      <c r="M468" s="86"/>
      <c r="N468" s="86"/>
      <c r="O468" s="86"/>
      <c r="P468" s="86"/>
      <c r="Q468" s="86"/>
      <c r="R468" s="86"/>
      <c r="S468" s="86"/>
      <c r="T468" s="86"/>
      <c r="U468" s="86"/>
      <c r="V468" s="86"/>
      <c r="W468" s="86"/>
      <c r="X468" s="86"/>
      <c r="Y468" s="86"/>
      <c r="Z468" s="86"/>
      <c r="AA468" s="86"/>
      <c r="AB468" s="86"/>
      <c r="AC468" s="86"/>
      <c r="AD468" s="86"/>
      <c r="AE468" s="86"/>
      <c r="AF468" s="86"/>
      <c r="AG468" s="86"/>
      <c r="AH468" s="86"/>
      <c r="AI468" s="86"/>
      <c r="AJ468" s="86"/>
    </row>
    <row r="469" spans="1:36" x14ac:dyDescent="0.25">
      <c r="A469" s="274"/>
      <c r="B469" s="87"/>
      <c r="C469" s="87"/>
      <c r="D469" s="87"/>
      <c r="E469" s="87"/>
      <c r="F469" s="87"/>
      <c r="G469" s="87"/>
      <c r="H469" s="87"/>
      <c r="I469" s="87"/>
      <c r="J469" s="87"/>
      <c r="K469" s="87"/>
      <c r="L469" s="87"/>
      <c r="M469" s="87"/>
      <c r="N469" s="87"/>
      <c r="O469" s="87"/>
      <c r="P469" s="87"/>
      <c r="Q469" s="87"/>
      <c r="R469" s="87"/>
      <c r="S469" s="87"/>
      <c r="T469" s="87"/>
      <c r="U469" s="87"/>
      <c r="V469" s="87"/>
      <c r="W469" s="87"/>
      <c r="X469" s="87"/>
      <c r="Y469" s="87"/>
      <c r="Z469" s="87"/>
      <c r="AA469" s="87"/>
      <c r="AB469" s="87"/>
      <c r="AC469" s="87"/>
      <c r="AD469" s="87"/>
      <c r="AE469" s="87"/>
      <c r="AF469" s="87"/>
      <c r="AG469" s="87"/>
      <c r="AH469" s="87"/>
      <c r="AI469" s="87"/>
      <c r="AJ469" s="87"/>
    </row>
    <row r="470" spans="1:36" x14ac:dyDescent="0.25">
      <c r="A470" s="273"/>
      <c r="B470" s="86"/>
      <c r="C470" s="86"/>
      <c r="D470" s="86"/>
      <c r="E470" s="86"/>
      <c r="F470" s="86"/>
      <c r="G470" s="86"/>
      <c r="H470" s="86"/>
      <c r="I470" s="86"/>
      <c r="J470" s="86"/>
      <c r="K470" s="86"/>
      <c r="L470" s="86"/>
      <c r="M470" s="86"/>
      <c r="N470" s="86"/>
      <c r="O470" s="86"/>
      <c r="P470" s="86"/>
      <c r="Q470" s="86"/>
      <c r="R470" s="86"/>
      <c r="S470" s="86"/>
      <c r="T470" s="86"/>
      <c r="U470" s="86"/>
      <c r="V470" s="86"/>
      <c r="W470" s="86"/>
      <c r="X470" s="86"/>
      <c r="Y470" s="86"/>
      <c r="Z470" s="86"/>
      <c r="AA470" s="86"/>
      <c r="AB470" s="86"/>
      <c r="AC470" s="86"/>
      <c r="AD470" s="86"/>
      <c r="AE470" s="86"/>
      <c r="AF470" s="86"/>
      <c r="AG470" s="86"/>
      <c r="AH470" s="86"/>
      <c r="AI470" s="86"/>
      <c r="AJ470" s="86"/>
    </row>
    <row r="471" spans="1:36" x14ac:dyDescent="0.25">
      <c r="A471" s="274"/>
      <c r="B471" s="87"/>
      <c r="C471" s="87"/>
      <c r="D471" s="87"/>
      <c r="E471" s="87"/>
      <c r="F471" s="87"/>
      <c r="G471" s="87"/>
      <c r="H471" s="87"/>
      <c r="I471" s="87"/>
      <c r="J471" s="87"/>
      <c r="K471" s="87"/>
      <c r="L471" s="87"/>
      <c r="M471" s="87"/>
      <c r="N471" s="87"/>
      <c r="O471" s="87"/>
      <c r="P471" s="87"/>
      <c r="Q471" s="87"/>
      <c r="R471" s="87"/>
      <c r="S471" s="87"/>
      <c r="T471" s="87"/>
      <c r="U471" s="87"/>
      <c r="V471" s="87"/>
      <c r="W471" s="87"/>
      <c r="X471" s="87"/>
      <c r="Y471" s="87"/>
      <c r="Z471" s="87"/>
      <c r="AA471" s="87"/>
      <c r="AB471" s="87"/>
      <c r="AC471" s="87"/>
      <c r="AD471" s="87"/>
      <c r="AE471" s="87"/>
      <c r="AF471" s="87"/>
      <c r="AG471" s="87"/>
      <c r="AH471" s="87"/>
      <c r="AI471" s="87"/>
      <c r="AJ471" s="87"/>
    </row>
    <row r="472" spans="1:36" x14ac:dyDescent="0.25">
      <c r="A472" s="273"/>
      <c r="B472" s="86"/>
      <c r="C472" s="86"/>
      <c r="D472" s="86"/>
      <c r="E472" s="86"/>
      <c r="F472" s="86"/>
      <c r="G472" s="86"/>
      <c r="H472" s="86"/>
      <c r="I472" s="86"/>
      <c r="J472" s="86"/>
      <c r="K472" s="86"/>
      <c r="L472" s="86"/>
      <c r="M472" s="86"/>
      <c r="N472" s="86"/>
      <c r="O472" s="86"/>
      <c r="P472" s="86"/>
      <c r="Q472" s="86"/>
      <c r="R472" s="86"/>
      <c r="S472" s="86"/>
      <c r="T472" s="86"/>
      <c r="U472" s="86"/>
      <c r="V472" s="86"/>
      <c r="W472" s="86"/>
      <c r="X472" s="86"/>
      <c r="Y472" s="86"/>
      <c r="Z472" s="86"/>
      <c r="AA472" s="86"/>
      <c r="AB472" s="86"/>
      <c r="AC472" s="86"/>
      <c r="AD472" s="86"/>
      <c r="AE472" s="86"/>
      <c r="AF472" s="86"/>
      <c r="AG472" s="86"/>
      <c r="AH472" s="86"/>
      <c r="AI472" s="86"/>
      <c r="AJ472" s="86"/>
    </row>
    <row r="473" spans="1:36" x14ac:dyDescent="0.25">
      <c r="A473" s="274"/>
      <c r="B473" s="87"/>
      <c r="C473" s="87"/>
      <c r="D473" s="87"/>
      <c r="E473" s="87"/>
      <c r="F473" s="87"/>
      <c r="G473" s="87"/>
      <c r="H473" s="87"/>
      <c r="I473" s="87"/>
      <c r="J473" s="87"/>
      <c r="K473" s="87"/>
      <c r="L473" s="87"/>
      <c r="M473" s="87"/>
      <c r="N473" s="87"/>
      <c r="O473" s="87"/>
      <c r="P473" s="87"/>
      <c r="Q473" s="87"/>
      <c r="R473" s="87"/>
      <c r="S473" s="87"/>
      <c r="T473" s="87"/>
      <c r="U473" s="87"/>
      <c r="V473" s="87"/>
      <c r="W473" s="87"/>
      <c r="X473" s="87"/>
      <c r="Y473" s="87"/>
      <c r="Z473" s="87"/>
      <c r="AA473" s="87"/>
      <c r="AB473" s="87"/>
      <c r="AC473" s="87"/>
      <c r="AD473" s="87"/>
      <c r="AE473" s="87"/>
      <c r="AF473" s="87"/>
      <c r="AG473" s="87"/>
      <c r="AH473" s="87"/>
      <c r="AI473" s="87"/>
      <c r="AJ473" s="87"/>
    </row>
    <row r="474" spans="1:36" x14ac:dyDescent="0.25">
      <c r="A474" s="273"/>
      <c r="B474" s="86"/>
      <c r="C474" s="86"/>
      <c r="D474" s="86"/>
      <c r="E474" s="86"/>
      <c r="F474" s="86"/>
      <c r="G474" s="86"/>
      <c r="H474" s="86"/>
      <c r="I474" s="86"/>
      <c r="J474" s="86"/>
      <c r="K474" s="86"/>
      <c r="L474" s="86"/>
      <c r="M474" s="86"/>
      <c r="N474" s="86"/>
      <c r="O474" s="86"/>
      <c r="P474" s="86"/>
      <c r="Q474" s="86"/>
      <c r="R474" s="86"/>
      <c r="S474" s="86"/>
      <c r="T474" s="86"/>
      <c r="U474" s="86"/>
      <c r="V474" s="86"/>
      <c r="W474" s="86"/>
      <c r="X474" s="86"/>
      <c r="Y474" s="86"/>
      <c r="Z474" s="86"/>
      <c r="AA474" s="86"/>
      <c r="AB474" s="86"/>
      <c r="AC474" s="86"/>
      <c r="AD474" s="86"/>
      <c r="AE474" s="86"/>
      <c r="AF474" s="86"/>
      <c r="AG474" s="86"/>
      <c r="AH474" s="86"/>
      <c r="AI474" s="86"/>
      <c r="AJ474" s="86"/>
    </row>
    <row r="475" spans="1:36" x14ac:dyDescent="0.25">
      <c r="A475" s="274"/>
      <c r="B475" s="87"/>
      <c r="C475" s="87"/>
      <c r="D475" s="87"/>
      <c r="E475" s="87"/>
      <c r="F475" s="87"/>
      <c r="G475" s="87"/>
      <c r="H475" s="87"/>
      <c r="I475" s="87"/>
      <c r="J475" s="87"/>
      <c r="K475" s="87"/>
      <c r="L475" s="87"/>
      <c r="M475" s="87"/>
      <c r="N475" s="87"/>
      <c r="O475" s="87"/>
      <c r="P475" s="87"/>
      <c r="Q475" s="87"/>
      <c r="R475" s="87"/>
      <c r="S475" s="87"/>
      <c r="T475" s="87"/>
      <c r="U475" s="87"/>
      <c r="V475" s="87"/>
      <c r="W475" s="87"/>
      <c r="X475" s="87"/>
      <c r="Y475" s="87"/>
      <c r="Z475" s="87"/>
      <c r="AA475" s="87"/>
      <c r="AB475" s="87"/>
      <c r="AC475" s="87"/>
      <c r="AD475" s="87"/>
      <c r="AE475" s="87"/>
      <c r="AF475" s="87"/>
      <c r="AG475" s="87"/>
      <c r="AH475" s="87"/>
      <c r="AI475" s="87"/>
      <c r="AJ475" s="87"/>
    </row>
    <row r="476" spans="1:36" x14ac:dyDescent="0.25">
      <c r="A476" s="273"/>
      <c r="B476" s="86"/>
      <c r="C476" s="86"/>
      <c r="D476" s="86"/>
      <c r="E476" s="86"/>
      <c r="F476" s="86"/>
      <c r="G476" s="86"/>
      <c r="H476" s="86"/>
      <c r="I476" s="86"/>
      <c r="J476" s="86"/>
      <c r="K476" s="86"/>
      <c r="L476" s="86"/>
      <c r="M476" s="86"/>
      <c r="N476" s="86"/>
      <c r="O476" s="86"/>
      <c r="P476" s="86"/>
      <c r="Q476" s="86"/>
      <c r="R476" s="86"/>
      <c r="S476" s="86"/>
      <c r="T476" s="86"/>
      <c r="U476" s="86"/>
      <c r="V476" s="86"/>
      <c r="W476" s="86"/>
      <c r="X476" s="86"/>
      <c r="Y476" s="86"/>
      <c r="Z476" s="86"/>
      <c r="AA476" s="86"/>
      <c r="AB476" s="86"/>
      <c r="AC476" s="86"/>
      <c r="AD476" s="86"/>
      <c r="AE476" s="86"/>
      <c r="AF476" s="86"/>
      <c r="AG476" s="86"/>
      <c r="AH476" s="86"/>
      <c r="AI476" s="86"/>
      <c r="AJ476" s="86"/>
    </row>
    <row r="477" spans="1:36" x14ac:dyDescent="0.25">
      <c r="A477" s="274"/>
      <c r="B477" s="87"/>
      <c r="C477" s="87"/>
      <c r="D477" s="87"/>
      <c r="E477" s="87"/>
      <c r="F477" s="87"/>
      <c r="G477" s="87"/>
      <c r="H477" s="87"/>
      <c r="I477" s="87"/>
      <c r="J477" s="87"/>
      <c r="K477" s="87"/>
      <c r="L477" s="87"/>
      <c r="M477" s="87"/>
      <c r="N477" s="87"/>
      <c r="O477" s="87"/>
      <c r="P477" s="87"/>
      <c r="Q477" s="87"/>
      <c r="R477" s="87"/>
      <c r="S477" s="87"/>
      <c r="T477" s="87"/>
      <c r="U477" s="87"/>
      <c r="V477" s="87"/>
      <c r="W477" s="87"/>
      <c r="X477" s="87"/>
      <c r="Y477" s="87"/>
      <c r="Z477" s="87"/>
      <c r="AA477" s="87"/>
      <c r="AB477" s="87"/>
      <c r="AC477" s="87"/>
      <c r="AD477" s="87"/>
      <c r="AE477" s="87"/>
      <c r="AF477" s="87"/>
      <c r="AG477" s="87"/>
      <c r="AH477" s="87"/>
      <c r="AI477" s="87"/>
      <c r="AJ477" s="87"/>
    </row>
    <row r="478" spans="1:36" x14ac:dyDescent="0.25">
      <c r="A478" s="273"/>
      <c r="B478" s="86"/>
      <c r="C478" s="86"/>
      <c r="D478" s="86"/>
      <c r="E478" s="86"/>
      <c r="F478" s="86"/>
      <c r="G478" s="86"/>
      <c r="H478" s="86"/>
      <c r="I478" s="86"/>
      <c r="J478" s="86"/>
      <c r="K478" s="86"/>
      <c r="L478" s="86"/>
      <c r="M478" s="86"/>
      <c r="N478" s="86"/>
      <c r="O478" s="86"/>
      <c r="P478" s="86"/>
      <c r="Q478" s="86"/>
      <c r="R478" s="86"/>
      <c r="S478" s="86"/>
      <c r="T478" s="86"/>
      <c r="U478" s="86"/>
      <c r="V478" s="86"/>
      <c r="W478" s="86"/>
      <c r="X478" s="86"/>
      <c r="Y478" s="86"/>
      <c r="Z478" s="86"/>
      <c r="AA478" s="86"/>
      <c r="AB478" s="86"/>
      <c r="AC478" s="86"/>
      <c r="AD478" s="86"/>
      <c r="AE478" s="86"/>
      <c r="AF478" s="86"/>
      <c r="AG478" s="86"/>
      <c r="AH478" s="86"/>
      <c r="AI478" s="86"/>
      <c r="AJ478" s="86"/>
    </row>
    <row r="479" spans="1:36" x14ac:dyDescent="0.25">
      <c r="A479" s="274"/>
      <c r="B479" s="87"/>
      <c r="C479" s="87"/>
      <c r="D479" s="87"/>
      <c r="E479" s="87"/>
      <c r="F479" s="87"/>
      <c r="G479" s="87"/>
      <c r="H479" s="87"/>
      <c r="I479" s="87"/>
      <c r="J479" s="87"/>
      <c r="K479" s="87"/>
      <c r="L479" s="87"/>
      <c r="M479" s="87"/>
      <c r="N479" s="87"/>
      <c r="O479" s="87"/>
      <c r="P479" s="87"/>
      <c r="Q479" s="87"/>
      <c r="R479" s="87"/>
      <c r="S479" s="87"/>
      <c r="T479" s="87"/>
      <c r="U479" s="87"/>
      <c r="V479" s="87"/>
      <c r="W479" s="87"/>
      <c r="X479" s="87"/>
      <c r="Y479" s="87"/>
      <c r="Z479" s="87"/>
      <c r="AA479" s="87"/>
      <c r="AB479" s="87"/>
      <c r="AC479" s="87"/>
      <c r="AD479" s="87"/>
      <c r="AE479" s="87"/>
      <c r="AF479" s="87"/>
      <c r="AG479" s="87"/>
      <c r="AH479" s="87"/>
      <c r="AI479" s="87"/>
      <c r="AJ479" s="87"/>
    </row>
    <row r="480" spans="1:36" x14ac:dyDescent="0.25">
      <c r="A480" s="273"/>
      <c r="B480" s="86"/>
      <c r="C480" s="86"/>
      <c r="D480" s="86"/>
      <c r="E480" s="86"/>
      <c r="F480" s="86"/>
      <c r="G480" s="86"/>
      <c r="H480" s="86"/>
      <c r="I480" s="86"/>
      <c r="J480" s="86"/>
      <c r="K480" s="86"/>
      <c r="L480" s="86"/>
      <c r="M480" s="86"/>
      <c r="N480" s="86"/>
      <c r="O480" s="86"/>
      <c r="P480" s="86"/>
      <c r="Q480" s="86"/>
      <c r="R480" s="86"/>
      <c r="S480" s="86"/>
      <c r="T480" s="86"/>
      <c r="U480" s="86"/>
      <c r="V480" s="86"/>
      <c r="W480" s="86"/>
      <c r="X480" s="86"/>
      <c r="Y480" s="86"/>
      <c r="Z480" s="86"/>
      <c r="AA480" s="86"/>
      <c r="AB480" s="86"/>
      <c r="AC480" s="86"/>
      <c r="AD480" s="86"/>
      <c r="AE480" s="86"/>
      <c r="AF480" s="86"/>
      <c r="AG480" s="86"/>
      <c r="AH480" s="86"/>
      <c r="AI480" s="86"/>
      <c r="AJ480" s="86"/>
    </row>
    <row r="481" spans="1:36" x14ac:dyDescent="0.25">
      <c r="A481" s="274"/>
      <c r="B481" s="87"/>
      <c r="C481" s="87"/>
      <c r="D481" s="87"/>
      <c r="E481" s="87"/>
      <c r="F481" s="87"/>
      <c r="G481" s="87"/>
      <c r="H481" s="87"/>
      <c r="I481" s="87"/>
      <c r="J481" s="87"/>
      <c r="K481" s="87"/>
      <c r="L481" s="87"/>
      <c r="M481" s="87"/>
      <c r="N481" s="87"/>
      <c r="O481" s="87"/>
      <c r="P481" s="87"/>
      <c r="Q481" s="87"/>
      <c r="R481" s="87"/>
      <c r="S481" s="87"/>
      <c r="T481" s="87"/>
      <c r="U481" s="87"/>
      <c r="V481" s="87"/>
      <c r="W481" s="87"/>
      <c r="X481" s="87"/>
      <c r="Y481" s="87"/>
      <c r="Z481" s="87"/>
      <c r="AA481" s="87"/>
      <c r="AB481" s="87"/>
      <c r="AC481" s="87"/>
      <c r="AD481" s="87"/>
      <c r="AE481" s="87"/>
      <c r="AF481" s="87"/>
      <c r="AG481" s="87"/>
      <c r="AH481" s="87"/>
      <c r="AI481" s="87"/>
      <c r="AJ481" s="87"/>
    </row>
    <row r="482" spans="1:36" x14ac:dyDescent="0.25">
      <c r="A482" s="273"/>
      <c r="B482" s="86"/>
      <c r="C482" s="86"/>
      <c r="D482" s="86"/>
      <c r="E482" s="86"/>
      <c r="F482" s="86"/>
      <c r="G482" s="86"/>
      <c r="H482" s="86"/>
      <c r="I482" s="86"/>
      <c r="J482" s="86"/>
      <c r="K482" s="86"/>
      <c r="L482" s="86"/>
      <c r="M482" s="86"/>
      <c r="N482" s="86"/>
      <c r="O482" s="86"/>
      <c r="P482" s="86"/>
      <c r="Q482" s="86"/>
      <c r="R482" s="86"/>
      <c r="S482" s="86"/>
      <c r="T482" s="86"/>
      <c r="U482" s="86"/>
      <c r="V482" s="86"/>
      <c r="W482" s="86"/>
      <c r="X482" s="86"/>
      <c r="Y482" s="86"/>
      <c r="Z482" s="86"/>
      <c r="AA482" s="86"/>
      <c r="AB482" s="86"/>
      <c r="AC482" s="86"/>
      <c r="AD482" s="86"/>
      <c r="AE482" s="86"/>
      <c r="AF482" s="86"/>
      <c r="AG482" s="86"/>
      <c r="AH482" s="86"/>
      <c r="AI482" s="86"/>
      <c r="AJ482" s="86"/>
    </row>
    <row r="483" spans="1:36" x14ac:dyDescent="0.25">
      <c r="A483" s="274"/>
      <c r="B483" s="87"/>
      <c r="C483" s="87"/>
      <c r="D483" s="87"/>
      <c r="E483" s="87"/>
      <c r="F483" s="87"/>
      <c r="G483" s="87"/>
      <c r="H483" s="87"/>
      <c r="I483" s="87"/>
      <c r="J483" s="87"/>
      <c r="K483" s="87"/>
      <c r="L483" s="87"/>
      <c r="M483" s="87"/>
      <c r="N483" s="87"/>
      <c r="O483" s="87"/>
      <c r="P483" s="87"/>
      <c r="Q483" s="87"/>
      <c r="R483" s="87"/>
      <c r="S483" s="87"/>
      <c r="T483" s="87"/>
      <c r="U483" s="87"/>
      <c r="V483" s="87"/>
      <c r="W483" s="87"/>
      <c r="X483" s="87"/>
      <c r="Y483" s="87"/>
      <c r="Z483" s="87"/>
      <c r="AA483" s="87"/>
      <c r="AB483" s="87"/>
      <c r="AC483" s="87"/>
      <c r="AD483" s="87"/>
      <c r="AE483" s="87"/>
      <c r="AF483" s="87"/>
      <c r="AG483" s="87"/>
      <c r="AH483" s="87"/>
      <c r="AI483" s="87"/>
      <c r="AJ483" s="87"/>
    </row>
    <row r="484" spans="1:36" x14ac:dyDescent="0.25">
      <c r="A484" s="273"/>
      <c r="B484" s="86"/>
      <c r="C484" s="86"/>
      <c r="D484" s="86"/>
      <c r="E484" s="86"/>
      <c r="F484" s="86"/>
      <c r="G484" s="86"/>
      <c r="H484" s="86"/>
      <c r="I484" s="86"/>
      <c r="J484" s="86"/>
      <c r="K484" s="86"/>
      <c r="L484" s="86"/>
      <c r="M484" s="86"/>
      <c r="N484" s="86"/>
      <c r="O484" s="86"/>
      <c r="P484" s="86"/>
      <c r="Q484" s="86"/>
      <c r="R484" s="86"/>
      <c r="S484" s="86"/>
      <c r="T484" s="86"/>
      <c r="U484" s="86"/>
      <c r="V484" s="86"/>
      <c r="W484" s="86"/>
      <c r="X484" s="86"/>
      <c r="Y484" s="86"/>
      <c r="Z484" s="86"/>
      <c r="AA484" s="86"/>
      <c r="AB484" s="86"/>
      <c r="AC484" s="86"/>
      <c r="AD484" s="86"/>
      <c r="AE484" s="86"/>
      <c r="AF484" s="86"/>
      <c r="AG484" s="86"/>
      <c r="AH484" s="86"/>
      <c r="AI484" s="86"/>
      <c r="AJ484" s="86"/>
    </row>
    <row r="485" spans="1:36" x14ac:dyDescent="0.25">
      <c r="A485" s="274"/>
      <c r="B485" s="87"/>
      <c r="C485" s="87"/>
      <c r="D485" s="87"/>
      <c r="E485" s="87"/>
      <c r="F485" s="87"/>
      <c r="G485" s="87"/>
      <c r="H485" s="87"/>
      <c r="I485" s="87"/>
      <c r="J485" s="87"/>
      <c r="K485" s="87"/>
      <c r="L485" s="87"/>
      <c r="M485" s="87"/>
      <c r="N485" s="87"/>
      <c r="O485" s="87"/>
      <c r="P485" s="87"/>
      <c r="Q485" s="87"/>
      <c r="R485" s="87"/>
      <c r="S485" s="87"/>
      <c r="T485" s="87"/>
      <c r="U485" s="87"/>
      <c r="V485" s="87"/>
      <c r="W485" s="87"/>
      <c r="X485" s="87"/>
      <c r="Y485" s="87"/>
      <c r="Z485" s="87"/>
      <c r="AA485" s="87"/>
      <c r="AB485" s="87"/>
      <c r="AC485" s="87"/>
      <c r="AD485" s="87"/>
      <c r="AE485" s="87"/>
      <c r="AF485" s="87"/>
      <c r="AG485" s="87"/>
      <c r="AH485" s="87"/>
      <c r="AI485" s="87"/>
      <c r="AJ485" s="87"/>
    </row>
    <row r="486" spans="1:36" x14ac:dyDescent="0.25">
      <c r="A486" s="273"/>
      <c r="B486" s="86"/>
      <c r="C486" s="86"/>
      <c r="D486" s="86"/>
      <c r="E486" s="86"/>
      <c r="F486" s="86"/>
      <c r="G486" s="86"/>
      <c r="H486" s="86"/>
      <c r="I486" s="86"/>
      <c r="J486" s="86"/>
      <c r="K486" s="86"/>
      <c r="L486" s="86"/>
      <c r="M486" s="86"/>
      <c r="N486" s="86"/>
      <c r="O486" s="86"/>
      <c r="P486" s="86"/>
      <c r="Q486" s="86"/>
      <c r="R486" s="86"/>
      <c r="S486" s="86"/>
      <c r="T486" s="86"/>
      <c r="U486" s="86"/>
      <c r="V486" s="86"/>
      <c r="W486" s="86"/>
      <c r="X486" s="86"/>
      <c r="Y486" s="86"/>
      <c r="Z486" s="86"/>
      <c r="AA486" s="86"/>
      <c r="AB486" s="86"/>
      <c r="AC486" s="86"/>
      <c r="AD486" s="86"/>
      <c r="AE486" s="86"/>
      <c r="AF486" s="86"/>
      <c r="AG486" s="86"/>
      <c r="AH486" s="86"/>
      <c r="AI486" s="86"/>
      <c r="AJ486" s="86"/>
    </row>
    <row r="487" spans="1:36" x14ac:dyDescent="0.25">
      <c r="A487" s="274"/>
      <c r="B487" s="87"/>
      <c r="C487" s="87"/>
      <c r="D487" s="87"/>
      <c r="E487" s="87"/>
      <c r="F487" s="87"/>
      <c r="G487" s="87"/>
      <c r="H487" s="87"/>
      <c r="I487" s="87"/>
      <c r="J487" s="87"/>
      <c r="K487" s="87"/>
      <c r="L487" s="87"/>
      <c r="M487" s="87"/>
      <c r="N487" s="87"/>
      <c r="O487" s="87"/>
      <c r="P487" s="87"/>
      <c r="Q487" s="87"/>
      <c r="R487" s="87"/>
      <c r="S487" s="87"/>
      <c r="T487" s="87"/>
      <c r="U487" s="87"/>
      <c r="V487" s="87"/>
      <c r="W487" s="87"/>
      <c r="X487" s="87"/>
      <c r="Y487" s="87"/>
      <c r="Z487" s="87"/>
      <c r="AA487" s="87"/>
      <c r="AB487" s="87"/>
      <c r="AC487" s="87"/>
      <c r="AD487" s="87"/>
      <c r="AE487" s="87"/>
      <c r="AF487" s="87"/>
      <c r="AG487" s="87"/>
      <c r="AH487" s="87"/>
      <c r="AI487" s="87"/>
      <c r="AJ487" s="87"/>
    </row>
    <row r="488" spans="1:36" x14ac:dyDescent="0.25">
      <c r="A488" s="273"/>
      <c r="B488" s="86"/>
      <c r="C488" s="86"/>
      <c r="D488" s="86"/>
      <c r="E488" s="86"/>
      <c r="F488" s="86"/>
      <c r="G488" s="86"/>
      <c r="H488" s="86"/>
      <c r="I488" s="86"/>
      <c r="J488" s="86"/>
      <c r="K488" s="86"/>
      <c r="L488" s="86"/>
      <c r="M488" s="86"/>
      <c r="N488" s="86"/>
      <c r="O488" s="86"/>
      <c r="P488" s="86"/>
      <c r="Q488" s="86"/>
      <c r="R488" s="86"/>
      <c r="S488" s="86"/>
      <c r="T488" s="86"/>
      <c r="U488" s="86"/>
      <c r="V488" s="86"/>
      <c r="W488" s="86"/>
      <c r="X488" s="86"/>
      <c r="Y488" s="86"/>
      <c r="Z488" s="86"/>
      <c r="AA488" s="86"/>
      <c r="AB488" s="86"/>
      <c r="AC488" s="86"/>
      <c r="AD488" s="86"/>
      <c r="AE488" s="86"/>
      <c r="AF488" s="86"/>
      <c r="AG488" s="86"/>
      <c r="AH488" s="86"/>
      <c r="AI488" s="86"/>
      <c r="AJ488" s="86"/>
    </row>
    <row r="489" spans="1:36" x14ac:dyDescent="0.25">
      <c r="A489" s="274"/>
      <c r="B489" s="87"/>
      <c r="C489" s="87"/>
      <c r="D489" s="87"/>
      <c r="E489" s="87"/>
      <c r="F489" s="87"/>
      <c r="G489" s="87"/>
      <c r="H489" s="87"/>
      <c r="I489" s="87"/>
      <c r="J489" s="87"/>
      <c r="K489" s="87"/>
      <c r="L489" s="87"/>
      <c r="M489" s="87"/>
      <c r="N489" s="87"/>
      <c r="O489" s="87"/>
      <c r="P489" s="87"/>
      <c r="Q489" s="87"/>
      <c r="R489" s="87"/>
      <c r="S489" s="87"/>
      <c r="T489" s="87"/>
      <c r="U489" s="87"/>
      <c r="V489" s="87"/>
      <c r="W489" s="87"/>
      <c r="X489" s="87"/>
      <c r="Y489" s="87"/>
      <c r="Z489" s="87"/>
      <c r="AA489" s="87"/>
      <c r="AB489" s="87"/>
      <c r="AC489" s="87"/>
      <c r="AD489" s="87"/>
      <c r="AE489" s="87"/>
      <c r="AF489" s="87"/>
      <c r="AG489" s="87"/>
      <c r="AH489" s="87"/>
      <c r="AI489" s="87"/>
      <c r="AJ489" s="87"/>
    </row>
    <row r="490" spans="1:36" x14ac:dyDescent="0.25">
      <c r="A490" s="273"/>
      <c r="B490" s="86"/>
      <c r="C490" s="86"/>
      <c r="D490" s="86"/>
      <c r="E490" s="86"/>
      <c r="F490" s="86"/>
      <c r="G490" s="86"/>
      <c r="H490" s="86"/>
      <c r="I490" s="86"/>
      <c r="J490" s="86"/>
      <c r="K490" s="86"/>
      <c r="L490" s="86"/>
      <c r="M490" s="86"/>
      <c r="N490" s="86"/>
      <c r="O490" s="86"/>
      <c r="P490" s="86"/>
      <c r="Q490" s="86"/>
      <c r="R490" s="86"/>
      <c r="S490" s="86"/>
      <c r="T490" s="86"/>
      <c r="U490" s="86"/>
      <c r="V490" s="86"/>
      <c r="W490" s="86"/>
      <c r="X490" s="86"/>
      <c r="Y490" s="86"/>
      <c r="Z490" s="86"/>
      <c r="AA490" s="86"/>
      <c r="AB490" s="86"/>
      <c r="AC490" s="86"/>
      <c r="AD490" s="86"/>
      <c r="AE490" s="86"/>
      <c r="AF490" s="86"/>
      <c r="AG490" s="86"/>
      <c r="AH490" s="86"/>
      <c r="AI490" s="86"/>
      <c r="AJ490" s="86"/>
    </row>
    <row r="491" spans="1:36" x14ac:dyDescent="0.25">
      <c r="A491" s="274"/>
      <c r="B491" s="87"/>
      <c r="C491" s="87"/>
      <c r="D491" s="87"/>
      <c r="E491" s="87"/>
      <c r="F491" s="87"/>
      <c r="G491" s="87"/>
      <c r="H491" s="87"/>
      <c r="I491" s="87"/>
      <c r="J491" s="87"/>
      <c r="K491" s="87"/>
      <c r="L491" s="87"/>
      <c r="M491" s="87"/>
      <c r="N491" s="87"/>
      <c r="O491" s="87"/>
      <c r="P491" s="87"/>
      <c r="Q491" s="87"/>
      <c r="R491" s="87"/>
      <c r="S491" s="87"/>
      <c r="T491" s="87"/>
      <c r="U491" s="87"/>
      <c r="V491" s="87"/>
      <c r="W491" s="87"/>
      <c r="X491" s="87"/>
      <c r="Y491" s="87"/>
      <c r="Z491" s="87"/>
      <c r="AA491" s="87"/>
      <c r="AB491" s="87"/>
      <c r="AC491" s="87"/>
      <c r="AD491" s="87"/>
      <c r="AE491" s="87"/>
      <c r="AF491" s="87"/>
      <c r="AG491" s="87"/>
      <c r="AH491" s="87"/>
      <c r="AI491" s="87"/>
      <c r="AJ491" s="87"/>
    </row>
    <row r="492" spans="1:36" x14ac:dyDescent="0.25">
      <c r="A492" s="273"/>
      <c r="B492" s="86"/>
      <c r="C492" s="86"/>
      <c r="D492" s="86"/>
      <c r="E492" s="86"/>
      <c r="F492" s="86"/>
      <c r="G492" s="86"/>
      <c r="H492" s="86"/>
      <c r="I492" s="86"/>
      <c r="J492" s="86"/>
      <c r="K492" s="86"/>
      <c r="L492" s="86"/>
      <c r="M492" s="86"/>
      <c r="N492" s="86"/>
      <c r="O492" s="86"/>
      <c r="P492" s="86"/>
      <c r="Q492" s="86"/>
      <c r="R492" s="86"/>
      <c r="S492" s="86"/>
      <c r="T492" s="86"/>
      <c r="U492" s="86"/>
      <c r="V492" s="86"/>
      <c r="W492" s="86"/>
      <c r="X492" s="86"/>
      <c r="Y492" s="86"/>
      <c r="Z492" s="86"/>
      <c r="AA492" s="86"/>
      <c r="AB492" s="86"/>
      <c r="AC492" s="86"/>
      <c r="AD492" s="86"/>
      <c r="AE492" s="86"/>
      <c r="AF492" s="86"/>
      <c r="AG492" s="86"/>
      <c r="AH492" s="86"/>
      <c r="AI492" s="86"/>
      <c r="AJ492" s="86"/>
    </row>
    <row r="493" spans="1:36" x14ac:dyDescent="0.25">
      <c r="A493" s="274"/>
      <c r="B493" s="87"/>
      <c r="C493" s="87"/>
      <c r="D493" s="87"/>
      <c r="E493" s="87"/>
      <c r="F493" s="87"/>
      <c r="G493" s="87"/>
      <c r="H493" s="87"/>
      <c r="I493" s="87"/>
      <c r="J493" s="87"/>
      <c r="K493" s="87"/>
      <c r="L493" s="87"/>
      <c r="M493" s="87"/>
      <c r="N493" s="87"/>
      <c r="O493" s="87"/>
      <c r="P493" s="87"/>
      <c r="Q493" s="87"/>
      <c r="R493" s="87"/>
      <c r="S493" s="87"/>
      <c r="T493" s="87"/>
      <c r="U493" s="87"/>
      <c r="V493" s="87"/>
      <c r="W493" s="87"/>
      <c r="X493" s="87"/>
      <c r="Y493" s="87"/>
      <c r="Z493" s="87"/>
      <c r="AA493" s="87"/>
      <c r="AB493" s="87"/>
      <c r="AC493" s="87"/>
      <c r="AD493" s="87"/>
      <c r="AE493" s="87"/>
      <c r="AF493" s="87"/>
      <c r="AG493" s="87"/>
      <c r="AH493" s="87"/>
      <c r="AI493" s="87"/>
      <c r="AJ493" s="87"/>
    </row>
    <row r="494" spans="1:36" x14ac:dyDescent="0.25">
      <c r="A494" s="273"/>
      <c r="B494" s="86"/>
      <c r="C494" s="86"/>
      <c r="D494" s="86"/>
      <c r="E494" s="86"/>
      <c r="F494" s="86"/>
      <c r="G494" s="86"/>
      <c r="H494" s="86"/>
      <c r="I494" s="86"/>
      <c r="J494" s="86"/>
      <c r="K494" s="86"/>
      <c r="L494" s="86"/>
      <c r="M494" s="86"/>
      <c r="N494" s="86"/>
      <c r="O494" s="86"/>
      <c r="P494" s="86"/>
      <c r="Q494" s="86"/>
      <c r="R494" s="86"/>
      <c r="S494" s="86"/>
      <c r="T494" s="86"/>
      <c r="U494" s="86"/>
      <c r="V494" s="86"/>
      <c r="W494" s="86"/>
      <c r="X494" s="86"/>
      <c r="Y494" s="86"/>
      <c r="Z494" s="86"/>
      <c r="AA494" s="86"/>
      <c r="AB494" s="86"/>
      <c r="AC494" s="86"/>
      <c r="AD494" s="86"/>
      <c r="AE494" s="86"/>
      <c r="AF494" s="86"/>
      <c r="AG494" s="86"/>
      <c r="AH494" s="86"/>
      <c r="AI494" s="86"/>
      <c r="AJ494" s="86"/>
    </row>
    <row r="495" spans="1:36" x14ac:dyDescent="0.25">
      <c r="A495" s="274"/>
      <c r="B495" s="87"/>
      <c r="C495" s="87"/>
      <c r="D495" s="87"/>
      <c r="E495" s="87"/>
      <c r="F495" s="87"/>
      <c r="G495" s="87"/>
      <c r="H495" s="87"/>
      <c r="I495" s="87"/>
      <c r="J495" s="87"/>
      <c r="K495" s="87"/>
      <c r="L495" s="87"/>
      <c r="M495" s="87"/>
      <c r="N495" s="87"/>
      <c r="O495" s="87"/>
      <c r="P495" s="87"/>
      <c r="Q495" s="87"/>
      <c r="R495" s="87"/>
      <c r="S495" s="87"/>
      <c r="T495" s="87"/>
      <c r="U495" s="87"/>
      <c r="V495" s="87"/>
      <c r="W495" s="87"/>
      <c r="X495" s="87"/>
      <c r="Y495" s="87"/>
      <c r="Z495" s="87"/>
      <c r="AA495" s="87"/>
      <c r="AB495" s="87"/>
      <c r="AC495" s="87"/>
      <c r="AD495" s="87"/>
      <c r="AE495" s="87"/>
      <c r="AF495" s="87"/>
      <c r="AG495" s="87"/>
      <c r="AH495" s="87"/>
      <c r="AI495" s="87"/>
      <c r="AJ495" s="87"/>
    </row>
    <row r="496" spans="1:36" x14ac:dyDescent="0.25">
      <c r="A496" s="273"/>
      <c r="B496" s="86"/>
      <c r="C496" s="86"/>
      <c r="D496" s="86"/>
      <c r="E496" s="86"/>
      <c r="F496" s="86"/>
      <c r="G496" s="86"/>
      <c r="H496" s="86"/>
      <c r="I496" s="86"/>
      <c r="J496" s="86"/>
      <c r="K496" s="86"/>
      <c r="L496" s="86"/>
      <c r="M496" s="86"/>
      <c r="N496" s="86"/>
      <c r="O496" s="86"/>
      <c r="P496" s="86"/>
      <c r="Q496" s="86"/>
      <c r="R496" s="86"/>
      <c r="S496" s="86"/>
      <c r="T496" s="86"/>
      <c r="U496" s="86"/>
      <c r="V496" s="86"/>
      <c r="W496" s="86"/>
      <c r="X496" s="86"/>
      <c r="Y496" s="86"/>
      <c r="Z496" s="86"/>
      <c r="AA496" s="86"/>
      <c r="AB496" s="86"/>
      <c r="AC496" s="86"/>
      <c r="AD496" s="86"/>
      <c r="AE496" s="86"/>
      <c r="AF496" s="86"/>
      <c r="AG496" s="86"/>
      <c r="AH496" s="86"/>
      <c r="AI496" s="86"/>
      <c r="AJ496" s="86"/>
    </row>
    <row r="497" spans="1:36" x14ac:dyDescent="0.25">
      <c r="A497" s="274"/>
      <c r="B497" s="87"/>
      <c r="C497" s="87"/>
      <c r="D497" s="87"/>
      <c r="E497" s="87"/>
      <c r="F497" s="87"/>
      <c r="G497" s="87"/>
      <c r="H497" s="87"/>
      <c r="I497" s="87"/>
      <c r="J497" s="87"/>
      <c r="K497" s="87"/>
      <c r="L497" s="87"/>
      <c r="M497" s="87"/>
      <c r="N497" s="87"/>
      <c r="O497" s="87"/>
      <c r="P497" s="87"/>
      <c r="Q497" s="87"/>
      <c r="R497" s="87"/>
      <c r="S497" s="87"/>
      <c r="T497" s="87"/>
      <c r="U497" s="87"/>
      <c r="V497" s="87"/>
      <c r="W497" s="87"/>
      <c r="X497" s="87"/>
      <c r="Y497" s="87"/>
      <c r="Z497" s="87"/>
      <c r="AA497" s="87"/>
      <c r="AB497" s="87"/>
      <c r="AC497" s="87"/>
      <c r="AD497" s="87"/>
      <c r="AE497" s="87"/>
      <c r="AF497" s="87"/>
      <c r="AG497" s="87"/>
      <c r="AH497" s="87"/>
      <c r="AI497" s="87"/>
      <c r="AJ497" s="87"/>
    </row>
    <row r="498" spans="1:36" x14ac:dyDescent="0.25">
      <c r="A498" s="273"/>
      <c r="B498" s="86"/>
      <c r="C498" s="86"/>
      <c r="D498" s="86"/>
      <c r="E498" s="86"/>
      <c r="F498" s="86"/>
      <c r="G498" s="86"/>
      <c r="H498" s="86"/>
      <c r="I498" s="86"/>
      <c r="J498" s="86"/>
      <c r="K498" s="86"/>
      <c r="L498" s="86"/>
      <c r="M498" s="86"/>
      <c r="N498" s="86"/>
      <c r="O498" s="86"/>
      <c r="P498" s="86"/>
      <c r="Q498" s="86"/>
      <c r="R498" s="86"/>
      <c r="S498" s="86"/>
      <c r="T498" s="86"/>
      <c r="U498" s="86"/>
      <c r="V498" s="86"/>
      <c r="W498" s="86"/>
      <c r="X498" s="86"/>
      <c r="Y498" s="86"/>
      <c r="Z498" s="86"/>
      <c r="AA498" s="86"/>
      <c r="AB498" s="86"/>
      <c r="AC498" s="86"/>
      <c r="AD498" s="86"/>
      <c r="AE498" s="86"/>
      <c r="AF498" s="86"/>
      <c r="AG498" s="86"/>
      <c r="AH498" s="86"/>
      <c r="AI498" s="86"/>
      <c r="AJ498" s="86"/>
    </row>
    <row r="499" spans="1:36" x14ac:dyDescent="0.25">
      <c r="A499" s="274"/>
      <c r="B499" s="87"/>
      <c r="C499" s="87"/>
      <c r="D499" s="87"/>
      <c r="E499" s="87"/>
      <c r="F499" s="87"/>
      <c r="G499" s="87"/>
      <c r="H499" s="87"/>
      <c r="I499" s="87"/>
      <c r="J499" s="87"/>
      <c r="K499" s="87"/>
      <c r="L499" s="87"/>
      <c r="M499" s="87"/>
      <c r="N499" s="87"/>
      <c r="O499" s="87"/>
      <c r="P499" s="87"/>
      <c r="Q499" s="87"/>
      <c r="R499" s="87"/>
      <c r="S499" s="87"/>
      <c r="T499" s="87"/>
      <c r="U499" s="87"/>
      <c r="V499" s="87"/>
      <c r="W499" s="87"/>
      <c r="X499" s="87"/>
      <c r="Y499" s="87"/>
      <c r="Z499" s="87"/>
      <c r="AA499" s="87"/>
      <c r="AB499" s="87"/>
      <c r="AC499" s="87"/>
      <c r="AD499" s="87"/>
      <c r="AE499" s="87"/>
      <c r="AF499" s="87"/>
      <c r="AG499" s="87"/>
      <c r="AH499" s="87"/>
      <c r="AI499" s="87"/>
      <c r="AJ499" s="87"/>
    </row>
    <row r="500" spans="1:36" x14ac:dyDescent="0.25">
      <c r="A500" s="273"/>
      <c r="B500" s="86"/>
      <c r="C500" s="86"/>
      <c r="D500" s="86"/>
      <c r="E500" s="86"/>
      <c r="F500" s="86"/>
      <c r="G500" s="86"/>
      <c r="H500" s="86"/>
      <c r="I500" s="86"/>
      <c r="J500" s="86"/>
      <c r="K500" s="86"/>
      <c r="L500" s="86"/>
      <c r="M500" s="86"/>
      <c r="N500" s="86"/>
      <c r="O500" s="86"/>
      <c r="P500" s="86"/>
      <c r="Q500" s="86"/>
      <c r="R500" s="86"/>
      <c r="S500" s="86"/>
      <c r="T500" s="86"/>
      <c r="U500" s="86"/>
      <c r="V500" s="86"/>
      <c r="W500" s="86"/>
      <c r="X500" s="86"/>
      <c r="Y500" s="86"/>
      <c r="Z500" s="86"/>
      <c r="AA500" s="86"/>
      <c r="AB500" s="86"/>
      <c r="AC500" s="86"/>
      <c r="AD500" s="86"/>
      <c r="AE500" s="86"/>
      <c r="AF500" s="86"/>
      <c r="AG500" s="86"/>
      <c r="AH500" s="86"/>
      <c r="AI500" s="86"/>
      <c r="AJ500" s="86"/>
    </row>
    <row r="501" spans="1:36" x14ac:dyDescent="0.25">
      <c r="A501" s="274"/>
      <c r="B501" s="87"/>
      <c r="C501" s="87"/>
      <c r="D501" s="87"/>
      <c r="E501" s="87"/>
      <c r="F501" s="87"/>
      <c r="G501" s="87"/>
      <c r="H501" s="87"/>
      <c r="I501" s="87"/>
      <c r="J501" s="87"/>
      <c r="K501" s="87"/>
      <c r="L501" s="87"/>
      <c r="M501" s="87"/>
      <c r="N501" s="87"/>
      <c r="O501" s="87"/>
      <c r="P501" s="87"/>
      <c r="Q501" s="87"/>
      <c r="R501" s="87"/>
      <c r="S501" s="87"/>
      <c r="T501" s="87"/>
      <c r="U501" s="87"/>
      <c r="V501" s="87"/>
      <c r="W501" s="87"/>
      <c r="X501" s="87"/>
      <c r="Y501" s="87"/>
      <c r="Z501" s="87"/>
      <c r="AA501" s="87"/>
      <c r="AB501" s="87"/>
      <c r="AC501" s="87"/>
      <c r="AD501" s="87"/>
      <c r="AE501" s="87"/>
      <c r="AF501" s="87"/>
      <c r="AG501" s="87"/>
      <c r="AH501" s="87"/>
      <c r="AI501" s="87"/>
      <c r="AJ501" s="87"/>
    </row>
    <row r="502" spans="1:36" x14ac:dyDescent="0.25">
      <c r="A502" s="273"/>
      <c r="B502" s="86"/>
      <c r="C502" s="86"/>
      <c r="D502" s="86"/>
      <c r="E502" s="86"/>
      <c r="F502" s="86"/>
      <c r="G502" s="86"/>
      <c r="H502" s="86"/>
      <c r="I502" s="86"/>
      <c r="J502" s="86"/>
      <c r="K502" s="86"/>
      <c r="L502" s="86"/>
      <c r="M502" s="86"/>
      <c r="N502" s="86"/>
      <c r="O502" s="86"/>
      <c r="P502" s="86"/>
      <c r="Q502" s="86"/>
      <c r="R502" s="86"/>
      <c r="S502" s="86"/>
      <c r="T502" s="86"/>
      <c r="U502" s="86"/>
      <c r="V502" s="86"/>
      <c r="W502" s="86"/>
      <c r="X502" s="86"/>
      <c r="Y502" s="86"/>
      <c r="Z502" s="86"/>
      <c r="AA502" s="86"/>
      <c r="AB502" s="86"/>
      <c r="AC502" s="86"/>
      <c r="AD502" s="86"/>
      <c r="AE502" s="86"/>
      <c r="AF502" s="86"/>
      <c r="AG502" s="86"/>
      <c r="AH502" s="86"/>
      <c r="AI502" s="86"/>
      <c r="AJ502" s="86"/>
    </row>
    <row r="503" spans="1:36" x14ac:dyDescent="0.25">
      <c r="A503" s="274"/>
      <c r="B503" s="87"/>
      <c r="C503" s="87"/>
      <c r="D503" s="87"/>
      <c r="E503" s="87"/>
      <c r="F503" s="87"/>
      <c r="G503" s="87"/>
      <c r="H503" s="87"/>
      <c r="I503" s="87"/>
      <c r="J503" s="87"/>
      <c r="K503" s="87"/>
      <c r="L503" s="87"/>
      <c r="M503" s="87"/>
      <c r="N503" s="87"/>
      <c r="O503" s="87"/>
      <c r="P503" s="87"/>
      <c r="Q503" s="87"/>
      <c r="R503" s="87"/>
      <c r="S503" s="87"/>
      <c r="T503" s="87"/>
      <c r="U503" s="87"/>
      <c r="V503" s="87"/>
      <c r="W503" s="87"/>
      <c r="X503" s="87"/>
      <c r="Y503" s="87"/>
      <c r="Z503" s="87"/>
      <c r="AA503" s="87"/>
      <c r="AB503" s="87"/>
      <c r="AC503" s="87"/>
      <c r="AD503" s="87"/>
      <c r="AE503" s="87"/>
      <c r="AF503" s="87"/>
      <c r="AG503" s="87"/>
      <c r="AH503" s="87"/>
      <c r="AI503" s="87"/>
      <c r="AJ503" s="87"/>
    </row>
    <row r="504" spans="1:36" x14ac:dyDescent="0.25">
      <c r="A504" s="273"/>
      <c r="B504" s="86"/>
      <c r="C504" s="86"/>
      <c r="D504" s="86"/>
      <c r="E504" s="86"/>
      <c r="F504" s="86"/>
      <c r="G504" s="86"/>
      <c r="H504" s="86"/>
      <c r="I504" s="86"/>
      <c r="J504" s="86"/>
      <c r="K504" s="86"/>
      <c r="L504" s="86"/>
      <c r="M504" s="86"/>
      <c r="N504" s="86"/>
      <c r="O504" s="86"/>
      <c r="P504" s="86"/>
      <c r="Q504" s="86"/>
      <c r="R504" s="86"/>
      <c r="S504" s="86"/>
      <c r="T504" s="86"/>
      <c r="U504" s="86"/>
      <c r="V504" s="86"/>
      <c r="W504" s="86"/>
      <c r="X504" s="86"/>
      <c r="Y504" s="86"/>
      <c r="Z504" s="86"/>
      <c r="AA504" s="86"/>
      <c r="AB504" s="86"/>
      <c r="AC504" s="86"/>
      <c r="AD504" s="86"/>
      <c r="AE504" s="86"/>
      <c r="AF504" s="86"/>
      <c r="AG504" s="86"/>
      <c r="AH504" s="86"/>
      <c r="AI504" s="86"/>
      <c r="AJ504" s="86"/>
    </row>
    <row r="505" spans="1:36" x14ac:dyDescent="0.25">
      <c r="A505" s="274"/>
      <c r="B505" s="87"/>
      <c r="C505" s="87"/>
      <c r="D505" s="87"/>
      <c r="E505" s="87"/>
      <c r="F505" s="87"/>
      <c r="G505" s="87"/>
      <c r="H505" s="87"/>
      <c r="I505" s="87"/>
      <c r="J505" s="87"/>
      <c r="K505" s="87"/>
      <c r="L505" s="87"/>
      <c r="M505" s="87"/>
      <c r="N505" s="87"/>
      <c r="O505" s="87"/>
      <c r="P505" s="87"/>
      <c r="Q505" s="87"/>
      <c r="R505" s="87"/>
      <c r="S505" s="87"/>
      <c r="T505" s="87"/>
      <c r="U505" s="87"/>
      <c r="V505" s="87"/>
      <c r="W505" s="87"/>
      <c r="X505" s="87"/>
      <c r="Y505" s="87"/>
      <c r="Z505" s="87"/>
      <c r="AA505" s="87"/>
      <c r="AB505" s="87"/>
      <c r="AC505" s="87"/>
      <c r="AD505" s="87"/>
      <c r="AE505" s="87"/>
      <c r="AF505" s="87"/>
      <c r="AG505" s="87"/>
      <c r="AH505" s="87"/>
      <c r="AI505" s="87"/>
      <c r="AJ505" s="87"/>
    </row>
    <row r="506" spans="1:36" x14ac:dyDescent="0.25">
      <c r="A506" s="273"/>
      <c r="B506" s="86"/>
      <c r="C506" s="86"/>
      <c r="D506" s="86"/>
      <c r="E506" s="86"/>
      <c r="F506" s="86"/>
      <c r="G506" s="86"/>
      <c r="H506" s="86"/>
      <c r="I506" s="86"/>
      <c r="J506" s="86"/>
      <c r="K506" s="86"/>
      <c r="L506" s="86"/>
      <c r="M506" s="86"/>
      <c r="N506" s="86"/>
      <c r="O506" s="86"/>
      <c r="P506" s="86"/>
      <c r="Q506" s="86"/>
      <c r="R506" s="86"/>
      <c r="S506" s="86"/>
      <c r="T506" s="86"/>
      <c r="U506" s="86"/>
      <c r="V506" s="86"/>
      <c r="W506" s="86"/>
      <c r="X506" s="86"/>
      <c r="Y506" s="86"/>
      <c r="Z506" s="86"/>
      <c r="AA506" s="86"/>
      <c r="AB506" s="86"/>
      <c r="AC506" s="86"/>
      <c r="AD506" s="86"/>
      <c r="AE506" s="86"/>
      <c r="AF506" s="86"/>
      <c r="AG506" s="86"/>
      <c r="AH506" s="86"/>
      <c r="AI506" s="86"/>
      <c r="AJ506" s="86"/>
    </row>
    <row r="507" spans="1:36" x14ac:dyDescent="0.25">
      <c r="A507" s="274"/>
      <c r="B507" s="87"/>
      <c r="C507" s="87"/>
      <c r="D507" s="87"/>
      <c r="E507" s="87"/>
      <c r="F507" s="87"/>
      <c r="G507" s="87"/>
      <c r="H507" s="87"/>
      <c r="I507" s="87"/>
      <c r="J507" s="87"/>
      <c r="K507" s="87"/>
      <c r="L507" s="87"/>
      <c r="M507" s="87"/>
      <c r="N507" s="87"/>
      <c r="O507" s="87"/>
      <c r="P507" s="87"/>
      <c r="Q507" s="87"/>
      <c r="R507" s="87"/>
      <c r="S507" s="87"/>
      <c r="T507" s="87"/>
      <c r="U507" s="87"/>
      <c r="V507" s="87"/>
      <c r="W507" s="87"/>
      <c r="X507" s="87"/>
      <c r="Y507" s="87"/>
      <c r="Z507" s="87"/>
      <c r="AA507" s="87"/>
      <c r="AB507" s="87"/>
      <c r="AC507" s="87"/>
      <c r="AD507" s="87"/>
      <c r="AE507" s="87"/>
      <c r="AF507" s="87"/>
      <c r="AG507" s="87"/>
      <c r="AH507" s="87"/>
      <c r="AI507" s="87"/>
      <c r="AJ507" s="87"/>
    </row>
    <row r="508" spans="1:36" x14ac:dyDescent="0.25">
      <c r="A508" s="273"/>
      <c r="B508" s="86"/>
      <c r="C508" s="86"/>
      <c r="D508" s="86"/>
      <c r="E508" s="86"/>
      <c r="F508" s="86"/>
      <c r="G508" s="86"/>
      <c r="H508" s="86"/>
      <c r="I508" s="86"/>
      <c r="J508" s="86"/>
      <c r="K508" s="86"/>
      <c r="L508" s="86"/>
      <c r="M508" s="86"/>
      <c r="N508" s="86"/>
      <c r="O508" s="86"/>
      <c r="P508" s="86"/>
      <c r="Q508" s="86"/>
      <c r="R508" s="86"/>
      <c r="S508" s="86"/>
      <c r="T508" s="86"/>
      <c r="U508" s="86"/>
      <c r="V508" s="86"/>
      <c r="W508" s="86"/>
      <c r="X508" s="86"/>
      <c r="Y508" s="86"/>
      <c r="Z508" s="86"/>
      <c r="AA508" s="86"/>
      <c r="AB508" s="86"/>
      <c r="AC508" s="86"/>
      <c r="AD508" s="86"/>
      <c r="AE508" s="86"/>
      <c r="AF508" s="86"/>
      <c r="AG508" s="86"/>
      <c r="AH508" s="86"/>
      <c r="AI508" s="86"/>
      <c r="AJ508" s="86"/>
    </row>
    <row r="509" spans="1:36" x14ac:dyDescent="0.25">
      <c r="A509" s="274"/>
      <c r="B509" s="87"/>
      <c r="C509" s="87"/>
      <c r="D509" s="87"/>
      <c r="E509" s="87"/>
      <c r="F509" s="87"/>
      <c r="G509" s="87"/>
      <c r="H509" s="87"/>
      <c r="I509" s="87"/>
      <c r="J509" s="87"/>
      <c r="K509" s="87"/>
      <c r="L509" s="87"/>
      <c r="M509" s="87"/>
      <c r="N509" s="87"/>
      <c r="O509" s="87"/>
      <c r="P509" s="87"/>
      <c r="Q509" s="87"/>
      <c r="R509" s="87"/>
      <c r="S509" s="87"/>
      <c r="T509" s="87"/>
      <c r="U509" s="87"/>
      <c r="V509" s="87"/>
      <c r="W509" s="87"/>
      <c r="X509" s="87"/>
      <c r="Y509" s="87"/>
      <c r="Z509" s="87"/>
      <c r="AA509" s="87"/>
      <c r="AB509" s="87"/>
      <c r="AC509" s="87"/>
      <c r="AD509" s="87"/>
      <c r="AE509" s="87"/>
      <c r="AF509" s="87"/>
      <c r="AG509" s="87"/>
      <c r="AH509" s="87"/>
      <c r="AI509" s="87"/>
      <c r="AJ509" s="87"/>
    </row>
    <row r="510" spans="1:36" x14ac:dyDescent="0.25">
      <c r="A510" s="273"/>
      <c r="B510" s="86"/>
      <c r="C510" s="86"/>
      <c r="D510" s="86"/>
      <c r="E510" s="86"/>
      <c r="F510" s="86"/>
      <c r="G510" s="86"/>
      <c r="H510" s="86"/>
      <c r="I510" s="86"/>
      <c r="J510" s="86"/>
      <c r="K510" s="86"/>
      <c r="L510" s="86"/>
      <c r="M510" s="86"/>
      <c r="N510" s="86"/>
      <c r="O510" s="86"/>
      <c r="P510" s="86"/>
      <c r="Q510" s="86"/>
      <c r="R510" s="86"/>
      <c r="S510" s="86"/>
      <c r="T510" s="86"/>
      <c r="U510" s="86"/>
      <c r="V510" s="86"/>
      <c r="W510" s="86"/>
      <c r="X510" s="86"/>
      <c r="Y510" s="86"/>
      <c r="Z510" s="86"/>
      <c r="AA510" s="86"/>
      <c r="AB510" s="86"/>
      <c r="AC510" s="86"/>
      <c r="AD510" s="86"/>
      <c r="AE510" s="86"/>
      <c r="AF510" s="86"/>
      <c r="AG510" s="86"/>
      <c r="AH510" s="86"/>
      <c r="AI510" s="86"/>
      <c r="AJ510" s="86"/>
    </row>
    <row r="511" spans="1:36" x14ac:dyDescent="0.25">
      <c r="A511" s="274"/>
      <c r="B511" s="87"/>
      <c r="C511" s="87"/>
      <c r="D511" s="87"/>
      <c r="E511" s="87"/>
      <c r="F511" s="87"/>
      <c r="G511" s="87"/>
      <c r="H511" s="87"/>
      <c r="I511" s="87"/>
      <c r="J511" s="87"/>
      <c r="K511" s="87"/>
      <c r="L511" s="87"/>
      <c r="M511" s="87"/>
      <c r="N511" s="87"/>
      <c r="O511" s="87"/>
      <c r="P511" s="87"/>
      <c r="Q511" s="87"/>
      <c r="R511" s="87"/>
      <c r="S511" s="87"/>
      <c r="T511" s="87"/>
      <c r="U511" s="87"/>
      <c r="V511" s="87"/>
      <c r="W511" s="87"/>
      <c r="X511" s="87"/>
      <c r="Y511" s="87"/>
      <c r="Z511" s="87"/>
      <c r="AA511" s="87"/>
      <c r="AB511" s="87"/>
      <c r="AC511" s="87"/>
      <c r="AD511" s="87"/>
      <c r="AE511" s="87"/>
      <c r="AF511" s="87"/>
      <c r="AG511" s="87"/>
      <c r="AH511" s="87"/>
      <c r="AI511" s="87"/>
      <c r="AJ511" s="87"/>
    </row>
    <row r="512" spans="1:36" x14ac:dyDescent="0.25">
      <c r="A512" s="273"/>
      <c r="B512" s="86"/>
      <c r="C512" s="86"/>
      <c r="D512" s="86"/>
      <c r="E512" s="86"/>
      <c r="F512" s="86"/>
      <c r="G512" s="86"/>
      <c r="H512" s="86"/>
      <c r="I512" s="86"/>
      <c r="J512" s="86"/>
      <c r="K512" s="86"/>
      <c r="L512" s="86"/>
      <c r="M512" s="86"/>
      <c r="N512" s="86"/>
      <c r="O512" s="86"/>
      <c r="P512" s="86"/>
      <c r="Q512" s="86"/>
      <c r="R512" s="86"/>
      <c r="S512" s="86"/>
      <c r="T512" s="86"/>
      <c r="U512" s="86"/>
      <c r="V512" s="86"/>
      <c r="W512" s="86"/>
      <c r="X512" s="86"/>
      <c r="Y512" s="86"/>
      <c r="Z512" s="86"/>
      <c r="AA512" s="86"/>
      <c r="AB512" s="86"/>
      <c r="AC512" s="86"/>
      <c r="AD512" s="86"/>
      <c r="AE512" s="86"/>
      <c r="AF512" s="86"/>
      <c r="AG512" s="86"/>
      <c r="AH512" s="86"/>
      <c r="AI512" s="86"/>
      <c r="AJ512" s="86"/>
    </row>
    <row r="513" spans="1:36" x14ac:dyDescent="0.25">
      <c r="A513" s="274"/>
      <c r="B513" s="87"/>
      <c r="C513" s="87"/>
      <c r="D513" s="87"/>
      <c r="E513" s="87"/>
      <c r="F513" s="87"/>
      <c r="G513" s="87"/>
      <c r="H513" s="87"/>
      <c r="I513" s="87"/>
      <c r="J513" s="87"/>
      <c r="K513" s="87"/>
      <c r="L513" s="87"/>
      <c r="M513" s="87"/>
      <c r="N513" s="87"/>
      <c r="O513" s="87"/>
      <c r="P513" s="87"/>
      <c r="Q513" s="87"/>
      <c r="R513" s="87"/>
      <c r="S513" s="87"/>
      <c r="T513" s="87"/>
      <c r="U513" s="87"/>
      <c r="V513" s="87"/>
      <c r="W513" s="87"/>
      <c r="X513" s="87"/>
      <c r="Y513" s="87"/>
      <c r="Z513" s="87"/>
      <c r="AA513" s="87"/>
      <c r="AB513" s="87"/>
      <c r="AC513" s="87"/>
      <c r="AD513" s="87"/>
      <c r="AE513" s="87"/>
      <c r="AF513" s="87"/>
      <c r="AG513" s="87"/>
      <c r="AH513" s="87"/>
      <c r="AI513" s="87"/>
      <c r="AJ513" s="87"/>
    </row>
    <row r="514" spans="1:36" x14ac:dyDescent="0.25">
      <c r="A514" s="273"/>
      <c r="B514" s="86"/>
      <c r="C514" s="86"/>
      <c r="D514" s="86"/>
      <c r="E514" s="86"/>
      <c r="F514" s="86"/>
      <c r="G514" s="86"/>
      <c r="H514" s="86"/>
      <c r="I514" s="86"/>
      <c r="J514" s="86"/>
      <c r="K514" s="86"/>
      <c r="L514" s="86"/>
      <c r="M514" s="86"/>
      <c r="N514" s="86"/>
      <c r="O514" s="86"/>
      <c r="P514" s="86"/>
      <c r="Q514" s="86"/>
      <c r="R514" s="86"/>
      <c r="S514" s="86"/>
      <c r="T514" s="86"/>
      <c r="U514" s="86"/>
      <c r="V514" s="86"/>
      <c r="W514" s="86"/>
      <c r="X514" s="86"/>
      <c r="Y514" s="86"/>
      <c r="Z514" s="86"/>
      <c r="AA514" s="86"/>
      <c r="AB514" s="86"/>
      <c r="AC514" s="86"/>
      <c r="AD514" s="86"/>
      <c r="AE514" s="86"/>
      <c r="AF514" s="86"/>
      <c r="AG514" s="86"/>
      <c r="AH514" s="86"/>
      <c r="AI514" s="86"/>
      <c r="AJ514" s="86"/>
    </row>
    <row r="515" spans="1:36" x14ac:dyDescent="0.25">
      <c r="A515" s="274"/>
      <c r="B515" s="87"/>
      <c r="C515" s="87"/>
      <c r="D515" s="87"/>
      <c r="E515" s="87"/>
      <c r="F515" s="87"/>
      <c r="G515" s="87"/>
      <c r="H515" s="87"/>
      <c r="I515" s="87"/>
      <c r="J515" s="87"/>
      <c r="K515" s="87"/>
      <c r="L515" s="87"/>
      <c r="M515" s="87"/>
      <c r="N515" s="87"/>
      <c r="O515" s="87"/>
      <c r="P515" s="87"/>
      <c r="Q515" s="87"/>
      <c r="R515" s="87"/>
      <c r="S515" s="87"/>
      <c r="T515" s="87"/>
      <c r="U515" s="87"/>
      <c r="V515" s="87"/>
      <c r="W515" s="87"/>
      <c r="X515" s="87"/>
      <c r="Y515" s="87"/>
      <c r="Z515" s="87"/>
      <c r="AA515" s="87"/>
      <c r="AB515" s="87"/>
      <c r="AC515" s="87"/>
      <c r="AD515" s="87"/>
      <c r="AE515" s="87"/>
      <c r="AF515" s="87"/>
      <c r="AG515" s="87"/>
      <c r="AH515" s="87"/>
      <c r="AI515" s="87"/>
      <c r="AJ515" s="87"/>
    </row>
    <row r="516" spans="1:36" x14ac:dyDescent="0.25">
      <c r="A516" s="273"/>
      <c r="B516" s="86"/>
      <c r="C516" s="86"/>
      <c r="D516" s="86"/>
      <c r="E516" s="86"/>
      <c r="F516" s="86"/>
      <c r="G516" s="86"/>
      <c r="H516" s="86"/>
      <c r="I516" s="86"/>
      <c r="J516" s="86"/>
      <c r="K516" s="86"/>
      <c r="L516" s="86"/>
      <c r="M516" s="86"/>
      <c r="N516" s="86"/>
      <c r="O516" s="86"/>
      <c r="P516" s="86"/>
      <c r="Q516" s="86"/>
      <c r="R516" s="86"/>
      <c r="S516" s="86"/>
      <c r="T516" s="86"/>
      <c r="U516" s="86"/>
      <c r="V516" s="86"/>
      <c r="W516" s="86"/>
      <c r="X516" s="86"/>
      <c r="Y516" s="86"/>
      <c r="Z516" s="86"/>
      <c r="AA516" s="86"/>
      <c r="AB516" s="86"/>
      <c r="AC516" s="86"/>
      <c r="AD516" s="86"/>
      <c r="AE516" s="86"/>
      <c r="AF516" s="86"/>
      <c r="AG516" s="86"/>
      <c r="AH516" s="86"/>
      <c r="AI516" s="86"/>
      <c r="AJ516" s="86"/>
    </row>
    <row r="517" spans="1:36" x14ac:dyDescent="0.25">
      <c r="A517" s="274"/>
      <c r="B517" s="87"/>
      <c r="C517" s="87"/>
      <c r="D517" s="87"/>
      <c r="E517" s="87"/>
      <c r="F517" s="87"/>
      <c r="G517" s="87"/>
      <c r="H517" s="87"/>
      <c r="I517" s="87"/>
      <c r="J517" s="87"/>
      <c r="K517" s="87"/>
      <c r="L517" s="87"/>
      <c r="M517" s="87"/>
      <c r="N517" s="87"/>
      <c r="O517" s="87"/>
      <c r="P517" s="87"/>
      <c r="Q517" s="87"/>
      <c r="R517" s="87"/>
      <c r="S517" s="87"/>
      <c r="T517" s="87"/>
      <c r="U517" s="87"/>
      <c r="V517" s="87"/>
      <c r="W517" s="87"/>
      <c r="X517" s="87"/>
      <c r="Y517" s="87"/>
      <c r="Z517" s="87"/>
      <c r="AA517" s="87"/>
      <c r="AB517" s="87"/>
      <c r="AC517" s="87"/>
      <c r="AD517" s="87"/>
      <c r="AE517" s="87"/>
      <c r="AF517" s="87"/>
      <c r="AG517" s="87"/>
      <c r="AH517" s="87"/>
      <c r="AI517" s="87"/>
      <c r="AJ517" s="87"/>
    </row>
    <row r="518" spans="1:36" x14ac:dyDescent="0.25">
      <c r="A518" s="273"/>
      <c r="B518" s="86"/>
      <c r="C518" s="86"/>
      <c r="D518" s="86"/>
      <c r="E518" s="86"/>
      <c r="F518" s="86"/>
      <c r="G518" s="86"/>
      <c r="H518" s="86"/>
      <c r="I518" s="86"/>
      <c r="J518" s="86"/>
      <c r="K518" s="86"/>
      <c r="L518" s="86"/>
      <c r="M518" s="86"/>
      <c r="N518" s="86"/>
      <c r="O518" s="86"/>
      <c r="P518" s="86"/>
      <c r="Q518" s="86"/>
      <c r="R518" s="86"/>
      <c r="S518" s="86"/>
      <c r="T518" s="86"/>
      <c r="U518" s="86"/>
      <c r="V518" s="86"/>
      <c r="W518" s="86"/>
      <c r="X518" s="86"/>
      <c r="Y518" s="86"/>
      <c r="Z518" s="86"/>
      <c r="AA518" s="86"/>
      <c r="AB518" s="86"/>
      <c r="AC518" s="86"/>
      <c r="AD518" s="86"/>
      <c r="AE518" s="86"/>
      <c r="AF518" s="86"/>
      <c r="AG518" s="86"/>
      <c r="AH518" s="86"/>
      <c r="AI518" s="86"/>
      <c r="AJ518" s="86"/>
    </row>
    <row r="519" spans="1:36" x14ac:dyDescent="0.25">
      <c r="A519" s="274"/>
      <c r="B519" s="87"/>
      <c r="C519" s="87"/>
      <c r="D519" s="87"/>
      <c r="E519" s="87"/>
      <c r="F519" s="87"/>
      <c r="G519" s="87"/>
      <c r="H519" s="87"/>
      <c r="I519" s="87"/>
      <c r="J519" s="87"/>
      <c r="K519" s="87"/>
      <c r="L519" s="87"/>
      <c r="M519" s="87"/>
      <c r="N519" s="87"/>
      <c r="O519" s="87"/>
      <c r="P519" s="87"/>
      <c r="Q519" s="87"/>
      <c r="R519" s="87"/>
      <c r="S519" s="87"/>
      <c r="T519" s="87"/>
      <c r="U519" s="87"/>
      <c r="V519" s="87"/>
      <c r="W519" s="87"/>
      <c r="X519" s="87"/>
      <c r="Y519" s="87"/>
      <c r="Z519" s="87"/>
      <c r="AA519" s="87"/>
      <c r="AB519" s="87"/>
      <c r="AC519" s="87"/>
      <c r="AD519" s="87"/>
      <c r="AE519" s="87"/>
      <c r="AF519" s="87"/>
      <c r="AG519" s="87"/>
      <c r="AH519" s="87"/>
      <c r="AI519" s="87"/>
      <c r="AJ519" s="87"/>
    </row>
    <row r="520" spans="1:36" x14ac:dyDescent="0.25">
      <c r="A520" s="273"/>
      <c r="B520" s="86"/>
      <c r="C520" s="86"/>
      <c r="D520" s="86"/>
      <c r="E520" s="86"/>
      <c r="F520" s="86"/>
      <c r="G520" s="86"/>
      <c r="H520" s="86"/>
      <c r="I520" s="86"/>
      <c r="J520" s="86"/>
      <c r="K520" s="86"/>
      <c r="L520" s="86"/>
      <c r="M520" s="86"/>
      <c r="N520" s="86"/>
      <c r="O520" s="86"/>
      <c r="P520" s="86"/>
      <c r="Q520" s="86"/>
      <c r="R520" s="86"/>
      <c r="S520" s="86"/>
      <c r="T520" s="86"/>
      <c r="U520" s="86"/>
      <c r="V520" s="86"/>
      <c r="W520" s="86"/>
      <c r="X520" s="86"/>
      <c r="Y520" s="86"/>
      <c r="Z520" s="86"/>
      <c r="AA520" s="86"/>
      <c r="AB520" s="86"/>
      <c r="AC520" s="86"/>
      <c r="AD520" s="86"/>
      <c r="AE520" s="86"/>
      <c r="AF520" s="86"/>
      <c r="AG520" s="86"/>
      <c r="AH520" s="86"/>
      <c r="AI520" s="86"/>
      <c r="AJ520" s="86"/>
    </row>
    <row r="521" spans="1:36" x14ac:dyDescent="0.25">
      <c r="A521" s="274"/>
      <c r="B521" s="87"/>
      <c r="C521" s="87"/>
      <c r="D521" s="87"/>
      <c r="E521" s="87"/>
      <c r="F521" s="87"/>
      <c r="G521" s="87"/>
      <c r="H521" s="87"/>
      <c r="I521" s="87"/>
      <c r="J521" s="87"/>
      <c r="K521" s="87"/>
      <c r="L521" s="87"/>
      <c r="M521" s="87"/>
      <c r="N521" s="87"/>
      <c r="O521" s="87"/>
      <c r="P521" s="87"/>
      <c r="Q521" s="87"/>
      <c r="R521" s="87"/>
      <c r="S521" s="87"/>
      <c r="T521" s="87"/>
      <c r="U521" s="87"/>
      <c r="V521" s="87"/>
      <c r="W521" s="87"/>
      <c r="X521" s="87"/>
      <c r="Y521" s="87"/>
      <c r="Z521" s="87"/>
      <c r="AA521" s="87"/>
      <c r="AB521" s="87"/>
      <c r="AC521" s="87"/>
      <c r="AD521" s="87"/>
      <c r="AE521" s="87"/>
      <c r="AF521" s="87"/>
      <c r="AG521" s="87"/>
      <c r="AH521" s="87"/>
      <c r="AI521" s="87"/>
      <c r="AJ521" s="87"/>
    </row>
    <row r="522" spans="1:36" x14ac:dyDescent="0.25">
      <c r="A522" s="273"/>
      <c r="B522" s="86"/>
      <c r="C522" s="86"/>
      <c r="D522" s="86"/>
      <c r="E522" s="86"/>
      <c r="F522" s="86"/>
      <c r="G522" s="86"/>
      <c r="H522" s="86"/>
      <c r="I522" s="86"/>
      <c r="J522" s="86"/>
      <c r="K522" s="86"/>
      <c r="L522" s="86"/>
      <c r="M522" s="86"/>
      <c r="N522" s="86"/>
      <c r="O522" s="86"/>
      <c r="P522" s="86"/>
      <c r="Q522" s="86"/>
      <c r="R522" s="86"/>
      <c r="S522" s="86"/>
      <c r="T522" s="86"/>
      <c r="U522" s="86"/>
      <c r="V522" s="86"/>
      <c r="W522" s="86"/>
      <c r="X522" s="86"/>
      <c r="Y522" s="86"/>
      <c r="Z522" s="86"/>
      <c r="AA522" s="86"/>
      <c r="AB522" s="86"/>
      <c r="AC522" s="86"/>
      <c r="AD522" s="86"/>
      <c r="AE522" s="86"/>
      <c r="AF522" s="86"/>
      <c r="AG522" s="86"/>
      <c r="AH522" s="86"/>
      <c r="AI522" s="86"/>
      <c r="AJ522" s="86"/>
    </row>
    <row r="523" spans="1:36" x14ac:dyDescent="0.25">
      <c r="A523" s="274"/>
      <c r="B523" s="87"/>
      <c r="C523" s="87"/>
      <c r="D523" s="87"/>
      <c r="E523" s="87"/>
      <c r="F523" s="87"/>
      <c r="G523" s="87"/>
      <c r="H523" s="87"/>
      <c r="I523" s="87"/>
      <c r="J523" s="87"/>
      <c r="K523" s="87"/>
      <c r="L523" s="87"/>
      <c r="M523" s="87"/>
      <c r="N523" s="87"/>
      <c r="O523" s="87"/>
      <c r="P523" s="87"/>
      <c r="Q523" s="87"/>
      <c r="R523" s="87"/>
      <c r="S523" s="87"/>
      <c r="T523" s="87"/>
      <c r="U523" s="87"/>
      <c r="V523" s="87"/>
      <c r="W523" s="87"/>
      <c r="X523" s="87"/>
      <c r="Y523" s="87"/>
      <c r="Z523" s="87"/>
      <c r="AA523" s="87"/>
      <c r="AB523" s="87"/>
      <c r="AC523" s="87"/>
      <c r="AD523" s="87"/>
      <c r="AE523" s="87"/>
      <c r="AF523" s="87"/>
      <c r="AG523" s="87"/>
      <c r="AH523" s="87"/>
      <c r="AI523" s="87"/>
      <c r="AJ523" s="87"/>
    </row>
    <row r="524" spans="1:36" x14ac:dyDescent="0.25">
      <c r="A524" s="273"/>
      <c r="B524" s="86"/>
      <c r="C524" s="86"/>
      <c r="D524" s="86"/>
      <c r="E524" s="86"/>
      <c r="F524" s="86"/>
      <c r="G524" s="86"/>
      <c r="H524" s="86"/>
      <c r="I524" s="86"/>
      <c r="J524" s="86"/>
      <c r="K524" s="86"/>
      <c r="L524" s="86"/>
      <c r="M524" s="86"/>
      <c r="N524" s="86"/>
      <c r="O524" s="86"/>
      <c r="P524" s="86"/>
      <c r="Q524" s="86"/>
      <c r="R524" s="86"/>
      <c r="S524" s="86"/>
      <c r="T524" s="86"/>
      <c r="U524" s="86"/>
      <c r="V524" s="86"/>
      <c r="W524" s="86"/>
      <c r="X524" s="86"/>
      <c r="Y524" s="86"/>
      <c r="Z524" s="86"/>
      <c r="AA524" s="86"/>
      <c r="AB524" s="86"/>
      <c r="AC524" s="86"/>
      <c r="AD524" s="86"/>
      <c r="AE524" s="86"/>
      <c r="AF524" s="86"/>
      <c r="AG524" s="86"/>
      <c r="AH524" s="86"/>
      <c r="AI524" s="86"/>
      <c r="AJ524" s="86"/>
    </row>
    <row r="525" spans="1:36" x14ac:dyDescent="0.25">
      <c r="A525" s="274"/>
      <c r="B525" s="87"/>
      <c r="C525" s="87"/>
      <c r="D525" s="87"/>
      <c r="E525" s="87"/>
      <c r="F525" s="87"/>
      <c r="G525" s="87"/>
      <c r="H525" s="87"/>
      <c r="I525" s="87"/>
      <c r="J525" s="87"/>
      <c r="K525" s="87"/>
      <c r="L525" s="87"/>
      <c r="M525" s="87"/>
      <c r="N525" s="87"/>
      <c r="O525" s="87"/>
      <c r="P525" s="87"/>
      <c r="Q525" s="87"/>
      <c r="R525" s="87"/>
      <c r="S525" s="87"/>
      <c r="T525" s="87"/>
      <c r="U525" s="87"/>
      <c r="V525" s="87"/>
      <c r="W525" s="87"/>
      <c r="X525" s="87"/>
      <c r="Y525" s="87"/>
      <c r="Z525" s="87"/>
      <c r="AA525" s="87"/>
      <c r="AB525" s="87"/>
      <c r="AC525" s="87"/>
      <c r="AD525" s="87"/>
      <c r="AE525" s="87"/>
      <c r="AF525" s="87"/>
      <c r="AG525" s="87"/>
      <c r="AH525" s="87"/>
      <c r="AI525" s="87"/>
      <c r="AJ525" s="87"/>
    </row>
    <row r="526" spans="1:36" x14ac:dyDescent="0.25">
      <c r="A526" s="273"/>
      <c r="B526" s="86"/>
      <c r="C526" s="86"/>
      <c r="D526" s="86"/>
      <c r="E526" s="86"/>
      <c r="F526" s="86"/>
      <c r="G526" s="86"/>
      <c r="H526" s="86"/>
      <c r="I526" s="86"/>
      <c r="J526" s="86"/>
      <c r="K526" s="86"/>
      <c r="L526" s="86"/>
      <c r="M526" s="86"/>
      <c r="N526" s="86"/>
      <c r="O526" s="86"/>
      <c r="P526" s="86"/>
      <c r="Q526" s="86"/>
      <c r="R526" s="86"/>
      <c r="S526" s="86"/>
      <c r="T526" s="86"/>
      <c r="U526" s="86"/>
      <c r="V526" s="86"/>
      <c r="W526" s="86"/>
      <c r="X526" s="86"/>
      <c r="Y526" s="86"/>
      <c r="Z526" s="86"/>
      <c r="AA526" s="86"/>
      <c r="AB526" s="86"/>
      <c r="AC526" s="86"/>
      <c r="AD526" s="86"/>
      <c r="AE526" s="86"/>
      <c r="AF526" s="86"/>
      <c r="AG526" s="86"/>
      <c r="AH526" s="86"/>
      <c r="AI526" s="86"/>
      <c r="AJ526" s="86"/>
    </row>
    <row r="527" spans="1:36" x14ac:dyDescent="0.25">
      <c r="A527" s="274"/>
      <c r="B527" s="87"/>
      <c r="C527" s="87"/>
      <c r="D527" s="87"/>
      <c r="E527" s="87"/>
      <c r="F527" s="87"/>
      <c r="G527" s="87"/>
      <c r="H527" s="87"/>
      <c r="I527" s="87"/>
      <c r="J527" s="87"/>
      <c r="K527" s="87"/>
      <c r="L527" s="87"/>
      <c r="M527" s="87"/>
      <c r="N527" s="87"/>
      <c r="O527" s="87"/>
      <c r="P527" s="87"/>
      <c r="Q527" s="87"/>
      <c r="R527" s="87"/>
      <c r="S527" s="87"/>
      <c r="T527" s="87"/>
      <c r="U527" s="87"/>
      <c r="V527" s="87"/>
      <c r="W527" s="87"/>
      <c r="X527" s="87"/>
      <c r="Y527" s="87"/>
      <c r="Z527" s="87"/>
      <c r="AA527" s="87"/>
      <c r="AB527" s="87"/>
      <c r="AC527" s="87"/>
      <c r="AD527" s="87"/>
      <c r="AE527" s="87"/>
      <c r="AF527" s="87"/>
      <c r="AG527" s="87"/>
      <c r="AH527" s="87"/>
      <c r="AI527" s="87"/>
      <c r="AJ527" s="87"/>
    </row>
    <row r="528" spans="1:36" x14ac:dyDescent="0.25">
      <c r="A528" s="273"/>
      <c r="B528" s="86"/>
      <c r="C528" s="86"/>
      <c r="D528" s="86"/>
      <c r="E528" s="86"/>
      <c r="F528" s="86"/>
      <c r="G528" s="86"/>
      <c r="H528" s="86"/>
      <c r="I528" s="86"/>
      <c r="J528" s="86"/>
      <c r="K528" s="86"/>
      <c r="L528" s="86"/>
      <c r="M528" s="86"/>
      <c r="N528" s="86"/>
      <c r="O528" s="86"/>
      <c r="P528" s="86"/>
      <c r="Q528" s="86"/>
      <c r="R528" s="86"/>
      <c r="S528" s="86"/>
      <c r="T528" s="86"/>
      <c r="U528" s="86"/>
      <c r="V528" s="86"/>
      <c r="W528" s="86"/>
      <c r="X528" s="86"/>
      <c r="Y528" s="86"/>
      <c r="Z528" s="86"/>
      <c r="AA528" s="86"/>
      <c r="AB528" s="86"/>
      <c r="AC528" s="86"/>
      <c r="AD528" s="86"/>
      <c r="AE528" s="86"/>
      <c r="AF528" s="86"/>
      <c r="AG528" s="86"/>
      <c r="AH528" s="86"/>
      <c r="AI528" s="86"/>
      <c r="AJ528" s="86"/>
    </row>
    <row r="529" spans="1:36" x14ac:dyDescent="0.25">
      <c r="A529" s="274"/>
      <c r="B529" s="87"/>
      <c r="C529" s="87"/>
      <c r="D529" s="87"/>
      <c r="E529" s="87"/>
      <c r="F529" s="87"/>
      <c r="G529" s="87"/>
      <c r="H529" s="87"/>
      <c r="I529" s="87"/>
      <c r="J529" s="87"/>
      <c r="K529" s="87"/>
      <c r="L529" s="87"/>
      <c r="M529" s="87"/>
      <c r="N529" s="87"/>
      <c r="O529" s="87"/>
      <c r="P529" s="87"/>
      <c r="Q529" s="87"/>
      <c r="R529" s="87"/>
      <c r="S529" s="87"/>
      <c r="T529" s="87"/>
      <c r="U529" s="87"/>
      <c r="V529" s="87"/>
      <c r="W529" s="87"/>
      <c r="X529" s="87"/>
      <c r="Y529" s="87"/>
      <c r="Z529" s="87"/>
      <c r="AA529" s="87"/>
      <c r="AB529" s="87"/>
      <c r="AC529" s="87"/>
      <c r="AD529" s="87"/>
      <c r="AE529" s="87"/>
      <c r="AF529" s="87"/>
      <c r="AG529" s="87"/>
      <c r="AH529" s="87"/>
      <c r="AI529" s="87"/>
      <c r="AJ529" s="87"/>
    </row>
    <row r="530" spans="1:36" x14ac:dyDescent="0.25">
      <c r="A530" s="273"/>
      <c r="B530" s="86"/>
      <c r="C530" s="86"/>
      <c r="D530" s="86"/>
      <c r="E530" s="86"/>
      <c r="F530" s="86"/>
      <c r="G530" s="86"/>
      <c r="H530" s="86"/>
      <c r="I530" s="86"/>
      <c r="J530" s="86"/>
      <c r="K530" s="86"/>
      <c r="L530" s="86"/>
      <c r="M530" s="86"/>
      <c r="N530" s="86"/>
      <c r="O530" s="86"/>
      <c r="P530" s="86"/>
      <c r="Q530" s="86"/>
      <c r="R530" s="86"/>
      <c r="S530" s="86"/>
      <c r="T530" s="86"/>
      <c r="U530" s="86"/>
      <c r="V530" s="86"/>
      <c r="W530" s="86"/>
      <c r="X530" s="86"/>
      <c r="Y530" s="86"/>
      <c r="Z530" s="86"/>
      <c r="AA530" s="86"/>
      <c r="AB530" s="86"/>
      <c r="AC530" s="86"/>
      <c r="AD530" s="86"/>
      <c r="AE530" s="86"/>
      <c r="AF530" s="86"/>
      <c r="AG530" s="86"/>
      <c r="AH530" s="86"/>
      <c r="AI530" s="86"/>
      <c r="AJ530" s="86"/>
    </row>
    <row r="531" spans="1:36" x14ac:dyDescent="0.25">
      <c r="A531" s="274"/>
      <c r="B531" s="87"/>
      <c r="C531" s="87"/>
      <c r="D531" s="87"/>
      <c r="E531" s="87"/>
      <c r="F531" s="87"/>
      <c r="G531" s="87"/>
      <c r="H531" s="87"/>
      <c r="I531" s="87"/>
      <c r="J531" s="87"/>
      <c r="K531" s="87"/>
      <c r="L531" s="87"/>
      <c r="M531" s="87"/>
      <c r="N531" s="87"/>
      <c r="O531" s="87"/>
      <c r="P531" s="87"/>
      <c r="Q531" s="87"/>
      <c r="R531" s="87"/>
      <c r="S531" s="87"/>
      <c r="T531" s="87"/>
      <c r="U531" s="87"/>
      <c r="V531" s="87"/>
      <c r="W531" s="87"/>
      <c r="X531" s="87"/>
      <c r="Y531" s="87"/>
      <c r="Z531" s="87"/>
      <c r="AA531" s="87"/>
      <c r="AB531" s="87"/>
      <c r="AC531" s="87"/>
      <c r="AD531" s="87"/>
      <c r="AE531" s="87"/>
      <c r="AF531" s="87"/>
      <c r="AG531" s="87"/>
      <c r="AH531" s="87"/>
      <c r="AI531" s="87"/>
      <c r="AJ531" s="87"/>
    </row>
    <row r="532" spans="1:36" x14ac:dyDescent="0.25">
      <c r="A532" s="273"/>
      <c r="B532" s="86"/>
      <c r="C532" s="86"/>
      <c r="D532" s="86"/>
      <c r="E532" s="86"/>
      <c r="F532" s="86"/>
      <c r="G532" s="86"/>
      <c r="H532" s="86"/>
      <c r="I532" s="86"/>
      <c r="J532" s="86"/>
      <c r="K532" s="86"/>
      <c r="L532" s="86"/>
      <c r="M532" s="86"/>
      <c r="N532" s="86"/>
      <c r="O532" s="86"/>
      <c r="P532" s="86"/>
      <c r="Q532" s="86"/>
      <c r="R532" s="86"/>
      <c r="S532" s="86"/>
      <c r="T532" s="86"/>
      <c r="U532" s="86"/>
      <c r="V532" s="86"/>
      <c r="W532" s="86"/>
      <c r="X532" s="86"/>
      <c r="Y532" s="86"/>
      <c r="Z532" s="86"/>
      <c r="AA532" s="86"/>
      <c r="AB532" s="86"/>
      <c r="AC532" s="86"/>
      <c r="AD532" s="86"/>
      <c r="AE532" s="86"/>
      <c r="AF532" s="86"/>
      <c r="AG532" s="86"/>
      <c r="AH532" s="86"/>
      <c r="AI532" s="86"/>
      <c r="AJ532" s="86"/>
    </row>
    <row r="533" spans="1:36" x14ac:dyDescent="0.25">
      <c r="A533" s="274"/>
      <c r="B533" s="87"/>
      <c r="C533" s="87"/>
      <c r="D533" s="87"/>
      <c r="E533" s="87"/>
      <c r="F533" s="87"/>
      <c r="G533" s="87"/>
      <c r="H533" s="87"/>
      <c r="I533" s="87"/>
      <c r="J533" s="87"/>
      <c r="K533" s="87"/>
      <c r="L533" s="87"/>
      <c r="M533" s="87"/>
      <c r="N533" s="87"/>
      <c r="O533" s="87"/>
      <c r="P533" s="87"/>
      <c r="Q533" s="87"/>
      <c r="R533" s="87"/>
      <c r="S533" s="87"/>
      <c r="T533" s="87"/>
      <c r="U533" s="87"/>
      <c r="V533" s="87"/>
      <c r="W533" s="87"/>
      <c r="X533" s="87"/>
      <c r="Y533" s="87"/>
      <c r="Z533" s="87"/>
      <c r="AA533" s="87"/>
      <c r="AB533" s="87"/>
      <c r="AC533" s="87"/>
      <c r="AD533" s="87"/>
      <c r="AE533" s="87"/>
      <c r="AF533" s="87"/>
      <c r="AG533" s="87"/>
      <c r="AH533" s="87"/>
      <c r="AI533" s="87"/>
      <c r="AJ533" s="87"/>
    </row>
    <row r="534" spans="1:36" x14ac:dyDescent="0.25">
      <c r="A534" s="273"/>
      <c r="B534" s="86"/>
      <c r="C534" s="86"/>
      <c r="D534" s="86"/>
      <c r="E534" s="86"/>
      <c r="F534" s="86"/>
      <c r="G534" s="86"/>
      <c r="H534" s="86"/>
      <c r="I534" s="86"/>
      <c r="J534" s="86"/>
      <c r="K534" s="86"/>
      <c r="L534" s="86"/>
      <c r="M534" s="86"/>
      <c r="N534" s="86"/>
      <c r="O534" s="86"/>
      <c r="P534" s="86"/>
      <c r="Q534" s="86"/>
      <c r="R534" s="86"/>
      <c r="S534" s="86"/>
      <c r="T534" s="86"/>
      <c r="U534" s="86"/>
      <c r="V534" s="86"/>
      <c r="W534" s="86"/>
      <c r="X534" s="86"/>
      <c r="Y534" s="86"/>
      <c r="Z534" s="86"/>
      <c r="AA534" s="86"/>
      <c r="AB534" s="86"/>
      <c r="AC534" s="86"/>
      <c r="AD534" s="86"/>
      <c r="AE534" s="86"/>
      <c r="AF534" s="86"/>
      <c r="AG534" s="86"/>
      <c r="AH534" s="86"/>
      <c r="AI534" s="86"/>
      <c r="AJ534" s="86"/>
    </row>
    <row r="535" spans="1:36" x14ac:dyDescent="0.25">
      <c r="A535" s="274"/>
      <c r="B535" s="87"/>
      <c r="C535" s="87"/>
      <c r="D535" s="87"/>
      <c r="E535" s="87"/>
      <c r="F535" s="87"/>
      <c r="G535" s="87"/>
      <c r="H535" s="87"/>
      <c r="I535" s="87"/>
      <c r="J535" s="87"/>
      <c r="K535" s="87"/>
      <c r="L535" s="87"/>
      <c r="M535" s="87"/>
      <c r="N535" s="87"/>
      <c r="O535" s="87"/>
      <c r="P535" s="87"/>
      <c r="Q535" s="87"/>
      <c r="R535" s="87"/>
      <c r="S535" s="87"/>
      <c r="T535" s="87"/>
      <c r="U535" s="87"/>
      <c r="V535" s="87"/>
      <c r="W535" s="87"/>
      <c r="X535" s="87"/>
      <c r="Y535" s="87"/>
      <c r="Z535" s="87"/>
      <c r="AA535" s="87"/>
      <c r="AB535" s="87"/>
      <c r="AC535" s="87"/>
      <c r="AD535" s="87"/>
      <c r="AE535" s="87"/>
      <c r="AF535" s="87"/>
      <c r="AG535" s="87"/>
      <c r="AH535" s="87"/>
      <c r="AI535" s="87"/>
      <c r="AJ535" s="87"/>
    </row>
    <row r="536" spans="1:36" x14ac:dyDescent="0.25">
      <c r="A536" s="273"/>
      <c r="B536" s="86"/>
      <c r="C536" s="86"/>
      <c r="D536" s="86"/>
      <c r="E536" s="86"/>
      <c r="F536" s="86"/>
      <c r="G536" s="86"/>
      <c r="H536" s="86"/>
      <c r="I536" s="86"/>
      <c r="J536" s="86"/>
      <c r="K536" s="86"/>
      <c r="L536" s="86"/>
      <c r="M536" s="86"/>
      <c r="N536" s="86"/>
      <c r="O536" s="86"/>
      <c r="P536" s="86"/>
      <c r="Q536" s="86"/>
      <c r="R536" s="86"/>
      <c r="S536" s="86"/>
      <c r="T536" s="86"/>
      <c r="U536" s="86"/>
      <c r="V536" s="86"/>
      <c r="W536" s="86"/>
      <c r="X536" s="86"/>
      <c r="Y536" s="86"/>
      <c r="Z536" s="86"/>
      <c r="AA536" s="86"/>
      <c r="AB536" s="86"/>
      <c r="AC536" s="86"/>
      <c r="AD536" s="86"/>
      <c r="AE536" s="86"/>
      <c r="AF536" s="86"/>
      <c r="AG536" s="86"/>
      <c r="AH536" s="86"/>
      <c r="AI536" s="86"/>
      <c r="AJ536" s="86"/>
    </row>
    <row r="537" spans="1:36" x14ac:dyDescent="0.25">
      <c r="A537" s="274"/>
      <c r="B537" s="87"/>
      <c r="C537" s="87"/>
      <c r="D537" s="87"/>
      <c r="E537" s="87"/>
      <c r="F537" s="87"/>
      <c r="G537" s="87"/>
      <c r="H537" s="87"/>
      <c r="I537" s="87"/>
      <c r="J537" s="87"/>
      <c r="K537" s="87"/>
      <c r="L537" s="87"/>
      <c r="M537" s="87"/>
      <c r="N537" s="87"/>
      <c r="O537" s="87"/>
      <c r="P537" s="87"/>
      <c r="Q537" s="87"/>
      <c r="R537" s="87"/>
      <c r="S537" s="87"/>
      <c r="T537" s="87"/>
      <c r="U537" s="87"/>
      <c r="V537" s="87"/>
      <c r="W537" s="87"/>
      <c r="X537" s="87"/>
      <c r="Y537" s="87"/>
      <c r="Z537" s="87"/>
      <c r="AA537" s="87"/>
      <c r="AB537" s="87"/>
      <c r="AC537" s="87"/>
      <c r="AD537" s="87"/>
      <c r="AE537" s="87"/>
      <c r="AF537" s="87"/>
      <c r="AG537" s="87"/>
      <c r="AH537" s="87"/>
      <c r="AI537" s="87"/>
      <c r="AJ537" s="87"/>
    </row>
    <row r="538" spans="1:36" x14ac:dyDescent="0.25">
      <c r="A538" s="273"/>
      <c r="B538" s="86"/>
      <c r="C538" s="86"/>
      <c r="D538" s="86"/>
      <c r="E538" s="86"/>
      <c r="F538" s="86"/>
      <c r="G538" s="86"/>
      <c r="H538" s="86"/>
      <c r="I538" s="86"/>
      <c r="J538" s="86"/>
      <c r="K538" s="86"/>
      <c r="L538" s="86"/>
      <c r="M538" s="86"/>
      <c r="N538" s="86"/>
      <c r="O538" s="86"/>
      <c r="P538" s="86"/>
      <c r="Q538" s="86"/>
      <c r="R538" s="86"/>
      <c r="S538" s="86"/>
      <c r="T538" s="86"/>
      <c r="U538" s="86"/>
      <c r="V538" s="86"/>
      <c r="W538" s="86"/>
      <c r="X538" s="86"/>
      <c r="Y538" s="86"/>
      <c r="Z538" s="86"/>
      <c r="AA538" s="86"/>
      <c r="AB538" s="86"/>
      <c r="AC538" s="86"/>
      <c r="AD538" s="86"/>
      <c r="AE538" s="86"/>
      <c r="AF538" s="86"/>
      <c r="AG538" s="86"/>
      <c r="AH538" s="86"/>
      <c r="AI538" s="86"/>
      <c r="AJ538" s="86"/>
    </row>
    <row r="539" spans="1:36" x14ac:dyDescent="0.25">
      <c r="A539" s="274"/>
      <c r="B539" s="87"/>
      <c r="C539" s="87"/>
      <c r="D539" s="87"/>
      <c r="E539" s="87"/>
      <c r="F539" s="87"/>
      <c r="G539" s="87"/>
      <c r="H539" s="87"/>
      <c r="I539" s="87"/>
      <c r="J539" s="87"/>
      <c r="K539" s="87"/>
      <c r="L539" s="87"/>
      <c r="M539" s="87"/>
      <c r="N539" s="87"/>
      <c r="O539" s="87"/>
      <c r="P539" s="87"/>
      <c r="Q539" s="87"/>
      <c r="R539" s="87"/>
      <c r="S539" s="87"/>
      <c r="T539" s="87"/>
      <c r="U539" s="87"/>
      <c r="V539" s="87"/>
      <c r="W539" s="87"/>
      <c r="X539" s="87"/>
      <c r="Y539" s="87"/>
      <c r="Z539" s="87"/>
      <c r="AA539" s="87"/>
      <c r="AB539" s="87"/>
      <c r="AC539" s="87"/>
      <c r="AD539" s="87"/>
      <c r="AE539" s="87"/>
      <c r="AF539" s="87"/>
      <c r="AG539" s="87"/>
      <c r="AH539" s="87"/>
      <c r="AI539" s="87"/>
      <c r="AJ539" s="87"/>
    </row>
    <row r="540" spans="1:36" x14ac:dyDescent="0.25">
      <c r="A540" s="273"/>
      <c r="B540" s="86"/>
      <c r="C540" s="86"/>
      <c r="D540" s="86"/>
      <c r="E540" s="86"/>
      <c r="F540" s="86"/>
      <c r="G540" s="86"/>
      <c r="H540" s="86"/>
      <c r="I540" s="86"/>
      <c r="J540" s="86"/>
      <c r="K540" s="86"/>
      <c r="L540" s="86"/>
      <c r="M540" s="86"/>
      <c r="N540" s="86"/>
      <c r="O540" s="86"/>
      <c r="P540" s="86"/>
      <c r="Q540" s="86"/>
      <c r="R540" s="86"/>
      <c r="S540" s="86"/>
      <c r="T540" s="86"/>
      <c r="U540" s="86"/>
      <c r="V540" s="86"/>
      <c r="W540" s="86"/>
      <c r="X540" s="86"/>
      <c r="Y540" s="86"/>
      <c r="Z540" s="86"/>
      <c r="AA540" s="86"/>
      <c r="AB540" s="86"/>
      <c r="AC540" s="86"/>
      <c r="AD540" s="86"/>
      <c r="AE540" s="86"/>
      <c r="AF540" s="86"/>
      <c r="AG540" s="86"/>
      <c r="AH540" s="86"/>
      <c r="AI540" s="86"/>
      <c r="AJ540" s="86"/>
    </row>
    <row r="541" spans="1:36" x14ac:dyDescent="0.25">
      <c r="A541" s="274"/>
      <c r="B541" s="87"/>
      <c r="C541" s="87"/>
      <c r="D541" s="87"/>
      <c r="E541" s="87"/>
      <c r="F541" s="87"/>
      <c r="G541" s="87"/>
      <c r="H541" s="87"/>
      <c r="I541" s="87"/>
      <c r="J541" s="87"/>
      <c r="K541" s="87"/>
      <c r="L541" s="87"/>
      <c r="M541" s="87"/>
      <c r="N541" s="87"/>
      <c r="O541" s="87"/>
      <c r="P541" s="87"/>
      <c r="Q541" s="87"/>
      <c r="R541" s="87"/>
      <c r="S541" s="87"/>
      <c r="T541" s="87"/>
      <c r="U541" s="87"/>
      <c r="V541" s="87"/>
      <c r="W541" s="87"/>
      <c r="X541" s="87"/>
      <c r="Y541" s="87"/>
      <c r="Z541" s="87"/>
      <c r="AA541" s="87"/>
      <c r="AB541" s="87"/>
      <c r="AC541" s="87"/>
      <c r="AD541" s="87"/>
      <c r="AE541" s="87"/>
      <c r="AF541" s="87"/>
      <c r="AG541" s="87"/>
      <c r="AH541" s="87"/>
      <c r="AI541" s="87"/>
      <c r="AJ541" s="87"/>
    </row>
    <row r="542" spans="1:36" x14ac:dyDescent="0.25">
      <c r="A542" s="273"/>
      <c r="B542" s="86"/>
      <c r="C542" s="86"/>
      <c r="D542" s="86"/>
      <c r="E542" s="86"/>
      <c r="F542" s="86"/>
      <c r="G542" s="86"/>
      <c r="H542" s="86"/>
      <c r="I542" s="86"/>
      <c r="J542" s="86"/>
      <c r="K542" s="86"/>
      <c r="L542" s="86"/>
      <c r="M542" s="86"/>
      <c r="N542" s="86"/>
      <c r="O542" s="86"/>
      <c r="P542" s="86"/>
      <c r="Q542" s="86"/>
      <c r="R542" s="86"/>
      <c r="S542" s="86"/>
      <c r="T542" s="86"/>
      <c r="U542" s="86"/>
      <c r="V542" s="86"/>
      <c r="W542" s="86"/>
      <c r="X542" s="86"/>
      <c r="Y542" s="86"/>
      <c r="Z542" s="86"/>
      <c r="AA542" s="86"/>
      <c r="AB542" s="86"/>
      <c r="AC542" s="86"/>
      <c r="AD542" s="86"/>
      <c r="AE542" s="86"/>
      <c r="AF542" s="86"/>
      <c r="AG542" s="86"/>
      <c r="AH542" s="86"/>
      <c r="AI542" s="86"/>
      <c r="AJ542" s="86"/>
    </row>
    <row r="543" spans="1:36" x14ac:dyDescent="0.25">
      <c r="A543" s="274"/>
      <c r="B543" s="87"/>
      <c r="C543" s="87"/>
      <c r="D543" s="87"/>
      <c r="E543" s="87"/>
      <c r="F543" s="87"/>
      <c r="G543" s="87"/>
      <c r="H543" s="87"/>
      <c r="I543" s="87"/>
      <c r="J543" s="87"/>
      <c r="K543" s="87"/>
      <c r="L543" s="87"/>
      <c r="M543" s="87"/>
      <c r="N543" s="87"/>
      <c r="O543" s="87"/>
      <c r="P543" s="87"/>
      <c r="Q543" s="87"/>
      <c r="R543" s="87"/>
      <c r="S543" s="87"/>
      <c r="T543" s="87"/>
      <c r="U543" s="87"/>
      <c r="V543" s="87"/>
      <c r="W543" s="87"/>
      <c r="X543" s="87"/>
      <c r="Y543" s="87"/>
      <c r="Z543" s="87"/>
      <c r="AA543" s="87"/>
      <c r="AB543" s="87"/>
      <c r="AC543" s="87"/>
      <c r="AD543" s="87"/>
      <c r="AE543" s="87"/>
      <c r="AF543" s="87"/>
      <c r="AG543" s="87"/>
      <c r="AH543" s="87"/>
      <c r="AI543" s="87"/>
      <c r="AJ543" s="87"/>
    </row>
    <row r="544" spans="1:36" x14ac:dyDescent="0.25">
      <c r="A544" s="273"/>
      <c r="B544" s="86"/>
      <c r="C544" s="86"/>
      <c r="D544" s="86"/>
      <c r="E544" s="86"/>
      <c r="F544" s="86"/>
      <c r="G544" s="86"/>
      <c r="H544" s="86"/>
      <c r="I544" s="86"/>
      <c r="J544" s="86"/>
      <c r="K544" s="86"/>
      <c r="L544" s="86"/>
      <c r="M544" s="86"/>
      <c r="N544" s="86"/>
      <c r="O544" s="86"/>
      <c r="P544" s="86"/>
      <c r="Q544" s="86"/>
      <c r="R544" s="86"/>
      <c r="S544" s="86"/>
      <c r="T544" s="86"/>
      <c r="U544" s="86"/>
      <c r="V544" s="86"/>
      <c r="W544" s="86"/>
      <c r="X544" s="86"/>
      <c r="Y544" s="86"/>
      <c r="Z544" s="86"/>
      <c r="AA544" s="86"/>
      <c r="AB544" s="86"/>
      <c r="AC544" s="86"/>
      <c r="AD544" s="86"/>
      <c r="AE544" s="86"/>
      <c r="AF544" s="86"/>
      <c r="AG544" s="86"/>
      <c r="AH544" s="86"/>
      <c r="AI544" s="86"/>
      <c r="AJ544" s="86"/>
    </row>
    <row r="545" spans="1:36" x14ac:dyDescent="0.25">
      <c r="A545" s="274"/>
      <c r="B545" s="87"/>
      <c r="C545" s="87"/>
      <c r="D545" s="87"/>
      <c r="E545" s="87"/>
      <c r="F545" s="87"/>
      <c r="G545" s="87"/>
      <c r="H545" s="87"/>
      <c r="I545" s="87"/>
      <c r="J545" s="87"/>
      <c r="K545" s="87"/>
      <c r="L545" s="87"/>
      <c r="M545" s="87"/>
      <c r="N545" s="87"/>
      <c r="O545" s="87"/>
      <c r="P545" s="87"/>
      <c r="Q545" s="87"/>
      <c r="R545" s="87"/>
      <c r="S545" s="87"/>
      <c r="T545" s="87"/>
      <c r="U545" s="87"/>
      <c r="V545" s="87"/>
      <c r="W545" s="87"/>
      <c r="X545" s="87"/>
      <c r="Y545" s="87"/>
      <c r="Z545" s="87"/>
      <c r="AA545" s="87"/>
      <c r="AB545" s="87"/>
      <c r="AC545" s="87"/>
      <c r="AD545" s="87"/>
      <c r="AE545" s="87"/>
      <c r="AF545" s="87"/>
      <c r="AG545" s="87"/>
      <c r="AH545" s="87"/>
      <c r="AI545" s="87"/>
      <c r="AJ545" s="87"/>
    </row>
    <row r="546" spans="1:36" x14ac:dyDescent="0.25">
      <c r="A546" s="273"/>
      <c r="B546" s="86"/>
      <c r="C546" s="86"/>
      <c r="D546" s="86"/>
      <c r="E546" s="86"/>
      <c r="F546" s="86"/>
      <c r="G546" s="86"/>
      <c r="H546" s="86"/>
      <c r="I546" s="86"/>
      <c r="J546" s="86"/>
      <c r="K546" s="86"/>
      <c r="L546" s="86"/>
      <c r="M546" s="86"/>
      <c r="N546" s="86"/>
      <c r="O546" s="86"/>
      <c r="P546" s="86"/>
      <c r="Q546" s="86"/>
      <c r="R546" s="86"/>
      <c r="S546" s="86"/>
      <c r="T546" s="86"/>
      <c r="U546" s="86"/>
      <c r="V546" s="86"/>
      <c r="W546" s="86"/>
      <c r="X546" s="86"/>
      <c r="Y546" s="86"/>
      <c r="Z546" s="86"/>
      <c r="AA546" s="86"/>
      <c r="AB546" s="86"/>
      <c r="AC546" s="86"/>
      <c r="AD546" s="86"/>
      <c r="AE546" s="86"/>
      <c r="AF546" s="86"/>
      <c r="AG546" s="86"/>
      <c r="AH546" s="86"/>
      <c r="AI546" s="86"/>
      <c r="AJ546" s="86"/>
    </row>
    <row r="547" spans="1:36" x14ac:dyDescent="0.25">
      <c r="A547" s="274"/>
      <c r="B547" s="87"/>
      <c r="C547" s="87"/>
      <c r="D547" s="87"/>
      <c r="E547" s="87"/>
      <c r="F547" s="87"/>
      <c r="G547" s="87"/>
      <c r="H547" s="87"/>
      <c r="I547" s="87"/>
      <c r="J547" s="87"/>
      <c r="K547" s="87"/>
      <c r="L547" s="87"/>
      <c r="M547" s="87"/>
      <c r="N547" s="87"/>
      <c r="O547" s="87"/>
      <c r="P547" s="87"/>
      <c r="Q547" s="87"/>
      <c r="R547" s="87"/>
      <c r="S547" s="87"/>
      <c r="T547" s="87"/>
      <c r="U547" s="87"/>
      <c r="V547" s="87"/>
      <c r="W547" s="87"/>
      <c r="X547" s="87"/>
      <c r="Y547" s="87"/>
      <c r="Z547" s="87"/>
      <c r="AA547" s="87"/>
      <c r="AB547" s="87"/>
      <c r="AC547" s="87"/>
      <c r="AD547" s="87"/>
      <c r="AE547" s="87"/>
      <c r="AF547" s="87"/>
      <c r="AG547" s="87"/>
      <c r="AH547" s="87"/>
      <c r="AI547" s="87"/>
      <c r="AJ547" s="87"/>
    </row>
    <row r="548" spans="1:36" x14ac:dyDescent="0.25">
      <c r="A548" s="273"/>
      <c r="B548" s="86"/>
      <c r="C548" s="86"/>
      <c r="D548" s="86"/>
      <c r="E548" s="86"/>
      <c r="F548" s="86"/>
      <c r="G548" s="86"/>
      <c r="H548" s="86"/>
      <c r="I548" s="86"/>
      <c r="J548" s="86"/>
      <c r="K548" s="86"/>
      <c r="L548" s="86"/>
      <c r="M548" s="86"/>
      <c r="N548" s="86"/>
      <c r="O548" s="86"/>
      <c r="P548" s="86"/>
      <c r="Q548" s="86"/>
      <c r="R548" s="86"/>
      <c r="S548" s="86"/>
      <c r="T548" s="86"/>
      <c r="U548" s="86"/>
      <c r="V548" s="86"/>
      <c r="W548" s="86"/>
      <c r="X548" s="86"/>
      <c r="Y548" s="86"/>
      <c r="Z548" s="86"/>
      <c r="AA548" s="86"/>
      <c r="AB548" s="86"/>
      <c r="AC548" s="86"/>
      <c r="AD548" s="86"/>
      <c r="AE548" s="86"/>
      <c r="AF548" s="86"/>
      <c r="AG548" s="86"/>
      <c r="AH548" s="86"/>
      <c r="AI548" s="86"/>
      <c r="AJ548" s="86"/>
    </row>
    <row r="549" spans="1:36" x14ac:dyDescent="0.25">
      <c r="A549" s="274"/>
      <c r="B549" s="87"/>
      <c r="C549" s="87"/>
      <c r="D549" s="87"/>
      <c r="E549" s="87"/>
      <c r="F549" s="87"/>
      <c r="G549" s="87"/>
      <c r="H549" s="87"/>
      <c r="I549" s="87"/>
      <c r="J549" s="87"/>
      <c r="K549" s="87"/>
      <c r="L549" s="87"/>
      <c r="M549" s="87"/>
      <c r="N549" s="87"/>
      <c r="O549" s="87"/>
      <c r="P549" s="87"/>
      <c r="Q549" s="87"/>
      <c r="R549" s="87"/>
      <c r="S549" s="87"/>
      <c r="T549" s="87"/>
      <c r="U549" s="87"/>
      <c r="V549" s="87"/>
      <c r="W549" s="87"/>
      <c r="X549" s="87"/>
      <c r="Y549" s="87"/>
      <c r="Z549" s="87"/>
      <c r="AA549" s="87"/>
      <c r="AB549" s="87"/>
      <c r="AC549" s="87"/>
      <c r="AD549" s="87"/>
      <c r="AE549" s="87"/>
      <c r="AF549" s="87"/>
      <c r="AG549" s="87"/>
      <c r="AH549" s="87"/>
      <c r="AI549" s="87"/>
      <c r="AJ549" s="87"/>
    </row>
    <row r="550" spans="1:36" x14ac:dyDescent="0.25">
      <c r="A550" s="273"/>
      <c r="B550" s="86"/>
      <c r="C550" s="86"/>
      <c r="D550" s="86"/>
      <c r="E550" s="86"/>
      <c r="F550" s="86"/>
      <c r="G550" s="86"/>
      <c r="H550" s="86"/>
      <c r="I550" s="86"/>
      <c r="J550" s="86"/>
      <c r="K550" s="86"/>
      <c r="L550" s="86"/>
      <c r="M550" s="86"/>
      <c r="N550" s="86"/>
      <c r="O550" s="86"/>
      <c r="P550" s="86"/>
      <c r="Q550" s="86"/>
      <c r="R550" s="86"/>
      <c r="S550" s="86"/>
      <c r="T550" s="86"/>
      <c r="U550" s="86"/>
      <c r="V550" s="86"/>
      <c r="W550" s="86"/>
      <c r="X550" s="86"/>
      <c r="Y550" s="86"/>
      <c r="Z550" s="86"/>
      <c r="AA550" s="86"/>
      <c r="AB550" s="86"/>
      <c r="AC550" s="86"/>
      <c r="AD550" s="86"/>
      <c r="AE550" s="86"/>
      <c r="AF550" s="86"/>
      <c r="AG550" s="86"/>
      <c r="AH550" s="86"/>
      <c r="AI550" s="86"/>
      <c r="AJ550" s="86"/>
    </row>
    <row r="551" spans="1:36" x14ac:dyDescent="0.25">
      <c r="A551" s="274"/>
      <c r="B551" s="87"/>
      <c r="C551" s="87"/>
      <c r="D551" s="87"/>
      <c r="E551" s="87"/>
      <c r="F551" s="87"/>
      <c r="G551" s="87"/>
      <c r="H551" s="87"/>
      <c r="I551" s="87"/>
      <c r="J551" s="87"/>
      <c r="K551" s="87"/>
      <c r="L551" s="87"/>
      <c r="M551" s="87"/>
      <c r="N551" s="87"/>
      <c r="O551" s="87"/>
      <c r="P551" s="87"/>
      <c r="Q551" s="87"/>
      <c r="R551" s="87"/>
      <c r="S551" s="87"/>
      <c r="T551" s="87"/>
      <c r="U551" s="87"/>
      <c r="V551" s="87"/>
      <c r="W551" s="87"/>
      <c r="X551" s="87"/>
      <c r="Y551" s="87"/>
      <c r="Z551" s="87"/>
      <c r="AA551" s="87"/>
      <c r="AB551" s="87"/>
      <c r="AC551" s="87"/>
      <c r="AD551" s="87"/>
      <c r="AE551" s="87"/>
      <c r="AF551" s="87"/>
      <c r="AG551" s="87"/>
      <c r="AH551" s="87"/>
      <c r="AI551" s="87"/>
      <c r="AJ551" s="87"/>
    </row>
    <row r="552" spans="1:36" x14ac:dyDescent="0.25">
      <c r="A552" s="273"/>
      <c r="B552" s="86"/>
      <c r="C552" s="86"/>
      <c r="D552" s="86"/>
      <c r="E552" s="86"/>
      <c r="F552" s="86"/>
      <c r="G552" s="86"/>
      <c r="H552" s="86"/>
      <c r="I552" s="86"/>
      <c r="J552" s="86"/>
      <c r="K552" s="86"/>
      <c r="L552" s="86"/>
      <c r="M552" s="86"/>
      <c r="N552" s="86"/>
      <c r="O552" s="86"/>
      <c r="P552" s="86"/>
      <c r="Q552" s="86"/>
      <c r="R552" s="86"/>
      <c r="S552" s="86"/>
      <c r="T552" s="86"/>
      <c r="U552" s="86"/>
      <c r="V552" s="86"/>
      <c r="W552" s="86"/>
      <c r="X552" s="86"/>
      <c r="Y552" s="86"/>
      <c r="Z552" s="86"/>
      <c r="AA552" s="86"/>
      <c r="AB552" s="86"/>
      <c r="AC552" s="86"/>
      <c r="AD552" s="86"/>
      <c r="AE552" s="86"/>
      <c r="AF552" s="86"/>
      <c r="AG552" s="86"/>
      <c r="AH552" s="86"/>
      <c r="AI552" s="86"/>
      <c r="AJ552" s="86"/>
    </row>
    <row r="553" spans="1:36" x14ac:dyDescent="0.25">
      <c r="A553" s="274"/>
      <c r="B553" s="87"/>
      <c r="C553" s="87"/>
      <c r="D553" s="87"/>
      <c r="E553" s="87"/>
      <c r="F553" s="87"/>
      <c r="G553" s="87"/>
      <c r="H553" s="87"/>
      <c r="I553" s="87"/>
      <c r="J553" s="87"/>
      <c r="K553" s="87"/>
      <c r="L553" s="87"/>
      <c r="M553" s="87"/>
      <c r="N553" s="87"/>
      <c r="O553" s="87"/>
      <c r="P553" s="87"/>
      <c r="Q553" s="87"/>
      <c r="R553" s="87"/>
      <c r="S553" s="87"/>
      <c r="T553" s="87"/>
      <c r="U553" s="87"/>
      <c r="V553" s="87"/>
      <c r="W553" s="87"/>
      <c r="X553" s="87"/>
      <c r="Y553" s="87"/>
      <c r="Z553" s="87"/>
      <c r="AA553" s="87"/>
      <c r="AB553" s="87"/>
      <c r="AC553" s="87"/>
      <c r="AD553" s="87"/>
      <c r="AE553" s="87"/>
      <c r="AF553" s="87"/>
      <c r="AG553" s="87"/>
      <c r="AH553" s="87"/>
      <c r="AI553" s="87"/>
      <c r="AJ553" s="87"/>
    </row>
    <row r="554" spans="1:36" x14ac:dyDescent="0.25">
      <c r="A554" s="273"/>
      <c r="B554" s="86"/>
      <c r="C554" s="86"/>
      <c r="D554" s="86"/>
      <c r="E554" s="86"/>
      <c r="F554" s="86"/>
      <c r="G554" s="86"/>
      <c r="H554" s="86"/>
      <c r="I554" s="86"/>
      <c r="J554" s="86"/>
      <c r="K554" s="86"/>
      <c r="L554" s="86"/>
      <c r="M554" s="86"/>
      <c r="N554" s="86"/>
      <c r="O554" s="86"/>
      <c r="P554" s="86"/>
      <c r="Q554" s="86"/>
      <c r="R554" s="86"/>
      <c r="S554" s="86"/>
      <c r="T554" s="86"/>
      <c r="U554" s="86"/>
      <c r="V554" s="86"/>
      <c r="W554" s="86"/>
      <c r="X554" s="86"/>
      <c r="Y554" s="86"/>
      <c r="Z554" s="86"/>
      <c r="AA554" s="86"/>
      <c r="AB554" s="86"/>
      <c r="AC554" s="86"/>
      <c r="AD554" s="86"/>
      <c r="AE554" s="86"/>
      <c r="AF554" s="86"/>
      <c r="AG554" s="86"/>
      <c r="AH554" s="86"/>
      <c r="AI554" s="86"/>
      <c r="AJ554" s="86"/>
    </row>
    <row r="555" spans="1:36" x14ac:dyDescent="0.25">
      <c r="A555" s="274"/>
      <c r="B555" s="87"/>
      <c r="C555" s="87"/>
      <c r="D555" s="87"/>
      <c r="E555" s="87"/>
      <c r="F555" s="87"/>
      <c r="G555" s="87"/>
      <c r="H555" s="87"/>
      <c r="I555" s="87"/>
      <c r="J555" s="87"/>
      <c r="K555" s="87"/>
      <c r="L555" s="87"/>
      <c r="M555" s="87"/>
      <c r="N555" s="87"/>
      <c r="O555" s="87"/>
      <c r="P555" s="87"/>
      <c r="Q555" s="87"/>
      <c r="R555" s="87"/>
      <c r="S555" s="87"/>
      <c r="T555" s="87"/>
      <c r="U555" s="87"/>
      <c r="V555" s="87"/>
      <c r="W555" s="87"/>
      <c r="X555" s="87"/>
      <c r="Y555" s="87"/>
      <c r="Z555" s="87"/>
      <c r="AA555" s="87"/>
      <c r="AB555" s="87"/>
      <c r="AC555" s="87"/>
      <c r="AD555" s="87"/>
      <c r="AE555" s="87"/>
      <c r="AF555" s="87"/>
      <c r="AG555" s="87"/>
      <c r="AH555" s="87"/>
      <c r="AI555" s="87"/>
      <c r="AJ555" s="87"/>
    </row>
    <row r="556" spans="1:36" x14ac:dyDescent="0.25">
      <c r="A556" s="273"/>
      <c r="B556" s="86"/>
      <c r="C556" s="86"/>
      <c r="D556" s="86"/>
      <c r="E556" s="86"/>
      <c r="F556" s="86"/>
      <c r="G556" s="86"/>
      <c r="H556" s="86"/>
      <c r="I556" s="86"/>
      <c r="J556" s="86"/>
      <c r="K556" s="86"/>
      <c r="L556" s="86"/>
      <c r="M556" s="86"/>
      <c r="N556" s="86"/>
      <c r="O556" s="86"/>
      <c r="P556" s="86"/>
      <c r="Q556" s="86"/>
      <c r="R556" s="86"/>
      <c r="S556" s="86"/>
      <c r="T556" s="86"/>
      <c r="U556" s="86"/>
      <c r="V556" s="86"/>
      <c r="W556" s="86"/>
      <c r="X556" s="86"/>
      <c r="Y556" s="86"/>
      <c r="Z556" s="86"/>
      <c r="AA556" s="86"/>
      <c r="AB556" s="86"/>
      <c r="AC556" s="86"/>
      <c r="AD556" s="86"/>
      <c r="AE556" s="86"/>
      <c r="AF556" s="86"/>
      <c r="AG556" s="86"/>
      <c r="AH556" s="86"/>
      <c r="AI556" s="86"/>
      <c r="AJ556" s="86"/>
    </row>
    <row r="557" spans="1:36" x14ac:dyDescent="0.25">
      <c r="A557" s="274"/>
      <c r="B557" s="87"/>
      <c r="C557" s="87"/>
      <c r="D557" s="87"/>
      <c r="E557" s="87"/>
      <c r="F557" s="87"/>
      <c r="G557" s="87"/>
      <c r="H557" s="87"/>
      <c r="I557" s="87"/>
      <c r="J557" s="87"/>
      <c r="K557" s="87"/>
      <c r="L557" s="87"/>
      <c r="M557" s="87"/>
      <c r="N557" s="87"/>
      <c r="O557" s="87"/>
      <c r="P557" s="87"/>
      <c r="Q557" s="87"/>
      <c r="R557" s="87"/>
      <c r="S557" s="87"/>
      <c r="T557" s="87"/>
      <c r="U557" s="87"/>
      <c r="V557" s="87"/>
      <c r="W557" s="87"/>
      <c r="X557" s="87"/>
      <c r="Y557" s="87"/>
      <c r="Z557" s="87"/>
      <c r="AA557" s="87"/>
      <c r="AB557" s="87"/>
      <c r="AC557" s="87"/>
      <c r="AD557" s="87"/>
      <c r="AE557" s="87"/>
      <c r="AF557" s="87"/>
      <c r="AG557" s="87"/>
      <c r="AH557" s="87"/>
      <c r="AI557" s="87"/>
      <c r="AJ557" s="87"/>
    </row>
    <row r="558" spans="1:36" x14ac:dyDescent="0.25">
      <c r="A558" s="273"/>
      <c r="B558" s="86"/>
      <c r="C558" s="86"/>
      <c r="D558" s="86"/>
      <c r="E558" s="86"/>
      <c r="F558" s="86"/>
      <c r="G558" s="86"/>
      <c r="H558" s="86"/>
      <c r="I558" s="86"/>
      <c r="J558" s="86"/>
      <c r="K558" s="86"/>
      <c r="L558" s="86"/>
      <c r="M558" s="86"/>
      <c r="N558" s="86"/>
      <c r="O558" s="86"/>
      <c r="P558" s="86"/>
      <c r="Q558" s="86"/>
      <c r="R558" s="86"/>
      <c r="S558" s="86"/>
      <c r="T558" s="86"/>
      <c r="U558" s="86"/>
      <c r="V558" s="86"/>
      <c r="W558" s="86"/>
      <c r="X558" s="86"/>
      <c r="Y558" s="86"/>
      <c r="Z558" s="86"/>
      <c r="AA558" s="86"/>
      <c r="AB558" s="86"/>
      <c r="AC558" s="86"/>
      <c r="AD558" s="86"/>
      <c r="AE558" s="86"/>
      <c r="AF558" s="86"/>
      <c r="AG558" s="86"/>
      <c r="AH558" s="86"/>
      <c r="AI558" s="86"/>
      <c r="AJ558" s="86"/>
    </row>
    <row r="559" spans="1:36" x14ac:dyDescent="0.25">
      <c r="A559" s="274"/>
      <c r="B559" s="87"/>
      <c r="C559" s="87"/>
      <c r="D559" s="87"/>
      <c r="E559" s="87"/>
      <c r="F559" s="87"/>
      <c r="G559" s="87"/>
      <c r="H559" s="87"/>
      <c r="I559" s="87"/>
      <c r="J559" s="87"/>
      <c r="K559" s="87"/>
      <c r="L559" s="87"/>
      <c r="M559" s="87"/>
      <c r="N559" s="87"/>
      <c r="O559" s="87"/>
      <c r="P559" s="87"/>
      <c r="Q559" s="87"/>
      <c r="R559" s="87"/>
      <c r="S559" s="87"/>
      <c r="T559" s="87"/>
      <c r="U559" s="87"/>
      <c r="V559" s="87"/>
      <c r="W559" s="87"/>
      <c r="X559" s="87"/>
      <c r="Y559" s="87"/>
      <c r="Z559" s="87"/>
      <c r="AA559" s="87"/>
      <c r="AB559" s="87"/>
      <c r="AC559" s="87"/>
      <c r="AD559" s="87"/>
      <c r="AE559" s="87"/>
      <c r="AF559" s="87"/>
      <c r="AG559" s="87"/>
      <c r="AH559" s="87"/>
      <c r="AI559" s="87"/>
      <c r="AJ559" s="87"/>
    </row>
    <row r="560" spans="1:36" x14ac:dyDescent="0.25">
      <c r="A560" s="273"/>
      <c r="B560" s="86"/>
      <c r="C560" s="86"/>
      <c r="D560" s="86"/>
      <c r="E560" s="86"/>
      <c r="F560" s="86"/>
      <c r="G560" s="86"/>
      <c r="H560" s="86"/>
      <c r="I560" s="86"/>
      <c r="J560" s="86"/>
      <c r="K560" s="86"/>
      <c r="L560" s="86"/>
      <c r="M560" s="86"/>
      <c r="N560" s="86"/>
      <c r="O560" s="86"/>
      <c r="P560" s="86"/>
      <c r="Q560" s="86"/>
      <c r="R560" s="86"/>
      <c r="S560" s="86"/>
      <c r="T560" s="86"/>
      <c r="U560" s="86"/>
      <c r="V560" s="86"/>
      <c r="W560" s="86"/>
      <c r="X560" s="86"/>
      <c r="Y560" s="86"/>
      <c r="Z560" s="86"/>
      <c r="AA560" s="86"/>
      <c r="AB560" s="86"/>
      <c r="AC560" s="86"/>
      <c r="AD560" s="86"/>
      <c r="AE560" s="86"/>
      <c r="AF560" s="86"/>
      <c r="AG560" s="86"/>
      <c r="AH560" s="86"/>
      <c r="AI560" s="86"/>
      <c r="AJ560" s="86"/>
    </row>
    <row r="561" spans="1:36" x14ac:dyDescent="0.25">
      <c r="A561" s="274"/>
      <c r="B561" s="87"/>
      <c r="C561" s="87"/>
      <c r="D561" s="87"/>
      <c r="E561" s="87"/>
      <c r="F561" s="87"/>
      <c r="G561" s="87"/>
      <c r="H561" s="87"/>
      <c r="I561" s="87"/>
      <c r="J561" s="87"/>
      <c r="K561" s="87"/>
      <c r="L561" s="87"/>
      <c r="M561" s="87"/>
      <c r="N561" s="87"/>
      <c r="O561" s="87"/>
      <c r="P561" s="87"/>
      <c r="Q561" s="87"/>
      <c r="R561" s="87"/>
      <c r="S561" s="87"/>
      <c r="T561" s="87"/>
      <c r="U561" s="87"/>
      <c r="V561" s="87"/>
      <c r="W561" s="87"/>
      <c r="X561" s="87"/>
      <c r="Y561" s="87"/>
      <c r="Z561" s="87"/>
      <c r="AA561" s="87"/>
      <c r="AB561" s="87"/>
      <c r="AC561" s="87"/>
      <c r="AD561" s="87"/>
      <c r="AE561" s="87"/>
      <c r="AF561" s="87"/>
      <c r="AG561" s="87"/>
      <c r="AH561" s="87"/>
      <c r="AI561" s="87"/>
      <c r="AJ561" s="87"/>
    </row>
    <row r="562" spans="1:36" x14ac:dyDescent="0.25">
      <c r="A562" s="273"/>
      <c r="B562" s="86"/>
      <c r="C562" s="86"/>
      <c r="D562" s="86"/>
      <c r="E562" s="86"/>
      <c r="F562" s="86"/>
      <c r="G562" s="86"/>
      <c r="H562" s="86"/>
      <c r="I562" s="86"/>
      <c r="J562" s="86"/>
      <c r="K562" s="86"/>
      <c r="L562" s="86"/>
      <c r="M562" s="86"/>
      <c r="N562" s="86"/>
      <c r="O562" s="86"/>
      <c r="P562" s="86"/>
      <c r="Q562" s="86"/>
      <c r="R562" s="86"/>
      <c r="S562" s="86"/>
      <c r="T562" s="86"/>
      <c r="U562" s="86"/>
      <c r="V562" s="86"/>
      <c r="W562" s="86"/>
      <c r="X562" s="86"/>
      <c r="Y562" s="86"/>
      <c r="Z562" s="86"/>
      <c r="AA562" s="86"/>
      <c r="AB562" s="86"/>
      <c r="AC562" s="86"/>
      <c r="AD562" s="86"/>
      <c r="AE562" s="86"/>
      <c r="AF562" s="86"/>
      <c r="AG562" s="86"/>
      <c r="AH562" s="86"/>
      <c r="AI562" s="86"/>
      <c r="AJ562" s="86"/>
    </row>
    <row r="563" spans="1:36" x14ac:dyDescent="0.25">
      <c r="A563" s="274"/>
      <c r="B563" s="87"/>
      <c r="C563" s="87"/>
      <c r="D563" s="87"/>
      <c r="E563" s="87"/>
      <c r="F563" s="87"/>
      <c r="G563" s="87"/>
      <c r="H563" s="87"/>
      <c r="I563" s="87"/>
      <c r="J563" s="87"/>
      <c r="K563" s="87"/>
      <c r="L563" s="87"/>
      <c r="M563" s="87"/>
      <c r="N563" s="87"/>
      <c r="O563" s="87"/>
      <c r="P563" s="87"/>
      <c r="Q563" s="87"/>
      <c r="R563" s="87"/>
      <c r="S563" s="87"/>
      <c r="T563" s="87"/>
      <c r="U563" s="87"/>
      <c r="V563" s="87"/>
      <c r="W563" s="87"/>
      <c r="X563" s="87"/>
      <c r="Y563" s="87"/>
      <c r="Z563" s="87"/>
      <c r="AA563" s="87"/>
      <c r="AB563" s="87"/>
      <c r="AC563" s="87"/>
      <c r="AD563" s="87"/>
      <c r="AE563" s="87"/>
      <c r="AF563" s="87"/>
      <c r="AG563" s="87"/>
      <c r="AH563" s="87"/>
      <c r="AI563" s="87"/>
      <c r="AJ563" s="87"/>
    </row>
    <row r="564" spans="1:36" x14ac:dyDescent="0.25">
      <c r="A564" s="273"/>
      <c r="B564" s="86"/>
      <c r="C564" s="86"/>
      <c r="D564" s="86"/>
      <c r="E564" s="86"/>
      <c r="F564" s="86"/>
      <c r="G564" s="86"/>
      <c r="H564" s="86"/>
      <c r="I564" s="86"/>
      <c r="J564" s="86"/>
      <c r="K564" s="86"/>
      <c r="L564" s="86"/>
      <c r="M564" s="86"/>
      <c r="N564" s="86"/>
      <c r="O564" s="86"/>
      <c r="P564" s="86"/>
      <c r="Q564" s="86"/>
      <c r="R564" s="86"/>
      <c r="S564" s="86"/>
      <c r="T564" s="86"/>
      <c r="U564" s="86"/>
      <c r="V564" s="86"/>
      <c r="W564" s="86"/>
      <c r="X564" s="86"/>
      <c r="Y564" s="86"/>
      <c r="Z564" s="86"/>
      <c r="AA564" s="86"/>
      <c r="AB564" s="86"/>
      <c r="AC564" s="86"/>
      <c r="AD564" s="86"/>
      <c r="AE564" s="86"/>
      <c r="AF564" s="86"/>
      <c r="AG564" s="86"/>
      <c r="AH564" s="86"/>
      <c r="AI564" s="86"/>
      <c r="AJ564" s="86"/>
    </row>
    <row r="565" spans="1:36" x14ac:dyDescent="0.25">
      <c r="A565" s="274"/>
      <c r="B565" s="87"/>
      <c r="C565" s="87"/>
      <c r="D565" s="87"/>
      <c r="E565" s="87"/>
      <c r="F565" s="87"/>
      <c r="G565" s="87"/>
      <c r="H565" s="87"/>
      <c r="I565" s="87"/>
      <c r="J565" s="87"/>
      <c r="K565" s="87"/>
      <c r="L565" s="87"/>
      <c r="M565" s="87"/>
      <c r="N565" s="87"/>
      <c r="O565" s="87"/>
      <c r="P565" s="87"/>
      <c r="Q565" s="87"/>
      <c r="R565" s="87"/>
      <c r="S565" s="87"/>
      <c r="T565" s="87"/>
      <c r="U565" s="87"/>
      <c r="V565" s="87"/>
      <c r="W565" s="87"/>
      <c r="X565" s="87"/>
      <c r="Y565" s="87"/>
      <c r="Z565" s="87"/>
      <c r="AA565" s="87"/>
      <c r="AB565" s="87"/>
      <c r="AC565" s="87"/>
      <c r="AD565" s="87"/>
      <c r="AE565" s="87"/>
      <c r="AF565" s="87"/>
      <c r="AG565" s="87"/>
      <c r="AH565" s="87"/>
      <c r="AI565" s="87"/>
      <c r="AJ565" s="87"/>
    </row>
    <row r="566" spans="1:36" x14ac:dyDescent="0.25">
      <c r="A566" s="273"/>
      <c r="B566" s="86"/>
      <c r="C566" s="86"/>
      <c r="D566" s="86"/>
      <c r="E566" s="86"/>
      <c r="F566" s="86"/>
      <c r="G566" s="86"/>
      <c r="H566" s="86"/>
      <c r="I566" s="86"/>
      <c r="J566" s="86"/>
      <c r="K566" s="86"/>
      <c r="L566" s="86"/>
      <c r="M566" s="86"/>
      <c r="N566" s="86"/>
      <c r="O566" s="86"/>
      <c r="P566" s="86"/>
      <c r="Q566" s="86"/>
      <c r="R566" s="86"/>
      <c r="S566" s="86"/>
      <c r="T566" s="86"/>
      <c r="U566" s="86"/>
      <c r="V566" s="86"/>
      <c r="W566" s="86"/>
      <c r="X566" s="86"/>
      <c r="Y566" s="86"/>
      <c r="Z566" s="86"/>
      <c r="AA566" s="86"/>
      <c r="AB566" s="86"/>
      <c r="AC566" s="86"/>
      <c r="AD566" s="86"/>
      <c r="AE566" s="86"/>
      <c r="AF566" s="86"/>
      <c r="AG566" s="86"/>
      <c r="AH566" s="86"/>
      <c r="AI566" s="86"/>
      <c r="AJ566" s="86"/>
    </row>
    <row r="567" spans="1:36" x14ac:dyDescent="0.25">
      <c r="A567" s="274"/>
      <c r="B567" s="87"/>
      <c r="C567" s="87"/>
      <c r="D567" s="87"/>
      <c r="E567" s="87"/>
      <c r="F567" s="87"/>
      <c r="G567" s="87"/>
      <c r="H567" s="87"/>
      <c r="I567" s="87"/>
      <c r="J567" s="87"/>
      <c r="K567" s="87"/>
      <c r="L567" s="87"/>
      <c r="M567" s="87"/>
      <c r="N567" s="87"/>
      <c r="O567" s="87"/>
      <c r="P567" s="87"/>
      <c r="Q567" s="87"/>
      <c r="R567" s="87"/>
      <c r="S567" s="87"/>
      <c r="T567" s="87"/>
      <c r="U567" s="87"/>
      <c r="V567" s="87"/>
      <c r="W567" s="87"/>
      <c r="X567" s="87"/>
      <c r="Y567" s="87"/>
      <c r="Z567" s="87"/>
      <c r="AA567" s="87"/>
      <c r="AB567" s="87"/>
      <c r="AC567" s="87"/>
      <c r="AD567" s="87"/>
      <c r="AE567" s="87"/>
      <c r="AF567" s="87"/>
      <c r="AG567" s="87"/>
      <c r="AH567" s="87"/>
      <c r="AI567" s="87"/>
      <c r="AJ567" s="87"/>
    </row>
    <row r="568" spans="1:36" x14ac:dyDescent="0.25">
      <c r="A568" s="273"/>
      <c r="B568" s="86"/>
      <c r="C568" s="86"/>
      <c r="D568" s="86"/>
      <c r="E568" s="86"/>
      <c r="F568" s="86"/>
      <c r="G568" s="86"/>
      <c r="H568" s="86"/>
      <c r="I568" s="86"/>
      <c r="J568" s="86"/>
      <c r="K568" s="86"/>
      <c r="L568" s="86"/>
      <c r="M568" s="86"/>
      <c r="N568" s="86"/>
      <c r="O568" s="86"/>
      <c r="P568" s="86"/>
      <c r="Q568" s="86"/>
      <c r="R568" s="86"/>
      <c r="S568" s="86"/>
      <c r="T568" s="86"/>
      <c r="U568" s="86"/>
      <c r="V568" s="86"/>
      <c r="W568" s="86"/>
      <c r="X568" s="86"/>
      <c r="Y568" s="86"/>
      <c r="Z568" s="86"/>
      <c r="AA568" s="86"/>
      <c r="AB568" s="86"/>
      <c r="AC568" s="86"/>
      <c r="AD568" s="86"/>
      <c r="AE568" s="86"/>
      <c r="AF568" s="86"/>
      <c r="AG568" s="86"/>
      <c r="AH568" s="86"/>
      <c r="AI568" s="86"/>
      <c r="AJ568" s="86"/>
    </row>
    <row r="569" spans="1:36" x14ac:dyDescent="0.25">
      <c r="A569" s="274"/>
      <c r="B569" s="87"/>
      <c r="C569" s="87"/>
      <c r="D569" s="87"/>
      <c r="E569" s="87"/>
      <c r="F569" s="87"/>
      <c r="G569" s="87"/>
      <c r="H569" s="87"/>
      <c r="I569" s="87"/>
      <c r="J569" s="87"/>
      <c r="K569" s="87"/>
      <c r="L569" s="87"/>
      <c r="M569" s="87"/>
      <c r="N569" s="87"/>
      <c r="O569" s="87"/>
      <c r="P569" s="87"/>
      <c r="Q569" s="87"/>
      <c r="R569" s="87"/>
      <c r="S569" s="87"/>
      <c r="T569" s="87"/>
      <c r="U569" s="87"/>
      <c r="V569" s="87"/>
      <c r="W569" s="87"/>
      <c r="X569" s="87"/>
      <c r="Y569" s="87"/>
      <c r="Z569" s="87"/>
      <c r="AA569" s="87"/>
      <c r="AB569" s="87"/>
      <c r="AC569" s="87"/>
      <c r="AD569" s="87"/>
      <c r="AE569" s="87"/>
      <c r="AF569" s="87"/>
      <c r="AG569" s="87"/>
      <c r="AH569" s="87"/>
      <c r="AI569" s="87"/>
      <c r="AJ569" s="87"/>
    </row>
    <row r="570" spans="1:36" x14ac:dyDescent="0.25">
      <c r="A570" s="273"/>
      <c r="B570" s="86"/>
      <c r="C570" s="86"/>
      <c r="D570" s="86"/>
      <c r="E570" s="86"/>
      <c r="F570" s="86"/>
      <c r="G570" s="86"/>
      <c r="H570" s="86"/>
      <c r="I570" s="86"/>
      <c r="J570" s="86"/>
      <c r="K570" s="86"/>
      <c r="L570" s="86"/>
      <c r="M570" s="86"/>
      <c r="N570" s="86"/>
      <c r="O570" s="86"/>
      <c r="P570" s="86"/>
      <c r="Q570" s="86"/>
      <c r="R570" s="86"/>
      <c r="S570" s="86"/>
      <c r="T570" s="86"/>
      <c r="U570" s="86"/>
      <c r="V570" s="86"/>
      <c r="W570" s="86"/>
      <c r="X570" s="86"/>
      <c r="Y570" s="86"/>
      <c r="Z570" s="86"/>
      <c r="AA570" s="86"/>
      <c r="AB570" s="86"/>
      <c r="AC570" s="86"/>
      <c r="AD570" s="86"/>
      <c r="AE570" s="86"/>
      <c r="AF570" s="86"/>
      <c r="AG570" s="86"/>
      <c r="AH570" s="86"/>
      <c r="AI570" s="86"/>
      <c r="AJ570" s="86"/>
    </row>
    <row r="571" spans="1:36" x14ac:dyDescent="0.25">
      <c r="A571" s="274"/>
      <c r="B571" s="87"/>
      <c r="C571" s="87"/>
      <c r="D571" s="87"/>
      <c r="E571" s="87"/>
      <c r="F571" s="87"/>
      <c r="G571" s="87"/>
      <c r="H571" s="87"/>
      <c r="I571" s="87"/>
      <c r="J571" s="87"/>
      <c r="K571" s="87"/>
      <c r="L571" s="87"/>
      <c r="M571" s="87"/>
      <c r="N571" s="87"/>
      <c r="O571" s="87"/>
      <c r="P571" s="87"/>
      <c r="Q571" s="87"/>
      <c r="R571" s="87"/>
      <c r="S571" s="87"/>
      <c r="T571" s="87"/>
      <c r="U571" s="87"/>
      <c r="V571" s="87"/>
      <c r="W571" s="87"/>
      <c r="X571" s="87"/>
      <c r="Y571" s="87"/>
      <c r="Z571" s="87"/>
      <c r="AA571" s="87"/>
      <c r="AB571" s="87"/>
      <c r="AC571" s="87"/>
      <c r="AD571" s="87"/>
      <c r="AE571" s="87"/>
      <c r="AF571" s="87"/>
      <c r="AG571" s="87"/>
      <c r="AH571" s="87"/>
      <c r="AI571" s="87"/>
      <c r="AJ571" s="87"/>
    </row>
    <row r="572" spans="1:36" x14ac:dyDescent="0.25">
      <c r="A572" s="273"/>
      <c r="B572" s="86"/>
      <c r="C572" s="86"/>
      <c r="D572" s="86"/>
      <c r="E572" s="86"/>
      <c r="F572" s="86"/>
      <c r="G572" s="86"/>
      <c r="H572" s="86"/>
      <c r="I572" s="86"/>
      <c r="J572" s="86"/>
      <c r="K572" s="86"/>
      <c r="L572" s="86"/>
      <c r="M572" s="86"/>
      <c r="N572" s="86"/>
      <c r="O572" s="86"/>
      <c r="P572" s="86"/>
      <c r="Q572" s="86"/>
      <c r="R572" s="86"/>
      <c r="S572" s="86"/>
      <c r="T572" s="86"/>
      <c r="U572" s="86"/>
      <c r="V572" s="86"/>
      <c r="W572" s="86"/>
      <c r="X572" s="86"/>
      <c r="Y572" s="86"/>
      <c r="Z572" s="86"/>
      <c r="AA572" s="86"/>
      <c r="AB572" s="86"/>
      <c r="AC572" s="86"/>
      <c r="AD572" s="86"/>
      <c r="AE572" s="86"/>
      <c r="AF572" s="86"/>
      <c r="AG572" s="86"/>
      <c r="AH572" s="86"/>
      <c r="AI572" s="86"/>
      <c r="AJ572" s="86"/>
    </row>
    <row r="573" spans="1:36" x14ac:dyDescent="0.25">
      <c r="A573" s="274"/>
      <c r="B573" s="87"/>
      <c r="C573" s="87"/>
      <c r="D573" s="87"/>
      <c r="E573" s="87"/>
      <c r="F573" s="87"/>
      <c r="G573" s="87"/>
      <c r="H573" s="87"/>
      <c r="I573" s="87"/>
      <c r="J573" s="87"/>
      <c r="K573" s="87"/>
      <c r="L573" s="87"/>
      <c r="M573" s="87"/>
      <c r="N573" s="87"/>
      <c r="O573" s="87"/>
      <c r="P573" s="87"/>
      <c r="Q573" s="87"/>
      <c r="R573" s="87"/>
      <c r="S573" s="87"/>
      <c r="T573" s="87"/>
      <c r="U573" s="87"/>
      <c r="V573" s="87"/>
      <c r="W573" s="87"/>
      <c r="X573" s="87"/>
      <c r="Y573" s="87"/>
      <c r="Z573" s="87"/>
      <c r="AA573" s="87"/>
      <c r="AB573" s="87"/>
      <c r="AC573" s="87"/>
      <c r="AD573" s="87"/>
      <c r="AE573" s="87"/>
      <c r="AF573" s="87"/>
      <c r="AG573" s="87"/>
      <c r="AH573" s="87"/>
      <c r="AI573" s="87"/>
      <c r="AJ573" s="87"/>
    </row>
    <row r="574" spans="1:36" x14ac:dyDescent="0.25">
      <c r="A574" s="273"/>
      <c r="B574" s="86"/>
      <c r="C574" s="86"/>
      <c r="D574" s="86"/>
      <c r="E574" s="86"/>
      <c r="F574" s="86"/>
      <c r="G574" s="86"/>
      <c r="H574" s="86"/>
      <c r="I574" s="86"/>
      <c r="J574" s="86"/>
      <c r="K574" s="86"/>
      <c r="L574" s="86"/>
      <c r="M574" s="86"/>
      <c r="N574" s="86"/>
      <c r="O574" s="86"/>
      <c r="P574" s="86"/>
      <c r="Q574" s="86"/>
      <c r="R574" s="86"/>
      <c r="S574" s="86"/>
      <c r="T574" s="86"/>
      <c r="U574" s="86"/>
      <c r="V574" s="86"/>
      <c r="W574" s="86"/>
      <c r="X574" s="86"/>
      <c r="Y574" s="86"/>
      <c r="Z574" s="86"/>
      <c r="AA574" s="86"/>
      <c r="AB574" s="86"/>
      <c r="AC574" s="86"/>
      <c r="AD574" s="86"/>
      <c r="AE574" s="86"/>
      <c r="AF574" s="86"/>
      <c r="AG574" s="86"/>
      <c r="AH574" s="86"/>
      <c r="AI574" s="86"/>
      <c r="AJ574" s="86"/>
    </row>
    <row r="575" spans="1:36" x14ac:dyDescent="0.25">
      <c r="A575" s="274"/>
      <c r="B575" s="87"/>
      <c r="C575" s="87"/>
      <c r="D575" s="87"/>
      <c r="E575" s="87"/>
      <c r="F575" s="87"/>
      <c r="G575" s="87"/>
      <c r="H575" s="87"/>
      <c r="I575" s="87"/>
      <c r="J575" s="87"/>
      <c r="K575" s="87"/>
      <c r="L575" s="87"/>
      <c r="M575" s="87"/>
      <c r="N575" s="87"/>
      <c r="O575" s="87"/>
      <c r="P575" s="87"/>
      <c r="Q575" s="87"/>
      <c r="R575" s="87"/>
      <c r="S575" s="87"/>
      <c r="T575" s="87"/>
      <c r="U575" s="87"/>
      <c r="V575" s="87"/>
      <c r="W575" s="87"/>
      <c r="X575" s="87"/>
      <c r="Y575" s="87"/>
      <c r="Z575" s="87"/>
      <c r="AA575" s="87"/>
      <c r="AB575" s="87"/>
      <c r="AC575" s="87"/>
      <c r="AD575" s="87"/>
      <c r="AE575" s="87"/>
      <c r="AF575" s="87"/>
      <c r="AG575" s="87"/>
      <c r="AH575" s="87"/>
      <c r="AI575" s="87"/>
      <c r="AJ575" s="87"/>
    </row>
    <row r="576" spans="1:36" x14ac:dyDescent="0.25">
      <c r="A576" s="273"/>
      <c r="B576" s="86"/>
      <c r="C576" s="86"/>
      <c r="D576" s="86"/>
      <c r="E576" s="86"/>
      <c r="F576" s="86"/>
      <c r="G576" s="86"/>
      <c r="H576" s="86"/>
      <c r="I576" s="86"/>
      <c r="J576" s="86"/>
      <c r="K576" s="86"/>
      <c r="L576" s="86"/>
      <c r="M576" s="86"/>
      <c r="N576" s="86"/>
      <c r="O576" s="86"/>
      <c r="P576" s="86"/>
      <c r="Q576" s="86"/>
      <c r="R576" s="86"/>
      <c r="S576" s="86"/>
      <c r="T576" s="86"/>
      <c r="U576" s="86"/>
      <c r="V576" s="86"/>
      <c r="W576" s="86"/>
      <c r="X576" s="86"/>
      <c r="Y576" s="86"/>
      <c r="Z576" s="86"/>
      <c r="AA576" s="86"/>
      <c r="AB576" s="86"/>
      <c r="AC576" s="86"/>
      <c r="AD576" s="86"/>
      <c r="AE576" s="86"/>
      <c r="AF576" s="86"/>
      <c r="AG576" s="86"/>
      <c r="AH576" s="86"/>
      <c r="AI576" s="86"/>
      <c r="AJ576" s="86"/>
    </row>
    <row r="577" spans="1:36" x14ac:dyDescent="0.25">
      <c r="A577" s="274"/>
      <c r="B577" s="87"/>
      <c r="C577" s="87"/>
      <c r="D577" s="87"/>
      <c r="E577" s="87"/>
      <c r="F577" s="87"/>
      <c r="G577" s="87"/>
      <c r="H577" s="87"/>
      <c r="I577" s="87"/>
      <c r="J577" s="87"/>
      <c r="K577" s="87"/>
      <c r="L577" s="87"/>
      <c r="M577" s="87"/>
      <c r="N577" s="87"/>
      <c r="O577" s="87"/>
      <c r="P577" s="87"/>
      <c r="Q577" s="87"/>
      <c r="R577" s="87"/>
      <c r="S577" s="87"/>
      <c r="T577" s="87"/>
      <c r="U577" s="87"/>
      <c r="V577" s="87"/>
      <c r="W577" s="87"/>
      <c r="X577" s="87"/>
      <c r="Y577" s="87"/>
      <c r="Z577" s="87"/>
      <c r="AA577" s="87"/>
      <c r="AB577" s="87"/>
      <c r="AC577" s="87"/>
      <c r="AD577" s="87"/>
      <c r="AE577" s="87"/>
      <c r="AF577" s="87"/>
      <c r="AG577" s="87"/>
      <c r="AH577" s="87"/>
      <c r="AI577" s="87"/>
      <c r="AJ577" s="87"/>
    </row>
    <row r="578" spans="1:36" x14ac:dyDescent="0.25">
      <c r="A578" s="273"/>
      <c r="B578" s="86"/>
      <c r="C578" s="86"/>
      <c r="D578" s="86"/>
      <c r="E578" s="86"/>
      <c r="F578" s="86"/>
      <c r="G578" s="86"/>
      <c r="H578" s="86"/>
      <c r="I578" s="86"/>
      <c r="J578" s="86"/>
      <c r="K578" s="86"/>
      <c r="L578" s="86"/>
      <c r="M578" s="86"/>
      <c r="N578" s="86"/>
      <c r="O578" s="86"/>
      <c r="P578" s="86"/>
      <c r="Q578" s="86"/>
      <c r="R578" s="86"/>
      <c r="S578" s="86"/>
      <c r="T578" s="86"/>
      <c r="U578" s="86"/>
      <c r="V578" s="86"/>
      <c r="W578" s="86"/>
      <c r="X578" s="86"/>
      <c r="Y578" s="86"/>
      <c r="Z578" s="86"/>
      <c r="AA578" s="86"/>
      <c r="AB578" s="86"/>
      <c r="AC578" s="86"/>
      <c r="AD578" s="86"/>
      <c r="AE578" s="86"/>
      <c r="AF578" s="86"/>
      <c r="AG578" s="86"/>
      <c r="AH578" s="86"/>
      <c r="AI578" s="86"/>
      <c r="AJ578" s="86"/>
    </row>
    <row r="579" spans="1:36" x14ac:dyDescent="0.25">
      <c r="A579" s="274"/>
      <c r="B579" s="87"/>
      <c r="C579" s="87"/>
      <c r="D579" s="87"/>
      <c r="E579" s="87"/>
      <c r="F579" s="87"/>
      <c r="G579" s="87"/>
      <c r="H579" s="87"/>
      <c r="I579" s="87"/>
      <c r="J579" s="87"/>
      <c r="K579" s="87"/>
      <c r="L579" s="87"/>
      <c r="M579" s="87"/>
      <c r="N579" s="87"/>
      <c r="O579" s="87"/>
      <c r="P579" s="87"/>
      <c r="Q579" s="87"/>
      <c r="R579" s="87"/>
      <c r="S579" s="87"/>
      <c r="T579" s="87"/>
      <c r="U579" s="87"/>
      <c r="V579" s="87"/>
      <c r="W579" s="87"/>
      <c r="X579" s="87"/>
      <c r="Y579" s="87"/>
      <c r="Z579" s="87"/>
      <c r="AA579" s="87"/>
      <c r="AB579" s="87"/>
      <c r="AC579" s="87"/>
      <c r="AD579" s="87"/>
      <c r="AE579" s="87"/>
      <c r="AF579" s="87"/>
      <c r="AG579" s="87"/>
      <c r="AH579" s="87"/>
      <c r="AI579" s="87"/>
      <c r="AJ579" s="87"/>
    </row>
    <row r="580" spans="1:36" x14ac:dyDescent="0.25">
      <c r="A580" s="273"/>
      <c r="B580" s="86"/>
      <c r="C580" s="86"/>
      <c r="D580" s="86"/>
      <c r="E580" s="86"/>
      <c r="F580" s="86"/>
      <c r="G580" s="86"/>
      <c r="H580" s="86"/>
      <c r="I580" s="86"/>
      <c r="J580" s="86"/>
      <c r="K580" s="86"/>
      <c r="L580" s="86"/>
      <c r="M580" s="86"/>
      <c r="N580" s="86"/>
      <c r="O580" s="86"/>
      <c r="P580" s="86"/>
      <c r="Q580" s="86"/>
      <c r="R580" s="86"/>
      <c r="S580" s="86"/>
      <c r="T580" s="86"/>
      <c r="U580" s="86"/>
      <c r="V580" s="86"/>
      <c r="W580" s="86"/>
      <c r="X580" s="86"/>
      <c r="Y580" s="86"/>
      <c r="Z580" s="86"/>
      <c r="AA580" s="86"/>
      <c r="AB580" s="86"/>
      <c r="AC580" s="86"/>
      <c r="AD580" s="86"/>
      <c r="AE580" s="86"/>
      <c r="AF580" s="86"/>
      <c r="AG580" s="86"/>
      <c r="AH580" s="86"/>
      <c r="AI580" s="86"/>
      <c r="AJ580" s="86"/>
    </row>
    <row r="581" spans="1:36" x14ac:dyDescent="0.25">
      <c r="A581" s="274"/>
      <c r="B581" s="87"/>
      <c r="C581" s="87"/>
      <c r="D581" s="87"/>
      <c r="E581" s="87"/>
      <c r="F581" s="87"/>
      <c r="G581" s="87"/>
      <c r="H581" s="87"/>
      <c r="I581" s="87"/>
      <c r="J581" s="87"/>
      <c r="K581" s="87"/>
      <c r="L581" s="87"/>
      <c r="M581" s="87"/>
      <c r="N581" s="87"/>
      <c r="O581" s="87"/>
      <c r="P581" s="87"/>
      <c r="Q581" s="87"/>
      <c r="R581" s="87"/>
      <c r="S581" s="87"/>
      <c r="T581" s="87"/>
      <c r="U581" s="87"/>
      <c r="V581" s="87"/>
      <c r="W581" s="87"/>
      <c r="X581" s="87"/>
      <c r="Y581" s="87"/>
      <c r="Z581" s="87"/>
      <c r="AA581" s="87"/>
      <c r="AB581" s="87"/>
      <c r="AC581" s="87"/>
      <c r="AD581" s="87"/>
      <c r="AE581" s="87"/>
      <c r="AF581" s="87"/>
      <c r="AG581" s="87"/>
      <c r="AH581" s="87"/>
      <c r="AI581" s="87"/>
      <c r="AJ581" s="87"/>
    </row>
    <row r="582" spans="1:36" x14ac:dyDescent="0.25">
      <c r="A582" s="273"/>
      <c r="B582" s="86"/>
      <c r="C582" s="86"/>
      <c r="D582" s="86"/>
      <c r="E582" s="86"/>
      <c r="F582" s="86"/>
      <c r="G582" s="86"/>
      <c r="H582" s="86"/>
      <c r="I582" s="86"/>
      <c r="J582" s="86"/>
      <c r="K582" s="86"/>
      <c r="L582" s="86"/>
      <c r="M582" s="86"/>
      <c r="N582" s="86"/>
      <c r="O582" s="86"/>
      <c r="P582" s="86"/>
      <c r="Q582" s="86"/>
      <c r="R582" s="86"/>
      <c r="S582" s="86"/>
      <c r="T582" s="86"/>
      <c r="U582" s="86"/>
      <c r="V582" s="86"/>
      <c r="W582" s="86"/>
      <c r="X582" s="86"/>
      <c r="Y582" s="86"/>
      <c r="Z582" s="86"/>
      <c r="AA582" s="86"/>
      <c r="AB582" s="86"/>
      <c r="AC582" s="86"/>
      <c r="AD582" s="86"/>
      <c r="AE582" s="86"/>
      <c r="AF582" s="86"/>
      <c r="AG582" s="86"/>
      <c r="AH582" s="86"/>
      <c r="AI582" s="86"/>
      <c r="AJ582" s="86"/>
    </row>
    <row r="583" spans="1:36" x14ac:dyDescent="0.25">
      <c r="A583" s="274"/>
      <c r="B583" s="87"/>
      <c r="C583" s="87"/>
      <c r="D583" s="87"/>
      <c r="E583" s="87"/>
      <c r="F583" s="87"/>
      <c r="G583" s="87"/>
      <c r="H583" s="87"/>
      <c r="I583" s="87"/>
      <c r="J583" s="87"/>
      <c r="K583" s="87"/>
      <c r="L583" s="87"/>
      <c r="M583" s="87"/>
      <c r="N583" s="87"/>
      <c r="O583" s="87"/>
      <c r="P583" s="87"/>
      <c r="Q583" s="87"/>
      <c r="R583" s="87"/>
      <c r="S583" s="87"/>
      <c r="T583" s="87"/>
      <c r="U583" s="87"/>
      <c r="V583" s="87"/>
      <c r="W583" s="87"/>
      <c r="X583" s="87"/>
      <c r="Y583" s="87"/>
      <c r="Z583" s="87"/>
      <c r="AA583" s="87"/>
      <c r="AB583" s="87"/>
      <c r="AC583" s="87"/>
      <c r="AD583" s="87"/>
      <c r="AE583" s="87"/>
      <c r="AF583" s="87"/>
      <c r="AG583" s="87"/>
      <c r="AH583" s="87"/>
      <c r="AI583" s="87"/>
      <c r="AJ583" s="87"/>
    </row>
    <row r="584" spans="1:36" x14ac:dyDescent="0.25">
      <c r="A584" s="273"/>
      <c r="B584" s="86"/>
      <c r="C584" s="86"/>
      <c r="D584" s="86"/>
      <c r="E584" s="86"/>
      <c r="F584" s="86"/>
      <c r="G584" s="86"/>
      <c r="H584" s="86"/>
      <c r="I584" s="86"/>
      <c r="J584" s="86"/>
      <c r="K584" s="86"/>
      <c r="L584" s="86"/>
      <c r="M584" s="86"/>
      <c r="N584" s="86"/>
      <c r="O584" s="86"/>
      <c r="P584" s="86"/>
      <c r="Q584" s="86"/>
      <c r="R584" s="86"/>
      <c r="S584" s="86"/>
      <c r="T584" s="86"/>
      <c r="U584" s="86"/>
      <c r="V584" s="86"/>
      <c r="W584" s="86"/>
      <c r="X584" s="86"/>
      <c r="Y584" s="86"/>
      <c r="Z584" s="86"/>
      <c r="AA584" s="86"/>
      <c r="AB584" s="86"/>
      <c r="AC584" s="86"/>
      <c r="AD584" s="86"/>
      <c r="AE584" s="86"/>
      <c r="AF584" s="86"/>
      <c r="AG584" s="86"/>
      <c r="AH584" s="86"/>
      <c r="AI584" s="86"/>
      <c r="AJ584" s="86"/>
    </row>
    <row r="585" spans="1:36" x14ac:dyDescent="0.25">
      <c r="A585" s="274"/>
      <c r="B585" s="87"/>
      <c r="C585" s="87"/>
      <c r="D585" s="87"/>
      <c r="E585" s="87"/>
      <c r="F585" s="87"/>
      <c r="G585" s="87"/>
      <c r="H585" s="87"/>
      <c r="I585" s="87"/>
      <c r="J585" s="87"/>
      <c r="K585" s="87"/>
      <c r="L585" s="87"/>
      <c r="M585" s="87"/>
      <c r="N585" s="87"/>
      <c r="O585" s="87"/>
      <c r="P585" s="87"/>
      <c r="Q585" s="87"/>
      <c r="R585" s="87"/>
      <c r="S585" s="87"/>
      <c r="T585" s="87"/>
      <c r="U585" s="87"/>
      <c r="V585" s="87"/>
      <c r="W585" s="87"/>
      <c r="X585" s="87"/>
      <c r="Y585" s="87"/>
      <c r="Z585" s="87"/>
      <c r="AA585" s="87"/>
      <c r="AB585" s="87"/>
      <c r="AC585" s="87"/>
      <c r="AD585" s="87"/>
      <c r="AE585" s="87"/>
      <c r="AF585" s="87"/>
      <c r="AG585" s="87"/>
      <c r="AH585" s="87"/>
      <c r="AI585" s="87"/>
      <c r="AJ585" s="87"/>
    </row>
    <row r="586" spans="1:36" x14ac:dyDescent="0.25">
      <c r="A586" s="273"/>
      <c r="B586" s="86"/>
      <c r="C586" s="86"/>
      <c r="D586" s="86"/>
      <c r="E586" s="86"/>
      <c r="F586" s="86"/>
      <c r="G586" s="86"/>
      <c r="H586" s="86"/>
      <c r="I586" s="86"/>
      <c r="J586" s="86"/>
      <c r="K586" s="86"/>
      <c r="L586" s="86"/>
      <c r="M586" s="86"/>
      <c r="N586" s="86"/>
      <c r="O586" s="86"/>
      <c r="P586" s="86"/>
      <c r="Q586" s="86"/>
      <c r="R586" s="86"/>
      <c r="S586" s="86"/>
      <c r="T586" s="86"/>
      <c r="U586" s="86"/>
      <c r="V586" s="86"/>
      <c r="W586" s="86"/>
      <c r="X586" s="86"/>
      <c r="Y586" s="86"/>
      <c r="Z586" s="86"/>
      <c r="AA586" s="86"/>
      <c r="AB586" s="86"/>
      <c r="AC586" s="86"/>
      <c r="AD586" s="86"/>
      <c r="AE586" s="86"/>
      <c r="AF586" s="86"/>
      <c r="AG586" s="86"/>
      <c r="AH586" s="86"/>
      <c r="AI586" s="86"/>
      <c r="AJ586" s="86"/>
    </row>
    <row r="587" spans="1:36" x14ac:dyDescent="0.25">
      <c r="A587" s="274"/>
      <c r="B587" s="87"/>
      <c r="C587" s="87"/>
      <c r="D587" s="87"/>
      <c r="E587" s="87"/>
      <c r="F587" s="87"/>
      <c r="G587" s="87"/>
      <c r="H587" s="87"/>
      <c r="I587" s="87"/>
      <c r="J587" s="87"/>
      <c r="K587" s="87"/>
      <c r="L587" s="87"/>
      <c r="M587" s="87"/>
      <c r="N587" s="87"/>
      <c r="O587" s="87"/>
      <c r="P587" s="87"/>
      <c r="Q587" s="87"/>
      <c r="R587" s="87"/>
      <c r="S587" s="87"/>
      <c r="T587" s="87"/>
      <c r="U587" s="87"/>
      <c r="V587" s="87"/>
      <c r="W587" s="87"/>
      <c r="X587" s="87"/>
      <c r="Y587" s="87"/>
      <c r="Z587" s="87"/>
      <c r="AA587" s="87"/>
      <c r="AB587" s="87"/>
      <c r="AC587" s="87"/>
      <c r="AD587" s="87"/>
      <c r="AE587" s="87"/>
      <c r="AF587" s="87"/>
      <c r="AG587" s="87"/>
      <c r="AH587" s="87"/>
      <c r="AI587" s="87"/>
      <c r="AJ587" s="87"/>
    </row>
    <row r="588" spans="1:36" x14ac:dyDescent="0.25">
      <c r="A588" s="273"/>
      <c r="B588" s="86"/>
      <c r="C588" s="86"/>
      <c r="D588" s="86"/>
      <c r="E588" s="86"/>
      <c r="F588" s="86"/>
      <c r="G588" s="86"/>
      <c r="H588" s="86"/>
      <c r="I588" s="86"/>
      <c r="J588" s="86"/>
      <c r="K588" s="86"/>
      <c r="L588" s="86"/>
      <c r="M588" s="86"/>
      <c r="N588" s="86"/>
      <c r="O588" s="86"/>
      <c r="P588" s="86"/>
      <c r="Q588" s="86"/>
      <c r="R588" s="86"/>
      <c r="S588" s="86"/>
      <c r="T588" s="86"/>
      <c r="U588" s="86"/>
      <c r="V588" s="86"/>
      <c r="W588" s="86"/>
      <c r="X588" s="86"/>
      <c r="Y588" s="86"/>
      <c r="Z588" s="86"/>
      <c r="AA588" s="86"/>
      <c r="AB588" s="86"/>
      <c r="AC588" s="86"/>
      <c r="AD588" s="86"/>
      <c r="AE588" s="86"/>
      <c r="AF588" s="86"/>
      <c r="AG588" s="86"/>
      <c r="AH588" s="86"/>
      <c r="AI588" s="86"/>
      <c r="AJ588" s="86"/>
    </row>
    <row r="589" spans="1:36" x14ac:dyDescent="0.25">
      <c r="A589" s="274"/>
      <c r="B589" s="87"/>
      <c r="C589" s="87"/>
      <c r="D589" s="87"/>
      <c r="E589" s="87"/>
      <c r="F589" s="87"/>
      <c r="G589" s="87"/>
      <c r="H589" s="87"/>
      <c r="I589" s="87"/>
      <c r="J589" s="87"/>
      <c r="K589" s="87"/>
      <c r="L589" s="87"/>
      <c r="M589" s="87"/>
      <c r="N589" s="87"/>
      <c r="O589" s="87"/>
      <c r="P589" s="87"/>
      <c r="Q589" s="87"/>
      <c r="R589" s="87"/>
      <c r="S589" s="87"/>
      <c r="T589" s="87"/>
      <c r="U589" s="87"/>
      <c r="V589" s="87"/>
      <c r="W589" s="87"/>
      <c r="X589" s="87"/>
      <c r="Y589" s="87"/>
      <c r="Z589" s="87"/>
      <c r="AA589" s="87"/>
      <c r="AB589" s="87"/>
      <c r="AC589" s="87"/>
      <c r="AD589" s="87"/>
      <c r="AE589" s="87"/>
      <c r="AF589" s="87"/>
      <c r="AG589" s="87"/>
      <c r="AH589" s="87"/>
      <c r="AI589" s="87"/>
      <c r="AJ589" s="87"/>
    </row>
    <row r="590" spans="1:36" x14ac:dyDescent="0.25">
      <c r="A590" s="273"/>
      <c r="B590" s="86"/>
      <c r="C590" s="86"/>
      <c r="D590" s="86"/>
      <c r="E590" s="86"/>
      <c r="F590" s="86"/>
      <c r="G590" s="86"/>
      <c r="H590" s="86"/>
      <c r="I590" s="86"/>
      <c r="J590" s="86"/>
      <c r="K590" s="86"/>
      <c r="L590" s="86"/>
      <c r="M590" s="86"/>
      <c r="N590" s="86"/>
      <c r="O590" s="86"/>
      <c r="P590" s="86"/>
      <c r="Q590" s="86"/>
      <c r="R590" s="86"/>
      <c r="S590" s="86"/>
      <c r="T590" s="86"/>
      <c r="U590" s="86"/>
      <c r="V590" s="86"/>
      <c r="W590" s="86"/>
      <c r="X590" s="86"/>
      <c r="Y590" s="86"/>
      <c r="Z590" s="86"/>
      <c r="AA590" s="86"/>
      <c r="AB590" s="86"/>
      <c r="AC590" s="86"/>
      <c r="AD590" s="86"/>
      <c r="AE590" s="86"/>
      <c r="AF590" s="86"/>
      <c r="AG590" s="86"/>
      <c r="AH590" s="86"/>
      <c r="AI590" s="86"/>
      <c r="AJ590" s="86"/>
    </row>
    <row r="591" spans="1:36" x14ac:dyDescent="0.25">
      <c r="A591" s="274"/>
      <c r="B591" s="87"/>
      <c r="C591" s="87"/>
      <c r="D591" s="87"/>
      <c r="E591" s="87"/>
      <c r="F591" s="87"/>
      <c r="G591" s="87"/>
      <c r="H591" s="87"/>
      <c r="I591" s="87"/>
      <c r="J591" s="87"/>
      <c r="K591" s="87"/>
      <c r="L591" s="87"/>
      <c r="M591" s="87"/>
      <c r="N591" s="87"/>
      <c r="O591" s="87"/>
      <c r="P591" s="87"/>
      <c r="Q591" s="87"/>
      <c r="R591" s="87"/>
      <c r="S591" s="87"/>
      <c r="T591" s="87"/>
      <c r="U591" s="87"/>
      <c r="V591" s="87"/>
      <c r="W591" s="87"/>
      <c r="X591" s="87"/>
      <c r="Y591" s="87"/>
      <c r="Z591" s="87"/>
      <c r="AA591" s="87"/>
      <c r="AB591" s="87"/>
      <c r="AC591" s="87"/>
      <c r="AD591" s="87"/>
      <c r="AE591" s="87"/>
      <c r="AF591" s="87"/>
      <c r="AG591" s="87"/>
      <c r="AH591" s="87"/>
      <c r="AI591" s="87"/>
      <c r="AJ591" s="87"/>
    </row>
    <row r="592" spans="1:36" x14ac:dyDescent="0.25">
      <c r="A592" s="273"/>
      <c r="B592" s="86"/>
      <c r="C592" s="86"/>
      <c r="D592" s="86"/>
      <c r="E592" s="86"/>
      <c r="F592" s="86"/>
      <c r="G592" s="86"/>
      <c r="H592" s="86"/>
      <c r="I592" s="86"/>
      <c r="J592" s="86"/>
      <c r="K592" s="86"/>
      <c r="L592" s="86"/>
      <c r="M592" s="86"/>
      <c r="N592" s="86"/>
      <c r="O592" s="86"/>
      <c r="P592" s="86"/>
      <c r="Q592" s="86"/>
      <c r="R592" s="86"/>
      <c r="S592" s="86"/>
      <c r="T592" s="86"/>
      <c r="U592" s="86"/>
      <c r="V592" s="86"/>
      <c r="W592" s="86"/>
      <c r="X592" s="86"/>
      <c r="Y592" s="86"/>
      <c r="Z592" s="86"/>
      <c r="AA592" s="86"/>
      <c r="AB592" s="86"/>
      <c r="AC592" s="86"/>
      <c r="AD592" s="86"/>
      <c r="AE592" s="86"/>
      <c r="AF592" s="86"/>
      <c r="AG592" s="86"/>
      <c r="AH592" s="86"/>
      <c r="AI592" s="86"/>
      <c r="AJ592" s="86"/>
    </row>
    <row r="593" spans="1:36" x14ac:dyDescent="0.25">
      <c r="A593" s="274"/>
      <c r="B593" s="87"/>
      <c r="C593" s="87"/>
      <c r="D593" s="87"/>
      <c r="E593" s="87"/>
      <c r="F593" s="87"/>
      <c r="G593" s="87"/>
      <c r="H593" s="87"/>
      <c r="I593" s="87"/>
      <c r="J593" s="87"/>
      <c r="K593" s="87"/>
      <c r="L593" s="87"/>
      <c r="M593" s="87"/>
      <c r="N593" s="87"/>
      <c r="O593" s="87"/>
      <c r="P593" s="87"/>
      <c r="Q593" s="87"/>
      <c r="R593" s="87"/>
      <c r="S593" s="87"/>
      <c r="T593" s="87"/>
      <c r="U593" s="87"/>
      <c r="V593" s="87"/>
      <c r="W593" s="87"/>
      <c r="X593" s="87"/>
      <c r="Y593" s="87"/>
      <c r="Z593" s="87"/>
      <c r="AA593" s="87"/>
      <c r="AB593" s="87"/>
      <c r="AC593" s="87"/>
      <c r="AD593" s="87"/>
      <c r="AE593" s="87"/>
      <c r="AF593" s="87"/>
      <c r="AG593" s="87"/>
      <c r="AH593" s="87"/>
      <c r="AI593" s="87"/>
      <c r="AJ593" s="87"/>
    </row>
    <row r="594" spans="1:36" x14ac:dyDescent="0.25">
      <c r="A594" s="273"/>
      <c r="B594" s="86"/>
      <c r="C594" s="86"/>
      <c r="D594" s="86"/>
      <c r="E594" s="86"/>
      <c r="F594" s="86"/>
      <c r="G594" s="86"/>
      <c r="H594" s="86"/>
      <c r="I594" s="86"/>
      <c r="J594" s="86"/>
      <c r="K594" s="86"/>
      <c r="L594" s="86"/>
      <c r="M594" s="86"/>
      <c r="N594" s="86"/>
      <c r="O594" s="86"/>
      <c r="P594" s="86"/>
      <c r="Q594" s="86"/>
      <c r="R594" s="86"/>
      <c r="S594" s="86"/>
      <c r="T594" s="86"/>
      <c r="U594" s="86"/>
      <c r="V594" s="86"/>
      <c r="W594" s="86"/>
      <c r="X594" s="86"/>
      <c r="Y594" s="86"/>
      <c r="Z594" s="86"/>
      <c r="AA594" s="86"/>
      <c r="AB594" s="86"/>
      <c r="AC594" s="86"/>
      <c r="AD594" s="86"/>
      <c r="AE594" s="86"/>
      <c r="AF594" s="86"/>
      <c r="AG594" s="86"/>
      <c r="AH594" s="86"/>
      <c r="AI594" s="86"/>
      <c r="AJ594" s="86"/>
    </row>
    <row r="595" spans="1:36" x14ac:dyDescent="0.25">
      <c r="A595" s="274"/>
      <c r="B595" s="87"/>
      <c r="C595" s="87"/>
      <c r="D595" s="87"/>
      <c r="E595" s="87"/>
      <c r="F595" s="87"/>
      <c r="G595" s="87"/>
      <c r="H595" s="87"/>
      <c r="I595" s="87"/>
      <c r="J595" s="87"/>
      <c r="K595" s="87"/>
      <c r="L595" s="87"/>
      <c r="M595" s="87"/>
      <c r="N595" s="87"/>
      <c r="O595" s="87"/>
      <c r="P595" s="87"/>
      <c r="Q595" s="87"/>
      <c r="R595" s="87"/>
      <c r="S595" s="87"/>
      <c r="T595" s="87"/>
      <c r="U595" s="87"/>
      <c r="V595" s="87"/>
      <c r="W595" s="87"/>
      <c r="X595" s="87"/>
      <c r="Y595" s="87"/>
      <c r="Z595" s="87"/>
      <c r="AA595" s="87"/>
      <c r="AB595" s="87"/>
      <c r="AC595" s="87"/>
      <c r="AD595" s="87"/>
      <c r="AE595" s="87"/>
      <c r="AF595" s="87"/>
      <c r="AG595" s="87"/>
      <c r="AH595" s="87"/>
      <c r="AI595" s="87"/>
      <c r="AJ595" s="87"/>
    </row>
    <row r="596" spans="1:36" x14ac:dyDescent="0.25">
      <c r="A596" s="273"/>
      <c r="B596" s="86"/>
      <c r="C596" s="86"/>
      <c r="D596" s="86"/>
      <c r="E596" s="86"/>
      <c r="F596" s="86"/>
      <c r="G596" s="86"/>
      <c r="H596" s="86"/>
      <c r="I596" s="86"/>
      <c r="J596" s="86"/>
      <c r="K596" s="86"/>
      <c r="L596" s="86"/>
      <c r="M596" s="86"/>
      <c r="N596" s="86"/>
      <c r="O596" s="86"/>
      <c r="P596" s="86"/>
      <c r="Q596" s="86"/>
      <c r="R596" s="86"/>
      <c r="S596" s="86"/>
      <c r="T596" s="86"/>
      <c r="U596" s="86"/>
      <c r="V596" s="86"/>
      <c r="W596" s="86"/>
      <c r="X596" s="86"/>
      <c r="Y596" s="86"/>
      <c r="Z596" s="86"/>
      <c r="AA596" s="86"/>
      <c r="AB596" s="86"/>
      <c r="AC596" s="86"/>
      <c r="AD596" s="86"/>
      <c r="AE596" s="86"/>
      <c r="AF596" s="86"/>
      <c r="AG596" s="86"/>
      <c r="AH596" s="86"/>
      <c r="AI596" s="86"/>
      <c r="AJ596" s="86"/>
    </row>
    <row r="597" spans="1:36" x14ac:dyDescent="0.25">
      <c r="A597" s="274"/>
      <c r="B597" s="87"/>
      <c r="C597" s="87"/>
      <c r="D597" s="87"/>
      <c r="E597" s="87"/>
      <c r="F597" s="87"/>
      <c r="G597" s="87"/>
      <c r="H597" s="87"/>
      <c r="I597" s="87"/>
      <c r="J597" s="87"/>
      <c r="K597" s="87"/>
      <c r="L597" s="87"/>
      <c r="M597" s="87"/>
      <c r="N597" s="87"/>
      <c r="O597" s="87"/>
      <c r="P597" s="87"/>
      <c r="Q597" s="87"/>
      <c r="R597" s="87"/>
      <c r="S597" s="87"/>
      <c r="T597" s="87"/>
      <c r="U597" s="87"/>
      <c r="V597" s="87"/>
      <c r="W597" s="87"/>
      <c r="X597" s="87"/>
      <c r="Y597" s="87"/>
      <c r="Z597" s="87"/>
      <c r="AA597" s="87"/>
      <c r="AB597" s="87"/>
      <c r="AC597" s="87"/>
      <c r="AD597" s="87"/>
      <c r="AE597" s="87"/>
      <c r="AF597" s="87"/>
      <c r="AG597" s="87"/>
      <c r="AH597" s="87"/>
      <c r="AI597" s="87"/>
      <c r="AJ597" s="87"/>
    </row>
    <row r="598" spans="1:36" x14ac:dyDescent="0.25">
      <c r="A598" s="273"/>
      <c r="B598" s="86"/>
      <c r="C598" s="86"/>
      <c r="D598" s="86"/>
      <c r="E598" s="86"/>
      <c r="F598" s="86"/>
      <c r="G598" s="86"/>
      <c r="H598" s="86"/>
      <c r="I598" s="86"/>
      <c r="J598" s="86"/>
      <c r="K598" s="86"/>
      <c r="L598" s="86"/>
      <c r="M598" s="86"/>
      <c r="N598" s="86"/>
      <c r="O598" s="86"/>
      <c r="P598" s="86"/>
      <c r="Q598" s="86"/>
      <c r="R598" s="86"/>
      <c r="S598" s="86"/>
      <c r="T598" s="86"/>
      <c r="U598" s="86"/>
      <c r="V598" s="86"/>
      <c r="W598" s="86"/>
      <c r="X598" s="86"/>
      <c r="Y598" s="86"/>
      <c r="Z598" s="86"/>
      <c r="AA598" s="86"/>
      <c r="AB598" s="86"/>
      <c r="AC598" s="86"/>
      <c r="AD598" s="86"/>
      <c r="AE598" s="86"/>
      <c r="AF598" s="86"/>
      <c r="AG598" s="86"/>
      <c r="AH598" s="86"/>
      <c r="AI598" s="86"/>
      <c r="AJ598" s="86"/>
    </row>
    <row r="599" spans="1:36" x14ac:dyDescent="0.25">
      <c r="A599" s="274"/>
      <c r="B599" s="87"/>
      <c r="C599" s="87"/>
      <c r="D599" s="87"/>
      <c r="E599" s="87"/>
      <c r="F599" s="87"/>
      <c r="G599" s="87"/>
      <c r="H599" s="87"/>
      <c r="I599" s="87"/>
      <c r="J599" s="87"/>
      <c r="K599" s="87"/>
      <c r="L599" s="87"/>
      <c r="M599" s="87"/>
      <c r="N599" s="87"/>
      <c r="O599" s="87"/>
      <c r="P599" s="87"/>
      <c r="Q599" s="87"/>
      <c r="R599" s="87"/>
      <c r="S599" s="87"/>
      <c r="T599" s="87"/>
      <c r="U599" s="87"/>
      <c r="V599" s="87"/>
      <c r="W599" s="87"/>
      <c r="X599" s="87"/>
      <c r="Y599" s="87"/>
      <c r="Z599" s="87"/>
      <c r="AA599" s="87"/>
      <c r="AB599" s="87"/>
      <c r="AC599" s="87"/>
      <c r="AD599" s="87"/>
      <c r="AE599" s="87"/>
      <c r="AF599" s="87"/>
      <c r="AG599" s="87"/>
      <c r="AH599" s="87"/>
      <c r="AI599" s="87"/>
      <c r="AJ599" s="87"/>
    </row>
    <row r="600" spans="1:36" x14ac:dyDescent="0.25">
      <c r="A600" s="273"/>
      <c r="B600" s="86"/>
      <c r="C600" s="86"/>
      <c r="D600" s="86"/>
      <c r="E600" s="86"/>
      <c r="F600" s="86"/>
      <c r="G600" s="86"/>
      <c r="H600" s="86"/>
      <c r="I600" s="86"/>
      <c r="J600" s="86"/>
      <c r="K600" s="86"/>
      <c r="L600" s="86"/>
      <c r="M600" s="86"/>
      <c r="N600" s="86"/>
      <c r="O600" s="86"/>
      <c r="P600" s="86"/>
      <c r="Q600" s="86"/>
      <c r="R600" s="86"/>
      <c r="S600" s="86"/>
      <c r="T600" s="86"/>
      <c r="U600" s="86"/>
      <c r="V600" s="86"/>
      <c r="W600" s="86"/>
      <c r="X600" s="86"/>
      <c r="Y600" s="86"/>
      <c r="Z600" s="86"/>
      <c r="AA600" s="86"/>
      <c r="AB600" s="86"/>
      <c r="AC600" s="86"/>
      <c r="AD600" s="86"/>
      <c r="AE600" s="86"/>
      <c r="AF600" s="86"/>
      <c r="AG600" s="86"/>
      <c r="AH600" s="86"/>
      <c r="AI600" s="86"/>
      <c r="AJ600" s="86"/>
    </row>
    <row r="601" spans="1:36" x14ac:dyDescent="0.25">
      <c r="A601" s="274"/>
      <c r="B601" s="87"/>
      <c r="C601" s="87"/>
      <c r="D601" s="87"/>
      <c r="E601" s="87"/>
      <c r="F601" s="87"/>
      <c r="G601" s="87"/>
      <c r="H601" s="87"/>
      <c r="I601" s="87"/>
      <c r="J601" s="87"/>
      <c r="K601" s="87"/>
      <c r="L601" s="87"/>
      <c r="M601" s="87"/>
      <c r="N601" s="87"/>
      <c r="O601" s="87"/>
      <c r="P601" s="87"/>
      <c r="Q601" s="87"/>
      <c r="R601" s="87"/>
      <c r="S601" s="87"/>
      <c r="T601" s="87"/>
      <c r="U601" s="87"/>
      <c r="V601" s="87"/>
      <c r="W601" s="87"/>
      <c r="X601" s="87"/>
      <c r="Y601" s="87"/>
      <c r="Z601" s="87"/>
      <c r="AA601" s="87"/>
      <c r="AB601" s="87"/>
      <c r="AC601" s="87"/>
      <c r="AD601" s="87"/>
      <c r="AE601" s="87"/>
      <c r="AF601" s="87"/>
      <c r="AG601" s="87"/>
      <c r="AH601" s="87"/>
      <c r="AI601" s="87"/>
      <c r="AJ601" s="87"/>
    </row>
    <row r="602" spans="1:36" x14ac:dyDescent="0.25">
      <c r="A602" s="273"/>
      <c r="B602" s="86"/>
      <c r="C602" s="86"/>
      <c r="D602" s="86"/>
      <c r="E602" s="86"/>
      <c r="F602" s="86"/>
      <c r="G602" s="86"/>
      <c r="H602" s="86"/>
      <c r="I602" s="86"/>
      <c r="J602" s="86"/>
      <c r="K602" s="86"/>
      <c r="L602" s="86"/>
      <c r="M602" s="86"/>
      <c r="N602" s="86"/>
      <c r="O602" s="86"/>
      <c r="P602" s="86"/>
      <c r="Q602" s="86"/>
      <c r="R602" s="86"/>
      <c r="S602" s="86"/>
      <c r="T602" s="86"/>
      <c r="U602" s="86"/>
      <c r="V602" s="86"/>
      <c r="W602" s="86"/>
      <c r="X602" s="86"/>
      <c r="Y602" s="86"/>
      <c r="Z602" s="86"/>
      <c r="AA602" s="86"/>
      <c r="AB602" s="86"/>
      <c r="AC602" s="86"/>
      <c r="AD602" s="86"/>
      <c r="AE602" s="86"/>
      <c r="AF602" s="86"/>
      <c r="AG602" s="86"/>
      <c r="AH602" s="86"/>
      <c r="AI602" s="86"/>
      <c r="AJ602" s="86"/>
    </row>
    <row r="603" spans="1:36" x14ac:dyDescent="0.25">
      <c r="A603" s="274"/>
      <c r="B603" s="87"/>
      <c r="C603" s="87"/>
      <c r="D603" s="87"/>
      <c r="E603" s="87"/>
      <c r="F603" s="87"/>
      <c r="G603" s="87"/>
      <c r="H603" s="87"/>
      <c r="I603" s="87"/>
      <c r="J603" s="87"/>
      <c r="K603" s="87"/>
      <c r="L603" s="87"/>
      <c r="M603" s="87"/>
      <c r="N603" s="87"/>
      <c r="O603" s="87"/>
      <c r="P603" s="87"/>
      <c r="Q603" s="87"/>
      <c r="R603" s="87"/>
      <c r="S603" s="87"/>
      <c r="T603" s="87"/>
      <c r="U603" s="87"/>
      <c r="V603" s="87"/>
      <c r="W603" s="87"/>
      <c r="X603" s="87"/>
      <c r="Y603" s="87"/>
      <c r="Z603" s="87"/>
      <c r="AA603" s="87"/>
      <c r="AB603" s="87"/>
      <c r="AC603" s="87"/>
      <c r="AD603" s="87"/>
      <c r="AE603" s="87"/>
      <c r="AF603" s="87"/>
      <c r="AG603" s="87"/>
      <c r="AH603" s="87"/>
      <c r="AI603" s="87"/>
      <c r="AJ603" s="87"/>
    </row>
    <row r="604" spans="1:36" x14ac:dyDescent="0.25">
      <c r="A604" s="273"/>
      <c r="B604" s="86"/>
      <c r="C604" s="86"/>
      <c r="D604" s="86"/>
      <c r="E604" s="86"/>
      <c r="F604" s="86"/>
      <c r="G604" s="86"/>
      <c r="H604" s="86"/>
      <c r="I604" s="86"/>
      <c r="J604" s="86"/>
      <c r="K604" s="86"/>
      <c r="L604" s="86"/>
      <c r="M604" s="86"/>
      <c r="N604" s="86"/>
      <c r="O604" s="86"/>
      <c r="P604" s="86"/>
      <c r="Q604" s="86"/>
      <c r="R604" s="86"/>
      <c r="S604" s="86"/>
      <c r="T604" s="86"/>
      <c r="U604" s="86"/>
      <c r="V604" s="86"/>
      <c r="W604" s="86"/>
      <c r="X604" s="86"/>
      <c r="Y604" s="86"/>
      <c r="Z604" s="86"/>
      <c r="AA604" s="86"/>
      <c r="AB604" s="86"/>
      <c r="AC604" s="86"/>
      <c r="AD604" s="86"/>
      <c r="AE604" s="86"/>
      <c r="AF604" s="86"/>
      <c r="AG604" s="86"/>
      <c r="AH604" s="86"/>
      <c r="AI604" s="86"/>
      <c r="AJ604" s="86"/>
    </row>
    <row r="605" spans="1:36" x14ac:dyDescent="0.25">
      <c r="A605" s="274"/>
      <c r="B605" s="87"/>
      <c r="C605" s="87"/>
      <c r="D605" s="87"/>
      <c r="E605" s="87"/>
      <c r="F605" s="87"/>
      <c r="G605" s="87"/>
      <c r="H605" s="87"/>
      <c r="I605" s="87"/>
      <c r="J605" s="87"/>
      <c r="K605" s="87"/>
      <c r="L605" s="87"/>
      <c r="M605" s="87"/>
      <c r="N605" s="87"/>
      <c r="O605" s="87"/>
      <c r="P605" s="87"/>
      <c r="Q605" s="87"/>
      <c r="R605" s="87"/>
      <c r="S605" s="87"/>
      <c r="T605" s="87"/>
      <c r="U605" s="87"/>
      <c r="V605" s="87"/>
      <c r="W605" s="87"/>
      <c r="X605" s="87"/>
      <c r="Y605" s="87"/>
      <c r="Z605" s="87"/>
      <c r="AA605" s="87"/>
      <c r="AB605" s="87"/>
      <c r="AC605" s="87"/>
      <c r="AD605" s="87"/>
      <c r="AE605" s="87"/>
      <c r="AF605" s="87"/>
      <c r="AG605" s="87"/>
      <c r="AH605" s="87"/>
      <c r="AI605" s="87"/>
      <c r="AJ605" s="87"/>
    </row>
    <row r="606" spans="1:36" x14ac:dyDescent="0.25">
      <c r="A606" s="273"/>
      <c r="B606" s="86"/>
      <c r="C606" s="86"/>
      <c r="D606" s="86"/>
      <c r="E606" s="86"/>
      <c r="F606" s="86"/>
      <c r="G606" s="86"/>
      <c r="H606" s="86"/>
      <c r="I606" s="86"/>
      <c r="J606" s="86"/>
      <c r="K606" s="86"/>
      <c r="L606" s="86"/>
      <c r="M606" s="86"/>
      <c r="N606" s="86"/>
      <c r="O606" s="86"/>
      <c r="P606" s="86"/>
      <c r="Q606" s="86"/>
      <c r="R606" s="86"/>
      <c r="S606" s="86"/>
      <c r="T606" s="86"/>
      <c r="U606" s="86"/>
      <c r="V606" s="86"/>
      <c r="W606" s="86"/>
      <c r="X606" s="86"/>
      <c r="Y606" s="86"/>
      <c r="Z606" s="86"/>
      <c r="AA606" s="86"/>
      <c r="AB606" s="86"/>
      <c r="AC606" s="86"/>
      <c r="AD606" s="86"/>
      <c r="AE606" s="86"/>
      <c r="AF606" s="86"/>
      <c r="AG606" s="86"/>
      <c r="AH606" s="86"/>
      <c r="AI606" s="86"/>
      <c r="AJ606" s="86"/>
    </row>
    <row r="607" spans="1:36" x14ac:dyDescent="0.25">
      <c r="A607" s="274"/>
      <c r="B607" s="87"/>
      <c r="C607" s="87"/>
      <c r="D607" s="87"/>
      <c r="E607" s="87"/>
      <c r="F607" s="87"/>
      <c r="G607" s="87"/>
      <c r="H607" s="87"/>
      <c r="I607" s="87"/>
      <c r="J607" s="87"/>
      <c r="K607" s="87"/>
      <c r="L607" s="87"/>
      <c r="M607" s="87"/>
      <c r="N607" s="87"/>
      <c r="O607" s="87"/>
      <c r="P607" s="87"/>
      <c r="Q607" s="87"/>
      <c r="R607" s="87"/>
      <c r="S607" s="87"/>
      <c r="T607" s="87"/>
      <c r="U607" s="87"/>
      <c r="V607" s="87"/>
      <c r="W607" s="87"/>
      <c r="X607" s="87"/>
      <c r="Y607" s="87"/>
      <c r="Z607" s="87"/>
      <c r="AA607" s="87"/>
      <c r="AB607" s="87"/>
      <c r="AC607" s="87"/>
      <c r="AD607" s="87"/>
      <c r="AE607" s="87"/>
      <c r="AF607" s="87"/>
      <c r="AG607" s="87"/>
      <c r="AH607" s="87"/>
      <c r="AI607" s="87"/>
      <c r="AJ607" s="87"/>
    </row>
    <row r="608" spans="1:36" x14ac:dyDescent="0.25">
      <c r="A608" s="273"/>
      <c r="B608" s="86"/>
      <c r="C608" s="86"/>
      <c r="D608" s="86"/>
      <c r="E608" s="86"/>
      <c r="F608" s="86"/>
      <c r="G608" s="86"/>
      <c r="H608" s="86"/>
      <c r="I608" s="86"/>
      <c r="J608" s="86"/>
      <c r="K608" s="86"/>
      <c r="L608" s="86"/>
      <c r="M608" s="86"/>
      <c r="N608" s="86"/>
      <c r="O608" s="86"/>
      <c r="P608" s="86"/>
      <c r="Q608" s="86"/>
      <c r="R608" s="86"/>
      <c r="S608" s="86"/>
      <c r="T608" s="86"/>
      <c r="U608" s="86"/>
      <c r="V608" s="86"/>
      <c r="W608" s="86"/>
      <c r="X608" s="86"/>
      <c r="Y608" s="86"/>
      <c r="Z608" s="86"/>
      <c r="AA608" s="86"/>
      <c r="AB608" s="86"/>
      <c r="AC608" s="86"/>
      <c r="AD608" s="86"/>
      <c r="AE608" s="86"/>
      <c r="AF608" s="86"/>
      <c r="AG608" s="86"/>
      <c r="AH608" s="86"/>
      <c r="AI608" s="86"/>
      <c r="AJ608" s="86"/>
    </row>
    <row r="609" spans="1:36" x14ac:dyDescent="0.25">
      <c r="A609" s="274"/>
      <c r="B609" s="87"/>
      <c r="C609" s="87"/>
      <c r="D609" s="87"/>
      <c r="E609" s="87"/>
      <c r="F609" s="87"/>
      <c r="G609" s="87"/>
      <c r="H609" s="87"/>
      <c r="I609" s="87"/>
      <c r="J609" s="87"/>
      <c r="K609" s="87"/>
      <c r="L609" s="87"/>
      <c r="M609" s="87"/>
      <c r="N609" s="87"/>
      <c r="O609" s="87"/>
      <c r="P609" s="87"/>
      <c r="Q609" s="87"/>
      <c r="R609" s="87"/>
      <c r="S609" s="87"/>
      <c r="T609" s="87"/>
      <c r="U609" s="87"/>
      <c r="V609" s="87"/>
      <c r="W609" s="87"/>
      <c r="X609" s="87"/>
      <c r="Y609" s="87"/>
      <c r="Z609" s="87"/>
      <c r="AA609" s="87"/>
      <c r="AB609" s="87"/>
      <c r="AC609" s="87"/>
      <c r="AD609" s="87"/>
      <c r="AE609" s="87"/>
      <c r="AF609" s="87"/>
      <c r="AG609" s="87"/>
      <c r="AH609" s="87"/>
      <c r="AI609" s="87"/>
      <c r="AJ609" s="87"/>
    </row>
    <row r="610" spans="1:36" x14ac:dyDescent="0.25">
      <c r="A610" s="273"/>
      <c r="B610" s="86"/>
      <c r="C610" s="86"/>
      <c r="D610" s="86"/>
      <c r="E610" s="86"/>
      <c r="F610" s="86"/>
      <c r="G610" s="86"/>
      <c r="H610" s="86"/>
      <c r="I610" s="86"/>
      <c r="J610" s="86"/>
      <c r="K610" s="86"/>
      <c r="L610" s="86"/>
      <c r="M610" s="86"/>
      <c r="N610" s="86"/>
      <c r="O610" s="86"/>
      <c r="P610" s="86"/>
      <c r="Q610" s="86"/>
      <c r="R610" s="86"/>
      <c r="S610" s="86"/>
      <c r="T610" s="86"/>
      <c r="U610" s="86"/>
      <c r="V610" s="86"/>
      <c r="W610" s="86"/>
      <c r="X610" s="86"/>
      <c r="Y610" s="86"/>
      <c r="Z610" s="86"/>
      <c r="AA610" s="86"/>
      <c r="AB610" s="86"/>
      <c r="AC610" s="86"/>
      <c r="AD610" s="86"/>
      <c r="AE610" s="86"/>
      <c r="AF610" s="86"/>
      <c r="AG610" s="86"/>
      <c r="AH610" s="86"/>
      <c r="AI610" s="86"/>
      <c r="AJ610" s="86"/>
    </row>
    <row r="611" spans="1:36" x14ac:dyDescent="0.25">
      <c r="A611" s="274"/>
      <c r="B611" s="87"/>
      <c r="C611" s="87"/>
      <c r="D611" s="87"/>
      <c r="E611" s="87"/>
      <c r="F611" s="87"/>
      <c r="G611" s="87"/>
      <c r="H611" s="87"/>
      <c r="I611" s="87"/>
      <c r="J611" s="87"/>
      <c r="K611" s="87"/>
      <c r="L611" s="87"/>
      <c r="M611" s="87"/>
      <c r="N611" s="87"/>
      <c r="O611" s="87"/>
      <c r="P611" s="87"/>
      <c r="Q611" s="87"/>
      <c r="R611" s="87"/>
      <c r="S611" s="87"/>
      <c r="T611" s="87"/>
      <c r="U611" s="87"/>
      <c r="V611" s="87"/>
      <c r="W611" s="87"/>
      <c r="X611" s="87"/>
      <c r="Y611" s="87"/>
      <c r="Z611" s="87"/>
      <c r="AA611" s="87"/>
      <c r="AB611" s="87"/>
      <c r="AC611" s="87"/>
      <c r="AD611" s="87"/>
      <c r="AE611" s="87"/>
      <c r="AF611" s="87"/>
      <c r="AG611" s="87"/>
      <c r="AH611" s="87"/>
      <c r="AI611" s="87"/>
      <c r="AJ611" s="87"/>
    </row>
    <row r="612" spans="1:36" x14ac:dyDescent="0.25">
      <c r="A612" s="273"/>
      <c r="B612" s="86"/>
      <c r="C612" s="86"/>
      <c r="D612" s="86"/>
      <c r="E612" s="86"/>
      <c r="F612" s="86"/>
      <c r="G612" s="86"/>
      <c r="H612" s="86"/>
      <c r="I612" s="86"/>
      <c r="J612" s="86"/>
      <c r="K612" s="86"/>
      <c r="L612" s="86"/>
      <c r="M612" s="86"/>
      <c r="N612" s="86"/>
      <c r="O612" s="86"/>
      <c r="P612" s="86"/>
      <c r="Q612" s="86"/>
      <c r="R612" s="86"/>
      <c r="S612" s="86"/>
      <c r="T612" s="86"/>
      <c r="U612" s="86"/>
      <c r="V612" s="86"/>
      <c r="W612" s="86"/>
      <c r="X612" s="86"/>
      <c r="Y612" s="86"/>
      <c r="Z612" s="86"/>
      <c r="AA612" s="86"/>
      <c r="AB612" s="86"/>
      <c r="AC612" s="86"/>
      <c r="AD612" s="86"/>
      <c r="AE612" s="86"/>
      <c r="AF612" s="86"/>
      <c r="AG612" s="86"/>
      <c r="AH612" s="86"/>
      <c r="AI612" s="86"/>
      <c r="AJ612" s="86"/>
    </row>
    <row r="613" spans="1:36" x14ac:dyDescent="0.25">
      <c r="A613" s="274"/>
      <c r="B613" s="87"/>
      <c r="C613" s="87"/>
      <c r="D613" s="87"/>
      <c r="E613" s="87"/>
      <c r="F613" s="87"/>
      <c r="G613" s="87"/>
      <c r="H613" s="87"/>
      <c r="I613" s="87"/>
      <c r="J613" s="87"/>
      <c r="K613" s="87"/>
      <c r="L613" s="87"/>
      <c r="M613" s="87"/>
      <c r="N613" s="87"/>
      <c r="O613" s="87"/>
      <c r="P613" s="87"/>
      <c r="Q613" s="87"/>
      <c r="R613" s="87"/>
      <c r="S613" s="87"/>
      <c r="T613" s="87"/>
      <c r="U613" s="87"/>
      <c r="V613" s="87"/>
      <c r="W613" s="87"/>
      <c r="X613" s="87"/>
      <c r="Y613" s="87"/>
      <c r="Z613" s="87"/>
      <c r="AA613" s="87"/>
      <c r="AB613" s="87"/>
      <c r="AC613" s="87"/>
      <c r="AD613" s="87"/>
      <c r="AE613" s="87"/>
      <c r="AF613" s="87"/>
      <c r="AG613" s="87"/>
      <c r="AH613" s="87"/>
      <c r="AI613" s="87"/>
      <c r="AJ613" s="87"/>
    </row>
    <row r="614" spans="1:36" x14ac:dyDescent="0.25">
      <c r="A614" s="273"/>
      <c r="B614" s="86"/>
      <c r="C614" s="86"/>
      <c r="D614" s="86"/>
      <c r="E614" s="86"/>
      <c r="F614" s="86"/>
      <c r="G614" s="86"/>
      <c r="H614" s="86"/>
      <c r="I614" s="86"/>
      <c r="J614" s="86"/>
      <c r="K614" s="86"/>
      <c r="L614" s="86"/>
      <c r="M614" s="86"/>
      <c r="N614" s="86"/>
      <c r="O614" s="86"/>
      <c r="P614" s="86"/>
      <c r="Q614" s="86"/>
      <c r="R614" s="86"/>
      <c r="S614" s="86"/>
      <c r="T614" s="86"/>
      <c r="U614" s="86"/>
      <c r="V614" s="86"/>
      <c r="W614" s="86"/>
      <c r="X614" s="86"/>
      <c r="Y614" s="86"/>
      <c r="Z614" s="86"/>
      <c r="AA614" s="86"/>
      <c r="AB614" s="86"/>
      <c r="AC614" s="86"/>
      <c r="AD614" s="86"/>
      <c r="AE614" s="86"/>
      <c r="AF614" s="86"/>
      <c r="AG614" s="86"/>
      <c r="AH614" s="86"/>
      <c r="AI614" s="86"/>
      <c r="AJ614" s="86"/>
    </row>
    <row r="615" spans="1:36" x14ac:dyDescent="0.25">
      <c r="A615" s="274"/>
      <c r="B615" s="87"/>
      <c r="C615" s="87"/>
      <c r="D615" s="87"/>
      <c r="E615" s="87"/>
      <c r="F615" s="87"/>
      <c r="G615" s="87"/>
      <c r="H615" s="87"/>
      <c r="I615" s="87"/>
      <c r="J615" s="87"/>
      <c r="K615" s="87"/>
      <c r="L615" s="87"/>
      <c r="M615" s="87"/>
      <c r="N615" s="87"/>
      <c r="O615" s="87"/>
      <c r="P615" s="87"/>
      <c r="Q615" s="87"/>
      <c r="R615" s="87"/>
      <c r="S615" s="87"/>
      <c r="T615" s="87"/>
      <c r="U615" s="87"/>
      <c r="V615" s="87"/>
      <c r="W615" s="87"/>
      <c r="X615" s="87"/>
      <c r="Y615" s="87"/>
      <c r="Z615" s="87"/>
      <c r="AA615" s="87"/>
      <c r="AB615" s="87"/>
      <c r="AC615" s="87"/>
      <c r="AD615" s="87"/>
      <c r="AE615" s="87"/>
      <c r="AF615" s="87"/>
      <c r="AG615" s="87"/>
      <c r="AH615" s="87"/>
      <c r="AI615" s="87"/>
      <c r="AJ615" s="87"/>
    </row>
    <row r="616" spans="1:36" x14ac:dyDescent="0.25">
      <c r="A616" s="273"/>
      <c r="B616" s="86"/>
      <c r="C616" s="86"/>
      <c r="D616" s="86"/>
      <c r="E616" s="86"/>
      <c r="F616" s="86"/>
      <c r="G616" s="86"/>
      <c r="H616" s="86"/>
      <c r="I616" s="86"/>
      <c r="J616" s="86"/>
      <c r="K616" s="86"/>
      <c r="L616" s="86"/>
      <c r="M616" s="86"/>
      <c r="N616" s="86"/>
      <c r="O616" s="86"/>
      <c r="P616" s="86"/>
      <c r="Q616" s="86"/>
      <c r="R616" s="86"/>
      <c r="S616" s="86"/>
      <c r="T616" s="86"/>
      <c r="U616" s="86"/>
      <c r="V616" s="86"/>
      <c r="W616" s="86"/>
      <c r="X616" s="86"/>
      <c r="Y616" s="86"/>
      <c r="Z616" s="86"/>
      <c r="AA616" s="86"/>
      <c r="AB616" s="86"/>
      <c r="AC616" s="86"/>
      <c r="AD616" s="86"/>
      <c r="AE616" s="86"/>
      <c r="AF616" s="86"/>
      <c r="AG616" s="86"/>
      <c r="AH616" s="86"/>
      <c r="AI616" s="86"/>
      <c r="AJ616" s="86"/>
    </row>
    <row r="617" spans="1:36" x14ac:dyDescent="0.25">
      <c r="A617" s="274"/>
      <c r="B617" s="87"/>
      <c r="C617" s="87"/>
      <c r="D617" s="87"/>
      <c r="E617" s="87"/>
      <c r="F617" s="87"/>
      <c r="G617" s="87"/>
      <c r="H617" s="87"/>
      <c r="I617" s="87"/>
      <c r="J617" s="87"/>
      <c r="K617" s="87"/>
      <c r="L617" s="87"/>
      <c r="M617" s="87"/>
      <c r="N617" s="87"/>
      <c r="O617" s="87"/>
      <c r="P617" s="87"/>
      <c r="Q617" s="87"/>
      <c r="R617" s="87"/>
      <c r="S617" s="87"/>
      <c r="T617" s="87"/>
      <c r="U617" s="87"/>
      <c r="V617" s="87"/>
      <c r="W617" s="87"/>
      <c r="X617" s="87"/>
      <c r="Y617" s="87"/>
      <c r="Z617" s="87"/>
      <c r="AA617" s="87"/>
      <c r="AB617" s="87"/>
      <c r="AC617" s="87"/>
      <c r="AD617" s="87"/>
      <c r="AE617" s="87"/>
      <c r="AF617" s="87"/>
      <c r="AG617" s="87"/>
      <c r="AH617" s="87"/>
      <c r="AI617" s="87"/>
      <c r="AJ617" s="87"/>
    </row>
    <row r="618" spans="1:36" x14ac:dyDescent="0.25">
      <c r="A618" s="273"/>
      <c r="B618" s="86"/>
      <c r="C618" s="86"/>
      <c r="D618" s="86"/>
      <c r="E618" s="86"/>
      <c r="F618" s="86"/>
      <c r="G618" s="86"/>
      <c r="H618" s="86"/>
      <c r="I618" s="86"/>
      <c r="J618" s="86"/>
      <c r="K618" s="86"/>
      <c r="L618" s="86"/>
      <c r="M618" s="86"/>
      <c r="N618" s="86"/>
      <c r="O618" s="86"/>
      <c r="P618" s="86"/>
      <c r="Q618" s="86"/>
      <c r="R618" s="86"/>
      <c r="S618" s="86"/>
      <c r="T618" s="86"/>
      <c r="U618" s="86"/>
      <c r="V618" s="86"/>
      <c r="W618" s="86"/>
      <c r="X618" s="86"/>
      <c r="Y618" s="86"/>
      <c r="Z618" s="86"/>
      <c r="AA618" s="86"/>
      <c r="AB618" s="86"/>
      <c r="AC618" s="86"/>
      <c r="AD618" s="86"/>
      <c r="AE618" s="86"/>
      <c r="AF618" s="86"/>
      <c r="AG618" s="86"/>
      <c r="AH618" s="86"/>
      <c r="AI618" s="86"/>
      <c r="AJ618" s="86"/>
    </row>
    <row r="619" spans="1:36" x14ac:dyDescent="0.25">
      <c r="A619" s="274"/>
      <c r="B619" s="87"/>
      <c r="C619" s="87"/>
      <c r="D619" s="87"/>
      <c r="E619" s="87"/>
      <c r="F619" s="87"/>
      <c r="G619" s="87"/>
      <c r="H619" s="87"/>
      <c r="I619" s="87"/>
      <c r="J619" s="87"/>
      <c r="K619" s="87"/>
      <c r="L619" s="87"/>
      <c r="M619" s="87"/>
      <c r="N619" s="87"/>
      <c r="O619" s="87"/>
      <c r="P619" s="87"/>
      <c r="Q619" s="87"/>
      <c r="R619" s="87"/>
      <c r="S619" s="87"/>
      <c r="T619" s="87"/>
      <c r="U619" s="87"/>
      <c r="V619" s="87"/>
      <c r="W619" s="87"/>
      <c r="X619" s="87"/>
      <c r="Y619" s="87"/>
      <c r="Z619" s="87"/>
      <c r="AA619" s="87"/>
      <c r="AB619" s="87"/>
      <c r="AC619" s="87"/>
      <c r="AD619" s="87"/>
      <c r="AE619" s="87"/>
      <c r="AF619" s="87"/>
      <c r="AG619" s="87"/>
      <c r="AH619" s="87"/>
      <c r="AI619" s="87"/>
      <c r="AJ619" s="87"/>
    </row>
    <row r="620" spans="1:36" x14ac:dyDescent="0.25">
      <c r="A620" s="273"/>
      <c r="B620" s="86"/>
      <c r="C620" s="86"/>
      <c r="D620" s="86"/>
      <c r="E620" s="86"/>
      <c r="F620" s="86"/>
      <c r="G620" s="86"/>
      <c r="H620" s="86"/>
      <c r="I620" s="86"/>
      <c r="J620" s="86"/>
      <c r="K620" s="86"/>
      <c r="L620" s="86"/>
      <c r="M620" s="86"/>
      <c r="N620" s="86"/>
      <c r="O620" s="86"/>
      <c r="P620" s="86"/>
      <c r="Q620" s="86"/>
      <c r="R620" s="86"/>
      <c r="S620" s="86"/>
      <c r="T620" s="86"/>
      <c r="U620" s="86"/>
      <c r="V620" s="86"/>
      <c r="W620" s="86"/>
      <c r="X620" s="86"/>
      <c r="Y620" s="86"/>
      <c r="Z620" s="86"/>
      <c r="AA620" s="86"/>
      <c r="AB620" s="86"/>
      <c r="AC620" s="86"/>
      <c r="AD620" s="86"/>
      <c r="AE620" s="86"/>
      <c r="AF620" s="86"/>
      <c r="AG620" s="86"/>
      <c r="AH620" s="86"/>
      <c r="AI620" s="86"/>
      <c r="AJ620" s="86"/>
    </row>
    <row r="621" spans="1:36" x14ac:dyDescent="0.25">
      <c r="A621" s="274"/>
      <c r="B621" s="87"/>
      <c r="C621" s="87"/>
      <c r="D621" s="87"/>
      <c r="E621" s="87"/>
      <c r="F621" s="87"/>
      <c r="G621" s="87"/>
      <c r="H621" s="87"/>
      <c r="I621" s="87"/>
      <c r="J621" s="87"/>
      <c r="K621" s="87"/>
      <c r="L621" s="87"/>
      <c r="M621" s="87"/>
      <c r="N621" s="87"/>
      <c r="O621" s="87"/>
      <c r="P621" s="87"/>
      <c r="Q621" s="87"/>
      <c r="R621" s="87"/>
      <c r="S621" s="87"/>
      <c r="T621" s="87"/>
      <c r="U621" s="87"/>
      <c r="V621" s="87"/>
      <c r="W621" s="87"/>
      <c r="X621" s="87"/>
      <c r="Y621" s="87"/>
      <c r="Z621" s="87"/>
      <c r="AA621" s="87"/>
      <c r="AB621" s="87"/>
      <c r="AC621" s="87"/>
      <c r="AD621" s="87"/>
      <c r="AE621" s="87"/>
      <c r="AF621" s="87"/>
      <c r="AG621" s="87"/>
      <c r="AH621" s="87"/>
      <c r="AI621" s="87"/>
      <c r="AJ621" s="87"/>
    </row>
    <row r="622" spans="1:36" x14ac:dyDescent="0.25">
      <c r="A622" s="273"/>
      <c r="B622" s="86"/>
      <c r="C622" s="86"/>
      <c r="D622" s="86"/>
      <c r="E622" s="86"/>
      <c r="F622" s="86"/>
      <c r="G622" s="86"/>
      <c r="H622" s="86"/>
      <c r="I622" s="86"/>
      <c r="J622" s="86"/>
      <c r="K622" s="86"/>
      <c r="L622" s="86"/>
      <c r="M622" s="86"/>
      <c r="N622" s="86"/>
      <c r="O622" s="86"/>
      <c r="P622" s="86"/>
      <c r="Q622" s="86"/>
      <c r="R622" s="86"/>
      <c r="S622" s="86"/>
      <c r="T622" s="86"/>
      <c r="U622" s="86"/>
      <c r="V622" s="86"/>
      <c r="W622" s="86"/>
      <c r="X622" s="86"/>
      <c r="Y622" s="86"/>
      <c r="Z622" s="86"/>
      <c r="AA622" s="86"/>
      <c r="AB622" s="86"/>
      <c r="AC622" s="86"/>
      <c r="AD622" s="86"/>
      <c r="AE622" s="86"/>
      <c r="AF622" s="86"/>
      <c r="AG622" s="86"/>
      <c r="AH622" s="86"/>
      <c r="AI622" s="86"/>
      <c r="AJ622" s="86"/>
    </row>
    <row r="623" spans="1:36" x14ac:dyDescent="0.25">
      <c r="A623" s="274"/>
      <c r="B623" s="87"/>
      <c r="C623" s="87"/>
      <c r="D623" s="87"/>
      <c r="E623" s="87"/>
      <c r="F623" s="87"/>
      <c r="G623" s="87"/>
      <c r="H623" s="87"/>
      <c r="I623" s="87"/>
      <c r="J623" s="87"/>
      <c r="K623" s="87"/>
      <c r="L623" s="87"/>
      <c r="M623" s="87"/>
      <c r="N623" s="87"/>
      <c r="O623" s="87"/>
      <c r="P623" s="87"/>
      <c r="Q623" s="87"/>
      <c r="R623" s="87"/>
      <c r="S623" s="87"/>
      <c r="T623" s="87"/>
      <c r="U623" s="87"/>
      <c r="V623" s="87"/>
      <c r="W623" s="87"/>
      <c r="X623" s="87"/>
      <c r="Y623" s="87"/>
      <c r="Z623" s="87"/>
      <c r="AA623" s="87"/>
      <c r="AB623" s="87"/>
      <c r="AC623" s="87"/>
      <c r="AD623" s="87"/>
      <c r="AE623" s="87"/>
      <c r="AF623" s="87"/>
      <c r="AG623" s="87"/>
      <c r="AH623" s="87"/>
      <c r="AI623" s="87"/>
      <c r="AJ623" s="87"/>
    </row>
    <row r="624" spans="1:36" x14ac:dyDescent="0.25">
      <c r="A624" s="273"/>
      <c r="B624" s="86"/>
      <c r="C624" s="86"/>
      <c r="D624" s="86"/>
      <c r="E624" s="86"/>
      <c r="F624" s="86"/>
      <c r="G624" s="86"/>
      <c r="H624" s="86"/>
      <c r="I624" s="86"/>
      <c r="J624" s="86"/>
      <c r="K624" s="86"/>
      <c r="L624" s="86"/>
      <c r="M624" s="86"/>
      <c r="N624" s="86"/>
      <c r="O624" s="86"/>
      <c r="P624" s="86"/>
      <c r="Q624" s="86"/>
      <c r="R624" s="86"/>
      <c r="S624" s="86"/>
      <c r="T624" s="86"/>
      <c r="U624" s="86"/>
      <c r="V624" s="86"/>
      <c r="W624" s="86"/>
      <c r="X624" s="86"/>
      <c r="Y624" s="86"/>
      <c r="Z624" s="86"/>
      <c r="AA624" s="86"/>
      <c r="AB624" s="86"/>
      <c r="AC624" s="86"/>
      <c r="AD624" s="86"/>
      <c r="AE624" s="86"/>
      <c r="AF624" s="86"/>
      <c r="AG624" s="86"/>
      <c r="AH624" s="86"/>
      <c r="AI624" s="86"/>
      <c r="AJ624" s="86"/>
    </row>
    <row r="625" spans="1:36" x14ac:dyDescent="0.25">
      <c r="A625" s="274"/>
      <c r="B625" s="87"/>
      <c r="C625" s="87"/>
      <c r="D625" s="87"/>
      <c r="E625" s="87"/>
      <c r="F625" s="87"/>
      <c r="G625" s="87"/>
      <c r="H625" s="87"/>
      <c r="I625" s="87"/>
      <c r="J625" s="87"/>
      <c r="K625" s="87"/>
      <c r="L625" s="87"/>
      <c r="M625" s="87"/>
      <c r="N625" s="87"/>
      <c r="O625" s="87"/>
      <c r="P625" s="87"/>
      <c r="Q625" s="87"/>
      <c r="R625" s="87"/>
      <c r="S625" s="87"/>
      <c r="T625" s="87"/>
      <c r="U625" s="87"/>
      <c r="V625" s="87"/>
      <c r="W625" s="87"/>
      <c r="X625" s="87"/>
      <c r="Y625" s="87"/>
      <c r="Z625" s="87"/>
      <c r="AA625" s="87"/>
      <c r="AB625" s="87"/>
      <c r="AC625" s="87"/>
      <c r="AD625" s="87"/>
      <c r="AE625" s="87"/>
      <c r="AF625" s="87"/>
      <c r="AG625" s="87"/>
      <c r="AH625" s="87"/>
      <c r="AI625" s="87"/>
      <c r="AJ625" s="87"/>
    </row>
    <row r="626" spans="1:36" x14ac:dyDescent="0.25">
      <c r="A626" s="273"/>
      <c r="B626" s="86"/>
      <c r="C626" s="86"/>
      <c r="D626" s="86"/>
      <c r="E626" s="86"/>
      <c r="F626" s="86"/>
      <c r="G626" s="86"/>
      <c r="H626" s="86"/>
      <c r="I626" s="86"/>
      <c r="J626" s="86"/>
      <c r="K626" s="86"/>
      <c r="L626" s="86"/>
      <c r="M626" s="86"/>
      <c r="N626" s="86"/>
      <c r="O626" s="86"/>
      <c r="P626" s="86"/>
      <c r="Q626" s="86"/>
      <c r="R626" s="86"/>
      <c r="S626" s="86"/>
      <c r="T626" s="86"/>
      <c r="U626" s="86"/>
      <c r="V626" s="86"/>
      <c r="W626" s="86"/>
      <c r="X626" s="86"/>
      <c r="Y626" s="86"/>
      <c r="Z626" s="86"/>
      <c r="AA626" s="86"/>
      <c r="AB626" s="86"/>
      <c r="AC626" s="86"/>
      <c r="AD626" s="86"/>
      <c r="AE626" s="86"/>
      <c r="AF626" s="86"/>
      <c r="AG626" s="86"/>
      <c r="AH626" s="86"/>
      <c r="AI626" s="86"/>
      <c r="AJ626" s="86"/>
    </row>
    <row r="627" spans="1:36" x14ac:dyDescent="0.25">
      <c r="A627" s="274"/>
      <c r="B627" s="87"/>
      <c r="C627" s="87"/>
      <c r="D627" s="87"/>
      <c r="E627" s="87"/>
      <c r="F627" s="87"/>
      <c r="G627" s="87"/>
      <c r="H627" s="87"/>
      <c r="I627" s="87"/>
      <c r="J627" s="87"/>
      <c r="K627" s="87"/>
      <c r="L627" s="87"/>
      <c r="M627" s="87"/>
      <c r="N627" s="87"/>
      <c r="O627" s="87"/>
      <c r="P627" s="87"/>
      <c r="Q627" s="87"/>
      <c r="R627" s="87"/>
      <c r="S627" s="87"/>
      <c r="T627" s="87"/>
      <c r="U627" s="87"/>
      <c r="V627" s="87"/>
      <c r="W627" s="87"/>
      <c r="X627" s="87"/>
      <c r="Y627" s="87"/>
      <c r="Z627" s="87"/>
      <c r="AA627" s="87"/>
      <c r="AB627" s="87"/>
      <c r="AC627" s="87"/>
      <c r="AD627" s="87"/>
      <c r="AE627" s="87"/>
      <c r="AF627" s="87"/>
      <c r="AG627" s="87"/>
      <c r="AH627" s="87"/>
      <c r="AI627" s="87"/>
      <c r="AJ627" s="87"/>
    </row>
    <row r="628" spans="1:36" x14ac:dyDescent="0.25">
      <c r="A628" s="273"/>
      <c r="B628" s="86"/>
      <c r="C628" s="86"/>
      <c r="D628" s="86"/>
      <c r="E628" s="86"/>
      <c r="F628" s="86"/>
      <c r="G628" s="86"/>
      <c r="H628" s="86"/>
      <c r="I628" s="86"/>
      <c r="J628" s="86"/>
      <c r="K628" s="86"/>
      <c r="L628" s="86"/>
      <c r="M628" s="86"/>
      <c r="N628" s="86"/>
      <c r="O628" s="86"/>
      <c r="P628" s="86"/>
      <c r="Q628" s="86"/>
      <c r="R628" s="86"/>
      <c r="S628" s="86"/>
      <c r="T628" s="86"/>
      <c r="U628" s="86"/>
      <c r="V628" s="86"/>
      <c r="W628" s="86"/>
      <c r="X628" s="86"/>
      <c r="Y628" s="86"/>
      <c r="Z628" s="86"/>
      <c r="AA628" s="86"/>
      <c r="AB628" s="86"/>
      <c r="AC628" s="86"/>
      <c r="AD628" s="86"/>
      <c r="AE628" s="86"/>
      <c r="AF628" s="86"/>
      <c r="AG628" s="86"/>
      <c r="AH628" s="86"/>
      <c r="AI628" s="86"/>
      <c r="AJ628" s="86"/>
    </row>
    <row r="629" spans="1:36" x14ac:dyDescent="0.25">
      <c r="A629" s="274"/>
      <c r="B629" s="87"/>
      <c r="C629" s="87"/>
      <c r="D629" s="87"/>
      <c r="E629" s="87"/>
      <c r="F629" s="87"/>
      <c r="G629" s="87"/>
      <c r="H629" s="87"/>
      <c r="I629" s="87"/>
      <c r="J629" s="87"/>
      <c r="K629" s="87"/>
      <c r="L629" s="87"/>
      <c r="M629" s="87"/>
      <c r="N629" s="87"/>
      <c r="O629" s="87"/>
      <c r="P629" s="87"/>
      <c r="Q629" s="87"/>
      <c r="R629" s="87"/>
      <c r="S629" s="87"/>
      <c r="T629" s="87"/>
      <c r="U629" s="87"/>
      <c r="V629" s="87"/>
      <c r="W629" s="87"/>
      <c r="X629" s="87"/>
      <c r="Y629" s="87"/>
      <c r="Z629" s="87"/>
      <c r="AA629" s="87"/>
      <c r="AB629" s="87"/>
      <c r="AC629" s="87"/>
      <c r="AD629" s="87"/>
      <c r="AE629" s="87"/>
      <c r="AF629" s="87"/>
      <c r="AG629" s="87"/>
      <c r="AH629" s="87"/>
      <c r="AI629" s="87"/>
      <c r="AJ629" s="87"/>
    </row>
    <row r="630" spans="1:36" x14ac:dyDescent="0.25">
      <c r="A630" s="273"/>
      <c r="B630" s="86"/>
      <c r="C630" s="86"/>
      <c r="D630" s="86"/>
      <c r="E630" s="86"/>
      <c r="F630" s="86"/>
      <c r="G630" s="86"/>
      <c r="H630" s="86"/>
      <c r="I630" s="86"/>
      <c r="J630" s="86"/>
      <c r="K630" s="86"/>
      <c r="L630" s="86"/>
      <c r="M630" s="86"/>
      <c r="N630" s="86"/>
      <c r="O630" s="86"/>
      <c r="P630" s="86"/>
      <c r="Q630" s="86"/>
      <c r="R630" s="86"/>
      <c r="S630" s="86"/>
      <c r="T630" s="86"/>
      <c r="U630" s="86"/>
      <c r="V630" s="86"/>
      <c r="W630" s="86"/>
      <c r="X630" s="86"/>
      <c r="Y630" s="86"/>
      <c r="Z630" s="86"/>
      <c r="AA630" s="86"/>
      <c r="AB630" s="86"/>
      <c r="AC630" s="86"/>
      <c r="AD630" s="86"/>
      <c r="AE630" s="86"/>
      <c r="AF630" s="86"/>
      <c r="AG630" s="86"/>
      <c r="AH630" s="86"/>
      <c r="AI630" s="86"/>
      <c r="AJ630" s="86"/>
    </row>
    <row r="631" spans="1:36" x14ac:dyDescent="0.25">
      <c r="A631" s="274"/>
      <c r="B631" s="87"/>
      <c r="C631" s="87"/>
      <c r="D631" s="87"/>
      <c r="E631" s="87"/>
      <c r="F631" s="87"/>
      <c r="G631" s="87"/>
      <c r="H631" s="87"/>
      <c r="I631" s="87"/>
      <c r="J631" s="87"/>
      <c r="K631" s="87"/>
      <c r="L631" s="87"/>
      <c r="M631" s="87"/>
      <c r="N631" s="87"/>
      <c r="O631" s="87"/>
      <c r="P631" s="87"/>
      <c r="Q631" s="87"/>
      <c r="R631" s="87"/>
      <c r="S631" s="87"/>
      <c r="T631" s="87"/>
      <c r="U631" s="87"/>
      <c r="V631" s="87"/>
      <c r="W631" s="87"/>
      <c r="X631" s="87"/>
      <c r="Y631" s="87"/>
      <c r="Z631" s="87"/>
      <c r="AA631" s="87"/>
      <c r="AB631" s="87"/>
      <c r="AC631" s="87"/>
      <c r="AD631" s="87"/>
      <c r="AE631" s="87"/>
      <c r="AF631" s="87"/>
      <c r="AG631" s="87"/>
      <c r="AH631" s="87"/>
      <c r="AI631" s="87"/>
      <c r="AJ631" s="87"/>
    </row>
    <row r="632" spans="1:36" x14ac:dyDescent="0.25">
      <c r="A632" s="273"/>
      <c r="B632" s="86"/>
      <c r="C632" s="86"/>
      <c r="D632" s="86"/>
      <c r="E632" s="86"/>
      <c r="F632" s="86"/>
      <c r="G632" s="86"/>
      <c r="H632" s="86"/>
      <c r="I632" s="86"/>
      <c r="J632" s="86"/>
      <c r="K632" s="86"/>
      <c r="L632" s="86"/>
      <c r="M632" s="86"/>
      <c r="N632" s="86"/>
      <c r="O632" s="86"/>
      <c r="P632" s="86"/>
      <c r="Q632" s="86"/>
      <c r="R632" s="86"/>
      <c r="S632" s="86"/>
      <c r="T632" s="86"/>
      <c r="U632" s="86"/>
      <c r="V632" s="86"/>
      <c r="W632" s="86"/>
      <c r="X632" s="86"/>
      <c r="Y632" s="86"/>
      <c r="Z632" s="86"/>
      <c r="AA632" s="86"/>
      <c r="AB632" s="86"/>
      <c r="AC632" s="86"/>
      <c r="AD632" s="86"/>
      <c r="AE632" s="86"/>
      <c r="AF632" s="86"/>
      <c r="AG632" s="86"/>
      <c r="AH632" s="86"/>
      <c r="AI632" s="86"/>
      <c r="AJ632" s="86"/>
    </row>
    <row r="633" spans="1:36" x14ac:dyDescent="0.25">
      <c r="A633" s="274"/>
      <c r="B633" s="87"/>
      <c r="C633" s="87"/>
      <c r="D633" s="87"/>
      <c r="E633" s="87"/>
      <c r="F633" s="87"/>
      <c r="G633" s="87"/>
      <c r="H633" s="87"/>
      <c r="I633" s="87"/>
      <c r="J633" s="87"/>
      <c r="K633" s="87"/>
      <c r="L633" s="87"/>
      <c r="M633" s="87"/>
      <c r="N633" s="87"/>
      <c r="O633" s="87"/>
      <c r="P633" s="87"/>
      <c r="Q633" s="87"/>
      <c r="R633" s="87"/>
      <c r="S633" s="87"/>
      <c r="T633" s="87"/>
      <c r="U633" s="87"/>
      <c r="V633" s="87"/>
      <c r="W633" s="87"/>
      <c r="X633" s="87"/>
      <c r="Y633" s="87"/>
      <c r="Z633" s="87"/>
      <c r="AA633" s="87"/>
      <c r="AB633" s="87"/>
      <c r="AC633" s="87"/>
      <c r="AD633" s="87"/>
      <c r="AE633" s="87"/>
      <c r="AF633" s="87"/>
      <c r="AG633" s="87"/>
      <c r="AH633" s="87"/>
      <c r="AI633" s="87"/>
      <c r="AJ633" s="87"/>
    </row>
    <row r="634" spans="1:36" x14ac:dyDescent="0.25">
      <c r="A634" s="273"/>
      <c r="B634" s="86"/>
      <c r="C634" s="86"/>
      <c r="D634" s="86"/>
      <c r="E634" s="86"/>
      <c r="F634" s="86"/>
      <c r="G634" s="86"/>
      <c r="H634" s="86"/>
      <c r="I634" s="86"/>
      <c r="J634" s="86"/>
      <c r="K634" s="86"/>
      <c r="L634" s="86"/>
      <c r="M634" s="86"/>
      <c r="N634" s="86"/>
      <c r="O634" s="86"/>
      <c r="P634" s="86"/>
      <c r="Q634" s="86"/>
      <c r="R634" s="86"/>
      <c r="S634" s="86"/>
      <c r="T634" s="86"/>
      <c r="U634" s="86"/>
      <c r="V634" s="86"/>
      <c r="W634" s="86"/>
      <c r="X634" s="86"/>
      <c r="Y634" s="86"/>
      <c r="Z634" s="86"/>
      <c r="AA634" s="86"/>
      <c r="AB634" s="86"/>
      <c r="AC634" s="86"/>
      <c r="AD634" s="86"/>
      <c r="AE634" s="86"/>
      <c r="AF634" s="86"/>
      <c r="AG634" s="86"/>
      <c r="AH634" s="86"/>
      <c r="AI634" s="86"/>
      <c r="AJ634" s="86"/>
    </row>
    <row r="635" spans="1:36" x14ac:dyDescent="0.25">
      <c r="A635" s="274"/>
      <c r="B635" s="87"/>
      <c r="C635" s="87"/>
      <c r="D635" s="87"/>
      <c r="E635" s="87"/>
      <c r="F635" s="87"/>
      <c r="G635" s="87"/>
      <c r="H635" s="87"/>
      <c r="I635" s="87"/>
      <c r="J635" s="87"/>
      <c r="K635" s="87"/>
      <c r="L635" s="87"/>
      <c r="M635" s="87"/>
      <c r="N635" s="87"/>
      <c r="O635" s="87"/>
      <c r="P635" s="87"/>
      <c r="Q635" s="87"/>
      <c r="R635" s="87"/>
      <c r="S635" s="87"/>
      <c r="T635" s="87"/>
      <c r="U635" s="87"/>
      <c r="V635" s="87"/>
      <c r="W635" s="87"/>
      <c r="X635" s="87"/>
      <c r="Y635" s="87"/>
      <c r="Z635" s="87"/>
      <c r="AA635" s="87"/>
      <c r="AB635" s="87"/>
      <c r="AC635" s="87"/>
      <c r="AD635" s="87"/>
      <c r="AE635" s="87"/>
      <c r="AF635" s="87"/>
      <c r="AG635" s="87"/>
      <c r="AH635" s="87"/>
      <c r="AI635" s="87"/>
      <c r="AJ635" s="87"/>
    </row>
    <row r="636" spans="1:36" x14ac:dyDescent="0.25">
      <c r="A636" s="273"/>
      <c r="B636" s="86"/>
      <c r="C636" s="86"/>
      <c r="D636" s="86"/>
      <c r="E636" s="86"/>
      <c r="F636" s="86"/>
      <c r="G636" s="86"/>
      <c r="H636" s="86"/>
      <c r="I636" s="86"/>
      <c r="J636" s="86"/>
      <c r="K636" s="86"/>
      <c r="L636" s="86"/>
      <c r="M636" s="86"/>
      <c r="N636" s="86"/>
      <c r="O636" s="86"/>
      <c r="P636" s="86"/>
      <c r="Q636" s="86"/>
      <c r="R636" s="86"/>
      <c r="S636" s="86"/>
      <c r="T636" s="86"/>
      <c r="U636" s="86"/>
      <c r="V636" s="86"/>
      <c r="W636" s="86"/>
      <c r="X636" s="86"/>
      <c r="Y636" s="86"/>
      <c r="Z636" s="86"/>
      <c r="AA636" s="86"/>
      <c r="AB636" s="86"/>
      <c r="AC636" s="86"/>
      <c r="AD636" s="86"/>
      <c r="AE636" s="86"/>
      <c r="AF636" s="86"/>
      <c r="AG636" s="86"/>
      <c r="AH636" s="86"/>
      <c r="AI636" s="86"/>
      <c r="AJ636" s="86"/>
    </row>
    <row r="637" spans="1:36" x14ac:dyDescent="0.25">
      <c r="A637" s="274"/>
      <c r="B637" s="87"/>
      <c r="C637" s="87"/>
      <c r="D637" s="87"/>
      <c r="E637" s="87"/>
      <c r="F637" s="87"/>
      <c r="G637" s="87"/>
      <c r="H637" s="87"/>
      <c r="I637" s="87"/>
      <c r="J637" s="87"/>
      <c r="K637" s="87"/>
      <c r="L637" s="87"/>
      <c r="M637" s="87"/>
      <c r="N637" s="87"/>
      <c r="O637" s="87"/>
      <c r="P637" s="87"/>
      <c r="Q637" s="87"/>
      <c r="R637" s="87"/>
      <c r="S637" s="87"/>
      <c r="T637" s="87"/>
      <c r="U637" s="87"/>
      <c r="V637" s="87"/>
      <c r="W637" s="87"/>
      <c r="X637" s="87"/>
      <c r="Y637" s="87"/>
      <c r="Z637" s="87"/>
      <c r="AA637" s="87"/>
      <c r="AB637" s="87"/>
      <c r="AC637" s="87"/>
      <c r="AD637" s="87"/>
      <c r="AE637" s="87"/>
      <c r="AF637" s="87"/>
      <c r="AG637" s="87"/>
      <c r="AH637" s="87"/>
      <c r="AI637" s="87"/>
      <c r="AJ637" s="87"/>
    </row>
    <row r="638" spans="1:36" x14ac:dyDescent="0.25">
      <c r="A638" s="273"/>
      <c r="B638" s="86"/>
      <c r="C638" s="86"/>
      <c r="D638" s="86"/>
      <c r="E638" s="86"/>
      <c r="F638" s="86"/>
      <c r="G638" s="86"/>
      <c r="H638" s="86"/>
      <c r="I638" s="86"/>
      <c r="J638" s="86"/>
      <c r="K638" s="86"/>
      <c r="L638" s="86"/>
      <c r="M638" s="86"/>
      <c r="N638" s="86"/>
      <c r="O638" s="86"/>
      <c r="P638" s="86"/>
      <c r="Q638" s="86"/>
      <c r="R638" s="86"/>
      <c r="S638" s="86"/>
      <c r="T638" s="86"/>
      <c r="U638" s="86"/>
      <c r="V638" s="86"/>
      <c r="W638" s="86"/>
      <c r="X638" s="86"/>
      <c r="Y638" s="86"/>
      <c r="Z638" s="86"/>
      <c r="AA638" s="86"/>
      <c r="AB638" s="86"/>
      <c r="AC638" s="86"/>
      <c r="AD638" s="86"/>
      <c r="AE638" s="86"/>
      <c r="AF638" s="86"/>
      <c r="AG638" s="86"/>
      <c r="AH638" s="86"/>
      <c r="AI638" s="86"/>
      <c r="AJ638" s="86"/>
    </row>
    <row r="639" spans="1:36" x14ac:dyDescent="0.25">
      <c r="A639" s="274"/>
      <c r="B639" s="87"/>
      <c r="C639" s="87"/>
      <c r="D639" s="87"/>
      <c r="E639" s="87"/>
      <c r="F639" s="87"/>
      <c r="G639" s="87"/>
      <c r="H639" s="87"/>
      <c r="I639" s="87"/>
      <c r="J639" s="87"/>
      <c r="K639" s="87"/>
      <c r="L639" s="87"/>
      <c r="M639" s="87"/>
      <c r="N639" s="87"/>
      <c r="O639" s="87"/>
      <c r="P639" s="87"/>
      <c r="Q639" s="87"/>
      <c r="R639" s="87"/>
      <c r="S639" s="87"/>
      <c r="T639" s="87"/>
      <c r="U639" s="87"/>
      <c r="V639" s="87"/>
      <c r="W639" s="87"/>
      <c r="X639" s="87"/>
      <c r="Y639" s="87"/>
      <c r="Z639" s="87"/>
      <c r="AA639" s="87"/>
      <c r="AB639" s="87"/>
      <c r="AC639" s="87"/>
      <c r="AD639" s="87"/>
      <c r="AE639" s="87"/>
      <c r="AF639" s="87"/>
      <c r="AG639" s="87"/>
      <c r="AH639" s="87"/>
      <c r="AI639" s="87"/>
      <c r="AJ639" s="87"/>
    </row>
    <row r="640" spans="1:36" x14ac:dyDescent="0.25">
      <c r="A640" s="273"/>
      <c r="B640" s="86"/>
      <c r="C640" s="86"/>
      <c r="D640" s="86"/>
      <c r="E640" s="86"/>
      <c r="F640" s="86"/>
      <c r="G640" s="86"/>
      <c r="H640" s="86"/>
      <c r="I640" s="86"/>
      <c r="J640" s="86"/>
      <c r="K640" s="86"/>
      <c r="L640" s="86"/>
      <c r="M640" s="86"/>
      <c r="N640" s="86"/>
      <c r="O640" s="86"/>
      <c r="P640" s="86"/>
      <c r="Q640" s="86"/>
      <c r="R640" s="86"/>
      <c r="S640" s="86"/>
      <c r="T640" s="86"/>
      <c r="U640" s="86"/>
      <c r="V640" s="86"/>
      <c r="W640" s="86"/>
      <c r="X640" s="86"/>
      <c r="Y640" s="86"/>
      <c r="Z640" s="86"/>
      <c r="AA640" s="86"/>
      <c r="AB640" s="86"/>
      <c r="AC640" s="86"/>
      <c r="AD640" s="86"/>
      <c r="AE640" s="86"/>
      <c r="AF640" s="86"/>
      <c r="AG640" s="86"/>
      <c r="AH640" s="86"/>
      <c r="AI640" s="86"/>
      <c r="AJ640" s="86"/>
    </row>
    <row r="641" spans="1:36" x14ac:dyDescent="0.25">
      <c r="A641" s="274"/>
      <c r="B641" s="87"/>
      <c r="C641" s="87"/>
      <c r="D641" s="87"/>
      <c r="E641" s="87"/>
      <c r="F641" s="87"/>
      <c r="G641" s="87"/>
      <c r="H641" s="87"/>
      <c r="I641" s="87"/>
      <c r="J641" s="87"/>
      <c r="K641" s="87"/>
      <c r="L641" s="87"/>
      <c r="M641" s="87"/>
      <c r="N641" s="87"/>
      <c r="O641" s="87"/>
      <c r="P641" s="87"/>
      <c r="Q641" s="87"/>
      <c r="R641" s="87"/>
      <c r="S641" s="87"/>
      <c r="T641" s="87"/>
      <c r="U641" s="87"/>
      <c r="V641" s="87"/>
      <c r="W641" s="87"/>
      <c r="X641" s="87"/>
      <c r="Y641" s="87"/>
      <c r="Z641" s="87"/>
      <c r="AA641" s="87"/>
      <c r="AB641" s="87"/>
      <c r="AC641" s="87"/>
      <c r="AD641" s="87"/>
      <c r="AE641" s="87"/>
      <c r="AF641" s="87"/>
      <c r="AG641" s="87"/>
      <c r="AH641" s="87"/>
      <c r="AI641" s="87"/>
      <c r="AJ641" s="87"/>
    </row>
    <row r="642" spans="1:36" x14ac:dyDescent="0.25">
      <c r="A642" s="273"/>
      <c r="B642" s="86"/>
      <c r="C642" s="86"/>
      <c r="D642" s="86"/>
      <c r="E642" s="86"/>
      <c r="F642" s="86"/>
      <c r="G642" s="86"/>
      <c r="H642" s="86"/>
      <c r="I642" s="86"/>
      <c r="J642" s="86"/>
      <c r="K642" s="86"/>
      <c r="L642" s="86"/>
      <c r="M642" s="86"/>
      <c r="N642" s="86"/>
      <c r="O642" s="86"/>
      <c r="P642" s="86"/>
      <c r="Q642" s="86"/>
      <c r="R642" s="86"/>
      <c r="S642" s="86"/>
      <c r="T642" s="86"/>
      <c r="U642" s="86"/>
      <c r="V642" s="86"/>
      <c r="W642" s="86"/>
      <c r="X642" s="86"/>
      <c r="Y642" s="86"/>
      <c r="Z642" s="86"/>
      <c r="AA642" s="86"/>
      <c r="AB642" s="86"/>
      <c r="AC642" s="86"/>
      <c r="AD642" s="86"/>
      <c r="AE642" s="86"/>
      <c r="AF642" s="86"/>
      <c r="AG642" s="86"/>
      <c r="AH642" s="86"/>
      <c r="AI642" s="86"/>
      <c r="AJ642" s="86"/>
    </row>
    <row r="643" spans="1:36" x14ac:dyDescent="0.25">
      <c r="A643" s="274"/>
      <c r="B643" s="87"/>
      <c r="C643" s="87"/>
      <c r="D643" s="87"/>
      <c r="E643" s="87"/>
      <c r="F643" s="87"/>
      <c r="G643" s="87"/>
      <c r="H643" s="87"/>
      <c r="I643" s="87"/>
      <c r="J643" s="87"/>
      <c r="K643" s="87"/>
      <c r="L643" s="87"/>
      <c r="M643" s="87"/>
      <c r="N643" s="87"/>
      <c r="O643" s="87"/>
      <c r="P643" s="87"/>
      <c r="Q643" s="87"/>
      <c r="R643" s="87"/>
      <c r="S643" s="87"/>
      <c r="T643" s="87"/>
      <c r="U643" s="87"/>
      <c r="V643" s="87"/>
      <c r="W643" s="87"/>
      <c r="X643" s="87"/>
      <c r="Y643" s="87"/>
      <c r="Z643" s="87"/>
      <c r="AA643" s="87"/>
      <c r="AB643" s="87"/>
      <c r="AC643" s="87"/>
      <c r="AD643" s="87"/>
      <c r="AE643" s="87"/>
      <c r="AF643" s="87"/>
      <c r="AG643" s="87"/>
      <c r="AH643" s="87"/>
      <c r="AI643" s="87"/>
      <c r="AJ643" s="87"/>
    </row>
    <row r="644" spans="1:36" x14ac:dyDescent="0.25">
      <c r="A644" s="273"/>
      <c r="B644" s="86"/>
      <c r="C644" s="86"/>
      <c r="D644" s="86"/>
      <c r="E644" s="86"/>
      <c r="F644" s="86"/>
      <c r="G644" s="86"/>
      <c r="H644" s="86"/>
      <c r="I644" s="86"/>
      <c r="J644" s="86"/>
      <c r="K644" s="86"/>
      <c r="L644" s="86"/>
      <c r="M644" s="86"/>
      <c r="N644" s="86"/>
      <c r="O644" s="86"/>
      <c r="P644" s="86"/>
      <c r="Q644" s="86"/>
      <c r="R644" s="86"/>
      <c r="S644" s="86"/>
      <c r="T644" s="86"/>
      <c r="U644" s="86"/>
      <c r="V644" s="86"/>
      <c r="W644" s="86"/>
      <c r="X644" s="86"/>
      <c r="Y644" s="86"/>
      <c r="Z644" s="86"/>
      <c r="AA644" s="86"/>
      <c r="AB644" s="86"/>
      <c r="AC644" s="86"/>
      <c r="AD644" s="86"/>
      <c r="AE644" s="86"/>
      <c r="AF644" s="86"/>
      <c r="AG644" s="86"/>
      <c r="AH644" s="86"/>
      <c r="AI644" s="86"/>
      <c r="AJ644" s="86"/>
    </row>
    <row r="645" spans="1:36" x14ac:dyDescent="0.25">
      <c r="A645" s="274"/>
      <c r="B645" s="87"/>
      <c r="C645" s="87"/>
      <c r="D645" s="87"/>
      <c r="E645" s="87"/>
      <c r="F645" s="87"/>
      <c r="G645" s="87"/>
      <c r="H645" s="87"/>
      <c r="I645" s="87"/>
      <c r="J645" s="87"/>
      <c r="K645" s="87"/>
      <c r="L645" s="87"/>
      <c r="M645" s="87"/>
      <c r="N645" s="87"/>
      <c r="O645" s="87"/>
      <c r="P645" s="87"/>
      <c r="Q645" s="87"/>
      <c r="R645" s="87"/>
      <c r="S645" s="87"/>
      <c r="T645" s="87"/>
      <c r="U645" s="87"/>
      <c r="V645" s="87"/>
      <c r="W645" s="87"/>
      <c r="X645" s="87"/>
      <c r="Y645" s="87"/>
      <c r="Z645" s="87"/>
      <c r="AA645" s="87"/>
      <c r="AB645" s="87"/>
      <c r="AC645" s="87"/>
      <c r="AD645" s="87"/>
      <c r="AE645" s="87"/>
      <c r="AF645" s="87"/>
      <c r="AG645" s="87"/>
      <c r="AH645" s="87"/>
      <c r="AI645" s="87"/>
      <c r="AJ645" s="87"/>
    </row>
    <row r="646" spans="1:36" x14ac:dyDescent="0.25">
      <c r="A646" s="273"/>
      <c r="B646" s="86"/>
      <c r="C646" s="86"/>
      <c r="D646" s="86"/>
      <c r="E646" s="86"/>
      <c r="F646" s="86"/>
      <c r="G646" s="86"/>
      <c r="H646" s="86"/>
      <c r="I646" s="86"/>
      <c r="J646" s="86"/>
      <c r="K646" s="86"/>
      <c r="L646" s="86"/>
      <c r="M646" s="86"/>
      <c r="N646" s="86"/>
      <c r="O646" s="86"/>
      <c r="P646" s="86"/>
      <c r="Q646" s="86"/>
      <c r="R646" s="86"/>
      <c r="S646" s="86"/>
      <c r="T646" s="86"/>
      <c r="U646" s="86"/>
      <c r="V646" s="86"/>
      <c r="W646" s="86"/>
      <c r="X646" s="86"/>
      <c r="Y646" s="86"/>
      <c r="Z646" s="86"/>
      <c r="AA646" s="86"/>
      <c r="AB646" s="86"/>
      <c r="AC646" s="86"/>
      <c r="AD646" s="86"/>
      <c r="AE646" s="86"/>
      <c r="AF646" s="86"/>
      <c r="AG646" s="86"/>
      <c r="AH646" s="86"/>
      <c r="AI646" s="86"/>
      <c r="AJ646" s="86"/>
    </row>
    <row r="647" spans="1:36" x14ac:dyDescent="0.25">
      <c r="A647" s="274"/>
      <c r="B647" s="87"/>
      <c r="C647" s="87"/>
      <c r="D647" s="87"/>
      <c r="E647" s="87"/>
      <c r="F647" s="87"/>
      <c r="G647" s="87"/>
      <c r="H647" s="87"/>
      <c r="I647" s="87"/>
      <c r="J647" s="87"/>
      <c r="K647" s="87"/>
      <c r="L647" s="87"/>
      <c r="M647" s="87"/>
      <c r="N647" s="87"/>
      <c r="O647" s="87"/>
      <c r="P647" s="87"/>
      <c r="Q647" s="87"/>
      <c r="R647" s="87"/>
      <c r="S647" s="87"/>
      <c r="T647" s="87"/>
      <c r="U647" s="87"/>
      <c r="V647" s="87"/>
      <c r="W647" s="87"/>
      <c r="X647" s="87"/>
      <c r="Y647" s="87"/>
      <c r="Z647" s="87"/>
      <c r="AA647" s="87"/>
      <c r="AB647" s="87"/>
      <c r="AC647" s="87"/>
      <c r="AD647" s="87"/>
      <c r="AE647" s="87"/>
      <c r="AF647" s="87"/>
      <c r="AG647" s="87"/>
      <c r="AH647" s="87"/>
      <c r="AI647" s="87"/>
      <c r="AJ647" s="87"/>
    </row>
    <row r="648" spans="1:36" x14ac:dyDescent="0.25">
      <c r="A648" s="273"/>
      <c r="B648" s="86"/>
      <c r="C648" s="86"/>
      <c r="D648" s="86"/>
      <c r="E648" s="86"/>
      <c r="F648" s="86"/>
      <c r="G648" s="86"/>
      <c r="H648" s="86"/>
      <c r="I648" s="86"/>
      <c r="J648" s="86"/>
      <c r="K648" s="86"/>
      <c r="L648" s="86"/>
      <c r="M648" s="86"/>
      <c r="N648" s="86"/>
      <c r="O648" s="86"/>
      <c r="P648" s="86"/>
      <c r="Q648" s="86"/>
      <c r="R648" s="86"/>
      <c r="S648" s="86"/>
      <c r="T648" s="86"/>
      <c r="U648" s="86"/>
      <c r="V648" s="86"/>
      <c r="W648" s="86"/>
      <c r="X648" s="86"/>
      <c r="Y648" s="86"/>
      <c r="Z648" s="86"/>
      <c r="AA648" s="86"/>
      <c r="AB648" s="86"/>
      <c r="AC648" s="86"/>
      <c r="AD648" s="86"/>
      <c r="AE648" s="86"/>
      <c r="AF648" s="86"/>
      <c r="AG648" s="86"/>
      <c r="AH648" s="86"/>
      <c r="AI648" s="86"/>
      <c r="AJ648" s="86"/>
    </row>
    <row r="649" spans="1:36" x14ac:dyDescent="0.25">
      <c r="A649" s="274"/>
      <c r="B649" s="87"/>
      <c r="C649" s="87"/>
      <c r="D649" s="87"/>
      <c r="E649" s="87"/>
      <c r="F649" s="87"/>
      <c r="G649" s="87"/>
      <c r="H649" s="87"/>
      <c r="I649" s="87"/>
      <c r="J649" s="87"/>
      <c r="K649" s="87"/>
      <c r="L649" s="87"/>
      <c r="M649" s="87"/>
      <c r="N649" s="87"/>
      <c r="O649" s="87"/>
      <c r="P649" s="87"/>
      <c r="Q649" s="87"/>
      <c r="R649" s="87"/>
      <c r="S649" s="87"/>
      <c r="T649" s="87"/>
      <c r="U649" s="87"/>
      <c r="V649" s="87"/>
      <c r="W649" s="87"/>
      <c r="X649" s="87"/>
      <c r="Y649" s="87"/>
      <c r="Z649" s="87"/>
      <c r="AA649" s="87"/>
      <c r="AB649" s="87"/>
      <c r="AC649" s="87"/>
      <c r="AD649" s="87"/>
      <c r="AE649" s="87"/>
      <c r="AF649" s="87"/>
      <c r="AG649" s="87"/>
      <c r="AH649" s="87"/>
      <c r="AI649" s="87"/>
      <c r="AJ649" s="87"/>
    </row>
    <row r="650" spans="1:36" x14ac:dyDescent="0.25">
      <c r="A650" s="273"/>
      <c r="B650" s="86"/>
      <c r="C650" s="86"/>
      <c r="D650" s="86"/>
      <c r="E650" s="86"/>
      <c r="F650" s="86"/>
      <c r="G650" s="86"/>
      <c r="H650" s="86"/>
      <c r="I650" s="86"/>
      <c r="J650" s="86"/>
      <c r="K650" s="86"/>
      <c r="L650" s="86"/>
      <c r="M650" s="86"/>
      <c r="N650" s="86"/>
      <c r="O650" s="86"/>
      <c r="P650" s="86"/>
      <c r="Q650" s="86"/>
      <c r="R650" s="86"/>
      <c r="S650" s="86"/>
      <c r="T650" s="86"/>
      <c r="U650" s="86"/>
      <c r="V650" s="86"/>
      <c r="W650" s="86"/>
      <c r="X650" s="86"/>
      <c r="Y650" s="86"/>
      <c r="Z650" s="86"/>
      <c r="AA650" s="86"/>
      <c r="AB650" s="86"/>
      <c r="AC650" s="86"/>
      <c r="AD650" s="86"/>
      <c r="AE650" s="86"/>
      <c r="AF650" s="86"/>
      <c r="AG650" s="86"/>
      <c r="AH650" s="86"/>
      <c r="AI650" s="86"/>
      <c r="AJ650" s="86"/>
    </row>
    <row r="651" spans="1:36" x14ac:dyDescent="0.25">
      <c r="A651" s="274"/>
      <c r="B651" s="87"/>
      <c r="C651" s="87"/>
      <c r="D651" s="87"/>
      <c r="E651" s="87"/>
      <c r="F651" s="87"/>
      <c r="G651" s="87"/>
      <c r="H651" s="87"/>
      <c r="I651" s="87"/>
      <c r="J651" s="87"/>
      <c r="K651" s="87"/>
      <c r="L651" s="87"/>
      <c r="M651" s="87"/>
      <c r="N651" s="87"/>
      <c r="O651" s="87"/>
      <c r="P651" s="87"/>
      <c r="Q651" s="87"/>
      <c r="R651" s="87"/>
      <c r="S651" s="87"/>
      <c r="T651" s="87"/>
      <c r="U651" s="87"/>
      <c r="V651" s="87"/>
      <c r="W651" s="87"/>
      <c r="X651" s="87"/>
      <c r="Y651" s="87"/>
      <c r="Z651" s="87"/>
      <c r="AA651" s="87"/>
      <c r="AB651" s="87"/>
      <c r="AC651" s="87"/>
      <c r="AD651" s="87"/>
      <c r="AE651" s="87"/>
      <c r="AF651" s="87"/>
      <c r="AG651" s="87"/>
      <c r="AH651" s="87"/>
      <c r="AI651" s="87"/>
      <c r="AJ651" s="87"/>
    </row>
    <row r="652" spans="1:36" x14ac:dyDescent="0.25">
      <c r="A652" s="273"/>
      <c r="B652" s="86"/>
      <c r="C652" s="86"/>
      <c r="D652" s="86"/>
      <c r="E652" s="86"/>
      <c r="F652" s="86"/>
      <c r="G652" s="86"/>
      <c r="H652" s="86"/>
      <c r="I652" s="86"/>
      <c r="J652" s="86"/>
      <c r="K652" s="86"/>
      <c r="L652" s="86"/>
      <c r="M652" s="86"/>
      <c r="N652" s="86"/>
      <c r="O652" s="86"/>
      <c r="P652" s="86"/>
      <c r="Q652" s="86"/>
      <c r="R652" s="86"/>
      <c r="S652" s="86"/>
      <c r="T652" s="86"/>
      <c r="U652" s="86"/>
      <c r="V652" s="86"/>
      <c r="W652" s="86"/>
      <c r="X652" s="86"/>
      <c r="Y652" s="86"/>
      <c r="Z652" s="86"/>
      <c r="AA652" s="86"/>
      <c r="AB652" s="86"/>
      <c r="AC652" s="86"/>
      <c r="AD652" s="86"/>
      <c r="AE652" s="86"/>
      <c r="AF652" s="86"/>
      <c r="AG652" s="86"/>
      <c r="AH652" s="86"/>
      <c r="AI652" s="86"/>
      <c r="AJ652" s="86"/>
    </row>
    <row r="653" spans="1:36" x14ac:dyDescent="0.25">
      <c r="A653" s="274"/>
      <c r="B653" s="87"/>
      <c r="C653" s="87"/>
      <c r="D653" s="87"/>
      <c r="E653" s="87"/>
      <c r="F653" s="87"/>
      <c r="G653" s="87"/>
      <c r="H653" s="87"/>
      <c r="I653" s="87"/>
      <c r="J653" s="87"/>
      <c r="K653" s="87"/>
      <c r="L653" s="87"/>
      <c r="M653" s="87"/>
      <c r="N653" s="87"/>
      <c r="O653" s="87"/>
      <c r="P653" s="87"/>
      <c r="Q653" s="87"/>
      <c r="R653" s="87"/>
      <c r="S653" s="87"/>
      <c r="T653" s="87"/>
      <c r="U653" s="87"/>
      <c r="V653" s="87"/>
      <c r="W653" s="87"/>
      <c r="X653" s="87"/>
      <c r="Y653" s="87"/>
      <c r="Z653" s="87"/>
      <c r="AA653" s="87"/>
      <c r="AB653" s="87"/>
      <c r="AC653" s="87"/>
      <c r="AD653" s="87"/>
      <c r="AE653" s="87"/>
      <c r="AF653" s="87"/>
      <c r="AG653" s="87"/>
      <c r="AH653" s="87"/>
      <c r="AI653" s="87"/>
      <c r="AJ653" s="87"/>
    </row>
    <row r="654" spans="1:36" x14ac:dyDescent="0.25">
      <c r="A654" s="273"/>
      <c r="B654" s="86"/>
      <c r="C654" s="86"/>
      <c r="D654" s="86"/>
      <c r="E654" s="86"/>
      <c r="F654" s="86"/>
      <c r="G654" s="86"/>
      <c r="H654" s="86"/>
      <c r="I654" s="86"/>
      <c r="J654" s="86"/>
      <c r="K654" s="86"/>
      <c r="L654" s="86"/>
      <c r="M654" s="86"/>
      <c r="N654" s="86"/>
      <c r="O654" s="86"/>
      <c r="P654" s="86"/>
      <c r="Q654" s="86"/>
      <c r="R654" s="86"/>
      <c r="S654" s="86"/>
      <c r="T654" s="86"/>
      <c r="U654" s="86"/>
      <c r="V654" s="86"/>
      <c r="W654" s="86"/>
      <c r="X654" s="86"/>
      <c r="Y654" s="86"/>
      <c r="Z654" s="86"/>
      <c r="AA654" s="86"/>
      <c r="AB654" s="86"/>
      <c r="AC654" s="86"/>
      <c r="AD654" s="86"/>
      <c r="AE654" s="86"/>
      <c r="AF654" s="86"/>
      <c r="AG654" s="86"/>
      <c r="AH654" s="86"/>
      <c r="AI654" s="86"/>
      <c r="AJ654" s="86"/>
    </row>
    <row r="655" spans="1:36" x14ac:dyDescent="0.25">
      <c r="A655" s="274"/>
      <c r="B655" s="87"/>
      <c r="C655" s="87"/>
      <c r="D655" s="87"/>
      <c r="E655" s="87"/>
      <c r="F655" s="87"/>
      <c r="G655" s="87"/>
      <c r="H655" s="87"/>
      <c r="I655" s="87"/>
      <c r="J655" s="87"/>
      <c r="K655" s="87"/>
      <c r="L655" s="87"/>
      <c r="M655" s="87"/>
      <c r="N655" s="87"/>
      <c r="O655" s="87"/>
      <c r="P655" s="87"/>
      <c r="Q655" s="87"/>
      <c r="R655" s="87"/>
      <c r="S655" s="87"/>
      <c r="T655" s="87"/>
      <c r="U655" s="87"/>
      <c r="V655" s="87"/>
      <c r="W655" s="87"/>
      <c r="X655" s="87"/>
      <c r="Y655" s="87"/>
      <c r="Z655" s="87"/>
      <c r="AA655" s="87"/>
      <c r="AB655" s="87"/>
      <c r="AC655" s="87"/>
      <c r="AD655" s="87"/>
      <c r="AE655" s="87"/>
      <c r="AF655" s="87"/>
      <c r="AG655" s="87"/>
      <c r="AH655" s="87"/>
      <c r="AI655" s="87"/>
      <c r="AJ655" s="87"/>
    </row>
    <row r="656" spans="1:36" x14ac:dyDescent="0.25">
      <c r="A656" s="273"/>
      <c r="B656" s="86"/>
      <c r="C656" s="86"/>
      <c r="D656" s="86"/>
      <c r="E656" s="86"/>
      <c r="F656" s="86"/>
      <c r="G656" s="86"/>
      <c r="H656" s="86"/>
      <c r="I656" s="86"/>
      <c r="J656" s="86"/>
      <c r="K656" s="86"/>
      <c r="L656" s="86"/>
      <c r="M656" s="86"/>
      <c r="N656" s="86"/>
      <c r="O656" s="86"/>
      <c r="P656" s="86"/>
      <c r="Q656" s="86"/>
      <c r="R656" s="86"/>
      <c r="S656" s="86"/>
      <c r="T656" s="86"/>
      <c r="U656" s="86"/>
      <c r="V656" s="86"/>
      <c r="W656" s="86"/>
      <c r="X656" s="86"/>
      <c r="Y656" s="86"/>
      <c r="Z656" s="86"/>
      <c r="AA656" s="86"/>
      <c r="AB656" s="86"/>
      <c r="AC656" s="86"/>
      <c r="AD656" s="86"/>
      <c r="AE656" s="86"/>
      <c r="AF656" s="86"/>
      <c r="AG656" s="86"/>
      <c r="AH656" s="86"/>
      <c r="AI656" s="86"/>
      <c r="AJ656" s="86"/>
    </row>
    <row r="657" spans="1:36" x14ac:dyDescent="0.25">
      <c r="A657" s="274"/>
      <c r="B657" s="87"/>
      <c r="C657" s="87"/>
      <c r="D657" s="87"/>
      <c r="E657" s="87"/>
      <c r="F657" s="87"/>
      <c r="G657" s="87"/>
      <c r="H657" s="87"/>
      <c r="I657" s="87"/>
      <c r="J657" s="87"/>
      <c r="K657" s="87"/>
      <c r="L657" s="87"/>
      <c r="M657" s="87"/>
      <c r="N657" s="87"/>
      <c r="O657" s="87"/>
      <c r="P657" s="87"/>
      <c r="Q657" s="87"/>
      <c r="R657" s="87"/>
      <c r="S657" s="87"/>
      <c r="T657" s="87"/>
      <c r="U657" s="87"/>
      <c r="V657" s="87"/>
      <c r="W657" s="87"/>
      <c r="X657" s="87"/>
      <c r="Y657" s="87"/>
      <c r="Z657" s="87"/>
      <c r="AA657" s="87"/>
      <c r="AB657" s="87"/>
      <c r="AC657" s="87"/>
      <c r="AD657" s="87"/>
      <c r="AE657" s="87"/>
      <c r="AF657" s="87"/>
      <c r="AG657" s="87"/>
      <c r="AH657" s="87"/>
      <c r="AI657" s="87"/>
      <c r="AJ657" s="87"/>
    </row>
    <row r="658" spans="1:36" x14ac:dyDescent="0.25">
      <c r="A658" s="273"/>
      <c r="B658" s="86"/>
      <c r="C658" s="86"/>
      <c r="D658" s="86"/>
      <c r="E658" s="86"/>
      <c r="F658" s="86"/>
      <c r="G658" s="86"/>
      <c r="H658" s="86"/>
      <c r="I658" s="86"/>
      <c r="J658" s="86"/>
      <c r="K658" s="86"/>
      <c r="L658" s="86"/>
      <c r="M658" s="86"/>
      <c r="N658" s="86"/>
      <c r="O658" s="86"/>
      <c r="P658" s="86"/>
      <c r="Q658" s="86"/>
      <c r="R658" s="86"/>
      <c r="S658" s="86"/>
      <c r="T658" s="86"/>
      <c r="U658" s="86"/>
      <c r="V658" s="86"/>
      <c r="W658" s="86"/>
      <c r="X658" s="86"/>
      <c r="Y658" s="86"/>
      <c r="Z658" s="86"/>
      <c r="AA658" s="86"/>
      <c r="AB658" s="86"/>
      <c r="AC658" s="86"/>
      <c r="AD658" s="86"/>
      <c r="AE658" s="86"/>
      <c r="AF658" s="86"/>
      <c r="AG658" s="86"/>
      <c r="AH658" s="86"/>
      <c r="AI658" s="86"/>
      <c r="AJ658" s="86"/>
    </row>
    <row r="659" spans="1:36" x14ac:dyDescent="0.25">
      <c r="A659" s="274"/>
      <c r="B659" s="87"/>
      <c r="C659" s="87"/>
      <c r="D659" s="87"/>
      <c r="E659" s="87"/>
      <c r="F659" s="87"/>
      <c r="G659" s="87"/>
      <c r="H659" s="87"/>
      <c r="I659" s="87"/>
      <c r="J659" s="87"/>
      <c r="K659" s="87"/>
      <c r="L659" s="87"/>
      <c r="M659" s="87"/>
      <c r="N659" s="87"/>
      <c r="O659" s="87"/>
      <c r="P659" s="87"/>
      <c r="Q659" s="87"/>
      <c r="R659" s="87"/>
      <c r="S659" s="87"/>
      <c r="T659" s="87"/>
      <c r="U659" s="87"/>
      <c r="V659" s="87"/>
      <c r="W659" s="87"/>
      <c r="X659" s="87"/>
      <c r="Y659" s="87"/>
      <c r="Z659" s="87"/>
      <c r="AA659" s="87"/>
      <c r="AB659" s="87"/>
      <c r="AC659" s="87"/>
      <c r="AD659" s="87"/>
      <c r="AE659" s="87"/>
      <c r="AF659" s="87"/>
      <c r="AG659" s="87"/>
      <c r="AH659" s="87"/>
      <c r="AI659" s="87"/>
      <c r="AJ659" s="87"/>
    </row>
    <row r="660" spans="1:36" x14ac:dyDescent="0.25">
      <c r="A660" s="273"/>
      <c r="B660" s="86"/>
      <c r="C660" s="86"/>
      <c r="D660" s="86"/>
      <c r="E660" s="86"/>
      <c r="F660" s="86"/>
      <c r="G660" s="86"/>
      <c r="H660" s="86"/>
      <c r="I660" s="86"/>
      <c r="J660" s="86"/>
      <c r="K660" s="86"/>
      <c r="L660" s="86"/>
      <c r="M660" s="86"/>
      <c r="N660" s="86"/>
      <c r="O660" s="86"/>
      <c r="P660" s="86"/>
      <c r="Q660" s="86"/>
      <c r="R660" s="86"/>
      <c r="S660" s="86"/>
      <c r="T660" s="86"/>
      <c r="U660" s="86"/>
      <c r="V660" s="86"/>
      <c r="W660" s="86"/>
      <c r="X660" s="86"/>
      <c r="Y660" s="86"/>
      <c r="Z660" s="86"/>
      <c r="AA660" s="86"/>
      <c r="AB660" s="86"/>
      <c r="AC660" s="86"/>
      <c r="AD660" s="86"/>
      <c r="AE660" s="86"/>
      <c r="AF660" s="86"/>
      <c r="AG660" s="86"/>
      <c r="AH660" s="86"/>
      <c r="AI660" s="86"/>
      <c r="AJ660" s="86"/>
    </row>
    <row r="661" spans="1:36" x14ac:dyDescent="0.25">
      <c r="A661" s="274"/>
      <c r="B661" s="87"/>
      <c r="C661" s="87"/>
      <c r="D661" s="87"/>
      <c r="E661" s="87"/>
      <c r="F661" s="87"/>
      <c r="G661" s="87"/>
      <c r="H661" s="87"/>
      <c r="I661" s="87"/>
      <c r="J661" s="87"/>
      <c r="K661" s="87"/>
      <c r="L661" s="87"/>
      <c r="M661" s="87"/>
      <c r="N661" s="87"/>
      <c r="O661" s="87"/>
      <c r="P661" s="87"/>
      <c r="Q661" s="87"/>
      <c r="R661" s="87"/>
      <c r="S661" s="87"/>
      <c r="T661" s="87"/>
      <c r="U661" s="87"/>
      <c r="V661" s="87"/>
      <c r="W661" s="87"/>
      <c r="X661" s="87"/>
      <c r="Y661" s="87"/>
      <c r="Z661" s="87"/>
      <c r="AA661" s="87"/>
      <c r="AB661" s="87"/>
      <c r="AC661" s="87"/>
      <c r="AD661" s="87"/>
      <c r="AE661" s="87"/>
      <c r="AF661" s="87"/>
      <c r="AG661" s="87"/>
      <c r="AH661" s="87"/>
      <c r="AI661" s="87"/>
      <c r="AJ661" s="87"/>
    </row>
    <row r="662" spans="1:36" x14ac:dyDescent="0.25">
      <c r="A662" s="273"/>
      <c r="B662" s="86"/>
      <c r="C662" s="86"/>
      <c r="D662" s="86"/>
      <c r="E662" s="86"/>
      <c r="F662" s="86"/>
      <c r="G662" s="86"/>
      <c r="H662" s="86"/>
      <c r="I662" s="86"/>
      <c r="J662" s="86"/>
      <c r="K662" s="86"/>
      <c r="L662" s="86"/>
      <c r="M662" s="86"/>
      <c r="N662" s="86"/>
      <c r="O662" s="86"/>
      <c r="P662" s="86"/>
      <c r="Q662" s="86"/>
      <c r="R662" s="86"/>
      <c r="S662" s="86"/>
      <c r="T662" s="86"/>
      <c r="U662" s="86"/>
      <c r="V662" s="86"/>
      <c r="W662" s="86"/>
      <c r="X662" s="86"/>
      <c r="Y662" s="86"/>
      <c r="Z662" s="86"/>
      <c r="AA662" s="86"/>
      <c r="AB662" s="86"/>
      <c r="AC662" s="86"/>
      <c r="AD662" s="86"/>
      <c r="AE662" s="86"/>
      <c r="AF662" s="86"/>
      <c r="AG662" s="86"/>
      <c r="AH662" s="86"/>
      <c r="AI662" s="86"/>
      <c r="AJ662" s="86"/>
    </row>
    <row r="663" spans="1:36" x14ac:dyDescent="0.25">
      <c r="A663" s="274"/>
      <c r="B663" s="87"/>
      <c r="C663" s="87"/>
      <c r="D663" s="87"/>
      <c r="E663" s="87"/>
      <c r="F663" s="87"/>
      <c r="G663" s="87"/>
      <c r="H663" s="87"/>
      <c r="I663" s="87"/>
      <c r="J663" s="87"/>
      <c r="K663" s="87"/>
      <c r="L663" s="87"/>
      <c r="M663" s="87"/>
      <c r="N663" s="87"/>
      <c r="O663" s="87"/>
      <c r="P663" s="87"/>
      <c r="Q663" s="87"/>
      <c r="R663" s="87"/>
      <c r="S663" s="87"/>
      <c r="T663" s="87"/>
      <c r="U663" s="87"/>
      <c r="V663" s="87"/>
      <c r="W663" s="87"/>
      <c r="X663" s="87"/>
      <c r="Y663" s="87"/>
      <c r="Z663" s="87"/>
      <c r="AA663" s="87"/>
      <c r="AB663" s="87"/>
      <c r="AC663" s="87"/>
      <c r="AD663" s="87"/>
      <c r="AE663" s="87"/>
      <c r="AF663" s="87"/>
      <c r="AG663" s="87"/>
      <c r="AH663" s="87"/>
      <c r="AI663" s="87"/>
      <c r="AJ663" s="87"/>
    </row>
    <row r="664" spans="1:36" x14ac:dyDescent="0.25">
      <c r="A664" s="273"/>
      <c r="B664" s="86"/>
      <c r="C664" s="86"/>
      <c r="D664" s="86"/>
      <c r="E664" s="86"/>
      <c r="F664" s="86"/>
      <c r="G664" s="86"/>
      <c r="H664" s="86"/>
      <c r="I664" s="86"/>
      <c r="J664" s="86"/>
      <c r="K664" s="86"/>
      <c r="L664" s="86"/>
      <c r="M664" s="86"/>
      <c r="N664" s="86"/>
      <c r="O664" s="86"/>
      <c r="P664" s="86"/>
      <c r="Q664" s="86"/>
      <c r="R664" s="86"/>
      <c r="S664" s="86"/>
      <c r="T664" s="86"/>
      <c r="U664" s="86"/>
      <c r="V664" s="86"/>
      <c r="W664" s="86"/>
      <c r="X664" s="86"/>
      <c r="Y664" s="86"/>
      <c r="Z664" s="86"/>
      <c r="AA664" s="86"/>
      <c r="AB664" s="86"/>
      <c r="AC664" s="86"/>
      <c r="AD664" s="86"/>
      <c r="AE664" s="86"/>
      <c r="AF664" s="86"/>
      <c r="AG664" s="86"/>
      <c r="AH664" s="86"/>
      <c r="AI664" s="86"/>
      <c r="AJ664" s="86"/>
    </row>
    <row r="665" spans="1:36" x14ac:dyDescent="0.25">
      <c r="A665" s="274"/>
      <c r="B665" s="87"/>
      <c r="C665" s="87"/>
      <c r="D665" s="87"/>
      <c r="E665" s="87"/>
      <c r="F665" s="87"/>
      <c r="G665" s="87"/>
      <c r="H665" s="87"/>
      <c r="I665" s="87"/>
      <c r="J665" s="87"/>
      <c r="K665" s="87"/>
      <c r="L665" s="87"/>
      <c r="M665" s="87"/>
      <c r="N665" s="87"/>
      <c r="O665" s="87"/>
      <c r="P665" s="87"/>
      <c r="Q665" s="87"/>
      <c r="R665" s="87"/>
      <c r="S665" s="87"/>
      <c r="T665" s="87"/>
      <c r="U665" s="87"/>
      <c r="V665" s="87"/>
      <c r="W665" s="87"/>
      <c r="X665" s="87"/>
      <c r="Y665" s="87"/>
      <c r="Z665" s="87"/>
      <c r="AA665" s="87"/>
      <c r="AB665" s="87"/>
      <c r="AC665" s="87"/>
      <c r="AD665" s="87"/>
      <c r="AE665" s="87"/>
      <c r="AF665" s="87"/>
      <c r="AG665" s="87"/>
      <c r="AH665" s="87"/>
      <c r="AI665" s="87"/>
      <c r="AJ665" s="87"/>
    </row>
    <row r="666" spans="1:36" x14ac:dyDescent="0.25">
      <c r="A666" s="273"/>
      <c r="B666" s="86"/>
      <c r="C666" s="86"/>
      <c r="D666" s="86"/>
      <c r="E666" s="86"/>
      <c r="F666" s="86"/>
      <c r="G666" s="86"/>
      <c r="H666" s="86"/>
      <c r="I666" s="86"/>
      <c r="J666" s="86"/>
      <c r="K666" s="86"/>
      <c r="L666" s="86"/>
      <c r="M666" s="86"/>
      <c r="N666" s="86"/>
      <c r="O666" s="86"/>
      <c r="P666" s="86"/>
      <c r="Q666" s="86"/>
      <c r="R666" s="86"/>
      <c r="S666" s="86"/>
      <c r="T666" s="86"/>
      <c r="U666" s="86"/>
      <c r="V666" s="86"/>
      <c r="W666" s="86"/>
      <c r="X666" s="86"/>
      <c r="Y666" s="86"/>
      <c r="Z666" s="86"/>
      <c r="AA666" s="86"/>
      <c r="AB666" s="86"/>
      <c r="AC666" s="86"/>
      <c r="AD666" s="86"/>
      <c r="AE666" s="86"/>
      <c r="AF666" s="86"/>
      <c r="AG666" s="86"/>
      <c r="AH666" s="86"/>
      <c r="AI666" s="86"/>
      <c r="AJ666" s="86"/>
    </row>
    <row r="667" spans="1:36" x14ac:dyDescent="0.25">
      <c r="A667" s="274"/>
      <c r="B667" s="87"/>
      <c r="C667" s="87"/>
      <c r="D667" s="87"/>
      <c r="E667" s="87"/>
      <c r="F667" s="87"/>
      <c r="G667" s="87"/>
      <c r="H667" s="87"/>
      <c r="I667" s="87"/>
      <c r="J667" s="87"/>
      <c r="K667" s="87"/>
      <c r="L667" s="87"/>
      <c r="M667" s="87"/>
      <c r="N667" s="87"/>
      <c r="O667" s="87"/>
      <c r="P667" s="87"/>
      <c r="Q667" s="87"/>
      <c r="R667" s="87"/>
      <c r="S667" s="87"/>
      <c r="T667" s="87"/>
      <c r="U667" s="87"/>
      <c r="V667" s="87"/>
      <c r="W667" s="87"/>
      <c r="X667" s="87"/>
      <c r="Y667" s="87"/>
      <c r="Z667" s="87"/>
      <c r="AA667" s="87"/>
      <c r="AB667" s="87"/>
      <c r="AC667" s="87"/>
      <c r="AD667" s="87"/>
      <c r="AE667" s="87"/>
      <c r="AF667" s="87"/>
      <c r="AG667" s="87"/>
      <c r="AH667" s="87"/>
      <c r="AI667" s="87"/>
      <c r="AJ667" s="87"/>
    </row>
    <row r="668" spans="1:36" x14ac:dyDescent="0.25">
      <c r="A668" s="273"/>
      <c r="B668" s="86"/>
      <c r="C668" s="86"/>
      <c r="D668" s="86"/>
      <c r="E668" s="86"/>
      <c r="F668" s="86"/>
      <c r="G668" s="86"/>
      <c r="H668" s="86"/>
      <c r="I668" s="86"/>
      <c r="J668" s="86"/>
      <c r="K668" s="86"/>
      <c r="L668" s="86"/>
      <c r="M668" s="86"/>
      <c r="N668" s="86"/>
      <c r="O668" s="86"/>
      <c r="P668" s="86"/>
      <c r="Q668" s="86"/>
      <c r="R668" s="86"/>
      <c r="S668" s="86"/>
      <c r="T668" s="86"/>
      <c r="U668" s="86"/>
      <c r="V668" s="86"/>
      <c r="W668" s="86"/>
      <c r="X668" s="86"/>
      <c r="Y668" s="86"/>
      <c r="Z668" s="86"/>
      <c r="AA668" s="86"/>
      <c r="AB668" s="86"/>
      <c r="AC668" s="86"/>
      <c r="AD668" s="86"/>
      <c r="AE668" s="86"/>
      <c r="AF668" s="86"/>
      <c r="AG668" s="86"/>
      <c r="AH668" s="86"/>
      <c r="AI668" s="86"/>
      <c r="AJ668" s="86"/>
    </row>
    <row r="669" spans="1:36" x14ac:dyDescent="0.25">
      <c r="A669" s="274"/>
      <c r="B669" s="87"/>
      <c r="C669" s="87"/>
      <c r="D669" s="87"/>
      <c r="E669" s="87"/>
      <c r="F669" s="87"/>
      <c r="G669" s="87"/>
      <c r="H669" s="87"/>
      <c r="I669" s="87"/>
      <c r="J669" s="87"/>
      <c r="K669" s="87"/>
      <c r="L669" s="87"/>
      <c r="M669" s="87"/>
      <c r="N669" s="87"/>
      <c r="O669" s="87"/>
      <c r="P669" s="87"/>
      <c r="Q669" s="87"/>
      <c r="R669" s="87"/>
      <c r="S669" s="87"/>
      <c r="T669" s="87"/>
      <c r="U669" s="87"/>
      <c r="V669" s="87"/>
      <c r="W669" s="87"/>
      <c r="X669" s="87"/>
      <c r="Y669" s="87"/>
      <c r="Z669" s="87"/>
      <c r="AA669" s="87"/>
      <c r="AB669" s="87"/>
      <c r="AC669" s="87"/>
      <c r="AD669" s="87"/>
      <c r="AE669" s="87"/>
      <c r="AF669" s="87"/>
      <c r="AG669" s="87"/>
      <c r="AH669" s="87"/>
      <c r="AI669" s="87"/>
      <c r="AJ669" s="87"/>
    </row>
    <row r="670" spans="1:36" x14ac:dyDescent="0.25">
      <c r="A670" s="273"/>
      <c r="B670" s="86"/>
      <c r="C670" s="86"/>
      <c r="D670" s="86"/>
      <c r="E670" s="86"/>
      <c r="F670" s="86"/>
      <c r="G670" s="86"/>
      <c r="H670" s="86"/>
      <c r="I670" s="86"/>
      <c r="J670" s="86"/>
      <c r="K670" s="86"/>
      <c r="L670" s="86"/>
      <c r="M670" s="86"/>
      <c r="N670" s="86"/>
      <c r="O670" s="86"/>
      <c r="P670" s="86"/>
      <c r="Q670" s="86"/>
      <c r="R670" s="86"/>
      <c r="S670" s="86"/>
      <c r="T670" s="86"/>
      <c r="U670" s="86"/>
      <c r="V670" s="86"/>
      <c r="W670" s="86"/>
      <c r="X670" s="86"/>
      <c r="Y670" s="86"/>
      <c r="Z670" s="86"/>
      <c r="AA670" s="86"/>
      <c r="AB670" s="86"/>
      <c r="AC670" s="86"/>
      <c r="AD670" s="86"/>
      <c r="AE670" s="86"/>
      <c r="AF670" s="86"/>
      <c r="AG670" s="86"/>
      <c r="AH670" s="86"/>
      <c r="AI670" s="86"/>
      <c r="AJ670" s="86"/>
    </row>
    <row r="671" spans="1:36" x14ac:dyDescent="0.25">
      <c r="A671" s="274"/>
      <c r="B671" s="87"/>
      <c r="C671" s="87"/>
      <c r="D671" s="87"/>
      <c r="E671" s="87"/>
      <c r="F671" s="87"/>
      <c r="G671" s="87"/>
      <c r="H671" s="87"/>
      <c r="I671" s="87"/>
      <c r="J671" s="87"/>
      <c r="K671" s="87"/>
      <c r="L671" s="87"/>
      <c r="M671" s="87"/>
      <c r="N671" s="87"/>
      <c r="O671" s="87"/>
      <c r="P671" s="87"/>
      <c r="Q671" s="87"/>
      <c r="R671" s="87"/>
      <c r="S671" s="87"/>
      <c r="T671" s="87"/>
      <c r="U671" s="87"/>
      <c r="V671" s="87"/>
      <c r="W671" s="87"/>
      <c r="X671" s="87"/>
      <c r="Y671" s="87"/>
      <c r="Z671" s="87"/>
      <c r="AA671" s="87"/>
      <c r="AB671" s="87"/>
      <c r="AC671" s="87"/>
      <c r="AD671" s="87"/>
      <c r="AE671" s="87"/>
      <c r="AF671" s="87"/>
      <c r="AG671" s="87"/>
      <c r="AH671" s="87"/>
      <c r="AI671" s="87"/>
      <c r="AJ671" s="87"/>
    </row>
    <row r="672" spans="1:36" x14ac:dyDescent="0.25">
      <c r="A672" s="273"/>
      <c r="B672" s="86"/>
      <c r="C672" s="86"/>
      <c r="D672" s="86"/>
      <c r="E672" s="86"/>
      <c r="F672" s="86"/>
      <c r="G672" s="86"/>
      <c r="H672" s="86"/>
      <c r="I672" s="86"/>
      <c r="J672" s="86"/>
      <c r="K672" s="86"/>
      <c r="L672" s="86"/>
      <c r="M672" s="86"/>
      <c r="N672" s="86"/>
      <c r="O672" s="86"/>
      <c r="P672" s="86"/>
      <c r="Q672" s="86"/>
      <c r="R672" s="86"/>
      <c r="S672" s="86"/>
      <c r="T672" s="86"/>
      <c r="U672" s="86"/>
      <c r="V672" s="86"/>
      <c r="W672" s="86"/>
      <c r="X672" s="86"/>
      <c r="Y672" s="86"/>
      <c r="Z672" s="86"/>
      <c r="AA672" s="86"/>
      <c r="AB672" s="86"/>
      <c r="AC672" s="86"/>
      <c r="AD672" s="86"/>
      <c r="AE672" s="86"/>
      <c r="AF672" s="86"/>
      <c r="AG672" s="86"/>
      <c r="AH672" s="86"/>
      <c r="AI672" s="86"/>
      <c r="AJ672" s="86"/>
    </row>
    <row r="673" spans="1:36" x14ac:dyDescent="0.25">
      <c r="A673" s="274"/>
      <c r="B673" s="87"/>
      <c r="C673" s="87"/>
      <c r="D673" s="87"/>
      <c r="E673" s="87"/>
      <c r="F673" s="87"/>
      <c r="G673" s="87"/>
      <c r="H673" s="87"/>
      <c r="I673" s="87"/>
      <c r="J673" s="87"/>
      <c r="K673" s="87"/>
      <c r="L673" s="87"/>
      <c r="M673" s="87"/>
      <c r="N673" s="87"/>
      <c r="O673" s="87"/>
      <c r="P673" s="87"/>
      <c r="Q673" s="87"/>
      <c r="R673" s="87"/>
      <c r="S673" s="87"/>
      <c r="T673" s="87"/>
      <c r="U673" s="87"/>
      <c r="V673" s="87"/>
      <c r="W673" s="87"/>
      <c r="X673" s="87"/>
      <c r="Y673" s="87"/>
      <c r="Z673" s="87"/>
      <c r="AA673" s="87"/>
      <c r="AB673" s="87"/>
      <c r="AC673" s="87"/>
      <c r="AD673" s="87"/>
      <c r="AE673" s="87"/>
      <c r="AF673" s="87"/>
      <c r="AG673" s="87"/>
      <c r="AH673" s="87"/>
      <c r="AI673" s="87"/>
      <c r="AJ673" s="87"/>
    </row>
    <row r="674" spans="1:36" x14ac:dyDescent="0.25">
      <c r="A674" s="273"/>
      <c r="B674" s="86"/>
      <c r="C674" s="86"/>
      <c r="D674" s="86"/>
      <c r="E674" s="86"/>
      <c r="F674" s="86"/>
      <c r="G674" s="86"/>
      <c r="H674" s="86"/>
      <c r="I674" s="86"/>
      <c r="J674" s="86"/>
      <c r="K674" s="86"/>
      <c r="L674" s="86"/>
      <c r="M674" s="86"/>
      <c r="N674" s="86"/>
      <c r="O674" s="86"/>
      <c r="P674" s="86"/>
      <c r="Q674" s="86"/>
      <c r="R674" s="86"/>
      <c r="S674" s="86"/>
      <c r="T674" s="86"/>
      <c r="U674" s="86"/>
      <c r="V674" s="86"/>
      <c r="W674" s="86"/>
      <c r="X674" s="86"/>
      <c r="Y674" s="86"/>
      <c r="Z674" s="86"/>
      <c r="AA674" s="86"/>
      <c r="AB674" s="86"/>
      <c r="AC674" s="86"/>
      <c r="AD674" s="86"/>
      <c r="AE674" s="86"/>
      <c r="AF674" s="86"/>
      <c r="AG674" s="86"/>
      <c r="AH674" s="86"/>
      <c r="AI674" s="86"/>
      <c r="AJ674" s="86"/>
    </row>
    <row r="675" spans="1:36" x14ac:dyDescent="0.25">
      <c r="A675" s="274"/>
      <c r="B675" s="87"/>
      <c r="C675" s="87"/>
      <c r="D675" s="87"/>
      <c r="E675" s="87"/>
      <c r="F675" s="87"/>
      <c r="G675" s="87"/>
      <c r="H675" s="87"/>
      <c r="I675" s="87"/>
      <c r="J675" s="87"/>
      <c r="K675" s="87"/>
      <c r="L675" s="87"/>
      <c r="M675" s="87"/>
      <c r="N675" s="87"/>
      <c r="O675" s="87"/>
      <c r="P675" s="87"/>
      <c r="Q675" s="87"/>
      <c r="R675" s="87"/>
      <c r="S675" s="87"/>
      <c r="T675" s="87"/>
      <c r="U675" s="87"/>
      <c r="V675" s="87"/>
      <c r="W675" s="87"/>
      <c r="X675" s="87"/>
      <c r="Y675" s="87"/>
      <c r="Z675" s="87"/>
      <c r="AA675" s="87"/>
      <c r="AB675" s="87"/>
      <c r="AC675" s="87"/>
      <c r="AD675" s="87"/>
      <c r="AE675" s="87"/>
      <c r="AF675" s="87"/>
      <c r="AG675" s="87"/>
      <c r="AH675" s="87"/>
      <c r="AI675" s="87"/>
      <c r="AJ675" s="87"/>
    </row>
    <row r="676" spans="1:36" x14ac:dyDescent="0.25">
      <c r="A676" s="273"/>
      <c r="B676" s="86"/>
      <c r="C676" s="86"/>
      <c r="D676" s="86"/>
      <c r="E676" s="86"/>
      <c r="F676" s="86"/>
      <c r="G676" s="86"/>
      <c r="H676" s="86"/>
      <c r="I676" s="86"/>
      <c r="J676" s="86"/>
      <c r="K676" s="86"/>
      <c r="L676" s="86"/>
      <c r="M676" s="86"/>
      <c r="N676" s="86"/>
      <c r="O676" s="86"/>
      <c r="P676" s="86"/>
      <c r="Q676" s="86"/>
      <c r="R676" s="86"/>
      <c r="S676" s="86"/>
      <c r="T676" s="86"/>
      <c r="U676" s="86"/>
      <c r="V676" s="86"/>
      <c r="W676" s="86"/>
      <c r="X676" s="86"/>
      <c r="Y676" s="86"/>
      <c r="Z676" s="86"/>
      <c r="AA676" s="86"/>
      <c r="AB676" s="86"/>
      <c r="AC676" s="86"/>
      <c r="AD676" s="86"/>
      <c r="AE676" s="86"/>
      <c r="AF676" s="86"/>
      <c r="AG676" s="86"/>
      <c r="AH676" s="86"/>
      <c r="AI676" s="86"/>
      <c r="AJ676" s="86"/>
    </row>
    <row r="677" spans="1:36" x14ac:dyDescent="0.25">
      <c r="A677" s="274"/>
      <c r="B677" s="87"/>
      <c r="C677" s="87"/>
      <c r="D677" s="87"/>
      <c r="E677" s="87"/>
      <c r="F677" s="87"/>
      <c r="G677" s="87"/>
      <c r="H677" s="87"/>
      <c r="I677" s="87"/>
      <c r="J677" s="87"/>
      <c r="K677" s="87"/>
      <c r="L677" s="87"/>
      <c r="M677" s="87"/>
      <c r="N677" s="87"/>
      <c r="O677" s="87"/>
      <c r="P677" s="87"/>
      <c r="Q677" s="87"/>
      <c r="R677" s="87"/>
      <c r="S677" s="87"/>
      <c r="T677" s="87"/>
      <c r="U677" s="87"/>
      <c r="V677" s="87"/>
      <c r="W677" s="87"/>
      <c r="X677" s="87"/>
      <c r="Y677" s="87"/>
      <c r="Z677" s="87"/>
      <c r="AA677" s="87"/>
      <c r="AB677" s="87"/>
      <c r="AC677" s="87"/>
      <c r="AD677" s="87"/>
      <c r="AE677" s="87"/>
      <c r="AF677" s="87"/>
      <c r="AG677" s="87"/>
      <c r="AH677" s="87"/>
      <c r="AI677" s="87"/>
      <c r="AJ677" s="87"/>
    </row>
    <row r="678" spans="1:36" x14ac:dyDescent="0.25">
      <c r="A678" s="273"/>
      <c r="B678" s="86"/>
      <c r="C678" s="86"/>
      <c r="D678" s="86"/>
      <c r="E678" s="86"/>
      <c r="F678" s="86"/>
      <c r="G678" s="86"/>
      <c r="H678" s="86"/>
      <c r="I678" s="86"/>
      <c r="J678" s="86"/>
      <c r="K678" s="86"/>
      <c r="L678" s="86"/>
      <c r="M678" s="86"/>
      <c r="N678" s="86"/>
      <c r="O678" s="86"/>
      <c r="P678" s="86"/>
      <c r="Q678" s="86"/>
      <c r="R678" s="86"/>
      <c r="S678" s="86"/>
      <c r="T678" s="86"/>
      <c r="U678" s="86"/>
      <c r="V678" s="86"/>
      <c r="W678" s="86"/>
      <c r="X678" s="86"/>
      <c r="Y678" s="86"/>
      <c r="Z678" s="86"/>
      <c r="AA678" s="86"/>
      <c r="AB678" s="86"/>
      <c r="AC678" s="86"/>
      <c r="AD678" s="86"/>
      <c r="AE678" s="86"/>
      <c r="AF678" s="86"/>
      <c r="AG678" s="86"/>
      <c r="AH678" s="86"/>
      <c r="AI678" s="86"/>
      <c r="AJ678" s="86"/>
    </row>
    <row r="679" spans="1:36" x14ac:dyDescent="0.25">
      <c r="A679" s="274"/>
      <c r="B679" s="87"/>
      <c r="C679" s="87"/>
      <c r="D679" s="87"/>
      <c r="E679" s="87"/>
      <c r="F679" s="87"/>
      <c r="G679" s="87"/>
      <c r="H679" s="87"/>
      <c r="I679" s="87"/>
      <c r="J679" s="87"/>
      <c r="K679" s="87"/>
      <c r="L679" s="87"/>
      <c r="M679" s="87"/>
      <c r="N679" s="87"/>
      <c r="O679" s="87"/>
      <c r="P679" s="87"/>
      <c r="Q679" s="87"/>
      <c r="R679" s="87"/>
      <c r="S679" s="87"/>
      <c r="T679" s="87"/>
      <c r="U679" s="87"/>
      <c r="V679" s="87"/>
      <c r="W679" s="87"/>
      <c r="X679" s="87"/>
      <c r="Y679" s="87"/>
      <c r="Z679" s="87"/>
      <c r="AA679" s="87"/>
      <c r="AB679" s="87"/>
      <c r="AC679" s="87"/>
      <c r="AD679" s="87"/>
      <c r="AE679" s="87"/>
      <c r="AF679" s="87"/>
      <c r="AG679" s="87"/>
      <c r="AH679" s="87"/>
      <c r="AI679" s="87"/>
      <c r="AJ679" s="87"/>
    </row>
    <row r="680" spans="1:36" x14ac:dyDescent="0.25">
      <c r="A680" s="273"/>
      <c r="B680" s="86"/>
      <c r="C680" s="86"/>
      <c r="D680" s="86"/>
      <c r="E680" s="86"/>
      <c r="F680" s="86"/>
      <c r="G680" s="86"/>
      <c r="H680" s="86"/>
      <c r="I680" s="86"/>
      <c r="J680" s="86"/>
      <c r="K680" s="86"/>
      <c r="L680" s="86"/>
      <c r="M680" s="86"/>
      <c r="N680" s="86"/>
      <c r="O680" s="86"/>
      <c r="P680" s="86"/>
      <c r="Q680" s="86"/>
      <c r="R680" s="86"/>
      <c r="S680" s="86"/>
      <c r="T680" s="86"/>
      <c r="U680" s="86"/>
      <c r="V680" s="86"/>
      <c r="W680" s="86"/>
      <c r="X680" s="86"/>
      <c r="Y680" s="86"/>
      <c r="Z680" s="86"/>
      <c r="AA680" s="86"/>
      <c r="AB680" s="86"/>
      <c r="AC680" s="86"/>
      <c r="AD680" s="86"/>
      <c r="AE680" s="86"/>
      <c r="AF680" s="86"/>
      <c r="AG680" s="86"/>
      <c r="AH680" s="86"/>
      <c r="AI680" s="86"/>
      <c r="AJ680" s="86"/>
    </row>
    <row r="681" spans="1:36" x14ac:dyDescent="0.25">
      <c r="A681" s="274"/>
      <c r="B681" s="87"/>
      <c r="C681" s="87"/>
      <c r="D681" s="87"/>
      <c r="E681" s="87"/>
      <c r="F681" s="87"/>
      <c r="G681" s="87"/>
      <c r="H681" s="87"/>
      <c r="I681" s="87"/>
      <c r="J681" s="87"/>
      <c r="K681" s="87"/>
      <c r="L681" s="87"/>
      <c r="M681" s="87"/>
      <c r="N681" s="87"/>
      <c r="O681" s="87"/>
      <c r="P681" s="87"/>
      <c r="Q681" s="87"/>
      <c r="R681" s="87"/>
      <c r="S681" s="87"/>
      <c r="T681" s="87"/>
      <c r="U681" s="87"/>
      <c r="V681" s="87"/>
      <c r="W681" s="87"/>
      <c r="X681" s="87"/>
      <c r="Y681" s="87"/>
      <c r="Z681" s="87"/>
      <c r="AA681" s="87"/>
      <c r="AB681" s="87"/>
      <c r="AC681" s="87"/>
      <c r="AD681" s="87"/>
      <c r="AE681" s="87"/>
      <c r="AF681" s="87"/>
      <c r="AG681" s="87"/>
      <c r="AH681" s="87"/>
      <c r="AI681" s="87"/>
      <c r="AJ681" s="87"/>
    </row>
    <row r="682" spans="1:36" x14ac:dyDescent="0.25">
      <c r="A682" s="273"/>
      <c r="B682" s="86"/>
      <c r="C682" s="86"/>
      <c r="D682" s="86"/>
      <c r="E682" s="86"/>
      <c r="F682" s="86"/>
      <c r="G682" s="86"/>
      <c r="H682" s="86"/>
      <c r="I682" s="86"/>
      <c r="J682" s="86"/>
      <c r="K682" s="86"/>
      <c r="L682" s="86"/>
      <c r="M682" s="86"/>
      <c r="N682" s="86"/>
      <c r="O682" s="86"/>
      <c r="P682" s="86"/>
      <c r="Q682" s="86"/>
      <c r="R682" s="86"/>
      <c r="S682" s="86"/>
      <c r="T682" s="86"/>
      <c r="U682" s="86"/>
      <c r="V682" s="86"/>
      <c r="W682" s="86"/>
      <c r="X682" s="86"/>
      <c r="Y682" s="86"/>
      <c r="Z682" s="86"/>
      <c r="AA682" s="86"/>
      <c r="AB682" s="86"/>
      <c r="AC682" s="86"/>
      <c r="AD682" s="86"/>
      <c r="AE682" s="86"/>
      <c r="AF682" s="86"/>
      <c r="AG682" s="86"/>
      <c r="AH682" s="86"/>
      <c r="AI682" s="86"/>
      <c r="AJ682" s="86"/>
    </row>
    <row r="683" spans="1:36" x14ac:dyDescent="0.25">
      <c r="A683" s="274"/>
      <c r="B683" s="87"/>
      <c r="C683" s="87"/>
      <c r="D683" s="87"/>
      <c r="E683" s="87"/>
      <c r="F683" s="87"/>
      <c r="G683" s="87"/>
      <c r="H683" s="87"/>
      <c r="I683" s="87"/>
      <c r="J683" s="87"/>
      <c r="K683" s="87"/>
      <c r="L683" s="87"/>
      <c r="M683" s="87"/>
      <c r="N683" s="87"/>
      <c r="O683" s="87"/>
      <c r="P683" s="87"/>
      <c r="Q683" s="87"/>
      <c r="R683" s="87"/>
      <c r="S683" s="87"/>
      <c r="T683" s="87"/>
      <c r="U683" s="87"/>
      <c r="V683" s="87"/>
      <c r="W683" s="87"/>
      <c r="X683" s="87"/>
      <c r="Y683" s="87"/>
      <c r="Z683" s="87"/>
      <c r="AA683" s="87"/>
      <c r="AB683" s="87"/>
      <c r="AC683" s="87"/>
      <c r="AD683" s="87"/>
      <c r="AE683" s="87"/>
      <c r="AF683" s="87"/>
      <c r="AG683" s="87"/>
      <c r="AH683" s="87"/>
      <c r="AI683" s="87"/>
      <c r="AJ683" s="87"/>
    </row>
    <row r="684" spans="1:36" x14ac:dyDescent="0.25">
      <c r="A684" s="273"/>
      <c r="B684" s="86"/>
      <c r="C684" s="86"/>
      <c r="D684" s="86"/>
      <c r="E684" s="86"/>
      <c r="F684" s="86"/>
      <c r="G684" s="86"/>
      <c r="H684" s="86"/>
      <c r="I684" s="86"/>
      <c r="J684" s="86"/>
      <c r="K684" s="86"/>
      <c r="L684" s="86"/>
      <c r="M684" s="86"/>
      <c r="N684" s="86"/>
      <c r="O684" s="86"/>
      <c r="P684" s="86"/>
      <c r="Q684" s="86"/>
      <c r="R684" s="86"/>
      <c r="S684" s="86"/>
      <c r="T684" s="86"/>
      <c r="U684" s="86"/>
      <c r="V684" s="86"/>
      <c r="W684" s="86"/>
      <c r="X684" s="86"/>
      <c r="Y684" s="86"/>
      <c r="Z684" s="86"/>
      <c r="AA684" s="86"/>
      <c r="AB684" s="86"/>
      <c r="AC684" s="86"/>
      <c r="AD684" s="86"/>
      <c r="AE684" s="86"/>
      <c r="AF684" s="86"/>
      <c r="AG684" s="86"/>
      <c r="AH684" s="86"/>
      <c r="AI684" s="86"/>
      <c r="AJ684" s="86"/>
    </row>
    <row r="685" spans="1:36" x14ac:dyDescent="0.25">
      <c r="A685" s="274"/>
      <c r="B685" s="87"/>
      <c r="C685" s="87"/>
      <c r="D685" s="87"/>
      <c r="E685" s="87"/>
      <c r="F685" s="87"/>
      <c r="G685" s="87"/>
      <c r="H685" s="87"/>
      <c r="I685" s="87"/>
      <c r="J685" s="87"/>
      <c r="K685" s="87"/>
      <c r="L685" s="87"/>
      <c r="M685" s="87"/>
      <c r="N685" s="87"/>
      <c r="O685" s="87"/>
      <c r="P685" s="87"/>
      <c r="Q685" s="87"/>
      <c r="R685" s="87"/>
      <c r="S685" s="87"/>
      <c r="T685" s="87"/>
      <c r="U685" s="87"/>
      <c r="V685" s="87"/>
      <c r="W685" s="87"/>
      <c r="X685" s="87"/>
      <c r="Y685" s="87"/>
      <c r="Z685" s="87"/>
      <c r="AA685" s="87"/>
      <c r="AB685" s="87"/>
      <c r="AC685" s="87"/>
      <c r="AD685" s="87"/>
      <c r="AE685" s="87"/>
      <c r="AF685" s="87"/>
      <c r="AG685" s="87"/>
      <c r="AH685" s="87"/>
      <c r="AI685" s="87"/>
      <c r="AJ685" s="87"/>
    </row>
    <row r="686" spans="1:36" x14ac:dyDescent="0.25">
      <c r="A686" s="273"/>
      <c r="B686" s="86"/>
      <c r="C686" s="86"/>
      <c r="D686" s="86"/>
      <c r="E686" s="86"/>
      <c r="F686" s="86"/>
      <c r="G686" s="86"/>
      <c r="H686" s="86"/>
      <c r="I686" s="86"/>
      <c r="J686" s="86"/>
      <c r="K686" s="86"/>
      <c r="L686" s="86"/>
      <c r="M686" s="86"/>
      <c r="N686" s="86"/>
      <c r="O686" s="86"/>
      <c r="P686" s="86"/>
      <c r="Q686" s="86"/>
      <c r="R686" s="86"/>
      <c r="S686" s="86"/>
      <c r="T686" s="86"/>
      <c r="U686" s="86"/>
      <c r="V686" s="86"/>
      <c r="W686" s="86"/>
      <c r="X686" s="86"/>
      <c r="Y686" s="86"/>
      <c r="Z686" s="86"/>
      <c r="AA686" s="86"/>
      <c r="AB686" s="86"/>
      <c r="AC686" s="86"/>
      <c r="AD686" s="86"/>
      <c r="AE686" s="86"/>
      <c r="AF686" s="86"/>
      <c r="AG686" s="86"/>
      <c r="AH686" s="86"/>
      <c r="AI686" s="86"/>
      <c r="AJ686" s="86"/>
    </row>
    <row r="687" spans="1:36" x14ac:dyDescent="0.25">
      <c r="A687" s="274"/>
      <c r="B687" s="87"/>
      <c r="C687" s="87"/>
      <c r="D687" s="87"/>
      <c r="E687" s="87"/>
      <c r="F687" s="87"/>
      <c r="G687" s="87"/>
      <c r="H687" s="87"/>
      <c r="I687" s="87"/>
      <c r="J687" s="87"/>
      <c r="K687" s="87"/>
      <c r="L687" s="87"/>
      <c r="M687" s="87"/>
      <c r="N687" s="87"/>
      <c r="O687" s="87"/>
      <c r="P687" s="87"/>
      <c r="Q687" s="87"/>
      <c r="R687" s="87"/>
      <c r="S687" s="87"/>
      <c r="T687" s="87"/>
      <c r="U687" s="87"/>
      <c r="V687" s="87"/>
      <c r="W687" s="87"/>
      <c r="X687" s="87"/>
      <c r="Y687" s="87"/>
      <c r="Z687" s="87"/>
      <c r="AA687" s="87"/>
      <c r="AB687" s="87"/>
      <c r="AC687" s="87"/>
      <c r="AD687" s="87"/>
      <c r="AE687" s="87"/>
      <c r="AF687" s="87"/>
      <c r="AG687" s="87"/>
      <c r="AH687" s="87"/>
      <c r="AI687" s="87"/>
      <c r="AJ687" s="87"/>
    </row>
    <row r="688" spans="1:36" x14ac:dyDescent="0.25">
      <c r="A688" s="273"/>
      <c r="B688" s="86"/>
      <c r="C688" s="86"/>
      <c r="D688" s="86"/>
      <c r="E688" s="86"/>
      <c r="F688" s="86"/>
      <c r="G688" s="86"/>
      <c r="H688" s="86"/>
      <c r="I688" s="86"/>
      <c r="J688" s="86"/>
      <c r="K688" s="86"/>
      <c r="L688" s="86"/>
      <c r="M688" s="86"/>
      <c r="N688" s="86"/>
      <c r="O688" s="86"/>
      <c r="P688" s="86"/>
      <c r="Q688" s="86"/>
      <c r="R688" s="86"/>
      <c r="S688" s="86"/>
      <c r="T688" s="86"/>
      <c r="U688" s="86"/>
      <c r="V688" s="86"/>
      <c r="W688" s="86"/>
      <c r="X688" s="86"/>
      <c r="Y688" s="86"/>
      <c r="Z688" s="86"/>
      <c r="AA688" s="86"/>
      <c r="AB688" s="86"/>
      <c r="AC688" s="86"/>
      <c r="AD688" s="86"/>
      <c r="AE688" s="86"/>
      <c r="AF688" s="86"/>
      <c r="AG688" s="86"/>
      <c r="AH688" s="86"/>
      <c r="AI688" s="86"/>
      <c r="AJ688" s="86"/>
    </row>
    <row r="689" spans="1:36" x14ac:dyDescent="0.25">
      <c r="A689" s="274"/>
      <c r="B689" s="87"/>
      <c r="C689" s="87"/>
      <c r="D689" s="87"/>
      <c r="E689" s="87"/>
      <c r="F689" s="87"/>
      <c r="G689" s="87"/>
      <c r="H689" s="87"/>
      <c r="I689" s="87"/>
      <c r="J689" s="87"/>
      <c r="K689" s="87"/>
      <c r="L689" s="87"/>
      <c r="M689" s="87"/>
      <c r="N689" s="87"/>
      <c r="O689" s="87"/>
      <c r="P689" s="87"/>
      <c r="Q689" s="87"/>
      <c r="R689" s="87"/>
      <c r="S689" s="87"/>
      <c r="T689" s="87"/>
      <c r="U689" s="87"/>
      <c r="V689" s="87"/>
      <c r="W689" s="87"/>
      <c r="X689" s="87"/>
      <c r="Y689" s="87"/>
      <c r="Z689" s="87"/>
      <c r="AA689" s="87"/>
      <c r="AB689" s="87"/>
      <c r="AC689" s="87"/>
      <c r="AD689" s="87"/>
      <c r="AE689" s="87"/>
      <c r="AF689" s="87"/>
      <c r="AG689" s="87"/>
      <c r="AH689" s="87"/>
      <c r="AI689" s="87"/>
      <c r="AJ689" s="87"/>
    </row>
    <row r="690" spans="1:36" x14ac:dyDescent="0.25">
      <c r="A690" s="273"/>
      <c r="B690" s="86"/>
      <c r="C690" s="86"/>
      <c r="D690" s="86"/>
      <c r="E690" s="86"/>
      <c r="F690" s="86"/>
      <c r="G690" s="86"/>
      <c r="H690" s="86"/>
      <c r="I690" s="86"/>
      <c r="J690" s="86"/>
      <c r="K690" s="86"/>
      <c r="L690" s="86"/>
      <c r="M690" s="86"/>
      <c r="N690" s="86"/>
      <c r="O690" s="86"/>
      <c r="P690" s="86"/>
      <c r="Q690" s="86"/>
      <c r="R690" s="86"/>
      <c r="S690" s="86"/>
      <c r="T690" s="86"/>
      <c r="U690" s="86"/>
      <c r="V690" s="86"/>
      <c r="W690" s="86"/>
      <c r="X690" s="86"/>
      <c r="Y690" s="86"/>
      <c r="Z690" s="86"/>
      <c r="AA690" s="86"/>
      <c r="AB690" s="86"/>
      <c r="AC690" s="86"/>
      <c r="AD690" s="86"/>
      <c r="AE690" s="86"/>
      <c r="AF690" s="86"/>
      <c r="AG690" s="86"/>
      <c r="AH690" s="86"/>
      <c r="AI690" s="86"/>
      <c r="AJ690" s="86"/>
    </row>
    <row r="691" spans="1:36" x14ac:dyDescent="0.25">
      <c r="A691" s="274"/>
      <c r="B691" s="87"/>
      <c r="C691" s="87"/>
      <c r="D691" s="87"/>
      <c r="E691" s="87"/>
      <c r="F691" s="87"/>
      <c r="G691" s="87"/>
      <c r="H691" s="87"/>
      <c r="I691" s="87"/>
      <c r="J691" s="87"/>
      <c r="K691" s="87"/>
      <c r="L691" s="87"/>
      <c r="M691" s="87"/>
      <c r="N691" s="87"/>
      <c r="O691" s="87"/>
      <c r="P691" s="87"/>
      <c r="Q691" s="87"/>
      <c r="R691" s="87"/>
      <c r="S691" s="87"/>
      <c r="T691" s="87"/>
      <c r="U691" s="87"/>
      <c r="V691" s="87"/>
      <c r="W691" s="87"/>
      <c r="X691" s="87"/>
      <c r="Y691" s="87"/>
      <c r="Z691" s="87"/>
      <c r="AA691" s="87"/>
      <c r="AB691" s="87"/>
      <c r="AC691" s="87"/>
      <c r="AD691" s="87"/>
      <c r="AE691" s="87"/>
      <c r="AF691" s="87"/>
      <c r="AG691" s="87"/>
      <c r="AH691" s="87"/>
      <c r="AI691" s="87"/>
      <c r="AJ691" s="87"/>
    </row>
    <row r="692" spans="1:36" x14ac:dyDescent="0.25">
      <c r="A692" s="273"/>
      <c r="B692" s="86"/>
      <c r="C692" s="86"/>
      <c r="D692" s="86"/>
      <c r="E692" s="86"/>
      <c r="F692" s="86"/>
      <c r="G692" s="86"/>
      <c r="H692" s="86"/>
      <c r="I692" s="86"/>
      <c r="J692" s="86"/>
      <c r="K692" s="86"/>
      <c r="L692" s="86"/>
      <c r="M692" s="86"/>
      <c r="N692" s="86"/>
      <c r="O692" s="86"/>
      <c r="P692" s="86"/>
      <c r="Q692" s="86"/>
      <c r="R692" s="86"/>
      <c r="S692" s="86"/>
      <c r="T692" s="86"/>
      <c r="U692" s="86"/>
      <c r="V692" s="86"/>
      <c r="W692" s="86"/>
      <c r="X692" s="86"/>
      <c r="Y692" s="86"/>
      <c r="Z692" s="86"/>
      <c r="AA692" s="86"/>
      <c r="AB692" s="86"/>
      <c r="AC692" s="86"/>
      <c r="AD692" s="86"/>
      <c r="AE692" s="86"/>
      <c r="AF692" s="86"/>
      <c r="AG692" s="86"/>
      <c r="AH692" s="86"/>
      <c r="AI692" s="86"/>
      <c r="AJ692" s="86"/>
    </row>
    <row r="693" spans="1:36" x14ac:dyDescent="0.25">
      <c r="A693" s="274"/>
      <c r="B693" s="87"/>
      <c r="C693" s="87"/>
      <c r="D693" s="87"/>
      <c r="E693" s="87"/>
      <c r="F693" s="87"/>
      <c r="G693" s="87"/>
      <c r="H693" s="87"/>
      <c r="I693" s="87"/>
      <c r="J693" s="87"/>
      <c r="K693" s="87"/>
      <c r="L693" s="87"/>
      <c r="M693" s="87"/>
      <c r="N693" s="87"/>
      <c r="O693" s="87"/>
      <c r="P693" s="87"/>
      <c r="Q693" s="87"/>
      <c r="R693" s="87"/>
      <c r="S693" s="87"/>
      <c r="T693" s="87"/>
      <c r="U693" s="87"/>
      <c r="V693" s="87"/>
      <c r="W693" s="87"/>
      <c r="X693" s="87"/>
      <c r="Y693" s="87"/>
      <c r="Z693" s="87"/>
      <c r="AA693" s="87"/>
      <c r="AB693" s="87"/>
      <c r="AC693" s="87"/>
      <c r="AD693" s="87"/>
      <c r="AE693" s="87"/>
      <c r="AF693" s="87"/>
      <c r="AG693" s="87"/>
      <c r="AH693" s="87"/>
      <c r="AI693" s="87"/>
      <c r="AJ693" s="87"/>
    </row>
    <row r="694" spans="1:36" x14ac:dyDescent="0.25">
      <c r="A694" s="273"/>
      <c r="B694" s="86"/>
      <c r="C694" s="86"/>
      <c r="D694" s="86"/>
      <c r="E694" s="86"/>
      <c r="F694" s="86"/>
      <c r="G694" s="86"/>
      <c r="H694" s="86"/>
      <c r="I694" s="86"/>
      <c r="J694" s="86"/>
      <c r="K694" s="86"/>
      <c r="L694" s="86"/>
      <c r="M694" s="86"/>
      <c r="N694" s="86"/>
      <c r="O694" s="86"/>
      <c r="P694" s="86"/>
      <c r="Q694" s="86"/>
      <c r="R694" s="86"/>
      <c r="S694" s="86"/>
      <c r="T694" s="86"/>
      <c r="U694" s="86"/>
      <c r="V694" s="86"/>
      <c r="W694" s="86"/>
      <c r="X694" s="86"/>
      <c r="Y694" s="86"/>
      <c r="Z694" s="86"/>
      <c r="AA694" s="86"/>
      <c r="AB694" s="86"/>
      <c r="AC694" s="86"/>
      <c r="AD694" s="86"/>
      <c r="AE694" s="86"/>
      <c r="AF694" s="86"/>
      <c r="AG694" s="86"/>
      <c r="AH694" s="86"/>
      <c r="AI694" s="86"/>
      <c r="AJ694" s="86"/>
    </row>
    <row r="695" spans="1:36" x14ac:dyDescent="0.25">
      <c r="A695" s="274"/>
      <c r="B695" s="87"/>
      <c r="C695" s="87"/>
      <c r="D695" s="87"/>
      <c r="E695" s="87"/>
      <c r="F695" s="87"/>
      <c r="G695" s="87"/>
      <c r="H695" s="87"/>
      <c r="I695" s="87"/>
      <c r="J695" s="87"/>
      <c r="K695" s="87"/>
      <c r="L695" s="87"/>
      <c r="M695" s="87"/>
      <c r="N695" s="87"/>
      <c r="O695" s="87"/>
      <c r="P695" s="87"/>
      <c r="Q695" s="87"/>
      <c r="R695" s="87"/>
      <c r="S695" s="87"/>
      <c r="T695" s="87"/>
      <c r="U695" s="87"/>
      <c r="V695" s="87"/>
      <c r="W695" s="87"/>
      <c r="X695" s="87"/>
      <c r="Y695" s="87"/>
      <c r="Z695" s="87"/>
      <c r="AA695" s="87"/>
      <c r="AB695" s="87"/>
      <c r="AC695" s="87"/>
      <c r="AD695" s="87"/>
      <c r="AE695" s="87"/>
      <c r="AF695" s="87"/>
      <c r="AG695" s="87"/>
      <c r="AH695" s="87"/>
      <c r="AI695" s="87"/>
      <c r="AJ695" s="87"/>
    </row>
    <row r="696" spans="1:36" x14ac:dyDescent="0.25">
      <c r="A696" s="273"/>
      <c r="B696" s="86"/>
      <c r="C696" s="86"/>
      <c r="D696" s="86"/>
      <c r="E696" s="86"/>
      <c r="F696" s="86"/>
      <c r="G696" s="86"/>
      <c r="H696" s="86"/>
      <c r="I696" s="86"/>
      <c r="J696" s="86"/>
      <c r="K696" s="86"/>
      <c r="L696" s="86"/>
      <c r="M696" s="86"/>
      <c r="N696" s="86"/>
      <c r="O696" s="86"/>
      <c r="P696" s="86"/>
      <c r="Q696" s="86"/>
      <c r="R696" s="86"/>
      <c r="S696" s="86"/>
      <c r="T696" s="86"/>
      <c r="U696" s="86"/>
      <c r="V696" s="86"/>
      <c r="W696" s="86"/>
      <c r="X696" s="86"/>
      <c r="Y696" s="86"/>
      <c r="Z696" s="86"/>
      <c r="AA696" s="86"/>
      <c r="AB696" s="86"/>
      <c r="AC696" s="86"/>
      <c r="AD696" s="86"/>
      <c r="AE696" s="86"/>
      <c r="AF696" s="86"/>
      <c r="AG696" s="86"/>
      <c r="AH696" s="86"/>
      <c r="AI696" s="86"/>
      <c r="AJ696" s="86"/>
    </row>
    <row r="697" spans="1:36" x14ac:dyDescent="0.25">
      <c r="A697" s="274"/>
      <c r="B697" s="87"/>
      <c r="C697" s="87"/>
      <c r="D697" s="87"/>
      <c r="E697" s="87"/>
      <c r="F697" s="87"/>
      <c r="G697" s="87"/>
      <c r="H697" s="87"/>
      <c r="I697" s="87"/>
      <c r="J697" s="87"/>
      <c r="K697" s="87"/>
      <c r="L697" s="87"/>
      <c r="M697" s="87"/>
      <c r="N697" s="87"/>
      <c r="O697" s="87"/>
      <c r="P697" s="87"/>
      <c r="Q697" s="87"/>
      <c r="R697" s="87"/>
      <c r="S697" s="87"/>
      <c r="T697" s="87"/>
      <c r="U697" s="87"/>
      <c r="V697" s="87"/>
      <c r="W697" s="87"/>
      <c r="X697" s="87"/>
      <c r="Y697" s="87"/>
      <c r="Z697" s="87"/>
      <c r="AA697" s="87"/>
      <c r="AB697" s="87"/>
      <c r="AC697" s="87"/>
      <c r="AD697" s="87"/>
      <c r="AE697" s="87"/>
      <c r="AF697" s="87"/>
      <c r="AG697" s="87"/>
      <c r="AH697" s="87"/>
      <c r="AI697" s="87"/>
      <c r="AJ697" s="87"/>
    </row>
    <row r="698" spans="1:36" x14ac:dyDescent="0.25">
      <c r="A698" s="273"/>
      <c r="B698" s="86"/>
      <c r="C698" s="86"/>
      <c r="D698" s="86"/>
      <c r="E698" s="86"/>
      <c r="F698" s="86"/>
      <c r="G698" s="86"/>
      <c r="H698" s="86"/>
      <c r="I698" s="86"/>
      <c r="J698" s="86"/>
      <c r="K698" s="86"/>
      <c r="L698" s="86"/>
      <c r="M698" s="86"/>
      <c r="N698" s="86"/>
      <c r="O698" s="86"/>
      <c r="P698" s="86"/>
      <c r="Q698" s="86"/>
      <c r="R698" s="86"/>
      <c r="S698" s="86"/>
      <c r="T698" s="86"/>
      <c r="U698" s="86"/>
      <c r="V698" s="86"/>
      <c r="W698" s="86"/>
      <c r="X698" s="86"/>
      <c r="Y698" s="86"/>
      <c r="Z698" s="86"/>
      <c r="AA698" s="86"/>
      <c r="AB698" s="86"/>
      <c r="AC698" s="86"/>
      <c r="AD698" s="86"/>
      <c r="AE698" s="86"/>
      <c r="AF698" s="86"/>
      <c r="AG698" s="86"/>
      <c r="AH698" s="86"/>
      <c r="AI698" s="86"/>
      <c r="AJ698" s="86"/>
    </row>
    <row r="699" spans="1:36" x14ac:dyDescent="0.25">
      <c r="A699" s="274"/>
      <c r="B699" s="87"/>
      <c r="C699" s="87"/>
      <c r="D699" s="87"/>
      <c r="E699" s="87"/>
      <c r="F699" s="87"/>
      <c r="G699" s="87"/>
      <c r="H699" s="87"/>
      <c r="I699" s="87"/>
      <c r="J699" s="87"/>
      <c r="K699" s="87"/>
      <c r="L699" s="87"/>
      <c r="M699" s="87"/>
      <c r="N699" s="87"/>
      <c r="O699" s="87"/>
      <c r="P699" s="87"/>
      <c r="Q699" s="87"/>
      <c r="R699" s="87"/>
      <c r="S699" s="87"/>
      <c r="T699" s="87"/>
      <c r="U699" s="87"/>
      <c r="V699" s="87"/>
      <c r="W699" s="87"/>
      <c r="X699" s="87"/>
      <c r="Y699" s="87"/>
      <c r="Z699" s="87"/>
      <c r="AA699" s="87"/>
      <c r="AB699" s="87"/>
      <c r="AC699" s="87"/>
      <c r="AD699" s="87"/>
      <c r="AE699" s="87"/>
      <c r="AF699" s="87"/>
      <c r="AG699" s="87"/>
      <c r="AH699" s="87"/>
      <c r="AI699" s="87"/>
      <c r="AJ699" s="87"/>
    </row>
    <row r="700" spans="1:36" x14ac:dyDescent="0.25">
      <c r="A700" s="273"/>
      <c r="B700" s="86"/>
      <c r="C700" s="86"/>
      <c r="D700" s="86"/>
      <c r="E700" s="86"/>
      <c r="F700" s="86"/>
      <c r="G700" s="86"/>
      <c r="H700" s="86"/>
      <c r="I700" s="86"/>
      <c r="J700" s="86"/>
      <c r="K700" s="86"/>
      <c r="L700" s="86"/>
      <c r="M700" s="86"/>
      <c r="N700" s="86"/>
      <c r="O700" s="86"/>
      <c r="P700" s="86"/>
      <c r="Q700" s="86"/>
      <c r="R700" s="86"/>
      <c r="S700" s="86"/>
      <c r="T700" s="86"/>
      <c r="U700" s="86"/>
      <c r="V700" s="86"/>
      <c r="W700" s="86"/>
      <c r="X700" s="86"/>
      <c r="Y700" s="86"/>
      <c r="Z700" s="86"/>
      <c r="AA700" s="86"/>
      <c r="AB700" s="86"/>
      <c r="AC700" s="86"/>
      <c r="AD700" s="86"/>
      <c r="AE700" s="86"/>
      <c r="AF700" s="86"/>
      <c r="AG700" s="86"/>
      <c r="AH700" s="86"/>
      <c r="AI700" s="86"/>
      <c r="AJ700" s="86"/>
    </row>
    <row r="701" spans="1:36" x14ac:dyDescent="0.25">
      <c r="A701" s="274"/>
      <c r="B701" s="87"/>
      <c r="C701" s="87"/>
      <c r="D701" s="87"/>
      <c r="E701" s="87"/>
      <c r="F701" s="87"/>
      <c r="G701" s="87"/>
      <c r="H701" s="87"/>
      <c r="I701" s="87"/>
      <c r="J701" s="87"/>
      <c r="K701" s="87"/>
      <c r="L701" s="87"/>
      <c r="M701" s="87"/>
      <c r="N701" s="87"/>
      <c r="O701" s="87"/>
      <c r="P701" s="87"/>
      <c r="Q701" s="87"/>
      <c r="R701" s="87"/>
      <c r="S701" s="87"/>
      <c r="T701" s="87"/>
      <c r="U701" s="87"/>
      <c r="V701" s="87"/>
      <c r="W701" s="87"/>
      <c r="X701" s="87"/>
      <c r="Y701" s="87"/>
      <c r="Z701" s="87"/>
      <c r="AA701" s="87"/>
      <c r="AB701" s="87"/>
      <c r="AC701" s="87"/>
      <c r="AD701" s="87"/>
      <c r="AE701" s="87"/>
      <c r="AF701" s="87"/>
      <c r="AG701" s="87"/>
      <c r="AH701" s="87"/>
      <c r="AI701" s="87"/>
      <c r="AJ701" s="87"/>
    </row>
    <row r="702" spans="1:36" x14ac:dyDescent="0.25">
      <c r="A702" s="273"/>
      <c r="B702" s="86"/>
      <c r="C702" s="86"/>
      <c r="D702" s="86"/>
      <c r="E702" s="86"/>
      <c r="F702" s="86"/>
      <c r="G702" s="86"/>
      <c r="H702" s="86"/>
      <c r="I702" s="86"/>
      <c r="J702" s="86"/>
      <c r="K702" s="86"/>
      <c r="L702" s="86"/>
      <c r="M702" s="86"/>
      <c r="N702" s="86"/>
      <c r="O702" s="86"/>
      <c r="P702" s="86"/>
      <c r="Q702" s="86"/>
      <c r="R702" s="86"/>
      <c r="S702" s="86"/>
      <c r="T702" s="86"/>
      <c r="U702" s="86"/>
      <c r="V702" s="86"/>
      <c r="W702" s="86"/>
      <c r="X702" s="86"/>
      <c r="Y702" s="86"/>
      <c r="Z702" s="86"/>
      <c r="AA702" s="86"/>
      <c r="AB702" s="86"/>
      <c r="AC702" s="86"/>
      <c r="AD702" s="86"/>
      <c r="AE702" s="86"/>
      <c r="AF702" s="86"/>
      <c r="AG702" s="86"/>
      <c r="AH702" s="86"/>
      <c r="AI702" s="86"/>
      <c r="AJ702" s="86"/>
    </row>
    <row r="703" spans="1:36" x14ac:dyDescent="0.25">
      <c r="A703" s="274"/>
      <c r="B703" s="87"/>
      <c r="C703" s="87"/>
      <c r="D703" s="87"/>
      <c r="E703" s="87"/>
      <c r="F703" s="87"/>
      <c r="G703" s="87"/>
      <c r="H703" s="87"/>
      <c r="I703" s="87"/>
      <c r="J703" s="87"/>
      <c r="K703" s="87"/>
      <c r="L703" s="87"/>
      <c r="M703" s="87"/>
      <c r="N703" s="87"/>
      <c r="O703" s="87"/>
      <c r="P703" s="87"/>
      <c r="Q703" s="87"/>
      <c r="R703" s="87"/>
      <c r="S703" s="87"/>
      <c r="T703" s="87"/>
      <c r="U703" s="87"/>
      <c r="V703" s="87"/>
      <c r="W703" s="87"/>
      <c r="X703" s="87"/>
      <c r="Y703" s="87"/>
      <c r="Z703" s="87"/>
      <c r="AA703" s="87"/>
      <c r="AB703" s="87"/>
      <c r="AC703" s="87"/>
      <c r="AD703" s="87"/>
      <c r="AE703" s="87"/>
      <c r="AF703" s="87"/>
      <c r="AG703" s="87"/>
      <c r="AH703" s="87"/>
      <c r="AI703" s="87"/>
      <c r="AJ703" s="87"/>
    </row>
    <row r="704" spans="1:36" x14ac:dyDescent="0.25">
      <c r="A704" s="273"/>
      <c r="B704" s="86"/>
      <c r="C704" s="86"/>
      <c r="D704" s="86"/>
      <c r="E704" s="86"/>
      <c r="F704" s="86"/>
      <c r="G704" s="86"/>
      <c r="H704" s="86"/>
      <c r="I704" s="86"/>
      <c r="J704" s="86"/>
      <c r="K704" s="86"/>
      <c r="L704" s="86"/>
      <c r="M704" s="86"/>
      <c r="N704" s="86"/>
      <c r="O704" s="86"/>
      <c r="P704" s="86"/>
      <c r="Q704" s="86"/>
      <c r="R704" s="86"/>
      <c r="S704" s="86"/>
      <c r="T704" s="86"/>
      <c r="U704" s="86"/>
      <c r="V704" s="86"/>
      <c r="W704" s="86"/>
      <c r="X704" s="86"/>
      <c r="Y704" s="86"/>
      <c r="Z704" s="86"/>
      <c r="AA704" s="86"/>
      <c r="AB704" s="86"/>
      <c r="AC704" s="86"/>
      <c r="AD704" s="86"/>
      <c r="AE704" s="86"/>
      <c r="AF704" s="86"/>
      <c r="AG704" s="86"/>
      <c r="AH704" s="86"/>
      <c r="AI704" s="86"/>
      <c r="AJ704" s="86"/>
    </row>
    <row r="705" spans="1:36" x14ac:dyDescent="0.25">
      <c r="A705" s="274"/>
      <c r="B705" s="87"/>
      <c r="C705" s="87"/>
      <c r="D705" s="87"/>
      <c r="E705" s="87"/>
      <c r="F705" s="87"/>
      <c r="G705" s="87"/>
      <c r="H705" s="87"/>
      <c r="I705" s="87"/>
      <c r="J705" s="87"/>
      <c r="K705" s="87"/>
      <c r="L705" s="87"/>
      <c r="M705" s="87"/>
      <c r="N705" s="87"/>
      <c r="O705" s="87"/>
      <c r="P705" s="87"/>
      <c r="Q705" s="87"/>
      <c r="R705" s="87"/>
      <c r="S705" s="87"/>
      <c r="T705" s="87"/>
      <c r="U705" s="87"/>
      <c r="V705" s="87"/>
      <c r="W705" s="87"/>
      <c r="X705" s="87"/>
      <c r="Y705" s="87"/>
      <c r="Z705" s="87"/>
      <c r="AA705" s="87"/>
      <c r="AB705" s="87"/>
      <c r="AC705" s="87"/>
      <c r="AD705" s="87"/>
      <c r="AE705" s="87"/>
      <c r="AF705" s="87"/>
      <c r="AG705" s="87"/>
      <c r="AH705" s="87"/>
      <c r="AI705" s="87"/>
      <c r="AJ705" s="87"/>
    </row>
    <row r="706" spans="1:36" x14ac:dyDescent="0.25">
      <c r="A706" s="273"/>
      <c r="B706" s="86"/>
      <c r="C706" s="86"/>
      <c r="D706" s="86"/>
      <c r="E706" s="86"/>
      <c r="F706" s="86"/>
      <c r="G706" s="86"/>
      <c r="H706" s="86"/>
      <c r="I706" s="86"/>
      <c r="J706" s="86"/>
      <c r="K706" s="86"/>
      <c r="L706" s="86"/>
      <c r="M706" s="86"/>
      <c r="N706" s="86"/>
      <c r="O706" s="86"/>
      <c r="P706" s="86"/>
      <c r="Q706" s="86"/>
      <c r="R706" s="86"/>
      <c r="S706" s="86"/>
      <c r="T706" s="86"/>
      <c r="U706" s="86"/>
      <c r="V706" s="86"/>
      <c r="W706" s="86"/>
      <c r="X706" s="86"/>
      <c r="Y706" s="86"/>
      <c r="Z706" s="86"/>
      <c r="AA706" s="86"/>
      <c r="AB706" s="86"/>
      <c r="AC706" s="86"/>
      <c r="AD706" s="86"/>
      <c r="AE706" s="86"/>
      <c r="AF706" s="86"/>
      <c r="AG706" s="86"/>
      <c r="AH706" s="86"/>
      <c r="AI706" s="86"/>
      <c r="AJ706" s="86"/>
    </row>
    <row r="707" spans="1:36" x14ac:dyDescent="0.25">
      <c r="A707" s="274"/>
      <c r="B707" s="87"/>
      <c r="C707" s="87"/>
      <c r="D707" s="87"/>
      <c r="E707" s="87"/>
      <c r="F707" s="87"/>
      <c r="G707" s="87"/>
      <c r="H707" s="87"/>
      <c r="I707" s="87"/>
      <c r="J707" s="87"/>
      <c r="K707" s="87"/>
      <c r="L707" s="87"/>
      <c r="M707" s="87"/>
      <c r="N707" s="87"/>
      <c r="O707" s="87"/>
      <c r="P707" s="87"/>
      <c r="Q707" s="87"/>
      <c r="R707" s="87"/>
      <c r="S707" s="87"/>
      <c r="T707" s="87"/>
      <c r="U707" s="87"/>
      <c r="V707" s="87"/>
      <c r="W707" s="87"/>
      <c r="X707" s="87"/>
      <c r="Y707" s="87"/>
      <c r="Z707" s="87"/>
      <c r="AA707" s="87"/>
      <c r="AB707" s="87"/>
      <c r="AC707" s="87"/>
      <c r="AD707" s="87"/>
      <c r="AE707" s="87"/>
      <c r="AF707" s="87"/>
      <c r="AG707" s="87"/>
      <c r="AH707" s="87"/>
      <c r="AI707" s="87"/>
      <c r="AJ707" s="87"/>
    </row>
    <row r="708" spans="1:36" x14ac:dyDescent="0.25">
      <c r="A708" s="273"/>
      <c r="B708" s="86"/>
      <c r="C708" s="86"/>
      <c r="D708" s="86"/>
      <c r="E708" s="86"/>
      <c r="F708" s="86"/>
      <c r="G708" s="86"/>
      <c r="H708" s="86"/>
      <c r="I708" s="86"/>
      <c r="J708" s="86"/>
      <c r="K708" s="86"/>
      <c r="L708" s="86"/>
      <c r="M708" s="86"/>
      <c r="N708" s="86"/>
      <c r="O708" s="86"/>
      <c r="P708" s="86"/>
      <c r="Q708" s="86"/>
      <c r="R708" s="86"/>
      <c r="S708" s="86"/>
      <c r="T708" s="86"/>
      <c r="U708" s="86"/>
      <c r="V708" s="86"/>
      <c r="W708" s="86"/>
      <c r="X708" s="86"/>
      <c r="Y708" s="86"/>
      <c r="Z708" s="86"/>
      <c r="AA708" s="86"/>
      <c r="AB708" s="86"/>
      <c r="AC708" s="86"/>
      <c r="AD708" s="86"/>
      <c r="AE708" s="86"/>
      <c r="AF708" s="86"/>
      <c r="AG708" s="86"/>
      <c r="AH708" s="86"/>
      <c r="AI708" s="86"/>
      <c r="AJ708" s="86"/>
    </row>
    <row r="709" spans="1:36" x14ac:dyDescent="0.25">
      <c r="A709" s="274"/>
      <c r="B709" s="87"/>
      <c r="C709" s="87"/>
      <c r="D709" s="87"/>
      <c r="E709" s="87"/>
      <c r="F709" s="87"/>
      <c r="G709" s="87"/>
      <c r="H709" s="87"/>
      <c r="I709" s="87"/>
      <c r="J709" s="87"/>
      <c r="K709" s="87"/>
      <c r="L709" s="87"/>
      <c r="M709" s="87"/>
      <c r="N709" s="87"/>
      <c r="O709" s="87"/>
      <c r="P709" s="87"/>
      <c r="Q709" s="87"/>
      <c r="R709" s="87"/>
      <c r="S709" s="87"/>
      <c r="T709" s="87"/>
      <c r="U709" s="87"/>
      <c r="V709" s="87"/>
      <c r="W709" s="87"/>
      <c r="X709" s="87"/>
      <c r="Y709" s="87"/>
      <c r="Z709" s="87"/>
      <c r="AA709" s="87"/>
      <c r="AB709" s="87"/>
      <c r="AC709" s="87"/>
      <c r="AD709" s="87"/>
      <c r="AE709" s="87"/>
      <c r="AF709" s="87"/>
      <c r="AG709" s="87"/>
      <c r="AH709" s="87"/>
      <c r="AI709" s="87"/>
      <c r="AJ709" s="87"/>
    </row>
    <row r="710" spans="1:36" x14ac:dyDescent="0.25">
      <c r="A710" s="273"/>
      <c r="B710" s="86"/>
      <c r="C710" s="86"/>
      <c r="D710" s="86"/>
      <c r="E710" s="86"/>
      <c r="F710" s="86"/>
      <c r="G710" s="86"/>
      <c r="H710" s="86"/>
      <c r="I710" s="86"/>
      <c r="J710" s="86"/>
      <c r="K710" s="86"/>
      <c r="L710" s="86"/>
      <c r="M710" s="86"/>
      <c r="N710" s="86"/>
      <c r="O710" s="86"/>
      <c r="P710" s="86"/>
      <c r="Q710" s="86"/>
      <c r="R710" s="86"/>
      <c r="S710" s="86"/>
      <c r="T710" s="86"/>
      <c r="U710" s="86"/>
      <c r="V710" s="86"/>
      <c r="W710" s="86"/>
      <c r="X710" s="86"/>
      <c r="Y710" s="86"/>
      <c r="Z710" s="86"/>
      <c r="AA710" s="86"/>
      <c r="AB710" s="86"/>
      <c r="AC710" s="86"/>
      <c r="AD710" s="86"/>
      <c r="AE710" s="86"/>
      <c r="AF710" s="86"/>
      <c r="AG710" s="86"/>
      <c r="AH710" s="86"/>
      <c r="AI710" s="86"/>
      <c r="AJ710" s="86"/>
    </row>
    <row r="711" spans="1:36" x14ac:dyDescent="0.25">
      <c r="A711" s="274"/>
      <c r="B711" s="87"/>
      <c r="C711" s="87"/>
      <c r="D711" s="87"/>
      <c r="E711" s="87"/>
      <c r="F711" s="87"/>
      <c r="G711" s="87"/>
      <c r="H711" s="87"/>
      <c r="I711" s="87"/>
      <c r="J711" s="87"/>
      <c r="K711" s="87"/>
      <c r="L711" s="87"/>
      <c r="M711" s="87"/>
      <c r="N711" s="87"/>
      <c r="O711" s="87"/>
      <c r="P711" s="87"/>
      <c r="Q711" s="87"/>
      <c r="R711" s="87"/>
      <c r="S711" s="87"/>
      <c r="T711" s="87"/>
      <c r="U711" s="87"/>
      <c r="V711" s="87"/>
      <c r="W711" s="87"/>
      <c r="X711" s="87"/>
      <c r="Y711" s="87"/>
      <c r="Z711" s="87"/>
      <c r="AA711" s="87"/>
      <c r="AB711" s="87"/>
      <c r="AC711" s="87"/>
      <c r="AD711" s="87"/>
      <c r="AE711" s="87"/>
      <c r="AF711" s="87"/>
      <c r="AG711" s="87"/>
      <c r="AH711" s="87"/>
      <c r="AI711" s="87"/>
      <c r="AJ711" s="87"/>
    </row>
    <row r="712" spans="1:36" x14ac:dyDescent="0.25">
      <c r="A712" s="273"/>
      <c r="B712" s="86"/>
      <c r="C712" s="86"/>
      <c r="D712" s="86"/>
      <c r="E712" s="86"/>
      <c r="F712" s="86"/>
      <c r="G712" s="86"/>
      <c r="H712" s="86"/>
      <c r="I712" s="86"/>
      <c r="J712" s="86"/>
      <c r="K712" s="86"/>
      <c r="L712" s="86"/>
      <c r="M712" s="86"/>
      <c r="N712" s="86"/>
      <c r="O712" s="86"/>
      <c r="P712" s="86"/>
      <c r="Q712" s="86"/>
      <c r="R712" s="86"/>
      <c r="S712" s="86"/>
      <c r="T712" s="86"/>
      <c r="U712" s="86"/>
      <c r="V712" s="86"/>
      <c r="W712" s="86"/>
      <c r="X712" s="86"/>
      <c r="Y712" s="86"/>
      <c r="Z712" s="86"/>
      <c r="AA712" s="86"/>
      <c r="AB712" s="86"/>
      <c r="AC712" s="86"/>
      <c r="AD712" s="86"/>
      <c r="AE712" s="86"/>
      <c r="AF712" s="86"/>
      <c r="AG712" s="86"/>
      <c r="AH712" s="86"/>
      <c r="AI712" s="86"/>
      <c r="AJ712" s="86"/>
    </row>
    <row r="713" spans="1:36" x14ac:dyDescent="0.25">
      <c r="A713" s="274"/>
      <c r="B713" s="87"/>
      <c r="C713" s="87"/>
      <c r="D713" s="87"/>
      <c r="E713" s="87"/>
      <c r="F713" s="87"/>
      <c r="G713" s="87"/>
      <c r="H713" s="87"/>
      <c r="I713" s="87"/>
      <c r="J713" s="87"/>
      <c r="K713" s="87"/>
      <c r="L713" s="87"/>
      <c r="M713" s="87"/>
      <c r="N713" s="87"/>
      <c r="O713" s="87"/>
      <c r="P713" s="87"/>
      <c r="Q713" s="87"/>
      <c r="R713" s="87"/>
      <c r="S713" s="87"/>
      <c r="T713" s="87"/>
      <c r="U713" s="87"/>
      <c r="V713" s="87"/>
      <c r="W713" s="87"/>
      <c r="X713" s="87"/>
      <c r="Y713" s="87"/>
      <c r="Z713" s="87"/>
      <c r="AA713" s="87"/>
      <c r="AB713" s="87"/>
      <c r="AC713" s="87"/>
      <c r="AD713" s="87"/>
      <c r="AE713" s="87"/>
      <c r="AF713" s="87"/>
      <c r="AG713" s="87"/>
      <c r="AH713" s="87"/>
      <c r="AI713" s="87"/>
      <c r="AJ713" s="87"/>
    </row>
    <row r="714" spans="1:36" x14ac:dyDescent="0.25">
      <c r="A714" s="273"/>
      <c r="B714" s="86"/>
      <c r="C714" s="86"/>
      <c r="D714" s="86"/>
      <c r="E714" s="86"/>
      <c r="F714" s="86"/>
      <c r="G714" s="86"/>
      <c r="H714" s="86"/>
      <c r="I714" s="86"/>
      <c r="J714" s="86"/>
      <c r="K714" s="86"/>
      <c r="L714" s="86"/>
      <c r="M714" s="86"/>
      <c r="N714" s="86"/>
      <c r="O714" s="86"/>
      <c r="P714" s="86"/>
      <c r="Q714" s="86"/>
      <c r="R714" s="86"/>
      <c r="S714" s="86"/>
      <c r="T714" s="86"/>
      <c r="U714" s="86"/>
      <c r="V714" s="86"/>
      <c r="W714" s="86"/>
      <c r="X714" s="86"/>
      <c r="Y714" s="86"/>
      <c r="Z714" s="86"/>
      <c r="AA714" s="86"/>
      <c r="AB714" s="86"/>
      <c r="AC714" s="86"/>
      <c r="AD714" s="86"/>
      <c r="AE714" s="86"/>
      <c r="AF714" s="86"/>
      <c r="AG714" s="86"/>
      <c r="AH714" s="86"/>
      <c r="AI714" s="86"/>
      <c r="AJ714" s="86"/>
    </row>
    <row r="715" spans="1:36" x14ac:dyDescent="0.25">
      <c r="A715" s="274"/>
      <c r="B715" s="87"/>
      <c r="C715" s="87"/>
      <c r="D715" s="87"/>
      <c r="E715" s="87"/>
      <c r="F715" s="87"/>
      <c r="G715" s="87"/>
      <c r="H715" s="87"/>
      <c r="I715" s="87"/>
      <c r="J715" s="87"/>
      <c r="K715" s="87"/>
      <c r="L715" s="87"/>
      <c r="M715" s="87"/>
      <c r="N715" s="87"/>
      <c r="O715" s="87"/>
      <c r="P715" s="87"/>
      <c r="Q715" s="87"/>
      <c r="R715" s="87"/>
      <c r="S715" s="87"/>
      <c r="T715" s="87"/>
      <c r="U715" s="87"/>
      <c r="V715" s="87"/>
      <c r="W715" s="87"/>
      <c r="X715" s="87"/>
      <c r="Y715" s="87"/>
      <c r="Z715" s="87"/>
      <c r="AA715" s="87"/>
      <c r="AB715" s="87"/>
      <c r="AC715" s="87"/>
      <c r="AD715" s="87"/>
      <c r="AE715" s="87"/>
      <c r="AF715" s="87"/>
      <c r="AG715" s="87"/>
      <c r="AH715" s="87"/>
      <c r="AI715" s="87"/>
      <c r="AJ715" s="87"/>
    </row>
    <row r="716" spans="1:36" x14ac:dyDescent="0.25">
      <c r="A716" s="273"/>
      <c r="B716" s="86"/>
      <c r="C716" s="86"/>
      <c r="D716" s="86"/>
      <c r="E716" s="86"/>
      <c r="F716" s="86"/>
      <c r="G716" s="86"/>
      <c r="H716" s="86"/>
      <c r="I716" s="86"/>
      <c r="J716" s="86"/>
      <c r="K716" s="86"/>
      <c r="L716" s="86"/>
      <c r="M716" s="86"/>
      <c r="N716" s="86"/>
      <c r="O716" s="86"/>
      <c r="P716" s="86"/>
      <c r="Q716" s="86"/>
      <c r="R716" s="86"/>
      <c r="S716" s="86"/>
      <c r="T716" s="86"/>
      <c r="U716" s="86"/>
      <c r="V716" s="86"/>
      <c r="W716" s="86"/>
      <c r="X716" s="86"/>
      <c r="Y716" s="86"/>
      <c r="Z716" s="86"/>
      <c r="AA716" s="86"/>
      <c r="AB716" s="86"/>
      <c r="AC716" s="86"/>
      <c r="AD716" s="86"/>
      <c r="AE716" s="86"/>
      <c r="AF716" s="86"/>
      <c r="AG716" s="86"/>
      <c r="AH716" s="86"/>
      <c r="AI716" s="86"/>
      <c r="AJ716" s="86"/>
    </row>
    <row r="717" spans="1:36" x14ac:dyDescent="0.25">
      <c r="A717" s="274"/>
      <c r="B717" s="87"/>
      <c r="C717" s="87"/>
      <c r="D717" s="87"/>
      <c r="E717" s="87"/>
      <c r="F717" s="87"/>
      <c r="G717" s="87"/>
      <c r="H717" s="87"/>
      <c r="I717" s="87"/>
      <c r="J717" s="87"/>
      <c r="K717" s="87"/>
      <c r="L717" s="87"/>
      <c r="M717" s="87"/>
      <c r="N717" s="87"/>
      <c r="O717" s="87"/>
      <c r="P717" s="87"/>
      <c r="Q717" s="87"/>
      <c r="R717" s="87"/>
      <c r="S717" s="87"/>
      <c r="T717" s="87"/>
      <c r="U717" s="87"/>
      <c r="V717" s="87"/>
      <c r="W717" s="87"/>
      <c r="X717" s="87"/>
      <c r="Y717" s="87"/>
      <c r="Z717" s="87"/>
      <c r="AA717" s="87"/>
      <c r="AB717" s="87"/>
      <c r="AC717" s="87"/>
      <c r="AD717" s="87"/>
      <c r="AE717" s="87"/>
      <c r="AF717" s="87"/>
      <c r="AG717" s="87"/>
      <c r="AH717" s="87"/>
      <c r="AI717" s="87"/>
      <c r="AJ717" s="87"/>
    </row>
    <row r="718" spans="1:36" x14ac:dyDescent="0.25">
      <c r="A718" s="273"/>
      <c r="B718" s="86"/>
      <c r="C718" s="86"/>
      <c r="D718" s="86"/>
      <c r="E718" s="86"/>
      <c r="F718" s="86"/>
      <c r="G718" s="86"/>
      <c r="H718" s="86"/>
      <c r="I718" s="86"/>
      <c r="J718" s="86"/>
      <c r="K718" s="86"/>
      <c r="L718" s="86"/>
      <c r="M718" s="86"/>
      <c r="N718" s="86"/>
      <c r="O718" s="86"/>
      <c r="P718" s="86"/>
      <c r="Q718" s="86"/>
      <c r="R718" s="86"/>
      <c r="S718" s="86"/>
      <c r="T718" s="86"/>
      <c r="U718" s="86"/>
      <c r="V718" s="86"/>
      <c r="W718" s="86"/>
      <c r="X718" s="86"/>
      <c r="Y718" s="86"/>
      <c r="Z718" s="86"/>
      <c r="AA718" s="86"/>
      <c r="AB718" s="86"/>
      <c r="AC718" s="86"/>
      <c r="AD718" s="86"/>
      <c r="AE718" s="86"/>
      <c r="AF718" s="86"/>
      <c r="AG718" s="86"/>
      <c r="AH718" s="86"/>
      <c r="AI718" s="86"/>
      <c r="AJ718" s="86"/>
    </row>
    <row r="719" spans="1:36" x14ac:dyDescent="0.25">
      <c r="A719" s="274"/>
      <c r="B719" s="87"/>
      <c r="C719" s="87"/>
      <c r="D719" s="87"/>
      <c r="E719" s="87"/>
      <c r="F719" s="87"/>
      <c r="G719" s="87"/>
      <c r="H719" s="87"/>
      <c r="I719" s="87"/>
      <c r="J719" s="87"/>
      <c r="K719" s="87"/>
      <c r="L719" s="87"/>
      <c r="M719" s="87"/>
      <c r="N719" s="87"/>
      <c r="O719" s="87"/>
      <c r="P719" s="87"/>
      <c r="Q719" s="87"/>
      <c r="R719" s="87"/>
      <c r="S719" s="87"/>
      <c r="T719" s="87"/>
      <c r="U719" s="87"/>
      <c r="V719" s="87"/>
      <c r="W719" s="87"/>
      <c r="X719" s="87"/>
      <c r="Y719" s="87"/>
      <c r="Z719" s="87"/>
      <c r="AA719" s="87"/>
      <c r="AB719" s="87"/>
      <c r="AC719" s="87"/>
      <c r="AD719" s="87"/>
      <c r="AE719" s="87"/>
      <c r="AF719" s="87"/>
      <c r="AG719" s="87"/>
      <c r="AH719" s="87"/>
      <c r="AI719" s="87"/>
      <c r="AJ719" s="87"/>
    </row>
    <row r="720" spans="1:36" x14ac:dyDescent="0.25">
      <c r="A720" s="273"/>
      <c r="B720" s="86"/>
      <c r="C720" s="86"/>
      <c r="D720" s="86"/>
      <c r="E720" s="86"/>
      <c r="F720" s="86"/>
      <c r="G720" s="86"/>
      <c r="H720" s="86"/>
      <c r="I720" s="86"/>
      <c r="J720" s="86"/>
      <c r="K720" s="86"/>
      <c r="L720" s="86"/>
      <c r="M720" s="86"/>
      <c r="N720" s="86"/>
      <c r="O720" s="86"/>
      <c r="P720" s="86"/>
      <c r="Q720" s="86"/>
      <c r="R720" s="86"/>
      <c r="S720" s="86"/>
      <c r="T720" s="86"/>
      <c r="U720" s="86"/>
      <c r="V720" s="86"/>
      <c r="W720" s="86"/>
      <c r="X720" s="86"/>
      <c r="Y720" s="86"/>
      <c r="Z720" s="86"/>
      <c r="AA720" s="86"/>
      <c r="AB720" s="86"/>
      <c r="AC720" s="86"/>
      <c r="AD720" s="86"/>
      <c r="AE720" s="86"/>
      <c r="AF720" s="86"/>
      <c r="AG720" s="86"/>
      <c r="AH720" s="86"/>
      <c r="AI720" s="86"/>
      <c r="AJ720" s="86"/>
    </row>
    <row r="721" spans="1:36" x14ac:dyDescent="0.25">
      <c r="A721" s="274"/>
      <c r="B721" s="87"/>
      <c r="C721" s="87"/>
      <c r="D721" s="87"/>
      <c r="E721" s="87"/>
      <c r="F721" s="87"/>
      <c r="G721" s="87"/>
      <c r="H721" s="87"/>
      <c r="I721" s="87"/>
      <c r="J721" s="87"/>
      <c r="K721" s="87"/>
      <c r="L721" s="87"/>
      <c r="M721" s="87"/>
      <c r="N721" s="87"/>
      <c r="O721" s="87"/>
      <c r="P721" s="87"/>
      <c r="Q721" s="87"/>
      <c r="R721" s="87"/>
      <c r="S721" s="87"/>
      <c r="T721" s="87"/>
      <c r="U721" s="87"/>
      <c r="V721" s="87"/>
      <c r="W721" s="87"/>
      <c r="X721" s="87"/>
      <c r="Y721" s="87"/>
      <c r="Z721" s="87"/>
      <c r="AA721" s="87"/>
      <c r="AB721" s="87"/>
      <c r="AC721" s="87"/>
      <c r="AD721" s="87"/>
      <c r="AE721" s="87"/>
      <c r="AF721" s="87"/>
      <c r="AG721" s="87"/>
      <c r="AH721" s="87"/>
      <c r="AI721" s="87"/>
      <c r="AJ721" s="87"/>
    </row>
    <row r="722" spans="1:36" x14ac:dyDescent="0.25">
      <c r="A722" s="273"/>
      <c r="B722" s="86"/>
      <c r="C722" s="86"/>
      <c r="D722" s="86"/>
      <c r="E722" s="86"/>
      <c r="F722" s="86"/>
      <c r="G722" s="86"/>
      <c r="H722" s="86"/>
      <c r="I722" s="86"/>
      <c r="J722" s="86"/>
      <c r="K722" s="86"/>
      <c r="L722" s="86"/>
      <c r="M722" s="86"/>
      <c r="N722" s="86"/>
      <c r="O722" s="86"/>
      <c r="P722" s="86"/>
      <c r="Q722" s="86"/>
      <c r="R722" s="86"/>
      <c r="S722" s="86"/>
      <c r="T722" s="86"/>
      <c r="U722" s="86"/>
      <c r="V722" s="86"/>
      <c r="W722" s="86"/>
      <c r="X722" s="86"/>
      <c r="Y722" s="86"/>
      <c r="Z722" s="86"/>
      <c r="AA722" s="86"/>
      <c r="AB722" s="86"/>
      <c r="AC722" s="86"/>
      <c r="AD722" s="86"/>
      <c r="AE722" s="86"/>
      <c r="AF722" s="86"/>
      <c r="AG722" s="86"/>
      <c r="AH722" s="86"/>
      <c r="AI722" s="86"/>
      <c r="AJ722" s="86"/>
    </row>
    <row r="723" spans="1:36" x14ac:dyDescent="0.25">
      <c r="A723" s="274"/>
      <c r="B723" s="87"/>
      <c r="C723" s="87"/>
      <c r="D723" s="87"/>
      <c r="E723" s="87"/>
      <c r="F723" s="87"/>
      <c r="G723" s="87"/>
      <c r="H723" s="87"/>
      <c r="I723" s="87"/>
      <c r="J723" s="87"/>
      <c r="K723" s="87"/>
      <c r="L723" s="87"/>
      <c r="M723" s="87"/>
      <c r="N723" s="87"/>
      <c r="O723" s="87"/>
      <c r="P723" s="87"/>
      <c r="Q723" s="87"/>
      <c r="R723" s="87"/>
      <c r="S723" s="87"/>
      <c r="T723" s="87"/>
      <c r="U723" s="87"/>
      <c r="V723" s="87"/>
      <c r="W723" s="87"/>
      <c r="X723" s="87"/>
      <c r="Y723" s="87"/>
      <c r="Z723" s="87"/>
      <c r="AA723" s="87"/>
      <c r="AB723" s="87"/>
      <c r="AC723" s="87"/>
      <c r="AD723" s="87"/>
      <c r="AE723" s="87"/>
      <c r="AF723" s="87"/>
      <c r="AG723" s="87"/>
      <c r="AH723" s="87"/>
      <c r="AI723" s="87"/>
      <c r="AJ723" s="87"/>
    </row>
    <row r="724" spans="1:36" x14ac:dyDescent="0.25">
      <c r="A724" s="273"/>
      <c r="B724" s="86"/>
      <c r="C724" s="86"/>
      <c r="D724" s="86"/>
      <c r="E724" s="86"/>
      <c r="F724" s="86"/>
      <c r="G724" s="86"/>
      <c r="H724" s="86"/>
      <c r="I724" s="86"/>
      <c r="J724" s="86"/>
      <c r="K724" s="86"/>
      <c r="L724" s="86"/>
      <c r="M724" s="86"/>
      <c r="N724" s="86"/>
      <c r="O724" s="86"/>
      <c r="P724" s="86"/>
      <c r="Q724" s="86"/>
      <c r="R724" s="86"/>
      <c r="S724" s="86"/>
      <c r="T724" s="86"/>
      <c r="U724" s="86"/>
      <c r="V724" s="86"/>
      <c r="W724" s="86"/>
      <c r="X724" s="86"/>
      <c r="Y724" s="86"/>
      <c r="Z724" s="86"/>
      <c r="AA724" s="86"/>
      <c r="AB724" s="86"/>
      <c r="AC724" s="86"/>
      <c r="AD724" s="86"/>
      <c r="AE724" s="86"/>
      <c r="AF724" s="86"/>
      <c r="AG724" s="86"/>
      <c r="AH724" s="86"/>
      <c r="AI724" s="86"/>
      <c r="AJ724" s="86"/>
    </row>
    <row r="725" spans="1:36" x14ac:dyDescent="0.25">
      <c r="A725" s="274"/>
      <c r="B725" s="87"/>
      <c r="C725" s="87"/>
      <c r="D725" s="87"/>
      <c r="E725" s="87"/>
      <c r="F725" s="87"/>
      <c r="G725" s="87"/>
      <c r="H725" s="87"/>
      <c r="I725" s="87"/>
      <c r="J725" s="87"/>
      <c r="K725" s="87"/>
      <c r="L725" s="87"/>
      <c r="M725" s="87"/>
      <c r="N725" s="87"/>
      <c r="O725" s="87"/>
      <c r="P725" s="87"/>
      <c r="Q725" s="87"/>
      <c r="R725" s="87"/>
      <c r="S725" s="87"/>
      <c r="T725" s="87"/>
      <c r="U725" s="87"/>
      <c r="V725" s="87"/>
      <c r="W725" s="87"/>
      <c r="X725" s="87"/>
      <c r="Y725" s="87"/>
      <c r="Z725" s="87"/>
      <c r="AA725" s="87"/>
      <c r="AB725" s="87"/>
      <c r="AC725" s="87"/>
      <c r="AD725" s="87"/>
      <c r="AE725" s="87"/>
      <c r="AF725" s="87"/>
      <c r="AG725" s="87"/>
      <c r="AH725" s="87"/>
      <c r="AI725" s="87"/>
      <c r="AJ725" s="87"/>
    </row>
    <row r="726" spans="1:36" x14ac:dyDescent="0.25">
      <c r="A726" s="273"/>
      <c r="B726" s="86"/>
      <c r="C726" s="86"/>
      <c r="D726" s="86"/>
      <c r="E726" s="86"/>
      <c r="F726" s="86"/>
      <c r="G726" s="86"/>
      <c r="H726" s="86"/>
      <c r="I726" s="86"/>
      <c r="J726" s="86"/>
      <c r="K726" s="86"/>
      <c r="L726" s="86"/>
      <c r="M726" s="86"/>
      <c r="N726" s="86"/>
      <c r="O726" s="86"/>
      <c r="P726" s="86"/>
      <c r="Q726" s="86"/>
      <c r="R726" s="86"/>
      <c r="S726" s="86"/>
      <c r="T726" s="86"/>
      <c r="U726" s="86"/>
      <c r="V726" s="86"/>
      <c r="W726" s="86"/>
      <c r="X726" s="86"/>
      <c r="Y726" s="86"/>
      <c r="Z726" s="86"/>
      <c r="AA726" s="86"/>
      <c r="AB726" s="86"/>
      <c r="AC726" s="86"/>
      <c r="AD726" s="86"/>
      <c r="AE726" s="86"/>
      <c r="AF726" s="86"/>
      <c r="AG726" s="86"/>
      <c r="AH726" s="86"/>
      <c r="AI726" s="86"/>
      <c r="AJ726" s="86"/>
    </row>
    <row r="727" spans="1:36" x14ac:dyDescent="0.25">
      <c r="A727" s="274"/>
      <c r="B727" s="87"/>
      <c r="C727" s="87"/>
      <c r="D727" s="87"/>
      <c r="E727" s="87"/>
      <c r="F727" s="87"/>
      <c r="G727" s="87"/>
      <c r="H727" s="87"/>
      <c r="I727" s="87"/>
      <c r="J727" s="87"/>
      <c r="K727" s="87"/>
      <c r="L727" s="87"/>
      <c r="M727" s="87"/>
      <c r="N727" s="87"/>
      <c r="O727" s="87"/>
      <c r="P727" s="87"/>
      <c r="Q727" s="87"/>
      <c r="R727" s="87"/>
      <c r="S727" s="87"/>
      <c r="T727" s="87"/>
      <c r="U727" s="87"/>
      <c r="V727" s="87"/>
      <c r="W727" s="87"/>
      <c r="X727" s="87"/>
      <c r="Y727" s="87"/>
      <c r="Z727" s="87"/>
      <c r="AA727" s="87"/>
      <c r="AB727" s="87"/>
      <c r="AC727" s="87"/>
      <c r="AD727" s="87"/>
      <c r="AE727" s="87"/>
      <c r="AF727" s="87"/>
      <c r="AG727" s="87"/>
      <c r="AH727" s="87"/>
      <c r="AI727" s="87"/>
      <c r="AJ727" s="87"/>
    </row>
    <row r="728" spans="1:36" x14ac:dyDescent="0.25">
      <c r="A728" s="273"/>
      <c r="B728" s="86"/>
      <c r="C728" s="86"/>
      <c r="D728" s="86"/>
      <c r="E728" s="86"/>
      <c r="F728" s="86"/>
      <c r="G728" s="86"/>
      <c r="H728" s="86"/>
      <c r="I728" s="86"/>
      <c r="J728" s="86"/>
      <c r="K728" s="86"/>
      <c r="L728" s="86"/>
      <c r="M728" s="86"/>
      <c r="N728" s="86"/>
      <c r="O728" s="86"/>
      <c r="P728" s="86"/>
      <c r="Q728" s="86"/>
      <c r="R728" s="86"/>
      <c r="S728" s="86"/>
      <c r="T728" s="86"/>
      <c r="U728" s="86"/>
      <c r="V728" s="86"/>
      <c r="W728" s="86"/>
      <c r="X728" s="86"/>
      <c r="Y728" s="86"/>
      <c r="Z728" s="86"/>
      <c r="AA728" s="86"/>
      <c r="AB728" s="86"/>
      <c r="AC728" s="86"/>
      <c r="AD728" s="86"/>
      <c r="AE728" s="86"/>
      <c r="AF728" s="86"/>
      <c r="AG728" s="86"/>
      <c r="AH728" s="86"/>
      <c r="AI728" s="86"/>
      <c r="AJ728" s="86"/>
    </row>
    <row r="729" spans="1:36" x14ac:dyDescent="0.25">
      <c r="A729" s="274"/>
      <c r="B729" s="87"/>
      <c r="C729" s="87"/>
      <c r="D729" s="87"/>
      <c r="E729" s="87"/>
      <c r="F729" s="87"/>
      <c r="G729" s="87"/>
      <c r="H729" s="87"/>
      <c r="I729" s="87"/>
      <c r="J729" s="87"/>
      <c r="K729" s="87"/>
      <c r="L729" s="87"/>
      <c r="M729" s="87"/>
      <c r="N729" s="87"/>
      <c r="O729" s="87"/>
      <c r="P729" s="87"/>
      <c r="Q729" s="87"/>
      <c r="R729" s="87"/>
      <c r="S729" s="87"/>
      <c r="T729" s="87"/>
      <c r="U729" s="87"/>
      <c r="V729" s="87"/>
      <c r="W729" s="87"/>
      <c r="X729" s="87"/>
      <c r="Y729" s="87"/>
      <c r="Z729" s="87"/>
      <c r="AA729" s="87"/>
      <c r="AB729" s="87"/>
      <c r="AC729" s="87"/>
      <c r="AD729" s="87"/>
      <c r="AE729" s="87"/>
      <c r="AF729" s="87"/>
      <c r="AG729" s="87"/>
      <c r="AH729" s="87"/>
      <c r="AI729" s="87"/>
      <c r="AJ729" s="87"/>
    </row>
    <row r="730" spans="1:36" x14ac:dyDescent="0.25">
      <c r="A730" s="273"/>
      <c r="B730" s="86"/>
      <c r="C730" s="86"/>
      <c r="D730" s="86"/>
      <c r="E730" s="86"/>
      <c r="F730" s="86"/>
      <c r="G730" s="86"/>
      <c r="H730" s="86"/>
      <c r="I730" s="86"/>
      <c r="J730" s="86"/>
      <c r="K730" s="86"/>
      <c r="L730" s="86"/>
      <c r="M730" s="86"/>
      <c r="N730" s="86"/>
      <c r="O730" s="86"/>
      <c r="P730" s="86"/>
      <c r="Q730" s="86"/>
      <c r="R730" s="86"/>
      <c r="S730" s="86"/>
      <c r="T730" s="86"/>
      <c r="U730" s="86"/>
      <c r="V730" s="86"/>
      <c r="W730" s="86"/>
      <c r="X730" s="86"/>
      <c r="Y730" s="86"/>
      <c r="Z730" s="86"/>
      <c r="AA730" s="86"/>
      <c r="AB730" s="86"/>
      <c r="AC730" s="86"/>
      <c r="AD730" s="86"/>
      <c r="AE730" s="86"/>
      <c r="AF730" s="86"/>
      <c r="AG730" s="86"/>
      <c r="AH730" s="86"/>
      <c r="AI730" s="86"/>
      <c r="AJ730" s="86"/>
    </row>
    <row r="731" spans="1:36" x14ac:dyDescent="0.25">
      <c r="A731" s="274"/>
      <c r="B731" s="87"/>
      <c r="C731" s="87"/>
      <c r="D731" s="87"/>
      <c r="E731" s="87"/>
      <c r="F731" s="87"/>
      <c r="G731" s="87"/>
      <c r="H731" s="87"/>
      <c r="I731" s="87"/>
      <c r="J731" s="87"/>
      <c r="K731" s="87"/>
      <c r="L731" s="87"/>
      <c r="M731" s="87"/>
      <c r="N731" s="87"/>
      <c r="O731" s="87"/>
      <c r="P731" s="87"/>
      <c r="Q731" s="87"/>
      <c r="R731" s="87"/>
      <c r="S731" s="87"/>
      <c r="T731" s="87"/>
      <c r="U731" s="87"/>
      <c r="V731" s="87"/>
      <c r="W731" s="87"/>
      <c r="X731" s="87"/>
      <c r="Y731" s="87"/>
      <c r="Z731" s="87"/>
      <c r="AA731" s="87"/>
      <c r="AB731" s="87"/>
      <c r="AC731" s="87"/>
      <c r="AD731" s="87"/>
      <c r="AE731" s="87"/>
      <c r="AF731" s="87"/>
      <c r="AG731" s="87"/>
      <c r="AH731" s="87"/>
      <c r="AI731" s="87"/>
      <c r="AJ731" s="87"/>
    </row>
    <row r="732" spans="1:36" x14ac:dyDescent="0.25">
      <c r="A732" s="273"/>
      <c r="B732" s="86"/>
      <c r="C732" s="86"/>
      <c r="D732" s="86"/>
      <c r="E732" s="86"/>
      <c r="F732" s="86"/>
      <c r="G732" s="86"/>
      <c r="H732" s="86"/>
      <c r="I732" s="86"/>
      <c r="J732" s="86"/>
      <c r="K732" s="86"/>
      <c r="L732" s="86"/>
      <c r="M732" s="86"/>
      <c r="N732" s="86"/>
      <c r="O732" s="86"/>
      <c r="P732" s="86"/>
      <c r="Q732" s="86"/>
      <c r="R732" s="86"/>
      <c r="S732" s="86"/>
      <c r="T732" s="86"/>
      <c r="U732" s="86"/>
      <c r="V732" s="86"/>
      <c r="W732" s="86"/>
      <c r="X732" s="86"/>
      <c r="Y732" s="86"/>
      <c r="Z732" s="86"/>
      <c r="AA732" s="86"/>
      <c r="AB732" s="86"/>
      <c r="AC732" s="86"/>
      <c r="AD732" s="86"/>
      <c r="AE732" s="86"/>
      <c r="AF732" s="86"/>
      <c r="AG732" s="86"/>
      <c r="AH732" s="86"/>
      <c r="AI732" s="86"/>
      <c r="AJ732" s="86"/>
    </row>
    <row r="733" spans="1:36" x14ac:dyDescent="0.25">
      <c r="A733" s="274"/>
      <c r="B733" s="87"/>
      <c r="C733" s="87"/>
      <c r="D733" s="87"/>
      <c r="E733" s="87"/>
      <c r="F733" s="87"/>
      <c r="G733" s="87"/>
      <c r="H733" s="87"/>
      <c r="I733" s="87"/>
      <c r="J733" s="87"/>
      <c r="K733" s="87"/>
      <c r="L733" s="87"/>
      <c r="M733" s="87"/>
      <c r="N733" s="87"/>
      <c r="O733" s="87"/>
      <c r="P733" s="87"/>
      <c r="Q733" s="87"/>
      <c r="R733" s="87"/>
      <c r="S733" s="87"/>
      <c r="T733" s="87"/>
      <c r="U733" s="87"/>
      <c r="V733" s="87"/>
      <c r="W733" s="87"/>
      <c r="X733" s="87"/>
      <c r="Y733" s="87"/>
      <c r="Z733" s="87"/>
      <c r="AA733" s="87"/>
      <c r="AB733" s="87"/>
      <c r="AC733" s="87"/>
      <c r="AD733" s="87"/>
      <c r="AE733" s="87"/>
      <c r="AF733" s="87"/>
      <c r="AG733" s="87"/>
      <c r="AH733" s="87"/>
      <c r="AI733" s="87"/>
      <c r="AJ733" s="87"/>
    </row>
    <row r="734" spans="1:36" x14ac:dyDescent="0.25">
      <c r="A734" s="273"/>
      <c r="B734" s="86"/>
      <c r="C734" s="86"/>
      <c r="D734" s="86"/>
      <c r="E734" s="86"/>
      <c r="F734" s="86"/>
      <c r="G734" s="86"/>
      <c r="H734" s="86"/>
      <c r="I734" s="86"/>
      <c r="J734" s="86"/>
      <c r="K734" s="86"/>
      <c r="L734" s="86"/>
      <c r="M734" s="86"/>
      <c r="N734" s="86"/>
      <c r="O734" s="86"/>
      <c r="P734" s="86"/>
      <c r="Q734" s="86"/>
      <c r="R734" s="86"/>
      <c r="S734" s="86"/>
      <c r="T734" s="86"/>
      <c r="U734" s="86"/>
      <c r="V734" s="86"/>
      <c r="W734" s="86"/>
      <c r="X734" s="86"/>
      <c r="Y734" s="86"/>
      <c r="Z734" s="86"/>
      <c r="AA734" s="86"/>
      <c r="AB734" s="86"/>
      <c r="AC734" s="86"/>
      <c r="AD734" s="86"/>
      <c r="AE734" s="86"/>
      <c r="AF734" s="86"/>
      <c r="AG734" s="86"/>
      <c r="AH734" s="86"/>
      <c r="AI734" s="86"/>
      <c r="AJ734" s="86"/>
    </row>
    <row r="735" spans="1:36" x14ac:dyDescent="0.25">
      <c r="A735" s="274"/>
      <c r="B735" s="87"/>
      <c r="C735" s="87"/>
      <c r="D735" s="87"/>
      <c r="E735" s="87"/>
      <c r="F735" s="87"/>
      <c r="G735" s="87"/>
      <c r="H735" s="87"/>
      <c r="I735" s="87"/>
      <c r="J735" s="87"/>
      <c r="K735" s="87"/>
      <c r="L735" s="87"/>
      <c r="M735" s="87"/>
      <c r="N735" s="87"/>
      <c r="O735" s="87"/>
      <c r="P735" s="87"/>
      <c r="Q735" s="87"/>
      <c r="R735" s="87"/>
      <c r="S735" s="87"/>
      <c r="T735" s="87"/>
      <c r="U735" s="87"/>
      <c r="V735" s="87"/>
      <c r="W735" s="87"/>
      <c r="X735" s="87"/>
      <c r="Y735" s="87"/>
      <c r="Z735" s="87"/>
      <c r="AA735" s="87"/>
      <c r="AB735" s="87"/>
      <c r="AC735" s="87"/>
      <c r="AD735" s="87"/>
      <c r="AE735" s="87"/>
      <c r="AF735" s="87"/>
      <c r="AG735" s="87"/>
      <c r="AH735" s="87"/>
      <c r="AI735" s="87"/>
      <c r="AJ735" s="87"/>
    </row>
    <row r="736" spans="1:36" x14ac:dyDescent="0.25">
      <c r="A736" s="273"/>
      <c r="B736" s="86"/>
      <c r="C736" s="86"/>
      <c r="D736" s="86"/>
      <c r="E736" s="86"/>
      <c r="F736" s="86"/>
      <c r="G736" s="86"/>
      <c r="H736" s="86"/>
      <c r="I736" s="86"/>
      <c r="J736" s="86"/>
      <c r="K736" s="86"/>
      <c r="L736" s="86"/>
      <c r="M736" s="86"/>
      <c r="N736" s="86"/>
      <c r="O736" s="86"/>
      <c r="P736" s="86"/>
      <c r="Q736" s="86"/>
      <c r="R736" s="86"/>
      <c r="S736" s="86"/>
      <c r="T736" s="86"/>
      <c r="U736" s="86"/>
      <c r="V736" s="86"/>
      <c r="W736" s="86"/>
      <c r="X736" s="86"/>
      <c r="Y736" s="86"/>
      <c r="Z736" s="86"/>
      <c r="AA736" s="86"/>
      <c r="AB736" s="86"/>
      <c r="AC736" s="86"/>
      <c r="AD736" s="86"/>
      <c r="AE736" s="86"/>
      <c r="AF736" s="86"/>
      <c r="AG736" s="86"/>
      <c r="AH736" s="86"/>
      <c r="AI736" s="86"/>
      <c r="AJ736" s="86"/>
    </row>
    <row r="737" spans="1:36" x14ac:dyDescent="0.25">
      <c r="A737" s="274"/>
      <c r="B737" s="87"/>
      <c r="C737" s="87"/>
      <c r="D737" s="87"/>
      <c r="E737" s="87"/>
      <c r="F737" s="87"/>
      <c r="G737" s="87"/>
      <c r="H737" s="87"/>
      <c r="I737" s="87"/>
      <c r="J737" s="87"/>
      <c r="K737" s="87"/>
      <c r="L737" s="87"/>
      <c r="M737" s="87"/>
      <c r="N737" s="87"/>
      <c r="O737" s="87"/>
      <c r="P737" s="87"/>
      <c r="Q737" s="87"/>
      <c r="R737" s="87"/>
      <c r="S737" s="87"/>
      <c r="T737" s="87"/>
      <c r="U737" s="87"/>
      <c r="V737" s="87"/>
      <c r="W737" s="87"/>
      <c r="X737" s="87"/>
      <c r="Y737" s="87"/>
      <c r="Z737" s="87"/>
      <c r="AA737" s="87"/>
      <c r="AB737" s="87"/>
      <c r="AC737" s="87"/>
      <c r="AD737" s="87"/>
      <c r="AE737" s="87"/>
      <c r="AF737" s="87"/>
      <c r="AG737" s="87"/>
      <c r="AH737" s="87"/>
      <c r="AI737" s="87"/>
      <c r="AJ737" s="87"/>
    </row>
    <row r="738" spans="1:36" x14ac:dyDescent="0.25">
      <c r="A738" s="273"/>
      <c r="B738" s="86"/>
      <c r="C738" s="86"/>
      <c r="D738" s="86"/>
      <c r="E738" s="86"/>
      <c r="F738" s="86"/>
      <c r="G738" s="86"/>
      <c r="H738" s="86"/>
      <c r="I738" s="86"/>
      <c r="J738" s="86"/>
      <c r="K738" s="86"/>
      <c r="L738" s="86"/>
      <c r="M738" s="86"/>
      <c r="N738" s="86"/>
      <c r="O738" s="86"/>
      <c r="P738" s="86"/>
      <c r="Q738" s="86"/>
      <c r="R738" s="86"/>
      <c r="S738" s="86"/>
      <c r="T738" s="86"/>
      <c r="U738" s="86"/>
      <c r="V738" s="86"/>
      <c r="W738" s="86"/>
      <c r="X738" s="86"/>
      <c r="Y738" s="86"/>
      <c r="Z738" s="86"/>
      <c r="AA738" s="86"/>
      <c r="AB738" s="86"/>
      <c r="AC738" s="86"/>
      <c r="AD738" s="86"/>
      <c r="AE738" s="86"/>
      <c r="AF738" s="86"/>
      <c r="AG738" s="86"/>
      <c r="AH738" s="86"/>
      <c r="AI738" s="86"/>
      <c r="AJ738" s="86"/>
    </row>
    <row r="739" spans="1:36" x14ac:dyDescent="0.25">
      <c r="A739" s="274"/>
      <c r="B739" s="87"/>
      <c r="C739" s="87"/>
      <c r="D739" s="87"/>
      <c r="E739" s="87"/>
      <c r="F739" s="87"/>
      <c r="G739" s="87"/>
      <c r="H739" s="87"/>
      <c r="I739" s="87"/>
      <c r="J739" s="87"/>
      <c r="K739" s="87"/>
      <c r="L739" s="87"/>
      <c r="M739" s="87"/>
      <c r="N739" s="87"/>
      <c r="O739" s="87"/>
      <c r="P739" s="87"/>
      <c r="Q739" s="87"/>
      <c r="R739" s="87"/>
      <c r="S739" s="87"/>
      <c r="T739" s="87"/>
      <c r="U739" s="87"/>
      <c r="V739" s="87"/>
      <c r="W739" s="87"/>
      <c r="X739" s="87"/>
      <c r="Y739" s="87"/>
      <c r="Z739" s="87"/>
      <c r="AA739" s="87"/>
      <c r="AB739" s="87"/>
      <c r="AC739" s="87"/>
      <c r="AD739" s="87"/>
      <c r="AE739" s="87"/>
      <c r="AF739" s="87"/>
      <c r="AG739" s="87"/>
      <c r="AH739" s="87"/>
      <c r="AI739" s="87"/>
      <c r="AJ739" s="87"/>
    </row>
    <row r="740" spans="1:36" x14ac:dyDescent="0.25">
      <c r="A740" s="273"/>
      <c r="B740" s="86"/>
      <c r="C740" s="86"/>
      <c r="D740" s="86"/>
      <c r="E740" s="86"/>
      <c r="F740" s="86"/>
      <c r="G740" s="86"/>
      <c r="H740" s="86"/>
      <c r="I740" s="86"/>
      <c r="J740" s="86"/>
      <c r="K740" s="86"/>
      <c r="L740" s="86"/>
      <c r="M740" s="86"/>
      <c r="N740" s="86"/>
      <c r="O740" s="86"/>
      <c r="P740" s="86"/>
      <c r="Q740" s="86"/>
      <c r="R740" s="86"/>
      <c r="S740" s="86"/>
      <c r="T740" s="86"/>
      <c r="U740" s="86"/>
      <c r="V740" s="86"/>
      <c r="W740" s="86"/>
      <c r="X740" s="86"/>
      <c r="Y740" s="86"/>
      <c r="Z740" s="86"/>
      <c r="AA740" s="86"/>
      <c r="AB740" s="86"/>
      <c r="AC740" s="86"/>
      <c r="AD740" s="86"/>
      <c r="AE740" s="86"/>
      <c r="AF740" s="86"/>
      <c r="AG740" s="86"/>
      <c r="AH740" s="86"/>
      <c r="AI740" s="86"/>
      <c r="AJ740" s="86"/>
    </row>
    <row r="741" spans="1:36" x14ac:dyDescent="0.25">
      <c r="A741" s="274"/>
      <c r="B741" s="87"/>
      <c r="C741" s="87"/>
      <c r="D741" s="87"/>
      <c r="E741" s="87"/>
      <c r="F741" s="87"/>
      <c r="G741" s="87"/>
      <c r="H741" s="87"/>
      <c r="I741" s="87"/>
      <c r="J741" s="87"/>
      <c r="K741" s="87"/>
      <c r="L741" s="87"/>
      <c r="M741" s="87"/>
      <c r="N741" s="87"/>
      <c r="O741" s="87"/>
      <c r="P741" s="87"/>
      <c r="Q741" s="87"/>
      <c r="R741" s="87"/>
      <c r="S741" s="87"/>
      <c r="T741" s="87"/>
      <c r="U741" s="87"/>
      <c r="V741" s="87"/>
      <c r="W741" s="87"/>
      <c r="X741" s="87"/>
      <c r="Y741" s="87"/>
      <c r="Z741" s="87"/>
      <c r="AA741" s="87"/>
      <c r="AB741" s="87"/>
      <c r="AC741" s="87"/>
      <c r="AD741" s="87"/>
      <c r="AE741" s="87"/>
      <c r="AF741" s="87"/>
      <c r="AG741" s="87"/>
      <c r="AH741" s="87"/>
      <c r="AI741" s="87"/>
      <c r="AJ741" s="87"/>
    </row>
    <row r="742" spans="1:36" x14ac:dyDescent="0.25">
      <c r="A742" s="273"/>
      <c r="B742" s="86"/>
      <c r="C742" s="86"/>
      <c r="D742" s="86"/>
      <c r="E742" s="86"/>
      <c r="F742" s="86"/>
      <c r="G742" s="86"/>
      <c r="H742" s="86"/>
      <c r="I742" s="86"/>
      <c r="J742" s="86"/>
      <c r="K742" s="86"/>
      <c r="L742" s="86"/>
      <c r="M742" s="86"/>
      <c r="N742" s="86"/>
      <c r="O742" s="86"/>
      <c r="P742" s="86"/>
      <c r="Q742" s="86"/>
      <c r="R742" s="86"/>
      <c r="S742" s="86"/>
      <c r="T742" s="86"/>
      <c r="U742" s="86"/>
      <c r="V742" s="86"/>
      <c r="W742" s="86"/>
      <c r="X742" s="86"/>
      <c r="Y742" s="86"/>
      <c r="Z742" s="86"/>
      <c r="AA742" s="86"/>
      <c r="AB742" s="86"/>
      <c r="AC742" s="86"/>
      <c r="AD742" s="86"/>
      <c r="AE742" s="86"/>
      <c r="AF742" s="86"/>
      <c r="AG742" s="86"/>
      <c r="AH742" s="86"/>
      <c r="AI742" s="86"/>
      <c r="AJ742" s="86"/>
    </row>
    <row r="743" spans="1:36" x14ac:dyDescent="0.25">
      <c r="A743" s="274"/>
      <c r="B743" s="87"/>
      <c r="C743" s="87"/>
      <c r="D743" s="87"/>
      <c r="E743" s="87"/>
      <c r="F743" s="87"/>
      <c r="G743" s="87"/>
      <c r="H743" s="87"/>
      <c r="I743" s="87"/>
      <c r="J743" s="87"/>
      <c r="K743" s="87"/>
      <c r="L743" s="87"/>
      <c r="M743" s="87"/>
      <c r="N743" s="87"/>
      <c r="O743" s="87"/>
      <c r="P743" s="87"/>
      <c r="Q743" s="87"/>
      <c r="R743" s="87"/>
      <c r="S743" s="87"/>
      <c r="T743" s="87"/>
      <c r="U743" s="87"/>
      <c r="V743" s="87"/>
      <c r="W743" s="87"/>
      <c r="X743" s="87"/>
      <c r="Y743" s="87"/>
      <c r="Z743" s="87"/>
      <c r="AA743" s="87"/>
      <c r="AB743" s="87"/>
      <c r="AC743" s="87"/>
      <c r="AD743" s="87"/>
      <c r="AE743" s="87"/>
      <c r="AF743" s="87"/>
      <c r="AG743" s="87"/>
      <c r="AH743" s="87"/>
      <c r="AI743" s="87"/>
      <c r="AJ743" s="87"/>
    </row>
    <row r="744" spans="1:36" x14ac:dyDescent="0.25">
      <c r="A744" s="273"/>
      <c r="B744" s="86"/>
      <c r="C744" s="86"/>
      <c r="D744" s="86"/>
      <c r="E744" s="86"/>
      <c r="F744" s="86"/>
      <c r="G744" s="86"/>
      <c r="H744" s="86"/>
      <c r="I744" s="86"/>
      <c r="J744" s="86"/>
      <c r="K744" s="86"/>
      <c r="L744" s="86"/>
      <c r="M744" s="86"/>
      <c r="N744" s="86"/>
      <c r="O744" s="86"/>
      <c r="P744" s="86"/>
      <c r="Q744" s="86"/>
      <c r="R744" s="86"/>
      <c r="S744" s="86"/>
      <c r="T744" s="86"/>
      <c r="U744" s="86"/>
      <c r="V744" s="86"/>
      <c r="W744" s="86"/>
      <c r="X744" s="86"/>
      <c r="Y744" s="86"/>
      <c r="Z744" s="86"/>
      <c r="AA744" s="86"/>
      <c r="AB744" s="86"/>
      <c r="AC744" s="86"/>
      <c r="AD744" s="86"/>
      <c r="AE744" s="86"/>
      <c r="AF744" s="86"/>
      <c r="AG744" s="86"/>
      <c r="AH744" s="86"/>
      <c r="AI744" s="86"/>
      <c r="AJ744" s="86"/>
    </row>
    <row r="745" spans="1:36" x14ac:dyDescent="0.25">
      <c r="A745" s="274"/>
      <c r="B745" s="87"/>
      <c r="C745" s="87"/>
      <c r="D745" s="87"/>
      <c r="E745" s="87"/>
      <c r="F745" s="87"/>
      <c r="G745" s="87"/>
      <c r="H745" s="87"/>
      <c r="I745" s="87"/>
      <c r="J745" s="87"/>
      <c r="K745" s="87"/>
      <c r="L745" s="87"/>
      <c r="M745" s="87"/>
      <c r="N745" s="87"/>
      <c r="O745" s="87"/>
      <c r="P745" s="87"/>
      <c r="Q745" s="87"/>
      <c r="R745" s="87"/>
      <c r="S745" s="87"/>
      <c r="T745" s="87"/>
      <c r="U745" s="87"/>
      <c r="V745" s="87"/>
      <c r="W745" s="87"/>
      <c r="X745" s="87"/>
      <c r="Y745" s="87"/>
      <c r="Z745" s="87"/>
      <c r="AA745" s="87"/>
      <c r="AB745" s="87"/>
      <c r="AC745" s="87"/>
      <c r="AD745" s="87"/>
      <c r="AE745" s="87"/>
      <c r="AF745" s="87"/>
      <c r="AG745" s="87"/>
      <c r="AH745" s="87"/>
      <c r="AI745" s="87"/>
      <c r="AJ745" s="87"/>
    </row>
    <row r="746" spans="1:36" x14ac:dyDescent="0.25">
      <c r="A746" s="273"/>
      <c r="B746" s="86"/>
      <c r="C746" s="86"/>
      <c r="D746" s="86"/>
      <c r="E746" s="86"/>
      <c r="F746" s="86"/>
      <c r="G746" s="86"/>
      <c r="H746" s="86"/>
      <c r="I746" s="86"/>
      <c r="J746" s="86"/>
      <c r="K746" s="86"/>
      <c r="L746" s="86"/>
      <c r="M746" s="86"/>
      <c r="N746" s="86"/>
      <c r="O746" s="86"/>
      <c r="P746" s="86"/>
      <c r="Q746" s="86"/>
      <c r="R746" s="86"/>
      <c r="S746" s="86"/>
      <c r="T746" s="86"/>
      <c r="U746" s="86"/>
      <c r="V746" s="86"/>
      <c r="W746" s="86"/>
      <c r="X746" s="86"/>
      <c r="Y746" s="86"/>
      <c r="Z746" s="86"/>
      <c r="AA746" s="86"/>
      <c r="AB746" s="86"/>
      <c r="AC746" s="86"/>
      <c r="AD746" s="86"/>
      <c r="AE746" s="86"/>
      <c r="AF746" s="86"/>
      <c r="AG746" s="86"/>
      <c r="AH746" s="86"/>
      <c r="AI746" s="86"/>
      <c r="AJ746" s="86"/>
    </row>
    <row r="747" spans="1:36" x14ac:dyDescent="0.25">
      <c r="A747" s="274"/>
      <c r="B747" s="87"/>
      <c r="C747" s="87"/>
      <c r="D747" s="87"/>
      <c r="E747" s="87"/>
      <c r="F747" s="87"/>
      <c r="G747" s="87"/>
      <c r="H747" s="87"/>
      <c r="I747" s="87"/>
      <c r="J747" s="87"/>
      <c r="K747" s="87"/>
      <c r="L747" s="87"/>
      <c r="M747" s="87"/>
      <c r="N747" s="87"/>
      <c r="O747" s="87"/>
      <c r="P747" s="87"/>
      <c r="Q747" s="87"/>
      <c r="R747" s="87"/>
      <c r="S747" s="87"/>
      <c r="T747" s="87"/>
      <c r="U747" s="87"/>
      <c r="V747" s="87"/>
      <c r="W747" s="87"/>
      <c r="X747" s="87"/>
      <c r="Y747" s="87"/>
      <c r="Z747" s="87"/>
      <c r="AA747" s="87"/>
      <c r="AB747" s="87"/>
      <c r="AC747" s="87"/>
      <c r="AD747" s="87"/>
      <c r="AE747" s="87"/>
      <c r="AF747" s="87"/>
      <c r="AG747" s="87"/>
      <c r="AH747" s="87"/>
      <c r="AI747" s="87"/>
      <c r="AJ747" s="87"/>
    </row>
    <row r="748" spans="1:36" x14ac:dyDescent="0.25">
      <c r="A748" s="273"/>
      <c r="B748" s="86"/>
      <c r="C748" s="86"/>
      <c r="D748" s="86"/>
      <c r="E748" s="86"/>
      <c r="F748" s="86"/>
      <c r="G748" s="86"/>
      <c r="H748" s="86"/>
      <c r="I748" s="86"/>
      <c r="J748" s="86"/>
      <c r="K748" s="86"/>
      <c r="L748" s="86"/>
      <c r="M748" s="86"/>
      <c r="N748" s="86"/>
      <c r="O748" s="86"/>
      <c r="P748" s="86"/>
      <c r="Q748" s="86"/>
      <c r="R748" s="86"/>
      <c r="S748" s="86"/>
      <c r="T748" s="86"/>
      <c r="U748" s="86"/>
      <c r="V748" s="86"/>
      <c r="W748" s="86"/>
      <c r="X748" s="86"/>
      <c r="Y748" s="86"/>
      <c r="Z748" s="86"/>
      <c r="AA748" s="86"/>
      <c r="AB748" s="86"/>
      <c r="AC748" s="86"/>
      <c r="AD748" s="86"/>
      <c r="AE748" s="86"/>
      <c r="AF748" s="86"/>
      <c r="AG748" s="86"/>
      <c r="AH748" s="86"/>
      <c r="AI748" s="86"/>
      <c r="AJ748" s="86"/>
    </row>
    <row r="749" spans="1:36" x14ac:dyDescent="0.25">
      <c r="A749" s="274"/>
      <c r="B749" s="87"/>
      <c r="C749" s="87"/>
      <c r="D749" s="87"/>
      <c r="E749" s="87"/>
      <c r="F749" s="87"/>
      <c r="G749" s="87"/>
      <c r="H749" s="87"/>
      <c r="I749" s="87"/>
      <c r="J749" s="87"/>
      <c r="K749" s="87"/>
      <c r="L749" s="87"/>
      <c r="M749" s="87"/>
      <c r="N749" s="87"/>
      <c r="O749" s="87"/>
      <c r="P749" s="87"/>
      <c r="Q749" s="87"/>
      <c r="R749" s="87"/>
      <c r="S749" s="87"/>
      <c r="T749" s="87"/>
      <c r="U749" s="87"/>
      <c r="V749" s="87"/>
      <c r="W749" s="87"/>
      <c r="X749" s="87"/>
      <c r="Y749" s="87"/>
      <c r="Z749" s="87"/>
      <c r="AA749" s="87"/>
      <c r="AB749" s="87"/>
      <c r="AC749" s="87"/>
      <c r="AD749" s="87"/>
      <c r="AE749" s="87"/>
      <c r="AF749" s="87"/>
      <c r="AG749" s="87"/>
      <c r="AH749" s="87"/>
      <c r="AI749" s="87"/>
      <c r="AJ749" s="87"/>
    </row>
    <row r="750" spans="1:36" x14ac:dyDescent="0.25">
      <c r="A750" s="273"/>
      <c r="B750" s="86"/>
      <c r="C750" s="86"/>
      <c r="D750" s="86"/>
      <c r="E750" s="86"/>
      <c r="F750" s="86"/>
      <c r="G750" s="86"/>
      <c r="H750" s="86"/>
      <c r="I750" s="86"/>
      <c r="J750" s="86"/>
      <c r="K750" s="86"/>
      <c r="L750" s="86"/>
      <c r="M750" s="86"/>
      <c r="N750" s="86"/>
      <c r="O750" s="86"/>
      <c r="P750" s="86"/>
      <c r="Q750" s="86"/>
      <c r="R750" s="86"/>
      <c r="S750" s="86"/>
      <c r="T750" s="86"/>
      <c r="U750" s="86"/>
      <c r="V750" s="86"/>
      <c r="W750" s="86"/>
      <c r="X750" s="86"/>
      <c r="Y750" s="86"/>
      <c r="Z750" s="86"/>
      <c r="AA750" s="86"/>
      <c r="AB750" s="86"/>
      <c r="AC750" s="86"/>
      <c r="AD750" s="86"/>
      <c r="AE750" s="86"/>
      <c r="AF750" s="86"/>
      <c r="AG750" s="86"/>
      <c r="AH750" s="86"/>
      <c r="AI750" s="86"/>
      <c r="AJ750" s="86"/>
    </row>
    <row r="751" spans="1:36" x14ac:dyDescent="0.25">
      <c r="A751" s="274"/>
      <c r="B751" s="87"/>
      <c r="C751" s="87"/>
      <c r="D751" s="87"/>
      <c r="E751" s="87"/>
      <c r="F751" s="87"/>
      <c r="G751" s="87"/>
      <c r="H751" s="87"/>
      <c r="I751" s="87"/>
      <c r="J751" s="87"/>
      <c r="K751" s="87"/>
      <c r="L751" s="87"/>
      <c r="M751" s="87"/>
      <c r="N751" s="87"/>
      <c r="O751" s="87"/>
      <c r="P751" s="87"/>
      <c r="Q751" s="87"/>
      <c r="R751" s="87"/>
      <c r="S751" s="87"/>
      <c r="T751" s="87"/>
      <c r="U751" s="87"/>
      <c r="V751" s="87"/>
      <c r="W751" s="87"/>
      <c r="X751" s="87"/>
      <c r="Y751" s="87"/>
      <c r="Z751" s="87"/>
      <c r="AA751" s="87"/>
      <c r="AB751" s="87"/>
      <c r="AC751" s="87"/>
      <c r="AD751" s="87"/>
      <c r="AE751" s="87"/>
      <c r="AF751" s="87"/>
      <c r="AG751" s="87"/>
      <c r="AH751" s="87"/>
      <c r="AI751" s="87"/>
      <c r="AJ751" s="87"/>
    </row>
    <row r="752" spans="1:36" x14ac:dyDescent="0.25">
      <c r="A752" s="273"/>
      <c r="B752" s="86"/>
      <c r="C752" s="86"/>
      <c r="D752" s="86"/>
      <c r="E752" s="86"/>
      <c r="F752" s="86"/>
      <c r="G752" s="86"/>
      <c r="H752" s="86"/>
      <c r="I752" s="86"/>
      <c r="J752" s="86"/>
      <c r="K752" s="86"/>
      <c r="L752" s="86"/>
      <c r="M752" s="86"/>
      <c r="N752" s="86"/>
      <c r="O752" s="86"/>
      <c r="P752" s="86"/>
      <c r="Q752" s="86"/>
      <c r="R752" s="86"/>
      <c r="S752" s="86"/>
      <c r="T752" s="86"/>
      <c r="U752" s="86"/>
      <c r="V752" s="86"/>
      <c r="W752" s="86"/>
      <c r="X752" s="86"/>
      <c r="Y752" s="86"/>
      <c r="Z752" s="86"/>
      <c r="AA752" s="86"/>
      <c r="AB752" s="86"/>
      <c r="AC752" s="86"/>
      <c r="AD752" s="86"/>
      <c r="AE752" s="86"/>
      <c r="AF752" s="86"/>
      <c r="AG752" s="86"/>
      <c r="AH752" s="86"/>
      <c r="AI752" s="86"/>
      <c r="AJ752" s="86"/>
    </row>
    <row r="753" spans="1:36" x14ac:dyDescent="0.25">
      <c r="A753" s="274"/>
      <c r="B753" s="87"/>
      <c r="C753" s="87"/>
      <c r="D753" s="87"/>
      <c r="E753" s="87"/>
      <c r="F753" s="87"/>
      <c r="G753" s="87"/>
      <c r="H753" s="87"/>
      <c r="I753" s="87"/>
      <c r="J753" s="87"/>
      <c r="K753" s="87"/>
      <c r="L753" s="87"/>
      <c r="M753" s="87"/>
      <c r="N753" s="87"/>
      <c r="O753" s="87"/>
      <c r="P753" s="87"/>
      <c r="Q753" s="87"/>
      <c r="R753" s="87"/>
      <c r="S753" s="87"/>
      <c r="T753" s="87"/>
      <c r="U753" s="87"/>
      <c r="V753" s="87"/>
      <c r="W753" s="87"/>
      <c r="X753" s="87"/>
      <c r="Y753" s="87"/>
      <c r="Z753" s="87"/>
      <c r="AA753" s="87"/>
      <c r="AB753" s="87"/>
      <c r="AC753" s="87"/>
      <c r="AD753" s="87"/>
      <c r="AE753" s="87"/>
      <c r="AF753" s="87"/>
      <c r="AG753" s="87"/>
      <c r="AH753" s="87"/>
      <c r="AI753" s="87"/>
      <c r="AJ753" s="87"/>
    </row>
    <row r="754" spans="1:36" x14ac:dyDescent="0.25">
      <c r="A754" s="273"/>
      <c r="B754" s="86"/>
      <c r="C754" s="86"/>
      <c r="D754" s="86"/>
      <c r="E754" s="86"/>
      <c r="F754" s="86"/>
      <c r="G754" s="86"/>
      <c r="H754" s="86"/>
      <c r="I754" s="86"/>
      <c r="J754" s="86"/>
      <c r="K754" s="86"/>
      <c r="L754" s="86"/>
      <c r="M754" s="86"/>
      <c r="N754" s="86"/>
      <c r="O754" s="86"/>
      <c r="P754" s="86"/>
      <c r="Q754" s="86"/>
      <c r="R754" s="86"/>
      <c r="S754" s="86"/>
      <c r="T754" s="86"/>
      <c r="U754" s="86"/>
      <c r="V754" s="86"/>
      <c r="W754" s="86"/>
      <c r="X754" s="86"/>
      <c r="Y754" s="86"/>
      <c r="Z754" s="86"/>
      <c r="AA754" s="86"/>
      <c r="AB754" s="86"/>
      <c r="AC754" s="86"/>
      <c r="AD754" s="86"/>
      <c r="AE754" s="86"/>
      <c r="AF754" s="86"/>
      <c r="AG754" s="86"/>
      <c r="AH754" s="86"/>
      <c r="AI754" s="86"/>
      <c r="AJ754" s="86"/>
    </row>
    <row r="755" spans="1:36" x14ac:dyDescent="0.25">
      <c r="A755" s="274"/>
      <c r="B755" s="87"/>
      <c r="C755" s="87"/>
      <c r="D755" s="87"/>
      <c r="E755" s="87"/>
      <c r="F755" s="87"/>
      <c r="G755" s="87"/>
      <c r="H755" s="87"/>
      <c r="I755" s="87"/>
      <c r="J755" s="87"/>
      <c r="K755" s="87"/>
      <c r="L755" s="87"/>
      <c r="M755" s="87"/>
      <c r="N755" s="87"/>
      <c r="O755" s="87"/>
      <c r="P755" s="87"/>
      <c r="Q755" s="87"/>
      <c r="R755" s="87"/>
      <c r="S755" s="87"/>
      <c r="T755" s="87"/>
      <c r="U755" s="87"/>
      <c r="V755" s="87"/>
      <c r="W755" s="87"/>
      <c r="X755" s="87"/>
      <c r="Y755" s="87"/>
      <c r="Z755" s="87"/>
      <c r="AA755" s="87"/>
      <c r="AB755" s="87"/>
      <c r="AC755" s="87"/>
      <c r="AD755" s="87"/>
      <c r="AE755" s="87"/>
      <c r="AF755" s="87"/>
      <c r="AG755" s="87"/>
      <c r="AH755" s="87"/>
      <c r="AI755" s="87"/>
      <c r="AJ755" s="87"/>
    </row>
    <row r="756" spans="1:36" x14ac:dyDescent="0.25">
      <c r="A756" s="273"/>
      <c r="B756" s="86"/>
      <c r="C756" s="86"/>
      <c r="D756" s="86"/>
      <c r="E756" s="86"/>
      <c r="F756" s="86"/>
      <c r="G756" s="86"/>
      <c r="H756" s="86"/>
      <c r="I756" s="86"/>
      <c r="J756" s="86"/>
      <c r="K756" s="86"/>
      <c r="L756" s="86"/>
      <c r="M756" s="86"/>
      <c r="N756" s="86"/>
      <c r="O756" s="86"/>
      <c r="P756" s="86"/>
      <c r="Q756" s="86"/>
      <c r="R756" s="86"/>
      <c r="S756" s="86"/>
      <c r="T756" s="86"/>
      <c r="U756" s="86"/>
      <c r="V756" s="86"/>
      <c r="W756" s="86"/>
      <c r="X756" s="86"/>
      <c r="Y756" s="86"/>
      <c r="Z756" s="86"/>
      <c r="AA756" s="86"/>
      <c r="AB756" s="86"/>
      <c r="AC756" s="86"/>
      <c r="AD756" s="86"/>
      <c r="AE756" s="86"/>
      <c r="AF756" s="86"/>
      <c r="AG756" s="86"/>
      <c r="AH756" s="86"/>
      <c r="AI756" s="86"/>
      <c r="AJ756" s="86"/>
    </row>
    <row r="757" spans="1:36" x14ac:dyDescent="0.25">
      <c r="A757" s="274"/>
      <c r="B757" s="87"/>
      <c r="C757" s="87"/>
      <c r="D757" s="87"/>
      <c r="E757" s="87"/>
      <c r="F757" s="87"/>
      <c r="G757" s="87"/>
      <c r="H757" s="87"/>
      <c r="I757" s="87"/>
      <c r="J757" s="87"/>
      <c r="K757" s="87"/>
      <c r="L757" s="87"/>
      <c r="M757" s="87"/>
      <c r="N757" s="87"/>
      <c r="O757" s="87"/>
      <c r="P757" s="87"/>
      <c r="Q757" s="87"/>
      <c r="R757" s="87"/>
      <c r="S757" s="87"/>
      <c r="T757" s="87"/>
      <c r="U757" s="87"/>
      <c r="V757" s="87"/>
      <c r="W757" s="87"/>
      <c r="X757" s="87"/>
      <c r="Y757" s="87"/>
      <c r="Z757" s="87"/>
      <c r="AA757" s="87"/>
      <c r="AB757" s="87"/>
      <c r="AC757" s="87"/>
      <c r="AD757" s="87"/>
      <c r="AE757" s="87"/>
      <c r="AF757" s="87"/>
      <c r="AG757" s="87"/>
      <c r="AH757" s="87"/>
      <c r="AI757" s="87"/>
      <c r="AJ757" s="87"/>
    </row>
    <row r="758" spans="1:36" x14ac:dyDescent="0.25">
      <c r="A758" s="273"/>
      <c r="B758" s="86"/>
      <c r="C758" s="86"/>
      <c r="D758" s="86"/>
      <c r="E758" s="86"/>
      <c r="F758" s="86"/>
      <c r="G758" s="86"/>
      <c r="H758" s="86"/>
      <c r="I758" s="86"/>
      <c r="J758" s="86"/>
      <c r="K758" s="86"/>
      <c r="L758" s="86"/>
      <c r="M758" s="86"/>
      <c r="N758" s="86"/>
      <c r="O758" s="86"/>
      <c r="P758" s="86"/>
      <c r="Q758" s="86"/>
      <c r="R758" s="86"/>
      <c r="S758" s="86"/>
      <c r="T758" s="86"/>
      <c r="U758" s="86"/>
      <c r="V758" s="86"/>
      <c r="W758" s="86"/>
      <c r="X758" s="86"/>
      <c r="Y758" s="86"/>
      <c r="Z758" s="86"/>
      <c r="AA758" s="86"/>
      <c r="AB758" s="86"/>
      <c r="AC758" s="86"/>
      <c r="AD758" s="86"/>
      <c r="AE758" s="86"/>
      <c r="AF758" s="86"/>
      <c r="AG758" s="86"/>
      <c r="AH758" s="86"/>
      <c r="AI758" s="86"/>
      <c r="AJ758" s="86"/>
    </row>
    <row r="759" spans="1:36" x14ac:dyDescent="0.25">
      <c r="A759" s="274"/>
      <c r="B759" s="87"/>
      <c r="C759" s="87"/>
      <c r="D759" s="87"/>
      <c r="E759" s="87"/>
      <c r="F759" s="87"/>
      <c r="G759" s="87"/>
      <c r="H759" s="87"/>
      <c r="I759" s="87"/>
      <c r="J759" s="87"/>
      <c r="K759" s="87"/>
      <c r="L759" s="87"/>
      <c r="M759" s="87"/>
      <c r="N759" s="87"/>
      <c r="O759" s="87"/>
      <c r="P759" s="87"/>
      <c r="Q759" s="87"/>
      <c r="R759" s="87"/>
      <c r="S759" s="87"/>
      <c r="T759" s="87"/>
      <c r="U759" s="87"/>
      <c r="V759" s="87"/>
      <c r="W759" s="87"/>
      <c r="X759" s="87"/>
      <c r="Y759" s="87"/>
      <c r="Z759" s="87"/>
      <c r="AA759" s="87"/>
      <c r="AB759" s="87"/>
      <c r="AC759" s="87"/>
      <c r="AD759" s="87"/>
      <c r="AE759" s="87"/>
      <c r="AF759" s="87"/>
      <c r="AG759" s="87"/>
      <c r="AH759" s="87"/>
      <c r="AI759" s="87"/>
      <c r="AJ759" s="87"/>
    </row>
    <row r="760" spans="1:36" x14ac:dyDescent="0.25">
      <c r="A760" s="273"/>
      <c r="B760" s="86"/>
      <c r="C760" s="86"/>
      <c r="D760" s="86"/>
      <c r="E760" s="86"/>
      <c r="F760" s="86"/>
      <c r="G760" s="86"/>
      <c r="H760" s="86"/>
      <c r="I760" s="86"/>
      <c r="J760" s="86"/>
      <c r="K760" s="86"/>
      <c r="L760" s="86"/>
      <c r="M760" s="86"/>
      <c r="N760" s="86"/>
      <c r="O760" s="86"/>
      <c r="P760" s="86"/>
      <c r="Q760" s="86"/>
      <c r="R760" s="86"/>
      <c r="S760" s="86"/>
      <c r="T760" s="86"/>
      <c r="U760" s="86"/>
      <c r="V760" s="86"/>
      <c r="W760" s="86"/>
      <c r="X760" s="86"/>
      <c r="Y760" s="86"/>
      <c r="Z760" s="86"/>
      <c r="AA760" s="86"/>
      <c r="AB760" s="86"/>
      <c r="AC760" s="86"/>
      <c r="AD760" s="86"/>
      <c r="AE760" s="86"/>
      <c r="AF760" s="86"/>
      <c r="AG760" s="86"/>
      <c r="AH760" s="86"/>
      <c r="AI760" s="86"/>
      <c r="AJ760" s="86"/>
    </row>
    <row r="761" spans="1:36" x14ac:dyDescent="0.25">
      <c r="A761" s="274"/>
      <c r="B761" s="87"/>
      <c r="C761" s="87"/>
      <c r="D761" s="87"/>
      <c r="E761" s="87"/>
      <c r="F761" s="87"/>
      <c r="G761" s="87"/>
      <c r="H761" s="87"/>
      <c r="I761" s="87"/>
      <c r="J761" s="87"/>
      <c r="K761" s="87"/>
      <c r="L761" s="87"/>
      <c r="M761" s="87"/>
      <c r="N761" s="87"/>
      <c r="O761" s="87"/>
      <c r="P761" s="87"/>
      <c r="Q761" s="87"/>
      <c r="R761" s="87"/>
      <c r="S761" s="87"/>
      <c r="T761" s="87"/>
      <c r="U761" s="87"/>
      <c r="V761" s="87"/>
      <c r="W761" s="87"/>
      <c r="X761" s="87"/>
      <c r="Y761" s="87"/>
      <c r="Z761" s="87"/>
      <c r="AA761" s="87"/>
      <c r="AB761" s="87"/>
      <c r="AC761" s="87"/>
      <c r="AD761" s="87"/>
      <c r="AE761" s="87"/>
      <c r="AF761" s="87"/>
      <c r="AG761" s="87"/>
      <c r="AH761" s="87"/>
      <c r="AI761" s="87"/>
      <c r="AJ761" s="87"/>
    </row>
    <row r="762" spans="1:36" x14ac:dyDescent="0.25">
      <c r="A762" s="273"/>
      <c r="B762" s="86"/>
      <c r="C762" s="86"/>
      <c r="D762" s="86"/>
      <c r="E762" s="86"/>
      <c r="F762" s="86"/>
      <c r="G762" s="86"/>
      <c r="H762" s="86"/>
      <c r="I762" s="86"/>
      <c r="J762" s="86"/>
      <c r="K762" s="86"/>
      <c r="L762" s="86"/>
      <c r="M762" s="86"/>
      <c r="N762" s="86"/>
      <c r="O762" s="86"/>
      <c r="P762" s="86"/>
      <c r="Q762" s="86"/>
      <c r="R762" s="86"/>
      <c r="S762" s="86"/>
      <c r="T762" s="86"/>
      <c r="U762" s="86"/>
      <c r="V762" s="86"/>
      <c r="W762" s="86"/>
      <c r="X762" s="86"/>
      <c r="Y762" s="86"/>
      <c r="Z762" s="86"/>
      <c r="AA762" s="86"/>
      <c r="AB762" s="86"/>
      <c r="AC762" s="86"/>
      <c r="AD762" s="86"/>
      <c r="AE762" s="86"/>
      <c r="AF762" s="86"/>
      <c r="AG762" s="86"/>
      <c r="AH762" s="86"/>
      <c r="AI762" s="86"/>
      <c r="AJ762" s="86"/>
    </row>
    <row r="763" spans="1:36" x14ac:dyDescent="0.25">
      <c r="A763" s="274"/>
      <c r="B763" s="87"/>
      <c r="C763" s="87"/>
      <c r="D763" s="87"/>
      <c r="E763" s="87"/>
      <c r="F763" s="87"/>
      <c r="G763" s="87"/>
      <c r="H763" s="87"/>
      <c r="I763" s="87"/>
      <c r="J763" s="87"/>
      <c r="K763" s="87"/>
      <c r="L763" s="87"/>
      <c r="M763" s="87"/>
      <c r="N763" s="87"/>
      <c r="O763" s="87"/>
      <c r="P763" s="87"/>
      <c r="Q763" s="87"/>
      <c r="R763" s="87"/>
      <c r="S763" s="87"/>
      <c r="T763" s="87"/>
      <c r="U763" s="87"/>
      <c r="V763" s="87"/>
      <c r="W763" s="87"/>
      <c r="X763" s="87"/>
      <c r="Y763" s="87"/>
      <c r="Z763" s="87"/>
      <c r="AA763" s="87"/>
      <c r="AB763" s="87"/>
      <c r="AC763" s="87"/>
      <c r="AD763" s="87"/>
      <c r="AE763" s="87"/>
      <c r="AF763" s="87"/>
      <c r="AG763" s="87"/>
      <c r="AH763" s="87"/>
      <c r="AI763" s="87"/>
      <c r="AJ763" s="87"/>
    </row>
    <row r="764" spans="1:36" x14ac:dyDescent="0.25">
      <c r="A764" s="273"/>
      <c r="B764" s="86"/>
      <c r="C764" s="86"/>
      <c r="D764" s="86"/>
      <c r="E764" s="86"/>
      <c r="F764" s="86"/>
      <c r="G764" s="86"/>
      <c r="H764" s="86"/>
      <c r="I764" s="86"/>
      <c r="J764" s="86"/>
      <c r="K764" s="86"/>
      <c r="L764" s="86"/>
      <c r="M764" s="86"/>
      <c r="N764" s="86"/>
      <c r="O764" s="86"/>
      <c r="P764" s="86"/>
      <c r="Q764" s="86"/>
      <c r="R764" s="86"/>
      <c r="S764" s="86"/>
      <c r="T764" s="86"/>
      <c r="U764" s="86"/>
      <c r="V764" s="86"/>
      <c r="W764" s="86"/>
      <c r="X764" s="86"/>
      <c r="Y764" s="86"/>
      <c r="Z764" s="86"/>
      <c r="AA764" s="86"/>
      <c r="AB764" s="86"/>
      <c r="AC764" s="86"/>
      <c r="AD764" s="86"/>
      <c r="AE764" s="86"/>
      <c r="AF764" s="86"/>
      <c r="AG764" s="86"/>
      <c r="AH764" s="86"/>
      <c r="AI764" s="86"/>
      <c r="AJ764" s="86"/>
    </row>
    <row r="765" spans="1:36" x14ac:dyDescent="0.25">
      <c r="A765" s="274"/>
      <c r="B765" s="87"/>
      <c r="C765" s="87"/>
      <c r="D765" s="87"/>
      <c r="E765" s="87"/>
      <c r="F765" s="87"/>
      <c r="G765" s="87"/>
      <c r="H765" s="87"/>
      <c r="I765" s="87"/>
      <c r="J765" s="87"/>
      <c r="K765" s="87"/>
      <c r="L765" s="87"/>
      <c r="M765" s="87"/>
      <c r="N765" s="87"/>
      <c r="O765" s="87"/>
      <c r="P765" s="87"/>
      <c r="Q765" s="87"/>
      <c r="R765" s="87"/>
      <c r="S765" s="87"/>
      <c r="T765" s="87"/>
      <c r="U765" s="87"/>
      <c r="V765" s="87"/>
      <c r="W765" s="87"/>
      <c r="X765" s="87"/>
      <c r="Y765" s="87"/>
      <c r="Z765" s="87"/>
      <c r="AA765" s="87"/>
      <c r="AB765" s="87"/>
      <c r="AC765" s="87"/>
      <c r="AD765" s="87"/>
      <c r="AE765" s="87"/>
      <c r="AF765" s="87"/>
      <c r="AG765" s="87"/>
      <c r="AH765" s="87"/>
      <c r="AI765" s="87"/>
      <c r="AJ765" s="87"/>
    </row>
    <row r="766" spans="1:36" x14ac:dyDescent="0.25">
      <c r="A766" s="273"/>
      <c r="B766" s="86"/>
      <c r="C766" s="86"/>
      <c r="D766" s="86"/>
      <c r="E766" s="86"/>
      <c r="F766" s="86"/>
      <c r="G766" s="86"/>
      <c r="H766" s="86"/>
      <c r="I766" s="86"/>
      <c r="J766" s="86"/>
      <c r="K766" s="86"/>
      <c r="L766" s="86"/>
      <c r="M766" s="86"/>
      <c r="N766" s="86"/>
      <c r="O766" s="86"/>
      <c r="P766" s="86"/>
      <c r="Q766" s="86"/>
      <c r="R766" s="86"/>
      <c r="S766" s="86"/>
      <c r="T766" s="86"/>
      <c r="U766" s="86"/>
      <c r="V766" s="86"/>
      <c r="W766" s="86"/>
      <c r="X766" s="86"/>
      <c r="Y766" s="86"/>
      <c r="Z766" s="86"/>
      <c r="AA766" s="86"/>
      <c r="AB766" s="86"/>
      <c r="AC766" s="86"/>
      <c r="AD766" s="86"/>
      <c r="AE766" s="86"/>
      <c r="AF766" s="86"/>
      <c r="AG766" s="86"/>
      <c r="AH766" s="86"/>
      <c r="AI766" s="86"/>
      <c r="AJ766" s="86"/>
    </row>
    <row r="767" spans="1:36" x14ac:dyDescent="0.25">
      <c r="A767" s="274"/>
      <c r="B767" s="87"/>
      <c r="C767" s="87"/>
      <c r="D767" s="87"/>
      <c r="E767" s="87"/>
      <c r="F767" s="87"/>
      <c r="G767" s="87"/>
      <c r="H767" s="87"/>
      <c r="I767" s="87"/>
      <c r="J767" s="87"/>
      <c r="K767" s="87"/>
      <c r="L767" s="87"/>
      <c r="M767" s="87"/>
      <c r="N767" s="87"/>
      <c r="O767" s="87"/>
      <c r="P767" s="87"/>
      <c r="Q767" s="87"/>
      <c r="R767" s="87"/>
      <c r="S767" s="87"/>
      <c r="T767" s="87"/>
      <c r="U767" s="87"/>
      <c r="V767" s="87"/>
      <c r="W767" s="87"/>
      <c r="X767" s="87"/>
      <c r="Y767" s="87"/>
      <c r="Z767" s="87"/>
      <c r="AA767" s="87"/>
      <c r="AB767" s="87"/>
      <c r="AC767" s="87"/>
      <c r="AD767" s="87"/>
      <c r="AE767" s="87"/>
      <c r="AF767" s="87"/>
      <c r="AG767" s="87"/>
      <c r="AH767" s="87"/>
      <c r="AI767" s="87"/>
      <c r="AJ767" s="87"/>
    </row>
    <row r="768" spans="1:36" x14ac:dyDescent="0.25">
      <c r="A768" s="273"/>
      <c r="B768" s="86"/>
      <c r="C768" s="86"/>
      <c r="D768" s="86"/>
      <c r="E768" s="86"/>
      <c r="F768" s="86"/>
      <c r="G768" s="86"/>
      <c r="H768" s="86"/>
      <c r="I768" s="86"/>
      <c r="J768" s="86"/>
      <c r="K768" s="86"/>
      <c r="L768" s="86"/>
      <c r="M768" s="86"/>
      <c r="N768" s="86"/>
      <c r="O768" s="86"/>
      <c r="P768" s="86"/>
      <c r="Q768" s="86"/>
      <c r="R768" s="86"/>
      <c r="S768" s="86"/>
      <c r="T768" s="86"/>
      <c r="U768" s="86"/>
      <c r="V768" s="86"/>
      <c r="W768" s="86"/>
      <c r="X768" s="86"/>
      <c r="Y768" s="86"/>
      <c r="Z768" s="86"/>
      <c r="AA768" s="86"/>
      <c r="AB768" s="86"/>
      <c r="AC768" s="86"/>
      <c r="AD768" s="86"/>
      <c r="AE768" s="86"/>
      <c r="AF768" s="86"/>
      <c r="AG768" s="86"/>
      <c r="AH768" s="86"/>
      <c r="AI768" s="86"/>
      <c r="AJ768" s="86"/>
    </row>
    <row r="769" spans="1:36" x14ac:dyDescent="0.25">
      <c r="A769" s="274"/>
      <c r="B769" s="87"/>
      <c r="C769" s="87"/>
      <c r="D769" s="87"/>
      <c r="E769" s="87"/>
      <c r="F769" s="87"/>
      <c r="G769" s="87"/>
      <c r="H769" s="87"/>
      <c r="I769" s="87"/>
      <c r="J769" s="87"/>
      <c r="K769" s="87"/>
      <c r="L769" s="87"/>
      <c r="M769" s="87"/>
      <c r="N769" s="87"/>
      <c r="O769" s="87"/>
      <c r="P769" s="87"/>
      <c r="Q769" s="87"/>
      <c r="R769" s="87"/>
      <c r="S769" s="87"/>
      <c r="T769" s="87"/>
      <c r="U769" s="87"/>
      <c r="V769" s="87"/>
      <c r="W769" s="87"/>
      <c r="X769" s="87"/>
      <c r="Y769" s="87"/>
      <c r="Z769" s="87"/>
      <c r="AA769" s="87"/>
      <c r="AB769" s="87"/>
      <c r="AC769" s="87"/>
      <c r="AD769" s="87"/>
      <c r="AE769" s="87"/>
      <c r="AF769" s="87"/>
      <c r="AG769" s="87"/>
      <c r="AH769" s="87"/>
      <c r="AI769" s="87"/>
      <c r="AJ769" s="87"/>
    </row>
    <row r="770" spans="1:36" x14ac:dyDescent="0.25">
      <c r="A770" s="273"/>
      <c r="B770" s="86"/>
      <c r="C770" s="86"/>
      <c r="D770" s="86"/>
      <c r="E770" s="86"/>
      <c r="F770" s="86"/>
      <c r="G770" s="86"/>
      <c r="H770" s="86"/>
      <c r="I770" s="86"/>
      <c r="J770" s="86"/>
      <c r="K770" s="86"/>
      <c r="L770" s="86"/>
      <c r="M770" s="86"/>
      <c r="N770" s="86"/>
      <c r="O770" s="86"/>
      <c r="P770" s="86"/>
      <c r="Q770" s="86"/>
      <c r="R770" s="86"/>
      <c r="S770" s="86"/>
      <c r="T770" s="86"/>
      <c r="U770" s="86"/>
      <c r="V770" s="86"/>
      <c r="W770" s="86"/>
      <c r="X770" s="86"/>
      <c r="Y770" s="86"/>
      <c r="Z770" s="86"/>
      <c r="AA770" s="86"/>
      <c r="AB770" s="86"/>
      <c r="AC770" s="86"/>
      <c r="AD770" s="86"/>
      <c r="AE770" s="86"/>
      <c r="AF770" s="86"/>
      <c r="AG770" s="86"/>
      <c r="AH770" s="86"/>
      <c r="AI770" s="86"/>
      <c r="AJ770" s="86"/>
    </row>
    <row r="771" spans="1:36" x14ac:dyDescent="0.25">
      <c r="A771" s="274"/>
      <c r="B771" s="87"/>
      <c r="C771" s="87"/>
      <c r="D771" s="87"/>
      <c r="E771" s="87"/>
      <c r="F771" s="87"/>
      <c r="G771" s="87"/>
      <c r="H771" s="87"/>
      <c r="I771" s="87"/>
      <c r="J771" s="87"/>
      <c r="K771" s="87"/>
      <c r="L771" s="87"/>
      <c r="M771" s="87"/>
      <c r="N771" s="87"/>
      <c r="O771" s="87"/>
      <c r="P771" s="87"/>
      <c r="Q771" s="87"/>
      <c r="R771" s="87"/>
      <c r="S771" s="87"/>
      <c r="T771" s="87"/>
      <c r="U771" s="87"/>
      <c r="V771" s="87"/>
      <c r="W771" s="87"/>
      <c r="X771" s="87"/>
      <c r="Y771" s="87"/>
      <c r="Z771" s="87"/>
      <c r="AA771" s="87"/>
      <c r="AB771" s="87"/>
      <c r="AC771" s="87"/>
      <c r="AD771" s="87"/>
      <c r="AE771" s="87"/>
      <c r="AF771" s="87"/>
      <c r="AG771" s="87"/>
      <c r="AH771" s="87"/>
      <c r="AI771" s="87"/>
      <c r="AJ771" s="87"/>
    </row>
    <row r="772" spans="1:36" x14ac:dyDescent="0.25">
      <c r="A772" s="273"/>
      <c r="B772" s="86"/>
      <c r="C772" s="86"/>
      <c r="D772" s="86"/>
      <c r="E772" s="86"/>
      <c r="F772" s="86"/>
      <c r="G772" s="86"/>
      <c r="H772" s="86"/>
      <c r="I772" s="86"/>
      <c r="J772" s="86"/>
      <c r="K772" s="86"/>
      <c r="L772" s="86"/>
      <c r="M772" s="86"/>
      <c r="N772" s="86"/>
      <c r="O772" s="86"/>
      <c r="P772" s="86"/>
      <c r="Q772" s="86"/>
      <c r="R772" s="86"/>
      <c r="S772" s="86"/>
      <c r="T772" s="86"/>
      <c r="U772" s="86"/>
      <c r="V772" s="86"/>
      <c r="W772" s="86"/>
      <c r="X772" s="86"/>
      <c r="Y772" s="86"/>
      <c r="Z772" s="86"/>
      <c r="AA772" s="86"/>
      <c r="AB772" s="86"/>
      <c r="AC772" s="86"/>
      <c r="AD772" s="86"/>
      <c r="AE772" s="86"/>
      <c r="AF772" s="86"/>
      <c r="AG772" s="86"/>
      <c r="AH772" s="86"/>
      <c r="AI772" s="86"/>
      <c r="AJ772" s="86"/>
    </row>
    <row r="773" spans="1:36" x14ac:dyDescent="0.25">
      <c r="A773" s="274"/>
      <c r="B773" s="87"/>
      <c r="C773" s="87"/>
      <c r="D773" s="87"/>
      <c r="E773" s="87"/>
      <c r="F773" s="87"/>
      <c r="G773" s="87"/>
      <c r="H773" s="87"/>
      <c r="I773" s="87"/>
      <c r="J773" s="87"/>
      <c r="K773" s="87"/>
      <c r="L773" s="87"/>
      <c r="M773" s="87"/>
      <c r="N773" s="87"/>
      <c r="O773" s="87"/>
      <c r="P773" s="87"/>
      <c r="Q773" s="87"/>
      <c r="R773" s="87"/>
      <c r="S773" s="87"/>
      <c r="T773" s="87"/>
      <c r="U773" s="87"/>
      <c r="V773" s="87"/>
      <c r="W773" s="87"/>
      <c r="X773" s="87"/>
      <c r="Y773" s="87"/>
      <c r="Z773" s="87"/>
      <c r="AA773" s="87"/>
      <c r="AB773" s="87"/>
      <c r="AC773" s="87"/>
      <c r="AD773" s="87"/>
      <c r="AE773" s="87"/>
      <c r="AF773" s="87"/>
      <c r="AG773" s="87"/>
      <c r="AH773" s="87"/>
      <c r="AI773" s="87"/>
      <c r="AJ773" s="87"/>
    </row>
    <row r="774" spans="1:36" x14ac:dyDescent="0.25">
      <c r="A774" s="273"/>
      <c r="B774" s="86"/>
      <c r="C774" s="86"/>
      <c r="D774" s="86"/>
      <c r="E774" s="86"/>
      <c r="F774" s="86"/>
      <c r="G774" s="86"/>
      <c r="H774" s="86"/>
      <c r="I774" s="86"/>
      <c r="J774" s="86"/>
      <c r="K774" s="86"/>
      <c r="L774" s="86"/>
      <c r="M774" s="86"/>
      <c r="N774" s="86"/>
      <c r="O774" s="86"/>
      <c r="P774" s="86"/>
      <c r="Q774" s="86"/>
      <c r="R774" s="86"/>
      <c r="S774" s="86"/>
      <c r="T774" s="86"/>
      <c r="U774" s="86"/>
      <c r="V774" s="86"/>
      <c r="W774" s="86"/>
      <c r="X774" s="86"/>
      <c r="Y774" s="86"/>
      <c r="Z774" s="86"/>
      <c r="AA774" s="86"/>
      <c r="AB774" s="86"/>
      <c r="AC774" s="86"/>
      <c r="AD774" s="86"/>
      <c r="AE774" s="86"/>
      <c r="AF774" s="86"/>
      <c r="AG774" s="86"/>
      <c r="AH774" s="86"/>
      <c r="AI774" s="86"/>
      <c r="AJ774" s="86"/>
    </row>
    <row r="775" spans="1:36" x14ac:dyDescent="0.25">
      <c r="A775" s="274"/>
      <c r="B775" s="87"/>
      <c r="C775" s="87"/>
      <c r="D775" s="87"/>
      <c r="E775" s="87"/>
      <c r="F775" s="87"/>
      <c r="G775" s="87"/>
      <c r="H775" s="87"/>
      <c r="I775" s="87"/>
      <c r="J775" s="87"/>
      <c r="K775" s="87"/>
      <c r="L775" s="87"/>
      <c r="M775" s="87"/>
      <c r="N775" s="87"/>
      <c r="O775" s="87"/>
      <c r="P775" s="87"/>
      <c r="Q775" s="87"/>
      <c r="R775" s="87"/>
      <c r="S775" s="87"/>
      <c r="T775" s="87"/>
      <c r="U775" s="87"/>
      <c r="V775" s="87"/>
      <c r="W775" s="87"/>
      <c r="X775" s="87"/>
      <c r="Y775" s="87"/>
      <c r="Z775" s="87"/>
      <c r="AA775" s="87"/>
      <c r="AB775" s="87"/>
      <c r="AC775" s="87"/>
      <c r="AD775" s="87"/>
      <c r="AE775" s="87"/>
      <c r="AF775" s="87"/>
      <c r="AG775" s="87"/>
      <c r="AH775" s="87"/>
      <c r="AI775" s="87"/>
      <c r="AJ775" s="87"/>
    </row>
    <row r="776" spans="1:36" x14ac:dyDescent="0.25">
      <c r="A776" s="273"/>
      <c r="B776" s="86"/>
      <c r="C776" s="86"/>
      <c r="D776" s="86"/>
      <c r="E776" s="86"/>
      <c r="F776" s="86"/>
      <c r="G776" s="86"/>
      <c r="H776" s="86"/>
      <c r="I776" s="86"/>
      <c r="J776" s="86"/>
      <c r="K776" s="86"/>
      <c r="L776" s="86"/>
      <c r="M776" s="86"/>
      <c r="N776" s="86"/>
      <c r="O776" s="86"/>
      <c r="P776" s="86"/>
      <c r="Q776" s="86"/>
      <c r="R776" s="86"/>
      <c r="S776" s="86"/>
      <c r="T776" s="86"/>
      <c r="U776" s="86"/>
      <c r="V776" s="86"/>
      <c r="W776" s="86"/>
      <c r="X776" s="86"/>
      <c r="Y776" s="86"/>
      <c r="Z776" s="86"/>
      <c r="AA776" s="86"/>
      <c r="AB776" s="86"/>
      <c r="AC776" s="86"/>
      <c r="AD776" s="86"/>
      <c r="AE776" s="86"/>
      <c r="AF776" s="86"/>
      <c r="AG776" s="86"/>
      <c r="AH776" s="86"/>
      <c r="AI776" s="86"/>
      <c r="AJ776" s="86"/>
    </row>
    <row r="777" spans="1:36" x14ac:dyDescent="0.25">
      <c r="A777" s="274"/>
      <c r="B777" s="87"/>
      <c r="C777" s="87"/>
      <c r="D777" s="87"/>
      <c r="E777" s="87"/>
      <c r="F777" s="87"/>
      <c r="G777" s="87"/>
      <c r="H777" s="87"/>
      <c r="I777" s="87"/>
      <c r="J777" s="87"/>
      <c r="K777" s="87"/>
      <c r="L777" s="87"/>
      <c r="M777" s="87"/>
      <c r="N777" s="87"/>
      <c r="O777" s="87"/>
      <c r="P777" s="87"/>
      <c r="Q777" s="87"/>
      <c r="R777" s="87"/>
      <c r="S777" s="87"/>
      <c r="T777" s="87"/>
      <c r="U777" s="87"/>
      <c r="V777" s="87"/>
      <c r="W777" s="87"/>
      <c r="X777" s="87"/>
      <c r="Y777" s="87"/>
      <c r="Z777" s="87"/>
      <c r="AA777" s="87"/>
      <c r="AB777" s="87"/>
      <c r="AC777" s="87"/>
      <c r="AD777" s="87"/>
      <c r="AE777" s="87"/>
      <c r="AF777" s="87"/>
      <c r="AG777" s="87"/>
      <c r="AH777" s="87"/>
      <c r="AI777" s="87"/>
      <c r="AJ777" s="87"/>
    </row>
    <row r="778" spans="1:36" x14ac:dyDescent="0.25">
      <c r="A778" s="273"/>
      <c r="B778" s="86"/>
      <c r="C778" s="86"/>
      <c r="D778" s="86"/>
      <c r="E778" s="86"/>
      <c r="F778" s="86"/>
      <c r="G778" s="86"/>
      <c r="H778" s="86"/>
      <c r="I778" s="86"/>
      <c r="J778" s="86"/>
      <c r="K778" s="86"/>
      <c r="L778" s="86"/>
      <c r="M778" s="86"/>
      <c r="N778" s="86"/>
      <c r="O778" s="86"/>
      <c r="P778" s="86"/>
      <c r="Q778" s="86"/>
      <c r="R778" s="86"/>
      <c r="S778" s="86"/>
      <c r="T778" s="86"/>
      <c r="U778" s="86"/>
      <c r="V778" s="86"/>
      <c r="W778" s="86"/>
      <c r="X778" s="86"/>
      <c r="Y778" s="86"/>
      <c r="Z778" s="86"/>
      <c r="AA778" s="86"/>
      <c r="AB778" s="86"/>
      <c r="AC778" s="86"/>
      <c r="AD778" s="86"/>
      <c r="AE778" s="86"/>
      <c r="AF778" s="86"/>
      <c r="AG778" s="86"/>
      <c r="AH778" s="86"/>
      <c r="AI778" s="86"/>
      <c r="AJ778" s="86"/>
    </row>
    <row r="779" spans="1:36" x14ac:dyDescent="0.25">
      <c r="A779" s="274"/>
      <c r="B779" s="87"/>
      <c r="C779" s="87"/>
      <c r="D779" s="87"/>
      <c r="E779" s="87"/>
      <c r="F779" s="87"/>
      <c r="G779" s="87"/>
      <c r="H779" s="87"/>
      <c r="I779" s="87"/>
      <c r="J779" s="87"/>
      <c r="K779" s="87"/>
      <c r="L779" s="87"/>
      <c r="M779" s="87"/>
      <c r="N779" s="87"/>
      <c r="O779" s="87"/>
      <c r="P779" s="87"/>
      <c r="Q779" s="87"/>
      <c r="R779" s="87"/>
      <c r="S779" s="87"/>
      <c r="T779" s="87"/>
      <c r="U779" s="87"/>
      <c r="V779" s="87"/>
      <c r="W779" s="87"/>
      <c r="X779" s="87"/>
      <c r="Y779" s="87"/>
      <c r="Z779" s="87"/>
      <c r="AA779" s="87"/>
      <c r="AB779" s="87"/>
      <c r="AC779" s="87"/>
      <c r="AD779" s="87"/>
      <c r="AE779" s="87"/>
      <c r="AF779" s="87"/>
      <c r="AG779" s="87"/>
      <c r="AH779" s="87"/>
      <c r="AI779" s="87"/>
      <c r="AJ779" s="87"/>
    </row>
    <row r="780" spans="1:36" x14ac:dyDescent="0.25">
      <c r="A780" s="273"/>
      <c r="B780" s="86"/>
      <c r="C780" s="86"/>
      <c r="D780" s="86"/>
      <c r="E780" s="86"/>
      <c r="F780" s="86"/>
      <c r="G780" s="86"/>
      <c r="H780" s="86"/>
      <c r="I780" s="86"/>
      <c r="J780" s="86"/>
      <c r="K780" s="86"/>
      <c r="L780" s="86"/>
      <c r="M780" s="86"/>
      <c r="N780" s="86"/>
      <c r="O780" s="86"/>
      <c r="P780" s="86"/>
      <c r="Q780" s="86"/>
      <c r="R780" s="86"/>
      <c r="S780" s="86"/>
      <c r="T780" s="86"/>
      <c r="U780" s="86"/>
      <c r="V780" s="86"/>
      <c r="W780" s="86"/>
      <c r="X780" s="86"/>
      <c r="Y780" s="86"/>
      <c r="Z780" s="86"/>
      <c r="AA780" s="86"/>
      <c r="AB780" s="86"/>
      <c r="AC780" s="86"/>
      <c r="AD780" s="86"/>
      <c r="AE780" s="86"/>
      <c r="AF780" s="86"/>
      <c r="AG780" s="86"/>
      <c r="AH780" s="86"/>
      <c r="AI780" s="86"/>
      <c r="AJ780" s="86"/>
    </row>
    <row r="781" spans="1:36" x14ac:dyDescent="0.25">
      <c r="A781" s="274"/>
      <c r="B781" s="87"/>
      <c r="C781" s="87"/>
      <c r="D781" s="87"/>
      <c r="E781" s="87"/>
      <c r="F781" s="87"/>
      <c r="G781" s="87"/>
      <c r="H781" s="87"/>
      <c r="I781" s="87"/>
      <c r="J781" s="87"/>
      <c r="K781" s="87"/>
      <c r="L781" s="87"/>
      <c r="M781" s="87"/>
      <c r="N781" s="87"/>
      <c r="O781" s="87"/>
      <c r="P781" s="87"/>
      <c r="Q781" s="87"/>
      <c r="R781" s="87"/>
      <c r="S781" s="87"/>
      <c r="T781" s="87"/>
      <c r="U781" s="87"/>
      <c r="V781" s="87"/>
      <c r="W781" s="87"/>
      <c r="X781" s="87"/>
      <c r="Y781" s="87"/>
      <c r="Z781" s="87"/>
      <c r="AA781" s="87"/>
      <c r="AB781" s="87"/>
      <c r="AC781" s="87"/>
      <c r="AD781" s="87"/>
      <c r="AE781" s="87"/>
      <c r="AF781" s="87"/>
      <c r="AG781" s="87"/>
      <c r="AH781" s="87"/>
      <c r="AI781" s="87"/>
      <c r="AJ781" s="87"/>
    </row>
    <row r="782" spans="1:36" x14ac:dyDescent="0.25">
      <c r="A782" s="273"/>
      <c r="B782" s="86"/>
      <c r="C782" s="86"/>
      <c r="D782" s="86"/>
      <c r="E782" s="86"/>
      <c r="F782" s="86"/>
      <c r="G782" s="86"/>
      <c r="H782" s="86"/>
      <c r="I782" s="86"/>
      <c r="J782" s="86"/>
      <c r="K782" s="86"/>
      <c r="L782" s="86"/>
      <c r="M782" s="86"/>
      <c r="N782" s="86"/>
      <c r="O782" s="86"/>
      <c r="P782" s="86"/>
      <c r="Q782" s="86"/>
      <c r="R782" s="86"/>
      <c r="S782" s="86"/>
      <c r="T782" s="86"/>
      <c r="U782" s="86"/>
      <c r="V782" s="86"/>
      <c r="W782" s="86"/>
      <c r="X782" s="86"/>
      <c r="Y782" s="86"/>
      <c r="Z782" s="86"/>
      <c r="AA782" s="86"/>
      <c r="AB782" s="86"/>
      <c r="AC782" s="86"/>
      <c r="AD782" s="86"/>
      <c r="AE782" s="86"/>
      <c r="AF782" s="86"/>
      <c r="AG782" s="86"/>
      <c r="AH782" s="86"/>
      <c r="AI782" s="86"/>
      <c r="AJ782" s="86"/>
    </row>
    <row r="783" spans="1:36" x14ac:dyDescent="0.25">
      <c r="A783" s="274"/>
      <c r="B783" s="87"/>
      <c r="C783" s="87"/>
      <c r="D783" s="87"/>
      <c r="E783" s="87"/>
      <c r="F783" s="87"/>
      <c r="G783" s="87"/>
      <c r="H783" s="87"/>
      <c r="I783" s="87"/>
      <c r="J783" s="87"/>
      <c r="K783" s="87"/>
      <c r="L783" s="87"/>
      <c r="M783" s="87"/>
      <c r="N783" s="87"/>
      <c r="O783" s="87"/>
      <c r="P783" s="87"/>
      <c r="Q783" s="87"/>
      <c r="R783" s="87"/>
      <c r="S783" s="87"/>
      <c r="T783" s="87"/>
      <c r="U783" s="87"/>
      <c r="V783" s="87"/>
      <c r="W783" s="87"/>
      <c r="X783" s="87"/>
      <c r="Y783" s="87"/>
      <c r="Z783" s="87"/>
      <c r="AA783" s="87"/>
      <c r="AB783" s="87"/>
      <c r="AC783" s="87"/>
      <c r="AD783" s="87"/>
      <c r="AE783" s="87"/>
      <c r="AF783" s="87"/>
      <c r="AG783" s="87"/>
      <c r="AH783" s="87"/>
      <c r="AI783" s="87"/>
      <c r="AJ783" s="87"/>
    </row>
    <row r="784" spans="1:36" x14ac:dyDescent="0.25">
      <c r="A784" s="273"/>
      <c r="B784" s="86"/>
      <c r="C784" s="86"/>
      <c r="D784" s="86"/>
      <c r="E784" s="86"/>
      <c r="F784" s="86"/>
      <c r="G784" s="86"/>
      <c r="H784" s="86"/>
      <c r="I784" s="86"/>
      <c r="J784" s="86"/>
      <c r="K784" s="86"/>
      <c r="L784" s="86"/>
      <c r="M784" s="86"/>
      <c r="N784" s="86"/>
      <c r="O784" s="86"/>
      <c r="P784" s="86"/>
      <c r="Q784" s="86"/>
      <c r="R784" s="86"/>
      <c r="S784" s="86"/>
      <c r="T784" s="86"/>
      <c r="U784" s="86"/>
      <c r="V784" s="86"/>
      <c r="W784" s="86"/>
      <c r="X784" s="86"/>
      <c r="Y784" s="86"/>
      <c r="Z784" s="86"/>
      <c r="AA784" s="86"/>
      <c r="AB784" s="86"/>
      <c r="AC784" s="86"/>
      <c r="AD784" s="86"/>
      <c r="AE784" s="86"/>
      <c r="AF784" s="86"/>
      <c r="AG784" s="86"/>
      <c r="AH784" s="86"/>
      <c r="AI784" s="86"/>
      <c r="AJ784" s="86"/>
    </row>
    <row r="785" spans="1:36" x14ac:dyDescent="0.25">
      <c r="A785" s="274"/>
      <c r="B785" s="87"/>
      <c r="C785" s="87"/>
      <c r="D785" s="87"/>
      <c r="E785" s="87"/>
      <c r="F785" s="87"/>
      <c r="G785" s="87"/>
      <c r="H785" s="87"/>
      <c r="I785" s="87"/>
      <c r="J785" s="87"/>
      <c r="K785" s="87"/>
      <c r="L785" s="87"/>
      <c r="M785" s="87"/>
      <c r="N785" s="87"/>
      <c r="O785" s="87"/>
      <c r="P785" s="87"/>
      <c r="Q785" s="87"/>
      <c r="R785" s="87"/>
      <c r="S785" s="87"/>
      <c r="T785" s="87"/>
      <c r="U785" s="87"/>
      <c r="V785" s="87"/>
      <c r="W785" s="87"/>
      <c r="X785" s="87"/>
      <c r="Y785" s="87"/>
      <c r="Z785" s="87"/>
      <c r="AA785" s="87"/>
      <c r="AB785" s="87"/>
      <c r="AC785" s="87"/>
      <c r="AD785" s="87"/>
      <c r="AE785" s="87"/>
      <c r="AF785" s="87"/>
      <c r="AG785" s="87"/>
      <c r="AH785" s="87"/>
      <c r="AI785" s="87"/>
      <c r="AJ785" s="87"/>
    </row>
    <row r="786" spans="1:36" x14ac:dyDescent="0.25">
      <c r="A786" s="273"/>
      <c r="B786" s="86"/>
      <c r="C786" s="86"/>
      <c r="D786" s="86"/>
      <c r="E786" s="86"/>
      <c r="F786" s="86"/>
      <c r="G786" s="86"/>
      <c r="H786" s="86"/>
      <c r="I786" s="86"/>
      <c r="J786" s="86"/>
      <c r="K786" s="86"/>
      <c r="L786" s="86"/>
      <c r="M786" s="86"/>
      <c r="N786" s="86"/>
      <c r="O786" s="86"/>
      <c r="P786" s="86"/>
      <c r="Q786" s="86"/>
      <c r="R786" s="86"/>
      <c r="S786" s="86"/>
      <c r="T786" s="86"/>
      <c r="U786" s="86"/>
      <c r="V786" s="86"/>
      <c r="W786" s="86"/>
      <c r="X786" s="86"/>
      <c r="Y786" s="86"/>
      <c r="Z786" s="86"/>
      <c r="AA786" s="86"/>
      <c r="AB786" s="86"/>
      <c r="AC786" s="86"/>
      <c r="AD786" s="86"/>
      <c r="AE786" s="86"/>
      <c r="AF786" s="86"/>
      <c r="AG786" s="86"/>
      <c r="AH786" s="86"/>
      <c r="AI786" s="86"/>
      <c r="AJ786" s="86"/>
    </row>
    <row r="787" spans="1:36" x14ac:dyDescent="0.25">
      <c r="A787" s="274"/>
      <c r="B787" s="87"/>
      <c r="C787" s="87"/>
      <c r="D787" s="87"/>
      <c r="E787" s="87"/>
      <c r="F787" s="87"/>
      <c r="G787" s="87"/>
      <c r="H787" s="87"/>
      <c r="I787" s="87"/>
      <c r="J787" s="87"/>
      <c r="K787" s="87"/>
      <c r="L787" s="87"/>
      <c r="M787" s="87"/>
      <c r="N787" s="87"/>
      <c r="O787" s="87"/>
      <c r="P787" s="87"/>
      <c r="Q787" s="87"/>
      <c r="R787" s="87"/>
      <c r="S787" s="87"/>
      <c r="T787" s="87"/>
      <c r="U787" s="87"/>
      <c r="V787" s="87"/>
      <c r="W787" s="87"/>
      <c r="X787" s="87"/>
      <c r="Y787" s="87"/>
      <c r="Z787" s="87"/>
      <c r="AA787" s="87"/>
      <c r="AB787" s="87"/>
      <c r="AC787" s="87"/>
      <c r="AD787" s="87"/>
      <c r="AE787" s="87"/>
      <c r="AF787" s="87"/>
      <c r="AG787" s="87"/>
      <c r="AH787" s="87"/>
      <c r="AI787" s="87"/>
      <c r="AJ787" s="87"/>
    </row>
    <row r="788" spans="1:36" x14ac:dyDescent="0.25">
      <c r="A788" s="273"/>
      <c r="B788" s="86"/>
      <c r="C788" s="86"/>
      <c r="D788" s="86"/>
      <c r="E788" s="86"/>
      <c r="F788" s="86"/>
      <c r="G788" s="86"/>
      <c r="H788" s="86"/>
      <c r="I788" s="86"/>
      <c r="J788" s="86"/>
      <c r="K788" s="86"/>
      <c r="L788" s="86"/>
      <c r="M788" s="86"/>
      <c r="N788" s="86"/>
      <c r="O788" s="86"/>
      <c r="P788" s="86"/>
      <c r="Q788" s="86"/>
      <c r="R788" s="86"/>
      <c r="S788" s="86"/>
      <c r="T788" s="86"/>
      <c r="U788" s="86"/>
      <c r="V788" s="86"/>
      <c r="W788" s="86"/>
      <c r="X788" s="86"/>
      <c r="Y788" s="86"/>
      <c r="Z788" s="86"/>
      <c r="AA788" s="86"/>
      <c r="AB788" s="86"/>
      <c r="AC788" s="86"/>
      <c r="AD788" s="86"/>
      <c r="AE788" s="86"/>
      <c r="AF788" s="86"/>
      <c r="AG788" s="86"/>
      <c r="AH788" s="86"/>
      <c r="AI788" s="86"/>
      <c r="AJ788" s="86"/>
    </row>
    <row r="789" spans="1:36" x14ac:dyDescent="0.25">
      <c r="A789" s="274"/>
      <c r="B789" s="87"/>
      <c r="C789" s="87"/>
      <c r="D789" s="87"/>
      <c r="E789" s="87"/>
      <c r="F789" s="87"/>
      <c r="G789" s="87"/>
      <c r="H789" s="87"/>
      <c r="I789" s="87"/>
      <c r="J789" s="87"/>
      <c r="K789" s="87"/>
      <c r="L789" s="87"/>
      <c r="M789" s="87"/>
      <c r="N789" s="87"/>
      <c r="O789" s="87"/>
      <c r="P789" s="87"/>
      <c r="Q789" s="87"/>
      <c r="R789" s="87"/>
      <c r="S789" s="87"/>
      <c r="T789" s="87"/>
      <c r="U789" s="87"/>
      <c r="V789" s="87"/>
      <c r="W789" s="87"/>
      <c r="X789" s="87"/>
      <c r="Y789" s="87"/>
      <c r="Z789" s="87"/>
      <c r="AA789" s="87"/>
      <c r="AB789" s="87"/>
      <c r="AC789" s="87"/>
      <c r="AD789" s="87"/>
      <c r="AE789" s="87"/>
      <c r="AF789" s="87"/>
      <c r="AG789" s="87"/>
      <c r="AH789" s="87"/>
      <c r="AI789" s="87"/>
      <c r="AJ789" s="87"/>
    </row>
    <row r="790" spans="1:36" x14ac:dyDescent="0.25">
      <c r="A790" s="273"/>
      <c r="B790" s="86"/>
      <c r="C790" s="86"/>
      <c r="D790" s="86"/>
      <c r="E790" s="86"/>
      <c r="F790" s="86"/>
      <c r="G790" s="86"/>
      <c r="H790" s="86"/>
      <c r="I790" s="86"/>
      <c r="J790" s="86"/>
      <c r="K790" s="86"/>
      <c r="L790" s="86"/>
      <c r="M790" s="86"/>
      <c r="N790" s="86"/>
      <c r="O790" s="86"/>
      <c r="P790" s="86"/>
      <c r="Q790" s="86"/>
      <c r="R790" s="86"/>
      <c r="S790" s="86"/>
      <c r="T790" s="86"/>
      <c r="U790" s="86"/>
      <c r="V790" s="86"/>
      <c r="W790" s="86"/>
      <c r="X790" s="86"/>
      <c r="Y790" s="86"/>
      <c r="Z790" s="86"/>
      <c r="AA790" s="86"/>
      <c r="AB790" s="86"/>
      <c r="AC790" s="86"/>
      <c r="AD790" s="86"/>
      <c r="AE790" s="86"/>
      <c r="AF790" s="86"/>
      <c r="AG790" s="86"/>
      <c r="AH790" s="86"/>
      <c r="AI790" s="86"/>
      <c r="AJ790" s="86"/>
    </row>
    <row r="791" spans="1:36" x14ac:dyDescent="0.25">
      <c r="A791" s="274"/>
      <c r="B791" s="87"/>
      <c r="C791" s="87"/>
      <c r="D791" s="87"/>
      <c r="E791" s="87"/>
      <c r="F791" s="87"/>
      <c r="G791" s="87"/>
      <c r="H791" s="87"/>
      <c r="I791" s="87"/>
      <c r="J791" s="87"/>
      <c r="K791" s="87"/>
      <c r="L791" s="87"/>
      <c r="M791" s="87"/>
      <c r="N791" s="87"/>
      <c r="O791" s="87"/>
      <c r="P791" s="87"/>
      <c r="Q791" s="87"/>
      <c r="R791" s="87"/>
      <c r="S791" s="87"/>
      <c r="T791" s="87"/>
      <c r="U791" s="87"/>
      <c r="V791" s="87"/>
      <c r="W791" s="87"/>
      <c r="X791" s="87"/>
      <c r="Y791" s="87"/>
      <c r="Z791" s="87"/>
      <c r="AA791" s="87"/>
      <c r="AB791" s="87"/>
      <c r="AC791" s="87"/>
      <c r="AD791" s="87"/>
      <c r="AE791" s="87"/>
      <c r="AF791" s="87"/>
      <c r="AG791" s="87"/>
      <c r="AH791" s="87"/>
      <c r="AI791" s="87"/>
      <c r="AJ791" s="87"/>
    </row>
    <row r="792" spans="1:36" x14ac:dyDescent="0.25">
      <c r="A792" s="273"/>
      <c r="B792" s="86"/>
      <c r="C792" s="86"/>
      <c r="D792" s="86"/>
      <c r="E792" s="86"/>
      <c r="F792" s="86"/>
      <c r="G792" s="86"/>
      <c r="H792" s="86"/>
      <c r="I792" s="86"/>
      <c r="J792" s="86"/>
      <c r="K792" s="86"/>
      <c r="L792" s="86"/>
      <c r="M792" s="86"/>
      <c r="N792" s="86"/>
      <c r="O792" s="86"/>
      <c r="P792" s="86"/>
      <c r="Q792" s="86"/>
      <c r="R792" s="86"/>
      <c r="S792" s="86"/>
      <c r="T792" s="86"/>
      <c r="U792" s="86"/>
      <c r="V792" s="86"/>
      <c r="W792" s="86"/>
      <c r="X792" s="86"/>
      <c r="Y792" s="86"/>
      <c r="Z792" s="86"/>
      <c r="AA792" s="86"/>
      <c r="AB792" s="86"/>
      <c r="AC792" s="86"/>
      <c r="AD792" s="86"/>
      <c r="AE792" s="86"/>
      <c r="AF792" s="86"/>
      <c r="AG792" s="86"/>
      <c r="AH792" s="86"/>
      <c r="AI792" s="86"/>
      <c r="AJ792" s="86"/>
    </row>
    <row r="793" spans="1:36" x14ac:dyDescent="0.25">
      <c r="A793" s="274"/>
      <c r="B793" s="87"/>
      <c r="C793" s="87"/>
      <c r="D793" s="87"/>
      <c r="E793" s="87"/>
      <c r="F793" s="87"/>
      <c r="G793" s="87"/>
      <c r="H793" s="87"/>
      <c r="I793" s="87"/>
      <c r="J793" s="87"/>
      <c r="K793" s="87"/>
      <c r="L793" s="87"/>
      <c r="M793" s="87"/>
      <c r="N793" s="87"/>
      <c r="O793" s="87"/>
      <c r="P793" s="87"/>
      <c r="Q793" s="87"/>
      <c r="R793" s="87"/>
      <c r="S793" s="87"/>
      <c r="T793" s="87"/>
      <c r="U793" s="87"/>
      <c r="V793" s="87"/>
      <c r="W793" s="87"/>
      <c r="X793" s="87"/>
      <c r="Y793" s="87"/>
      <c r="Z793" s="87"/>
      <c r="AA793" s="87"/>
      <c r="AB793" s="87"/>
      <c r="AC793" s="87"/>
      <c r="AD793" s="87"/>
      <c r="AE793" s="87"/>
      <c r="AF793" s="87"/>
      <c r="AG793" s="87"/>
      <c r="AH793" s="87"/>
      <c r="AI793" s="87"/>
      <c r="AJ793" s="87"/>
    </row>
    <row r="794" spans="1:36" x14ac:dyDescent="0.25">
      <c r="A794" s="273"/>
      <c r="B794" s="86"/>
      <c r="C794" s="86"/>
      <c r="D794" s="86"/>
      <c r="E794" s="86"/>
      <c r="F794" s="86"/>
      <c r="G794" s="86"/>
      <c r="H794" s="86"/>
      <c r="I794" s="86"/>
      <c r="J794" s="86"/>
      <c r="K794" s="86"/>
      <c r="L794" s="86"/>
      <c r="M794" s="86"/>
      <c r="N794" s="86"/>
      <c r="O794" s="86"/>
      <c r="P794" s="86"/>
      <c r="Q794" s="86"/>
      <c r="R794" s="86"/>
      <c r="S794" s="86"/>
      <c r="T794" s="86"/>
      <c r="U794" s="86"/>
      <c r="V794" s="86"/>
      <c r="W794" s="86"/>
      <c r="X794" s="86"/>
      <c r="Y794" s="86"/>
      <c r="Z794" s="86"/>
      <c r="AA794" s="86"/>
      <c r="AB794" s="86"/>
      <c r="AC794" s="86"/>
      <c r="AD794" s="86"/>
      <c r="AE794" s="86"/>
      <c r="AF794" s="86"/>
      <c r="AG794" s="86"/>
      <c r="AH794" s="86"/>
      <c r="AI794" s="86"/>
      <c r="AJ794" s="86"/>
    </row>
    <row r="795" spans="1:36" x14ac:dyDescent="0.25">
      <c r="A795" s="274"/>
      <c r="B795" s="87"/>
      <c r="C795" s="87"/>
      <c r="D795" s="87"/>
      <c r="E795" s="87"/>
      <c r="F795" s="87"/>
      <c r="G795" s="87"/>
      <c r="H795" s="87"/>
      <c r="I795" s="87"/>
      <c r="J795" s="87"/>
      <c r="K795" s="87"/>
      <c r="L795" s="87"/>
      <c r="M795" s="87"/>
      <c r="N795" s="87"/>
      <c r="O795" s="87"/>
      <c r="P795" s="87"/>
      <c r="Q795" s="87"/>
      <c r="R795" s="87"/>
      <c r="S795" s="87"/>
      <c r="T795" s="87"/>
      <c r="U795" s="87"/>
      <c r="V795" s="87"/>
      <c r="W795" s="87"/>
      <c r="X795" s="87"/>
      <c r="Y795" s="87"/>
      <c r="Z795" s="87"/>
      <c r="AA795" s="87"/>
      <c r="AB795" s="87"/>
      <c r="AC795" s="87"/>
      <c r="AD795" s="87"/>
      <c r="AE795" s="87"/>
      <c r="AF795" s="87"/>
      <c r="AG795" s="87"/>
      <c r="AH795" s="87"/>
      <c r="AI795" s="87"/>
      <c r="AJ795" s="87"/>
    </row>
    <row r="796" spans="1:36" x14ac:dyDescent="0.25">
      <c r="A796" s="273"/>
      <c r="B796" s="86"/>
      <c r="C796" s="86"/>
      <c r="D796" s="86"/>
      <c r="E796" s="86"/>
      <c r="F796" s="86"/>
      <c r="G796" s="86"/>
      <c r="H796" s="86"/>
      <c r="I796" s="86"/>
      <c r="J796" s="86"/>
      <c r="K796" s="86"/>
      <c r="L796" s="86"/>
      <c r="M796" s="86"/>
      <c r="N796" s="86"/>
      <c r="O796" s="86"/>
      <c r="P796" s="86"/>
      <c r="Q796" s="86"/>
      <c r="R796" s="86"/>
      <c r="S796" s="86"/>
      <c r="T796" s="86"/>
      <c r="U796" s="86"/>
      <c r="V796" s="86"/>
      <c r="W796" s="86"/>
      <c r="X796" s="86"/>
      <c r="Y796" s="86"/>
      <c r="Z796" s="86"/>
      <c r="AA796" s="86"/>
      <c r="AB796" s="86"/>
      <c r="AC796" s="86"/>
      <c r="AD796" s="86"/>
      <c r="AE796" s="86"/>
      <c r="AF796" s="86"/>
      <c r="AG796" s="86"/>
      <c r="AH796" s="86"/>
      <c r="AI796" s="86"/>
      <c r="AJ796" s="86"/>
    </row>
    <row r="797" spans="1:36" x14ac:dyDescent="0.25">
      <c r="A797" s="274"/>
      <c r="B797" s="87"/>
      <c r="C797" s="87"/>
      <c r="D797" s="87"/>
      <c r="E797" s="87"/>
      <c r="F797" s="87"/>
      <c r="G797" s="87"/>
      <c r="H797" s="87"/>
      <c r="I797" s="87"/>
      <c r="J797" s="87"/>
      <c r="K797" s="87"/>
      <c r="L797" s="87"/>
      <c r="M797" s="87"/>
      <c r="N797" s="87"/>
      <c r="O797" s="87"/>
      <c r="P797" s="87"/>
      <c r="Q797" s="87"/>
      <c r="R797" s="87"/>
      <c r="S797" s="87"/>
      <c r="T797" s="87"/>
      <c r="U797" s="87"/>
      <c r="V797" s="87"/>
      <c r="W797" s="87"/>
      <c r="X797" s="87"/>
      <c r="Y797" s="87"/>
      <c r="Z797" s="87"/>
      <c r="AA797" s="87"/>
      <c r="AB797" s="87"/>
      <c r="AC797" s="87"/>
      <c r="AD797" s="87"/>
      <c r="AE797" s="87"/>
      <c r="AF797" s="87"/>
      <c r="AG797" s="87"/>
      <c r="AH797" s="87"/>
      <c r="AI797" s="87"/>
      <c r="AJ797" s="87"/>
    </row>
    <row r="798" spans="1:36" x14ac:dyDescent="0.25">
      <c r="A798" s="273"/>
      <c r="B798" s="86"/>
      <c r="C798" s="86"/>
      <c r="D798" s="86"/>
      <c r="E798" s="86"/>
      <c r="F798" s="86"/>
      <c r="G798" s="86"/>
      <c r="H798" s="86"/>
      <c r="I798" s="86"/>
      <c r="J798" s="86"/>
      <c r="K798" s="86"/>
      <c r="L798" s="86"/>
      <c r="M798" s="86"/>
      <c r="N798" s="86"/>
      <c r="O798" s="86"/>
      <c r="P798" s="86"/>
      <c r="Q798" s="86"/>
      <c r="R798" s="86"/>
      <c r="S798" s="86"/>
      <c r="T798" s="86"/>
      <c r="U798" s="86"/>
      <c r="V798" s="86"/>
      <c r="W798" s="86"/>
      <c r="X798" s="86"/>
      <c r="Y798" s="86"/>
      <c r="Z798" s="86"/>
      <c r="AA798" s="86"/>
      <c r="AB798" s="86"/>
      <c r="AC798" s="86"/>
      <c r="AD798" s="86"/>
      <c r="AE798" s="86"/>
      <c r="AF798" s="86"/>
      <c r="AG798" s="86"/>
      <c r="AH798" s="86"/>
      <c r="AI798" s="86"/>
      <c r="AJ798" s="86"/>
    </row>
    <row r="799" spans="1:36" x14ac:dyDescent="0.25">
      <c r="A799" s="274"/>
      <c r="B799" s="87"/>
      <c r="C799" s="87"/>
      <c r="D799" s="87"/>
      <c r="E799" s="87"/>
      <c r="F799" s="87"/>
      <c r="G799" s="87"/>
      <c r="H799" s="87"/>
      <c r="I799" s="87"/>
      <c r="J799" s="87"/>
      <c r="K799" s="87"/>
      <c r="L799" s="87"/>
      <c r="M799" s="87"/>
      <c r="N799" s="87"/>
      <c r="O799" s="87"/>
      <c r="P799" s="87"/>
      <c r="Q799" s="87"/>
      <c r="R799" s="87"/>
      <c r="S799" s="87"/>
      <c r="T799" s="87"/>
      <c r="U799" s="87"/>
      <c r="V799" s="87"/>
      <c r="W799" s="87"/>
      <c r="X799" s="87"/>
      <c r="Y799" s="87"/>
      <c r="Z799" s="87"/>
      <c r="AA799" s="87"/>
      <c r="AB799" s="87"/>
      <c r="AC799" s="87"/>
      <c r="AD799" s="87"/>
      <c r="AE799" s="87"/>
      <c r="AF799" s="87"/>
      <c r="AG799" s="87"/>
      <c r="AH799" s="87"/>
      <c r="AI799" s="87"/>
      <c r="AJ799" s="87"/>
    </row>
    <row r="800" spans="1:36" x14ac:dyDescent="0.25">
      <c r="A800" s="273"/>
      <c r="B800" s="86"/>
      <c r="C800" s="86"/>
      <c r="D800" s="86"/>
      <c r="E800" s="86"/>
      <c r="F800" s="86"/>
      <c r="G800" s="86"/>
      <c r="H800" s="86"/>
      <c r="I800" s="86"/>
      <c r="J800" s="86"/>
      <c r="K800" s="86"/>
      <c r="L800" s="86"/>
      <c r="M800" s="86"/>
      <c r="N800" s="86"/>
      <c r="O800" s="86"/>
      <c r="P800" s="86"/>
      <c r="Q800" s="86"/>
      <c r="R800" s="86"/>
      <c r="S800" s="86"/>
      <c r="T800" s="86"/>
      <c r="U800" s="86"/>
      <c r="V800" s="86"/>
      <c r="W800" s="86"/>
      <c r="X800" s="86"/>
      <c r="Y800" s="86"/>
      <c r="Z800" s="86"/>
      <c r="AA800" s="86"/>
      <c r="AB800" s="86"/>
      <c r="AC800" s="86"/>
      <c r="AD800" s="86"/>
      <c r="AE800" s="86"/>
      <c r="AF800" s="86"/>
      <c r="AG800" s="86"/>
      <c r="AH800" s="86"/>
      <c r="AI800" s="86"/>
      <c r="AJ800" s="86"/>
    </row>
    <row r="801" spans="1:36" x14ac:dyDescent="0.25">
      <c r="A801" s="274"/>
      <c r="B801" s="87"/>
      <c r="C801" s="87"/>
      <c r="D801" s="87"/>
      <c r="E801" s="87"/>
      <c r="F801" s="87"/>
      <c r="G801" s="87"/>
      <c r="H801" s="87"/>
      <c r="I801" s="87"/>
      <c r="J801" s="87"/>
      <c r="K801" s="87"/>
      <c r="L801" s="87"/>
      <c r="M801" s="87"/>
      <c r="N801" s="87"/>
      <c r="O801" s="87"/>
      <c r="P801" s="87"/>
      <c r="Q801" s="87"/>
      <c r="R801" s="87"/>
      <c r="S801" s="87"/>
      <c r="T801" s="87"/>
      <c r="U801" s="87"/>
      <c r="V801" s="87"/>
      <c r="W801" s="87"/>
      <c r="X801" s="87"/>
      <c r="Y801" s="87"/>
      <c r="Z801" s="87"/>
      <c r="AA801" s="87"/>
      <c r="AB801" s="87"/>
      <c r="AC801" s="87"/>
      <c r="AD801" s="87"/>
      <c r="AE801" s="87"/>
      <c r="AF801" s="87"/>
      <c r="AG801" s="87"/>
      <c r="AH801" s="87"/>
      <c r="AI801" s="87"/>
      <c r="AJ801" s="87"/>
    </row>
    <row r="802" spans="1:36" x14ac:dyDescent="0.25">
      <c r="A802" s="273"/>
      <c r="B802" s="86"/>
      <c r="C802" s="86"/>
      <c r="D802" s="86"/>
      <c r="E802" s="86"/>
      <c r="F802" s="86"/>
      <c r="G802" s="86"/>
      <c r="H802" s="86"/>
      <c r="I802" s="86"/>
      <c r="J802" s="86"/>
      <c r="K802" s="86"/>
      <c r="L802" s="86"/>
      <c r="M802" s="86"/>
      <c r="N802" s="86"/>
      <c r="O802" s="86"/>
      <c r="P802" s="86"/>
      <c r="Q802" s="86"/>
      <c r="R802" s="86"/>
      <c r="S802" s="86"/>
      <c r="T802" s="86"/>
      <c r="U802" s="86"/>
      <c r="V802" s="86"/>
      <c r="W802" s="86"/>
      <c r="X802" s="86"/>
      <c r="Y802" s="86"/>
      <c r="Z802" s="86"/>
      <c r="AA802" s="86"/>
      <c r="AB802" s="86"/>
      <c r="AC802" s="86"/>
      <c r="AD802" s="86"/>
      <c r="AE802" s="86"/>
      <c r="AF802" s="86"/>
      <c r="AG802" s="86"/>
      <c r="AH802" s="86"/>
      <c r="AI802" s="86"/>
      <c r="AJ802" s="86"/>
    </row>
    <row r="803" spans="1:36" x14ac:dyDescent="0.25">
      <c r="A803" s="274"/>
      <c r="B803" s="87"/>
      <c r="C803" s="87"/>
      <c r="D803" s="87"/>
      <c r="E803" s="87"/>
      <c r="F803" s="87"/>
      <c r="G803" s="87"/>
      <c r="H803" s="87"/>
      <c r="I803" s="87"/>
      <c r="J803" s="87"/>
      <c r="K803" s="87"/>
      <c r="L803" s="87"/>
      <c r="M803" s="87"/>
      <c r="N803" s="87"/>
      <c r="O803" s="87"/>
      <c r="P803" s="87"/>
      <c r="Q803" s="87"/>
      <c r="R803" s="87"/>
      <c r="S803" s="87"/>
      <c r="T803" s="87"/>
      <c r="U803" s="87"/>
      <c r="V803" s="87"/>
      <c r="W803" s="87"/>
      <c r="X803" s="87"/>
      <c r="Y803" s="87"/>
      <c r="Z803" s="87"/>
      <c r="AA803" s="87"/>
      <c r="AB803" s="87"/>
      <c r="AC803" s="87"/>
      <c r="AD803" s="87"/>
      <c r="AE803" s="87"/>
      <c r="AF803" s="87"/>
      <c r="AG803" s="87"/>
      <c r="AH803" s="87"/>
      <c r="AI803" s="87"/>
      <c r="AJ803" s="87"/>
    </row>
    <row r="804" spans="1:36" x14ac:dyDescent="0.25">
      <c r="A804" s="273"/>
      <c r="B804" s="86"/>
      <c r="C804" s="86"/>
      <c r="D804" s="86"/>
      <c r="E804" s="86"/>
      <c r="F804" s="86"/>
      <c r="G804" s="86"/>
      <c r="H804" s="86"/>
      <c r="I804" s="86"/>
      <c r="J804" s="86"/>
      <c r="K804" s="86"/>
      <c r="L804" s="86"/>
      <c r="M804" s="86"/>
      <c r="N804" s="86"/>
      <c r="O804" s="86"/>
      <c r="P804" s="86"/>
      <c r="Q804" s="86"/>
      <c r="R804" s="86"/>
      <c r="S804" s="86"/>
      <c r="T804" s="86"/>
      <c r="U804" s="86"/>
      <c r="V804" s="86"/>
      <c r="W804" s="86"/>
      <c r="X804" s="86"/>
      <c r="Y804" s="86"/>
      <c r="Z804" s="86"/>
      <c r="AA804" s="86"/>
      <c r="AB804" s="86"/>
      <c r="AC804" s="86"/>
      <c r="AD804" s="86"/>
      <c r="AE804" s="86"/>
      <c r="AF804" s="86"/>
      <c r="AG804" s="86"/>
      <c r="AH804" s="86"/>
      <c r="AI804" s="86"/>
      <c r="AJ804" s="86"/>
    </row>
    <row r="805" spans="1:36" x14ac:dyDescent="0.25">
      <c r="A805" s="274"/>
      <c r="B805" s="87"/>
      <c r="C805" s="87"/>
      <c r="D805" s="87"/>
      <c r="E805" s="87"/>
      <c r="F805" s="87"/>
      <c r="G805" s="87"/>
      <c r="H805" s="87"/>
      <c r="I805" s="87"/>
      <c r="J805" s="87"/>
      <c r="K805" s="87"/>
      <c r="L805" s="87"/>
      <c r="M805" s="87"/>
      <c r="N805" s="87"/>
      <c r="O805" s="87"/>
      <c r="P805" s="87"/>
      <c r="Q805" s="87"/>
      <c r="R805" s="87"/>
      <c r="S805" s="87"/>
      <c r="T805" s="87"/>
      <c r="U805" s="87"/>
      <c r="V805" s="87"/>
      <c r="W805" s="87"/>
      <c r="X805" s="87"/>
      <c r="Y805" s="87"/>
      <c r="Z805" s="87"/>
      <c r="AA805" s="87"/>
      <c r="AB805" s="87"/>
      <c r="AC805" s="87"/>
      <c r="AD805" s="87"/>
      <c r="AE805" s="87"/>
      <c r="AF805" s="87"/>
      <c r="AG805" s="87"/>
      <c r="AH805" s="87"/>
      <c r="AI805" s="87"/>
      <c r="AJ805" s="87"/>
    </row>
    <row r="806" spans="1:36" x14ac:dyDescent="0.25">
      <c r="A806" s="273"/>
      <c r="B806" s="86"/>
      <c r="C806" s="86"/>
      <c r="D806" s="86"/>
      <c r="E806" s="86"/>
      <c r="F806" s="86"/>
      <c r="G806" s="86"/>
      <c r="H806" s="86"/>
      <c r="I806" s="86"/>
      <c r="J806" s="86"/>
      <c r="K806" s="86"/>
      <c r="L806" s="86"/>
      <c r="M806" s="86"/>
      <c r="N806" s="86"/>
      <c r="O806" s="86"/>
      <c r="P806" s="86"/>
      <c r="Q806" s="86"/>
      <c r="R806" s="86"/>
      <c r="S806" s="86"/>
      <c r="T806" s="86"/>
      <c r="U806" s="86"/>
      <c r="V806" s="86"/>
      <c r="W806" s="86"/>
      <c r="X806" s="86"/>
      <c r="Y806" s="86"/>
      <c r="Z806" s="86"/>
      <c r="AA806" s="86"/>
      <c r="AB806" s="86"/>
      <c r="AC806" s="86"/>
      <c r="AD806" s="86"/>
      <c r="AE806" s="86"/>
      <c r="AF806" s="86"/>
      <c r="AG806" s="86"/>
      <c r="AH806" s="86"/>
      <c r="AI806" s="86"/>
      <c r="AJ806" s="86"/>
    </row>
    <row r="807" spans="1:36" x14ac:dyDescent="0.25">
      <c r="A807" s="274"/>
      <c r="B807" s="87"/>
      <c r="C807" s="87"/>
      <c r="D807" s="87"/>
      <c r="E807" s="87"/>
      <c r="F807" s="87"/>
      <c r="G807" s="87"/>
      <c r="H807" s="87"/>
      <c r="I807" s="87"/>
      <c r="J807" s="87"/>
      <c r="K807" s="87"/>
      <c r="L807" s="87"/>
      <c r="M807" s="87"/>
      <c r="N807" s="87"/>
      <c r="O807" s="87"/>
      <c r="P807" s="87"/>
      <c r="Q807" s="87"/>
      <c r="R807" s="87"/>
      <c r="S807" s="87"/>
      <c r="T807" s="87"/>
      <c r="U807" s="87"/>
      <c r="V807" s="87"/>
      <c r="W807" s="87"/>
      <c r="X807" s="87"/>
      <c r="Y807" s="87"/>
      <c r="Z807" s="87"/>
      <c r="AA807" s="87"/>
      <c r="AB807" s="87"/>
      <c r="AC807" s="87"/>
      <c r="AD807" s="87"/>
      <c r="AE807" s="87"/>
      <c r="AF807" s="87"/>
      <c r="AG807" s="87"/>
      <c r="AH807" s="87"/>
      <c r="AI807" s="87"/>
      <c r="AJ807" s="87"/>
    </row>
    <row r="808" spans="1:36" x14ac:dyDescent="0.25">
      <c r="A808" s="273"/>
      <c r="B808" s="86"/>
      <c r="C808" s="86"/>
      <c r="D808" s="86"/>
      <c r="E808" s="86"/>
      <c r="F808" s="86"/>
      <c r="G808" s="86"/>
      <c r="H808" s="86"/>
      <c r="I808" s="86"/>
      <c r="J808" s="86"/>
      <c r="K808" s="86"/>
      <c r="L808" s="86"/>
      <c r="M808" s="86"/>
      <c r="N808" s="86"/>
      <c r="O808" s="86"/>
      <c r="P808" s="86"/>
      <c r="Q808" s="86"/>
      <c r="R808" s="86"/>
      <c r="S808" s="86"/>
      <c r="T808" s="86"/>
      <c r="U808" s="86"/>
      <c r="V808" s="86"/>
      <c r="W808" s="86"/>
      <c r="X808" s="86"/>
      <c r="Y808" s="86"/>
      <c r="Z808" s="86"/>
      <c r="AA808" s="86"/>
      <c r="AB808" s="86"/>
      <c r="AC808" s="86"/>
      <c r="AD808" s="86"/>
      <c r="AE808" s="86"/>
      <c r="AF808" s="86"/>
      <c r="AG808" s="86"/>
      <c r="AH808" s="86"/>
      <c r="AI808" s="86"/>
      <c r="AJ808" s="86"/>
    </row>
    <row r="809" spans="1:36" x14ac:dyDescent="0.25">
      <c r="A809" s="274"/>
      <c r="B809" s="87"/>
      <c r="C809" s="87"/>
      <c r="D809" s="87"/>
      <c r="E809" s="87"/>
      <c r="F809" s="87"/>
      <c r="G809" s="87"/>
      <c r="H809" s="87"/>
      <c r="I809" s="87"/>
      <c r="J809" s="87"/>
      <c r="K809" s="87"/>
      <c r="L809" s="87"/>
      <c r="M809" s="87"/>
      <c r="N809" s="87"/>
      <c r="O809" s="87"/>
      <c r="P809" s="87"/>
      <c r="Q809" s="87"/>
      <c r="R809" s="87"/>
      <c r="S809" s="87"/>
      <c r="T809" s="87"/>
      <c r="U809" s="87"/>
      <c r="V809" s="87"/>
      <c r="W809" s="87"/>
      <c r="X809" s="87"/>
      <c r="Y809" s="87"/>
      <c r="Z809" s="87"/>
      <c r="AA809" s="87"/>
      <c r="AB809" s="87"/>
      <c r="AC809" s="87"/>
      <c r="AD809" s="87"/>
      <c r="AE809" s="87"/>
      <c r="AF809" s="87"/>
      <c r="AG809" s="87"/>
      <c r="AH809" s="87"/>
      <c r="AI809" s="87"/>
      <c r="AJ809" s="87"/>
    </row>
    <row r="810" spans="1:36" x14ac:dyDescent="0.25">
      <c r="A810" s="273"/>
      <c r="B810" s="86"/>
      <c r="C810" s="86"/>
      <c r="D810" s="86"/>
      <c r="E810" s="86"/>
      <c r="F810" s="86"/>
      <c r="G810" s="86"/>
      <c r="H810" s="86"/>
      <c r="I810" s="86"/>
      <c r="J810" s="86"/>
      <c r="K810" s="86"/>
      <c r="L810" s="86"/>
      <c r="M810" s="86"/>
      <c r="N810" s="86"/>
      <c r="O810" s="86"/>
      <c r="P810" s="86"/>
      <c r="Q810" s="86"/>
      <c r="R810" s="86"/>
      <c r="S810" s="86"/>
      <c r="T810" s="86"/>
      <c r="U810" s="86"/>
      <c r="V810" s="86"/>
      <c r="W810" s="86"/>
      <c r="X810" s="86"/>
      <c r="Y810" s="86"/>
      <c r="Z810" s="86"/>
      <c r="AA810" s="86"/>
      <c r="AB810" s="86"/>
      <c r="AC810" s="86"/>
      <c r="AD810" s="86"/>
      <c r="AE810" s="86"/>
      <c r="AF810" s="86"/>
      <c r="AG810" s="86"/>
      <c r="AH810" s="86"/>
      <c r="AI810" s="86"/>
      <c r="AJ810" s="86"/>
    </row>
    <row r="811" spans="1:36" x14ac:dyDescent="0.25">
      <c r="A811" s="274"/>
      <c r="B811" s="87"/>
      <c r="C811" s="87"/>
      <c r="D811" s="87"/>
      <c r="E811" s="87"/>
      <c r="F811" s="87"/>
      <c r="G811" s="87"/>
      <c r="H811" s="87"/>
      <c r="I811" s="87"/>
      <c r="J811" s="87"/>
      <c r="K811" s="87"/>
      <c r="L811" s="87"/>
      <c r="M811" s="87"/>
      <c r="N811" s="87"/>
      <c r="O811" s="87"/>
      <c r="P811" s="87"/>
      <c r="Q811" s="87"/>
      <c r="R811" s="87"/>
      <c r="S811" s="87"/>
      <c r="T811" s="87"/>
      <c r="U811" s="87"/>
      <c r="V811" s="87"/>
      <c r="W811" s="87"/>
      <c r="X811" s="87"/>
      <c r="Y811" s="87"/>
      <c r="Z811" s="87"/>
      <c r="AA811" s="87"/>
      <c r="AB811" s="87"/>
      <c r="AC811" s="87"/>
      <c r="AD811" s="87"/>
      <c r="AE811" s="87"/>
      <c r="AF811" s="87"/>
      <c r="AG811" s="87"/>
      <c r="AH811" s="87"/>
      <c r="AI811" s="87"/>
      <c r="AJ811" s="87"/>
    </row>
    <row r="812" spans="1:36" x14ac:dyDescent="0.25">
      <c r="A812" s="273"/>
      <c r="B812" s="86"/>
      <c r="C812" s="86"/>
      <c r="D812" s="86"/>
      <c r="E812" s="86"/>
      <c r="F812" s="86"/>
      <c r="G812" s="86"/>
      <c r="H812" s="86"/>
      <c r="I812" s="86"/>
      <c r="J812" s="86"/>
      <c r="K812" s="86"/>
      <c r="L812" s="86"/>
      <c r="M812" s="86"/>
      <c r="N812" s="86"/>
      <c r="O812" s="86"/>
      <c r="P812" s="86"/>
      <c r="Q812" s="86"/>
      <c r="R812" s="86"/>
      <c r="S812" s="86"/>
      <c r="T812" s="86"/>
      <c r="U812" s="86"/>
      <c r="V812" s="86"/>
      <c r="W812" s="86"/>
      <c r="X812" s="86"/>
      <c r="Y812" s="86"/>
      <c r="Z812" s="86"/>
      <c r="AA812" s="86"/>
      <c r="AB812" s="86"/>
      <c r="AC812" s="86"/>
      <c r="AD812" s="86"/>
      <c r="AE812" s="86"/>
      <c r="AF812" s="86"/>
      <c r="AG812" s="86"/>
      <c r="AH812" s="86"/>
      <c r="AI812" s="86"/>
      <c r="AJ812" s="86"/>
    </row>
    <row r="813" spans="1:36" x14ac:dyDescent="0.25">
      <c r="A813" s="274"/>
      <c r="B813" s="87"/>
      <c r="C813" s="87"/>
      <c r="D813" s="87"/>
      <c r="E813" s="87"/>
      <c r="F813" s="87"/>
      <c r="G813" s="87"/>
      <c r="H813" s="87"/>
      <c r="I813" s="87"/>
      <c r="J813" s="87"/>
      <c r="K813" s="87"/>
      <c r="L813" s="87"/>
      <c r="M813" s="87"/>
      <c r="N813" s="87"/>
      <c r="O813" s="87"/>
      <c r="P813" s="87"/>
      <c r="Q813" s="87"/>
      <c r="R813" s="87"/>
      <c r="S813" s="87"/>
      <c r="T813" s="87"/>
      <c r="U813" s="87"/>
      <c r="V813" s="87"/>
      <c r="W813" s="87"/>
      <c r="X813" s="87"/>
      <c r="Y813" s="87"/>
      <c r="Z813" s="87"/>
      <c r="AA813" s="87"/>
      <c r="AB813" s="87"/>
      <c r="AC813" s="87"/>
      <c r="AD813" s="87"/>
      <c r="AE813" s="87"/>
      <c r="AF813" s="87"/>
      <c r="AG813" s="87"/>
      <c r="AH813" s="87"/>
      <c r="AI813" s="87"/>
      <c r="AJ813" s="87"/>
    </row>
    <row r="814" spans="1:36" x14ac:dyDescent="0.25">
      <c r="A814" s="273"/>
      <c r="B814" s="86"/>
      <c r="C814" s="86"/>
      <c r="D814" s="86"/>
      <c r="E814" s="86"/>
      <c r="F814" s="86"/>
      <c r="G814" s="86"/>
      <c r="H814" s="86"/>
      <c r="I814" s="86"/>
      <c r="J814" s="86"/>
      <c r="K814" s="86"/>
      <c r="L814" s="86"/>
      <c r="M814" s="86"/>
      <c r="N814" s="86"/>
      <c r="O814" s="86"/>
      <c r="P814" s="86"/>
      <c r="Q814" s="86"/>
      <c r="R814" s="86"/>
      <c r="S814" s="86"/>
      <c r="T814" s="86"/>
      <c r="U814" s="86"/>
      <c r="V814" s="86"/>
      <c r="W814" s="86"/>
      <c r="X814" s="86"/>
      <c r="Y814" s="86"/>
      <c r="Z814" s="86"/>
      <c r="AA814" s="86"/>
      <c r="AB814" s="86"/>
      <c r="AC814" s="86"/>
      <c r="AD814" s="86"/>
      <c r="AE814" s="86"/>
      <c r="AF814" s="86"/>
      <c r="AG814" s="86"/>
      <c r="AH814" s="86"/>
      <c r="AI814" s="86"/>
      <c r="AJ814" s="86"/>
    </row>
    <row r="815" spans="1:36" x14ac:dyDescent="0.25">
      <c r="A815" s="274"/>
      <c r="B815" s="87"/>
      <c r="C815" s="87"/>
      <c r="D815" s="87"/>
      <c r="E815" s="87"/>
      <c r="F815" s="87"/>
      <c r="G815" s="87"/>
      <c r="H815" s="87"/>
      <c r="I815" s="87"/>
      <c r="J815" s="87"/>
      <c r="K815" s="87"/>
      <c r="L815" s="87"/>
      <c r="M815" s="87"/>
      <c r="N815" s="87"/>
      <c r="O815" s="87"/>
      <c r="P815" s="87"/>
      <c r="Q815" s="87"/>
      <c r="R815" s="87"/>
      <c r="S815" s="87"/>
      <c r="T815" s="87"/>
      <c r="U815" s="87"/>
      <c r="V815" s="87"/>
      <c r="W815" s="87"/>
      <c r="X815" s="87"/>
      <c r="Y815" s="87"/>
      <c r="Z815" s="87"/>
      <c r="AA815" s="87"/>
      <c r="AB815" s="87"/>
      <c r="AC815" s="87"/>
      <c r="AD815" s="87"/>
      <c r="AE815" s="87"/>
      <c r="AF815" s="87"/>
      <c r="AG815" s="87"/>
      <c r="AH815" s="87"/>
      <c r="AI815" s="87"/>
      <c r="AJ815" s="87"/>
    </row>
    <row r="816" spans="1:36" x14ac:dyDescent="0.25">
      <c r="A816" s="273"/>
      <c r="B816" s="86"/>
      <c r="C816" s="86"/>
      <c r="D816" s="86"/>
      <c r="E816" s="86"/>
      <c r="F816" s="86"/>
      <c r="G816" s="86"/>
      <c r="H816" s="86"/>
      <c r="I816" s="86"/>
      <c r="J816" s="86"/>
      <c r="K816" s="86"/>
      <c r="L816" s="86"/>
      <c r="M816" s="86"/>
      <c r="N816" s="86"/>
      <c r="O816" s="86"/>
      <c r="P816" s="86"/>
      <c r="Q816" s="86"/>
      <c r="R816" s="86"/>
      <c r="S816" s="86"/>
      <c r="T816" s="86"/>
      <c r="U816" s="86"/>
      <c r="V816" s="86"/>
      <c r="W816" s="86"/>
      <c r="X816" s="86"/>
      <c r="Y816" s="86"/>
      <c r="Z816" s="86"/>
      <c r="AA816" s="86"/>
      <c r="AB816" s="86"/>
      <c r="AC816" s="86"/>
      <c r="AD816" s="86"/>
      <c r="AE816" s="86"/>
      <c r="AF816" s="86"/>
      <c r="AG816" s="86"/>
      <c r="AH816" s="86"/>
      <c r="AI816" s="86"/>
      <c r="AJ816" s="86"/>
    </row>
    <row r="817" spans="1:36" x14ac:dyDescent="0.25">
      <c r="A817" s="274"/>
      <c r="B817" s="87"/>
      <c r="C817" s="87"/>
      <c r="D817" s="87"/>
      <c r="E817" s="87"/>
      <c r="F817" s="87"/>
      <c r="G817" s="87"/>
      <c r="H817" s="87"/>
      <c r="I817" s="87"/>
      <c r="J817" s="87"/>
      <c r="K817" s="87"/>
      <c r="L817" s="87"/>
      <c r="M817" s="87"/>
      <c r="N817" s="87"/>
      <c r="O817" s="87"/>
      <c r="P817" s="87"/>
      <c r="Q817" s="87"/>
      <c r="R817" s="87"/>
      <c r="S817" s="87"/>
      <c r="T817" s="87"/>
      <c r="U817" s="87"/>
      <c r="V817" s="87"/>
      <c r="W817" s="87"/>
      <c r="X817" s="87"/>
      <c r="Y817" s="87"/>
      <c r="Z817" s="87"/>
      <c r="AA817" s="87"/>
      <c r="AB817" s="87"/>
      <c r="AC817" s="87"/>
      <c r="AD817" s="87"/>
      <c r="AE817" s="87"/>
      <c r="AF817" s="87"/>
      <c r="AG817" s="87"/>
      <c r="AH817" s="87"/>
      <c r="AI817" s="87"/>
      <c r="AJ817" s="87"/>
    </row>
    <row r="818" spans="1:36" x14ac:dyDescent="0.25">
      <c r="A818" s="273"/>
      <c r="B818" s="86"/>
      <c r="C818" s="86"/>
      <c r="D818" s="86"/>
      <c r="E818" s="86"/>
      <c r="F818" s="86"/>
      <c r="G818" s="86"/>
      <c r="H818" s="86"/>
      <c r="I818" s="86"/>
      <c r="J818" s="86"/>
      <c r="K818" s="86"/>
      <c r="L818" s="86"/>
      <c r="M818" s="86"/>
      <c r="N818" s="86"/>
      <c r="O818" s="86"/>
      <c r="P818" s="86"/>
      <c r="Q818" s="86"/>
      <c r="R818" s="86"/>
      <c r="S818" s="86"/>
      <c r="T818" s="86"/>
      <c r="U818" s="86"/>
      <c r="V818" s="86"/>
      <c r="W818" s="86"/>
      <c r="X818" s="86"/>
      <c r="Y818" s="86"/>
      <c r="Z818" s="86"/>
      <c r="AA818" s="86"/>
      <c r="AB818" s="86"/>
      <c r="AC818" s="86"/>
      <c r="AD818" s="86"/>
      <c r="AE818" s="86"/>
      <c r="AF818" s="86"/>
      <c r="AG818" s="86"/>
      <c r="AH818" s="86"/>
      <c r="AI818" s="86"/>
      <c r="AJ818" s="86"/>
    </row>
    <row r="819" spans="1:36" x14ac:dyDescent="0.25">
      <c r="A819" s="274"/>
      <c r="B819" s="87"/>
      <c r="C819" s="87"/>
      <c r="D819" s="87"/>
      <c r="E819" s="87"/>
      <c r="F819" s="87"/>
      <c r="G819" s="87"/>
      <c r="H819" s="87"/>
      <c r="I819" s="87"/>
      <c r="J819" s="87"/>
      <c r="K819" s="87"/>
      <c r="L819" s="87"/>
      <c r="M819" s="87"/>
      <c r="N819" s="87"/>
      <c r="O819" s="87"/>
      <c r="P819" s="87"/>
      <c r="Q819" s="87"/>
      <c r="R819" s="87"/>
      <c r="S819" s="87"/>
      <c r="T819" s="87"/>
      <c r="U819" s="87"/>
      <c r="V819" s="87"/>
      <c r="W819" s="87"/>
      <c r="X819" s="87"/>
      <c r="Y819" s="87"/>
      <c r="Z819" s="87"/>
      <c r="AA819" s="87"/>
      <c r="AB819" s="87"/>
      <c r="AC819" s="87"/>
      <c r="AD819" s="87"/>
      <c r="AE819" s="87"/>
      <c r="AF819" s="87"/>
      <c r="AG819" s="87"/>
      <c r="AH819" s="87"/>
      <c r="AI819" s="87"/>
      <c r="AJ819" s="87"/>
    </row>
    <row r="820" spans="1:36" x14ac:dyDescent="0.25">
      <c r="A820" s="273"/>
      <c r="B820" s="86"/>
      <c r="C820" s="86"/>
      <c r="D820" s="86"/>
      <c r="E820" s="86"/>
      <c r="F820" s="86"/>
      <c r="G820" s="86"/>
      <c r="H820" s="86"/>
      <c r="I820" s="86"/>
      <c r="J820" s="86"/>
      <c r="K820" s="86"/>
      <c r="L820" s="86"/>
      <c r="M820" s="86"/>
      <c r="N820" s="86"/>
      <c r="O820" s="86"/>
      <c r="P820" s="86"/>
      <c r="Q820" s="86"/>
      <c r="R820" s="86"/>
      <c r="S820" s="86"/>
      <c r="T820" s="86"/>
      <c r="U820" s="86"/>
      <c r="V820" s="86"/>
      <c r="W820" s="86"/>
      <c r="X820" s="86"/>
      <c r="Y820" s="86"/>
      <c r="Z820" s="86"/>
      <c r="AA820" s="86"/>
      <c r="AB820" s="86"/>
      <c r="AC820" s="86"/>
      <c r="AD820" s="86"/>
      <c r="AE820" s="86"/>
      <c r="AF820" s="86"/>
      <c r="AG820" s="86"/>
      <c r="AH820" s="86"/>
      <c r="AI820" s="86"/>
      <c r="AJ820" s="86"/>
    </row>
    <row r="821" spans="1:36" x14ac:dyDescent="0.25">
      <c r="A821" s="274"/>
      <c r="B821" s="87"/>
      <c r="C821" s="87"/>
      <c r="D821" s="87"/>
      <c r="E821" s="87"/>
      <c r="F821" s="87"/>
      <c r="G821" s="87"/>
      <c r="H821" s="87"/>
      <c r="I821" s="87"/>
      <c r="J821" s="87"/>
      <c r="K821" s="87"/>
      <c r="L821" s="87"/>
      <c r="M821" s="87"/>
      <c r="N821" s="87"/>
      <c r="O821" s="87"/>
      <c r="P821" s="87"/>
      <c r="Q821" s="87"/>
      <c r="R821" s="87"/>
      <c r="S821" s="87"/>
      <c r="T821" s="87"/>
      <c r="U821" s="87"/>
      <c r="V821" s="87"/>
      <c r="W821" s="87"/>
      <c r="X821" s="87"/>
      <c r="Y821" s="87"/>
      <c r="Z821" s="87"/>
      <c r="AA821" s="87"/>
      <c r="AB821" s="87"/>
      <c r="AC821" s="87"/>
      <c r="AD821" s="87"/>
      <c r="AE821" s="87"/>
      <c r="AF821" s="87"/>
      <c r="AG821" s="87"/>
      <c r="AH821" s="87"/>
      <c r="AI821" s="87"/>
      <c r="AJ821" s="87"/>
    </row>
    <row r="822" spans="1:36" x14ac:dyDescent="0.25">
      <c r="A822" s="273"/>
      <c r="B822" s="86"/>
      <c r="C822" s="86"/>
      <c r="D822" s="86"/>
      <c r="E822" s="86"/>
      <c r="F822" s="86"/>
      <c r="G822" s="86"/>
      <c r="H822" s="86"/>
      <c r="I822" s="86"/>
      <c r="J822" s="86"/>
      <c r="K822" s="86"/>
      <c r="L822" s="86"/>
      <c r="M822" s="86"/>
      <c r="N822" s="86"/>
      <c r="O822" s="86"/>
      <c r="P822" s="86"/>
      <c r="Q822" s="86"/>
      <c r="R822" s="86"/>
      <c r="S822" s="86"/>
      <c r="T822" s="86"/>
      <c r="U822" s="86"/>
      <c r="V822" s="86"/>
      <c r="W822" s="86"/>
      <c r="X822" s="86"/>
      <c r="Y822" s="86"/>
      <c r="Z822" s="86"/>
      <c r="AA822" s="86"/>
      <c r="AB822" s="86"/>
      <c r="AC822" s="86"/>
      <c r="AD822" s="86"/>
      <c r="AE822" s="86"/>
      <c r="AF822" s="86"/>
      <c r="AG822" s="86"/>
      <c r="AH822" s="86"/>
      <c r="AI822" s="86"/>
      <c r="AJ822" s="86"/>
    </row>
    <row r="823" spans="1:36" x14ac:dyDescent="0.25">
      <c r="A823" s="274"/>
      <c r="B823" s="87"/>
      <c r="C823" s="87"/>
      <c r="D823" s="87"/>
      <c r="E823" s="87"/>
      <c r="F823" s="87"/>
      <c r="G823" s="87"/>
      <c r="H823" s="87"/>
      <c r="I823" s="87"/>
      <c r="J823" s="87"/>
      <c r="K823" s="87"/>
      <c r="L823" s="87"/>
      <c r="M823" s="87"/>
      <c r="N823" s="87"/>
      <c r="O823" s="87"/>
      <c r="P823" s="87"/>
      <c r="Q823" s="87"/>
      <c r="R823" s="87"/>
      <c r="S823" s="87"/>
      <c r="T823" s="87"/>
      <c r="U823" s="87"/>
      <c r="V823" s="87"/>
      <c r="W823" s="87"/>
      <c r="X823" s="87"/>
      <c r="Y823" s="87"/>
      <c r="Z823" s="87"/>
      <c r="AA823" s="87"/>
      <c r="AB823" s="87"/>
      <c r="AC823" s="87"/>
      <c r="AD823" s="87"/>
      <c r="AE823" s="87"/>
      <c r="AF823" s="87"/>
      <c r="AG823" s="87"/>
      <c r="AH823" s="87"/>
      <c r="AI823" s="87"/>
      <c r="AJ823" s="87"/>
    </row>
    <row r="824" spans="1:36" x14ac:dyDescent="0.25">
      <c r="A824" s="273"/>
      <c r="B824" s="86"/>
      <c r="C824" s="86"/>
      <c r="D824" s="86"/>
      <c r="E824" s="86"/>
      <c r="F824" s="86"/>
      <c r="G824" s="86"/>
      <c r="H824" s="86"/>
      <c r="I824" s="86"/>
      <c r="J824" s="86"/>
      <c r="K824" s="86"/>
      <c r="L824" s="86"/>
      <c r="M824" s="86"/>
      <c r="N824" s="86"/>
      <c r="O824" s="86"/>
      <c r="P824" s="86"/>
      <c r="Q824" s="86"/>
      <c r="R824" s="86"/>
      <c r="S824" s="86"/>
      <c r="T824" s="86"/>
      <c r="U824" s="86"/>
      <c r="V824" s="86"/>
      <c r="W824" s="86"/>
      <c r="X824" s="86"/>
      <c r="Y824" s="86"/>
      <c r="Z824" s="86"/>
      <c r="AA824" s="86"/>
      <c r="AB824" s="86"/>
      <c r="AC824" s="86"/>
      <c r="AD824" s="86"/>
      <c r="AE824" s="86"/>
      <c r="AF824" s="86"/>
      <c r="AG824" s="86"/>
      <c r="AH824" s="86"/>
      <c r="AI824" s="86"/>
      <c r="AJ824" s="86"/>
    </row>
    <row r="825" spans="1:36" x14ac:dyDescent="0.25">
      <c r="A825" s="274"/>
      <c r="B825" s="87"/>
      <c r="C825" s="87"/>
      <c r="D825" s="87"/>
      <c r="E825" s="87"/>
      <c r="F825" s="87"/>
      <c r="G825" s="87"/>
      <c r="H825" s="87"/>
      <c r="I825" s="87"/>
      <c r="J825" s="87"/>
      <c r="K825" s="87"/>
      <c r="L825" s="87"/>
      <c r="M825" s="87"/>
      <c r="N825" s="87"/>
      <c r="O825" s="87"/>
      <c r="P825" s="87"/>
      <c r="Q825" s="87"/>
      <c r="R825" s="87"/>
      <c r="S825" s="87"/>
      <c r="T825" s="87"/>
      <c r="U825" s="87"/>
      <c r="V825" s="87"/>
      <c r="W825" s="87"/>
      <c r="X825" s="87"/>
      <c r="Y825" s="87"/>
      <c r="Z825" s="87"/>
      <c r="AA825" s="87"/>
      <c r="AB825" s="87"/>
      <c r="AC825" s="87"/>
      <c r="AD825" s="87"/>
      <c r="AE825" s="87"/>
      <c r="AF825" s="87"/>
      <c r="AG825" s="87"/>
      <c r="AH825" s="87"/>
      <c r="AI825" s="87"/>
      <c r="AJ825" s="87"/>
    </row>
    <row r="826" spans="1:36" x14ac:dyDescent="0.25">
      <c r="A826" s="273"/>
      <c r="B826" s="86"/>
      <c r="C826" s="86"/>
      <c r="D826" s="86"/>
      <c r="E826" s="86"/>
      <c r="F826" s="86"/>
      <c r="G826" s="86"/>
      <c r="H826" s="86"/>
      <c r="I826" s="86"/>
      <c r="J826" s="86"/>
      <c r="K826" s="86"/>
      <c r="L826" s="86"/>
      <c r="M826" s="86"/>
      <c r="N826" s="86"/>
      <c r="O826" s="86"/>
      <c r="P826" s="86"/>
      <c r="Q826" s="86"/>
      <c r="R826" s="86"/>
      <c r="S826" s="86"/>
      <c r="T826" s="86"/>
      <c r="U826" s="86"/>
      <c r="V826" s="86"/>
      <c r="W826" s="86"/>
      <c r="X826" s="86"/>
      <c r="Y826" s="86"/>
      <c r="Z826" s="86"/>
      <c r="AA826" s="86"/>
      <c r="AB826" s="86"/>
      <c r="AC826" s="86"/>
      <c r="AD826" s="86"/>
      <c r="AE826" s="86"/>
      <c r="AF826" s="86"/>
      <c r="AG826" s="86"/>
      <c r="AH826" s="86"/>
      <c r="AI826" s="86"/>
      <c r="AJ826" s="86"/>
    </row>
    <row r="827" spans="1:36" x14ac:dyDescent="0.25">
      <c r="A827" s="274"/>
      <c r="B827" s="87"/>
      <c r="C827" s="87"/>
      <c r="D827" s="87"/>
      <c r="E827" s="87"/>
      <c r="F827" s="87"/>
      <c r="G827" s="87"/>
      <c r="H827" s="87"/>
      <c r="I827" s="87"/>
      <c r="J827" s="87"/>
      <c r="K827" s="87"/>
      <c r="L827" s="87"/>
      <c r="M827" s="87"/>
      <c r="N827" s="87"/>
      <c r="O827" s="87"/>
      <c r="P827" s="87"/>
      <c r="Q827" s="87"/>
      <c r="R827" s="87"/>
      <c r="S827" s="87"/>
      <c r="T827" s="87"/>
      <c r="U827" s="87"/>
      <c r="V827" s="87"/>
      <c r="W827" s="87"/>
      <c r="X827" s="87"/>
      <c r="Y827" s="87"/>
      <c r="Z827" s="87"/>
      <c r="AA827" s="87"/>
      <c r="AB827" s="87"/>
      <c r="AC827" s="87"/>
      <c r="AD827" s="87"/>
      <c r="AE827" s="87"/>
      <c r="AF827" s="87"/>
      <c r="AG827" s="87"/>
      <c r="AH827" s="87"/>
      <c r="AI827" s="87"/>
      <c r="AJ827" s="87"/>
    </row>
    <row r="828" spans="1:36" x14ac:dyDescent="0.25">
      <c r="A828" s="273"/>
      <c r="B828" s="86"/>
      <c r="C828" s="86"/>
      <c r="D828" s="86"/>
      <c r="E828" s="86"/>
      <c r="F828" s="86"/>
      <c r="G828" s="86"/>
      <c r="H828" s="86"/>
      <c r="I828" s="86"/>
      <c r="J828" s="86"/>
      <c r="K828" s="86"/>
      <c r="L828" s="86"/>
      <c r="M828" s="86"/>
      <c r="N828" s="86"/>
      <c r="O828" s="86"/>
      <c r="P828" s="86"/>
      <c r="Q828" s="86"/>
      <c r="R828" s="86"/>
      <c r="S828" s="86"/>
      <c r="T828" s="86"/>
      <c r="U828" s="86"/>
      <c r="V828" s="86"/>
      <c r="W828" s="86"/>
      <c r="X828" s="86"/>
      <c r="Y828" s="86"/>
      <c r="Z828" s="86"/>
      <c r="AA828" s="86"/>
      <c r="AB828" s="86"/>
      <c r="AC828" s="86"/>
      <c r="AD828" s="86"/>
      <c r="AE828" s="86"/>
      <c r="AF828" s="86"/>
      <c r="AG828" s="86"/>
      <c r="AH828" s="86"/>
      <c r="AI828" s="86"/>
      <c r="AJ828" s="86"/>
    </row>
    <row r="829" spans="1:36" x14ac:dyDescent="0.25">
      <c r="A829" s="274"/>
      <c r="B829" s="87"/>
      <c r="C829" s="87"/>
      <c r="D829" s="87"/>
      <c r="E829" s="87"/>
      <c r="F829" s="87"/>
      <c r="G829" s="87"/>
      <c r="H829" s="87"/>
      <c r="I829" s="87"/>
      <c r="J829" s="87"/>
      <c r="K829" s="87"/>
      <c r="L829" s="87"/>
      <c r="M829" s="87"/>
      <c r="N829" s="87"/>
      <c r="O829" s="87"/>
      <c r="P829" s="87"/>
      <c r="Q829" s="87"/>
      <c r="R829" s="87"/>
      <c r="S829" s="87"/>
      <c r="T829" s="87"/>
      <c r="U829" s="87"/>
      <c r="V829" s="87"/>
      <c r="W829" s="87"/>
      <c r="X829" s="87"/>
      <c r="Y829" s="87"/>
      <c r="Z829" s="87"/>
      <c r="AA829" s="87"/>
      <c r="AB829" s="87"/>
      <c r="AC829" s="87"/>
      <c r="AD829" s="87"/>
      <c r="AE829" s="87"/>
      <c r="AF829" s="87"/>
      <c r="AG829" s="87"/>
      <c r="AH829" s="87"/>
      <c r="AI829" s="87"/>
      <c r="AJ829" s="87"/>
    </row>
    <row r="830" spans="1:36" x14ac:dyDescent="0.25">
      <c r="A830" s="273"/>
      <c r="B830" s="86"/>
      <c r="C830" s="86"/>
      <c r="D830" s="86"/>
      <c r="E830" s="86"/>
      <c r="F830" s="86"/>
      <c r="G830" s="86"/>
      <c r="H830" s="86"/>
      <c r="I830" s="86"/>
      <c r="J830" s="86"/>
      <c r="K830" s="86"/>
      <c r="L830" s="86"/>
      <c r="M830" s="86"/>
      <c r="N830" s="86"/>
      <c r="O830" s="86"/>
      <c r="P830" s="86"/>
      <c r="Q830" s="86"/>
      <c r="R830" s="86"/>
      <c r="S830" s="86"/>
      <c r="T830" s="86"/>
      <c r="U830" s="86"/>
      <c r="V830" s="86"/>
      <c r="W830" s="86"/>
      <c r="X830" s="86"/>
      <c r="Y830" s="86"/>
      <c r="Z830" s="86"/>
      <c r="AA830" s="86"/>
      <c r="AB830" s="86"/>
      <c r="AC830" s="86"/>
      <c r="AD830" s="86"/>
      <c r="AE830" s="86"/>
      <c r="AF830" s="86"/>
      <c r="AG830" s="86"/>
      <c r="AH830" s="86"/>
      <c r="AI830" s="86"/>
      <c r="AJ830" s="86"/>
    </row>
    <row r="831" spans="1:36" x14ac:dyDescent="0.25">
      <c r="A831" s="274"/>
      <c r="B831" s="87"/>
      <c r="C831" s="87"/>
      <c r="D831" s="87"/>
      <c r="E831" s="87"/>
      <c r="F831" s="87"/>
      <c r="G831" s="87"/>
      <c r="H831" s="87"/>
      <c r="I831" s="87"/>
      <c r="J831" s="87"/>
      <c r="K831" s="87"/>
      <c r="L831" s="87"/>
      <c r="M831" s="87"/>
      <c r="N831" s="87"/>
      <c r="O831" s="87"/>
      <c r="P831" s="87"/>
      <c r="Q831" s="87"/>
      <c r="R831" s="87"/>
      <c r="S831" s="87"/>
      <c r="T831" s="87"/>
      <c r="U831" s="87"/>
      <c r="V831" s="87"/>
      <c r="W831" s="87"/>
      <c r="X831" s="87"/>
      <c r="Y831" s="87"/>
      <c r="Z831" s="87"/>
      <c r="AA831" s="87"/>
      <c r="AB831" s="87"/>
      <c r="AC831" s="87"/>
      <c r="AD831" s="87"/>
      <c r="AE831" s="87"/>
      <c r="AF831" s="87"/>
      <c r="AG831" s="87"/>
      <c r="AH831" s="87"/>
      <c r="AI831" s="87"/>
      <c r="AJ831" s="87"/>
    </row>
    <row r="832" spans="1:36" x14ac:dyDescent="0.25">
      <c r="A832" s="273"/>
      <c r="B832" s="86"/>
      <c r="C832" s="86"/>
      <c r="D832" s="86"/>
      <c r="E832" s="86"/>
      <c r="F832" s="86"/>
      <c r="G832" s="86"/>
      <c r="H832" s="86"/>
      <c r="I832" s="86"/>
      <c r="J832" s="86"/>
      <c r="K832" s="86"/>
      <c r="L832" s="86"/>
      <c r="M832" s="86"/>
      <c r="N832" s="86"/>
      <c r="O832" s="86"/>
      <c r="P832" s="86"/>
      <c r="Q832" s="86"/>
      <c r="R832" s="86"/>
      <c r="S832" s="86"/>
      <c r="T832" s="86"/>
      <c r="U832" s="86"/>
      <c r="V832" s="86"/>
      <c r="W832" s="86"/>
      <c r="X832" s="86"/>
      <c r="Y832" s="86"/>
      <c r="Z832" s="86"/>
      <c r="AA832" s="86"/>
      <c r="AB832" s="86"/>
      <c r="AC832" s="86"/>
      <c r="AD832" s="86"/>
      <c r="AE832" s="86"/>
      <c r="AF832" s="86"/>
      <c r="AG832" s="86"/>
      <c r="AH832" s="86"/>
      <c r="AI832" s="86"/>
      <c r="AJ832" s="86"/>
    </row>
    <row r="833" spans="1:36" x14ac:dyDescent="0.25">
      <c r="A833" s="274"/>
      <c r="B833" s="87"/>
      <c r="C833" s="87"/>
      <c r="D833" s="87"/>
      <c r="E833" s="87"/>
      <c r="F833" s="87"/>
      <c r="G833" s="87"/>
      <c r="H833" s="87"/>
      <c r="I833" s="87"/>
      <c r="J833" s="87"/>
      <c r="K833" s="87"/>
      <c r="L833" s="87"/>
      <c r="M833" s="87"/>
      <c r="N833" s="87"/>
      <c r="O833" s="87"/>
      <c r="P833" s="87"/>
      <c r="Q833" s="87"/>
      <c r="R833" s="87"/>
      <c r="S833" s="87"/>
      <c r="T833" s="87"/>
      <c r="U833" s="87"/>
      <c r="V833" s="87"/>
      <c r="W833" s="87"/>
      <c r="X833" s="87"/>
      <c r="Y833" s="87"/>
      <c r="Z833" s="87"/>
      <c r="AA833" s="87"/>
      <c r="AB833" s="87"/>
      <c r="AC833" s="87"/>
      <c r="AD833" s="87"/>
      <c r="AE833" s="87"/>
      <c r="AF833" s="87"/>
      <c r="AG833" s="87"/>
      <c r="AH833" s="87"/>
      <c r="AI833" s="87"/>
      <c r="AJ833" s="87"/>
    </row>
    <row r="834" spans="1:36" x14ac:dyDescent="0.25">
      <c r="A834" s="273"/>
      <c r="B834" s="86"/>
      <c r="C834" s="86"/>
      <c r="D834" s="86"/>
      <c r="E834" s="86"/>
      <c r="F834" s="86"/>
      <c r="G834" s="86"/>
      <c r="H834" s="86"/>
      <c r="I834" s="86"/>
      <c r="J834" s="86"/>
      <c r="K834" s="86"/>
      <c r="L834" s="86"/>
      <c r="M834" s="86"/>
      <c r="N834" s="86"/>
      <c r="O834" s="86"/>
      <c r="P834" s="86"/>
      <c r="Q834" s="86"/>
      <c r="R834" s="86"/>
      <c r="S834" s="86"/>
      <c r="T834" s="86"/>
      <c r="U834" s="86"/>
      <c r="V834" s="86"/>
      <c r="W834" s="86"/>
      <c r="X834" s="86"/>
      <c r="Y834" s="86"/>
      <c r="Z834" s="86"/>
      <c r="AA834" s="86"/>
      <c r="AB834" s="86"/>
      <c r="AC834" s="86"/>
      <c r="AD834" s="86"/>
      <c r="AE834" s="86"/>
      <c r="AF834" s="86"/>
      <c r="AG834" s="86"/>
      <c r="AH834" s="86"/>
      <c r="AI834" s="86"/>
      <c r="AJ834" s="86"/>
    </row>
    <row r="835" spans="1:36" x14ac:dyDescent="0.25">
      <c r="A835" s="274"/>
      <c r="B835" s="87"/>
      <c r="C835" s="87"/>
      <c r="D835" s="87"/>
      <c r="E835" s="87"/>
      <c r="F835" s="87"/>
      <c r="G835" s="87"/>
      <c r="H835" s="87"/>
      <c r="I835" s="87"/>
      <c r="J835" s="87"/>
      <c r="K835" s="87"/>
      <c r="L835" s="87"/>
      <c r="M835" s="87"/>
      <c r="N835" s="87"/>
      <c r="O835" s="87"/>
      <c r="P835" s="87"/>
      <c r="Q835" s="87"/>
      <c r="R835" s="87"/>
      <c r="S835" s="87"/>
      <c r="T835" s="87"/>
      <c r="U835" s="87"/>
      <c r="V835" s="87"/>
      <c r="W835" s="87"/>
      <c r="X835" s="87"/>
      <c r="Y835" s="87"/>
      <c r="Z835" s="87"/>
      <c r="AA835" s="87"/>
      <c r="AB835" s="87"/>
      <c r="AC835" s="87"/>
      <c r="AD835" s="87"/>
      <c r="AE835" s="87"/>
      <c r="AF835" s="87"/>
      <c r="AG835" s="87"/>
      <c r="AH835" s="87"/>
      <c r="AI835" s="87"/>
      <c r="AJ835" s="87"/>
    </row>
    <row r="836" spans="1:36" x14ac:dyDescent="0.25">
      <c r="A836" s="273"/>
      <c r="B836" s="86"/>
      <c r="C836" s="86"/>
      <c r="D836" s="86"/>
      <c r="E836" s="86"/>
      <c r="F836" s="86"/>
      <c r="G836" s="86"/>
      <c r="H836" s="86"/>
      <c r="I836" s="86"/>
      <c r="J836" s="86"/>
      <c r="K836" s="86"/>
      <c r="L836" s="86"/>
      <c r="M836" s="86"/>
      <c r="N836" s="86"/>
      <c r="O836" s="86"/>
      <c r="P836" s="86"/>
      <c r="Q836" s="86"/>
      <c r="R836" s="86"/>
      <c r="S836" s="86"/>
      <c r="T836" s="86"/>
      <c r="U836" s="86"/>
      <c r="V836" s="86"/>
      <c r="W836" s="86"/>
      <c r="X836" s="86"/>
      <c r="Y836" s="86"/>
      <c r="Z836" s="86"/>
      <c r="AA836" s="86"/>
      <c r="AB836" s="86"/>
      <c r="AC836" s="86"/>
      <c r="AD836" s="86"/>
      <c r="AE836" s="86"/>
      <c r="AF836" s="86"/>
      <c r="AG836" s="86"/>
      <c r="AH836" s="86"/>
      <c r="AI836" s="86"/>
      <c r="AJ836" s="86"/>
    </row>
    <row r="837" spans="1:36" x14ac:dyDescent="0.25">
      <c r="A837" s="274"/>
      <c r="B837" s="87"/>
      <c r="C837" s="87"/>
      <c r="D837" s="87"/>
      <c r="E837" s="87"/>
      <c r="F837" s="87"/>
      <c r="G837" s="87"/>
      <c r="H837" s="87"/>
      <c r="I837" s="87"/>
      <c r="J837" s="87"/>
      <c r="K837" s="87"/>
      <c r="L837" s="87"/>
      <c r="M837" s="87"/>
      <c r="N837" s="87"/>
      <c r="O837" s="87"/>
      <c r="P837" s="87"/>
      <c r="Q837" s="87"/>
      <c r="R837" s="87"/>
      <c r="S837" s="87"/>
      <c r="T837" s="87"/>
      <c r="U837" s="87"/>
      <c r="V837" s="87"/>
      <c r="W837" s="87"/>
      <c r="X837" s="87"/>
      <c r="Y837" s="87"/>
      <c r="Z837" s="87"/>
      <c r="AA837" s="87"/>
      <c r="AB837" s="87"/>
      <c r="AC837" s="87"/>
      <c r="AD837" s="87"/>
      <c r="AE837" s="87"/>
      <c r="AF837" s="87"/>
      <c r="AG837" s="87"/>
      <c r="AH837" s="87"/>
      <c r="AI837" s="87"/>
      <c r="AJ837" s="87"/>
    </row>
    <row r="838" spans="1:36" x14ac:dyDescent="0.25">
      <c r="A838" s="273"/>
      <c r="B838" s="86"/>
      <c r="C838" s="86"/>
      <c r="D838" s="86"/>
      <c r="E838" s="86"/>
      <c r="F838" s="86"/>
      <c r="G838" s="86"/>
      <c r="H838" s="86"/>
      <c r="I838" s="86"/>
      <c r="J838" s="86"/>
      <c r="K838" s="86"/>
      <c r="L838" s="86"/>
      <c r="M838" s="86"/>
      <c r="N838" s="86"/>
      <c r="O838" s="86"/>
      <c r="P838" s="86"/>
      <c r="Q838" s="86"/>
      <c r="R838" s="86"/>
      <c r="S838" s="86"/>
      <c r="T838" s="86"/>
      <c r="U838" s="86"/>
      <c r="V838" s="86"/>
      <c r="W838" s="86"/>
      <c r="X838" s="86"/>
      <c r="Y838" s="86"/>
      <c r="Z838" s="86"/>
      <c r="AA838" s="86"/>
      <c r="AB838" s="86"/>
      <c r="AC838" s="86"/>
      <c r="AD838" s="86"/>
      <c r="AE838" s="86"/>
      <c r="AF838" s="86"/>
      <c r="AG838" s="86"/>
      <c r="AH838" s="86"/>
      <c r="AI838" s="86"/>
      <c r="AJ838" s="86"/>
    </row>
    <row r="839" spans="1:36" x14ac:dyDescent="0.25">
      <c r="A839" s="274"/>
      <c r="B839" s="87"/>
      <c r="C839" s="87"/>
      <c r="D839" s="87"/>
      <c r="E839" s="87"/>
      <c r="F839" s="87"/>
      <c r="G839" s="87"/>
      <c r="H839" s="87"/>
      <c r="I839" s="87"/>
      <c r="J839" s="87"/>
      <c r="K839" s="87"/>
      <c r="L839" s="87"/>
      <c r="M839" s="87"/>
      <c r="N839" s="87"/>
      <c r="O839" s="87"/>
      <c r="P839" s="87"/>
      <c r="Q839" s="87"/>
      <c r="R839" s="87"/>
      <c r="S839" s="87"/>
      <c r="T839" s="87"/>
      <c r="U839" s="87"/>
      <c r="V839" s="87"/>
      <c r="W839" s="87"/>
      <c r="X839" s="87"/>
      <c r="Y839" s="87"/>
      <c r="Z839" s="87"/>
      <c r="AA839" s="87"/>
      <c r="AB839" s="87"/>
      <c r="AC839" s="87"/>
      <c r="AD839" s="87"/>
      <c r="AE839" s="87"/>
      <c r="AF839" s="87"/>
      <c r="AG839" s="87"/>
      <c r="AH839" s="87"/>
      <c r="AI839" s="87"/>
      <c r="AJ839" s="87"/>
    </row>
    <row r="840" spans="1:36" x14ac:dyDescent="0.25">
      <c r="A840" s="273"/>
      <c r="B840" s="86"/>
      <c r="C840" s="86"/>
      <c r="D840" s="86"/>
      <c r="E840" s="86"/>
      <c r="F840" s="86"/>
      <c r="G840" s="86"/>
      <c r="H840" s="86"/>
      <c r="I840" s="86"/>
      <c r="J840" s="86"/>
      <c r="K840" s="86"/>
      <c r="L840" s="86"/>
      <c r="M840" s="86"/>
      <c r="N840" s="86"/>
      <c r="O840" s="86"/>
      <c r="P840" s="86"/>
      <c r="Q840" s="86"/>
      <c r="R840" s="86"/>
      <c r="S840" s="86"/>
      <c r="T840" s="86"/>
      <c r="U840" s="86"/>
      <c r="V840" s="86"/>
      <c r="W840" s="86"/>
      <c r="X840" s="86"/>
      <c r="Y840" s="86"/>
      <c r="Z840" s="86"/>
      <c r="AA840" s="86"/>
      <c r="AB840" s="86"/>
      <c r="AC840" s="86"/>
      <c r="AD840" s="86"/>
      <c r="AE840" s="86"/>
      <c r="AF840" s="86"/>
      <c r="AG840" s="86"/>
      <c r="AH840" s="86"/>
      <c r="AI840" s="86"/>
      <c r="AJ840" s="86"/>
    </row>
    <row r="841" spans="1:36" x14ac:dyDescent="0.25">
      <c r="A841" s="274"/>
      <c r="B841" s="87"/>
      <c r="C841" s="87"/>
      <c r="D841" s="87"/>
      <c r="E841" s="87"/>
      <c r="F841" s="87"/>
      <c r="G841" s="87"/>
      <c r="H841" s="87"/>
      <c r="I841" s="87"/>
      <c r="J841" s="87"/>
      <c r="K841" s="87"/>
      <c r="L841" s="87"/>
      <c r="M841" s="87"/>
      <c r="N841" s="87"/>
      <c r="O841" s="87"/>
      <c r="P841" s="87"/>
      <c r="Q841" s="87"/>
      <c r="R841" s="87"/>
      <c r="S841" s="87"/>
      <c r="T841" s="87"/>
      <c r="U841" s="87"/>
      <c r="V841" s="87"/>
      <c r="W841" s="87"/>
      <c r="X841" s="87"/>
      <c r="Y841" s="87"/>
      <c r="Z841" s="87"/>
      <c r="AA841" s="87"/>
      <c r="AB841" s="87"/>
      <c r="AC841" s="87"/>
      <c r="AD841" s="87"/>
      <c r="AE841" s="87"/>
      <c r="AF841" s="87"/>
      <c r="AG841" s="87"/>
      <c r="AH841" s="87"/>
      <c r="AI841" s="87"/>
      <c r="AJ841" s="87"/>
    </row>
    <row r="842" spans="1:36" x14ac:dyDescent="0.25">
      <c r="A842" s="273"/>
      <c r="B842" s="86"/>
      <c r="C842" s="86"/>
      <c r="D842" s="86"/>
      <c r="E842" s="86"/>
      <c r="F842" s="86"/>
      <c r="G842" s="86"/>
      <c r="H842" s="86"/>
      <c r="I842" s="86"/>
      <c r="J842" s="86"/>
      <c r="K842" s="86"/>
      <c r="L842" s="86"/>
      <c r="M842" s="86"/>
      <c r="N842" s="86"/>
      <c r="O842" s="86"/>
      <c r="P842" s="86"/>
      <c r="Q842" s="86"/>
      <c r="R842" s="86"/>
      <c r="S842" s="86"/>
      <c r="T842" s="86"/>
      <c r="U842" s="86"/>
      <c r="V842" s="86"/>
      <c r="W842" s="86"/>
      <c r="X842" s="86"/>
      <c r="Y842" s="86"/>
      <c r="Z842" s="86"/>
      <c r="AA842" s="86"/>
      <c r="AB842" s="86"/>
      <c r="AC842" s="86"/>
      <c r="AD842" s="86"/>
      <c r="AE842" s="86"/>
      <c r="AF842" s="86"/>
      <c r="AG842" s="86"/>
      <c r="AH842" s="86"/>
      <c r="AI842" s="86"/>
      <c r="AJ842" s="86"/>
    </row>
    <row r="843" spans="1:36" x14ac:dyDescent="0.25">
      <c r="A843" s="274"/>
      <c r="B843" s="87"/>
      <c r="C843" s="87"/>
      <c r="D843" s="87"/>
      <c r="E843" s="87"/>
      <c r="F843" s="87"/>
      <c r="G843" s="87"/>
      <c r="H843" s="87"/>
      <c r="I843" s="87"/>
      <c r="J843" s="87"/>
      <c r="K843" s="87"/>
      <c r="L843" s="87"/>
      <c r="M843" s="87"/>
      <c r="N843" s="87"/>
      <c r="O843" s="87"/>
      <c r="P843" s="87"/>
      <c r="Q843" s="87"/>
      <c r="R843" s="87"/>
      <c r="S843" s="87"/>
      <c r="T843" s="87"/>
      <c r="U843" s="87"/>
      <c r="V843" s="87"/>
      <c r="W843" s="87"/>
      <c r="X843" s="87"/>
      <c r="Y843" s="87"/>
      <c r="Z843" s="87"/>
      <c r="AA843" s="87"/>
      <c r="AB843" s="87"/>
      <c r="AC843" s="87"/>
      <c r="AD843" s="87"/>
      <c r="AE843" s="87"/>
      <c r="AF843" s="87"/>
      <c r="AG843" s="87"/>
      <c r="AH843" s="87"/>
      <c r="AI843" s="87"/>
      <c r="AJ843" s="87"/>
    </row>
    <row r="844" spans="1:36" x14ac:dyDescent="0.25">
      <c r="A844" s="273"/>
      <c r="B844" s="86"/>
      <c r="C844" s="86"/>
      <c r="D844" s="86"/>
      <c r="E844" s="86"/>
      <c r="F844" s="86"/>
      <c r="G844" s="86"/>
      <c r="H844" s="86"/>
      <c r="I844" s="86"/>
      <c r="J844" s="86"/>
      <c r="K844" s="86"/>
      <c r="L844" s="86"/>
      <c r="M844" s="86"/>
      <c r="N844" s="86"/>
      <c r="O844" s="86"/>
      <c r="P844" s="86"/>
      <c r="Q844" s="86"/>
      <c r="R844" s="86"/>
      <c r="S844" s="86"/>
      <c r="T844" s="86"/>
      <c r="U844" s="86"/>
      <c r="V844" s="86"/>
      <c r="W844" s="86"/>
      <c r="X844" s="86"/>
      <c r="Y844" s="86"/>
      <c r="Z844" s="86"/>
      <c r="AA844" s="86"/>
      <c r="AB844" s="86"/>
      <c r="AC844" s="86"/>
      <c r="AD844" s="86"/>
      <c r="AE844" s="86"/>
      <c r="AF844" s="86"/>
      <c r="AG844" s="86"/>
      <c r="AH844" s="86"/>
      <c r="AI844" s="86"/>
      <c r="AJ844" s="86"/>
    </row>
    <row r="845" spans="1:36" x14ac:dyDescent="0.25">
      <c r="A845" s="274"/>
      <c r="B845" s="87"/>
      <c r="C845" s="87"/>
      <c r="D845" s="87"/>
      <c r="E845" s="87"/>
      <c r="F845" s="87"/>
      <c r="G845" s="87"/>
      <c r="H845" s="87"/>
      <c r="I845" s="87"/>
      <c r="J845" s="87"/>
      <c r="K845" s="87"/>
      <c r="L845" s="87"/>
      <c r="M845" s="87"/>
      <c r="N845" s="87"/>
      <c r="O845" s="87"/>
      <c r="P845" s="87"/>
      <c r="Q845" s="87"/>
      <c r="R845" s="87"/>
      <c r="S845" s="87"/>
      <c r="T845" s="87"/>
      <c r="U845" s="87"/>
      <c r="V845" s="87"/>
      <c r="W845" s="87"/>
      <c r="X845" s="87"/>
      <c r="Y845" s="87"/>
      <c r="Z845" s="87"/>
      <c r="AA845" s="87"/>
      <c r="AB845" s="87"/>
      <c r="AC845" s="87"/>
      <c r="AD845" s="87"/>
      <c r="AE845" s="87"/>
      <c r="AF845" s="87"/>
      <c r="AG845" s="87"/>
      <c r="AH845" s="87"/>
      <c r="AI845" s="87"/>
      <c r="AJ845" s="87"/>
    </row>
    <row r="846" spans="1:36" x14ac:dyDescent="0.25">
      <c r="A846" s="273"/>
      <c r="B846" s="86"/>
      <c r="C846" s="86"/>
      <c r="D846" s="86"/>
      <c r="E846" s="86"/>
      <c r="F846" s="86"/>
      <c r="G846" s="86"/>
      <c r="H846" s="86"/>
      <c r="I846" s="86"/>
      <c r="J846" s="86"/>
      <c r="K846" s="86"/>
      <c r="L846" s="86"/>
      <c r="M846" s="86"/>
      <c r="N846" s="86"/>
      <c r="O846" s="86"/>
      <c r="P846" s="86"/>
      <c r="Q846" s="86"/>
      <c r="R846" s="86"/>
      <c r="S846" s="86"/>
      <c r="T846" s="86"/>
      <c r="U846" s="86"/>
      <c r="V846" s="86"/>
      <c r="W846" s="86"/>
      <c r="X846" s="86"/>
      <c r="Y846" s="86"/>
      <c r="Z846" s="86"/>
      <c r="AA846" s="86"/>
      <c r="AB846" s="86"/>
      <c r="AC846" s="86"/>
      <c r="AD846" s="86"/>
      <c r="AE846" s="86"/>
      <c r="AF846" s="86"/>
      <c r="AG846" s="86"/>
      <c r="AH846" s="86"/>
      <c r="AI846" s="86"/>
      <c r="AJ846" s="86"/>
    </row>
    <row r="847" spans="1:36" x14ac:dyDescent="0.25">
      <c r="A847" s="274"/>
      <c r="B847" s="87"/>
      <c r="C847" s="87"/>
      <c r="D847" s="87"/>
      <c r="E847" s="87"/>
      <c r="F847" s="87"/>
      <c r="G847" s="87"/>
      <c r="H847" s="87"/>
      <c r="I847" s="87"/>
      <c r="J847" s="87"/>
      <c r="K847" s="87"/>
      <c r="L847" s="87"/>
      <c r="M847" s="87"/>
      <c r="N847" s="87"/>
      <c r="O847" s="87"/>
      <c r="P847" s="87"/>
      <c r="Q847" s="87"/>
      <c r="R847" s="87"/>
      <c r="S847" s="87"/>
      <c r="T847" s="87"/>
      <c r="U847" s="87"/>
      <c r="V847" s="87"/>
      <c r="W847" s="87"/>
      <c r="X847" s="87"/>
      <c r="Y847" s="87"/>
      <c r="Z847" s="87"/>
      <c r="AA847" s="87"/>
      <c r="AB847" s="87"/>
      <c r="AC847" s="87"/>
      <c r="AD847" s="87"/>
      <c r="AE847" s="87"/>
      <c r="AF847" s="87"/>
      <c r="AG847" s="87"/>
      <c r="AH847" s="87"/>
      <c r="AI847" s="87"/>
      <c r="AJ847" s="87"/>
    </row>
    <row r="848" spans="1:36" x14ac:dyDescent="0.25">
      <c r="A848" s="273"/>
      <c r="B848" s="86"/>
      <c r="C848" s="86"/>
      <c r="D848" s="86"/>
      <c r="E848" s="86"/>
      <c r="F848" s="86"/>
      <c r="G848" s="86"/>
      <c r="H848" s="86"/>
      <c r="I848" s="86"/>
      <c r="J848" s="86"/>
      <c r="K848" s="86"/>
      <c r="L848" s="86"/>
      <c r="M848" s="86"/>
      <c r="N848" s="86"/>
      <c r="O848" s="86"/>
      <c r="P848" s="86"/>
      <c r="Q848" s="86"/>
      <c r="R848" s="86"/>
      <c r="S848" s="86"/>
      <c r="T848" s="86"/>
      <c r="U848" s="86"/>
      <c r="V848" s="86"/>
      <c r="W848" s="86"/>
      <c r="X848" s="86"/>
      <c r="Y848" s="86"/>
      <c r="Z848" s="86"/>
      <c r="AA848" s="86"/>
      <c r="AB848" s="86"/>
      <c r="AC848" s="86"/>
      <c r="AD848" s="86"/>
      <c r="AE848" s="86"/>
      <c r="AF848" s="86"/>
      <c r="AG848" s="86"/>
      <c r="AH848" s="86"/>
      <c r="AI848" s="86"/>
      <c r="AJ848" s="86"/>
    </row>
    <row r="849" spans="1:36" x14ac:dyDescent="0.25">
      <c r="A849" s="274"/>
      <c r="B849" s="87"/>
      <c r="C849" s="87"/>
      <c r="D849" s="87"/>
      <c r="E849" s="87"/>
      <c r="F849" s="87"/>
      <c r="G849" s="87"/>
      <c r="H849" s="87"/>
      <c r="I849" s="87"/>
      <c r="J849" s="87"/>
      <c r="K849" s="87"/>
      <c r="L849" s="87"/>
      <c r="M849" s="87"/>
      <c r="N849" s="87"/>
      <c r="O849" s="87"/>
      <c r="P849" s="87"/>
      <c r="Q849" s="87"/>
      <c r="R849" s="87"/>
      <c r="S849" s="87"/>
      <c r="T849" s="87"/>
      <c r="U849" s="87"/>
      <c r="V849" s="87"/>
      <c r="W849" s="87"/>
      <c r="X849" s="87"/>
      <c r="Y849" s="87"/>
      <c r="Z849" s="87"/>
      <c r="AA849" s="87"/>
      <c r="AB849" s="87"/>
      <c r="AC849" s="87"/>
      <c r="AD849" s="87"/>
      <c r="AE849" s="87"/>
      <c r="AF849" s="87"/>
      <c r="AG849" s="87"/>
      <c r="AH849" s="87"/>
      <c r="AI849" s="87"/>
      <c r="AJ849" s="87"/>
    </row>
    <row r="850" spans="1:36" x14ac:dyDescent="0.25">
      <c r="A850" s="273"/>
      <c r="B850" s="86"/>
      <c r="C850" s="86"/>
      <c r="D850" s="86"/>
      <c r="E850" s="86"/>
      <c r="F850" s="86"/>
      <c r="G850" s="86"/>
      <c r="H850" s="86"/>
      <c r="I850" s="86"/>
      <c r="J850" s="86"/>
      <c r="K850" s="86"/>
      <c r="L850" s="86"/>
      <c r="M850" s="86"/>
      <c r="N850" s="86"/>
      <c r="O850" s="86"/>
      <c r="P850" s="86"/>
      <c r="Q850" s="86"/>
      <c r="R850" s="86"/>
      <c r="S850" s="86"/>
      <c r="T850" s="86"/>
      <c r="U850" s="86"/>
      <c r="V850" s="86"/>
      <c r="W850" s="86"/>
      <c r="X850" s="86"/>
      <c r="Y850" s="86"/>
      <c r="Z850" s="86"/>
      <c r="AA850" s="86"/>
      <c r="AB850" s="86"/>
      <c r="AC850" s="86"/>
      <c r="AD850" s="86"/>
      <c r="AE850" s="86"/>
      <c r="AF850" s="86"/>
      <c r="AG850" s="86"/>
      <c r="AH850" s="86"/>
      <c r="AI850" s="86"/>
      <c r="AJ850" s="86"/>
    </row>
    <row r="851" spans="1:36" x14ac:dyDescent="0.25">
      <c r="A851" s="274"/>
      <c r="B851" s="87"/>
      <c r="C851" s="87"/>
      <c r="D851" s="87"/>
      <c r="E851" s="87"/>
      <c r="F851" s="87"/>
      <c r="G851" s="87"/>
      <c r="H851" s="87"/>
      <c r="I851" s="87"/>
      <c r="J851" s="87"/>
      <c r="K851" s="87"/>
      <c r="L851" s="87"/>
      <c r="M851" s="87"/>
      <c r="N851" s="87"/>
      <c r="O851" s="87"/>
      <c r="P851" s="87"/>
      <c r="Q851" s="87"/>
      <c r="R851" s="87"/>
      <c r="S851" s="87"/>
      <c r="T851" s="87"/>
      <c r="U851" s="87"/>
      <c r="V851" s="87"/>
      <c r="W851" s="87"/>
      <c r="X851" s="87"/>
      <c r="Y851" s="87"/>
      <c r="Z851" s="87"/>
      <c r="AA851" s="87"/>
      <c r="AB851" s="87"/>
      <c r="AC851" s="87"/>
      <c r="AD851" s="87"/>
      <c r="AE851" s="87"/>
      <c r="AF851" s="87"/>
      <c r="AG851" s="87"/>
      <c r="AH851" s="87"/>
      <c r="AI851" s="87"/>
      <c r="AJ851" s="87"/>
    </row>
    <row r="852" spans="1:36" x14ac:dyDescent="0.25">
      <c r="A852" s="273"/>
      <c r="B852" s="86"/>
      <c r="C852" s="86"/>
      <c r="D852" s="86"/>
      <c r="E852" s="86"/>
      <c r="F852" s="86"/>
      <c r="G852" s="86"/>
      <c r="H852" s="86"/>
      <c r="I852" s="86"/>
      <c r="J852" s="86"/>
      <c r="K852" s="86"/>
      <c r="L852" s="86"/>
      <c r="M852" s="86"/>
      <c r="N852" s="86"/>
      <c r="O852" s="86"/>
      <c r="P852" s="86"/>
      <c r="Q852" s="86"/>
      <c r="R852" s="86"/>
      <c r="S852" s="86"/>
      <c r="T852" s="86"/>
      <c r="U852" s="86"/>
      <c r="V852" s="86"/>
      <c r="W852" s="86"/>
      <c r="X852" s="86"/>
      <c r="Y852" s="86"/>
      <c r="Z852" s="86"/>
      <c r="AA852" s="86"/>
      <c r="AB852" s="86"/>
      <c r="AC852" s="86"/>
      <c r="AD852" s="86"/>
      <c r="AE852" s="86"/>
      <c r="AF852" s="86"/>
      <c r="AG852" s="86"/>
      <c r="AH852" s="86"/>
      <c r="AI852" s="86"/>
      <c r="AJ852" s="86"/>
    </row>
    <row r="853" spans="1:36" x14ac:dyDescent="0.25">
      <c r="A853" s="274"/>
      <c r="B853" s="87"/>
      <c r="C853" s="87"/>
      <c r="D853" s="87"/>
      <c r="E853" s="87"/>
      <c r="F853" s="87"/>
      <c r="G853" s="87"/>
      <c r="H853" s="87"/>
      <c r="I853" s="87"/>
      <c r="J853" s="87"/>
      <c r="K853" s="87"/>
      <c r="L853" s="87"/>
      <c r="M853" s="87"/>
      <c r="N853" s="87"/>
      <c r="O853" s="87"/>
      <c r="P853" s="87"/>
      <c r="Q853" s="87"/>
      <c r="R853" s="87"/>
      <c r="S853" s="87"/>
      <c r="T853" s="87"/>
      <c r="U853" s="87"/>
      <c r="V853" s="87"/>
      <c r="W853" s="87"/>
      <c r="X853" s="87"/>
      <c r="Y853" s="87"/>
      <c r="Z853" s="87"/>
      <c r="AA853" s="87"/>
      <c r="AB853" s="87"/>
      <c r="AC853" s="87"/>
      <c r="AD853" s="87"/>
      <c r="AE853" s="87"/>
      <c r="AF853" s="87"/>
      <c r="AG853" s="87"/>
      <c r="AH853" s="87"/>
      <c r="AI853" s="87"/>
      <c r="AJ853" s="87"/>
    </row>
    <row r="854" spans="1:36" x14ac:dyDescent="0.25">
      <c r="A854" s="273"/>
      <c r="B854" s="86"/>
      <c r="C854" s="86"/>
      <c r="D854" s="86"/>
      <c r="E854" s="86"/>
      <c r="F854" s="86"/>
      <c r="G854" s="86"/>
      <c r="H854" s="86"/>
      <c r="I854" s="86"/>
      <c r="J854" s="86"/>
      <c r="K854" s="86"/>
      <c r="L854" s="86"/>
      <c r="M854" s="86"/>
      <c r="N854" s="86"/>
      <c r="O854" s="86"/>
      <c r="P854" s="86"/>
      <c r="Q854" s="86"/>
      <c r="R854" s="86"/>
      <c r="S854" s="86"/>
      <c r="T854" s="86"/>
      <c r="U854" s="86"/>
      <c r="V854" s="86"/>
      <c r="W854" s="86"/>
      <c r="X854" s="86"/>
      <c r="Y854" s="86"/>
      <c r="Z854" s="86"/>
      <c r="AA854" s="86"/>
      <c r="AB854" s="86"/>
      <c r="AC854" s="86"/>
      <c r="AD854" s="86"/>
      <c r="AE854" s="86"/>
      <c r="AF854" s="86"/>
      <c r="AG854" s="86"/>
      <c r="AH854" s="86"/>
      <c r="AI854" s="86"/>
      <c r="AJ854" s="86"/>
    </row>
    <row r="855" spans="1:36" x14ac:dyDescent="0.25">
      <c r="A855" s="274"/>
      <c r="B855" s="87"/>
      <c r="C855" s="87"/>
      <c r="D855" s="87"/>
      <c r="E855" s="87"/>
      <c r="F855" s="87"/>
      <c r="G855" s="87"/>
      <c r="H855" s="87"/>
      <c r="I855" s="87"/>
      <c r="J855" s="87"/>
      <c r="K855" s="87"/>
      <c r="L855" s="87"/>
      <c r="M855" s="87"/>
      <c r="N855" s="87"/>
      <c r="O855" s="87"/>
      <c r="P855" s="87"/>
      <c r="Q855" s="87"/>
      <c r="R855" s="87"/>
      <c r="S855" s="87"/>
      <c r="T855" s="87"/>
      <c r="U855" s="87"/>
      <c r="V855" s="87"/>
      <c r="W855" s="87"/>
      <c r="X855" s="87"/>
      <c r="Y855" s="87"/>
      <c r="Z855" s="87"/>
      <c r="AA855" s="87"/>
      <c r="AB855" s="87"/>
      <c r="AC855" s="87"/>
      <c r="AD855" s="87"/>
      <c r="AE855" s="87"/>
      <c r="AF855" s="87"/>
      <c r="AG855" s="87"/>
      <c r="AH855" s="87"/>
      <c r="AI855" s="87"/>
      <c r="AJ855" s="87"/>
    </row>
    <row r="856" spans="1:36" x14ac:dyDescent="0.25">
      <c r="A856" s="273"/>
      <c r="B856" s="86"/>
      <c r="C856" s="86"/>
      <c r="D856" s="86"/>
      <c r="E856" s="86"/>
      <c r="F856" s="86"/>
      <c r="G856" s="86"/>
      <c r="H856" s="86"/>
      <c r="I856" s="86"/>
      <c r="J856" s="86"/>
      <c r="K856" s="86"/>
      <c r="L856" s="86"/>
      <c r="M856" s="86"/>
      <c r="N856" s="86"/>
      <c r="O856" s="86"/>
      <c r="P856" s="86"/>
      <c r="Q856" s="86"/>
      <c r="R856" s="86"/>
      <c r="S856" s="86"/>
      <c r="T856" s="86"/>
      <c r="U856" s="86"/>
      <c r="V856" s="86"/>
      <c r="W856" s="86"/>
      <c r="X856" s="86"/>
      <c r="Y856" s="86"/>
      <c r="Z856" s="86"/>
      <c r="AA856" s="86"/>
      <c r="AB856" s="86"/>
      <c r="AC856" s="86"/>
      <c r="AD856" s="86"/>
      <c r="AE856" s="86"/>
      <c r="AF856" s="86"/>
      <c r="AG856" s="86"/>
      <c r="AH856" s="86"/>
      <c r="AI856" s="86"/>
      <c r="AJ856" s="86"/>
    </row>
    <row r="857" spans="1:36" x14ac:dyDescent="0.25">
      <c r="A857" s="274"/>
      <c r="B857" s="87"/>
      <c r="C857" s="87"/>
      <c r="D857" s="87"/>
      <c r="E857" s="87"/>
      <c r="F857" s="87"/>
      <c r="G857" s="87"/>
      <c r="H857" s="87"/>
      <c r="I857" s="87"/>
      <c r="J857" s="87"/>
      <c r="K857" s="87"/>
      <c r="L857" s="87"/>
      <c r="M857" s="87"/>
      <c r="N857" s="87"/>
      <c r="O857" s="87"/>
      <c r="P857" s="87"/>
      <c r="Q857" s="87"/>
      <c r="R857" s="87"/>
      <c r="S857" s="87"/>
      <c r="T857" s="87"/>
      <c r="U857" s="87"/>
      <c r="V857" s="87"/>
      <c r="W857" s="87"/>
      <c r="X857" s="87"/>
      <c r="Y857" s="87"/>
      <c r="Z857" s="87"/>
      <c r="AA857" s="87"/>
      <c r="AB857" s="87"/>
      <c r="AC857" s="87"/>
      <c r="AD857" s="87"/>
      <c r="AE857" s="87"/>
      <c r="AF857" s="87"/>
      <c r="AG857" s="87"/>
      <c r="AH857" s="87"/>
      <c r="AI857" s="87"/>
      <c r="AJ857" s="87"/>
    </row>
    <row r="858" spans="1:36" x14ac:dyDescent="0.25">
      <c r="A858" s="273"/>
      <c r="B858" s="86"/>
      <c r="C858" s="86"/>
      <c r="D858" s="86"/>
      <c r="E858" s="86"/>
      <c r="F858" s="86"/>
      <c r="G858" s="86"/>
      <c r="H858" s="86"/>
      <c r="I858" s="86"/>
      <c r="J858" s="86"/>
      <c r="K858" s="86"/>
      <c r="L858" s="86"/>
      <c r="M858" s="86"/>
      <c r="N858" s="86"/>
      <c r="O858" s="86"/>
      <c r="P858" s="86"/>
      <c r="Q858" s="86"/>
      <c r="R858" s="86"/>
      <c r="S858" s="86"/>
      <c r="T858" s="86"/>
      <c r="U858" s="86"/>
      <c r="V858" s="86"/>
      <c r="W858" s="86"/>
      <c r="X858" s="86"/>
      <c r="Y858" s="86"/>
      <c r="Z858" s="86"/>
      <c r="AA858" s="86"/>
      <c r="AB858" s="86"/>
      <c r="AC858" s="86"/>
      <c r="AD858" s="86"/>
      <c r="AE858" s="86"/>
      <c r="AF858" s="86"/>
      <c r="AG858" s="86"/>
      <c r="AH858" s="86"/>
      <c r="AI858" s="86"/>
      <c r="AJ858" s="86"/>
    </row>
    <row r="859" spans="1:36" x14ac:dyDescent="0.25">
      <c r="A859" s="274"/>
      <c r="B859" s="87"/>
      <c r="C859" s="87"/>
      <c r="D859" s="87"/>
      <c r="E859" s="87"/>
      <c r="F859" s="87"/>
      <c r="G859" s="87"/>
      <c r="H859" s="87"/>
      <c r="I859" s="87"/>
      <c r="J859" s="87"/>
      <c r="K859" s="87"/>
      <c r="L859" s="87"/>
      <c r="M859" s="87"/>
      <c r="N859" s="87"/>
      <c r="O859" s="87"/>
      <c r="P859" s="87"/>
      <c r="Q859" s="87"/>
      <c r="R859" s="87"/>
      <c r="S859" s="87"/>
      <c r="T859" s="87"/>
      <c r="U859" s="87"/>
      <c r="V859" s="87"/>
      <c r="W859" s="87"/>
      <c r="X859" s="87"/>
      <c r="Y859" s="87"/>
      <c r="Z859" s="87"/>
      <c r="AA859" s="87"/>
      <c r="AB859" s="87"/>
      <c r="AC859" s="87"/>
      <c r="AD859" s="87"/>
      <c r="AE859" s="87"/>
      <c r="AF859" s="87"/>
      <c r="AG859" s="87"/>
      <c r="AH859" s="87"/>
      <c r="AI859" s="87"/>
      <c r="AJ859" s="87"/>
    </row>
    <row r="860" spans="1:36" x14ac:dyDescent="0.25">
      <c r="A860" s="273"/>
      <c r="B860" s="86"/>
      <c r="C860" s="86"/>
      <c r="D860" s="86"/>
      <c r="E860" s="86"/>
      <c r="F860" s="86"/>
      <c r="G860" s="86"/>
      <c r="H860" s="86"/>
      <c r="I860" s="86"/>
      <c r="J860" s="86"/>
      <c r="K860" s="86"/>
      <c r="L860" s="86"/>
      <c r="M860" s="86"/>
      <c r="N860" s="86"/>
      <c r="O860" s="86"/>
      <c r="P860" s="86"/>
      <c r="Q860" s="86"/>
      <c r="R860" s="86"/>
      <c r="S860" s="86"/>
      <c r="T860" s="86"/>
      <c r="U860" s="86"/>
      <c r="V860" s="86"/>
      <c r="W860" s="86"/>
      <c r="X860" s="86"/>
      <c r="Y860" s="86"/>
      <c r="Z860" s="86"/>
      <c r="AA860" s="86"/>
      <c r="AB860" s="86"/>
      <c r="AC860" s="86"/>
      <c r="AD860" s="86"/>
      <c r="AE860" s="86"/>
      <c r="AF860" s="86"/>
      <c r="AG860" s="86"/>
      <c r="AH860" s="86"/>
      <c r="AI860" s="86"/>
      <c r="AJ860" s="86"/>
    </row>
    <row r="861" spans="1:36" x14ac:dyDescent="0.25">
      <c r="A861" s="274"/>
      <c r="B861" s="87"/>
      <c r="C861" s="87"/>
      <c r="D861" s="87"/>
      <c r="E861" s="87"/>
      <c r="F861" s="87"/>
      <c r="G861" s="87"/>
      <c r="H861" s="87"/>
      <c r="I861" s="87"/>
      <c r="J861" s="87"/>
      <c r="K861" s="87"/>
      <c r="L861" s="87"/>
      <c r="M861" s="87"/>
      <c r="N861" s="87"/>
      <c r="O861" s="87"/>
      <c r="P861" s="87"/>
      <c r="Q861" s="87"/>
      <c r="R861" s="87"/>
      <c r="S861" s="87"/>
      <c r="T861" s="87"/>
      <c r="U861" s="87"/>
      <c r="V861" s="87"/>
      <c r="W861" s="87"/>
      <c r="X861" s="87"/>
      <c r="Y861" s="87"/>
      <c r="Z861" s="87"/>
      <c r="AA861" s="87"/>
      <c r="AB861" s="87"/>
      <c r="AC861" s="87"/>
      <c r="AD861" s="87"/>
      <c r="AE861" s="87"/>
      <c r="AF861" s="87"/>
      <c r="AG861" s="87"/>
      <c r="AH861" s="87"/>
      <c r="AI861" s="87"/>
      <c r="AJ861" s="87"/>
    </row>
    <row r="862" spans="1:36" x14ac:dyDescent="0.25">
      <c r="A862" s="273"/>
      <c r="B862" s="86"/>
      <c r="C862" s="86"/>
      <c r="D862" s="86"/>
      <c r="E862" s="86"/>
      <c r="F862" s="86"/>
      <c r="G862" s="86"/>
      <c r="H862" s="86"/>
      <c r="I862" s="86"/>
      <c r="J862" s="86"/>
      <c r="K862" s="86"/>
      <c r="L862" s="86"/>
      <c r="M862" s="86"/>
      <c r="N862" s="86"/>
      <c r="O862" s="86"/>
      <c r="P862" s="86"/>
      <c r="Q862" s="86"/>
      <c r="R862" s="86"/>
      <c r="S862" s="86"/>
      <c r="T862" s="86"/>
      <c r="U862" s="86"/>
      <c r="V862" s="86"/>
      <c r="W862" s="86"/>
      <c r="X862" s="86"/>
      <c r="Y862" s="86"/>
      <c r="Z862" s="86"/>
      <c r="AA862" s="86"/>
      <c r="AB862" s="86"/>
      <c r="AC862" s="86"/>
      <c r="AD862" s="86"/>
      <c r="AE862" s="86"/>
      <c r="AF862" s="86"/>
      <c r="AG862" s="86"/>
      <c r="AH862" s="86"/>
      <c r="AI862" s="86"/>
      <c r="AJ862" s="86"/>
    </row>
    <row r="863" spans="1:36" x14ac:dyDescent="0.25">
      <c r="A863" s="274"/>
      <c r="B863" s="87"/>
      <c r="C863" s="87"/>
      <c r="D863" s="87"/>
      <c r="E863" s="87"/>
      <c r="F863" s="87"/>
      <c r="G863" s="87"/>
      <c r="H863" s="87"/>
      <c r="I863" s="87"/>
      <c r="J863" s="87"/>
      <c r="K863" s="87"/>
      <c r="L863" s="87"/>
      <c r="M863" s="87"/>
      <c r="N863" s="87"/>
      <c r="O863" s="87"/>
      <c r="P863" s="87"/>
      <c r="Q863" s="87"/>
      <c r="R863" s="87"/>
      <c r="S863" s="87"/>
      <c r="T863" s="87"/>
      <c r="U863" s="87"/>
      <c r="V863" s="87"/>
      <c r="W863" s="87"/>
      <c r="X863" s="87"/>
      <c r="Y863" s="87"/>
      <c r="Z863" s="87"/>
      <c r="AA863" s="87"/>
      <c r="AB863" s="87"/>
      <c r="AC863" s="87"/>
      <c r="AD863" s="87"/>
      <c r="AE863" s="87"/>
      <c r="AF863" s="87"/>
      <c r="AG863" s="87"/>
      <c r="AH863" s="87"/>
      <c r="AI863" s="87"/>
      <c r="AJ863" s="87"/>
    </row>
    <row r="864" spans="1:36" x14ac:dyDescent="0.25">
      <c r="A864" s="273"/>
      <c r="B864" s="86"/>
      <c r="C864" s="86"/>
      <c r="D864" s="86"/>
      <c r="E864" s="86"/>
      <c r="F864" s="86"/>
      <c r="G864" s="86"/>
      <c r="H864" s="86"/>
      <c r="I864" s="86"/>
      <c r="J864" s="86"/>
      <c r="K864" s="86"/>
      <c r="L864" s="86"/>
      <c r="M864" s="86"/>
      <c r="N864" s="86"/>
      <c r="O864" s="86"/>
      <c r="P864" s="86"/>
      <c r="Q864" s="86"/>
      <c r="R864" s="86"/>
      <c r="S864" s="86"/>
      <c r="T864" s="86"/>
      <c r="U864" s="86"/>
      <c r="V864" s="86"/>
      <c r="W864" s="86"/>
      <c r="X864" s="86"/>
      <c r="Y864" s="86"/>
      <c r="Z864" s="86"/>
      <c r="AA864" s="86"/>
      <c r="AB864" s="86"/>
      <c r="AC864" s="86"/>
      <c r="AD864" s="86"/>
      <c r="AE864" s="86"/>
      <c r="AF864" s="86"/>
      <c r="AG864" s="86"/>
      <c r="AH864" s="86"/>
      <c r="AI864" s="86"/>
      <c r="AJ864" s="86"/>
    </row>
    <row r="865" spans="1:36" x14ac:dyDescent="0.25">
      <c r="A865" s="274"/>
      <c r="B865" s="87"/>
      <c r="C865" s="87"/>
      <c r="D865" s="87"/>
      <c r="E865" s="87"/>
      <c r="F865" s="87"/>
      <c r="G865" s="87"/>
      <c r="H865" s="87"/>
      <c r="I865" s="87"/>
      <c r="J865" s="87"/>
      <c r="K865" s="87"/>
      <c r="L865" s="87"/>
      <c r="M865" s="87"/>
      <c r="N865" s="87"/>
      <c r="O865" s="87"/>
      <c r="P865" s="87"/>
      <c r="Q865" s="87"/>
      <c r="R865" s="87"/>
      <c r="S865" s="87"/>
      <c r="T865" s="87"/>
      <c r="U865" s="87"/>
      <c r="V865" s="87"/>
      <c r="W865" s="87"/>
      <c r="X865" s="87"/>
      <c r="Y865" s="87"/>
      <c r="Z865" s="87"/>
      <c r="AA865" s="87"/>
      <c r="AB865" s="87"/>
      <c r="AC865" s="87"/>
      <c r="AD865" s="87"/>
      <c r="AE865" s="87"/>
      <c r="AF865" s="87"/>
      <c r="AG865" s="87"/>
      <c r="AH865" s="87"/>
      <c r="AI865" s="87"/>
      <c r="AJ865" s="87"/>
    </row>
    <row r="866" spans="1:36" x14ac:dyDescent="0.25">
      <c r="A866" s="273"/>
      <c r="B866" s="86"/>
      <c r="C866" s="86"/>
      <c r="D866" s="86"/>
      <c r="E866" s="86"/>
      <c r="F866" s="86"/>
      <c r="G866" s="86"/>
      <c r="H866" s="86"/>
      <c r="I866" s="86"/>
      <c r="J866" s="86"/>
      <c r="K866" s="86"/>
      <c r="L866" s="86"/>
      <c r="M866" s="86"/>
      <c r="N866" s="86"/>
      <c r="O866" s="86"/>
      <c r="P866" s="86"/>
      <c r="Q866" s="86"/>
      <c r="R866" s="86"/>
      <c r="S866" s="86"/>
      <c r="T866" s="86"/>
      <c r="U866" s="86"/>
      <c r="V866" s="86"/>
      <c r="W866" s="86"/>
      <c r="X866" s="86"/>
      <c r="Y866" s="86"/>
      <c r="Z866" s="86"/>
      <c r="AA866" s="86"/>
      <c r="AB866" s="86"/>
      <c r="AC866" s="86"/>
      <c r="AD866" s="86"/>
      <c r="AE866" s="86"/>
      <c r="AF866" s="86"/>
      <c r="AG866" s="86"/>
      <c r="AH866" s="86"/>
      <c r="AI866" s="86"/>
      <c r="AJ866" s="86"/>
    </row>
    <row r="867" spans="1:36" x14ac:dyDescent="0.25">
      <c r="A867" s="274"/>
      <c r="B867" s="87"/>
      <c r="C867" s="87"/>
      <c r="D867" s="87"/>
      <c r="E867" s="87"/>
      <c r="F867" s="87"/>
      <c r="G867" s="87"/>
      <c r="H867" s="87"/>
      <c r="I867" s="87"/>
      <c r="J867" s="87"/>
      <c r="K867" s="87"/>
      <c r="L867" s="87"/>
      <c r="M867" s="87"/>
      <c r="N867" s="87"/>
      <c r="O867" s="87"/>
      <c r="P867" s="87"/>
      <c r="Q867" s="87"/>
      <c r="R867" s="87"/>
      <c r="S867" s="87"/>
      <c r="T867" s="87"/>
      <c r="U867" s="87"/>
      <c r="V867" s="87"/>
      <c r="W867" s="87"/>
      <c r="X867" s="87"/>
      <c r="Y867" s="87"/>
      <c r="Z867" s="87"/>
      <c r="AA867" s="87"/>
      <c r="AB867" s="87"/>
      <c r="AC867" s="87"/>
      <c r="AD867" s="87"/>
      <c r="AE867" s="87"/>
      <c r="AF867" s="87"/>
      <c r="AG867" s="87"/>
      <c r="AH867" s="87"/>
      <c r="AI867" s="87"/>
      <c r="AJ867" s="87"/>
    </row>
    <row r="868" spans="1:36" x14ac:dyDescent="0.25">
      <c r="A868" s="273"/>
      <c r="B868" s="86"/>
      <c r="C868" s="86"/>
      <c r="D868" s="86"/>
      <c r="E868" s="86"/>
      <c r="F868" s="86"/>
      <c r="G868" s="86"/>
      <c r="H868" s="86"/>
      <c r="I868" s="86"/>
      <c r="J868" s="86"/>
      <c r="K868" s="86"/>
      <c r="L868" s="86"/>
      <c r="M868" s="86"/>
      <c r="N868" s="86"/>
      <c r="O868" s="86"/>
      <c r="P868" s="86"/>
      <c r="Q868" s="86"/>
      <c r="R868" s="86"/>
      <c r="S868" s="86"/>
      <c r="T868" s="86"/>
      <c r="U868" s="86"/>
      <c r="V868" s="86"/>
      <c r="W868" s="86"/>
      <c r="X868" s="86"/>
      <c r="Y868" s="86"/>
      <c r="Z868" s="86"/>
      <c r="AA868" s="86"/>
      <c r="AB868" s="86"/>
      <c r="AC868" s="86"/>
      <c r="AD868" s="86"/>
      <c r="AE868" s="86"/>
      <c r="AF868" s="86"/>
      <c r="AG868" s="86"/>
      <c r="AH868" s="86"/>
      <c r="AI868" s="86"/>
      <c r="AJ868" s="86"/>
    </row>
    <row r="869" spans="1:36" x14ac:dyDescent="0.25">
      <c r="A869" s="274"/>
      <c r="B869" s="87"/>
      <c r="C869" s="87"/>
      <c r="D869" s="87"/>
      <c r="E869" s="87"/>
      <c r="F869" s="87"/>
      <c r="G869" s="87"/>
      <c r="H869" s="87"/>
      <c r="I869" s="87"/>
      <c r="J869" s="87"/>
      <c r="K869" s="87"/>
      <c r="L869" s="87"/>
      <c r="M869" s="87"/>
      <c r="N869" s="87"/>
      <c r="O869" s="87"/>
      <c r="P869" s="87"/>
      <c r="Q869" s="87"/>
      <c r="R869" s="87"/>
      <c r="S869" s="87"/>
      <c r="T869" s="87"/>
      <c r="U869" s="87"/>
      <c r="V869" s="87"/>
      <c r="W869" s="87"/>
      <c r="X869" s="87"/>
      <c r="Y869" s="87"/>
      <c r="Z869" s="87"/>
      <c r="AA869" s="87"/>
      <c r="AB869" s="87"/>
      <c r="AC869" s="87"/>
      <c r="AD869" s="87"/>
      <c r="AE869" s="87"/>
      <c r="AF869" s="87"/>
      <c r="AG869" s="87"/>
      <c r="AH869" s="87"/>
      <c r="AI869" s="87"/>
      <c r="AJ869" s="87"/>
    </row>
    <row r="870" spans="1:36" x14ac:dyDescent="0.25">
      <c r="A870" s="273"/>
      <c r="B870" s="86"/>
      <c r="C870" s="86"/>
      <c r="D870" s="86"/>
      <c r="E870" s="86"/>
      <c r="F870" s="86"/>
      <c r="G870" s="86"/>
      <c r="H870" s="86"/>
      <c r="I870" s="86"/>
      <c r="J870" s="86"/>
      <c r="K870" s="86"/>
      <c r="L870" s="86"/>
      <c r="M870" s="86"/>
      <c r="N870" s="86"/>
      <c r="O870" s="86"/>
      <c r="P870" s="86"/>
      <c r="Q870" s="86"/>
      <c r="R870" s="86"/>
      <c r="S870" s="86"/>
      <c r="T870" s="86"/>
      <c r="U870" s="86"/>
      <c r="V870" s="86"/>
      <c r="W870" s="86"/>
      <c r="X870" s="86"/>
      <c r="Y870" s="86"/>
      <c r="Z870" s="86"/>
      <c r="AA870" s="86"/>
      <c r="AB870" s="86"/>
      <c r="AC870" s="86"/>
      <c r="AD870" s="86"/>
      <c r="AE870" s="86"/>
      <c r="AF870" s="86"/>
      <c r="AG870" s="86"/>
      <c r="AH870" s="86"/>
      <c r="AI870" s="86"/>
      <c r="AJ870" s="86"/>
    </row>
    <row r="871" spans="1:36" x14ac:dyDescent="0.25">
      <c r="A871" s="274"/>
      <c r="B871" s="87"/>
      <c r="C871" s="87"/>
      <c r="D871" s="87"/>
      <c r="E871" s="87"/>
      <c r="F871" s="87"/>
      <c r="G871" s="87"/>
      <c r="H871" s="87"/>
      <c r="I871" s="87"/>
      <c r="J871" s="87"/>
      <c r="K871" s="87"/>
      <c r="L871" s="87"/>
      <c r="M871" s="87"/>
      <c r="N871" s="87"/>
      <c r="O871" s="87"/>
      <c r="P871" s="87"/>
      <c r="Q871" s="87"/>
      <c r="R871" s="87"/>
      <c r="S871" s="87"/>
      <c r="T871" s="87"/>
      <c r="U871" s="87"/>
      <c r="V871" s="87"/>
      <c r="W871" s="87"/>
      <c r="X871" s="87"/>
      <c r="Y871" s="87"/>
      <c r="Z871" s="87"/>
      <c r="AA871" s="87"/>
      <c r="AB871" s="87"/>
      <c r="AC871" s="87"/>
      <c r="AD871" s="87"/>
      <c r="AE871" s="87"/>
      <c r="AF871" s="87"/>
      <c r="AG871" s="87"/>
      <c r="AH871" s="87"/>
      <c r="AI871" s="87"/>
      <c r="AJ871" s="87"/>
    </row>
    <row r="872" spans="1:36" x14ac:dyDescent="0.25">
      <c r="A872" s="273"/>
      <c r="B872" s="86"/>
      <c r="C872" s="86"/>
      <c r="D872" s="86"/>
      <c r="E872" s="86"/>
      <c r="F872" s="86"/>
      <c r="G872" s="86"/>
      <c r="H872" s="86"/>
      <c r="I872" s="86"/>
      <c r="J872" s="86"/>
      <c r="K872" s="86"/>
      <c r="L872" s="86"/>
      <c r="M872" s="86"/>
      <c r="N872" s="86"/>
      <c r="O872" s="86"/>
      <c r="P872" s="86"/>
      <c r="Q872" s="86"/>
      <c r="R872" s="86"/>
      <c r="S872" s="86"/>
      <c r="T872" s="86"/>
      <c r="U872" s="86"/>
      <c r="V872" s="86"/>
      <c r="W872" s="86"/>
      <c r="X872" s="86"/>
      <c r="Y872" s="86"/>
      <c r="Z872" s="86"/>
      <c r="AA872" s="86"/>
      <c r="AB872" s="86"/>
      <c r="AC872" s="86"/>
      <c r="AD872" s="86"/>
      <c r="AE872" s="86"/>
      <c r="AF872" s="86"/>
      <c r="AG872" s="86"/>
      <c r="AH872" s="86"/>
      <c r="AI872" s="86"/>
      <c r="AJ872" s="86"/>
    </row>
    <row r="873" spans="1:36" x14ac:dyDescent="0.25">
      <c r="A873" s="274"/>
      <c r="B873" s="87"/>
      <c r="C873" s="87"/>
      <c r="D873" s="87"/>
      <c r="E873" s="87"/>
      <c r="F873" s="87"/>
      <c r="G873" s="87"/>
      <c r="H873" s="87"/>
      <c r="I873" s="87"/>
      <c r="J873" s="87"/>
      <c r="K873" s="87"/>
      <c r="L873" s="87"/>
      <c r="M873" s="87"/>
      <c r="N873" s="87"/>
      <c r="O873" s="87"/>
      <c r="P873" s="87"/>
      <c r="Q873" s="87"/>
      <c r="R873" s="87"/>
      <c r="S873" s="87"/>
      <c r="T873" s="87"/>
      <c r="U873" s="87"/>
      <c r="V873" s="87"/>
      <c r="W873" s="87"/>
      <c r="X873" s="87"/>
      <c r="Y873" s="87"/>
      <c r="Z873" s="87"/>
      <c r="AA873" s="87"/>
      <c r="AB873" s="87"/>
      <c r="AC873" s="87"/>
      <c r="AD873" s="87"/>
      <c r="AE873" s="87"/>
      <c r="AF873" s="87"/>
      <c r="AG873" s="87"/>
      <c r="AH873" s="87"/>
      <c r="AI873" s="87"/>
      <c r="AJ873" s="87"/>
    </row>
    <row r="874" spans="1:36" x14ac:dyDescent="0.25">
      <c r="A874" s="273"/>
      <c r="B874" s="86"/>
      <c r="C874" s="86"/>
      <c r="D874" s="86"/>
      <c r="E874" s="86"/>
      <c r="F874" s="86"/>
      <c r="G874" s="86"/>
      <c r="H874" s="86"/>
      <c r="I874" s="86"/>
      <c r="J874" s="86"/>
      <c r="K874" s="86"/>
      <c r="L874" s="86"/>
      <c r="M874" s="86"/>
      <c r="N874" s="86"/>
      <c r="O874" s="86"/>
      <c r="P874" s="86"/>
      <c r="Q874" s="86"/>
      <c r="R874" s="86"/>
      <c r="S874" s="86"/>
      <c r="T874" s="86"/>
      <c r="U874" s="86"/>
      <c r="V874" s="86"/>
      <c r="W874" s="86"/>
      <c r="X874" s="86"/>
      <c r="Y874" s="86"/>
      <c r="Z874" s="86"/>
      <c r="AA874" s="86"/>
      <c r="AB874" s="86"/>
      <c r="AC874" s="86"/>
      <c r="AD874" s="86"/>
      <c r="AE874" s="86"/>
      <c r="AF874" s="86"/>
      <c r="AG874" s="86"/>
      <c r="AH874" s="86"/>
      <c r="AI874" s="86"/>
      <c r="AJ874" s="86"/>
    </row>
    <row r="875" spans="1:36" x14ac:dyDescent="0.25">
      <c r="A875" s="274"/>
      <c r="B875" s="87"/>
      <c r="C875" s="87"/>
      <c r="D875" s="87"/>
      <c r="E875" s="87"/>
      <c r="F875" s="87"/>
      <c r="G875" s="87"/>
      <c r="H875" s="87"/>
      <c r="I875" s="87"/>
      <c r="J875" s="87"/>
      <c r="K875" s="87"/>
      <c r="L875" s="87"/>
      <c r="M875" s="87"/>
      <c r="N875" s="87"/>
      <c r="O875" s="87"/>
      <c r="P875" s="87"/>
      <c r="Q875" s="87"/>
      <c r="R875" s="87"/>
      <c r="S875" s="87"/>
      <c r="T875" s="87"/>
      <c r="U875" s="87"/>
      <c r="V875" s="87"/>
      <c r="W875" s="87"/>
      <c r="X875" s="87"/>
      <c r="Y875" s="87"/>
      <c r="Z875" s="87"/>
      <c r="AA875" s="87"/>
      <c r="AB875" s="87"/>
      <c r="AC875" s="87"/>
      <c r="AD875" s="87"/>
      <c r="AE875" s="87"/>
      <c r="AF875" s="87"/>
      <c r="AG875" s="87"/>
      <c r="AH875" s="87"/>
      <c r="AI875" s="87"/>
      <c r="AJ875" s="87"/>
    </row>
    <row r="876" spans="1:36" x14ac:dyDescent="0.25">
      <c r="A876" s="273"/>
      <c r="B876" s="86"/>
      <c r="C876" s="86"/>
      <c r="D876" s="86"/>
      <c r="E876" s="86"/>
      <c r="F876" s="86"/>
      <c r="G876" s="86"/>
      <c r="H876" s="86"/>
      <c r="I876" s="86"/>
      <c r="J876" s="86"/>
      <c r="K876" s="86"/>
      <c r="L876" s="86"/>
      <c r="M876" s="86"/>
      <c r="N876" s="86"/>
      <c r="O876" s="86"/>
      <c r="P876" s="86"/>
      <c r="Q876" s="86"/>
      <c r="R876" s="86"/>
      <c r="S876" s="86"/>
      <c r="T876" s="86"/>
      <c r="U876" s="86"/>
      <c r="V876" s="86"/>
      <c r="W876" s="86"/>
      <c r="X876" s="86"/>
      <c r="Y876" s="86"/>
      <c r="Z876" s="86"/>
      <c r="AA876" s="86"/>
      <c r="AB876" s="86"/>
      <c r="AC876" s="86"/>
      <c r="AD876" s="86"/>
      <c r="AE876" s="86"/>
      <c r="AF876" s="86"/>
      <c r="AG876" s="86"/>
      <c r="AH876" s="86"/>
      <c r="AI876" s="86"/>
      <c r="AJ876" s="86"/>
    </row>
    <row r="877" spans="1:36" x14ac:dyDescent="0.25">
      <c r="A877" s="274"/>
      <c r="B877" s="87"/>
      <c r="C877" s="87"/>
      <c r="D877" s="87"/>
      <c r="E877" s="87"/>
      <c r="F877" s="87"/>
      <c r="G877" s="87"/>
      <c r="H877" s="87"/>
      <c r="I877" s="87"/>
      <c r="J877" s="87"/>
      <c r="K877" s="87"/>
      <c r="L877" s="87"/>
      <c r="M877" s="87"/>
      <c r="N877" s="87"/>
      <c r="O877" s="87"/>
      <c r="P877" s="87"/>
      <c r="Q877" s="87"/>
      <c r="R877" s="87"/>
      <c r="S877" s="87"/>
      <c r="T877" s="87"/>
      <c r="U877" s="87"/>
      <c r="V877" s="87"/>
      <c r="W877" s="87"/>
      <c r="X877" s="87"/>
      <c r="Y877" s="87"/>
      <c r="Z877" s="87"/>
      <c r="AA877" s="87"/>
      <c r="AB877" s="87"/>
      <c r="AC877" s="87"/>
      <c r="AD877" s="87"/>
      <c r="AE877" s="87"/>
      <c r="AF877" s="87"/>
      <c r="AG877" s="87"/>
      <c r="AH877" s="87"/>
      <c r="AI877" s="87"/>
      <c r="AJ877" s="87"/>
    </row>
    <row r="878" spans="1:36" x14ac:dyDescent="0.25">
      <c r="A878" s="273"/>
      <c r="B878" s="86"/>
      <c r="C878" s="86"/>
      <c r="D878" s="86"/>
      <c r="E878" s="86"/>
      <c r="F878" s="86"/>
      <c r="G878" s="86"/>
      <c r="H878" s="86"/>
      <c r="I878" s="86"/>
      <c r="J878" s="86"/>
      <c r="K878" s="86"/>
      <c r="L878" s="86"/>
      <c r="M878" s="86"/>
      <c r="N878" s="86"/>
      <c r="O878" s="86"/>
      <c r="P878" s="86"/>
      <c r="Q878" s="86"/>
      <c r="R878" s="86"/>
      <c r="S878" s="86"/>
      <c r="T878" s="86"/>
      <c r="U878" s="86"/>
      <c r="V878" s="86"/>
      <c r="W878" s="86"/>
      <c r="X878" s="86"/>
      <c r="Y878" s="86"/>
      <c r="Z878" s="86"/>
      <c r="AA878" s="86"/>
      <c r="AB878" s="86"/>
      <c r="AC878" s="86"/>
      <c r="AD878" s="86"/>
      <c r="AE878" s="86"/>
      <c r="AF878" s="86"/>
      <c r="AG878" s="86"/>
      <c r="AH878" s="86"/>
      <c r="AI878" s="86"/>
      <c r="AJ878" s="86"/>
    </row>
    <row r="879" spans="1:36" x14ac:dyDescent="0.25">
      <c r="A879" s="274"/>
      <c r="B879" s="87"/>
      <c r="C879" s="87"/>
      <c r="D879" s="87"/>
      <c r="E879" s="87"/>
      <c r="F879" s="87"/>
      <c r="G879" s="87"/>
      <c r="H879" s="87"/>
      <c r="I879" s="87"/>
      <c r="J879" s="87"/>
      <c r="K879" s="87"/>
      <c r="L879" s="87"/>
      <c r="M879" s="87"/>
      <c r="N879" s="87"/>
      <c r="O879" s="87"/>
      <c r="P879" s="87"/>
      <c r="Q879" s="87"/>
      <c r="R879" s="87"/>
      <c r="S879" s="87"/>
      <c r="T879" s="87"/>
      <c r="U879" s="87"/>
      <c r="V879" s="87"/>
      <c r="W879" s="87"/>
      <c r="X879" s="87"/>
      <c r="Y879" s="87"/>
      <c r="Z879" s="87"/>
      <c r="AA879" s="87"/>
      <c r="AB879" s="87"/>
      <c r="AC879" s="87"/>
      <c r="AD879" s="87"/>
      <c r="AE879" s="87"/>
      <c r="AF879" s="87"/>
      <c r="AG879" s="87"/>
      <c r="AH879" s="87"/>
      <c r="AI879" s="87"/>
      <c r="AJ879" s="87"/>
    </row>
    <row r="880" spans="1:36" x14ac:dyDescent="0.25">
      <c r="A880" s="273"/>
      <c r="B880" s="86"/>
      <c r="C880" s="86"/>
      <c r="D880" s="86"/>
      <c r="E880" s="86"/>
      <c r="F880" s="86"/>
      <c r="G880" s="86"/>
      <c r="H880" s="86"/>
      <c r="I880" s="86"/>
      <c r="J880" s="86"/>
      <c r="K880" s="86"/>
      <c r="L880" s="86"/>
      <c r="M880" s="86"/>
      <c r="N880" s="86"/>
      <c r="O880" s="86"/>
      <c r="P880" s="86"/>
      <c r="Q880" s="86"/>
      <c r="R880" s="86"/>
      <c r="S880" s="86"/>
      <c r="T880" s="86"/>
      <c r="U880" s="86"/>
      <c r="V880" s="86"/>
      <c r="W880" s="86"/>
      <c r="X880" s="86"/>
      <c r="Y880" s="86"/>
      <c r="Z880" s="86"/>
      <c r="AA880" s="86"/>
      <c r="AB880" s="86"/>
      <c r="AC880" s="86"/>
      <c r="AD880" s="86"/>
      <c r="AE880" s="86"/>
      <c r="AF880" s="86"/>
      <c r="AG880" s="86"/>
      <c r="AH880" s="86"/>
      <c r="AI880" s="86"/>
      <c r="AJ880" s="86"/>
    </row>
    <row r="881" spans="1:36" x14ac:dyDescent="0.25">
      <c r="A881" s="274"/>
      <c r="B881" s="87"/>
      <c r="C881" s="87"/>
      <c r="D881" s="87"/>
      <c r="E881" s="87"/>
      <c r="F881" s="87"/>
      <c r="G881" s="87"/>
      <c r="H881" s="87"/>
      <c r="I881" s="87"/>
      <c r="J881" s="87"/>
      <c r="K881" s="87"/>
      <c r="L881" s="87"/>
      <c r="M881" s="87"/>
      <c r="N881" s="87"/>
      <c r="O881" s="87"/>
      <c r="P881" s="87"/>
      <c r="Q881" s="87"/>
      <c r="R881" s="87"/>
      <c r="S881" s="87"/>
      <c r="T881" s="87"/>
      <c r="U881" s="87"/>
      <c r="V881" s="87"/>
      <c r="W881" s="87"/>
      <c r="X881" s="87"/>
      <c r="Y881" s="87"/>
      <c r="Z881" s="87"/>
      <c r="AA881" s="87"/>
      <c r="AB881" s="87"/>
      <c r="AC881" s="87"/>
      <c r="AD881" s="87"/>
      <c r="AE881" s="87"/>
      <c r="AF881" s="87"/>
      <c r="AG881" s="87"/>
      <c r="AH881" s="87"/>
      <c r="AI881" s="87"/>
      <c r="AJ881" s="87"/>
    </row>
    <row r="882" spans="1:36" x14ac:dyDescent="0.25">
      <c r="A882" s="273"/>
      <c r="B882" s="86"/>
      <c r="C882" s="86"/>
      <c r="D882" s="86"/>
      <c r="E882" s="86"/>
      <c r="F882" s="86"/>
      <c r="G882" s="86"/>
      <c r="H882" s="86"/>
      <c r="I882" s="86"/>
      <c r="J882" s="86"/>
      <c r="K882" s="86"/>
      <c r="L882" s="86"/>
      <c r="M882" s="86"/>
      <c r="N882" s="86"/>
      <c r="O882" s="86"/>
      <c r="P882" s="86"/>
      <c r="Q882" s="86"/>
      <c r="R882" s="86"/>
      <c r="S882" s="86"/>
      <c r="T882" s="86"/>
      <c r="U882" s="86"/>
      <c r="V882" s="86"/>
      <c r="W882" s="86"/>
      <c r="X882" s="86"/>
      <c r="Y882" s="86"/>
      <c r="Z882" s="86"/>
      <c r="AA882" s="86"/>
      <c r="AB882" s="86"/>
      <c r="AC882" s="86"/>
      <c r="AD882" s="86"/>
      <c r="AE882" s="86"/>
      <c r="AF882" s="86"/>
      <c r="AG882" s="86"/>
      <c r="AH882" s="86"/>
      <c r="AI882" s="86"/>
      <c r="AJ882" s="86"/>
    </row>
    <row r="883" spans="1:36" x14ac:dyDescent="0.25">
      <c r="A883" s="274"/>
      <c r="B883" s="87"/>
      <c r="C883" s="87"/>
      <c r="D883" s="87"/>
      <c r="E883" s="87"/>
      <c r="F883" s="87"/>
      <c r="G883" s="87"/>
      <c r="H883" s="87"/>
      <c r="I883" s="87"/>
      <c r="J883" s="87"/>
      <c r="K883" s="87"/>
      <c r="L883" s="87"/>
      <c r="M883" s="87"/>
      <c r="N883" s="87"/>
      <c r="O883" s="87"/>
      <c r="P883" s="87"/>
      <c r="Q883" s="87"/>
      <c r="R883" s="87"/>
      <c r="S883" s="87"/>
      <c r="T883" s="87"/>
      <c r="U883" s="87"/>
      <c r="V883" s="87"/>
      <c r="W883" s="87"/>
      <c r="X883" s="87"/>
      <c r="Y883" s="87"/>
      <c r="Z883" s="87"/>
      <c r="AA883" s="87"/>
      <c r="AB883" s="87"/>
      <c r="AC883" s="87"/>
      <c r="AD883" s="87"/>
      <c r="AE883" s="87"/>
      <c r="AF883" s="87"/>
      <c r="AG883" s="87"/>
      <c r="AH883" s="87"/>
      <c r="AI883" s="87"/>
      <c r="AJ883" s="87"/>
    </row>
    <row r="884" spans="1:36" x14ac:dyDescent="0.25">
      <c r="A884" s="273"/>
      <c r="B884" s="86"/>
      <c r="C884" s="86"/>
      <c r="D884" s="86"/>
      <c r="E884" s="86"/>
      <c r="F884" s="86"/>
      <c r="G884" s="86"/>
      <c r="H884" s="86"/>
      <c r="I884" s="86"/>
      <c r="J884" s="86"/>
      <c r="K884" s="86"/>
      <c r="L884" s="86"/>
      <c r="M884" s="86"/>
      <c r="N884" s="86"/>
      <c r="O884" s="86"/>
      <c r="P884" s="86"/>
      <c r="Q884" s="86"/>
      <c r="R884" s="86"/>
      <c r="S884" s="86"/>
      <c r="T884" s="86"/>
      <c r="U884" s="86"/>
      <c r="V884" s="86"/>
      <c r="W884" s="86"/>
      <c r="X884" s="86"/>
      <c r="Y884" s="86"/>
      <c r="Z884" s="86"/>
      <c r="AA884" s="86"/>
      <c r="AB884" s="86"/>
      <c r="AC884" s="86"/>
      <c r="AD884" s="86"/>
      <c r="AE884" s="86"/>
      <c r="AF884" s="86"/>
      <c r="AG884" s="86"/>
      <c r="AH884" s="86"/>
      <c r="AI884" s="86"/>
      <c r="AJ884" s="86"/>
    </row>
    <row r="885" spans="1:36" x14ac:dyDescent="0.25">
      <c r="A885" s="274"/>
      <c r="B885" s="87"/>
      <c r="C885" s="87"/>
      <c r="D885" s="87"/>
      <c r="E885" s="87"/>
      <c r="F885" s="87"/>
      <c r="G885" s="87"/>
      <c r="H885" s="87"/>
      <c r="I885" s="87"/>
      <c r="J885" s="87"/>
      <c r="K885" s="87"/>
      <c r="L885" s="87"/>
      <c r="M885" s="87"/>
      <c r="N885" s="87"/>
      <c r="O885" s="87"/>
      <c r="P885" s="87"/>
      <c r="Q885" s="87"/>
      <c r="R885" s="87"/>
      <c r="S885" s="87"/>
      <c r="T885" s="87"/>
      <c r="U885" s="87"/>
      <c r="V885" s="87"/>
      <c r="W885" s="87"/>
      <c r="X885" s="87"/>
      <c r="Y885" s="87"/>
      <c r="Z885" s="87"/>
      <c r="AA885" s="87"/>
      <c r="AB885" s="87"/>
      <c r="AC885" s="87"/>
      <c r="AD885" s="87"/>
      <c r="AE885" s="87"/>
      <c r="AF885" s="87"/>
      <c r="AG885" s="87"/>
      <c r="AH885" s="87"/>
      <c r="AI885" s="87"/>
      <c r="AJ885" s="87"/>
    </row>
    <row r="886" spans="1:36" x14ac:dyDescent="0.25">
      <c r="A886" s="273"/>
      <c r="B886" s="86"/>
      <c r="C886" s="86"/>
      <c r="D886" s="86"/>
      <c r="E886" s="86"/>
      <c r="F886" s="86"/>
      <c r="G886" s="86"/>
      <c r="H886" s="86"/>
      <c r="I886" s="86"/>
      <c r="J886" s="86"/>
      <c r="K886" s="86"/>
      <c r="L886" s="86"/>
      <c r="M886" s="86"/>
      <c r="N886" s="86"/>
      <c r="O886" s="86"/>
      <c r="P886" s="86"/>
      <c r="Q886" s="86"/>
      <c r="R886" s="86"/>
      <c r="S886" s="86"/>
      <c r="T886" s="86"/>
      <c r="U886" s="86"/>
      <c r="V886" s="86"/>
      <c r="W886" s="86"/>
      <c r="X886" s="86"/>
      <c r="Y886" s="86"/>
      <c r="Z886" s="86"/>
      <c r="AA886" s="86"/>
      <c r="AB886" s="86"/>
      <c r="AC886" s="86"/>
      <c r="AD886" s="86"/>
      <c r="AE886" s="86"/>
      <c r="AF886" s="86"/>
      <c r="AG886" s="86"/>
      <c r="AH886" s="86"/>
      <c r="AI886" s="86"/>
      <c r="AJ886" s="86"/>
    </row>
    <row r="887" spans="1:36" x14ac:dyDescent="0.25">
      <c r="A887" s="274"/>
      <c r="B887" s="87"/>
      <c r="C887" s="87"/>
      <c r="D887" s="87"/>
      <c r="E887" s="87"/>
      <c r="F887" s="87"/>
      <c r="G887" s="87"/>
      <c r="H887" s="87"/>
      <c r="I887" s="87"/>
      <c r="J887" s="87"/>
      <c r="K887" s="87"/>
      <c r="L887" s="87"/>
      <c r="M887" s="87"/>
      <c r="N887" s="87"/>
      <c r="O887" s="87"/>
      <c r="P887" s="87"/>
      <c r="Q887" s="87"/>
      <c r="R887" s="87"/>
      <c r="S887" s="87"/>
      <c r="T887" s="87"/>
      <c r="U887" s="87"/>
      <c r="V887" s="87"/>
      <c r="W887" s="87"/>
      <c r="X887" s="87"/>
      <c r="Y887" s="87"/>
      <c r="Z887" s="87"/>
      <c r="AA887" s="87"/>
      <c r="AB887" s="87"/>
      <c r="AC887" s="87"/>
      <c r="AD887" s="87"/>
      <c r="AE887" s="87"/>
      <c r="AF887" s="87"/>
      <c r="AG887" s="87"/>
      <c r="AH887" s="87"/>
      <c r="AI887" s="87"/>
      <c r="AJ887" s="87"/>
    </row>
    <row r="888" spans="1:36" x14ac:dyDescent="0.25">
      <c r="A888" s="273"/>
      <c r="B888" s="86"/>
      <c r="C888" s="86"/>
      <c r="D888" s="86"/>
      <c r="E888" s="86"/>
      <c r="F888" s="86"/>
      <c r="G888" s="86"/>
      <c r="H888" s="86"/>
      <c r="I888" s="86"/>
      <c r="J888" s="86"/>
      <c r="K888" s="86"/>
      <c r="L888" s="86"/>
      <c r="M888" s="86"/>
      <c r="N888" s="86"/>
      <c r="O888" s="86"/>
      <c r="P888" s="86"/>
      <c r="Q888" s="86"/>
      <c r="R888" s="86"/>
      <c r="S888" s="86"/>
      <c r="T888" s="86"/>
      <c r="U888" s="86"/>
      <c r="V888" s="86"/>
      <c r="W888" s="86"/>
      <c r="X888" s="86"/>
      <c r="Y888" s="86"/>
      <c r="Z888" s="86"/>
      <c r="AA888" s="86"/>
      <c r="AB888" s="86"/>
      <c r="AC888" s="86"/>
      <c r="AD888" s="86"/>
      <c r="AE888" s="86"/>
      <c r="AF888" s="86"/>
      <c r="AG888" s="86"/>
      <c r="AH888" s="86"/>
      <c r="AI888" s="86"/>
      <c r="AJ888" s="86"/>
    </row>
    <row r="889" spans="1:36" x14ac:dyDescent="0.25">
      <c r="A889" s="274"/>
      <c r="B889" s="87"/>
      <c r="C889" s="87"/>
      <c r="D889" s="87"/>
      <c r="E889" s="87"/>
      <c r="F889" s="87"/>
      <c r="G889" s="87"/>
      <c r="H889" s="87"/>
      <c r="I889" s="87"/>
      <c r="J889" s="87"/>
      <c r="K889" s="87"/>
      <c r="L889" s="87"/>
      <c r="M889" s="87"/>
      <c r="N889" s="87"/>
      <c r="O889" s="87"/>
      <c r="P889" s="87"/>
      <c r="Q889" s="87"/>
      <c r="R889" s="87"/>
      <c r="S889" s="87"/>
      <c r="T889" s="87"/>
      <c r="U889" s="87"/>
      <c r="V889" s="87"/>
      <c r="W889" s="87"/>
      <c r="X889" s="87"/>
      <c r="Y889" s="87"/>
      <c r="Z889" s="87"/>
      <c r="AA889" s="87"/>
      <c r="AB889" s="87"/>
      <c r="AC889" s="87"/>
      <c r="AD889" s="87"/>
      <c r="AE889" s="87"/>
      <c r="AF889" s="87"/>
      <c r="AG889" s="87"/>
      <c r="AH889" s="87"/>
      <c r="AI889" s="87"/>
      <c r="AJ889" s="87"/>
    </row>
    <row r="890" spans="1:36" x14ac:dyDescent="0.25">
      <c r="A890" s="273"/>
      <c r="B890" s="86"/>
      <c r="C890" s="86"/>
      <c r="D890" s="86"/>
      <c r="E890" s="86"/>
      <c r="F890" s="86"/>
      <c r="G890" s="86"/>
      <c r="H890" s="86"/>
      <c r="I890" s="86"/>
      <c r="J890" s="86"/>
      <c r="K890" s="86"/>
      <c r="L890" s="86"/>
      <c r="M890" s="86"/>
      <c r="N890" s="86"/>
      <c r="O890" s="86"/>
      <c r="P890" s="86"/>
      <c r="Q890" s="86"/>
      <c r="R890" s="86"/>
      <c r="S890" s="86"/>
      <c r="T890" s="86"/>
      <c r="U890" s="86"/>
      <c r="V890" s="86"/>
      <c r="W890" s="86"/>
      <c r="X890" s="86"/>
      <c r="Y890" s="86"/>
      <c r="Z890" s="86"/>
      <c r="AA890" s="86"/>
      <c r="AB890" s="86"/>
      <c r="AC890" s="86"/>
      <c r="AD890" s="86"/>
      <c r="AE890" s="86"/>
      <c r="AF890" s="86"/>
      <c r="AG890" s="86"/>
      <c r="AH890" s="86"/>
      <c r="AI890" s="86"/>
      <c r="AJ890" s="86"/>
    </row>
    <row r="891" spans="1:36" x14ac:dyDescent="0.25">
      <c r="A891" s="274"/>
      <c r="B891" s="87"/>
      <c r="C891" s="87"/>
      <c r="D891" s="87"/>
      <c r="E891" s="87"/>
      <c r="F891" s="87"/>
      <c r="G891" s="87"/>
      <c r="H891" s="87"/>
      <c r="I891" s="87"/>
      <c r="J891" s="87"/>
      <c r="K891" s="87"/>
      <c r="L891" s="87"/>
      <c r="M891" s="87"/>
      <c r="N891" s="87"/>
      <c r="O891" s="87"/>
      <c r="P891" s="87"/>
      <c r="Q891" s="87"/>
      <c r="R891" s="87"/>
      <c r="S891" s="87"/>
      <c r="T891" s="87"/>
      <c r="U891" s="87"/>
      <c r="V891" s="87"/>
      <c r="W891" s="87"/>
      <c r="X891" s="87"/>
      <c r="Y891" s="87"/>
      <c r="Z891" s="87"/>
      <c r="AA891" s="87"/>
      <c r="AB891" s="87"/>
      <c r="AC891" s="87"/>
      <c r="AD891" s="87"/>
      <c r="AE891" s="87"/>
      <c r="AF891" s="87"/>
      <c r="AG891" s="87"/>
      <c r="AH891" s="87"/>
      <c r="AI891" s="87"/>
      <c r="AJ891" s="87"/>
    </row>
    <row r="892" spans="1:36" x14ac:dyDescent="0.25">
      <c r="A892" s="273"/>
      <c r="B892" s="86"/>
      <c r="C892" s="86"/>
      <c r="D892" s="86"/>
      <c r="E892" s="86"/>
      <c r="F892" s="86"/>
      <c r="G892" s="86"/>
      <c r="H892" s="86"/>
      <c r="I892" s="86"/>
      <c r="J892" s="86"/>
      <c r="K892" s="86"/>
      <c r="L892" s="86"/>
      <c r="M892" s="86"/>
      <c r="N892" s="86"/>
      <c r="O892" s="86"/>
      <c r="P892" s="86"/>
      <c r="Q892" s="86"/>
      <c r="R892" s="86"/>
      <c r="S892" s="86"/>
      <c r="T892" s="86"/>
      <c r="U892" s="86"/>
      <c r="V892" s="86"/>
      <c r="W892" s="86"/>
      <c r="X892" s="86"/>
      <c r="Y892" s="86"/>
      <c r="Z892" s="86"/>
      <c r="AA892" s="86"/>
      <c r="AB892" s="86"/>
      <c r="AC892" s="86"/>
      <c r="AD892" s="86"/>
      <c r="AE892" s="86"/>
      <c r="AF892" s="86"/>
      <c r="AG892" s="86"/>
      <c r="AH892" s="86"/>
      <c r="AI892" s="86"/>
      <c r="AJ892" s="86"/>
    </row>
    <row r="893" spans="1:36" x14ac:dyDescent="0.25">
      <c r="A893" s="274"/>
      <c r="B893" s="87"/>
      <c r="C893" s="87"/>
      <c r="D893" s="87"/>
      <c r="E893" s="87"/>
      <c r="F893" s="87"/>
      <c r="G893" s="87"/>
      <c r="H893" s="87"/>
      <c r="I893" s="87"/>
      <c r="J893" s="87"/>
      <c r="K893" s="87"/>
      <c r="L893" s="87"/>
      <c r="M893" s="87"/>
      <c r="N893" s="87"/>
      <c r="O893" s="87"/>
      <c r="P893" s="87"/>
      <c r="Q893" s="87"/>
      <c r="R893" s="87"/>
      <c r="S893" s="87"/>
      <c r="T893" s="87"/>
      <c r="U893" s="87"/>
      <c r="V893" s="87"/>
      <c r="W893" s="87"/>
      <c r="X893" s="87"/>
      <c r="Y893" s="87"/>
      <c r="Z893" s="87"/>
      <c r="AA893" s="87"/>
      <c r="AB893" s="87"/>
      <c r="AC893" s="87"/>
      <c r="AD893" s="87"/>
      <c r="AE893" s="87"/>
      <c r="AF893" s="87"/>
      <c r="AG893" s="87"/>
      <c r="AH893" s="87"/>
      <c r="AI893" s="87"/>
      <c r="AJ893" s="87"/>
    </row>
    <row r="894" spans="1:36" x14ac:dyDescent="0.25">
      <c r="A894" s="273"/>
      <c r="B894" s="86"/>
      <c r="C894" s="86"/>
      <c r="D894" s="86"/>
      <c r="E894" s="86"/>
      <c r="F894" s="86"/>
      <c r="G894" s="86"/>
      <c r="H894" s="86"/>
      <c r="I894" s="86"/>
      <c r="J894" s="86"/>
      <c r="K894" s="86"/>
      <c r="L894" s="86"/>
      <c r="M894" s="86"/>
      <c r="N894" s="86"/>
      <c r="O894" s="86"/>
      <c r="P894" s="86"/>
      <c r="Q894" s="86"/>
      <c r="R894" s="86"/>
      <c r="S894" s="86"/>
      <c r="T894" s="86"/>
      <c r="U894" s="86"/>
      <c r="V894" s="86"/>
      <c r="W894" s="86"/>
      <c r="X894" s="86"/>
      <c r="Y894" s="86"/>
      <c r="Z894" s="86"/>
      <c r="AA894" s="86"/>
      <c r="AB894" s="86"/>
      <c r="AC894" s="86"/>
      <c r="AD894" s="86"/>
      <c r="AE894" s="86"/>
      <c r="AF894" s="86"/>
      <c r="AG894" s="86"/>
      <c r="AH894" s="86"/>
      <c r="AI894" s="86"/>
      <c r="AJ894" s="86"/>
    </row>
    <row r="895" spans="1:36" x14ac:dyDescent="0.25">
      <c r="A895" s="274"/>
      <c r="B895" s="87"/>
      <c r="C895" s="87"/>
      <c r="D895" s="87"/>
      <c r="E895" s="87"/>
      <c r="F895" s="87"/>
      <c r="G895" s="87"/>
      <c r="H895" s="87"/>
      <c r="I895" s="87"/>
      <c r="J895" s="87"/>
      <c r="K895" s="87"/>
      <c r="L895" s="87"/>
      <c r="M895" s="87"/>
      <c r="N895" s="87"/>
      <c r="O895" s="87"/>
      <c r="P895" s="87"/>
      <c r="Q895" s="87"/>
      <c r="R895" s="87"/>
      <c r="S895" s="87"/>
      <c r="T895" s="87"/>
      <c r="U895" s="87"/>
      <c r="V895" s="87"/>
      <c r="W895" s="87"/>
      <c r="X895" s="87"/>
      <c r="Y895" s="87"/>
      <c r="Z895" s="87"/>
      <c r="AA895" s="87"/>
      <c r="AB895" s="87"/>
      <c r="AC895" s="87"/>
      <c r="AD895" s="87"/>
      <c r="AE895" s="87"/>
      <c r="AF895" s="87"/>
      <c r="AG895" s="87"/>
      <c r="AH895" s="87"/>
      <c r="AI895" s="87"/>
      <c r="AJ895" s="87"/>
    </row>
    <row r="896" spans="1:36" x14ac:dyDescent="0.25">
      <c r="A896" s="273"/>
      <c r="B896" s="86"/>
      <c r="C896" s="86"/>
      <c r="D896" s="86"/>
      <c r="E896" s="86"/>
      <c r="F896" s="86"/>
      <c r="G896" s="86"/>
      <c r="H896" s="86"/>
      <c r="I896" s="86"/>
      <c r="J896" s="86"/>
      <c r="K896" s="86"/>
      <c r="L896" s="86"/>
      <c r="M896" s="86"/>
      <c r="N896" s="86"/>
      <c r="O896" s="86"/>
      <c r="P896" s="86"/>
      <c r="Q896" s="86"/>
      <c r="R896" s="86"/>
      <c r="S896" s="86"/>
      <c r="T896" s="86"/>
      <c r="U896" s="86"/>
      <c r="V896" s="86"/>
      <c r="W896" s="86"/>
      <c r="X896" s="86"/>
      <c r="Y896" s="86"/>
      <c r="Z896" s="86"/>
      <c r="AA896" s="86"/>
      <c r="AB896" s="86"/>
      <c r="AC896" s="86"/>
      <c r="AD896" s="86"/>
      <c r="AE896" s="86"/>
      <c r="AF896" s="86"/>
      <c r="AG896" s="86"/>
      <c r="AH896" s="86"/>
      <c r="AI896" s="86"/>
      <c r="AJ896" s="86"/>
    </row>
    <row r="897" spans="1:36" x14ac:dyDescent="0.25">
      <c r="A897" s="274"/>
      <c r="B897" s="87"/>
      <c r="C897" s="87"/>
      <c r="D897" s="87"/>
      <c r="E897" s="87"/>
      <c r="F897" s="87"/>
      <c r="G897" s="87"/>
      <c r="H897" s="87"/>
      <c r="I897" s="87"/>
      <c r="J897" s="87"/>
      <c r="K897" s="87"/>
      <c r="L897" s="87"/>
      <c r="M897" s="87"/>
      <c r="N897" s="87"/>
      <c r="O897" s="87"/>
      <c r="P897" s="87"/>
      <c r="Q897" s="87"/>
      <c r="R897" s="87"/>
      <c r="S897" s="87"/>
      <c r="T897" s="87"/>
      <c r="U897" s="87"/>
      <c r="V897" s="87"/>
      <c r="W897" s="87"/>
      <c r="X897" s="87"/>
      <c r="Y897" s="87"/>
      <c r="Z897" s="87"/>
      <c r="AA897" s="87"/>
      <c r="AB897" s="87"/>
      <c r="AC897" s="87"/>
      <c r="AD897" s="87"/>
      <c r="AE897" s="87"/>
      <c r="AF897" s="87"/>
      <c r="AG897" s="87"/>
      <c r="AH897" s="87"/>
      <c r="AI897" s="87"/>
      <c r="AJ897" s="87"/>
    </row>
    <row r="898" spans="1:36" x14ac:dyDescent="0.25">
      <c r="A898" s="273"/>
      <c r="B898" s="86"/>
      <c r="C898" s="86"/>
      <c r="D898" s="86"/>
      <c r="E898" s="86"/>
      <c r="F898" s="86"/>
      <c r="G898" s="86"/>
      <c r="H898" s="86"/>
      <c r="I898" s="86"/>
      <c r="J898" s="86"/>
      <c r="K898" s="86"/>
      <c r="L898" s="86"/>
      <c r="M898" s="86"/>
      <c r="N898" s="86"/>
      <c r="O898" s="86"/>
      <c r="P898" s="86"/>
      <c r="Q898" s="86"/>
      <c r="R898" s="86"/>
      <c r="S898" s="86"/>
      <c r="T898" s="86"/>
      <c r="U898" s="86"/>
      <c r="V898" s="86"/>
      <c r="W898" s="86"/>
      <c r="X898" s="86"/>
      <c r="Y898" s="86"/>
      <c r="Z898" s="86"/>
      <c r="AA898" s="86"/>
      <c r="AB898" s="86"/>
      <c r="AC898" s="86"/>
      <c r="AD898" s="86"/>
      <c r="AE898" s="86"/>
      <c r="AF898" s="86"/>
      <c r="AG898" s="86"/>
      <c r="AH898" s="86"/>
      <c r="AI898" s="86"/>
      <c r="AJ898" s="86"/>
    </row>
    <row r="899" spans="1:36" x14ac:dyDescent="0.25">
      <c r="A899" s="274"/>
      <c r="B899" s="87"/>
      <c r="C899" s="87"/>
      <c r="D899" s="87"/>
      <c r="E899" s="87"/>
      <c r="F899" s="87"/>
      <c r="G899" s="87"/>
      <c r="H899" s="87"/>
      <c r="I899" s="87"/>
      <c r="J899" s="87"/>
      <c r="K899" s="87"/>
      <c r="L899" s="87"/>
      <c r="M899" s="87"/>
      <c r="N899" s="87"/>
      <c r="O899" s="87"/>
      <c r="P899" s="87"/>
      <c r="Q899" s="87"/>
      <c r="R899" s="87"/>
      <c r="S899" s="87"/>
      <c r="T899" s="87"/>
      <c r="U899" s="87"/>
      <c r="V899" s="87"/>
      <c r="W899" s="87"/>
      <c r="X899" s="87"/>
      <c r="Y899" s="87"/>
      <c r="Z899" s="87"/>
      <c r="AA899" s="87"/>
      <c r="AB899" s="87"/>
      <c r="AC899" s="87"/>
      <c r="AD899" s="87"/>
      <c r="AE899" s="87"/>
      <c r="AF899" s="87"/>
      <c r="AG899" s="87"/>
      <c r="AH899" s="87"/>
      <c r="AI899" s="87"/>
      <c r="AJ899" s="87"/>
    </row>
    <row r="900" spans="1:36" x14ac:dyDescent="0.25">
      <c r="A900" s="273"/>
      <c r="B900" s="86"/>
      <c r="C900" s="86"/>
      <c r="D900" s="86"/>
      <c r="E900" s="86"/>
      <c r="F900" s="86"/>
      <c r="G900" s="86"/>
      <c r="H900" s="86"/>
      <c r="I900" s="86"/>
      <c r="J900" s="86"/>
      <c r="K900" s="86"/>
      <c r="L900" s="86"/>
      <c r="M900" s="86"/>
      <c r="N900" s="86"/>
      <c r="O900" s="86"/>
      <c r="P900" s="86"/>
      <c r="Q900" s="86"/>
      <c r="R900" s="86"/>
      <c r="S900" s="86"/>
      <c r="T900" s="86"/>
      <c r="U900" s="86"/>
      <c r="V900" s="86"/>
      <c r="W900" s="86"/>
      <c r="X900" s="86"/>
      <c r="Y900" s="86"/>
      <c r="Z900" s="86"/>
      <c r="AA900" s="86"/>
      <c r="AB900" s="86"/>
      <c r="AC900" s="86"/>
      <c r="AD900" s="86"/>
      <c r="AE900" s="86"/>
      <c r="AF900" s="86"/>
      <c r="AG900" s="86"/>
      <c r="AH900" s="86"/>
      <c r="AI900" s="86"/>
      <c r="AJ900" s="86"/>
    </row>
    <row r="901" spans="1:36" x14ac:dyDescent="0.25">
      <c r="A901" s="274"/>
      <c r="B901" s="87"/>
      <c r="C901" s="87"/>
      <c r="D901" s="87"/>
      <c r="E901" s="87"/>
      <c r="F901" s="87"/>
      <c r="G901" s="87"/>
      <c r="H901" s="87"/>
      <c r="I901" s="87"/>
      <c r="J901" s="87"/>
      <c r="K901" s="87"/>
      <c r="L901" s="87"/>
      <c r="M901" s="87"/>
      <c r="N901" s="87"/>
      <c r="O901" s="87"/>
      <c r="P901" s="87"/>
      <c r="Q901" s="87"/>
      <c r="R901" s="87"/>
      <c r="S901" s="87"/>
      <c r="T901" s="87"/>
      <c r="U901" s="87"/>
      <c r="V901" s="87"/>
      <c r="W901" s="87"/>
      <c r="X901" s="87"/>
      <c r="Y901" s="87"/>
      <c r="Z901" s="87"/>
      <c r="AA901" s="87"/>
      <c r="AB901" s="87"/>
      <c r="AC901" s="87"/>
      <c r="AD901" s="87"/>
      <c r="AE901" s="87"/>
      <c r="AF901" s="87"/>
      <c r="AG901" s="87"/>
      <c r="AH901" s="87"/>
      <c r="AI901" s="87"/>
      <c r="AJ901" s="87"/>
    </row>
    <row r="902" spans="1:36" x14ac:dyDescent="0.25">
      <c r="A902" s="273"/>
      <c r="B902" s="86"/>
      <c r="C902" s="86"/>
      <c r="D902" s="86"/>
      <c r="E902" s="86"/>
      <c r="F902" s="86"/>
      <c r="G902" s="86"/>
      <c r="H902" s="86"/>
      <c r="I902" s="86"/>
      <c r="J902" s="86"/>
      <c r="K902" s="86"/>
      <c r="L902" s="86"/>
      <c r="M902" s="86"/>
      <c r="N902" s="86"/>
      <c r="O902" s="86"/>
      <c r="P902" s="86"/>
      <c r="Q902" s="86"/>
      <c r="R902" s="86"/>
      <c r="S902" s="86"/>
      <c r="T902" s="86"/>
      <c r="U902" s="86"/>
      <c r="V902" s="86"/>
      <c r="W902" s="86"/>
      <c r="X902" s="86"/>
      <c r="Y902" s="86"/>
      <c r="Z902" s="86"/>
      <c r="AA902" s="86"/>
      <c r="AB902" s="86"/>
      <c r="AC902" s="86"/>
      <c r="AD902" s="86"/>
      <c r="AE902" s="86"/>
      <c r="AF902" s="86"/>
      <c r="AG902" s="86"/>
      <c r="AH902" s="86"/>
      <c r="AI902" s="86"/>
      <c r="AJ902" s="86"/>
    </row>
    <row r="903" spans="1:36" x14ac:dyDescent="0.25">
      <c r="A903" s="274"/>
      <c r="B903" s="87"/>
      <c r="C903" s="87"/>
      <c r="D903" s="87"/>
      <c r="E903" s="87"/>
      <c r="F903" s="87"/>
      <c r="G903" s="87"/>
      <c r="H903" s="87"/>
      <c r="I903" s="87"/>
      <c r="J903" s="87"/>
      <c r="K903" s="87"/>
      <c r="L903" s="87"/>
      <c r="M903" s="87"/>
      <c r="N903" s="87"/>
      <c r="O903" s="87"/>
      <c r="P903" s="87"/>
      <c r="Q903" s="87"/>
      <c r="R903" s="87"/>
      <c r="S903" s="87"/>
      <c r="T903" s="87"/>
      <c r="U903" s="87"/>
      <c r="V903" s="87"/>
      <c r="W903" s="87"/>
      <c r="X903" s="87"/>
      <c r="Y903" s="87"/>
      <c r="Z903" s="87"/>
      <c r="AA903" s="87"/>
      <c r="AB903" s="87"/>
      <c r="AC903" s="87"/>
      <c r="AD903" s="87"/>
      <c r="AE903" s="87"/>
      <c r="AF903" s="87"/>
      <c r="AG903" s="87"/>
      <c r="AH903" s="87"/>
      <c r="AI903" s="87"/>
      <c r="AJ903" s="87"/>
    </row>
    <row r="904" spans="1:36" x14ac:dyDescent="0.25">
      <c r="A904" s="273"/>
      <c r="B904" s="86"/>
      <c r="C904" s="86"/>
      <c r="D904" s="86"/>
      <c r="E904" s="86"/>
      <c r="F904" s="86"/>
      <c r="G904" s="86"/>
      <c r="H904" s="86"/>
      <c r="I904" s="86"/>
      <c r="J904" s="86"/>
      <c r="K904" s="86"/>
      <c r="L904" s="86"/>
      <c r="M904" s="86"/>
      <c r="N904" s="86"/>
      <c r="O904" s="86"/>
      <c r="P904" s="86"/>
      <c r="Q904" s="86"/>
      <c r="R904" s="86"/>
      <c r="S904" s="86"/>
      <c r="T904" s="86"/>
      <c r="U904" s="86"/>
      <c r="V904" s="86"/>
      <c r="W904" s="86"/>
      <c r="X904" s="86"/>
      <c r="Y904" s="86"/>
      <c r="Z904" s="86"/>
      <c r="AA904" s="86"/>
      <c r="AB904" s="86"/>
      <c r="AC904" s="86"/>
      <c r="AD904" s="86"/>
      <c r="AE904" s="86"/>
      <c r="AF904" s="86"/>
      <c r="AG904" s="86"/>
      <c r="AH904" s="86"/>
      <c r="AI904" s="86"/>
      <c r="AJ904" s="86"/>
    </row>
    <row r="905" spans="1:36" x14ac:dyDescent="0.25">
      <c r="A905" s="274"/>
      <c r="B905" s="87"/>
      <c r="C905" s="87"/>
      <c r="D905" s="87"/>
      <c r="E905" s="87"/>
      <c r="F905" s="87"/>
      <c r="G905" s="87"/>
      <c r="H905" s="87"/>
      <c r="I905" s="87"/>
      <c r="J905" s="87"/>
      <c r="K905" s="87"/>
      <c r="L905" s="87"/>
      <c r="M905" s="87"/>
      <c r="N905" s="87"/>
      <c r="O905" s="87"/>
      <c r="P905" s="87"/>
      <c r="Q905" s="87"/>
      <c r="R905" s="87"/>
      <c r="S905" s="87"/>
      <c r="T905" s="87"/>
      <c r="U905" s="87"/>
      <c r="V905" s="87"/>
      <c r="W905" s="87"/>
      <c r="X905" s="87"/>
      <c r="Y905" s="87"/>
      <c r="Z905" s="87"/>
      <c r="AA905" s="87"/>
      <c r="AB905" s="87"/>
      <c r="AC905" s="87"/>
      <c r="AD905" s="87"/>
      <c r="AE905" s="87"/>
      <c r="AF905" s="87"/>
      <c r="AG905" s="87"/>
      <c r="AH905" s="87"/>
      <c r="AI905" s="87"/>
      <c r="AJ905" s="87"/>
    </row>
    <row r="906" spans="1:36" x14ac:dyDescent="0.25">
      <c r="A906" s="273"/>
      <c r="B906" s="86"/>
      <c r="C906" s="86"/>
      <c r="D906" s="86"/>
      <c r="E906" s="86"/>
      <c r="F906" s="86"/>
      <c r="G906" s="86"/>
      <c r="H906" s="86"/>
      <c r="I906" s="86"/>
      <c r="J906" s="86"/>
      <c r="K906" s="86"/>
      <c r="L906" s="86"/>
      <c r="M906" s="86"/>
      <c r="N906" s="86"/>
      <c r="O906" s="86"/>
      <c r="P906" s="86"/>
      <c r="Q906" s="86"/>
      <c r="R906" s="86"/>
      <c r="S906" s="86"/>
      <c r="T906" s="86"/>
      <c r="U906" s="86"/>
      <c r="V906" s="86"/>
      <c r="W906" s="86"/>
      <c r="X906" s="86"/>
      <c r="Y906" s="86"/>
      <c r="Z906" s="86"/>
      <c r="AA906" s="86"/>
      <c r="AB906" s="86"/>
      <c r="AC906" s="86"/>
      <c r="AD906" s="86"/>
      <c r="AE906" s="86"/>
      <c r="AF906" s="86"/>
      <c r="AG906" s="86"/>
      <c r="AH906" s="86"/>
      <c r="AI906" s="86"/>
      <c r="AJ906" s="86"/>
    </row>
    <row r="907" spans="1:36" x14ac:dyDescent="0.25">
      <c r="A907" s="274"/>
      <c r="B907" s="87"/>
      <c r="C907" s="87"/>
      <c r="D907" s="87"/>
      <c r="E907" s="87"/>
      <c r="F907" s="87"/>
      <c r="G907" s="87"/>
      <c r="H907" s="87"/>
      <c r="I907" s="87"/>
      <c r="J907" s="87"/>
      <c r="K907" s="87"/>
      <c r="L907" s="87"/>
      <c r="M907" s="87"/>
      <c r="N907" s="87"/>
      <c r="O907" s="87"/>
      <c r="P907" s="87"/>
      <c r="Q907" s="87"/>
      <c r="R907" s="87"/>
      <c r="S907" s="87"/>
      <c r="T907" s="87"/>
      <c r="U907" s="87"/>
      <c r="V907" s="87"/>
      <c r="W907" s="87"/>
      <c r="X907" s="87"/>
      <c r="Y907" s="87"/>
      <c r="Z907" s="87"/>
      <c r="AA907" s="87"/>
      <c r="AB907" s="87"/>
      <c r="AC907" s="87"/>
      <c r="AD907" s="87"/>
      <c r="AE907" s="87"/>
      <c r="AF907" s="87"/>
      <c r="AG907" s="87"/>
      <c r="AH907" s="87"/>
      <c r="AI907" s="87"/>
      <c r="AJ907" s="87"/>
    </row>
    <row r="908" spans="1:36" x14ac:dyDescent="0.25">
      <c r="A908" s="273"/>
      <c r="B908" s="86"/>
      <c r="C908" s="86"/>
      <c r="D908" s="86"/>
      <c r="E908" s="86"/>
      <c r="F908" s="86"/>
      <c r="G908" s="86"/>
      <c r="H908" s="86"/>
      <c r="I908" s="86"/>
      <c r="J908" s="86"/>
      <c r="K908" s="86"/>
      <c r="L908" s="86"/>
      <c r="M908" s="86"/>
      <c r="N908" s="86"/>
      <c r="O908" s="86"/>
      <c r="P908" s="86"/>
      <c r="Q908" s="86"/>
      <c r="R908" s="86"/>
      <c r="S908" s="86"/>
      <c r="T908" s="86"/>
      <c r="U908" s="86"/>
      <c r="V908" s="86"/>
      <c r="W908" s="86"/>
      <c r="X908" s="86"/>
      <c r="Y908" s="86"/>
      <c r="Z908" s="86"/>
      <c r="AA908" s="86"/>
      <c r="AB908" s="86"/>
      <c r="AC908" s="86"/>
      <c r="AD908" s="86"/>
      <c r="AE908" s="86"/>
      <c r="AF908" s="86"/>
      <c r="AG908" s="86"/>
      <c r="AH908" s="86"/>
      <c r="AI908" s="86"/>
      <c r="AJ908" s="86"/>
    </row>
    <row r="909" spans="1:36" x14ac:dyDescent="0.25">
      <c r="A909" s="274"/>
      <c r="B909" s="87"/>
      <c r="C909" s="87"/>
      <c r="D909" s="87"/>
      <c r="E909" s="87"/>
      <c r="F909" s="87"/>
      <c r="G909" s="87"/>
      <c r="H909" s="87"/>
      <c r="I909" s="87"/>
      <c r="J909" s="87"/>
      <c r="K909" s="87"/>
      <c r="L909" s="87"/>
      <c r="M909" s="87"/>
      <c r="N909" s="87"/>
      <c r="O909" s="87"/>
      <c r="P909" s="87"/>
      <c r="Q909" s="87"/>
      <c r="R909" s="87"/>
      <c r="S909" s="87"/>
      <c r="T909" s="87"/>
      <c r="U909" s="87"/>
      <c r="V909" s="87"/>
      <c r="W909" s="87"/>
      <c r="X909" s="87"/>
      <c r="Y909" s="87"/>
      <c r="Z909" s="87"/>
      <c r="AA909" s="87"/>
      <c r="AB909" s="87"/>
      <c r="AC909" s="87"/>
      <c r="AD909" s="87"/>
      <c r="AE909" s="87"/>
      <c r="AF909" s="87"/>
      <c r="AG909" s="87"/>
      <c r="AH909" s="87"/>
      <c r="AI909" s="87"/>
      <c r="AJ909" s="87"/>
    </row>
    <row r="910" spans="1:36" x14ac:dyDescent="0.25">
      <c r="A910" s="273"/>
      <c r="B910" s="86"/>
      <c r="C910" s="86"/>
      <c r="D910" s="86"/>
      <c r="E910" s="86"/>
      <c r="F910" s="86"/>
      <c r="G910" s="86"/>
      <c r="H910" s="86"/>
      <c r="I910" s="86"/>
      <c r="J910" s="86"/>
      <c r="K910" s="86"/>
      <c r="L910" s="86"/>
      <c r="M910" s="86"/>
      <c r="N910" s="86"/>
      <c r="O910" s="86"/>
      <c r="P910" s="86"/>
      <c r="Q910" s="86"/>
      <c r="R910" s="86"/>
      <c r="S910" s="86"/>
      <c r="T910" s="86"/>
      <c r="U910" s="86"/>
      <c r="V910" s="86"/>
      <c r="W910" s="86"/>
      <c r="X910" s="86"/>
      <c r="Y910" s="86"/>
      <c r="Z910" s="86"/>
      <c r="AA910" s="86"/>
      <c r="AB910" s="86"/>
      <c r="AC910" s="86"/>
      <c r="AD910" s="86"/>
      <c r="AE910" s="86"/>
      <c r="AF910" s="86"/>
      <c r="AG910" s="86"/>
      <c r="AH910" s="86"/>
      <c r="AI910" s="86"/>
      <c r="AJ910" s="86"/>
    </row>
    <row r="911" spans="1:36" x14ac:dyDescent="0.25">
      <c r="A911" s="274"/>
      <c r="B911" s="87"/>
      <c r="C911" s="87"/>
      <c r="D911" s="87"/>
      <c r="E911" s="87"/>
      <c r="F911" s="87"/>
      <c r="G911" s="87"/>
      <c r="H911" s="87"/>
      <c r="I911" s="87"/>
      <c r="J911" s="87"/>
      <c r="K911" s="87"/>
      <c r="L911" s="87"/>
      <c r="M911" s="87"/>
      <c r="N911" s="87"/>
      <c r="O911" s="87"/>
      <c r="P911" s="87"/>
      <c r="Q911" s="87"/>
      <c r="R911" s="87"/>
      <c r="S911" s="87"/>
      <c r="T911" s="87"/>
      <c r="U911" s="87"/>
      <c r="V911" s="87"/>
      <c r="W911" s="87"/>
      <c r="X911" s="87"/>
      <c r="Y911" s="87"/>
      <c r="Z911" s="87"/>
      <c r="AA911" s="87"/>
      <c r="AB911" s="87"/>
      <c r="AC911" s="87"/>
      <c r="AD911" s="87"/>
      <c r="AE911" s="87"/>
      <c r="AF911" s="87"/>
      <c r="AG911" s="87"/>
      <c r="AH911" s="87"/>
      <c r="AI911" s="87"/>
      <c r="AJ911" s="87"/>
    </row>
    <row r="912" spans="1:36" x14ac:dyDescent="0.25">
      <c r="A912" s="273"/>
      <c r="B912" s="86"/>
      <c r="C912" s="86"/>
      <c r="D912" s="86"/>
      <c r="E912" s="86"/>
      <c r="F912" s="86"/>
      <c r="G912" s="86"/>
      <c r="H912" s="86"/>
      <c r="I912" s="86"/>
      <c r="J912" s="86"/>
      <c r="K912" s="86"/>
      <c r="L912" s="86"/>
      <c r="M912" s="86"/>
      <c r="N912" s="86"/>
      <c r="O912" s="86"/>
      <c r="P912" s="86"/>
      <c r="Q912" s="86"/>
      <c r="R912" s="86"/>
      <c r="S912" s="86"/>
      <c r="T912" s="86"/>
      <c r="U912" s="86"/>
      <c r="V912" s="86"/>
      <c r="W912" s="86"/>
      <c r="X912" s="86"/>
      <c r="Y912" s="86"/>
      <c r="Z912" s="86"/>
      <c r="AA912" s="86"/>
      <c r="AB912" s="86"/>
      <c r="AC912" s="86"/>
      <c r="AD912" s="86"/>
      <c r="AE912" s="86"/>
      <c r="AF912" s="86"/>
      <c r="AG912" s="86"/>
      <c r="AH912" s="86"/>
      <c r="AI912" s="86"/>
      <c r="AJ912" s="86"/>
    </row>
    <row r="913" spans="1:36" x14ac:dyDescent="0.25">
      <c r="A913" s="274"/>
      <c r="B913" s="87"/>
      <c r="C913" s="87"/>
      <c r="D913" s="87"/>
      <c r="E913" s="87"/>
      <c r="F913" s="87"/>
      <c r="G913" s="87"/>
      <c r="H913" s="87"/>
      <c r="I913" s="87"/>
      <c r="J913" s="87"/>
      <c r="K913" s="87"/>
      <c r="L913" s="87"/>
      <c r="M913" s="87"/>
      <c r="N913" s="87"/>
      <c r="O913" s="87"/>
      <c r="P913" s="87"/>
      <c r="Q913" s="87"/>
      <c r="R913" s="87"/>
      <c r="S913" s="87"/>
      <c r="T913" s="87"/>
      <c r="U913" s="87"/>
      <c r="V913" s="87"/>
      <c r="W913" s="87"/>
      <c r="X913" s="87"/>
      <c r="Y913" s="87"/>
      <c r="Z913" s="87"/>
      <c r="AA913" s="87"/>
      <c r="AB913" s="87"/>
      <c r="AC913" s="87"/>
      <c r="AD913" s="87"/>
      <c r="AE913" s="87"/>
      <c r="AF913" s="87"/>
      <c r="AG913" s="87"/>
      <c r="AH913" s="87"/>
      <c r="AI913" s="87"/>
      <c r="AJ913" s="87"/>
    </row>
    <row r="914" spans="1:36" x14ac:dyDescent="0.25">
      <c r="A914" s="273"/>
      <c r="B914" s="86"/>
      <c r="C914" s="86"/>
      <c r="D914" s="86"/>
      <c r="E914" s="86"/>
      <c r="F914" s="86"/>
      <c r="G914" s="86"/>
      <c r="H914" s="86"/>
      <c r="I914" s="86"/>
      <c r="J914" s="86"/>
      <c r="K914" s="86"/>
      <c r="L914" s="86"/>
      <c r="M914" s="86"/>
      <c r="N914" s="86"/>
      <c r="O914" s="86"/>
      <c r="P914" s="86"/>
      <c r="Q914" s="86"/>
      <c r="R914" s="86"/>
      <c r="S914" s="86"/>
      <c r="T914" s="86"/>
      <c r="U914" s="86"/>
      <c r="V914" s="86"/>
      <c r="W914" s="86"/>
      <c r="X914" s="86"/>
      <c r="Y914" s="86"/>
      <c r="Z914" s="86"/>
      <c r="AA914" s="86"/>
      <c r="AB914" s="86"/>
      <c r="AC914" s="86"/>
      <c r="AD914" s="86"/>
      <c r="AE914" s="86"/>
      <c r="AF914" s="86"/>
      <c r="AG914" s="86"/>
      <c r="AH914" s="86"/>
      <c r="AI914" s="86"/>
      <c r="AJ914" s="86"/>
    </row>
    <row r="915" spans="1:36" x14ac:dyDescent="0.25">
      <c r="A915" s="274"/>
      <c r="B915" s="87"/>
      <c r="C915" s="87"/>
      <c r="D915" s="87"/>
      <c r="E915" s="87"/>
      <c r="F915" s="87"/>
      <c r="G915" s="87"/>
      <c r="H915" s="87"/>
      <c r="I915" s="87"/>
      <c r="J915" s="87"/>
      <c r="K915" s="87"/>
      <c r="L915" s="87"/>
      <c r="M915" s="87"/>
      <c r="N915" s="87"/>
      <c r="O915" s="87"/>
      <c r="P915" s="87"/>
      <c r="Q915" s="87"/>
      <c r="R915" s="87"/>
      <c r="S915" s="87"/>
      <c r="T915" s="87"/>
      <c r="U915" s="87"/>
      <c r="V915" s="87"/>
      <c r="W915" s="87"/>
      <c r="X915" s="87"/>
      <c r="Y915" s="87"/>
      <c r="Z915" s="87"/>
      <c r="AA915" s="87"/>
      <c r="AB915" s="87"/>
      <c r="AC915" s="87"/>
      <c r="AD915" s="87"/>
      <c r="AE915" s="87"/>
      <c r="AF915" s="87"/>
      <c r="AG915" s="87"/>
      <c r="AH915" s="87"/>
      <c r="AI915" s="87"/>
      <c r="AJ915" s="87"/>
    </row>
    <row r="916" spans="1:36" x14ac:dyDescent="0.25">
      <c r="A916" s="273"/>
      <c r="B916" s="86"/>
      <c r="C916" s="86"/>
      <c r="D916" s="86"/>
      <c r="E916" s="86"/>
      <c r="F916" s="86"/>
      <c r="G916" s="86"/>
      <c r="H916" s="86"/>
      <c r="I916" s="86"/>
      <c r="J916" s="86"/>
      <c r="K916" s="86"/>
      <c r="L916" s="86"/>
      <c r="M916" s="86"/>
      <c r="N916" s="86"/>
      <c r="O916" s="86"/>
      <c r="P916" s="86"/>
      <c r="Q916" s="86"/>
      <c r="R916" s="86"/>
      <c r="S916" s="86"/>
      <c r="T916" s="86"/>
      <c r="U916" s="86"/>
      <c r="V916" s="86"/>
      <c r="W916" s="86"/>
      <c r="X916" s="86"/>
      <c r="Y916" s="86"/>
      <c r="Z916" s="86"/>
      <c r="AA916" s="86"/>
      <c r="AB916" s="86"/>
      <c r="AC916" s="86"/>
      <c r="AD916" s="86"/>
      <c r="AE916" s="86"/>
      <c r="AF916" s="86"/>
      <c r="AG916" s="86"/>
      <c r="AH916" s="86"/>
      <c r="AI916" s="86"/>
      <c r="AJ916" s="86"/>
    </row>
    <row r="917" spans="1:36" x14ac:dyDescent="0.25">
      <c r="A917" s="274"/>
      <c r="B917" s="87"/>
      <c r="C917" s="87"/>
      <c r="D917" s="87"/>
      <c r="E917" s="87"/>
      <c r="F917" s="87"/>
      <c r="G917" s="87"/>
      <c r="H917" s="87"/>
      <c r="I917" s="87"/>
      <c r="J917" s="87"/>
      <c r="K917" s="87"/>
      <c r="L917" s="87"/>
      <c r="M917" s="87"/>
      <c r="N917" s="87"/>
      <c r="O917" s="87"/>
      <c r="P917" s="87"/>
      <c r="Q917" s="87"/>
      <c r="R917" s="87"/>
      <c r="S917" s="87"/>
      <c r="T917" s="87"/>
      <c r="U917" s="87"/>
      <c r="V917" s="87"/>
      <c r="W917" s="87"/>
      <c r="X917" s="87"/>
      <c r="Y917" s="87"/>
      <c r="Z917" s="87"/>
      <c r="AA917" s="87"/>
      <c r="AB917" s="87"/>
      <c r="AC917" s="87"/>
      <c r="AD917" s="87"/>
      <c r="AE917" s="87"/>
      <c r="AF917" s="87"/>
      <c r="AG917" s="87"/>
      <c r="AH917" s="87"/>
      <c r="AI917" s="87"/>
      <c r="AJ917" s="87"/>
    </row>
    <row r="918" spans="1:36" x14ac:dyDescent="0.25">
      <c r="A918" s="273"/>
      <c r="B918" s="86"/>
      <c r="C918" s="86"/>
      <c r="D918" s="86"/>
      <c r="E918" s="86"/>
      <c r="F918" s="86"/>
      <c r="G918" s="86"/>
      <c r="H918" s="86"/>
      <c r="I918" s="86"/>
      <c r="J918" s="86"/>
      <c r="K918" s="86"/>
      <c r="L918" s="86"/>
      <c r="M918" s="86"/>
      <c r="N918" s="86"/>
      <c r="O918" s="86"/>
      <c r="P918" s="86"/>
      <c r="Q918" s="86"/>
      <c r="R918" s="86"/>
      <c r="S918" s="86"/>
      <c r="T918" s="86"/>
      <c r="U918" s="86"/>
      <c r="V918" s="86"/>
      <c r="W918" s="86"/>
      <c r="X918" s="86"/>
      <c r="Y918" s="86"/>
      <c r="Z918" s="86"/>
      <c r="AA918" s="86"/>
      <c r="AB918" s="86"/>
      <c r="AC918" s="86"/>
      <c r="AD918" s="86"/>
      <c r="AE918" s="86"/>
      <c r="AF918" s="86"/>
      <c r="AG918" s="86"/>
      <c r="AH918" s="86"/>
      <c r="AI918" s="86"/>
      <c r="AJ918" s="86"/>
    </row>
    <row r="919" spans="1:36" x14ac:dyDescent="0.25">
      <c r="A919" s="274"/>
      <c r="B919" s="87"/>
      <c r="C919" s="87"/>
      <c r="D919" s="87"/>
      <c r="E919" s="87"/>
      <c r="F919" s="87"/>
      <c r="G919" s="87"/>
      <c r="H919" s="87"/>
      <c r="I919" s="87"/>
      <c r="J919" s="87"/>
      <c r="K919" s="87"/>
      <c r="L919" s="87"/>
      <c r="M919" s="87"/>
      <c r="N919" s="87"/>
      <c r="O919" s="87"/>
      <c r="P919" s="87"/>
      <c r="Q919" s="87"/>
      <c r="R919" s="87"/>
      <c r="S919" s="87"/>
      <c r="T919" s="87"/>
      <c r="U919" s="87"/>
      <c r="V919" s="87"/>
      <c r="W919" s="87"/>
      <c r="X919" s="87"/>
      <c r="Y919" s="87"/>
      <c r="Z919" s="87"/>
      <c r="AA919" s="87"/>
      <c r="AB919" s="87"/>
      <c r="AC919" s="87"/>
      <c r="AD919" s="87"/>
      <c r="AE919" s="87"/>
      <c r="AF919" s="87"/>
      <c r="AG919" s="87"/>
      <c r="AH919" s="87"/>
      <c r="AI919" s="87"/>
      <c r="AJ919" s="87"/>
    </row>
    <row r="920" spans="1:36" x14ac:dyDescent="0.25">
      <c r="A920" s="273"/>
      <c r="B920" s="86"/>
      <c r="C920" s="86"/>
      <c r="D920" s="86"/>
      <c r="E920" s="86"/>
      <c r="F920" s="86"/>
      <c r="G920" s="86"/>
      <c r="H920" s="86"/>
      <c r="I920" s="86"/>
      <c r="J920" s="86"/>
      <c r="K920" s="86"/>
      <c r="L920" s="86"/>
      <c r="M920" s="86"/>
      <c r="N920" s="86"/>
      <c r="O920" s="86"/>
      <c r="P920" s="86"/>
      <c r="Q920" s="86"/>
      <c r="R920" s="86"/>
      <c r="S920" s="86"/>
      <c r="T920" s="86"/>
      <c r="U920" s="86"/>
      <c r="V920" s="86"/>
      <c r="W920" s="86"/>
      <c r="X920" s="86"/>
      <c r="Y920" s="86"/>
      <c r="Z920" s="86"/>
      <c r="AA920" s="86"/>
      <c r="AB920" s="86"/>
      <c r="AC920" s="86"/>
      <c r="AD920" s="86"/>
      <c r="AE920" s="86"/>
      <c r="AF920" s="86"/>
      <c r="AG920" s="86"/>
      <c r="AH920" s="86"/>
      <c r="AI920" s="86"/>
      <c r="AJ920" s="86"/>
    </row>
    <row r="921" spans="1:36" x14ac:dyDescent="0.25">
      <c r="A921" s="274"/>
      <c r="B921" s="87"/>
      <c r="C921" s="87"/>
      <c r="D921" s="87"/>
      <c r="E921" s="87"/>
      <c r="F921" s="87"/>
      <c r="G921" s="87"/>
      <c r="H921" s="87"/>
      <c r="I921" s="87"/>
      <c r="J921" s="87"/>
      <c r="K921" s="87"/>
      <c r="L921" s="87"/>
      <c r="M921" s="87"/>
      <c r="N921" s="87"/>
      <c r="O921" s="87"/>
      <c r="P921" s="87"/>
      <c r="Q921" s="87"/>
      <c r="R921" s="87"/>
      <c r="S921" s="87"/>
      <c r="T921" s="87"/>
      <c r="U921" s="87"/>
      <c r="V921" s="87"/>
      <c r="W921" s="87"/>
      <c r="X921" s="87"/>
      <c r="Y921" s="87"/>
      <c r="Z921" s="87"/>
      <c r="AA921" s="87"/>
      <c r="AB921" s="87"/>
      <c r="AC921" s="87"/>
      <c r="AD921" s="87"/>
      <c r="AE921" s="87"/>
      <c r="AF921" s="87"/>
      <c r="AG921" s="87"/>
      <c r="AH921" s="87"/>
      <c r="AI921" s="87"/>
      <c r="AJ921" s="87"/>
    </row>
    <row r="922" spans="1:36" x14ac:dyDescent="0.25">
      <c r="A922" s="273"/>
      <c r="B922" s="86"/>
      <c r="C922" s="86"/>
      <c r="D922" s="86"/>
      <c r="E922" s="86"/>
      <c r="F922" s="86"/>
      <c r="G922" s="86"/>
      <c r="H922" s="86"/>
      <c r="I922" s="86"/>
      <c r="J922" s="86"/>
      <c r="K922" s="86"/>
      <c r="L922" s="86"/>
      <c r="M922" s="86"/>
      <c r="N922" s="86"/>
      <c r="O922" s="86"/>
      <c r="P922" s="86"/>
      <c r="Q922" s="86"/>
      <c r="R922" s="86"/>
      <c r="S922" s="86"/>
      <c r="T922" s="86"/>
      <c r="U922" s="86"/>
      <c r="V922" s="86"/>
      <c r="W922" s="86"/>
      <c r="X922" s="86"/>
      <c r="Y922" s="86"/>
      <c r="Z922" s="86"/>
      <c r="AA922" s="86"/>
      <c r="AB922" s="86"/>
      <c r="AC922" s="86"/>
      <c r="AD922" s="86"/>
      <c r="AE922" s="86"/>
      <c r="AF922" s="86"/>
      <c r="AG922" s="86"/>
      <c r="AH922" s="86"/>
      <c r="AI922" s="86"/>
      <c r="AJ922" s="86"/>
    </row>
    <row r="923" spans="1:36" x14ac:dyDescent="0.25">
      <c r="A923" s="274"/>
      <c r="B923" s="87"/>
      <c r="C923" s="87"/>
      <c r="D923" s="87"/>
      <c r="E923" s="87"/>
      <c r="F923" s="87"/>
      <c r="G923" s="87"/>
      <c r="H923" s="87"/>
      <c r="I923" s="87"/>
      <c r="J923" s="87"/>
      <c r="K923" s="87"/>
      <c r="L923" s="87"/>
      <c r="M923" s="87"/>
      <c r="N923" s="87"/>
      <c r="O923" s="87"/>
      <c r="P923" s="87"/>
      <c r="Q923" s="87"/>
      <c r="R923" s="87"/>
      <c r="S923" s="87"/>
      <c r="T923" s="87"/>
      <c r="U923" s="87"/>
      <c r="V923" s="87"/>
      <c r="W923" s="87"/>
      <c r="X923" s="87"/>
      <c r="Y923" s="87"/>
      <c r="Z923" s="87"/>
      <c r="AA923" s="87"/>
      <c r="AB923" s="87"/>
      <c r="AC923" s="87"/>
      <c r="AD923" s="87"/>
      <c r="AE923" s="87"/>
      <c r="AF923" s="87"/>
      <c r="AG923" s="87"/>
      <c r="AH923" s="87"/>
      <c r="AI923" s="87"/>
      <c r="AJ923" s="87"/>
    </row>
    <row r="924" spans="1:36" x14ac:dyDescent="0.25">
      <c r="A924" s="273"/>
      <c r="B924" s="86"/>
      <c r="C924" s="86"/>
      <c r="D924" s="86"/>
      <c r="E924" s="86"/>
      <c r="F924" s="86"/>
      <c r="G924" s="86"/>
      <c r="H924" s="86"/>
      <c r="I924" s="86"/>
      <c r="J924" s="86"/>
      <c r="K924" s="86"/>
      <c r="L924" s="86"/>
      <c r="M924" s="86"/>
      <c r="N924" s="86"/>
      <c r="O924" s="86"/>
      <c r="P924" s="86"/>
      <c r="Q924" s="86"/>
      <c r="R924" s="86"/>
      <c r="S924" s="86"/>
      <c r="T924" s="86"/>
      <c r="U924" s="86"/>
      <c r="V924" s="86"/>
      <c r="W924" s="86"/>
      <c r="X924" s="86"/>
      <c r="Y924" s="86"/>
      <c r="Z924" s="86"/>
      <c r="AA924" s="86"/>
      <c r="AB924" s="86"/>
      <c r="AC924" s="86"/>
      <c r="AD924" s="86"/>
      <c r="AE924" s="86"/>
      <c r="AF924" s="86"/>
      <c r="AG924" s="86"/>
      <c r="AH924" s="86"/>
      <c r="AI924" s="86"/>
      <c r="AJ924" s="86"/>
    </row>
    <row r="925" spans="1:36" x14ac:dyDescent="0.25">
      <c r="A925" s="274"/>
      <c r="B925" s="87"/>
      <c r="C925" s="87"/>
      <c r="D925" s="87"/>
      <c r="E925" s="87"/>
      <c r="F925" s="87"/>
      <c r="G925" s="87"/>
      <c r="H925" s="87"/>
      <c r="I925" s="87"/>
      <c r="J925" s="87"/>
      <c r="K925" s="87"/>
      <c r="L925" s="87"/>
      <c r="M925" s="87"/>
      <c r="N925" s="87"/>
      <c r="O925" s="87"/>
      <c r="P925" s="87"/>
      <c r="Q925" s="87"/>
      <c r="R925" s="87"/>
      <c r="S925" s="87"/>
      <c r="T925" s="87"/>
      <c r="U925" s="87"/>
      <c r="V925" s="87"/>
      <c r="W925" s="87"/>
      <c r="X925" s="87"/>
      <c r="Y925" s="87"/>
      <c r="Z925" s="87"/>
      <c r="AA925" s="87"/>
      <c r="AB925" s="87"/>
      <c r="AC925" s="87"/>
      <c r="AD925" s="87"/>
      <c r="AE925" s="87"/>
      <c r="AF925" s="87"/>
      <c r="AG925" s="87"/>
      <c r="AH925" s="87"/>
      <c r="AI925" s="87"/>
      <c r="AJ925" s="87"/>
    </row>
    <row r="926" spans="1:36" x14ac:dyDescent="0.25">
      <c r="A926" s="273"/>
      <c r="B926" s="86"/>
      <c r="C926" s="86"/>
      <c r="D926" s="86"/>
      <c r="E926" s="86"/>
      <c r="F926" s="86"/>
      <c r="G926" s="86"/>
      <c r="H926" s="86"/>
      <c r="I926" s="86"/>
      <c r="J926" s="86"/>
      <c r="K926" s="86"/>
      <c r="L926" s="86"/>
      <c r="M926" s="86"/>
      <c r="N926" s="86"/>
      <c r="O926" s="86"/>
      <c r="P926" s="86"/>
      <c r="Q926" s="86"/>
      <c r="R926" s="86"/>
      <c r="S926" s="86"/>
      <c r="T926" s="86"/>
      <c r="U926" s="86"/>
      <c r="V926" s="86"/>
      <c r="W926" s="86"/>
      <c r="X926" s="86"/>
      <c r="Y926" s="86"/>
      <c r="Z926" s="86"/>
      <c r="AA926" s="86"/>
      <c r="AB926" s="86"/>
      <c r="AC926" s="86"/>
      <c r="AD926" s="86"/>
      <c r="AE926" s="86"/>
      <c r="AF926" s="86"/>
      <c r="AG926" s="86"/>
      <c r="AH926" s="86"/>
      <c r="AI926" s="86"/>
      <c r="AJ926" s="86"/>
    </row>
    <row r="927" spans="1:36" x14ac:dyDescent="0.25">
      <c r="A927" s="274"/>
      <c r="B927" s="87"/>
      <c r="C927" s="87"/>
      <c r="D927" s="87"/>
      <c r="E927" s="87"/>
      <c r="F927" s="87"/>
      <c r="G927" s="87"/>
      <c r="H927" s="87"/>
      <c r="I927" s="87"/>
      <c r="J927" s="87"/>
      <c r="K927" s="87"/>
      <c r="L927" s="87"/>
      <c r="M927" s="87"/>
      <c r="N927" s="87"/>
      <c r="O927" s="87"/>
      <c r="P927" s="87"/>
      <c r="Q927" s="87"/>
      <c r="R927" s="87"/>
      <c r="S927" s="87"/>
      <c r="T927" s="87"/>
      <c r="U927" s="87"/>
      <c r="V927" s="87"/>
      <c r="W927" s="87"/>
      <c r="X927" s="87"/>
      <c r="Y927" s="87"/>
      <c r="Z927" s="87"/>
      <c r="AA927" s="87"/>
      <c r="AB927" s="87"/>
      <c r="AC927" s="87"/>
      <c r="AD927" s="87"/>
      <c r="AE927" s="87"/>
      <c r="AF927" s="87"/>
      <c r="AG927" s="87"/>
      <c r="AH927" s="87"/>
      <c r="AI927" s="87"/>
      <c r="AJ927" s="87"/>
    </row>
    <row r="928" spans="1:36" x14ac:dyDescent="0.25">
      <c r="A928" s="273"/>
      <c r="B928" s="86"/>
      <c r="C928" s="86"/>
      <c r="D928" s="86"/>
      <c r="E928" s="86"/>
      <c r="F928" s="86"/>
      <c r="G928" s="86"/>
      <c r="H928" s="86"/>
      <c r="I928" s="86"/>
      <c r="J928" s="86"/>
      <c r="K928" s="86"/>
      <c r="L928" s="86"/>
      <c r="M928" s="86"/>
      <c r="N928" s="86"/>
      <c r="O928" s="86"/>
      <c r="P928" s="86"/>
      <c r="Q928" s="86"/>
      <c r="R928" s="86"/>
      <c r="S928" s="86"/>
      <c r="T928" s="86"/>
      <c r="U928" s="86"/>
      <c r="V928" s="86"/>
      <c r="W928" s="86"/>
      <c r="X928" s="86"/>
      <c r="Y928" s="86"/>
      <c r="Z928" s="86"/>
      <c r="AA928" s="86"/>
      <c r="AB928" s="86"/>
      <c r="AC928" s="86"/>
      <c r="AD928" s="86"/>
      <c r="AE928" s="86"/>
      <c r="AF928" s="86"/>
      <c r="AG928" s="86"/>
      <c r="AH928" s="86"/>
      <c r="AI928" s="86"/>
      <c r="AJ928" s="86"/>
    </row>
    <row r="929" spans="1:36" x14ac:dyDescent="0.25">
      <c r="A929" s="274"/>
      <c r="B929" s="87"/>
      <c r="C929" s="87"/>
      <c r="D929" s="87"/>
      <c r="E929" s="87"/>
      <c r="F929" s="87"/>
      <c r="G929" s="87"/>
      <c r="H929" s="87"/>
      <c r="I929" s="87"/>
      <c r="J929" s="87"/>
      <c r="K929" s="87"/>
      <c r="L929" s="87"/>
      <c r="M929" s="87"/>
      <c r="N929" s="87"/>
      <c r="O929" s="87"/>
      <c r="P929" s="87"/>
      <c r="Q929" s="87"/>
      <c r="R929" s="87"/>
      <c r="S929" s="87"/>
      <c r="T929" s="87"/>
      <c r="U929" s="87"/>
      <c r="V929" s="87"/>
      <c r="W929" s="87"/>
      <c r="X929" s="87"/>
      <c r="Y929" s="87"/>
      <c r="Z929" s="87"/>
      <c r="AA929" s="87"/>
      <c r="AB929" s="87"/>
      <c r="AC929" s="87"/>
      <c r="AD929" s="87"/>
      <c r="AE929" s="87"/>
      <c r="AF929" s="87"/>
      <c r="AG929" s="87"/>
      <c r="AH929" s="87"/>
      <c r="AI929" s="87"/>
      <c r="AJ929" s="87"/>
    </row>
    <row r="930" spans="1:36" x14ac:dyDescent="0.25">
      <c r="A930" s="273"/>
      <c r="B930" s="86"/>
      <c r="C930" s="86"/>
      <c r="D930" s="86"/>
      <c r="E930" s="86"/>
      <c r="F930" s="86"/>
      <c r="G930" s="86"/>
      <c r="H930" s="86"/>
      <c r="I930" s="86"/>
      <c r="J930" s="86"/>
      <c r="K930" s="86"/>
      <c r="L930" s="86"/>
      <c r="M930" s="86"/>
      <c r="N930" s="86"/>
      <c r="O930" s="86"/>
      <c r="P930" s="86"/>
      <c r="Q930" s="86"/>
      <c r="R930" s="86"/>
      <c r="S930" s="86"/>
      <c r="T930" s="86"/>
      <c r="U930" s="86"/>
      <c r="V930" s="86"/>
      <c r="W930" s="86"/>
      <c r="X930" s="86"/>
      <c r="Y930" s="86"/>
      <c r="Z930" s="86"/>
      <c r="AA930" s="86"/>
      <c r="AB930" s="86"/>
      <c r="AC930" s="86"/>
      <c r="AD930" s="86"/>
      <c r="AE930" s="86"/>
      <c r="AF930" s="86"/>
      <c r="AG930" s="86"/>
      <c r="AH930" s="86"/>
      <c r="AI930" s="86"/>
      <c r="AJ930" s="86"/>
    </row>
    <row r="931" spans="1:36" x14ac:dyDescent="0.25">
      <c r="A931" s="274"/>
      <c r="B931" s="87"/>
      <c r="C931" s="87"/>
      <c r="D931" s="87"/>
      <c r="E931" s="87"/>
      <c r="F931" s="87"/>
      <c r="G931" s="87"/>
      <c r="H931" s="87"/>
      <c r="I931" s="87"/>
      <c r="J931" s="87"/>
      <c r="K931" s="87"/>
      <c r="L931" s="87"/>
      <c r="M931" s="87"/>
      <c r="N931" s="87"/>
      <c r="O931" s="87"/>
      <c r="P931" s="87"/>
      <c r="Q931" s="87"/>
      <c r="R931" s="87"/>
      <c r="S931" s="87"/>
      <c r="T931" s="87"/>
      <c r="U931" s="87"/>
      <c r="V931" s="87"/>
      <c r="W931" s="87"/>
      <c r="X931" s="87"/>
      <c r="Y931" s="87"/>
      <c r="Z931" s="87"/>
      <c r="AA931" s="87"/>
      <c r="AB931" s="87"/>
      <c r="AC931" s="87"/>
      <c r="AD931" s="87"/>
      <c r="AE931" s="87"/>
      <c r="AF931" s="87"/>
      <c r="AG931" s="87"/>
      <c r="AH931" s="87"/>
      <c r="AI931" s="87"/>
      <c r="AJ931" s="87"/>
    </row>
    <row r="932" spans="1:36" x14ac:dyDescent="0.25">
      <c r="A932" s="273"/>
      <c r="B932" s="86"/>
      <c r="C932" s="86"/>
      <c r="D932" s="86"/>
      <c r="E932" s="86"/>
      <c r="F932" s="86"/>
      <c r="G932" s="86"/>
      <c r="H932" s="86"/>
      <c r="I932" s="86"/>
      <c r="J932" s="86"/>
      <c r="K932" s="86"/>
      <c r="L932" s="86"/>
      <c r="M932" s="86"/>
      <c r="N932" s="86"/>
      <c r="O932" s="86"/>
      <c r="P932" s="86"/>
      <c r="Q932" s="86"/>
      <c r="R932" s="86"/>
      <c r="S932" s="86"/>
      <c r="T932" s="86"/>
      <c r="U932" s="86"/>
      <c r="V932" s="86"/>
      <c r="W932" s="86"/>
      <c r="X932" s="86"/>
      <c r="Y932" s="86"/>
      <c r="Z932" s="86"/>
      <c r="AA932" s="86"/>
      <c r="AB932" s="86"/>
      <c r="AC932" s="86"/>
      <c r="AD932" s="86"/>
      <c r="AE932" s="86"/>
      <c r="AF932" s="86"/>
      <c r="AG932" s="86"/>
      <c r="AH932" s="86"/>
      <c r="AI932" s="86"/>
      <c r="AJ932" s="86"/>
    </row>
    <row r="933" spans="1:36" x14ac:dyDescent="0.25">
      <c r="A933" s="274"/>
      <c r="B933" s="87"/>
      <c r="C933" s="87"/>
      <c r="D933" s="87"/>
      <c r="E933" s="87"/>
      <c r="F933" s="87"/>
      <c r="G933" s="87"/>
      <c r="H933" s="87"/>
      <c r="I933" s="87"/>
      <c r="J933" s="87"/>
      <c r="K933" s="87"/>
      <c r="L933" s="87"/>
      <c r="M933" s="87"/>
      <c r="N933" s="87"/>
      <c r="O933" s="87"/>
      <c r="P933" s="87"/>
      <c r="Q933" s="87"/>
      <c r="R933" s="87"/>
      <c r="S933" s="87"/>
      <c r="T933" s="87"/>
      <c r="U933" s="87"/>
      <c r="V933" s="87"/>
      <c r="W933" s="87"/>
      <c r="X933" s="87"/>
      <c r="Y933" s="87"/>
      <c r="Z933" s="87"/>
      <c r="AA933" s="87"/>
      <c r="AB933" s="87"/>
      <c r="AC933" s="87"/>
      <c r="AD933" s="87"/>
      <c r="AE933" s="87"/>
      <c r="AF933" s="87"/>
      <c r="AG933" s="87"/>
      <c r="AH933" s="87"/>
      <c r="AI933" s="87"/>
      <c r="AJ933" s="87"/>
    </row>
    <row r="934" spans="1:36" x14ac:dyDescent="0.25">
      <c r="A934" s="273"/>
      <c r="B934" s="86"/>
      <c r="C934" s="86"/>
      <c r="D934" s="86"/>
      <c r="E934" s="86"/>
      <c r="F934" s="86"/>
      <c r="G934" s="86"/>
      <c r="H934" s="86"/>
      <c r="I934" s="86"/>
      <c r="J934" s="86"/>
      <c r="K934" s="86"/>
      <c r="L934" s="86"/>
      <c r="M934" s="86"/>
      <c r="N934" s="86"/>
      <c r="O934" s="86"/>
      <c r="P934" s="86"/>
      <c r="Q934" s="86"/>
      <c r="R934" s="86"/>
      <c r="S934" s="86"/>
      <c r="T934" s="86"/>
      <c r="U934" s="86"/>
      <c r="V934" s="86"/>
      <c r="W934" s="86"/>
      <c r="X934" s="86"/>
      <c r="Y934" s="86"/>
      <c r="Z934" s="86"/>
      <c r="AA934" s="86"/>
      <c r="AB934" s="86"/>
      <c r="AC934" s="86"/>
      <c r="AD934" s="86"/>
      <c r="AE934" s="86"/>
      <c r="AF934" s="86"/>
      <c r="AG934" s="86"/>
      <c r="AH934" s="86"/>
      <c r="AI934" s="86"/>
      <c r="AJ934" s="86"/>
    </row>
    <row r="935" spans="1:36" x14ac:dyDescent="0.25">
      <c r="A935" s="274"/>
      <c r="B935" s="87"/>
      <c r="C935" s="87"/>
      <c r="D935" s="87"/>
      <c r="E935" s="87"/>
      <c r="F935" s="87"/>
      <c r="G935" s="87"/>
      <c r="H935" s="87"/>
      <c r="I935" s="87"/>
      <c r="J935" s="87"/>
      <c r="K935" s="87"/>
      <c r="L935" s="87"/>
      <c r="M935" s="87"/>
      <c r="N935" s="87"/>
      <c r="O935" s="87"/>
      <c r="P935" s="87"/>
      <c r="Q935" s="87"/>
      <c r="R935" s="87"/>
      <c r="S935" s="87"/>
      <c r="T935" s="87"/>
      <c r="U935" s="87"/>
      <c r="V935" s="87"/>
      <c r="W935" s="87"/>
      <c r="X935" s="87"/>
      <c r="Y935" s="87"/>
      <c r="Z935" s="87"/>
      <c r="AA935" s="87"/>
      <c r="AB935" s="87"/>
      <c r="AC935" s="87"/>
      <c r="AD935" s="87"/>
      <c r="AE935" s="87"/>
      <c r="AF935" s="87"/>
      <c r="AG935" s="87"/>
      <c r="AH935" s="87"/>
      <c r="AI935" s="87"/>
      <c r="AJ935" s="87"/>
    </row>
    <row r="936" spans="1:36" x14ac:dyDescent="0.25">
      <c r="A936" s="273"/>
      <c r="B936" s="86"/>
      <c r="C936" s="86"/>
      <c r="D936" s="86"/>
      <c r="E936" s="86"/>
      <c r="F936" s="86"/>
      <c r="G936" s="86"/>
      <c r="H936" s="86"/>
      <c r="I936" s="86"/>
      <c r="J936" s="86"/>
      <c r="K936" s="86"/>
      <c r="L936" s="86"/>
      <c r="M936" s="86"/>
      <c r="N936" s="86"/>
      <c r="O936" s="86"/>
      <c r="P936" s="86"/>
      <c r="Q936" s="86"/>
      <c r="R936" s="86"/>
      <c r="S936" s="86"/>
      <c r="T936" s="86"/>
      <c r="U936" s="86"/>
      <c r="V936" s="86"/>
      <c r="W936" s="86"/>
      <c r="X936" s="86"/>
      <c r="Y936" s="86"/>
      <c r="Z936" s="86"/>
      <c r="AA936" s="86"/>
      <c r="AB936" s="86"/>
      <c r="AC936" s="86"/>
      <c r="AD936" s="86"/>
      <c r="AE936" s="86"/>
      <c r="AF936" s="86"/>
      <c r="AG936" s="86"/>
      <c r="AH936" s="86"/>
      <c r="AI936" s="86"/>
      <c r="AJ936" s="86"/>
    </row>
    <row r="937" spans="1:36" x14ac:dyDescent="0.25">
      <c r="A937" s="274"/>
      <c r="B937" s="87"/>
      <c r="C937" s="87"/>
      <c r="D937" s="87"/>
      <c r="E937" s="87"/>
      <c r="F937" s="87"/>
      <c r="G937" s="87"/>
      <c r="H937" s="87"/>
      <c r="I937" s="87"/>
      <c r="J937" s="87"/>
      <c r="K937" s="87"/>
      <c r="L937" s="87"/>
      <c r="M937" s="87"/>
      <c r="N937" s="87"/>
      <c r="O937" s="87"/>
      <c r="P937" s="87"/>
      <c r="Q937" s="87"/>
      <c r="R937" s="87"/>
      <c r="S937" s="87"/>
      <c r="T937" s="87"/>
      <c r="U937" s="87"/>
      <c r="V937" s="87"/>
      <c r="W937" s="87"/>
      <c r="X937" s="87"/>
      <c r="Y937" s="87"/>
      <c r="Z937" s="87"/>
      <c r="AA937" s="87"/>
      <c r="AB937" s="87"/>
      <c r="AC937" s="87"/>
      <c r="AD937" s="87"/>
      <c r="AE937" s="87"/>
      <c r="AF937" s="87"/>
      <c r="AG937" s="87"/>
      <c r="AH937" s="87"/>
      <c r="AI937" s="87"/>
      <c r="AJ937" s="87"/>
    </row>
    <row r="938" spans="1:36" x14ac:dyDescent="0.25">
      <c r="A938" s="273"/>
      <c r="B938" s="86"/>
      <c r="C938" s="86"/>
      <c r="D938" s="86"/>
      <c r="E938" s="86"/>
      <c r="F938" s="86"/>
      <c r="G938" s="86"/>
      <c r="H938" s="86"/>
      <c r="I938" s="86"/>
      <c r="J938" s="86"/>
      <c r="K938" s="86"/>
      <c r="L938" s="86"/>
      <c r="M938" s="86"/>
      <c r="N938" s="86"/>
      <c r="O938" s="86"/>
      <c r="P938" s="86"/>
      <c r="Q938" s="86"/>
      <c r="R938" s="86"/>
      <c r="S938" s="86"/>
      <c r="T938" s="86"/>
      <c r="U938" s="86"/>
      <c r="V938" s="86"/>
      <c r="W938" s="86"/>
      <c r="X938" s="86"/>
      <c r="Y938" s="86"/>
      <c r="Z938" s="86"/>
      <c r="AA938" s="86"/>
      <c r="AB938" s="86"/>
      <c r="AC938" s="86"/>
      <c r="AD938" s="86"/>
      <c r="AE938" s="86"/>
      <c r="AF938" s="86"/>
      <c r="AG938" s="86"/>
      <c r="AH938" s="86"/>
      <c r="AI938" s="86"/>
      <c r="AJ938" s="86"/>
    </row>
    <row r="939" spans="1:36" x14ac:dyDescent="0.25">
      <c r="A939" s="274"/>
      <c r="B939" s="87"/>
      <c r="C939" s="87"/>
      <c r="D939" s="87"/>
      <c r="E939" s="87"/>
      <c r="F939" s="87"/>
      <c r="G939" s="87"/>
      <c r="H939" s="87"/>
      <c r="I939" s="87"/>
      <c r="J939" s="87"/>
      <c r="K939" s="87"/>
      <c r="L939" s="87"/>
      <c r="M939" s="87"/>
      <c r="N939" s="87"/>
      <c r="O939" s="87"/>
      <c r="P939" s="87"/>
      <c r="Q939" s="87"/>
      <c r="R939" s="87"/>
      <c r="S939" s="87"/>
      <c r="T939" s="87"/>
      <c r="U939" s="87"/>
      <c r="V939" s="87"/>
      <c r="W939" s="87"/>
      <c r="X939" s="87"/>
      <c r="Y939" s="87"/>
      <c r="Z939" s="87"/>
      <c r="AA939" s="87"/>
      <c r="AB939" s="87"/>
      <c r="AC939" s="87"/>
      <c r="AD939" s="87"/>
      <c r="AE939" s="87"/>
      <c r="AF939" s="87"/>
      <c r="AG939" s="87"/>
      <c r="AH939" s="87"/>
      <c r="AI939" s="87"/>
      <c r="AJ939" s="87"/>
    </row>
    <row r="940" spans="1:36" x14ac:dyDescent="0.25">
      <c r="A940" s="273"/>
      <c r="B940" s="86"/>
      <c r="C940" s="86"/>
      <c r="D940" s="86"/>
      <c r="E940" s="86"/>
      <c r="F940" s="86"/>
      <c r="G940" s="86"/>
      <c r="H940" s="86"/>
      <c r="I940" s="86"/>
      <c r="J940" s="86"/>
      <c r="K940" s="86"/>
      <c r="L940" s="86"/>
      <c r="M940" s="86"/>
      <c r="N940" s="86"/>
      <c r="O940" s="86"/>
      <c r="P940" s="86"/>
      <c r="Q940" s="86"/>
      <c r="R940" s="86"/>
      <c r="S940" s="86"/>
      <c r="T940" s="86"/>
      <c r="U940" s="86"/>
      <c r="V940" s="86"/>
      <c r="W940" s="86"/>
      <c r="X940" s="86"/>
      <c r="Y940" s="86"/>
      <c r="Z940" s="86"/>
      <c r="AA940" s="86"/>
      <c r="AB940" s="86"/>
      <c r="AC940" s="86"/>
      <c r="AD940" s="86"/>
      <c r="AE940" s="86"/>
      <c r="AF940" s="86"/>
      <c r="AG940" s="86"/>
      <c r="AH940" s="86"/>
      <c r="AI940" s="86"/>
      <c r="AJ940" s="86"/>
    </row>
    <row r="941" spans="1:36" x14ac:dyDescent="0.25">
      <c r="A941" s="274"/>
      <c r="B941" s="87"/>
      <c r="C941" s="87"/>
      <c r="D941" s="87"/>
      <c r="E941" s="87"/>
      <c r="F941" s="87"/>
      <c r="G941" s="87"/>
      <c r="H941" s="87"/>
      <c r="I941" s="87"/>
      <c r="J941" s="87"/>
      <c r="K941" s="87"/>
      <c r="L941" s="87"/>
      <c r="M941" s="87"/>
      <c r="N941" s="87"/>
      <c r="O941" s="87"/>
      <c r="P941" s="87"/>
      <c r="Q941" s="87"/>
      <c r="R941" s="87"/>
      <c r="S941" s="87"/>
      <c r="T941" s="87"/>
      <c r="U941" s="87"/>
      <c r="V941" s="87"/>
      <c r="W941" s="87"/>
      <c r="X941" s="87"/>
      <c r="Y941" s="87"/>
      <c r="Z941" s="87"/>
      <c r="AA941" s="87"/>
      <c r="AB941" s="87"/>
      <c r="AC941" s="87"/>
      <c r="AD941" s="87"/>
      <c r="AE941" s="87"/>
      <c r="AF941" s="87"/>
      <c r="AG941" s="87"/>
      <c r="AH941" s="87"/>
      <c r="AI941" s="87"/>
      <c r="AJ941" s="87"/>
    </row>
    <row r="942" spans="1:36" x14ac:dyDescent="0.25">
      <c r="A942" s="273"/>
      <c r="B942" s="86"/>
      <c r="C942" s="86"/>
      <c r="D942" s="86"/>
      <c r="E942" s="86"/>
      <c r="F942" s="86"/>
      <c r="G942" s="86"/>
      <c r="H942" s="86"/>
      <c r="I942" s="86"/>
      <c r="J942" s="86"/>
      <c r="K942" s="86"/>
      <c r="L942" s="86"/>
      <c r="M942" s="86"/>
      <c r="N942" s="86"/>
      <c r="O942" s="86"/>
      <c r="P942" s="86"/>
      <c r="Q942" s="86"/>
      <c r="R942" s="86"/>
      <c r="S942" s="86"/>
      <c r="T942" s="86"/>
      <c r="U942" s="86"/>
      <c r="V942" s="86"/>
      <c r="W942" s="86"/>
      <c r="X942" s="86"/>
      <c r="Y942" s="86"/>
      <c r="Z942" s="86"/>
      <c r="AA942" s="86"/>
      <c r="AB942" s="86"/>
      <c r="AC942" s="86"/>
      <c r="AD942" s="86"/>
      <c r="AE942" s="86"/>
      <c r="AF942" s="86"/>
      <c r="AG942" s="86"/>
      <c r="AH942" s="86"/>
      <c r="AI942" s="86"/>
      <c r="AJ942" s="86"/>
    </row>
    <row r="943" spans="1:36" x14ac:dyDescent="0.25">
      <c r="A943" s="274"/>
      <c r="B943" s="87"/>
      <c r="C943" s="87"/>
      <c r="D943" s="87"/>
      <c r="E943" s="87"/>
      <c r="F943" s="87"/>
      <c r="G943" s="87"/>
      <c r="H943" s="87"/>
      <c r="I943" s="87"/>
      <c r="J943" s="87"/>
      <c r="K943" s="87"/>
      <c r="L943" s="87"/>
      <c r="M943" s="87"/>
      <c r="N943" s="87"/>
      <c r="O943" s="87"/>
      <c r="P943" s="87"/>
      <c r="Q943" s="87"/>
      <c r="R943" s="87"/>
      <c r="S943" s="87"/>
      <c r="T943" s="87"/>
      <c r="U943" s="87"/>
      <c r="V943" s="87"/>
      <c r="W943" s="87"/>
      <c r="X943" s="87"/>
      <c r="Y943" s="87"/>
      <c r="Z943" s="87"/>
      <c r="AA943" s="87"/>
      <c r="AB943" s="87"/>
      <c r="AC943" s="87"/>
      <c r="AD943" s="87"/>
      <c r="AE943" s="87"/>
      <c r="AF943" s="87"/>
      <c r="AG943" s="87"/>
      <c r="AH943" s="87"/>
      <c r="AI943" s="87"/>
      <c r="AJ943" s="87"/>
    </row>
    <row r="944" spans="1:36" x14ac:dyDescent="0.25">
      <c r="A944" s="273"/>
      <c r="B944" s="86"/>
      <c r="C944" s="86"/>
      <c r="D944" s="86"/>
      <c r="E944" s="86"/>
      <c r="F944" s="86"/>
      <c r="G944" s="86"/>
      <c r="H944" s="86"/>
      <c r="I944" s="86"/>
      <c r="J944" s="86"/>
      <c r="K944" s="86"/>
      <c r="L944" s="86"/>
      <c r="M944" s="86"/>
      <c r="N944" s="86"/>
      <c r="O944" s="86"/>
      <c r="P944" s="86"/>
      <c r="Q944" s="86"/>
      <c r="R944" s="86"/>
      <c r="S944" s="86"/>
      <c r="T944" s="86"/>
      <c r="U944" s="86"/>
      <c r="V944" s="86"/>
      <c r="W944" s="86"/>
      <c r="X944" s="86"/>
      <c r="Y944" s="86"/>
      <c r="Z944" s="86"/>
      <c r="AA944" s="86"/>
      <c r="AB944" s="86"/>
      <c r="AC944" s="86"/>
      <c r="AD944" s="86"/>
      <c r="AE944" s="86"/>
      <c r="AF944" s="86"/>
      <c r="AG944" s="86"/>
      <c r="AH944" s="86"/>
      <c r="AI944" s="86"/>
      <c r="AJ944" s="86"/>
    </row>
    <row r="945" spans="1:36" x14ac:dyDescent="0.25">
      <c r="A945" s="274"/>
      <c r="B945" s="87"/>
      <c r="C945" s="87"/>
      <c r="D945" s="87"/>
      <c r="E945" s="87"/>
      <c r="F945" s="87"/>
      <c r="G945" s="87"/>
      <c r="H945" s="87"/>
      <c r="I945" s="87"/>
      <c r="J945" s="87"/>
      <c r="K945" s="87"/>
      <c r="L945" s="87"/>
      <c r="M945" s="87"/>
      <c r="N945" s="87"/>
      <c r="O945" s="87"/>
      <c r="P945" s="87"/>
      <c r="Q945" s="87"/>
      <c r="R945" s="87"/>
      <c r="S945" s="87"/>
      <c r="T945" s="87"/>
      <c r="U945" s="87"/>
      <c r="V945" s="87"/>
      <c r="W945" s="87"/>
      <c r="X945" s="87"/>
      <c r="Y945" s="87"/>
      <c r="Z945" s="87"/>
      <c r="AA945" s="87"/>
      <c r="AB945" s="87"/>
      <c r="AC945" s="87"/>
      <c r="AD945" s="87"/>
      <c r="AE945" s="87"/>
      <c r="AF945" s="87"/>
      <c r="AG945" s="87"/>
      <c r="AH945" s="87"/>
      <c r="AI945" s="87"/>
      <c r="AJ945" s="87"/>
    </row>
    <row r="946" spans="1:36" x14ac:dyDescent="0.25">
      <c r="A946" s="273"/>
      <c r="B946" s="86"/>
      <c r="C946" s="86"/>
      <c r="D946" s="86"/>
      <c r="E946" s="86"/>
      <c r="F946" s="86"/>
      <c r="G946" s="86"/>
      <c r="H946" s="86"/>
      <c r="I946" s="86"/>
      <c r="J946" s="86"/>
      <c r="K946" s="86"/>
      <c r="L946" s="86"/>
      <c r="M946" s="86"/>
      <c r="N946" s="86"/>
      <c r="O946" s="86"/>
      <c r="P946" s="86"/>
      <c r="Q946" s="86"/>
      <c r="R946" s="86"/>
      <c r="S946" s="86"/>
      <c r="T946" s="86"/>
      <c r="U946" s="86"/>
      <c r="V946" s="86"/>
      <c r="W946" s="86"/>
      <c r="X946" s="86"/>
      <c r="Y946" s="86"/>
      <c r="Z946" s="86"/>
      <c r="AA946" s="86"/>
      <c r="AB946" s="86"/>
      <c r="AC946" s="86"/>
      <c r="AD946" s="86"/>
      <c r="AE946" s="86"/>
      <c r="AF946" s="86"/>
      <c r="AG946" s="86"/>
      <c r="AH946" s="86"/>
      <c r="AI946" s="86"/>
      <c r="AJ946" s="86"/>
    </row>
    <row r="947" spans="1:36" x14ac:dyDescent="0.25">
      <c r="A947" s="274"/>
      <c r="B947" s="87"/>
      <c r="C947" s="87"/>
      <c r="D947" s="87"/>
      <c r="E947" s="87"/>
      <c r="F947" s="87"/>
      <c r="G947" s="87"/>
      <c r="H947" s="87"/>
      <c r="I947" s="87"/>
      <c r="J947" s="87"/>
      <c r="K947" s="87"/>
      <c r="L947" s="87"/>
      <c r="M947" s="87"/>
      <c r="N947" s="87"/>
      <c r="O947" s="87"/>
      <c r="P947" s="87"/>
      <c r="Q947" s="87"/>
      <c r="R947" s="87"/>
      <c r="S947" s="87"/>
      <c r="T947" s="87"/>
      <c r="U947" s="87"/>
      <c r="V947" s="87"/>
      <c r="W947" s="87"/>
      <c r="X947" s="87"/>
      <c r="Y947" s="87"/>
      <c r="Z947" s="87"/>
      <c r="AA947" s="87"/>
      <c r="AB947" s="87"/>
      <c r="AC947" s="87"/>
      <c r="AD947" s="87"/>
      <c r="AE947" s="87"/>
      <c r="AF947" s="87"/>
      <c r="AG947" s="87"/>
      <c r="AH947" s="87"/>
      <c r="AI947" s="87"/>
      <c r="AJ947" s="87"/>
    </row>
    <row r="948" spans="1:36" x14ac:dyDescent="0.25">
      <c r="A948" s="273"/>
      <c r="B948" s="86"/>
      <c r="C948" s="86"/>
      <c r="D948" s="86"/>
      <c r="E948" s="86"/>
      <c r="F948" s="86"/>
      <c r="G948" s="86"/>
      <c r="H948" s="86"/>
      <c r="I948" s="86"/>
      <c r="J948" s="86"/>
      <c r="K948" s="86"/>
      <c r="L948" s="86"/>
      <c r="M948" s="86"/>
      <c r="N948" s="86"/>
      <c r="O948" s="86"/>
      <c r="P948" s="86"/>
      <c r="Q948" s="86"/>
      <c r="R948" s="86"/>
      <c r="S948" s="86"/>
      <c r="T948" s="86"/>
      <c r="U948" s="86"/>
      <c r="V948" s="86"/>
      <c r="W948" s="86"/>
      <c r="X948" s="86"/>
      <c r="Y948" s="86"/>
      <c r="Z948" s="86"/>
      <c r="AA948" s="86"/>
      <c r="AB948" s="86"/>
      <c r="AC948" s="86"/>
      <c r="AD948" s="86"/>
      <c r="AE948" s="86"/>
      <c r="AF948" s="86"/>
      <c r="AG948" s="86"/>
      <c r="AH948" s="86"/>
      <c r="AI948" s="86"/>
      <c r="AJ948" s="86"/>
    </row>
    <row r="949" spans="1:36" x14ac:dyDescent="0.25">
      <c r="A949" s="274"/>
      <c r="B949" s="87"/>
      <c r="C949" s="87"/>
      <c r="D949" s="87"/>
      <c r="E949" s="87"/>
      <c r="F949" s="87"/>
      <c r="G949" s="87"/>
      <c r="H949" s="87"/>
      <c r="I949" s="87"/>
      <c r="J949" s="87"/>
      <c r="K949" s="87"/>
      <c r="L949" s="87"/>
      <c r="M949" s="87"/>
      <c r="N949" s="87"/>
      <c r="O949" s="87"/>
      <c r="P949" s="87"/>
      <c r="Q949" s="87"/>
      <c r="R949" s="87"/>
      <c r="S949" s="87"/>
      <c r="T949" s="87"/>
      <c r="U949" s="87"/>
      <c r="V949" s="87"/>
      <c r="W949" s="87"/>
      <c r="X949" s="87"/>
      <c r="Y949" s="87"/>
      <c r="Z949" s="87"/>
      <c r="AA949" s="87"/>
      <c r="AB949" s="87"/>
      <c r="AC949" s="87"/>
      <c r="AD949" s="87"/>
      <c r="AE949" s="87"/>
      <c r="AF949" s="87"/>
      <c r="AG949" s="87"/>
      <c r="AH949" s="87"/>
      <c r="AI949" s="87"/>
      <c r="AJ949" s="87"/>
    </row>
    <row r="950" spans="1:36" x14ac:dyDescent="0.25">
      <c r="A950" s="273"/>
      <c r="B950" s="86"/>
      <c r="C950" s="86"/>
      <c r="D950" s="86"/>
      <c r="E950" s="86"/>
      <c r="F950" s="86"/>
      <c r="G950" s="86"/>
      <c r="H950" s="86"/>
      <c r="I950" s="86"/>
      <c r="J950" s="86"/>
      <c r="K950" s="86"/>
      <c r="L950" s="86"/>
      <c r="M950" s="86"/>
      <c r="N950" s="86"/>
      <c r="O950" s="86"/>
      <c r="P950" s="86"/>
      <c r="Q950" s="86"/>
      <c r="R950" s="86"/>
      <c r="S950" s="86"/>
      <c r="T950" s="86"/>
      <c r="U950" s="86"/>
      <c r="V950" s="86"/>
      <c r="W950" s="86"/>
      <c r="X950" s="86"/>
      <c r="Y950" s="86"/>
      <c r="Z950" s="86"/>
      <c r="AA950" s="86"/>
      <c r="AB950" s="86"/>
      <c r="AC950" s="86"/>
      <c r="AD950" s="86"/>
      <c r="AE950" s="86"/>
      <c r="AF950" s="86"/>
      <c r="AG950" s="86"/>
      <c r="AH950" s="86"/>
      <c r="AI950" s="86"/>
      <c r="AJ950" s="86"/>
    </row>
    <row r="951" spans="1:36" x14ac:dyDescent="0.25">
      <c r="A951" s="274"/>
      <c r="B951" s="87"/>
      <c r="C951" s="87"/>
      <c r="D951" s="87"/>
      <c r="E951" s="87"/>
      <c r="F951" s="87"/>
      <c r="G951" s="87"/>
      <c r="H951" s="87"/>
      <c r="I951" s="87"/>
      <c r="J951" s="87"/>
      <c r="K951" s="87"/>
      <c r="L951" s="87"/>
      <c r="M951" s="87"/>
      <c r="N951" s="87"/>
      <c r="O951" s="87"/>
      <c r="P951" s="87"/>
      <c r="Q951" s="87"/>
      <c r="R951" s="87"/>
      <c r="S951" s="87"/>
      <c r="T951" s="87"/>
      <c r="U951" s="87"/>
      <c r="V951" s="87"/>
      <c r="W951" s="87"/>
      <c r="X951" s="87"/>
      <c r="Y951" s="87"/>
      <c r="Z951" s="87"/>
      <c r="AA951" s="87"/>
      <c r="AB951" s="87"/>
      <c r="AC951" s="87"/>
      <c r="AD951" s="87"/>
      <c r="AE951" s="87"/>
      <c r="AF951" s="87"/>
      <c r="AG951" s="87"/>
      <c r="AH951" s="87"/>
      <c r="AI951" s="87"/>
      <c r="AJ951" s="87"/>
    </row>
    <row r="952" spans="1:36" x14ac:dyDescent="0.25">
      <c r="A952" s="273"/>
      <c r="B952" s="86"/>
      <c r="C952" s="86"/>
      <c r="D952" s="86"/>
      <c r="E952" s="86"/>
      <c r="F952" s="86"/>
      <c r="G952" s="86"/>
      <c r="H952" s="86"/>
      <c r="I952" s="86"/>
      <c r="J952" s="86"/>
      <c r="K952" s="86"/>
      <c r="L952" s="86"/>
      <c r="M952" s="86"/>
      <c r="N952" s="86"/>
      <c r="O952" s="86"/>
      <c r="P952" s="86"/>
      <c r="Q952" s="86"/>
      <c r="R952" s="86"/>
      <c r="S952" s="86"/>
      <c r="T952" s="86"/>
      <c r="U952" s="86"/>
      <c r="V952" s="86"/>
      <c r="W952" s="86"/>
      <c r="X952" s="86"/>
      <c r="Y952" s="86"/>
      <c r="Z952" s="86"/>
      <c r="AA952" s="86"/>
      <c r="AB952" s="86"/>
      <c r="AC952" s="86"/>
      <c r="AD952" s="86"/>
      <c r="AE952" s="86"/>
      <c r="AF952" s="86"/>
      <c r="AG952" s="86"/>
      <c r="AH952" s="86"/>
      <c r="AI952" s="86"/>
      <c r="AJ952" s="86"/>
    </row>
    <row r="953" spans="1:36" x14ac:dyDescent="0.25">
      <c r="A953" s="274"/>
      <c r="B953" s="87"/>
      <c r="C953" s="87"/>
      <c r="D953" s="87"/>
      <c r="E953" s="87"/>
      <c r="F953" s="87"/>
      <c r="G953" s="87"/>
      <c r="H953" s="87"/>
      <c r="I953" s="87"/>
      <c r="J953" s="87"/>
      <c r="K953" s="87"/>
      <c r="L953" s="87"/>
      <c r="M953" s="87"/>
      <c r="N953" s="87"/>
      <c r="O953" s="87"/>
      <c r="P953" s="87"/>
      <c r="Q953" s="87"/>
      <c r="R953" s="87"/>
      <c r="S953" s="87"/>
      <c r="T953" s="87"/>
      <c r="U953" s="87"/>
      <c r="V953" s="87"/>
      <c r="W953" s="87"/>
      <c r="X953" s="87"/>
      <c r="Y953" s="87"/>
      <c r="Z953" s="87"/>
      <c r="AA953" s="87"/>
      <c r="AB953" s="87"/>
      <c r="AC953" s="87"/>
      <c r="AD953" s="87"/>
      <c r="AE953" s="87"/>
      <c r="AF953" s="87"/>
      <c r="AG953" s="87"/>
      <c r="AH953" s="87"/>
      <c r="AI953" s="87"/>
      <c r="AJ953" s="87"/>
    </row>
    <row r="954" spans="1:36" x14ac:dyDescent="0.25">
      <c r="A954" s="273"/>
      <c r="B954" s="86"/>
      <c r="C954" s="86"/>
      <c r="D954" s="86"/>
      <c r="E954" s="86"/>
      <c r="F954" s="86"/>
      <c r="G954" s="86"/>
      <c r="H954" s="86"/>
      <c r="I954" s="86"/>
      <c r="J954" s="86"/>
      <c r="K954" s="86"/>
      <c r="L954" s="86"/>
      <c r="M954" s="86"/>
      <c r="N954" s="86"/>
      <c r="O954" s="86"/>
      <c r="P954" s="86"/>
      <c r="Q954" s="86"/>
      <c r="R954" s="86"/>
      <c r="S954" s="86"/>
      <c r="T954" s="86"/>
      <c r="U954" s="86"/>
      <c r="V954" s="86"/>
      <c r="W954" s="86"/>
      <c r="X954" s="86"/>
      <c r="Y954" s="86"/>
      <c r="Z954" s="86"/>
      <c r="AA954" s="86"/>
      <c r="AB954" s="86"/>
      <c r="AC954" s="86"/>
      <c r="AD954" s="86"/>
      <c r="AE954" s="86"/>
      <c r="AF954" s="86"/>
      <c r="AG954" s="86"/>
      <c r="AH954" s="86"/>
      <c r="AI954" s="86"/>
      <c r="AJ954" s="86"/>
    </row>
    <row r="955" spans="1:36" x14ac:dyDescent="0.25">
      <c r="A955" s="274"/>
      <c r="B955" s="87"/>
      <c r="C955" s="87"/>
      <c r="D955" s="87"/>
      <c r="E955" s="87"/>
      <c r="F955" s="87"/>
      <c r="G955" s="87"/>
      <c r="H955" s="87"/>
      <c r="I955" s="87"/>
      <c r="J955" s="87"/>
      <c r="K955" s="87"/>
      <c r="L955" s="87"/>
      <c r="M955" s="87"/>
      <c r="N955" s="87"/>
      <c r="O955" s="87"/>
      <c r="P955" s="87"/>
      <c r="Q955" s="87"/>
      <c r="R955" s="87"/>
      <c r="S955" s="87"/>
      <c r="T955" s="87"/>
      <c r="U955" s="87"/>
      <c r="V955" s="87"/>
      <c r="W955" s="87"/>
      <c r="X955" s="87"/>
      <c r="Y955" s="87"/>
      <c r="Z955" s="87"/>
      <c r="AA955" s="87"/>
      <c r="AB955" s="87"/>
      <c r="AC955" s="87"/>
      <c r="AD955" s="87"/>
      <c r="AE955" s="87"/>
      <c r="AF955" s="87"/>
      <c r="AG955" s="87"/>
      <c r="AH955" s="87"/>
      <c r="AI955" s="87"/>
      <c r="AJ955" s="87"/>
    </row>
    <row r="956" spans="1:36" x14ac:dyDescent="0.25">
      <c r="A956" s="273"/>
      <c r="B956" s="86"/>
      <c r="C956" s="86"/>
      <c r="D956" s="86"/>
      <c r="E956" s="86"/>
      <c r="F956" s="86"/>
      <c r="G956" s="86"/>
      <c r="H956" s="86"/>
      <c r="I956" s="86"/>
      <c r="J956" s="86"/>
      <c r="K956" s="86"/>
      <c r="L956" s="86"/>
      <c r="M956" s="86"/>
      <c r="N956" s="86"/>
      <c r="O956" s="86"/>
      <c r="P956" s="86"/>
      <c r="Q956" s="86"/>
      <c r="R956" s="86"/>
      <c r="S956" s="86"/>
      <c r="T956" s="86"/>
      <c r="U956" s="86"/>
      <c r="V956" s="86"/>
      <c r="W956" s="86"/>
      <c r="X956" s="86"/>
      <c r="Y956" s="86"/>
      <c r="Z956" s="86"/>
      <c r="AA956" s="86"/>
      <c r="AB956" s="86"/>
      <c r="AC956" s="86"/>
      <c r="AD956" s="86"/>
      <c r="AE956" s="86"/>
      <c r="AF956" s="86"/>
      <c r="AG956" s="86"/>
      <c r="AH956" s="86"/>
      <c r="AI956" s="86"/>
      <c r="AJ956" s="86"/>
    </row>
    <row r="957" spans="1:36" x14ac:dyDescent="0.25">
      <c r="A957" s="274"/>
      <c r="B957" s="87"/>
      <c r="C957" s="87"/>
      <c r="D957" s="87"/>
      <c r="E957" s="87"/>
      <c r="F957" s="87"/>
      <c r="G957" s="87"/>
      <c r="H957" s="87"/>
      <c r="I957" s="87"/>
      <c r="J957" s="87"/>
      <c r="K957" s="87"/>
      <c r="L957" s="87"/>
      <c r="M957" s="87"/>
      <c r="N957" s="87"/>
      <c r="O957" s="87"/>
      <c r="P957" s="87"/>
      <c r="Q957" s="87"/>
      <c r="R957" s="87"/>
      <c r="S957" s="87"/>
      <c r="T957" s="87"/>
      <c r="U957" s="87"/>
      <c r="V957" s="87"/>
      <c r="W957" s="87"/>
      <c r="X957" s="87"/>
      <c r="Y957" s="87"/>
      <c r="Z957" s="87"/>
      <c r="AA957" s="87"/>
      <c r="AB957" s="87"/>
      <c r="AC957" s="87"/>
      <c r="AD957" s="87"/>
      <c r="AE957" s="87"/>
      <c r="AF957" s="87"/>
      <c r="AG957" s="87"/>
      <c r="AH957" s="87"/>
      <c r="AI957" s="87"/>
      <c r="AJ957" s="87"/>
    </row>
    <row r="958" spans="1:36" x14ac:dyDescent="0.25">
      <c r="A958" s="273"/>
      <c r="B958" s="86"/>
      <c r="C958" s="86"/>
      <c r="D958" s="86"/>
      <c r="E958" s="86"/>
      <c r="F958" s="86"/>
      <c r="G958" s="86"/>
      <c r="H958" s="86"/>
      <c r="I958" s="86"/>
      <c r="J958" s="86"/>
      <c r="K958" s="86"/>
      <c r="L958" s="86"/>
      <c r="M958" s="86"/>
      <c r="N958" s="86"/>
      <c r="O958" s="86"/>
      <c r="P958" s="86"/>
      <c r="Q958" s="86"/>
      <c r="R958" s="86"/>
      <c r="S958" s="86"/>
      <c r="T958" s="86"/>
      <c r="U958" s="86"/>
      <c r="V958" s="86"/>
      <c r="W958" s="86"/>
      <c r="X958" s="86"/>
      <c r="Y958" s="86"/>
      <c r="Z958" s="86"/>
      <c r="AA958" s="86"/>
      <c r="AB958" s="86"/>
      <c r="AC958" s="86"/>
      <c r="AD958" s="86"/>
      <c r="AE958" s="86"/>
      <c r="AF958" s="86"/>
      <c r="AG958" s="86"/>
      <c r="AH958" s="86"/>
      <c r="AI958" s="86"/>
      <c r="AJ958" s="86"/>
    </row>
    <row r="959" spans="1:36" x14ac:dyDescent="0.25">
      <c r="A959" s="274"/>
      <c r="B959" s="87"/>
      <c r="C959" s="87"/>
      <c r="D959" s="87"/>
      <c r="E959" s="87"/>
      <c r="F959" s="87"/>
      <c r="G959" s="87"/>
      <c r="H959" s="87"/>
      <c r="I959" s="87"/>
      <c r="J959" s="87"/>
      <c r="K959" s="87"/>
      <c r="L959" s="87"/>
      <c r="M959" s="87"/>
      <c r="N959" s="87"/>
      <c r="O959" s="87"/>
      <c r="P959" s="87"/>
      <c r="Q959" s="87"/>
      <c r="R959" s="87"/>
      <c r="S959" s="87"/>
      <c r="T959" s="87"/>
      <c r="U959" s="87"/>
      <c r="V959" s="87"/>
      <c r="W959" s="87"/>
      <c r="X959" s="87"/>
      <c r="Y959" s="87"/>
      <c r="Z959" s="87"/>
      <c r="AA959" s="87"/>
      <c r="AB959" s="87"/>
      <c r="AC959" s="87"/>
      <c r="AD959" s="87"/>
      <c r="AE959" s="87"/>
      <c r="AF959" s="87"/>
      <c r="AG959" s="87"/>
      <c r="AH959" s="87"/>
      <c r="AI959" s="87"/>
      <c r="AJ959" s="87"/>
    </row>
    <row r="960" spans="1:36" x14ac:dyDescent="0.25">
      <c r="A960" s="273"/>
      <c r="B960" s="86"/>
      <c r="C960" s="86"/>
      <c r="D960" s="86"/>
      <c r="E960" s="86"/>
      <c r="F960" s="86"/>
      <c r="G960" s="86"/>
      <c r="H960" s="86"/>
      <c r="I960" s="86"/>
      <c r="J960" s="86"/>
      <c r="K960" s="86"/>
      <c r="L960" s="86"/>
      <c r="M960" s="86"/>
      <c r="N960" s="86"/>
      <c r="O960" s="86"/>
      <c r="P960" s="86"/>
      <c r="Q960" s="86"/>
      <c r="R960" s="86"/>
      <c r="S960" s="86"/>
      <c r="T960" s="86"/>
      <c r="U960" s="86"/>
      <c r="V960" s="86"/>
      <c r="W960" s="86"/>
      <c r="X960" s="86"/>
      <c r="Y960" s="86"/>
      <c r="Z960" s="86"/>
      <c r="AA960" s="86"/>
      <c r="AB960" s="86"/>
      <c r="AC960" s="86"/>
      <c r="AD960" s="86"/>
      <c r="AE960" s="86"/>
      <c r="AF960" s="86"/>
      <c r="AG960" s="86"/>
      <c r="AH960" s="86"/>
      <c r="AI960" s="86"/>
      <c r="AJ960" s="86"/>
    </row>
    <row r="961" spans="1:36" x14ac:dyDescent="0.25">
      <c r="A961" s="274"/>
      <c r="B961" s="87"/>
      <c r="C961" s="87"/>
      <c r="D961" s="87"/>
      <c r="E961" s="87"/>
      <c r="F961" s="87"/>
      <c r="G961" s="87"/>
      <c r="H961" s="87"/>
      <c r="I961" s="87"/>
      <c r="J961" s="87"/>
      <c r="K961" s="87"/>
      <c r="L961" s="87"/>
      <c r="M961" s="87"/>
      <c r="N961" s="87"/>
      <c r="O961" s="87"/>
      <c r="P961" s="87"/>
      <c r="Q961" s="87"/>
      <c r="R961" s="87"/>
      <c r="S961" s="87"/>
      <c r="T961" s="87"/>
      <c r="U961" s="87"/>
      <c r="V961" s="87"/>
      <c r="W961" s="87"/>
      <c r="X961" s="87"/>
      <c r="Y961" s="87"/>
      <c r="Z961" s="87"/>
      <c r="AA961" s="87"/>
      <c r="AB961" s="87"/>
      <c r="AC961" s="87"/>
      <c r="AD961" s="87"/>
      <c r="AE961" s="87"/>
      <c r="AF961" s="87"/>
      <c r="AG961" s="87"/>
      <c r="AH961" s="87"/>
      <c r="AI961" s="87"/>
      <c r="AJ961" s="87"/>
    </row>
    <row r="962" spans="1:36" x14ac:dyDescent="0.25">
      <c r="A962" s="273"/>
      <c r="B962" s="86"/>
      <c r="C962" s="86"/>
      <c r="D962" s="86"/>
      <c r="E962" s="86"/>
      <c r="F962" s="86"/>
      <c r="G962" s="86"/>
      <c r="H962" s="86"/>
      <c r="I962" s="86"/>
      <c r="J962" s="86"/>
      <c r="K962" s="86"/>
      <c r="L962" s="86"/>
      <c r="M962" s="86"/>
      <c r="N962" s="86"/>
      <c r="O962" s="86"/>
      <c r="P962" s="86"/>
      <c r="Q962" s="86"/>
      <c r="R962" s="86"/>
      <c r="S962" s="86"/>
      <c r="T962" s="86"/>
      <c r="U962" s="86"/>
      <c r="V962" s="86"/>
      <c r="W962" s="86"/>
      <c r="X962" s="86"/>
      <c r="Y962" s="86"/>
      <c r="Z962" s="86"/>
      <c r="AA962" s="86"/>
      <c r="AB962" s="86"/>
      <c r="AC962" s="86"/>
      <c r="AD962" s="86"/>
      <c r="AE962" s="86"/>
      <c r="AF962" s="86"/>
      <c r="AG962" s="86"/>
      <c r="AH962" s="86"/>
      <c r="AI962" s="86"/>
      <c r="AJ962" s="86"/>
    </row>
    <row r="963" spans="1:36" x14ac:dyDescent="0.25">
      <c r="A963" s="274"/>
      <c r="B963" s="87"/>
      <c r="C963" s="87"/>
      <c r="D963" s="87"/>
      <c r="E963" s="87"/>
      <c r="F963" s="87"/>
      <c r="G963" s="87"/>
      <c r="H963" s="87"/>
      <c r="I963" s="87"/>
      <c r="J963" s="87"/>
      <c r="K963" s="87"/>
      <c r="L963" s="87"/>
      <c r="M963" s="87"/>
      <c r="N963" s="87"/>
      <c r="O963" s="87"/>
      <c r="P963" s="87"/>
      <c r="Q963" s="87"/>
      <c r="R963" s="87"/>
      <c r="S963" s="87"/>
      <c r="T963" s="87"/>
      <c r="U963" s="87"/>
      <c r="V963" s="87"/>
      <c r="W963" s="87"/>
      <c r="X963" s="87"/>
      <c r="Y963" s="87"/>
      <c r="Z963" s="87"/>
      <c r="AA963" s="87"/>
      <c r="AB963" s="87"/>
      <c r="AC963" s="87"/>
      <c r="AD963" s="87"/>
      <c r="AE963" s="87"/>
      <c r="AF963" s="87"/>
      <c r="AG963" s="87"/>
      <c r="AH963" s="87"/>
      <c r="AI963" s="87"/>
      <c r="AJ963" s="87"/>
    </row>
    <row r="964" spans="1:36" x14ac:dyDescent="0.25">
      <c r="A964" s="273"/>
      <c r="B964" s="86"/>
      <c r="C964" s="86"/>
      <c r="D964" s="86"/>
      <c r="E964" s="86"/>
      <c r="F964" s="86"/>
      <c r="G964" s="86"/>
      <c r="H964" s="86"/>
      <c r="I964" s="86"/>
      <c r="J964" s="86"/>
      <c r="K964" s="86"/>
      <c r="L964" s="86"/>
      <c r="M964" s="86"/>
      <c r="N964" s="86"/>
      <c r="O964" s="86"/>
      <c r="P964" s="86"/>
      <c r="Q964" s="86"/>
      <c r="R964" s="86"/>
      <c r="S964" s="86"/>
      <c r="T964" s="86"/>
      <c r="U964" s="86"/>
      <c r="V964" s="86"/>
      <c r="W964" s="86"/>
      <c r="X964" s="86"/>
      <c r="Y964" s="86"/>
      <c r="Z964" s="86"/>
      <c r="AA964" s="86"/>
      <c r="AB964" s="86"/>
      <c r="AC964" s="86"/>
      <c r="AD964" s="86"/>
      <c r="AE964" s="86"/>
      <c r="AF964" s="86"/>
      <c r="AG964" s="86"/>
      <c r="AH964" s="86"/>
      <c r="AI964" s="86"/>
      <c r="AJ964" s="86"/>
    </row>
    <row r="965" spans="1:36" x14ac:dyDescent="0.25">
      <c r="A965" s="274"/>
      <c r="B965" s="87"/>
      <c r="C965" s="87"/>
      <c r="D965" s="87"/>
      <c r="E965" s="87"/>
      <c r="F965" s="87"/>
      <c r="G965" s="87"/>
      <c r="H965" s="87"/>
      <c r="I965" s="87"/>
      <c r="J965" s="87"/>
      <c r="K965" s="87"/>
      <c r="L965" s="87"/>
      <c r="M965" s="87"/>
      <c r="N965" s="87"/>
      <c r="O965" s="87"/>
      <c r="P965" s="87"/>
      <c r="Q965" s="87"/>
      <c r="R965" s="87"/>
      <c r="S965" s="87"/>
      <c r="T965" s="87"/>
      <c r="U965" s="87"/>
      <c r="V965" s="87"/>
      <c r="W965" s="87"/>
      <c r="X965" s="87"/>
      <c r="Y965" s="87"/>
      <c r="Z965" s="87"/>
      <c r="AA965" s="87"/>
      <c r="AB965" s="87"/>
      <c r="AC965" s="87"/>
      <c r="AD965" s="87"/>
      <c r="AE965" s="87"/>
      <c r="AF965" s="87"/>
      <c r="AG965" s="87"/>
      <c r="AH965" s="87"/>
      <c r="AI965" s="87"/>
      <c r="AJ965" s="87"/>
    </row>
    <row r="966" spans="1:36" x14ac:dyDescent="0.25">
      <c r="A966" s="273"/>
      <c r="B966" s="86"/>
      <c r="C966" s="86"/>
      <c r="D966" s="86"/>
      <c r="E966" s="86"/>
      <c r="F966" s="86"/>
      <c r="G966" s="86"/>
      <c r="H966" s="86"/>
      <c r="I966" s="86"/>
      <c r="J966" s="86"/>
      <c r="K966" s="86"/>
      <c r="L966" s="86"/>
      <c r="M966" s="86"/>
      <c r="N966" s="86"/>
      <c r="O966" s="86"/>
      <c r="P966" s="86"/>
      <c r="Q966" s="86"/>
      <c r="R966" s="86"/>
      <c r="S966" s="86"/>
      <c r="T966" s="86"/>
      <c r="U966" s="86"/>
      <c r="V966" s="86"/>
      <c r="W966" s="86"/>
      <c r="X966" s="86"/>
      <c r="Y966" s="86"/>
      <c r="Z966" s="86"/>
      <c r="AA966" s="86"/>
      <c r="AB966" s="86"/>
      <c r="AC966" s="86"/>
      <c r="AD966" s="86"/>
      <c r="AE966" s="86"/>
      <c r="AF966" s="86"/>
      <c r="AG966" s="86"/>
      <c r="AH966" s="86"/>
      <c r="AI966" s="86"/>
      <c r="AJ966" s="86"/>
    </row>
    <row r="967" spans="1:36" x14ac:dyDescent="0.25">
      <c r="A967" s="274"/>
      <c r="B967" s="87"/>
      <c r="C967" s="87"/>
      <c r="D967" s="87"/>
      <c r="E967" s="87"/>
      <c r="F967" s="87"/>
      <c r="G967" s="87"/>
      <c r="H967" s="87"/>
      <c r="I967" s="87"/>
      <c r="J967" s="87"/>
      <c r="K967" s="87"/>
      <c r="L967" s="87"/>
      <c r="M967" s="87"/>
      <c r="N967" s="87"/>
      <c r="O967" s="87"/>
      <c r="P967" s="87"/>
      <c r="Q967" s="87"/>
      <c r="R967" s="87"/>
      <c r="S967" s="87"/>
      <c r="T967" s="87"/>
      <c r="U967" s="87"/>
      <c r="V967" s="87"/>
      <c r="W967" s="87"/>
      <c r="X967" s="87"/>
      <c r="Y967" s="87"/>
      <c r="Z967" s="87"/>
      <c r="AA967" s="87"/>
      <c r="AB967" s="87"/>
      <c r="AC967" s="87"/>
      <c r="AD967" s="87"/>
      <c r="AE967" s="87"/>
      <c r="AF967" s="87"/>
      <c r="AG967" s="87"/>
      <c r="AH967" s="87"/>
      <c r="AI967" s="87"/>
      <c r="AJ967" s="87"/>
    </row>
    <row r="968" spans="1:36" x14ac:dyDescent="0.25">
      <c r="A968" s="273"/>
      <c r="B968" s="86"/>
      <c r="C968" s="86"/>
      <c r="D968" s="86"/>
      <c r="E968" s="86"/>
      <c r="F968" s="86"/>
      <c r="G968" s="86"/>
      <c r="H968" s="86"/>
      <c r="I968" s="86"/>
      <c r="J968" s="86"/>
      <c r="K968" s="86"/>
      <c r="L968" s="86"/>
      <c r="M968" s="86"/>
      <c r="N968" s="86"/>
      <c r="O968" s="86"/>
      <c r="P968" s="86"/>
      <c r="Q968" s="86"/>
      <c r="R968" s="86"/>
      <c r="S968" s="86"/>
      <c r="T968" s="86"/>
      <c r="U968" s="86"/>
      <c r="V968" s="86"/>
      <c r="W968" s="86"/>
      <c r="X968" s="86"/>
      <c r="Y968" s="86"/>
      <c r="Z968" s="86"/>
      <c r="AA968" s="86"/>
      <c r="AB968" s="86"/>
      <c r="AC968" s="86"/>
      <c r="AD968" s="86"/>
      <c r="AE968" s="86"/>
      <c r="AF968" s="86"/>
      <c r="AG968" s="86"/>
      <c r="AH968" s="86"/>
      <c r="AI968" s="86"/>
      <c r="AJ968" s="86"/>
    </row>
    <row r="969" spans="1:36" x14ac:dyDescent="0.25">
      <c r="A969" s="274"/>
      <c r="B969" s="87"/>
      <c r="C969" s="87"/>
      <c r="D969" s="87"/>
      <c r="E969" s="87"/>
      <c r="F969" s="87"/>
      <c r="G969" s="87"/>
      <c r="H969" s="87"/>
      <c r="I969" s="87"/>
      <c r="J969" s="87"/>
      <c r="K969" s="87"/>
      <c r="L969" s="87"/>
      <c r="M969" s="87"/>
      <c r="N969" s="87"/>
      <c r="O969" s="87"/>
      <c r="P969" s="87"/>
      <c r="Q969" s="87"/>
      <c r="R969" s="87"/>
      <c r="S969" s="87"/>
      <c r="T969" s="87"/>
      <c r="U969" s="87"/>
      <c r="V969" s="87"/>
      <c r="W969" s="87"/>
      <c r="X969" s="87"/>
      <c r="Y969" s="87"/>
      <c r="Z969" s="87"/>
      <c r="AA969" s="87"/>
      <c r="AB969" s="87"/>
      <c r="AC969" s="87"/>
      <c r="AD969" s="87"/>
      <c r="AE969" s="87"/>
      <c r="AF969" s="87"/>
      <c r="AG969" s="87"/>
      <c r="AH969" s="87"/>
      <c r="AI969" s="87"/>
      <c r="AJ969" s="87"/>
    </row>
    <row r="970" spans="1:36" x14ac:dyDescent="0.25">
      <c r="A970" s="273"/>
      <c r="B970" s="86"/>
      <c r="C970" s="86"/>
      <c r="D970" s="86"/>
      <c r="E970" s="86"/>
      <c r="F970" s="86"/>
      <c r="G970" s="86"/>
      <c r="H970" s="86"/>
      <c r="I970" s="86"/>
      <c r="J970" s="86"/>
      <c r="K970" s="86"/>
      <c r="L970" s="86"/>
      <c r="M970" s="86"/>
      <c r="N970" s="86"/>
      <c r="O970" s="86"/>
      <c r="P970" s="86"/>
      <c r="Q970" s="86"/>
      <c r="R970" s="86"/>
      <c r="S970" s="86"/>
      <c r="T970" s="86"/>
      <c r="U970" s="86"/>
      <c r="V970" s="86"/>
      <c r="W970" s="86"/>
      <c r="X970" s="86"/>
      <c r="Y970" s="86"/>
      <c r="Z970" s="86"/>
      <c r="AA970" s="86"/>
      <c r="AB970" s="86"/>
      <c r="AC970" s="86"/>
      <c r="AD970" s="86"/>
      <c r="AE970" s="86"/>
      <c r="AF970" s="86"/>
      <c r="AG970" s="86"/>
      <c r="AH970" s="86"/>
      <c r="AI970" s="86"/>
      <c r="AJ970" s="86"/>
    </row>
    <row r="971" spans="1:36" x14ac:dyDescent="0.25">
      <c r="A971" s="274"/>
      <c r="B971" s="87"/>
      <c r="C971" s="87"/>
      <c r="D971" s="87"/>
      <c r="E971" s="87"/>
      <c r="F971" s="87"/>
      <c r="G971" s="87"/>
      <c r="H971" s="87"/>
      <c r="I971" s="87"/>
      <c r="J971" s="87"/>
      <c r="K971" s="87"/>
      <c r="L971" s="87"/>
      <c r="M971" s="87"/>
      <c r="N971" s="87"/>
      <c r="O971" s="87"/>
      <c r="P971" s="87"/>
      <c r="Q971" s="87"/>
      <c r="R971" s="87"/>
      <c r="S971" s="87"/>
      <c r="T971" s="87"/>
      <c r="U971" s="87"/>
      <c r="V971" s="87"/>
      <c r="W971" s="87"/>
      <c r="X971" s="87"/>
      <c r="Y971" s="87"/>
      <c r="Z971" s="87"/>
      <c r="AA971" s="87"/>
      <c r="AB971" s="87"/>
      <c r="AC971" s="87"/>
      <c r="AD971" s="87"/>
      <c r="AE971" s="87"/>
      <c r="AF971" s="87"/>
      <c r="AG971" s="87"/>
      <c r="AH971" s="87"/>
      <c r="AI971" s="87"/>
      <c r="AJ971" s="87"/>
    </row>
    <row r="972" spans="1:36" x14ac:dyDescent="0.25">
      <c r="A972" s="273"/>
      <c r="B972" s="86"/>
      <c r="C972" s="86"/>
      <c r="D972" s="86"/>
      <c r="E972" s="86"/>
      <c r="F972" s="86"/>
      <c r="G972" s="86"/>
      <c r="H972" s="86"/>
      <c r="I972" s="86"/>
      <c r="J972" s="86"/>
      <c r="K972" s="86"/>
      <c r="L972" s="86"/>
      <c r="M972" s="86"/>
      <c r="N972" s="86"/>
      <c r="O972" s="86"/>
      <c r="P972" s="86"/>
      <c r="Q972" s="86"/>
      <c r="R972" s="86"/>
      <c r="S972" s="86"/>
      <c r="T972" s="86"/>
      <c r="U972" s="86"/>
      <c r="V972" s="86"/>
      <c r="W972" s="86"/>
      <c r="X972" s="86"/>
      <c r="Y972" s="86"/>
      <c r="Z972" s="86"/>
      <c r="AA972" s="86"/>
      <c r="AB972" s="86"/>
      <c r="AC972" s="86"/>
      <c r="AD972" s="86"/>
      <c r="AE972" s="86"/>
      <c r="AF972" s="86"/>
      <c r="AG972" s="86"/>
      <c r="AH972" s="86"/>
      <c r="AI972" s="86"/>
      <c r="AJ972" s="86"/>
    </row>
    <row r="973" spans="1:36" x14ac:dyDescent="0.25">
      <c r="A973" s="274"/>
      <c r="B973" s="87"/>
      <c r="C973" s="87"/>
      <c r="D973" s="87"/>
      <c r="E973" s="87"/>
      <c r="F973" s="87"/>
      <c r="G973" s="87"/>
      <c r="H973" s="87"/>
      <c r="I973" s="87"/>
      <c r="J973" s="87"/>
      <c r="K973" s="87"/>
      <c r="L973" s="87"/>
      <c r="M973" s="87"/>
      <c r="N973" s="87"/>
      <c r="O973" s="87"/>
      <c r="P973" s="87"/>
      <c r="Q973" s="87"/>
      <c r="R973" s="87"/>
      <c r="S973" s="87"/>
      <c r="T973" s="87"/>
      <c r="U973" s="87"/>
      <c r="V973" s="87"/>
      <c r="W973" s="87"/>
      <c r="X973" s="87"/>
      <c r="Y973" s="87"/>
      <c r="Z973" s="87"/>
      <c r="AA973" s="87"/>
      <c r="AB973" s="87"/>
      <c r="AC973" s="87"/>
      <c r="AD973" s="87"/>
      <c r="AE973" s="87"/>
      <c r="AF973" s="87"/>
      <c r="AG973" s="87"/>
      <c r="AH973" s="87"/>
      <c r="AI973" s="87"/>
      <c r="AJ973" s="87"/>
    </row>
    <row r="974" spans="1:36" x14ac:dyDescent="0.25">
      <c r="A974" s="273"/>
      <c r="B974" s="86"/>
      <c r="C974" s="86"/>
      <c r="D974" s="86"/>
      <c r="E974" s="86"/>
      <c r="F974" s="86"/>
      <c r="G974" s="86"/>
      <c r="H974" s="86"/>
      <c r="I974" s="86"/>
      <c r="J974" s="86"/>
      <c r="K974" s="86"/>
      <c r="L974" s="86"/>
      <c r="M974" s="86"/>
      <c r="N974" s="86"/>
      <c r="O974" s="86"/>
      <c r="P974" s="86"/>
      <c r="Q974" s="86"/>
      <c r="R974" s="86"/>
      <c r="S974" s="86"/>
      <c r="T974" s="86"/>
      <c r="U974" s="86"/>
      <c r="V974" s="86"/>
      <c r="W974" s="86"/>
      <c r="X974" s="86"/>
      <c r="Y974" s="86"/>
      <c r="Z974" s="86"/>
      <c r="AA974" s="86"/>
      <c r="AB974" s="86"/>
      <c r="AC974" s="86"/>
      <c r="AD974" s="86"/>
      <c r="AE974" s="86"/>
      <c r="AF974" s="86"/>
      <c r="AG974" s="86"/>
      <c r="AH974" s="86"/>
      <c r="AI974" s="86"/>
      <c r="AJ974" s="86"/>
    </row>
    <row r="975" spans="1:36" x14ac:dyDescent="0.25">
      <c r="A975" s="274"/>
      <c r="B975" s="87"/>
      <c r="C975" s="87"/>
      <c r="D975" s="87"/>
      <c r="E975" s="87"/>
      <c r="F975" s="87"/>
      <c r="G975" s="87"/>
      <c r="H975" s="87"/>
      <c r="I975" s="87"/>
      <c r="J975" s="87"/>
      <c r="K975" s="87"/>
      <c r="L975" s="87"/>
      <c r="M975" s="87"/>
      <c r="N975" s="87"/>
      <c r="O975" s="87"/>
      <c r="P975" s="87"/>
      <c r="Q975" s="87"/>
      <c r="R975" s="87"/>
      <c r="S975" s="87"/>
      <c r="T975" s="87"/>
      <c r="U975" s="87"/>
      <c r="V975" s="87"/>
      <c r="W975" s="87"/>
      <c r="X975" s="87"/>
      <c r="Y975" s="87"/>
      <c r="Z975" s="87"/>
      <c r="AA975" s="87"/>
      <c r="AB975" s="87"/>
      <c r="AC975" s="87"/>
      <c r="AD975" s="87"/>
      <c r="AE975" s="87"/>
      <c r="AF975" s="87"/>
      <c r="AG975" s="87"/>
      <c r="AH975" s="87"/>
      <c r="AI975" s="87"/>
      <c r="AJ975" s="87"/>
    </row>
    <row r="976" spans="1:36" x14ac:dyDescent="0.25">
      <c r="A976" s="273"/>
      <c r="B976" s="86"/>
      <c r="C976" s="86"/>
      <c r="D976" s="86"/>
      <c r="E976" s="86"/>
      <c r="F976" s="86"/>
      <c r="G976" s="86"/>
      <c r="H976" s="86"/>
      <c r="I976" s="86"/>
      <c r="J976" s="86"/>
      <c r="K976" s="86"/>
      <c r="L976" s="86"/>
      <c r="M976" s="86"/>
      <c r="N976" s="86"/>
      <c r="O976" s="86"/>
      <c r="P976" s="86"/>
      <c r="Q976" s="86"/>
      <c r="R976" s="86"/>
      <c r="S976" s="86"/>
      <c r="T976" s="86"/>
      <c r="U976" s="86"/>
      <c r="V976" s="86"/>
      <c r="W976" s="86"/>
      <c r="X976" s="86"/>
      <c r="Y976" s="86"/>
      <c r="Z976" s="86"/>
      <c r="AA976" s="86"/>
      <c r="AB976" s="86"/>
      <c r="AC976" s="86"/>
      <c r="AD976" s="86"/>
      <c r="AE976" s="86"/>
      <c r="AF976" s="86"/>
      <c r="AG976" s="86"/>
      <c r="AH976" s="86"/>
      <c r="AI976" s="86"/>
      <c r="AJ976" s="86"/>
    </row>
    <row r="977" spans="1:36" x14ac:dyDescent="0.25">
      <c r="A977" s="274"/>
      <c r="B977" s="87"/>
      <c r="C977" s="87"/>
      <c r="D977" s="87"/>
      <c r="E977" s="87"/>
      <c r="F977" s="87"/>
      <c r="G977" s="87"/>
      <c r="H977" s="87"/>
      <c r="I977" s="87"/>
      <c r="J977" s="87"/>
      <c r="K977" s="87"/>
      <c r="L977" s="87"/>
      <c r="M977" s="87"/>
      <c r="N977" s="87"/>
      <c r="O977" s="87"/>
      <c r="P977" s="87"/>
      <c r="Q977" s="87"/>
      <c r="R977" s="87"/>
      <c r="S977" s="87"/>
      <c r="T977" s="87"/>
      <c r="U977" s="87"/>
      <c r="V977" s="87"/>
      <c r="W977" s="87"/>
      <c r="X977" s="87"/>
      <c r="Y977" s="87"/>
      <c r="Z977" s="87"/>
      <c r="AA977" s="87"/>
      <c r="AB977" s="87"/>
      <c r="AC977" s="87"/>
      <c r="AD977" s="87"/>
      <c r="AE977" s="87"/>
      <c r="AF977" s="87"/>
      <c r="AG977" s="87"/>
      <c r="AH977" s="87"/>
      <c r="AI977" s="87"/>
      <c r="AJ977" s="87"/>
    </row>
    <row r="978" spans="1:36" x14ac:dyDescent="0.25">
      <c r="A978" s="273"/>
      <c r="B978" s="86"/>
      <c r="C978" s="86"/>
      <c r="D978" s="86"/>
      <c r="E978" s="86"/>
      <c r="F978" s="86"/>
      <c r="G978" s="86"/>
      <c r="H978" s="86"/>
      <c r="I978" s="86"/>
      <c r="J978" s="86"/>
      <c r="K978" s="86"/>
      <c r="L978" s="86"/>
      <c r="M978" s="86"/>
      <c r="N978" s="86"/>
      <c r="O978" s="86"/>
      <c r="P978" s="86"/>
      <c r="Q978" s="86"/>
      <c r="R978" s="86"/>
      <c r="S978" s="86"/>
      <c r="T978" s="86"/>
      <c r="U978" s="86"/>
      <c r="V978" s="86"/>
      <c r="W978" s="86"/>
      <c r="X978" s="86"/>
      <c r="Y978" s="86"/>
      <c r="Z978" s="86"/>
      <c r="AA978" s="86"/>
      <c r="AB978" s="86"/>
      <c r="AC978" s="86"/>
      <c r="AD978" s="86"/>
      <c r="AE978" s="86"/>
      <c r="AF978" s="86"/>
      <c r="AG978" s="86"/>
      <c r="AH978" s="86"/>
      <c r="AI978" s="86"/>
      <c r="AJ978" s="86"/>
    </row>
    <row r="979" spans="1:36" x14ac:dyDescent="0.25">
      <c r="A979" s="274"/>
      <c r="B979" s="87"/>
      <c r="C979" s="87"/>
      <c r="D979" s="87"/>
      <c r="E979" s="87"/>
      <c r="F979" s="87"/>
      <c r="G979" s="87"/>
      <c r="H979" s="87"/>
      <c r="I979" s="87"/>
      <c r="J979" s="87"/>
      <c r="K979" s="87"/>
      <c r="L979" s="87"/>
      <c r="M979" s="87"/>
      <c r="N979" s="87"/>
      <c r="O979" s="87"/>
      <c r="P979" s="87"/>
      <c r="Q979" s="87"/>
      <c r="R979" s="87"/>
      <c r="S979" s="87"/>
      <c r="T979" s="87"/>
      <c r="U979" s="87"/>
      <c r="V979" s="87"/>
      <c r="W979" s="87"/>
      <c r="X979" s="87"/>
      <c r="Y979" s="87"/>
      <c r="Z979" s="87"/>
      <c r="AA979" s="87"/>
      <c r="AB979" s="87"/>
      <c r="AC979" s="87"/>
      <c r="AD979" s="87"/>
      <c r="AE979" s="87"/>
      <c r="AF979" s="87"/>
      <c r="AG979" s="87"/>
      <c r="AH979" s="87"/>
      <c r="AI979" s="87"/>
      <c r="AJ979" s="87"/>
    </row>
    <row r="980" spans="1:36" x14ac:dyDescent="0.25">
      <c r="A980" s="273"/>
      <c r="B980" s="86"/>
      <c r="C980" s="86"/>
      <c r="D980" s="86"/>
      <c r="E980" s="86"/>
      <c r="F980" s="86"/>
      <c r="G980" s="86"/>
      <c r="H980" s="86"/>
      <c r="I980" s="86"/>
      <c r="J980" s="86"/>
      <c r="K980" s="86"/>
      <c r="L980" s="86"/>
      <c r="M980" s="86"/>
      <c r="N980" s="86"/>
      <c r="O980" s="86"/>
      <c r="P980" s="86"/>
      <c r="Q980" s="86"/>
      <c r="R980" s="86"/>
      <c r="S980" s="86"/>
      <c r="T980" s="86"/>
      <c r="U980" s="86"/>
      <c r="V980" s="86"/>
      <c r="W980" s="86"/>
      <c r="X980" s="86"/>
      <c r="Y980" s="86"/>
      <c r="Z980" s="86"/>
      <c r="AA980" s="86"/>
      <c r="AB980" s="86"/>
      <c r="AC980" s="86"/>
      <c r="AD980" s="86"/>
      <c r="AE980" s="86"/>
      <c r="AF980" s="86"/>
      <c r="AG980" s="86"/>
      <c r="AH980" s="86"/>
      <c r="AI980" s="86"/>
      <c r="AJ980" s="86"/>
    </row>
    <row r="981" spans="1:36" x14ac:dyDescent="0.25">
      <c r="A981" s="274"/>
      <c r="B981" s="87"/>
      <c r="C981" s="87"/>
      <c r="D981" s="87"/>
      <c r="E981" s="87"/>
      <c r="F981" s="87"/>
      <c r="G981" s="87"/>
      <c r="H981" s="87"/>
      <c r="I981" s="87"/>
      <c r="J981" s="87"/>
      <c r="K981" s="87"/>
      <c r="L981" s="87"/>
      <c r="M981" s="87"/>
      <c r="N981" s="87"/>
      <c r="O981" s="87"/>
      <c r="P981" s="87"/>
      <c r="Q981" s="87"/>
      <c r="R981" s="87"/>
      <c r="S981" s="87"/>
      <c r="T981" s="87"/>
      <c r="U981" s="87"/>
      <c r="V981" s="87"/>
      <c r="W981" s="87"/>
      <c r="X981" s="87"/>
      <c r="Y981" s="87"/>
      <c r="Z981" s="87"/>
      <c r="AA981" s="87"/>
      <c r="AB981" s="87"/>
      <c r="AC981" s="87"/>
      <c r="AD981" s="87"/>
      <c r="AE981" s="87"/>
      <c r="AF981" s="87"/>
      <c r="AG981" s="87"/>
      <c r="AH981" s="87"/>
      <c r="AI981" s="87"/>
      <c r="AJ981" s="87"/>
    </row>
    <row r="982" spans="1:36" x14ac:dyDescent="0.25">
      <c r="A982" s="273"/>
      <c r="B982" s="86"/>
      <c r="C982" s="86"/>
      <c r="D982" s="86"/>
      <c r="E982" s="86"/>
      <c r="F982" s="86"/>
      <c r="G982" s="86"/>
      <c r="H982" s="86"/>
      <c r="I982" s="86"/>
      <c r="J982" s="86"/>
      <c r="K982" s="86"/>
      <c r="L982" s="86"/>
      <c r="M982" s="86"/>
      <c r="N982" s="86"/>
      <c r="O982" s="86"/>
      <c r="P982" s="86"/>
      <c r="Q982" s="86"/>
      <c r="R982" s="86"/>
      <c r="S982" s="86"/>
      <c r="T982" s="86"/>
      <c r="U982" s="86"/>
      <c r="V982" s="86"/>
      <c r="W982" s="86"/>
      <c r="X982" s="86"/>
      <c r="Y982" s="86"/>
      <c r="Z982" s="86"/>
      <c r="AA982" s="86"/>
      <c r="AB982" s="86"/>
      <c r="AC982" s="86"/>
      <c r="AD982" s="86"/>
      <c r="AE982" s="86"/>
      <c r="AF982" s="86"/>
      <c r="AG982" s="86"/>
      <c r="AH982" s="86"/>
      <c r="AI982" s="86"/>
      <c r="AJ982" s="86"/>
    </row>
    <row r="983" spans="1:36" x14ac:dyDescent="0.25">
      <c r="A983" s="274"/>
      <c r="B983" s="87"/>
      <c r="C983" s="87"/>
      <c r="D983" s="87"/>
      <c r="E983" s="87"/>
      <c r="F983" s="87"/>
      <c r="G983" s="87"/>
      <c r="H983" s="87"/>
      <c r="I983" s="87"/>
      <c r="J983" s="87"/>
      <c r="K983" s="87"/>
      <c r="L983" s="87"/>
      <c r="M983" s="87"/>
      <c r="N983" s="87"/>
      <c r="O983" s="87"/>
      <c r="P983" s="87"/>
      <c r="Q983" s="87"/>
      <c r="R983" s="87"/>
      <c r="S983" s="87"/>
      <c r="T983" s="87"/>
      <c r="U983" s="87"/>
      <c r="V983" s="87"/>
      <c r="W983" s="87"/>
      <c r="X983" s="87"/>
      <c r="Y983" s="87"/>
      <c r="Z983" s="87"/>
      <c r="AA983" s="87"/>
      <c r="AB983" s="87"/>
      <c r="AC983" s="87"/>
      <c r="AD983" s="87"/>
      <c r="AE983" s="87"/>
      <c r="AF983" s="87"/>
      <c r="AG983" s="87"/>
      <c r="AH983" s="87"/>
      <c r="AI983" s="87"/>
      <c r="AJ983" s="87"/>
    </row>
    <row r="984" spans="1:36" x14ac:dyDescent="0.25">
      <c r="A984" s="273"/>
      <c r="B984" s="86"/>
      <c r="C984" s="86"/>
      <c r="D984" s="86"/>
      <c r="E984" s="86"/>
      <c r="F984" s="86"/>
      <c r="G984" s="86"/>
      <c r="H984" s="86"/>
      <c r="I984" s="86"/>
      <c r="J984" s="86"/>
      <c r="K984" s="86"/>
      <c r="L984" s="86"/>
      <c r="M984" s="86"/>
      <c r="N984" s="86"/>
      <c r="O984" s="86"/>
      <c r="P984" s="86"/>
      <c r="Q984" s="86"/>
      <c r="R984" s="86"/>
      <c r="S984" s="86"/>
      <c r="T984" s="86"/>
      <c r="U984" s="86"/>
      <c r="V984" s="86"/>
      <c r="W984" s="86"/>
      <c r="X984" s="86"/>
      <c r="Y984" s="86"/>
      <c r="Z984" s="86"/>
      <c r="AA984" s="86"/>
      <c r="AB984" s="86"/>
      <c r="AC984" s="86"/>
      <c r="AD984" s="86"/>
      <c r="AE984" s="86"/>
      <c r="AF984" s="86"/>
      <c r="AG984" s="86"/>
      <c r="AH984" s="86"/>
      <c r="AI984" s="86"/>
      <c r="AJ984" s="86"/>
    </row>
    <row r="985" spans="1:36" x14ac:dyDescent="0.25">
      <c r="A985" s="274"/>
      <c r="B985" s="87"/>
      <c r="C985" s="87"/>
      <c r="D985" s="87"/>
      <c r="E985" s="87"/>
      <c r="F985" s="87"/>
      <c r="G985" s="87"/>
      <c r="H985" s="87"/>
      <c r="I985" s="87"/>
      <c r="J985" s="87"/>
      <c r="K985" s="87"/>
      <c r="L985" s="87"/>
      <c r="M985" s="87"/>
      <c r="N985" s="87"/>
      <c r="O985" s="87"/>
      <c r="P985" s="87"/>
      <c r="Q985" s="87"/>
      <c r="R985" s="87"/>
      <c r="S985" s="87"/>
      <c r="T985" s="87"/>
      <c r="U985" s="87"/>
      <c r="V985" s="87"/>
      <c r="W985" s="87"/>
      <c r="X985" s="87"/>
      <c r="Y985" s="87"/>
      <c r="Z985" s="87"/>
      <c r="AA985" s="87"/>
      <c r="AB985" s="87"/>
      <c r="AC985" s="87"/>
      <c r="AD985" s="87"/>
      <c r="AE985" s="87"/>
      <c r="AF985" s="87"/>
      <c r="AG985" s="87"/>
      <c r="AH985" s="87"/>
      <c r="AI985" s="87"/>
      <c r="AJ985" s="87"/>
    </row>
    <row r="986" spans="1:36" x14ac:dyDescent="0.25">
      <c r="A986" s="273"/>
      <c r="B986" s="86"/>
      <c r="C986" s="86"/>
      <c r="D986" s="86"/>
      <c r="E986" s="86"/>
      <c r="F986" s="86"/>
      <c r="G986" s="86"/>
      <c r="H986" s="86"/>
      <c r="I986" s="86"/>
      <c r="J986" s="86"/>
      <c r="K986" s="86"/>
      <c r="L986" s="86"/>
      <c r="M986" s="86"/>
      <c r="N986" s="86"/>
      <c r="O986" s="86"/>
      <c r="P986" s="86"/>
      <c r="Q986" s="86"/>
      <c r="R986" s="86"/>
      <c r="S986" s="86"/>
      <c r="T986" s="86"/>
      <c r="U986" s="86"/>
      <c r="V986" s="86"/>
      <c r="W986" s="86"/>
      <c r="X986" s="86"/>
      <c r="Y986" s="86"/>
      <c r="Z986" s="86"/>
      <c r="AA986" s="86"/>
      <c r="AB986" s="86"/>
      <c r="AC986" s="86"/>
      <c r="AD986" s="86"/>
      <c r="AE986" s="86"/>
      <c r="AF986" s="86"/>
      <c r="AG986" s="86"/>
      <c r="AH986" s="86"/>
      <c r="AI986" s="86"/>
      <c r="AJ986" s="86"/>
    </row>
    <row r="987" spans="1:36" x14ac:dyDescent="0.25">
      <c r="A987" s="274"/>
      <c r="B987" s="87"/>
      <c r="C987" s="87"/>
      <c r="D987" s="87"/>
      <c r="E987" s="87"/>
      <c r="F987" s="87"/>
      <c r="G987" s="87"/>
      <c r="H987" s="87"/>
      <c r="I987" s="87"/>
      <c r="J987" s="87"/>
      <c r="K987" s="87"/>
      <c r="L987" s="87"/>
      <c r="M987" s="87"/>
      <c r="N987" s="87"/>
      <c r="O987" s="87"/>
      <c r="P987" s="87"/>
      <c r="Q987" s="87"/>
      <c r="R987" s="87"/>
      <c r="S987" s="87"/>
      <c r="T987" s="87"/>
      <c r="U987" s="87"/>
      <c r="V987" s="87"/>
      <c r="W987" s="87"/>
      <c r="X987" s="87"/>
      <c r="Y987" s="87"/>
      <c r="Z987" s="87"/>
      <c r="AA987" s="87"/>
      <c r="AB987" s="87"/>
      <c r="AC987" s="87"/>
      <c r="AD987" s="87"/>
      <c r="AE987" s="87"/>
      <c r="AF987" s="87"/>
      <c r="AG987" s="87"/>
      <c r="AH987" s="87"/>
      <c r="AI987" s="87"/>
      <c r="AJ987" s="87"/>
    </row>
    <row r="988" spans="1:36" x14ac:dyDescent="0.25">
      <c r="A988" s="273"/>
      <c r="B988" s="86"/>
      <c r="C988" s="86"/>
      <c r="D988" s="86"/>
      <c r="E988" s="86"/>
      <c r="F988" s="86"/>
      <c r="G988" s="86"/>
      <c r="H988" s="86"/>
      <c r="I988" s="86"/>
      <c r="J988" s="86"/>
      <c r="K988" s="86"/>
      <c r="L988" s="86"/>
      <c r="M988" s="86"/>
      <c r="N988" s="86"/>
      <c r="O988" s="86"/>
      <c r="P988" s="86"/>
      <c r="Q988" s="86"/>
      <c r="R988" s="86"/>
      <c r="S988" s="86"/>
      <c r="T988" s="86"/>
      <c r="U988" s="86"/>
      <c r="V988" s="86"/>
      <c r="W988" s="86"/>
      <c r="X988" s="86"/>
      <c r="Y988" s="86"/>
      <c r="Z988" s="86"/>
      <c r="AA988" s="86"/>
      <c r="AB988" s="86"/>
      <c r="AC988" s="86"/>
      <c r="AD988" s="86"/>
      <c r="AE988" s="86"/>
      <c r="AF988" s="86"/>
      <c r="AG988" s="86"/>
      <c r="AH988" s="86"/>
      <c r="AI988" s="86"/>
      <c r="AJ988" s="86"/>
    </row>
    <row r="989" spans="1:36" x14ac:dyDescent="0.25">
      <c r="A989" s="274"/>
      <c r="B989" s="87"/>
      <c r="C989" s="87"/>
      <c r="D989" s="87"/>
      <c r="E989" s="87"/>
      <c r="F989" s="87"/>
      <c r="G989" s="87"/>
      <c r="H989" s="87"/>
      <c r="I989" s="87"/>
      <c r="J989" s="87"/>
      <c r="K989" s="87"/>
      <c r="L989" s="87"/>
      <c r="M989" s="87"/>
      <c r="N989" s="87"/>
      <c r="O989" s="87"/>
      <c r="P989" s="87"/>
      <c r="Q989" s="87"/>
      <c r="R989" s="87"/>
      <c r="S989" s="87"/>
      <c r="T989" s="87"/>
      <c r="U989" s="87"/>
      <c r="V989" s="87"/>
      <c r="W989" s="87"/>
      <c r="X989" s="87"/>
      <c r="Y989" s="87"/>
      <c r="Z989" s="87"/>
      <c r="AA989" s="87"/>
      <c r="AB989" s="87"/>
      <c r="AC989" s="87"/>
      <c r="AD989" s="87"/>
      <c r="AE989" s="87"/>
      <c r="AF989" s="87"/>
      <c r="AG989" s="87"/>
      <c r="AH989" s="87"/>
      <c r="AI989" s="87"/>
      <c r="AJ989" s="87"/>
    </row>
    <row r="990" spans="1:36" x14ac:dyDescent="0.25">
      <c r="A990" s="273"/>
      <c r="B990" s="86"/>
      <c r="C990" s="86"/>
      <c r="D990" s="86"/>
      <c r="E990" s="86"/>
      <c r="F990" s="86"/>
      <c r="G990" s="86"/>
      <c r="H990" s="86"/>
      <c r="I990" s="86"/>
      <c r="J990" s="86"/>
      <c r="K990" s="86"/>
      <c r="L990" s="86"/>
      <c r="M990" s="86"/>
      <c r="N990" s="86"/>
      <c r="O990" s="86"/>
      <c r="P990" s="86"/>
      <c r="Q990" s="86"/>
      <c r="R990" s="86"/>
      <c r="S990" s="86"/>
      <c r="T990" s="86"/>
      <c r="U990" s="86"/>
      <c r="V990" s="86"/>
      <c r="W990" s="86"/>
      <c r="X990" s="86"/>
      <c r="Y990" s="86"/>
      <c r="Z990" s="86"/>
      <c r="AA990" s="86"/>
      <c r="AB990" s="86"/>
      <c r="AC990" s="86"/>
      <c r="AD990" s="86"/>
      <c r="AE990" s="86"/>
      <c r="AF990" s="86"/>
      <c r="AG990" s="86"/>
      <c r="AH990" s="86"/>
      <c r="AI990" s="86"/>
      <c r="AJ990" s="86"/>
    </row>
    <row r="991" spans="1:36" x14ac:dyDescent="0.25">
      <c r="A991" s="274"/>
      <c r="B991" s="87"/>
      <c r="C991" s="87"/>
      <c r="D991" s="87"/>
      <c r="E991" s="87"/>
      <c r="F991" s="87"/>
      <c r="G991" s="87"/>
      <c r="H991" s="87"/>
      <c r="I991" s="87"/>
      <c r="J991" s="87"/>
      <c r="K991" s="87"/>
      <c r="L991" s="87"/>
      <c r="M991" s="87"/>
      <c r="N991" s="87"/>
      <c r="O991" s="87"/>
      <c r="P991" s="87"/>
      <c r="Q991" s="87"/>
      <c r="R991" s="87"/>
      <c r="S991" s="87"/>
      <c r="T991" s="87"/>
      <c r="U991" s="87"/>
      <c r="V991" s="87"/>
      <c r="W991" s="87"/>
      <c r="X991" s="87"/>
      <c r="Y991" s="87"/>
      <c r="Z991" s="87"/>
      <c r="AA991" s="87"/>
      <c r="AB991" s="87"/>
      <c r="AC991" s="87"/>
      <c r="AD991" s="87"/>
      <c r="AE991" s="87"/>
      <c r="AF991" s="87"/>
      <c r="AG991" s="87"/>
      <c r="AH991" s="87"/>
      <c r="AI991" s="87"/>
      <c r="AJ991" s="87"/>
    </row>
    <row r="992" spans="1:36" x14ac:dyDescent="0.25">
      <c r="A992" s="273"/>
      <c r="B992" s="86"/>
      <c r="C992" s="86"/>
      <c r="D992" s="86"/>
      <c r="E992" s="86"/>
      <c r="F992" s="86"/>
      <c r="G992" s="86"/>
      <c r="H992" s="86"/>
      <c r="I992" s="86"/>
      <c r="J992" s="86"/>
      <c r="K992" s="86"/>
      <c r="L992" s="86"/>
      <c r="M992" s="86"/>
      <c r="N992" s="86"/>
      <c r="O992" s="86"/>
      <c r="P992" s="86"/>
      <c r="Q992" s="86"/>
      <c r="R992" s="86"/>
      <c r="S992" s="86"/>
      <c r="T992" s="86"/>
      <c r="U992" s="86"/>
      <c r="V992" s="86"/>
      <c r="W992" s="86"/>
      <c r="X992" s="86"/>
      <c r="Y992" s="86"/>
      <c r="Z992" s="86"/>
      <c r="AA992" s="86"/>
      <c r="AB992" s="86"/>
      <c r="AC992" s="86"/>
      <c r="AD992" s="86"/>
      <c r="AE992" s="86"/>
      <c r="AF992" s="86"/>
      <c r="AG992" s="86"/>
      <c r="AH992" s="86"/>
      <c r="AI992" s="86"/>
      <c r="AJ992" s="86"/>
    </row>
    <row r="993" spans="1:36" x14ac:dyDescent="0.25">
      <c r="A993" s="274"/>
      <c r="B993" s="87"/>
      <c r="C993" s="87"/>
      <c r="D993" s="87"/>
      <c r="E993" s="87"/>
      <c r="F993" s="87"/>
      <c r="G993" s="87"/>
      <c r="H993" s="87"/>
      <c r="I993" s="87"/>
      <c r="J993" s="87"/>
      <c r="K993" s="87"/>
      <c r="L993" s="87"/>
      <c r="M993" s="87"/>
      <c r="N993" s="87"/>
      <c r="O993" s="87"/>
      <c r="P993" s="87"/>
      <c r="Q993" s="87"/>
      <c r="R993" s="87"/>
      <c r="S993" s="87"/>
      <c r="T993" s="87"/>
      <c r="U993" s="87"/>
      <c r="V993" s="87"/>
      <c r="W993" s="87"/>
      <c r="X993" s="87"/>
      <c r="Y993" s="87"/>
      <c r="Z993" s="87"/>
      <c r="AA993" s="87"/>
      <c r="AB993" s="87"/>
      <c r="AC993" s="87"/>
      <c r="AD993" s="87"/>
      <c r="AE993" s="87"/>
      <c r="AF993" s="87"/>
      <c r="AG993" s="87"/>
      <c r="AH993" s="87"/>
      <c r="AI993" s="87"/>
      <c r="AJ993" s="87"/>
    </row>
    <row r="994" spans="1:36" x14ac:dyDescent="0.25">
      <c r="A994" s="273"/>
      <c r="B994" s="86"/>
      <c r="C994" s="86"/>
      <c r="D994" s="86"/>
      <c r="E994" s="86"/>
      <c r="F994" s="86"/>
      <c r="G994" s="86"/>
      <c r="H994" s="86"/>
      <c r="I994" s="86"/>
      <c r="J994" s="86"/>
      <c r="K994" s="86"/>
      <c r="L994" s="86"/>
      <c r="M994" s="86"/>
      <c r="N994" s="86"/>
      <c r="O994" s="86"/>
      <c r="P994" s="86"/>
      <c r="Q994" s="86"/>
      <c r="R994" s="86"/>
      <c r="S994" s="86"/>
      <c r="T994" s="86"/>
      <c r="U994" s="86"/>
      <c r="V994" s="86"/>
      <c r="W994" s="86"/>
      <c r="X994" s="86"/>
      <c r="Y994" s="86"/>
      <c r="Z994" s="86"/>
      <c r="AA994" s="86"/>
      <c r="AB994" s="86"/>
      <c r="AC994" s="86"/>
      <c r="AD994" s="86"/>
      <c r="AE994" s="86"/>
      <c r="AF994" s="86"/>
      <c r="AG994" s="86"/>
      <c r="AH994" s="86"/>
      <c r="AI994" s="86"/>
      <c r="AJ994" s="86"/>
    </row>
    <row r="995" spans="1:36" x14ac:dyDescent="0.25">
      <c r="A995" s="274"/>
      <c r="B995" s="87"/>
      <c r="C995" s="87"/>
      <c r="D995" s="87"/>
      <c r="E995" s="87"/>
      <c r="F995" s="87"/>
      <c r="G995" s="87"/>
      <c r="H995" s="87"/>
      <c r="I995" s="87"/>
      <c r="J995" s="87"/>
      <c r="K995" s="87"/>
      <c r="L995" s="87"/>
      <c r="M995" s="87"/>
      <c r="N995" s="87"/>
      <c r="O995" s="87"/>
      <c r="P995" s="87"/>
      <c r="Q995" s="87"/>
      <c r="R995" s="87"/>
      <c r="S995" s="87"/>
      <c r="T995" s="87"/>
      <c r="U995" s="87"/>
      <c r="V995" s="87"/>
      <c r="W995" s="87"/>
      <c r="X995" s="87"/>
      <c r="Y995" s="87"/>
      <c r="Z995" s="87"/>
      <c r="AA995" s="87"/>
      <c r="AB995" s="87"/>
      <c r="AC995" s="87"/>
      <c r="AD995" s="87"/>
      <c r="AE995" s="87"/>
      <c r="AF995" s="87"/>
      <c r="AG995" s="87"/>
      <c r="AH995" s="87"/>
      <c r="AI995" s="87"/>
      <c r="AJ995" s="87"/>
    </row>
    <row r="996" spans="1:36" x14ac:dyDescent="0.25">
      <c r="A996" s="273"/>
      <c r="B996" s="86"/>
      <c r="C996" s="86"/>
      <c r="D996" s="86"/>
      <c r="E996" s="86"/>
      <c r="F996" s="86"/>
      <c r="G996" s="86"/>
      <c r="H996" s="86"/>
      <c r="I996" s="86"/>
      <c r="J996" s="86"/>
      <c r="K996" s="86"/>
      <c r="L996" s="86"/>
      <c r="M996" s="86"/>
      <c r="N996" s="86"/>
      <c r="O996" s="86"/>
      <c r="P996" s="86"/>
      <c r="Q996" s="86"/>
      <c r="R996" s="86"/>
      <c r="S996" s="86"/>
      <c r="T996" s="86"/>
      <c r="U996" s="86"/>
      <c r="V996" s="86"/>
      <c r="W996" s="86"/>
      <c r="X996" s="86"/>
      <c r="Y996" s="86"/>
      <c r="Z996" s="86"/>
      <c r="AA996" s="86"/>
      <c r="AB996" s="86"/>
      <c r="AC996" s="86"/>
      <c r="AD996" s="86"/>
      <c r="AE996" s="86"/>
      <c r="AF996" s="86"/>
      <c r="AG996" s="86"/>
      <c r="AH996" s="86"/>
      <c r="AI996" s="86"/>
      <c r="AJ996" s="86"/>
    </row>
    <row r="997" spans="1:36" x14ac:dyDescent="0.25">
      <c r="A997" s="274"/>
      <c r="B997" s="87"/>
      <c r="C997" s="87"/>
      <c r="D997" s="87"/>
      <c r="E997" s="87"/>
      <c r="F997" s="87"/>
      <c r="G997" s="87"/>
      <c r="H997" s="87"/>
      <c r="I997" s="87"/>
      <c r="J997" s="87"/>
      <c r="K997" s="87"/>
      <c r="L997" s="87"/>
      <c r="M997" s="87"/>
      <c r="N997" s="87"/>
      <c r="O997" s="87"/>
      <c r="P997" s="87"/>
      <c r="Q997" s="87"/>
      <c r="R997" s="87"/>
      <c r="S997" s="87"/>
      <c r="T997" s="87"/>
      <c r="U997" s="87"/>
      <c r="V997" s="87"/>
      <c r="W997" s="87"/>
      <c r="X997" s="87"/>
      <c r="Y997" s="87"/>
      <c r="Z997" s="87"/>
      <c r="AA997" s="87"/>
      <c r="AB997" s="87"/>
      <c r="AC997" s="87"/>
      <c r="AD997" s="87"/>
      <c r="AE997" s="87"/>
      <c r="AF997" s="87"/>
      <c r="AG997" s="87"/>
      <c r="AH997" s="87"/>
      <c r="AI997" s="87"/>
      <c r="AJ997" s="87"/>
    </row>
    <row r="998" spans="1:36" x14ac:dyDescent="0.25">
      <c r="A998" s="273"/>
      <c r="B998" s="86"/>
      <c r="C998" s="86"/>
      <c r="D998" s="86"/>
      <c r="E998" s="86"/>
      <c r="F998" s="86"/>
      <c r="G998" s="86"/>
      <c r="H998" s="86"/>
      <c r="I998" s="86"/>
      <c r="J998" s="86"/>
      <c r="K998" s="86"/>
      <c r="L998" s="86"/>
      <c r="M998" s="86"/>
      <c r="N998" s="86"/>
      <c r="O998" s="86"/>
      <c r="P998" s="86"/>
      <c r="Q998" s="86"/>
      <c r="R998" s="86"/>
      <c r="S998" s="86"/>
      <c r="T998" s="86"/>
      <c r="U998" s="86"/>
      <c r="V998" s="86"/>
      <c r="W998" s="86"/>
      <c r="X998" s="86"/>
      <c r="Y998" s="86"/>
      <c r="Z998" s="86"/>
      <c r="AA998" s="86"/>
      <c r="AB998" s="86"/>
      <c r="AC998" s="86"/>
      <c r="AD998" s="86"/>
      <c r="AE998" s="86"/>
      <c r="AF998" s="86"/>
      <c r="AG998" s="86"/>
      <c r="AH998" s="86"/>
      <c r="AI998" s="86"/>
      <c r="AJ998" s="86"/>
    </row>
    <row r="999" spans="1:36" x14ac:dyDescent="0.25">
      <c r="A999" s="274"/>
      <c r="B999" s="87"/>
      <c r="C999" s="87"/>
      <c r="D999" s="87"/>
      <c r="E999" s="87"/>
      <c r="F999" s="87"/>
      <c r="G999" s="87"/>
      <c r="H999" s="87"/>
      <c r="I999" s="87"/>
      <c r="J999" s="87"/>
      <c r="K999" s="87"/>
      <c r="L999" s="87"/>
      <c r="M999" s="87"/>
      <c r="N999" s="87"/>
      <c r="O999" s="87"/>
      <c r="P999" s="87"/>
      <c r="Q999" s="87"/>
      <c r="R999" s="87"/>
      <c r="S999" s="87"/>
      <c r="T999" s="87"/>
      <c r="U999" s="87"/>
      <c r="V999" s="87"/>
      <c r="W999" s="87"/>
      <c r="X999" s="87"/>
      <c r="Y999" s="87"/>
      <c r="Z999" s="87"/>
      <c r="AA999" s="87"/>
      <c r="AB999" s="87"/>
      <c r="AC999" s="87"/>
      <c r="AD999" s="87"/>
      <c r="AE999" s="87"/>
      <c r="AF999" s="87"/>
      <c r="AG999" s="87"/>
      <c r="AH999" s="87"/>
      <c r="AI999" s="87"/>
      <c r="AJ999" s="87"/>
    </row>
    <row r="1000" spans="1:36" x14ac:dyDescent="0.25">
      <c r="A1000" s="273"/>
      <c r="B1000" s="86"/>
      <c r="C1000" s="86"/>
      <c r="D1000" s="86"/>
      <c r="E1000" s="86"/>
      <c r="F1000" s="86"/>
      <c r="G1000" s="86"/>
      <c r="H1000" s="86"/>
      <c r="I1000" s="86"/>
      <c r="J1000" s="86"/>
      <c r="K1000" s="86"/>
      <c r="L1000" s="86"/>
      <c r="M1000" s="86"/>
      <c r="N1000" s="86"/>
      <c r="O1000" s="86"/>
      <c r="P1000" s="86"/>
      <c r="Q1000" s="86"/>
      <c r="R1000" s="86"/>
      <c r="S1000" s="86"/>
      <c r="T1000" s="86"/>
      <c r="U1000" s="86"/>
      <c r="V1000" s="86"/>
      <c r="W1000" s="86"/>
      <c r="X1000" s="86"/>
      <c r="Y1000" s="86"/>
      <c r="Z1000" s="86"/>
      <c r="AA1000" s="86"/>
      <c r="AB1000" s="86"/>
      <c r="AC1000" s="86"/>
      <c r="AD1000" s="86"/>
      <c r="AE1000" s="86"/>
      <c r="AF1000" s="86"/>
      <c r="AG1000" s="86"/>
      <c r="AH1000" s="86"/>
      <c r="AI1000" s="86"/>
      <c r="AJ1000" s="86"/>
    </row>
    <row r="1001" spans="1:36" x14ac:dyDescent="0.25">
      <c r="A1001" s="274"/>
      <c r="B1001" s="87"/>
      <c r="C1001" s="87"/>
      <c r="D1001" s="87"/>
      <c r="E1001" s="87"/>
      <c r="F1001" s="87"/>
      <c r="G1001" s="87"/>
      <c r="H1001" s="87"/>
      <c r="I1001" s="87"/>
      <c r="J1001" s="87"/>
      <c r="K1001" s="87"/>
      <c r="L1001" s="87"/>
      <c r="M1001" s="87"/>
      <c r="N1001" s="87"/>
      <c r="O1001" s="87"/>
      <c r="P1001" s="87"/>
      <c r="Q1001" s="87"/>
      <c r="R1001" s="87"/>
      <c r="S1001" s="87"/>
      <c r="T1001" s="87"/>
      <c r="U1001" s="87"/>
      <c r="V1001" s="87"/>
      <c r="W1001" s="87"/>
      <c r="X1001" s="87"/>
      <c r="Y1001" s="87"/>
      <c r="Z1001" s="87"/>
      <c r="AA1001" s="87"/>
      <c r="AB1001" s="87"/>
      <c r="AC1001" s="87"/>
      <c r="AD1001" s="87"/>
      <c r="AE1001" s="87"/>
      <c r="AF1001" s="87"/>
      <c r="AG1001" s="87"/>
      <c r="AH1001" s="87"/>
      <c r="AI1001" s="87"/>
      <c r="AJ1001" s="87"/>
    </row>
    <row r="1002" spans="1:36" x14ac:dyDescent="0.25">
      <c r="A1002" s="273"/>
      <c r="B1002" s="86"/>
      <c r="C1002" s="86"/>
      <c r="D1002" s="86"/>
      <c r="E1002" s="86"/>
      <c r="F1002" s="86"/>
      <c r="G1002" s="86"/>
      <c r="H1002" s="86"/>
      <c r="I1002" s="86"/>
      <c r="J1002" s="86"/>
      <c r="K1002" s="86"/>
      <c r="L1002" s="86"/>
      <c r="M1002" s="86"/>
      <c r="N1002" s="86"/>
      <c r="O1002" s="86"/>
      <c r="P1002" s="86"/>
      <c r="Q1002" s="86"/>
      <c r="R1002" s="86"/>
      <c r="S1002" s="86"/>
      <c r="T1002" s="86"/>
      <c r="U1002" s="86"/>
      <c r="V1002" s="86"/>
      <c r="W1002" s="86"/>
      <c r="X1002" s="86"/>
      <c r="Y1002" s="86"/>
      <c r="Z1002" s="86"/>
      <c r="AA1002" s="86"/>
      <c r="AB1002" s="86"/>
      <c r="AC1002" s="86"/>
      <c r="AD1002" s="86"/>
      <c r="AE1002" s="86"/>
      <c r="AF1002" s="86"/>
      <c r="AG1002" s="86"/>
      <c r="AH1002" s="86"/>
      <c r="AI1002" s="86"/>
      <c r="AJ1002" s="86"/>
    </row>
    <row r="1003" spans="1:36" x14ac:dyDescent="0.25">
      <c r="A1003" s="274"/>
      <c r="B1003" s="87"/>
      <c r="C1003" s="87"/>
      <c r="D1003" s="87"/>
      <c r="E1003" s="87"/>
      <c r="F1003" s="87"/>
      <c r="G1003" s="87"/>
      <c r="H1003" s="87"/>
      <c r="I1003" s="87"/>
      <c r="J1003" s="87"/>
      <c r="K1003" s="87"/>
      <c r="L1003" s="87"/>
      <c r="M1003" s="87"/>
      <c r="N1003" s="87"/>
      <c r="O1003" s="87"/>
      <c r="P1003" s="87"/>
      <c r="Q1003" s="87"/>
      <c r="R1003" s="87"/>
      <c r="S1003" s="87"/>
      <c r="T1003" s="87"/>
      <c r="U1003" s="87"/>
      <c r="V1003" s="87"/>
      <c r="W1003" s="87"/>
      <c r="X1003" s="87"/>
      <c r="Y1003" s="87"/>
      <c r="Z1003" s="87"/>
      <c r="AA1003" s="87"/>
      <c r="AB1003" s="87"/>
      <c r="AC1003" s="87"/>
      <c r="AD1003" s="87"/>
      <c r="AE1003" s="87"/>
      <c r="AF1003" s="87"/>
      <c r="AG1003" s="87"/>
      <c r="AH1003" s="87"/>
      <c r="AI1003" s="87"/>
      <c r="AJ1003" s="87"/>
    </row>
    <row r="1004" spans="1:36" x14ac:dyDescent="0.25">
      <c r="A1004" s="273"/>
      <c r="B1004" s="86"/>
      <c r="C1004" s="86"/>
      <c r="D1004" s="86"/>
      <c r="E1004" s="86"/>
      <c r="F1004" s="86"/>
      <c r="G1004" s="86"/>
      <c r="H1004" s="86"/>
      <c r="I1004" s="86"/>
      <c r="J1004" s="86"/>
      <c r="K1004" s="86"/>
      <c r="L1004" s="86"/>
      <c r="M1004" s="86"/>
      <c r="N1004" s="86"/>
      <c r="O1004" s="86"/>
      <c r="P1004" s="86"/>
      <c r="Q1004" s="86"/>
      <c r="R1004" s="86"/>
      <c r="S1004" s="86"/>
      <c r="T1004" s="86"/>
      <c r="U1004" s="86"/>
      <c r="V1004" s="86"/>
      <c r="W1004" s="86"/>
      <c r="X1004" s="86"/>
      <c r="Y1004" s="86"/>
      <c r="Z1004" s="86"/>
      <c r="AA1004" s="86"/>
      <c r="AB1004" s="86"/>
      <c r="AC1004" s="86"/>
      <c r="AD1004" s="86"/>
      <c r="AE1004" s="86"/>
      <c r="AF1004" s="86"/>
      <c r="AG1004" s="86"/>
      <c r="AH1004" s="86"/>
      <c r="AI1004" s="86"/>
      <c r="AJ1004" s="86"/>
    </row>
    <row r="1005" spans="1:36" x14ac:dyDescent="0.25">
      <c r="A1005" s="274"/>
      <c r="B1005" s="87"/>
      <c r="C1005" s="87"/>
      <c r="D1005" s="87"/>
      <c r="E1005" s="87"/>
      <c r="F1005" s="87"/>
      <c r="G1005" s="87"/>
      <c r="H1005" s="87"/>
      <c r="I1005" s="87"/>
      <c r="J1005" s="87"/>
      <c r="K1005" s="87"/>
      <c r="L1005" s="87"/>
      <c r="M1005" s="87"/>
      <c r="N1005" s="87"/>
      <c r="O1005" s="87"/>
      <c r="P1005" s="87"/>
      <c r="Q1005" s="87"/>
      <c r="R1005" s="87"/>
      <c r="S1005" s="87"/>
      <c r="T1005" s="87"/>
      <c r="U1005" s="87"/>
      <c r="V1005" s="87"/>
      <c r="W1005" s="87"/>
      <c r="X1005" s="87"/>
      <c r="Y1005" s="87"/>
      <c r="Z1005" s="87"/>
      <c r="AA1005" s="87"/>
      <c r="AB1005" s="87"/>
      <c r="AC1005" s="87"/>
      <c r="AD1005" s="87"/>
      <c r="AE1005" s="87"/>
      <c r="AF1005" s="87"/>
      <c r="AG1005" s="87"/>
      <c r="AH1005" s="87"/>
      <c r="AI1005" s="87"/>
      <c r="AJ1005" s="87"/>
    </row>
    <row r="1006" spans="1:36" x14ac:dyDescent="0.25">
      <c r="A1006" s="273"/>
      <c r="B1006" s="86"/>
      <c r="C1006" s="86"/>
      <c r="D1006" s="86"/>
      <c r="E1006" s="86"/>
      <c r="F1006" s="86"/>
      <c r="G1006" s="86"/>
      <c r="H1006" s="86"/>
      <c r="I1006" s="86"/>
      <c r="J1006" s="86"/>
      <c r="K1006" s="86"/>
      <c r="L1006" s="86"/>
      <c r="M1006" s="86"/>
      <c r="N1006" s="86"/>
      <c r="O1006" s="86"/>
      <c r="P1006" s="86"/>
      <c r="Q1006" s="86"/>
      <c r="R1006" s="86"/>
      <c r="S1006" s="86"/>
      <c r="T1006" s="86"/>
      <c r="U1006" s="86"/>
      <c r="V1006" s="86"/>
      <c r="W1006" s="86"/>
      <c r="X1006" s="86"/>
      <c r="Y1006" s="86"/>
      <c r="Z1006" s="86"/>
      <c r="AA1006" s="86"/>
      <c r="AB1006" s="86"/>
      <c r="AC1006" s="86"/>
      <c r="AD1006" s="86"/>
      <c r="AE1006" s="86"/>
      <c r="AF1006" s="86"/>
      <c r="AG1006" s="86"/>
      <c r="AH1006" s="86"/>
      <c r="AI1006" s="86"/>
      <c r="AJ1006" s="86"/>
    </row>
    <row r="1007" spans="1:36" x14ac:dyDescent="0.25">
      <c r="A1007" s="274"/>
      <c r="B1007" s="87"/>
      <c r="C1007" s="87"/>
      <c r="D1007" s="87"/>
      <c r="E1007" s="87"/>
      <c r="F1007" s="87"/>
      <c r="G1007" s="87"/>
      <c r="H1007" s="87"/>
      <c r="I1007" s="87"/>
      <c r="J1007" s="87"/>
      <c r="K1007" s="87"/>
      <c r="L1007" s="87"/>
      <c r="M1007" s="87"/>
      <c r="N1007" s="87"/>
      <c r="O1007" s="87"/>
      <c r="P1007" s="87"/>
      <c r="Q1007" s="87"/>
      <c r="R1007" s="87"/>
      <c r="S1007" s="87"/>
      <c r="T1007" s="87"/>
      <c r="U1007" s="87"/>
      <c r="V1007" s="87"/>
      <c r="W1007" s="87"/>
      <c r="X1007" s="87"/>
      <c r="Y1007" s="87"/>
      <c r="Z1007" s="87"/>
      <c r="AA1007" s="87"/>
      <c r="AB1007" s="87"/>
      <c r="AC1007" s="87"/>
      <c r="AD1007" s="87"/>
      <c r="AE1007" s="87"/>
      <c r="AF1007" s="87"/>
      <c r="AG1007" s="87"/>
      <c r="AH1007" s="87"/>
      <c r="AI1007" s="87"/>
      <c r="AJ1007" s="87"/>
    </row>
    <row r="1008" spans="1:36" x14ac:dyDescent="0.25">
      <c r="A1008" s="273"/>
      <c r="B1008" s="86"/>
      <c r="C1008" s="86"/>
      <c r="D1008" s="86"/>
      <c r="E1008" s="86"/>
      <c r="F1008" s="86"/>
      <c r="G1008" s="86"/>
      <c r="H1008" s="86"/>
      <c r="I1008" s="86"/>
      <c r="J1008" s="86"/>
      <c r="K1008" s="86"/>
      <c r="L1008" s="86"/>
      <c r="M1008" s="86"/>
      <c r="N1008" s="86"/>
      <c r="O1008" s="86"/>
      <c r="P1008" s="86"/>
      <c r="Q1008" s="86"/>
      <c r="R1008" s="86"/>
      <c r="S1008" s="86"/>
      <c r="T1008" s="86"/>
      <c r="U1008" s="86"/>
      <c r="V1008" s="86"/>
      <c r="W1008" s="86"/>
      <c r="X1008" s="86"/>
      <c r="Y1008" s="86"/>
      <c r="Z1008" s="86"/>
      <c r="AA1008" s="86"/>
      <c r="AB1008" s="86"/>
      <c r="AC1008" s="86"/>
      <c r="AD1008" s="86"/>
      <c r="AE1008" s="86"/>
      <c r="AF1008" s="86"/>
      <c r="AG1008" s="86"/>
      <c r="AH1008" s="86"/>
      <c r="AI1008" s="86"/>
      <c r="AJ1008" s="86"/>
    </row>
    <row r="1009" spans="1:36" x14ac:dyDescent="0.25">
      <c r="A1009" s="274"/>
      <c r="B1009" s="87"/>
      <c r="C1009" s="87"/>
      <c r="D1009" s="87"/>
      <c r="E1009" s="87"/>
      <c r="F1009" s="87"/>
      <c r="G1009" s="87"/>
      <c r="H1009" s="87"/>
      <c r="I1009" s="87"/>
      <c r="J1009" s="87"/>
      <c r="K1009" s="87"/>
      <c r="L1009" s="87"/>
      <c r="M1009" s="87"/>
      <c r="N1009" s="87"/>
      <c r="O1009" s="87"/>
      <c r="P1009" s="87"/>
      <c r="Q1009" s="87"/>
      <c r="R1009" s="87"/>
      <c r="S1009" s="87"/>
      <c r="T1009" s="87"/>
      <c r="U1009" s="87"/>
      <c r="V1009" s="87"/>
      <c r="W1009" s="87"/>
      <c r="X1009" s="87"/>
      <c r="Y1009" s="87"/>
      <c r="Z1009" s="87"/>
      <c r="AA1009" s="87"/>
      <c r="AB1009" s="87"/>
      <c r="AC1009" s="87"/>
      <c r="AD1009" s="87"/>
      <c r="AE1009" s="87"/>
      <c r="AF1009" s="87"/>
      <c r="AG1009" s="87"/>
      <c r="AH1009" s="87"/>
      <c r="AI1009" s="87"/>
      <c r="AJ1009" s="87"/>
    </row>
    <row r="1010" spans="1:36" x14ac:dyDescent="0.25">
      <c r="A1010" s="273"/>
      <c r="B1010" s="86"/>
      <c r="C1010" s="86"/>
      <c r="D1010" s="86"/>
      <c r="E1010" s="86"/>
      <c r="F1010" s="86"/>
      <c r="G1010" s="86"/>
      <c r="H1010" s="86"/>
      <c r="I1010" s="86"/>
      <c r="J1010" s="86"/>
      <c r="K1010" s="86"/>
      <c r="L1010" s="86"/>
      <c r="M1010" s="86"/>
      <c r="N1010" s="86"/>
      <c r="O1010" s="86"/>
      <c r="P1010" s="86"/>
      <c r="Q1010" s="86"/>
      <c r="R1010" s="86"/>
      <c r="S1010" s="86"/>
      <c r="T1010" s="86"/>
      <c r="U1010" s="86"/>
      <c r="V1010" s="86"/>
      <c r="W1010" s="86"/>
      <c r="X1010" s="86"/>
      <c r="Y1010" s="86"/>
      <c r="Z1010" s="86"/>
      <c r="AA1010" s="86"/>
      <c r="AB1010" s="86"/>
      <c r="AC1010" s="86"/>
      <c r="AD1010" s="86"/>
      <c r="AE1010" s="86"/>
      <c r="AF1010" s="86"/>
      <c r="AG1010" s="86"/>
      <c r="AH1010" s="86"/>
      <c r="AI1010" s="86"/>
      <c r="AJ1010" s="86"/>
    </row>
    <row r="1011" spans="1:36" x14ac:dyDescent="0.25">
      <c r="A1011" s="274"/>
      <c r="B1011" s="87"/>
      <c r="C1011" s="87"/>
      <c r="D1011" s="87"/>
      <c r="E1011" s="87"/>
      <c r="F1011" s="87"/>
      <c r="G1011" s="87"/>
      <c r="H1011" s="87"/>
      <c r="I1011" s="87"/>
      <c r="J1011" s="87"/>
      <c r="K1011" s="87"/>
      <c r="L1011" s="87"/>
      <c r="M1011" s="87"/>
      <c r="N1011" s="87"/>
      <c r="O1011" s="87"/>
      <c r="P1011" s="87"/>
      <c r="Q1011" s="87"/>
      <c r="R1011" s="87"/>
      <c r="S1011" s="87"/>
      <c r="T1011" s="87"/>
      <c r="U1011" s="87"/>
      <c r="V1011" s="87"/>
      <c r="W1011" s="87"/>
      <c r="X1011" s="87"/>
      <c r="Y1011" s="87"/>
      <c r="Z1011" s="87"/>
      <c r="AA1011" s="87"/>
      <c r="AB1011" s="87"/>
      <c r="AC1011" s="87"/>
      <c r="AD1011" s="87"/>
      <c r="AE1011" s="87"/>
      <c r="AF1011" s="87"/>
      <c r="AG1011" s="87"/>
      <c r="AH1011" s="87"/>
      <c r="AI1011" s="87"/>
      <c r="AJ1011" s="87"/>
    </row>
    <row r="1012" spans="1:36" x14ac:dyDescent="0.25">
      <c r="A1012" s="273"/>
      <c r="B1012" s="86"/>
      <c r="C1012" s="86"/>
      <c r="D1012" s="86"/>
      <c r="E1012" s="86"/>
      <c r="F1012" s="86"/>
      <c r="G1012" s="86"/>
      <c r="H1012" s="86"/>
      <c r="I1012" s="86"/>
      <c r="J1012" s="86"/>
      <c r="K1012" s="86"/>
      <c r="L1012" s="86"/>
      <c r="M1012" s="86"/>
      <c r="N1012" s="86"/>
      <c r="O1012" s="86"/>
      <c r="P1012" s="86"/>
      <c r="Q1012" s="86"/>
      <c r="R1012" s="86"/>
      <c r="S1012" s="86"/>
      <c r="T1012" s="86"/>
      <c r="U1012" s="86"/>
      <c r="V1012" s="86"/>
      <c r="W1012" s="86"/>
      <c r="X1012" s="86"/>
      <c r="Y1012" s="86"/>
      <c r="Z1012" s="86"/>
      <c r="AA1012" s="86"/>
      <c r="AB1012" s="86"/>
      <c r="AC1012" s="86"/>
      <c r="AD1012" s="86"/>
      <c r="AE1012" s="86"/>
      <c r="AF1012" s="86"/>
      <c r="AG1012" s="86"/>
      <c r="AH1012" s="86"/>
      <c r="AI1012" s="86"/>
      <c r="AJ1012" s="86"/>
    </row>
    <row r="1013" spans="1:36" x14ac:dyDescent="0.25">
      <c r="A1013" s="274"/>
      <c r="B1013" s="87"/>
      <c r="C1013" s="87"/>
      <c r="D1013" s="87"/>
      <c r="E1013" s="87"/>
      <c r="F1013" s="87"/>
      <c r="G1013" s="87"/>
      <c r="H1013" s="87"/>
      <c r="I1013" s="87"/>
      <c r="J1013" s="87"/>
      <c r="K1013" s="87"/>
      <c r="L1013" s="87"/>
      <c r="M1013" s="87"/>
      <c r="N1013" s="87"/>
      <c r="O1013" s="87"/>
      <c r="P1013" s="87"/>
      <c r="Q1013" s="87"/>
      <c r="R1013" s="87"/>
      <c r="S1013" s="87"/>
      <c r="T1013" s="87"/>
      <c r="U1013" s="87"/>
      <c r="V1013" s="87"/>
      <c r="W1013" s="87"/>
      <c r="X1013" s="87"/>
      <c r="Y1013" s="87"/>
      <c r="Z1013" s="87"/>
      <c r="AA1013" s="87"/>
      <c r="AB1013" s="87"/>
      <c r="AC1013" s="87"/>
      <c r="AD1013" s="87"/>
      <c r="AE1013" s="87"/>
      <c r="AF1013" s="87"/>
      <c r="AG1013" s="87"/>
      <c r="AH1013" s="87"/>
      <c r="AI1013" s="87"/>
      <c r="AJ1013" s="87"/>
    </row>
    <row r="1014" spans="1:36" x14ac:dyDescent="0.25">
      <c r="A1014" s="273"/>
      <c r="B1014" s="86"/>
      <c r="C1014" s="86"/>
      <c r="D1014" s="86"/>
      <c r="E1014" s="86"/>
      <c r="F1014" s="86"/>
      <c r="G1014" s="86"/>
      <c r="H1014" s="86"/>
      <c r="I1014" s="86"/>
      <c r="J1014" s="86"/>
      <c r="K1014" s="86"/>
      <c r="L1014" s="86"/>
      <c r="M1014" s="86"/>
      <c r="N1014" s="86"/>
      <c r="O1014" s="86"/>
      <c r="P1014" s="86"/>
      <c r="Q1014" s="86"/>
      <c r="R1014" s="86"/>
      <c r="S1014" s="86"/>
      <c r="T1014" s="86"/>
      <c r="U1014" s="86"/>
      <c r="V1014" s="86"/>
      <c r="W1014" s="86"/>
      <c r="X1014" s="86"/>
      <c r="Y1014" s="86"/>
      <c r="Z1014" s="86"/>
      <c r="AA1014" s="86"/>
      <c r="AB1014" s="86"/>
      <c r="AC1014" s="86"/>
      <c r="AD1014" s="86"/>
      <c r="AE1014" s="86"/>
      <c r="AF1014" s="86"/>
      <c r="AG1014" s="86"/>
      <c r="AH1014" s="86"/>
      <c r="AI1014" s="86"/>
      <c r="AJ1014" s="86"/>
    </row>
    <row r="1015" spans="1:36" x14ac:dyDescent="0.25">
      <c r="A1015" s="274"/>
      <c r="B1015" s="87"/>
      <c r="C1015" s="87"/>
      <c r="D1015" s="87"/>
      <c r="E1015" s="87"/>
      <c r="F1015" s="87"/>
      <c r="G1015" s="87"/>
      <c r="H1015" s="87"/>
      <c r="I1015" s="87"/>
      <c r="J1015" s="87"/>
      <c r="K1015" s="87"/>
      <c r="L1015" s="87"/>
      <c r="M1015" s="87"/>
      <c r="N1015" s="87"/>
      <c r="O1015" s="87"/>
      <c r="P1015" s="87"/>
      <c r="Q1015" s="87"/>
      <c r="R1015" s="87"/>
      <c r="S1015" s="87"/>
      <c r="T1015" s="87"/>
      <c r="U1015" s="87"/>
      <c r="V1015" s="87"/>
      <c r="W1015" s="87"/>
      <c r="X1015" s="87"/>
      <c r="Y1015" s="87"/>
      <c r="Z1015" s="87"/>
      <c r="AA1015" s="87"/>
      <c r="AB1015" s="87"/>
      <c r="AC1015" s="87"/>
      <c r="AD1015" s="87"/>
      <c r="AE1015" s="87"/>
      <c r="AF1015" s="87"/>
      <c r="AG1015" s="87"/>
      <c r="AH1015" s="87"/>
      <c r="AI1015" s="87"/>
      <c r="AJ1015" s="87"/>
    </row>
    <row r="1016" spans="1:36" x14ac:dyDescent="0.25">
      <c r="A1016" s="273"/>
      <c r="B1016" s="86"/>
      <c r="C1016" s="86"/>
      <c r="D1016" s="86"/>
      <c r="E1016" s="86"/>
      <c r="F1016" s="86"/>
      <c r="G1016" s="86"/>
      <c r="H1016" s="86"/>
      <c r="I1016" s="86"/>
      <c r="J1016" s="86"/>
      <c r="K1016" s="86"/>
      <c r="L1016" s="86"/>
      <c r="M1016" s="86"/>
      <c r="N1016" s="86"/>
      <c r="O1016" s="86"/>
      <c r="P1016" s="86"/>
      <c r="Q1016" s="86"/>
      <c r="R1016" s="86"/>
      <c r="S1016" s="86"/>
      <c r="T1016" s="86"/>
      <c r="U1016" s="86"/>
      <c r="V1016" s="86"/>
      <c r="W1016" s="86"/>
      <c r="X1016" s="86"/>
      <c r="Y1016" s="86"/>
      <c r="Z1016" s="86"/>
      <c r="AA1016" s="86"/>
      <c r="AB1016" s="86"/>
      <c r="AC1016" s="86"/>
      <c r="AD1016" s="86"/>
      <c r="AE1016" s="86"/>
      <c r="AF1016" s="86"/>
      <c r="AG1016" s="86"/>
      <c r="AH1016" s="86"/>
      <c r="AI1016" s="86"/>
      <c r="AJ1016" s="86"/>
    </row>
    <row r="1017" spans="1:36" x14ac:dyDescent="0.25">
      <c r="A1017" s="274"/>
      <c r="B1017" s="87"/>
      <c r="C1017" s="87"/>
      <c r="D1017" s="87"/>
      <c r="E1017" s="87"/>
      <c r="F1017" s="87"/>
      <c r="G1017" s="87"/>
      <c r="H1017" s="87"/>
      <c r="I1017" s="87"/>
      <c r="J1017" s="87"/>
      <c r="K1017" s="87"/>
      <c r="L1017" s="87"/>
      <c r="M1017" s="87"/>
      <c r="N1017" s="87"/>
      <c r="O1017" s="87"/>
      <c r="P1017" s="87"/>
      <c r="Q1017" s="87"/>
      <c r="R1017" s="87"/>
      <c r="S1017" s="87"/>
      <c r="T1017" s="87"/>
      <c r="U1017" s="87"/>
      <c r="V1017" s="87"/>
      <c r="W1017" s="87"/>
      <c r="X1017" s="87"/>
      <c r="Y1017" s="87"/>
      <c r="Z1017" s="87"/>
      <c r="AA1017" s="87"/>
      <c r="AB1017" s="87"/>
      <c r="AC1017" s="87"/>
      <c r="AD1017" s="87"/>
      <c r="AE1017" s="87"/>
      <c r="AF1017" s="87"/>
      <c r="AG1017" s="87"/>
      <c r="AH1017" s="87"/>
      <c r="AI1017" s="87"/>
      <c r="AJ1017" s="87"/>
    </row>
    <row r="1018" spans="1:36" x14ac:dyDescent="0.25">
      <c r="A1018" s="273"/>
      <c r="B1018" s="86"/>
      <c r="C1018" s="86"/>
      <c r="D1018" s="86"/>
      <c r="E1018" s="86"/>
      <c r="F1018" s="86"/>
      <c r="G1018" s="86"/>
      <c r="H1018" s="86"/>
      <c r="I1018" s="86"/>
      <c r="J1018" s="86"/>
      <c r="K1018" s="86"/>
      <c r="L1018" s="86"/>
      <c r="M1018" s="86"/>
      <c r="N1018" s="86"/>
      <c r="O1018" s="86"/>
      <c r="P1018" s="86"/>
      <c r="Q1018" s="86"/>
      <c r="R1018" s="86"/>
      <c r="S1018" s="86"/>
      <c r="T1018" s="86"/>
      <c r="U1018" s="86"/>
      <c r="V1018" s="86"/>
      <c r="W1018" s="86"/>
      <c r="X1018" s="86"/>
      <c r="Y1018" s="86"/>
      <c r="Z1018" s="86"/>
      <c r="AA1018" s="86"/>
      <c r="AB1018" s="86"/>
      <c r="AC1018" s="86"/>
      <c r="AD1018" s="86"/>
      <c r="AE1018" s="86"/>
      <c r="AF1018" s="86"/>
      <c r="AG1018" s="86"/>
      <c r="AH1018" s="86"/>
      <c r="AI1018" s="86"/>
      <c r="AJ1018" s="86"/>
    </row>
    <row r="1019" spans="1:36" x14ac:dyDescent="0.25">
      <c r="A1019" s="274"/>
      <c r="B1019" s="87"/>
      <c r="C1019" s="87"/>
      <c r="D1019" s="87"/>
      <c r="E1019" s="87"/>
      <c r="F1019" s="87"/>
      <c r="G1019" s="87"/>
      <c r="H1019" s="87"/>
      <c r="I1019" s="87"/>
      <c r="J1019" s="87"/>
      <c r="K1019" s="87"/>
      <c r="L1019" s="87"/>
      <c r="M1019" s="87"/>
      <c r="N1019" s="87"/>
      <c r="O1019" s="87"/>
      <c r="P1019" s="87"/>
      <c r="Q1019" s="87"/>
      <c r="R1019" s="87"/>
      <c r="S1019" s="87"/>
      <c r="T1019" s="87"/>
      <c r="U1019" s="87"/>
      <c r="V1019" s="87"/>
      <c r="W1019" s="87"/>
      <c r="X1019" s="87"/>
      <c r="Y1019" s="87"/>
      <c r="Z1019" s="87"/>
      <c r="AA1019" s="87"/>
      <c r="AB1019" s="87"/>
      <c r="AC1019" s="87"/>
      <c r="AD1019" s="87"/>
      <c r="AE1019" s="87"/>
      <c r="AF1019" s="87"/>
      <c r="AG1019" s="87"/>
      <c r="AH1019" s="87"/>
      <c r="AI1019" s="87"/>
      <c r="AJ1019" s="87"/>
    </row>
    <row r="1020" spans="1:36" x14ac:dyDescent="0.25">
      <c r="A1020" s="273"/>
      <c r="B1020" s="86"/>
      <c r="C1020" s="86"/>
      <c r="D1020" s="86"/>
      <c r="E1020" s="86"/>
      <c r="F1020" s="86"/>
      <c r="G1020" s="86"/>
      <c r="H1020" s="86"/>
      <c r="I1020" s="86"/>
      <c r="J1020" s="86"/>
      <c r="K1020" s="86"/>
      <c r="L1020" s="86"/>
      <c r="M1020" s="86"/>
      <c r="N1020" s="86"/>
      <c r="O1020" s="86"/>
      <c r="P1020" s="86"/>
      <c r="Q1020" s="86"/>
      <c r="R1020" s="86"/>
      <c r="S1020" s="86"/>
      <c r="T1020" s="86"/>
      <c r="U1020" s="86"/>
      <c r="V1020" s="86"/>
      <c r="W1020" s="86"/>
      <c r="X1020" s="86"/>
      <c r="Y1020" s="86"/>
      <c r="Z1020" s="86"/>
      <c r="AA1020" s="86"/>
      <c r="AB1020" s="86"/>
      <c r="AC1020" s="86"/>
      <c r="AD1020" s="86"/>
      <c r="AE1020" s="86"/>
      <c r="AF1020" s="86"/>
      <c r="AG1020" s="86"/>
      <c r="AH1020" s="86"/>
      <c r="AI1020" s="86"/>
      <c r="AJ1020" s="86"/>
    </row>
    <row r="1021" spans="1:36" x14ac:dyDescent="0.25">
      <c r="A1021" s="274"/>
      <c r="B1021" s="87"/>
      <c r="C1021" s="87"/>
      <c r="D1021" s="87"/>
      <c r="E1021" s="87"/>
      <c r="F1021" s="87"/>
      <c r="G1021" s="87"/>
      <c r="H1021" s="87"/>
      <c r="I1021" s="87"/>
      <c r="J1021" s="87"/>
      <c r="K1021" s="87"/>
      <c r="L1021" s="87"/>
      <c r="M1021" s="87"/>
      <c r="N1021" s="87"/>
      <c r="O1021" s="87"/>
      <c r="P1021" s="87"/>
      <c r="Q1021" s="87"/>
      <c r="R1021" s="87"/>
      <c r="S1021" s="87"/>
      <c r="T1021" s="87"/>
      <c r="U1021" s="87"/>
      <c r="V1021" s="87"/>
      <c r="W1021" s="87"/>
      <c r="X1021" s="87"/>
      <c r="Y1021" s="87"/>
      <c r="Z1021" s="87"/>
      <c r="AA1021" s="87"/>
      <c r="AB1021" s="87"/>
      <c r="AC1021" s="87"/>
      <c r="AD1021" s="87"/>
      <c r="AE1021" s="87"/>
      <c r="AF1021" s="87"/>
      <c r="AG1021" s="87"/>
      <c r="AH1021" s="87"/>
      <c r="AI1021" s="87"/>
      <c r="AJ1021" s="87"/>
    </row>
    <row r="1022" spans="1:36" x14ac:dyDescent="0.25">
      <c r="A1022" s="273"/>
      <c r="B1022" s="86"/>
      <c r="C1022" s="86"/>
      <c r="D1022" s="86"/>
      <c r="E1022" s="86"/>
      <c r="F1022" s="86"/>
      <c r="G1022" s="86"/>
      <c r="H1022" s="86"/>
      <c r="I1022" s="86"/>
      <c r="J1022" s="86"/>
      <c r="K1022" s="86"/>
      <c r="L1022" s="86"/>
      <c r="M1022" s="86"/>
      <c r="N1022" s="86"/>
      <c r="O1022" s="86"/>
      <c r="P1022" s="86"/>
      <c r="Q1022" s="86"/>
      <c r="R1022" s="86"/>
      <c r="S1022" s="86"/>
      <c r="T1022" s="86"/>
      <c r="U1022" s="86"/>
      <c r="V1022" s="86"/>
      <c r="W1022" s="86"/>
      <c r="X1022" s="86"/>
      <c r="Y1022" s="86"/>
      <c r="Z1022" s="86"/>
      <c r="AA1022" s="86"/>
      <c r="AB1022" s="86"/>
      <c r="AC1022" s="86"/>
      <c r="AD1022" s="86"/>
      <c r="AE1022" s="86"/>
      <c r="AF1022" s="86"/>
      <c r="AG1022" s="86"/>
      <c r="AH1022" s="86"/>
      <c r="AI1022" s="86"/>
      <c r="AJ1022" s="86"/>
    </row>
    <row r="1023" spans="1:36" x14ac:dyDescent="0.25">
      <c r="A1023" s="274"/>
      <c r="B1023" s="87"/>
      <c r="C1023" s="87"/>
      <c r="D1023" s="87"/>
      <c r="E1023" s="87"/>
      <c r="F1023" s="87"/>
      <c r="G1023" s="87"/>
      <c r="H1023" s="87"/>
      <c r="I1023" s="87"/>
      <c r="J1023" s="87"/>
      <c r="K1023" s="87"/>
      <c r="L1023" s="87"/>
      <c r="M1023" s="87"/>
      <c r="N1023" s="87"/>
      <c r="O1023" s="87"/>
      <c r="P1023" s="87"/>
      <c r="Q1023" s="87"/>
      <c r="R1023" s="87"/>
      <c r="S1023" s="87"/>
      <c r="T1023" s="87"/>
      <c r="U1023" s="87"/>
      <c r="V1023" s="87"/>
      <c r="W1023" s="87"/>
      <c r="X1023" s="87"/>
      <c r="Y1023" s="87"/>
      <c r="Z1023" s="87"/>
      <c r="AA1023" s="87"/>
      <c r="AB1023" s="87"/>
      <c r="AC1023" s="87"/>
      <c r="AD1023" s="87"/>
      <c r="AE1023" s="87"/>
      <c r="AF1023" s="87"/>
      <c r="AG1023" s="87"/>
      <c r="AH1023" s="87"/>
      <c r="AI1023" s="87"/>
      <c r="AJ1023" s="87"/>
    </row>
    <row r="1024" spans="1:36" x14ac:dyDescent="0.25">
      <c r="A1024" s="273"/>
      <c r="B1024" s="86"/>
      <c r="C1024" s="86"/>
      <c r="D1024" s="86"/>
      <c r="E1024" s="86"/>
      <c r="F1024" s="86"/>
      <c r="G1024" s="86"/>
      <c r="H1024" s="86"/>
      <c r="I1024" s="86"/>
      <c r="J1024" s="86"/>
      <c r="K1024" s="86"/>
      <c r="L1024" s="86"/>
      <c r="M1024" s="86"/>
      <c r="N1024" s="86"/>
      <c r="O1024" s="86"/>
      <c r="P1024" s="86"/>
      <c r="Q1024" s="86"/>
      <c r="R1024" s="86"/>
      <c r="S1024" s="86"/>
      <c r="T1024" s="86"/>
      <c r="U1024" s="86"/>
      <c r="V1024" s="86"/>
      <c r="W1024" s="86"/>
      <c r="X1024" s="86"/>
      <c r="Y1024" s="86"/>
      <c r="Z1024" s="86"/>
      <c r="AA1024" s="86"/>
      <c r="AB1024" s="86"/>
      <c r="AC1024" s="86"/>
      <c r="AD1024" s="86"/>
      <c r="AE1024" s="86"/>
      <c r="AF1024" s="86"/>
      <c r="AG1024" s="86"/>
      <c r="AH1024" s="86"/>
      <c r="AI1024" s="86"/>
      <c r="AJ1024" s="86"/>
    </row>
    <row r="1025" spans="1:36" x14ac:dyDescent="0.25">
      <c r="A1025" s="274"/>
      <c r="B1025" s="87"/>
      <c r="C1025" s="87"/>
      <c r="D1025" s="87"/>
      <c r="E1025" s="87"/>
      <c r="F1025" s="87"/>
      <c r="G1025" s="87"/>
      <c r="H1025" s="87"/>
      <c r="I1025" s="87"/>
      <c r="J1025" s="87"/>
      <c r="K1025" s="87"/>
      <c r="L1025" s="87"/>
      <c r="M1025" s="87"/>
      <c r="N1025" s="87"/>
      <c r="O1025" s="87"/>
      <c r="P1025" s="87"/>
      <c r="Q1025" s="87"/>
      <c r="R1025" s="87"/>
      <c r="S1025" s="87"/>
      <c r="T1025" s="87"/>
      <c r="U1025" s="87"/>
      <c r="V1025" s="87"/>
      <c r="W1025" s="87"/>
      <c r="X1025" s="87"/>
      <c r="Y1025" s="87"/>
      <c r="Z1025" s="87"/>
      <c r="AA1025" s="87"/>
      <c r="AB1025" s="87"/>
      <c r="AC1025" s="87"/>
      <c r="AD1025" s="87"/>
      <c r="AE1025" s="87"/>
      <c r="AF1025" s="87"/>
      <c r="AG1025" s="87"/>
      <c r="AH1025" s="87"/>
      <c r="AI1025" s="87"/>
      <c r="AJ1025" s="87"/>
    </row>
    <row r="1026" spans="1:36" x14ac:dyDescent="0.25">
      <c r="A1026" s="273"/>
      <c r="B1026" s="86"/>
      <c r="C1026" s="86"/>
      <c r="D1026" s="86"/>
      <c r="E1026" s="86"/>
      <c r="F1026" s="86"/>
      <c r="G1026" s="86"/>
      <c r="H1026" s="86"/>
      <c r="I1026" s="86"/>
      <c r="J1026" s="86"/>
      <c r="K1026" s="86"/>
      <c r="L1026" s="86"/>
      <c r="M1026" s="86"/>
      <c r="N1026" s="86"/>
      <c r="O1026" s="86"/>
      <c r="P1026" s="86"/>
      <c r="Q1026" s="86"/>
      <c r="R1026" s="86"/>
      <c r="S1026" s="86"/>
      <c r="T1026" s="86"/>
      <c r="U1026" s="86"/>
      <c r="V1026" s="86"/>
      <c r="W1026" s="86"/>
      <c r="X1026" s="86"/>
      <c r="Y1026" s="86"/>
      <c r="Z1026" s="86"/>
      <c r="AA1026" s="86"/>
      <c r="AB1026" s="86"/>
      <c r="AC1026" s="86"/>
      <c r="AD1026" s="86"/>
      <c r="AE1026" s="86"/>
      <c r="AF1026" s="86"/>
      <c r="AG1026" s="86"/>
      <c r="AH1026" s="86"/>
      <c r="AI1026" s="86"/>
      <c r="AJ1026" s="86"/>
    </row>
    <row r="1027" spans="1:36" x14ac:dyDescent="0.25">
      <c r="A1027" s="274"/>
      <c r="B1027" s="87"/>
      <c r="C1027" s="87"/>
      <c r="D1027" s="87"/>
      <c r="E1027" s="87"/>
      <c r="F1027" s="87"/>
      <c r="G1027" s="87"/>
      <c r="H1027" s="87"/>
      <c r="I1027" s="87"/>
      <c r="J1027" s="87"/>
      <c r="K1027" s="87"/>
      <c r="L1027" s="87"/>
      <c r="M1027" s="87"/>
      <c r="N1027" s="87"/>
      <c r="O1027" s="87"/>
      <c r="P1027" s="87"/>
      <c r="Q1027" s="87"/>
      <c r="R1027" s="87"/>
      <c r="S1027" s="87"/>
      <c r="T1027" s="87"/>
      <c r="U1027" s="87"/>
      <c r="V1027" s="87"/>
      <c r="W1027" s="87"/>
      <c r="X1027" s="87"/>
      <c r="Y1027" s="87"/>
      <c r="Z1027" s="87"/>
      <c r="AA1027" s="87"/>
      <c r="AB1027" s="87"/>
      <c r="AC1027" s="87"/>
      <c r="AD1027" s="87"/>
      <c r="AE1027" s="87"/>
      <c r="AF1027" s="87"/>
      <c r="AG1027" s="87"/>
      <c r="AH1027" s="87"/>
      <c r="AI1027" s="87"/>
      <c r="AJ1027" s="87"/>
    </row>
    <row r="1028" spans="1:36" x14ac:dyDescent="0.25">
      <c r="A1028" s="273"/>
      <c r="B1028" s="86"/>
      <c r="C1028" s="86"/>
      <c r="D1028" s="86"/>
      <c r="E1028" s="86"/>
      <c r="F1028" s="86"/>
      <c r="G1028" s="86"/>
      <c r="H1028" s="86"/>
      <c r="I1028" s="86"/>
      <c r="J1028" s="86"/>
      <c r="K1028" s="86"/>
      <c r="L1028" s="86"/>
      <c r="M1028" s="86"/>
      <c r="N1028" s="86"/>
      <c r="O1028" s="86"/>
      <c r="P1028" s="86"/>
      <c r="Q1028" s="86"/>
      <c r="R1028" s="86"/>
      <c r="S1028" s="86"/>
      <c r="T1028" s="86"/>
      <c r="U1028" s="86"/>
      <c r="V1028" s="86"/>
      <c r="W1028" s="86"/>
      <c r="X1028" s="86"/>
      <c r="Y1028" s="86"/>
      <c r="Z1028" s="86"/>
      <c r="AA1028" s="86"/>
      <c r="AB1028" s="86"/>
      <c r="AC1028" s="86"/>
      <c r="AD1028" s="86"/>
      <c r="AE1028" s="86"/>
      <c r="AF1028" s="86"/>
      <c r="AG1028" s="86"/>
      <c r="AH1028" s="86"/>
      <c r="AI1028" s="86"/>
      <c r="AJ1028" s="86"/>
    </row>
    <row r="1029" spans="1:36" x14ac:dyDescent="0.25">
      <c r="A1029" s="274"/>
      <c r="B1029" s="87"/>
      <c r="C1029" s="87"/>
      <c r="D1029" s="87"/>
      <c r="E1029" s="87"/>
      <c r="F1029" s="87"/>
      <c r="G1029" s="87"/>
      <c r="H1029" s="87"/>
      <c r="I1029" s="87"/>
      <c r="J1029" s="87"/>
      <c r="K1029" s="87"/>
      <c r="L1029" s="87"/>
      <c r="M1029" s="87"/>
      <c r="N1029" s="87"/>
      <c r="O1029" s="87"/>
      <c r="P1029" s="87"/>
      <c r="Q1029" s="87"/>
      <c r="R1029" s="87"/>
      <c r="S1029" s="87"/>
      <c r="T1029" s="87"/>
      <c r="U1029" s="87"/>
      <c r="V1029" s="87"/>
      <c r="W1029" s="87"/>
      <c r="X1029" s="87"/>
      <c r="Y1029" s="87"/>
      <c r="Z1029" s="87"/>
      <c r="AA1029" s="87"/>
      <c r="AB1029" s="87"/>
      <c r="AC1029" s="87"/>
      <c r="AD1029" s="87"/>
      <c r="AE1029" s="87"/>
      <c r="AF1029" s="87"/>
      <c r="AG1029" s="87"/>
      <c r="AH1029" s="87"/>
      <c r="AI1029" s="87"/>
      <c r="AJ1029" s="87"/>
    </row>
    <row r="1030" spans="1:36" x14ac:dyDescent="0.25">
      <c r="A1030" s="273"/>
      <c r="B1030" s="86"/>
      <c r="C1030" s="86"/>
      <c r="D1030" s="86"/>
      <c r="E1030" s="86"/>
      <c r="F1030" s="86"/>
      <c r="G1030" s="86"/>
      <c r="H1030" s="86"/>
      <c r="I1030" s="86"/>
      <c r="J1030" s="86"/>
      <c r="K1030" s="86"/>
      <c r="L1030" s="86"/>
      <c r="M1030" s="86"/>
      <c r="N1030" s="86"/>
      <c r="O1030" s="86"/>
      <c r="P1030" s="86"/>
      <c r="Q1030" s="86"/>
      <c r="R1030" s="86"/>
      <c r="S1030" s="86"/>
      <c r="T1030" s="86"/>
      <c r="U1030" s="86"/>
      <c r="V1030" s="86"/>
      <c r="W1030" s="86"/>
      <c r="X1030" s="86"/>
      <c r="Y1030" s="86"/>
      <c r="Z1030" s="86"/>
      <c r="AA1030" s="86"/>
      <c r="AB1030" s="86"/>
      <c r="AC1030" s="86"/>
      <c r="AD1030" s="86"/>
      <c r="AE1030" s="86"/>
      <c r="AF1030" s="86"/>
      <c r="AG1030" s="86"/>
      <c r="AH1030" s="86"/>
      <c r="AI1030" s="86"/>
      <c r="AJ1030" s="86"/>
    </row>
    <row r="1031" spans="1:36" x14ac:dyDescent="0.25">
      <c r="A1031" s="274"/>
      <c r="B1031" s="87"/>
      <c r="C1031" s="87"/>
      <c r="D1031" s="87"/>
      <c r="E1031" s="87"/>
      <c r="F1031" s="87"/>
      <c r="G1031" s="87"/>
      <c r="H1031" s="87"/>
      <c r="I1031" s="87"/>
      <c r="J1031" s="87"/>
      <c r="K1031" s="87"/>
      <c r="L1031" s="87"/>
      <c r="M1031" s="87"/>
      <c r="N1031" s="87"/>
      <c r="O1031" s="87"/>
      <c r="P1031" s="87"/>
      <c r="Q1031" s="87"/>
      <c r="R1031" s="87"/>
      <c r="S1031" s="87"/>
      <c r="T1031" s="87"/>
      <c r="U1031" s="87"/>
      <c r="V1031" s="87"/>
      <c r="W1031" s="87"/>
      <c r="X1031" s="87"/>
      <c r="Y1031" s="87"/>
      <c r="Z1031" s="87"/>
      <c r="AA1031" s="87"/>
      <c r="AB1031" s="87"/>
      <c r="AC1031" s="87"/>
      <c r="AD1031" s="87"/>
      <c r="AE1031" s="87"/>
      <c r="AF1031" s="87"/>
      <c r="AG1031" s="87"/>
      <c r="AH1031" s="87"/>
      <c r="AI1031" s="87"/>
      <c r="AJ1031" s="87"/>
    </row>
    <row r="1032" spans="1:36" x14ac:dyDescent="0.25">
      <c r="A1032" s="273"/>
      <c r="B1032" s="86"/>
      <c r="C1032" s="86"/>
      <c r="D1032" s="86"/>
      <c r="E1032" s="86"/>
      <c r="F1032" s="86"/>
      <c r="G1032" s="86"/>
      <c r="H1032" s="86"/>
      <c r="I1032" s="86"/>
      <c r="J1032" s="86"/>
      <c r="K1032" s="86"/>
      <c r="L1032" s="86"/>
      <c r="M1032" s="86"/>
      <c r="N1032" s="86"/>
      <c r="O1032" s="86"/>
      <c r="P1032" s="86"/>
      <c r="Q1032" s="86"/>
      <c r="R1032" s="86"/>
      <c r="S1032" s="86"/>
      <c r="T1032" s="86"/>
      <c r="U1032" s="86"/>
      <c r="V1032" s="86"/>
      <c r="W1032" s="86"/>
      <c r="X1032" s="86"/>
      <c r="Y1032" s="86"/>
      <c r="Z1032" s="86"/>
      <c r="AA1032" s="86"/>
      <c r="AB1032" s="86"/>
      <c r="AC1032" s="86"/>
      <c r="AD1032" s="86"/>
      <c r="AE1032" s="86"/>
      <c r="AF1032" s="86"/>
      <c r="AG1032" s="86"/>
      <c r="AH1032" s="86"/>
      <c r="AI1032" s="86"/>
      <c r="AJ1032" s="86"/>
    </row>
    <row r="1033" spans="1:36" x14ac:dyDescent="0.25">
      <c r="A1033" s="274"/>
      <c r="B1033" s="87"/>
      <c r="C1033" s="87"/>
      <c r="D1033" s="87"/>
      <c r="E1033" s="87"/>
      <c r="F1033" s="87"/>
      <c r="G1033" s="87"/>
      <c r="H1033" s="87"/>
      <c r="I1033" s="87"/>
      <c r="J1033" s="87"/>
      <c r="K1033" s="87"/>
      <c r="L1033" s="87"/>
      <c r="M1033" s="87"/>
      <c r="N1033" s="87"/>
      <c r="O1033" s="87"/>
      <c r="P1033" s="87"/>
      <c r="Q1033" s="87"/>
      <c r="R1033" s="87"/>
      <c r="S1033" s="87"/>
      <c r="T1033" s="87"/>
      <c r="U1033" s="87"/>
      <c r="V1033" s="87"/>
      <c r="W1033" s="87"/>
      <c r="X1033" s="87"/>
      <c r="Y1033" s="87"/>
      <c r="Z1033" s="87"/>
      <c r="AA1033" s="87"/>
      <c r="AB1033" s="87"/>
      <c r="AC1033" s="87"/>
      <c r="AD1033" s="87"/>
      <c r="AE1033" s="87"/>
      <c r="AF1033" s="87"/>
      <c r="AG1033" s="87"/>
      <c r="AH1033" s="87"/>
      <c r="AI1033" s="87"/>
      <c r="AJ1033" s="87"/>
    </row>
    <row r="1034" spans="1:36" x14ac:dyDescent="0.25">
      <c r="A1034" s="273"/>
      <c r="B1034" s="86"/>
      <c r="C1034" s="86"/>
      <c r="D1034" s="86"/>
      <c r="E1034" s="86"/>
      <c r="F1034" s="86"/>
      <c r="G1034" s="86"/>
      <c r="H1034" s="86"/>
      <c r="I1034" s="86"/>
      <c r="J1034" s="86"/>
      <c r="K1034" s="86"/>
      <c r="L1034" s="86"/>
      <c r="M1034" s="86"/>
      <c r="N1034" s="86"/>
      <c r="O1034" s="86"/>
      <c r="P1034" s="86"/>
      <c r="Q1034" s="86"/>
      <c r="R1034" s="86"/>
      <c r="S1034" s="86"/>
      <c r="T1034" s="86"/>
      <c r="U1034" s="86"/>
      <c r="V1034" s="86"/>
      <c r="W1034" s="86"/>
      <c r="X1034" s="86"/>
      <c r="Y1034" s="86"/>
      <c r="Z1034" s="86"/>
      <c r="AA1034" s="86"/>
      <c r="AB1034" s="86"/>
      <c r="AC1034" s="86"/>
      <c r="AD1034" s="86"/>
      <c r="AE1034" s="86"/>
      <c r="AF1034" s="86"/>
      <c r="AG1034" s="86"/>
      <c r="AH1034" s="86"/>
      <c r="AI1034" s="86"/>
      <c r="AJ1034" s="86"/>
    </row>
    <row r="1035" spans="1:36" x14ac:dyDescent="0.25">
      <c r="A1035" s="274"/>
      <c r="B1035" s="87"/>
      <c r="C1035" s="87"/>
      <c r="D1035" s="87"/>
      <c r="E1035" s="87"/>
      <c r="F1035" s="87"/>
      <c r="G1035" s="87"/>
      <c r="H1035" s="87"/>
      <c r="I1035" s="87"/>
      <c r="J1035" s="87"/>
      <c r="K1035" s="87"/>
      <c r="L1035" s="87"/>
      <c r="M1035" s="87"/>
      <c r="N1035" s="87"/>
      <c r="O1035" s="87"/>
      <c r="P1035" s="87"/>
      <c r="Q1035" s="87"/>
      <c r="R1035" s="87"/>
      <c r="S1035" s="87"/>
      <c r="T1035" s="87"/>
      <c r="U1035" s="87"/>
      <c r="V1035" s="87"/>
      <c r="W1035" s="87"/>
      <c r="X1035" s="87"/>
      <c r="Y1035" s="87"/>
      <c r="Z1035" s="87"/>
      <c r="AA1035" s="87"/>
      <c r="AB1035" s="87"/>
      <c r="AC1035" s="87"/>
      <c r="AD1035" s="87"/>
      <c r="AE1035" s="87"/>
      <c r="AF1035" s="87"/>
      <c r="AG1035" s="87"/>
      <c r="AH1035" s="87"/>
      <c r="AI1035" s="87"/>
      <c r="AJ1035" s="87"/>
    </row>
    <row r="1036" spans="1:36" x14ac:dyDescent="0.25">
      <c r="A1036" s="273"/>
      <c r="B1036" s="86"/>
      <c r="C1036" s="86"/>
      <c r="D1036" s="86"/>
      <c r="E1036" s="86"/>
      <c r="F1036" s="86"/>
      <c r="G1036" s="86"/>
      <c r="H1036" s="86"/>
      <c r="I1036" s="86"/>
      <c r="J1036" s="86"/>
      <c r="K1036" s="86"/>
      <c r="L1036" s="86"/>
      <c r="M1036" s="86"/>
      <c r="N1036" s="86"/>
      <c r="O1036" s="86"/>
      <c r="P1036" s="86"/>
      <c r="Q1036" s="86"/>
      <c r="R1036" s="86"/>
      <c r="S1036" s="86"/>
      <c r="T1036" s="86"/>
      <c r="U1036" s="86"/>
      <c r="V1036" s="86"/>
      <c r="W1036" s="86"/>
      <c r="X1036" s="86"/>
      <c r="Y1036" s="86"/>
      <c r="Z1036" s="86"/>
      <c r="AA1036" s="86"/>
      <c r="AB1036" s="86"/>
      <c r="AC1036" s="86"/>
      <c r="AD1036" s="86"/>
      <c r="AE1036" s="86"/>
      <c r="AF1036" s="86"/>
      <c r="AG1036" s="86"/>
      <c r="AH1036" s="86"/>
      <c r="AI1036" s="86"/>
      <c r="AJ1036" s="86"/>
    </row>
    <row r="1037" spans="1:36" x14ac:dyDescent="0.25">
      <c r="A1037" s="274"/>
      <c r="B1037" s="87"/>
      <c r="C1037" s="87"/>
      <c r="D1037" s="87"/>
      <c r="E1037" s="87"/>
      <c r="F1037" s="87"/>
      <c r="G1037" s="87"/>
      <c r="H1037" s="87"/>
      <c r="I1037" s="87"/>
      <c r="J1037" s="87"/>
      <c r="K1037" s="87"/>
      <c r="L1037" s="87"/>
      <c r="M1037" s="87"/>
      <c r="N1037" s="87"/>
      <c r="O1037" s="87"/>
      <c r="P1037" s="87"/>
      <c r="Q1037" s="87"/>
      <c r="R1037" s="87"/>
      <c r="S1037" s="87"/>
      <c r="T1037" s="87"/>
      <c r="U1037" s="87"/>
      <c r="V1037" s="87"/>
      <c r="W1037" s="87"/>
      <c r="X1037" s="87"/>
      <c r="Y1037" s="87"/>
      <c r="Z1037" s="87"/>
      <c r="AA1037" s="87"/>
      <c r="AB1037" s="87"/>
      <c r="AC1037" s="87"/>
      <c r="AD1037" s="87"/>
      <c r="AE1037" s="87"/>
      <c r="AF1037" s="87"/>
      <c r="AG1037" s="87"/>
      <c r="AH1037" s="87"/>
      <c r="AI1037" s="87"/>
      <c r="AJ1037" s="87"/>
    </row>
    <row r="1038" spans="1:36" x14ac:dyDescent="0.25">
      <c r="A1038" s="273"/>
      <c r="B1038" s="86"/>
      <c r="C1038" s="86"/>
      <c r="D1038" s="86"/>
      <c r="E1038" s="86"/>
      <c r="F1038" s="86"/>
      <c r="G1038" s="86"/>
      <c r="H1038" s="86"/>
      <c r="I1038" s="86"/>
      <c r="J1038" s="86"/>
      <c r="K1038" s="86"/>
      <c r="L1038" s="86"/>
      <c r="M1038" s="86"/>
      <c r="N1038" s="86"/>
      <c r="O1038" s="86"/>
      <c r="P1038" s="86"/>
      <c r="Q1038" s="86"/>
      <c r="R1038" s="86"/>
      <c r="S1038" s="86"/>
      <c r="T1038" s="86"/>
      <c r="U1038" s="86"/>
      <c r="V1038" s="86"/>
      <c r="W1038" s="86"/>
      <c r="X1038" s="86"/>
      <c r="Y1038" s="86"/>
      <c r="Z1038" s="86"/>
      <c r="AA1038" s="86"/>
      <c r="AB1038" s="86"/>
      <c r="AC1038" s="86"/>
      <c r="AD1038" s="86"/>
      <c r="AE1038" s="86"/>
      <c r="AF1038" s="86"/>
      <c r="AG1038" s="86"/>
      <c r="AH1038" s="86"/>
      <c r="AI1038" s="86"/>
      <c r="AJ1038" s="86"/>
    </row>
    <row r="1039" spans="1:36" x14ac:dyDescent="0.25">
      <c r="A1039" s="274"/>
      <c r="B1039" s="87"/>
      <c r="C1039" s="87"/>
      <c r="D1039" s="87"/>
      <c r="E1039" s="87"/>
      <c r="F1039" s="87"/>
      <c r="G1039" s="87"/>
      <c r="H1039" s="87"/>
      <c r="I1039" s="87"/>
      <c r="J1039" s="87"/>
      <c r="K1039" s="87"/>
      <c r="L1039" s="87"/>
      <c r="M1039" s="87"/>
      <c r="N1039" s="87"/>
      <c r="O1039" s="87"/>
      <c r="P1039" s="87"/>
      <c r="Q1039" s="87"/>
      <c r="R1039" s="87"/>
      <c r="S1039" s="87"/>
      <c r="T1039" s="87"/>
      <c r="U1039" s="87"/>
      <c r="V1039" s="87"/>
      <c r="W1039" s="87"/>
      <c r="X1039" s="87"/>
      <c r="Y1039" s="87"/>
      <c r="Z1039" s="87"/>
      <c r="AA1039" s="87"/>
      <c r="AB1039" s="87"/>
      <c r="AC1039" s="87"/>
      <c r="AD1039" s="87"/>
      <c r="AE1039" s="87"/>
      <c r="AF1039" s="87"/>
      <c r="AG1039" s="87"/>
      <c r="AH1039" s="87"/>
      <c r="AI1039" s="87"/>
      <c r="AJ1039" s="87"/>
    </row>
    <row r="1040" spans="1:36" x14ac:dyDescent="0.25">
      <c r="A1040" s="273"/>
      <c r="B1040" s="86"/>
      <c r="C1040" s="86"/>
      <c r="D1040" s="86"/>
      <c r="E1040" s="86"/>
      <c r="F1040" s="86"/>
      <c r="G1040" s="86"/>
      <c r="H1040" s="86"/>
      <c r="I1040" s="86"/>
      <c r="J1040" s="86"/>
      <c r="K1040" s="86"/>
      <c r="L1040" s="86"/>
      <c r="M1040" s="86"/>
      <c r="N1040" s="86"/>
      <c r="O1040" s="86"/>
      <c r="P1040" s="86"/>
      <c r="Q1040" s="86"/>
      <c r="R1040" s="86"/>
      <c r="S1040" s="86"/>
      <c r="T1040" s="86"/>
      <c r="U1040" s="86"/>
      <c r="V1040" s="86"/>
      <c r="W1040" s="86"/>
      <c r="X1040" s="86"/>
      <c r="Y1040" s="86"/>
      <c r="Z1040" s="86"/>
      <c r="AA1040" s="86"/>
      <c r="AB1040" s="86"/>
      <c r="AC1040" s="86"/>
      <c r="AD1040" s="86"/>
      <c r="AE1040" s="86"/>
      <c r="AF1040" s="86"/>
      <c r="AG1040" s="86"/>
      <c r="AH1040" s="86"/>
      <c r="AI1040" s="86"/>
      <c r="AJ1040" s="86"/>
    </row>
    <row r="1041" spans="1:36" x14ac:dyDescent="0.25">
      <c r="A1041" s="274"/>
      <c r="B1041" s="87"/>
      <c r="C1041" s="87"/>
      <c r="D1041" s="87"/>
      <c r="E1041" s="87"/>
      <c r="F1041" s="87"/>
      <c r="G1041" s="87"/>
      <c r="H1041" s="87"/>
      <c r="I1041" s="87"/>
      <c r="J1041" s="87"/>
      <c r="K1041" s="87"/>
      <c r="L1041" s="87"/>
      <c r="M1041" s="87"/>
      <c r="N1041" s="87"/>
      <c r="O1041" s="87"/>
      <c r="P1041" s="87"/>
      <c r="Q1041" s="87"/>
      <c r="R1041" s="87"/>
      <c r="S1041" s="87"/>
      <c r="T1041" s="87"/>
      <c r="U1041" s="87"/>
      <c r="V1041" s="87"/>
      <c r="W1041" s="87"/>
      <c r="X1041" s="87"/>
      <c r="Y1041" s="87"/>
      <c r="Z1041" s="87"/>
      <c r="AA1041" s="87"/>
      <c r="AB1041" s="87"/>
      <c r="AC1041" s="87"/>
      <c r="AD1041" s="87"/>
      <c r="AE1041" s="87"/>
      <c r="AF1041" s="87"/>
      <c r="AG1041" s="87"/>
      <c r="AH1041" s="87"/>
      <c r="AI1041" s="87"/>
      <c r="AJ1041" s="87"/>
    </row>
    <row r="1042" spans="1:36" x14ac:dyDescent="0.25">
      <c r="A1042" s="273"/>
      <c r="B1042" s="86"/>
      <c r="C1042" s="86"/>
      <c r="D1042" s="86"/>
      <c r="E1042" s="86"/>
      <c r="F1042" s="86"/>
      <c r="G1042" s="86"/>
      <c r="H1042" s="86"/>
      <c r="I1042" s="86"/>
      <c r="J1042" s="86"/>
      <c r="K1042" s="86"/>
      <c r="L1042" s="86"/>
      <c r="M1042" s="86"/>
      <c r="N1042" s="86"/>
      <c r="O1042" s="86"/>
      <c r="P1042" s="86"/>
      <c r="Q1042" s="86"/>
      <c r="R1042" s="86"/>
      <c r="S1042" s="86"/>
      <c r="T1042" s="86"/>
      <c r="U1042" s="86"/>
      <c r="V1042" s="86"/>
      <c r="W1042" s="86"/>
      <c r="X1042" s="86"/>
      <c r="Y1042" s="86"/>
      <c r="Z1042" s="86"/>
      <c r="AA1042" s="86"/>
      <c r="AB1042" s="86"/>
      <c r="AC1042" s="86"/>
      <c r="AD1042" s="86"/>
      <c r="AE1042" s="86"/>
      <c r="AF1042" s="86"/>
      <c r="AG1042" s="86"/>
      <c r="AH1042" s="86"/>
      <c r="AI1042" s="86"/>
      <c r="AJ1042" s="86"/>
    </row>
    <row r="1043" spans="1:36" x14ac:dyDescent="0.25">
      <c r="A1043" s="274"/>
      <c r="B1043" s="87"/>
      <c r="C1043" s="87"/>
      <c r="D1043" s="87"/>
      <c r="E1043" s="87"/>
      <c r="F1043" s="87"/>
      <c r="G1043" s="87"/>
      <c r="H1043" s="87"/>
      <c r="I1043" s="87"/>
      <c r="J1043" s="87"/>
      <c r="K1043" s="87"/>
      <c r="L1043" s="87"/>
      <c r="M1043" s="87"/>
      <c r="N1043" s="87"/>
      <c r="O1043" s="87"/>
      <c r="P1043" s="87"/>
      <c r="Q1043" s="87"/>
      <c r="R1043" s="87"/>
      <c r="S1043" s="87"/>
      <c r="T1043" s="87"/>
      <c r="U1043" s="87"/>
      <c r="V1043" s="87"/>
      <c r="W1043" s="87"/>
      <c r="X1043" s="87"/>
      <c r="Y1043" s="87"/>
      <c r="Z1043" s="87"/>
      <c r="AA1043" s="87"/>
      <c r="AB1043" s="87"/>
      <c r="AC1043" s="87"/>
      <c r="AD1043" s="87"/>
      <c r="AE1043" s="87"/>
      <c r="AF1043" s="87"/>
      <c r="AG1043" s="87"/>
      <c r="AH1043" s="87"/>
      <c r="AI1043" s="87"/>
      <c r="AJ1043" s="87"/>
    </row>
    <row r="1044" spans="1:36" x14ac:dyDescent="0.25">
      <c r="A1044" s="273"/>
      <c r="B1044" s="86"/>
      <c r="C1044" s="86"/>
      <c r="D1044" s="86"/>
      <c r="E1044" s="86"/>
      <c r="F1044" s="86"/>
      <c r="G1044" s="86"/>
      <c r="H1044" s="86"/>
      <c r="I1044" s="86"/>
      <c r="J1044" s="86"/>
      <c r="K1044" s="86"/>
      <c r="L1044" s="86"/>
      <c r="M1044" s="86"/>
      <c r="N1044" s="86"/>
      <c r="O1044" s="86"/>
      <c r="P1044" s="86"/>
      <c r="Q1044" s="86"/>
      <c r="R1044" s="86"/>
      <c r="S1044" s="86"/>
      <c r="T1044" s="86"/>
      <c r="U1044" s="86"/>
      <c r="V1044" s="86"/>
      <c r="W1044" s="86"/>
      <c r="X1044" s="86"/>
      <c r="Y1044" s="86"/>
      <c r="Z1044" s="86"/>
      <c r="AA1044" s="86"/>
      <c r="AB1044" s="86"/>
      <c r="AC1044" s="86"/>
      <c r="AD1044" s="86"/>
      <c r="AE1044" s="86"/>
      <c r="AF1044" s="86"/>
      <c r="AG1044" s="86"/>
      <c r="AH1044" s="86"/>
      <c r="AI1044" s="86"/>
      <c r="AJ1044" s="86"/>
    </row>
    <row r="1045" spans="1:36" x14ac:dyDescent="0.25">
      <c r="A1045" s="274"/>
      <c r="B1045" s="87"/>
      <c r="C1045" s="87"/>
      <c r="D1045" s="87"/>
      <c r="E1045" s="87"/>
      <c r="F1045" s="87"/>
      <c r="G1045" s="87"/>
      <c r="H1045" s="87"/>
      <c r="I1045" s="87"/>
      <c r="J1045" s="87"/>
      <c r="K1045" s="87"/>
      <c r="L1045" s="87"/>
      <c r="M1045" s="87"/>
      <c r="N1045" s="87"/>
      <c r="O1045" s="87"/>
      <c r="P1045" s="87"/>
      <c r="Q1045" s="87"/>
      <c r="R1045" s="87"/>
      <c r="S1045" s="87"/>
      <c r="T1045" s="87"/>
      <c r="U1045" s="87"/>
      <c r="V1045" s="87"/>
      <c r="W1045" s="87"/>
      <c r="X1045" s="87"/>
      <c r="Y1045" s="87"/>
      <c r="Z1045" s="87"/>
      <c r="AA1045" s="87"/>
      <c r="AB1045" s="87"/>
      <c r="AC1045" s="87"/>
      <c r="AD1045" s="87"/>
      <c r="AE1045" s="87"/>
      <c r="AF1045" s="87"/>
      <c r="AG1045" s="87"/>
      <c r="AH1045" s="87"/>
      <c r="AI1045" s="87"/>
      <c r="AJ1045" s="87"/>
    </row>
    <row r="1046" spans="1:36" x14ac:dyDescent="0.25">
      <c r="A1046" s="273"/>
      <c r="B1046" s="86"/>
      <c r="C1046" s="86"/>
      <c r="D1046" s="86"/>
      <c r="E1046" s="86"/>
      <c r="F1046" s="86"/>
      <c r="G1046" s="86"/>
      <c r="H1046" s="86"/>
      <c r="I1046" s="86"/>
      <c r="J1046" s="86"/>
      <c r="K1046" s="86"/>
      <c r="L1046" s="86"/>
      <c r="M1046" s="86"/>
      <c r="N1046" s="86"/>
      <c r="O1046" s="86"/>
      <c r="P1046" s="86"/>
      <c r="Q1046" s="86"/>
      <c r="R1046" s="86"/>
      <c r="S1046" s="86"/>
      <c r="T1046" s="86"/>
      <c r="U1046" s="86"/>
      <c r="V1046" s="86"/>
      <c r="W1046" s="86"/>
      <c r="X1046" s="86"/>
      <c r="Y1046" s="86"/>
      <c r="Z1046" s="86"/>
      <c r="AA1046" s="86"/>
      <c r="AB1046" s="86"/>
      <c r="AC1046" s="86"/>
      <c r="AD1046" s="86"/>
      <c r="AE1046" s="86"/>
      <c r="AF1046" s="86"/>
      <c r="AG1046" s="86"/>
      <c r="AH1046" s="86"/>
      <c r="AI1046" s="86"/>
      <c r="AJ1046" s="86"/>
    </row>
    <row r="1047" spans="1:36" x14ac:dyDescent="0.25">
      <c r="A1047" s="274"/>
      <c r="B1047" s="87"/>
      <c r="C1047" s="87"/>
      <c r="D1047" s="87"/>
      <c r="E1047" s="87"/>
      <c r="F1047" s="87"/>
      <c r="G1047" s="87"/>
      <c r="H1047" s="87"/>
      <c r="I1047" s="87"/>
      <c r="J1047" s="87"/>
      <c r="K1047" s="87"/>
      <c r="L1047" s="87"/>
      <c r="M1047" s="87"/>
      <c r="N1047" s="87"/>
      <c r="O1047" s="87"/>
      <c r="P1047" s="87"/>
      <c r="Q1047" s="87"/>
      <c r="R1047" s="87"/>
      <c r="S1047" s="87"/>
      <c r="T1047" s="87"/>
      <c r="U1047" s="87"/>
      <c r="V1047" s="87"/>
      <c r="W1047" s="87"/>
      <c r="X1047" s="87"/>
      <c r="Y1047" s="87"/>
      <c r="Z1047" s="87"/>
      <c r="AA1047" s="87"/>
      <c r="AB1047" s="87"/>
      <c r="AC1047" s="87"/>
      <c r="AD1047" s="87"/>
      <c r="AE1047" s="87"/>
      <c r="AF1047" s="87"/>
      <c r="AG1047" s="87"/>
      <c r="AH1047" s="87"/>
      <c r="AI1047" s="87"/>
      <c r="AJ1047" s="87"/>
    </row>
    <row r="1048" spans="1:36" x14ac:dyDescent="0.25">
      <c r="A1048" s="273"/>
      <c r="B1048" s="86"/>
      <c r="C1048" s="86"/>
      <c r="D1048" s="86"/>
      <c r="E1048" s="86"/>
      <c r="F1048" s="86"/>
      <c r="G1048" s="86"/>
      <c r="H1048" s="86"/>
      <c r="I1048" s="86"/>
      <c r="J1048" s="86"/>
      <c r="K1048" s="86"/>
      <c r="L1048" s="86"/>
      <c r="M1048" s="86"/>
      <c r="N1048" s="86"/>
      <c r="O1048" s="86"/>
      <c r="P1048" s="86"/>
      <c r="Q1048" s="86"/>
      <c r="R1048" s="86"/>
      <c r="S1048" s="86"/>
      <c r="T1048" s="86"/>
      <c r="U1048" s="86"/>
      <c r="V1048" s="86"/>
      <c r="W1048" s="86"/>
      <c r="X1048" s="86"/>
      <c r="Y1048" s="86"/>
      <c r="Z1048" s="86"/>
      <c r="AA1048" s="86"/>
      <c r="AB1048" s="86"/>
      <c r="AC1048" s="86"/>
      <c r="AD1048" s="86"/>
      <c r="AE1048" s="86"/>
      <c r="AF1048" s="86"/>
      <c r="AG1048" s="86"/>
      <c r="AH1048" s="86"/>
      <c r="AI1048" s="86"/>
      <c r="AJ1048" s="86"/>
    </row>
    <row r="1049" spans="1:36" x14ac:dyDescent="0.25">
      <c r="A1049" s="274"/>
      <c r="B1049" s="87"/>
      <c r="C1049" s="87"/>
      <c r="D1049" s="87"/>
      <c r="E1049" s="87"/>
      <c r="F1049" s="87"/>
      <c r="G1049" s="87"/>
      <c r="H1049" s="87"/>
      <c r="I1049" s="87"/>
      <c r="J1049" s="87"/>
      <c r="K1049" s="87"/>
      <c r="L1049" s="87"/>
      <c r="M1049" s="87"/>
      <c r="N1049" s="87"/>
      <c r="O1049" s="87"/>
      <c r="P1049" s="87"/>
      <c r="Q1049" s="87"/>
      <c r="R1049" s="87"/>
      <c r="S1049" s="87"/>
      <c r="T1049" s="87"/>
      <c r="U1049" s="87"/>
      <c r="V1049" s="87"/>
      <c r="W1049" s="87"/>
      <c r="X1049" s="87"/>
      <c r="Y1049" s="87"/>
      <c r="Z1049" s="87"/>
      <c r="AA1049" s="87"/>
      <c r="AB1049" s="87"/>
      <c r="AC1049" s="87"/>
      <c r="AD1049" s="87"/>
      <c r="AE1049" s="87"/>
      <c r="AF1049" s="87"/>
      <c r="AG1049" s="87"/>
      <c r="AH1049" s="87"/>
      <c r="AI1049" s="87"/>
      <c r="AJ1049" s="87"/>
    </row>
    <row r="1050" spans="1:36" x14ac:dyDescent="0.25">
      <c r="A1050" s="273"/>
      <c r="B1050" s="86"/>
      <c r="C1050" s="86"/>
      <c r="D1050" s="86"/>
      <c r="E1050" s="86"/>
      <c r="F1050" s="86"/>
      <c r="G1050" s="86"/>
      <c r="H1050" s="86"/>
      <c r="I1050" s="86"/>
      <c r="J1050" s="86"/>
      <c r="K1050" s="86"/>
      <c r="L1050" s="86"/>
      <c r="M1050" s="86"/>
      <c r="N1050" s="86"/>
      <c r="O1050" s="86"/>
      <c r="P1050" s="86"/>
      <c r="Q1050" s="86"/>
      <c r="R1050" s="86"/>
      <c r="S1050" s="86"/>
      <c r="T1050" s="86"/>
      <c r="U1050" s="86"/>
      <c r="V1050" s="86"/>
      <c r="W1050" s="86"/>
      <c r="X1050" s="86"/>
      <c r="Y1050" s="86"/>
      <c r="Z1050" s="86"/>
      <c r="AA1050" s="86"/>
      <c r="AB1050" s="86"/>
      <c r="AC1050" s="86"/>
      <c r="AD1050" s="86"/>
      <c r="AE1050" s="86"/>
      <c r="AF1050" s="86"/>
      <c r="AG1050" s="86"/>
      <c r="AH1050" s="86"/>
      <c r="AI1050" s="86"/>
      <c r="AJ1050" s="86"/>
    </row>
    <row r="1051" spans="1:36" x14ac:dyDescent="0.25">
      <c r="A1051" s="274"/>
      <c r="B1051" s="87"/>
      <c r="C1051" s="87"/>
      <c r="D1051" s="87"/>
      <c r="E1051" s="87"/>
      <c r="F1051" s="87"/>
      <c r="G1051" s="87"/>
      <c r="H1051" s="87"/>
      <c r="I1051" s="87"/>
      <c r="J1051" s="87"/>
      <c r="K1051" s="87"/>
      <c r="L1051" s="87"/>
      <c r="M1051" s="87"/>
      <c r="N1051" s="87"/>
      <c r="O1051" s="87"/>
      <c r="P1051" s="87"/>
      <c r="Q1051" s="87"/>
      <c r="R1051" s="87"/>
      <c r="S1051" s="87"/>
      <c r="T1051" s="87"/>
      <c r="U1051" s="87"/>
      <c r="V1051" s="87"/>
      <c r="W1051" s="87"/>
      <c r="X1051" s="87"/>
      <c r="Y1051" s="87"/>
      <c r="Z1051" s="87"/>
      <c r="AA1051" s="87"/>
      <c r="AB1051" s="87"/>
      <c r="AC1051" s="87"/>
      <c r="AD1051" s="87"/>
      <c r="AE1051" s="87"/>
      <c r="AF1051" s="87"/>
      <c r="AG1051" s="87"/>
      <c r="AH1051" s="87"/>
      <c r="AI1051" s="87"/>
      <c r="AJ1051" s="87"/>
    </row>
    <row r="1052" spans="1:36" x14ac:dyDescent="0.25">
      <c r="A1052" s="273"/>
      <c r="B1052" s="86"/>
      <c r="C1052" s="86"/>
      <c r="D1052" s="86"/>
      <c r="E1052" s="86"/>
      <c r="F1052" s="86"/>
      <c r="G1052" s="86"/>
      <c r="H1052" s="86"/>
      <c r="I1052" s="86"/>
      <c r="J1052" s="86"/>
      <c r="K1052" s="86"/>
      <c r="L1052" s="86"/>
      <c r="M1052" s="86"/>
      <c r="N1052" s="86"/>
      <c r="O1052" s="86"/>
      <c r="P1052" s="86"/>
      <c r="Q1052" s="86"/>
      <c r="R1052" s="86"/>
      <c r="S1052" s="86"/>
      <c r="T1052" s="86"/>
      <c r="U1052" s="86"/>
      <c r="V1052" s="86"/>
      <c r="W1052" s="86"/>
      <c r="X1052" s="86"/>
      <c r="Y1052" s="86"/>
      <c r="Z1052" s="86"/>
      <c r="AA1052" s="86"/>
      <c r="AB1052" s="86"/>
      <c r="AC1052" s="86"/>
      <c r="AD1052" s="86"/>
      <c r="AE1052" s="86"/>
      <c r="AF1052" s="86"/>
      <c r="AG1052" s="86"/>
      <c r="AH1052" s="86"/>
      <c r="AI1052" s="86"/>
      <c r="AJ1052" s="86"/>
    </row>
    <row r="1053" spans="1:36" x14ac:dyDescent="0.25">
      <c r="A1053" s="274"/>
      <c r="B1053" s="87"/>
      <c r="C1053" s="87"/>
      <c r="D1053" s="87"/>
      <c r="E1053" s="87"/>
      <c r="F1053" s="87"/>
      <c r="G1053" s="87"/>
      <c r="H1053" s="87"/>
      <c r="I1053" s="87"/>
      <c r="J1053" s="87"/>
      <c r="K1053" s="87"/>
      <c r="L1053" s="87"/>
      <c r="M1053" s="87"/>
      <c r="N1053" s="87"/>
      <c r="O1053" s="87"/>
      <c r="P1053" s="87"/>
      <c r="Q1053" s="87"/>
      <c r="R1053" s="87"/>
      <c r="S1053" s="87"/>
      <c r="T1053" s="87"/>
      <c r="U1053" s="87"/>
      <c r="V1053" s="87"/>
      <c r="W1053" s="87"/>
      <c r="X1053" s="87"/>
      <c r="Y1053" s="87"/>
      <c r="Z1053" s="87"/>
      <c r="AA1053" s="87"/>
      <c r="AB1053" s="87"/>
      <c r="AC1053" s="87"/>
      <c r="AD1053" s="87"/>
      <c r="AE1053" s="87"/>
      <c r="AF1053" s="87"/>
      <c r="AG1053" s="87"/>
      <c r="AH1053" s="87"/>
      <c r="AI1053" s="87"/>
      <c r="AJ1053" s="87"/>
    </row>
    <row r="1054" spans="1:36" x14ac:dyDescent="0.25">
      <c r="A1054" s="273"/>
      <c r="B1054" s="86"/>
      <c r="C1054" s="86"/>
      <c r="D1054" s="86"/>
      <c r="E1054" s="86"/>
      <c r="F1054" s="86"/>
      <c r="G1054" s="86"/>
      <c r="H1054" s="86"/>
      <c r="I1054" s="86"/>
      <c r="J1054" s="86"/>
      <c r="K1054" s="86"/>
      <c r="L1054" s="86"/>
      <c r="M1054" s="86"/>
      <c r="N1054" s="86"/>
      <c r="O1054" s="86"/>
      <c r="P1054" s="86"/>
      <c r="Q1054" s="86"/>
      <c r="R1054" s="86"/>
      <c r="S1054" s="86"/>
      <c r="T1054" s="86"/>
      <c r="U1054" s="86"/>
      <c r="V1054" s="86"/>
      <c r="W1054" s="86"/>
      <c r="X1054" s="86"/>
      <c r="Y1054" s="86"/>
      <c r="Z1054" s="86"/>
      <c r="AA1054" s="86"/>
      <c r="AB1054" s="86"/>
      <c r="AC1054" s="86"/>
      <c r="AD1054" s="86"/>
      <c r="AE1054" s="86"/>
      <c r="AF1054" s="86"/>
      <c r="AG1054" s="86"/>
      <c r="AH1054" s="86"/>
      <c r="AI1054" s="86"/>
      <c r="AJ1054" s="86"/>
    </row>
    <row r="1055" spans="1:36" x14ac:dyDescent="0.25">
      <c r="A1055" s="274"/>
      <c r="B1055" s="87"/>
      <c r="C1055" s="87"/>
      <c r="D1055" s="87"/>
      <c r="E1055" s="87"/>
      <c r="F1055" s="87"/>
      <c r="G1055" s="87"/>
      <c r="H1055" s="87"/>
      <c r="I1055" s="87"/>
      <c r="J1055" s="87"/>
      <c r="K1055" s="87"/>
      <c r="L1055" s="87"/>
      <c r="M1055" s="87"/>
      <c r="N1055" s="87"/>
      <c r="O1055" s="87"/>
      <c r="P1055" s="87"/>
      <c r="Q1055" s="87"/>
      <c r="R1055" s="87"/>
      <c r="S1055" s="87"/>
      <c r="T1055" s="87"/>
      <c r="U1055" s="87"/>
      <c r="V1055" s="87"/>
      <c r="W1055" s="87"/>
      <c r="X1055" s="87"/>
      <c r="Y1055" s="87"/>
      <c r="Z1055" s="87"/>
      <c r="AA1055" s="87"/>
      <c r="AB1055" s="87"/>
      <c r="AC1055" s="87"/>
      <c r="AD1055" s="87"/>
      <c r="AE1055" s="87"/>
      <c r="AF1055" s="87"/>
      <c r="AG1055" s="87"/>
      <c r="AH1055" s="87"/>
      <c r="AI1055" s="87"/>
      <c r="AJ1055" s="87"/>
    </row>
    <row r="1056" spans="1:36" x14ac:dyDescent="0.25">
      <c r="A1056" s="273"/>
      <c r="B1056" s="86"/>
      <c r="C1056" s="86"/>
      <c r="D1056" s="86"/>
      <c r="E1056" s="86"/>
      <c r="F1056" s="86"/>
      <c r="G1056" s="86"/>
      <c r="H1056" s="86"/>
      <c r="I1056" s="86"/>
      <c r="J1056" s="86"/>
      <c r="K1056" s="86"/>
      <c r="L1056" s="86"/>
      <c r="M1056" s="86"/>
      <c r="N1056" s="86"/>
      <c r="O1056" s="86"/>
      <c r="P1056" s="86"/>
      <c r="Q1056" s="86"/>
      <c r="R1056" s="86"/>
      <c r="S1056" s="86"/>
      <c r="T1056" s="86"/>
      <c r="U1056" s="86"/>
      <c r="V1056" s="86"/>
      <c r="W1056" s="86"/>
      <c r="X1056" s="86"/>
      <c r="Y1056" s="86"/>
      <c r="Z1056" s="86"/>
      <c r="AA1056" s="86"/>
      <c r="AB1056" s="86"/>
      <c r="AC1056" s="86"/>
      <c r="AD1056" s="86"/>
      <c r="AE1056" s="86"/>
      <c r="AF1056" s="86"/>
      <c r="AG1056" s="86"/>
      <c r="AH1056" s="86"/>
      <c r="AI1056" s="86"/>
      <c r="AJ1056" s="86"/>
    </row>
    <row r="1057" spans="1:36" x14ac:dyDescent="0.25">
      <c r="A1057" s="274"/>
      <c r="B1057" s="87"/>
      <c r="C1057" s="87"/>
      <c r="D1057" s="87"/>
      <c r="E1057" s="87"/>
      <c r="F1057" s="87"/>
      <c r="G1057" s="87"/>
      <c r="H1057" s="87"/>
      <c r="I1057" s="87"/>
      <c r="J1057" s="87"/>
      <c r="K1057" s="87"/>
      <c r="L1057" s="87"/>
      <c r="M1057" s="87"/>
      <c r="N1057" s="87"/>
      <c r="O1057" s="87"/>
      <c r="P1057" s="87"/>
      <c r="Q1057" s="87"/>
      <c r="R1057" s="87"/>
      <c r="S1057" s="87"/>
      <c r="T1057" s="87"/>
      <c r="U1057" s="87"/>
      <c r="V1057" s="87"/>
      <c r="W1057" s="87"/>
      <c r="X1057" s="87"/>
      <c r="Y1057" s="87"/>
      <c r="Z1057" s="87"/>
      <c r="AA1057" s="87"/>
      <c r="AB1057" s="87"/>
      <c r="AC1057" s="87"/>
      <c r="AD1057" s="87"/>
      <c r="AE1057" s="87"/>
      <c r="AF1057" s="87"/>
      <c r="AG1057" s="87"/>
      <c r="AH1057" s="87"/>
      <c r="AI1057" s="87"/>
      <c r="AJ1057" s="87"/>
    </row>
    <row r="1058" spans="1:36" x14ac:dyDescent="0.25">
      <c r="A1058" s="273"/>
      <c r="B1058" s="86"/>
      <c r="C1058" s="86"/>
      <c r="D1058" s="86"/>
      <c r="E1058" s="86"/>
      <c r="F1058" s="86"/>
      <c r="G1058" s="86"/>
      <c r="H1058" s="86"/>
      <c r="I1058" s="86"/>
      <c r="J1058" s="86"/>
      <c r="K1058" s="86"/>
      <c r="L1058" s="86"/>
      <c r="M1058" s="86"/>
      <c r="N1058" s="86"/>
      <c r="O1058" s="86"/>
      <c r="P1058" s="86"/>
      <c r="Q1058" s="86"/>
      <c r="R1058" s="86"/>
      <c r="S1058" s="86"/>
      <c r="T1058" s="86"/>
      <c r="U1058" s="86"/>
      <c r="V1058" s="86"/>
      <c r="W1058" s="86"/>
      <c r="X1058" s="86"/>
      <c r="Y1058" s="86"/>
      <c r="Z1058" s="86"/>
      <c r="AA1058" s="86"/>
      <c r="AB1058" s="86"/>
      <c r="AC1058" s="86"/>
      <c r="AD1058" s="86"/>
      <c r="AE1058" s="86"/>
      <c r="AF1058" s="86"/>
      <c r="AG1058" s="86"/>
      <c r="AH1058" s="86"/>
      <c r="AI1058" s="86"/>
      <c r="AJ1058" s="86"/>
    </row>
    <row r="1059" spans="1:36" x14ac:dyDescent="0.25">
      <c r="A1059" s="274"/>
      <c r="B1059" s="87"/>
      <c r="C1059" s="87"/>
      <c r="D1059" s="87"/>
      <c r="E1059" s="87"/>
      <c r="F1059" s="87"/>
      <c r="G1059" s="87"/>
      <c r="H1059" s="87"/>
      <c r="I1059" s="87"/>
      <c r="J1059" s="87"/>
      <c r="K1059" s="87"/>
      <c r="L1059" s="87"/>
      <c r="M1059" s="87"/>
      <c r="N1059" s="87"/>
      <c r="O1059" s="87"/>
      <c r="P1059" s="87"/>
      <c r="Q1059" s="87"/>
      <c r="R1059" s="87"/>
      <c r="S1059" s="87"/>
      <c r="T1059" s="87"/>
      <c r="U1059" s="87"/>
      <c r="V1059" s="87"/>
      <c r="W1059" s="87"/>
      <c r="X1059" s="87"/>
      <c r="Y1059" s="87"/>
      <c r="Z1059" s="87"/>
      <c r="AA1059" s="87"/>
      <c r="AB1059" s="87"/>
      <c r="AC1059" s="87"/>
      <c r="AD1059" s="87"/>
      <c r="AE1059" s="87"/>
      <c r="AF1059" s="87"/>
      <c r="AG1059" s="87"/>
      <c r="AH1059" s="87"/>
      <c r="AI1059" s="87"/>
      <c r="AJ1059" s="87"/>
    </row>
    <row r="1060" spans="1:36" x14ac:dyDescent="0.25">
      <c r="A1060" s="273"/>
      <c r="B1060" s="86"/>
      <c r="C1060" s="86"/>
      <c r="D1060" s="86"/>
      <c r="E1060" s="86"/>
      <c r="F1060" s="86"/>
      <c r="G1060" s="86"/>
      <c r="H1060" s="86"/>
      <c r="I1060" s="86"/>
      <c r="J1060" s="86"/>
      <c r="K1060" s="86"/>
      <c r="L1060" s="86"/>
      <c r="M1060" s="86"/>
      <c r="N1060" s="86"/>
      <c r="O1060" s="86"/>
      <c r="P1060" s="86"/>
      <c r="Q1060" s="86"/>
      <c r="R1060" s="86"/>
      <c r="S1060" s="86"/>
      <c r="T1060" s="86"/>
      <c r="U1060" s="86"/>
      <c r="V1060" s="86"/>
      <c r="W1060" s="86"/>
      <c r="X1060" s="86"/>
      <c r="Y1060" s="86"/>
      <c r="Z1060" s="86"/>
      <c r="AA1060" s="86"/>
      <c r="AB1060" s="86"/>
      <c r="AC1060" s="86"/>
      <c r="AD1060" s="86"/>
      <c r="AE1060" s="86"/>
      <c r="AF1060" s="86"/>
      <c r="AG1060" s="86"/>
      <c r="AH1060" s="86"/>
      <c r="AI1060" s="86"/>
      <c r="AJ1060" s="86"/>
    </row>
    <row r="1061" spans="1:36" x14ac:dyDescent="0.25">
      <c r="A1061" s="274"/>
      <c r="B1061" s="87"/>
      <c r="C1061" s="87"/>
      <c r="D1061" s="87"/>
      <c r="E1061" s="87"/>
      <c r="F1061" s="87"/>
      <c r="G1061" s="87"/>
      <c r="H1061" s="87"/>
      <c r="I1061" s="87"/>
      <c r="J1061" s="87"/>
      <c r="K1061" s="87"/>
      <c r="L1061" s="87"/>
      <c r="M1061" s="87"/>
      <c r="N1061" s="87"/>
      <c r="O1061" s="87"/>
      <c r="P1061" s="87"/>
      <c r="Q1061" s="87"/>
      <c r="R1061" s="87"/>
      <c r="S1061" s="87"/>
      <c r="T1061" s="87"/>
      <c r="U1061" s="87"/>
      <c r="V1061" s="87"/>
      <c r="W1061" s="87"/>
      <c r="X1061" s="87"/>
      <c r="Y1061" s="87"/>
      <c r="Z1061" s="87"/>
      <c r="AA1061" s="87"/>
      <c r="AB1061" s="87"/>
      <c r="AC1061" s="87"/>
      <c r="AD1061" s="87"/>
      <c r="AE1061" s="87"/>
      <c r="AF1061" s="87"/>
      <c r="AG1061" s="87"/>
      <c r="AH1061" s="87"/>
      <c r="AI1061" s="87"/>
      <c r="AJ1061" s="87"/>
    </row>
    <row r="1062" spans="1:36" x14ac:dyDescent="0.25">
      <c r="A1062" s="273"/>
      <c r="B1062" s="86"/>
      <c r="C1062" s="86"/>
      <c r="D1062" s="86"/>
      <c r="E1062" s="86"/>
      <c r="F1062" s="86"/>
      <c r="G1062" s="86"/>
      <c r="H1062" s="86"/>
      <c r="I1062" s="86"/>
      <c r="J1062" s="86"/>
      <c r="K1062" s="86"/>
      <c r="L1062" s="86"/>
      <c r="M1062" s="86"/>
      <c r="N1062" s="86"/>
      <c r="O1062" s="86"/>
      <c r="P1062" s="86"/>
      <c r="Q1062" s="86"/>
      <c r="R1062" s="86"/>
      <c r="S1062" s="86"/>
      <c r="T1062" s="86"/>
      <c r="U1062" s="86"/>
      <c r="V1062" s="86"/>
      <c r="W1062" s="86"/>
      <c r="X1062" s="86"/>
      <c r="Y1062" s="86"/>
      <c r="Z1062" s="86"/>
      <c r="AA1062" s="86"/>
      <c r="AB1062" s="86"/>
      <c r="AC1062" s="86"/>
      <c r="AD1062" s="86"/>
      <c r="AE1062" s="86"/>
      <c r="AF1062" s="86"/>
      <c r="AG1062" s="86"/>
      <c r="AH1062" s="86"/>
      <c r="AI1062" s="86"/>
      <c r="AJ1062" s="86"/>
    </row>
    <row r="1063" spans="1:36" x14ac:dyDescent="0.25">
      <c r="A1063" s="274"/>
      <c r="B1063" s="87"/>
      <c r="C1063" s="87"/>
      <c r="D1063" s="87"/>
      <c r="E1063" s="87"/>
      <c r="F1063" s="87"/>
      <c r="G1063" s="87"/>
      <c r="H1063" s="87"/>
      <c r="I1063" s="87"/>
      <c r="J1063" s="87"/>
      <c r="K1063" s="87"/>
      <c r="L1063" s="87"/>
      <c r="M1063" s="87"/>
      <c r="N1063" s="87"/>
      <c r="O1063" s="87"/>
      <c r="P1063" s="87"/>
      <c r="Q1063" s="87"/>
      <c r="R1063" s="87"/>
      <c r="S1063" s="87"/>
      <c r="T1063" s="87"/>
      <c r="U1063" s="87"/>
      <c r="V1063" s="87"/>
      <c r="W1063" s="87"/>
      <c r="X1063" s="87"/>
      <c r="Y1063" s="87"/>
      <c r="Z1063" s="87"/>
      <c r="AA1063" s="87"/>
      <c r="AB1063" s="87"/>
      <c r="AC1063" s="87"/>
      <c r="AD1063" s="87"/>
      <c r="AE1063" s="87"/>
      <c r="AF1063" s="87"/>
      <c r="AG1063" s="87"/>
      <c r="AH1063" s="87"/>
      <c r="AI1063" s="87"/>
      <c r="AJ1063" s="87"/>
    </row>
    <row r="1064" spans="1:36" x14ac:dyDescent="0.25">
      <c r="A1064" s="273"/>
      <c r="B1064" s="86"/>
      <c r="C1064" s="86"/>
      <c r="D1064" s="86"/>
      <c r="E1064" s="86"/>
      <c r="F1064" s="86"/>
      <c r="G1064" s="86"/>
      <c r="H1064" s="86"/>
      <c r="I1064" s="86"/>
      <c r="J1064" s="86"/>
      <c r="K1064" s="86"/>
      <c r="L1064" s="86"/>
      <c r="M1064" s="86"/>
      <c r="N1064" s="86"/>
      <c r="O1064" s="86"/>
      <c r="P1064" s="86"/>
      <c r="Q1064" s="86"/>
      <c r="R1064" s="86"/>
      <c r="S1064" s="86"/>
      <c r="T1064" s="86"/>
      <c r="U1064" s="86"/>
      <c r="V1064" s="86"/>
      <c r="W1064" s="86"/>
      <c r="X1064" s="86"/>
      <c r="Y1064" s="86"/>
      <c r="Z1064" s="86"/>
      <c r="AA1064" s="86"/>
      <c r="AB1064" s="86"/>
      <c r="AC1064" s="86"/>
      <c r="AD1064" s="86"/>
      <c r="AE1064" s="86"/>
      <c r="AF1064" s="86"/>
      <c r="AG1064" s="86"/>
      <c r="AH1064" s="86"/>
      <c r="AI1064" s="86"/>
      <c r="AJ1064" s="86"/>
    </row>
    <row r="1065" spans="1:36" x14ac:dyDescent="0.25">
      <c r="A1065" s="274"/>
      <c r="B1065" s="87"/>
      <c r="C1065" s="87"/>
      <c r="D1065" s="87"/>
      <c r="E1065" s="87"/>
      <c r="F1065" s="87"/>
      <c r="G1065" s="87"/>
      <c r="H1065" s="87"/>
      <c r="I1065" s="87"/>
      <c r="J1065" s="87"/>
      <c r="K1065" s="87"/>
      <c r="L1065" s="87"/>
      <c r="M1065" s="87"/>
      <c r="N1065" s="87"/>
      <c r="O1065" s="87"/>
      <c r="P1065" s="87"/>
      <c r="Q1065" s="87"/>
      <c r="R1065" s="87"/>
      <c r="S1065" s="87"/>
      <c r="T1065" s="87"/>
      <c r="U1065" s="87"/>
      <c r="V1065" s="87"/>
      <c r="W1065" s="87"/>
      <c r="X1065" s="87"/>
      <c r="Y1065" s="87"/>
      <c r="Z1065" s="87"/>
      <c r="AA1065" s="87"/>
      <c r="AB1065" s="87"/>
      <c r="AC1065" s="87"/>
      <c r="AD1065" s="87"/>
      <c r="AE1065" s="87"/>
      <c r="AF1065" s="87"/>
      <c r="AG1065" s="87"/>
      <c r="AH1065" s="87"/>
      <c r="AI1065" s="87"/>
      <c r="AJ1065" s="87"/>
    </row>
    <row r="1066" spans="1:36" x14ac:dyDescent="0.25">
      <c r="A1066" s="273"/>
      <c r="B1066" s="86"/>
      <c r="C1066" s="86"/>
      <c r="D1066" s="86"/>
      <c r="E1066" s="86"/>
      <c r="F1066" s="86"/>
      <c r="G1066" s="86"/>
      <c r="H1066" s="86"/>
      <c r="I1066" s="86"/>
      <c r="J1066" s="86"/>
      <c r="K1066" s="86"/>
      <c r="L1066" s="86"/>
      <c r="M1066" s="86"/>
      <c r="N1066" s="86"/>
      <c r="O1066" s="86"/>
      <c r="P1066" s="86"/>
      <c r="Q1066" s="86"/>
      <c r="R1066" s="86"/>
      <c r="S1066" s="86"/>
      <c r="T1066" s="86"/>
      <c r="U1066" s="86"/>
      <c r="V1066" s="86"/>
      <c r="W1066" s="86"/>
      <c r="X1066" s="86"/>
      <c r="Y1066" s="86"/>
      <c r="Z1066" s="86"/>
      <c r="AA1066" s="86"/>
      <c r="AB1066" s="86"/>
      <c r="AC1066" s="86"/>
      <c r="AD1066" s="86"/>
      <c r="AE1066" s="86"/>
      <c r="AF1066" s="86"/>
      <c r="AG1066" s="86"/>
      <c r="AH1066" s="86"/>
      <c r="AI1066" s="86"/>
      <c r="AJ1066" s="86"/>
    </row>
    <row r="1067" spans="1:36" x14ac:dyDescent="0.25">
      <c r="A1067" s="274"/>
      <c r="B1067" s="87"/>
      <c r="C1067" s="87"/>
      <c r="D1067" s="87"/>
      <c r="E1067" s="87"/>
      <c r="F1067" s="87"/>
      <c r="G1067" s="87"/>
      <c r="H1067" s="87"/>
      <c r="I1067" s="87"/>
      <c r="J1067" s="87"/>
      <c r="K1067" s="87"/>
      <c r="L1067" s="87"/>
      <c r="M1067" s="87"/>
      <c r="N1067" s="87"/>
      <c r="O1067" s="87"/>
      <c r="P1067" s="87"/>
      <c r="Q1067" s="87"/>
      <c r="R1067" s="87"/>
      <c r="S1067" s="87"/>
      <c r="T1067" s="87"/>
      <c r="U1067" s="87"/>
      <c r="V1067" s="87"/>
      <c r="W1067" s="87"/>
      <c r="X1067" s="87"/>
      <c r="Y1067" s="87"/>
      <c r="Z1067" s="87"/>
      <c r="AA1067" s="87"/>
      <c r="AB1067" s="87"/>
      <c r="AC1067" s="87"/>
      <c r="AD1067" s="87"/>
      <c r="AE1067" s="87"/>
      <c r="AF1067" s="87"/>
      <c r="AG1067" s="87"/>
      <c r="AH1067" s="87"/>
      <c r="AI1067" s="87"/>
      <c r="AJ1067" s="87"/>
    </row>
    <row r="1068" spans="1:36" x14ac:dyDescent="0.25">
      <c r="A1068" s="273"/>
      <c r="B1068" s="86"/>
      <c r="C1068" s="86"/>
      <c r="D1068" s="86"/>
      <c r="E1068" s="86"/>
      <c r="F1068" s="86"/>
      <c r="G1068" s="86"/>
      <c r="H1068" s="86"/>
      <c r="I1068" s="86"/>
      <c r="J1068" s="86"/>
      <c r="K1068" s="86"/>
      <c r="L1068" s="86"/>
      <c r="M1068" s="86"/>
      <c r="N1068" s="86"/>
      <c r="O1068" s="86"/>
      <c r="P1068" s="86"/>
      <c r="Q1068" s="86"/>
      <c r="R1068" s="86"/>
      <c r="S1068" s="86"/>
      <c r="T1068" s="86"/>
      <c r="U1068" s="86"/>
      <c r="V1068" s="86"/>
      <c r="W1068" s="86"/>
      <c r="X1068" s="86"/>
      <c r="Y1068" s="86"/>
      <c r="Z1068" s="86"/>
      <c r="AA1068" s="86"/>
      <c r="AB1068" s="86"/>
      <c r="AC1068" s="86"/>
      <c r="AD1068" s="86"/>
      <c r="AE1068" s="86"/>
      <c r="AF1068" s="86"/>
      <c r="AG1068" s="86"/>
      <c r="AH1068" s="86"/>
      <c r="AI1068" s="86"/>
      <c r="AJ1068" s="86"/>
    </row>
    <row r="1069" spans="1:36" x14ac:dyDescent="0.25">
      <c r="A1069" s="274"/>
      <c r="B1069" s="87"/>
      <c r="C1069" s="87"/>
      <c r="D1069" s="87"/>
      <c r="E1069" s="87"/>
      <c r="F1069" s="87"/>
      <c r="G1069" s="87"/>
      <c r="H1069" s="87"/>
      <c r="I1069" s="87"/>
      <c r="J1069" s="87"/>
      <c r="K1069" s="87"/>
      <c r="L1069" s="87"/>
      <c r="M1069" s="87"/>
      <c r="N1069" s="87"/>
      <c r="O1069" s="87"/>
      <c r="P1069" s="87"/>
      <c r="Q1069" s="87"/>
      <c r="R1069" s="87"/>
      <c r="S1069" s="87"/>
      <c r="T1069" s="87"/>
      <c r="U1069" s="87"/>
      <c r="V1069" s="87"/>
      <c r="W1069" s="87"/>
      <c r="X1069" s="87"/>
      <c r="Y1069" s="87"/>
      <c r="Z1069" s="87"/>
      <c r="AA1069" s="87"/>
      <c r="AB1069" s="87"/>
      <c r="AC1069" s="87"/>
      <c r="AD1069" s="87"/>
      <c r="AE1069" s="87"/>
      <c r="AF1069" s="87"/>
      <c r="AG1069" s="87"/>
      <c r="AH1069" s="87"/>
      <c r="AI1069" s="87"/>
      <c r="AJ1069" s="87"/>
    </row>
    <row r="1070" spans="1:36" x14ac:dyDescent="0.25">
      <c r="A1070" s="273"/>
      <c r="B1070" s="86"/>
      <c r="C1070" s="86"/>
      <c r="D1070" s="86"/>
      <c r="E1070" s="86"/>
      <c r="F1070" s="86"/>
      <c r="G1070" s="86"/>
      <c r="H1070" s="86"/>
      <c r="I1070" s="86"/>
      <c r="J1070" s="86"/>
      <c r="K1070" s="86"/>
      <c r="L1070" s="86"/>
      <c r="M1070" s="86"/>
      <c r="N1070" s="86"/>
      <c r="O1070" s="86"/>
      <c r="P1070" s="86"/>
      <c r="Q1070" s="86"/>
      <c r="R1070" s="86"/>
      <c r="S1070" s="86"/>
      <c r="T1070" s="86"/>
      <c r="U1070" s="86"/>
      <c r="V1070" s="86"/>
      <c r="W1070" s="86"/>
      <c r="X1070" s="86"/>
      <c r="Y1070" s="86"/>
      <c r="Z1070" s="86"/>
      <c r="AA1070" s="86"/>
      <c r="AB1070" s="86"/>
      <c r="AC1070" s="86"/>
      <c r="AD1070" s="86"/>
      <c r="AE1070" s="86"/>
      <c r="AF1070" s="86"/>
      <c r="AG1070" s="86"/>
      <c r="AH1070" s="86"/>
      <c r="AI1070" s="86"/>
      <c r="AJ1070" s="86"/>
    </row>
    <row r="1071" spans="1:36" x14ac:dyDescent="0.25">
      <c r="A1071" s="274"/>
      <c r="B1071" s="87"/>
      <c r="C1071" s="87"/>
      <c r="D1071" s="87"/>
      <c r="E1071" s="87"/>
      <c r="F1071" s="87"/>
      <c r="G1071" s="87"/>
      <c r="H1071" s="87"/>
      <c r="I1071" s="87"/>
      <c r="J1071" s="87"/>
      <c r="K1071" s="87"/>
      <c r="L1071" s="87"/>
      <c r="M1071" s="87"/>
      <c r="N1071" s="87"/>
      <c r="O1071" s="87"/>
      <c r="P1071" s="87"/>
      <c r="Q1071" s="87"/>
      <c r="R1071" s="87"/>
      <c r="S1071" s="87"/>
      <c r="T1071" s="87"/>
      <c r="U1071" s="87"/>
      <c r="V1071" s="87"/>
      <c r="W1071" s="87"/>
      <c r="X1071" s="87"/>
      <c r="Y1071" s="87"/>
      <c r="Z1071" s="87"/>
      <c r="AA1071" s="87"/>
      <c r="AB1071" s="87"/>
      <c r="AC1071" s="87"/>
      <c r="AD1071" s="87"/>
      <c r="AE1071" s="87"/>
      <c r="AF1071" s="87"/>
      <c r="AG1071" s="87"/>
      <c r="AH1071" s="87"/>
      <c r="AI1071" s="87"/>
      <c r="AJ1071" s="87"/>
    </row>
    <row r="1072" spans="1:36" x14ac:dyDescent="0.25">
      <c r="A1072" s="273"/>
      <c r="B1072" s="86"/>
      <c r="C1072" s="86"/>
      <c r="D1072" s="86"/>
      <c r="E1072" s="86"/>
      <c r="F1072" s="86"/>
      <c r="G1072" s="86"/>
      <c r="H1072" s="86"/>
      <c r="I1072" s="86"/>
      <c r="J1072" s="86"/>
      <c r="K1072" s="86"/>
      <c r="L1072" s="86"/>
      <c r="M1072" s="86"/>
      <c r="N1072" s="86"/>
      <c r="O1072" s="86"/>
      <c r="P1072" s="86"/>
      <c r="Q1072" s="86"/>
      <c r="R1072" s="86"/>
      <c r="S1072" s="86"/>
      <c r="T1072" s="86"/>
      <c r="U1072" s="86"/>
      <c r="V1072" s="86"/>
      <c r="W1072" s="86"/>
      <c r="X1072" s="86"/>
      <c r="Y1072" s="86"/>
      <c r="Z1072" s="86"/>
      <c r="AA1072" s="86"/>
      <c r="AB1072" s="86"/>
      <c r="AC1072" s="86"/>
      <c r="AD1072" s="86"/>
      <c r="AE1072" s="86"/>
      <c r="AF1072" s="86"/>
      <c r="AG1072" s="86"/>
      <c r="AH1072" s="86"/>
      <c r="AI1072" s="86"/>
      <c r="AJ1072" s="86"/>
    </row>
    <row r="1073" spans="1:36" x14ac:dyDescent="0.25">
      <c r="A1073" s="274"/>
      <c r="B1073" s="87"/>
      <c r="C1073" s="87"/>
      <c r="D1073" s="87"/>
      <c r="E1073" s="87"/>
      <c r="F1073" s="87"/>
      <c r="G1073" s="87"/>
      <c r="H1073" s="87"/>
      <c r="I1073" s="87"/>
      <c r="J1073" s="87"/>
      <c r="K1073" s="87"/>
      <c r="L1073" s="87"/>
      <c r="M1073" s="87"/>
      <c r="N1073" s="87"/>
      <c r="O1073" s="87"/>
      <c r="P1073" s="87"/>
      <c r="Q1073" s="87"/>
      <c r="R1073" s="87"/>
      <c r="S1073" s="87"/>
      <c r="T1073" s="87"/>
      <c r="U1073" s="87"/>
      <c r="V1073" s="87"/>
      <c r="W1073" s="87"/>
      <c r="X1073" s="87"/>
      <c r="Y1073" s="87"/>
      <c r="Z1073" s="87"/>
      <c r="AA1073" s="87"/>
      <c r="AB1073" s="87"/>
      <c r="AC1073" s="87"/>
      <c r="AD1073" s="87"/>
      <c r="AE1073" s="87"/>
      <c r="AF1073" s="87"/>
      <c r="AG1073" s="87"/>
      <c r="AH1073" s="87"/>
      <c r="AI1073" s="87"/>
      <c r="AJ1073" s="87"/>
    </row>
    <row r="1074" spans="1:36" x14ac:dyDescent="0.25">
      <c r="A1074" s="273"/>
      <c r="B1074" s="86"/>
      <c r="C1074" s="86"/>
      <c r="D1074" s="86"/>
      <c r="E1074" s="86"/>
      <c r="F1074" s="86"/>
      <c r="G1074" s="86"/>
      <c r="H1074" s="86"/>
      <c r="I1074" s="86"/>
      <c r="J1074" s="86"/>
      <c r="K1074" s="86"/>
      <c r="L1074" s="86"/>
      <c r="M1074" s="86"/>
      <c r="N1074" s="86"/>
      <c r="O1074" s="86"/>
      <c r="P1074" s="86"/>
      <c r="Q1074" s="86"/>
      <c r="R1074" s="86"/>
      <c r="S1074" s="86"/>
      <c r="T1074" s="86"/>
      <c r="U1074" s="86"/>
      <c r="V1074" s="86"/>
      <c r="W1074" s="86"/>
      <c r="X1074" s="86"/>
      <c r="Y1074" s="86"/>
      <c r="Z1074" s="86"/>
      <c r="AA1074" s="86"/>
      <c r="AB1074" s="86"/>
      <c r="AC1074" s="86"/>
      <c r="AD1074" s="86"/>
      <c r="AE1074" s="86"/>
      <c r="AF1074" s="86"/>
      <c r="AG1074" s="86"/>
      <c r="AH1074" s="86"/>
      <c r="AI1074" s="86"/>
      <c r="AJ1074" s="86"/>
    </row>
    <row r="1075" spans="1:36" x14ac:dyDescent="0.25">
      <c r="A1075" s="274"/>
      <c r="B1075" s="87"/>
      <c r="C1075" s="87"/>
      <c r="D1075" s="87"/>
      <c r="E1075" s="87"/>
      <c r="F1075" s="87"/>
      <c r="G1075" s="87"/>
      <c r="H1075" s="87"/>
      <c r="I1075" s="87"/>
      <c r="J1075" s="87"/>
      <c r="K1075" s="87"/>
      <c r="L1075" s="87"/>
      <c r="M1075" s="87"/>
      <c r="N1075" s="87"/>
      <c r="O1075" s="87"/>
      <c r="P1075" s="87"/>
      <c r="Q1075" s="87"/>
      <c r="R1075" s="87"/>
      <c r="S1075" s="87"/>
      <c r="T1075" s="87"/>
      <c r="U1075" s="87"/>
      <c r="V1075" s="87"/>
      <c r="W1075" s="87"/>
      <c r="X1075" s="87"/>
      <c r="Y1075" s="87"/>
      <c r="Z1075" s="87"/>
      <c r="AA1075" s="87"/>
      <c r="AB1075" s="87"/>
      <c r="AC1075" s="87"/>
      <c r="AD1075" s="87"/>
      <c r="AE1075" s="87"/>
      <c r="AF1075" s="87"/>
      <c r="AG1075" s="87"/>
      <c r="AH1075" s="87"/>
      <c r="AI1075" s="87"/>
      <c r="AJ1075" s="87"/>
    </row>
    <row r="1076" spans="1:36" x14ac:dyDescent="0.25">
      <c r="A1076" s="273"/>
      <c r="B1076" s="86"/>
      <c r="C1076" s="86"/>
      <c r="D1076" s="86"/>
      <c r="E1076" s="86"/>
      <c r="F1076" s="86"/>
      <c r="G1076" s="86"/>
      <c r="H1076" s="86"/>
      <c r="I1076" s="86"/>
      <c r="J1076" s="86"/>
      <c r="K1076" s="86"/>
      <c r="L1076" s="86"/>
      <c r="M1076" s="86"/>
      <c r="N1076" s="86"/>
      <c r="O1076" s="86"/>
      <c r="P1076" s="86"/>
      <c r="Q1076" s="86"/>
      <c r="R1076" s="86"/>
      <c r="S1076" s="86"/>
      <c r="T1076" s="86"/>
      <c r="U1076" s="86"/>
      <c r="V1076" s="86"/>
      <c r="W1076" s="86"/>
      <c r="X1076" s="86"/>
      <c r="Y1076" s="86"/>
      <c r="Z1076" s="86"/>
      <c r="AA1076" s="86"/>
      <c r="AB1076" s="86"/>
      <c r="AC1076" s="86"/>
      <c r="AD1076" s="86"/>
      <c r="AE1076" s="86"/>
      <c r="AF1076" s="86"/>
      <c r="AG1076" s="86"/>
      <c r="AH1076" s="86"/>
      <c r="AI1076" s="86"/>
      <c r="AJ1076" s="86"/>
    </row>
    <row r="1077" spans="1:36" x14ac:dyDescent="0.25">
      <c r="A1077" s="274"/>
      <c r="B1077" s="87"/>
      <c r="C1077" s="87"/>
      <c r="D1077" s="87"/>
      <c r="E1077" s="87"/>
      <c r="F1077" s="87"/>
      <c r="G1077" s="87"/>
      <c r="H1077" s="87"/>
      <c r="I1077" s="87"/>
      <c r="J1077" s="87"/>
      <c r="K1077" s="87"/>
      <c r="L1077" s="87"/>
      <c r="M1077" s="87"/>
      <c r="N1077" s="87"/>
      <c r="O1077" s="87"/>
      <c r="P1077" s="87"/>
      <c r="Q1077" s="87"/>
      <c r="R1077" s="87"/>
      <c r="S1077" s="87"/>
      <c r="T1077" s="87"/>
      <c r="U1077" s="87"/>
      <c r="V1077" s="87"/>
      <c r="W1077" s="87"/>
      <c r="X1077" s="87"/>
      <c r="Y1077" s="87"/>
      <c r="Z1077" s="87"/>
      <c r="AA1077" s="87"/>
      <c r="AB1077" s="87"/>
      <c r="AC1077" s="87"/>
      <c r="AD1077" s="87"/>
      <c r="AE1077" s="87"/>
      <c r="AF1077" s="87"/>
      <c r="AG1077" s="87"/>
      <c r="AH1077" s="87"/>
      <c r="AI1077" s="87"/>
      <c r="AJ1077" s="87"/>
    </row>
    <row r="1078" spans="1:36" x14ac:dyDescent="0.25">
      <c r="A1078" s="273"/>
      <c r="B1078" s="86"/>
      <c r="C1078" s="86"/>
      <c r="D1078" s="86"/>
      <c r="E1078" s="86"/>
      <c r="F1078" s="86"/>
      <c r="G1078" s="86"/>
      <c r="H1078" s="86"/>
      <c r="I1078" s="86"/>
      <c r="J1078" s="86"/>
      <c r="K1078" s="86"/>
      <c r="L1078" s="86"/>
      <c r="M1078" s="86"/>
      <c r="N1078" s="86"/>
      <c r="O1078" s="86"/>
      <c r="P1078" s="86"/>
      <c r="Q1078" s="86"/>
      <c r="R1078" s="86"/>
      <c r="S1078" s="86"/>
      <c r="T1078" s="86"/>
      <c r="U1078" s="86"/>
      <c r="V1078" s="86"/>
      <c r="W1078" s="86"/>
      <c r="X1078" s="86"/>
      <c r="Y1078" s="86"/>
      <c r="Z1078" s="86"/>
      <c r="AA1078" s="86"/>
      <c r="AB1078" s="86"/>
      <c r="AC1078" s="86"/>
      <c r="AD1078" s="86"/>
      <c r="AE1078" s="86"/>
      <c r="AF1078" s="86"/>
      <c r="AG1078" s="86"/>
      <c r="AH1078" s="86"/>
      <c r="AI1078" s="86"/>
      <c r="AJ1078" s="86"/>
    </row>
    <row r="1079" spans="1:36" x14ac:dyDescent="0.25">
      <c r="A1079" s="274"/>
      <c r="B1079" s="87"/>
      <c r="C1079" s="87"/>
      <c r="D1079" s="87"/>
      <c r="E1079" s="87"/>
      <c r="F1079" s="87"/>
      <c r="G1079" s="87"/>
      <c r="H1079" s="87"/>
      <c r="I1079" s="87"/>
      <c r="J1079" s="87"/>
      <c r="K1079" s="87"/>
      <c r="L1079" s="87"/>
      <c r="M1079" s="87"/>
      <c r="N1079" s="87"/>
      <c r="O1079" s="87"/>
      <c r="P1079" s="87"/>
      <c r="Q1079" s="87"/>
      <c r="R1079" s="87"/>
      <c r="S1079" s="87"/>
      <c r="T1079" s="87"/>
      <c r="U1079" s="87"/>
      <c r="V1079" s="87"/>
      <c r="W1079" s="87"/>
      <c r="X1079" s="87"/>
      <c r="Y1079" s="87"/>
      <c r="Z1079" s="87"/>
      <c r="AA1079" s="87"/>
      <c r="AB1079" s="87"/>
      <c r="AC1079" s="87"/>
      <c r="AD1079" s="87"/>
      <c r="AE1079" s="87"/>
      <c r="AF1079" s="87"/>
      <c r="AG1079" s="87"/>
      <c r="AH1079" s="87"/>
      <c r="AI1079" s="87"/>
      <c r="AJ1079" s="87"/>
    </row>
    <row r="1080" spans="1:36" x14ac:dyDescent="0.25">
      <c r="A1080" s="273"/>
      <c r="B1080" s="86"/>
      <c r="C1080" s="86"/>
      <c r="D1080" s="86"/>
      <c r="E1080" s="86"/>
      <c r="F1080" s="86"/>
      <c r="G1080" s="86"/>
      <c r="H1080" s="86"/>
      <c r="I1080" s="86"/>
      <c r="J1080" s="86"/>
      <c r="K1080" s="86"/>
      <c r="L1080" s="86"/>
      <c r="M1080" s="86"/>
      <c r="N1080" s="86"/>
      <c r="O1080" s="86"/>
      <c r="P1080" s="86"/>
      <c r="Q1080" s="86"/>
      <c r="R1080" s="86"/>
      <c r="S1080" s="86"/>
      <c r="T1080" s="86"/>
      <c r="U1080" s="86"/>
      <c r="V1080" s="86"/>
      <c r="W1080" s="86"/>
      <c r="X1080" s="86"/>
      <c r="Y1080" s="86"/>
      <c r="Z1080" s="86"/>
      <c r="AA1080" s="86"/>
      <c r="AB1080" s="86"/>
      <c r="AC1080" s="86"/>
      <c r="AD1080" s="86"/>
      <c r="AE1080" s="86"/>
      <c r="AF1080" s="86"/>
      <c r="AG1080" s="86"/>
      <c r="AH1080" s="86"/>
      <c r="AI1080" s="86"/>
      <c r="AJ1080" s="86"/>
    </row>
    <row r="1081" spans="1:36" x14ac:dyDescent="0.25">
      <c r="A1081" s="274"/>
      <c r="B1081" s="87"/>
      <c r="C1081" s="87"/>
      <c r="D1081" s="87"/>
      <c r="E1081" s="87"/>
      <c r="F1081" s="87"/>
      <c r="G1081" s="87"/>
      <c r="H1081" s="87"/>
      <c r="I1081" s="87"/>
      <c r="J1081" s="87"/>
      <c r="K1081" s="87"/>
      <c r="L1081" s="87"/>
      <c r="M1081" s="87"/>
      <c r="N1081" s="87"/>
      <c r="O1081" s="87"/>
      <c r="P1081" s="87"/>
      <c r="Q1081" s="87"/>
      <c r="R1081" s="87"/>
      <c r="S1081" s="87"/>
      <c r="T1081" s="87"/>
      <c r="U1081" s="87"/>
      <c r="V1081" s="87"/>
      <c r="W1081" s="87"/>
      <c r="X1081" s="87"/>
      <c r="Y1081" s="87"/>
      <c r="Z1081" s="87"/>
      <c r="AA1081" s="87"/>
      <c r="AB1081" s="87"/>
      <c r="AC1081" s="87"/>
      <c r="AD1081" s="87"/>
      <c r="AE1081" s="87"/>
      <c r="AF1081" s="87"/>
      <c r="AG1081" s="87"/>
      <c r="AH1081" s="87"/>
      <c r="AI1081" s="87"/>
      <c r="AJ1081" s="87"/>
    </row>
    <row r="1082" spans="1:36" x14ac:dyDescent="0.25">
      <c r="A1082" s="273"/>
      <c r="B1082" s="86"/>
      <c r="C1082" s="86"/>
      <c r="D1082" s="86"/>
      <c r="E1082" s="86"/>
      <c r="F1082" s="86"/>
      <c r="G1082" s="86"/>
      <c r="H1082" s="86"/>
      <c r="I1082" s="86"/>
      <c r="J1082" s="86"/>
      <c r="K1082" s="86"/>
      <c r="L1082" s="86"/>
      <c r="M1082" s="86"/>
      <c r="N1082" s="86"/>
      <c r="O1082" s="86"/>
      <c r="P1082" s="86"/>
      <c r="Q1082" s="86"/>
      <c r="R1082" s="86"/>
      <c r="S1082" s="86"/>
      <c r="T1082" s="86"/>
      <c r="U1082" s="86"/>
      <c r="V1082" s="86"/>
      <c r="W1082" s="86"/>
      <c r="X1082" s="86"/>
      <c r="Y1082" s="86"/>
      <c r="Z1082" s="86"/>
      <c r="AA1082" s="86"/>
      <c r="AB1082" s="86"/>
      <c r="AC1082" s="86"/>
      <c r="AD1082" s="86"/>
      <c r="AE1082" s="86"/>
      <c r="AF1082" s="86"/>
      <c r="AG1082" s="86"/>
      <c r="AH1082" s="86"/>
      <c r="AI1082" s="86"/>
      <c r="AJ1082" s="86"/>
    </row>
    <row r="1083" spans="1:36" x14ac:dyDescent="0.25">
      <c r="A1083" s="274"/>
      <c r="B1083" s="87"/>
      <c r="C1083" s="87"/>
      <c r="D1083" s="87"/>
      <c r="E1083" s="87"/>
      <c r="F1083" s="87"/>
      <c r="G1083" s="87"/>
      <c r="H1083" s="87"/>
      <c r="I1083" s="87"/>
      <c r="J1083" s="87"/>
      <c r="K1083" s="87"/>
      <c r="L1083" s="87"/>
      <c r="M1083" s="87"/>
      <c r="N1083" s="87"/>
      <c r="O1083" s="87"/>
      <c r="P1083" s="87"/>
      <c r="Q1083" s="87"/>
      <c r="R1083" s="87"/>
      <c r="S1083" s="87"/>
      <c r="T1083" s="87"/>
      <c r="U1083" s="87"/>
      <c r="V1083" s="87"/>
      <c r="W1083" s="87"/>
      <c r="X1083" s="87"/>
      <c r="Y1083" s="87"/>
      <c r="Z1083" s="87"/>
      <c r="AA1083" s="87"/>
      <c r="AB1083" s="87"/>
      <c r="AC1083" s="87"/>
      <c r="AD1083" s="87"/>
      <c r="AE1083" s="87"/>
      <c r="AF1083" s="87"/>
      <c r="AG1083" s="87"/>
      <c r="AH1083" s="87"/>
      <c r="AI1083" s="87"/>
      <c r="AJ1083" s="87"/>
    </row>
    <row r="1084" spans="1:36" x14ac:dyDescent="0.25">
      <c r="A1084" s="273"/>
      <c r="B1084" s="86"/>
      <c r="C1084" s="86"/>
      <c r="D1084" s="86"/>
      <c r="E1084" s="86"/>
      <c r="F1084" s="86"/>
      <c r="G1084" s="86"/>
      <c r="H1084" s="86"/>
      <c r="I1084" s="86"/>
      <c r="J1084" s="86"/>
      <c r="K1084" s="86"/>
      <c r="L1084" s="86"/>
      <c r="M1084" s="86"/>
      <c r="N1084" s="86"/>
      <c r="O1084" s="86"/>
      <c r="P1084" s="86"/>
      <c r="Q1084" s="86"/>
      <c r="R1084" s="86"/>
      <c r="S1084" s="86"/>
      <c r="T1084" s="86"/>
      <c r="U1084" s="86"/>
      <c r="V1084" s="86"/>
      <c r="W1084" s="86"/>
      <c r="X1084" s="86"/>
      <c r="Y1084" s="86"/>
      <c r="Z1084" s="86"/>
      <c r="AA1084" s="86"/>
      <c r="AB1084" s="86"/>
      <c r="AC1084" s="86"/>
      <c r="AD1084" s="86"/>
      <c r="AE1084" s="86"/>
      <c r="AF1084" s="86"/>
      <c r="AG1084" s="86"/>
      <c r="AH1084" s="86"/>
      <c r="AI1084" s="86"/>
      <c r="AJ1084" s="86"/>
    </row>
    <row r="1085" spans="1:36" x14ac:dyDescent="0.25">
      <c r="A1085" s="274"/>
      <c r="B1085" s="87"/>
      <c r="C1085" s="87"/>
      <c r="D1085" s="87"/>
      <c r="E1085" s="87"/>
      <c r="F1085" s="87"/>
      <c r="G1085" s="87"/>
      <c r="H1085" s="87"/>
      <c r="I1085" s="87"/>
      <c r="J1085" s="87"/>
      <c r="K1085" s="87"/>
      <c r="L1085" s="87"/>
      <c r="M1085" s="87"/>
      <c r="N1085" s="87"/>
      <c r="O1085" s="87"/>
      <c r="P1085" s="87"/>
      <c r="Q1085" s="87"/>
      <c r="R1085" s="87"/>
      <c r="S1085" s="87"/>
      <c r="T1085" s="87"/>
      <c r="U1085" s="87"/>
      <c r="V1085" s="87"/>
      <c r="W1085" s="87"/>
      <c r="X1085" s="87"/>
      <c r="Y1085" s="87"/>
      <c r="Z1085" s="87"/>
      <c r="AA1085" s="87"/>
      <c r="AB1085" s="87"/>
      <c r="AC1085" s="87"/>
      <c r="AD1085" s="87"/>
      <c r="AE1085" s="87"/>
      <c r="AF1085" s="87"/>
      <c r="AG1085" s="87"/>
      <c r="AH1085" s="87"/>
      <c r="AI1085" s="87"/>
      <c r="AJ1085" s="87"/>
    </row>
    <row r="1086" spans="1:36" x14ac:dyDescent="0.25">
      <c r="A1086" s="273"/>
      <c r="B1086" s="86"/>
      <c r="C1086" s="86"/>
      <c r="D1086" s="86"/>
      <c r="E1086" s="86"/>
      <c r="F1086" s="86"/>
      <c r="G1086" s="86"/>
      <c r="H1086" s="86"/>
      <c r="I1086" s="86"/>
      <c r="J1086" s="86"/>
      <c r="K1086" s="86"/>
      <c r="L1086" s="86"/>
      <c r="M1086" s="86"/>
      <c r="N1086" s="86"/>
      <c r="O1086" s="86"/>
      <c r="P1086" s="86"/>
      <c r="Q1086" s="86"/>
      <c r="R1086" s="86"/>
      <c r="S1086" s="86"/>
      <c r="T1086" s="86"/>
      <c r="U1086" s="86"/>
      <c r="V1086" s="86"/>
      <c r="W1086" s="86"/>
      <c r="X1086" s="86"/>
      <c r="Y1086" s="86"/>
      <c r="Z1086" s="86"/>
      <c r="AA1086" s="86"/>
      <c r="AB1086" s="86"/>
      <c r="AC1086" s="86"/>
      <c r="AD1086" s="86"/>
      <c r="AE1086" s="86"/>
      <c r="AF1086" s="86"/>
      <c r="AG1086" s="86"/>
      <c r="AH1086" s="86"/>
      <c r="AI1086" s="86"/>
      <c r="AJ1086" s="86"/>
    </row>
    <row r="1087" spans="1:36" x14ac:dyDescent="0.25">
      <c r="A1087" s="274"/>
      <c r="B1087" s="87"/>
      <c r="C1087" s="87"/>
      <c r="D1087" s="87"/>
      <c r="E1087" s="87"/>
      <c r="F1087" s="87"/>
      <c r="G1087" s="87"/>
      <c r="H1087" s="87"/>
      <c r="I1087" s="87"/>
      <c r="J1087" s="87"/>
      <c r="K1087" s="87"/>
      <c r="L1087" s="87"/>
      <c r="M1087" s="87"/>
      <c r="N1087" s="87"/>
      <c r="O1087" s="87"/>
      <c r="P1087" s="87"/>
      <c r="Q1087" s="87"/>
      <c r="R1087" s="87"/>
      <c r="S1087" s="87"/>
      <c r="T1087" s="87"/>
      <c r="U1087" s="87"/>
      <c r="V1087" s="87"/>
      <c r="W1087" s="87"/>
      <c r="X1087" s="87"/>
      <c r="Y1087" s="87"/>
      <c r="Z1087" s="87"/>
      <c r="AA1087" s="87"/>
      <c r="AB1087" s="87"/>
      <c r="AC1087" s="87"/>
      <c r="AD1087" s="87"/>
      <c r="AE1087" s="87"/>
      <c r="AF1087" s="87"/>
      <c r="AG1087" s="87"/>
      <c r="AH1087" s="87"/>
      <c r="AI1087" s="87"/>
      <c r="AJ1087" s="87"/>
    </row>
    <row r="1088" spans="1:36" x14ac:dyDescent="0.25">
      <c r="A1088" s="273"/>
      <c r="B1088" s="86"/>
      <c r="C1088" s="86"/>
      <c r="D1088" s="86"/>
      <c r="E1088" s="86"/>
      <c r="F1088" s="86"/>
      <c r="G1088" s="86"/>
      <c r="H1088" s="86"/>
      <c r="I1088" s="86"/>
      <c r="J1088" s="86"/>
      <c r="K1088" s="86"/>
      <c r="L1088" s="86"/>
      <c r="M1088" s="86"/>
      <c r="N1088" s="86"/>
      <c r="O1088" s="86"/>
      <c r="P1088" s="86"/>
      <c r="Q1088" s="86"/>
      <c r="R1088" s="86"/>
      <c r="S1088" s="86"/>
      <c r="T1088" s="86"/>
      <c r="U1088" s="86"/>
      <c r="V1088" s="86"/>
      <c r="W1088" s="86"/>
      <c r="X1088" s="86"/>
      <c r="Y1088" s="86"/>
      <c r="Z1088" s="86"/>
      <c r="AA1088" s="86"/>
      <c r="AB1088" s="86"/>
      <c r="AC1088" s="86"/>
      <c r="AD1088" s="86"/>
      <c r="AE1088" s="86"/>
      <c r="AF1088" s="86"/>
      <c r="AG1088" s="86"/>
      <c r="AH1088" s="86"/>
      <c r="AI1088" s="86"/>
      <c r="AJ1088" s="86"/>
    </row>
    <row r="1089" spans="1:36" x14ac:dyDescent="0.25">
      <c r="A1089" s="274"/>
      <c r="B1089" s="87"/>
      <c r="C1089" s="87"/>
      <c r="D1089" s="87"/>
      <c r="E1089" s="87"/>
      <c r="F1089" s="87"/>
      <c r="G1089" s="87"/>
      <c r="H1089" s="87"/>
      <c r="I1089" s="87"/>
      <c r="J1089" s="87"/>
      <c r="K1089" s="87"/>
      <c r="L1089" s="87"/>
      <c r="M1089" s="87"/>
      <c r="N1089" s="87"/>
      <c r="O1089" s="87"/>
      <c r="P1089" s="87"/>
      <c r="Q1089" s="87"/>
      <c r="R1089" s="87"/>
      <c r="S1089" s="87"/>
      <c r="T1089" s="87"/>
      <c r="U1089" s="87"/>
      <c r="V1089" s="87"/>
      <c r="W1089" s="87"/>
      <c r="X1089" s="87"/>
      <c r="Y1089" s="87"/>
      <c r="Z1089" s="87"/>
      <c r="AA1089" s="87"/>
      <c r="AB1089" s="87"/>
      <c r="AC1089" s="87"/>
      <c r="AD1089" s="87"/>
      <c r="AE1089" s="87"/>
      <c r="AF1089" s="87"/>
      <c r="AG1089" s="87"/>
      <c r="AH1089" s="87"/>
      <c r="AI1089" s="87"/>
      <c r="AJ1089" s="87"/>
    </row>
    <row r="1090" spans="1:36" x14ac:dyDescent="0.25">
      <c r="A1090" s="273"/>
      <c r="B1090" s="86"/>
      <c r="C1090" s="86"/>
      <c r="D1090" s="86"/>
      <c r="E1090" s="86"/>
      <c r="F1090" s="86"/>
      <c r="G1090" s="86"/>
      <c r="H1090" s="86"/>
      <c r="I1090" s="86"/>
      <c r="J1090" s="86"/>
      <c r="K1090" s="86"/>
      <c r="L1090" s="86"/>
      <c r="M1090" s="86"/>
      <c r="N1090" s="86"/>
      <c r="O1090" s="86"/>
      <c r="P1090" s="86"/>
      <c r="Q1090" s="86"/>
      <c r="R1090" s="86"/>
      <c r="S1090" s="86"/>
      <c r="T1090" s="86"/>
      <c r="U1090" s="86"/>
      <c r="V1090" s="86"/>
      <c r="W1090" s="86"/>
      <c r="X1090" s="86"/>
      <c r="Y1090" s="86"/>
      <c r="Z1090" s="86"/>
      <c r="AA1090" s="86"/>
      <c r="AB1090" s="86"/>
      <c r="AC1090" s="86"/>
      <c r="AD1090" s="86"/>
      <c r="AE1090" s="86"/>
      <c r="AF1090" s="86"/>
      <c r="AG1090" s="86"/>
      <c r="AH1090" s="86"/>
      <c r="AI1090" s="86"/>
      <c r="AJ1090" s="86"/>
    </row>
    <row r="1091" spans="1:36" x14ac:dyDescent="0.25">
      <c r="A1091" s="274"/>
      <c r="B1091" s="87"/>
      <c r="C1091" s="87"/>
      <c r="D1091" s="87"/>
      <c r="E1091" s="87"/>
      <c r="F1091" s="87"/>
      <c r="G1091" s="87"/>
      <c r="H1091" s="87"/>
      <c r="I1091" s="87"/>
      <c r="J1091" s="87"/>
      <c r="K1091" s="87"/>
      <c r="L1091" s="87"/>
      <c r="M1091" s="87"/>
      <c r="N1091" s="87"/>
      <c r="O1091" s="87"/>
      <c r="P1091" s="87"/>
      <c r="Q1091" s="87"/>
      <c r="R1091" s="87"/>
      <c r="S1091" s="87"/>
      <c r="T1091" s="87"/>
      <c r="U1091" s="87"/>
      <c r="V1091" s="87"/>
      <c r="W1091" s="87"/>
      <c r="X1091" s="87"/>
      <c r="Y1091" s="87"/>
      <c r="Z1091" s="87"/>
      <c r="AA1091" s="87"/>
      <c r="AB1091" s="87"/>
      <c r="AC1091" s="87"/>
      <c r="AD1091" s="87"/>
      <c r="AE1091" s="87"/>
      <c r="AF1091" s="87"/>
      <c r="AG1091" s="87"/>
      <c r="AH1091" s="87"/>
      <c r="AI1091" s="87"/>
      <c r="AJ1091" s="87"/>
    </row>
    <row r="1092" spans="1:36" x14ac:dyDescent="0.25">
      <c r="A1092" s="273"/>
      <c r="B1092" s="86"/>
      <c r="C1092" s="86"/>
      <c r="D1092" s="86"/>
      <c r="E1092" s="86"/>
      <c r="F1092" s="86"/>
      <c r="G1092" s="86"/>
      <c r="H1092" s="86"/>
      <c r="I1092" s="86"/>
      <c r="J1092" s="86"/>
      <c r="K1092" s="86"/>
      <c r="L1092" s="86"/>
      <c r="M1092" s="86"/>
      <c r="N1092" s="86"/>
      <c r="O1092" s="86"/>
      <c r="P1092" s="86"/>
      <c r="Q1092" s="86"/>
      <c r="R1092" s="86"/>
      <c r="S1092" s="86"/>
      <c r="T1092" s="86"/>
      <c r="U1092" s="86"/>
      <c r="V1092" s="86"/>
      <c r="W1092" s="86"/>
      <c r="X1092" s="86"/>
      <c r="Y1092" s="86"/>
      <c r="Z1092" s="86"/>
      <c r="AA1092" s="86"/>
      <c r="AB1092" s="86"/>
      <c r="AC1092" s="86"/>
      <c r="AD1092" s="86"/>
      <c r="AE1092" s="86"/>
      <c r="AF1092" s="86"/>
      <c r="AG1092" s="86"/>
      <c r="AH1092" s="86"/>
      <c r="AI1092" s="86"/>
      <c r="AJ1092" s="86"/>
    </row>
    <row r="1093" spans="1:36" x14ac:dyDescent="0.25">
      <c r="A1093" s="274"/>
      <c r="B1093" s="87"/>
      <c r="C1093" s="87"/>
      <c r="D1093" s="87"/>
      <c r="E1093" s="87"/>
      <c r="F1093" s="87"/>
      <c r="G1093" s="87"/>
      <c r="H1093" s="87"/>
      <c r="I1093" s="87"/>
      <c r="J1093" s="87"/>
      <c r="K1093" s="87"/>
      <c r="L1093" s="87"/>
      <c r="M1093" s="87"/>
      <c r="N1093" s="87"/>
      <c r="O1093" s="87"/>
      <c r="P1093" s="87"/>
      <c r="Q1093" s="87"/>
      <c r="R1093" s="87"/>
      <c r="S1093" s="87"/>
      <c r="T1093" s="87"/>
      <c r="U1093" s="87"/>
      <c r="V1093" s="87"/>
      <c r="W1093" s="87"/>
      <c r="X1093" s="87"/>
      <c r="Y1093" s="87"/>
      <c r="Z1093" s="87"/>
      <c r="AA1093" s="87"/>
      <c r="AB1093" s="87"/>
      <c r="AC1093" s="87"/>
      <c r="AD1093" s="87"/>
      <c r="AE1093" s="87"/>
      <c r="AF1093" s="87"/>
      <c r="AG1093" s="87"/>
      <c r="AH1093" s="87"/>
      <c r="AI1093" s="87"/>
      <c r="AJ1093" s="87"/>
    </row>
    <row r="1094" spans="1:36" x14ac:dyDescent="0.25">
      <c r="A1094" s="273"/>
      <c r="B1094" s="86"/>
      <c r="C1094" s="86"/>
      <c r="D1094" s="86"/>
      <c r="E1094" s="86"/>
      <c r="F1094" s="86"/>
      <c r="G1094" s="86"/>
      <c r="H1094" s="86"/>
      <c r="I1094" s="86"/>
      <c r="J1094" s="86"/>
      <c r="K1094" s="86"/>
      <c r="L1094" s="86"/>
      <c r="M1094" s="86"/>
      <c r="N1094" s="86"/>
      <c r="O1094" s="86"/>
      <c r="P1094" s="86"/>
      <c r="Q1094" s="86"/>
      <c r="R1094" s="86"/>
      <c r="S1094" s="86"/>
      <c r="T1094" s="86"/>
      <c r="U1094" s="86"/>
      <c r="V1094" s="86"/>
      <c r="W1094" s="86"/>
      <c r="X1094" s="86"/>
      <c r="Y1094" s="86"/>
      <c r="Z1094" s="86"/>
      <c r="AA1094" s="86"/>
      <c r="AB1094" s="86"/>
      <c r="AC1094" s="86"/>
      <c r="AD1094" s="86"/>
      <c r="AE1094" s="86"/>
      <c r="AF1094" s="86"/>
      <c r="AG1094" s="86"/>
      <c r="AH1094" s="86"/>
      <c r="AI1094" s="86"/>
      <c r="AJ1094" s="86"/>
    </row>
    <row r="1095" spans="1:36" x14ac:dyDescent="0.25">
      <c r="A1095" s="274"/>
      <c r="B1095" s="87"/>
      <c r="C1095" s="87"/>
      <c r="D1095" s="87"/>
      <c r="E1095" s="87"/>
      <c r="F1095" s="87"/>
      <c r="G1095" s="87"/>
      <c r="H1095" s="87"/>
      <c r="I1095" s="87"/>
      <c r="J1095" s="87"/>
      <c r="K1095" s="87"/>
      <c r="L1095" s="87"/>
      <c r="M1095" s="87"/>
      <c r="N1095" s="87"/>
      <c r="O1095" s="87"/>
      <c r="P1095" s="87"/>
      <c r="Q1095" s="87"/>
      <c r="R1095" s="87"/>
      <c r="S1095" s="87"/>
      <c r="T1095" s="87"/>
      <c r="U1095" s="87"/>
      <c r="V1095" s="87"/>
      <c r="W1095" s="87"/>
      <c r="X1095" s="87"/>
      <c r="Y1095" s="87"/>
      <c r="Z1095" s="87"/>
      <c r="AA1095" s="87"/>
      <c r="AB1095" s="87"/>
      <c r="AC1095" s="87"/>
      <c r="AD1095" s="87"/>
      <c r="AE1095" s="87"/>
      <c r="AF1095" s="87"/>
      <c r="AG1095" s="87"/>
      <c r="AH1095" s="87"/>
      <c r="AI1095" s="87"/>
      <c r="AJ1095" s="87"/>
    </row>
    <row r="1096" spans="1:36" x14ac:dyDescent="0.25">
      <c r="A1096" s="273"/>
      <c r="B1096" s="86"/>
      <c r="C1096" s="86"/>
      <c r="D1096" s="86"/>
      <c r="E1096" s="86"/>
      <c r="F1096" s="86"/>
      <c r="G1096" s="86"/>
      <c r="H1096" s="86"/>
      <c r="I1096" s="86"/>
      <c r="J1096" s="86"/>
      <c r="K1096" s="86"/>
      <c r="L1096" s="86"/>
      <c r="M1096" s="86"/>
      <c r="N1096" s="86"/>
      <c r="O1096" s="86"/>
      <c r="P1096" s="86"/>
      <c r="Q1096" s="86"/>
      <c r="R1096" s="86"/>
      <c r="S1096" s="86"/>
      <c r="T1096" s="86"/>
      <c r="U1096" s="86"/>
      <c r="V1096" s="86"/>
      <c r="W1096" s="86"/>
      <c r="X1096" s="86"/>
      <c r="Y1096" s="86"/>
      <c r="Z1096" s="86"/>
      <c r="AA1096" s="86"/>
      <c r="AB1096" s="86"/>
      <c r="AC1096" s="86"/>
      <c r="AD1096" s="86"/>
      <c r="AE1096" s="86"/>
      <c r="AF1096" s="86"/>
      <c r="AG1096" s="86"/>
      <c r="AH1096" s="86"/>
      <c r="AI1096" s="86"/>
      <c r="AJ1096" s="86"/>
    </row>
    <row r="1097" spans="1:36" x14ac:dyDescent="0.25">
      <c r="A1097" s="274"/>
      <c r="B1097" s="87"/>
      <c r="C1097" s="87"/>
      <c r="D1097" s="87"/>
      <c r="E1097" s="87"/>
      <c r="F1097" s="87"/>
      <c r="G1097" s="87"/>
      <c r="H1097" s="87"/>
      <c r="I1097" s="87"/>
      <c r="J1097" s="87"/>
      <c r="K1097" s="87"/>
      <c r="L1097" s="87"/>
      <c r="M1097" s="87"/>
      <c r="N1097" s="87"/>
      <c r="O1097" s="87"/>
      <c r="P1097" s="87"/>
      <c r="Q1097" s="87"/>
      <c r="R1097" s="87"/>
      <c r="S1097" s="87"/>
      <c r="T1097" s="87"/>
      <c r="U1097" s="87"/>
      <c r="V1097" s="87"/>
      <c r="W1097" s="87"/>
      <c r="X1097" s="87"/>
      <c r="Y1097" s="87"/>
      <c r="Z1097" s="87"/>
      <c r="AA1097" s="87"/>
      <c r="AB1097" s="87"/>
      <c r="AC1097" s="87"/>
      <c r="AD1097" s="87"/>
      <c r="AE1097" s="87"/>
      <c r="AF1097" s="87"/>
      <c r="AG1097" s="87"/>
      <c r="AH1097" s="87"/>
      <c r="AI1097" s="87"/>
      <c r="AJ1097" s="87"/>
    </row>
    <row r="1098" spans="1:36" x14ac:dyDescent="0.25">
      <c r="A1098" s="273"/>
      <c r="B1098" s="86"/>
      <c r="C1098" s="86"/>
      <c r="D1098" s="86"/>
      <c r="E1098" s="86"/>
      <c r="F1098" s="86"/>
      <c r="G1098" s="86"/>
      <c r="H1098" s="86"/>
      <c r="I1098" s="86"/>
      <c r="J1098" s="86"/>
      <c r="K1098" s="86"/>
      <c r="L1098" s="86"/>
      <c r="M1098" s="86"/>
      <c r="N1098" s="86"/>
      <c r="O1098" s="86"/>
      <c r="P1098" s="86"/>
      <c r="Q1098" s="86"/>
      <c r="R1098" s="86"/>
      <c r="S1098" s="86"/>
      <c r="T1098" s="86"/>
      <c r="U1098" s="86"/>
      <c r="V1098" s="86"/>
      <c r="W1098" s="86"/>
      <c r="X1098" s="86"/>
      <c r="Y1098" s="86"/>
      <c r="Z1098" s="86"/>
      <c r="AA1098" s="86"/>
      <c r="AB1098" s="86"/>
      <c r="AC1098" s="86"/>
      <c r="AD1098" s="86"/>
      <c r="AE1098" s="86"/>
      <c r="AF1098" s="86"/>
      <c r="AG1098" s="86"/>
      <c r="AH1098" s="86"/>
      <c r="AI1098" s="86"/>
      <c r="AJ1098" s="86"/>
    </row>
    <row r="1099" spans="1:36" x14ac:dyDescent="0.25">
      <c r="A1099" s="274"/>
      <c r="B1099" s="87"/>
      <c r="C1099" s="87"/>
      <c r="D1099" s="87"/>
      <c r="E1099" s="87"/>
      <c r="F1099" s="87"/>
      <c r="G1099" s="87"/>
      <c r="H1099" s="87"/>
      <c r="I1099" s="87"/>
      <c r="J1099" s="87"/>
      <c r="K1099" s="87"/>
      <c r="L1099" s="87"/>
      <c r="M1099" s="87"/>
      <c r="N1099" s="87"/>
      <c r="O1099" s="87"/>
      <c r="P1099" s="87"/>
      <c r="Q1099" s="87"/>
      <c r="R1099" s="87"/>
      <c r="S1099" s="87"/>
      <c r="T1099" s="87"/>
      <c r="U1099" s="87"/>
      <c r="V1099" s="87"/>
      <c r="W1099" s="87"/>
      <c r="X1099" s="87"/>
      <c r="Y1099" s="87"/>
      <c r="Z1099" s="87"/>
      <c r="AA1099" s="87"/>
      <c r="AB1099" s="87"/>
      <c r="AC1099" s="87"/>
      <c r="AD1099" s="87"/>
      <c r="AE1099" s="87"/>
      <c r="AF1099" s="87"/>
      <c r="AG1099" s="87"/>
      <c r="AH1099" s="87"/>
      <c r="AI1099" s="87"/>
      <c r="AJ1099" s="87"/>
    </row>
    <row r="1100" spans="1:36" x14ac:dyDescent="0.25">
      <c r="A1100" s="273"/>
      <c r="B1100" s="86"/>
      <c r="C1100" s="86"/>
      <c r="D1100" s="86"/>
      <c r="E1100" s="86"/>
      <c r="F1100" s="86"/>
      <c r="G1100" s="86"/>
      <c r="H1100" s="86"/>
      <c r="I1100" s="86"/>
      <c r="J1100" s="86"/>
      <c r="K1100" s="86"/>
      <c r="L1100" s="86"/>
      <c r="M1100" s="86"/>
      <c r="N1100" s="86"/>
      <c r="O1100" s="86"/>
      <c r="P1100" s="86"/>
      <c r="Q1100" s="86"/>
      <c r="R1100" s="86"/>
      <c r="S1100" s="86"/>
      <c r="T1100" s="86"/>
      <c r="U1100" s="86"/>
      <c r="V1100" s="86"/>
      <c r="W1100" s="86"/>
      <c r="X1100" s="86"/>
      <c r="Y1100" s="86"/>
      <c r="Z1100" s="86"/>
      <c r="AA1100" s="86"/>
      <c r="AB1100" s="86"/>
      <c r="AC1100" s="86"/>
      <c r="AD1100" s="86"/>
      <c r="AE1100" s="86"/>
      <c r="AF1100" s="86"/>
      <c r="AG1100" s="86"/>
      <c r="AH1100" s="86"/>
      <c r="AI1100" s="86"/>
      <c r="AJ1100" s="86"/>
    </row>
    <row r="1101" spans="1:36" x14ac:dyDescent="0.25">
      <c r="A1101" s="274"/>
      <c r="B1101" s="87"/>
      <c r="C1101" s="87"/>
      <c r="D1101" s="87"/>
      <c r="E1101" s="87"/>
      <c r="F1101" s="87"/>
      <c r="G1101" s="87"/>
      <c r="H1101" s="87"/>
      <c r="I1101" s="87"/>
      <c r="J1101" s="87"/>
      <c r="K1101" s="87"/>
      <c r="L1101" s="87"/>
      <c r="M1101" s="87"/>
      <c r="N1101" s="87"/>
      <c r="O1101" s="87"/>
      <c r="P1101" s="87"/>
      <c r="Q1101" s="87"/>
      <c r="R1101" s="87"/>
      <c r="S1101" s="87"/>
      <c r="T1101" s="87"/>
      <c r="U1101" s="87"/>
      <c r="V1101" s="87"/>
      <c r="W1101" s="87"/>
      <c r="X1101" s="87"/>
      <c r="Y1101" s="87"/>
      <c r="Z1101" s="87"/>
      <c r="AA1101" s="87"/>
      <c r="AB1101" s="87"/>
      <c r="AC1101" s="87"/>
      <c r="AD1101" s="87"/>
      <c r="AE1101" s="87"/>
      <c r="AF1101" s="87"/>
      <c r="AG1101" s="87"/>
      <c r="AH1101" s="87"/>
      <c r="AI1101" s="87"/>
      <c r="AJ1101" s="87"/>
    </row>
    <row r="1102" spans="1:36" x14ac:dyDescent="0.25">
      <c r="A1102" s="273"/>
      <c r="B1102" s="86"/>
      <c r="C1102" s="86"/>
      <c r="D1102" s="86"/>
      <c r="E1102" s="86"/>
      <c r="F1102" s="86"/>
      <c r="G1102" s="86"/>
      <c r="H1102" s="86"/>
      <c r="I1102" s="86"/>
      <c r="J1102" s="86"/>
      <c r="K1102" s="86"/>
      <c r="L1102" s="86"/>
      <c r="M1102" s="86"/>
      <c r="N1102" s="86"/>
      <c r="O1102" s="86"/>
      <c r="P1102" s="86"/>
      <c r="Q1102" s="86"/>
      <c r="R1102" s="86"/>
      <c r="S1102" s="86"/>
      <c r="T1102" s="86"/>
      <c r="U1102" s="86"/>
      <c r="V1102" s="86"/>
      <c r="W1102" s="86"/>
      <c r="X1102" s="86"/>
      <c r="Y1102" s="86"/>
      <c r="Z1102" s="86"/>
      <c r="AA1102" s="86"/>
      <c r="AB1102" s="86"/>
      <c r="AC1102" s="86"/>
      <c r="AD1102" s="86"/>
      <c r="AE1102" s="86"/>
      <c r="AF1102" s="86"/>
      <c r="AG1102" s="86"/>
      <c r="AH1102" s="86"/>
      <c r="AI1102" s="86"/>
      <c r="AJ1102" s="86"/>
    </row>
    <row r="1103" spans="1:36" x14ac:dyDescent="0.25">
      <c r="A1103" s="274"/>
      <c r="B1103" s="87"/>
      <c r="C1103" s="87"/>
      <c r="D1103" s="87"/>
      <c r="E1103" s="87"/>
      <c r="F1103" s="87"/>
      <c r="G1103" s="87"/>
      <c r="H1103" s="87"/>
      <c r="I1103" s="87"/>
      <c r="J1103" s="87"/>
      <c r="K1103" s="87"/>
      <c r="L1103" s="87"/>
      <c r="M1103" s="87"/>
      <c r="N1103" s="87"/>
      <c r="O1103" s="87"/>
      <c r="P1103" s="87"/>
      <c r="Q1103" s="87"/>
      <c r="R1103" s="87"/>
      <c r="S1103" s="87"/>
      <c r="T1103" s="87"/>
      <c r="U1103" s="87"/>
      <c r="V1103" s="87"/>
      <c r="W1103" s="87"/>
      <c r="X1103" s="87"/>
      <c r="Y1103" s="87"/>
      <c r="Z1103" s="87"/>
      <c r="AA1103" s="87"/>
      <c r="AB1103" s="87"/>
      <c r="AC1103" s="87"/>
      <c r="AD1103" s="87"/>
      <c r="AE1103" s="87"/>
      <c r="AF1103" s="87"/>
      <c r="AG1103" s="87"/>
      <c r="AH1103" s="87"/>
      <c r="AI1103" s="87"/>
      <c r="AJ1103" s="87"/>
    </row>
    <row r="1104" spans="1:36" x14ac:dyDescent="0.25">
      <c r="A1104" s="273"/>
      <c r="B1104" s="86"/>
      <c r="C1104" s="86"/>
      <c r="D1104" s="86"/>
      <c r="E1104" s="86"/>
      <c r="F1104" s="86"/>
      <c r="G1104" s="86"/>
      <c r="H1104" s="86"/>
      <c r="I1104" s="86"/>
      <c r="J1104" s="86"/>
      <c r="K1104" s="86"/>
      <c r="L1104" s="86"/>
      <c r="M1104" s="86"/>
      <c r="N1104" s="86"/>
      <c r="O1104" s="86"/>
      <c r="P1104" s="86"/>
      <c r="Q1104" s="86"/>
      <c r="R1104" s="86"/>
      <c r="S1104" s="86"/>
      <c r="T1104" s="86"/>
      <c r="U1104" s="86"/>
      <c r="V1104" s="86"/>
      <c r="W1104" s="86"/>
      <c r="X1104" s="86"/>
      <c r="Y1104" s="86"/>
      <c r="Z1104" s="86"/>
      <c r="AA1104" s="86"/>
      <c r="AB1104" s="86"/>
      <c r="AC1104" s="86"/>
      <c r="AD1104" s="86"/>
      <c r="AE1104" s="86"/>
      <c r="AF1104" s="86"/>
      <c r="AG1104" s="86"/>
      <c r="AH1104" s="86"/>
      <c r="AI1104" s="86"/>
      <c r="AJ1104" s="86"/>
    </row>
    <row r="1105" spans="1:36" x14ac:dyDescent="0.25">
      <c r="A1105" s="274"/>
      <c r="B1105" s="87"/>
      <c r="C1105" s="87"/>
      <c r="D1105" s="87"/>
      <c r="E1105" s="87"/>
      <c r="F1105" s="87"/>
      <c r="G1105" s="87"/>
      <c r="H1105" s="87"/>
      <c r="I1105" s="87"/>
      <c r="J1105" s="87"/>
      <c r="K1105" s="87"/>
      <c r="L1105" s="87"/>
      <c r="M1105" s="87"/>
      <c r="N1105" s="87"/>
      <c r="O1105" s="87"/>
      <c r="P1105" s="87"/>
      <c r="Q1105" s="87"/>
      <c r="R1105" s="87"/>
      <c r="S1105" s="87"/>
      <c r="T1105" s="87"/>
      <c r="U1105" s="87"/>
      <c r="V1105" s="87"/>
      <c r="W1105" s="87"/>
      <c r="X1105" s="87"/>
      <c r="Y1105" s="87"/>
      <c r="Z1105" s="87"/>
      <c r="AA1105" s="87"/>
      <c r="AB1105" s="87"/>
      <c r="AC1105" s="87"/>
      <c r="AD1105" s="87"/>
      <c r="AE1105" s="87"/>
      <c r="AF1105" s="87"/>
      <c r="AG1105" s="87"/>
      <c r="AH1105" s="87"/>
      <c r="AI1105" s="87"/>
      <c r="AJ1105" s="87"/>
    </row>
    <row r="1106" spans="1:36" x14ac:dyDescent="0.25">
      <c r="A1106" s="273"/>
      <c r="B1106" s="86"/>
      <c r="C1106" s="86"/>
      <c r="D1106" s="86"/>
      <c r="E1106" s="86"/>
      <c r="F1106" s="86"/>
      <c r="G1106" s="86"/>
      <c r="H1106" s="86"/>
      <c r="I1106" s="86"/>
      <c r="J1106" s="86"/>
      <c r="K1106" s="86"/>
      <c r="L1106" s="86"/>
      <c r="M1106" s="86"/>
      <c r="N1106" s="86"/>
      <c r="O1106" s="86"/>
      <c r="P1106" s="86"/>
      <c r="Q1106" s="86"/>
      <c r="R1106" s="86"/>
      <c r="S1106" s="86"/>
      <c r="T1106" s="86"/>
      <c r="U1106" s="86"/>
      <c r="V1106" s="86"/>
      <c r="W1106" s="86"/>
      <c r="X1106" s="86"/>
      <c r="Y1106" s="86"/>
      <c r="Z1106" s="86"/>
      <c r="AA1106" s="86"/>
      <c r="AB1106" s="86"/>
      <c r="AC1106" s="86"/>
      <c r="AD1106" s="86"/>
      <c r="AE1106" s="86"/>
      <c r="AF1106" s="86"/>
      <c r="AG1106" s="86"/>
      <c r="AH1106" s="86"/>
      <c r="AI1106" s="86"/>
      <c r="AJ1106" s="86"/>
    </row>
    <row r="1107" spans="1:36" x14ac:dyDescent="0.25">
      <c r="A1107" s="274"/>
      <c r="B1107" s="87"/>
      <c r="C1107" s="87"/>
      <c r="D1107" s="87"/>
      <c r="E1107" s="87"/>
      <c r="F1107" s="87"/>
      <c r="G1107" s="87"/>
      <c r="H1107" s="87"/>
      <c r="I1107" s="87"/>
      <c r="J1107" s="87"/>
      <c r="K1107" s="87"/>
      <c r="L1107" s="87"/>
      <c r="M1107" s="87"/>
      <c r="N1107" s="87"/>
      <c r="O1107" s="87"/>
      <c r="P1107" s="87"/>
      <c r="Q1107" s="87"/>
      <c r="R1107" s="87"/>
      <c r="S1107" s="87"/>
      <c r="T1107" s="87"/>
      <c r="U1107" s="87"/>
      <c r="V1107" s="87"/>
      <c r="W1107" s="87"/>
      <c r="X1107" s="87"/>
      <c r="Y1107" s="87"/>
      <c r="Z1107" s="87"/>
      <c r="AA1107" s="87"/>
      <c r="AB1107" s="87"/>
      <c r="AC1107" s="87"/>
      <c r="AD1107" s="87"/>
      <c r="AE1107" s="87"/>
      <c r="AF1107" s="87"/>
      <c r="AG1107" s="87"/>
      <c r="AH1107" s="87"/>
      <c r="AI1107" s="87"/>
      <c r="AJ1107" s="87"/>
    </row>
    <row r="1108" spans="1:36" x14ac:dyDescent="0.25">
      <c r="A1108" s="273"/>
      <c r="B1108" s="86"/>
      <c r="C1108" s="86"/>
      <c r="D1108" s="86"/>
      <c r="E1108" s="86"/>
      <c r="F1108" s="86"/>
      <c r="G1108" s="86"/>
      <c r="H1108" s="86"/>
      <c r="I1108" s="86"/>
      <c r="J1108" s="86"/>
      <c r="K1108" s="86"/>
      <c r="L1108" s="86"/>
      <c r="M1108" s="86"/>
      <c r="N1108" s="86"/>
      <c r="O1108" s="86"/>
      <c r="P1108" s="86"/>
      <c r="Q1108" s="86"/>
      <c r="R1108" s="86"/>
      <c r="S1108" s="86"/>
      <c r="T1108" s="86"/>
      <c r="U1108" s="86"/>
      <c r="V1108" s="86"/>
      <c r="W1108" s="86"/>
      <c r="X1108" s="86"/>
      <c r="Y1108" s="86"/>
      <c r="Z1108" s="86"/>
      <c r="AA1108" s="86"/>
      <c r="AB1108" s="86"/>
      <c r="AC1108" s="86"/>
      <c r="AD1108" s="86"/>
      <c r="AE1108" s="86"/>
      <c r="AF1108" s="86"/>
      <c r="AG1108" s="86"/>
      <c r="AH1108" s="86"/>
      <c r="AI1108" s="86"/>
      <c r="AJ1108" s="86"/>
    </row>
    <row r="1109" spans="1:36" x14ac:dyDescent="0.25">
      <c r="A1109" s="274"/>
      <c r="B1109" s="87"/>
      <c r="C1109" s="87"/>
      <c r="D1109" s="87"/>
      <c r="E1109" s="87"/>
      <c r="F1109" s="87"/>
      <c r="G1109" s="87"/>
      <c r="H1109" s="87"/>
      <c r="I1109" s="87"/>
      <c r="J1109" s="87"/>
      <c r="K1109" s="87"/>
      <c r="L1109" s="87"/>
      <c r="M1109" s="87"/>
      <c r="N1109" s="87"/>
      <c r="O1109" s="87"/>
      <c r="P1109" s="87"/>
      <c r="Q1109" s="87"/>
      <c r="R1109" s="87"/>
      <c r="S1109" s="87"/>
      <c r="T1109" s="87"/>
      <c r="U1109" s="87"/>
      <c r="V1109" s="87"/>
      <c r="W1109" s="87"/>
      <c r="X1109" s="87"/>
      <c r="Y1109" s="87"/>
      <c r="Z1109" s="87"/>
      <c r="AA1109" s="87"/>
      <c r="AB1109" s="87"/>
      <c r="AC1109" s="87"/>
      <c r="AD1109" s="87"/>
      <c r="AE1109" s="87"/>
      <c r="AF1109" s="87"/>
      <c r="AG1109" s="87"/>
      <c r="AH1109" s="87"/>
      <c r="AI1109" s="87"/>
      <c r="AJ1109" s="87"/>
    </row>
    <row r="1110" spans="1:36" x14ac:dyDescent="0.25">
      <c r="A1110" s="273"/>
      <c r="B1110" s="86"/>
      <c r="C1110" s="86"/>
      <c r="D1110" s="86"/>
      <c r="E1110" s="86"/>
      <c r="F1110" s="86"/>
      <c r="G1110" s="86"/>
      <c r="H1110" s="86"/>
      <c r="I1110" s="86"/>
      <c r="J1110" s="86"/>
      <c r="K1110" s="86"/>
      <c r="L1110" s="86"/>
      <c r="M1110" s="86"/>
      <c r="N1110" s="86"/>
      <c r="O1110" s="86"/>
      <c r="P1110" s="86"/>
      <c r="Q1110" s="86"/>
      <c r="R1110" s="86"/>
      <c r="S1110" s="86"/>
      <c r="T1110" s="86"/>
      <c r="U1110" s="86"/>
      <c r="V1110" s="86"/>
      <c r="W1110" s="86"/>
      <c r="X1110" s="86"/>
      <c r="Y1110" s="86"/>
      <c r="Z1110" s="86"/>
      <c r="AA1110" s="86"/>
      <c r="AB1110" s="86"/>
      <c r="AC1110" s="86"/>
      <c r="AD1110" s="86"/>
      <c r="AE1110" s="86"/>
      <c r="AF1110" s="86"/>
      <c r="AG1110" s="86"/>
      <c r="AH1110" s="86"/>
      <c r="AI1110" s="86"/>
      <c r="AJ1110" s="86"/>
    </row>
    <row r="1111" spans="1:36" x14ac:dyDescent="0.25">
      <c r="A1111" s="274"/>
      <c r="B1111" s="87"/>
      <c r="C1111" s="87"/>
      <c r="D1111" s="87"/>
      <c r="E1111" s="87"/>
      <c r="F1111" s="87"/>
      <c r="G1111" s="87"/>
      <c r="H1111" s="87"/>
      <c r="I1111" s="87"/>
      <c r="J1111" s="87"/>
      <c r="K1111" s="87"/>
      <c r="L1111" s="87"/>
      <c r="M1111" s="87"/>
      <c r="N1111" s="87"/>
      <c r="O1111" s="87"/>
      <c r="P1111" s="87"/>
      <c r="Q1111" s="87"/>
      <c r="R1111" s="87"/>
      <c r="S1111" s="87"/>
      <c r="T1111" s="87"/>
      <c r="U1111" s="87"/>
      <c r="V1111" s="87"/>
      <c r="W1111" s="87"/>
      <c r="X1111" s="87"/>
      <c r="Y1111" s="87"/>
      <c r="Z1111" s="87"/>
      <c r="AA1111" s="87"/>
      <c r="AB1111" s="87"/>
      <c r="AC1111" s="87"/>
      <c r="AD1111" s="87"/>
      <c r="AE1111" s="87"/>
      <c r="AF1111" s="87"/>
      <c r="AG1111" s="87"/>
      <c r="AH1111" s="87"/>
      <c r="AI1111" s="87"/>
      <c r="AJ1111" s="87"/>
    </row>
    <row r="1112" spans="1:36" x14ac:dyDescent="0.25">
      <c r="A1112" s="273"/>
      <c r="B1112" s="86"/>
      <c r="C1112" s="86"/>
      <c r="D1112" s="86"/>
      <c r="E1112" s="86"/>
      <c r="F1112" s="86"/>
      <c r="G1112" s="86"/>
      <c r="H1112" s="86"/>
      <c r="I1112" s="86"/>
      <c r="J1112" s="86"/>
      <c r="K1112" s="86"/>
      <c r="L1112" s="86"/>
      <c r="M1112" s="86"/>
      <c r="N1112" s="86"/>
      <c r="O1112" s="86"/>
      <c r="P1112" s="86"/>
      <c r="Q1112" s="86"/>
      <c r="R1112" s="86"/>
      <c r="S1112" s="86"/>
      <c r="T1112" s="86"/>
      <c r="U1112" s="86"/>
      <c r="V1112" s="86"/>
      <c r="W1112" s="86"/>
      <c r="X1112" s="86"/>
      <c r="Y1112" s="86"/>
      <c r="Z1112" s="86"/>
      <c r="AA1112" s="86"/>
      <c r="AB1112" s="86"/>
      <c r="AC1112" s="86"/>
      <c r="AD1112" s="86"/>
      <c r="AE1112" s="86"/>
      <c r="AF1112" s="86"/>
      <c r="AG1112" s="86"/>
      <c r="AH1112" s="86"/>
      <c r="AI1112" s="86"/>
      <c r="AJ1112" s="86"/>
    </row>
    <row r="1113" spans="1:36" x14ac:dyDescent="0.25">
      <c r="A1113" s="274"/>
      <c r="B1113" s="87"/>
      <c r="C1113" s="87"/>
      <c r="D1113" s="87"/>
      <c r="E1113" s="87"/>
      <c r="F1113" s="87"/>
      <c r="G1113" s="87"/>
      <c r="H1113" s="87"/>
      <c r="I1113" s="87"/>
      <c r="J1113" s="87"/>
      <c r="K1113" s="87"/>
      <c r="L1113" s="87"/>
      <c r="M1113" s="87"/>
      <c r="N1113" s="87"/>
      <c r="O1113" s="87"/>
      <c r="P1113" s="87"/>
      <c r="Q1113" s="87"/>
      <c r="R1113" s="87"/>
      <c r="S1113" s="87"/>
      <c r="T1113" s="87"/>
      <c r="U1113" s="87"/>
      <c r="V1113" s="87"/>
      <c r="W1113" s="87"/>
      <c r="X1113" s="87"/>
      <c r="Y1113" s="87"/>
      <c r="Z1113" s="87"/>
      <c r="AA1113" s="87"/>
      <c r="AB1113" s="87"/>
      <c r="AC1113" s="87"/>
      <c r="AD1113" s="87"/>
      <c r="AE1113" s="87"/>
      <c r="AF1113" s="87"/>
      <c r="AG1113" s="87"/>
      <c r="AH1113" s="87"/>
      <c r="AI1113" s="87"/>
      <c r="AJ1113" s="87"/>
    </row>
    <row r="1114" spans="1:36" x14ac:dyDescent="0.25">
      <c r="A1114" s="273"/>
      <c r="B1114" s="86"/>
      <c r="C1114" s="86"/>
      <c r="D1114" s="86"/>
      <c r="E1114" s="86"/>
      <c r="F1114" s="86"/>
      <c r="G1114" s="86"/>
      <c r="H1114" s="86"/>
      <c r="I1114" s="86"/>
      <c r="J1114" s="86"/>
      <c r="K1114" s="86"/>
      <c r="L1114" s="86"/>
      <c r="M1114" s="86"/>
      <c r="N1114" s="86"/>
      <c r="O1114" s="86"/>
      <c r="P1114" s="86"/>
      <c r="Q1114" s="86"/>
      <c r="R1114" s="86"/>
      <c r="S1114" s="86"/>
      <c r="T1114" s="86"/>
      <c r="U1114" s="86"/>
      <c r="V1114" s="86"/>
      <c r="W1114" s="86"/>
      <c r="X1114" s="86"/>
      <c r="Y1114" s="86"/>
      <c r="Z1114" s="86"/>
      <c r="AA1114" s="86"/>
      <c r="AB1114" s="86"/>
      <c r="AC1114" s="86"/>
      <c r="AD1114" s="86"/>
      <c r="AE1114" s="86"/>
      <c r="AF1114" s="86"/>
      <c r="AG1114" s="86"/>
      <c r="AH1114" s="86"/>
      <c r="AI1114" s="86"/>
      <c r="AJ1114" s="86"/>
    </row>
    <row r="1115" spans="1:36" x14ac:dyDescent="0.25">
      <c r="A1115" s="274"/>
      <c r="B1115" s="87"/>
      <c r="C1115" s="87"/>
      <c r="D1115" s="87"/>
      <c r="E1115" s="87"/>
      <c r="F1115" s="87"/>
      <c r="G1115" s="87"/>
      <c r="H1115" s="87"/>
      <c r="I1115" s="87"/>
      <c r="J1115" s="87"/>
      <c r="K1115" s="87"/>
      <c r="L1115" s="87"/>
      <c r="M1115" s="87"/>
      <c r="N1115" s="87"/>
      <c r="O1115" s="87"/>
      <c r="P1115" s="87"/>
      <c r="Q1115" s="87"/>
      <c r="R1115" s="87"/>
      <c r="S1115" s="87"/>
      <c r="T1115" s="87"/>
      <c r="U1115" s="87"/>
      <c r="V1115" s="87"/>
      <c r="W1115" s="87"/>
      <c r="X1115" s="87"/>
      <c r="Y1115" s="87"/>
      <c r="Z1115" s="87"/>
      <c r="AA1115" s="87"/>
      <c r="AB1115" s="87"/>
      <c r="AC1115" s="87"/>
      <c r="AD1115" s="87"/>
      <c r="AE1115" s="87"/>
      <c r="AF1115" s="87"/>
      <c r="AG1115" s="87"/>
      <c r="AH1115" s="87"/>
      <c r="AI1115" s="87"/>
      <c r="AJ1115" s="87"/>
    </row>
    <row r="1116" spans="1:36" x14ac:dyDescent="0.25">
      <c r="A1116" s="273"/>
      <c r="B1116" s="86"/>
      <c r="C1116" s="86"/>
      <c r="D1116" s="86"/>
      <c r="E1116" s="86"/>
      <c r="F1116" s="86"/>
      <c r="G1116" s="86"/>
      <c r="H1116" s="86"/>
      <c r="I1116" s="86"/>
      <c r="J1116" s="86"/>
      <c r="K1116" s="86"/>
      <c r="L1116" s="86"/>
      <c r="M1116" s="86"/>
      <c r="N1116" s="86"/>
      <c r="O1116" s="86"/>
      <c r="P1116" s="86"/>
      <c r="Q1116" s="86"/>
      <c r="R1116" s="86"/>
      <c r="S1116" s="86"/>
      <c r="T1116" s="86"/>
      <c r="U1116" s="86"/>
      <c r="V1116" s="86"/>
      <c r="W1116" s="86"/>
      <c r="X1116" s="86"/>
      <c r="Y1116" s="86"/>
      <c r="Z1116" s="86"/>
      <c r="AA1116" s="86"/>
      <c r="AB1116" s="86"/>
      <c r="AC1116" s="86"/>
      <c r="AD1116" s="86"/>
      <c r="AE1116" s="86"/>
      <c r="AF1116" s="86"/>
      <c r="AG1116" s="86"/>
      <c r="AH1116" s="86"/>
      <c r="AI1116" s="86"/>
      <c r="AJ1116" s="86"/>
    </row>
    <row r="1117" spans="1:36" x14ac:dyDescent="0.25">
      <c r="A1117" s="274"/>
      <c r="B1117" s="87"/>
      <c r="C1117" s="87"/>
      <c r="D1117" s="87"/>
      <c r="E1117" s="87"/>
      <c r="F1117" s="87"/>
      <c r="G1117" s="87"/>
      <c r="H1117" s="87"/>
      <c r="I1117" s="87"/>
      <c r="J1117" s="87"/>
      <c r="K1117" s="87"/>
      <c r="L1117" s="87"/>
      <c r="M1117" s="87"/>
      <c r="N1117" s="87"/>
      <c r="O1117" s="87"/>
      <c r="P1117" s="87"/>
      <c r="Q1117" s="87"/>
      <c r="R1117" s="87"/>
      <c r="S1117" s="87"/>
      <c r="T1117" s="87"/>
      <c r="U1117" s="87"/>
      <c r="V1117" s="87"/>
      <c r="W1117" s="87"/>
      <c r="X1117" s="87"/>
      <c r="Y1117" s="87"/>
      <c r="Z1117" s="87"/>
      <c r="AA1117" s="87"/>
      <c r="AB1117" s="87"/>
      <c r="AC1117" s="87"/>
      <c r="AD1117" s="87"/>
      <c r="AE1117" s="87"/>
      <c r="AF1117" s="87"/>
      <c r="AG1117" s="87"/>
      <c r="AH1117" s="87"/>
      <c r="AI1117" s="87"/>
      <c r="AJ1117" s="87"/>
    </row>
    <row r="1118" spans="1:36" x14ac:dyDescent="0.25">
      <c r="A1118" s="273"/>
      <c r="B1118" s="86"/>
      <c r="C1118" s="86"/>
      <c r="D1118" s="86"/>
      <c r="E1118" s="86"/>
      <c r="F1118" s="86"/>
      <c r="G1118" s="86"/>
      <c r="H1118" s="86"/>
      <c r="I1118" s="86"/>
      <c r="J1118" s="86"/>
      <c r="K1118" s="86"/>
      <c r="L1118" s="86"/>
      <c r="M1118" s="86"/>
      <c r="N1118" s="86"/>
      <c r="O1118" s="86"/>
      <c r="P1118" s="86"/>
      <c r="Q1118" s="86"/>
      <c r="R1118" s="86"/>
      <c r="S1118" s="86"/>
      <c r="T1118" s="86"/>
      <c r="U1118" s="86"/>
      <c r="V1118" s="86"/>
      <c r="W1118" s="86"/>
      <c r="X1118" s="86"/>
      <c r="Y1118" s="86"/>
      <c r="Z1118" s="86"/>
      <c r="AA1118" s="86"/>
      <c r="AB1118" s="86"/>
      <c r="AC1118" s="86"/>
      <c r="AD1118" s="86"/>
      <c r="AE1118" s="86"/>
      <c r="AF1118" s="86"/>
      <c r="AG1118" s="86"/>
      <c r="AH1118" s="86"/>
      <c r="AI1118" s="86"/>
      <c r="AJ1118" s="86"/>
    </row>
    <row r="1119" spans="1:36" x14ac:dyDescent="0.25">
      <c r="A1119" s="274"/>
      <c r="B1119" s="87"/>
      <c r="C1119" s="87"/>
      <c r="D1119" s="87"/>
      <c r="E1119" s="87"/>
      <c r="F1119" s="87"/>
      <c r="G1119" s="87"/>
      <c r="H1119" s="87"/>
      <c r="I1119" s="87"/>
      <c r="J1119" s="87"/>
      <c r="K1119" s="87"/>
      <c r="L1119" s="87"/>
      <c r="M1119" s="87"/>
      <c r="N1119" s="87"/>
      <c r="O1119" s="87"/>
      <c r="P1119" s="87"/>
      <c r="Q1119" s="87"/>
      <c r="R1119" s="87"/>
      <c r="S1119" s="87"/>
      <c r="T1119" s="87"/>
      <c r="U1119" s="87"/>
      <c r="V1119" s="87"/>
      <c r="W1119" s="87"/>
      <c r="X1119" s="87"/>
      <c r="Y1119" s="87"/>
      <c r="Z1119" s="87"/>
      <c r="AA1119" s="87"/>
      <c r="AB1119" s="87"/>
      <c r="AC1119" s="87"/>
      <c r="AD1119" s="87"/>
      <c r="AE1119" s="87"/>
      <c r="AF1119" s="87"/>
      <c r="AG1119" s="87"/>
      <c r="AH1119" s="87"/>
      <c r="AI1119" s="87"/>
      <c r="AJ1119" s="87"/>
    </row>
    <row r="1120" spans="1:36" x14ac:dyDescent="0.25">
      <c r="A1120" s="273"/>
      <c r="B1120" s="86"/>
      <c r="C1120" s="86"/>
      <c r="D1120" s="86"/>
      <c r="E1120" s="86"/>
      <c r="F1120" s="86"/>
      <c r="G1120" s="86"/>
      <c r="H1120" s="86"/>
      <c r="I1120" s="86"/>
      <c r="J1120" s="86"/>
      <c r="K1120" s="86"/>
      <c r="L1120" s="86"/>
      <c r="M1120" s="86"/>
      <c r="N1120" s="86"/>
      <c r="O1120" s="86"/>
      <c r="P1120" s="86"/>
      <c r="Q1120" s="86"/>
      <c r="R1120" s="86"/>
      <c r="S1120" s="86"/>
      <c r="T1120" s="86"/>
      <c r="U1120" s="86"/>
      <c r="V1120" s="86"/>
      <c r="W1120" s="86"/>
      <c r="X1120" s="86"/>
      <c r="Y1120" s="86"/>
      <c r="Z1120" s="86"/>
      <c r="AA1120" s="86"/>
      <c r="AB1120" s="86"/>
      <c r="AC1120" s="86"/>
      <c r="AD1120" s="86"/>
      <c r="AE1120" s="86"/>
      <c r="AF1120" s="86"/>
      <c r="AG1120" s="86"/>
      <c r="AH1120" s="86"/>
      <c r="AI1120" s="86"/>
      <c r="AJ1120" s="86"/>
    </row>
    <row r="1121" spans="1:36" x14ac:dyDescent="0.25">
      <c r="A1121" s="274"/>
      <c r="B1121" s="87"/>
      <c r="C1121" s="87"/>
      <c r="D1121" s="87"/>
      <c r="E1121" s="87"/>
      <c r="F1121" s="87"/>
      <c r="G1121" s="87"/>
      <c r="H1121" s="87"/>
      <c r="I1121" s="87"/>
      <c r="J1121" s="87"/>
      <c r="K1121" s="87"/>
      <c r="L1121" s="87"/>
      <c r="M1121" s="87"/>
      <c r="N1121" s="87"/>
      <c r="O1121" s="87"/>
      <c r="P1121" s="87"/>
      <c r="Q1121" s="87"/>
      <c r="R1121" s="87"/>
      <c r="S1121" s="87"/>
      <c r="T1121" s="87"/>
      <c r="U1121" s="87"/>
      <c r="V1121" s="87"/>
      <c r="W1121" s="87"/>
      <c r="X1121" s="87"/>
      <c r="Y1121" s="87"/>
      <c r="Z1121" s="87"/>
      <c r="AA1121" s="87"/>
      <c r="AB1121" s="87"/>
      <c r="AC1121" s="87"/>
      <c r="AD1121" s="87"/>
      <c r="AE1121" s="87"/>
      <c r="AF1121" s="87"/>
      <c r="AG1121" s="87"/>
      <c r="AH1121" s="87"/>
      <c r="AI1121" s="87"/>
      <c r="AJ1121" s="87"/>
    </row>
    <row r="1122" spans="1:36" x14ac:dyDescent="0.25">
      <c r="A1122" s="273"/>
      <c r="B1122" s="86"/>
      <c r="C1122" s="86"/>
      <c r="D1122" s="86"/>
      <c r="E1122" s="86"/>
      <c r="F1122" s="86"/>
      <c r="G1122" s="86"/>
      <c r="H1122" s="86"/>
      <c r="I1122" s="86"/>
      <c r="J1122" s="86"/>
      <c r="K1122" s="86"/>
      <c r="L1122" s="86"/>
      <c r="M1122" s="86"/>
      <c r="N1122" s="86"/>
      <c r="O1122" s="86"/>
      <c r="P1122" s="86"/>
      <c r="Q1122" s="86"/>
      <c r="R1122" s="86"/>
      <c r="S1122" s="86"/>
      <c r="T1122" s="86"/>
      <c r="U1122" s="86"/>
      <c r="V1122" s="86"/>
      <c r="W1122" s="86"/>
      <c r="X1122" s="86"/>
      <c r="Y1122" s="86"/>
      <c r="Z1122" s="86"/>
      <c r="AA1122" s="86"/>
      <c r="AB1122" s="86"/>
      <c r="AC1122" s="86"/>
      <c r="AD1122" s="86"/>
      <c r="AE1122" s="86"/>
      <c r="AF1122" s="86"/>
      <c r="AG1122" s="86"/>
      <c r="AH1122" s="86"/>
      <c r="AI1122" s="86"/>
      <c r="AJ1122" s="86"/>
    </row>
    <row r="1123" spans="1:36" x14ac:dyDescent="0.25">
      <c r="A1123" s="274"/>
      <c r="B1123" s="87"/>
      <c r="C1123" s="87"/>
      <c r="D1123" s="87"/>
      <c r="E1123" s="87"/>
      <c r="F1123" s="87"/>
      <c r="G1123" s="87"/>
      <c r="H1123" s="87"/>
      <c r="I1123" s="87"/>
      <c r="J1123" s="87"/>
      <c r="K1123" s="87"/>
      <c r="L1123" s="87"/>
      <c r="M1123" s="87"/>
      <c r="N1123" s="87"/>
      <c r="O1123" s="87"/>
      <c r="P1123" s="87"/>
      <c r="Q1123" s="87"/>
      <c r="R1123" s="87"/>
      <c r="S1123" s="87"/>
      <c r="T1123" s="87"/>
      <c r="U1123" s="87"/>
      <c r="V1123" s="87"/>
      <c r="W1123" s="87"/>
      <c r="X1123" s="87"/>
      <c r="Y1123" s="87"/>
      <c r="Z1123" s="87"/>
      <c r="AA1123" s="87"/>
      <c r="AB1123" s="87"/>
      <c r="AC1123" s="87"/>
      <c r="AD1123" s="87"/>
      <c r="AE1123" s="87"/>
      <c r="AF1123" s="87"/>
      <c r="AG1123" s="87"/>
      <c r="AH1123" s="87"/>
      <c r="AI1123" s="87"/>
      <c r="AJ1123" s="87"/>
    </row>
    <row r="1124" spans="1:36" x14ac:dyDescent="0.25">
      <c r="A1124" s="273"/>
      <c r="B1124" s="86"/>
      <c r="C1124" s="86"/>
      <c r="D1124" s="86"/>
      <c r="E1124" s="86"/>
      <c r="F1124" s="86"/>
      <c r="G1124" s="86"/>
      <c r="H1124" s="86"/>
      <c r="I1124" s="86"/>
      <c r="J1124" s="86"/>
      <c r="K1124" s="86"/>
      <c r="L1124" s="86"/>
      <c r="M1124" s="86"/>
      <c r="N1124" s="86"/>
      <c r="O1124" s="86"/>
      <c r="P1124" s="86"/>
      <c r="Q1124" s="86"/>
      <c r="R1124" s="86"/>
      <c r="S1124" s="86"/>
      <c r="T1124" s="86"/>
      <c r="U1124" s="86"/>
      <c r="V1124" s="86"/>
      <c r="W1124" s="86"/>
      <c r="X1124" s="86"/>
      <c r="Y1124" s="86"/>
      <c r="Z1124" s="86"/>
      <c r="AA1124" s="86"/>
      <c r="AB1124" s="86"/>
      <c r="AC1124" s="86"/>
      <c r="AD1124" s="86"/>
      <c r="AE1124" s="86"/>
      <c r="AF1124" s="86"/>
      <c r="AG1124" s="86"/>
      <c r="AH1124" s="86"/>
      <c r="AI1124" s="86"/>
      <c r="AJ1124" s="86"/>
    </row>
    <row r="1125" spans="1:36" x14ac:dyDescent="0.25">
      <c r="A1125" s="274"/>
      <c r="B1125" s="87"/>
      <c r="C1125" s="87"/>
      <c r="D1125" s="87"/>
      <c r="E1125" s="87"/>
      <c r="F1125" s="87"/>
      <c r="G1125" s="87"/>
      <c r="H1125" s="87"/>
      <c r="I1125" s="87"/>
      <c r="J1125" s="87"/>
      <c r="K1125" s="87"/>
      <c r="L1125" s="87"/>
      <c r="M1125" s="87"/>
      <c r="N1125" s="87"/>
      <c r="O1125" s="87"/>
      <c r="P1125" s="87"/>
      <c r="Q1125" s="87"/>
      <c r="R1125" s="87"/>
      <c r="S1125" s="87"/>
      <c r="T1125" s="87"/>
      <c r="U1125" s="87"/>
      <c r="V1125" s="87"/>
      <c r="W1125" s="87"/>
      <c r="X1125" s="87"/>
      <c r="Y1125" s="87"/>
      <c r="Z1125" s="87"/>
      <c r="AA1125" s="87"/>
      <c r="AB1125" s="87"/>
      <c r="AC1125" s="87"/>
      <c r="AD1125" s="87"/>
      <c r="AE1125" s="87"/>
      <c r="AF1125" s="87"/>
      <c r="AG1125" s="87"/>
      <c r="AH1125" s="87"/>
      <c r="AI1125" s="87"/>
      <c r="AJ1125" s="87"/>
    </row>
    <row r="1126" spans="1:36" x14ac:dyDescent="0.25">
      <c r="A1126" s="273"/>
      <c r="B1126" s="86"/>
      <c r="C1126" s="86"/>
      <c r="D1126" s="86"/>
      <c r="E1126" s="86"/>
      <c r="F1126" s="86"/>
      <c r="G1126" s="86"/>
      <c r="H1126" s="86"/>
      <c r="I1126" s="86"/>
      <c r="J1126" s="86"/>
      <c r="K1126" s="86"/>
      <c r="L1126" s="86"/>
      <c r="M1126" s="86"/>
      <c r="N1126" s="86"/>
      <c r="O1126" s="86"/>
      <c r="P1126" s="86"/>
      <c r="Q1126" s="86"/>
      <c r="R1126" s="86"/>
      <c r="S1126" s="86"/>
      <c r="T1126" s="86"/>
      <c r="U1126" s="86"/>
      <c r="V1126" s="86"/>
      <c r="W1126" s="86"/>
      <c r="X1126" s="86"/>
      <c r="Y1126" s="86"/>
      <c r="Z1126" s="86"/>
      <c r="AA1126" s="86"/>
      <c r="AB1126" s="86"/>
      <c r="AC1126" s="86"/>
      <c r="AD1126" s="86"/>
      <c r="AE1126" s="86"/>
      <c r="AF1126" s="86"/>
      <c r="AG1126" s="86"/>
      <c r="AH1126" s="86"/>
      <c r="AI1126" s="86"/>
      <c r="AJ1126" s="86"/>
    </row>
    <row r="1127" spans="1:36" x14ac:dyDescent="0.25">
      <c r="A1127" s="274"/>
      <c r="B1127" s="87"/>
      <c r="C1127" s="87"/>
      <c r="D1127" s="87"/>
      <c r="E1127" s="87"/>
      <c r="F1127" s="87"/>
      <c r="G1127" s="87"/>
      <c r="H1127" s="87"/>
      <c r="I1127" s="87"/>
      <c r="J1127" s="87"/>
      <c r="K1127" s="87"/>
      <c r="L1127" s="87"/>
      <c r="M1127" s="87"/>
      <c r="N1127" s="87"/>
      <c r="O1127" s="87"/>
      <c r="P1127" s="87"/>
      <c r="Q1127" s="87"/>
      <c r="R1127" s="87"/>
      <c r="S1127" s="87"/>
      <c r="T1127" s="87"/>
      <c r="U1127" s="87"/>
      <c r="V1127" s="87"/>
      <c r="W1127" s="87"/>
      <c r="X1127" s="87"/>
      <c r="Y1127" s="87"/>
      <c r="Z1127" s="87"/>
      <c r="AA1127" s="87"/>
      <c r="AB1127" s="87"/>
      <c r="AC1127" s="87"/>
      <c r="AD1127" s="87"/>
      <c r="AE1127" s="87"/>
      <c r="AF1127" s="87"/>
      <c r="AG1127" s="87"/>
      <c r="AH1127" s="87"/>
      <c r="AI1127" s="87"/>
      <c r="AJ1127" s="87"/>
    </row>
    <row r="1128" spans="1:36" x14ac:dyDescent="0.25">
      <c r="A1128" s="273"/>
      <c r="B1128" s="86"/>
      <c r="C1128" s="86"/>
      <c r="D1128" s="86"/>
      <c r="E1128" s="86"/>
      <c r="F1128" s="86"/>
      <c r="G1128" s="86"/>
      <c r="H1128" s="86"/>
      <c r="I1128" s="86"/>
      <c r="J1128" s="86"/>
      <c r="K1128" s="86"/>
      <c r="L1128" s="86"/>
      <c r="M1128" s="86"/>
      <c r="N1128" s="86"/>
      <c r="O1128" s="86"/>
      <c r="P1128" s="86"/>
      <c r="Q1128" s="86"/>
      <c r="R1128" s="86"/>
      <c r="S1128" s="86"/>
      <c r="T1128" s="86"/>
      <c r="U1128" s="86"/>
      <c r="V1128" s="86"/>
      <c r="W1128" s="86"/>
      <c r="X1128" s="86"/>
      <c r="Y1128" s="86"/>
      <c r="Z1128" s="86"/>
      <c r="AA1128" s="86"/>
      <c r="AB1128" s="86"/>
      <c r="AC1128" s="86"/>
      <c r="AD1128" s="86"/>
      <c r="AE1128" s="86"/>
      <c r="AF1128" s="86"/>
      <c r="AG1128" s="86"/>
      <c r="AH1128" s="86"/>
      <c r="AI1128" s="86"/>
      <c r="AJ1128" s="86"/>
    </row>
    <row r="1129" spans="1:36" x14ac:dyDescent="0.25">
      <c r="A1129" s="274"/>
      <c r="B1129" s="87"/>
      <c r="C1129" s="87"/>
      <c r="D1129" s="87"/>
      <c r="E1129" s="87"/>
      <c r="F1129" s="87"/>
      <c r="G1129" s="87"/>
      <c r="H1129" s="87"/>
      <c r="I1129" s="87"/>
      <c r="J1129" s="87"/>
      <c r="K1129" s="87"/>
      <c r="L1129" s="87"/>
      <c r="M1129" s="87"/>
      <c r="N1129" s="87"/>
      <c r="O1129" s="87"/>
      <c r="P1129" s="87"/>
      <c r="Q1129" s="87"/>
      <c r="R1129" s="87"/>
      <c r="S1129" s="87"/>
      <c r="T1129" s="87"/>
      <c r="U1129" s="87"/>
      <c r="V1129" s="87"/>
      <c r="W1129" s="87"/>
      <c r="X1129" s="87"/>
      <c r="Y1129" s="87"/>
      <c r="Z1129" s="87"/>
      <c r="AA1129" s="87"/>
      <c r="AB1129" s="87"/>
      <c r="AC1129" s="87"/>
      <c r="AD1129" s="87"/>
      <c r="AE1129" s="87"/>
      <c r="AF1129" s="87"/>
      <c r="AG1129" s="87"/>
      <c r="AH1129" s="87"/>
      <c r="AI1129" s="87"/>
      <c r="AJ1129" s="87"/>
    </row>
    <row r="1130" spans="1:36" x14ac:dyDescent="0.25">
      <c r="A1130" s="273"/>
      <c r="B1130" s="86"/>
      <c r="C1130" s="86"/>
      <c r="D1130" s="86"/>
      <c r="E1130" s="86"/>
      <c r="F1130" s="86"/>
      <c r="G1130" s="86"/>
      <c r="H1130" s="86"/>
      <c r="I1130" s="86"/>
      <c r="J1130" s="86"/>
      <c r="K1130" s="86"/>
      <c r="L1130" s="86"/>
      <c r="M1130" s="86"/>
      <c r="N1130" s="86"/>
      <c r="O1130" s="86"/>
      <c r="P1130" s="86"/>
      <c r="Q1130" s="86"/>
      <c r="R1130" s="86"/>
      <c r="S1130" s="86"/>
      <c r="T1130" s="86"/>
      <c r="U1130" s="86"/>
      <c r="V1130" s="86"/>
      <c r="W1130" s="86"/>
      <c r="X1130" s="86"/>
      <c r="Y1130" s="86"/>
      <c r="Z1130" s="86"/>
      <c r="AA1130" s="86"/>
      <c r="AB1130" s="86"/>
      <c r="AC1130" s="86"/>
      <c r="AD1130" s="86"/>
      <c r="AE1130" s="86"/>
      <c r="AF1130" s="86"/>
      <c r="AG1130" s="86"/>
      <c r="AH1130" s="86"/>
      <c r="AI1130" s="86"/>
      <c r="AJ1130" s="86"/>
    </row>
    <row r="1131" spans="1:36" x14ac:dyDescent="0.25">
      <c r="A1131" s="274"/>
      <c r="B1131" s="87"/>
      <c r="C1131" s="87"/>
      <c r="D1131" s="87"/>
      <c r="E1131" s="87"/>
      <c r="F1131" s="87"/>
      <c r="G1131" s="87"/>
      <c r="H1131" s="87"/>
      <c r="I1131" s="87"/>
      <c r="J1131" s="87"/>
      <c r="K1131" s="87"/>
      <c r="L1131" s="87"/>
      <c r="M1131" s="87"/>
      <c r="N1131" s="87"/>
      <c r="O1131" s="87"/>
      <c r="P1131" s="87"/>
      <c r="Q1131" s="87"/>
      <c r="R1131" s="87"/>
      <c r="S1131" s="87"/>
      <c r="T1131" s="87"/>
      <c r="U1131" s="87"/>
      <c r="V1131" s="87"/>
      <c r="W1131" s="87"/>
      <c r="X1131" s="87"/>
      <c r="Y1131" s="87"/>
      <c r="Z1131" s="87"/>
      <c r="AA1131" s="87"/>
      <c r="AB1131" s="87"/>
      <c r="AC1131" s="87"/>
      <c r="AD1131" s="87"/>
      <c r="AE1131" s="87"/>
      <c r="AF1131" s="87"/>
      <c r="AG1131" s="87"/>
      <c r="AH1131" s="87"/>
      <c r="AI1131" s="87"/>
      <c r="AJ1131" s="87"/>
    </row>
    <row r="1132" spans="1:36" x14ac:dyDescent="0.25">
      <c r="A1132" s="273"/>
      <c r="B1132" s="86"/>
      <c r="C1132" s="86"/>
      <c r="D1132" s="86"/>
      <c r="E1132" s="86"/>
      <c r="F1132" s="86"/>
      <c r="G1132" s="86"/>
      <c r="H1132" s="86"/>
      <c r="I1132" s="86"/>
      <c r="J1132" s="86"/>
      <c r="K1132" s="86"/>
      <c r="L1132" s="86"/>
      <c r="M1132" s="86"/>
      <c r="N1132" s="86"/>
      <c r="O1132" s="86"/>
      <c r="P1132" s="86"/>
      <c r="Q1132" s="86"/>
      <c r="R1132" s="86"/>
      <c r="S1132" s="86"/>
      <c r="T1132" s="86"/>
      <c r="U1132" s="86"/>
      <c r="V1132" s="86"/>
      <c r="W1132" s="86"/>
      <c r="X1132" s="86"/>
      <c r="Y1132" s="86"/>
      <c r="Z1132" s="86"/>
      <c r="AA1132" s="86"/>
      <c r="AB1132" s="86"/>
      <c r="AC1132" s="86"/>
      <c r="AD1132" s="86"/>
      <c r="AE1132" s="86"/>
      <c r="AF1132" s="86"/>
      <c r="AG1132" s="86"/>
      <c r="AH1132" s="86"/>
      <c r="AI1132" s="86"/>
      <c r="AJ1132" s="86"/>
    </row>
    <row r="1133" spans="1:36" x14ac:dyDescent="0.25">
      <c r="A1133" s="274"/>
      <c r="B1133" s="87"/>
      <c r="C1133" s="87"/>
      <c r="D1133" s="87"/>
      <c r="E1133" s="87"/>
      <c r="F1133" s="87"/>
      <c r="G1133" s="87"/>
      <c r="H1133" s="87"/>
      <c r="I1133" s="87"/>
      <c r="J1133" s="87"/>
      <c r="K1133" s="87"/>
      <c r="L1133" s="87"/>
      <c r="M1133" s="87"/>
      <c r="N1133" s="87"/>
      <c r="O1133" s="87"/>
      <c r="P1133" s="87"/>
      <c r="Q1133" s="87"/>
      <c r="R1133" s="87"/>
      <c r="S1133" s="87"/>
      <c r="T1133" s="87"/>
      <c r="U1133" s="87"/>
      <c r="V1133" s="87"/>
      <c r="W1133" s="87"/>
      <c r="X1133" s="87"/>
      <c r="Y1133" s="87"/>
      <c r="Z1133" s="87"/>
      <c r="AA1133" s="87"/>
      <c r="AB1133" s="87"/>
      <c r="AC1133" s="87"/>
      <c r="AD1133" s="87"/>
      <c r="AE1133" s="87"/>
      <c r="AF1133" s="87"/>
      <c r="AG1133" s="87"/>
      <c r="AH1133" s="87"/>
      <c r="AI1133" s="87"/>
      <c r="AJ1133" s="87"/>
    </row>
    <row r="1134" spans="1:36" x14ac:dyDescent="0.25">
      <c r="A1134" s="273"/>
      <c r="B1134" s="86"/>
      <c r="C1134" s="86"/>
      <c r="D1134" s="86"/>
      <c r="E1134" s="86"/>
      <c r="F1134" s="86"/>
      <c r="G1134" s="86"/>
      <c r="H1134" s="86"/>
      <c r="I1134" s="86"/>
      <c r="J1134" s="86"/>
      <c r="K1134" s="86"/>
      <c r="L1134" s="86"/>
      <c r="M1134" s="86"/>
      <c r="N1134" s="86"/>
      <c r="O1134" s="86"/>
      <c r="P1134" s="86"/>
      <c r="Q1134" s="86"/>
      <c r="R1134" s="86"/>
      <c r="S1134" s="86"/>
      <c r="T1134" s="86"/>
      <c r="U1134" s="86"/>
      <c r="V1134" s="86"/>
      <c r="W1134" s="86"/>
      <c r="X1134" s="86"/>
      <c r="Y1134" s="86"/>
      <c r="Z1134" s="86"/>
      <c r="AA1134" s="86"/>
      <c r="AB1134" s="86"/>
      <c r="AC1134" s="86"/>
      <c r="AD1134" s="86"/>
      <c r="AE1134" s="86"/>
      <c r="AF1134" s="86"/>
      <c r="AG1134" s="86"/>
      <c r="AH1134" s="86"/>
      <c r="AI1134" s="86"/>
      <c r="AJ1134" s="86"/>
    </row>
    <row r="1135" spans="1:36" x14ac:dyDescent="0.25">
      <c r="A1135" s="274"/>
      <c r="B1135" s="87"/>
      <c r="C1135" s="87"/>
      <c r="D1135" s="87"/>
      <c r="E1135" s="87"/>
      <c r="F1135" s="87"/>
      <c r="G1135" s="87"/>
      <c r="H1135" s="87"/>
      <c r="I1135" s="87"/>
      <c r="J1135" s="87"/>
      <c r="K1135" s="87"/>
      <c r="L1135" s="87"/>
      <c r="M1135" s="87"/>
      <c r="N1135" s="87"/>
      <c r="O1135" s="87"/>
      <c r="P1135" s="87"/>
      <c r="Q1135" s="87"/>
      <c r="R1135" s="87"/>
      <c r="S1135" s="87"/>
      <c r="T1135" s="87"/>
      <c r="U1135" s="87"/>
      <c r="V1135" s="87"/>
      <c r="W1135" s="87"/>
      <c r="X1135" s="87"/>
      <c r="Y1135" s="87"/>
      <c r="Z1135" s="87"/>
      <c r="AA1135" s="87"/>
      <c r="AB1135" s="87"/>
      <c r="AC1135" s="87"/>
      <c r="AD1135" s="87"/>
      <c r="AE1135" s="87"/>
      <c r="AF1135" s="87"/>
      <c r="AG1135" s="87"/>
      <c r="AH1135" s="87"/>
      <c r="AI1135" s="87"/>
      <c r="AJ1135" s="87"/>
    </row>
    <row r="1136" spans="1:36" x14ac:dyDescent="0.25">
      <c r="A1136" s="273"/>
      <c r="B1136" s="86"/>
      <c r="C1136" s="86"/>
      <c r="D1136" s="86"/>
      <c r="E1136" s="86"/>
      <c r="F1136" s="86"/>
      <c r="G1136" s="86"/>
      <c r="H1136" s="86"/>
      <c r="I1136" s="86"/>
      <c r="J1136" s="86"/>
      <c r="K1136" s="86"/>
      <c r="L1136" s="86"/>
      <c r="M1136" s="86"/>
      <c r="N1136" s="86"/>
      <c r="O1136" s="86"/>
      <c r="P1136" s="86"/>
      <c r="Q1136" s="86"/>
      <c r="R1136" s="86"/>
      <c r="S1136" s="86"/>
      <c r="T1136" s="86"/>
      <c r="U1136" s="86"/>
      <c r="V1136" s="86"/>
      <c r="W1136" s="86"/>
      <c r="X1136" s="86"/>
      <c r="Y1136" s="86"/>
      <c r="Z1136" s="86"/>
      <c r="AA1136" s="86"/>
      <c r="AB1136" s="86"/>
      <c r="AC1136" s="86"/>
      <c r="AD1136" s="86"/>
      <c r="AE1136" s="86"/>
      <c r="AF1136" s="86"/>
      <c r="AG1136" s="86"/>
      <c r="AH1136" s="86"/>
      <c r="AI1136" s="86"/>
      <c r="AJ1136" s="86"/>
    </row>
    <row r="1137" spans="1:36" x14ac:dyDescent="0.25">
      <c r="A1137" s="274"/>
      <c r="B1137" s="87"/>
      <c r="C1137" s="87"/>
      <c r="D1137" s="87"/>
      <c r="E1137" s="87"/>
      <c r="F1137" s="87"/>
      <c r="G1137" s="87"/>
      <c r="H1137" s="87"/>
      <c r="I1137" s="87"/>
      <c r="J1137" s="87"/>
      <c r="K1137" s="87"/>
      <c r="L1137" s="87"/>
      <c r="M1137" s="87"/>
      <c r="N1137" s="87"/>
      <c r="O1137" s="87"/>
      <c r="P1137" s="87"/>
      <c r="Q1137" s="87"/>
      <c r="R1137" s="87"/>
      <c r="S1137" s="87"/>
      <c r="T1137" s="87"/>
      <c r="U1137" s="87"/>
      <c r="V1137" s="87"/>
      <c r="W1137" s="87"/>
      <c r="X1137" s="87"/>
      <c r="Y1137" s="87"/>
      <c r="Z1137" s="87"/>
      <c r="AA1137" s="87"/>
      <c r="AB1137" s="87"/>
      <c r="AC1137" s="87"/>
      <c r="AD1137" s="87"/>
      <c r="AE1137" s="87"/>
      <c r="AF1137" s="87"/>
      <c r="AG1137" s="87"/>
      <c r="AH1137" s="87"/>
      <c r="AI1137" s="87"/>
      <c r="AJ1137" s="87"/>
    </row>
    <row r="1138" spans="1:36" x14ac:dyDescent="0.25">
      <c r="A1138" s="273"/>
      <c r="B1138" s="86"/>
      <c r="C1138" s="86"/>
      <c r="D1138" s="86"/>
      <c r="E1138" s="86"/>
      <c r="F1138" s="86"/>
      <c r="G1138" s="86"/>
      <c r="H1138" s="86"/>
      <c r="I1138" s="86"/>
      <c r="J1138" s="86"/>
      <c r="K1138" s="86"/>
      <c r="L1138" s="86"/>
      <c r="M1138" s="86"/>
      <c r="N1138" s="86"/>
      <c r="O1138" s="86"/>
      <c r="P1138" s="86"/>
      <c r="Q1138" s="86"/>
      <c r="R1138" s="86"/>
      <c r="S1138" s="86"/>
      <c r="T1138" s="86"/>
      <c r="U1138" s="86"/>
      <c r="V1138" s="86"/>
      <c r="W1138" s="86"/>
      <c r="X1138" s="86"/>
      <c r="Y1138" s="86"/>
      <c r="Z1138" s="86"/>
      <c r="AA1138" s="86"/>
      <c r="AB1138" s="86"/>
      <c r="AC1138" s="86"/>
      <c r="AD1138" s="86"/>
      <c r="AE1138" s="86"/>
      <c r="AF1138" s="86"/>
      <c r="AG1138" s="86"/>
      <c r="AH1138" s="86"/>
      <c r="AI1138" s="86"/>
      <c r="AJ1138" s="86"/>
    </row>
    <row r="1139" spans="1:36" x14ac:dyDescent="0.25">
      <c r="A1139" s="274"/>
      <c r="B1139" s="87"/>
      <c r="C1139" s="87"/>
      <c r="D1139" s="87"/>
      <c r="E1139" s="87"/>
      <c r="F1139" s="87"/>
      <c r="G1139" s="87"/>
      <c r="H1139" s="87"/>
      <c r="I1139" s="87"/>
      <c r="J1139" s="87"/>
      <c r="K1139" s="87"/>
      <c r="L1139" s="87"/>
      <c r="M1139" s="87"/>
      <c r="N1139" s="87"/>
      <c r="O1139" s="87"/>
      <c r="P1139" s="87"/>
      <c r="Q1139" s="87"/>
      <c r="R1139" s="87"/>
      <c r="S1139" s="87"/>
      <c r="T1139" s="87"/>
      <c r="U1139" s="87"/>
      <c r="V1139" s="87"/>
      <c r="W1139" s="87"/>
      <c r="X1139" s="87"/>
      <c r="Y1139" s="87"/>
      <c r="Z1139" s="87"/>
      <c r="AA1139" s="87"/>
      <c r="AB1139" s="87"/>
      <c r="AC1139" s="87"/>
      <c r="AD1139" s="87"/>
      <c r="AE1139" s="87"/>
      <c r="AF1139" s="87"/>
      <c r="AG1139" s="87"/>
      <c r="AH1139" s="87"/>
      <c r="AI1139" s="87"/>
      <c r="AJ1139" s="87"/>
    </row>
    <row r="1140" spans="1:36" x14ac:dyDescent="0.25">
      <c r="A1140" s="273"/>
      <c r="B1140" s="86"/>
      <c r="C1140" s="86"/>
      <c r="D1140" s="86"/>
      <c r="E1140" s="86"/>
      <c r="F1140" s="86"/>
      <c r="G1140" s="86"/>
      <c r="H1140" s="86"/>
      <c r="I1140" s="86"/>
      <c r="J1140" s="86"/>
      <c r="K1140" s="86"/>
      <c r="L1140" s="86"/>
      <c r="M1140" s="86"/>
      <c r="N1140" s="86"/>
      <c r="O1140" s="86"/>
      <c r="P1140" s="86"/>
      <c r="Q1140" s="86"/>
      <c r="R1140" s="86"/>
      <c r="S1140" s="86"/>
      <c r="T1140" s="86"/>
      <c r="U1140" s="86"/>
      <c r="V1140" s="86"/>
      <c r="W1140" s="86"/>
      <c r="X1140" s="86"/>
      <c r="Y1140" s="86"/>
      <c r="Z1140" s="86"/>
      <c r="AA1140" s="86"/>
      <c r="AB1140" s="86"/>
      <c r="AC1140" s="86"/>
      <c r="AD1140" s="86"/>
      <c r="AE1140" s="86"/>
      <c r="AF1140" s="86"/>
      <c r="AG1140" s="86"/>
      <c r="AH1140" s="86"/>
      <c r="AI1140" s="86"/>
      <c r="AJ1140" s="86"/>
    </row>
    <row r="1141" spans="1:36" x14ac:dyDescent="0.25">
      <c r="A1141" s="274"/>
      <c r="B1141" s="87"/>
      <c r="C1141" s="87"/>
      <c r="D1141" s="87"/>
      <c r="E1141" s="87"/>
      <c r="F1141" s="87"/>
      <c r="G1141" s="87"/>
      <c r="H1141" s="87"/>
      <c r="I1141" s="87"/>
      <c r="J1141" s="87"/>
      <c r="K1141" s="87"/>
      <c r="L1141" s="87"/>
      <c r="M1141" s="87"/>
      <c r="N1141" s="87"/>
      <c r="O1141" s="87"/>
      <c r="P1141" s="87"/>
      <c r="Q1141" s="87"/>
      <c r="R1141" s="87"/>
      <c r="S1141" s="87"/>
      <c r="T1141" s="87"/>
      <c r="U1141" s="87"/>
      <c r="V1141" s="87"/>
      <c r="W1141" s="87"/>
      <c r="X1141" s="87"/>
      <c r="Y1141" s="87"/>
      <c r="Z1141" s="87"/>
      <c r="AA1141" s="87"/>
      <c r="AB1141" s="87"/>
      <c r="AC1141" s="87"/>
      <c r="AD1141" s="87"/>
      <c r="AE1141" s="87"/>
      <c r="AF1141" s="87"/>
      <c r="AG1141" s="87"/>
      <c r="AH1141" s="87"/>
      <c r="AI1141" s="87"/>
      <c r="AJ1141" s="87"/>
    </row>
    <row r="1142" spans="1:36" x14ac:dyDescent="0.25">
      <c r="A1142" s="273"/>
      <c r="B1142" s="86"/>
      <c r="C1142" s="86"/>
      <c r="D1142" s="86"/>
      <c r="E1142" s="86"/>
      <c r="F1142" s="86"/>
      <c r="G1142" s="86"/>
      <c r="H1142" s="86"/>
      <c r="I1142" s="86"/>
      <c r="J1142" s="86"/>
      <c r="K1142" s="86"/>
      <c r="L1142" s="86"/>
      <c r="M1142" s="86"/>
      <c r="N1142" s="86"/>
      <c r="O1142" s="86"/>
      <c r="P1142" s="86"/>
      <c r="Q1142" s="86"/>
      <c r="R1142" s="86"/>
      <c r="S1142" s="86"/>
      <c r="T1142" s="86"/>
      <c r="U1142" s="86"/>
      <c r="V1142" s="86"/>
      <c r="W1142" s="86"/>
      <c r="X1142" s="86"/>
      <c r="Y1142" s="86"/>
      <c r="Z1142" s="86"/>
      <c r="AA1142" s="86"/>
      <c r="AB1142" s="86"/>
      <c r="AC1142" s="86"/>
      <c r="AD1142" s="86"/>
      <c r="AE1142" s="86"/>
      <c r="AF1142" s="86"/>
      <c r="AG1142" s="86"/>
      <c r="AH1142" s="86"/>
      <c r="AI1142" s="86"/>
      <c r="AJ1142" s="86"/>
    </row>
    <row r="1143" spans="1:36" x14ac:dyDescent="0.25">
      <c r="A1143" s="274"/>
      <c r="B1143" s="87"/>
      <c r="C1143" s="87"/>
      <c r="D1143" s="87"/>
      <c r="E1143" s="87"/>
      <c r="F1143" s="87"/>
      <c r="G1143" s="87"/>
      <c r="H1143" s="87"/>
      <c r="I1143" s="87"/>
      <c r="J1143" s="87"/>
      <c r="K1143" s="87"/>
      <c r="L1143" s="87"/>
      <c r="M1143" s="87"/>
      <c r="N1143" s="87"/>
      <c r="O1143" s="87"/>
      <c r="P1143" s="87"/>
      <c r="Q1143" s="87"/>
      <c r="R1143" s="87"/>
      <c r="S1143" s="87"/>
      <c r="T1143" s="87"/>
      <c r="U1143" s="87"/>
      <c r="V1143" s="87"/>
      <c r="W1143" s="87"/>
      <c r="X1143" s="87"/>
      <c r="Y1143" s="87"/>
      <c r="Z1143" s="87"/>
      <c r="AA1143" s="87"/>
      <c r="AB1143" s="87"/>
      <c r="AC1143" s="87"/>
      <c r="AD1143" s="87"/>
      <c r="AE1143" s="87"/>
      <c r="AF1143" s="87"/>
      <c r="AG1143" s="87"/>
      <c r="AH1143" s="87"/>
      <c r="AI1143" s="87"/>
      <c r="AJ1143" s="87"/>
    </row>
    <row r="1144" spans="1:36" x14ac:dyDescent="0.25">
      <c r="A1144" s="273"/>
      <c r="B1144" s="86"/>
      <c r="C1144" s="86"/>
      <c r="D1144" s="86"/>
      <c r="E1144" s="86"/>
      <c r="F1144" s="86"/>
      <c r="G1144" s="86"/>
      <c r="H1144" s="86"/>
      <c r="I1144" s="86"/>
      <c r="J1144" s="86"/>
      <c r="K1144" s="86"/>
      <c r="L1144" s="86"/>
      <c r="M1144" s="86"/>
      <c r="N1144" s="86"/>
      <c r="O1144" s="86"/>
      <c r="P1144" s="86"/>
      <c r="Q1144" s="86"/>
      <c r="R1144" s="86"/>
      <c r="S1144" s="86"/>
      <c r="T1144" s="86"/>
      <c r="U1144" s="86"/>
      <c r="V1144" s="86"/>
      <c r="W1144" s="86"/>
      <c r="X1144" s="86"/>
      <c r="Y1144" s="86"/>
      <c r="Z1144" s="86"/>
      <c r="AA1144" s="86"/>
      <c r="AB1144" s="86"/>
      <c r="AC1144" s="86"/>
      <c r="AD1144" s="86"/>
      <c r="AE1144" s="86"/>
      <c r="AF1144" s="86"/>
      <c r="AG1144" s="86"/>
      <c r="AH1144" s="86"/>
      <c r="AI1144" s="86"/>
      <c r="AJ1144" s="86"/>
    </row>
    <row r="1145" spans="1:36" x14ac:dyDescent="0.25">
      <c r="A1145" s="274"/>
      <c r="B1145" s="87"/>
      <c r="C1145" s="87"/>
      <c r="D1145" s="87"/>
      <c r="E1145" s="87"/>
      <c r="F1145" s="87"/>
      <c r="G1145" s="87"/>
      <c r="H1145" s="87"/>
      <c r="I1145" s="87"/>
      <c r="J1145" s="87"/>
      <c r="K1145" s="87"/>
      <c r="L1145" s="87"/>
      <c r="M1145" s="87"/>
      <c r="N1145" s="87"/>
      <c r="O1145" s="87"/>
      <c r="P1145" s="87"/>
      <c r="Q1145" s="87"/>
      <c r="R1145" s="87"/>
      <c r="S1145" s="87"/>
      <c r="T1145" s="87"/>
      <c r="U1145" s="87"/>
      <c r="V1145" s="87"/>
      <c r="W1145" s="87"/>
      <c r="X1145" s="87"/>
      <c r="Y1145" s="87"/>
      <c r="Z1145" s="87"/>
      <c r="AA1145" s="87"/>
      <c r="AB1145" s="87"/>
      <c r="AC1145" s="87"/>
      <c r="AD1145" s="87"/>
      <c r="AE1145" s="87"/>
      <c r="AF1145" s="87"/>
      <c r="AG1145" s="87"/>
      <c r="AH1145" s="87"/>
      <c r="AI1145" s="87"/>
      <c r="AJ1145" s="87"/>
    </row>
    <row r="1146" spans="1:36" x14ac:dyDescent="0.25">
      <c r="A1146" s="273"/>
      <c r="B1146" s="86"/>
      <c r="C1146" s="86"/>
      <c r="D1146" s="86"/>
      <c r="E1146" s="86"/>
      <c r="F1146" s="86"/>
      <c r="G1146" s="86"/>
      <c r="H1146" s="86"/>
      <c r="I1146" s="86"/>
      <c r="J1146" s="86"/>
      <c r="K1146" s="86"/>
      <c r="L1146" s="86"/>
      <c r="M1146" s="86"/>
      <c r="N1146" s="86"/>
      <c r="O1146" s="86"/>
      <c r="P1146" s="86"/>
      <c r="Q1146" s="86"/>
      <c r="R1146" s="86"/>
      <c r="S1146" s="86"/>
      <c r="T1146" s="86"/>
      <c r="U1146" s="86"/>
      <c r="V1146" s="86"/>
      <c r="W1146" s="86"/>
      <c r="X1146" s="86"/>
      <c r="Y1146" s="86"/>
      <c r="Z1146" s="86"/>
      <c r="AA1146" s="86"/>
      <c r="AB1146" s="86"/>
      <c r="AC1146" s="86"/>
      <c r="AD1146" s="86"/>
      <c r="AE1146" s="86"/>
      <c r="AF1146" s="86"/>
      <c r="AG1146" s="86"/>
      <c r="AH1146" s="86"/>
      <c r="AI1146" s="86"/>
      <c r="AJ1146" s="86"/>
    </row>
    <row r="1147" spans="1:36" x14ac:dyDescent="0.25">
      <c r="A1147" s="274"/>
      <c r="B1147" s="87"/>
      <c r="C1147" s="87"/>
      <c r="D1147" s="87"/>
      <c r="E1147" s="87"/>
      <c r="F1147" s="87"/>
      <c r="G1147" s="87"/>
      <c r="H1147" s="87"/>
      <c r="I1147" s="87"/>
      <c r="J1147" s="87"/>
      <c r="K1147" s="87"/>
      <c r="L1147" s="87"/>
      <c r="M1147" s="87"/>
      <c r="N1147" s="87"/>
      <c r="O1147" s="87"/>
      <c r="P1147" s="87"/>
      <c r="Q1147" s="87"/>
      <c r="R1147" s="87"/>
      <c r="S1147" s="87"/>
      <c r="T1147" s="87"/>
      <c r="U1147" s="87"/>
      <c r="V1147" s="87"/>
      <c r="W1147" s="87"/>
      <c r="X1147" s="87"/>
      <c r="Y1147" s="87"/>
      <c r="Z1147" s="87"/>
      <c r="AA1147" s="87"/>
      <c r="AB1147" s="87"/>
      <c r="AC1147" s="87"/>
      <c r="AD1147" s="87"/>
      <c r="AE1147" s="87"/>
      <c r="AF1147" s="87"/>
      <c r="AG1147" s="87"/>
      <c r="AH1147" s="87"/>
      <c r="AI1147" s="87"/>
      <c r="AJ1147" s="87"/>
    </row>
    <row r="1148" spans="1:36" x14ac:dyDescent="0.25">
      <c r="A1148" s="273"/>
      <c r="B1148" s="86"/>
      <c r="C1148" s="86"/>
      <c r="D1148" s="86"/>
      <c r="E1148" s="86"/>
      <c r="F1148" s="86"/>
      <c r="G1148" s="86"/>
      <c r="H1148" s="86"/>
      <c r="I1148" s="86"/>
      <c r="J1148" s="86"/>
      <c r="K1148" s="86"/>
      <c r="L1148" s="86"/>
      <c r="M1148" s="86"/>
      <c r="N1148" s="86"/>
      <c r="O1148" s="86"/>
      <c r="P1148" s="86"/>
      <c r="Q1148" s="86"/>
      <c r="R1148" s="86"/>
      <c r="S1148" s="86"/>
      <c r="T1148" s="86"/>
      <c r="U1148" s="86"/>
      <c r="V1148" s="86"/>
      <c r="W1148" s="86"/>
      <c r="X1148" s="86"/>
      <c r="Y1148" s="86"/>
      <c r="Z1148" s="86"/>
      <c r="AA1148" s="86"/>
      <c r="AB1148" s="86"/>
      <c r="AC1148" s="86"/>
      <c r="AD1148" s="86"/>
      <c r="AE1148" s="86"/>
      <c r="AF1148" s="86"/>
      <c r="AG1148" s="86"/>
      <c r="AH1148" s="86"/>
      <c r="AI1148" s="86"/>
      <c r="AJ1148" s="86"/>
    </row>
    <row r="1149" spans="1:36" x14ac:dyDescent="0.25">
      <c r="A1149" s="274"/>
      <c r="B1149" s="87"/>
      <c r="C1149" s="87"/>
      <c r="D1149" s="87"/>
      <c r="E1149" s="87"/>
      <c r="F1149" s="87"/>
      <c r="G1149" s="87"/>
      <c r="H1149" s="87"/>
      <c r="I1149" s="87"/>
      <c r="J1149" s="87"/>
      <c r="K1149" s="87"/>
      <c r="L1149" s="87"/>
      <c r="M1149" s="87"/>
      <c r="N1149" s="87"/>
      <c r="O1149" s="87"/>
      <c r="P1149" s="87"/>
      <c r="Q1149" s="87"/>
      <c r="R1149" s="87"/>
      <c r="S1149" s="87"/>
      <c r="T1149" s="87"/>
      <c r="U1149" s="87"/>
      <c r="V1149" s="87"/>
      <c r="W1149" s="87"/>
      <c r="X1149" s="87"/>
      <c r="Y1149" s="87"/>
      <c r="Z1149" s="87"/>
      <c r="AA1149" s="87"/>
      <c r="AB1149" s="87"/>
      <c r="AC1149" s="87"/>
      <c r="AD1149" s="87"/>
      <c r="AE1149" s="87"/>
      <c r="AF1149" s="87"/>
      <c r="AG1149" s="87"/>
      <c r="AH1149" s="87"/>
      <c r="AI1149" s="87"/>
      <c r="AJ1149" s="87"/>
    </row>
    <row r="1150" spans="1:36" x14ac:dyDescent="0.25">
      <c r="A1150" s="273"/>
      <c r="B1150" s="86"/>
      <c r="C1150" s="86"/>
      <c r="D1150" s="86"/>
      <c r="E1150" s="86"/>
      <c r="F1150" s="86"/>
      <c r="G1150" s="86"/>
      <c r="H1150" s="86"/>
      <c r="I1150" s="86"/>
      <c r="J1150" s="86"/>
      <c r="K1150" s="86"/>
      <c r="L1150" s="86"/>
      <c r="M1150" s="86"/>
      <c r="N1150" s="86"/>
      <c r="O1150" s="86"/>
      <c r="P1150" s="86"/>
      <c r="Q1150" s="86"/>
      <c r="R1150" s="86"/>
      <c r="S1150" s="86"/>
      <c r="T1150" s="86"/>
      <c r="U1150" s="86"/>
      <c r="V1150" s="86"/>
      <c r="W1150" s="86"/>
      <c r="X1150" s="86"/>
      <c r="Y1150" s="86"/>
      <c r="Z1150" s="86"/>
      <c r="AA1150" s="86"/>
      <c r="AB1150" s="86"/>
      <c r="AC1150" s="86"/>
      <c r="AD1150" s="86"/>
      <c r="AE1150" s="86"/>
      <c r="AF1150" s="86"/>
      <c r="AG1150" s="86"/>
      <c r="AH1150" s="86"/>
      <c r="AI1150" s="86"/>
      <c r="AJ1150" s="86"/>
    </row>
    <row r="1151" spans="1:36" x14ac:dyDescent="0.25">
      <c r="A1151" s="274"/>
      <c r="B1151" s="87"/>
      <c r="C1151" s="87"/>
      <c r="D1151" s="87"/>
      <c r="E1151" s="87"/>
      <c r="F1151" s="87"/>
      <c r="G1151" s="87"/>
      <c r="H1151" s="87"/>
      <c r="I1151" s="87"/>
      <c r="J1151" s="87"/>
      <c r="K1151" s="87"/>
      <c r="L1151" s="87"/>
      <c r="M1151" s="87"/>
      <c r="N1151" s="87"/>
      <c r="O1151" s="87"/>
      <c r="P1151" s="87"/>
      <c r="Q1151" s="87"/>
      <c r="R1151" s="87"/>
      <c r="S1151" s="87"/>
      <c r="T1151" s="87"/>
      <c r="U1151" s="87"/>
      <c r="V1151" s="87"/>
      <c r="W1151" s="87"/>
      <c r="X1151" s="87"/>
      <c r="Y1151" s="87"/>
      <c r="Z1151" s="87"/>
      <c r="AA1151" s="87"/>
      <c r="AB1151" s="87"/>
      <c r="AC1151" s="87"/>
      <c r="AD1151" s="87"/>
      <c r="AE1151" s="87"/>
      <c r="AF1151" s="87"/>
      <c r="AG1151" s="87"/>
      <c r="AH1151" s="87"/>
      <c r="AI1151" s="87"/>
      <c r="AJ1151" s="87"/>
    </row>
    <row r="1152" spans="1:36" x14ac:dyDescent="0.25">
      <c r="A1152" s="273"/>
      <c r="B1152" s="86"/>
      <c r="C1152" s="86"/>
      <c r="D1152" s="86"/>
      <c r="E1152" s="86"/>
      <c r="F1152" s="86"/>
      <c r="G1152" s="86"/>
      <c r="H1152" s="86"/>
      <c r="I1152" s="86"/>
      <c r="J1152" s="86"/>
      <c r="K1152" s="86"/>
      <c r="L1152" s="86"/>
      <c r="M1152" s="86"/>
      <c r="N1152" s="86"/>
      <c r="O1152" s="86"/>
      <c r="P1152" s="86"/>
      <c r="Q1152" s="86"/>
      <c r="R1152" s="86"/>
      <c r="S1152" s="86"/>
      <c r="T1152" s="86"/>
      <c r="U1152" s="86"/>
      <c r="V1152" s="86"/>
      <c r="W1152" s="86"/>
      <c r="X1152" s="86"/>
      <c r="Y1152" s="86"/>
      <c r="Z1152" s="86"/>
      <c r="AA1152" s="86"/>
      <c r="AB1152" s="86"/>
      <c r="AC1152" s="86"/>
      <c r="AD1152" s="86"/>
      <c r="AE1152" s="86"/>
      <c r="AF1152" s="86"/>
      <c r="AG1152" s="86"/>
      <c r="AH1152" s="86"/>
      <c r="AI1152" s="86"/>
      <c r="AJ1152" s="86"/>
    </row>
    <row r="1153" spans="1:36" x14ac:dyDescent="0.25">
      <c r="A1153" s="274"/>
      <c r="B1153" s="87"/>
      <c r="C1153" s="87"/>
      <c r="D1153" s="87"/>
      <c r="E1153" s="87"/>
      <c r="F1153" s="87"/>
      <c r="G1153" s="87"/>
      <c r="H1153" s="87"/>
      <c r="I1153" s="87"/>
      <c r="J1153" s="87"/>
      <c r="K1153" s="87"/>
      <c r="L1153" s="87"/>
      <c r="M1153" s="87"/>
      <c r="N1153" s="87"/>
      <c r="O1153" s="87"/>
      <c r="P1153" s="87"/>
      <c r="Q1153" s="87"/>
      <c r="R1153" s="87"/>
      <c r="S1153" s="87"/>
      <c r="T1153" s="87"/>
      <c r="U1153" s="87"/>
      <c r="V1153" s="87"/>
      <c r="W1153" s="87"/>
      <c r="X1153" s="87"/>
      <c r="Y1153" s="87"/>
      <c r="Z1153" s="87"/>
      <c r="AA1153" s="87"/>
      <c r="AB1153" s="87"/>
      <c r="AC1153" s="87"/>
      <c r="AD1153" s="87"/>
      <c r="AE1153" s="87"/>
      <c r="AF1153" s="87"/>
      <c r="AG1153" s="87"/>
      <c r="AH1153" s="87"/>
      <c r="AI1153" s="87"/>
      <c r="AJ1153" s="87"/>
    </row>
    <row r="1154" spans="1:36" x14ac:dyDescent="0.25">
      <c r="A1154" s="273"/>
      <c r="B1154" s="86"/>
      <c r="C1154" s="86"/>
      <c r="D1154" s="86"/>
      <c r="E1154" s="86"/>
      <c r="F1154" s="86"/>
      <c r="G1154" s="86"/>
      <c r="H1154" s="86"/>
      <c r="I1154" s="86"/>
      <c r="J1154" s="86"/>
      <c r="K1154" s="86"/>
      <c r="L1154" s="86"/>
      <c r="M1154" s="86"/>
      <c r="N1154" s="86"/>
      <c r="O1154" s="86"/>
      <c r="P1154" s="86"/>
      <c r="Q1154" s="86"/>
      <c r="R1154" s="86"/>
      <c r="S1154" s="86"/>
      <c r="T1154" s="86"/>
      <c r="U1154" s="86"/>
      <c r="V1154" s="86"/>
      <c r="W1154" s="86"/>
      <c r="X1154" s="86"/>
      <c r="Y1154" s="86"/>
      <c r="Z1154" s="86"/>
      <c r="AA1154" s="86"/>
      <c r="AB1154" s="86"/>
      <c r="AC1154" s="86"/>
      <c r="AD1154" s="86"/>
      <c r="AE1154" s="86"/>
      <c r="AF1154" s="86"/>
      <c r="AG1154" s="86"/>
      <c r="AH1154" s="86"/>
      <c r="AI1154" s="86"/>
      <c r="AJ1154" s="86"/>
    </row>
    <row r="1155" spans="1:36" x14ac:dyDescent="0.25">
      <c r="A1155" s="274"/>
      <c r="B1155" s="87"/>
      <c r="C1155" s="87"/>
      <c r="D1155" s="87"/>
      <c r="E1155" s="87"/>
      <c r="F1155" s="87"/>
      <c r="G1155" s="87"/>
      <c r="H1155" s="87"/>
      <c r="I1155" s="87"/>
      <c r="J1155" s="87"/>
      <c r="K1155" s="87"/>
      <c r="L1155" s="87"/>
      <c r="M1155" s="87"/>
      <c r="N1155" s="87"/>
      <c r="O1155" s="87"/>
      <c r="P1155" s="87"/>
      <c r="Q1155" s="87"/>
      <c r="R1155" s="87"/>
      <c r="S1155" s="87"/>
      <c r="T1155" s="87"/>
      <c r="U1155" s="87"/>
      <c r="V1155" s="87"/>
      <c r="W1155" s="87"/>
      <c r="X1155" s="87"/>
      <c r="Y1155" s="87"/>
      <c r="Z1155" s="87"/>
      <c r="AA1155" s="87"/>
      <c r="AB1155" s="87"/>
      <c r="AC1155" s="87"/>
      <c r="AD1155" s="87"/>
      <c r="AE1155" s="87"/>
      <c r="AF1155" s="87"/>
      <c r="AG1155" s="87"/>
      <c r="AH1155" s="87"/>
      <c r="AI1155" s="87"/>
      <c r="AJ1155" s="87"/>
    </row>
    <row r="1156" spans="1:36" x14ac:dyDescent="0.25">
      <c r="A1156" s="273"/>
      <c r="B1156" s="86"/>
      <c r="C1156" s="86"/>
      <c r="D1156" s="86"/>
      <c r="E1156" s="86"/>
      <c r="F1156" s="86"/>
      <c r="G1156" s="86"/>
      <c r="H1156" s="86"/>
      <c r="I1156" s="86"/>
      <c r="J1156" s="86"/>
      <c r="K1156" s="86"/>
      <c r="L1156" s="86"/>
      <c r="M1156" s="86"/>
      <c r="N1156" s="86"/>
      <c r="O1156" s="86"/>
      <c r="P1156" s="86"/>
      <c r="Q1156" s="86"/>
      <c r="R1156" s="86"/>
      <c r="S1156" s="86"/>
      <c r="T1156" s="86"/>
      <c r="U1156" s="86"/>
      <c r="V1156" s="86"/>
      <c r="W1156" s="86"/>
      <c r="X1156" s="86"/>
      <c r="Y1156" s="86"/>
      <c r="Z1156" s="86"/>
      <c r="AA1156" s="86"/>
      <c r="AB1156" s="86"/>
      <c r="AC1156" s="86"/>
      <c r="AD1156" s="86"/>
      <c r="AE1156" s="86"/>
      <c r="AF1156" s="86"/>
      <c r="AG1156" s="86"/>
      <c r="AH1156" s="86"/>
      <c r="AI1156" s="86"/>
      <c r="AJ1156" s="86"/>
    </row>
    <row r="1157" spans="1:36" x14ac:dyDescent="0.25">
      <c r="A1157" s="274"/>
      <c r="B1157" s="87"/>
      <c r="C1157" s="87"/>
      <c r="D1157" s="87"/>
      <c r="E1157" s="87"/>
      <c r="F1157" s="87"/>
      <c r="G1157" s="87"/>
      <c r="H1157" s="87"/>
      <c r="I1157" s="87"/>
      <c r="J1157" s="87"/>
      <c r="K1157" s="87"/>
      <c r="L1157" s="87"/>
      <c r="M1157" s="87"/>
      <c r="N1157" s="87"/>
      <c r="O1157" s="87"/>
      <c r="P1157" s="87"/>
      <c r="Q1157" s="87"/>
      <c r="R1157" s="87"/>
      <c r="S1157" s="87"/>
      <c r="T1157" s="87"/>
      <c r="U1157" s="87"/>
      <c r="V1157" s="87"/>
      <c r="W1157" s="87"/>
      <c r="X1157" s="87"/>
      <c r="Y1157" s="87"/>
      <c r="Z1157" s="87"/>
      <c r="AA1157" s="87"/>
      <c r="AB1157" s="87"/>
      <c r="AC1157" s="87"/>
      <c r="AD1157" s="87"/>
      <c r="AE1157" s="87"/>
      <c r="AF1157" s="87"/>
      <c r="AG1157" s="87"/>
      <c r="AH1157" s="87"/>
      <c r="AI1157" s="87"/>
      <c r="AJ1157" s="87"/>
    </row>
    <row r="1158" spans="1:36" x14ac:dyDescent="0.25">
      <c r="A1158" s="273"/>
      <c r="B1158" s="86"/>
      <c r="C1158" s="86"/>
      <c r="D1158" s="86"/>
      <c r="E1158" s="86"/>
      <c r="F1158" s="86"/>
      <c r="G1158" s="86"/>
      <c r="H1158" s="86"/>
      <c r="I1158" s="86"/>
      <c r="J1158" s="86"/>
      <c r="K1158" s="86"/>
      <c r="L1158" s="86"/>
      <c r="M1158" s="86"/>
      <c r="N1158" s="86"/>
      <c r="O1158" s="86"/>
      <c r="P1158" s="86"/>
      <c r="Q1158" s="86"/>
      <c r="R1158" s="86"/>
      <c r="S1158" s="86"/>
      <c r="T1158" s="86"/>
      <c r="U1158" s="86"/>
      <c r="V1158" s="86"/>
      <c r="W1158" s="86"/>
      <c r="X1158" s="86"/>
      <c r="Y1158" s="86"/>
      <c r="Z1158" s="86"/>
      <c r="AA1158" s="86"/>
      <c r="AB1158" s="86"/>
      <c r="AC1158" s="86"/>
      <c r="AD1158" s="86"/>
      <c r="AE1158" s="86"/>
      <c r="AF1158" s="86"/>
      <c r="AG1158" s="86"/>
      <c r="AH1158" s="86"/>
      <c r="AI1158" s="86"/>
      <c r="AJ1158" s="86"/>
    </row>
    <row r="1159" spans="1:36" x14ac:dyDescent="0.25">
      <c r="A1159" s="274"/>
      <c r="B1159" s="87"/>
      <c r="C1159" s="87"/>
      <c r="D1159" s="87"/>
      <c r="E1159" s="87"/>
      <c r="F1159" s="87"/>
      <c r="G1159" s="87"/>
      <c r="H1159" s="87"/>
      <c r="I1159" s="87"/>
      <c r="J1159" s="87"/>
      <c r="K1159" s="87"/>
      <c r="L1159" s="87"/>
      <c r="M1159" s="87"/>
      <c r="N1159" s="87"/>
      <c r="O1159" s="87"/>
      <c r="P1159" s="87"/>
      <c r="Q1159" s="87"/>
      <c r="R1159" s="87"/>
      <c r="S1159" s="87"/>
      <c r="T1159" s="87"/>
      <c r="U1159" s="87"/>
      <c r="V1159" s="87"/>
      <c r="W1159" s="87"/>
      <c r="X1159" s="87"/>
      <c r="Y1159" s="87"/>
      <c r="Z1159" s="87"/>
      <c r="AA1159" s="87"/>
      <c r="AB1159" s="87"/>
      <c r="AC1159" s="87"/>
      <c r="AD1159" s="87"/>
      <c r="AE1159" s="87"/>
      <c r="AF1159" s="87"/>
      <c r="AG1159" s="87"/>
      <c r="AH1159" s="87"/>
      <c r="AI1159" s="87"/>
      <c r="AJ1159" s="87"/>
    </row>
    <row r="1160" spans="1:36" x14ac:dyDescent="0.25">
      <c r="A1160" s="273"/>
      <c r="B1160" s="86"/>
      <c r="C1160" s="86"/>
      <c r="D1160" s="86"/>
      <c r="E1160" s="86"/>
      <c r="F1160" s="86"/>
      <c r="G1160" s="86"/>
      <c r="H1160" s="86"/>
      <c r="I1160" s="86"/>
      <c r="J1160" s="86"/>
      <c r="K1160" s="86"/>
      <c r="L1160" s="86"/>
      <c r="M1160" s="86"/>
      <c r="N1160" s="86"/>
      <c r="O1160" s="86"/>
      <c r="P1160" s="86"/>
      <c r="Q1160" s="86"/>
      <c r="R1160" s="86"/>
      <c r="S1160" s="86"/>
      <c r="T1160" s="86"/>
      <c r="U1160" s="86"/>
      <c r="V1160" s="86"/>
      <c r="W1160" s="86"/>
      <c r="X1160" s="86"/>
      <c r="Y1160" s="86"/>
      <c r="Z1160" s="86"/>
      <c r="AA1160" s="86"/>
      <c r="AB1160" s="86"/>
      <c r="AC1160" s="86"/>
      <c r="AD1160" s="86"/>
      <c r="AE1160" s="86"/>
      <c r="AF1160" s="86"/>
      <c r="AG1160" s="86"/>
      <c r="AH1160" s="86"/>
      <c r="AI1160" s="86"/>
      <c r="AJ1160" s="86"/>
    </row>
    <row r="1161" spans="1:36" x14ac:dyDescent="0.25">
      <c r="A1161" s="274"/>
      <c r="B1161" s="87"/>
      <c r="C1161" s="87"/>
      <c r="D1161" s="87"/>
      <c r="E1161" s="87"/>
      <c r="F1161" s="87"/>
      <c r="G1161" s="87"/>
      <c r="H1161" s="87"/>
      <c r="I1161" s="87"/>
      <c r="J1161" s="87"/>
      <c r="K1161" s="87"/>
      <c r="L1161" s="87"/>
      <c r="M1161" s="87"/>
      <c r="N1161" s="87"/>
      <c r="O1161" s="87"/>
      <c r="P1161" s="87"/>
      <c r="Q1161" s="87"/>
      <c r="R1161" s="87"/>
      <c r="S1161" s="87"/>
      <c r="T1161" s="87"/>
      <c r="U1161" s="87"/>
      <c r="V1161" s="87"/>
      <c r="W1161" s="87"/>
      <c r="X1161" s="87"/>
      <c r="Y1161" s="87"/>
      <c r="Z1161" s="87"/>
      <c r="AA1161" s="87"/>
      <c r="AB1161" s="87"/>
      <c r="AC1161" s="87"/>
      <c r="AD1161" s="87"/>
      <c r="AE1161" s="87"/>
      <c r="AF1161" s="87"/>
      <c r="AG1161" s="87"/>
      <c r="AH1161" s="87"/>
      <c r="AI1161" s="87"/>
      <c r="AJ1161" s="87"/>
    </row>
    <row r="1162" spans="1:36" x14ac:dyDescent="0.25">
      <c r="A1162" s="273"/>
      <c r="B1162" s="86"/>
      <c r="C1162" s="86"/>
      <c r="D1162" s="86"/>
      <c r="E1162" s="86"/>
      <c r="F1162" s="86"/>
      <c r="G1162" s="86"/>
      <c r="H1162" s="86"/>
      <c r="I1162" s="86"/>
      <c r="J1162" s="86"/>
      <c r="K1162" s="86"/>
      <c r="L1162" s="86"/>
      <c r="M1162" s="86"/>
      <c r="N1162" s="86"/>
      <c r="O1162" s="86"/>
      <c r="P1162" s="86"/>
      <c r="Q1162" s="86"/>
      <c r="R1162" s="86"/>
      <c r="S1162" s="86"/>
      <c r="T1162" s="86"/>
      <c r="U1162" s="86"/>
      <c r="V1162" s="86"/>
      <c r="W1162" s="86"/>
      <c r="X1162" s="86"/>
      <c r="Y1162" s="86"/>
      <c r="Z1162" s="86"/>
      <c r="AA1162" s="86"/>
      <c r="AB1162" s="86"/>
      <c r="AC1162" s="86"/>
      <c r="AD1162" s="86"/>
      <c r="AE1162" s="86"/>
      <c r="AF1162" s="86"/>
      <c r="AG1162" s="86"/>
      <c r="AH1162" s="86"/>
      <c r="AI1162" s="86"/>
      <c r="AJ1162" s="86"/>
    </row>
    <row r="1163" spans="1:36" x14ac:dyDescent="0.25">
      <c r="A1163" s="274"/>
      <c r="B1163" s="87"/>
      <c r="C1163" s="87"/>
      <c r="D1163" s="87"/>
      <c r="E1163" s="87"/>
      <c r="F1163" s="87"/>
      <c r="G1163" s="87"/>
      <c r="H1163" s="87"/>
      <c r="I1163" s="87"/>
      <c r="J1163" s="87"/>
      <c r="K1163" s="87"/>
      <c r="L1163" s="87"/>
      <c r="M1163" s="87"/>
      <c r="N1163" s="87"/>
      <c r="O1163" s="87"/>
      <c r="P1163" s="87"/>
      <c r="Q1163" s="87"/>
      <c r="R1163" s="87"/>
      <c r="S1163" s="87"/>
      <c r="T1163" s="87"/>
      <c r="U1163" s="87"/>
      <c r="V1163" s="87"/>
      <c r="W1163" s="87"/>
      <c r="X1163" s="87"/>
      <c r="Y1163" s="87"/>
      <c r="Z1163" s="87"/>
      <c r="AA1163" s="87"/>
      <c r="AB1163" s="87"/>
      <c r="AC1163" s="87"/>
      <c r="AD1163" s="87"/>
      <c r="AE1163" s="87"/>
      <c r="AF1163" s="87"/>
      <c r="AG1163" s="87"/>
      <c r="AH1163" s="87"/>
      <c r="AI1163" s="87"/>
      <c r="AJ1163" s="87"/>
    </row>
    <row r="1164" spans="1:36" x14ac:dyDescent="0.25">
      <c r="A1164" s="273"/>
      <c r="B1164" s="86"/>
      <c r="C1164" s="86"/>
      <c r="D1164" s="86"/>
      <c r="E1164" s="86"/>
      <c r="F1164" s="86"/>
      <c r="G1164" s="86"/>
      <c r="H1164" s="86"/>
      <c r="I1164" s="86"/>
      <c r="J1164" s="86"/>
      <c r="K1164" s="86"/>
      <c r="L1164" s="86"/>
      <c r="M1164" s="86"/>
      <c r="N1164" s="86"/>
      <c r="O1164" s="86"/>
      <c r="P1164" s="86"/>
      <c r="Q1164" s="86"/>
      <c r="R1164" s="86"/>
      <c r="S1164" s="86"/>
      <c r="T1164" s="86"/>
      <c r="U1164" s="86"/>
      <c r="V1164" s="86"/>
      <c r="W1164" s="86"/>
      <c r="X1164" s="86"/>
      <c r="Y1164" s="86"/>
      <c r="Z1164" s="86"/>
      <c r="AA1164" s="86"/>
      <c r="AB1164" s="86"/>
      <c r="AC1164" s="86"/>
      <c r="AD1164" s="86"/>
      <c r="AE1164" s="86"/>
      <c r="AF1164" s="86"/>
      <c r="AG1164" s="86"/>
      <c r="AH1164" s="86"/>
      <c r="AI1164" s="86"/>
      <c r="AJ1164" s="86"/>
    </row>
    <row r="1165" spans="1:36" x14ac:dyDescent="0.25">
      <c r="A1165" s="274"/>
      <c r="B1165" s="87"/>
      <c r="C1165" s="87"/>
      <c r="D1165" s="87"/>
      <c r="E1165" s="87"/>
      <c r="F1165" s="87"/>
      <c r="G1165" s="87"/>
      <c r="H1165" s="87"/>
      <c r="I1165" s="87"/>
      <c r="J1165" s="87"/>
      <c r="K1165" s="87"/>
      <c r="L1165" s="87"/>
      <c r="M1165" s="87"/>
      <c r="N1165" s="87"/>
      <c r="O1165" s="87"/>
      <c r="P1165" s="87"/>
      <c r="Q1165" s="87"/>
      <c r="R1165" s="87"/>
      <c r="S1165" s="87"/>
      <c r="T1165" s="87"/>
      <c r="U1165" s="87"/>
      <c r="V1165" s="87"/>
      <c r="W1165" s="87"/>
      <c r="X1165" s="87"/>
      <c r="Y1165" s="87"/>
      <c r="Z1165" s="87"/>
      <c r="AA1165" s="87"/>
      <c r="AB1165" s="87"/>
      <c r="AC1165" s="87"/>
      <c r="AD1165" s="87"/>
      <c r="AE1165" s="87"/>
      <c r="AF1165" s="87"/>
      <c r="AG1165" s="87"/>
      <c r="AH1165" s="87"/>
      <c r="AI1165" s="87"/>
      <c r="AJ1165" s="87"/>
    </row>
    <row r="1166" spans="1:36" x14ac:dyDescent="0.25">
      <c r="A1166" s="273"/>
      <c r="B1166" s="86"/>
      <c r="C1166" s="86"/>
      <c r="D1166" s="86"/>
      <c r="E1166" s="86"/>
      <c r="F1166" s="86"/>
      <c r="G1166" s="86"/>
      <c r="H1166" s="86"/>
      <c r="I1166" s="86"/>
      <c r="J1166" s="86"/>
      <c r="K1166" s="86"/>
      <c r="L1166" s="86"/>
      <c r="M1166" s="86"/>
      <c r="N1166" s="86"/>
      <c r="O1166" s="86"/>
      <c r="P1166" s="86"/>
      <c r="Q1166" s="86"/>
      <c r="R1166" s="86"/>
      <c r="S1166" s="86"/>
      <c r="T1166" s="86"/>
      <c r="U1166" s="86"/>
      <c r="V1166" s="86"/>
      <c r="W1166" s="86"/>
      <c r="X1166" s="86"/>
      <c r="Y1166" s="86"/>
      <c r="Z1166" s="86"/>
      <c r="AA1166" s="86"/>
      <c r="AB1166" s="86"/>
      <c r="AC1166" s="86"/>
      <c r="AD1166" s="86"/>
      <c r="AE1166" s="86"/>
      <c r="AF1166" s="86"/>
      <c r="AG1166" s="86"/>
      <c r="AH1166" s="86"/>
      <c r="AI1166" s="86"/>
      <c r="AJ1166" s="86"/>
    </row>
    <row r="1167" spans="1:36" x14ac:dyDescent="0.25">
      <c r="A1167" s="274"/>
      <c r="B1167" s="87"/>
      <c r="C1167" s="87"/>
      <c r="D1167" s="87"/>
      <c r="E1167" s="87"/>
      <c r="F1167" s="87"/>
      <c r="G1167" s="87"/>
      <c r="H1167" s="87"/>
      <c r="I1167" s="87"/>
      <c r="J1167" s="87"/>
      <c r="K1167" s="87"/>
      <c r="L1167" s="87"/>
      <c r="M1167" s="87"/>
      <c r="N1167" s="87"/>
      <c r="O1167" s="87"/>
      <c r="P1167" s="87"/>
      <c r="Q1167" s="87"/>
      <c r="R1167" s="87"/>
      <c r="S1167" s="87"/>
      <c r="T1167" s="87"/>
      <c r="U1167" s="87"/>
      <c r="V1167" s="87"/>
      <c r="W1167" s="87"/>
      <c r="X1167" s="87"/>
      <c r="Y1167" s="87"/>
      <c r="Z1167" s="87"/>
      <c r="AA1167" s="87"/>
      <c r="AB1167" s="87"/>
      <c r="AC1167" s="87"/>
      <c r="AD1167" s="87"/>
      <c r="AE1167" s="87"/>
      <c r="AF1167" s="87"/>
      <c r="AG1167" s="87"/>
      <c r="AH1167" s="87"/>
      <c r="AI1167" s="87"/>
      <c r="AJ1167" s="87"/>
    </row>
    <row r="1168" spans="1:36" x14ac:dyDescent="0.25">
      <c r="A1168" s="273"/>
      <c r="B1168" s="86"/>
      <c r="C1168" s="86"/>
      <c r="D1168" s="86"/>
      <c r="E1168" s="86"/>
      <c r="F1168" s="86"/>
      <c r="G1168" s="86"/>
      <c r="H1168" s="86"/>
      <c r="I1168" s="86"/>
      <c r="J1168" s="86"/>
      <c r="K1168" s="86"/>
      <c r="L1168" s="86"/>
      <c r="M1168" s="86"/>
      <c r="N1168" s="86"/>
      <c r="O1168" s="86"/>
      <c r="P1168" s="86"/>
      <c r="Q1168" s="86"/>
      <c r="R1168" s="86"/>
      <c r="S1168" s="86"/>
      <c r="T1168" s="86"/>
      <c r="U1168" s="86"/>
      <c r="V1168" s="86"/>
      <c r="W1168" s="86"/>
      <c r="X1168" s="86"/>
      <c r="Y1168" s="86"/>
      <c r="Z1168" s="86"/>
      <c r="AA1168" s="86"/>
      <c r="AB1168" s="86"/>
      <c r="AC1168" s="86"/>
      <c r="AD1168" s="86"/>
      <c r="AE1168" s="86"/>
      <c r="AF1168" s="86"/>
      <c r="AG1168" s="86"/>
      <c r="AH1168" s="86"/>
      <c r="AI1168" s="86"/>
      <c r="AJ1168" s="86"/>
    </row>
    <row r="1169" spans="1:36" x14ac:dyDescent="0.25">
      <c r="A1169" s="274"/>
      <c r="B1169" s="87"/>
      <c r="C1169" s="87"/>
      <c r="D1169" s="87"/>
      <c r="E1169" s="87"/>
      <c r="F1169" s="87"/>
      <c r="G1169" s="87"/>
      <c r="H1169" s="87"/>
      <c r="I1169" s="87"/>
      <c r="J1169" s="87"/>
      <c r="K1169" s="87"/>
      <c r="L1169" s="87"/>
      <c r="M1169" s="87"/>
      <c r="N1169" s="87"/>
      <c r="O1169" s="87"/>
      <c r="P1169" s="87"/>
      <c r="Q1169" s="87"/>
      <c r="R1169" s="87"/>
      <c r="S1169" s="87"/>
      <c r="T1169" s="87"/>
      <c r="U1169" s="87"/>
      <c r="V1169" s="87"/>
      <c r="W1169" s="87"/>
      <c r="X1169" s="87"/>
      <c r="Y1169" s="87"/>
      <c r="Z1169" s="87"/>
      <c r="AA1169" s="87"/>
      <c r="AB1169" s="87"/>
      <c r="AC1169" s="87"/>
      <c r="AD1169" s="87"/>
      <c r="AE1169" s="87"/>
      <c r="AF1169" s="87"/>
      <c r="AG1169" s="87"/>
      <c r="AH1169" s="87"/>
      <c r="AI1169" s="87"/>
      <c r="AJ1169" s="87"/>
    </row>
    <row r="1170" spans="1:36" x14ac:dyDescent="0.25">
      <c r="A1170" s="273"/>
      <c r="B1170" s="86"/>
      <c r="C1170" s="86"/>
      <c r="D1170" s="86"/>
      <c r="E1170" s="86"/>
      <c r="F1170" s="86"/>
      <c r="G1170" s="86"/>
      <c r="H1170" s="86"/>
      <c r="I1170" s="86"/>
      <c r="J1170" s="86"/>
      <c r="K1170" s="86"/>
      <c r="L1170" s="86"/>
      <c r="M1170" s="86"/>
      <c r="N1170" s="86"/>
      <c r="O1170" s="86"/>
      <c r="P1170" s="86"/>
      <c r="Q1170" s="86"/>
      <c r="R1170" s="86"/>
      <c r="S1170" s="86"/>
      <c r="T1170" s="86"/>
      <c r="U1170" s="86"/>
      <c r="V1170" s="86"/>
      <c r="W1170" s="86"/>
      <c r="X1170" s="86"/>
      <c r="Y1170" s="86"/>
      <c r="Z1170" s="86"/>
      <c r="AA1170" s="86"/>
      <c r="AB1170" s="86"/>
      <c r="AC1170" s="86"/>
      <c r="AD1170" s="86"/>
      <c r="AE1170" s="86"/>
      <c r="AF1170" s="86"/>
      <c r="AG1170" s="86"/>
      <c r="AH1170" s="86"/>
      <c r="AI1170" s="86"/>
      <c r="AJ1170" s="86"/>
    </row>
    <row r="1171" spans="1:36" x14ac:dyDescent="0.25">
      <c r="A1171" s="274"/>
      <c r="B1171" s="87"/>
      <c r="C1171" s="87"/>
      <c r="D1171" s="87"/>
      <c r="E1171" s="87"/>
      <c r="F1171" s="87"/>
      <c r="G1171" s="87"/>
      <c r="H1171" s="87"/>
      <c r="I1171" s="87"/>
      <c r="J1171" s="87"/>
      <c r="K1171" s="87"/>
      <c r="L1171" s="87"/>
      <c r="M1171" s="87"/>
      <c r="N1171" s="87"/>
      <c r="O1171" s="87"/>
      <c r="P1171" s="87"/>
      <c r="Q1171" s="87"/>
      <c r="R1171" s="87"/>
      <c r="S1171" s="87"/>
      <c r="T1171" s="87"/>
      <c r="U1171" s="87"/>
      <c r="V1171" s="87"/>
      <c r="W1171" s="87"/>
      <c r="X1171" s="87"/>
      <c r="Y1171" s="87"/>
      <c r="Z1171" s="87"/>
      <c r="AA1171" s="87"/>
      <c r="AB1171" s="87"/>
      <c r="AC1171" s="87"/>
      <c r="AD1171" s="87"/>
      <c r="AE1171" s="87"/>
      <c r="AF1171" s="87"/>
      <c r="AG1171" s="87"/>
      <c r="AH1171" s="87"/>
      <c r="AI1171" s="87"/>
      <c r="AJ1171" s="87"/>
    </row>
    <row r="1172" spans="1:36" x14ac:dyDescent="0.25">
      <c r="A1172" s="273"/>
      <c r="B1172" s="86"/>
      <c r="C1172" s="86"/>
      <c r="D1172" s="86"/>
      <c r="E1172" s="86"/>
      <c r="F1172" s="86"/>
      <c r="G1172" s="86"/>
      <c r="H1172" s="86"/>
      <c r="I1172" s="86"/>
      <c r="J1172" s="86"/>
      <c r="K1172" s="86"/>
      <c r="L1172" s="86"/>
      <c r="M1172" s="86"/>
      <c r="N1172" s="86"/>
      <c r="O1172" s="86"/>
      <c r="P1172" s="86"/>
      <c r="Q1172" s="86"/>
      <c r="R1172" s="86"/>
      <c r="S1172" s="86"/>
      <c r="T1172" s="86"/>
      <c r="U1172" s="86"/>
      <c r="V1172" s="86"/>
      <c r="W1172" s="86"/>
      <c r="X1172" s="86"/>
      <c r="Y1172" s="86"/>
      <c r="Z1172" s="86"/>
      <c r="AA1172" s="86"/>
      <c r="AB1172" s="86"/>
      <c r="AC1172" s="86"/>
      <c r="AD1172" s="86"/>
      <c r="AE1172" s="86"/>
      <c r="AF1172" s="86"/>
      <c r="AG1172" s="86"/>
      <c r="AH1172" s="86"/>
      <c r="AI1172" s="86"/>
      <c r="AJ1172" s="86"/>
    </row>
    <row r="1173" spans="1:36" x14ac:dyDescent="0.25">
      <c r="A1173" s="274"/>
      <c r="B1173" s="87"/>
      <c r="C1173" s="87"/>
      <c r="D1173" s="87"/>
      <c r="E1173" s="87"/>
      <c r="F1173" s="87"/>
      <c r="G1173" s="87"/>
      <c r="H1173" s="87"/>
      <c r="I1173" s="87"/>
      <c r="J1173" s="87"/>
      <c r="K1173" s="87"/>
      <c r="L1173" s="87"/>
      <c r="M1173" s="87"/>
      <c r="N1173" s="87"/>
      <c r="O1173" s="87"/>
      <c r="P1173" s="87"/>
      <c r="Q1173" s="87"/>
      <c r="R1173" s="87"/>
      <c r="S1173" s="87"/>
      <c r="T1173" s="87"/>
      <c r="U1173" s="87"/>
      <c r="V1173" s="87"/>
      <c r="W1173" s="87"/>
      <c r="X1173" s="87"/>
      <c r="Y1173" s="87"/>
      <c r="Z1173" s="87"/>
      <c r="AA1173" s="87"/>
      <c r="AB1173" s="87"/>
      <c r="AC1173" s="87"/>
      <c r="AD1173" s="87"/>
      <c r="AE1173" s="87"/>
      <c r="AF1173" s="87"/>
      <c r="AG1173" s="87"/>
      <c r="AH1173" s="87"/>
      <c r="AI1173" s="87"/>
      <c r="AJ1173" s="87"/>
    </row>
    <row r="1174" spans="1:36" x14ac:dyDescent="0.25">
      <c r="A1174" s="273"/>
      <c r="B1174" s="86"/>
      <c r="C1174" s="86"/>
      <c r="D1174" s="86"/>
      <c r="E1174" s="86"/>
      <c r="F1174" s="86"/>
      <c r="G1174" s="86"/>
      <c r="H1174" s="86"/>
      <c r="I1174" s="86"/>
      <c r="J1174" s="86"/>
      <c r="K1174" s="86"/>
      <c r="L1174" s="86"/>
      <c r="M1174" s="86"/>
      <c r="N1174" s="86"/>
      <c r="O1174" s="86"/>
      <c r="P1174" s="86"/>
      <c r="Q1174" s="86"/>
      <c r="R1174" s="86"/>
      <c r="S1174" s="86"/>
      <c r="T1174" s="86"/>
      <c r="U1174" s="86"/>
      <c r="V1174" s="86"/>
      <c r="W1174" s="86"/>
      <c r="X1174" s="86"/>
      <c r="Y1174" s="86"/>
      <c r="Z1174" s="86"/>
      <c r="AA1174" s="86"/>
      <c r="AB1174" s="86"/>
      <c r="AC1174" s="86"/>
      <c r="AD1174" s="86"/>
      <c r="AE1174" s="86"/>
      <c r="AF1174" s="86"/>
      <c r="AG1174" s="86"/>
      <c r="AH1174" s="86"/>
      <c r="AI1174" s="86"/>
      <c r="AJ1174" s="86"/>
    </row>
    <row r="1175" spans="1:36" x14ac:dyDescent="0.25">
      <c r="A1175" s="274"/>
      <c r="B1175" s="87"/>
      <c r="C1175" s="87"/>
      <c r="D1175" s="87"/>
      <c r="E1175" s="87"/>
      <c r="F1175" s="87"/>
      <c r="G1175" s="87"/>
      <c r="H1175" s="87"/>
      <c r="I1175" s="87"/>
      <c r="J1175" s="87"/>
      <c r="K1175" s="87"/>
      <c r="L1175" s="87"/>
      <c r="M1175" s="87"/>
      <c r="N1175" s="87"/>
      <c r="O1175" s="87"/>
      <c r="P1175" s="87"/>
      <c r="Q1175" s="87"/>
      <c r="R1175" s="87"/>
      <c r="S1175" s="87"/>
      <c r="T1175" s="87"/>
      <c r="U1175" s="87"/>
      <c r="V1175" s="87"/>
      <c r="W1175" s="87"/>
      <c r="X1175" s="87"/>
      <c r="Y1175" s="87"/>
      <c r="Z1175" s="87"/>
      <c r="AA1175" s="87"/>
      <c r="AB1175" s="87"/>
      <c r="AC1175" s="87"/>
      <c r="AD1175" s="87"/>
      <c r="AE1175" s="87"/>
      <c r="AF1175" s="87"/>
      <c r="AG1175" s="87"/>
      <c r="AH1175" s="87"/>
      <c r="AI1175" s="87"/>
      <c r="AJ1175" s="87"/>
    </row>
    <row r="1176" spans="1:36" x14ac:dyDescent="0.25">
      <c r="A1176" s="273"/>
      <c r="B1176" s="86"/>
      <c r="C1176" s="86"/>
      <c r="D1176" s="86"/>
      <c r="E1176" s="86"/>
      <c r="F1176" s="86"/>
      <c r="G1176" s="86"/>
      <c r="H1176" s="86"/>
      <c r="I1176" s="86"/>
      <c r="J1176" s="86"/>
      <c r="K1176" s="86"/>
      <c r="L1176" s="86"/>
      <c r="M1176" s="86"/>
      <c r="N1176" s="86"/>
      <c r="O1176" s="86"/>
      <c r="P1176" s="86"/>
      <c r="Q1176" s="86"/>
      <c r="R1176" s="86"/>
      <c r="S1176" s="86"/>
      <c r="T1176" s="86"/>
      <c r="U1176" s="86"/>
      <c r="V1176" s="86"/>
      <c r="W1176" s="86"/>
      <c r="X1176" s="86"/>
      <c r="Y1176" s="86"/>
      <c r="Z1176" s="86"/>
      <c r="AA1176" s="86"/>
      <c r="AB1176" s="86"/>
      <c r="AC1176" s="86"/>
      <c r="AD1176" s="86"/>
      <c r="AE1176" s="86"/>
      <c r="AF1176" s="86"/>
      <c r="AG1176" s="86"/>
      <c r="AH1176" s="86"/>
      <c r="AI1176" s="86"/>
      <c r="AJ1176" s="86"/>
    </row>
    <row r="1177" spans="1:36" x14ac:dyDescent="0.25">
      <c r="A1177" s="274"/>
      <c r="B1177" s="87"/>
      <c r="C1177" s="87"/>
      <c r="D1177" s="87"/>
      <c r="E1177" s="87"/>
      <c r="F1177" s="87"/>
      <c r="G1177" s="87"/>
      <c r="H1177" s="87"/>
      <c r="I1177" s="87"/>
      <c r="J1177" s="87"/>
      <c r="K1177" s="87"/>
      <c r="L1177" s="87"/>
      <c r="M1177" s="87"/>
      <c r="N1177" s="87"/>
      <c r="O1177" s="87"/>
      <c r="P1177" s="87"/>
      <c r="Q1177" s="87"/>
      <c r="R1177" s="87"/>
      <c r="S1177" s="87"/>
      <c r="T1177" s="87"/>
      <c r="U1177" s="87"/>
      <c r="V1177" s="87"/>
      <c r="W1177" s="87"/>
      <c r="X1177" s="87"/>
      <c r="Y1177" s="87"/>
      <c r="Z1177" s="87"/>
      <c r="AA1177" s="87"/>
      <c r="AB1177" s="87"/>
      <c r="AC1177" s="87"/>
      <c r="AD1177" s="87"/>
      <c r="AE1177" s="87"/>
      <c r="AF1177" s="87"/>
      <c r="AG1177" s="87"/>
      <c r="AH1177" s="87"/>
      <c r="AI1177" s="87"/>
      <c r="AJ1177" s="87"/>
    </row>
    <row r="1178" spans="1:36" x14ac:dyDescent="0.25">
      <c r="A1178" s="273"/>
      <c r="B1178" s="86"/>
      <c r="C1178" s="86"/>
      <c r="D1178" s="86"/>
      <c r="E1178" s="86"/>
      <c r="F1178" s="86"/>
      <c r="G1178" s="86"/>
      <c r="H1178" s="86"/>
      <c r="I1178" s="86"/>
      <c r="J1178" s="86"/>
      <c r="K1178" s="86"/>
      <c r="L1178" s="86"/>
      <c r="M1178" s="86"/>
      <c r="N1178" s="86"/>
      <c r="O1178" s="86"/>
      <c r="P1178" s="86"/>
      <c r="Q1178" s="86"/>
      <c r="R1178" s="86"/>
      <c r="S1178" s="86"/>
      <c r="T1178" s="86"/>
      <c r="U1178" s="86"/>
      <c r="V1178" s="86"/>
      <c r="W1178" s="86"/>
      <c r="X1178" s="86"/>
      <c r="Y1178" s="86"/>
      <c r="Z1178" s="86"/>
      <c r="AA1178" s="86"/>
      <c r="AB1178" s="86"/>
      <c r="AC1178" s="86"/>
      <c r="AD1178" s="86"/>
      <c r="AE1178" s="86"/>
      <c r="AF1178" s="86"/>
      <c r="AG1178" s="86"/>
      <c r="AH1178" s="86"/>
      <c r="AI1178" s="86"/>
      <c r="AJ1178" s="86"/>
    </row>
    <row r="1179" spans="1:36" x14ac:dyDescent="0.25">
      <c r="A1179" s="274"/>
      <c r="B1179" s="87"/>
      <c r="C1179" s="87"/>
      <c r="D1179" s="87"/>
      <c r="E1179" s="87"/>
      <c r="F1179" s="87"/>
      <c r="G1179" s="87"/>
      <c r="H1179" s="87"/>
      <c r="I1179" s="87"/>
      <c r="J1179" s="87"/>
      <c r="K1179" s="87"/>
      <c r="L1179" s="87"/>
      <c r="M1179" s="87"/>
      <c r="N1179" s="87"/>
      <c r="O1179" s="87"/>
      <c r="P1179" s="87"/>
      <c r="Q1179" s="87"/>
      <c r="R1179" s="87"/>
      <c r="S1179" s="87"/>
      <c r="T1179" s="87"/>
      <c r="U1179" s="87"/>
      <c r="V1179" s="87"/>
      <c r="W1179" s="87"/>
      <c r="X1179" s="87"/>
      <c r="Y1179" s="87"/>
      <c r="Z1179" s="87"/>
      <c r="AA1179" s="87"/>
      <c r="AB1179" s="87"/>
      <c r="AC1179" s="87"/>
      <c r="AD1179" s="87"/>
      <c r="AE1179" s="87"/>
      <c r="AF1179" s="87"/>
      <c r="AG1179" s="87"/>
      <c r="AH1179" s="87"/>
      <c r="AI1179" s="87"/>
      <c r="AJ1179" s="87"/>
    </row>
    <row r="1180" spans="1:36" x14ac:dyDescent="0.25">
      <c r="A1180" s="273"/>
      <c r="B1180" s="86"/>
      <c r="C1180" s="86"/>
      <c r="D1180" s="86"/>
      <c r="E1180" s="86"/>
      <c r="F1180" s="86"/>
      <c r="G1180" s="86"/>
      <c r="H1180" s="86"/>
      <c r="I1180" s="86"/>
      <c r="J1180" s="86"/>
      <c r="K1180" s="86"/>
      <c r="L1180" s="86"/>
      <c r="M1180" s="86"/>
      <c r="N1180" s="86"/>
      <c r="O1180" s="86"/>
      <c r="P1180" s="86"/>
      <c r="Q1180" s="86"/>
      <c r="R1180" s="86"/>
      <c r="S1180" s="86"/>
      <c r="T1180" s="86"/>
      <c r="U1180" s="86"/>
      <c r="V1180" s="86"/>
      <c r="W1180" s="86"/>
      <c r="X1180" s="86"/>
      <c r="Y1180" s="86"/>
      <c r="Z1180" s="86"/>
      <c r="AA1180" s="86"/>
      <c r="AB1180" s="86"/>
      <c r="AC1180" s="86"/>
      <c r="AD1180" s="86"/>
      <c r="AE1180" s="86"/>
      <c r="AF1180" s="86"/>
      <c r="AG1180" s="86"/>
      <c r="AH1180" s="86"/>
      <c r="AI1180" s="86"/>
      <c r="AJ1180" s="86"/>
    </row>
    <row r="1181" spans="1:36" x14ac:dyDescent="0.25">
      <c r="A1181" s="274"/>
      <c r="B1181" s="87"/>
      <c r="C1181" s="87"/>
      <c r="D1181" s="87"/>
      <c r="E1181" s="87"/>
      <c r="F1181" s="87"/>
      <c r="G1181" s="87"/>
      <c r="H1181" s="87"/>
      <c r="I1181" s="87"/>
      <c r="J1181" s="87"/>
      <c r="K1181" s="87"/>
      <c r="L1181" s="87"/>
      <c r="M1181" s="87"/>
      <c r="N1181" s="87"/>
      <c r="O1181" s="87"/>
      <c r="P1181" s="87"/>
      <c r="Q1181" s="87"/>
      <c r="R1181" s="87"/>
      <c r="S1181" s="87"/>
      <c r="T1181" s="87"/>
      <c r="U1181" s="87"/>
      <c r="V1181" s="87"/>
      <c r="W1181" s="87"/>
      <c r="X1181" s="87"/>
      <c r="Y1181" s="87"/>
      <c r="Z1181" s="87"/>
      <c r="AA1181" s="87"/>
      <c r="AB1181" s="87"/>
      <c r="AC1181" s="87"/>
      <c r="AD1181" s="87"/>
      <c r="AE1181" s="87"/>
      <c r="AF1181" s="87"/>
      <c r="AG1181" s="87"/>
      <c r="AH1181" s="87"/>
      <c r="AI1181" s="87"/>
      <c r="AJ1181" s="87"/>
    </row>
    <row r="1182" spans="1:36" x14ac:dyDescent="0.25">
      <c r="A1182" s="273"/>
      <c r="B1182" s="86"/>
      <c r="C1182" s="86"/>
      <c r="D1182" s="86"/>
      <c r="E1182" s="86"/>
      <c r="F1182" s="86"/>
      <c r="G1182" s="86"/>
      <c r="H1182" s="86"/>
      <c r="I1182" s="86"/>
      <c r="J1182" s="86"/>
      <c r="K1182" s="86"/>
      <c r="L1182" s="86"/>
      <c r="M1182" s="86"/>
      <c r="N1182" s="86"/>
      <c r="O1182" s="86"/>
      <c r="P1182" s="86"/>
      <c r="Q1182" s="86"/>
      <c r="R1182" s="86"/>
      <c r="S1182" s="86"/>
      <c r="T1182" s="86"/>
      <c r="U1182" s="86"/>
      <c r="V1182" s="86"/>
      <c r="W1182" s="86"/>
      <c r="X1182" s="86"/>
      <c r="Y1182" s="86"/>
      <c r="Z1182" s="86"/>
      <c r="AA1182" s="86"/>
      <c r="AB1182" s="86"/>
      <c r="AC1182" s="86"/>
      <c r="AD1182" s="86"/>
      <c r="AE1182" s="86"/>
      <c r="AF1182" s="86"/>
      <c r="AG1182" s="86"/>
      <c r="AH1182" s="86"/>
      <c r="AI1182" s="86"/>
      <c r="AJ1182" s="86"/>
    </row>
    <row r="1183" spans="1:36" x14ac:dyDescent="0.25">
      <c r="A1183" s="274"/>
      <c r="B1183" s="87"/>
      <c r="C1183" s="87"/>
      <c r="D1183" s="87"/>
      <c r="E1183" s="87"/>
      <c r="F1183" s="87"/>
      <c r="G1183" s="87"/>
      <c r="H1183" s="87"/>
      <c r="I1183" s="87"/>
      <c r="J1183" s="87"/>
      <c r="K1183" s="87"/>
      <c r="L1183" s="87"/>
      <c r="M1183" s="87"/>
      <c r="N1183" s="87"/>
      <c r="O1183" s="87"/>
      <c r="P1183" s="87"/>
      <c r="Q1183" s="87"/>
      <c r="R1183" s="87"/>
      <c r="S1183" s="87"/>
      <c r="T1183" s="87"/>
      <c r="U1183" s="87"/>
      <c r="V1183" s="87"/>
      <c r="W1183" s="87"/>
      <c r="X1183" s="87"/>
      <c r="Y1183" s="87"/>
      <c r="Z1183" s="87"/>
      <c r="AA1183" s="87"/>
      <c r="AB1183" s="87"/>
      <c r="AC1183" s="87"/>
      <c r="AD1183" s="87"/>
      <c r="AE1183" s="87"/>
      <c r="AF1183" s="87"/>
      <c r="AG1183" s="87"/>
      <c r="AH1183" s="87"/>
      <c r="AI1183" s="87"/>
      <c r="AJ1183" s="87"/>
    </row>
    <row r="1184" spans="1:36" x14ac:dyDescent="0.25">
      <c r="A1184" s="273"/>
      <c r="B1184" s="86"/>
      <c r="C1184" s="86"/>
      <c r="D1184" s="86"/>
      <c r="E1184" s="86"/>
      <c r="F1184" s="86"/>
      <c r="G1184" s="86"/>
      <c r="H1184" s="86"/>
      <c r="I1184" s="86"/>
      <c r="J1184" s="86"/>
      <c r="K1184" s="86"/>
      <c r="L1184" s="86"/>
      <c r="M1184" s="86"/>
      <c r="N1184" s="86"/>
      <c r="O1184" s="86"/>
      <c r="P1184" s="86"/>
      <c r="Q1184" s="86"/>
      <c r="R1184" s="86"/>
      <c r="S1184" s="86"/>
      <c r="T1184" s="86"/>
      <c r="U1184" s="86"/>
      <c r="V1184" s="86"/>
      <c r="W1184" s="86"/>
      <c r="X1184" s="86"/>
      <c r="Y1184" s="86"/>
      <c r="Z1184" s="86"/>
      <c r="AA1184" s="86"/>
      <c r="AB1184" s="86"/>
      <c r="AC1184" s="86"/>
      <c r="AD1184" s="86"/>
      <c r="AE1184" s="86"/>
      <c r="AF1184" s="86"/>
      <c r="AG1184" s="86"/>
      <c r="AH1184" s="86"/>
      <c r="AI1184" s="86"/>
      <c r="AJ1184" s="86"/>
    </row>
    <row r="1185" spans="1:36" x14ac:dyDescent="0.25">
      <c r="A1185" s="274"/>
      <c r="B1185" s="87"/>
      <c r="C1185" s="87"/>
      <c r="D1185" s="87"/>
      <c r="E1185" s="87"/>
      <c r="F1185" s="87"/>
      <c r="G1185" s="87"/>
      <c r="H1185" s="87"/>
      <c r="I1185" s="87"/>
      <c r="J1185" s="87"/>
      <c r="K1185" s="87"/>
      <c r="L1185" s="87"/>
      <c r="M1185" s="87"/>
      <c r="N1185" s="87"/>
      <c r="O1185" s="87"/>
      <c r="P1185" s="87"/>
      <c r="Q1185" s="87"/>
      <c r="R1185" s="87"/>
      <c r="S1185" s="87"/>
      <c r="T1185" s="87"/>
      <c r="U1185" s="87"/>
      <c r="V1185" s="87"/>
      <c r="W1185" s="87"/>
      <c r="X1185" s="87"/>
      <c r="Y1185" s="87"/>
      <c r="Z1185" s="87"/>
      <c r="AA1185" s="87"/>
      <c r="AB1185" s="87"/>
      <c r="AC1185" s="87"/>
      <c r="AD1185" s="87"/>
      <c r="AE1185" s="87"/>
      <c r="AF1185" s="87"/>
      <c r="AG1185" s="87"/>
      <c r="AH1185" s="87"/>
      <c r="AI1185" s="87"/>
      <c r="AJ1185" s="87"/>
    </row>
    <row r="1186" spans="1:36" x14ac:dyDescent="0.25">
      <c r="A1186" s="273"/>
      <c r="B1186" s="86"/>
      <c r="C1186" s="86"/>
      <c r="D1186" s="86"/>
      <c r="E1186" s="86"/>
      <c r="F1186" s="86"/>
      <c r="G1186" s="86"/>
      <c r="H1186" s="86"/>
      <c r="I1186" s="86"/>
      <c r="J1186" s="86"/>
      <c r="K1186" s="86"/>
      <c r="L1186" s="86"/>
      <c r="M1186" s="86"/>
      <c r="N1186" s="86"/>
      <c r="O1186" s="86"/>
      <c r="P1186" s="86"/>
      <c r="Q1186" s="86"/>
      <c r="R1186" s="86"/>
      <c r="S1186" s="86"/>
      <c r="T1186" s="86"/>
      <c r="U1186" s="86"/>
      <c r="V1186" s="86"/>
      <c r="W1186" s="86"/>
      <c r="X1186" s="86"/>
      <c r="Y1186" s="86"/>
      <c r="Z1186" s="86"/>
      <c r="AA1186" s="86"/>
      <c r="AB1186" s="86"/>
      <c r="AC1186" s="86"/>
      <c r="AD1186" s="86"/>
      <c r="AE1186" s="86"/>
      <c r="AF1186" s="86"/>
      <c r="AG1186" s="86"/>
      <c r="AH1186" s="86"/>
      <c r="AI1186" s="86"/>
      <c r="AJ1186" s="86"/>
    </row>
    <row r="1187" spans="1:36" x14ac:dyDescent="0.25">
      <c r="A1187" s="274"/>
      <c r="B1187" s="87"/>
      <c r="C1187" s="87"/>
      <c r="D1187" s="87"/>
      <c r="E1187" s="87"/>
      <c r="F1187" s="87"/>
      <c r="G1187" s="87"/>
      <c r="H1187" s="87"/>
      <c r="I1187" s="87"/>
      <c r="J1187" s="87"/>
      <c r="K1187" s="87"/>
      <c r="L1187" s="87"/>
      <c r="M1187" s="87"/>
      <c r="N1187" s="87"/>
      <c r="O1187" s="87"/>
      <c r="P1187" s="87"/>
      <c r="Q1187" s="87"/>
      <c r="R1187" s="87"/>
      <c r="S1187" s="87"/>
      <c r="T1187" s="87"/>
      <c r="U1187" s="87"/>
      <c r="V1187" s="87"/>
      <c r="W1187" s="87"/>
      <c r="X1187" s="87"/>
      <c r="Y1187" s="87"/>
      <c r="Z1187" s="87"/>
      <c r="AA1187" s="87"/>
      <c r="AB1187" s="87"/>
      <c r="AC1187" s="87"/>
      <c r="AD1187" s="87"/>
      <c r="AE1187" s="87"/>
      <c r="AF1187" s="87"/>
      <c r="AG1187" s="87"/>
      <c r="AH1187" s="87"/>
      <c r="AI1187" s="87"/>
      <c r="AJ1187" s="87"/>
    </row>
    <row r="1188" spans="1:36" x14ac:dyDescent="0.25">
      <c r="A1188" s="273"/>
      <c r="B1188" s="86"/>
      <c r="C1188" s="86"/>
      <c r="D1188" s="86"/>
      <c r="E1188" s="86"/>
      <c r="F1188" s="86"/>
      <c r="G1188" s="86"/>
      <c r="H1188" s="86"/>
      <c r="I1188" s="86"/>
      <c r="J1188" s="86"/>
      <c r="K1188" s="86"/>
      <c r="L1188" s="86"/>
      <c r="M1188" s="86"/>
      <c r="N1188" s="86"/>
      <c r="O1188" s="86"/>
      <c r="P1188" s="86"/>
      <c r="Q1188" s="86"/>
      <c r="R1188" s="86"/>
      <c r="S1188" s="86"/>
      <c r="T1188" s="86"/>
      <c r="U1188" s="86"/>
      <c r="V1188" s="86"/>
      <c r="W1188" s="86"/>
      <c r="X1188" s="86"/>
      <c r="Y1188" s="86"/>
      <c r="Z1188" s="86"/>
      <c r="AA1188" s="86"/>
      <c r="AB1188" s="86"/>
      <c r="AC1188" s="86"/>
      <c r="AD1188" s="86"/>
      <c r="AE1188" s="86"/>
      <c r="AF1188" s="86"/>
      <c r="AG1188" s="86"/>
      <c r="AH1188" s="86"/>
      <c r="AI1188" s="86"/>
      <c r="AJ1188" s="86"/>
    </row>
    <row r="1189" spans="1:36" x14ac:dyDescent="0.25">
      <c r="A1189" s="274"/>
      <c r="B1189" s="87"/>
      <c r="C1189" s="87"/>
      <c r="D1189" s="87"/>
      <c r="E1189" s="87"/>
      <c r="F1189" s="87"/>
      <c r="G1189" s="87"/>
      <c r="H1189" s="87"/>
      <c r="I1189" s="87"/>
      <c r="J1189" s="87"/>
      <c r="K1189" s="87"/>
      <c r="L1189" s="87"/>
      <c r="M1189" s="87"/>
      <c r="N1189" s="87"/>
      <c r="O1189" s="87"/>
      <c r="P1189" s="87"/>
      <c r="Q1189" s="87"/>
      <c r="R1189" s="87"/>
      <c r="S1189" s="87"/>
      <c r="T1189" s="87"/>
      <c r="U1189" s="87"/>
      <c r="V1189" s="87"/>
      <c r="W1189" s="87"/>
      <c r="X1189" s="87"/>
      <c r="Y1189" s="87"/>
      <c r="Z1189" s="87"/>
      <c r="AA1189" s="87"/>
      <c r="AB1189" s="87"/>
      <c r="AC1189" s="87"/>
      <c r="AD1189" s="87"/>
      <c r="AE1189" s="87"/>
      <c r="AF1189" s="87"/>
      <c r="AG1189" s="87"/>
      <c r="AH1189" s="87"/>
      <c r="AI1189" s="87"/>
      <c r="AJ1189" s="87"/>
    </row>
    <row r="1190" spans="1:36" x14ac:dyDescent="0.25">
      <c r="A1190" s="273"/>
      <c r="B1190" s="86"/>
      <c r="C1190" s="86"/>
      <c r="D1190" s="86"/>
      <c r="E1190" s="86"/>
      <c r="F1190" s="86"/>
      <c r="G1190" s="86"/>
      <c r="H1190" s="86"/>
      <c r="I1190" s="86"/>
      <c r="J1190" s="86"/>
      <c r="K1190" s="86"/>
      <c r="L1190" s="86"/>
      <c r="M1190" s="86"/>
      <c r="N1190" s="86"/>
      <c r="O1190" s="86"/>
      <c r="P1190" s="86"/>
      <c r="Q1190" s="86"/>
      <c r="R1190" s="86"/>
      <c r="S1190" s="86"/>
      <c r="T1190" s="86"/>
      <c r="U1190" s="86"/>
      <c r="V1190" s="86"/>
      <c r="W1190" s="86"/>
      <c r="X1190" s="86"/>
      <c r="Y1190" s="86"/>
      <c r="Z1190" s="86"/>
      <c r="AA1190" s="86"/>
      <c r="AB1190" s="86"/>
      <c r="AC1190" s="86"/>
      <c r="AD1190" s="86"/>
      <c r="AE1190" s="86"/>
      <c r="AF1190" s="86"/>
      <c r="AG1190" s="86"/>
      <c r="AH1190" s="86"/>
      <c r="AI1190" s="86"/>
      <c r="AJ1190" s="86"/>
    </row>
    <row r="1191" spans="1:36" x14ac:dyDescent="0.25">
      <c r="A1191" s="274"/>
      <c r="B1191" s="87"/>
      <c r="C1191" s="87"/>
      <c r="D1191" s="87"/>
      <c r="E1191" s="87"/>
      <c r="F1191" s="87"/>
      <c r="G1191" s="87"/>
      <c r="H1191" s="87"/>
      <c r="I1191" s="87"/>
      <c r="J1191" s="87"/>
      <c r="K1191" s="87"/>
      <c r="L1191" s="87"/>
      <c r="M1191" s="87"/>
      <c r="N1191" s="87"/>
      <c r="O1191" s="87"/>
      <c r="P1191" s="87"/>
      <c r="Q1191" s="87"/>
      <c r="R1191" s="87"/>
      <c r="S1191" s="87"/>
      <c r="T1191" s="87"/>
      <c r="U1191" s="87"/>
      <c r="V1191" s="87"/>
      <c r="W1191" s="87"/>
      <c r="X1191" s="87"/>
      <c r="Y1191" s="87"/>
      <c r="Z1191" s="87"/>
      <c r="AA1191" s="87"/>
      <c r="AB1191" s="87"/>
      <c r="AC1191" s="87"/>
      <c r="AD1191" s="87"/>
      <c r="AE1191" s="87"/>
      <c r="AF1191" s="87"/>
      <c r="AG1191" s="87"/>
      <c r="AH1191" s="87"/>
      <c r="AI1191" s="87"/>
      <c r="AJ1191" s="87"/>
    </row>
    <row r="1192" spans="1:36" x14ac:dyDescent="0.25">
      <c r="A1192" s="273"/>
      <c r="B1192" s="86"/>
      <c r="C1192" s="86"/>
      <c r="D1192" s="86"/>
      <c r="E1192" s="86"/>
      <c r="F1192" s="86"/>
      <c r="G1192" s="86"/>
      <c r="H1192" s="86"/>
      <c r="I1192" s="86"/>
      <c r="J1192" s="86"/>
      <c r="K1192" s="86"/>
      <c r="L1192" s="86"/>
      <c r="M1192" s="86"/>
      <c r="N1192" s="86"/>
      <c r="O1192" s="86"/>
      <c r="P1192" s="86"/>
      <c r="Q1192" s="86"/>
      <c r="R1192" s="86"/>
      <c r="S1192" s="86"/>
      <c r="T1192" s="86"/>
      <c r="U1192" s="86"/>
      <c r="V1192" s="86"/>
      <c r="W1192" s="86"/>
      <c r="X1192" s="86"/>
      <c r="Y1192" s="86"/>
      <c r="Z1192" s="86"/>
      <c r="AA1192" s="86"/>
      <c r="AB1192" s="86"/>
      <c r="AC1192" s="86"/>
      <c r="AD1192" s="86"/>
      <c r="AE1192" s="86"/>
      <c r="AF1192" s="86"/>
      <c r="AG1192" s="86"/>
      <c r="AH1192" s="86"/>
      <c r="AI1192" s="86"/>
      <c r="AJ1192" s="86"/>
    </row>
    <row r="1193" spans="1:36" x14ac:dyDescent="0.25">
      <c r="A1193" s="274"/>
      <c r="B1193" s="87"/>
      <c r="C1193" s="87"/>
      <c r="D1193" s="87"/>
      <c r="E1193" s="87"/>
      <c r="F1193" s="87"/>
      <c r="G1193" s="87"/>
      <c r="H1193" s="87"/>
      <c r="I1193" s="87"/>
      <c r="J1193" s="87"/>
      <c r="K1193" s="87"/>
      <c r="L1193" s="87"/>
      <c r="M1193" s="87"/>
      <c r="N1193" s="87"/>
      <c r="O1193" s="87"/>
      <c r="P1193" s="87"/>
      <c r="Q1193" s="87"/>
      <c r="R1193" s="87"/>
      <c r="S1193" s="87"/>
      <c r="T1193" s="87"/>
      <c r="U1193" s="87"/>
      <c r="V1193" s="87"/>
      <c r="W1193" s="87"/>
      <c r="X1193" s="87"/>
      <c r="Y1193" s="87"/>
      <c r="Z1193" s="87"/>
      <c r="AA1193" s="87"/>
      <c r="AB1193" s="87"/>
      <c r="AC1193" s="87"/>
      <c r="AD1193" s="87"/>
      <c r="AE1193" s="87"/>
      <c r="AF1193" s="87"/>
      <c r="AG1193" s="87"/>
      <c r="AH1193" s="87"/>
      <c r="AI1193" s="87"/>
      <c r="AJ1193" s="87"/>
    </row>
    <row r="1194" spans="1:36" x14ac:dyDescent="0.25">
      <c r="A1194" s="273"/>
      <c r="B1194" s="86"/>
      <c r="C1194" s="86"/>
      <c r="D1194" s="86"/>
      <c r="E1194" s="86"/>
      <c r="F1194" s="86"/>
      <c r="G1194" s="86"/>
      <c r="H1194" s="86"/>
      <c r="I1194" s="86"/>
      <c r="J1194" s="86"/>
      <c r="K1194" s="86"/>
      <c r="L1194" s="86"/>
      <c r="M1194" s="86"/>
      <c r="N1194" s="86"/>
      <c r="O1194" s="86"/>
      <c r="P1194" s="86"/>
      <c r="Q1194" s="86"/>
      <c r="R1194" s="86"/>
      <c r="S1194" s="86"/>
      <c r="T1194" s="86"/>
      <c r="U1194" s="86"/>
      <c r="V1194" s="86"/>
      <c r="W1194" s="86"/>
      <c r="X1194" s="86"/>
      <c r="Y1194" s="86"/>
      <c r="Z1194" s="86"/>
      <c r="AA1194" s="86"/>
      <c r="AB1194" s="86"/>
      <c r="AC1194" s="86"/>
      <c r="AD1194" s="86"/>
      <c r="AE1194" s="86"/>
      <c r="AF1194" s="86"/>
      <c r="AG1194" s="86"/>
      <c r="AH1194" s="86"/>
      <c r="AI1194" s="86"/>
      <c r="AJ1194" s="86"/>
    </row>
    <row r="1195" spans="1:36" x14ac:dyDescent="0.25">
      <c r="A1195" s="274"/>
      <c r="B1195" s="87"/>
      <c r="C1195" s="87"/>
      <c r="D1195" s="87"/>
      <c r="E1195" s="87"/>
      <c r="F1195" s="87"/>
      <c r="G1195" s="87"/>
      <c r="H1195" s="87"/>
      <c r="I1195" s="87"/>
      <c r="J1195" s="87"/>
      <c r="K1195" s="87"/>
      <c r="L1195" s="87"/>
      <c r="M1195" s="87"/>
      <c r="N1195" s="87"/>
      <c r="O1195" s="87"/>
      <c r="P1195" s="87"/>
      <c r="Q1195" s="87"/>
      <c r="R1195" s="87"/>
      <c r="S1195" s="87"/>
      <c r="T1195" s="87"/>
      <c r="U1195" s="87"/>
      <c r="V1195" s="87"/>
      <c r="W1195" s="87"/>
      <c r="X1195" s="87"/>
      <c r="Y1195" s="87"/>
      <c r="Z1195" s="87"/>
      <c r="AA1195" s="87"/>
      <c r="AB1195" s="87"/>
      <c r="AC1195" s="87"/>
      <c r="AD1195" s="87"/>
      <c r="AE1195" s="87"/>
      <c r="AF1195" s="87"/>
      <c r="AG1195" s="87"/>
      <c r="AH1195" s="87"/>
      <c r="AI1195" s="87"/>
      <c r="AJ1195" s="87"/>
    </row>
    <row r="1196" spans="1:36" x14ac:dyDescent="0.25">
      <c r="A1196" s="273"/>
      <c r="B1196" s="86"/>
      <c r="C1196" s="86"/>
      <c r="D1196" s="86"/>
      <c r="E1196" s="86"/>
      <c r="F1196" s="86"/>
      <c r="G1196" s="86"/>
      <c r="H1196" s="86"/>
      <c r="I1196" s="86"/>
      <c r="J1196" s="86"/>
      <c r="K1196" s="86"/>
      <c r="L1196" s="86"/>
      <c r="M1196" s="86"/>
      <c r="N1196" s="86"/>
      <c r="O1196" s="86"/>
      <c r="P1196" s="86"/>
      <c r="Q1196" s="86"/>
      <c r="R1196" s="86"/>
      <c r="S1196" s="86"/>
      <c r="T1196" s="86"/>
      <c r="U1196" s="86"/>
      <c r="V1196" s="86"/>
      <c r="W1196" s="86"/>
      <c r="X1196" s="86"/>
      <c r="Y1196" s="86"/>
      <c r="Z1196" s="86"/>
      <c r="AA1196" s="86"/>
      <c r="AB1196" s="86"/>
      <c r="AC1196" s="86"/>
      <c r="AD1196" s="86"/>
      <c r="AE1196" s="86"/>
      <c r="AF1196" s="86"/>
      <c r="AG1196" s="86"/>
      <c r="AH1196" s="86"/>
      <c r="AI1196" s="86"/>
      <c r="AJ1196" s="86"/>
    </row>
    <row r="1197" spans="1:36" x14ac:dyDescent="0.25">
      <c r="A1197" s="274"/>
      <c r="B1197" s="87"/>
      <c r="C1197" s="87"/>
      <c r="D1197" s="87"/>
      <c r="E1197" s="87"/>
      <c r="F1197" s="87"/>
      <c r="G1197" s="87"/>
      <c r="H1197" s="87"/>
      <c r="I1197" s="87"/>
      <c r="J1197" s="87"/>
      <c r="K1197" s="87"/>
      <c r="L1197" s="87"/>
      <c r="M1197" s="87"/>
      <c r="N1197" s="87"/>
      <c r="O1197" s="87"/>
      <c r="P1197" s="87"/>
      <c r="Q1197" s="87"/>
      <c r="R1197" s="87"/>
      <c r="S1197" s="87"/>
      <c r="T1197" s="87"/>
      <c r="U1197" s="87"/>
      <c r="V1197" s="87"/>
      <c r="W1197" s="87"/>
      <c r="X1197" s="87"/>
      <c r="Y1197" s="87"/>
      <c r="Z1197" s="87"/>
      <c r="AA1197" s="87"/>
      <c r="AB1197" s="87"/>
      <c r="AC1197" s="87"/>
      <c r="AD1197" s="87"/>
      <c r="AE1197" s="87"/>
      <c r="AF1197" s="87"/>
      <c r="AG1197" s="87"/>
      <c r="AH1197" s="87"/>
      <c r="AI1197" s="87"/>
      <c r="AJ1197" s="87"/>
    </row>
    <row r="1198" spans="1:36" x14ac:dyDescent="0.25">
      <c r="A1198" s="273"/>
      <c r="B1198" s="86"/>
      <c r="C1198" s="86"/>
      <c r="D1198" s="86"/>
      <c r="E1198" s="86"/>
      <c r="F1198" s="86"/>
      <c r="G1198" s="86"/>
      <c r="H1198" s="86"/>
      <c r="I1198" s="86"/>
      <c r="J1198" s="86"/>
      <c r="K1198" s="86"/>
      <c r="L1198" s="86"/>
      <c r="M1198" s="86"/>
      <c r="N1198" s="86"/>
      <c r="O1198" s="86"/>
      <c r="P1198" s="86"/>
      <c r="Q1198" s="86"/>
      <c r="R1198" s="86"/>
      <c r="S1198" s="86"/>
      <c r="T1198" s="86"/>
      <c r="U1198" s="86"/>
      <c r="V1198" s="86"/>
      <c r="W1198" s="86"/>
      <c r="X1198" s="86"/>
      <c r="Y1198" s="86"/>
      <c r="Z1198" s="86"/>
      <c r="AA1198" s="86"/>
      <c r="AB1198" s="86"/>
      <c r="AC1198" s="86"/>
      <c r="AD1198" s="86"/>
      <c r="AE1198" s="86"/>
      <c r="AF1198" s="86"/>
      <c r="AG1198" s="86"/>
      <c r="AH1198" s="86"/>
      <c r="AI1198" s="86"/>
      <c r="AJ1198" s="86"/>
    </row>
    <row r="1199" spans="1:36" x14ac:dyDescent="0.25">
      <c r="A1199" s="274"/>
      <c r="B1199" s="87"/>
      <c r="C1199" s="87"/>
      <c r="D1199" s="87"/>
      <c r="E1199" s="87"/>
      <c r="F1199" s="87"/>
      <c r="G1199" s="87"/>
      <c r="H1199" s="87"/>
      <c r="I1199" s="87"/>
      <c r="J1199" s="87"/>
      <c r="K1199" s="87"/>
      <c r="L1199" s="87"/>
      <c r="M1199" s="87"/>
      <c r="N1199" s="87"/>
      <c r="O1199" s="87"/>
      <c r="P1199" s="87"/>
      <c r="Q1199" s="87"/>
      <c r="R1199" s="87"/>
      <c r="S1199" s="87"/>
      <c r="T1199" s="87"/>
      <c r="U1199" s="87"/>
      <c r="V1199" s="87"/>
      <c r="W1199" s="87"/>
      <c r="X1199" s="87"/>
      <c r="Y1199" s="87"/>
      <c r="Z1199" s="87"/>
      <c r="AA1199" s="87"/>
      <c r="AB1199" s="87"/>
      <c r="AC1199" s="87"/>
      <c r="AD1199" s="87"/>
      <c r="AE1199" s="87"/>
      <c r="AF1199" s="87"/>
      <c r="AG1199" s="87"/>
      <c r="AH1199" s="87"/>
      <c r="AI1199" s="87"/>
      <c r="AJ1199" s="87"/>
    </row>
    <row r="1200" spans="1:36" x14ac:dyDescent="0.25">
      <c r="A1200" s="273"/>
      <c r="B1200" s="86"/>
      <c r="C1200" s="86"/>
      <c r="D1200" s="86"/>
      <c r="E1200" s="86"/>
      <c r="F1200" s="86"/>
      <c r="G1200" s="86"/>
      <c r="H1200" s="86"/>
      <c r="I1200" s="86"/>
      <c r="J1200" s="86"/>
      <c r="K1200" s="86"/>
      <c r="L1200" s="86"/>
      <c r="M1200" s="86"/>
      <c r="N1200" s="86"/>
      <c r="O1200" s="86"/>
      <c r="P1200" s="86"/>
      <c r="Q1200" s="86"/>
      <c r="R1200" s="86"/>
      <c r="S1200" s="86"/>
      <c r="T1200" s="86"/>
      <c r="U1200" s="86"/>
      <c r="V1200" s="86"/>
      <c r="W1200" s="86"/>
      <c r="X1200" s="86"/>
      <c r="Y1200" s="86"/>
      <c r="Z1200" s="86"/>
      <c r="AA1200" s="86"/>
      <c r="AB1200" s="86"/>
      <c r="AC1200" s="86"/>
      <c r="AD1200" s="86"/>
      <c r="AE1200" s="86"/>
      <c r="AF1200" s="86"/>
      <c r="AG1200" s="86"/>
      <c r="AH1200" s="86"/>
      <c r="AI1200" s="86"/>
      <c r="AJ1200" s="86"/>
    </row>
    <row r="1201" spans="1:36" x14ac:dyDescent="0.25">
      <c r="A1201" s="274"/>
      <c r="B1201" s="87"/>
      <c r="C1201" s="87"/>
      <c r="D1201" s="87"/>
      <c r="E1201" s="87"/>
      <c r="F1201" s="87"/>
      <c r="G1201" s="87"/>
      <c r="H1201" s="87"/>
      <c r="I1201" s="87"/>
      <c r="J1201" s="87"/>
      <c r="K1201" s="87"/>
      <c r="L1201" s="87"/>
      <c r="M1201" s="87"/>
      <c r="N1201" s="87"/>
      <c r="O1201" s="87"/>
      <c r="P1201" s="87"/>
      <c r="Q1201" s="87"/>
      <c r="R1201" s="87"/>
      <c r="S1201" s="87"/>
      <c r="T1201" s="87"/>
      <c r="U1201" s="87"/>
      <c r="V1201" s="87"/>
      <c r="W1201" s="87"/>
      <c r="X1201" s="87"/>
      <c r="Y1201" s="87"/>
      <c r="Z1201" s="87"/>
      <c r="AA1201" s="87"/>
      <c r="AB1201" s="87"/>
      <c r="AC1201" s="87"/>
      <c r="AD1201" s="87"/>
      <c r="AE1201" s="87"/>
      <c r="AF1201" s="87"/>
      <c r="AG1201" s="87"/>
      <c r="AH1201" s="87"/>
      <c r="AI1201" s="87"/>
      <c r="AJ1201" s="87"/>
    </row>
    <row r="1202" spans="1:36" x14ac:dyDescent="0.25">
      <c r="A1202" s="273"/>
      <c r="B1202" s="86"/>
      <c r="C1202" s="86"/>
      <c r="D1202" s="86"/>
      <c r="E1202" s="86"/>
      <c r="F1202" s="86"/>
      <c r="G1202" s="86"/>
      <c r="H1202" s="86"/>
      <c r="I1202" s="86"/>
      <c r="J1202" s="86"/>
      <c r="K1202" s="86"/>
      <c r="L1202" s="86"/>
      <c r="M1202" s="86"/>
      <c r="N1202" s="86"/>
      <c r="O1202" s="86"/>
      <c r="P1202" s="86"/>
      <c r="Q1202" s="86"/>
      <c r="R1202" s="86"/>
      <c r="S1202" s="86"/>
      <c r="T1202" s="86"/>
      <c r="U1202" s="86"/>
      <c r="V1202" s="86"/>
      <c r="W1202" s="86"/>
      <c r="X1202" s="86"/>
      <c r="Y1202" s="86"/>
      <c r="Z1202" s="86"/>
      <c r="AA1202" s="86"/>
      <c r="AB1202" s="86"/>
      <c r="AC1202" s="86"/>
      <c r="AD1202" s="86"/>
      <c r="AE1202" s="86"/>
      <c r="AF1202" s="86"/>
      <c r="AG1202" s="86"/>
      <c r="AH1202" s="86"/>
      <c r="AI1202" s="86"/>
      <c r="AJ1202" s="86"/>
    </row>
    <row r="1203" spans="1:36" x14ac:dyDescent="0.25">
      <c r="A1203" s="274"/>
      <c r="B1203" s="87"/>
      <c r="C1203" s="87"/>
      <c r="D1203" s="87"/>
      <c r="E1203" s="87"/>
      <c r="F1203" s="87"/>
      <c r="G1203" s="87"/>
      <c r="H1203" s="87"/>
      <c r="I1203" s="87"/>
      <c r="J1203" s="87"/>
      <c r="K1203" s="87"/>
      <c r="L1203" s="87"/>
      <c r="M1203" s="87"/>
      <c r="N1203" s="87"/>
      <c r="O1203" s="87"/>
      <c r="P1203" s="87"/>
      <c r="Q1203" s="87"/>
      <c r="R1203" s="87"/>
      <c r="S1203" s="87"/>
      <c r="T1203" s="87"/>
      <c r="U1203" s="87"/>
      <c r="V1203" s="87"/>
      <c r="W1203" s="87"/>
      <c r="X1203" s="87"/>
      <c r="Y1203" s="87"/>
      <c r="Z1203" s="87"/>
      <c r="AA1203" s="87"/>
      <c r="AB1203" s="87"/>
      <c r="AC1203" s="87"/>
      <c r="AD1203" s="87"/>
      <c r="AE1203" s="87"/>
      <c r="AF1203" s="87"/>
      <c r="AG1203" s="87"/>
      <c r="AH1203" s="87"/>
      <c r="AI1203" s="87"/>
      <c r="AJ1203" s="87"/>
    </row>
    <row r="1204" spans="1:36" x14ac:dyDescent="0.25">
      <c r="A1204" s="273"/>
      <c r="B1204" s="86"/>
      <c r="C1204" s="86"/>
      <c r="D1204" s="86"/>
      <c r="E1204" s="86"/>
      <c r="F1204" s="86"/>
      <c r="G1204" s="86"/>
      <c r="H1204" s="86"/>
      <c r="I1204" s="86"/>
      <c r="J1204" s="86"/>
      <c r="K1204" s="86"/>
      <c r="L1204" s="86"/>
      <c r="M1204" s="86"/>
      <c r="N1204" s="86"/>
      <c r="O1204" s="86"/>
      <c r="P1204" s="86"/>
      <c r="Q1204" s="86"/>
      <c r="R1204" s="86"/>
      <c r="S1204" s="86"/>
      <c r="T1204" s="86"/>
      <c r="U1204" s="86"/>
      <c r="V1204" s="86"/>
      <c r="W1204" s="86"/>
      <c r="X1204" s="86"/>
      <c r="Y1204" s="86"/>
      <c r="Z1204" s="86"/>
      <c r="AA1204" s="86"/>
      <c r="AB1204" s="86"/>
      <c r="AC1204" s="86"/>
      <c r="AD1204" s="86"/>
      <c r="AE1204" s="86"/>
      <c r="AF1204" s="86"/>
      <c r="AG1204" s="86"/>
      <c r="AH1204" s="86"/>
      <c r="AI1204" s="86"/>
      <c r="AJ1204" s="86"/>
    </row>
    <row r="1205" spans="1:36" x14ac:dyDescent="0.25">
      <c r="A1205" s="274"/>
      <c r="B1205" s="87"/>
      <c r="C1205" s="87"/>
      <c r="D1205" s="87"/>
      <c r="E1205" s="87"/>
      <c r="F1205" s="87"/>
      <c r="G1205" s="87"/>
      <c r="H1205" s="87"/>
      <c r="I1205" s="87"/>
      <c r="J1205" s="87"/>
      <c r="K1205" s="87"/>
      <c r="L1205" s="87"/>
      <c r="M1205" s="87"/>
      <c r="N1205" s="87"/>
      <c r="O1205" s="87"/>
      <c r="P1205" s="87"/>
      <c r="Q1205" s="87"/>
      <c r="R1205" s="87"/>
      <c r="S1205" s="87"/>
      <c r="T1205" s="87"/>
      <c r="U1205" s="87"/>
      <c r="V1205" s="87"/>
      <c r="W1205" s="87"/>
      <c r="X1205" s="87"/>
      <c r="Y1205" s="87"/>
      <c r="Z1205" s="87"/>
      <c r="AA1205" s="87"/>
      <c r="AB1205" s="87"/>
      <c r="AC1205" s="87"/>
      <c r="AD1205" s="87"/>
      <c r="AE1205" s="87"/>
      <c r="AF1205" s="87"/>
      <c r="AG1205" s="87"/>
      <c r="AH1205" s="87"/>
      <c r="AI1205" s="87"/>
      <c r="AJ1205" s="87"/>
    </row>
    <row r="1206" spans="1:36" x14ac:dyDescent="0.25">
      <c r="A1206" s="273"/>
      <c r="B1206" s="86"/>
      <c r="C1206" s="86"/>
      <c r="D1206" s="86"/>
      <c r="E1206" s="86"/>
      <c r="F1206" s="86"/>
      <c r="G1206" s="86"/>
      <c r="H1206" s="86"/>
      <c r="I1206" s="86"/>
      <c r="J1206" s="86"/>
      <c r="K1206" s="86"/>
      <c r="L1206" s="86"/>
      <c r="M1206" s="86"/>
      <c r="N1206" s="86"/>
      <c r="O1206" s="86"/>
      <c r="P1206" s="86"/>
      <c r="Q1206" s="86"/>
      <c r="R1206" s="86"/>
      <c r="S1206" s="86"/>
      <c r="T1206" s="86"/>
      <c r="U1206" s="86"/>
      <c r="V1206" s="86"/>
      <c r="W1206" s="86"/>
      <c r="X1206" s="86"/>
      <c r="Y1206" s="86"/>
      <c r="Z1206" s="86"/>
      <c r="AA1206" s="86"/>
      <c r="AB1206" s="86"/>
      <c r="AC1206" s="86"/>
      <c r="AD1206" s="86"/>
      <c r="AE1206" s="86"/>
      <c r="AF1206" s="86"/>
      <c r="AG1206" s="86"/>
      <c r="AH1206" s="86"/>
      <c r="AI1206" s="86"/>
      <c r="AJ1206" s="86"/>
    </row>
    <row r="1207" spans="1:36" x14ac:dyDescent="0.25">
      <c r="A1207" s="274"/>
      <c r="B1207" s="87"/>
      <c r="C1207" s="87"/>
      <c r="D1207" s="87"/>
      <c r="E1207" s="87"/>
      <c r="F1207" s="87"/>
      <c r="G1207" s="87"/>
      <c r="H1207" s="87"/>
      <c r="I1207" s="87"/>
      <c r="J1207" s="87"/>
      <c r="K1207" s="87"/>
      <c r="L1207" s="87"/>
      <c r="M1207" s="87"/>
      <c r="N1207" s="87"/>
      <c r="O1207" s="87"/>
      <c r="P1207" s="87"/>
      <c r="Q1207" s="87"/>
      <c r="R1207" s="87"/>
      <c r="S1207" s="87"/>
      <c r="T1207" s="87"/>
      <c r="U1207" s="87"/>
      <c r="V1207" s="87"/>
      <c r="W1207" s="87"/>
      <c r="X1207" s="87"/>
      <c r="Y1207" s="87"/>
      <c r="Z1207" s="87"/>
      <c r="AA1207" s="87"/>
      <c r="AB1207" s="87"/>
      <c r="AC1207" s="87"/>
      <c r="AD1207" s="87"/>
      <c r="AE1207" s="87"/>
      <c r="AF1207" s="87"/>
      <c r="AG1207" s="87"/>
      <c r="AH1207" s="87"/>
      <c r="AI1207" s="87"/>
      <c r="AJ1207" s="87"/>
    </row>
    <row r="1208" spans="1:36" x14ac:dyDescent="0.25">
      <c r="A1208" s="273"/>
      <c r="B1208" s="86"/>
      <c r="C1208" s="86"/>
      <c r="D1208" s="86"/>
      <c r="E1208" s="86"/>
      <c r="F1208" s="86"/>
      <c r="G1208" s="86"/>
      <c r="H1208" s="86"/>
      <c r="I1208" s="86"/>
      <c r="J1208" s="86"/>
      <c r="K1208" s="86"/>
      <c r="L1208" s="86"/>
      <c r="M1208" s="86"/>
      <c r="N1208" s="86"/>
      <c r="O1208" s="86"/>
      <c r="P1208" s="86"/>
      <c r="Q1208" s="86"/>
      <c r="R1208" s="86"/>
      <c r="S1208" s="86"/>
      <c r="T1208" s="86"/>
      <c r="U1208" s="86"/>
      <c r="V1208" s="86"/>
      <c r="W1208" s="86"/>
      <c r="X1208" s="86"/>
      <c r="Y1208" s="86"/>
      <c r="Z1208" s="86"/>
      <c r="AA1208" s="86"/>
      <c r="AB1208" s="86"/>
      <c r="AC1208" s="86"/>
      <c r="AD1208" s="86"/>
      <c r="AE1208" s="86"/>
      <c r="AF1208" s="86"/>
      <c r="AG1208" s="86"/>
      <c r="AH1208" s="86"/>
      <c r="AI1208" s="86"/>
      <c r="AJ1208" s="86"/>
    </row>
    <row r="1209" spans="1:36" x14ac:dyDescent="0.25">
      <c r="A1209" s="274"/>
      <c r="B1209" s="87"/>
      <c r="C1209" s="87"/>
      <c r="D1209" s="87"/>
      <c r="E1209" s="87"/>
      <c r="F1209" s="87"/>
      <c r="G1209" s="87"/>
      <c r="H1209" s="87"/>
      <c r="I1209" s="87"/>
      <c r="J1209" s="87"/>
      <c r="K1209" s="87"/>
      <c r="L1209" s="87"/>
      <c r="M1209" s="87"/>
      <c r="N1209" s="87"/>
      <c r="O1209" s="87"/>
      <c r="P1209" s="87"/>
      <c r="Q1209" s="87"/>
      <c r="R1209" s="87"/>
      <c r="S1209" s="87"/>
      <c r="T1209" s="87"/>
      <c r="U1209" s="87"/>
      <c r="V1209" s="87"/>
      <c r="W1209" s="87"/>
      <c r="X1209" s="87"/>
      <c r="Y1209" s="87"/>
      <c r="Z1209" s="87"/>
      <c r="AA1209" s="87"/>
      <c r="AB1209" s="87"/>
      <c r="AC1209" s="87"/>
      <c r="AD1209" s="87"/>
      <c r="AE1209" s="87"/>
      <c r="AF1209" s="87"/>
      <c r="AG1209" s="87"/>
      <c r="AH1209" s="87"/>
      <c r="AI1209" s="87"/>
      <c r="AJ1209" s="87"/>
    </row>
    <row r="1210" spans="1:36" x14ac:dyDescent="0.25">
      <c r="A1210" s="273"/>
      <c r="B1210" s="86"/>
      <c r="C1210" s="86"/>
      <c r="D1210" s="86"/>
      <c r="E1210" s="86"/>
      <c r="F1210" s="86"/>
      <c r="G1210" s="86"/>
      <c r="H1210" s="86"/>
      <c r="I1210" s="86"/>
      <c r="J1210" s="86"/>
      <c r="K1210" s="86"/>
      <c r="L1210" s="86"/>
      <c r="M1210" s="86"/>
      <c r="N1210" s="86"/>
      <c r="O1210" s="86"/>
      <c r="P1210" s="86"/>
      <c r="Q1210" s="86"/>
      <c r="R1210" s="86"/>
      <c r="S1210" s="86"/>
      <c r="T1210" s="86"/>
      <c r="U1210" s="86"/>
      <c r="V1210" s="86"/>
      <c r="W1210" s="86"/>
      <c r="X1210" s="86"/>
      <c r="Y1210" s="86"/>
      <c r="Z1210" s="86"/>
      <c r="AA1210" s="86"/>
      <c r="AB1210" s="86"/>
      <c r="AC1210" s="86"/>
      <c r="AD1210" s="86"/>
      <c r="AE1210" s="86"/>
      <c r="AF1210" s="86"/>
      <c r="AG1210" s="86"/>
      <c r="AH1210" s="86"/>
      <c r="AI1210" s="86"/>
      <c r="AJ1210" s="86"/>
    </row>
    <row r="1211" spans="1:36" x14ac:dyDescent="0.25">
      <c r="A1211" s="274"/>
      <c r="B1211" s="87"/>
      <c r="C1211" s="87"/>
      <c r="D1211" s="87"/>
      <c r="E1211" s="87"/>
      <c r="F1211" s="87"/>
      <c r="G1211" s="87"/>
      <c r="H1211" s="87"/>
      <c r="I1211" s="87"/>
      <c r="J1211" s="87"/>
      <c r="K1211" s="87"/>
      <c r="L1211" s="87"/>
      <c r="M1211" s="87"/>
      <c r="N1211" s="87"/>
      <c r="O1211" s="87"/>
      <c r="P1211" s="87"/>
      <c r="Q1211" s="87"/>
      <c r="R1211" s="87"/>
      <c r="S1211" s="87"/>
      <c r="T1211" s="87"/>
      <c r="U1211" s="87"/>
      <c r="V1211" s="87"/>
      <c r="W1211" s="87"/>
      <c r="X1211" s="87"/>
      <c r="Y1211" s="87"/>
      <c r="Z1211" s="87"/>
      <c r="AA1211" s="87"/>
      <c r="AB1211" s="87"/>
      <c r="AC1211" s="87"/>
      <c r="AD1211" s="87"/>
      <c r="AE1211" s="87"/>
      <c r="AF1211" s="87"/>
      <c r="AG1211" s="87"/>
      <c r="AH1211" s="87"/>
      <c r="AI1211" s="87"/>
      <c r="AJ1211" s="87"/>
    </row>
    <row r="1212" spans="1:36" x14ac:dyDescent="0.25">
      <c r="A1212" s="273"/>
      <c r="B1212" s="86"/>
      <c r="C1212" s="86"/>
      <c r="D1212" s="86"/>
      <c r="E1212" s="86"/>
      <c r="F1212" s="86"/>
      <c r="G1212" s="86"/>
      <c r="H1212" s="86"/>
      <c r="I1212" s="86"/>
      <c r="J1212" s="86"/>
      <c r="K1212" s="86"/>
      <c r="L1212" s="86"/>
      <c r="M1212" s="86"/>
      <c r="N1212" s="86"/>
      <c r="O1212" s="86"/>
      <c r="P1212" s="86"/>
      <c r="Q1212" s="86"/>
      <c r="R1212" s="86"/>
      <c r="S1212" s="86"/>
      <c r="T1212" s="86"/>
      <c r="U1212" s="86"/>
      <c r="V1212" s="86"/>
      <c r="W1212" s="86"/>
      <c r="X1212" s="86"/>
      <c r="Y1212" s="86"/>
      <c r="Z1212" s="86"/>
      <c r="AA1212" s="86"/>
      <c r="AB1212" s="86"/>
      <c r="AC1212" s="86"/>
      <c r="AD1212" s="86"/>
      <c r="AE1212" s="86"/>
      <c r="AF1212" s="86"/>
      <c r="AG1212" s="86"/>
      <c r="AH1212" s="86"/>
      <c r="AI1212" s="86"/>
      <c r="AJ1212" s="86"/>
    </row>
    <row r="1213" spans="1:36" x14ac:dyDescent="0.25">
      <c r="A1213" s="274"/>
      <c r="B1213" s="87"/>
      <c r="C1213" s="87"/>
      <c r="D1213" s="87"/>
      <c r="E1213" s="87"/>
      <c r="F1213" s="87"/>
      <c r="G1213" s="87"/>
      <c r="H1213" s="87"/>
      <c r="I1213" s="87"/>
      <c r="J1213" s="87"/>
      <c r="K1213" s="87"/>
      <c r="L1213" s="87"/>
      <c r="M1213" s="87"/>
      <c r="N1213" s="87"/>
      <c r="O1213" s="87"/>
      <c r="P1213" s="87"/>
      <c r="Q1213" s="87"/>
      <c r="R1213" s="87"/>
      <c r="S1213" s="87"/>
      <c r="T1213" s="87"/>
      <c r="U1213" s="87"/>
      <c r="V1213" s="87"/>
      <c r="W1213" s="87"/>
      <c r="X1213" s="87"/>
      <c r="Y1213" s="87"/>
      <c r="Z1213" s="87"/>
      <c r="AA1213" s="87"/>
      <c r="AB1213" s="87"/>
      <c r="AC1213" s="87"/>
      <c r="AD1213" s="87"/>
      <c r="AE1213" s="87"/>
      <c r="AF1213" s="87"/>
      <c r="AG1213" s="87"/>
      <c r="AH1213" s="87"/>
      <c r="AI1213" s="87"/>
      <c r="AJ1213" s="87"/>
    </row>
    <row r="1214" spans="1:36" x14ac:dyDescent="0.25">
      <c r="A1214" s="273"/>
      <c r="B1214" s="86"/>
      <c r="C1214" s="86"/>
      <c r="D1214" s="86"/>
      <c r="E1214" s="86"/>
      <c r="F1214" s="86"/>
      <c r="G1214" s="86"/>
      <c r="H1214" s="86"/>
      <c r="I1214" s="86"/>
      <c r="J1214" s="86"/>
      <c r="K1214" s="86"/>
      <c r="L1214" s="86"/>
      <c r="M1214" s="86"/>
      <c r="N1214" s="86"/>
      <c r="O1214" s="86"/>
      <c r="P1214" s="86"/>
      <c r="Q1214" s="86"/>
      <c r="R1214" s="86"/>
      <c r="S1214" s="86"/>
      <c r="T1214" s="86"/>
      <c r="U1214" s="86"/>
      <c r="V1214" s="86"/>
      <c r="W1214" s="86"/>
      <c r="X1214" s="86"/>
      <c r="Y1214" s="86"/>
      <c r="Z1214" s="86"/>
      <c r="AA1214" s="86"/>
      <c r="AB1214" s="86"/>
      <c r="AC1214" s="86"/>
      <c r="AD1214" s="86"/>
      <c r="AE1214" s="86"/>
      <c r="AF1214" s="86"/>
      <c r="AG1214" s="86"/>
      <c r="AH1214" s="86"/>
      <c r="AI1214" s="86"/>
      <c r="AJ1214" s="86"/>
    </row>
    <row r="1215" spans="1:36" x14ac:dyDescent="0.25">
      <c r="A1215" s="274"/>
      <c r="B1215" s="87"/>
      <c r="C1215" s="87"/>
      <c r="D1215" s="87"/>
      <c r="E1215" s="87"/>
      <c r="F1215" s="87"/>
      <c r="G1215" s="87"/>
      <c r="H1215" s="87"/>
      <c r="I1215" s="87"/>
      <c r="J1215" s="87"/>
      <c r="K1215" s="87"/>
      <c r="L1215" s="87"/>
      <c r="M1215" s="87"/>
      <c r="N1215" s="87"/>
      <c r="O1215" s="87"/>
      <c r="P1215" s="87"/>
      <c r="Q1215" s="87"/>
      <c r="R1215" s="87"/>
      <c r="S1215" s="87"/>
      <c r="T1215" s="87"/>
      <c r="U1215" s="87"/>
      <c r="V1215" s="87"/>
      <c r="W1215" s="87"/>
      <c r="X1215" s="87"/>
      <c r="Y1215" s="87"/>
      <c r="Z1215" s="87"/>
      <c r="AA1215" s="87"/>
      <c r="AB1215" s="87"/>
      <c r="AC1215" s="87"/>
      <c r="AD1215" s="87"/>
      <c r="AE1215" s="87"/>
      <c r="AF1215" s="87"/>
      <c r="AG1215" s="87"/>
      <c r="AH1215" s="87"/>
      <c r="AI1215" s="87"/>
      <c r="AJ1215" s="87"/>
    </row>
    <row r="1216" spans="1:36" x14ac:dyDescent="0.25">
      <c r="A1216" s="273"/>
      <c r="B1216" s="86"/>
      <c r="C1216" s="86"/>
      <c r="D1216" s="86"/>
      <c r="E1216" s="86"/>
      <c r="F1216" s="86"/>
      <c r="G1216" s="86"/>
      <c r="H1216" s="86"/>
      <c r="I1216" s="86"/>
      <c r="J1216" s="86"/>
      <c r="K1216" s="86"/>
      <c r="L1216" s="86"/>
      <c r="M1216" s="86"/>
      <c r="N1216" s="86"/>
      <c r="O1216" s="86"/>
      <c r="P1216" s="86"/>
      <c r="Q1216" s="86"/>
      <c r="R1216" s="86"/>
      <c r="S1216" s="86"/>
      <c r="T1216" s="86"/>
      <c r="U1216" s="86"/>
      <c r="V1216" s="86"/>
      <c r="W1216" s="86"/>
      <c r="X1216" s="86"/>
      <c r="Y1216" s="86"/>
      <c r="Z1216" s="86"/>
      <c r="AA1216" s="86"/>
      <c r="AB1216" s="86"/>
      <c r="AC1216" s="86"/>
      <c r="AD1216" s="86"/>
      <c r="AE1216" s="86"/>
      <c r="AF1216" s="86"/>
      <c r="AG1216" s="86"/>
      <c r="AH1216" s="86"/>
      <c r="AI1216" s="86"/>
      <c r="AJ1216" s="86"/>
    </row>
    <row r="1217" spans="1:36" x14ac:dyDescent="0.25">
      <c r="A1217" s="274"/>
      <c r="B1217" s="87"/>
      <c r="C1217" s="87"/>
      <c r="D1217" s="87"/>
      <c r="E1217" s="87"/>
      <c r="F1217" s="87"/>
      <c r="G1217" s="87"/>
      <c r="H1217" s="87"/>
      <c r="I1217" s="87"/>
      <c r="J1217" s="87"/>
      <c r="K1217" s="87"/>
      <c r="L1217" s="87"/>
      <c r="M1217" s="87"/>
      <c r="N1217" s="87"/>
      <c r="O1217" s="87"/>
      <c r="P1217" s="87"/>
      <c r="Q1217" s="87"/>
      <c r="R1217" s="87"/>
      <c r="S1217" s="87"/>
      <c r="T1217" s="87"/>
      <c r="U1217" s="87"/>
      <c r="V1217" s="87"/>
      <c r="W1217" s="87"/>
      <c r="X1217" s="87"/>
      <c r="Y1217" s="87"/>
      <c r="Z1217" s="87"/>
      <c r="AA1217" s="87"/>
      <c r="AB1217" s="87"/>
      <c r="AC1217" s="87"/>
      <c r="AD1217" s="87"/>
      <c r="AE1217" s="87"/>
      <c r="AF1217" s="87"/>
      <c r="AG1217" s="87"/>
      <c r="AH1217" s="87"/>
      <c r="AI1217" s="87"/>
      <c r="AJ1217" s="87"/>
    </row>
    <row r="1218" spans="1:36" x14ac:dyDescent="0.25">
      <c r="A1218" s="273"/>
      <c r="B1218" s="86"/>
      <c r="C1218" s="86"/>
      <c r="D1218" s="86"/>
      <c r="E1218" s="86"/>
      <c r="F1218" s="86"/>
      <c r="G1218" s="86"/>
      <c r="H1218" s="86"/>
      <c r="I1218" s="86"/>
      <c r="J1218" s="86"/>
      <c r="K1218" s="86"/>
      <c r="L1218" s="86"/>
      <c r="M1218" s="86"/>
      <c r="N1218" s="86"/>
      <c r="O1218" s="86"/>
      <c r="P1218" s="86"/>
      <c r="Q1218" s="86"/>
      <c r="R1218" s="86"/>
      <c r="S1218" s="86"/>
      <c r="T1218" s="86"/>
      <c r="U1218" s="86"/>
      <c r="V1218" s="86"/>
      <c r="W1218" s="86"/>
      <c r="X1218" s="86"/>
      <c r="Y1218" s="86"/>
      <c r="Z1218" s="86"/>
      <c r="AA1218" s="86"/>
      <c r="AB1218" s="86"/>
      <c r="AC1218" s="86"/>
      <c r="AD1218" s="86"/>
      <c r="AE1218" s="86"/>
      <c r="AF1218" s="86"/>
      <c r="AG1218" s="86"/>
      <c r="AH1218" s="86"/>
      <c r="AI1218" s="86"/>
      <c r="AJ1218" s="86"/>
    </row>
    <row r="1219" spans="1:36" x14ac:dyDescent="0.25">
      <c r="A1219" s="274"/>
      <c r="B1219" s="87"/>
      <c r="C1219" s="87"/>
      <c r="D1219" s="87"/>
      <c r="E1219" s="87"/>
      <c r="F1219" s="87"/>
      <c r="G1219" s="87"/>
      <c r="H1219" s="87"/>
      <c r="I1219" s="87"/>
      <c r="J1219" s="87"/>
      <c r="K1219" s="87"/>
      <c r="L1219" s="87"/>
      <c r="M1219" s="87"/>
      <c r="N1219" s="87"/>
      <c r="O1219" s="87"/>
      <c r="P1219" s="87"/>
      <c r="Q1219" s="87"/>
      <c r="R1219" s="87"/>
      <c r="S1219" s="87"/>
      <c r="T1219" s="87"/>
      <c r="U1219" s="87"/>
      <c r="V1219" s="87"/>
      <c r="W1219" s="87"/>
      <c r="X1219" s="87"/>
      <c r="Y1219" s="87"/>
      <c r="Z1219" s="87"/>
      <c r="AA1219" s="87"/>
      <c r="AB1219" s="87"/>
      <c r="AC1219" s="87"/>
      <c r="AD1219" s="87"/>
      <c r="AE1219" s="87"/>
      <c r="AF1219" s="87"/>
      <c r="AG1219" s="87"/>
      <c r="AH1219" s="87"/>
      <c r="AI1219" s="87"/>
      <c r="AJ1219" s="87"/>
    </row>
    <row r="1220" spans="1:36" x14ac:dyDescent="0.25">
      <c r="A1220" s="273"/>
      <c r="B1220" s="86"/>
      <c r="C1220" s="86"/>
      <c r="D1220" s="86"/>
      <c r="E1220" s="86"/>
      <c r="F1220" s="86"/>
      <c r="G1220" s="86"/>
      <c r="H1220" s="86"/>
      <c r="I1220" s="86"/>
      <c r="J1220" s="86"/>
      <c r="K1220" s="86"/>
      <c r="L1220" s="86"/>
      <c r="M1220" s="86"/>
      <c r="N1220" s="86"/>
      <c r="O1220" s="86"/>
      <c r="P1220" s="86"/>
      <c r="Q1220" s="86"/>
      <c r="R1220" s="86"/>
      <c r="S1220" s="86"/>
      <c r="T1220" s="86"/>
      <c r="U1220" s="86"/>
      <c r="V1220" s="86"/>
      <c r="W1220" s="86"/>
      <c r="X1220" s="86"/>
      <c r="Y1220" s="86"/>
      <c r="Z1220" s="86"/>
      <c r="AA1220" s="86"/>
      <c r="AB1220" s="86"/>
      <c r="AC1220" s="86"/>
      <c r="AD1220" s="86"/>
      <c r="AE1220" s="86"/>
      <c r="AF1220" s="86"/>
      <c r="AG1220" s="86"/>
      <c r="AH1220" s="86"/>
      <c r="AI1220" s="86"/>
      <c r="AJ1220" s="86"/>
    </row>
    <row r="1221" spans="1:36" x14ac:dyDescent="0.25">
      <c r="A1221" s="274"/>
      <c r="B1221" s="87"/>
      <c r="C1221" s="87"/>
      <c r="D1221" s="87"/>
      <c r="E1221" s="87"/>
      <c r="F1221" s="87"/>
      <c r="G1221" s="87"/>
      <c r="H1221" s="87"/>
      <c r="I1221" s="87"/>
      <c r="J1221" s="87"/>
      <c r="K1221" s="87"/>
      <c r="L1221" s="87"/>
      <c r="M1221" s="87"/>
      <c r="N1221" s="87"/>
      <c r="O1221" s="87"/>
      <c r="P1221" s="87"/>
      <c r="Q1221" s="87"/>
      <c r="R1221" s="87"/>
      <c r="S1221" s="87"/>
      <c r="T1221" s="87"/>
      <c r="U1221" s="87"/>
      <c r="V1221" s="87"/>
      <c r="W1221" s="87"/>
      <c r="X1221" s="87"/>
      <c r="Y1221" s="87"/>
      <c r="Z1221" s="87"/>
      <c r="AA1221" s="87"/>
      <c r="AB1221" s="87"/>
      <c r="AC1221" s="87"/>
      <c r="AD1221" s="87"/>
      <c r="AE1221" s="87"/>
      <c r="AF1221" s="87"/>
      <c r="AG1221" s="87"/>
      <c r="AH1221" s="87"/>
      <c r="AI1221" s="87"/>
      <c r="AJ1221" s="87"/>
    </row>
    <row r="1222" spans="1:36" x14ac:dyDescent="0.25">
      <c r="A1222" s="273"/>
      <c r="B1222" s="86"/>
      <c r="C1222" s="86"/>
      <c r="D1222" s="86"/>
      <c r="E1222" s="86"/>
      <c r="F1222" s="86"/>
      <c r="G1222" s="86"/>
      <c r="H1222" s="86"/>
      <c r="I1222" s="86"/>
      <c r="J1222" s="86"/>
      <c r="K1222" s="86"/>
      <c r="L1222" s="86"/>
      <c r="M1222" s="86"/>
      <c r="N1222" s="86"/>
      <c r="O1222" s="86"/>
      <c r="P1222" s="86"/>
      <c r="Q1222" s="86"/>
      <c r="R1222" s="86"/>
      <c r="S1222" s="86"/>
      <c r="T1222" s="86"/>
      <c r="U1222" s="86"/>
      <c r="V1222" s="86"/>
      <c r="W1222" s="86"/>
      <c r="X1222" s="86"/>
      <c r="Y1222" s="86"/>
      <c r="Z1222" s="86"/>
      <c r="AA1222" s="86"/>
      <c r="AB1222" s="86"/>
      <c r="AC1222" s="86"/>
      <c r="AD1222" s="86"/>
      <c r="AE1222" s="86"/>
      <c r="AF1222" s="86"/>
      <c r="AG1222" s="86"/>
      <c r="AH1222" s="86"/>
      <c r="AI1222" s="86"/>
      <c r="AJ1222" s="86"/>
    </row>
    <row r="1223" spans="1:36" x14ac:dyDescent="0.25">
      <c r="A1223" s="274"/>
      <c r="B1223" s="87"/>
      <c r="C1223" s="87"/>
      <c r="D1223" s="87"/>
      <c r="E1223" s="87"/>
      <c r="F1223" s="87"/>
      <c r="G1223" s="87"/>
      <c r="H1223" s="87"/>
      <c r="I1223" s="87"/>
      <c r="J1223" s="87"/>
      <c r="K1223" s="87"/>
      <c r="L1223" s="87"/>
      <c r="M1223" s="87"/>
      <c r="N1223" s="87"/>
      <c r="O1223" s="87"/>
      <c r="P1223" s="87"/>
      <c r="Q1223" s="87"/>
      <c r="R1223" s="87"/>
      <c r="S1223" s="87"/>
      <c r="T1223" s="87"/>
      <c r="U1223" s="87"/>
      <c r="V1223" s="87"/>
      <c r="W1223" s="87"/>
      <c r="X1223" s="87"/>
      <c r="Y1223" s="87"/>
      <c r="Z1223" s="87"/>
      <c r="AA1223" s="87"/>
      <c r="AB1223" s="87"/>
      <c r="AC1223" s="87"/>
      <c r="AD1223" s="87"/>
      <c r="AE1223" s="87"/>
      <c r="AF1223" s="87"/>
      <c r="AG1223" s="87"/>
      <c r="AH1223" s="87"/>
      <c r="AI1223" s="87"/>
      <c r="AJ1223" s="87"/>
    </row>
    <row r="1224" spans="1:36" x14ac:dyDescent="0.25">
      <c r="A1224" s="273"/>
      <c r="B1224" s="86"/>
      <c r="C1224" s="86"/>
      <c r="D1224" s="86"/>
      <c r="E1224" s="86"/>
      <c r="F1224" s="86"/>
      <c r="G1224" s="86"/>
      <c r="H1224" s="86"/>
      <c r="I1224" s="86"/>
      <c r="J1224" s="86"/>
      <c r="K1224" s="86"/>
      <c r="L1224" s="86"/>
      <c r="M1224" s="86"/>
      <c r="N1224" s="86"/>
      <c r="O1224" s="86"/>
      <c r="P1224" s="86"/>
      <c r="Q1224" s="86"/>
      <c r="R1224" s="86"/>
      <c r="S1224" s="86"/>
      <c r="T1224" s="86"/>
      <c r="U1224" s="86"/>
      <c r="V1224" s="86"/>
      <c r="W1224" s="86"/>
      <c r="X1224" s="86"/>
      <c r="Y1224" s="86"/>
      <c r="Z1224" s="86"/>
      <c r="AA1224" s="86"/>
      <c r="AB1224" s="86"/>
      <c r="AC1224" s="86"/>
      <c r="AD1224" s="86"/>
      <c r="AE1224" s="86"/>
      <c r="AF1224" s="86"/>
      <c r="AG1224" s="86"/>
      <c r="AH1224" s="86"/>
      <c r="AI1224" s="86"/>
      <c r="AJ1224" s="86"/>
    </row>
    <row r="1225" spans="1:36" x14ac:dyDescent="0.25">
      <c r="A1225" s="274"/>
      <c r="B1225" s="87"/>
      <c r="C1225" s="87"/>
      <c r="D1225" s="87"/>
      <c r="E1225" s="87"/>
      <c r="F1225" s="87"/>
      <c r="G1225" s="87"/>
      <c r="H1225" s="87"/>
      <c r="I1225" s="87"/>
      <c r="J1225" s="87"/>
      <c r="K1225" s="87"/>
      <c r="L1225" s="87"/>
      <c r="M1225" s="87"/>
      <c r="N1225" s="87"/>
      <c r="O1225" s="87"/>
      <c r="P1225" s="87"/>
      <c r="Q1225" s="87"/>
      <c r="R1225" s="87"/>
      <c r="S1225" s="87"/>
      <c r="T1225" s="87"/>
      <c r="U1225" s="87"/>
      <c r="V1225" s="87"/>
      <c r="W1225" s="87"/>
      <c r="X1225" s="87"/>
      <c r="Y1225" s="87"/>
      <c r="Z1225" s="87"/>
      <c r="AA1225" s="87"/>
      <c r="AB1225" s="87"/>
      <c r="AC1225" s="87"/>
      <c r="AD1225" s="87"/>
      <c r="AE1225" s="87"/>
      <c r="AF1225" s="87"/>
      <c r="AG1225" s="87"/>
      <c r="AH1225" s="87"/>
      <c r="AI1225" s="87"/>
      <c r="AJ1225" s="87"/>
    </row>
    <row r="1226" spans="1:36" x14ac:dyDescent="0.25">
      <c r="A1226" s="273"/>
      <c r="B1226" s="86"/>
      <c r="C1226" s="86"/>
      <c r="D1226" s="86"/>
      <c r="E1226" s="86"/>
      <c r="F1226" s="86"/>
      <c r="G1226" s="86"/>
      <c r="H1226" s="86"/>
      <c r="I1226" s="86"/>
      <c r="J1226" s="86"/>
      <c r="K1226" s="86"/>
      <c r="L1226" s="86"/>
      <c r="M1226" s="86"/>
      <c r="N1226" s="86"/>
      <c r="O1226" s="86"/>
      <c r="P1226" s="86"/>
      <c r="Q1226" s="86"/>
      <c r="R1226" s="86"/>
      <c r="S1226" s="86"/>
      <c r="T1226" s="86"/>
      <c r="U1226" s="86"/>
      <c r="V1226" s="86"/>
      <c r="W1226" s="86"/>
      <c r="X1226" s="86"/>
      <c r="Y1226" s="86"/>
      <c r="Z1226" s="86"/>
      <c r="AA1226" s="86"/>
      <c r="AB1226" s="86"/>
      <c r="AC1226" s="86"/>
      <c r="AD1226" s="86"/>
      <c r="AE1226" s="86"/>
      <c r="AF1226" s="86"/>
      <c r="AG1226" s="86"/>
      <c r="AH1226" s="86"/>
      <c r="AI1226" s="86"/>
      <c r="AJ1226" s="86"/>
    </row>
    <row r="1227" spans="1:36" x14ac:dyDescent="0.25">
      <c r="A1227" s="274"/>
      <c r="B1227" s="87"/>
      <c r="C1227" s="87"/>
      <c r="D1227" s="87"/>
      <c r="E1227" s="87"/>
      <c r="F1227" s="87"/>
      <c r="G1227" s="87"/>
      <c r="H1227" s="87"/>
      <c r="I1227" s="87"/>
      <c r="J1227" s="87"/>
      <c r="K1227" s="87"/>
      <c r="L1227" s="87"/>
      <c r="M1227" s="87"/>
      <c r="N1227" s="87"/>
      <c r="O1227" s="87"/>
      <c r="P1227" s="87"/>
      <c r="Q1227" s="87"/>
      <c r="R1227" s="87"/>
      <c r="S1227" s="87"/>
      <c r="T1227" s="87"/>
      <c r="U1227" s="87"/>
      <c r="V1227" s="87"/>
      <c r="W1227" s="87"/>
      <c r="X1227" s="87"/>
      <c r="Y1227" s="87"/>
      <c r="Z1227" s="87"/>
      <c r="AA1227" s="87"/>
      <c r="AB1227" s="87"/>
      <c r="AC1227" s="87"/>
      <c r="AD1227" s="87"/>
      <c r="AE1227" s="87"/>
      <c r="AF1227" s="87"/>
      <c r="AG1227" s="87"/>
      <c r="AH1227" s="87"/>
      <c r="AI1227" s="87"/>
      <c r="AJ1227" s="87"/>
    </row>
    <row r="1228" spans="1:36" x14ac:dyDescent="0.25">
      <c r="A1228" s="273"/>
      <c r="B1228" s="86"/>
      <c r="C1228" s="86"/>
      <c r="D1228" s="86"/>
      <c r="E1228" s="86"/>
      <c r="F1228" s="86"/>
      <c r="G1228" s="86"/>
      <c r="H1228" s="86"/>
      <c r="I1228" s="86"/>
      <c r="J1228" s="86"/>
      <c r="K1228" s="86"/>
      <c r="L1228" s="86"/>
      <c r="M1228" s="86"/>
      <c r="N1228" s="86"/>
      <c r="O1228" s="86"/>
      <c r="P1228" s="86"/>
      <c r="Q1228" s="86"/>
      <c r="R1228" s="86"/>
      <c r="S1228" s="86"/>
      <c r="T1228" s="86"/>
      <c r="U1228" s="86"/>
      <c r="V1228" s="86"/>
      <c r="W1228" s="86"/>
      <c r="X1228" s="86"/>
      <c r="Y1228" s="86"/>
      <c r="Z1228" s="86"/>
      <c r="AA1228" s="86"/>
      <c r="AB1228" s="86"/>
      <c r="AC1228" s="86"/>
      <c r="AD1228" s="86"/>
      <c r="AE1228" s="86"/>
      <c r="AF1228" s="86"/>
      <c r="AG1228" s="86"/>
      <c r="AH1228" s="86"/>
      <c r="AI1228" s="86"/>
      <c r="AJ1228" s="86"/>
    </row>
    <row r="1229" spans="1:36" x14ac:dyDescent="0.25">
      <c r="A1229" s="274"/>
      <c r="B1229" s="87"/>
      <c r="C1229" s="87"/>
      <c r="D1229" s="87"/>
      <c r="E1229" s="87"/>
      <c r="F1229" s="87"/>
      <c r="G1229" s="87"/>
      <c r="H1229" s="87"/>
      <c r="I1229" s="87"/>
      <c r="J1229" s="87"/>
      <c r="K1229" s="87"/>
      <c r="L1229" s="87"/>
      <c r="M1229" s="87"/>
      <c r="N1229" s="87"/>
      <c r="O1229" s="87"/>
      <c r="P1229" s="87"/>
      <c r="Q1229" s="87"/>
      <c r="R1229" s="87"/>
      <c r="S1229" s="87"/>
      <c r="T1229" s="87"/>
      <c r="U1229" s="87"/>
      <c r="V1229" s="87"/>
      <c r="W1229" s="87"/>
      <c r="X1229" s="87"/>
      <c r="Y1229" s="87"/>
      <c r="Z1229" s="87"/>
      <c r="AA1229" s="87"/>
      <c r="AB1229" s="87"/>
      <c r="AC1229" s="87"/>
      <c r="AD1229" s="87"/>
      <c r="AE1229" s="87"/>
      <c r="AF1229" s="87"/>
      <c r="AG1229" s="87"/>
      <c r="AH1229" s="87"/>
      <c r="AI1229" s="87"/>
      <c r="AJ1229" s="87"/>
    </row>
    <row r="1230" spans="1:36" x14ac:dyDescent="0.25">
      <c r="A1230" s="273"/>
      <c r="B1230" s="86"/>
      <c r="C1230" s="86"/>
      <c r="D1230" s="86"/>
      <c r="E1230" s="86"/>
      <c r="F1230" s="86"/>
      <c r="G1230" s="86"/>
      <c r="H1230" s="86"/>
      <c r="I1230" s="86"/>
      <c r="J1230" s="86"/>
      <c r="K1230" s="86"/>
      <c r="L1230" s="86"/>
      <c r="M1230" s="86"/>
      <c r="N1230" s="86"/>
      <c r="O1230" s="86"/>
      <c r="P1230" s="86"/>
      <c r="Q1230" s="86"/>
      <c r="R1230" s="86"/>
      <c r="S1230" s="86"/>
      <c r="T1230" s="86"/>
      <c r="U1230" s="86"/>
      <c r="V1230" s="86"/>
      <c r="W1230" s="86"/>
      <c r="X1230" s="86"/>
      <c r="Y1230" s="86"/>
      <c r="Z1230" s="86"/>
      <c r="AA1230" s="86"/>
      <c r="AB1230" s="86"/>
      <c r="AC1230" s="86"/>
      <c r="AD1230" s="86"/>
      <c r="AE1230" s="86"/>
      <c r="AF1230" s="86"/>
      <c r="AG1230" s="86"/>
      <c r="AH1230" s="86"/>
      <c r="AI1230" s="86"/>
      <c r="AJ1230" s="86"/>
    </row>
    <row r="1231" spans="1:36" x14ac:dyDescent="0.25">
      <c r="A1231" s="274"/>
      <c r="B1231" s="87"/>
      <c r="C1231" s="87"/>
      <c r="D1231" s="87"/>
      <c r="E1231" s="87"/>
      <c r="F1231" s="87"/>
      <c r="G1231" s="87"/>
      <c r="H1231" s="87"/>
      <c r="I1231" s="87"/>
      <c r="J1231" s="87"/>
      <c r="K1231" s="87"/>
      <c r="L1231" s="87"/>
      <c r="M1231" s="87"/>
      <c r="N1231" s="87"/>
      <c r="O1231" s="87"/>
      <c r="P1231" s="87"/>
      <c r="Q1231" s="87"/>
      <c r="R1231" s="87"/>
      <c r="S1231" s="87"/>
      <c r="T1231" s="87"/>
      <c r="U1231" s="87"/>
      <c r="V1231" s="87"/>
      <c r="W1231" s="87"/>
      <c r="X1231" s="87"/>
      <c r="Y1231" s="87"/>
      <c r="Z1231" s="87"/>
      <c r="AA1231" s="87"/>
      <c r="AB1231" s="87"/>
      <c r="AC1231" s="87"/>
      <c r="AD1231" s="87"/>
      <c r="AE1231" s="87"/>
      <c r="AF1231" s="87"/>
      <c r="AG1231" s="87"/>
      <c r="AH1231" s="87"/>
      <c r="AI1231" s="87"/>
      <c r="AJ1231" s="87"/>
    </row>
    <row r="1232" spans="1:36" x14ac:dyDescent="0.25">
      <c r="A1232" s="273"/>
      <c r="B1232" s="86"/>
      <c r="C1232" s="86"/>
      <c r="D1232" s="86"/>
      <c r="E1232" s="86"/>
      <c r="F1232" s="86"/>
      <c r="G1232" s="86"/>
      <c r="H1232" s="86"/>
      <c r="I1232" s="86"/>
      <c r="J1232" s="86"/>
      <c r="K1232" s="86"/>
      <c r="L1232" s="86"/>
      <c r="M1232" s="86"/>
      <c r="N1232" s="86"/>
      <c r="O1232" s="86"/>
      <c r="P1232" s="86"/>
      <c r="Q1232" s="86"/>
      <c r="R1232" s="86"/>
      <c r="S1232" s="86"/>
      <c r="T1232" s="86"/>
      <c r="U1232" s="86"/>
      <c r="V1232" s="86"/>
      <c r="W1232" s="86"/>
      <c r="X1232" s="86"/>
      <c r="Y1232" s="86"/>
      <c r="Z1232" s="86"/>
      <c r="AA1232" s="86"/>
      <c r="AB1232" s="86"/>
      <c r="AC1232" s="86"/>
      <c r="AD1232" s="86"/>
      <c r="AE1232" s="86"/>
      <c r="AF1232" s="86"/>
      <c r="AG1232" s="86"/>
      <c r="AH1232" s="86"/>
      <c r="AI1232" s="86"/>
      <c r="AJ1232" s="86"/>
    </row>
    <row r="1233" spans="1:36" x14ac:dyDescent="0.25">
      <c r="A1233" s="274"/>
      <c r="B1233" s="87"/>
      <c r="C1233" s="87"/>
      <c r="D1233" s="87"/>
      <c r="E1233" s="87"/>
      <c r="F1233" s="87"/>
      <c r="G1233" s="87"/>
      <c r="H1233" s="87"/>
      <c r="I1233" s="87"/>
      <c r="J1233" s="87"/>
      <c r="K1233" s="87"/>
      <c r="L1233" s="87"/>
      <c r="M1233" s="87"/>
      <c r="N1233" s="87"/>
      <c r="O1233" s="87"/>
      <c r="P1233" s="87"/>
      <c r="Q1233" s="87"/>
      <c r="R1233" s="87"/>
      <c r="S1233" s="87"/>
      <c r="T1233" s="87"/>
      <c r="U1233" s="87"/>
      <c r="V1233" s="87"/>
      <c r="W1233" s="87"/>
      <c r="X1233" s="87"/>
      <c r="Y1233" s="87"/>
      <c r="Z1233" s="87"/>
      <c r="AA1233" s="87"/>
      <c r="AB1233" s="87"/>
      <c r="AC1233" s="87"/>
      <c r="AD1233" s="87"/>
      <c r="AE1233" s="87"/>
      <c r="AF1233" s="87"/>
      <c r="AG1233" s="87"/>
      <c r="AH1233" s="87"/>
      <c r="AI1233" s="87"/>
      <c r="AJ1233" s="87"/>
    </row>
    <row r="1234" spans="1:36" x14ac:dyDescent="0.25">
      <c r="A1234" s="273"/>
      <c r="B1234" s="86"/>
      <c r="C1234" s="86"/>
      <c r="D1234" s="86"/>
      <c r="E1234" s="86"/>
      <c r="F1234" s="86"/>
      <c r="G1234" s="86"/>
      <c r="H1234" s="86"/>
      <c r="I1234" s="86"/>
      <c r="J1234" s="86"/>
      <c r="K1234" s="86"/>
      <c r="L1234" s="86"/>
      <c r="M1234" s="86"/>
      <c r="N1234" s="86"/>
      <c r="O1234" s="86"/>
      <c r="P1234" s="86"/>
      <c r="Q1234" s="86"/>
      <c r="R1234" s="86"/>
      <c r="S1234" s="86"/>
      <c r="T1234" s="86"/>
      <c r="U1234" s="86"/>
      <c r="V1234" s="86"/>
      <c r="W1234" s="86"/>
      <c r="X1234" s="86"/>
      <c r="Y1234" s="86"/>
      <c r="Z1234" s="86"/>
      <c r="AA1234" s="86"/>
      <c r="AB1234" s="86"/>
      <c r="AC1234" s="86"/>
      <c r="AD1234" s="86"/>
      <c r="AE1234" s="86"/>
      <c r="AF1234" s="86"/>
      <c r="AG1234" s="86"/>
      <c r="AH1234" s="86"/>
      <c r="AI1234" s="86"/>
      <c r="AJ1234" s="86"/>
    </row>
    <row r="1235" spans="1:36" x14ac:dyDescent="0.25">
      <c r="A1235" s="274"/>
      <c r="B1235" s="87"/>
      <c r="C1235" s="87"/>
      <c r="D1235" s="87"/>
      <c r="E1235" s="87"/>
      <c r="F1235" s="87"/>
      <c r="G1235" s="87"/>
      <c r="H1235" s="87"/>
      <c r="I1235" s="87"/>
      <c r="J1235" s="87"/>
      <c r="K1235" s="87"/>
      <c r="L1235" s="87"/>
      <c r="M1235" s="87"/>
      <c r="N1235" s="87"/>
      <c r="O1235" s="87"/>
      <c r="P1235" s="87"/>
      <c r="Q1235" s="87"/>
      <c r="R1235" s="87"/>
      <c r="S1235" s="87"/>
      <c r="T1235" s="87"/>
      <c r="U1235" s="87"/>
      <c r="V1235" s="87"/>
      <c r="W1235" s="87"/>
      <c r="X1235" s="87"/>
      <c r="Y1235" s="87"/>
      <c r="Z1235" s="87"/>
      <c r="AA1235" s="87"/>
      <c r="AB1235" s="87"/>
      <c r="AC1235" s="87"/>
      <c r="AD1235" s="87"/>
      <c r="AE1235" s="87"/>
      <c r="AF1235" s="87"/>
      <c r="AG1235" s="87"/>
      <c r="AH1235" s="87"/>
      <c r="AI1235" s="87"/>
      <c r="AJ1235" s="87"/>
    </row>
    <row r="1236" spans="1:36" x14ac:dyDescent="0.25">
      <c r="A1236" s="273"/>
      <c r="B1236" s="86"/>
      <c r="C1236" s="86"/>
      <c r="D1236" s="86"/>
      <c r="E1236" s="86"/>
      <c r="F1236" s="86"/>
      <c r="G1236" s="86"/>
      <c r="H1236" s="86"/>
      <c r="I1236" s="86"/>
      <c r="J1236" s="86"/>
      <c r="K1236" s="86"/>
      <c r="L1236" s="86"/>
      <c r="M1236" s="86"/>
      <c r="N1236" s="86"/>
      <c r="O1236" s="86"/>
      <c r="P1236" s="86"/>
      <c r="Q1236" s="86"/>
      <c r="R1236" s="86"/>
      <c r="S1236" s="86"/>
      <c r="T1236" s="86"/>
      <c r="U1236" s="86"/>
      <c r="V1236" s="86"/>
      <c r="W1236" s="86"/>
      <c r="X1236" s="86"/>
      <c r="Y1236" s="86"/>
      <c r="Z1236" s="86"/>
      <c r="AA1236" s="86"/>
      <c r="AB1236" s="86"/>
      <c r="AC1236" s="86"/>
      <c r="AD1236" s="86"/>
      <c r="AE1236" s="86"/>
      <c r="AF1236" s="86"/>
      <c r="AG1236" s="86"/>
      <c r="AH1236" s="86"/>
      <c r="AI1236" s="86"/>
      <c r="AJ1236" s="86"/>
    </row>
    <row r="1237" spans="1:36" x14ac:dyDescent="0.25">
      <c r="A1237" s="274"/>
      <c r="B1237" s="87"/>
      <c r="C1237" s="87"/>
      <c r="D1237" s="87"/>
      <c r="E1237" s="87"/>
      <c r="F1237" s="87"/>
      <c r="G1237" s="87"/>
      <c r="H1237" s="87"/>
      <c r="I1237" s="87"/>
      <c r="J1237" s="87"/>
      <c r="K1237" s="87"/>
      <c r="L1237" s="87"/>
      <c r="M1237" s="87"/>
      <c r="N1237" s="87"/>
      <c r="O1237" s="87"/>
      <c r="P1237" s="87"/>
      <c r="Q1237" s="87"/>
      <c r="R1237" s="87"/>
      <c r="S1237" s="87"/>
      <c r="T1237" s="87"/>
      <c r="U1237" s="87"/>
      <c r="V1237" s="87"/>
      <c r="W1237" s="87"/>
      <c r="X1237" s="87"/>
      <c r="Y1237" s="87"/>
      <c r="Z1237" s="87"/>
      <c r="AA1237" s="87"/>
      <c r="AB1237" s="87"/>
      <c r="AC1237" s="87"/>
      <c r="AD1237" s="87"/>
      <c r="AE1237" s="87"/>
      <c r="AF1237" s="87"/>
      <c r="AG1237" s="87"/>
      <c r="AH1237" s="87"/>
      <c r="AI1237" s="87"/>
      <c r="AJ1237" s="87"/>
    </row>
    <row r="1238" spans="1:36" x14ac:dyDescent="0.25">
      <c r="A1238" s="273"/>
      <c r="B1238" s="86"/>
      <c r="C1238" s="86"/>
      <c r="D1238" s="86"/>
      <c r="E1238" s="86"/>
      <c r="F1238" s="86"/>
      <c r="G1238" s="86"/>
      <c r="H1238" s="86"/>
      <c r="I1238" s="86"/>
      <c r="J1238" s="86"/>
      <c r="K1238" s="86"/>
      <c r="L1238" s="86"/>
      <c r="M1238" s="86"/>
      <c r="N1238" s="86"/>
      <c r="O1238" s="86"/>
      <c r="P1238" s="86"/>
      <c r="Q1238" s="86"/>
      <c r="R1238" s="86"/>
      <c r="S1238" s="86"/>
      <c r="T1238" s="86"/>
      <c r="U1238" s="86"/>
      <c r="V1238" s="86"/>
      <c r="W1238" s="86"/>
      <c r="X1238" s="86"/>
      <c r="Y1238" s="86"/>
      <c r="Z1238" s="86"/>
      <c r="AA1238" s="86"/>
      <c r="AB1238" s="86"/>
      <c r="AC1238" s="86"/>
      <c r="AD1238" s="86"/>
      <c r="AE1238" s="86"/>
      <c r="AF1238" s="86"/>
      <c r="AG1238" s="86"/>
      <c r="AH1238" s="86"/>
      <c r="AI1238" s="86"/>
      <c r="AJ1238" s="86"/>
    </row>
    <row r="1239" spans="1:36" x14ac:dyDescent="0.25">
      <c r="A1239" s="274"/>
      <c r="B1239" s="87"/>
      <c r="C1239" s="87"/>
      <c r="D1239" s="87"/>
      <c r="E1239" s="87"/>
      <c r="F1239" s="87"/>
      <c r="G1239" s="87"/>
      <c r="H1239" s="87"/>
      <c r="I1239" s="87"/>
      <c r="J1239" s="87"/>
      <c r="K1239" s="87"/>
      <c r="L1239" s="87"/>
      <c r="M1239" s="87"/>
      <c r="N1239" s="87"/>
      <c r="O1239" s="87"/>
      <c r="P1239" s="87"/>
      <c r="Q1239" s="87"/>
      <c r="R1239" s="87"/>
      <c r="S1239" s="87"/>
      <c r="T1239" s="87"/>
      <c r="U1239" s="87"/>
      <c r="V1239" s="87"/>
      <c r="W1239" s="87"/>
      <c r="X1239" s="87"/>
      <c r="Y1239" s="87"/>
      <c r="Z1239" s="87"/>
      <c r="AA1239" s="87"/>
      <c r="AB1239" s="87"/>
      <c r="AC1239" s="87"/>
      <c r="AD1239" s="87"/>
      <c r="AE1239" s="87"/>
      <c r="AF1239" s="87"/>
      <c r="AG1239" s="87"/>
      <c r="AH1239" s="87"/>
      <c r="AI1239" s="87"/>
      <c r="AJ1239" s="87"/>
    </row>
    <row r="1240" spans="1:36" x14ac:dyDescent="0.25">
      <c r="A1240" s="273"/>
      <c r="B1240" s="86"/>
      <c r="C1240" s="86"/>
      <c r="D1240" s="86"/>
      <c r="E1240" s="86"/>
      <c r="F1240" s="86"/>
      <c r="G1240" s="86"/>
      <c r="H1240" s="86"/>
      <c r="I1240" s="86"/>
      <c r="J1240" s="86"/>
      <c r="K1240" s="86"/>
      <c r="L1240" s="86"/>
      <c r="M1240" s="86"/>
      <c r="N1240" s="86"/>
      <c r="O1240" s="86"/>
      <c r="P1240" s="86"/>
      <c r="Q1240" s="86"/>
      <c r="R1240" s="86"/>
      <c r="S1240" s="86"/>
      <c r="T1240" s="86"/>
      <c r="U1240" s="86"/>
      <c r="V1240" s="86"/>
      <c r="W1240" s="86"/>
      <c r="X1240" s="86"/>
      <c r="Y1240" s="86"/>
      <c r="Z1240" s="86"/>
      <c r="AA1240" s="86"/>
      <c r="AB1240" s="86"/>
      <c r="AC1240" s="86"/>
      <c r="AD1240" s="86"/>
      <c r="AE1240" s="86"/>
      <c r="AF1240" s="86"/>
      <c r="AG1240" s="86"/>
      <c r="AH1240" s="86"/>
      <c r="AI1240" s="86"/>
      <c r="AJ1240" s="86"/>
    </row>
    <row r="1241" spans="1:36" x14ac:dyDescent="0.25">
      <c r="A1241" s="274"/>
      <c r="B1241" s="87"/>
      <c r="C1241" s="87"/>
      <c r="D1241" s="87"/>
      <c r="E1241" s="87"/>
      <c r="F1241" s="87"/>
      <c r="G1241" s="87"/>
      <c r="H1241" s="87"/>
      <c r="I1241" s="87"/>
      <c r="J1241" s="87"/>
      <c r="K1241" s="87"/>
      <c r="L1241" s="87"/>
      <c r="M1241" s="87"/>
      <c r="N1241" s="87"/>
      <c r="O1241" s="87"/>
      <c r="P1241" s="87"/>
      <c r="Q1241" s="87"/>
      <c r="R1241" s="87"/>
      <c r="S1241" s="87"/>
      <c r="T1241" s="87"/>
      <c r="U1241" s="87"/>
      <c r="V1241" s="87"/>
      <c r="W1241" s="87"/>
      <c r="X1241" s="87"/>
      <c r="Y1241" s="87"/>
      <c r="Z1241" s="87"/>
      <c r="AA1241" s="87"/>
      <c r="AB1241" s="87"/>
      <c r="AC1241" s="87"/>
      <c r="AD1241" s="87"/>
      <c r="AE1241" s="87"/>
      <c r="AF1241" s="87"/>
      <c r="AG1241" s="87"/>
      <c r="AH1241" s="87"/>
      <c r="AI1241" s="87"/>
      <c r="AJ1241" s="87"/>
    </row>
    <row r="1242" spans="1:36" x14ac:dyDescent="0.25">
      <c r="A1242" s="273"/>
      <c r="B1242" s="86"/>
      <c r="C1242" s="86"/>
      <c r="D1242" s="86"/>
      <c r="E1242" s="86"/>
      <c r="F1242" s="86"/>
      <c r="G1242" s="86"/>
      <c r="H1242" s="86"/>
      <c r="I1242" s="86"/>
      <c r="J1242" s="86"/>
      <c r="K1242" s="86"/>
      <c r="L1242" s="86"/>
      <c r="M1242" s="86"/>
      <c r="N1242" s="86"/>
      <c r="O1242" s="86"/>
      <c r="P1242" s="86"/>
      <c r="Q1242" s="86"/>
      <c r="R1242" s="86"/>
      <c r="S1242" s="86"/>
      <c r="T1242" s="86"/>
      <c r="U1242" s="86"/>
      <c r="V1242" s="86"/>
      <c r="W1242" s="86"/>
      <c r="X1242" s="86"/>
      <c r="Y1242" s="86"/>
      <c r="Z1242" s="86"/>
      <c r="AA1242" s="86"/>
      <c r="AB1242" s="86"/>
      <c r="AC1242" s="86"/>
      <c r="AD1242" s="86"/>
      <c r="AE1242" s="86"/>
      <c r="AF1242" s="86"/>
      <c r="AG1242" s="86"/>
      <c r="AH1242" s="86"/>
      <c r="AI1242" s="86"/>
      <c r="AJ1242" s="86"/>
    </row>
    <row r="1243" spans="1:36" x14ac:dyDescent="0.25">
      <c r="A1243" s="274"/>
      <c r="B1243" s="87"/>
      <c r="C1243" s="87"/>
      <c r="D1243" s="87"/>
      <c r="E1243" s="87"/>
      <c r="F1243" s="87"/>
      <c r="G1243" s="87"/>
      <c r="H1243" s="87"/>
      <c r="I1243" s="87"/>
      <c r="J1243" s="87"/>
      <c r="K1243" s="87"/>
      <c r="L1243" s="87"/>
      <c r="M1243" s="87"/>
      <c r="N1243" s="87"/>
      <c r="O1243" s="87"/>
      <c r="P1243" s="87"/>
      <c r="Q1243" s="87"/>
      <c r="R1243" s="87"/>
      <c r="S1243" s="87"/>
      <c r="T1243" s="87"/>
      <c r="U1243" s="87"/>
      <c r="V1243" s="87"/>
      <c r="W1243" s="87"/>
      <c r="X1243" s="87"/>
      <c r="Y1243" s="87"/>
      <c r="Z1243" s="87"/>
      <c r="AA1243" s="87"/>
      <c r="AB1243" s="87"/>
      <c r="AC1243" s="87"/>
      <c r="AD1243" s="87"/>
      <c r="AE1243" s="87"/>
      <c r="AF1243" s="87"/>
      <c r="AG1243" s="87"/>
      <c r="AH1243" s="87"/>
      <c r="AI1243" s="87"/>
      <c r="AJ1243" s="87"/>
    </row>
    <row r="1244" spans="1:36" x14ac:dyDescent="0.25">
      <c r="A1244" s="273"/>
      <c r="B1244" s="86"/>
      <c r="C1244" s="86"/>
      <c r="D1244" s="86"/>
      <c r="E1244" s="86"/>
      <c r="F1244" s="86"/>
      <c r="G1244" s="86"/>
      <c r="H1244" s="86"/>
      <c r="I1244" s="86"/>
      <c r="J1244" s="86"/>
      <c r="K1244" s="86"/>
      <c r="L1244" s="86"/>
      <c r="M1244" s="86"/>
      <c r="N1244" s="86"/>
      <c r="O1244" s="86"/>
      <c r="P1244" s="86"/>
      <c r="Q1244" s="86"/>
      <c r="R1244" s="86"/>
      <c r="S1244" s="86"/>
      <c r="T1244" s="86"/>
      <c r="U1244" s="86"/>
      <c r="V1244" s="86"/>
      <c r="W1244" s="86"/>
      <c r="X1244" s="86"/>
      <c r="Y1244" s="86"/>
      <c r="Z1244" s="86"/>
      <c r="AA1244" s="86"/>
      <c r="AB1244" s="86"/>
      <c r="AC1244" s="86"/>
      <c r="AD1244" s="86"/>
      <c r="AE1244" s="86"/>
      <c r="AF1244" s="86"/>
      <c r="AG1244" s="86"/>
      <c r="AH1244" s="86"/>
      <c r="AI1244" s="86"/>
      <c r="AJ1244" s="86"/>
    </row>
    <row r="1245" spans="1:36" x14ac:dyDescent="0.25">
      <c r="A1245" s="274"/>
      <c r="B1245" s="87"/>
      <c r="C1245" s="87"/>
      <c r="D1245" s="87"/>
      <c r="E1245" s="87"/>
      <c r="F1245" s="87"/>
      <c r="G1245" s="87"/>
      <c r="H1245" s="87"/>
      <c r="I1245" s="87"/>
      <c r="J1245" s="87"/>
      <c r="K1245" s="87"/>
      <c r="L1245" s="87"/>
      <c r="M1245" s="87"/>
      <c r="N1245" s="87"/>
      <c r="O1245" s="87"/>
      <c r="P1245" s="87"/>
      <c r="Q1245" s="87"/>
      <c r="R1245" s="87"/>
      <c r="S1245" s="87"/>
      <c r="T1245" s="87"/>
      <c r="U1245" s="87"/>
      <c r="V1245" s="87"/>
      <c r="W1245" s="87"/>
      <c r="X1245" s="87"/>
      <c r="Y1245" s="87"/>
      <c r="Z1245" s="87"/>
      <c r="AA1245" s="87"/>
      <c r="AB1245" s="87"/>
      <c r="AC1245" s="87"/>
      <c r="AD1245" s="87"/>
      <c r="AE1245" s="87"/>
      <c r="AF1245" s="87"/>
      <c r="AG1245" s="87"/>
      <c r="AH1245" s="87"/>
      <c r="AI1245" s="87"/>
      <c r="AJ1245" s="87"/>
    </row>
    <row r="1246" spans="1:36" x14ac:dyDescent="0.25">
      <c r="A1246" s="273"/>
      <c r="B1246" s="86"/>
      <c r="C1246" s="86"/>
      <c r="D1246" s="86"/>
      <c r="E1246" s="86"/>
      <c r="F1246" s="86"/>
      <c r="G1246" s="86"/>
      <c r="H1246" s="86"/>
      <c r="I1246" s="86"/>
      <c r="J1246" s="86"/>
      <c r="K1246" s="86"/>
      <c r="L1246" s="86"/>
      <c r="M1246" s="86"/>
      <c r="N1246" s="86"/>
      <c r="O1246" s="86"/>
      <c r="P1246" s="86"/>
      <c r="Q1246" s="86"/>
      <c r="R1246" s="86"/>
      <c r="S1246" s="86"/>
      <c r="T1246" s="86"/>
      <c r="U1246" s="86"/>
      <c r="V1246" s="86"/>
      <c r="W1246" s="86"/>
      <c r="X1246" s="86"/>
      <c r="Y1246" s="86"/>
      <c r="Z1246" s="86"/>
      <c r="AA1246" s="86"/>
      <c r="AB1246" s="86"/>
      <c r="AC1246" s="86"/>
      <c r="AD1246" s="86"/>
      <c r="AE1246" s="86"/>
      <c r="AF1246" s="86"/>
      <c r="AG1246" s="86"/>
      <c r="AH1246" s="86"/>
      <c r="AI1246" s="86"/>
      <c r="AJ1246" s="86"/>
    </row>
    <row r="1247" spans="1:36" x14ac:dyDescent="0.25">
      <c r="A1247" s="274"/>
      <c r="B1247" s="87"/>
      <c r="C1247" s="87"/>
      <c r="D1247" s="87"/>
      <c r="E1247" s="87"/>
      <c r="F1247" s="87"/>
      <c r="G1247" s="87"/>
      <c r="H1247" s="87"/>
      <c r="I1247" s="87"/>
      <c r="J1247" s="87"/>
      <c r="K1247" s="87"/>
      <c r="L1247" s="87"/>
      <c r="M1247" s="87"/>
      <c r="N1247" s="87"/>
      <c r="O1247" s="87"/>
      <c r="P1247" s="87"/>
      <c r="Q1247" s="87"/>
      <c r="R1247" s="87"/>
      <c r="S1247" s="87"/>
      <c r="T1247" s="87"/>
      <c r="U1247" s="87"/>
      <c r="V1247" s="87"/>
      <c r="W1247" s="87"/>
      <c r="X1247" s="87"/>
      <c r="Y1247" s="87"/>
      <c r="Z1247" s="87"/>
      <c r="AA1247" s="87"/>
      <c r="AB1247" s="87"/>
      <c r="AC1247" s="87"/>
      <c r="AD1247" s="87"/>
      <c r="AE1247" s="87"/>
      <c r="AF1247" s="87"/>
      <c r="AG1247" s="87"/>
      <c r="AH1247" s="87"/>
      <c r="AI1247" s="87"/>
      <c r="AJ1247" s="87"/>
    </row>
    <row r="1248" spans="1:36" x14ac:dyDescent="0.25">
      <c r="A1248" s="273"/>
      <c r="B1248" s="86"/>
      <c r="C1248" s="86"/>
      <c r="D1248" s="86"/>
      <c r="E1248" s="86"/>
      <c r="F1248" s="86"/>
      <c r="G1248" s="86"/>
      <c r="H1248" s="86"/>
      <c r="I1248" s="86"/>
      <c r="J1248" s="86"/>
      <c r="K1248" s="86"/>
      <c r="L1248" s="86"/>
      <c r="M1248" s="86"/>
      <c r="N1248" s="86"/>
      <c r="O1248" s="86"/>
      <c r="P1248" s="86"/>
      <c r="Q1248" s="86"/>
      <c r="R1248" s="86"/>
      <c r="S1248" s="86"/>
      <c r="T1248" s="86"/>
      <c r="U1248" s="86"/>
      <c r="V1248" s="86"/>
      <c r="W1248" s="86"/>
      <c r="X1248" s="86"/>
      <c r="Y1248" s="86"/>
      <c r="Z1248" s="86"/>
      <c r="AA1248" s="86"/>
      <c r="AB1248" s="86"/>
      <c r="AC1248" s="86"/>
      <c r="AD1248" s="86"/>
      <c r="AE1248" s="86"/>
      <c r="AF1248" s="86"/>
      <c r="AG1248" s="86"/>
      <c r="AH1248" s="86"/>
      <c r="AI1248" s="86"/>
      <c r="AJ1248" s="86"/>
    </row>
    <row r="1249" spans="1:36" x14ac:dyDescent="0.25">
      <c r="A1249" s="274"/>
      <c r="B1249" s="87"/>
      <c r="C1249" s="87"/>
      <c r="D1249" s="87"/>
      <c r="E1249" s="87"/>
      <c r="F1249" s="87"/>
      <c r="G1249" s="87"/>
      <c r="H1249" s="87"/>
      <c r="I1249" s="87"/>
      <c r="J1249" s="87"/>
      <c r="K1249" s="87"/>
      <c r="L1249" s="87"/>
      <c r="M1249" s="87"/>
      <c r="N1249" s="87"/>
      <c r="O1249" s="87"/>
      <c r="P1249" s="87"/>
      <c r="Q1249" s="87"/>
      <c r="R1249" s="87"/>
      <c r="S1249" s="87"/>
      <c r="T1249" s="87"/>
      <c r="U1249" s="87"/>
      <c r="V1249" s="87"/>
      <c r="W1249" s="87"/>
      <c r="X1249" s="87"/>
      <c r="Y1249" s="87"/>
      <c r="Z1249" s="87"/>
      <c r="AA1249" s="87"/>
      <c r="AB1249" s="87"/>
      <c r="AC1249" s="87"/>
      <c r="AD1249" s="87"/>
      <c r="AE1249" s="87"/>
      <c r="AF1249" s="87"/>
      <c r="AG1249" s="87"/>
      <c r="AH1249" s="87"/>
      <c r="AI1249" s="87"/>
      <c r="AJ1249" s="87"/>
    </row>
    <row r="1250" spans="1:36" x14ac:dyDescent="0.25">
      <c r="A1250" s="273"/>
      <c r="B1250" s="86"/>
      <c r="C1250" s="86"/>
      <c r="D1250" s="86"/>
      <c r="E1250" s="86"/>
      <c r="F1250" s="86"/>
      <c r="G1250" s="86"/>
      <c r="H1250" s="86"/>
      <c r="I1250" s="86"/>
      <c r="J1250" s="86"/>
      <c r="K1250" s="86"/>
      <c r="L1250" s="86"/>
      <c r="M1250" s="86"/>
      <c r="N1250" s="86"/>
      <c r="O1250" s="86"/>
      <c r="P1250" s="86"/>
      <c r="Q1250" s="86"/>
      <c r="R1250" s="86"/>
      <c r="S1250" s="86"/>
      <c r="T1250" s="86"/>
      <c r="U1250" s="86"/>
      <c r="V1250" s="86"/>
      <c r="W1250" s="86"/>
      <c r="X1250" s="86"/>
      <c r="Y1250" s="86"/>
      <c r="Z1250" s="86"/>
      <c r="AA1250" s="86"/>
      <c r="AB1250" s="86"/>
      <c r="AC1250" s="86"/>
      <c r="AD1250" s="86"/>
      <c r="AE1250" s="86"/>
      <c r="AF1250" s="86"/>
      <c r="AG1250" s="86"/>
      <c r="AH1250" s="86"/>
      <c r="AI1250" s="86"/>
      <c r="AJ1250" s="86"/>
    </row>
    <row r="1251" spans="1:36" x14ac:dyDescent="0.25">
      <c r="A1251" s="274"/>
      <c r="B1251" s="87"/>
      <c r="C1251" s="87"/>
      <c r="D1251" s="87"/>
      <c r="E1251" s="87"/>
      <c r="F1251" s="87"/>
      <c r="G1251" s="87"/>
      <c r="H1251" s="87"/>
      <c r="I1251" s="87"/>
      <c r="J1251" s="87"/>
      <c r="K1251" s="87"/>
      <c r="L1251" s="87"/>
      <c r="M1251" s="87"/>
      <c r="N1251" s="87"/>
      <c r="O1251" s="87"/>
      <c r="P1251" s="87"/>
      <c r="Q1251" s="87"/>
      <c r="R1251" s="87"/>
      <c r="S1251" s="87"/>
      <c r="T1251" s="87"/>
      <c r="U1251" s="87"/>
      <c r="V1251" s="87"/>
      <c r="W1251" s="87"/>
      <c r="X1251" s="87"/>
      <c r="Y1251" s="87"/>
      <c r="Z1251" s="87"/>
      <c r="AA1251" s="87"/>
      <c r="AB1251" s="87"/>
      <c r="AC1251" s="87"/>
      <c r="AD1251" s="87"/>
      <c r="AE1251" s="87"/>
      <c r="AF1251" s="87"/>
      <c r="AG1251" s="87"/>
      <c r="AH1251" s="87"/>
      <c r="AI1251" s="87"/>
      <c r="AJ1251" s="87"/>
    </row>
    <row r="1252" spans="1:36" x14ac:dyDescent="0.25">
      <c r="A1252" s="273"/>
      <c r="B1252" s="86"/>
      <c r="C1252" s="86"/>
      <c r="D1252" s="86"/>
      <c r="E1252" s="86"/>
      <c r="F1252" s="86"/>
      <c r="G1252" s="86"/>
      <c r="H1252" s="86"/>
      <c r="I1252" s="86"/>
      <c r="J1252" s="86"/>
      <c r="K1252" s="86"/>
      <c r="L1252" s="86"/>
      <c r="M1252" s="86"/>
      <c r="N1252" s="86"/>
      <c r="O1252" s="86"/>
      <c r="P1252" s="86"/>
      <c r="Q1252" s="86"/>
      <c r="R1252" s="86"/>
      <c r="S1252" s="86"/>
      <c r="T1252" s="86"/>
      <c r="U1252" s="86"/>
      <c r="V1252" s="86"/>
      <c r="W1252" s="86"/>
      <c r="X1252" s="86"/>
      <c r="Y1252" s="86"/>
      <c r="Z1252" s="86"/>
      <c r="AA1252" s="86"/>
      <c r="AB1252" s="86"/>
      <c r="AC1252" s="86"/>
      <c r="AD1252" s="86"/>
      <c r="AE1252" s="86"/>
      <c r="AF1252" s="86"/>
      <c r="AG1252" s="86"/>
      <c r="AH1252" s="86"/>
      <c r="AI1252" s="86"/>
      <c r="AJ1252" s="86"/>
    </row>
    <row r="1253" spans="1:36" x14ac:dyDescent="0.25">
      <c r="A1253" s="274"/>
      <c r="B1253" s="87"/>
      <c r="C1253" s="87"/>
      <c r="D1253" s="87"/>
      <c r="E1253" s="87"/>
      <c r="F1253" s="87"/>
      <c r="G1253" s="87"/>
      <c r="H1253" s="87"/>
      <c r="I1253" s="87"/>
      <c r="J1253" s="87"/>
      <c r="K1253" s="87"/>
      <c r="L1253" s="87"/>
      <c r="M1253" s="87"/>
      <c r="N1253" s="87"/>
      <c r="O1253" s="87"/>
      <c r="P1253" s="87"/>
      <c r="Q1253" s="87"/>
      <c r="R1253" s="87"/>
      <c r="S1253" s="87"/>
      <c r="T1253" s="87"/>
      <c r="U1253" s="87"/>
      <c r="V1253" s="87"/>
      <c r="W1253" s="87"/>
      <c r="X1253" s="87"/>
      <c r="Y1253" s="87"/>
      <c r="Z1253" s="87"/>
      <c r="AA1253" s="87"/>
      <c r="AB1253" s="87"/>
      <c r="AC1253" s="87"/>
      <c r="AD1253" s="87"/>
      <c r="AE1253" s="87"/>
      <c r="AF1253" s="87"/>
      <c r="AG1253" s="87"/>
      <c r="AH1253" s="87"/>
      <c r="AI1253" s="87"/>
      <c r="AJ1253" s="87"/>
    </row>
    <row r="1254" spans="1:36" x14ac:dyDescent="0.25">
      <c r="A1254" s="273"/>
      <c r="B1254" s="86"/>
      <c r="C1254" s="86"/>
      <c r="D1254" s="86"/>
      <c r="E1254" s="86"/>
      <c r="F1254" s="86"/>
      <c r="G1254" s="86"/>
      <c r="H1254" s="86"/>
      <c r="I1254" s="86"/>
      <c r="J1254" s="86"/>
      <c r="K1254" s="86"/>
      <c r="L1254" s="86"/>
      <c r="M1254" s="86"/>
      <c r="N1254" s="86"/>
      <c r="O1254" s="86"/>
      <c r="P1254" s="86"/>
      <c r="Q1254" s="86"/>
      <c r="R1254" s="86"/>
      <c r="S1254" s="86"/>
      <c r="T1254" s="86"/>
      <c r="U1254" s="86"/>
      <c r="V1254" s="86"/>
      <c r="W1254" s="86"/>
      <c r="X1254" s="86"/>
      <c r="Y1254" s="86"/>
      <c r="Z1254" s="86"/>
      <c r="AA1254" s="86"/>
      <c r="AB1254" s="86"/>
      <c r="AC1254" s="86"/>
      <c r="AD1254" s="86"/>
      <c r="AE1254" s="86"/>
      <c r="AF1254" s="86"/>
      <c r="AG1254" s="86"/>
      <c r="AH1254" s="86"/>
      <c r="AI1254" s="86"/>
      <c r="AJ1254" s="86"/>
    </row>
    <row r="1255" spans="1:36" x14ac:dyDescent="0.25">
      <c r="A1255" s="274"/>
      <c r="B1255" s="87"/>
      <c r="C1255" s="87"/>
      <c r="D1255" s="87"/>
      <c r="E1255" s="87"/>
      <c r="F1255" s="87"/>
      <c r="G1255" s="87"/>
      <c r="H1255" s="87"/>
      <c r="I1255" s="87"/>
      <c r="J1255" s="87"/>
      <c r="K1255" s="87"/>
      <c r="L1255" s="87"/>
      <c r="M1255" s="87"/>
      <c r="N1255" s="87"/>
      <c r="O1255" s="87"/>
      <c r="P1255" s="87"/>
      <c r="Q1255" s="87"/>
      <c r="R1255" s="87"/>
      <c r="S1255" s="87"/>
      <c r="T1255" s="87"/>
      <c r="U1255" s="87"/>
      <c r="V1255" s="87"/>
      <c r="W1255" s="87"/>
      <c r="X1255" s="87"/>
      <c r="Y1255" s="87"/>
      <c r="Z1255" s="87"/>
      <c r="AA1255" s="87"/>
      <c r="AB1255" s="87"/>
      <c r="AC1255" s="87"/>
      <c r="AD1255" s="87"/>
      <c r="AE1255" s="87"/>
      <c r="AF1255" s="87"/>
      <c r="AG1255" s="87"/>
      <c r="AH1255" s="87"/>
      <c r="AI1255" s="87"/>
      <c r="AJ1255" s="87"/>
    </row>
    <row r="1256" spans="1:36" x14ac:dyDescent="0.25">
      <c r="A1256" s="273"/>
      <c r="B1256" s="86"/>
      <c r="C1256" s="86"/>
      <c r="D1256" s="86"/>
      <c r="E1256" s="86"/>
      <c r="F1256" s="86"/>
      <c r="G1256" s="86"/>
      <c r="H1256" s="86"/>
      <c r="I1256" s="86"/>
      <c r="J1256" s="86"/>
      <c r="K1256" s="86"/>
      <c r="L1256" s="86"/>
      <c r="M1256" s="86"/>
      <c r="N1256" s="86"/>
      <c r="O1256" s="86"/>
      <c r="P1256" s="86"/>
      <c r="Q1256" s="86"/>
      <c r="R1256" s="86"/>
      <c r="S1256" s="86"/>
      <c r="T1256" s="86"/>
      <c r="U1256" s="86"/>
      <c r="V1256" s="86"/>
      <c r="W1256" s="86"/>
      <c r="X1256" s="86"/>
      <c r="Y1256" s="86"/>
      <c r="Z1256" s="86"/>
      <c r="AA1256" s="86"/>
      <c r="AB1256" s="86"/>
      <c r="AC1256" s="86"/>
      <c r="AD1256" s="86"/>
      <c r="AE1256" s="86"/>
      <c r="AF1256" s="86"/>
      <c r="AG1256" s="86"/>
      <c r="AH1256" s="86"/>
      <c r="AI1256" s="86"/>
      <c r="AJ1256" s="86"/>
    </row>
    <row r="1257" spans="1:36" x14ac:dyDescent="0.25">
      <c r="A1257" s="274"/>
      <c r="B1257" s="87"/>
      <c r="C1257" s="87"/>
      <c r="D1257" s="87"/>
      <c r="E1257" s="87"/>
      <c r="F1257" s="87"/>
      <c r="G1257" s="87"/>
      <c r="H1257" s="87"/>
      <c r="I1257" s="87"/>
      <c r="J1257" s="87"/>
      <c r="K1257" s="87"/>
      <c r="L1257" s="87"/>
      <c r="M1257" s="87"/>
      <c r="N1257" s="87"/>
      <c r="O1257" s="87"/>
      <c r="P1257" s="87"/>
      <c r="Q1257" s="87"/>
      <c r="R1257" s="87"/>
      <c r="S1257" s="87"/>
      <c r="T1257" s="87"/>
      <c r="U1257" s="87"/>
      <c r="V1257" s="87"/>
      <c r="W1257" s="87"/>
      <c r="X1257" s="87"/>
      <c r="Y1257" s="87"/>
      <c r="Z1257" s="87"/>
      <c r="AA1257" s="87"/>
      <c r="AB1257" s="87"/>
      <c r="AC1257" s="87"/>
      <c r="AD1257" s="87"/>
      <c r="AE1257" s="87"/>
      <c r="AF1257" s="87"/>
      <c r="AG1257" s="87"/>
      <c r="AH1257" s="87"/>
      <c r="AI1257" s="87"/>
      <c r="AJ1257" s="87"/>
    </row>
    <row r="1258" spans="1:36" x14ac:dyDescent="0.25">
      <c r="A1258" s="273"/>
      <c r="B1258" s="86"/>
      <c r="C1258" s="86"/>
      <c r="D1258" s="86"/>
      <c r="E1258" s="86"/>
      <c r="F1258" s="86"/>
      <c r="G1258" s="86"/>
      <c r="H1258" s="86"/>
      <c r="I1258" s="86"/>
      <c r="J1258" s="86"/>
      <c r="K1258" s="86"/>
      <c r="L1258" s="86"/>
      <c r="M1258" s="86"/>
      <c r="N1258" s="86"/>
      <c r="O1258" s="86"/>
      <c r="P1258" s="86"/>
      <c r="Q1258" s="86"/>
      <c r="R1258" s="86"/>
      <c r="S1258" s="86"/>
      <c r="T1258" s="86"/>
      <c r="U1258" s="86"/>
      <c r="V1258" s="86"/>
      <c r="W1258" s="86"/>
      <c r="X1258" s="86"/>
      <c r="Y1258" s="86"/>
      <c r="Z1258" s="86"/>
      <c r="AA1258" s="86"/>
      <c r="AB1258" s="86"/>
      <c r="AC1258" s="86"/>
      <c r="AD1258" s="86"/>
      <c r="AE1258" s="86"/>
      <c r="AF1258" s="86"/>
      <c r="AG1258" s="86"/>
      <c r="AH1258" s="86"/>
      <c r="AI1258" s="86"/>
      <c r="AJ1258" s="86"/>
    </row>
    <row r="1259" spans="1:36" x14ac:dyDescent="0.25">
      <c r="A1259" s="274"/>
      <c r="B1259" s="87"/>
      <c r="C1259" s="87"/>
      <c r="D1259" s="87"/>
      <c r="E1259" s="87"/>
      <c r="F1259" s="87"/>
      <c r="G1259" s="87"/>
      <c r="H1259" s="87"/>
      <c r="I1259" s="87"/>
      <c r="J1259" s="87"/>
      <c r="K1259" s="87"/>
      <c r="L1259" s="87"/>
      <c r="M1259" s="87"/>
      <c r="N1259" s="87"/>
      <c r="O1259" s="87"/>
      <c r="P1259" s="87"/>
      <c r="Q1259" s="87"/>
      <c r="R1259" s="87"/>
      <c r="S1259" s="87"/>
      <c r="T1259" s="87"/>
      <c r="U1259" s="87"/>
      <c r="V1259" s="87"/>
      <c r="W1259" s="87"/>
      <c r="X1259" s="87"/>
      <c r="Y1259" s="87"/>
      <c r="Z1259" s="87"/>
      <c r="AA1259" s="87"/>
      <c r="AB1259" s="87"/>
      <c r="AC1259" s="87"/>
      <c r="AD1259" s="87"/>
      <c r="AE1259" s="87"/>
      <c r="AF1259" s="87"/>
      <c r="AG1259" s="87"/>
      <c r="AH1259" s="87"/>
      <c r="AI1259" s="87"/>
      <c r="AJ1259" s="87"/>
    </row>
    <row r="1260" spans="1:36" x14ac:dyDescent="0.25">
      <c r="A1260" s="273"/>
      <c r="B1260" s="86"/>
      <c r="C1260" s="86"/>
      <c r="D1260" s="86"/>
      <c r="E1260" s="86"/>
      <c r="F1260" s="86"/>
      <c r="G1260" s="86"/>
      <c r="H1260" s="86"/>
      <c r="I1260" s="86"/>
      <c r="J1260" s="86"/>
      <c r="K1260" s="86"/>
      <c r="L1260" s="86"/>
      <c r="M1260" s="86"/>
      <c r="N1260" s="86"/>
      <c r="O1260" s="86"/>
      <c r="P1260" s="86"/>
      <c r="Q1260" s="86"/>
      <c r="R1260" s="86"/>
      <c r="S1260" s="86"/>
      <c r="T1260" s="86"/>
      <c r="U1260" s="86"/>
      <c r="V1260" s="86"/>
      <c r="W1260" s="86"/>
      <c r="X1260" s="86"/>
      <c r="Y1260" s="86"/>
      <c r="Z1260" s="86"/>
      <c r="AA1260" s="86"/>
      <c r="AB1260" s="86"/>
      <c r="AC1260" s="86"/>
      <c r="AD1260" s="86"/>
      <c r="AE1260" s="86"/>
      <c r="AF1260" s="86"/>
      <c r="AG1260" s="86"/>
      <c r="AH1260" s="86"/>
      <c r="AI1260" s="86"/>
      <c r="AJ1260" s="86"/>
    </row>
    <row r="1261" spans="1:36" x14ac:dyDescent="0.25">
      <c r="A1261" s="274"/>
      <c r="B1261" s="87"/>
      <c r="C1261" s="87"/>
      <c r="D1261" s="87"/>
      <c r="E1261" s="87"/>
      <c r="F1261" s="87"/>
      <c r="G1261" s="87"/>
      <c r="H1261" s="87"/>
      <c r="I1261" s="87"/>
      <c r="J1261" s="87"/>
      <c r="K1261" s="87"/>
      <c r="L1261" s="87"/>
      <c r="M1261" s="87"/>
      <c r="N1261" s="87"/>
      <c r="O1261" s="87"/>
      <c r="P1261" s="87"/>
      <c r="Q1261" s="87"/>
      <c r="R1261" s="87"/>
      <c r="S1261" s="87"/>
      <c r="T1261" s="87"/>
      <c r="U1261" s="87"/>
      <c r="V1261" s="87"/>
      <c r="W1261" s="87"/>
      <c r="X1261" s="87"/>
      <c r="Y1261" s="87"/>
      <c r="Z1261" s="87"/>
      <c r="AA1261" s="87"/>
      <c r="AB1261" s="87"/>
      <c r="AC1261" s="87"/>
      <c r="AD1261" s="87"/>
      <c r="AE1261" s="87"/>
      <c r="AF1261" s="87"/>
      <c r="AG1261" s="87"/>
      <c r="AH1261" s="87"/>
      <c r="AI1261" s="87"/>
      <c r="AJ1261" s="87"/>
    </row>
    <row r="1262" spans="1:36" x14ac:dyDescent="0.25">
      <c r="A1262" s="273"/>
      <c r="B1262" s="86"/>
      <c r="C1262" s="86"/>
      <c r="D1262" s="86"/>
      <c r="E1262" s="86"/>
      <c r="F1262" s="86"/>
      <c r="G1262" s="86"/>
      <c r="H1262" s="86"/>
      <c r="I1262" s="86"/>
      <c r="J1262" s="86"/>
      <c r="K1262" s="86"/>
      <c r="L1262" s="86"/>
      <c r="M1262" s="86"/>
      <c r="N1262" s="86"/>
      <c r="O1262" s="86"/>
      <c r="P1262" s="86"/>
      <c r="Q1262" s="86"/>
      <c r="R1262" s="86"/>
      <c r="S1262" s="86"/>
      <c r="T1262" s="86"/>
      <c r="U1262" s="86"/>
      <c r="V1262" s="86"/>
      <c r="W1262" s="86"/>
      <c r="X1262" s="86"/>
      <c r="Y1262" s="86"/>
      <c r="Z1262" s="86"/>
      <c r="AA1262" s="86"/>
      <c r="AB1262" s="86"/>
      <c r="AC1262" s="86"/>
      <c r="AD1262" s="86"/>
      <c r="AE1262" s="86"/>
      <c r="AF1262" s="86"/>
      <c r="AG1262" s="86"/>
      <c r="AH1262" s="86"/>
      <c r="AI1262" s="86"/>
      <c r="AJ1262" s="86"/>
    </row>
    <row r="1263" spans="1:36" x14ac:dyDescent="0.25">
      <c r="A1263" s="274"/>
      <c r="B1263" s="87"/>
      <c r="C1263" s="87"/>
      <c r="D1263" s="87"/>
      <c r="E1263" s="87"/>
      <c r="F1263" s="87"/>
      <c r="G1263" s="87"/>
      <c r="H1263" s="87"/>
      <c r="I1263" s="87"/>
      <c r="J1263" s="87"/>
      <c r="K1263" s="87"/>
      <c r="L1263" s="87"/>
      <c r="M1263" s="87"/>
      <c r="N1263" s="87"/>
      <c r="O1263" s="87"/>
      <c r="P1263" s="87"/>
      <c r="Q1263" s="87"/>
      <c r="R1263" s="87"/>
      <c r="S1263" s="87"/>
      <c r="T1263" s="87"/>
      <c r="U1263" s="87"/>
      <c r="V1263" s="87"/>
      <c r="W1263" s="87"/>
      <c r="X1263" s="87"/>
      <c r="Y1263" s="87"/>
      <c r="Z1263" s="87"/>
      <c r="AA1263" s="87"/>
      <c r="AB1263" s="87"/>
      <c r="AC1263" s="87"/>
      <c r="AD1263" s="87"/>
      <c r="AE1263" s="87"/>
      <c r="AF1263" s="87"/>
      <c r="AG1263" s="87"/>
      <c r="AH1263" s="87"/>
      <c r="AI1263" s="87"/>
      <c r="AJ1263" s="87"/>
    </row>
    <row r="1264" spans="1:36" x14ac:dyDescent="0.25">
      <c r="A1264" s="273"/>
      <c r="B1264" s="86"/>
      <c r="C1264" s="86"/>
      <c r="D1264" s="86"/>
      <c r="E1264" s="86"/>
      <c r="F1264" s="86"/>
      <c r="G1264" s="86"/>
      <c r="H1264" s="86"/>
      <c r="I1264" s="86"/>
      <c r="J1264" s="86"/>
      <c r="K1264" s="86"/>
      <c r="L1264" s="86"/>
      <c r="M1264" s="86"/>
      <c r="N1264" s="86"/>
      <c r="O1264" s="86"/>
      <c r="P1264" s="86"/>
      <c r="Q1264" s="86"/>
      <c r="R1264" s="86"/>
      <c r="S1264" s="86"/>
      <c r="T1264" s="86"/>
      <c r="U1264" s="86"/>
      <c r="V1264" s="86"/>
      <c r="W1264" s="86"/>
      <c r="X1264" s="86"/>
      <c r="Y1264" s="86"/>
      <c r="Z1264" s="86"/>
      <c r="AA1264" s="86"/>
      <c r="AB1264" s="86"/>
      <c r="AC1264" s="86"/>
      <c r="AD1264" s="86"/>
      <c r="AE1264" s="86"/>
      <c r="AF1264" s="86"/>
      <c r="AG1264" s="86"/>
      <c r="AH1264" s="86"/>
      <c r="AI1264" s="86"/>
      <c r="AJ1264" s="86"/>
    </row>
    <row r="1265" spans="1:36" x14ac:dyDescent="0.25">
      <c r="A1265" s="274"/>
      <c r="B1265" s="87"/>
      <c r="C1265" s="87"/>
      <c r="D1265" s="87"/>
      <c r="E1265" s="87"/>
      <c r="F1265" s="87"/>
      <c r="G1265" s="87"/>
      <c r="H1265" s="87"/>
      <c r="I1265" s="87"/>
      <c r="J1265" s="87"/>
      <c r="K1265" s="87"/>
      <c r="L1265" s="87"/>
      <c r="M1265" s="87"/>
      <c r="N1265" s="87"/>
      <c r="O1265" s="87"/>
      <c r="P1265" s="87"/>
      <c r="Q1265" s="87"/>
      <c r="R1265" s="87"/>
      <c r="S1265" s="87"/>
      <c r="T1265" s="87"/>
      <c r="U1265" s="87"/>
      <c r="V1265" s="87"/>
      <c r="W1265" s="87"/>
      <c r="X1265" s="87"/>
      <c r="Y1265" s="87"/>
      <c r="Z1265" s="87"/>
      <c r="AA1265" s="87"/>
      <c r="AB1265" s="87"/>
      <c r="AC1265" s="87"/>
      <c r="AD1265" s="87"/>
      <c r="AE1265" s="87"/>
      <c r="AF1265" s="87"/>
      <c r="AG1265" s="87"/>
      <c r="AH1265" s="87"/>
      <c r="AI1265" s="87"/>
      <c r="AJ1265" s="87"/>
    </row>
    <row r="1266" spans="1:36" x14ac:dyDescent="0.25">
      <c r="A1266" s="273"/>
      <c r="B1266" s="86"/>
      <c r="C1266" s="86"/>
      <c r="D1266" s="86"/>
      <c r="E1266" s="86"/>
      <c r="F1266" s="86"/>
      <c r="G1266" s="86"/>
      <c r="H1266" s="86"/>
      <c r="I1266" s="86"/>
      <c r="J1266" s="86"/>
      <c r="K1266" s="86"/>
      <c r="L1266" s="86"/>
      <c r="M1266" s="86"/>
      <c r="N1266" s="86"/>
      <c r="O1266" s="86"/>
      <c r="P1266" s="86"/>
      <c r="Q1266" s="86"/>
      <c r="R1266" s="86"/>
      <c r="S1266" s="86"/>
      <c r="T1266" s="86"/>
      <c r="U1266" s="86"/>
      <c r="V1266" s="86"/>
      <c r="W1266" s="86"/>
      <c r="X1266" s="86"/>
      <c r="Y1266" s="86"/>
      <c r="Z1266" s="86"/>
      <c r="AA1266" s="86"/>
      <c r="AB1266" s="86"/>
      <c r="AC1266" s="86"/>
      <c r="AD1266" s="86"/>
      <c r="AE1266" s="86"/>
      <c r="AF1266" s="86"/>
      <c r="AG1266" s="86"/>
      <c r="AH1266" s="86"/>
      <c r="AI1266" s="86"/>
      <c r="AJ1266" s="86"/>
    </row>
    <row r="1267" spans="1:36" x14ac:dyDescent="0.25">
      <c r="A1267" s="274"/>
      <c r="B1267" s="87"/>
      <c r="C1267" s="87"/>
      <c r="D1267" s="87"/>
      <c r="E1267" s="87"/>
      <c r="F1267" s="87"/>
      <c r="G1267" s="87"/>
      <c r="H1267" s="87"/>
      <c r="I1267" s="87"/>
      <c r="J1267" s="87"/>
      <c r="K1267" s="87"/>
      <c r="L1267" s="87"/>
      <c r="M1267" s="87"/>
      <c r="N1267" s="87"/>
      <c r="O1267" s="87"/>
      <c r="P1267" s="87"/>
      <c r="Q1267" s="87"/>
      <c r="R1267" s="87"/>
      <c r="S1267" s="87"/>
      <c r="T1267" s="87"/>
      <c r="U1267" s="87"/>
      <c r="V1267" s="87"/>
      <c r="W1267" s="87"/>
      <c r="X1267" s="87"/>
      <c r="Y1267" s="87"/>
      <c r="Z1267" s="87"/>
      <c r="AA1267" s="87"/>
      <c r="AB1267" s="87"/>
      <c r="AC1267" s="87"/>
      <c r="AD1267" s="87"/>
      <c r="AE1267" s="87"/>
      <c r="AF1267" s="87"/>
      <c r="AG1267" s="87"/>
      <c r="AH1267" s="87"/>
      <c r="AI1267" s="87"/>
      <c r="AJ1267" s="87"/>
    </row>
    <row r="1268" spans="1:36" x14ac:dyDescent="0.25">
      <c r="A1268" s="273"/>
      <c r="B1268" s="86"/>
      <c r="C1268" s="86"/>
      <c r="D1268" s="86"/>
      <c r="E1268" s="86"/>
      <c r="F1268" s="86"/>
      <c r="G1268" s="86"/>
      <c r="H1268" s="86"/>
      <c r="I1268" s="86"/>
      <c r="J1268" s="86"/>
      <c r="K1268" s="86"/>
      <c r="L1268" s="86"/>
      <c r="M1268" s="86"/>
      <c r="N1268" s="86"/>
      <c r="O1268" s="86"/>
      <c r="P1268" s="86"/>
      <c r="Q1268" s="86"/>
      <c r="R1268" s="86"/>
      <c r="S1268" s="86"/>
      <c r="T1268" s="86"/>
      <c r="U1268" s="86"/>
      <c r="V1268" s="86"/>
      <c r="W1268" s="86"/>
      <c r="X1268" s="86"/>
      <c r="Y1268" s="86"/>
      <c r="Z1268" s="86"/>
      <c r="AA1268" s="86"/>
      <c r="AB1268" s="86"/>
      <c r="AC1268" s="86"/>
      <c r="AD1268" s="86"/>
      <c r="AE1268" s="86"/>
      <c r="AF1268" s="86"/>
      <c r="AG1268" s="86"/>
      <c r="AH1268" s="86"/>
      <c r="AI1268" s="86"/>
      <c r="AJ1268" s="86"/>
    </row>
    <row r="1269" spans="1:36" x14ac:dyDescent="0.25">
      <c r="A1269" s="274"/>
      <c r="B1269" s="87"/>
      <c r="C1269" s="87"/>
      <c r="D1269" s="87"/>
      <c r="E1269" s="87"/>
      <c r="F1269" s="87"/>
      <c r="G1269" s="87"/>
      <c r="H1269" s="87"/>
      <c r="I1269" s="87"/>
      <c r="J1269" s="87"/>
      <c r="K1269" s="87"/>
      <c r="L1269" s="87"/>
      <c r="M1269" s="87"/>
      <c r="N1269" s="87"/>
      <c r="O1269" s="87"/>
      <c r="P1269" s="87"/>
      <c r="Q1269" s="87"/>
      <c r="R1269" s="87"/>
      <c r="S1269" s="87"/>
      <c r="T1269" s="87"/>
      <c r="U1269" s="87"/>
      <c r="V1269" s="87"/>
      <c r="W1269" s="87"/>
      <c r="X1269" s="87"/>
      <c r="Y1269" s="87"/>
      <c r="Z1269" s="87"/>
      <c r="AA1269" s="87"/>
      <c r="AB1269" s="87"/>
      <c r="AC1269" s="87"/>
      <c r="AD1269" s="87"/>
      <c r="AE1269" s="87"/>
      <c r="AF1269" s="87"/>
      <c r="AG1269" s="87"/>
      <c r="AH1269" s="87"/>
      <c r="AI1269" s="87"/>
      <c r="AJ1269" s="87"/>
    </row>
    <row r="1270" spans="1:36" x14ac:dyDescent="0.25">
      <c r="A1270" s="273"/>
      <c r="B1270" s="86"/>
      <c r="C1270" s="86"/>
      <c r="D1270" s="86"/>
      <c r="E1270" s="86"/>
      <c r="F1270" s="86"/>
      <c r="G1270" s="86"/>
      <c r="H1270" s="86"/>
      <c r="I1270" s="86"/>
      <c r="J1270" s="86"/>
      <c r="K1270" s="86"/>
      <c r="L1270" s="86"/>
      <c r="M1270" s="86"/>
      <c r="N1270" s="86"/>
      <c r="O1270" s="86"/>
      <c r="P1270" s="86"/>
      <c r="Q1270" s="86"/>
      <c r="R1270" s="86"/>
      <c r="S1270" s="86"/>
      <c r="T1270" s="86"/>
      <c r="U1270" s="86"/>
      <c r="V1270" s="86"/>
      <c r="W1270" s="86"/>
      <c r="X1270" s="86"/>
      <c r="Y1270" s="86"/>
      <c r="Z1270" s="86"/>
      <c r="AA1270" s="86"/>
      <c r="AB1270" s="86"/>
      <c r="AC1270" s="86"/>
      <c r="AD1270" s="86"/>
      <c r="AE1270" s="86"/>
      <c r="AF1270" s="86"/>
      <c r="AG1270" s="86"/>
      <c r="AH1270" s="86"/>
      <c r="AI1270" s="86"/>
      <c r="AJ1270" s="86"/>
    </row>
    <row r="1271" spans="1:36" x14ac:dyDescent="0.25">
      <c r="A1271" s="274"/>
      <c r="B1271" s="87"/>
      <c r="C1271" s="87"/>
      <c r="D1271" s="87"/>
      <c r="E1271" s="87"/>
      <c r="F1271" s="87"/>
      <c r="G1271" s="87"/>
      <c r="H1271" s="87"/>
      <c r="I1271" s="87"/>
      <c r="J1271" s="87"/>
      <c r="K1271" s="87"/>
      <c r="L1271" s="87"/>
      <c r="M1271" s="87"/>
      <c r="N1271" s="87"/>
      <c r="O1271" s="87"/>
      <c r="P1271" s="87"/>
      <c r="Q1271" s="87"/>
      <c r="R1271" s="87"/>
      <c r="S1271" s="87"/>
      <c r="T1271" s="87"/>
      <c r="U1271" s="87"/>
      <c r="V1271" s="87"/>
      <c r="W1271" s="87"/>
      <c r="X1271" s="87"/>
      <c r="Y1271" s="87"/>
      <c r="Z1271" s="87"/>
      <c r="AA1271" s="87"/>
      <c r="AB1271" s="87"/>
      <c r="AC1271" s="87"/>
      <c r="AD1271" s="87"/>
      <c r="AE1271" s="87"/>
      <c r="AF1271" s="87"/>
      <c r="AG1271" s="87"/>
      <c r="AH1271" s="87"/>
      <c r="AI1271" s="87"/>
      <c r="AJ1271" s="87"/>
    </row>
    <row r="1272" spans="1:36" x14ac:dyDescent="0.25">
      <c r="A1272" s="273"/>
      <c r="B1272" s="86"/>
      <c r="C1272" s="86"/>
      <c r="D1272" s="86"/>
      <c r="E1272" s="86"/>
      <c r="F1272" s="86"/>
      <c r="G1272" s="86"/>
      <c r="H1272" s="86"/>
      <c r="I1272" s="86"/>
      <c r="J1272" s="86"/>
      <c r="K1272" s="86"/>
      <c r="L1272" s="86"/>
      <c r="M1272" s="86"/>
      <c r="N1272" s="86"/>
      <c r="O1272" s="86"/>
      <c r="P1272" s="86"/>
      <c r="Q1272" s="86"/>
      <c r="R1272" s="86"/>
      <c r="S1272" s="86"/>
      <c r="T1272" s="86"/>
      <c r="U1272" s="86"/>
      <c r="V1272" s="86"/>
      <c r="W1272" s="86"/>
      <c r="X1272" s="86"/>
      <c r="Y1272" s="86"/>
      <c r="Z1272" s="86"/>
      <c r="AA1272" s="86"/>
      <c r="AB1272" s="86"/>
      <c r="AC1272" s="86"/>
      <c r="AD1272" s="86"/>
      <c r="AE1272" s="86"/>
      <c r="AF1272" s="86"/>
      <c r="AG1272" s="86"/>
      <c r="AH1272" s="86"/>
      <c r="AI1272" s="86"/>
      <c r="AJ1272" s="86"/>
    </row>
    <row r="1273" spans="1:36" x14ac:dyDescent="0.25">
      <c r="A1273" s="274"/>
      <c r="B1273" s="87"/>
      <c r="C1273" s="87"/>
      <c r="D1273" s="87"/>
      <c r="E1273" s="87"/>
      <c r="F1273" s="87"/>
      <c r="G1273" s="87"/>
      <c r="H1273" s="87"/>
      <c r="I1273" s="87"/>
      <c r="J1273" s="87"/>
      <c r="K1273" s="87"/>
      <c r="L1273" s="87"/>
      <c r="M1273" s="87"/>
      <c r="N1273" s="87"/>
      <c r="O1273" s="87"/>
      <c r="P1273" s="87"/>
      <c r="Q1273" s="87"/>
      <c r="R1273" s="87"/>
      <c r="S1273" s="87"/>
      <c r="T1273" s="87"/>
      <c r="U1273" s="87"/>
      <c r="V1273" s="87"/>
      <c r="W1273" s="87"/>
      <c r="X1273" s="87"/>
      <c r="Y1273" s="87"/>
      <c r="Z1273" s="87"/>
      <c r="AA1273" s="87"/>
      <c r="AB1273" s="87"/>
      <c r="AC1273" s="87"/>
      <c r="AD1273" s="87"/>
      <c r="AE1273" s="87"/>
      <c r="AF1273" s="87"/>
      <c r="AG1273" s="87"/>
      <c r="AH1273" s="87"/>
      <c r="AI1273" s="87"/>
      <c r="AJ1273" s="87"/>
    </row>
    <row r="1274" spans="1:36" x14ac:dyDescent="0.25">
      <c r="A1274" s="273"/>
      <c r="B1274" s="86"/>
      <c r="C1274" s="86"/>
      <c r="D1274" s="86"/>
      <c r="E1274" s="86"/>
      <c r="F1274" s="86"/>
      <c r="G1274" s="86"/>
      <c r="H1274" s="86"/>
      <c r="I1274" s="86"/>
      <c r="J1274" s="86"/>
      <c r="K1274" s="86"/>
      <c r="L1274" s="86"/>
      <c r="M1274" s="86"/>
      <c r="N1274" s="86"/>
      <c r="O1274" s="86"/>
      <c r="P1274" s="86"/>
      <c r="Q1274" s="86"/>
      <c r="R1274" s="86"/>
      <c r="S1274" s="86"/>
      <c r="T1274" s="86"/>
      <c r="U1274" s="86"/>
      <c r="V1274" s="86"/>
      <c r="W1274" s="86"/>
      <c r="X1274" s="86"/>
      <c r="Y1274" s="86"/>
      <c r="Z1274" s="86"/>
      <c r="AA1274" s="86"/>
      <c r="AB1274" s="86"/>
      <c r="AC1274" s="86"/>
      <c r="AD1274" s="86"/>
      <c r="AE1274" s="86"/>
      <c r="AF1274" s="86"/>
      <c r="AG1274" s="86"/>
      <c r="AH1274" s="86"/>
      <c r="AI1274" s="86"/>
      <c r="AJ1274" s="86"/>
    </row>
    <row r="1275" spans="1:36" x14ac:dyDescent="0.25">
      <c r="A1275" s="274"/>
      <c r="B1275" s="87"/>
      <c r="C1275" s="87"/>
      <c r="D1275" s="87"/>
      <c r="E1275" s="87"/>
      <c r="F1275" s="87"/>
      <c r="G1275" s="87"/>
      <c r="H1275" s="87"/>
      <c r="I1275" s="87"/>
      <c r="J1275" s="87"/>
      <c r="K1275" s="87"/>
      <c r="L1275" s="87"/>
      <c r="M1275" s="87"/>
      <c r="N1275" s="87"/>
      <c r="O1275" s="87"/>
      <c r="P1275" s="87"/>
      <c r="Q1275" s="87"/>
      <c r="R1275" s="87"/>
      <c r="S1275" s="87"/>
      <c r="T1275" s="87"/>
      <c r="U1275" s="87"/>
      <c r="V1275" s="87"/>
      <c r="W1275" s="87"/>
      <c r="X1275" s="87"/>
      <c r="Y1275" s="87"/>
      <c r="Z1275" s="87"/>
      <c r="AA1275" s="87"/>
      <c r="AB1275" s="87"/>
      <c r="AC1275" s="87"/>
      <c r="AD1275" s="87"/>
      <c r="AE1275" s="87"/>
      <c r="AF1275" s="87"/>
      <c r="AG1275" s="87"/>
      <c r="AH1275" s="87"/>
      <c r="AI1275" s="87"/>
      <c r="AJ1275" s="87"/>
    </row>
    <row r="1276" spans="1:36" x14ac:dyDescent="0.25">
      <c r="A1276" s="273"/>
      <c r="B1276" s="86"/>
      <c r="C1276" s="86"/>
      <c r="D1276" s="86"/>
      <c r="E1276" s="86"/>
      <c r="F1276" s="86"/>
      <c r="G1276" s="86"/>
      <c r="H1276" s="86"/>
      <c r="I1276" s="86"/>
      <c r="J1276" s="86"/>
      <c r="K1276" s="86"/>
      <c r="L1276" s="86"/>
      <c r="M1276" s="86"/>
      <c r="N1276" s="86"/>
      <c r="O1276" s="86"/>
      <c r="P1276" s="86"/>
      <c r="Q1276" s="86"/>
      <c r="R1276" s="86"/>
      <c r="S1276" s="86"/>
      <c r="T1276" s="86"/>
      <c r="U1276" s="86"/>
      <c r="V1276" s="86"/>
      <c r="W1276" s="86"/>
      <c r="X1276" s="86"/>
      <c r="Y1276" s="86"/>
      <c r="Z1276" s="86"/>
      <c r="AA1276" s="86"/>
      <c r="AB1276" s="86"/>
      <c r="AC1276" s="86"/>
      <c r="AD1276" s="86"/>
      <c r="AE1276" s="86"/>
      <c r="AF1276" s="86"/>
      <c r="AG1276" s="86"/>
      <c r="AH1276" s="86"/>
      <c r="AI1276" s="86"/>
      <c r="AJ1276" s="86"/>
    </row>
    <row r="1277" spans="1:36" x14ac:dyDescent="0.25">
      <c r="A1277" s="274"/>
      <c r="B1277" s="87"/>
      <c r="C1277" s="87"/>
      <c r="D1277" s="87"/>
      <c r="E1277" s="87"/>
      <c r="F1277" s="87"/>
      <c r="G1277" s="87"/>
      <c r="H1277" s="87"/>
      <c r="I1277" s="87"/>
      <c r="J1277" s="87"/>
      <c r="K1277" s="87"/>
      <c r="L1277" s="87"/>
      <c r="M1277" s="87"/>
      <c r="N1277" s="87"/>
      <c r="O1277" s="87"/>
      <c r="P1277" s="87"/>
      <c r="Q1277" s="87"/>
      <c r="R1277" s="87"/>
      <c r="S1277" s="87"/>
      <c r="T1277" s="87"/>
      <c r="U1277" s="87"/>
      <c r="V1277" s="87"/>
      <c r="W1277" s="87"/>
      <c r="X1277" s="87"/>
      <c r="Y1277" s="87"/>
      <c r="Z1277" s="87"/>
      <c r="AA1277" s="87"/>
      <c r="AB1277" s="87"/>
      <c r="AC1277" s="87"/>
      <c r="AD1277" s="87"/>
      <c r="AE1277" s="87"/>
      <c r="AF1277" s="87"/>
      <c r="AG1277" s="87"/>
      <c r="AH1277" s="87"/>
      <c r="AI1277" s="87"/>
      <c r="AJ1277" s="87"/>
    </row>
    <row r="1278" spans="1:36" x14ac:dyDescent="0.25">
      <c r="A1278" s="273"/>
      <c r="B1278" s="86"/>
      <c r="C1278" s="86"/>
      <c r="D1278" s="86"/>
      <c r="E1278" s="86"/>
      <c r="F1278" s="86"/>
      <c r="G1278" s="86"/>
      <c r="H1278" s="86"/>
      <c r="I1278" s="86"/>
      <c r="J1278" s="86"/>
      <c r="K1278" s="86"/>
      <c r="L1278" s="86"/>
      <c r="M1278" s="86"/>
      <c r="N1278" s="86"/>
      <c r="O1278" s="86"/>
      <c r="P1278" s="86"/>
      <c r="Q1278" s="86"/>
      <c r="R1278" s="86"/>
      <c r="S1278" s="86"/>
      <c r="T1278" s="86"/>
      <c r="U1278" s="86"/>
      <c r="V1278" s="86"/>
      <c r="W1278" s="86"/>
      <c r="X1278" s="86"/>
      <c r="Y1278" s="86"/>
      <c r="Z1278" s="86"/>
      <c r="AA1278" s="86"/>
      <c r="AB1278" s="86"/>
      <c r="AC1278" s="86"/>
      <c r="AD1278" s="86"/>
      <c r="AE1278" s="86"/>
      <c r="AF1278" s="86"/>
      <c r="AG1278" s="86"/>
      <c r="AH1278" s="86"/>
      <c r="AI1278" s="86"/>
      <c r="AJ1278" s="86"/>
    </row>
    <row r="1279" spans="1:36" x14ac:dyDescent="0.25">
      <c r="A1279" s="274"/>
      <c r="B1279" s="87"/>
      <c r="C1279" s="87"/>
      <c r="D1279" s="87"/>
      <c r="E1279" s="87"/>
      <c r="F1279" s="87"/>
      <c r="G1279" s="87"/>
      <c r="H1279" s="87"/>
      <c r="I1279" s="87"/>
      <c r="J1279" s="87"/>
      <c r="K1279" s="87"/>
      <c r="L1279" s="87"/>
      <c r="M1279" s="87"/>
      <c r="N1279" s="87"/>
      <c r="O1279" s="87"/>
      <c r="P1279" s="87"/>
      <c r="Q1279" s="87"/>
      <c r="R1279" s="87"/>
      <c r="S1279" s="87"/>
      <c r="T1279" s="87"/>
      <c r="U1279" s="87"/>
      <c r="V1279" s="87"/>
      <c r="W1279" s="87"/>
      <c r="X1279" s="87"/>
      <c r="Y1279" s="87"/>
      <c r="Z1279" s="87"/>
      <c r="AA1279" s="87"/>
      <c r="AB1279" s="87"/>
      <c r="AC1279" s="87"/>
      <c r="AD1279" s="87"/>
      <c r="AE1279" s="87"/>
      <c r="AF1279" s="87"/>
      <c r="AG1279" s="87"/>
      <c r="AH1279" s="87"/>
      <c r="AI1279" s="87"/>
      <c r="AJ1279" s="87"/>
    </row>
    <row r="1280" spans="1:36" x14ac:dyDescent="0.25">
      <c r="A1280" s="273"/>
      <c r="B1280" s="86"/>
      <c r="C1280" s="86"/>
      <c r="D1280" s="86"/>
      <c r="E1280" s="86"/>
      <c r="F1280" s="86"/>
      <c r="G1280" s="86"/>
      <c r="H1280" s="86"/>
      <c r="I1280" s="86"/>
      <c r="J1280" s="86"/>
      <c r="K1280" s="86"/>
      <c r="L1280" s="86"/>
      <c r="M1280" s="86"/>
      <c r="N1280" s="86"/>
      <c r="O1280" s="86"/>
      <c r="P1280" s="86"/>
      <c r="Q1280" s="86"/>
      <c r="R1280" s="86"/>
      <c r="S1280" s="86"/>
      <c r="T1280" s="86"/>
      <c r="U1280" s="86"/>
      <c r="V1280" s="86"/>
      <c r="W1280" s="86"/>
      <c r="X1280" s="86"/>
      <c r="Y1280" s="86"/>
      <c r="Z1280" s="86"/>
      <c r="AA1280" s="86"/>
      <c r="AB1280" s="86"/>
      <c r="AC1280" s="86"/>
      <c r="AD1280" s="86"/>
      <c r="AE1280" s="86"/>
      <c r="AF1280" s="86"/>
      <c r="AG1280" s="86"/>
      <c r="AH1280" s="86"/>
      <c r="AI1280" s="86"/>
      <c r="AJ1280" s="86"/>
    </row>
    <row r="1281" spans="1:36" x14ac:dyDescent="0.25">
      <c r="A1281" s="274"/>
      <c r="B1281" s="87"/>
      <c r="C1281" s="87"/>
      <c r="D1281" s="87"/>
      <c r="E1281" s="87"/>
      <c r="F1281" s="87"/>
      <c r="G1281" s="87"/>
      <c r="H1281" s="87"/>
      <c r="I1281" s="87"/>
      <c r="J1281" s="87"/>
      <c r="K1281" s="87"/>
      <c r="L1281" s="87"/>
      <c r="M1281" s="87"/>
      <c r="N1281" s="87"/>
      <c r="O1281" s="87"/>
      <c r="P1281" s="87"/>
      <c r="Q1281" s="87"/>
      <c r="R1281" s="87"/>
      <c r="S1281" s="87"/>
      <c r="T1281" s="87"/>
      <c r="U1281" s="87"/>
      <c r="V1281" s="87"/>
      <c r="W1281" s="87"/>
      <c r="X1281" s="87"/>
      <c r="Y1281" s="87"/>
      <c r="Z1281" s="87"/>
      <c r="AA1281" s="87"/>
      <c r="AB1281" s="87"/>
      <c r="AC1281" s="87"/>
      <c r="AD1281" s="87"/>
      <c r="AE1281" s="87"/>
      <c r="AF1281" s="87"/>
      <c r="AG1281" s="87"/>
      <c r="AH1281" s="87"/>
      <c r="AI1281" s="87"/>
      <c r="AJ1281" s="87"/>
    </row>
    <row r="1282" spans="1:36" x14ac:dyDescent="0.25">
      <c r="A1282" s="273"/>
      <c r="B1282" s="86"/>
      <c r="C1282" s="86"/>
      <c r="D1282" s="86"/>
      <c r="E1282" s="86"/>
      <c r="F1282" s="86"/>
      <c r="G1282" s="86"/>
      <c r="H1282" s="86"/>
      <c r="I1282" s="86"/>
      <c r="J1282" s="86"/>
      <c r="K1282" s="86"/>
      <c r="L1282" s="86"/>
      <c r="M1282" s="86"/>
      <c r="N1282" s="86"/>
      <c r="O1282" s="86"/>
      <c r="P1282" s="86"/>
      <c r="Q1282" s="86"/>
      <c r="R1282" s="86"/>
      <c r="S1282" s="86"/>
      <c r="T1282" s="86"/>
      <c r="U1282" s="86"/>
      <c r="V1282" s="86"/>
      <c r="W1282" s="86"/>
      <c r="X1282" s="86"/>
      <c r="Y1282" s="86"/>
      <c r="Z1282" s="86"/>
      <c r="AA1282" s="86"/>
      <c r="AB1282" s="86"/>
      <c r="AC1282" s="86"/>
      <c r="AD1282" s="86"/>
      <c r="AE1282" s="86"/>
      <c r="AF1282" s="86"/>
      <c r="AG1282" s="86"/>
      <c r="AH1282" s="86"/>
      <c r="AI1282" s="86"/>
      <c r="AJ1282" s="86"/>
    </row>
    <row r="1283" spans="1:36" x14ac:dyDescent="0.25">
      <c r="A1283" s="274"/>
      <c r="B1283" s="87"/>
      <c r="C1283" s="87"/>
      <c r="D1283" s="87"/>
      <c r="E1283" s="87"/>
      <c r="F1283" s="87"/>
      <c r="G1283" s="87"/>
      <c r="H1283" s="87"/>
      <c r="I1283" s="87"/>
      <c r="J1283" s="87"/>
      <c r="K1283" s="87"/>
      <c r="L1283" s="87"/>
      <c r="M1283" s="87"/>
      <c r="N1283" s="87"/>
      <c r="O1283" s="87"/>
      <c r="P1283" s="87"/>
      <c r="Q1283" s="87"/>
      <c r="R1283" s="87"/>
      <c r="S1283" s="87"/>
      <c r="T1283" s="87"/>
      <c r="U1283" s="87"/>
      <c r="V1283" s="87"/>
      <c r="W1283" s="87"/>
      <c r="X1283" s="87"/>
      <c r="Y1283" s="87"/>
      <c r="Z1283" s="87"/>
      <c r="AA1283" s="87"/>
      <c r="AB1283" s="87"/>
      <c r="AC1283" s="87"/>
      <c r="AD1283" s="87"/>
      <c r="AE1283" s="87"/>
      <c r="AF1283" s="87"/>
      <c r="AG1283" s="87"/>
      <c r="AH1283" s="87"/>
      <c r="AI1283" s="87"/>
      <c r="AJ1283" s="87"/>
    </row>
    <row r="1284" spans="1:36" x14ac:dyDescent="0.25">
      <c r="A1284" s="273"/>
      <c r="B1284" s="86"/>
      <c r="C1284" s="86"/>
      <c r="D1284" s="86"/>
      <c r="E1284" s="86"/>
      <c r="F1284" s="86"/>
      <c r="G1284" s="86"/>
      <c r="H1284" s="86"/>
      <c r="I1284" s="86"/>
      <c r="J1284" s="86"/>
      <c r="K1284" s="86"/>
      <c r="L1284" s="86"/>
      <c r="M1284" s="86"/>
      <c r="N1284" s="86"/>
      <c r="O1284" s="86"/>
      <c r="P1284" s="86"/>
      <c r="Q1284" s="86"/>
      <c r="R1284" s="86"/>
      <c r="S1284" s="86"/>
      <c r="T1284" s="86"/>
      <c r="U1284" s="86"/>
      <c r="V1284" s="86"/>
      <c r="W1284" s="86"/>
      <c r="X1284" s="86"/>
      <c r="Y1284" s="86"/>
      <c r="Z1284" s="86"/>
      <c r="AA1284" s="86"/>
      <c r="AB1284" s="86"/>
      <c r="AC1284" s="86"/>
      <c r="AD1284" s="86"/>
      <c r="AE1284" s="86"/>
      <c r="AF1284" s="86"/>
      <c r="AG1284" s="86"/>
      <c r="AH1284" s="86"/>
      <c r="AI1284" s="86"/>
      <c r="AJ1284" s="86"/>
    </row>
    <row r="1285" spans="1:36" x14ac:dyDescent="0.25">
      <c r="A1285" s="274"/>
      <c r="B1285" s="87"/>
      <c r="C1285" s="87"/>
      <c r="D1285" s="87"/>
      <c r="E1285" s="87"/>
      <c r="F1285" s="87"/>
      <c r="G1285" s="87"/>
      <c r="H1285" s="87"/>
      <c r="I1285" s="87"/>
      <c r="J1285" s="87"/>
      <c r="K1285" s="87"/>
      <c r="L1285" s="87"/>
      <c r="M1285" s="87"/>
      <c r="N1285" s="87"/>
      <c r="O1285" s="87"/>
      <c r="P1285" s="87"/>
      <c r="Q1285" s="87"/>
      <c r="R1285" s="87"/>
      <c r="S1285" s="87"/>
      <c r="T1285" s="87"/>
      <c r="U1285" s="87"/>
      <c r="V1285" s="87"/>
      <c r="W1285" s="87"/>
      <c r="X1285" s="87"/>
      <c r="Y1285" s="87"/>
      <c r="Z1285" s="87"/>
      <c r="AA1285" s="87"/>
      <c r="AB1285" s="87"/>
      <c r="AC1285" s="87"/>
      <c r="AD1285" s="87"/>
      <c r="AE1285" s="87"/>
      <c r="AF1285" s="87"/>
      <c r="AG1285" s="87"/>
      <c r="AH1285" s="87"/>
      <c r="AI1285" s="87"/>
      <c r="AJ1285" s="87"/>
    </row>
    <row r="1286" spans="1:36" x14ac:dyDescent="0.25">
      <c r="A1286" s="273"/>
      <c r="B1286" s="86"/>
      <c r="C1286" s="86"/>
      <c r="D1286" s="86"/>
      <c r="E1286" s="86"/>
      <c r="F1286" s="86"/>
      <c r="G1286" s="86"/>
      <c r="H1286" s="86"/>
      <c r="I1286" s="86"/>
      <c r="J1286" s="86"/>
      <c r="K1286" s="86"/>
      <c r="L1286" s="86"/>
      <c r="M1286" s="86"/>
      <c r="N1286" s="86"/>
      <c r="O1286" s="86"/>
      <c r="P1286" s="86"/>
      <c r="Q1286" s="86"/>
      <c r="R1286" s="86"/>
      <c r="S1286" s="86"/>
      <c r="T1286" s="86"/>
      <c r="U1286" s="86"/>
      <c r="V1286" s="86"/>
      <c r="W1286" s="86"/>
      <c r="X1286" s="86"/>
      <c r="Y1286" s="86"/>
      <c r="Z1286" s="86"/>
      <c r="AA1286" s="86"/>
      <c r="AB1286" s="86"/>
      <c r="AC1286" s="86"/>
      <c r="AD1286" s="86"/>
      <c r="AE1286" s="86"/>
      <c r="AF1286" s="86"/>
      <c r="AG1286" s="86"/>
      <c r="AH1286" s="86"/>
      <c r="AI1286" s="86"/>
      <c r="AJ1286" s="86"/>
    </row>
    <row r="1287" spans="1:36" x14ac:dyDescent="0.25">
      <c r="A1287" s="274"/>
      <c r="B1287" s="87"/>
      <c r="C1287" s="87"/>
      <c r="D1287" s="87"/>
      <c r="E1287" s="87"/>
      <c r="F1287" s="87"/>
      <c r="G1287" s="87"/>
      <c r="H1287" s="87"/>
      <c r="I1287" s="87"/>
      <c r="J1287" s="87"/>
      <c r="K1287" s="87"/>
      <c r="L1287" s="87"/>
      <c r="M1287" s="87"/>
      <c r="N1287" s="87"/>
      <c r="O1287" s="87"/>
      <c r="P1287" s="87"/>
      <c r="Q1287" s="87"/>
      <c r="R1287" s="87"/>
      <c r="S1287" s="87"/>
      <c r="T1287" s="87"/>
      <c r="U1287" s="87"/>
      <c r="V1287" s="87"/>
      <c r="W1287" s="87"/>
      <c r="X1287" s="87"/>
      <c r="Y1287" s="87"/>
      <c r="Z1287" s="87"/>
      <c r="AA1287" s="87"/>
      <c r="AB1287" s="87"/>
      <c r="AC1287" s="87"/>
      <c r="AD1287" s="87"/>
      <c r="AE1287" s="87"/>
      <c r="AF1287" s="87"/>
      <c r="AG1287" s="87"/>
      <c r="AH1287" s="87"/>
      <c r="AI1287" s="87"/>
      <c r="AJ1287" s="87"/>
    </row>
    <row r="1288" spans="1:36" x14ac:dyDescent="0.25">
      <c r="A1288" s="273"/>
      <c r="B1288" s="86"/>
      <c r="C1288" s="86"/>
      <c r="D1288" s="86"/>
      <c r="E1288" s="86"/>
      <c r="F1288" s="86"/>
      <c r="G1288" s="86"/>
      <c r="H1288" s="86"/>
      <c r="I1288" s="86"/>
      <c r="J1288" s="86"/>
      <c r="K1288" s="86"/>
      <c r="L1288" s="86"/>
      <c r="M1288" s="86"/>
      <c r="N1288" s="86"/>
      <c r="O1288" s="86"/>
      <c r="P1288" s="86"/>
      <c r="Q1288" s="86"/>
      <c r="R1288" s="86"/>
      <c r="S1288" s="86"/>
      <c r="T1288" s="86"/>
      <c r="U1288" s="86"/>
      <c r="V1288" s="86"/>
      <c r="W1288" s="86"/>
      <c r="X1288" s="86"/>
      <c r="Y1288" s="86"/>
      <c r="Z1288" s="86"/>
      <c r="AA1288" s="86"/>
      <c r="AB1288" s="86"/>
      <c r="AC1288" s="86"/>
      <c r="AD1288" s="86"/>
      <c r="AE1288" s="86"/>
      <c r="AF1288" s="86"/>
      <c r="AG1288" s="86"/>
      <c r="AH1288" s="86"/>
      <c r="AI1288" s="86"/>
      <c r="AJ1288" s="86"/>
    </row>
    <row r="1289" spans="1:36" x14ac:dyDescent="0.25">
      <c r="A1289" s="274"/>
      <c r="B1289" s="87"/>
      <c r="C1289" s="87"/>
      <c r="D1289" s="87"/>
      <c r="E1289" s="87"/>
      <c r="F1289" s="87"/>
      <c r="G1289" s="87"/>
      <c r="H1289" s="87"/>
      <c r="I1289" s="87"/>
      <c r="J1289" s="87"/>
      <c r="K1289" s="87"/>
      <c r="L1289" s="87"/>
      <c r="M1289" s="87"/>
      <c r="N1289" s="87"/>
      <c r="O1289" s="87"/>
      <c r="P1289" s="87"/>
      <c r="Q1289" s="87"/>
      <c r="R1289" s="87"/>
      <c r="S1289" s="87"/>
      <c r="T1289" s="87"/>
      <c r="U1289" s="87"/>
      <c r="V1289" s="87"/>
      <c r="W1289" s="87"/>
      <c r="X1289" s="87"/>
      <c r="Y1289" s="87"/>
      <c r="Z1289" s="87"/>
      <c r="AA1289" s="87"/>
      <c r="AB1289" s="87"/>
      <c r="AC1289" s="87"/>
      <c r="AD1289" s="87"/>
      <c r="AE1289" s="87"/>
      <c r="AF1289" s="87"/>
      <c r="AG1289" s="87"/>
      <c r="AH1289" s="87"/>
      <c r="AI1289" s="87"/>
      <c r="AJ1289" s="87"/>
    </row>
    <row r="1290" spans="1:36" x14ac:dyDescent="0.25">
      <c r="A1290" s="273"/>
      <c r="B1290" s="86"/>
      <c r="C1290" s="86"/>
      <c r="D1290" s="86"/>
      <c r="E1290" s="86"/>
      <c r="F1290" s="86"/>
      <c r="G1290" s="86"/>
      <c r="H1290" s="86"/>
      <c r="I1290" s="86"/>
      <c r="J1290" s="86"/>
      <c r="K1290" s="86"/>
      <c r="L1290" s="86"/>
      <c r="M1290" s="86"/>
      <c r="N1290" s="86"/>
      <c r="O1290" s="86"/>
      <c r="P1290" s="86"/>
      <c r="Q1290" s="86"/>
      <c r="R1290" s="86"/>
      <c r="S1290" s="86"/>
      <c r="T1290" s="86"/>
      <c r="U1290" s="86"/>
      <c r="V1290" s="86"/>
      <c r="W1290" s="86"/>
      <c r="X1290" s="86"/>
      <c r="Y1290" s="86"/>
      <c r="Z1290" s="86"/>
      <c r="AA1290" s="86"/>
      <c r="AB1290" s="86"/>
      <c r="AC1290" s="86"/>
      <c r="AD1290" s="86"/>
      <c r="AE1290" s="86"/>
      <c r="AF1290" s="86"/>
      <c r="AG1290" s="86"/>
      <c r="AH1290" s="86"/>
      <c r="AI1290" s="86"/>
      <c r="AJ1290" s="86"/>
    </row>
    <row r="1291" spans="1:36" x14ac:dyDescent="0.25">
      <c r="A1291" s="274"/>
      <c r="B1291" s="87"/>
      <c r="C1291" s="87"/>
      <c r="D1291" s="87"/>
      <c r="E1291" s="87"/>
      <c r="F1291" s="87"/>
      <c r="G1291" s="87"/>
      <c r="H1291" s="87"/>
      <c r="I1291" s="87"/>
      <c r="J1291" s="87"/>
      <c r="K1291" s="87"/>
      <c r="L1291" s="87"/>
      <c r="M1291" s="87"/>
      <c r="N1291" s="87"/>
      <c r="O1291" s="87"/>
      <c r="P1291" s="87"/>
      <c r="Q1291" s="87"/>
      <c r="R1291" s="87"/>
      <c r="S1291" s="87"/>
      <c r="T1291" s="87"/>
      <c r="U1291" s="87"/>
      <c r="V1291" s="87"/>
      <c r="W1291" s="87"/>
      <c r="X1291" s="87"/>
      <c r="Y1291" s="87"/>
      <c r="Z1291" s="87"/>
      <c r="AA1291" s="87"/>
      <c r="AB1291" s="87"/>
      <c r="AC1291" s="87"/>
      <c r="AD1291" s="87"/>
      <c r="AE1291" s="87"/>
      <c r="AF1291" s="87"/>
      <c r="AG1291" s="87"/>
      <c r="AH1291" s="87"/>
      <c r="AI1291" s="87"/>
      <c r="AJ1291" s="87"/>
    </row>
    <row r="1292" spans="1:36" x14ac:dyDescent="0.25">
      <c r="A1292" s="273"/>
      <c r="B1292" s="86"/>
      <c r="C1292" s="86"/>
      <c r="D1292" s="86"/>
      <c r="E1292" s="86"/>
      <c r="F1292" s="86"/>
      <c r="G1292" s="86"/>
      <c r="H1292" s="86"/>
      <c r="I1292" s="86"/>
      <c r="J1292" s="86"/>
      <c r="K1292" s="86"/>
      <c r="L1292" s="86"/>
      <c r="M1292" s="86"/>
      <c r="N1292" s="86"/>
      <c r="O1292" s="86"/>
      <c r="P1292" s="86"/>
      <c r="Q1292" s="86"/>
      <c r="R1292" s="86"/>
      <c r="S1292" s="86"/>
      <c r="T1292" s="86"/>
      <c r="U1292" s="86"/>
      <c r="V1292" s="86"/>
      <c r="W1292" s="86"/>
      <c r="X1292" s="86"/>
      <c r="Y1292" s="86"/>
      <c r="Z1292" s="86"/>
      <c r="AA1292" s="86"/>
      <c r="AB1292" s="86"/>
      <c r="AC1292" s="86"/>
      <c r="AD1292" s="86"/>
      <c r="AE1292" s="86"/>
      <c r="AF1292" s="86"/>
      <c r="AG1292" s="86"/>
      <c r="AH1292" s="86"/>
      <c r="AI1292" s="86"/>
      <c r="AJ1292" s="86"/>
    </row>
    <row r="1293" spans="1:36" x14ac:dyDescent="0.25">
      <c r="A1293" s="274"/>
      <c r="B1293" s="87"/>
      <c r="C1293" s="87"/>
      <c r="D1293" s="87"/>
      <c r="E1293" s="87"/>
      <c r="F1293" s="87"/>
      <c r="G1293" s="87"/>
      <c r="H1293" s="87"/>
      <c r="I1293" s="87"/>
      <c r="J1293" s="87"/>
      <c r="K1293" s="87"/>
      <c r="L1293" s="87"/>
      <c r="M1293" s="87"/>
      <c r="N1293" s="87"/>
      <c r="O1293" s="87"/>
      <c r="P1293" s="87"/>
      <c r="Q1293" s="87"/>
      <c r="R1293" s="87"/>
      <c r="S1293" s="87"/>
      <c r="T1293" s="87"/>
      <c r="U1293" s="87"/>
      <c r="V1293" s="87"/>
      <c r="W1293" s="87"/>
      <c r="X1293" s="87"/>
      <c r="Y1293" s="87"/>
      <c r="Z1293" s="87"/>
      <c r="AA1293" s="87"/>
      <c r="AB1293" s="87"/>
      <c r="AC1293" s="87"/>
      <c r="AD1293" s="87"/>
      <c r="AE1293" s="87"/>
      <c r="AF1293" s="87"/>
      <c r="AG1293" s="87"/>
      <c r="AH1293" s="87"/>
      <c r="AI1293" s="87"/>
      <c r="AJ1293" s="87"/>
    </row>
    <row r="1294" spans="1:36" x14ac:dyDescent="0.25">
      <c r="A1294" s="273"/>
      <c r="B1294" s="86"/>
      <c r="C1294" s="86"/>
      <c r="D1294" s="86"/>
      <c r="E1294" s="86"/>
      <c r="F1294" s="86"/>
      <c r="G1294" s="86"/>
      <c r="H1294" s="86"/>
      <c r="I1294" s="86"/>
      <c r="J1294" s="86"/>
      <c r="K1294" s="86"/>
      <c r="L1294" s="86"/>
      <c r="M1294" s="86"/>
      <c r="N1294" s="86"/>
      <c r="O1294" s="86"/>
      <c r="P1294" s="86"/>
      <c r="Q1294" s="86"/>
      <c r="R1294" s="86"/>
      <c r="S1294" s="86"/>
      <c r="T1294" s="86"/>
      <c r="U1294" s="86"/>
      <c r="V1294" s="86"/>
      <c r="W1294" s="86"/>
      <c r="X1294" s="86"/>
      <c r="Y1294" s="86"/>
      <c r="Z1294" s="86"/>
      <c r="AA1294" s="86"/>
      <c r="AB1294" s="86"/>
      <c r="AC1294" s="86"/>
      <c r="AD1294" s="86"/>
      <c r="AE1294" s="86"/>
      <c r="AF1294" s="86"/>
      <c r="AG1294" s="86"/>
      <c r="AH1294" s="86"/>
      <c r="AI1294" s="86"/>
      <c r="AJ1294" s="86"/>
    </row>
    <row r="1295" spans="1:36" x14ac:dyDescent="0.25">
      <c r="A1295" s="274"/>
      <c r="B1295" s="87"/>
      <c r="C1295" s="87"/>
      <c r="D1295" s="87"/>
      <c r="E1295" s="87"/>
      <c r="F1295" s="87"/>
      <c r="G1295" s="87"/>
      <c r="H1295" s="87"/>
      <c r="I1295" s="87"/>
      <c r="J1295" s="87"/>
      <c r="K1295" s="87"/>
      <c r="L1295" s="87"/>
      <c r="M1295" s="87"/>
      <c r="N1295" s="87"/>
      <c r="O1295" s="87"/>
      <c r="P1295" s="87"/>
      <c r="Q1295" s="87"/>
      <c r="R1295" s="87"/>
      <c r="S1295" s="87"/>
      <c r="T1295" s="87"/>
      <c r="U1295" s="87"/>
      <c r="V1295" s="87"/>
      <c r="W1295" s="87"/>
      <c r="X1295" s="87"/>
      <c r="Y1295" s="87"/>
      <c r="Z1295" s="87"/>
      <c r="AA1295" s="87"/>
      <c r="AB1295" s="87"/>
      <c r="AC1295" s="87"/>
      <c r="AD1295" s="87"/>
      <c r="AE1295" s="87"/>
      <c r="AF1295" s="87"/>
      <c r="AG1295" s="87"/>
      <c r="AH1295" s="87"/>
      <c r="AI1295" s="87"/>
      <c r="AJ1295" s="87"/>
    </row>
    <row r="1296" spans="1:36" x14ac:dyDescent="0.25">
      <c r="A1296" s="273"/>
      <c r="B1296" s="86"/>
      <c r="C1296" s="86"/>
      <c r="D1296" s="86"/>
      <c r="E1296" s="86"/>
      <c r="F1296" s="86"/>
      <c r="G1296" s="86"/>
      <c r="H1296" s="86"/>
      <c r="I1296" s="86"/>
      <c r="J1296" s="86"/>
      <c r="K1296" s="86"/>
      <c r="L1296" s="86"/>
      <c r="M1296" s="86"/>
      <c r="N1296" s="86"/>
      <c r="O1296" s="86"/>
      <c r="P1296" s="86"/>
      <c r="Q1296" s="86"/>
      <c r="R1296" s="86"/>
      <c r="S1296" s="86"/>
      <c r="T1296" s="86"/>
      <c r="U1296" s="86"/>
      <c r="V1296" s="86"/>
      <c r="W1296" s="86"/>
      <c r="X1296" s="86"/>
      <c r="Y1296" s="86"/>
      <c r="Z1296" s="86"/>
      <c r="AA1296" s="86"/>
      <c r="AB1296" s="86"/>
      <c r="AC1296" s="86"/>
      <c r="AD1296" s="86"/>
      <c r="AE1296" s="86"/>
      <c r="AF1296" s="86"/>
      <c r="AG1296" s="86"/>
      <c r="AH1296" s="86"/>
      <c r="AI1296" s="86"/>
      <c r="AJ1296" s="86"/>
    </row>
    <row r="1297" spans="1:36" x14ac:dyDescent="0.25">
      <c r="A1297" s="274"/>
      <c r="B1297" s="87"/>
      <c r="C1297" s="87"/>
      <c r="D1297" s="87"/>
      <c r="E1297" s="87"/>
      <c r="F1297" s="87"/>
      <c r="G1297" s="87"/>
      <c r="H1297" s="87"/>
      <c r="I1297" s="87"/>
      <c r="J1297" s="87"/>
      <c r="K1297" s="87"/>
      <c r="L1297" s="87"/>
      <c r="M1297" s="87"/>
      <c r="N1297" s="87"/>
      <c r="O1297" s="87"/>
      <c r="P1297" s="87"/>
      <c r="Q1297" s="87"/>
      <c r="R1297" s="87"/>
      <c r="S1297" s="87"/>
      <c r="T1297" s="87"/>
      <c r="U1297" s="87"/>
      <c r="V1297" s="87"/>
      <c r="W1297" s="87"/>
      <c r="X1297" s="87"/>
      <c r="Y1297" s="87"/>
      <c r="Z1297" s="87"/>
      <c r="AA1297" s="87"/>
      <c r="AB1297" s="87"/>
      <c r="AC1297" s="87"/>
      <c r="AD1297" s="87"/>
      <c r="AE1297" s="87"/>
      <c r="AF1297" s="87"/>
      <c r="AG1297" s="87"/>
      <c r="AH1297" s="87"/>
      <c r="AI1297" s="87"/>
      <c r="AJ1297" s="87"/>
    </row>
    <row r="1298" spans="1:36" x14ac:dyDescent="0.25">
      <c r="A1298" s="273"/>
      <c r="B1298" s="86"/>
      <c r="C1298" s="86"/>
      <c r="D1298" s="86"/>
      <c r="E1298" s="86"/>
      <c r="F1298" s="86"/>
      <c r="G1298" s="86"/>
      <c r="H1298" s="86"/>
      <c r="I1298" s="86"/>
      <c r="J1298" s="86"/>
      <c r="K1298" s="86"/>
      <c r="L1298" s="86"/>
      <c r="M1298" s="86"/>
      <c r="N1298" s="86"/>
      <c r="O1298" s="86"/>
      <c r="P1298" s="86"/>
      <c r="Q1298" s="86"/>
      <c r="R1298" s="86"/>
      <c r="S1298" s="86"/>
      <c r="T1298" s="86"/>
      <c r="U1298" s="86"/>
      <c r="V1298" s="86"/>
      <c r="W1298" s="86"/>
      <c r="X1298" s="86"/>
      <c r="Y1298" s="86"/>
      <c r="Z1298" s="86"/>
      <c r="AA1298" s="86"/>
      <c r="AB1298" s="86"/>
      <c r="AC1298" s="86"/>
      <c r="AD1298" s="86"/>
      <c r="AE1298" s="86"/>
      <c r="AF1298" s="86"/>
      <c r="AG1298" s="86"/>
      <c r="AH1298" s="86"/>
      <c r="AI1298" s="86"/>
      <c r="AJ1298" s="86"/>
    </row>
    <row r="1299" spans="1:36" x14ac:dyDescent="0.25">
      <c r="A1299" s="274"/>
      <c r="B1299" s="87"/>
      <c r="C1299" s="87"/>
      <c r="D1299" s="87"/>
      <c r="E1299" s="87"/>
      <c r="F1299" s="87"/>
      <c r="G1299" s="87"/>
      <c r="H1299" s="87"/>
      <c r="I1299" s="87"/>
      <c r="J1299" s="87"/>
      <c r="K1299" s="87"/>
      <c r="L1299" s="87"/>
      <c r="M1299" s="87"/>
      <c r="N1299" s="87"/>
      <c r="O1299" s="87"/>
      <c r="P1299" s="87"/>
      <c r="Q1299" s="87"/>
      <c r="R1299" s="87"/>
      <c r="S1299" s="87"/>
      <c r="T1299" s="87"/>
      <c r="U1299" s="87"/>
      <c r="V1299" s="87"/>
      <c r="W1299" s="87"/>
      <c r="X1299" s="87"/>
      <c r="Y1299" s="87"/>
      <c r="Z1299" s="87"/>
      <c r="AA1299" s="87"/>
      <c r="AB1299" s="87"/>
      <c r="AC1299" s="87"/>
      <c r="AD1299" s="87"/>
      <c r="AE1299" s="87"/>
      <c r="AF1299" s="87"/>
      <c r="AG1299" s="87"/>
      <c r="AH1299" s="87"/>
      <c r="AI1299" s="87"/>
      <c r="AJ1299" s="87"/>
    </row>
    <row r="1300" spans="1:36" x14ac:dyDescent="0.25">
      <c r="A1300" s="273"/>
      <c r="B1300" s="86"/>
      <c r="C1300" s="86"/>
      <c r="D1300" s="86"/>
      <c r="E1300" s="86"/>
      <c r="F1300" s="86"/>
      <c r="G1300" s="86"/>
      <c r="H1300" s="86"/>
      <c r="I1300" s="86"/>
      <c r="J1300" s="86"/>
      <c r="K1300" s="86"/>
      <c r="L1300" s="86"/>
      <c r="M1300" s="86"/>
      <c r="N1300" s="86"/>
      <c r="O1300" s="86"/>
      <c r="P1300" s="86"/>
      <c r="Q1300" s="86"/>
      <c r="R1300" s="86"/>
      <c r="S1300" s="86"/>
      <c r="T1300" s="86"/>
      <c r="U1300" s="86"/>
      <c r="V1300" s="86"/>
      <c r="W1300" s="86"/>
      <c r="X1300" s="86"/>
      <c r="Y1300" s="86"/>
      <c r="Z1300" s="86"/>
      <c r="AA1300" s="86"/>
      <c r="AB1300" s="86"/>
      <c r="AC1300" s="86"/>
      <c r="AD1300" s="86"/>
      <c r="AE1300" s="86"/>
      <c r="AF1300" s="86"/>
      <c r="AG1300" s="86"/>
      <c r="AH1300" s="86"/>
      <c r="AI1300" s="86"/>
      <c r="AJ1300" s="86"/>
    </row>
    <row r="1301" spans="1:36" x14ac:dyDescent="0.25">
      <c r="A1301" s="274"/>
      <c r="B1301" s="87"/>
      <c r="C1301" s="87"/>
      <c r="D1301" s="87"/>
      <c r="E1301" s="87"/>
      <c r="F1301" s="87"/>
      <c r="G1301" s="87"/>
      <c r="H1301" s="87"/>
      <c r="I1301" s="87"/>
      <c r="J1301" s="87"/>
      <c r="K1301" s="87"/>
      <c r="L1301" s="87"/>
      <c r="M1301" s="87"/>
      <c r="N1301" s="87"/>
      <c r="O1301" s="87"/>
      <c r="P1301" s="87"/>
      <c r="Q1301" s="87"/>
      <c r="R1301" s="87"/>
      <c r="S1301" s="87"/>
      <c r="T1301" s="87"/>
      <c r="U1301" s="87"/>
      <c r="V1301" s="87"/>
      <c r="W1301" s="87"/>
      <c r="X1301" s="87"/>
      <c r="Y1301" s="87"/>
      <c r="Z1301" s="87"/>
      <c r="AA1301" s="87"/>
      <c r="AB1301" s="87"/>
      <c r="AC1301" s="87"/>
      <c r="AD1301" s="87"/>
      <c r="AE1301" s="87"/>
      <c r="AF1301" s="87"/>
      <c r="AG1301" s="87"/>
      <c r="AH1301" s="87"/>
      <c r="AI1301" s="87"/>
      <c r="AJ1301" s="87"/>
    </row>
    <row r="1302" spans="1:36" x14ac:dyDescent="0.25">
      <c r="A1302" s="273"/>
      <c r="B1302" s="86"/>
      <c r="C1302" s="86"/>
      <c r="D1302" s="86"/>
      <c r="E1302" s="86"/>
      <c r="F1302" s="86"/>
      <c r="G1302" s="86"/>
      <c r="H1302" s="86"/>
      <c r="I1302" s="86"/>
      <c r="J1302" s="86"/>
      <c r="K1302" s="86"/>
      <c r="L1302" s="86"/>
      <c r="M1302" s="86"/>
      <c r="N1302" s="86"/>
      <c r="O1302" s="86"/>
      <c r="P1302" s="86"/>
      <c r="Q1302" s="86"/>
      <c r="R1302" s="86"/>
      <c r="S1302" s="86"/>
      <c r="T1302" s="86"/>
      <c r="U1302" s="86"/>
      <c r="V1302" s="86"/>
      <c r="W1302" s="86"/>
      <c r="X1302" s="86"/>
      <c r="Y1302" s="86"/>
      <c r="Z1302" s="86"/>
      <c r="AA1302" s="86"/>
      <c r="AB1302" s="86"/>
      <c r="AC1302" s="86"/>
      <c r="AD1302" s="86"/>
      <c r="AE1302" s="86"/>
      <c r="AF1302" s="86"/>
      <c r="AG1302" s="86"/>
      <c r="AH1302" s="86"/>
      <c r="AI1302" s="86"/>
      <c r="AJ1302" s="86"/>
    </row>
    <row r="1303" spans="1:36" x14ac:dyDescent="0.25">
      <c r="A1303" s="274"/>
      <c r="B1303" s="87"/>
      <c r="C1303" s="87"/>
      <c r="D1303" s="87"/>
      <c r="E1303" s="87"/>
      <c r="F1303" s="87"/>
      <c r="G1303" s="87"/>
      <c r="H1303" s="87"/>
      <c r="I1303" s="87"/>
      <c r="J1303" s="87"/>
      <c r="K1303" s="87"/>
      <c r="L1303" s="87"/>
      <c r="M1303" s="87"/>
      <c r="N1303" s="87"/>
      <c r="O1303" s="87"/>
      <c r="P1303" s="87"/>
      <c r="Q1303" s="87"/>
      <c r="R1303" s="87"/>
      <c r="S1303" s="87"/>
      <c r="T1303" s="87"/>
      <c r="U1303" s="87"/>
      <c r="V1303" s="87"/>
      <c r="W1303" s="87"/>
      <c r="X1303" s="87"/>
      <c r="Y1303" s="87"/>
      <c r="Z1303" s="87"/>
      <c r="AA1303" s="87"/>
      <c r="AB1303" s="87"/>
      <c r="AC1303" s="87"/>
      <c r="AD1303" s="87"/>
      <c r="AE1303" s="87"/>
      <c r="AF1303" s="87"/>
      <c r="AG1303" s="87"/>
      <c r="AH1303" s="87"/>
      <c r="AI1303" s="87"/>
      <c r="AJ1303" s="87"/>
    </row>
    <row r="1304" spans="1:36" x14ac:dyDescent="0.25">
      <c r="A1304" s="273"/>
      <c r="B1304" s="86"/>
      <c r="C1304" s="86"/>
      <c r="D1304" s="86"/>
      <c r="E1304" s="86"/>
      <c r="F1304" s="86"/>
      <c r="G1304" s="86"/>
      <c r="H1304" s="86"/>
      <c r="I1304" s="86"/>
      <c r="J1304" s="86"/>
      <c r="K1304" s="86"/>
      <c r="L1304" s="86"/>
      <c r="M1304" s="86"/>
      <c r="N1304" s="86"/>
      <c r="O1304" s="86"/>
      <c r="P1304" s="86"/>
      <c r="Q1304" s="86"/>
      <c r="R1304" s="86"/>
      <c r="S1304" s="86"/>
      <c r="T1304" s="86"/>
      <c r="U1304" s="86"/>
      <c r="V1304" s="86"/>
      <c r="W1304" s="86"/>
      <c r="X1304" s="86"/>
      <c r="Y1304" s="86"/>
      <c r="Z1304" s="86"/>
      <c r="AA1304" s="86"/>
      <c r="AB1304" s="86"/>
      <c r="AC1304" s="86"/>
      <c r="AD1304" s="86"/>
      <c r="AE1304" s="86"/>
      <c r="AF1304" s="86"/>
      <c r="AG1304" s="86"/>
      <c r="AH1304" s="86"/>
      <c r="AI1304" s="86"/>
      <c r="AJ1304" s="86"/>
    </row>
    <row r="1305" spans="1:36" x14ac:dyDescent="0.25">
      <c r="A1305" s="274"/>
      <c r="B1305" s="87"/>
      <c r="C1305" s="87"/>
      <c r="D1305" s="87"/>
      <c r="E1305" s="87"/>
      <c r="F1305" s="87"/>
      <c r="G1305" s="87"/>
      <c r="H1305" s="87"/>
      <c r="I1305" s="87"/>
      <c r="J1305" s="87"/>
      <c r="K1305" s="87"/>
      <c r="L1305" s="87"/>
      <c r="M1305" s="87"/>
      <c r="N1305" s="87"/>
      <c r="O1305" s="87"/>
      <c r="P1305" s="87"/>
      <c r="Q1305" s="87"/>
      <c r="R1305" s="87"/>
      <c r="S1305" s="87"/>
      <c r="T1305" s="87"/>
      <c r="U1305" s="87"/>
      <c r="V1305" s="87"/>
      <c r="W1305" s="87"/>
      <c r="X1305" s="87"/>
      <c r="Y1305" s="87"/>
      <c r="Z1305" s="87"/>
      <c r="AA1305" s="87"/>
      <c r="AB1305" s="87"/>
      <c r="AC1305" s="87"/>
      <c r="AD1305" s="87"/>
      <c r="AE1305" s="87"/>
      <c r="AF1305" s="87"/>
      <c r="AG1305" s="87"/>
      <c r="AH1305" s="87"/>
      <c r="AI1305" s="87"/>
      <c r="AJ1305" s="87"/>
    </row>
    <row r="1306" spans="1:36" x14ac:dyDescent="0.25">
      <c r="A1306" s="273"/>
      <c r="B1306" s="86"/>
      <c r="C1306" s="86"/>
      <c r="D1306" s="86"/>
      <c r="E1306" s="86"/>
      <c r="F1306" s="86"/>
      <c r="G1306" s="86"/>
      <c r="H1306" s="86"/>
      <c r="I1306" s="86"/>
      <c r="J1306" s="86"/>
      <c r="K1306" s="86"/>
      <c r="L1306" s="86"/>
      <c r="M1306" s="86"/>
      <c r="N1306" s="86"/>
      <c r="O1306" s="86"/>
      <c r="P1306" s="86"/>
      <c r="Q1306" s="86"/>
      <c r="R1306" s="86"/>
      <c r="S1306" s="86"/>
      <c r="T1306" s="86"/>
      <c r="U1306" s="86"/>
      <c r="V1306" s="86"/>
      <c r="W1306" s="86"/>
      <c r="X1306" s="86"/>
      <c r="Y1306" s="86"/>
      <c r="Z1306" s="86"/>
      <c r="AA1306" s="86"/>
      <c r="AB1306" s="86"/>
      <c r="AC1306" s="86"/>
      <c r="AD1306" s="86"/>
      <c r="AE1306" s="86"/>
      <c r="AF1306" s="86"/>
      <c r="AG1306" s="86"/>
      <c r="AH1306" s="86"/>
      <c r="AI1306" s="86"/>
      <c r="AJ1306" s="86"/>
    </row>
    <row r="1307" spans="1:36" x14ac:dyDescent="0.25">
      <c r="A1307" s="274"/>
      <c r="B1307" s="87"/>
      <c r="C1307" s="87"/>
      <c r="D1307" s="87"/>
      <c r="E1307" s="87"/>
      <c r="F1307" s="87"/>
      <c r="G1307" s="87"/>
      <c r="H1307" s="87"/>
      <c r="I1307" s="87"/>
      <c r="J1307" s="87"/>
      <c r="K1307" s="87"/>
      <c r="L1307" s="87"/>
      <c r="M1307" s="87"/>
      <c r="N1307" s="87"/>
      <c r="O1307" s="87"/>
      <c r="P1307" s="87"/>
      <c r="Q1307" s="87"/>
      <c r="R1307" s="87"/>
      <c r="S1307" s="87"/>
      <c r="T1307" s="87"/>
      <c r="U1307" s="87"/>
      <c r="V1307" s="87"/>
      <c r="W1307" s="87"/>
      <c r="X1307" s="87"/>
      <c r="Y1307" s="87"/>
      <c r="Z1307" s="87"/>
      <c r="AA1307" s="87"/>
      <c r="AB1307" s="87"/>
      <c r="AC1307" s="87"/>
      <c r="AD1307" s="87"/>
      <c r="AE1307" s="87"/>
      <c r="AF1307" s="87"/>
      <c r="AG1307" s="87"/>
      <c r="AH1307" s="87"/>
      <c r="AI1307" s="87"/>
      <c r="AJ1307" s="87"/>
    </row>
    <row r="1308" spans="1:36" x14ac:dyDescent="0.25">
      <c r="A1308" s="273"/>
      <c r="B1308" s="86"/>
      <c r="C1308" s="86"/>
      <c r="D1308" s="86"/>
      <c r="E1308" s="86"/>
      <c r="F1308" s="86"/>
      <c r="G1308" s="86"/>
      <c r="H1308" s="86"/>
      <c r="I1308" s="86"/>
      <c r="J1308" s="86"/>
      <c r="K1308" s="86"/>
      <c r="L1308" s="86"/>
      <c r="M1308" s="86"/>
      <c r="N1308" s="86"/>
      <c r="O1308" s="86"/>
      <c r="P1308" s="86"/>
      <c r="Q1308" s="86"/>
      <c r="R1308" s="86"/>
      <c r="S1308" s="86"/>
      <c r="T1308" s="86"/>
      <c r="U1308" s="86"/>
      <c r="V1308" s="86"/>
      <c r="W1308" s="86"/>
      <c r="X1308" s="86"/>
      <c r="Y1308" s="86"/>
      <c r="Z1308" s="86"/>
      <c r="AA1308" s="86"/>
      <c r="AB1308" s="86"/>
      <c r="AC1308" s="86"/>
      <c r="AD1308" s="86"/>
      <c r="AE1308" s="86"/>
      <c r="AF1308" s="86"/>
      <c r="AG1308" s="86"/>
      <c r="AH1308" s="86"/>
      <c r="AI1308" s="86"/>
      <c r="AJ1308" s="86"/>
    </row>
    <row r="1309" spans="1:36" x14ac:dyDescent="0.25">
      <c r="A1309" s="274"/>
      <c r="B1309" s="87"/>
      <c r="C1309" s="87"/>
      <c r="D1309" s="87"/>
      <c r="E1309" s="87"/>
      <c r="F1309" s="87"/>
      <c r="G1309" s="87"/>
      <c r="H1309" s="87"/>
      <c r="I1309" s="87"/>
      <c r="J1309" s="87"/>
      <c r="K1309" s="87"/>
      <c r="L1309" s="87"/>
      <c r="M1309" s="87"/>
      <c r="N1309" s="87"/>
      <c r="O1309" s="87"/>
      <c r="P1309" s="87"/>
      <c r="Q1309" s="87"/>
      <c r="R1309" s="87"/>
      <c r="S1309" s="87"/>
      <c r="T1309" s="87"/>
      <c r="U1309" s="87"/>
      <c r="V1309" s="87"/>
      <c r="W1309" s="87"/>
      <c r="X1309" s="87"/>
      <c r="Y1309" s="87"/>
      <c r="Z1309" s="87"/>
      <c r="AA1309" s="87"/>
      <c r="AB1309" s="87"/>
      <c r="AC1309" s="87"/>
      <c r="AD1309" s="87"/>
      <c r="AE1309" s="87"/>
      <c r="AF1309" s="87"/>
      <c r="AG1309" s="87"/>
      <c r="AH1309" s="87"/>
      <c r="AI1309" s="87"/>
      <c r="AJ1309" s="87"/>
    </row>
    <row r="1310" spans="1:36" x14ac:dyDescent="0.25">
      <c r="A1310" s="273"/>
      <c r="B1310" s="86"/>
      <c r="C1310" s="86"/>
      <c r="D1310" s="86"/>
      <c r="E1310" s="86"/>
      <c r="F1310" s="86"/>
      <c r="G1310" s="86"/>
      <c r="H1310" s="86"/>
      <c r="I1310" s="86"/>
      <c r="J1310" s="86"/>
      <c r="K1310" s="86"/>
      <c r="L1310" s="86"/>
      <c r="M1310" s="86"/>
      <c r="N1310" s="86"/>
      <c r="O1310" s="86"/>
      <c r="P1310" s="86"/>
      <c r="Q1310" s="86"/>
      <c r="R1310" s="86"/>
      <c r="S1310" s="86"/>
      <c r="T1310" s="86"/>
      <c r="U1310" s="86"/>
      <c r="V1310" s="86"/>
      <c r="W1310" s="86"/>
      <c r="X1310" s="86"/>
      <c r="Y1310" s="86"/>
      <c r="Z1310" s="86"/>
      <c r="AA1310" s="86"/>
      <c r="AB1310" s="86"/>
      <c r="AC1310" s="86"/>
      <c r="AD1310" s="86"/>
      <c r="AE1310" s="86"/>
      <c r="AF1310" s="86"/>
      <c r="AG1310" s="86"/>
      <c r="AH1310" s="86"/>
      <c r="AI1310" s="86"/>
      <c r="AJ1310" s="86"/>
    </row>
    <row r="1311" spans="1:36" x14ac:dyDescent="0.25">
      <c r="A1311" s="274"/>
      <c r="B1311" s="87"/>
      <c r="C1311" s="87"/>
      <c r="D1311" s="87"/>
      <c r="E1311" s="87"/>
      <c r="F1311" s="87"/>
      <c r="G1311" s="87"/>
      <c r="H1311" s="87"/>
      <c r="I1311" s="87"/>
      <c r="J1311" s="87"/>
      <c r="K1311" s="87"/>
      <c r="L1311" s="87"/>
      <c r="M1311" s="87"/>
      <c r="N1311" s="87"/>
      <c r="O1311" s="87"/>
      <c r="P1311" s="87"/>
      <c r="Q1311" s="87"/>
      <c r="R1311" s="87"/>
      <c r="S1311" s="87"/>
      <c r="T1311" s="87"/>
      <c r="U1311" s="87"/>
      <c r="V1311" s="87"/>
      <c r="W1311" s="87"/>
      <c r="X1311" s="87"/>
      <c r="Y1311" s="87"/>
      <c r="Z1311" s="87"/>
      <c r="AA1311" s="87"/>
      <c r="AB1311" s="87"/>
      <c r="AC1311" s="87"/>
      <c r="AD1311" s="87"/>
      <c r="AE1311" s="87"/>
      <c r="AF1311" s="87"/>
      <c r="AG1311" s="87"/>
      <c r="AH1311" s="87"/>
      <c r="AI1311" s="87"/>
      <c r="AJ1311" s="87"/>
    </row>
    <row r="1312" spans="1:36" x14ac:dyDescent="0.25">
      <c r="A1312" s="273"/>
      <c r="B1312" s="86"/>
      <c r="C1312" s="86"/>
      <c r="D1312" s="86"/>
      <c r="E1312" s="86"/>
      <c r="F1312" s="86"/>
      <c r="G1312" s="86"/>
      <c r="H1312" s="86"/>
      <c r="I1312" s="86"/>
      <c r="J1312" s="86"/>
      <c r="K1312" s="86"/>
      <c r="L1312" s="86"/>
      <c r="M1312" s="86"/>
      <c r="N1312" s="86"/>
      <c r="O1312" s="86"/>
      <c r="P1312" s="86"/>
      <c r="Q1312" s="86"/>
      <c r="R1312" s="86"/>
      <c r="S1312" s="86"/>
      <c r="T1312" s="86"/>
      <c r="U1312" s="86"/>
      <c r="V1312" s="86"/>
      <c r="W1312" s="86"/>
      <c r="X1312" s="86"/>
      <c r="Y1312" s="86"/>
      <c r="Z1312" s="86"/>
      <c r="AA1312" s="86"/>
      <c r="AB1312" s="86"/>
      <c r="AC1312" s="86"/>
      <c r="AD1312" s="86"/>
      <c r="AE1312" s="86"/>
      <c r="AF1312" s="86"/>
      <c r="AG1312" s="86"/>
      <c r="AH1312" s="86"/>
      <c r="AI1312" s="86"/>
      <c r="AJ1312" s="86"/>
    </row>
    <row r="1313" spans="1:36" x14ac:dyDescent="0.25">
      <c r="A1313" s="274"/>
      <c r="B1313" s="87"/>
      <c r="C1313" s="87"/>
      <c r="D1313" s="87"/>
      <c r="E1313" s="87"/>
      <c r="F1313" s="87"/>
      <c r="G1313" s="87"/>
      <c r="H1313" s="87"/>
      <c r="I1313" s="87"/>
      <c r="J1313" s="87"/>
      <c r="K1313" s="87"/>
      <c r="L1313" s="87"/>
      <c r="M1313" s="87"/>
      <c r="N1313" s="87"/>
      <c r="O1313" s="87"/>
      <c r="P1313" s="87"/>
      <c r="Q1313" s="87"/>
      <c r="R1313" s="87"/>
      <c r="S1313" s="87"/>
      <c r="T1313" s="87"/>
      <c r="U1313" s="87"/>
      <c r="V1313" s="87"/>
      <c r="W1313" s="87"/>
      <c r="X1313" s="87"/>
      <c r="Y1313" s="87"/>
      <c r="Z1313" s="87"/>
      <c r="AA1313" s="87"/>
      <c r="AB1313" s="87"/>
      <c r="AC1313" s="87"/>
      <c r="AD1313" s="87"/>
      <c r="AE1313" s="87"/>
      <c r="AF1313" s="87"/>
      <c r="AG1313" s="87"/>
      <c r="AH1313" s="87"/>
      <c r="AI1313" s="87"/>
      <c r="AJ1313" s="87"/>
    </row>
    <row r="1314" spans="1:36" x14ac:dyDescent="0.25">
      <c r="A1314" s="273"/>
      <c r="B1314" s="86"/>
      <c r="C1314" s="86"/>
      <c r="D1314" s="86"/>
      <c r="E1314" s="86"/>
      <c r="F1314" s="86"/>
      <c r="G1314" s="86"/>
      <c r="H1314" s="86"/>
      <c r="I1314" s="86"/>
      <c r="J1314" s="86"/>
      <c r="K1314" s="86"/>
      <c r="L1314" s="86"/>
      <c r="M1314" s="86"/>
      <c r="N1314" s="86"/>
      <c r="O1314" s="86"/>
      <c r="P1314" s="86"/>
      <c r="Q1314" s="86"/>
      <c r="R1314" s="86"/>
      <c r="S1314" s="86"/>
      <c r="T1314" s="86"/>
      <c r="U1314" s="86"/>
      <c r="V1314" s="86"/>
      <c r="W1314" s="86"/>
      <c r="X1314" s="86"/>
      <c r="Y1314" s="86"/>
      <c r="Z1314" s="86"/>
      <c r="AA1314" s="86"/>
      <c r="AB1314" s="86"/>
      <c r="AC1314" s="86"/>
      <c r="AD1314" s="86"/>
      <c r="AE1314" s="86"/>
      <c r="AF1314" s="86"/>
      <c r="AG1314" s="86"/>
      <c r="AH1314" s="86"/>
      <c r="AI1314" s="86"/>
      <c r="AJ1314" s="86"/>
    </row>
    <row r="1315" spans="1:36" x14ac:dyDescent="0.25">
      <c r="A1315" s="274"/>
      <c r="B1315" s="87"/>
      <c r="C1315" s="87"/>
      <c r="D1315" s="87"/>
      <c r="E1315" s="87"/>
      <c r="F1315" s="87"/>
      <c r="G1315" s="87"/>
      <c r="H1315" s="87"/>
      <c r="I1315" s="87"/>
      <c r="J1315" s="87"/>
      <c r="K1315" s="87"/>
      <c r="L1315" s="87"/>
      <c r="M1315" s="87"/>
      <c r="N1315" s="87"/>
      <c r="O1315" s="87"/>
      <c r="P1315" s="87"/>
      <c r="Q1315" s="87"/>
      <c r="R1315" s="87"/>
      <c r="S1315" s="87"/>
      <c r="T1315" s="87"/>
      <c r="U1315" s="87"/>
      <c r="V1315" s="87"/>
      <c r="W1315" s="87"/>
      <c r="X1315" s="87"/>
      <c r="Y1315" s="87"/>
      <c r="Z1315" s="87"/>
      <c r="AA1315" s="87"/>
      <c r="AB1315" s="87"/>
      <c r="AC1315" s="87"/>
      <c r="AD1315" s="87"/>
      <c r="AE1315" s="87"/>
      <c r="AF1315" s="87"/>
      <c r="AG1315" s="87"/>
      <c r="AH1315" s="87"/>
      <c r="AI1315" s="87"/>
      <c r="AJ1315" s="87"/>
    </row>
    <row r="1316" spans="1:36" x14ac:dyDescent="0.25">
      <c r="A1316" s="273"/>
      <c r="B1316" s="86"/>
      <c r="C1316" s="86"/>
      <c r="D1316" s="86"/>
      <c r="E1316" s="86"/>
      <c r="F1316" s="86"/>
      <c r="G1316" s="86"/>
      <c r="H1316" s="86"/>
      <c r="I1316" s="86"/>
      <c r="J1316" s="86"/>
      <c r="K1316" s="86"/>
      <c r="L1316" s="86"/>
      <c r="M1316" s="86"/>
      <c r="N1316" s="86"/>
      <c r="O1316" s="86"/>
      <c r="P1316" s="86"/>
      <c r="Q1316" s="86"/>
      <c r="R1316" s="86"/>
      <c r="S1316" s="86"/>
      <c r="T1316" s="86"/>
      <c r="U1316" s="86"/>
      <c r="V1316" s="86"/>
      <c r="W1316" s="86"/>
      <c r="X1316" s="86"/>
      <c r="Y1316" s="86"/>
      <c r="Z1316" s="86"/>
      <c r="AA1316" s="86"/>
      <c r="AB1316" s="86"/>
      <c r="AC1316" s="86"/>
      <c r="AD1316" s="86"/>
      <c r="AE1316" s="86"/>
      <c r="AF1316" s="86"/>
      <c r="AG1316" s="86"/>
      <c r="AH1316" s="86"/>
      <c r="AI1316" s="86"/>
      <c r="AJ1316" s="86"/>
    </row>
    <row r="1317" spans="1:36" x14ac:dyDescent="0.25">
      <c r="A1317" s="274"/>
      <c r="B1317" s="87"/>
      <c r="C1317" s="87"/>
      <c r="D1317" s="87"/>
      <c r="E1317" s="87"/>
      <c r="F1317" s="87"/>
      <c r="G1317" s="87"/>
      <c r="H1317" s="87"/>
      <c r="I1317" s="87"/>
      <c r="J1317" s="87"/>
      <c r="K1317" s="87"/>
      <c r="L1317" s="87"/>
      <c r="M1317" s="87"/>
      <c r="N1317" s="87"/>
      <c r="O1317" s="87"/>
      <c r="P1317" s="87"/>
      <c r="Q1317" s="87"/>
      <c r="R1317" s="87"/>
      <c r="S1317" s="87"/>
      <c r="T1317" s="87"/>
      <c r="U1317" s="87"/>
      <c r="V1317" s="87"/>
      <c r="W1317" s="87"/>
      <c r="X1317" s="87"/>
      <c r="Y1317" s="87"/>
      <c r="Z1317" s="87"/>
      <c r="AA1317" s="87"/>
      <c r="AB1317" s="87"/>
      <c r="AC1317" s="87"/>
      <c r="AD1317" s="87"/>
      <c r="AE1317" s="87"/>
      <c r="AF1317" s="87"/>
      <c r="AG1317" s="87"/>
      <c r="AH1317" s="87"/>
      <c r="AI1317" s="87"/>
      <c r="AJ1317" s="87"/>
    </row>
    <row r="1318" spans="1:36" x14ac:dyDescent="0.25">
      <c r="A1318" s="273"/>
      <c r="B1318" s="86"/>
      <c r="C1318" s="86"/>
      <c r="D1318" s="86"/>
      <c r="E1318" s="86"/>
      <c r="F1318" s="86"/>
      <c r="G1318" s="86"/>
      <c r="H1318" s="86"/>
      <c r="I1318" s="86"/>
      <c r="J1318" s="86"/>
      <c r="K1318" s="86"/>
      <c r="L1318" s="86"/>
      <c r="M1318" s="86"/>
      <c r="N1318" s="86"/>
      <c r="O1318" s="86"/>
      <c r="P1318" s="86"/>
      <c r="Q1318" s="86"/>
      <c r="R1318" s="86"/>
      <c r="S1318" s="86"/>
      <c r="T1318" s="86"/>
      <c r="U1318" s="86"/>
      <c r="V1318" s="86"/>
      <c r="W1318" s="86"/>
      <c r="X1318" s="86"/>
      <c r="Y1318" s="86"/>
      <c r="Z1318" s="86"/>
      <c r="AA1318" s="86"/>
      <c r="AB1318" s="86"/>
      <c r="AC1318" s="86"/>
      <c r="AD1318" s="86"/>
      <c r="AE1318" s="86"/>
      <c r="AF1318" s="86"/>
      <c r="AG1318" s="86"/>
      <c r="AH1318" s="86"/>
      <c r="AI1318" s="86"/>
      <c r="AJ1318" s="86"/>
    </row>
    <row r="1319" spans="1:36" x14ac:dyDescent="0.25">
      <c r="A1319" s="274"/>
      <c r="B1319" s="87"/>
      <c r="C1319" s="87"/>
      <c r="D1319" s="87"/>
      <c r="E1319" s="87"/>
      <c r="F1319" s="87"/>
      <c r="G1319" s="87"/>
      <c r="H1319" s="87"/>
      <c r="I1319" s="87"/>
      <c r="J1319" s="87"/>
      <c r="K1319" s="87"/>
      <c r="L1319" s="87"/>
      <c r="M1319" s="87"/>
      <c r="N1319" s="87"/>
      <c r="O1319" s="87"/>
      <c r="P1319" s="87"/>
      <c r="Q1319" s="87"/>
      <c r="R1319" s="87"/>
      <c r="S1319" s="87"/>
      <c r="T1319" s="87"/>
      <c r="U1319" s="87"/>
      <c r="V1319" s="87"/>
      <c r="W1319" s="87"/>
      <c r="X1319" s="87"/>
      <c r="Y1319" s="87"/>
      <c r="Z1319" s="87"/>
      <c r="AA1319" s="87"/>
      <c r="AB1319" s="87"/>
      <c r="AC1319" s="87"/>
      <c r="AD1319" s="87"/>
      <c r="AE1319" s="87"/>
      <c r="AF1319" s="87"/>
      <c r="AG1319" s="87"/>
      <c r="AH1319" s="87"/>
      <c r="AI1319" s="87"/>
      <c r="AJ1319" s="87"/>
    </row>
    <row r="1320" spans="1:36" x14ac:dyDescent="0.25">
      <c r="A1320" s="273"/>
      <c r="B1320" s="86"/>
      <c r="C1320" s="86"/>
      <c r="D1320" s="86"/>
      <c r="E1320" s="86"/>
      <c r="F1320" s="86"/>
      <c r="G1320" s="86"/>
      <c r="H1320" s="86"/>
      <c r="I1320" s="86"/>
      <c r="J1320" s="86"/>
      <c r="K1320" s="86"/>
      <c r="L1320" s="86"/>
      <c r="M1320" s="86"/>
      <c r="N1320" s="86"/>
      <c r="O1320" s="86"/>
      <c r="P1320" s="86"/>
      <c r="Q1320" s="86"/>
      <c r="R1320" s="86"/>
      <c r="S1320" s="86"/>
      <c r="T1320" s="86"/>
      <c r="U1320" s="86"/>
      <c r="V1320" s="86"/>
      <c r="W1320" s="86"/>
      <c r="X1320" s="86"/>
      <c r="Y1320" s="86"/>
      <c r="Z1320" s="86"/>
      <c r="AA1320" s="86"/>
      <c r="AB1320" s="86"/>
      <c r="AC1320" s="86"/>
      <c r="AD1320" s="86"/>
      <c r="AE1320" s="86"/>
      <c r="AF1320" s="86"/>
      <c r="AG1320" s="86"/>
      <c r="AH1320" s="86"/>
      <c r="AI1320" s="86"/>
      <c r="AJ1320" s="86"/>
    </row>
    <row r="1321" spans="1:36" x14ac:dyDescent="0.25">
      <c r="A1321" s="274"/>
      <c r="B1321" s="87"/>
      <c r="C1321" s="87"/>
      <c r="D1321" s="87"/>
      <c r="E1321" s="87"/>
      <c r="F1321" s="87"/>
      <c r="G1321" s="87"/>
      <c r="H1321" s="87"/>
      <c r="I1321" s="87"/>
      <c r="J1321" s="87"/>
      <c r="K1321" s="87"/>
      <c r="L1321" s="87"/>
      <c r="M1321" s="87"/>
      <c r="N1321" s="87"/>
      <c r="O1321" s="87"/>
      <c r="P1321" s="87"/>
      <c r="Q1321" s="87"/>
      <c r="R1321" s="87"/>
      <c r="S1321" s="87"/>
      <c r="T1321" s="87"/>
      <c r="U1321" s="87"/>
      <c r="V1321" s="87"/>
      <c r="W1321" s="87"/>
      <c r="X1321" s="87"/>
      <c r="Y1321" s="87"/>
      <c r="Z1321" s="87"/>
      <c r="AA1321" s="87"/>
      <c r="AB1321" s="87"/>
      <c r="AC1321" s="87"/>
      <c r="AD1321" s="87"/>
      <c r="AE1321" s="87"/>
      <c r="AF1321" s="87"/>
      <c r="AG1321" s="87"/>
      <c r="AH1321" s="87"/>
      <c r="AI1321" s="87"/>
      <c r="AJ1321" s="87"/>
    </row>
    <row r="1322" spans="1:36" x14ac:dyDescent="0.25">
      <c r="A1322" s="273"/>
      <c r="B1322" s="86"/>
      <c r="C1322" s="86"/>
      <c r="D1322" s="86"/>
      <c r="E1322" s="86"/>
      <c r="F1322" s="86"/>
      <c r="G1322" s="86"/>
      <c r="H1322" s="86"/>
      <c r="I1322" s="86"/>
      <c r="J1322" s="86"/>
      <c r="K1322" s="86"/>
      <c r="L1322" s="86"/>
      <c r="M1322" s="86"/>
      <c r="N1322" s="86"/>
      <c r="O1322" s="86"/>
      <c r="P1322" s="86"/>
      <c r="Q1322" s="86"/>
      <c r="R1322" s="86"/>
      <c r="S1322" s="86"/>
      <c r="T1322" s="86"/>
      <c r="U1322" s="86"/>
      <c r="V1322" s="86"/>
      <c r="W1322" s="86"/>
      <c r="X1322" s="86"/>
      <c r="Y1322" s="86"/>
      <c r="Z1322" s="86"/>
      <c r="AA1322" s="86"/>
      <c r="AB1322" s="86"/>
      <c r="AC1322" s="86"/>
      <c r="AD1322" s="86"/>
      <c r="AE1322" s="86"/>
      <c r="AF1322" s="86"/>
      <c r="AG1322" s="86"/>
      <c r="AH1322" s="86"/>
      <c r="AI1322" s="86"/>
      <c r="AJ1322" s="86"/>
    </row>
    <row r="1323" spans="1:36" x14ac:dyDescent="0.25">
      <c r="A1323" s="274"/>
      <c r="B1323" s="87"/>
      <c r="C1323" s="87"/>
      <c r="D1323" s="87"/>
      <c r="E1323" s="87"/>
      <c r="F1323" s="87"/>
      <c r="G1323" s="87"/>
      <c r="H1323" s="87"/>
      <c r="I1323" s="87"/>
      <c r="J1323" s="87"/>
      <c r="K1323" s="87"/>
      <c r="L1323" s="87"/>
      <c r="M1323" s="87"/>
      <c r="N1323" s="87"/>
      <c r="O1323" s="87"/>
      <c r="P1323" s="87"/>
      <c r="Q1323" s="87"/>
      <c r="R1323" s="87"/>
      <c r="S1323" s="87"/>
      <c r="T1323" s="87"/>
      <c r="U1323" s="87"/>
      <c r="V1323" s="87"/>
      <c r="W1323" s="87"/>
      <c r="X1323" s="87"/>
      <c r="Y1323" s="87"/>
      <c r="Z1323" s="87"/>
      <c r="AA1323" s="87"/>
      <c r="AB1323" s="87"/>
      <c r="AC1323" s="87"/>
      <c r="AD1323" s="87"/>
      <c r="AE1323" s="87"/>
      <c r="AF1323" s="87"/>
      <c r="AG1323" s="87"/>
      <c r="AH1323" s="87"/>
      <c r="AI1323" s="87"/>
      <c r="AJ1323" s="87"/>
    </row>
    <row r="1324" spans="1:36" x14ac:dyDescent="0.25">
      <c r="A1324" s="273"/>
      <c r="B1324" s="86"/>
      <c r="C1324" s="86"/>
      <c r="D1324" s="86"/>
      <c r="E1324" s="86"/>
      <c r="F1324" s="86"/>
      <c r="G1324" s="86"/>
      <c r="H1324" s="86"/>
      <c r="I1324" s="86"/>
      <c r="J1324" s="86"/>
      <c r="K1324" s="86"/>
      <c r="L1324" s="86"/>
      <c r="M1324" s="86"/>
      <c r="N1324" s="86"/>
      <c r="O1324" s="86"/>
      <c r="P1324" s="86"/>
      <c r="Q1324" s="86"/>
      <c r="R1324" s="86"/>
      <c r="S1324" s="86"/>
      <c r="T1324" s="86"/>
      <c r="U1324" s="86"/>
      <c r="V1324" s="86"/>
      <c r="W1324" s="86"/>
      <c r="X1324" s="86"/>
      <c r="Y1324" s="86"/>
      <c r="Z1324" s="86"/>
      <c r="AA1324" s="86"/>
      <c r="AB1324" s="86"/>
      <c r="AC1324" s="86"/>
      <c r="AD1324" s="86"/>
      <c r="AE1324" s="86"/>
      <c r="AF1324" s="86"/>
      <c r="AG1324" s="86"/>
      <c r="AH1324" s="86"/>
      <c r="AI1324" s="86"/>
      <c r="AJ1324" s="86"/>
    </row>
    <row r="1325" spans="1:36" x14ac:dyDescent="0.25">
      <c r="A1325" s="274"/>
      <c r="B1325" s="87"/>
      <c r="C1325" s="87"/>
      <c r="D1325" s="87"/>
      <c r="E1325" s="87"/>
      <c r="F1325" s="87"/>
      <c r="G1325" s="87"/>
      <c r="H1325" s="87"/>
      <c r="I1325" s="87"/>
      <c r="J1325" s="87"/>
      <c r="K1325" s="87"/>
      <c r="L1325" s="87"/>
      <c r="M1325" s="87"/>
      <c r="N1325" s="87"/>
      <c r="O1325" s="87"/>
      <c r="P1325" s="87"/>
      <c r="Q1325" s="87"/>
      <c r="R1325" s="87"/>
      <c r="S1325" s="87"/>
      <c r="T1325" s="87"/>
      <c r="U1325" s="87"/>
      <c r="V1325" s="87"/>
      <c r="W1325" s="87"/>
      <c r="X1325" s="87"/>
      <c r="Y1325" s="87"/>
      <c r="Z1325" s="87"/>
      <c r="AA1325" s="87"/>
      <c r="AB1325" s="87"/>
      <c r="AC1325" s="87"/>
      <c r="AD1325" s="87"/>
      <c r="AE1325" s="87"/>
      <c r="AF1325" s="87"/>
      <c r="AG1325" s="87"/>
      <c r="AH1325" s="87"/>
      <c r="AI1325" s="87"/>
      <c r="AJ1325" s="87"/>
    </row>
    <row r="1326" spans="1:36" x14ac:dyDescent="0.25">
      <c r="A1326" s="273"/>
      <c r="B1326" s="86"/>
      <c r="C1326" s="86"/>
      <c r="D1326" s="86"/>
      <c r="E1326" s="86"/>
      <c r="F1326" s="86"/>
      <c r="G1326" s="86"/>
      <c r="H1326" s="86"/>
      <c r="I1326" s="86"/>
      <c r="J1326" s="86"/>
      <c r="K1326" s="86"/>
      <c r="L1326" s="86"/>
      <c r="M1326" s="86"/>
      <c r="N1326" s="86"/>
      <c r="O1326" s="86"/>
      <c r="P1326" s="86"/>
      <c r="Q1326" s="86"/>
      <c r="R1326" s="86"/>
      <c r="S1326" s="86"/>
      <c r="T1326" s="86"/>
      <c r="U1326" s="86"/>
      <c r="V1326" s="86"/>
      <c r="W1326" s="86"/>
      <c r="X1326" s="86"/>
      <c r="Y1326" s="86"/>
      <c r="Z1326" s="86"/>
      <c r="AA1326" s="86"/>
      <c r="AB1326" s="86"/>
      <c r="AC1326" s="86"/>
      <c r="AD1326" s="86"/>
      <c r="AE1326" s="86"/>
      <c r="AF1326" s="86"/>
      <c r="AG1326" s="86"/>
      <c r="AH1326" s="86"/>
      <c r="AI1326" s="86"/>
      <c r="AJ1326" s="86"/>
    </row>
    <row r="1327" spans="1:36" x14ac:dyDescent="0.25">
      <c r="A1327" s="274"/>
      <c r="B1327" s="87"/>
      <c r="C1327" s="87"/>
      <c r="D1327" s="87"/>
      <c r="E1327" s="87"/>
      <c r="F1327" s="87"/>
      <c r="G1327" s="87"/>
      <c r="H1327" s="87"/>
      <c r="I1327" s="87"/>
      <c r="J1327" s="87"/>
      <c r="K1327" s="87"/>
      <c r="L1327" s="87"/>
      <c r="M1327" s="87"/>
      <c r="N1327" s="87"/>
      <c r="O1327" s="87"/>
      <c r="P1327" s="87"/>
      <c r="Q1327" s="87"/>
      <c r="R1327" s="87"/>
      <c r="S1327" s="87"/>
      <c r="T1327" s="87"/>
      <c r="U1327" s="87"/>
      <c r="V1327" s="87"/>
      <c r="W1327" s="87"/>
      <c r="X1327" s="87"/>
      <c r="Y1327" s="87"/>
      <c r="Z1327" s="87"/>
      <c r="AA1327" s="87"/>
      <c r="AB1327" s="87"/>
      <c r="AC1327" s="87"/>
      <c r="AD1327" s="87"/>
      <c r="AE1327" s="87"/>
      <c r="AF1327" s="87"/>
      <c r="AG1327" s="87"/>
      <c r="AH1327" s="87"/>
      <c r="AI1327" s="87"/>
      <c r="AJ1327" s="87"/>
    </row>
    <row r="1328" spans="1:36" x14ac:dyDescent="0.25">
      <c r="A1328" s="273"/>
      <c r="B1328" s="86"/>
      <c r="C1328" s="86"/>
      <c r="D1328" s="86"/>
      <c r="E1328" s="86"/>
      <c r="F1328" s="86"/>
      <c r="G1328" s="86"/>
      <c r="H1328" s="86"/>
      <c r="I1328" s="86"/>
      <c r="J1328" s="86"/>
      <c r="K1328" s="86"/>
      <c r="L1328" s="86"/>
      <c r="M1328" s="86"/>
      <c r="N1328" s="86"/>
      <c r="O1328" s="86"/>
      <c r="P1328" s="86"/>
      <c r="Q1328" s="86"/>
      <c r="R1328" s="86"/>
      <c r="S1328" s="86"/>
      <c r="T1328" s="86"/>
      <c r="U1328" s="86"/>
      <c r="V1328" s="86"/>
      <c r="W1328" s="86"/>
      <c r="X1328" s="86"/>
      <c r="Y1328" s="86"/>
      <c r="Z1328" s="86"/>
      <c r="AA1328" s="86"/>
      <c r="AB1328" s="86"/>
      <c r="AC1328" s="86"/>
      <c r="AD1328" s="86"/>
      <c r="AE1328" s="86"/>
      <c r="AF1328" s="86"/>
      <c r="AG1328" s="86"/>
      <c r="AH1328" s="86"/>
      <c r="AI1328" s="86"/>
      <c r="AJ1328" s="86"/>
    </row>
    <row r="1329" spans="1:36" x14ac:dyDescent="0.25">
      <c r="A1329" s="274"/>
      <c r="B1329" s="87"/>
      <c r="C1329" s="87"/>
      <c r="D1329" s="87"/>
      <c r="E1329" s="87"/>
      <c r="F1329" s="87"/>
      <c r="G1329" s="87"/>
      <c r="H1329" s="87"/>
      <c r="I1329" s="87"/>
      <c r="J1329" s="87"/>
      <c r="K1329" s="87"/>
      <c r="L1329" s="87"/>
      <c r="M1329" s="87"/>
      <c r="N1329" s="87"/>
      <c r="O1329" s="87"/>
      <c r="P1329" s="87"/>
      <c r="Q1329" s="87"/>
      <c r="R1329" s="87"/>
      <c r="S1329" s="87"/>
      <c r="T1329" s="87"/>
      <c r="U1329" s="87"/>
      <c r="V1329" s="87"/>
      <c r="W1329" s="87"/>
      <c r="X1329" s="87"/>
      <c r="Y1329" s="87"/>
      <c r="Z1329" s="87"/>
      <c r="AA1329" s="87"/>
      <c r="AB1329" s="87"/>
      <c r="AC1329" s="87"/>
      <c r="AD1329" s="87"/>
      <c r="AE1329" s="87"/>
      <c r="AF1329" s="87"/>
      <c r="AG1329" s="87"/>
      <c r="AH1329" s="87"/>
      <c r="AI1329" s="87"/>
      <c r="AJ1329" s="87"/>
    </row>
    <row r="1330" spans="1:36" x14ac:dyDescent="0.25">
      <c r="A1330" s="273"/>
      <c r="B1330" s="86"/>
      <c r="C1330" s="86"/>
      <c r="D1330" s="86"/>
      <c r="E1330" s="86"/>
      <c r="F1330" s="86"/>
      <c r="G1330" s="86"/>
      <c r="H1330" s="86"/>
      <c r="I1330" s="86"/>
      <c r="J1330" s="86"/>
      <c r="K1330" s="86"/>
      <c r="L1330" s="86"/>
      <c r="M1330" s="86"/>
      <c r="N1330" s="86"/>
      <c r="O1330" s="86"/>
      <c r="P1330" s="86"/>
      <c r="Q1330" s="86"/>
      <c r="R1330" s="86"/>
      <c r="S1330" s="86"/>
      <c r="T1330" s="86"/>
      <c r="U1330" s="86"/>
      <c r="V1330" s="86"/>
      <c r="W1330" s="86"/>
      <c r="X1330" s="86"/>
      <c r="Y1330" s="86"/>
      <c r="Z1330" s="86"/>
      <c r="AA1330" s="86"/>
      <c r="AB1330" s="86"/>
      <c r="AC1330" s="86"/>
      <c r="AD1330" s="86"/>
      <c r="AE1330" s="86"/>
      <c r="AF1330" s="86"/>
      <c r="AG1330" s="86"/>
      <c r="AH1330" s="86"/>
      <c r="AI1330" s="86"/>
      <c r="AJ1330" s="86"/>
    </row>
    <row r="1331" spans="1:36" x14ac:dyDescent="0.25">
      <c r="A1331" s="274"/>
      <c r="B1331" s="87"/>
      <c r="C1331" s="87"/>
      <c r="D1331" s="87"/>
      <c r="E1331" s="87"/>
      <c r="F1331" s="87"/>
      <c r="G1331" s="87"/>
      <c r="H1331" s="87"/>
      <c r="I1331" s="87"/>
      <c r="J1331" s="87"/>
      <c r="K1331" s="87"/>
      <c r="L1331" s="87"/>
      <c r="M1331" s="87"/>
      <c r="N1331" s="87"/>
      <c r="O1331" s="87"/>
      <c r="P1331" s="87"/>
      <c r="Q1331" s="87"/>
      <c r="R1331" s="87"/>
      <c r="S1331" s="87"/>
      <c r="T1331" s="87"/>
      <c r="U1331" s="87"/>
      <c r="V1331" s="87"/>
      <c r="W1331" s="87"/>
      <c r="X1331" s="87"/>
      <c r="Y1331" s="87"/>
      <c r="Z1331" s="87"/>
      <c r="AA1331" s="87"/>
      <c r="AB1331" s="87"/>
      <c r="AC1331" s="87"/>
      <c r="AD1331" s="87"/>
      <c r="AE1331" s="87"/>
      <c r="AF1331" s="87"/>
      <c r="AG1331" s="87"/>
      <c r="AH1331" s="87"/>
      <c r="AI1331" s="87"/>
      <c r="AJ1331" s="87"/>
    </row>
    <row r="1332" spans="1:36" x14ac:dyDescent="0.25">
      <c r="A1332" s="273"/>
      <c r="B1332" s="86"/>
      <c r="C1332" s="86"/>
      <c r="D1332" s="86"/>
      <c r="E1332" s="86"/>
      <c r="F1332" s="86"/>
      <c r="G1332" s="86"/>
      <c r="H1332" s="86"/>
      <c r="I1332" s="86"/>
      <c r="J1332" s="86"/>
      <c r="K1332" s="86"/>
      <c r="L1332" s="86"/>
      <c r="M1332" s="86"/>
      <c r="N1332" s="86"/>
      <c r="O1332" s="86"/>
      <c r="P1332" s="86"/>
      <c r="Q1332" s="86"/>
      <c r="R1332" s="86"/>
      <c r="S1332" s="86"/>
      <c r="T1332" s="86"/>
      <c r="U1332" s="86"/>
      <c r="V1332" s="86"/>
      <c r="W1332" s="86"/>
      <c r="X1332" s="86"/>
      <c r="Y1332" s="86"/>
      <c r="Z1332" s="86"/>
      <c r="AA1332" s="86"/>
      <c r="AB1332" s="86"/>
      <c r="AC1332" s="86"/>
      <c r="AD1332" s="86"/>
      <c r="AE1332" s="86"/>
      <c r="AF1332" s="86"/>
      <c r="AG1332" s="86"/>
      <c r="AH1332" s="86"/>
      <c r="AI1332" s="86"/>
      <c r="AJ1332" s="86"/>
    </row>
    <row r="1333" spans="1:36" x14ac:dyDescent="0.25">
      <c r="A1333" s="274"/>
      <c r="B1333" s="87"/>
      <c r="C1333" s="87"/>
      <c r="D1333" s="87"/>
      <c r="E1333" s="87"/>
      <c r="F1333" s="87"/>
      <c r="G1333" s="87"/>
      <c r="H1333" s="87"/>
      <c r="I1333" s="87"/>
      <c r="J1333" s="87"/>
      <c r="K1333" s="87"/>
      <c r="L1333" s="87"/>
      <c r="M1333" s="87"/>
      <c r="N1333" s="87"/>
      <c r="O1333" s="87"/>
      <c r="P1333" s="87"/>
      <c r="Q1333" s="87"/>
      <c r="R1333" s="87"/>
      <c r="S1333" s="87"/>
      <c r="T1333" s="87"/>
      <c r="U1333" s="87"/>
      <c r="V1333" s="87"/>
      <c r="W1333" s="87"/>
      <c r="X1333" s="87"/>
      <c r="Y1333" s="87"/>
      <c r="Z1333" s="87"/>
      <c r="AA1333" s="87"/>
      <c r="AB1333" s="87"/>
      <c r="AC1333" s="87"/>
      <c r="AD1333" s="87"/>
      <c r="AE1333" s="87"/>
      <c r="AF1333" s="87"/>
      <c r="AG1333" s="87"/>
      <c r="AH1333" s="87"/>
      <c r="AI1333" s="87"/>
      <c r="AJ1333" s="87"/>
    </row>
    <row r="1334" spans="1:36" x14ac:dyDescent="0.25">
      <c r="A1334" s="273"/>
      <c r="B1334" s="86"/>
      <c r="C1334" s="86"/>
      <c r="D1334" s="86"/>
      <c r="E1334" s="86"/>
      <c r="F1334" s="86"/>
      <c r="G1334" s="86"/>
      <c r="H1334" s="86"/>
      <c r="I1334" s="86"/>
      <c r="J1334" s="86"/>
      <c r="K1334" s="86"/>
      <c r="L1334" s="86"/>
      <c r="M1334" s="86"/>
      <c r="N1334" s="86"/>
      <c r="O1334" s="86"/>
      <c r="P1334" s="86"/>
      <c r="Q1334" s="86"/>
      <c r="R1334" s="86"/>
      <c r="S1334" s="86"/>
      <c r="T1334" s="86"/>
      <c r="U1334" s="86"/>
      <c r="V1334" s="86"/>
      <c r="W1334" s="86"/>
      <c r="X1334" s="86"/>
      <c r="Y1334" s="86"/>
      <c r="Z1334" s="86"/>
      <c r="AA1334" s="86"/>
      <c r="AB1334" s="86"/>
      <c r="AC1334" s="86"/>
      <c r="AD1334" s="86"/>
      <c r="AE1334" s="86"/>
      <c r="AF1334" s="86"/>
      <c r="AG1334" s="86"/>
      <c r="AH1334" s="86"/>
      <c r="AI1334" s="86"/>
      <c r="AJ1334" s="86"/>
    </row>
    <row r="1335" spans="1:36" x14ac:dyDescent="0.25">
      <c r="A1335" s="274"/>
      <c r="B1335" s="87"/>
      <c r="C1335" s="87"/>
      <c r="D1335" s="87"/>
      <c r="E1335" s="87"/>
      <c r="F1335" s="87"/>
      <c r="G1335" s="87"/>
      <c r="H1335" s="87"/>
      <c r="I1335" s="87"/>
      <c r="J1335" s="87"/>
      <c r="K1335" s="87"/>
      <c r="L1335" s="87"/>
      <c r="M1335" s="87"/>
      <c r="N1335" s="87"/>
      <c r="O1335" s="87"/>
      <c r="P1335" s="87"/>
      <c r="Q1335" s="87"/>
      <c r="R1335" s="87"/>
      <c r="S1335" s="87"/>
      <c r="T1335" s="87"/>
      <c r="U1335" s="87"/>
      <c r="V1335" s="87"/>
      <c r="W1335" s="87"/>
      <c r="X1335" s="87"/>
      <c r="Y1335" s="87"/>
      <c r="Z1335" s="87"/>
      <c r="AA1335" s="87"/>
      <c r="AB1335" s="87"/>
      <c r="AC1335" s="87"/>
      <c r="AD1335" s="87"/>
      <c r="AE1335" s="87"/>
      <c r="AF1335" s="87"/>
      <c r="AG1335" s="87"/>
      <c r="AH1335" s="87"/>
      <c r="AI1335" s="87"/>
      <c r="AJ1335" s="87"/>
    </row>
    <row r="1336" spans="1:36" x14ac:dyDescent="0.25">
      <c r="A1336" s="273"/>
      <c r="B1336" s="86"/>
      <c r="C1336" s="86"/>
      <c r="D1336" s="86"/>
      <c r="E1336" s="86"/>
      <c r="F1336" s="86"/>
      <c r="G1336" s="86"/>
      <c r="H1336" s="86"/>
      <c r="I1336" s="86"/>
      <c r="J1336" s="86"/>
      <c r="K1336" s="86"/>
      <c r="L1336" s="86"/>
      <c r="M1336" s="86"/>
      <c r="N1336" s="86"/>
      <c r="O1336" s="86"/>
      <c r="P1336" s="86"/>
      <c r="Q1336" s="86"/>
      <c r="R1336" s="86"/>
      <c r="S1336" s="86"/>
      <c r="T1336" s="86"/>
      <c r="U1336" s="86"/>
      <c r="V1336" s="86"/>
      <c r="W1336" s="86"/>
      <c r="X1336" s="86"/>
      <c r="Y1336" s="86"/>
      <c r="Z1336" s="86"/>
      <c r="AA1336" s="86"/>
      <c r="AB1336" s="86"/>
      <c r="AC1336" s="86"/>
      <c r="AD1336" s="86"/>
      <c r="AE1336" s="86"/>
      <c r="AF1336" s="86"/>
      <c r="AG1336" s="86"/>
      <c r="AH1336" s="86"/>
      <c r="AI1336" s="86"/>
      <c r="AJ1336" s="86"/>
    </row>
    <row r="1337" spans="1:36" x14ac:dyDescent="0.25">
      <c r="A1337" s="274"/>
      <c r="B1337" s="87"/>
      <c r="C1337" s="87"/>
      <c r="D1337" s="87"/>
      <c r="E1337" s="87"/>
      <c r="F1337" s="87"/>
      <c r="G1337" s="87"/>
      <c r="H1337" s="87"/>
      <c r="I1337" s="87"/>
      <c r="J1337" s="87"/>
      <c r="K1337" s="87"/>
      <c r="L1337" s="87"/>
      <c r="M1337" s="87"/>
      <c r="N1337" s="87"/>
      <c r="O1337" s="87"/>
      <c r="P1337" s="87"/>
      <c r="Q1337" s="87"/>
      <c r="R1337" s="87"/>
      <c r="S1337" s="87"/>
      <c r="T1337" s="87"/>
      <c r="U1337" s="87"/>
      <c r="V1337" s="87"/>
      <c r="W1337" s="87"/>
      <c r="X1337" s="87"/>
      <c r="Y1337" s="87"/>
      <c r="Z1337" s="87"/>
      <c r="AA1337" s="87"/>
      <c r="AB1337" s="87"/>
      <c r="AC1337" s="87"/>
      <c r="AD1337" s="87"/>
      <c r="AE1337" s="87"/>
      <c r="AF1337" s="87"/>
      <c r="AG1337" s="87"/>
      <c r="AH1337" s="87"/>
      <c r="AI1337" s="87"/>
      <c r="AJ1337" s="87"/>
    </row>
    <row r="1338" spans="1:36" x14ac:dyDescent="0.25">
      <c r="A1338" s="273"/>
      <c r="B1338" s="86"/>
      <c r="C1338" s="86"/>
      <c r="D1338" s="86"/>
      <c r="E1338" s="86"/>
      <c r="F1338" s="86"/>
      <c r="G1338" s="86"/>
      <c r="H1338" s="86"/>
      <c r="I1338" s="86"/>
      <c r="J1338" s="86"/>
      <c r="K1338" s="86"/>
      <c r="L1338" s="86"/>
      <c r="M1338" s="86"/>
      <c r="N1338" s="86"/>
      <c r="O1338" s="86"/>
      <c r="P1338" s="86"/>
      <c r="Q1338" s="86"/>
      <c r="R1338" s="86"/>
      <c r="S1338" s="86"/>
      <c r="T1338" s="86"/>
      <c r="U1338" s="86"/>
      <c r="V1338" s="86"/>
      <c r="W1338" s="86"/>
      <c r="X1338" s="86"/>
      <c r="Y1338" s="86"/>
      <c r="Z1338" s="86"/>
      <c r="AA1338" s="86"/>
      <c r="AB1338" s="86"/>
      <c r="AC1338" s="86"/>
      <c r="AD1338" s="86"/>
      <c r="AE1338" s="86"/>
      <c r="AF1338" s="86"/>
      <c r="AG1338" s="86"/>
      <c r="AH1338" s="86"/>
      <c r="AI1338" s="86"/>
      <c r="AJ1338" s="86"/>
    </row>
    <row r="1339" spans="1:36" x14ac:dyDescent="0.25">
      <c r="A1339" s="274"/>
      <c r="B1339" s="87"/>
      <c r="C1339" s="87"/>
      <c r="D1339" s="87"/>
      <c r="E1339" s="87"/>
      <c r="F1339" s="87"/>
      <c r="G1339" s="87"/>
      <c r="H1339" s="87"/>
      <c r="I1339" s="87"/>
      <c r="J1339" s="87"/>
      <c r="K1339" s="87"/>
      <c r="L1339" s="87"/>
      <c r="M1339" s="87"/>
      <c r="N1339" s="87"/>
      <c r="O1339" s="87"/>
      <c r="P1339" s="87"/>
      <c r="Q1339" s="87"/>
      <c r="R1339" s="87"/>
      <c r="S1339" s="87"/>
      <c r="T1339" s="87"/>
      <c r="U1339" s="87"/>
      <c r="V1339" s="87"/>
      <c r="W1339" s="87"/>
      <c r="X1339" s="87"/>
      <c r="Y1339" s="87"/>
      <c r="Z1339" s="87"/>
      <c r="AA1339" s="87"/>
      <c r="AB1339" s="87"/>
      <c r="AC1339" s="87"/>
      <c r="AD1339" s="87"/>
      <c r="AE1339" s="87"/>
      <c r="AF1339" s="87"/>
      <c r="AG1339" s="87"/>
      <c r="AH1339" s="87"/>
      <c r="AI1339" s="87"/>
      <c r="AJ1339" s="87"/>
    </row>
    <row r="1340" spans="1:36" x14ac:dyDescent="0.25">
      <c r="A1340" s="273"/>
      <c r="B1340" s="86"/>
      <c r="C1340" s="86"/>
      <c r="D1340" s="86"/>
      <c r="E1340" s="86"/>
      <c r="F1340" s="86"/>
      <c r="G1340" s="86"/>
      <c r="H1340" s="86"/>
      <c r="I1340" s="86"/>
      <c r="J1340" s="86"/>
      <c r="K1340" s="86"/>
      <c r="L1340" s="86"/>
      <c r="M1340" s="86"/>
      <c r="N1340" s="86"/>
      <c r="O1340" s="86"/>
      <c r="P1340" s="86"/>
      <c r="Q1340" s="86"/>
      <c r="R1340" s="86"/>
      <c r="S1340" s="86"/>
      <c r="T1340" s="86"/>
      <c r="U1340" s="86"/>
      <c r="V1340" s="86"/>
      <c r="W1340" s="86"/>
      <c r="X1340" s="86"/>
      <c r="Y1340" s="86"/>
      <c r="Z1340" s="86"/>
      <c r="AA1340" s="86"/>
      <c r="AB1340" s="86"/>
      <c r="AC1340" s="86"/>
      <c r="AD1340" s="86"/>
      <c r="AE1340" s="86"/>
      <c r="AF1340" s="86"/>
      <c r="AG1340" s="86"/>
      <c r="AH1340" s="86"/>
      <c r="AI1340" s="86"/>
      <c r="AJ1340" s="86"/>
    </row>
    <row r="1341" spans="1:36" x14ac:dyDescent="0.25">
      <c r="A1341" s="274"/>
      <c r="B1341" s="87"/>
      <c r="C1341" s="87"/>
      <c r="D1341" s="87"/>
      <c r="E1341" s="87"/>
      <c r="F1341" s="87"/>
      <c r="G1341" s="87"/>
      <c r="H1341" s="87"/>
      <c r="I1341" s="87"/>
      <c r="J1341" s="87"/>
      <c r="K1341" s="87"/>
      <c r="L1341" s="87"/>
      <c r="M1341" s="87"/>
      <c r="N1341" s="87"/>
      <c r="O1341" s="87"/>
      <c r="P1341" s="87"/>
      <c r="Q1341" s="87"/>
      <c r="R1341" s="87"/>
      <c r="S1341" s="87"/>
      <c r="T1341" s="87"/>
      <c r="U1341" s="87"/>
      <c r="V1341" s="87"/>
      <c r="W1341" s="87"/>
      <c r="X1341" s="87"/>
      <c r="Y1341" s="87"/>
      <c r="Z1341" s="87"/>
      <c r="AA1341" s="87"/>
      <c r="AB1341" s="87"/>
      <c r="AC1341" s="87"/>
      <c r="AD1341" s="87"/>
      <c r="AE1341" s="87"/>
      <c r="AF1341" s="87"/>
      <c r="AG1341" s="87"/>
      <c r="AH1341" s="87"/>
      <c r="AI1341" s="87"/>
      <c r="AJ1341" s="87"/>
    </row>
    <row r="1342" spans="1:36" x14ac:dyDescent="0.25">
      <c r="A1342" s="273"/>
      <c r="B1342" s="86"/>
      <c r="C1342" s="86"/>
      <c r="D1342" s="86"/>
      <c r="E1342" s="86"/>
      <c r="F1342" s="86"/>
      <c r="G1342" s="86"/>
      <c r="H1342" s="86"/>
      <c r="I1342" s="86"/>
      <c r="J1342" s="86"/>
      <c r="K1342" s="86"/>
      <c r="L1342" s="86"/>
      <c r="M1342" s="86"/>
      <c r="N1342" s="86"/>
      <c r="O1342" s="86"/>
      <c r="P1342" s="86"/>
      <c r="Q1342" s="86"/>
      <c r="R1342" s="86"/>
      <c r="S1342" s="86"/>
      <c r="T1342" s="86"/>
      <c r="U1342" s="86"/>
      <c r="V1342" s="86"/>
      <c r="W1342" s="86"/>
      <c r="X1342" s="86"/>
      <c r="Y1342" s="86"/>
      <c r="Z1342" s="86"/>
      <c r="AA1342" s="86"/>
      <c r="AB1342" s="86"/>
      <c r="AC1342" s="86"/>
      <c r="AD1342" s="86"/>
      <c r="AE1342" s="86"/>
      <c r="AF1342" s="86"/>
      <c r="AG1342" s="86"/>
      <c r="AH1342" s="86"/>
      <c r="AI1342" s="86"/>
      <c r="AJ1342" s="86"/>
    </row>
    <row r="1343" spans="1:36" x14ac:dyDescent="0.25">
      <c r="A1343" s="274"/>
      <c r="B1343" s="87"/>
      <c r="C1343" s="87"/>
      <c r="D1343" s="87"/>
      <c r="E1343" s="87"/>
      <c r="F1343" s="87"/>
      <c r="G1343" s="87"/>
      <c r="H1343" s="87"/>
      <c r="I1343" s="87"/>
      <c r="J1343" s="87"/>
      <c r="K1343" s="87"/>
      <c r="L1343" s="87"/>
      <c r="M1343" s="87"/>
      <c r="N1343" s="87"/>
      <c r="O1343" s="87"/>
      <c r="P1343" s="87"/>
      <c r="Q1343" s="87"/>
      <c r="R1343" s="87"/>
      <c r="S1343" s="87"/>
      <c r="T1343" s="87"/>
      <c r="U1343" s="87"/>
      <c r="V1343" s="87"/>
      <c r="W1343" s="87"/>
      <c r="X1343" s="87"/>
      <c r="Y1343" s="87"/>
      <c r="Z1343" s="87"/>
      <c r="AA1343" s="87"/>
      <c r="AB1343" s="87"/>
      <c r="AC1343" s="87"/>
      <c r="AD1343" s="87"/>
      <c r="AE1343" s="87"/>
      <c r="AF1343" s="87"/>
      <c r="AG1343" s="87"/>
      <c r="AH1343" s="87"/>
      <c r="AI1343" s="87"/>
      <c r="AJ1343" s="87"/>
    </row>
    <row r="1344" spans="1:36" x14ac:dyDescent="0.25">
      <c r="A1344" s="273"/>
      <c r="B1344" s="86"/>
      <c r="C1344" s="86"/>
      <c r="D1344" s="86"/>
      <c r="E1344" s="86"/>
      <c r="F1344" s="86"/>
      <c r="G1344" s="86"/>
      <c r="H1344" s="86"/>
      <c r="I1344" s="86"/>
      <c r="J1344" s="86"/>
      <c r="K1344" s="86"/>
      <c r="L1344" s="86"/>
      <c r="M1344" s="86"/>
      <c r="N1344" s="86"/>
      <c r="O1344" s="86"/>
      <c r="P1344" s="86"/>
      <c r="Q1344" s="86"/>
      <c r="R1344" s="86"/>
      <c r="S1344" s="86"/>
      <c r="T1344" s="86"/>
      <c r="U1344" s="86"/>
      <c r="V1344" s="86"/>
      <c r="W1344" s="86"/>
      <c r="X1344" s="86"/>
      <c r="Y1344" s="86"/>
      <c r="Z1344" s="86"/>
      <c r="AA1344" s="86"/>
      <c r="AB1344" s="86"/>
      <c r="AC1344" s="86"/>
      <c r="AD1344" s="86"/>
      <c r="AE1344" s="86"/>
      <c r="AF1344" s="86"/>
      <c r="AG1344" s="86"/>
      <c r="AH1344" s="86"/>
      <c r="AI1344" s="86"/>
      <c r="AJ1344" s="86"/>
    </row>
    <row r="1345" spans="1:36" x14ac:dyDescent="0.25">
      <c r="A1345" s="274"/>
      <c r="B1345" s="87"/>
      <c r="C1345" s="87"/>
      <c r="D1345" s="87"/>
      <c r="E1345" s="87"/>
      <c r="F1345" s="87"/>
      <c r="G1345" s="87"/>
      <c r="H1345" s="87"/>
      <c r="I1345" s="87"/>
      <c r="J1345" s="87"/>
      <c r="K1345" s="87"/>
      <c r="L1345" s="87"/>
      <c r="M1345" s="87"/>
      <c r="N1345" s="87"/>
      <c r="O1345" s="87"/>
      <c r="P1345" s="87"/>
      <c r="Q1345" s="87"/>
      <c r="R1345" s="87"/>
      <c r="S1345" s="87"/>
      <c r="T1345" s="87"/>
      <c r="U1345" s="87"/>
      <c r="V1345" s="87"/>
      <c r="W1345" s="87"/>
      <c r="X1345" s="87"/>
      <c r="Y1345" s="87"/>
      <c r="Z1345" s="87"/>
      <c r="AA1345" s="87"/>
      <c r="AB1345" s="87"/>
      <c r="AC1345" s="87"/>
      <c r="AD1345" s="87"/>
      <c r="AE1345" s="87"/>
      <c r="AF1345" s="87"/>
      <c r="AG1345" s="87"/>
      <c r="AH1345" s="87"/>
      <c r="AI1345" s="87"/>
      <c r="AJ1345" s="87"/>
    </row>
    <row r="1346" spans="1:36" x14ac:dyDescent="0.25">
      <c r="A1346" s="273"/>
      <c r="B1346" s="86"/>
      <c r="C1346" s="86"/>
      <c r="D1346" s="86"/>
      <c r="E1346" s="86"/>
      <c r="F1346" s="86"/>
      <c r="G1346" s="86"/>
      <c r="H1346" s="86"/>
      <c r="I1346" s="86"/>
      <c r="J1346" s="86"/>
      <c r="K1346" s="86"/>
      <c r="L1346" s="86"/>
      <c r="M1346" s="86"/>
      <c r="N1346" s="86"/>
      <c r="O1346" s="86"/>
      <c r="P1346" s="86"/>
      <c r="Q1346" s="86"/>
      <c r="R1346" s="86"/>
      <c r="S1346" s="86"/>
      <c r="T1346" s="86"/>
      <c r="U1346" s="86"/>
      <c r="V1346" s="86"/>
      <c r="W1346" s="86"/>
      <c r="X1346" s="86"/>
      <c r="Y1346" s="86"/>
      <c r="Z1346" s="86"/>
      <c r="AA1346" s="86"/>
      <c r="AB1346" s="86"/>
      <c r="AC1346" s="86"/>
      <c r="AD1346" s="86"/>
      <c r="AE1346" s="86"/>
      <c r="AF1346" s="86"/>
      <c r="AG1346" s="86"/>
      <c r="AH1346" s="86"/>
      <c r="AI1346" s="86"/>
      <c r="AJ1346" s="86"/>
    </row>
    <row r="1347" spans="1:36" x14ac:dyDescent="0.25">
      <c r="A1347" s="274"/>
      <c r="B1347" s="87"/>
      <c r="C1347" s="87"/>
      <c r="D1347" s="87"/>
      <c r="E1347" s="87"/>
      <c r="F1347" s="87"/>
      <c r="G1347" s="87"/>
      <c r="H1347" s="87"/>
      <c r="I1347" s="87"/>
      <c r="J1347" s="87"/>
      <c r="K1347" s="87"/>
      <c r="L1347" s="87"/>
      <c r="M1347" s="87"/>
      <c r="N1347" s="87"/>
      <c r="O1347" s="87"/>
      <c r="P1347" s="87"/>
      <c r="Q1347" s="87"/>
      <c r="R1347" s="87"/>
      <c r="S1347" s="87"/>
      <c r="T1347" s="87"/>
      <c r="U1347" s="87"/>
      <c r="V1347" s="87"/>
      <c r="W1347" s="87"/>
      <c r="X1347" s="87"/>
      <c r="Y1347" s="87"/>
      <c r="Z1347" s="87"/>
      <c r="AA1347" s="87"/>
      <c r="AB1347" s="87"/>
      <c r="AC1347" s="87"/>
      <c r="AD1347" s="87"/>
      <c r="AE1347" s="87"/>
      <c r="AF1347" s="87"/>
      <c r="AG1347" s="87"/>
      <c r="AH1347" s="87"/>
      <c r="AI1347" s="87"/>
      <c r="AJ1347" s="87"/>
    </row>
    <row r="1348" spans="1:36" x14ac:dyDescent="0.25">
      <c r="A1348" s="273"/>
      <c r="B1348" s="86"/>
      <c r="C1348" s="86"/>
      <c r="D1348" s="86"/>
      <c r="E1348" s="86"/>
      <c r="F1348" s="86"/>
      <c r="G1348" s="86"/>
      <c r="H1348" s="86"/>
      <c r="I1348" s="86"/>
      <c r="J1348" s="86"/>
      <c r="K1348" s="86"/>
      <c r="L1348" s="86"/>
      <c r="M1348" s="86"/>
      <c r="N1348" s="86"/>
      <c r="O1348" s="86"/>
      <c r="P1348" s="86"/>
      <c r="Q1348" s="86"/>
      <c r="R1348" s="86"/>
      <c r="S1348" s="86"/>
      <c r="T1348" s="86"/>
      <c r="U1348" s="86"/>
      <c r="V1348" s="86"/>
      <c r="W1348" s="86"/>
      <c r="X1348" s="86"/>
      <c r="Y1348" s="86"/>
      <c r="Z1348" s="86"/>
      <c r="AA1348" s="86"/>
      <c r="AB1348" s="86"/>
      <c r="AC1348" s="86"/>
      <c r="AD1348" s="86"/>
      <c r="AE1348" s="86"/>
      <c r="AF1348" s="86"/>
      <c r="AG1348" s="86"/>
      <c r="AH1348" s="86"/>
      <c r="AI1348" s="86"/>
      <c r="AJ1348" s="86"/>
    </row>
    <row r="1349" spans="1:36" x14ac:dyDescent="0.25">
      <c r="A1349" s="274"/>
      <c r="B1349" s="87"/>
      <c r="C1349" s="87"/>
      <c r="D1349" s="87"/>
      <c r="E1349" s="87"/>
      <c r="F1349" s="87"/>
      <c r="G1349" s="87"/>
      <c r="H1349" s="87"/>
      <c r="I1349" s="87"/>
      <c r="J1349" s="87"/>
      <c r="K1349" s="87"/>
      <c r="L1349" s="87"/>
      <c r="M1349" s="87"/>
      <c r="N1349" s="87"/>
      <c r="O1349" s="87"/>
      <c r="P1349" s="87"/>
      <c r="Q1349" s="87"/>
      <c r="R1349" s="87"/>
      <c r="S1349" s="87"/>
      <c r="T1349" s="87"/>
      <c r="U1349" s="87"/>
      <c r="V1349" s="87"/>
      <c r="W1349" s="87"/>
      <c r="X1349" s="87"/>
      <c r="Y1349" s="87"/>
      <c r="Z1349" s="87"/>
      <c r="AA1349" s="87"/>
      <c r="AB1349" s="87"/>
      <c r="AC1349" s="87"/>
      <c r="AD1349" s="87"/>
      <c r="AE1349" s="87"/>
      <c r="AF1349" s="87"/>
      <c r="AG1349" s="87"/>
      <c r="AH1349" s="87"/>
      <c r="AI1349" s="87"/>
      <c r="AJ1349" s="87"/>
    </row>
    <row r="1350" spans="1:36" x14ac:dyDescent="0.25">
      <c r="A1350" s="273"/>
      <c r="B1350" s="86"/>
      <c r="C1350" s="86"/>
      <c r="D1350" s="86"/>
      <c r="E1350" s="86"/>
      <c r="F1350" s="86"/>
      <c r="G1350" s="86"/>
      <c r="H1350" s="86"/>
      <c r="I1350" s="86"/>
      <c r="J1350" s="86"/>
      <c r="K1350" s="86"/>
      <c r="L1350" s="86"/>
      <c r="M1350" s="86"/>
      <c r="N1350" s="86"/>
      <c r="O1350" s="86"/>
      <c r="P1350" s="86"/>
      <c r="Q1350" s="86"/>
      <c r="R1350" s="86"/>
      <c r="S1350" s="86"/>
      <c r="T1350" s="86"/>
      <c r="U1350" s="86"/>
      <c r="V1350" s="86"/>
      <c r="W1350" s="86"/>
      <c r="X1350" s="86"/>
      <c r="Y1350" s="86"/>
      <c r="Z1350" s="86"/>
      <c r="AA1350" s="86"/>
      <c r="AB1350" s="86"/>
      <c r="AC1350" s="86"/>
      <c r="AD1350" s="86"/>
      <c r="AE1350" s="86"/>
      <c r="AF1350" s="86"/>
      <c r="AG1350" s="86"/>
      <c r="AH1350" s="86"/>
      <c r="AI1350" s="86"/>
      <c r="AJ1350" s="86"/>
    </row>
    <row r="1351" spans="1:36" x14ac:dyDescent="0.25">
      <c r="A1351" s="274"/>
      <c r="B1351" s="87"/>
      <c r="C1351" s="87"/>
      <c r="D1351" s="87"/>
      <c r="E1351" s="87"/>
      <c r="F1351" s="87"/>
      <c r="G1351" s="87"/>
      <c r="H1351" s="87"/>
      <c r="I1351" s="87"/>
      <c r="J1351" s="87"/>
      <c r="K1351" s="87"/>
      <c r="L1351" s="87"/>
      <c r="M1351" s="87"/>
      <c r="N1351" s="87"/>
      <c r="O1351" s="87"/>
      <c r="P1351" s="87"/>
      <c r="Q1351" s="87"/>
      <c r="R1351" s="87"/>
      <c r="S1351" s="87"/>
      <c r="T1351" s="87"/>
      <c r="U1351" s="87"/>
      <c r="V1351" s="87"/>
      <c r="W1351" s="87"/>
      <c r="X1351" s="87"/>
      <c r="Y1351" s="87"/>
      <c r="Z1351" s="87"/>
      <c r="AA1351" s="87"/>
      <c r="AB1351" s="87"/>
      <c r="AC1351" s="87"/>
      <c r="AD1351" s="87"/>
      <c r="AE1351" s="87"/>
      <c r="AF1351" s="87"/>
      <c r="AG1351" s="87"/>
      <c r="AH1351" s="87"/>
      <c r="AI1351" s="87"/>
      <c r="AJ1351" s="87"/>
    </row>
    <row r="1352" spans="1:36" x14ac:dyDescent="0.25">
      <c r="A1352" s="273"/>
      <c r="B1352" s="86"/>
      <c r="C1352" s="86"/>
      <c r="D1352" s="86"/>
      <c r="E1352" s="86"/>
      <c r="F1352" s="86"/>
      <c r="G1352" s="86"/>
      <c r="H1352" s="86"/>
      <c r="I1352" s="86"/>
      <c r="J1352" s="86"/>
      <c r="K1352" s="86"/>
      <c r="L1352" s="86"/>
      <c r="M1352" s="86"/>
      <c r="N1352" s="86"/>
      <c r="O1352" s="86"/>
      <c r="P1352" s="86"/>
      <c r="Q1352" s="86"/>
      <c r="R1352" s="86"/>
      <c r="S1352" s="86"/>
      <c r="T1352" s="86"/>
      <c r="U1352" s="86"/>
      <c r="V1352" s="86"/>
      <c r="W1352" s="86"/>
      <c r="X1352" s="86"/>
      <c r="Y1352" s="86"/>
      <c r="Z1352" s="86"/>
      <c r="AA1352" s="86"/>
      <c r="AB1352" s="86"/>
      <c r="AC1352" s="86"/>
      <c r="AD1352" s="86"/>
      <c r="AE1352" s="86"/>
      <c r="AF1352" s="86"/>
      <c r="AG1352" s="86"/>
      <c r="AH1352" s="86"/>
      <c r="AI1352" s="86"/>
      <c r="AJ1352" s="86"/>
    </row>
    <row r="1353" spans="1:36" x14ac:dyDescent="0.25">
      <c r="A1353" s="274"/>
      <c r="B1353" s="87"/>
      <c r="C1353" s="87"/>
      <c r="D1353" s="87"/>
      <c r="E1353" s="87"/>
      <c r="F1353" s="87"/>
      <c r="G1353" s="87"/>
      <c r="H1353" s="87"/>
      <c r="I1353" s="87"/>
      <c r="J1353" s="87"/>
      <c r="K1353" s="87"/>
      <c r="L1353" s="87"/>
      <c r="M1353" s="87"/>
      <c r="N1353" s="87"/>
      <c r="O1353" s="87"/>
      <c r="P1353" s="87"/>
      <c r="Q1353" s="87"/>
      <c r="R1353" s="87"/>
      <c r="S1353" s="87"/>
      <c r="T1353" s="87"/>
      <c r="U1353" s="87"/>
      <c r="V1353" s="87"/>
      <c r="W1353" s="87"/>
      <c r="X1353" s="87"/>
      <c r="Y1353" s="87"/>
      <c r="Z1353" s="87"/>
      <c r="AA1353" s="87"/>
      <c r="AB1353" s="87"/>
      <c r="AC1353" s="87"/>
      <c r="AD1353" s="87"/>
      <c r="AE1353" s="87"/>
      <c r="AF1353" s="87"/>
      <c r="AG1353" s="87"/>
      <c r="AH1353" s="87"/>
      <c r="AI1353" s="87"/>
      <c r="AJ1353" s="87"/>
    </row>
    <row r="1354" spans="1:36" x14ac:dyDescent="0.25">
      <c r="A1354" s="273"/>
      <c r="B1354" s="86"/>
      <c r="C1354" s="86"/>
      <c r="D1354" s="86"/>
      <c r="E1354" s="86"/>
      <c r="F1354" s="86"/>
      <c r="G1354" s="86"/>
      <c r="H1354" s="86"/>
      <c r="I1354" s="86"/>
      <c r="J1354" s="86"/>
      <c r="K1354" s="86"/>
      <c r="L1354" s="86"/>
      <c r="M1354" s="86"/>
      <c r="N1354" s="86"/>
      <c r="O1354" s="86"/>
      <c r="P1354" s="86"/>
      <c r="Q1354" s="86"/>
      <c r="R1354" s="86"/>
      <c r="S1354" s="86"/>
      <c r="T1354" s="86"/>
      <c r="U1354" s="86"/>
      <c r="V1354" s="86"/>
      <c r="W1354" s="86"/>
      <c r="X1354" s="86"/>
      <c r="Y1354" s="86"/>
      <c r="Z1354" s="86"/>
      <c r="AA1354" s="86"/>
      <c r="AB1354" s="86"/>
      <c r="AC1354" s="86"/>
      <c r="AD1354" s="86"/>
      <c r="AE1354" s="86"/>
      <c r="AF1354" s="86"/>
      <c r="AG1354" s="86"/>
      <c r="AH1354" s="86"/>
      <c r="AI1354" s="86"/>
      <c r="AJ1354" s="86"/>
    </row>
    <row r="1355" spans="1:36" x14ac:dyDescent="0.25">
      <c r="A1355" s="274"/>
      <c r="B1355" s="87"/>
      <c r="C1355" s="87"/>
      <c r="D1355" s="87"/>
      <c r="E1355" s="87"/>
      <c r="F1355" s="87"/>
      <c r="G1355" s="87"/>
      <c r="H1355" s="87"/>
      <c r="I1355" s="87"/>
      <c r="J1355" s="87"/>
      <c r="K1355" s="87"/>
      <c r="L1355" s="87"/>
      <c r="M1355" s="87"/>
      <c r="N1355" s="87"/>
      <c r="O1355" s="87"/>
      <c r="P1355" s="87"/>
      <c r="Q1355" s="87"/>
      <c r="R1355" s="87"/>
      <c r="S1355" s="87"/>
      <c r="T1355" s="87"/>
      <c r="U1355" s="87"/>
      <c r="V1355" s="87"/>
      <c r="W1355" s="87"/>
      <c r="X1355" s="87"/>
      <c r="Y1355" s="87"/>
      <c r="Z1355" s="87"/>
      <c r="AA1355" s="87"/>
      <c r="AB1355" s="87"/>
      <c r="AC1355" s="87"/>
      <c r="AD1355" s="87"/>
      <c r="AE1355" s="87"/>
      <c r="AF1355" s="87"/>
      <c r="AG1355" s="87"/>
      <c r="AH1355" s="87"/>
      <c r="AI1355" s="87"/>
      <c r="AJ1355" s="87"/>
    </row>
    <row r="1356" spans="1:36" x14ac:dyDescent="0.25">
      <c r="A1356" s="273"/>
      <c r="B1356" s="86"/>
      <c r="C1356" s="86"/>
      <c r="D1356" s="86"/>
      <c r="E1356" s="86"/>
      <c r="F1356" s="86"/>
      <c r="G1356" s="86"/>
      <c r="H1356" s="86"/>
      <c r="I1356" s="86"/>
      <c r="J1356" s="86"/>
      <c r="K1356" s="86"/>
      <c r="L1356" s="86"/>
      <c r="M1356" s="86"/>
      <c r="N1356" s="86"/>
      <c r="O1356" s="86"/>
      <c r="P1356" s="86"/>
      <c r="Q1356" s="86"/>
      <c r="R1356" s="86"/>
      <c r="S1356" s="86"/>
      <c r="T1356" s="86"/>
      <c r="U1356" s="86"/>
      <c r="V1356" s="86"/>
      <c r="W1356" s="86"/>
      <c r="X1356" s="86"/>
      <c r="Y1356" s="86"/>
      <c r="Z1356" s="86"/>
      <c r="AA1356" s="86"/>
      <c r="AB1356" s="86"/>
      <c r="AC1356" s="86"/>
      <c r="AD1356" s="86"/>
      <c r="AE1356" s="86"/>
      <c r="AF1356" s="86"/>
      <c r="AG1356" s="86"/>
      <c r="AH1356" s="86"/>
      <c r="AI1356" s="86"/>
      <c r="AJ1356" s="86"/>
    </row>
    <row r="1357" spans="1:36" x14ac:dyDescent="0.25">
      <c r="A1357" s="274"/>
      <c r="B1357" s="87"/>
      <c r="C1357" s="87"/>
      <c r="D1357" s="87"/>
      <c r="E1357" s="87"/>
      <c r="F1357" s="87"/>
      <c r="G1357" s="87"/>
      <c r="H1357" s="87"/>
      <c r="I1357" s="87"/>
      <c r="J1357" s="87"/>
      <c r="K1357" s="87"/>
      <c r="L1357" s="87"/>
      <c r="M1357" s="87"/>
      <c r="N1357" s="87"/>
      <c r="O1357" s="87"/>
      <c r="P1357" s="87"/>
      <c r="Q1357" s="87"/>
      <c r="R1357" s="87"/>
      <c r="S1357" s="87"/>
      <c r="T1357" s="87"/>
      <c r="U1357" s="87"/>
      <c r="V1357" s="87"/>
      <c r="W1357" s="87"/>
      <c r="X1357" s="87"/>
      <c r="Y1357" s="87"/>
      <c r="Z1357" s="87"/>
      <c r="AA1357" s="87"/>
      <c r="AB1357" s="87"/>
      <c r="AC1357" s="87"/>
      <c r="AD1357" s="87"/>
      <c r="AE1357" s="87"/>
      <c r="AF1357" s="87"/>
      <c r="AG1357" s="87"/>
      <c r="AH1357" s="87"/>
      <c r="AI1357" s="87"/>
      <c r="AJ1357" s="87"/>
    </row>
    <row r="1358" spans="1:36" x14ac:dyDescent="0.25">
      <c r="A1358" s="273"/>
      <c r="B1358" s="86"/>
      <c r="C1358" s="86"/>
      <c r="D1358" s="86"/>
      <c r="E1358" s="86"/>
      <c r="F1358" s="86"/>
      <c r="G1358" s="86"/>
      <c r="H1358" s="86"/>
      <c r="I1358" s="86"/>
      <c r="J1358" s="86"/>
      <c r="K1358" s="86"/>
      <c r="L1358" s="86"/>
      <c r="M1358" s="86"/>
      <c r="N1358" s="86"/>
      <c r="O1358" s="86"/>
      <c r="P1358" s="86"/>
      <c r="Q1358" s="86"/>
      <c r="R1358" s="86"/>
      <c r="S1358" s="86"/>
      <c r="T1358" s="86"/>
      <c r="U1358" s="86"/>
      <c r="V1358" s="86"/>
      <c r="W1358" s="86"/>
      <c r="X1358" s="86"/>
      <c r="Y1358" s="86"/>
      <c r="Z1358" s="86"/>
      <c r="AA1358" s="86"/>
      <c r="AB1358" s="86"/>
      <c r="AC1358" s="86"/>
      <c r="AD1358" s="86"/>
      <c r="AE1358" s="86"/>
      <c r="AF1358" s="86"/>
      <c r="AG1358" s="86"/>
      <c r="AH1358" s="86"/>
      <c r="AI1358" s="86"/>
      <c r="AJ1358" s="86"/>
    </row>
    <row r="1359" spans="1:36" x14ac:dyDescent="0.25">
      <c r="A1359" s="274"/>
      <c r="B1359" s="87"/>
      <c r="C1359" s="87"/>
      <c r="D1359" s="87"/>
      <c r="E1359" s="87"/>
      <c r="F1359" s="87"/>
      <c r="G1359" s="87"/>
      <c r="H1359" s="87"/>
      <c r="I1359" s="87"/>
      <c r="J1359" s="87"/>
      <c r="K1359" s="87"/>
      <c r="L1359" s="87"/>
      <c r="M1359" s="87"/>
      <c r="N1359" s="87"/>
      <c r="O1359" s="87"/>
      <c r="P1359" s="87"/>
      <c r="Q1359" s="87"/>
      <c r="R1359" s="87"/>
      <c r="S1359" s="87"/>
      <c r="T1359" s="87"/>
      <c r="U1359" s="87"/>
      <c r="V1359" s="87"/>
      <c r="W1359" s="87"/>
      <c r="X1359" s="87"/>
      <c r="Y1359" s="87"/>
      <c r="Z1359" s="87"/>
      <c r="AA1359" s="87"/>
      <c r="AB1359" s="87"/>
      <c r="AC1359" s="87"/>
      <c r="AD1359" s="87"/>
      <c r="AE1359" s="87"/>
      <c r="AF1359" s="87"/>
      <c r="AG1359" s="87"/>
      <c r="AH1359" s="87"/>
      <c r="AI1359" s="87"/>
      <c r="AJ1359" s="87"/>
    </row>
    <row r="1360" spans="1:36" x14ac:dyDescent="0.25">
      <c r="A1360" s="273"/>
      <c r="B1360" s="86"/>
      <c r="C1360" s="86"/>
      <c r="D1360" s="86"/>
      <c r="E1360" s="86"/>
      <c r="F1360" s="86"/>
      <c r="G1360" s="86"/>
      <c r="H1360" s="86"/>
      <c r="I1360" s="86"/>
      <c r="J1360" s="86"/>
      <c r="K1360" s="86"/>
      <c r="L1360" s="86"/>
      <c r="M1360" s="86"/>
      <c r="N1360" s="86"/>
      <c r="O1360" s="86"/>
      <c r="P1360" s="86"/>
      <c r="Q1360" s="86"/>
      <c r="R1360" s="86"/>
      <c r="S1360" s="86"/>
      <c r="T1360" s="86"/>
      <c r="U1360" s="86"/>
      <c r="V1360" s="86"/>
      <c r="W1360" s="86"/>
      <c r="X1360" s="86"/>
      <c r="Y1360" s="86"/>
      <c r="Z1360" s="86"/>
      <c r="AA1360" s="86"/>
      <c r="AB1360" s="86"/>
      <c r="AC1360" s="86"/>
      <c r="AD1360" s="86"/>
      <c r="AE1360" s="86"/>
      <c r="AF1360" s="86"/>
      <c r="AG1360" s="86"/>
      <c r="AH1360" s="86"/>
      <c r="AI1360" s="86"/>
      <c r="AJ1360" s="86"/>
    </row>
    <row r="1361" spans="1:36" x14ac:dyDescent="0.25">
      <c r="A1361" s="274"/>
      <c r="B1361" s="87"/>
      <c r="C1361" s="87"/>
      <c r="D1361" s="87"/>
      <c r="E1361" s="87"/>
      <c r="F1361" s="87"/>
      <c r="G1361" s="87"/>
      <c r="H1361" s="87"/>
      <c r="I1361" s="87"/>
      <c r="J1361" s="87"/>
      <c r="K1361" s="87"/>
      <c r="L1361" s="87"/>
      <c r="M1361" s="87"/>
      <c r="N1361" s="87"/>
      <c r="O1361" s="87"/>
      <c r="P1361" s="87"/>
      <c r="Q1361" s="87"/>
      <c r="R1361" s="87"/>
      <c r="S1361" s="87"/>
      <c r="T1361" s="87"/>
      <c r="U1361" s="87"/>
      <c r="V1361" s="87"/>
      <c r="W1361" s="87"/>
      <c r="X1361" s="87"/>
      <c r="Y1361" s="87"/>
      <c r="Z1361" s="87"/>
      <c r="AA1361" s="87"/>
      <c r="AB1361" s="87"/>
      <c r="AC1361" s="87"/>
      <c r="AD1361" s="87"/>
      <c r="AE1361" s="87"/>
      <c r="AF1361" s="87"/>
      <c r="AG1361" s="87"/>
      <c r="AH1361" s="87"/>
      <c r="AI1361" s="87"/>
      <c r="AJ1361" s="87"/>
    </row>
    <row r="1362" spans="1:36" x14ac:dyDescent="0.25">
      <c r="A1362" s="273"/>
      <c r="B1362" s="86"/>
      <c r="C1362" s="86"/>
      <c r="D1362" s="86"/>
      <c r="E1362" s="86"/>
      <c r="F1362" s="86"/>
      <c r="G1362" s="86"/>
      <c r="H1362" s="86"/>
      <c r="I1362" s="86"/>
      <c r="J1362" s="86"/>
      <c r="K1362" s="86"/>
      <c r="L1362" s="86"/>
      <c r="M1362" s="86"/>
      <c r="N1362" s="86"/>
      <c r="O1362" s="86"/>
      <c r="P1362" s="86"/>
      <c r="Q1362" s="86"/>
      <c r="R1362" s="86"/>
      <c r="S1362" s="86"/>
      <c r="T1362" s="86"/>
      <c r="U1362" s="86"/>
      <c r="V1362" s="86"/>
      <c r="W1362" s="86"/>
      <c r="X1362" s="86"/>
      <c r="Y1362" s="86"/>
      <c r="Z1362" s="86"/>
      <c r="AA1362" s="86"/>
      <c r="AB1362" s="86"/>
      <c r="AC1362" s="86"/>
      <c r="AD1362" s="86"/>
      <c r="AE1362" s="86"/>
      <c r="AF1362" s="86"/>
      <c r="AG1362" s="86"/>
      <c r="AH1362" s="86"/>
      <c r="AI1362" s="86"/>
      <c r="AJ1362" s="86"/>
    </row>
    <row r="1363" spans="1:36" x14ac:dyDescent="0.25">
      <c r="A1363" s="274"/>
      <c r="B1363" s="87"/>
      <c r="C1363" s="87"/>
      <c r="D1363" s="87"/>
      <c r="E1363" s="87"/>
      <c r="F1363" s="87"/>
      <c r="G1363" s="87"/>
      <c r="H1363" s="87"/>
      <c r="I1363" s="87"/>
      <c r="J1363" s="87"/>
      <c r="K1363" s="87"/>
      <c r="L1363" s="87"/>
      <c r="M1363" s="87"/>
      <c r="N1363" s="87"/>
      <c r="O1363" s="87"/>
      <c r="P1363" s="87"/>
      <c r="Q1363" s="87"/>
      <c r="R1363" s="87"/>
      <c r="S1363" s="87"/>
      <c r="T1363" s="87"/>
      <c r="U1363" s="87"/>
      <c r="V1363" s="87"/>
      <c r="W1363" s="87"/>
      <c r="X1363" s="87"/>
      <c r="Y1363" s="87"/>
      <c r="Z1363" s="87"/>
      <c r="AA1363" s="87"/>
      <c r="AB1363" s="87"/>
      <c r="AC1363" s="87"/>
      <c r="AD1363" s="87"/>
      <c r="AE1363" s="87"/>
      <c r="AF1363" s="87"/>
      <c r="AG1363" s="87"/>
      <c r="AH1363" s="87"/>
      <c r="AI1363" s="87"/>
      <c r="AJ1363" s="87"/>
    </row>
    <row r="1364" spans="1:36" x14ac:dyDescent="0.25">
      <c r="A1364" s="273"/>
      <c r="B1364" s="86"/>
      <c r="C1364" s="86"/>
      <c r="D1364" s="86"/>
      <c r="E1364" s="86"/>
      <c r="F1364" s="86"/>
      <c r="G1364" s="86"/>
      <c r="H1364" s="86"/>
      <c r="I1364" s="86"/>
      <c r="J1364" s="86"/>
      <c r="K1364" s="86"/>
      <c r="L1364" s="86"/>
      <c r="M1364" s="86"/>
      <c r="N1364" s="86"/>
      <c r="O1364" s="86"/>
      <c r="P1364" s="86"/>
      <c r="Q1364" s="86"/>
      <c r="R1364" s="86"/>
      <c r="S1364" s="86"/>
      <c r="T1364" s="86"/>
      <c r="U1364" s="86"/>
      <c r="V1364" s="86"/>
      <c r="W1364" s="86"/>
      <c r="X1364" s="86"/>
      <c r="Y1364" s="86"/>
      <c r="Z1364" s="86"/>
      <c r="AA1364" s="86"/>
      <c r="AB1364" s="86"/>
      <c r="AC1364" s="86"/>
      <c r="AD1364" s="86"/>
      <c r="AE1364" s="86"/>
      <c r="AF1364" s="86"/>
      <c r="AG1364" s="86"/>
      <c r="AH1364" s="86"/>
      <c r="AI1364" s="86"/>
      <c r="AJ1364" s="86"/>
    </row>
    <row r="1365" spans="1:36" x14ac:dyDescent="0.25">
      <c r="A1365" s="274"/>
      <c r="B1365" s="87"/>
      <c r="C1365" s="87"/>
      <c r="D1365" s="87"/>
      <c r="E1365" s="87"/>
      <c r="F1365" s="87"/>
      <c r="G1365" s="87"/>
      <c r="H1365" s="87"/>
      <c r="I1365" s="87"/>
      <c r="J1365" s="87"/>
      <c r="K1365" s="87"/>
      <c r="L1365" s="87"/>
      <c r="M1365" s="87"/>
      <c r="N1365" s="87"/>
      <c r="O1365" s="87"/>
      <c r="P1365" s="87"/>
      <c r="Q1365" s="87"/>
      <c r="R1365" s="87"/>
      <c r="S1365" s="87"/>
      <c r="T1365" s="87"/>
      <c r="U1365" s="87"/>
      <c r="V1365" s="87"/>
      <c r="W1365" s="87"/>
      <c r="X1365" s="87"/>
      <c r="Y1365" s="87"/>
      <c r="Z1365" s="87"/>
      <c r="AA1365" s="87"/>
      <c r="AB1365" s="87"/>
      <c r="AC1365" s="87"/>
      <c r="AD1365" s="87"/>
      <c r="AE1365" s="87"/>
      <c r="AF1365" s="87"/>
      <c r="AG1365" s="87"/>
      <c r="AH1365" s="87"/>
      <c r="AI1365" s="87"/>
      <c r="AJ1365" s="87"/>
    </row>
    <row r="1366" spans="1:36" x14ac:dyDescent="0.25">
      <c r="A1366" s="273"/>
      <c r="B1366" s="86"/>
      <c r="C1366" s="86"/>
      <c r="D1366" s="86"/>
      <c r="E1366" s="86"/>
      <c r="F1366" s="86"/>
      <c r="G1366" s="86"/>
      <c r="H1366" s="86"/>
      <c r="I1366" s="86"/>
      <c r="J1366" s="86"/>
      <c r="K1366" s="86"/>
      <c r="L1366" s="86"/>
      <c r="M1366" s="86"/>
      <c r="N1366" s="86"/>
      <c r="O1366" s="86"/>
      <c r="P1366" s="86"/>
      <c r="Q1366" s="86"/>
      <c r="R1366" s="86"/>
      <c r="S1366" s="86"/>
      <c r="T1366" s="86"/>
      <c r="U1366" s="86"/>
      <c r="V1366" s="86"/>
      <c r="W1366" s="86"/>
      <c r="X1366" s="86"/>
      <c r="Y1366" s="86"/>
      <c r="Z1366" s="86"/>
      <c r="AA1366" s="86"/>
      <c r="AB1366" s="86"/>
      <c r="AC1366" s="86"/>
      <c r="AD1366" s="86"/>
      <c r="AE1366" s="86"/>
      <c r="AF1366" s="86"/>
      <c r="AG1366" s="86"/>
      <c r="AH1366" s="86"/>
      <c r="AI1366" s="86"/>
      <c r="AJ1366" s="86"/>
    </row>
    <row r="1367" spans="1:36" x14ac:dyDescent="0.25">
      <c r="A1367" s="274"/>
      <c r="B1367" s="87"/>
      <c r="C1367" s="87"/>
      <c r="D1367" s="87"/>
      <c r="E1367" s="87"/>
      <c r="F1367" s="87"/>
      <c r="G1367" s="87"/>
      <c r="H1367" s="87"/>
      <c r="I1367" s="87"/>
      <c r="J1367" s="87"/>
      <c r="K1367" s="87"/>
      <c r="L1367" s="87"/>
      <c r="M1367" s="87"/>
      <c r="N1367" s="87"/>
      <c r="O1367" s="87"/>
      <c r="P1367" s="87"/>
      <c r="Q1367" s="87"/>
      <c r="R1367" s="87"/>
      <c r="S1367" s="87"/>
      <c r="T1367" s="87"/>
      <c r="U1367" s="87"/>
      <c r="V1367" s="87"/>
      <c r="W1367" s="87"/>
      <c r="X1367" s="87"/>
      <c r="Y1367" s="87"/>
      <c r="Z1367" s="87"/>
      <c r="AA1367" s="87"/>
      <c r="AB1367" s="87"/>
      <c r="AC1367" s="87"/>
      <c r="AD1367" s="87"/>
      <c r="AE1367" s="87"/>
      <c r="AF1367" s="87"/>
      <c r="AG1367" s="87"/>
      <c r="AH1367" s="87"/>
      <c r="AI1367" s="87"/>
      <c r="AJ1367" s="87"/>
    </row>
    <row r="1368" spans="1:36" x14ac:dyDescent="0.25">
      <c r="A1368" s="273"/>
      <c r="B1368" s="86"/>
      <c r="C1368" s="86"/>
      <c r="D1368" s="86"/>
      <c r="E1368" s="86"/>
      <c r="F1368" s="86"/>
      <c r="G1368" s="86"/>
      <c r="H1368" s="86"/>
      <c r="I1368" s="86"/>
      <c r="J1368" s="86"/>
      <c r="K1368" s="86"/>
      <c r="L1368" s="86"/>
      <c r="M1368" s="86"/>
      <c r="N1368" s="86"/>
      <c r="O1368" s="86"/>
      <c r="P1368" s="86"/>
      <c r="Q1368" s="86"/>
      <c r="R1368" s="86"/>
      <c r="S1368" s="86"/>
      <c r="T1368" s="86"/>
      <c r="U1368" s="86"/>
      <c r="V1368" s="86"/>
      <c r="W1368" s="86"/>
      <c r="X1368" s="86"/>
      <c r="Y1368" s="86"/>
      <c r="Z1368" s="86"/>
      <c r="AA1368" s="86"/>
      <c r="AB1368" s="86"/>
      <c r="AC1368" s="86"/>
      <c r="AD1368" s="86"/>
      <c r="AE1368" s="86"/>
      <c r="AF1368" s="86"/>
      <c r="AG1368" s="86"/>
      <c r="AH1368" s="86"/>
      <c r="AI1368" s="86"/>
      <c r="AJ1368" s="86"/>
    </row>
    <row r="1369" spans="1:36" x14ac:dyDescent="0.25">
      <c r="A1369" s="274"/>
      <c r="B1369" s="87"/>
      <c r="C1369" s="87"/>
      <c r="D1369" s="87"/>
      <c r="E1369" s="87"/>
      <c r="F1369" s="87"/>
      <c r="G1369" s="87"/>
      <c r="H1369" s="87"/>
      <c r="I1369" s="87"/>
      <c r="J1369" s="87"/>
      <c r="K1369" s="87"/>
      <c r="L1369" s="87"/>
      <c r="M1369" s="87"/>
      <c r="N1369" s="87"/>
      <c r="O1369" s="87"/>
      <c r="P1369" s="87"/>
      <c r="Q1369" s="87"/>
      <c r="R1369" s="87"/>
      <c r="S1369" s="87"/>
      <c r="T1369" s="87"/>
      <c r="U1369" s="87"/>
      <c r="V1369" s="87"/>
      <c r="W1369" s="87"/>
      <c r="X1369" s="87"/>
      <c r="Y1369" s="87"/>
      <c r="Z1369" s="87"/>
      <c r="AA1369" s="87"/>
      <c r="AB1369" s="87"/>
      <c r="AC1369" s="87"/>
      <c r="AD1369" s="87"/>
      <c r="AE1369" s="87"/>
      <c r="AF1369" s="87"/>
      <c r="AG1369" s="87"/>
      <c r="AH1369" s="87"/>
      <c r="AI1369" s="87"/>
      <c r="AJ1369" s="87"/>
    </row>
    <row r="1370" spans="1:36" x14ac:dyDescent="0.25">
      <c r="A1370" s="273"/>
      <c r="B1370" s="86"/>
      <c r="C1370" s="86"/>
      <c r="D1370" s="86"/>
      <c r="E1370" s="86"/>
      <c r="F1370" s="86"/>
      <c r="G1370" s="86"/>
      <c r="H1370" s="86"/>
      <c r="I1370" s="86"/>
      <c r="J1370" s="86"/>
      <c r="K1370" s="86"/>
      <c r="L1370" s="86"/>
      <c r="M1370" s="86"/>
      <c r="N1370" s="86"/>
      <c r="O1370" s="86"/>
      <c r="P1370" s="86"/>
      <c r="Q1370" s="86"/>
      <c r="R1370" s="86"/>
      <c r="S1370" s="86"/>
      <c r="T1370" s="86"/>
      <c r="U1370" s="86"/>
      <c r="V1370" s="86"/>
      <c r="W1370" s="86"/>
      <c r="X1370" s="86"/>
      <c r="Y1370" s="86"/>
      <c r="Z1370" s="86"/>
      <c r="AA1370" s="86"/>
      <c r="AB1370" s="86"/>
      <c r="AC1370" s="86"/>
      <c r="AD1370" s="86"/>
      <c r="AE1370" s="86"/>
      <c r="AF1370" s="86"/>
      <c r="AG1370" s="86"/>
      <c r="AH1370" s="86"/>
      <c r="AI1370" s="86"/>
      <c r="AJ1370" s="86"/>
    </row>
    <row r="1371" spans="1:36" x14ac:dyDescent="0.25">
      <c r="A1371" s="274"/>
      <c r="B1371" s="87"/>
      <c r="C1371" s="87"/>
      <c r="D1371" s="87"/>
      <c r="E1371" s="87"/>
      <c r="F1371" s="87"/>
      <c r="G1371" s="87"/>
      <c r="H1371" s="87"/>
      <c r="I1371" s="87"/>
      <c r="J1371" s="87"/>
      <c r="K1371" s="87"/>
      <c r="L1371" s="87"/>
      <c r="M1371" s="87"/>
      <c r="N1371" s="87"/>
      <c r="O1371" s="87"/>
      <c r="P1371" s="87"/>
      <c r="Q1371" s="87"/>
      <c r="R1371" s="87"/>
      <c r="S1371" s="87"/>
      <c r="T1371" s="87"/>
      <c r="U1371" s="87"/>
      <c r="V1371" s="87"/>
      <c r="W1371" s="87"/>
      <c r="X1371" s="87"/>
      <c r="Y1371" s="87"/>
      <c r="Z1371" s="87"/>
      <c r="AA1371" s="87"/>
      <c r="AB1371" s="87"/>
      <c r="AC1371" s="87"/>
      <c r="AD1371" s="87"/>
      <c r="AE1371" s="87"/>
      <c r="AF1371" s="87"/>
      <c r="AG1371" s="87"/>
      <c r="AH1371" s="87"/>
      <c r="AI1371" s="87"/>
      <c r="AJ1371" s="87"/>
    </row>
    <row r="1372" spans="1:36" x14ac:dyDescent="0.25">
      <c r="A1372" s="273"/>
      <c r="B1372" s="86"/>
      <c r="C1372" s="86"/>
      <c r="D1372" s="86"/>
      <c r="E1372" s="86"/>
      <c r="F1372" s="86"/>
      <c r="G1372" s="86"/>
      <c r="H1372" s="86"/>
      <c r="I1372" s="86"/>
      <c r="J1372" s="86"/>
      <c r="K1372" s="86"/>
      <c r="L1372" s="86"/>
      <c r="M1372" s="86"/>
      <c r="N1372" s="86"/>
      <c r="O1372" s="86"/>
      <c r="P1372" s="86"/>
      <c r="Q1372" s="86"/>
      <c r="R1372" s="86"/>
      <c r="S1372" s="86"/>
      <c r="T1372" s="86"/>
      <c r="U1372" s="86"/>
      <c r="V1372" s="86"/>
      <c r="W1372" s="86"/>
      <c r="X1372" s="86"/>
      <c r="Y1372" s="86"/>
      <c r="Z1372" s="86"/>
      <c r="AA1372" s="86"/>
      <c r="AB1372" s="86"/>
      <c r="AC1372" s="86"/>
      <c r="AD1372" s="86"/>
      <c r="AE1372" s="86"/>
      <c r="AF1372" s="86"/>
      <c r="AG1372" s="86"/>
      <c r="AH1372" s="86"/>
      <c r="AI1372" s="86"/>
      <c r="AJ1372" s="86"/>
    </row>
    <row r="1373" spans="1:36" x14ac:dyDescent="0.25">
      <c r="A1373" s="274"/>
      <c r="B1373" s="87"/>
      <c r="C1373" s="87"/>
      <c r="D1373" s="87"/>
      <c r="E1373" s="87"/>
      <c r="F1373" s="87"/>
      <c r="G1373" s="87"/>
      <c r="H1373" s="87"/>
      <c r="I1373" s="87"/>
      <c r="J1373" s="87"/>
      <c r="K1373" s="87"/>
      <c r="L1373" s="87"/>
      <c r="M1373" s="87"/>
      <c r="N1373" s="87"/>
      <c r="O1373" s="87"/>
      <c r="P1373" s="87"/>
      <c r="Q1373" s="87"/>
      <c r="R1373" s="87"/>
      <c r="S1373" s="87"/>
      <c r="T1373" s="87"/>
      <c r="U1373" s="87"/>
      <c r="V1373" s="87"/>
      <c r="W1373" s="87"/>
      <c r="X1373" s="87"/>
      <c r="Y1373" s="87"/>
      <c r="Z1373" s="87"/>
      <c r="AA1373" s="87"/>
      <c r="AB1373" s="87"/>
      <c r="AC1373" s="87"/>
      <c r="AD1373" s="87"/>
      <c r="AE1373" s="87"/>
      <c r="AF1373" s="87"/>
      <c r="AG1373" s="87"/>
      <c r="AH1373" s="87"/>
      <c r="AI1373" s="87"/>
      <c r="AJ1373" s="87"/>
    </row>
    <row r="1374" spans="1:36" x14ac:dyDescent="0.25">
      <c r="A1374" s="273"/>
      <c r="B1374" s="86"/>
      <c r="C1374" s="86"/>
      <c r="D1374" s="86"/>
      <c r="E1374" s="86"/>
      <c r="F1374" s="86"/>
      <c r="G1374" s="86"/>
      <c r="H1374" s="86"/>
      <c r="I1374" s="86"/>
      <c r="J1374" s="86"/>
      <c r="K1374" s="86"/>
      <c r="L1374" s="86"/>
      <c r="M1374" s="86"/>
      <c r="N1374" s="86"/>
      <c r="O1374" s="86"/>
      <c r="P1374" s="86"/>
      <c r="Q1374" s="86"/>
      <c r="R1374" s="86"/>
      <c r="S1374" s="86"/>
      <c r="T1374" s="86"/>
      <c r="U1374" s="86"/>
      <c r="V1374" s="86"/>
      <c r="W1374" s="86"/>
      <c r="X1374" s="86"/>
      <c r="Y1374" s="86"/>
      <c r="Z1374" s="86"/>
      <c r="AA1374" s="86"/>
      <c r="AB1374" s="86"/>
      <c r="AC1374" s="86"/>
      <c r="AD1374" s="86"/>
      <c r="AE1374" s="86"/>
      <c r="AF1374" s="86"/>
      <c r="AG1374" s="86"/>
      <c r="AH1374" s="86"/>
      <c r="AI1374" s="86"/>
      <c r="AJ1374" s="86"/>
    </row>
    <row r="1375" spans="1:36" x14ac:dyDescent="0.25">
      <c r="A1375" s="274"/>
      <c r="B1375" s="87"/>
      <c r="C1375" s="87"/>
      <c r="D1375" s="87"/>
      <c r="E1375" s="87"/>
      <c r="F1375" s="87"/>
      <c r="G1375" s="87"/>
      <c r="H1375" s="87"/>
      <c r="I1375" s="87"/>
      <c r="J1375" s="87"/>
      <c r="K1375" s="87"/>
      <c r="L1375" s="87"/>
      <c r="M1375" s="87"/>
      <c r="N1375" s="87"/>
      <c r="O1375" s="87"/>
      <c r="P1375" s="87"/>
      <c r="Q1375" s="87"/>
      <c r="R1375" s="87"/>
      <c r="S1375" s="87"/>
      <c r="T1375" s="87"/>
      <c r="U1375" s="87"/>
      <c r="V1375" s="87"/>
      <c r="W1375" s="87"/>
      <c r="X1375" s="87"/>
      <c r="Y1375" s="87"/>
      <c r="Z1375" s="87"/>
      <c r="AA1375" s="87"/>
      <c r="AB1375" s="87"/>
      <c r="AC1375" s="87"/>
      <c r="AD1375" s="87"/>
      <c r="AE1375" s="87"/>
      <c r="AF1375" s="87"/>
      <c r="AG1375" s="87"/>
      <c r="AH1375" s="87"/>
      <c r="AI1375" s="87"/>
      <c r="AJ1375" s="87"/>
    </row>
    <row r="1376" spans="1:36" x14ac:dyDescent="0.25">
      <c r="A1376" s="273"/>
      <c r="B1376" s="86"/>
      <c r="C1376" s="86"/>
      <c r="D1376" s="86"/>
      <c r="E1376" s="86"/>
      <c r="F1376" s="86"/>
      <c r="G1376" s="86"/>
      <c r="H1376" s="86"/>
      <c r="I1376" s="86"/>
      <c r="J1376" s="86"/>
      <c r="K1376" s="86"/>
      <c r="L1376" s="86"/>
      <c r="M1376" s="86"/>
      <c r="N1376" s="86"/>
      <c r="O1376" s="86"/>
      <c r="P1376" s="86"/>
      <c r="Q1376" s="86"/>
      <c r="R1376" s="86"/>
      <c r="S1376" s="86"/>
      <c r="T1376" s="86"/>
      <c r="U1376" s="86"/>
      <c r="V1376" s="86"/>
      <c r="W1376" s="86"/>
      <c r="X1376" s="86"/>
      <c r="Y1376" s="86"/>
      <c r="Z1376" s="86"/>
      <c r="AA1376" s="86"/>
      <c r="AB1376" s="86"/>
      <c r="AC1376" s="86"/>
      <c r="AD1376" s="86"/>
      <c r="AE1376" s="86"/>
      <c r="AF1376" s="86"/>
      <c r="AG1376" s="86"/>
      <c r="AH1376" s="86"/>
      <c r="AI1376" s="86"/>
      <c r="AJ1376" s="86"/>
    </row>
    <row r="1377" spans="1:36" x14ac:dyDescent="0.25">
      <c r="A1377" s="274"/>
      <c r="B1377" s="87"/>
      <c r="C1377" s="87"/>
      <c r="D1377" s="87"/>
      <c r="E1377" s="87"/>
      <c r="F1377" s="87"/>
      <c r="G1377" s="87"/>
      <c r="H1377" s="87"/>
      <c r="I1377" s="87"/>
      <c r="J1377" s="87"/>
      <c r="K1377" s="87"/>
      <c r="L1377" s="87"/>
      <c r="M1377" s="87"/>
      <c r="N1377" s="87"/>
      <c r="O1377" s="87"/>
      <c r="P1377" s="87"/>
      <c r="Q1377" s="87"/>
      <c r="R1377" s="87"/>
      <c r="S1377" s="87"/>
      <c r="T1377" s="87"/>
      <c r="U1377" s="87"/>
      <c r="V1377" s="87"/>
      <c r="W1377" s="87"/>
      <c r="X1377" s="87"/>
      <c r="Y1377" s="87"/>
      <c r="Z1377" s="87"/>
      <c r="AA1377" s="87"/>
      <c r="AB1377" s="87"/>
      <c r="AC1377" s="87"/>
      <c r="AD1377" s="87"/>
      <c r="AE1377" s="87"/>
      <c r="AF1377" s="87"/>
      <c r="AG1377" s="87"/>
      <c r="AH1377" s="87"/>
      <c r="AI1377" s="87"/>
      <c r="AJ1377" s="87"/>
    </row>
    <row r="1378" spans="1:36" x14ac:dyDescent="0.25">
      <c r="A1378" s="273"/>
      <c r="B1378" s="86"/>
      <c r="C1378" s="86"/>
      <c r="D1378" s="86"/>
      <c r="E1378" s="86"/>
      <c r="F1378" s="86"/>
      <c r="G1378" s="86"/>
      <c r="H1378" s="86"/>
      <c r="I1378" s="86"/>
      <c r="J1378" s="86"/>
      <c r="K1378" s="86"/>
      <c r="L1378" s="86"/>
      <c r="M1378" s="86"/>
      <c r="N1378" s="86"/>
      <c r="O1378" s="86"/>
      <c r="P1378" s="86"/>
      <c r="Q1378" s="86"/>
      <c r="R1378" s="86"/>
      <c r="S1378" s="86"/>
      <c r="T1378" s="86"/>
      <c r="U1378" s="86"/>
      <c r="V1378" s="86"/>
      <c r="W1378" s="86"/>
      <c r="X1378" s="86"/>
      <c r="Y1378" s="86"/>
      <c r="Z1378" s="86"/>
      <c r="AA1378" s="86"/>
      <c r="AB1378" s="86"/>
      <c r="AC1378" s="86"/>
      <c r="AD1378" s="86"/>
      <c r="AE1378" s="86"/>
      <c r="AF1378" s="86"/>
      <c r="AG1378" s="86"/>
      <c r="AH1378" s="86"/>
      <c r="AI1378" s="86"/>
      <c r="AJ1378" s="86"/>
    </row>
    <row r="1379" spans="1:36" x14ac:dyDescent="0.25">
      <c r="A1379" s="274"/>
      <c r="B1379" s="87"/>
      <c r="C1379" s="87"/>
      <c r="D1379" s="87"/>
      <c r="E1379" s="87"/>
      <c r="F1379" s="87"/>
      <c r="G1379" s="87"/>
      <c r="H1379" s="87"/>
      <c r="I1379" s="87"/>
      <c r="J1379" s="87"/>
      <c r="K1379" s="87"/>
      <c r="L1379" s="87"/>
      <c r="M1379" s="87"/>
      <c r="N1379" s="87"/>
      <c r="O1379" s="87"/>
      <c r="P1379" s="87"/>
      <c r="Q1379" s="87"/>
      <c r="R1379" s="87"/>
      <c r="S1379" s="87"/>
      <c r="T1379" s="87"/>
      <c r="U1379" s="87"/>
      <c r="V1379" s="87"/>
      <c r="W1379" s="87"/>
      <c r="X1379" s="87"/>
      <c r="Y1379" s="87"/>
      <c r="Z1379" s="87"/>
      <c r="AA1379" s="87"/>
      <c r="AB1379" s="87"/>
      <c r="AC1379" s="87"/>
      <c r="AD1379" s="87"/>
      <c r="AE1379" s="87"/>
      <c r="AF1379" s="87"/>
      <c r="AG1379" s="87"/>
      <c r="AH1379" s="87"/>
      <c r="AI1379" s="87"/>
      <c r="AJ1379" s="87"/>
    </row>
    <row r="1380" spans="1:36" x14ac:dyDescent="0.25">
      <c r="A1380" s="273"/>
      <c r="B1380" s="86"/>
      <c r="C1380" s="86"/>
      <c r="D1380" s="86"/>
      <c r="E1380" s="86"/>
      <c r="F1380" s="86"/>
      <c r="G1380" s="86"/>
      <c r="H1380" s="86"/>
      <c r="I1380" s="86"/>
      <c r="J1380" s="86"/>
      <c r="K1380" s="86"/>
      <c r="L1380" s="86"/>
      <c r="M1380" s="86"/>
      <c r="N1380" s="86"/>
      <c r="O1380" s="86"/>
      <c r="P1380" s="86"/>
      <c r="Q1380" s="86"/>
      <c r="R1380" s="86"/>
      <c r="S1380" s="86"/>
      <c r="T1380" s="86"/>
      <c r="U1380" s="86"/>
      <c r="V1380" s="86"/>
      <c r="W1380" s="86"/>
      <c r="X1380" s="86"/>
      <c r="Y1380" s="86"/>
      <c r="Z1380" s="86"/>
      <c r="AA1380" s="86"/>
      <c r="AB1380" s="86"/>
      <c r="AC1380" s="86"/>
      <c r="AD1380" s="86"/>
      <c r="AE1380" s="86"/>
      <c r="AF1380" s="86"/>
      <c r="AG1380" s="86"/>
      <c r="AH1380" s="86"/>
      <c r="AI1380" s="86"/>
      <c r="AJ1380" s="86"/>
    </row>
    <row r="1381" spans="1:36" x14ac:dyDescent="0.25">
      <c r="A1381" s="274"/>
      <c r="B1381" s="87"/>
      <c r="C1381" s="87"/>
      <c r="D1381" s="87"/>
      <c r="E1381" s="87"/>
      <c r="F1381" s="87"/>
      <c r="G1381" s="87"/>
      <c r="H1381" s="87"/>
      <c r="I1381" s="87"/>
      <c r="J1381" s="87"/>
      <c r="K1381" s="87"/>
      <c r="L1381" s="87"/>
      <c r="M1381" s="87"/>
      <c r="N1381" s="87"/>
      <c r="O1381" s="87"/>
      <c r="P1381" s="87"/>
      <c r="Q1381" s="87"/>
      <c r="R1381" s="87"/>
      <c r="S1381" s="87"/>
      <c r="T1381" s="87"/>
      <c r="U1381" s="87"/>
      <c r="V1381" s="87"/>
      <c r="W1381" s="87"/>
      <c r="X1381" s="87"/>
      <c r="Y1381" s="87"/>
      <c r="Z1381" s="87"/>
      <c r="AA1381" s="87"/>
      <c r="AB1381" s="87"/>
      <c r="AC1381" s="87"/>
      <c r="AD1381" s="87"/>
      <c r="AE1381" s="87"/>
      <c r="AF1381" s="87"/>
      <c r="AG1381" s="87"/>
      <c r="AH1381" s="87"/>
      <c r="AI1381" s="87"/>
      <c r="AJ1381" s="87"/>
    </row>
    <row r="1382" spans="1:36" x14ac:dyDescent="0.25">
      <c r="A1382" s="273"/>
      <c r="B1382" s="86"/>
      <c r="C1382" s="86"/>
      <c r="D1382" s="86"/>
      <c r="E1382" s="86"/>
      <c r="F1382" s="86"/>
      <c r="G1382" s="86"/>
      <c r="H1382" s="86"/>
      <c r="I1382" s="86"/>
      <c r="J1382" s="86"/>
      <c r="K1382" s="86"/>
      <c r="L1382" s="86"/>
      <c r="M1382" s="86"/>
      <c r="N1382" s="86"/>
      <c r="O1382" s="86"/>
      <c r="P1382" s="86"/>
      <c r="Q1382" s="86"/>
      <c r="R1382" s="86"/>
      <c r="S1382" s="86"/>
      <c r="T1382" s="86"/>
      <c r="U1382" s="86"/>
      <c r="V1382" s="86"/>
      <c r="W1382" s="86"/>
      <c r="X1382" s="86"/>
      <c r="Y1382" s="86"/>
      <c r="Z1382" s="86"/>
      <c r="AA1382" s="86"/>
      <c r="AB1382" s="86"/>
      <c r="AC1382" s="86"/>
      <c r="AD1382" s="86"/>
      <c r="AE1382" s="86"/>
      <c r="AF1382" s="86"/>
      <c r="AG1382" s="86"/>
      <c r="AH1382" s="86"/>
      <c r="AI1382" s="86"/>
      <c r="AJ1382" s="86"/>
    </row>
    <row r="1383" spans="1:36" x14ac:dyDescent="0.25">
      <c r="A1383" s="274"/>
      <c r="B1383" s="87"/>
      <c r="C1383" s="87"/>
      <c r="D1383" s="87"/>
      <c r="E1383" s="87"/>
      <c r="F1383" s="87"/>
      <c r="G1383" s="87"/>
      <c r="H1383" s="87"/>
      <c r="I1383" s="87"/>
      <c r="J1383" s="87"/>
      <c r="K1383" s="87"/>
      <c r="L1383" s="87"/>
      <c r="M1383" s="87"/>
      <c r="N1383" s="87"/>
      <c r="O1383" s="87"/>
      <c r="P1383" s="87"/>
      <c r="Q1383" s="87"/>
      <c r="R1383" s="87"/>
      <c r="S1383" s="87"/>
      <c r="T1383" s="87"/>
      <c r="U1383" s="87"/>
      <c r="V1383" s="87"/>
      <c r="W1383" s="87"/>
      <c r="X1383" s="87"/>
      <c r="Y1383" s="87"/>
      <c r="Z1383" s="87"/>
      <c r="AA1383" s="87"/>
      <c r="AB1383" s="87"/>
      <c r="AC1383" s="87"/>
      <c r="AD1383" s="87"/>
      <c r="AE1383" s="87"/>
      <c r="AF1383" s="87"/>
      <c r="AG1383" s="87"/>
      <c r="AH1383" s="87"/>
      <c r="AI1383" s="87"/>
      <c r="AJ1383" s="87"/>
    </row>
    <row r="1384" spans="1:36" x14ac:dyDescent="0.25">
      <c r="A1384" s="273"/>
      <c r="B1384" s="86"/>
      <c r="C1384" s="86"/>
      <c r="D1384" s="86"/>
      <c r="E1384" s="86"/>
      <c r="F1384" s="86"/>
      <c r="G1384" s="86"/>
      <c r="H1384" s="86"/>
      <c r="I1384" s="86"/>
      <c r="J1384" s="86"/>
      <c r="K1384" s="86"/>
      <c r="L1384" s="86"/>
      <c r="M1384" s="86"/>
      <c r="N1384" s="86"/>
      <c r="O1384" s="86"/>
      <c r="P1384" s="86"/>
      <c r="Q1384" s="86"/>
      <c r="R1384" s="86"/>
      <c r="S1384" s="86"/>
      <c r="T1384" s="86"/>
      <c r="U1384" s="86"/>
      <c r="V1384" s="86"/>
      <c r="W1384" s="86"/>
      <c r="X1384" s="86"/>
      <c r="Y1384" s="86"/>
      <c r="Z1384" s="86"/>
      <c r="AA1384" s="86"/>
      <c r="AB1384" s="86"/>
      <c r="AC1384" s="86"/>
      <c r="AD1384" s="86"/>
      <c r="AE1384" s="86"/>
      <c r="AF1384" s="86"/>
      <c r="AG1384" s="86"/>
      <c r="AH1384" s="86"/>
      <c r="AI1384" s="86"/>
      <c r="AJ1384" s="86"/>
    </row>
    <row r="1385" spans="1:36" x14ac:dyDescent="0.25">
      <c r="A1385" s="274"/>
      <c r="B1385" s="87"/>
      <c r="C1385" s="87"/>
      <c r="D1385" s="87"/>
      <c r="E1385" s="87"/>
      <c r="F1385" s="87"/>
      <c r="G1385" s="87"/>
      <c r="H1385" s="87"/>
      <c r="I1385" s="87"/>
      <c r="J1385" s="87"/>
      <c r="K1385" s="87"/>
      <c r="L1385" s="87"/>
      <c r="M1385" s="87"/>
      <c r="N1385" s="87"/>
      <c r="O1385" s="87"/>
      <c r="P1385" s="87"/>
      <c r="Q1385" s="87"/>
      <c r="R1385" s="87"/>
      <c r="S1385" s="87"/>
      <c r="T1385" s="87"/>
      <c r="U1385" s="87"/>
      <c r="V1385" s="87"/>
      <c r="W1385" s="87"/>
      <c r="X1385" s="87"/>
      <c r="Y1385" s="87"/>
      <c r="Z1385" s="87"/>
      <c r="AA1385" s="87"/>
      <c r="AB1385" s="87"/>
      <c r="AC1385" s="87"/>
      <c r="AD1385" s="87"/>
      <c r="AE1385" s="87"/>
      <c r="AF1385" s="87"/>
      <c r="AG1385" s="87"/>
      <c r="AH1385" s="87"/>
      <c r="AI1385" s="87"/>
      <c r="AJ1385" s="87"/>
    </row>
    <row r="1386" spans="1:36" x14ac:dyDescent="0.25">
      <c r="A1386" s="273"/>
      <c r="B1386" s="86"/>
      <c r="C1386" s="86"/>
      <c r="D1386" s="86"/>
      <c r="E1386" s="86"/>
      <c r="F1386" s="86"/>
      <c r="G1386" s="86"/>
      <c r="H1386" s="86"/>
      <c r="I1386" s="86"/>
      <c r="J1386" s="86"/>
      <c r="K1386" s="86"/>
      <c r="L1386" s="86"/>
      <c r="M1386" s="86"/>
      <c r="N1386" s="86"/>
      <c r="O1386" s="86"/>
      <c r="P1386" s="86"/>
      <c r="Q1386" s="86"/>
      <c r="R1386" s="86"/>
      <c r="S1386" s="86"/>
      <c r="T1386" s="86"/>
      <c r="U1386" s="86"/>
      <c r="V1386" s="86"/>
      <c r="W1386" s="86"/>
      <c r="X1386" s="86"/>
      <c r="Y1386" s="86"/>
      <c r="Z1386" s="86"/>
      <c r="AA1386" s="86"/>
      <c r="AB1386" s="86"/>
      <c r="AC1386" s="86"/>
      <c r="AD1386" s="86"/>
      <c r="AE1386" s="86"/>
      <c r="AF1386" s="86"/>
      <c r="AG1386" s="86"/>
      <c r="AH1386" s="86"/>
      <c r="AI1386" s="86"/>
      <c r="AJ1386" s="86"/>
    </row>
    <row r="1387" spans="1:36" x14ac:dyDescent="0.25">
      <c r="A1387" s="274"/>
      <c r="B1387" s="87"/>
      <c r="C1387" s="87"/>
      <c r="D1387" s="87"/>
      <c r="E1387" s="87"/>
      <c r="F1387" s="87"/>
      <c r="G1387" s="87"/>
      <c r="H1387" s="87"/>
      <c r="I1387" s="87"/>
      <c r="J1387" s="87"/>
      <c r="K1387" s="87"/>
      <c r="L1387" s="87"/>
      <c r="M1387" s="87"/>
      <c r="N1387" s="87"/>
      <c r="O1387" s="87"/>
      <c r="P1387" s="87"/>
      <c r="Q1387" s="87"/>
      <c r="R1387" s="87"/>
      <c r="S1387" s="87"/>
      <c r="T1387" s="87"/>
      <c r="U1387" s="87"/>
      <c r="V1387" s="87"/>
      <c r="W1387" s="87"/>
      <c r="X1387" s="87"/>
      <c r="Y1387" s="87"/>
      <c r="Z1387" s="87"/>
      <c r="AA1387" s="87"/>
      <c r="AB1387" s="87"/>
      <c r="AC1387" s="87"/>
      <c r="AD1387" s="87"/>
      <c r="AE1387" s="87"/>
      <c r="AF1387" s="87"/>
      <c r="AG1387" s="87"/>
      <c r="AH1387" s="87"/>
      <c r="AI1387" s="87"/>
      <c r="AJ1387" s="87"/>
    </row>
    <row r="1388" spans="1:36" x14ac:dyDescent="0.25">
      <c r="A1388" s="273"/>
      <c r="B1388" s="86"/>
      <c r="C1388" s="86"/>
      <c r="D1388" s="86"/>
      <c r="E1388" s="86"/>
      <c r="F1388" s="86"/>
      <c r="G1388" s="86"/>
      <c r="H1388" s="86"/>
      <c r="I1388" s="86"/>
      <c r="J1388" s="86"/>
      <c r="K1388" s="86"/>
      <c r="L1388" s="86"/>
      <c r="M1388" s="86"/>
      <c r="N1388" s="86"/>
      <c r="O1388" s="86"/>
      <c r="P1388" s="86"/>
      <c r="Q1388" s="86"/>
      <c r="R1388" s="86"/>
      <c r="S1388" s="86"/>
      <c r="T1388" s="86"/>
      <c r="U1388" s="86"/>
      <c r="V1388" s="86"/>
      <c r="W1388" s="86"/>
      <c r="X1388" s="86"/>
      <c r="Y1388" s="86"/>
      <c r="Z1388" s="86"/>
      <c r="AA1388" s="86"/>
      <c r="AB1388" s="86"/>
      <c r="AC1388" s="86"/>
      <c r="AD1388" s="86"/>
      <c r="AE1388" s="86"/>
      <c r="AF1388" s="86"/>
      <c r="AG1388" s="86"/>
      <c r="AH1388" s="86"/>
      <c r="AI1388" s="86"/>
      <c r="AJ1388" s="86"/>
    </row>
    <row r="1389" spans="1:36" x14ac:dyDescent="0.25">
      <c r="A1389" s="274"/>
      <c r="B1389" s="87"/>
      <c r="C1389" s="87"/>
      <c r="D1389" s="87"/>
      <c r="E1389" s="87"/>
      <c r="F1389" s="87"/>
      <c r="G1389" s="87"/>
      <c r="H1389" s="87"/>
      <c r="I1389" s="87"/>
      <c r="J1389" s="87"/>
      <c r="K1389" s="87"/>
      <c r="L1389" s="87"/>
      <c r="M1389" s="87"/>
      <c r="N1389" s="87"/>
      <c r="O1389" s="87"/>
      <c r="P1389" s="87"/>
      <c r="Q1389" s="87"/>
      <c r="R1389" s="87"/>
      <c r="S1389" s="87"/>
      <c r="T1389" s="87"/>
      <c r="U1389" s="87"/>
      <c r="V1389" s="87"/>
      <c r="W1389" s="87"/>
      <c r="X1389" s="87"/>
      <c r="Y1389" s="87"/>
      <c r="Z1389" s="87"/>
      <c r="AA1389" s="87"/>
      <c r="AB1389" s="87"/>
      <c r="AC1389" s="87"/>
      <c r="AD1389" s="87"/>
      <c r="AE1389" s="87"/>
      <c r="AF1389" s="87"/>
      <c r="AG1389" s="87"/>
      <c r="AH1389" s="87"/>
      <c r="AI1389" s="87"/>
      <c r="AJ1389" s="87"/>
    </row>
    <row r="1390" spans="1:36" x14ac:dyDescent="0.25">
      <c r="A1390" s="273"/>
      <c r="B1390" s="86"/>
      <c r="C1390" s="86"/>
      <c r="D1390" s="86"/>
      <c r="E1390" s="86"/>
      <c r="F1390" s="86"/>
      <c r="G1390" s="86"/>
      <c r="H1390" s="86"/>
      <c r="I1390" s="86"/>
      <c r="J1390" s="86"/>
      <c r="K1390" s="86"/>
      <c r="L1390" s="86"/>
      <c r="M1390" s="86"/>
      <c r="N1390" s="86"/>
      <c r="O1390" s="86"/>
      <c r="P1390" s="86"/>
      <c r="Q1390" s="86"/>
      <c r="R1390" s="86"/>
      <c r="S1390" s="86"/>
      <c r="T1390" s="86"/>
      <c r="U1390" s="86"/>
      <c r="V1390" s="86"/>
      <c r="W1390" s="86"/>
      <c r="X1390" s="86"/>
      <c r="Y1390" s="86"/>
      <c r="Z1390" s="86"/>
      <c r="AA1390" s="86"/>
      <c r="AB1390" s="86"/>
      <c r="AC1390" s="86"/>
      <c r="AD1390" s="86"/>
      <c r="AE1390" s="86"/>
      <c r="AF1390" s="86"/>
      <c r="AG1390" s="86"/>
      <c r="AH1390" s="86"/>
      <c r="AI1390" s="86"/>
      <c r="AJ1390" s="86"/>
    </row>
    <row r="1391" spans="1:36" x14ac:dyDescent="0.25">
      <c r="A1391" s="274"/>
      <c r="B1391" s="87"/>
      <c r="C1391" s="87"/>
      <c r="D1391" s="87"/>
      <c r="E1391" s="87"/>
      <c r="F1391" s="87"/>
      <c r="G1391" s="87"/>
      <c r="H1391" s="87"/>
      <c r="I1391" s="87"/>
      <c r="J1391" s="87"/>
      <c r="K1391" s="87"/>
      <c r="L1391" s="87"/>
      <c r="M1391" s="87"/>
      <c r="N1391" s="87"/>
      <c r="O1391" s="87"/>
      <c r="P1391" s="87"/>
      <c r="Q1391" s="87"/>
      <c r="R1391" s="87"/>
      <c r="S1391" s="87"/>
      <c r="T1391" s="87"/>
      <c r="U1391" s="87"/>
      <c r="V1391" s="87"/>
      <c r="W1391" s="87"/>
      <c r="X1391" s="87"/>
      <c r="Y1391" s="87"/>
      <c r="Z1391" s="87"/>
      <c r="AA1391" s="87"/>
      <c r="AB1391" s="87"/>
      <c r="AC1391" s="87"/>
      <c r="AD1391" s="87"/>
      <c r="AE1391" s="87"/>
      <c r="AF1391" s="87"/>
      <c r="AG1391" s="87"/>
      <c r="AH1391" s="87"/>
      <c r="AI1391" s="87"/>
      <c r="AJ1391" s="87"/>
    </row>
    <row r="1392" spans="1:36" x14ac:dyDescent="0.25">
      <c r="A1392" s="273"/>
      <c r="B1392" s="86"/>
      <c r="C1392" s="86"/>
      <c r="D1392" s="86"/>
      <c r="E1392" s="86"/>
      <c r="F1392" s="86"/>
      <c r="G1392" s="86"/>
      <c r="H1392" s="86"/>
      <c r="I1392" s="86"/>
      <c r="J1392" s="86"/>
      <c r="K1392" s="86"/>
      <c r="L1392" s="86"/>
      <c r="M1392" s="86"/>
      <c r="N1392" s="86"/>
      <c r="O1392" s="86"/>
      <c r="P1392" s="86"/>
      <c r="Q1392" s="86"/>
      <c r="R1392" s="86"/>
      <c r="S1392" s="86"/>
      <c r="T1392" s="86"/>
      <c r="U1392" s="86"/>
      <c r="V1392" s="86"/>
      <c r="W1392" s="86"/>
      <c r="X1392" s="86"/>
      <c r="Y1392" s="86"/>
      <c r="Z1392" s="86"/>
      <c r="AA1392" s="86"/>
      <c r="AB1392" s="86"/>
      <c r="AC1392" s="86"/>
      <c r="AD1392" s="86"/>
      <c r="AE1392" s="86"/>
      <c r="AF1392" s="86"/>
      <c r="AG1392" s="86"/>
      <c r="AH1392" s="86"/>
      <c r="AI1392" s="86"/>
      <c r="AJ1392" s="86"/>
    </row>
    <row r="1393" spans="1:36" x14ac:dyDescent="0.25">
      <c r="A1393" s="274"/>
      <c r="B1393" s="87"/>
      <c r="C1393" s="87"/>
      <c r="D1393" s="87"/>
      <c r="E1393" s="87"/>
      <c r="F1393" s="87"/>
      <c r="G1393" s="87"/>
      <c r="H1393" s="87"/>
      <c r="I1393" s="87"/>
      <c r="J1393" s="87"/>
      <c r="K1393" s="87"/>
      <c r="L1393" s="87"/>
      <c r="M1393" s="87"/>
      <c r="N1393" s="87"/>
      <c r="O1393" s="87"/>
      <c r="P1393" s="87"/>
      <c r="Q1393" s="87"/>
      <c r="R1393" s="87"/>
      <c r="S1393" s="87"/>
      <c r="T1393" s="87"/>
      <c r="U1393" s="87"/>
      <c r="V1393" s="87"/>
      <c r="W1393" s="87"/>
      <c r="X1393" s="87"/>
      <c r="Y1393" s="87"/>
      <c r="Z1393" s="87"/>
      <c r="AA1393" s="87"/>
      <c r="AB1393" s="87"/>
      <c r="AC1393" s="87"/>
      <c r="AD1393" s="87"/>
      <c r="AE1393" s="87"/>
      <c r="AF1393" s="87"/>
      <c r="AG1393" s="87"/>
      <c r="AH1393" s="87"/>
      <c r="AI1393" s="87"/>
      <c r="AJ1393" s="87"/>
    </row>
    <row r="1394" spans="1:36" x14ac:dyDescent="0.25">
      <c r="A1394" s="273"/>
      <c r="B1394" s="86"/>
      <c r="C1394" s="86"/>
      <c r="D1394" s="86"/>
      <c r="E1394" s="86"/>
      <c r="F1394" s="86"/>
      <c r="G1394" s="86"/>
      <c r="H1394" s="86"/>
      <c r="I1394" s="86"/>
      <c r="J1394" s="86"/>
      <c r="K1394" s="86"/>
      <c r="L1394" s="86"/>
      <c r="M1394" s="86"/>
      <c r="N1394" s="86"/>
      <c r="O1394" s="86"/>
      <c r="P1394" s="86"/>
      <c r="Q1394" s="86"/>
      <c r="R1394" s="86"/>
      <c r="S1394" s="86"/>
      <c r="T1394" s="86"/>
      <c r="U1394" s="86"/>
      <c r="V1394" s="86"/>
      <c r="W1394" s="86"/>
      <c r="X1394" s="86"/>
      <c r="Y1394" s="86"/>
      <c r="Z1394" s="86"/>
      <c r="AA1394" s="86"/>
      <c r="AB1394" s="86"/>
      <c r="AC1394" s="86"/>
      <c r="AD1394" s="86"/>
      <c r="AE1394" s="86"/>
      <c r="AF1394" s="86"/>
      <c r="AG1394" s="86"/>
      <c r="AH1394" s="86"/>
      <c r="AI1394" s="86"/>
      <c r="AJ1394" s="86"/>
    </row>
    <row r="1395" spans="1:36" x14ac:dyDescent="0.25">
      <c r="A1395" s="274"/>
      <c r="B1395" s="87"/>
      <c r="C1395" s="87"/>
      <c r="D1395" s="87"/>
      <c r="E1395" s="87"/>
      <c r="F1395" s="87"/>
      <c r="G1395" s="87"/>
      <c r="H1395" s="87"/>
      <c r="I1395" s="87"/>
      <c r="J1395" s="87"/>
      <c r="K1395" s="87"/>
      <c r="L1395" s="87"/>
      <c r="M1395" s="87"/>
      <c r="N1395" s="87"/>
      <c r="O1395" s="87"/>
      <c r="P1395" s="87"/>
      <c r="Q1395" s="87"/>
      <c r="R1395" s="87"/>
      <c r="S1395" s="87"/>
      <c r="T1395" s="87"/>
      <c r="U1395" s="87"/>
      <c r="V1395" s="87"/>
      <c r="W1395" s="87"/>
      <c r="X1395" s="87"/>
      <c r="Y1395" s="87"/>
      <c r="Z1395" s="87"/>
      <c r="AA1395" s="87"/>
      <c r="AB1395" s="87"/>
      <c r="AC1395" s="87"/>
      <c r="AD1395" s="87"/>
      <c r="AE1395" s="87"/>
      <c r="AF1395" s="87"/>
      <c r="AG1395" s="87"/>
      <c r="AH1395" s="87"/>
      <c r="AI1395" s="87"/>
      <c r="AJ1395" s="87"/>
    </row>
    <row r="1396" spans="1:36" x14ac:dyDescent="0.25">
      <c r="A1396" s="273"/>
      <c r="B1396" s="86"/>
      <c r="C1396" s="86"/>
      <c r="D1396" s="86"/>
      <c r="E1396" s="86"/>
      <c r="F1396" s="86"/>
      <c r="G1396" s="86"/>
      <c r="H1396" s="86"/>
      <c r="I1396" s="86"/>
      <c r="J1396" s="86"/>
      <c r="K1396" s="86"/>
      <c r="L1396" s="86"/>
      <c r="M1396" s="86"/>
      <c r="N1396" s="86"/>
      <c r="O1396" s="86"/>
      <c r="P1396" s="86"/>
      <c r="Q1396" s="86"/>
      <c r="R1396" s="86"/>
      <c r="S1396" s="86"/>
      <c r="T1396" s="86"/>
      <c r="U1396" s="86"/>
      <c r="V1396" s="86"/>
      <c r="W1396" s="86"/>
      <c r="X1396" s="86"/>
      <c r="Y1396" s="86"/>
      <c r="Z1396" s="86"/>
      <c r="AA1396" s="86"/>
      <c r="AB1396" s="86"/>
      <c r="AC1396" s="86"/>
      <c r="AD1396" s="86"/>
      <c r="AE1396" s="86"/>
      <c r="AF1396" s="86"/>
      <c r="AG1396" s="86"/>
      <c r="AH1396" s="86"/>
      <c r="AI1396" s="86"/>
      <c r="AJ1396" s="86"/>
    </row>
    <row r="1397" spans="1:36" x14ac:dyDescent="0.25">
      <c r="A1397" s="274"/>
      <c r="B1397" s="87"/>
      <c r="C1397" s="87"/>
      <c r="D1397" s="87"/>
      <c r="E1397" s="87"/>
      <c r="F1397" s="87"/>
      <c r="G1397" s="87"/>
      <c r="H1397" s="87"/>
      <c r="I1397" s="87"/>
      <c r="J1397" s="87"/>
      <c r="K1397" s="87"/>
      <c r="L1397" s="87"/>
      <c r="M1397" s="87"/>
      <c r="N1397" s="87"/>
      <c r="O1397" s="87"/>
      <c r="P1397" s="87"/>
      <c r="Q1397" s="87"/>
      <c r="R1397" s="87"/>
      <c r="S1397" s="87"/>
      <c r="T1397" s="87"/>
      <c r="U1397" s="87"/>
      <c r="V1397" s="87"/>
      <c r="W1397" s="87"/>
      <c r="X1397" s="87"/>
      <c r="Y1397" s="87"/>
      <c r="Z1397" s="87"/>
      <c r="AA1397" s="87"/>
      <c r="AB1397" s="87"/>
      <c r="AC1397" s="87"/>
      <c r="AD1397" s="87"/>
      <c r="AE1397" s="87"/>
      <c r="AF1397" s="87"/>
      <c r="AG1397" s="87"/>
      <c r="AH1397" s="87"/>
      <c r="AI1397" s="87"/>
      <c r="AJ1397" s="87"/>
    </row>
    <row r="1398" spans="1:36" x14ac:dyDescent="0.25">
      <c r="A1398" s="273"/>
      <c r="B1398" s="86"/>
      <c r="C1398" s="86"/>
      <c r="D1398" s="86"/>
      <c r="E1398" s="86"/>
      <c r="F1398" s="86"/>
      <c r="G1398" s="86"/>
      <c r="H1398" s="86"/>
      <c r="I1398" s="86"/>
      <c r="J1398" s="86"/>
      <c r="K1398" s="86"/>
      <c r="L1398" s="86"/>
      <c r="M1398" s="86"/>
      <c r="N1398" s="86"/>
      <c r="O1398" s="86"/>
      <c r="P1398" s="86"/>
      <c r="Q1398" s="86"/>
      <c r="R1398" s="86"/>
      <c r="S1398" s="86"/>
      <c r="T1398" s="86"/>
      <c r="U1398" s="86"/>
      <c r="V1398" s="86"/>
      <c r="W1398" s="86"/>
      <c r="X1398" s="86"/>
      <c r="Y1398" s="86"/>
      <c r="Z1398" s="86"/>
      <c r="AA1398" s="86"/>
      <c r="AB1398" s="86"/>
      <c r="AC1398" s="86"/>
      <c r="AD1398" s="86"/>
      <c r="AE1398" s="86"/>
      <c r="AF1398" s="86"/>
      <c r="AG1398" s="86"/>
      <c r="AH1398" s="86"/>
      <c r="AI1398" s="86"/>
      <c r="AJ1398" s="86"/>
    </row>
    <row r="1399" spans="1:36" x14ac:dyDescent="0.25">
      <c r="A1399" s="274"/>
      <c r="B1399" s="87"/>
      <c r="C1399" s="87"/>
      <c r="D1399" s="87"/>
      <c r="E1399" s="87"/>
      <c r="F1399" s="87"/>
      <c r="G1399" s="87"/>
      <c r="H1399" s="87"/>
      <c r="I1399" s="87"/>
      <c r="J1399" s="87"/>
      <c r="K1399" s="87"/>
      <c r="L1399" s="87"/>
      <c r="M1399" s="87"/>
      <c r="N1399" s="87"/>
      <c r="O1399" s="87"/>
      <c r="P1399" s="87"/>
      <c r="Q1399" s="87"/>
      <c r="R1399" s="87"/>
      <c r="S1399" s="87"/>
      <c r="T1399" s="87"/>
      <c r="U1399" s="87"/>
      <c r="V1399" s="87"/>
      <c r="W1399" s="87"/>
      <c r="X1399" s="87"/>
      <c r="Y1399" s="87"/>
      <c r="Z1399" s="87"/>
      <c r="AA1399" s="87"/>
      <c r="AB1399" s="87"/>
      <c r="AC1399" s="87"/>
      <c r="AD1399" s="87"/>
      <c r="AE1399" s="87"/>
      <c r="AF1399" s="87"/>
      <c r="AG1399" s="87"/>
      <c r="AH1399" s="87"/>
      <c r="AI1399" s="87"/>
      <c r="AJ1399" s="87"/>
    </row>
    <row r="1400" spans="1:36" x14ac:dyDescent="0.25">
      <c r="A1400" s="273"/>
      <c r="B1400" s="86"/>
      <c r="C1400" s="86"/>
      <c r="D1400" s="86"/>
      <c r="E1400" s="86"/>
      <c r="F1400" s="86"/>
      <c r="G1400" s="86"/>
      <c r="H1400" s="86"/>
      <c r="I1400" s="86"/>
      <c r="J1400" s="86"/>
      <c r="K1400" s="86"/>
      <c r="L1400" s="86"/>
      <c r="M1400" s="86"/>
      <c r="N1400" s="86"/>
      <c r="O1400" s="86"/>
      <c r="P1400" s="86"/>
      <c r="Q1400" s="86"/>
      <c r="R1400" s="86"/>
      <c r="S1400" s="86"/>
      <c r="T1400" s="86"/>
      <c r="U1400" s="86"/>
      <c r="V1400" s="86"/>
      <c r="W1400" s="86"/>
      <c r="X1400" s="86"/>
      <c r="Y1400" s="86"/>
      <c r="Z1400" s="86"/>
      <c r="AA1400" s="86"/>
      <c r="AB1400" s="86"/>
      <c r="AC1400" s="86"/>
      <c r="AD1400" s="86"/>
      <c r="AE1400" s="86"/>
      <c r="AF1400" s="86"/>
      <c r="AG1400" s="86"/>
      <c r="AH1400" s="86"/>
      <c r="AI1400" s="86"/>
      <c r="AJ1400" s="86"/>
    </row>
    <row r="1401" spans="1:36" x14ac:dyDescent="0.25">
      <c r="A1401" s="274"/>
      <c r="B1401" s="87"/>
      <c r="C1401" s="87"/>
      <c r="D1401" s="87"/>
      <c r="E1401" s="87"/>
      <c r="F1401" s="87"/>
      <c r="G1401" s="87"/>
      <c r="H1401" s="87"/>
      <c r="I1401" s="87"/>
      <c r="J1401" s="87"/>
      <c r="K1401" s="87"/>
      <c r="L1401" s="87"/>
      <c r="M1401" s="87"/>
      <c r="N1401" s="87"/>
      <c r="O1401" s="87"/>
      <c r="P1401" s="87"/>
      <c r="Q1401" s="87"/>
      <c r="R1401" s="87"/>
      <c r="S1401" s="87"/>
      <c r="T1401" s="87"/>
      <c r="U1401" s="87"/>
      <c r="V1401" s="87"/>
      <c r="W1401" s="87"/>
      <c r="X1401" s="87"/>
      <c r="Y1401" s="87"/>
      <c r="Z1401" s="87"/>
      <c r="AA1401" s="87"/>
      <c r="AB1401" s="87"/>
      <c r="AC1401" s="87"/>
      <c r="AD1401" s="87"/>
      <c r="AE1401" s="87"/>
      <c r="AF1401" s="87"/>
      <c r="AG1401" s="87"/>
      <c r="AH1401" s="87"/>
      <c r="AI1401" s="87"/>
      <c r="AJ1401" s="87"/>
    </row>
    <row r="1402" spans="1:36" x14ac:dyDescent="0.25">
      <c r="A1402" s="273"/>
      <c r="B1402" s="86"/>
      <c r="C1402" s="86"/>
      <c r="D1402" s="86"/>
      <c r="E1402" s="86"/>
      <c r="F1402" s="86"/>
      <c r="G1402" s="86"/>
      <c r="H1402" s="86"/>
      <c r="I1402" s="86"/>
      <c r="J1402" s="86"/>
      <c r="K1402" s="86"/>
      <c r="L1402" s="86"/>
      <c r="M1402" s="86"/>
      <c r="N1402" s="86"/>
      <c r="O1402" s="86"/>
      <c r="P1402" s="86"/>
      <c r="Q1402" s="86"/>
      <c r="R1402" s="86"/>
      <c r="S1402" s="86"/>
      <c r="T1402" s="86"/>
      <c r="U1402" s="86"/>
      <c r="V1402" s="86"/>
      <c r="W1402" s="86"/>
      <c r="X1402" s="86"/>
      <c r="Y1402" s="86"/>
      <c r="Z1402" s="86"/>
      <c r="AA1402" s="86"/>
      <c r="AB1402" s="86"/>
      <c r="AC1402" s="86"/>
      <c r="AD1402" s="86"/>
      <c r="AE1402" s="86"/>
      <c r="AF1402" s="86"/>
      <c r="AG1402" s="86"/>
      <c r="AH1402" s="86"/>
      <c r="AI1402" s="86"/>
      <c r="AJ1402" s="86"/>
    </row>
    <row r="1403" spans="1:36" x14ac:dyDescent="0.25">
      <c r="A1403" s="274"/>
      <c r="B1403" s="87"/>
      <c r="C1403" s="87"/>
      <c r="D1403" s="87"/>
      <c r="E1403" s="87"/>
      <c r="F1403" s="87"/>
      <c r="G1403" s="87"/>
      <c r="H1403" s="87"/>
      <c r="I1403" s="87"/>
      <c r="J1403" s="87"/>
      <c r="K1403" s="87"/>
      <c r="L1403" s="87"/>
      <c r="M1403" s="87"/>
      <c r="N1403" s="87"/>
      <c r="O1403" s="87"/>
      <c r="P1403" s="87"/>
      <c r="Q1403" s="87"/>
      <c r="R1403" s="87"/>
      <c r="S1403" s="87"/>
      <c r="T1403" s="87"/>
      <c r="U1403" s="87"/>
      <c r="V1403" s="87"/>
      <c r="W1403" s="87"/>
      <c r="X1403" s="87"/>
      <c r="Y1403" s="87"/>
      <c r="Z1403" s="87"/>
      <c r="AA1403" s="87"/>
      <c r="AB1403" s="87"/>
      <c r="AC1403" s="87"/>
      <c r="AD1403" s="87"/>
      <c r="AE1403" s="87"/>
      <c r="AF1403" s="87"/>
      <c r="AG1403" s="87"/>
      <c r="AH1403" s="87"/>
      <c r="AI1403" s="87"/>
      <c r="AJ1403" s="87"/>
    </row>
    <row r="1404" spans="1:36" x14ac:dyDescent="0.25">
      <c r="A1404" s="273"/>
      <c r="B1404" s="86"/>
      <c r="C1404" s="86"/>
      <c r="D1404" s="86"/>
      <c r="E1404" s="86"/>
      <c r="F1404" s="86"/>
      <c r="G1404" s="86"/>
      <c r="H1404" s="86"/>
      <c r="I1404" s="86"/>
      <c r="J1404" s="86"/>
      <c r="K1404" s="86"/>
      <c r="L1404" s="86"/>
      <c r="M1404" s="86"/>
      <c r="N1404" s="86"/>
      <c r="O1404" s="86"/>
      <c r="P1404" s="86"/>
      <c r="Q1404" s="86"/>
      <c r="R1404" s="86"/>
      <c r="S1404" s="86"/>
      <c r="T1404" s="86"/>
      <c r="U1404" s="86"/>
      <c r="V1404" s="86"/>
      <c r="W1404" s="86"/>
      <c r="X1404" s="86"/>
      <c r="Y1404" s="86"/>
      <c r="Z1404" s="86"/>
      <c r="AA1404" s="86"/>
      <c r="AB1404" s="86"/>
      <c r="AC1404" s="86"/>
      <c r="AD1404" s="86"/>
      <c r="AE1404" s="86"/>
      <c r="AF1404" s="86"/>
      <c r="AG1404" s="86"/>
      <c r="AH1404" s="86"/>
      <c r="AI1404" s="86"/>
      <c r="AJ1404" s="86"/>
    </row>
    <row r="1405" spans="1:36" x14ac:dyDescent="0.25">
      <c r="A1405" s="274"/>
      <c r="B1405" s="87"/>
      <c r="C1405" s="87"/>
      <c r="D1405" s="87"/>
      <c r="E1405" s="87"/>
      <c r="F1405" s="87"/>
      <c r="G1405" s="87"/>
      <c r="H1405" s="87"/>
      <c r="I1405" s="87"/>
      <c r="J1405" s="87"/>
      <c r="K1405" s="87"/>
      <c r="L1405" s="87"/>
      <c r="M1405" s="87"/>
      <c r="N1405" s="87"/>
      <c r="O1405" s="87"/>
      <c r="P1405" s="87"/>
      <c r="Q1405" s="87"/>
      <c r="R1405" s="87"/>
      <c r="S1405" s="87"/>
      <c r="T1405" s="87"/>
      <c r="U1405" s="87"/>
      <c r="V1405" s="87"/>
      <c r="W1405" s="87"/>
      <c r="X1405" s="87"/>
      <c r="Y1405" s="87"/>
      <c r="Z1405" s="87"/>
      <c r="AA1405" s="87"/>
      <c r="AB1405" s="87"/>
      <c r="AC1405" s="87"/>
      <c r="AD1405" s="87"/>
      <c r="AE1405" s="87"/>
      <c r="AF1405" s="87"/>
      <c r="AG1405" s="87"/>
      <c r="AH1405" s="87"/>
      <c r="AI1405" s="87"/>
      <c r="AJ1405" s="87"/>
    </row>
    <row r="1406" spans="1:36" x14ac:dyDescent="0.25">
      <c r="A1406" s="273"/>
      <c r="B1406" s="86"/>
      <c r="C1406" s="86"/>
      <c r="D1406" s="86"/>
      <c r="E1406" s="86"/>
      <c r="F1406" s="86"/>
      <c r="G1406" s="86"/>
      <c r="H1406" s="86"/>
      <c r="I1406" s="86"/>
      <c r="J1406" s="86"/>
      <c r="K1406" s="86"/>
      <c r="L1406" s="86"/>
      <c r="M1406" s="86"/>
      <c r="N1406" s="86"/>
      <c r="O1406" s="86"/>
      <c r="P1406" s="86"/>
      <c r="Q1406" s="86"/>
      <c r="R1406" s="86"/>
      <c r="S1406" s="86"/>
      <c r="T1406" s="86"/>
      <c r="U1406" s="86"/>
      <c r="V1406" s="86"/>
      <c r="W1406" s="86"/>
      <c r="X1406" s="86"/>
      <c r="Y1406" s="86"/>
      <c r="Z1406" s="86"/>
      <c r="AA1406" s="86"/>
      <c r="AB1406" s="86"/>
      <c r="AC1406" s="86"/>
      <c r="AD1406" s="86"/>
      <c r="AE1406" s="86"/>
      <c r="AF1406" s="86"/>
      <c r="AG1406" s="86"/>
      <c r="AH1406" s="86"/>
      <c r="AI1406" s="86"/>
      <c r="AJ1406" s="86"/>
    </row>
    <row r="1407" spans="1:36" x14ac:dyDescent="0.25">
      <c r="A1407" s="274"/>
      <c r="B1407" s="87"/>
      <c r="C1407" s="87"/>
      <c r="D1407" s="87"/>
      <c r="E1407" s="87"/>
      <c r="F1407" s="87"/>
      <c r="G1407" s="87"/>
      <c r="H1407" s="87"/>
      <c r="I1407" s="87"/>
      <c r="J1407" s="87"/>
      <c r="K1407" s="87"/>
      <c r="L1407" s="87"/>
      <c r="M1407" s="87"/>
      <c r="N1407" s="87"/>
      <c r="O1407" s="87"/>
      <c r="P1407" s="87"/>
      <c r="Q1407" s="87"/>
      <c r="R1407" s="87"/>
      <c r="S1407" s="87"/>
      <c r="T1407" s="87"/>
      <c r="U1407" s="87"/>
      <c r="V1407" s="87"/>
      <c r="W1407" s="87"/>
      <c r="X1407" s="87"/>
      <c r="Y1407" s="87"/>
      <c r="Z1407" s="87"/>
      <c r="AA1407" s="87"/>
      <c r="AB1407" s="87"/>
      <c r="AC1407" s="87"/>
      <c r="AD1407" s="87"/>
      <c r="AE1407" s="87"/>
      <c r="AF1407" s="87"/>
      <c r="AG1407" s="87"/>
      <c r="AH1407" s="87"/>
      <c r="AI1407" s="87"/>
      <c r="AJ1407" s="87"/>
    </row>
    <row r="1408" spans="1:36" x14ac:dyDescent="0.25">
      <c r="A1408" s="273"/>
      <c r="B1408" s="86"/>
      <c r="C1408" s="86"/>
      <c r="D1408" s="86"/>
      <c r="E1408" s="86"/>
      <c r="F1408" s="86"/>
      <c r="G1408" s="86"/>
      <c r="H1408" s="86"/>
      <c r="I1408" s="86"/>
      <c r="J1408" s="86"/>
      <c r="K1408" s="86"/>
      <c r="L1408" s="86"/>
      <c r="M1408" s="86"/>
      <c r="N1408" s="86"/>
      <c r="O1408" s="86"/>
      <c r="P1408" s="86"/>
      <c r="Q1408" s="86"/>
      <c r="R1408" s="86"/>
      <c r="S1408" s="86"/>
      <c r="T1408" s="86"/>
      <c r="U1408" s="86"/>
      <c r="V1408" s="86"/>
      <c r="W1408" s="86"/>
      <c r="X1408" s="86"/>
      <c r="Y1408" s="86"/>
      <c r="Z1408" s="86"/>
      <c r="AA1408" s="86"/>
      <c r="AB1408" s="86"/>
      <c r="AC1408" s="86"/>
      <c r="AD1408" s="86"/>
      <c r="AE1408" s="86"/>
      <c r="AF1408" s="86"/>
      <c r="AG1408" s="86"/>
      <c r="AH1408" s="86"/>
      <c r="AI1408" s="86"/>
      <c r="AJ1408" s="86"/>
    </row>
    <row r="1409" spans="1:36" x14ac:dyDescent="0.25">
      <c r="A1409" s="274"/>
      <c r="B1409" s="87"/>
      <c r="C1409" s="87"/>
      <c r="D1409" s="87"/>
      <c r="E1409" s="87"/>
      <c r="F1409" s="87"/>
      <c r="G1409" s="87"/>
      <c r="H1409" s="87"/>
      <c r="I1409" s="87"/>
      <c r="J1409" s="87"/>
      <c r="K1409" s="87"/>
      <c r="L1409" s="87"/>
      <c r="M1409" s="87"/>
      <c r="N1409" s="87"/>
      <c r="O1409" s="87"/>
      <c r="P1409" s="87"/>
      <c r="Q1409" s="87"/>
      <c r="R1409" s="87"/>
      <c r="S1409" s="87"/>
      <c r="T1409" s="87"/>
      <c r="U1409" s="87"/>
      <c r="V1409" s="87"/>
      <c r="W1409" s="87"/>
      <c r="X1409" s="87"/>
      <c r="Y1409" s="87"/>
      <c r="Z1409" s="87"/>
      <c r="AA1409" s="87"/>
      <c r="AB1409" s="87"/>
      <c r="AC1409" s="87"/>
      <c r="AD1409" s="87"/>
      <c r="AE1409" s="87"/>
      <c r="AF1409" s="87"/>
      <c r="AG1409" s="87"/>
      <c r="AH1409" s="87"/>
      <c r="AI1409" s="87"/>
      <c r="AJ1409" s="87"/>
    </row>
    <row r="1410" spans="1:36" x14ac:dyDescent="0.25">
      <c r="A1410" s="273"/>
      <c r="B1410" s="86"/>
      <c r="C1410" s="86"/>
      <c r="D1410" s="86"/>
      <c r="E1410" s="86"/>
      <c r="F1410" s="86"/>
      <c r="G1410" s="86"/>
      <c r="H1410" s="86"/>
      <c r="I1410" s="86"/>
      <c r="J1410" s="86"/>
      <c r="K1410" s="86"/>
      <c r="L1410" s="86"/>
      <c r="M1410" s="86"/>
      <c r="N1410" s="86"/>
      <c r="O1410" s="86"/>
      <c r="P1410" s="86"/>
      <c r="Q1410" s="86"/>
      <c r="R1410" s="86"/>
      <c r="S1410" s="86"/>
      <c r="T1410" s="86"/>
      <c r="U1410" s="86"/>
      <c r="V1410" s="86"/>
      <c r="W1410" s="86"/>
      <c r="X1410" s="86"/>
      <c r="Y1410" s="86"/>
      <c r="Z1410" s="86"/>
      <c r="AA1410" s="86"/>
      <c r="AB1410" s="86"/>
      <c r="AC1410" s="86"/>
      <c r="AD1410" s="86"/>
      <c r="AE1410" s="86"/>
      <c r="AF1410" s="86"/>
      <c r="AG1410" s="86"/>
      <c r="AH1410" s="86"/>
      <c r="AI1410" s="86"/>
      <c r="AJ1410" s="86"/>
    </row>
    <row r="1411" spans="1:36" x14ac:dyDescent="0.25">
      <c r="A1411" s="274"/>
      <c r="B1411" s="87"/>
      <c r="C1411" s="87"/>
      <c r="D1411" s="87"/>
      <c r="E1411" s="87"/>
      <c r="F1411" s="87"/>
      <c r="G1411" s="87"/>
      <c r="H1411" s="87"/>
      <c r="I1411" s="87"/>
      <c r="J1411" s="87"/>
      <c r="K1411" s="87"/>
      <c r="L1411" s="87"/>
      <c r="M1411" s="87"/>
      <c r="N1411" s="87"/>
      <c r="O1411" s="87"/>
      <c r="P1411" s="87"/>
      <c r="Q1411" s="87"/>
      <c r="R1411" s="87"/>
      <c r="S1411" s="87"/>
      <c r="T1411" s="87"/>
      <c r="U1411" s="87"/>
      <c r="V1411" s="87"/>
      <c r="W1411" s="87"/>
      <c r="X1411" s="87"/>
      <c r="Y1411" s="87"/>
      <c r="Z1411" s="87"/>
      <c r="AA1411" s="87"/>
      <c r="AB1411" s="87"/>
      <c r="AC1411" s="87"/>
      <c r="AD1411" s="87"/>
      <c r="AE1411" s="87"/>
      <c r="AF1411" s="87"/>
      <c r="AG1411" s="87"/>
      <c r="AH1411" s="87"/>
      <c r="AI1411" s="87"/>
      <c r="AJ1411" s="87"/>
    </row>
    <row r="1412" spans="1:36" x14ac:dyDescent="0.25">
      <c r="A1412" s="273"/>
      <c r="B1412" s="86"/>
      <c r="C1412" s="86"/>
      <c r="D1412" s="86"/>
      <c r="E1412" s="86"/>
      <c r="F1412" s="86"/>
      <c r="G1412" s="86"/>
      <c r="H1412" s="86"/>
      <c r="I1412" s="86"/>
      <c r="J1412" s="86"/>
      <c r="K1412" s="86"/>
      <c r="L1412" s="86"/>
      <c r="M1412" s="86"/>
      <c r="N1412" s="86"/>
      <c r="O1412" s="86"/>
      <c r="P1412" s="86"/>
      <c r="Q1412" s="86"/>
      <c r="R1412" s="86"/>
      <c r="S1412" s="86"/>
      <c r="T1412" s="86"/>
      <c r="U1412" s="86"/>
      <c r="V1412" s="86"/>
      <c r="W1412" s="86"/>
      <c r="X1412" s="86"/>
      <c r="Y1412" s="86"/>
      <c r="Z1412" s="86"/>
      <c r="AA1412" s="86"/>
      <c r="AB1412" s="86"/>
      <c r="AC1412" s="86"/>
      <c r="AD1412" s="86"/>
      <c r="AE1412" s="86"/>
      <c r="AF1412" s="86"/>
      <c r="AG1412" s="86"/>
      <c r="AH1412" s="86"/>
      <c r="AI1412" s="86"/>
      <c r="AJ1412" s="86"/>
    </row>
    <row r="1413" spans="1:36" x14ac:dyDescent="0.25">
      <c r="A1413" s="274"/>
      <c r="B1413" s="87"/>
      <c r="C1413" s="87"/>
      <c r="D1413" s="87"/>
      <c r="E1413" s="87"/>
      <c r="F1413" s="87"/>
      <c r="G1413" s="87"/>
      <c r="H1413" s="87"/>
      <c r="I1413" s="87"/>
      <c r="J1413" s="87"/>
      <c r="K1413" s="87"/>
      <c r="L1413" s="87"/>
      <c r="M1413" s="87"/>
      <c r="N1413" s="87"/>
      <c r="O1413" s="87"/>
      <c r="P1413" s="87"/>
      <c r="Q1413" s="87"/>
      <c r="R1413" s="87"/>
      <c r="S1413" s="87"/>
      <c r="T1413" s="87"/>
      <c r="U1413" s="87"/>
      <c r="V1413" s="87"/>
      <c r="W1413" s="87"/>
      <c r="X1413" s="87"/>
      <c r="Y1413" s="87"/>
      <c r="Z1413" s="87"/>
      <c r="AA1413" s="87"/>
      <c r="AB1413" s="87"/>
      <c r="AC1413" s="87"/>
      <c r="AD1413" s="87"/>
      <c r="AE1413" s="87"/>
      <c r="AF1413" s="87"/>
      <c r="AG1413" s="87"/>
      <c r="AH1413" s="87"/>
      <c r="AI1413" s="87"/>
      <c r="AJ1413" s="87"/>
    </row>
    <row r="1414" spans="1:36" x14ac:dyDescent="0.25">
      <c r="A1414" s="273"/>
      <c r="B1414" s="86"/>
      <c r="C1414" s="86"/>
      <c r="D1414" s="86"/>
      <c r="E1414" s="86"/>
      <c r="F1414" s="86"/>
      <c r="G1414" s="86"/>
      <c r="H1414" s="86"/>
      <c r="I1414" s="86"/>
      <c r="J1414" s="86"/>
      <c r="K1414" s="86"/>
      <c r="L1414" s="86"/>
      <c r="M1414" s="86"/>
      <c r="N1414" s="86"/>
      <c r="O1414" s="86"/>
      <c r="P1414" s="86"/>
      <c r="Q1414" s="86"/>
      <c r="R1414" s="86"/>
      <c r="S1414" s="86"/>
      <c r="T1414" s="86"/>
      <c r="U1414" s="86"/>
      <c r="V1414" s="86"/>
      <c r="W1414" s="86"/>
      <c r="X1414" s="86"/>
      <c r="Y1414" s="86"/>
      <c r="Z1414" s="86"/>
      <c r="AA1414" s="86"/>
      <c r="AB1414" s="86"/>
      <c r="AC1414" s="86"/>
      <c r="AD1414" s="86"/>
      <c r="AE1414" s="86"/>
      <c r="AF1414" s="86"/>
      <c r="AG1414" s="86"/>
      <c r="AH1414" s="86"/>
      <c r="AI1414" s="86"/>
      <c r="AJ1414" s="86"/>
    </row>
    <row r="1415" spans="1:36" x14ac:dyDescent="0.25">
      <c r="A1415" s="274"/>
      <c r="B1415" s="87"/>
      <c r="C1415" s="87"/>
      <c r="D1415" s="87"/>
      <c r="E1415" s="87"/>
      <c r="F1415" s="87"/>
      <c r="G1415" s="87"/>
      <c r="H1415" s="87"/>
      <c r="I1415" s="87"/>
      <c r="J1415" s="87"/>
      <c r="K1415" s="87"/>
      <c r="L1415" s="87"/>
      <c r="M1415" s="87"/>
      <c r="N1415" s="87"/>
      <c r="O1415" s="87"/>
      <c r="P1415" s="87"/>
      <c r="Q1415" s="87"/>
      <c r="R1415" s="87"/>
      <c r="S1415" s="87"/>
      <c r="T1415" s="87"/>
      <c r="U1415" s="87"/>
      <c r="V1415" s="87"/>
      <c r="W1415" s="87"/>
      <c r="X1415" s="87"/>
      <c r="Y1415" s="87"/>
      <c r="Z1415" s="87"/>
      <c r="AA1415" s="87"/>
      <c r="AB1415" s="87"/>
      <c r="AC1415" s="87"/>
      <c r="AD1415" s="87"/>
      <c r="AE1415" s="87"/>
      <c r="AF1415" s="87"/>
      <c r="AG1415" s="87"/>
      <c r="AH1415" s="87"/>
      <c r="AI1415" s="87"/>
      <c r="AJ1415" s="87"/>
    </row>
    <row r="1416" spans="1:36" x14ac:dyDescent="0.25">
      <c r="A1416" s="273"/>
      <c r="B1416" s="86"/>
      <c r="C1416" s="86"/>
      <c r="D1416" s="86"/>
      <c r="E1416" s="86"/>
      <c r="F1416" s="86"/>
      <c r="G1416" s="86"/>
      <c r="H1416" s="86"/>
      <c r="I1416" s="86"/>
      <c r="J1416" s="86"/>
      <c r="K1416" s="86"/>
      <c r="L1416" s="86"/>
      <c r="M1416" s="86"/>
      <c r="N1416" s="86"/>
      <c r="O1416" s="86"/>
      <c r="P1416" s="86"/>
      <c r="Q1416" s="86"/>
      <c r="R1416" s="86"/>
      <c r="S1416" s="86"/>
      <c r="T1416" s="86"/>
      <c r="U1416" s="86"/>
      <c r="V1416" s="86"/>
      <c r="W1416" s="86"/>
      <c r="X1416" s="86"/>
      <c r="Y1416" s="86"/>
      <c r="Z1416" s="86"/>
      <c r="AA1416" s="86"/>
      <c r="AB1416" s="86"/>
      <c r="AC1416" s="86"/>
      <c r="AD1416" s="86"/>
      <c r="AE1416" s="86"/>
      <c r="AF1416" s="86"/>
      <c r="AG1416" s="86"/>
      <c r="AH1416" s="86"/>
      <c r="AI1416" s="86"/>
      <c r="AJ1416" s="86"/>
    </row>
    <row r="1417" spans="1:36" x14ac:dyDescent="0.25">
      <c r="A1417" s="274"/>
      <c r="B1417" s="87"/>
      <c r="C1417" s="87"/>
      <c r="D1417" s="87"/>
      <c r="E1417" s="87"/>
      <c r="F1417" s="87"/>
      <c r="G1417" s="87"/>
      <c r="H1417" s="87"/>
      <c r="I1417" s="87"/>
      <c r="J1417" s="87"/>
      <c r="K1417" s="87"/>
      <c r="L1417" s="87"/>
      <c r="M1417" s="87"/>
      <c r="N1417" s="87"/>
      <c r="O1417" s="87"/>
      <c r="P1417" s="87"/>
      <c r="Q1417" s="87"/>
      <c r="R1417" s="87"/>
      <c r="S1417" s="87"/>
      <c r="T1417" s="87"/>
      <c r="U1417" s="87"/>
      <c r="V1417" s="87"/>
      <c r="W1417" s="87"/>
      <c r="X1417" s="87"/>
      <c r="Y1417" s="87"/>
      <c r="Z1417" s="87"/>
      <c r="AA1417" s="87"/>
      <c r="AB1417" s="87"/>
      <c r="AC1417" s="87"/>
      <c r="AD1417" s="87"/>
      <c r="AE1417" s="87"/>
      <c r="AF1417" s="87"/>
      <c r="AG1417" s="87"/>
      <c r="AH1417" s="87"/>
      <c r="AI1417" s="87"/>
      <c r="AJ1417" s="87"/>
    </row>
    <row r="1418" spans="1:36" x14ac:dyDescent="0.25">
      <c r="A1418" s="273"/>
      <c r="B1418" s="86"/>
      <c r="C1418" s="86"/>
      <c r="D1418" s="86"/>
      <c r="E1418" s="86"/>
      <c r="F1418" s="86"/>
      <c r="G1418" s="86"/>
      <c r="H1418" s="86"/>
      <c r="I1418" s="86"/>
      <c r="J1418" s="86"/>
      <c r="K1418" s="86"/>
      <c r="L1418" s="86"/>
      <c r="M1418" s="86"/>
      <c r="N1418" s="86"/>
      <c r="O1418" s="86"/>
      <c r="P1418" s="86"/>
      <c r="Q1418" s="86"/>
      <c r="R1418" s="86"/>
      <c r="S1418" s="86"/>
      <c r="T1418" s="86"/>
      <c r="U1418" s="86"/>
      <c r="V1418" s="86"/>
      <c r="W1418" s="86"/>
      <c r="X1418" s="86"/>
      <c r="Y1418" s="86"/>
      <c r="Z1418" s="86"/>
      <c r="AA1418" s="86"/>
      <c r="AB1418" s="86"/>
      <c r="AC1418" s="86"/>
      <c r="AD1418" s="86"/>
      <c r="AE1418" s="86"/>
      <c r="AF1418" s="86"/>
      <c r="AG1418" s="86"/>
      <c r="AH1418" s="86"/>
      <c r="AI1418" s="86"/>
      <c r="AJ1418" s="86"/>
    </row>
    <row r="1419" spans="1:36" x14ac:dyDescent="0.25">
      <c r="A1419" s="274"/>
      <c r="B1419" s="87"/>
      <c r="C1419" s="87"/>
      <c r="D1419" s="87"/>
      <c r="E1419" s="87"/>
      <c r="F1419" s="87"/>
      <c r="G1419" s="87"/>
      <c r="H1419" s="87"/>
      <c r="I1419" s="87"/>
      <c r="J1419" s="87"/>
      <c r="K1419" s="87"/>
      <c r="L1419" s="87"/>
      <c r="M1419" s="87"/>
      <c r="N1419" s="87"/>
      <c r="O1419" s="87"/>
      <c r="P1419" s="87"/>
      <c r="Q1419" s="87"/>
      <c r="R1419" s="87"/>
      <c r="S1419" s="87"/>
      <c r="T1419" s="87"/>
      <c r="U1419" s="87"/>
      <c r="V1419" s="87"/>
      <c r="W1419" s="87"/>
      <c r="X1419" s="87"/>
      <c r="Y1419" s="87"/>
      <c r="Z1419" s="87"/>
      <c r="AA1419" s="87"/>
      <c r="AB1419" s="87"/>
      <c r="AC1419" s="87"/>
      <c r="AD1419" s="87"/>
      <c r="AE1419" s="87"/>
      <c r="AF1419" s="87"/>
      <c r="AG1419" s="87"/>
      <c r="AH1419" s="87"/>
      <c r="AI1419" s="87"/>
      <c r="AJ1419" s="87"/>
    </row>
    <row r="1420" spans="1:36" x14ac:dyDescent="0.25">
      <c r="A1420" s="273"/>
      <c r="B1420" s="86"/>
      <c r="C1420" s="86"/>
      <c r="D1420" s="86"/>
      <c r="E1420" s="86"/>
      <c r="F1420" s="86"/>
      <c r="G1420" s="86"/>
      <c r="H1420" s="86"/>
      <c r="I1420" s="86"/>
      <c r="J1420" s="86"/>
      <c r="K1420" s="86"/>
      <c r="L1420" s="86"/>
      <c r="M1420" s="86"/>
      <c r="N1420" s="86"/>
      <c r="O1420" s="86"/>
      <c r="P1420" s="86"/>
      <c r="Q1420" s="86"/>
      <c r="R1420" s="86"/>
      <c r="S1420" s="86"/>
      <c r="T1420" s="86"/>
      <c r="U1420" s="86"/>
      <c r="V1420" s="86"/>
      <c r="W1420" s="86"/>
      <c r="X1420" s="86"/>
      <c r="Y1420" s="86"/>
      <c r="Z1420" s="86"/>
      <c r="AA1420" s="86"/>
      <c r="AB1420" s="86"/>
      <c r="AC1420" s="86"/>
      <c r="AD1420" s="86"/>
      <c r="AE1420" s="86"/>
      <c r="AF1420" s="86"/>
      <c r="AG1420" s="86"/>
      <c r="AH1420" s="86"/>
      <c r="AI1420" s="86"/>
      <c r="AJ1420" s="86"/>
    </row>
    <row r="1421" spans="1:36" x14ac:dyDescent="0.25">
      <c r="A1421" s="274"/>
      <c r="B1421" s="87"/>
      <c r="C1421" s="87"/>
      <c r="D1421" s="87"/>
      <c r="E1421" s="87"/>
      <c r="F1421" s="87"/>
      <c r="G1421" s="87"/>
      <c r="H1421" s="87"/>
      <c r="I1421" s="87"/>
      <c r="J1421" s="87"/>
      <c r="K1421" s="87"/>
      <c r="L1421" s="87"/>
      <c r="M1421" s="87"/>
      <c r="N1421" s="87"/>
      <c r="O1421" s="87"/>
      <c r="P1421" s="87"/>
      <c r="Q1421" s="87"/>
      <c r="R1421" s="87"/>
      <c r="S1421" s="87"/>
      <c r="T1421" s="87"/>
      <c r="U1421" s="87"/>
      <c r="V1421" s="87"/>
      <c r="W1421" s="87"/>
      <c r="X1421" s="87"/>
      <c r="Y1421" s="87"/>
      <c r="Z1421" s="87"/>
      <c r="AA1421" s="87"/>
      <c r="AB1421" s="87"/>
      <c r="AC1421" s="87"/>
      <c r="AD1421" s="87"/>
      <c r="AE1421" s="87"/>
      <c r="AF1421" s="87"/>
      <c r="AG1421" s="87"/>
      <c r="AH1421" s="87"/>
      <c r="AI1421" s="87"/>
      <c r="AJ1421" s="87"/>
    </row>
    <row r="1422" spans="1:36" x14ac:dyDescent="0.25">
      <c r="A1422" s="273"/>
      <c r="B1422" s="86"/>
      <c r="C1422" s="86"/>
      <c r="D1422" s="86"/>
      <c r="E1422" s="86"/>
      <c r="F1422" s="86"/>
      <c r="G1422" s="86"/>
      <c r="H1422" s="86"/>
      <c r="I1422" s="86"/>
      <c r="J1422" s="86"/>
      <c r="K1422" s="86"/>
      <c r="L1422" s="86"/>
      <c r="M1422" s="86"/>
      <c r="N1422" s="86"/>
      <c r="O1422" s="86"/>
      <c r="P1422" s="86"/>
      <c r="Q1422" s="86"/>
      <c r="R1422" s="86"/>
      <c r="S1422" s="86"/>
      <c r="T1422" s="86"/>
      <c r="U1422" s="86"/>
      <c r="V1422" s="86"/>
      <c r="W1422" s="86"/>
      <c r="X1422" s="86"/>
      <c r="Y1422" s="86"/>
      <c r="Z1422" s="86"/>
      <c r="AA1422" s="86"/>
      <c r="AB1422" s="86"/>
      <c r="AC1422" s="86"/>
      <c r="AD1422" s="86"/>
      <c r="AE1422" s="86"/>
      <c r="AF1422" s="86"/>
      <c r="AG1422" s="86"/>
      <c r="AH1422" s="86"/>
      <c r="AI1422" s="86"/>
      <c r="AJ1422" s="86"/>
    </row>
    <row r="1423" spans="1:36" x14ac:dyDescent="0.25">
      <c r="A1423" s="274"/>
      <c r="B1423" s="87"/>
      <c r="C1423" s="87"/>
      <c r="D1423" s="87"/>
      <c r="E1423" s="87"/>
      <c r="F1423" s="87"/>
      <c r="G1423" s="87"/>
      <c r="H1423" s="87"/>
      <c r="I1423" s="87"/>
      <c r="J1423" s="87"/>
      <c r="K1423" s="87"/>
      <c r="L1423" s="87"/>
      <c r="M1423" s="87"/>
      <c r="N1423" s="87"/>
      <c r="O1423" s="87"/>
      <c r="P1423" s="87"/>
      <c r="Q1423" s="87"/>
      <c r="R1423" s="87"/>
      <c r="S1423" s="87"/>
      <c r="T1423" s="87"/>
      <c r="U1423" s="87"/>
      <c r="V1423" s="87"/>
      <c r="W1423" s="87"/>
      <c r="X1423" s="87"/>
      <c r="Y1423" s="87"/>
      <c r="Z1423" s="87"/>
      <c r="AA1423" s="87"/>
      <c r="AB1423" s="87"/>
      <c r="AC1423" s="87"/>
      <c r="AD1423" s="87"/>
      <c r="AE1423" s="87"/>
      <c r="AF1423" s="87"/>
      <c r="AG1423" s="87"/>
      <c r="AH1423" s="87"/>
      <c r="AI1423" s="87"/>
      <c r="AJ1423" s="87"/>
    </row>
    <row r="1424" spans="1:36" x14ac:dyDescent="0.25">
      <c r="A1424" s="273"/>
      <c r="B1424" s="86"/>
      <c r="C1424" s="86"/>
      <c r="D1424" s="86"/>
      <c r="E1424" s="86"/>
      <c r="F1424" s="86"/>
      <c r="G1424" s="86"/>
      <c r="H1424" s="86"/>
      <c r="I1424" s="86"/>
      <c r="J1424" s="86"/>
      <c r="K1424" s="86"/>
      <c r="L1424" s="86"/>
      <c r="M1424" s="86"/>
      <c r="N1424" s="86"/>
      <c r="O1424" s="86"/>
      <c r="P1424" s="86"/>
      <c r="Q1424" s="86"/>
      <c r="R1424" s="86"/>
      <c r="S1424" s="86"/>
      <c r="T1424" s="86"/>
      <c r="U1424" s="86"/>
      <c r="V1424" s="86"/>
      <c r="W1424" s="86"/>
      <c r="X1424" s="86"/>
      <c r="Y1424" s="86"/>
      <c r="Z1424" s="86"/>
      <c r="AA1424" s="86"/>
      <c r="AB1424" s="86"/>
      <c r="AC1424" s="86"/>
      <c r="AD1424" s="86"/>
      <c r="AE1424" s="86"/>
      <c r="AF1424" s="86"/>
      <c r="AG1424" s="86"/>
      <c r="AH1424" s="86"/>
      <c r="AI1424" s="86"/>
      <c r="AJ1424" s="86"/>
    </row>
    <row r="1425" spans="1:36" x14ac:dyDescent="0.25">
      <c r="A1425" s="274"/>
      <c r="B1425" s="87"/>
      <c r="C1425" s="87"/>
      <c r="D1425" s="87"/>
      <c r="E1425" s="87"/>
      <c r="F1425" s="87"/>
      <c r="G1425" s="87"/>
      <c r="H1425" s="87"/>
      <c r="I1425" s="87"/>
      <c r="J1425" s="87"/>
      <c r="K1425" s="87"/>
      <c r="L1425" s="87"/>
      <c r="M1425" s="87"/>
      <c r="N1425" s="87"/>
      <c r="O1425" s="87"/>
      <c r="P1425" s="87"/>
      <c r="Q1425" s="87"/>
      <c r="R1425" s="87"/>
      <c r="S1425" s="87"/>
      <c r="T1425" s="87"/>
      <c r="U1425" s="87"/>
      <c r="V1425" s="87"/>
      <c r="W1425" s="87"/>
      <c r="X1425" s="87"/>
      <c r="Y1425" s="87"/>
      <c r="Z1425" s="87"/>
      <c r="AA1425" s="87"/>
      <c r="AB1425" s="87"/>
      <c r="AC1425" s="87"/>
      <c r="AD1425" s="87"/>
      <c r="AE1425" s="87"/>
      <c r="AF1425" s="87"/>
      <c r="AG1425" s="87"/>
      <c r="AH1425" s="87"/>
      <c r="AI1425" s="87"/>
      <c r="AJ1425" s="87"/>
    </row>
    <row r="1426" spans="1:36" x14ac:dyDescent="0.25">
      <c r="A1426" s="273"/>
      <c r="B1426" s="86"/>
      <c r="C1426" s="86"/>
      <c r="D1426" s="86"/>
      <c r="E1426" s="86"/>
      <c r="F1426" s="86"/>
      <c r="G1426" s="86"/>
      <c r="H1426" s="86"/>
      <c r="I1426" s="86"/>
      <c r="J1426" s="86"/>
      <c r="K1426" s="86"/>
      <c r="L1426" s="86"/>
      <c r="M1426" s="86"/>
      <c r="N1426" s="86"/>
      <c r="O1426" s="86"/>
      <c r="P1426" s="86"/>
      <c r="Q1426" s="86"/>
      <c r="R1426" s="86"/>
      <c r="S1426" s="86"/>
      <c r="T1426" s="86"/>
      <c r="U1426" s="86"/>
      <c r="V1426" s="86"/>
      <c r="W1426" s="86"/>
      <c r="X1426" s="86"/>
      <c r="Y1426" s="86"/>
      <c r="Z1426" s="86"/>
      <c r="AA1426" s="86"/>
      <c r="AB1426" s="86"/>
      <c r="AC1426" s="86"/>
      <c r="AD1426" s="86"/>
      <c r="AE1426" s="86"/>
      <c r="AF1426" s="86"/>
      <c r="AG1426" s="86"/>
      <c r="AH1426" s="86"/>
      <c r="AI1426" s="86"/>
      <c r="AJ1426" s="86"/>
    </row>
    <row r="1427" spans="1:36" x14ac:dyDescent="0.25">
      <c r="A1427" s="274"/>
      <c r="B1427" s="87"/>
      <c r="C1427" s="87"/>
      <c r="D1427" s="87"/>
      <c r="E1427" s="87"/>
      <c r="F1427" s="87"/>
      <c r="G1427" s="87"/>
      <c r="H1427" s="87"/>
      <c r="I1427" s="87"/>
      <c r="J1427" s="87"/>
      <c r="K1427" s="87"/>
      <c r="L1427" s="87"/>
      <c r="M1427" s="87"/>
      <c r="N1427" s="87"/>
      <c r="O1427" s="87"/>
      <c r="P1427" s="87"/>
      <c r="Q1427" s="87"/>
      <c r="R1427" s="87"/>
      <c r="S1427" s="87"/>
      <c r="T1427" s="87"/>
      <c r="U1427" s="87"/>
      <c r="V1427" s="87"/>
      <c r="W1427" s="87"/>
      <c r="X1427" s="87"/>
      <c r="Y1427" s="87"/>
      <c r="Z1427" s="87"/>
      <c r="AA1427" s="87"/>
      <c r="AB1427" s="87"/>
      <c r="AC1427" s="87"/>
      <c r="AD1427" s="87"/>
      <c r="AE1427" s="87"/>
      <c r="AF1427" s="87"/>
      <c r="AG1427" s="87"/>
      <c r="AH1427" s="87"/>
      <c r="AI1427" s="87"/>
      <c r="AJ1427" s="87"/>
    </row>
    <row r="1428" spans="1:36" x14ac:dyDescent="0.25">
      <c r="A1428" s="273"/>
      <c r="B1428" s="86"/>
      <c r="C1428" s="86"/>
      <c r="D1428" s="86"/>
      <c r="E1428" s="86"/>
      <c r="F1428" s="86"/>
      <c r="G1428" s="86"/>
      <c r="H1428" s="86"/>
      <c r="I1428" s="86"/>
      <c r="J1428" s="86"/>
      <c r="K1428" s="86"/>
      <c r="L1428" s="86"/>
      <c r="M1428" s="86"/>
      <c r="N1428" s="86"/>
      <c r="O1428" s="86"/>
      <c r="P1428" s="86"/>
      <c r="Q1428" s="86"/>
      <c r="R1428" s="86"/>
      <c r="S1428" s="86"/>
      <c r="T1428" s="86"/>
      <c r="U1428" s="86"/>
      <c r="V1428" s="86"/>
      <c r="W1428" s="86"/>
      <c r="X1428" s="86"/>
      <c r="Y1428" s="86"/>
      <c r="Z1428" s="86"/>
      <c r="AA1428" s="86"/>
      <c r="AB1428" s="86"/>
      <c r="AC1428" s="86"/>
      <c r="AD1428" s="86"/>
      <c r="AE1428" s="86"/>
      <c r="AF1428" s="86"/>
      <c r="AG1428" s="86"/>
      <c r="AH1428" s="86"/>
      <c r="AI1428" s="86"/>
      <c r="AJ1428" s="86"/>
    </row>
    <row r="1429" spans="1:36" x14ac:dyDescent="0.25">
      <c r="A1429" s="274"/>
      <c r="B1429" s="87"/>
      <c r="C1429" s="87"/>
      <c r="D1429" s="87"/>
      <c r="E1429" s="87"/>
      <c r="F1429" s="87"/>
      <c r="G1429" s="87"/>
      <c r="H1429" s="87"/>
      <c r="I1429" s="87"/>
      <c r="J1429" s="87"/>
      <c r="K1429" s="87"/>
      <c r="L1429" s="87"/>
      <c r="M1429" s="87"/>
      <c r="N1429" s="87"/>
      <c r="O1429" s="87"/>
      <c r="P1429" s="87"/>
      <c r="Q1429" s="87"/>
      <c r="R1429" s="87"/>
      <c r="S1429" s="87"/>
      <c r="T1429" s="87"/>
      <c r="U1429" s="87"/>
      <c r="V1429" s="87"/>
      <c r="W1429" s="87"/>
      <c r="X1429" s="87"/>
      <c r="Y1429" s="87"/>
      <c r="Z1429" s="87"/>
      <c r="AA1429" s="87"/>
      <c r="AB1429" s="87"/>
      <c r="AC1429" s="87"/>
      <c r="AD1429" s="87"/>
      <c r="AE1429" s="87"/>
      <c r="AF1429" s="87"/>
      <c r="AG1429" s="87"/>
      <c r="AH1429" s="87"/>
      <c r="AI1429" s="87"/>
      <c r="AJ1429" s="87"/>
    </row>
    <row r="1430" spans="1:36" x14ac:dyDescent="0.25">
      <c r="A1430" s="273"/>
      <c r="B1430" s="86"/>
      <c r="C1430" s="86"/>
      <c r="D1430" s="86"/>
      <c r="E1430" s="86"/>
      <c r="F1430" s="86"/>
      <c r="G1430" s="86"/>
      <c r="H1430" s="86"/>
      <c r="I1430" s="86"/>
      <c r="J1430" s="86"/>
      <c r="K1430" s="86"/>
      <c r="L1430" s="86"/>
      <c r="M1430" s="86"/>
      <c r="N1430" s="86"/>
      <c r="O1430" s="86"/>
      <c r="P1430" s="86"/>
      <c r="Q1430" s="86"/>
      <c r="R1430" s="86"/>
      <c r="S1430" s="86"/>
      <c r="T1430" s="86"/>
      <c r="U1430" s="86"/>
      <c r="V1430" s="86"/>
      <c r="W1430" s="86"/>
      <c r="X1430" s="86"/>
      <c r="Y1430" s="86"/>
      <c r="Z1430" s="86"/>
      <c r="AA1430" s="86"/>
      <c r="AB1430" s="86"/>
      <c r="AC1430" s="86"/>
      <c r="AD1430" s="86"/>
      <c r="AE1430" s="86"/>
      <c r="AF1430" s="86"/>
      <c r="AG1430" s="86"/>
      <c r="AH1430" s="86"/>
      <c r="AI1430" s="86"/>
      <c r="AJ1430" s="86"/>
    </row>
    <row r="1431" spans="1:36" x14ac:dyDescent="0.25">
      <c r="A1431" s="274"/>
      <c r="B1431" s="87"/>
      <c r="C1431" s="87"/>
      <c r="D1431" s="87"/>
      <c r="E1431" s="87"/>
      <c r="F1431" s="87"/>
      <c r="G1431" s="87"/>
      <c r="H1431" s="87"/>
      <c r="I1431" s="87"/>
      <c r="J1431" s="87"/>
      <c r="K1431" s="87"/>
      <c r="L1431" s="87"/>
      <c r="M1431" s="87"/>
      <c r="N1431" s="87"/>
      <c r="O1431" s="87"/>
      <c r="P1431" s="87"/>
      <c r="Q1431" s="87"/>
      <c r="R1431" s="87"/>
      <c r="S1431" s="87"/>
      <c r="T1431" s="87"/>
      <c r="U1431" s="87"/>
      <c r="V1431" s="87"/>
      <c r="W1431" s="87"/>
      <c r="X1431" s="87"/>
      <c r="Y1431" s="87"/>
      <c r="Z1431" s="87"/>
      <c r="AA1431" s="87"/>
      <c r="AB1431" s="87"/>
      <c r="AC1431" s="87"/>
      <c r="AD1431" s="87"/>
      <c r="AE1431" s="87"/>
      <c r="AF1431" s="87"/>
      <c r="AG1431" s="87"/>
      <c r="AH1431" s="87"/>
      <c r="AI1431" s="87"/>
      <c r="AJ1431" s="87"/>
    </row>
    <row r="1432" spans="1:36" x14ac:dyDescent="0.25">
      <c r="A1432" s="273"/>
      <c r="B1432" s="86"/>
      <c r="C1432" s="86"/>
      <c r="D1432" s="86"/>
      <c r="E1432" s="86"/>
      <c r="F1432" s="86"/>
      <c r="G1432" s="86"/>
      <c r="H1432" s="86"/>
      <c r="I1432" s="86"/>
      <c r="J1432" s="86"/>
      <c r="K1432" s="86"/>
      <c r="L1432" s="86"/>
      <c r="M1432" s="86"/>
      <c r="N1432" s="86"/>
      <c r="O1432" s="86"/>
      <c r="P1432" s="86"/>
      <c r="Q1432" s="86"/>
      <c r="R1432" s="86"/>
      <c r="S1432" s="86"/>
      <c r="T1432" s="86"/>
      <c r="U1432" s="86"/>
      <c r="V1432" s="86"/>
      <c r="W1432" s="86"/>
      <c r="X1432" s="86"/>
      <c r="Y1432" s="86"/>
      <c r="Z1432" s="86"/>
      <c r="AA1432" s="86"/>
      <c r="AB1432" s="86"/>
      <c r="AC1432" s="86"/>
      <c r="AD1432" s="86"/>
      <c r="AE1432" s="86"/>
      <c r="AF1432" s="86"/>
      <c r="AG1432" s="86"/>
      <c r="AH1432" s="86"/>
      <c r="AI1432" s="86"/>
      <c r="AJ1432" s="86"/>
    </row>
    <row r="1433" spans="1:36" x14ac:dyDescent="0.25">
      <c r="A1433" s="274"/>
      <c r="B1433" s="87"/>
      <c r="C1433" s="87"/>
      <c r="D1433" s="87"/>
      <c r="E1433" s="87"/>
      <c r="F1433" s="87"/>
      <c r="G1433" s="87"/>
      <c r="H1433" s="87"/>
      <c r="I1433" s="87"/>
      <c r="J1433" s="87"/>
      <c r="K1433" s="87"/>
      <c r="L1433" s="87"/>
      <c r="M1433" s="87"/>
      <c r="N1433" s="87"/>
      <c r="O1433" s="87"/>
      <c r="P1433" s="87"/>
      <c r="Q1433" s="87"/>
      <c r="R1433" s="87"/>
      <c r="S1433" s="87"/>
      <c r="T1433" s="87"/>
      <c r="U1433" s="87"/>
      <c r="V1433" s="87"/>
      <c r="W1433" s="87"/>
      <c r="X1433" s="87"/>
      <c r="Y1433" s="87"/>
      <c r="Z1433" s="87"/>
      <c r="AA1433" s="87"/>
      <c r="AB1433" s="87"/>
      <c r="AC1433" s="87"/>
      <c r="AD1433" s="87"/>
      <c r="AE1433" s="87"/>
      <c r="AF1433" s="87"/>
      <c r="AG1433" s="87"/>
      <c r="AH1433" s="87"/>
      <c r="AI1433" s="87"/>
      <c r="AJ1433" s="87"/>
    </row>
    <row r="1434" spans="1:36" x14ac:dyDescent="0.25">
      <c r="A1434" s="273"/>
      <c r="B1434" s="86"/>
      <c r="C1434" s="86"/>
      <c r="D1434" s="86"/>
      <c r="E1434" s="86"/>
      <c r="F1434" s="86"/>
      <c r="G1434" s="86"/>
      <c r="H1434" s="86"/>
      <c r="I1434" s="86"/>
      <c r="J1434" s="86"/>
      <c r="K1434" s="86"/>
      <c r="L1434" s="86"/>
      <c r="M1434" s="86"/>
      <c r="N1434" s="86"/>
      <c r="O1434" s="86"/>
      <c r="P1434" s="86"/>
      <c r="Q1434" s="86"/>
      <c r="R1434" s="86"/>
      <c r="S1434" s="86"/>
      <c r="T1434" s="86"/>
      <c r="U1434" s="86"/>
      <c r="V1434" s="86"/>
      <c r="W1434" s="86"/>
      <c r="X1434" s="86"/>
      <c r="Y1434" s="86"/>
      <c r="Z1434" s="86"/>
      <c r="AA1434" s="86"/>
      <c r="AB1434" s="86"/>
      <c r="AC1434" s="86"/>
      <c r="AD1434" s="86"/>
      <c r="AE1434" s="86"/>
      <c r="AF1434" s="86"/>
      <c r="AG1434" s="86"/>
      <c r="AH1434" s="86"/>
      <c r="AI1434" s="86"/>
      <c r="AJ1434" s="86"/>
    </row>
    <row r="1435" spans="1:36" x14ac:dyDescent="0.25">
      <c r="A1435" s="274"/>
      <c r="B1435" s="87"/>
      <c r="C1435" s="87"/>
      <c r="D1435" s="87"/>
      <c r="E1435" s="87"/>
      <c r="F1435" s="87"/>
      <c r="G1435" s="87"/>
      <c r="H1435" s="87"/>
      <c r="I1435" s="87"/>
      <c r="J1435" s="87"/>
      <c r="K1435" s="87"/>
      <c r="L1435" s="87"/>
      <c r="M1435" s="87"/>
      <c r="N1435" s="87"/>
      <c r="O1435" s="87"/>
      <c r="P1435" s="87"/>
      <c r="Q1435" s="87"/>
      <c r="R1435" s="87"/>
      <c r="S1435" s="87"/>
      <c r="T1435" s="87"/>
      <c r="U1435" s="87"/>
      <c r="V1435" s="87"/>
      <c r="W1435" s="87"/>
      <c r="X1435" s="87"/>
      <c r="Y1435" s="87"/>
      <c r="Z1435" s="87"/>
      <c r="AA1435" s="87"/>
      <c r="AB1435" s="87"/>
      <c r="AC1435" s="87"/>
      <c r="AD1435" s="87"/>
      <c r="AE1435" s="87"/>
      <c r="AF1435" s="87"/>
      <c r="AG1435" s="87"/>
      <c r="AH1435" s="87"/>
      <c r="AI1435" s="87"/>
      <c r="AJ1435" s="87"/>
    </row>
    <row r="1436" spans="1:36" x14ac:dyDescent="0.25">
      <c r="A1436" s="273"/>
      <c r="B1436" s="86"/>
      <c r="C1436" s="86"/>
      <c r="D1436" s="86"/>
      <c r="E1436" s="86"/>
      <c r="F1436" s="86"/>
      <c r="G1436" s="86"/>
      <c r="H1436" s="86"/>
      <c r="I1436" s="86"/>
      <c r="J1436" s="86"/>
      <c r="K1436" s="86"/>
      <c r="L1436" s="86"/>
      <c r="M1436" s="86"/>
      <c r="N1436" s="86"/>
      <c r="O1436" s="86"/>
      <c r="P1436" s="86"/>
      <c r="Q1436" s="86"/>
      <c r="R1436" s="86"/>
      <c r="S1436" s="86"/>
      <c r="T1436" s="86"/>
      <c r="U1436" s="86"/>
      <c r="V1436" s="86"/>
      <c r="W1436" s="86"/>
      <c r="X1436" s="86"/>
      <c r="Y1436" s="86"/>
      <c r="Z1436" s="86"/>
      <c r="AA1436" s="86"/>
      <c r="AB1436" s="86"/>
      <c r="AC1436" s="86"/>
      <c r="AD1436" s="86"/>
      <c r="AE1436" s="86"/>
      <c r="AF1436" s="86"/>
      <c r="AG1436" s="86"/>
      <c r="AH1436" s="86"/>
      <c r="AI1436" s="86"/>
      <c r="AJ1436" s="86"/>
    </row>
    <row r="1437" spans="1:36" x14ac:dyDescent="0.25">
      <c r="A1437" s="274"/>
      <c r="B1437" s="87"/>
      <c r="C1437" s="87"/>
      <c r="D1437" s="87"/>
      <c r="E1437" s="87"/>
      <c r="F1437" s="87"/>
      <c r="G1437" s="87"/>
      <c r="H1437" s="87"/>
      <c r="I1437" s="87"/>
      <c r="J1437" s="87"/>
      <c r="K1437" s="87"/>
      <c r="L1437" s="87"/>
      <c r="M1437" s="87"/>
      <c r="N1437" s="87"/>
      <c r="O1437" s="87"/>
      <c r="P1437" s="87"/>
      <c r="Q1437" s="87"/>
      <c r="R1437" s="87"/>
      <c r="S1437" s="87"/>
      <c r="T1437" s="87"/>
      <c r="U1437" s="87"/>
      <c r="V1437" s="87"/>
      <c r="W1437" s="87"/>
      <c r="X1437" s="87"/>
      <c r="Y1437" s="87"/>
      <c r="Z1437" s="87"/>
      <c r="AA1437" s="87"/>
      <c r="AB1437" s="87"/>
      <c r="AC1437" s="87"/>
      <c r="AD1437" s="87"/>
      <c r="AE1437" s="87"/>
      <c r="AF1437" s="87"/>
      <c r="AG1437" s="87"/>
      <c r="AH1437" s="87"/>
      <c r="AI1437" s="87"/>
      <c r="AJ1437" s="87"/>
    </row>
    <row r="1438" spans="1:36" x14ac:dyDescent="0.25">
      <c r="A1438" s="273"/>
      <c r="B1438" s="86"/>
      <c r="C1438" s="86"/>
      <c r="D1438" s="86"/>
      <c r="E1438" s="86"/>
      <c r="F1438" s="86"/>
      <c r="G1438" s="86"/>
      <c r="H1438" s="86"/>
      <c r="I1438" s="86"/>
      <c r="J1438" s="86"/>
      <c r="K1438" s="86"/>
      <c r="L1438" s="86"/>
      <c r="M1438" s="86"/>
      <c r="N1438" s="86"/>
      <c r="O1438" s="86"/>
      <c r="P1438" s="86"/>
      <c r="Q1438" s="86"/>
      <c r="R1438" s="86"/>
      <c r="S1438" s="86"/>
      <c r="T1438" s="86"/>
      <c r="U1438" s="86"/>
      <c r="V1438" s="86"/>
      <c r="W1438" s="86"/>
      <c r="X1438" s="86"/>
      <c r="Y1438" s="86"/>
      <c r="Z1438" s="86"/>
      <c r="AA1438" s="86"/>
      <c r="AB1438" s="86"/>
      <c r="AC1438" s="86"/>
      <c r="AD1438" s="86"/>
      <c r="AE1438" s="86"/>
      <c r="AF1438" s="86"/>
      <c r="AG1438" s="86"/>
      <c r="AH1438" s="86"/>
      <c r="AI1438" s="86"/>
      <c r="AJ1438" s="86"/>
    </row>
    <row r="1439" spans="1:36" x14ac:dyDescent="0.25">
      <c r="A1439" s="274"/>
      <c r="B1439" s="87"/>
      <c r="C1439" s="87"/>
      <c r="D1439" s="87"/>
      <c r="E1439" s="87"/>
      <c r="F1439" s="87"/>
      <c r="G1439" s="87"/>
      <c r="H1439" s="87"/>
      <c r="I1439" s="87"/>
      <c r="J1439" s="87"/>
      <c r="K1439" s="87"/>
      <c r="L1439" s="87"/>
      <c r="M1439" s="87"/>
      <c r="N1439" s="87"/>
      <c r="O1439" s="87"/>
      <c r="P1439" s="87"/>
      <c r="Q1439" s="87"/>
      <c r="R1439" s="87"/>
      <c r="S1439" s="87"/>
      <c r="T1439" s="87"/>
      <c r="U1439" s="87"/>
      <c r="V1439" s="87"/>
      <c r="W1439" s="87"/>
      <c r="X1439" s="87"/>
      <c r="Y1439" s="87"/>
      <c r="Z1439" s="87"/>
      <c r="AA1439" s="87"/>
      <c r="AB1439" s="87"/>
      <c r="AC1439" s="87"/>
      <c r="AD1439" s="87"/>
      <c r="AE1439" s="87"/>
      <c r="AF1439" s="87"/>
      <c r="AG1439" s="87"/>
      <c r="AH1439" s="87"/>
      <c r="AI1439" s="87"/>
      <c r="AJ1439" s="87"/>
    </row>
    <row r="1440" spans="1:36" x14ac:dyDescent="0.25">
      <c r="A1440" s="273"/>
      <c r="B1440" s="86"/>
      <c r="C1440" s="86"/>
      <c r="D1440" s="86"/>
      <c r="E1440" s="86"/>
      <c r="F1440" s="86"/>
      <c r="G1440" s="86"/>
      <c r="H1440" s="86"/>
      <c r="I1440" s="86"/>
      <c r="J1440" s="86"/>
      <c r="K1440" s="86"/>
      <c r="L1440" s="86"/>
      <c r="M1440" s="86"/>
      <c r="N1440" s="86"/>
      <c r="O1440" s="86"/>
      <c r="P1440" s="86"/>
      <c r="Q1440" s="86"/>
      <c r="R1440" s="86"/>
      <c r="S1440" s="86"/>
      <c r="T1440" s="86"/>
      <c r="U1440" s="86"/>
      <c r="V1440" s="86"/>
      <c r="W1440" s="86"/>
      <c r="X1440" s="86"/>
      <c r="Y1440" s="86"/>
      <c r="Z1440" s="86"/>
      <c r="AA1440" s="86"/>
      <c r="AB1440" s="86"/>
      <c r="AC1440" s="86"/>
      <c r="AD1440" s="86"/>
      <c r="AE1440" s="86"/>
      <c r="AF1440" s="86"/>
      <c r="AG1440" s="86"/>
      <c r="AH1440" s="86"/>
      <c r="AI1440" s="86"/>
      <c r="AJ1440" s="86"/>
    </row>
    <row r="1441" spans="1:36" x14ac:dyDescent="0.25">
      <c r="A1441" s="274"/>
      <c r="B1441" s="87"/>
      <c r="C1441" s="87"/>
      <c r="D1441" s="87"/>
      <c r="E1441" s="87"/>
      <c r="F1441" s="87"/>
      <c r="G1441" s="87"/>
      <c r="H1441" s="87"/>
      <c r="I1441" s="87"/>
      <c r="J1441" s="87"/>
      <c r="K1441" s="87"/>
      <c r="L1441" s="87"/>
      <c r="M1441" s="87"/>
      <c r="N1441" s="87"/>
      <c r="O1441" s="87"/>
      <c r="P1441" s="87"/>
      <c r="Q1441" s="87"/>
      <c r="R1441" s="87"/>
      <c r="S1441" s="87"/>
      <c r="T1441" s="87"/>
      <c r="U1441" s="87"/>
      <c r="V1441" s="87"/>
      <c r="W1441" s="87"/>
      <c r="X1441" s="87"/>
      <c r="Y1441" s="87"/>
      <c r="Z1441" s="87"/>
      <c r="AA1441" s="87"/>
      <c r="AB1441" s="87"/>
      <c r="AC1441" s="87"/>
      <c r="AD1441" s="87"/>
      <c r="AE1441" s="87"/>
      <c r="AF1441" s="87"/>
      <c r="AG1441" s="87"/>
      <c r="AH1441" s="87"/>
      <c r="AI1441" s="87"/>
      <c r="AJ1441" s="87"/>
    </row>
    <row r="1442" spans="1:36" x14ac:dyDescent="0.25">
      <c r="A1442" s="273"/>
      <c r="B1442" s="86"/>
      <c r="C1442" s="86"/>
      <c r="D1442" s="86"/>
      <c r="E1442" s="86"/>
      <c r="F1442" s="86"/>
      <c r="G1442" s="86"/>
      <c r="H1442" s="86"/>
      <c r="I1442" s="86"/>
      <c r="J1442" s="86"/>
      <c r="K1442" s="86"/>
      <c r="L1442" s="86"/>
      <c r="M1442" s="86"/>
      <c r="N1442" s="86"/>
      <c r="O1442" s="86"/>
      <c r="P1442" s="86"/>
      <c r="Q1442" s="86"/>
      <c r="R1442" s="86"/>
      <c r="S1442" s="86"/>
      <c r="T1442" s="86"/>
      <c r="U1442" s="86"/>
      <c r="V1442" s="86"/>
      <c r="W1442" s="86"/>
      <c r="X1442" s="86"/>
      <c r="Y1442" s="86"/>
      <c r="Z1442" s="86"/>
      <c r="AA1442" s="86"/>
      <c r="AB1442" s="86"/>
      <c r="AC1442" s="86"/>
      <c r="AD1442" s="86"/>
      <c r="AE1442" s="86"/>
      <c r="AF1442" s="86"/>
      <c r="AG1442" s="86"/>
      <c r="AH1442" s="86"/>
      <c r="AI1442" s="86"/>
      <c r="AJ1442" s="86"/>
    </row>
    <row r="1443" spans="1:36" x14ac:dyDescent="0.25">
      <c r="A1443" s="274"/>
      <c r="B1443" s="87"/>
      <c r="C1443" s="87"/>
      <c r="D1443" s="87"/>
      <c r="E1443" s="87"/>
      <c r="F1443" s="87"/>
      <c r="G1443" s="87"/>
      <c r="H1443" s="87"/>
      <c r="I1443" s="87"/>
      <c r="J1443" s="87"/>
      <c r="K1443" s="87"/>
      <c r="L1443" s="87"/>
      <c r="M1443" s="87"/>
      <c r="N1443" s="87"/>
      <c r="O1443" s="87"/>
      <c r="P1443" s="87"/>
      <c r="Q1443" s="87"/>
      <c r="R1443" s="87"/>
      <c r="S1443" s="87"/>
      <c r="T1443" s="87"/>
      <c r="U1443" s="87"/>
      <c r="V1443" s="87"/>
      <c r="W1443" s="87"/>
      <c r="X1443" s="87"/>
      <c r="Y1443" s="87"/>
      <c r="Z1443" s="87"/>
      <c r="AA1443" s="87"/>
      <c r="AB1443" s="87"/>
      <c r="AC1443" s="87"/>
      <c r="AD1443" s="87"/>
      <c r="AE1443" s="87"/>
      <c r="AF1443" s="87"/>
      <c r="AG1443" s="87"/>
      <c r="AH1443" s="87"/>
      <c r="AI1443" s="87"/>
      <c r="AJ1443" s="87"/>
    </row>
    <row r="1444" spans="1:36" x14ac:dyDescent="0.25">
      <c r="A1444" s="273"/>
      <c r="B1444" s="86"/>
      <c r="C1444" s="86"/>
      <c r="D1444" s="86"/>
      <c r="E1444" s="86"/>
      <c r="F1444" s="86"/>
      <c r="G1444" s="86"/>
      <c r="H1444" s="86"/>
      <c r="I1444" s="86"/>
      <c r="J1444" s="86"/>
      <c r="K1444" s="86"/>
      <c r="L1444" s="86"/>
      <c r="M1444" s="86"/>
      <c r="N1444" s="86"/>
      <c r="O1444" s="86"/>
      <c r="P1444" s="86"/>
      <c r="Q1444" s="86"/>
      <c r="R1444" s="86"/>
      <c r="S1444" s="86"/>
      <c r="T1444" s="86"/>
      <c r="U1444" s="86"/>
      <c r="V1444" s="86"/>
      <c r="W1444" s="86"/>
      <c r="X1444" s="86"/>
      <c r="Y1444" s="86"/>
      <c r="Z1444" s="86"/>
      <c r="AA1444" s="86"/>
      <c r="AB1444" s="86"/>
      <c r="AC1444" s="86"/>
      <c r="AD1444" s="86"/>
      <c r="AE1444" s="86"/>
      <c r="AF1444" s="86"/>
      <c r="AG1444" s="86"/>
      <c r="AH1444" s="86"/>
      <c r="AI1444" s="86"/>
      <c r="AJ1444" s="86"/>
    </row>
    <row r="1445" spans="1:36" x14ac:dyDescent="0.25">
      <c r="A1445" s="274"/>
      <c r="B1445" s="87"/>
      <c r="C1445" s="87"/>
      <c r="D1445" s="87"/>
      <c r="E1445" s="87"/>
      <c r="F1445" s="87"/>
      <c r="G1445" s="87"/>
      <c r="H1445" s="87"/>
      <c r="I1445" s="87"/>
      <c r="J1445" s="87"/>
      <c r="K1445" s="87"/>
      <c r="L1445" s="87"/>
      <c r="M1445" s="87"/>
      <c r="N1445" s="87"/>
      <c r="O1445" s="87"/>
      <c r="P1445" s="87"/>
      <c r="Q1445" s="87"/>
      <c r="R1445" s="87"/>
      <c r="S1445" s="87"/>
      <c r="T1445" s="87"/>
      <c r="U1445" s="87"/>
      <c r="V1445" s="87"/>
      <c r="W1445" s="87"/>
      <c r="X1445" s="87"/>
      <c r="Y1445" s="87"/>
      <c r="Z1445" s="87"/>
      <c r="AA1445" s="87"/>
      <c r="AB1445" s="87"/>
      <c r="AC1445" s="87"/>
      <c r="AD1445" s="87"/>
      <c r="AE1445" s="87"/>
      <c r="AF1445" s="87"/>
      <c r="AG1445" s="87"/>
      <c r="AH1445" s="87"/>
      <c r="AI1445" s="87"/>
      <c r="AJ1445" s="87"/>
    </row>
    <row r="1446" spans="1:36" x14ac:dyDescent="0.25">
      <c r="A1446" s="273"/>
      <c r="B1446" s="86"/>
      <c r="C1446" s="86"/>
      <c r="D1446" s="86"/>
      <c r="E1446" s="86"/>
      <c r="F1446" s="86"/>
      <c r="G1446" s="86"/>
      <c r="H1446" s="86"/>
      <c r="I1446" s="86"/>
      <c r="J1446" s="86"/>
      <c r="K1446" s="86"/>
      <c r="L1446" s="86"/>
      <c r="M1446" s="86"/>
      <c r="N1446" s="86"/>
      <c r="O1446" s="86"/>
      <c r="P1446" s="86"/>
      <c r="Q1446" s="86"/>
      <c r="R1446" s="86"/>
      <c r="S1446" s="86"/>
      <c r="T1446" s="86"/>
      <c r="U1446" s="86"/>
      <c r="V1446" s="86"/>
      <c r="W1446" s="86"/>
      <c r="X1446" s="86"/>
      <c r="Y1446" s="86"/>
      <c r="Z1446" s="86"/>
      <c r="AA1446" s="86"/>
      <c r="AB1446" s="86"/>
      <c r="AC1446" s="86"/>
      <c r="AD1446" s="86"/>
      <c r="AE1446" s="86"/>
      <c r="AF1446" s="86"/>
      <c r="AG1446" s="86"/>
      <c r="AH1446" s="86"/>
      <c r="AI1446" s="86"/>
      <c r="AJ1446" s="86"/>
    </row>
    <row r="1447" spans="1:36" x14ac:dyDescent="0.25">
      <c r="A1447" s="274"/>
      <c r="B1447" s="87"/>
      <c r="C1447" s="87"/>
      <c r="D1447" s="87"/>
      <c r="E1447" s="87"/>
      <c r="F1447" s="87"/>
      <c r="G1447" s="87"/>
      <c r="H1447" s="87"/>
      <c r="I1447" s="87"/>
      <c r="J1447" s="87"/>
      <c r="K1447" s="87"/>
      <c r="L1447" s="87"/>
      <c r="M1447" s="87"/>
      <c r="N1447" s="87"/>
      <c r="O1447" s="87"/>
      <c r="P1447" s="87"/>
      <c r="Q1447" s="87"/>
      <c r="R1447" s="87"/>
      <c r="S1447" s="87"/>
      <c r="T1447" s="87"/>
      <c r="U1447" s="87"/>
      <c r="V1447" s="87"/>
      <c r="W1447" s="87"/>
      <c r="X1447" s="87"/>
      <c r="Y1447" s="87"/>
      <c r="Z1447" s="87"/>
      <c r="AA1447" s="87"/>
      <c r="AB1447" s="87"/>
      <c r="AC1447" s="87"/>
      <c r="AD1447" s="87"/>
      <c r="AE1447" s="87"/>
      <c r="AF1447" s="87"/>
      <c r="AG1447" s="87"/>
      <c r="AH1447" s="87"/>
      <c r="AI1447" s="87"/>
      <c r="AJ1447" s="87"/>
    </row>
    <row r="1448" spans="1:36" x14ac:dyDescent="0.25">
      <c r="A1448" s="273"/>
      <c r="B1448" s="86"/>
      <c r="C1448" s="86"/>
      <c r="D1448" s="86"/>
      <c r="E1448" s="86"/>
      <c r="F1448" s="86"/>
      <c r="G1448" s="86"/>
      <c r="H1448" s="86"/>
      <c r="I1448" s="86"/>
      <c r="J1448" s="86"/>
      <c r="K1448" s="86"/>
      <c r="L1448" s="86"/>
      <c r="M1448" s="86"/>
      <c r="N1448" s="86"/>
      <c r="O1448" s="86"/>
      <c r="P1448" s="86"/>
      <c r="Q1448" s="86"/>
      <c r="R1448" s="86"/>
      <c r="S1448" s="86"/>
      <c r="T1448" s="86"/>
      <c r="U1448" s="86"/>
      <c r="V1448" s="86"/>
      <c r="W1448" s="86"/>
      <c r="X1448" s="86"/>
      <c r="Y1448" s="86"/>
      <c r="Z1448" s="86"/>
      <c r="AA1448" s="86"/>
      <c r="AB1448" s="86"/>
      <c r="AC1448" s="86"/>
      <c r="AD1448" s="86"/>
      <c r="AE1448" s="86"/>
      <c r="AF1448" s="86"/>
      <c r="AG1448" s="86"/>
      <c r="AH1448" s="86"/>
      <c r="AI1448" s="86"/>
      <c r="AJ1448" s="86"/>
    </row>
    <row r="1449" spans="1:36" x14ac:dyDescent="0.25">
      <c r="A1449" s="274"/>
      <c r="B1449" s="87"/>
      <c r="C1449" s="87"/>
      <c r="D1449" s="87"/>
      <c r="E1449" s="87"/>
      <c r="F1449" s="87"/>
      <c r="G1449" s="87"/>
      <c r="H1449" s="87"/>
      <c r="I1449" s="87"/>
      <c r="J1449" s="87"/>
      <c r="K1449" s="87"/>
      <c r="L1449" s="87"/>
      <c r="M1449" s="87"/>
      <c r="N1449" s="87"/>
      <c r="O1449" s="87"/>
      <c r="P1449" s="87"/>
      <c r="Q1449" s="87"/>
      <c r="R1449" s="87"/>
      <c r="S1449" s="87"/>
      <c r="T1449" s="87"/>
      <c r="U1449" s="87"/>
      <c r="V1449" s="87"/>
      <c r="W1449" s="87"/>
      <c r="X1449" s="87"/>
      <c r="Y1449" s="87"/>
      <c r="Z1449" s="87"/>
      <c r="AA1449" s="87"/>
      <c r="AB1449" s="87"/>
      <c r="AC1449" s="87"/>
      <c r="AD1449" s="87"/>
      <c r="AE1449" s="87"/>
      <c r="AF1449" s="87"/>
      <c r="AG1449" s="87"/>
      <c r="AH1449" s="87"/>
      <c r="AI1449" s="87"/>
      <c r="AJ1449" s="87"/>
    </row>
    <row r="1450" spans="1:36" x14ac:dyDescent="0.25">
      <c r="A1450" s="273"/>
      <c r="B1450" s="86"/>
      <c r="C1450" s="86"/>
      <c r="D1450" s="86"/>
      <c r="E1450" s="86"/>
      <c r="F1450" s="86"/>
      <c r="G1450" s="86"/>
      <c r="H1450" s="86"/>
      <c r="I1450" s="86"/>
      <c r="J1450" s="86"/>
      <c r="K1450" s="86"/>
      <c r="L1450" s="86"/>
      <c r="M1450" s="86"/>
      <c r="N1450" s="86"/>
      <c r="O1450" s="86"/>
      <c r="P1450" s="86"/>
      <c r="Q1450" s="86"/>
      <c r="R1450" s="86"/>
      <c r="S1450" s="86"/>
      <c r="T1450" s="86"/>
      <c r="U1450" s="86"/>
      <c r="V1450" s="86"/>
      <c r="W1450" s="86"/>
      <c r="X1450" s="86"/>
      <c r="Y1450" s="86"/>
      <c r="Z1450" s="86"/>
      <c r="AA1450" s="86"/>
      <c r="AB1450" s="86"/>
      <c r="AC1450" s="86"/>
      <c r="AD1450" s="86"/>
      <c r="AE1450" s="86"/>
      <c r="AF1450" s="86"/>
      <c r="AG1450" s="86"/>
      <c r="AH1450" s="86"/>
      <c r="AI1450" s="86"/>
      <c r="AJ1450" s="86"/>
    </row>
    <row r="1451" spans="1:36" x14ac:dyDescent="0.25">
      <c r="A1451" s="274"/>
      <c r="B1451" s="87"/>
      <c r="C1451" s="87"/>
      <c r="D1451" s="87"/>
      <c r="E1451" s="87"/>
      <c r="F1451" s="87"/>
      <c r="G1451" s="87"/>
      <c r="H1451" s="87"/>
      <c r="I1451" s="87"/>
      <c r="J1451" s="87"/>
      <c r="K1451" s="87"/>
      <c r="L1451" s="87"/>
      <c r="M1451" s="87"/>
      <c r="N1451" s="87"/>
      <c r="O1451" s="87"/>
      <c r="P1451" s="87"/>
      <c r="Q1451" s="87"/>
      <c r="R1451" s="87"/>
      <c r="S1451" s="87"/>
      <c r="T1451" s="87"/>
      <c r="U1451" s="87"/>
      <c r="V1451" s="87"/>
      <c r="W1451" s="87"/>
      <c r="X1451" s="87"/>
      <c r="Y1451" s="87"/>
      <c r="Z1451" s="87"/>
      <c r="AA1451" s="87"/>
      <c r="AB1451" s="87"/>
      <c r="AC1451" s="87"/>
      <c r="AD1451" s="87"/>
      <c r="AE1451" s="87"/>
      <c r="AF1451" s="87"/>
      <c r="AG1451" s="87"/>
      <c r="AH1451" s="87"/>
      <c r="AI1451" s="87"/>
      <c r="AJ1451" s="87"/>
    </row>
    <row r="1452" spans="1:36" x14ac:dyDescent="0.25">
      <c r="A1452" s="273"/>
      <c r="B1452" s="86"/>
      <c r="C1452" s="86"/>
      <c r="D1452" s="86"/>
      <c r="E1452" s="86"/>
      <c r="F1452" s="86"/>
      <c r="G1452" s="86"/>
      <c r="H1452" s="86"/>
      <c r="I1452" s="86"/>
      <c r="J1452" s="86"/>
      <c r="K1452" s="86"/>
      <c r="L1452" s="86"/>
      <c r="M1452" s="86"/>
      <c r="N1452" s="86"/>
      <c r="O1452" s="86"/>
      <c r="P1452" s="86"/>
      <c r="Q1452" s="86"/>
      <c r="R1452" s="86"/>
      <c r="S1452" s="86"/>
      <c r="T1452" s="86"/>
      <c r="U1452" s="86"/>
      <c r="V1452" s="86"/>
      <c r="W1452" s="86"/>
      <c r="X1452" s="86"/>
      <c r="Y1452" s="86"/>
      <c r="Z1452" s="86"/>
      <c r="AA1452" s="86"/>
      <c r="AB1452" s="86"/>
      <c r="AC1452" s="86"/>
      <c r="AD1452" s="86"/>
      <c r="AE1452" s="86"/>
      <c r="AF1452" s="86"/>
      <c r="AG1452" s="86"/>
      <c r="AH1452" s="86"/>
      <c r="AI1452" s="86"/>
      <c r="AJ1452" s="86"/>
    </row>
    <row r="1453" spans="1:36" x14ac:dyDescent="0.25">
      <c r="A1453" s="274"/>
      <c r="B1453" s="87"/>
      <c r="C1453" s="87"/>
      <c r="D1453" s="87"/>
      <c r="E1453" s="87"/>
      <c r="F1453" s="87"/>
      <c r="G1453" s="87"/>
      <c r="H1453" s="87"/>
      <c r="I1453" s="87"/>
      <c r="J1453" s="87"/>
      <c r="K1453" s="87"/>
      <c r="L1453" s="87"/>
      <c r="M1453" s="87"/>
      <c r="N1453" s="87"/>
      <c r="O1453" s="87"/>
      <c r="P1453" s="87"/>
      <c r="Q1453" s="87"/>
      <c r="R1453" s="87"/>
      <c r="S1453" s="87"/>
      <c r="T1453" s="87"/>
      <c r="U1453" s="87"/>
      <c r="V1453" s="87"/>
      <c r="W1453" s="87"/>
      <c r="X1453" s="87"/>
      <c r="Y1453" s="87"/>
      <c r="Z1453" s="87"/>
      <c r="AA1453" s="87"/>
      <c r="AB1453" s="87"/>
      <c r="AC1453" s="87"/>
      <c r="AD1453" s="87"/>
      <c r="AE1453" s="87"/>
      <c r="AF1453" s="87"/>
      <c r="AG1453" s="87"/>
      <c r="AH1453" s="87"/>
      <c r="AI1453" s="87"/>
      <c r="AJ1453" s="87"/>
    </row>
    <row r="1454" spans="1:36" x14ac:dyDescent="0.25">
      <c r="A1454" s="273"/>
      <c r="B1454" s="86"/>
      <c r="C1454" s="86"/>
      <c r="D1454" s="86"/>
      <c r="E1454" s="86"/>
      <c r="F1454" s="86"/>
      <c r="G1454" s="86"/>
      <c r="H1454" s="86"/>
      <c r="I1454" s="86"/>
      <c r="J1454" s="86"/>
      <c r="K1454" s="86"/>
      <c r="L1454" s="86"/>
      <c r="M1454" s="86"/>
      <c r="N1454" s="86"/>
      <c r="O1454" s="86"/>
      <c r="P1454" s="86"/>
      <c r="Q1454" s="86"/>
      <c r="R1454" s="86"/>
      <c r="S1454" s="86"/>
      <c r="T1454" s="86"/>
      <c r="U1454" s="86"/>
      <c r="V1454" s="86"/>
      <c r="W1454" s="86"/>
      <c r="X1454" s="86"/>
      <c r="Y1454" s="86"/>
      <c r="Z1454" s="86"/>
      <c r="AA1454" s="86"/>
      <c r="AB1454" s="86"/>
      <c r="AC1454" s="86"/>
      <c r="AD1454" s="86"/>
      <c r="AE1454" s="86"/>
      <c r="AF1454" s="86"/>
      <c r="AG1454" s="86"/>
      <c r="AH1454" s="86"/>
      <c r="AI1454" s="86"/>
      <c r="AJ1454" s="86"/>
    </row>
    <row r="1455" spans="1:36" x14ac:dyDescent="0.25">
      <c r="A1455" s="274"/>
      <c r="B1455" s="87"/>
      <c r="C1455" s="87"/>
      <c r="D1455" s="87"/>
      <c r="E1455" s="87"/>
      <c r="F1455" s="87"/>
      <c r="G1455" s="87"/>
      <c r="H1455" s="87"/>
      <c r="I1455" s="87"/>
      <c r="J1455" s="87"/>
      <c r="K1455" s="87"/>
      <c r="L1455" s="87"/>
      <c r="M1455" s="87"/>
      <c r="N1455" s="87"/>
      <c r="O1455" s="87"/>
      <c r="P1455" s="87"/>
      <c r="Q1455" s="87"/>
      <c r="R1455" s="87"/>
      <c r="S1455" s="87"/>
      <c r="T1455" s="87"/>
      <c r="U1455" s="87"/>
      <c r="V1455" s="87"/>
      <c r="W1455" s="87"/>
      <c r="X1455" s="87"/>
      <c r="Y1455" s="87"/>
      <c r="Z1455" s="87"/>
      <c r="AA1455" s="87"/>
      <c r="AB1455" s="87"/>
      <c r="AC1455" s="87"/>
      <c r="AD1455" s="87"/>
      <c r="AE1455" s="87"/>
      <c r="AF1455" s="87"/>
      <c r="AG1455" s="87"/>
      <c r="AH1455" s="87"/>
      <c r="AI1455" s="87"/>
      <c r="AJ1455" s="87"/>
    </row>
    <row r="1456" spans="1:36" x14ac:dyDescent="0.25">
      <c r="A1456" s="273"/>
      <c r="B1456" s="86"/>
      <c r="C1456" s="86"/>
      <c r="D1456" s="86"/>
      <c r="E1456" s="86"/>
      <c r="F1456" s="86"/>
      <c r="G1456" s="86"/>
      <c r="H1456" s="86"/>
      <c r="I1456" s="86"/>
      <c r="J1456" s="86"/>
      <c r="K1456" s="86"/>
      <c r="L1456" s="86"/>
      <c r="M1456" s="86"/>
      <c r="N1456" s="86"/>
      <c r="O1456" s="86"/>
      <c r="P1456" s="86"/>
      <c r="Q1456" s="86"/>
      <c r="R1456" s="86"/>
      <c r="S1456" s="86"/>
      <c r="T1456" s="86"/>
      <c r="U1456" s="86"/>
      <c r="V1456" s="86"/>
      <c r="W1456" s="86"/>
      <c r="X1456" s="86"/>
      <c r="Y1456" s="86"/>
      <c r="Z1456" s="86"/>
      <c r="AA1456" s="86"/>
      <c r="AB1456" s="86"/>
      <c r="AC1456" s="86"/>
      <c r="AD1456" s="86"/>
      <c r="AE1456" s="86"/>
      <c r="AF1456" s="86"/>
      <c r="AG1456" s="86"/>
      <c r="AH1456" s="86"/>
      <c r="AI1456" s="86"/>
      <c r="AJ1456" s="86"/>
    </row>
    <row r="1457" spans="1:36" x14ac:dyDescent="0.25">
      <c r="A1457" s="274"/>
      <c r="B1457" s="87"/>
      <c r="C1457" s="87"/>
      <c r="D1457" s="87"/>
      <c r="E1457" s="87"/>
      <c r="F1457" s="87"/>
      <c r="G1457" s="87"/>
      <c r="H1457" s="87"/>
      <c r="I1457" s="87"/>
      <c r="J1457" s="87"/>
      <c r="K1457" s="87"/>
      <c r="L1457" s="87"/>
      <c r="M1457" s="87"/>
      <c r="N1457" s="87"/>
      <c r="O1457" s="87"/>
      <c r="P1457" s="87"/>
      <c r="Q1457" s="87"/>
      <c r="R1457" s="87"/>
      <c r="S1457" s="87"/>
      <c r="T1457" s="87"/>
      <c r="U1457" s="87"/>
      <c r="V1457" s="87"/>
      <c r="W1457" s="87"/>
      <c r="X1457" s="87"/>
      <c r="Y1457" s="87"/>
      <c r="Z1457" s="87"/>
      <c r="AA1457" s="87"/>
      <c r="AB1457" s="87"/>
      <c r="AC1457" s="87"/>
      <c r="AD1457" s="87"/>
      <c r="AE1457" s="87"/>
      <c r="AF1457" s="87"/>
      <c r="AG1457" s="87"/>
      <c r="AH1457" s="87"/>
      <c r="AI1457" s="87"/>
      <c r="AJ1457" s="87"/>
    </row>
    <row r="1458" spans="1:36" x14ac:dyDescent="0.25">
      <c r="A1458" s="273"/>
      <c r="B1458" s="86"/>
      <c r="C1458" s="86"/>
      <c r="D1458" s="86"/>
      <c r="E1458" s="86"/>
      <c r="F1458" s="86"/>
      <c r="G1458" s="86"/>
      <c r="H1458" s="86"/>
      <c r="I1458" s="86"/>
      <c r="J1458" s="86"/>
      <c r="K1458" s="86"/>
      <c r="L1458" s="86"/>
      <c r="M1458" s="86"/>
      <c r="N1458" s="86"/>
      <c r="O1458" s="86"/>
      <c r="P1458" s="86"/>
      <c r="Q1458" s="86"/>
      <c r="R1458" s="86"/>
      <c r="S1458" s="86"/>
      <c r="T1458" s="86"/>
      <c r="U1458" s="86"/>
      <c r="V1458" s="86"/>
      <c r="W1458" s="86"/>
      <c r="X1458" s="86"/>
      <c r="Y1458" s="86"/>
      <c r="Z1458" s="86"/>
      <c r="AA1458" s="86"/>
      <c r="AB1458" s="86"/>
      <c r="AC1458" s="86"/>
      <c r="AD1458" s="86"/>
      <c r="AE1458" s="86"/>
      <c r="AF1458" s="86"/>
      <c r="AG1458" s="86"/>
      <c r="AH1458" s="86"/>
      <c r="AI1458" s="86"/>
      <c r="AJ1458" s="86"/>
    </row>
    <row r="1459" spans="1:36" x14ac:dyDescent="0.25">
      <c r="A1459" s="274"/>
      <c r="B1459" s="87"/>
      <c r="C1459" s="87"/>
      <c r="D1459" s="87"/>
      <c r="E1459" s="87"/>
      <c r="F1459" s="87"/>
      <c r="G1459" s="87"/>
      <c r="H1459" s="87"/>
      <c r="I1459" s="87"/>
      <c r="J1459" s="87"/>
      <c r="K1459" s="87"/>
      <c r="L1459" s="87"/>
      <c r="M1459" s="87"/>
      <c r="N1459" s="87"/>
      <c r="O1459" s="87"/>
      <c r="P1459" s="87"/>
      <c r="Q1459" s="87"/>
      <c r="R1459" s="87"/>
      <c r="S1459" s="87"/>
      <c r="T1459" s="87"/>
      <c r="U1459" s="87"/>
      <c r="V1459" s="87"/>
      <c r="W1459" s="87"/>
      <c r="X1459" s="87"/>
      <c r="Y1459" s="87"/>
      <c r="Z1459" s="87"/>
      <c r="AA1459" s="87"/>
      <c r="AB1459" s="87"/>
      <c r="AC1459" s="87"/>
      <c r="AD1459" s="87"/>
      <c r="AE1459" s="87"/>
      <c r="AF1459" s="87"/>
      <c r="AG1459" s="87"/>
      <c r="AH1459" s="87"/>
      <c r="AI1459" s="87"/>
      <c r="AJ1459" s="87"/>
    </row>
    <row r="1460" spans="1:36" x14ac:dyDescent="0.25">
      <c r="A1460" s="273"/>
      <c r="B1460" s="86"/>
      <c r="C1460" s="86"/>
      <c r="D1460" s="86"/>
      <c r="E1460" s="86"/>
      <c r="F1460" s="86"/>
      <c r="G1460" s="86"/>
      <c r="H1460" s="86"/>
      <c r="I1460" s="86"/>
      <c r="J1460" s="86"/>
      <c r="K1460" s="86"/>
      <c r="L1460" s="86"/>
      <c r="M1460" s="86"/>
      <c r="N1460" s="86"/>
      <c r="O1460" s="86"/>
      <c r="P1460" s="86"/>
      <c r="Q1460" s="86"/>
      <c r="R1460" s="86"/>
      <c r="S1460" s="86"/>
      <c r="T1460" s="86"/>
      <c r="U1460" s="86"/>
      <c r="V1460" s="86"/>
      <c r="W1460" s="86"/>
      <c r="X1460" s="86"/>
      <c r="Y1460" s="86"/>
      <c r="Z1460" s="86"/>
      <c r="AA1460" s="86"/>
      <c r="AB1460" s="86"/>
      <c r="AC1460" s="86"/>
      <c r="AD1460" s="86"/>
      <c r="AE1460" s="86"/>
      <c r="AF1460" s="86"/>
      <c r="AG1460" s="86"/>
      <c r="AH1460" s="86"/>
      <c r="AI1460" s="86"/>
      <c r="AJ1460" s="86"/>
    </row>
    <row r="1461" spans="1:36" x14ac:dyDescent="0.25">
      <c r="A1461" s="274"/>
      <c r="B1461" s="87"/>
      <c r="C1461" s="87"/>
      <c r="D1461" s="87"/>
      <c r="E1461" s="87"/>
      <c r="F1461" s="87"/>
      <c r="G1461" s="87"/>
      <c r="H1461" s="87"/>
      <c r="I1461" s="87"/>
      <c r="J1461" s="87"/>
      <c r="K1461" s="87"/>
      <c r="L1461" s="87"/>
      <c r="M1461" s="87"/>
      <c r="N1461" s="87"/>
      <c r="O1461" s="87"/>
      <c r="P1461" s="87"/>
      <c r="Q1461" s="87"/>
      <c r="R1461" s="87"/>
      <c r="S1461" s="87"/>
      <c r="T1461" s="87"/>
      <c r="U1461" s="87"/>
      <c r="V1461" s="87"/>
      <c r="W1461" s="87"/>
      <c r="X1461" s="87"/>
      <c r="Y1461" s="87"/>
      <c r="Z1461" s="87"/>
      <c r="AA1461" s="87"/>
      <c r="AB1461" s="87"/>
      <c r="AC1461" s="87"/>
      <c r="AD1461" s="87"/>
      <c r="AE1461" s="87"/>
      <c r="AF1461" s="87"/>
      <c r="AG1461" s="87"/>
      <c r="AH1461" s="87"/>
      <c r="AI1461" s="87"/>
      <c r="AJ1461" s="87"/>
    </row>
    <row r="1462" spans="1:36" x14ac:dyDescent="0.25">
      <c r="A1462" s="273"/>
      <c r="B1462" s="86"/>
      <c r="C1462" s="86"/>
      <c r="D1462" s="86"/>
      <c r="E1462" s="86"/>
      <c r="F1462" s="86"/>
      <c r="G1462" s="86"/>
      <c r="H1462" s="86"/>
      <c r="I1462" s="86"/>
      <c r="J1462" s="86"/>
      <c r="K1462" s="86"/>
      <c r="L1462" s="86"/>
      <c r="M1462" s="86"/>
      <c r="N1462" s="86"/>
      <c r="O1462" s="86"/>
      <c r="P1462" s="86"/>
      <c r="Q1462" s="86"/>
      <c r="R1462" s="86"/>
      <c r="S1462" s="86"/>
      <c r="T1462" s="86"/>
      <c r="U1462" s="86"/>
      <c r="V1462" s="86"/>
      <c r="W1462" s="86"/>
      <c r="X1462" s="86"/>
      <c r="Y1462" s="86"/>
      <c r="Z1462" s="86"/>
      <c r="AA1462" s="86"/>
      <c r="AB1462" s="86"/>
      <c r="AC1462" s="86"/>
      <c r="AD1462" s="86"/>
      <c r="AE1462" s="86"/>
      <c r="AF1462" s="86"/>
      <c r="AG1462" s="86"/>
      <c r="AH1462" s="86"/>
      <c r="AI1462" s="86"/>
      <c r="AJ1462" s="86"/>
    </row>
    <row r="1463" spans="1:36" x14ac:dyDescent="0.25">
      <c r="A1463" s="274"/>
      <c r="B1463" s="87"/>
      <c r="C1463" s="87"/>
      <c r="D1463" s="87"/>
      <c r="E1463" s="87"/>
      <c r="F1463" s="87"/>
      <c r="G1463" s="87"/>
      <c r="H1463" s="87"/>
      <c r="I1463" s="87"/>
      <c r="J1463" s="87"/>
      <c r="K1463" s="87"/>
      <c r="L1463" s="87"/>
      <c r="M1463" s="87"/>
      <c r="N1463" s="87"/>
      <c r="O1463" s="87"/>
      <c r="P1463" s="87"/>
      <c r="Q1463" s="87"/>
      <c r="R1463" s="87"/>
      <c r="S1463" s="87"/>
      <c r="T1463" s="87"/>
      <c r="U1463" s="87"/>
      <c r="V1463" s="87"/>
      <c r="W1463" s="87"/>
      <c r="X1463" s="87"/>
      <c r="Y1463" s="87"/>
      <c r="Z1463" s="87"/>
      <c r="AA1463" s="87"/>
      <c r="AB1463" s="87"/>
      <c r="AC1463" s="87"/>
      <c r="AD1463" s="87"/>
      <c r="AE1463" s="87"/>
      <c r="AF1463" s="87"/>
      <c r="AG1463" s="87"/>
      <c r="AH1463" s="87"/>
      <c r="AI1463" s="87"/>
      <c r="AJ1463" s="87"/>
    </row>
    <row r="1464" spans="1:36" x14ac:dyDescent="0.25">
      <c r="A1464" s="273"/>
      <c r="B1464" s="86"/>
      <c r="C1464" s="86"/>
      <c r="D1464" s="86"/>
      <c r="E1464" s="86"/>
      <c r="F1464" s="86"/>
      <c r="G1464" s="86"/>
      <c r="H1464" s="86"/>
      <c r="I1464" s="86"/>
      <c r="J1464" s="86"/>
      <c r="K1464" s="86"/>
      <c r="L1464" s="86"/>
      <c r="M1464" s="86"/>
      <c r="N1464" s="86"/>
      <c r="O1464" s="86"/>
      <c r="P1464" s="86"/>
      <c r="Q1464" s="86"/>
      <c r="R1464" s="86"/>
      <c r="S1464" s="86"/>
      <c r="T1464" s="86"/>
      <c r="U1464" s="86"/>
      <c r="V1464" s="86"/>
      <c r="W1464" s="86"/>
      <c r="X1464" s="86"/>
      <c r="Y1464" s="86"/>
      <c r="Z1464" s="86"/>
      <c r="AA1464" s="86"/>
      <c r="AB1464" s="86"/>
      <c r="AC1464" s="86"/>
      <c r="AD1464" s="86"/>
      <c r="AE1464" s="86"/>
      <c r="AF1464" s="86"/>
      <c r="AG1464" s="86"/>
      <c r="AH1464" s="86"/>
      <c r="AI1464" s="86"/>
      <c r="AJ1464" s="86"/>
    </row>
    <row r="1465" spans="1:36" x14ac:dyDescent="0.25">
      <c r="A1465" s="274"/>
      <c r="B1465" s="87"/>
      <c r="C1465" s="87"/>
      <c r="D1465" s="87"/>
      <c r="E1465" s="87"/>
      <c r="F1465" s="87"/>
      <c r="G1465" s="87"/>
      <c r="H1465" s="87"/>
      <c r="I1465" s="87"/>
      <c r="J1465" s="87"/>
      <c r="K1465" s="87"/>
      <c r="L1465" s="87"/>
      <c r="M1465" s="87"/>
      <c r="N1465" s="87"/>
      <c r="O1465" s="87"/>
      <c r="P1465" s="87"/>
      <c r="Q1465" s="87"/>
      <c r="R1465" s="87"/>
      <c r="S1465" s="87"/>
      <c r="T1465" s="87"/>
      <c r="U1465" s="87"/>
      <c r="V1465" s="87"/>
      <c r="W1465" s="87"/>
      <c r="X1465" s="87"/>
      <c r="Y1465" s="87"/>
      <c r="Z1465" s="87"/>
      <c r="AA1465" s="87"/>
      <c r="AB1465" s="87"/>
      <c r="AC1465" s="87"/>
      <c r="AD1465" s="87"/>
      <c r="AE1465" s="87"/>
      <c r="AF1465" s="87"/>
      <c r="AG1465" s="87"/>
      <c r="AH1465" s="87"/>
      <c r="AI1465" s="87"/>
      <c r="AJ1465" s="87"/>
    </row>
    <row r="1466" spans="1:36" x14ac:dyDescent="0.25">
      <c r="A1466" s="273"/>
      <c r="B1466" s="86"/>
      <c r="C1466" s="86"/>
      <c r="D1466" s="86"/>
      <c r="E1466" s="86"/>
      <c r="F1466" s="86"/>
      <c r="G1466" s="86"/>
      <c r="H1466" s="86"/>
      <c r="I1466" s="86"/>
      <c r="J1466" s="86"/>
      <c r="K1466" s="86"/>
      <c r="L1466" s="86"/>
      <c r="M1466" s="86"/>
      <c r="N1466" s="86"/>
      <c r="O1466" s="86"/>
      <c r="P1466" s="86"/>
      <c r="Q1466" s="86"/>
      <c r="R1466" s="86"/>
      <c r="S1466" s="86"/>
      <c r="T1466" s="86"/>
      <c r="U1466" s="86"/>
      <c r="V1466" s="86"/>
      <c r="W1466" s="86"/>
      <c r="X1466" s="86"/>
      <c r="Y1466" s="86"/>
      <c r="Z1466" s="86"/>
      <c r="AA1466" s="86"/>
      <c r="AB1466" s="86"/>
      <c r="AC1466" s="86"/>
      <c r="AD1466" s="86"/>
      <c r="AE1466" s="86"/>
      <c r="AF1466" s="86"/>
      <c r="AG1466" s="86"/>
      <c r="AH1466" s="86"/>
      <c r="AI1466" s="86"/>
      <c r="AJ1466" s="86"/>
    </row>
    <row r="1467" spans="1:36" x14ac:dyDescent="0.25">
      <c r="A1467" s="274"/>
      <c r="B1467" s="87"/>
      <c r="C1467" s="87"/>
      <c r="D1467" s="87"/>
      <c r="E1467" s="87"/>
      <c r="F1467" s="87"/>
      <c r="G1467" s="87"/>
      <c r="H1467" s="87"/>
      <c r="I1467" s="87"/>
      <c r="J1467" s="87"/>
      <c r="K1467" s="87"/>
      <c r="L1467" s="87"/>
      <c r="M1467" s="87"/>
      <c r="N1467" s="87"/>
      <c r="O1467" s="87"/>
      <c r="P1467" s="87"/>
      <c r="Q1467" s="87"/>
      <c r="R1467" s="87"/>
      <c r="S1467" s="87"/>
      <c r="T1467" s="87"/>
      <c r="U1467" s="87"/>
      <c r="V1467" s="87"/>
      <c r="W1467" s="87"/>
      <c r="X1467" s="87"/>
      <c r="Y1467" s="87"/>
      <c r="Z1467" s="87"/>
      <c r="AA1467" s="87"/>
      <c r="AB1467" s="87"/>
      <c r="AC1467" s="87"/>
      <c r="AD1467" s="87"/>
      <c r="AE1467" s="87"/>
      <c r="AF1467" s="87"/>
      <c r="AG1467" s="87"/>
      <c r="AH1467" s="87"/>
      <c r="AI1467" s="87"/>
      <c r="AJ1467" s="87"/>
    </row>
    <row r="1468" spans="1:36" x14ac:dyDescent="0.25">
      <c r="A1468" s="273"/>
      <c r="B1468" s="86"/>
      <c r="C1468" s="86"/>
      <c r="D1468" s="86"/>
      <c r="E1468" s="86"/>
      <c r="F1468" s="86"/>
      <c r="G1468" s="86"/>
      <c r="H1468" s="86"/>
      <c r="I1468" s="86"/>
      <c r="J1468" s="86"/>
      <c r="K1468" s="86"/>
      <c r="L1468" s="86"/>
      <c r="M1468" s="86"/>
      <c r="N1468" s="86"/>
      <c r="O1468" s="86"/>
      <c r="P1468" s="86"/>
      <c r="Q1468" s="86"/>
      <c r="R1468" s="86"/>
      <c r="S1468" s="86"/>
      <c r="T1468" s="86"/>
      <c r="U1468" s="86"/>
      <c r="V1468" s="86"/>
      <c r="W1468" s="86"/>
      <c r="X1468" s="86"/>
      <c r="Y1468" s="86"/>
      <c r="Z1468" s="86"/>
      <c r="AA1468" s="86"/>
      <c r="AB1468" s="86"/>
      <c r="AC1468" s="86"/>
      <c r="AD1468" s="86"/>
      <c r="AE1468" s="86"/>
      <c r="AF1468" s="86"/>
      <c r="AG1468" s="86"/>
      <c r="AH1468" s="86"/>
      <c r="AI1468" s="86"/>
      <c r="AJ1468" s="86"/>
    </row>
    <row r="1469" spans="1:36" x14ac:dyDescent="0.25">
      <c r="A1469" s="274"/>
      <c r="B1469" s="87"/>
      <c r="C1469" s="87"/>
      <c r="D1469" s="87"/>
      <c r="E1469" s="87"/>
      <c r="F1469" s="87"/>
      <c r="G1469" s="87"/>
      <c r="H1469" s="87"/>
      <c r="I1469" s="87"/>
      <c r="J1469" s="87"/>
      <c r="K1469" s="87"/>
      <c r="L1469" s="87"/>
      <c r="M1469" s="87"/>
      <c r="N1469" s="87"/>
      <c r="O1469" s="87"/>
      <c r="P1469" s="87"/>
      <c r="Q1469" s="87"/>
      <c r="R1469" s="87"/>
      <c r="S1469" s="87"/>
      <c r="T1469" s="87"/>
      <c r="U1469" s="87"/>
      <c r="V1469" s="87"/>
      <c r="W1469" s="87"/>
      <c r="X1469" s="87"/>
      <c r="Y1469" s="87"/>
      <c r="Z1469" s="87"/>
      <c r="AA1469" s="87"/>
      <c r="AB1469" s="87"/>
      <c r="AC1469" s="87"/>
      <c r="AD1469" s="87"/>
      <c r="AE1469" s="87"/>
      <c r="AF1469" s="87"/>
      <c r="AG1469" s="87"/>
      <c r="AH1469" s="87"/>
      <c r="AI1469" s="87"/>
      <c r="AJ1469" s="87"/>
    </row>
    <row r="1470" spans="1:36" x14ac:dyDescent="0.25">
      <c r="A1470" s="273"/>
      <c r="B1470" s="86"/>
      <c r="C1470" s="86"/>
      <c r="D1470" s="86"/>
      <c r="E1470" s="86"/>
      <c r="F1470" s="86"/>
      <c r="G1470" s="86"/>
      <c r="H1470" s="86"/>
      <c r="I1470" s="86"/>
      <c r="J1470" s="86"/>
      <c r="K1470" s="86"/>
      <c r="L1470" s="86"/>
      <c r="M1470" s="86"/>
      <c r="N1470" s="86"/>
      <c r="O1470" s="86"/>
      <c r="P1470" s="86"/>
      <c r="Q1470" s="86"/>
      <c r="R1470" s="86"/>
      <c r="S1470" s="86"/>
      <c r="T1470" s="86"/>
      <c r="U1470" s="86"/>
      <c r="V1470" s="86"/>
      <c r="W1470" s="86"/>
      <c r="X1470" s="86"/>
      <c r="Y1470" s="86"/>
      <c r="Z1470" s="86"/>
      <c r="AA1470" s="86"/>
      <c r="AB1470" s="86"/>
      <c r="AC1470" s="86"/>
      <c r="AD1470" s="86"/>
      <c r="AE1470" s="86"/>
      <c r="AF1470" s="86"/>
      <c r="AG1470" s="86"/>
      <c r="AH1470" s="86"/>
      <c r="AI1470" s="86"/>
      <c r="AJ1470" s="86"/>
    </row>
    <row r="1471" spans="1:36" x14ac:dyDescent="0.25">
      <c r="A1471" s="274"/>
      <c r="B1471" s="87"/>
      <c r="C1471" s="87"/>
      <c r="D1471" s="87"/>
      <c r="E1471" s="87"/>
      <c r="F1471" s="87"/>
      <c r="G1471" s="87"/>
      <c r="H1471" s="87"/>
      <c r="I1471" s="87"/>
      <c r="J1471" s="87"/>
      <c r="K1471" s="87"/>
      <c r="L1471" s="87"/>
      <c r="M1471" s="87"/>
      <c r="N1471" s="87"/>
      <c r="O1471" s="87"/>
      <c r="P1471" s="87"/>
      <c r="Q1471" s="87"/>
      <c r="R1471" s="87"/>
      <c r="S1471" s="87"/>
      <c r="T1471" s="87"/>
      <c r="U1471" s="87"/>
      <c r="V1471" s="87"/>
      <c r="W1471" s="87"/>
      <c r="X1471" s="87"/>
      <c r="Y1471" s="87"/>
      <c r="Z1471" s="87"/>
      <c r="AA1471" s="87"/>
      <c r="AB1471" s="87"/>
      <c r="AC1471" s="87"/>
      <c r="AD1471" s="87"/>
      <c r="AE1471" s="87"/>
      <c r="AF1471" s="87"/>
      <c r="AG1471" s="87"/>
      <c r="AH1471" s="87"/>
      <c r="AI1471" s="87"/>
      <c r="AJ1471" s="87"/>
    </row>
    <row r="1472" spans="1:36" x14ac:dyDescent="0.25">
      <c r="A1472" s="273"/>
      <c r="B1472" s="86"/>
      <c r="C1472" s="86"/>
      <c r="D1472" s="86"/>
      <c r="E1472" s="86"/>
      <c r="F1472" s="86"/>
      <c r="G1472" s="86"/>
      <c r="H1472" s="86"/>
      <c r="I1472" s="86"/>
      <c r="J1472" s="86"/>
      <c r="K1472" s="86"/>
      <c r="L1472" s="86"/>
      <c r="M1472" s="86"/>
      <c r="N1472" s="86"/>
      <c r="O1472" s="86"/>
      <c r="P1472" s="86"/>
      <c r="Q1472" s="86"/>
      <c r="R1472" s="86"/>
      <c r="S1472" s="86"/>
      <c r="T1472" s="86"/>
      <c r="U1472" s="86"/>
      <c r="V1472" s="86"/>
      <c r="W1472" s="86"/>
      <c r="X1472" s="86"/>
      <c r="Y1472" s="86"/>
      <c r="Z1472" s="86"/>
      <c r="AA1472" s="86"/>
      <c r="AB1472" s="86"/>
      <c r="AC1472" s="86"/>
      <c r="AD1472" s="86"/>
      <c r="AE1472" s="86"/>
      <c r="AF1472" s="86"/>
      <c r="AG1472" s="86"/>
      <c r="AH1472" s="86"/>
      <c r="AI1472" s="86"/>
      <c r="AJ1472" s="86"/>
    </row>
    <row r="1473" spans="1:36" x14ac:dyDescent="0.25">
      <c r="A1473" s="274"/>
      <c r="B1473" s="87"/>
      <c r="C1473" s="87"/>
      <c r="D1473" s="87"/>
      <c r="E1473" s="87"/>
      <c r="F1473" s="87"/>
      <c r="G1473" s="87"/>
      <c r="H1473" s="87"/>
      <c r="I1473" s="87"/>
      <c r="J1473" s="87"/>
      <c r="K1473" s="87"/>
      <c r="L1473" s="87"/>
      <c r="M1473" s="87"/>
      <c r="N1473" s="87"/>
      <c r="O1473" s="87"/>
      <c r="P1473" s="87"/>
      <c r="Q1473" s="87"/>
      <c r="R1473" s="87"/>
      <c r="S1473" s="87"/>
      <c r="T1473" s="87"/>
      <c r="U1473" s="87"/>
      <c r="V1473" s="87"/>
      <c r="W1473" s="87"/>
      <c r="X1473" s="87"/>
      <c r="Y1473" s="87"/>
      <c r="Z1473" s="87"/>
      <c r="AA1473" s="87"/>
      <c r="AB1473" s="87"/>
      <c r="AC1473" s="87"/>
      <c r="AD1473" s="87"/>
      <c r="AE1473" s="87"/>
      <c r="AF1473" s="87"/>
      <c r="AG1473" s="87"/>
      <c r="AH1473" s="87"/>
      <c r="AI1473" s="87"/>
      <c r="AJ1473" s="87"/>
    </row>
    <row r="1474" spans="1:36" x14ac:dyDescent="0.25">
      <c r="A1474" s="273"/>
      <c r="B1474" s="86"/>
      <c r="C1474" s="86"/>
      <c r="D1474" s="86"/>
      <c r="E1474" s="86"/>
      <c r="F1474" s="86"/>
      <c r="G1474" s="86"/>
      <c r="H1474" s="86"/>
      <c r="I1474" s="86"/>
      <c r="J1474" s="86"/>
      <c r="K1474" s="86"/>
      <c r="L1474" s="86"/>
      <c r="M1474" s="86"/>
      <c r="N1474" s="86"/>
      <c r="O1474" s="86"/>
      <c r="P1474" s="86"/>
      <c r="Q1474" s="86"/>
      <c r="R1474" s="86"/>
      <c r="S1474" s="86"/>
      <c r="T1474" s="86"/>
      <c r="U1474" s="86"/>
      <c r="V1474" s="86"/>
      <c r="W1474" s="86"/>
      <c r="X1474" s="86"/>
      <c r="Y1474" s="86"/>
      <c r="Z1474" s="86"/>
      <c r="AA1474" s="86"/>
      <c r="AB1474" s="86"/>
      <c r="AC1474" s="86"/>
      <c r="AD1474" s="86"/>
      <c r="AE1474" s="86"/>
      <c r="AF1474" s="86"/>
      <c r="AG1474" s="86"/>
      <c r="AH1474" s="86"/>
      <c r="AI1474" s="86"/>
      <c r="AJ1474" s="86"/>
    </row>
    <row r="1475" spans="1:36" x14ac:dyDescent="0.25">
      <c r="A1475" s="274"/>
      <c r="B1475" s="87"/>
      <c r="C1475" s="87"/>
      <c r="D1475" s="87"/>
      <c r="E1475" s="87"/>
      <c r="F1475" s="87"/>
      <c r="G1475" s="87"/>
      <c r="H1475" s="87"/>
      <c r="I1475" s="87"/>
      <c r="J1475" s="87"/>
      <c r="K1475" s="87"/>
      <c r="L1475" s="87"/>
      <c r="M1475" s="87"/>
      <c r="N1475" s="87"/>
      <c r="O1475" s="87"/>
      <c r="P1475" s="87"/>
      <c r="Q1475" s="87"/>
      <c r="R1475" s="87"/>
      <c r="S1475" s="87"/>
      <c r="T1475" s="87"/>
      <c r="U1475" s="87"/>
      <c r="V1475" s="87"/>
      <c r="W1475" s="87"/>
      <c r="X1475" s="87"/>
      <c r="Y1475" s="87"/>
      <c r="Z1475" s="87"/>
      <c r="AA1475" s="87"/>
      <c r="AB1475" s="87"/>
      <c r="AC1475" s="87"/>
      <c r="AD1475" s="87"/>
      <c r="AE1475" s="87"/>
      <c r="AF1475" s="87"/>
      <c r="AG1475" s="87"/>
      <c r="AH1475" s="87"/>
      <c r="AI1475" s="87"/>
      <c r="AJ1475" s="87"/>
    </row>
    <row r="1476" spans="1:36" x14ac:dyDescent="0.25">
      <c r="A1476" s="273"/>
      <c r="B1476" s="86"/>
      <c r="C1476" s="86"/>
      <c r="D1476" s="86"/>
      <c r="E1476" s="86"/>
      <c r="F1476" s="86"/>
      <c r="G1476" s="86"/>
      <c r="H1476" s="86"/>
      <c r="I1476" s="86"/>
      <c r="J1476" s="86"/>
      <c r="K1476" s="86"/>
      <c r="L1476" s="86"/>
      <c r="M1476" s="86"/>
      <c r="N1476" s="86"/>
      <c r="O1476" s="86"/>
      <c r="P1476" s="86"/>
      <c r="Q1476" s="86"/>
      <c r="R1476" s="86"/>
      <c r="S1476" s="86"/>
      <c r="T1476" s="86"/>
      <c r="U1476" s="86"/>
      <c r="V1476" s="86"/>
      <c r="W1476" s="86"/>
      <c r="X1476" s="86"/>
      <c r="Y1476" s="86"/>
      <c r="Z1476" s="86"/>
      <c r="AA1476" s="86"/>
      <c r="AB1476" s="86"/>
      <c r="AC1476" s="86"/>
      <c r="AD1476" s="86"/>
      <c r="AE1476" s="86"/>
      <c r="AF1476" s="86"/>
      <c r="AG1476" s="86"/>
      <c r="AH1476" s="86"/>
      <c r="AI1476" s="86"/>
      <c r="AJ1476" s="86"/>
    </row>
    <row r="1477" spans="1:36" x14ac:dyDescent="0.25">
      <c r="A1477" s="274"/>
      <c r="B1477" s="87"/>
      <c r="C1477" s="87"/>
      <c r="D1477" s="87"/>
      <c r="E1477" s="87"/>
      <c r="F1477" s="87"/>
      <c r="G1477" s="87"/>
      <c r="H1477" s="87"/>
      <c r="I1477" s="87"/>
      <c r="J1477" s="87"/>
      <c r="K1477" s="87"/>
      <c r="L1477" s="87"/>
      <c r="M1477" s="87"/>
      <c r="N1477" s="87"/>
      <c r="O1477" s="87"/>
      <c r="P1477" s="87"/>
      <c r="Q1477" s="87"/>
      <c r="R1477" s="87"/>
      <c r="S1477" s="87"/>
      <c r="T1477" s="87"/>
      <c r="U1477" s="87"/>
      <c r="V1477" s="87"/>
      <c r="W1477" s="87"/>
      <c r="X1477" s="87"/>
      <c r="Y1477" s="87"/>
      <c r="Z1477" s="87"/>
      <c r="AA1477" s="87"/>
      <c r="AB1477" s="87"/>
      <c r="AC1477" s="87"/>
      <c r="AD1477" s="87"/>
      <c r="AE1477" s="87"/>
      <c r="AF1477" s="87"/>
      <c r="AG1477" s="87"/>
      <c r="AH1477" s="87"/>
      <c r="AI1477" s="87"/>
      <c r="AJ1477" s="87"/>
    </row>
    <row r="1478" spans="1:36" x14ac:dyDescent="0.25">
      <c r="A1478" s="273"/>
      <c r="B1478" s="86"/>
      <c r="C1478" s="86"/>
      <c r="D1478" s="86"/>
      <c r="E1478" s="86"/>
      <c r="F1478" s="86"/>
      <c r="G1478" s="86"/>
      <c r="H1478" s="86"/>
      <c r="I1478" s="86"/>
      <c r="J1478" s="86"/>
      <c r="K1478" s="86"/>
      <c r="L1478" s="86"/>
      <c r="M1478" s="86"/>
      <c r="N1478" s="86"/>
      <c r="O1478" s="86"/>
      <c r="P1478" s="86"/>
      <c r="Q1478" s="86"/>
      <c r="R1478" s="86"/>
      <c r="S1478" s="86"/>
      <c r="T1478" s="86"/>
      <c r="U1478" s="86"/>
      <c r="V1478" s="86"/>
      <c r="W1478" s="86"/>
      <c r="X1478" s="86"/>
      <c r="Y1478" s="86"/>
      <c r="Z1478" s="86"/>
      <c r="AA1478" s="86"/>
      <c r="AB1478" s="86"/>
      <c r="AC1478" s="86"/>
      <c r="AD1478" s="86"/>
      <c r="AE1478" s="86"/>
      <c r="AF1478" s="86"/>
      <c r="AG1478" s="86"/>
      <c r="AH1478" s="86"/>
      <c r="AI1478" s="86"/>
      <c r="AJ1478" s="86"/>
    </row>
    <row r="1479" spans="1:36" x14ac:dyDescent="0.25">
      <c r="A1479" s="274"/>
      <c r="B1479" s="87"/>
      <c r="C1479" s="87"/>
      <c r="D1479" s="87"/>
      <c r="E1479" s="87"/>
      <c r="F1479" s="87"/>
      <c r="G1479" s="87"/>
      <c r="H1479" s="87"/>
      <c r="I1479" s="87"/>
      <c r="J1479" s="87"/>
      <c r="K1479" s="87"/>
      <c r="L1479" s="87"/>
      <c r="M1479" s="87"/>
      <c r="N1479" s="87"/>
      <c r="O1479" s="87"/>
      <c r="P1479" s="87"/>
      <c r="Q1479" s="87"/>
      <c r="R1479" s="87"/>
      <c r="S1479" s="87"/>
      <c r="T1479" s="87"/>
      <c r="U1479" s="87"/>
      <c r="V1479" s="87"/>
      <c r="W1479" s="87"/>
      <c r="X1479" s="87"/>
      <c r="Y1479" s="87"/>
      <c r="Z1479" s="87"/>
      <c r="AA1479" s="87"/>
      <c r="AB1479" s="87"/>
      <c r="AC1479" s="87"/>
      <c r="AD1479" s="87"/>
      <c r="AE1479" s="87"/>
      <c r="AF1479" s="87"/>
      <c r="AG1479" s="87"/>
      <c r="AH1479" s="87"/>
      <c r="AI1479" s="87"/>
      <c r="AJ1479" s="87"/>
    </row>
    <row r="1480" spans="1:36" x14ac:dyDescent="0.25">
      <c r="A1480" s="273"/>
      <c r="B1480" s="86"/>
      <c r="C1480" s="86"/>
      <c r="D1480" s="86"/>
      <c r="E1480" s="86"/>
      <c r="F1480" s="86"/>
      <c r="G1480" s="86"/>
      <c r="H1480" s="86"/>
      <c r="I1480" s="86"/>
      <c r="J1480" s="86"/>
      <c r="K1480" s="86"/>
      <c r="L1480" s="86"/>
      <c r="M1480" s="86"/>
      <c r="N1480" s="86"/>
      <c r="O1480" s="86"/>
      <c r="P1480" s="86"/>
      <c r="Q1480" s="86"/>
      <c r="R1480" s="86"/>
      <c r="S1480" s="86"/>
      <c r="T1480" s="86"/>
      <c r="U1480" s="86"/>
      <c r="V1480" s="86"/>
      <c r="W1480" s="86"/>
      <c r="X1480" s="86"/>
      <c r="Y1480" s="86"/>
      <c r="Z1480" s="86"/>
      <c r="AA1480" s="86"/>
      <c r="AB1480" s="86"/>
      <c r="AC1480" s="86"/>
      <c r="AD1480" s="86"/>
      <c r="AE1480" s="86"/>
      <c r="AF1480" s="86"/>
      <c r="AG1480" s="86"/>
      <c r="AH1480" s="86"/>
      <c r="AI1480" s="86"/>
      <c r="AJ1480" s="86"/>
    </row>
    <row r="1481" spans="1:36" x14ac:dyDescent="0.25">
      <c r="A1481" s="274"/>
      <c r="B1481" s="87"/>
      <c r="C1481" s="87"/>
      <c r="D1481" s="87"/>
      <c r="E1481" s="87"/>
      <c r="F1481" s="87"/>
      <c r="G1481" s="87"/>
      <c r="H1481" s="87"/>
      <c r="I1481" s="87"/>
      <c r="J1481" s="87"/>
      <c r="K1481" s="87"/>
      <c r="L1481" s="87"/>
      <c r="M1481" s="87"/>
      <c r="N1481" s="87"/>
      <c r="O1481" s="87"/>
      <c r="P1481" s="87"/>
      <c r="Q1481" s="87"/>
      <c r="R1481" s="87"/>
      <c r="S1481" s="87"/>
      <c r="T1481" s="87"/>
      <c r="U1481" s="87"/>
      <c r="V1481" s="87"/>
      <c r="W1481" s="87"/>
      <c r="X1481" s="87"/>
      <c r="Y1481" s="87"/>
      <c r="Z1481" s="87"/>
      <c r="AA1481" s="87"/>
      <c r="AB1481" s="87"/>
      <c r="AC1481" s="87"/>
      <c r="AD1481" s="87"/>
      <c r="AE1481" s="87"/>
      <c r="AF1481" s="87"/>
      <c r="AG1481" s="87"/>
      <c r="AH1481" s="87"/>
      <c r="AI1481" s="87"/>
      <c r="AJ1481" s="87"/>
    </row>
    <row r="1482" spans="1:36" x14ac:dyDescent="0.25">
      <c r="A1482" s="273"/>
      <c r="B1482" s="86"/>
      <c r="C1482" s="86"/>
      <c r="D1482" s="86"/>
      <c r="E1482" s="86"/>
      <c r="F1482" s="86"/>
      <c r="G1482" s="86"/>
      <c r="H1482" s="86"/>
      <c r="I1482" s="86"/>
      <c r="J1482" s="86"/>
      <c r="K1482" s="86"/>
      <c r="L1482" s="86"/>
      <c r="M1482" s="86"/>
      <c r="N1482" s="86"/>
      <c r="O1482" s="86"/>
      <c r="P1482" s="86"/>
      <c r="Q1482" s="86"/>
      <c r="R1482" s="86"/>
      <c r="S1482" s="86"/>
      <c r="T1482" s="86"/>
      <c r="U1482" s="86"/>
      <c r="V1482" s="86"/>
      <c r="W1482" s="86"/>
      <c r="X1482" s="86"/>
      <c r="Y1482" s="86"/>
      <c r="Z1482" s="86"/>
      <c r="AA1482" s="86"/>
      <c r="AB1482" s="86"/>
      <c r="AC1482" s="86"/>
      <c r="AD1482" s="86"/>
      <c r="AE1482" s="86"/>
      <c r="AF1482" s="86"/>
      <c r="AG1482" s="86"/>
      <c r="AH1482" s="86"/>
      <c r="AI1482" s="86"/>
      <c r="AJ1482" s="86"/>
    </row>
    <row r="1483" spans="1:36" x14ac:dyDescent="0.25">
      <c r="A1483" s="274"/>
      <c r="B1483" s="87"/>
      <c r="C1483" s="87"/>
      <c r="D1483" s="87"/>
      <c r="E1483" s="87"/>
      <c r="F1483" s="87"/>
      <c r="G1483" s="87"/>
      <c r="H1483" s="87"/>
      <c r="I1483" s="87"/>
      <c r="J1483" s="87"/>
      <c r="K1483" s="87"/>
      <c r="L1483" s="87"/>
      <c r="M1483" s="87"/>
      <c r="N1483" s="87"/>
      <c r="O1483" s="87"/>
      <c r="P1483" s="87"/>
      <c r="Q1483" s="87"/>
      <c r="R1483" s="87"/>
      <c r="S1483" s="87"/>
      <c r="T1483" s="87"/>
      <c r="U1483" s="87"/>
      <c r="V1483" s="87"/>
      <c r="W1483" s="87"/>
      <c r="X1483" s="87"/>
      <c r="Y1483" s="87"/>
      <c r="Z1483" s="87"/>
      <c r="AA1483" s="87"/>
      <c r="AB1483" s="87"/>
      <c r="AC1483" s="87"/>
      <c r="AD1483" s="87"/>
      <c r="AE1483" s="87"/>
      <c r="AF1483" s="87"/>
      <c r="AG1483" s="87"/>
      <c r="AH1483" s="87"/>
      <c r="AI1483" s="87"/>
      <c r="AJ1483" s="87"/>
    </row>
    <row r="1484" spans="1:36" x14ac:dyDescent="0.25">
      <c r="A1484" s="273"/>
      <c r="B1484" s="86"/>
      <c r="C1484" s="86"/>
      <c r="D1484" s="86"/>
      <c r="E1484" s="86"/>
      <c r="F1484" s="86"/>
      <c r="G1484" s="86"/>
      <c r="H1484" s="86"/>
      <c r="I1484" s="86"/>
      <c r="J1484" s="86"/>
      <c r="K1484" s="86"/>
      <c r="L1484" s="86"/>
      <c r="M1484" s="86"/>
      <c r="N1484" s="86"/>
      <c r="O1484" s="86"/>
      <c r="P1484" s="86"/>
      <c r="Q1484" s="86"/>
      <c r="R1484" s="86"/>
      <c r="S1484" s="86"/>
      <c r="T1484" s="86"/>
      <c r="U1484" s="86"/>
      <c r="V1484" s="86"/>
      <c r="W1484" s="86"/>
      <c r="X1484" s="86"/>
      <c r="Y1484" s="86"/>
      <c r="Z1484" s="86"/>
      <c r="AA1484" s="86"/>
      <c r="AB1484" s="86"/>
      <c r="AC1484" s="86"/>
      <c r="AD1484" s="86"/>
      <c r="AE1484" s="86"/>
      <c r="AF1484" s="86"/>
      <c r="AG1484" s="86"/>
      <c r="AH1484" s="86"/>
      <c r="AI1484" s="86"/>
      <c r="AJ1484" s="86"/>
    </row>
    <row r="1485" spans="1:36" x14ac:dyDescent="0.25">
      <c r="A1485" s="274"/>
      <c r="B1485" s="87"/>
      <c r="C1485" s="87"/>
      <c r="D1485" s="87"/>
      <c r="E1485" s="87"/>
      <c r="F1485" s="87"/>
      <c r="G1485" s="87"/>
      <c r="H1485" s="87"/>
      <c r="I1485" s="87"/>
      <c r="J1485" s="87"/>
      <c r="K1485" s="87"/>
      <c r="L1485" s="87"/>
      <c r="M1485" s="87"/>
      <c r="N1485" s="87"/>
      <c r="O1485" s="87"/>
      <c r="P1485" s="87"/>
      <c r="Q1485" s="87"/>
      <c r="R1485" s="87"/>
      <c r="S1485" s="87"/>
      <c r="T1485" s="87"/>
      <c r="U1485" s="87"/>
      <c r="V1485" s="87"/>
      <c r="W1485" s="87"/>
      <c r="X1485" s="87"/>
      <c r="Y1485" s="87"/>
      <c r="Z1485" s="87"/>
      <c r="AA1485" s="87"/>
      <c r="AB1485" s="87"/>
      <c r="AC1485" s="87"/>
      <c r="AD1485" s="87"/>
      <c r="AE1485" s="87"/>
      <c r="AF1485" s="87"/>
      <c r="AG1485" s="87"/>
      <c r="AH1485" s="87"/>
      <c r="AI1485" s="87"/>
      <c r="AJ1485" s="87"/>
    </row>
    <row r="1486" spans="1:36" x14ac:dyDescent="0.25">
      <c r="A1486" s="273"/>
      <c r="B1486" s="86"/>
      <c r="C1486" s="86"/>
      <c r="D1486" s="86"/>
      <c r="E1486" s="86"/>
      <c r="F1486" s="86"/>
      <c r="G1486" s="86"/>
      <c r="H1486" s="86"/>
      <c r="I1486" s="86"/>
      <c r="J1486" s="86"/>
      <c r="K1486" s="86"/>
      <c r="L1486" s="86"/>
      <c r="M1486" s="86"/>
      <c r="N1486" s="86"/>
      <c r="O1486" s="86"/>
      <c r="P1486" s="86"/>
      <c r="Q1486" s="86"/>
      <c r="R1486" s="86"/>
      <c r="S1486" s="86"/>
      <c r="T1486" s="86"/>
      <c r="U1486" s="86"/>
      <c r="V1486" s="86"/>
      <c r="W1486" s="86"/>
      <c r="X1486" s="86"/>
      <c r="Y1486" s="86"/>
      <c r="Z1486" s="86"/>
      <c r="AA1486" s="86"/>
      <c r="AB1486" s="86"/>
      <c r="AC1486" s="86"/>
      <c r="AD1486" s="86"/>
      <c r="AE1486" s="86"/>
      <c r="AF1486" s="86"/>
      <c r="AG1486" s="86"/>
      <c r="AH1486" s="86"/>
      <c r="AI1486" s="86"/>
      <c r="AJ1486" s="86"/>
    </row>
    <row r="1487" spans="1:36" x14ac:dyDescent="0.25">
      <c r="A1487" s="274"/>
      <c r="B1487" s="87"/>
      <c r="C1487" s="87"/>
      <c r="D1487" s="87"/>
      <c r="E1487" s="87"/>
      <c r="F1487" s="87"/>
      <c r="G1487" s="87"/>
      <c r="H1487" s="87"/>
      <c r="I1487" s="87"/>
      <c r="J1487" s="87"/>
      <c r="K1487" s="87"/>
      <c r="L1487" s="87"/>
      <c r="M1487" s="87"/>
      <c r="N1487" s="87"/>
      <c r="O1487" s="87"/>
      <c r="P1487" s="87"/>
      <c r="Q1487" s="87"/>
      <c r="R1487" s="87"/>
      <c r="S1487" s="87"/>
      <c r="T1487" s="87"/>
      <c r="U1487" s="87"/>
      <c r="V1487" s="87"/>
      <c r="W1487" s="87"/>
      <c r="X1487" s="87"/>
      <c r="Y1487" s="87"/>
      <c r="Z1487" s="87"/>
      <c r="AA1487" s="87"/>
      <c r="AB1487" s="87"/>
      <c r="AC1487" s="87"/>
      <c r="AD1487" s="87"/>
      <c r="AE1487" s="87"/>
      <c r="AF1487" s="87"/>
      <c r="AG1487" s="87"/>
      <c r="AH1487" s="87"/>
      <c r="AI1487" s="87"/>
      <c r="AJ1487" s="87"/>
    </row>
    <row r="1488" spans="1:36" x14ac:dyDescent="0.25">
      <c r="A1488" s="273"/>
      <c r="B1488" s="86"/>
      <c r="C1488" s="86"/>
      <c r="D1488" s="86"/>
      <c r="E1488" s="86"/>
      <c r="F1488" s="86"/>
      <c r="G1488" s="86"/>
      <c r="H1488" s="86"/>
      <c r="I1488" s="86"/>
      <c r="J1488" s="86"/>
      <c r="K1488" s="86"/>
      <c r="L1488" s="86"/>
      <c r="M1488" s="86"/>
      <c r="N1488" s="86"/>
      <c r="O1488" s="86"/>
      <c r="P1488" s="86"/>
      <c r="Q1488" s="86"/>
      <c r="R1488" s="86"/>
      <c r="S1488" s="86"/>
      <c r="T1488" s="86"/>
      <c r="U1488" s="86"/>
      <c r="V1488" s="86"/>
      <c r="W1488" s="86"/>
      <c r="X1488" s="86"/>
      <c r="Y1488" s="86"/>
      <c r="Z1488" s="86"/>
      <c r="AA1488" s="86"/>
      <c r="AB1488" s="86"/>
      <c r="AC1488" s="86"/>
      <c r="AD1488" s="86"/>
      <c r="AE1488" s="86"/>
      <c r="AF1488" s="86"/>
      <c r="AG1488" s="86"/>
      <c r="AH1488" s="86"/>
      <c r="AI1488" s="86"/>
      <c r="AJ1488" s="86"/>
    </row>
    <row r="1489" spans="1:36" x14ac:dyDescent="0.25">
      <c r="A1489" s="274"/>
      <c r="B1489" s="87"/>
      <c r="C1489" s="87"/>
      <c r="D1489" s="87"/>
      <c r="E1489" s="87"/>
      <c r="F1489" s="87"/>
      <c r="G1489" s="87"/>
      <c r="H1489" s="87"/>
      <c r="I1489" s="87"/>
      <c r="J1489" s="87"/>
      <c r="K1489" s="87"/>
      <c r="L1489" s="87"/>
      <c r="M1489" s="87"/>
      <c r="N1489" s="87"/>
      <c r="O1489" s="87"/>
      <c r="P1489" s="87"/>
      <c r="Q1489" s="87"/>
      <c r="R1489" s="87"/>
      <c r="S1489" s="87"/>
      <c r="T1489" s="87"/>
      <c r="U1489" s="87"/>
      <c r="V1489" s="87"/>
      <c r="W1489" s="87"/>
      <c r="X1489" s="87"/>
      <c r="Y1489" s="87"/>
      <c r="Z1489" s="87"/>
      <c r="AA1489" s="87"/>
      <c r="AB1489" s="87"/>
      <c r="AC1489" s="87"/>
      <c r="AD1489" s="87"/>
      <c r="AE1489" s="87"/>
      <c r="AF1489" s="87"/>
      <c r="AG1489" s="87"/>
      <c r="AH1489" s="87"/>
      <c r="AI1489" s="87"/>
      <c r="AJ1489" s="87"/>
    </row>
    <row r="1490" spans="1:36" x14ac:dyDescent="0.25">
      <c r="A1490" s="273"/>
      <c r="B1490" s="86"/>
      <c r="C1490" s="86"/>
      <c r="D1490" s="86"/>
      <c r="E1490" s="86"/>
      <c r="F1490" s="86"/>
      <c r="G1490" s="86"/>
      <c r="H1490" s="86"/>
      <c r="I1490" s="86"/>
      <c r="J1490" s="86"/>
      <c r="K1490" s="86"/>
      <c r="L1490" s="86"/>
      <c r="M1490" s="86"/>
      <c r="N1490" s="86"/>
      <c r="O1490" s="86"/>
      <c r="P1490" s="86"/>
      <c r="Q1490" s="86"/>
      <c r="R1490" s="86"/>
      <c r="S1490" s="86"/>
      <c r="T1490" s="86"/>
      <c r="U1490" s="86"/>
      <c r="V1490" s="86"/>
      <c r="W1490" s="86"/>
      <c r="X1490" s="86"/>
      <c r="Y1490" s="86"/>
      <c r="Z1490" s="86"/>
      <c r="AA1490" s="86"/>
      <c r="AB1490" s="86"/>
      <c r="AC1490" s="86"/>
      <c r="AD1490" s="86"/>
      <c r="AE1490" s="86"/>
      <c r="AF1490" s="86"/>
      <c r="AG1490" s="86"/>
      <c r="AH1490" s="86"/>
      <c r="AI1490" s="86"/>
      <c r="AJ1490" s="86"/>
    </row>
    <row r="1491" spans="1:36" x14ac:dyDescent="0.25">
      <c r="A1491" s="274"/>
      <c r="B1491" s="87"/>
      <c r="C1491" s="87"/>
      <c r="D1491" s="87"/>
      <c r="E1491" s="87"/>
      <c r="F1491" s="87"/>
      <c r="G1491" s="87"/>
      <c r="H1491" s="87"/>
      <c r="I1491" s="87"/>
      <c r="J1491" s="87"/>
      <c r="K1491" s="87"/>
      <c r="L1491" s="87"/>
      <c r="M1491" s="87"/>
      <c r="N1491" s="87"/>
      <c r="O1491" s="87"/>
      <c r="P1491" s="87"/>
      <c r="Q1491" s="87"/>
      <c r="R1491" s="87"/>
      <c r="S1491" s="87"/>
      <c r="T1491" s="87"/>
      <c r="U1491" s="87"/>
      <c r="V1491" s="87"/>
      <c r="W1491" s="87"/>
      <c r="X1491" s="87"/>
      <c r="Y1491" s="87"/>
      <c r="Z1491" s="87"/>
      <c r="AA1491" s="87"/>
      <c r="AB1491" s="87"/>
      <c r="AC1491" s="87"/>
      <c r="AD1491" s="87"/>
      <c r="AE1491" s="87"/>
      <c r="AF1491" s="87"/>
      <c r="AG1491" s="87"/>
      <c r="AH1491" s="87"/>
      <c r="AI1491" s="87"/>
      <c r="AJ1491" s="87"/>
    </row>
    <row r="1492" spans="1:36" x14ac:dyDescent="0.25">
      <c r="A1492" s="273"/>
      <c r="B1492" s="86"/>
      <c r="C1492" s="86"/>
      <c r="D1492" s="86"/>
      <c r="E1492" s="86"/>
      <c r="F1492" s="86"/>
      <c r="G1492" s="86"/>
      <c r="H1492" s="86"/>
      <c r="I1492" s="86"/>
      <c r="J1492" s="86"/>
      <c r="K1492" s="86"/>
      <c r="L1492" s="86"/>
      <c r="M1492" s="86"/>
      <c r="N1492" s="86"/>
      <c r="O1492" s="86"/>
      <c r="P1492" s="86"/>
      <c r="Q1492" s="86"/>
      <c r="R1492" s="86"/>
      <c r="S1492" s="86"/>
      <c r="T1492" s="86"/>
      <c r="U1492" s="86"/>
      <c r="V1492" s="86"/>
      <c r="W1492" s="86"/>
      <c r="X1492" s="86"/>
      <c r="Y1492" s="86"/>
      <c r="Z1492" s="86"/>
      <c r="AA1492" s="86"/>
      <c r="AB1492" s="86"/>
      <c r="AC1492" s="86"/>
      <c r="AD1492" s="86"/>
      <c r="AE1492" s="86"/>
      <c r="AF1492" s="86"/>
      <c r="AG1492" s="86"/>
      <c r="AH1492" s="86"/>
      <c r="AI1492" s="86"/>
      <c r="AJ1492" s="86"/>
    </row>
    <row r="1493" spans="1:36" x14ac:dyDescent="0.25">
      <c r="A1493" s="274"/>
      <c r="B1493" s="87"/>
      <c r="C1493" s="87"/>
      <c r="D1493" s="87"/>
      <c r="E1493" s="87"/>
      <c r="F1493" s="87"/>
      <c r="G1493" s="87"/>
      <c r="H1493" s="87"/>
      <c r="I1493" s="87"/>
      <c r="J1493" s="87"/>
      <c r="K1493" s="87"/>
      <c r="L1493" s="87"/>
      <c r="M1493" s="87"/>
      <c r="N1493" s="87"/>
      <c r="O1493" s="87"/>
      <c r="P1493" s="87"/>
      <c r="Q1493" s="87"/>
      <c r="R1493" s="87"/>
      <c r="S1493" s="87"/>
      <c r="T1493" s="87"/>
      <c r="U1493" s="87"/>
      <c r="V1493" s="87"/>
      <c r="W1493" s="87"/>
      <c r="X1493" s="87"/>
      <c r="Y1493" s="87"/>
      <c r="Z1493" s="87"/>
      <c r="AA1493" s="87"/>
      <c r="AB1493" s="87"/>
      <c r="AC1493" s="87"/>
      <c r="AD1493" s="87"/>
      <c r="AE1493" s="87"/>
      <c r="AF1493" s="87"/>
      <c r="AG1493" s="87"/>
      <c r="AH1493" s="87"/>
      <c r="AI1493" s="87"/>
      <c r="AJ1493" s="87"/>
    </row>
    <row r="1494" spans="1:36" x14ac:dyDescent="0.25">
      <c r="A1494" s="273"/>
      <c r="B1494" s="86"/>
      <c r="C1494" s="86"/>
      <c r="D1494" s="86"/>
      <c r="E1494" s="86"/>
      <c r="F1494" s="86"/>
      <c r="G1494" s="86"/>
      <c r="H1494" s="86"/>
      <c r="I1494" s="86"/>
      <c r="J1494" s="86"/>
      <c r="K1494" s="86"/>
      <c r="L1494" s="86"/>
      <c r="M1494" s="86"/>
      <c r="N1494" s="86"/>
      <c r="O1494" s="86"/>
      <c r="P1494" s="86"/>
      <c r="Q1494" s="86"/>
      <c r="R1494" s="86"/>
      <c r="S1494" s="86"/>
      <c r="T1494" s="86"/>
      <c r="U1494" s="86"/>
      <c r="V1494" s="86"/>
      <c r="W1494" s="86"/>
      <c r="X1494" s="86"/>
      <c r="Y1494" s="86"/>
      <c r="Z1494" s="86"/>
      <c r="AA1494" s="86"/>
      <c r="AB1494" s="86"/>
      <c r="AC1494" s="86"/>
      <c r="AD1494" s="86"/>
      <c r="AE1494" s="86"/>
      <c r="AF1494" s="86"/>
      <c r="AG1494" s="86"/>
      <c r="AH1494" s="86"/>
      <c r="AI1494" s="86"/>
      <c r="AJ1494" s="86"/>
    </row>
    <row r="1495" spans="1:36" x14ac:dyDescent="0.25">
      <c r="A1495" s="274"/>
      <c r="B1495" s="87"/>
      <c r="C1495" s="87"/>
      <c r="D1495" s="87"/>
      <c r="E1495" s="87"/>
      <c r="F1495" s="87"/>
      <c r="G1495" s="87"/>
      <c r="H1495" s="87"/>
      <c r="I1495" s="87"/>
      <c r="J1495" s="87"/>
      <c r="K1495" s="87"/>
      <c r="L1495" s="87"/>
      <c r="M1495" s="87"/>
      <c r="N1495" s="87"/>
      <c r="O1495" s="87"/>
      <c r="P1495" s="87"/>
      <c r="Q1495" s="87"/>
      <c r="R1495" s="87"/>
      <c r="S1495" s="87"/>
      <c r="T1495" s="87"/>
      <c r="U1495" s="87"/>
      <c r="V1495" s="87"/>
      <c r="W1495" s="87"/>
      <c r="X1495" s="87"/>
      <c r="Y1495" s="87"/>
      <c r="Z1495" s="87"/>
      <c r="AA1495" s="87"/>
      <c r="AB1495" s="87"/>
      <c r="AC1495" s="87"/>
      <c r="AD1495" s="87"/>
      <c r="AE1495" s="87"/>
      <c r="AF1495" s="87"/>
      <c r="AG1495" s="87"/>
      <c r="AH1495" s="87"/>
      <c r="AI1495" s="87"/>
      <c r="AJ1495" s="87"/>
    </row>
    <row r="1496" spans="1:36" x14ac:dyDescent="0.25">
      <c r="A1496" s="273"/>
      <c r="B1496" s="86"/>
      <c r="C1496" s="86"/>
      <c r="D1496" s="86"/>
      <c r="E1496" s="86"/>
      <c r="F1496" s="86"/>
      <c r="G1496" s="86"/>
      <c r="H1496" s="86"/>
      <c r="I1496" s="86"/>
      <c r="J1496" s="86"/>
      <c r="K1496" s="86"/>
      <c r="L1496" s="86"/>
      <c r="M1496" s="86"/>
      <c r="N1496" s="86"/>
      <c r="O1496" s="86"/>
      <c r="P1496" s="86"/>
      <c r="Q1496" s="86"/>
      <c r="R1496" s="86"/>
      <c r="S1496" s="86"/>
      <c r="T1496" s="86"/>
      <c r="U1496" s="86"/>
      <c r="V1496" s="86"/>
      <c r="W1496" s="86"/>
      <c r="X1496" s="86"/>
      <c r="Y1496" s="86"/>
      <c r="Z1496" s="86"/>
      <c r="AA1496" s="86"/>
      <c r="AB1496" s="86"/>
      <c r="AC1496" s="86"/>
      <c r="AD1496" s="86"/>
      <c r="AE1496" s="86"/>
      <c r="AF1496" s="86"/>
      <c r="AG1496" s="86"/>
      <c r="AH1496" s="86"/>
      <c r="AI1496" s="86"/>
      <c r="AJ1496" s="86"/>
    </row>
    <row r="1497" spans="1:36" x14ac:dyDescent="0.25">
      <c r="A1497" s="274"/>
      <c r="B1497" s="87"/>
      <c r="C1497" s="87"/>
      <c r="D1497" s="87"/>
      <c r="E1497" s="87"/>
      <c r="F1497" s="87"/>
      <c r="G1497" s="87"/>
      <c r="H1497" s="87"/>
      <c r="I1497" s="87"/>
      <c r="J1497" s="87"/>
      <c r="K1497" s="87"/>
      <c r="L1497" s="87"/>
      <c r="M1497" s="87"/>
      <c r="N1497" s="87"/>
      <c r="O1497" s="87"/>
      <c r="P1497" s="87"/>
      <c r="Q1497" s="87"/>
      <c r="R1497" s="87"/>
      <c r="S1497" s="87"/>
      <c r="T1497" s="87"/>
      <c r="U1497" s="87"/>
      <c r="V1497" s="87"/>
      <c r="W1497" s="87"/>
      <c r="X1497" s="87"/>
      <c r="Y1497" s="87"/>
      <c r="Z1497" s="87"/>
      <c r="AA1497" s="87"/>
      <c r="AB1497" s="87"/>
      <c r="AC1497" s="87"/>
      <c r="AD1497" s="87"/>
      <c r="AE1497" s="87"/>
      <c r="AF1497" s="87"/>
      <c r="AG1497" s="87"/>
      <c r="AH1497" s="87"/>
      <c r="AI1497" s="87"/>
      <c r="AJ1497" s="87"/>
    </row>
    <row r="1498" spans="1:36" x14ac:dyDescent="0.25">
      <c r="A1498" s="273"/>
      <c r="B1498" s="86"/>
      <c r="C1498" s="86"/>
      <c r="D1498" s="86"/>
      <c r="E1498" s="86"/>
      <c r="F1498" s="86"/>
      <c r="G1498" s="86"/>
      <c r="H1498" s="86"/>
      <c r="I1498" s="86"/>
      <c r="J1498" s="86"/>
      <c r="K1498" s="86"/>
      <c r="L1498" s="86"/>
      <c r="M1498" s="86"/>
      <c r="N1498" s="86"/>
      <c r="O1498" s="86"/>
      <c r="P1498" s="86"/>
      <c r="Q1498" s="86"/>
      <c r="R1498" s="86"/>
      <c r="S1498" s="86"/>
      <c r="T1498" s="86"/>
      <c r="U1498" s="86"/>
      <c r="V1498" s="86"/>
      <c r="W1498" s="86"/>
      <c r="X1498" s="86"/>
      <c r="Y1498" s="86"/>
      <c r="Z1498" s="86"/>
      <c r="AA1498" s="86"/>
      <c r="AB1498" s="86"/>
      <c r="AC1498" s="86"/>
      <c r="AD1498" s="86"/>
      <c r="AE1498" s="86"/>
      <c r="AF1498" s="86"/>
      <c r="AG1498" s="86"/>
      <c r="AH1498" s="86"/>
      <c r="AI1498" s="86"/>
      <c r="AJ1498" s="86"/>
    </row>
  </sheetData>
  <sheetProtection algorithmName="SHA-512" hashValue="E6th5WghMlVRLyDtRsA9B6zt5iesOUYjB5DtlmT2CVyNlfUIF1rxA4UbbZZoy+v51qgw4fek4wmMUflmBfhkIg==" saltValue="LWYo8bb5N8wCJQ19JmJQgA==" spinCount="100000" sheet="1" objects="1" scenarios="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C9612-15B6-42DC-96B2-1F4434C33CE9}">
  <sheetPr codeName="Blad25">
    <tabColor theme="4" tint="-0.249977111117893"/>
  </sheetPr>
  <dimension ref="A1:E182"/>
  <sheetViews>
    <sheetView workbookViewId="0">
      <selection activeCell="A13" sqref="A13"/>
    </sheetView>
  </sheetViews>
  <sheetFormatPr defaultRowHeight="15" x14ac:dyDescent="0.25"/>
  <cols>
    <col min="1" max="1" width="11.28515625" customWidth="1"/>
    <col min="2" max="2" width="50.85546875" bestFit="1" customWidth="1"/>
    <col min="3" max="3" width="10.5703125" bestFit="1" customWidth="1"/>
    <col min="5" max="5" width="50.85546875" bestFit="1" customWidth="1"/>
    <col min="7" max="7" width="34.28515625" customWidth="1"/>
    <col min="8" max="8" width="42.42578125" bestFit="1" customWidth="1"/>
    <col min="9" max="9" width="29.42578125" bestFit="1" customWidth="1"/>
    <col min="10" max="10" width="10.5703125" bestFit="1" customWidth="1"/>
    <col min="11" max="11" width="29.42578125" bestFit="1" customWidth="1"/>
    <col min="12" max="12" width="10.5703125" bestFit="1" customWidth="1"/>
    <col min="16" max="16" width="50.85546875" bestFit="1" customWidth="1"/>
  </cols>
  <sheetData>
    <row r="1" spans="1:5" x14ac:dyDescent="0.25">
      <c r="A1" s="253" t="s">
        <v>305</v>
      </c>
      <c r="B1" s="253" t="s">
        <v>306</v>
      </c>
      <c r="C1" s="254" t="s">
        <v>307</v>
      </c>
      <c r="E1" s="85" t="s">
        <v>308</v>
      </c>
    </row>
    <row r="2" spans="1:5" x14ac:dyDescent="0.25">
      <c r="A2" s="250">
        <v>1</v>
      </c>
      <c r="B2" s="250" t="str">
        <f>Tb_Activiteiten[[#Headers],[Arbeidskosten]]</f>
        <v>Arbeidskosten</v>
      </c>
      <c r="C2" s="249">
        <f>COUNTIFS(INDEX(Tb_Activiteiten[#All],0,MATCH($B2,Tb_Activiteiten[#Headers],0)),"&gt;0",Tb_Activiteiten[[#All],[Openstelling]],Openstelling_Keuze)</f>
        <v>0</v>
      </c>
      <c r="E2" s="255" t="str" cm="1">
        <f t="array" ref="E2">IFERROR(_xlfn._xlws.FILTER(_xlfn.SORTBY(Kosten_Posten!$B$2:$B$12,Kosten_Posten!$A$2:$A$12,1),_xlfn.SORTBY(Kosten_Posten!$C$2:$C$12,Kosten_Posten!$A$2:$A$12,1)&gt;0),"")</f>
        <v/>
      </c>
    </row>
    <row r="3" spans="1:5" x14ac:dyDescent="0.25">
      <c r="A3" s="252">
        <v>2</v>
      </c>
      <c r="B3" s="252" t="str">
        <f>Tb_Activiteiten[[#Headers],[Arbeidskosten op basis van IKS]]</f>
        <v>Arbeidskosten op basis van IKS</v>
      </c>
      <c r="C3" s="251">
        <f>COUNTIFS(INDEX(Tb_Activiteiten[#All],0,MATCH($B3,Tb_Activiteiten[#Headers],0)),"&gt;0",Tb_Activiteiten[[#All],[Openstelling]],Openstelling_Keuze)</f>
        <v>0</v>
      </c>
      <c r="E3" s="255"/>
    </row>
    <row r="4" spans="1:5" x14ac:dyDescent="0.25">
      <c r="A4" s="250">
        <v>4</v>
      </c>
      <c r="B4" s="250" t="str">
        <f>Tb_Activiteiten[[#Headers],[Kosten derden exclusief btw]]</f>
        <v>Kosten derden exclusief btw</v>
      </c>
      <c r="C4" s="249">
        <f>COUNTIFS(INDEX(Tb_Activiteiten[#All],0,MATCH($B4,Tb_Activiteiten[#Headers],0)),"&gt;0",Tb_Activiteiten[[#All],[Openstelling]],Openstelling_Keuze)</f>
        <v>0</v>
      </c>
      <c r="E4" s="255"/>
    </row>
    <row r="5" spans="1:5" x14ac:dyDescent="0.25">
      <c r="A5" s="252">
        <v>11</v>
      </c>
      <c r="B5" s="252" t="str">
        <f>Tb_Activiteiten[[#Headers],[Niet verrekenbare btw]]</f>
        <v>Niet verrekenbare btw</v>
      </c>
      <c r="C5" s="251">
        <f>COUNTIFS(INDEX(Tb_Activiteiten[#All],0,MATCH($B5,Tb_Activiteiten[#Headers],0)),"&gt;0",Tb_Activiteiten[[#All],[Openstelling]],Openstelling_Keuze)</f>
        <v>0</v>
      </c>
      <c r="E5" s="255"/>
    </row>
    <row r="6" spans="1:5" x14ac:dyDescent="0.25">
      <c r="A6" s="250">
        <v>5</v>
      </c>
      <c r="B6" s="250" t="str">
        <f>Tb_Activiteiten[[#Headers],[Grondkosten]]</f>
        <v>Grondkosten</v>
      </c>
      <c r="C6" s="249">
        <f>COUNTIFS(INDEX(Tb_Activiteiten[#All],0,MATCH($B6,Tb_Activiteiten[#Headers],0)),"&gt;0",Tb_Activiteiten[[#All],[Openstelling]],Openstelling_Keuze)</f>
        <v>0</v>
      </c>
      <c r="E6" s="255"/>
    </row>
    <row r="7" spans="1:5" x14ac:dyDescent="0.25">
      <c r="A7" s="252">
        <v>6</v>
      </c>
      <c r="B7" s="252" t="str">
        <f>Tb_Activiteiten[[#Headers],[Bijdrage in natura (overige)]]</f>
        <v>Bijdrage in natura (overige)</v>
      </c>
      <c r="C7" s="251">
        <f>COUNTIFS(INDEX(Tb_Activiteiten[#All],0,MATCH($B7,Tb_Activiteiten[#Headers],0)),"&gt;0",Tb_Activiteiten[[#All],[Openstelling]],Openstelling_Keuze)</f>
        <v>0</v>
      </c>
      <c r="E7" s="255"/>
    </row>
    <row r="8" spans="1:5" x14ac:dyDescent="0.25">
      <c r="A8" s="250">
        <v>7</v>
      </c>
      <c r="B8" s="250" t="str">
        <f>Tb_Activiteiten[[#Headers],[Bijdrage in natura (vrijwilligers)]]</f>
        <v>Bijdrage in natura (vrijwilligers)</v>
      </c>
      <c r="C8" s="249">
        <f>COUNTIFS(INDEX(Tb_Activiteiten[#All],0,MATCH($B8,Tb_Activiteiten[#Headers],0)),"&gt;0",Tb_Activiteiten[[#All],[Openstelling]],Openstelling_Keuze)</f>
        <v>0</v>
      </c>
      <c r="E8" s="255"/>
    </row>
    <row r="9" spans="1:5" x14ac:dyDescent="0.25">
      <c r="A9" s="252">
        <v>8</v>
      </c>
      <c r="B9" s="252" t="str">
        <f>Tb_Activiteiten[[#Headers],[Afschrijvingskosten]]</f>
        <v>Afschrijvingskosten</v>
      </c>
      <c r="C9" s="251">
        <f>COUNTIFS(INDEX(Tb_Activiteiten[#All],0,MATCH($B9,Tb_Activiteiten[#Headers],0)),"&gt;0",Tb_Activiteiten[[#All],[Openstelling]],Openstelling_Keuze)</f>
        <v>0</v>
      </c>
      <c r="E9" s="255"/>
    </row>
    <row r="10" spans="1:5" x14ac:dyDescent="0.25">
      <c r="A10" s="250">
        <v>9</v>
      </c>
      <c r="B10" s="250" t="str">
        <f>Tb_Activiteiten[[#Headers],[Vergoeding]]</f>
        <v>Vergoeding</v>
      </c>
      <c r="C10" s="249">
        <f>COUNTIFS(INDEX(Tb_Activiteiten[#All],0,MATCH($B10,Tb_Activiteiten[#Headers],0)),"&gt;0",Tb_Activiteiten[[#All],[Openstelling]],Openstelling_Keuze)</f>
        <v>0</v>
      </c>
      <c r="E10" s="255"/>
    </row>
    <row r="11" spans="1:5" x14ac:dyDescent="0.25">
      <c r="A11" s="252">
        <v>3</v>
      </c>
      <c r="B11" s="252" t="str">
        <f>Tb_Activiteiten[[#Headers],[Arbeidskosten - vast tarief (excl eigen arbeid)]]</f>
        <v>Arbeidskosten - vast tarief (excl eigen arbeid)</v>
      </c>
      <c r="C11" s="251">
        <f>COUNTIFS(INDEX(Tb_Activiteiten[#All],0,MATCH($B11,Tb_Activiteiten[#Headers],0)),"&gt;0",Tb_Activiteiten[[#All],[Openstelling]],Openstelling_Keuze)</f>
        <v>0</v>
      </c>
      <c r="E11" s="255"/>
    </row>
    <row r="12" spans="1:5" x14ac:dyDescent="0.25">
      <c r="A12" s="250">
        <v>10</v>
      </c>
      <c r="B12" s="250" t="str">
        <f>Tb_Activiteiten[[#Headers],[Overige kosten]]</f>
        <v>Overige kosten</v>
      </c>
      <c r="C12" s="249">
        <f>COUNTIFS(INDEX(Tb_Activiteiten[#All],0,MATCH($B12,Tb_Activiteiten[#Headers],0)),"&gt;0",Tb_Activiteiten[[#All],[Openstelling]],Openstelling_Keuze)</f>
        <v>0</v>
      </c>
      <c r="E12" s="255"/>
    </row>
    <row r="13" spans="1:5" x14ac:dyDescent="0.25">
      <c r="E13" s="255"/>
    </row>
    <row r="14" spans="1:5" x14ac:dyDescent="0.25">
      <c r="E14" s="255"/>
    </row>
    <row r="15" spans="1:5" x14ac:dyDescent="0.25">
      <c r="E15" s="255"/>
    </row>
    <row r="16" spans="1:5" x14ac:dyDescent="0.25">
      <c r="E16" s="255"/>
    </row>
    <row r="17" spans="5:5" x14ac:dyDescent="0.25">
      <c r="E17" s="255"/>
    </row>
    <row r="18" spans="5:5" x14ac:dyDescent="0.25">
      <c r="E18" s="255"/>
    </row>
    <row r="19" spans="5:5" x14ac:dyDescent="0.25">
      <c r="E19" s="255"/>
    </row>
    <row r="20" spans="5:5" x14ac:dyDescent="0.25">
      <c r="E20" s="255"/>
    </row>
    <row r="21" spans="5:5" x14ac:dyDescent="0.25">
      <c r="E21" s="255"/>
    </row>
    <row r="22" spans="5:5" x14ac:dyDescent="0.25">
      <c r="E22" s="255"/>
    </row>
    <row r="23" spans="5:5" x14ac:dyDescent="0.25">
      <c r="E23" s="255"/>
    </row>
    <row r="24" spans="5:5" x14ac:dyDescent="0.25">
      <c r="E24" s="255"/>
    </row>
    <row r="25" spans="5:5" x14ac:dyDescent="0.25">
      <c r="E25" s="255"/>
    </row>
    <row r="26" spans="5:5" x14ac:dyDescent="0.25">
      <c r="E26" s="255"/>
    </row>
    <row r="27" spans="5:5" x14ac:dyDescent="0.25">
      <c r="E27" s="255"/>
    </row>
    <row r="28" spans="5:5" x14ac:dyDescent="0.25">
      <c r="E28" s="255"/>
    </row>
    <row r="29" spans="5:5" x14ac:dyDescent="0.25">
      <c r="E29" s="255"/>
    </row>
    <row r="30" spans="5:5" x14ac:dyDescent="0.25">
      <c r="E30" s="255"/>
    </row>
    <row r="31" spans="5:5" x14ac:dyDescent="0.25">
      <c r="E31" s="255"/>
    </row>
    <row r="32" spans="5:5" x14ac:dyDescent="0.25">
      <c r="E32" s="255"/>
    </row>
    <row r="33" spans="5:5" x14ac:dyDescent="0.25">
      <c r="E33" s="255"/>
    </row>
    <row r="34" spans="5:5" x14ac:dyDescent="0.25">
      <c r="E34" s="255"/>
    </row>
    <row r="35" spans="5:5" x14ac:dyDescent="0.25">
      <c r="E35" s="255"/>
    </row>
    <row r="36" spans="5:5" x14ac:dyDescent="0.25">
      <c r="E36" s="255"/>
    </row>
    <row r="37" spans="5:5" x14ac:dyDescent="0.25">
      <c r="E37" s="255"/>
    </row>
    <row r="38" spans="5:5" x14ac:dyDescent="0.25">
      <c r="E38" s="255"/>
    </row>
    <row r="39" spans="5:5" x14ac:dyDescent="0.25">
      <c r="E39" s="255"/>
    </row>
    <row r="40" spans="5:5" x14ac:dyDescent="0.25">
      <c r="E40" s="255"/>
    </row>
    <row r="41" spans="5:5" x14ac:dyDescent="0.25">
      <c r="E41" s="255"/>
    </row>
    <row r="42" spans="5:5" x14ac:dyDescent="0.25">
      <c r="E42" s="255"/>
    </row>
    <row r="43" spans="5:5" x14ac:dyDescent="0.25">
      <c r="E43" s="255"/>
    </row>
    <row r="44" spans="5:5" x14ac:dyDescent="0.25">
      <c r="E44" s="255"/>
    </row>
    <row r="45" spans="5:5" x14ac:dyDescent="0.25">
      <c r="E45" s="255"/>
    </row>
    <row r="46" spans="5:5" x14ac:dyDescent="0.25">
      <c r="E46" s="255"/>
    </row>
    <row r="47" spans="5:5" x14ac:dyDescent="0.25">
      <c r="E47" s="255"/>
    </row>
    <row r="48" spans="5:5" x14ac:dyDescent="0.25">
      <c r="E48" s="255"/>
    </row>
    <row r="49" spans="5:5" x14ac:dyDescent="0.25">
      <c r="E49" s="255"/>
    </row>
    <row r="50" spans="5:5" x14ac:dyDescent="0.25">
      <c r="E50" s="255"/>
    </row>
    <row r="51" spans="5:5" x14ac:dyDescent="0.25">
      <c r="E51" s="255"/>
    </row>
    <row r="52" spans="5:5" x14ac:dyDescent="0.25">
      <c r="E52" s="255"/>
    </row>
    <row r="53" spans="5:5" x14ac:dyDescent="0.25">
      <c r="E53" s="255"/>
    </row>
    <row r="54" spans="5:5" x14ac:dyDescent="0.25">
      <c r="E54" s="255"/>
    </row>
    <row r="55" spans="5:5" x14ac:dyDescent="0.25">
      <c r="E55" s="255"/>
    </row>
    <row r="56" spans="5:5" x14ac:dyDescent="0.25">
      <c r="E56" s="255"/>
    </row>
    <row r="57" spans="5:5" x14ac:dyDescent="0.25">
      <c r="E57" s="255"/>
    </row>
    <row r="58" spans="5:5" x14ac:dyDescent="0.25">
      <c r="E58" s="255"/>
    </row>
    <row r="59" spans="5:5" x14ac:dyDescent="0.25">
      <c r="E59" s="255"/>
    </row>
    <row r="60" spans="5:5" x14ac:dyDescent="0.25">
      <c r="E60" s="255"/>
    </row>
    <row r="61" spans="5:5" x14ac:dyDescent="0.25">
      <c r="E61" s="255"/>
    </row>
    <row r="62" spans="5:5" x14ac:dyDescent="0.25">
      <c r="E62" s="255"/>
    </row>
    <row r="63" spans="5:5" x14ac:dyDescent="0.25">
      <c r="E63" s="255"/>
    </row>
    <row r="64" spans="5:5" x14ac:dyDescent="0.25">
      <c r="E64" s="255"/>
    </row>
    <row r="65" spans="5:5" x14ac:dyDescent="0.25">
      <c r="E65" s="255"/>
    </row>
    <row r="66" spans="5:5" x14ac:dyDescent="0.25">
      <c r="E66" s="255"/>
    </row>
    <row r="67" spans="5:5" x14ac:dyDescent="0.25">
      <c r="E67" s="255"/>
    </row>
    <row r="68" spans="5:5" x14ac:dyDescent="0.25">
      <c r="E68" s="255"/>
    </row>
    <row r="69" spans="5:5" x14ac:dyDescent="0.25">
      <c r="E69" s="255"/>
    </row>
    <row r="70" spans="5:5" x14ac:dyDescent="0.25">
      <c r="E70" s="255"/>
    </row>
    <row r="71" spans="5:5" x14ac:dyDescent="0.25">
      <c r="E71" s="255"/>
    </row>
    <row r="72" spans="5:5" x14ac:dyDescent="0.25">
      <c r="E72" s="255"/>
    </row>
    <row r="73" spans="5:5" x14ac:dyDescent="0.25">
      <c r="E73" s="255"/>
    </row>
    <row r="74" spans="5:5" x14ac:dyDescent="0.25">
      <c r="E74" s="255"/>
    </row>
    <row r="75" spans="5:5" x14ac:dyDescent="0.25">
      <c r="E75" s="255"/>
    </row>
    <row r="76" spans="5:5" x14ac:dyDescent="0.25">
      <c r="E76" s="255"/>
    </row>
    <row r="77" spans="5:5" x14ac:dyDescent="0.25">
      <c r="E77" s="255"/>
    </row>
    <row r="78" spans="5:5" x14ac:dyDescent="0.25">
      <c r="E78" s="255"/>
    </row>
    <row r="79" spans="5:5" x14ac:dyDescent="0.25">
      <c r="E79" s="255"/>
    </row>
    <row r="80" spans="5:5" x14ac:dyDescent="0.25">
      <c r="E80" s="255"/>
    </row>
    <row r="81" spans="5:5" x14ac:dyDescent="0.25">
      <c r="E81" s="255"/>
    </row>
    <row r="82" spans="5:5" x14ac:dyDescent="0.25">
      <c r="E82" s="255"/>
    </row>
    <row r="83" spans="5:5" x14ac:dyDescent="0.25">
      <c r="E83" s="255"/>
    </row>
    <row r="84" spans="5:5" x14ac:dyDescent="0.25">
      <c r="E84" s="255"/>
    </row>
    <row r="85" spans="5:5" x14ac:dyDescent="0.25">
      <c r="E85" s="255"/>
    </row>
    <row r="86" spans="5:5" x14ac:dyDescent="0.25">
      <c r="E86" s="255"/>
    </row>
    <row r="87" spans="5:5" x14ac:dyDescent="0.25">
      <c r="E87" s="255"/>
    </row>
    <row r="88" spans="5:5" x14ac:dyDescent="0.25">
      <c r="E88" s="255"/>
    </row>
    <row r="89" spans="5:5" x14ac:dyDescent="0.25">
      <c r="E89" s="255"/>
    </row>
    <row r="90" spans="5:5" x14ac:dyDescent="0.25">
      <c r="E90" s="255"/>
    </row>
    <row r="91" spans="5:5" x14ac:dyDescent="0.25">
      <c r="E91" s="255"/>
    </row>
    <row r="92" spans="5:5" x14ac:dyDescent="0.25">
      <c r="E92" s="255"/>
    </row>
    <row r="93" spans="5:5" x14ac:dyDescent="0.25">
      <c r="E93" s="255"/>
    </row>
    <row r="94" spans="5:5" x14ac:dyDescent="0.25">
      <c r="E94" s="255"/>
    </row>
    <row r="95" spans="5:5" x14ac:dyDescent="0.25">
      <c r="E95" s="255"/>
    </row>
    <row r="96" spans="5:5" x14ac:dyDescent="0.25">
      <c r="E96" s="255"/>
    </row>
    <row r="97" spans="5:5" x14ac:dyDescent="0.25">
      <c r="E97" s="255"/>
    </row>
    <row r="98" spans="5:5" x14ac:dyDescent="0.25">
      <c r="E98" s="255"/>
    </row>
    <row r="99" spans="5:5" x14ac:dyDescent="0.25">
      <c r="E99" s="255"/>
    </row>
    <row r="100" spans="5:5" x14ac:dyDescent="0.25">
      <c r="E100" s="255"/>
    </row>
    <row r="101" spans="5:5" x14ac:dyDescent="0.25">
      <c r="E101" s="255"/>
    </row>
    <row r="102" spans="5:5" x14ac:dyDescent="0.25">
      <c r="E102" s="255"/>
    </row>
    <row r="103" spans="5:5" x14ac:dyDescent="0.25">
      <c r="E103" s="255"/>
    </row>
    <row r="104" spans="5:5" x14ac:dyDescent="0.25">
      <c r="E104" s="255"/>
    </row>
    <row r="105" spans="5:5" x14ac:dyDescent="0.25">
      <c r="E105" s="255"/>
    </row>
    <row r="106" spans="5:5" x14ac:dyDescent="0.25">
      <c r="E106" s="255"/>
    </row>
    <row r="107" spans="5:5" x14ac:dyDescent="0.25">
      <c r="E107" s="255"/>
    </row>
    <row r="108" spans="5:5" x14ac:dyDescent="0.25">
      <c r="E108" s="255"/>
    </row>
    <row r="109" spans="5:5" x14ac:dyDescent="0.25">
      <c r="E109" s="255"/>
    </row>
    <row r="110" spans="5:5" x14ac:dyDescent="0.25">
      <c r="E110" s="255"/>
    </row>
    <row r="111" spans="5:5" x14ac:dyDescent="0.25">
      <c r="E111" s="255"/>
    </row>
    <row r="112" spans="5:5" x14ac:dyDescent="0.25">
      <c r="E112" s="255"/>
    </row>
    <row r="113" spans="5:5" x14ac:dyDescent="0.25">
      <c r="E113" s="255"/>
    </row>
    <row r="114" spans="5:5" x14ac:dyDescent="0.25">
      <c r="E114" s="255"/>
    </row>
    <row r="115" spans="5:5" x14ac:dyDescent="0.25">
      <c r="E115" s="255"/>
    </row>
    <row r="116" spans="5:5" x14ac:dyDescent="0.25">
      <c r="E116" s="255"/>
    </row>
    <row r="117" spans="5:5" x14ac:dyDescent="0.25">
      <c r="E117" s="255"/>
    </row>
    <row r="118" spans="5:5" x14ac:dyDescent="0.25">
      <c r="E118" s="255"/>
    </row>
    <row r="119" spans="5:5" x14ac:dyDescent="0.25">
      <c r="E119" s="255"/>
    </row>
    <row r="120" spans="5:5" x14ac:dyDescent="0.25">
      <c r="E120" s="255"/>
    </row>
    <row r="121" spans="5:5" x14ac:dyDescent="0.25">
      <c r="E121" s="255"/>
    </row>
    <row r="122" spans="5:5" x14ac:dyDescent="0.25">
      <c r="E122" s="255"/>
    </row>
    <row r="123" spans="5:5" x14ac:dyDescent="0.25">
      <c r="E123" s="255"/>
    </row>
    <row r="124" spans="5:5" x14ac:dyDescent="0.25">
      <c r="E124" s="255"/>
    </row>
    <row r="125" spans="5:5" x14ac:dyDescent="0.25">
      <c r="E125" s="255"/>
    </row>
    <row r="126" spans="5:5" x14ac:dyDescent="0.25">
      <c r="E126" s="255"/>
    </row>
    <row r="127" spans="5:5" x14ac:dyDescent="0.25">
      <c r="E127" s="255"/>
    </row>
    <row r="128" spans="5:5" x14ac:dyDescent="0.25">
      <c r="E128" s="255"/>
    </row>
    <row r="129" spans="5:5" x14ac:dyDescent="0.25">
      <c r="E129" s="255"/>
    </row>
    <row r="130" spans="5:5" x14ac:dyDescent="0.25">
      <c r="E130" s="255"/>
    </row>
    <row r="131" spans="5:5" x14ac:dyDescent="0.25">
      <c r="E131" s="255"/>
    </row>
    <row r="132" spans="5:5" x14ac:dyDescent="0.25">
      <c r="E132" s="255"/>
    </row>
    <row r="133" spans="5:5" x14ac:dyDescent="0.25">
      <c r="E133" s="255"/>
    </row>
    <row r="134" spans="5:5" x14ac:dyDescent="0.25">
      <c r="E134" s="255"/>
    </row>
    <row r="135" spans="5:5" x14ac:dyDescent="0.25">
      <c r="E135" s="255"/>
    </row>
    <row r="136" spans="5:5" x14ac:dyDescent="0.25">
      <c r="E136" s="255"/>
    </row>
    <row r="137" spans="5:5" x14ac:dyDescent="0.25">
      <c r="E137" s="255"/>
    </row>
    <row r="138" spans="5:5" x14ac:dyDescent="0.25">
      <c r="E138" s="255"/>
    </row>
    <row r="139" spans="5:5" x14ac:dyDescent="0.25">
      <c r="E139" s="255"/>
    </row>
    <row r="140" spans="5:5" x14ac:dyDescent="0.25">
      <c r="E140" s="255"/>
    </row>
    <row r="141" spans="5:5" x14ac:dyDescent="0.25">
      <c r="E141" s="255"/>
    </row>
    <row r="142" spans="5:5" x14ac:dyDescent="0.25">
      <c r="E142" s="255"/>
    </row>
    <row r="143" spans="5:5" x14ac:dyDescent="0.25">
      <c r="E143" s="255"/>
    </row>
    <row r="144" spans="5:5" x14ac:dyDescent="0.25">
      <c r="E144" s="255"/>
    </row>
    <row r="145" spans="5:5" x14ac:dyDescent="0.25">
      <c r="E145" s="255"/>
    </row>
    <row r="146" spans="5:5" x14ac:dyDescent="0.25">
      <c r="E146" s="255"/>
    </row>
    <row r="147" spans="5:5" x14ac:dyDescent="0.25">
      <c r="E147" s="255"/>
    </row>
    <row r="148" spans="5:5" x14ac:dyDescent="0.25">
      <c r="E148" s="255"/>
    </row>
    <row r="149" spans="5:5" x14ac:dyDescent="0.25">
      <c r="E149" s="255"/>
    </row>
    <row r="150" spans="5:5" x14ac:dyDescent="0.25">
      <c r="E150" s="255"/>
    </row>
    <row r="151" spans="5:5" x14ac:dyDescent="0.25">
      <c r="E151" s="255"/>
    </row>
    <row r="152" spans="5:5" x14ac:dyDescent="0.25">
      <c r="E152" s="255"/>
    </row>
    <row r="153" spans="5:5" x14ac:dyDescent="0.25">
      <c r="E153" s="255"/>
    </row>
    <row r="154" spans="5:5" x14ac:dyDescent="0.25">
      <c r="E154" s="255"/>
    </row>
    <row r="155" spans="5:5" x14ac:dyDescent="0.25">
      <c r="E155" s="255"/>
    </row>
    <row r="156" spans="5:5" x14ac:dyDescent="0.25">
      <c r="E156" s="255"/>
    </row>
    <row r="157" spans="5:5" x14ac:dyDescent="0.25">
      <c r="E157" s="255"/>
    </row>
    <row r="158" spans="5:5" x14ac:dyDescent="0.25">
      <c r="E158" s="255"/>
    </row>
    <row r="159" spans="5:5" x14ac:dyDescent="0.25">
      <c r="E159" s="255"/>
    </row>
    <row r="160" spans="5:5" x14ac:dyDescent="0.25">
      <c r="E160" s="255"/>
    </row>
    <row r="161" spans="5:5" x14ac:dyDescent="0.25">
      <c r="E161" s="255"/>
    </row>
    <row r="162" spans="5:5" x14ac:dyDescent="0.25">
      <c r="E162" s="255"/>
    </row>
    <row r="163" spans="5:5" x14ac:dyDescent="0.25">
      <c r="E163" s="255"/>
    </row>
    <row r="164" spans="5:5" x14ac:dyDescent="0.25">
      <c r="E164" s="255"/>
    </row>
    <row r="165" spans="5:5" x14ac:dyDescent="0.25">
      <c r="E165" s="255"/>
    </row>
    <row r="166" spans="5:5" x14ac:dyDescent="0.25">
      <c r="E166" s="255"/>
    </row>
    <row r="167" spans="5:5" x14ac:dyDescent="0.25">
      <c r="E167" s="255"/>
    </row>
    <row r="168" spans="5:5" x14ac:dyDescent="0.25">
      <c r="E168" s="255"/>
    </row>
    <row r="169" spans="5:5" x14ac:dyDescent="0.25">
      <c r="E169" s="255"/>
    </row>
    <row r="170" spans="5:5" x14ac:dyDescent="0.25">
      <c r="E170" s="255"/>
    </row>
    <row r="171" spans="5:5" x14ac:dyDescent="0.25">
      <c r="E171" s="255"/>
    </row>
    <row r="172" spans="5:5" x14ac:dyDescent="0.25">
      <c r="E172" s="255"/>
    </row>
    <row r="173" spans="5:5" x14ac:dyDescent="0.25">
      <c r="E173" s="255"/>
    </row>
    <row r="174" spans="5:5" x14ac:dyDescent="0.25">
      <c r="E174" s="255"/>
    </row>
    <row r="175" spans="5:5" x14ac:dyDescent="0.25">
      <c r="E175" s="255"/>
    </row>
    <row r="176" spans="5:5" x14ac:dyDescent="0.25">
      <c r="E176" s="255"/>
    </row>
    <row r="177" spans="5:5" x14ac:dyDescent="0.25">
      <c r="E177" s="255"/>
    </row>
    <row r="178" spans="5:5" x14ac:dyDescent="0.25">
      <c r="E178" s="255"/>
    </row>
    <row r="179" spans="5:5" x14ac:dyDescent="0.25">
      <c r="E179" s="255"/>
    </row>
    <row r="180" spans="5:5" x14ac:dyDescent="0.25">
      <c r="E180" s="255"/>
    </row>
    <row r="181" spans="5:5" x14ac:dyDescent="0.25">
      <c r="E181" s="255"/>
    </row>
    <row r="182" spans="5:5" x14ac:dyDescent="0.25">
      <c r="E182" s="255"/>
    </row>
  </sheetData>
  <sheetProtection algorithmName="SHA-512" hashValue="Rt09t7d+tO6MscjNhCJwpngwX3KxUBQuRjoIQuSc63erwDTm5O5otoTEPMEYPk3ur7THnaxhlE4znHyMn67bSw==" saltValue="hh2ei9TfekxCr0aWgZlk7Q==" spinCount="100000" sheet="1" objects="1" scenarios="1"/>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87F8B-98B8-46C9-BD45-A6CB68745523}">
  <sheetPr codeName="Blad14">
    <tabColor rgb="FF0070C0"/>
  </sheetPr>
  <dimension ref="A1:AN100"/>
  <sheetViews>
    <sheetView zoomScaleNormal="100" workbookViewId="0">
      <selection activeCell="A2" sqref="A2"/>
    </sheetView>
  </sheetViews>
  <sheetFormatPr defaultRowHeight="15" x14ac:dyDescent="0.25"/>
  <cols>
    <col min="1" max="1" width="31.5703125" bestFit="1" customWidth="1"/>
    <col min="2" max="2" width="26.85546875" bestFit="1" customWidth="1"/>
    <col min="3" max="3" width="26.85546875" customWidth="1"/>
    <col min="4" max="4" width="6.85546875" bestFit="1" customWidth="1"/>
    <col min="5" max="5" width="8.85546875" bestFit="1" customWidth="1"/>
    <col min="6" max="6" width="16.42578125" bestFit="1" customWidth="1"/>
    <col min="7" max="7" width="18.85546875" bestFit="1" customWidth="1"/>
    <col min="8" max="8" width="14.140625" bestFit="1" customWidth="1"/>
    <col min="9" max="9" width="26" bestFit="1" customWidth="1"/>
    <col min="10" max="10" width="21.140625" bestFit="1" customWidth="1"/>
    <col min="11" max="11" width="23.7109375" bestFit="1" customWidth="1"/>
    <col min="12" max="12" width="7.7109375" bestFit="1" customWidth="1"/>
    <col min="13" max="13" width="15.7109375" bestFit="1" customWidth="1"/>
    <col min="14" max="14" width="17" bestFit="1" customWidth="1"/>
    <col min="15" max="22" width="18.7109375" customWidth="1"/>
    <col min="23" max="23" width="18.28515625" bestFit="1" customWidth="1"/>
    <col min="24" max="24" width="18.7109375" customWidth="1"/>
    <col min="25" max="25" width="21.42578125" bestFit="1" customWidth="1"/>
    <col min="26" max="26" width="14.140625" customWidth="1"/>
    <col min="27" max="27" width="18.140625" bestFit="1" customWidth="1"/>
    <col min="28" max="28" width="18.85546875" customWidth="1"/>
    <col min="29" max="29" width="6.42578125" customWidth="1"/>
    <col min="30" max="30" width="23" customWidth="1"/>
    <col min="31" max="31" width="29.5703125" customWidth="1"/>
    <col min="32" max="32" width="9.140625" bestFit="1" customWidth="1"/>
    <col min="33" max="33" width="28.7109375" bestFit="1" customWidth="1"/>
    <col min="34" max="35" width="14.85546875" customWidth="1"/>
    <col min="36" max="36" width="25.28515625" customWidth="1"/>
    <col min="37" max="37" width="20.140625" customWidth="1"/>
    <col min="38" max="38" width="14.28515625" bestFit="1" customWidth="1"/>
  </cols>
  <sheetData>
    <row r="1" spans="1:40" x14ac:dyDescent="0.25">
      <c r="A1" s="84" t="s">
        <v>152</v>
      </c>
      <c r="B1" s="85" t="s">
        <v>83</v>
      </c>
      <c r="C1" s="85" t="s">
        <v>160</v>
      </c>
      <c r="D1" s="85" t="s">
        <v>40</v>
      </c>
      <c r="E1" s="85" t="s">
        <v>123</v>
      </c>
      <c r="F1" s="85" t="s">
        <v>84</v>
      </c>
      <c r="G1" s="85" t="s">
        <v>85</v>
      </c>
      <c r="H1" s="85" t="s">
        <v>87</v>
      </c>
      <c r="I1" s="85" t="s">
        <v>88</v>
      </c>
      <c r="J1" s="85" t="s">
        <v>167</v>
      </c>
      <c r="K1" s="85" t="s">
        <v>168</v>
      </c>
      <c r="L1" s="85" t="s">
        <v>124</v>
      </c>
      <c r="M1" s="85" t="s">
        <v>126</v>
      </c>
      <c r="N1" s="85" t="s">
        <v>125</v>
      </c>
      <c r="O1" s="85" t="s">
        <v>333</v>
      </c>
      <c r="P1" s="277" t="s">
        <v>333</v>
      </c>
      <c r="Q1" s="85" t="s">
        <v>334</v>
      </c>
      <c r="R1" s="277" t="s">
        <v>334</v>
      </c>
      <c r="S1" s="85" t="s">
        <v>337</v>
      </c>
      <c r="T1" s="277" t="s">
        <v>337</v>
      </c>
      <c r="U1" s="85" t="s">
        <v>339</v>
      </c>
      <c r="V1" s="277" t="s">
        <v>339</v>
      </c>
      <c r="W1" s="85" t="s">
        <v>478</v>
      </c>
      <c r="X1" s="277" t="s">
        <v>479</v>
      </c>
      <c r="Y1" s="253" t="s">
        <v>476</v>
      </c>
      <c r="Z1" s="368" t="s">
        <v>477</v>
      </c>
      <c r="AA1" s="253" t="s">
        <v>480</v>
      </c>
      <c r="AB1" s="368" t="s">
        <v>480</v>
      </c>
      <c r="AD1" t="s">
        <v>81</v>
      </c>
      <c r="AE1" t="s">
        <v>24</v>
      </c>
      <c r="AF1" t="s">
        <v>23</v>
      </c>
      <c r="AG1" t="s">
        <v>22</v>
      </c>
      <c r="AI1" t="s">
        <v>81</v>
      </c>
      <c r="AJ1" t="s">
        <v>24</v>
      </c>
      <c r="AK1" t="s">
        <v>23</v>
      </c>
      <c r="AL1" t="s">
        <v>22</v>
      </c>
    </row>
    <row r="2" spans="1:40" x14ac:dyDescent="0.25">
      <c r="A2" s="278" t="str" cm="1">
        <f t="array" ref="A2">IFERROR(_xlfn.UNIQUE(_xlfn._xlws.FILTER('5. Kosten uitvoering project'!$E$6:$F$250,'5. Kosten uitvoering project'!$E$6:$E$250&lt;&gt;"")),"")</f>
        <v/>
      </c>
      <c r="B2" s="278"/>
      <c r="C2" s="278" t="str">
        <f>IFERROR(VLOOKUP($B2,Tb_ProjectKosten[],4,0),"")</f>
        <v/>
      </c>
      <c r="D2" s="278" t="str" cm="1">
        <f t="array" ref="D2">IFERROR(INDEX(Tb_KostenOpties[],MATCH(B2,Tb_KostenOpties[KostenOptie],0),IFERROR(MATCH(Methode_Keuze,Tb_KostenOpties[#Headers],0),2)),"")</f>
        <v/>
      </c>
      <c r="E2" s="279">
        <f>IFERROR(VLOOKUP(B2,Tb_ProjectKosten[[#All],[KostenOmschrijving]:[Forfait_Percentage]],6,0),0)</f>
        <v>0</v>
      </c>
      <c r="F2" s="280">
        <f>SUMIFS('5. Kosten uitvoering project'!R:R,'5. Kosten uitvoering project'!E:E,SubsidieTabel!A2,'5. Kosten uitvoering project'!F:F,SubsidieTabel!B2)</f>
        <v>0</v>
      </c>
      <c r="G2" s="280">
        <f>SUMIFS('5. Kosten uitvoering project'!S:S,'5. Kosten uitvoering project'!E:E,SubsidieTabel!A2,'5. Kosten uitvoering project'!F:F,SubsidieTabel!B2)</f>
        <v>0</v>
      </c>
      <c r="H2" s="280">
        <f>SUMIFS('5. Kosten uitvoering project'!U:U,'5. Kosten uitvoering project'!E:E,SubsidieTabel!A2,'5. Kosten uitvoering project'!F:F,SubsidieTabel!B2)</f>
        <v>0</v>
      </c>
      <c r="I2" s="280">
        <f>SUMIFS('5. Kosten uitvoering project'!V:V,'5. Kosten uitvoering project'!E:E,SubsidieTabel!A2,'5. Kosten uitvoering project'!F:F,SubsidieTabel!B2)</f>
        <v>0</v>
      </c>
      <c r="J2" s="280">
        <f>IFERROR(F2+H2,"")</f>
        <v>0</v>
      </c>
      <c r="K2" s="280">
        <f>IFERROR(G2+I2,"")</f>
        <v>0</v>
      </c>
      <c r="L2" s="279" t="str">
        <f>IFERROR(VLOOKUP(A2,Lijsten!$AK:$AL,2,0),"")</f>
        <v/>
      </c>
      <c r="M2" s="280">
        <f>IFERROR($L2*(F2+H2),0)</f>
        <v>0</v>
      </c>
      <c r="N2" s="280">
        <f>IFERROR($L2*(G2+I2),0)</f>
        <v>0</v>
      </c>
      <c r="O2" s="280">
        <f>IFERROR(IF(INDEX(Tb_Activiteiten[#All],MATCH(SubsidieTabel!$A2,Tb_Activiteiten[[#All],[Subsidiabele_Activiteit]],0),MATCH(SubsidieTabel!O$1,Tb_Activiteiten[#Headers],0))=1,SubsidieTabel!$J2,0),0)</f>
        <v>0</v>
      </c>
      <c r="P2" s="280">
        <f>IFERROR(IF(INDEX(Tb_Activiteiten[#All],MATCH(SubsidieTabel!$A2,Tb_Activiteiten[[#All],[Subsidiabele_Activiteit]],0),MATCH(SubsidieTabel!P$1,Tb_Activiteiten[#Headers],0))=1,SubsidieTabel!$K2,0),0)</f>
        <v>0</v>
      </c>
      <c r="Q2" s="280">
        <f>IFERROR(IF(INDEX(Tb_Activiteiten[#All],MATCH(SubsidieTabel!$A2,Tb_Activiteiten[[#All],[Subsidiabele_Activiteit]],0),MATCH(SubsidieTabel!Q$1,Tb_Activiteiten[#Headers],0))=1,SubsidieTabel!$J2,0),0)</f>
        <v>0</v>
      </c>
      <c r="R2" s="280">
        <f>IFERROR(IF(INDEX(Tb_Activiteiten[#All],MATCH(SubsidieTabel!$A2,Tb_Activiteiten[[#All],[Subsidiabele_Activiteit]],0),MATCH(SubsidieTabel!R$1,Tb_Activiteiten[#Headers],0))=1,SubsidieTabel!$K2,0),0)</f>
        <v>0</v>
      </c>
      <c r="S2" s="280">
        <f>IFERROR(IF(INDEX(Tb_Activiteiten[#All],MATCH(SubsidieTabel!$A2,Tb_Activiteiten[[#All],[Subsidiabele_Activiteit]],0),MATCH(SubsidieTabel!S$1,Tb_Activiteiten[#Headers],0))=1,SubsidieTabel!$J2,0),0)</f>
        <v>0</v>
      </c>
      <c r="T2" s="280">
        <f>IFERROR(IF(INDEX(Tb_Activiteiten[#All],MATCH(SubsidieTabel!$A2,Tb_Activiteiten[[#All],[Subsidiabele_Activiteit]],0),MATCH(SubsidieTabel!T$1,Tb_Activiteiten[#Headers],0))=1,SubsidieTabel!$K2,0),0)</f>
        <v>0</v>
      </c>
      <c r="U2" s="280">
        <f>IFERROR(IF(INDEX(Tb_Activiteiten[#All],MATCH(SubsidieTabel!$A2,Tb_Activiteiten[[#All],[Subsidiabele_Activiteit]],0),MATCH(SubsidieTabel!U$1,Tb_Activiteiten[#Headers],0))=1,SubsidieTabel!$J2,0),0)</f>
        <v>0</v>
      </c>
      <c r="V2" s="280">
        <f>IFERROR(IF(INDEX(Tb_Activiteiten[#All],MATCH(SubsidieTabel!$A2,Tb_Activiteiten[[#All],[Subsidiabele_Activiteit]],0),MATCH(SubsidieTabel!V$1,Tb_Activiteiten[#Headers],0))=1,SubsidieTabel!$K2,0),0)</f>
        <v>0</v>
      </c>
      <c r="W2" s="369">
        <f>IFERROR(IF(INDEX(Tb_Activiteiten[#All],MATCH(SubsidieTabel!$A2,Tb_Activiteiten[[#All],[Subsidiabele_Activiteit]],0),MATCH(SubsidieTabel!Q$1,Tb_Activiteiten[#Headers],0))=1,H2,0),0)</f>
        <v>0</v>
      </c>
      <c r="X2" s="369">
        <f>IFERROR(IF(INDEX(Tb_Activiteiten[#All],MATCH(SubsidieTabel!$A2,Tb_Activiteiten[[#All],[Subsidiabele_Activiteit]],0),MATCH(SubsidieTabel!Q$1,Tb_Activiteiten[#Headers],0))=1,I2,0),0)</f>
        <v>0</v>
      </c>
      <c r="Y2" s="369">
        <f>IFERROR(IF(INDEX(Tb_Activiteiten[#All],MATCH(SubsidieTabel!$A2,Tb_Activiteiten[[#All],[Subsidiabele_Activiteit]],0),MATCH(SubsidieTabel!S$1,Tb_Activiteiten[#Headers],0))=1,H2,0),0)</f>
        <v>0</v>
      </c>
      <c r="Z2" s="369">
        <f>IFERROR(IF(INDEX(Tb_Activiteiten[#All],MATCH(SubsidieTabel!$A2,Tb_Activiteiten[[#All],[Subsidiabele_Activiteit]],0),MATCH(SubsidieTabel!S$1,Tb_Activiteiten[#Headers],0))=1,I2,0),0)</f>
        <v>0</v>
      </c>
      <c r="AA2" s="369">
        <f>IFERROR(IF(INDEX(Tb_Activiteiten[#All],MATCH(SubsidieTabel!$A2,Tb_Activiteiten[[#All],[Subsidiabele_Activiteit]],0),MATCH(SubsidieTabel!O$1,Tb_Activiteiten[#Headers],0))=1,$F2,0),0)</f>
        <v>0</v>
      </c>
      <c r="AB2" s="369">
        <f>IFERROR(IF(INDEX(Tb_Activiteiten[#All],MATCH(SubsidieTabel!$A2,Tb_Activiteiten[[#All],[Subsidiabele_Activiteit]],0),MATCH(SubsidieTabel!O$1,Tb_Activiteiten[#Headers],0))=1,$G2,0),0)</f>
        <v>0</v>
      </c>
      <c r="AD2" s="63" t="str">
        <f>Openstelling_Activiteit!P3</f>
        <v>Arbeidskosten</v>
      </c>
      <c r="AE2">
        <v>1</v>
      </c>
      <c r="AF2">
        <v>0</v>
      </c>
      <c r="AG2">
        <v>1</v>
      </c>
      <c r="AI2" t="str">
        <f>Tb_KostenOpties[[#This Row],[KostenOptie]]</f>
        <v>Arbeidskosten</v>
      </c>
      <c r="AJ2">
        <v>1</v>
      </c>
      <c r="AK2">
        <v>0</v>
      </c>
      <c r="AL2">
        <v>1</v>
      </c>
    </row>
    <row r="3" spans="1:40" x14ac:dyDescent="0.25">
      <c r="A3" s="12"/>
      <c r="B3" s="12"/>
      <c r="C3" s="12" t="str">
        <f>IFERROR(VLOOKUP($B3,Tb_ProjectKosten[],4,0),"")</f>
        <v/>
      </c>
      <c r="D3" s="12" t="str" cm="1">
        <f t="array" ref="D3">IFERROR(INDEX(Tb_KostenOpties[],MATCH(B3,Tb_KostenOpties[KostenOptie],0),IFERROR(MATCH(Methode_Keuze,Tb_KostenOpties[#Headers],0),2)),"")</f>
        <v/>
      </c>
      <c r="E3" s="281">
        <f>IFERROR(VLOOKUP(B3,Tb_ProjectKosten[[#All],[KostenOmschrijving]:[Forfait_Percentage]],6,0),0)</f>
        <v>0</v>
      </c>
      <c r="F3" s="282">
        <f>SUMIFS('5. Kosten uitvoering project'!R:R,'5. Kosten uitvoering project'!E:E,SubsidieTabel!A3,'5. Kosten uitvoering project'!F:F,SubsidieTabel!B3)</f>
        <v>0</v>
      </c>
      <c r="G3" s="282">
        <f>SUMIFS('5. Kosten uitvoering project'!S:S,'5. Kosten uitvoering project'!E:E,SubsidieTabel!A3,'5. Kosten uitvoering project'!F:F,SubsidieTabel!B3)</f>
        <v>0</v>
      </c>
      <c r="H3" s="282">
        <f>SUMIFS('5. Kosten uitvoering project'!U:U,'5. Kosten uitvoering project'!E:E,SubsidieTabel!A3,'5. Kosten uitvoering project'!F:F,SubsidieTabel!B3)</f>
        <v>0</v>
      </c>
      <c r="I3" s="282">
        <f>SUMIFS('5. Kosten uitvoering project'!V:V,'5. Kosten uitvoering project'!E:E,SubsidieTabel!A3,'5. Kosten uitvoering project'!F:F,SubsidieTabel!B3)</f>
        <v>0</v>
      </c>
      <c r="J3" s="282">
        <f t="shared" ref="J3:J66" si="0">IFERROR(F3+H3,"")</f>
        <v>0</v>
      </c>
      <c r="K3" s="282">
        <f t="shared" ref="K3:K66" si="1">IFERROR(G3+I3,"")</f>
        <v>0</v>
      </c>
      <c r="L3" s="281" t="str">
        <f>IFERROR(VLOOKUP(A3,Lijsten!$AK:$AL,2,0),"")</f>
        <v/>
      </c>
      <c r="M3" s="282">
        <f t="shared" ref="M3:M66" si="2">IFERROR($L3*(F3+H3),0)</f>
        <v>0</v>
      </c>
      <c r="N3" s="282">
        <f t="shared" ref="N3:N66" si="3">IFERROR($L3*(G3+I3),0)</f>
        <v>0</v>
      </c>
      <c r="O3" s="282">
        <f>IFERROR(IF(INDEX(Tb_Activiteiten[#All],MATCH(SubsidieTabel!$A3,Tb_Activiteiten[[#All],[Subsidiabele_Activiteit]],0),MATCH(SubsidieTabel!O$1,Tb_Activiteiten[#Headers],0))=1,SubsidieTabel!$J3,0),0)</f>
        <v>0</v>
      </c>
      <c r="P3" s="282">
        <f>IFERROR(IF(INDEX(Tb_Activiteiten[#All],MATCH(SubsidieTabel!$A3,Tb_Activiteiten[[#All],[Subsidiabele_Activiteit]],0),MATCH(SubsidieTabel!P$1,Tb_Activiteiten[#Headers],0))=1,SubsidieTabel!$K3,0),0)</f>
        <v>0</v>
      </c>
      <c r="Q3" s="282">
        <f>IFERROR(IF(INDEX(Tb_Activiteiten[#All],MATCH(SubsidieTabel!$A3,Tb_Activiteiten[[#All],[Subsidiabele_Activiteit]],0),MATCH(SubsidieTabel!Q$1,Tb_Activiteiten[#Headers],0))=1,SubsidieTabel!$J3,0),0)</f>
        <v>0</v>
      </c>
      <c r="R3" s="282">
        <f>IFERROR(IF(INDEX(Tb_Activiteiten[#All],MATCH(SubsidieTabel!$A3,Tb_Activiteiten[[#All],[Subsidiabele_Activiteit]],0),MATCH(SubsidieTabel!R$1,Tb_Activiteiten[#Headers],0))=1,SubsidieTabel!$K3,0),0)</f>
        <v>0</v>
      </c>
      <c r="S3" s="282">
        <f>IFERROR(IF(INDEX(Tb_Activiteiten[#All],MATCH(SubsidieTabel!$A3,Tb_Activiteiten[[#All],[Subsidiabele_Activiteit]],0),MATCH(SubsidieTabel!S$1,Tb_Activiteiten[#Headers],0))=1,SubsidieTabel!$J3,0),0)</f>
        <v>0</v>
      </c>
      <c r="T3" s="282">
        <f>IFERROR(IF(INDEX(Tb_Activiteiten[#All],MATCH(SubsidieTabel!$A3,Tb_Activiteiten[[#All],[Subsidiabele_Activiteit]],0),MATCH(SubsidieTabel!T$1,Tb_Activiteiten[#Headers],0))=1,SubsidieTabel!$K3,0),0)</f>
        <v>0</v>
      </c>
      <c r="U3" s="282">
        <f>IFERROR(IF(INDEX(Tb_Activiteiten[#All],MATCH(SubsidieTabel!$A3,Tb_Activiteiten[[#All],[Subsidiabele_Activiteit]],0),MATCH(SubsidieTabel!U$1,Tb_Activiteiten[#Headers],0))=1,SubsidieTabel!$J3,0),0)</f>
        <v>0</v>
      </c>
      <c r="V3" s="282">
        <f>IFERROR(IF(INDEX(Tb_Activiteiten[#All],MATCH(SubsidieTabel!$A3,Tb_Activiteiten[[#All],[Subsidiabele_Activiteit]],0),MATCH(SubsidieTabel!V$1,Tb_Activiteiten[#Headers],0))=1,SubsidieTabel!$K3,0),0)</f>
        <v>0</v>
      </c>
      <c r="W3" s="64">
        <f>IFERROR(IF(INDEX(Tb_Activiteiten[#All],MATCH(SubsidieTabel!$A3,Tb_Activiteiten[[#All],[Subsidiabele_Activiteit]],0),MATCH(SubsidieTabel!Q$1,Tb_Activiteiten[#Headers],0))=1,H3,0),0)</f>
        <v>0</v>
      </c>
      <c r="X3" s="64">
        <f>IFERROR(IF(INDEX(Tb_Activiteiten[#All],MATCH(SubsidieTabel!$A3,Tb_Activiteiten[[#All],[Subsidiabele_Activiteit]],0),MATCH(SubsidieTabel!Q$1,Tb_Activiteiten[#Headers],0))=1,I3,0),0)</f>
        <v>0</v>
      </c>
      <c r="Y3" s="64">
        <f>IFERROR(IF(INDEX(Tb_Activiteiten[#All],MATCH(SubsidieTabel!$A3,Tb_Activiteiten[[#All],[Subsidiabele_Activiteit]],0),MATCH(SubsidieTabel!S$1,Tb_Activiteiten[#Headers],0))=1,H3,0),0)</f>
        <v>0</v>
      </c>
      <c r="Z3" s="64">
        <f>IFERROR(IF(INDEX(Tb_Activiteiten[#All],MATCH(SubsidieTabel!$A3,Tb_Activiteiten[[#All],[Subsidiabele_Activiteit]],0),MATCH(SubsidieTabel!S$1,Tb_Activiteiten[#Headers],0))=1,I3,0),0)</f>
        <v>0</v>
      </c>
      <c r="AA3" s="64">
        <f>IFERROR(IF(INDEX(Tb_Activiteiten[#All],MATCH(SubsidieTabel!$A3,Tb_Activiteiten[[#All],[Subsidiabele_Activiteit]],0),MATCH(SubsidieTabel!O$1,Tb_Activiteiten[#Headers],0))=1,$F3,0),0)</f>
        <v>0</v>
      </c>
      <c r="AB3" s="64">
        <f>IFERROR(IF(INDEX(Tb_Activiteiten[#All],MATCH(SubsidieTabel!$A3,Tb_Activiteiten[[#All],[Subsidiabele_Activiteit]],0),MATCH(SubsidieTabel!O$1,Tb_Activiteiten[#Headers],0))=1,$G3,0),0)</f>
        <v>0</v>
      </c>
      <c r="AD3" s="12" t="str">
        <f>Openstelling_Activiteit!Q3</f>
        <v>Arbeidskosten op basis van IKS</v>
      </c>
      <c r="AE3">
        <v>1</v>
      </c>
      <c r="AF3">
        <v>0</v>
      </c>
      <c r="AG3">
        <v>1</v>
      </c>
      <c r="AI3" t="str">
        <f>Tb_KostenOpties[[#This Row],[KostenOptie]]</f>
        <v>Arbeidskosten op basis van IKS</v>
      </c>
      <c r="AJ3">
        <v>1</v>
      </c>
      <c r="AK3">
        <v>0</v>
      </c>
      <c r="AL3">
        <v>1</v>
      </c>
    </row>
    <row r="4" spans="1:40" x14ac:dyDescent="0.25">
      <c r="A4" s="63"/>
      <c r="B4" s="63"/>
      <c r="C4" s="63" t="str">
        <f>IFERROR(VLOOKUP($B4,Tb_ProjectKosten[],4,0),"")</f>
        <v/>
      </c>
      <c r="D4" s="63" t="str" cm="1">
        <f t="array" ref="D4">IFERROR(INDEX(Tb_KostenOpties[],MATCH(B4,Tb_KostenOpties[KostenOptie],0),IFERROR(MATCH(Methode_Keuze,Tb_KostenOpties[#Headers],0),2)),"")</f>
        <v/>
      </c>
      <c r="E4" s="283">
        <f>IFERROR(VLOOKUP(B4,Tb_ProjectKosten[[#All],[KostenOmschrijving]:[Forfait_Percentage]],6,0),0)</f>
        <v>0</v>
      </c>
      <c r="F4" s="284">
        <f>SUMIFS('5. Kosten uitvoering project'!R:R,'5. Kosten uitvoering project'!E:E,SubsidieTabel!A4,'5. Kosten uitvoering project'!F:F,SubsidieTabel!B4)</f>
        <v>0</v>
      </c>
      <c r="G4" s="284">
        <f>SUMIFS('5. Kosten uitvoering project'!S:S,'5. Kosten uitvoering project'!E:E,SubsidieTabel!A4,'5. Kosten uitvoering project'!F:F,SubsidieTabel!B4)</f>
        <v>0</v>
      </c>
      <c r="H4" s="284">
        <f>SUMIFS('5. Kosten uitvoering project'!U:U,'5. Kosten uitvoering project'!E:E,SubsidieTabel!A4,'5. Kosten uitvoering project'!F:F,SubsidieTabel!B4)</f>
        <v>0</v>
      </c>
      <c r="I4" s="284">
        <f>SUMIFS('5. Kosten uitvoering project'!V:V,'5. Kosten uitvoering project'!E:E,SubsidieTabel!A4,'5. Kosten uitvoering project'!F:F,SubsidieTabel!B4)</f>
        <v>0</v>
      </c>
      <c r="J4" s="284">
        <f t="shared" si="0"/>
        <v>0</v>
      </c>
      <c r="K4" s="284">
        <f t="shared" si="1"/>
        <v>0</v>
      </c>
      <c r="L4" s="283" t="str">
        <f>IFERROR(VLOOKUP(A4,Lijsten!$AK:$AL,2,0),"")</f>
        <v/>
      </c>
      <c r="M4" s="284">
        <f>IFERROR($L4*(F4+H4),0)</f>
        <v>0</v>
      </c>
      <c r="N4" s="284">
        <f t="shared" si="3"/>
        <v>0</v>
      </c>
      <c r="O4" s="284">
        <f>IFERROR(IF(INDEX(Tb_Activiteiten[#All],MATCH(SubsidieTabel!$A4,Tb_Activiteiten[[#All],[Subsidiabele_Activiteit]],0),MATCH(SubsidieTabel!O$1,Tb_Activiteiten[#Headers],0))=1,SubsidieTabel!$J4,0),0)</f>
        <v>0</v>
      </c>
      <c r="P4" s="284">
        <f>IFERROR(IF(INDEX(Tb_Activiteiten[#All],MATCH(SubsidieTabel!$A4,Tb_Activiteiten[[#All],[Subsidiabele_Activiteit]],0),MATCH(SubsidieTabel!P$1,Tb_Activiteiten[#Headers],0))=1,SubsidieTabel!$K4,0),0)</f>
        <v>0</v>
      </c>
      <c r="Q4" s="284">
        <f>IFERROR(IF(INDEX(Tb_Activiteiten[#All],MATCH(SubsidieTabel!$A4,Tb_Activiteiten[[#All],[Subsidiabele_Activiteit]],0),MATCH(SubsidieTabel!Q$1,Tb_Activiteiten[#Headers],0))=1,SubsidieTabel!$J4,0),0)</f>
        <v>0</v>
      </c>
      <c r="R4" s="284">
        <f>IFERROR(IF(INDEX(Tb_Activiteiten[#All],MATCH(SubsidieTabel!$A4,Tb_Activiteiten[[#All],[Subsidiabele_Activiteit]],0),MATCH(SubsidieTabel!R$1,Tb_Activiteiten[#Headers],0))=1,SubsidieTabel!$K4,0),0)</f>
        <v>0</v>
      </c>
      <c r="S4" s="284">
        <f>IFERROR(IF(INDEX(Tb_Activiteiten[#All],MATCH(SubsidieTabel!$A4,Tb_Activiteiten[[#All],[Subsidiabele_Activiteit]],0),MATCH(SubsidieTabel!S$1,Tb_Activiteiten[#Headers],0))=1,SubsidieTabel!$J4,0),0)</f>
        <v>0</v>
      </c>
      <c r="T4" s="284">
        <f>IFERROR(IF(INDEX(Tb_Activiteiten[#All],MATCH(SubsidieTabel!$A4,Tb_Activiteiten[[#All],[Subsidiabele_Activiteit]],0),MATCH(SubsidieTabel!T$1,Tb_Activiteiten[#Headers],0))=1,SubsidieTabel!$K4,0),0)</f>
        <v>0</v>
      </c>
      <c r="U4" s="284">
        <f>IFERROR(IF(INDEX(Tb_Activiteiten[#All],MATCH(SubsidieTabel!$A4,Tb_Activiteiten[[#All],[Subsidiabele_Activiteit]],0),MATCH(SubsidieTabel!U$1,Tb_Activiteiten[#Headers],0))=1,SubsidieTabel!$J4,0),0)</f>
        <v>0</v>
      </c>
      <c r="V4" s="284">
        <f>IFERROR(IF(INDEX(Tb_Activiteiten[#All],MATCH(SubsidieTabel!$A4,Tb_Activiteiten[[#All],[Subsidiabele_Activiteit]],0),MATCH(SubsidieTabel!V$1,Tb_Activiteiten[#Headers],0))=1,SubsidieTabel!$K4,0),0)</f>
        <v>0</v>
      </c>
      <c r="W4" s="369">
        <f>IFERROR(IF(INDEX(Tb_Activiteiten[#All],MATCH(SubsidieTabel!$A4,Tb_Activiteiten[[#All],[Subsidiabele_Activiteit]],0),MATCH(SubsidieTabel!Q$1,Tb_Activiteiten[#Headers],0))=1,H4,0),0)</f>
        <v>0</v>
      </c>
      <c r="X4" s="369">
        <f>IFERROR(IF(INDEX(Tb_Activiteiten[#All],MATCH(SubsidieTabel!$A4,Tb_Activiteiten[[#All],[Subsidiabele_Activiteit]],0),MATCH(SubsidieTabel!Q$1,Tb_Activiteiten[#Headers],0))=1,I4,0),0)</f>
        <v>0</v>
      </c>
      <c r="Y4" s="369">
        <f>IFERROR(IF(INDEX(Tb_Activiteiten[#All],MATCH(SubsidieTabel!$A4,Tb_Activiteiten[[#All],[Subsidiabele_Activiteit]],0),MATCH(SubsidieTabel!S$1,Tb_Activiteiten[#Headers],0))=1,H4,0),0)</f>
        <v>0</v>
      </c>
      <c r="Z4" s="369">
        <f>IFERROR(IF(INDEX(Tb_Activiteiten[#All],MATCH(SubsidieTabel!$A4,Tb_Activiteiten[[#All],[Subsidiabele_Activiteit]],0),MATCH(SubsidieTabel!S$1,Tb_Activiteiten[#Headers],0))=1,I4,0),0)</f>
        <v>0</v>
      </c>
      <c r="AA4" s="369">
        <f>IFERROR(IF(INDEX(Tb_Activiteiten[#All],MATCH(SubsidieTabel!$A4,Tb_Activiteiten[[#All],[Subsidiabele_Activiteit]],0),MATCH(SubsidieTabel!O$1,Tb_Activiteiten[#Headers],0))=1,$F4,0),0)</f>
        <v>0</v>
      </c>
      <c r="AB4" s="369">
        <f>IFERROR(IF(INDEX(Tb_Activiteiten[#All],MATCH(SubsidieTabel!$A4,Tb_Activiteiten[[#All],[Subsidiabele_Activiteit]],0),MATCH(SubsidieTabel!O$1,Tb_Activiteiten[#Headers],0))=1,$G4,0),0)</f>
        <v>0</v>
      </c>
      <c r="AD4" s="12" t="str">
        <f>Openstelling_Activiteit!R3</f>
        <v>Kosten derden exclusief btw</v>
      </c>
      <c r="AE4">
        <v>1</v>
      </c>
      <c r="AF4">
        <v>1</v>
      </c>
      <c r="AG4">
        <v>0</v>
      </c>
      <c r="AI4" t="str">
        <f>Tb_KostenOpties[[#This Row],[KostenOptie]]</f>
        <v>Kosten derden exclusief btw</v>
      </c>
      <c r="AJ4">
        <v>1</v>
      </c>
      <c r="AK4">
        <v>1</v>
      </c>
      <c r="AL4">
        <v>0</v>
      </c>
    </row>
    <row r="5" spans="1:40" x14ac:dyDescent="0.25">
      <c r="A5" s="12"/>
      <c r="B5" s="12"/>
      <c r="C5" s="12" t="str">
        <f>IFERROR(VLOOKUP($B5,Tb_ProjectKosten[],4,0),"")</f>
        <v/>
      </c>
      <c r="D5" s="12" t="str" cm="1">
        <f t="array" ref="D5">IFERROR(INDEX(Tb_KostenOpties[],MATCH(B5,Tb_KostenOpties[KostenOptie],0),IFERROR(MATCH(Methode_Keuze,Tb_KostenOpties[#Headers],0),2)),"")</f>
        <v/>
      </c>
      <c r="E5" s="281">
        <f>IFERROR(VLOOKUP(B5,Tb_ProjectKosten[[#All],[KostenOmschrijving]:[Forfait_Percentage]],6,0),0)</f>
        <v>0</v>
      </c>
      <c r="F5" s="282">
        <f>SUMIFS('5. Kosten uitvoering project'!R:R,'5. Kosten uitvoering project'!E:E,SubsidieTabel!A5,'5. Kosten uitvoering project'!F:F,SubsidieTabel!B5)</f>
        <v>0</v>
      </c>
      <c r="G5" s="282">
        <f>SUMIFS('5. Kosten uitvoering project'!S:S,'5. Kosten uitvoering project'!E:E,SubsidieTabel!A5,'5. Kosten uitvoering project'!F:F,SubsidieTabel!B5)</f>
        <v>0</v>
      </c>
      <c r="H5" s="282">
        <f>SUMIFS('5. Kosten uitvoering project'!U:U,'5. Kosten uitvoering project'!E:E,SubsidieTabel!A5,'5. Kosten uitvoering project'!F:F,SubsidieTabel!B5)</f>
        <v>0</v>
      </c>
      <c r="I5" s="282">
        <f>SUMIFS('5. Kosten uitvoering project'!V:V,'5. Kosten uitvoering project'!E:E,SubsidieTabel!A5,'5. Kosten uitvoering project'!F:F,SubsidieTabel!B5)</f>
        <v>0</v>
      </c>
      <c r="J5" s="282">
        <f t="shared" si="0"/>
        <v>0</v>
      </c>
      <c r="K5" s="282">
        <f t="shared" si="1"/>
        <v>0</v>
      </c>
      <c r="L5" s="281" t="str">
        <f>IFERROR(VLOOKUP(A5,Lijsten!$AK:$AL,2,0),"")</f>
        <v/>
      </c>
      <c r="M5" s="282">
        <f t="shared" si="2"/>
        <v>0</v>
      </c>
      <c r="N5" s="282">
        <f t="shared" si="3"/>
        <v>0</v>
      </c>
      <c r="O5" s="282">
        <f>IFERROR(IF(INDEX(Tb_Activiteiten[#All],MATCH(SubsidieTabel!$A5,Tb_Activiteiten[[#All],[Subsidiabele_Activiteit]],0),MATCH(SubsidieTabel!O$1,Tb_Activiteiten[#Headers],0))=1,SubsidieTabel!$J5,0),0)</f>
        <v>0</v>
      </c>
      <c r="P5" s="282">
        <f>IFERROR(IF(INDEX(Tb_Activiteiten[#All],MATCH(SubsidieTabel!$A5,Tb_Activiteiten[[#All],[Subsidiabele_Activiteit]],0),MATCH(SubsidieTabel!P$1,Tb_Activiteiten[#Headers],0))=1,SubsidieTabel!$K5,0),0)</f>
        <v>0</v>
      </c>
      <c r="Q5" s="282">
        <f>IFERROR(IF(INDEX(Tb_Activiteiten[#All],MATCH(SubsidieTabel!$A5,Tb_Activiteiten[[#All],[Subsidiabele_Activiteit]],0),MATCH(SubsidieTabel!Q$1,Tb_Activiteiten[#Headers],0))=1,SubsidieTabel!$J5,0),0)</f>
        <v>0</v>
      </c>
      <c r="R5" s="282">
        <f>IFERROR(IF(INDEX(Tb_Activiteiten[#All],MATCH(SubsidieTabel!$A5,Tb_Activiteiten[[#All],[Subsidiabele_Activiteit]],0),MATCH(SubsidieTabel!R$1,Tb_Activiteiten[#Headers],0))=1,SubsidieTabel!$K5,0),0)</f>
        <v>0</v>
      </c>
      <c r="S5" s="282">
        <f>IFERROR(IF(INDEX(Tb_Activiteiten[#All],MATCH(SubsidieTabel!$A5,Tb_Activiteiten[[#All],[Subsidiabele_Activiteit]],0),MATCH(SubsidieTabel!S$1,Tb_Activiteiten[#Headers],0))=1,SubsidieTabel!$J5,0),0)</f>
        <v>0</v>
      </c>
      <c r="T5" s="282">
        <f>IFERROR(IF(INDEX(Tb_Activiteiten[#All],MATCH(SubsidieTabel!$A5,Tb_Activiteiten[[#All],[Subsidiabele_Activiteit]],0),MATCH(SubsidieTabel!T$1,Tb_Activiteiten[#Headers],0))=1,SubsidieTabel!$K5,0),0)</f>
        <v>0</v>
      </c>
      <c r="U5" s="282">
        <f>IFERROR(IF(INDEX(Tb_Activiteiten[#All],MATCH(SubsidieTabel!$A5,Tb_Activiteiten[[#All],[Subsidiabele_Activiteit]],0),MATCH(SubsidieTabel!U$1,Tb_Activiteiten[#Headers],0))=1,SubsidieTabel!$J5,0),0)</f>
        <v>0</v>
      </c>
      <c r="V5" s="282">
        <f>IFERROR(IF(INDEX(Tb_Activiteiten[#All],MATCH(SubsidieTabel!$A5,Tb_Activiteiten[[#All],[Subsidiabele_Activiteit]],0),MATCH(SubsidieTabel!V$1,Tb_Activiteiten[#Headers],0))=1,SubsidieTabel!$K5,0),0)</f>
        <v>0</v>
      </c>
      <c r="W5" s="64">
        <f>IFERROR(IF(INDEX(Tb_Activiteiten[#All],MATCH(SubsidieTabel!$A5,Tb_Activiteiten[[#All],[Subsidiabele_Activiteit]],0),MATCH(SubsidieTabel!Q$1,Tb_Activiteiten[#Headers],0))=1,H5,0),0)</f>
        <v>0</v>
      </c>
      <c r="X5" s="64">
        <f>IFERROR(IF(INDEX(Tb_Activiteiten[#All],MATCH(SubsidieTabel!$A5,Tb_Activiteiten[[#All],[Subsidiabele_Activiteit]],0),MATCH(SubsidieTabel!Q$1,Tb_Activiteiten[#Headers],0))=1,I5,0),0)</f>
        <v>0</v>
      </c>
      <c r="Y5" s="64">
        <f>IFERROR(IF(INDEX(Tb_Activiteiten[#All],MATCH(SubsidieTabel!$A5,Tb_Activiteiten[[#All],[Subsidiabele_Activiteit]],0),MATCH(SubsidieTabel!S$1,Tb_Activiteiten[#Headers],0))=1,H5,0),0)</f>
        <v>0</v>
      </c>
      <c r="Z5" s="64">
        <f>IFERROR(IF(INDEX(Tb_Activiteiten[#All],MATCH(SubsidieTabel!$A5,Tb_Activiteiten[[#All],[Subsidiabele_Activiteit]],0),MATCH(SubsidieTabel!S$1,Tb_Activiteiten[#Headers],0))=1,I5,0),0)</f>
        <v>0</v>
      </c>
      <c r="AA5" s="64">
        <f>IFERROR(IF(INDEX(Tb_Activiteiten[#All],MATCH(SubsidieTabel!$A5,Tb_Activiteiten[[#All],[Subsidiabele_Activiteit]],0),MATCH(SubsidieTabel!O$1,Tb_Activiteiten[#Headers],0))=1,$F5,0),0)</f>
        <v>0</v>
      </c>
      <c r="AB5" s="64">
        <f>IFERROR(IF(INDEX(Tb_Activiteiten[#All],MATCH(SubsidieTabel!$A5,Tb_Activiteiten[[#All],[Subsidiabele_Activiteit]],0),MATCH(SubsidieTabel!O$1,Tb_Activiteiten[#Headers],0))=1,$G5,0),0)</f>
        <v>0</v>
      </c>
      <c r="AD5" s="12" t="str">
        <f>Openstelling_Activiteit!S3</f>
        <v>Niet verrekenbare btw</v>
      </c>
      <c r="AE5">
        <v>1</v>
      </c>
      <c r="AF5">
        <v>1</v>
      </c>
      <c r="AG5">
        <v>0</v>
      </c>
      <c r="AI5" t="str">
        <f>Tb_KostenOpties[[#This Row],[KostenOptie]]</f>
        <v>Niet verrekenbare btw</v>
      </c>
      <c r="AJ5">
        <v>1</v>
      </c>
      <c r="AK5">
        <v>1</v>
      </c>
      <c r="AL5">
        <v>0</v>
      </c>
    </row>
    <row r="6" spans="1:40" x14ac:dyDescent="0.25">
      <c r="A6" s="63"/>
      <c r="B6" s="63"/>
      <c r="C6" s="63" t="str">
        <f>IFERROR(VLOOKUP($B6,Tb_ProjectKosten[],4,0),"")</f>
        <v/>
      </c>
      <c r="D6" s="63" t="str" cm="1">
        <f t="array" ref="D6">IFERROR(INDEX(Tb_KostenOpties[],MATCH(B6,Tb_KostenOpties[KostenOptie],0),IFERROR(MATCH(Methode_Keuze,Tb_KostenOpties[#Headers],0),2)),"")</f>
        <v/>
      </c>
      <c r="E6" s="283">
        <f>IFERROR(VLOOKUP(B6,Tb_ProjectKosten[[#All],[KostenOmschrijving]:[Forfait_Percentage]],6,0),0)</f>
        <v>0</v>
      </c>
      <c r="F6" s="284">
        <f>SUMIFS('5. Kosten uitvoering project'!R:R,'5. Kosten uitvoering project'!E:E,SubsidieTabel!A6,'5. Kosten uitvoering project'!F:F,SubsidieTabel!B6)</f>
        <v>0</v>
      </c>
      <c r="G6" s="284">
        <f>SUMIFS('5. Kosten uitvoering project'!S:S,'5. Kosten uitvoering project'!E:E,SubsidieTabel!A6,'5. Kosten uitvoering project'!F:F,SubsidieTabel!B6)</f>
        <v>0</v>
      </c>
      <c r="H6" s="284">
        <f>SUMIFS('5. Kosten uitvoering project'!U:U,'5. Kosten uitvoering project'!E:E,SubsidieTabel!A6,'5. Kosten uitvoering project'!F:F,SubsidieTabel!B6)</f>
        <v>0</v>
      </c>
      <c r="I6" s="284">
        <f>SUMIFS('5. Kosten uitvoering project'!V:V,'5. Kosten uitvoering project'!E:E,SubsidieTabel!A6,'5. Kosten uitvoering project'!F:F,SubsidieTabel!B6)</f>
        <v>0</v>
      </c>
      <c r="J6" s="284">
        <f t="shared" si="0"/>
        <v>0</v>
      </c>
      <c r="K6" s="284">
        <f t="shared" si="1"/>
        <v>0</v>
      </c>
      <c r="L6" s="283" t="str">
        <f>IFERROR(VLOOKUP(A6,Lijsten!$AK:$AL,2,0),"")</f>
        <v/>
      </c>
      <c r="M6" s="284">
        <f t="shared" si="2"/>
        <v>0</v>
      </c>
      <c r="N6" s="284">
        <f t="shared" si="3"/>
        <v>0</v>
      </c>
      <c r="O6" s="284">
        <f>IFERROR(IF(INDEX(Tb_Activiteiten[#All],MATCH(SubsidieTabel!$A6,Tb_Activiteiten[[#All],[Subsidiabele_Activiteit]],0),MATCH(SubsidieTabel!O$1,Tb_Activiteiten[#Headers],0))=1,SubsidieTabel!$J6,0),0)</f>
        <v>0</v>
      </c>
      <c r="P6" s="284">
        <f>IFERROR(IF(INDEX(Tb_Activiteiten[#All],MATCH(SubsidieTabel!$A6,Tb_Activiteiten[[#All],[Subsidiabele_Activiteit]],0),MATCH(SubsidieTabel!P$1,Tb_Activiteiten[#Headers],0))=1,SubsidieTabel!$K6,0),0)</f>
        <v>0</v>
      </c>
      <c r="Q6" s="284">
        <f>IFERROR(IF(INDEX(Tb_Activiteiten[#All],MATCH(SubsidieTabel!$A6,Tb_Activiteiten[[#All],[Subsidiabele_Activiteit]],0),MATCH(SubsidieTabel!Q$1,Tb_Activiteiten[#Headers],0))=1,SubsidieTabel!$J6,0),0)</f>
        <v>0</v>
      </c>
      <c r="R6" s="284">
        <f>IFERROR(IF(INDEX(Tb_Activiteiten[#All],MATCH(SubsidieTabel!$A6,Tb_Activiteiten[[#All],[Subsidiabele_Activiteit]],0),MATCH(SubsidieTabel!R$1,Tb_Activiteiten[#Headers],0))=1,SubsidieTabel!$K6,0),0)</f>
        <v>0</v>
      </c>
      <c r="S6" s="284">
        <f>IFERROR(IF(INDEX(Tb_Activiteiten[#All],MATCH(SubsidieTabel!$A6,Tb_Activiteiten[[#All],[Subsidiabele_Activiteit]],0),MATCH(SubsidieTabel!S$1,Tb_Activiteiten[#Headers],0))=1,SubsidieTabel!$J6,0),0)</f>
        <v>0</v>
      </c>
      <c r="T6" s="284">
        <f>IFERROR(IF(INDEX(Tb_Activiteiten[#All],MATCH(SubsidieTabel!$A6,Tb_Activiteiten[[#All],[Subsidiabele_Activiteit]],0),MATCH(SubsidieTabel!T$1,Tb_Activiteiten[#Headers],0))=1,SubsidieTabel!$K6,0),0)</f>
        <v>0</v>
      </c>
      <c r="U6" s="284">
        <f>IFERROR(IF(INDEX(Tb_Activiteiten[#All],MATCH(SubsidieTabel!$A6,Tb_Activiteiten[[#All],[Subsidiabele_Activiteit]],0),MATCH(SubsidieTabel!U$1,Tb_Activiteiten[#Headers],0))=1,SubsidieTabel!$J6,0),0)</f>
        <v>0</v>
      </c>
      <c r="V6" s="284">
        <f>IFERROR(IF(INDEX(Tb_Activiteiten[#All],MATCH(SubsidieTabel!$A6,Tb_Activiteiten[[#All],[Subsidiabele_Activiteit]],0),MATCH(SubsidieTabel!V$1,Tb_Activiteiten[#Headers],0))=1,SubsidieTabel!$K6,0),0)</f>
        <v>0</v>
      </c>
      <c r="W6" s="369">
        <f>IFERROR(IF(INDEX(Tb_Activiteiten[#All],MATCH(SubsidieTabel!$A6,Tb_Activiteiten[[#All],[Subsidiabele_Activiteit]],0),MATCH(SubsidieTabel!Q$1,Tb_Activiteiten[#Headers],0))=1,H6,0),0)</f>
        <v>0</v>
      </c>
      <c r="X6" s="369">
        <f>IFERROR(IF(INDEX(Tb_Activiteiten[#All],MATCH(SubsidieTabel!$A6,Tb_Activiteiten[[#All],[Subsidiabele_Activiteit]],0),MATCH(SubsidieTabel!Q$1,Tb_Activiteiten[#Headers],0))=1,I6,0),0)</f>
        <v>0</v>
      </c>
      <c r="Y6" s="369">
        <f>IFERROR(IF(INDEX(Tb_Activiteiten[#All],MATCH(SubsidieTabel!$A6,Tb_Activiteiten[[#All],[Subsidiabele_Activiteit]],0),MATCH(SubsidieTabel!S$1,Tb_Activiteiten[#Headers],0))=1,H6,0),0)</f>
        <v>0</v>
      </c>
      <c r="Z6" s="369">
        <f>IFERROR(IF(INDEX(Tb_Activiteiten[#All],MATCH(SubsidieTabel!$A6,Tb_Activiteiten[[#All],[Subsidiabele_Activiteit]],0),MATCH(SubsidieTabel!S$1,Tb_Activiteiten[#Headers],0))=1,I6,0),0)</f>
        <v>0</v>
      </c>
      <c r="AA6" s="369">
        <f>IFERROR(IF(INDEX(Tb_Activiteiten[#All],MATCH(SubsidieTabel!$A6,Tb_Activiteiten[[#All],[Subsidiabele_Activiteit]],0),MATCH(SubsidieTabel!O$1,Tb_Activiteiten[#Headers],0))=1,$F6,0),0)</f>
        <v>0</v>
      </c>
      <c r="AB6" s="369">
        <f>IFERROR(IF(INDEX(Tb_Activiteiten[#All],MATCH(SubsidieTabel!$A6,Tb_Activiteiten[[#All],[Subsidiabele_Activiteit]],0),MATCH(SubsidieTabel!O$1,Tb_Activiteiten[#Headers],0))=1,$G6,0),0)</f>
        <v>0</v>
      </c>
      <c r="AD6" s="12" t="str">
        <f>Openstelling_Activiteit!T3</f>
        <v>Grondkosten</v>
      </c>
      <c r="AE6">
        <v>1</v>
      </c>
      <c r="AF6">
        <v>1</v>
      </c>
      <c r="AG6">
        <v>0</v>
      </c>
      <c r="AI6" t="str">
        <f>Tb_KostenOpties[[#This Row],[KostenOptie]]</f>
        <v>Grondkosten</v>
      </c>
      <c r="AJ6">
        <v>1</v>
      </c>
      <c r="AK6">
        <v>1</v>
      </c>
      <c r="AL6">
        <v>0</v>
      </c>
    </row>
    <row r="7" spans="1:40" x14ac:dyDescent="0.25">
      <c r="A7" s="12"/>
      <c r="B7" s="12"/>
      <c r="C7" s="12" t="str">
        <f>IFERROR(VLOOKUP($B7,Tb_ProjectKosten[],4,0),"")</f>
        <v/>
      </c>
      <c r="D7" s="12" t="str" cm="1">
        <f t="array" ref="D7">IFERROR(INDEX(Tb_KostenOpties[],MATCH(B7,Tb_KostenOpties[KostenOptie],0),IFERROR(MATCH(Methode_Keuze,Tb_KostenOpties[#Headers],0),2)),"")</f>
        <v/>
      </c>
      <c r="E7" s="281">
        <f>IFERROR(VLOOKUP(B7,Tb_ProjectKosten[[#All],[KostenOmschrijving]:[Forfait_Percentage]],6,0),0)</f>
        <v>0</v>
      </c>
      <c r="F7" s="282">
        <f>SUMIFS('5. Kosten uitvoering project'!R:R,'5. Kosten uitvoering project'!E:E,SubsidieTabel!A7,'5. Kosten uitvoering project'!F:F,SubsidieTabel!B7)</f>
        <v>0</v>
      </c>
      <c r="G7" s="282">
        <f>SUMIFS('5. Kosten uitvoering project'!S:S,'5. Kosten uitvoering project'!E:E,SubsidieTabel!A7,'5. Kosten uitvoering project'!F:F,SubsidieTabel!B7)</f>
        <v>0</v>
      </c>
      <c r="H7" s="282">
        <f>SUMIFS('5. Kosten uitvoering project'!U:U,'5. Kosten uitvoering project'!E:E,SubsidieTabel!A7,'5. Kosten uitvoering project'!F:F,SubsidieTabel!B7)</f>
        <v>0</v>
      </c>
      <c r="I7" s="282">
        <f>SUMIFS('5. Kosten uitvoering project'!V:V,'5. Kosten uitvoering project'!E:E,SubsidieTabel!A7,'5. Kosten uitvoering project'!F:F,SubsidieTabel!B7)</f>
        <v>0</v>
      </c>
      <c r="J7" s="282">
        <f t="shared" si="0"/>
        <v>0</v>
      </c>
      <c r="K7" s="282">
        <f t="shared" si="1"/>
        <v>0</v>
      </c>
      <c r="L7" s="281" t="str">
        <f>IFERROR(VLOOKUP(A7,Lijsten!$AK:$AL,2,0),"")</f>
        <v/>
      </c>
      <c r="M7" s="282">
        <f t="shared" si="2"/>
        <v>0</v>
      </c>
      <c r="N7" s="282">
        <f t="shared" si="3"/>
        <v>0</v>
      </c>
      <c r="O7" s="282">
        <f>IFERROR(IF(INDEX(Tb_Activiteiten[#All],MATCH(SubsidieTabel!$A7,Tb_Activiteiten[[#All],[Subsidiabele_Activiteit]],0),MATCH(SubsidieTabel!O$1,Tb_Activiteiten[#Headers],0))=1,SubsidieTabel!$J7,0),0)</f>
        <v>0</v>
      </c>
      <c r="P7" s="282">
        <f>IFERROR(IF(INDEX(Tb_Activiteiten[#All],MATCH(SubsidieTabel!$A7,Tb_Activiteiten[[#All],[Subsidiabele_Activiteit]],0),MATCH(SubsidieTabel!P$1,Tb_Activiteiten[#Headers],0))=1,SubsidieTabel!$K7,0),0)</f>
        <v>0</v>
      </c>
      <c r="Q7" s="282">
        <f>IFERROR(IF(INDEX(Tb_Activiteiten[#All],MATCH(SubsidieTabel!$A7,Tb_Activiteiten[[#All],[Subsidiabele_Activiteit]],0),MATCH(SubsidieTabel!Q$1,Tb_Activiteiten[#Headers],0))=1,SubsidieTabel!$J7,0),0)</f>
        <v>0</v>
      </c>
      <c r="R7" s="282">
        <f>IFERROR(IF(INDEX(Tb_Activiteiten[#All],MATCH(SubsidieTabel!$A7,Tb_Activiteiten[[#All],[Subsidiabele_Activiteit]],0),MATCH(SubsidieTabel!R$1,Tb_Activiteiten[#Headers],0))=1,SubsidieTabel!$K7,0),0)</f>
        <v>0</v>
      </c>
      <c r="S7" s="282">
        <f>IFERROR(IF(INDEX(Tb_Activiteiten[#All],MATCH(SubsidieTabel!$A7,Tb_Activiteiten[[#All],[Subsidiabele_Activiteit]],0),MATCH(SubsidieTabel!S$1,Tb_Activiteiten[#Headers],0))=1,SubsidieTabel!$J7,0),0)</f>
        <v>0</v>
      </c>
      <c r="T7" s="282">
        <f>IFERROR(IF(INDEX(Tb_Activiteiten[#All],MATCH(SubsidieTabel!$A7,Tb_Activiteiten[[#All],[Subsidiabele_Activiteit]],0),MATCH(SubsidieTabel!T$1,Tb_Activiteiten[#Headers],0))=1,SubsidieTabel!$K7,0),0)</f>
        <v>0</v>
      </c>
      <c r="U7" s="282">
        <f>IFERROR(IF(INDEX(Tb_Activiteiten[#All],MATCH(SubsidieTabel!$A7,Tb_Activiteiten[[#All],[Subsidiabele_Activiteit]],0),MATCH(SubsidieTabel!U$1,Tb_Activiteiten[#Headers],0))=1,SubsidieTabel!$J7,0),0)</f>
        <v>0</v>
      </c>
      <c r="V7" s="282">
        <f>IFERROR(IF(INDEX(Tb_Activiteiten[#All],MATCH(SubsidieTabel!$A7,Tb_Activiteiten[[#All],[Subsidiabele_Activiteit]],0),MATCH(SubsidieTabel!V$1,Tb_Activiteiten[#Headers],0))=1,SubsidieTabel!$K7,0),0)</f>
        <v>0</v>
      </c>
      <c r="W7" s="64">
        <f>IFERROR(IF(INDEX(Tb_Activiteiten[#All],MATCH(SubsidieTabel!$A7,Tb_Activiteiten[[#All],[Subsidiabele_Activiteit]],0),MATCH(SubsidieTabel!Q$1,Tb_Activiteiten[#Headers],0))=1,H7,0),0)</f>
        <v>0</v>
      </c>
      <c r="X7" s="64">
        <f>IFERROR(IF(INDEX(Tb_Activiteiten[#All],MATCH(SubsidieTabel!$A7,Tb_Activiteiten[[#All],[Subsidiabele_Activiteit]],0),MATCH(SubsidieTabel!Q$1,Tb_Activiteiten[#Headers],0))=1,I7,0),0)</f>
        <v>0</v>
      </c>
      <c r="Y7" s="64">
        <f>IFERROR(IF(INDEX(Tb_Activiteiten[#All],MATCH(SubsidieTabel!$A7,Tb_Activiteiten[[#All],[Subsidiabele_Activiteit]],0),MATCH(SubsidieTabel!S$1,Tb_Activiteiten[#Headers],0))=1,H7,0),0)</f>
        <v>0</v>
      </c>
      <c r="Z7" s="64">
        <f>IFERROR(IF(INDEX(Tb_Activiteiten[#All],MATCH(SubsidieTabel!$A7,Tb_Activiteiten[[#All],[Subsidiabele_Activiteit]],0),MATCH(SubsidieTabel!S$1,Tb_Activiteiten[#Headers],0))=1,I7,0),0)</f>
        <v>0</v>
      </c>
      <c r="AA7" s="64">
        <f>IFERROR(IF(INDEX(Tb_Activiteiten[#All],MATCH(SubsidieTabel!$A7,Tb_Activiteiten[[#All],[Subsidiabele_Activiteit]],0),MATCH(SubsidieTabel!O$1,Tb_Activiteiten[#Headers],0))=1,$F7,0),0)</f>
        <v>0</v>
      </c>
      <c r="AB7" s="64">
        <f>IFERROR(IF(INDEX(Tb_Activiteiten[#All],MATCH(SubsidieTabel!$A7,Tb_Activiteiten[[#All],[Subsidiabele_Activiteit]],0),MATCH(SubsidieTabel!O$1,Tb_Activiteiten[#Headers],0))=1,$G7,0),0)</f>
        <v>0</v>
      </c>
      <c r="AD7" s="12" t="str">
        <f>Openstelling_Activiteit!U3</f>
        <v>Bijdrage in natura (overige)</v>
      </c>
      <c r="AE7">
        <v>1</v>
      </c>
      <c r="AF7">
        <v>1</v>
      </c>
      <c r="AG7">
        <v>0</v>
      </c>
      <c r="AI7" t="str">
        <f>Tb_KostenOpties[[#This Row],[KostenOptie]]</f>
        <v>Bijdrage in natura (overige)</v>
      </c>
      <c r="AJ7">
        <v>1</v>
      </c>
      <c r="AK7">
        <v>1</v>
      </c>
      <c r="AL7">
        <v>0</v>
      </c>
    </row>
    <row r="8" spans="1:40" x14ac:dyDescent="0.25">
      <c r="A8" s="63"/>
      <c r="B8" s="63"/>
      <c r="C8" s="63" t="str">
        <f>IFERROR(VLOOKUP($B8,Tb_ProjectKosten[],4,0),"")</f>
        <v/>
      </c>
      <c r="D8" s="63" t="str" cm="1">
        <f t="array" ref="D8">IFERROR(INDEX(Tb_KostenOpties[],MATCH(B8,Tb_KostenOpties[KostenOptie],0),IFERROR(MATCH(Methode_Keuze,Tb_KostenOpties[#Headers],0),2)),"")</f>
        <v/>
      </c>
      <c r="E8" s="283">
        <f>IFERROR(VLOOKUP(B8,Tb_ProjectKosten[[#All],[KostenOmschrijving]:[Forfait_Percentage]],6,0),0)</f>
        <v>0</v>
      </c>
      <c r="F8" s="284">
        <f>SUMIFS('5. Kosten uitvoering project'!R:R,'5. Kosten uitvoering project'!E:E,SubsidieTabel!A8,'5. Kosten uitvoering project'!F:F,SubsidieTabel!B8)</f>
        <v>0</v>
      </c>
      <c r="G8" s="284">
        <f>SUMIFS('5. Kosten uitvoering project'!S:S,'5. Kosten uitvoering project'!E:E,SubsidieTabel!A8,'5. Kosten uitvoering project'!F:F,SubsidieTabel!B8)</f>
        <v>0</v>
      </c>
      <c r="H8" s="284">
        <f>SUMIFS('5. Kosten uitvoering project'!U:U,'5. Kosten uitvoering project'!E:E,SubsidieTabel!A8,'5. Kosten uitvoering project'!F:F,SubsidieTabel!B8)</f>
        <v>0</v>
      </c>
      <c r="I8" s="284">
        <f>SUMIFS('5. Kosten uitvoering project'!V:V,'5. Kosten uitvoering project'!E:E,SubsidieTabel!A8,'5. Kosten uitvoering project'!F:F,SubsidieTabel!B8)</f>
        <v>0</v>
      </c>
      <c r="J8" s="284">
        <f t="shared" si="0"/>
        <v>0</v>
      </c>
      <c r="K8" s="284">
        <f t="shared" si="1"/>
        <v>0</v>
      </c>
      <c r="L8" s="283" t="str">
        <f>IFERROR(VLOOKUP(A8,Lijsten!$AK:$AL,2,0),"")</f>
        <v/>
      </c>
      <c r="M8" s="284">
        <f t="shared" si="2"/>
        <v>0</v>
      </c>
      <c r="N8" s="284">
        <f t="shared" si="3"/>
        <v>0</v>
      </c>
      <c r="O8" s="284">
        <f>IFERROR(IF(INDEX(Tb_Activiteiten[#All],MATCH(SubsidieTabel!$A8,Tb_Activiteiten[[#All],[Subsidiabele_Activiteit]],0),MATCH(SubsidieTabel!O$1,Tb_Activiteiten[#Headers],0))=1,SubsidieTabel!$J8,0),0)</f>
        <v>0</v>
      </c>
      <c r="P8" s="284">
        <f>IFERROR(IF(INDEX(Tb_Activiteiten[#All],MATCH(SubsidieTabel!$A8,Tb_Activiteiten[[#All],[Subsidiabele_Activiteit]],0),MATCH(SubsidieTabel!P$1,Tb_Activiteiten[#Headers],0))=1,SubsidieTabel!$K8,0),0)</f>
        <v>0</v>
      </c>
      <c r="Q8" s="284">
        <f>IFERROR(IF(INDEX(Tb_Activiteiten[#All],MATCH(SubsidieTabel!$A8,Tb_Activiteiten[[#All],[Subsidiabele_Activiteit]],0),MATCH(SubsidieTabel!Q$1,Tb_Activiteiten[#Headers],0))=1,SubsidieTabel!$J8,0),0)</f>
        <v>0</v>
      </c>
      <c r="R8" s="284">
        <f>IFERROR(IF(INDEX(Tb_Activiteiten[#All],MATCH(SubsidieTabel!$A8,Tb_Activiteiten[[#All],[Subsidiabele_Activiteit]],0),MATCH(SubsidieTabel!R$1,Tb_Activiteiten[#Headers],0))=1,SubsidieTabel!$K8,0),0)</f>
        <v>0</v>
      </c>
      <c r="S8" s="284">
        <f>IFERROR(IF(INDEX(Tb_Activiteiten[#All],MATCH(SubsidieTabel!$A8,Tb_Activiteiten[[#All],[Subsidiabele_Activiteit]],0),MATCH(SubsidieTabel!S$1,Tb_Activiteiten[#Headers],0))=1,SubsidieTabel!$J8,0),0)</f>
        <v>0</v>
      </c>
      <c r="T8" s="284">
        <f>IFERROR(IF(INDEX(Tb_Activiteiten[#All],MATCH(SubsidieTabel!$A8,Tb_Activiteiten[[#All],[Subsidiabele_Activiteit]],0),MATCH(SubsidieTabel!T$1,Tb_Activiteiten[#Headers],0))=1,SubsidieTabel!$K8,0),0)</f>
        <v>0</v>
      </c>
      <c r="U8" s="284">
        <f>IFERROR(IF(INDEX(Tb_Activiteiten[#All],MATCH(SubsidieTabel!$A8,Tb_Activiteiten[[#All],[Subsidiabele_Activiteit]],0),MATCH(SubsidieTabel!U$1,Tb_Activiteiten[#Headers],0))=1,SubsidieTabel!$J8,0),0)</f>
        <v>0</v>
      </c>
      <c r="V8" s="284">
        <f>IFERROR(IF(INDEX(Tb_Activiteiten[#All],MATCH(SubsidieTabel!$A8,Tb_Activiteiten[[#All],[Subsidiabele_Activiteit]],0),MATCH(SubsidieTabel!V$1,Tb_Activiteiten[#Headers],0))=1,SubsidieTabel!$K8,0),0)</f>
        <v>0</v>
      </c>
      <c r="W8" s="369">
        <f>IFERROR(IF(INDEX(Tb_Activiteiten[#All],MATCH(SubsidieTabel!$A8,Tb_Activiteiten[[#All],[Subsidiabele_Activiteit]],0),MATCH(SubsidieTabel!Q$1,Tb_Activiteiten[#Headers],0))=1,H8,0),0)</f>
        <v>0</v>
      </c>
      <c r="X8" s="369">
        <f>IFERROR(IF(INDEX(Tb_Activiteiten[#All],MATCH(SubsidieTabel!$A8,Tb_Activiteiten[[#All],[Subsidiabele_Activiteit]],0),MATCH(SubsidieTabel!Q$1,Tb_Activiteiten[#Headers],0))=1,I8,0),0)</f>
        <v>0</v>
      </c>
      <c r="Y8" s="369">
        <f>IFERROR(IF(INDEX(Tb_Activiteiten[#All],MATCH(SubsidieTabel!$A8,Tb_Activiteiten[[#All],[Subsidiabele_Activiteit]],0),MATCH(SubsidieTabel!S$1,Tb_Activiteiten[#Headers],0))=1,H8,0),0)</f>
        <v>0</v>
      </c>
      <c r="Z8" s="369">
        <f>IFERROR(IF(INDEX(Tb_Activiteiten[#All],MATCH(SubsidieTabel!$A8,Tb_Activiteiten[[#All],[Subsidiabele_Activiteit]],0),MATCH(SubsidieTabel!S$1,Tb_Activiteiten[#Headers],0))=1,I8,0),0)</f>
        <v>0</v>
      </c>
      <c r="AA8" s="369">
        <f>IFERROR(IF(INDEX(Tb_Activiteiten[#All],MATCH(SubsidieTabel!$A8,Tb_Activiteiten[[#All],[Subsidiabele_Activiteit]],0),MATCH(SubsidieTabel!O$1,Tb_Activiteiten[#Headers],0))=1,$F8,0),0)</f>
        <v>0</v>
      </c>
      <c r="AB8" s="369">
        <f>IFERROR(IF(INDEX(Tb_Activiteiten[#All],MATCH(SubsidieTabel!$A8,Tb_Activiteiten[[#All],[Subsidiabele_Activiteit]],0),MATCH(SubsidieTabel!O$1,Tb_Activiteiten[#Headers],0))=1,$G8,0),0)</f>
        <v>0</v>
      </c>
      <c r="AD8" s="12" t="str">
        <f>Openstelling_Activiteit!V3</f>
        <v>Bijdrage in natura (vrijwilligers)</v>
      </c>
      <c r="AE8">
        <v>1</v>
      </c>
      <c r="AF8">
        <v>1</v>
      </c>
      <c r="AG8">
        <v>0</v>
      </c>
      <c r="AI8" t="str">
        <f>Tb_KostenOpties[[#This Row],[KostenOptie]]</f>
        <v>Bijdrage in natura (vrijwilligers)</v>
      </c>
      <c r="AJ8">
        <v>1</v>
      </c>
      <c r="AK8">
        <v>1</v>
      </c>
      <c r="AL8">
        <v>0</v>
      </c>
    </row>
    <row r="9" spans="1:40" x14ac:dyDescent="0.25">
      <c r="A9" s="12"/>
      <c r="B9" s="12"/>
      <c r="C9" s="12" t="str">
        <f>IFERROR(VLOOKUP($B9,Tb_ProjectKosten[],4,0),"")</f>
        <v/>
      </c>
      <c r="D9" s="12" t="str" cm="1">
        <f t="array" ref="D9">IFERROR(INDEX(Tb_KostenOpties[],MATCH(B9,Tb_KostenOpties[KostenOptie],0),IFERROR(MATCH(Methode_Keuze,Tb_KostenOpties[#Headers],0),2)),"")</f>
        <v/>
      </c>
      <c r="E9" s="281">
        <f>IFERROR(VLOOKUP(B9,Tb_ProjectKosten[[#All],[KostenOmschrijving]:[Forfait_Percentage]],6,0),0)</f>
        <v>0</v>
      </c>
      <c r="F9" s="282">
        <f>SUMIFS('5. Kosten uitvoering project'!R:R,'5. Kosten uitvoering project'!E:E,SubsidieTabel!A9,'5. Kosten uitvoering project'!F:F,SubsidieTabel!B9)</f>
        <v>0</v>
      </c>
      <c r="G9" s="282">
        <f>SUMIFS('5. Kosten uitvoering project'!S:S,'5. Kosten uitvoering project'!E:E,SubsidieTabel!A9,'5. Kosten uitvoering project'!F:F,SubsidieTabel!B9)</f>
        <v>0</v>
      </c>
      <c r="H9" s="282">
        <f>SUMIFS('5. Kosten uitvoering project'!U:U,'5. Kosten uitvoering project'!E:E,SubsidieTabel!A9,'5. Kosten uitvoering project'!F:F,SubsidieTabel!B9)</f>
        <v>0</v>
      </c>
      <c r="I9" s="282">
        <f>SUMIFS('5. Kosten uitvoering project'!V:V,'5. Kosten uitvoering project'!E:E,SubsidieTabel!A9,'5. Kosten uitvoering project'!F:F,SubsidieTabel!B9)</f>
        <v>0</v>
      </c>
      <c r="J9" s="282">
        <f t="shared" si="0"/>
        <v>0</v>
      </c>
      <c r="K9" s="282">
        <f t="shared" si="1"/>
        <v>0</v>
      </c>
      <c r="L9" s="281" t="str">
        <f>IFERROR(VLOOKUP(A9,Lijsten!$AK:$AL,2,0),"")</f>
        <v/>
      </c>
      <c r="M9" s="282">
        <f t="shared" si="2"/>
        <v>0</v>
      </c>
      <c r="N9" s="282">
        <f t="shared" si="3"/>
        <v>0</v>
      </c>
      <c r="O9" s="282">
        <f>IFERROR(IF(INDEX(Tb_Activiteiten[#All],MATCH(SubsidieTabel!$A9,Tb_Activiteiten[[#All],[Subsidiabele_Activiteit]],0),MATCH(SubsidieTabel!O$1,Tb_Activiteiten[#Headers],0))=1,SubsidieTabel!$J9,0),0)</f>
        <v>0</v>
      </c>
      <c r="P9" s="282">
        <f>IFERROR(IF(INDEX(Tb_Activiteiten[#All],MATCH(SubsidieTabel!$A9,Tb_Activiteiten[[#All],[Subsidiabele_Activiteit]],0),MATCH(SubsidieTabel!P$1,Tb_Activiteiten[#Headers],0))=1,SubsidieTabel!$K9,0),0)</f>
        <v>0</v>
      </c>
      <c r="Q9" s="282">
        <f>IFERROR(IF(INDEX(Tb_Activiteiten[#All],MATCH(SubsidieTabel!$A9,Tb_Activiteiten[[#All],[Subsidiabele_Activiteit]],0),MATCH(SubsidieTabel!Q$1,Tb_Activiteiten[#Headers],0))=1,SubsidieTabel!$J9,0),0)</f>
        <v>0</v>
      </c>
      <c r="R9" s="282">
        <f>IFERROR(IF(INDEX(Tb_Activiteiten[#All],MATCH(SubsidieTabel!$A9,Tb_Activiteiten[[#All],[Subsidiabele_Activiteit]],0),MATCH(SubsidieTabel!R$1,Tb_Activiteiten[#Headers],0))=1,SubsidieTabel!$K9,0),0)</f>
        <v>0</v>
      </c>
      <c r="S9" s="282">
        <f>IFERROR(IF(INDEX(Tb_Activiteiten[#All],MATCH(SubsidieTabel!$A9,Tb_Activiteiten[[#All],[Subsidiabele_Activiteit]],0),MATCH(SubsidieTabel!S$1,Tb_Activiteiten[#Headers],0))=1,SubsidieTabel!$J9,0),0)</f>
        <v>0</v>
      </c>
      <c r="T9" s="282">
        <f>IFERROR(IF(INDEX(Tb_Activiteiten[#All],MATCH(SubsidieTabel!$A9,Tb_Activiteiten[[#All],[Subsidiabele_Activiteit]],0),MATCH(SubsidieTabel!T$1,Tb_Activiteiten[#Headers],0))=1,SubsidieTabel!$K9,0),0)</f>
        <v>0</v>
      </c>
      <c r="U9" s="282">
        <f>IFERROR(IF(INDEX(Tb_Activiteiten[#All],MATCH(SubsidieTabel!$A9,Tb_Activiteiten[[#All],[Subsidiabele_Activiteit]],0),MATCH(SubsidieTabel!U$1,Tb_Activiteiten[#Headers],0))=1,SubsidieTabel!$J9,0),0)</f>
        <v>0</v>
      </c>
      <c r="V9" s="282">
        <f>IFERROR(IF(INDEX(Tb_Activiteiten[#All],MATCH(SubsidieTabel!$A9,Tb_Activiteiten[[#All],[Subsidiabele_Activiteit]],0),MATCH(SubsidieTabel!V$1,Tb_Activiteiten[#Headers],0))=1,SubsidieTabel!$K9,0),0)</f>
        <v>0</v>
      </c>
      <c r="W9" s="64">
        <f>IFERROR(IF(INDEX(Tb_Activiteiten[#All],MATCH(SubsidieTabel!$A9,Tb_Activiteiten[[#All],[Subsidiabele_Activiteit]],0),MATCH(SubsidieTabel!Q$1,Tb_Activiteiten[#Headers],0))=1,H9,0),0)</f>
        <v>0</v>
      </c>
      <c r="X9" s="64">
        <f>IFERROR(IF(INDEX(Tb_Activiteiten[#All],MATCH(SubsidieTabel!$A9,Tb_Activiteiten[[#All],[Subsidiabele_Activiteit]],0),MATCH(SubsidieTabel!Q$1,Tb_Activiteiten[#Headers],0))=1,I9,0),0)</f>
        <v>0</v>
      </c>
      <c r="Y9" s="64">
        <f>IFERROR(IF(INDEX(Tb_Activiteiten[#All],MATCH(SubsidieTabel!$A9,Tb_Activiteiten[[#All],[Subsidiabele_Activiteit]],0),MATCH(SubsidieTabel!S$1,Tb_Activiteiten[#Headers],0))=1,H9,0),0)</f>
        <v>0</v>
      </c>
      <c r="Z9" s="64">
        <f>IFERROR(IF(INDEX(Tb_Activiteiten[#All],MATCH(SubsidieTabel!$A9,Tb_Activiteiten[[#All],[Subsidiabele_Activiteit]],0),MATCH(SubsidieTabel!S$1,Tb_Activiteiten[#Headers],0))=1,I9,0),0)</f>
        <v>0</v>
      </c>
      <c r="AA9" s="64">
        <f>IFERROR(IF(INDEX(Tb_Activiteiten[#All],MATCH(SubsidieTabel!$A9,Tb_Activiteiten[[#All],[Subsidiabele_Activiteit]],0),MATCH(SubsidieTabel!O$1,Tb_Activiteiten[#Headers],0))=1,$F9,0),0)</f>
        <v>0</v>
      </c>
      <c r="AB9" s="64">
        <f>IFERROR(IF(INDEX(Tb_Activiteiten[#All],MATCH(SubsidieTabel!$A9,Tb_Activiteiten[[#All],[Subsidiabele_Activiteit]],0),MATCH(SubsidieTabel!O$1,Tb_Activiteiten[#Headers],0))=1,$G9,0),0)</f>
        <v>0</v>
      </c>
      <c r="AD9" s="62" t="str">
        <f>Openstelling_Activiteit!W3</f>
        <v>Afschrijvingskosten</v>
      </c>
      <c r="AE9">
        <v>1</v>
      </c>
      <c r="AF9">
        <v>1</v>
      </c>
      <c r="AG9">
        <v>0</v>
      </c>
      <c r="AI9" t="str">
        <f>Tb_KostenOpties[[#This Row],[KostenOptie]]</f>
        <v>Afschrijvingskosten</v>
      </c>
      <c r="AJ9">
        <v>1</v>
      </c>
      <c r="AK9">
        <v>1</v>
      </c>
      <c r="AL9">
        <v>0</v>
      </c>
    </row>
    <row r="10" spans="1:40" x14ac:dyDescent="0.25">
      <c r="A10" s="63"/>
      <c r="B10" s="63"/>
      <c r="C10" s="63" t="str">
        <f>IFERROR(VLOOKUP($B10,Tb_ProjectKosten[],4,0),"")</f>
        <v/>
      </c>
      <c r="D10" s="63" t="str" cm="1">
        <f t="array" ref="D10">IFERROR(INDEX(Tb_KostenOpties[],MATCH(B10,Tb_KostenOpties[KostenOptie],0),IFERROR(MATCH(Methode_Keuze,Tb_KostenOpties[#Headers],0),2)),"")</f>
        <v/>
      </c>
      <c r="E10" s="283">
        <f>IFERROR(VLOOKUP(B10,Tb_ProjectKosten[[#All],[KostenOmschrijving]:[Forfait_Percentage]],6,0),0)</f>
        <v>0</v>
      </c>
      <c r="F10" s="284">
        <f>SUMIFS('5. Kosten uitvoering project'!R:R,'5. Kosten uitvoering project'!E:E,SubsidieTabel!A10,'5. Kosten uitvoering project'!F:F,SubsidieTabel!B10)</f>
        <v>0</v>
      </c>
      <c r="G10" s="284">
        <f>SUMIFS('5. Kosten uitvoering project'!S:S,'5. Kosten uitvoering project'!E:E,SubsidieTabel!A10,'5. Kosten uitvoering project'!F:F,SubsidieTabel!B10)</f>
        <v>0</v>
      </c>
      <c r="H10" s="284">
        <f>SUMIFS('5. Kosten uitvoering project'!U:U,'5. Kosten uitvoering project'!E:E,SubsidieTabel!A10,'5. Kosten uitvoering project'!F:F,SubsidieTabel!B10)</f>
        <v>0</v>
      </c>
      <c r="I10" s="284">
        <f>SUMIFS('5. Kosten uitvoering project'!V:V,'5. Kosten uitvoering project'!E:E,SubsidieTabel!A10,'5. Kosten uitvoering project'!F:F,SubsidieTabel!B10)</f>
        <v>0</v>
      </c>
      <c r="J10" s="284">
        <f t="shared" si="0"/>
        <v>0</v>
      </c>
      <c r="K10" s="284">
        <f t="shared" si="1"/>
        <v>0</v>
      </c>
      <c r="L10" s="283" t="str">
        <f>IFERROR(VLOOKUP(A10,Lijsten!$AK:$AL,2,0),"")</f>
        <v/>
      </c>
      <c r="M10" s="284">
        <f t="shared" si="2"/>
        <v>0</v>
      </c>
      <c r="N10" s="284">
        <f t="shared" si="3"/>
        <v>0</v>
      </c>
      <c r="O10" s="284">
        <f>IFERROR(IF(INDEX(Tb_Activiteiten[#All],MATCH(SubsidieTabel!$A10,Tb_Activiteiten[[#All],[Subsidiabele_Activiteit]],0),MATCH(SubsidieTabel!O$1,Tb_Activiteiten[#Headers],0))=1,SubsidieTabel!$J10,0),0)</f>
        <v>0</v>
      </c>
      <c r="P10" s="284">
        <f>IFERROR(IF(INDEX(Tb_Activiteiten[#All],MATCH(SubsidieTabel!$A10,Tb_Activiteiten[[#All],[Subsidiabele_Activiteit]],0),MATCH(SubsidieTabel!P$1,Tb_Activiteiten[#Headers],0))=1,SubsidieTabel!$K10,0),0)</f>
        <v>0</v>
      </c>
      <c r="Q10" s="284">
        <f>IFERROR(IF(INDEX(Tb_Activiteiten[#All],MATCH(SubsidieTabel!$A10,Tb_Activiteiten[[#All],[Subsidiabele_Activiteit]],0),MATCH(SubsidieTabel!Q$1,Tb_Activiteiten[#Headers],0))=1,SubsidieTabel!$J10,0),0)</f>
        <v>0</v>
      </c>
      <c r="R10" s="284">
        <f>IFERROR(IF(INDEX(Tb_Activiteiten[#All],MATCH(SubsidieTabel!$A10,Tb_Activiteiten[[#All],[Subsidiabele_Activiteit]],0),MATCH(SubsidieTabel!R$1,Tb_Activiteiten[#Headers],0))=1,SubsidieTabel!$K10,0),0)</f>
        <v>0</v>
      </c>
      <c r="S10" s="284">
        <f>IFERROR(IF(INDEX(Tb_Activiteiten[#All],MATCH(SubsidieTabel!$A10,Tb_Activiteiten[[#All],[Subsidiabele_Activiteit]],0),MATCH(SubsidieTabel!S$1,Tb_Activiteiten[#Headers],0))=1,SubsidieTabel!$J10,0),0)</f>
        <v>0</v>
      </c>
      <c r="T10" s="284">
        <f>IFERROR(IF(INDEX(Tb_Activiteiten[#All],MATCH(SubsidieTabel!$A10,Tb_Activiteiten[[#All],[Subsidiabele_Activiteit]],0),MATCH(SubsidieTabel!T$1,Tb_Activiteiten[#Headers],0))=1,SubsidieTabel!$K10,0),0)</f>
        <v>0</v>
      </c>
      <c r="U10" s="284">
        <f>IFERROR(IF(INDEX(Tb_Activiteiten[#All],MATCH(SubsidieTabel!$A10,Tb_Activiteiten[[#All],[Subsidiabele_Activiteit]],0),MATCH(SubsidieTabel!U$1,Tb_Activiteiten[#Headers],0))=1,SubsidieTabel!$J10,0),0)</f>
        <v>0</v>
      </c>
      <c r="V10" s="284">
        <f>IFERROR(IF(INDEX(Tb_Activiteiten[#All],MATCH(SubsidieTabel!$A10,Tb_Activiteiten[[#All],[Subsidiabele_Activiteit]],0),MATCH(SubsidieTabel!V$1,Tb_Activiteiten[#Headers],0))=1,SubsidieTabel!$K10,0),0)</f>
        <v>0</v>
      </c>
      <c r="W10" s="369">
        <f>IFERROR(IF(INDEX(Tb_Activiteiten[#All],MATCH(SubsidieTabel!$A10,Tb_Activiteiten[[#All],[Subsidiabele_Activiteit]],0),MATCH(SubsidieTabel!Q$1,Tb_Activiteiten[#Headers],0))=1,H10,0),0)</f>
        <v>0</v>
      </c>
      <c r="X10" s="369">
        <f>IFERROR(IF(INDEX(Tb_Activiteiten[#All],MATCH(SubsidieTabel!$A10,Tb_Activiteiten[[#All],[Subsidiabele_Activiteit]],0),MATCH(SubsidieTabel!Q$1,Tb_Activiteiten[#Headers],0))=1,I10,0),0)</f>
        <v>0</v>
      </c>
      <c r="Y10" s="369">
        <f>IFERROR(IF(INDEX(Tb_Activiteiten[#All],MATCH(SubsidieTabel!$A10,Tb_Activiteiten[[#All],[Subsidiabele_Activiteit]],0),MATCH(SubsidieTabel!S$1,Tb_Activiteiten[#Headers],0))=1,H10,0),0)</f>
        <v>0</v>
      </c>
      <c r="Z10" s="369">
        <f>IFERROR(IF(INDEX(Tb_Activiteiten[#All],MATCH(SubsidieTabel!$A10,Tb_Activiteiten[[#All],[Subsidiabele_Activiteit]],0),MATCH(SubsidieTabel!S$1,Tb_Activiteiten[#Headers],0))=1,I10,0),0)</f>
        <v>0</v>
      </c>
      <c r="AA10" s="369">
        <f>IFERROR(IF(INDEX(Tb_Activiteiten[#All],MATCH(SubsidieTabel!$A10,Tb_Activiteiten[[#All],[Subsidiabele_Activiteit]],0),MATCH(SubsidieTabel!O$1,Tb_Activiteiten[#Headers],0))=1,$F10,0),0)</f>
        <v>0</v>
      </c>
      <c r="AB10" s="369">
        <f>IFERROR(IF(INDEX(Tb_Activiteiten[#All],MATCH(SubsidieTabel!$A10,Tb_Activiteiten[[#All],[Subsidiabele_Activiteit]],0),MATCH(SubsidieTabel!O$1,Tb_Activiteiten[#Headers],0))=1,$G10,0),0)</f>
        <v>0</v>
      </c>
      <c r="AD10" s="62" t="str">
        <f>Openstelling_Activiteit!X3</f>
        <v>Vergoeding</v>
      </c>
      <c r="AE10">
        <v>1</v>
      </c>
      <c r="AF10">
        <v>1</v>
      </c>
      <c r="AG10">
        <v>0</v>
      </c>
      <c r="AI10" t="str">
        <f>Tb_KostenOpties[[#This Row],[KostenOptie]]</f>
        <v>Vergoeding</v>
      </c>
      <c r="AJ10">
        <v>1</v>
      </c>
      <c r="AK10">
        <v>1</v>
      </c>
      <c r="AL10">
        <v>0</v>
      </c>
    </row>
    <row r="11" spans="1:40" x14ac:dyDescent="0.25">
      <c r="A11" s="12"/>
      <c r="B11" s="12"/>
      <c r="C11" s="12" t="str">
        <f>IFERROR(VLOOKUP($B11,Tb_ProjectKosten[],4,0),"")</f>
        <v/>
      </c>
      <c r="D11" s="12" t="str" cm="1">
        <f t="array" ref="D11">IFERROR(INDEX(Tb_KostenOpties[],MATCH(B11,Tb_KostenOpties[KostenOptie],0),IFERROR(MATCH(Methode_Keuze,Tb_KostenOpties[#Headers],0),2)),"")</f>
        <v/>
      </c>
      <c r="E11" s="281">
        <f>IFERROR(VLOOKUP(B11,Tb_ProjectKosten[[#All],[KostenOmschrijving]:[Forfait_Percentage]],6,0),0)</f>
        <v>0</v>
      </c>
      <c r="F11" s="282">
        <f>SUMIFS('5. Kosten uitvoering project'!R:R,'5. Kosten uitvoering project'!E:E,SubsidieTabel!A11,'5. Kosten uitvoering project'!F:F,SubsidieTabel!B11)</f>
        <v>0</v>
      </c>
      <c r="G11" s="282">
        <f>SUMIFS('5. Kosten uitvoering project'!S:S,'5. Kosten uitvoering project'!E:E,SubsidieTabel!A11,'5. Kosten uitvoering project'!F:F,SubsidieTabel!B11)</f>
        <v>0</v>
      </c>
      <c r="H11" s="282">
        <f>SUMIFS('5. Kosten uitvoering project'!U:U,'5. Kosten uitvoering project'!E:E,SubsidieTabel!A11,'5. Kosten uitvoering project'!F:F,SubsidieTabel!B11)</f>
        <v>0</v>
      </c>
      <c r="I11" s="282">
        <f>SUMIFS('5. Kosten uitvoering project'!V:V,'5. Kosten uitvoering project'!E:E,SubsidieTabel!A11,'5. Kosten uitvoering project'!F:F,SubsidieTabel!B11)</f>
        <v>0</v>
      </c>
      <c r="J11" s="282">
        <f t="shared" si="0"/>
        <v>0</v>
      </c>
      <c r="K11" s="282">
        <f t="shared" si="1"/>
        <v>0</v>
      </c>
      <c r="L11" s="281" t="str">
        <f>IFERROR(VLOOKUP(A11,Lijsten!$AK:$AL,2,0),"")</f>
        <v/>
      </c>
      <c r="M11" s="282">
        <f t="shared" si="2"/>
        <v>0</v>
      </c>
      <c r="N11" s="282">
        <f t="shared" si="3"/>
        <v>0</v>
      </c>
      <c r="O11" s="282">
        <f>IFERROR(IF(INDEX(Tb_Activiteiten[#All],MATCH(SubsidieTabel!$A11,Tb_Activiteiten[[#All],[Subsidiabele_Activiteit]],0),MATCH(SubsidieTabel!O$1,Tb_Activiteiten[#Headers],0))=1,SubsidieTabel!$J11,0),0)</f>
        <v>0</v>
      </c>
      <c r="P11" s="282">
        <f>IFERROR(IF(INDEX(Tb_Activiteiten[#All],MATCH(SubsidieTabel!$A11,Tb_Activiteiten[[#All],[Subsidiabele_Activiteit]],0),MATCH(SubsidieTabel!P$1,Tb_Activiteiten[#Headers],0))=1,SubsidieTabel!$K11,0),0)</f>
        <v>0</v>
      </c>
      <c r="Q11" s="282">
        <f>IFERROR(IF(INDEX(Tb_Activiteiten[#All],MATCH(SubsidieTabel!$A11,Tb_Activiteiten[[#All],[Subsidiabele_Activiteit]],0),MATCH(SubsidieTabel!Q$1,Tb_Activiteiten[#Headers],0))=1,SubsidieTabel!$J11,0),0)</f>
        <v>0</v>
      </c>
      <c r="R11" s="282">
        <f>IFERROR(IF(INDEX(Tb_Activiteiten[#All],MATCH(SubsidieTabel!$A11,Tb_Activiteiten[[#All],[Subsidiabele_Activiteit]],0),MATCH(SubsidieTabel!R$1,Tb_Activiteiten[#Headers],0))=1,SubsidieTabel!$K11,0),0)</f>
        <v>0</v>
      </c>
      <c r="S11" s="282">
        <f>IFERROR(IF(INDEX(Tb_Activiteiten[#All],MATCH(SubsidieTabel!$A11,Tb_Activiteiten[[#All],[Subsidiabele_Activiteit]],0),MATCH(SubsidieTabel!S$1,Tb_Activiteiten[#Headers],0))=1,SubsidieTabel!$J11,0),0)</f>
        <v>0</v>
      </c>
      <c r="T11" s="282">
        <f>IFERROR(IF(INDEX(Tb_Activiteiten[#All],MATCH(SubsidieTabel!$A11,Tb_Activiteiten[[#All],[Subsidiabele_Activiteit]],0),MATCH(SubsidieTabel!T$1,Tb_Activiteiten[#Headers],0))=1,SubsidieTabel!$K11,0),0)</f>
        <v>0</v>
      </c>
      <c r="U11" s="282">
        <f>IFERROR(IF(INDEX(Tb_Activiteiten[#All],MATCH(SubsidieTabel!$A11,Tb_Activiteiten[[#All],[Subsidiabele_Activiteit]],0),MATCH(SubsidieTabel!U$1,Tb_Activiteiten[#Headers],0))=1,SubsidieTabel!$J11,0),0)</f>
        <v>0</v>
      </c>
      <c r="V11" s="282">
        <f>IFERROR(IF(INDEX(Tb_Activiteiten[#All],MATCH(SubsidieTabel!$A11,Tb_Activiteiten[[#All],[Subsidiabele_Activiteit]],0),MATCH(SubsidieTabel!V$1,Tb_Activiteiten[#Headers],0))=1,SubsidieTabel!$K11,0),0)</f>
        <v>0</v>
      </c>
      <c r="W11" s="64">
        <f>IFERROR(IF(INDEX(Tb_Activiteiten[#All],MATCH(SubsidieTabel!$A11,Tb_Activiteiten[[#All],[Subsidiabele_Activiteit]],0),MATCH(SubsidieTabel!Q$1,Tb_Activiteiten[#Headers],0))=1,H11,0),0)</f>
        <v>0</v>
      </c>
      <c r="X11" s="64">
        <f>IFERROR(IF(INDEX(Tb_Activiteiten[#All],MATCH(SubsidieTabel!$A11,Tb_Activiteiten[[#All],[Subsidiabele_Activiteit]],0),MATCH(SubsidieTabel!Q$1,Tb_Activiteiten[#Headers],0))=1,I11,0),0)</f>
        <v>0</v>
      </c>
      <c r="Y11" s="64">
        <f>IFERROR(IF(INDEX(Tb_Activiteiten[#All],MATCH(SubsidieTabel!$A11,Tb_Activiteiten[[#All],[Subsidiabele_Activiteit]],0),MATCH(SubsidieTabel!S$1,Tb_Activiteiten[#Headers],0))=1,H11,0),0)</f>
        <v>0</v>
      </c>
      <c r="Z11" s="64">
        <f>IFERROR(IF(INDEX(Tb_Activiteiten[#All],MATCH(SubsidieTabel!$A11,Tb_Activiteiten[[#All],[Subsidiabele_Activiteit]],0),MATCH(SubsidieTabel!S$1,Tb_Activiteiten[#Headers],0))=1,I11,0),0)</f>
        <v>0</v>
      </c>
      <c r="AA11" s="64">
        <f>IFERROR(IF(INDEX(Tb_Activiteiten[#All],MATCH(SubsidieTabel!$A11,Tb_Activiteiten[[#All],[Subsidiabele_Activiteit]],0),MATCH(SubsidieTabel!O$1,Tb_Activiteiten[#Headers],0))=1,$F11,0),0)</f>
        <v>0</v>
      </c>
      <c r="AB11" s="64">
        <f>IFERROR(IF(INDEX(Tb_Activiteiten[#All],MATCH(SubsidieTabel!$A11,Tb_Activiteiten[[#All],[Subsidiabele_Activiteit]],0),MATCH(SubsidieTabel!O$1,Tb_Activiteiten[#Headers],0))=1,$G11,0),0)</f>
        <v>0</v>
      </c>
      <c r="AD11" s="62" t="str">
        <f>Openstelling_Activiteit!Y3</f>
        <v>Arbeidskosten - vast tarief (excl eigen arbeid)</v>
      </c>
      <c r="AE11">
        <v>1</v>
      </c>
      <c r="AF11">
        <v>0</v>
      </c>
      <c r="AG11">
        <v>1</v>
      </c>
      <c r="AI11" t="str">
        <f>Tb_KostenOpties[[#This Row],[KostenOptie]]</f>
        <v>Arbeidskosten - vast tarief (excl eigen arbeid)</v>
      </c>
      <c r="AJ11">
        <v>1</v>
      </c>
      <c r="AK11">
        <v>0</v>
      </c>
      <c r="AL11">
        <v>1</v>
      </c>
    </row>
    <row r="12" spans="1:40" x14ac:dyDescent="0.25">
      <c r="A12" s="63"/>
      <c r="B12" s="63"/>
      <c r="C12" s="63" t="str">
        <f>IFERROR(VLOOKUP($B12,Tb_ProjectKosten[],4,0),"")</f>
        <v/>
      </c>
      <c r="D12" s="63" t="str" cm="1">
        <f t="array" ref="D12">IFERROR(INDEX(Tb_KostenOpties[],MATCH(B12,Tb_KostenOpties[KostenOptie],0),IFERROR(MATCH(Methode_Keuze,Tb_KostenOpties[#Headers],0),2)),"")</f>
        <v/>
      </c>
      <c r="E12" s="283">
        <f>IFERROR(VLOOKUP(B12,Tb_ProjectKosten[[#All],[KostenOmschrijving]:[Forfait_Percentage]],6,0),0)</f>
        <v>0</v>
      </c>
      <c r="F12" s="284">
        <f>SUMIFS('5. Kosten uitvoering project'!R:R,'5. Kosten uitvoering project'!E:E,SubsidieTabel!A12,'5. Kosten uitvoering project'!F:F,SubsidieTabel!B12)</f>
        <v>0</v>
      </c>
      <c r="G12" s="284">
        <f>SUMIFS('5. Kosten uitvoering project'!S:S,'5. Kosten uitvoering project'!E:E,SubsidieTabel!A12,'5. Kosten uitvoering project'!F:F,SubsidieTabel!B12)</f>
        <v>0</v>
      </c>
      <c r="H12" s="284">
        <f>SUMIFS('5. Kosten uitvoering project'!U:U,'5. Kosten uitvoering project'!E:E,SubsidieTabel!A12,'5. Kosten uitvoering project'!F:F,SubsidieTabel!B12)</f>
        <v>0</v>
      </c>
      <c r="I12" s="284">
        <f>SUMIFS('5. Kosten uitvoering project'!V:V,'5. Kosten uitvoering project'!E:E,SubsidieTabel!A12,'5. Kosten uitvoering project'!F:F,SubsidieTabel!B12)</f>
        <v>0</v>
      </c>
      <c r="J12" s="284">
        <f t="shared" si="0"/>
        <v>0</v>
      </c>
      <c r="K12" s="284">
        <f t="shared" si="1"/>
        <v>0</v>
      </c>
      <c r="L12" s="283" t="str">
        <f>IFERROR(VLOOKUP(A12,Lijsten!$AK:$AL,2,0),"")</f>
        <v/>
      </c>
      <c r="M12" s="284">
        <f t="shared" si="2"/>
        <v>0</v>
      </c>
      <c r="N12" s="284">
        <f t="shared" si="3"/>
        <v>0</v>
      </c>
      <c r="O12" s="284">
        <f>IFERROR(IF(INDEX(Tb_Activiteiten[#All],MATCH(SubsidieTabel!$A12,Tb_Activiteiten[[#All],[Subsidiabele_Activiteit]],0),MATCH(SubsidieTabel!O$1,Tb_Activiteiten[#Headers],0))=1,SubsidieTabel!$J12,0),0)</f>
        <v>0</v>
      </c>
      <c r="P12" s="284">
        <f>IFERROR(IF(INDEX(Tb_Activiteiten[#All],MATCH(SubsidieTabel!$A12,Tb_Activiteiten[[#All],[Subsidiabele_Activiteit]],0),MATCH(SubsidieTabel!P$1,Tb_Activiteiten[#Headers],0))=1,SubsidieTabel!$K12,0),0)</f>
        <v>0</v>
      </c>
      <c r="Q12" s="284">
        <f>IFERROR(IF(INDEX(Tb_Activiteiten[#All],MATCH(SubsidieTabel!$A12,Tb_Activiteiten[[#All],[Subsidiabele_Activiteit]],0),MATCH(SubsidieTabel!Q$1,Tb_Activiteiten[#Headers],0))=1,SubsidieTabel!$J12,0),0)</f>
        <v>0</v>
      </c>
      <c r="R12" s="284">
        <f>IFERROR(IF(INDEX(Tb_Activiteiten[#All],MATCH(SubsidieTabel!$A12,Tb_Activiteiten[[#All],[Subsidiabele_Activiteit]],0),MATCH(SubsidieTabel!R$1,Tb_Activiteiten[#Headers],0))=1,SubsidieTabel!$K12,0),0)</f>
        <v>0</v>
      </c>
      <c r="S12" s="284">
        <f>IFERROR(IF(INDEX(Tb_Activiteiten[#All],MATCH(SubsidieTabel!$A12,Tb_Activiteiten[[#All],[Subsidiabele_Activiteit]],0),MATCH(SubsidieTabel!S$1,Tb_Activiteiten[#Headers],0))=1,SubsidieTabel!$J12,0),0)</f>
        <v>0</v>
      </c>
      <c r="T12" s="284">
        <f>IFERROR(IF(INDEX(Tb_Activiteiten[#All],MATCH(SubsidieTabel!$A12,Tb_Activiteiten[[#All],[Subsidiabele_Activiteit]],0),MATCH(SubsidieTabel!T$1,Tb_Activiteiten[#Headers],0))=1,SubsidieTabel!$K12,0),0)</f>
        <v>0</v>
      </c>
      <c r="U12" s="284">
        <f>IFERROR(IF(INDEX(Tb_Activiteiten[#All],MATCH(SubsidieTabel!$A12,Tb_Activiteiten[[#All],[Subsidiabele_Activiteit]],0),MATCH(SubsidieTabel!U$1,Tb_Activiteiten[#Headers],0))=1,SubsidieTabel!$J12,0),0)</f>
        <v>0</v>
      </c>
      <c r="V12" s="284">
        <f>IFERROR(IF(INDEX(Tb_Activiteiten[#All],MATCH(SubsidieTabel!$A12,Tb_Activiteiten[[#All],[Subsidiabele_Activiteit]],0),MATCH(SubsidieTabel!V$1,Tb_Activiteiten[#Headers],0))=1,SubsidieTabel!$K12,0),0)</f>
        <v>0</v>
      </c>
      <c r="W12" s="369">
        <f>IFERROR(IF(INDEX(Tb_Activiteiten[#All],MATCH(SubsidieTabel!$A12,Tb_Activiteiten[[#All],[Subsidiabele_Activiteit]],0),MATCH(SubsidieTabel!Q$1,Tb_Activiteiten[#Headers],0))=1,H12,0),0)</f>
        <v>0</v>
      </c>
      <c r="X12" s="369">
        <f>IFERROR(IF(INDEX(Tb_Activiteiten[#All],MATCH(SubsidieTabel!$A12,Tb_Activiteiten[[#All],[Subsidiabele_Activiteit]],0),MATCH(SubsidieTabel!Q$1,Tb_Activiteiten[#Headers],0))=1,I12,0),0)</f>
        <v>0</v>
      </c>
      <c r="Y12" s="369">
        <f>IFERROR(IF(INDEX(Tb_Activiteiten[#All],MATCH(SubsidieTabel!$A12,Tb_Activiteiten[[#All],[Subsidiabele_Activiteit]],0),MATCH(SubsidieTabel!S$1,Tb_Activiteiten[#Headers],0))=1,H12,0),0)</f>
        <v>0</v>
      </c>
      <c r="Z12" s="369">
        <f>IFERROR(IF(INDEX(Tb_Activiteiten[#All],MATCH(SubsidieTabel!$A12,Tb_Activiteiten[[#All],[Subsidiabele_Activiteit]],0),MATCH(SubsidieTabel!S$1,Tb_Activiteiten[#Headers],0))=1,I12,0),0)</f>
        <v>0</v>
      </c>
      <c r="AA12" s="369">
        <f>IFERROR(IF(INDEX(Tb_Activiteiten[#All],MATCH(SubsidieTabel!$A12,Tb_Activiteiten[[#All],[Subsidiabele_Activiteit]],0),MATCH(SubsidieTabel!O$1,Tb_Activiteiten[#Headers],0))=1,$F12,0),0)</f>
        <v>0</v>
      </c>
      <c r="AB12" s="369">
        <f>IFERROR(IF(INDEX(Tb_Activiteiten[#All],MATCH(SubsidieTabel!$A12,Tb_Activiteiten[[#All],[Subsidiabele_Activiteit]],0),MATCH(SubsidieTabel!O$1,Tb_Activiteiten[#Headers],0))=1,$G12,0),0)</f>
        <v>0</v>
      </c>
      <c r="AD12" s="62" t="str">
        <f>Openstelling_Activiteit!Z3</f>
        <v>Overige kosten</v>
      </c>
      <c r="AE12">
        <v>1</v>
      </c>
      <c r="AF12">
        <v>1</v>
      </c>
      <c r="AG12">
        <v>0</v>
      </c>
      <c r="AI12" t="str">
        <f>Tb_KostenOpties[[#This Row],[KostenOptie]]</f>
        <v>Overige kosten</v>
      </c>
      <c r="AJ12">
        <v>1</v>
      </c>
      <c r="AK12">
        <v>1</v>
      </c>
      <c r="AL12">
        <v>0</v>
      </c>
    </row>
    <row r="13" spans="1:40" x14ac:dyDescent="0.25">
      <c r="A13" s="12"/>
      <c r="B13" s="12"/>
      <c r="C13" s="12" t="str">
        <f>IFERROR(VLOOKUP($B13,Tb_ProjectKosten[],4,0),"")</f>
        <v/>
      </c>
      <c r="D13" s="12" t="str" cm="1">
        <f t="array" ref="D13">IFERROR(INDEX(Tb_KostenOpties[],MATCH(B13,Tb_KostenOpties[KostenOptie],0),IFERROR(MATCH(Methode_Keuze,Tb_KostenOpties[#Headers],0),2)),"")</f>
        <v/>
      </c>
      <c r="E13" s="281">
        <f>IFERROR(VLOOKUP(B13,Tb_ProjectKosten[[#All],[KostenOmschrijving]:[Forfait_Percentage]],6,0),0)</f>
        <v>0</v>
      </c>
      <c r="F13" s="282">
        <f>SUMIFS('5. Kosten uitvoering project'!R:R,'5. Kosten uitvoering project'!E:E,SubsidieTabel!A13,'5. Kosten uitvoering project'!F:F,SubsidieTabel!B13)</f>
        <v>0</v>
      </c>
      <c r="G13" s="282">
        <f>SUMIFS('5. Kosten uitvoering project'!S:S,'5. Kosten uitvoering project'!E:E,SubsidieTabel!A13,'5. Kosten uitvoering project'!F:F,SubsidieTabel!B13)</f>
        <v>0</v>
      </c>
      <c r="H13" s="282">
        <f>SUMIFS('5. Kosten uitvoering project'!U:U,'5. Kosten uitvoering project'!E:E,SubsidieTabel!A13,'5. Kosten uitvoering project'!F:F,SubsidieTabel!B13)</f>
        <v>0</v>
      </c>
      <c r="I13" s="282">
        <f>SUMIFS('5. Kosten uitvoering project'!V:V,'5. Kosten uitvoering project'!E:E,SubsidieTabel!A13,'5. Kosten uitvoering project'!F:F,SubsidieTabel!B13)</f>
        <v>0</v>
      </c>
      <c r="J13" s="282">
        <f t="shared" si="0"/>
        <v>0</v>
      </c>
      <c r="K13" s="282">
        <f t="shared" si="1"/>
        <v>0</v>
      </c>
      <c r="L13" s="281" t="str">
        <f>IFERROR(VLOOKUP(A13,Lijsten!$AK:$AL,2,0),"")</f>
        <v/>
      </c>
      <c r="M13" s="282">
        <f t="shared" si="2"/>
        <v>0</v>
      </c>
      <c r="N13" s="282">
        <f t="shared" si="3"/>
        <v>0</v>
      </c>
      <c r="O13" s="282">
        <f>IFERROR(IF(INDEX(Tb_Activiteiten[#All],MATCH(SubsidieTabel!$A13,Tb_Activiteiten[[#All],[Subsidiabele_Activiteit]],0),MATCH(SubsidieTabel!O$1,Tb_Activiteiten[#Headers],0))=1,SubsidieTabel!$J13,0),0)</f>
        <v>0</v>
      </c>
      <c r="P13" s="282">
        <f>IFERROR(IF(INDEX(Tb_Activiteiten[#All],MATCH(SubsidieTabel!$A13,Tb_Activiteiten[[#All],[Subsidiabele_Activiteit]],0),MATCH(SubsidieTabel!P$1,Tb_Activiteiten[#Headers],0))=1,SubsidieTabel!$K13,0),0)</f>
        <v>0</v>
      </c>
      <c r="Q13" s="282">
        <f>IFERROR(IF(INDEX(Tb_Activiteiten[#All],MATCH(SubsidieTabel!$A13,Tb_Activiteiten[[#All],[Subsidiabele_Activiteit]],0),MATCH(SubsidieTabel!Q$1,Tb_Activiteiten[#Headers],0))=1,SubsidieTabel!$J13,0),0)</f>
        <v>0</v>
      </c>
      <c r="R13" s="282">
        <f>IFERROR(IF(INDEX(Tb_Activiteiten[#All],MATCH(SubsidieTabel!$A13,Tb_Activiteiten[[#All],[Subsidiabele_Activiteit]],0),MATCH(SubsidieTabel!R$1,Tb_Activiteiten[#Headers],0))=1,SubsidieTabel!$K13,0),0)</f>
        <v>0</v>
      </c>
      <c r="S13" s="282">
        <f>IFERROR(IF(INDEX(Tb_Activiteiten[#All],MATCH(SubsidieTabel!$A13,Tb_Activiteiten[[#All],[Subsidiabele_Activiteit]],0),MATCH(SubsidieTabel!S$1,Tb_Activiteiten[#Headers],0))=1,SubsidieTabel!$J13,0),0)</f>
        <v>0</v>
      </c>
      <c r="T13" s="282">
        <f>IFERROR(IF(INDEX(Tb_Activiteiten[#All],MATCH(SubsidieTabel!$A13,Tb_Activiteiten[[#All],[Subsidiabele_Activiteit]],0),MATCH(SubsidieTabel!T$1,Tb_Activiteiten[#Headers],0))=1,SubsidieTabel!$K13,0),0)</f>
        <v>0</v>
      </c>
      <c r="U13" s="282">
        <f>IFERROR(IF(INDEX(Tb_Activiteiten[#All],MATCH(SubsidieTabel!$A13,Tb_Activiteiten[[#All],[Subsidiabele_Activiteit]],0),MATCH(SubsidieTabel!U$1,Tb_Activiteiten[#Headers],0))=1,SubsidieTabel!$J13,0),0)</f>
        <v>0</v>
      </c>
      <c r="V13" s="282">
        <f>IFERROR(IF(INDEX(Tb_Activiteiten[#All],MATCH(SubsidieTabel!$A13,Tb_Activiteiten[[#All],[Subsidiabele_Activiteit]],0),MATCH(SubsidieTabel!V$1,Tb_Activiteiten[#Headers],0))=1,SubsidieTabel!$K13,0),0)</f>
        <v>0</v>
      </c>
      <c r="W13" s="64">
        <f>IFERROR(IF(INDEX(Tb_Activiteiten[#All],MATCH(SubsidieTabel!$A13,Tb_Activiteiten[[#All],[Subsidiabele_Activiteit]],0),MATCH(SubsidieTabel!Q$1,Tb_Activiteiten[#Headers],0))=1,H13,0),0)</f>
        <v>0</v>
      </c>
      <c r="X13" s="64">
        <f>IFERROR(IF(INDEX(Tb_Activiteiten[#All],MATCH(SubsidieTabel!$A13,Tb_Activiteiten[[#All],[Subsidiabele_Activiteit]],0),MATCH(SubsidieTabel!Q$1,Tb_Activiteiten[#Headers],0))=1,I13,0),0)</f>
        <v>0</v>
      </c>
      <c r="Y13" s="64">
        <f>IFERROR(IF(INDEX(Tb_Activiteiten[#All],MATCH(SubsidieTabel!$A13,Tb_Activiteiten[[#All],[Subsidiabele_Activiteit]],0),MATCH(SubsidieTabel!S$1,Tb_Activiteiten[#Headers],0))=1,H13,0),0)</f>
        <v>0</v>
      </c>
      <c r="Z13" s="64">
        <f>IFERROR(IF(INDEX(Tb_Activiteiten[#All],MATCH(SubsidieTabel!$A13,Tb_Activiteiten[[#All],[Subsidiabele_Activiteit]],0),MATCH(SubsidieTabel!S$1,Tb_Activiteiten[#Headers],0))=1,I13,0),0)</f>
        <v>0</v>
      </c>
      <c r="AA13" s="64">
        <f>IFERROR(IF(INDEX(Tb_Activiteiten[#All],MATCH(SubsidieTabel!$A13,Tb_Activiteiten[[#All],[Subsidiabele_Activiteit]],0),MATCH(SubsidieTabel!O$1,Tb_Activiteiten[#Headers],0))=1,$F13,0),0)</f>
        <v>0</v>
      </c>
      <c r="AB13" s="64">
        <f>IFERROR(IF(INDEX(Tb_Activiteiten[#All],MATCH(SubsidieTabel!$A13,Tb_Activiteiten[[#All],[Subsidiabele_Activiteit]],0),MATCH(SubsidieTabel!O$1,Tb_Activiteiten[#Headers],0))=1,$G13,0),0)</f>
        <v>0</v>
      </c>
    </row>
    <row r="14" spans="1:40" x14ac:dyDescent="0.25">
      <c r="A14" s="63"/>
      <c r="B14" s="63"/>
      <c r="C14" s="63" t="str">
        <f>IFERROR(VLOOKUP($B14,Tb_ProjectKosten[],4,0),"")</f>
        <v/>
      </c>
      <c r="D14" s="63" t="str" cm="1">
        <f t="array" ref="D14">IFERROR(INDEX(Tb_KostenOpties[],MATCH(B14,Tb_KostenOpties[KostenOptie],0),IFERROR(MATCH(Methode_Keuze,Tb_KostenOpties[#Headers],0),2)),"")</f>
        <v/>
      </c>
      <c r="E14" s="283">
        <f>IFERROR(VLOOKUP(B14,Tb_ProjectKosten[[#All],[KostenOmschrijving]:[Forfait_Percentage]],6,0),0)</f>
        <v>0</v>
      </c>
      <c r="F14" s="284">
        <f>SUMIFS('5. Kosten uitvoering project'!R:R,'5. Kosten uitvoering project'!E:E,SubsidieTabel!A14,'5. Kosten uitvoering project'!F:F,SubsidieTabel!B14)</f>
        <v>0</v>
      </c>
      <c r="G14" s="284">
        <f>SUMIFS('5. Kosten uitvoering project'!S:S,'5. Kosten uitvoering project'!E:E,SubsidieTabel!A14,'5. Kosten uitvoering project'!F:F,SubsidieTabel!B14)</f>
        <v>0</v>
      </c>
      <c r="H14" s="284">
        <f>SUMIFS('5. Kosten uitvoering project'!U:U,'5. Kosten uitvoering project'!E:E,SubsidieTabel!A14,'5. Kosten uitvoering project'!F:F,SubsidieTabel!B14)</f>
        <v>0</v>
      </c>
      <c r="I14" s="284">
        <f>SUMIFS('5. Kosten uitvoering project'!V:V,'5. Kosten uitvoering project'!E:E,SubsidieTabel!A14,'5. Kosten uitvoering project'!F:F,SubsidieTabel!B14)</f>
        <v>0</v>
      </c>
      <c r="J14" s="284">
        <f t="shared" si="0"/>
        <v>0</v>
      </c>
      <c r="K14" s="284">
        <f t="shared" si="1"/>
        <v>0</v>
      </c>
      <c r="L14" s="283" t="str">
        <f>IFERROR(VLOOKUP(A14,Lijsten!$AK:$AL,2,0),"")</f>
        <v/>
      </c>
      <c r="M14" s="284">
        <f t="shared" si="2"/>
        <v>0</v>
      </c>
      <c r="N14" s="284">
        <f t="shared" si="3"/>
        <v>0</v>
      </c>
      <c r="O14" s="284">
        <f>IFERROR(IF(INDEX(Tb_Activiteiten[#All],MATCH(SubsidieTabel!$A14,Tb_Activiteiten[[#All],[Subsidiabele_Activiteit]],0),MATCH(SubsidieTabel!O$1,Tb_Activiteiten[#Headers],0))=1,SubsidieTabel!$J14,0),0)</f>
        <v>0</v>
      </c>
      <c r="P14" s="284">
        <f>IFERROR(IF(INDEX(Tb_Activiteiten[#All],MATCH(SubsidieTabel!$A14,Tb_Activiteiten[[#All],[Subsidiabele_Activiteit]],0),MATCH(SubsidieTabel!P$1,Tb_Activiteiten[#Headers],0))=1,SubsidieTabel!$K14,0),0)</f>
        <v>0</v>
      </c>
      <c r="Q14" s="284">
        <f>IFERROR(IF(INDEX(Tb_Activiteiten[#All],MATCH(SubsidieTabel!$A14,Tb_Activiteiten[[#All],[Subsidiabele_Activiteit]],0),MATCH(SubsidieTabel!Q$1,Tb_Activiteiten[#Headers],0))=1,SubsidieTabel!$J14,0),0)</f>
        <v>0</v>
      </c>
      <c r="R14" s="284">
        <f>IFERROR(IF(INDEX(Tb_Activiteiten[#All],MATCH(SubsidieTabel!$A14,Tb_Activiteiten[[#All],[Subsidiabele_Activiteit]],0),MATCH(SubsidieTabel!R$1,Tb_Activiteiten[#Headers],0))=1,SubsidieTabel!$K14,0),0)</f>
        <v>0</v>
      </c>
      <c r="S14" s="284">
        <f>IFERROR(IF(INDEX(Tb_Activiteiten[#All],MATCH(SubsidieTabel!$A14,Tb_Activiteiten[[#All],[Subsidiabele_Activiteit]],0),MATCH(SubsidieTabel!S$1,Tb_Activiteiten[#Headers],0))=1,SubsidieTabel!$J14,0),0)</f>
        <v>0</v>
      </c>
      <c r="T14" s="284">
        <f>IFERROR(IF(INDEX(Tb_Activiteiten[#All],MATCH(SubsidieTabel!$A14,Tb_Activiteiten[[#All],[Subsidiabele_Activiteit]],0),MATCH(SubsidieTabel!T$1,Tb_Activiteiten[#Headers],0))=1,SubsidieTabel!$K14,0),0)</f>
        <v>0</v>
      </c>
      <c r="U14" s="284">
        <f>IFERROR(IF(INDEX(Tb_Activiteiten[#All],MATCH(SubsidieTabel!$A14,Tb_Activiteiten[[#All],[Subsidiabele_Activiteit]],0),MATCH(SubsidieTabel!U$1,Tb_Activiteiten[#Headers],0))=1,SubsidieTabel!$J14,0),0)</f>
        <v>0</v>
      </c>
      <c r="V14" s="284">
        <f>IFERROR(IF(INDEX(Tb_Activiteiten[#All],MATCH(SubsidieTabel!$A14,Tb_Activiteiten[[#All],[Subsidiabele_Activiteit]],0),MATCH(SubsidieTabel!V$1,Tb_Activiteiten[#Headers],0))=1,SubsidieTabel!$K14,0),0)</f>
        <v>0</v>
      </c>
      <c r="W14" s="369">
        <f>IFERROR(IF(INDEX(Tb_Activiteiten[#All],MATCH(SubsidieTabel!$A14,Tb_Activiteiten[[#All],[Subsidiabele_Activiteit]],0),MATCH(SubsidieTabel!Q$1,Tb_Activiteiten[#Headers],0))=1,H14,0),0)</f>
        <v>0</v>
      </c>
      <c r="X14" s="369">
        <f>IFERROR(IF(INDEX(Tb_Activiteiten[#All],MATCH(SubsidieTabel!$A14,Tb_Activiteiten[[#All],[Subsidiabele_Activiteit]],0),MATCH(SubsidieTabel!Q$1,Tb_Activiteiten[#Headers],0))=1,I14,0),0)</f>
        <v>0</v>
      </c>
      <c r="Y14" s="369">
        <f>IFERROR(IF(INDEX(Tb_Activiteiten[#All],MATCH(SubsidieTabel!$A14,Tb_Activiteiten[[#All],[Subsidiabele_Activiteit]],0),MATCH(SubsidieTabel!S$1,Tb_Activiteiten[#Headers],0))=1,H14,0),0)</f>
        <v>0</v>
      </c>
      <c r="Z14" s="369">
        <f>IFERROR(IF(INDEX(Tb_Activiteiten[#All],MATCH(SubsidieTabel!$A14,Tb_Activiteiten[[#All],[Subsidiabele_Activiteit]],0),MATCH(SubsidieTabel!S$1,Tb_Activiteiten[#Headers],0))=1,I14,0),0)</f>
        <v>0</v>
      </c>
      <c r="AA14" s="369">
        <f>IFERROR(IF(INDEX(Tb_Activiteiten[#All],MATCH(SubsidieTabel!$A14,Tb_Activiteiten[[#All],[Subsidiabele_Activiteit]],0),MATCH(SubsidieTabel!O$1,Tb_Activiteiten[#Headers],0))=1,$F14,0),0)</f>
        <v>0</v>
      </c>
      <c r="AB14" s="369">
        <f>IFERROR(IF(INDEX(Tb_Activiteiten[#All],MATCH(SubsidieTabel!$A14,Tb_Activiteiten[[#All],[Subsidiabele_Activiteit]],0),MATCH(SubsidieTabel!O$1,Tb_Activiteiten[#Headers],0))=1,$G14,0),0)</f>
        <v>0</v>
      </c>
      <c r="AD14" t="s">
        <v>83</v>
      </c>
      <c r="AE14" t="s">
        <v>84</v>
      </c>
      <c r="AF14" t="s">
        <v>85</v>
      </c>
      <c r="AG14" t="s">
        <v>86</v>
      </c>
      <c r="AH14" t="s">
        <v>40</v>
      </c>
      <c r="AI14" t="s">
        <v>331</v>
      </c>
      <c r="AJ14" t="s">
        <v>87</v>
      </c>
      <c r="AK14" t="s">
        <v>88</v>
      </c>
      <c r="AL14" t="s">
        <v>179</v>
      </c>
      <c r="AM14" t="s">
        <v>180</v>
      </c>
      <c r="AN14" t="s">
        <v>56</v>
      </c>
    </row>
    <row r="15" spans="1:40" x14ac:dyDescent="0.25">
      <c r="A15" s="12"/>
      <c r="B15" s="12"/>
      <c r="C15" s="12" t="str">
        <f>IFERROR(VLOOKUP($B15,Tb_ProjectKosten[],4,0),"")</f>
        <v/>
      </c>
      <c r="D15" s="12" t="str" cm="1">
        <f t="array" ref="D15">IFERROR(INDEX(Tb_KostenOpties[],MATCH(B15,Tb_KostenOpties[KostenOptie],0),IFERROR(MATCH(Methode_Keuze,Tb_KostenOpties[#Headers],0),2)),"")</f>
        <v/>
      </c>
      <c r="E15" s="281">
        <f>IFERROR(VLOOKUP(B15,Tb_ProjectKosten[[#All],[KostenOmschrijving]:[Forfait_Percentage]],6,0),0)</f>
        <v>0</v>
      </c>
      <c r="F15" s="282">
        <f>SUMIFS('5. Kosten uitvoering project'!R:R,'5. Kosten uitvoering project'!E:E,SubsidieTabel!A15,'5. Kosten uitvoering project'!F:F,SubsidieTabel!B15)</f>
        <v>0</v>
      </c>
      <c r="G15" s="282">
        <f>SUMIFS('5. Kosten uitvoering project'!S:S,'5. Kosten uitvoering project'!E:E,SubsidieTabel!A15,'5. Kosten uitvoering project'!F:F,SubsidieTabel!B15)</f>
        <v>0</v>
      </c>
      <c r="H15" s="282">
        <f>SUMIFS('5. Kosten uitvoering project'!U:U,'5. Kosten uitvoering project'!E:E,SubsidieTabel!A15,'5. Kosten uitvoering project'!F:F,SubsidieTabel!B15)</f>
        <v>0</v>
      </c>
      <c r="I15" s="282">
        <f>SUMIFS('5. Kosten uitvoering project'!V:V,'5. Kosten uitvoering project'!E:E,SubsidieTabel!A15,'5. Kosten uitvoering project'!F:F,SubsidieTabel!B15)</f>
        <v>0</v>
      </c>
      <c r="J15" s="282">
        <f t="shared" si="0"/>
        <v>0</v>
      </c>
      <c r="K15" s="282">
        <f t="shared" si="1"/>
        <v>0</v>
      </c>
      <c r="L15" s="281" t="str">
        <f>IFERROR(VLOOKUP(A15,Lijsten!$AK:$AL,2,0),"")</f>
        <v/>
      </c>
      <c r="M15" s="282">
        <f t="shared" si="2"/>
        <v>0</v>
      </c>
      <c r="N15" s="282">
        <f t="shared" si="3"/>
        <v>0</v>
      </c>
      <c r="O15" s="282">
        <f>IFERROR(IF(INDEX(Tb_Activiteiten[#All],MATCH(SubsidieTabel!$A15,Tb_Activiteiten[[#All],[Subsidiabele_Activiteit]],0),MATCH(SubsidieTabel!O$1,Tb_Activiteiten[#Headers],0))=1,SubsidieTabel!$J15,0),0)</f>
        <v>0</v>
      </c>
      <c r="P15" s="282">
        <f>IFERROR(IF(INDEX(Tb_Activiteiten[#All],MATCH(SubsidieTabel!$A15,Tb_Activiteiten[[#All],[Subsidiabele_Activiteit]],0),MATCH(SubsidieTabel!P$1,Tb_Activiteiten[#Headers],0))=1,SubsidieTabel!$K15,0),0)</f>
        <v>0</v>
      </c>
      <c r="Q15" s="282">
        <f>IFERROR(IF(INDEX(Tb_Activiteiten[#All],MATCH(SubsidieTabel!$A15,Tb_Activiteiten[[#All],[Subsidiabele_Activiteit]],0),MATCH(SubsidieTabel!Q$1,Tb_Activiteiten[#Headers],0))=1,SubsidieTabel!$J15,0),0)</f>
        <v>0</v>
      </c>
      <c r="R15" s="282">
        <f>IFERROR(IF(INDEX(Tb_Activiteiten[#All],MATCH(SubsidieTabel!$A15,Tb_Activiteiten[[#All],[Subsidiabele_Activiteit]],0),MATCH(SubsidieTabel!R$1,Tb_Activiteiten[#Headers],0))=1,SubsidieTabel!$K15,0),0)</f>
        <v>0</v>
      </c>
      <c r="S15" s="282">
        <f>IFERROR(IF(INDEX(Tb_Activiteiten[#All],MATCH(SubsidieTabel!$A15,Tb_Activiteiten[[#All],[Subsidiabele_Activiteit]],0),MATCH(SubsidieTabel!S$1,Tb_Activiteiten[#Headers],0))=1,SubsidieTabel!$J15,0),0)</f>
        <v>0</v>
      </c>
      <c r="T15" s="282">
        <f>IFERROR(IF(INDEX(Tb_Activiteiten[#All],MATCH(SubsidieTabel!$A15,Tb_Activiteiten[[#All],[Subsidiabele_Activiteit]],0),MATCH(SubsidieTabel!T$1,Tb_Activiteiten[#Headers],0))=1,SubsidieTabel!$K15,0),0)</f>
        <v>0</v>
      </c>
      <c r="U15" s="282">
        <f>IFERROR(IF(INDEX(Tb_Activiteiten[#All],MATCH(SubsidieTabel!$A15,Tb_Activiteiten[[#All],[Subsidiabele_Activiteit]],0),MATCH(SubsidieTabel!U$1,Tb_Activiteiten[#Headers],0))=1,SubsidieTabel!$J15,0),0)</f>
        <v>0</v>
      </c>
      <c r="V15" s="282">
        <f>IFERROR(IF(INDEX(Tb_Activiteiten[#All],MATCH(SubsidieTabel!$A15,Tb_Activiteiten[[#All],[Subsidiabele_Activiteit]],0),MATCH(SubsidieTabel!V$1,Tb_Activiteiten[#Headers],0))=1,SubsidieTabel!$K15,0),0)</f>
        <v>0</v>
      </c>
      <c r="W15" s="64">
        <f>IFERROR(IF(INDEX(Tb_Activiteiten[#All],MATCH(SubsidieTabel!$A15,Tb_Activiteiten[[#All],[Subsidiabele_Activiteit]],0),MATCH(SubsidieTabel!Q$1,Tb_Activiteiten[#Headers],0))=1,H15,0),0)</f>
        <v>0</v>
      </c>
      <c r="X15" s="64">
        <f>IFERROR(IF(INDEX(Tb_Activiteiten[#All],MATCH(SubsidieTabel!$A15,Tb_Activiteiten[[#All],[Subsidiabele_Activiteit]],0),MATCH(SubsidieTabel!Q$1,Tb_Activiteiten[#Headers],0))=1,I15,0),0)</f>
        <v>0</v>
      </c>
      <c r="Y15" s="64">
        <f>IFERROR(IF(INDEX(Tb_Activiteiten[#All],MATCH(SubsidieTabel!$A15,Tb_Activiteiten[[#All],[Subsidiabele_Activiteit]],0),MATCH(SubsidieTabel!S$1,Tb_Activiteiten[#Headers],0))=1,H15,0),0)</f>
        <v>0</v>
      </c>
      <c r="Z15" s="64">
        <f>IFERROR(IF(INDEX(Tb_Activiteiten[#All],MATCH(SubsidieTabel!$A15,Tb_Activiteiten[[#All],[Subsidiabele_Activiteit]],0),MATCH(SubsidieTabel!S$1,Tb_Activiteiten[#Headers],0))=1,I15,0),0)</f>
        <v>0</v>
      </c>
      <c r="AA15" s="64">
        <f>IFERROR(IF(INDEX(Tb_Activiteiten[#All],MATCH(SubsidieTabel!$A15,Tb_Activiteiten[[#All],[Subsidiabele_Activiteit]],0),MATCH(SubsidieTabel!O$1,Tb_Activiteiten[#Headers],0))=1,$F15,0),0)</f>
        <v>0</v>
      </c>
      <c r="AB15" s="64">
        <f>IFERROR(IF(INDEX(Tb_Activiteiten[#All],MATCH(SubsidieTabel!$A15,Tb_Activiteiten[[#All],[Subsidiabele_Activiteit]],0),MATCH(SubsidieTabel!O$1,Tb_Activiteiten[#Headers],0))=1,$G15,0),0)</f>
        <v>0</v>
      </c>
      <c r="AD15" s="12" t="str">
        <f t="shared" ref="AD15:AD25" si="4">$AD2</f>
        <v>Arbeidskosten</v>
      </c>
      <c r="AE15" s="64">
        <f>IF(Tb_ProjectKosten[[#This Row],[Forfait]]=1,SUMIF('5. Kosten uitvoering project'!$F$6:$F$250,Tb_ProjectKosten[[#This Row],[KostenOmschrijving]],'5. Kosten uitvoering project'!$R$6:$R$250),0)</f>
        <v>0</v>
      </c>
      <c r="AF15" s="64">
        <f>IF(Tb_ProjectKosten[[#This Row],[Forfait]]=1,SUMIF('5. Kosten uitvoering project'!$F$6:$F$250,Tb_ProjectKosten[[#This Row],[KostenOmschrijving]],'5. Kosten uitvoering project'!$S$6:$S$250),0)</f>
        <v>0</v>
      </c>
      <c r="AG15" t="str">
        <f>Tb_ProjectKosten[[#This Row],[KostenOmschrijving]]</f>
        <v>Arbeidskosten</v>
      </c>
      <c r="AH15" cm="1">
        <f t="array" ref="AH15">INDEX(Tb_KostenOpties[],MATCH(Tb_ProjectKosten[[#This Row],[KostenOmschrijving]],Tb_KostenOpties[KostenOptie],0),IFERROR(MATCH(Methode_Keuze,Tb_KostenOpties[#Headers],0),2))</f>
        <v>1</v>
      </c>
      <c r="AI15" s="65">
        <v>0.4</v>
      </c>
      <c r="AJ15" s="64">
        <f>SUMIF('5. Kosten uitvoering project'!$F:$F,Tb_ProjectKosten[[#This Row],[Begroting]],'5. Kosten uitvoering project'!U:U)</f>
        <v>0</v>
      </c>
      <c r="AK15" s="64">
        <f>SUMIF('5. Kosten uitvoering project'!$F:$F,Tb_ProjectKosten[[#This Row],[Begroting]],'5. Kosten uitvoering project'!V:V)</f>
        <v>0</v>
      </c>
      <c r="AL15" s="64">
        <f>Tb_ProjectKosten[[#This Row],[Kosten_Aanvraag]]+Tb_ProjectKosten[[#This Row],[Forfait_Bedrag]]</f>
        <v>0</v>
      </c>
      <c r="AM15" s="64">
        <f>Tb_ProjectKosten[[#This Row],[Kosten_Beoordeeld]]+Tb_ProjectKosten[[#This Row],[Forfait_Bedrag_Beoordeeld]]</f>
        <v>0</v>
      </c>
      <c r="AN15" t="str">
        <f>IF(Tb_ProjectKosten[[#This Row],[Forfait]]=0,"Dit kostentype hoeft u niet op te geven. Hiervoor wordt een forfait berekend.","")</f>
        <v/>
      </c>
    </row>
    <row r="16" spans="1:40" x14ac:dyDescent="0.25">
      <c r="A16" s="63"/>
      <c r="B16" s="63"/>
      <c r="C16" s="63" t="str">
        <f>IFERROR(VLOOKUP($B16,Tb_ProjectKosten[],4,0),"")</f>
        <v/>
      </c>
      <c r="D16" s="63" t="str" cm="1">
        <f t="array" ref="D16">IFERROR(INDEX(Tb_KostenOpties[],MATCH(B16,Tb_KostenOpties[KostenOptie],0),IFERROR(MATCH(Methode_Keuze,Tb_KostenOpties[#Headers],0),2)),"")</f>
        <v/>
      </c>
      <c r="E16" s="283">
        <f>IFERROR(VLOOKUP(B16,Tb_ProjectKosten[[#All],[KostenOmschrijving]:[Forfait_Percentage]],6,0),0)</f>
        <v>0</v>
      </c>
      <c r="F16" s="284">
        <f>SUMIFS('5. Kosten uitvoering project'!R:R,'5. Kosten uitvoering project'!E:E,SubsidieTabel!A16,'5. Kosten uitvoering project'!F:F,SubsidieTabel!B16)</f>
        <v>0</v>
      </c>
      <c r="G16" s="284">
        <f>SUMIFS('5. Kosten uitvoering project'!S:S,'5. Kosten uitvoering project'!E:E,SubsidieTabel!A16,'5. Kosten uitvoering project'!F:F,SubsidieTabel!B16)</f>
        <v>0</v>
      </c>
      <c r="H16" s="284">
        <f>SUMIFS('5. Kosten uitvoering project'!U:U,'5. Kosten uitvoering project'!E:E,SubsidieTabel!A16,'5. Kosten uitvoering project'!F:F,SubsidieTabel!B16)</f>
        <v>0</v>
      </c>
      <c r="I16" s="284">
        <f>SUMIFS('5. Kosten uitvoering project'!V:V,'5. Kosten uitvoering project'!E:E,SubsidieTabel!A16,'5. Kosten uitvoering project'!F:F,SubsidieTabel!B16)</f>
        <v>0</v>
      </c>
      <c r="J16" s="284">
        <f t="shared" si="0"/>
        <v>0</v>
      </c>
      <c r="K16" s="284">
        <f t="shared" si="1"/>
        <v>0</v>
      </c>
      <c r="L16" s="283" t="str">
        <f>IFERROR(VLOOKUP(A16,Lijsten!$AK:$AL,2,0),"")</f>
        <v/>
      </c>
      <c r="M16" s="284">
        <f t="shared" si="2"/>
        <v>0</v>
      </c>
      <c r="N16" s="284">
        <f t="shared" si="3"/>
        <v>0</v>
      </c>
      <c r="O16" s="284">
        <f>IFERROR(IF(INDEX(Tb_Activiteiten[#All],MATCH(SubsidieTabel!$A16,Tb_Activiteiten[[#All],[Subsidiabele_Activiteit]],0),MATCH(SubsidieTabel!O$1,Tb_Activiteiten[#Headers],0))=1,SubsidieTabel!$J16,0),0)</f>
        <v>0</v>
      </c>
      <c r="P16" s="284">
        <f>IFERROR(IF(INDEX(Tb_Activiteiten[#All],MATCH(SubsidieTabel!$A16,Tb_Activiteiten[[#All],[Subsidiabele_Activiteit]],0),MATCH(SubsidieTabel!P$1,Tb_Activiteiten[#Headers],0))=1,SubsidieTabel!$K16,0),0)</f>
        <v>0</v>
      </c>
      <c r="Q16" s="284">
        <f>IFERROR(IF(INDEX(Tb_Activiteiten[#All],MATCH(SubsidieTabel!$A16,Tb_Activiteiten[[#All],[Subsidiabele_Activiteit]],0),MATCH(SubsidieTabel!Q$1,Tb_Activiteiten[#Headers],0))=1,SubsidieTabel!$J16,0),0)</f>
        <v>0</v>
      </c>
      <c r="R16" s="284">
        <f>IFERROR(IF(INDEX(Tb_Activiteiten[#All],MATCH(SubsidieTabel!$A16,Tb_Activiteiten[[#All],[Subsidiabele_Activiteit]],0),MATCH(SubsidieTabel!R$1,Tb_Activiteiten[#Headers],0))=1,SubsidieTabel!$K16,0),0)</f>
        <v>0</v>
      </c>
      <c r="S16" s="284">
        <f>IFERROR(IF(INDEX(Tb_Activiteiten[#All],MATCH(SubsidieTabel!$A16,Tb_Activiteiten[[#All],[Subsidiabele_Activiteit]],0),MATCH(SubsidieTabel!S$1,Tb_Activiteiten[#Headers],0))=1,SubsidieTabel!$J16,0),0)</f>
        <v>0</v>
      </c>
      <c r="T16" s="284">
        <f>IFERROR(IF(INDEX(Tb_Activiteiten[#All],MATCH(SubsidieTabel!$A16,Tb_Activiteiten[[#All],[Subsidiabele_Activiteit]],0),MATCH(SubsidieTabel!T$1,Tb_Activiteiten[#Headers],0))=1,SubsidieTabel!$K16,0),0)</f>
        <v>0</v>
      </c>
      <c r="U16" s="284">
        <f>IFERROR(IF(INDEX(Tb_Activiteiten[#All],MATCH(SubsidieTabel!$A16,Tb_Activiteiten[[#All],[Subsidiabele_Activiteit]],0),MATCH(SubsidieTabel!U$1,Tb_Activiteiten[#Headers],0))=1,SubsidieTabel!$J16,0),0)</f>
        <v>0</v>
      </c>
      <c r="V16" s="284">
        <f>IFERROR(IF(INDEX(Tb_Activiteiten[#All],MATCH(SubsidieTabel!$A16,Tb_Activiteiten[[#All],[Subsidiabele_Activiteit]],0),MATCH(SubsidieTabel!V$1,Tb_Activiteiten[#Headers],0))=1,SubsidieTabel!$K16,0),0)</f>
        <v>0</v>
      </c>
      <c r="W16" s="369">
        <f>IFERROR(IF(INDEX(Tb_Activiteiten[#All],MATCH(SubsidieTabel!$A16,Tb_Activiteiten[[#All],[Subsidiabele_Activiteit]],0),MATCH(SubsidieTabel!Q$1,Tb_Activiteiten[#Headers],0))=1,H16,0),0)</f>
        <v>0</v>
      </c>
      <c r="X16" s="369">
        <f>IFERROR(IF(INDEX(Tb_Activiteiten[#All],MATCH(SubsidieTabel!$A16,Tb_Activiteiten[[#All],[Subsidiabele_Activiteit]],0),MATCH(SubsidieTabel!Q$1,Tb_Activiteiten[#Headers],0))=1,I16,0),0)</f>
        <v>0</v>
      </c>
      <c r="Y16" s="369">
        <f>IFERROR(IF(INDEX(Tb_Activiteiten[#All],MATCH(SubsidieTabel!$A16,Tb_Activiteiten[[#All],[Subsidiabele_Activiteit]],0),MATCH(SubsidieTabel!S$1,Tb_Activiteiten[#Headers],0))=1,H16,0),0)</f>
        <v>0</v>
      </c>
      <c r="Z16" s="369">
        <f>IFERROR(IF(INDEX(Tb_Activiteiten[#All],MATCH(SubsidieTabel!$A16,Tb_Activiteiten[[#All],[Subsidiabele_Activiteit]],0),MATCH(SubsidieTabel!S$1,Tb_Activiteiten[#Headers],0))=1,I16,0),0)</f>
        <v>0</v>
      </c>
      <c r="AA16" s="369">
        <f>IFERROR(IF(INDEX(Tb_Activiteiten[#All],MATCH(SubsidieTabel!$A16,Tb_Activiteiten[[#All],[Subsidiabele_Activiteit]],0),MATCH(SubsidieTabel!O$1,Tb_Activiteiten[#Headers],0))=1,$F16,0),0)</f>
        <v>0</v>
      </c>
      <c r="AB16" s="369">
        <f>IFERROR(IF(INDEX(Tb_Activiteiten[#All],MATCH(SubsidieTabel!$A16,Tb_Activiteiten[[#All],[Subsidiabele_Activiteit]],0),MATCH(SubsidieTabel!O$1,Tb_Activiteiten[#Headers],0))=1,$G16,0),0)</f>
        <v>0</v>
      </c>
      <c r="AD16" s="12" t="str">
        <f t="shared" si="4"/>
        <v>Arbeidskosten op basis van IKS</v>
      </c>
      <c r="AE16" s="64">
        <f>IF(Tb_ProjectKosten[[#This Row],[Forfait]]=1,SUMIF('5. Kosten uitvoering project'!$F$6:$F$250,Tb_ProjectKosten[[#This Row],[KostenOmschrijving]],'5. Kosten uitvoering project'!$R$6:$R$250),0)</f>
        <v>0</v>
      </c>
      <c r="AF16" s="64">
        <f>IF(Tb_ProjectKosten[[#This Row],[Forfait]]=1,SUMIF('5. Kosten uitvoering project'!$F$6:$F$250,Tb_ProjectKosten[[#This Row],[KostenOmschrijving]],'5. Kosten uitvoering project'!$S$6:$S$250),0)</f>
        <v>0</v>
      </c>
      <c r="AG16" t="str">
        <f>Tb_ProjectKosten[[#This Row],[KostenOmschrijving]]</f>
        <v>Arbeidskosten op basis van IKS</v>
      </c>
      <c r="AH16" cm="1">
        <f t="array" ref="AH16">INDEX(Tb_KostenOpties[],MATCH(Tb_ProjectKosten[[#This Row],[KostenOmschrijving]],Tb_KostenOpties[KostenOptie],0),IFERROR(MATCH(Methode_Keuze,Tb_KostenOpties[#Headers],0),2))</f>
        <v>1</v>
      </c>
      <c r="AI16" s="65">
        <v>0</v>
      </c>
      <c r="AJ16" s="64">
        <f>SUMIF('5. Kosten uitvoering project'!$F:$F,Tb_ProjectKosten[[#This Row],[Begroting]],'5. Kosten uitvoering project'!U:U)</f>
        <v>0</v>
      </c>
      <c r="AK16" s="64">
        <f>SUMIF('5. Kosten uitvoering project'!$F:$F,Tb_ProjectKosten[[#This Row],[Begroting]],'5. Kosten uitvoering project'!V:V)</f>
        <v>0</v>
      </c>
      <c r="AL16" s="64">
        <f>Tb_ProjectKosten[[#This Row],[Kosten_Aanvraag]]+Tb_ProjectKosten[[#This Row],[Forfait_Bedrag]]</f>
        <v>0</v>
      </c>
      <c r="AM16" s="64">
        <f>Tb_ProjectKosten[[#This Row],[Kosten_Beoordeeld]]+Tb_ProjectKosten[[#This Row],[Forfait_Bedrag_Beoordeeld]]</f>
        <v>0</v>
      </c>
      <c r="AN16" t="str">
        <f>IF(Tb_ProjectKosten[[#This Row],[Forfait]]=0,"Dit kostentype hoeft u niet op te geven. Hiervoor wordt een forfait berekend.","")</f>
        <v/>
      </c>
    </row>
    <row r="17" spans="1:40" x14ac:dyDescent="0.25">
      <c r="A17" s="12"/>
      <c r="B17" s="12"/>
      <c r="C17" s="12" t="str">
        <f>IFERROR(VLOOKUP($B17,Tb_ProjectKosten[],4,0),"")</f>
        <v/>
      </c>
      <c r="D17" s="12" t="str" cm="1">
        <f t="array" ref="D17">IFERROR(INDEX(Tb_KostenOpties[],MATCH(B17,Tb_KostenOpties[KostenOptie],0),IFERROR(MATCH(Methode_Keuze,Tb_KostenOpties[#Headers],0),2)),"")</f>
        <v/>
      </c>
      <c r="E17" s="281">
        <f>IFERROR(VLOOKUP(B17,Tb_ProjectKosten[[#All],[KostenOmschrijving]:[Forfait_Percentage]],6,0),0)</f>
        <v>0</v>
      </c>
      <c r="F17" s="282">
        <f>SUMIFS('5. Kosten uitvoering project'!R:R,'5. Kosten uitvoering project'!E:E,SubsidieTabel!A17,'5. Kosten uitvoering project'!F:F,SubsidieTabel!B17)</f>
        <v>0</v>
      </c>
      <c r="G17" s="282">
        <f>SUMIFS('5. Kosten uitvoering project'!S:S,'5. Kosten uitvoering project'!E:E,SubsidieTabel!A17,'5. Kosten uitvoering project'!F:F,SubsidieTabel!B17)</f>
        <v>0</v>
      </c>
      <c r="H17" s="282">
        <f>SUMIFS('5. Kosten uitvoering project'!U:U,'5. Kosten uitvoering project'!E:E,SubsidieTabel!A17,'5. Kosten uitvoering project'!F:F,SubsidieTabel!B17)</f>
        <v>0</v>
      </c>
      <c r="I17" s="282">
        <f>SUMIFS('5. Kosten uitvoering project'!V:V,'5. Kosten uitvoering project'!E:E,SubsidieTabel!A17,'5. Kosten uitvoering project'!F:F,SubsidieTabel!B17)</f>
        <v>0</v>
      </c>
      <c r="J17" s="282">
        <f t="shared" si="0"/>
        <v>0</v>
      </c>
      <c r="K17" s="282">
        <f t="shared" si="1"/>
        <v>0</v>
      </c>
      <c r="L17" s="281" t="str">
        <f>IFERROR(VLOOKUP(A17,Lijsten!$AK:$AL,2,0),"")</f>
        <v/>
      </c>
      <c r="M17" s="282">
        <f t="shared" si="2"/>
        <v>0</v>
      </c>
      <c r="N17" s="282">
        <f t="shared" si="3"/>
        <v>0</v>
      </c>
      <c r="O17" s="282">
        <f>IFERROR(IF(INDEX(Tb_Activiteiten[#All],MATCH(SubsidieTabel!$A17,Tb_Activiteiten[[#All],[Subsidiabele_Activiteit]],0),MATCH(SubsidieTabel!O$1,Tb_Activiteiten[#Headers],0))=1,SubsidieTabel!$J17,0),0)</f>
        <v>0</v>
      </c>
      <c r="P17" s="282">
        <f>IFERROR(IF(INDEX(Tb_Activiteiten[#All],MATCH(SubsidieTabel!$A17,Tb_Activiteiten[[#All],[Subsidiabele_Activiteit]],0),MATCH(SubsidieTabel!P$1,Tb_Activiteiten[#Headers],0))=1,SubsidieTabel!$K17,0),0)</f>
        <v>0</v>
      </c>
      <c r="Q17" s="282">
        <f>IFERROR(IF(INDEX(Tb_Activiteiten[#All],MATCH(SubsidieTabel!$A17,Tb_Activiteiten[[#All],[Subsidiabele_Activiteit]],0),MATCH(SubsidieTabel!Q$1,Tb_Activiteiten[#Headers],0))=1,SubsidieTabel!$J17,0),0)</f>
        <v>0</v>
      </c>
      <c r="R17" s="282">
        <f>IFERROR(IF(INDEX(Tb_Activiteiten[#All],MATCH(SubsidieTabel!$A17,Tb_Activiteiten[[#All],[Subsidiabele_Activiteit]],0),MATCH(SubsidieTabel!R$1,Tb_Activiteiten[#Headers],0))=1,SubsidieTabel!$K17,0),0)</f>
        <v>0</v>
      </c>
      <c r="S17" s="282">
        <f>IFERROR(IF(INDEX(Tb_Activiteiten[#All],MATCH(SubsidieTabel!$A17,Tb_Activiteiten[[#All],[Subsidiabele_Activiteit]],0),MATCH(SubsidieTabel!S$1,Tb_Activiteiten[#Headers],0))=1,SubsidieTabel!$J17,0),0)</f>
        <v>0</v>
      </c>
      <c r="T17" s="282">
        <f>IFERROR(IF(INDEX(Tb_Activiteiten[#All],MATCH(SubsidieTabel!$A17,Tb_Activiteiten[[#All],[Subsidiabele_Activiteit]],0),MATCH(SubsidieTabel!T$1,Tb_Activiteiten[#Headers],0))=1,SubsidieTabel!$K17,0),0)</f>
        <v>0</v>
      </c>
      <c r="U17" s="282">
        <f>IFERROR(IF(INDEX(Tb_Activiteiten[#All],MATCH(SubsidieTabel!$A17,Tb_Activiteiten[[#All],[Subsidiabele_Activiteit]],0),MATCH(SubsidieTabel!U$1,Tb_Activiteiten[#Headers],0))=1,SubsidieTabel!$J17,0),0)</f>
        <v>0</v>
      </c>
      <c r="V17" s="282">
        <f>IFERROR(IF(INDEX(Tb_Activiteiten[#All],MATCH(SubsidieTabel!$A17,Tb_Activiteiten[[#All],[Subsidiabele_Activiteit]],0),MATCH(SubsidieTabel!V$1,Tb_Activiteiten[#Headers],0))=1,SubsidieTabel!$K17,0),0)</f>
        <v>0</v>
      </c>
      <c r="W17" s="64">
        <f>IFERROR(IF(INDEX(Tb_Activiteiten[#All],MATCH(SubsidieTabel!$A17,Tb_Activiteiten[[#All],[Subsidiabele_Activiteit]],0),MATCH(SubsidieTabel!Q$1,Tb_Activiteiten[#Headers],0))=1,H17,0),0)</f>
        <v>0</v>
      </c>
      <c r="X17" s="64">
        <f>IFERROR(IF(INDEX(Tb_Activiteiten[#All],MATCH(SubsidieTabel!$A17,Tb_Activiteiten[[#All],[Subsidiabele_Activiteit]],0),MATCH(SubsidieTabel!Q$1,Tb_Activiteiten[#Headers],0))=1,I17,0),0)</f>
        <v>0</v>
      </c>
      <c r="Y17" s="64">
        <f>IFERROR(IF(INDEX(Tb_Activiteiten[#All],MATCH(SubsidieTabel!$A17,Tb_Activiteiten[[#All],[Subsidiabele_Activiteit]],0),MATCH(SubsidieTabel!S$1,Tb_Activiteiten[#Headers],0))=1,H17,0),0)</f>
        <v>0</v>
      </c>
      <c r="Z17" s="64">
        <f>IFERROR(IF(INDEX(Tb_Activiteiten[#All],MATCH(SubsidieTabel!$A17,Tb_Activiteiten[[#All],[Subsidiabele_Activiteit]],0),MATCH(SubsidieTabel!S$1,Tb_Activiteiten[#Headers],0))=1,I17,0),0)</f>
        <v>0</v>
      </c>
      <c r="AA17" s="64">
        <f>IFERROR(IF(INDEX(Tb_Activiteiten[#All],MATCH(SubsidieTabel!$A17,Tb_Activiteiten[[#All],[Subsidiabele_Activiteit]],0),MATCH(SubsidieTabel!O$1,Tb_Activiteiten[#Headers],0))=1,$F17,0),0)</f>
        <v>0</v>
      </c>
      <c r="AB17" s="64">
        <f>IFERROR(IF(INDEX(Tb_Activiteiten[#All],MATCH(SubsidieTabel!$A17,Tb_Activiteiten[[#All],[Subsidiabele_Activiteit]],0),MATCH(SubsidieTabel!O$1,Tb_Activiteiten[#Headers],0))=1,$G17,0),0)</f>
        <v>0</v>
      </c>
      <c r="AD17" s="12" t="str">
        <f t="shared" si="4"/>
        <v>Kosten derden exclusief btw</v>
      </c>
      <c r="AE17" s="64">
        <f>IF(Tb_ProjectKosten[[#This Row],[Forfait]]=1,SUMIF('5. Kosten uitvoering project'!$F$6:$F$250,Tb_ProjectKosten[[#This Row],[KostenOmschrijving]],'5. Kosten uitvoering project'!$R$6:$R$250),0)</f>
        <v>0</v>
      </c>
      <c r="AF17" s="64">
        <f>IF(Tb_ProjectKosten[[#This Row],[Forfait]]=1,SUMIF('5. Kosten uitvoering project'!$F$6:$F$250,Tb_ProjectKosten[[#This Row],[KostenOmschrijving]],'5. Kosten uitvoering project'!$S$6:$S$250),0)</f>
        <v>0</v>
      </c>
      <c r="AG17" t="str">
        <f>Tb_ProjectKosten[[#This Row],[KostenOmschrijving]]</f>
        <v>Kosten derden exclusief btw</v>
      </c>
      <c r="AH17" cm="1">
        <f t="array" ref="AH17">INDEX(Tb_KostenOpties[],MATCH(Tb_ProjectKosten[[#This Row],[KostenOmschrijving]],Tb_KostenOpties[KostenOptie],0),IFERROR(MATCH(Methode_Keuze,Tb_KostenOpties[#Headers],0),2))</f>
        <v>1</v>
      </c>
      <c r="AI17" s="65">
        <v>0.23</v>
      </c>
      <c r="AJ17" s="64">
        <f>SUMIF('5. Kosten uitvoering project'!$F:$F,Tb_ProjectKosten[[#This Row],[Begroting]],'5. Kosten uitvoering project'!U:U)</f>
        <v>0</v>
      </c>
      <c r="AK17" s="64">
        <f>SUMIF('5. Kosten uitvoering project'!$F:$F,Tb_ProjectKosten[[#This Row],[Begroting]],'5. Kosten uitvoering project'!V:V)</f>
        <v>0</v>
      </c>
      <c r="AL17" s="64">
        <f>Tb_ProjectKosten[[#This Row],[Kosten_Aanvraag]]+Tb_ProjectKosten[[#This Row],[Forfait_Bedrag]]</f>
        <v>0</v>
      </c>
      <c r="AM17" s="64">
        <f>Tb_ProjectKosten[[#This Row],[Kosten_Beoordeeld]]+Tb_ProjectKosten[[#This Row],[Forfait_Bedrag_Beoordeeld]]</f>
        <v>0</v>
      </c>
      <c r="AN17" t="str">
        <f>IF(Tb_ProjectKosten[[#This Row],[Forfait]]=0,"Dit kostentype hoeft u niet op te geven. Hiervoor wordt een forfait berekend.","")</f>
        <v/>
      </c>
    </row>
    <row r="18" spans="1:40" x14ac:dyDescent="0.25">
      <c r="A18" s="63"/>
      <c r="B18" s="63"/>
      <c r="C18" s="63" t="str">
        <f>IFERROR(VLOOKUP($B18,Tb_ProjectKosten[],4,0),"")</f>
        <v/>
      </c>
      <c r="D18" s="63" t="str" cm="1">
        <f t="array" ref="D18">IFERROR(INDEX(Tb_KostenOpties[],MATCH(B18,Tb_KostenOpties[KostenOptie],0),IFERROR(MATCH(Methode_Keuze,Tb_KostenOpties[#Headers],0),2)),"")</f>
        <v/>
      </c>
      <c r="E18" s="283">
        <f>IFERROR(VLOOKUP(B18,Tb_ProjectKosten[[#All],[KostenOmschrijving]:[Forfait_Percentage]],6,0),0)</f>
        <v>0</v>
      </c>
      <c r="F18" s="284">
        <f>SUMIFS('5. Kosten uitvoering project'!R:R,'5. Kosten uitvoering project'!E:E,SubsidieTabel!A18,'5. Kosten uitvoering project'!F:F,SubsidieTabel!B18)</f>
        <v>0</v>
      </c>
      <c r="G18" s="284">
        <f>SUMIFS('5. Kosten uitvoering project'!S:S,'5. Kosten uitvoering project'!E:E,SubsidieTabel!A18,'5. Kosten uitvoering project'!F:F,SubsidieTabel!B18)</f>
        <v>0</v>
      </c>
      <c r="H18" s="284">
        <f>SUMIFS('5. Kosten uitvoering project'!U:U,'5. Kosten uitvoering project'!E:E,SubsidieTabel!A18,'5. Kosten uitvoering project'!F:F,SubsidieTabel!B18)</f>
        <v>0</v>
      </c>
      <c r="I18" s="284">
        <f>SUMIFS('5. Kosten uitvoering project'!V:V,'5. Kosten uitvoering project'!E:E,SubsidieTabel!A18,'5. Kosten uitvoering project'!F:F,SubsidieTabel!B18)</f>
        <v>0</v>
      </c>
      <c r="J18" s="284">
        <f t="shared" si="0"/>
        <v>0</v>
      </c>
      <c r="K18" s="284">
        <f t="shared" si="1"/>
        <v>0</v>
      </c>
      <c r="L18" s="283" t="str">
        <f>IFERROR(VLOOKUP(A18,Lijsten!$AK:$AL,2,0),"")</f>
        <v/>
      </c>
      <c r="M18" s="284">
        <f t="shared" si="2"/>
        <v>0</v>
      </c>
      <c r="N18" s="284">
        <f t="shared" si="3"/>
        <v>0</v>
      </c>
      <c r="O18" s="284">
        <f>IFERROR(IF(INDEX(Tb_Activiteiten[#All],MATCH(SubsidieTabel!$A18,Tb_Activiteiten[[#All],[Subsidiabele_Activiteit]],0),MATCH(SubsidieTabel!O$1,Tb_Activiteiten[#Headers],0))=1,SubsidieTabel!$J18,0),0)</f>
        <v>0</v>
      </c>
      <c r="P18" s="284">
        <f>IFERROR(IF(INDEX(Tb_Activiteiten[#All],MATCH(SubsidieTabel!$A18,Tb_Activiteiten[[#All],[Subsidiabele_Activiteit]],0),MATCH(SubsidieTabel!P$1,Tb_Activiteiten[#Headers],0))=1,SubsidieTabel!$K18,0),0)</f>
        <v>0</v>
      </c>
      <c r="Q18" s="284">
        <f>IFERROR(IF(INDEX(Tb_Activiteiten[#All],MATCH(SubsidieTabel!$A18,Tb_Activiteiten[[#All],[Subsidiabele_Activiteit]],0),MATCH(SubsidieTabel!Q$1,Tb_Activiteiten[#Headers],0))=1,SubsidieTabel!$J18,0),0)</f>
        <v>0</v>
      </c>
      <c r="R18" s="284">
        <f>IFERROR(IF(INDEX(Tb_Activiteiten[#All],MATCH(SubsidieTabel!$A18,Tb_Activiteiten[[#All],[Subsidiabele_Activiteit]],0),MATCH(SubsidieTabel!R$1,Tb_Activiteiten[#Headers],0))=1,SubsidieTabel!$K18,0),0)</f>
        <v>0</v>
      </c>
      <c r="S18" s="284">
        <f>IFERROR(IF(INDEX(Tb_Activiteiten[#All],MATCH(SubsidieTabel!$A18,Tb_Activiteiten[[#All],[Subsidiabele_Activiteit]],0),MATCH(SubsidieTabel!S$1,Tb_Activiteiten[#Headers],0))=1,SubsidieTabel!$J18,0),0)</f>
        <v>0</v>
      </c>
      <c r="T18" s="284">
        <f>IFERROR(IF(INDEX(Tb_Activiteiten[#All],MATCH(SubsidieTabel!$A18,Tb_Activiteiten[[#All],[Subsidiabele_Activiteit]],0),MATCH(SubsidieTabel!T$1,Tb_Activiteiten[#Headers],0))=1,SubsidieTabel!$K18,0),0)</f>
        <v>0</v>
      </c>
      <c r="U18" s="284">
        <f>IFERROR(IF(INDEX(Tb_Activiteiten[#All],MATCH(SubsidieTabel!$A18,Tb_Activiteiten[[#All],[Subsidiabele_Activiteit]],0),MATCH(SubsidieTabel!U$1,Tb_Activiteiten[#Headers],0))=1,SubsidieTabel!$J18,0),0)</f>
        <v>0</v>
      </c>
      <c r="V18" s="284">
        <f>IFERROR(IF(INDEX(Tb_Activiteiten[#All],MATCH(SubsidieTabel!$A18,Tb_Activiteiten[[#All],[Subsidiabele_Activiteit]],0),MATCH(SubsidieTabel!V$1,Tb_Activiteiten[#Headers],0))=1,SubsidieTabel!$K18,0),0)</f>
        <v>0</v>
      </c>
      <c r="W18" s="369">
        <f>IFERROR(IF(INDEX(Tb_Activiteiten[#All],MATCH(SubsidieTabel!$A18,Tb_Activiteiten[[#All],[Subsidiabele_Activiteit]],0),MATCH(SubsidieTabel!Q$1,Tb_Activiteiten[#Headers],0))=1,H18,0),0)</f>
        <v>0</v>
      </c>
      <c r="X18" s="369">
        <f>IFERROR(IF(INDEX(Tb_Activiteiten[#All],MATCH(SubsidieTabel!$A18,Tb_Activiteiten[[#All],[Subsidiabele_Activiteit]],0),MATCH(SubsidieTabel!Q$1,Tb_Activiteiten[#Headers],0))=1,I18,0),0)</f>
        <v>0</v>
      </c>
      <c r="Y18" s="369">
        <f>IFERROR(IF(INDEX(Tb_Activiteiten[#All],MATCH(SubsidieTabel!$A18,Tb_Activiteiten[[#All],[Subsidiabele_Activiteit]],0),MATCH(SubsidieTabel!S$1,Tb_Activiteiten[#Headers],0))=1,H18,0),0)</f>
        <v>0</v>
      </c>
      <c r="Z18" s="369">
        <f>IFERROR(IF(INDEX(Tb_Activiteiten[#All],MATCH(SubsidieTabel!$A18,Tb_Activiteiten[[#All],[Subsidiabele_Activiteit]],0),MATCH(SubsidieTabel!S$1,Tb_Activiteiten[#Headers],0))=1,I18,0),0)</f>
        <v>0</v>
      </c>
      <c r="AA18" s="369">
        <f>IFERROR(IF(INDEX(Tb_Activiteiten[#All],MATCH(SubsidieTabel!$A18,Tb_Activiteiten[[#All],[Subsidiabele_Activiteit]],0),MATCH(SubsidieTabel!O$1,Tb_Activiteiten[#Headers],0))=1,$F18,0),0)</f>
        <v>0</v>
      </c>
      <c r="AB18" s="369">
        <f>IFERROR(IF(INDEX(Tb_Activiteiten[#All],MATCH(SubsidieTabel!$A18,Tb_Activiteiten[[#All],[Subsidiabele_Activiteit]],0),MATCH(SubsidieTabel!O$1,Tb_Activiteiten[#Headers],0))=1,$G18,0),0)</f>
        <v>0</v>
      </c>
      <c r="AD18" s="12" t="str">
        <f t="shared" si="4"/>
        <v>Niet verrekenbare btw</v>
      </c>
      <c r="AE18" s="64">
        <f>IF(Tb_ProjectKosten[[#This Row],[Forfait]]=1,SUMIF('5. Kosten uitvoering project'!$F$6:$F$250,Tb_ProjectKosten[[#This Row],[KostenOmschrijving]],'5. Kosten uitvoering project'!$R$6:$R$250),0)</f>
        <v>0</v>
      </c>
      <c r="AF18" s="64">
        <f>IF(Tb_ProjectKosten[[#This Row],[Forfait]]=1,SUMIF('5. Kosten uitvoering project'!$F$6:$F$250,Tb_ProjectKosten[[#This Row],[KostenOmschrijving]],'5. Kosten uitvoering project'!$S$6:$S$250),0)</f>
        <v>0</v>
      </c>
      <c r="AG18" t="str">
        <f>Tb_ProjectKosten[[#This Row],[KostenOmschrijving]]</f>
        <v>Niet verrekenbare btw</v>
      </c>
      <c r="AH18" cm="1">
        <f t="array" ref="AH18">INDEX(Tb_KostenOpties[],MATCH(Tb_ProjectKosten[[#This Row],[KostenOmschrijving]],Tb_KostenOpties[KostenOptie],0),IFERROR(MATCH(Methode_Keuze,Tb_KostenOpties[#Headers],0),2))</f>
        <v>1</v>
      </c>
      <c r="AI18" s="65">
        <v>0.23</v>
      </c>
      <c r="AJ18" s="64">
        <f>SUMIF('5. Kosten uitvoering project'!$F:$F,Tb_ProjectKosten[[#This Row],[Begroting]],'5. Kosten uitvoering project'!U:U)</f>
        <v>0</v>
      </c>
      <c r="AK18" s="64">
        <f>SUMIF('5. Kosten uitvoering project'!$F:$F,Tb_ProjectKosten[[#This Row],[Begroting]],'5. Kosten uitvoering project'!V:V)</f>
        <v>0</v>
      </c>
      <c r="AL18" s="64">
        <f>Tb_ProjectKosten[[#This Row],[Kosten_Aanvraag]]+Tb_ProjectKosten[[#This Row],[Forfait_Bedrag]]</f>
        <v>0</v>
      </c>
      <c r="AM18" s="64">
        <f>Tb_ProjectKosten[[#This Row],[Kosten_Beoordeeld]]+Tb_ProjectKosten[[#This Row],[Forfait_Bedrag_Beoordeeld]]</f>
        <v>0</v>
      </c>
      <c r="AN18" t="str">
        <f>IF(Tb_ProjectKosten[[#This Row],[Forfait]]=0,"Dit kostentype hoeft u niet op te geven. Hiervoor wordt een forfait berekend.","")</f>
        <v/>
      </c>
    </row>
    <row r="19" spans="1:40" x14ac:dyDescent="0.25">
      <c r="A19" s="12"/>
      <c r="B19" s="12"/>
      <c r="C19" s="12" t="str">
        <f>IFERROR(VLOOKUP($B19,Tb_ProjectKosten[],4,0),"")</f>
        <v/>
      </c>
      <c r="D19" s="12" t="str" cm="1">
        <f t="array" ref="D19">IFERROR(INDEX(Tb_KostenOpties[],MATCH(B19,Tb_KostenOpties[KostenOptie],0),IFERROR(MATCH(Methode_Keuze,Tb_KostenOpties[#Headers],0),2)),"")</f>
        <v/>
      </c>
      <c r="E19" s="281">
        <f>IFERROR(VLOOKUP(B19,Tb_ProjectKosten[[#All],[KostenOmschrijving]:[Forfait_Percentage]],6,0),0)</f>
        <v>0</v>
      </c>
      <c r="F19" s="282">
        <f>SUMIFS('5. Kosten uitvoering project'!R:R,'5. Kosten uitvoering project'!E:E,SubsidieTabel!A19,'5. Kosten uitvoering project'!F:F,SubsidieTabel!B19)</f>
        <v>0</v>
      </c>
      <c r="G19" s="282">
        <f>SUMIFS('5. Kosten uitvoering project'!S:S,'5. Kosten uitvoering project'!E:E,SubsidieTabel!A19,'5. Kosten uitvoering project'!F:F,SubsidieTabel!B19)</f>
        <v>0</v>
      </c>
      <c r="H19" s="282">
        <f>SUMIFS('5. Kosten uitvoering project'!U:U,'5. Kosten uitvoering project'!E:E,SubsidieTabel!A19,'5. Kosten uitvoering project'!F:F,SubsidieTabel!B19)</f>
        <v>0</v>
      </c>
      <c r="I19" s="282">
        <f>SUMIFS('5. Kosten uitvoering project'!V:V,'5. Kosten uitvoering project'!E:E,SubsidieTabel!A19,'5. Kosten uitvoering project'!F:F,SubsidieTabel!B19)</f>
        <v>0</v>
      </c>
      <c r="J19" s="282">
        <f t="shared" si="0"/>
        <v>0</v>
      </c>
      <c r="K19" s="282">
        <f t="shared" si="1"/>
        <v>0</v>
      </c>
      <c r="L19" s="281" t="str">
        <f>IFERROR(VLOOKUP(A19,Lijsten!$AK:$AL,2,0),"")</f>
        <v/>
      </c>
      <c r="M19" s="282">
        <f t="shared" si="2"/>
        <v>0</v>
      </c>
      <c r="N19" s="282">
        <f t="shared" si="3"/>
        <v>0</v>
      </c>
      <c r="O19" s="282">
        <f>IFERROR(IF(INDEX(Tb_Activiteiten[#All],MATCH(SubsidieTabel!$A19,Tb_Activiteiten[[#All],[Subsidiabele_Activiteit]],0),MATCH(SubsidieTabel!O$1,Tb_Activiteiten[#Headers],0))=1,SubsidieTabel!$J19,0),0)</f>
        <v>0</v>
      </c>
      <c r="P19" s="282">
        <f>IFERROR(IF(INDEX(Tb_Activiteiten[#All],MATCH(SubsidieTabel!$A19,Tb_Activiteiten[[#All],[Subsidiabele_Activiteit]],0),MATCH(SubsidieTabel!P$1,Tb_Activiteiten[#Headers],0))=1,SubsidieTabel!$K19,0),0)</f>
        <v>0</v>
      </c>
      <c r="Q19" s="282">
        <f>IFERROR(IF(INDEX(Tb_Activiteiten[#All],MATCH(SubsidieTabel!$A19,Tb_Activiteiten[[#All],[Subsidiabele_Activiteit]],0),MATCH(SubsidieTabel!Q$1,Tb_Activiteiten[#Headers],0))=1,SubsidieTabel!$J19,0),0)</f>
        <v>0</v>
      </c>
      <c r="R19" s="282">
        <f>IFERROR(IF(INDEX(Tb_Activiteiten[#All],MATCH(SubsidieTabel!$A19,Tb_Activiteiten[[#All],[Subsidiabele_Activiteit]],0),MATCH(SubsidieTabel!R$1,Tb_Activiteiten[#Headers],0))=1,SubsidieTabel!$K19,0),0)</f>
        <v>0</v>
      </c>
      <c r="S19" s="282">
        <f>IFERROR(IF(INDEX(Tb_Activiteiten[#All],MATCH(SubsidieTabel!$A19,Tb_Activiteiten[[#All],[Subsidiabele_Activiteit]],0),MATCH(SubsidieTabel!S$1,Tb_Activiteiten[#Headers],0))=1,SubsidieTabel!$J19,0),0)</f>
        <v>0</v>
      </c>
      <c r="T19" s="282">
        <f>IFERROR(IF(INDEX(Tb_Activiteiten[#All],MATCH(SubsidieTabel!$A19,Tb_Activiteiten[[#All],[Subsidiabele_Activiteit]],0),MATCH(SubsidieTabel!T$1,Tb_Activiteiten[#Headers],0))=1,SubsidieTabel!$K19,0),0)</f>
        <v>0</v>
      </c>
      <c r="U19" s="282">
        <f>IFERROR(IF(INDEX(Tb_Activiteiten[#All],MATCH(SubsidieTabel!$A19,Tb_Activiteiten[[#All],[Subsidiabele_Activiteit]],0),MATCH(SubsidieTabel!U$1,Tb_Activiteiten[#Headers],0))=1,SubsidieTabel!$J19,0),0)</f>
        <v>0</v>
      </c>
      <c r="V19" s="282">
        <f>IFERROR(IF(INDEX(Tb_Activiteiten[#All],MATCH(SubsidieTabel!$A19,Tb_Activiteiten[[#All],[Subsidiabele_Activiteit]],0),MATCH(SubsidieTabel!V$1,Tb_Activiteiten[#Headers],0))=1,SubsidieTabel!$K19,0),0)</f>
        <v>0</v>
      </c>
      <c r="W19" s="64">
        <f>IFERROR(IF(INDEX(Tb_Activiteiten[#All],MATCH(SubsidieTabel!$A19,Tb_Activiteiten[[#All],[Subsidiabele_Activiteit]],0),MATCH(SubsidieTabel!Q$1,Tb_Activiteiten[#Headers],0))=1,H19,0),0)</f>
        <v>0</v>
      </c>
      <c r="X19" s="64">
        <f>IFERROR(IF(INDEX(Tb_Activiteiten[#All],MATCH(SubsidieTabel!$A19,Tb_Activiteiten[[#All],[Subsidiabele_Activiteit]],0),MATCH(SubsidieTabel!Q$1,Tb_Activiteiten[#Headers],0))=1,I19,0),0)</f>
        <v>0</v>
      </c>
      <c r="Y19" s="64">
        <f>IFERROR(IF(INDEX(Tb_Activiteiten[#All],MATCH(SubsidieTabel!$A19,Tb_Activiteiten[[#All],[Subsidiabele_Activiteit]],0),MATCH(SubsidieTabel!S$1,Tb_Activiteiten[#Headers],0))=1,H19,0),0)</f>
        <v>0</v>
      </c>
      <c r="Z19" s="64">
        <f>IFERROR(IF(INDEX(Tb_Activiteiten[#All],MATCH(SubsidieTabel!$A19,Tb_Activiteiten[[#All],[Subsidiabele_Activiteit]],0),MATCH(SubsidieTabel!S$1,Tb_Activiteiten[#Headers],0))=1,I19,0),0)</f>
        <v>0</v>
      </c>
      <c r="AA19" s="64">
        <f>IFERROR(IF(INDEX(Tb_Activiteiten[#All],MATCH(SubsidieTabel!$A19,Tb_Activiteiten[[#All],[Subsidiabele_Activiteit]],0),MATCH(SubsidieTabel!O$1,Tb_Activiteiten[#Headers],0))=1,$F19,0),0)</f>
        <v>0</v>
      </c>
      <c r="AB19" s="64">
        <f>IFERROR(IF(INDEX(Tb_Activiteiten[#All],MATCH(SubsidieTabel!$A19,Tb_Activiteiten[[#All],[Subsidiabele_Activiteit]],0),MATCH(SubsidieTabel!O$1,Tb_Activiteiten[#Headers],0))=1,$G19,0),0)</f>
        <v>0</v>
      </c>
      <c r="AD19" s="12" t="str">
        <f t="shared" si="4"/>
        <v>Grondkosten</v>
      </c>
      <c r="AE19" s="64">
        <f>IF(Tb_ProjectKosten[[#This Row],[Forfait]]=1,SUMIF('5. Kosten uitvoering project'!$F$6:$F$250,Tb_ProjectKosten[[#This Row],[KostenOmschrijving]],'5. Kosten uitvoering project'!$R$6:$R$250),0)</f>
        <v>0</v>
      </c>
      <c r="AF19" s="64">
        <f>IF(Tb_ProjectKosten[[#This Row],[Forfait]]=1,SUMIF('5. Kosten uitvoering project'!$F$6:$F$250,Tb_ProjectKosten[[#This Row],[KostenOmschrijving]],'5. Kosten uitvoering project'!$S$6:$S$250),0)</f>
        <v>0</v>
      </c>
      <c r="AG19" t="str">
        <f>Tb_ProjectKosten[[#This Row],[KostenOmschrijving]]</f>
        <v>Grondkosten</v>
      </c>
      <c r="AH19" cm="1">
        <f t="array" ref="AH19">INDEX(Tb_KostenOpties[],MATCH(Tb_ProjectKosten[[#This Row],[KostenOmschrijving]],Tb_KostenOpties[KostenOptie],0),IFERROR(MATCH(Methode_Keuze,Tb_KostenOpties[#Headers],0),2))</f>
        <v>1</v>
      </c>
      <c r="AI19" s="65">
        <v>0.23</v>
      </c>
      <c r="AJ19" s="64">
        <f>SUMIF('5. Kosten uitvoering project'!$F:$F,Tb_ProjectKosten[[#This Row],[Begroting]],'5. Kosten uitvoering project'!U:U)</f>
        <v>0</v>
      </c>
      <c r="AK19" s="64">
        <f>SUMIF('5. Kosten uitvoering project'!$F:$F,Tb_ProjectKosten[[#This Row],[Begroting]],'5. Kosten uitvoering project'!V:V)</f>
        <v>0</v>
      </c>
      <c r="AL19" s="64">
        <f>Tb_ProjectKosten[[#This Row],[Kosten_Aanvraag]]+Tb_ProjectKosten[[#This Row],[Forfait_Bedrag]]</f>
        <v>0</v>
      </c>
      <c r="AM19" s="64">
        <f>Tb_ProjectKosten[[#This Row],[Kosten_Beoordeeld]]+Tb_ProjectKosten[[#This Row],[Forfait_Bedrag_Beoordeeld]]</f>
        <v>0</v>
      </c>
      <c r="AN19" t="str">
        <f>IF(Tb_ProjectKosten[[#This Row],[Forfait]]=0,"Dit kostentype hoeft u niet op te geven. Hiervoor wordt een forfait berekend.","")</f>
        <v/>
      </c>
    </row>
    <row r="20" spans="1:40" x14ac:dyDescent="0.25">
      <c r="A20" s="63"/>
      <c r="B20" s="63"/>
      <c r="C20" s="63" t="str">
        <f>IFERROR(VLOOKUP($B20,Tb_ProjectKosten[],4,0),"")</f>
        <v/>
      </c>
      <c r="D20" s="63" t="str" cm="1">
        <f t="array" ref="D20">IFERROR(INDEX(Tb_KostenOpties[],MATCH(B20,Tb_KostenOpties[KostenOptie],0),IFERROR(MATCH(Methode_Keuze,Tb_KostenOpties[#Headers],0),2)),"")</f>
        <v/>
      </c>
      <c r="E20" s="283">
        <f>IFERROR(VLOOKUP(B20,Tb_ProjectKosten[[#All],[KostenOmschrijving]:[Forfait_Percentage]],6,0),0)</f>
        <v>0</v>
      </c>
      <c r="F20" s="284">
        <f>SUMIFS('5. Kosten uitvoering project'!R:R,'5. Kosten uitvoering project'!E:E,SubsidieTabel!A20,'5. Kosten uitvoering project'!F:F,SubsidieTabel!B20)</f>
        <v>0</v>
      </c>
      <c r="G20" s="284">
        <f>SUMIFS('5. Kosten uitvoering project'!S:S,'5. Kosten uitvoering project'!E:E,SubsidieTabel!A20,'5. Kosten uitvoering project'!F:F,SubsidieTabel!B20)</f>
        <v>0</v>
      </c>
      <c r="H20" s="284">
        <f>SUMIFS('5. Kosten uitvoering project'!U:U,'5. Kosten uitvoering project'!E:E,SubsidieTabel!A20,'5. Kosten uitvoering project'!F:F,SubsidieTabel!B20)</f>
        <v>0</v>
      </c>
      <c r="I20" s="284">
        <f>SUMIFS('5. Kosten uitvoering project'!V:V,'5. Kosten uitvoering project'!E:E,SubsidieTabel!A20,'5. Kosten uitvoering project'!F:F,SubsidieTabel!B20)</f>
        <v>0</v>
      </c>
      <c r="J20" s="284">
        <f t="shared" si="0"/>
        <v>0</v>
      </c>
      <c r="K20" s="284">
        <f t="shared" si="1"/>
        <v>0</v>
      </c>
      <c r="L20" s="283" t="str">
        <f>IFERROR(VLOOKUP(A20,Lijsten!$AK:$AL,2,0),"")</f>
        <v/>
      </c>
      <c r="M20" s="284">
        <f t="shared" si="2"/>
        <v>0</v>
      </c>
      <c r="N20" s="284">
        <f t="shared" si="3"/>
        <v>0</v>
      </c>
      <c r="O20" s="284">
        <f>IFERROR(IF(INDEX(Tb_Activiteiten[#All],MATCH(SubsidieTabel!$A20,Tb_Activiteiten[[#All],[Subsidiabele_Activiteit]],0),MATCH(SubsidieTabel!O$1,Tb_Activiteiten[#Headers],0))=1,SubsidieTabel!$J20,0),0)</f>
        <v>0</v>
      </c>
      <c r="P20" s="284">
        <f>IFERROR(IF(INDEX(Tb_Activiteiten[#All],MATCH(SubsidieTabel!$A20,Tb_Activiteiten[[#All],[Subsidiabele_Activiteit]],0),MATCH(SubsidieTabel!P$1,Tb_Activiteiten[#Headers],0))=1,SubsidieTabel!$K20,0),0)</f>
        <v>0</v>
      </c>
      <c r="Q20" s="284">
        <f>IFERROR(IF(INDEX(Tb_Activiteiten[#All],MATCH(SubsidieTabel!$A20,Tb_Activiteiten[[#All],[Subsidiabele_Activiteit]],0),MATCH(SubsidieTabel!Q$1,Tb_Activiteiten[#Headers],0))=1,SubsidieTabel!$J20,0),0)</f>
        <v>0</v>
      </c>
      <c r="R20" s="284">
        <f>IFERROR(IF(INDEX(Tb_Activiteiten[#All],MATCH(SubsidieTabel!$A20,Tb_Activiteiten[[#All],[Subsidiabele_Activiteit]],0),MATCH(SubsidieTabel!R$1,Tb_Activiteiten[#Headers],0))=1,SubsidieTabel!$K20,0),0)</f>
        <v>0</v>
      </c>
      <c r="S20" s="284">
        <f>IFERROR(IF(INDEX(Tb_Activiteiten[#All],MATCH(SubsidieTabel!$A20,Tb_Activiteiten[[#All],[Subsidiabele_Activiteit]],0),MATCH(SubsidieTabel!S$1,Tb_Activiteiten[#Headers],0))=1,SubsidieTabel!$J20,0),0)</f>
        <v>0</v>
      </c>
      <c r="T20" s="284">
        <f>IFERROR(IF(INDEX(Tb_Activiteiten[#All],MATCH(SubsidieTabel!$A20,Tb_Activiteiten[[#All],[Subsidiabele_Activiteit]],0),MATCH(SubsidieTabel!T$1,Tb_Activiteiten[#Headers],0))=1,SubsidieTabel!$K20,0),0)</f>
        <v>0</v>
      </c>
      <c r="U20" s="284">
        <f>IFERROR(IF(INDEX(Tb_Activiteiten[#All],MATCH(SubsidieTabel!$A20,Tb_Activiteiten[[#All],[Subsidiabele_Activiteit]],0),MATCH(SubsidieTabel!U$1,Tb_Activiteiten[#Headers],0))=1,SubsidieTabel!$J20,0),0)</f>
        <v>0</v>
      </c>
      <c r="V20" s="284">
        <f>IFERROR(IF(INDEX(Tb_Activiteiten[#All],MATCH(SubsidieTabel!$A20,Tb_Activiteiten[[#All],[Subsidiabele_Activiteit]],0),MATCH(SubsidieTabel!V$1,Tb_Activiteiten[#Headers],0))=1,SubsidieTabel!$K20,0),0)</f>
        <v>0</v>
      </c>
      <c r="W20" s="369">
        <f>IFERROR(IF(INDEX(Tb_Activiteiten[#All],MATCH(SubsidieTabel!$A20,Tb_Activiteiten[[#All],[Subsidiabele_Activiteit]],0),MATCH(SubsidieTabel!Q$1,Tb_Activiteiten[#Headers],0))=1,H20,0),0)</f>
        <v>0</v>
      </c>
      <c r="X20" s="369">
        <f>IFERROR(IF(INDEX(Tb_Activiteiten[#All],MATCH(SubsidieTabel!$A20,Tb_Activiteiten[[#All],[Subsidiabele_Activiteit]],0),MATCH(SubsidieTabel!Q$1,Tb_Activiteiten[#Headers],0))=1,I20,0),0)</f>
        <v>0</v>
      </c>
      <c r="Y20" s="369">
        <f>IFERROR(IF(INDEX(Tb_Activiteiten[#All],MATCH(SubsidieTabel!$A20,Tb_Activiteiten[[#All],[Subsidiabele_Activiteit]],0),MATCH(SubsidieTabel!S$1,Tb_Activiteiten[#Headers],0))=1,H20,0),0)</f>
        <v>0</v>
      </c>
      <c r="Z20" s="369">
        <f>IFERROR(IF(INDEX(Tb_Activiteiten[#All],MATCH(SubsidieTabel!$A20,Tb_Activiteiten[[#All],[Subsidiabele_Activiteit]],0),MATCH(SubsidieTabel!S$1,Tb_Activiteiten[#Headers],0))=1,I20,0),0)</f>
        <v>0</v>
      </c>
      <c r="AA20" s="369">
        <f>IFERROR(IF(INDEX(Tb_Activiteiten[#All],MATCH(SubsidieTabel!$A20,Tb_Activiteiten[[#All],[Subsidiabele_Activiteit]],0),MATCH(SubsidieTabel!O$1,Tb_Activiteiten[#Headers],0))=1,$F20,0),0)</f>
        <v>0</v>
      </c>
      <c r="AB20" s="369">
        <f>IFERROR(IF(INDEX(Tb_Activiteiten[#All],MATCH(SubsidieTabel!$A20,Tb_Activiteiten[[#All],[Subsidiabele_Activiteit]],0),MATCH(SubsidieTabel!O$1,Tb_Activiteiten[#Headers],0))=1,$G20,0),0)</f>
        <v>0</v>
      </c>
      <c r="AD20" s="12" t="str">
        <f t="shared" si="4"/>
        <v>Bijdrage in natura (overige)</v>
      </c>
      <c r="AE20" s="64">
        <f>IF(Tb_ProjectKosten[[#This Row],[Forfait]]=1,SUMIF('5. Kosten uitvoering project'!$F$6:$F$250,Tb_ProjectKosten[[#This Row],[KostenOmschrijving]],'5. Kosten uitvoering project'!$R$6:$R$250),0)</f>
        <v>0</v>
      </c>
      <c r="AF20" s="64">
        <f>IF(Tb_ProjectKosten[[#This Row],[Forfait]]=1,SUMIF('5. Kosten uitvoering project'!$F$6:$F$250,Tb_ProjectKosten[[#This Row],[KostenOmschrijving]],'5. Kosten uitvoering project'!$S$6:$S$250),0)</f>
        <v>0</v>
      </c>
      <c r="AG20" t="str">
        <f>Tb_ProjectKosten[[#This Row],[KostenOmschrijving]]</f>
        <v>Bijdrage in natura (overige)</v>
      </c>
      <c r="AH20" cm="1">
        <f t="array" ref="AH20">INDEX(Tb_KostenOpties[],MATCH(Tb_ProjectKosten[[#This Row],[KostenOmschrijving]],Tb_KostenOpties[KostenOptie],0),IFERROR(MATCH(Methode_Keuze,Tb_KostenOpties[#Headers],0),2))</f>
        <v>1</v>
      </c>
      <c r="AI20" s="65">
        <v>0.23</v>
      </c>
      <c r="AJ20" s="64">
        <f>SUMIF('5. Kosten uitvoering project'!$F:$F,Tb_ProjectKosten[[#This Row],[Begroting]],'5. Kosten uitvoering project'!U:U)</f>
        <v>0</v>
      </c>
      <c r="AK20" s="64">
        <f>SUMIF('5. Kosten uitvoering project'!$F:$F,Tb_ProjectKosten[[#This Row],[Begroting]],'5. Kosten uitvoering project'!V:V)</f>
        <v>0</v>
      </c>
      <c r="AL20" s="64">
        <f>Tb_ProjectKosten[[#This Row],[Kosten_Aanvraag]]+Tb_ProjectKosten[[#This Row],[Forfait_Bedrag]]</f>
        <v>0</v>
      </c>
      <c r="AM20" s="64">
        <f>Tb_ProjectKosten[[#This Row],[Kosten_Beoordeeld]]+Tb_ProjectKosten[[#This Row],[Forfait_Bedrag_Beoordeeld]]</f>
        <v>0</v>
      </c>
      <c r="AN20" t="str">
        <f>IF(Tb_ProjectKosten[[#This Row],[Forfait]]=0,"Dit kostentype hoeft u niet op te geven. Hiervoor wordt een forfait berekend.","")</f>
        <v/>
      </c>
    </row>
    <row r="21" spans="1:40" x14ac:dyDescent="0.25">
      <c r="A21" s="12"/>
      <c r="B21" s="12"/>
      <c r="C21" s="12" t="str">
        <f>IFERROR(VLOOKUP($B21,Tb_ProjectKosten[],4,0),"")</f>
        <v/>
      </c>
      <c r="D21" s="12" t="str" cm="1">
        <f t="array" ref="D21">IFERROR(INDEX(Tb_KostenOpties[],MATCH(B21,Tb_KostenOpties[KostenOptie],0),IFERROR(MATCH(Methode_Keuze,Tb_KostenOpties[#Headers],0),2)),"")</f>
        <v/>
      </c>
      <c r="E21" s="281">
        <f>IFERROR(VLOOKUP(B21,Tb_ProjectKosten[[#All],[KostenOmschrijving]:[Forfait_Percentage]],6,0),0)</f>
        <v>0</v>
      </c>
      <c r="F21" s="282">
        <f>SUMIFS('5. Kosten uitvoering project'!R:R,'5. Kosten uitvoering project'!E:E,SubsidieTabel!A21,'5. Kosten uitvoering project'!F:F,SubsidieTabel!B21)</f>
        <v>0</v>
      </c>
      <c r="G21" s="282">
        <f>SUMIFS('5. Kosten uitvoering project'!S:S,'5. Kosten uitvoering project'!E:E,SubsidieTabel!A21,'5. Kosten uitvoering project'!F:F,SubsidieTabel!B21)</f>
        <v>0</v>
      </c>
      <c r="H21" s="282">
        <f>SUMIFS('5. Kosten uitvoering project'!U:U,'5. Kosten uitvoering project'!E:E,SubsidieTabel!A21,'5. Kosten uitvoering project'!F:F,SubsidieTabel!B21)</f>
        <v>0</v>
      </c>
      <c r="I21" s="282">
        <f>SUMIFS('5. Kosten uitvoering project'!V:V,'5. Kosten uitvoering project'!E:E,SubsidieTabel!A21,'5. Kosten uitvoering project'!F:F,SubsidieTabel!B21)</f>
        <v>0</v>
      </c>
      <c r="J21" s="282">
        <f t="shared" si="0"/>
        <v>0</v>
      </c>
      <c r="K21" s="282">
        <f t="shared" si="1"/>
        <v>0</v>
      </c>
      <c r="L21" s="281" t="str">
        <f>IFERROR(VLOOKUP(A21,Lijsten!$AK:$AL,2,0),"")</f>
        <v/>
      </c>
      <c r="M21" s="282">
        <f t="shared" si="2"/>
        <v>0</v>
      </c>
      <c r="N21" s="282">
        <f t="shared" si="3"/>
        <v>0</v>
      </c>
      <c r="O21" s="282">
        <f>IFERROR(IF(INDEX(Tb_Activiteiten[#All],MATCH(SubsidieTabel!$A21,Tb_Activiteiten[[#All],[Subsidiabele_Activiteit]],0),MATCH(SubsidieTabel!O$1,Tb_Activiteiten[#Headers],0))=1,SubsidieTabel!$J21,0),0)</f>
        <v>0</v>
      </c>
      <c r="P21" s="282">
        <f>IFERROR(IF(INDEX(Tb_Activiteiten[#All],MATCH(SubsidieTabel!$A21,Tb_Activiteiten[[#All],[Subsidiabele_Activiteit]],0),MATCH(SubsidieTabel!P$1,Tb_Activiteiten[#Headers],0))=1,SubsidieTabel!$K21,0),0)</f>
        <v>0</v>
      </c>
      <c r="Q21" s="282">
        <f>IFERROR(IF(INDEX(Tb_Activiteiten[#All],MATCH(SubsidieTabel!$A21,Tb_Activiteiten[[#All],[Subsidiabele_Activiteit]],0),MATCH(SubsidieTabel!Q$1,Tb_Activiteiten[#Headers],0))=1,SubsidieTabel!$J21,0),0)</f>
        <v>0</v>
      </c>
      <c r="R21" s="282">
        <f>IFERROR(IF(INDEX(Tb_Activiteiten[#All],MATCH(SubsidieTabel!$A21,Tb_Activiteiten[[#All],[Subsidiabele_Activiteit]],0),MATCH(SubsidieTabel!R$1,Tb_Activiteiten[#Headers],0))=1,SubsidieTabel!$K21,0),0)</f>
        <v>0</v>
      </c>
      <c r="S21" s="282">
        <f>IFERROR(IF(INDEX(Tb_Activiteiten[#All],MATCH(SubsidieTabel!$A21,Tb_Activiteiten[[#All],[Subsidiabele_Activiteit]],0),MATCH(SubsidieTabel!S$1,Tb_Activiteiten[#Headers],0))=1,SubsidieTabel!$J21,0),0)</f>
        <v>0</v>
      </c>
      <c r="T21" s="282">
        <f>IFERROR(IF(INDEX(Tb_Activiteiten[#All],MATCH(SubsidieTabel!$A21,Tb_Activiteiten[[#All],[Subsidiabele_Activiteit]],0),MATCH(SubsidieTabel!T$1,Tb_Activiteiten[#Headers],0))=1,SubsidieTabel!$K21,0),0)</f>
        <v>0</v>
      </c>
      <c r="U21" s="282">
        <f>IFERROR(IF(INDEX(Tb_Activiteiten[#All],MATCH(SubsidieTabel!$A21,Tb_Activiteiten[[#All],[Subsidiabele_Activiteit]],0),MATCH(SubsidieTabel!U$1,Tb_Activiteiten[#Headers],0))=1,SubsidieTabel!$J21,0),0)</f>
        <v>0</v>
      </c>
      <c r="V21" s="282">
        <f>IFERROR(IF(INDEX(Tb_Activiteiten[#All],MATCH(SubsidieTabel!$A21,Tb_Activiteiten[[#All],[Subsidiabele_Activiteit]],0),MATCH(SubsidieTabel!V$1,Tb_Activiteiten[#Headers],0))=1,SubsidieTabel!$K21,0),0)</f>
        <v>0</v>
      </c>
      <c r="W21" s="64">
        <f>IFERROR(IF(INDEX(Tb_Activiteiten[#All],MATCH(SubsidieTabel!$A21,Tb_Activiteiten[[#All],[Subsidiabele_Activiteit]],0),MATCH(SubsidieTabel!Q$1,Tb_Activiteiten[#Headers],0))=1,H21,0),0)</f>
        <v>0</v>
      </c>
      <c r="X21" s="64">
        <f>IFERROR(IF(INDEX(Tb_Activiteiten[#All],MATCH(SubsidieTabel!$A21,Tb_Activiteiten[[#All],[Subsidiabele_Activiteit]],0),MATCH(SubsidieTabel!Q$1,Tb_Activiteiten[#Headers],0))=1,I21,0),0)</f>
        <v>0</v>
      </c>
      <c r="Y21" s="64">
        <f>IFERROR(IF(INDEX(Tb_Activiteiten[#All],MATCH(SubsidieTabel!$A21,Tb_Activiteiten[[#All],[Subsidiabele_Activiteit]],0),MATCH(SubsidieTabel!S$1,Tb_Activiteiten[#Headers],0))=1,H21,0),0)</f>
        <v>0</v>
      </c>
      <c r="Z21" s="64">
        <f>IFERROR(IF(INDEX(Tb_Activiteiten[#All],MATCH(SubsidieTabel!$A21,Tb_Activiteiten[[#All],[Subsidiabele_Activiteit]],0),MATCH(SubsidieTabel!S$1,Tb_Activiteiten[#Headers],0))=1,I21,0),0)</f>
        <v>0</v>
      </c>
      <c r="AA21" s="64">
        <f>IFERROR(IF(INDEX(Tb_Activiteiten[#All],MATCH(SubsidieTabel!$A21,Tb_Activiteiten[[#All],[Subsidiabele_Activiteit]],0),MATCH(SubsidieTabel!O$1,Tb_Activiteiten[#Headers],0))=1,$F21,0),0)</f>
        <v>0</v>
      </c>
      <c r="AB21" s="64">
        <f>IFERROR(IF(INDEX(Tb_Activiteiten[#All],MATCH(SubsidieTabel!$A21,Tb_Activiteiten[[#All],[Subsidiabele_Activiteit]],0),MATCH(SubsidieTabel!O$1,Tb_Activiteiten[#Headers],0))=1,$G21,0),0)</f>
        <v>0</v>
      </c>
      <c r="AD21" s="12" t="str">
        <f t="shared" si="4"/>
        <v>Bijdrage in natura (vrijwilligers)</v>
      </c>
      <c r="AE21" s="64">
        <f>IF(Tb_ProjectKosten[[#This Row],[Forfait]]=1,SUMIF('5. Kosten uitvoering project'!$F$6:$F$250,Tb_ProjectKosten[[#This Row],[KostenOmschrijving]],'5. Kosten uitvoering project'!$R$6:$R$250),0)</f>
        <v>0</v>
      </c>
      <c r="AF21" s="64">
        <f>IF(Tb_ProjectKosten[[#This Row],[Forfait]]=1,SUMIF('5. Kosten uitvoering project'!$F$6:$F$250,Tb_ProjectKosten[[#This Row],[KostenOmschrijving]],'5. Kosten uitvoering project'!$S$6:$S$250),0)</f>
        <v>0</v>
      </c>
      <c r="AG21" t="str">
        <f>Tb_ProjectKosten[[#This Row],[KostenOmschrijving]]</f>
        <v>Bijdrage in natura (vrijwilligers)</v>
      </c>
      <c r="AH21" cm="1">
        <f t="array" ref="AH21">INDEX(Tb_KostenOpties[],MATCH(Tb_ProjectKosten[[#This Row],[KostenOmschrijving]],Tb_KostenOpties[KostenOptie],0),IFERROR(MATCH(Methode_Keuze,Tb_KostenOpties[#Headers],0),2))</f>
        <v>1</v>
      </c>
      <c r="AI21" s="65">
        <v>0.23</v>
      </c>
      <c r="AJ21" s="64">
        <f>SUMIF('5. Kosten uitvoering project'!$F:$F,Tb_ProjectKosten[[#This Row],[Begroting]],'5. Kosten uitvoering project'!U:U)</f>
        <v>0</v>
      </c>
      <c r="AK21" s="64">
        <f>SUMIF('5. Kosten uitvoering project'!$F:$F,Tb_ProjectKosten[[#This Row],[Begroting]],'5. Kosten uitvoering project'!V:V)</f>
        <v>0</v>
      </c>
      <c r="AL21" s="64">
        <f>Tb_ProjectKosten[[#This Row],[Kosten_Aanvraag]]+Tb_ProjectKosten[[#This Row],[Forfait_Bedrag]]</f>
        <v>0</v>
      </c>
      <c r="AM21" s="64">
        <f>Tb_ProjectKosten[[#This Row],[Kosten_Beoordeeld]]+Tb_ProjectKosten[[#This Row],[Forfait_Bedrag_Beoordeeld]]</f>
        <v>0</v>
      </c>
      <c r="AN21" t="str">
        <f>IF(Tb_ProjectKosten[[#This Row],[Forfait]]=0,"Dit kostentype hoeft u niet op te geven. Hiervoor wordt een forfait berekend.","")</f>
        <v/>
      </c>
    </row>
    <row r="22" spans="1:40" x14ac:dyDescent="0.25">
      <c r="A22" s="63"/>
      <c r="B22" s="63"/>
      <c r="C22" s="63" t="str">
        <f>IFERROR(VLOOKUP($B22,Tb_ProjectKosten[],4,0),"")</f>
        <v/>
      </c>
      <c r="D22" s="63" t="str" cm="1">
        <f t="array" ref="D22">IFERROR(INDEX(Tb_KostenOpties[],MATCH(B22,Tb_KostenOpties[KostenOptie],0),IFERROR(MATCH(Methode_Keuze,Tb_KostenOpties[#Headers],0),2)),"")</f>
        <v/>
      </c>
      <c r="E22" s="283">
        <f>IFERROR(VLOOKUP(B22,Tb_ProjectKosten[[#All],[KostenOmschrijving]:[Forfait_Percentage]],6,0),0)</f>
        <v>0</v>
      </c>
      <c r="F22" s="284">
        <f>SUMIFS('5. Kosten uitvoering project'!R:R,'5. Kosten uitvoering project'!E:E,SubsidieTabel!A22,'5. Kosten uitvoering project'!F:F,SubsidieTabel!B22)</f>
        <v>0</v>
      </c>
      <c r="G22" s="284">
        <f>SUMIFS('5. Kosten uitvoering project'!S:S,'5. Kosten uitvoering project'!E:E,SubsidieTabel!A22,'5. Kosten uitvoering project'!F:F,SubsidieTabel!B22)</f>
        <v>0</v>
      </c>
      <c r="H22" s="284">
        <f>SUMIFS('5. Kosten uitvoering project'!U:U,'5. Kosten uitvoering project'!E:E,SubsidieTabel!A22,'5. Kosten uitvoering project'!F:F,SubsidieTabel!B22)</f>
        <v>0</v>
      </c>
      <c r="I22" s="284">
        <f>SUMIFS('5. Kosten uitvoering project'!V:V,'5. Kosten uitvoering project'!E:E,SubsidieTabel!A22,'5. Kosten uitvoering project'!F:F,SubsidieTabel!B22)</f>
        <v>0</v>
      </c>
      <c r="J22" s="284">
        <f t="shared" si="0"/>
        <v>0</v>
      </c>
      <c r="K22" s="284">
        <f t="shared" si="1"/>
        <v>0</v>
      </c>
      <c r="L22" s="283" t="str">
        <f>IFERROR(VLOOKUP(A22,Lijsten!$AK:$AL,2,0),"")</f>
        <v/>
      </c>
      <c r="M22" s="284">
        <f t="shared" si="2"/>
        <v>0</v>
      </c>
      <c r="N22" s="284">
        <f t="shared" si="3"/>
        <v>0</v>
      </c>
      <c r="O22" s="284">
        <f>IFERROR(IF(INDEX(Tb_Activiteiten[#All],MATCH(SubsidieTabel!$A22,Tb_Activiteiten[[#All],[Subsidiabele_Activiteit]],0),MATCH(SubsidieTabel!O$1,Tb_Activiteiten[#Headers],0))=1,SubsidieTabel!$J22,0),0)</f>
        <v>0</v>
      </c>
      <c r="P22" s="284">
        <f>IFERROR(IF(INDEX(Tb_Activiteiten[#All],MATCH(SubsidieTabel!$A22,Tb_Activiteiten[[#All],[Subsidiabele_Activiteit]],0),MATCH(SubsidieTabel!P$1,Tb_Activiteiten[#Headers],0))=1,SubsidieTabel!$K22,0),0)</f>
        <v>0</v>
      </c>
      <c r="Q22" s="284">
        <f>IFERROR(IF(INDEX(Tb_Activiteiten[#All],MATCH(SubsidieTabel!$A22,Tb_Activiteiten[[#All],[Subsidiabele_Activiteit]],0),MATCH(SubsidieTabel!Q$1,Tb_Activiteiten[#Headers],0))=1,SubsidieTabel!$J22,0),0)</f>
        <v>0</v>
      </c>
      <c r="R22" s="284">
        <f>IFERROR(IF(INDEX(Tb_Activiteiten[#All],MATCH(SubsidieTabel!$A22,Tb_Activiteiten[[#All],[Subsidiabele_Activiteit]],0),MATCH(SubsidieTabel!R$1,Tb_Activiteiten[#Headers],0))=1,SubsidieTabel!$K22,0),0)</f>
        <v>0</v>
      </c>
      <c r="S22" s="284">
        <f>IFERROR(IF(INDEX(Tb_Activiteiten[#All],MATCH(SubsidieTabel!$A22,Tb_Activiteiten[[#All],[Subsidiabele_Activiteit]],0),MATCH(SubsidieTabel!S$1,Tb_Activiteiten[#Headers],0))=1,SubsidieTabel!$J22,0),0)</f>
        <v>0</v>
      </c>
      <c r="T22" s="284">
        <f>IFERROR(IF(INDEX(Tb_Activiteiten[#All],MATCH(SubsidieTabel!$A22,Tb_Activiteiten[[#All],[Subsidiabele_Activiteit]],0),MATCH(SubsidieTabel!T$1,Tb_Activiteiten[#Headers],0))=1,SubsidieTabel!$K22,0),0)</f>
        <v>0</v>
      </c>
      <c r="U22" s="284">
        <f>IFERROR(IF(INDEX(Tb_Activiteiten[#All],MATCH(SubsidieTabel!$A22,Tb_Activiteiten[[#All],[Subsidiabele_Activiteit]],0),MATCH(SubsidieTabel!U$1,Tb_Activiteiten[#Headers],0))=1,SubsidieTabel!$J22,0),0)</f>
        <v>0</v>
      </c>
      <c r="V22" s="284">
        <f>IFERROR(IF(INDEX(Tb_Activiteiten[#All],MATCH(SubsidieTabel!$A22,Tb_Activiteiten[[#All],[Subsidiabele_Activiteit]],0),MATCH(SubsidieTabel!V$1,Tb_Activiteiten[#Headers],0))=1,SubsidieTabel!$K22,0),0)</f>
        <v>0</v>
      </c>
      <c r="W22" s="369">
        <f>IFERROR(IF(INDEX(Tb_Activiteiten[#All],MATCH(SubsidieTabel!$A22,Tb_Activiteiten[[#All],[Subsidiabele_Activiteit]],0),MATCH(SubsidieTabel!Q$1,Tb_Activiteiten[#Headers],0))=1,H22,0),0)</f>
        <v>0</v>
      </c>
      <c r="X22" s="369">
        <f>IFERROR(IF(INDEX(Tb_Activiteiten[#All],MATCH(SubsidieTabel!$A22,Tb_Activiteiten[[#All],[Subsidiabele_Activiteit]],0),MATCH(SubsidieTabel!Q$1,Tb_Activiteiten[#Headers],0))=1,I22,0),0)</f>
        <v>0</v>
      </c>
      <c r="Y22" s="369">
        <f>IFERROR(IF(INDEX(Tb_Activiteiten[#All],MATCH(SubsidieTabel!$A22,Tb_Activiteiten[[#All],[Subsidiabele_Activiteit]],0),MATCH(SubsidieTabel!S$1,Tb_Activiteiten[#Headers],0))=1,H22,0),0)</f>
        <v>0</v>
      </c>
      <c r="Z22" s="369">
        <f>IFERROR(IF(INDEX(Tb_Activiteiten[#All],MATCH(SubsidieTabel!$A22,Tb_Activiteiten[[#All],[Subsidiabele_Activiteit]],0),MATCH(SubsidieTabel!S$1,Tb_Activiteiten[#Headers],0))=1,I22,0),0)</f>
        <v>0</v>
      </c>
      <c r="AA22" s="369">
        <f>IFERROR(IF(INDEX(Tb_Activiteiten[#All],MATCH(SubsidieTabel!$A22,Tb_Activiteiten[[#All],[Subsidiabele_Activiteit]],0),MATCH(SubsidieTabel!O$1,Tb_Activiteiten[#Headers],0))=1,$F22,0),0)</f>
        <v>0</v>
      </c>
      <c r="AB22" s="369">
        <f>IFERROR(IF(INDEX(Tb_Activiteiten[#All],MATCH(SubsidieTabel!$A22,Tb_Activiteiten[[#All],[Subsidiabele_Activiteit]],0),MATCH(SubsidieTabel!O$1,Tb_Activiteiten[#Headers],0))=1,$G22,0),0)</f>
        <v>0</v>
      </c>
      <c r="AD22" s="169" t="str">
        <f t="shared" si="4"/>
        <v>Afschrijvingskosten</v>
      </c>
      <c r="AE22" s="64">
        <f>IF(Tb_ProjectKosten[[#This Row],[Forfait]]=1,SUMIF('5. Kosten uitvoering project'!$F$6:$F$250,Tb_ProjectKosten[[#This Row],[KostenOmschrijving]],'5. Kosten uitvoering project'!$R$6:$R$250),0)</f>
        <v>0</v>
      </c>
      <c r="AF22" s="64">
        <f>IF(Tb_ProjectKosten[[#This Row],[Forfait]]=1,SUMIF('5. Kosten uitvoering project'!$F$6:$F$250,Tb_ProjectKosten[[#This Row],[KostenOmschrijving]],'5. Kosten uitvoering project'!$S$6:$S$250),0)</f>
        <v>0</v>
      </c>
      <c r="AG22" t="str">
        <f>Tb_ProjectKosten[[#This Row],[KostenOmschrijving]]</f>
        <v>Afschrijvingskosten</v>
      </c>
      <c r="AH22" cm="1">
        <f t="array" ref="AH22">INDEX(Tb_KostenOpties[],MATCH(Tb_ProjectKosten[[#This Row],[KostenOmschrijving]],Tb_KostenOpties[KostenOptie],0),IFERROR(MATCH(Methode_Keuze,Tb_KostenOpties[#Headers],0),2))</f>
        <v>1</v>
      </c>
      <c r="AI22" s="65">
        <v>0.23</v>
      </c>
      <c r="AJ22" s="64">
        <f>SUMIF('5. Kosten uitvoering project'!$F:$F,Tb_ProjectKosten[[#This Row],[Begroting]],'5. Kosten uitvoering project'!U:U)</f>
        <v>0</v>
      </c>
      <c r="AK22" s="64">
        <f>SUMIF('5. Kosten uitvoering project'!$F:$F,Tb_ProjectKosten[[#This Row],[Begroting]],'5. Kosten uitvoering project'!V:V)</f>
        <v>0</v>
      </c>
      <c r="AL22" s="64">
        <f>Tb_ProjectKosten[[#This Row],[Kosten_Aanvraag]]+Tb_ProjectKosten[[#This Row],[Forfait_Bedrag]]</f>
        <v>0</v>
      </c>
      <c r="AM22" s="64">
        <f>Tb_ProjectKosten[[#This Row],[Kosten_Beoordeeld]]+Tb_ProjectKosten[[#This Row],[Forfait_Bedrag_Beoordeeld]]</f>
        <v>0</v>
      </c>
      <c r="AN22" t="str">
        <f>IF(Tb_ProjectKosten[[#This Row],[Forfait]]=0,"Dit kostentype hoeft u niet op te geven. Hiervoor wordt een forfait berekend.","")</f>
        <v/>
      </c>
    </row>
    <row r="23" spans="1:40" x14ac:dyDescent="0.25">
      <c r="A23" s="12"/>
      <c r="B23" s="12"/>
      <c r="C23" s="12" t="str">
        <f>IFERROR(VLOOKUP($B23,Tb_ProjectKosten[],4,0),"")</f>
        <v/>
      </c>
      <c r="D23" s="12" t="str" cm="1">
        <f t="array" ref="D23">IFERROR(INDEX(Tb_KostenOpties[],MATCH(B23,Tb_KostenOpties[KostenOptie],0),IFERROR(MATCH(Methode_Keuze,Tb_KostenOpties[#Headers],0),2)),"")</f>
        <v/>
      </c>
      <c r="E23" s="281">
        <f>IFERROR(VLOOKUP(B23,Tb_ProjectKosten[[#All],[KostenOmschrijving]:[Forfait_Percentage]],6,0),0)</f>
        <v>0</v>
      </c>
      <c r="F23" s="282">
        <f>SUMIFS('5. Kosten uitvoering project'!R:R,'5. Kosten uitvoering project'!E:E,SubsidieTabel!A23,'5. Kosten uitvoering project'!F:F,SubsidieTabel!B23)</f>
        <v>0</v>
      </c>
      <c r="G23" s="282">
        <f>SUMIFS('5. Kosten uitvoering project'!S:S,'5. Kosten uitvoering project'!E:E,SubsidieTabel!A23,'5. Kosten uitvoering project'!F:F,SubsidieTabel!B23)</f>
        <v>0</v>
      </c>
      <c r="H23" s="282">
        <f>SUMIFS('5. Kosten uitvoering project'!U:U,'5. Kosten uitvoering project'!E:E,SubsidieTabel!A23,'5. Kosten uitvoering project'!F:F,SubsidieTabel!B23)</f>
        <v>0</v>
      </c>
      <c r="I23" s="282">
        <f>SUMIFS('5. Kosten uitvoering project'!V:V,'5. Kosten uitvoering project'!E:E,SubsidieTabel!A23,'5. Kosten uitvoering project'!F:F,SubsidieTabel!B23)</f>
        <v>0</v>
      </c>
      <c r="J23" s="282">
        <f t="shared" si="0"/>
        <v>0</v>
      </c>
      <c r="K23" s="282">
        <f t="shared" si="1"/>
        <v>0</v>
      </c>
      <c r="L23" s="281" t="str">
        <f>IFERROR(VLOOKUP(A23,Lijsten!$AK:$AL,2,0),"")</f>
        <v/>
      </c>
      <c r="M23" s="282">
        <f t="shared" si="2"/>
        <v>0</v>
      </c>
      <c r="N23" s="282">
        <f t="shared" si="3"/>
        <v>0</v>
      </c>
      <c r="O23" s="282">
        <f>IFERROR(IF(INDEX(Tb_Activiteiten[#All],MATCH(SubsidieTabel!$A23,Tb_Activiteiten[[#All],[Subsidiabele_Activiteit]],0),MATCH(SubsidieTabel!O$1,Tb_Activiteiten[#Headers],0))=1,SubsidieTabel!$J23,0),0)</f>
        <v>0</v>
      </c>
      <c r="P23" s="282">
        <f>IFERROR(IF(INDEX(Tb_Activiteiten[#All],MATCH(SubsidieTabel!$A23,Tb_Activiteiten[[#All],[Subsidiabele_Activiteit]],0),MATCH(SubsidieTabel!P$1,Tb_Activiteiten[#Headers],0))=1,SubsidieTabel!$K23,0),0)</f>
        <v>0</v>
      </c>
      <c r="Q23" s="282">
        <f>IFERROR(IF(INDEX(Tb_Activiteiten[#All],MATCH(SubsidieTabel!$A23,Tb_Activiteiten[[#All],[Subsidiabele_Activiteit]],0),MATCH(SubsidieTabel!Q$1,Tb_Activiteiten[#Headers],0))=1,SubsidieTabel!$J23,0),0)</f>
        <v>0</v>
      </c>
      <c r="R23" s="282">
        <f>IFERROR(IF(INDEX(Tb_Activiteiten[#All],MATCH(SubsidieTabel!$A23,Tb_Activiteiten[[#All],[Subsidiabele_Activiteit]],0),MATCH(SubsidieTabel!R$1,Tb_Activiteiten[#Headers],0))=1,SubsidieTabel!$K23,0),0)</f>
        <v>0</v>
      </c>
      <c r="S23" s="282">
        <f>IFERROR(IF(INDEX(Tb_Activiteiten[#All],MATCH(SubsidieTabel!$A23,Tb_Activiteiten[[#All],[Subsidiabele_Activiteit]],0),MATCH(SubsidieTabel!S$1,Tb_Activiteiten[#Headers],0))=1,SubsidieTabel!$J23,0),0)</f>
        <v>0</v>
      </c>
      <c r="T23" s="282">
        <f>IFERROR(IF(INDEX(Tb_Activiteiten[#All],MATCH(SubsidieTabel!$A23,Tb_Activiteiten[[#All],[Subsidiabele_Activiteit]],0),MATCH(SubsidieTabel!T$1,Tb_Activiteiten[#Headers],0))=1,SubsidieTabel!$K23,0),0)</f>
        <v>0</v>
      </c>
      <c r="U23" s="282">
        <f>IFERROR(IF(INDEX(Tb_Activiteiten[#All],MATCH(SubsidieTabel!$A23,Tb_Activiteiten[[#All],[Subsidiabele_Activiteit]],0),MATCH(SubsidieTabel!U$1,Tb_Activiteiten[#Headers],0))=1,SubsidieTabel!$J23,0),0)</f>
        <v>0</v>
      </c>
      <c r="V23" s="282">
        <f>IFERROR(IF(INDEX(Tb_Activiteiten[#All],MATCH(SubsidieTabel!$A23,Tb_Activiteiten[[#All],[Subsidiabele_Activiteit]],0),MATCH(SubsidieTabel!V$1,Tb_Activiteiten[#Headers],0))=1,SubsidieTabel!$K23,0),0)</f>
        <v>0</v>
      </c>
      <c r="W23" s="64">
        <f>IFERROR(IF(INDEX(Tb_Activiteiten[#All],MATCH(SubsidieTabel!$A23,Tb_Activiteiten[[#All],[Subsidiabele_Activiteit]],0),MATCH(SubsidieTabel!Q$1,Tb_Activiteiten[#Headers],0))=1,H23,0),0)</f>
        <v>0</v>
      </c>
      <c r="X23" s="64">
        <f>IFERROR(IF(INDEX(Tb_Activiteiten[#All],MATCH(SubsidieTabel!$A23,Tb_Activiteiten[[#All],[Subsidiabele_Activiteit]],0),MATCH(SubsidieTabel!Q$1,Tb_Activiteiten[#Headers],0))=1,I23,0),0)</f>
        <v>0</v>
      </c>
      <c r="Y23" s="64">
        <f>IFERROR(IF(INDEX(Tb_Activiteiten[#All],MATCH(SubsidieTabel!$A23,Tb_Activiteiten[[#All],[Subsidiabele_Activiteit]],0),MATCH(SubsidieTabel!S$1,Tb_Activiteiten[#Headers],0))=1,H23,0),0)</f>
        <v>0</v>
      </c>
      <c r="Z23" s="64">
        <f>IFERROR(IF(INDEX(Tb_Activiteiten[#All],MATCH(SubsidieTabel!$A23,Tb_Activiteiten[[#All],[Subsidiabele_Activiteit]],0),MATCH(SubsidieTabel!S$1,Tb_Activiteiten[#Headers],0))=1,I23,0),0)</f>
        <v>0</v>
      </c>
      <c r="AA23" s="64">
        <f>IFERROR(IF(INDEX(Tb_Activiteiten[#All],MATCH(SubsidieTabel!$A23,Tb_Activiteiten[[#All],[Subsidiabele_Activiteit]],0),MATCH(SubsidieTabel!O$1,Tb_Activiteiten[#Headers],0))=1,$F23,0),0)</f>
        <v>0</v>
      </c>
      <c r="AB23" s="64">
        <f>IFERROR(IF(INDEX(Tb_Activiteiten[#All],MATCH(SubsidieTabel!$A23,Tb_Activiteiten[[#All],[Subsidiabele_Activiteit]],0),MATCH(SubsidieTabel!O$1,Tb_Activiteiten[#Headers],0))=1,$G23,0),0)</f>
        <v>0</v>
      </c>
      <c r="AD23" s="169" t="str">
        <f t="shared" si="4"/>
        <v>Vergoeding</v>
      </c>
      <c r="AE23" s="64">
        <f>IF(Tb_ProjectKosten[[#This Row],[Forfait]]=1,SUMIF('5. Kosten uitvoering project'!$F$6:$F$250,Tb_ProjectKosten[[#This Row],[KostenOmschrijving]],'5. Kosten uitvoering project'!$R$6:$R$250),0)</f>
        <v>0</v>
      </c>
      <c r="AF23" s="64">
        <f>IF(Tb_ProjectKosten[[#This Row],[Forfait]]=1,SUMIF('5. Kosten uitvoering project'!$F$6:$F$250,Tb_ProjectKosten[[#This Row],[KostenOmschrijving]],'5. Kosten uitvoering project'!$S$6:$S$250),0)</f>
        <v>0</v>
      </c>
      <c r="AG23" t="str">
        <f>Tb_ProjectKosten[[#This Row],[KostenOmschrijving]]</f>
        <v>Vergoeding</v>
      </c>
      <c r="AH23" cm="1">
        <f t="array" ref="AH23">INDEX(Tb_KostenOpties[],MATCH(Tb_ProjectKosten[[#This Row],[KostenOmschrijving]],Tb_KostenOpties[KostenOptie],0),IFERROR(MATCH(Methode_Keuze,Tb_KostenOpties[#Headers],0),2))</f>
        <v>1</v>
      </c>
      <c r="AI23" s="65">
        <v>0</v>
      </c>
      <c r="AJ23" s="64">
        <f>SUMIF('5. Kosten uitvoering project'!$F:$F,Tb_ProjectKosten[[#This Row],[Begroting]],'5. Kosten uitvoering project'!U:U)</f>
        <v>0</v>
      </c>
      <c r="AK23" s="64">
        <f>SUMIF('5. Kosten uitvoering project'!$F:$F,Tb_ProjectKosten[[#This Row],[Begroting]],'5. Kosten uitvoering project'!V:V)</f>
        <v>0</v>
      </c>
      <c r="AL23" s="64">
        <f>Tb_ProjectKosten[[#This Row],[Kosten_Aanvraag]]+Tb_ProjectKosten[[#This Row],[Forfait_Bedrag]]</f>
        <v>0</v>
      </c>
      <c r="AM23" s="64">
        <f>Tb_ProjectKosten[[#This Row],[Kosten_Beoordeeld]]+Tb_ProjectKosten[[#This Row],[Forfait_Bedrag_Beoordeeld]]</f>
        <v>0</v>
      </c>
      <c r="AN23" t="str">
        <f>IF(Tb_ProjectKosten[[#This Row],[Forfait]]=0,"Dit kostentype hoeft u niet op te geven. Hiervoor wordt een forfait berekend.","")</f>
        <v/>
      </c>
    </row>
    <row r="24" spans="1:40" x14ac:dyDescent="0.25">
      <c r="A24" s="63"/>
      <c r="B24" s="63"/>
      <c r="C24" s="63" t="str">
        <f>IFERROR(VLOOKUP($B24,Tb_ProjectKosten[],4,0),"")</f>
        <v/>
      </c>
      <c r="D24" s="63" t="str" cm="1">
        <f t="array" ref="D24">IFERROR(INDEX(Tb_KostenOpties[],MATCH(B24,Tb_KostenOpties[KostenOptie],0),IFERROR(MATCH(Methode_Keuze,Tb_KostenOpties[#Headers],0),2)),"")</f>
        <v/>
      </c>
      <c r="E24" s="283">
        <f>IFERROR(VLOOKUP(B24,Tb_ProjectKosten[[#All],[KostenOmschrijving]:[Forfait_Percentage]],6,0),0)</f>
        <v>0</v>
      </c>
      <c r="F24" s="284">
        <f>SUMIFS('5. Kosten uitvoering project'!R:R,'5. Kosten uitvoering project'!E:E,SubsidieTabel!A24,'5. Kosten uitvoering project'!F:F,SubsidieTabel!B24)</f>
        <v>0</v>
      </c>
      <c r="G24" s="284">
        <f>SUMIFS('5. Kosten uitvoering project'!S:S,'5. Kosten uitvoering project'!E:E,SubsidieTabel!A24,'5. Kosten uitvoering project'!F:F,SubsidieTabel!B24)</f>
        <v>0</v>
      </c>
      <c r="H24" s="284">
        <f>SUMIFS('5. Kosten uitvoering project'!U:U,'5. Kosten uitvoering project'!E:E,SubsidieTabel!A24,'5. Kosten uitvoering project'!F:F,SubsidieTabel!B24)</f>
        <v>0</v>
      </c>
      <c r="I24" s="284">
        <f>SUMIFS('5. Kosten uitvoering project'!V:V,'5. Kosten uitvoering project'!E:E,SubsidieTabel!A24,'5. Kosten uitvoering project'!F:F,SubsidieTabel!B24)</f>
        <v>0</v>
      </c>
      <c r="J24" s="284">
        <f t="shared" si="0"/>
        <v>0</v>
      </c>
      <c r="K24" s="284">
        <f t="shared" si="1"/>
        <v>0</v>
      </c>
      <c r="L24" s="283" t="str">
        <f>IFERROR(VLOOKUP(A24,Lijsten!$AK:$AL,2,0),"")</f>
        <v/>
      </c>
      <c r="M24" s="284">
        <f t="shared" si="2"/>
        <v>0</v>
      </c>
      <c r="N24" s="284">
        <f t="shared" si="3"/>
        <v>0</v>
      </c>
      <c r="O24" s="284">
        <f>IFERROR(IF(INDEX(Tb_Activiteiten[#All],MATCH(SubsidieTabel!$A24,Tb_Activiteiten[[#All],[Subsidiabele_Activiteit]],0),MATCH(SubsidieTabel!O$1,Tb_Activiteiten[#Headers],0))=1,SubsidieTabel!$J24,0),0)</f>
        <v>0</v>
      </c>
      <c r="P24" s="284">
        <f>IFERROR(IF(INDEX(Tb_Activiteiten[#All],MATCH(SubsidieTabel!$A24,Tb_Activiteiten[[#All],[Subsidiabele_Activiteit]],0),MATCH(SubsidieTabel!P$1,Tb_Activiteiten[#Headers],0))=1,SubsidieTabel!$K24,0),0)</f>
        <v>0</v>
      </c>
      <c r="Q24" s="284">
        <f>IFERROR(IF(INDEX(Tb_Activiteiten[#All],MATCH(SubsidieTabel!$A24,Tb_Activiteiten[[#All],[Subsidiabele_Activiteit]],0),MATCH(SubsidieTabel!Q$1,Tb_Activiteiten[#Headers],0))=1,SubsidieTabel!$J24,0),0)</f>
        <v>0</v>
      </c>
      <c r="R24" s="284">
        <f>IFERROR(IF(INDEX(Tb_Activiteiten[#All],MATCH(SubsidieTabel!$A24,Tb_Activiteiten[[#All],[Subsidiabele_Activiteit]],0),MATCH(SubsidieTabel!R$1,Tb_Activiteiten[#Headers],0))=1,SubsidieTabel!$K24,0),0)</f>
        <v>0</v>
      </c>
      <c r="S24" s="284">
        <f>IFERROR(IF(INDEX(Tb_Activiteiten[#All],MATCH(SubsidieTabel!$A24,Tb_Activiteiten[[#All],[Subsidiabele_Activiteit]],0),MATCH(SubsidieTabel!S$1,Tb_Activiteiten[#Headers],0))=1,SubsidieTabel!$J24,0),0)</f>
        <v>0</v>
      </c>
      <c r="T24" s="284">
        <f>IFERROR(IF(INDEX(Tb_Activiteiten[#All],MATCH(SubsidieTabel!$A24,Tb_Activiteiten[[#All],[Subsidiabele_Activiteit]],0),MATCH(SubsidieTabel!T$1,Tb_Activiteiten[#Headers],0))=1,SubsidieTabel!$K24,0),0)</f>
        <v>0</v>
      </c>
      <c r="U24" s="284">
        <f>IFERROR(IF(INDEX(Tb_Activiteiten[#All],MATCH(SubsidieTabel!$A24,Tb_Activiteiten[[#All],[Subsidiabele_Activiteit]],0),MATCH(SubsidieTabel!U$1,Tb_Activiteiten[#Headers],0))=1,SubsidieTabel!$J24,0),0)</f>
        <v>0</v>
      </c>
      <c r="V24" s="284">
        <f>IFERROR(IF(INDEX(Tb_Activiteiten[#All],MATCH(SubsidieTabel!$A24,Tb_Activiteiten[[#All],[Subsidiabele_Activiteit]],0),MATCH(SubsidieTabel!V$1,Tb_Activiteiten[#Headers],0))=1,SubsidieTabel!$K24,0),0)</f>
        <v>0</v>
      </c>
      <c r="W24" s="369">
        <f>IFERROR(IF(INDEX(Tb_Activiteiten[#All],MATCH(SubsidieTabel!$A24,Tb_Activiteiten[[#All],[Subsidiabele_Activiteit]],0),MATCH(SubsidieTabel!Q$1,Tb_Activiteiten[#Headers],0))=1,H24,0),0)</f>
        <v>0</v>
      </c>
      <c r="X24" s="369">
        <f>IFERROR(IF(INDEX(Tb_Activiteiten[#All],MATCH(SubsidieTabel!$A24,Tb_Activiteiten[[#All],[Subsidiabele_Activiteit]],0),MATCH(SubsidieTabel!Q$1,Tb_Activiteiten[#Headers],0))=1,I24,0),0)</f>
        <v>0</v>
      </c>
      <c r="Y24" s="369">
        <f>IFERROR(IF(INDEX(Tb_Activiteiten[#All],MATCH(SubsidieTabel!$A24,Tb_Activiteiten[[#All],[Subsidiabele_Activiteit]],0),MATCH(SubsidieTabel!S$1,Tb_Activiteiten[#Headers],0))=1,H24,0),0)</f>
        <v>0</v>
      </c>
      <c r="Z24" s="369">
        <f>IFERROR(IF(INDEX(Tb_Activiteiten[#All],MATCH(SubsidieTabel!$A24,Tb_Activiteiten[[#All],[Subsidiabele_Activiteit]],0),MATCH(SubsidieTabel!S$1,Tb_Activiteiten[#Headers],0))=1,I24,0),0)</f>
        <v>0</v>
      </c>
      <c r="AA24" s="369">
        <f>IFERROR(IF(INDEX(Tb_Activiteiten[#All],MATCH(SubsidieTabel!$A24,Tb_Activiteiten[[#All],[Subsidiabele_Activiteit]],0),MATCH(SubsidieTabel!O$1,Tb_Activiteiten[#Headers],0))=1,$F24,0),0)</f>
        <v>0</v>
      </c>
      <c r="AB24" s="369">
        <f>IFERROR(IF(INDEX(Tb_Activiteiten[#All],MATCH(SubsidieTabel!$A24,Tb_Activiteiten[[#All],[Subsidiabele_Activiteit]],0),MATCH(SubsidieTabel!O$1,Tb_Activiteiten[#Headers],0))=1,$G24,0),0)</f>
        <v>0</v>
      </c>
      <c r="AD24" s="169" t="str">
        <f t="shared" si="4"/>
        <v>Arbeidskosten - vast tarief (excl eigen arbeid)</v>
      </c>
      <c r="AE24" s="64">
        <f>IF(Tb_ProjectKosten[[#This Row],[Forfait]]=1,SUMIF('5. Kosten uitvoering project'!$F$6:$F$250,Tb_ProjectKosten[[#This Row],[KostenOmschrijving]],'5. Kosten uitvoering project'!$R$6:$R$250),0)</f>
        <v>0</v>
      </c>
      <c r="AF24" s="64">
        <f>IF(Tb_ProjectKosten[[#This Row],[Forfait]]=1,SUMIF('5. Kosten uitvoering project'!$F$6:$F$250,Tb_ProjectKosten[[#This Row],[KostenOmschrijving]],'5. Kosten uitvoering project'!$S$6:$S$250),0)</f>
        <v>0</v>
      </c>
      <c r="AG24" t="str">
        <f>Tb_ProjectKosten[[#This Row],[KostenOmschrijving]]</f>
        <v>Arbeidskosten - vast tarief (excl eigen arbeid)</v>
      </c>
      <c r="AH24" cm="1">
        <f t="array" ref="AH24">INDEX(Tb_KostenOpties[],MATCH(Tb_ProjectKosten[[#This Row],[KostenOmschrijving]],Tb_KostenOpties[KostenOptie],0),IFERROR(MATCH(Methode_Keuze,Tb_KostenOpties[#Headers],0),2))</f>
        <v>1</v>
      </c>
      <c r="AI24" s="65">
        <v>0</v>
      </c>
      <c r="AJ24" s="64">
        <f>SUMIF('5. Kosten uitvoering project'!$F:$F,Tb_ProjectKosten[[#This Row],[Begroting]],'5. Kosten uitvoering project'!U:U)</f>
        <v>0</v>
      </c>
      <c r="AK24" s="64">
        <f>SUMIF('5. Kosten uitvoering project'!$F:$F,Tb_ProjectKosten[[#This Row],[Begroting]],'5. Kosten uitvoering project'!V:V)</f>
        <v>0</v>
      </c>
      <c r="AL24" s="64">
        <f>Tb_ProjectKosten[[#This Row],[Kosten_Aanvraag]]+Tb_ProjectKosten[[#This Row],[Forfait_Bedrag]]</f>
        <v>0</v>
      </c>
      <c r="AM24" s="64">
        <f>Tb_ProjectKosten[[#This Row],[Kosten_Beoordeeld]]+Tb_ProjectKosten[[#This Row],[Forfait_Bedrag_Beoordeeld]]</f>
        <v>0</v>
      </c>
      <c r="AN24" t="str">
        <f>IF(Tb_ProjectKosten[[#This Row],[Forfait]]=0,"Dit kostentype hoeft u niet op te geven. Hiervoor wordt een forfait berekend.","")</f>
        <v/>
      </c>
    </row>
    <row r="25" spans="1:40" x14ac:dyDescent="0.25">
      <c r="A25" s="12"/>
      <c r="B25" s="12"/>
      <c r="C25" s="12" t="str">
        <f>IFERROR(VLOOKUP($B25,Tb_ProjectKosten[],4,0),"")</f>
        <v/>
      </c>
      <c r="D25" s="12" t="str" cm="1">
        <f t="array" ref="D25">IFERROR(INDEX(Tb_KostenOpties[],MATCH(B25,Tb_KostenOpties[KostenOptie],0),IFERROR(MATCH(Methode_Keuze,Tb_KostenOpties[#Headers],0),2)),"")</f>
        <v/>
      </c>
      <c r="E25" s="281">
        <f>IFERROR(VLOOKUP(B25,Tb_ProjectKosten[[#All],[KostenOmschrijving]:[Forfait_Percentage]],6,0),0)</f>
        <v>0</v>
      </c>
      <c r="F25" s="282">
        <f>SUMIFS('5. Kosten uitvoering project'!R:R,'5. Kosten uitvoering project'!E:E,SubsidieTabel!A25,'5. Kosten uitvoering project'!F:F,SubsidieTabel!B25)</f>
        <v>0</v>
      </c>
      <c r="G25" s="282">
        <f>SUMIFS('5. Kosten uitvoering project'!S:S,'5. Kosten uitvoering project'!E:E,SubsidieTabel!A25,'5. Kosten uitvoering project'!F:F,SubsidieTabel!B25)</f>
        <v>0</v>
      </c>
      <c r="H25" s="282">
        <f>SUMIFS('5. Kosten uitvoering project'!U:U,'5. Kosten uitvoering project'!E:E,SubsidieTabel!A25,'5. Kosten uitvoering project'!F:F,SubsidieTabel!B25)</f>
        <v>0</v>
      </c>
      <c r="I25" s="282">
        <f>SUMIFS('5. Kosten uitvoering project'!V:V,'5. Kosten uitvoering project'!E:E,SubsidieTabel!A25,'5. Kosten uitvoering project'!F:F,SubsidieTabel!B25)</f>
        <v>0</v>
      </c>
      <c r="J25" s="282">
        <f t="shared" si="0"/>
        <v>0</v>
      </c>
      <c r="K25" s="282">
        <f t="shared" si="1"/>
        <v>0</v>
      </c>
      <c r="L25" s="281" t="str">
        <f>IFERROR(VLOOKUP(A25,Lijsten!$AK:$AL,2,0),"")</f>
        <v/>
      </c>
      <c r="M25" s="282">
        <f t="shared" si="2"/>
        <v>0</v>
      </c>
      <c r="N25" s="282">
        <f t="shared" si="3"/>
        <v>0</v>
      </c>
      <c r="O25" s="282">
        <f>IFERROR(IF(INDEX(Tb_Activiteiten[#All],MATCH(SubsidieTabel!$A25,Tb_Activiteiten[[#All],[Subsidiabele_Activiteit]],0),MATCH(SubsidieTabel!O$1,Tb_Activiteiten[#Headers],0))=1,SubsidieTabel!$J25,0),0)</f>
        <v>0</v>
      </c>
      <c r="P25" s="282">
        <f>IFERROR(IF(INDEX(Tb_Activiteiten[#All],MATCH(SubsidieTabel!$A25,Tb_Activiteiten[[#All],[Subsidiabele_Activiteit]],0),MATCH(SubsidieTabel!P$1,Tb_Activiteiten[#Headers],0))=1,SubsidieTabel!$K25,0),0)</f>
        <v>0</v>
      </c>
      <c r="Q25" s="282">
        <f>IFERROR(IF(INDEX(Tb_Activiteiten[#All],MATCH(SubsidieTabel!$A25,Tb_Activiteiten[[#All],[Subsidiabele_Activiteit]],0),MATCH(SubsidieTabel!Q$1,Tb_Activiteiten[#Headers],0))=1,SubsidieTabel!$J25,0),0)</f>
        <v>0</v>
      </c>
      <c r="R25" s="282">
        <f>IFERROR(IF(INDEX(Tb_Activiteiten[#All],MATCH(SubsidieTabel!$A25,Tb_Activiteiten[[#All],[Subsidiabele_Activiteit]],0),MATCH(SubsidieTabel!R$1,Tb_Activiteiten[#Headers],0))=1,SubsidieTabel!$K25,0),0)</f>
        <v>0</v>
      </c>
      <c r="S25" s="282">
        <f>IFERROR(IF(INDEX(Tb_Activiteiten[#All],MATCH(SubsidieTabel!$A25,Tb_Activiteiten[[#All],[Subsidiabele_Activiteit]],0),MATCH(SubsidieTabel!S$1,Tb_Activiteiten[#Headers],0))=1,SubsidieTabel!$J25,0),0)</f>
        <v>0</v>
      </c>
      <c r="T25" s="282">
        <f>IFERROR(IF(INDEX(Tb_Activiteiten[#All],MATCH(SubsidieTabel!$A25,Tb_Activiteiten[[#All],[Subsidiabele_Activiteit]],0),MATCH(SubsidieTabel!T$1,Tb_Activiteiten[#Headers],0))=1,SubsidieTabel!$K25,0),0)</f>
        <v>0</v>
      </c>
      <c r="U25" s="282">
        <f>IFERROR(IF(INDEX(Tb_Activiteiten[#All],MATCH(SubsidieTabel!$A25,Tb_Activiteiten[[#All],[Subsidiabele_Activiteit]],0),MATCH(SubsidieTabel!U$1,Tb_Activiteiten[#Headers],0))=1,SubsidieTabel!$J25,0),0)</f>
        <v>0</v>
      </c>
      <c r="V25" s="282">
        <f>IFERROR(IF(INDEX(Tb_Activiteiten[#All],MATCH(SubsidieTabel!$A25,Tb_Activiteiten[[#All],[Subsidiabele_Activiteit]],0),MATCH(SubsidieTabel!V$1,Tb_Activiteiten[#Headers],0))=1,SubsidieTabel!$K25,0),0)</f>
        <v>0</v>
      </c>
      <c r="W25" s="64">
        <f>IFERROR(IF(INDEX(Tb_Activiteiten[#All],MATCH(SubsidieTabel!$A25,Tb_Activiteiten[[#All],[Subsidiabele_Activiteit]],0),MATCH(SubsidieTabel!Q$1,Tb_Activiteiten[#Headers],0))=1,H25,0),0)</f>
        <v>0</v>
      </c>
      <c r="X25" s="64">
        <f>IFERROR(IF(INDEX(Tb_Activiteiten[#All],MATCH(SubsidieTabel!$A25,Tb_Activiteiten[[#All],[Subsidiabele_Activiteit]],0),MATCH(SubsidieTabel!Q$1,Tb_Activiteiten[#Headers],0))=1,I25,0),0)</f>
        <v>0</v>
      </c>
      <c r="Y25" s="64">
        <f>IFERROR(IF(INDEX(Tb_Activiteiten[#All],MATCH(SubsidieTabel!$A25,Tb_Activiteiten[[#All],[Subsidiabele_Activiteit]],0),MATCH(SubsidieTabel!S$1,Tb_Activiteiten[#Headers],0))=1,H25,0),0)</f>
        <v>0</v>
      </c>
      <c r="Z25" s="64">
        <f>IFERROR(IF(INDEX(Tb_Activiteiten[#All],MATCH(SubsidieTabel!$A25,Tb_Activiteiten[[#All],[Subsidiabele_Activiteit]],0),MATCH(SubsidieTabel!S$1,Tb_Activiteiten[#Headers],0))=1,I25,0),0)</f>
        <v>0</v>
      </c>
      <c r="AA25" s="64">
        <f>IFERROR(IF(INDEX(Tb_Activiteiten[#All],MATCH(SubsidieTabel!$A25,Tb_Activiteiten[[#All],[Subsidiabele_Activiteit]],0),MATCH(SubsidieTabel!O$1,Tb_Activiteiten[#Headers],0))=1,$F25,0),0)</f>
        <v>0</v>
      </c>
      <c r="AB25" s="64">
        <f>IFERROR(IF(INDEX(Tb_Activiteiten[#All],MATCH(SubsidieTabel!$A25,Tb_Activiteiten[[#All],[Subsidiabele_Activiteit]],0),MATCH(SubsidieTabel!O$1,Tb_Activiteiten[#Headers],0))=1,$G25,0),0)</f>
        <v>0</v>
      </c>
      <c r="AD25" s="169" t="str">
        <f t="shared" si="4"/>
        <v>Overige kosten</v>
      </c>
      <c r="AE25" s="64">
        <f>IF(Tb_ProjectKosten[[#This Row],[Forfait]]=1,SUMIF('5. Kosten uitvoering project'!$F$6:$F$250,Tb_ProjectKosten[[#This Row],[KostenOmschrijving]],'5. Kosten uitvoering project'!$R$6:$R$250),0)</f>
        <v>0</v>
      </c>
      <c r="AF25" s="64">
        <f>IF(Tb_ProjectKosten[[#This Row],[Forfait]]=1,SUMIF('5. Kosten uitvoering project'!$F$6:$F$250,Tb_ProjectKosten[[#This Row],[KostenOmschrijving]],'5. Kosten uitvoering project'!$S$6:$S$250),0)</f>
        <v>0</v>
      </c>
      <c r="AG25" t="str">
        <f>Tb_ProjectKosten[[#This Row],[KostenOmschrijving]]</f>
        <v>Overige kosten</v>
      </c>
      <c r="AH25" cm="1">
        <f t="array" ref="AH25">INDEX(Tb_KostenOpties[],MATCH(Tb_ProjectKosten[[#This Row],[KostenOmschrijving]],Tb_KostenOpties[KostenOptie],0),IFERROR(MATCH(Methode_Keuze,Tb_KostenOpties[#Headers],0),2))</f>
        <v>1</v>
      </c>
      <c r="AI25" s="65">
        <v>0.23</v>
      </c>
      <c r="AJ25" s="64">
        <f>SUMIF('5. Kosten uitvoering project'!$F:$F,Tb_ProjectKosten[[#This Row],[Begroting]],'5. Kosten uitvoering project'!U:U)</f>
        <v>0</v>
      </c>
      <c r="AK25" s="64">
        <f>SUMIF('5. Kosten uitvoering project'!$F:$F,Tb_ProjectKosten[[#This Row],[Begroting]],'5. Kosten uitvoering project'!V:V)</f>
        <v>0</v>
      </c>
      <c r="AL25" s="64">
        <f>Tb_ProjectKosten[[#This Row],[Kosten_Aanvraag]]+Tb_ProjectKosten[[#This Row],[Forfait_Bedrag]]</f>
        <v>0</v>
      </c>
      <c r="AM25" s="64">
        <f>Tb_ProjectKosten[[#This Row],[Kosten_Beoordeeld]]+Tb_ProjectKosten[[#This Row],[Forfait_Bedrag_Beoordeeld]]</f>
        <v>0</v>
      </c>
      <c r="AN25" t="str">
        <f>IF(Tb_ProjectKosten[[#This Row],[Forfait]]=0,"Dit kostentype hoeft u niet op te geven. Hiervoor wordt een forfait berekend.","")</f>
        <v/>
      </c>
    </row>
    <row r="26" spans="1:40" x14ac:dyDescent="0.25">
      <c r="A26" s="63"/>
      <c r="B26" s="63"/>
      <c r="C26" s="63" t="str">
        <f>IFERROR(VLOOKUP($B26,Tb_ProjectKosten[],4,0),"")</f>
        <v/>
      </c>
      <c r="D26" s="63" t="str" cm="1">
        <f t="array" ref="D26">IFERROR(INDEX(Tb_KostenOpties[],MATCH(B26,Tb_KostenOpties[KostenOptie],0),IFERROR(MATCH(Methode_Keuze,Tb_KostenOpties[#Headers],0),2)),"")</f>
        <v/>
      </c>
      <c r="E26" s="283">
        <f>IFERROR(VLOOKUP(B26,Tb_ProjectKosten[[#All],[KostenOmschrijving]:[Forfait_Percentage]],6,0),0)</f>
        <v>0</v>
      </c>
      <c r="F26" s="284">
        <f>SUMIFS('5. Kosten uitvoering project'!R:R,'5. Kosten uitvoering project'!E:E,SubsidieTabel!A26,'5. Kosten uitvoering project'!F:F,SubsidieTabel!B26)</f>
        <v>0</v>
      </c>
      <c r="G26" s="284">
        <f>SUMIFS('5. Kosten uitvoering project'!S:S,'5. Kosten uitvoering project'!E:E,SubsidieTabel!A26,'5. Kosten uitvoering project'!F:F,SubsidieTabel!B26)</f>
        <v>0</v>
      </c>
      <c r="H26" s="284">
        <f>SUMIFS('5. Kosten uitvoering project'!U:U,'5. Kosten uitvoering project'!E:E,SubsidieTabel!A26,'5. Kosten uitvoering project'!F:F,SubsidieTabel!B26)</f>
        <v>0</v>
      </c>
      <c r="I26" s="284">
        <f>SUMIFS('5. Kosten uitvoering project'!V:V,'5. Kosten uitvoering project'!E:E,SubsidieTabel!A26,'5. Kosten uitvoering project'!F:F,SubsidieTabel!B26)</f>
        <v>0</v>
      </c>
      <c r="J26" s="284">
        <f t="shared" si="0"/>
        <v>0</v>
      </c>
      <c r="K26" s="284">
        <f t="shared" si="1"/>
        <v>0</v>
      </c>
      <c r="L26" s="283" t="str">
        <f>IFERROR(VLOOKUP(A26,Lijsten!$AK:$AL,2,0),"")</f>
        <v/>
      </c>
      <c r="M26" s="284">
        <f t="shared" si="2"/>
        <v>0</v>
      </c>
      <c r="N26" s="284">
        <f t="shared" si="3"/>
        <v>0</v>
      </c>
      <c r="O26" s="284">
        <f>IFERROR(IF(INDEX(Tb_Activiteiten[#All],MATCH(SubsidieTabel!$A26,Tb_Activiteiten[[#All],[Subsidiabele_Activiteit]],0),MATCH(SubsidieTabel!O$1,Tb_Activiteiten[#Headers],0))=1,SubsidieTabel!$J26,0),0)</f>
        <v>0</v>
      </c>
      <c r="P26" s="284">
        <f>IFERROR(IF(INDEX(Tb_Activiteiten[#All],MATCH(SubsidieTabel!$A26,Tb_Activiteiten[[#All],[Subsidiabele_Activiteit]],0),MATCH(SubsidieTabel!P$1,Tb_Activiteiten[#Headers],0))=1,SubsidieTabel!$K26,0),0)</f>
        <v>0</v>
      </c>
      <c r="Q26" s="284">
        <f>IFERROR(IF(INDEX(Tb_Activiteiten[#All],MATCH(SubsidieTabel!$A26,Tb_Activiteiten[[#All],[Subsidiabele_Activiteit]],0),MATCH(SubsidieTabel!Q$1,Tb_Activiteiten[#Headers],0))=1,SubsidieTabel!$J26,0),0)</f>
        <v>0</v>
      </c>
      <c r="R26" s="284">
        <f>IFERROR(IF(INDEX(Tb_Activiteiten[#All],MATCH(SubsidieTabel!$A26,Tb_Activiteiten[[#All],[Subsidiabele_Activiteit]],0),MATCH(SubsidieTabel!R$1,Tb_Activiteiten[#Headers],0))=1,SubsidieTabel!$K26,0),0)</f>
        <v>0</v>
      </c>
      <c r="S26" s="284">
        <f>IFERROR(IF(INDEX(Tb_Activiteiten[#All],MATCH(SubsidieTabel!$A26,Tb_Activiteiten[[#All],[Subsidiabele_Activiteit]],0),MATCH(SubsidieTabel!S$1,Tb_Activiteiten[#Headers],0))=1,SubsidieTabel!$J26,0),0)</f>
        <v>0</v>
      </c>
      <c r="T26" s="284">
        <f>IFERROR(IF(INDEX(Tb_Activiteiten[#All],MATCH(SubsidieTabel!$A26,Tb_Activiteiten[[#All],[Subsidiabele_Activiteit]],0),MATCH(SubsidieTabel!T$1,Tb_Activiteiten[#Headers],0))=1,SubsidieTabel!$K26,0),0)</f>
        <v>0</v>
      </c>
      <c r="U26" s="284">
        <f>IFERROR(IF(INDEX(Tb_Activiteiten[#All],MATCH(SubsidieTabel!$A26,Tb_Activiteiten[[#All],[Subsidiabele_Activiteit]],0),MATCH(SubsidieTabel!U$1,Tb_Activiteiten[#Headers],0))=1,SubsidieTabel!$J26,0),0)</f>
        <v>0</v>
      </c>
      <c r="V26" s="284">
        <f>IFERROR(IF(INDEX(Tb_Activiteiten[#All],MATCH(SubsidieTabel!$A26,Tb_Activiteiten[[#All],[Subsidiabele_Activiteit]],0),MATCH(SubsidieTabel!V$1,Tb_Activiteiten[#Headers],0))=1,SubsidieTabel!$K26,0),0)</f>
        <v>0</v>
      </c>
      <c r="W26" s="369">
        <f>IFERROR(IF(INDEX(Tb_Activiteiten[#All],MATCH(SubsidieTabel!$A26,Tb_Activiteiten[[#All],[Subsidiabele_Activiteit]],0),MATCH(SubsidieTabel!Q$1,Tb_Activiteiten[#Headers],0))=1,H26,0),0)</f>
        <v>0</v>
      </c>
      <c r="X26" s="369">
        <f>IFERROR(IF(INDEX(Tb_Activiteiten[#All],MATCH(SubsidieTabel!$A26,Tb_Activiteiten[[#All],[Subsidiabele_Activiteit]],0),MATCH(SubsidieTabel!Q$1,Tb_Activiteiten[#Headers],0))=1,I26,0),0)</f>
        <v>0</v>
      </c>
      <c r="Y26" s="369">
        <f>IFERROR(IF(INDEX(Tb_Activiteiten[#All],MATCH(SubsidieTabel!$A26,Tb_Activiteiten[[#All],[Subsidiabele_Activiteit]],0),MATCH(SubsidieTabel!S$1,Tb_Activiteiten[#Headers],0))=1,H26,0),0)</f>
        <v>0</v>
      </c>
      <c r="Z26" s="369">
        <f>IFERROR(IF(INDEX(Tb_Activiteiten[#All],MATCH(SubsidieTabel!$A26,Tb_Activiteiten[[#All],[Subsidiabele_Activiteit]],0),MATCH(SubsidieTabel!S$1,Tb_Activiteiten[#Headers],0))=1,I26,0),0)</f>
        <v>0</v>
      </c>
      <c r="AA26" s="369">
        <f>IFERROR(IF(INDEX(Tb_Activiteiten[#All],MATCH(SubsidieTabel!$A26,Tb_Activiteiten[[#All],[Subsidiabele_Activiteit]],0),MATCH(SubsidieTabel!O$1,Tb_Activiteiten[#Headers],0))=1,$F26,0),0)</f>
        <v>0</v>
      </c>
      <c r="AB26" s="369">
        <f>IFERROR(IF(INDEX(Tb_Activiteiten[#All],MATCH(SubsidieTabel!$A26,Tb_Activiteiten[[#All],[Subsidiabele_Activiteit]],0),MATCH(SubsidieTabel!O$1,Tb_Activiteiten[#Headers],0))=1,$G26,0),0)</f>
        <v>0</v>
      </c>
    </row>
    <row r="27" spans="1:40" x14ac:dyDescent="0.25">
      <c r="A27" s="12"/>
      <c r="B27" s="12"/>
      <c r="C27" s="12" t="str">
        <f>IFERROR(VLOOKUP($B27,Tb_ProjectKosten[],4,0),"")</f>
        <v/>
      </c>
      <c r="D27" s="12" t="str" cm="1">
        <f t="array" ref="D27">IFERROR(INDEX(Tb_KostenOpties[],MATCH(B27,Tb_KostenOpties[KostenOptie],0),IFERROR(MATCH(Methode_Keuze,Tb_KostenOpties[#Headers],0),2)),"")</f>
        <v/>
      </c>
      <c r="E27" s="281">
        <f>IFERROR(VLOOKUP(B27,Tb_ProjectKosten[[#All],[KostenOmschrijving]:[Forfait_Percentage]],6,0),0)</f>
        <v>0</v>
      </c>
      <c r="F27" s="282">
        <f>SUMIFS('5. Kosten uitvoering project'!R:R,'5. Kosten uitvoering project'!E:E,SubsidieTabel!A27,'5. Kosten uitvoering project'!F:F,SubsidieTabel!B27)</f>
        <v>0</v>
      </c>
      <c r="G27" s="282">
        <f>SUMIFS('5. Kosten uitvoering project'!S:S,'5. Kosten uitvoering project'!E:E,SubsidieTabel!A27,'5. Kosten uitvoering project'!F:F,SubsidieTabel!B27)</f>
        <v>0</v>
      </c>
      <c r="H27" s="282">
        <f>SUMIFS('5. Kosten uitvoering project'!U:U,'5. Kosten uitvoering project'!E:E,SubsidieTabel!A27,'5. Kosten uitvoering project'!F:F,SubsidieTabel!B27)</f>
        <v>0</v>
      </c>
      <c r="I27" s="282">
        <f>SUMIFS('5. Kosten uitvoering project'!V:V,'5. Kosten uitvoering project'!E:E,SubsidieTabel!A27,'5. Kosten uitvoering project'!F:F,SubsidieTabel!B27)</f>
        <v>0</v>
      </c>
      <c r="J27" s="282">
        <f t="shared" si="0"/>
        <v>0</v>
      </c>
      <c r="K27" s="282">
        <f t="shared" si="1"/>
        <v>0</v>
      </c>
      <c r="L27" s="281" t="str">
        <f>IFERROR(VLOOKUP(A27,Lijsten!$AK:$AL,2,0),"")</f>
        <v/>
      </c>
      <c r="M27" s="282">
        <f t="shared" si="2"/>
        <v>0</v>
      </c>
      <c r="N27" s="282">
        <f t="shared" si="3"/>
        <v>0</v>
      </c>
      <c r="O27" s="282">
        <f>IFERROR(IF(INDEX(Tb_Activiteiten[#All],MATCH(SubsidieTabel!$A27,Tb_Activiteiten[[#All],[Subsidiabele_Activiteit]],0),MATCH(SubsidieTabel!O$1,Tb_Activiteiten[#Headers],0))=1,SubsidieTabel!$J27,0),0)</f>
        <v>0</v>
      </c>
      <c r="P27" s="282">
        <f>IFERROR(IF(INDEX(Tb_Activiteiten[#All],MATCH(SubsidieTabel!$A27,Tb_Activiteiten[[#All],[Subsidiabele_Activiteit]],0),MATCH(SubsidieTabel!P$1,Tb_Activiteiten[#Headers],0))=1,SubsidieTabel!$K27,0),0)</f>
        <v>0</v>
      </c>
      <c r="Q27" s="282">
        <f>IFERROR(IF(INDEX(Tb_Activiteiten[#All],MATCH(SubsidieTabel!$A27,Tb_Activiteiten[[#All],[Subsidiabele_Activiteit]],0),MATCH(SubsidieTabel!Q$1,Tb_Activiteiten[#Headers],0))=1,SubsidieTabel!$J27,0),0)</f>
        <v>0</v>
      </c>
      <c r="R27" s="282">
        <f>IFERROR(IF(INDEX(Tb_Activiteiten[#All],MATCH(SubsidieTabel!$A27,Tb_Activiteiten[[#All],[Subsidiabele_Activiteit]],0),MATCH(SubsidieTabel!R$1,Tb_Activiteiten[#Headers],0))=1,SubsidieTabel!$K27,0),0)</f>
        <v>0</v>
      </c>
      <c r="S27" s="282">
        <f>IFERROR(IF(INDEX(Tb_Activiteiten[#All],MATCH(SubsidieTabel!$A27,Tb_Activiteiten[[#All],[Subsidiabele_Activiteit]],0),MATCH(SubsidieTabel!S$1,Tb_Activiteiten[#Headers],0))=1,SubsidieTabel!$J27,0),0)</f>
        <v>0</v>
      </c>
      <c r="T27" s="282">
        <f>IFERROR(IF(INDEX(Tb_Activiteiten[#All],MATCH(SubsidieTabel!$A27,Tb_Activiteiten[[#All],[Subsidiabele_Activiteit]],0),MATCH(SubsidieTabel!T$1,Tb_Activiteiten[#Headers],0))=1,SubsidieTabel!$K27,0),0)</f>
        <v>0</v>
      </c>
      <c r="U27" s="282">
        <f>IFERROR(IF(INDEX(Tb_Activiteiten[#All],MATCH(SubsidieTabel!$A27,Tb_Activiteiten[[#All],[Subsidiabele_Activiteit]],0),MATCH(SubsidieTabel!U$1,Tb_Activiteiten[#Headers],0))=1,SubsidieTabel!$J27,0),0)</f>
        <v>0</v>
      </c>
      <c r="V27" s="282">
        <f>IFERROR(IF(INDEX(Tb_Activiteiten[#All],MATCH(SubsidieTabel!$A27,Tb_Activiteiten[[#All],[Subsidiabele_Activiteit]],0),MATCH(SubsidieTabel!V$1,Tb_Activiteiten[#Headers],0))=1,SubsidieTabel!$K27,0),0)</f>
        <v>0</v>
      </c>
      <c r="W27" s="64">
        <f>IFERROR(IF(INDEX(Tb_Activiteiten[#All],MATCH(SubsidieTabel!$A27,Tb_Activiteiten[[#All],[Subsidiabele_Activiteit]],0),MATCH(SubsidieTabel!Q$1,Tb_Activiteiten[#Headers],0))=1,H27,0),0)</f>
        <v>0</v>
      </c>
      <c r="X27" s="64">
        <f>IFERROR(IF(INDEX(Tb_Activiteiten[#All],MATCH(SubsidieTabel!$A27,Tb_Activiteiten[[#All],[Subsidiabele_Activiteit]],0),MATCH(SubsidieTabel!Q$1,Tb_Activiteiten[#Headers],0))=1,I27,0),0)</f>
        <v>0</v>
      </c>
      <c r="Y27" s="64">
        <f>IFERROR(IF(INDEX(Tb_Activiteiten[#All],MATCH(SubsidieTabel!$A27,Tb_Activiteiten[[#All],[Subsidiabele_Activiteit]],0),MATCH(SubsidieTabel!S$1,Tb_Activiteiten[#Headers],0))=1,H27,0),0)</f>
        <v>0</v>
      </c>
      <c r="Z27" s="64">
        <f>IFERROR(IF(INDEX(Tb_Activiteiten[#All],MATCH(SubsidieTabel!$A27,Tb_Activiteiten[[#All],[Subsidiabele_Activiteit]],0),MATCH(SubsidieTabel!S$1,Tb_Activiteiten[#Headers],0))=1,I27,0),0)</f>
        <v>0</v>
      </c>
      <c r="AA27" s="64">
        <f>IFERROR(IF(INDEX(Tb_Activiteiten[#All],MATCH(SubsidieTabel!$A27,Tb_Activiteiten[[#All],[Subsidiabele_Activiteit]],0),MATCH(SubsidieTabel!O$1,Tb_Activiteiten[#Headers],0))=1,$F27,0),0)</f>
        <v>0</v>
      </c>
      <c r="AB27" s="64">
        <f>IFERROR(IF(INDEX(Tb_Activiteiten[#All],MATCH(SubsidieTabel!$A27,Tb_Activiteiten[[#All],[Subsidiabele_Activiteit]],0),MATCH(SubsidieTabel!O$1,Tb_Activiteiten[#Headers],0))=1,$G27,0),0)</f>
        <v>0</v>
      </c>
      <c r="AD27" t="s">
        <v>83</v>
      </c>
      <c r="AE27" t="s">
        <v>99</v>
      </c>
      <c r="AF27" t="s">
        <v>101</v>
      </c>
      <c r="AG27" t="s">
        <v>102</v>
      </c>
      <c r="AH27" t="s">
        <v>40</v>
      </c>
      <c r="AI27" t="s">
        <v>331</v>
      </c>
      <c r="AJ27" t="s">
        <v>87</v>
      </c>
      <c r="AK27" t="s">
        <v>88</v>
      </c>
      <c r="AL27" t="s">
        <v>184</v>
      </c>
      <c r="AM27" t="s">
        <v>185</v>
      </c>
      <c r="AN27" t="s">
        <v>56</v>
      </c>
    </row>
    <row r="28" spans="1:40" x14ac:dyDescent="0.25">
      <c r="A28" s="63"/>
      <c r="B28" s="63"/>
      <c r="C28" s="63" t="str">
        <f>IFERROR(VLOOKUP($B28,Tb_ProjectKosten[],4,0),"")</f>
        <v/>
      </c>
      <c r="D28" s="63" t="str" cm="1">
        <f t="array" ref="D28">IFERROR(INDEX(Tb_KostenOpties[],MATCH(B28,Tb_KostenOpties[KostenOptie],0),IFERROR(MATCH(Methode_Keuze,Tb_KostenOpties[#Headers],0),2)),"")</f>
        <v/>
      </c>
      <c r="E28" s="283">
        <f>IFERROR(VLOOKUP(B28,Tb_ProjectKosten[[#All],[KostenOmschrijving]:[Forfait_Percentage]],6,0),0)</f>
        <v>0</v>
      </c>
      <c r="F28" s="284">
        <f>SUMIFS('5. Kosten uitvoering project'!R:R,'5. Kosten uitvoering project'!E:E,SubsidieTabel!A28,'5. Kosten uitvoering project'!F:F,SubsidieTabel!B28)</f>
        <v>0</v>
      </c>
      <c r="G28" s="284">
        <f>SUMIFS('5. Kosten uitvoering project'!S:S,'5. Kosten uitvoering project'!E:E,SubsidieTabel!A28,'5. Kosten uitvoering project'!F:F,SubsidieTabel!B28)</f>
        <v>0</v>
      </c>
      <c r="H28" s="284">
        <f>SUMIFS('5. Kosten uitvoering project'!U:U,'5. Kosten uitvoering project'!E:E,SubsidieTabel!A28,'5. Kosten uitvoering project'!F:F,SubsidieTabel!B28)</f>
        <v>0</v>
      </c>
      <c r="I28" s="284">
        <f>SUMIFS('5. Kosten uitvoering project'!V:V,'5. Kosten uitvoering project'!E:E,SubsidieTabel!A28,'5. Kosten uitvoering project'!F:F,SubsidieTabel!B28)</f>
        <v>0</v>
      </c>
      <c r="J28" s="284">
        <f t="shared" si="0"/>
        <v>0</v>
      </c>
      <c r="K28" s="284">
        <f t="shared" si="1"/>
        <v>0</v>
      </c>
      <c r="L28" s="283" t="str">
        <f>IFERROR(VLOOKUP(A28,Lijsten!$AK:$AL,2,0),"")</f>
        <v/>
      </c>
      <c r="M28" s="284">
        <f t="shared" si="2"/>
        <v>0</v>
      </c>
      <c r="N28" s="284">
        <f t="shared" si="3"/>
        <v>0</v>
      </c>
      <c r="O28" s="284">
        <f>IFERROR(IF(INDEX(Tb_Activiteiten[#All],MATCH(SubsidieTabel!$A28,Tb_Activiteiten[[#All],[Subsidiabele_Activiteit]],0),MATCH(SubsidieTabel!O$1,Tb_Activiteiten[#Headers],0))=1,SubsidieTabel!$J28,0),0)</f>
        <v>0</v>
      </c>
      <c r="P28" s="284">
        <f>IFERROR(IF(INDEX(Tb_Activiteiten[#All],MATCH(SubsidieTabel!$A28,Tb_Activiteiten[[#All],[Subsidiabele_Activiteit]],0),MATCH(SubsidieTabel!P$1,Tb_Activiteiten[#Headers],0))=1,SubsidieTabel!$K28,0),0)</f>
        <v>0</v>
      </c>
      <c r="Q28" s="284">
        <f>IFERROR(IF(INDEX(Tb_Activiteiten[#All],MATCH(SubsidieTabel!$A28,Tb_Activiteiten[[#All],[Subsidiabele_Activiteit]],0),MATCH(SubsidieTabel!Q$1,Tb_Activiteiten[#Headers],0))=1,SubsidieTabel!$J28,0),0)</f>
        <v>0</v>
      </c>
      <c r="R28" s="284">
        <f>IFERROR(IF(INDEX(Tb_Activiteiten[#All],MATCH(SubsidieTabel!$A28,Tb_Activiteiten[[#All],[Subsidiabele_Activiteit]],0),MATCH(SubsidieTabel!R$1,Tb_Activiteiten[#Headers],0))=1,SubsidieTabel!$K28,0),0)</f>
        <v>0</v>
      </c>
      <c r="S28" s="284">
        <f>IFERROR(IF(INDEX(Tb_Activiteiten[#All],MATCH(SubsidieTabel!$A28,Tb_Activiteiten[[#All],[Subsidiabele_Activiteit]],0),MATCH(SubsidieTabel!S$1,Tb_Activiteiten[#Headers],0))=1,SubsidieTabel!$J28,0),0)</f>
        <v>0</v>
      </c>
      <c r="T28" s="284">
        <f>IFERROR(IF(INDEX(Tb_Activiteiten[#All],MATCH(SubsidieTabel!$A28,Tb_Activiteiten[[#All],[Subsidiabele_Activiteit]],0),MATCH(SubsidieTabel!T$1,Tb_Activiteiten[#Headers],0))=1,SubsidieTabel!$K28,0),0)</f>
        <v>0</v>
      </c>
      <c r="U28" s="284">
        <f>IFERROR(IF(INDEX(Tb_Activiteiten[#All],MATCH(SubsidieTabel!$A28,Tb_Activiteiten[[#All],[Subsidiabele_Activiteit]],0),MATCH(SubsidieTabel!U$1,Tb_Activiteiten[#Headers],0))=1,SubsidieTabel!$J28,0),0)</f>
        <v>0</v>
      </c>
      <c r="V28" s="284">
        <f>IFERROR(IF(INDEX(Tb_Activiteiten[#All],MATCH(SubsidieTabel!$A28,Tb_Activiteiten[[#All],[Subsidiabele_Activiteit]],0),MATCH(SubsidieTabel!V$1,Tb_Activiteiten[#Headers],0))=1,SubsidieTabel!$K28,0),0)</f>
        <v>0</v>
      </c>
      <c r="W28" s="369">
        <f>IFERROR(IF(INDEX(Tb_Activiteiten[#All],MATCH(SubsidieTabel!$A28,Tb_Activiteiten[[#All],[Subsidiabele_Activiteit]],0),MATCH(SubsidieTabel!Q$1,Tb_Activiteiten[#Headers],0))=1,H28,0),0)</f>
        <v>0</v>
      </c>
      <c r="X28" s="369">
        <f>IFERROR(IF(INDEX(Tb_Activiteiten[#All],MATCH(SubsidieTabel!$A28,Tb_Activiteiten[[#All],[Subsidiabele_Activiteit]],0),MATCH(SubsidieTabel!Q$1,Tb_Activiteiten[#Headers],0))=1,I28,0),0)</f>
        <v>0</v>
      </c>
      <c r="Y28" s="369">
        <f>IFERROR(IF(INDEX(Tb_Activiteiten[#All],MATCH(SubsidieTabel!$A28,Tb_Activiteiten[[#All],[Subsidiabele_Activiteit]],0),MATCH(SubsidieTabel!S$1,Tb_Activiteiten[#Headers],0))=1,H28,0),0)</f>
        <v>0</v>
      </c>
      <c r="Z28" s="369">
        <f>IFERROR(IF(INDEX(Tb_Activiteiten[#All],MATCH(SubsidieTabel!$A28,Tb_Activiteiten[[#All],[Subsidiabele_Activiteit]],0),MATCH(SubsidieTabel!S$1,Tb_Activiteiten[#Headers],0))=1,I28,0),0)</f>
        <v>0</v>
      </c>
      <c r="AA28" s="369">
        <f>IFERROR(IF(INDEX(Tb_Activiteiten[#All],MATCH(SubsidieTabel!$A28,Tb_Activiteiten[[#All],[Subsidiabele_Activiteit]],0),MATCH(SubsidieTabel!O$1,Tb_Activiteiten[#Headers],0))=1,$F28,0),0)</f>
        <v>0</v>
      </c>
      <c r="AB28" s="369">
        <f>IFERROR(IF(INDEX(Tb_Activiteiten[#All],MATCH(SubsidieTabel!$A28,Tb_Activiteiten[[#All],[Subsidiabele_Activiteit]],0),MATCH(SubsidieTabel!O$1,Tb_Activiteiten[#Headers],0))=1,$G28,0),0)</f>
        <v>0</v>
      </c>
      <c r="AD28" s="12" t="str">
        <f t="shared" ref="AD28:AD38" si="5">$AD15</f>
        <v>Arbeidskosten</v>
      </c>
      <c r="AE28" s="68" t="str">
        <f t="shared" ref="AE28:AE37" si="6">IF(Keuze_DB_Nr&lt;&gt;"",Keuze_DB_Nr,"")</f>
        <v/>
      </c>
      <c r="AF28" s="64">
        <f>IF(Tb_DBKosten[[#This Row],[Forfait]]=1,SUMIFS('8. Uitgaven betaalverzoek'!W:W,'8. Uitgaven betaalverzoek'!F:F,Tb_DBKosten[[#This Row],[KostenOmschrijving]],'8. Uitgaven betaalverzoek'!A:A,Tb_DBKosten[[#This Row],[Deelbetaling]]),0)</f>
        <v>0</v>
      </c>
      <c r="AG28" s="64">
        <f>IF(Tb_DBKosten[[#This Row],[Forfait]]=1,SUMIFS('8. Uitgaven betaalverzoek'!X:X,'8. Uitgaven betaalverzoek'!F:F,Tb_DBKosten[[#This Row],[KostenOmschrijving]],'8. Uitgaven betaalverzoek'!A:A,Tb_DBKosten[[#This Row],[Deelbetaling]]),0)</f>
        <v>0</v>
      </c>
      <c r="AH28" cm="1">
        <f t="array" ref="AH28">INDEX(Tb_KostenOptiesDB[],MATCH(Tb_DBKosten[[#This Row],[KostenOmschrijving]],Tb_KostenOptiesDB[KostenOptie],0),IFERROR(MATCH(Methode_Keuze,Tb_KostenOptiesDB[#Headers],0),2))</f>
        <v>1</v>
      </c>
      <c r="AI28" s="65">
        <v>0.4</v>
      </c>
      <c r="AJ28" s="64">
        <f>IF(Tb_DBKosten[[#This Row],[Forfait]]=1,SUMIFS('8. Uitgaven betaalverzoek'!Z:Z,'8. Uitgaven betaalverzoek'!F:F,Tb_DBKosten[[#This Row],[KostenOmschrijving]],'8. Uitgaven betaalverzoek'!A:A,Tb_DBKosten[[#This Row],[Deelbetaling]]),0)</f>
        <v>0</v>
      </c>
      <c r="AK28" s="64">
        <f>IF(Tb_DBKosten[[#This Row],[Forfait]]=1,SUMIFS('8. Uitgaven betaalverzoek'!AA:AA,'8. Uitgaven betaalverzoek'!F:F,Tb_DBKosten[[#This Row],[KostenOmschrijving]],'8. Uitgaven betaalverzoek'!A:A,Tb_DBKosten[[#This Row],[Deelbetaling]]),0)</f>
        <v>0</v>
      </c>
      <c r="AL28" s="64">
        <f>Tb_DBKosten[[#This Row],[Deelbetaling_Aanvraag]]+Tb_DBKosten[[#This Row],[Forfait_Bedrag]]</f>
        <v>0</v>
      </c>
      <c r="AM28" s="64">
        <f>Tb_DBKosten[[#This Row],[Deelbetaling_Beoordeeld]]+Tb_DBKosten[[#This Row],[Forfait_Bedrag_Beoordeeld]]</f>
        <v>0</v>
      </c>
      <c r="AN28" t="str">
        <f>IF(Tb_DBKosten[[#This Row],[Forfait]]=0,"Dit kostentype hoeft u niet op te geven. Hiervoor wordt een forfait berekend.","")</f>
        <v/>
      </c>
    </row>
    <row r="29" spans="1:40" x14ac:dyDescent="0.25">
      <c r="A29" s="12"/>
      <c r="B29" s="12"/>
      <c r="C29" s="12" t="str">
        <f>IFERROR(VLOOKUP($B29,Tb_ProjectKosten[],4,0),"")</f>
        <v/>
      </c>
      <c r="D29" s="12" t="str" cm="1">
        <f t="array" ref="D29">IFERROR(INDEX(Tb_KostenOpties[],MATCH(B29,Tb_KostenOpties[KostenOptie],0),IFERROR(MATCH(Methode_Keuze,Tb_KostenOpties[#Headers],0),2)),"")</f>
        <v/>
      </c>
      <c r="E29" s="281">
        <f>IFERROR(VLOOKUP(B29,Tb_ProjectKosten[[#All],[KostenOmschrijving]:[Forfait_Percentage]],6,0),0)</f>
        <v>0</v>
      </c>
      <c r="F29" s="282">
        <f>SUMIFS('5. Kosten uitvoering project'!R:R,'5. Kosten uitvoering project'!E:E,SubsidieTabel!A29,'5. Kosten uitvoering project'!F:F,SubsidieTabel!B29)</f>
        <v>0</v>
      </c>
      <c r="G29" s="282">
        <f>SUMIFS('5. Kosten uitvoering project'!S:S,'5. Kosten uitvoering project'!E:E,SubsidieTabel!A29,'5. Kosten uitvoering project'!F:F,SubsidieTabel!B29)</f>
        <v>0</v>
      </c>
      <c r="H29" s="282">
        <f>SUMIFS('5. Kosten uitvoering project'!U:U,'5. Kosten uitvoering project'!E:E,SubsidieTabel!A29,'5. Kosten uitvoering project'!F:F,SubsidieTabel!B29)</f>
        <v>0</v>
      </c>
      <c r="I29" s="282">
        <f>SUMIFS('5. Kosten uitvoering project'!V:V,'5. Kosten uitvoering project'!E:E,SubsidieTabel!A29,'5. Kosten uitvoering project'!F:F,SubsidieTabel!B29)</f>
        <v>0</v>
      </c>
      <c r="J29" s="282">
        <f t="shared" si="0"/>
        <v>0</v>
      </c>
      <c r="K29" s="282">
        <f t="shared" si="1"/>
        <v>0</v>
      </c>
      <c r="L29" s="281" t="str">
        <f>IFERROR(VLOOKUP(A29,Lijsten!$AK:$AL,2,0),"")</f>
        <v/>
      </c>
      <c r="M29" s="282">
        <f t="shared" si="2"/>
        <v>0</v>
      </c>
      <c r="N29" s="282">
        <f t="shared" si="3"/>
        <v>0</v>
      </c>
      <c r="O29" s="282">
        <f>IFERROR(IF(INDEX(Tb_Activiteiten[#All],MATCH(SubsidieTabel!$A29,Tb_Activiteiten[[#All],[Subsidiabele_Activiteit]],0),MATCH(SubsidieTabel!O$1,Tb_Activiteiten[#Headers],0))=1,SubsidieTabel!$J29,0),0)</f>
        <v>0</v>
      </c>
      <c r="P29" s="282">
        <f>IFERROR(IF(INDEX(Tb_Activiteiten[#All],MATCH(SubsidieTabel!$A29,Tb_Activiteiten[[#All],[Subsidiabele_Activiteit]],0),MATCH(SubsidieTabel!P$1,Tb_Activiteiten[#Headers],0))=1,SubsidieTabel!$K29,0),0)</f>
        <v>0</v>
      </c>
      <c r="Q29" s="282">
        <f>IFERROR(IF(INDEX(Tb_Activiteiten[#All],MATCH(SubsidieTabel!$A29,Tb_Activiteiten[[#All],[Subsidiabele_Activiteit]],0),MATCH(SubsidieTabel!Q$1,Tb_Activiteiten[#Headers],0))=1,SubsidieTabel!$J29,0),0)</f>
        <v>0</v>
      </c>
      <c r="R29" s="282">
        <f>IFERROR(IF(INDEX(Tb_Activiteiten[#All],MATCH(SubsidieTabel!$A29,Tb_Activiteiten[[#All],[Subsidiabele_Activiteit]],0),MATCH(SubsidieTabel!R$1,Tb_Activiteiten[#Headers],0))=1,SubsidieTabel!$K29,0),0)</f>
        <v>0</v>
      </c>
      <c r="S29" s="282">
        <f>IFERROR(IF(INDEX(Tb_Activiteiten[#All],MATCH(SubsidieTabel!$A29,Tb_Activiteiten[[#All],[Subsidiabele_Activiteit]],0),MATCH(SubsidieTabel!S$1,Tb_Activiteiten[#Headers],0))=1,SubsidieTabel!$J29,0),0)</f>
        <v>0</v>
      </c>
      <c r="T29" s="282">
        <f>IFERROR(IF(INDEX(Tb_Activiteiten[#All],MATCH(SubsidieTabel!$A29,Tb_Activiteiten[[#All],[Subsidiabele_Activiteit]],0),MATCH(SubsidieTabel!T$1,Tb_Activiteiten[#Headers],0))=1,SubsidieTabel!$K29,0),0)</f>
        <v>0</v>
      </c>
      <c r="U29" s="282">
        <f>IFERROR(IF(INDEX(Tb_Activiteiten[#All],MATCH(SubsidieTabel!$A29,Tb_Activiteiten[[#All],[Subsidiabele_Activiteit]],0),MATCH(SubsidieTabel!U$1,Tb_Activiteiten[#Headers],0))=1,SubsidieTabel!$J29,0),0)</f>
        <v>0</v>
      </c>
      <c r="V29" s="282">
        <f>IFERROR(IF(INDEX(Tb_Activiteiten[#All],MATCH(SubsidieTabel!$A29,Tb_Activiteiten[[#All],[Subsidiabele_Activiteit]],0),MATCH(SubsidieTabel!V$1,Tb_Activiteiten[#Headers],0))=1,SubsidieTabel!$K29,0),0)</f>
        <v>0</v>
      </c>
      <c r="W29" s="64">
        <f>IFERROR(IF(INDEX(Tb_Activiteiten[#All],MATCH(SubsidieTabel!$A29,Tb_Activiteiten[[#All],[Subsidiabele_Activiteit]],0),MATCH(SubsidieTabel!Q$1,Tb_Activiteiten[#Headers],0))=1,H29,0),0)</f>
        <v>0</v>
      </c>
      <c r="X29" s="64">
        <f>IFERROR(IF(INDEX(Tb_Activiteiten[#All],MATCH(SubsidieTabel!$A29,Tb_Activiteiten[[#All],[Subsidiabele_Activiteit]],0),MATCH(SubsidieTabel!Q$1,Tb_Activiteiten[#Headers],0))=1,I29,0),0)</f>
        <v>0</v>
      </c>
      <c r="Y29" s="64">
        <f>IFERROR(IF(INDEX(Tb_Activiteiten[#All],MATCH(SubsidieTabel!$A29,Tb_Activiteiten[[#All],[Subsidiabele_Activiteit]],0),MATCH(SubsidieTabel!S$1,Tb_Activiteiten[#Headers],0))=1,H29,0),0)</f>
        <v>0</v>
      </c>
      <c r="Z29" s="64">
        <f>IFERROR(IF(INDEX(Tb_Activiteiten[#All],MATCH(SubsidieTabel!$A29,Tb_Activiteiten[[#All],[Subsidiabele_Activiteit]],0),MATCH(SubsidieTabel!S$1,Tb_Activiteiten[#Headers],0))=1,I29,0),0)</f>
        <v>0</v>
      </c>
      <c r="AA29" s="64">
        <f>IFERROR(IF(INDEX(Tb_Activiteiten[#All],MATCH(SubsidieTabel!$A29,Tb_Activiteiten[[#All],[Subsidiabele_Activiteit]],0),MATCH(SubsidieTabel!O$1,Tb_Activiteiten[#Headers],0))=1,$F29,0),0)</f>
        <v>0</v>
      </c>
      <c r="AB29" s="64">
        <f>IFERROR(IF(INDEX(Tb_Activiteiten[#All],MATCH(SubsidieTabel!$A29,Tb_Activiteiten[[#All],[Subsidiabele_Activiteit]],0),MATCH(SubsidieTabel!O$1,Tb_Activiteiten[#Headers],0))=1,$G29,0),0)</f>
        <v>0</v>
      </c>
      <c r="AD29" s="12" t="str">
        <f t="shared" si="5"/>
        <v>Arbeidskosten op basis van IKS</v>
      </c>
      <c r="AE29" t="str">
        <f t="shared" si="6"/>
        <v/>
      </c>
      <c r="AF29" s="64">
        <f>IF(Tb_DBKosten[[#This Row],[Forfait]]=1,SUMIFS('8. Uitgaven betaalverzoek'!W:W,'8. Uitgaven betaalverzoek'!F:F,Tb_DBKosten[[#This Row],[KostenOmschrijving]],'8. Uitgaven betaalverzoek'!A:A,Tb_DBKosten[[#This Row],[Deelbetaling]]),0)</f>
        <v>0</v>
      </c>
      <c r="AG29" s="64">
        <f>IF(Tb_DBKosten[[#This Row],[Forfait]]=1,SUMIFS('8. Uitgaven betaalverzoek'!X:X,'8. Uitgaven betaalverzoek'!F:F,Tb_DBKosten[[#This Row],[KostenOmschrijving]],'8. Uitgaven betaalverzoek'!A:A,Tb_DBKosten[[#This Row],[Deelbetaling]]),0)</f>
        <v>0</v>
      </c>
      <c r="AH29" cm="1">
        <f t="array" ref="AH29">INDEX(Tb_KostenOptiesDB[],MATCH(Tb_DBKosten[[#This Row],[KostenOmschrijving]],Tb_KostenOptiesDB[KostenOptie],0),IFERROR(MATCH(Methode_Keuze,Tb_KostenOptiesDB[#Headers],0),2))</f>
        <v>1</v>
      </c>
      <c r="AI29" s="65">
        <v>0</v>
      </c>
      <c r="AJ29" s="64">
        <f>IF(Tb_DBKosten[[#This Row],[Forfait]]=1,SUMIFS('8. Uitgaven betaalverzoek'!Z:Z,'8. Uitgaven betaalverzoek'!F:F,Tb_DBKosten[[#This Row],[KostenOmschrijving]],'8. Uitgaven betaalverzoek'!A:A,Tb_DBKosten[[#This Row],[Deelbetaling]]),0)</f>
        <v>0</v>
      </c>
      <c r="AK29" s="64">
        <f>IF(Tb_DBKosten[[#This Row],[Forfait]]=1,SUMIFS('8. Uitgaven betaalverzoek'!AA:AA,'8. Uitgaven betaalverzoek'!F:F,Tb_DBKosten[[#This Row],[KostenOmschrijving]],'8. Uitgaven betaalverzoek'!A:A,Tb_DBKosten[[#This Row],[Deelbetaling]]),0)</f>
        <v>0</v>
      </c>
      <c r="AL29" s="64">
        <f>Tb_DBKosten[[#This Row],[Deelbetaling_Aanvraag]]+Tb_DBKosten[[#This Row],[Forfait_Bedrag]]</f>
        <v>0</v>
      </c>
      <c r="AM29" s="64">
        <f>Tb_DBKosten[[#This Row],[Deelbetaling_Beoordeeld]]+Tb_DBKosten[[#This Row],[Forfait_Bedrag_Beoordeeld]]</f>
        <v>0</v>
      </c>
      <c r="AN29" t="str">
        <f>IF(Tb_DBKosten[[#This Row],[Forfait]]=0,"Dit kostentype hoeft u niet op te geven. Hiervoor wordt een forfait berekend.","")</f>
        <v/>
      </c>
    </row>
    <row r="30" spans="1:40" x14ac:dyDescent="0.25">
      <c r="A30" s="63"/>
      <c r="B30" s="63"/>
      <c r="C30" s="63" t="str">
        <f>IFERROR(VLOOKUP($B30,Tb_ProjectKosten[],4,0),"")</f>
        <v/>
      </c>
      <c r="D30" s="63" t="str" cm="1">
        <f t="array" ref="D30">IFERROR(INDEX(Tb_KostenOpties[],MATCH(B30,Tb_KostenOpties[KostenOptie],0),IFERROR(MATCH(Methode_Keuze,Tb_KostenOpties[#Headers],0),2)),"")</f>
        <v/>
      </c>
      <c r="E30" s="283">
        <f>IFERROR(VLOOKUP(B30,Tb_ProjectKosten[[#All],[KostenOmschrijving]:[Forfait_Percentage]],6,0),0)</f>
        <v>0</v>
      </c>
      <c r="F30" s="284">
        <f>SUMIFS('5. Kosten uitvoering project'!R:R,'5. Kosten uitvoering project'!E:E,SubsidieTabel!A30,'5. Kosten uitvoering project'!F:F,SubsidieTabel!B30)</f>
        <v>0</v>
      </c>
      <c r="G30" s="284">
        <f>SUMIFS('5. Kosten uitvoering project'!S:S,'5. Kosten uitvoering project'!E:E,SubsidieTabel!A30,'5. Kosten uitvoering project'!F:F,SubsidieTabel!B30)</f>
        <v>0</v>
      </c>
      <c r="H30" s="284">
        <f>SUMIFS('5. Kosten uitvoering project'!U:U,'5. Kosten uitvoering project'!E:E,SubsidieTabel!A30,'5. Kosten uitvoering project'!F:F,SubsidieTabel!B30)</f>
        <v>0</v>
      </c>
      <c r="I30" s="284">
        <f>SUMIFS('5. Kosten uitvoering project'!V:V,'5. Kosten uitvoering project'!E:E,SubsidieTabel!A30,'5. Kosten uitvoering project'!F:F,SubsidieTabel!B30)</f>
        <v>0</v>
      </c>
      <c r="J30" s="284">
        <f t="shared" si="0"/>
        <v>0</v>
      </c>
      <c r="K30" s="284">
        <f t="shared" si="1"/>
        <v>0</v>
      </c>
      <c r="L30" s="283" t="str">
        <f>IFERROR(VLOOKUP(A30,Lijsten!$AK:$AL,2,0),"")</f>
        <v/>
      </c>
      <c r="M30" s="284">
        <f t="shared" si="2"/>
        <v>0</v>
      </c>
      <c r="N30" s="284">
        <f t="shared" si="3"/>
        <v>0</v>
      </c>
      <c r="O30" s="284">
        <f>IFERROR(IF(INDEX(Tb_Activiteiten[#All],MATCH(SubsidieTabel!$A30,Tb_Activiteiten[[#All],[Subsidiabele_Activiteit]],0),MATCH(SubsidieTabel!O$1,Tb_Activiteiten[#Headers],0))=1,SubsidieTabel!$J30,0),0)</f>
        <v>0</v>
      </c>
      <c r="P30" s="284">
        <f>IFERROR(IF(INDEX(Tb_Activiteiten[#All],MATCH(SubsidieTabel!$A30,Tb_Activiteiten[[#All],[Subsidiabele_Activiteit]],0),MATCH(SubsidieTabel!P$1,Tb_Activiteiten[#Headers],0))=1,SubsidieTabel!$K30,0),0)</f>
        <v>0</v>
      </c>
      <c r="Q30" s="284">
        <f>IFERROR(IF(INDEX(Tb_Activiteiten[#All],MATCH(SubsidieTabel!$A30,Tb_Activiteiten[[#All],[Subsidiabele_Activiteit]],0),MATCH(SubsidieTabel!Q$1,Tb_Activiteiten[#Headers],0))=1,SubsidieTabel!$J30,0),0)</f>
        <v>0</v>
      </c>
      <c r="R30" s="284">
        <f>IFERROR(IF(INDEX(Tb_Activiteiten[#All],MATCH(SubsidieTabel!$A30,Tb_Activiteiten[[#All],[Subsidiabele_Activiteit]],0),MATCH(SubsidieTabel!R$1,Tb_Activiteiten[#Headers],0))=1,SubsidieTabel!$K30,0),0)</f>
        <v>0</v>
      </c>
      <c r="S30" s="284">
        <f>IFERROR(IF(INDEX(Tb_Activiteiten[#All],MATCH(SubsidieTabel!$A30,Tb_Activiteiten[[#All],[Subsidiabele_Activiteit]],0),MATCH(SubsidieTabel!S$1,Tb_Activiteiten[#Headers],0))=1,SubsidieTabel!$J30,0),0)</f>
        <v>0</v>
      </c>
      <c r="T30" s="284">
        <f>IFERROR(IF(INDEX(Tb_Activiteiten[#All],MATCH(SubsidieTabel!$A30,Tb_Activiteiten[[#All],[Subsidiabele_Activiteit]],0),MATCH(SubsidieTabel!T$1,Tb_Activiteiten[#Headers],0))=1,SubsidieTabel!$K30,0),0)</f>
        <v>0</v>
      </c>
      <c r="U30" s="284">
        <f>IFERROR(IF(INDEX(Tb_Activiteiten[#All],MATCH(SubsidieTabel!$A30,Tb_Activiteiten[[#All],[Subsidiabele_Activiteit]],0),MATCH(SubsidieTabel!U$1,Tb_Activiteiten[#Headers],0))=1,SubsidieTabel!$J30,0),0)</f>
        <v>0</v>
      </c>
      <c r="V30" s="284">
        <f>IFERROR(IF(INDEX(Tb_Activiteiten[#All],MATCH(SubsidieTabel!$A30,Tb_Activiteiten[[#All],[Subsidiabele_Activiteit]],0),MATCH(SubsidieTabel!V$1,Tb_Activiteiten[#Headers],0))=1,SubsidieTabel!$K30,0),0)</f>
        <v>0</v>
      </c>
      <c r="W30" s="369">
        <f>IFERROR(IF(INDEX(Tb_Activiteiten[#All],MATCH(SubsidieTabel!$A30,Tb_Activiteiten[[#All],[Subsidiabele_Activiteit]],0),MATCH(SubsidieTabel!Q$1,Tb_Activiteiten[#Headers],0))=1,H30,0),0)</f>
        <v>0</v>
      </c>
      <c r="X30" s="369">
        <f>IFERROR(IF(INDEX(Tb_Activiteiten[#All],MATCH(SubsidieTabel!$A30,Tb_Activiteiten[[#All],[Subsidiabele_Activiteit]],0),MATCH(SubsidieTabel!Q$1,Tb_Activiteiten[#Headers],0))=1,I30,0),0)</f>
        <v>0</v>
      </c>
      <c r="Y30" s="369">
        <f>IFERROR(IF(INDEX(Tb_Activiteiten[#All],MATCH(SubsidieTabel!$A30,Tb_Activiteiten[[#All],[Subsidiabele_Activiteit]],0),MATCH(SubsidieTabel!S$1,Tb_Activiteiten[#Headers],0))=1,H30,0),0)</f>
        <v>0</v>
      </c>
      <c r="Z30" s="369">
        <f>IFERROR(IF(INDEX(Tb_Activiteiten[#All],MATCH(SubsidieTabel!$A30,Tb_Activiteiten[[#All],[Subsidiabele_Activiteit]],0),MATCH(SubsidieTabel!S$1,Tb_Activiteiten[#Headers],0))=1,I30,0),0)</f>
        <v>0</v>
      </c>
      <c r="AA30" s="369">
        <f>IFERROR(IF(INDEX(Tb_Activiteiten[#All],MATCH(SubsidieTabel!$A30,Tb_Activiteiten[[#All],[Subsidiabele_Activiteit]],0),MATCH(SubsidieTabel!O$1,Tb_Activiteiten[#Headers],0))=1,$F30,0),0)</f>
        <v>0</v>
      </c>
      <c r="AB30" s="369">
        <f>IFERROR(IF(INDEX(Tb_Activiteiten[#All],MATCH(SubsidieTabel!$A30,Tb_Activiteiten[[#All],[Subsidiabele_Activiteit]],0),MATCH(SubsidieTabel!O$1,Tb_Activiteiten[#Headers],0))=1,$G30,0),0)</f>
        <v>0</v>
      </c>
      <c r="AD30" s="12" t="str">
        <f t="shared" si="5"/>
        <v>Kosten derden exclusief btw</v>
      </c>
      <c r="AE30" s="68" t="str">
        <f t="shared" si="6"/>
        <v/>
      </c>
      <c r="AF30" s="64">
        <f>IF(Tb_DBKosten[[#This Row],[Forfait]]=1,SUMIFS('8. Uitgaven betaalverzoek'!W:W,'8. Uitgaven betaalverzoek'!F:F,Tb_DBKosten[[#This Row],[KostenOmschrijving]],'8. Uitgaven betaalverzoek'!A:A,Tb_DBKosten[[#This Row],[Deelbetaling]]),0)</f>
        <v>0</v>
      </c>
      <c r="AG30" s="64">
        <f>IF(Tb_DBKosten[[#This Row],[Forfait]]=1,SUMIFS('8. Uitgaven betaalverzoek'!X:X,'8. Uitgaven betaalverzoek'!F:F,Tb_DBKosten[[#This Row],[KostenOmschrijving]],'8. Uitgaven betaalverzoek'!A:A,Tb_DBKosten[[#This Row],[Deelbetaling]]),0)</f>
        <v>0</v>
      </c>
      <c r="AH30" cm="1">
        <f t="array" ref="AH30">INDEX(Tb_KostenOptiesDB[],MATCH(Tb_DBKosten[[#This Row],[KostenOmschrijving]],Tb_KostenOptiesDB[KostenOptie],0),IFERROR(MATCH(Methode_Keuze,Tb_KostenOptiesDB[#Headers],0),2))</f>
        <v>1</v>
      </c>
      <c r="AI30" s="65">
        <v>0.23</v>
      </c>
      <c r="AJ30" s="64">
        <f>IF(Tb_DBKosten[[#This Row],[Forfait]]=1,SUMIFS('8. Uitgaven betaalverzoek'!Z:Z,'8. Uitgaven betaalverzoek'!F:F,Tb_DBKosten[[#This Row],[KostenOmschrijving]],'8. Uitgaven betaalverzoek'!A:A,Tb_DBKosten[[#This Row],[Deelbetaling]]),0)</f>
        <v>0</v>
      </c>
      <c r="AK30" s="64">
        <f>IF(Tb_DBKosten[[#This Row],[Forfait]]=1,SUMIFS('8. Uitgaven betaalverzoek'!AA:AA,'8. Uitgaven betaalverzoek'!F:F,Tb_DBKosten[[#This Row],[KostenOmschrijving]],'8. Uitgaven betaalverzoek'!A:A,Tb_DBKosten[[#This Row],[Deelbetaling]]),0)</f>
        <v>0</v>
      </c>
      <c r="AL30" s="64">
        <f>Tb_DBKosten[[#This Row],[Deelbetaling_Aanvraag]]+Tb_DBKosten[[#This Row],[Forfait_Bedrag]]</f>
        <v>0</v>
      </c>
      <c r="AM30" s="64">
        <f>Tb_DBKosten[[#This Row],[Deelbetaling_Beoordeeld]]+Tb_DBKosten[[#This Row],[Forfait_Bedrag_Beoordeeld]]</f>
        <v>0</v>
      </c>
      <c r="AN30" t="str">
        <f>IF(Tb_DBKosten[[#This Row],[Forfait]]=0,"Dit kostentype hoeft u niet op te geven. Hiervoor wordt een forfait berekend.","")</f>
        <v/>
      </c>
    </row>
    <row r="31" spans="1:40" x14ac:dyDescent="0.25">
      <c r="A31" s="12"/>
      <c r="B31" s="12"/>
      <c r="C31" s="12" t="str">
        <f>IFERROR(VLOOKUP($B31,Tb_ProjectKosten[],4,0),"")</f>
        <v/>
      </c>
      <c r="D31" s="12" t="str" cm="1">
        <f t="array" ref="D31">IFERROR(INDEX(Tb_KostenOpties[],MATCH(B31,Tb_KostenOpties[KostenOptie],0),IFERROR(MATCH(Methode_Keuze,Tb_KostenOpties[#Headers],0),2)),"")</f>
        <v/>
      </c>
      <c r="E31" s="281">
        <f>IFERROR(VLOOKUP(B31,Tb_ProjectKosten[[#All],[KostenOmschrijving]:[Forfait_Percentage]],6,0),0)</f>
        <v>0</v>
      </c>
      <c r="F31" s="282">
        <f>SUMIFS('5. Kosten uitvoering project'!R:R,'5. Kosten uitvoering project'!E:E,SubsidieTabel!A31,'5. Kosten uitvoering project'!F:F,SubsidieTabel!B31)</f>
        <v>0</v>
      </c>
      <c r="G31" s="282">
        <f>SUMIFS('5. Kosten uitvoering project'!S:S,'5. Kosten uitvoering project'!E:E,SubsidieTabel!A31,'5. Kosten uitvoering project'!F:F,SubsidieTabel!B31)</f>
        <v>0</v>
      </c>
      <c r="H31" s="282">
        <f>SUMIFS('5. Kosten uitvoering project'!U:U,'5. Kosten uitvoering project'!E:E,SubsidieTabel!A31,'5. Kosten uitvoering project'!F:F,SubsidieTabel!B31)</f>
        <v>0</v>
      </c>
      <c r="I31" s="282">
        <f>SUMIFS('5. Kosten uitvoering project'!V:V,'5. Kosten uitvoering project'!E:E,SubsidieTabel!A31,'5. Kosten uitvoering project'!F:F,SubsidieTabel!B31)</f>
        <v>0</v>
      </c>
      <c r="J31" s="282">
        <f t="shared" si="0"/>
        <v>0</v>
      </c>
      <c r="K31" s="282">
        <f t="shared" si="1"/>
        <v>0</v>
      </c>
      <c r="L31" s="281" t="str">
        <f>IFERROR(VLOOKUP(A31,Lijsten!$AK:$AL,2,0),"")</f>
        <v/>
      </c>
      <c r="M31" s="282">
        <f t="shared" si="2"/>
        <v>0</v>
      </c>
      <c r="N31" s="282">
        <f t="shared" si="3"/>
        <v>0</v>
      </c>
      <c r="O31" s="282">
        <f>IFERROR(IF(INDEX(Tb_Activiteiten[#All],MATCH(SubsidieTabel!$A31,Tb_Activiteiten[[#All],[Subsidiabele_Activiteit]],0),MATCH(SubsidieTabel!O$1,Tb_Activiteiten[#Headers],0))=1,SubsidieTabel!$J31,0),0)</f>
        <v>0</v>
      </c>
      <c r="P31" s="282">
        <f>IFERROR(IF(INDEX(Tb_Activiteiten[#All],MATCH(SubsidieTabel!$A31,Tb_Activiteiten[[#All],[Subsidiabele_Activiteit]],0),MATCH(SubsidieTabel!P$1,Tb_Activiteiten[#Headers],0))=1,SubsidieTabel!$K31,0),0)</f>
        <v>0</v>
      </c>
      <c r="Q31" s="282">
        <f>IFERROR(IF(INDEX(Tb_Activiteiten[#All],MATCH(SubsidieTabel!$A31,Tb_Activiteiten[[#All],[Subsidiabele_Activiteit]],0),MATCH(SubsidieTabel!Q$1,Tb_Activiteiten[#Headers],0))=1,SubsidieTabel!$J31,0),0)</f>
        <v>0</v>
      </c>
      <c r="R31" s="282">
        <f>IFERROR(IF(INDEX(Tb_Activiteiten[#All],MATCH(SubsidieTabel!$A31,Tb_Activiteiten[[#All],[Subsidiabele_Activiteit]],0),MATCH(SubsidieTabel!R$1,Tb_Activiteiten[#Headers],0))=1,SubsidieTabel!$K31,0),0)</f>
        <v>0</v>
      </c>
      <c r="S31" s="282">
        <f>IFERROR(IF(INDEX(Tb_Activiteiten[#All],MATCH(SubsidieTabel!$A31,Tb_Activiteiten[[#All],[Subsidiabele_Activiteit]],0),MATCH(SubsidieTabel!S$1,Tb_Activiteiten[#Headers],0))=1,SubsidieTabel!$J31,0),0)</f>
        <v>0</v>
      </c>
      <c r="T31" s="282">
        <f>IFERROR(IF(INDEX(Tb_Activiteiten[#All],MATCH(SubsidieTabel!$A31,Tb_Activiteiten[[#All],[Subsidiabele_Activiteit]],0),MATCH(SubsidieTabel!T$1,Tb_Activiteiten[#Headers],0))=1,SubsidieTabel!$K31,0),0)</f>
        <v>0</v>
      </c>
      <c r="U31" s="282">
        <f>IFERROR(IF(INDEX(Tb_Activiteiten[#All],MATCH(SubsidieTabel!$A31,Tb_Activiteiten[[#All],[Subsidiabele_Activiteit]],0),MATCH(SubsidieTabel!U$1,Tb_Activiteiten[#Headers],0))=1,SubsidieTabel!$J31,0),0)</f>
        <v>0</v>
      </c>
      <c r="V31" s="282">
        <f>IFERROR(IF(INDEX(Tb_Activiteiten[#All],MATCH(SubsidieTabel!$A31,Tb_Activiteiten[[#All],[Subsidiabele_Activiteit]],0),MATCH(SubsidieTabel!V$1,Tb_Activiteiten[#Headers],0))=1,SubsidieTabel!$K31,0),0)</f>
        <v>0</v>
      </c>
      <c r="W31" s="64">
        <f>IFERROR(IF(INDEX(Tb_Activiteiten[#All],MATCH(SubsidieTabel!$A31,Tb_Activiteiten[[#All],[Subsidiabele_Activiteit]],0),MATCH(SubsidieTabel!Q$1,Tb_Activiteiten[#Headers],0))=1,H31,0),0)</f>
        <v>0</v>
      </c>
      <c r="X31" s="64">
        <f>IFERROR(IF(INDEX(Tb_Activiteiten[#All],MATCH(SubsidieTabel!$A31,Tb_Activiteiten[[#All],[Subsidiabele_Activiteit]],0),MATCH(SubsidieTabel!Q$1,Tb_Activiteiten[#Headers],0))=1,I31,0),0)</f>
        <v>0</v>
      </c>
      <c r="Y31" s="64">
        <f>IFERROR(IF(INDEX(Tb_Activiteiten[#All],MATCH(SubsidieTabel!$A31,Tb_Activiteiten[[#All],[Subsidiabele_Activiteit]],0),MATCH(SubsidieTabel!S$1,Tb_Activiteiten[#Headers],0))=1,H31,0),0)</f>
        <v>0</v>
      </c>
      <c r="Z31" s="64">
        <f>IFERROR(IF(INDEX(Tb_Activiteiten[#All],MATCH(SubsidieTabel!$A31,Tb_Activiteiten[[#All],[Subsidiabele_Activiteit]],0),MATCH(SubsidieTabel!S$1,Tb_Activiteiten[#Headers],0))=1,I31,0),0)</f>
        <v>0</v>
      </c>
      <c r="AA31" s="64">
        <f>IFERROR(IF(INDEX(Tb_Activiteiten[#All],MATCH(SubsidieTabel!$A31,Tb_Activiteiten[[#All],[Subsidiabele_Activiteit]],0),MATCH(SubsidieTabel!O$1,Tb_Activiteiten[#Headers],0))=1,$F31,0),0)</f>
        <v>0</v>
      </c>
      <c r="AB31" s="64">
        <f>IFERROR(IF(INDEX(Tb_Activiteiten[#All],MATCH(SubsidieTabel!$A31,Tb_Activiteiten[[#All],[Subsidiabele_Activiteit]],0),MATCH(SubsidieTabel!O$1,Tb_Activiteiten[#Headers],0))=1,$G31,0),0)</f>
        <v>0</v>
      </c>
      <c r="AD31" s="12" t="str">
        <f t="shared" si="5"/>
        <v>Niet verrekenbare btw</v>
      </c>
      <c r="AE31" t="str">
        <f t="shared" si="6"/>
        <v/>
      </c>
      <c r="AF31" s="64">
        <f>IF(Tb_DBKosten[[#This Row],[Forfait]]=1,SUMIFS('8. Uitgaven betaalverzoek'!W:W,'8. Uitgaven betaalverzoek'!F:F,Tb_DBKosten[[#This Row],[KostenOmschrijving]],'8. Uitgaven betaalverzoek'!A:A,Tb_DBKosten[[#This Row],[Deelbetaling]]),0)</f>
        <v>0</v>
      </c>
      <c r="AG31" s="64">
        <f>IF(Tb_DBKosten[[#This Row],[Forfait]]=1,SUMIFS('8. Uitgaven betaalverzoek'!X:X,'8. Uitgaven betaalverzoek'!F:F,Tb_DBKosten[[#This Row],[KostenOmschrijving]],'8. Uitgaven betaalverzoek'!A:A,Tb_DBKosten[[#This Row],[Deelbetaling]]),0)</f>
        <v>0</v>
      </c>
      <c r="AH31" cm="1">
        <f t="array" ref="AH31">INDEX(Tb_KostenOptiesDB[],MATCH(Tb_DBKosten[[#This Row],[KostenOmschrijving]],Tb_KostenOptiesDB[KostenOptie],0),IFERROR(MATCH(Methode_Keuze,Tb_KostenOptiesDB[#Headers],0),2))</f>
        <v>1</v>
      </c>
      <c r="AI31" s="65">
        <v>0.23</v>
      </c>
      <c r="AJ31" s="64">
        <f>IF(Tb_DBKosten[[#This Row],[Forfait]]=1,SUMIFS('8. Uitgaven betaalverzoek'!Z:Z,'8. Uitgaven betaalverzoek'!F:F,Tb_DBKosten[[#This Row],[KostenOmschrijving]],'8. Uitgaven betaalverzoek'!A:A,Tb_DBKosten[[#This Row],[Deelbetaling]]),0)</f>
        <v>0</v>
      </c>
      <c r="AK31" s="64">
        <f>IF(Tb_DBKosten[[#This Row],[Forfait]]=1,SUMIFS('8. Uitgaven betaalverzoek'!AA:AA,'8. Uitgaven betaalverzoek'!F:F,Tb_DBKosten[[#This Row],[KostenOmschrijving]],'8. Uitgaven betaalverzoek'!A:A,Tb_DBKosten[[#This Row],[Deelbetaling]]),0)</f>
        <v>0</v>
      </c>
      <c r="AL31" s="64">
        <f>Tb_DBKosten[[#This Row],[Deelbetaling_Aanvraag]]+Tb_DBKosten[[#This Row],[Forfait_Bedrag]]</f>
        <v>0</v>
      </c>
      <c r="AM31" s="64">
        <f>Tb_DBKosten[[#This Row],[Deelbetaling_Beoordeeld]]+Tb_DBKosten[[#This Row],[Forfait_Bedrag_Beoordeeld]]</f>
        <v>0</v>
      </c>
      <c r="AN31" t="str">
        <f>IF(Tb_DBKosten[[#This Row],[Forfait]]=0,"Dit kostentype hoeft u niet op te geven. Hiervoor wordt een forfait berekend.","")</f>
        <v/>
      </c>
    </row>
    <row r="32" spans="1:40" x14ac:dyDescent="0.25">
      <c r="A32" s="63"/>
      <c r="B32" s="63"/>
      <c r="C32" s="63" t="str">
        <f>IFERROR(VLOOKUP($B32,Tb_ProjectKosten[],4,0),"")</f>
        <v/>
      </c>
      <c r="D32" s="63" t="str" cm="1">
        <f t="array" ref="D32">IFERROR(INDEX(Tb_KostenOpties[],MATCH(B32,Tb_KostenOpties[KostenOptie],0),IFERROR(MATCH(Methode_Keuze,Tb_KostenOpties[#Headers],0),2)),"")</f>
        <v/>
      </c>
      <c r="E32" s="283">
        <f>IFERROR(VLOOKUP(B32,Tb_ProjectKosten[[#All],[KostenOmschrijving]:[Forfait_Percentage]],6,0),0)</f>
        <v>0</v>
      </c>
      <c r="F32" s="284">
        <f>SUMIFS('5. Kosten uitvoering project'!R:R,'5. Kosten uitvoering project'!E:E,SubsidieTabel!A32,'5. Kosten uitvoering project'!F:F,SubsidieTabel!B32)</f>
        <v>0</v>
      </c>
      <c r="G32" s="284">
        <f>SUMIFS('5. Kosten uitvoering project'!S:S,'5. Kosten uitvoering project'!E:E,SubsidieTabel!A32,'5. Kosten uitvoering project'!F:F,SubsidieTabel!B32)</f>
        <v>0</v>
      </c>
      <c r="H32" s="284">
        <f>SUMIFS('5. Kosten uitvoering project'!U:U,'5. Kosten uitvoering project'!E:E,SubsidieTabel!A32,'5. Kosten uitvoering project'!F:F,SubsidieTabel!B32)</f>
        <v>0</v>
      </c>
      <c r="I32" s="284">
        <f>SUMIFS('5. Kosten uitvoering project'!V:V,'5. Kosten uitvoering project'!E:E,SubsidieTabel!A32,'5. Kosten uitvoering project'!F:F,SubsidieTabel!B32)</f>
        <v>0</v>
      </c>
      <c r="J32" s="284">
        <f t="shared" si="0"/>
        <v>0</v>
      </c>
      <c r="K32" s="284">
        <f t="shared" si="1"/>
        <v>0</v>
      </c>
      <c r="L32" s="283" t="str">
        <f>IFERROR(VLOOKUP(A32,Lijsten!$AK:$AL,2,0),"")</f>
        <v/>
      </c>
      <c r="M32" s="284">
        <f t="shared" si="2"/>
        <v>0</v>
      </c>
      <c r="N32" s="284">
        <f t="shared" si="3"/>
        <v>0</v>
      </c>
      <c r="O32" s="284">
        <f>IFERROR(IF(INDEX(Tb_Activiteiten[#All],MATCH(SubsidieTabel!$A32,Tb_Activiteiten[[#All],[Subsidiabele_Activiteit]],0),MATCH(SubsidieTabel!O$1,Tb_Activiteiten[#Headers],0))=1,SubsidieTabel!$J32,0),0)</f>
        <v>0</v>
      </c>
      <c r="P32" s="284">
        <f>IFERROR(IF(INDEX(Tb_Activiteiten[#All],MATCH(SubsidieTabel!$A32,Tb_Activiteiten[[#All],[Subsidiabele_Activiteit]],0),MATCH(SubsidieTabel!P$1,Tb_Activiteiten[#Headers],0))=1,SubsidieTabel!$K32,0),0)</f>
        <v>0</v>
      </c>
      <c r="Q32" s="284">
        <f>IFERROR(IF(INDEX(Tb_Activiteiten[#All],MATCH(SubsidieTabel!$A32,Tb_Activiteiten[[#All],[Subsidiabele_Activiteit]],0),MATCH(SubsidieTabel!Q$1,Tb_Activiteiten[#Headers],0))=1,SubsidieTabel!$J32,0),0)</f>
        <v>0</v>
      </c>
      <c r="R32" s="284">
        <f>IFERROR(IF(INDEX(Tb_Activiteiten[#All],MATCH(SubsidieTabel!$A32,Tb_Activiteiten[[#All],[Subsidiabele_Activiteit]],0),MATCH(SubsidieTabel!R$1,Tb_Activiteiten[#Headers],0))=1,SubsidieTabel!$K32,0),0)</f>
        <v>0</v>
      </c>
      <c r="S32" s="284">
        <f>IFERROR(IF(INDEX(Tb_Activiteiten[#All],MATCH(SubsidieTabel!$A32,Tb_Activiteiten[[#All],[Subsidiabele_Activiteit]],0),MATCH(SubsidieTabel!S$1,Tb_Activiteiten[#Headers],0))=1,SubsidieTabel!$J32,0),0)</f>
        <v>0</v>
      </c>
      <c r="T32" s="284">
        <f>IFERROR(IF(INDEX(Tb_Activiteiten[#All],MATCH(SubsidieTabel!$A32,Tb_Activiteiten[[#All],[Subsidiabele_Activiteit]],0),MATCH(SubsidieTabel!T$1,Tb_Activiteiten[#Headers],0))=1,SubsidieTabel!$K32,0),0)</f>
        <v>0</v>
      </c>
      <c r="U32" s="284">
        <f>IFERROR(IF(INDEX(Tb_Activiteiten[#All],MATCH(SubsidieTabel!$A32,Tb_Activiteiten[[#All],[Subsidiabele_Activiteit]],0),MATCH(SubsidieTabel!U$1,Tb_Activiteiten[#Headers],0))=1,SubsidieTabel!$J32,0),0)</f>
        <v>0</v>
      </c>
      <c r="V32" s="284">
        <f>IFERROR(IF(INDEX(Tb_Activiteiten[#All],MATCH(SubsidieTabel!$A32,Tb_Activiteiten[[#All],[Subsidiabele_Activiteit]],0),MATCH(SubsidieTabel!V$1,Tb_Activiteiten[#Headers],0))=1,SubsidieTabel!$K32,0),0)</f>
        <v>0</v>
      </c>
      <c r="W32" s="369">
        <f>IFERROR(IF(INDEX(Tb_Activiteiten[#All],MATCH(SubsidieTabel!$A32,Tb_Activiteiten[[#All],[Subsidiabele_Activiteit]],0),MATCH(SubsidieTabel!Q$1,Tb_Activiteiten[#Headers],0))=1,H32,0),0)</f>
        <v>0</v>
      </c>
      <c r="X32" s="369">
        <f>IFERROR(IF(INDEX(Tb_Activiteiten[#All],MATCH(SubsidieTabel!$A32,Tb_Activiteiten[[#All],[Subsidiabele_Activiteit]],0),MATCH(SubsidieTabel!Q$1,Tb_Activiteiten[#Headers],0))=1,I32,0),0)</f>
        <v>0</v>
      </c>
      <c r="Y32" s="369">
        <f>IFERROR(IF(INDEX(Tb_Activiteiten[#All],MATCH(SubsidieTabel!$A32,Tb_Activiteiten[[#All],[Subsidiabele_Activiteit]],0),MATCH(SubsidieTabel!S$1,Tb_Activiteiten[#Headers],0))=1,H32,0),0)</f>
        <v>0</v>
      </c>
      <c r="Z32" s="369">
        <f>IFERROR(IF(INDEX(Tb_Activiteiten[#All],MATCH(SubsidieTabel!$A32,Tb_Activiteiten[[#All],[Subsidiabele_Activiteit]],0),MATCH(SubsidieTabel!S$1,Tb_Activiteiten[#Headers],0))=1,I32,0),0)</f>
        <v>0</v>
      </c>
      <c r="AA32" s="369">
        <f>IFERROR(IF(INDEX(Tb_Activiteiten[#All],MATCH(SubsidieTabel!$A32,Tb_Activiteiten[[#All],[Subsidiabele_Activiteit]],0),MATCH(SubsidieTabel!O$1,Tb_Activiteiten[#Headers],0))=1,$F32,0),0)</f>
        <v>0</v>
      </c>
      <c r="AB32" s="369">
        <f>IFERROR(IF(INDEX(Tb_Activiteiten[#All],MATCH(SubsidieTabel!$A32,Tb_Activiteiten[[#All],[Subsidiabele_Activiteit]],0),MATCH(SubsidieTabel!O$1,Tb_Activiteiten[#Headers],0))=1,$G32,0),0)</f>
        <v>0</v>
      </c>
      <c r="AD32" s="12" t="str">
        <f t="shared" si="5"/>
        <v>Grondkosten</v>
      </c>
      <c r="AE32" s="68" t="str">
        <f t="shared" si="6"/>
        <v/>
      </c>
      <c r="AF32" s="64">
        <f>IF(Tb_DBKosten[[#This Row],[Forfait]]=1,SUMIFS('8. Uitgaven betaalverzoek'!W:W,'8. Uitgaven betaalverzoek'!F:F,Tb_DBKosten[[#This Row],[KostenOmschrijving]],'8. Uitgaven betaalverzoek'!A:A,Tb_DBKosten[[#This Row],[Deelbetaling]]),0)</f>
        <v>0</v>
      </c>
      <c r="AG32" s="64">
        <f>IF(Tb_DBKosten[[#This Row],[Forfait]]=1,SUMIFS('8. Uitgaven betaalverzoek'!X:X,'8. Uitgaven betaalverzoek'!F:F,Tb_DBKosten[[#This Row],[KostenOmschrijving]],'8. Uitgaven betaalverzoek'!A:A,Tb_DBKosten[[#This Row],[Deelbetaling]]),0)</f>
        <v>0</v>
      </c>
      <c r="AH32" cm="1">
        <f t="array" ref="AH32">INDEX(Tb_KostenOptiesDB[],MATCH(Tb_DBKosten[[#This Row],[KostenOmschrijving]],Tb_KostenOptiesDB[KostenOptie],0),IFERROR(MATCH(Methode_Keuze,Tb_KostenOptiesDB[#Headers],0),2))</f>
        <v>1</v>
      </c>
      <c r="AI32" s="65">
        <v>0.23</v>
      </c>
      <c r="AJ32" s="64">
        <f>IF(Tb_DBKosten[[#This Row],[Forfait]]=1,SUMIFS('8. Uitgaven betaalverzoek'!Z:Z,'8. Uitgaven betaalverzoek'!F:F,Tb_DBKosten[[#This Row],[KostenOmschrijving]],'8. Uitgaven betaalverzoek'!A:A,Tb_DBKosten[[#This Row],[Deelbetaling]]),0)</f>
        <v>0</v>
      </c>
      <c r="AK32" s="64">
        <f>IF(Tb_DBKosten[[#This Row],[Forfait]]=1,SUMIFS('8. Uitgaven betaalverzoek'!AA:AA,'8. Uitgaven betaalverzoek'!F:F,Tb_DBKosten[[#This Row],[KostenOmschrijving]],'8. Uitgaven betaalverzoek'!A:A,Tb_DBKosten[[#This Row],[Deelbetaling]]),0)</f>
        <v>0</v>
      </c>
      <c r="AL32" s="64">
        <f>Tb_DBKosten[[#This Row],[Deelbetaling_Aanvraag]]+Tb_DBKosten[[#This Row],[Forfait_Bedrag]]</f>
        <v>0</v>
      </c>
      <c r="AM32" s="64">
        <f>Tb_DBKosten[[#This Row],[Deelbetaling_Beoordeeld]]+Tb_DBKosten[[#This Row],[Forfait_Bedrag_Beoordeeld]]</f>
        <v>0</v>
      </c>
      <c r="AN32" t="str">
        <f>IF(Tb_DBKosten[[#This Row],[Forfait]]=0,"Dit kostentype hoeft u niet op te geven. Hiervoor wordt een forfait berekend.","")</f>
        <v/>
      </c>
    </row>
    <row r="33" spans="1:40" x14ac:dyDescent="0.25">
      <c r="A33" s="12"/>
      <c r="B33" s="12"/>
      <c r="C33" s="12" t="str">
        <f>IFERROR(VLOOKUP($B33,Tb_ProjectKosten[],4,0),"")</f>
        <v/>
      </c>
      <c r="D33" s="12" t="str" cm="1">
        <f t="array" ref="D33">IFERROR(INDEX(Tb_KostenOpties[],MATCH(B33,Tb_KostenOpties[KostenOptie],0),IFERROR(MATCH(Methode_Keuze,Tb_KostenOpties[#Headers],0),2)),"")</f>
        <v/>
      </c>
      <c r="E33" s="281">
        <f>IFERROR(VLOOKUP(B33,Tb_ProjectKosten[[#All],[KostenOmschrijving]:[Forfait_Percentage]],6,0),0)</f>
        <v>0</v>
      </c>
      <c r="F33" s="282">
        <f>SUMIFS('5. Kosten uitvoering project'!R:R,'5. Kosten uitvoering project'!E:E,SubsidieTabel!A33,'5. Kosten uitvoering project'!F:F,SubsidieTabel!B33)</f>
        <v>0</v>
      </c>
      <c r="G33" s="282">
        <f>SUMIFS('5. Kosten uitvoering project'!S:S,'5. Kosten uitvoering project'!E:E,SubsidieTabel!A33,'5. Kosten uitvoering project'!F:F,SubsidieTabel!B33)</f>
        <v>0</v>
      </c>
      <c r="H33" s="282">
        <f>SUMIFS('5. Kosten uitvoering project'!U:U,'5. Kosten uitvoering project'!E:E,SubsidieTabel!A33,'5. Kosten uitvoering project'!F:F,SubsidieTabel!B33)</f>
        <v>0</v>
      </c>
      <c r="I33" s="282">
        <f>SUMIFS('5. Kosten uitvoering project'!V:V,'5. Kosten uitvoering project'!E:E,SubsidieTabel!A33,'5. Kosten uitvoering project'!F:F,SubsidieTabel!B33)</f>
        <v>0</v>
      </c>
      <c r="J33" s="282">
        <f t="shared" si="0"/>
        <v>0</v>
      </c>
      <c r="K33" s="282">
        <f t="shared" si="1"/>
        <v>0</v>
      </c>
      <c r="L33" s="281" t="str">
        <f>IFERROR(VLOOKUP(A33,Lijsten!$AK:$AL,2,0),"")</f>
        <v/>
      </c>
      <c r="M33" s="282">
        <f t="shared" si="2"/>
        <v>0</v>
      </c>
      <c r="N33" s="282">
        <f t="shared" si="3"/>
        <v>0</v>
      </c>
      <c r="O33" s="282">
        <f>IFERROR(IF(INDEX(Tb_Activiteiten[#All],MATCH(SubsidieTabel!$A33,Tb_Activiteiten[[#All],[Subsidiabele_Activiteit]],0),MATCH(SubsidieTabel!O$1,Tb_Activiteiten[#Headers],0))=1,SubsidieTabel!$J33,0),0)</f>
        <v>0</v>
      </c>
      <c r="P33" s="282">
        <f>IFERROR(IF(INDEX(Tb_Activiteiten[#All],MATCH(SubsidieTabel!$A33,Tb_Activiteiten[[#All],[Subsidiabele_Activiteit]],0),MATCH(SubsidieTabel!P$1,Tb_Activiteiten[#Headers],0))=1,SubsidieTabel!$K33,0),0)</f>
        <v>0</v>
      </c>
      <c r="Q33" s="282">
        <f>IFERROR(IF(INDEX(Tb_Activiteiten[#All],MATCH(SubsidieTabel!$A33,Tb_Activiteiten[[#All],[Subsidiabele_Activiteit]],0),MATCH(SubsidieTabel!Q$1,Tb_Activiteiten[#Headers],0))=1,SubsidieTabel!$J33,0),0)</f>
        <v>0</v>
      </c>
      <c r="R33" s="282">
        <f>IFERROR(IF(INDEX(Tb_Activiteiten[#All],MATCH(SubsidieTabel!$A33,Tb_Activiteiten[[#All],[Subsidiabele_Activiteit]],0),MATCH(SubsidieTabel!R$1,Tb_Activiteiten[#Headers],0))=1,SubsidieTabel!$K33,0),0)</f>
        <v>0</v>
      </c>
      <c r="S33" s="282">
        <f>IFERROR(IF(INDEX(Tb_Activiteiten[#All],MATCH(SubsidieTabel!$A33,Tb_Activiteiten[[#All],[Subsidiabele_Activiteit]],0),MATCH(SubsidieTabel!S$1,Tb_Activiteiten[#Headers],0))=1,SubsidieTabel!$J33,0),0)</f>
        <v>0</v>
      </c>
      <c r="T33" s="282">
        <f>IFERROR(IF(INDEX(Tb_Activiteiten[#All],MATCH(SubsidieTabel!$A33,Tb_Activiteiten[[#All],[Subsidiabele_Activiteit]],0),MATCH(SubsidieTabel!T$1,Tb_Activiteiten[#Headers],0))=1,SubsidieTabel!$K33,0),0)</f>
        <v>0</v>
      </c>
      <c r="U33" s="282">
        <f>IFERROR(IF(INDEX(Tb_Activiteiten[#All],MATCH(SubsidieTabel!$A33,Tb_Activiteiten[[#All],[Subsidiabele_Activiteit]],0),MATCH(SubsidieTabel!U$1,Tb_Activiteiten[#Headers],0))=1,SubsidieTabel!$J33,0),0)</f>
        <v>0</v>
      </c>
      <c r="V33" s="282">
        <f>IFERROR(IF(INDEX(Tb_Activiteiten[#All],MATCH(SubsidieTabel!$A33,Tb_Activiteiten[[#All],[Subsidiabele_Activiteit]],0),MATCH(SubsidieTabel!V$1,Tb_Activiteiten[#Headers],0))=1,SubsidieTabel!$K33,0),0)</f>
        <v>0</v>
      </c>
      <c r="W33" s="64">
        <f>IFERROR(IF(INDEX(Tb_Activiteiten[#All],MATCH(SubsidieTabel!$A33,Tb_Activiteiten[[#All],[Subsidiabele_Activiteit]],0),MATCH(SubsidieTabel!Q$1,Tb_Activiteiten[#Headers],0))=1,H33,0),0)</f>
        <v>0</v>
      </c>
      <c r="X33" s="64">
        <f>IFERROR(IF(INDEX(Tb_Activiteiten[#All],MATCH(SubsidieTabel!$A33,Tb_Activiteiten[[#All],[Subsidiabele_Activiteit]],0),MATCH(SubsidieTabel!Q$1,Tb_Activiteiten[#Headers],0))=1,I33,0),0)</f>
        <v>0</v>
      </c>
      <c r="Y33" s="64">
        <f>IFERROR(IF(INDEX(Tb_Activiteiten[#All],MATCH(SubsidieTabel!$A33,Tb_Activiteiten[[#All],[Subsidiabele_Activiteit]],0),MATCH(SubsidieTabel!S$1,Tb_Activiteiten[#Headers],0))=1,H33,0),0)</f>
        <v>0</v>
      </c>
      <c r="Z33" s="64">
        <f>IFERROR(IF(INDEX(Tb_Activiteiten[#All],MATCH(SubsidieTabel!$A33,Tb_Activiteiten[[#All],[Subsidiabele_Activiteit]],0),MATCH(SubsidieTabel!S$1,Tb_Activiteiten[#Headers],0))=1,I33,0),0)</f>
        <v>0</v>
      </c>
      <c r="AA33" s="64">
        <f>IFERROR(IF(INDEX(Tb_Activiteiten[#All],MATCH(SubsidieTabel!$A33,Tb_Activiteiten[[#All],[Subsidiabele_Activiteit]],0),MATCH(SubsidieTabel!O$1,Tb_Activiteiten[#Headers],0))=1,$F33,0),0)</f>
        <v>0</v>
      </c>
      <c r="AB33" s="64">
        <f>IFERROR(IF(INDEX(Tb_Activiteiten[#All],MATCH(SubsidieTabel!$A33,Tb_Activiteiten[[#All],[Subsidiabele_Activiteit]],0),MATCH(SubsidieTabel!O$1,Tb_Activiteiten[#Headers],0))=1,$G33,0),0)</f>
        <v>0</v>
      </c>
      <c r="AD33" s="12" t="str">
        <f t="shared" si="5"/>
        <v>Bijdrage in natura (overige)</v>
      </c>
      <c r="AE33" t="str">
        <f t="shared" si="6"/>
        <v/>
      </c>
      <c r="AF33" s="64">
        <f>IF(Tb_DBKosten[[#This Row],[Forfait]]=1,SUMIFS('8. Uitgaven betaalverzoek'!W:W,'8. Uitgaven betaalverzoek'!F:F,Tb_DBKosten[[#This Row],[KostenOmschrijving]],'8. Uitgaven betaalverzoek'!A:A,Tb_DBKosten[[#This Row],[Deelbetaling]]),0)</f>
        <v>0</v>
      </c>
      <c r="AG33" s="64">
        <f>IF(Tb_DBKosten[[#This Row],[Forfait]]=1,SUMIFS('8. Uitgaven betaalverzoek'!X:X,'8. Uitgaven betaalverzoek'!F:F,Tb_DBKosten[[#This Row],[KostenOmschrijving]],'8. Uitgaven betaalverzoek'!A:A,Tb_DBKosten[[#This Row],[Deelbetaling]]),0)</f>
        <v>0</v>
      </c>
      <c r="AH33" cm="1">
        <f t="array" ref="AH33">INDEX(Tb_KostenOptiesDB[],MATCH(Tb_DBKosten[[#This Row],[KostenOmschrijving]],Tb_KostenOptiesDB[KostenOptie],0),IFERROR(MATCH(Methode_Keuze,Tb_KostenOptiesDB[#Headers],0),2))</f>
        <v>1</v>
      </c>
      <c r="AI33" s="65">
        <v>0.23</v>
      </c>
      <c r="AJ33" s="64">
        <f>IF(Tb_DBKosten[[#This Row],[Forfait]]=1,SUMIFS('8. Uitgaven betaalverzoek'!Z:Z,'8. Uitgaven betaalverzoek'!F:F,Tb_DBKosten[[#This Row],[KostenOmschrijving]],'8. Uitgaven betaalverzoek'!A:A,Tb_DBKosten[[#This Row],[Deelbetaling]]),0)</f>
        <v>0</v>
      </c>
      <c r="AK33" s="64">
        <f>IF(Tb_DBKosten[[#This Row],[Forfait]]=1,SUMIFS('8. Uitgaven betaalverzoek'!AA:AA,'8. Uitgaven betaalverzoek'!F:F,Tb_DBKosten[[#This Row],[KostenOmschrijving]],'8. Uitgaven betaalverzoek'!A:A,Tb_DBKosten[[#This Row],[Deelbetaling]]),0)</f>
        <v>0</v>
      </c>
      <c r="AL33" s="64">
        <f>Tb_DBKosten[[#This Row],[Deelbetaling_Aanvraag]]+Tb_DBKosten[[#This Row],[Forfait_Bedrag]]</f>
        <v>0</v>
      </c>
      <c r="AM33" s="64">
        <f>Tb_DBKosten[[#This Row],[Deelbetaling_Beoordeeld]]+Tb_DBKosten[[#This Row],[Forfait_Bedrag_Beoordeeld]]</f>
        <v>0</v>
      </c>
      <c r="AN33" t="str">
        <f>IF(Tb_DBKosten[[#This Row],[Forfait]]=0,"Dit kostentype hoeft u niet op te geven. Hiervoor wordt een forfait berekend.","")</f>
        <v/>
      </c>
    </row>
    <row r="34" spans="1:40" x14ac:dyDescent="0.25">
      <c r="A34" s="63"/>
      <c r="B34" s="63"/>
      <c r="C34" s="63" t="str">
        <f>IFERROR(VLOOKUP($B34,Tb_ProjectKosten[],4,0),"")</f>
        <v/>
      </c>
      <c r="D34" s="63" t="str" cm="1">
        <f t="array" ref="D34">IFERROR(INDEX(Tb_KostenOpties[],MATCH(B34,Tb_KostenOpties[KostenOptie],0),IFERROR(MATCH(Methode_Keuze,Tb_KostenOpties[#Headers],0),2)),"")</f>
        <v/>
      </c>
      <c r="E34" s="283">
        <f>IFERROR(VLOOKUP(B34,Tb_ProjectKosten[[#All],[KostenOmschrijving]:[Forfait_Percentage]],6,0),0)</f>
        <v>0</v>
      </c>
      <c r="F34" s="284">
        <f>SUMIFS('5. Kosten uitvoering project'!R:R,'5. Kosten uitvoering project'!E:E,SubsidieTabel!A34,'5. Kosten uitvoering project'!F:F,SubsidieTabel!B34)</f>
        <v>0</v>
      </c>
      <c r="G34" s="284">
        <f>SUMIFS('5. Kosten uitvoering project'!S:S,'5. Kosten uitvoering project'!E:E,SubsidieTabel!A34,'5. Kosten uitvoering project'!F:F,SubsidieTabel!B34)</f>
        <v>0</v>
      </c>
      <c r="H34" s="284">
        <f>SUMIFS('5. Kosten uitvoering project'!U:U,'5. Kosten uitvoering project'!E:E,SubsidieTabel!A34,'5. Kosten uitvoering project'!F:F,SubsidieTabel!B34)</f>
        <v>0</v>
      </c>
      <c r="I34" s="284">
        <f>SUMIFS('5. Kosten uitvoering project'!V:V,'5. Kosten uitvoering project'!E:E,SubsidieTabel!A34,'5. Kosten uitvoering project'!F:F,SubsidieTabel!B34)</f>
        <v>0</v>
      </c>
      <c r="J34" s="284">
        <f t="shared" si="0"/>
        <v>0</v>
      </c>
      <c r="K34" s="284">
        <f t="shared" si="1"/>
        <v>0</v>
      </c>
      <c r="L34" s="283" t="str">
        <f>IFERROR(VLOOKUP(A34,Lijsten!$AK:$AL,2,0),"")</f>
        <v/>
      </c>
      <c r="M34" s="284">
        <f t="shared" si="2"/>
        <v>0</v>
      </c>
      <c r="N34" s="284">
        <f t="shared" si="3"/>
        <v>0</v>
      </c>
      <c r="O34" s="284">
        <f>IFERROR(IF(INDEX(Tb_Activiteiten[#All],MATCH(SubsidieTabel!$A34,Tb_Activiteiten[[#All],[Subsidiabele_Activiteit]],0),MATCH(SubsidieTabel!O$1,Tb_Activiteiten[#Headers],0))=1,SubsidieTabel!$J34,0),0)</f>
        <v>0</v>
      </c>
      <c r="P34" s="284">
        <f>IFERROR(IF(INDEX(Tb_Activiteiten[#All],MATCH(SubsidieTabel!$A34,Tb_Activiteiten[[#All],[Subsidiabele_Activiteit]],0),MATCH(SubsidieTabel!P$1,Tb_Activiteiten[#Headers],0))=1,SubsidieTabel!$K34,0),0)</f>
        <v>0</v>
      </c>
      <c r="Q34" s="284">
        <f>IFERROR(IF(INDEX(Tb_Activiteiten[#All],MATCH(SubsidieTabel!$A34,Tb_Activiteiten[[#All],[Subsidiabele_Activiteit]],0),MATCH(SubsidieTabel!Q$1,Tb_Activiteiten[#Headers],0))=1,SubsidieTabel!$J34,0),0)</f>
        <v>0</v>
      </c>
      <c r="R34" s="284">
        <f>IFERROR(IF(INDEX(Tb_Activiteiten[#All],MATCH(SubsidieTabel!$A34,Tb_Activiteiten[[#All],[Subsidiabele_Activiteit]],0),MATCH(SubsidieTabel!R$1,Tb_Activiteiten[#Headers],0))=1,SubsidieTabel!$K34,0),0)</f>
        <v>0</v>
      </c>
      <c r="S34" s="284">
        <f>IFERROR(IF(INDEX(Tb_Activiteiten[#All],MATCH(SubsidieTabel!$A34,Tb_Activiteiten[[#All],[Subsidiabele_Activiteit]],0),MATCH(SubsidieTabel!S$1,Tb_Activiteiten[#Headers],0))=1,SubsidieTabel!$J34,0),0)</f>
        <v>0</v>
      </c>
      <c r="T34" s="284">
        <f>IFERROR(IF(INDEX(Tb_Activiteiten[#All],MATCH(SubsidieTabel!$A34,Tb_Activiteiten[[#All],[Subsidiabele_Activiteit]],0),MATCH(SubsidieTabel!T$1,Tb_Activiteiten[#Headers],0))=1,SubsidieTabel!$K34,0),0)</f>
        <v>0</v>
      </c>
      <c r="U34" s="284">
        <f>IFERROR(IF(INDEX(Tb_Activiteiten[#All],MATCH(SubsidieTabel!$A34,Tb_Activiteiten[[#All],[Subsidiabele_Activiteit]],0),MATCH(SubsidieTabel!U$1,Tb_Activiteiten[#Headers],0))=1,SubsidieTabel!$J34,0),0)</f>
        <v>0</v>
      </c>
      <c r="V34" s="284">
        <f>IFERROR(IF(INDEX(Tb_Activiteiten[#All],MATCH(SubsidieTabel!$A34,Tb_Activiteiten[[#All],[Subsidiabele_Activiteit]],0),MATCH(SubsidieTabel!V$1,Tb_Activiteiten[#Headers],0))=1,SubsidieTabel!$K34,0),0)</f>
        <v>0</v>
      </c>
      <c r="W34" s="369">
        <f>IFERROR(IF(INDEX(Tb_Activiteiten[#All],MATCH(SubsidieTabel!$A34,Tb_Activiteiten[[#All],[Subsidiabele_Activiteit]],0),MATCH(SubsidieTabel!Q$1,Tb_Activiteiten[#Headers],0))=1,H34,0),0)</f>
        <v>0</v>
      </c>
      <c r="X34" s="369">
        <f>IFERROR(IF(INDEX(Tb_Activiteiten[#All],MATCH(SubsidieTabel!$A34,Tb_Activiteiten[[#All],[Subsidiabele_Activiteit]],0),MATCH(SubsidieTabel!Q$1,Tb_Activiteiten[#Headers],0))=1,I34,0),0)</f>
        <v>0</v>
      </c>
      <c r="Y34" s="369">
        <f>IFERROR(IF(INDEX(Tb_Activiteiten[#All],MATCH(SubsidieTabel!$A34,Tb_Activiteiten[[#All],[Subsidiabele_Activiteit]],0),MATCH(SubsidieTabel!S$1,Tb_Activiteiten[#Headers],0))=1,H34,0),0)</f>
        <v>0</v>
      </c>
      <c r="Z34" s="369">
        <f>IFERROR(IF(INDEX(Tb_Activiteiten[#All],MATCH(SubsidieTabel!$A34,Tb_Activiteiten[[#All],[Subsidiabele_Activiteit]],0),MATCH(SubsidieTabel!S$1,Tb_Activiteiten[#Headers],0))=1,I34,0),0)</f>
        <v>0</v>
      </c>
      <c r="AA34" s="369">
        <f>IFERROR(IF(INDEX(Tb_Activiteiten[#All],MATCH(SubsidieTabel!$A34,Tb_Activiteiten[[#All],[Subsidiabele_Activiteit]],0),MATCH(SubsidieTabel!O$1,Tb_Activiteiten[#Headers],0))=1,$F34,0),0)</f>
        <v>0</v>
      </c>
      <c r="AB34" s="369">
        <f>IFERROR(IF(INDEX(Tb_Activiteiten[#All],MATCH(SubsidieTabel!$A34,Tb_Activiteiten[[#All],[Subsidiabele_Activiteit]],0),MATCH(SubsidieTabel!O$1,Tb_Activiteiten[#Headers],0))=1,$G34,0),0)</f>
        <v>0</v>
      </c>
      <c r="AD34" s="12" t="str">
        <f t="shared" si="5"/>
        <v>Bijdrage in natura (vrijwilligers)</v>
      </c>
      <c r="AE34" s="68" t="str">
        <f t="shared" si="6"/>
        <v/>
      </c>
      <c r="AF34" s="64">
        <f>IF(Tb_DBKosten[[#This Row],[Forfait]]=1,SUMIFS('8. Uitgaven betaalverzoek'!W:W,'8. Uitgaven betaalverzoek'!F:F,Tb_DBKosten[[#This Row],[KostenOmschrijving]],'8. Uitgaven betaalverzoek'!A:A,Tb_DBKosten[[#This Row],[Deelbetaling]]),0)</f>
        <v>0</v>
      </c>
      <c r="AG34" s="64">
        <f>IF(Tb_DBKosten[[#This Row],[Forfait]]=1,SUMIFS('8. Uitgaven betaalverzoek'!X:X,'8. Uitgaven betaalverzoek'!F:F,Tb_DBKosten[[#This Row],[KostenOmschrijving]],'8. Uitgaven betaalverzoek'!A:A,Tb_DBKosten[[#This Row],[Deelbetaling]]),0)</f>
        <v>0</v>
      </c>
      <c r="AH34" cm="1">
        <f t="array" ref="AH34">INDEX(Tb_KostenOptiesDB[],MATCH(Tb_DBKosten[[#This Row],[KostenOmschrijving]],Tb_KostenOptiesDB[KostenOptie],0),IFERROR(MATCH(Methode_Keuze,Tb_KostenOptiesDB[#Headers],0),2))</f>
        <v>1</v>
      </c>
      <c r="AI34" s="65">
        <v>0.23</v>
      </c>
      <c r="AJ34" s="64">
        <f>IF(Tb_DBKosten[[#This Row],[Forfait]]=1,SUMIFS('8. Uitgaven betaalverzoek'!Z:Z,'8. Uitgaven betaalverzoek'!F:F,Tb_DBKosten[[#This Row],[KostenOmschrijving]],'8. Uitgaven betaalverzoek'!A:A,Tb_DBKosten[[#This Row],[Deelbetaling]]),0)</f>
        <v>0</v>
      </c>
      <c r="AK34" s="64">
        <f>IF(Tb_DBKosten[[#This Row],[Forfait]]=1,SUMIFS('8. Uitgaven betaalverzoek'!AA:AA,'8. Uitgaven betaalverzoek'!F:F,Tb_DBKosten[[#This Row],[KostenOmschrijving]],'8. Uitgaven betaalverzoek'!A:A,Tb_DBKosten[[#This Row],[Deelbetaling]]),0)</f>
        <v>0</v>
      </c>
      <c r="AL34" s="64">
        <f>Tb_DBKosten[[#This Row],[Deelbetaling_Aanvraag]]+Tb_DBKosten[[#This Row],[Forfait_Bedrag]]</f>
        <v>0</v>
      </c>
      <c r="AM34" s="64">
        <f>Tb_DBKosten[[#This Row],[Deelbetaling_Beoordeeld]]+Tb_DBKosten[[#This Row],[Forfait_Bedrag_Beoordeeld]]</f>
        <v>0</v>
      </c>
      <c r="AN34" t="str">
        <f>IF(Tb_DBKosten[[#This Row],[Forfait]]=0,"Dit kostentype hoeft u niet op te geven. Hiervoor wordt een forfait berekend.","")</f>
        <v/>
      </c>
    </row>
    <row r="35" spans="1:40" x14ac:dyDescent="0.25">
      <c r="A35" s="12"/>
      <c r="B35" s="12"/>
      <c r="C35" s="12" t="str">
        <f>IFERROR(VLOOKUP($B35,Tb_ProjectKosten[],4,0),"")</f>
        <v/>
      </c>
      <c r="D35" s="12" t="str" cm="1">
        <f t="array" ref="D35">IFERROR(INDEX(Tb_KostenOpties[],MATCH(B35,Tb_KostenOpties[KostenOptie],0),IFERROR(MATCH(Methode_Keuze,Tb_KostenOpties[#Headers],0),2)),"")</f>
        <v/>
      </c>
      <c r="E35" s="281">
        <f>IFERROR(VLOOKUP(B35,Tb_ProjectKosten[[#All],[KostenOmschrijving]:[Forfait_Percentage]],6,0),0)</f>
        <v>0</v>
      </c>
      <c r="F35" s="282">
        <f>SUMIFS('5. Kosten uitvoering project'!R:R,'5. Kosten uitvoering project'!E:E,SubsidieTabel!A35,'5. Kosten uitvoering project'!F:F,SubsidieTabel!B35)</f>
        <v>0</v>
      </c>
      <c r="G35" s="282">
        <f>SUMIFS('5. Kosten uitvoering project'!S:S,'5. Kosten uitvoering project'!E:E,SubsidieTabel!A35,'5. Kosten uitvoering project'!F:F,SubsidieTabel!B35)</f>
        <v>0</v>
      </c>
      <c r="H35" s="282">
        <f>SUMIFS('5. Kosten uitvoering project'!U:U,'5. Kosten uitvoering project'!E:E,SubsidieTabel!A35,'5. Kosten uitvoering project'!F:F,SubsidieTabel!B35)</f>
        <v>0</v>
      </c>
      <c r="I35" s="282">
        <f>SUMIFS('5. Kosten uitvoering project'!V:V,'5. Kosten uitvoering project'!E:E,SubsidieTabel!A35,'5. Kosten uitvoering project'!F:F,SubsidieTabel!B35)</f>
        <v>0</v>
      </c>
      <c r="J35" s="282">
        <f t="shared" si="0"/>
        <v>0</v>
      </c>
      <c r="K35" s="282">
        <f t="shared" si="1"/>
        <v>0</v>
      </c>
      <c r="L35" s="281" t="str">
        <f>IFERROR(VLOOKUP(A35,Lijsten!$AK:$AL,2,0),"")</f>
        <v/>
      </c>
      <c r="M35" s="282">
        <f t="shared" si="2"/>
        <v>0</v>
      </c>
      <c r="N35" s="282">
        <f t="shared" si="3"/>
        <v>0</v>
      </c>
      <c r="O35" s="282">
        <f>IFERROR(IF(INDEX(Tb_Activiteiten[#All],MATCH(SubsidieTabel!$A35,Tb_Activiteiten[[#All],[Subsidiabele_Activiteit]],0),MATCH(SubsidieTabel!O$1,Tb_Activiteiten[#Headers],0))=1,SubsidieTabel!$J35,0),0)</f>
        <v>0</v>
      </c>
      <c r="P35" s="282">
        <f>IFERROR(IF(INDEX(Tb_Activiteiten[#All],MATCH(SubsidieTabel!$A35,Tb_Activiteiten[[#All],[Subsidiabele_Activiteit]],0),MATCH(SubsidieTabel!P$1,Tb_Activiteiten[#Headers],0))=1,SubsidieTabel!$K35,0),0)</f>
        <v>0</v>
      </c>
      <c r="Q35" s="282">
        <f>IFERROR(IF(INDEX(Tb_Activiteiten[#All],MATCH(SubsidieTabel!$A35,Tb_Activiteiten[[#All],[Subsidiabele_Activiteit]],0),MATCH(SubsidieTabel!Q$1,Tb_Activiteiten[#Headers],0))=1,SubsidieTabel!$J35,0),0)</f>
        <v>0</v>
      </c>
      <c r="R35" s="282">
        <f>IFERROR(IF(INDEX(Tb_Activiteiten[#All],MATCH(SubsidieTabel!$A35,Tb_Activiteiten[[#All],[Subsidiabele_Activiteit]],0),MATCH(SubsidieTabel!R$1,Tb_Activiteiten[#Headers],0))=1,SubsidieTabel!$K35,0),0)</f>
        <v>0</v>
      </c>
      <c r="S35" s="282">
        <f>IFERROR(IF(INDEX(Tb_Activiteiten[#All],MATCH(SubsidieTabel!$A35,Tb_Activiteiten[[#All],[Subsidiabele_Activiteit]],0),MATCH(SubsidieTabel!S$1,Tb_Activiteiten[#Headers],0))=1,SubsidieTabel!$J35,0),0)</f>
        <v>0</v>
      </c>
      <c r="T35" s="282">
        <f>IFERROR(IF(INDEX(Tb_Activiteiten[#All],MATCH(SubsidieTabel!$A35,Tb_Activiteiten[[#All],[Subsidiabele_Activiteit]],0),MATCH(SubsidieTabel!T$1,Tb_Activiteiten[#Headers],0))=1,SubsidieTabel!$K35,0),0)</f>
        <v>0</v>
      </c>
      <c r="U35" s="282">
        <f>IFERROR(IF(INDEX(Tb_Activiteiten[#All],MATCH(SubsidieTabel!$A35,Tb_Activiteiten[[#All],[Subsidiabele_Activiteit]],0),MATCH(SubsidieTabel!U$1,Tb_Activiteiten[#Headers],0))=1,SubsidieTabel!$J35,0),0)</f>
        <v>0</v>
      </c>
      <c r="V35" s="282">
        <f>IFERROR(IF(INDEX(Tb_Activiteiten[#All],MATCH(SubsidieTabel!$A35,Tb_Activiteiten[[#All],[Subsidiabele_Activiteit]],0),MATCH(SubsidieTabel!V$1,Tb_Activiteiten[#Headers],0))=1,SubsidieTabel!$K35,0),0)</f>
        <v>0</v>
      </c>
      <c r="W35" s="64">
        <f>IFERROR(IF(INDEX(Tb_Activiteiten[#All],MATCH(SubsidieTabel!$A35,Tb_Activiteiten[[#All],[Subsidiabele_Activiteit]],0),MATCH(SubsidieTabel!Q$1,Tb_Activiteiten[#Headers],0))=1,H35,0),0)</f>
        <v>0</v>
      </c>
      <c r="X35" s="64">
        <f>IFERROR(IF(INDEX(Tb_Activiteiten[#All],MATCH(SubsidieTabel!$A35,Tb_Activiteiten[[#All],[Subsidiabele_Activiteit]],0),MATCH(SubsidieTabel!Q$1,Tb_Activiteiten[#Headers],0))=1,I35,0),0)</f>
        <v>0</v>
      </c>
      <c r="Y35" s="64">
        <f>IFERROR(IF(INDEX(Tb_Activiteiten[#All],MATCH(SubsidieTabel!$A35,Tb_Activiteiten[[#All],[Subsidiabele_Activiteit]],0),MATCH(SubsidieTabel!S$1,Tb_Activiteiten[#Headers],0))=1,H35,0),0)</f>
        <v>0</v>
      </c>
      <c r="Z35" s="64">
        <f>IFERROR(IF(INDEX(Tb_Activiteiten[#All],MATCH(SubsidieTabel!$A35,Tb_Activiteiten[[#All],[Subsidiabele_Activiteit]],0),MATCH(SubsidieTabel!S$1,Tb_Activiteiten[#Headers],0))=1,I35,0),0)</f>
        <v>0</v>
      </c>
      <c r="AA35" s="64">
        <f>IFERROR(IF(INDEX(Tb_Activiteiten[#All],MATCH(SubsidieTabel!$A35,Tb_Activiteiten[[#All],[Subsidiabele_Activiteit]],0),MATCH(SubsidieTabel!O$1,Tb_Activiteiten[#Headers],0))=1,$F35,0),0)</f>
        <v>0</v>
      </c>
      <c r="AB35" s="64">
        <f>IFERROR(IF(INDEX(Tb_Activiteiten[#All],MATCH(SubsidieTabel!$A35,Tb_Activiteiten[[#All],[Subsidiabele_Activiteit]],0),MATCH(SubsidieTabel!O$1,Tb_Activiteiten[#Headers],0))=1,$G35,0),0)</f>
        <v>0</v>
      </c>
      <c r="AD35" s="169" t="str">
        <f t="shared" si="5"/>
        <v>Afschrijvingskosten</v>
      </c>
      <c r="AE35" t="str">
        <f t="shared" si="6"/>
        <v/>
      </c>
      <c r="AF35" s="64">
        <f>IF(Tb_DBKosten[[#This Row],[Forfait]]=1,SUMIFS('8. Uitgaven betaalverzoek'!W:W,'8. Uitgaven betaalverzoek'!F:F,Tb_DBKosten[[#This Row],[KostenOmschrijving]],'8. Uitgaven betaalverzoek'!A:A,Tb_DBKosten[[#This Row],[Deelbetaling]]),0)</f>
        <v>0</v>
      </c>
      <c r="AG35" s="64">
        <f>IF(Tb_DBKosten[[#This Row],[Forfait]]=1,SUMIFS('8. Uitgaven betaalverzoek'!X:X,'8. Uitgaven betaalverzoek'!F:F,Tb_DBKosten[[#This Row],[KostenOmschrijving]],'8. Uitgaven betaalverzoek'!A:A,Tb_DBKosten[[#This Row],[Deelbetaling]]),0)</f>
        <v>0</v>
      </c>
      <c r="AH35" cm="1">
        <f t="array" ref="AH35">INDEX(Tb_KostenOptiesDB[],MATCH(Tb_DBKosten[[#This Row],[KostenOmschrijving]],Tb_KostenOptiesDB[KostenOptie],0),IFERROR(MATCH(Methode_Keuze,Tb_KostenOptiesDB[#Headers],0),2))</f>
        <v>1</v>
      </c>
      <c r="AI35" s="65">
        <v>0.23</v>
      </c>
      <c r="AJ35" s="64">
        <f>IF(Tb_DBKosten[[#This Row],[Forfait]]=1,SUMIFS('8. Uitgaven betaalverzoek'!Z:Z,'8. Uitgaven betaalverzoek'!F:F,Tb_DBKosten[[#This Row],[KostenOmschrijving]],'8. Uitgaven betaalverzoek'!A:A,Tb_DBKosten[[#This Row],[Deelbetaling]]),0)</f>
        <v>0</v>
      </c>
      <c r="AK35" s="64">
        <f>IF(Tb_DBKosten[[#This Row],[Forfait]]=1,SUMIFS('8. Uitgaven betaalverzoek'!AA:AA,'8. Uitgaven betaalverzoek'!F:F,Tb_DBKosten[[#This Row],[KostenOmschrijving]],'8. Uitgaven betaalverzoek'!A:A,Tb_DBKosten[[#This Row],[Deelbetaling]]),0)</f>
        <v>0</v>
      </c>
      <c r="AL35" s="64">
        <f>Tb_DBKosten[[#This Row],[Deelbetaling_Aanvraag]]+Tb_DBKosten[[#This Row],[Forfait_Bedrag]]</f>
        <v>0</v>
      </c>
      <c r="AM35" s="64">
        <f>Tb_DBKosten[[#This Row],[Deelbetaling_Beoordeeld]]+Tb_DBKosten[[#This Row],[Forfait_Bedrag_Beoordeeld]]</f>
        <v>0</v>
      </c>
      <c r="AN35" t="str">
        <f>IF(Tb_DBKosten[[#This Row],[Forfait]]=0,"Dit kostentype hoeft u niet op te geven. Hiervoor wordt een forfait berekend.","")</f>
        <v/>
      </c>
    </row>
    <row r="36" spans="1:40" x14ac:dyDescent="0.25">
      <c r="A36" s="63"/>
      <c r="B36" s="63"/>
      <c r="C36" s="63" t="str">
        <f>IFERROR(VLOOKUP($B36,Tb_ProjectKosten[],4,0),"")</f>
        <v/>
      </c>
      <c r="D36" s="63" t="str" cm="1">
        <f t="array" ref="D36">IFERROR(INDEX(Tb_KostenOpties[],MATCH(B36,Tb_KostenOpties[KostenOptie],0),IFERROR(MATCH(Methode_Keuze,Tb_KostenOpties[#Headers],0),2)),"")</f>
        <v/>
      </c>
      <c r="E36" s="283">
        <f>IFERROR(VLOOKUP(B36,Tb_ProjectKosten[[#All],[KostenOmschrijving]:[Forfait_Percentage]],6,0),0)</f>
        <v>0</v>
      </c>
      <c r="F36" s="284">
        <f>SUMIFS('5. Kosten uitvoering project'!R:R,'5. Kosten uitvoering project'!E:E,SubsidieTabel!A36,'5. Kosten uitvoering project'!F:F,SubsidieTabel!B36)</f>
        <v>0</v>
      </c>
      <c r="G36" s="284">
        <f>SUMIFS('5. Kosten uitvoering project'!S:S,'5. Kosten uitvoering project'!E:E,SubsidieTabel!A36,'5. Kosten uitvoering project'!F:F,SubsidieTabel!B36)</f>
        <v>0</v>
      </c>
      <c r="H36" s="284">
        <f>SUMIFS('5. Kosten uitvoering project'!U:U,'5. Kosten uitvoering project'!E:E,SubsidieTabel!A36,'5. Kosten uitvoering project'!F:F,SubsidieTabel!B36)</f>
        <v>0</v>
      </c>
      <c r="I36" s="284">
        <f>SUMIFS('5. Kosten uitvoering project'!V:V,'5. Kosten uitvoering project'!E:E,SubsidieTabel!A36,'5. Kosten uitvoering project'!F:F,SubsidieTabel!B36)</f>
        <v>0</v>
      </c>
      <c r="J36" s="284">
        <f t="shared" si="0"/>
        <v>0</v>
      </c>
      <c r="K36" s="284">
        <f t="shared" si="1"/>
        <v>0</v>
      </c>
      <c r="L36" s="283" t="str">
        <f>IFERROR(VLOOKUP(A36,Lijsten!$AK:$AL,2,0),"")</f>
        <v/>
      </c>
      <c r="M36" s="284">
        <f t="shared" si="2"/>
        <v>0</v>
      </c>
      <c r="N36" s="284">
        <f t="shared" si="3"/>
        <v>0</v>
      </c>
      <c r="O36" s="284">
        <f>IFERROR(IF(INDEX(Tb_Activiteiten[#All],MATCH(SubsidieTabel!$A36,Tb_Activiteiten[[#All],[Subsidiabele_Activiteit]],0),MATCH(SubsidieTabel!O$1,Tb_Activiteiten[#Headers],0))=1,SubsidieTabel!$J36,0),0)</f>
        <v>0</v>
      </c>
      <c r="P36" s="284">
        <f>IFERROR(IF(INDEX(Tb_Activiteiten[#All],MATCH(SubsidieTabel!$A36,Tb_Activiteiten[[#All],[Subsidiabele_Activiteit]],0),MATCH(SubsidieTabel!P$1,Tb_Activiteiten[#Headers],0))=1,SubsidieTabel!$K36,0),0)</f>
        <v>0</v>
      </c>
      <c r="Q36" s="284">
        <f>IFERROR(IF(INDEX(Tb_Activiteiten[#All],MATCH(SubsidieTabel!$A36,Tb_Activiteiten[[#All],[Subsidiabele_Activiteit]],0),MATCH(SubsidieTabel!Q$1,Tb_Activiteiten[#Headers],0))=1,SubsidieTabel!$J36,0),0)</f>
        <v>0</v>
      </c>
      <c r="R36" s="284">
        <f>IFERROR(IF(INDEX(Tb_Activiteiten[#All],MATCH(SubsidieTabel!$A36,Tb_Activiteiten[[#All],[Subsidiabele_Activiteit]],0),MATCH(SubsidieTabel!R$1,Tb_Activiteiten[#Headers],0))=1,SubsidieTabel!$K36,0),0)</f>
        <v>0</v>
      </c>
      <c r="S36" s="284">
        <f>IFERROR(IF(INDEX(Tb_Activiteiten[#All],MATCH(SubsidieTabel!$A36,Tb_Activiteiten[[#All],[Subsidiabele_Activiteit]],0),MATCH(SubsidieTabel!S$1,Tb_Activiteiten[#Headers],0))=1,SubsidieTabel!$J36,0),0)</f>
        <v>0</v>
      </c>
      <c r="T36" s="284">
        <f>IFERROR(IF(INDEX(Tb_Activiteiten[#All],MATCH(SubsidieTabel!$A36,Tb_Activiteiten[[#All],[Subsidiabele_Activiteit]],0),MATCH(SubsidieTabel!T$1,Tb_Activiteiten[#Headers],0))=1,SubsidieTabel!$K36,0),0)</f>
        <v>0</v>
      </c>
      <c r="U36" s="284">
        <f>IFERROR(IF(INDEX(Tb_Activiteiten[#All],MATCH(SubsidieTabel!$A36,Tb_Activiteiten[[#All],[Subsidiabele_Activiteit]],0),MATCH(SubsidieTabel!U$1,Tb_Activiteiten[#Headers],0))=1,SubsidieTabel!$J36,0),0)</f>
        <v>0</v>
      </c>
      <c r="V36" s="284">
        <f>IFERROR(IF(INDEX(Tb_Activiteiten[#All],MATCH(SubsidieTabel!$A36,Tb_Activiteiten[[#All],[Subsidiabele_Activiteit]],0),MATCH(SubsidieTabel!V$1,Tb_Activiteiten[#Headers],0))=1,SubsidieTabel!$K36,0),0)</f>
        <v>0</v>
      </c>
      <c r="W36" s="369">
        <f>IFERROR(IF(INDEX(Tb_Activiteiten[#All],MATCH(SubsidieTabel!$A36,Tb_Activiteiten[[#All],[Subsidiabele_Activiteit]],0),MATCH(SubsidieTabel!Q$1,Tb_Activiteiten[#Headers],0))=1,H36,0),0)</f>
        <v>0</v>
      </c>
      <c r="X36" s="369">
        <f>IFERROR(IF(INDEX(Tb_Activiteiten[#All],MATCH(SubsidieTabel!$A36,Tb_Activiteiten[[#All],[Subsidiabele_Activiteit]],0),MATCH(SubsidieTabel!Q$1,Tb_Activiteiten[#Headers],0))=1,I36,0),0)</f>
        <v>0</v>
      </c>
      <c r="Y36" s="369">
        <f>IFERROR(IF(INDEX(Tb_Activiteiten[#All],MATCH(SubsidieTabel!$A36,Tb_Activiteiten[[#All],[Subsidiabele_Activiteit]],0),MATCH(SubsidieTabel!S$1,Tb_Activiteiten[#Headers],0))=1,H36,0),0)</f>
        <v>0</v>
      </c>
      <c r="Z36" s="369">
        <f>IFERROR(IF(INDEX(Tb_Activiteiten[#All],MATCH(SubsidieTabel!$A36,Tb_Activiteiten[[#All],[Subsidiabele_Activiteit]],0),MATCH(SubsidieTabel!S$1,Tb_Activiteiten[#Headers],0))=1,I36,0),0)</f>
        <v>0</v>
      </c>
      <c r="AA36" s="369">
        <f>IFERROR(IF(INDEX(Tb_Activiteiten[#All],MATCH(SubsidieTabel!$A36,Tb_Activiteiten[[#All],[Subsidiabele_Activiteit]],0),MATCH(SubsidieTabel!O$1,Tb_Activiteiten[#Headers],0))=1,$F36,0),0)</f>
        <v>0</v>
      </c>
      <c r="AB36" s="369">
        <f>IFERROR(IF(INDEX(Tb_Activiteiten[#All],MATCH(SubsidieTabel!$A36,Tb_Activiteiten[[#All],[Subsidiabele_Activiteit]],0),MATCH(SubsidieTabel!O$1,Tb_Activiteiten[#Headers],0))=1,$G36,0),0)</f>
        <v>0</v>
      </c>
      <c r="AD36" s="169" t="str">
        <f t="shared" si="5"/>
        <v>Vergoeding</v>
      </c>
      <c r="AE36" s="68" t="str">
        <f>IF(Keuze_DB_Nr&lt;&gt;"",Keuze_DB_Nr,"")</f>
        <v/>
      </c>
      <c r="AF36" s="64">
        <f>IF(Tb_DBKosten[[#This Row],[Forfait]]=1,SUMIFS('8. Uitgaven betaalverzoek'!W:W,'8. Uitgaven betaalverzoek'!F:F,Tb_DBKosten[[#This Row],[KostenOmschrijving]],'8. Uitgaven betaalverzoek'!A:A,Tb_DBKosten[[#This Row],[Deelbetaling]]),0)</f>
        <v>0</v>
      </c>
      <c r="AG36" s="64">
        <f>IF(Tb_DBKosten[[#This Row],[Forfait]]=1,SUMIFS('8. Uitgaven betaalverzoek'!X:X,'8. Uitgaven betaalverzoek'!F:F,Tb_DBKosten[[#This Row],[KostenOmschrijving]],'8. Uitgaven betaalverzoek'!A:A,Tb_DBKosten[[#This Row],[Deelbetaling]]),0)</f>
        <v>0</v>
      </c>
      <c r="AH36" cm="1">
        <f t="array" ref="AH36">INDEX(Tb_KostenOptiesDB[],MATCH(Tb_DBKosten[[#This Row],[KostenOmschrijving]],Tb_KostenOptiesDB[KostenOptie],0),IFERROR(MATCH(Methode_Keuze,Tb_KostenOptiesDB[#Headers],0),2))</f>
        <v>1</v>
      </c>
      <c r="AI36" s="65">
        <v>0</v>
      </c>
      <c r="AJ36" s="64">
        <f>IF(Tb_DBKosten[[#This Row],[Forfait]]=1,SUMIFS('8. Uitgaven betaalverzoek'!Z:Z,'8. Uitgaven betaalverzoek'!F:F,Tb_DBKosten[[#This Row],[KostenOmschrijving]],'8. Uitgaven betaalverzoek'!A:A,Tb_DBKosten[[#This Row],[Deelbetaling]]),0)</f>
        <v>0</v>
      </c>
      <c r="AK36" s="64">
        <f>IF(Tb_DBKosten[[#This Row],[Forfait]]=1,SUMIFS('8. Uitgaven betaalverzoek'!AA:AA,'8. Uitgaven betaalverzoek'!F:F,Tb_DBKosten[[#This Row],[KostenOmschrijving]],'8. Uitgaven betaalverzoek'!A:A,Tb_DBKosten[[#This Row],[Deelbetaling]]),0)</f>
        <v>0</v>
      </c>
      <c r="AL36" s="64">
        <f>Tb_DBKosten[[#This Row],[Deelbetaling_Aanvraag]]+Tb_DBKosten[[#This Row],[Forfait_Bedrag]]</f>
        <v>0</v>
      </c>
      <c r="AM36" s="64">
        <f>Tb_DBKosten[[#This Row],[Deelbetaling_Beoordeeld]]+Tb_DBKosten[[#This Row],[Forfait_Bedrag_Beoordeeld]]</f>
        <v>0</v>
      </c>
      <c r="AN36" t="str">
        <f>IF(Tb_DBKosten[[#This Row],[Forfait]]=0,"Dit kostentype hoeft u niet op te geven. Hiervoor wordt een forfait berekend.","")</f>
        <v/>
      </c>
    </row>
    <row r="37" spans="1:40" x14ac:dyDescent="0.25">
      <c r="A37" s="12"/>
      <c r="B37" s="12"/>
      <c r="C37" s="12" t="str">
        <f>IFERROR(VLOOKUP($B37,Tb_ProjectKosten[],4,0),"")</f>
        <v/>
      </c>
      <c r="D37" s="12" t="str" cm="1">
        <f t="array" ref="D37">IFERROR(INDEX(Tb_KostenOpties[],MATCH(B37,Tb_KostenOpties[KostenOptie],0),IFERROR(MATCH(Methode_Keuze,Tb_KostenOpties[#Headers],0),2)),"")</f>
        <v/>
      </c>
      <c r="E37" s="281">
        <f>IFERROR(VLOOKUP(B37,Tb_ProjectKosten[[#All],[KostenOmschrijving]:[Forfait_Percentage]],6,0),0)</f>
        <v>0</v>
      </c>
      <c r="F37" s="282">
        <f>SUMIFS('5. Kosten uitvoering project'!R:R,'5. Kosten uitvoering project'!E:E,SubsidieTabel!A37,'5. Kosten uitvoering project'!F:F,SubsidieTabel!B37)</f>
        <v>0</v>
      </c>
      <c r="G37" s="282">
        <f>SUMIFS('5. Kosten uitvoering project'!S:S,'5. Kosten uitvoering project'!E:E,SubsidieTabel!A37,'5. Kosten uitvoering project'!F:F,SubsidieTabel!B37)</f>
        <v>0</v>
      </c>
      <c r="H37" s="282">
        <f>SUMIFS('5. Kosten uitvoering project'!U:U,'5. Kosten uitvoering project'!E:E,SubsidieTabel!A37,'5. Kosten uitvoering project'!F:F,SubsidieTabel!B37)</f>
        <v>0</v>
      </c>
      <c r="I37" s="282">
        <f>SUMIFS('5. Kosten uitvoering project'!V:V,'5. Kosten uitvoering project'!E:E,SubsidieTabel!A37,'5. Kosten uitvoering project'!F:F,SubsidieTabel!B37)</f>
        <v>0</v>
      </c>
      <c r="J37" s="282">
        <f t="shared" si="0"/>
        <v>0</v>
      </c>
      <c r="K37" s="282">
        <f t="shared" si="1"/>
        <v>0</v>
      </c>
      <c r="L37" s="281" t="str">
        <f>IFERROR(VLOOKUP(A37,Lijsten!$AK:$AL,2,0),"")</f>
        <v/>
      </c>
      <c r="M37" s="282">
        <f t="shared" si="2"/>
        <v>0</v>
      </c>
      <c r="N37" s="282">
        <f t="shared" si="3"/>
        <v>0</v>
      </c>
      <c r="O37" s="282">
        <f>IFERROR(IF(INDEX(Tb_Activiteiten[#All],MATCH(SubsidieTabel!$A37,Tb_Activiteiten[[#All],[Subsidiabele_Activiteit]],0),MATCH(SubsidieTabel!O$1,Tb_Activiteiten[#Headers],0))=1,SubsidieTabel!$J37,0),0)</f>
        <v>0</v>
      </c>
      <c r="P37" s="282">
        <f>IFERROR(IF(INDEX(Tb_Activiteiten[#All],MATCH(SubsidieTabel!$A37,Tb_Activiteiten[[#All],[Subsidiabele_Activiteit]],0),MATCH(SubsidieTabel!P$1,Tb_Activiteiten[#Headers],0))=1,SubsidieTabel!$K37,0),0)</f>
        <v>0</v>
      </c>
      <c r="Q37" s="282">
        <f>IFERROR(IF(INDEX(Tb_Activiteiten[#All],MATCH(SubsidieTabel!$A37,Tb_Activiteiten[[#All],[Subsidiabele_Activiteit]],0),MATCH(SubsidieTabel!Q$1,Tb_Activiteiten[#Headers],0))=1,SubsidieTabel!$J37,0),0)</f>
        <v>0</v>
      </c>
      <c r="R37" s="282">
        <f>IFERROR(IF(INDEX(Tb_Activiteiten[#All],MATCH(SubsidieTabel!$A37,Tb_Activiteiten[[#All],[Subsidiabele_Activiteit]],0),MATCH(SubsidieTabel!R$1,Tb_Activiteiten[#Headers],0))=1,SubsidieTabel!$K37,0),0)</f>
        <v>0</v>
      </c>
      <c r="S37" s="282">
        <f>IFERROR(IF(INDEX(Tb_Activiteiten[#All],MATCH(SubsidieTabel!$A37,Tb_Activiteiten[[#All],[Subsidiabele_Activiteit]],0),MATCH(SubsidieTabel!S$1,Tb_Activiteiten[#Headers],0))=1,SubsidieTabel!$J37,0),0)</f>
        <v>0</v>
      </c>
      <c r="T37" s="282">
        <f>IFERROR(IF(INDEX(Tb_Activiteiten[#All],MATCH(SubsidieTabel!$A37,Tb_Activiteiten[[#All],[Subsidiabele_Activiteit]],0),MATCH(SubsidieTabel!T$1,Tb_Activiteiten[#Headers],0))=1,SubsidieTabel!$K37,0),0)</f>
        <v>0</v>
      </c>
      <c r="U37" s="282">
        <f>IFERROR(IF(INDEX(Tb_Activiteiten[#All],MATCH(SubsidieTabel!$A37,Tb_Activiteiten[[#All],[Subsidiabele_Activiteit]],0),MATCH(SubsidieTabel!U$1,Tb_Activiteiten[#Headers],0))=1,SubsidieTabel!$J37,0),0)</f>
        <v>0</v>
      </c>
      <c r="V37" s="282">
        <f>IFERROR(IF(INDEX(Tb_Activiteiten[#All],MATCH(SubsidieTabel!$A37,Tb_Activiteiten[[#All],[Subsidiabele_Activiteit]],0),MATCH(SubsidieTabel!V$1,Tb_Activiteiten[#Headers],0))=1,SubsidieTabel!$K37,0),0)</f>
        <v>0</v>
      </c>
      <c r="W37" s="64">
        <f>IFERROR(IF(INDEX(Tb_Activiteiten[#All],MATCH(SubsidieTabel!$A37,Tb_Activiteiten[[#All],[Subsidiabele_Activiteit]],0),MATCH(SubsidieTabel!Q$1,Tb_Activiteiten[#Headers],0))=1,H37,0),0)</f>
        <v>0</v>
      </c>
      <c r="X37" s="64">
        <f>IFERROR(IF(INDEX(Tb_Activiteiten[#All],MATCH(SubsidieTabel!$A37,Tb_Activiteiten[[#All],[Subsidiabele_Activiteit]],0),MATCH(SubsidieTabel!Q$1,Tb_Activiteiten[#Headers],0))=1,I37,0),0)</f>
        <v>0</v>
      </c>
      <c r="Y37" s="64">
        <f>IFERROR(IF(INDEX(Tb_Activiteiten[#All],MATCH(SubsidieTabel!$A37,Tb_Activiteiten[[#All],[Subsidiabele_Activiteit]],0),MATCH(SubsidieTabel!S$1,Tb_Activiteiten[#Headers],0))=1,H37,0),0)</f>
        <v>0</v>
      </c>
      <c r="Z37" s="64">
        <f>IFERROR(IF(INDEX(Tb_Activiteiten[#All],MATCH(SubsidieTabel!$A37,Tb_Activiteiten[[#All],[Subsidiabele_Activiteit]],0),MATCH(SubsidieTabel!S$1,Tb_Activiteiten[#Headers],0))=1,I37,0),0)</f>
        <v>0</v>
      </c>
      <c r="AA37" s="64">
        <f>IFERROR(IF(INDEX(Tb_Activiteiten[#All],MATCH(SubsidieTabel!$A37,Tb_Activiteiten[[#All],[Subsidiabele_Activiteit]],0),MATCH(SubsidieTabel!O$1,Tb_Activiteiten[#Headers],0))=1,$F37,0),0)</f>
        <v>0</v>
      </c>
      <c r="AB37" s="64">
        <f>IFERROR(IF(INDEX(Tb_Activiteiten[#All],MATCH(SubsidieTabel!$A37,Tb_Activiteiten[[#All],[Subsidiabele_Activiteit]],0),MATCH(SubsidieTabel!O$1,Tb_Activiteiten[#Headers],0))=1,$G37,0),0)</f>
        <v>0</v>
      </c>
      <c r="AD37" s="169" t="str">
        <f t="shared" si="5"/>
        <v>Arbeidskosten - vast tarief (excl eigen arbeid)</v>
      </c>
      <c r="AE37" t="str">
        <f t="shared" si="6"/>
        <v/>
      </c>
      <c r="AF37" s="64">
        <f>IF(Tb_DBKosten[[#This Row],[Forfait]]=1,SUMIFS('8. Uitgaven betaalverzoek'!W:W,'8. Uitgaven betaalverzoek'!F:F,Tb_DBKosten[[#This Row],[KostenOmschrijving]],'8. Uitgaven betaalverzoek'!A:A,Tb_DBKosten[[#This Row],[Deelbetaling]]),0)</f>
        <v>0</v>
      </c>
      <c r="AG37" s="64">
        <f>IF(Tb_DBKosten[[#This Row],[Forfait]]=1,SUMIFS('8. Uitgaven betaalverzoek'!X:X,'8. Uitgaven betaalverzoek'!F:F,Tb_DBKosten[[#This Row],[KostenOmschrijving]],'8. Uitgaven betaalverzoek'!A:A,Tb_DBKosten[[#This Row],[Deelbetaling]]),0)</f>
        <v>0</v>
      </c>
      <c r="AH37" cm="1">
        <f t="array" ref="AH37">INDEX(Tb_KostenOptiesDB[],MATCH(Tb_DBKosten[[#This Row],[KostenOmschrijving]],Tb_KostenOptiesDB[KostenOptie],0),IFERROR(MATCH(Methode_Keuze,Tb_KostenOptiesDB[#Headers],0),2))</f>
        <v>1</v>
      </c>
      <c r="AI37" s="65">
        <v>0</v>
      </c>
      <c r="AJ37" s="64">
        <f>IF(Tb_DBKosten[[#This Row],[Forfait]]=1,SUMIFS('8. Uitgaven betaalverzoek'!Z:Z,'8. Uitgaven betaalverzoek'!F:F,Tb_DBKosten[[#This Row],[KostenOmschrijving]],'8. Uitgaven betaalverzoek'!A:A,Tb_DBKosten[[#This Row],[Deelbetaling]]),0)</f>
        <v>0</v>
      </c>
      <c r="AK37" s="64">
        <f>IF(Tb_DBKosten[[#This Row],[Forfait]]=1,SUMIFS('8. Uitgaven betaalverzoek'!AA:AA,'8. Uitgaven betaalverzoek'!F:F,Tb_DBKosten[[#This Row],[KostenOmschrijving]],'8. Uitgaven betaalverzoek'!A:A,Tb_DBKosten[[#This Row],[Deelbetaling]]),0)</f>
        <v>0</v>
      </c>
      <c r="AL37" s="64">
        <f>Tb_DBKosten[[#This Row],[Deelbetaling_Aanvraag]]+Tb_DBKosten[[#This Row],[Forfait_Bedrag]]</f>
        <v>0</v>
      </c>
      <c r="AM37" s="64">
        <f>Tb_DBKosten[[#This Row],[Deelbetaling_Beoordeeld]]+Tb_DBKosten[[#This Row],[Forfait_Bedrag_Beoordeeld]]</f>
        <v>0</v>
      </c>
      <c r="AN37" t="str">
        <f>IF(Tb_DBKosten[[#This Row],[Forfait]]=0,"Dit kostentype hoeft u niet op te geven. Hiervoor wordt een forfait berekend.","")</f>
        <v/>
      </c>
    </row>
    <row r="38" spans="1:40" x14ac:dyDescent="0.25">
      <c r="A38" s="63"/>
      <c r="B38" s="63"/>
      <c r="C38" s="63" t="str">
        <f>IFERROR(VLOOKUP($B38,Tb_ProjectKosten[],4,0),"")</f>
        <v/>
      </c>
      <c r="D38" s="63" t="str" cm="1">
        <f t="array" ref="D38">IFERROR(INDEX(Tb_KostenOpties[],MATCH(B38,Tb_KostenOpties[KostenOptie],0),IFERROR(MATCH(Methode_Keuze,Tb_KostenOpties[#Headers],0),2)),"")</f>
        <v/>
      </c>
      <c r="E38" s="283">
        <f>IFERROR(VLOOKUP(B38,Tb_ProjectKosten[[#All],[KostenOmschrijving]:[Forfait_Percentage]],6,0),0)</f>
        <v>0</v>
      </c>
      <c r="F38" s="284">
        <f>SUMIFS('5. Kosten uitvoering project'!R:R,'5. Kosten uitvoering project'!E:E,SubsidieTabel!A38,'5. Kosten uitvoering project'!F:F,SubsidieTabel!B38)</f>
        <v>0</v>
      </c>
      <c r="G38" s="284">
        <f>SUMIFS('5. Kosten uitvoering project'!S:S,'5. Kosten uitvoering project'!E:E,SubsidieTabel!A38,'5. Kosten uitvoering project'!F:F,SubsidieTabel!B38)</f>
        <v>0</v>
      </c>
      <c r="H38" s="284">
        <f>SUMIFS('5. Kosten uitvoering project'!U:U,'5. Kosten uitvoering project'!E:E,SubsidieTabel!A38,'5. Kosten uitvoering project'!F:F,SubsidieTabel!B38)</f>
        <v>0</v>
      </c>
      <c r="I38" s="284">
        <f>SUMIFS('5. Kosten uitvoering project'!V:V,'5. Kosten uitvoering project'!E:E,SubsidieTabel!A38,'5. Kosten uitvoering project'!F:F,SubsidieTabel!B38)</f>
        <v>0</v>
      </c>
      <c r="J38" s="284">
        <f t="shared" si="0"/>
        <v>0</v>
      </c>
      <c r="K38" s="284">
        <f t="shared" si="1"/>
        <v>0</v>
      </c>
      <c r="L38" s="283" t="str">
        <f>IFERROR(VLOOKUP(A38,Lijsten!$AK:$AL,2,0),"")</f>
        <v/>
      </c>
      <c r="M38" s="284">
        <f t="shared" si="2"/>
        <v>0</v>
      </c>
      <c r="N38" s="284">
        <f t="shared" si="3"/>
        <v>0</v>
      </c>
      <c r="O38" s="284">
        <f>IFERROR(IF(INDEX(Tb_Activiteiten[#All],MATCH(SubsidieTabel!$A38,Tb_Activiteiten[[#All],[Subsidiabele_Activiteit]],0),MATCH(SubsidieTabel!O$1,Tb_Activiteiten[#Headers],0))=1,SubsidieTabel!$J38,0),0)</f>
        <v>0</v>
      </c>
      <c r="P38" s="284">
        <f>IFERROR(IF(INDEX(Tb_Activiteiten[#All],MATCH(SubsidieTabel!$A38,Tb_Activiteiten[[#All],[Subsidiabele_Activiteit]],0),MATCH(SubsidieTabel!P$1,Tb_Activiteiten[#Headers],0))=1,SubsidieTabel!$K38,0),0)</f>
        <v>0</v>
      </c>
      <c r="Q38" s="284">
        <f>IFERROR(IF(INDEX(Tb_Activiteiten[#All],MATCH(SubsidieTabel!$A38,Tb_Activiteiten[[#All],[Subsidiabele_Activiteit]],0),MATCH(SubsidieTabel!Q$1,Tb_Activiteiten[#Headers],0))=1,SubsidieTabel!$J38,0),0)</f>
        <v>0</v>
      </c>
      <c r="R38" s="284">
        <f>IFERROR(IF(INDEX(Tb_Activiteiten[#All],MATCH(SubsidieTabel!$A38,Tb_Activiteiten[[#All],[Subsidiabele_Activiteit]],0),MATCH(SubsidieTabel!R$1,Tb_Activiteiten[#Headers],0))=1,SubsidieTabel!$K38,0),0)</f>
        <v>0</v>
      </c>
      <c r="S38" s="284">
        <f>IFERROR(IF(INDEX(Tb_Activiteiten[#All],MATCH(SubsidieTabel!$A38,Tb_Activiteiten[[#All],[Subsidiabele_Activiteit]],0),MATCH(SubsidieTabel!S$1,Tb_Activiteiten[#Headers],0))=1,SubsidieTabel!$J38,0),0)</f>
        <v>0</v>
      </c>
      <c r="T38" s="284">
        <f>IFERROR(IF(INDEX(Tb_Activiteiten[#All],MATCH(SubsidieTabel!$A38,Tb_Activiteiten[[#All],[Subsidiabele_Activiteit]],0),MATCH(SubsidieTabel!T$1,Tb_Activiteiten[#Headers],0))=1,SubsidieTabel!$K38,0),0)</f>
        <v>0</v>
      </c>
      <c r="U38" s="284">
        <f>IFERROR(IF(INDEX(Tb_Activiteiten[#All],MATCH(SubsidieTabel!$A38,Tb_Activiteiten[[#All],[Subsidiabele_Activiteit]],0),MATCH(SubsidieTabel!U$1,Tb_Activiteiten[#Headers],0))=1,SubsidieTabel!$J38,0),0)</f>
        <v>0</v>
      </c>
      <c r="V38" s="284">
        <f>IFERROR(IF(INDEX(Tb_Activiteiten[#All],MATCH(SubsidieTabel!$A38,Tb_Activiteiten[[#All],[Subsidiabele_Activiteit]],0),MATCH(SubsidieTabel!V$1,Tb_Activiteiten[#Headers],0))=1,SubsidieTabel!$K38,0),0)</f>
        <v>0</v>
      </c>
      <c r="W38" s="369">
        <f>IFERROR(IF(INDEX(Tb_Activiteiten[#All],MATCH(SubsidieTabel!$A38,Tb_Activiteiten[[#All],[Subsidiabele_Activiteit]],0),MATCH(SubsidieTabel!Q$1,Tb_Activiteiten[#Headers],0))=1,H38,0),0)</f>
        <v>0</v>
      </c>
      <c r="X38" s="369">
        <f>IFERROR(IF(INDEX(Tb_Activiteiten[#All],MATCH(SubsidieTabel!$A38,Tb_Activiteiten[[#All],[Subsidiabele_Activiteit]],0),MATCH(SubsidieTabel!Q$1,Tb_Activiteiten[#Headers],0))=1,I38,0),0)</f>
        <v>0</v>
      </c>
      <c r="Y38" s="369">
        <f>IFERROR(IF(INDEX(Tb_Activiteiten[#All],MATCH(SubsidieTabel!$A38,Tb_Activiteiten[[#All],[Subsidiabele_Activiteit]],0),MATCH(SubsidieTabel!S$1,Tb_Activiteiten[#Headers],0))=1,H38,0),0)</f>
        <v>0</v>
      </c>
      <c r="Z38" s="369">
        <f>IFERROR(IF(INDEX(Tb_Activiteiten[#All],MATCH(SubsidieTabel!$A38,Tb_Activiteiten[[#All],[Subsidiabele_Activiteit]],0),MATCH(SubsidieTabel!S$1,Tb_Activiteiten[#Headers],0))=1,I38,0),0)</f>
        <v>0</v>
      </c>
      <c r="AA38" s="369">
        <f>IFERROR(IF(INDEX(Tb_Activiteiten[#All],MATCH(SubsidieTabel!$A38,Tb_Activiteiten[[#All],[Subsidiabele_Activiteit]],0),MATCH(SubsidieTabel!O$1,Tb_Activiteiten[#Headers],0))=1,$F38,0),0)</f>
        <v>0</v>
      </c>
      <c r="AB38" s="369">
        <f>IFERROR(IF(INDEX(Tb_Activiteiten[#All],MATCH(SubsidieTabel!$A38,Tb_Activiteiten[[#All],[Subsidiabele_Activiteit]],0),MATCH(SubsidieTabel!O$1,Tb_Activiteiten[#Headers],0))=1,$G38,0),0)</f>
        <v>0</v>
      </c>
      <c r="AD38" s="169" t="str">
        <f t="shared" si="5"/>
        <v>Overige kosten</v>
      </c>
      <c r="AE38" s="68" t="str">
        <f>IF(Keuze_DB_Nr&lt;&gt;"",Keuze_DB_Nr,"")</f>
        <v/>
      </c>
      <c r="AF38" s="64">
        <f>IF(Tb_DBKosten[[#This Row],[Forfait]]=1,SUMIFS('8. Uitgaven betaalverzoek'!W:W,'8. Uitgaven betaalverzoek'!F:F,Tb_DBKosten[[#This Row],[KostenOmschrijving]],'8. Uitgaven betaalverzoek'!A:A,Tb_DBKosten[[#This Row],[Deelbetaling]]),0)</f>
        <v>0</v>
      </c>
      <c r="AG38" s="64">
        <f>IF(Tb_DBKosten[[#This Row],[Forfait]]=1,SUMIFS('8. Uitgaven betaalverzoek'!X:X,'8. Uitgaven betaalverzoek'!F:F,Tb_DBKosten[[#This Row],[KostenOmschrijving]],'8. Uitgaven betaalverzoek'!A:A,Tb_DBKosten[[#This Row],[Deelbetaling]]),0)</f>
        <v>0</v>
      </c>
      <c r="AH38" cm="1">
        <f t="array" ref="AH38">INDEX(Tb_KostenOptiesDB[],MATCH(Tb_DBKosten[[#This Row],[KostenOmschrijving]],Tb_KostenOptiesDB[KostenOptie],0),IFERROR(MATCH(Methode_Keuze,Tb_KostenOptiesDB[#Headers],0),2))</f>
        <v>1</v>
      </c>
      <c r="AI38" s="65">
        <v>0.23</v>
      </c>
      <c r="AJ38" s="64">
        <f>IF(Tb_DBKosten[[#This Row],[Forfait]]=1,SUMIFS('8. Uitgaven betaalverzoek'!Z:Z,'8. Uitgaven betaalverzoek'!F:F,Tb_DBKosten[[#This Row],[KostenOmschrijving]],'8. Uitgaven betaalverzoek'!A:A,Tb_DBKosten[[#This Row],[Deelbetaling]]),0)</f>
        <v>0</v>
      </c>
      <c r="AK38" s="64">
        <f>IF(Tb_DBKosten[[#This Row],[Forfait]]=1,SUMIFS('8. Uitgaven betaalverzoek'!AA:AA,'8. Uitgaven betaalverzoek'!F:F,Tb_DBKosten[[#This Row],[KostenOmschrijving]],'8. Uitgaven betaalverzoek'!A:A,Tb_DBKosten[[#This Row],[Deelbetaling]]),0)</f>
        <v>0</v>
      </c>
      <c r="AL38" s="64">
        <f>Tb_DBKosten[[#This Row],[Deelbetaling_Aanvraag]]+Tb_DBKosten[[#This Row],[Forfait_Bedrag]]</f>
        <v>0</v>
      </c>
      <c r="AM38" s="64">
        <f>Tb_DBKosten[[#This Row],[Deelbetaling_Beoordeeld]]+Tb_DBKosten[[#This Row],[Forfait_Bedrag_Beoordeeld]]</f>
        <v>0</v>
      </c>
      <c r="AN38" t="str">
        <f>IF(Tb_DBKosten[[#This Row],[Forfait]]=0,"Dit kostentype hoeft u niet op te geven. Hiervoor wordt een forfait berekend.","")</f>
        <v/>
      </c>
    </row>
    <row r="39" spans="1:40" x14ac:dyDescent="0.25">
      <c r="A39" s="12"/>
      <c r="B39" s="12"/>
      <c r="C39" s="12" t="str">
        <f>IFERROR(VLOOKUP($B39,Tb_ProjectKosten[],4,0),"")</f>
        <v/>
      </c>
      <c r="D39" s="12" t="str" cm="1">
        <f t="array" ref="D39">IFERROR(INDEX(Tb_KostenOpties[],MATCH(B39,Tb_KostenOpties[KostenOptie],0),IFERROR(MATCH(Methode_Keuze,Tb_KostenOpties[#Headers],0),2)),"")</f>
        <v/>
      </c>
      <c r="E39" s="281">
        <f>IFERROR(VLOOKUP(B39,Tb_ProjectKosten[[#All],[KostenOmschrijving]:[Forfait_Percentage]],6,0),0)</f>
        <v>0</v>
      </c>
      <c r="F39" s="282">
        <f>SUMIFS('5. Kosten uitvoering project'!R:R,'5. Kosten uitvoering project'!E:E,SubsidieTabel!A39,'5. Kosten uitvoering project'!F:F,SubsidieTabel!B39)</f>
        <v>0</v>
      </c>
      <c r="G39" s="282">
        <f>SUMIFS('5. Kosten uitvoering project'!S:S,'5. Kosten uitvoering project'!E:E,SubsidieTabel!A39,'5. Kosten uitvoering project'!F:F,SubsidieTabel!B39)</f>
        <v>0</v>
      </c>
      <c r="H39" s="282">
        <f>SUMIFS('5. Kosten uitvoering project'!U:U,'5. Kosten uitvoering project'!E:E,SubsidieTabel!A39,'5. Kosten uitvoering project'!F:F,SubsidieTabel!B39)</f>
        <v>0</v>
      </c>
      <c r="I39" s="282">
        <f>SUMIFS('5. Kosten uitvoering project'!V:V,'5. Kosten uitvoering project'!E:E,SubsidieTabel!A39,'5. Kosten uitvoering project'!F:F,SubsidieTabel!B39)</f>
        <v>0</v>
      </c>
      <c r="J39" s="282">
        <f t="shared" si="0"/>
        <v>0</v>
      </c>
      <c r="K39" s="282">
        <f t="shared" si="1"/>
        <v>0</v>
      </c>
      <c r="L39" s="281" t="str">
        <f>IFERROR(VLOOKUP(A39,Lijsten!$AK:$AL,2,0),"")</f>
        <v/>
      </c>
      <c r="M39" s="282">
        <f t="shared" si="2"/>
        <v>0</v>
      </c>
      <c r="N39" s="282">
        <f t="shared" si="3"/>
        <v>0</v>
      </c>
      <c r="O39" s="282">
        <f>IFERROR(IF(INDEX(Tb_Activiteiten[#All],MATCH(SubsidieTabel!$A39,Tb_Activiteiten[[#All],[Subsidiabele_Activiteit]],0),MATCH(SubsidieTabel!O$1,Tb_Activiteiten[#Headers],0))=1,SubsidieTabel!$J39,0),0)</f>
        <v>0</v>
      </c>
      <c r="P39" s="282">
        <f>IFERROR(IF(INDEX(Tb_Activiteiten[#All],MATCH(SubsidieTabel!$A39,Tb_Activiteiten[[#All],[Subsidiabele_Activiteit]],0),MATCH(SubsidieTabel!P$1,Tb_Activiteiten[#Headers],0))=1,SubsidieTabel!$K39,0),0)</f>
        <v>0</v>
      </c>
      <c r="Q39" s="282">
        <f>IFERROR(IF(INDEX(Tb_Activiteiten[#All],MATCH(SubsidieTabel!$A39,Tb_Activiteiten[[#All],[Subsidiabele_Activiteit]],0),MATCH(SubsidieTabel!Q$1,Tb_Activiteiten[#Headers],0))=1,SubsidieTabel!$J39,0),0)</f>
        <v>0</v>
      </c>
      <c r="R39" s="282">
        <f>IFERROR(IF(INDEX(Tb_Activiteiten[#All],MATCH(SubsidieTabel!$A39,Tb_Activiteiten[[#All],[Subsidiabele_Activiteit]],0),MATCH(SubsidieTabel!R$1,Tb_Activiteiten[#Headers],0))=1,SubsidieTabel!$K39,0),0)</f>
        <v>0</v>
      </c>
      <c r="S39" s="282">
        <f>IFERROR(IF(INDEX(Tb_Activiteiten[#All],MATCH(SubsidieTabel!$A39,Tb_Activiteiten[[#All],[Subsidiabele_Activiteit]],0),MATCH(SubsidieTabel!S$1,Tb_Activiteiten[#Headers],0))=1,SubsidieTabel!$J39,0),0)</f>
        <v>0</v>
      </c>
      <c r="T39" s="282">
        <f>IFERROR(IF(INDEX(Tb_Activiteiten[#All],MATCH(SubsidieTabel!$A39,Tb_Activiteiten[[#All],[Subsidiabele_Activiteit]],0),MATCH(SubsidieTabel!T$1,Tb_Activiteiten[#Headers],0))=1,SubsidieTabel!$K39,0),0)</f>
        <v>0</v>
      </c>
      <c r="U39" s="282">
        <f>IFERROR(IF(INDEX(Tb_Activiteiten[#All],MATCH(SubsidieTabel!$A39,Tb_Activiteiten[[#All],[Subsidiabele_Activiteit]],0),MATCH(SubsidieTabel!U$1,Tb_Activiteiten[#Headers],0))=1,SubsidieTabel!$J39,0),0)</f>
        <v>0</v>
      </c>
      <c r="V39" s="282">
        <f>IFERROR(IF(INDEX(Tb_Activiteiten[#All],MATCH(SubsidieTabel!$A39,Tb_Activiteiten[[#All],[Subsidiabele_Activiteit]],0),MATCH(SubsidieTabel!V$1,Tb_Activiteiten[#Headers],0))=1,SubsidieTabel!$K39,0),0)</f>
        <v>0</v>
      </c>
      <c r="W39" s="64">
        <f>IFERROR(IF(INDEX(Tb_Activiteiten[#All],MATCH(SubsidieTabel!$A39,Tb_Activiteiten[[#All],[Subsidiabele_Activiteit]],0),MATCH(SubsidieTabel!Q$1,Tb_Activiteiten[#Headers],0))=1,H39,0),0)</f>
        <v>0</v>
      </c>
      <c r="X39" s="64">
        <f>IFERROR(IF(INDEX(Tb_Activiteiten[#All],MATCH(SubsidieTabel!$A39,Tb_Activiteiten[[#All],[Subsidiabele_Activiteit]],0),MATCH(SubsidieTabel!Q$1,Tb_Activiteiten[#Headers],0))=1,I39,0),0)</f>
        <v>0</v>
      </c>
      <c r="Y39" s="64">
        <f>IFERROR(IF(INDEX(Tb_Activiteiten[#All],MATCH(SubsidieTabel!$A39,Tb_Activiteiten[[#All],[Subsidiabele_Activiteit]],0),MATCH(SubsidieTabel!S$1,Tb_Activiteiten[#Headers],0))=1,H39,0),0)</f>
        <v>0</v>
      </c>
      <c r="Z39" s="64">
        <f>IFERROR(IF(INDEX(Tb_Activiteiten[#All],MATCH(SubsidieTabel!$A39,Tb_Activiteiten[[#All],[Subsidiabele_Activiteit]],0),MATCH(SubsidieTabel!S$1,Tb_Activiteiten[#Headers],0))=1,I39,0),0)</f>
        <v>0</v>
      </c>
      <c r="AA39" s="64">
        <f>IFERROR(IF(INDEX(Tb_Activiteiten[#All],MATCH(SubsidieTabel!$A39,Tb_Activiteiten[[#All],[Subsidiabele_Activiteit]],0),MATCH(SubsidieTabel!O$1,Tb_Activiteiten[#Headers],0))=1,$F39,0),0)</f>
        <v>0</v>
      </c>
      <c r="AB39" s="64">
        <f>IFERROR(IF(INDEX(Tb_Activiteiten[#All],MATCH(SubsidieTabel!$A39,Tb_Activiteiten[[#All],[Subsidiabele_Activiteit]],0),MATCH(SubsidieTabel!O$1,Tb_Activiteiten[#Headers],0))=1,$G39,0),0)</f>
        <v>0</v>
      </c>
    </row>
    <row r="40" spans="1:40" x14ac:dyDescent="0.25">
      <c r="A40" s="63"/>
      <c r="B40" s="63"/>
      <c r="C40" s="63" t="str">
        <f>IFERROR(VLOOKUP($B40,Tb_ProjectKosten[],4,0),"")</f>
        <v/>
      </c>
      <c r="D40" s="63" t="str" cm="1">
        <f t="array" ref="D40">IFERROR(INDEX(Tb_KostenOpties[],MATCH(B40,Tb_KostenOpties[KostenOptie],0),IFERROR(MATCH(Methode_Keuze,Tb_KostenOpties[#Headers],0),2)),"")</f>
        <v/>
      </c>
      <c r="E40" s="283">
        <f>IFERROR(VLOOKUP(B40,Tb_ProjectKosten[[#All],[KostenOmschrijving]:[Forfait_Percentage]],6,0),0)</f>
        <v>0</v>
      </c>
      <c r="F40" s="284">
        <f>SUMIFS('5. Kosten uitvoering project'!R:R,'5. Kosten uitvoering project'!E:E,SubsidieTabel!A40,'5. Kosten uitvoering project'!F:F,SubsidieTabel!B40)</f>
        <v>0</v>
      </c>
      <c r="G40" s="284">
        <f>SUMIFS('5. Kosten uitvoering project'!S:S,'5. Kosten uitvoering project'!E:E,SubsidieTabel!A40,'5. Kosten uitvoering project'!F:F,SubsidieTabel!B40)</f>
        <v>0</v>
      </c>
      <c r="H40" s="284">
        <f>SUMIFS('5. Kosten uitvoering project'!U:U,'5. Kosten uitvoering project'!E:E,SubsidieTabel!A40,'5. Kosten uitvoering project'!F:F,SubsidieTabel!B40)</f>
        <v>0</v>
      </c>
      <c r="I40" s="284">
        <f>SUMIFS('5. Kosten uitvoering project'!V:V,'5. Kosten uitvoering project'!E:E,SubsidieTabel!A40,'5. Kosten uitvoering project'!F:F,SubsidieTabel!B40)</f>
        <v>0</v>
      </c>
      <c r="J40" s="284">
        <f t="shared" si="0"/>
        <v>0</v>
      </c>
      <c r="K40" s="284">
        <f t="shared" si="1"/>
        <v>0</v>
      </c>
      <c r="L40" s="283" t="str">
        <f>IFERROR(VLOOKUP(A40,Lijsten!$AK:$AL,2,0),"")</f>
        <v/>
      </c>
      <c r="M40" s="284">
        <f t="shared" si="2"/>
        <v>0</v>
      </c>
      <c r="N40" s="284">
        <f t="shared" si="3"/>
        <v>0</v>
      </c>
      <c r="O40" s="284">
        <f>IFERROR(IF(INDEX(Tb_Activiteiten[#All],MATCH(SubsidieTabel!$A40,Tb_Activiteiten[[#All],[Subsidiabele_Activiteit]],0),MATCH(SubsidieTabel!O$1,Tb_Activiteiten[#Headers],0))=1,SubsidieTabel!$J40,0),0)</f>
        <v>0</v>
      </c>
      <c r="P40" s="284">
        <f>IFERROR(IF(INDEX(Tb_Activiteiten[#All],MATCH(SubsidieTabel!$A40,Tb_Activiteiten[[#All],[Subsidiabele_Activiteit]],0),MATCH(SubsidieTabel!P$1,Tb_Activiteiten[#Headers],0))=1,SubsidieTabel!$K40,0),0)</f>
        <v>0</v>
      </c>
      <c r="Q40" s="284">
        <f>IFERROR(IF(INDEX(Tb_Activiteiten[#All],MATCH(SubsidieTabel!$A40,Tb_Activiteiten[[#All],[Subsidiabele_Activiteit]],0),MATCH(SubsidieTabel!Q$1,Tb_Activiteiten[#Headers],0))=1,SubsidieTabel!$J40,0),0)</f>
        <v>0</v>
      </c>
      <c r="R40" s="284">
        <f>IFERROR(IF(INDEX(Tb_Activiteiten[#All],MATCH(SubsidieTabel!$A40,Tb_Activiteiten[[#All],[Subsidiabele_Activiteit]],0),MATCH(SubsidieTabel!R$1,Tb_Activiteiten[#Headers],0))=1,SubsidieTabel!$K40,0),0)</f>
        <v>0</v>
      </c>
      <c r="S40" s="284">
        <f>IFERROR(IF(INDEX(Tb_Activiteiten[#All],MATCH(SubsidieTabel!$A40,Tb_Activiteiten[[#All],[Subsidiabele_Activiteit]],0),MATCH(SubsidieTabel!S$1,Tb_Activiteiten[#Headers],0))=1,SubsidieTabel!$J40,0),0)</f>
        <v>0</v>
      </c>
      <c r="T40" s="284">
        <f>IFERROR(IF(INDEX(Tb_Activiteiten[#All],MATCH(SubsidieTabel!$A40,Tb_Activiteiten[[#All],[Subsidiabele_Activiteit]],0),MATCH(SubsidieTabel!T$1,Tb_Activiteiten[#Headers],0))=1,SubsidieTabel!$K40,0),0)</f>
        <v>0</v>
      </c>
      <c r="U40" s="284">
        <f>IFERROR(IF(INDEX(Tb_Activiteiten[#All],MATCH(SubsidieTabel!$A40,Tb_Activiteiten[[#All],[Subsidiabele_Activiteit]],0),MATCH(SubsidieTabel!U$1,Tb_Activiteiten[#Headers],0))=1,SubsidieTabel!$J40,0),0)</f>
        <v>0</v>
      </c>
      <c r="V40" s="284">
        <f>IFERROR(IF(INDEX(Tb_Activiteiten[#All],MATCH(SubsidieTabel!$A40,Tb_Activiteiten[[#All],[Subsidiabele_Activiteit]],0),MATCH(SubsidieTabel!V$1,Tb_Activiteiten[#Headers],0))=1,SubsidieTabel!$K40,0),0)</f>
        <v>0</v>
      </c>
      <c r="W40" s="369">
        <f>IFERROR(IF(INDEX(Tb_Activiteiten[#All],MATCH(SubsidieTabel!$A40,Tb_Activiteiten[[#All],[Subsidiabele_Activiteit]],0),MATCH(SubsidieTabel!Q$1,Tb_Activiteiten[#Headers],0))=1,H40,0),0)</f>
        <v>0</v>
      </c>
      <c r="X40" s="369">
        <f>IFERROR(IF(INDEX(Tb_Activiteiten[#All],MATCH(SubsidieTabel!$A40,Tb_Activiteiten[[#All],[Subsidiabele_Activiteit]],0),MATCH(SubsidieTabel!Q$1,Tb_Activiteiten[#Headers],0))=1,I40,0),0)</f>
        <v>0</v>
      </c>
      <c r="Y40" s="369">
        <f>IFERROR(IF(INDEX(Tb_Activiteiten[#All],MATCH(SubsidieTabel!$A40,Tb_Activiteiten[[#All],[Subsidiabele_Activiteit]],0),MATCH(SubsidieTabel!S$1,Tb_Activiteiten[#Headers],0))=1,H40,0),0)</f>
        <v>0</v>
      </c>
      <c r="Z40" s="369">
        <f>IFERROR(IF(INDEX(Tb_Activiteiten[#All],MATCH(SubsidieTabel!$A40,Tb_Activiteiten[[#All],[Subsidiabele_Activiteit]],0),MATCH(SubsidieTabel!S$1,Tb_Activiteiten[#Headers],0))=1,I40,0),0)</f>
        <v>0</v>
      </c>
      <c r="AA40" s="369">
        <f>IFERROR(IF(INDEX(Tb_Activiteiten[#All],MATCH(SubsidieTabel!$A40,Tb_Activiteiten[[#All],[Subsidiabele_Activiteit]],0),MATCH(SubsidieTabel!O$1,Tb_Activiteiten[#Headers],0))=1,$F40,0),0)</f>
        <v>0</v>
      </c>
      <c r="AB40" s="369">
        <f>IFERROR(IF(INDEX(Tb_Activiteiten[#All],MATCH(SubsidieTabel!$A40,Tb_Activiteiten[[#All],[Subsidiabele_Activiteit]],0),MATCH(SubsidieTabel!O$1,Tb_Activiteiten[#Headers],0))=1,$G40,0),0)</f>
        <v>0</v>
      </c>
      <c r="AD40" t="s">
        <v>83</v>
      </c>
      <c r="AE40" t="s">
        <v>99</v>
      </c>
      <c r="AF40" t="s">
        <v>101</v>
      </c>
      <c r="AG40" t="s">
        <v>102</v>
      </c>
      <c r="AH40" t="s">
        <v>40</v>
      </c>
      <c r="AI40" t="s">
        <v>331</v>
      </c>
      <c r="AJ40" t="s">
        <v>87</v>
      </c>
      <c r="AK40" t="s">
        <v>88</v>
      </c>
      <c r="AL40" t="s">
        <v>184</v>
      </c>
      <c r="AM40" t="s">
        <v>185</v>
      </c>
      <c r="AN40" t="s">
        <v>56</v>
      </c>
    </row>
    <row r="41" spans="1:40" x14ac:dyDescent="0.25">
      <c r="A41" s="12"/>
      <c r="B41" s="12"/>
      <c r="C41" s="12" t="str">
        <f>IFERROR(VLOOKUP($B41,Tb_ProjectKosten[],4,0),"")</f>
        <v/>
      </c>
      <c r="D41" s="12" t="str" cm="1">
        <f t="array" ref="D41">IFERROR(INDEX(Tb_KostenOpties[],MATCH(B41,Tb_KostenOpties[KostenOptie],0),IFERROR(MATCH(Methode_Keuze,Tb_KostenOpties[#Headers],0),2)),"")</f>
        <v/>
      </c>
      <c r="E41" s="281">
        <f>IFERROR(VLOOKUP(B41,Tb_ProjectKosten[[#All],[KostenOmschrijving]:[Forfait_Percentage]],6,0),0)</f>
        <v>0</v>
      </c>
      <c r="F41" s="282">
        <f>SUMIFS('5. Kosten uitvoering project'!R:R,'5. Kosten uitvoering project'!E:E,SubsidieTabel!A41,'5. Kosten uitvoering project'!F:F,SubsidieTabel!B41)</f>
        <v>0</v>
      </c>
      <c r="G41" s="282">
        <f>SUMIFS('5. Kosten uitvoering project'!S:S,'5. Kosten uitvoering project'!E:E,SubsidieTabel!A41,'5. Kosten uitvoering project'!F:F,SubsidieTabel!B41)</f>
        <v>0</v>
      </c>
      <c r="H41" s="282">
        <f>SUMIFS('5. Kosten uitvoering project'!U:U,'5. Kosten uitvoering project'!E:E,SubsidieTabel!A41,'5. Kosten uitvoering project'!F:F,SubsidieTabel!B41)</f>
        <v>0</v>
      </c>
      <c r="I41" s="282">
        <f>SUMIFS('5. Kosten uitvoering project'!V:V,'5. Kosten uitvoering project'!E:E,SubsidieTabel!A41,'5. Kosten uitvoering project'!F:F,SubsidieTabel!B41)</f>
        <v>0</v>
      </c>
      <c r="J41" s="282">
        <f t="shared" si="0"/>
        <v>0</v>
      </c>
      <c r="K41" s="282">
        <f t="shared" si="1"/>
        <v>0</v>
      </c>
      <c r="L41" s="281" t="str">
        <f>IFERROR(VLOOKUP(A41,Lijsten!$AK:$AL,2,0),"")</f>
        <v/>
      </c>
      <c r="M41" s="282">
        <f t="shared" si="2"/>
        <v>0</v>
      </c>
      <c r="N41" s="282">
        <f t="shared" si="3"/>
        <v>0</v>
      </c>
      <c r="O41" s="282">
        <f>IFERROR(IF(INDEX(Tb_Activiteiten[#All],MATCH(SubsidieTabel!$A41,Tb_Activiteiten[[#All],[Subsidiabele_Activiteit]],0),MATCH(SubsidieTabel!O$1,Tb_Activiteiten[#Headers],0))=1,SubsidieTabel!$J41,0),0)</f>
        <v>0</v>
      </c>
      <c r="P41" s="282">
        <f>IFERROR(IF(INDEX(Tb_Activiteiten[#All],MATCH(SubsidieTabel!$A41,Tb_Activiteiten[[#All],[Subsidiabele_Activiteit]],0),MATCH(SubsidieTabel!P$1,Tb_Activiteiten[#Headers],0))=1,SubsidieTabel!$K41,0),0)</f>
        <v>0</v>
      </c>
      <c r="Q41" s="282">
        <f>IFERROR(IF(INDEX(Tb_Activiteiten[#All],MATCH(SubsidieTabel!$A41,Tb_Activiteiten[[#All],[Subsidiabele_Activiteit]],0),MATCH(SubsidieTabel!Q$1,Tb_Activiteiten[#Headers],0))=1,SubsidieTabel!$J41,0),0)</f>
        <v>0</v>
      </c>
      <c r="R41" s="282">
        <f>IFERROR(IF(INDEX(Tb_Activiteiten[#All],MATCH(SubsidieTabel!$A41,Tb_Activiteiten[[#All],[Subsidiabele_Activiteit]],0),MATCH(SubsidieTabel!R$1,Tb_Activiteiten[#Headers],0))=1,SubsidieTabel!$K41,0),0)</f>
        <v>0</v>
      </c>
      <c r="S41" s="282">
        <f>IFERROR(IF(INDEX(Tb_Activiteiten[#All],MATCH(SubsidieTabel!$A41,Tb_Activiteiten[[#All],[Subsidiabele_Activiteit]],0),MATCH(SubsidieTabel!S$1,Tb_Activiteiten[#Headers],0))=1,SubsidieTabel!$J41,0),0)</f>
        <v>0</v>
      </c>
      <c r="T41" s="282">
        <f>IFERROR(IF(INDEX(Tb_Activiteiten[#All],MATCH(SubsidieTabel!$A41,Tb_Activiteiten[[#All],[Subsidiabele_Activiteit]],0),MATCH(SubsidieTabel!T$1,Tb_Activiteiten[#Headers],0))=1,SubsidieTabel!$K41,0),0)</f>
        <v>0</v>
      </c>
      <c r="U41" s="282">
        <f>IFERROR(IF(INDEX(Tb_Activiteiten[#All],MATCH(SubsidieTabel!$A41,Tb_Activiteiten[[#All],[Subsidiabele_Activiteit]],0),MATCH(SubsidieTabel!U$1,Tb_Activiteiten[#Headers],0))=1,SubsidieTabel!$J41,0),0)</f>
        <v>0</v>
      </c>
      <c r="V41" s="282">
        <f>IFERROR(IF(INDEX(Tb_Activiteiten[#All],MATCH(SubsidieTabel!$A41,Tb_Activiteiten[[#All],[Subsidiabele_Activiteit]],0),MATCH(SubsidieTabel!V$1,Tb_Activiteiten[#Headers],0))=1,SubsidieTabel!$K41,0),0)</f>
        <v>0</v>
      </c>
      <c r="W41" s="64">
        <f>IFERROR(IF(INDEX(Tb_Activiteiten[#All],MATCH(SubsidieTabel!$A41,Tb_Activiteiten[[#All],[Subsidiabele_Activiteit]],0),MATCH(SubsidieTabel!Q$1,Tb_Activiteiten[#Headers],0))=1,H41,0),0)</f>
        <v>0</v>
      </c>
      <c r="X41" s="64">
        <f>IFERROR(IF(INDEX(Tb_Activiteiten[#All],MATCH(SubsidieTabel!$A41,Tb_Activiteiten[[#All],[Subsidiabele_Activiteit]],0),MATCH(SubsidieTabel!Q$1,Tb_Activiteiten[#Headers],0))=1,I41,0),0)</f>
        <v>0</v>
      </c>
      <c r="Y41" s="64">
        <f>IFERROR(IF(INDEX(Tb_Activiteiten[#All],MATCH(SubsidieTabel!$A41,Tb_Activiteiten[[#All],[Subsidiabele_Activiteit]],0),MATCH(SubsidieTabel!S$1,Tb_Activiteiten[#Headers],0))=1,H41,0),0)</f>
        <v>0</v>
      </c>
      <c r="Z41" s="64">
        <f>IFERROR(IF(INDEX(Tb_Activiteiten[#All],MATCH(SubsidieTabel!$A41,Tb_Activiteiten[[#All],[Subsidiabele_Activiteit]],0),MATCH(SubsidieTabel!S$1,Tb_Activiteiten[#Headers],0))=1,I41,0),0)</f>
        <v>0</v>
      </c>
      <c r="AA41" s="64">
        <f>IFERROR(IF(INDEX(Tb_Activiteiten[#All],MATCH(SubsidieTabel!$A41,Tb_Activiteiten[[#All],[Subsidiabele_Activiteit]],0),MATCH(SubsidieTabel!O$1,Tb_Activiteiten[#Headers],0))=1,$F41,0),0)</f>
        <v>0</v>
      </c>
      <c r="AB41" s="64">
        <f>IFERROR(IF(INDEX(Tb_Activiteiten[#All],MATCH(SubsidieTabel!$A41,Tb_Activiteiten[[#All],[Subsidiabele_Activiteit]],0),MATCH(SubsidieTabel!O$1,Tb_Activiteiten[#Headers],0))=1,$G41,0),0)</f>
        <v>0</v>
      </c>
      <c r="AD41" s="12" t="str">
        <f t="shared" ref="AD41:AD51" si="7">$AD28</f>
        <v>Arbeidskosten</v>
      </c>
      <c r="AE41" s="68" t="str">
        <f t="shared" ref="AE41:AE50" si="8">IF(Keuze_DB_Nr_BEO&lt;&gt;"",Keuze_DB_Nr_BEO,"")</f>
        <v/>
      </c>
      <c r="AF41" s="64">
        <f>IF(Tb_DBKostenBEO[[#This Row],[Forfait]]=1,SUMIFS('8. Uitgaven betaalverzoek'!W:W,'8. Uitgaven betaalverzoek'!F:F,Tb_DBKostenBEO[[#This Row],[KostenOmschrijving]],'8. Uitgaven betaalverzoek'!A:A,Tb_DBKostenBEO[[#This Row],[Deelbetaling]]),0)</f>
        <v>0</v>
      </c>
      <c r="AG41" s="64">
        <f>IF(Tb_DBKostenBEO[[#This Row],[Forfait]]=1,SUMIFS('8. Uitgaven betaalverzoek'!X:X,'8. Uitgaven betaalverzoek'!F:F,Tb_DBKostenBEO[[#This Row],[KostenOmschrijving]],'8. Uitgaven betaalverzoek'!A:A,Tb_DBKostenBEO[[#This Row],[Deelbetaling]]),0)</f>
        <v>0</v>
      </c>
      <c r="AH41" cm="1">
        <f t="array" ref="AH41">INDEX(Tb_KostenOptiesDB[],MATCH(Tb_DBKostenBEO[[#This Row],[KostenOmschrijving]],Tb_KostenOptiesDB[KostenOptie],0),IFERROR(MATCH(Methode_Keuze,Tb_KostenOptiesDB[#Headers],0),2))</f>
        <v>1</v>
      </c>
      <c r="AI41" s="65">
        <v>0.4</v>
      </c>
      <c r="AJ41" s="64">
        <f>IF(Tb_DBKostenBEO[[#This Row],[Forfait]]=1,SUMIFS('8. Uitgaven betaalverzoek'!Z:Z,'8. Uitgaven betaalverzoek'!F:F,Tb_DBKostenBEO[[#This Row],[KostenOmschrijving]],'8. Uitgaven betaalverzoek'!A:A,Tb_DBKostenBEO[[#This Row],[Deelbetaling]]),0)</f>
        <v>0</v>
      </c>
      <c r="AK41" s="64">
        <f>IF(Tb_DBKostenBEO[[#This Row],[Forfait]]=1,SUMIFS('8. Uitgaven betaalverzoek'!AA:AA,'8. Uitgaven betaalverzoek'!F:F,Tb_DBKostenBEO[[#This Row],[KostenOmschrijving]],'8. Uitgaven betaalverzoek'!A:A,Tb_DBKostenBEO[[#This Row],[Deelbetaling]]),0)</f>
        <v>0</v>
      </c>
      <c r="AL41" s="64">
        <f>Tb_DBKostenBEO[[#This Row],[Deelbetaling_Aanvraag]]+Tb_DBKostenBEO[[#This Row],[Forfait_Bedrag]]</f>
        <v>0</v>
      </c>
      <c r="AM41" s="64">
        <f>Tb_DBKostenBEO[[#This Row],[Deelbetaling_Beoordeeld]]+Tb_DBKostenBEO[[#This Row],[Forfait_Bedrag_Beoordeeld]]</f>
        <v>0</v>
      </c>
      <c r="AN41" t="str">
        <f>IF(Tb_DBKostenBEO[[#This Row],[Forfait]]=0,"Dit kostentype hoeft u niet op te geven. Hiervoor wordt een forfait berekend.","")</f>
        <v/>
      </c>
    </row>
    <row r="42" spans="1:40" x14ac:dyDescent="0.25">
      <c r="A42" s="63"/>
      <c r="B42" s="63"/>
      <c r="C42" s="63" t="str">
        <f>IFERROR(VLOOKUP($B42,Tb_ProjectKosten[],4,0),"")</f>
        <v/>
      </c>
      <c r="D42" s="63" t="str" cm="1">
        <f t="array" ref="D42">IFERROR(INDEX(Tb_KostenOpties[],MATCH(B42,Tb_KostenOpties[KostenOptie],0),IFERROR(MATCH(Methode_Keuze,Tb_KostenOpties[#Headers],0),2)),"")</f>
        <v/>
      </c>
      <c r="E42" s="283">
        <f>IFERROR(VLOOKUP(B42,Tb_ProjectKosten[[#All],[KostenOmschrijving]:[Forfait_Percentage]],6,0),0)</f>
        <v>0</v>
      </c>
      <c r="F42" s="284">
        <f>SUMIFS('5. Kosten uitvoering project'!R:R,'5. Kosten uitvoering project'!E:E,SubsidieTabel!A42,'5. Kosten uitvoering project'!F:F,SubsidieTabel!B42)</f>
        <v>0</v>
      </c>
      <c r="G42" s="284">
        <f>SUMIFS('5. Kosten uitvoering project'!S:S,'5. Kosten uitvoering project'!E:E,SubsidieTabel!A42,'5. Kosten uitvoering project'!F:F,SubsidieTabel!B42)</f>
        <v>0</v>
      </c>
      <c r="H42" s="284">
        <f>SUMIFS('5. Kosten uitvoering project'!U:U,'5. Kosten uitvoering project'!E:E,SubsidieTabel!A42,'5. Kosten uitvoering project'!F:F,SubsidieTabel!B42)</f>
        <v>0</v>
      </c>
      <c r="I42" s="284">
        <f>SUMIFS('5. Kosten uitvoering project'!V:V,'5. Kosten uitvoering project'!E:E,SubsidieTabel!A42,'5. Kosten uitvoering project'!F:F,SubsidieTabel!B42)</f>
        <v>0</v>
      </c>
      <c r="J42" s="284">
        <f t="shared" si="0"/>
        <v>0</v>
      </c>
      <c r="K42" s="284">
        <f t="shared" si="1"/>
        <v>0</v>
      </c>
      <c r="L42" s="283" t="str">
        <f>IFERROR(VLOOKUP(A42,Lijsten!$AK:$AL,2,0),"")</f>
        <v/>
      </c>
      <c r="M42" s="284">
        <f t="shared" si="2"/>
        <v>0</v>
      </c>
      <c r="N42" s="284">
        <f t="shared" si="3"/>
        <v>0</v>
      </c>
      <c r="O42" s="284">
        <f>IFERROR(IF(INDEX(Tb_Activiteiten[#All],MATCH(SubsidieTabel!$A42,Tb_Activiteiten[[#All],[Subsidiabele_Activiteit]],0),MATCH(SubsidieTabel!O$1,Tb_Activiteiten[#Headers],0))=1,SubsidieTabel!$J42,0),0)</f>
        <v>0</v>
      </c>
      <c r="P42" s="284">
        <f>IFERROR(IF(INDEX(Tb_Activiteiten[#All],MATCH(SubsidieTabel!$A42,Tb_Activiteiten[[#All],[Subsidiabele_Activiteit]],0),MATCH(SubsidieTabel!P$1,Tb_Activiteiten[#Headers],0))=1,SubsidieTabel!$K42,0),0)</f>
        <v>0</v>
      </c>
      <c r="Q42" s="284">
        <f>IFERROR(IF(INDEX(Tb_Activiteiten[#All],MATCH(SubsidieTabel!$A42,Tb_Activiteiten[[#All],[Subsidiabele_Activiteit]],0),MATCH(SubsidieTabel!Q$1,Tb_Activiteiten[#Headers],0))=1,SubsidieTabel!$J42,0),0)</f>
        <v>0</v>
      </c>
      <c r="R42" s="284">
        <f>IFERROR(IF(INDEX(Tb_Activiteiten[#All],MATCH(SubsidieTabel!$A42,Tb_Activiteiten[[#All],[Subsidiabele_Activiteit]],0),MATCH(SubsidieTabel!R$1,Tb_Activiteiten[#Headers],0))=1,SubsidieTabel!$K42,0),0)</f>
        <v>0</v>
      </c>
      <c r="S42" s="284">
        <f>IFERROR(IF(INDEX(Tb_Activiteiten[#All],MATCH(SubsidieTabel!$A42,Tb_Activiteiten[[#All],[Subsidiabele_Activiteit]],0),MATCH(SubsidieTabel!S$1,Tb_Activiteiten[#Headers],0))=1,SubsidieTabel!$J42,0),0)</f>
        <v>0</v>
      </c>
      <c r="T42" s="284">
        <f>IFERROR(IF(INDEX(Tb_Activiteiten[#All],MATCH(SubsidieTabel!$A42,Tb_Activiteiten[[#All],[Subsidiabele_Activiteit]],0),MATCH(SubsidieTabel!T$1,Tb_Activiteiten[#Headers],0))=1,SubsidieTabel!$K42,0),0)</f>
        <v>0</v>
      </c>
      <c r="U42" s="284">
        <f>IFERROR(IF(INDEX(Tb_Activiteiten[#All],MATCH(SubsidieTabel!$A42,Tb_Activiteiten[[#All],[Subsidiabele_Activiteit]],0),MATCH(SubsidieTabel!U$1,Tb_Activiteiten[#Headers],0))=1,SubsidieTabel!$J42,0),0)</f>
        <v>0</v>
      </c>
      <c r="V42" s="284">
        <f>IFERROR(IF(INDEX(Tb_Activiteiten[#All],MATCH(SubsidieTabel!$A42,Tb_Activiteiten[[#All],[Subsidiabele_Activiteit]],0),MATCH(SubsidieTabel!V$1,Tb_Activiteiten[#Headers],0))=1,SubsidieTabel!$K42,0),0)</f>
        <v>0</v>
      </c>
      <c r="W42" s="369">
        <f>IFERROR(IF(INDEX(Tb_Activiteiten[#All],MATCH(SubsidieTabel!$A42,Tb_Activiteiten[[#All],[Subsidiabele_Activiteit]],0),MATCH(SubsidieTabel!Q$1,Tb_Activiteiten[#Headers],0))=1,H42,0),0)</f>
        <v>0</v>
      </c>
      <c r="X42" s="369">
        <f>IFERROR(IF(INDEX(Tb_Activiteiten[#All],MATCH(SubsidieTabel!$A42,Tb_Activiteiten[[#All],[Subsidiabele_Activiteit]],0),MATCH(SubsidieTabel!Q$1,Tb_Activiteiten[#Headers],0))=1,I42,0),0)</f>
        <v>0</v>
      </c>
      <c r="Y42" s="369">
        <f>IFERROR(IF(INDEX(Tb_Activiteiten[#All],MATCH(SubsidieTabel!$A42,Tb_Activiteiten[[#All],[Subsidiabele_Activiteit]],0),MATCH(SubsidieTabel!S$1,Tb_Activiteiten[#Headers],0))=1,H42,0),0)</f>
        <v>0</v>
      </c>
      <c r="Z42" s="369">
        <f>IFERROR(IF(INDEX(Tb_Activiteiten[#All],MATCH(SubsidieTabel!$A42,Tb_Activiteiten[[#All],[Subsidiabele_Activiteit]],0),MATCH(SubsidieTabel!S$1,Tb_Activiteiten[#Headers],0))=1,I42,0),0)</f>
        <v>0</v>
      </c>
      <c r="AA42" s="369">
        <f>IFERROR(IF(INDEX(Tb_Activiteiten[#All],MATCH(SubsidieTabel!$A42,Tb_Activiteiten[[#All],[Subsidiabele_Activiteit]],0),MATCH(SubsidieTabel!O$1,Tb_Activiteiten[#Headers],0))=1,$F42,0),0)</f>
        <v>0</v>
      </c>
      <c r="AB42" s="369">
        <f>IFERROR(IF(INDEX(Tb_Activiteiten[#All],MATCH(SubsidieTabel!$A42,Tb_Activiteiten[[#All],[Subsidiabele_Activiteit]],0),MATCH(SubsidieTabel!O$1,Tb_Activiteiten[#Headers],0))=1,$G42,0),0)</f>
        <v>0</v>
      </c>
      <c r="AD42" s="12" t="str">
        <f t="shared" si="7"/>
        <v>Arbeidskosten op basis van IKS</v>
      </c>
      <c r="AE42" t="str">
        <f t="shared" si="8"/>
        <v/>
      </c>
      <c r="AF42" s="64">
        <f>IF(Tb_DBKostenBEO[[#This Row],[Forfait]]=1,SUMIFS('8. Uitgaven betaalverzoek'!W:W,'8. Uitgaven betaalverzoek'!F:F,Tb_DBKostenBEO[[#This Row],[KostenOmschrijving]],'8. Uitgaven betaalverzoek'!A:A,Tb_DBKostenBEO[[#This Row],[Deelbetaling]]),0)</f>
        <v>0</v>
      </c>
      <c r="AG42" s="64">
        <f>IF(Tb_DBKostenBEO[[#This Row],[Forfait]]=1,SUMIFS('8. Uitgaven betaalverzoek'!X:X,'8. Uitgaven betaalverzoek'!F:F,Tb_DBKostenBEO[[#This Row],[KostenOmschrijving]],'8. Uitgaven betaalverzoek'!A:A,Tb_DBKostenBEO[[#This Row],[Deelbetaling]]),0)</f>
        <v>0</v>
      </c>
      <c r="AH42" cm="1">
        <f t="array" ref="AH42">INDEX(Tb_KostenOptiesDB[],MATCH(Tb_DBKostenBEO[[#This Row],[KostenOmschrijving]],Tb_KostenOptiesDB[KostenOptie],0),IFERROR(MATCH(Methode_Keuze,Tb_KostenOptiesDB[#Headers],0),2))</f>
        <v>1</v>
      </c>
      <c r="AI42" s="65">
        <v>0</v>
      </c>
      <c r="AJ42" s="64">
        <f>IF(Tb_DBKostenBEO[[#This Row],[Forfait]]=1,SUMIFS('8. Uitgaven betaalverzoek'!Z:Z,'8. Uitgaven betaalverzoek'!F:F,Tb_DBKostenBEO[[#This Row],[KostenOmschrijving]],'8. Uitgaven betaalverzoek'!A:A,Tb_DBKostenBEO[[#This Row],[Deelbetaling]]),0)</f>
        <v>0</v>
      </c>
      <c r="AK42" s="64">
        <f>IF(Tb_DBKostenBEO[[#This Row],[Forfait]]=1,SUMIFS('8. Uitgaven betaalverzoek'!AA:AA,'8. Uitgaven betaalverzoek'!F:F,Tb_DBKostenBEO[[#This Row],[KostenOmschrijving]],'8. Uitgaven betaalverzoek'!A:A,Tb_DBKostenBEO[[#This Row],[Deelbetaling]]),0)</f>
        <v>0</v>
      </c>
      <c r="AL42" s="64">
        <f>Tb_DBKostenBEO[[#This Row],[Deelbetaling_Aanvraag]]+Tb_DBKostenBEO[[#This Row],[Forfait_Bedrag]]</f>
        <v>0</v>
      </c>
      <c r="AM42" s="64">
        <f>Tb_DBKostenBEO[[#This Row],[Deelbetaling_Beoordeeld]]+Tb_DBKostenBEO[[#This Row],[Forfait_Bedrag_Beoordeeld]]</f>
        <v>0</v>
      </c>
      <c r="AN42" t="str">
        <f>IF(Tb_DBKostenBEO[[#This Row],[Forfait]]=0,"Dit kostentype hoeft u niet op te geven. Hiervoor wordt een forfait berekend.","")</f>
        <v/>
      </c>
    </row>
    <row r="43" spans="1:40" x14ac:dyDescent="0.25">
      <c r="A43" s="12"/>
      <c r="B43" s="12"/>
      <c r="C43" s="12" t="str">
        <f>IFERROR(VLOOKUP($B43,Tb_ProjectKosten[],4,0),"")</f>
        <v/>
      </c>
      <c r="D43" s="12" t="str" cm="1">
        <f t="array" ref="D43">IFERROR(INDEX(Tb_KostenOpties[],MATCH(B43,Tb_KostenOpties[KostenOptie],0),IFERROR(MATCH(Methode_Keuze,Tb_KostenOpties[#Headers],0),2)),"")</f>
        <v/>
      </c>
      <c r="E43" s="281">
        <f>IFERROR(VLOOKUP(B43,Tb_ProjectKosten[[#All],[KostenOmschrijving]:[Forfait_Percentage]],6,0),0)</f>
        <v>0</v>
      </c>
      <c r="F43" s="282">
        <f>SUMIFS('5. Kosten uitvoering project'!R:R,'5. Kosten uitvoering project'!E:E,SubsidieTabel!A43,'5. Kosten uitvoering project'!F:F,SubsidieTabel!B43)</f>
        <v>0</v>
      </c>
      <c r="G43" s="282">
        <f>SUMIFS('5. Kosten uitvoering project'!S:S,'5. Kosten uitvoering project'!E:E,SubsidieTabel!A43,'5. Kosten uitvoering project'!F:F,SubsidieTabel!B43)</f>
        <v>0</v>
      </c>
      <c r="H43" s="282">
        <f>SUMIFS('5. Kosten uitvoering project'!U:U,'5. Kosten uitvoering project'!E:E,SubsidieTabel!A43,'5. Kosten uitvoering project'!F:F,SubsidieTabel!B43)</f>
        <v>0</v>
      </c>
      <c r="I43" s="282">
        <f>SUMIFS('5. Kosten uitvoering project'!V:V,'5. Kosten uitvoering project'!E:E,SubsidieTabel!A43,'5. Kosten uitvoering project'!F:F,SubsidieTabel!B43)</f>
        <v>0</v>
      </c>
      <c r="J43" s="282">
        <f t="shared" si="0"/>
        <v>0</v>
      </c>
      <c r="K43" s="282">
        <f t="shared" si="1"/>
        <v>0</v>
      </c>
      <c r="L43" s="281" t="str">
        <f>IFERROR(VLOOKUP(A43,Lijsten!$AK:$AL,2,0),"")</f>
        <v/>
      </c>
      <c r="M43" s="282">
        <f t="shared" si="2"/>
        <v>0</v>
      </c>
      <c r="N43" s="282">
        <f t="shared" si="3"/>
        <v>0</v>
      </c>
      <c r="O43" s="282">
        <f>IFERROR(IF(INDEX(Tb_Activiteiten[#All],MATCH(SubsidieTabel!$A43,Tb_Activiteiten[[#All],[Subsidiabele_Activiteit]],0),MATCH(SubsidieTabel!O$1,Tb_Activiteiten[#Headers],0))=1,SubsidieTabel!$J43,0),0)</f>
        <v>0</v>
      </c>
      <c r="P43" s="282">
        <f>IFERROR(IF(INDEX(Tb_Activiteiten[#All],MATCH(SubsidieTabel!$A43,Tb_Activiteiten[[#All],[Subsidiabele_Activiteit]],0),MATCH(SubsidieTabel!P$1,Tb_Activiteiten[#Headers],0))=1,SubsidieTabel!$K43,0),0)</f>
        <v>0</v>
      </c>
      <c r="Q43" s="282">
        <f>IFERROR(IF(INDEX(Tb_Activiteiten[#All],MATCH(SubsidieTabel!$A43,Tb_Activiteiten[[#All],[Subsidiabele_Activiteit]],0),MATCH(SubsidieTabel!Q$1,Tb_Activiteiten[#Headers],0))=1,SubsidieTabel!$J43,0),0)</f>
        <v>0</v>
      </c>
      <c r="R43" s="282">
        <f>IFERROR(IF(INDEX(Tb_Activiteiten[#All],MATCH(SubsidieTabel!$A43,Tb_Activiteiten[[#All],[Subsidiabele_Activiteit]],0),MATCH(SubsidieTabel!R$1,Tb_Activiteiten[#Headers],0))=1,SubsidieTabel!$K43,0),0)</f>
        <v>0</v>
      </c>
      <c r="S43" s="282">
        <f>IFERROR(IF(INDEX(Tb_Activiteiten[#All],MATCH(SubsidieTabel!$A43,Tb_Activiteiten[[#All],[Subsidiabele_Activiteit]],0),MATCH(SubsidieTabel!S$1,Tb_Activiteiten[#Headers],0))=1,SubsidieTabel!$J43,0),0)</f>
        <v>0</v>
      </c>
      <c r="T43" s="282">
        <f>IFERROR(IF(INDEX(Tb_Activiteiten[#All],MATCH(SubsidieTabel!$A43,Tb_Activiteiten[[#All],[Subsidiabele_Activiteit]],0),MATCH(SubsidieTabel!T$1,Tb_Activiteiten[#Headers],0))=1,SubsidieTabel!$K43,0),0)</f>
        <v>0</v>
      </c>
      <c r="U43" s="282">
        <f>IFERROR(IF(INDEX(Tb_Activiteiten[#All],MATCH(SubsidieTabel!$A43,Tb_Activiteiten[[#All],[Subsidiabele_Activiteit]],0),MATCH(SubsidieTabel!U$1,Tb_Activiteiten[#Headers],0))=1,SubsidieTabel!$J43,0),0)</f>
        <v>0</v>
      </c>
      <c r="V43" s="282">
        <f>IFERROR(IF(INDEX(Tb_Activiteiten[#All],MATCH(SubsidieTabel!$A43,Tb_Activiteiten[[#All],[Subsidiabele_Activiteit]],0),MATCH(SubsidieTabel!V$1,Tb_Activiteiten[#Headers],0))=1,SubsidieTabel!$K43,0),0)</f>
        <v>0</v>
      </c>
      <c r="W43" s="64">
        <f>IFERROR(IF(INDEX(Tb_Activiteiten[#All],MATCH(SubsidieTabel!$A43,Tb_Activiteiten[[#All],[Subsidiabele_Activiteit]],0),MATCH(SubsidieTabel!Q$1,Tb_Activiteiten[#Headers],0))=1,H43,0),0)</f>
        <v>0</v>
      </c>
      <c r="X43" s="64">
        <f>IFERROR(IF(INDEX(Tb_Activiteiten[#All],MATCH(SubsidieTabel!$A43,Tb_Activiteiten[[#All],[Subsidiabele_Activiteit]],0),MATCH(SubsidieTabel!Q$1,Tb_Activiteiten[#Headers],0))=1,I43,0),0)</f>
        <v>0</v>
      </c>
      <c r="Y43" s="64">
        <f>IFERROR(IF(INDEX(Tb_Activiteiten[#All],MATCH(SubsidieTabel!$A43,Tb_Activiteiten[[#All],[Subsidiabele_Activiteit]],0),MATCH(SubsidieTabel!S$1,Tb_Activiteiten[#Headers],0))=1,H43,0),0)</f>
        <v>0</v>
      </c>
      <c r="Z43" s="64">
        <f>IFERROR(IF(INDEX(Tb_Activiteiten[#All],MATCH(SubsidieTabel!$A43,Tb_Activiteiten[[#All],[Subsidiabele_Activiteit]],0),MATCH(SubsidieTabel!S$1,Tb_Activiteiten[#Headers],0))=1,I43,0),0)</f>
        <v>0</v>
      </c>
      <c r="AA43" s="64">
        <f>IFERROR(IF(INDEX(Tb_Activiteiten[#All],MATCH(SubsidieTabel!$A43,Tb_Activiteiten[[#All],[Subsidiabele_Activiteit]],0),MATCH(SubsidieTabel!O$1,Tb_Activiteiten[#Headers],0))=1,$F43,0),0)</f>
        <v>0</v>
      </c>
      <c r="AB43" s="64">
        <f>IFERROR(IF(INDEX(Tb_Activiteiten[#All],MATCH(SubsidieTabel!$A43,Tb_Activiteiten[[#All],[Subsidiabele_Activiteit]],0),MATCH(SubsidieTabel!O$1,Tb_Activiteiten[#Headers],0))=1,$G43,0),0)</f>
        <v>0</v>
      </c>
      <c r="AD43" s="12" t="str">
        <f t="shared" si="7"/>
        <v>Kosten derden exclusief btw</v>
      </c>
      <c r="AE43" s="68" t="str">
        <f t="shared" si="8"/>
        <v/>
      </c>
      <c r="AF43" s="64">
        <f>IF(Tb_DBKostenBEO[[#This Row],[Forfait]]=1,SUMIFS('8. Uitgaven betaalverzoek'!W:W,'8. Uitgaven betaalverzoek'!F:F,Tb_DBKostenBEO[[#This Row],[KostenOmschrijving]],'8. Uitgaven betaalverzoek'!A:A,Tb_DBKostenBEO[[#This Row],[Deelbetaling]]),0)</f>
        <v>0</v>
      </c>
      <c r="AG43" s="64">
        <f>IF(Tb_DBKostenBEO[[#This Row],[Forfait]]=1,SUMIFS('8. Uitgaven betaalverzoek'!X:X,'8. Uitgaven betaalverzoek'!F:F,Tb_DBKostenBEO[[#This Row],[KostenOmschrijving]],'8. Uitgaven betaalverzoek'!A:A,Tb_DBKostenBEO[[#This Row],[Deelbetaling]]),0)</f>
        <v>0</v>
      </c>
      <c r="AH43" cm="1">
        <f t="array" ref="AH43">INDEX(Tb_KostenOptiesDB[],MATCH(Tb_DBKostenBEO[[#This Row],[KostenOmschrijving]],Tb_KostenOptiesDB[KostenOptie],0),IFERROR(MATCH(Methode_Keuze,Tb_KostenOptiesDB[#Headers],0),2))</f>
        <v>1</v>
      </c>
      <c r="AI43" s="65">
        <v>0.23</v>
      </c>
      <c r="AJ43" s="64">
        <f>IF(Tb_DBKostenBEO[[#This Row],[Forfait]]=1,SUMIFS('8. Uitgaven betaalverzoek'!Z:Z,'8. Uitgaven betaalverzoek'!F:F,Tb_DBKostenBEO[[#This Row],[KostenOmschrijving]],'8. Uitgaven betaalverzoek'!A:A,Tb_DBKostenBEO[[#This Row],[Deelbetaling]]),0)</f>
        <v>0</v>
      </c>
      <c r="AK43" s="64">
        <f>IF(Tb_DBKostenBEO[[#This Row],[Forfait]]=1,SUMIFS('8. Uitgaven betaalverzoek'!AA:AA,'8. Uitgaven betaalverzoek'!F:F,Tb_DBKostenBEO[[#This Row],[KostenOmschrijving]],'8. Uitgaven betaalverzoek'!A:A,Tb_DBKostenBEO[[#This Row],[Deelbetaling]]),0)</f>
        <v>0</v>
      </c>
      <c r="AL43" s="64">
        <f>Tb_DBKostenBEO[[#This Row],[Deelbetaling_Aanvraag]]+Tb_DBKostenBEO[[#This Row],[Forfait_Bedrag]]</f>
        <v>0</v>
      </c>
      <c r="AM43" s="64">
        <f>Tb_DBKostenBEO[[#This Row],[Deelbetaling_Beoordeeld]]+Tb_DBKostenBEO[[#This Row],[Forfait_Bedrag_Beoordeeld]]</f>
        <v>0</v>
      </c>
      <c r="AN43" t="str">
        <f>IF(Tb_DBKostenBEO[[#This Row],[Forfait]]=0,"Dit kostentype hoeft u niet op te geven. Hiervoor wordt een forfait berekend.","")</f>
        <v/>
      </c>
    </row>
    <row r="44" spans="1:40" x14ac:dyDescent="0.25">
      <c r="A44" s="63"/>
      <c r="B44" s="63"/>
      <c r="C44" s="63" t="str">
        <f>IFERROR(VLOOKUP($B44,Tb_ProjectKosten[],4,0),"")</f>
        <v/>
      </c>
      <c r="D44" s="63" t="str" cm="1">
        <f t="array" ref="D44">IFERROR(INDEX(Tb_KostenOpties[],MATCH(B44,Tb_KostenOpties[KostenOptie],0),IFERROR(MATCH(Methode_Keuze,Tb_KostenOpties[#Headers],0),2)),"")</f>
        <v/>
      </c>
      <c r="E44" s="283">
        <f>IFERROR(VLOOKUP(B44,Tb_ProjectKosten[[#All],[KostenOmschrijving]:[Forfait_Percentage]],6,0),0)</f>
        <v>0</v>
      </c>
      <c r="F44" s="284">
        <f>SUMIFS('5. Kosten uitvoering project'!R:R,'5. Kosten uitvoering project'!E:E,SubsidieTabel!A44,'5. Kosten uitvoering project'!F:F,SubsidieTabel!B44)</f>
        <v>0</v>
      </c>
      <c r="G44" s="284">
        <f>SUMIFS('5. Kosten uitvoering project'!S:S,'5. Kosten uitvoering project'!E:E,SubsidieTabel!A44,'5. Kosten uitvoering project'!F:F,SubsidieTabel!B44)</f>
        <v>0</v>
      </c>
      <c r="H44" s="284">
        <f>SUMIFS('5. Kosten uitvoering project'!U:U,'5. Kosten uitvoering project'!E:E,SubsidieTabel!A44,'5. Kosten uitvoering project'!F:F,SubsidieTabel!B44)</f>
        <v>0</v>
      </c>
      <c r="I44" s="284">
        <f>SUMIFS('5. Kosten uitvoering project'!V:V,'5. Kosten uitvoering project'!E:E,SubsidieTabel!A44,'5. Kosten uitvoering project'!F:F,SubsidieTabel!B44)</f>
        <v>0</v>
      </c>
      <c r="J44" s="284">
        <f t="shared" si="0"/>
        <v>0</v>
      </c>
      <c r="K44" s="284">
        <f t="shared" si="1"/>
        <v>0</v>
      </c>
      <c r="L44" s="283" t="str">
        <f>IFERROR(VLOOKUP(A44,Lijsten!$AK:$AL,2,0),"")</f>
        <v/>
      </c>
      <c r="M44" s="284">
        <f t="shared" si="2"/>
        <v>0</v>
      </c>
      <c r="N44" s="284">
        <f t="shared" si="3"/>
        <v>0</v>
      </c>
      <c r="O44" s="284">
        <f>IFERROR(IF(INDEX(Tb_Activiteiten[#All],MATCH(SubsidieTabel!$A44,Tb_Activiteiten[[#All],[Subsidiabele_Activiteit]],0),MATCH(SubsidieTabel!O$1,Tb_Activiteiten[#Headers],0))=1,SubsidieTabel!$J44,0),0)</f>
        <v>0</v>
      </c>
      <c r="P44" s="284">
        <f>IFERROR(IF(INDEX(Tb_Activiteiten[#All],MATCH(SubsidieTabel!$A44,Tb_Activiteiten[[#All],[Subsidiabele_Activiteit]],0),MATCH(SubsidieTabel!P$1,Tb_Activiteiten[#Headers],0))=1,SubsidieTabel!$K44,0),0)</f>
        <v>0</v>
      </c>
      <c r="Q44" s="284">
        <f>IFERROR(IF(INDEX(Tb_Activiteiten[#All],MATCH(SubsidieTabel!$A44,Tb_Activiteiten[[#All],[Subsidiabele_Activiteit]],0),MATCH(SubsidieTabel!Q$1,Tb_Activiteiten[#Headers],0))=1,SubsidieTabel!$J44,0),0)</f>
        <v>0</v>
      </c>
      <c r="R44" s="284">
        <f>IFERROR(IF(INDEX(Tb_Activiteiten[#All],MATCH(SubsidieTabel!$A44,Tb_Activiteiten[[#All],[Subsidiabele_Activiteit]],0),MATCH(SubsidieTabel!R$1,Tb_Activiteiten[#Headers],0))=1,SubsidieTabel!$K44,0),0)</f>
        <v>0</v>
      </c>
      <c r="S44" s="284">
        <f>IFERROR(IF(INDEX(Tb_Activiteiten[#All],MATCH(SubsidieTabel!$A44,Tb_Activiteiten[[#All],[Subsidiabele_Activiteit]],0),MATCH(SubsidieTabel!S$1,Tb_Activiteiten[#Headers],0))=1,SubsidieTabel!$J44,0),0)</f>
        <v>0</v>
      </c>
      <c r="T44" s="284">
        <f>IFERROR(IF(INDEX(Tb_Activiteiten[#All],MATCH(SubsidieTabel!$A44,Tb_Activiteiten[[#All],[Subsidiabele_Activiteit]],0),MATCH(SubsidieTabel!T$1,Tb_Activiteiten[#Headers],0))=1,SubsidieTabel!$K44,0),0)</f>
        <v>0</v>
      </c>
      <c r="U44" s="284">
        <f>IFERROR(IF(INDEX(Tb_Activiteiten[#All],MATCH(SubsidieTabel!$A44,Tb_Activiteiten[[#All],[Subsidiabele_Activiteit]],0),MATCH(SubsidieTabel!U$1,Tb_Activiteiten[#Headers],0))=1,SubsidieTabel!$J44,0),0)</f>
        <v>0</v>
      </c>
      <c r="V44" s="284">
        <f>IFERROR(IF(INDEX(Tb_Activiteiten[#All],MATCH(SubsidieTabel!$A44,Tb_Activiteiten[[#All],[Subsidiabele_Activiteit]],0),MATCH(SubsidieTabel!V$1,Tb_Activiteiten[#Headers],0))=1,SubsidieTabel!$K44,0),0)</f>
        <v>0</v>
      </c>
      <c r="W44" s="369">
        <f>IFERROR(IF(INDEX(Tb_Activiteiten[#All],MATCH(SubsidieTabel!$A44,Tb_Activiteiten[[#All],[Subsidiabele_Activiteit]],0),MATCH(SubsidieTabel!Q$1,Tb_Activiteiten[#Headers],0))=1,H44,0),0)</f>
        <v>0</v>
      </c>
      <c r="X44" s="369">
        <f>IFERROR(IF(INDEX(Tb_Activiteiten[#All],MATCH(SubsidieTabel!$A44,Tb_Activiteiten[[#All],[Subsidiabele_Activiteit]],0),MATCH(SubsidieTabel!Q$1,Tb_Activiteiten[#Headers],0))=1,I44,0),0)</f>
        <v>0</v>
      </c>
      <c r="Y44" s="369">
        <f>IFERROR(IF(INDEX(Tb_Activiteiten[#All],MATCH(SubsidieTabel!$A44,Tb_Activiteiten[[#All],[Subsidiabele_Activiteit]],0),MATCH(SubsidieTabel!S$1,Tb_Activiteiten[#Headers],0))=1,H44,0),0)</f>
        <v>0</v>
      </c>
      <c r="Z44" s="369">
        <f>IFERROR(IF(INDEX(Tb_Activiteiten[#All],MATCH(SubsidieTabel!$A44,Tb_Activiteiten[[#All],[Subsidiabele_Activiteit]],0),MATCH(SubsidieTabel!S$1,Tb_Activiteiten[#Headers],0))=1,I44,0),0)</f>
        <v>0</v>
      </c>
      <c r="AA44" s="369">
        <f>IFERROR(IF(INDEX(Tb_Activiteiten[#All],MATCH(SubsidieTabel!$A44,Tb_Activiteiten[[#All],[Subsidiabele_Activiteit]],0),MATCH(SubsidieTabel!O$1,Tb_Activiteiten[#Headers],0))=1,$F44,0),0)</f>
        <v>0</v>
      </c>
      <c r="AB44" s="369">
        <f>IFERROR(IF(INDEX(Tb_Activiteiten[#All],MATCH(SubsidieTabel!$A44,Tb_Activiteiten[[#All],[Subsidiabele_Activiteit]],0),MATCH(SubsidieTabel!O$1,Tb_Activiteiten[#Headers],0))=1,$G44,0),0)</f>
        <v>0</v>
      </c>
      <c r="AD44" s="12" t="str">
        <f t="shared" si="7"/>
        <v>Niet verrekenbare btw</v>
      </c>
      <c r="AE44" t="str">
        <f t="shared" si="8"/>
        <v/>
      </c>
      <c r="AF44" s="64">
        <f>IF(Tb_DBKostenBEO[[#This Row],[Forfait]]=1,SUMIFS('8. Uitgaven betaalverzoek'!W:W,'8. Uitgaven betaalverzoek'!F:F,Tb_DBKostenBEO[[#This Row],[KostenOmschrijving]],'8. Uitgaven betaalverzoek'!A:A,Tb_DBKostenBEO[[#This Row],[Deelbetaling]]),0)</f>
        <v>0</v>
      </c>
      <c r="AG44" s="64">
        <f>IF(Tb_DBKostenBEO[[#This Row],[Forfait]]=1,SUMIFS('8. Uitgaven betaalverzoek'!X:X,'8. Uitgaven betaalverzoek'!F:F,Tb_DBKostenBEO[[#This Row],[KostenOmschrijving]],'8. Uitgaven betaalverzoek'!A:A,Tb_DBKostenBEO[[#This Row],[Deelbetaling]]),0)</f>
        <v>0</v>
      </c>
      <c r="AH44" cm="1">
        <f t="array" ref="AH44">INDEX(Tb_KostenOptiesDB[],MATCH(Tb_DBKostenBEO[[#This Row],[KostenOmschrijving]],Tb_KostenOptiesDB[KostenOptie],0),IFERROR(MATCH(Methode_Keuze,Tb_KostenOptiesDB[#Headers],0),2))</f>
        <v>1</v>
      </c>
      <c r="AI44" s="65">
        <v>0.23</v>
      </c>
      <c r="AJ44" s="64">
        <f>IF(Tb_DBKostenBEO[[#This Row],[Forfait]]=1,SUMIFS('8. Uitgaven betaalverzoek'!Z:Z,'8. Uitgaven betaalverzoek'!F:F,Tb_DBKostenBEO[[#This Row],[KostenOmschrijving]],'8. Uitgaven betaalverzoek'!A:A,Tb_DBKostenBEO[[#This Row],[Deelbetaling]]),0)</f>
        <v>0</v>
      </c>
      <c r="AK44" s="64">
        <f>IF(Tb_DBKostenBEO[[#This Row],[Forfait]]=1,SUMIFS('8. Uitgaven betaalverzoek'!AA:AA,'8. Uitgaven betaalverzoek'!F:F,Tb_DBKostenBEO[[#This Row],[KostenOmschrijving]],'8. Uitgaven betaalverzoek'!A:A,Tb_DBKostenBEO[[#This Row],[Deelbetaling]]),0)</f>
        <v>0</v>
      </c>
      <c r="AL44" s="64">
        <f>Tb_DBKostenBEO[[#This Row],[Deelbetaling_Aanvraag]]+Tb_DBKostenBEO[[#This Row],[Forfait_Bedrag]]</f>
        <v>0</v>
      </c>
      <c r="AM44" s="64">
        <f>Tb_DBKostenBEO[[#This Row],[Deelbetaling_Beoordeeld]]+Tb_DBKostenBEO[[#This Row],[Forfait_Bedrag_Beoordeeld]]</f>
        <v>0</v>
      </c>
      <c r="AN44" t="str">
        <f>IF(Tb_DBKostenBEO[[#This Row],[Forfait]]=0,"Dit kostentype hoeft u niet op te geven. Hiervoor wordt een forfait berekend.","")</f>
        <v/>
      </c>
    </row>
    <row r="45" spans="1:40" x14ac:dyDescent="0.25">
      <c r="A45" s="12"/>
      <c r="B45" s="12"/>
      <c r="C45" s="12" t="str">
        <f>IFERROR(VLOOKUP($B45,Tb_ProjectKosten[],4,0),"")</f>
        <v/>
      </c>
      <c r="D45" s="12" t="str" cm="1">
        <f t="array" ref="D45">IFERROR(INDEX(Tb_KostenOpties[],MATCH(B45,Tb_KostenOpties[KostenOptie],0),IFERROR(MATCH(Methode_Keuze,Tb_KostenOpties[#Headers],0),2)),"")</f>
        <v/>
      </c>
      <c r="E45" s="281">
        <f>IFERROR(VLOOKUP(B45,Tb_ProjectKosten[[#All],[KostenOmschrijving]:[Forfait_Percentage]],6,0),0)</f>
        <v>0</v>
      </c>
      <c r="F45" s="282">
        <f>SUMIFS('5. Kosten uitvoering project'!R:R,'5. Kosten uitvoering project'!E:E,SubsidieTabel!A45,'5. Kosten uitvoering project'!F:F,SubsidieTabel!B45)</f>
        <v>0</v>
      </c>
      <c r="G45" s="282">
        <f>SUMIFS('5. Kosten uitvoering project'!S:S,'5. Kosten uitvoering project'!E:E,SubsidieTabel!A45,'5. Kosten uitvoering project'!F:F,SubsidieTabel!B45)</f>
        <v>0</v>
      </c>
      <c r="H45" s="282">
        <f>SUMIFS('5. Kosten uitvoering project'!U:U,'5. Kosten uitvoering project'!E:E,SubsidieTabel!A45,'5. Kosten uitvoering project'!F:F,SubsidieTabel!B45)</f>
        <v>0</v>
      </c>
      <c r="I45" s="282">
        <f>SUMIFS('5. Kosten uitvoering project'!V:V,'5. Kosten uitvoering project'!E:E,SubsidieTabel!A45,'5. Kosten uitvoering project'!F:F,SubsidieTabel!B45)</f>
        <v>0</v>
      </c>
      <c r="J45" s="282">
        <f t="shared" si="0"/>
        <v>0</v>
      </c>
      <c r="K45" s="282">
        <f t="shared" si="1"/>
        <v>0</v>
      </c>
      <c r="L45" s="281" t="str">
        <f>IFERROR(VLOOKUP(A45,Lijsten!$AK:$AL,2,0),"")</f>
        <v/>
      </c>
      <c r="M45" s="282">
        <f t="shared" si="2"/>
        <v>0</v>
      </c>
      <c r="N45" s="282">
        <f t="shared" si="3"/>
        <v>0</v>
      </c>
      <c r="O45" s="282">
        <f>IFERROR(IF(INDEX(Tb_Activiteiten[#All],MATCH(SubsidieTabel!$A45,Tb_Activiteiten[[#All],[Subsidiabele_Activiteit]],0),MATCH(SubsidieTabel!O$1,Tb_Activiteiten[#Headers],0))=1,SubsidieTabel!$J45,0),0)</f>
        <v>0</v>
      </c>
      <c r="P45" s="282">
        <f>IFERROR(IF(INDEX(Tb_Activiteiten[#All],MATCH(SubsidieTabel!$A45,Tb_Activiteiten[[#All],[Subsidiabele_Activiteit]],0),MATCH(SubsidieTabel!P$1,Tb_Activiteiten[#Headers],0))=1,SubsidieTabel!$K45,0),0)</f>
        <v>0</v>
      </c>
      <c r="Q45" s="282">
        <f>IFERROR(IF(INDEX(Tb_Activiteiten[#All],MATCH(SubsidieTabel!$A45,Tb_Activiteiten[[#All],[Subsidiabele_Activiteit]],0),MATCH(SubsidieTabel!Q$1,Tb_Activiteiten[#Headers],0))=1,SubsidieTabel!$J45,0),0)</f>
        <v>0</v>
      </c>
      <c r="R45" s="282">
        <f>IFERROR(IF(INDEX(Tb_Activiteiten[#All],MATCH(SubsidieTabel!$A45,Tb_Activiteiten[[#All],[Subsidiabele_Activiteit]],0),MATCH(SubsidieTabel!R$1,Tb_Activiteiten[#Headers],0))=1,SubsidieTabel!$K45,0),0)</f>
        <v>0</v>
      </c>
      <c r="S45" s="282">
        <f>IFERROR(IF(INDEX(Tb_Activiteiten[#All],MATCH(SubsidieTabel!$A45,Tb_Activiteiten[[#All],[Subsidiabele_Activiteit]],0),MATCH(SubsidieTabel!S$1,Tb_Activiteiten[#Headers],0))=1,SubsidieTabel!$J45,0),0)</f>
        <v>0</v>
      </c>
      <c r="T45" s="282">
        <f>IFERROR(IF(INDEX(Tb_Activiteiten[#All],MATCH(SubsidieTabel!$A45,Tb_Activiteiten[[#All],[Subsidiabele_Activiteit]],0),MATCH(SubsidieTabel!T$1,Tb_Activiteiten[#Headers],0))=1,SubsidieTabel!$K45,0),0)</f>
        <v>0</v>
      </c>
      <c r="U45" s="282">
        <f>IFERROR(IF(INDEX(Tb_Activiteiten[#All],MATCH(SubsidieTabel!$A45,Tb_Activiteiten[[#All],[Subsidiabele_Activiteit]],0),MATCH(SubsidieTabel!U$1,Tb_Activiteiten[#Headers],0))=1,SubsidieTabel!$J45,0),0)</f>
        <v>0</v>
      </c>
      <c r="V45" s="282">
        <f>IFERROR(IF(INDEX(Tb_Activiteiten[#All],MATCH(SubsidieTabel!$A45,Tb_Activiteiten[[#All],[Subsidiabele_Activiteit]],0),MATCH(SubsidieTabel!V$1,Tb_Activiteiten[#Headers],0))=1,SubsidieTabel!$K45,0),0)</f>
        <v>0</v>
      </c>
      <c r="W45" s="64">
        <f>IFERROR(IF(INDEX(Tb_Activiteiten[#All],MATCH(SubsidieTabel!$A45,Tb_Activiteiten[[#All],[Subsidiabele_Activiteit]],0),MATCH(SubsidieTabel!Q$1,Tb_Activiteiten[#Headers],0))=1,H45,0),0)</f>
        <v>0</v>
      </c>
      <c r="X45" s="64">
        <f>IFERROR(IF(INDEX(Tb_Activiteiten[#All],MATCH(SubsidieTabel!$A45,Tb_Activiteiten[[#All],[Subsidiabele_Activiteit]],0),MATCH(SubsidieTabel!Q$1,Tb_Activiteiten[#Headers],0))=1,I45,0),0)</f>
        <v>0</v>
      </c>
      <c r="Y45" s="64">
        <f>IFERROR(IF(INDEX(Tb_Activiteiten[#All],MATCH(SubsidieTabel!$A45,Tb_Activiteiten[[#All],[Subsidiabele_Activiteit]],0),MATCH(SubsidieTabel!S$1,Tb_Activiteiten[#Headers],0))=1,H45,0),0)</f>
        <v>0</v>
      </c>
      <c r="Z45" s="64">
        <f>IFERROR(IF(INDEX(Tb_Activiteiten[#All],MATCH(SubsidieTabel!$A45,Tb_Activiteiten[[#All],[Subsidiabele_Activiteit]],0),MATCH(SubsidieTabel!S$1,Tb_Activiteiten[#Headers],0))=1,I45,0),0)</f>
        <v>0</v>
      </c>
      <c r="AA45" s="64">
        <f>IFERROR(IF(INDEX(Tb_Activiteiten[#All],MATCH(SubsidieTabel!$A45,Tb_Activiteiten[[#All],[Subsidiabele_Activiteit]],0),MATCH(SubsidieTabel!O$1,Tb_Activiteiten[#Headers],0))=1,$F45,0),0)</f>
        <v>0</v>
      </c>
      <c r="AB45" s="64">
        <f>IFERROR(IF(INDEX(Tb_Activiteiten[#All],MATCH(SubsidieTabel!$A45,Tb_Activiteiten[[#All],[Subsidiabele_Activiteit]],0),MATCH(SubsidieTabel!O$1,Tb_Activiteiten[#Headers],0))=1,$G45,0),0)</f>
        <v>0</v>
      </c>
      <c r="AD45" s="12" t="str">
        <f t="shared" si="7"/>
        <v>Grondkosten</v>
      </c>
      <c r="AE45" s="68" t="str">
        <f t="shared" si="8"/>
        <v/>
      </c>
      <c r="AF45" s="64">
        <f>IF(Tb_DBKostenBEO[[#This Row],[Forfait]]=1,SUMIFS('8. Uitgaven betaalverzoek'!W:W,'8. Uitgaven betaalverzoek'!F:F,Tb_DBKostenBEO[[#This Row],[KostenOmschrijving]],'8. Uitgaven betaalverzoek'!A:A,Tb_DBKostenBEO[[#This Row],[Deelbetaling]]),0)</f>
        <v>0</v>
      </c>
      <c r="AG45" s="64">
        <f>IF(Tb_DBKostenBEO[[#This Row],[Forfait]]=1,SUMIFS('8. Uitgaven betaalverzoek'!X:X,'8. Uitgaven betaalverzoek'!F:F,Tb_DBKostenBEO[[#This Row],[KostenOmschrijving]],'8. Uitgaven betaalverzoek'!A:A,Tb_DBKostenBEO[[#This Row],[Deelbetaling]]),0)</f>
        <v>0</v>
      </c>
      <c r="AH45" cm="1">
        <f t="array" ref="AH45">INDEX(Tb_KostenOptiesDB[],MATCH(Tb_DBKostenBEO[[#This Row],[KostenOmschrijving]],Tb_KostenOptiesDB[KostenOptie],0),IFERROR(MATCH(Methode_Keuze,Tb_KostenOptiesDB[#Headers],0),2))</f>
        <v>1</v>
      </c>
      <c r="AI45" s="65">
        <v>0.23</v>
      </c>
      <c r="AJ45" s="64">
        <f>IF(Tb_DBKostenBEO[[#This Row],[Forfait]]=1,SUMIFS('8. Uitgaven betaalverzoek'!Z:Z,'8. Uitgaven betaalverzoek'!F:F,Tb_DBKostenBEO[[#This Row],[KostenOmschrijving]],'8. Uitgaven betaalverzoek'!A:A,Tb_DBKostenBEO[[#This Row],[Deelbetaling]]),0)</f>
        <v>0</v>
      </c>
      <c r="AK45" s="64">
        <f>IF(Tb_DBKostenBEO[[#This Row],[Forfait]]=1,SUMIFS('8. Uitgaven betaalverzoek'!AA:AA,'8. Uitgaven betaalverzoek'!F:F,Tb_DBKostenBEO[[#This Row],[KostenOmschrijving]],'8. Uitgaven betaalverzoek'!A:A,Tb_DBKostenBEO[[#This Row],[Deelbetaling]]),0)</f>
        <v>0</v>
      </c>
      <c r="AL45" s="64">
        <f>Tb_DBKostenBEO[[#This Row],[Deelbetaling_Aanvraag]]+Tb_DBKostenBEO[[#This Row],[Forfait_Bedrag]]</f>
        <v>0</v>
      </c>
      <c r="AM45" s="64">
        <f>Tb_DBKostenBEO[[#This Row],[Deelbetaling_Beoordeeld]]+Tb_DBKostenBEO[[#This Row],[Forfait_Bedrag_Beoordeeld]]</f>
        <v>0</v>
      </c>
      <c r="AN45" t="str">
        <f>IF(Tb_DBKostenBEO[[#This Row],[Forfait]]=0,"Dit kostentype hoeft u niet op te geven. Hiervoor wordt een forfait berekend.","")</f>
        <v/>
      </c>
    </row>
    <row r="46" spans="1:40" x14ac:dyDescent="0.25">
      <c r="A46" s="63"/>
      <c r="B46" s="63"/>
      <c r="C46" s="63" t="str">
        <f>IFERROR(VLOOKUP($B46,Tb_ProjectKosten[],4,0),"")</f>
        <v/>
      </c>
      <c r="D46" s="63" t="str" cm="1">
        <f t="array" ref="D46">IFERROR(INDEX(Tb_KostenOpties[],MATCH(B46,Tb_KostenOpties[KostenOptie],0),IFERROR(MATCH(Methode_Keuze,Tb_KostenOpties[#Headers],0),2)),"")</f>
        <v/>
      </c>
      <c r="E46" s="283">
        <f>IFERROR(VLOOKUP(B46,Tb_ProjectKosten[[#All],[KostenOmschrijving]:[Forfait_Percentage]],6,0),0)</f>
        <v>0</v>
      </c>
      <c r="F46" s="284">
        <f>SUMIFS('5. Kosten uitvoering project'!R:R,'5. Kosten uitvoering project'!E:E,SubsidieTabel!A46,'5. Kosten uitvoering project'!F:F,SubsidieTabel!B46)</f>
        <v>0</v>
      </c>
      <c r="G46" s="284">
        <f>SUMIFS('5. Kosten uitvoering project'!S:S,'5. Kosten uitvoering project'!E:E,SubsidieTabel!A46,'5. Kosten uitvoering project'!F:F,SubsidieTabel!B46)</f>
        <v>0</v>
      </c>
      <c r="H46" s="284">
        <f>SUMIFS('5. Kosten uitvoering project'!U:U,'5. Kosten uitvoering project'!E:E,SubsidieTabel!A46,'5. Kosten uitvoering project'!F:F,SubsidieTabel!B46)</f>
        <v>0</v>
      </c>
      <c r="I46" s="284">
        <f>SUMIFS('5. Kosten uitvoering project'!V:V,'5. Kosten uitvoering project'!E:E,SubsidieTabel!A46,'5. Kosten uitvoering project'!F:F,SubsidieTabel!B46)</f>
        <v>0</v>
      </c>
      <c r="J46" s="284">
        <f t="shared" si="0"/>
        <v>0</v>
      </c>
      <c r="K46" s="284">
        <f t="shared" si="1"/>
        <v>0</v>
      </c>
      <c r="L46" s="283" t="str">
        <f>IFERROR(VLOOKUP(A46,Lijsten!$AK:$AL,2,0),"")</f>
        <v/>
      </c>
      <c r="M46" s="284">
        <f t="shared" si="2"/>
        <v>0</v>
      </c>
      <c r="N46" s="284">
        <f t="shared" si="3"/>
        <v>0</v>
      </c>
      <c r="O46" s="284">
        <f>IFERROR(IF(INDEX(Tb_Activiteiten[#All],MATCH(SubsidieTabel!$A46,Tb_Activiteiten[[#All],[Subsidiabele_Activiteit]],0),MATCH(SubsidieTabel!O$1,Tb_Activiteiten[#Headers],0))=1,SubsidieTabel!$J46,0),0)</f>
        <v>0</v>
      </c>
      <c r="P46" s="284">
        <f>IFERROR(IF(INDEX(Tb_Activiteiten[#All],MATCH(SubsidieTabel!$A46,Tb_Activiteiten[[#All],[Subsidiabele_Activiteit]],0),MATCH(SubsidieTabel!P$1,Tb_Activiteiten[#Headers],0))=1,SubsidieTabel!$K46,0),0)</f>
        <v>0</v>
      </c>
      <c r="Q46" s="284">
        <f>IFERROR(IF(INDEX(Tb_Activiteiten[#All],MATCH(SubsidieTabel!$A46,Tb_Activiteiten[[#All],[Subsidiabele_Activiteit]],0),MATCH(SubsidieTabel!Q$1,Tb_Activiteiten[#Headers],0))=1,SubsidieTabel!$J46,0),0)</f>
        <v>0</v>
      </c>
      <c r="R46" s="284">
        <f>IFERROR(IF(INDEX(Tb_Activiteiten[#All],MATCH(SubsidieTabel!$A46,Tb_Activiteiten[[#All],[Subsidiabele_Activiteit]],0),MATCH(SubsidieTabel!R$1,Tb_Activiteiten[#Headers],0))=1,SubsidieTabel!$K46,0),0)</f>
        <v>0</v>
      </c>
      <c r="S46" s="284">
        <f>IFERROR(IF(INDEX(Tb_Activiteiten[#All],MATCH(SubsidieTabel!$A46,Tb_Activiteiten[[#All],[Subsidiabele_Activiteit]],0),MATCH(SubsidieTabel!S$1,Tb_Activiteiten[#Headers],0))=1,SubsidieTabel!$J46,0),0)</f>
        <v>0</v>
      </c>
      <c r="T46" s="284">
        <f>IFERROR(IF(INDEX(Tb_Activiteiten[#All],MATCH(SubsidieTabel!$A46,Tb_Activiteiten[[#All],[Subsidiabele_Activiteit]],0),MATCH(SubsidieTabel!T$1,Tb_Activiteiten[#Headers],0))=1,SubsidieTabel!$K46,0),0)</f>
        <v>0</v>
      </c>
      <c r="U46" s="284">
        <f>IFERROR(IF(INDEX(Tb_Activiteiten[#All],MATCH(SubsidieTabel!$A46,Tb_Activiteiten[[#All],[Subsidiabele_Activiteit]],0),MATCH(SubsidieTabel!U$1,Tb_Activiteiten[#Headers],0))=1,SubsidieTabel!$J46,0),0)</f>
        <v>0</v>
      </c>
      <c r="V46" s="284">
        <f>IFERROR(IF(INDEX(Tb_Activiteiten[#All],MATCH(SubsidieTabel!$A46,Tb_Activiteiten[[#All],[Subsidiabele_Activiteit]],0),MATCH(SubsidieTabel!V$1,Tb_Activiteiten[#Headers],0))=1,SubsidieTabel!$K46,0),0)</f>
        <v>0</v>
      </c>
      <c r="W46" s="369">
        <f>IFERROR(IF(INDEX(Tb_Activiteiten[#All],MATCH(SubsidieTabel!$A46,Tb_Activiteiten[[#All],[Subsidiabele_Activiteit]],0),MATCH(SubsidieTabel!Q$1,Tb_Activiteiten[#Headers],0))=1,H46,0),0)</f>
        <v>0</v>
      </c>
      <c r="X46" s="369">
        <f>IFERROR(IF(INDEX(Tb_Activiteiten[#All],MATCH(SubsidieTabel!$A46,Tb_Activiteiten[[#All],[Subsidiabele_Activiteit]],0),MATCH(SubsidieTabel!Q$1,Tb_Activiteiten[#Headers],0))=1,I46,0),0)</f>
        <v>0</v>
      </c>
      <c r="Y46" s="369">
        <f>IFERROR(IF(INDEX(Tb_Activiteiten[#All],MATCH(SubsidieTabel!$A46,Tb_Activiteiten[[#All],[Subsidiabele_Activiteit]],0),MATCH(SubsidieTabel!S$1,Tb_Activiteiten[#Headers],0))=1,H46,0),0)</f>
        <v>0</v>
      </c>
      <c r="Z46" s="369">
        <f>IFERROR(IF(INDEX(Tb_Activiteiten[#All],MATCH(SubsidieTabel!$A46,Tb_Activiteiten[[#All],[Subsidiabele_Activiteit]],0),MATCH(SubsidieTabel!S$1,Tb_Activiteiten[#Headers],0))=1,I46,0),0)</f>
        <v>0</v>
      </c>
      <c r="AA46" s="369">
        <f>IFERROR(IF(INDEX(Tb_Activiteiten[#All],MATCH(SubsidieTabel!$A46,Tb_Activiteiten[[#All],[Subsidiabele_Activiteit]],0),MATCH(SubsidieTabel!O$1,Tb_Activiteiten[#Headers],0))=1,$F46,0),0)</f>
        <v>0</v>
      </c>
      <c r="AB46" s="369">
        <f>IFERROR(IF(INDEX(Tb_Activiteiten[#All],MATCH(SubsidieTabel!$A46,Tb_Activiteiten[[#All],[Subsidiabele_Activiteit]],0),MATCH(SubsidieTabel!O$1,Tb_Activiteiten[#Headers],0))=1,$G46,0),0)</f>
        <v>0</v>
      </c>
      <c r="AD46" s="12" t="str">
        <f t="shared" si="7"/>
        <v>Bijdrage in natura (overige)</v>
      </c>
      <c r="AE46" t="str">
        <f t="shared" si="8"/>
        <v/>
      </c>
      <c r="AF46" s="64">
        <f>IF(Tb_DBKostenBEO[[#This Row],[Forfait]]=1,SUMIFS('8. Uitgaven betaalverzoek'!W:W,'8. Uitgaven betaalverzoek'!F:F,Tb_DBKostenBEO[[#This Row],[KostenOmschrijving]],'8. Uitgaven betaalverzoek'!A:A,Tb_DBKostenBEO[[#This Row],[Deelbetaling]]),0)</f>
        <v>0</v>
      </c>
      <c r="AG46" s="64">
        <f>IF(Tb_DBKostenBEO[[#This Row],[Forfait]]=1,SUMIFS('8. Uitgaven betaalverzoek'!X:X,'8. Uitgaven betaalverzoek'!F:F,Tb_DBKostenBEO[[#This Row],[KostenOmschrijving]],'8. Uitgaven betaalverzoek'!A:A,Tb_DBKostenBEO[[#This Row],[Deelbetaling]]),0)</f>
        <v>0</v>
      </c>
      <c r="AH46" cm="1">
        <f t="array" ref="AH46">INDEX(Tb_KostenOptiesDB[],MATCH(Tb_DBKostenBEO[[#This Row],[KostenOmschrijving]],Tb_KostenOptiesDB[KostenOptie],0),IFERROR(MATCH(Methode_Keuze,Tb_KostenOptiesDB[#Headers],0),2))</f>
        <v>1</v>
      </c>
      <c r="AI46" s="65">
        <v>0.23</v>
      </c>
      <c r="AJ46" s="64">
        <f>IF(Tb_DBKostenBEO[[#This Row],[Forfait]]=1,SUMIFS('8. Uitgaven betaalverzoek'!Z:Z,'8. Uitgaven betaalverzoek'!F:F,Tb_DBKostenBEO[[#This Row],[KostenOmschrijving]],'8. Uitgaven betaalverzoek'!A:A,Tb_DBKostenBEO[[#This Row],[Deelbetaling]]),0)</f>
        <v>0</v>
      </c>
      <c r="AK46" s="64">
        <f>IF(Tb_DBKostenBEO[[#This Row],[Forfait]]=1,SUMIFS('8. Uitgaven betaalverzoek'!AA:AA,'8. Uitgaven betaalverzoek'!F:F,Tb_DBKostenBEO[[#This Row],[KostenOmschrijving]],'8. Uitgaven betaalverzoek'!A:A,Tb_DBKostenBEO[[#This Row],[Deelbetaling]]),0)</f>
        <v>0</v>
      </c>
      <c r="AL46" s="64">
        <f>Tb_DBKostenBEO[[#This Row],[Deelbetaling_Aanvraag]]+Tb_DBKostenBEO[[#This Row],[Forfait_Bedrag]]</f>
        <v>0</v>
      </c>
      <c r="AM46" s="64">
        <f>Tb_DBKostenBEO[[#This Row],[Deelbetaling_Beoordeeld]]+Tb_DBKostenBEO[[#This Row],[Forfait_Bedrag_Beoordeeld]]</f>
        <v>0</v>
      </c>
      <c r="AN46" t="str">
        <f>IF(Tb_DBKostenBEO[[#This Row],[Forfait]]=0,"Dit kostentype hoeft u niet op te geven. Hiervoor wordt een forfait berekend.","")</f>
        <v/>
      </c>
    </row>
    <row r="47" spans="1:40" x14ac:dyDescent="0.25">
      <c r="A47" s="12"/>
      <c r="B47" s="12"/>
      <c r="C47" s="12" t="str">
        <f>IFERROR(VLOOKUP($B47,Tb_ProjectKosten[],4,0),"")</f>
        <v/>
      </c>
      <c r="D47" s="12" t="str" cm="1">
        <f t="array" ref="D47">IFERROR(INDEX(Tb_KostenOpties[],MATCH(B47,Tb_KostenOpties[KostenOptie],0),IFERROR(MATCH(Methode_Keuze,Tb_KostenOpties[#Headers],0),2)),"")</f>
        <v/>
      </c>
      <c r="E47" s="281">
        <f>IFERROR(VLOOKUP(B47,Tb_ProjectKosten[[#All],[KostenOmschrijving]:[Forfait_Percentage]],6,0),0)</f>
        <v>0</v>
      </c>
      <c r="F47" s="282">
        <f>SUMIFS('5. Kosten uitvoering project'!R:R,'5. Kosten uitvoering project'!E:E,SubsidieTabel!A47,'5. Kosten uitvoering project'!F:F,SubsidieTabel!B47)</f>
        <v>0</v>
      </c>
      <c r="G47" s="282">
        <f>SUMIFS('5. Kosten uitvoering project'!S:S,'5. Kosten uitvoering project'!E:E,SubsidieTabel!A47,'5. Kosten uitvoering project'!F:F,SubsidieTabel!B47)</f>
        <v>0</v>
      </c>
      <c r="H47" s="282">
        <f>SUMIFS('5. Kosten uitvoering project'!U:U,'5. Kosten uitvoering project'!E:E,SubsidieTabel!A47,'5. Kosten uitvoering project'!F:F,SubsidieTabel!B47)</f>
        <v>0</v>
      </c>
      <c r="I47" s="282">
        <f>SUMIFS('5. Kosten uitvoering project'!V:V,'5. Kosten uitvoering project'!E:E,SubsidieTabel!A47,'5. Kosten uitvoering project'!F:F,SubsidieTabel!B47)</f>
        <v>0</v>
      </c>
      <c r="J47" s="282">
        <f t="shared" si="0"/>
        <v>0</v>
      </c>
      <c r="K47" s="282">
        <f t="shared" si="1"/>
        <v>0</v>
      </c>
      <c r="L47" s="281" t="str">
        <f>IFERROR(VLOOKUP(A47,Lijsten!$AK:$AL,2,0),"")</f>
        <v/>
      </c>
      <c r="M47" s="282">
        <f t="shared" si="2"/>
        <v>0</v>
      </c>
      <c r="N47" s="282">
        <f t="shared" si="3"/>
        <v>0</v>
      </c>
      <c r="O47" s="282">
        <f>IFERROR(IF(INDEX(Tb_Activiteiten[#All],MATCH(SubsidieTabel!$A47,Tb_Activiteiten[[#All],[Subsidiabele_Activiteit]],0),MATCH(SubsidieTabel!O$1,Tb_Activiteiten[#Headers],0))=1,SubsidieTabel!$J47,0),0)</f>
        <v>0</v>
      </c>
      <c r="P47" s="282">
        <f>IFERROR(IF(INDEX(Tb_Activiteiten[#All],MATCH(SubsidieTabel!$A47,Tb_Activiteiten[[#All],[Subsidiabele_Activiteit]],0),MATCH(SubsidieTabel!P$1,Tb_Activiteiten[#Headers],0))=1,SubsidieTabel!$K47,0),0)</f>
        <v>0</v>
      </c>
      <c r="Q47" s="282">
        <f>IFERROR(IF(INDEX(Tb_Activiteiten[#All],MATCH(SubsidieTabel!$A47,Tb_Activiteiten[[#All],[Subsidiabele_Activiteit]],0),MATCH(SubsidieTabel!Q$1,Tb_Activiteiten[#Headers],0))=1,SubsidieTabel!$J47,0),0)</f>
        <v>0</v>
      </c>
      <c r="R47" s="282">
        <f>IFERROR(IF(INDEX(Tb_Activiteiten[#All],MATCH(SubsidieTabel!$A47,Tb_Activiteiten[[#All],[Subsidiabele_Activiteit]],0),MATCH(SubsidieTabel!R$1,Tb_Activiteiten[#Headers],0))=1,SubsidieTabel!$K47,0),0)</f>
        <v>0</v>
      </c>
      <c r="S47" s="282">
        <f>IFERROR(IF(INDEX(Tb_Activiteiten[#All],MATCH(SubsidieTabel!$A47,Tb_Activiteiten[[#All],[Subsidiabele_Activiteit]],0),MATCH(SubsidieTabel!S$1,Tb_Activiteiten[#Headers],0))=1,SubsidieTabel!$J47,0),0)</f>
        <v>0</v>
      </c>
      <c r="T47" s="282">
        <f>IFERROR(IF(INDEX(Tb_Activiteiten[#All],MATCH(SubsidieTabel!$A47,Tb_Activiteiten[[#All],[Subsidiabele_Activiteit]],0),MATCH(SubsidieTabel!T$1,Tb_Activiteiten[#Headers],0))=1,SubsidieTabel!$K47,0),0)</f>
        <v>0</v>
      </c>
      <c r="U47" s="282">
        <f>IFERROR(IF(INDEX(Tb_Activiteiten[#All],MATCH(SubsidieTabel!$A47,Tb_Activiteiten[[#All],[Subsidiabele_Activiteit]],0),MATCH(SubsidieTabel!U$1,Tb_Activiteiten[#Headers],0))=1,SubsidieTabel!$J47,0),0)</f>
        <v>0</v>
      </c>
      <c r="V47" s="282">
        <f>IFERROR(IF(INDEX(Tb_Activiteiten[#All],MATCH(SubsidieTabel!$A47,Tb_Activiteiten[[#All],[Subsidiabele_Activiteit]],0),MATCH(SubsidieTabel!V$1,Tb_Activiteiten[#Headers],0))=1,SubsidieTabel!$K47,0),0)</f>
        <v>0</v>
      </c>
      <c r="W47" s="64">
        <f>IFERROR(IF(INDEX(Tb_Activiteiten[#All],MATCH(SubsidieTabel!$A47,Tb_Activiteiten[[#All],[Subsidiabele_Activiteit]],0),MATCH(SubsidieTabel!Q$1,Tb_Activiteiten[#Headers],0))=1,H47,0),0)</f>
        <v>0</v>
      </c>
      <c r="X47" s="64">
        <f>IFERROR(IF(INDEX(Tb_Activiteiten[#All],MATCH(SubsidieTabel!$A47,Tb_Activiteiten[[#All],[Subsidiabele_Activiteit]],0),MATCH(SubsidieTabel!Q$1,Tb_Activiteiten[#Headers],0))=1,I47,0),0)</f>
        <v>0</v>
      </c>
      <c r="Y47" s="64">
        <f>IFERROR(IF(INDEX(Tb_Activiteiten[#All],MATCH(SubsidieTabel!$A47,Tb_Activiteiten[[#All],[Subsidiabele_Activiteit]],0),MATCH(SubsidieTabel!S$1,Tb_Activiteiten[#Headers],0))=1,H47,0),0)</f>
        <v>0</v>
      </c>
      <c r="Z47" s="64">
        <f>IFERROR(IF(INDEX(Tb_Activiteiten[#All],MATCH(SubsidieTabel!$A47,Tb_Activiteiten[[#All],[Subsidiabele_Activiteit]],0),MATCH(SubsidieTabel!S$1,Tb_Activiteiten[#Headers],0))=1,I47,0),0)</f>
        <v>0</v>
      </c>
      <c r="AA47" s="64">
        <f>IFERROR(IF(INDEX(Tb_Activiteiten[#All],MATCH(SubsidieTabel!$A47,Tb_Activiteiten[[#All],[Subsidiabele_Activiteit]],0),MATCH(SubsidieTabel!O$1,Tb_Activiteiten[#Headers],0))=1,$F47,0),0)</f>
        <v>0</v>
      </c>
      <c r="AB47" s="64">
        <f>IFERROR(IF(INDEX(Tb_Activiteiten[#All],MATCH(SubsidieTabel!$A47,Tb_Activiteiten[[#All],[Subsidiabele_Activiteit]],0),MATCH(SubsidieTabel!O$1,Tb_Activiteiten[#Headers],0))=1,$G47,0),0)</f>
        <v>0</v>
      </c>
      <c r="AD47" s="12" t="str">
        <f t="shared" si="7"/>
        <v>Bijdrage in natura (vrijwilligers)</v>
      </c>
      <c r="AE47" s="68" t="str">
        <f t="shared" si="8"/>
        <v/>
      </c>
      <c r="AF47" s="64">
        <f>IF(Tb_DBKostenBEO[[#This Row],[Forfait]]=1,SUMIFS('8. Uitgaven betaalverzoek'!W:W,'8. Uitgaven betaalverzoek'!F:F,Tb_DBKostenBEO[[#This Row],[KostenOmschrijving]],'8. Uitgaven betaalverzoek'!A:A,Tb_DBKostenBEO[[#This Row],[Deelbetaling]]),0)</f>
        <v>0</v>
      </c>
      <c r="AG47" s="64">
        <f>IF(Tb_DBKostenBEO[[#This Row],[Forfait]]=1,SUMIFS('8. Uitgaven betaalverzoek'!X:X,'8. Uitgaven betaalverzoek'!F:F,Tb_DBKostenBEO[[#This Row],[KostenOmschrijving]],'8. Uitgaven betaalverzoek'!A:A,Tb_DBKostenBEO[[#This Row],[Deelbetaling]]),0)</f>
        <v>0</v>
      </c>
      <c r="AH47" cm="1">
        <f t="array" ref="AH47">INDEX(Tb_KostenOptiesDB[],MATCH(Tb_DBKostenBEO[[#This Row],[KostenOmschrijving]],Tb_KostenOptiesDB[KostenOptie],0),IFERROR(MATCH(Methode_Keuze,Tb_KostenOptiesDB[#Headers],0),2))</f>
        <v>1</v>
      </c>
      <c r="AI47" s="65">
        <v>0.23</v>
      </c>
      <c r="AJ47" s="64">
        <f>IF(Tb_DBKostenBEO[[#This Row],[Forfait]]=1,SUMIFS('8. Uitgaven betaalverzoek'!Z:Z,'8. Uitgaven betaalverzoek'!F:F,Tb_DBKostenBEO[[#This Row],[KostenOmschrijving]],'8. Uitgaven betaalverzoek'!A:A,Tb_DBKostenBEO[[#This Row],[Deelbetaling]]),0)</f>
        <v>0</v>
      </c>
      <c r="AK47" s="64">
        <f>IF(Tb_DBKostenBEO[[#This Row],[Forfait]]=1,SUMIFS('8. Uitgaven betaalverzoek'!AA:AA,'8. Uitgaven betaalverzoek'!F:F,Tb_DBKostenBEO[[#This Row],[KostenOmschrijving]],'8. Uitgaven betaalverzoek'!A:A,Tb_DBKostenBEO[[#This Row],[Deelbetaling]]),0)</f>
        <v>0</v>
      </c>
      <c r="AL47" s="64">
        <f>Tb_DBKostenBEO[[#This Row],[Deelbetaling_Aanvraag]]+Tb_DBKostenBEO[[#This Row],[Forfait_Bedrag]]</f>
        <v>0</v>
      </c>
      <c r="AM47" s="64">
        <f>Tb_DBKostenBEO[[#This Row],[Deelbetaling_Beoordeeld]]+Tb_DBKostenBEO[[#This Row],[Forfait_Bedrag_Beoordeeld]]</f>
        <v>0</v>
      </c>
      <c r="AN47" t="str">
        <f>IF(Tb_DBKostenBEO[[#This Row],[Forfait]]=0,"Dit kostentype hoeft u niet op te geven. Hiervoor wordt een forfait berekend.","")</f>
        <v/>
      </c>
    </row>
    <row r="48" spans="1:40" x14ac:dyDescent="0.25">
      <c r="A48" s="63"/>
      <c r="B48" s="63"/>
      <c r="C48" s="63" t="str">
        <f>IFERROR(VLOOKUP($B48,Tb_ProjectKosten[],4,0),"")</f>
        <v/>
      </c>
      <c r="D48" s="63" t="str" cm="1">
        <f t="array" ref="D48">IFERROR(INDEX(Tb_KostenOpties[],MATCH(B48,Tb_KostenOpties[KostenOptie],0),IFERROR(MATCH(Methode_Keuze,Tb_KostenOpties[#Headers],0),2)),"")</f>
        <v/>
      </c>
      <c r="E48" s="283">
        <f>IFERROR(VLOOKUP(B48,Tb_ProjectKosten[[#All],[KostenOmschrijving]:[Forfait_Percentage]],6,0),0)</f>
        <v>0</v>
      </c>
      <c r="F48" s="284">
        <f>SUMIFS('5. Kosten uitvoering project'!R:R,'5. Kosten uitvoering project'!E:E,SubsidieTabel!A48,'5. Kosten uitvoering project'!F:F,SubsidieTabel!B48)</f>
        <v>0</v>
      </c>
      <c r="G48" s="284">
        <f>SUMIFS('5. Kosten uitvoering project'!S:S,'5. Kosten uitvoering project'!E:E,SubsidieTabel!A48,'5. Kosten uitvoering project'!F:F,SubsidieTabel!B48)</f>
        <v>0</v>
      </c>
      <c r="H48" s="284">
        <f>SUMIFS('5. Kosten uitvoering project'!U:U,'5. Kosten uitvoering project'!E:E,SubsidieTabel!A48,'5. Kosten uitvoering project'!F:F,SubsidieTabel!B48)</f>
        <v>0</v>
      </c>
      <c r="I48" s="284">
        <f>SUMIFS('5. Kosten uitvoering project'!V:V,'5. Kosten uitvoering project'!E:E,SubsidieTabel!A48,'5. Kosten uitvoering project'!F:F,SubsidieTabel!B48)</f>
        <v>0</v>
      </c>
      <c r="J48" s="284">
        <f t="shared" si="0"/>
        <v>0</v>
      </c>
      <c r="K48" s="284">
        <f t="shared" si="1"/>
        <v>0</v>
      </c>
      <c r="L48" s="283" t="str">
        <f>IFERROR(VLOOKUP(A48,Lijsten!$AK:$AL,2,0),"")</f>
        <v/>
      </c>
      <c r="M48" s="284">
        <f t="shared" si="2"/>
        <v>0</v>
      </c>
      <c r="N48" s="284">
        <f t="shared" si="3"/>
        <v>0</v>
      </c>
      <c r="O48" s="284">
        <f>IFERROR(IF(INDEX(Tb_Activiteiten[#All],MATCH(SubsidieTabel!$A48,Tb_Activiteiten[[#All],[Subsidiabele_Activiteit]],0),MATCH(SubsidieTabel!O$1,Tb_Activiteiten[#Headers],0))=1,SubsidieTabel!$J48,0),0)</f>
        <v>0</v>
      </c>
      <c r="P48" s="284">
        <f>IFERROR(IF(INDEX(Tb_Activiteiten[#All],MATCH(SubsidieTabel!$A48,Tb_Activiteiten[[#All],[Subsidiabele_Activiteit]],0),MATCH(SubsidieTabel!P$1,Tb_Activiteiten[#Headers],0))=1,SubsidieTabel!$K48,0),0)</f>
        <v>0</v>
      </c>
      <c r="Q48" s="284">
        <f>IFERROR(IF(INDEX(Tb_Activiteiten[#All],MATCH(SubsidieTabel!$A48,Tb_Activiteiten[[#All],[Subsidiabele_Activiteit]],0),MATCH(SubsidieTabel!Q$1,Tb_Activiteiten[#Headers],0))=1,SubsidieTabel!$J48,0),0)</f>
        <v>0</v>
      </c>
      <c r="R48" s="284">
        <f>IFERROR(IF(INDEX(Tb_Activiteiten[#All],MATCH(SubsidieTabel!$A48,Tb_Activiteiten[[#All],[Subsidiabele_Activiteit]],0),MATCH(SubsidieTabel!R$1,Tb_Activiteiten[#Headers],0))=1,SubsidieTabel!$K48,0),0)</f>
        <v>0</v>
      </c>
      <c r="S48" s="284">
        <f>IFERROR(IF(INDEX(Tb_Activiteiten[#All],MATCH(SubsidieTabel!$A48,Tb_Activiteiten[[#All],[Subsidiabele_Activiteit]],0),MATCH(SubsidieTabel!S$1,Tb_Activiteiten[#Headers],0))=1,SubsidieTabel!$J48,0),0)</f>
        <v>0</v>
      </c>
      <c r="T48" s="284">
        <f>IFERROR(IF(INDEX(Tb_Activiteiten[#All],MATCH(SubsidieTabel!$A48,Tb_Activiteiten[[#All],[Subsidiabele_Activiteit]],0),MATCH(SubsidieTabel!T$1,Tb_Activiteiten[#Headers],0))=1,SubsidieTabel!$K48,0),0)</f>
        <v>0</v>
      </c>
      <c r="U48" s="284">
        <f>IFERROR(IF(INDEX(Tb_Activiteiten[#All],MATCH(SubsidieTabel!$A48,Tb_Activiteiten[[#All],[Subsidiabele_Activiteit]],0),MATCH(SubsidieTabel!U$1,Tb_Activiteiten[#Headers],0))=1,SubsidieTabel!$J48,0),0)</f>
        <v>0</v>
      </c>
      <c r="V48" s="284">
        <f>IFERROR(IF(INDEX(Tb_Activiteiten[#All],MATCH(SubsidieTabel!$A48,Tb_Activiteiten[[#All],[Subsidiabele_Activiteit]],0),MATCH(SubsidieTabel!V$1,Tb_Activiteiten[#Headers],0))=1,SubsidieTabel!$K48,0),0)</f>
        <v>0</v>
      </c>
      <c r="W48" s="369">
        <f>IFERROR(IF(INDEX(Tb_Activiteiten[#All],MATCH(SubsidieTabel!$A48,Tb_Activiteiten[[#All],[Subsidiabele_Activiteit]],0),MATCH(SubsidieTabel!Q$1,Tb_Activiteiten[#Headers],0))=1,H48,0),0)</f>
        <v>0</v>
      </c>
      <c r="X48" s="369">
        <f>IFERROR(IF(INDEX(Tb_Activiteiten[#All],MATCH(SubsidieTabel!$A48,Tb_Activiteiten[[#All],[Subsidiabele_Activiteit]],0),MATCH(SubsidieTabel!Q$1,Tb_Activiteiten[#Headers],0))=1,I48,0),0)</f>
        <v>0</v>
      </c>
      <c r="Y48" s="369">
        <f>IFERROR(IF(INDEX(Tb_Activiteiten[#All],MATCH(SubsidieTabel!$A48,Tb_Activiteiten[[#All],[Subsidiabele_Activiteit]],0),MATCH(SubsidieTabel!S$1,Tb_Activiteiten[#Headers],0))=1,H48,0),0)</f>
        <v>0</v>
      </c>
      <c r="Z48" s="369">
        <f>IFERROR(IF(INDEX(Tb_Activiteiten[#All],MATCH(SubsidieTabel!$A48,Tb_Activiteiten[[#All],[Subsidiabele_Activiteit]],0),MATCH(SubsidieTabel!S$1,Tb_Activiteiten[#Headers],0))=1,I48,0),0)</f>
        <v>0</v>
      </c>
      <c r="AA48" s="369">
        <f>IFERROR(IF(INDEX(Tb_Activiteiten[#All],MATCH(SubsidieTabel!$A48,Tb_Activiteiten[[#All],[Subsidiabele_Activiteit]],0),MATCH(SubsidieTabel!O$1,Tb_Activiteiten[#Headers],0))=1,$F48,0),0)</f>
        <v>0</v>
      </c>
      <c r="AB48" s="369">
        <f>IFERROR(IF(INDEX(Tb_Activiteiten[#All],MATCH(SubsidieTabel!$A48,Tb_Activiteiten[[#All],[Subsidiabele_Activiteit]],0),MATCH(SubsidieTabel!O$1,Tb_Activiteiten[#Headers],0))=1,$G48,0),0)</f>
        <v>0</v>
      </c>
      <c r="AD48" s="169" t="str">
        <f t="shared" si="7"/>
        <v>Afschrijvingskosten</v>
      </c>
      <c r="AE48" t="str">
        <f t="shared" si="8"/>
        <v/>
      </c>
      <c r="AF48" s="64">
        <f>IF(Tb_DBKostenBEO[[#This Row],[Forfait]]=1,SUMIFS('8. Uitgaven betaalverzoek'!W:W,'8. Uitgaven betaalverzoek'!F:F,Tb_DBKostenBEO[[#This Row],[KostenOmschrijving]],'8. Uitgaven betaalverzoek'!A:A,Tb_DBKostenBEO[[#This Row],[Deelbetaling]]),0)</f>
        <v>0</v>
      </c>
      <c r="AG48" s="64">
        <f>IF(Tb_DBKostenBEO[[#This Row],[Forfait]]=1,SUMIFS('8. Uitgaven betaalverzoek'!X:X,'8. Uitgaven betaalverzoek'!F:F,Tb_DBKostenBEO[[#This Row],[KostenOmschrijving]],'8. Uitgaven betaalverzoek'!A:A,Tb_DBKostenBEO[[#This Row],[Deelbetaling]]),0)</f>
        <v>0</v>
      </c>
      <c r="AH48" cm="1">
        <f t="array" ref="AH48">INDEX(Tb_KostenOptiesDB[],MATCH(Tb_DBKostenBEO[[#This Row],[KostenOmschrijving]],Tb_KostenOptiesDB[KostenOptie],0),IFERROR(MATCH(Methode_Keuze,Tb_KostenOptiesDB[#Headers],0),2))</f>
        <v>1</v>
      </c>
      <c r="AI48" s="65">
        <v>0.23</v>
      </c>
      <c r="AJ48" s="64">
        <f>IF(Tb_DBKostenBEO[[#This Row],[Forfait]]=1,SUMIFS('8. Uitgaven betaalverzoek'!Z:Z,'8. Uitgaven betaalverzoek'!F:F,Tb_DBKostenBEO[[#This Row],[KostenOmschrijving]],'8. Uitgaven betaalverzoek'!A:A,Tb_DBKostenBEO[[#This Row],[Deelbetaling]]),0)</f>
        <v>0</v>
      </c>
      <c r="AK48" s="64">
        <f>IF(Tb_DBKostenBEO[[#This Row],[Forfait]]=1,SUMIFS('8. Uitgaven betaalverzoek'!AA:AA,'8. Uitgaven betaalverzoek'!F:F,Tb_DBKostenBEO[[#This Row],[KostenOmschrijving]],'8. Uitgaven betaalverzoek'!A:A,Tb_DBKostenBEO[[#This Row],[Deelbetaling]]),0)</f>
        <v>0</v>
      </c>
      <c r="AL48" s="64">
        <f>Tb_DBKostenBEO[[#This Row],[Deelbetaling_Aanvraag]]+Tb_DBKostenBEO[[#This Row],[Forfait_Bedrag]]</f>
        <v>0</v>
      </c>
      <c r="AM48" s="64">
        <f>Tb_DBKostenBEO[[#This Row],[Deelbetaling_Beoordeeld]]+Tb_DBKostenBEO[[#This Row],[Forfait_Bedrag_Beoordeeld]]</f>
        <v>0</v>
      </c>
      <c r="AN48" t="str">
        <f>IF(Tb_DBKostenBEO[[#This Row],[Forfait]]=0,"Dit kostentype hoeft u niet op te geven. Hiervoor wordt een forfait berekend.","")</f>
        <v/>
      </c>
    </row>
    <row r="49" spans="1:40" x14ac:dyDescent="0.25">
      <c r="A49" s="12"/>
      <c r="B49" s="12"/>
      <c r="C49" s="12" t="str">
        <f>IFERROR(VLOOKUP($B49,Tb_ProjectKosten[],4,0),"")</f>
        <v/>
      </c>
      <c r="D49" s="12" t="str" cm="1">
        <f t="array" ref="D49">IFERROR(INDEX(Tb_KostenOpties[],MATCH(B49,Tb_KostenOpties[KostenOptie],0),IFERROR(MATCH(Methode_Keuze,Tb_KostenOpties[#Headers],0),2)),"")</f>
        <v/>
      </c>
      <c r="E49" s="281">
        <f>IFERROR(VLOOKUP(B49,Tb_ProjectKosten[[#All],[KostenOmschrijving]:[Forfait_Percentage]],6,0),0)</f>
        <v>0</v>
      </c>
      <c r="F49" s="282">
        <f>SUMIFS('5. Kosten uitvoering project'!R:R,'5. Kosten uitvoering project'!E:E,SubsidieTabel!A49,'5. Kosten uitvoering project'!F:F,SubsidieTabel!B49)</f>
        <v>0</v>
      </c>
      <c r="G49" s="282">
        <f>SUMIFS('5. Kosten uitvoering project'!S:S,'5. Kosten uitvoering project'!E:E,SubsidieTabel!A49,'5. Kosten uitvoering project'!F:F,SubsidieTabel!B49)</f>
        <v>0</v>
      </c>
      <c r="H49" s="282">
        <f>SUMIFS('5. Kosten uitvoering project'!U:U,'5. Kosten uitvoering project'!E:E,SubsidieTabel!A49,'5. Kosten uitvoering project'!F:F,SubsidieTabel!B49)</f>
        <v>0</v>
      </c>
      <c r="I49" s="282">
        <f>SUMIFS('5. Kosten uitvoering project'!V:V,'5. Kosten uitvoering project'!E:E,SubsidieTabel!A49,'5. Kosten uitvoering project'!F:F,SubsidieTabel!B49)</f>
        <v>0</v>
      </c>
      <c r="J49" s="282">
        <f t="shared" si="0"/>
        <v>0</v>
      </c>
      <c r="K49" s="282">
        <f t="shared" si="1"/>
        <v>0</v>
      </c>
      <c r="L49" s="281" t="str">
        <f>IFERROR(VLOOKUP(A49,Lijsten!$AK:$AL,2,0),"")</f>
        <v/>
      </c>
      <c r="M49" s="282">
        <f t="shared" si="2"/>
        <v>0</v>
      </c>
      <c r="N49" s="282">
        <f t="shared" si="3"/>
        <v>0</v>
      </c>
      <c r="O49" s="282">
        <f>IFERROR(IF(INDEX(Tb_Activiteiten[#All],MATCH(SubsidieTabel!$A49,Tb_Activiteiten[[#All],[Subsidiabele_Activiteit]],0),MATCH(SubsidieTabel!O$1,Tb_Activiteiten[#Headers],0))=1,SubsidieTabel!$J49,0),0)</f>
        <v>0</v>
      </c>
      <c r="P49" s="282">
        <f>IFERROR(IF(INDEX(Tb_Activiteiten[#All],MATCH(SubsidieTabel!$A49,Tb_Activiteiten[[#All],[Subsidiabele_Activiteit]],0),MATCH(SubsidieTabel!P$1,Tb_Activiteiten[#Headers],0))=1,SubsidieTabel!$K49,0),0)</f>
        <v>0</v>
      </c>
      <c r="Q49" s="282">
        <f>IFERROR(IF(INDEX(Tb_Activiteiten[#All],MATCH(SubsidieTabel!$A49,Tb_Activiteiten[[#All],[Subsidiabele_Activiteit]],0),MATCH(SubsidieTabel!Q$1,Tb_Activiteiten[#Headers],0))=1,SubsidieTabel!$J49,0),0)</f>
        <v>0</v>
      </c>
      <c r="R49" s="282">
        <f>IFERROR(IF(INDEX(Tb_Activiteiten[#All],MATCH(SubsidieTabel!$A49,Tb_Activiteiten[[#All],[Subsidiabele_Activiteit]],0),MATCH(SubsidieTabel!R$1,Tb_Activiteiten[#Headers],0))=1,SubsidieTabel!$K49,0),0)</f>
        <v>0</v>
      </c>
      <c r="S49" s="282">
        <f>IFERROR(IF(INDEX(Tb_Activiteiten[#All],MATCH(SubsidieTabel!$A49,Tb_Activiteiten[[#All],[Subsidiabele_Activiteit]],0),MATCH(SubsidieTabel!S$1,Tb_Activiteiten[#Headers],0))=1,SubsidieTabel!$J49,0),0)</f>
        <v>0</v>
      </c>
      <c r="T49" s="282">
        <f>IFERROR(IF(INDEX(Tb_Activiteiten[#All],MATCH(SubsidieTabel!$A49,Tb_Activiteiten[[#All],[Subsidiabele_Activiteit]],0),MATCH(SubsidieTabel!T$1,Tb_Activiteiten[#Headers],0))=1,SubsidieTabel!$K49,0),0)</f>
        <v>0</v>
      </c>
      <c r="U49" s="282">
        <f>IFERROR(IF(INDEX(Tb_Activiteiten[#All],MATCH(SubsidieTabel!$A49,Tb_Activiteiten[[#All],[Subsidiabele_Activiteit]],0),MATCH(SubsidieTabel!U$1,Tb_Activiteiten[#Headers],0))=1,SubsidieTabel!$J49,0),0)</f>
        <v>0</v>
      </c>
      <c r="V49" s="282">
        <f>IFERROR(IF(INDEX(Tb_Activiteiten[#All],MATCH(SubsidieTabel!$A49,Tb_Activiteiten[[#All],[Subsidiabele_Activiteit]],0),MATCH(SubsidieTabel!V$1,Tb_Activiteiten[#Headers],0))=1,SubsidieTabel!$K49,0),0)</f>
        <v>0</v>
      </c>
      <c r="W49" s="64">
        <f>IFERROR(IF(INDEX(Tb_Activiteiten[#All],MATCH(SubsidieTabel!$A49,Tb_Activiteiten[[#All],[Subsidiabele_Activiteit]],0),MATCH(SubsidieTabel!Q$1,Tb_Activiteiten[#Headers],0))=1,H49,0),0)</f>
        <v>0</v>
      </c>
      <c r="X49" s="64">
        <f>IFERROR(IF(INDEX(Tb_Activiteiten[#All],MATCH(SubsidieTabel!$A49,Tb_Activiteiten[[#All],[Subsidiabele_Activiteit]],0),MATCH(SubsidieTabel!Q$1,Tb_Activiteiten[#Headers],0))=1,I49,0),0)</f>
        <v>0</v>
      </c>
      <c r="Y49" s="64">
        <f>IFERROR(IF(INDEX(Tb_Activiteiten[#All],MATCH(SubsidieTabel!$A49,Tb_Activiteiten[[#All],[Subsidiabele_Activiteit]],0),MATCH(SubsidieTabel!S$1,Tb_Activiteiten[#Headers],0))=1,H49,0),0)</f>
        <v>0</v>
      </c>
      <c r="Z49" s="64">
        <f>IFERROR(IF(INDEX(Tb_Activiteiten[#All],MATCH(SubsidieTabel!$A49,Tb_Activiteiten[[#All],[Subsidiabele_Activiteit]],0),MATCH(SubsidieTabel!S$1,Tb_Activiteiten[#Headers],0))=1,I49,0),0)</f>
        <v>0</v>
      </c>
      <c r="AA49" s="64">
        <f>IFERROR(IF(INDEX(Tb_Activiteiten[#All],MATCH(SubsidieTabel!$A49,Tb_Activiteiten[[#All],[Subsidiabele_Activiteit]],0),MATCH(SubsidieTabel!O$1,Tb_Activiteiten[#Headers],0))=1,$F49,0),0)</f>
        <v>0</v>
      </c>
      <c r="AB49" s="64">
        <f>IFERROR(IF(INDEX(Tb_Activiteiten[#All],MATCH(SubsidieTabel!$A49,Tb_Activiteiten[[#All],[Subsidiabele_Activiteit]],0),MATCH(SubsidieTabel!O$1,Tb_Activiteiten[#Headers],0))=1,$G49,0),0)</f>
        <v>0</v>
      </c>
      <c r="AD49" s="169" t="str">
        <f t="shared" si="7"/>
        <v>Vergoeding</v>
      </c>
      <c r="AE49" s="68" t="str">
        <f>IF(Keuze_DB_Nr_BEO&lt;&gt;"",Keuze_DB_Nr_BEO,"")</f>
        <v/>
      </c>
      <c r="AF49" s="64">
        <f>IF(Tb_DBKostenBEO[[#This Row],[Forfait]]=1,SUMIFS('8. Uitgaven betaalverzoek'!W:W,'8. Uitgaven betaalverzoek'!F:F,Tb_DBKostenBEO[[#This Row],[KostenOmschrijving]],'8. Uitgaven betaalverzoek'!A:A,Tb_DBKostenBEO[[#This Row],[Deelbetaling]]),0)</f>
        <v>0</v>
      </c>
      <c r="AG49" s="64">
        <f>IF(Tb_DBKostenBEO[[#This Row],[Forfait]]=1,SUMIFS('8. Uitgaven betaalverzoek'!X:X,'8. Uitgaven betaalverzoek'!F:F,Tb_DBKostenBEO[[#This Row],[KostenOmschrijving]],'8. Uitgaven betaalverzoek'!A:A,Tb_DBKostenBEO[[#This Row],[Deelbetaling]]),0)</f>
        <v>0</v>
      </c>
      <c r="AH49" cm="1">
        <f t="array" ref="AH49">INDEX(Tb_KostenOptiesDB[],MATCH(Tb_DBKostenBEO[[#This Row],[KostenOmschrijving]],Tb_KostenOptiesDB[KostenOptie],0),IFERROR(MATCH(Methode_Keuze,Tb_KostenOptiesDB[#Headers],0),2))</f>
        <v>1</v>
      </c>
      <c r="AI49" s="65">
        <v>0</v>
      </c>
      <c r="AJ49" s="64">
        <f>IF(Tb_DBKostenBEO[[#This Row],[Forfait]]=1,SUMIFS('8. Uitgaven betaalverzoek'!Z:Z,'8. Uitgaven betaalverzoek'!F:F,Tb_DBKostenBEO[[#This Row],[KostenOmschrijving]],'8. Uitgaven betaalverzoek'!A:A,Tb_DBKostenBEO[[#This Row],[Deelbetaling]]),0)</f>
        <v>0</v>
      </c>
      <c r="AK49" s="64">
        <f>IF(Tb_DBKostenBEO[[#This Row],[Forfait]]=1,SUMIFS('8. Uitgaven betaalverzoek'!AA:AA,'8. Uitgaven betaalverzoek'!F:F,Tb_DBKostenBEO[[#This Row],[KostenOmschrijving]],'8. Uitgaven betaalverzoek'!A:A,Tb_DBKostenBEO[[#This Row],[Deelbetaling]]),0)</f>
        <v>0</v>
      </c>
      <c r="AL49" s="64">
        <f>Tb_DBKostenBEO[[#This Row],[Deelbetaling_Aanvraag]]+Tb_DBKostenBEO[[#This Row],[Forfait_Bedrag]]</f>
        <v>0</v>
      </c>
      <c r="AM49" s="64">
        <f>Tb_DBKostenBEO[[#This Row],[Deelbetaling_Beoordeeld]]+Tb_DBKostenBEO[[#This Row],[Forfait_Bedrag_Beoordeeld]]</f>
        <v>0</v>
      </c>
      <c r="AN49" t="str">
        <f>IF(Tb_DBKostenBEO[[#This Row],[Forfait]]=0,"Dit kostentype hoeft u niet op te geven. Hiervoor wordt een forfait berekend.","")</f>
        <v/>
      </c>
    </row>
    <row r="50" spans="1:40" x14ac:dyDescent="0.25">
      <c r="A50" s="63"/>
      <c r="B50" s="63"/>
      <c r="C50" s="63" t="str">
        <f>IFERROR(VLOOKUP($B50,Tb_ProjectKosten[],4,0),"")</f>
        <v/>
      </c>
      <c r="D50" s="63" t="str" cm="1">
        <f t="array" ref="D50">IFERROR(INDEX(Tb_KostenOpties[],MATCH(B50,Tb_KostenOpties[KostenOptie],0),IFERROR(MATCH(Methode_Keuze,Tb_KostenOpties[#Headers],0),2)),"")</f>
        <v/>
      </c>
      <c r="E50" s="283">
        <f>IFERROR(VLOOKUP(B50,Tb_ProjectKosten[[#All],[KostenOmschrijving]:[Forfait_Percentage]],6,0),0)</f>
        <v>0</v>
      </c>
      <c r="F50" s="284">
        <f>SUMIFS('5. Kosten uitvoering project'!R:R,'5. Kosten uitvoering project'!E:E,SubsidieTabel!A50,'5. Kosten uitvoering project'!F:F,SubsidieTabel!B50)</f>
        <v>0</v>
      </c>
      <c r="G50" s="284">
        <f>SUMIFS('5. Kosten uitvoering project'!S:S,'5. Kosten uitvoering project'!E:E,SubsidieTabel!A50,'5. Kosten uitvoering project'!F:F,SubsidieTabel!B50)</f>
        <v>0</v>
      </c>
      <c r="H50" s="284">
        <f>SUMIFS('5. Kosten uitvoering project'!U:U,'5. Kosten uitvoering project'!E:E,SubsidieTabel!A50,'5. Kosten uitvoering project'!F:F,SubsidieTabel!B50)</f>
        <v>0</v>
      </c>
      <c r="I50" s="284">
        <f>SUMIFS('5. Kosten uitvoering project'!V:V,'5. Kosten uitvoering project'!E:E,SubsidieTabel!A50,'5. Kosten uitvoering project'!F:F,SubsidieTabel!B50)</f>
        <v>0</v>
      </c>
      <c r="J50" s="284">
        <f t="shared" si="0"/>
        <v>0</v>
      </c>
      <c r="K50" s="284">
        <f t="shared" si="1"/>
        <v>0</v>
      </c>
      <c r="L50" s="283" t="str">
        <f>IFERROR(VLOOKUP(A50,Lijsten!$AK:$AL,2,0),"")</f>
        <v/>
      </c>
      <c r="M50" s="284">
        <f t="shared" si="2"/>
        <v>0</v>
      </c>
      <c r="N50" s="284">
        <f t="shared" si="3"/>
        <v>0</v>
      </c>
      <c r="O50" s="284">
        <f>IFERROR(IF(INDEX(Tb_Activiteiten[#All],MATCH(SubsidieTabel!$A50,Tb_Activiteiten[[#All],[Subsidiabele_Activiteit]],0),MATCH(SubsidieTabel!O$1,Tb_Activiteiten[#Headers],0))=1,SubsidieTabel!$J50,0),0)</f>
        <v>0</v>
      </c>
      <c r="P50" s="284">
        <f>IFERROR(IF(INDEX(Tb_Activiteiten[#All],MATCH(SubsidieTabel!$A50,Tb_Activiteiten[[#All],[Subsidiabele_Activiteit]],0),MATCH(SubsidieTabel!P$1,Tb_Activiteiten[#Headers],0))=1,SubsidieTabel!$K50,0),0)</f>
        <v>0</v>
      </c>
      <c r="Q50" s="284">
        <f>IFERROR(IF(INDEX(Tb_Activiteiten[#All],MATCH(SubsidieTabel!$A50,Tb_Activiteiten[[#All],[Subsidiabele_Activiteit]],0),MATCH(SubsidieTabel!Q$1,Tb_Activiteiten[#Headers],0))=1,SubsidieTabel!$J50,0),0)</f>
        <v>0</v>
      </c>
      <c r="R50" s="284">
        <f>IFERROR(IF(INDEX(Tb_Activiteiten[#All],MATCH(SubsidieTabel!$A50,Tb_Activiteiten[[#All],[Subsidiabele_Activiteit]],0),MATCH(SubsidieTabel!R$1,Tb_Activiteiten[#Headers],0))=1,SubsidieTabel!$K50,0),0)</f>
        <v>0</v>
      </c>
      <c r="S50" s="284">
        <f>IFERROR(IF(INDEX(Tb_Activiteiten[#All],MATCH(SubsidieTabel!$A50,Tb_Activiteiten[[#All],[Subsidiabele_Activiteit]],0),MATCH(SubsidieTabel!S$1,Tb_Activiteiten[#Headers],0))=1,SubsidieTabel!$J50,0),0)</f>
        <v>0</v>
      </c>
      <c r="T50" s="284">
        <f>IFERROR(IF(INDEX(Tb_Activiteiten[#All],MATCH(SubsidieTabel!$A50,Tb_Activiteiten[[#All],[Subsidiabele_Activiteit]],0),MATCH(SubsidieTabel!T$1,Tb_Activiteiten[#Headers],0))=1,SubsidieTabel!$K50,0),0)</f>
        <v>0</v>
      </c>
      <c r="U50" s="284">
        <f>IFERROR(IF(INDEX(Tb_Activiteiten[#All],MATCH(SubsidieTabel!$A50,Tb_Activiteiten[[#All],[Subsidiabele_Activiteit]],0),MATCH(SubsidieTabel!U$1,Tb_Activiteiten[#Headers],0))=1,SubsidieTabel!$J50,0),0)</f>
        <v>0</v>
      </c>
      <c r="V50" s="284">
        <f>IFERROR(IF(INDEX(Tb_Activiteiten[#All],MATCH(SubsidieTabel!$A50,Tb_Activiteiten[[#All],[Subsidiabele_Activiteit]],0),MATCH(SubsidieTabel!V$1,Tb_Activiteiten[#Headers],0))=1,SubsidieTabel!$K50,0),0)</f>
        <v>0</v>
      </c>
      <c r="W50" s="369">
        <f>IFERROR(IF(INDEX(Tb_Activiteiten[#All],MATCH(SubsidieTabel!$A50,Tb_Activiteiten[[#All],[Subsidiabele_Activiteit]],0),MATCH(SubsidieTabel!Q$1,Tb_Activiteiten[#Headers],0))=1,H50,0),0)</f>
        <v>0</v>
      </c>
      <c r="X50" s="369">
        <f>IFERROR(IF(INDEX(Tb_Activiteiten[#All],MATCH(SubsidieTabel!$A50,Tb_Activiteiten[[#All],[Subsidiabele_Activiteit]],0),MATCH(SubsidieTabel!Q$1,Tb_Activiteiten[#Headers],0))=1,I50,0),0)</f>
        <v>0</v>
      </c>
      <c r="Y50" s="369">
        <f>IFERROR(IF(INDEX(Tb_Activiteiten[#All],MATCH(SubsidieTabel!$A50,Tb_Activiteiten[[#All],[Subsidiabele_Activiteit]],0),MATCH(SubsidieTabel!S$1,Tb_Activiteiten[#Headers],0))=1,H50,0),0)</f>
        <v>0</v>
      </c>
      <c r="Z50" s="369">
        <f>IFERROR(IF(INDEX(Tb_Activiteiten[#All],MATCH(SubsidieTabel!$A50,Tb_Activiteiten[[#All],[Subsidiabele_Activiteit]],0),MATCH(SubsidieTabel!S$1,Tb_Activiteiten[#Headers],0))=1,I50,0),0)</f>
        <v>0</v>
      </c>
      <c r="AA50" s="369">
        <f>IFERROR(IF(INDEX(Tb_Activiteiten[#All],MATCH(SubsidieTabel!$A50,Tb_Activiteiten[[#All],[Subsidiabele_Activiteit]],0),MATCH(SubsidieTabel!O$1,Tb_Activiteiten[#Headers],0))=1,$F50,0),0)</f>
        <v>0</v>
      </c>
      <c r="AB50" s="369">
        <f>IFERROR(IF(INDEX(Tb_Activiteiten[#All],MATCH(SubsidieTabel!$A50,Tb_Activiteiten[[#All],[Subsidiabele_Activiteit]],0),MATCH(SubsidieTabel!O$1,Tb_Activiteiten[#Headers],0))=1,$G50,0),0)</f>
        <v>0</v>
      </c>
      <c r="AD50" s="169" t="str">
        <f t="shared" si="7"/>
        <v>Arbeidskosten - vast tarief (excl eigen arbeid)</v>
      </c>
      <c r="AE50" t="str">
        <f t="shared" si="8"/>
        <v/>
      </c>
      <c r="AF50" s="64">
        <f>IF(Tb_DBKostenBEO[[#This Row],[Forfait]]=1,SUMIFS('8. Uitgaven betaalverzoek'!W:W,'8. Uitgaven betaalverzoek'!F:F,Tb_DBKostenBEO[[#This Row],[KostenOmschrijving]],'8. Uitgaven betaalverzoek'!A:A,Tb_DBKostenBEO[[#This Row],[Deelbetaling]]),0)</f>
        <v>0</v>
      </c>
      <c r="AG50" s="64">
        <f>IF(Tb_DBKostenBEO[[#This Row],[Forfait]]=1,SUMIFS('8. Uitgaven betaalverzoek'!X:X,'8. Uitgaven betaalverzoek'!F:F,Tb_DBKostenBEO[[#This Row],[KostenOmschrijving]],'8. Uitgaven betaalverzoek'!A:A,Tb_DBKostenBEO[[#This Row],[Deelbetaling]]),0)</f>
        <v>0</v>
      </c>
      <c r="AH50" cm="1">
        <f t="array" ref="AH50">INDEX(Tb_KostenOptiesDB[],MATCH(Tb_DBKostenBEO[[#This Row],[KostenOmschrijving]],Tb_KostenOptiesDB[KostenOptie],0),IFERROR(MATCH(Methode_Keuze,Tb_KostenOptiesDB[#Headers],0),2))</f>
        <v>1</v>
      </c>
      <c r="AI50" s="65">
        <v>0</v>
      </c>
      <c r="AJ50" s="64">
        <f>IF(Tb_DBKostenBEO[[#This Row],[Forfait]]=1,SUMIFS('8. Uitgaven betaalverzoek'!Z:Z,'8. Uitgaven betaalverzoek'!F:F,Tb_DBKostenBEO[[#This Row],[KostenOmschrijving]],'8. Uitgaven betaalverzoek'!A:A,Tb_DBKostenBEO[[#This Row],[Deelbetaling]]),0)</f>
        <v>0</v>
      </c>
      <c r="AK50" s="64">
        <f>IF(Tb_DBKostenBEO[[#This Row],[Forfait]]=1,SUMIFS('8. Uitgaven betaalverzoek'!AA:AA,'8. Uitgaven betaalverzoek'!F:F,Tb_DBKostenBEO[[#This Row],[KostenOmschrijving]],'8. Uitgaven betaalverzoek'!A:A,Tb_DBKostenBEO[[#This Row],[Deelbetaling]]),0)</f>
        <v>0</v>
      </c>
      <c r="AL50" s="64">
        <f>Tb_DBKostenBEO[[#This Row],[Deelbetaling_Aanvraag]]+Tb_DBKostenBEO[[#This Row],[Forfait_Bedrag]]</f>
        <v>0</v>
      </c>
      <c r="AM50" s="64">
        <f>Tb_DBKostenBEO[[#This Row],[Deelbetaling_Beoordeeld]]+Tb_DBKostenBEO[[#This Row],[Forfait_Bedrag_Beoordeeld]]</f>
        <v>0</v>
      </c>
      <c r="AN50" t="str">
        <f>IF(Tb_DBKostenBEO[[#This Row],[Forfait]]=0,"Dit kostentype hoeft u niet op te geven. Hiervoor wordt een forfait berekend.","")</f>
        <v/>
      </c>
    </row>
    <row r="51" spans="1:40" x14ac:dyDescent="0.25">
      <c r="A51" s="12"/>
      <c r="B51" s="12"/>
      <c r="C51" s="12" t="str">
        <f>IFERROR(VLOOKUP($B51,Tb_ProjectKosten[],4,0),"")</f>
        <v/>
      </c>
      <c r="D51" s="12" t="str" cm="1">
        <f t="array" ref="D51">IFERROR(INDEX(Tb_KostenOpties[],MATCH(B51,Tb_KostenOpties[KostenOptie],0),IFERROR(MATCH(Methode_Keuze,Tb_KostenOpties[#Headers],0),2)),"")</f>
        <v/>
      </c>
      <c r="E51" s="281">
        <f>IFERROR(VLOOKUP(B51,Tb_ProjectKosten[[#All],[KostenOmschrijving]:[Forfait_Percentage]],6,0),0)</f>
        <v>0</v>
      </c>
      <c r="F51" s="282">
        <f>SUMIFS('5. Kosten uitvoering project'!R:R,'5. Kosten uitvoering project'!E:E,SubsidieTabel!A51,'5. Kosten uitvoering project'!F:F,SubsidieTabel!B51)</f>
        <v>0</v>
      </c>
      <c r="G51" s="282">
        <f>SUMIFS('5. Kosten uitvoering project'!S:S,'5. Kosten uitvoering project'!E:E,SubsidieTabel!A51,'5. Kosten uitvoering project'!F:F,SubsidieTabel!B51)</f>
        <v>0</v>
      </c>
      <c r="H51" s="282">
        <f>SUMIFS('5. Kosten uitvoering project'!U:U,'5. Kosten uitvoering project'!E:E,SubsidieTabel!A51,'5. Kosten uitvoering project'!F:F,SubsidieTabel!B51)</f>
        <v>0</v>
      </c>
      <c r="I51" s="282">
        <f>SUMIFS('5. Kosten uitvoering project'!V:V,'5. Kosten uitvoering project'!E:E,SubsidieTabel!A51,'5. Kosten uitvoering project'!F:F,SubsidieTabel!B51)</f>
        <v>0</v>
      </c>
      <c r="J51" s="282">
        <f t="shared" si="0"/>
        <v>0</v>
      </c>
      <c r="K51" s="282">
        <f t="shared" si="1"/>
        <v>0</v>
      </c>
      <c r="L51" s="281" t="str">
        <f>IFERROR(VLOOKUP(A51,Lijsten!$AK:$AL,2,0),"")</f>
        <v/>
      </c>
      <c r="M51" s="282">
        <f t="shared" si="2"/>
        <v>0</v>
      </c>
      <c r="N51" s="282">
        <f t="shared" si="3"/>
        <v>0</v>
      </c>
      <c r="O51" s="282">
        <f>IFERROR(IF(INDEX(Tb_Activiteiten[#All],MATCH(SubsidieTabel!$A51,Tb_Activiteiten[[#All],[Subsidiabele_Activiteit]],0),MATCH(SubsidieTabel!O$1,Tb_Activiteiten[#Headers],0))=1,SubsidieTabel!$J51,0),0)</f>
        <v>0</v>
      </c>
      <c r="P51" s="282">
        <f>IFERROR(IF(INDEX(Tb_Activiteiten[#All],MATCH(SubsidieTabel!$A51,Tb_Activiteiten[[#All],[Subsidiabele_Activiteit]],0),MATCH(SubsidieTabel!P$1,Tb_Activiteiten[#Headers],0))=1,SubsidieTabel!$K51,0),0)</f>
        <v>0</v>
      </c>
      <c r="Q51" s="282">
        <f>IFERROR(IF(INDEX(Tb_Activiteiten[#All],MATCH(SubsidieTabel!$A51,Tb_Activiteiten[[#All],[Subsidiabele_Activiteit]],0),MATCH(SubsidieTabel!Q$1,Tb_Activiteiten[#Headers],0))=1,SubsidieTabel!$J51,0),0)</f>
        <v>0</v>
      </c>
      <c r="R51" s="282">
        <f>IFERROR(IF(INDEX(Tb_Activiteiten[#All],MATCH(SubsidieTabel!$A51,Tb_Activiteiten[[#All],[Subsidiabele_Activiteit]],0),MATCH(SubsidieTabel!R$1,Tb_Activiteiten[#Headers],0))=1,SubsidieTabel!$K51,0),0)</f>
        <v>0</v>
      </c>
      <c r="S51" s="282">
        <f>IFERROR(IF(INDEX(Tb_Activiteiten[#All],MATCH(SubsidieTabel!$A51,Tb_Activiteiten[[#All],[Subsidiabele_Activiteit]],0),MATCH(SubsidieTabel!S$1,Tb_Activiteiten[#Headers],0))=1,SubsidieTabel!$J51,0),0)</f>
        <v>0</v>
      </c>
      <c r="T51" s="282">
        <f>IFERROR(IF(INDEX(Tb_Activiteiten[#All],MATCH(SubsidieTabel!$A51,Tb_Activiteiten[[#All],[Subsidiabele_Activiteit]],0),MATCH(SubsidieTabel!T$1,Tb_Activiteiten[#Headers],0))=1,SubsidieTabel!$K51,0),0)</f>
        <v>0</v>
      </c>
      <c r="U51" s="282">
        <f>IFERROR(IF(INDEX(Tb_Activiteiten[#All],MATCH(SubsidieTabel!$A51,Tb_Activiteiten[[#All],[Subsidiabele_Activiteit]],0),MATCH(SubsidieTabel!U$1,Tb_Activiteiten[#Headers],0))=1,SubsidieTabel!$J51,0),0)</f>
        <v>0</v>
      </c>
      <c r="V51" s="282">
        <f>IFERROR(IF(INDEX(Tb_Activiteiten[#All],MATCH(SubsidieTabel!$A51,Tb_Activiteiten[[#All],[Subsidiabele_Activiteit]],0),MATCH(SubsidieTabel!V$1,Tb_Activiteiten[#Headers],0))=1,SubsidieTabel!$K51,0),0)</f>
        <v>0</v>
      </c>
      <c r="W51" s="64">
        <f>IFERROR(IF(INDEX(Tb_Activiteiten[#All],MATCH(SubsidieTabel!$A51,Tb_Activiteiten[[#All],[Subsidiabele_Activiteit]],0),MATCH(SubsidieTabel!Q$1,Tb_Activiteiten[#Headers],0))=1,H51,0),0)</f>
        <v>0</v>
      </c>
      <c r="X51" s="64">
        <f>IFERROR(IF(INDEX(Tb_Activiteiten[#All],MATCH(SubsidieTabel!$A51,Tb_Activiteiten[[#All],[Subsidiabele_Activiteit]],0),MATCH(SubsidieTabel!Q$1,Tb_Activiteiten[#Headers],0))=1,I51,0),0)</f>
        <v>0</v>
      </c>
      <c r="Y51" s="64">
        <f>IFERROR(IF(INDEX(Tb_Activiteiten[#All],MATCH(SubsidieTabel!$A51,Tb_Activiteiten[[#All],[Subsidiabele_Activiteit]],0),MATCH(SubsidieTabel!S$1,Tb_Activiteiten[#Headers],0))=1,H51,0),0)</f>
        <v>0</v>
      </c>
      <c r="Z51" s="64">
        <f>IFERROR(IF(INDEX(Tb_Activiteiten[#All],MATCH(SubsidieTabel!$A51,Tb_Activiteiten[[#All],[Subsidiabele_Activiteit]],0),MATCH(SubsidieTabel!S$1,Tb_Activiteiten[#Headers],0))=1,I51,0),0)</f>
        <v>0</v>
      </c>
      <c r="AA51" s="64">
        <f>IFERROR(IF(INDEX(Tb_Activiteiten[#All],MATCH(SubsidieTabel!$A51,Tb_Activiteiten[[#All],[Subsidiabele_Activiteit]],0),MATCH(SubsidieTabel!O$1,Tb_Activiteiten[#Headers],0))=1,$F51,0),0)</f>
        <v>0</v>
      </c>
      <c r="AB51" s="64">
        <f>IFERROR(IF(INDEX(Tb_Activiteiten[#All],MATCH(SubsidieTabel!$A51,Tb_Activiteiten[[#All],[Subsidiabele_Activiteit]],0),MATCH(SubsidieTabel!O$1,Tb_Activiteiten[#Headers],0))=1,$G51,0),0)</f>
        <v>0</v>
      </c>
      <c r="AD51" s="169" t="str">
        <f t="shared" si="7"/>
        <v>Overige kosten</v>
      </c>
      <c r="AE51" s="68" t="str">
        <f>IF(Keuze_DB_Nr_BEO&lt;&gt;"",Keuze_DB_Nr_BEO,"")</f>
        <v/>
      </c>
      <c r="AF51" s="64">
        <f>IF(Tb_DBKostenBEO[[#This Row],[Forfait]]=1,SUMIFS('8. Uitgaven betaalverzoek'!W:W,'8. Uitgaven betaalverzoek'!F:F,Tb_DBKostenBEO[[#This Row],[KostenOmschrijving]],'8. Uitgaven betaalverzoek'!A:A,Tb_DBKostenBEO[[#This Row],[Deelbetaling]]),0)</f>
        <v>0</v>
      </c>
      <c r="AG51" s="64">
        <f>IF(Tb_DBKostenBEO[[#This Row],[Forfait]]=1,SUMIFS('8. Uitgaven betaalverzoek'!X:X,'8. Uitgaven betaalverzoek'!F:F,Tb_DBKostenBEO[[#This Row],[KostenOmschrijving]],'8. Uitgaven betaalverzoek'!A:A,Tb_DBKostenBEO[[#This Row],[Deelbetaling]]),0)</f>
        <v>0</v>
      </c>
      <c r="AH51" cm="1">
        <f t="array" ref="AH51">INDEX(Tb_KostenOptiesDB[],MATCH(Tb_DBKostenBEO[[#This Row],[KostenOmschrijving]],Tb_KostenOptiesDB[KostenOptie],0),IFERROR(MATCH(Methode_Keuze,Tb_KostenOptiesDB[#Headers],0),2))</f>
        <v>1</v>
      </c>
      <c r="AI51" s="65">
        <v>0.23</v>
      </c>
      <c r="AJ51" s="64">
        <f>IF(Tb_DBKostenBEO[[#This Row],[Forfait]]=1,SUMIFS('8. Uitgaven betaalverzoek'!Z:Z,'8. Uitgaven betaalverzoek'!F:F,Tb_DBKostenBEO[[#This Row],[KostenOmschrijving]],'8. Uitgaven betaalverzoek'!A:A,Tb_DBKostenBEO[[#This Row],[Deelbetaling]]),0)</f>
        <v>0</v>
      </c>
      <c r="AK51" s="64">
        <f>IF(Tb_DBKostenBEO[[#This Row],[Forfait]]=1,SUMIFS('8. Uitgaven betaalverzoek'!AA:AA,'8. Uitgaven betaalverzoek'!F:F,Tb_DBKostenBEO[[#This Row],[KostenOmschrijving]],'8. Uitgaven betaalverzoek'!A:A,Tb_DBKostenBEO[[#This Row],[Deelbetaling]]),0)</f>
        <v>0</v>
      </c>
      <c r="AL51" s="64">
        <f>Tb_DBKostenBEO[[#This Row],[Deelbetaling_Aanvraag]]+Tb_DBKostenBEO[[#This Row],[Forfait_Bedrag]]</f>
        <v>0</v>
      </c>
      <c r="AM51" s="64">
        <f>Tb_DBKostenBEO[[#This Row],[Deelbetaling_Beoordeeld]]+Tb_DBKostenBEO[[#This Row],[Forfait_Bedrag_Beoordeeld]]</f>
        <v>0</v>
      </c>
      <c r="AN51" t="str">
        <f>IF(Tb_DBKostenBEO[[#This Row],[Forfait]]=0,"Dit kostentype hoeft u niet op te geven. Hiervoor wordt een forfait berekend.","")</f>
        <v/>
      </c>
    </row>
    <row r="52" spans="1:40" x14ac:dyDescent="0.25">
      <c r="A52" s="63"/>
      <c r="B52" s="63"/>
      <c r="C52" s="63" t="str">
        <f>IFERROR(VLOOKUP($B52,Tb_ProjectKosten[],4,0),"")</f>
        <v/>
      </c>
      <c r="D52" s="63" t="str" cm="1">
        <f t="array" ref="D52">IFERROR(INDEX(Tb_KostenOpties[],MATCH(B52,Tb_KostenOpties[KostenOptie],0),IFERROR(MATCH(Methode_Keuze,Tb_KostenOpties[#Headers],0),2)),"")</f>
        <v/>
      </c>
      <c r="E52" s="283">
        <f>IFERROR(VLOOKUP(B52,Tb_ProjectKosten[[#All],[KostenOmschrijving]:[Forfait_Percentage]],6,0),0)</f>
        <v>0</v>
      </c>
      <c r="F52" s="284">
        <f>SUMIFS('5. Kosten uitvoering project'!R:R,'5. Kosten uitvoering project'!E:E,SubsidieTabel!A52,'5. Kosten uitvoering project'!F:F,SubsidieTabel!B52)</f>
        <v>0</v>
      </c>
      <c r="G52" s="284">
        <f>SUMIFS('5. Kosten uitvoering project'!S:S,'5. Kosten uitvoering project'!E:E,SubsidieTabel!A52,'5. Kosten uitvoering project'!F:F,SubsidieTabel!B52)</f>
        <v>0</v>
      </c>
      <c r="H52" s="284">
        <f>SUMIFS('5. Kosten uitvoering project'!U:U,'5. Kosten uitvoering project'!E:E,SubsidieTabel!A52,'5. Kosten uitvoering project'!F:F,SubsidieTabel!B52)</f>
        <v>0</v>
      </c>
      <c r="I52" s="284">
        <f>SUMIFS('5. Kosten uitvoering project'!V:V,'5. Kosten uitvoering project'!E:E,SubsidieTabel!A52,'5. Kosten uitvoering project'!F:F,SubsidieTabel!B52)</f>
        <v>0</v>
      </c>
      <c r="J52" s="284">
        <f t="shared" si="0"/>
        <v>0</v>
      </c>
      <c r="K52" s="284">
        <f t="shared" si="1"/>
        <v>0</v>
      </c>
      <c r="L52" s="283" t="str">
        <f>IFERROR(VLOOKUP(A52,Lijsten!$AK:$AL,2,0),"")</f>
        <v/>
      </c>
      <c r="M52" s="284">
        <f t="shared" si="2"/>
        <v>0</v>
      </c>
      <c r="N52" s="284">
        <f t="shared" si="3"/>
        <v>0</v>
      </c>
      <c r="O52" s="284">
        <f>IFERROR(IF(INDEX(Tb_Activiteiten[#All],MATCH(SubsidieTabel!$A52,Tb_Activiteiten[[#All],[Subsidiabele_Activiteit]],0),MATCH(SubsidieTabel!O$1,Tb_Activiteiten[#Headers],0))=1,SubsidieTabel!$J52,0),0)</f>
        <v>0</v>
      </c>
      <c r="P52" s="284">
        <f>IFERROR(IF(INDEX(Tb_Activiteiten[#All],MATCH(SubsidieTabel!$A52,Tb_Activiteiten[[#All],[Subsidiabele_Activiteit]],0),MATCH(SubsidieTabel!P$1,Tb_Activiteiten[#Headers],0))=1,SubsidieTabel!$K52,0),0)</f>
        <v>0</v>
      </c>
      <c r="Q52" s="284">
        <f>IFERROR(IF(INDEX(Tb_Activiteiten[#All],MATCH(SubsidieTabel!$A52,Tb_Activiteiten[[#All],[Subsidiabele_Activiteit]],0),MATCH(SubsidieTabel!Q$1,Tb_Activiteiten[#Headers],0))=1,SubsidieTabel!$J52,0),0)</f>
        <v>0</v>
      </c>
      <c r="R52" s="284">
        <f>IFERROR(IF(INDEX(Tb_Activiteiten[#All],MATCH(SubsidieTabel!$A52,Tb_Activiteiten[[#All],[Subsidiabele_Activiteit]],0),MATCH(SubsidieTabel!R$1,Tb_Activiteiten[#Headers],0))=1,SubsidieTabel!$K52,0),0)</f>
        <v>0</v>
      </c>
      <c r="S52" s="284">
        <f>IFERROR(IF(INDEX(Tb_Activiteiten[#All],MATCH(SubsidieTabel!$A52,Tb_Activiteiten[[#All],[Subsidiabele_Activiteit]],0),MATCH(SubsidieTabel!S$1,Tb_Activiteiten[#Headers],0))=1,SubsidieTabel!$J52,0),0)</f>
        <v>0</v>
      </c>
      <c r="T52" s="284">
        <f>IFERROR(IF(INDEX(Tb_Activiteiten[#All],MATCH(SubsidieTabel!$A52,Tb_Activiteiten[[#All],[Subsidiabele_Activiteit]],0),MATCH(SubsidieTabel!T$1,Tb_Activiteiten[#Headers],0))=1,SubsidieTabel!$K52,0),0)</f>
        <v>0</v>
      </c>
      <c r="U52" s="284">
        <f>IFERROR(IF(INDEX(Tb_Activiteiten[#All],MATCH(SubsidieTabel!$A52,Tb_Activiteiten[[#All],[Subsidiabele_Activiteit]],0),MATCH(SubsidieTabel!U$1,Tb_Activiteiten[#Headers],0))=1,SubsidieTabel!$J52,0),0)</f>
        <v>0</v>
      </c>
      <c r="V52" s="284">
        <f>IFERROR(IF(INDEX(Tb_Activiteiten[#All],MATCH(SubsidieTabel!$A52,Tb_Activiteiten[[#All],[Subsidiabele_Activiteit]],0),MATCH(SubsidieTabel!V$1,Tb_Activiteiten[#Headers],0))=1,SubsidieTabel!$K52,0),0)</f>
        <v>0</v>
      </c>
      <c r="W52" s="369">
        <f>IFERROR(IF(INDEX(Tb_Activiteiten[#All],MATCH(SubsidieTabel!$A52,Tb_Activiteiten[[#All],[Subsidiabele_Activiteit]],0),MATCH(SubsidieTabel!Q$1,Tb_Activiteiten[#Headers],0))=1,H52,0),0)</f>
        <v>0</v>
      </c>
      <c r="X52" s="369">
        <f>IFERROR(IF(INDEX(Tb_Activiteiten[#All],MATCH(SubsidieTabel!$A52,Tb_Activiteiten[[#All],[Subsidiabele_Activiteit]],0),MATCH(SubsidieTabel!Q$1,Tb_Activiteiten[#Headers],0))=1,I52,0),0)</f>
        <v>0</v>
      </c>
      <c r="Y52" s="369">
        <f>IFERROR(IF(INDEX(Tb_Activiteiten[#All],MATCH(SubsidieTabel!$A52,Tb_Activiteiten[[#All],[Subsidiabele_Activiteit]],0),MATCH(SubsidieTabel!S$1,Tb_Activiteiten[#Headers],0))=1,H52,0),0)</f>
        <v>0</v>
      </c>
      <c r="Z52" s="369">
        <f>IFERROR(IF(INDEX(Tb_Activiteiten[#All],MATCH(SubsidieTabel!$A52,Tb_Activiteiten[[#All],[Subsidiabele_Activiteit]],0),MATCH(SubsidieTabel!S$1,Tb_Activiteiten[#Headers],0))=1,I52,0),0)</f>
        <v>0</v>
      </c>
      <c r="AA52" s="369">
        <f>IFERROR(IF(INDEX(Tb_Activiteiten[#All],MATCH(SubsidieTabel!$A52,Tb_Activiteiten[[#All],[Subsidiabele_Activiteit]],0),MATCH(SubsidieTabel!O$1,Tb_Activiteiten[#Headers],0))=1,$F52,0),0)</f>
        <v>0</v>
      </c>
      <c r="AB52" s="369">
        <f>IFERROR(IF(INDEX(Tb_Activiteiten[#All],MATCH(SubsidieTabel!$A52,Tb_Activiteiten[[#All],[Subsidiabele_Activiteit]],0),MATCH(SubsidieTabel!O$1,Tb_Activiteiten[#Headers],0))=1,$G52,0),0)</f>
        <v>0</v>
      </c>
    </row>
    <row r="53" spans="1:40" x14ac:dyDescent="0.25">
      <c r="A53" s="12"/>
      <c r="B53" s="12"/>
      <c r="C53" s="12" t="str">
        <f>IFERROR(VLOOKUP($B53,Tb_ProjectKosten[],4,0),"")</f>
        <v/>
      </c>
      <c r="D53" s="12" t="str" cm="1">
        <f t="array" ref="D53">IFERROR(INDEX(Tb_KostenOpties[],MATCH(B53,Tb_KostenOpties[KostenOptie],0),IFERROR(MATCH(Methode_Keuze,Tb_KostenOpties[#Headers],0),2)),"")</f>
        <v/>
      </c>
      <c r="E53" s="281">
        <f>IFERROR(VLOOKUP(B53,Tb_ProjectKosten[[#All],[KostenOmschrijving]:[Forfait_Percentage]],6,0),0)</f>
        <v>0</v>
      </c>
      <c r="F53" s="282">
        <f>SUMIFS('5. Kosten uitvoering project'!R:R,'5. Kosten uitvoering project'!E:E,SubsidieTabel!A53,'5. Kosten uitvoering project'!F:F,SubsidieTabel!B53)</f>
        <v>0</v>
      </c>
      <c r="G53" s="282">
        <f>SUMIFS('5. Kosten uitvoering project'!S:S,'5. Kosten uitvoering project'!E:E,SubsidieTabel!A53,'5. Kosten uitvoering project'!F:F,SubsidieTabel!B53)</f>
        <v>0</v>
      </c>
      <c r="H53" s="282">
        <f>SUMIFS('5. Kosten uitvoering project'!U:U,'5. Kosten uitvoering project'!E:E,SubsidieTabel!A53,'5. Kosten uitvoering project'!F:F,SubsidieTabel!B53)</f>
        <v>0</v>
      </c>
      <c r="I53" s="282">
        <f>SUMIFS('5. Kosten uitvoering project'!V:V,'5. Kosten uitvoering project'!E:E,SubsidieTabel!A53,'5. Kosten uitvoering project'!F:F,SubsidieTabel!B53)</f>
        <v>0</v>
      </c>
      <c r="J53" s="282">
        <f t="shared" si="0"/>
        <v>0</v>
      </c>
      <c r="K53" s="282">
        <f t="shared" si="1"/>
        <v>0</v>
      </c>
      <c r="L53" s="281" t="str">
        <f>IFERROR(VLOOKUP(A53,Lijsten!$AK:$AL,2,0),"")</f>
        <v/>
      </c>
      <c r="M53" s="282">
        <f t="shared" si="2"/>
        <v>0</v>
      </c>
      <c r="N53" s="282">
        <f t="shared" si="3"/>
        <v>0</v>
      </c>
      <c r="O53" s="282">
        <f>IFERROR(IF(INDEX(Tb_Activiteiten[#All],MATCH(SubsidieTabel!$A53,Tb_Activiteiten[[#All],[Subsidiabele_Activiteit]],0),MATCH(SubsidieTabel!O$1,Tb_Activiteiten[#Headers],0))=1,SubsidieTabel!$J53,0),0)</f>
        <v>0</v>
      </c>
      <c r="P53" s="282">
        <f>IFERROR(IF(INDEX(Tb_Activiteiten[#All],MATCH(SubsidieTabel!$A53,Tb_Activiteiten[[#All],[Subsidiabele_Activiteit]],0),MATCH(SubsidieTabel!P$1,Tb_Activiteiten[#Headers],0))=1,SubsidieTabel!$K53,0),0)</f>
        <v>0</v>
      </c>
      <c r="Q53" s="282">
        <f>IFERROR(IF(INDEX(Tb_Activiteiten[#All],MATCH(SubsidieTabel!$A53,Tb_Activiteiten[[#All],[Subsidiabele_Activiteit]],0),MATCH(SubsidieTabel!Q$1,Tb_Activiteiten[#Headers],0))=1,SubsidieTabel!$J53,0),0)</f>
        <v>0</v>
      </c>
      <c r="R53" s="282">
        <f>IFERROR(IF(INDEX(Tb_Activiteiten[#All],MATCH(SubsidieTabel!$A53,Tb_Activiteiten[[#All],[Subsidiabele_Activiteit]],0),MATCH(SubsidieTabel!R$1,Tb_Activiteiten[#Headers],0))=1,SubsidieTabel!$K53,0),0)</f>
        <v>0</v>
      </c>
      <c r="S53" s="282">
        <f>IFERROR(IF(INDEX(Tb_Activiteiten[#All],MATCH(SubsidieTabel!$A53,Tb_Activiteiten[[#All],[Subsidiabele_Activiteit]],0),MATCH(SubsidieTabel!S$1,Tb_Activiteiten[#Headers],0))=1,SubsidieTabel!$J53,0),0)</f>
        <v>0</v>
      </c>
      <c r="T53" s="282">
        <f>IFERROR(IF(INDEX(Tb_Activiteiten[#All],MATCH(SubsidieTabel!$A53,Tb_Activiteiten[[#All],[Subsidiabele_Activiteit]],0),MATCH(SubsidieTabel!T$1,Tb_Activiteiten[#Headers],0))=1,SubsidieTabel!$K53,0),0)</f>
        <v>0</v>
      </c>
      <c r="U53" s="282">
        <f>IFERROR(IF(INDEX(Tb_Activiteiten[#All],MATCH(SubsidieTabel!$A53,Tb_Activiteiten[[#All],[Subsidiabele_Activiteit]],0),MATCH(SubsidieTabel!U$1,Tb_Activiteiten[#Headers],0))=1,SubsidieTabel!$J53,0),0)</f>
        <v>0</v>
      </c>
      <c r="V53" s="282">
        <f>IFERROR(IF(INDEX(Tb_Activiteiten[#All],MATCH(SubsidieTabel!$A53,Tb_Activiteiten[[#All],[Subsidiabele_Activiteit]],0),MATCH(SubsidieTabel!V$1,Tb_Activiteiten[#Headers],0))=1,SubsidieTabel!$K53,0),0)</f>
        <v>0</v>
      </c>
      <c r="W53" s="64">
        <f>IFERROR(IF(INDEX(Tb_Activiteiten[#All],MATCH(SubsidieTabel!$A53,Tb_Activiteiten[[#All],[Subsidiabele_Activiteit]],0),MATCH(SubsidieTabel!Q$1,Tb_Activiteiten[#Headers],0))=1,H53,0),0)</f>
        <v>0</v>
      </c>
      <c r="X53" s="64">
        <f>IFERROR(IF(INDEX(Tb_Activiteiten[#All],MATCH(SubsidieTabel!$A53,Tb_Activiteiten[[#All],[Subsidiabele_Activiteit]],0),MATCH(SubsidieTabel!Q$1,Tb_Activiteiten[#Headers],0))=1,I53,0),0)</f>
        <v>0</v>
      </c>
      <c r="Y53" s="64">
        <f>IFERROR(IF(INDEX(Tb_Activiteiten[#All],MATCH(SubsidieTabel!$A53,Tb_Activiteiten[[#All],[Subsidiabele_Activiteit]],0),MATCH(SubsidieTabel!S$1,Tb_Activiteiten[#Headers],0))=1,H53,0),0)</f>
        <v>0</v>
      </c>
      <c r="Z53" s="64">
        <f>IFERROR(IF(INDEX(Tb_Activiteiten[#All],MATCH(SubsidieTabel!$A53,Tb_Activiteiten[[#All],[Subsidiabele_Activiteit]],0),MATCH(SubsidieTabel!S$1,Tb_Activiteiten[#Headers],0))=1,I53,0),0)</f>
        <v>0</v>
      </c>
      <c r="AA53" s="64">
        <f>IFERROR(IF(INDEX(Tb_Activiteiten[#All],MATCH(SubsidieTabel!$A53,Tb_Activiteiten[[#All],[Subsidiabele_Activiteit]],0),MATCH(SubsidieTabel!O$1,Tb_Activiteiten[#Headers],0))=1,$F53,0),0)</f>
        <v>0</v>
      </c>
      <c r="AB53" s="64">
        <f>IFERROR(IF(INDEX(Tb_Activiteiten[#All],MATCH(SubsidieTabel!$A53,Tb_Activiteiten[[#All],[Subsidiabele_Activiteit]],0),MATCH(SubsidieTabel!O$1,Tb_Activiteiten[#Headers],0))=1,$G53,0),0)</f>
        <v>0</v>
      </c>
    </row>
    <row r="54" spans="1:40" x14ac:dyDescent="0.25">
      <c r="A54" s="63"/>
      <c r="B54" s="63"/>
      <c r="C54" s="63" t="str">
        <f>IFERROR(VLOOKUP($B54,Tb_ProjectKosten[],4,0),"")</f>
        <v/>
      </c>
      <c r="D54" s="63" t="str" cm="1">
        <f t="array" ref="D54">IFERROR(INDEX(Tb_KostenOpties[],MATCH(B54,Tb_KostenOpties[KostenOptie],0),IFERROR(MATCH(Methode_Keuze,Tb_KostenOpties[#Headers],0),2)),"")</f>
        <v/>
      </c>
      <c r="E54" s="283">
        <f>IFERROR(VLOOKUP(B54,Tb_ProjectKosten[[#All],[KostenOmschrijving]:[Forfait_Percentage]],6,0),0)</f>
        <v>0</v>
      </c>
      <c r="F54" s="284">
        <f>SUMIFS('5. Kosten uitvoering project'!R:R,'5. Kosten uitvoering project'!E:E,SubsidieTabel!A54,'5. Kosten uitvoering project'!F:F,SubsidieTabel!B54)</f>
        <v>0</v>
      </c>
      <c r="G54" s="284">
        <f>SUMIFS('5. Kosten uitvoering project'!S:S,'5. Kosten uitvoering project'!E:E,SubsidieTabel!A54,'5. Kosten uitvoering project'!F:F,SubsidieTabel!B54)</f>
        <v>0</v>
      </c>
      <c r="H54" s="284">
        <f>SUMIFS('5. Kosten uitvoering project'!U:U,'5. Kosten uitvoering project'!E:E,SubsidieTabel!A54,'5. Kosten uitvoering project'!F:F,SubsidieTabel!B54)</f>
        <v>0</v>
      </c>
      <c r="I54" s="284">
        <f>SUMIFS('5. Kosten uitvoering project'!V:V,'5. Kosten uitvoering project'!E:E,SubsidieTabel!A54,'5. Kosten uitvoering project'!F:F,SubsidieTabel!B54)</f>
        <v>0</v>
      </c>
      <c r="J54" s="284">
        <f t="shared" si="0"/>
        <v>0</v>
      </c>
      <c r="K54" s="284">
        <f t="shared" si="1"/>
        <v>0</v>
      </c>
      <c r="L54" s="283" t="str">
        <f>IFERROR(VLOOKUP(A54,Lijsten!$AK:$AL,2,0),"")</f>
        <v/>
      </c>
      <c r="M54" s="284">
        <f t="shared" si="2"/>
        <v>0</v>
      </c>
      <c r="N54" s="284">
        <f t="shared" si="3"/>
        <v>0</v>
      </c>
      <c r="O54" s="284">
        <f>IFERROR(IF(INDEX(Tb_Activiteiten[#All],MATCH(SubsidieTabel!$A54,Tb_Activiteiten[[#All],[Subsidiabele_Activiteit]],0),MATCH(SubsidieTabel!O$1,Tb_Activiteiten[#Headers],0))=1,SubsidieTabel!$J54,0),0)</f>
        <v>0</v>
      </c>
      <c r="P54" s="284">
        <f>IFERROR(IF(INDEX(Tb_Activiteiten[#All],MATCH(SubsidieTabel!$A54,Tb_Activiteiten[[#All],[Subsidiabele_Activiteit]],0),MATCH(SubsidieTabel!P$1,Tb_Activiteiten[#Headers],0))=1,SubsidieTabel!$K54,0),0)</f>
        <v>0</v>
      </c>
      <c r="Q54" s="284">
        <f>IFERROR(IF(INDEX(Tb_Activiteiten[#All],MATCH(SubsidieTabel!$A54,Tb_Activiteiten[[#All],[Subsidiabele_Activiteit]],0),MATCH(SubsidieTabel!Q$1,Tb_Activiteiten[#Headers],0))=1,SubsidieTabel!$J54,0),0)</f>
        <v>0</v>
      </c>
      <c r="R54" s="284">
        <f>IFERROR(IF(INDEX(Tb_Activiteiten[#All],MATCH(SubsidieTabel!$A54,Tb_Activiteiten[[#All],[Subsidiabele_Activiteit]],0),MATCH(SubsidieTabel!R$1,Tb_Activiteiten[#Headers],0))=1,SubsidieTabel!$K54,0),0)</f>
        <v>0</v>
      </c>
      <c r="S54" s="284">
        <f>IFERROR(IF(INDEX(Tb_Activiteiten[#All],MATCH(SubsidieTabel!$A54,Tb_Activiteiten[[#All],[Subsidiabele_Activiteit]],0),MATCH(SubsidieTabel!S$1,Tb_Activiteiten[#Headers],0))=1,SubsidieTabel!$J54,0),0)</f>
        <v>0</v>
      </c>
      <c r="T54" s="284">
        <f>IFERROR(IF(INDEX(Tb_Activiteiten[#All],MATCH(SubsidieTabel!$A54,Tb_Activiteiten[[#All],[Subsidiabele_Activiteit]],0),MATCH(SubsidieTabel!T$1,Tb_Activiteiten[#Headers],0))=1,SubsidieTabel!$K54,0),0)</f>
        <v>0</v>
      </c>
      <c r="U54" s="284">
        <f>IFERROR(IF(INDEX(Tb_Activiteiten[#All],MATCH(SubsidieTabel!$A54,Tb_Activiteiten[[#All],[Subsidiabele_Activiteit]],0),MATCH(SubsidieTabel!U$1,Tb_Activiteiten[#Headers],0))=1,SubsidieTabel!$J54,0),0)</f>
        <v>0</v>
      </c>
      <c r="V54" s="284">
        <f>IFERROR(IF(INDEX(Tb_Activiteiten[#All],MATCH(SubsidieTabel!$A54,Tb_Activiteiten[[#All],[Subsidiabele_Activiteit]],0),MATCH(SubsidieTabel!V$1,Tb_Activiteiten[#Headers],0))=1,SubsidieTabel!$K54,0),0)</f>
        <v>0</v>
      </c>
      <c r="W54" s="369">
        <f>IFERROR(IF(INDEX(Tb_Activiteiten[#All],MATCH(SubsidieTabel!$A54,Tb_Activiteiten[[#All],[Subsidiabele_Activiteit]],0),MATCH(SubsidieTabel!Q$1,Tb_Activiteiten[#Headers],0))=1,H54,0),0)</f>
        <v>0</v>
      </c>
      <c r="X54" s="369">
        <f>IFERROR(IF(INDEX(Tb_Activiteiten[#All],MATCH(SubsidieTabel!$A54,Tb_Activiteiten[[#All],[Subsidiabele_Activiteit]],0),MATCH(SubsidieTabel!Q$1,Tb_Activiteiten[#Headers],0))=1,I54,0),0)</f>
        <v>0</v>
      </c>
      <c r="Y54" s="369">
        <f>IFERROR(IF(INDEX(Tb_Activiteiten[#All],MATCH(SubsidieTabel!$A54,Tb_Activiteiten[[#All],[Subsidiabele_Activiteit]],0),MATCH(SubsidieTabel!S$1,Tb_Activiteiten[#Headers],0))=1,H54,0),0)</f>
        <v>0</v>
      </c>
      <c r="Z54" s="369">
        <f>IFERROR(IF(INDEX(Tb_Activiteiten[#All],MATCH(SubsidieTabel!$A54,Tb_Activiteiten[[#All],[Subsidiabele_Activiteit]],0),MATCH(SubsidieTabel!S$1,Tb_Activiteiten[#Headers],0))=1,I54,0),0)</f>
        <v>0</v>
      </c>
      <c r="AA54" s="369">
        <f>IFERROR(IF(INDEX(Tb_Activiteiten[#All],MATCH(SubsidieTabel!$A54,Tb_Activiteiten[[#All],[Subsidiabele_Activiteit]],0),MATCH(SubsidieTabel!O$1,Tb_Activiteiten[#Headers],0))=1,$F54,0),0)</f>
        <v>0</v>
      </c>
      <c r="AB54" s="369">
        <f>IFERROR(IF(INDEX(Tb_Activiteiten[#All],MATCH(SubsidieTabel!$A54,Tb_Activiteiten[[#All],[Subsidiabele_Activiteit]],0),MATCH(SubsidieTabel!O$1,Tb_Activiteiten[#Headers],0))=1,$G54,0),0)</f>
        <v>0</v>
      </c>
    </row>
    <row r="55" spans="1:40" x14ac:dyDescent="0.25">
      <c r="A55" s="12"/>
      <c r="B55" s="12"/>
      <c r="C55" s="12" t="str">
        <f>IFERROR(VLOOKUP($B55,Tb_ProjectKosten[],4,0),"")</f>
        <v/>
      </c>
      <c r="D55" s="12" t="str" cm="1">
        <f t="array" ref="D55">IFERROR(INDEX(Tb_KostenOpties[],MATCH(B55,Tb_KostenOpties[KostenOptie],0),IFERROR(MATCH(Methode_Keuze,Tb_KostenOpties[#Headers],0),2)),"")</f>
        <v/>
      </c>
      <c r="E55" s="281">
        <f>IFERROR(VLOOKUP(B55,Tb_ProjectKosten[[#All],[KostenOmschrijving]:[Forfait_Percentage]],6,0),0)</f>
        <v>0</v>
      </c>
      <c r="F55" s="282">
        <f>SUMIFS('5. Kosten uitvoering project'!R:R,'5. Kosten uitvoering project'!E:E,SubsidieTabel!A55,'5. Kosten uitvoering project'!F:F,SubsidieTabel!B55)</f>
        <v>0</v>
      </c>
      <c r="G55" s="282">
        <f>SUMIFS('5. Kosten uitvoering project'!S:S,'5. Kosten uitvoering project'!E:E,SubsidieTabel!A55,'5. Kosten uitvoering project'!F:F,SubsidieTabel!B55)</f>
        <v>0</v>
      </c>
      <c r="H55" s="282">
        <f>SUMIFS('5. Kosten uitvoering project'!U:U,'5. Kosten uitvoering project'!E:E,SubsidieTabel!A55,'5. Kosten uitvoering project'!F:F,SubsidieTabel!B55)</f>
        <v>0</v>
      </c>
      <c r="I55" s="282">
        <f>SUMIFS('5. Kosten uitvoering project'!V:V,'5. Kosten uitvoering project'!E:E,SubsidieTabel!A55,'5. Kosten uitvoering project'!F:F,SubsidieTabel!B55)</f>
        <v>0</v>
      </c>
      <c r="J55" s="282">
        <f t="shared" si="0"/>
        <v>0</v>
      </c>
      <c r="K55" s="282">
        <f t="shared" si="1"/>
        <v>0</v>
      </c>
      <c r="L55" s="281" t="str">
        <f>IFERROR(VLOOKUP(A55,Lijsten!$AK:$AL,2,0),"")</f>
        <v/>
      </c>
      <c r="M55" s="282">
        <f t="shared" si="2"/>
        <v>0</v>
      </c>
      <c r="N55" s="282">
        <f t="shared" si="3"/>
        <v>0</v>
      </c>
      <c r="O55" s="282">
        <f>IFERROR(IF(INDEX(Tb_Activiteiten[#All],MATCH(SubsidieTabel!$A55,Tb_Activiteiten[[#All],[Subsidiabele_Activiteit]],0),MATCH(SubsidieTabel!O$1,Tb_Activiteiten[#Headers],0))=1,SubsidieTabel!$J55,0),0)</f>
        <v>0</v>
      </c>
      <c r="P55" s="282">
        <f>IFERROR(IF(INDEX(Tb_Activiteiten[#All],MATCH(SubsidieTabel!$A55,Tb_Activiteiten[[#All],[Subsidiabele_Activiteit]],0),MATCH(SubsidieTabel!P$1,Tb_Activiteiten[#Headers],0))=1,SubsidieTabel!$K55,0),0)</f>
        <v>0</v>
      </c>
      <c r="Q55" s="282">
        <f>IFERROR(IF(INDEX(Tb_Activiteiten[#All],MATCH(SubsidieTabel!$A55,Tb_Activiteiten[[#All],[Subsidiabele_Activiteit]],0),MATCH(SubsidieTabel!Q$1,Tb_Activiteiten[#Headers],0))=1,SubsidieTabel!$J55,0),0)</f>
        <v>0</v>
      </c>
      <c r="R55" s="282">
        <f>IFERROR(IF(INDEX(Tb_Activiteiten[#All],MATCH(SubsidieTabel!$A55,Tb_Activiteiten[[#All],[Subsidiabele_Activiteit]],0),MATCH(SubsidieTabel!R$1,Tb_Activiteiten[#Headers],0))=1,SubsidieTabel!$K55,0),0)</f>
        <v>0</v>
      </c>
      <c r="S55" s="282">
        <f>IFERROR(IF(INDEX(Tb_Activiteiten[#All],MATCH(SubsidieTabel!$A55,Tb_Activiteiten[[#All],[Subsidiabele_Activiteit]],0),MATCH(SubsidieTabel!S$1,Tb_Activiteiten[#Headers],0))=1,SubsidieTabel!$J55,0),0)</f>
        <v>0</v>
      </c>
      <c r="T55" s="282">
        <f>IFERROR(IF(INDEX(Tb_Activiteiten[#All],MATCH(SubsidieTabel!$A55,Tb_Activiteiten[[#All],[Subsidiabele_Activiteit]],0),MATCH(SubsidieTabel!T$1,Tb_Activiteiten[#Headers],0))=1,SubsidieTabel!$K55,0),0)</f>
        <v>0</v>
      </c>
      <c r="U55" s="282">
        <f>IFERROR(IF(INDEX(Tb_Activiteiten[#All],MATCH(SubsidieTabel!$A55,Tb_Activiteiten[[#All],[Subsidiabele_Activiteit]],0),MATCH(SubsidieTabel!U$1,Tb_Activiteiten[#Headers],0))=1,SubsidieTabel!$J55,0),0)</f>
        <v>0</v>
      </c>
      <c r="V55" s="282">
        <f>IFERROR(IF(INDEX(Tb_Activiteiten[#All],MATCH(SubsidieTabel!$A55,Tb_Activiteiten[[#All],[Subsidiabele_Activiteit]],0),MATCH(SubsidieTabel!V$1,Tb_Activiteiten[#Headers],0))=1,SubsidieTabel!$K55,0),0)</f>
        <v>0</v>
      </c>
      <c r="W55" s="64">
        <f>IFERROR(IF(INDEX(Tb_Activiteiten[#All],MATCH(SubsidieTabel!$A55,Tb_Activiteiten[[#All],[Subsidiabele_Activiteit]],0),MATCH(SubsidieTabel!Q$1,Tb_Activiteiten[#Headers],0))=1,H55,0),0)</f>
        <v>0</v>
      </c>
      <c r="X55" s="64">
        <f>IFERROR(IF(INDEX(Tb_Activiteiten[#All],MATCH(SubsidieTabel!$A55,Tb_Activiteiten[[#All],[Subsidiabele_Activiteit]],0),MATCH(SubsidieTabel!Q$1,Tb_Activiteiten[#Headers],0))=1,I55,0),0)</f>
        <v>0</v>
      </c>
      <c r="Y55" s="64">
        <f>IFERROR(IF(INDEX(Tb_Activiteiten[#All],MATCH(SubsidieTabel!$A55,Tb_Activiteiten[[#All],[Subsidiabele_Activiteit]],0),MATCH(SubsidieTabel!S$1,Tb_Activiteiten[#Headers],0))=1,H55,0),0)</f>
        <v>0</v>
      </c>
      <c r="Z55" s="64">
        <f>IFERROR(IF(INDEX(Tb_Activiteiten[#All],MATCH(SubsidieTabel!$A55,Tb_Activiteiten[[#All],[Subsidiabele_Activiteit]],0),MATCH(SubsidieTabel!S$1,Tb_Activiteiten[#Headers],0))=1,I55,0),0)</f>
        <v>0</v>
      </c>
      <c r="AA55" s="64">
        <f>IFERROR(IF(INDEX(Tb_Activiteiten[#All],MATCH(SubsidieTabel!$A55,Tb_Activiteiten[[#All],[Subsidiabele_Activiteit]],0),MATCH(SubsidieTabel!O$1,Tb_Activiteiten[#Headers],0))=1,$F55,0),0)</f>
        <v>0</v>
      </c>
      <c r="AB55" s="64">
        <f>IFERROR(IF(INDEX(Tb_Activiteiten[#All],MATCH(SubsidieTabel!$A55,Tb_Activiteiten[[#All],[Subsidiabele_Activiteit]],0),MATCH(SubsidieTabel!O$1,Tb_Activiteiten[#Headers],0))=1,$G55,0),0)</f>
        <v>0</v>
      </c>
    </row>
    <row r="56" spans="1:40" x14ac:dyDescent="0.25">
      <c r="A56" s="63"/>
      <c r="B56" s="63"/>
      <c r="C56" s="63" t="str">
        <f>IFERROR(VLOOKUP($B56,Tb_ProjectKosten[],4,0),"")</f>
        <v/>
      </c>
      <c r="D56" s="63" t="str" cm="1">
        <f t="array" ref="D56">IFERROR(INDEX(Tb_KostenOpties[],MATCH(B56,Tb_KostenOpties[KostenOptie],0),IFERROR(MATCH(Methode_Keuze,Tb_KostenOpties[#Headers],0),2)),"")</f>
        <v/>
      </c>
      <c r="E56" s="283">
        <f>IFERROR(VLOOKUP(B56,Tb_ProjectKosten[[#All],[KostenOmschrijving]:[Forfait_Percentage]],6,0),0)</f>
        <v>0</v>
      </c>
      <c r="F56" s="284">
        <f>SUMIFS('5. Kosten uitvoering project'!R:R,'5. Kosten uitvoering project'!E:E,SubsidieTabel!A56,'5. Kosten uitvoering project'!F:F,SubsidieTabel!B56)</f>
        <v>0</v>
      </c>
      <c r="G56" s="284">
        <f>SUMIFS('5. Kosten uitvoering project'!S:S,'5. Kosten uitvoering project'!E:E,SubsidieTabel!A56,'5. Kosten uitvoering project'!F:F,SubsidieTabel!B56)</f>
        <v>0</v>
      </c>
      <c r="H56" s="284">
        <f>SUMIFS('5. Kosten uitvoering project'!U:U,'5. Kosten uitvoering project'!E:E,SubsidieTabel!A56,'5. Kosten uitvoering project'!F:F,SubsidieTabel!B56)</f>
        <v>0</v>
      </c>
      <c r="I56" s="284">
        <f>SUMIFS('5. Kosten uitvoering project'!V:V,'5. Kosten uitvoering project'!E:E,SubsidieTabel!A56,'5. Kosten uitvoering project'!F:F,SubsidieTabel!B56)</f>
        <v>0</v>
      </c>
      <c r="J56" s="284">
        <f t="shared" si="0"/>
        <v>0</v>
      </c>
      <c r="K56" s="284">
        <f t="shared" si="1"/>
        <v>0</v>
      </c>
      <c r="L56" s="283" t="str">
        <f>IFERROR(VLOOKUP(A56,Lijsten!$AK:$AL,2,0),"")</f>
        <v/>
      </c>
      <c r="M56" s="284">
        <f t="shared" si="2"/>
        <v>0</v>
      </c>
      <c r="N56" s="284">
        <f t="shared" si="3"/>
        <v>0</v>
      </c>
      <c r="O56" s="284">
        <f>IFERROR(IF(INDEX(Tb_Activiteiten[#All],MATCH(SubsidieTabel!$A56,Tb_Activiteiten[[#All],[Subsidiabele_Activiteit]],0),MATCH(SubsidieTabel!O$1,Tb_Activiteiten[#Headers],0))=1,SubsidieTabel!$J56,0),0)</f>
        <v>0</v>
      </c>
      <c r="P56" s="284">
        <f>IFERROR(IF(INDEX(Tb_Activiteiten[#All],MATCH(SubsidieTabel!$A56,Tb_Activiteiten[[#All],[Subsidiabele_Activiteit]],0),MATCH(SubsidieTabel!P$1,Tb_Activiteiten[#Headers],0))=1,SubsidieTabel!$K56,0),0)</f>
        <v>0</v>
      </c>
      <c r="Q56" s="284">
        <f>IFERROR(IF(INDEX(Tb_Activiteiten[#All],MATCH(SubsidieTabel!$A56,Tb_Activiteiten[[#All],[Subsidiabele_Activiteit]],0),MATCH(SubsidieTabel!Q$1,Tb_Activiteiten[#Headers],0))=1,SubsidieTabel!$J56,0),0)</f>
        <v>0</v>
      </c>
      <c r="R56" s="284">
        <f>IFERROR(IF(INDEX(Tb_Activiteiten[#All],MATCH(SubsidieTabel!$A56,Tb_Activiteiten[[#All],[Subsidiabele_Activiteit]],0),MATCH(SubsidieTabel!R$1,Tb_Activiteiten[#Headers],0))=1,SubsidieTabel!$K56,0),0)</f>
        <v>0</v>
      </c>
      <c r="S56" s="284">
        <f>IFERROR(IF(INDEX(Tb_Activiteiten[#All],MATCH(SubsidieTabel!$A56,Tb_Activiteiten[[#All],[Subsidiabele_Activiteit]],0),MATCH(SubsidieTabel!S$1,Tb_Activiteiten[#Headers],0))=1,SubsidieTabel!$J56,0),0)</f>
        <v>0</v>
      </c>
      <c r="T56" s="284">
        <f>IFERROR(IF(INDEX(Tb_Activiteiten[#All],MATCH(SubsidieTabel!$A56,Tb_Activiteiten[[#All],[Subsidiabele_Activiteit]],0),MATCH(SubsidieTabel!T$1,Tb_Activiteiten[#Headers],0))=1,SubsidieTabel!$K56,0),0)</f>
        <v>0</v>
      </c>
      <c r="U56" s="284">
        <f>IFERROR(IF(INDEX(Tb_Activiteiten[#All],MATCH(SubsidieTabel!$A56,Tb_Activiteiten[[#All],[Subsidiabele_Activiteit]],0),MATCH(SubsidieTabel!U$1,Tb_Activiteiten[#Headers],0))=1,SubsidieTabel!$J56,0),0)</f>
        <v>0</v>
      </c>
      <c r="V56" s="284">
        <f>IFERROR(IF(INDEX(Tb_Activiteiten[#All],MATCH(SubsidieTabel!$A56,Tb_Activiteiten[[#All],[Subsidiabele_Activiteit]],0),MATCH(SubsidieTabel!V$1,Tb_Activiteiten[#Headers],0))=1,SubsidieTabel!$K56,0),0)</f>
        <v>0</v>
      </c>
      <c r="W56" s="369">
        <f>IFERROR(IF(INDEX(Tb_Activiteiten[#All],MATCH(SubsidieTabel!$A56,Tb_Activiteiten[[#All],[Subsidiabele_Activiteit]],0),MATCH(SubsidieTabel!Q$1,Tb_Activiteiten[#Headers],0))=1,H56,0),0)</f>
        <v>0</v>
      </c>
      <c r="X56" s="369">
        <f>IFERROR(IF(INDEX(Tb_Activiteiten[#All],MATCH(SubsidieTabel!$A56,Tb_Activiteiten[[#All],[Subsidiabele_Activiteit]],0),MATCH(SubsidieTabel!Q$1,Tb_Activiteiten[#Headers],0))=1,I56,0),0)</f>
        <v>0</v>
      </c>
      <c r="Y56" s="369">
        <f>IFERROR(IF(INDEX(Tb_Activiteiten[#All],MATCH(SubsidieTabel!$A56,Tb_Activiteiten[[#All],[Subsidiabele_Activiteit]],0),MATCH(SubsidieTabel!S$1,Tb_Activiteiten[#Headers],0))=1,H56,0),0)</f>
        <v>0</v>
      </c>
      <c r="Z56" s="369">
        <f>IFERROR(IF(INDEX(Tb_Activiteiten[#All],MATCH(SubsidieTabel!$A56,Tb_Activiteiten[[#All],[Subsidiabele_Activiteit]],0),MATCH(SubsidieTabel!S$1,Tb_Activiteiten[#Headers],0))=1,I56,0),0)</f>
        <v>0</v>
      </c>
      <c r="AA56" s="369">
        <f>IFERROR(IF(INDEX(Tb_Activiteiten[#All],MATCH(SubsidieTabel!$A56,Tb_Activiteiten[[#All],[Subsidiabele_Activiteit]],0),MATCH(SubsidieTabel!O$1,Tb_Activiteiten[#Headers],0))=1,$F56,0),0)</f>
        <v>0</v>
      </c>
      <c r="AB56" s="369">
        <f>IFERROR(IF(INDEX(Tb_Activiteiten[#All],MATCH(SubsidieTabel!$A56,Tb_Activiteiten[[#All],[Subsidiabele_Activiteit]],0),MATCH(SubsidieTabel!O$1,Tb_Activiteiten[#Headers],0))=1,$G56,0),0)</f>
        <v>0</v>
      </c>
    </row>
    <row r="57" spans="1:40" x14ac:dyDescent="0.25">
      <c r="A57" s="12"/>
      <c r="B57" s="12"/>
      <c r="C57" s="12" t="str">
        <f>IFERROR(VLOOKUP($B57,Tb_ProjectKosten[],4,0),"")</f>
        <v/>
      </c>
      <c r="D57" s="12" t="str" cm="1">
        <f t="array" ref="D57">IFERROR(INDEX(Tb_KostenOpties[],MATCH(B57,Tb_KostenOpties[KostenOptie],0),IFERROR(MATCH(Methode_Keuze,Tb_KostenOpties[#Headers],0),2)),"")</f>
        <v/>
      </c>
      <c r="E57" s="281">
        <f>IFERROR(VLOOKUP(B57,Tb_ProjectKosten[[#All],[KostenOmschrijving]:[Forfait_Percentage]],6,0),0)</f>
        <v>0</v>
      </c>
      <c r="F57" s="282">
        <f>SUMIFS('5. Kosten uitvoering project'!R:R,'5. Kosten uitvoering project'!E:E,SubsidieTabel!A57,'5. Kosten uitvoering project'!F:F,SubsidieTabel!B57)</f>
        <v>0</v>
      </c>
      <c r="G57" s="282">
        <f>SUMIFS('5. Kosten uitvoering project'!S:S,'5. Kosten uitvoering project'!E:E,SubsidieTabel!A57,'5. Kosten uitvoering project'!F:F,SubsidieTabel!B57)</f>
        <v>0</v>
      </c>
      <c r="H57" s="282">
        <f>SUMIFS('5. Kosten uitvoering project'!U:U,'5. Kosten uitvoering project'!E:E,SubsidieTabel!A57,'5. Kosten uitvoering project'!F:F,SubsidieTabel!B57)</f>
        <v>0</v>
      </c>
      <c r="I57" s="282">
        <f>SUMIFS('5. Kosten uitvoering project'!V:V,'5. Kosten uitvoering project'!E:E,SubsidieTabel!A57,'5. Kosten uitvoering project'!F:F,SubsidieTabel!B57)</f>
        <v>0</v>
      </c>
      <c r="J57" s="282">
        <f t="shared" si="0"/>
        <v>0</v>
      </c>
      <c r="K57" s="282">
        <f t="shared" si="1"/>
        <v>0</v>
      </c>
      <c r="L57" s="281" t="str">
        <f>IFERROR(VLOOKUP(A57,Lijsten!$AK:$AL,2,0),"")</f>
        <v/>
      </c>
      <c r="M57" s="282">
        <f t="shared" si="2"/>
        <v>0</v>
      </c>
      <c r="N57" s="282">
        <f t="shared" si="3"/>
        <v>0</v>
      </c>
      <c r="O57" s="282">
        <f>IFERROR(IF(INDEX(Tb_Activiteiten[#All],MATCH(SubsidieTabel!$A57,Tb_Activiteiten[[#All],[Subsidiabele_Activiteit]],0),MATCH(SubsidieTabel!O$1,Tb_Activiteiten[#Headers],0))=1,SubsidieTabel!$J57,0),0)</f>
        <v>0</v>
      </c>
      <c r="P57" s="282">
        <f>IFERROR(IF(INDEX(Tb_Activiteiten[#All],MATCH(SubsidieTabel!$A57,Tb_Activiteiten[[#All],[Subsidiabele_Activiteit]],0),MATCH(SubsidieTabel!P$1,Tb_Activiteiten[#Headers],0))=1,SubsidieTabel!$K57,0),0)</f>
        <v>0</v>
      </c>
      <c r="Q57" s="282">
        <f>IFERROR(IF(INDEX(Tb_Activiteiten[#All],MATCH(SubsidieTabel!$A57,Tb_Activiteiten[[#All],[Subsidiabele_Activiteit]],0),MATCH(SubsidieTabel!Q$1,Tb_Activiteiten[#Headers],0))=1,SubsidieTabel!$J57,0),0)</f>
        <v>0</v>
      </c>
      <c r="R57" s="282">
        <f>IFERROR(IF(INDEX(Tb_Activiteiten[#All],MATCH(SubsidieTabel!$A57,Tb_Activiteiten[[#All],[Subsidiabele_Activiteit]],0),MATCH(SubsidieTabel!R$1,Tb_Activiteiten[#Headers],0))=1,SubsidieTabel!$K57,0),0)</f>
        <v>0</v>
      </c>
      <c r="S57" s="282">
        <f>IFERROR(IF(INDEX(Tb_Activiteiten[#All],MATCH(SubsidieTabel!$A57,Tb_Activiteiten[[#All],[Subsidiabele_Activiteit]],0),MATCH(SubsidieTabel!S$1,Tb_Activiteiten[#Headers],0))=1,SubsidieTabel!$J57,0),0)</f>
        <v>0</v>
      </c>
      <c r="T57" s="282">
        <f>IFERROR(IF(INDEX(Tb_Activiteiten[#All],MATCH(SubsidieTabel!$A57,Tb_Activiteiten[[#All],[Subsidiabele_Activiteit]],0),MATCH(SubsidieTabel!T$1,Tb_Activiteiten[#Headers],0))=1,SubsidieTabel!$K57,0),0)</f>
        <v>0</v>
      </c>
      <c r="U57" s="282">
        <f>IFERROR(IF(INDEX(Tb_Activiteiten[#All],MATCH(SubsidieTabel!$A57,Tb_Activiteiten[[#All],[Subsidiabele_Activiteit]],0),MATCH(SubsidieTabel!U$1,Tb_Activiteiten[#Headers],0))=1,SubsidieTabel!$J57,0),0)</f>
        <v>0</v>
      </c>
      <c r="V57" s="282">
        <f>IFERROR(IF(INDEX(Tb_Activiteiten[#All],MATCH(SubsidieTabel!$A57,Tb_Activiteiten[[#All],[Subsidiabele_Activiteit]],0),MATCH(SubsidieTabel!V$1,Tb_Activiteiten[#Headers],0))=1,SubsidieTabel!$K57,0),0)</f>
        <v>0</v>
      </c>
      <c r="W57" s="64">
        <f>IFERROR(IF(INDEX(Tb_Activiteiten[#All],MATCH(SubsidieTabel!$A57,Tb_Activiteiten[[#All],[Subsidiabele_Activiteit]],0),MATCH(SubsidieTabel!Q$1,Tb_Activiteiten[#Headers],0))=1,H57,0),0)</f>
        <v>0</v>
      </c>
      <c r="X57" s="64">
        <f>IFERROR(IF(INDEX(Tb_Activiteiten[#All],MATCH(SubsidieTabel!$A57,Tb_Activiteiten[[#All],[Subsidiabele_Activiteit]],0),MATCH(SubsidieTabel!Q$1,Tb_Activiteiten[#Headers],0))=1,I57,0),0)</f>
        <v>0</v>
      </c>
      <c r="Y57" s="64">
        <f>IFERROR(IF(INDEX(Tb_Activiteiten[#All],MATCH(SubsidieTabel!$A57,Tb_Activiteiten[[#All],[Subsidiabele_Activiteit]],0),MATCH(SubsidieTabel!S$1,Tb_Activiteiten[#Headers],0))=1,H57,0),0)</f>
        <v>0</v>
      </c>
      <c r="Z57" s="64">
        <f>IFERROR(IF(INDEX(Tb_Activiteiten[#All],MATCH(SubsidieTabel!$A57,Tb_Activiteiten[[#All],[Subsidiabele_Activiteit]],0),MATCH(SubsidieTabel!S$1,Tb_Activiteiten[#Headers],0))=1,I57,0),0)</f>
        <v>0</v>
      </c>
      <c r="AA57" s="64">
        <f>IFERROR(IF(INDEX(Tb_Activiteiten[#All],MATCH(SubsidieTabel!$A57,Tb_Activiteiten[[#All],[Subsidiabele_Activiteit]],0),MATCH(SubsidieTabel!O$1,Tb_Activiteiten[#Headers],0))=1,$F57,0),0)</f>
        <v>0</v>
      </c>
      <c r="AB57" s="64">
        <f>IFERROR(IF(INDEX(Tb_Activiteiten[#All],MATCH(SubsidieTabel!$A57,Tb_Activiteiten[[#All],[Subsidiabele_Activiteit]],0),MATCH(SubsidieTabel!O$1,Tb_Activiteiten[#Headers],0))=1,$G57,0),0)</f>
        <v>0</v>
      </c>
    </row>
    <row r="58" spans="1:40" x14ac:dyDescent="0.25">
      <c r="A58" s="63"/>
      <c r="B58" s="63"/>
      <c r="C58" s="63" t="str">
        <f>IFERROR(VLOOKUP($B58,Tb_ProjectKosten[],4,0),"")</f>
        <v/>
      </c>
      <c r="D58" s="63" t="str" cm="1">
        <f t="array" ref="D58">IFERROR(INDEX(Tb_KostenOpties[],MATCH(B58,Tb_KostenOpties[KostenOptie],0),IFERROR(MATCH(Methode_Keuze,Tb_KostenOpties[#Headers],0),2)),"")</f>
        <v/>
      </c>
      <c r="E58" s="283">
        <f>IFERROR(VLOOKUP(B58,Tb_ProjectKosten[[#All],[KostenOmschrijving]:[Forfait_Percentage]],6,0),0)</f>
        <v>0</v>
      </c>
      <c r="F58" s="284">
        <f>SUMIFS('5. Kosten uitvoering project'!R:R,'5. Kosten uitvoering project'!E:E,SubsidieTabel!A58,'5. Kosten uitvoering project'!F:F,SubsidieTabel!B58)</f>
        <v>0</v>
      </c>
      <c r="G58" s="284">
        <f>SUMIFS('5. Kosten uitvoering project'!S:S,'5. Kosten uitvoering project'!E:E,SubsidieTabel!A58,'5. Kosten uitvoering project'!F:F,SubsidieTabel!B58)</f>
        <v>0</v>
      </c>
      <c r="H58" s="284">
        <f>SUMIFS('5. Kosten uitvoering project'!U:U,'5. Kosten uitvoering project'!E:E,SubsidieTabel!A58,'5. Kosten uitvoering project'!F:F,SubsidieTabel!B58)</f>
        <v>0</v>
      </c>
      <c r="I58" s="284">
        <f>SUMIFS('5. Kosten uitvoering project'!V:V,'5. Kosten uitvoering project'!E:E,SubsidieTabel!A58,'5. Kosten uitvoering project'!F:F,SubsidieTabel!B58)</f>
        <v>0</v>
      </c>
      <c r="J58" s="284">
        <f t="shared" si="0"/>
        <v>0</v>
      </c>
      <c r="K58" s="284">
        <f t="shared" si="1"/>
        <v>0</v>
      </c>
      <c r="L58" s="283" t="str">
        <f>IFERROR(VLOOKUP(A58,Lijsten!$AK:$AL,2,0),"")</f>
        <v/>
      </c>
      <c r="M58" s="284">
        <f t="shared" si="2"/>
        <v>0</v>
      </c>
      <c r="N58" s="284">
        <f t="shared" si="3"/>
        <v>0</v>
      </c>
      <c r="O58" s="284">
        <f>IFERROR(IF(INDEX(Tb_Activiteiten[#All],MATCH(SubsidieTabel!$A58,Tb_Activiteiten[[#All],[Subsidiabele_Activiteit]],0),MATCH(SubsidieTabel!O$1,Tb_Activiteiten[#Headers],0))=1,SubsidieTabel!$J58,0),0)</f>
        <v>0</v>
      </c>
      <c r="P58" s="284">
        <f>IFERROR(IF(INDEX(Tb_Activiteiten[#All],MATCH(SubsidieTabel!$A58,Tb_Activiteiten[[#All],[Subsidiabele_Activiteit]],0),MATCH(SubsidieTabel!P$1,Tb_Activiteiten[#Headers],0))=1,SubsidieTabel!$K58,0),0)</f>
        <v>0</v>
      </c>
      <c r="Q58" s="284">
        <f>IFERROR(IF(INDEX(Tb_Activiteiten[#All],MATCH(SubsidieTabel!$A58,Tb_Activiteiten[[#All],[Subsidiabele_Activiteit]],0),MATCH(SubsidieTabel!Q$1,Tb_Activiteiten[#Headers],0))=1,SubsidieTabel!$J58,0),0)</f>
        <v>0</v>
      </c>
      <c r="R58" s="284">
        <f>IFERROR(IF(INDEX(Tb_Activiteiten[#All],MATCH(SubsidieTabel!$A58,Tb_Activiteiten[[#All],[Subsidiabele_Activiteit]],0),MATCH(SubsidieTabel!R$1,Tb_Activiteiten[#Headers],0))=1,SubsidieTabel!$K58,0),0)</f>
        <v>0</v>
      </c>
      <c r="S58" s="284">
        <f>IFERROR(IF(INDEX(Tb_Activiteiten[#All],MATCH(SubsidieTabel!$A58,Tb_Activiteiten[[#All],[Subsidiabele_Activiteit]],0),MATCH(SubsidieTabel!S$1,Tb_Activiteiten[#Headers],0))=1,SubsidieTabel!$J58,0),0)</f>
        <v>0</v>
      </c>
      <c r="T58" s="284">
        <f>IFERROR(IF(INDEX(Tb_Activiteiten[#All],MATCH(SubsidieTabel!$A58,Tb_Activiteiten[[#All],[Subsidiabele_Activiteit]],0),MATCH(SubsidieTabel!T$1,Tb_Activiteiten[#Headers],0))=1,SubsidieTabel!$K58,0),0)</f>
        <v>0</v>
      </c>
      <c r="U58" s="284">
        <f>IFERROR(IF(INDEX(Tb_Activiteiten[#All],MATCH(SubsidieTabel!$A58,Tb_Activiteiten[[#All],[Subsidiabele_Activiteit]],0),MATCH(SubsidieTabel!U$1,Tb_Activiteiten[#Headers],0))=1,SubsidieTabel!$J58,0),0)</f>
        <v>0</v>
      </c>
      <c r="V58" s="284">
        <f>IFERROR(IF(INDEX(Tb_Activiteiten[#All],MATCH(SubsidieTabel!$A58,Tb_Activiteiten[[#All],[Subsidiabele_Activiteit]],0),MATCH(SubsidieTabel!V$1,Tb_Activiteiten[#Headers],0))=1,SubsidieTabel!$K58,0),0)</f>
        <v>0</v>
      </c>
      <c r="W58" s="369">
        <f>IFERROR(IF(INDEX(Tb_Activiteiten[#All],MATCH(SubsidieTabel!$A58,Tb_Activiteiten[[#All],[Subsidiabele_Activiteit]],0),MATCH(SubsidieTabel!Q$1,Tb_Activiteiten[#Headers],0))=1,H58,0),0)</f>
        <v>0</v>
      </c>
      <c r="X58" s="369">
        <f>IFERROR(IF(INDEX(Tb_Activiteiten[#All],MATCH(SubsidieTabel!$A58,Tb_Activiteiten[[#All],[Subsidiabele_Activiteit]],0),MATCH(SubsidieTabel!Q$1,Tb_Activiteiten[#Headers],0))=1,I58,0),0)</f>
        <v>0</v>
      </c>
      <c r="Y58" s="369">
        <f>IFERROR(IF(INDEX(Tb_Activiteiten[#All],MATCH(SubsidieTabel!$A58,Tb_Activiteiten[[#All],[Subsidiabele_Activiteit]],0),MATCH(SubsidieTabel!S$1,Tb_Activiteiten[#Headers],0))=1,H58,0),0)</f>
        <v>0</v>
      </c>
      <c r="Z58" s="369">
        <f>IFERROR(IF(INDEX(Tb_Activiteiten[#All],MATCH(SubsidieTabel!$A58,Tb_Activiteiten[[#All],[Subsidiabele_Activiteit]],0),MATCH(SubsidieTabel!S$1,Tb_Activiteiten[#Headers],0))=1,I58,0),0)</f>
        <v>0</v>
      </c>
      <c r="AA58" s="369">
        <f>IFERROR(IF(INDEX(Tb_Activiteiten[#All],MATCH(SubsidieTabel!$A58,Tb_Activiteiten[[#All],[Subsidiabele_Activiteit]],0),MATCH(SubsidieTabel!O$1,Tb_Activiteiten[#Headers],0))=1,$F58,0),0)</f>
        <v>0</v>
      </c>
      <c r="AB58" s="369">
        <f>IFERROR(IF(INDEX(Tb_Activiteiten[#All],MATCH(SubsidieTabel!$A58,Tb_Activiteiten[[#All],[Subsidiabele_Activiteit]],0),MATCH(SubsidieTabel!O$1,Tb_Activiteiten[#Headers],0))=1,$G58,0),0)</f>
        <v>0</v>
      </c>
    </row>
    <row r="59" spans="1:40" x14ac:dyDescent="0.25">
      <c r="A59" s="12"/>
      <c r="B59" s="12"/>
      <c r="C59" s="12" t="str">
        <f>IFERROR(VLOOKUP($B59,Tb_ProjectKosten[],4,0),"")</f>
        <v/>
      </c>
      <c r="D59" s="12" t="str" cm="1">
        <f t="array" ref="D59">IFERROR(INDEX(Tb_KostenOpties[],MATCH(B59,Tb_KostenOpties[KostenOptie],0),IFERROR(MATCH(Methode_Keuze,Tb_KostenOpties[#Headers],0),2)),"")</f>
        <v/>
      </c>
      <c r="E59" s="281">
        <f>IFERROR(VLOOKUP(B59,Tb_ProjectKosten[[#All],[KostenOmschrijving]:[Forfait_Percentage]],6,0),0)</f>
        <v>0</v>
      </c>
      <c r="F59" s="282">
        <f>SUMIFS('5. Kosten uitvoering project'!R:R,'5. Kosten uitvoering project'!E:E,SubsidieTabel!A59,'5. Kosten uitvoering project'!F:F,SubsidieTabel!B59)</f>
        <v>0</v>
      </c>
      <c r="G59" s="282">
        <f>SUMIFS('5. Kosten uitvoering project'!S:S,'5. Kosten uitvoering project'!E:E,SubsidieTabel!A59,'5. Kosten uitvoering project'!F:F,SubsidieTabel!B59)</f>
        <v>0</v>
      </c>
      <c r="H59" s="282">
        <f>SUMIFS('5. Kosten uitvoering project'!U:U,'5. Kosten uitvoering project'!E:E,SubsidieTabel!A59,'5. Kosten uitvoering project'!F:F,SubsidieTabel!B59)</f>
        <v>0</v>
      </c>
      <c r="I59" s="282">
        <f>SUMIFS('5. Kosten uitvoering project'!V:V,'5. Kosten uitvoering project'!E:E,SubsidieTabel!A59,'5. Kosten uitvoering project'!F:F,SubsidieTabel!B59)</f>
        <v>0</v>
      </c>
      <c r="J59" s="282">
        <f t="shared" si="0"/>
        <v>0</v>
      </c>
      <c r="K59" s="282">
        <f t="shared" si="1"/>
        <v>0</v>
      </c>
      <c r="L59" s="281" t="str">
        <f>IFERROR(VLOOKUP(A59,Lijsten!$AK:$AL,2,0),"")</f>
        <v/>
      </c>
      <c r="M59" s="282">
        <f t="shared" si="2"/>
        <v>0</v>
      </c>
      <c r="N59" s="282">
        <f t="shared" si="3"/>
        <v>0</v>
      </c>
      <c r="O59" s="282">
        <f>IFERROR(IF(INDEX(Tb_Activiteiten[#All],MATCH(SubsidieTabel!$A59,Tb_Activiteiten[[#All],[Subsidiabele_Activiteit]],0),MATCH(SubsidieTabel!O$1,Tb_Activiteiten[#Headers],0))=1,SubsidieTabel!$J59,0),0)</f>
        <v>0</v>
      </c>
      <c r="P59" s="282">
        <f>IFERROR(IF(INDEX(Tb_Activiteiten[#All],MATCH(SubsidieTabel!$A59,Tb_Activiteiten[[#All],[Subsidiabele_Activiteit]],0),MATCH(SubsidieTabel!P$1,Tb_Activiteiten[#Headers],0))=1,SubsidieTabel!$K59,0),0)</f>
        <v>0</v>
      </c>
      <c r="Q59" s="282">
        <f>IFERROR(IF(INDEX(Tb_Activiteiten[#All],MATCH(SubsidieTabel!$A59,Tb_Activiteiten[[#All],[Subsidiabele_Activiteit]],0),MATCH(SubsidieTabel!Q$1,Tb_Activiteiten[#Headers],0))=1,SubsidieTabel!$J59,0),0)</f>
        <v>0</v>
      </c>
      <c r="R59" s="282">
        <f>IFERROR(IF(INDEX(Tb_Activiteiten[#All],MATCH(SubsidieTabel!$A59,Tb_Activiteiten[[#All],[Subsidiabele_Activiteit]],0),MATCH(SubsidieTabel!R$1,Tb_Activiteiten[#Headers],0))=1,SubsidieTabel!$K59,0),0)</f>
        <v>0</v>
      </c>
      <c r="S59" s="282">
        <f>IFERROR(IF(INDEX(Tb_Activiteiten[#All],MATCH(SubsidieTabel!$A59,Tb_Activiteiten[[#All],[Subsidiabele_Activiteit]],0),MATCH(SubsidieTabel!S$1,Tb_Activiteiten[#Headers],0))=1,SubsidieTabel!$J59,0),0)</f>
        <v>0</v>
      </c>
      <c r="T59" s="282">
        <f>IFERROR(IF(INDEX(Tb_Activiteiten[#All],MATCH(SubsidieTabel!$A59,Tb_Activiteiten[[#All],[Subsidiabele_Activiteit]],0),MATCH(SubsidieTabel!T$1,Tb_Activiteiten[#Headers],0))=1,SubsidieTabel!$K59,0),0)</f>
        <v>0</v>
      </c>
      <c r="U59" s="282">
        <f>IFERROR(IF(INDEX(Tb_Activiteiten[#All],MATCH(SubsidieTabel!$A59,Tb_Activiteiten[[#All],[Subsidiabele_Activiteit]],0),MATCH(SubsidieTabel!U$1,Tb_Activiteiten[#Headers],0))=1,SubsidieTabel!$J59,0),0)</f>
        <v>0</v>
      </c>
      <c r="V59" s="282">
        <f>IFERROR(IF(INDEX(Tb_Activiteiten[#All],MATCH(SubsidieTabel!$A59,Tb_Activiteiten[[#All],[Subsidiabele_Activiteit]],0),MATCH(SubsidieTabel!V$1,Tb_Activiteiten[#Headers],0))=1,SubsidieTabel!$K59,0),0)</f>
        <v>0</v>
      </c>
      <c r="W59" s="64">
        <f>IFERROR(IF(INDEX(Tb_Activiteiten[#All],MATCH(SubsidieTabel!$A59,Tb_Activiteiten[[#All],[Subsidiabele_Activiteit]],0),MATCH(SubsidieTabel!Q$1,Tb_Activiteiten[#Headers],0))=1,H59,0),0)</f>
        <v>0</v>
      </c>
      <c r="X59" s="64">
        <f>IFERROR(IF(INDEX(Tb_Activiteiten[#All],MATCH(SubsidieTabel!$A59,Tb_Activiteiten[[#All],[Subsidiabele_Activiteit]],0),MATCH(SubsidieTabel!Q$1,Tb_Activiteiten[#Headers],0))=1,I59,0),0)</f>
        <v>0</v>
      </c>
      <c r="Y59" s="64">
        <f>IFERROR(IF(INDEX(Tb_Activiteiten[#All],MATCH(SubsidieTabel!$A59,Tb_Activiteiten[[#All],[Subsidiabele_Activiteit]],0),MATCH(SubsidieTabel!S$1,Tb_Activiteiten[#Headers],0))=1,H59,0),0)</f>
        <v>0</v>
      </c>
      <c r="Z59" s="64">
        <f>IFERROR(IF(INDEX(Tb_Activiteiten[#All],MATCH(SubsidieTabel!$A59,Tb_Activiteiten[[#All],[Subsidiabele_Activiteit]],0),MATCH(SubsidieTabel!S$1,Tb_Activiteiten[#Headers],0))=1,I59,0),0)</f>
        <v>0</v>
      </c>
      <c r="AA59" s="64">
        <f>IFERROR(IF(INDEX(Tb_Activiteiten[#All],MATCH(SubsidieTabel!$A59,Tb_Activiteiten[[#All],[Subsidiabele_Activiteit]],0),MATCH(SubsidieTabel!O$1,Tb_Activiteiten[#Headers],0))=1,$F59,0),0)</f>
        <v>0</v>
      </c>
      <c r="AB59" s="64">
        <f>IFERROR(IF(INDEX(Tb_Activiteiten[#All],MATCH(SubsidieTabel!$A59,Tb_Activiteiten[[#All],[Subsidiabele_Activiteit]],0),MATCH(SubsidieTabel!O$1,Tb_Activiteiten[#Headers],0))=1,$G59,0),0)</f>
        <v>0</v>
      </c>
    </row>
    <row r="60" spans="1:40" x14ac:dyDescent="0.25">
      <c r="A60" s="63"/>
      <c r="B60" s="63"/>
      <c r="C60" s="63" t="str">
        <f>IFERROR(VLOOKUP($B60,Tb_ProjectKosten[],4,0),"")</f>
        <v/>
      </c>
      <c r="D60" s="63" t="str" cm="1">
        <f t="array" ref="D60">IFERROR(INDEX(Tb_KostenOpties[],MATCH(B60,Tb_KostenOpties[KostenOptie],0),IFERROR(MATCH(Methode_Keuze,Tb_KostenOpties[#Headers],0),2)),"")</f>
        <v/>
      </c>
      <c r="E60" s="283">
        <f>IFERROR(VLOOKUP(B60,Tb_ProjectKosten[[#All],[KostenOmschrijving]:[Forfait_Percentage]],6,0),0)</f>
        <v>0</v>
      </c>
      <c r="F60" s="284">
        <f>SUMIFS('5. Kosten uitvoering project'!R:R,'5. Kosten uitvoering project'!E:E,SubsidieTabel!A60,'5. Kosten uitvoering project'!F:F,SubsidieTabel!B60)</f>
        <v>0</v>
      </c>
      <c r="G60" s="284">
        <f>SUMIFS('5. Kosten uitvoering project'!S:S,'5. Kosten uitvoering project'!E:E,SubsidieTabel!A60,'5. Kosten uitvoering project'!F:F,SubsidieTabel!B60)</f>
        <v>0</v>
      </c>
      <c r="H60" s="284">
        <f>SUMIFS('5. Kosten uitvoering project'!U:U,'5. Kosten uitvoering project'!E:E,SubsidieTabel!A60,'5. Kosten uitvoering project'!F:F,SubsidieTabel!B60)</f>
        <v>0</v>
      </c>
      <c r="I60" s="284">
        <f>SUMIFS('5. Kosten uitvoering project'!V:V,'5. Kosten uitvoering project'!E:E,SubsidieTabel!A60,'5. Kosten uitvoering project'!F:F,SubsidieTabel!B60)</f>
        <v>0</v>
      </c>
      <c r="J60" s="284">
        <f t="shared" si="0"/>
        <v>0</v>
      </c>
      <c r="K60" s="284">
        <f t="shared" si="1"/>
        <v>0</v>
      </c>
      <c r="L60" s="283" t="str">
        <f>IFERROR(VLOOKUP(A60,Lijsten!$AK:$AL,2,0),"")</f>
        <v/>
      </c>
      <c r="M60" s="284">
        <f t="shared" si="2"/>
        <v>0</v>
      </c>
      <c r="N60" s="284">
        <f t="shared" si="3"/>
        <v>0</v>
      </c>
      <c r="O60" s="284">
        <f>IFERROR(IF(INDEX(Tb_Activiteiten[#All],MATCH(SubsidieTabel!$A60,Tb_Activiteiten[[#All],[Subsidiabele_Activiteit]],0),MATCH(SubsidieTabel!O$1,Tb_Activiteiten[#Headers],0))=1,SubsidieTabel!$J60,0),0)</f>
        <v>0</v>
      </c>
      <c r="P60" s="284">
        <f>IFERROR(IF(INDEX(Tb_Activiteiten[#All],MATCH(SubsidieTabel!$A60,Tb_Activiteiten[[#All],[Subsidiabele_Activiteit]],0),MATCH(SubsidieTabel!P$1,Tb_Activiteiten[#Headers],0))=1,SubsidieTabel!$K60,0),0)</f>
        <v>0</v>
      </c>
      <c r="Q60" s="284">
        <f>IFERROR(IF(INDEX(Tb_Activiteiten[#All],MATCH(SubsidieTabel!$A60,Tb_Activiteiten[[#All],[Subsidiabele_Activiteit]],0),MATCH(SubsidieTabel!Q$1,Tb_Activiteiten[#Headers],0))=1,SubsidieTabel!$J60,0),0)</f>
        <v>0</v>
      </c>
      <c r="R60" s="284">
        <f>IFERROR(IF(INDEX(Tb_Activiteiten[#All],MATCH(SubsidieTabel!$A60,Tb_Activiteiten[[#All],[Subsidiabele_Activiteit]],0),MATCH(SubsidieTabel!R$1,Tb_Activiteiten[#Headers],0))=1,SubsidieTabel!$K60,0),0)</f>
        <v>0</v>
      </c>
      <c r="S60" s="284">
        <f>IFERROR(IF(INDEX(Tb_Activiteiten[#All],MATCH(SubsidieTabel!$A60,Tb_Activiteiten[[#All],[Subsidiabele_Activiteit]],0),MATCH(SubsidieTabel!S$1,Tb_Activiteiten[#Headers],0))=1,SubsidieTabel!$J60,0),0)</f>
        <v>0</v>
      </c>
      <c r="T60" s="284">
        <f>IFERROR(IF(INDEX(Tb_Activiteiten[#All],MATCH(SubsidieTabel!$A60,Tb_Activiteiten[[#All],[Subsidiabele_Activiteit]],0),MATCH(SubsidieTabel!T$1,Tb_Activiteiten[#Headers],0))=1,SubsidieTabel!$K60,0),0)</f>
        <v>0</v>
      </c>
      <c r="U60" s="284">
        <f>IFERROR(IF(INDEX(Tb_Activiteiten[#All],MATCH(SubsidieTabel!$A60,Tb_Activiteiten[[#All],[Subsidiabele_Activiteit]],0),MATCH(SubsidieTabel!U$1,Tb_Activiteiten[#Headers],0))=1,SubsidieTabel!$J60,0),0)</f>
        <v>0</v>
      </c>
      <c r="V60" s="284">
        <f>IFERROR(IF(INDEX(Tb_Activiteiten[#All],MATCH(SubsidieTabel!$A60,Tb_Activiteiten[[#All],[Subsidiabele_Activiteit]],0),MATCH(SubsidieTabel!V$1,Tb_Activiteiten[#Headers],0))=1,SubsidieTabel!$K60,0),0)</f>
        <v>0</v>
      </c>
      <c r="W60" s="369">
        <f>IFERROR(IF(INDEX(Tb_Activiteiten[#All],MATCH(SubsidieTabel!$A60,Tb_Activiteiten[[#All],[Subsidiabele_Activiteit]],0),MATCH(SubsidieTabel!Q$1,Tb_Activiteiten[#Headers],0))=1,H60,0),0)</f>
        <v>0</v>
      </c>
      <c r="X60" s="369">
        <f>IFERROR(IF(INDEX(Tb_Activiteiten[#All],MATCH(SubsidieTabel!$A60,Tb_Activiteiten[[#All],[Subsidiabele_Activiteit]],0),MATCH(SubsidieTabel!Q$1,Tb_Activiteiten[#Headers],0))=1,I60,0),0)</f>
        <v>0</v>
      </c>
      <c r="Y60" s="369">
        <f>IFERROR(IF(INDEX(Tb_Activiteiten[#All],MATCH(SubsidieTabel!$A60,Tb_Activiteiten[[#All],[Subsidiabele_Activiteit]],0),MATCH(SubsidieTabel!S$1,Tb_Activiteiten[#Headers],0))=1,H60,0),0)</f>
        <v>0</v>
      </c>
      <c r="Z60" s="369">
        <f>IFERROR(IF(INDEX(Tb_Activiteiten[#All],MATCH(SubsidieTabel!$A60,Tb_Activiteiten[[#All],[Subsidiabele_Activiteit]],0),MATCH(SubsidieTabel!S$1,Tb_Activiteiten[#Headers],0))=1,I60,0),0)</f>
        <v>0</v>
      </c>
      <c r="AA60" s="369">
        <f>IFERROR(IF(INDEX(Tb_Activiteiten[#All],MATCH(SubsidieTabel!$A60,Tb_Activiteiten[[#All],[Subsidiabele_Activiteit]],0),MATCH(SubsidieTabel!O$1,Tb_Activiteiten[#Headers],0))=1,$F60,0),0)</f>
        <v>0</v>
      </c>
      <c r="AB60" s="369">
        <f>IFERROR(IF(INDEX(Tb_Activiteiten[#All],MATCH(SubsidieTabel!$A60,Tb_Activiteiten[[#All],[Subsidiabele_Activiteit]],0),MATCH(SubsidieTabel!O$1,Tb_Activiteiten[#Headers],0))=1,$G60,0),0)</f>
        <v>0</v>
      </c>
    </row>
    <row r="61" spans="1:40" x14ac:dyDescent="0.25">
      <c r="A61" s="12"/>
      <c r="B61" s="12"/>
      <c r="C61" s="12" t="str">
        <f>IFERROR(VLOOKUP($B61,Tb_ProjectKosten[],4,0),"")</f>
        <v/>
      </c>
      <c r="D61" s="12" t="str" cm="1">
        <f t="array" ref="D61">IFERROR(INDEX(Tb_KostenOpties[],MATCH(B61,Tb_KostenOpties[KostenOptie],0),IFERROR(MATCH(Methode_Keuze,Tb_KostenOpties[#Headers],0),2)),"")</f>
        <v/>
      </c>
      <c r="E61" s="281">
        <f>IFERROR(VLOOKUP(B61,Tb_ProjectKosten[[#All],[KostenOmschrijving]:[Forfait_Percentage]],6,0),0)</f>
        <v>0</v>
      </c>
      <c r="F61" s="282">
        <f>SUMIFS('5. Kosten uitvoering project'!R:R,'5. Kosten uitvoering project'!E:E,SubsidieTabel!A61,'5. Kosten uitvoering project'!F:F,SubsidieTabel!B61)</f>
        <v>0</v>
      </c>
      <c r="G61" s="282">
        <f>SUMIFS('5. Kosten uitvoering project'!S:S,'5. Kosten uitvoering project'!E:E,SubsidieTabel!A61,'5. Kosten uitvoering project'!F:F,SubsidieTabel!B61)</f>
        <v>0</v>
      </c>
      <c r="H61" s="282">
        <f>SUMIFS('5. Kosten uitvoering project'!U:U,'5. Kosten uitvoering project'!E:E,SubsidieTabel!A61,'5. Kosten uitvoering project'!F:F,SubsidieTabel!B61)</f>
        <v>0</v>
      </c>
      <c r="I61" s="282">
        <f>SUMIFS('5. Kosten uitvoering project'!V:V,'5. Kosten uitvoering project'!E:E,SubsidieTabel!A61,'5. Kosten uitvoering project'!F:F,SubsidieTabel!B61)</f>
        <v>0</v>
      </c>
      <c r="J61" s="282">
        <f t="shared" si="0"/>
        <v>0</v>
      </c>
      <c r="K61" s="282">
        <f t="shared" si="1"/>
        <v>0</v>
      </c>
      <c r="L61" s="281" t="str">
        <f>IFERROR(VLOOKUP(A61,Lijsten!$AK:$AL,2,0),"")</f>
        <v/>
      </c>
      <c r="M61" s="282">
        <f t="shared" si="2"/>
        <v>0</v>
      </c>
      <c r="N61" s="282">
        <f t="shared" si="3"/>
        <v>0</v>
      </c>
      <c r="O61" s="282">
        <f>IFERROR(IF(INDEX(Tb_Activiteiten[#All],MATCH(SubsidieTabel!$A61,Tb_Activiteiten[[#All],[Subsidiabele_Activiteit]],0),MATCH(SubsidieTabel!O$1,Tb_Activiteiten[#Headers],0))=1,SubsidieTabel!$J61,0),0)</f>
        <v>0</v>
      </c>
      <c r="P61" s="282">
        <f>IFERROR(IF(INDEX(Tb_Activiteiten[#All],MATCH(SubsidieTabel!$A61,Tb_Activiteiten[[#All],[Subsidiabele_Activiteit]],0),MATCH(SubsidieTabel!P$1,Tb_Activiteiten[#Headers],0))=1,SubsidieTabel!$K61,0),0)</f>
        <v>0</v>
      </c>
      <c r="Q61" s="282">
        <f>IFERROR(IF(INDEX(Tb_Activiteiten[#All],MATCH(SubsidieTabel!$A61,Tb_Activiteiten[[#All],[Subsidiabele_Activiteit]],0),MATCH(SubsidieTabel!Q$1,Tb_Activiteiten[#Headers],0))=1,SubsidieTabel!$J61,0),0)</f>
        <v>0</v>
      </c>
      <c r="R61" s="282">
        <f>IFERROR(IF(INDEX(Tb_Activiteiten[#All],MATCH(SubsidieTabel!$A61,Tb_Activiteiten[[#All],[Subsidiabele_Activiteit]],0),MATCH(SubsidieTabel!R$1,Tb_Activiteiten[#Headers],0))=1,SubsidieTabel!$K61,0),0)</f>
        <v>0</v>
      </c>
      <c r="S61" s="282">
        <f>IFERROR(IF(INDEX(Tb_Activiteiten[#All],MATCH(SubsidieTabel!$A61,Tb_Activiteiten[[#All],[Subsidiabele_Activiteit]],0),MATCH(SubsidieTabel!S$1,Tb_Activiteiten[#Headers],0))=1,SubsidieTabel!$J61,0),0)</f>
        <v>0</v>
      </c>
      <c r="T61" s="282">
        <f>IFERROR(IF(INDEX(Tb_Activiteiten[#All],MATCH(SubsidieTabel!$A61,Tb_Activiteiten[[#All],[Subsidiabele_Activiteit]],0),MATCH(SubsidieTabel!T$1,Tb_Activiteiten[#Headers],0))=1,SubsidieTabel!$K61,0),0)</f>
        <v>0</v>
      </c>
      <c r="U61" s="282">
        <f>IFERROR(IF(INDEX(Tb_Activiteiten[#All],MATCH(SubsidieTabel!$A61,Tb_Activiteiten[[#All],[Subsidiabele_Activiteit]],0),MATCH(SubsidieTabel!U$1,Tb_Activiteiten[#Headers],0))=1,SubsidieTabel!$J61,0),0)</f>
        <v>0</v>
      </c>
      <c r="V61" s="282">
        <f>IFERROR(IF(INDEX(Tb_Activiteiten[#All],MATCH(SubsidieTabel!$A61,Tb_Activiteiten[[#All],[Subsidiabele_Activiteit]],0),MATCH(SubsidieTabel!V$1,Tb_Activiteiten[#Headers],0))=1,SubsidieTabel!$K61,0),0)</f>
        <v>0</v>
      </c>
      <c r="W61" s="64">
        <f>IFERROR(IF(INDEX(Tb_Activiteiten[#All],MATCH(SubsidieTabel!$A61,Tb_Activiteiten[[#All],[Subsidiabele_Activiteit]],0),MATCH(SubsidieTabel!Q$1,Tb_Activiteiten[#Headers],0))=1,H61,0),0)</f>
        <v>0</v>
      </c>
      <c r="X61" s="64">
        <f>IFERROR(IF(INDEX(Tb_Activiteiten[#All],MATCH(SubsidieTabel!$A61,Tb_Activiteiten[[#All],[Subsidiabele_Activiteit]],0),MATCH(SubsidieTabel!Q$1,Tb_Activiteiten[#Headers],0))=1,I61,0),0)</f>
        <v>0</v>
      </c>
      <c r="Y61" s="64">
        <f>IFERROR(IF(INDEX(Tb_Activiteiten[#All],MATCH(SubsidieTabel!$A61,Tb_Activiteiten[[#All],[Subsidiabele_Activiteit]],0),MATCH(SubsidieTabel!S$1,Tb_Activiteiten[#Headers],0))=1,H61,0),0)</f>
        <v>0</v>
      </c>
      <c r="Z61" s="64">
        <f>IFERROR(IF(INDEX(Tb_Activiteiten[#All],MATCH(SubsidieTabel!$A61,Tb_Activiteiten[[#All],[Subsidiabele_Activiteit]],0),MATCH(SubsidieTabel!S$1,Tb_Activiteiten[#Headers],0))=1,I61,0),0)</f>
        <v>0</v>
      </c>
      <c r="AA61" s="64">
        <f>IFERROR(IF(INDEX(Tb_Activiteiten[#All],MATCH(SubsidieTabel!$A61,Tb_Activiteiten[[#All],[Subsidiabele_Activiteit]],0),MATCH(SubsidieTabel!O$1,Tb_Activiteiten[#Headers],0))=1,$F61,0),0)</f>
        <v>0</v>
      </c>
      <c r="AB61" s="64">
        <f>IFERROR(IF(INDEX(Tb_Activiteiten[#All],MATCH(SubsidieTabel!$A61,Tb_Activiteiten[[#All],[Subsidiabele_Activiteit]],0),MATCH(SubsidieTabel!O$1,Tb_Activiteiten[#Headers],0))=1,$G61,0),0)</f>
        <v>0</v>
      </c>
    </row>
    <row r="62" spans="1:40" x14ac:dyDescent="0.25">
      <c r="A62" s="63"/>
      <c r="B62" s="63"/>
      <c r="C62" s="63" t="str">
        <f>IFERROR(VLOOKUP($B62,Tb_ProjectKosten[],4,0),"")</f>
        <v/>
      </c>
      <c r="D62" s="63" t="str" cm="1">
        <f t="array" ref="D62">IFERROR(INDEX(Tb_KostenOpties[],MATCH(B62,Tb_KostenOpties[KostenOptie],0),IFERROR(MATCH(Methode_Keuze,Tb_KostenOpties[#Headers],0),2)),"")</f>
        <v/>
      </c>
      <c r="E62" s="283">
        <f>IFERROR(VLOOKUP(B62,Tb_ProjectKosten[[#All],[KostenOmschrijving]:[Forfait_Percentage]],6,0),0)</f>
        <v>0</v>
      </c>
      <c r="F62" s="284">
        <f>SUMIFS('5. Kosten uitvoering project'!R:R,'5. Kosten uitvoering project'!E:E,SubsidieTabel!A62,'5. Kosten uitvoering project'!F:F,SubsidieTabel!B62)</f>
        <v>0</v>
      </c>
      <c r="G62" s="284">
        <f>SUMIFS('5. Kosten uitvoering project'!S:S,'5. Kosten uitvoering project'!E:E,SubsidieTabel!A62,'5. Kosten uitvoering project'!F:F,SubsidieTabel!B62)</f>
        <v>0</v>
      </c>
      <c r="H62" s="284">
        <f>SUMIFS('5. Kosten uitvoering project'!U:U,'5. Kosten uitvoering project'!E:E,SubsidieTabel!A62,'5. Kosten uitvoering project'!F:F,SubsidieTabel!B62)</f>
        <v>0</v>
      </c>
      <c r="I62" s="284">
        <f>SUMIFS('5. Kosten uitvoering project'!V:V,'5. Kosten uitvoering project'!E:E,SubsidieTabel!A62,'5. Kosten uitvoering project'!F:F,SubsidieTabel!B62)</f>
        <v>0</v>
      </c>
      <c r="J62" s="284">
        <f t="shared" si="0"/>
        <v>0</v>
      </c>
      <c r="K62" s="284">
        <f t="shared" si="1"/>
        <v>0</v>
      </c>
      <c r="L62" s="283" t="str">
        <f>IFERROR(VLOOKUP(A62,Lijsten!$AK:$AL,2,0),"")</f>
        <v/>
      </c>
      <c r="M62" s="284">
        <f t="shared" si="2"/>
        <v>0</v>
      </c>
      <c r="N62" s="284">
        <f t="shared" si="3"/>
        <v>0</v>
      </c>
      <c r="O62" s="284">
        <f>IFERROR(IF(INDEX(Tb_Activiteiten[#All],MATCH(SubsidieTabel!$A62,Tb_Activiteiten[[#All],[Subsidiabele_Activiteit]],0),MATCH(SubsidieTabel!O$1,Tb_Activiteiten[#Headers],0))=1,SubsidieTabel!$J62,0),0)</f>
        <v>0</v>
      </c>
      <c r="P62" s="284">
        <f>IFERROR(IF(INDEX(Tb_Activiteiten[#All],MATCH(SubsidieTabel!$A62,Tb_Activiteiten[[#All],[Subsidiabele_Activiteit]],0),MATCH(SubsidieTabel!P$1,Tb_Activiteiten[#Headers],0))=1,SubsidieTabel!$K62,0),0)</f>
        <v>0</v>
      </c>
      <c r="Q62" s="284">
        <f>IFERROR(IF(INDEX(Tb_Activiteiten[#All],MATCH(SubsidieTabel!$A62,Tb_Activiteiten[[#All],[Subsidiabele_Activiteit]],0),MATCH(SubsidieTabel!Q$1,Tb_Activiteiten[#Headers],0))=1,SubsidieTabel!$J62,0),0)</f>
        <v>0</v>
      </c>
      <c r="R62" s="284">
        <f>IFERROR(IF(INDEX(Tb_Activiteiten[#All],MATCH(SubsidieTabel!$A62,Tb_Activiteiten[[#All],[Subsidiabele_Activiteit]],0),MATCH(SubsidieTabel!R$1,Tb_Activiteiten[#Headers],0))=1,SubsidieTabel!$K62,0),0)</f>
        <v>0</v>
      </c>
      <c r="S62" s="284">
        <f>IFERROR(IF(INDEX(Tb_Activiteiten[#All],MATCH(SubsidieTabel!$A62,Tb_Activiteiten[[#All],[Subsidiabele_Activiteit]],0),MATCH(SubsidieTabel!S$1,Tb_Activiteiten[#Headers],0))=1,SubsidieTabel!$J62,0),0)</f>
        <v>0</v>
      </c>
      <c r="T62" s="284">
        <f>IFERROR(IF(INDEX(Tb_Activiteiten[#All],MATCH(SubsidieTabel!$A62,Tb_Activiteiten[[#All],[Subsidiabele_Activiteit]],0),MATCH(SubsidieTabel!T$1,Tb_Activiteiten[#Headers],0))=1,SubsidieTabel!$K62,0),0)</f>
        <v>0</v>
      </c>
      <c r="U62" s="284">
        <f>IFERROR(IF(INDEX(Tb_Activiteiten[#All],MATCH(SubsidieTabel!$A62,Tb_Activiteiten[[#All],[Subsidiabele_Activiteit]],0),MATCH(SubsidieTabel!U$1,Tb_Activiteiten[#Headers],0))=1,SubsidieTabel!$J62,0),0)</f>
        <v>0</v>
      </c>
      <c r="V62" s="284">
        <f>IFERROR(IF(INDEX(Tb_Activiteiten[#All],MATCH(SubsidieTabel!$A62,Tb_Activiteiten[[#All],[Subsidiabele_Activiteit]],0),MATCH(SubsidieTabel!V$1,Tb_Activiteiten[#Headers],0))=1,SubsidieTabel!$K62,0),0)</f>
        <v>0</v>
      </c>
      <c r="W62" s="369">
        <f>IFERROR(IF(INDEX(Tb_Activiteiten[#All],MATCH(SubsidieTabel!$A62,Tb_Activiteiten[[#All],[Subsidiabele_Activiteit]],0),MATCH(SubsidieTabel!Q$1,Tb_Activiteiten[#Headers],0))=1,H62,0),0)</f>
        <v>0</v>
      </c>
      <c r="X62" s="369">
        <f>IFERROR(IF(INDEX(Tb_Activiteiten[#All],MATCH(SubsidieTabel!$A62,Tb_Activiteiten[[#All],[Subsidiabele_Activiteit]],0),MATCH(SubsidieTabel!Q$1,Tb_Activiteiten[#Headers],0))=1,I62,0),0)</f>
        <v>0</v>
      </c>
      <c r="Y62" s="369">
        <f>IFERROR(IF(INDEX(Tb_Activiteiten[#All],MATCH(SubsidieTabel!$A62,Tb_Activiteiten[[#All],[Subsidiabele_Activiteit]],0),MATCH(SubsidieTabel!S$1,Tb_Activiteiten[#Headers],0))=1,H62,0),0)</f>
        <v>0</v>
      </c>
      <c r="Z62" s="369">
        <f>IFERROR(IF(INDEX(Tb_Activiteiten[#All],MATCH(SubsidieTabel!$A62,Tb_Activiteiten[[#All],[Subsidiabele_Activiteit]],0),MATCH(SubsidieTabel!S$1,Tb_Activiteiten[#Headers],0))=1,I62,0),0)</f>
        <v>0</v>
      </c>
      <c r="AA62" s="369">
        <f>IFERROR(IF(INDEX(Tb_Activiteiten[#All],MATCH(SubsidieTabel!$A62,Tb_Activiteiten[[#All],[Subsidiabele_Activiteit]],0),MATCH(SubsidieTabel!O$1,Tb_Activiteiten[#Headers],0))=1,$F62,0),0)</f>
        <v>0</v>
      </c>
      <c r="AB62" s="369">
        <f>IFERROR(IF(INDEX(Tb_Activiteiten[#All],MATCH(SubsidieTabel!$A62,Tb_Activiteiten[[#All],[Subsidiabele_Activiteit]],0),MATCH(SubsidieTabel!O$1,Tb_Activiteiten[#Headers],0))=1,$G62,0),0)</f>
        <v>0</v>
      </c>
    </row>
    <row r="63" spans="1:40" x14ac:dyDescent="0.25">
      <c r="A63" s="12"/>
      <c r="B63" s="12"/>
      <c r="C63" s="12" t="str">
        <f>IFERROR(VLOOKUP($B63,Tb_ProjectKosten[],4,0),"")</f>
        <v/>
      </c>
      <c r="D63" s="12" t="str" cm="1">
        <f t="array" ref="D63">IFERROR(INDEX(Tb_KostenOpties[],MATCH(B63,Tb_KostenOpties[KostenOptie],0),IFERROR(MATCH(Methode_Keuze,Tb_KostenOpties[#Headers],0),2)),"")</f>
        <v/>
      </c>
      <c r="E63" s="281">
        <f>IFERROR(VLOOKUP(B63,Tb_ProjectKosten[[#All],[KostenOmschrijving]:[Forfait_Percentage]],6,0),0)</f>
        <v>0</v>
      </c>
      <c r="F63" s="282">
        <f>SUMIFS('5. Kosten uitvoering project'!R:R,'5. Kosten uitvoering project'!E:E,SubsidieTabel!A63,'5. Kosten uitvoering project'!F:F,SubsidieTabel!B63)</f>
        <v>0</v>
      </c>
      <c r="G63" s="282">
        <f>SUMIFS('5. Kosten uitvoering project'!S:S,'5. Kosten uitvoering project'!E:E,SubsidieTabel!A63,'5. Kosten uitvoering project'!F:F,SubsidieTabel!B63)</f>
        <v>0</v>
      </c>
      <c r="H63" s="282">
        <f>SUMIFS('5. Kosten uitvoering project'!U:U,'5. Kosten uitvoering project'!E:E,SubsidieTabel!A63,'5. Kosten uitvoering project'!F:F,SubsidieTabel!B63)</f>
        <v>0</v>
      </c>
      <c r="I63" s="282">
        <f>SUMIFS('5. Kosten uitvoering project'!V:V,'5. Kosten uitvoering project'!E:E,SubsidieTabel!A63,'5. Kosten uitvoering project'!F:F,SubsidieTabel!B63)</f>
        <v>0</v>
      </c>
      <c r="J63" s="282">
        <f t="shared" si="0"/>
        <v>0</v>
      </c>
      <c r="K63" s="282">
        <f t="shared" si="1"/>
        <v>0</v>
      </c>
      <c r="L63" s="281" t="str">
        <f>IFERROR(VLOOKUP(A63,Lijsten!$AK:$AL,2,0),"")</f>
        <v/>
      </c>
      <c r="M63" s="282">
        <f t="shared" si="2"/>
        <v>0</v>
      </c>
      <c r="N63" s="282">
        <f t="shared" si="3"/>
        <v>0</v>
      </c>
      <c r="O63" s="282">
        <f>IFERROR(IF(INDEX(Tb_Activiteiten[#All],MATCH(SubsidieTabel!$A63,Tb_Activiteiten[[#All],[Subsidiabele_Activiteit]],0),MATCH(SubsidieTabel!O$1,Tb_Activiteiten[#Headers],0))=1,SubsidieTabel!$J63,0),0)</f>
        <v>0</v>
      </c>
      <c r="P63" s="282">
        <f>IFERROR(IF(INDEX(Tb_Activiteiten[#All],MATCH(SubsidieTabel!$A63,Tb_Activiteiten[[#All],[Subsidiabele_Activiteit]],0),MATCH(SubsidieTabel!P$1,Tb_Activiteiten[#Headers],0))=1,SubsidieTabel!$K63,0),0)</f>
        <v>0</v>
      </c>
      <c r="Q63" s="282">
        <f>IFERROR(IF(INDEX(Tb_Activiteiten[#All],MATCH(SubsidieTabel!$A63,Tb_Activiteiten[[#All],[Subsidiabele_Activiteit]],0),MATCH(SubsidieTabel!Q$1,Tb_Activiteiten[#Headers],0))=1,SubsidieTabel!$J63,0),0)</f>
        <v>0</v>
      </c>
      <c r="R63" s="282">
        <f>IFERROR(IF(INDEX(Tb_Activiteiten[#All],MATCH(SubsidieTabel!$A63,Tb_Activiteiten[[#All],[Subsidiabele_Activiteit]],0),MATCH(SubsidieTabel!R$1,Tb_Activiteiten[#Headers],0))=1,SubsidieTabel!$K63,0),0)</f>
        <v>0</v>
      </c>
      <c r="S63" s="282">
        <f>IFERROR(IF(INDEX(Tb_Activiteiten[#All],MATCH(SubsidieTabel!$A63,Tb_Activiteiten[[#All],[Subsidiabele_Activiteit]],0),MATCH(SubsidieTabel!S$1,Tb_Activiteiten[#Headers],0))=1,SubsidieTabel!$J63,0),0)</f>
        <v>0</v>
      </c>
      <c r="T63" s="282">
        <f>IFERROR(IF(INDEX(Tb_Activiteiten[#All],MATCH(SubsidieTabel!$A63,Tb_Activiteiten[[#All],[Subsidiabele_Activiteit]],0),MATCH(SubsidieTabel!T$1,Tb_Activiteiten[#Headers],0))=1,SubsidieTabel!$K63,0),0)</f>
        <v>0</v>
      </c>
      <c r="U63" s="282">
        <f>IFERROR(IF(INDEX(Tb_Activiteiten[#All],MATCH(SubsidieTabel!$A63,Tb_Activiteiten[[#All],[Subsidiabele_Activiteit]],0),MATCH(SubsidieTabel!U$1,Tb_Activiteiten[#Headers],0))=1,SubsidieTabel!$J63,0),0)</f>
        <v>0</v>
      </c>
      <c r="V63" s="282">
        <f>IFERROR(IF(INDEX(Tb_Activiteiten[#All],MATCH(SubsidieTabel!$A63,Tb_Activiteiten[[#All],[Subsidiabele_Activiteit]],0),MATCH(SubsidieTabel!V$1,Tb_Activiteiten[#Headers],0))=1,SubsidieTabel!$K63,0),0)</f>
        <v>0</v>
      </c>
      <c r="W63" s="64">
        <f>IFERROR(IF(INDEX(Tb_Activiteiten[#All],MATCH(SubsidieTabel!$A63,Tb_Activiteiten[[#All],[Subsidiabele_Activiteit]],0),MATCH(SubsidieTabel!Q$1,Tb_Activiteiten[#Headers],0))=1,H63,0),0)</f>
        <v>0</v>
      </c>
      <c r="X63" s="64">
        <f>IFERROR(IF(INDEX(Tb_Activiteiten[#All],MATCH(SubsidieTabel!$A63,Tb_Activiteiten[[#All],[Subsidiabele_Activiteit]],0),MATCH(SubsidieTabel!Q$1,Tb_Activiteiten[#Headers],0))=1,I63,0),0)</f>
        <v>0</v>
      </c>
      <c r="Y63" s="64">
        <f>IFERROR(IF(INDEX(Tb_Activiteiten[#All],MATCH(SubsidieTabel!$A63,Tb_Activiteiten[[#All],[Subsidiabele_Activiteit]],0),MATCH(SubsidieTabel!S$1,Tb_Activiteiten[#Headers],0))=1,H63,0),0)</f>
        <v>0</v>
      </c>
      <c r="Z63" s="64">
        <f>IFERROR(IF(INDEX(Tb_Activiteiten[#All],MATCH(SubsidieTabel!$A63,Tb_Activiteiten[[#All],[Subsidiabele_Activiteit]],0),MATCH(SubsidieTabel!S$1,Tb_Activiteiten[#Headers],0))=1,I63,0),0)</f>
        <v>0</v>
      </c>
      <c r="AA63" s="64">
        <f>IFERROR(IF(INDEX(Tb_Activiteiten[#All],MATCH(SubsidieTabel!$A63,Tb_Activiteiten[[#All],[Subsidiabele_Activiteit]],0),MATCH(SubsidieTabel!O$1,Tb_Activiteiten[#Headers],0))=1,$F63,0),0)</f>
        <v>0</v>
      </c>
      <c r="AB63" s="64">
        <f>IFERROR(IF(INDEX(Tb_Activiteiten[#All],MATCH(SubsidieTabel!$A63,Tb_Activiteiten[[#All],[Subsidiabele_Activiteit]],0),MATCH(SubsidieTabel!O$1,Tb_Activiteiten[#Headers],0))=1,$G63,0),0)</f>
        <v>0</v>
      </c>
    </row>
    <row r="64" spans="1:40" x14ac:dyDescent="0.25">
      <c r="A64" s="63"/>
      <c r="B64" s="63"/>
      <c r="C64" s="63" t="str">
        <f>IFERROR(VLOOKUP($B64,Tb_ProjectKosten[],4,0),"")</f>
        <v/>
      </c>
      <c r="D64" s="63" t="str" cm="1">
        <f t="array" ref="D64">IFERROR(INDEX(Tb_KostenOpties[],MATCH(B64,Tb_KostenOpties[KostenOptie],0),IFERROR(MATCH(Methode_Keuze,Tb_KostenOpties[#Headers],0),2)),"")</f>
        <v/>
      </c>
      <c r="E64" s="283">
        <f>IFERROR(VLOOKUP(B64,Tb_ProjectKosten[[#All],[KostenOmschrijving]:[Forfait_Percentage]],6,0),0)</f>
        <v>0</v>
      </c>
      <c r="F64" s="284">
        <f>SUMIFS('5. Kosten uitvoering project'!R:R,'5. Kosten uitvoering project'!E:E,SubsidieTabel!A64,'5. Kosten uitvoering project'!F:F,SubsidieTabel!B64)</f>
        <v>0</v>
      </c>
      <c r="G64" s="284">
        <f>SUMIFS('5. Kosten uitvoering project'!S:S,'5. Kosten uitvoering project'!E:E,SubsidieTabel!A64,'5. Kosten uitvoering project'!F:F,SubsidieTabel!B64)</f>
        <v>0</v>
      </c>
      <c r="H64" s="284">
        <f>SUMIFS('5. Kosten uitvoering project'!U:U,'5. Kosten uitvoering project'!E:E,SubsidieTabel!A64,'5. Kosten uitvoering project'!F:F,SubsidieTabel!B64)</f>
        <v>0</v>
      </c>
      <c r="I64" s="284">
        <f>SUMIFS('5. Kosten uitvoering project'!V:V,'5. Kosten uitvoering project'!E:E,SubsidieTabel!A64,'5. Kosten uitvoering project'!F:F,SubsidieTabel!B64)</f>
        <v>0</v>
      </c>
      <c r="J64" s="284">
        <f t="shared" si="0"/>
        <v>0</v>
      </c>
      <c r="K64" s="284">
        <f t="shared" si="1"/>
        <v>0</v>
      </c>
      <c r="L64" s="283" t="str">
        <f>IFERROR(VLOOKUP(A64,Lijsten!$AK:$AL,2,0),"")</f>
        <v/>
      </c>
      <c r="M64" s="284">
        <f t="shared" si="2"/>
        <v>0</v>
      </c>
      <c r="N64" s="284">
        <f t="shared" si="3"/>
        <v>0</v>
      </c>
      <c r="O64" s="284">
        <f>IFERROR(IF(INDEX(Tb_Activiteiten[#All],MATCH(SubsidieTabel!$A64,Tb_Activiteiten[[#All],[Subsidiabele_Activiteit]],0),MATCH(SubsidieTabel!O$1,Tb_Activiteiten[#Headers],0))=1,SubsidieTabel!$J64,0),0)</f>
        <v>0</v>
      </c>
      <c r="P64" s="284">
        <f>IFERROR(IF(INDEX(Tb_Activiteiten[#All],MATCH(SubsidieTabel!$A64,Tb_Activiteiten[[#All],[Subsidiabele_Activiteit]],0),MATCH(SubsidieTabel!P$1,Tb_Activiteiten[#Headers],0))=1,SubsidieTabel!$K64,0),0)</f>
        <v>0</v>
      </c>
      <c r="Q64" s="284">
        <f>IFERROR(IF(INDEX(Tb_Activiteiten[#All],MATCH(SubsidieTabel!$A64,Tb_Activiteiten[[#All],[Subsidiabele_Activiteit]],0),MATCH(SubsidieTabel!Q$1,Tb_Activiteiten[#Headers],0))=1,SubsidieTabel!$J64,0),0)</f>
        <v>0</v>
      </c>
      <c r="R64" s="284">
        <f>IFERROR(IF(INDEX(Tb_Activiteiten[#All],MATCH(SubsidieTabel!$A64,Tb_Activiteiten[[#All],[Subsidiabele_Activiteit]],0),MATCH(SubsidieTabel!R$1,Tb_Activiteiten[#Headers],0))=1,SubsidieTabel!$K64,0),0)</f>
        <v>0</v>
      </c>
      <c r="S64" s="284">
        <f>IFERROR(IF(INDEX(Tb_Activiteiten[#All],MATCH(SubsidieTabel!$A64,Tb_Activiteiten[[#All],[Subsidiabele_Activiteit]],0),MATCH(SubsidieTabel!S$1,Tb_Activiteiten[#Headers],0))=1,SubsidieTabel!$J64,0),0)</f>
        <v>0</v>
      </c>
      <c r="T64" s="284">
        <f>IFERROR(IF(INDEX(Tb_Activiteiten[#All],MATCH(SubsidieTabel!$A64,Tb_Activiteiten[[#All],[Subsidiabele_Activiteit]],0),MATCH(SubsidieTabel!T$1,Tb_Activiteiten[#Headers],0))=1,SubsidieTabel!$K64,0),0)</f>
        <v>0</v>
      </c>
      <c r="U64" s="284">
        <f>IFERROR(IF(INDEX(Tb_Activiteiten[#All],MATCH(SubsidieTabel!$A64,Tb_Activiteiten[[#All],[Subsidiabele_Activiteit]],0),MATCH(SubsidieTabel!U$1,Tb_Activiteiten[#Headers],0))=1,SubsidieTabel!$J64,0),0)</f>
        <v>0</v>
      </c>
      <c r="V64" s="284">
        <f>IFERROR(IF(INDEX(Tb_Activiteiten[#All],MATCH(SubsidieTabel!$A64,Tb_Activiteiten[[#All],[Subsidiabele_Activiteit]],0),MATCH(SubsidieTabel!V$1,Tb_Activiteiten[#Headers],0))=1,SubsidieTabel!$K64,0),0)</f>
        <v>0</v>
      </c>
      <c r="W64" s="369">
        <f>IFERROR(IF(INDEX(Tb_Activiteiten[#All],MATCH(SubsidieTabel!$A64,Tb_Activiteiten[[#All],[Subsidiabele_Activiteit]],0),MATCH(SubsidieTabel!Q$1,Tb_Activiteiten[#Headers],0))=1,H64,0),0)</f>
        <v>0</v>
      </c>
      <c r="X64" s="369">
        <f>IFERROR(IF(INDEX(Tb_Activiteiten[#All],MATCH(SubsidieTabel!$A64,Tb_Activiteiten[[#All],[Subsidiabele_Activiteit]],0),MATCH(SubsidieTabel!Q$1,Tb_Activiteiten[#Headers],0))=1,I64,0),0)</f>
        <v>0</v>
      </c>
      <c r="Y64" s="369">
        <f>IFERROR(IF(INDEX(Tb_Activiteiten[#All],MATCH(SubsidieTabel!$A64,Tb_Activiteiten[[#All],[Subsidiabele_Activiteit]],0),MATCH(SubsidieTabel!S$1,Tb_Activiteiten[#Headers],0))=1,H64,0),0)</f>
        <v>0</v>
      </c>
      <c r="Z64" s="369">
        <f>IFERROR(IF(INDEX(Tb_Activiteiten[#All],MATCH(SubsidieTabel!$A64,Tb_Activiteiten[[#All],[Subsidiabele_Activiteit]],0),MATCH(SubsidieTabel!S$1,Tb_Activiteiten[#Headers],0))=1,I64,0),0)</f>
        <v>0</v>
      </c>
      <c r="AA64" s="369">
        <f>IFERROR(IF(INDEX(Tb_Activiteiten[#All],MATCH(SubsidieTabel!$A64,Tb_Activiteiten[[#All],[Subsidiabele_Activiteit]],0),MATCH(SubsidieTabel!O$1,Tb_Activiteiten[#Headers],0))=1,$F64,0),0)</f>
        <v>0</v>
      </c>
      <c r="AB64" s="369">
        <f>IFERROR(IF(INDEX(Tb_Activiteiten[#All],MATCH(SubsidieTabel!$A64,Tb_Activiteiten[[#All],[Subsidiabele_Activiteit]],0),MATCH(SubsidieTabel!O$1,Tb_Activiteiten[#Headers],0))=1,$G64,0),0)</f>
        <v>0</v>
      </c>
    </row>
    <row r="65" spans="1:28" x14ac:dyDescent="0.25">
      <c r="A65" s="12"/>
      <c r="B65" s="12"/>
      <c r="C65" s="12" t="str">
        <f>IFERROR(VLOOKUP($B65,Tb_ProjectKosten[],4,0),"")</f>
        <v/>
      </c>
      <c r="D65" s="12" t="str" cm="1">
        <f t="array" ref="D65">IFERROR(INDEX(Tb_KostenOpties[],MATCH(B65,Tb_KostenOpties[KostenOptie],0),IFERROR(MATCH(Methode_Keuze,Tb_KostenOpties[#Headers],0),2)),"")</f>
        <v/>
      </c>
      <c r="E65" s="281">
        <f>IFERROR(VLOOKUP(B65,Tb_ProjectKosten[[#All],[KostenOmschrijving]:[Forfait_Percentage]],6,0),0)</f>
        <v>0</v>
      </c>
      <c r="F65" s="282">
        <f>SUMIFS('5. Kosten uitvoering project'!R:R,'5. Kosten uitvoering project'!E:E,SubsidieTabel!A65,'5. Kosten uitvoering project'!F:F,SubsidieTabel!B65)</f>
        <v>0</v>
      </c>
      <c r="G65" s="282">
        <f>SUMIFS('5. Kosten uitvoering project'!S:S,'5. Kosten uitvoering project'!E:E,SubsidieTabel!A65,'5. Kosten uitvoering project'!F:F,SubsidieTabel!B65)</f>
        <v>0</v>
      </c>
      <c r="H65" s="282">
        <f>SUMIFS('5. Kosten uitvoering project'!U:U,'5. Kosten uitvoering project'!E:E,SubsidieTabel!A65,'5. Kosten uitvoering project'!F:F,SubsidieTabel!B65)</f>
        <v>0</v>
      </c>
      <c r="I65" s="282">
        <f>SUMIFS('5. Kosten uitvoering project'!V:V,'5. Kosten uitvoering project'!E:E,SubsidieTabel!A65,'5. Kosten uitvoering project'!F:F,SubsidieTabel!B65)</f>
        <v>0</v>
      </c>
      <c r="J65" s="282">
        <f t="shared" si="0"/>
        <v>0</v>
      </c>
      <c r="K65" s="282">
        <f t="shared" si="1"/>
        <v>0</v>
      </c>
      <c r="L65" s="281" t="str">
        <f>IFERROR(VLOOKUP(A65,Lijsten!$AK:$AL,2,0),"")</f>
        <v/>
      </c>
      <c r="M65" s="282">
        <f t="shared" si="2"/>
        <v>0</v>
      </c>
      <c r="N65" s="282">
        <f t="shared" si="3"/>
        <v>0</v>
      </c>
      <c r="O65" s="282">
        <f>IFERROR(IF(INDEX(Tb_Activiteiten[#All],MATCH(SubsidieTabel!$A65,Tb_Activiteiten[[#All],[Subsidiabele_Activiteit]],0),MATCH(SubsidieTabel!O$1,Tb_Activiteiten[#Headers],0))=1,SubsidieTabel!$J65,0),0)</f>
        <v>0</v>
      </c>
      <c r="P65" s="282">
        <f>IFERROR(IF(INDEX(Tb_Activiteiten[#All],MATCH(SubsidieTabel!$A65,Tb_Activiteiten[[#All],[Subsidiabele_Activiteit]],0),MATCH(SubsidieTabel!P$1,Tb_Activiteiten[#Headers],0))=1,SubsidieTabel!$K65,0),0)</f>
        <v>0</v>
      </c>
      <c r="Q65" s="282">
        <f>IFERROR(IF(INDEX(Tb_Activiteiten[#All],MATCH(SubsidieTabel!$A65,Tb_Activiteiten[[#All],[Subsidiabele_Activiteit]],0),MATCH(SubsidieTabel!Q$1,Tb_Activiteiten[#Headers],0))=1,SubsidieTabel!$J65,0),0)</f>
        <v>0</v>
      </c>
      <c r="R65" s="282">
        <f>IFERROR(IF(INDEX(Tb_Activiteiten[#All],MATCH(SubsidieTabel!$A65,Tb_Activiteiten[[#All],[Subsidiabele_Activiteit]],0),MATCH(SubsidieTabel!R$1,Tb_Activiteiten[#Headers],0))=1,SubsidieTabel!$K65,0),0)</f>
        <v>0</v>
      </c>
      <c r="S65" s="282">
        <f>IFERROR(IF(INDEX(Tb_Activiteiten[#All],MATCH(SubsidieTabel!$A65,Tb_Activiteiten[[#All],[Subsidiabele_Activiteit]],0),MATCH(SubsidieTabel!S$1,Tb_Activiteiten[#Headers],0))=1,SubsidieTabel!$J65,0),0)</f>
        <v>0</v>
      </c>
      <c r="T65" s="282">
        <f>IFERROR(IF(INDEX(Tb_Activiteiten[#All],MATCH(SubsidieTabel!$A65,Tb_Activiteiten[[#All],[Subsidiabele_Activiteit]],0),MATCH(SubsidieTabel!T$1,Tb_Activiteiten[#Headers],0))=1,SubsidieTabel!$K65,0),0)</f>
        <v>0</v>
      </c>
      <c r="U65" s="282">
        <f>IFERROR(IF(INDEX(Tb_Activiteiten[#All],MATCH(SubsidieTabel!$A65,Tb_Activiteiten[[#All],[Subsidiabele_Activiteit]],0),MATCH(SubsidieTabel!U$1,Tb_Activiteiten[#Headers],0))=1,SubsidieTabel!$J65,0),0)</f>
        <v>0</v>
      </c>
      <c r="V65" s="282">
        <f>IFERROR(IF(INDEX(Tb_Activiteiten[#All],MATCH(SubsidieTabel!$A65,Tb_Activiteiten[[#All],[Subsidiabele_Activiteit]],0),MATCH(SubsidieTabel!V$1,Tb_Activiteiten[#Headers],0))=1,SubsidieTabel!$K65,0),0)</f>
        <v>0</v>
      </c>
      <c r="W65" s="64">
        <f>IFERROR(IF(INDEX(Tb_Activiteiten[#All],MATCH(SubsidieTabel!$A65,Tb_Activiteiten[[#All],[Subsidiabele_Activiteit]],0),MATCH(SubsidieTabel!Q$1,Tb_Activiteiten[#Headers],0))=1,H65,0),0)</f>
        <v>0</v>
      </c>
      <c r="X65" s="64">
        <f>IFERROR(IF(INDEX(Tb_Activiteiten[#All],MATCH(SubsidieTabel!$A65,Tb_Activiteiten[[#All],[Subsidiabele_Activiteit]],0),MATCH(SubsidieTabel!Q$1,Tb_Activiteiten[#Headers],0))=1,I65,0),0)</f>
        <v>0</v>
      </c>
      <c r="Y65" s="64">
        <f>IFERROR(IF(INDEX(Tb_Activiteiten[#All],MATCH(SubsidieTabel!$A65,Tb_Activiteiten[[#All],[Subsidiabele_Activiteit]],0),MATCH(SubsidieTabel!S$1,Tb_Activiteiten[#Headers],0))=1,H65,0),0)</f>
        <v>0</v>
      </c>
      <c r="Z65" s="64">
        <f>IFERROR(IF(INDEX(Tb_Activiteiten[#All],MATCH(SubsidieTabel!$A65,Tb_Activiteiten[[#All],[Subsidiabele_Activiteit]],0),MATCH(SubsidieTabel!S$1,Tb_Activiteiten[#Headers],0))=1,I65,0),0)</f>
        <v>0</v>
      </c>
      <c r="AA65" s="64">
        <f>IFERROR(IF(INDEX(Tb_Activiteiten[#All],MATCH(SubsidieTabel!$A65,Tb_Activiteiten[[#All],[Subsidiabele_Activiteit]],0),MATCH(SubsidieTabel!O$1,Tb_Activiteiten[#Headers],0))=1,$F65,0),0)</f>
        <v>0</v>
      </c>
      <c r="AB65" s="64">
        <f>IFERROR(IF(INDEX(Tb_Activiteiten[#All],MATCH(SubsidieTabel!$A65,Tb_Activiteiten[[#All],[Subsidiabele_Activiteit]],0),MATCH(SubsidieTabel!O$1,Tb_Activiteiten[#Headers],0))=1,$G65,0),0)</f>
        <v>0</v>
      </c>
    </row>
    <row r="66" spans="1:28" x14ac:dyDescent="0.25">
      <c r="A66" s="63"/>
      <c r="B66" s="63"/>
      <c r="C66" s="63" t="str">
        <f>IFERROR(VLOOKUP($B66,Tb_ProjectKosten[],4,0),"")</f>
        <v/>
      </c>
      <c r="D66" s="63" t="str" cm="1">
        <f t="array" ref="D66">IFERROR(INDEX(Tb_KostenOpties[],MATCH(B66,Tb_KostenOpties[KostenOptie],0),IFERROR(MATCH(Methode_Keuze,Tb_KostenOpties[#Headers],0),2)),"")</f>
        <v/>
      </c>
      <c r="E66" s="283">
        <f>IFERROR(VLOOKUP(B66,Tb_ProjectKosten[[#All],[KostenOmschrijving]:[Forfait_Percentage]],6,0),0)</f>
        <v>0</v>
      </c>
      <c r="F66" s="284">
        <f>SUMIFS('5. Kosten uitvoering project'!R:R,'5. Kosten uitvoering project'!E:E,SubsidieTabel!A66,'5. Kosten uitvoering project'!F:F,SubsidieTabel!B66)</f>
        <v>0</v>
      </c>
      <c r="G66" s="284">
        <f>SUMIFS('5. Kosten uitvoering project'!S:S,'5. Kosten uitvoering project'!E:E,SubsidieTabel!A66,'5. Kosten uitvoering project'!F:F,SubsidieTabel!B66)</f>
        <v>0</v>
      </c>
      <c r="H66" s="284">
        <f>SUMIFS('5. Kosten uitvoering project'!U:U,'5. Kosten uitvoering project'!E:E,SubsidieTabel!A66,'5. Kosten uitvoering project'!F:F,SubsidieTabel!B66)</f>
        <v>0</v>
      </c>
      <c r="I66" s="284">
        <f>SUMIFS('5. Kosten uitvoering project'!V:V,'5. Kosten uitvoering project'!E:E,SubsidieTabel!A66,'5. Kosten uitvoering project'!F:F,SubsidieTabel!B66)</f>
        <v>0</v>
      </c>
      <c r="J66" s="284">
        <f t="shared" si="0"/>
        <v>0</v>
      </c>
      <c r="K66" s="284">
        <f t="shared" si="1"/>
        <v>0</v>
      </c>
      <c r="L66" s="283" t="str">
        <f>IFERROR(VLOOKUP(A66,Lijsten!$AK:$AL,2,0),"")</f>
        <v/>
      </c>
      <c r="M66" s="284">
        <f t="shared" si="2"/>
        <v>0</v>
      </c>
      <c r="N66" s="284">
        <f t="shared" si="3"/>
        <v>0</v>
      </c>
      <c r="O66" s="284">
        <f>IFERROR(IF(INDEX(Tb_Activiteiten[#All],MATCH(SubsidieTabel!$A66,Tb_Activiteiten[[#All],[Subsidiabele_Activiteit]],0),MATCH(SubsidieTabel!O$1,Tb_Activiteiten[#Headers],0))=1,SubsidieTabel!$J66,0),0)</f>
        <v>0</v>
      </c>
      <c r="P66" s="284">
        <f>IFERROR(IF(INDEX(Tb_Activiteiten[#All],MATCH(SubsidieTabel!$A66,Tb_Activiteiten[[#All],[Subsidiabele_Activiteit]],0),MATCH(SubsidieTabel!P$1,Tb_Activiteiten[#Headers],0))=1,SubsidieTabel!$K66,0),0)</f>
        <v>0</v>
      </c>
      <c r="Q66" s="284">
        <f>IFERROR(IF(INDEX(Tb_Activiteiten[#All],MATCH(SubsidieTabel!$A66,Tb_Activiteiten[[#All],[Subsidiabele_Activiteit]],0),MATCH(SubsidieTabel!Q$1,Tb_Activiteiten[#Headers],0))=1,SubsidieTabel!$J66,0),0)</f>
        <v>0</v>
      </c>
      <c r="R66" s="284">
        <f>IFERROR(IF(INDEX(Tb_Activiteiten[#All],MATCH(SubsidieTabel!$A66,Tb_Activiteiten[[#All],[Subsidiabele_Activiteit]],0),MATCH(SubsidieTabel!R$1,Tb_Activiteiten[#Headers],0))=1,SubsidieTabel!$K66,0),0)</f>
        <v>0</v>
      </c>
      <c r="S66" s="284">
        <f>IFERROR(IF(INDEX(Tb_Activiteiten[#All],MATCH(SubsidieTabel!$A66,Tb_Activiteiten[[#All],[Subsidiabele_Activiteit]],0),MATCH(SubsidieTabel!S$1,Tb_Activiteiten[#Headers],0))=1,SubsidieTabel!$J66,0),0)</f>
        <v>0</v>
      </c>
      <c r="T66" s="284">
        <f>IFERROR(IF(INDEX(Tb_Activiteiten[#All],MATCH(SubsidieTabel!$A66,Tb_Activiteiten[[#All],[Subsidiabele_Activiteit]],0),MATCH(SubsidieTabel!T$1,Tb_Activiteiten[#Headers],0))=1,SubsidieTabel!$K66,0),0)</f>
        <v>0</v>
      </c>
      <c r="U66" s="284">
        <f>IFERROR(IF(INDEX(Tb_Activiteiten[#All],MATCH(SubsidieTabel!$A66,Tb_Activiteiten[[#All],[Subsidiabele_Activiteit]],0),MATCH(SubsidieTabel!U$1,Tb_Activiteiten[#Headers],0))=1,SubsidieTabel!$J66,0),0)</f>
        <v>0</v>
      </c>
      <c r="V66" s="284">
        <f>IFERROR(IF(INDEX(Tb_Activiteiten[#All],MATCH(SubsidieTabel!$A66,Tb_Activiteiten[[#All],[Subsidiabele_Activiteit]],0),MATCH(SubsidieTabel!V$1,Tb_Activiteiten[#Headers],0))=1,SubsidieTabel!$K66,0),0)</f>
        <v>0</v>
      </c>
      <c r="W66" s="369">
        <f>IFERROR(IF(INDEX(Tb_Activiteiten[#All],MATCH(SubsidieTabel!$A66,Tb_Activiteiten[[#All],[Subsidiabele_Activiteit]],0),MATCH(SubsidieTabel!Q$1,Tb_Activiteiten[#Headers],0))=1,H66,0),0)</f>
        <v>0</v>
      </c>
      <c r="X66" s="369">
        <f>IFERROR(IF(INDEX(Tb_Activiteiten[#All],MATCH(SubsidieTabel!$A66,Tb_Activiteiten[[#All],[Subsidiabele_Activiteit]],0),MATCH(SubsidieTabel!Q$1,Tb_Activiteiten[#Headers],0))=1,I66,0),0)</f>
        <v>0</v>
      </c>
      <c r="Y66" s="369">
        <f>IFERROR(IF(INDEX(Tb_Activiteiten[#All],MATCH(SubsidieTabel!$A66,Tb_Activiteiten[[#All],[Subsidiabele_Activiteit]],0),MATCH(SubsidieTabel!S$1,Tb_Activiteiten[#Headers],0))=1,H66,0),0)</f>
        <v>0</v>
      </c>
      <c r="Z66" s="369">
        <f>IFERROR(IF(INDEX(Tb_Activiteiten[#All],MATCH(SubsidieTabel!$A66,Tb_Activiteiten[[#All],[Subsidiabele_Activiteit]],0),MATCH(SubsidieTabel!S$1,Tb_Activiteiten[#Headers],0))=1,I66,0),0)</f>
        <v>0</v>
      </c>
      <c r="AA66" s="369">
        <f>IFERROR(IF(INDEX(Tb_Activiteiten[#All],MATCH(SubsidieTabel!$A66,Tb_Activiteiten[[#All],[Subsidiabele_Activiteit]],0),MATCH(SubsidieTabel!O$1,Tb_Activiteiten[#Headers],0))=1,$F66,0),0)</f>
        <v>0</v>
      </c>
      <c r="AB66" s="369">
        <f>IFERROR(IF(INDEX(Tb_Activiteiten[#All],MATCH(SubsidieTabel!$A66,Tb_Activiteiten[[#All],[Subsidiabele_Activiteit]],0),MATCH(SubsidieTabel!O$1,Tb_Activiteiten[#Headers],0))=1,$G66,0),0)</f>
        <v>0</v>
      </c>
    </row>
    <row r="67" spans="1:28" x14ac:dyDescent="0.25">
      <c r="A67" s="12"/>
      <c r="B67" s="12"/>
      <c r="C67" s="12" t="str">
        <f>IFERROR(VLOOKUP($B67,Tb_ProjectKosten[],4,0),"")</f>
        <v/>
      </c>
      <c r="D67" s="12" t="str" cm="1">
        <f t="array" ref="D67">IFERROR(INDEX(Tb_KostenOpties[],MATCH(B67,Tb_KostenOpties[KostenOptie],0),IFERROR(MATCH(Methode_Keuze,Tb_KostenOpties[#Headers],0),2)),"")</f>
        <v/>
      </c>
      <c r="E67" s="281">
        <f>IFERROR(VLOOKUP(B67,Tb_ProjectKosten[[#All],[KostenOmschrijving]:[Forfait_Percentage]],6,0),0)</f>
        <v>0</v>
      </c>
      <c r="F67" s="282">
        <f>SUMIFS('5. Kosten uitvoering project'!R:R,'5. Kosten uitvoering project'!E:E,SubsidieTabel!A67,'5. Kosten uitvoering project'!F:F,SubsidieTabel!B67)</f>
        <v>0</v>
      </c>
      <c r="G67" s="282">
        <f>SUMIFS('5. Kosten uitvoering project'!S:S,'5. Kosten uitvoering project'!E:E,SubsidieTabel!A67,'5. Kosten uitvoering project'!F:F,SubsidieTabel!B67)</f>
        <v>0</v>
      </c>
      <c r="H67" s="282">
        <f>SUMIFS('5. Kosten uitvoering project'!U:U,'5. Kosten uitvoering project'!E:E,SubsidieTabel!A67,'5. Kosten uitvoering project'!F:F,SubsidieTabel!B67)</f>
        <v>0</v>
      </c>
      <c r="I67" s="282">
        <f>SUMIFS('5. Kosten uitvoering project'!V:V,'5. Kosten uitvoering project'!E:E,SubsidieTabel!A67,'5. Kosten uitvoering project'!F:F,SubsidieTabel!B67)</f>
        <v>0</v>
      </c>
      <c r="J67" s="282">
        <f t="shared" ref="J67:J100" si="9">IFERROR(F67+H67,"")</f>
        <v>0</v>
      </c>
      <c r="K67" s="282">
        <f t="shared" ref="K67:K100" si="10">IFERROR(G67+I67,"")</f>
        <v>0</v>
      </c>
      <c r="L67" s="281" t="str">
        <f>IFERROR(VLOOKUP(A67,Lijsten!$AK:$AL,2,0),"")</f>
        <v/>
      </c>
      <c r="M67" s="282">
        <f t="shared" ref="M67:M100" si="11">IFERROR($L67*(F67+H67),0)</f>
        <v>0</v>
      </c>
      <c r="N67" s="282">
        <f t="shared" ref="N67:N100" si="12">IFERROR($L67*(G67+I67),0)</f>
        <v>0</v>
      </c>
      <c r="O67" s="282">
        <f>IFERROR(IF(INDEX(Tb_Activiteiten[#All],MATCH(SubsidieTabel!$A67,Tb_Activiteiten[[#All],[Subsidiabele_Activiteit]],0),MATCH(SubsidieTabel!O$1,Tb_Activiteiten[#Headers],0))=1,SubsidieTabel!$J67,0),0)</f>
        <v>0</v>
      </c>
      <c r="P67" s="282">
        <f>IFERROR(IF(INDEX(Tb_Activiteiten[#All],MATCH(SubsidieTabel!$A67,Tb_Activiteiten[[#All],[Subsidiabele_Activiteit]],0),MATCH(SubsidieTabel!P$1,Tb_Activiteiten[#Headers],0))=1,SubsidieTabel!$K67,0),0)</f>
        <v>0</v>
      </c>
      <c r="Q67" s="282">
        <f>IFERROR(IF(INDEX(Tb_Activiteiten[#All],MATCH(SubsidieTabel!$A67,Tb_Activiteiten[[#All],[Subsidiabele_Activiteit]],0),MATCH(SubsidieTabel!Q$1,Tb_Activiteiten[#Headers],0))=1,SubsidieTabel!$J67,0),0)</f>
        <v>0</v>
      </c>
      <c r="R67" s="282">
        <f>IFERROR(IF(INDEX(Tb_Activiteiten[#All],MATCH(SubsidieTabel!$A67,Tb_Activiteiten[[#All],[Subsidiabele_Activiteit]],0),MATCH(SubsidieTabel!R$1,Tb_Activiteiten[#Headers],0))=1,SubsidieTabel!$K67,0),0)</f>
        <v>0</v>
      </c>
      <c r="S67" s="282">
        <f>IFERROR(IF(INDEX(Tb_Activiteiten[#All],MATCH(SubsidieTabel!$A67,Tb_Activiteiten[[#All],[Subsidiabele_Activiteit]],0),MATCH(SubsidieTabel!S$1,Tb_Activiteiten[#Headers],0))=1,SubsidieTabel!$J67,0),0)</f>
        <v>0</v>
      </c>
      <c r="T67" s="282">
        <f>IFERROR(IF(INDEX(Tb_Activiteiten[#All],MATCH(SubsidieTabel!$A67,Tb_Activiteiten[[#All],[Subsidiabele_Activiteit]],0),MATCH(SubsidieTabel!T$1,Tb_Activiteiten[#Headers],0))=1,SubsidieTabel!$K67,0),0)</f>
        <v>0</v>
      </c>
      <c r="U67" s="282">
        <f>IFERROR(IF(INDEX(Tb_Activiteiten[#All],MATCH(SubsidieTabel!$A67,Tb_Activiteiten[[#All],[Subsidiabele_Activiteit]],0),MATCH(SubsidieTabel!U$1,Tb_Activiteiten[#Headers],0))=1,SubsidieTabel!$J67,0),0)</f>
        <v>0</v>
      </c>
      <c r="V67" s="282">
        <f>IFERROR(IF(INDEX(Tb_Activiteiten[#All],MATCH(SubsidieTabel!$A67,Tb_Activiteiten[[#All],[Subsidiabele_Activiteit]],0),MATCH(SubsidieTabel!V$1,Tb_Activiteiten[#Headers],0))=1,SubsidieTabel!$K67,0),0)</f>
        <v>0</v>
      </c>
      <c r="W67" s="64">
        <f>IFERROR(IF(INDEX(Tb_Activiteiten[#All],MATCH(SubsidieTabel!$A67,Tb_Activiteiten[[#All],[Subsidiabele_Activiteit]],0),MATCH(SubsidieTabel!Q$1,Tb_Activiteiten[#Headers],0))=1,H67,0),0)</f>
        <v>0</v>
      </c>
      <c r="X67" s="64">
        <f>IFERROR(IF(INDEX(Tb_Activiteiten[#All],MATCH(SubsidieTabel!$A67,Tb_Activiteiten[[#All],[Subsidiabele_Activiteit]],0),MATCH(SubsidieTabel!Q$1,Tb_Activiteiten[#Headers],0))=1,I67,0),0)</f>
        <v>0</v>
      </c>
      <c r="Y67" s="64">
        <f>IFERROR(IF(INDEX(Tb_Activiteiten[#All],MATCH(SubsidieTabel!$A67,Tb_Activiteiten[[#All],[Subsidiabele_Activiteit]],0),MATCH(SubsidieTabel!S$1,Tb_Activiteiten[#Headers],0))=1,H67,0),0)</f>
        <v>0</v>
      </c>
      <c r="Z67" s="64">
        <f>IFERROR(IF(INDEX(Tb_Activiteiten[#All],MATCH(SubsidieTabel!$A67,Tb_Activiteiten[[#All],[Subsidiabele_Activiteit]],0),MATCH(SubsidieTabel!S$1,Tb_Activiteiten[#Headers],0))=1,I67,0),0)</f>
        <v>0</v>
      </c>
      <c r="AA67" s="64">
        <f>IFERROR(IF(INDEX(Tb_Activiteiten[#All],MATCH(SubsidieTabel!$A67,Tb_Activiteiten[[#All],[Subsidiabele_Activiteit]],0),MATCH(SubsidieTabel!O$1,Tb_Activiteiten[#Headers],0))=1,$F67,0),0)</f>
        <v>0</v>
      </c>
      <c r="AB67" s="64">
        <f>IFERROR(IF(INDEX(Tb_Activiteiten[#All],MATCH(SubsidieTabel!$A67,Tb_Activiteiten[[#All],[Subsidiabele_Activiteit]],0),MATCH(SubsidieTabel!O$1,Tb_Activiteiten[#Headers],0))=1,$G67,0),0)</f>
        <v>0</v>
      </c>
    </row>
    <row r="68" spans="1:28" x14ac:dyDescent="0.25">
      <c r="A68" s="63"/>
      <c r="B68" s="63"/>
      <c r="C68" s="63" t="str">
        <f>IFERROR(VLOOKUP($B68,Tb_ProjectKosten[],4,0),"")</f>
        <v/>
      </c>
      <c r="D68" s="63" t="str" cm="1">
        <f t="array" ref="D68">IFERROR(INDEX(Tb_KostenOpties[],MATCH(B68,Tb_KostenOpties[KostenOptie],0),IFERROR(MATCH(Methode_Keuze,Tb_KostenOpties[#Headers],0),2)),"")</f>
        <v/>
      </c>
      <c r="E68" s="283">
        <f>IFERROR(VLOOKUP(B68,Tb_ProjectKosten[[#All],[KostenOmschrijving]:[Forfait_Percentage]],6,0),0)</f>
        <v>0</v>
      </c>
      <c r="F68" s="284">
        <f>SUMIFS('5. Kosten uitvoering project'!R:R,'5. Kosten uitvoering project'!E:E,SubsidieTabel!A68,'5. Kosten uitvoering project'!F:F,SubsidieTabel!B68)</f>
        <v>0</v>
      </c>
      <c r="G68" s="284">
        <f>SUMIFS('5. Kosten uitvoering project'!S:S,'5. Kosten uitvoering project'!E:E,SubsidieTabel!A68,'5. Kosten uitvoering project'!F:F,SubsidieTabel!B68)</f>
        <v>0</v>
      </c>
      <c r="H68" s="284">
        <f>SUMIFS('5. Kosten uitvoering project'!U:U,'5. Kosten uitvoering project'!E:E,SubsidieTabel!A68,'5. Kosten uitvoering project'!F:F,SubsidieTabel!B68)</f>
        <v>0</v>
      </c>
      <c r="I68" s="284">
        <f>SUMIFS('5. Kosten uitvoering project'!V:V,'5. Kosten uitvoering project'!E:E,SubsidieTabel!A68,'5. Kosten uitvoering project'!F:F,SubsidieTabel!B68)</f>
        <v>0</v>
      </c>
      <c r="J68" s="284">
        <f t="shared" si="9"/>
        <v>0</v>
      </c>
      <c r="K68" s="284">
        <f t="shared" si="10"/>
        <v>0</v>
      </c>
      <c r="L68" s="283" t="str">
        <f>IFERROR(VLOOKUP(A68,Lijsten!$AK:$AL,2,0),"")</f>
        <v/>
      </c>
      <c r="M68" s="284">
        <f t="shared" si="11"/>
        <v>0</v>
      </c>
      <c r="N68" s="284">
        <f t="shared" si="12"/>
        <v>0</v>
      </c>
      <c r="O68" s="284">
        <f>IFERROR(IF(INDEX(Tb_Activiteiten[#All],MATCH(SubsidieTabel!$A68,Tb_Activiteiten[[#All],[Subsidiabele_Activiteit]],0),MATCH(SubsidieTabel!O$1,Tb_Activiteiten[#Headers],0))=1,SubsidieTabel!$J68,0),0)</f>
        <v>0</v>
      </c>
      <c r="P68" s="284">
        <f>IFERROR(IF(INDEX(Tb_Activiteiten[#All],MATCH(SubsidieTabel!$A68,Tb_Activiteiten[[#All],[Subsidiabele_Activiteit]],0),MATCH(SubsidieTabel!P$1,Tb_Activiteiten[#Headers],0))=1,SubsidieTabel!$K68,0),0)</f>
        <v>0</v>
      </c>
      <c r="Q68" s="284">
        <f>IFERROR(IF(INDEX(Tb_Activiteiten[#All],MATCH(SubsidieTabel!$A68,Tb_Activiteiten[[#All],[Subsidiabele_Activiteit]],0),MATCH(SubsidieTabel!Q$1,Tb_Activiteiten[#Headers],0))=1,SubsidieTabel!$J68,0),0)</f>
        <v>0</v>
      </c>
      <c r="R68" s="284">
        <f>IFERROR(IF(INDEX(Tb_Activiteiten[#All],MATCH(SubsidieTabel!$A68,Tb_Activiteiten[[#All],[Subsidiabele_Activiteit]],0),MATCH(SubsidieTabel!R$1,Tb_Activiteiten[#Headers],0))=1,SubsidieTabel!$K68,0),0)</f>
        <v>0</v>
      </c>
      <c r="S68" s="284">
        <f>IFERROR(IF(INDEX(Tb_Activiteiten[#All],MATCH(SubsidieTabel!$A68,Tb_Activiteiten[[#All],[Subsidiabele_Activiteit]],0),MATCH(SubsidieTabel!S$1,Tb_Activiteiten[#Headers],0))=1,SubsidieTabel!$J68,0),0)</f>
        <v>0</v>
      </c>
      <c r="T68" s="284">
        <f>IFERROR(IF(INDEX(Tb_Activiteiten[#All],MATCH(SubsidieTabel!$A68,Tb_Activiteiten[[#All],[Subsidiabele_Activiteit]],0),MATCH(SubsidieTabel!T$1,Tb_Activiteiten[#Headers],0))=1,SubsidieTabel!$K68,0),0)</f>
        <v>0</v>
      </c>
      <c r="U68" s="284">
        <f>IFERROR(IF(INDEX(Tb_Activiteiten[#All],MATCH(SubsidieTabel!$A68,Tb_Activiteiten[[#All],[Subsidiabele_Activiteit]],0),MATCH(SubsidieTabel!U$1,Tb_Activiteiten[#Headers],0))=1,SubsidieTabel!$J68,0),0)</f>
        <v>0</v>
      </c>
      <c r="V68" s="284">
        <f>IFERROR(IF(INDEX(Tb_Activiteiten[#All],MATCH(SubsidieTabel!$A68,Tb_Activiteiten[[#All],[Subsidiabele_Activiteit]],0),MATCH(SubsidieTabel!V$1,Tb_Activiteiten[#Headers],0))=1,SubsidieTabel!$K68,0),0)</f>
        <v>0</v>
      </c>
      <c r="W68" s="369">
        <f>IFERROR(IF(INDEX(Tb_Activiteiten[#All],MATCH(SubsidieTabel!$A68,Tb_Activiteiten[[#All],[Subsidiabele_Activiteit]],0),MATCH(SubsidieTabel!Q$1,Tb_Activiteiten[#Headers],0))=1,H68,0),0)</f>
        <v>0</v>
      </c>
      <c r="X68" s="369">
        <f>IFERROR(IF(INDEX(Tb_Activiteiten[#All],MATCH(SubsidieTabel!$A68,Tb_Activiteiten[[#All],[Subsidiabele_Activiteit]],0),MATCH(SubsidieTabel!Q$1,Tb_Activiteiten[#Headers],0))=1,I68,0),0)</f>
        <v>0</v>
      </c>
      <c r="Y68" s="369">
        <f>IFERROR(IF(INDEX(Tb_Activiteiten[#All],MATCH(SubsidieTabel!$A68,Tb_Activiteiten[[#All],[Subsidiabele_Activiteit]],0),MATCH(SubsidieTabel!S$1,Tb_Activiteiten[#Headers],0))=1,H68,0),0)</f>
        <v>0</v>
      </c>
      <c r="Z68" s="369">
        <f>IFERROR(IF(INDEX(Tb_Activiteiten[#All],MATCH(SubsidieTabel!$A68,Tb_Activiteiten[[#All],[Subsidiabele_Activiteit]],0),MATCH(SubsidieTabel!S$1,Tb_Activiteiten[#Headers],0))=1,I68,0),0)</f>
        <v>0</v>
      </c>
      <c r="AA68" s="369">
        <f>IFERROR(IF(INDEX(Tb_Activiteiten[#All],MATCH(SubsidieTabel!$A68,Tb_Activiteiten[[#All],[Subsidiabele_Activiteit]],0),MATCH(SubsidieTabel!O$1,Tb_Activiteiten[#Headers],0))=1,$F68,0),0)</f>
        <v>0</v>
      </c>
      <c r="AB68" s="369">
        <f>IFERROR(IF(INDEX(Tb_Activiteiten[#All],MATCH(SubsidieTabel!$A68,Tb_Activiteiten[[#All],[Subsidiabele_Activiteit]],0),MATCH(SubsidieTabel!O$1,Tb_Activiteiten[#Headers],0))=1,$G68,0),0)</f>
        <v>0</v>
      </c>
    </row>
    <row r="69" spans="1:28" x14ac:dyDescent="0.25">
      <c r="A69" s="12"/>
      <c r="B69" s="12"/>
      <c r="C69" s="12" t="str">
        <f>IFERROR(VLOOKUP($B69,Tb_ProjectKosten[],4,0),"")</f>
        <v/>
      </c>
      <c r="D69" s="12" t="str" cm="1">
        <f t="array" ref="D69">IFERROR(INDEX(Tb_KostenOpties[],MATCH(B69,Tb_KostenOpties[KostenOptie],0),IFERROR(MATCH(Methode_Keuze,Tb_KostenOpties[#Headers],0),2)),"")</f>
        <v/>
      </c>
      <c r="E69" s="281">
        <f>IFERROR(VLOOKUP(B69,Tb_ProjectKosten[[#All],[KostenOmschrijving]:[Forfait_Percentage]],6,0),0)</f>
        <v>0</v>
      </c>
      <c r="F69" s="282">
        <f>SUMIFS('5. Kosten uitvoering project'!R:R,'5. Kosten uitvoering project'!E:E,SubsidieTabel!A69,'5. Kosten uitvoering project'!F:F,SubsidieTabel!B69)</f>
        <v>0</v>
      </c>
      <c r="G69" s="282">
        <f>SUMIFS('5. Kosten uitvoering project'!S:S,'5. Kosten uitvoering project'!E:E,SubsidieTabel!A69,'5. Kosten uitvoering project'!F:F,SubsidieTabel!B69)</f>
        <v>0</v>
      </c>
      <c r="H69" s="282">
        <f>SUMIFS('5. Kosten uitvoering project'!U:U,'5. Kosten uitvoering project'!E:E,SubsidieTabel!A69,'5. Kosten uitvoering project'!F:F,SubsidieTabel!B69)</f>
        <v>0</v>
      </c>
      <c r="I69" s="282">
        <f>SUMIFS('5. Kosten uitvoering project'!V:V,'5. Kosten uitvoering project'!E:E,SubsidieTabel!A69,'5. Kosten uitvoering project'!F:F,SubsidieTabel!B69)</f>
        <v>0</v>
      </c>
      <c r="J69" s="282">
        <f t="shared" si="9"/>
        <v>0</v>
      </c>
      <c r="K69" s="282">
        <f t="shared" si="10"/>
        <v>0</v>
      </c>
      <c r="L69" s="281" t="str">
        <f>IFERROR(VLOOKUP(A69,Lijsten!$AK:$AL,2,0),"")</f>
        <v/>
      </c>
      <c r="M69" s="282">
        <f t="shared" si="11"/>
        <v>0</v>
      </c>
      <c r="N69" s="282">
        <f t="shared" si="12"/>
        <v>0</v>
      </c>
      <c r="O69" s="282">
        <f>IFERROR(IF(INDEX(Tb_Activiteiten[#All],MATCH(SubsidieTabel!$A69,Tb_Activiteiten[[#All],[Subsidiabele_Activiteit]],0),MATCH(SubsidieTabel!O$1,Tb_Activiteiten[#Headers],0))=1,SubsidieTabel!$J69,0),0)</f>
        <v>0</v>
      </c>
      <c r="P69" s="282">
        <f>IFERROR(IF(INDEX(Tb_Activiteiten[#All],MATCH(SubsidieTabel!$A69,Tb_Activiteiten[[#All],[Subsidiabele_Activiteit]],0),MATCH(SubsidieTabel!P$1,Tb_Activiteiten[#Headers],0))=1,SubsidieTabel!$K69,0),0)</f>
        <v>0</v>
      </c>
      <c r="Q69" s="282">
        <f>IFERROR(IF(INDEX(Tb_Activiteiten[#All],MATCH(SubsidieTabel!$A69,Tb_Activiteiten[[#All],[Subsidiabele_Activiteit]],0),MATCH(SubsidieTabel!Q$1,Tb_Activiteiten[#Headers],0))=1,SubsidieTabel!$J69,0),0)</f>
        <v>0</v>
      </c>
      <c r="R69" s="282">
        <f>IFERROR(IF(INDEX(Tb_Activiteiten[#All],MATCH(SubsidieTabel!$A69,Tb_Activiteiten[[#All],[Subsidiabele_Activiteit]],0),MATCH(SubsidieTabel!R$1,Tb_Activiteiten[#Headers],0))=1,SubsidieTabel!$K69,0),0)</f>
        <v>0</v>
      </c>
      <c r="S69" s="282">
        <f>IFERROR(IF(INDEX(Tb_Activiteiten[#All],MATCH(SubsidieTabel!$A69,Tb_Activiteiten[[#All],[Subsidiabele_Activiteit]],0),MATCH(SubsidieTabel!S$1,Tb_Activiteiten[#Headers],0))=1,SubsidieTabel!$J69,0),0)</f>
        <v>0</v>
      </c>
      <c r="T69" s="282">
        <f>IFERROR(IF(INDEX(Tb_Activiteiten[#All],MATCH(SubsidieTabel!$A69,Tb_Activiteiten[[#All],[Subsidiabele_Activiteit]],0),MATCH(SubsidieTabel!T$1,Tb_Activiteiten[#Headers],0))=1,SubsidieTabel!$K69,0),0)</f>
        <v>0</v>
      </c>
      <c r="U69" s="282">
        <f>IFERROR(IF(INDEX(Tb_Activiteiten[#All],MATCH(SubsidieTabel!$A69,Tb_Activiteiten[[#All],[Subsidiabele_Activiteit]],0),MATCH(SubsidieTabel!U$1,Tb_Activiteiten[#Headers],0))=1,SubsidieTabel!$J69,0),0)</f>
        <v>0</v>
      </c>
      <c r="V69" s="282">
        <f>IFERROR(IF(INDEX(Tb_Activiteiten[#All],MATCH(SubsidieTabel!$A69,Tb_Activiteiten[[#All],[Subsidiabele_Activiteit]],0),MATCH(SubsidieTabel!V$1,Tb_Activiteiten[#Headers],0))=1,SubsidieTabel!$K69,0),0)</f>
        <v>0</v>
      </c>
      <c r="W69" s="64">
        <f>IFERROR(IF(INDEX(Tb_Activiteiten[#All],MATCH(SubsidieTabel!$A69,Tb_Activiteiten[[#All],[Subsidiabele_Activiteit]],0),MATCH(SubsidieTabel!Q$1,Tb_Activiteiten[#Headers],0))=1,H69,0),0)</f>
        <v>0</v>
      </c>
      <c r="X69" s="64">
        <f>IFERROR(IF(INDEX(Tb_Activiteiten[#All],MATCH(SubsidieTabel!$A69,Tb_Activiteiten[[#All],[Subsidiabele_Activiteit]],0),MATCH(SubsidieTabel!Q$1,Tb_Activiteiten[#Headers],0))=1,I69,0),0)</f>
        <v>0</v>
      </c>
      <c r="Y69" s="64">
        <f>IFERROR(IF(INDEX(Tb_Activiteiten[#All],MATCH(SubsidieTabel!$A69,Tb_Activiteiten[[#All],[Subsidiabele_Activiteit]],0),MATCH(SubsidieTabel!S$1,Tb_Activiteiten[#Headers],0))=1,H69,0),0)</f>
        <v>0</v>
      </c>
      <c r="Z69" s="64">
        <f>IFERROR(IF(INDEX(Tb_Activiteiten[#All],MATCH(SubsidieTabel!$A69,Tb_Activiteiten[[#All],[Subsidiabele_Activiteit]],0),MATCH(SubsidieTabel!S$1,Tb_Activiteiten[#Headers],0))=1,I69,0),0)</f>
        <v>0</v>
      </c>
      <c r="AA69" s="64">
        <f>IFERROR(IF(INDEX(Tb_Activiteiten[#All],MATCH(SubsidieTabel!$A69,Tb_Activiteiten[[#All],[Subsidiabele_Activiteit]],0),MATCH(SubsidieTabel!O$1,Tb_Activiteiten[#Headers],0))=1,$F69,0),0)</f>
        <v>0</v>
      </c>
      <c r="AB69" s="64">
        <f>IFERROR(IF(INDEX(Tb_Activiteiten[#All],MATCH(SubsidieTabel!$A69,Tb_Activiteiten[[#All],[Subsidiabele_Activiteit]],0),MATCH(SubsidieTabel!O$1,Tb_Activiteiten[#Headers],0))=1,$G69,0),0)</f>
        <v>0</v>
      </c>
    </row>
    <row r="70" spans="1:28" x14ac:dyDescent="0.25">
      <c r="A70" s="63"/>
      <c r="B70" s="63"/>
      <c r="C70" s="63" t="str">
        <f>IFERROR(VLOOKUP($B70,Tb_ProjectKosten[],4,0),"")</f>
        <v/>
      </c>
      <c r="D70" s="63" t="str" cm="1">
        <f t="array" ref="D70">IFERROR(INDEX(Tb_KostenOpties[],MATCH(B70,Tb_KostenOpties[KostenOptie],0),IFERROR(MATCH(Methode_Keuze,Tb_KostenOpties[#Headers],0),2)),"")</f>
        <v/>
      </c>
      <c r="E70" s="283">
        <f>IFERROR(VLOOKUP(B70,Tb_ProjectKosten[[#All],[KostenOmschrijving]:[Forfait_Percentage]],6,0),0)</f>
        <v>0</v>
      </c>
      <c r="F70" s="284">
        <f>SUMIFS('5. Kosten uitvoering project'!R:R,'5. Kosten uitvoering project'!E:E,SubsidieTabel!A70,'5. Kosten uitvoering project'!F:F,SubsidieTabel!B70)</f>
        <v>0</v>
      </c>
      <c r="G70" s="284">
        <f>SUMIFS('5. Kosten uitvoering project'!S:S,'5. Kosten uitvoering project'!E:E,SubsidieTabel!A70,'5. Kosten uitvoering project'!F:F,SubsidieTabel!B70)</f>
        <v>0</v>
      </c>
      <c r="H70" s="284">
        <f>SUMIFS('5. Kosten uitvoering project'!U:U,'5. Kosten uitvoering project'!E:E,SubsidieTabel!A70,'5. Kosten uitvoering project'!F:F,SubsidieTabel!B70)</f>
        <v>0</v>
      </c>
      <c r="I70" s="284">
        <f>SUMIFS('5. Kosten uitvoering project'!V:V,'5. Kosten uitvoering project'!E:E,SubsidieTabel!A70,'5. Kosten uitvoering project'!F:F,SubsidieTabel!B70)</f>
        <v>0</v>
      </c>
      <c r="J70" s="284">
        <f t="shared" si="9"/>
        <v>0</v>
      </c>
      <c r="K70" s="284">
        <f t="shared" si="10"/>
        <v>0</v>
      </c>
      <c r="L70" s="283" t="str">
        <f>IFERROR(VLOOKUP(A70,Lijsten!$AK:$AL,2,0),"")</f>
        <v/>
      </c>
      <c r="M70" s="284">
        <f t="shared" si="11"/>
        <v>0</v>
      </c>
      <c r="N70" s="284">
        <f t="shared" si="12"/>
        <v>0</v>
      </c>
      <c r="O70" s="284">
        <f>IFERROR(IF(INDEX(Tb_Activiteiten[#All],MATCH(SubsidieTabel!$A70,Tb_Activiteiten[[#All],[Subsidiabele_Activiteit]],0),MATCH(SubsidieTabel!O$1,Tb_Activiteiten[#Headers],0))=1,SubsidieTabel!$J70,0),0)</f>
        <v>0</v>
      </c>
      <c r="P70" s="284">
        <f>IFERROR(IF(INDEX(Tb_Activiteiten[#All],MATCH(SubsidieTabel!$A70,Tb_Activiteiten[[#All],[Subsidiabele_Activiteit]],0),MATCH(SubsidieTabel!P$1,Tb_Activiteiten[#Headers],0))=1,SubsidieTabel!$K70,0),0)</f>
        <v>0</v>
      </c>
      <c r="Q70" s="284">
        <f>IFERROR(IF(INDEX(Tb_Activiteiten[#All],MATCH(SubsidieTabel!$A70,Tb_Activiteiten[[#All],[Subsidiabele_Activiteit]],0),MATCH(SubsidieTabel!Q$1,Tb_Activiteiten[#Headers],0))=1,SubsidieTabel!$J70,0),0)</f>
        <v>0</v>
      </c>
      <c r="R70" s="284">
        <f>IFERROR(IF(INDEX(Tb_Activiteiten[#All],MATCH(SubsidieTabel!$A70,Tb_Activiteiten[[#All],[Subsidiabele_Activiteit]],0),MATCH(SubsidieTabel!R$1,Tb_Activiteiten[#Headers],0))=1,SubsidieTabel!$K70,0),0)</f>
        <v>0</v>
      </c>
      <c r="S70" s="284">
        <f>IFERROR(IF(INDEX(Tb_Activiteiten[#All],MATCH(SubsidieTabel!$A70,Tb_Activiteiten[[#All],[Subsidiabele_Activiteit]],0),MATCH(SubsidieTabel!S$1,Tb_Activiteiten[#Headers],0))=1,SubsidieTabel!$J70,0),0)</f>
        <v>0</v>
      </c>
      <c r="T70" s="284">
        <f>IFERROR(IF(INDEX(Tb_Activiteiten[#All],MATCH(SubsidieTabel!$A70,Tb_Activiteiten[[#All],[Subsidiabele_Activiteit]],0),MATCH(SubsidieTabel!T$1,Tb_Activiteiten[#Headers],0))=1,SubsidieTabel!$K70,0),0)</f>
        <v>0</v>
      </c>
      <c r="U70" s="284">
        <f>IFERROR(IF(INDEX(Tb_Activiteiten[#All],MATCH(SubsidieTabel!$A70,Tb_Activiteiten[[#All],[Subsidiabele_Activiteit]],0),MATCH(SubsidieTabel!U$1,Tb_Activiteiten[#Headers],0))=1,SubsidieTabel!$J70,0),0)</f>
        <v>0</v>
      </c>
      <c r="V70" s="284">
        <f>IFERROR(IF(INDEX(Tb_Activiteiten[#All],MATCH(SubsidieTabel!$A70,Tb_Activiteiten[[#All],[Subsidiabele_Activiteit]],0),MATCH(SubsidieTabel!V$1,Tb_Activiteiten[#Headers],0))=1,SubsidieTabel!$K70,0),0)</f>
        <v>0</v>
      </c>
      <c r="W70" s="369">
        <f>IFERROR(IF(INDEX(Tb_Activiteiten[#All],MATCH(SubsidieTabel!$A70,Tb_Activiteiten[[#All],[Subsidiabele_Activiteit]],0),MATCH(SubsidieTabel!Q$1,Tb_Activiteiten[#Headers],0))=1,H70,0),0)</f>
        <v>0</v>
      </c>
      <c r="X70" s="369">
        <f>IFERROR(IF(INDEX(Tb_Activiteiten[#All],MATCH(SubsidieTabel!$A70,Tb_Activiteiten[[#All],[Subsidiabele_Activiteit]],0),MATCH(SubsidieTabel!Q$1,Tb_Activiteiten[#Headers],0))=1,I70,0),0)</f>
        <v>0</v>
      </c>
      <c r="Y70" s="369">
        <f>IFERROR(IF(INDEX(Tb_Activiteiten[#All],MATCH(SubsidieTabel!$A70,Tb_Activiteiten[[#All],[Subsidiabele_Activiteit]],0),MATCH(SubsidieTabel!S$1,Tb_Activiteiten[#Headers],0))=1,H70,0),0)</f>
        <v>0</v>
      </c>
      <c r="Z70" s="369">
        <f>IFERROR(IF(INDEX(Tb_Activiteiten[#All],MATCH(SubsidieTabel!$A70,Tb_Activiteiten[[#All],[Subsidiabele_Activiteit]],0),MATCH(SubsidieTabel!S$1,Tb_Activiteiten[#Headers],0))=1,I70,0),0)</f>
        <v>0</v>
      </c>
      <c r="AA70" s="369">
        <f>IFERROR(IF(INDEX(Tb_Activiteiten[#All],MATCH(SubsidieTabel!$A70,Tb_Activiteiten[[#All],[Subsidiabele_Activiteit]],0),MATCH(SubsidieTabel!O$1,Tb_Activiteiten[#Headers],0))=1,$F70,0),0)</f>
        <v>0</v>
      </c>
      <c r="AB70" s="369">
        <f>IFERROR(IF(INDEX(Tb_Activiteiten[#All],MATCH(SubsidieTabel!$A70,Tb_Activiteiten[[#All],[Subsidiabele_Activiteit]],0),MATCH(SubsidieTabel!O$1,Tb_Activiteiten[#Headers],0))=1,$G70,0),0)</f>
        <v>0</v>
      </c>
    </row>
    <row r="71" spans="1:28" x14ac:dyDescent="0.25">
      <c r="A71" s="12"/>
      <c r="B71" s="12"/>
      <c r="C71" s="12" t="str">
        <f>IFERROR(VLOOKUP($B71,Tb_ProjectKosten[],4,0),"")</f>
        <v/>
      </c>
      <c r="D71" s="12" t="str" cm="1">
        <f t="array" ref="D71">IFERROR(INDEX(Tb_KostenOpties[],MATCH(B71,Tb_KostenOpties[KostenOptie],0),IFERROR(MATCH(Methode_Keuze,Tb_KostenOpties[#Headers],0),2)),"")</f>
        <v/>
      </c>
      <c r="E71" s="281">
        <f>IFERROR(VLOOKUP(B71,Tb_ProjectKosten[[#All],[KostenOmschrijving]:[Forfait_Percentage]],6,0),0)</f>
        <v>0</v>
      </c>
      <c r="F71" s="282">
        <f>SUMIFS('5. Kosten uitvoering project'!R:R,'5. Kosten uitvoering project'!E:E,SubsidieTabel!A71,'5. Kosten uitvoering project'!F:F,SubsidieTabel!B71)</f>
        <v>0</v>
      </c>
      <c r="G71" s="282">
        <f>SUMIFS('5. Kosten uitvoering project'!S:S,'5. Kosten uitvoering project'!E:E,SubsidieTabel!A71,'5. Kosten uitvoering project'!F:F,SubsidieTabel!B71)</f>
        <v>0</v>
      </c>
      <c r="H71" s="282">
        <f>SUMIFS('5. Kosten uitvoering project'!U:U,'5. Kosten uitvoering project'!E:E,SubsidieTabel!A71,'5. Kosten uitvoering project'!F:F,SubsidieTabel!B71)</f>
        <v>0</v>
      </c>
      <c r="I71" s="282">
        <f>SUMIFS('5. Kosten uitvoering project'!V:V,'5. Kosten uitvoering project'!E:E,SubsidieTabel!A71,'5. Kosten uitvoering project'!F:F,SubsidieTabel!B71)</f>
        <v>0</v>
      </c>
      <c r="J71" s="282">
        <f t="shared" si="9"/>
        <v>0</v>
      </c>
      <c r="K71" s="282">
        <f t="shared" si="10"/>
        <v>0</v>
      </c>
      <c r="L71" s="281" t="str">
        <f>IFERROR(VLOOKUP(A71,Lijsten!$AK:$AL,2,0),"")</f>
        <v/>
      </c>
      <c r="M71" s="282">
        <f t="shared" si="11"/>
        <v>0</v>
      </c>
      <c r="N71" s="282">
        <f t="shared" si="12"/>
        <v>0</v>
      </c>
      <c r="O71" s="282">
        <f>IFERROR(IF(INDEX(Tb_Activiteiten[#All],MATCH(SubsidieTabel!$A71,Tb_Activiteiten[[#All],[Subsidiabele_Activiteit]],0),MATCH(SubsidieTabel!O$1,Tb_Activiteiten[#Headers],0))=1,SubsidieTabel!$J71,0),0)</f>
        <v>0</v>
      </c>
      <c r="P71" s="282">
        <f>IFERROR(IF(INDEX(Tb_Activiteiten[#All],MATCH(SubsidieTabel!$A71,Tb_Activiteiten[[#All],[Subsidiabele_Activiteit]],0),MATCH(SubsidieTabel!P$1,Tb_Activiteiten[#Headers],0))=1,SubsidieTabel!$K71,0),0)</f>
        <v>0</v>
      </c>
      <c r="Q71" s="282">
        <f>IFERROR(IF(INDEX(Tb_Activiteiten[#All],MATCH(SubsidieTabel!$A71,Tb_Activiteiten[[#All],[Subsidiabele_Activiteit]],0),MATCH(SubsidieTabel!Q$1,Tb_Activiteiten[#Headers],0))=1,SubsidieTabel!$J71,0),0)</f>
        <v>0</v>
      </c>
      <c r="R71" s="282">
        <f>IFERROR(IF(INDEX(Tb_Activiteiten[#All],MATCH(SubsidieTabel!$A71,Tb_Activiteiten[[#All],[Subsidiabele_Activiteit]],0),MATCH(SubsidieTabel!R$1,Tb_Activiteiten[#Headers],0))=1,SubsidieTabel!$K71,0),0)</f>
        <v>0</v>
      </c>
      <c r="S71" s="282">
        <f>IFERROR(IF(INDEX(Tb_Activiteiten[#All],MATCH(SubsidieTabel!$A71,Tb_Activiteiten[[#All],[Subsidiabele_Activiteit]],0),MATCH(SubsidieTabel!S$1,Tb_Activiteiten[#Headers],0))=1,SubsidieTabel!$J71,0),0)</f>
        <v>0</v>
      </c>
      <c r="T71" s="282">
        <f>IFERROR(IF(INDEX(Tb_Activiteiten[#All],MATCH(SubsidieTabel!$A71,Tb_Activiteiten[[#All],[Subsidiabele_Activiteit]],0),MATCH(SubsidieTabel!T$1,Tb_Activiteiten[#Headers],0))=1,SubsidieTabel!$K71,0),0)</f>
        <v>0</v>
      </c>
      <c r="U71" s="282">
        <f>IFERROR(IF(INDEX(Tb_Activiteiten[#All],MATCH(SubsidieTabel!$A71,Tb_Activiteiten[[#All],[Subsidiabele_Activiteit]],0),MATCH(SubsidieTabel!U$1,Tb_Activiteiten[#Headers],0))=1,SubsidieTabel!$J71,0),0)</f>
        <v>0</v>
      </c>
      <c r="V71" s="282">
        <f>IFERROR(IF(INDEX(Tb_Activiteiten[#All],MATCH(SubsidieTabel!$A71,Tb_Activiteiten[[#All],[Subsidiabele_Activiteit]],0),MATCH(SubsidieTabel!V$1,Tb_Activiteiten[#Headers],0))=1,SubsidieTabel!$K71,0),0)</f>
        <v>0</v>
      </c>
      <c r="W71" s="64">
        <f>IFERROR(IF(INDEX(Tb_Activiteiten[#All],MATCH(SubsidieTabel!$A71,Tb_Activiteiten[[#All],[Subsidiabele_Activiteit]],0),MATCH(SubsidieTabel!Q$1,Tb_Activiteiten[#Headers],0))=1,H71,0),0)</f>
        <v>0</v>
      </c>
      <c r="X71" s="64">
        <f>IFERROR(IF(INDEX(Tb_Activiteiten[#All],MATCH(SubsidieTabel!$A71,Tb_Activiteiten[[#All],[Subsidiabele_Activiteit]],0),MATCH(SubsidieTabel!Q$1,Tb_Activiteiten[#Headers],0))=1,I71,0),0)</f>
        <v>0</v>
      </c>
      <c r="Y71" s="64">
        <f>IFERROR(IF(INDEX(Tb_Activiteiten[#All],MATCH(SubsidieTabel!$A71,Tb_Activiteiten[[#All],[Subsidiabele_Activiteit]],0),MATCH(SubsidieTabel!S$1,Tb_Activiteiten[#Headers],0))=1,H71,0),0)</f>
        <v>0</v>
      </c>
      <c r="Z71" s="64">
        <f>IFERROR(IF(INDEX(Tb_Activiteiten[#All],MATCH(SubsidieTabel!$A71,Tb_Activiteiten[[#All],[Subsidiabele_Activiteit]],0),MATCH(SubsidieTabel!S$1,Tb_Activiteiten[#Headers],0))=1,I71,0),0)</f>
        <v>0</v>
      </c>
      <c r="AA71" s="64">
        <f>IFERROR(IF(INDEX(Tb_Activiteiten[#All],MATCH(SubsidieTabel!$A71,Tb_Activiteiten[[#All],[Subsidiabele_Activiteit]],0),MATCH(SubsidieTabel!O$1,Tb_Activiteiten[#Headers],0))=1,$F71,0),0)</f>
        <v>0</v>
      </c>
      <c r="AB71" s="64">
        <f>IFERROR(IF(INDEX(Tb_Activiteiten[#All],MATCH(SubsidieTabel!$A71,Tb_Activiteiten[[#All],[Subsidiabele_Activiteit]],0),MATCH(SubsidieTabel!O$1,Tb_Activiteiten[#Headers],0))=1,$G71,0),0)</f>
        <v>0</v>
      </c>
    </row>
    <row r="72" spans="1:28" x14ac:dyDescent="0.25">
      <c r="A72" s="63"/>
      <c r="B72" s="63"/>
      <c r="C72" s="63" t="str">
        <f>IFERROR(VLOOKUP($B72,Tb_ProjectKosten[],4,0),"")</f>
        <v/>
      </c>
      <c r="D72" s="63" t="str" cm="1">
        <f t="array" ref="D72">IFERROR(INDEX(Tb_KostenOpties[],MATCH(B72,Tb_KostenOpties[KostenOptie],0),IFERROR(MATCH(Methode_Keuze,Tb_KostenOpties[#Headers],0),2)),"")</f>
        <v/>
      </c>
      <c r="E72" s="283">
        <f>IFERROR(VLOOKUP(B72,Tb_ProjectKosten[[#All],[KostenOmschrijving]:[Forfait_Percentage]],6,0),0)</f>
        <v>0</v>
      </c>
      <c r="F72" s="284">
        <f>SUMIFS('5. Kosten uitvoering project'!R:R,'5. Kosten uitvoering project'!E:E,SubsidieTabel!A72,'5. Kosten uitvoering project'!F:F,SubsidieTabel!B72)</f>
        <v>0</v>
      </c>
      <c r="G72" s="284">
        <f>SUMIFS('5. Kosten uitvoering project'!S:S,'5. Kosten uitvoering project'!E:E,SubsidieTabel!A72,'5. Kosten uitvoering project'!F:F,SubsidieTabel!B72)</f>
        <v>0</v>
      </c>
      <c r="H72" s="284">
        <f>SUMIFS('5. Kosten uitvoering project'!U:U,'5. Kosten uitvoering project'!E:E,SubsidieTabel!A72,'5. Kosten uitvoering project'!F:F,SubsidieTabel!B72)</f>
        <v>0</v>
      </c>
      <c r="I72" s="284">
        <f>SUMIFS('5. Kosten uitvoering project'!V:V,'5. Kosten uitvoering project'!E:E,SubsidieTabel!A72,'5. Kosten uitvoering project'!F:F,SubsidieTabel!B72)</f>
        <v>0</v>
      </c>
      <c r="J72" s="284">
        <f t="shared" si="9"/>
        <v>0</v>
      </c>
      <c r="K72" s="284">
        <f t="shared" si="10"/>
        <v>0</v>
      </c>
      <c r="L72" s="283" t="str">
        <f>IFERROR(VLOOKUP(A72,Lijsten!$AK:$AL,2,0),"")</f>
        <v/>
      </c>
      <c r="M72" s="284">
        <f t="shared" si="11"/>
        <v>0</v>
      </c>
      <c r="N72" s="284">
        <f t="shared" si="12"/>
        <v>0</v>
      </c>
      <c r="O72" s="284">
        <f>IFERROR(IF(INDEX(Tb_Activiteiten[#All],MATCH(SubsidieTabel!$A72,Tb_Activiteiten[[#All],[Subsidiabele_Activiteit]],0),MATCH(SubsidieTabel!O$1,Tb_Activiteiten[#Headers],0))=1,SubsidieTabel!$J72,0),0)</f>
        <v>0</v>
      </c>
      <c r="P72" s="284">
        <f>IFERROR(IF(INDEX(Tb_Activiteiten[#All],MATCH(SubsidieTabel!$A72,Tb_Activiteiten[[#All],[Subsidiabele_Activiteit]],0),MATCH(SubsidieTabel!P$1,Tb_Activiteiten[#Headers],0))=1,SubsidieTabel!$K72,0),0)</f>
        <v>0</v>
      </c>
      <c r="Q72" s="284">
        <f>IFERROR(IF(INDEX(Tb_Activiteiten[#All],MATCH(SubsidieTabel!$A72,Tb_Activiteiten[[#All],[Subsidiabele_Activiteit]],0),MATCH(SubsidieTabel!Q$1,Tb_Activiteiten[#Headers],0))=1,SubsidieTabel!$J72,0),0)</f>
        <v>0</v>
      </c>
      <c r="R72" s="284">
        <f>IFERROR(IF(INDEX(Tb_Activiteiten[#All],MATCH(SubsidieTabel!$A72,Tb_Activiteiten[[#All],[Subsidiabele_Activiteit]],0),MATCH(SubsidieTabel!R$1,Tb_Activiteiten[#Headers],0))=1,SubsidieTabel!$K72,0),0)</f>
        <v>0</v>
      </c>
      <c r="S72" s="284">
        <f>IFERROR(IF(INDEX(Tb_Activiteiten[#All],MATCH(SubsidieTabel!$A72,Tb_Activiteiten[[#All],[Subsidiabele_Activiteit]],0),MATCH(SubsidieTabel!S$1,Tb_Activiteiten[#Headers],0))=1,SubsidieTabel!$J72,0),0)</f>
        <v>0</v>
      </c>
      <c r="T72" s="284">
        <f>IFERROR(IF(INDEX(Tb_Activiteiten[#All],MATCH(SubsidieTabel!$A72,Tb_Activiteiten[[#All],[Subsidiabele_Activiteit]],0),MATCH(SubsidieTabel!T$1,Tb_Activiteiten[#Headers],0))=1,SubsidieTabel!$K72,0),0)</f>
        <v>0</v>
      </c>
      <c r="U72" s="284">
        <f>IFERROR(IF(INDEX(Tb_Activiteiten[#All],MATCH(SubsidieTabel!$A72,Tb_Activiteiten[[#All],[Subsidiabele_Activiteit]],0),MATCH(SubsidieTabel!U$1,Tb_Activiteiten[#Headers],0))=1,SubsidieTabel!$J72,0),0)</f>
        <v>0</v>
      </c>
      <c r="V72" s="284">
        <f>IFERROR(IF(INDEX(Tb_Activiteiten[#All],MATCH(SubsidieTabel!$A72,Tb_Activiteiten[[#All],[Subsidiabele_Activiteit]],0),MATCH(SubsidieTabel!V$1,Tb_Activiteiten[#Headers],0))=1,SubsidieTabel!$K72,0),0)</f>
        <v>0</v>
      </c>
      <c r="W72" s="369">
        <f>IFERROR(IF(INDEX(Tb_Activiteiten[#All],MATCH(SubsidieTabel!$A72,Tb_Activiteiten[[#All],[Subsidiabele_Activiteit]],0),MATCH(SubsidieTabel!Q$1,Tb_Activiteiten[#Headers],0))=1,H72,0),0)</f>
        <v>0</v>
      </c>
      <c r="X72" s="369">
        <f>IFERROR(IF(INDEX(Tb_Activiteiten[#All],MATCH(SubsidieTabel!$A72,Tb_Activiteiten[[#All],[Subsidiabele_Activiteit]],0),MATCH(SubsidieTabel!Q$1,Tb_Activiteiten[#Headers],0))=1,I72,0),0)</f>
        <v>0</v>
      </c>
      <c r="Y72" s="369">
        <f>IFERROR(IF(INDEX(Tb_Activiteiten[#All],MATCH(SubsidieTabel!$A72,Tb_Activiteiten[[#All],[Subsidiabele_Activiteit]],0),MATCH(SubsidieTabel!S$1,Tb_Activiteiten[#Headers],0))=1,H72,0),0)</f>
        <v>0</v>
      </c>
      <c r="Z72" s="369">
        <f>IFERROR(IF(INDEX(Tb_Activiteiten[#All],MATCH(SubsidieTabel!$A72,Tb_Activiteiten[[#All],[Subsidiabele_Activiteit]],0),MATCH(SubsidieTabel!S$1,Tb_Activiteiten[#Headers],0))=1,I72,0),0)</f>
        <v>0</v>
      </c>
      <c r="AA72" s="369">
        <f>IFERROR(IF(INDEX(Tb_Activiteiten[#All],MATCH(SubsidieTabel!$A72,Tb_Activiteiten[[#All],[Subsidiabele_Activiteit]],0),MATCH(SubsidieTabel!O$1,Tb_Activiteiten[#Headers],0))=1,$F72,0),0)</f>
        <v>0</v>
      </c>
      <c r="AB72" s="369">
        <f>IFERROR(IF(INDEX(Tb_Activiteiten[#All],MATCH(SubsidieTabel!$A72,Tb_Activiteiten[[#All],[Subsidiabele_Activiteit]],0),MATCH(SubsidieTabel!O$1,Tb_Activiteiten[#Headers],0))=1,$G72,0),0)</f>
        <v>0</v>
      </c>
    </row>
    <row r="73" spans="1:28" x14ac:dyDescent="0.25">
      <c r="A73" s="12"/>
      <c r="B73" s="12"/>
      <c r="C73" s="12" t="str">
        <f>IFERROR(VLOOKUP($B73,Tb_ProjectKosten[],4,0),"")</f>
        <v/>
      </c>
      <c r="D73" s="12" t="str" cm="1">
        <f t="array" ref="D73">IFERROR(INDEX(Tb_KostenOpties[],MATCH(B73,Tb_KostenOpties[KostenOptie],0),IFERROR(MATCH(Methode_Keuze,Tb_KostenOpties[#Headers],0),2)),"")</f>
        <v/>
      </c>
      <c r="E73" s="281">
        <f>IFERROR(VLOOKUP(B73,Tb_ProjectKosten[[#All],[KostenOmschrijving]:[Forfait_Percentage]],6,0),0)</f>
        <v>0</v>
      </c>
      <c r="F73" s="282">
        <f>SUMIFS('5. Kosten uitvoering project'!R:R,'5. Kosten uitvoering project'!E:E,SubsidieTabel!A73,'5. Kosten uitvoering project'!F:F,SubsidieTabel!B73)</f>
        <v>0</v>
      </c>
      <c r="G73" s="282">
        <f>SUMIFS('5. Kosten uitvoering project'!S:S,'5. Kosten uitvoering project'!E:E,SubsidieTabel!A73,'5. Kosten uitvoering project'!F:F,SubsidieTabel!B73)</f>
        <v>0</v>
      </c>
      <c r="H73" s="282">
        <f>SUMIFS('5. Kosten uitvoering project'!U:U,'5. Kosten uitvoering project'!E:E,SubsidieTabel!A73,'5. Kosten uitvoering project'!F:F,SubsidieTabel!B73)</f>
        <v>0</v>
      </c>
      <c r="I73" s="282">
        <f>SUMIFS('5. Kosten uitvoering project'!V:V,'5. Kosten uitvoering project'!E:E,SubsidieTabel!A73,'5. Kosten uitvoering project'!F:F,SubsidieTabel!B73)</f>
        <v>0</v>
      </c>
      <c r="J73" s="282">
        <f t="shared" si="9"/>
        <v>0</v>
      </c>
      <c r="K73" s="282">
        <f t="shared" si="10"/>
        <v>0</v>
      </c>
      <c r="L73" s="281" t="str">
        <f>IFERROR(VLOOKUP(A73,Lijsten!$AK:$AL,2,0),"")</f>
        <v/>
      </c>
      <c r="M73" s="282">
        <f t="shared" si="11"/>
        <v>0</v>
      </c>
      <c r="N73" s="282">
        <f t="shared" si="12"/>
        <v>0</v>
      </c>
      <c r="O73" s="282">
        <f>IFERROR(IF(INDEX(Tb_Activiteiten[#All],MATCH(SubsidieTabel!$A73,Tb_Activiteiten[[#All],[Subsidiabele_Activiteit]],0),MATCH(SubsidieTabel!O$1,Tb_Activiteiten[#Headers],0))=1,SubsidieTabel!$J73,0),0)</f>
        <v>0</v>
      </c>
      <c r="P73" s="282">
        <f>IFERROR(IF(INDEX(Tb_Activiteiten[#All],MATCH(SubsidieTabel!$A73,Tb_Activiteiten[[#All],[Subsidiabele_Activiteit]],0),MATCH(SubsidieTabel!P$1,Tb_Activiteiten[#Headers],0))=1,SubsidieTabel!$K73,0),0)</f>
        <v>0</v>
      </c>
      <c r="Q73" s="282">
        <f>IFERROR(IF(INDEX(Tb_Activiteiten[#All],MATCH(SubsidieTabel!$A73,Tb_Activiteiten[[#All],[Subsidiabele_Activiteit]],0),MATCH(SubsidieTabel!Q$1,Tb_Activiteiten[#Headers],0))=1,SubsidieTabel!$J73,0),0)</f>
        <v>0</v>
      </c>
      <c r="R73" s="282">
        <f>IFERROR(IF(INDEX(Tb_Activiteiten[#All],MATCH(SubsidieTabel!$A73,Tb_Activiteiten[[#All],[Subsidiabele_Activiteit]],0),MATCH(SubsidieTabel!R$1,Tb_Activiteiten[#Headers],0))=1,SubsidieTabel!$K73,0),0)</f>
        <v>0</v>
      </c>
      <c r="S73" s="282">
        <f>IFERROR(IF(INDEX(Tb_Activiteiten[#All],MATCH(SubsidieTabel!$A73,Tb_Activiteiten[[#All],[Subsidiabele_Activiteit]],0),MATCH(SubsidieTabel!S$1,Tb_Activiteiten[#Headers],0))=1,SubsidieTabel!$J73,0),0)</f>
        <v>0</v>
      </c>
      <c r="T73" s="282">
        <f>IFERROR(IF(INDEX(Tb_Activiteiten[#All],MATCH(SubsidieTabel!$A73,Tb_Activiteiten[[#All],[Subsidiabele_Activiteit]],0),MATCH(SubsidieTabel!T$1,Tb_Activiteiten[#Headers],0))=1,SubsidieTabel!$K73,0),0)</f>
        <v>0</v>
      </c>
      <c r="U73" s="282">
        <f>IFERROR(IF(INDEX(Tb_Activiteiten[#All],MATCH(SubsidieTabel!$A73,Tb_Activiteiten[[#All],[Subsidiabele_Activiteit]],0),MATCH(SubsidieTabel!U$1,Tb_Activiteiten[#Headers],0))=1,SubsidieTabel!$J73,0),0)</f>
        <v>0</v>
      </c>
      <c r="V73" s="282">
        <f>IFERROR(IF(INDEX(Tb_Activiteiten[#All],MATCH(SubsidieTabel!$A73,Tb_Activiteiten[[#All],[Subsidiabele_Activiteit]],0),MATCH(SubsidieTabel!V$1,Tb_Activiteiten[#Headers],0))=1,SubsidieTabel!$K73,0),0)</f>
        <v>0</v>
      </c>
      <c r="W73" s="64">
        <f>IFERROR(IF(INDEX(Tb_Activiteiten[#All],MATCH(SubsidieTabel!$A73,Tb_Activiteiten[[#All],[Subsidiabele_Activiteit]],0),MATCH(SubsidieTabel!Q$1,Tb_Activiteiten[#Headers],0))=1,H73,0),0)</f>
        <v>0</v>
      </c>
      <c r="X73" s="64">
        <f>IFERROR(IF(INDEX(Tb_Activiteiten[#All],MATCH(SubsidieTabel!$A73,Tb_Activiteiten[[#All],[Subsidiabele_Activiteit]],0),MATCH(SubsidieTabel!Q$1,Tb_Activiteiten[#Headers],0))=1,I73,0),0)</f>
        <v>0</v>
      </c>
      <c r="Y73" s="64">
        <f>IFERROR(IF(INDEX(Tb_Activiteiten[#All],MATCH(SubsidieTabel!$A73,Tb_Activiteiten[[#All],[Subsidiabele_Activiteit]],0),MATCH(SubsidieTabel!S$1,Tb_Activiteiten[#Headers],0))=1,H73,0),0)</f>
        <v>0</v>
      </c>
      <c r="Z73" s="64">
        <f>IFERROR(IF(INDEX(Tb_Activiteiten[#All],MATCH(SubsidieTabel!$A73,Tb_Activiteiten[[#All],[Subsidiabele_Activiteit]],0),MATCH(SubsidieTabel!S$1,Tb_Activiteiten[#Headers],0))=1,I73,0),0)</f>
        <v>0</v>
      </c>
      <c r="AA73" s="64">
        <f>IFERROR(IF(INDEX(Tb_Activiteiten[#All],MATCH(SubsidieTabel!$A73,Tb_Activiteiten[[#All],[Subsidiabele_Activiteit]],0),MATCH(SubsidieTabel!O$1,Tb_Activiteiten[#Headers],0))=1,$F73,0),0)</f>
        <v>0</v>
      </c>
      <c r="AB73" s="64">
        <f>IFERROR(IF(INDEX(Tb_Activiteiten[#All],MATCH(SubsidieTabel!$A73,Tb_Activiteiten[[#All],[Subsidiabele_Activiteit]],0),MATCH(SubsidieTabel!O$1,Tb_Activiteiten[#Headers],0))=1,$G73,0),0)</f>
        <v>0</v>
      </c>
    </row>
    <row r="74" spans="1:28" x14ac:dyDescent="0.25">
      <c r="A74" s="63"/>
      <c r="B74" s="63"/>
      <c r="C74" s="63" t="str">
        <f>IFERROR(VLOOKUP($B74,Tb_ProjectKosten[],4,0),"")</f>
        <v/>
      </c>
      <c r="D74" s="63" t="str" cm="1">
        <f t="array" ref="D74">IFERROR(INDEX(Tb_KostenOpties[],MATCH(B74,Tb_KostenOpties[KostenOptie],0),IFERROR(MATCH(Methode_Keuze,Tb_KostenOpties[#Headers],0),2)),"")</f>
        <v/>
      </c>
      <c r="E74" s="283">
        <f>IFERROR(VLOOKUP(B74,Tb_ProjectKosten[[#All],[KostenOmschrijving]:[Forfait_Percentage]],6,0),0)</f>
        <v>0</v>
      </c>
      <c r="F74" s="284">
        <f>SUMIFS('5. Kosten uitvoering project'!R:R,'5. Kosten uitvoering project'!E:E,SubsidieTabel!A74,'5. Kosten uitvoering project'!F:F,SubsidieTabel!B74)</f>
        <v>0</v>
      </c>
      <c r="G74" s="284">
        <f>SUMIFS('5. Kosten uitvoering project'!S:S,'5. Kosten uitvoering project'!E:E,SubsidieTabel!A74,'5. Kosten uitvoering project'!F:F,SubsidieTabel!B74)</f>
        <v>0</v>
      </c>
      <c r="H74" s="284">
        <f>SUMIFS('5. Kosten uitvoering project'!U:U,'5. Kosten uitvoering project'!E:E,SubsidieTabel!A74,'5. Kosten uitvoering project'!F:F,SubsidieTabel!B74)</f>
        <v>0</v>
      </c>
      <c r="I74" s="284">
        <f>SUMIFS('5. Kosten uitvoering project'!V:V,'5. Kosten uitvoering project'!E:E,SubsidieTabel!A74,'5. Kosten uitvoering project'!F:F,SubsidieTabel!B74)</f>
        <v>0</v>
      </c>
      <c r="J74" s="284">
        <f t="shared" si="9"/>
        <v>0</v>
      </c>
      <c r="K74" s="284">
        <f t="shared" si="10"/>
        <v>0</v>
      </c>
      <c r="L74" s="283" t="str">
        <f>IFERROR(VLOOKUP(A74,Lijsten!$AK:$AL,2,0),"")</f>
        <v/>
      </c>
      <c r="M74" s="284">
        <f t="shared" si="11"/>
        <v>0</v>
      </c>
      <c r="N74" s="284">
        <f t="shared" si="12"/>
        <v>0</v>
      </c>
      <c r="O74" s="284">
        <f>IFERROR(IF(INDEX(Tb_Activiteiten[#All],MATCH(SubsidieTabel!$A74,Tb_Activiteiten[[#All],[Subsidiabele_Activiteit]],0),MATCH(SubsidieTabel!O$1,Tb_Activiteiten[#Headers],0))=1,SubsidieTabel!$J74,0),0)</f>
        <v>0</v>
      </c>
      <c r="P74" s="284">
        <f>IFERROR(IF(INDEX(Tb_Activiteiten[#All],MATCH(SubsidieTabel!$A74,Tb_Activiteiten[[#All],[Subsidiabele_Activiteit]],0),MATCH(SubsidieTabel!P$1,Tb_Activiteiten[#Headers],0))=1,SubsidieTabel!$K74,0),0)</f>
        <v>0</v>
      </c>
      <c r="Q74" s="284">
        <f>IFERROR(IF(INDEX(Tb_Activiteiten[#All],MATCH(SubsidieTabel!$A74,Tb_Activiteiten[[#All],[Subsidiabele_Activiteit]],0),MATCH(SubsidieTabel!Q$1,Tb_Activiteiten[#Headers],0))=1,SubsidieTabel!$J74,0),0)</f>
        <v>0</v>
      </c>
      <c r="R74" s="284">
        <f>IFERROR(IF(INDEX(Tb_Activiteiten[#All],MATCH(SubsidieTabel!$A74,Tb_Activiteiten[[#All],[Subsidiabele_Activiteit]],0),MATCH(SubsidieTabel!R$1,Tb_Activiteiten[#Headers],0))=1,SubsidieTabel!$K74,0),0)</f>
        <v>0</v>
      </c>
      <c r="S74" s="284">
        <f>IFERROR(IF(INDEX(Tb_Activiteiten[#All],MATCH(SubsidieTabel!$A74,Tb_Activiteiten[[#All],[Subsidiabele_Activiteit]],0),MATCH(SubsidieTabel!S$1,Tb_Activiteiten[#Headers],0))=1,SubsidieTabel!$J74,0),0)</f>
        <v>0</v>
      </c>
      <c r="T74" s="284">
        <f>IFERROR(IF(INDEX(Tb_Activiteiten[#All],MATCH(SubsidieTabel!$A74,Tb_Activiteiten[[#All],[Subsidiabele_Activiteit]],0),MATCH(SubsidieTabel!T$1,Tb_Activiteiten[#Headers],0))=1,SubsidieTabel!$K74,0),0)</f>
        <v>0</v>
      </c>
      <c r="U74" s="284">
        <f>IFERROR(IF(INDEX(Tb_Activiteiten[#All],MATCH(SubsidieTabel!$A74,Tb_Activiteiten[[#All],[Subsidiabele_Activiteit]],0),MATCH(SubsidieTabel!U$1,Tb_Activiteiten[#Headers],0))=1,SubsidieTabel!$J74,0),0)</f>
        <v>0</v>
      </c>
      <c r="V74" s="284">
        <f>IFERROR(IF(INDEX(Tb_Activiteiten[#All],MATCH(SubsidieTabel!$A74,Tb_Activiteiten[[#All],[Subsidiabele_Activiteit]],0),MATCH(SubsidieTabel!V$1,Tb_Activiteiten[#Headers],0))=1,SubsidieTabel!$K74,0),0)</f>
        <v>0</v>
      </c>
      <c r="W74" s="369">
        <f>IFERROR(IF(INDEX(Tb_Activiteiten[#All],MATCH(SubsidieTabel!$A74,Tb_Activiteiten[[#All],[Subsidiabele_Activiteit]],0),MATCH(SubsidieTabel!Q$1,Tb_Activiteiten[#Headers],0))=1,H74,0),0)</f>
        <v>0</v>
      </c>
      <c r="X74" s="369">
        <f>IFERROR(IF(INDEX(Tb_Activiteiten[#All],MATCH(SubsidieTabel!$A74,Tb_Activiteiten[[#All],[Subsidiabele_Activiteit]],0),MATCH(SubsidieTabel!Q$1,Tb_Activiteiten[#Headers],0))=1,I74,0),0)</f>
        <v>0</v>
      </c>
      <c r="Y74" s="369">
        <f>IFERROR(IF(INDEX(Tb_Activiteiten[#All],MATCH(SubsidieTabel!$A74,Tb_Activiteiten[[#All],[Subsidiabele_Activiteit]],0),MATCH(SubsidieTabel!S$1,Tb_Activiteiten[#Headers],0))=1,H74,0),0)</f>
        <v>0</v>
      </c>
      <c r="Z74" s="369">
        <f>IFERROR(IF(INDEX(Tb_Activiteiten[#All],MATCH(SubsidieTabel!$A74,Tb_Activiteiten[[#All],[Subsidiabele_Activiteit]],0),MATCH(SubsidieTabel!S$1,Tb_Activiteiten[#Headers],0))=1,I74,0),0)</f>
        <v>0</v>
      </c>
      <c r="AA74" s="369">
        <f>IFERROR(IF(INDEX(Tb_Activiteiten[#All],MATCH(SubsidieTabel!$A74,Tb_Activiteiten[[#All],[Subsidiabele_Activiteit]],0),MATCH(SubsidieTabel!O$1,Tb_Activiteiten[#Headers],0))=1,$F74,0),0)</f>
        <v>0</v>
      </c>
      <c r="AB74" s="369">
        <f>IFERROR(IF(INDEX(Tb_Activiteiten[#All],MATCH(SubsidieTabel!$A74,Tb_Activiteiten[[#All],[Subsidiabele_Activiteit]],0),MATCH(SubsidieTabel!O$1,Tb_Activiteiten[#Headers],0))=1,$G74,0),0)</f>
        <v>0</v>
      </c>
    </row>
    <row r="75" spans="1:28" x14ac:dyDescent="0.25">
      <c r="A75" s="12"/>
      <c r="B75" s="12"/>
      <c r="C75" s="12" t="str">
        <f>IFERROR(VLOOKUP($B75,Tb_ProjectKosten[],4,0),"")</f>
        <v/>
      </c>
      <c r="D75" s="12" t="str" cm="1">
        <f t="array" ref="D75">IFERROR(INDEX(Tb_KostenOpties[],MATCH(B75,Tb_KostenOpties[KostenOptie],0),IFERROR(MATCH(Methode_Keuze,Tb_KostenOpties[#Headers],0),2)),"")</f>
        <v/>
      </c>
      <c r="E75" s="281">
        <f>IFERROR(VLOOKUP(B75,Tb_ProjectKosten[[#All],[KostenOmschrijving]:[Forfait_Percentage]],6,0),0)</f>
        <v>0</v>
      </c>
      <c r="F75" s="282">
        <f>SUMIFS('5. Kosten uitvoering project'!R:R,'5. Kosten uitvoering project'!E:E,SubsidieTabel!A75,'5. Kosten uitvoering project'!F:F,SubsidieTabel!B75)</f>
        <v>0</v>
      </c>
      <c r="G75" s="282">
        <f>SUMIFS('5. Kosten uitvoering project'!S:S,'5. Kosten uitvoering project'!E:E,SubsidieTabel!A75,'5. Kosten uitvoering project'!F:F,SubsidieTabel!B75)</f>
        <v>0</v>
      </c>
      <c r="H75" s="282">
        <f>SUMIFS('5. Kosten uitvoering project'!U:U,'5. Kosten uitvoering project'!E:E,SubsidieTabel!A75,'5. Kosten uitvoering project'!F:F,SubsidieTabel!B75)</f>
        <v>0</v>
      </c>
      <c r="I75" s="282">
        <f>SUMIFS('5. Kosten uitvoering project'!V:V,'5. Kosten uitvoering project'!E:E,SubsidieTabel!A75,'5. Kosten uitvoering project'!F:F,SubsidieTabel!B75)</f>
        <v>0</v>
      </c>
      <c r="J75" s="282">
        <f t="shared" si="9"/>
        <v>0</v>
      </c>
      <c r="K75" s="282">
        <f t="shared" si="10"/>
        <v>0</v>
      </c>
      <c r="L75" s="281" t="str">
        <f>IFERROR(VLOOKUP(A75,Lijsten!$AK:$AL,2,0),"")</f>
        <v/>
      </c>
      <c r="M75" s="282">
        <f t="shared" si="11"/>
        <v>0</v>
      </c>
      <c r="N75" s="282">
        <f t="shared" si="12"/>
        <v>0</v>
      </c>
      <c r="O75" s="282">
        <f>IFERROR(IF(INDEX(Tb_Activiteiten[#All],MATCH(SubsidieTabel!$A75,Tb_Activiteiten[[#All],[Subsidiabele_Activiteit]],0),MATCH(SubsidieTabel!O$1,Tb_Activiteiten[#Headers],0))=1,SubsidieTabel!$J75,0),0)</f>
        <v>0</v>
      </c>
      <c r="P75" s="282">
        <f>IFERROR(IF(INDEX(Tb_Activiteiten[#All],MATCH(SubsidieTabel!$A75,Tb_Activiteiten[[#All],[Subsidiabele_Activiteit]],0),MATCH(SubsidieTabel!P$1,Tb_Activiteiten[#Headers],0))=1,SubsidieTabel!$K75,0),0)</f>
        <v>0</v>
      </c>
      <c r="Q75" s="282">
        <f>IFERROR(IF(INDEX(Tb_Activiteiten[#All],MATCH(SubsidieTabel!$A75,Tb_Activiteiten[[#All],[Subsidiabele_Activiteit]],0),MATCH(SubsidieTabel!Q$1,Tb_Activiteiten[#Headers],0))=1,SubsidieTabel!$J75,0),0)</f>
        <v>0</v>
      </c>
      <c r="R75" s="282">
        <f>IFERROR(IF(INDEX(Tb_Activiteiten[#All],MATCH(SubsidieTabel!$A75,Tb_Activiteiten[[#All],[Subsidiabele_Activiteit]],0),MATCH(SubsidieTabel!R$1,Tb_Activiteiten[#Headers],0))=1,SubsidieTabel!$K75,0),0)</f>
        <v>0</v>
      </c>
      <c r="S75" s="282">
        <f>IFERROR(IF(INDEX(Tb_Activiteiten[#All],MATCH(SubsidieTabel!$A75,Tb_Activiteiten[[#All],[Subsidiabele_Activiteit]],0),MATCH(SubsidieTabel!S$1,Tb_Activiteiten[#Headers],0))=1,SubsidieTabel!$J75,0),0)</f>
        <v>0</v>
      </c>
      <c r="T75" s="282">
        <f>IFERROR(IF(INDEX(Tb_Activiteiten[#All],MATCH(SubsidieTabel!$A75,Tb_Activiteiten[[#All],[Subsidiabele_Activiteit]],0),MATCH(SubsidieTabel!T$1,Tb_Activiteiten[#Headers],0))=1,SubsidieTabel!$K75,0),0)</f>
        <v>0</v>
      </c>
      <c r="U75" s="282">
        <f>IFERROR(IF(INDEX(Tb_Activiteiten[#All],MATCH(SubsidieTabel!$A75,Tb_Activiteiten[[#All],[Subsidiabele_Activiteit]],0),MATCH(SubsidieTabel!U$1,Tb_Activiteiten[#Headers],0))=1,SubsidieTabel!$J75,0),0)</f>
        <v>0</v>
      </c>
      <c r="V75" s="282">
        <f>IFERROR(IF(INDEX(Tb_Activiteiten[#All],MATCH(SubsidieTabel!$A75,Tb_Activiteiten[[#All],[Subsidiabele_Activiteit]],0),MATCH(SubsidieTabel!V$1,Tb_Activiteiten[#Headers],0))=1,SubsidieTabel!$K75,0),0)</f>
        <v>0</v>
      </c>
      <c r="W75" s="64">
        <f>IFERROR(IF(INDEX(Tb_Activiteiten[#All],MATCH(SubsidieTabel!$A75,Tb_Activiteiten[[#All],[Subsidiabele_Activiteit]],0),MATCH(SubsidieTabel!Q$1,Tb_Activiteiten[#Headers],0))=1,H75,0),0)</f>
        <v>0</v>
      </c>
      <c r="X75" s="64">
        <f>IFERROR(IF(INDEX(Tb_Activiteiten[#All],MATCH(SubsidieTabel!$A75,Tb_Activiteiten[[#All],[Subsidiabele_Activiteit]],0),MATCH(SubsidieTabel!Q$1,Tb_Activiteiten[#Headers],0))=1,I75,0),0)</f>
        <v>0</v>
      </c>
      <c r="Y75" s="64">
        <f>IFERROR(IF(INDEX(Tb_Activiteiten[#All],MATCH(SubsidieTabel!$A75,Tb_Activiteiten[[#All],[Subsidiabele_Activiteit]],0),MATCH(SubsidieTabel!S$1,Tb_Activiteiten[#Headers],0))=1,H75,0),0)</f>
        <v>0</v>
      </c>
      <c r="Z75" s="64">
        <f>IFERROR(IF(INDEX(Tb_Activiteiten[#All],MATCH(SubsidieTabel!$A75,Tb_Activiteiten[[#All],[Subsidiabele_Activiteit]],0),MATCH(SubsidieTabel!S$1,Tb_Activiteiten[#Headers],0))=1,I75,0),0)</f>
        <v>0</v>
      </c>
      <c r="AA75" s="64">
        <f>IFERROR(IF(INDEX(Tb_Activiteiten[#All],MATCH(SubsidieTabel!$A75,Tb_Activiteiten[[#All],[Subsidiabele_Activiteit]],0),MATCH(SubsidieTabel!O$1,Tb_Activiteiten[#Headers],0))=1,$F75,0),0)</f>
        <v>0</v>
      </c>
      <c r="AB75" s="64">
        <f>IFERROR(IF(INDEX(Tb_Activiteiten[#All],MATCH(SubsidieTabel!$A75,Tb_Activiteiten[[#All],[Subsidiabele_Activiteit]],0),MATCH(SubsidieTabel!O$1,Tb_Activiteiten[#Headers],0))=1,$G75,0),0)</f>
        <v>0</v>
      </c>
    </row>
    <row r="76" spans="1:28" x14ac:dyDescent="0.25">
      <c r="A76" s="63"/>
      <c r="B76" s="63"/>
      <c r="C76" s="63" t="str">
        <f>IFERROR(VLOOKUP($B76,Tb_ProjectKosten[],4,0),"")</f>
        <v/>
      </c>
      <c r="D76" s="63" t="str" cm="1">
        <f t="array" ref="D76">IFERROR(INDEX(Tb_KostenOpties[],MATCH(B76,Tb_KostenOpties[KostenOptie],0),IFERROR(MATCH(Methode_Keuze,Tb_KostenOpties[#Headers],0),2)),"")</f>
        <v/>
      </c>
      <c r="E76" s="283">
        <f>IFERROR(VLOOKUP(B76,Tb_ProjectKosten[[#All],[KostenOmschrijving]:[Forfait_Percentage]],6,0),0)</f>
        <v>0</v>
      </c>
      <c r="F76" s="284">
        <f>SUMIFS('5. Kosten uitvoering project'!R:R,'5. Kosten uitvoering project'!E:E,SubsidieTabel!A76,'5. Kosten uitvoering project'!F:F,SubsidieTabel!B76)</f>
        <v>0</v>
      </c>
      <c r="G76" s="284">
        <f>SUMIFS('5. Kosten uitvoering project'!S:S,'5. Kosten uitvoering project'!E:E,SubsidieTabel!A76,'5. Kosten uitvoering project'!F:F,SubsidieTabel!B76)</f>
        <v>0</v>
      </c>
      <c r="H76" s="284">
        <f>SUMIFS('5. Kosten uitvoering project'!U:U,'5. Kosten uitvoering project'!E:E,SubsidieTabel!A76,'5. Kosten uitvoering project'!F:F,SubsidieTabel!B76)</f>
        <v>0</v>
      </c>
      <c r="I76" s="284">
        <f>SUMIFS('5. Kosten uitvoering project'!V:V,'5. Kosten uitvoering project'!E:E,SubsidieTabel!A76,'5. Kosten uitvoering project'!F:F,SubsidieTabel!B76)</f>
        <v>0</v>
      </c>
      <c r="J76" s="284">
        <f t="shared" si="9"/>
        <v>0</v>
      </c>
      <c r="K76" s="284">
        <f t="shared" si="10"/>
        <v>0</v>
      </c>
      <c r="L76" s="283" t="str">
        <f>IFERROR(VLOOKUP(A76,Lijsten!$AK:$AL,2,0),"")</f>
        <v/>
      </c>
      <c r="M76" s="284">
        <f t="shared" si="11"/>
        <v>0</v>
      </c>
      <c r="N76" s="284">
        <f t="shared" si="12"/>
        <v>0</v>
      </c>
      <c r="O76" s="284">
        <f>IFERROR(IF(INDEX(Tb_Activiteiten[#All],MATCH(SubsidieTabel!$A76,Tb_Activiteiten[[#All],[Subsidiabele_Activiteit]],0),MATCH(SubsidieTabel!O$1,Tb_Activiteiten[#Headers],0))=1,SubsidieTabel!$J76,0),0)</f>
        <v>0</v>
      </c>
      <c r="P76" s="284">
        <f>IFERROR(IF(INDEX(Tb_Activiteiten[#All],MATCH(SubsidieTabel!$A76,Tb_Activiteiten[[#All],[Subsidiabele_Activiteit]],0),MATCH(SubsidieTabel!P$1,Tb_Activiteiten[#Headers],0))=1,SubsidieTabel!$K76,0),0)</f>
        <v>0</v>
      </c>
      <c r="Q76" s="284">
        <f>IFERROR(IF(INDEX(Tb_Activiteiten[#All],MATCH(SubsidieTabel!$A76,Tb_Activiteiten[[#All],[Subsidiabele_Activiteit]],0),MATCH(SubsidieTabel!Q$1,Tb_Activiteiten[#Headers],0))=1,SubsidieTabel!$J76,0),0)</f>
        <v>0</v>
      </c>
      <c r="R76" s="284">
        <f>IFERROR(IF(INDEX(Tb_Activiteiten[#All],MATCH(SubsidieTabel!$A76,Tb_Activiteiten[[#All],[Subsidiabele_Activiteit]],0),MATCH(SubsidieTabel!R$1,Tb_Activiteiten[#Headers],0))=1,SubsidieTabel!$K76,0),0)</f>
        <v>0</v>
      </c>
      <c r="S76" s="284">
        <f>IFERROR(IF(INDEX(Tb_Activiteiten[#All],MATCH(SubsidieTabel!$A76,Tb_Activiteiten[[#All],[Subsidiabele_Activiteit]],0),MATCH(SubsidieTabel!S$1,Tb_Activiteiten[#Headers],0))=1,SubsidieTabel!$J76,0),0)</f>
        <v>0</v>
      </c>
      <c r="T76" s="284">
        <f>IFERROR(IF(INDEX(Tb_Activiteiten[#All],MATCH(SubsidieTabel!$A76,Tb_Activiteiten[[#All],[Subsidiabele_Activiteit]],0),MATCH(SubsidieTabel!T$1,Tb_Activiteiten[#Headers],0))=1,SubsidieTabel!$K76,0),0)</f>
        <v>0</v>
      </c>
      <c r="U76" s="284">
        <f>IFERROR(IF(INDEX(Tb_Activiteiten[#All],MATCH(SubsidieTabel!$A76,Tb_Activiteiten[[#All],[Subsidiabele_Activiteit]],0),MATCH(SubsidieTabel!U$1,Tb_Activiteiten[#Headers],0))=1,SubsidieTabel!$J76,0),0)</f>
        <v>0</v>
      </c>
      <c r="V76" s="284">
        <f>IFERROR(IF(INDEX(Tb_Activiteiten[#All],MATCH(SubsidieTabel!$A76,Tb_Activiteiten[[#All],[Subsidiabele_Activiteit]],0),MATCH(SubsidieTabel!V$1,Tb_Activiteiten[#Headers],0))=1,SubsidieTabel!$K76,0),0)</f>
        <v>0</v>
      </c>
      <c r="W76" s="369">
        <f>IFERROR(IF(INDEX(Tb_Activiteiten[#All],MATCH(SubsidieTabel!$A76,Tb_Activiteiten[[#All],[Subsidiabele_Activiteit]],0),MATCH(SubsidieTabel!Q$1,Tb_Activiteiten[#Headers],0))=1,H76,0),0)</f>
        <v>0</v>
      </c>
      <c r="X76" s="369">
        <f>IFERROR(IF(INDEX(Tb_Activiteiten[#All],MATCH(SubsidieTabel!$A76,Tb_Activiteiten[[#All],[Subsidiabele_Activiteit]],0),MATCH(SubsidieTabel!Q$1,Tb_Activiteiten[#Headers],0))=1,I76,0),0)</f>
        <v>0</v>
      </c>
      <c r="Y76" s="369">
        <f>IFERROR(IF(INDEX(Tb_Activiteiten[#All],MATCH(SubsidieTabel!$A76,Tb_Activiteiten[[#All],[Subsidiabele_Activiteit]],0),MATCH(SubsidieTabel!S$1,Tb_Activiteiten[#Headers],0))=1,H76,0),0)</f>
        <v>0</v>
      </c>
      <c r="Z76" s="369">
        <f>IFERROR(IF(INDEX(Tb_Activiteiten[#All],MATCH(SubsidieTabel!$A76,Tb_Activiteiten[[#All],[Subsidiabele_Activiteit]],0),MATCH(SubsidieTabel!S$1,Tb_Activiteiten[#Headers],0))=1,I76,0),0)</f>
        <v>0</v>
      </c>
      <c r="AA76" s="369">
        <f>IFERROR(IF(INDEX(Tb_Activiteiten[#All],MATCH(SubsidieTabel!$A76,Tb_Activiteiten[[#All],[Subsidiabele_Activiteit]],0),MATCH(SubsidieTabel!O$1,Tb_Activiteiten[#Headers],0))=1,$F76,0),0)</f>
        <v>0</v>
      </c>
      <c r="AB76" s="369">
        <f>IFERROR(IF(INDEX(Tb_Activiteiten[#All],MATCH(SubsidieTabel!$A76,Tb_Activiteiten[[#All],[Subsidiabele_Activiteit]],0),MATCH(SubsidieTabel!O$1,Tb_Activiteiten[#Headers],0))=1,$G76,0),0)</f>
        <v>0</v>
      </c>
    </row>
    <row r="77" spans="1:28" x14ac:dyDescent="0.25">
      <c r="A77" s="12"/>
      <c r="B77" s="12"/>
      <c r="C77" s="12" t="str">
        <f>IFERROR(VLOOKUP($B77,Tb_ProjectKosten[],4,0),"")</f>
        <v/>
      </c>
      <c r="D77" s="12" t="str" cm="1">
        <f t="array" ref="D77">IFERROR(INDEX(Tb_KostenOpties[],MATCH(B77,Tb_KostenOpties[KostenOptie],0),IFERROR(MATCH(Methode_Keuze,Tb_KostenOpties[#Headers],0),2)),"")</f>
        <v/>
      </c>
      <c r="E77" s="281">
        <f>IFERROR(VLOOKUP(B77,Tb_ProjectKosten[[#All],[KostenOmschrijving]:[Forfait_Percentage]],6,0),0)</f>
        <v>0</v>
      </c>
      <c r="F77" s="282">
        <f>SUMIFS('5. Kosten uitvoering project'!R:R,'5. Kosten uitvoering project'!E:E,SubsidieTabel!A77,'5. Kosten uitvoering project'!F:F,SubsidieTabel!B77)</f>
        <v>0</v>
      </c>
      <c r="G77" s="282">
        <f>SUMIFS('5. Kosten uitvoering project'!S:S,'5. Kosten uitvoering project'!E:E,SubsidieTabel!A77,'5. Kosten uitvoering project'!F:F,SubsidieTabel!B77)</f>
        <v>0</v>
      </c>
      <c r="H77" s="282">
        <f>SUMIFS('5. Kosten uitvoering project'!U:U,'5. Kosten uitvoering project'!E:E,SubsidieTabel!A77,'5. Kosten uitvoering project'!F:F,SubsidieTabel!B77)</f>
        <v>0</v>
      </c>
      <c r="I77" s="282">
        <f>SUMIFS('5. Kosten uitvoering project'!V:V,'5. Kosten uitvoering project'!E:E,SubsidieTabel!A77,'5. Kosten uitvoering project'!F:F,SubsidieTabel!B77)</f>
        <v>0</v>
      </c>
      <c r="J77" s="282">
        <f t="shared" si="9"/>
        <v>0</v>
      </c>
      <c r="K77" s="282">
        <f t="shared" si="10"/>
        <v>0</v>
      </c>
      <c r="L77" s="281" t="str">
        <f>IFERROR(VLOOKUP(A77,Lijsten!$AK:$AL,2,0),"")</f>
        <v/>
      </c>
      <c r="M77" s="282">
        <f t="shared" si="11"/>
        <v>0</v>
      </c>
      <c r="N77" s="282">
        <f t="shared" si="12"/>
        <v>0</v>
      </c>
      <c r="O77" s="282">
        <f>IFERROR(IF(INDEX(Tb_Activiteiten[#All],MATCH(SubsidieTabel!$A77,Tb_Activiteiten[[#All],[Subsidiabele_Activiteit]],0),MATCH(SubsidieTabel!O$1,Tb_Activiteiten[#Headers],0))=1,SubsidieTabel!$J77,0),0)</f>
        <v>0</v>
      </c>
      <c r="P77" s="282">
        <f>IFERROR(IF(INDEX(Tb_Activiteiten[#All],MATCH(SubsidieTabel!$A77,Tb_Activiteiten[[#All],[Subsidiabele_Activiteit]],0),MATCH(SubsidieTabel!P$1,Tb_Activiteiten[#Headers],0))=1,SubsidieTabel!$K77,0),0)</f>
        <v>0</v>
      </c>
      <c r="Q77" s="282">
        <f>IFERROR(IF(INDEX(Tb_Activiteiten[#All],MATCH(SubsidieTabel!$A77,Tb_Activiteiten[[#All],[Subsidiabele_Activiteit]],0),MATCH(SubsidieTabel!Q$1,Tb_Activiteiten[#Headers],0))=1,SubsidieTabel!$J77,0),0)</f>
        <v>0</v>
      </c>
      <c r="R77" s="282">
        <f>IFERROR(IF(INDEX(Tb_Activiteiten[#All],MATCH(SubsidieTabel!$A77,Tb_Activiteiten[[#All],[Subsidiabele_Activiteit]],0),MATCH(SubsidieTabel!R$1,Tb_Activiteiten[#Headers],0))=1,SubsidieTabel!$K77,0),0)</f>
        <v>0</v>
      </c>
      <c r="S77" s="282">
        <f>IFERROR(IF(INDEX(Tb_Activiteiten[#All],MATCH(SubsidieTabel!$A77,Tb_Activiteiten[[#All],[Subsidiabele_Activiteit]],0),MATCH(SubsidieTabel!S$1,Tb_Activiteiten[#Headers],0))=1,SubsidieTabel!$J77,0),0)</f>
        <v>0</v>
      </c>
      <c r="T77" s="282">
        <f>IFERROR(IF(INDEX(Tb_Activiteiten[#All],MATCH(SubsidieTabel!$A77,Tb_Activiteiten[[#All],[Subsidiabele_Activiteit]],0),MATCH(SubsidieTabel!T$1,Tb_Activiteiten[#Headers],0))=1,SubsidieTabel!$K77,0),0)</f>
        <v>0</v>
      </c>
      <c r="U77" s="282">
        <f>IFERROR(IF(INDEX(Tb_Activiteiten[#All],MATCH(SubsidieTabel!$A77,Tb_Activiteiten[[#All],[Subsidiabele_Activiteit]],0),MATCH(SubsidieTabel!U$1,Tb_Activiteiten[#Headers],0))=1,SubsidieTabel!$J77,0),0)</f>
        <v>0</v>
      </c>
      <c r="V77" s="282">
        <f>IFERROR(IF(INDEX(Tb_Activiteiten[#All],MATCH(SubsidieTabel!$A77,Tb_Activiteiten[[#All],[Subsidiabele_Activiteit]],0),MATCH(SubsidieTabel!V$1,Tb_Activiteiten[#Headers],0))=1,SubsidieTabel!$K77,0),0)</f>
        <v>0</v>
      </c>
      <c r="W77" s="64">
        <f>IFERROR(IF(INDEX(Tb_Activiteiten[#All],MATCH(SubsidieTabel!$A77,Tb_Activiteiten[[#All],[Subsidiabele_Activiteit]],0),MATCH(SubsidieTabel!Q$1,Tb_Activiteiten[#Headers],0))=1,H77,0),0)</f>
        <v>0</v>
      </c>
      <c r="X77" s="64">
        <f>IFERROR(IF(INDEX(Tb_Activiteiten[#All],MATCH(SubsidieTabel!$A77,Tb_Activiteiten[[#All],[Subsidiabele_Activiteit]],0),MATCH(SubsidieTabel!Q$1,Tb_Activiteiten[#Headers],0))=1,I77,0),0)</f>
        <v>0</v>
      </c>
      <c r="Y77" s="64">
        <f>IFERROR(IF(INDEX(Tb_Activiteiten[#All],MATCH(SubsidieTabel!$A77,Tb_Activiteiten[[#All],[Subsidiabele_Activiteit]],0),MATCH(SubsidieTabel!S$1,Tb_Activiteiten[#Headers],0))=1,H77,0),0)</f>
        <v>0</v>
      </c>
      <c r="Z77" s="64">
        <f>IFERROR(IF(INDEX(Tb_Activiteiten[#All],MATCH(SubsidieTabel!$A77,Tb_Activiteiten[[#All],[Subsidiabele_Activiteit]],0),MATCH(SubsidieTabel!S$1,Tb_Activiteiten[#Headers],0))=1,I77,0),0)</f>
        <v>0</v>
      </c>
      <c r="AA77" s="64">
        <f>IFERROR(IF(INDEX(Tb_Activiteiten[#All],MATCH(SubsidieTabel!$A77,Tb_Activiteiten[[#All],[Subsidiabele_Activiteit]],0),MATCH(SubsidieTabel!O$1,Tb_Activiteiten[#Headers],0))=1,$F77,0),0)</f>
        <v>0</v>
      </c>
      <c r="AB77" s="64">
        <f>IFERROR(IF(INDEX(Tb_Activiteiten[#All],MATCH(SubsidieTabel!$A77,Tb_Activiteiten[[#All],[Subsidiabele_Activiteit]],0),MATCH(SubsidieTabel!O$1,Tb_Activiteiten[#Headers],0))=1,$G77,0),0)</f>
        <v>0</v>
      </c>
    </row>
    <row r="78" spans="1:28" x14ac:dyDescent="0.25">
      <c r="A78" s="63"/>
      <c r="B78" s="63"/>
      <c r="C78" s="63" t="str">
        <f>IFERROR(VLOOKUP($B78,Tb_ProjectKosten[],4,0),"")</f>
        <v/>
      </c>
      <c r="D78" s="63" t="str" cm="1">
        <f t="array" ref="D78">IFERROR(INDEX(Tb_KostenOpties[],MATCH(B78,Tb_KostenOpties[KostenOptie],0),IFERROR(MATCH(Methode_Keuze,Tb_KostenOpties[#Headers],0),2)),"")</f>
        <v/>
      </c>
      <c r="E78" s="283">
        <f>IFERROR(VLOOKUP(B78,Tb_ProjectKosten[[#All],[KostenOmschrijving]:[Forfait_Percentage]],6,0),0)</f>
        <v>0</v>
      </c>
      <c r="F78" s="284">
        <f>SUMIFS('5. Kosten uitvoering project'!R:R,'5. Kosten uitvoering project'!E:E,SubsidieTabel!A78,'5. Kosten uitvoering project'!F:F,SubsidieTabel!B78)</f>
        <v>0</v>
      </c>
      <c r="G78" s="284">
        <f>SUMIFS('5. Kosten uitvoering project'!S:S,'5. Kosten uitvoering project'!E:E,SubsidieTabel!A78,'5. Kosten uitvoering project'!F:F,SubsidieTabel!B78)</f>
        <v>0</v>
      </c>
      <c r="H78" s="284">
        <f>SUMIFS('5. Kosten uitvoering project'!U:U,'5. Kosten uitvoering project'!E:E,SubsidieTabel!A78,'5. Kosten uitvoering project'!F:F,SubsidieTabel!B78)</f>
        <v>0</v>
      </c>
      <c r="I78" s="284">
        <f>SUMIFS('5. Kosten uitvoering project'!V:V,'5. Kosten uitvoering project'!E:E,SubsidieTabel!A78,'5. Kosten uitvoering project'!F:F,SubsidieTabel!B78)</f>
        <v>0</v>
      </c>
      <c r="J78" s="284">
        <f t="shared" si="9"/>
        <v>0</v>
      </c>
      <c r="K78" s="284">
        <f t="shared" si="10"/>
        <v>0</v>
      </c>
      <c r="L78" s="283" t="str">
        <f>IFERROR(VLOOKUP(A78,Lijsten!$AK:$AL,2,0),"")</f>
        <v/>
      </c>
      <c r="M78" s="284">
        <f t="shared" si="11"/>
        <v>0</v>
      </c>
      <c r="N78" s="284">
        <f t="shared" si="12"/>
        <v>0</v>
      </c>
      <c r="O78" s="284">
        <f>IFERROR(IF(INDEX(Tb_Activiteiten[#All],MATCH(SubsidieTabel!$A78,Tb_Activiteiten[[#All],[Subsidiabele_Activiteit]],0),MATCH(SubsidieTabel!O$1,Tb_Activiteiten[#Headers],0))=1,SubsidieTabel!$J78,0),0)</f>
        <v>0</v>
      </c>
      <c r="P78" s="284">
        <f>IFERROR(IF(INDEX(Tb_Activiteiten[#All],MATCH(SubsidieTabel!$A78,Tb_Activiteiten[[#All],[Subsidiabele_Activiteit]],0),MATCH(SubsidieTabel!P$1,Tb_Activiteiten[#Headers],0))=1,SubsidieTabel!$K78,0),0)</f>
        <v>0</v>
      </c>
      <c r="Q78" s="284">
        <f>IFERROR(IF(INDEX(Tb_Activiteiten[#All],MATCH(SubsidieTabel!$A78,Tb_Activiteiten[[#All],[Subsidiabele_Activiteit]],0),MATCH(SubsidieTabel!Q$1,Tb_Activiteiten[#Headers],0))=1,SubsidieTabel!$J78,0),0)</f>
        <v>0</v>
      </c>
      <c r="R78" s="284">
        <f>IFERROR(IF(INDEX(Tb_Activiteiten[#All],MATCH(SubsidieTabel!$A78,Tb_Activiteiten[[#All],[Subsidiabele_Activiteit]],0),MATCH(SubsidieTabel!R$1,Tb_Activiteiten[#Headers],0))=1,SubsidieTabel!$K78,0),0)</f>
        <v>0</v>
      </c>
      <c r="S78" s="284">
        <f>IFERROR(IF(INDEX(Tb_Activiteiten[#All],MATCH(SubsidieTabel!$A78,Tb_Activiteiten[[#All],[Subsidiabele_Activiteit]],0),MATCH(SubsidieTabel!S$1,Tb_Activiteiten[#Headers],0))=1,SubsidieTabel!$J78,0),0)</f>
        <v>0</v>
      </c>
      <c r="T78" s="284">
        <f>IFERROR(IF(INDEX(Tb_Activiteiten[#All],MATCH(SubsidieTabel!$A78,Tb_Activiteiten[[#All],[Subsidiabele_Activiteit]],0),MATCH(SubsidieTabel!T$1,Tb_Activiteiten[#Headers],0))=1,SubsidieTabel!$K78,0),0)</f>
        <v>0</v>
      </c>
      <c r="U78" s="284">
        <f>IFERROR(IF(INDEX(Tb_Activiteiten[#All],MATCH(SubsidieTabel!$A78,Tb_Activiteiten[[#All],[Subsidiabele_Activiteit]],0),MATCH(SubsidieTabel!U$1,Tb_Activiteiten[#Headers],0))=1,SubsidieTabel!$J78,0),0)</f>
        <v>0</v>
      </c>
      <c r="V78" s="284">
        <f>IFERROR(IF(INDEX(Tb_Activiteiten[#All],MATCH(SubsidieTabel!$A78,Tb_Activiteiten[[#All],[Subsidiabele_Activiteit]],0),MATCH(SubsidieTabel!V$1,Tb_Activiteiten[#Headers],0))=1,SubsidieTabel!$K78,0),0)</f>
        <v>0</v>
      </c>
      <c r="W78" s="369">
        <f>IFERROR(IF(INDEX(Tb_Activiteiten[#All],MATCH(SubsidieTabel!$A78,Tb_Activiteiten[[#All],[Subsidiabele_Activiteit]],0),MATCH(SubsidieTabel!Q$1,Tb_Activiteiten[#Headers],0))=1,H78,0),0)</f>
        <v>0</v>
      </c>
      <c r="X78" s="369">
        <f>IFERROR(IF(INDEX(Tb_Activiteiten[#All],MATCH(SubsidieTabel!$A78,Tb_Activiteiten[[#All],[Subsidiabele_Activiteit]],0),MATCH(SubsidieTabel!Q$1,Tb_Activiteiten[#Headers],0))=1,I78,0),0)</f>
        <v>0</v>
      </c>
      <c r="Y78" s="369">
        <f>IFERROR(IF(INDEX(Tb_Activiteiten[#All],MATCH(SubsidieTabel!$A78,Tb_Activiteiten[[#All],[Subsidiabele_Activiteit]],0),MATCH(SubsidieTabel!S$1,Tb_Activiteiten[#Headers],0))=1,H78,0),0)</f>
        <v>0</v>
      </c>
      <c r="Z78" s="369">
        <f>IFERROR(IF(INDEX(Tb_Activiteiten[#All],MATCH(SubsidieTabel!$A78,Tb_Activiteiten[[#All],[Subsidiabele_Activiteit]],0),MATCH(SubsidieTabel!S$1,Tb_Activiteiten[#Headers],0))=1,I78,0),0)</f>
        <v>0</v>
      </c>
      <c r="AA78" s="369">
        <f>IFERROR(IF(INDEX(Tb_Activiteiten[#All],MATCH(SubsidieTabel!$A78,Tb_Activiteiten[[#All],[Subsidiabele_Activiteit]],0),MATCH(SubsidieTabel!O$1,Tb_Activiteiten[#Headers],0))=1,$F78,0),0)</f>
        <v>0</v>
      </c>
      <c r="AB78" s="369">
        <f>IFERROR(IF(INDEX(Tb_Activiteiten[#All],MATCH(SubsidieTabel!$A78,Tb_Activiteiten[[#All],[Subsidiabele_Activiteit]],0),MATCH(SubsidieTabel!O$1,Tb_Activiteiten[#Headers],0))=1,$G78,0),0)</f>
        <v>0</v>
      </c>
    </row>
    <row r="79" spans="1:28" x14ac:dyDescent="0.25">
      <c r="A79" s="12"/>
      <c r="B79" s="12"/>
      <c r="C79" s="12" t="str">
        <f>IFERROR(VLOOKUP($B79,Tb_ProjectKosten[],4,0),"")</f>
        <v/>
      </c>
      <c r="D79" s="12" t="str" cm="1">
        <f t="array" ref="D79">IFERROR(INDEX(Tb_KostenOpties[],MATCH(B79,Tb_KostenOpties[KostenOptie],0),IFERROR(MATCH(Methode_Keuze,Tb_KostenOpties[#Headers],0),2)),"")</f>
        <v/>
      </c>
      <c r="E79" s="281">
        <f>IFERROR(VLOOKUP(B79,Tb_ProjectKosten[[#All],[KostenOmschrijving]:[Forfait_Percentage]],6,0),0)</f>
        <v>0</v>
      </c>
      <c r="F79" s="282">
        <f>SUMIFS('5. Kosten uitvoering project'!R:R,'5. Kosten uitvoering project'!E:E,SubsidieTabel!A79,'5. Kosten uitvoering project'!F:F,SubsidieTabel!B79)</f>
        <v>0</v>
      </c>
      <c r="G79" s="282">
        <f>SUMIFS('5. Kosten uitvoering project'!S:S,'5. Kosten uitvoering project'!E:E,SubsidieTabel!A79,'5. Kosten uitvoering project'!F:F,SubsidieTabel!B79)</f>
        <v>0</v>
      </c>
      <c r="H79" s="282">
        <f>SUMIFS('5. Kosten uitvoering project'!U:U,'5. Kosten uitvoering project'!E:E,SubsidieTabel!A79,'5. Kosten uitvoering project'!F:F,SubsidieTabel!B79)</f>
        <v>0</v>
      </c>
      <c r="I79" s="282">
        <f>SUMIFS('5. Kosten uitvoering project'!V:V,'5. Kosten uitvoering project'!E:E,SubsidieTabel!A79,'5. Kosten uitvoering project'!F:F,SubsidieTabel!B79)</f>
        <v>0</v>
      </c>
      <c r="J79" s="282">
        <f t="shared" si="9"/>
        <v>0</v>
      </c>
      <c r="K79" s="282">
        <f t="shared" si="10"/>
        <v>0</v>
      </c>
      <c r="L79" s="281" t="str">
        <f>IFERROR(VLOOKUP(A79,Lijsten!$AK:$AL,2,0),"")</f>
        <v/>
      </c>
      <c r="M79" s="282">
        <f t="shared" si="11"/>
        <v>0</v>
      </c>
      <c r="N79" s="282">
        <f t="shared" si="12"/>
        <v>0</v>
      </c>
      <c r="O79" s="282">
        <f>IFERROR(IF(INDEX(Tb_Activiteiten[#All],MATCH(SubsidieTabel!$A79,Tb_Activiteiten[[#All],[Subsidiabele_Activiteit]],0),MATCH(SubsidieTabel!O$1,Tb_Activiteiten[#Headers],0))=1,SubsidieTabel!$J79,0),0)</f>
        <v>0</v>
      </c>
      <c r="P79" s="282">
        <f>IFERROR(IF(INDEX(Tb_Activiteiten[#All],MATCH(SubsidieTabel!$A79,Tb_Activiteiten[[#All],[Subsidiabele_Activiteit]],0),MATCH(SubsidieTabel!P$1,Tb_Activiteiten[#Headers],0))=1,SubsidieTabel!$K79,0),0)</f>
        <v>0</v>
      </c>
      <c r="Q79" s="282">
        <f>IFERROR(IF(INDEX(Tb_Activiteiten[#All],MATCH(SubsidieTabel!$A79,Tb_Activiteiten[[#All],[Subsidiabele_Activiteit]],0),MATCH(SubsidieTabel!Q$1,Tb_Activiteiten[#Headers],0))=1,SubsidieTabel!$J79,0),0)</f>
        <v>0</v>
      </c>
      <c r="R79" s="282">
        <f>IFERROR(IF(INDEX(Tb_Activiteiten[#All],MATCH(SubsidieTabel!$A79,Tb_Activiteiten[[#All],[Subsidiabele_Activiteit]],0),MATCH(SubsidieTabel!R$1,Tb_Activiteiten[#Headers],0))=1,SubsidieTabel!$K79,0),0)</f>
        <v>0</v>
      </c>
      <c r="S79" s="282">
        <f>IFERROR(IF(INDEX(Tb_Activiteiten[#All],MATCH(SubsidieTabel!$A79,Tb_Activiteiten[[#All],[Subsidiabele_Activiteit]],0),MATCH(SubsidieTabel!S$1,Tb_Activiteiten[#Headers],0))=1,SubsidieTabel!$J79,0),0)</f>
        <v>0</v>
      </c>
      <c r="T79" s="282">
        <f>IFERROR(IF(INDEX(Tb_Activiteiten[#All],MATCH(SubsidieTabel!$A79,Tb_Activiteiten[[#All],[Subsidiabele_Activiteit]],0),MATCH(SubsidieTabel!T$1,Tb_Activiteiten[#Headers],0))=1,SubsidieTabel!$K79,0),0)</f>
        <v>0</v>
      </c>
      <c r="U79" s="282">
        <f>IFERROR(IF(INDEX(Tb_Activiteiten[#All],MATCH(SubsidieTabel!$A79,Tb_Activiteiten[[#All],[Subsidiabele_Activiteit]],0),MATCH(SubsidieTabel!U$1,Tb_Activiteiten[#Headers],0))=1,SubsidieTabel!$J79,0),0)</f>
        <v>0</v>
      </c>
      <c r="V79" s="282">
        <f>IFERROR(IF(INDEX(Tb_Activiteiten[#All],MATCH(SubsidieTabel!$A79,Tb_Activiteiten[[#All],[Subsidiabele_Activiteit]],0),MATCH(SubsidieTabel!V$1,Tb_Activiteiten[#Headers],0))=1,SubsidieTabel!$K79,0),0)</f>
        <v>0</v>
      </c>
      <c r="W79" s="64">
        <f>IFERROR(IF(INDEX(Tb_Activiteiten[#All],MATCH(SubsidieTabel!$A79,Tb_Activiteiten[[#All],[Subsidiabele_Activiteit]],0),MATCH(SubsidieTabel!Q$1,Tb_Activiteiten[#Headers],0))=1,H79,0),0)</f>
        <v>0</v>
      </c>
      <c r="X79" s="64">
        <f>IFERROR(IF(INDEX(Tb_Activiteiten[#All],MATCH(SubsidieTabel!$A79,Tb_Activiteiten[[#All],[Subsidiabele_Activiteit]],0),MATCH(SubsidieTabel!Q$1,Tb_Activiteiten[#Headers],0))=1,I79,0),0)</f>
        <v>0</v>
      </c>
      <c r="Y79" s="64">
        <f>IFERROR(IF(INDEX(Tb_Activiteiten[#All],MATCH(SubsidieTabel!$A79,Tb_Activiteiten[[#All],[Subsidiabele_Activiteit]],0),MATCH(SubsidieTabel!S$1,Tb_Activiteiten[#Headers],0))=1,H79,0),0)</f>
        <v>0</v>
      </c>
      <c r="Z79" s="64">
        <f>IFERROR(IF(INDEX(Tb_Activiteiten[#All],MATCH(SubsidieTabel!$A79,Tb_Activiteiten[[#All],[Subsidiabele_Activiteit]],0),MATCH(SubsidieTabel!S$1,Tb_Activiteiten[#Headers],0))=1,I79,0),0)</f>
        <v>0</v>
      </c>
      <c r="AA79" s="64">
        <f>IFERROR(IF(INDEX(Tb_Activiteiten[#All],MATCH(SubsidieTabel!$A79,Tb_Activiteiten[[#All],[Subsidiabele_Activiteit]],0),MATCH(SubsidieTabel!O$1,Tb_Activiteiten[#Headers],0))=1,$F79,0),0)</f>
        <v>0</v>
      </c>
      <c r="AB79" s="64">
        <f>IFERROR(IF(INDEX(Tb_Activiteiten[#All],MATCH(SubsidieTabel!$A79,Tb_Activiteiten[[#All],[Subsidiabele_Activiteit]],0),MATCH(SubsidieTabel!O$1,Tb_Activiteiten[#Headers],0))=1,$G79,0),0)</f>
        <v>0</v>
      </c>
    </row>
    <row r="80" spans="1:28" x14ac:dyDescent="0.25">
      <c r="A80" s="63"/>
      <c r="B80" s="63"/>
      <c r="C80" s="63" t="str">
        <f>IFERROR(VLOOKUP($B80,Tb_ProjectKosten[],4,0),"")</f>
        <v/>
      </c>
      <c r="D80" s="63" t="str" cm="1">
        <f t="array" ref="D80">IFERROR(INDEX(Tb_KostenOpties[],MATCH(B80,Tb_KostenOpties[KostenOptie],0),IFERROR(MATCH(Methode_Keuze,Tb_KostenOpties[#Headers],0),2)),"")</f>
        <v/>
      </c>
      <c r="E80" s="283">
        <f>IFERROR(VLOOKUP(B80,Tb_ProjectKosten[[#All],[KostenOmschrijving]:[Forfait_Percentage]],6,0),0)</f>
        <v>0</v>
      </c>
      <c r="F80" s="284">
        <f>SUMIFS('5. Kosten uitvoering project'!R:R,'5. Kosten uitvoering project'!E:E,SubsidieTabel!A80,'5. Kosten uitvoering project'!F:F,SubsidieTabel!B80)</f>
        <v>0</v>
      </c>
      <c r="G80" s="284">
        <f>SUMIFS('5. Kosten uitvoering project'!S:S,'5. Kosten uitvoering project'!E:E,SubsidieTabel!A80,'5. Kosten uitvoering project'!F:F,SubsidieTabel!B80)</f>
        <v>0</v>
      </c>
      <c r="H80" s="284">
        <f>SUMIFS('5. Kosten uitvoering project'!U:U,'5. Kosten uitvoering project'!E:E,SubsidieTabel!A80,'5. Kosten uitvoering project'!F:F,SubsidieTabel!B80)</f>
        <v>0</v>
      </c>
      <c r="I80" s="284">
        <f>SUMIFS('5. Kosten uitvoering project'!V:V,'5. Kosten uitvoering project'!E:E,SubsidieTabel!A80,'5. Kosten uitvoering project'!F:F,SubsidieTabel!B80)</f>
        <v>0</v>
      </c>
      <c r="J80" s="284">
        <f t="shared" si="9"/>
        <v>0</v>
      </c>
      <c r="K80" s="284">
        <f t="shared" si="10"/>
        <v>0</v>
      </c>
      <c r="L80" s="283" t="str">
        <f>IFERROR(VLOOKUP(A80,Lijsten!$AK:$AL,2,0),"")</f>
        <v/>
      </c>
      <c r="M80" s="284">
        <f t="shared" si="11"/>
        <v>0</v>
      </c>
      <c r="N80" s="284">
        <f t="shared" si="12"/>
        <v>0</v>
      </c>
      <c r="O80" s="284">
        <f>IFERROR(IF(INDEX(Tb_Activiteiten[#All],MATCH(SubsidieTabel!$A80,Tb_Activiteiten[[#All],[Subsidiabele_Activiteit]],0),MATCH(SubsidieTabel!O$1,Tb_Activiteiten[#Headers],0))=1,SubsidieTabel!$J80,0),0)</f>
        <v>0</v>
      </c>
      <c r="P80" s="284">
        <f>IFERROR(IF(INDEX(Tb_Activiteiten[#All],MATCH(SubsidieTabel!$A80,Tb_Activiteiten[[#All],[Subsidiabele_Activiteit]],0),MATCH(SubsidieTabel!P$1,Tb_Activiteiten[#Headers],0))=1,SubsidieTabel!$K80,0),0)</f>
        <v>0</v>
      </c>
      <c r="Q80" s="284">
        <f>IFERROR(IF(INDEX(Tb_Activiteiten[#All],MATCH(SubsidieTabel!$A80,Tb_Activiteiten[[#All],[Subsidiabele_Activiteit]],0),MATCH(SubsidieTabel!Q$1,Tb_Activiteiten[#Headers],0))=1,SubsidieTabel!$J80,0),0)</f>
        <v>0</v>
      </c>
      <c r="R80" s="284">
        <f>IFERROR(IF(INDEX(Tb_Activiteiten[#All],MATCH(SubsidieTabel!$A80,Tb_Activiteiten[[#All],[Subsidiabele_Activiteit]],0),MATCH(SubsidieTabel!R$1,Tb_Activiteiten[#Headers],0))=1,SubsidieTabel!$K80,0),0)</f>
        <v>0</v>
      </c>
      <c r="S80" s="284">
        <f>IFERROR(IF(INDEX(Tb_Activiteiten[#All],MATCH(SubsidieTabel!$A80,Tb_Activiteiten[[#All],[Subsidiabele_Activiteit]],0),MATCH(SubsidieTabel!S$1,Tb_Activiteiten[#Headers],0))=1,SubsidieTabel!$J80,0),0)</f>
        <v>0</v>
      </c>
      <c r="T80" s="284">
        <f>IFERROR(IF(INDEX(Tb_Activiteiten[#All],MATCH(SubsidieTabel!$A80,Tb_Activiteiten[[#All],[Subsidiabele_Activiteit]],0),MATCH(SubsidieTabel!T$1,Tb_Activiteiten[#Headers],0))=1,SubsidieTabel!$K80,0),0)</f>
        <v>0</v>
      </c>
      <c r="U80" s="284">
        <f>IFERROR(IF(INDEX(Tb_Activiteiten[#All],MATCH(SubsidieTabel!$A80,Tb_Activiteiten[[#All],[Subsidiabele_Activiteit]],0),MATCH(SubsidieTabel!U$1,Tb_Activiteiten[#Headers],0))=1,SubsidieTabel!$J80,0),0)</f>
        <v>0</v>
      </c>
      <c r="V80" s="284">
        <f>IFERROR(IF(INDEX(Tb_Activiteiten[#All],MATCH(SubsidieTabel!$A80,Tb_Activiteiten[[#All],[Subsidiabele_Activiteit]],0),MATCH(SubsidieTabel!V$1,Tb_Activiteiten[#Headers],0))=1,SubsidieTabel!$K80,0),0)</f>
        <v>0</v>
      </c>
      <c r="W80" s="369">
        <f>IFERROR(IF(INDEX(Tb_Activiteiten[#All],MATCH(SubsidieTabel!$A80,Tb_Activiteiten[[#All],[Subsidiabele_Activiteit]],0),MATCH(SubsidieTabel!Q$1,Tb_Activiteiten[#Headers],0))=1,H80,0),0)</f>
        <v>0</v>
      </c>
      <c r="X80" s="369">
        <f>IFERROR(IF(INDEX(Tb_Activiteiten[#All],MATCH(SubsidieTabel!$A80,Tb_Activiteiten[[#All],[Subsidiabele_Activiteit]],0),MATCH(SubsidieTabel!Q$1,Tb_Activiteiten[#Headers],0))=1,I80,0),0)</f>
        <v>0</v>
      </c>
      <c r="Y80" s="369">
        <f>IFERROR(IF(INDEX(Tb_Activiteiten[#All],MATCH(SubsidieTabel!$A80,Tb_Activiteiten[[#All],[Subsidiabele_Activiteit]],0),MATCH(SubsidieTabel!S$1,Tb_Activiteiten[#Headers],0))=1,H80,0),0)</f>
        <v>0</v>
      </c>
      <c r="Z80" s="369">
        <f>IFERROR(IF(INDEX(Tb_Activiteiten[#All],MATCH(SubsidieTabel!$A80,Tb_Activiteiten[[#All],[Subsidiabele_Activiteit]],0),MATCH(SubsidieTabel!S$1,Tb_Activiteiten[#Headers],0))=1,I80,0),0)</f>
        <v>0</v>
      </c>
      <c r="AA80" s="369">
        <f>IFERROR(IF(INDEX(Tb_Activiteiten[#All],MATCH(SubsidieTabel!$A80,Tb_Activiteiten[[#All],[Subsidiabele_Activiteit]],0),MATCH(SubsidieTabel!O$1,Tb_Activiteiten[#Headers],0))=1,$F80,0),0)</f>
        <v>0</v>
      </c>
      <c r="AB80" s="369">
        <f>IFERROR(IF(INDEX(Tb_Activiteiten[#All],MATCH(SubsidieTabel!$A80,Tb_Activiteiten[[#All],[Subsidiabele_Activiteit]],0),MATCH(SubsidieTabel!O$1,Tb_Activiteiten[#Headers],0))=1,$G80,0),0)</f>
        <v>0</v>
      </c>
    </row>
    <row r="81" spans="1:28" x14ac:dyDescent="0.25">
      <c r="A81" s="12"/>
      <c r="B81" s="12"/>
      <c r="C81" s="12" t="str">
        <f>IFERROR(VLOOKUP($B81,Tb_ProjectKosten[],4,0),"")</f>
        <v/>
      </c>
      <c r="D81" s="12" t="str" cm="1">
        <f t="array" ref="D81">IFERROR(INDEX(Tb_KostenOpties[],MATCH(B81,Tb_KostenOpties[KostenOptie],0),IFERROR(MATCH(Methode_Keuze,Tb_KostenOpties[#Headers],0),2)),"")</f>
        <v/>
      </c>
      <c r="E81" s="281">
        <f>IFERROR(VLOOKUP(B81,Tb_ProjectKosten[[#All],[KostenOmschrijving]:[Forfait_Percentage]],6,0),0)</f>
        <v>0</v>
      </c>
      <c r="F81" s="282">
        <f>SUMIFS('5. Kosten uitvoering project'!R:R,'5. Kosten uitvoering project'!E:E,SubsidieTabel!A81,'5. Kosten uitvoering project'!F:F,SubsidieTabel!B81)</f>
        <v>0</v>
      </c>
      <c r="G81" s="282">
        <f>SUMIFS('5. Kosten uitvoering project'!S:S,'5. Kosten uitvoering project'!E:E,SubsidieTabel!A81,'5. Kosten uitvoering project'!F:F,SubsidieTabel!B81)</f>
        <v>0</v>
      </c>
      <c r="H81" s="282">
        <f>SUMIFS('5. Kosten uitvoering project'!U:U,'5. Kosten uitvoering project'!E:E,SubsidieTabel!A81,'5. Kosten uitvoering project'!F:F,SubsidieTabel!B81)</f>
        <v>0</v>
      </c>
      <c r="I81" s="282">
        <f>SUMIFS('5. Kosten uitvoering project'!V:V,'5. Kosten uitvoering project'!E:E,SubsidieTabel!A81,'5. Kosten uitvoering project'!F:F,SubsidieTabel!B81)</f>
        <v>0</v>
      </c>
      <c r="J81" s="282">
        <f t="shared" si="9"/>
        <v>0</v>
      </c>
      <c r="K81" s="282">
        <f t="shared" si="10"/>
        <v>0</v>
      </c>
      <c r="L81" s="281" t="str">
        <f>IFERROR(VLOOKUP(A81,Lijsten!$AK:$AL,2,0),"")</f>
        <v/>
      </c>
      <c r="M81" s="282">
        <f t="shared" si="11"/>
        <v>0</v>
      </c>
      <c r="N81" s="282">
        <f t="shared" si="12"/>
        <v>0</v>
      </c>
      <c r="O81" s="282">
        <f>IFERROR(IF(INDEX(Tb_Activiteiten[#All],MATCH(SubsidieTabel!$A81,Tb_Activiteiten[[#All],[Subsidiabele_Activiteit]],0),MATCH(SubsidieTabel!O$1,Tb_Activiteiten[#Headers],0))=1,SubsidieTabel!$J81,0),0)</f>
        <v>0</v>
      </c>
      <c r="P81" s="282">
        <f>IFERROR(IF(INDEX(Tb_Activiteiten[#All],MATCH(SubsidieTabel!$A81,Tb_Activiteiten[[#All],[Subsidiabele_Activiteit]],0),MATCH(SubsidieTabel!P$1,Tb_Activiteiten[#Headers],0))=1,SubsidieTabel!$K81,0),0)</f>
        <v>0</v>
      </c>
      <c r="Q81" s="282">
        <f>IFERROR(IF(INDEX(Tb_Activiteiten[#All],MATCH(SubsidieTabel!$A81,Tb_Activiteiten[[#All],[Subsidiabele_Activiteit]],0),MATCH(SubsidieTabel!Q$1,Tb_Activiteiten[#Headers],0))=1,SubsidieTabel!$J81,0),0)</f>
        <v>0</v>
      </c>
      <c r="R81" s="282">
        <f>IFERROR(IF(INDEX(Tb_Activiteiten[#All],MATCH(SubsidieTabel!$A81,Tb_Activiteiten[[#All],[Subsidiabele_Activiteit]],0),MATCH(SubsidieTabel!R$1,Tb_Activiteiten[#Headers],0))=1,SubsidieTabel!$K81,0),0)</f>
        <v>0</v>
      </c>
      <c r="S81" s="282">
        <f>IFERROR(IF(INDEX(Tb_Activiteiten[#All],MATCH(SubsidieTabel!$A81,Tb_Activiteiten[[#All],[Subsidiabele_Activiteit]],0),MATCH(SubsidieTabel!S$1,Tb_Activiteiten[#Headers],0))=1,SubsidieTabel!$J81,0),0)</f>
        <v>0</v>
      </c>
      <c r="T81" s="282">
        <f>IFERROR(IF(INDEX(Tb_Activiteiten[#All],MATCH(SubsidieTabel!$A81,Tb_Activiteiten[[#All],[Subsidiabele_Activiteit]],0),MATCH(SubsidieTabel!T$1,Tb_Activiteiten[#Headers],0))=1,SubsidieTabel!$K81,0),0)</f>
        <v>0</v>
      </c>
      <c r="U81" s="282">
        <f>IFERROR(IF(INDEX(Tb_Activiteiten[#All],MATCH(SubsidieTabel!$A81,Tb_Activiteiten[[#All],[Subsidiabele_Activiteit]],0),MATCH(SubsidieTabel!U$1,Tb_Activiteiten[#Headers],0))=1,SubsidieTabel!$J81,0),0)</f>
        <v>0</v>
      </c>
      <c r="V81" s="282">
        <f>IFERROR(IF(INDEX(Tb_Activiteiten[#All],MATCH(SubsidieTabel!$A81,Tb_Activiteiten[[#All],[Subsidiabele_Activiteit]],0),MATCH(SubsidieTabel!V$1,Tb_Activiteiten[#Headers],0))=1,SubsidieTabel!$K81,0),0)</f>
        <v>0</v>
      </c>
      <c r="W81" s="64">
        <f>IFERROR(IF(INDEX(Tb_Activiteiten[#All],MATCH(SubsidieTabel!$A81,Tb_Activiteiten[[#All],[Subsidiabele_Activiteit]],0),MATCH(SubsidieTabel!Q$1,Tb_Activiteiten[#Headers],0))=1,H81,0),0)</f>
        <v>0</v>
      </c>
      <c r="X81" s="64">
        <f>IFERROR(IF(INDEX(Tb_Activiteiten[#All],MATCH(SubsidieTabel!$A81,Tb_Activiteiten[[#All],[Subsidiabele_Activiteit]],0),MATCH(SubsidieTabel!Q$1,Tb_Activiteiten[#Headers],0))=1,I81,0),0)</f>
        <v>0</v>
      </c>
      <c r="Y81" s="64">
        <f>IFERROR(IF(INDEX(Tb_Activiteiten[#All],MATCH(SubsidieTabel!$A81,Tb_Activiteiten[[#All],[Subsidiabele_Activiteit]],0),MATCH(SubsidieTabel!S$1,Tb_Activiteiten[#Headers],0))=1,H81,0),0)</f>
        <v>0</v>
      </c>
      <c r="Z81" s="64">
        <f>IFERROR(IF(INDEX(Tb_Activiteiten[#All],MATCH(SubsidieTabel!$A81,Tb_Activiteiten[[#All],[Subsidiabele_Activiteit]],0),MATCH(SubsidieTabel!S$1,Tb_Activiteiten[#Headers],0))=1,I81,0),0)</f>
        <v>0</v>
      </c>
      <c r="AA81" s="64">
        <f>IFERROR(IF(INDEX(Tb_Activiteiten[#All],MATCH(SubsidieTabel!$A81,Tb_Activiteiten[[#All],[Subsidiabele_Activiteit]],0),MATCH(SubsidieTabel!O$1,Tb_Activiteiten[#Headers],0))=1,$F81,0),0)</f>
        <v>0</v>
      </c>
      <c r="AB81" s="64">
        <f>IFERROR(IF(INDEX(Tb_Activiteiten[#All],MATCH(SubsidieTabel!$A81,Tb_Activiteiten[[#All],[Subsidiabele_Activiteit]],0),MATCH(SubsidieTabel!O$1,Tb_Activiteiten[#Headers],0))=1,$G81,0),0)</f>
        <v>0</v>
      </c>
    </row>
    <row r="82" spans="1:28" x14ac:dyDescent="0.25">
      <c r="A82" s="63"/>
      <c r="B82" s="63"/>
      <c r="C82" s="63" t="str">
        <f>IFERROR(VLOOKUP($B82,Tb_ProjectKosten[],4,0),"")</f>
        <v/>
      </c>
      <c r="D82" s="63" t="str" cm="1">
        <f t="array" ref="D82">IFERROR(INDEX(Tb_KostenOpties[],MATCH(B82,Tb_KostenOpties[KostenOptie],0),IFERROR(MATCH(Methode_Keuze,Tb_KostenOpties[#Headers],0),2)),"")</f>
        <v/>
      </c>
      <c r="E82" s="283">
        <f>IFERROR(VLOOKUP(B82,Tb_ProjectKosten[[#All],[KostenOmschrijving]:[Forfait_Percentage]],6,0),0)</f>
        <v>0</v>
      </c>
      <c r="F82" s="284">
        <f>SUMIFS('5. Kosten uitvoering project'!R:R,'5. Kosten uitvoering project'!E:E,SubsidieTabel!A82,'5. Kosten uitvoering project'!F:F,SubsidieTabel!B82)</f>
        <v>0</v>
      </c>
      <c r="G82" s="284">
        <f>SUMIFS('5. Kosten uitvoering project'!S:S,'5. Kosten uitvoering project'!E:E,SubsidieTabel!A82,'5. Kosten uitvoering project'!F:F,SubsidieTabel!B82)</f>
        <v>0</v>
      </c>
      <c r="H82" s="284">
        <f>SUMIFS('5. Kosten uitvoering project'!U:U,'5. Kosten uitvoering project'!E:E,SubsidieTabel!A82,'5. Kosten uitvoering project'!F:F,SubsidieTabel!B82)</f>
        <v>0</v>
      </c>
      <c r="I82" s="284">
        <f>SUMIFS('5. Kosten uitvoering project'!V:V,'5. Kosten uitvoering project'!E:E,SubsidieTabel!A82,'5. Kosten uitvoering project'!F:F,SubsidieTabel!B82)</f>
        <v>0</v>
      </c>
      <c r="J82" s="284">
        <f t="shared" si="9"/>
        <v>0</v>
      </c>
      <c r="K82" s="284">
        <f t="shared" si="10"/>
        <v>0</v>
      </c>
      <c r="L82" s="283" t="str">
        <f>IFERROR(VLOOKUP(A82,Lijsten!$AK:$AL,2,0),"")</f>
        <v/>
      </c>
      <c r="M82" s="284">
        <f t="shared" si="11"/>
        <v>0</v>
      </c>
      <c r="N82" s="284">
        <f t="shared" si="12"/>
        <v>0</v>
      </c>
      <c r="O82" s="284">
        <f>IFERROR(IF(INDEX(Tb_Activiteiten[#All],MATCH(SubsidieTabel!$A82,Tb_Activiteiten[[#All],[Subsidiabele_Activiteit]],0),MATCH(SubsidieTabel!O$1,Tb_Activiteiten[#Headers],0))=1,SubsidieTabel!$J82,0),0)</f>
        <v>0</v>
      </c>
      <c r="P82" s="284">
        <f>IFERROR(IF(INDEX(Tb_Activiteiten[#All],MATCH(SubsidieTabel!$A82,Tb_Activiteiten[[#All],[Subsidiabele_Activiteit]],0),MATCH(SubsidieTabel!P$1,Tb_Activiteiten[#Headers],0))=1,SubsidieTabel!$K82,0),0)</f>
        <v>0</v>
      </c>
      <c r="Q82" s="284">
        <f>IFERROR(IF(INDEX(Tb_Activiteiten[#All],MATCH(SubsidieTabel!$A82,Tb_Activiteiten[[#All],[Subsidiabele_Activiteit]],0),MATCH(SubsidieTabel!Q$1,Tb_Activiteiten[#Headers],0))=1,SubsidieTabel!$J82,0),0)</f>
        <v>0</v>
      </c>
      <c r="R82" s="284">
        <f>IFERROR(IF(INDEX(Tb_Activiteiten[#All],MATCH(SubsidieTabel!$A82,Tb_Activiteiten[[#All],[Subsidiabele_Activiteit]],0),MATCH(SubsidieTabel!R$1,Tb_Activiteiten[#Headers],0))=1,SubsidieTabel!$K82,0),0)</f>
        <v>0</v>
      </c>
      <c r="S82" s="284">
        <f>IFERROR(IF(INDEX(Tb_Activiteiten[#All],MATCH(SubsidieTabel!$A82,Tb_Activiteiten[[#All],[Subsidiabele_Activiteit]],0),MATCH(SubsidieTabel!S$1,Tb_Activiteiten[#Headers],0))=1,SubsidieTabel!$J82,0),0)</f>
        <v>0</v>
      </c>
      <c r="T82" s="284">
        <f>IFERROR(IF(INDEX(Tb_Activiteiten[#All],MATCH(SubsidieTabel!$A82,Tb_Activiteiten[[#All],[Subsidiabele_Activiteit]],0),MATCH(SubsidieTabel!T$1,Tb_Activiteiten[#Headers],0))=1,SubsidieTabel!$K82,0),0)</f>
        <v>0</v>
      </c>
      <c r="U82" s="284">
        <f>IFERROR(IF(INDEX(Tb_Activiteiten[#All],MATCH(SubsidieTabel!$A82,Tb_Activiteiten[[#All],[Subsidiabele_Activiteit]],0),MATCH(SubsidieTabel!U$1,Tb_Activiteiten[#Headers],0))=1,SubsidieTabel!$J82,0),0)</f>
        <v>0</v>
      </c>
      <c r="V82" s="284">
        <f>IFERROR(IF(INDEX(Tb_Activiteiten[#All],MATCH(SubsidieTabel!$A82,Tb_Activiteiten[[#All],[Subsidiabele_Activiteit]],0),MATCH(SubsidieTabel!V$1,Tb_Activiteiten[#Headers],0))=1,SubsidieTabel!$K82,0),0)</f>
        <v>0</v>
      </c>
      <c r="W82" s="369">
        <f>IFERROR(IF(INDEX(Tb_Activiteiten[#All],MATCH(SubsidieTabel!$A82,Tb_Activiteiten[[#All],[Subsidiabele_Activiteit]],0),MATCH(SubsidieTabel!Q$1,Tb_Activiteiten[#Headers],0))=1,H82,0),0)</f>
        <v>0</v>
      </c>
      <c r="X82" s="369">
        <f>IFERROR(IF(INDEX(Tb_Activiteiten[#All],MATCH(SubsidieTabel!$A82,Tb_Activiteiten[[#All],[Subsidiabele_Activiteit]],0),MATCH(SubsidieTabel!Q$1,Tb_Activiteiten[#Headers],0))=1,I82,0),0)</f>
        <v>0</v>
      </c>
      <c r="Y82" s="369">
        <f>IFERROR(IF(INDEX(Tb_Activiteiten[#All],MATCH(SubsidieTabel!$A82,Tb_Activiteiten[[#All],[Subsidiabele_Activiteit]],0),MATCH(SubsidieTabel!S$1,Tb_Activiteiten[#Headers],0))=1,H82,0),0)</f>
        <v>0</v>
      </c>
      <c r="Z82" s="369">
        <f>IFERROR(IF(INDEX(Tb_Activiteiten[#All],MATCH(SubsidieTabel!$A82,Tb_Activiteiten[[#All],[Subsidiabele_Activiteit]],0),MATCH(SubsidieTabel!S$1,Tb_Activiteiten[#Headers],0))=1,I82,0),0)</f>
        <v>0</v>
      </c>
      <c r="AA82" s="369">
        <f>IFERROR(IF(INDEX(Tb_Activiteiten[#All],MATCH(SubsidieTabel!$A82,Tb_Activiteiten[[#All],[Subsidiabele_Activiteit]],0),MATCH(SubsidieTabel!O$1,Tb_Activiteiten[#Headers],0))=1,$F82,0),0)</f>
        <v>0</v>
      </c>
      <c r="AB82" s="369">
        <f>IFERROR(IF(INDEX(Tb_Activiteiten[#All],MATCH(SubsidieTabel!$A82,Tb_Activiteiten[[#All],[Subsidiabele_Activiteit]],0),MATCH(SubsidieTabel!O$1,Tb_Activiteiten[#Headers],0))=1,$G82,0),0)</f>
        <v>0</v>
      </c>
    </row>
    <row r="83" spans="1:28" x14ac:dyDescent="0.25">
      <c r="A83" s="12"/>
      <c r="B83" s="12"/>
      <c r="C83" s="12" t="str">
        <f>IFERROR(VLOOKUP($B83,Tb_ProjectKosten[],4,0),"")</f>
        <v/>
      </c>
      <c r="D83" s="12" t="str" cm="1">
        <f t="array" ref="D83">IFERROR(INDEX(Tb_KostenOpties[],MATCH(B83,Tb_KostenOpties[KostenOptie],0),IFERROR(MATCH(Methode_Keuze,Tb_KostenOpties[#Headers],0),2)),"")</f>
        <v/>
      </c>
      <c r="E83" s="281">
        <f>IFERROR(VLOOKUP(B83,Tb_ProjectKosten[[#All],[KostenOmschrijving]:[Forfait_Percentage]],6,0),0)</f>
        <v>0</v>
      </c>
      <c r="F83" s="282">
        <f>SUMIFS('5. Kosten uitvoering project'!R:R,'5. Kosten uitvoering project'!E:E,SubsidieTabel!A83,'5. Kosten uitvoering project'!F:F,SubsidieTabel!B83)</f>
        <v>0</v>
      </c>
      <c r="G83" s="282">
        <f>SUMIFS('5. Kosten uitvoering project'!S:S,'5. Kosten uitvoering project'!E:E,SubsidieTabel!A83,'5. Kosten uitvoering project'!F:F,SubsidieTabel!B83)</f>
        <v>0</v>
      </c>
      <c r="H83" s="282">
        <f>SUMIFS('5. Kosten uitvoering project'!U:U,'5. Kosten uitvoering project'!E:E,SubsidieTabel!A83,'5. Kosten uitvoering project'!F:F,SubsidieTabel!B83)</f>
        <v>0</v>
      </c>
      <c r="I83" s="282">
        <f>SUMIFS('5. Kosten uitvoering project'!V:V,'5. Kosten uitvoering project'!E:E,SubsidieTabel!A83,'5. Kosten uitvoering project'!F:F,SubsidieTabel!B83)</f>
        <v>0</v>
      </c>
      <c r="J83" s="282">
        <f t="shared" si="9"/>
        <v>0</v>
      </c>
      <c r="K83" s="282">
        <f t="shared" si="10"/>
        <v>0</v>
      </c>
      <c r="L83" s="281" t="str">
        <f>IFERROR(VLOOKUP(A83,Lijsten!$AK:$AL,2,0),"")</f>
        <v/>
      </c>
      <c r="M83" s="282">
        <f t="shared" si="11"/>
        <v>0</v>
      </c>
      <c r="N83" s="282">
        <f t="shared" si="12"/>
        <v>0</v>
      </c>
      <c r="O83" s="282">
        <f>IFERROR(IF(INDEX(Tb_Activiteiten[#All],MATCH(SubsidieTabel!$A83,Tb_Activiteiten[[#All],[Subsidiabele_Activiteit]],0),MATCH(SubsidieTabel!O$1,Tb_Activiteiten[#Headers],0))=1,SubsidieTabel!$J83,0),0)</f>
        <v>0</v>
      </c>
      <c r="P83" s="282">
        <f>IFERROR(IF(INDEX(Tb_Activiteiten[#All],MATCH(SubsidieTabel!$A83,Tb_Activiteiten[[#All],[Subsidiabele_Activiteit]],0),MATCH(SubsidieTabel!P$1,Tb_Activiteiten[#Headers],0))=1,SubsidieTabel!$K83,0),0)</f>
        <v>0</v>
      </c>
      <c r="Q83" s="282">
        <f>IFERROR(IF(INDEX(Tb_Activiteiten[#All],MATCH(SubsidieTabel!$A83,Tb_Activiteiten[[#All],[Subsidiabele_Activiteit]],0),MATCH(SubsidieTabel!Q$1,Tb_Activiteiten[#Headers],0))=1,SubsidieTabel!$J83,0),0)</f>
        <v>0</v>
      </c>
      <c r="R83" s="282">
        <f>IFERROR(IF(INDEX(Tb_Activiteiten[#All],MATCH(SubsidieTabel!$A83,Tb_Activiteiten[[#All],[Subsidiabele_Activiteit]],0),MATCH(SubsidieTabel!R$1,Tb_Activiteiten[#Headers],0))=1,SubsidieTabel!$K83,0),0)</f>
        <v>0</v>
      </c>
      <c r="S83" s="282">
        <f>IFERROR(IF(INDEX(Tb_Activiteiten[#All],MATCH(SubsidieTabel!$A83,Tb_Activiteiten[[#All],[Subsidiabele_Activiteit]],0),MATCH(SubsidieTabel!S$1,Tb_Activiteiten[#Headers],0))=1,SubsidieTabel!$J83,0),0)</f>
        <v>0</v>
      </c>
      <c r="T83" s="282">
        <f>IFERROR(IF(INDEX(Tb_Activiteiten[#All],MATCH(SubsidieTabel!$A83,Tb_Activiteiten[[#All],[Subsidiabele_Activiteit]],0),MATCH(SubsidieTabel!T$1,Tb_Activiteiten[#Headers],0))=1,SubsidieTabel!$K83,0),0)</f>
        <v>0</v>
      </c>
      <c r="U83" s="282">
        <f>IFERROR(IF(INDEX(Tb_Activiteiten[#All],MATCH(SubsidieTabel!$A83,Tb_Activiteiten[[#All],[Subsidiabele_Activiteit]],0),MATCH(SubsidieTabel!U$1,Tb_Activiteiten[#Headers],0))=1,SubsidieTabel!$J83,0),0)</f>
        <v>0</v>
      </c>
      <c r="V83" s="282">
        <f>IFERROR(IF(INDEX(Tb_Activiteiten[#All],MATCH(SubsidieTabel!$A83,Tb_Activiteiten[[#All],[Subsidiabele_Activiteit]],0),MATCH(SubsidieTabel!V$1,Tb_Activiteiten[#Headers],0))=1,SubsidieTabel!$K83,0),0)</f>
        <v>0</v>
      </c>
      <c r="W83" s="64">
        <f>IFERROR(IF(INDEX(Tb_Activiteiten[#All],MATCH(SubsidieTabel!$A83,Tb_Activiteiten[[#All],[Subsidiabele_Activiteit]],0),MATCH(SubsidieTabel!Q$1,Tb_Activiteiten[#Headers],0))=1,H83,0),0)</f>
        <v>0</v>
      </c>
      <c r="X83" s="64">
        <f>IFERROR(IF(INDEX(Tb_Activiteiten[#All],MATCH(SubsidieTabel!$A83,Tb_Activiteiten[[#All],[Subsidiabele_Activiteit]],0),MATCH(SubsidieTabel!Q$1,Tb_Activiteiten[#Headers],0))=1,I83,0),0)</f>
        <v>0</v>
      </c>
      <c r="Y83" s="64">
        <f>IFERROR(IF(INDEX(Tb_Activiteiten[#All],MATCH(SubsidieTabel!$A83,Tb_Activiteiten[[#All],[Subsidiabele_Activiteit]],0),MATCH(SubsidieTabel!S$1,Tb_Activiteiten[#Headers],0))=1,H83,0),0)</f>
        <v>0</v>
      </c>
      <c r="Z83" s="64">
        <f>IFERROR(IF(INDEX(Tb_Activiteiten[#All],MATCH(SubsidieTabel!$A83,Tb_Activiteiten[[#All],[Subsidiabele_Activiteit]],0),MATCH(SubsidieTabel!S$1,Tb_Activiteiten[#Headers],0))=1,I83,0),0)</f>
        <v>0</v>
      </c>
      <c r="AA83" s="64">
        <f>IFERROR(IF(INDEX(Tb_Activiteiten[#All],MATCH(SubsidieTabel!$A83,Tb_Activiteiten[[#All],[Subsidiabele_Activiteit]],0),MATCH(SubsidieTabel!O$1,Tb_Activiteiten[#Headers],0))=1,$F83,0),0)</f>
        <v>0</v>
      </c>
      <c r="AB83" s="64">
        <f>IFERROR(IF(INDEX(Tb_Activiteiten[#All],MATCH(SubsidieTabel!$A83,Tb_Activiteiten[[#All],[Subsidiabele_Activiteit]],0),MATCH(SubsidieTabel!O$1,Tb_Activiteiten[#Headers],0))=1,$G83,0),0)</f>
        <v>0</v>
      </c>
    </row>
    <row r="84" spans="1:28" x14ac:dyDescent="0.25">
      <c r="A84" s="63"/>
      <c r="B84" s="63"/>
      <c r="C84" s="63" t="str">
        <f>IFERROR(VLOOKUP($B84,Tb_ProjectKosten[],4,0),"")</f>
        <v/>
      </c>
      <c r="D84" s="63" t="str" cm="1">
        <f t="array" ref="D84">IFERROR(INDEX(Tb_KostenOpties[],MATCH(B84,Tb_KostenOpties[KostenOptie],0),IFERROR(MATCH(Methode_Keuze,Tb_KostenOpties[#Headers],0),2)),"")</f>
        <v/>
      </c>
      <c r="E84" s="283">
        <f>IFERROR(VLOOKUP(B84,Tb_ProjectKosten[[#All],[KostenOmschrijving]:[Forfait_Percentage]],6,0),0)</f>
        <v>0</v>
      </c>
      <c r="F84" s="284">
        <f>SUMIFS('5. Kosten uitvoering project'!R:R,'5. Kosten uitvoering project'!E:E,SubsidieTabel!A84,'5. Kosten uitvoering project'!F:F,SubsidieTabel!B84)</f>
        <v>0</v>
      </c>
      <c r="G84" s="284">
        <f>SUMIFS('5. Kosten uitvoering project'!S:S,'5. Kosten uitvoering project'!E:E,SubsidieTabel!A84,'5. Kosten uitvoering project'!F:F,SubsidieTabel!B84)</f>
        <v>0</v>
      </c>
      <c r="H84" s="284">
        <f>SUMIFS('5. Kosten uitvoering project'!U:U,'5. Kosten uitvoering project'!E:E,SubsidieTabel!A84,'5. Kosten uitvoering project'!F:F,SubsidieTabel!B84)</f>
        <v>0</v>
      </c>
      <c r="I84" s="284">
        <f>SUMIFS('5. Kosten uitvoering project'!V:V,'5. Kosten uitvoering project'!E:E,SubsidieTabel!A84,'5. Kosten uitvoering project'!F:F,SubsidieTabel!B84)</f>
        <v>0</v>
      </c>
      <c r="J84" s="284">
        <f t="shared" si="9"/>
        <v>0</v>
      </c>
      <c r="K84" s="284">
        <f t="shared" si="10"/>
        <v>0</v>
      </c>
      <c r="L84" s="283" t="str">
        <f>IFERROR(VLOOKUP(A84,Lijsten!$AK:$AL,2,0),"")</f>
        <v/>
      </c>
      <c r="M84" s="284">
        <f t="shared" si="11"/>
        <v>0</v>
      </c>
      <c r="N84" s="284">
        <f t="shared" si="12"/>
        <v>0</v>
      </c>
      <c r="O84" s="284">
        <f>IFERROR(IF(INDEX(Tb_Activiteiten[#All],MATCH(SubsidieTabel!$A84,Tb_Activiteiten[[#All],[Subsidiabele_Activiteit]],0),MATCH(SubsidieTabel!O$1,Tb_Activiteiten[#Headers],0))=1,SubsidieTabel!$J84,0),0)</f>
        <v>0</v>
      </c>
      <c r="P84" s="284">
        <f>IFERROR(IF(INDEX(Tb_Activiteiten[#All],MATCH(SubsidieTabel!$A84,Tb_Activiteiten[[#All],[Subsidiabele_Activiteit]],0),MATCH(SubsidieTabel!P$1,Tb_Activiteiten[#Headers],0))=1,SubsidieTabel!$K84,0),0)</f>
        <v>0</v>
      </c>
      <c r="Q84" s="284">
        <f>IFERROR(IF(INDEX(Tb_Activiteiten[#All],MATCH(SubsidieTabel!$A84,Tb_Activiteiten[[#All],[Subsidiabele_Activiteit]],0),MATCH(SubsidieTabel!Q$1,Tb_Activiteiten[#Headers],0))=1,SubsidieTabel!$J84,0),0)</f>
        <v>0</v>
      </c>
      <c r="R84" s="284">
        <f>IFERROR(IF(INDEX(Tb_Activiteiten[#All],MATCH(SubsidieTabel!$A84,Tb_Activiteiten[[#All],[Subsidiabele_Activiteit]],0),MATCH(SubsidieTabel!R$1,Tb_Activiteiten[#Headers],0))=1,SubsidieTabel!$K84,0),0)</f>
        <v>0</v>
      </c>
      <c r="S84" s="284">
        <f>IFERROR(IF(INDEX(Tb_Activiteiten[#All],MATCH(SubsidieTabel!$A84,Tb_Activiteiten[[#All],[Subsidiabele_Activiteit]],0),MATCH(SubsidieTabel!S$1,Tb_Activiteiten[#Headers],0))=1,SubsidieTabel!$J84,0),0)</f>
        <v>0</v>
      </c>
      <c r="T84" s="284">
        <f>IFERROR(IF(INDEX(Tb_Activiteiten[#All],MATCH(SubsidieTabel!$A84,Tb_Activiteiten[[#All],[Subsidiabele_Activiteit]],0),MATCH(SubsidieTabel!T$1,Tb_Activiteiten[#Headers],0))=1,SubsidieTabel!$K84,0),0)</f>
        <v>0</v>
      </c>
      <c r="U84" s="284">
        <f>IFERROR(IF(INDEX(Tb_Activiteiten[#All],MATCH(SubsidieTabel!$A84,Tb_Activiteiten[[#All],[Subsidiabele_Activiteit]],0),MATCH(SubsidieTabel!U$1,Tb_Activiteiten[#Headers],0))=1,SubsidieTabel!$J84,0),0)</f>
        <v>0</v>
      </c>
      <c r="V84" s="284">
        <f>IFERROR(IF(INDEX(Tb_Activiteiten[#All],MATCH(SubsidieTabel!$A84,Tb_Activiteiten[[#All],[Subsidiabele_Activiteit]],0),MATCH(SubsidieTabel!V$1,Tb_Activiteiten[#Headers],0))=1,SubsidieTabel!$K84,0),0)</f>
        <v>0</v>
      </c>
      <c r="W84" s="369">
        <f>IFERROR(IF(INDEX(Tb_Activiteiten[#All],MATCH(SubsidieTabel!$A84,Tb_Activiteiten[[#All],[Subsidiabele_Activiteit]],0),MATCH(SubsidieTabel!Q$1,Tb_Activiteiten[#Headers],0))=1,H84,0),0)</f>
        <v>0</v>
      </c>
      <c r="X84" s="369">
        <f>IFERROR(IF(INDEX(Tb_Activiteiten[#All],MATCH(SubsidieTabel!$A84,Tb_Activiteiten[[#All],[Subsidiabele_Activiteit]],0),MATCH(SubsidieTabel!Q$1,Tb_Activiteiten[#Headers],0))=1,I84,0),0)</f>
        <v>0</v>
      </c>
      <c r="Y84" s="369">
        <f>IFERROR(IF(INDEX(Tb_Activiteiten[#All],MATCH(SubsidieTabel!$A84,Tb_Activiteiten[[#All],[Subsidiabele_Activiteit]],0),MATCH(SubsidieTabel!S$1,Tb_Activiteiten[#Headers],0))=1,H84,0),0)</f>
        <v>0</v>
      </c>
      <c r="Z84" s="369">
        <f>IFERROR(IF(INDEX(Tb_Activiteiten[#All],MATCH(SubsidieTabel!$A84,Tb_Activiteiten[[#All],[Subsidiabele_Activiteit]],0),MATCH(SubsidieTabel!S$1,Tb_Activiteiten[#Headers],0))=1,I84,0),0)</f>
        <v>0</v>
      </c>
      <c r="AA84" s="369">
        <f>IFERROR(IF(INDEX(Tb_Activiteiten[#All],MATCH(SubsidieTabel!$A84,Tb_Activiteiten[[#All],[Subsidiabele_Activiteit]],0),MATCH(SubsidieTabel!O$1,Tb_Activiteiten[#Headers],0))=1,$F84,0),0)</f>
        <v>0</v>
      </c>
      <c r="AB84" s="369">
        <f>IFERROR(IF(INDEX(Tb_Activiteiten[#All],MATCH(SubsidieTabel!$A84,Tb_Activiteiten[[#All],[Subsidiabele_Activiteit]],0),MATCH(SubsidieTabel!O$1,Tb_Activiteiten[#Headers],0))=1,$G84,0),0)</f>
        <v>0</v>
      </c>
    </row>
    <row r="85" spans="1:28" x14ac:dyDescent="0.25">
      <c r="A85" s="12"/>
      <c r="B85" s="12"/>
      <c r="C85" s="12" t="str">
        <f>IFERROR(VLOOKUP($B85,Tb_ProjectKosten[],4,0),"")</f>
        <v/>
      </c>
      <c r="D85" s="12" t="str" cm="1">
        <f t="array" ref="D85">IFERROR(INDEX(Tb_KostenOpties[],MATCH(B85,Tb_KostenOpties[KostenOptie],0),IFERROR(MATCH(Methode_Keuze,Tb_KostenOpties[#Headers],0),2)),"")</f>
        <v/>
      </c>
      <c r="E85" s="281">
        <f>IFERROR(VLOOKUP(B85,Tb_ProjectKosten[[#All],[KostenOmschrijving]:[Forfait_Percentage]],6,0),0)</f>
        <v>0</v>
      </c>
      <c r="F85" s="282">
        <f>SUMIFS('5. Kosten uitvoering project'!R:R,'5. Kosten uitvoering project'!E:E,SubsidieTabel!A85,'5. Kosten uitvoering project'!F:F,SubsidieTabel!B85)</f>
        <v>0</v>
      </c>
      <c r="G85" s="282">
        <f>SUMIFS('5. Kosten uitvoering project'!S:S,'5. Kosten uitvoering project'!E:E,SubsidieTabel!A85,'5. Kosten uitvoering project'!F:F,SubsidieTabel!B85)</f>
        <v>0</v>
      </c>
      <c r="H85" s="282">
        <f>SUMIFS('5. Kosten uitvoering project'!U:U,'5. Kosten uitvoering project'!E:E,SubsidieTabel!A85,'5. Kosten uitvoering project'!F:F,SubsidieTabel!B85)</f>
        <v>0</v>
      </c>
      <c r="I85" s="282">
        <f>SUMIFS('5. Kosten uitvoering project'!V:V,'5. Kosten uitvoering project'!E:E,SubsidieTabel!A85,'5. Kosten uitvoering project'!F:F,SubsidieTabel!B85)</f>
        <v>0</v>
      </c>
      <c r="J85" s="282">
        <f t="shared" si="9"/>
        <v>0</v>
      </c>
      <c r="K85" s="282">
        <f t="shared" si="10"/>
        <v>0</v>
      </c>
      <c r="L85" s="281" t="str">
        <f>IFERROR(VLOOKUP(A85,Lijsten!$AK:$AL,2,0),"")</f>
        <v/>
      </c>
      <c r="M85" s="282">
        <f t="shared" si="11"/>
        <v>0</v>
      </c>
      <c r="N85" s="282">
        <f t="shared" si="12"/>
        <v>0</v>
      </c>
      <c r="O85" s="282">
        <f>IFERROR(IF(INDEX(Tb_Activiteiten[#All],MATCH(SubsidieTabel!$A85,Tb_Activiteiten[[#All],[Subsidiabele_Activiteit]],0),MATCH(SubsidieTabel!O$1,Tb_Activiteiten[#Headers],0))=1,SubsidieTabel!$J85,0),0)</f>
        <v>0</v>
      </c>
      <c r="P85" s="282">
        <f>IFERROR(IF(INDEX(Tb_Activiteiten[#All],MATCH(SubsidieTabel!$A85,Tb_Activiteiten[[#All],[Subsidiabele_Activiteit]],0),MATCH(SubsidieTabel!P$1,Tb_Activiteiten[#Headers],0))=1,SubsidieTabel!$K85,0),0)</f>
        <v>0</v>
      </c>
      <c r="Q85" s="282">
        <f>IFERROR(IF(INDEX(Tb_Activiteiten[#All],MATCH(SubsidieTabel!$A85,Tb_Activiteiten[[#All],[Subsidiabele_Activiteit]],0),MATCH(SubsidieTabel!Q$1,Tb_Activiteiten[#Headers],0))=1,SubsidieTabel!$J85,0),0)</f>
        <v>0</v>
      </c>
      <c r="R85" s="282">
        <f>IFERROR(IF(INDEX(Tb_Activiteiten[#All],MATCH(SubsidieTabel!$A85,Tb_Activiteiten[[#All],[Subsidiabele_Activiteit]],0),MATCH(SubsidieTabel!R$1,Tb_Activiteiten[#Headers],0))=1,SubsidieTabel!$K85,0),0)</f>
        <v>0</v>
      </c>
      <c r="S85" s="282">
        <f>IFERROR(IF(INDEX(Tb_Activiteiten[#All],MATCH(SubsidieTabel!$A85,Tb_Activiteiten[[#All],[Subsidiabele_Activiteit]],0),MATCH(SubsidieTabel!S$1,Tb_Activiteiten[#Headers],0))=1,SubsidieTabel!$J85,0),0)</f>
        <v>0</v>
      </c>
      <c r="T85" s="282">
        <f>IFERROR(IF(INDEX(Tb_Activiteiten[#All],MATCH(SubsidieTabel!$A85,Tb_Activiteiten[[#All],[Subsidiabele_Activiteit]],0),MATCH(SubsidieTabel!T$1,Tb_Activiteiten[#Headers],0))=1,SubsidieTabel!$K85,0),0)</f>
        <v>0</v>
      </c>
      <c r="U85" s="282">
        <f>IFERROR(IF(INDEX(Tb_Activiteiten[#All],MATCH(SubsidieTabel!$A85,Tb_Activiteiten[[#All],[Subsidiabele_Activiteit]],0),MATCH(SubsidieTabel!U$1,Tb_Activiteiten[#Headers],0))=1,SubsidieTabel!$J85,0),0)</f>
        <v>0</v>
      </c>
      <c r="V85" s="282">
        <f>IFERROR(IF(INDEX(Tb_Activiteiten[#All],MATCH(SubsidieTabel!$A85,Tb_Activiteiten[[#All],[Subsidiabele_Activiteit]],0),MATCH(SubsidieTabel!V$1,Tb_Activiteiten[#Headers],0))=1,SubsidieTabel!$K85,0),0)</f>
        <v>0</v>
      </c>
      <c r="W85" s="64">
        <f>IFERROR(IF(INDEX(Tb_Activiteiten[#All],MATCH(SubsidieTabel!$A85,Tb_Activiteiten[[#All],[Subsidiabele_Activiteit]],0),MATCH(SubsidieTabel!Q$1,Tb_Activiteiten[#Headers],0))=1,H85,0),0)</f>
        <v>0</v>
      </c>
      <c r="X85" s="64">
        <f>IFERROR(IF(INDEX(Tb_Activiteiten[#All],MATCH(SubsidieTabel!$A85,Tb_Activiteiten[[#All],[Subsidiabele_Activiteit]],0),MATCH(SubsidieTabel!Q$1,Tb_Activiteiten[#Headers],0))=1,I85,0),0)</f>
        <v>0</v>
      </c>
      <c r="Y85" s="64">
        <f>IFERROR(IF(INDEX(Tb_Activiteiten[#All],MATCH(SubsidieTabel!$A85,Tb_Activiteiten[[#All],[Subsidiabele_Activiteit]],0),MATCH(SubsidieTabel!S$1,Tb_Activiteiten[#Headers],0))=1,H85,0),0)</f>
        <v>0</v>
      </c>
      <c r="Z85" s="64">
        <f>IFERROR(IF(INDEX(Tb_Activiteiten[#All],MATCH(SubsidieTabel!$A85,Tb_Activiteiten[[#All],[Subsidiabele_Activiteit]],0),MATCH(SubsidieTabel!S$1,Tb_Activiteiten[#Headers],0))=1,I85,0),0)</f>
        <v>0</v>
      </c>
      <c r="AA85" s="64">
        <f>IFERROR(IF(INDEX(Tb_Activiteiten[#All],MATCH(SubsidieTabel!$A85,Tb_Activiteiten[[#All],[Subsidiabele_Activiteit]],0),MATCH(SubsidieTabel!O$1,Tb_Activiteiten[#Headers],0))=1,$F85,0),0)</f>
        <v>0</v>
      </c>
      <c r="AB85" s="64">
        <f>IFERROR(IF(INDEX(Tb_Activiteiten[#All],MATCH(SubsidieTabel!$A85,Tb_Activiteiten[[#All],[Subsidiabele_Activiteit]],0),MATCH(SubsidieTabel!O$1,Tb_Activiteiten[#Headers],0))=1,$G85,0),0)</f>
        <v>0</v>
      </c>
    </row>
    <row r="86" spans="1:28" x14ac:dyDescent="0.25">
      <c r="A86" s="63"/>
      <c r="B86" s="63"/>
      <c r="C86" s="63" t="str">
        <f>IFERROR(VLOOKUP($B86,Tb_ProjectKosten[],4,0),"")</f>
        <v/>
      </c>
      <c r="D86" s="63" t="str" cm="1">
        <f t="array" ref="D86">IFERROR(INDEX(Tb_KostenOpties[],MATCH(B86,Tb_KostenOpties[KostenOptie],0),IFERROR(MATCH(Methode_Keuze,Tb_KostenOpties[#Headers],0),2)),"")</f>
        <v/>
      </c>
      <c r="E86" s="283">
        <f>IFERROR(VLOOKUP(B86,Tb_ProjectKosten[[#All],[KostenOmschrijving]:[Forfait_Percentage]],6,0),0)</f>
        <v>0</v>
      </c>
      <c r="F86" s="284">
        <f>SUMIFS('5. Kosten uitvoering project'!R:R,'5. Kosten uitvoering project'!E:E,SubsidieTabel!A86,'5. Kosten uitvoering project'!F:F,SubsidieTabel!B86)</f>
        <v>0</v>
      </c>
      <c r="G86" s="284">
        <f>SUMIFS('5. Kosten uitvoering project'!S:S,'5. Kosten uitvoering project'!E:E,SubsidieTabel!A86,'5. Kosten uitvoering project'!F:F,SubsidieTabel!B86)</f>
        <v>0</v>
      </c>
      <c r="H86" s="284">
        <f>SUMIFS('5. Kosten uitvoering project'!U:U,'5. Kosten uitvoering project'!E:E,SubsidieTabel!A86,'5. Kosten uitvoering project'!F:F,SubsidieTabel!B86)</f>
        <v>0</v>
      </c>
      <c r="I86" s="284">
        <f>SUMIFS('5. Kosten uitvoering project'!V:V,'5. Kosten uitvoering project'!E:E,SubsidieTabel!A86,'5. Kosten uitvoering project'!F:F,SubsidieTabel!B86)</f>
        <v>0</v>
      </c>
      <c r="J86" s="284">
        <f t="shared" si="9"/>
        <v>0</v>
      </c>
      <c r="K86" s="284">
        <f t="shared" si="10"/>
        <v>0</v>
      </c>
      <c r="L86" s="283" t="str">
        <f>IFERROR(VLOOKUP(A86,Lijsten!$AK:$AL,2,0),"")</f>
        <v/>
      </c>
      <c r="M86" s="284">
        <f t="shared" si="11"/>
        <v>0</v>
      </c>
      <c r="N86" s="284">
        <f t="shared" si="12"/>
        <v>0</v>
      </c>
      <c r="O86" s="284">
        <f>IFERROR(IF(INDEX(Tb_Activiteiten[#All],MATCH(SubsidieTabel!$A86,Tb_Activiteiten[[#All],[Subsidiabele_Activiteit]],0),MATCH(SubsidieTabel!O$1,Tb_Activiteiten[#Headers],0))=1,SubsidieTabel!$J86,0),0)</f>
        <v>0</v>
      </c>
      <c r="P86" s="284">
        <f>IFERROR(IF(INDEX(Tb_Activiteiten[#All],MATCH(SubsidieTabel!$A86,Tb_Activiteiten[[#All],[Subsidiabele_Activiteit]],0),MATCH(SubsidieTabel!P$1,Tb_Activiteiten[#Headers],0))=1,SubsidieTabel!$K86,0),0)</f>
        <v>0</v>
      </c>
      <c r="Q86" s="284">
        <f>IFERROR(IF(INDEX(Tb_Activiteiten[#All],MATCH(SubsidieTabel!$A86,Tb_Activiteiten[[#All],[Subsidiabele_Activiteit]],0),MATCH(SubsidieTabel!Q$1,Tb_Activiteiten[#Headers],0))=1,SubsidieTabel!$J86,0),0)</f>
        <v>0</v>
      </c>
      <c r="R86" s="284">
        <f>IFERROR(IF(INDEX(Tb_Activiteiten[#All],MATCH(SubsidieTabel!$A86,Tb_Activiteiten[[#All],[Subsidiabele_Activiteit]],0),MATCH(SubsidieTabel!R$1,Tb_Activiteiten[#Headers],0))=1,SubsidieTabel!$K86,0),0)</f>
        <v>0</v>
      </c>
      <c r="S86" s="284">
        <f>IFERROR(IF(INDEX(Tb_Activiteiten[#All],MATCH(SubsidieTabel!$A86,Tb_Activiteiten[[#All],[Subsidiabele_Activiteit]],0),MATCH(SubsidieTabel!S$1,Tb_Activiteiten[#Headers],0))=1,SubsidieTabel!$J86,0),0)</f>
        <v>0</v>
      </c>
      <c r="T86" s="284">
        <f>IFERROR(IF(INDEX(Tb_Activiteiten[#All],MATCH(SubsidieTabel!$A86,Tb_Activiteiten[[#All],[Subsidiabele_Activiteit]],0),MATCH(SubsidieTabel!T$1,Tb_Activiteiten[#Headers],0))=1,SubsidieTabel!$K86,0),0)</f>
        <v>0</v>
      </c>
      <c r="U86" s="284">
        <f>IFERROR(IF(INDEX(Tb_Activiteiten[#All],MATCH(SubsidieTabel!$A86,Tb_Activiteiten[[#All],[Subsidiabele_Activiteit]],0),MATCH(SubsidieTabel!U$1,Tb_Activiteiten[#Headers],0))=1,SubsidieTabel!$J86,0),0)</f>
        <v>0</v>
      </c>
      <c r="V86" s="284">
        <f>IFERROR(IF(INDEX(Tb_Activiteiten[#All],MATCH(SubsidieTabel!$A86,Tb_Activiteiten[[#All],[Subsidiabele_Activiteit]],0),MATCH(SubsidieTabel!V$1,Tb_Activiteiten[#Headers],0))=1,SubsidieTabel!$K86,0),0)</f>
        <v>0</v>
      </c>
      <c r="W86" s="369">
        <f>IFERROR(IF(INDEX(Tb_Activiteiten[#All],MATCH(SubsidieTabel!$A86,Tb_Activiteiten[[#All],[Subsidiabele_Activiteit]],0),MATCH(SubsidieTabel!Q$1,Tb_Activiteiten[#Headers],0))=1,H86,0),0)</f>
        <v>0</v>
      </c>
      <c r="X86" s="369">
        <f>IFERROR(IF(INDEX(Tb_Activiteiten[#All],MATCH(SubsidieTabel!$A86,Tb_Activiteiten[[#All],[Subsidiabele_Activiteit]],0),MATCH(SubsidieTabel!Q$1,Tb_Activiteiten[#Headers],0))=1,I86,0),0)</f>
        <v>0</v>
      </c>
      <c r="Y86" s="369">
        <f>IFERROR(IF(INDEX(Tb_Activiteiten[#All],MATCH(SubsidieTabel!$A86,Tb_Activiteiten[[#All],[Subsidiabele_Activiteit]],0),MATCH(SubsidieTabel!S$1,Tb_Activiteiten[#Headers],0))=1,H86,0),0)</f>
        <v>0</v>
      </c>
      <c r="Z86" s="369">
        <f>IFERROR(IF(INDEX(Tb_Activiteiten[#All],MATCH(SubsidieTabel!$A86,Tb_Activiteiten[[#All],[Subsidiabele_Activiteit]],0),MATCH(SubsidieTabel!S$1,Tb_Activiteiten[#Headers],0))=1,I86,0),0)</f>
        <v>0</v>
      </c>
      <c r="AA86" s="369">
        <f>IFERROR(IF(INDEX(Tb_Activiteiten[#All],MATCH(SubsidieTabel!$A86,Tb_Activiteiten[[#All],[Subsidiabele_Activiteit]],0),MATCH(SubsidieTabel!O$1,Tb_Activiteiten[#Headers],0))=1,$F86,0),0)</f>
        <v>0</v>
      </c>
      <c r="AB86" s="369">
        <f>IFERROR(IF(INDEX(Tb_Activiteiten[#All],MATCH(SubsidieTabel!$A86,Tb_Activiteiten[[#All],[Subsidiabele_Activiteit]],0),MATCH(SubsidieTabel!O$1,Tb_Activiteiten[#Headers],0))=1,$G86,0),0)</f>
        <v>0</v>
      </c>
    </row>
    <row r="87" spans="1:28" x14ac:dyDescent="0.25">
      <c r="A87" s="12"/>
      <c r="B87" s="12"/>
      <c r="C87" s="12" t="str">
        <f>IFERROR(VLOOKUP($B87,Tb_ProjectKosten[],4,0),"")</f>
        <v/>
      </c>
      <c r="D87" s="12" t="str" cm="1">
        <f t="array" ref="D87">IFERROR(INDEX(Tb_KostenOpties[],MATCH(B87,Tb_KostenOpties[KostenOptie],0),IFERROR(MATCH(Methode_Keuze,Tb_KostenOpties[#Headers],0),2)),"")</f>
        <v/>
      </c>
      <c r="E87" s="281">
        <f>IFERROR(VLOOKUP(B87,Tb_ProjectKosten[[#All],[KostenOmschrijving]:[Forfait_Percentage]],6,0),0)</f>
        <v>0</v>
      </c>
      <c r="F87" s="282">
        <f>SUMIFS('5. Kosten uitvoering project'!R:R,'5. Kosten uitvoering project'!E:E,SubsidieTabel!A87,'5. Kosten uitvoering project'!F:F,SubsidieTabel!B87)</f>
        <v>0</v>
      </c>
      <c r="G87" s="282">
        <f>SUMIFS('5. Kosten uitvoering project'!S:S,'5. Kosten uitvoering project'!E:E,SubsidieTabel!A87,'5. Kosten uitvoering project'!F:F,SubsidieTabel!B87)</f>
        <v>0</v>
      </c>
      <c r="H87" s="282">
        <f>SUMIFS('5. Kosten uitvoering project'!U:U,'5. Kosten uitvoering project'!E:E,SubsidieTabel!A87,'5. Kosten uitvoering project'!F:F,SubsidieTabel!B87)</f>
        <v>0</v>
      </c>
      <c r="I87" s="282">
        <f>SUMIFS('5. Kosten uitvoering project'!V:V,'5. Kosten uitvoering project'!E:E,SubsidieTabel!A87,'5. Kosten uitvoering project'!F:F,SubsidieTabel!B87)</f>
        <v>0</v>
      </c>
      <c r="J87" s="282">
        <f t="shared" si="9"/>
        <v>0</v>
      </c>
      <c r="K87" s="282">
        <f t="shared" si="10"/>
        <v>0</v>
      </c>
      <c r="L87" s="281" t="str">
        <f>IFERROR(VLOOKUP(A87,Lijsten!$AK:$AL,2,0),"")</f>
        <v/>
      </c>
      <c r="M87" s="282">
        <f t="shared" si="11"/>
        <v>0</v>
      </c>
      <c r="N87" s="282">
        <f t="shared" si="12"/>
        <v>0</v>
      </c>
      <c r="O87" s="282">
        <f>IFERROR(IF(INDEX(Tb_Activiteiten[#All],MATCH(SubsidieTabel!$A87,Tb_Activiteiten[[#All],[Subsidiabele_Activiteit]],0),MATCH(SubsidieTabel!O$1,Tb_Activiteiten[#Headers],0))=1,SubsidieTabel!$J87,0),0)</f>
        <v>0</v>
      </c>
      <c r="P87" s="282">
        <f>IFERROR(IF(INDEX(Tb_Activiteiten[#All],MATCH(SubsidieTabel!$A87,Tb_Activiteiten[[#All],[Subsidiabele_Activiteit]],0),MATCH(SubsidieTabel!P$1,Tb_Activiteiten[#Headers],0))=1,SubsidieTabel!$K87,0),0)</f>
        <v>0</v>
      </c>
      <c r="Q87" s="282">
        <f>IFERROR(IF(INDEX(Tb_Activiteiten[#All],MATCH(SubsidieTabel!$A87,Tb_Activiteiten[[#All],[Subsidiabele_Activiteit]],0),MATCH(SubsidieTabel!Q$1,Tb_Activiteiten[#Headers],0))=1,SubsidieTabel!$J87,0),0)</f>
        <v>0</v>
      </c>
      <c r="R87" s="282">
        <f>IFERROR(IF(INDEX(Tb_Activiteiten[#All],MATCH(SubsidieTabel!$A87,Tb_Activiteiten[[#All],[Subsidiabele_Activiteit]],0),MATCH(SubsidieTabel!R$1,Tb_Activiteiten[#Headers],0))=1,SubsidieTabel!$K87,0),0)</f>
        <v>0</v>
      </c>
      <c r="S87" s="282">
        <f>IFERROR(IF(INDEX(Tb_Activiteiten[#All],MATCH(SubsidieTabel!$A87,Tb_Activiteiten[[#All],[Subsidiabele_Activiteit]],0),MATCH(SubsidieTabel!S$1,Tb_Activiteiten[#Headers],0))=1,SubsidieTabel!$J87,0),0)</f>
        <v>0</v>
      </c>
      <c r="T87" s="282">
        <f>IFERROR(IF(INDEX(Tb_Activiteiten[#All],MATCH(SubsidieTabel!$A87,Tb_Activiteiten[[#All],[Subsidiabele_Activiteit]],0),MATCH(SubsidieTabel!T$1,Tb_Activiteiten[#Headers],0))=1,SubsidieTabel!$K87,0),0)</f>
        <v>0</v>
      </c>
      <c r="U87" s="282">
        <f>IFERROR(IF(INDEX(Tb_Activiteiten[#All],MATCH(SubsidieTabel!$A87,Tb_Activiteiten[[#All],[Subsidiabele_Activiteit]],0),MATCH(SubsidieTabel!U$1,Tb_Activiteiten[#Headers],0))=1,SubsidieTabel!$J87,0),0)</f>
        <v>0</v>
      </c>
      <c r="V87" s="282">
        <f>IFERROR(IF(INDEX(Tb_Activiteiten[#All],MATCH(SubsidieTabel!$A87,Tb_Activiteiten[[#All],[Subsidiabele_Activiteit]],0),MATCH(SubsidieTabel!V$1,Tb_Activiteiten[#Headers],0))=1,SubsidieTabel!$K87,0),0)</f>
        <v>0</v>
      </c>
      <c r="W87" s="64">
        <f>IFERROR(IF(INDEX(Tb_Activiteiten[#All],MATCH(SubsidieTabel!$A87,Tb_Activiteiten[[#All],[Subsidiabele_Activiteit]],0),MATCH(SubsidieTabel!Q$1,Tb_Activiteiten[#Headers],0))=1,H87,0),0)</f>
        <v>0</v>
      </c>
      <c r="X87" s="64">
        <f>IFERROR(IF(INDEX(Tb_Activiteiten[#All],MATCH(SubsidieTabel!$A87,Tb_Activiteiten[[#All],[Subsidiabele_Activiteit]],0),MATCH(SubsidieTabel!Q$1,Tb_Activiteiten[#Headers],0))=1,I87,0),0)</f>
        <v>0</v>
      </c>
      <c r="Y87" s="64">
        <f>IFERROR(IF(INDEX(Tb_Activiteiten[#All],MATCH(SubsidieTabel!$A87,Tb_Activiteiten[[#All],[Subsidiabele_Activiteit]],0),MATCH(SubsidieTabel!S$1,Tb_Activiteiten[#Headers],0))=1,H87,0),0)</f>
        <v>0</v>
      </c>
      <c r="Z87" s="64">
        <f>IFERROR(IF(INDEX(Tb_Activiteiten[#All],MATCH(SubsidieTabel!$A87,Tb_Activiteiten[[#All],[Subsidiabele_Activiteit]],0),MATCH(SubsidieTabel!S$1,Tb_Activiteiten[#Headers],0))=1,I87,0),0)</f>
        <v>0</v>
      </c>
      <c r="AA87" s="64">
        <f>IFERROR(IF(INDEX(Tb_Activiteiten[#All],MATCH(SubsidieTabel!$A87,Tb_Activiteiten[[#All],[Subsidiabele_Activiteit]],0),MATCH(SubsidieTabel!O$1,Tb_Activiteiten[#Headers],0))=1,$F87,0),0)</f>
        <v>0</v>
      </c>
      <c r="AB87" s="64">
        <f>IFERROR(IF(INDEX(Tb_Activiteiten[#All],MATCH(SubsidieTabel!$A87,Tb_Activiteiten[[#All],[Subsidiabele_Activiteit]],0),MATCH(SubsidieTabel!O$1,Tb_Activiteiten[#Headers],0))=1,$G87,0),0)</f>
        <v>0</v>
      </c>
    </row>
    <row r="88" spans="1:28" x14ac:dyDescent="0.25">
      <c r="A88" s="63"/>
      <c r="B88" s="63"/>
      <c r="C88" s="63" t="str">
        <f>IFERROR(VLOOKUP($B88,Tb_ProjectKosten[],4,0),"")</f>
        <v/>
      </c>
      <c r="D88" s="63" t="str" cm="1">
        <f t="array" ref="D88">IFERROR(INDEX(Tb_KostenOpties[],MATCH(B88,Tb_KostenOpties[KostenOptie],0),IFERROR(MATCH(Methode_Keuze,Tb_KostenOpties[#Headers],0),2)),"")</f>
        <v/>
      </c>
      <c r="E88" s="283">
        <f>IFERROR(VLOOKUP(B88,Tb_ProjectKosten[[#All],[KostenOmschrijving]:[Forfait_Percentage]],6,0),0)</f>
        <v>0</v>
      </c>
      <c r="F88" s="284">
        <f>SUMIFS('5. Kosten uitvoering project'!R:R,'5. Kosten uitvoering project'!E:E,SubsidieTabel!A88,'5. Kosten uitvoering project'!F:F,SubsidieTabel!B88)</f>
        <v>0</v>
      </c>
      <c r="G88" s="284">
        <f>SUMIFS('5. Kosten uitvoering project'!S:S,'5. Kosten uitvoering project'!E:E,SubsidieTabel!A88,'5. Kosten uitvoering project'!F:F,SubsidieTabel!B88)</f>
        <v>0</v>
      </c>
      <c r="H88" s="284">
        <f>SUMIFS('5. Kosten uitvoering project'!U:U,'5. Kosten uitvoering project'!E:E,SubsidieTabel!A88,'5. Kosten uitvoering project'!F:F,SubsidieTabel!B88)</f>
        <v>0</v>
      </c>
      <c r="I88" s="284">
        <f>SUMIFS('5. Kosten uitvoering project'!V:V,'5. Kosten uitvoering project'!E:E,SubsidieTabel!A88,'5. Kosten uitvoering project'!F:F,SubsidieTabel!B88)</f>
        <v>0</v>
      </c>
      <c r="J88" s="284">
        <f t="shared" si="9"/>
        <v>0</v>
      </c>
      <c r="K88" s="284">
        <f t="shared" si="10"/>
        <v>0</v>
      </c>
      <c r="L88" s="283" t="str">
        <f>IFERROR(VLOOKUP(A88,Lijsten!$AK:$AL,2,0),"")</f>
        <v/>
      </c>
      <c r="M88" s="284">
        <f t="shared" si="11"/>
        <v>0</v>
      </c>
      <c r="N88" s="284">
        <f t="shared" si="12"/>
        <v>0</v>
      </c>
      <c r="O88" s="284">
        <f>IFERROR(IF(INDEX(Tb_Activiteiten[#All],MATCH(SubsidieTabel!$A88,Tb_Activiteiten[[#All],[Subsidiabele_Activiteit]],0),MATCH(SubsidieTabel!O$1,Tb_Activiteiten[#Headers],0))=1,SubsidieTabel!$J88,0),0)</f>
        <v>0</v>
      </c>
      <c r="P88" s="284">
        <f>IFERROR(IF(INDEX(Tb_Activiteiten[#All],MATCH(SubsidieTabel!$A88,Tb_Activiteiten[[#All],[Subsidiabele_Activiteit]],0),MATCH(SubsidieTabel!P$1,Tb_Activiteiten[#Headers],0))=1,SubsidieTabel!$K88,0),0)</f>
        <v>0</v>
      </c>
      <c r="Q88" s="284">
        <f>IFERROR(IF(INDEX(Tb_Activiteiten[#All],MATCH(SubsidieTabel!$A88,Tb_Activiteiten[[#All],[Subsidiabele_Activiteit]],0),MATCH(SubsidieTabel!Q$1,Tb_Activiteiten[#Headers],0))=1,SubsidieTabel!$J88,0),0)</f>
        <v>0</v>
      </c>
      <c r="R88" s="284">
        <f>IFERROR(IF(INDEX(Tb_Activiteiten[#All],MATCH(SubsidieTabel!$A88,Tb_Activiteiten[[#All],[Subsidiabele_Activiteit]],0),MATCH(SubsidieTabel!R$1,Tb_Activiteiten[#Headers],0))=1,SubsidieTabel!$K88,0),0)</f>
        <v>0</v>
      </c>
      <c r="S88" s="284">
        <f>IFERROR(IF(INDEX(Tb_Activiteiten[#All],MATCH(SubsidieTabel!$A88,Tb_Activiteiten[[#All],[Subsidiabele_Activiteit]],0),MATCH(SubsidieTabel!S$1,Tb_Activiteiten[#Headers],0))=1,SubsidieTabel!$J88,0),0)</f>
        <v>0</v>
      </c>
      <c r="T88" s="284">
        <f>IFERROR(IF(INDEX(Tb_Activiteiten[#All],MATCH(SubsidieTabel!$A88,Tb_Activiteiten[[#All],[Subsidiabele_Activiteit]],0),MATCH(SubsidieTabel!T$1,Tb_Activiteiten[#Headers],0))=1,SubsidieTabel!$K88,0),0)</f>
        <v>0</v>
      </c>
      <c r="U88" s="284">
        <f>IFERROR(IF(INDEX(Tb_Activiteiten[#All],MATCH(SubsidieTabel!$A88,Tb_Activiteiten[[#All],[Subsidiabele_Activiteit]],0),MATCH(SubsidieTabel!U$1,Tb_Activiteiten[#Headers],0))=1,SubsidieTabel!$J88,0),0)</f>
        <v>0</v>
      </c>
      <c r="V88" s="284">
        <f>IFERROR(IF(INDEX(Tb_Activiteiten[#All],MATCH(SubsidieTabel!$A88,Tb_Activiteiten[[#All],[Subsidiabele_Activiteit]],0),MATCH(SubsidieTabel!V$1,Tb_Activiteiten[#Headers],0))=1,SubsidieTabel!$K88,0),0)</f>
        <v>0</v>
      </c>
      <c r="W88" s="369">
        <f>IFERROR(IF(INDEX(Tb_Activiteiten[#All],MATCH(SubsidieTabel!$A88,Tb_Activiteiten[[#All],[Subsidiabele_Activiteit]],0),MATCH(SubsidieTabel!Q$1,Tb_Activiteiten[#Headers],0))=1,H88,0),0)</f>
        <v>0</v>
      </c>
      <c r="X88" s="369">
        <f>IFERROR(IF(INDEX(Tb_Activiteiten[#All],MATCH(SubsidieTabel!$A88,Tb_Activiteiten[[#All],[Subsidiabele_Activiteit]],0),MATCH(SubsidieTabel!Q$1,Tb_Activiteiten[#Headers],0))=1,I88,0),0)</f>
        <v>0</v>
      </c>
      <c r="Y88" s="369">
        <f>IFERROR(IF(INDEX(Tb_Activiteiten[#All],MATCH(SubsidieTabel!$A88,Tb_Activiteiten[[#All],[Subsidiabele_Activiteit]],0),MATCH(SubsidieTabel!S$1,Tb_Activiteiten[#Headers],0))=1,H88,0),0)</f>
        <v>0</v>
      </c>
      <c r="Z88" s="369">
        <f>IFERROR(IF(INDEX(Tb_Activiteiten[#All],MATCH(SubsidieTabel!$A88,Tb_Activiteiten[[#All],[Subsidiabele_Activiteit]],0),MATCH(SubsidieTabel!S$1,Tb_Activiteiten[#Headers],0))=1,I88,0),0)</f>
        <v>0</v>
      </c>
      <c r="AA88" s="369">
        <f>IFERROR(IF(INDEX(Tb_Activiteiten[#All],MATCH(SubsidieTabel!$A88,Tb_Activiteiten[[#All],[Subsidiabele_Activiteit]],0),MATCH(SubsidieTabel!O$1,Tb_Activiteiten[#Headers],0))=1,$F88,0),0)</f>
        <v>0</v>
      </c>
      <c r="AB88" s="369">
        <f>IFERROR(IF(INDEX(Tb_Activiteiten[#All],MATCH(SubsidieTabel!$A88,Tb_Activiteiten[[#All],[Subsidiabele_Activiteit]],0),MATCH(SubsidieTabel!O$1,Tb_Activiteiten[#Headers],0))=1,$G88,0),0)</f>
        <v>0</v>
      </c>
    </row>
    <row r="89" spans="1:28" x14ac:dyDescent="0.25">
      <c r="A89" s="12"/>
      <c r="B89" s="12"/>
      <c r="C89" s="12" t="str">
        <f>IFERROR(VLOOKUP($B89,Tb_ProjectKosten[],4,0),"")</f>
        <v/>
      </c>
      <c r="D89" s="12" t="str" cm="1">
        <f t="array" ref="D89">IFERROR(INDEX(Tb_KostenOpties[],MATCH(B89,Tb_KostenOpties[KostenOptie],0),IFERROR(MATCH(Methode_Keuze,Tb_KostenOpties[#Headers],0),2)),"")</f>
        <v/>
      </c>
      <c r="E89" s="281">
        <f>IFERROR(VLOOKUP(B89,Tb_ProjectKosten[[#All],[KostenOmschrijving]:[Forfait_Percentage]],6,0),0)</f>
        <v>0</v>
      </c>
      <c r="F89" s="282">
        <f>SUMIFS('5. Kosten uitvoering project'!R:R,'5. Kosten uitvoering project'!E:E,SubsidieTabel!A89,'5. Kosten uitvoering project'!F:F,SubsidieTabel!B89)</f>
        <v>0</v>
      </c>
      <c r="G89" s="282">
        <f>SUMIFS('5. Kosten uitvoering project'!S:S,'5. Kosten uitvoering project'!E:E,SubsidieTabel!A89,'5. Kosten uitvoering project'!F:F,SubsidieTabel!B89)</f>
        <v>0</v>
      </c>
      <c r="H89" s="282">
        <f>SUMIFS('5. Kosten uitvoering project'!U:U,'5. Kosten uitvoering project'!E:E,SubsidieTabel!A89,'5. Kosten uitvoering project'!F:F,SubsidieTabel!B89)</f>
        <v>0</v>
      </c>
      <c r="I89" s="282">
        <f>SUMIFS('5. Kosten uitvoering project'!V:V,'5. Kosten uitvoering project'!E:E,SubsidieTabel!A89,'5. Kosten uitvoering project'!F:F,SubsidieTabel!B89)</f>
        <v>0</v>
      </c>
      <c r="J89" s="282">
        <f t="shared" si="9"/>
        <v>0</v>
      </c>
      <c r="K89" s="282">
        <f t="shared" si="10"/>
        <v>0</v>
      </c>
      <c r="L89" s="281" t="str">
        <f>IFERROR(VLOOKUP(A89,Lijsten!$AK:$AL,2,0),"")</f>
        <v/>
      </c>
      <c r="M89" s="282">
        <f t="shared" si="11"/>
        <v>0</v>
      </c>
      <c r="N89" s="282">
        <f t="shared" si="12"/>
        <v>0</v>
      </c>
      <c r="O89" s="282">
        <f>IFERROR(IF(INDEX(Tb_Activiteiten[#All],MATCH(SubsidieTabel!$A89,Tb_Activiteiten[[#All],[Subsidiabele_Activiteit]],0),MATCH(SubsidieTabel!O$1,Tb_Activiteiten[#Headers],0))=1,SubsidieTabel!$J89,0),0)</f>
        <v>0</v>
      </c>
      <c r="P89" s="282">
        <f>IFERROR(IF(INDEX(Tb_Activiteiten[#All],MATCH(SubsidieTabel!$A89,Tb_Activiteiten[[#All],[Subsidiabele_Activiteit]],0),MATCH(SubsidieTabel!P$1,Tb_Activiteiten[#Headers],0))=1,SubsidieTabel!$K89,0),0)</f>
        <v>0</v>
      </c>
      <c r="Q89" s="282">
        <f>IFERROR(IF(INDEX(Tb_Activiteiten[#All],MATCH(SubsidieTabel!$A89,Tb_Activiteiten[[#All],[Subsidiabele_Activiteit]],0),MATCH(SubsidieTabel!Q$1,Tb_Activiteiten[#Headers],0))=1,SubsidieTabel!$J89,0),0)</f>
        <v>0</v>
      </c>
      <c r="R89" s="282">
        <f>IFERROR(IF(INDEX(Tb_Activiteiten[#All],MATCH(SubsidieTabel!$A89,Tb_Activiteiten[[#All],[Subsidiabele_Activiteit]],0),MATCH(SubsidieTabel!R$1,Tb_Activiteiten[#Headers],0))=1,SubsidieTabel!$K89,0),0)</f>
        <v>0</v>
      </c>
      <c r="S89" s="282">
        <f>IFERROR(IF(INDEX(Tb_Activiteiten[#All],MATCH(SubsidieTabel!$A89,Tb_Activiteiten[[#All],[Subsidiabele_Activiteit]],0),MATCH(SubsidieTabel!S$1,Tb_Activiteiten[#Headers],0))=1,SubsidieTabel!$J89,0),0)</f>
        <v>0</v>
      </c>
      <c r="T89" s="282">
        <f>IFERROR(IF(INDEX(Tb_Activiteiten[#All],MATCH(SubsidieTabel!$A89,Tb_Activiteiten[[#All],[Subsidiabele_Activiteit]],0),MATCH(SubsidieTabel!T$1,Tb_Activiteiten[#Headers],0))=1,SubsidieTabel!$K89,0),0)</f>
        <v>0</v>
      </c>
      <c r="U89" s="282">
        <f>IFERROR(IF(INDEX(Tb_Activiteiten[#All],MATCH(SubsidieTabel!$A89,Tb_Activiteiten[[#All],[Subsidiabele_Activiteit]],0),MATCH(SubsidieTabel!U$1,Tb_Activiteiten[#Headers],0))=1,SubsidieTabel!$J89,0),0)</f>
        <v>0</v>
      </c>
      <c r="V89" s="282">
        <f>IFERROR(IF(INDEX(Tb_Activiteiten[#All],MATCH(SubsidieTabel!$A89,Tb_Activiteiten[[#All],[Subsidiabele_Activiteit]],0),MATCH(SubsidieTabel!V$1,Tb_Activiteiten[#Headers],0))=1,SubsidieTabel!$K89,0),0)</f>
        <v>0</v>
      </c>
      <c r="W89" s="64">
        <f>IFERROR(IF(INDEX(Tb_Activiteiten[#All],MATCH(SubsidieTabel!$A89,Tb_Activiteiten[[#All],[Subsidiabele_Activiteit]],0),MATCH(SubsidieTabel!Q$1,Tb_Activiteiten[#Headers],0))=1,H89,0),0)</f>
        <v>0</v>
      </c>
      <c r="X89" s="64">
        <f>IFERROR(IF(INDEX(Tb_Activiteiten[#All],MATCH(SubsidieTabel!$A89,Tb_Activiteiten[[#All],[Subsidiabele_Activiteit]],0),MATCH(SubsidieTabel!Q$1,Tb_Activiteiten[#Headers],0))=1,I89,0),0)</f>
        <v>0</v>
      </c>
      <c r="Y89" s="64">
        <f>IFERROR(IF(INDEX(Tb_Activiteiten[#All],MATCH(SubsidieTabel!$A89,Tb_Activiteiten[[#All],[Subsidiabele_Activiteit]],0),MATCH(SubsidieTabel!S$1,Tb_Activiteiten[#Headers],0))=1,H89,0),0)</f>
        <v>0</v>
      </c>
      <c r="Z89" s="64">
        <f>IFERROR(IF(INDEX(Tb_Activiteiten[#All],MATCH(SubsidieTabel!$A89,Tb_Activiteiten[[#All],[Subsidiabele_Activiteit]],0),MATCH(SubsidieTabel!S$1,Tb_Activiteiten[#Headers],0))=1,I89,0),0)</f>
        <v>0</v>
      </c>
      <c r="AA89" s="64">
        <f>IFERROR(IF(INDEX(Tb_Activiteiten[#All],MATCH(SubsidieTabel!$A89,Tb_Activiteiten[[#All],[Subsidiabele_Activiteit]],0),MATCH(SubsidieTabel!O$1,Tb_Activiteiten[#Headers],0))=1,$F89,0),0)</f>
        <v>0</v>
      </c>
      <c r="AB89" s="64">
        <f>IFERROR(IF(INDEX(Tb_Activiteiten[#All],MATCH(SubsidieTabel!$A89,Tb_Activiteiten[[#All],[Subsidiabele_Activiteit]],0),MATCH(SubsidieTabel!O$1,Tb_Activiteiten[#Headers],0))=1,$G89,0),0)</f>
        <v>0</v>
      </c>
    </row>
    <row r="90" spans="1:28" x14ac:dyDescent="0.25">
      <c r="A90" s="63"/>
      <c r="B90" s="63"/>
      <c r="C90" s="63" t="str">
        <f>IFERROR(VLOOKUP($B90,Tb_ProjectKosten[],4,0),"")</f>
        <v/>
      </c>
      <c r="D90" s="63" t="str" cm="1">
        <f t="array" ref="D90">IFERROR(INDEX(Tb_KostenOpties[],MATCH(B90,Tb_KostenOpties[KostenOptie],0),IFERROR(MATCH(Methode_Keuze,Tb_KostenOpties[#Headers],0),2)),"")</f>
        <v/>
      </c>
      <c r="E90" s="283">
        <f>IFERROR(VLOOKUP(B90,Tb_ProjectKosten[[#All],[KostenOmschrijving]:[Forfait_Percentage]],6,0),0)</f>
        <v>0</v>
      </c>
      <c r="F90" s="284">
        <f>SUMIFS('5. Kosten uitvoering project'!R:R,'5. Kosten uitvoering project'!E:E,SubsidieTabel!A90,'5. Kosten uitvoering project'!F:F,SubsidieTabel!B90)</f>
        <v>0</v>
      </c>
      <c r="G90" s="284">
        <f>SUMIFS('5. Kosten uitvoering project'!S:S,'5. Kosten uitvoering project'!E:E,SubsidieTabel!A90,'5. Kosten uitvoering project'!F:F,SubsidieTabel!B90)</f>
        <v>0</v>
      </c>
      <c r="H90" s="284">
        <f>SUMIFS('5. Kosten uitvoering project'!U:U,'5. Kosten uitvoering project'!E:E,SubsidieTabel!A90,'5. Kosten uitvoering project'!F:F,SubsidieTabel!B90)</f>
        <v>0</v>
      </c>
      <c r="I90" s="284">
        <f>SUMIFS('5. Kosten uitvoering project'!V:V,'5. Kosten uitvoering project'!E:E,SubsidieTabel!A90,'5. Kosten uitvoering project'!F:F,SubsidieTabel!B90)</f>
        <v>0</v>
      </c>
      <c r="J90" s="284">
        <f t="shared" si="9"/>
        <v>0</v>
      </c>
      <c r="K90" s="284">
        <f t="shared" si="10"/>
        <v>0</v>
      </c>
      <c r="L90" s="283" t="str">
        <f>IFERROR(VLOOKUP(A90,Lijsten!$AK:$AL,2,0),"")</f>
        <v/>
      </c>
      <c r="M90" s="284">
        <f t="shared" si="11"/>
        <v>0</v>
      </c>
      <c r="N90" s="284">
        <f t="shared" si="12"/>
        <v>0</v>
      </c>
      <c r="O90" s="284">
        <f>IFERROR(IF(INDEX(Tb_Activiteiten[#All],MATCH(SubsidieTabel!$A90,Tb_Activiteiten[[#All],[Subsidiabele_Activiteit]],0),MATCH(SubsidieTabel!O$1,Tb_Activiteiten[#Headers],0))=1,SubsidieTabel!$J90,0),0)</f>
        <v>0</v>
      </c>
      <c r="P90" s="284">
        <f>IFERROR(IF(INDEX(Tb_Activiteiten[#All],MATCH(SubsidieTabel!$A90,Tb_Activiteiten[[#All],[Subsidiabele_Activiteit]],0),MATCH(SubsidieTabel!P$1,Tb_Activiteiten[#Headers],0))=1,SubsidieTabel!$K90,0),0)</f>
        <v>0</v>
      </c>
      <c r="Q90" s="284">
        <f>IFERROR(IF(INDEX(Tb_Activiteiten[#All],MATCH(SubsidieTabel!$A90,Tb_Activiteiten[[#All],[Subsidiabele_Activiteit]],0),MATCH(SubsidieTabel!Q$1,Tb_Activiteiten[#Headers],0))=1,SubsidieTabel!$J90,0),0)</f>
        <v>0</v>
      </c>
      <c r="R90" s="284">
        <f>IFERROR(IF(INDEX(Tb_Activiteiten[#All],MATCH(SubsidieTabel!$A90,Tb_Activiteiten[[#All],[Subsidiabele_Activiteit]],0),MATCH(SubsidieTabel!R$1,Tb_Activiteiten[#Headers],0))=1,SubsidieTabel!$K90,0),0)</f>
        <v>0</v>
      </c>
      <c r="S90" s="284">
        <f>IFERROR(IF(INDEX(Tb_Activiteiten[#All],MATCH(SubsidieTabel!$A90,Tb_Activiteiten[[#All],[Subsidiabele_Activiteit]],0),MATCH(SubsidieTabel!S$1,Tb_Activiteiten[#Headers],0))=1,SubsidieTabel!$J90,0),0)</f>
        <v>0</v>
      </c>
      <c r="T90" s="284">
        <f>IFERROR(IF(INDEX(Tb_Activiteiten[#All],MATCH(SubsidieTabel!$A90,Tb_Activiteiten[[#All],[Subsidiabele_Activiteit]],0),MATCH(SubsidieTabel!T$1,Tb_Activiteiten[#Headers],0))=1,SubsidieTabel!$K90,0),0)</f>
        <v>0</v>
      </c>
      <c r="U90" s="284">
        <f>IFERROR(IF(INDEX(Tb_Activiteiten[#All],MATCH(SubsidieTabel!$A90,Tb_Activiteiten[[#All],[Subsidiabele_Activiteit]],0),MATCH(SubsidieTabel!U$1,Tb_Activiteiten[#Headers],0))=1,SubsidieTabel!$J90,0),0)</f>
        <v>0</v>
      </c>
      <c r="V90" s="284">
        <f>IFERROR(IF(INDEX(Tb_Activiteiten[#All],MATCH(SubsidieTabel!$A90,Tb_Activiteiten[[#All],[Subsidiabele_Activiteit]],0),MATCH(SubsidieTabel!V$1,Tb_Activiteiten[#Headers],0))=1,SubsidieTabel!$K90,0),0)</f>
        <v>0</v>
      </c>
      <c r="W90" s="369">
        <f>IFERROR(IF(INDEX(Tb_Activiteiten[#All],MATCH(SubsidieTabel!$A90,Tb_Activiteiten[[#All],[Subsidiabele_Activiteit]],0),MATCH(SubsidieTabel!Q$1,Tb_Activiteiten[#Headers],0))=1,H90,0),0)</f>
        <v>0</v>
      </c>
      <c r="X90" s="369">
        <f>IFERROR(IF(INDEX(Tb_Activiteiten[#All],MATCH(SubsidieTabel!$A90,Tb_Activiteiten[[#All],[Subsidiabele_Activiteit]],0),MATCH(SubsidieTabel!Q$1,Tb_Activiteiten[#Headers],0))=1,I90,0),0)</f>
        <v>0</v>
      </c>
      <c r="Y90" s="369">
        <f>IFERROR(IF(INDEX(Tb_Activiteiten[#All],MATCH(SubsidieTabel!$A90,Tb_Activiteiten[[#All],[Subsidiabele_Activiteit]],0),MATCH(SubsidieTabel!S$1,Tb_Activiteiten[#Headers],0))=1,H90,0),0)</f>
        <v>0</v>
      </c>
      <c r="Z90" s="369">
        <f>IFERROR(IF(INDEX(Tb_Activiteiten[#All],MATCH(SubsidieTabel!$A90,Tb_Activiteiten[[#All],[Subsidiabele_Activiteit]],0),MATCH(SubsidieTabel!S$1,Tb_Activiteiten[#Headers],0))=1,I90,0),0)</f>
        <v>0</v>
      </c>
      <c r="AA90" s="369">
        <f>IFERROR(IF(INDEX(Tb_Activiteiten[#All],MATCH(SubsidieTabel!$A90,Tb_Activiteiten[[#All],[Subsidiabele_Activiteit]],0),MATCH(SubsidieTabel!O$1,Tb_Activiteiten[#Headers],0))=1,$F90,0),0)</f>
        <v>0</v>
      </c>
      <c r="AB90" s="369">
        <f>IFERROR(IF(INDEX(Tb_Activiteiten[#All],MATCH(SubsidieTabel!$A90,Tb_Activiteiten[[#All],[Subsidiabele_Activiteit]],0),MATCH(SubsidieTabel!O$1,Tb_Activiteiten[#Headers],0))=1,$G90,0),0)</f>
        <v>0</v>
      </c>
    </row>
    <row r="91" spans="1:28" x14ac:dyDescent="0.25">
      <c r="A91" s="12"/>
      <c r="B91" s="12"/>
      <c r="C91" s="12" t="str">
        <f>IFERROR(VLOOKUP($B91,Tb_ProjectKosten[],4,0),"")</f>
        <v/>
      </c>
      <c r="D91" s="12" t="str" cm="1">
        <f t="array" ref="D91">IFERROR(INDEX(Tb_KostenOpties[],MATCH(B91,Tb_KostenOpties[KostenOptie],0),IFERROR(MATCH(Methode_Keuze,Tb_KostenOpties[#Headers],0),2)),"")</f>
        <v/>
      </c>
      <c r="E91" s="281">
        <f>IFERROR(VLOOKUP(B91,Tb_ProjectKosten[[#All],[KostenOmschrijving]:[Forfait_Percentage]],6,0),0)</f>
        <v>0</v>
      </c>
      <c r="F91" s="282">
        <f>SUMIFS('5. Kosten uitvoering project'!R:R,'5. Kosten uitvoering project'!E:E,SubsidieTabel!A91,'5. Kosten uitvoering project'!F:F,SubsidieTabel!B91)</f>
        <v>0</v>
      </c>
      <c r="G91" s="282">
        <f>SUMIFS('5. Kosten uitvoering project'!S:S,'5. Kosten uitvoering project'!E:E,SubsidieTabel!A91,'5. Kosten uitvoering project'!F:F,SubsidieTabel!B91)</f>
        <v>0</v>
      </c>
      <c r="H91" s="282">
        <f>SUMIFS('5. Kosten uitvoering project'!U:U,'5. Kosten uitvoering project'!E:E,SubsidieTabel!A91,'5. Kosten uitvoering project'!F:F,SubsidieTabel!B91)</f>
        <v>0</v>
      </c>
      <c r="I91" s="282">
        <f>SUMIFS('5. Kosten uitvoering project'!V:V,'5. Kosten uitvoering project'!E:E,SubsidieTabel!A91,'5. Kosten uitvoering project'!F:F,SubsidieTabel!B91)</f>
        <v>0</v>
      </c>
      <c r="J91" s="282">
        <f t="shared" si="9"/>
        <v>0</v>
      </c>
      <c r="K91" s="282">
        <f t="shared" si="10"/>
        <v>0</v>
      </c>
      <c r="L91" s="281" t="str">
        <f>IFERROR(VLOOKUP(A91,Lijsten!$AK:$AL,2,0),"")</f>
        <v/>
      </c>
      <c r="M91" s="282">
        <f t="shared" si="11"/>
        <v>0</v>
      </c>
      <c r="N91" s="282">
        <f t="shared" si="12"/>
        <v>0</v>
      </c>
      <c r="O91" s="282">
        <f>IFERROR(IF(INDEX(Tb_Activiteiten[#All],MATCH(SubsidieTabel!$A91,Tb_Activiteiten[[#All],[Subsidiabele_Activiteit]],0),MATCH(SubsidieTabel!O$1,Tb_Activiteiten[#Headers],0))=1,SubsidieTabel!$J91,0),0)</f>
        <v>0</v>
      </c>
      <c r="P91" s="282">
        <f>IFERROR(IF(INDEX(Tb_Activiteiten[#All],MATCH(SubsidieTabel!$A91,Tb_Activiteiten[[#All],[Subsidiabele_Activiteit]],0),MATCH(SubsidieTabel!P$1,Tb_Activiteiten[#Headers],0))=1,SubsidieTabel!$K91,0),0)</f>
        <v>0</v>
      </c>
      <c r="Q91" s="282">
        <f>IFERROR(IF(INDEX(Tb_Activiteiten[#All],MATCH(SubsidieTabel!$A91,Tb_Activiteiten[[#All],[Subsidiabele_Activiteit]],0),MATCH(SubsidieTabel!Q$1,Tb_Activiteiten[#Headers],0))=1,SubsidieTabel!$J91,0),0)</f>
        <v>0</v>
      </c>
      <c r="R91" s="282">
        <f>IFERROR(IF(INDEX(Tb_Activiteiten[#All],MATCH(SubsidieTabel!$A91,Tb_Activiteiten[[#All],[Subsidiabele_Activiteit]],0),MATCH(SubsidieTabel!R$1,Tb_Activiteiten[#Headers],0))=1,SubsidieTabel!$K91,0),0)</f>
        <v>0</v>
      </c>
      <c r="S91" s="282">
        <f>IFERROR(IF(INDEX(Tb_Activiteiten[#All],MATCH(SubsidieTabel!$A91,Tb_Activiteiten[[#All],[Subsidiabele_Activiteit]],0),MATCH(SubsidieTabel!S$1,Tb_Activiteiten[#Headers],0))=1,SubsidieTabel!$J91,0),0)</f>
        <v>0</v>
      </c>
      <c r="T91" s="282">
        <f>IFERROR(IF(INDEX(Tb_Activiteiten[#All],MATCH(SubsidieTabel!$A91,Tb_Activiteiten[[#All],[Subsidiabele_Activiteit]],0),MATCH(SubsidieTabel!T$1,Tb_Activiteiten[#Headers],0))=1,SubsidieTabel!$K91,0),0)</f>
        <v>0</v>
      </c>
      <c r="U91" s="282">
        <f>IFERROR(IF(INDEX(Tb_Activiteiten[#All],MATCH(SubsidieTabel!$A91,Tb_Activiteiten[[#All],[Subsidiabele_Activiteit]],0),MATCH(SubsidieTabel!U$1,Tb_Activiteiten[#Headers],0))=1,SubsidieTabel!$J91,0),0)</f>
        <v>0</v>
      </c>
      <c r="V91" s="282">
        <f>IFERROR(IF(INDEX(Tb_Activiteiten[#All],MATCH(SubsidieTabel!$A91,Tb_Activiteiten[[#All],[Subsidiabele_Activiteit]],0),MATCH(SubsidieTabel!V$1,Tb_Activiteiten[#Headers],0))=1,SubsidieTabel!$K91,0),0)</f>
        <v>0</v>
      </c>
      <c r="W91" s="64">
        <f>IFERROR(IF(INDEX(Tb_Activiteiten[#All],MATCH(SubsidieTabel!$A91,Tb_Activiteiten[[#All],[Subsidiabele_Activiteit]],0),MATCH(SubsidieTabel!Q$1,Tb_Activiteiten[#Headers],0))=1,H91,0),0)</f>
        <v>0</v>
      </c>
      <c r="X91" s="64">
        <f>IFERROR(IF(INDEX(Tb_Activiteiten[#All],MATCH(SubsidieTabel!$A91,Tb_Activiteiten[[#All],[Subsidiabele_Activiteit]],0),MATCH(SubsidieTabel!Q$1,Tb_Activiteiten[#Headers],0))=1,I91,0),0)</f>
        <v>0</v>
      </c>
      <c r="Y91" s="64">
        <f>IFERROR(IF(INDEX(Tb_Activiteiten[#All],MATCH(SubsidieTabel!$A91,Tb_Activiteiten[[#All],[Subsidiabele_Activiteit]],0),MATCH(SubsidieTabel!S$1,Tb_Activiteiten[#Headers],0))=1,H91,0),0)</f>
        <v>0</v>
      </c>
      <c r="Z91" s="64">
        <f>IFERROR(IF(INDEX(Tb_Activiteiten[#All],MATCH(SubsidieTabel!$A91,Tb_Activiteiten[[#All],[Subsidiabele_Activiteit]],0),MATCH(SubsidieTabel!S$1,Tb_Activiteiten[#Headers],0))=1,I91,0),0)</f>
        <v>0</v>
      </c>
      <c r="AA91" s="64">
        <f>IFERROR(IF(INDEX(Tb_Activiteiten[#All],MATCH(SubsidieTabel!$A91,Tb_Activiteiten[[#All],[Subsidiabele_Activiteit]],0),MATCH(SubsidieTabel!O$1,Tb_Activiteiten[#Headers],0))=1,$F91,0),0)</f>
        <v>0</v>
      </c>
      <c r="AB91" s="64">
        <f>IFERROR(IF(INDEX(Tb_Activiteiten[#All],MATCH(SubsidieTabel!$A91,Tb_Activiteiten[[#All],[Subsidiabele_Activiteit]],0),MATCH(SubsidieTabel!O$1,Tb_Activiteiten[#Headers],0))=1,$G91,0),0)</f>
        <v>0</v>
      </c>
    </row>
    <row r="92" spans="1:28" x14ac:dyDescent="0.25">
      <c r="A92" s="63"/>
      <c r="B92" s="63"/>
      <c r="C92" s="63" t="str">
        <f>IFERROR(VLOOKUP($B92,Tb_ProjectKosten[],4,0),"")</f>
        <v/>
      </c>
      <c r="D92" s="63" t="str" cm="1">
        <f t="array" ref="D92">IFERROR(INDEX(Tb_KostenOpties[],MATCH(B92,Tb_KostenOpties[KostenOptie],0),IFERROR(MATCH(Methode_Keuze,Tb_KostenOpties[#Headers],0),2)),"")</f>
        <v/>
      </c>
      <c r="E92" s="283">
        <f>IFERROR(VLOOKUP(B92,Tb_ProjectKosten[[#All],[KostenOmschrijving]:[Forfait_Percentage]],6,0),0)</f>
        <v>0</v>
      </c>
      <c r="F92" s="284">
        <f>SUMIFS('5. Kosten uitvoering project'!R:R,'5. Kosten uitvoering project'!E:E,SubsidieTabel!A92,'5. Kosten uitvoering project'!F:F,SubsidieTabel!B92)</f>
        <v>0</v>
      </c>
      <c r="G92" s="284">
        <f>SUMIFS('5. Kosten uitvoering project'!S:S,'5. Kosten uitvoering project'!E:E,SubsidieTabel!A92,'5. Kosten uitvoering project'!F:F,SubsidieTabel!B92)</f>
        <v>0</v>
      </c>
      <c r="H92" s="284">
        <f>SUMIFS('5. Kosten uitvoering project'!U:U,'5. Kosten uitvoering project'!E:E,SubsidieTabel!A92,'5. Kosten uitvoering project'!F:F,SubsidieTabel!B92)</f>
        <v>0</v>
      </c>
      <c r="I92" s="284">
        <f>SUMIFS('5. Kosten uitvoering project'!V:V,'5. Kosten uitvoering project'!E:E,SubsidieTabel!A92,'5. Kosten uitvoering project'!F:F,SubsidieTabel!B92)</f>
        <v>0</v>
      </c>
      <c r="J92" s="284">
        <f t="shared" si="9"/>
        <v>0</v>
      </c>
      <c r="K92" s="284">
        <f t="shared" si="10"/>
        <v>0</v>
      </c>
      <c r="L92" s="283" t="str">
        <f>IFERROR(VLOOKUP(A92,Lijsten!$AK:$AL,2,0),"")</f>
        <v/>
      </c>
      <c r="M92" s="284">
        <f t="shared" si="11"/>
        <v>0</v>
      </c>
      <c r="N92" s="284">
        <f t="shared" si="12"/>
        <v>0</v>
      </c>
      <c r="O92" s="284">
        <f>IFERROR(IF(INDEX(Tb_Activiteiten[#All],MATCH(SubsidieTabel!$A92,Tb_Activiteiten[[#All],[Subsidiabele_Activiteit]],0),MATCH(SubsidieTabel!O$1,Tb_Activiteiten[#Headers],0))=1,SubsidieTabel!$J92,0),0)</f>
        <v>0</v>
      </c>
      <c r="P92" s="284">
        <f>IFERROR(IF(INDEX(Tb_Activiteiten[#All],MATCH(SubsidieTabel!$A92,Tb_Activiteiten[[#All],[Subsidiabele_Activiteit]],0),MATCH(SubsidieTabel!P$1,Tb_Activiteiten[#Headers],0))=1,SubsidieTabel!$K92,0),0)</f>
        <v>0</v>
      </c>
      <c r="Q92" s="284">
        <f>IFERROR(IF(INDEX(Tb_Activiteiten[#All],MATCH(SubsidieTabel!$A92,Tb_Activiteiten[[#All],[Subsidiabele_Activiteit]],0),MATCH(SubsidieTabel!Q$1,Tb_Activiteiten[#Headers],0))=1,SubsidieTabel!$J92,0),0)</f>
        <v>0</v>
      </c>
      <c r="R92" s="284">
        <f>IFERROR(IF(INDEX(Tb_Activiteiten[#All],MATCH(SubsidieTabel!$A92,Tb_Activiteiten[[#All],[Subsidiabele_Activiteit]],0),MATCH(SubsidieTabel!R$1,Tb_Activiteiten[#Headers],0))=1,SubsidieTabel!$K92,0),0)</f>
        <v>0</v>
      </c>
      <c r="S92" s="284">
        <f>IFERROR(IF(INDEX(Tb_Activiteiten[#All],MATCH(SubsidieTabel!$A92,Tb_Activiteiten[[#All],[Subsidiabele_Activiteit]],0),MATCH(SubsidieTabel!S$1,Tb_Activiteiten[#Headers],0))=1,SubsidieTabel!$J92,0),0)</f>
        <v>0</v>
      </c>
      <c r="T92" s="284">
        <f>IFERROR(IF(INDEX(Tb_Activiteiten[#All],MATCH(SubsidieTabel!$A92,Tb_Activiteiten[[#All],[Subsidiabele_Activiteit]],0),MATCH(SubsidieTabel!T$1,Tb_Activiteiten[#Headers],0))=1,SubsidieTabel!$K92,0),0)</f>
        <v>0</v>
      </c>
      <c r="U92" s="284">
        <f>IFERROR(IF(INDEX(Tb_Activiteiten[#All],MATCH(SubsidieTabel!$A92,Tb_Activiteiten[[#All],[Subsidiabele_Activiteit]],0),MATCH(SubsidieTabel!U$1,Tb_Activiteiten[#Headers],0))=1,SubsidieTabel!$J92,0),0)</f>
        <v>0</v>
      </c>
      <c r="V92" s="284">
        <f>IFERROR(IF(INDEX(Tb_Activiteiten[#All],MATCH(SubsidieTabel!$A92,Tb_Activiteiten[[#All],[Subsidiabele_Activiteit]],0),MATCH(SubsidieTabel!V$1,Tb_Activiteiten[#Headers],0))=1,SubsidieTabel!$K92,0),0)</f>
        <v>0</v>
      </c>
      <c r="W92" s="369">
        <f>IFERROR(IF(INDEX(Tb_Activiteiten[#All],MATCH(SubsidieTabel!$A92,Tb_Activiteiten[[#All],[Subsidiabele_Activiteit]],0),MATCH(SubsidieTabel!Q$1,Tb_Activiteiten[#Headers],0))=1,H92,0),0)</f>
        <v>0</v>
      </c>
      <c r="X92" s="369">
        <f>IFERROR(IF(INDEX(Tb_Activiteiten[#All],MATCH(SubsidieTabel!$A92,Tb_Activiteiten[[#All],[Subsidiabele_Activiteit]],0),MATCH(SubsidieTabel!Q$1,Tb_Activiteiten[#Headers],0))=1,I92,0),0)</f>
        <v>0</v>
      </c>
      <c r="Y92" s="369">
        <f>IFERROR(IF(INDEX(Tb_Activiteiten[#All],MATCH(SubsidieTabel!$A92,Tb_Activiteiten[[#All],[Subsidiabele_Activiteit]],0),MATCH(SubsidieTabel!S$1,Tb_Activiteiten[#Headers],0))=1,H92,0),0)</f>
        <v>0</v>
      </c>
      <c r="Z92" s="369">
        <f>IFERROR(IF(INDEX(Tb_Activiteiten[#All],MATCH(SubsidieTabel!$A92,Tb_Activiteiten[[#All],[Subsidiabele_Activiteit]],0),MATCH(SubsidieTabel!S$1,Tb_Activiteiten[#Headers],0))=1,I92,0),0)</f>
        <v>0</v>
      </c>
      <c r="AA92" s="369">
        <f>IFERROR(IF(INDEX(Tb_Activiteiten[#All],MATCH(SubsidieTabel!$A92,Tb_Activiteiten[[#All],[Subsidiabele_Activiteit]],0),MATCH(SubsidieTabel!O$1,Tb_Activiteiten[#Headers],0))=1,$F92,0),0)</f>
        <v>0</v>
      </c>
      <c r="AB92" s="369">
        <f>IFERROR(IF(INDEX(Tb_Activiteiten[#All],MATCH(SubsidieTabel!$A92,Tb_Activiteiten[[#All],[Subsidiabele_Activiteit]],0),MATCH(SubsidieTabel!O$1,Tb_Activiteiten[#Headers],0))=1,$G92,0),0)</f>
        <v>0</v>
      </c>
    </row>
    <row r="93" spans="1:28" x14ac:dyDescent="0.25">
      <c r="A93" s="12"/>
      <c r="B93" s="12"/>
      <c r="C93" s="12" t="str">
        <f>IFERROR(VLOOKUP($B93,Tb_ProjectKosten[],4,0),"")</f>
        <v/>
      </c>
      <c r="D93" s="12" t="str" cm="1">
        <f t="array" ref="D93">IFERROR(INDEX(Tb_KostenOpties[],MATCH(B93,Tb_KostenOpties[KostenOptie],0),IFERROR(MATCH(Methode_Keuze,Tb_KostenOpties[#Headers],0),2)),"")</f>
        <v/>
      </c>
      <c r="E93" s="281">
        <f>IFERROR(VLOOKUP(B93,Tb_ProjectKosten[[#All],[KostenOmschrijving]:[Forfait_Percentage]],6,0),0)</f>
        <v>0</v>
      </c>
      <c r="F93" s="282">
        <f>SUMIFS('5. Kosten uitvoering project'!R:R,'5. Kosten uitvoering project'!E:E,SubsidieTabel!A93,'5. Kosten uitvoering project'!F:F,SubsidieTabel!B93)</f>
        <v>0</v>
      </c>
      <c r="G93" s="282">
        <f>SUMIFS('5. Kosten uitvoering project'!S:S,'5. Kosten uitvoering project'!E:E,SubsidieTabel!A93,'5. Kosten uitvoering project'!F:F,SubsidieTabel!B93)</f>
        <v>0</v>
      </c>
      <c r="H93" s="282">
        <f>SUMIFS('5. Kosten uitvoering project'!U:U,'5. Kosten uitvoering project'!E:E,SubsidieTabel!A93,'5. Kosten uitvoering project'!F:F,SubsidieTabel!B93)</f>
        <v>0</v>
      </c>
      <c r="I93" s="282">
        <f>SUMIFS('5. Kosten uitvoering project'!V:V,'5. Kosten uitvoering project'!E:E,SubsidieTabel!A93,'5. Kosten uitvoering project'!F:F,SubsidieTabel!B93)</f>
        <v>0</v>
      </c>
      <c r="J93" s="282">
        <f t="shared" si="9"/>
        <v>0</v>
      </c>
      <c r="K93" s="282">
        <f t="shared" si="10"/>
        <v>0</v>
      </c>
      <c r="L93" s="281" t="str">
        <f>IFERROR(VLOOKUP(A93,Lijsten!$AK:$AL,2,0),"")</f>
        <v/>
      </c>
      <c r="M93" s="282">
        <f t="shared" si="11"/>
        <v>0</v>
      </c>
      <c r="N93" s="282">
        <f t="shared" si="12"/>
        <v>0</v>
      </c>
      <c r="O93" s="282">
        <f>IFERROR(IF(INDEX(Tb_Activiteiten[#All],MATCH(SubsidieTabel!$A93,Tb_Activiteiten[[#All],[Subsidiabele_Activiteit]],0),MATCH(SubsidieTabel!O$1,Tb_Activiteiten[#Headers],0))=1,SubsidieTabel!$J93,0),0)</f>
        <v>0</v>
      </c>
      <c r="P93" s="282">
        <f>IFERROR(IF(INDEX(Tb_Activiteiten[#All],MATCH(SubsidieTabel!$A93,Tb_Activiteiten[[#All],[Subsidiabele_Activiteit]],0),MATCH(SubsidieTabel!P$1,Tb_Activiteiten[#Headers],0))=1,SubsidieTabel!$K93,0),0)</f>
        <v>0</v>
      </c>
      <c r="Q93" s="282">
        <f>IFERROR(IF(INDEX(Tb_Activiteiten[#All],MATCH(SubsidieTabel!$A93,Tb_Activiteiten[[#All],[Subsidiabele_Activiteit]],0),MATCH(SubsidieTabel!Q$1,Tb_Activiteiten[#Headers],0))=1,SubsidieTabel!$J93,0),0)</f>
        <v>0</v>
      </c>
      <c r="R93" s="282">
        <f>IFERROR(IF(INDEX(Tb_Activiteiten[#All],MATCH(SubsidieTabel!$A93,Tb_Activiteiten[[#All],[Subsidiabele_Activiteit]],0),MATCH(SubsidieTabel!R$1,Tb_Activiteiten[#Headers],0))=1,SubsidieTabel!$K93,0),0)</f>
        <v>0</v>
      </c>
      <c r="S93" s="282">
        <f>IFERROR(IF(INDEX(Tb_Activiteiten[#All],MATCH(SubsidieTabel!$A93,Tb_Activiteiten[[#All],[Subsidiabele_Activiteit]],0),MATCH(SubsidieTabel!S$1,Tb_Activiteiten[#Headers],0))=1,SubsidieTabel!$J93,0),0)</f>
        <v>0</v>
      </c>
      <c r="T93" s="282">
        <f>IFERROR(IF(INDEX(Tb_Activiteiten[#All],MATCH(SubsidieTabel!$A93,Tb_Activiteiten[[#All],[Subsidiabele_Activiteit]],0),MATCH(SubsidieTabel!T$1,Tb_Activiteiten[#Headers],0))=1,SubsidieTabel!$K93,0),0)</f>
        <v>0</v>
      </c>
      <c r="U93" s="282">
        <f>IFERROR(IF(INDEX(Tb_Activiteiten[#All],MATCH(SubsidieTabel!$A93,Tb_Activiteiten[[#All],[Subsidiabele_Activiteit]],0),MATCH(SubsidieTabel!U$1,Tb_Activiteiten[#Headers],0))=1,SubsidieTabel!$J93,0),0)</f>
        <v>0</v>
      </c>
      <c r="V93" s="282">
        <f>IFERROR(IF(INDEX(Tb_Activiteiten[#All],MATCH(SubsidieTabel!$A93,Tb_Activiteiten[[#All],[Subsidiabele_Activiteit]],0),MATCH(SubsidieTabel!V$1,Tb_Activiteiten[#Headers],0))=1,SubsidieTabel!$K93,0),0)</f>
        <v>0</v>
      </c>
      <c r="W93" s="64">
        <f>IFERROR(IF(INDEX(Tb_Activiteiten[#All],MATCH(SubsidieTabel!$A93,Tb_Activiteiten[[#All],[Subsidiabele_Activiteit]],0),MATCH(SubsidieTabel!Q$1,Tb_Activiteiten[#Headers],0))=1,H93,0),0)</f>
        <v>0</v>
      </c>
      <c r="X93" s="64">
        <f>IFERROR(IF(INDEX(Tb_Activiteiten[#All],MATCH(SubsidieTabel!$A93,Tb_Activiteiten[[#All],[Subsidiabele_Activiteit]],0),MATCH(SubsidieTabel!Q$1,Tb_Activiteiten[#Headers],0))=1,I93,0),0)</f>
        <v>0</v>
      </c>
      <c r="Y93" s="64">
        <f>IFERROR(IF(INDEX(Tb_Activiteiten[#All],MATCH(SubsidieTabel!$A93,Tb_Activiteiten[[#All],[Subsidiabele_Activiteit]],0),MATCH(SubsidieTabel!S$1,Tb_Activiteiten[#Headers],0))=1,H93,0),0)</f>
        <v>0</v>
      </c>
      <c r="Z93" s="64">
        <f>IFERROR(IF(INDEX(Tb_Activiteiten[#All],MATCH(SubsidieTabel!$A93,Tb_Activiteiten[[#All],[Subsidiabele_Activiteit]],0),MATCH(SubsidieTabel!S$1,Tb_Activiteiten[#Headers],0))=1,I93,0),0)</f>
        <v>0</v>
      </c>
      <c r="AA93" s="64">
        <f>IFERROR(IF(INDEX(Tb_Activiteiten[#All],MATCH(SubsidieTabel!$A93,Tb_Activiteiten[[#All],[Subsidiabele_Activiteit]],0),MATCH(SubsidieTabel!O$1,Tb_Activiteiten[#Headers],0))=1,$F93,0),0)</f>
        <v>0</v>
      </c>
      <c r="AB93" s="64">
        <f>IFERROR(IF(INDEX(Tb_Activiteiten[#All],MATCH(SubsidieTabel!$A93,Tb_Activiteiten[[#All],[Subsidiabele_Activiteit]],0),MATCH(SubsidieTabel!O$1,Tb_Activiteiten[#Headers],0))=1,$G93,0),0)</f>
        <v>0</v>
      </c>
    </row>
    <row r="94" spans="1:28" x14ac:dyDescent="0.25">
      <c r="A94" s="63"/>
      <c r="B94" s="63"/>
      <c r="C94" s="63" t="str">
        <f>IFERROR(VLOOKUP($B94,Tb_ProjectKosten[],4,0),"")</f>
        <v/>
      </c>
      <c r="D94" s="63" t="str" cm="1">
        <f t="array" ref="D94">IFERROR(INDEX(Tb_KostenOpties[],MATCH(B94,Tb_KostenOpties[KostenOptie],0),IFERROR(MATCH(Methode_Keuze,Tb_KostenOpties[#Headers],0),2)),"")</f>
        <v/>
      </c>
      <c r="E94" s="283">
        <f>IFERROR(VLOOKUP(B94,Tb_ProjectKosten[[#All],[KostenOmschrijving]:[Forfait_Percentage]],6,0),0)</f>
        <v>0</v>
      </c>
      <c r="F94" s="284">
        <f>SUMIFS('5. Kosten uitvoering project'!R:R,'5. Kosten uitvoering project'!E:E,SubsidieTabel!A94,'5. Kosten uitvoering project'!F:F,SubsidieTabel!B94)</f>
        <v>0</v>
      </c>
      <c r="G94" s="284">
        <f>SUMIFS('5. Kosten uitvoering project'!S:S,'5. Kosten uitvoering project'!E:E,SubsidieTabel!A94,'5. Kosten uitvoering project'!F:F,SubsidieTabel!B94)</f>
        <v>0</v>
      </c>
      <c r="H94" s="284">
        <f>SUMIFS('5. Kosten uitvoering project'!U:U,'5. Kosten uitvoering project'!E:E,SubsidieTabel!A94,'5. Kosten uitvoering project'!F:F,SubsidieTabel!B94)</f>
        <v>0</v>
      </c>
      <c r="I94" s="284">
        <f>SUMIFS('5. Kosten uitvoering project'!V:V,'5. Kosten uitvoering project'!E:E,SubsidieTabel!A94,'5. Kosten uitvoering project'!F:F,SubsidieTabel!B94)</f>
        <v>0</v>
      </c>
      <c r="J94" s="284">
        <f t="shared" si="9"/>
        <v>0</v>
      </c>
      <c r="K94" s="284">
        <f t="shared" si="10"/>
        <v>0</v>
      </c>
      <c r="L94" s="283" t="str">
        <f>IFERROR(VLOOKUP(A94,Lijsten!$AK:$AL,2,0),"")</f>
        <v/>
      </c>
      <c r="M94" s="284">
        <f t="shared" si="11"/>
        <v>0</v>
      </c>
      <c r="N94" s="284">
        <f t="shared" si="12"/>
        <v>0</v>
      </c>
      <c r="O94" s="284">
        <f>IFERROR(IF(INDEX(Tb_Activiteiten[#All],MATCH(SubsidieTabel!$A94,Tb_Activiteiten[[#All],[Subsidiabele_Activiteit]],0),MATCH(SubsidieTabel!O$1,Tb_Activiteiten[#Headers],0))=1,SubsidieTabel!$J94,0),0)</f>
        <v>0</v>
      </c>
      <c r="P94" s="284">
        <f>IFERROR(IF(INDEX(Tb_Activiteiten[#All],MATCH(SubsidieTabel!$A94,Tb_Activiteiten[[#All],[Subsidiabele_Activiteit]],0),MATCH(SubsidieTabel!P$1,Tb_Activiteiten[#Headers],0))=1,SubsidieTabel!$K94,0),0)</f>
        <v>0</v>
      </c>
      <c r="Q94" s="284">
        <f>IFERROR(IF(INDEX(Tb_Activiteiten[#All],MATCH(SubsidieTabel!$A94,Tb_Activiteiten[[#All],[Subsidiabele_Activiteit]],0),MATCH(SubsidieTabel!Q$1,Tb_Activiteiten[#Headers],0))=1,SubsidieTabel!$J94,0),0)</f>
        <v>0</v>
      </c>
      <c r="R94" s="284">
        <f>IFERROR(IF(INDEX(Tb_Activiteiten[#All],MATCH(SubsidieTabel!$A94,Tb_Activiteiten[[#All],[Subsidiabele_Activiteit]],0),MATCH(SubsidieTabel!R$1,Tb_Activiteiten[#Headers],0))=1,SubsidieTabel!$K94,0),0)</f>
        <v>0</v>
      </c>
      <c r="S94" s="284">
        <f>IFERROR(IF(INDEX(Tb_Activiteiten[#All],MATCH(SubsidieTabel!$A94,Tb_Activiteiten[[#All],[Subsidiabele_Activiteit]],0),MATCH(SubsidieTabel!S$1,Tb_Activiteiten[#Headers],0))=1,SubsidieTabel!$J94,0),0)</f>
        <v>0</v>
      </c>
      <c r="T94" s="284">
        <f>IFERROR(IF(INDEX(Tb_Activiteiten[#All],MATCH(SubsidieTabel!$A94,Tb_Activiteiten[[#All],[Subsidiabele_Activiteit]],0),MATCH(SubsidieTabel!T$1,Tb_Activiteiten[#Headers],0))=1,SubsidieTabel!$K94,0),0)</f>
        <v>0</v>
      </c>
      <c r="U94" s="284">
        <f>IFERROR(IF(INDEX(Tb_Activiteiten[#All],MATCH(SubsidieTabel!$A94,Tb_Activiteiten[[#All],[Subsidiabele_Activiteit]],0),MATCH(SubsidieTabel!U$1,Tb_Activiteiten[#Headers],0))=1,SubsidieTabel!$J94,0),0)</f>
        <v>0</v>
      </c>
      <c r="V94" s="284">
        <f>IFERROR(IF(INDEX(Tb_Activiteiten[#All],MATCH(SubsidieTabel!$A94,Tb_Activiteiten[[#All],[Subsidiabele_Activiteit]],0),MATCH(SubsidieTabel!V$1,Tb_Activiteiten[#Headers],0))=1,SubsidieTabel!$K94,0),0)</f>
        <v>0</v>
      </c>
      <c r="W94" s="369">
        <f>IFERROR(IF(INDEX(Tb_Activiteiten[#All],MATCH(SubsidieTabel!$A94,Tb_Activiteiten[[#All],[Subsidiabele_Activiteit]],0),MATCH(SubsidieTabel!Q$1,Tb_Activiteiten[#Headers],0))=1,H94,0),0)</f>
        <v>0</v>
      </c>
      <c r="X94" s="369">
        <f>IFERROR(IF(INDEX(Tb_Activiteiten[#All],MATCH(SubsidieTabel!$A94,Tb_Activiteiten[[#All],[Subsidiabele_Activiteit]],0),MATCH(SubsidieTabel!Q$1,Tb_Activiteiten[#Headers],0))=1,I94,0),0)</f>
        <v>0</v>
      </c>
      <c r="Y94" s="369">
        <f>IFERROR(IF(INDEX(Tb_Activiteiten[#All],MATCH(SubsidieTabel!$A94,Tb_Activiteiten[[#All],[Subsidiabele_Activiteit]],0),MATCH(SubsidieTabel!S$1,Tb_Activiteiten[#Headers],0))=1,H94,0),0)</f>
        <v>0</v>
      </c>
      <c r="Z94" s="369">
        <f>IFERROR(IF(INDEX(Tb_Activiteiten[#All],MATCH(SubsidieTabel!$A94,Tb_Activiteiten[[#All],[Subsidiabele_Activiteit]],0),MATCH(SubsidieTabel!S$1,Tb_Activiteiten[#Headers],0))=1,I94,0),0)</f>
        <v>0</v>
      </c>
      <c r="AA94" s="369">
        <f>IFERROR(IF(INDEX(Tb_Activiteiten[#All],MATCH(SubsidieTabel!$A94,Tb_Activiteiten[[#All],[Subsidiabele_Activiteit]],0),MATCH(SubsidieTabel!O$1,Tb_Activiteiten[#Headers],0))=1,$F94,0),0)</f>
        <v>0</v>
      </c>
      <c r="AB94" s="369">
        <f>IFERROR(IF(INDEX(Tb_Activiteiten[#All],MATCH(SubsidieTabel!$A94,Tb_Activiteiten[[#All],[Subsidiabele_Activiteit]],0),MATCH(SubsidieTabel!O$1,Tb_Activiteiten[#Headers],0))=1,$G94,0),0)</f>
        <v>0</v>
      </c>
    </row>
    <row r="95" spans="1:28" x14ac:dyDescent="0.25">
      <c r="A95" s="12"/>
      <c r="B95" s="12"/>
      <c r="C95" s="12" t="str">
        <f>IFERROR(VLOOKUP($B95,Tb_ProjectKosten[],4,0),"")</f>
        <v/>
      </c>
      <c r="D95" s="12" t="str" cm="1">
        <f t="array" ref="D95">IFERROR(INDEX(Tb_KostenOpties[],MATCH(B95,Tb_KostenOpties[KostenOptie],0),IFERROR(MATCH(Methode_Keuze,Tb_KostenOpties[#Headers],0),2)),"")</f>
        <v/>
      </c>
      <c r="E95" s="281">
        <f>IFERROR(VLOOKUP(B95,Tb_ProjectKosten[[#All],[KostenOmschrijving]:[Forfait_Percentage]],6,0),0)</f>
        <v>0</v>
      </c>
      <c r="F95" s="282">
        <f>SUMIFS('5. Kosten uitvoering project'!R:R,'5. Kosten uitvoering project'!E:E,SubsidieTabel!A95,'5. Kosten uitvoering project'!F:F,SubsidieTabel!B95)</f>
        <v>0</v>
      </c>
      <c r="G95" s="282">
        <f>SUMIFS('5. Kosten uitvoering project'!S:S,'5. Kosten uitvoering project'!E:E,SubsidieTabel!A95,'5. Kosten uitvoering project'!F:F,SubsidieTabel!B95)</f>
        <v>0</v>
      </c>
      <c r="H95" s="282">
        <f>SUMIFS('5. Kosten uitvoering project'!U:U,'5. Kosten uitvoering project'!E:E,SubsidieTabel!A95,'5. Kosten uitvoering project'!F:F,SubsidieTabel!B95)</f>
        <v>0</v>
      </c>
      <c r="I95" s="282">
        <f>SUMIFS('5. Kosten uitvoering project'!V:V,'5. Kosten uitvoering project'!E:E,SubsidieTabel!A95,'5. Kosten uitvoering project'!F:F,SubsidieTabel!B95)</f>
        <v>0</v>
      </c>
      <c r="J95" s="282">
        <f t="shared" si="9"/>
        <v>0</v>
      </c>
      <c r="K95" s="282">
        <f t="shared" si="10"/>
        <v>0</v>
      </c>
      <c r="L95" s="281" t="str">
        <f>IFERROR(VLOOKUP(A95,Lijsten!$AK:$AL,2,0),"")</f>
        <v/>
      </c>
      <c r="M95" s="282">
        <f t="shared" si="11"/>
        <v>0</v>
      </c>
      <c r="N95" s="282">
        <f t="shared" si="12"/>
        <v>0</v>
      </c>
      <c r="O95" s="282">
        <f>IFERROR(IF(INDEX(Tb_Activiteiten[#All],MATCH(SubsidieTabel!$A95,Tb_Activiteiten[[#All],[Subsidiabele_Activiteit]],0),MATCH(SubsidieTabel!O$1,Tb_Activiteiten[#Headers],0))=1,SubsidieTabel!$J95,0),0)</f>
        <v>0</v>
      </c>
      <c r="P95" s="282">
        <f>IFERROR(IF(INDEX(Tb_Activiteiten[#All],MATCH(SubsidieTabel!$A95,Tb_Activiteiten[[#All],[Subsidiabele_Activiteit]],0),MATCH(SubsidieTabel!P$1,Tb_Activiteiten[#Headers],0))=1,SubsidieTabel!$K95,0),0)</f>
        <v>0</v>
      </c>
      <c r="Q95" s="282">
        <f>IFERROR(IF(INDEX(Tb_Activiteiten[#All],MATCH(SubsidieTabel!$A95,Tb_Activiteiten[[#All],[Subsidiabele_Activiteit]],0),MATCH(SubsidieTabel!Q$1,Tb_Activiteiten[#Headers],0))=1,SubsidieTabel!$J95,0),0)</f>
        <v>0</v>
      </c>
      <c r="R95" s="282">
        <f>IFERROR(IF(INDEX(Tb_Activiteiten[#All],MATCH(SubsidieTabel!$A95,Tb_Activiteiten[[#All],[Subsidiabele_Activiteit]],0),MATCH(SubsidieTabel!R$1,Tb_Activiteiten[#Headers],0))=1,SubsidieTabel!$K95,0),0)</f>
        <v>0</v>
      </c>
      <c r="S95" s="282">
        <f>IFERROR(IF(INDEX(Tb_Activiteiten[#All],MATCH(SubsidieTabel!$A95,Tb_Activiteiten[[#All],[Subsidiabele_Activiteit]],0),MATCH(SubsidieTabel!S$1,Tb_Activiteiten[#Headers],0))=1,SubsidieTabel!$J95,0),0)</f>
        <v>0</v>
      </c>
      <c r="T95" s="282">
        <f>IFERROR(IF(INDEX(Tb_Activiteiten[#All],MATCH(SubsidieTabel!$A95,Tb_Activiteiten[[#All],[Subsidiabele_Activiteit]],0),MATCH(SubsidieTabel!T$1,Tb_Activiteiten[#Headers],0))=1,SubsidieTabel!$K95,0),0)</f>
        <v>0</v>
      </c>
      <c r="U95" s="282">
        <f>IFERROR(IF(INDEX(Tb_Activiteiten[#All],MATCH(SubsidieTabel!$A95,Tb_Activiteiten[[#All],[Subsidiabele_Activiteit]],0),MATCH(SubsidieTabel!U$1,Tb_Activiteiten[#Headers],0))=1,SubsidieTabel!$J95,0),0)</f>
        <v>0</v>
      </c>
      <c r="V95" s="282">
        <f>IFERROR(IF(INDEX(Tb_Activiteiten[#All],MATCH(SubsidieTabel!$A95,Tb_Activiteiten[[#All],[Subsidiabele_Activiteit]],0),MATCH(SubsidieTabel!V$1,Tb_Activiteiten[#Headers],0))=1,SubsidieTabel!$K95,0),0)</f>
        <v>0</v>
      </c>
      <c r="W95" s="64">
        <f>IFERROR(IF(INDEX(Tb_Activiteiten[#All],MATCH(SubsidieTabel!$A95,Tb_Activiteiten[[#All],[Subsidiabele_Activiteit]],0),MATCH(SubsidieTabel!Q$1,Tb_Activiteiten[#Headers],0))=1,H95,0),0)</f>
        <v>0</v>
      </c>
      <c r="X95" s="64">
        <f>IFERROR(IF(INDEX(Tb_Activiteiten[#All],MATCH(SubsidieTabel!$A95,Tb_Activiteiten[[#All],[Subsidiabele_Activiteit]],0),MATCH(SubsidieTabel!Q$1,Tb_Activiteiten[#Headers],0))=1,I95,0),0)</f>
        <v>0</v>
      </c>
      <c r="Y95" s="64">
        <f>IFERROR(IF(INDEX(Tb_Activiteiten[#All],MATCH(SubsidieTabel!$A95,Tb_Activiteiten[[#All],[Subsidiabele_Activiteit]],0),MATCH(SubsidieTabel!S$1,Tb_Activiteiten[#Headers],0))=1,H95,0),0)</f>
        <v>0</v>
      </c>
      <c r="Z95" s="64">
        <f>IFERROR(IF(INDEX(Tb_Activiteiten[#All],MATCH(SubsidieTabel!$A95,Tb_Activiteiten[[#All],[Subsidiabele_Activiteit]],0),MATCH(SubsidieTabel!S$1,Tb_Activiteiten[#Headers],0))=1,I95,0),0)</f>
        <v>0</v>
      </c>
      <c r="AA95" s="64">
        <f>IFERROR(IF(INDEX(Tb_Activiteiten[#All],MATCH(SubsidieTabel!$A95,Tb_Activiteiten[[#All],[Subsidiabele_Activiteit]],0),MATCH(SubsidieTabel!O$1,Tb_Activiteiten[#Headers],0))=1,$F95,0),0)</f>
        <v>0</v>
      </c>
      <c r="AB95" s="64">
        <f>IFERROR(IF(INDEX(Tb_Activiteiten[#All],MATCH(SubsidieTabel!$A95,Tb_Activiteiten[[#All],[Subsidiabele_Activiteit]],0),MATCH(SubsidieTabel!O$1,Tb_Activiteiten[#Headers],0))=1,$G95,0),0)</f>
        <v>0</v>
      </c>
    </row>
    <row r="96" spans="1:28" x14ac:dyDescent="0.25">
      <c r="A96" s="63"/>
      <c r="B96" s="63"/>
      <c r="C96" s="63" t="str">
        <f>IFERROR(VLOOKUP($B96,Tb_ProjectKosten[],4,0),"")</f>
        <v/>
      </c>
      <c r="D96" s="63" t="str" cm="1">
        <f t="array" ref="D96">IFERROR(INDEX(Tb_KostenOpties[],MATCH(B96,Tb_KostenOpties[KostenOptie],0),IFERROR(MATCH(Methode_Keuze,Tb_KostenOpties[#Headers],0),2)),"")</f>
        <v/>
      </c>
      <c r="E96" s="283">
        <f>IFERROR(VLOOKUP(B96,Tb_ProjectKosten[[#All],[KostenOmschrijving]:[Forfait_Percentage]],6,0),0)</f>
        <v>0</v>
      </c>
      <c r="F96" s="284">
        <f>SUMIFS('5. Kosten uitvoering project'!R:R,'5. Kosten uitvoering project'!E:E,SubsidieTabel!A96,'5. Kosten uitvoering project'!F:F,SubsidieTabel!B96)</f>
        <v>0</v>
      </c>
      <c r="G96" s="284">
        <f>SUMIFS('5. Kosten uitvoering project'!S:S,'5. Kosten uitvoering project'!E:E,SubsidieTabel!A96,'5. Kosten uitvoering project'!F:F,SubsidieTabel!B96)</f>
        <v>0</v>
      </c>
      <c r="H96" s="284">
        <f>SUMIFS('5. Kosten uitvoering project'!U:U,'5. Kosten uitvoering project'!E:E,SubsidieTabel!A96,'5. Kosten uitvoering project'!F:F,SubsidieTabel!B96)</f>
        <v>0</v>
      </c>
      <c r="I96" s="284">
        <f>SUMIFS('5. Kosten uitvoering project'!V:V,'5. Kosten uitvoering project'!E:E,SubsidieTabel!A96,'5. Kosten uitvoering project'!F:F,SubsidieTabel!B96)</f>
        <v>0</v>
      </c>
      <c r="J96" s="284">
        <f t="shared" si="9"/>
        <v>0</v>
      </c>
      <c r="K96" s="284">
        <f t="shared" si="10"/>
        <v>0</v>
      </c>
      <c r="L96" s="283" t="str">
        <f>IFERROR(VLOOKUP(A96,Lijsten!$AK:$AL,2,0),"")</f>
        <v/>
      </c>
      <c r="M96" s="284">
        <f t="shared" si="11"/>
        <v>0</v>
      </c>
      <c r="N96" s="284">
        <f t="shared" si="12"/>
        <v>0</v>
      </c>
      <c r="O96" s="284">
        <f>IFERROR(IF(INDEX(Tb_Activiteiten[#All],MATCH(SubsidieTabel!$A96,Tb_Activiteiten[[#All],[Subsidiabele_Activiteit]],0),MATCH(SubsidieTabel!O$1,Tb_Activiteiten[#Headers],0))=1,SubsidieTabel!$J96,0),0)</f>
        <v>0</v>
      </c>
      <c r="P96" s="284">
        <f>IFERROR(IF(INDEX(Tb_Activiteiten[#All],MATCH(SubsidieTabel!$A96,Tb_Activiteiten[[#All],[Subsidiabele_Activiteit]],0),MATCH(SubsidieTabel!P$1,Tb_Activiteiten[#Headers],0))=1,SubsidieTabel!$K96,0),0)</f>
        <v>0</v>
      </c>
      <c r="Q96" s="284">
        <f>IFERROR(IF(INDEX(Tb_Activiteiten[#All],MATCH(SubsidieTabel!$A96,Tb_Activiteiten[[#All],[Subsidiabele_Activiteit]],0),MATCH(SubsidieTabel!Q$1,Tb_Activiteiten[#Headers],0))=1,SubsidieTabel!$J96,0),0)</f>
        <v>0</v>
      </c>
      <c r="R96" s="284">
        <f>IFERROR(IF(INDEX(Tb_Activiteiten[#All],MATCH(SubsidieTabel!$A96,Tb_Activiteiten[[#All],[Subsidiabele_Activiteit]],0),MATCH(SubsidieTabel!R$1,Tb_Activiteiten[#Headers],0))=1,SubsidieTabel!$K96,0),0)</f>
        <v>0</v>
      </c>
      <c r="S96" s="284">
        <f>IFERROR(IF(INDEX(Tb_Activiteiten[#All],MATCH(SubsidieTabel!$A96,Tb_Activiteiten[[#All],[Subsidiabele_Activiteit]],0),MATCH(SubsidieTabel!S$1,Tb_Activiteiten[#Headers],0))=1,SubsidieTabel!$J96,0),0)</f>
        <v>0</v>
      </c>
      <c r="T96" s="284">
        <f>IFERROR(IF(INDEX(Tb_Activiteiten[#All],MATCH(SubsidieTabel!$A96,Tb_Activiteiten[[#All],[Subsidiabele_Activiteit]],0),MATCH(SubsidieTabel!T$1,Tb_Activiteiten[#Headers],0))=1,SubsidieTabel!$K96,0),0)</f>
        <v>0</v>
      </c>
      <c r="U96" s="284">
        <f>IFERROR(IF(INDEX(Tb_Activiteiten[#All],MATCH(SubsidieTabel!$A96,Tb_Activiteiten[[#All],[Subsidiabele_Activiteit]],0),MATCH(SubsidieTabel!U$1,Tb_Activiteiten[#Headers],0))=1,SubsidieTabel!$J96,0),0)</f>
        <v>0</v>
      </c>
      <c r="V96" s="284">
        <f>IFERROR(IF(INDEX(Tb_Activiteiten[#All],MATCH(SubsidieTabel!$A96,Tb_Activiteiten[[#All],[Subsidiabele_Activiteit]],0),MATCH(SubsidieTabel!V$1,Tb_Activiteiten[#Headers],0))=1,SubsidieTabel!$K96,0),0)</f>
        <v>0</v>
      </c>
      <c r="W96" s="369">
        <f>IFERROR(IF(INDEX(Tb_Activiteiten[#All],MATCH(SubsidieTabel!$A96,Tb_Activiteiten[[#All],[Subsidiabele_Activiteit]],0),MATCH(SubsidieTabel!Q$1,Tb_Activiteiten[#Headers],0))=1,H96,0),0)</f>
        <v>0</v>
      </c>
      <c r="X96" s="369">
        <f>IFERROR(IF(INDEX(Tb_Activiteiten[#All],MATCH(SubsidieTabel!$A96,Tb_Activiteiten[[#All],[Subsidiabele_Activiteit]],0),MATCH(SubsidieTabel!Q$1,Tb_Activiteiten[#Headers],0))=1,I96,0),0)</f>
        <v>0</v>
      </c>
      <c r="Y96" s="369">
        <f>IFERROR(IF(INDEX(Tb_Activiteiten[#All],MATCH(SubsidieTabel!$A96,Tb_Activiteiten[[#All],[Subsidiabele_Activiteit]],0),MATCH(SubsidieTabel!S$1,Tb_Activiteiten[#Headers],0))=1,H96,0),0)</f>
        <v>0</v>
      </c>
      <c r="Z96" s="369">
        <f>IFERROR(IF(INDEX(Tb_Activiteiten[#All],MATCH(SubsidieTabel!$A96,Tb_Activiteiten[[#All],[Subsidiabele_Activiteit]],0),MATCH(SubsidieTabel!S$1,Tb_Activiteiten[#Headers],0))=1,I96,0),0)</f>
        <v>0</v>
      </c>
      <c r="AA96" s="369">
        <f>IFERROR(IF(INDEX(Tb_Activiteiten[#All],MATCH(SubsidieTabel!$A96,Tb_Activiteiten[[#All],[Subsidiabele_Activiteit]],0),MATCH(SubsidieTabel!O$1,Tb_Activiteiten[#Headers],0))=1,$F96,0),0)</f>
        <v>0</v>
      </c>
      <c r="AB96" s="369">
        <f>IFERROR(IF(INDEX(Tb_Activiteiten[#All],MATCH(SubsidieTabel!$A96,Tb_Activiteiten[[#All],[Subsidiabele_Activiteit]],0),MATCH(SubsidieTabel!O$1,Tb_Activiteiten[#Headers],0))=1,$G96,0),0)</f>
        <v>0</v>
      </c>
    </row>
    <row r="97" spans="1:28" x14ac:dyDescent="0.25">
      <c r="A97" s="12"/>
      <c r="B97" s="12"/>
      <c r="C97" s="12" t="str">
        <f>IFERROR(VLOOKUP($B97,Tb_ProjectKosten[],4,0),"")</f>
        <v/>
      </c>
      <c r="D97" s="12" t="str" cm="1">
        <f t="array" ref="D97">IFERROR(INDEX(Tb_KostenOpties[],MATCH(B97,Tb_KostenOpties[KostenOptie],0),IFERROR(MATCH(Methode_Keuze,Tb_KostenOpties[#Headers],0),2)),"")</f>
        <v/>
      </c>
      <c r="E97" s="281">
        <f>IFERROR(VLOOKUP(B97,Tb_ProjectKosten[[#All],[KostenOmschrijving]:[Forfait_Percentage]],6,0),0)</f>
        <v>0</v>
      </c>
      <c r="F97" s="282">
        <f>SUMIFS('5. Kosten uitvoering project'!R:R,'5. Kosten uitvoering project'!E:E,SubsidieTabel!A97,'5. Kosten uitvoering project'!F:F,SubsidieTabel!B97)</f>
        <v>0</v>
      </c>
      <c r="G97" s="282">
        <f>SUMIFS('5. Kosten uitvoering project'!S:S,'5. Kosten uitvoering project'!E:E,SubsidieTabel!A97,'5. Kosten uitvoering project'!F:F,SubsidieTabel!B97)</f>
        <v>0</v>
      </c>
      <c r="H97" s="282">
        <f>SUMIFS('5. Kosten uitvoering project'!U:U,'5. Kosten uitvoering project'!E:E,SubsidieTabel!A97,'5. Kosten uitvoering project'!F:F,SubsidieTabel!B97)</f>
        <v>0</v>
      </c>
      <c r="I97" s="282">
        <f>SUMIFS('5. Kosten uitvoering project'!V:V,'5. Kosten uitvoering project'!E:E,SubsidieTabel!A97,'5. Kosten uitvoering project'!F:F,SubsidieTabel!B97)</f>
        <v>0</v>
      </c>
      <c r="J97" s="282">
        <f t="shared" si="9"/>
        <v>0</v>
      </c>
      <c r="K97" s="282">
        <f t="shared" si="10"/>
        <v>0</v>
      </c>
      <c r="L97" s="281" t="str">
        <f>IFERROR(VLOOKUP(A97,Lijsten!$AK:$AL,2,0),"")</f>
        <v/>
      </c>
      <c r="M97" s="282">
        <f t="shared" si="11"/>
        <v>0</v>
      </c>
      <c r="N97" s="282">
        <f t="shared" si="12"/>
        <v>0</v>
      </c>
      <c r="O97" s="282">
        <f>IFERROR(IF(INDEX(Tb_Activiteiten[#All],MATCH(SubsidieTabel!$A97,Tb_Activiteiten[[#All],[Subsidiabele_Activiteit]],0),MATCH(SubsidieTabel!O$1,Tb_Activiteiten[#Headers],0))=1,SubsidieTabel!$J97,0),0)</f>
        <v>0</v>
      </c>
      <c r="P97" s="282">
        <f>IFERROR(IF(INDEX(Tb_Activiteiten[#All],MATCH(SubsidieTabel!$A97,Tb_Activiteiten[[#All],[Subsidiabele_Activiteit]],0),MATCH(SubsidieTabel!P$1,Tb_Activiteiten[#Headers],0))=1,SubsidieTabel!$K97,0),0)</f>
        <v>0</v>
      </c>
      <c r="Q97" s="282">
        <f>IFERROR(IF(INDEX(Tb_Activiteiten[#All],MATCH(SubsidieTabel!$A97,Tb_Activiteiten[[#All],[Subsidiabele_Activiteit]],0),MATCH(SubsidieTabel!Q$1,Tb_Activiteiten[#Headers],0))=1,SubsidieTabel!$J97,0),0)</f>
        <v>0</v>
      </c>
      <c r="R97" s="282">
        <f>IFERROR(IF(INDEX(Tb_Activiteiten[#All],MATCH(SubsidieTabel!$A97,Tb_Activiteiten[[#All],[Subsidiabele_Activiteit]],0),MATCH(SubsidieTabel!R$1,Tb_Activiteiten[#Headers],0))=1,SubsidieTabel!$K97,0),0)</f>
        <v>0</v>
      </c>
      <c r="S97" s="282">
        <f>IFERROR(IF(INDEX(Tb_Activiteiten[#All],MATCH(SubsidieTabel!$A97,Tb_Activiteiten[[#All],[Subsidiabele_Activiteit]],0),MATCH(SubsidieTabel!S$1,Tb_Activiteiten[#Headers],0))=1,SubsidieTabel!$J97,0),0)</f>
        <v>0</v>
      </c>
      <c r="T97" s="282">
        <f>IFERROR(IF(INDEX(Tb_Activiteiten[#All],MATCH(SubsidieTabel!$A97,Tb_Activiteiten[[#All],[Subsidiabele_Activiteit]],0),MATCH(SubsidieTabel!T$1,Tb_Activiteiten[#Headers],0))=1,SubsidieTabel!$K97,0),0)</f>
        <v>0</v>
      </c>
      <c r="U97" s="282">
        <f>IFERROR(IF(INDEX(Tb_Activiteiten[#All],MATCH(SubsidieTabel!$A97,Tb_Activiteiten[[#All],[Subsidiabele_Activiteit]],0),MATCH(SubsidieTabel!U$1,Tb_Activiteiten[#Headers],0))=1,SubsidieTabel!$J97,0),0)</f>
        <v>0</v>
      </c>
      <c r="V97" s="282">
        <f>IFERROR(IF(INDEX(Tb_Activiteiten[#All],MATCH(SubsidieTabel!$A97,Tb_Activiteiten[[#All],[Subsidiabele_Activiteit]],0),MATCH(SubsidieTabel!V$1,Tb_Activiteiten[#Headers],0))=1,SubsidieTabel!$K97,0),0)</f>
        <v>0</v>
      </c>
      <c r="W97" s="64">
        <f>IFERROR(IF(INDEX(Tb_Activiteiten[#All],MATCH(SubsidieTabel!$A97,Tb_Activiteiten[[#All],[Subsidiabele_Activiteit]],0),MATCH(SubsidieTabel!Q$1,Tb_Activiteiten[#Headers],0))=1,H97,0),0)</f>
        <v>0</v>
      </c>
      <c r="X97" s="64">
        <f>IFERROR(IF(INDEX(Tb_Activiteiten[#All],MATCH(SubsidieTabel!$A97,Tb_Activiteiten[[#All],[Subsidiabele_Activiteit]],0),MATCH(SubsidieTabel!Q$1,Tb_Activiteiten[#Headers],0))=1,I97,0),0)</f>
        <v>0</v>
      </c>
      <c r="Y97" s="64">
        <f>IFERROR(IF(INDEX(Tb_Activiteiten[#All],MATCH(SubsidieTabel!$A97,Tb_Activiteiten[[#All],[Subsidiabele_Activiteit]],0),MATCH(SubsidieTabel!S$1,Tb_Activiteiten[#Headers],0))=1,H97,0),0)</f>
        <v>0</v>
      </c>
      <c r="Z97" s="64">
        <f>IFERROR(IF(INDEX(Tb_Activiteiten[#All],MATCH(SubsidieTabel!$A97,Tb_Activiteiten[[#All],[Subsidiabele_Activiteit]],0),MATCH(SubsidieTabel!S$1,Tb_Activiteiten[#Headers],0))=1,I97,0),0)</f>
        <v>0</v>
      </c>
      <c r="AA97" s="64">
        <f>IFERROR(IF(INDEX(Tb_Activiteiten[#All],MATCH(SubsidieTabel!$A97,Tb_Activiteiten[[#All],[Subsidiabele_Activiteit]],0),MATCH(SubsidieTabel!O$1,Tb_Activiteiten[#Headers],0))=1,$F97,0),0)</f>
        <v>0</v>
      </c>
      <c r="AB97" s="64">
        <f>IFERROR(IF(INDEX(Tb_Activiteiten[#All],MATCH(SubsidieTabel!$A97,Tb_Activiteiten[[#All],[Subsidiabele_Activiteit]],0),MATCH(SubsidieTabel!O$1,Tb_Activiteiten[#Headers],0))=1,$G97,0),0)</f>
        <v>0</v>
      </c>
    </row>
    <row r="98" spans="1:28" x14ac:dyDescent="0.25">
      <c r="A98" s="63"/>
      <c r="B98" s="63"/>
      <c r="C98" s="63" t="str">
        <f>IFERROR(VLOOKUP($B98,Tb_ProjectKosten[],4,0),"")</f>
        <v/>
      </c>
      <c r="D98" s="63" t="str" cm="1">
        <f t="array" ref="D98">IFERROR(INDEX(Tb_KostenOpties[],MATCH(B98,Tb_KostenOpties[KostenOptie],0),IFERROR(MATCH(Methode_Keuze,Tb_KostenOpties[#Headers],0),2)),"")</f>
        <v/>
      </c>
      <c r="E98" s="283">
        <f>IFERROR(VLOOKUP(B98,Tb_ProjectKosten[[#All],[KostenOmschrijving]:[Forfait_Percentage]],6,0),0)</f>
        <v>0</v>
      </c>
      <c r="F98" s="284">
        <f>SUMIFS('5. Kosten uitvoering project'!R:R,'5. Kosten uitvoering project'!E:E,SubsidieTabel!A98,'5. Kosten uitvoering project'!F:F,SubsidieTabel!B98)</f>
        <v>0</v>
      </c>
      <c r="G98" s="284">
        <f>SUMIFS('5. Kosten uitvoering project'!S:S,'5. Kosten uitvoering project'!E:E,SubsidieTabel!A98,'5. Kosten uitvoering project'!F:F,SubsidieTabel!B98)</f>
        <v>0</v>
      </c>
      <c r="H98" s="284">
        <f>SUMIFS('5. Kosten uitvoering project'!U:U,'5. Kosten uitvoering project'!E:E,SubsidieTabel!A98,'5. Kosten uitvoering project'!F:F,SubsidieTabel!B98)</f>
        <v>0</v>
      </c>
      <c r="I98" s="284">
        <f>SUMIFS('5. Kosten uitvoering project'!V:V,'5. Kosten uitvoering project'!E:E,SubsidieTabel!A98,'5. Kosten uitvoering project'!F:F,SubsidieTabel!B98)</f>
        <v>0</v>
      </c>
      <c r="J98" s="284">
        <f t="shared" si="9"/>
        <v>0</v>
      </c>
      <c r="K98" s="284">
        <f t="shared" si="10"/>
        <v>0</v>
      </c>
      <c r="L98" s="283" t="str">
        <f>IFERROR(VLOOKUP(A98,Lijsten!$AK:$AL,2,0),"")</f>
        <v/>
      </c>
      <c r="M98" s="284">
        <f t="shared" si="11"/>
        <v>0</v>
      </c>
      <c r="N98" s="284">
        <f t="shared" si="12"/>
        <v>0</v>
      </c>
      <c r="O98" s="284">
        <f>IFERROR(IF(INDEX(Tb_Activiteiten[#All],MATCH(SubsidieTabel!$A98,Tb_Activiteiten[[#All],[Subsidiabele_Activiteit]],0),MATCH(SubsidieTabel!O$1,Tb_Activiteiten[#Headers],0))=1,SubsidieTabel!$J98,0),0)</f>
        <v>0</v>
      </c>
      <c r="P98" s="284">
        <f>IFERROR(IF(INDEX(Tb_Activiteiten[#All],MATCH(SubsidieTabel!$A98,Tb_Activiteiten[[#All],[Subsidiabele_Activiteit]],0),MATCH(SubsidieTabel!P$1,Tb_Activiteiten[#Headers],0))=1,SubsidieTabel!$K98,0),0)</f>
        <v>0</v>
      </c>
      <c r="Q98" s="284">
        <f>IFERROR(IF(INDEX(Tb_Activiteiten[#All],MATCH(SubsidieTabel!$A98,Tb_Activiteiten[[#All],[Subsidiabele_Activiteit]],0),MATCH(SubsidieTabel!Q$1,Tb_Activiteiten[#Headers],0))=1,SubsidieTabel!$J98,0),0)</f>
        <v>0</v>
      </c>
      <c r="R98" s="284">
        <f>IFERROR(IF(INDEX(Tb_Activiteiten[#All],MATCH(SubsidieTabel!$A98,Tb_Activiteiten[[#All],[Subsidiabele_Activiteit]],0),MATCH(SubsidieTabel!R$1,Tb_Activiteiten[#Headers],0))=1,SubsidieTabel!$K98,0),0)</f>
        <v>0</v>
      </c>
      <c r="S98" s="284">
        <f>IFERROR(IF(INDEX(Tb_Activiteiten[#All],MATCH(SubsidieTabel!$A98,Tb_Activiteiten[[#All],[Subsidiabele_Activiteit]],0),MATCH(SubsidieTabel!S$1,Tb_Activiteiten[#Headers],0))=1,SubsidieTabel!$J98,0),0)</f>
        <v>0</v>
      </c>
      <c r="T98" s="284">
        <f>IFERROR(IF(INDEX(Tb_Activiteiten[#All],MATCH(SubsidieTabel!$A98,Tb_Activiteiten[[#All],[Subsidiabele_Activiteit]],0),MATCH(SubsidieTabel!T$1,Tb_Activiteiten[#Headers],0))=1,SubsidieTabel!$K98,0),0)</f>
        <v>0</v>
      </c>
      <c r="U98" s="284">
        <f>IFERROR(IF(INDEX(Tb_Activiteiten[#All],MATCH(SubsidieTabel!$A98,Tb_Activiteiten[[#All],[Subsidiabele_Activiteit]],0),MATCH(SubsidieTabel!U$1,Tb_Activiteiten[#Headers],0))=1,SubsidieTabel!$J98,0),0)</f>
        <v>0</v>
      </c>
      <c r="V98" s="284">
        <f>IFERROR(IF(INDEX(Tb_Activiteiten[#All],MATCH(SubsidieTabel!$A98,Tb_Activiteiten[[#All],[Subsidiabele_Activiteit]],0),MATCH(SubsidieTabel!V$1,Tb_Activiteiten[#Headers],0))=1,SubsidieTabel!$K98,0),0)</f>
        <v>0</v>
      </c>
      <c r="W98" s="369">
        <f>IFERROR(IF(INDEX(Tb_Activiteiten[#All],MATCH(SubsidieTabel!$A98,Tb_Activiteiten[[#All],[Subsidiabele_Activiteit]],0),MATCH(SubsidieTabel!Q$1,Tb_Activiteiten[#Headers],0))=1,H98,0),0)</f>
        <v>0</v>
      </c>
      <c r="X98" s="369">
        <f>IFERROR(IF(INDEX(Tb_Activiteiten[#All],MATCH(SubsidieTabel!$A98,Tb_Activiteiten[[#All],[Subsidiabele_Activiteit]],0),MATCH(SubsidieTabel!Q$1,Tb_Activiteiten[#Headers],0))=1,I98,0),0)</f>
        <v>0</v>
      </c>
      <c r="Y98" s="369">
        <f>IFERROR(IF(INDEX(Tb_Activiteiten[#All],MATCH(SubsidieTabel!$A98,Tb_Activiteiten[[#All],[Subsidiabele_Activiteit]],0),MATCH(SubsidieTabel!S$1,Tb_Activiteiten[#Headers],0))=1,H98,0),0)</f>
        <v>0</v>
      </c>
      <c r="Z98" s="369">
        <f>IFERROR(IF(INDEX(Tb_Activiteiten[#All],MATCH(SubsidieTabel!$A98,Tb_Activiteiten[[#All],[Subsidiabele_Activiteit]],0),MATCH(SubsidieTabel!S$1,Tb_Activiteiten[#Headers],0))=1,I98,0),0)</f>
        <v>0</v>
      </c>
      <c r="AA98" s="369">
        <f>IFERROR(IF(INDEX(Tb_Activiteiten[#All],MATCH(SubsidieTabel!$A98,Tb_Activiteiten[[#All],[Subsidiabele_Activiteit]],0),MATCH(SubsidieTabel!O$1,Tb_Activiteiten[#Headers],0))=1,$F98,0),0)</f>
        <v>0</v>
      </c>
      <c r="AB98" s="369">
        <f>IFERROR(IF(INDEX(Tb_Activiteiten[#All],MATCH(SubsidieTabel!$A98,Tb_Activiteiten[[#All],[Subsidiabele_Activiteit]],0),MATCH(SubsidieTabel!O$1,Tb_Activiteiten[#Headers],0))=1,$G98,0),0)</f>
        <v>0</v>
      </c>
    </row>
    <row r="99" spans="1:28" x14ac:dyDescent="0.25">
      <c r="A99" s="12"/>
      <c r="B99" s="12"/>
      <c r="C99" s="12" t="str">
        <f>IFERROR(VLOOKUP($B99,Tb_ProjectKosten[],4,0),"")</f>
        <v/>
      </c>
      <c r="D99" s="12" t="str" cm="1">
        <f t="array" ref="D99">IFERROR(INDEX(Tb_KostenOpties[],MATCH(B99,Tb_KostenOpties[KostenOptie],0),IFERROR(MATCH(Methode_Keuze,Tb_KostenOpties[#Headers],0),2)),"")</f>
        <v/>
      </c>
      <c r="E99" s="281">
        <f>IFERROR(VLOOKUP(B99,Tb_ProjectKosten[[#All],[KostenOmschrijving]:[Forfait_Percentage]],6,0),0)</f>
        <v>0</v>
      </c>
      <c r="F99" s="282">
        <f>SUMIFS('5. Kosten uitvoering project'!R:R,'5. Kosten uitvoering project'!E:E,SubsidieTabel!A99,'5. Kosten uitvoering project'!F:F,SubsidieTabel!B99)</f>
        <v>0</v>
      </c>
      <c r="G99" s="282">
        <f>SUMIFS('5. Kosten uitvoering project'!S:S,'5. Kosten uitvoering project'!E:E,SubsidieTabel!A99,'5. Kosten uitvoering project'!F:F,SubsidieTabel!B99)</f>
        <v>0</v>
      </c>
      <c r="H99" s="282">
        <f>SUMIFS('5. Kosten uitvoering project'!U:U,'5. Kosten uitvoering project'!E:E,SubsidieTabel!A99,'5. Kosten uitvoering project'!F:F,SubsidieTabel!B99)</f>
        <v>0</v>
      </c>
      <c r="I99" s="282">
        <f>SUMIFS('5. Kosten uitvoering project'!V:V,'5. Kosten uitvoering project'!E:E,SubsidieTabel!A99,'5. Kosten uitvoering project'!F:F,SubsidieTabel!B99)</f>
        <v>0</v>
      </c>
      <c r="J99" s="282">
        <f t="shared" si="9"/>
        <v>0</v>
      </c>
      <c r="K99" s="282">
        <f t="shared" si="10"/>
        <v>0</v>
      </c>
      <c r="L99" s="281" t="str">
        <f>IFERROR(VLOOKUP(A99,Lijsten!$AK:$AL,2,0),"")</f>
        <v/>
      </c>
      <c r="M99" s="282">
        <f t="shared" si="11"/>
        <v>0</v>
      </c>
      <c r="N99" s="282">
        <f t="shared" si="12"/>
        <v>0</v>
      </c>
      <c r="O99" s="282">
        <f>IFERROR(IF(INDEX(Tb_Activiteiten[#All],MATCH(SubsidieTabel!$A99,Tb_Activiteiten[[#All],[Subsidiabele_Activiteit]],0),MATCH(SubsidieTabel!O$1,Tb_Activiteiten[#Headers],0))=1,SubsidieTabel!$J99,0),0)</f>
        <v>0</v>
      </c>
      <c r="P99" s="282">
        <f>IFERROR(IF(INDEX(Tb_Activiteiten[#All],MATCH(SubsidieTabel!$A99,Tb_Activiteiten[[#All],[Subsidiabele_Activiteit]],0),MATCH(SubsidieTabel!P$1,Tb_Activiteiten[#Headers],0))=1,SubsidieTabel!$K99,0),0)</f>
        <v>0</v>
      </c>
      <c r="Q99" s="282">
        <f>IFERROR(IF(INDEX(Tb_Activiteiten[#All],MATCH(SubsidieTabel!$A99,Tb_Activiteiten[[#All],[Subsidiabele_Activiteit]],0),MATCH(SubsidieTabel!Q$1,Tb_Activiteiten[#Headers],0))=1,SubsidieTabel!$J99,0),0)</f>
        <v>0</v>
      </c>
      <c r="R99" s="282">
        <f>IFERROR(IF(INDEX(Tb_Activiteiten[#All],MATCH(SubsidieTabel!$A99,Tb_Activiteiten[[#All],[Subsidiabele_Activiteit]],0),MATCH(SubsidieTabel!R$1,Tb_Activiteiten[#Headers],0))=1,SubsidieTabel!$K99,0),0)</f>
        <v>0</v>
      </c>
      <c r="S99" s="282">
        <f>IFERROR(IF(INDEX(Tb_Activiteiten[#All],MATCH(SubsidieTabel!$A99,Tb_Activiteiten[[#All],[Subsidiabele_Activiteit]],0),MATCH(SubsidieTabel!S$1,Tb_Activiteiten[#Headers],0))=1,SubsidieTabel!$J99,0),0)</f>
        <v>0</v>
      </c>
      <c r="T99" s="282">
        <f>IFERROR(IF(INDEX(Tb_Activiteiten[#All],MATCH(SubsidieTabel!$A99,Tb_Activiteiten[[#All],[Subsidiabele_Activiteit]],0),MATCH(SubsidieTabel!T$1,Tb_Activiteiten[#Headers],0))=1,SubsidieTabel!$K99,0),0)</f>
        <v>0</v>
      </c>
      <c r="U99" s="282">
        <f>IFERROR(IF(INDEX(Tb_Activiteiten[#All],MATCH(SubsidieTabel!$A99,Tb_Activiteiten[[#All],[Subsidiabele_Activiteit]],0),MATCH(SubsidieTabel!U$1,Tb_Activiteiten[#Headers],0))=1,SubsidieTabel!$J99,0),0)</f>
        <v>0</v>
      </c>
      <c r="V99" s="282">
        <f>IFERROR(IF(INDEX(Tb_Activiteiten[#All],MATCH(SubsidieTabel!$A99,Tb_Activiteiten[[#All],[Subsidiabele_Activiteit]],0),MATCH(SubsidieTabel!V$1,Tb_Activiteiten[#Headers],0))=1,SubsidieTabel!$K99,0),0)</f>
        <v>0</v>
      </c>
      <c r="W99" s="64">
        <f>IFERROR(IF(INDEX(Tb_Activiteiten[#All],MATCH(SubsidieTabel!$A99,Tb_Activiteiten[[#All],[Subsidiabele_Activiteit]],0),MATCH(SubsidieTabel!Q$1,Tb_Activiteiten[#Headers],0))=1,H99,0),0)</f>
        <v>0</v>
      </c>
      <c r="X99" s="64">
        <f>IFERROR(IF(INDEX(Tb_Activiteiten[#All],MATCH(SubsidieTabel!$A99,Tb_Activiteiten[[#All],[Subsidiabele_Activiteit]],0),MATCH(SubsidieTabel!Q$1,Tb_Activiteiten[#Headers],0))=1,I99,0),0)</f>
        <v>0</v>
      </c>
      <c r="Y99" s="64">
        <f>IFERROR(IF(INDEX(Tb_Activiteiten[#All],MATCH(SubsidieTabel!$A99,Tb_Activiteiten[[#All],[Subsidiabele_Activiteit]],0),MATCH(SubsidieTabel!S$1,Tb_Activiteiten[#Headers],0))=1,H99,0),0)</f>
        <v>0</v>
      </c>
      <c r="Z99" s="64">
        <f>IFERROR(IF(INDEX(Tb_Activiteiten[#All],MATCH(SubsidieTabel!$A99,Tb_Activiteiten[[#All],[Subsidiabele_Activiteit]],0),MATCH(SubsidieTabel!S$1,Tb_Activiteiten[#Headers],0))=1,I99,0),0)</f>
        <v>0</v>
      </c>
      <c r="AA99" s="64">
        <f>IFERROR(IF(INDEX(Tb_Activiteiten[#All],MATCH(SubsidieTabel!$A99,Tb_Activiteiten[[#All],[Subsidiabele_Activiteit]],0),MATCH(SubsidieTabel!O$1,Tb_Activiteiten[#Headers],0))=1,$F99,0),0)</f>
        <v>0</v>
      </c>
      <c r="AB99" s="64">
        <f>IFERROR(IF(INDEX(Tb_Activiteiten[#All],MATCH(SubsidieTabel!$A99,Tb_Activiteiten[[#All],[Subsidiabele_Activiteit]],0),MATCH(SubsidieTabel!O$1,Tb_Activiteiten[#Headers],0))=1,$G99,0),0)</f>
        <v>0</v>
      </c>
    </row>
    <row r="100" spans="1:28" x14ac:dyDescent="0.25">
      <c r="A100" s="63"/>
      <c r="B100" s="63"/>
      <c r="C100" s="63" t="str">
        <f>IFERROR(VLOOKUP($B100,Tb_ProjectKosten[],4,0),"")</f>
        <v/>
      </c>
      <c r="D100" s="63" t="str" cm="1">
        <f t="array" ref="D100">IFERROR(INDEX(Tb_KostenOpties[],MATCH(B100,Tb_KostenOpties[KostenOptie],0),IFERROR(MATCH(Methode_Keuze,Tb_KostenOpties[#Headers],0),2)),"")</f>
        <v/>
      </c>
      <c r="E100" s="283">
        <f>IFERROR(VLOOKUP(B100,Tb_ProjectKosten[[#All],[KostenOmschrijving]:[Forfait_Percentage]],6,0),0)</f>
        <v>0</v>
      </c>
      <c r="F100" s="284">
        <f>SUMIFS('5. Kosten uitvoering project'!R:R,'5. Kosten uitvoering project'!E:E,SubsidieTabel!A100,'5. Kosten uitvoering project'!F:F,SubsidieTabel!B100)</f>
        <v>0</v>
      </c>
      <c r="G100" s="284">
        <f>SUMIFS('5. Kosten uitvoering project'!S:S,'5. Kosten uitvoering project'!E:E,SubsidieTabel!A100,'5. Kosten uitvoering project'!F:F,SubsidieTabel!B100)</f>
        <v>0</v>
      </c>
      <c r="H100" s="284">
        <f>SUMIFS('5. Kosten uitvoering project'!U:U,'5. Kosten uitvoering project'!E:E,SubsidieTabel!A100,'5. Kosten uitvoering project'!F:F,SubsidieTabel!B100)</f>
        <v>0</v>
      </c>
      <c r="I100" s="284">
        <f>SUMIFS('5. Kosten uitvoering project'!V:V,'5. Kosten uitvoering project'!E:E,SubsidieTabel!A100,'5. Kosten uitvoering project'!F:F,SubsidieTabel!B100)</f>
        <v>0</v>
      </c>
      <c r="J100" s="284">
        <f t="shared" si="9"/>
        <v>0</v>
      </c>
      <c r="K100" s="284">
        <f t="shared" si="10"/>
        <v>0</v>
      </c>
      <c r="L100" s="283" t="str">
        <f>IFERROR(VLOOKUP(A100,Lijsten!$AK:$AL,2,0),"")</f>
        <v/>
      </c>
      <c r="M100" s="284">
        <f t="shared" si="11"/>
        <v>0</v>
      </c>
      <c r="N100" s="284">
        <f t="shared" si="12"/>
        <v>0</v>
      </c>
      <c r="O100" s="284">
        <f>IFERROR(IF(INDEX(Tb_Activiteiten[#All],MATCH(SubsidieTabel!$A100,Tb_Activiteiten[[#All],[Subsidiabele_Activiteit]],0),MATCH(SubsidieTabel!O$1,Tb_Activiteiten[#Headers],0))=1,SubsidieTabel!$J100,0),0)</f>
        <v>0</v>
      </c>
      <c r="P100" s="284">
        <f>IFERROR(IF(INDEX(Tb_Activiteiten[#All],MATCH(SubsidieTabel!$A100,Tb_Activiteiten[[#All],[Subsidiabele_Activiteit]],0),MATCH(SubsidieTabel!P$1,Tb_Activiteiten[#Headers],0))=1,SubsidieTabel!$K100,0),0)</f>
        <v>0</v>
      </c>
      <c r="Q100" s="284">
        <f>IFERROR(IF(INDEX(Tb_Activiteiten[#All],MATCH(SubsidieTabel!$A100,Tb_Activiteiten[[#All],[Subsidiabele_Activiteit]],0),MATCH(SubsidieTabel!Q$1,Tb_Activiteiten[#Headers],0))=1,SubsidieTabel!$J100,0),0)</f>
        <v>0</v>
      </c>
      <c r="R100" s="284">
        <f>IFERROR(IF(INDEX(Tb_Activiteiten[#All],MATCH(SubsidieTabel!$A100,Tb_Activiteiten[[#All],[Subsidiabele_Activiteit]],0),MATCH(SubsidieTabel!R$1,Tb_Activiteiten[#Headers],0))=1,SubsidieTabel!$K100,0),0)</f>
        <v>0</v>
      </c>
      <c r="S100" s="284">
        <f>IFERROR(IF(INDEX(Tb_Activiteiten[#All],MATCH(SubsidieTabel!$A100,Tb_Activiteiten[[#All],[Subsidiabele_Activiteit]],0),MATCH(SubsidieTabel!S$1,Tb_Activiteiten[#Headers],0))=1,SubsidieTabel!$J100,0),0)</f>
        <v>0</v>
      </c>
      <c r="T100" s="284">
        <f>IFERROR(IF(INDEX(Tb_Activiteiten[#All],MATCH(SubsidieTabel!$A100,Tb_Activiteiten[[#All],[Subsidiabele_Activiteit]],0),MATCH(SubsidieTabel!T$1,Tb_Activiteiten[#Headers],0))=1,SubsidieTabel!$K100,0),0)</f>
        <v>0</v>
      </c>
      <c r="U100" s="284">
        <f>IFERROR(IF(INDEX(Tb_Activiteiten[#All],MATCH(SubsidieTabel!$A100,Tb_Activiteiten[[#All],[Subsidiabele_Activiteit]],0),MATCH(SubsidieTabel!U$1,Tb_Activiteiten[#Headers],0))=1,SubsidieTabel!$J100,0),0)</f>
        <v>0</v>
      </c>
      <c r="V100" s="284">
        <f>IFERROR(IF(INDEX(Tb_Activiteiten[#All],MATCH(SubsidieTabel!$A100,Tb_Activiteiten[[#All],[Subsidiabele_Activiteit]],0),MATCH(SubsidieTabel!V$1,Tb_Activiteiten[#Headers],0))=1,SubsidieTabel!$K100,0),0)</f>
        <v>0</v>
      </c>
      <c r="W100" s="369">
        <f>IFERROR(IF(INDEX(Tb_Activiteiten[#All],MATCH(SubsidieTabel!$A100,Tb_Activiteiten[[#All],[Subsidiabele_Activiteit]],0),MATCH(SubsidieTabel!Q$1,Tb_Activiteiten[#Headers],0))=1,H100,0),0)</f>
        <v>0</v>
      </c>
      <c r="X100" s="369">
        <f>IFERROR(IF(INDEX(Tb_Activiteiten[#All],MATCH(SubsidieTabel!$A100,Tb_Activiteiten[[#All],[Subsidiabele_Activiteit]],0),MATCH(SubsidieTabel!Q$1,Tb_Activiteiten[#Headers],0))=1,I100,0),0)</f>
        <v>0</v>
      </c>
      <c r="Y100" s="369">
        <f>IFERROR(IF(INDEX(Tb_Activiteiten[#All],MATCH(SubsidieTabel!$A100,Tb_Activiteiten[[#All],[Subsidiabele_Activiteit]],0),MATCH(SubsidieTabel!S$1,Tb_Activiteiten[#Headers],0))=1,H100,0),0)</f>
        <v>0</v>
      </c>
      <c r="Z100" s="369">
        <f>IFERROR(IF(INDEX(Tb_Activiteiten[#All],MATCH(SubsidieTabel!$A100,Tb_Activiteiten[[#All],[Subsidiabele_Activiteit]],0),MATCH(SubsidieTabel!S$1,Tb_Activiteiten[#Headers],0))=1,I100,0),0)</f>
        <v>0</v>
      </c>
      <c r="AA100" s="369">
        <f>IFERROR(IF(INDEX(Tb_Activiteiten[#All],MATCH(SubsidieTabel!$A100,Tb_Activiteiten[[#All],[Subsidiabele_Activiteit]],0),MATCH(SubsidieTabel!O$1,Tb_Activiteiten[#Headers],0))=1,$F100,0),0)</f>
        <v>0</v>
      </c>
      <c r="AB100" s="369">
        <f>IFERROR(IF(INDEX(Tb_Activiteiten[#All],MATCH(SubsidieTabel!$A100,Tb_Activiteiten[[#All],[Subsidiabele_Activiteit]],0),MATCH(SubsidieTabel!O$1,Tb_Activiteiten[#Headers],0))=1,$G100,0),0)</f>
        <v>0</v>
      </c>
    </row>
  </sheetData>
  <sheetProtection algorithmName="SHA-512" hashValue="W+hpnm5TxZo77G7jRJOhl8h6LlbWA33P9xp6GYwhya50xsb1TxZu1rs1d6/6gdmzrU7893ijMovmrqf2gOO4uA==" saltValue="HQNGugRuEy9Q8CbNtnxQkQ==" spinCount="100000" sheet="1" objects="1" scenarios="1"/>
  <pageMargins left="0.7" right="0.7" top="0.75" bottom="0.75" header="0.3" footer="0.3"/>
  <pageSetup paperSize="9" orientation="portrait" r:id="rId1"/>
  <tableParts count="5">
    <tablePart r:id="rId2"/>
    <tablePart r:id="rId3"/>
    <tablePart r:id="rId4"/>
    <tablePart r:id="rId5"/>
    <tablePart r:id="rId6"/>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1CF1B-21E9-4022-B0E8-0E42DF304E69}">
  <sheetPr codeName="Blad20">
    <tabColor theme="4" tint="-0.249977111117893"/>
  </sheetPr>
  <dimension ref="A1:W100"/>
  <sheetViews>
    <sheetView workbookViewId="0">
      <pane ySplit="1" topLeftCell="A2" activePane="bottomLeft" state="frozen"/>
      <selection activeCell="C10" sqref="C10:E10"/>
      <selection pane="bottomLeft" activeCell="A2" sqref="A2"/>
    </sheetView>
  </sheetViews>
  <sheetFormatPr defaultRowHeight="15" x14ac:dyDescent="0.25"/>
  <cols>
    <col min="1" max="1" width="32.7109375" bestFit="1" customWidth="1"/>
    <col min="2" max="2" width="24.42578125" bestFit="1" customWidth="1"/>
    <col min="3" max="3" width="6.42578125" bestFit="1" customWidth="1"/>
    <col min="4" max="4" width="8.42578125" bestFit="1" customWidth="1"/>
    <col min="5" max="5" width="15.5703125" bestFit="1" customWidth="1"/>
    <col min="6" max="6" width="17.42578125" bestFit="1" customWidth="1"/>
    <col min="7" max="7" width="13.28515625" bestFit="1" customWidth="1"/>
    <col min="8" max="8" width="24.140625" bestFit="1" customWidth="1"/>
    <col min="9" max="9" width="7.140625" bestFit="1" customWidth="1"/>
    <col min="10" max="10" width="15" bestFit="1" customWidth="1"/>
    <col min="11" max="11" width="16.85546875" bestFit="1" customWidth="1"/>
    <col min="12" max="12" width="19.5703125" bestFit="1" customWidth="1"/>
    <col min="13" max="13" width="22.28515625" bestFit="1" customWidth="1"/>
    <col min="14" max="14" width="14.7109375" bestFit="1" customWidth="1"/>
    <col min="15" max="15" width="25.5703125" bestFit="1" customWidth="1"/>
    <col min="16" max="16" width="16.42578125" bestFit="1" customWidth="1"/>
    <col min="17" max="17" width="18.42578125" bestFit="1" customWidth="1"/>
    <col min="18" max="18" width="20.7109375" customWidth="1"/>
    <col min="19" max="19" width="26.28515625" customWidth="1"/>
    <col min="20" max="23" width="20.7109375" customWidth="1"/>
  </cols>
  <sheetData>
    <row r="1" spans="1:23" x14ac:dyDescent="0.25">
      <c r="A1" s="84" t="s">
        <v>152</v>
      </c>
      <c r="B1" s="85" t="s">
        <v>83</v>
      </c>
      <c r="C1" s="85" t="s">
        <v>40</v>
      </c>
      <c r="D1" s="85" t="s">
        <v>123</v>
      </c>
      <c r="E1" s="85" t="s">
        <v>161</v>
      </c>
      <c r="F1" s="85" t="s">
        <v>162</v>
      </c>
      <c r="G1" s="85" t="s">
        <v>87</v>
      </c>
      <c r="H1" s="85" t="s">
        <v>88</v>
      </c>
      <c r="I1" s="85" t="s">
        <v>124</v>
      </c>
      <c r="J1" s="85" t="s">
        <v>126</v>
      </c>
      <c r="K1" s="85" t="s">
        <v>125</v>
      </c>
      <c r="L1" s="85" t="str">
        <f>"Uitgaven_aanvraag "&amp;Keuze_DB_Nr</f>
        <v xml:space="preserve">Uitgaven_aanvraag </v>
      </c>
      <c r="M1" s="85" t="str">
        <f>"Uitgaven_Beoordeeld "&amp;Keuze_DB_Nr</f>
        <v xml:space="preserve">Uitgaven_Beoordeeld </v>
      </c>
      <c r="N1" s="85" t="str">
        <f>"Forfait_Bedrag "&amp;Keuze_DB_Nr</f>
        <v xml:space="preserve">Forfait_Bedrag </v>
      </c>
      <c r="O1" s="85" t="str">
        <f xml:space="preserve"> "Forfait_Bedrag_Beoordeeld "&amp;Keuze_DB_Nr</f>
        <v xml:space="preserve">Forfait_Bedrag_Beoordeeld </v>
      </c>
      <c r="P1" s="85" t="str">
        <f>"Totaal_Aanvraag "&amp;Keuze_DB_Nr</f>
        <v xml:space="preserve">Totaal_Aanvraag </v>
      </c>
      <c r="Q1" s="85" t="str">
        <f>"Totaal_Beoordeeld "&amp;Keuze_DB_Nr</f>
        <v xml:space="preserve">Totaal_Beoordeeld </v>
      </c>
      <c r="R1" s="85" t="str">
        <f>"Uitgaven_aanvraag_BEO "&amp;Keuze_DB_Nr_BEO</f>
        <v xml:space="preserve">Uitgaven_aanvraag_BEO </v>
      </c>
      <c r="S1" s="85" t="str">
        <f>"Uitgaven_Beoordeeld_BEO "&amp;Keuze_DB_Nr_BEO</f>
        <v xml:space="preserve">Uitgaven_Beoordeeld_BEO </v>
      </c>
      <c r="T1" s="85" t="str">
        <f>"Forfait_Bedrag_BEO "&amp;Keuze_DB_Nr_BEO</f>
        <v xml:space="preserve">Forfait_Bedrag_BEO </v>
      </c>
      <c r="U1" s="85" t="str">
        <f xml:space="preserve"> "Forfait_Bedrag_Beoordeeld_BEO "&amp;Keuze_DB_Nr_BEO</f>
        <v xml:space="preserve">Forfait_Bedrag_Beoordeeld_BEO </v>
      </c>
      <c r="V1" s="85" t="str">
        <f>"Totaal_Aanvraag_BEO "&amp;Keuze_DB_Nr_BEO</f>
        <v xml:space="preserve">Totaal_Aanvraag_BEO </v>
      </c>
      <c r="W1" s="85" t="str">
        <f>"Totaal_Beoordeeld_BEO "&amp;Keuze_DB_Nr_BEO</f>
        <v xml:space="preserve">Totaal_Beoordeeld_BEO </v>
      </c>
    </row>
    <row r="2" spans="1:23" x14ac:dyDescent="0.25">
      <c r="A2" s="63" t="str" cm="1">
        <f t="array" ref="A2">IFERROR(_xlfn.UNIQUE(_xlfn._xlws.FILTER('8. Uitgaven betaalverzoek'!$E2:$F10000,'8. Uitgaven betaalverzoek'!$E2:$E10000&lt;&gt;"")),"")</f>
        <v/>
      </c>
      <c r="B2" s="63"/>
      <c r="C2" s="86" t="str" cm="1">
        <f t="array" ref="C2">IFERROR(INDEX(Tb_KostenOpties[],MATCH(B2,Tb_KostenOptiesDB[KostenOptie],0),IFERROR(MATCH(Methode_Keuze,Tb_KostenOptiesDB[#Headers],0),2)),"")</f>
        <v/>
      </c>
      <c r="D2" s="98">
        <f>IFERROR(INDEX(Tb_ProjectKosten[],MATCH($B2,Tb_ProjectKosten[Begroting],0),6),0)</f>
        <v>0</v>
      </c>
      <c r="E2" s="96">
        <f>SUMIFS('8. Uitgaven betaalverzoek'!$W:$W,'8. Uitgaven betaalverzoek'!$E:$E,$A2,'8. Uitgaven betaalverzoek'!$F:$F,$B2)</f>
        <v>0</v>
      </c>
      <c r="F2" s="96">
        <f>SUMIFS('8. Uitgaven betaalverzoek'!$X:$X,'8. Uitgaven betaalverzoek'!$E:$E,$A2,'8. Uitgaven betaalverzoek'!$F:$F,$B2)</f>
        <v>0</v>
      </c>
      <c r="G2" s="96" t="str">
        <f>IF(C2&lt;&gt;"",SUMIFS('8. Uitgaven betaalverzoek'!$Z:$Z,'8. Uitgaven betaalverzoek'!$E:$E,$A2,'8. Uitgaven betaalverzoek'!$F:$F,$B2),"")</f>
        <v/>
      </c>
      <c r="H2" s="96" t="str">
        <f>IF(C2&lt;&gt;"",SUMIFS('8. Uitgaven betaalverzoek'!$AA:$AA,'8. Uitgaven betaalverzoek'!$E:$E,$A2,'8. Uitgaven betaalverzoek'!$F:$F,$B2),"")</f>
        <v/>
      </c>
      <c r="I2" s="98" t="str">
        <f>IFERROR(VLOOKUP(A2,Lijsten!$AK:$AL,2,0),"")</f>
        <v/>
      </c>
      <c r="J2" s="96">
        <f>IFERROR($I2*(E2+G2),0)</f>
        <v>0</v>
      </c>
      <c r="K2" s="96">
        <f>IFERROR($I2*(F2+H2),0)</f>
        <v>0</v>
      </c>
      <c r="L2" s="96">
        <f>SUMIFS('8. Uitgaven betaalverzoek'!$W:$W,'8. Uitgaven betaalverzoek'!$E:$E,$A2,'8. Uitgaven betaalverzoek'!$F:$F,$B2,'8. Uitgaven betaalverzoek'!$A:$A,Keuze_DB_Nr)</f>
        <v>0</v>
      </c>
      <c r="M2" s="96">
        <f>SUMIFS('8. Uitgaven betaalverzoek'!$X:$X,'8. Uitgaven betaalverzoek'!$E:$E,$A2,'8. Uitgaven betaalverzoek'!$F:$F,$B2,'8. Uitgaven betaalverzoek'!$A:$A,Keuze_DB_Nr)</f>
        <v>0</v>
      </c>
      <c r="N2" s="96" t="str">
        <f>IF($C2&lt;&gt;"",SUMIFS('8. Uitgaven betaalverzoek'!$Z:$Z,'8. Uitgaven betaalverzoek'!$E:$E,$A2,'8. Uitgaven betaalverzoek'!$F:$F,$B2,'8. Uitgaven betaalverzoek'!$A:$A,Keuze_DB_Nr),"")</f>
        <v/>
      </c>
      <c r="O2" s="96" t="str">
        <f>IF($C2&lt;&gt;"",SUMIFS('8. Uitgaven betaalverzoek'!$AA:$AA,'8. Uitgaven betaalverzoek'!$E:$E,$A2,'8. Uitgaven betaalverzoek'!$F:$F,$B2,'8. Uitgaven betaalverzoek'!$A:$A,Keuze_DB_Nr),"")</f>
        <v/>
      </c>
      <c r="P2" s="96">
        <f>IFERROR($I2*(L2+N2),0)</f>
        <v>0</v>
      </c>
      <c r="Q2" s="96">
        <f t="shared" ref="P2:Q5" si="0">IFERROR($I2*(M2+O2),0)</f>
        <v>0</v>
      </c>
      <c r="R2" s="96">
        <f>SUMIFS('8. Uitgaven betaalverzoek'!$W:$W,'8. Uitgaven betaalverzoek'!$E:$E,$A2,'8. Uitgaven betaalverzoek'!$F:$F,$B2,'8. Uitgaven betaalverzoek'!$A:$A,Keuze_DB_Nr_BEO)</f>
        <v>0</v>
      </c>
      <c r="S2" s="96">
        <f>SUMIFS('8. Uitgaven betaalverzoek'!$X:$X,'8. Uitgaven betaalverzoek'!$E:$E,$A2,'8. Uitgaven betaalverzoek'!$F:$F,$B2,'8. Uitgaven betaalverzoek'!$A:$A,Keuze_DB_Nr_BEO)</f>
        <v>0</v>
      </c>
      <c r="T2" s="96" t="str">
        <f>IF($C2&lt;&gt;"",SUMIFS('8. Uitgaven betaalverzoek'!$Z:$Z,'8. Uitgaven betaalverzoek'!$E:$E,$A2,'8. Uitgaven betaalverzoek'!$F:$F,$B2,'8. Uitgaven betaalverzoek'!$A:$A,Keuze_DB_Nr_BEO),"")</f>
        <v/>
      </c>
      <c r="U2" s="96" t="str">
        <f>IF($C2&lt;&gt;"",SUMIFS('8. Uitgaven betaalverzoek'!$AA:$AA,'8. Uitgaven betaalverzoek'!$E:$E,$A2,'8. Uitgaven betaalverzoek'!$F:$F,$B2,'8. Uitgaven betaalverzoek'!$A:$A,Keuze_DB_Nr_BEO),"")</f>
        <v/>
      </c>
      <c r="V2" s="96">
        <f>IFERROR($I2*(R2+T2),0)</f>
        <v>0</v>
      </c>
      <c r="W2" s="96">
        <f>IFERROR($I2*(S2+U2),0)</f>
        <v>0</v>
      </c>
    </row>
    <row r="3" spans="1:23" x14ac:dyDescent="0.25">
      <c r="A3" s="12"/>
      <c r="B3" s="12"/>
      <c r="C3" s="87" t="str" cm="1">
        <f t="array" ref="C3">IFERROR(INDEX(Tb_KostenOpties[],MATCH(B3,Tb_KostenOptiesDB[KostenOptie],0),IFERROR(MATCH(Methode_Keuze,Tb_KostenOptiesDB[#Headers],0),2)),"")</f>
        <v/>
      </c>
      <c r="D3" s="99">
        <f>IFERROR(INDEX(Tb_ProjectKosten[],MATCH($B3,Tb_ProjectKosten[Begroting],0),6),0)</f>
        <v>0</v>
      </c>
      <c r="E3" s="97">
        <f>SUMIFS('8. Uitgaven betaalverzoek'!$W:$W,'8. Uitgaven betaalverzoek'!$E:$E,$A3,'8. Uitgaven betaalverzoek'!$F:$F,$B3)</f>
        <v>0</v>
      </c>
      <c r="F3" s="97">
        <f>SUMIFS('8. Uitgaven betaalverzoek'!$X:$X,'8. Uitgaven betaalverzoek'!$E:$E,$A3,'8. Uitgaven betaalverzoek'!$F:$F,$B3)</f>
        <v>0</v>
      </c>
      <c r="G3" s="97" t="str">
        <f>IF(C3&lt;&gt;"",SUMIFS('8. Uitgaven betaalverzoek'!$Z:$Z,'8. Uitgaven betaalverzoek'!$E:$E,$A3,'8. Uitgaven betaalverzoek'!$F:$F,$B3),"")</f>
        <v/>
      </c>
      <c r="H3" s="97" t="str">
        <f>IF(C3&lt;&gt;"",SUMIFS('8. Uitgaven betaalverzoek'!$AA:$AA,'8. Uitgaven betaalverzoek'!$E:$E,$A3,'8. Uitgaven betaalverzoek'!$F:$F,$B3),"")</f>
        <v/>
      </c>
      <c r="I3" s="99" t="str">
        <f>IFERROR(VLOOKUP(A3,Lijsten!$AK:$AL,2,0),"")</f>
        <v/>
      </c>
      <c r="J3" s="97">
        <f t="shared" ref="J3:K66" si="1">IFERROR($I3*(E3+G3),0)</f>
        <v>0</v>
      </c>
      <c r="K3" s="97">
        <f t="shared" si="1"/>
        <v>0</v>
      </c>
      <c r="L3" s="97">
        <f>SUMIFS('8. Uitgaven betaalverzoek'!$W:$W,'8. Uitgaven betaalverzoek'!$E:$E,$A3,'8. Uitgaven betaalverzoek'!$F:$F,$B3,'8. Uitgaven betaalverzoek'!$A:$A,Keuze_DB_Nr)</f>
        <v>0</v>
      </c>
      <c r="M3" s="97">
        <f>SUMIFS('8. Uitgaven betaalverzoek'!$X:$X,'8. Uitgaven betaalverzoek'!$E:$E,$A3,'8. Uitgaven betaalverzoek'!$F:$F,$B3,'8. Uitgaven betaalverzoek'!$A:$A,Keuze_DB_Nr)</f>
        <v>0</v>
      </c>
      <c r="N3" s="97" t="str">
        <f>IF($C3&lt;&gt;"",SUMIFS('8. Uitgaven betaalverzoek'!$Z:$Z,'8. Uitgaven betaalverzoek'!$E:$E,$A3,'8. Uitgaven betaalverzoek'!$F:$F,$B3,'8. Uitgaven betaalverzoek'!$A:$A,Keuze_DB_Nr),"")</f>
        <v/>
      </c>
      <c r="O3" s="97" t="str">
        <f>IF($C3&lt;&gt;"",SUMIFS('8. Uitgaven betaalverzoek'!$AA:$AA,'8. Uitgaven betaalverzoek'!$E:$E,$A3,'8. Uitgaven betaalverzoek'!$F:$F,$B3,'8. Uitgaven betaalverzoek'!$A:$A,Keuze_DB_Nr),"")</f>
        <v/>
      </c>
      <c r="P3" s="97">
        <f t="shared" si="0"/>
        <v>0</v>
      </c>
      <c r="Q3" s="97">
        <f t="shared" si="0"/>
        <v>0</v>
      </c>
      <c r="R3" s="97">
        <f>SUMIFS('8. Uitgaven betaalverzoek'!$W:$W,'8. Uitgaven betaalverzoek'!$E:$E,$A3,'8. Uitgaven betaalverzoek'!$F:$F,$B3,'8. Uitgaven betaalverzoek'!$A:$A,Keuze_DB_Nr_BEO)</f>
        <v>0</v>
      </c>
      <c r="S3" s="97">
        <f>SUMIFS('8. Uitgaven betaalverzoek'!$X:$X,'8. Uitgaven betaalverzoek'!$E:$E,$A3,'8. Uitgaven betaalverzoek'!$F:$F,$B3,'8. Uitgaven betaalverzoek'!$A:$A,Keuze_DB_Nr_BEO)</f>
        <v>0</v>
      </c>
      <c r="T3" s="97" t="str">
        <f>IF($C3&lt;&gt;"",SUMIFS('8. Uitgaven betaalverzoek'!$Z:$Z,'8. Uitgaven betaalverzoek'!$E:$E,$A3,'8. Uitgaven betaalverzoek'!$F:$F,$B3,'8. Uitgaven betaalverzoek'!$A:$A,Keuze_DB_Nr_BEO),"")</f>
        <v/>
      </c>
      <c r="U3" s="97" t="str">
        <f>IF($C3&lt;&gt;"",SUMIFS('8. Uitgaven betaalverzoek'!$AA:$AA,'8. Uitgaven betaalverzoek'!$E:$E,$A3,'8. Uitgaven betaalverzoek'!$F:$F,$B3,'8. Uitgaven betaalverzoek'!$A:$A,Keuze_DB_Nr_BEO),"")</f>
        <v/>
      </c>
      <c r="V3" s="97">
        <f t="shared" ref="V3:V66" si="2">IFERROR($I3*(R3+T3),0)</f>
        <v>0</v>
      </c>
      <c r="W3" s="97">
        <f t="shared" ref="W3:W66" si="3">IFERROR($I3*(S3+U3),0)</f>
        <v>0</v>
      </c>
    </row>
    <row r="4" spans="1:23" x14ac:dyDescent="0.25">
      <c r="A4" s="63"/>
      <c r="B4" s="63"/>
      <c r="C4" s="86" t="str" cm="1">
        <f t="array" ref="C4">IFERROR(INDEX(Tb_KostenOpties[],MATCH(B4,Tb_KostenOptiesDB[KostenOptie],0),IFERROR(MATCH(Methode_Keuze,Tb_KostenOptiesDB[#Headers],0),2)),"")</f>
        <v/>
      </c>
      <c r="D4" s="98">
        <f>IFERROR(INDEX(Tb_ProjectKosten[],MATCH($B4,Tb_ProjectKosten[Begroting],0),6),0)</f>
        <v>0</v>
      </c>
      <c r="E4" s="96">
        <f>SUMIFS('8. Uitgaven betaalverzoek'!$W:$W,'8. Uitgaven betaalverzoek'!$E:$E,$A4,'8. Uitgaven betaalverzoek'!$F:$F,$B4)</f>
        <v>0</v>
      </c>
      <c r="F4" s="96">
        <f>SUMIFS('8. Uitgaven betaalverzoek'!$X:$X,'8. Uitgaven betaalverzoek'!$E:$E,$A4,'8. Uitgaven betaalverzoek'!$F:$F,$B4)</f>
        <v>0</v>
      </c>
      <c r="G4" s="96" t="str">
        <f>IF(C4&lt;&gt;"",SUMIFS('8. Uitgaven betaalverzoek'!$Z:$Z,'8. Uitgaven betaalverzoek'!$E:$E,$A4,'8. Uitgaven betaalverzoek'!$F:$F,$B4),"")</f>
        <v/>
      </c>
      <c r="H4" s="96" t="str">
        <f>IF(C4&lt;&gt;"",SUMIFS('8. Uitgaven betaalverzoek'!$AA:$AA,'8. Uitgaven betaalverzoek'!$E:$E,$A4,'8. Uitgaven betaalverzoek'!$F:$F,$B4),"")</f>
        <v/>
      </c>
      <c r="I4" s="98" t="str">
        <f>IFERROR(VLOOKUP(A4,Lijsten!$AK:$AL,2,0),"")</f>
        <v/>
      </c>
      <c r="J4" s="96">
        <f>IFERROR($I4*(E4+G4),0)</f>
        <v>0</v>
      </c>
      <c r="K4" s="96">
        <f t="shared" si="1"/>
        <v>0</v>
      </c>
      <c r="L4" s="96">
        <f>SUMIFS('8. Uitgaven betaalverzoek'!$W:$W,'8. Uitgaven betaalverzoek'!$E:$E,$A4,'8. Uitgaven betaalverzoek'!$F:$F,$B4,'8. Uitgaven betaalverzoek'!$A:$A,Keuze_DB_Nr)</f>
        <v>0</v>
      </c>
      <c r="M4" s="96">
        <f>SUMIFS('8. Uitgaven betaalverzoek'!$X:$X,'8. Uitgaven betaalverzoek'!$E:$E,$A4,'8. Uitgaven betaalverzoek'!$F:$F,$B4,'8. Uitgaven betaalverzoek'!$A:$A,Keuze_DB_Nr)</f>
        <v>0</v>
      </c>
      <c r="N4" s="96" t="str">
        <f>IF($C4&lt;&gt;"",SUMIFS('8. Uitgaven betaalverzoek'!$Z:$Z,'8. Uitgaven betaalverzoek'!$E:$E,$A4,'8. Uitgaven betaalverzoek'!$F:$F,$B4,'8. Uitgaven betaalverzoek'!$A:$A,Keuze_DB_Nr),"")</f>
        <v/>
      </c>
      <c r="O4" s="96" t="str">
        <f>IF($C4&lt;&gt;"",SUMIFS('8. Uitgaven betaalverzoek'!$AA:$AA,'8. Uitgaven betaalverzoek'!$E:$E,$A4,'8. Uitgaven betaalverzoek'!$F:$F,$B4,'8. Uitgaven betaalverzoek'!$A:$A,Keuze_DB_Nr),"")</f>
        <v/>
      </c>
      <c r="P4" s="96">
        <f t="shared" si="0"/>
        <v>0</v>
      </c>
      <c r="Q4" s="96">
        <f t="shared" si="0"/>
        <v>0</v>
      </c>
      <c r="R4" s="96">
        <f>SUMIFS('8. Uitgaven betaalverzoek'!$W:$W,'8. Uitgaven betaalverzoek'!$E:$E,$A4,'8. Uitgaven betaalverzoek'!$F:$F,$B4,'8. Uitgaven betaalverzoek'!$A:$A,Keuze_DB_Nr_BEO)</f>
        <v>0</v>
      </c>
      <c r="S4" s="96">
        <f>SUMIFS('8. Uitgaven betaalverzoek'!$X:$X,'8. Uitgaven betaalverzoek'!$E:$E,$A4,'8. Uitgaven betaalverzoek'!$F:$F,$B4,'8. Uitgaven betaalverzoek'!$A:$A,Keuze_DB_Nr_BEO)</f>
        <v>0</v>
      </c>
      <c r="T4" s="96" t="str">
        <f>IF($C4&lt;&gt;"",SUMIFS('8. Uitgaven betaalverzoek'!$Z:$Z,'8. Uitgaven betaalverzoek'!$E:$E,$A4,'8. Uitgaven betaalverzoek'!$F:$F,$B4,'8. Uitgaven betaalverzoek'!$A:$A,Keuze_DB_Nr_BEO),"")</f>
        <v/>
      </c>
      <c r="U4" s="96" t="str">
        <f>IF($C4&lt;&gt;"",SUMIFS('8. Uitgaven betaalverzoek'!$AA:$AA,'8. Uitgaven betaalverzoek'!$E:$E,$A4,'8. Uitgaven betaalverzoek'!$F:$F,$B4,'8. Uitgaven betaalverzoek'!$A:$A,Keuze_DB_Nr_BEO),"")</f>
        <v/>
      </c>
      <c r="V4" s="96">
        <f t="shared" si="2"/>
        <v>0</v>
      </c>
      <c r="W4" s="96">
        <f t="shared" si="3"/>
        <v>0</v>
      </c>
    </row>
    <row r="5" spans="1:23" x14ac:dyDescent="0.25">
      <c r="A5" s="12"/>
      <c r="B5" s="12"/>
      <c r="C5" s="87" t="str" cm="1">
        <f t="array" ref="C5">IFERROR(INDEX(Tb_KostenOpties[],MATCH(B5,Tb_KostenOptiesDB[KostenOptie],0),IFERROR(MATCH(Methode_Keuze,Tb_KostenOptiesDB[#Headers],0),2)),"")</f>
        <v/>
      </c>
      <c r="D5" s="99">
        <f>IFERROR(INDEX(Tb_ProjectKosten[],MATCH($B5,Tb_ProjectKosten[Begroting],0),6),0)</f>
        <v>0</v>
      </c>
      <c r="E5" s="97">
        <f>SUMIFS('8. Uitgaven betaalverzoek'!$W:$W,'8. Uitgaven betaalverzoek'!$E:$E,$A5,'8. Uitgaven betaalverzoek'!$F:$F,$B5)</f>
        <v>0</v>
      </c>
      <c r="F5" s="97">
        <f>SUMIFS('8. Uitgaven betaalverzoek'!$X:$X,'8. Uitgaven betaalverzoek'!$E:$E,$A5,'8. Uitgaven betaalverzoek'!$F:$F,$B5)</f>
        <v>0</v>
      </c>
      <c r="G5" s="97" t="str">
        <f>IF(C5&lt;&gt;"",SUMIFS('8. Uitgaven betaalverzoek'!$Z:$Z,'8. Uitgaven betaalverzoek'!$E:$E,$A5,'8. Uitgaven betaalverzoek'!$F:$F,$B5),"")</f>
        <v/>
      </c>
      <c r="H5" s="97" t="str">
        <f>IF(C5&lt;&gt;"",SUMIFS('8. Uitgaven betaalverzoek'!$AA:$AA,'8. Uitgaven betaalverzoek'!$E:$E,$A5,'8. Uitgaven betaalverzoek'!$F:$F,$B5),"")</f>
        <v/>
      </c>
      <c r="I5" s="99" t="str">
        <f>IFERROR(VLOOKUP(A5,Lijsten!$AK:$AL,2,0),"")</f>
        <v/>
      </c>
      <c r="J5" s="97">
        <f t="shared" ref="J5:K68" si="4">IFERROR($I5*(E5+G5),0)</f>
        <v>0</v>
      </c>
      <c r="K5" s="97">
        <f t="shared" si="1"/>
        <v>0</v>
      </c>
      <c r="L5" s="97">
        <f>SUMIFS('8. Uitgaven betaalverzoek'!$W:$W,'8. Uitgaven betaalverzoek'!$E:$E,$A5,'8. Uitgaven betaalverzoek'!$F:$F,$B5,'8. Uitgaven betaalverzoek'!$A:$A,Keuze_DB_Nr)</f>
        <v>0</v>
      </c>
      <c r="M5" s="97">
        <f>SUMIFS('8. Uitgaven betaalverzoek'!$X:$X,'8. Uitgaven betaalverzoek'!$E:$E,$A5,'8. Uitgaven betaalverzoek'!$F:$F,$B5,'8. Uitgaven betaalverzoek'!$A:$A,Keuze_DB_Nr)</f>
        <v>0</v>
      </c>
      <c r="N5" s="97" t="str">
        <f>IF($C5&lt;&gt;"",SUMIFS('8. Uitgaven betaalverzoek'!$Z:$Z,'8. Uitgaven betaalverzoek'!$E:$E,$A5,'8. Uitgaven betaalverzoek'!$F:$F,$B5,'8. Uitgaven betaalverzoek'!$A:$A,Keuze_DB_Nr),"")</f>
        <v/>
      </c>
      <c r="O5" s="97" t="str">
        <f>IF($C5&lt;&gt;"",SUMIFS('8. Uitgaven betaalverzoek'!$AA:$AA,'8. Uitgaven betaalverzoek'!$E:$E,$A5,'8. Uitgaven betaalverzoek'!$F:$F,$B5,'8. Uitgaven betaalverzoek'!$A:$A,Keuze_DB_Nr),"")</f>
        <v/>
      </c>
      <c r="P5" s="97">
        <f t="shared" si="0"/>
        <v>0</v>
      </c>
      <c r="Q5" s="97">
        <f t="shared" si="0"/>
        <v>0</v>
      </c>
      <c r="R5" s="97">
        <f>SUMIFS('8. Uitgaven betaalverzoek'!$W:$W,'8. Uitgaven betaalverzoek'!$E:$E,$A5,'8. Uitgaven betaalverzoek'!$F:$F,$B5,'8. Uitgaven betaalverzoek'!$A:$A,Keuze_DB_Nr_BEO)</f>
        <v>0</v>
      </c>
      <c r="S5" s="97">
        <f>SUMIFS('8. Uitgaven betaalverzoek'!$X:$X,'8. Uitgaven betaalverzoek'!$E:$E,$A5,'8. Uitgaven betaalverzoek'!$F:$F,$B5,'8. Uitgaven betaalverzoek'!$A:$A,Keuze_DB_Nr_BEO)</f>
        <v>0</v>
      </c>
      <c r="T5" s="97" t="str">
        <f>IF($C5&lt;&gt;"",SUMIFS('8. Uitgaven betaalverzoek'!$Z:$Z,'8. Uitgaven betaalverzoek'!$E:$E,$A5,'8. Uitgaven betaalverzoek'!$F:$F,$B5,'8. Uitgaven betaalverzoek'!$A:$A,Keuze_DB_Nr_BEO),"")</f>
        <v/>
      </c>
      <c r="U5" s="97" t="str">
        <f>IF($C5&lt;&gt;"",SUMIFS('8. Uitgaven betaalverzoek'!$AA:$AA,'8. Uitgaven betaalverzoek'!$E:$E,$A5,'8. Uitgaven betaalverzoek'!$F:$F,$B5,'8. Uitgaven betaalverzoek'!$A:$A,Keuze_DB_Nr_BEO),"")</f>
        <v/>
      </c>
      <c r="V5" s="97">
        <f t="shared" si="2"/>
        <v>0</v>
      </c>
      <c r="W5" s="97">
        <f t="shared" si="3"/>
        <v>0</v>
      </c>
    </row>
    <row r="6" spans="1:23" x14ac:dyDescent="0.25">
      <c r="A6" s="63"/>
      <c r="B6" s="63"/>
      <c r="C6" s="86" t="str" cm="1">
        <f t="array" ref="C6">IFERROR(INDEX(Tb_KostenOpties[],MATCH(B6,Tb_KostenOptiesDB[KostenOptie],0),IFERROR(MATCH(Methode_Keuze,Tb_KostenOptiesDB[#Headers],0),2)),"")</f>
        <v/>
      </c>
      <c r="D6" s="98">
        <f>IFERROR(INDEX(Tb_ProjectKosten[],MATCH($B6,Tb_ProjectKosten[Begroting],0),6),0)</f>
        <v>0</v>
      </c>
      <c r="E6" s="96">
        <f>SUMIFS('8. Uitgaven betaalverzoek'!$W:$W,'8. Uitgaven betaalverzoek'!$E:$E,$A6,'8. Uitgaven betaalverzoek'!$F:$F,$B6)</f>
        <v>0</v>
      </c>
      <c r="F6" s="96">
        <f>SUMIFS('8. Uitgaven betaalverzoek'!$X:$X,'8. Uitgaven betaalverzoek'!$E:$E,$A6,'8. Uitgaven betaalverzoek'!$F:$F,$B6)</f>
        <v>0</v>
      </c>
      <c r="G6" s="96" t="str">
        <f>IF(C6&lt;&gt;"",SUMIFS('8. Uitgaven betaalverzoek'!$Z:$Z,'8. Uitgaven betaalverzoek'!$E:$E,$A6,'8. Uitgaven betaalverzoek'!$F:$F,$B6),"")</f>
        <v/>
      </c>
      <c r="H6" s="96" t="str">
        <f>IF(C6&lt;&gt;"",SUMIFS('8. Uitgaven betaalverzoek'!$AA:$AA,'8. Uitgaven betaalverzoek'!$E:$E,$A6,'8. Uitgaven betaalverzoek'!$F:$F,$B6),"")</f>
        <v/>
      </c>
      <c r="I6" s="98" t="str">
        <f>IFERROR(VLOOKUP(A6,Lijsten!$AK:$AL,2,0),"")</f>
        <v/>
      </c>
      <c r="J6" s="96">
        <f t="shared" si="4"/>
        <v>0</v>
      </c>
      <c r="K6" s="96">
        <f t="shared" si="1"/>
        <v>0</v>
      </c>
      <c r="L6" s="96">
        <f>SUMIFS('8. Uitgaven betaalverzoek'!$W:$W,'8. Uitgaven betaalverzoek'!$E:$E,$A6,'8. Uitgaven betaalverzoek'!$F:$F,$B6,'8. Uitgaven betaalverzoek'!$A:$A,Keuze_DB_Nr)</f>
        <v>0</v>
      </c>
      <c r="M6" s="96">
        <f>SUMIFS('8. Uitgaven betaalverzoek'!$X:$X,'8. Uitgaven betaalverzoek'!$E:$E,$A6,'8. Uitgaven betaalverzoek'!$F:$F,$B6,'8. Uitgaven betaalverzoek'!$A:$A,Keuze_DB_Nr)</f>
        <v>0</v>
      </c>
      <c r="N6" s="96" t="str">
        <f>IF($C6&lt;&gt;"",SUMIFS('8. Uitgaven betaalverzoek'!$Z:$Z,'8. Uitgaven betaalverzoek'!$E:$E,$A6,'8. Uitgaven betaalverzoek'!$F:$F,$B6,'8. Uitgaven betaalverzoek'!$A:$A,Keuze_DB_Nr),"")</f>
        <v/>
      </c>
      <c r="O6" s="96" t="str">
        <f>IF($C6&lt;&gt;"",SUMIFS('8. Uitgaven betaalverzoek'!$AA:$AA,'8. Uitgaven betaalverzoek'!$E:$E,$A6,'8. Uitgaven betaalverzoek'!$F:$F,$B6,'8. Uitgaven betaalverzoek'!$A:$A,Keuze_DB_Nr),"")</f>
        <v/>
      </c>
      <c r="P6" s="96">
        <f t="shared" ref="P6:P69" si="5">IFERROR($I6*(L6+N6),0)</f>
        <v>0</v>
      </c>
      <c r="Q6" s="96">
        <f t="shared" ref="Q6:Q69" si="6">IFERROR($I6*(M6+O6),0)</f>
        <v>0</v>
      </c>
      <c r="R6" s="96">
        <f>SUMIFS('8. Uitgaven betaalverzoek'!$W:$W,'8. Uitgaven betaalverzoek'!$E:$E,$A6,'8. Uitgaven betaalverzoek'!$F:$F,$B6,'8. Uitgaven betaalverzoek'!$A:$A,Keuze_DB_Nr_BEO)</f>
        <v>0</v>
      </c>
      <c r="S6" s="96">
        <f>SUMIFS('8. Uitgaven betaalverzoek'!$X:$X,'8. Uitgaven betaalverzoek'!$E:$E,$A6,'8. Uitgaven betaalverzoek'!$F:$F,$B6,'8. Uitgaven betaalverzoek'!$A:$A,Keuze_DB_Nr_BEO)</f>
        <v>0</v>
      </c>
      <c r="T6" s="96" t="str">
        <f>IF($C6&lt;&gt;"",SUMIFS('8. Uitgaven betaalverzoek'!$Z:$Z,'8. Uitgaven betaalverzoek'!$E:$E,$A6,'8. Uitgaven betaalverzoek'!$F:$F,$B6,'8. Uitgaven betaalverzoek'!$A:$A,Keuze_DB_Nr_BEO),"")</f>
        <v/>
      </c>
      <c r="U6" s="96" t="str">
        <f>IF($C6&lt;&gt;"",SUMIFS('8. Uitgaven betaalverzoek'!$AA:$AA,'8. Uitgaven betaalverzoek'!$E:$E,$A6,'8. Uitgaven betaalverzoek'!$F:$F,$B6,'8. Uitgaven betaalverzoek'!$A:$A,Keuze_DB_Nr_BEO),"")</f>
        <v/>
      </c>
      <c r="V6" s="96">
        <f t="shared" si="2"/>
        <v>0</v>
      </c>
      <c r="W6" s="96">
        <f t="shared" si="3"/>
        <v>0</v>
      </c>
    </row>
    <row r="7" spans="1:23" x14ac:dyDescent="0.25">
      <c r="A7" s="12"/>
      <c r="B7" s="12"/>
      <c r="C7" s="87" t="str" cm="1">
        <f t="array" ref="C7">IFERROR(INDEX(Tb_KostenOpties[],MATCH(B7,Tb_KostenOptiesDB[KostenOptie],0),IFERROR(MATCH(Methode_Keuze,Tb_KostenOptiesDB[#Headers],0),2)),"")</f>
        <v/>
      </c>
      <c r="D7" s="99">
        <f>IFERROR(INDEX(Tb_ProjectKosten[],MATCH($B7,Tb_ProjectKosten[Begroting],0),6),0)</f>
        <v>0</v>
      </c>
      <c r="E7" s="97">
        <f>SUMIFS('8. Uitgaven betaalverzoek'!$W:$W,'8. Uitgaven betaalverzoek'!$E:$E,$A7,'8. Uitgaven betaalverzoek'!$F:$F,$B7)</f>
        <v>0</v>
      </c>
      <c r="F7" s="97">
        <f>SUMIFS('8. Uitgaven betaalverzoek'!$X:$X,'8. Uitgaven betaalverzoek'!$E:$E,$A7,'8. Uitgaven betaalverzoek'!$F:$F,$B7)</f>
        <v>0</v>
      </c>
      <c r="G7" s="97" t="str">
        <f>IF(C7&lt;&gt;"",SUMIFS('8. Uitgaven betaalverzoek'!$Z:$Z,'8. Uitgaven betaalverzoek'!$E:$E,$A7,'8. Uitgaven betaalverzoek'!$F:$F,$B7),"")</f>
        <v/>
      </c>
      <c r="H7" s="97" t="str">
        <f>IF(C7&lt;&gt;"",SUMIFS('8. Uitgaven betaalverzoek'!$AA:$AA,'8. Uitgaven betaalverzoek'!$E:$E,$A7,'8. Uitgaven betaalverzoek'!$F:$F,$B7),"")</f>
        <v/>
      </c>
      <c r="I7" s="99" t="str">
        <f>IFERROR(VLOOKUP(A7,Lijsten!$AK:$AL,2,0),"")</f>
        <v/>
      </c>
      <c r="J7" s="97">
        <f t="shared" si="4"/>
        <v>0</v>
      </c>
      <c r="K7" s="97">
        <f t="shared" si="1"/>
        <v>0</v>
      </c>
      <c r="L7" s="97">
        <f>SUMIFS('8. Uitgaven betaalverzoek'!$W:$W,'8. Uitgaven betaalverzoek'!$E:$E,$A7,'8. Uitgaven betaalverzoek'!$F:$F,$B7,'8. Uitgaven betaalverzoek'!$A:$A,Keuze_DB_Nr)</f>
        <v>0</v>
      </c>
      <c r="M7" s="97">
        <f>SUMIFS('8. Uitgaven betaalverzoek'!$X:$X,'8. Uitgaven betaalverzoek'!$E:$E,$A7,'8. Uitgaven betaalverzoek'!$F:$F,$B7,'8. Uitgaven betaalverzoek'!$A:$A,Keuze_DB_Nr)</f>
        <v>0</v>
      </c>
      <c r="N7" s="97" t="str">
        <f>IF($C7&lt;&gt;"",SUMIFS('8. Uitgaven betaalverzoek'!$Z:$Z,'8. Uitgaven betaalverzoek'!$E:$E,$A7,'8. Uitgaven betaalverzoek'!$F:$F,$B7,'8. Uitgaven betaalverzoek'!$A:$A,Keuze_DB_Nr),"")</f>
        <v/>
      </c>
      <c r="O7" s="97" t="str">
        <f>IF($C7&lt;&gt;"",SUMIFS('8. Uitgaven betaalverzoek'!$AA:$AA,'8. Uitgaven betaalverzoek'!$E:$E,$A7,'8. Uitgaven betaalverzoek'!$F:$F,$B7,'8. Uitgaven betaalverzoek'!$A:$A,Keuze_DB_Nr),"")</f>
        <v/>
      </c>
      <c r="P7" s="97">
        <f t="shared" si="5"/>
        <v>0</v>
      </c>
      <c r="Q7" s="97">
        <f t="shared" si="6"/>
        <v>0</v>
      </c>
      <c r="R7" s="97">
        <f>SUMIFS('8. Uitgaven betaalverzoek'!$W:$W,'8. Uitgaven betaalverzoek'!$E:$E,$A7,'8. Uitgaven betaalverzoek'!$F:$F,$B7,'8. Uitgaven betaalverzoek'!$A:$A,Keuze_DB_Nr_BEO)</f>
        <v>0</v>
      </c>
      <c r="S7" s="97">
        <f>SUMIFS('8. Uitgaven betaalverzoek'!$X:$X,'8. Uitgaven betaalverzoek'!$E:$E,$A7,'8. Uitgaven betaalverzoek'!$F:$F,$B7,'8. Uitgaven betaalverzoek'!$A:$A,Keuze_DB_Nr_BEO)</f>
        <v>0</v>
      </c>
      <c r="T7" s="97" t="str">
        <f>IF($C7&lt;&gt;"",SUMIFS('8. Uitgaven betaalverzoek'!$Z:$Z,'8. Uitgaven betaalverzoek'!$E:$E,$A7,'8. Uitgaven betaalverzoek'!$F:$F,$B7,'8. Uitgaven betaalverzoek'!$A:$A,Keuze_DB_Nr_BEO),"")</f>
        <v/>
      </c>
      <c r="U7" s="97" t="str">
        <f>IF($C7&lt;&gt;"",SUMIFS('8. Uitgaven betaalverzoek'!$AA:$AA,'8. Uitgaven betaalverzoek'!$E:$E,$A7,'8. Uitgaven betaalverzoek'!$F:$F,$B7,'8. Uitgaven betaalverzoek'!$A:$A,Keuze_DB_Nr_BEO),"")</f>
        <v/>
      </c>
      <c r="V7" s="97">
        <f t="shared" si="2"/>
        <v>0</v>
      </c>
      <c r="W7" s="97">
        <f t="shared" si="3"/>
        <v>0</v>
      </c>
    </row>
    <row r="8" spans="1:23" x14ac:dyDescent="0.25">
      <c r="A8" s="63"/>
      <c r="B8" s="63"/>
      <c r="C8" s="86" t="str" cm="1">
        <f t="array" ref="C8">IFERROR(INDEX(Tb_KostenOpties[],MATCH(B8,Tb_KostenOptiesDB[KostenOptie],0),IFERROR(MATCH(Methode_Keuze,Tb_KostenOptiesDB[#Headers],0),2)),"")</f>
        <v/>
      </c>
      <c r="D8" s="98">
        <f>IFERROR(INDEX(Tb_ProjectKosten[],MATCH($B8,Tb_ProjectKosten[Begroting],0),6),0)</f>
        <v>0</v>
      </c>
      <c r="E8" s="96">
        <f>SUMIFS('8. Uitgaven betaalverzoek'!$W:$W,'8. Uitgaven betaalverzoek'!$E:$E,$A8,'8. Uitgaven betaalverzoek'!$F:$F,$B8)</f>
        <v>0</v>
      </c>
      <c r="F8" s="96">
        <f>SUMIFS('8. Uitgaven betaalverzoek'!$X:$X,'8. Uitgaven betaalverzoek'!$E:$E,$A8,'8. Uitgaven betaalverzoek'!$F:$F,$B8)</f>
        <v>0</v>
      </c>
      <c r="G8" s="96" t="str">
        <f>IF(C8&lt;&gt;"",SUMIFS('8. Uitgaven betaalverzoek'!$Z:$Z,'8. Uitgaven betaalverzoek'!$E:$E,$A8,'8. Uitgaven betaalverzoek'!$F:$F,$B8),"")</f>
        <v/>
      </c>
      <c r="H8" s="96" t="str">
        <f>IF(C8&lt;&gt;"",SUMIFS('8. Uitgaven betaalverzoek'!$AA:$AA,'8. Uitgaven betaalverzoek'!$E:$E,$A8,'8. Uitgaven betaalverzoek'!$F:$F,$B8),"")</f>
        <v/>
      </c>
      <c r="I8" s="98" t="str">
        <f>IFERROR(VLOOKUP(A8,Lijsten!$AK:$AL,2,0),"")</f>
        <v/>
      </c>
      <c r="J8" s="96">
        <f t="shared" si="4"/>
        <v>0</v>
      </c>
      <c r="K8" s="96">
        <f t="shared" si="1"/>
        <v>0</v>
      </c>
      <c r="L8" s="96">
        <f>SUMIFS('8. Uitgaven betaalverzoek'!$W:$W,'8. Uitgaven betaalverzoek'!$E:$E,$A8,'8. Uitgaven betaalverzoek'!$F:$F,$B8,'8. Uitgaven betaalverzoek'!$A:$A,Keuze_DB_Nr)</f>
        <v>0</v>
      </c>
      <c r="M8" s="96">
        <f>SUMIFS('8. Uitgaven betaalverzoek'!$X:$X,'8. Uitgaven betaalverzoek'!$E:$E,$A8,'8. Uitgaven betaalverzoek'!$F:$F,$B8,'8. Uitgaven betaalverzoek'!$A:$A,Keuze_DB_Nr)</f>
        <v>0</v>
      </c>
      <c r="N8" s="96" t="str">
        <f>IF($C8&lt;&gt;"",SUMIFS('8. Uitgaven betaalverzoek'!$Z:$Z,'8. Uitgaven betaalverzoek'!$E:$E,$A8,'8. Uitgaven betaalverzoek'!$F:$F,$B8,'8. Uitgaven betaalverzoek'!$A:$A,Keuze_DB_Nr),"")</f>
        <v/>
      </c>
      <c r="O8" s="96" t="str">
        <f>IF($C8&lt;&gt;"",SUMIFS('8. Uitgaven betaalverzoek'!$AA:$AA,'8. Uitgaven betaalverzoek'!$E:$E,$A8,'8. Uitgaven betaalverzoek'!$F:$F,$B8,'8. Uitgaven betaalverzoek'!$A:$A,Keuze_DB_Nr),"")</f>
        <v/>
      </c>
      <c r="P8" s="96">
        <f t="shared" si="5"/>
        <v>0</v>
      </c>
      <c r="Q8" s="96">
        <f t="shared" si="6"/>
        <v>0</v>
      </c>
      <c r="R8" s="96">
        <f>SUMIFS('8. Uitgaven betaalverzoek'!$W:$W,'8. Uitgaven betaalverzoek'!$E:$E,$A8,'8. Uitgaven betaalverzoek'!$F:$F,$B8,'8. Uitgaven betaalverzoek'!$A:$A,Keuze_DB_Nr_BEO)</f>
        <v>0</v>
      </c>
      <c r="S8" s="96">
        <f>SUMIFS('8. Uitgaven betaalverzoek'!$X:$X,'8. Uitgaven betaalverzoek'!$E:$E,$A8,'8. Uitgaven betaalverzoek'!$F:$F,$B8,'8. Uitgaven betaalverzoek'!$A:$A,Keuze_DB_Nr_BEO)</f>
        <v>0</v>
      </c>
      <c r="T8" s="96" t="str">
        <f>IF($C8&lt;&gt;"",SUMIFS('8. Uitgaven betaalverzoek'!$Z:$Z,'8. Uitgaven betaalverzoek'!$E:$E,$A8,'8. Uitgaven betaalverzoek'!$F:$F,$B8,'8. Uitgaven betaalverzoek'!$A:$A,Keuze_DB_Nr_BEO),"")</f>
        <v/>
      </c>
      <c r="U8" s="96" t="str">
        <f>IF($C8&lt;&gt;"",SUMIFS('8. Uitgaven betaalverzoek'!$AA:$AA,'8. Uitgaven betaalverzoek'!$E:$E,$A8,'8. Uitgaven betaalverzoek'!$F:$F,$B8,'8. Uitgaven betaalverzoek'!$A:$A,Keuze_DB_Nr_BEO),"")</f>
        <v/>
      </c>
      <c r="V8" s="96">
        <f t="shared" si="2"/>
        <v>0</v>
      </c>
      <c r="W8" s="96">
        <f t="shared" si="3"/>
        <v>0</v>
      </c>
    </row>
    <row r="9" spans="1:23" x14ac:dyDescent="0.25">
      <c r="A9" s="12"/>
      <c r="B9" s="12"/>
      <c r="C9" s="87" t="str" cm="1">
        <f t="array" ref="C9">IFERROR(INDEX(Tb_KostenOpties[],MATCH(B9,Tb_KostenOptiesDB[KostenOptie],0),IFERROR(MATCH(Methode_Keuze,Tb_KostenOptiesDB[#Headers],0),2)),"")</f>
        <v/>
      </c>
      <c r="D9" s="99">
        <f>IFERROR(INDEX(Tb_ProjectKosten[],MATCH($B9,Tb_ProjectKosten[Begroting],0),6),0)</f>
        <v>0</v>
      </c>
      <c r="E9" s="97">
        <f>SUMIFS('8. Uitgaven betaalverzoek'!$W:$W,'8. Uitgaven betaalverzoek'!$E:$E,$A9,'8. Uitgaven betaalverzoek'!$F:$F,$B9)</f>
        <v>0</v>
      </c>
      <c r="F9" s="97">
        <f>SUMIFS('8. Uitgaven betaalverzoek'!$X:$X,'8. Uitgaven betaalverzoek'!$E:$E,$A9,'8. Uitgaven betaalverzoek'!$F:$F,$B9)</f>
        <v>0</v>
      </c>
      <c r="G9" s="97" t="str">
        <f>IF(C9&lt;&gt;"",SUMIFS('8. Uitgaven betaalverzoek'!$Z:$Z,'8. Uitgaven betaalverzoek'!$E:$E,$A9,'8. Uitgaven betaalverzoek'!$F:$F,$B9),"")</f>
        <v/>
      </c>
      <c r="H9" s="97" t="str">
        <f>IF(C9&lt;&gt;"",SUMIFS('8. Uitgaven betaalverzoek'!$AA:$AA,'8. Uitgaven betaalverzoek'!$E:$E,$A9,'8. Uitgaven betaalverzoek'!$F:$F,$B9),"")</f>
        <v/>
      </c>
      <c r="I9" s="99" t="str">
        <f>IFERROR(VLOOKUP(A9,Lijsten!$AK:$AL,2,0),"")</f>
        <v/>
      </c>
      <c r="J9" s="97">
        <f t="shared" si="4"/>
        <v>0</v>
      </c>
      <c r="K9" s="97">
        <f t="shared" si="1"/>
        <v>0</v>
      </c>
      <c r="L9" s="97">
        <f>SUMIFS('8. Uitgaven betaalverzoek'!$W:$W,'8. Uitgaven betaalverzoek'!$E:$E,$A9,'8. Uitgaven betaalverzoek'!$F:$F,$B9,'8. Uitgaven betaalverzoek'!$A:$A,Keuze_DB_Nr)</f>
        <v>0</v>
      </c>
      <c r="M9" s="97">
        <f>SUMIFS('8. Uitgaven betaalverzoek'!$X:$X,'8. Uitgaven betaalverzoek'!$E:$E,$A9,'8. Uitgaven betaalverzoek'!$F:$F,$B9,'8. Uitgaven betaalverzoek'!$A:$A,Keuze_DB_Nr)</f>
        <v>0</v>
      </c>
      <c r="N9" s="97" t="str">
        <f>IF($C9&lt;&gt;"",SUMIFS('8. Uitgaven betaalverzoek'!$Z:$Z,'8. Uitgaven betaalverzoek'!$E:$E,$A9,'8. Uitgaven betaalverzoek'!$F:$F,$B9,'8. Uitgaven betaalverzoek'!$A:$A,Keuze_DB_Nr),"")</f>
        <v/>
      </c>
      <c r="O9" s="97" t="str">
        <f>IF($C9&lt;&gt;"",SUMIFS('8. Uitgaven betaalverzoek'!$AA:$AA,'8. Uitgaven betaalverzoek'!$E:$E,$A9,'8. Uitgaven betaalverzoek'!$F:$F,$B9,'8. Uitgaven betaalverzoek'!$A:$A,Keuze_DB_Nr),"")</f>
        <v/>
      </c>
      <c r="P9" s="97">
        <f t="shared" si="5"/>
        <v>0</v>
      </c>
      <c r="Q9" s="97">
        <f t="shared" si="6"/>
        <v>0</v>
      </c>
      <c r="R9" s="97">
        <f>SUMIFS('8. Uitgaven betaalverzoek'!$W:$W,'8. Uitgaven betaalverzoek'!$E:$E,$A9,'8. Uitgaven betaalverzoek'!$F:$F,$B9,'8. Uitgaven betaalverzoek'!$A:$A,Keuze_DB_Nr_BEO)</f>
        <v>0</v>
      </c>
      <c r="S9" s="97">
        <f>SUMIFS('8. Uitgaven betaalverzoek'!$X:$X,'8. Uitgaven betaalverzoek'!$E:$E,$A9,'8. Uitgaven betaalverzoek'!$F:$F,$B9,'8. Uitgaven betaalverzoek'!$A:$A,Keuze_DB_Nr_BEO)</f>
        <v>0</v>
      </c>
      <c r="T9" s="97" t="str">
        <f>IF($C9&lt;&gt;"",SUMIFS('8. Uitgaven betaalverzoek'!$Z:$Z,'8. Uitgaven betaalverzoek'!$E:$E,$A9,'8. Uitgaven betaalverzoek'!$F:$F,$B9,'8. Uitgaven betaalverzoek'!$A:$A,Keuze_DB_Nr_BEO),"")</f>
        <v/>
      </c>
      <c r="U9" s="97" t="str">
        <f>IF($C9&lt;&gt;"",SUMIFS('8. Uitgaven betaalverzoek'!$AA:$AA,'8. Uitgaven betaalverzoek'!$E:$E,$A9,'8. Uitgaven betaalverzoek'!$F:$F,$B9,'8. Uitgaven betaalverzoek'!$A:$A,Keuze_DB_Nr_BEO),"")</f>
        <v/>
      </c>
      <c r="V9" s="97">
        <f t="shared" si="2"/>
        <v>0</v>
      </c>
      <c r="W9" s="97">
        <f t="shared" si="3"/>
        <v>0</v>
      </c>
    </row>
    <row r="10" spans="1:23" x14ac:dyDescent="0.25">
      <c r="A10" s="63"/>
      <c r="B10" s="63"/>
      <c r="C10" s="86" t="str" cm="1">
        <f t="array" ref="C10">IFERROR(INDEX(Tb_KostenOpties[],MATCH(B10,Tb_KostenOptiesDB[KostenOptie],0),IFERROR(MATCH(Methode_Keuze,Tb_KostenOptiesDB[#Headers],0),2)),"")</f>
        <v/>
      </c>
      <c r="D10" s="98">
        <f>IFERROR(INDEX(Tb_ProjectKosten[],MATCH($B10,Tb_ProjectKosten[Begroting],0),6),0)</f>
        <v>0</v>
      </c>
      <c r="E10" s="96">
        <f>SUMIFS('8. Uitgaven betaalverzoek'!$W:$W,'8. Uitgaven betaalverzoek'!$E:$E,$A10,'8. Uitgaven betaalverzoek'!$F:$F,$B10)</f>
        <v>0</v>
      </c>
      <c r="F10" s="96">
        <f>SUMIFS('8. Uitgaven betaalverzoek'!$X:$X,'8. Uitgaven betaalverzoek'!$E:$E,$A10,'8. Uitgaven betaalverzoek'!$F:$F,$B10)</f>
        <v>0</v>
      </c>
      <c r="G10" s="96" t="str">
        <f>IF(C10&lt;&gt;"",SUMIFS('8. Uitgaven betaalverzoek'!$Z:$Z,'8. Uitgaven betaalverzoek'!$E:$E,$A10,'8. Uitgaven betaalverzoek'!$F:$F,$B10),"")</f>
        <v/>
      </c>
      <c r="H10" s="96" t="str">
        <f>IF(C10&lt;&gt;"",SUMIFS('8. Uitgaven betaalverzoek'!$AA:$AA,'8. Uitgaven betaalverzoek'!$E:$E,$A10,'8. Uitgaven betaalverzoek'!$F:$F,$B10),"")</f>
        <v/>
      </c>
      <c r="I10" s="98" t="str">
        <f>IFERROR(VLOOKUP(A10,Lijsten!$AK:$AL,2,0),"")</f>
        <v/>
      </c>
      <c r="J10" s="96">
        <f t="shared" si="4"/>
        <v>0</v>
      </c>
      <c r="K10" s="96">
        <f t="shared" si="1"/>
        <v>0</v>
      </c>
      <c r="L10" s="96">
        <f>SUMIFS('8. Uitgaven betaalverzoek'!$W:$W,'8. Uitgaven betaalverzoek'!$E:$E,$A10,'8. Uitgaven betaalverzoek'!$F:$F,$B10,'8. Uitgaven betaalverzoek'!$A:$A,Keuze_DB_Nr)</f>
        <v>0</v>
      </c>
      <c r="M10" s="96">
        <f>SUMIFS('8. Uitgaven betaalverzoek'!$X:$X,'8. Uitgaven betaalverzoek'!$E:$E,$A10,'8. Uitgaven betaalverzoek'!$F:$F,$B10,'8. Uitgaven betaalverzoek'!$A:$A,Keuze_DB_Nr)</f>
        <v>0</v>
      </c>
      <c r="N10" s="96" t="str">
        <f>IF($C10&lt;&gt;"",SUMIFS('8. Uitgaven betaalverzoek'!$Z:$Z,'8. Uitgaven betaalverzoek'!$E:$E,$A10,'8. Uitgaven betaalverzoek'!$F:$F,$B10,'8. Uitgaven betaalverzoek'!$A:$A,Keuze_DB_Nr),"")</f>
        <v/>
      </c>
      <c r="O10" s="96" t="str">
        <f>IF($C10&lt;&gt;"",SUMIFS('8. Uitgaven betaalverzoek'!$AA:$AA,'8. Uitgaven betaalverzoek'!$E:$E,$A10,'8. Uitgaven betaalverzoek'!$F:$F,$B10,'8. Uitgaven betaalverzoek'!$A:$A,Keuze_DB_Nr),"")</f>
        <v/>
      </c>
      <c r="P10" s="96">
        <f t="shared" si="5"/>
        <v>0</v>
      </c>
      <c r="Q10" s="96">
        <f t="shared" si="6"/>
        <v>0</v>
      </c>
      <c r="R10" s="96">
        <f>SUMIFS('8. Uitgaven betaalverzoek'!$W:$W,'8. Uitgaven betaalverzoek'!$E:$E,$A10,'8. Uitgaven betaalverzoek'!$F:$F,$B10,'8. Uitgaven betaalverzoek'!$A:$A,Keuze_DB_Nr_BEO)</f>
        <v>0</v>
      </c>
      <c r="S10" s="96">
        <f>SUMIFS('8. Uitgaven betaalverzoek'!$X:$X,'8. Uitgaven betaalverzoek'!$E:$E,$A10,'8. Uitgaven betaalverzoek'!$F:$F,$B10,'8. Uitgaven betaalverzoek'!$A:$A,Keuze_DB_Nr_BEO)</f>
        <v>0</v>
      </c>
      <c r="T10" s="96" t="str">
        <f>IF($C10&lt;&gt;"",SUMIFS('8. Uitgaven betaalverzoek'!$Z:$Z,'8. Uitgaven betaalverzoek'!$E:$E,$A10,'8. Uitgaven betaalverzoek'!$F:$F,$B10,'8. Uitgaven betaalverzoek'!$A:$A,Keuze_DB_Nr_BEO),"")</f>
        <v/>
      </c>
      <c r="U10" s="96" t="str">
        <f>IF($C10&lt;&gt;"",SUMIFS('8. Uitgaven betaalverzoek'!$AA:$AA,'8. Uitgaven betaalverzoek'!$E:$E,$A10,'8. Uitgaven betaalverzoek'!$F:$F,$B10,'8. Uitgaven betaalverzoek'!$A:$A,Keuze_DB_Nr_BEO),"")</f>
        <v/>
      </c>
      <c r="V10" s="96">
        <f t="shared" si="2"/>
        <v>0</v>
      </c>
      <c r="W10" s="96">
        <f t="shared" si="3"/>
        <v>0</v>
      </c>
    </row>
    <row r="11" spans="1:23" x14ac:dyDescent="0.25">
      <c r="A11" s="12"/>
      <c r="B11" s="12"/>
      <c r="C11" s="87" t="str" cm="1">
        <f t="array" ref="C11">IFERROR(INDEX(Tb_KostenOpties[],MATCH(B11,Tb_KostenOptiesDB[KostenOptie],0),IFERROR(MATCH(Methode_Keuze,Tb_KostenOptiesDB[#Headers],0),2)),"")</f>
        <v/>
      </c>
      <c r="D11" s="99">
        <f>IFERROR(INDEX(Tb_ProjectKosten[],MATCH($B11,Tb_ProjectKosten[Begroting],0),6),0)</f>
        <v>0</v>
      </c>
      <c r="E11" s="97">
        <f>SUMIFS('8. Uitgaven betaalverzoek'!$W:$W,'8. Uitgaven betaalverzoek'!$E:$E,$A11,'8. Uitgaven betaalverzoek'!$F:$F,$B11)</f>
        <v>0</v>
      </c>
      <c r="F11" s="97">
        <f>SUMIFS('8. Uitgaven betaalverzoek'!$X:$X,'8. Uitgaven betaalverzoek'!$E:$E,$A11,'8. Uitgaven betaalverzoek'!$F:$F,$B11)</f>
        <v>0</v>
      </c>
      <c r="G11" s="97" t="str">
        <f>IF(C11&lt;&gt;"",SUMIFS('8. Uitgaven betaalverzoek'!$Z:$Z,'8. Uitgaven betaalverzoek'!$E:$E,$A11,'8. Uitgaven betaalverzoek'!$F:$F,$B11),"")</f>
        <v/>
      </c>
      <c r="H11" s="97" t="str">
        <f>IF(C11&lt;&gt;"",SUMIFS('8. Uitgaven betaalverzoek'!$AA:$AA,'8. Uitgaven betaalverzoek'!$E:$E,$A11,'8. Uitgaven betaalverzoek'!$F:$F,$B11),"")</f>
        <v/>
      </c>
      <c r="I11" s="99" t="str">
        <f>IFERROR(VLOOKUP(A11,Lijsten!$AK:$AL,2,0),"")</f>
        <v/>
      </c>
      <c r="J11" s="97">
        <f t="shared" si="4"/>
        <v>0</v>
      </c>
      <c r="K11" s="97">
        <f t="shared" si="1"/>
        <v>0</v>
      </c>
      <c r="L11" s="97">
        <f>SUMIFS('8. Uitgaven betaalverzoek'!$W:$W,'8. Uitgaven betaalverzoek'!$E:$E,$A11,'8. Uitgaven betaalverzoek'!$F:$F,$B11,'8. Uitgaven betaalverzoek'!$A:$A,Keuze_DB_Nr)</f>
        <v>0</v>
      </c>
      <c r="M11" s="97">
        <f>SUMIFS('8. Uitgaven betaalverzoek'!$X:$X,'8. Uitgaven betaalverzoek'!$E:$E,$A11,'8. Uitgaven betaalverzoek'!$F:$F,$B11,'8. Uitgaven betaalverzoek'!$A:$A,Keuze_DB_Nr)</f>
        <v>0</v>
      </c>
      <c r="N11" s="97" t="str">
        <f>IF($C11&lt;&gt;"",SUMIFS('8. Uitgaven betaalverzoek'!$Z:$Z,'8. Uitgaven betaalverzoek'!$E:$E,$A11,'8. Uitgaven betaalverzoek'!$F:$F,$B11,'8. Uitgaven betaalverzoek'!$A:$A,Keuze_DB_Nr),"")</f>
        <v/>
      </c>
      <c r="O11" s="97" t="str">
        <f>IF($C11&lt;&gt;"",SUMIFS('8. Uitgaven betaalverzoek'!$AA:$AA,'8. Uitgaven betaalverzoek'!$E:$E,$A11,'8. Uitgaven betaalverzoek'!$F:$F,$B11,'8. Uitgaven betaalverzoek'!$A:$A,Keuze_DB_Nr),"")</f>
        <v/>
      </c>
      <c r="P11" s="97">
        <f t="shared" si="5"/>
        <v>0</v>
      </c>
      <c r="Q11" s="97">
        <f t="shared" si="6"/>
        <v>0</v>
      </c>
      <c r="R11" s="97">
        <f>SUMIFS('8. Uitgaven betaalverzoek'!$W:$W,'8. Uitgaven betaalverzoek'!$E:$E,$A11,'8. Uitgaven betaalverzoek'!$F:$F,$B11,'8. Uitgaven betaalverzoek'!$A:$A,Keuze_DB_Nr_BEO)</f>
        <v>0</v>
      </c>
      <c r="S11" s="97">
        <f>SUMIFS('8. Uitgaven betaalverzoek'!$X:$X,'8. Uitgaven betaalverzoek'!$E:$E,$A11,'8. Uitgaven betaalverzoek'!$F:$F,$B11,'8. Uitgaven betaalverzoek'!$A:$A,Keuze_DB_Nr_BEO)</f>
        <v>0</v>
      </c>
      <c r="T11" s="97" t="str">
        <f>IF($C11&lt;&gt;"",SUMIFS('8. Uitgaven betaalverzoek'!$Z:$Z,'8. Uitgaven betaalverzoek'!$E:$E,$A11,'8. Uitgaven betaalverzoek'!$F:$F,$B11,'8. Uitgaven betaalverzoek'!$A:$A,Keuze_DB_Nr_BEO),"")</f>
        <v/>
      </c>
      <c r="U11" s="97" t="str">
        <f>IF($C11&lt;&gt;"",SUMIFS('8. Uitgaven betaalverzoek'!$AA:$AA,'8. Uitgaven betaalverzoek'!$E:$E,$A11,'8. Uitgaven betaalverzoek'!$F:$F,$B11,'8. Uitgaven betaalverzoek'!$A:$A,Keuze_DB_Nr_BEO),"")</f>
        <v/>
      </c>
      <c r="V11" s="97">
        <f t="shared" si="2"/>
        <v>0</v>
      </c>
      <c r="W11" s="97">
        <f t="shared" si="3"/>
        <v>0</v>
      </c>
    </row>
    <row r="12" spans="1:23" x14ac:dyDescent="0.25">
      <c r="A12" s="63"/>
      <c r="B12" s="63"/>
      <c r="C12" s="86" t="str" cm="1">
        <f t="array" ref="C12">IFERROR(INDEX(Tb_KostenOpties[],MATCH(B12,Tb_KostenOptiesDB[KostenOptie],0),IFERROR(MATCH(Methode_Keuze,Tb_KostenOptiesDB[#Headers],0),2)),"")</f>
        <v/>
      </c>
      <c r="D12" s="98">
        <f>IFERROR(INDEX(Tb_ProjectKosten[],MATCH($B12,Tb_ProjectKosten[Begroting],0),6),0)</f>
        <v>0</v>
      </c>
      <c r="E12" s="96">
        <f>SUMIFS('8. Uitgaven betaalverzoek'!$W:$W,'8. Uitgaven betaalverzoek'!$E:$E,$A12,'8. Uitgaven betaalverzoek'!$F:$F,$B12)</f>
        <v>0</v>
      </c>
      <c r="F12" s="96">
        <f>SUMIFS('8. Uitgaven betaalverzoek'!$X:$X,'8. Uitgaven betaalverzoek'!$E:$E,$A12,'8. Uitgaven betaalverzoek'!$F:$F,$B12)</f>
        <v>0</v>
      </c>
      <c r="G12" s="96" t="str">
        <f>IF(C12&lt;&gt;"",SUMIFS('8. Uitgaven betaalverzoek'!$Z:$Z,'8. Uitgaven betaalverzoek'!$E:$E,$A12,'8. Uitgaven betaalverzoek'!$F:$F,$B12),"")</f>
        <v/>
      </c>
      <c r="H12" s="96" t="str">
        <f>IF(C12&lt;&gt;"",SUMIFS('8. Uitgaven betaalverzoek'!$AA:$AA,'8. Uitgaven betaalverzoek'!$E:$E,$A12,'8. Uitgaven betaalverzoek'!$F:$F,$B12),"")</f>
        <v/>
      </c>
      <c r="I12" s="98" t="str">
        <f>IFERROR(VLOOKUP(A12,Lijsten!$AK:$AL,2,0),"")</f>
        <v/>
      </c>
      <c r="J12" s="96">
        <f t="shared" si="4"/>
        <v>0</v>
      </c>
      <c r="K12" s="96">
        <f t="shared" si="1"/>
        <v>0</v>
      </c>
      <c r="L12" s="96">
        <f>SUMIFS('8. Uitgaven betaalverzoek'!$W:$W,'8. Uitgaven betaalverzoek'!$E:$E,$A12,'8. Uitgaven betaalverzoek'!$F:$F,$B12,'8. Uitgaven betaalverzoek'!$A:$A,Keuze_DB_Nr)</f>
        <v>0</v>
      </c>
      <c r="M12" s="96">
        <f>SUMIFS('8. Uitgaven betaalverzoek'!$X:$X,'8. Uitgaven betaalverzoek'!$E:$E,$A12,'8. Uitgaven betaalverzoek'!$F:$F,$B12,'8. Uitgaven betaalverzoek'!$A:$A,Keuze_DB_Nr)</f>
        <v>0</v>
      </c>
      <c r="N12" s="96" t="str">
        <f>IF($C12&lt;&gt;"",SUMIFS('8. Uitgaven betaalverzoek'!$Z:$Z,'8. Uitgaven betaalverzoek'!$E:$E,$A12,'8. Uitgaven betaalverzoek'!$F:$F,$B12,'8. Uitgaven betaalverzoek'!$A:$A,Keuze_DB_Nr),"")</f>
        <v/>
      </c>
      <c r="O12" s="96" t="str">
        <f>IF($C12&lt;&gt;"",SUMIFS('8. Uitgaven betaalverzoek'!$AA:$AA,'8. Uitgaven betaalverzoek'!$E:$E,$A12,'8. Uitgaven betaalverzoek'!$F:$F,$B12,'8. Uitgaven betaalverzoek'!$A:$A,Keuze_DB_Nr),"")</f>
        <v/>
      </c>
      <c r="P12" s="96">
        <f t="shared" si="5"/>
        <v>0</v>
      </c>
      <c r="Q12" s="96">
        <f t="shared" si="6"/>
        <v>0</v>
      </c>
      <c r="R12" s="96">
        <f>SUMIFS('8. Uitgaven betaalverzoek'!$W:$W,'8. Uitgaven betaalverzoek'!$E:$E,$A12,'8. Uitgaven betaalverzoek'!$F:$F,$B12,'8. Uitgaven betaalverzoek'!$A:$A,Keuze_DB_Nr_BEO)</f>
        <v>0</v>
      </c>
      <c r="S12" s="96">
        <f>SUMIFS('8. Uitgaven betaalverzoek'!$X:$X,'8. Uitgaven betaalverzoek'!$E:$E,$A12,'8. Uitgaven betaalverzoek'!$F:$F,$B12,'8. Uitgaven betaalverzoek'!$A:$A,Keuze_DB_Nr_BEO)</f>
        <v>0</v>
      </c>
      <c r="T12" s="96" t="str">
        <f>IF($C12&lt;&gt;"",SUMIFS('8. Uitgaven betaalverzoek'!$Z:$Z,'8. Uitgaven betaalverzoek'!$E:$E,$A12,'8. Uitgaven betaalverzoek'!$F:$F,$B12,'8. Uitgaven betaalverzoek'!$A:$A,Keuze_DB_Nr_BEO),"")</f>
        <v/>
      </c>
      <c r="U12" s="96" t="str">
        <f>IF($C12&lt;&gt;"",SUMIFS('8. Uitgaven betaalverzoek'!$AA:$AA,'8. Uitgaven betaalverzoek'!$E:$E,$A12,'8. Uitgaven betaalverzoek'!$F:$F,$B12,'8. Uitgaven betaalverzoek'!$A:$A,Keuze_DB_Nr_BEO),"")</f>
        <v/>
      </c>
      <c r="V12" s="96">
        <f t="shared" si="2"/>
        <v>0</v>
      </c>
      <c r="W12" s="96">
        <f t="shared" si="3"/>
        <v>0</v>
      </c>
    </row>
    <row r="13" spans="1:23" x14ac:dyDescent="0.25">
      <c r="A13" s="12"/>
      <c r="B13" s="12"/>
      <c r="C13" s="87" t="str" cm="1">
        <f t="array" ref="C13">IFERROR(INDEX(Tb_KostenOpties[],MATCH(B13,Tb_KostenOptiesDB[KostenOptie],0),IFERROR(MATCH(Methode_Keuze,Tb_KostenOptiesDB[#Headers],0),2)),"")</f>
        <v/>
      </c>
      <c r="D13" s="99">
        <f>IFERROR(INDEX(Tb_ProjectKosten[],MATCH($B13,Tb_ProjectKosten[Begroting],0),6),0)</f>
        <v>0</v>
      </c>
      <c r="E13" s="97">
        <f>SUMIFS('8. Uitgaven betaalverzoek'!$W:$W,'8. Uitgaven betaalverzoek'!$E:$E,$A13,'8. Uitgaven betaalverzoek'!$F:$F,$B13)</f>
        <v>0</v>
      </c>
      <c r="F13" s="97">
        <f>SUMIFS('8. Uitgaven betaalverzoek'!$X:$X,'8. Uitgaven betaalverzoek'!$E:$E,$A13,'8. Uitgaven betaalverzoek'!$F:$F,$B13)</f>
        <v>0</v>
      </c>
      <c r="G13" s="97" t="str">
        <f>IF(C13&lt;&gt;"",SUMIFS('8. Uitgaven betaalverzoek'!$Z:$Z,'8. Uitgaven betaalverzoek'!$E:$E,$A13,'8. Uitgaven betaalverzoek'!$F:$F,$B13),"")</f>
        <v/>
      </c>
      <c r="H13" s="97" t="str">
        <f>IF(C13&lt;&gt;"",SUMIFS('8. Uitgaven betaalverzoek'!$AA:$AA,'8. Uitgaven betaalverzoek'!$E:$E,$A13,'8. Uitgaven betaalverzoek'!$F:$F,$B13),"")</f>
        <v/>
      </c>
      <c r="I13" s="99" t="str">
        <f>IFERROR(VLOOKUP(A13,Lijsten!$AK:$AL,2,0),"")</f>
        <v/>
      </c>
      <c r="J13" s="97">
        <f t="shared" si="4"/>
        <v>0</v>
      </c>
      <c r="K13" s="97">
        <f t="shared" si="1"/>
        <v>0</v>
      </c>
      <c r="L13" s="97">
        <f>SUMIFS('8. Uitgaven betaalverzoek'!$W:$W,'8. Uitgaven betaalverzoek'!$E:$E,$A13,'8. Uitgaven betaalverzoek'!$F:$F,$B13,'8. Uitgaven betaalverzoek'!$A:$A,Keuze_DB_Nr)</f>
        <v>0</v>
      </c>
      <c r="M13" s="97">
        <f>SUMIFS('8. Uitgaven betaalverzoek'!$X:$X,'8. Uitgaven betaalverzoek'!$E:$E,$A13,'8. Uitgaven betaalverzoek'!$F:$F,$B13,'8. Uitgaven betaalverzoek'!$A:$A,Keuze_DB_Nr)</f>
        <v>0</v>
      </c>
      <c r="N13" s="97" t="str">
        <f>IF($C13&lt;&gt;"",SUMIFS('8. Uitgaven betaalverzoek'!$Z:$Z,'8. Uitgaven betaalverzoek'!$E:$E,$A13,'8. Uitgaven betaalverzoek'!$F:$F,$B13,'8. Uitgaven betaalverzoek'!$A:$A,Keuze_DB_Nr),"")</f>
        <v/>
      </c>
      <c r="O13" s="97" t="str">
        <f>IF($C13&lt;&gt;"",SUMIFS('8. Uitgaven betaalverzoek'!$AA:$AA,'8. Uitgaven betaalverzoek'!$E:$E,$A13,'8. Uitgaven betaalverzoek'!$F:$F,$B13,'8. Uitgaven betaalverzoek'!$A:$A,Keuze_DB_Nr),"")</f>
        <v/>
      </c>
      <c r="P13" s="97">
        <f t="shared" si="5"/>
        <v>0</v>
      </c>
      <c r="Q13" s="97">
        <f t="shared" si="6"/>
        <v>0</v>
      </c>
      <c r="R13" s="97">
        <f>SUMIFS('8. Uitgaven betaalverzoek'!$W:$W,'8. Uitgaven betaalverzoek'!$E:$E,$A13,'8. Uitgaven betaalverzoek'!$F:$F,$B13,'8. Uitgaven betaalverzoek'!$A:$A,Keuze_DB_Nr_BEO)</f>
        <v>0</v>
      </c>
      <c r="S13" s="97">
        <f>SUMIFS('8. Uitgaven betaalverzoek'!$X:$X,'8. Uitgaven betaalverzoek'!$E:$E,$A13,'8. Uitgaven betaalverzoek'!$F:$F,$B13,'8. Uitgaven betaalverzoek'!$A:$A,Keuze_DB_Nr_BEO)</f>
        <v>0</v>
      </c>
      <c r="T13" s="97" t="str">
        <f>IF($C13&lt;&gt;"",SUMIFS('8. Uitgaven betaalverzoek'!$Z:$Z,'8. Uitgaven betaalverzoek'!$E:$E,$A13,'8. Uitgaven betaalverzoek'!$F:$F,$B13,'8. Uitgaven betaalverzoek'!$A:$A,Keuze_DB_Nr_BEO),"")</f>
        <v/>
      </c>
      <c r="U13" s="97" t="str">
        <f>IF($C13&lt;&gt;"",SUMIFS('8. Uitgaven betaalverzoek'!$AA:$AA,'8. Uitgaven betaalverzoek'!$E:$E,$A13,'8. Uitgaven betaalverzoek'!$F:$F,$B13,'8. Uitgaven betaalverzoek'!$A:$A,Keuze_DB_Nr_BEO),"")</f>
        <v/>
      </c>
      <c r="V13" s="97">
        <f t="shared" si="2"/>
        <v>0</v>
      </c>
      <c r="W13" s="97">
        <f t="shared" si="3"/>
        <v>0</v>
      </c>
    </row>
    <row r="14" spans="1:23" x14ac:dyDescent="0.25">
      <c r="A14" s="63"/>
      <c r="B14" s="63"/>
      <c r="C14" s="86" t="str" cm="1">
        <f t="array" ref="C14">IFERROR(INDEX(Tb_KostenOpties[],MATCH(B14,Tb_KostenOptiesDB[KostenOptie],0),IFERROR(MATCH(Methode_Keuze,Tb_KostenOptiesDB[#Headers],0),2)),"")</f>
        <v/>
      </c>
      <c r="D14" s="98">
        <f>IFERROR(INDEX(Tb_ProjectKosten[],MATCH($B14,Tb_ProjectKosten[Begroting],0),6),0)</f>
        <v>0</v>
      </c>
      <c r="E14" s="96">
        <f>SUMIFS('8. Uitgaven betaalverzoek'!$W:$W,'8. Uitgaven betaalverzoek'!$E:$E,$A14,'8. Uitgaven betaalverzoek'!$F:$F,$B14)</f>
        <v>0</v>
      </c>
      <c r="F14" s="96">
        <f>SUMIFS('8. Uitgaven betaalverzoek'!$X:$X,'8. Uitgaven betaalverzoek'!$E:$E,$A14,'8. Uitgaven betaalverzoek'!$F:$F,$B14)</f>
        <v>0</v>
      </c>
      <c r="G14" s="96" t="str">
        <f>IF(C14&lt;&gt;"",SUMIFS('8. Uitgaven betaalverzoek'!$Z:$Z,'8. Uitgaven betaalverzoek'!$E:$E,$A14,'8. Uitgaven betaalverzoek'!$F:$F,$B14),"")</f>
        <v/>
      </c>
      <c r="H14" s="96" t="str">
        <f>IF(C14&lt;&gt;"",SUMIFS('8. Uitgaven betaalverzoek'!$AA:$AA,'8. Uitgaven betaalverzoek'!$E:$E,$A14,'8. Uitgaven betaalverzoek'!$F:$F,$B14),"")</f>
        <v/>
      </c>
      <c r="I14" s="98" t="str">
        <f>IFERROR(VLOOKUP(A14,Lijsten!$AK:$AL,2,0),"")</f>
        <v/>
      </c>
      <c r="J14" s="96">
        <f t="shared" si="4"/>
        <v>0</v>
      </c>
      <c r="K14" s="96">
        <f t="shared" si="1"/>
        <v>0</v>
      </c>
      <c r="L14" s="96">
        <f>SUMIFS('8. Uitgaven betaalverzoek'!$W:$W,'8. Uitgaven betaalverzoek'!$E:$E,$A14,'8. Uitgaven betaalverzoek'!$F:$F,$B14,'8. Uitgaven betaalverzoek'!$A:$A,Keuze_DB_Nr)</f>
        <v>0</v>
      </c>
      <c r="M14" s="96">
        <f>SUMIFS('8. Uitgaven betaalverzoek'!$X:$X,'8. Uitgaven betaalverzoek'!$E:$E,$A14,'8. Uitgaven betaalverzoek'!$F:$F,$B14,'8. Uitgaven betaalverzoek'!$A:$A,Keuze_DB_Nr)</f>
        <v>0</v>
      </c>
      <c r="N14" s="96" t="str">
        <f>IF($C14&lt;&gt;"",SUMIFS('8. Uitgaven betaalverzoek'!$Z:$Z,'8. Uitgaven betaalverzoek'!$E:$E,$A14,'8. Uitgaven betaalverzoek'!$F:$F,$B14,'8. Uitgaven betaalverzoek'!$A:$A,Keuze_DB_Nr),"")</f>
        <v/>
      </c>
      <c r="O14" s="96" t="str">
        <f>IF($C14&lt;&gt;"",SUMIFS('8. Uitgaven betaalverzoek'!$AA:$AA,'8. Uitgaven betaalverzoek'!$E:$E,$A14,'8. Uitgaven betaalverzoek'!$F:$F,$B14,'8. Uitgaven betaalverzoek'!$A:$A,Keuze_DB_Nr),"")</f>
        <v/>
      </c>
      <c r="P14" s="96">
        <f t="shared" si="5"/>
        <v>0</v>
      </c>
      <c r="Q14" s="96">
        <f t="shared" si="6"/>
        <v>0</v>
      </c>
      <c r="R14" s="96">
        <f>SUMIFS('8. Uitgaven betaalverzoek'!$W:$W,'8. Uitgaven betaalverzoek'!$E:$E,$A14,'8. Uitgaven betaalverzoek'!$F:$F,$B14,'8. Uitgaven betaalverzoek'!$A:$A,Keuze_DB_Nr_BEO)</f>
        <v>0</v>
      </c>
      <c r="S14" s="96">
        <f>SUMIFS('8. Uitgaven betaalverzoek'!$X:$X,'8. Uitgaven betaalverzoek'!$E:$E,$A14,'8. Uitgaven betaalverzoek'!$F:$F,$B14,'8. Uitgaven betaalverzoek'!$A:$A,Keuze_DB_Nr_BEO)</f>
        <v>0</v>
      </c>
      <c r="T14" s="96" t="str">
        <f>IF($C14&lt;&gt;"",SUMIFS('8. Uitgaven betaalverzoek'!$Z:$Z,'8. Uitgaven betaalverzoek'!$E:$E,$A14,'8. Uitgaven betaalverzoek'!$F:$F,$B14,'8. Uitgaven betaalverzoek'!$A:$A,Keuze_DB_Nr_BEO),"")</f>
        <v/>
      </c>
      <c r="U14" s="96" t="str">
        <f>IF($C14&lt;&gt;"",SUMIFS('8. Uitgaven betaalverzoek'!$AA:$AA,'8. Uitgaven betaalverzoek'!$E:$E,$A14,'8. Uitgaven betaalverzoek'!$F:$F,$B14,'8. Uitgaven betaalverzoek'!$A:$A,Keuze_DB_Nr_BEO),"")</f>
        <v/>
      </c>
      <c r="V14" s="96">
        <f t="shared" si="2"/>
        <v>0</v>
      </c>
      <c r="W14" s="96">
        <f t="shared" si="3"/>
        <v>0</v>
      </c>
    </row>
    <row r="15" spans="1:23" x14ac:dyDescent="0.25">
      <c r="A15" s="12"/>
      <c r="B15" s="12"/>
      <c r="C15" s="87" t="str" cm="1">
        <f t="array" ref="C15">IFERROR(INDEX(Tb_KostenOpties[],MATCH(B15,Tb_KostenOptiesDB[KostenOptie],0),IFERROR(MATCH(Methode_Keuze,Tb_KostenOptiesDB[#Headers],0),2)),"")</f>
        <v/>
      </c>
      <c r="D15" s="99">
        <f>IFERROR(INDEX(Tb_ProjectKosten[],MATCH($B15,Tb_ProjectKosten[Begroting],0),6),0)</f>
        <v>0</v>
      </c>
      <c r="E15" s="97">
        <f>SUMIFS('8. Uitgaven betaalverzoek'!$W:$W,'8. Uitgaven betaalverzoek'!$E:$E,$A15,'8. Uitgaven betaalverzoek'!$F:$F,$B15)</f>
        <v>0</v>
      </c>
      <c r="F15" s="97">
        <f>SUMIFS('8. Uitgaven betaalverzoek'!$X:$X,'8. Uitgaven betaalverzoek'!$E:$E,$A15,'8. Uitgaven betaalverzoek'!$F:$F,$B15)</f>
        <v>0</v>
      </c>
      <c r="G15" s="97" t="str">
        <f>IF(C15&lt;&gt;"",SUMIFS('8. Uitgaven betaalverzoek'!$Z:$Z,'8. Uitgaven betaalverzoek'!$E:$E,$A15,'8. Uitgaven betaalverzoek'!$F:$F,$B15),"")</f>
        <v/>
      </c>
      <c r="H15" s="97" t="str">
        <f>IF(C15&lt;&gt;"",SUMIFS('8. Uitgaven betaalverzoek'!$AA:$AA,'8. Uitgaven betaalverzoek'!$E:$E,$A15,'8. Uitgaven betaalverzoek'!$F:$F,$B15),"")</f>
        <v/>
      </c>
      <c r="I15" s="99" t="str">
        <f>IFERROR(VLOOKUP(A15,Lijsten!$AK:$AL,2,0),"")</f>
        <v/>
      </c>
      <c r="J15" s="97">
        <f t="shared" si="4"/>
        <v>0</v>
      </c>
      <c r="K15" s="97">
        <f t="shared" si="1"/>
        <v>0</v>
      </c>
      <c r="L15" s="97">
        <f>SUMIFS('8. Uitgaven betaalverzoek'!$W:$W,'8. Uitgaven betaalverzoek'!$E:$E,$A15,'8. Uitgaven betaalverzoek'!$F:$F,$B15,'8. Uitgaven betaalverzoek'!$A:$A,Keuze_DB_Nr)</f>
        <v>0</v>
      </c>
      <c r="M15" s="97">
        <f>SUMIFS('8. Uitgaven betaalverzoek'!$X:$X,'8. Uitgaven betaalverzoek'!$E:$E,$A15,'8. Uitgaven betaalverzoek'!$F:$F,$B15,'8. Uitgaven betaalverzoek'!$A:$A,Keuze_DB_Nr)</f>
        <v>0</v>
      </c>
      <c r="N15" s="97" t="str">
        <f>IF($C15&lt;&gt;"",SUMIFS('8. Uitgaven betaalverzoek'!$Z:$Z,'8. Uitgaven betaalverzoek'!$E:$E,$A15,'8. Uitgaven betaalverzoek'!$F:$F,$B15,'8. Uitgaven betaalverzoek'!$A:$A,Keuze_DB_Nr),"")</f>
        <v/>
      </c>
      <c r="O15" s="97" t="str">
        <f>IF($C15&lt;&gt;"",SUMIFS('8. Uitgaven betaalverzoek'!$AA:$AA,'8. Uitgaven betaalverzoek'!$E:$E,$A15,'8. Uitgaven betaalverzoek'!$F:$F,$B15,'8. Uitgaven betaalverzoek'!$A:$A,Keuze_DB_Nr),"")</f>
        <v/>
      </c>
      <c r="P15" s="97">
        <f t="shared" si="5"/>
        <v>0</v>
      </c>
      <c r="Q15" s="97">
        <f t="shared" si="6"/>
        <v>0</v>
      </c>
      <c r="R15" s="97">
        <f>SUMIFS('8. Uitgaven betaalverzoek'!$W:$W,'8. Uitgaven betaalverzoek'!$E:$E,$A15,'8. Uitgaven betaalverzoek'!$F:$F,$B15,'8. Uitgaven betaalverzoek'!$A:$A,Keuze_DB_Nr_BEO)</f>
        <v>0</v>
      </c>
      <c r="S15" s="97">
        <f>SUMIFS('8. Uitgaven betaalverzoek'!$X:$X,'8. Uitgaven betaalverzoek'!$E:$E,$A15,'8. Uitgaven betaalverzoek'!$F:$F,$B15,'8. Uitgaven betaalverzoek'!$A:$A,Keuze_DB_Nr_BEO)</f>
        <v>0</v>
      </c>
      <c r="T15" s="97" t="str">
        <f>IF($C15&lt;&gt;"",SUMIFS('8. Uitgaven betaalverzoek'!$Z:$Z,'8. Uitgaven betaalverzoek'!$E:$E,$A15,'8. Uitgaven betaalverzoek'!$F:$F,$B15,'8. Uitgaven betaalverzoek'!$A:$A,Keuze_DB_Nr_BEO),"")</f>
        <v/>
      </c>
      <c r="U15" s="97" t="str">
        <f>IF($C15&lt;&gt;"",SUMIFS('8. Uitgaven betaalverzoek'!$AA:$AA,'8. Uitgaven betaalverzoek'!$E:$E,$A15,'8. Uitgaven betaalverzoek'!$F:$F,$B15,'8. Uitgaven betaalverzoek'!$A:$A,Keuze_DB_Nr_BEO),"")</f>
        <v/>
      </c>
      <c r="V15" s="97">
        <f t="shared" si="2"/>
        <v>0</v>
      </c>
      <c r="W15" s="97">
        <f t="shared" si="3"/>
        <v>0</v>
      </c>
    </row>
    <row r="16" spans="1:23" x14ac:dyDescent="0.25">
      <c r="A16" s="63"/>
      <c r="B16" s="63"/>
      <c r="C16" s="86" t="str" cm="1">
        <f t="array" ref="C16">IFERROR(INDEX(Tb_KostenOpties[],MATCH(B16,Tb_KostenOptiesDB[KostenOptie],0),IFERROR(MATCH(Methode_Keuze,Tb_KostenOptiesDB[#Headers],0),2)),"")</f>
        <v/>
      </c>
      <c r="D16" s="98">
        <f>IFERROR(INDEX(Tb_ProjectKosten[],MATCH($B16,Tb_ProjectKosten[Begroting],0),6),0)</f>
        <v>0</v>
      </c>
      <c r="E16" s="96">
        <f>SUMIFS('8. Uitgaven betaalverzoek'!$W:$W,'8. Uitgaven betaalverzoek'!$E:$E,$A16,'8. Uitgaven betaalverzoek'!$F:$F,$B16)</f>
        <v>0</v>
      </c>
      <c r="F16" s="96">
        <f>SUMIFS('8. Uitgaven betaalverzoek'!$X:$X,'8. Uitgaven betaalverzoek'!$E:$E,$A16,'8. Uitgaven betaalverzoek'!$F:$F,$B16)</f>
        <v>0</v>
      </c>
      <c r="G16" s="96" t="str">
        <f>IF(C16&lt;&gt;"",SUMIFS('8. Uitgaven betaalverzoek'!$Z:$Z,'8. Uitgaven betaalverzoek'!$E:$E,$A16,'8. Uitgaven betaalverzoek'!$F:$F,$B16),"")</f>
        <v/>
      </c>
      <c r="H16" s="96" t="str">
        <f>IF(C16&lt;&gt;"",SUMIFS('8. Uitgaven betaalverzoek'!$AA:$AA,'8. Uitgaven betaalverzoek'!$E:$E,$A16,'8. Uitgaven betaalverzoek'!$F:$F,$B16),"")</f>
        <v/>
      </c>
      <c r="I16" s="98" t="str">
        <f>IFERROR(VLOOKUP(A16,Lijsten!$AK:$AL,2,0),"")</f>
        <v/>
      </c>
      <c r="J16" s="96">
        <f t="shared" si="4"/>
        <v>0</v>
      </c>
      <c r="K16" s="96">
        <f t="shared" si="1"/>
        <v>0</v>
      </c>
      <c r="L16" s="96">
        <f>SUMIFS('8. Uitgaven betaalverzoek'!$W:$W,'8. Uitgaven betaalverzoek'!$E:$E,$A16,'8. Uitgaven betaalverzoek'!$F:$F,$B16,'8. Uitgaven betaalverzoek'!$A:$A,Keuze_DB_Nr)</f>
        <v>0</v>
      </c>
      <c r="M16" s="96">
        <f>SUMIFS('8. Uitgaven betaalverzoek'!$X:$X,'8. Uitgaven betaalverzoek'!$E:$E,$A16,'8. Uitgaven betaalverzoek'!$F:$F,$B16,'8. Uitgaven betaalverzoek'!$A:$A,Keuze_DB_Nr)</f>
        <v>0</v>
      </c>
      <c r="N16" s="96" t="str">
        <f>IF($C16&lt;&gt;"",SUMIFS('8. Uitgaven betaalverzoek'!$Z:$Z,'8. Uitgaven betaalverzoek'!$E:$E,$A16,'8. Uitgaven betaalverzoek'!$F:$F,$B16,'8. Uitgaven betaalverzoek'!$A:$A,Keuze_DB_Nr),"")</f>
        <v/>
      </c>
      <c r="O16" s="96" t="str">
        <f>IF($C16&lt;&gt;"",SUMIFS('8. Uitgaven betaalverzoek'!$AA:$AA,'8. Uitgaven betaalverzoek'!$E:$E,$A16,'8. Uitgaven betaalverzoek'!$F:$F,$B16,'8. Uitgaven betaalverzoek'!$A:$A,Keuze_DB_Nr),"")</f>
        <v/>
      </c>
      <c r="P16" s="96">
        <f t="shared" si="5"/>
        <v>0</v>
      </c>
      <c r="Q16" s="96">
        <f t="shared" si="6"/>
        <v>0</v>
      </c>
      <c r="R16" s="96">
        <f>SUMIFS('8. Uitgaven betaalverzoek'!$W:$W,'8. Uitgaven betaalverzoek'!$E:$E,$A16,'8. Uitgaven betaalverzoek'!$F:$F,$B16,'8. Uitgaven betaalverzoek'!$A:$A,Keuze_DB_Nr_BEO)</f>
        <v>0</v>
      </c>
      <c r="S16" s="96">
        <f>SUMIFS('8. Uitgaven betaalverzoek'!$X:$X,'8. Uitgaven betaalverzoek'!$E:$E,$A16,'8. Uitgaven betaalverzoek'!$F:$F,$B16,'8. Uitgaven betaalverzoek'!$A:$A,Keuze_DB_Nr_BEO)</f>
        <v>0</v>
      </c>
      <c r="T16" s="96" t="str">
        <f>IF($C16&lt;&gt;"",SUMIFS('8. Uitgaven betaalverzoek'!$Z:$Z,'8. Uitgaven betaalverzoek'!$E:$E,$A16,'8. Uitgaven betaalverzoek'!$F:$F,$B16,'8. Uitgaven betaalverzoek'!$A:$A,Keuze_DB_Nr_BEO),"")</f>
        <v/>
      </c>
      <c r="U16" s="96" t="str">
        <f>IF($C16&lt;&gt;"",SUMIFS('8. Uitgaven betaalverzoek'!$AA:$AA,'8. Uitgaven betaalverzoek'!$E:$E,$A16,'8. Uitgaven betaalverzoek'!$F:$F,$B16,'8. Uitgaven betaalverzoek'!$A:$A,Keuze_DB_Nr_BEO),"")</f>
        <v/>
      </c>
      <c r="V16" s="96">
        <f t="shared" si="2"/>
        <v>0</v>
      </c>
      <c r="W16" s="96">
        <f t="shared" si="3"/>
        <v>0</v>
      </c>
    </row>
    <row r="17" spans="1:23" x14ac:dyDescent="0.25">
      <c r="A17" s="12"/>
      <c r="B17" s="12"/>
      <c r="C17" s="87" t="str" cm="1">
        <f t="array" ref="C17">IFERROR(INDEX(Tb_KostenOpties[],MATCH(B17,Tb_KostenOptiesDB[KostenOptie],0),IFERROR(MATCH(Methode_Keuze,Tb_KostenOptiesDB[#Headers],0),2)),"")</f>
        <v/>
      </c>
      <c r="D17" s="99">
        <f>IFERROR(INDEX(Tb_ProjectKosten[],MATCH($B17,Tb_ProjectKosten[Begroting],0),6),0)</f>
        <v>0</v>
      </c>
      <c r="E17" s="97">
        <f>SUMIFS('8. Uitgaven betaalverzoek'!$W:$W,'8. Uitgaven betaalverzoek'!$E:$E,$A17,'8. Uitgaven betaalverzoek'!$F:$F,$B17)</f>
        <v>0</v>
      </c>
      <c r="F17" s="97">
        <f>SUMIFS('8. Uitgaven betaalverzoek'!$X:$X,'8. Uitgaven betaalverzoek'!$E:$E,$A17,'8. Uitgaven betaalverzoek'!$F:$F,$B17)</f>
        <v>0</v>
      </c>
      <c r="G17" s="97" t="str">
        <f>IF(C17&lt;&gt;"",SUMIFS('8. Uitgaven betaalverzoek'!$Z:$Z,'8. Uitgaven betaalverzoek'!$E:$E,$A17,'8. Uitgaven betaalverzoek'!$F:$F,$B17),"")</f>
        <v/>
      </c>
      <c r="H17" s="97" t="str">
        <f>IF(C17&lt;&gt;"",SUMIFS('8. Uitgaven betaalverzoek'!$AA:$AA,'8. Uitgaven betaalverzoek'!$E:$E,$A17,'8. Uitgaven betaalverzoek'!$F:$F,$B17),"")</f>
        <v/>
      </c>
      <c r="I17" s="99" t="str">
        <f>IFERROR(VLOOKUP(A17,Lijsten!$AK:$AL,2,0),"")</f>
        <v/>
      </c>
      <c r="J17" s="97">
        <f t="shared" si="4"/>
        <v>0</v>
      </c>
      <c r="K17" s="97">
        <f t="shared" si="1"/>
        <v>0</v>
      </c>
      <c r="L17" s="97">
        <f>SUMIFS('8. Uitgaven betaalverzoek'!$W:$W,'8. Uitgaven betaalverzoek'!$E:$E,$A17,'8. Uitgaven betaalverzoek'!$F:$F,$B17,'8. Uitgaven betaalverzoek'!$A:$A,Keuze_DB_Nr)</f>
        <v>0</v>
      </c>
      <c r="M17" s="97">
        <f>SUMIFS('8. Uitgaven betaalverzoek'!$X:$X,'8. Uitgaven betaalverzoek'!$E:$E,$A17,'8. Uitgaven betaalverzoek'!$F:$F,$B17,'8. Uitgaven betaalverzoek'!$A:$A,Keuze_DB_Nr)</f>
        <v>0</v>
      </c>
      <c r="N17" s="97" t="str">
        <f>IF($C17&lt;&gt;"",SUMIFS('8. Uitgaven betaalverzoek'!$Z:$Z,'8. Uitgaven betaalverzoek'!$E:$E,$A17,'8. Uitgaven betaalverzoek'!$F:$F,$B17,'8. Uitgaven betaalverzoek'!$A:$A,Keuze_DB_Nr),"")</f>
        <v/>
      </c>
      <c r="O17" s="97" t="str">
        <f>IF($C17&lt;&gt;"",SUMIFS('8. Uitgaven betaalverzoek'!$AA:$AA,'8. Uitgaven betaalverzoek'!$E:$E,$A17,'8. Uitgaven betaalverzoek'!$F:$F,$B17,'8. Uitgaven betaalverzoek'!$A:$A,Keuze_DB_Nr),"")</f>
        <v/>
      </c>
      <c r="P17" s="97">
        <f t="shared" si="5"/>
        <v>0</v>
      </c>
      <c r="Q17" s="97">
        <f t="shared" si="6"/>
        <v>0</v>
      </c>
      <c r="R17" s="97">
        <f>SUMIFS('8. Uitgaven betaalverzoek'!$W:$W,'8. Uitgaven betaalverzoek'!$E:$E,$A17,'8. Uitgaven betaalverzoek'!$F:$F,$B17,'8. Uitgaven betaalverzoek'!$A:$A,Keuze_DB_Nr_BEO)</f>
        <v>0</v>
      </c>
      <c r="S17" s="97">
        <f>SUMIFS('8. Uitgaven betaalverzoek'!$X:$X,'8. Uitgaven betaalverzoek'!$E:$E,$A17,'8. Uitgaven betaalverzoek'!$F:$F,$B17,'8. Uitgaven betaalverzoek'!$A:$A,Keuze_DB_Nr_BEO)</f>
        <v>0</v>
      </c>
      <c r="T17" s="97" t="str">
        <f>IF($C17&lt;&gt;"",SUMIFS('8. Uitgaven betaalverzoek'!$Z:$Z,'8. Uitgaven betaalverzoek'!$E:$E,$A17,'8. Uitgaven betaalverzoek'!$F:$F,$B17,'8. Uitgaven betaalverzoek'!$A:$A,Keuze_DB_Nr_BEO),"")</f>
        <v/>
      </c>
      <c r="U17" s="97" t="str">
        <f>IF($C17&lt;&gt;"",SUMIFS('8. Uitgaven betaalverzoek'!$AA:$AA,'8. Uitgaven betaalverzoek'!$E:$E,$A17,'8. Uitgaven betaalverzoek'!$F:$F,$B17,'8. Uitgaven betaalverzoek'!$A:$A,Keuze_DB_Nr_BEO),"")</f>
        <v/>
      </c>
      <c r="V17" s="97">
        <f t="shared" si="2"/>
        <v>0</v>
      </c>
      <c r="W17" s="97">
        <f t="shared" si="3"/>
        <v>0</v>
      </c>
    </row>
    <row r="18" spans="1:23" x14ac:dyDescent="0.25">
      <c r="A18" s="63"/>
      <c r="B18" s="63"/>
      <c r="C18" s="86" t="str" cm="1">
        <f t="array" ref="C18">IFERROR(INDEX(Tb_KostenOpties[],MATCH(B18,Tb_KostenOptiesDB[KostenOptie],0),IFERROR(MATCH(Methode_Keuze,Tb_KostenOptiesDB[#Headers],0),2)),"")</f>
        <v/>
      </c>
      <c r="D18" s="98">
        <f>IFERROR(INDEX(Tb_ProjectKosten[],MATCH($B18,Tb_ProjectKosten[Begroting],0),6),0)</f>
        <v>0</v>
      </c>
      <c r="E18" s="96">
        <f>SUMIFS('8. Uitgaven betaalverzoek'!$W:$W,'8. Uitgaven betaalverzoek'!$E:$E,$A18,'8. Uitgaven betaalverzoek'!$F:$F,$B18)</f>
        <v>0</v>
      </c>
      <c r="F18" s="96">
        <f>SUMIFS('8. Uitgaven betaalverzoek'!$X:$X,'8. Uitgaven betaalverzoek'!$E:$E,$A18,'8. Uitgaven betaalverzoek'!$F:$F,$B18)</f>
        <v>0</v>
      </c>
      <c r="G18" s="96" t="str">
        <f>IF(C18&lt;&gt;"",SUMIFS('8. Uitgaven betaalverzoek'!$Z:$Z,'8. Uitgaven betaalverzoek'!$E:$E,$A18,'8. Uitgaven betaalverzoek'!$F:$F,$B18),"")</f>
        <v/>
      </c>
      <c r="H18" s="96" t="str">
        <f>IF(C18&lt;&gt;"",SUMIFS('8. Uitgaven betaalverzoek'!$AA:$AA,'8. Uitgaven betaalverzoek'!$E:$E,$A18,'8. Uitgaven betaalverzoek'!$F:$F,$B18),"")</f>
        <v/>
      </c>
      <c r="I18" s="98" t="str">
        <f>IFERROR(VLOOKUP(A18,Lijsten!$AK:$AL,2,0),"")</f>
        <v/>
      </c>
      <c r="J18" s="96">
        <f t="shared" si="4"/>
        <v>0</v>
      </c>
      <c r="K18" s="96">
        <f t="shared" si="1"/>
        <v>0</v>
      </c>
      <c r="L18" s="96">
        <f>SUMIFS('8. Uitgaven betaalverzoek'!$W:$W,'8. Uitgaven betaalverzoek'!$E:$E,$A18,'8. Uitgaven betaalverzoek'!$F:$F,$B18,'8. Uitgaven betaalverzoek'!$A:$A,Keuze_DB_Nr)</f>
        <v>0</v>
      </c>
      <c r="M18" s="96">
        <f>SUMIFS('8. Uitgaven betaalverzoek'!$X:$X,'8. Uitgaven betaalverzoek'!$E:$E,$A18,'8. Uitgaven betaalverzoek'!$F:$F,$B18,'8. Uitgaven betaalverzoek'!$A:$A,Keuze_DB_Nr)</f>
        <v>0</v>
      </c>
      <c r="N18" s="96" t="str">
        <f>IF($C18&lt;&gt;"",SUMIFS('8. Uitgaven betaalverzoek'!$Z:$Z,'8. Uitgaven betaalverzoek'!$E:$E,$A18,'8. Uitgaven betaalverzoek'!$F:$F,$B18,'8. Uitgaven betaalverzoek'!$A:$A,Keuze_DB_Nr),"")</f>
        <v/>
      </c>
      <c r="O18" s="96" t="str">
        <f>IF($C18&lt;&gt;"",SUMIFS('8. Uitgaven betaalverzoek'!$AA:$AA,'8. Uitgaven betaalverzoek'!$E:$E,$A18,'8. Uitgaven betaalverzoek'!$F:$F,$B18,'8. Uitgaven betaalverzoek'!$A:$A,Keuze_DB_Nr),"")</f>
        <v/>
      </c>
      <c r="P18" s="96">
        <f t="shared" si="5"/>
        <v>0</v>
      </c>
      <c r="Q18" s="96">
        <f t="shared" si="6"/>
        <v>0</v>
      </c>
      <c r="R18" s="96">
        <f>SUMIFS('8. Uitgaven betaalverzoek'!$W:$W,'8. Uitgaven betaalverzoek'!$E:$E,$A18,'8. Uitgaven betaalverzoek'!$F:$F,$B18,'8. Uitgaven betaalverzoek'!$A:$A,Keuze_DB_Nr_BEO)</f>
        <v>0</v>
      </c>
      <c r="S18" s="96">
        <f>SUMIFS('8. Uitgaven betaalverzoek'!$X:$X,'8. Uitgaven betaalverzoek'!$E:$E,$A18,'8. Uitgaven betaalverzoek'!$F:$F,$B18,'8. Uitgaven betaalverzoek'!$A:$A,Keuze_DB_Nr_BEO)</f>
        <v>0</v>
      </c>
      <c r="T18" s="96" t="str">
        <f>IF($C18&lt;&gt;"",SUMIFS('8. Uitgaven betaalverzoek'!$Z:$Z,'8. Uitgaven betaalverzoek'!$E:$E,$A18,'8. Uitgaven betaalverzoek'!$F:$F,$B18,'8. Uitgaven betaalverzoek'!$A:$A,Keuze_DB_Nr_BEO),"")</f>
        <v/>
      </c>
      <c r="U18" s="96" t="str">
        <f>IF($C18&lt;&gt;"",SUMIFS('8. Uitgaven betaalverzoek'!$AA:$AA,'8. Uitgaven betaalverzoek'!$E:$E,$A18,'8. Uitgaven betaalverzoek'!$F:$F,$B18,'8. Uitgaven betaalverzoek'!$A:$A,Keuze_DB_Nr_BEO),"")</f>
        <v/>
      </c>
      <c r="V18" s="96">
        <f t="shared" si="2"/>
        <v>0</v>
      </c>
      <c r="W18" s="96">
        <f t="shared" si="3"/>
        <v>0</v>
      </c>
    </row>
    <row r="19" spans="1:23" x14ac:dyDescent="0.25">
      <c r="A19" s="12"/>
      <c r="B19" s="12"/>
      <c r="C19" s="87" t="str" cm="1">
        <f t="array" ref="C19">IFERROR(INDEX(Tb_KostenOpties[],MATCH(B19,Tb_KostenOptiesDB[KostenOptie],0),IFERROR(MATCH(Methode_Keuze,Tb_KostenOptiesDB[#Headers],0),2)),"")</f>
        <v/>
      </c>
      <c r="D19" s="99">
        <f>IFERROR(INDEX(Tb_ProjectKosten[],MATCH($B19,Tb_ProjectKosten[Begroting],0),6),0)</f>
        <v>0</v>
      </c>
      <c r="E19" s="97">
        <f>SUMIFS('8. Uitgaven betaalverzoek'!$W:$W,'8. Uitgaven betaalverzoek'!$E:$E,$A19,'8. Uitgaven betaalverzoek'!$F:$F,$B19)</f>
        <v>0</v>
      </c>
      <c r="F19" s="97">
        <f>SUMIFS('8. Uitgaven betaalverzoek'!$X:$X,'8. Uitgaven betaalverzoek'!$E:$E,$A19,'8. Uitgaven betaalverzoek'!$F:$F,$B19)</f>
        <v>0</v>
      </c>
      <c r="G19" s="97" t="str">
        <f>IF(C19&lt;&gt;"",SUMIFS('8. Uitgaven betaalverzoek'!$Z:$Z,'8. Uitgaven betaalverzoek'!$E:$E,$A19,'8. Uitgaven betaalverzoek'!$F:$F,$B19),"")</f>
        <v/>
      </c>
      <c r="H19" s="97" t="str">
        <f>IF(C19&lt;&gt;"",SUMIFS('8. Uitgaven betaalverzoek'!$AA:$AA,'8. Uitgaven betaalverzoek'!$E:$E,$A19,'8. Uitgaven betaalverzoek'!$F:$F,$B19),"")</f>
        <v/>
      </c>
      <c r="I19" s="99" t="str">
        <f>IFERROR(VLOOKUP(A19,Lijsten!$AK:$AL,2,0),"")</f>
        <v/>
      </c>
      <c r="J19" s="97">
        <f t="shared" si="4"/>
        <v>0</v>
      </c>
      <c r="K19" s="97">
        <f t="shared" si="1"/>
        <v>0</v>
      </c>
      <c r="L19" s="97">
        <f>SUMIFS('8. Uitgaven betaalverzoek'!$W:$W,'8. Uitgaven betaalverzoek'!$E:$E,$A19,'8. Uitgaven betaalverzoek'!$F:$F,$B19,'8. Uitgaven betaalverzoek'!$A:$A,Keuze_DB_Nr)</f>
        <v>0</v>
      </c>
      <c r="M19" s="97">
        <f>SUMIFS('8. Uitgaven betaalverzoek'!$X:$X,'8. Uitgaven betaalverzoek'!$E:$E,$A19,'8. Uitgaven betaalverzoek'!$F:$F,$B19,'8. Uitgaven betaalverzoek'!$A:$A,Keuze_DB_Nr)</f>
        <v>0</v>
      </c>
      <c r="N19" s="97" t="str">
        <f>IF($C19&lt;&gt;"",SUMIFS('8. Uitgaven betaalverzoek'!$Z:$Z,'8. Uitgaven betaalverzoek'!$E:$E,$A19,'8. Uitgaven betaalverzoek'!$F:$F,$B19,'8. Uitgaven betaalverzoek'!$A:$A,Keuze_DB_Nr),"")</f>
        <v/>
      </c>
      <c r="O19" s="97" t="str">
        <f>IF($C19&lt;&gt;"",SUMIFS('8. Uitgaven betaalverzoek'!$AA:$AA,'8. Uitgaven betaalverzoek'!$E:$E,$A19,'8. Uitgaven betaalverzoek'!$F:$F,$B19,'8. Uitgaven betaalverzoek'!$A:$A,Keuze_DB_Nr),"")</f>
        <v/>
      </c>
      <c r="P19" s="97">
        <f t="shared" si="5"/>
        <v>0</v>
      </c>
      <c r="Q19" s="97">
        <f t="shared" si="6"/>
        <v>0</v>
      </c>
      <c r="R19" s="97">
        <f>SUMIFS('8. Uitgaven betaalverzoek'!$W:$W,'8. Uitgaven betaalverzoek'!$E:$E,$A19,'8. Uitgaven betaalverzoek'!$F:$F,$B19,'8. Uitgaven betaalverzoek'!$A:$A,Keuze_DB_Nr_BEO)</f>
        <v>0</v>
      </c>
      <c r="S19" s="97">
        <f>SUMIFS('8. Uitgaven betaalverzoek'!$X:$X,'8. Uitgaven betaalverzoek'!$E:$E,$A19,'8. Uitgaven betaalverzoek'!$F:$F,$B19,'8. Uitgaven betaalverzoek'!$A:$A,Keuze_DB_Nr_BEO)</f>
        <v>0</v>
      </c>
      <c r="T19" s="97" t="str">
        <f>IF($C19&lt;&gt;"",SUMIFS('8. Uitgaven betaalverzoek'!$Z:$Z,'8. Uitgaven betaalverzoek'!$E:$E,$A19,'8. Uitgaven betaalverzoek'!$F:$F,$B19,'8. Uitgaven betaalverzoek'!$A:$A,Keuze_DB_Nr_BEO),"")</f>
        <v/>
      </c>
      <c r="U19" s="97" t="str">
        <f>IF($C19&lt;&gt;"",SUMIFS('8. Uitgaven betaalverzoek'!$AA:$AA,'8. Uitgaven betaalverzoek'!$E:$E,$A19,'8. Uitgaven betaalverzoek'!$F:$F,$B19,'8. Uitgaven betaalverzoek'!$A:$A,Keuze_DB_Nr_BEO),"")</f>
        <v/>
      </c>
      <c r="V19" s="97">
        <f t="shared" si="2"/>
        <v>0</v>
      </c>
      <c r="W19" s="97">
        <f t="shared" si="3"/>
        <v>0</v>
      </c>
    </row>
    <row r="20" spans="1:23" x14ac:dyDescent="0.25">
      <c r="A20" s="63"/>
      <c r="B20" s="63"/>
      <c r="C20" s="86" t="str" cm="1">
        <f t="array" ref="C20">IFERROR(INDEX(Tb_KostenOpties[],MATCH(B20,Tb_KostenOptiesDB[KostenOptie],0),IFERROR(MATCH(Methode_Keuze,Tb_KostenOptiesDB[#Headers],0),2)),"")</f>
        <v/>
      </c>
      <c r="D20" s="98">
        <f>IFERROR(INDEX(Tb_ProjectKosten[],MATCH($B20,Tb_ProjectKosten[Begroting],0),6),0)</f>
        <v>0</v>
      </c>
      <c r="E20" s="96">
        <f>SUMIFS('8. Uitgaven betaalverzoek'!$W:$W,'8. Uitgaven betaalverzoek'!$E:$E,$A20,'8. Uitgaven betaalverzoek'!$F:$F,$B20)</f>
        <v>0</v>
      </c>
      <c r="F20" s="96">
        <f>SUMIFS('8. Uitgaven betaalverzoek'!$X:$X,'8. Uitgaven betaalverzoek'!$E:$E,$A20,'8. Uitgaven betaalverzoek'!$F:$F,$B20)</f>
        <v>0</v>
      </c>
      <c r="G20" s="96" t="str">
        <f>IF(C20&lt;&gt;"",SUMIFS('8. Uitgaven betaalverzoek'!$Z:$Z,'8. Uitgaven betaalverzoek'!$E:$E,$A20,'8. Uitgaven betaalverzoek'!$F:$F,$B20),"")</f>
        <v/>
      </c>
      <c r="H20" s="96" t="str">
        <f>IF(C20&lt;&gt;"",SUMIFS('8. Uitgaven betaalverzoek'!$AA:$AA,'8. Uitgaven betaalverzoek'!$E:$E,$A20,'8. Uitgaven betaalverzoek'!$F:$F,$B20),"")</f>
        <v/>
      </c>
      <c r="I20" s="98" t="str">
        <f>IFERROR(VLOOKUP(A20,Lijsten!$AK:$AL,2,0),"")</f>
        <v/>
      </c>
      <c r="J20" s="96">
        <f t="shared" si="4"/>
        <v>0</v>
      </c>
      <c r="K20" s="96">
        <f t="shared" si="1"/>
        <v>0</v>
      </c>
      <c r="L20" s="96">
        <f>SUMIFS('8. Uitgaven betaalverzoek'!$W:$W,'8. Uitgaven betaalverzoek'!$E:$E,$A20,'8. Uitgaven betaalverzoek'!$F:$F,$B20,'8. Uitgaven betaalverzoek'!$A:$A,Keuze_DB_Nr)</f>
        <v>0</v>
      </c>
      <c r="M20" s="96">
        <f>SUMIFS('8. Uitgaven betaalverzoek'!$X:$X,'8. Uitgaven betaalverzoek'!$E:$E,$A20,'8. Uitgaven betaalverzoek'!$F:$F,$B20,'8. Uitgaven betaalverzoek'!$A:$A,Keuze_DB_Nr)</f>
        <v>0</v>
      </c>
      <c r="N20" s="96" t="str">
        <f>IF($C20&lt;&gt;"",SUMIFS('8. Uitgaven betaalverzoek'!$Z:$Z,'8. Uitgaven betaalverzoek'!$E:$E,$A20,'8. Uitgaven betaalverzoek'!$F:$F,$B20,'8. Uitgaven betaalverzoek'!$A:$A,Keuze_DB_Nr),"")</f>
        <v/>
      </c>
      <c r="O20" s="96" t="str">
        <f>IF($C20&lt;&gt;"",SUMIFS('8. Uitgaven betaalverzoek'!$AA:$AA,'8. Uitgaven betaalverzoek'!$E:$E,$A20,'8. Uitgaven betaalverzoek'!$F:$F,$B20,'8. Uitgaven betaalverzoek'!$A:$A,Keuze_DB_Nr),"")</f>
        <v/>
      </c>
      <c r="P20" s="96">
        <f t="shared" si="5"/>
        <v>0</v>
      </c>
      <c r="Q20" s="96">
        <f t="shared" si="6"/>
        <v>0</v>
      </c>
      <c r="R20" s="96">
        <f>SUMIFS('8. Uitgaven betaalverzoek'!$W:$W,'8. Uitgaven betaalverzoek'!$E:$E,$A20,'8. Uitgaven betaalverzoek'!$F:$F,$B20,'8. Uitgaven betaalverzoek'!$A:$A,Keuze_DB_Nr_BEO)</f>
        <v>0</v>
      </c>
      <c r="S20" s="96">
        <f>SUMIFS('8. Uitgaven betaalverzoek'!$X:$X,'8. Uitgaven betaalverzoek'!$E:$E,$A20,'8. Uitgaven betaalverzoek'!$F:$F,$B20,'8. Uitgaven betaalverzoek'!$A:$A,Keuze_DB_Nr_BEO)</f>
        <v>0</v>
      </c>
      <c r="T20" s="96" t="str">
        <f>IF($C20&lt;&gt;"",SUMIFS('8. Uitgaven betaalverzoek'!$Z:$Z,'8. Uitgaven betaalverzoek'!$E:$E,$A20,'8. Uitgaven betaalverzoek'!$F:$F,$B20,'8. Uitgaven betaalverzoek'!$A:$A,Keuze_DB_Nr_BEO),"")</f>
        <v/>
      </c>
      <c r="U20" s="96" t="str">
        <f>IF($C20&lt;&gt;"",SUMIFS('8. Uitgaven betaalverzoek'!$AA:$AA,'8. Uitgaven betaalverzoek'!$E:$E,$A20,'8. Uitgaven betaalverzoek'!$F:$F,$B20,'8. Uitgaven betaalverzoek'!$A:$A,Keuze_DB_Nr_BEO),"")</f>
        <v/>
      </c>
      <c r="V20" s="96">
        <f t="shared" si="2"/>
        <v>0</v>
      </c>
      <c r="W20" s="96">
        <f t="shared" si="3"/>
        <v>0</v>
      </c>
    </row>
    <row r="21" spans="1:23" x14ac:dyDescent="0.25">
      <c r="A21" s="12"/>
      <c r="B21" s="12"/>
      <c r="C21" s="87" t="str" cm="1">
        <f t="array" ref="C21">IFERROR(INDEX(Tb_KostenOpties[],MATCH(B21,Tb_KostenOptiesDB[KostenOptie],0),IFERROR(MATCH(Methode_Keuze,Tb_KostenOptiesDB[#Headers],0),2)),"")</f>
        <v/>
      </c>
      <c r="D21" s="99">
        <f>IFERROR(INDEX(Tb_ProjectKosten[],MATCH($B21,Tb_ProjectKosten[Begroting],0),6),0)</f>
        <v>0</v>
      </c>
      <c r="E21" s="97">
        <f>SUMIFS('8. Uitgaven betaalverzoek'!$W:$W,'8. Uitgaven betaalverzoek'!$E:$E,$A21,'8. Uitgaven betaalverzoek'!$F:$F,$B21)</f>
        <v>0</v>
      </c>
      <c r="F21" s="97">
        <f>SUMIFS('8. Uitgaven betaalverzoek'!$X:$X,'8. Uitgaven betaalverzoek'!$E:$E,$A21,'8. Uitgaven betaalverzoek'!$F:$F,$B21)</f>
        <v>0</v>
      </c>
      <c r="G21" s="97" t="str">
        <f>IF(C21&lt;&gt;"",SUMIFS('8. Uitgaven betaalverzoek'!$Z:$Z,'8. Uitgaven betaalverzoek'!$E:$E,$A21,'8. Uitgaven betaalverzoek'!$F:$F,$B21),"")</f>
        <v/>
      </c>
      <c r="H21" s="97" t="str">
        <f>IF(C21&lt;&gt;"",SUMIFS('8. Uitgaven betaalverzoek'!$AA:$AA,'8. Uitgaven betaalverzoek'!$E:$E,$A21,'8. Uitgaven betaalverzoek'!$F:$F,$B21),"")</f>
        <v/>
      </c>
      <c r="I21" s="99" t="str">
        <f>IFERROR(VLOOKUP(A21,Lijsten!$AK:$AL,2,0),"")</f>
        <v/>
      </c>
      <c r="J21" s="97">
        <f t="shared" si="4"/>
        <v>0</v>
      </c>
      <c r="K21" s="97">
        <f t="shared" si="1"/>
        <v>0</v>
      </c>
      <c r="L21" s="97">
        <f>SUMIFS('8. Uitgaven betaalverzoek'!$W:$W,'8. Uitgaven betaalverzoek'!$E:$E,$A21,'8. Uitgaven betaalverzoek'!$F:$F,$B21,'8. Uitgaven betaalverzoek'!$A:$A,Keuze_DB_Nr)</f>
        <v>0</v>
      </c>
      <c r="M21" s="97">
        <f>SUMIFS('8. Uitgaven betaalverzoek'!$X:$X,'8. Uitgaven betaalverzoek'!$E:$E,$A21,'8. Uitgaven betaalverzoek'!$F:$F,$B21,'8. Uitgaven betaalverzoek'!$A:$A,Keuze_DB_Nr)</f>
        <v>0</v>
      </c>
      <c r="N21" s="97" t="str">
        <f>IF($C21&lt;&gt;"",SUMIFS('8. Uitgaven betaalverzoek'!$Z:$Z,'8. Uitgaven betaalverzoek'!$E:$E,$A21,'8. Uitgaven betaalverzoek'!$F:$F,$B21,'8. Uitgaven betaalverzoek'!$A:$A,Keuze_DB_Nr),"")</f>
        <v/>
      </c>
      <c r="O21" s="97" t="str">
        <f>IF($C21&lt;&gt;"",SUMIFS('8. Uitgaven betaalverzoek'!$AA:$AA,'8. Uitgaven betaalverzoek'!$E:$E,$A21,'8. Uitgaven betaalverzoek'!$F:$F,$B21,'8. Uitgaven betaalverzoek'!$A:$A,Keuze_DB_Nr),"")</f>
        <v/>
      </c>
      <c r="P21" s="97">
        <f t="shared" si="5"/>
        <v>0</v>
      </c>
      <c r="Q21" s="97">
        <f t="shared" si="6"/>
        <v>0</v>
      </c>
      <c r="R21" s="97">
        <f>SUMIFS('8. Uitgaven betaalverzoek'!$W:$W,'8. Uitgaven betaalverzoek'!$E:$E,$A21,'8. Uitgaven betaalverzoek'!$F:$F,$B21,'8. Uitgaven betaalverzoek'!$A:$A,Keuze_DB_Nr_BEO)</f>
        <v>0</v>
      </c>
      <c r="S21" s="97">
        <f>SUMIFS('8. Uitgaven betaalverzoek'!$X:$X,'8. Uitgaven betaalverzoek'!$E:$E,$A21,'8. Uitgaven betaalverzoek'!$F:$F,$B21,'8. Uitgaven betaalverzoek'!$A:$A,Keuze_DB_Nr_BEO)</f>
        <v>0</v>
      </c>
      <c r="T21" s="97" t="str">
        <f>IF($C21&lt;&gt;"",SUMIFS('8. Uitgaven betaalverzoek'!$Z:$Z,'8. Uitgaven betaalverzoek'!$E:$E,$A21,'8. Uitgaven betaalverzoek'!$F:$F,$B21,'8. Uitgaven betaalverzoek'!$A:$A,Keuze_DB_Nr_BEO),"")</f>
        <v/>
      </c>
      <c r="U21" s="97" t="str">
        <f>IF($C21&lt;&gt;"",SUMIFS('8. Uitgaven betaalverzoek'!$AA:$AA,'8. Uitgaven betaalverzoek'!$E:$E,$A21,'8. Uitgaven betaalverzoek'!$F:$F,$B21,'8. Uitgaven betaalverzoek'!$A:$A,Keuze_DB_Nr_BEO),"")</f>
        <v/>
      </c>
      <c r="V21" s="97">
        <f t="shared" si="2"/>
        <v>0</v>
      </c>
      <c r="W21" s="97">
        <f t="shared" si="3"/>
        <v>0</v>
      </c>
    </row>
    <row r="22" spans="1:23" x14ac:dyDescent="0.25">
      <c r="A22" s="63"/>
      <c r="B22" s="63"/>
      <c r="C22" s="86" t="str" cm="1">
        <f t="array" ref="C22">IFERROR(INDEX(Tb_KostenOpties[],MATCH(B22,Tb_KostenOptiesDB[KostenOptie],0),IFERROR(MATCH(Methode_Keuze,Tb_KostenOptiesDB[#Headers],0),2)),"")</f>
        <v/>
      </c>
      <c r="D22" s="98">
        <f>IFERROR(INDEX(Tb_ProjectKosten[],MATCH($B22,Tb_ProjectKosten[Begroting],0),6),0)</f>
        <v>0</v>
      </c>
      <c r="E22" s="96">
        <f>SUMIFS('8. Uitgaven betaalverzoek'!$W:$W,'8. Uitgaven betaalverzoek'!$E:$E,$A22,'8. Uitgaven betaalverzoek'!$F:$F,$B22)</f>
        <v>0</v>
      </c>
      <c r="F22" s="96">
        <f>SUMIFS('8. Uitgaven betaalverzoek'!$X:$X,'8. Uitgaven betaalverzoek'!$E:$E,$A22,'8. Uitgaven betaalverzoek'!$F:$F,$B22)</f>
        <v>0</v>
      </c>
      <c r="G22" s="96" t="str">
        <f>IF(C22&lt;&gt;"",SUMIFS('8. Uitgaven betaalverzoek'!$Z:$Z,'8. Uitgaven betaalverzoek'!$E:$E,$A22,'8. Uitgaven betaalverzoek'!$F:$F,$B22),"")</f>
        <v/>
      </c>
      <c r="H22" s="96" t="str">
        <f>IF(C22&lt;&gt;"",SUMIFS('8. Uitgaven betaalverzoek'!$AA:$AA,'8. Uitgaven betaalverzoek'!$E:$E,$A22,'8. Uitgaven betaalverzoek'!$F:$F,$B22),"")</f>
        <v/>
      </c>
      <c r="I22" s="98" t="str">
        <f>IFERROR(VLOOKUP(A22,Lijsten!$AK:$AL,2,0),"")</f>
        <v/>
      </c>
      <c r="J22" s="96">
        <f t="shared" si="4"/>
        <v>0</v>
      </c>
      <c r="K22" s="96">
        <f t="shared" si="1"/>
        <v>0</v>
      </c>
      <c r="L22" s="96">
        <f>SUMIFS('8. Uitgaven betaalverzoek'!$W:$W,'8. Uitgaven betaalverzoek'!$E:$E,$A22,'8. Uitgaven betaalverzoek'!$F:$F,$B22,'8. Uitgaven betaalverzoek'!$A:$A,Keuze_DB_Nr)</f>
        <v>0</v>
      </c>
      <c r="M22" s="96">
        <f>SUMIFS('8. Uitgaven betaalverzoek'!$X:$X,'8. Uitgaven betaalverzoek'!$E:$E,$A22,'8. Uitgaven betaalverzoek'!$F:$F,$B22,'8. Uitgaven betaalverzoek'!$A:$A,Keuze_DB_Nr)</f>
        <v>0</v>
      </c>
      <c r="N22" s="96" t="str">
        <f>IF($C22&lt;&gt;"",SUMIFS('8. Uitgaven betaalverzoek'!$Z:$Z,'8. Uitgaven betaalverzoek'!$E:$E,$A22,'8. Uitgaven betaalverzoek'!$F:$F,$B22,'8. Uitgaven betaalverzoek'!$A:$A,Keuze_DB_Nr),"")</f>
        <v/>
      </c>
      <c r="O22" s="96" t="str">
        <f>IF($C22&lt;&gt;"",SUMIFS('8. Uitgaven betaalverzoek'!$AA:$AA,'8. Uitgaven betaalverzoek'!$E:$E,$A22,'8. Uitgaven betaalverzoek'!$F:$F,$B22,'8. Uitgaven betaalverzoek'!$A:$A,Keuze_DB_Nr),"")</f>
        <v/>
      </c>
      <c r="P22" s="96">
        <f t="shared" si="5"/>
        <v>0</v>
      </c>
      <c r="Q22" s="96">
        <f t="shared" si="6"/>
        <v>0</v>
      </c>
      <c r="R22" s="96">
        <f>SUMIFS('8. Uitgaven betaalverzoek'!$W:$W,'8. Uitgaven betaalverzoek'!$E:$E,$A22,'8. Uitgaven betaalverzoek'!$F:$F,$B22,'8. Uitgaven betaalverzoek'!$A:$A,Keuze_DB_Nr_BEO)</f>
        <v>0</v>
      </c>
      <c r="S22" s="96">
        <f>SUMIFS('8. Uitgaven betaalverzoek'!$X:$X,'8. Uitgaven betaalverzoek'!$E:$E,$A22,'8. Uitgaven betaalverzoek'!$F:$F,$B22,'8. Uitgaven betaalverzoek'!$A:$A,Keuze_DB_Nr_BEO)</f>
        <v>0</v>
      </c>
      <c r="T22" s="96" t="str">
        <f>IF($C22&lt;&gt;"",SUMIFS('8. Uitgaven betaalverzoek'!$Z:$Z,'8. Uitgaven betaalverzoek'!$E:$E,$A22,'8. Uitgaven betaalverzoek'!$F:$F,$B22,'8. Uitgaven betaalverzoek'!$A:$A,Keuze_DB_Nr_BEO),"")</f>
        <v/>
      </c>
      <c r="U22" s="96" t="str">
        <f>IF($C22&lt;&gt;"",SUMIFS('8. Uitgaven betaalverzoek'!$AA:$AA,'8. Uitgaven betaalverzoek'!$E:$E,$A22,'8. Uitgaven betaalverzoek'!$F:$F,$B22,'8. Uitgaven betaalverzoek'!$A:$A,Keuze_DB_Nr_BEO),"")</f>
        <v/>
      </c>
      <c r="V22" s="96">
        <f t="shared" si="2"/>
        <v>0</v>
      </c>
      <c r="W22" s="96">
        <f t="shared" si="3"/>
        <v>0</v>
      </c>
    </row>
    <row r="23" spans="1:23" x14ac:dyDescent="0.25">
      <c r="A23" s="12"/>
      <c r="B23" s="12"/>
      <c r="C23" s="87" t="str" cm="1">
        <f t="array" ref="C23">IFERROR(INDEX(Tb_KostenOpties[],MATCH(B23,Tb_KostenOptiesDB[KostenOptie],0),IFERROR(MATCH(Methode_Keuze,Tb_KostenOptiesDB[#Headers],0),2)),"")</f>
        <v/>
      </c>
      <c r="D23" s="99">
        <f>IFERROR(INDEX(Tb_ProjectKosten[],MATCH($B23,Tb_ProjectKosten[Begroting],0),6),0)</f>
        <v>0</v>
      </c>
      <c r="E23" s="97">
        <f>SUMIFS('8. Uitgaven betaalverzoek'!$W:$W,'8. Uitgaven betaalverzoek'!$E:$E,$A23,'8. Uitgaven betaalverzoek'!$F:$F,$B23)</f>
        <v>0</v>
      </c>
      <c r="F23" s="97">
        <f>SUMIFS('8. Uitgaven betaalverzoek'!$X:$X,'8. Uitgaven betaalverzoek'!$E:$E,$A23,'8. Uitgaven betaalverzoek'!$F:$F,$B23)</f>
        <v>0</v>
      </c>
      <c r="G23" s="97" t="str">
        <f>IF(C23&lt;&gt;"",SUMIFS('8. Uitgaven betaalverzoek'!$Z:$Z,'8. Uitgaven betaalverzoek'!$E:$E,$A23,'8. Uitgaven betaalverzoek'!$F:$F,$B23),"")</f>
        <v/>
      </c>
      <c r="H23" s="97" t="str">
        <f>IF(C23&lt;&gt;"",SUMIFS('8. Uitgaven betaalverzoek'!$AA:$AA,'8. Uitgaven betaalverzoek'!$E:$E,$A23,'8. Uitgaven betaalverzoek'!$F:$F,$B23),"")</f>
        <v/>
      </c>
      <c r="I23" s="99" t="str">
        <f>IFERROR(VLOOKUP(A23,Lijsten!$AK:$AL,2,0),"")</f>
        <v/>
      </c>
      <c r="J23" s="97">
        <f t="shared" si="4"/>
        <v>0</v>
      </c>
      <c r="K23" s="97">
        <f t="shared" si="1"/>
        <v>0</v>
      </c>
      <c r="L23" s="97">
        <f>SUMIFS('8. Uitgaven betaalverzoek'!$W:$W,'8. Uitgaven betaalverzoek'!$E:$E,$A23,'8. Uitgaven betaalverzoek'!$F:$F,$B23,'8. Uitgaven betaalverzoek'!$A:$A,Keuze_DB_Nr)</f>
        <v>0</v>
      </c>
      <c r="M23" s="97">
        <f>SUMIFS('8. Uitgaven betaalverzoek'!$X:$X,'8. Uitgaven betaalverzoek'!$E:$E,$A23,'8. Uitgaven betaalverzoek'!$F:$F,$B23,'8. Uitgaven betaalverzoek'!$A:$A,Keuze_DB_Nr)</f>
        <v>0</v>
      </c>
      <c r="N23" s="97" t="str">
        <f>IF($C23&lt;&gt;"",SUMIFS('8. Uitgaven betaalverzoek'!$Z:$Z,'8. Uitgaven betaalverzoek'!$E:$E,$A23,'8. Uitgaven betaalverzoek'!$F:$F,$B23,'8. Uitgaven betaalverzoek'!$A:$A,Keuze_DB_Nr),"")</f>
        <v/>
      </c>
      <c r="O23" s="97" t="str">
        <f>IF($C23&lt;&gt;"",SUMIFS('8. Uitgaven betaalverzoek'!$AA:$AA,'8. Uitgaven betaalverzoek'!$E:$E,$A23,'8. Uitgaven betaalverzoek'!$F:$F,$B23,'8. Uitgaven betaalverzoek'!$A:$A,Keuze_DB_Nr),"")</f>
        <v/>
      </c>
      <c r="P23" s="97">
        <f t="shared" si="5"/>
        <v>0</v>
      </c>
      <c r="Q23" s="97">
        <f t="shared" si="6"/>
        <v>0</v>
      </c>
      <c r="R23" s="97">
        <f>SUMIFS('8. Uitgaven betaalverzoek'!$W:$W,'8. Uitgaven betaalverzoek'!$E:$E,$A23,'8. Uitgaven betaalverzoek'!$F:$F,$B23,'8. Uitgaven betaalverzoek'!$A:$A,Keuze_DB_Nr_BEO)</f>
        <v>0</v>
      </c>
      <c r="S23" s="97">
        <f>SUMIFS('8. Uitgaven betaalverzoek'!$X:$X,'8. Uitgaven betaalverzoek'!$E:$E,$A23,'8. Uitgaven betaalverzoek'!$F:$F,$B23,'8. Uitgaven betaalverzoek'!$A:$A,Keuze_DB_Nr_BEO)</f>
        <v>0</v>
      </c>
      <c r="T23" s="97" t="str">
        <f>IF($C23&lt;&gt;"",SUMIFS('8. Uitgaven betaalverzoek'!$Z:$Z,'8. Uitgaven betaalverzoek'!$E:$E,$A23,'8. Uitgaven betaalverzoek'!$F:$F,$B23,'8. Uitgaven betaalverzoek'!$A:$A,Keuze_DB_Nr_BEO),"")</f>
        <v/>
      </c>
      <c r="U23" s="97" t="str">
        <f>IF($C23&lt;&gt;"",SUMIFS('8. Uitgaven betaalverzoek'!$AA:$AA,'8. Uitgaven betaalverzoek'!$E:$E,$A23,'8. Uitgaven betaalverzoek'!$F:$F,$B23,'8. Uitgaven betaalverzoek'!$A:$A,Keuze_DB_Nr_BEO),"")</f>
        <v/>
      </c>
      <c r="V23" s="97">
        <f t="shared" si="2"/>
        <v>0</v>
      </c>
      <c r="W23" s="97">
        <f t="shared" si="3"/>
        <v>0</v>
      </c>
    </row>
    <row r="24" spans="1:23" x14ac:dyDescent="0.25">
      <c r="A24" s="63"/>
      <c r="B24" s="63"/>
      <c r="C24" s="86" t="str" cm="1">
        <f t="array" ref="C24">IFERROR(INDEX(Tb_KostenOpties[],MATCH(B24,Tb_KostenOptiesDB[KostenOptie],0),IFERROR(MATCH(Methode_Keuze,Tb_KostenOptiesDB[#Headers],0),2)),"")</f>
        <v/>
      </c>
      <c r="D24" s="98">
        <f>IFERROR(INDEX(Tb_ProjectKosten[],MATCH($B24,Tb_ProjectKosten[Begroting],0),6),0)</f>
        <v>0</v>
      </c>
      <c r="E24" s="96">
        <f>SUMIFS('8. Uitgaven betaalverzoek'!$W:$W,'8. Uitgaven betaalverzoek'!$E:$E,$A24,'8. Uitgaven betaalverzoek'!$F:$F,$B24)</f>
        <v>0</v>
      </c>
      <c r="F24" s="96">
        <f>SUMIFS('8. Uitgaven betaalverzoek'!$X:$X,'8. Uitgaven betaalverzoek'!$E:$E,$A24,'8. Uitgaven betaalverzoek'!$F:$F,$B24)</f>
        <v>0</v>
      </c>
      <c r="G24" s="96" t="str">
        <f>IF(C24&lt;&gt;"",SUMIFS('8. Uitgaven betaalverzoek'!$Z:$Z,'8. Uitgaven betaalverzoek'!$E:$E,$A24,'8. Uitgaven betaalverzoek'!$F:$F,$B24),"")</f>
        <v/>
      </c>
      <c r="H24" s="96" t="str">
        <f>IF(C24&lt;&gt;"",SUMIFS('8. Uitgaven betaalverzoek'!$AA:$AA,'8. Uitgaven betaalverzoek'!$E:$E,$A24,'8. Uitgaven betaalverzoek'!$F:$F,$B24),"")</f>
        <v/>
      </c>
      <c r="I24" s="98" t="str">
        <f>IFERROR(VLOOKUP(A24,Lijsten!$AK:$AL,2,0),"")</f>
        <v/>
      </c>
      <c r="J24" s="96">
        <f t="shared" si="4"/>
        <v>0</v>
      </c>
      <c r="K24" s="96">
        <f t="shared" si="1"/>
        <v>0</v>
      </c>
      <c r="L24" s="96">
        <f>SUMIFS('8. Uitgaven betaalverzoek'!$W:$W,'8. Uitgaven betaalverzoek'!$E:$E,$A24,'8. Uitgaven betaalverzoek'!$F:$F,$B24,'8. Uitgaven betaalverzoek'!$A:$A,Keuze_DB_Nr)</f>
        <v>0</v>
      </c>
      <c r="M24" s="96">
        <f>SUMIFS('8. Uitgaven betaalverzoek'!$X:$X,'8. Uitgaven betaalverzoek'!$E:$E,$A24,'8. Uitgaven betaalverzoek'!$F:$F,$B24,'8. Uitgaven betaalverzoek'!$A:$A,Keuze_DB_Nr)</f>
        <v>0</v>
      </c>
      <c r="N24" s="96" t="str">
        <f>IF($C24&lt;&gt;"",SUMIFS('8. Uitgaven betaalverzoek'!$Z:$Z,'8. Uitgaven betaalverzoek'!$E:$E,$A24,'8. Uitgaven betaalverzoek'!$F:$F,$B24,'8. Uitgaven betaalverzoek'!$A:$A,Keuze_DB_Nr),"")</f>
        <v/>
      </c>
      <c r="O24" s="96" t="str">
        <f>IF($C24&lt;&gt;"",SUMIFS('8. Uitgaven betaalverzoek'!$AA:$AA,'8. Uitgaven betaalverzoek'!$E:$E,$A24,'8. Uitgaven betaalverzoek'!$F:$F,$B24,'8. Uitgaven betaalverzoek'!$A:$A,Keuze_DB_Nr),"")</f>
        <v/>
      </c>
      <c r="P24" s="96">
        <f t="shared" si="5"/>
        <v>0</v>
      </c>
      <c r="Q24" s="96">
        <f t="shared" si="6"/>
        <v>0</v>
      </c>
      <c r="R24" s="96">
        <f>SUMIFS('8. Uitgaven betaalverzoek'!$W:$W,'8. Uitgaven betaalverzoek'!$E:$E,$A24,'8. Uitgaven betaalverzoek'!$F:$F,$B24,'8. Uitgaven betaalverzoek'!$A:$A,Keuze_DB_Nr_BEO)</f>
        <v>0</v>
      </c>
      <c r="S24" s="96">
        <f>SUMIFS('8. Uitgaven betaalverzoek'!$X:$X,'8. Uitgaven betaalverzoek'!$E:$E,$A24,'8. Uitgaven betaalverzoek'!$F:$F,$B24,'8. Uitgaven betaalverzoek'!$A:$A,Keuze_DB_Nr_BEO)</f>
        <v>0</v>
      </c>
      <c r="T24" s="96" t="str">
        <f>IF($C24&lt;&gt;"",SUMIFS('8. Uitgaven betaalverzoek'!$Z:$Z,'8. Uitgaven betaalverzoek'!$E:$E,$A24,'8. Uitgaven betaalverzoek'!$F:$F,$B24,'8. Uitgaven betaalverzoek'!$A:$A,Keuze_DB_Nr_BEO),"")</f>
        <v/>
      </c>
      <c r="U24" s="96" t="str">
        <f>IF($C24&lt;&gt;"",SUMIFS('8. Uitgaven betaalverzoek'!$AA:$AA,'8. Uitgaven betaalverzoek'!$E:$E,$A24,'8. Uitgaven betaalverzoek'!$F:$F,$B24,'8. Uitgaven betaalverzoek'!$A:$A,Keuze_DB_Nr_BEO),"")</f>
        <v/>
      </c>
      <c r="V24" s="96">
        <f t="shared" si="2"/>
        <v>0</v>
      </c>
      <c r="W24" s="96">
        <f t="shared" si="3"/>
        <v>0</v>
      </c>
    </row>
    <row r="25" spans="1:23" x14ac:dyDescent="0.25">
      <c r="A25" s="12"/>
      <c r="B25" s="12"/>
      <c r="C25" s="87" t="str" cm="1">
        <f t="array" ref="C25">IFERROR(INDEX(Tb_KostenOpties[],MATCH(B25,Tb_KostenOptiesDB[KostenOptie],0),IFERROR(MATCH(Methode_Keuze,Tb_KostenOptiesDB[#Headers],0),2)),"")</f>
        <v/>
      </c>
      <c r="D25" s="99">
        <f>IFERROR(INDEX(Tb_ProjectKosten[],MATCH($B25,Tb_ProjectKosten[Begroting],0),6),0)</f>
        <v>0</v>
      </c>
      <c r="E25" s="97">
        <f>SUMIFS('8. Uitgaven betaalverzoek'!$W:$W,'8. Uitgaven betaalverzoek'!$E:$E,$A25,'8. Uitgaven betaalverzoek'!$F:$F,$B25)</f>
        <v>0</v>
      </c>
      <c r="F25" s="97">
        <f>SUMIFS('8. Uitgaven betaalverzoek'!$X:$X,'8. Uitgaven betaalverzoek'!$E:$E,$A25,'8. Uitgaven betaalverzoek'!$F:$F,$B25)</f>
        <v>0</v>
      </c>
      <c r="G25" s="97" t="str">
        <f>IF(C25&lt;&gt;"",SUMIFS('8. Uitgaven betaalverzoek'!$Z:$Z,'8. Uitgaven betaalverzoek'!$E:$E,$A25,'8. Uitgaven betaalverzoek'!$F:$F,$B25),"")</f>
        <v/>
      </c>
      <c r="H25" s="97" t="str">
        <f>IF(C25&lt;&gt;"",SUMIFS('8. Uitgaven betaalverzoek'!$AA:$AA,'8. Uitgaven betaalverzoek'!$E:$E,$A25,'8. Uitgaven betaalverzoek'!$F:$F,$B25),"")</f>
        <v/>
      </c>
      <c r="I25" s="99" t="str">
        <f>IFERROR(VLOOKUP(A25,Lijsten!$AK:$AL,2,0),"")</f>
        <v/>
      </c>
      <c r="J25" s="97">
        <f t="shared" si="4"/>
        <v>0</v>
      </c>
      <c r="K25" s="97">
        <f t="shared" si="1"/>
        <v>0</v>
      </c>
      <c r="L25" s="97">
        <f>SUMIFS('8. Uitgaven betaalverzoek'!$W:$W,'8. Uitgaven betaalverzoek'!$E:$E,$A25,'8. Uitgaven betaalverzoek'!$F:$F,$B25,'8. Uitgaven betaalverzoek'!$A:$A,Keuze_DB_Nr)</f>
        <v>0</v>
      </c>
      <c r="M25" s="97">
        <f>SUMIFS('8. Uitgaven betaalverzoek'!$X:$X,'8. Uitgaven betaalverzoek'!$E:$E,$A25,'8. Uitgaven betaalverzoek'!$F:$F,$B25,'8. Uitgaven betaalverzoek'!$A:$A,Keuze_DB_Nr)</f>
        <v>0</v>
      </c>
      <c r="N25" s="97" t="str">
        <f>IF($C25&lt;&gt;"",SUMIFS('8. Uitgaven betaalverzoek'!$Z:$Z,'8. Uitgaven betaalverzoek'!$E:$E,$A25,'8. Uitgaven betaalverzoek'!$F:$F,$B25,'8. Uitgaven betaalverzoek'!$A:$A,Keuze_DB_Nr),"")</f>
        <v/>
      </c>
      <c r="O25" s="97" t="str">
        <f>IF($C25&lt;&gt;"",SUMIFS('8. Uitgaven betaalverzoek'!$AA:$AA,'8. Uitgaven betaalverzoek'!$E:$E,$A25,'8. Uitgaven betaalverzoek'!$F:$F,$B25,'8. Uitgaven betaalverzoek'!$A:$A,Keuze_DB_Nr),"")</f>
        <v/>
      </c>
      <c r="P25" s="97">
        <f t="shared" si="5"/>
        <v>0</v>
      </c>
      <c r="Q25" s="97">
        <f t="shared" si="6"/>
        <v>0</v>
      </c>
      <c r="R25" s="97">
        <f>SUMIFS('8. Uitgaven betaalverzoek'!$W:$W,'8. Uitgaven betaalverzoek'!$E:$E,$A25,'8. Uitgaven betaalverzoek'!$F:$F,$B25,'8. Uitgaven betaalverzoek'!$A:$A,Keuze_DB_Nr_BEO)</f>
        <v>0</v>
      </c>
      <c r="S25" s="97">
        <f>SUMIFS('8. Uitgaven betaalverzoek'!$X:$X,'8. Uitgaven betaalverzoek'!$E:$E,$A25,'8. Uitgaven betaalverzoek'!$F:$F,$B25,'8. Uitgaven betaalverzoek'!$A:$A,Keuze_DB_Nr_BEO)</f>
        <v>0</v>
      </c>
      <c r="T25" s="97" t="str">
        <f>IF($C25&lt;&gt;"",SUMIFS('8. Uitgaven betaalverzoek'!$Z:$Z,'8. Uitgaven betaalverzoek'!$E:$E,$A25,'8. Uitgaven betaalverzoek'!$F:$F,$B25,'8. Uitgaven betaalverzoek'!$A:$A,Keuze_DB_Nr_BEO),"")</f>
        <v/>
      </c>
      <c r="U25" s="97" t="str">
        <f>IF($C25&lt;&gt;"",SUMIFS('8. Uitgaven betaalverzoek'!$AA:$AA,'8. Uitgaven betaalverzoek'!$E:$E,$A25,'8. Uitgaven betaalverzoek'!$F:$F,$B25,'8. Uitgaven betaalverzoek'!$A:$A,Keuze_DB_Nr_BEO),"")</f>
        <v/>
      </c>
      <c r="V25" s="97">
        <f t="shared" si="2"/>
        <v>0</v>
      </c>
      <c r="W25" s="97">
        <f t="shared" si="3"/>
        <v>0</v>
      </c>
    </row>
    <row r="26" spans="1:23" x14ac:dyDescent="0.25">
      <c r="A26" s="63"/>
      <c r="B26" s="63"/>
      <c r="C26" s="86" t="str" cm="1">
        <f t="array" ref="C26">IFERROR(INDEX(Tb_KostenOpties[],MATCH(B26,Tb_KostenOptiesDB[KostenOptie],0),IFERROR(MATCH(Methode_Keuze,Tb_KostenOptiesDB[#Headers],0),2)),"")</f>
        <v/>
      </c>
      <c r="D26" s="98">
        <f>IFERROR(INDEX(Tb_ProjectKosten[],MATCH($B26,Tb_ProjectKosten[Begroting],0),6),0)</f>
        <v>0</v>
      </c>
      <c r="E26" s="96">
        <f>SUMIFS('8. Uitgaven betaalverzoek'!$W:$W,'8. Uitgaven betaalverzoek'!$E:$E,$A26,'8. Uitgaven betaalverzoek'!$F:$F,$B26)</f>
        <v>0</v>
      </c>
      <c r="F26" s="96">
        <f>SUMIFS('8. Uitgaven betaalverzoek'!$X:$X,'8. Uitgaven betaalverzoek'!$E:$E,$A26,'8. Uitgaven betaalverzoek'!$F:$F,$B26)</f>
        <v>0</v>
      </c>
      <c r="G26" s="96" t="str">
        <f>IF(C26&lt;&gt;"",SUMIFS('8. Uitgaven betaalverzoek'!$Z:$Z,'8. Uitgaven betaalverzoek'!$E:$E,$A26,'8. Uitgaven betaalverzoek'!$F:$F,$B26),"")</f>
        <v/>
      </c>
      <c r="H26" s="96" t="str">
        <f>IF(C26&lt;&gt;"",SUMIFS('8. Uitgaven betaalverzoek'!$AA:$AA,'8. Uitgaven betaalverzoek'!$E:$E,$A26,'8. Uitgaven betaalverzoek'!$F:$F,$B26),"")</f>
        <v/>
      </c>
      <c r="I26" s="98" t="str">
        <f>IFERROR(VLOOKUP(A26,Lijsten!$AK:$AL,2,0),"")</f>
        <v/>
      </c>
      <c r="J26" s="96">
        <f t="shared" si="4"/>
        <v>0</v>
      </c>
      <c r="K26" s="96">
        <f t="shared" si="1"/>
        <v>0</v>
      </c>
      <c r="L26" s="96">
        <f>SUMIFS('8. Uitgaven betaalverzoek'!$W:$W,'8. Uitgaven betaalverzoek'!$E:$E,$A26,'8. Uitgaven betaalverzoek'!$F:$F,$B26,'8. Uitgaven betaalverzoek'!$A:$A,Keuze_DB_Nr)</f>
        <v>0</v>
      </c>
      <c r="M26" s="96">
        <f>SUMIFS('8. Uitgaven betaalverzoek'!$X:$X,'8. Uitgaven betaalverzoek'!$E:$E,$A26,'8. Uitgaven betaalverzoek'!$F:$F,$B26,'8. Uitgaven betaalverzoek'!$A:$A,Keuze_DB_Nr)</f>
        <v>0</v>
      </c>
      <c r="N26" s="96" t="str">
        <f>IF($C26&lt;&gt;"",SUMIFS('8. Uitgaven betaalverzoek'!$Z:$Z,'8. Uitgaven betaalverzoek'!$E:$E,$A26,'8. Uitgaven betaalverzoek'!$F:$F,$B26,'8. Uitgaven betaalverzoek'!$A:$A,Keuze_DB_Nr),"")</f>
        <v/>
      </c>
      <c r="O26" s="96" t="str">
        <f>IF($C26&lt;&gt;"",SUMIFS('8. Uitgaven betaalverzoek'!$AA:$AA,'8. Uitgaven betaalverzoek'!$E:$E,$A26,'8. Uitgaven betaalverzoek'!$F:$F,$B26,'8. Uitgaven betaalverzoek'!$A:$A,Keuze_DB_Nr),"")</f>
        <v/>
      </c>
      <c r="P26" s="96">
        <f t="shared" si="5"/>
        <v>0</v>
      </c>
      <c r="Q26" s="96">
        <f t="shared" si="6"/>
        <v>0</v>
      </c>
      <c r="R26" s="96">
        <f>SUMIFS('8. Uitgaven betaalverzoek'!$W:$W,'8. Uitgaven betaalverzoek'!$E:$E,$A26,'8. Uitgaven betaalverzoek'!$F:$F,$B26,'8. Uitgaven betaalverzoek'!$A:$A,Keuze_DB_Nr_BEO)</f>
        <v>0</v>
      </c>
      <c r="S26" s="96">
        <f>SUMIFS('8. Uitgaven betaalverzoek'!$X:$X,'8. Uitgaven betaalverzoek'!$E:$E,$A26,'8. Uitgaven betaalverzoek'!$F:$F,$B26,'8. Uitgaven betaalverzoek'!$A:$A,Keuze_DB_Nr_BEO)</f>
        <v>0</v>
      </c>
      <c r="T26" s="96" t="str">
        <f>IF($C26&lt;&gt;"",SUMIFS('8. Uitgaven betaalverzoek'!$Z:$Z,'8. Uitgaven betaalverzoek'!$E:$E,$A26,'8. Uitgaven betaalverzoek'!$F:$F,$B26,'8. Uitgaven betaalverzoek'!$A:$A,Keuze_DB_Nr_BEO),"")</f>
        <v/>
      </c>
      <c r="U26" s="96" t="str">
        <f>IF($C26&lt;&gt;"",SUMIFS('8. Uitgaven betaalverzoek'!$AA:$AA,'8. Uitgaven betaalverzoek'!$E:$E,$A26,'8. Uitgaven betaalverzoek'!$F:$F,$B26,'8. Uitgaven betaalverzoek'!$A:$A,Keuze_DB_Nr_BEO),"")</f>
        <v/>
      </c>
      <c r="V26" s="96">
        <f t="shared" si="2"/>
        <v>0</v>
      </c>
      <c r="W26" s="96">
        <f t="shared" si="3"/>
        <v>0</v>
      </c>
    </row>
    <row r="27" spans="1:23" x14ac:dyDescent="0.25">
      <c r="A27" s="12"/>
      <c r="B27" s="12"/>
      <c r="C27" s="87" t="str" cm="1">
        <f t="array" ref="C27">IFERROR(INDEX(Tb_KostenOpties[],MATCH(B27,Tb_KostenOptiesDB[KostenOptie],0),IFERROR(MATCH(Methode_Keuze,Tb_KostenOptiesDB[#Headers],0),2)),"")</f>
        <v/>
      </c>
      <c r="D27" s="99">
        <f>IFERROR(INDEX(Tb_ProjectKosten[],MATCH($B27,Tb_ProjectKosten[Begroting],0),6),0)</f>
        <v>0</v>
      </c>
      <c r="E27" s="97">
        <f>SUMIFS('8. Uitgaven betaalverzoek'!$W:$W,'8. Uitgaven betaalverzoek'!$E:$E,$A27,'8. Uitgaven betaalverzoek'!$F:$F,$B27)</f>
        <v>0</v>
      </c>
      <c r="F27" s="97">
        <f>SUMIFS('8. Uitgaven betaalverzoek'!$X:$X,'8. Uitgaven betaalverzoek'!$E:$E,$A27,'8. Uitgaven betaalverzoek'!$F:$F,$B27)</f>
        <v>0</v>
      </c>
      <c r="G27" s="97" t="str">
        <f>IF(C27&lt;&gt;"",SUMIFS('8. Uitgaven betaalverzoek'!$Z:$Z,'8. Uitgaven betaalverzoek'!$E:$E,$A27,'8. Uitgaven betaalverzoek'!$F:$F,$B27),"")</f>
        <v/>
      </c>
      <c r="H27" s="97" t="str">
        <f>IF(C27&lt;&gt;"",SUMIFS('8. Uitgaven betaalverzoek'!$AA:$AA,'8. Uitgaven betaalverzoek'!$E:$E,$A27,'8. Uitgaven betaalverzoek'!$F:$F,$B27),"")</f>
        <v/>
      </c>
      <c r="I27" s="99" t="str">
        <f>IFERROR(VLOOKUP(A27,Lijsten!$AK:$AL,2,0),"")</f>
        <v/>
      </c>
      <c r="J27" s="97">
        <f t="shared" si="4"/>
        <v>0</v>
      </c>
      <c r="K27" s="97">
        <f t="shared" si="1"/>
        <v>0</v>
      </c>
      <c r="L27" s="97">
        <f>SUMIFS('8. Uitgaven betaalverzoek'!$W:$W,'8. Uitgaven betaalverzoek'!$E:$E,$A27,'8. Uitgaven betaalverzoek'!$F:$F,$B27,'8. Uitgaven betaalverzoek'!$A:$A,Keuze_DB_Nr)</f>
        <v>0</v>
      </c>
      <c r="M27" s="97">
        <f>SUMIFS('8. Uitgaven betaalverzoek'!$X:$X,'8. Uitgaven betaalverzoek'!$E:$E,$A27,'8. Uitgaven betaalverzoek'!$F:$F,$B27,'8. Uitgaven betaalverzoek'!$A:$A,Keuze_DB_Nr)</f>
        <v>0</v>
      </c>
      <c r="N27" s="97" t="str">
        <f>IF($C27&lt;&gt;"",SUMIFS('8. Uitgaven betaalverzoek'!$Z:$Z,'8. Uitgaven betaalverzoek'!$E:$E,$A27,'8. Uitgaven betaalverzoek'!$F:$F,$B27,'8. Uitgaven betaalverzoek'!$A:$A,Keuze_DB_Nr),"")</f>
        <v/>
      </c>
      <c r="O27" s="97" t="str">
        <f>IF($C27&lt;&gt;"",SUMIFS('8. Uitgaven betaalverzoek'!$AA:$AA,'8. Uitgaven betaalverzoek'!$E:$E,$A27,'8. Uitgaven betaalverzoek'!$F:$F,$B27,'8. Uitgaven betaalverzoek'!$A:$A,Keuze_DB_Nr),"")</f>
        <v/>
      </c>
      <c r="P27" s="97">
        <f t="shared" si="5"/>
        <v>0</v>
      </c>
      <c r="Q27" s="97">
        <f t="shared" si="6"/>
        <v>0</v>
      </c>
      <c r="R27" s="97">
        <f>SUMIFS('8. Uitgaven betaalverzoek'!$W:$W,'8. Uitgaven betaalverzoek'!$E:$E,$A27,'8. Uitgaven betaalverzoek'!$F:$F,$B27,'8. Uitgaven betaalverzoek'!$A:$A,Keuze_DB_Nr_BEO)</f>
        <v>0</v>
      </c>
      <c r="S27" s="97">
        <f>SUMIFS('8. Uitgaven betaalverzoek'!$X:$X,'8. Uitgaven betaalverzoek'!$E:$E,$A27,'8. Uitgaven betaalverzoek'!$F:$F,$B27,'8. Uitgaven betaalverzoek'!$A:$A,Keuze_DB_Nr_BEO)</f>
        <v>0</v>
      </c>
      <c r="T27" s="97" t="str">
        <f>IF($C27&lt;&gt;"",SUMIFS('8. Uitgaven betaalverzoek'!$Z:$Z,'8. Uitgaven betaalverzoek'!$E:$E,$A27,'8. Uitgaven betaalverzoek'!$F:$F,$B27,'8. Uitgaven betaalverzoek'!$A:$A,Keuze_DB_Nr_BEO),"")</f>
        <v/>
      </c>
      <c r="U27" s="97" t="str">
        <f>IF($C27&lt;&gt;"",SUMIFS('8. Uitgaven betaalverzoek'!$AA:$AA,'8. Uitgaven betaalverzoek'!$E:$E,$A27,'8. Uitgaven betaalverzoek'!$F:$F,$B27,'8. Uitgaven betaalverzoek'!$A:$A,Keuze_DB_Nr_BEO),"")</f>
        <v/>
      </c>
      <c r="V27" s="97">
        <f t="shared" si="2"/>
        <v>0</v>
      </c>
      <c r="W27" s="97">
        <f t="shared" si="3"/>
        <v>0</v>
      </c>
    </row>
    <row r="28" spans="1:23" x14ac:dyDescent="0.25">
      <c r="A28" s="63"/>
      <c r="B28" s="63"/>
      <c r="C28" s="86" t="str" cm="1">
        <f t="array" ref="C28">IFERROR(INDEX(Tb_KostenOpties[],MATCH(B28,Tb_KostenOptiesDB[KostenOptie],0),IFERROR(MATCH(Methode_Keuze,Tb_KostenOptiesDB[#Headers],0),2)),"")</f>
        <v/>
      </c>
      <c r="D28" s="98">
        <f>IFERROR(INDEX(Tb_ProjectKosten[],MATCH($B28,Tb_ProjectKosten[Begroting],0),6),0)</f>
        <v>0</v>
      </c>
      <c r="E28" s="96">
        <f>SUMIFS('8. Uitgaven betaalverzoek'!$W:$W,'8. Uitgaven betaalverzoek'!$E:$E,$A28,'8. Uitgaven betaalverzoek'!$F:$F,$B28)</f>
        <v>0</v>
      </c>
      <c r="F28" s="96">
        <f>SUMIFS('8. Uitgaven betaalverzoek'!$X:$X,'8. Uitgaven betaalverzoek'!$E:$E,$A28,'8. Uitgaven betaalverzoek'!$F:$F,$B28)</f>
        <v>0</v>
      </c>
      <c r="G28" s="96" t="str">
        <f>IF(C28&lt;&gt;"",SUMIFS('8. Uitgaven betaalverzoek'!$Z:$Z,'8. Uitgaven betaalverzoek'!$E:$E,$A28,'8. Uitgaven betaalverzoek'!$F:$F,$B28),"")</f>
        <v/>
      </c>
      <c r="H28" s="96" t="str">
        <f>IF(C28&lt;&gt;"",SUMIFS('8. Uitgaven betaalverzoek'!$AA:$AA,'8. Uitgaven betaalverzoek'!$E:$E,$A28,'8. Uitgaven betaalverzoek'!$F:$F,$B28),"")</f>
        <v/>
      </c>
      <c r="I28" s="98" t="str">
        <f>IFERROR(VLOOKUP(A28,Lijsten!$AK:$AL,2,0),"")</f>
        <v/>
      </c>
      <c r="J28" s="96">
        <f t="shared" si="4"/>
        <v>0</v>
      </c>
      <c r="K28" s="96">
        <f t="shared" si="1"/>
        <v>0</v>
      </c>
      <c r="L28" s="96">
        <f>SUMIFS('8. Uitgaven betaalverzoek'!$W:$W,'8. Uitgaven betaalverzoek'!$E:$E,$A28,'8. Uitgaven betaalverzoek'!$F:$F,$B28,'8. Uitgaven betaalverzoek'!$A:$A,Keuze_DB_Nr)</f>
        <v>0</v>
      </c>
      <c r="M28" s="96">
        <f>SUMIFS('8. Uitgaven betaalverzoek'!$X:$X,'8. Uitgaven betaalverzoek'!$E:$E,$A28,'8. Uitgaven betaalverzoek'!$F:$F,$B28,'8. Uitgaven betaalverzoek'!$A:$A,Keuze_DB_Nr)</f>
        <v>0</v>
      </c>
      <c r="N28" s="96" t="str">
        <f>IF($C28&lt;&gt;"",SUMIFS('8. Uitgaven betaalverzoek'!$Z:$Z,'8. Uitgaven betaalverzoek'!$E:$E,$A28,'8. Uitgaven betaalverzoek'!$F:$F,$B28,'8. Uitgaven betaalverzoek'!$A:$A,Keuze_DB_Nr),"")</f>
        <v/>
      </c>
      <c r="O28" s="96" t="str">
        <f>IF($C28&lt;&gt;"",SUMIFS('8. Uitgaven betaalverzoek'!$AA:$AA,'8. Uitgaven betaalverzoek'!$E:$E,$A28,'8. Uitgaven betaalverzoek'!$F:$F,$B28,'8. Uitgaven betaalverzoek'!$A:$A,Keuze_DB_Nr),"")</f>
        <v/>
      </c>
      <c r="P28" s="96">
        <f t="shared" si="5"/>
        <v>0</v>
      </c>
      <c r="Q28" s="96">
        <f t="shared" si="6"/>
        <v>0</v>
      </c>
      <c r="R28" s="96">
        <f>SUMIFS('8. Uitgaven betaalverzoek'!$W:$W,'8. Uitgaven betaalverzoek'!$E:$E,$A28,'8. Uitgaven betaalverzoek'!$F:$F,$B28,'8. Uitgaven betaalverzoek'!$A:$A,Keuze_DB_Nr_BEO)</f>
        <v>0</v>
      </c>
      <c r="S28" s="96">
        <f>SUMIFS('8. Uitgaven betaalverzoek'!$X:$X,'8. Uitgaven betaalverzoek'!$E:$E,$A28,'8. Uitgaven betaalverzoek'!$F:$F,$B28,'8. Uitgaven betaalverzoek'!$A:$A,Keuze_DB_Nr_BEO)</f>
        <v>0</v>
      </c>
      <c r="T28" s="96" t="str">
        <f>IF($C28&lt;&gt;"",SUMIFS('8. Uitgaven betaalverzoek'!$Z:$Z,'8. Uitgaven betaalverzoek'!$E:$E,$A28,'8. Uitgaven betaalverzoek'!$F:$F,$B28,'8. Uitgaven betaalverzoek'!$A:$A,Keuze_DB_Nr_BEO),"")</f>
        <v/>
      </c>
      <c r="U28" s="96" t="str">
        <f>IF($C28&lt;&gt;"",SUMIFS('8. Uitgaven betaalverzoek'!$AA:$AA,'8. Uitgaven betaalverzoek'!$E:$E,$A28,'8. Uitgaven betaalverzoek'!$F:$F,$B28,'8. Uitgaven betaalverzoek'!$A:$A,Keuze_DB_Nr_BEO),"")</f>
        <v/>
      </c>
      <c r="V28" s="96">
        <f t="shared" si="2"/>
        <v>0</v>
      </c>
      <c r="W28" s="96">
        <f t="shared" si="3"/>
        <v>0</v>
      </c>
    </row>
    <row r="29" spans="1:23" x14ac:dyDescent="0.25">
      <c r="A29" s="12"/>
      <c r="B29" s="12"/>
      <c r="C29" s="87" t="str" cm="1">
        <f t="array" ref="C29">IFERROR(INDEX(Tb_KostenOpties[],MATCH(B29,Tb_KostenOptiesDB[KostenOptie],0),IFERROR(MATCH(Methode_Keuze,Tb_KostenOptiesDB[#Headers],0),2)),"")</f>
        <v/>
      </c>
      <c r="D29" s="99">
        <f>IFERROR(INDEX(Tb_ProjectKosten[],MATCH($B29,Tb_ProjectKosten[Begroting],0),6),0)</f>
        <v>0</v>
      </c>
      <c r="E29" s="97">
        <f>SUMIFS('8. Uitgaven betaalverzoek'!$W:$W,'8. Uitgaven betaalverzoek'!$E:$E,$A29,'8. Uitgaven betaalverzoek'!$F:$F,$B29)</f>
        <v>0</v>
      </c>
      <c r="F29" s="97">
        <f>SUMIFS('8. Uitgaven betaalverzoek'!$X:$X,'8. Uitgaven betaalverzoek'!$E:$E,$A29,'8. Uitgaven betaalverzoek'!$F:$F,$B29)</f>
        <v>0</v>
      </c>
      <c r="G29" s="97" t="str">
        <f>IF(C29&lt;&gt;"",SUMIFS('8. Uitgaven betaalverzoek'!$Z:$Z,'8. Uitgaven betaalverzoek'!$E:$E,$A29,'8. Uitgaven betaalverzoek'!$F:$F,$B29),"")</f>
        <v/>
      </c>
      <c r="H29" s="97" t="str">
        <f>IF(C29&lt;&gt;"",SUMIFS('8. Uitgaven betaalverzoek'!$AA:$AA,'8. Uitgaven betaalverzoek'!$E:$E,$A29,'8. Uitgaven betaalverzoek'!$F:$F,$B29),"")</f>
        <v/>
      </c>
      <c r="I29" s="99" t="str">
        <f>IFERROR(VLOOKUP(A29,Lijsten!$AK:$AL,2,0),"")</f>
        <v/>
      </c>
      <c r="J29" s="97">
        <f t="shared" si="4"/>
        <v>0</v>
      </c>
      <c r="K29" s="97">
        <f t="shared" si="1"/>
        <v>0</v>
      </c>
      <c r="L29" s="97">
        <f>SUMIFS('8. Uitgaven betaalverzoek'!$W:$W,'8. Uitgaven betaalverzoek'!$E:$E,$A29,'8. Uitgaven betaalverzoek'!$F:$F,$B29,'8. Uitgaven betaalverzoek'!$A:$A,Keuze_DB_Nr)</f>
        <v>0</v>
      </c>
      <c r="M29" s="97">
        <f>SUMIFS('8. Uitgaven betaalverzoek'!$X:$X,'8. Uitgaven betaalverzoek'!$E:$E,$A29,'8. Uitgaven betaalverzoek'!$F:$F,$B29,'8. Uitgaven betaalverzoek'!$A:$A,Keuze_DB_Nr)</f>
        <v>0</v>
      </c>
      <c r="N29" s="97" t="str">
        <f>IF($C29&lt;&gt;"",SUMIFS('8. Uitgaven betaalverzoek'!$Z:$Z,'8. Uitgaven betaalverzoek'!$E:$E,$A29,'8. Uitgaven betaalverzoek'!$F:$F,$B29,'8. Uitgaven betaalverzoek'!$A:$A,Keuze_DB_Nr),"")</f>
        <v/>
      </c>
      <c r="O29" s="97" t="str">
        <f>IF($C29&lt;&gt;"",SUMIFS('8. Uitgaven betaalverzoek'!$AA:$AA,'8. Uitgaven betaalverzoek'!$E:$E,$A29,'8. Uitgaven betaalverzoek'!$F:$F,$B29,'8. Uitgaven betaalverzoek'!$A:$A,Keuze_DB_Nr),"")</f>
        <v/>
      </c>
      <c r="P29" s="97">
        <f t="shared" si="5"/>
        <v>0</v>
      </c>
      <c r="Q29" s="97">
        <f t="shared" si="6"/>
        <v>0</v>
      </c>
      <c r="R29" s="97">
        <f>SUMIFS('8. Uitgaven betaalverzoek'!$W:$W,'8. Uitgaven betaalverzoek'!$E:$E,$A29,'8. Uitgaven betaalverzoek'!$F:$F,$B29,'8. Uitgaven betaalverzoek'!$A:$A,Keuze_DB_Nr_BEO)</f>
        <v>0</v>
      </c>
      <c r="S29" s="97">
        <f>SUMIFS('8. Uitgaven betaalverzoek'!$X:$X,'8. Uitgaven betaalverzoek'!$E:$E,$A29,'8. Uitgaven betaalverzoek'!$F:$F,$B29,'8. Uitgaven betaalverzoek'!$A:$A,Keuze_DB_Nr_BEO)</f>
        <v>0</v>
      </c>
      <c r="T29" s="97" t="str">
        <f>IF($C29&lt;&gt;"",SUMIFS('8. Uitgaven betaalverzoek'!$Z:$Z,'8. Uitgaven betaalverzoek'!$E:$E,$A29,'8. Uitgaven betaalverzoek'!$F:$F,$B29,'8. Uitgaven betaalverzoek'!$A:$A,Keuze_DB_Nr_BEO),"")</f>
        <v/>
      </c>
      <c r="U29" s="97" t="str">
        <f>IF($C29&lt;&gt;"",SUMIFS('8. Uitgaven betaalverzoek'!$AA:$AA,'8. Uitgaven betaalverzoek'!$E:$E,$A29,'8. Uitgaven betaalverzoek'!$F:$F,$B29,'8. Uitgaven betaalverzoek'!$A:$A,Keuze_DB_Nr_BEO),"")</f>
        <v/>
      </c>
      <c r="V29" s="97">
        <f t="shared" si="2"/>
        <v>0</v>
      </c>
      <c r="W29" s="97">
        <f t="shared" si="3"/>
        <v>0</v>
      </c>
    </row>
    <row r="30" spans="1:23" x14ac:dyDescent="0.25">
      <c r="A30" s="63"/>
      <c r="B30" s="63"/>
      <c r="C30" s="86" t="str" cm="1">
        <f t="array" ref="C30">IFERROR(INDEX(Tb_KostenOpties[],MATCH(B30,Tb_KostenOptiesDB[KostenOptie],0),IFERROR(MATCH(Methode_Keuze,Tb_KostenOptiesDB[#Headers],0),2)),"")</f>
        <v/>
      </c>
      <c r="D30" s="98">
        <f>IFERROR(INDEX(Tb_ProjectKosten[],MATCH($B30,Tb_ProjectKosten[Begroting],0),6),0)</f>
        <v>0</v>
      </c>
      <c r="E30" s="96">
        <f>SUMIFS('8. Uitgaven betaalverzoek'!$W:$W,'8. Uitgaven betaalverzoek'!$E:$E,$A30,'8. Uitgaven betaalverzoek'!$F:$F,$B30)</f>
        <v>0</v>
      </c>
      <c r="F30" s="96">
        <f>SUMIFS('8. Uitgaven betaalverzoek'!$X:$X,'8. Uitgaven betaalverzoek'!$E:$E,$A30,'8. Uitgaven betaalverzoek'!$F:$F,$B30)</f>
        <v>0</v>
      </c>
      <c r="G30" s="96" t="str">
        <f>IF(C30&lt;&gt;"",SUMIFS('8. Uitgaven betaalverzoek'!$Z:$Z,'8. Uitgaven betaalverzoek'!$E:$E,$A30,'8. Uitgaven betaalverzoek'!$F:$F,$B30),"")</f>
        <v/>
      </c>
      <c r="H30" s="96" t="str">
        <f>IF(C30&lt;&gt;"",SUMIFS('8. Uitgaven betaalverzoek'!$AA:$AA,'8. Uitgaven betaalverzoek'!$E:$E,$A30,'8. Uitgaven betaalverzoek'!$F:$F,$B30),"")</f>
        <v/>
      </c>
      <c r="I30" s="98" t="str">
        <f>IFERROR(VLOOKUP(A30,Lijsten!$AK:$AL,2,0),"")</f>
        <v/>
      </c>
      <c r="J30" s="96">
        <f t="shared" si="4"/>
        <v>0</v>
      </c>
      <c r="K30" s="96">
        <f t="shared" si="1"/>
        <v>0</v>
      </c>
      <c r="L30" s="96">
        <f>SUMIFS('8. Uitgaven betaalverzoek'!$W:$W,'8. Uitgaven betaalverzoek'!$E:$E,$A30,'8. Uitgaven betaalverzoek'!$F:$F,$B30,'8. Uitgaven betaalverzoek'!$A:$A,Keuze_DB_Nr)</f>
        <v>0</v>
      </c>
      <c r="M30" s="96">
        <f>SUMIFS('8. Uitgaven betaalverzoek'!$X:$X,'8. Uitgaven betaalverzoek'!$E:$E,$A30,'8. Uitgaven betaalverzoek'!$F:$F,$B30,'8. Uitgaven betaalverzoek'!$A:$A,Keuze_DB_Nr)</f>
        <v>0</v>
      </c>
      <c r="N30" s="96" t="str">
        <f>IF($C30&lt;&gt;"",SUMIFS('8. Uitgaven betaalverzoek'!$Z:$Z,'8. Uitgaven betaalverzoek'!$E:$E,$A30,'8. Uitgaven betaalverzoek'!$F:$F,$B30,'8. Uitgaven betaalverzoek'!$A:$A,Keuze_DB_Nr),"")</f>
        <v/>
      </c>
      <c r="O30" s="96" t="str">
        <f>IF($C30&lt;&gt;"",SUMIFS('8. Uitgaven betaalverzoek'!$AA:$AA,'8. Uitgaven betaalverzoek'!$E:$E,$A30,'8. Uitgaven betaalverzoek'!$F:$F,$B30,'8. Uitgaven betaalverzoek'!$A:$A,Keuze_DB_Nr),"")</f>
        <v/>
      </c>
      <c r="P30" s="96">
        <f t="shared" si="5"/>
        <v>0</v>
      </c>
      <c r="Q30" s="96">
        <f t="shared" si="6"/>
        <v>0</v>
      </c>
      <c r="R30" s="96">
        <f>SUMIFS('8. Uitgaven betaalverzoek'!$W:$W,'8. Uitgaven betaalverzoek'!$E:$E,$A30,'8. Uitgaven betaalverzoek'!$F:$F,$B30,'8. Uitgaven betaalverzoek'!$A:$A,Keuze_DB_Nr_BEO)</f>
        <v>0</v>
      </c>
      <c r="S30" s="96">
        <f>SUMIFS('8. Uitgaven betaalverzoek'!$X:$X,'8. Uitgaven betaalverzoek'!$E:$E,$A30,'8. Uitgaven betaalverzoek'!$F:$F,$B30,'8. Uitgaven betaalverzoek'!$A:$A,Keuze_DB_Nr_BEO)</f>
        <v>0</v>
      </c>
      <c r="T30" s="96" t="str">
        <f>IF($C30&lt;&gt;"",SUMIFS('8. Uitgaven betaalverzoek'!$Z:$Z,'8. Uitgaven betaalverzoek'!$E:$E,$A30,'8. Uitgaven betaalverzoek'!$F:$F,$B30,'8. Uitgaven betaalverzoek'!$A:$A,Keuze_DB_Nr_BEO),"")</f>
        <v/>
      </c>
      <c r="U30" s="96" t="str">
        <f>IF($C30&lt;&gt;"",SUMIFS('8. Uitgaven betaalverzoek'!$AA:$AA,'8. Uitgaven betaalverzoek'!$E:$E,$A30,'8. Uitgaven betaalverzoek'!$F:$F,$B30,'8. Uitgaven betaalverzoek'!$A:$A,Keuze_DB_Nr_BEO),"")</f>
        <v/>
      </c>
      <c r="V30" s="96">
        <f t="shared" si="2"/>
        <v>0</v>
      </c>
      <c r="W30" s="96">
        <f t="shared" si="3"/>
        <v>0</v>
      </c>
    </row>
    <row r="31" spans="1:23" x14ac:dyDescent="0.25">
      <c r="A31" s="12"/>
      <c r="B31" s="12"/>
      <c r="C31" s="87" t="str" cm="1">
        <f t="array" ref="C31">IFERROR(INDEX(Tb_KostenOpties[],MATCH(B31,Tb_KostenOptiesDB[KostenOptie],0),IFERROR(MATCH(Methode_Keuze,Tb_KostenOptiesDB[#Headers],0),2)),"")</f>
        <v/>
      </c>
      <c r="D31" s="99">
        <f>IFERROR(INDEX(Tb_ProjectKosten[],MATCH($B31,Tb_ProjectKosten[Begroting],0),6),0)</f>
        <v>0</v>
      </c>
      <c r="E31" s="97">
        <f>SUMIFS('8. Uitgaven betaalverzoek'!$W:$W,'8. Uitgaven betaalverzoek'!$E:$E,$A31,'8. Uitgaven betaalverzoek'!$F:$F,$B31)</f>
        <v>0</v>
      </c>
      <c r="F31" s="97">
        <f>SUMIFS('8. Uitgaven betaalverzoek'!$X:$X,'8. Uitgaven betaalverzoek'!$E:$E,$A31,'8. Uitgaven betaalverzoek'!$F:$F,$B31)</f>
        <v>0</v>
      </c>
      <c r="G31" s="97" t="str">
        <f>IF(C31&lt;&gt;"",SUMIFS('8. Uitgaven betaalverzoek'!$Z:$Z,'8. Uitgaven betaalverzoek'!$E:$E,$A31,'8. Uitgaven betaalverzoek'!$F:$F,$B31),"")</f>
        <v/>
      </c>
      <c r="H31" s="97" t="str">
        <f>IF(C31&lt;&gt;"",SUMIFS('8. Uitgaven betaalverzoek'!$AA:$AA,'8. Uitgaven betaalverzoek'!$E:$E,$A31,'8. Uitgaven betaalverzoek'!$F:$F,$B31),"")</f>
        <v/>
      </c>
      <c r="I31" s="99" t="str">
        <f>IFERROR(VLOOKUP(A31,Lijsten!$AK:$AL,2,0),"")</f>
        <v/>
      </c>
      <c r="J31" s="97">
        <f t="shared" si="4"/>
        <v>0</v>
      </c>
      <c r="K31" s="97">
        <f t="shared" si="1"/>
        <v>0</v>
      </c>
      <c r="L31" s="97">
        <f>SUMIFS('8. Uitgaven betaalverzoek'!$W:$W,'8. Uitgaven betaalverzoek'!$E:$E,$A31,'8. Uitgaven betaalverzoek'!$F:$F,$B31,'8. Uitgaven betaalverzoek'!$A:$A,Keuze_DB_Nr)</f>
        <v>0</v>
      </c>
      <c r="M31" s="97">
        <f>SUMIFS('8. Uitgaven betaalverzoek'!$X:$X,'8. Uitgaven betaalverzoek'!$E:$E,$A31,'8. Uitgaven betaalverzoek'!$F:$F,$B31,'8. Uitgaven betaalverzoek'!$A:$A,Keuze_DB_Nr)</f>
        <v>0</v>
      </c>
      <c r="N31" s="97" t="str">
        <f>IF($C31&lt;&gt;"",SUMIFS('8. Uitgaven betaalverzoek'!$Z:$Z,'8. Uitgaven betaalverzoek'!$E:$E,$A31,'8. Uitgaven betaalverzoek'!$F:$F,$B31,'8. Uitgaven betaalverzoek'!$A:$A,Keuze_DB_Nr),"")</f>
        <v/>
      </c>
      <c r="O31" s="97" t="str">
        <f>IF($C31&lt;&gt;"",SUMIFS('8. Uitgaven betaalverzoek'!$AA:$AA,'8. Uitgaven betaalverzoek'!$E:$E,$A31,'8. Uitgaven betaalverzoek'!$F:$F,$B31,'8. Uitgaven betaalverzoek'!$A:$A,Keuze_DB_Nr),"")</f>
        <v/>
      </c>
      <c r="P31" s="97">
        <f t="shared" si="5"/>
        <v>0</v>
      </c>
      <c r="Q31" s="97">
        <f t="shared" si="6"/>
        <v>0</v>
      </c>
      <c r="R31" s="97">
        <f>SUMIFS('8. Uitgaven betaalverzoek'!$W:$W,'8. Uitgaven betaalverzoek'!$E:$E,$A31,'8. Uitgaven betaalverzoek'!$F:$F,$B31,'8. Uitgaven betaalverzoek'!$A:$A,Keuze_DB_Nr_BEO)</f>
        <v>0</v>
      </c>
      <c r="S31" s="97">
        <f>SUMIFS('8. Uitgaven betaalverzoek'!$X:$X,'8. Uitgaven betaalverzoek'!$E:$E,$A31,'8. Uitgaven betaalverzoek'!$F:$F,$B31,'8. Uitgaven betaalverzoek'!$A:$A,Keuze_DB_Nr_BEO)</f>
        <v>0</v>
      </c>
      <c r="T31" s="97" t="str">
        <f>IF($C31&lt;&gt;"",SUMIFS('8. Uitgaven betaalverzoek'!$Z:$Z,'8. Uitgaven betaalverzoek'!$E:$E,$A31,'8. Uitgaven betaalverzoek'!$F:$F,$B31,'8. Uitgaven betaalverzoek'!$A:$A,Keuze_DB_Nr_BEO),"")</f>
        <v/>
      </c>
      <c r="U31" s="97" t="str">
        <f>IF($C31&lt;&gt;"",SUMIFS('8. Uitgaven betaalverzoek'!$AA:$AA,'8. Uitgaven betaalverzoek'!$E:$E,$A31,'8. Uitgaven betaalverzoek'!$F:$F,$B31,'8. Uitgaven betaalverzoek'!$A:$A,Keuze_DB_Nr_BEO),"")</f>
        <v/>
      </c>
      <c r="V31" s="97">
        <f t="shared" si="2"/>
        <v>0</v>
      </c>
      <c r="W31" s="97">
        <f t="shared" si="3"/>
        <v>0</v>
      </c>
    </row>
    <row r="32" spans="1:23" x14ac:dyDescent="0.25">
      <c r="A32" s="63"/>
      <c r="B32" s="63"/>
      <c r="C32" s="86" t="str" cm="1">
        <f t="array" ref="C32">IFERROR(INDEX(Tb_KostenOpties[],MATCH(B32,Tb_KostenOptiesDB[KostenOptie],0),IFERROR(MATCH(Methode_Keuze,Tb_KostenOptiesDB[#Headers],0),2)),"")</f>
        <v/>
      </c>
      <c r="D32" s="98">
        <f>IFERROR(INDEX(Tb_ProjectKosten[],MATCH($B32,Tb_ProjectKosten[Begroting],0),6),0)</f>
        <v>0</v>
      </c>
      <c r="E32" s="96">
        <f>SUMIFS('8. Uitgaven betaalverzoek'!$W:$W,'8. Uitgaven betaalverzoek'!$E:$E,$A32,'8. Uitgaven betaalverzoek'!$F:$F,$B32)</f>
        <v>0</v>
      </c>
      <c r="F32" s="96">
        <f>SUMIFS('8. Uitgaven betaalverzoek'!$X:$X,'8. Uitgaven betaalverzoek'!$E:$E,$A32,'8. Uitgaven betaalverzoek'!$F:$F,$B32)</f>
        <v>0</v>
      </c>
      <c r="G32" s="96" t="str">
        <f>IF(C32&lt;&gt;"",SUMIFS('8. Uitgaven betaalverzoek'!$Z:$Z,'8. Uitgaven betaalverzoek'!$E:$E,$A32,'8. Uitgaven betaalverzoek'!$F:$F,$B32),"")</f>
        <v/>
      </c>
      <c r="H32" s="96" t="str">
        <f>IF(C32&lt;&gt;"",SUMIFS('8. Uitgaven betaalverzoek'!$AA:$AA,'8. Uitgaven betaalverzoek'!$E:$E,$A32,'8. Uitgaven betaalverzoek'!$F:$F,$B32),"")</f>
        <v/>
      </c>
      <c r="I32" s="98" t="str">
        <f>IFERROR(VLOOKUP(A32,Lijsten!$AK:$AL,2,0),"")</f>
        <v/>
      </c>
      <c r="J32" s="96">
        <f t="shared" si="4"/>
        <v>0</v>
      </c>
      <c r="K32" s="96">
        <f t="shared" si="1"/>
        <v>0</v>
      </c>
      <c r="L32" s="96">
        <f>SUMIFS('8. Uitgaven betaalverzoek'!$W:$W,'8. Uitgaven betaalverzoek'!$E:$E,$A32,'8. Uitgaven betaalverzoek'!$F:$F,$B32,'8. Uitgaven betaalverzoek'!$A:$A,Keuze_DB_Nr)</f>
        <v>0</v>
      </c>
      <c r="M32" s="96">
        <f>SUMIFS('8. Uitgaven betaalverzoek'!$X:$X,'8. Uitgaven betaalverzoek'!$E:$E,$A32,'8. Uitgaven betaalverzoek'!$F:$F,$B32,'8. Uitgaven betaalverzoek'!$A:$A,Keuze_DB_Nr)</f>
        <v>0</v>
      </c>
      <c r="N32" s="96" t="str">
        <f>IF($C32&lt;&gt;"",SUMIFS('8. Uitgaven betaalverzoek'!$Z:$Z,'8. Uitgaven betaalverzoek'!$E:$E,$A32,'8. Uitgaven betaalverzoek'!$F:$F,$B32,'8. Uitgaven betaalverzoek'!$A:$A,Keuze_DB_Nr),"")</f>
        <v/>
      </c>
      <c r="O32" s="96" t="str">
        <f>IF($C32&lt;&gt;"",SUMIFS('8. Uitgaven betaalverzoek'!$AA:$AA,'8. Uitgaven betaalverzoek'!$E:$E,$A32,'8. Uitgaven betaalverzoek'!$F:$F,$B32,'8. Uitgaven betaalverzoek'!$A:$A,Keuze_DB_Nr),"")</f>
        <v/>
      </c>
      <c r="P32" s="96">
        <f t="shared" si="5"/>
        <v>0</v>
      </c>
      <c r="Q32" s="96">
        <f t="shared" si="6"/>
        <v>0</v>
      </c>
      <c r="R32" s="96">
        <f>SUMIFS('8. Uitgaven betaalverzoek'!$W:$W,'8. Uitgaven betaalverzoek'!$E:$E,$A32,'8. Uitgaven betaalverzoek'!$F:$F,$B32,'8. Uitgaven betaalverzoek'!$A:$A,Keuze_DB_Nr_BEO)</f>
        <v>0</v>
      </c>
      <c r="S32" s="96">
        <f>SUMIFS('8. Uitgaven betaalverzoek'!$X:$X,'8. Uitgaven betaalverzoek'!$E:$E,$A32,'8. Uitgaven betaalverzoek'!$F:$F,$B32,'8. Uitgaven betaalverzoek'!$A:$A,Keuze_DB_Nr_BEO)</f>
        <v>0</v>
      </c>
      <c r="T32" s="96" t="str">
        <f>IF($C32&lt;&gt;"",SUMIFS('8. Uitgaven betaalverzoek'!$Z:$Z,'8. Uitgaven betaalverzoek'!$E:$E,$A32,'8. Uitgaven betaalverzoek'!$F:$F,$B32,'8. Uitgaven betaalverzoek'!$A:$A,Keuze_DB_Nr_BEO),"")</f>
        <v/>
      </c>
      <c r="U32" s="96" t="str">
        <f>IF($C32&lt;&gt;"",SUMIFS('8. Uitgaven betaalverzoek'!$AA:$AA,'8. Uitgaven betaalverzoek'!$E:$E,$A32,'8. Uitgaven betaalverzoek'!$F:$F,$B32,'8. Uitgaven betaalverzoek'!$A:$A,Keuze_DB_Nr_BEO),"")</f>
        <v/>
      </c>
      <c r="V32" s="96">
        <f t="shared" si="2"/>
        <v>0</v>
      </c>
      <c r="W32" s="96">
        <f t="shared" si="3"/>
        <v>0</v>
      </c>
    </row>
    <row r="33" spans="1:23" x14ac:dyDescent="0.25">
      <c r="A33" s="12"/>
      <c r="B33" s="12"/>
      <c r="C33" s="87" t="str" cm="1">
        <f t="array" ref="C33">IFERROR(INDEX(Tb_KostenOpties[],MATCH(B33,Tb_KostenOptiesDB[KostenOptie],0),IFERROR(MATCH(Methode_Keuze,Tb_KostenOptiesDB[#Headers],0),2)),"")</f>
        <v/>
      </c>
      <c r="D33" s="99">
        <f>IFERROR(INDEX(Tb_ProjectKosten[],MATCH($B33,Tb_ProjectKosten[Begroting],0),6),0)</f>
        <v>0</v>
      </c>
      <c r="E33" s="97">
        <f>SUMIFS('8. Uitgaven betaalverzoek'!$W:$W,'8. Uitgaven betaalverzoek'!$E:$E,$A33,'8. Uitgaven betaalverzoek'!$F:$F,$B33)</f>
        <v>0</v>
      </c>
      <c r="F33" s="97">
        <f>SUMIFS('8. Uitgaven betaalverzoek'!$X:$X,'8. Uitgaven betaalverzoek'!$E:$E,$A33,'8. Uitgaven betaalverzoek'!$F:$F,$B33)</f>
        <v>0</v>
      </c>
      <c r="G33" s="97" t="str">
        <f>IF(C33&lt;&gt;"",SUMIFS('8. Uitgaven betaalverzoek'!$Z:$Z,'8. Uitgaven betaalverzoek'!$E:$E,$A33,'8. Uitgaven betaalverzoek'!$F:$F,$B33),"")</f>
        <v/>
      </c>
      <c r="H33" s="97" t="str">
        <f>IF(C33&lt;&gt;"",SUMIFS('8. Uitgaven betaalverzoek'!$AA:$AA,'8. Uitgaven betaalverzoek'!$E:$E,$A33,'8. Uitgaven betaalverzoek'!$F:$F,$B33),"")</f>
        <v/>
      </c>
      <c r="I33" s="99" t="str">
        <f>IFERROR(VLOOKUP(A33,Lijsten!$AK:$AL,2,0),"")</f>
        <v/>
      </c>
      <c r="J33" s="97">
        <f t="shared" si="4"/>
        <v>0</v>
      </c>
      <c r="K33" s="97">
        <f t="shared" si="1"/>
        <v>0</v>
      </c>
      <c r="L33" s="97">
        <f>SUMIFS('8. Uitgaven betaalverzoek'!$W:$W,'8. Uitgaven betaalverzoek'!$E:$E,$A33,'8. Uitgaven betaalverzoek'!$F:$F,$B33,'8. Uitgaven betaalverzoek'!$A:$A,Keuze_DB_Nr)</f>
        <v>0</v>
      </c>
      <c r="M33" s="97">
        <f>SUMIFS('8. Uitgaven betaalverzoek'!$X:$X,'8. Uitgaven betaalverzoek'!$E:$E,$A33,'8. Uitgaven betaalverzoek'!$F:$F,$B33,'8. Uitgaven betaalverzoek'!$A:$A,Keuze_DB_Nr)</f>
        <v>0</v>
      </c>
      <c r="N33" s="97" t="str">
        <f>IF($C33&lt;&gt;"",SUMIFS('8. Uitgaven betaalverzoek'!$Z:$Z,'8. Uitgaven betaalverzoek'!$E:$E,$A33,'8. Uitgaven betaalverzoek'!$F:$F,$B33,'8. Uitgaven betaalverzoek'!$A:$A,Keuze_DB_Nr),"")</f>
        <v/>
      </c>
      <c r="O33" s="97" t="str">
        <f>IF($C33&lt;&gt;"",SUMIFS('8. Uitgaven betaalverzoek'!$AA:$AA,'8. Uitgaven betaalverzoek'!$E:$E,$A33,'8. Uitgaven betaalverzoek'!$F:$F,$B33,'8. Uitgaven betaalverzoek'!$A:$A,Keuze_DB_Nr),"")</f>
        <v/>
      </c>
      <c r="P33" s="97">
        <f t="shared" si="5"/>
        <v>0</v>
      </c>
      <c r="Q33" s="97">
        <f t="shared" si="6"/>
        <v>0</v>
      </c>
      <c r="R33" s="97">
        <f>SUMIFS('8. Uitgaven betaalverzoek'!$W:$W,'8. Uitgaven betaalverzoek'!$E:$E,$A33,'8. Uitgaven betaalverzoek'!$F:$F,$B33,'8. Uitgaven betaalverzoek'!$A:$A,Keuze_DB_Nr_BEO)</f>
        <v>0</v>
      </c>
      <c r="S33" s="97">
        <f>SUMIFS('8. Uitgaven betaalverzoek'!$X:$X,'8. Uitgaven betaalverzoek'!$E:$E,$A33,'8. Uitgaven betaalverzoek'!$F:$F,$B33,'8. Uitgaven betaalverzoek'!$A:$A,Keuze_DB_Nr_BEO)</f>
        <v>0</v>
      </c>
      <c r="T33" s="97" t="str">
        <f>IF($C33&lt;&gt;"",SUMIFS('8. Uitgaven betaalverzoek'!$Z:$Z,'8. Uitgaven betaalverzoek'!$E:$E,$A33,'8. Uitgaven betaalverzoek'!$F:$F,$B33,'8. Uitgaven betaalverzoek'!$A:$A,Keuze_DB_Nr_BEO),"")</f>
        <v/>
      </c>
      <c r="U33" s="97" t="str">
        <f>IF($C33&lt;&gt;"",SUMIFS('8. Uitgaven betaalverzoek'!$AA:$AA,'8. Uitgaven betaalverzoek'!$E:$E,$A33,'8. Uitgaven betaalverzoek'!$F:$F,$B33,'8. Uitgaven betaalverzoek'!$A:$A,Keuze_DB_Nr_BEO),"")</f>
        <v/>
      </c>
      <c r="V33" s="97">
        <f t="shared" si="2"/>
        <v>0</v>
      </c>
      <c r="W33" s="97">
        <f t="shared" si="3"/>
        <v>0</v>
      </c>
    </row>
    <row r="34" spans="1:23" x14ac:dyDescent="0.25">
      <c r="A34" s="63"/>
      <c r="B34" s="63"/>
      <c r="C34" s="86" t="str" cm="1">
        <f t="array" ref="C34">IFERROR(INDEX(Tb_KostenOpties[],MATCH(B34,Tb_KostenOptiesDB[KostenOptie],0),IFERROR(MATCH(Methode_Keuze,Tb_KostenOptiesDB[#Headers],0),2)),"")</f>
        <v/>
      </c>
      <c r="D34" s="98">
        <f>IFERROR(INDEX(Tb_ProjectKosten[],MATCH($B34,Tb_ProjectKosten[Begroting],0),6),0)</f>
        <v>0</v>
      </c>
      <c r="E34" s="96">
        <f>SUMIFS('8. Uitgaven betaalverzoek'!$W:$W,'8. Uitgaven betaalverzoek'!$E:$E,$A34,'8. Uitgaven betaalverzoek'!$F:$F,$B34)</f>
        <v>0</v>
      </c>
      <c r="F34" s="96">
        <f>SUMIFS('8. Uitgaven betaalverzoek'!$X:$X,'8. Uitgaven betaalverzoek'!$E:$E,$A34,'8. Uitgaven betaalverzoek'!$F:$F,$B34)</f>
        <v>0</v>
      </c>
      <c r="G34" s="96" t="str">
        <f>IF(C34&lt;&gt;"",SUMIFS('8. Uitgaven betaalverzoek'!$Z:$Z,'8. Uitgaven betaalverzoek'!$E:$E,$A34,'8. Uitgaven betaalverzoek'!$F:$F,$B34),"")</f>
        <v/>
      </c>
      <c r="H34" s="96" t="str">
        <f>IF(C34&lt;&gt;"",SUMIFS('8. Uitgaven betaalverzoek'!$AA:$AA,'8. Uitgaven betaalverzoek'!$E:$E,$A34,'8. Uitgaven betaalverzoek'!$F:$F,$B34),"")</f>
        <v/>
      </c>
      <c r="I34" s="98" t="str">
        <f>IFERROR(VLOOKUP(A34,Lijsten!$AK:$AL,2,0),"")</f>
        <v/>
      </c>
      <c r="J34" s="96">
        <f t="shared" si="4"/>
        <v>0</v>
      </c>
      <c r="K34" s="96">
        <f t="shared" si="1"/>
        <v>0</v>
      </c>
      <c r="L34" s="96">
        <f>SUMIFS('8. Uitgaven betaalverzoek'!$W:$W,'8. Uitgaven betaalverzoek'!$E:$E,$A34,'8. Uitgaven betaalverzoek'!$F:$F,$B34,'8. Uitgaven betaalverzoek'!$A:$A,Keuze_DB_Nr)</f>
        <v>0</v>
      </c>
      <c r="M34" s="96">
        <f>SUMIFS('8. Uitgaven betaalverzoek'!$X:$X,'8. Uitgaven betaalverzoek'!$E:$E,$A34,'8. Uitgaven betaalverzoek'!$F:$F,$B34,'8. Uitgaven betaalverzoek'!$A:$A,Keuze_DB_Nr)</f>
        <v>0</v>
      </c>
      <c r="N34" s="96" t="str">
        <f>IF($C34&lt;&gt;"",SUMIFS('8. Uitgaven betaalverzoek'!$Z:$Z,'8. Uitgaven betaalverzoek'!$E:$E,$A34,'8. Uitgaven betaalverzoek'!$F:$F,$B34,'8. Uitgaven betaalverzoek'!$A:$A,Keuze_DB_Nr),"")</f>
        <v/>
      </c>
      <c r="O34" s="96" t="str">
        <f>IF($C34&lt;&gt;"",SUMIFS('8. Uitgaven betaalverzoek'!$AA:$AA,'8. Uitgaven betaalverzoek'!$E:$E,$A34,'8. Uitgaven betaalverzoek'!$F:$F,$B34,'8. Uitgaven betaalverzoek'!$A:$A,Keuze_DB_Nr),"")</f>
        <v/>
      </c>
      <c r="P34" s="96">
        <f t="shared" si="5"/>
        <v>0</v>
      </c>
      <c r="Q34" s="96">
        <f t="shared" si="6"/>
        <v>0</v>
      </c>
      <c r="R34" s="96">
        <f>SUMIFS('8. Uitgaven betaalverzoek'!$W:$W,'8. Uitgaven betaalverzoek'!$E:$E,$A34,'8. Uitgaven betaalverzoek'!$F:$F,$B34,'8. Uitgaven betaalverzoek'!$A:$A,Keuze_DB_Nr_BEO)</f>
        <v>0</v>
      </c>
      <c r="S34" s="96">
        <f>SUMIFS('8. Uitgaven betaalverzoek'!$X:$X,'8. Uitgaven betaalverzoek'!$E:$E,$A34,'8. Uitgaven betaalverzoek'!$F:$F,$B34,'8. Uitgaven betaalverzoek'!$A:$A,Keuze_DB_Nr_BEO)</f>
        <v>0</v>
      </c>
      <c r="T34" s="96" t="str">
        <f>IF($C34&lt;&gt;"",SUMIFS('8. Uitgaven betaalverzoek'!$Z:$Z,'8. Uitgaven betaalverzoek'!$E:$E,$A34,'8. Uitgaven betaalverzoek'!$F:$F,$B34,'8. Uitgaven betaalverzoek'!$A:$A,Keuze_DB_Nr_BEO),"")</f>
        <v/>
      </c>
      <c r="U34" s="96" t="str">
        <f>IF($C34&lt;&gt;"",SUMIFS('8. Uitgaven betaalverzoek'!$AA:$AA,'8. Uitgaven betaalverzoek'!$E:$E,$A34,'8. Uitgaven betaalverzoek'!$F:$F,$B34,'8. Uitgaven betaalverzoek'!$A:$A,Keuze_DB_Nr_BEO),"")</f>
        <v/>
      </c>
      <c r="V34" s="96">
        <f t="shared" si="2"/>
        <v>0</v>
      </c>
      <c r="W34" s="96">
        <f t="shared" si="3"/>
        <v>0</v>
      </c>
    </row>
    <row r="35" spans="1:23" x14ac:dyDescent="0.25">
      <c r="A35" s="12"/>
      <c r="B35" s="12"/>
      <c r="C35" s="87" t="str" cm="1">
        <f t="array" ref="C35">IFERROR(INDEX(Tb_KostenOpties[],MATCH(B35,Tb_KostenOptiesDB[KostenOptie],0),IFERROR(MATCH(Methode_Keuze,Tb_KostenOptiesDB[#Headers],0),2)),"")</f>
        <v/>
      </c>
      <c r="D35" s="99">
        <f>IFERROR(INDEX(Tb_ProjectKosten[],MATCH($B35,Tb_ProjectKosten[Begroting],0),6),0)</f>
        <v>0</v>
      </c>
      <c r="E35" s="97">
        <f>SUMIFS('8. Uitgaven betaalverzoek'!$W:$W,'8. Uitgaven betaalverzoek'!$E:$E,$A35,'8. Uitgaven betaalverzoek'!$F:$F,$B35)</f>
        <v>0</v>
      </c>
      <c r="F35" s="97">
        <f>SUMIFS('8. Uitgaven betaalverzoek'!$X:$X,'8. Uitgaven betaalverzoek'!$E:$E,$A35,'8. Uitgaven betaalverzoek'!$F:$F,$B35)</f>
        <v>0</v>
      </c>
      <c r="G35" s="97" t="str">
        <f>IF(C35&lt;&gt;"",SUMIFS('8. Uitgaven betaalverzoek'!$Z:$Z,'8. Uitgaven betaalverzoek'!$E:$E,$A35,'8. Uitgaven betaalverzoek'!$F:$F,$B35),"")</f>
        <v/>
      </c>
      <c r="H35" s="97" t="str">
        <f>IF(C35&lt;&gt;"",SUMIFS('8. Uitgaven betaalverzoek'!$AA:$AA,'8. Uitgaven betaalverzoek'!$E:$E,$A35,'8. Uitgaven betaalverzoek'!$F:$F,$B35),"")</f>
        <v/>
      </c>
      <c r="I35" s="99" t="str">
        <f>IFERROR(VLOOKUP(A35,Lijsten!$AK:$AL,2,0),"")</f>
        <v/>
      </c>
      <c r="J35" s="97">
        <f t="shared" si="4"/>
        <v>0</v>
      </c>
      <c r="K35" s="97">
        <f t="shared" si="1"/>
        <v>0</v>
      </c>
      <c r="L35" s="97">
        <f>SUMIFS('8. Uitgaven betaalverzoek'!$W:$W,'8. Uitgaven betaalverzoek'!$E:$E,$A35,'8. Uitgaven betaalverzoek'!$F:$F,$B35,'8. Uitgaven betaalverzoek'!$A:$A,Keuze_DB_Nr)</f>
        <v>0</v>
      </c>
      <c r="M35" s="97">
        <f>SUMIFS('8. Uitgaven betaalverzoek'!$X:$X,'8. Uitgaven betaalverzoek'!$E:$E,$A35,'8. Uitgaven betaalverzoek'!$F:$F,$B35,'8. Uitgaven betaalverzoek'!$A:$A,Keuze_DB_Nr)</f>
        <v>0</v>
      </c>
      <c r="N35" s="97" t="str">
        <f>IF($C35&lt;&gt;"",SUMIFS('8. Uitgaven betaalverzoek'!$Z:$Z,'8. Uitgaven betaalverzoek'!$E:$E,$A35,'8. Uitgaven betaalverzoek'!$F:$F,$B35,'8. Uitgaven betaalverzoek'!$A:$A,Keuze_DB_Nr),"")</f>
        <v/>
      </c>
      <c r="O35" s="97" t="str">
        <f>IF($C35&lt;&gt;"",SUMIFS('8. Uitgaven betaalverzoek'!$AA:$AA,'8. Uitgaven betaalverzoek'!$E:$E,$A35,'8. Uitgaven betaalverzoek'!$F:$F,$B35,'8. Uitgaven betaalverzoek'!$A:$A,Keuze_DB_Nr),"")</f>
        <v/>
      </c>
      <c r="P35" s="97">
        <f t="shared" si="5"/>
        <v>0</v>
      </c>
      <c r="Q35" s="97">
        <f t="shared" si="6"/>
        <v>0</v>
      </c>
      <c r="R35" s="97">
        <f>SUMIFS('8. Uitgaven betaalverzoek'!$W:$W,'8. Uitgaven betaalverzoek'!$E:$E,$A35,'8. Uitgaven betaalverzoek'!$F:$F,$B35,'8. Uitgaven betaalverzoek'!$A:$A,Keuze_DB_Nr_BEO)</f>
        <v>0</v>
      </c>
      <c r="S35" s="97">
        <f>SUMIFS('8. Uitgaven betaalverzoek'!$X:$X,'8. Uitgaven betaalverzoek'!$E:$E,$A35,'8. Uitgaven betaalverzoek'!$F:$F,$B35,'8. Uitgaven betaalverzoek'!$A:$A,Keuze_DB_Nr_BEO)</f>
        <v>0</v>
      </c>
      <c r="T35" s="97" t="str">
        <f>IF($C35&lt;&gt;"",SUMIFS('8. Uitgaven betaalverzoek'!$Z:$Z,'8. Uitgaven betaalverzoek'!$E:$E,$A35,'8. Uitgaven betaalverzoek'!$F:$F,$B35,'8. Uitgaven betaalverzoek'!$A:$A,Keuze_DB_Nr_BEO),"")</f>
        <v/>
      </c>
      <c r="U35" s="97" t="str">
        <f>IF($C35&lt;&gt;"",SUMIFS('8. Uitgaven betaalverzoek'!$AA:$AA,'8. Uitgaven betaalverzoek'!$E:$E,$A35,'8. Uitgaven betaalverzoek'!$F:$F,$B35,'8. Uitgaven betaalverzoek'!$A:$A,Keuze_DB_Nr_BEO),"")</f>
        <v/>
      </c>
      <c r="V35" s="97">
        <f t="shared" si="2"/>
        <v>0</v>
      </c>
      <c r="W35" s="97">
        <f t="shared" si="3"/>
        <v>0</v>
      </c>
    </row>
    <row r="36" spans="1:23" x14ac:dyDescent="0.25">
      <c r="A36" s="63"/>
      <c r="B36" s="63"/>
      <c r="C36" s="86" t="str" cm="1">
        <f t="array" ref="C36">IFERROR(INDEX(Tb_KostenOpties[],MATCH(B36,Tb_KostenOptiesDB[KostenOptie],0),IFERROR(MATCH(Methode_Keuze,Tb_KostenOptiesDB[#Headers],0),2)),"")</f>
        <v/>
      </c>
      <c r="D36" s="98">
        <f>IFERROR(INDEX(Tb_ProjectKosten[],MATCH($B36,Tb_ProjectKosten[Begroting],0),6),0)</f>
        <v>0</v>
      </c>
      <c r="E36" s="96">
        <f>SUMIFS('8. Uitgaven betaalverzoek'!$W:$W,'8. Uitgaven betaalverzoek'!$E:$E,$A36,'8. Uitgaven betaalverzoek'!$F:$F,$B36)</f>
        <v>0</v>
      </c>
      <c r="F36" s="96">
        <f>SUMIFS('8. Uitgaven betaalverzoek'!$X:$X,'8. Uitgaven betaalverzoek'!$E:$E,$A36,'8. Uitgaven betaalverzoek'!$F:$F,$B36)</f>
        <v>0</v>
      </c>
      <c r="G36" s="96" t="str">
        <f>IF(C36&lt;&gt;"",SUMIFS('8. Uitgaven betaalverzoek'!$Z:$Z,'8. Uitgaven betaalverzoek'!$E:$E,$A36,'8. Uitgaven betaalverzoek'!$F:$F,$B36),"")</f>
        <v/>
      </c>
      <c r="H36" s="96" t="str">
        <f>IF(C36&lt;&gt;"",SUMIFS('8. Uitgaven betaalverzoek'!$AA:$AA,'8. Uitgaven betaalverzoek'!$E:$E,$A36,'8. Uitgaven betaalverzoek'!$F:$F,$B36),"")</f>
        <v/>
      </c>
      <c r="I36" s="98" t="str">
        <f>IFERROR(VLOOKUP(A36,Lijsten!$AK:$AL,2,0),"")</f>
        <v/>
      </c>
      <c r="J36" s="96">
        <f t="shared" si="4"/>
        <v>0</v>
      </c>
      <c r="K36" s="96">
        <f t="shared" si="1"/>
        <v>0</v>
      </c>
      <c r="L36" s="96">
        <f>SUMIFS('8. Uitgaven betaalverzoek'!$W:$W,'8. Uitgaven betaalverzoek'!$E:$E,$A36,'8. Uitgaven betaalverzoek'!$F:$F,$B36,'8. Uitgaven betaalverzoek'!$A:$A,Keuze_DB_Nr)</f>
        <v>0</v>
      </c>
      <c r="M36" s="96">
        <f>SUMIFS('8. Uitgaven betaalverzoek'!$X:$X,'8. Uitgaven betaalverzoek'!$E:$E,$A36,'8. Uitgaven betaalverzoek'!$F:$F,$B36,'8. Uitgaven betaalverzoek'!$A:$A,Keuze_DB_Nr)</f>
        <v>0</v>
      </c>
      <c r="N36" s="96" t="str">
        <f>IF($C36&lt;&gt;"",SUMIFS('8. Uitgaven betaalverzoek'!$Z:$Z,'8. Uitgaven betaalverzoek'!$E:$E,$A36,'8. Uitgaven betaalverzoek'!$F:$F,$B36,'8. Uitgaven betaalverzoek'!$A:$A,Keuze_DB_Nr),"")</f>
        <v/>
      </c>
      <c r="O36" s="96" t="str">
        <f>IF($C36&lt;&gt;"",SUMIFS('8. Uitgaven betaalverzoek'!$AA:$AA,'8. Uitgaven betaalverzoek'!$E:$E,$A36,'8. Uitgaven betaalverzoek'!$F:$F,$B36,'8. Uitgaven betaalverzoek'!$A:$A,Keuze_DB_Nr),"")</f>
        <v/>
      </c>
      <c r="P36" s="96">
        <f t="shared" si="5"/>
        <v>0</v>
      </c>
      <c r="Q36" s="96">
        <f t="shared" si="6"/>
        <v>0</v>
      </c>
      <c r="R36" s="96">
        <f>SUMIFS('8. Uitgaven betaalverzoek'!$W:$W,'8. Uitgaven betaalverzoek'!$E:$E,$A36,'8. Uitgaven betaalverzoek'!$F:$F,$B36,'8. Uitgaven betaalverzoek'!$A:$A,Keuze_DB_Nr_BEO)</f>
        <v>0</v>
      </c>
      <c r="S36" s="96">
        <f>SUMIFS('8. Uitgaven betaalverzoek'!$X:$X,'8. Uitgaven betaalverzoek'!$E:$E,$A36,'8. Uitgaven betaalverzoek'!$F:$F,$B36,'8. Uitgaven betaalverzoek'!$A:$A,Keuze_DB_Nr_BEO)</f>
        <v>0</v>
      </c>
      <c r="T36" s="96" t="str">
        <f>IF($C36&lt;&gt;"",SUMIFS('8. Uitgaven betaalverzoek'!$Z:$Z,'8. Uitgaven betaalverzoek'!$E:$E,$A36,'8. Uitgaven betaalverzoek'!$F:$F,$B36,'8. Uitgaven betaalverzoek'!$A:$A,Keuze_DB_Nr_BEO),"")</f>
        <v/>
      </c>
      <c r="U36" s="96" t="str">
        <f>IF($C36&lt;&gt;"",SUMIFS('8. Uitgaven betaalverzoek'!$AA:$AA,'8. Uitgaven betaalverzoek'!$E:$E,$A36,'8. Uitgaven betaalverzoek'!$F:$F,$B36,'8. Uitgaven betaalverzoek'!$A:$A,Keuze_DB_Nr_BEO),"")</f>
        <v/>
      </c>
      <c r="V36" s="96">
        <f t="shared" si="2"/>
        <v>0</v>
      </c>
      <c r="W36" s="96">
        <f t="shared" si="3"/>
        <v>0</v>
      </c>
    </row>
    <row r="37" spans="1:23" x14ac:dyDescent="0.25">
      <c r="A37" s="12"/>
      <c r="B37" s="12"/>
      <c r="C37" s="87" t="str" cm="1">
        <f t="array" ref="C37">IFERROR(INDEX(Tb_KostenOpties[],MATCH(B37,Tb_KostenOptiesDB[KostenOptie],0),IFERROR(MATCH(Methode_Keuze,Tb_KostenOptiesDB[#Headers],0),2)),"")</f>
        <v/>
      </c>
      <c r="D37" s="99">
        <f>IFERROR(INDEX(Tb_ProjectKosten[],MATCH($B37,Tb_ProjectKosten[Begroting],0),6),0)</f>
        <v>0</v>
      </c>
      <c r="E37" s="97">
        <f>SUMIFS('8. Uitgaven betaalverzoek'!$W:$W,'8. Uitgaven betaalverzoek'!$E:$E,$A37,'8. Uitgaven betaalverzoek'!$F:$F,$B37)</f>
        <v>0</v>
      </c>
      <c r="F37" s="97">
        <f>SUMIFS('8. Uitgaven betaalverzoek'!$X:$X,'8. Uitgaven betaalverzoek'!$E:$E,$A37,'8. Uitgaven betaalverzoek'!$F:$F,$B37)</f>
        <v>0</v>
      </c>
      <c r="G37" s="97" t="str">
        <f>IF(C37&lt;&gt;"",SUMIFS('8. Uitgaven betaalverzoek'!$Z:$Z,'8. Uitgaven betaalverzoek'!$E:$E,$A37,'8. Uitgaven betaalverzoek'!$F:$F,$B37),"")</f>
        <v/>
      </c>
      <c r="H37" s="97" t="str">
        <f>IF(C37&lt;&gt;"",SUMIFS('8. Uitgaven betaalverzoek'!$AA:$AA,'8. Uitgaven betaalverzoek'!$E:$E,$A37,'8. Uitgaven betaalverzoek'!$F:$F,$B37),"")</f>
        <v/>
      </c>
      <c r="I37" s="99" t="str">
        <f>IFERROR(VLOOKUP(A37,Lijsten!$AK:$AL,2,0),"")</f>
        <v/>
      </c>
      <c r="J37" s="97">
        <f t="shared" si="4"/>
        <v>0</v>
      </c>
      <c r="K37" s="97">
        <f t="shared" si="1"/>
        <v>0</v>
      </c>
      <c r="L37" s="97">
        <f>SUMIFS('8. Uitgaven betaalverzoek'!$W:$W,'8. Uitgaven betaalverzoek'!$E:$E,$A37,'8. Uitgaven betaalverzoek'!$F:$F,$B37,'8. Uitgaven betaalverzoek'!$A:$A,Keuze_DB_Nr)</f>
        <v>0</v>
      </c>
      <c r="M37" s="97">
        <f>SUMIFS('8. Uitgaven betaalverzoek'!$X:$X,'8. Uitgaven betaalverzoek'!$E:$E,$A37,'8. Uitgaven betaalverzoek'!$F:$F,$B37,'8. Uitgaven betaalverzoek'!$A:$A,Keuze_DB_Nr)</f>
        <v>0</v>
      </c>
      <c r="N37" s="97" t="str">
        <f>IF($C37&lt;&gt;"",SUMIFS('8. Uitgaven betaalverzoek'!$Z:$Z,'8. Uitgaven betaalverzoek'!$E:$E,$A37,'8. Uitgaven betaalverzoek'!$F:$F,$B37,'8. Uitgaven betaalverzoek'!$A:$A,Keuze_DB_Nr),"")</f>
        <v/>
      </c>
      <c r="O37" s="97" t="str">
        <f>IF($C37&lt;&gt;"",SUMIFS('8. Uitgaven betaalverzoek'!$AA:$AA,'8. Uitgaven betaalverzoek'!$E:$E,$A37,'8. Uitgaven betaalverzoek'!$F:$F,$B37,'8. Uitgaven betaalverzoek'!$A:$A,Keuze_DB_Nr),"")</f>
        <v/>
      </c>
      <c r="P37" s="97">
        <f t="shared" si="5"/>
        <v>0</v>
      </c>
      <c r="Q37" s="97">
        <f t="shared" si="6"/>
        <v>0</v>
      </c>
      <c r="R37" s="97">
        <f>SUMIFS('8. Uitgaven betaalverzoek'!$W:$W,'8. Uitgaven betaalverzoek'!$E:$E,$A37,'8. Uitgaven betaalverzoek'!$F:$F,$B37,'8. Uitgaven betaalverzoek'!$A:$A,Keuze_DB_Nr_BEO)</f>
        <v>0</v>
      </c>
      <c r="S37" s="97">
        <f>SUMIFS('8. Uitgaven betaalverzoek'!$X:$X,'8. Uitgaven betaalverzoek'!$E:$E,$A37,'8. Uitgaven betaalverzoek'!$F:$F,$B37,'8. Uitgaven betaalverzoek'!$A:$A,Keuze_DB_Nr_BEO)</f>
        <v>0</v>
      </c>
      <c r="T37" s="97" t="str">
        <f>IF($C37&lt;&gt;"",SUMIFS('8. Uitgaven betaalverzoek'!$Z:$Z,'8. Uitgaven betaalverzoek'!$E:$E,$A37,'8. Uitgaven betaalverzoek'!$F:$F,$B37,'8. Uitgaven betaalverzoek'!$A:$A,Keuze_DB_Nr_BEO),"")</f>
        <v/>
      </c>
      <c r="U37" s="97" t="str">
        <f>IF($C37&lt;&gt;"",SUMIFS('8. Uitgaven betaalverzoek'!$AA:$AA,'8. Uitgaven betaalverzoek'!$E:$E,$A37,'8. Uitgaven betaalverzoek'!$F:$F,$B37,'8. Uitgaven betaalverzoek'!$A:$A,Keuze_DB_Nr_BEO),"")</f>
        <v/>
      </c>
      <c r="V37" s="97">
        <f t="shared" si="2"/>
        <v>0</v>
      </c>
      <c r="W37" s="97">
        <f t="shared" si="3"/>
        <v>0</v>
      </c>
    </row>
    <row r="38" spans="1:23" x14ac:dyDescent="0.25">
      <c r="A38" s="63"/>
      <c r="B38" s="63"/>
      <c r="C38" s="86" t="str" cm="1">
        <f t="array" ref="C38">IFERROR(INDEX(Tb_KostenOpties[],MATCH(B38,Tb_KostenOptiesDB[KostenOptie],0),IFERROR(MATCH(Methode_Keuze,Tb_KostenOptiesDB[#Headers],0),2)),"")</f>
        <v/>
      </c>
      <c r="D38" s="98">
        <f>IFERROR(INDEX(Tb_ProjectKosten[],MATCH($B38,Tb_ProjectKosten[Begroting],0),6),0)</f>
        <v>0</v>
      </c>
      <c r="E38" s="96">
        <f>SUMIFS('8. Uitgaven betaalverzoek'!$W:$W,'8. Uitgaven betaalverzoek'!$E:$E,$A38,'8. Uitgaven betaalverzoek'!$F:$F,$B38)</f>
        <v>0</v>
      </c>
      <c r="F38" s="96">
        <f>SUMIFS('8. Uitgaven betaalverzoek'!$X:$X,'8. Uitgaven betaalverzoek'!$E:$E,$A38,'8. Uitgaven betaalverzoek'!$F:$F,$B38)</f>
        <v>0</v>
      </c>
      <c r="G38" s="96" t="str">
        <f>IF(C38&lt;&gt;"",SUMIFS('8. Uitgaven betaalverzoek'!$Z:$Z,'8. Uitgaven betaalverzoek'!$E:$E,$A38,'8. Uitgaven betaalverzoek'!$F:$F,$B38),"")</f>
        <v/>
      </c>
      <c r="H38" s="96" t="str">
        <f>IF(C38&lt;&gt;"",SUMIFS('8. Uitgaven betaalverzoek'!$AA:$AA,'8. Uitgaven betaalverzoek'!$E:$E,$A38,'8. Uitgaven betaalverzoek'!$F:$F,$B38),"")</f>
        <v/>
      </c>
      <c r="I38" s="98" t="str">
        <f>IFERROR(VLOOKUP(A38,Lijsten!$AK:$AL,2,0),"")</f>
        <v/>
      </c>
      <c r="J38" s="96">
        <f t="shared" si="4"/>
        <v>0</v>
      </c>
      <c r="K38" s="96">
        <f t="shared" si="1"/>
        <v>0</v>
      </c>
      <c r="L38" s="96">
        <f>SUMIFS('8. Uitgaven betaalverzoek'!$W:$W,'8. Uitgaven betaalverzoek'!$E:$E,$A38,'8. Uitgaven betaalverzoek'!$F:$F,$B38,'8. Uitgaven betaalverzoek'!$A:$A,Keuze_DB_Nr)</f>
        <v>0</v>
      </c>
      <c r="M38" s="96">
        <f>SUMIFS('8. Uitgaven betaalverzoek'!$X:$X,'8. Uitgaven betaalverzoek'!$E:$E,$A38,'8. Uitgaven betaalverzoek'!$F:$F,$B38,'8. Uitgaven betaalverzoek'!$A:$A,Keuze_DB_Nr)</f>
        <v>0</v>
      </c>
      <c r="N38" s="96" t="str">
        <f>IF($C38&lt;&gt;"",SUMIFS('8. Uitgaven betaalverzoek'!$Z:$Z,'8. Uitgaven betaalverzoek'!$E:$E,$A38,'8. Uitgaven betaalverzoek'!$F:$F,$B38,'8. Uitgaven betaalverzoek'!$A:$A,Keuze_DB_Nr),"")</f>
        <v/>
      </c>
      <c r="O38" s="96" t="str">
        <f>IF($C38&lt;&gt;"",SUMIFS('8. Uitgaven betaalverzoek'!$AA:$AA,'8. Uitgaven betaalverzoek'!$E:$E,$A38,'8. Uitgaven betaalverzoek'!$F:$F,$B38,'8. Uitgaven betaalverzoek'!$A:$A,Keuze_DB_Nr),"")</f>
        <v/>
      </c>
      <c r="P38" s="96">
        <f t="shared" si="5"/>
        <v>0</v>
      </c>
      <c r="Q38" s="96">
        <f t="shared" si="6"/>
        <v>0</v>
      </c>
      <c r="R38" s="96">
        <f>SUMIFS('8. Uitgaven betaalverzoek'!$W:$W,'8. Uitgaven betaalverzoek'!$E:$E,$A38,'8. Uitgaven betaalverzoek'!$F:$F,$B38,'8. Uitgaven betaalverzoek'!$A:$A,Keuze_DB_Nr_BEO)</f>
        <v>0</v>
      </c>
      <c r="S38" s="96">
        <f>SUMIFS('8. Uitgaven betaalverzoek'!$X:$X,'8. Uitgaven betaalverzoek'!$E:$E,$A38,'8. Uitgaven betaalverzoek'!$F:$F,$B38,'8. Uitgaven betaalverzoek'!$A:$A,Keuze_DB_Nr_BEO)</f>
        <v>0</v>
      </c>
      <c r="T38" s="96" t="str">
        <f>IF($C38&lt;&gt;"",SUMIFS('8. Uitgaven betaalverzoek'!$Z:$Z,'8. Uitgaven betaalverzoek'!$E:$E,$A38,'8. Uitgaven betaalverzoek'!$F:$F,$B38,'8. Uitgaven betaalverzoek'!$A:$A,Keuze_DB_Nr_BEO),"")</f>
        <v/>
      </c>
      <c r="U38" s="96" t="str">
        <f>IF($C38&lt;&gt;"",SUMIFS('8. Uitgaven betaalverzoek'!$AA:$AA,'8. Uitgaven betaalverzoek'!$E:$E,$A38,'8. Uitgaven betaalverzoek'!$F:$F,$B38,'8. Uitgaven betaalverzoek'!$A:$A,Keuze_DB_Nr_BEO),"")</f>
        <v/>
      </c>
      <c r="V38" s="96">
        <f t="shared" si="2"/>
        <v>0</v>
      </c>
      <c r="W38" s="96">
        <f t="shared" si="3"/>
        <v>0</v>
      </c>
    </row>
    <row r="39" spans="1:23" x14ac:dyDescent="0.25">
      <c r="A39" s="12"/>
      <c r="B39" s="12"/>
      <c r="C39" s="87" t="str" cm="1">
        <f t="array" ref="C39">IFERROR(INDEX(Tb_KostenOpties[],MATCH(B39,Tb_KostenOptiesDB[KostenOptie],0),IFERROR(MATCH(Methode_Keuze,Tb_KostenOptiesDB[#Headers],0),2)),"")</f>
        <v/>
      </c>
      <c r="D39" s="99">
        <f>IFERROR(INDEX(Tb_ProjectKosten[],MATCH($B39,Tb_ProjectKosten[Begroting],0),6),0)</f>
        <v>0</v>
      </c>
      <c r="E39" s="97">
        <f>SUMIFS('8. Uitgaven betaalverzoek'!$W:$W,'8. Uitgaven betaalverzoek'!$E:$E,$A39,'8. Uitgaven betaalverzoek'!$F:$F,$B39)</f>
        <v>0</v>
      </c>
      <c r="F39" s="97">
        <f>SUMIFS('8. Uitgaven betaalverzoek'!$X:$X,'8. Uitgaven betaalverzoek'!$E:$E,$A39,'8. Uitgaven betaalverzoek'!$F:$F,$B39)</f>
        <v>0</v>
      </c>
      <c r="G39" s="97" t="str">
        <f>IF(C39&lt;&gt;"",SUMIFS('8. Uitgaven betaalverzoek'!$Z:$Z,'8. Uitgaven betaalverzoek'!$E:$E,$A39,'8. Uitgaven betaalverzoek'!$F:$F,$B39),"")</f>
        <v/>
      </c>
      <c r="H39" s="97" t="str">
        <f>IF(C39&lt;&gt;"",SUMIFS('8. Uitgaven betaalverzoek'!$AA:$AA,'8. Uitgaven betaalverzoek'!$E:$E,$A39,'8. Uitgaven betaalverzoek'!$F:$F,$B39),"")</f>
        <v/>
      </c>
      <c r="I39" s="99" t="str">
        <f>IFERROR(VLOOKUP(A39,Lijsten!$AK:$AL,2,0),"")</f>
        <v/>
      </c>
      <c r="J39" s="97">
        <f t="shared" si="4"/>
        <v>0</v>
      </c>
      <c r="K39" s="97">
        <f t="shared" si="1"/>
        <v>0</v>
      </c>
      <c r="L39" s="97">
        <f>SUMIFS('8. Uitgaven betaalverzoek'!$W:$W,'8. Uitgaven betaalverzoek'!$E:$E,$A39,'8. Uitgaven betaalverzoek'!$F:$F,$B39,'8. Uitgaven betaalverzoek'!$A:$A,Keuze_DB_Nr)</f>
        <v>0</v>
      </c>
      <c r="M39" s="97">
        <f>SUMIFS('8. Uitgaven betaalverzoek'!$X:$X,'8. Uitgaven betaalverzoek'!$E:$E,$A39,'8. Uitgaven betaalverzoek'!$F:$F,$B39,'8. Uitgaven betaalverzoek'!$A:$A,Keuze_DB_Nr)</f>
        <v>0</v>
      </c>
      <c r="N39" s="97" t="str">
        <f>IF($C39&lt;&gt;"",SUMIFS('8. Uitgaven betaalverzoek'!$Z:$Z,'8. Uitgaven betaalverzoek'!$E:$E,$A39,'8. Uitgaven betaalverzoek'!$F:$F,$B39,'8. Uitgaven betaalverzoek'!$A:$A,Keuze_DB_Nr),"")</f>
        <v/>
      </c>
      <c r="O39" s="97" t="str">
        <f>IF($C39&lt;&gt;"",SUMIFS('8. Uitgaven betaalverzoek'!$AA:$AA,'8. Uitgaven betaalverzoek'!$E:$E,$A39,'8. Uitgaven betaalverzoek'!$F:$F,$B39,'8. Uitgaven betaalverzoek'!$A:$A,Keuze_DB_Nr),"")</f>
        <v/>
      </c>
      <c r="P39" s="97">
        <f t="shared" si="5"/>
        <v>0</v>
      </c>
      <c r="Q39" s="97">
        <f t="shared" si="6"/>
        <v>0</v>
      </c>
      <c r="R39" s="97">
        <f>SUMIFS('8. Uitgaven betaalverzoek'!$W:$W,'8. Uitgaven betaalverzoek'!$E:$E,$A39,'8. Uitgaven betaalverzoek'!$F:$F,$B39,'8. Uitgaven betaalverzoek'!$A:$A,Keuze_DB_Nr_BEO)</f>
        <v>0</v>
      </c>
      <c r="S39" s="97">
        <f>SUMIFS('8. Uitgaven betaalverzoek'!$X:$X,'8. Uitgaven betaalverzoek'!$E:$E,$A39,'8. Uitgaven betaalverzoek'!$F:$F,$B39,'8. Uitgaven betaalverzoek'!$A:$A,Keuze_DB_Nr_BEO)</f>
        <v>0</v>
      </c>
      <c r="T39" s="97" t="str">
        <f>IF($C39&lt;&gt;"",SUMIFS('8. Uitgaven betaalverzoek'!$Z:$Z,'8. Uitgaven betaalverzoek'!$E:$E,$A39,'8. Uitgaven betaalverzoek'!$F:$F,$B39,'8. Uitgaven betaalverzoek'!$A:$A,Keuze_DB_Nr_BEO),"")</f>
        <v/>
      </c>
      <c r="U39" s="97" t="str">
        <f>IF($C39&lt;&gt;"",SUMIFS('8. Uitgaven betaalverzoek'!$AA:$AA,'8. Uitgaven betaalverzoek'!$E:$E,$A39,'8. Uitgaven betaalverzoek'!$F:$F,$B39,'8. Uitgaven betaalverzoek'!$A:$A,Keuze_DB_Nr_BEO),"")</f>
        <v/>
      </c>
      <c r="V39" s="97">
        <f t="shared" si="2"/>
        <v>0</v>
      </c>
      <c r="W39" s="97">
        <f t="shared" si="3"/>
        <v>0</v>
      </c>
    </row>
    <row r="40" spans="1:23" x14ac:dyDescent="0.25">
      <c r="A40" s="63"/>
      <c r="B40" s="63"/>
      <c r="C40" s="86" t="str" cm="1">
        <f t="array" ref="C40">IFERROR(INDEX(Tb_KostenOpties[],MATCH(B40,Tb_KostenOptiesDB[KostenOptie],0),IFERROR(MATCH(Methode_Keuze,Tb_KostenOptiesDB[#Headers],0),2)),"")</f>
        <v/>
      </c>
      <c r="D40" s="98">
        <f>IFERROR(INDEX(Tb_ProjectKosten[],MATCH($B40,Tb_ProjectKosten[Begroting],0),6),0)</f>
        <v>0</v>
      </c>
      <c r="E40" s="96">
        <f>SUMIFS('8. Uitgaven betaalverzoek'!$W:$W,'8. Uitgaven betaalverzoek'!$E:$E,$A40,'8. Uitgaven betaalverzoek'!$F:$F,$B40)</f>
        <v>0</v>
      </c>
      <c r="F40" s="96">
        <f>SUMIFS('8. Uitgaven betaalverzoek'!$X:$X,'8. Uitgaven betaalverzoek'!$E:$E,$A40,'8. Uitgaven betaalverzoek'!$F:$F,$B40)</f>
        <v>0</v>
      </c>
      <c r="G40" s="96" t="str">
        <f>IF(C40&lt;&gt;"",SUMIFS('8. Uitgaven betaalverzoek'!$Z:$Z,'8. Uitgaven betaalverzoek'!$E:$E,$A40,'8. Uitgaven betaalverzoek'!$F:$F,$B40),"")</f>
        <v/>
      </c>
      <c r="H40" s="96" t="str">
        <f>IF(C40&lt;&gt;"",SUMIFS('8. Uitgaven betaalverzoek'!$AA:$AA,'8. Uitgaven betaalverzoek'!$E:$E,$A40,'8. Uitgaven betaalverzoek'!$F:$F,$B40),"")</f>
        <v/>
      </c>
      <c r="I40" s="98" t="str">
        <f>IFERROR(VLOOKUP(A40,Lijsten!$AK:$AL,2,0),"")</f>
        <v/>
      </c>
      <c r="J40" s="96">
        <f t="shared" si="4"/>
        <v>0</v>
      </c>
      <c r="K40" s="96">
        <f t="shared" si="1"/>
        <v>0</v>
      </c>
      <c r="L40" s="96">
        <f>SUMIFS('8. Uitgaven betaalverzoek'!$W:$W,'8. Uitgaven betaalverzoek'!$E:$E,$A40,'8. Uitgaven betaalverzoek'!$F:$F,$B40,'8. Uitgaven betaalverzoek'!$A:$A,Keuze_DB_Nr)</f>
        <v>0</v>
      </c>
      <c r="M40" s="96">
        <f>SUMIFS('8. Uitgaven betaalverzoek'!$X:$X,'8. Uitgaven betaalverzoek'!$E:$E,$A40,'8. Uitgaven betaalverzoek'!$F:$F,$B40,'8. Uitgaven betaalverzoek'!$A:$A,Keuze_DB_Nr)</f>
        <v>0</v>
      </c>
      <c r="N40" s="96" t="str">
        <f>IF($C40&lt;&gt;"",SUMIFS('8. Uitgaven betaalverzoek'!$Z:$Z,'8. Uitgaven betaalverzoek'!$E:$E,$A40,'8. Uitgaven betaalverzoek'!$F:$F,$B40,'8. Uitgaven betaalverzoek'!$A:$A,Keuze_DB_Nr),"")</f>
        <v/>
      </c>
      <c r="O40" s="96" t="str">
        <f>IF($C40&lt;&gt;"",SUMIFS('8. Uitgaven betaalverzoek'!$AA:$AA,'8. Uitgaven betaalverzoek'!$E:$E,$A40,'8. Uitgaven betaalverzoek'!$F:$F,$B40,'8. Uitgaven betaalverzoek'!$A:$A,Keuze_DB_Nr),"")</f>
        <v/>
      </c>
      <c r="P40" s="96">
        <f t="shared" si="5"/>
        <v>0</v>
      </c>
      <c r="Q40" s="96">
        <f t="shared" si="6"/>
        <v>0</v>
      </c>
      <c r="R40" s="96">
        <f>SUMIFS('8. Uitgaven betaalverzoek'!$W:$W,'8. Uitgaven betaalverzoek'!$E:$E,$A40,'8. Uitgaven betaalverzoek'!$F:$F,$B40,'8. Uitgaven betaalverzoek'!$A:$A,Keuze_DB_Nr_BEO)</f>
        <v>0</v>
      </c>
      <c r="S40" s="96">
        <f>SUMIFS('8. Uitgaven betaalverzoek'!$X:$X,'8. Uitgaven betaalverzoek'!$E:$E,$A40,'8. Uitgaven betaalverzoek'!$F:$F,$B40,'8. Uitgaven betaalverzoek'!$A:$A,Keuze_DB_Nr_BEO)</f>
        <v>0</v>
      </c>
      <c r="T40" s="96" t="str">
        <f>IF($C40&lt;&gt;"",SUMIFS('8. Uitgaven betaalverzoek'!$Z:$Z,'8. Uitgaven betaalverzoek'!$E:$E,$A40,'8. Uitgaven betaalverzoek'!$F:$F,$B40,'8. Uitgaven betaalverzoek'!$A:$A,Keuze_DB_Nr_BEO),"")</f>
        <v/>
      </c>
      <c r="U40" s="96" t="str">
        <f>IF($C40&lt;&gt;"",SUMIFS('8. Uitgaven betaalverzoek'!$AA:$AA,'8. Uitgaven betaalverzoek'!$E:$E,$A40,'8. Uitgaven betaalverzoek'!$F:$F,$B40,'8. Uitgaven betaalverzoek'!$A:$A,Keuze_DB_Nr_BEO),"")</f>
        <v/>
      </c>
      <c r="V40" s="96">
        <f t="shared" si="2"/>
        <v>0</v>
      </c>
      <c r="W40" s="96">
        <f t="shared" si="3"/>
        <v>0</v>
      </c>
    </row>
    <row r="41" spans="1:23" x14ac:dyDescent="0.25">
      <c r="A41" s="12"/>
      <c r="B41" s="12"/>
      <c r="C41" s="87" t="str" cm="1">
        <f t="array" ref="C41">IFERROR(INDEX(Tb_KostenOpties[],MATCH(B41,Tb_KostenOptiesDB[KostenOptie],0),IFERROR(MATCH(Methode_Keuze,Tb_KostenOptiesDB[#Headers],0),2)),"")</f>
        <v/>
      </c>
      <c r="D41" s="99">
        <f>IFERROR(INDEX(Tb_ProjectKosten[],MATCH($B41,Tb_ProjectKosten[Begroting],0),6),0)</f>
        <v>0</v>
      </c>
      <c r="E41" s="97">
        <f>SUMIFS('8. Uitgaven betaalverzoek'!$W:$W,'8. Uitgaven betaalverzoek'!$E:$E,$A41,'8. Uitgaven betaalverzoek'!$F:$F,$B41)</f>
        <v>0</v>
      </c>
      <c r="F41" s="97">
        <f>SUMIFS('8. Uitgaven betaalverzoek'!$X:$X,'8. Uitgaven betaalverzoek'!$E:$E,$A41,'8. Uitgaven betaalverzoek'!$F:$F,$B41)</f>
        <v>0</v>
      </c>
      <c r="G41" s="97" t="str">
        <f>IF(C41&lt;&gt;"",SUMIFS('8. Uitgaven betaalverzoek'!$Z:$Z,'8. Uitgaven betaalverzoek'!$E:$E,$A41,'8. Uitgaven betaalverzoek'!$F:$F,$B41),"")</f>
        <v/>
      </c>
      <c r="H41" s="97" t="str">
        <f>IF(C41&lt;&gt;"",SUMIFS('8. Uitgaven betaalverzoek'!$AA:$AA,'8. Uitgaven betaalverzoek'!$E:$E,$A41,'8. Uitgaven betaalverzoek'!$F:$F,$B41),"")</f>
        <v/>
      </c>
      <c r="I41" s="99" t="str">
        <f>IFERROR(VLOOKUP(A41,Lijsten!$AK:$AL,2,0),"")</f>
        <v/>
      </c>
      <c r="J41" s="97">
        <f t="shared" si="4"/>
        <v>0</v>
      </c>
      <c r="K41" s="97">
        <f t="shared" si="1"/>
        <v>0</v>
      </c>
      <c r="L41" s="97">
        <f>SUMIFS('8. Uitgaven betaalverzoek'!$W:$W,'8. Uitgaven betaalverzoek'!$E:$E,$A41,'8. Uitgaven betaalverzoek'!$F:$F,$B41,'8. Uitgaven betaalverzoek'!$A:$A,Keuze_DB_Nr)</f>
        <v>0</v>
      </c>
      <c r="M41" s="97">
        <f>SUMIFS('8. Uitgaven betaalverzoek'!$X:$X,'8. Uitgaven betaalverzoek'!$E:$E,$A41,'8. Uitgaven betaalverzoek'!$F:$F,$B41,'8. Uitgaven betaalverzoek'!$A:$A,Keuze_DB_Nr)</f>
        <v>0</v>
      </c>
      <c r="N41" s="97" t="str">
        <f>IF($C41&lt;&gt;"",SUMIFS('8. Uitgaven betaalverzoek'!$Z:$Z,'8. Uitgaven betaalverzoek'!$E:$E,$A41,'8. Uitgaven betaalverzoek'!$F:$F,$B41,'8. Uitgaven betaalverzoek'!$A:$A,Keuze_DB_Nr),"")</f>
        <v/>
      </c>
      <c r="O41" s="97" t="str">
        <f>IF($C41&lt;&gt;"",SUMIFS('8. Uitgaven betaalverzoek'!$AA:$AA,'8. Uitgaven betaalverzoek'!$E:$E,$A41,'8. Uitgaven betaalverzoek'!$F:$F,$B41,'8. Uitgaven betaalverzoek'!$A:$A,Keuze_DB_Nr),"")</f>
        <v/>
      </c>
      <c r="P41" s="97">
        <f t="shared" si="5"/>
        <v>0</v>
      </c>
      <c r="Q41" s="97">
        <f t="shared" si="6"/>
        <v>0</v>
      </c>
      <c r="R41" s="97">
        <f>SUMIFS('8. Uitgaven betaalverzoek'!$W:$W,'8. Uitgaven betaalverzoek'!$E:$E,$A41,'8. Uitgaven betaalverzoek'!$F:$F,$B41,'8. Uitgaven betaalverzoek'!$A:$A,Keuze_DB_Nr_BEO)</f>
        <v>0</v>
      </c>
      <c r="S41" s="97">
        <f>SUMIFS('8. Uitgaven betaalverzoek'!$X:$X,'8. Uitgaven betaalverzoek'!$E:$E,$A41,'8. Uitgaven betaalverzoek'!$F:$F,$B41,'8. Uitgaven betaalverzoek'!$A:$A,Keuze_DB_Nr_BEO)</f>
        <v>0</v>
      </c>
      <c r="T41" s="97" t="str">
        <f>IF($C41&lt;&gt;"",SUMIFS('8. Uitgaven betaalverzoek'!$Z:$Z,'8. Uitgaven betaalverzoek'!$E:$E,$A41,'8. Uitgaven betaalverzoek'!$F:$F,$B41,'8. Uitgaven betaalverzoek'!$A:$A,Keuze_DB_Nr_BEO),"")</f>
        <v/>
      </c>
      <c r="U41" s="97" t="str">
        <f>IF($C41&lt;&gt;"",SUMIFS('8. Uitgaven betaalverzoek'!$AA:$AA,'8. Uitgaven betaalverzoek'!$E:$E,$A41,'8. Uitgaven betaalverzoek'!$F:$F,$B41,'8. Uitgaven betaalverzoek'!$A:$A,Keuze_DB_Nr_BEO),"")</f>
        <v/>
      </c>
      <c r="V41" s="97">
        <f t="shared" si="2"/>
        <v>0</v>
      </c>
      <c r="W41" s="97">
        <f t="shared" si="3"/>
        <v>0</v>
      </c>
    </row>
    <row r="42" spans="1:23" x14ac:dyDescent="0.25">
      <c r="A42" s="63"/>
      <c r="B42" s="63"/>
      <c r="C42" s="86" t="str" cm="1">
        <f t="array" ref="C42">IFERROR(INDEX(Tb_KostenOpties[],MATCH(B42,Tb_KostenOptiesDB[KostenOptie],0),IFERROR(MATCH(Methode_Keuze,Tb_KostenOptiesDB[#Headers],0),2)),"")</f>
        <v/>
      </c>
      <c r="D42" s="98">
        <f>IFERROR(INDEX(Tb_ProjectKosten[],MATCH($B42,Tb_ProjectKosten[Begroting],0),6),0)</f>
        <v>0</v>
      </c>
      <c r="E42" s="96">
        <f>SUMIFS('8. Uitgaven betaalverzoek'!$W:$W,'8. Uitgaven betaalverzoek'!$E:$E,$A42,'8. Uitgaven betaalverzoek'!$F:$F,$B42)</f>
        <v>0</v>
      </c>
      <c r="F42" s="96">
        <f>SUMIFS('8. Uitgaven betaalverzoek'!$X:$X,'8. Uitgaven betaalverzoek'!$E:$E,$A42,'8. Uitgaven betaalverzoek'!$F:$F,$B42)</f>
        <v>0</v>
      </c>
      <c r="G42" s="96" t="str">
        <f>IF(C42&lt;&gt;"",SUMIFS('8. Uitgaven betaalverzoek'!$Z:$Z,'8. Uitgaven betaalverzoek'!$E:$E,$A42,'8. Uitgaven betaalverzoek'!$F:$F,$B42),"")</f>
        <v/>
      </c>
      <c r="H42" s="96" t="str">
        <f>IF(C42&lt;&gt;"",SUMIFS('8. Uitgaven betaalverzoek'!$AA:$AA,'8. Uitgaven betaalverzoek'!$E:$E,$A42,'8. Uitgaven betaalverzoek'!$F:$F,$B42),"")</f>
        <v/>
      </c>
      <c r="I42" s="98" t="str">
        <f>IFERROR(VLOOKUP(A42,Lijsten!$AK:$AL,2,0),"")</f>
        <v/>
      </c>
      <c r="J42" s="96">
        <f t="shared" si="4"/>
        <v>0</v>
      </c>
      <c r="K42" s="96">
        <f t="shared" si="1"/>
        <v>0</v>
      </c>
      <c r="L42" s="96">
        <f>SUMIFS('8. Uitgaven betaalverzoek'!$W:$W,'8. Uitgaven betaalverzoek'!$E:$E,$A42,'8. Uitgaven betaalverzoek'!$F:$F,$B42,'8. Uitgaven betaalverzoek'!$A:$A,Keuze_DB_Nr)</f>
        <v>0</v>
      </c>
      <c r="M42" s="96">
        <f>SUMIFS('8. Uitgaven betaalverzoek'!$X:$X,'8. Uitgaven betaalverzoek'!$E:$E,$A42,'8. Uitgaven betaalverzoek'!$F:$F,$B42,'8. Uitgaven betaalverzoek'!$A:$A,Keuze_DB_Nr)</f>
        <v>0</v>
      </c>
      <c r="N42" s="96" t="str">
        <f>IF($C42&lt;&gt;"",SUMIFS('8. Uitgaven betaalverzoek'!$Z:$Z,'8. Uitgaven betaalverzoek'!$E:$E,$A42,'8. Uitgaven betaalverzoek'!$F:$F,$B42,'8. Uitgaven betaalverzoek'!$A:$A,Keuze_DB_Nr),"")</f>
        <v/>
      </c>
      <c r="O42" s="96" t="str">
        <f>IF($C42&lt;&gt;"",SUMIFS('8. Uitgaven betaalverzoek'!$AA:$AA,'8. Uitgaven betaalverzoek'!$E:$E,$A42,'8. Uitgaven betaalverzoek'!$F:$F,$B42,'8. Uitgaven betaalverzoek'!$A:$A,Keuze_DB_Nr),"")</f>
        <v/>
      </c>
      <c r="P42" s="96">
        <f t="shared" si="5"/>
        <v>0</v>
      </c>
      <c r="Q42" s="96">
        <f t="shared" si="6"/>
        <v>0</v>
      </c>
      <c r="R42" s="96">
        <f>SUMIFS('8. Uitgaven betaalverzoek'!$W:$W,'8. Uitgaven betaalverzoek'!$E:$E,$A42,'8. Uitgaven betaalverzoek'!$F:$F,$B42,'8. Uitgaven betaalverzoek'!$A:$A,Keuze_DB_Nr_BEO)</f>
        <v>0</v>
      </c>
      <c r="S42" s="96">
        <f>SUMIFS('8. Uitgaven betaalverzoek'!$X:$X,'8. Uitgaven betaalverzoek'!$E:$E,$A42,'8. Uitgaven betaalverzoek'!$F:$F,$B42,'8. Uitgaven betaalverzoek'!$A:$A,Keuze_DB_Nr_BEO)</f>
        <v>0</v>
      </c>
      <c r="T42" s="96" t="str">
        <f>IF($C42&lt;&gt;"",SUMIFS('8. Uitgaven betaalverzoek'!$Z:$Z,'8. Uitgaven betaalverzoek'!$E:$E,$A42,'8. Uitgaven betaalverzoek'!$F:$F,$B42,'8. Uitgaven betaalverzoek'!$A:$A,Keuze_DB_Nr_BEO),"")</f>
        <v/>
      </c>
      <c r="U42" s="96" t="str">
        <f>IF($C42&lt;&gt;"",SUMIFS('8. Uitgaven betaalverzoek'!$AA:$AA,'8. Uitgaven betaalverzoek'!$E:$E,$A42,'8. Uitgaven betaalverzoek'!$F:$F,$B42,'8. Uitgaven betaalverzoek'!$A:$A,Keuze_DB_Nr_BEO),"")</f>
        <v/>
      </c>
      <c r="V42" s="96">
        <f t="shared" si="2"/>
        <v>0</v>
      </c>
      <c r="W42" s="96">
        <f t="shared" si="3"/>
        <v>0</v>
      </c>
    </row>
    <row r="43" spans="1:23" x14ac:dyDescent="0.25">
      <c r="A43" s="12"/>
      <c r="B43" s="12"/>
      <c r="C43" s="87" t="str" cm="1">
        <f t="array" ref="C43">IFERROR(INDEX(Tb_KostenOpties[],MATCH(B43,Tb_KostenOptiesDB[KostenOptie],0),IFERROR(MATCH(Methode_Keuze,Tb_KostenOptiesDB[#Headers],0),2)),"")</f>
        <v/>
      </c>
      <c r="D43" s="99">
        <f>IFERROR(INDEX(Tb_ProjectKosten[],MATCH($B43,Tb_ProjectKosten[Begroting],0),6),0)</f>
        <v>0</v>
      </c>
      <c r="E43" s="97">
        <f>SUMIFS('8. Uitgaven betaalverzoek'!$W:$W,'8. Uitgaven betaalverzoek'!$E:$E,$A43,'8. Uitgaven betaalverzoek'!$F:$F,$B43)</f>
        <v>0</v>
      </c>
      <c r="F43" s="97">
        <f>SUMIFS('8. Uitgaven betaalverzoek'!$X:$X,'8. Uitgaven betaalverzoek'!$E:$E,$A43,'8. Uitgaven betaalverzoek'!$F:$F,$B43)</f>
        <v>0</v>
      </c>
      <c r="G43" s="97" t="str">
        <f>IF(C43&lt;&gt;"",SUMIFS('8. Uitgaven betaalverzoek'!$Z:$Z,'8. Uitgaven betaalverzoek'!$E:$E,$A43,'8. Uitgaven betaalverzoek'!$F:$F,$B43),"")</f>
        <v/>
      </c>
      <c r="H43" s="97" t="str">
        <f>IF(C43&lt;&gt;"",SUMIFS('8. Uitgaven betaalverzoek'!$AA:$AA,'8. Uitgaven betaalverzoek'!$E:$E,$A43,'8. Uitgaven betaalverzoek'!$F:$F,$B43),"")</f>
        <v/>
      </c>
      <c r="I43" s="99" t="str">
        <f>IFERROR(VLOOKUP(A43,Lijsten!$AK:$AL,2,0),"")</f>
        <v/>
      </c>
      <c r="J43" s="97">
        <f t="shared" si="4"/>
        <v>0</v>
      </c>
      <c r="K43" s="97">
        <f t="shared" si="1"/>
        <v>0</v>
      </c>
      <c r="L43" s="97">
        <f>SUMIFS('8. Uitgaven betaalverzoek'!$W:$W,'8. Uitgaven betaalverzoek'!$E:$E,$A43,'8. Uitgaven betaalverzoek'!$F:$F,$B43,'8. Uitgaven betaalverzoek'!$A:$A,Keuze_DB_Nr)</f>
        <v>0</v>
      </c>
      <c r="M43" s="97">
        <f>SUMIFS('8. Uitgaven betaalverzoek'!$X:$X,'8. Uitgaven betaalverzoek'!$E:$E,$A43,'8. Uitgaven betaalverzoek'!$F:$F,$B43,'8. Uitgaven betaalverzoek'!$A:$A,Keuze_DB_Nr)</f>
        <v>0</v>
      </c>
      <c r="N43" s="97" t="str">
        <f>IF($C43&lt;&gt;"",SUMIFS('8. Uitgaven betaalverzoek'!$Z:$Z,'8. Uitgaven betaalverzoek'!$E:$E,$A43,'8. Uitgaven betaalverzoek'!$F:$F,$B43,'8. Uitgaven betaalverzoek'!$A:$A,Keuze_DB_Nr),"")</f>
        <v/>
      </c>
      <c r="O43" s="97" t="str">
        <f>IF($C43&lt;&gt;"",SUMIFS('8. Uitgaven betaalverzoek'!$AA:$AA,'8. Uitgaven betaalverzoek'!$E:$E,$A43,'8. Uitgaven betaalverzoek'!$F:$F,$B43,'8. Uitgaven betaalverzoek'!$A:$A,Keuze_DB_Nr),"")</f>
        <v/>
      </c>
      <c r="P43" s="97">
        <f t="shared" si="5"/>
        <v>0</v>
      </c>
      <c r="Q43" s="97">
        <f t="shared" si="6"/>
        <v>0</v>
      </c>
      <c r="R43" s="97">
        <f>SUMIFS('8. Uitgaven betaalverzoek'!$W:$W,'8. Uitgaven betaalverzoek'!$E:$E,$A43,'8. Uitgaven betaalverzoek'!$F:$F,$B43,'8. Uitgaven betaalverzoek'!$A:$A,Keuze_DB_Nr_BEO)</f>
        <v>0</v>
      </c>
      <c r="S43" s="97">
        <f>SUMIFS('8. Uitgaven betaalverzoek'!$X:$X,'8. Uitgaven betaalverzoek'!$E:$E,$A43,'8. Uitgaven betaalverzoek'!$F:$F,$B43,'8. Uitgaven betaalverzoek'!$A:$A,Keuze_DB_Nr_BEO)</f>
        <v>0</v>
      </c>
      <c r="T43" s="97" t="str">
        <f>IF($C43&lt;&gt;"",SUMIFS('8. Uitgaven betaalverzoek'!$Z:$Z,'8. Uitgaven betaalverzoek'!$E:$E,$A43,'8. Uitgaven betaalverzoek'!$F:$F,$B43,'8. Uitgaven betaalverzoek'!$A:$A,Keuze_DB_Nr_BEO),"")</f>
        <v/>
      </c>
      <c r="U43" s="97" t="str">
        <f>IF($C43&lt;&gt;"",SUMIFS('8. Uitgaven betaalverzoek'!$AA:$AA,'8. Uitgaven betaalverzoek'!$E:$E,$A43,'8. Uitgaven betaalverzoek'!$F:$F,$B43,'8. Uitgaven betaalverzoek'!$A:$A,Keuze_DB_Nr_BEO),"")</f>
        <v/>
      </c>
      <c r="V43" s="97">
        <f t="shared" si="2"/>
        <v>0</v>
      </c>
      <c r="W43" s="97">
        <f t="shared" si="3"/>
        <v>0</v>
      </c>
    </row>
    <row r="44" spans="1:23" x14ac:dyDescent="0.25">
      <c r="A44" s="63"/>
      <c r="B44" s="63"/>
      <c r="C44" s="86" t="str" cm="1">
        <f t="array" ref="C44">IFERROR(INDEX(Tb_KostenOpties[],MATCH(B44,Tb_KostenOptiesDB[KostenOptie],0),IFERROR(MATCH(Methode_Keuze,Tb_KostenOptiesDB[#Headers],0),2)),"")</f>
        <v/>
      </c>
      <c r="D44" s="98">
        <f>IFERROR(INDEX(Tb_ProjectKosten[],MATCH($B44,Tb_ProjectKosten[Begroting],0),6),0)</f>
        <v>0</v>
      </c>
      <c r="E44" s="96">
        <f>SUMIFS('8. Uitgaven betaalverzoek'!$W:$W,'8. Uitgaven betaalverzoek'!$E:$E,$A44,'8. Uitgaven betaalverzoek'!$F:$F,$B44)</f>
        <v>0</v>
      </c>
      <c r="F44" s="96">
        <f>SUMIFS('8. Uitgaven betaalverzoek'!$X:$X,'8. Uitgaven betaalverzoek'!$E:$E,$A44,'8. Uitgaven betaalverzoek'!$F:$F,$B44)</f>
        <v>0</v>
      </c>
      <c r="G44" s="96" t="str">
        <f>IF(C44&lt;&gt;"",SUMIFS('8. Uitgaven betaalverzoek'!$Z:$Z,'8. Uitgaven betaalverzoek'!$E:$E,$A44,'8. Uitgaven betaalverzoek'!$F:$F,$B44),"")</f>
        <v/>
      </c>
      <c r="H44" s="96" t="str">
        <f>IF(C44&lt;&gt;"",SUMIFS('8. Uitgaven betaalverzoek'!$AA:$AA,'8. Uitgaven betaalverzoek'!$E:$E,$A44,'8. Uitgaven betaalverzoek'!$F:$F,$B44),"")</f>
        <v/>
      </c>
      <c r="I44" s="98" t="str">
        <f>IFERROR(VLOOKUP(A44,Lijsten!$AK:$AL,2,0),"")</f>
        <v/>
      </c>
      <c r="J44" s="96">
        <f t="shared" si="4"/>
        <v>0</v>
      </c>
      <c r="K44" s="96">
        <f t="shared" si="1"/>
        <v>0</v>
      </c>
      <c r="L44" s="96">
        <f>SUMIFS('8. Uitgaven betaalverzoek'!$W:$W,'8. Uitgaven betaalverzoek'!$E:$E,$A44,'8. Uitgaven betaalverzoek'!$F:$F,$B44,'8. Uitgaven betaalverzoek'!$A:$A,Keuze_DB_Nr)</f>
        <v>0</v>
      </c>
      <c r="M44" s="96">
        <f>SUMIFS('8. Uitgaven betaalverzoek'!$X:$X,'8. Uitgaven betaalverzoek'!$E:$E,$A44,'8. Uitgaven betaalverzoek'!$F:$F,$B44,'8. Uitgaven betaalverzoek'!$A:$A,Keuze_DB_Nr)</f>
        <v>0</v>
      </c>
      <c r="N44" s="96" t="str">
        <f>IF($C44&lt;&gt;"",SUMIFS('8. Uitgaven betaalverzoek'!$Z:$Z,'8. Uitgaven betaalverzoek'!$E:$E,$A44,'8. Uitgaven betaalverzoek'!$F:$F,$B44,'8. Uitgaven betaalverzoek'!$A:$A,Keuze_DB_Nr),"")</f>
        <v/>
      </c>
      <c r="O44" s="96" t="str">
        <f>IF($C44&lt;&gt;"",SUMIFS('8. Uitgaven betaalverzoek'!$AA:$AA,'8. Uitgaven betaalverzoek'!$E:$E,$A44,'8. Uitgaven betaalverzoek'!$F:$F,$B44,'8. Uitgaven betaalverzoek'!$A:$A,Keuze_DB_Nr),"")</f>
        <v/>
      </c>
      <c r="P44" s="96">
        <f t="shared" si="5"/>
        <v>0</v>
      </c>
      <c r="Q44" s="96">
        <f t="shared" si="6"/>
        <v>0</v>
      </c>
      <c r="R44" s="96">
        <f>SUMIFS('8. Uitgaven betaalverzoek'!$W:$W,'8. Uitgaven betaalverzoek'!$E:$E,$A44,'8. Uitgaven betaalverzoek'!$F:$F,$B44,'8. Uitgaven betaalverzoek'!$A:$A,Keuze_DB_Nr_BEO)</f>
        <v>0</v>
      </c>
      <c r="S44" s="96">
        <f>SUMIFS('8. Uitgaven betaalverzoek'!$X:$X,'8. Uitgaven betaalverzoek'!$E:$E,$A44,'8. Uitgaven betaalverzoek'!$F:$F,$B44,'8. Uitgaven betaalverzoek'!$A:$A,Keuze_DB_Nr_BEO)</f>
        <v>0</v>
      </c>
      <c r="T44" s="96" t="str">
        <f>IF($C44&lt;&gt;"",SUMIFS('8. Uitgaven betaalverzoek'!$Z:$Z,'8. Uitgaven betaalverzoek'!$E:$E,$A44,'8. Uitgaven betaalverzoek'!$F:$F,$B44,'8. Uitgaven betaalverzoek'!$A:$A,Keuze_DB_Nr_BEO),"")</f>
        <v/>
      </c>
      <c r="U44" s="96" t="str">
        <f>IF($C44&lt;&gt;"",SUMIFS('8. Uitgaven betaalverzoek'!$AA:$AA,'8. Uitgaven betaalverzoek'!$E:$E,$A44,'8. Uitgaven betaalverzoek'!$F:$F,$B44,'8. Uitgaven betaalverzoek'!$A:$A,Keuze_DB_Nr_BEO),"")</f>
        <v/>
      </c>
      <c r="V44" s="96">
        <f t="shared" si="2"/>
        <v>0</v>
      </c>
      <c r="W44" s="96">
        <f t="shared" si="3"/>
        <v>0</v>
      </c>
    </row>
    <row r="45" spans="1:23" x14ac:dyDescent="0.25">
      <c r="A45" s="12"/>
      <c r="B45" s="12"/>
      <c r="C45" s="87" t="str" cm="1">
        <f t="array" ref="C45">IFERROR(INDEX(Tb_KostenOpties[],MATCH(B45,Tb_KostenOptiesDB[KostenOptie],0),IFERROR(MATCH(Methode_Keuze,Tb_KostenOptiesDB[#Headers],0),2)),"")</f>
        <v/>
      </c>
      <c r="D45" s="99">
        <f>IFERROR(INDEX(Tb_ProjectKosten[],MATCH($B45,Tb_ProjectKosten[Begroting],0),6),0)</f>
        <v>0</v>
      </c>
      <c r="E45" s="97">
        <f>SUMIFS('8. Uitgaven betaalverzoek'!$W:$W,'8. Uitgaven betaalverzoek'!$E:$E,$A45,'8. Uitgaven betaalverzoek'!$F:$F,$B45)</f>
        <v>0</v>
      </c>
      <c r="F45" s="97">
        <f>SUMIFS('8. Uitgaven betaalverzoek'!$X:$X,'8. Uitgaven betaalverzoek'!$E:$E,$A45,'8. Uitgaven betaalverzoek'!$F:$F,$B45)</f>
        <v>0</v>
      </c>
      <c r="G45" s="97" t="str">
        <f>IF(C45&lt;&gt;"",SUMIFS('8. Uitgaven betaalverzoek'!$Z:$Z,'8. Uitgaven betaalverzoek'!$E:$E,$A45,'8. Uitgaven betaalverzoek'!$F:$F,$B45),"")</f>
        <v/>
      </c>
      <c r="H45" s="97" t="str">
        <f>IF(C45&lt;&gt;"",SUMIFS('8. Uitgaven betaalverzoek'!$AA:$AA,'8. Uitgaven betaalverzoek'!$E:$E,$A45,'8. Uitgaven betaalverzoek'!$F:$F,$B45),"")</f>
        <v/>
      </c>
      <c r="I45" s="99" t="str">
        <f>IFERROR(VLOOKUP(A45,Lijsten!$AK:$AL,2,0),"")</f>
        <v/>
      </c>
      <c r="J45" s="97">
        <f t="shared" si="4"/>
        <v>0</v>
      </c>
      <c r="K45" s="97">
        <f t="shared" si="1"/>
        <v>0</v>
      </c>
      <c r="L45" s="97">
        <f>SUMIFS('8. Uitgaven betaalverzoek'!$W:$W,'8. Uitgaven betaalverzoek'!$E:$E,$A45,'8. Uitgaven betaalverzoek'!$F:$F,$B45,'8. Uitgaven betaalverzoek'!$A:$A,Keuze_DB_Nr)</f>
        <v>0</v>
      </c>
      <c r="M45" s="97">
        <f>SUMIFS('8. Uitgaven betaalverzoek'!$X:$X,'8. Uitgaven betaalverzoek'!$E:$E,$A45,'8. Uitgaven betaalverzoek'!$F:$F,$B45,'8. Uitgaven betaalverzoek'!$A:$A,Keuze_DB_Nr)</f>
        <v>0</v>
      </c>
      <c r="N45" s="97" t="str">
        <f>IF($C45&lt;&gt;"",SUMIFS('8. Uitgaven betaalverzoek'!$Z:$Z,'8. Uitgaven betaalverzoek'!$E:$E,$A45,'8. Uitgaven betaalverzoek'!$F:$F,$B45,'8. Uitgaven betaalverzoek'!$A:$A,Keuze_DB_Nr),"")</f>
        <v/>
      </c>
      <c r="O45" s="97" t="str">
        <f>IF($C45&lt;&gt;"",SUMIFS('8. Uitgaven betaalverzoek'!$AA:$AA,'8. Uitgaven betaalverzoek'!$E:$E,$A45,'8. Uitgaven betaalverzoek'!$F:$F,$B45,'8. Uitgaven betaalverzoek'!$A:$A,Keuze_DB_Nr),"")</f>
        <v/>
      </c>
      <c r="P45" s="97">
        <f t="shared" si="5"/>
        <v>0</v>
      </c>
      <c r="Q45" s="97">
        <f t="shared" si="6"/>
        <v>0</v>
      </c>
      <c r="R45" s="97">
        <f>SUMIFS('8. Uitgaven betaalverzoek'!$W:$W,'8. Uitgaven betaalverzoek'!$E:$E,$A45,'8. Uitgaven betaalverzoek'!$F:$F,$B45,'8. Uitgaven betaalverzoek'!$A:$A,Keuze_DB_Nr_BEO)</f>
        <v>0</v>
      </c>
      <c r="S45" s="97">
        <f>SUMIFS('8. Uitgaven betaalverzoek'!$X:$X,'8. Uitgaven betaalverzoek'!$E:$E,$A45,'8. Uitgaven betaalverzoek'!$F:$F,$B45,'8. Uitgaven betaalverzoek'!$A:$A,Keuze_DB_Nr_BEO)</f>
        <v>0</v>
      </c>
      <c r="T45" s="97" t="str">
        <f>IF($C45&lt;&gt;"",SUMIFS('8. Uitgaven betaalverzoek'!$Z:$Z,'8. Uitgaven betaalverzoek'!$E:$E,$A45,'8. Uitgaven betaalverzoek'!$F:$F,$B45,'8. Uitgaven betaalverzoek'!$A:$A,Keuze_DB_Nr_BEO),"")</f>
        <v/>
      </c>
      <c r="U45" s="97" t="str">
        <f>IF($C45&lt;&gt;"",SUMIFS('8. Uitgaven betaalverzoek'!$AA:$AA,'8. Uitgaven betaalverzoek'!$E:$E,$A45,'8. Uitgaven betaalverzoek'!$F:$F,$B45,'8. Uitgaven betaalverzoek'!$A:$A,Keuze_DB_Nr_BEO),"")</f>
        <v/>
      </c>
      <c r="V45" s="97">
        <f t="shared" si="2"/>
        <v>0</v>
      </c>
      <c r="W45" s="97">
        <f t="shared" si="3"/>
        <v>0</v>
      </c>
    </row>
    <row r="46" spans="1:23" x14ac:dyDescent="0.25">
      <c r="A46" s="63"/>
      <c r="B46" s="63"/>
      <c r="C46" s="86" t="str" cm="1">
        <f t="array" ref="C46">IFERROR(INDEX(Tb_KostenOpties[],MATCH(B46,Tb_KostenOptiesDB[KostenOptie],0),IFERROR(MATCH(Methode_Keuze,Tb_KostenOptiesDB[#Headers],0),2)),"")</f>
        <v/>
      </c>
      <c r="D46" s="98">
        <f>IFERROR(INDEX(Tb_ProjectKosten[],MATCH($B46,Tb_ProjectKosten[Begroting],0),6),0)</f>
        <v>0</v>
      </c>
      <c r="E46" s="96">
        <f>SUMIFS('8. Uitgaven betaalverzoek'!$W:$W,'8. Uitgaven betaalverzoek'!$E:$E,$A46,'8. Uitgaven betaalverzoek'!$F:$F,$B46)</f>
        <v>0</v>
      </c>
      <c r="F46" s="96">
        <f>SUMIFS('8. Uitgaven betaalverzoek'!$X:$X,'8. Uitgaven betaalverzoek'!$E:$E,$A46,'8. Uitgaven betaalverzoek'!$F:$F,$B46)</f>
        <v>0</v>
      </c>
      <c r="G46" s="96" t="str">
        <f>IF(C46&lt;&gt;"",SUMIFS('8. Uitgaven betaalverzoek'!$Z:$Z,'8. Uitgaven betaalverzoek'!$E:$E,$A46,'8. Uitgaven betaalverzoek'!$F:$F,$B46),"")</f>
        <v/>
      </c>
      <c r="H46" s="96" t="str">
        <f>IF(C46&lt;&gt;"",SUMIFS('8. Uitgaven betaalverzoek'!$AA:$AA,'8. Uitgaven betaalverzoek'!$E:$E,$A46,'8. Uitgaven betaalverzoek'!$F:$F,$B46),"")</f>
        <v/>
      </c>
      <c r="I46" s="98" t="str">
        <f>IFERROR(VLOOKUP(A46,Lijsten!$AK:$AL,2,0),"")</f>
        <v/>
      </c>
      <c r="J46" s="96">
        <f t="shared" si="4"/>
        <v>0</v>
      </c>
      <c r="K46" s="96">
        <f t="shared" si="1"/>
        <v>0</v>
      </c>
      <c r="L46" s="96">
        <f>SUMIFS('8. Uitgaven betaalverzoek'!$W:$W,'8. Uitgaven betaalverzoek'!$E:$E,$A46,'8. Uitgaven betaalverzoek'!$F:$F,$B46,'8. Uitgaven betaalverzoek'!$A:$A,Keuze_DB_Nr)</f>
        <v>0</v>
      </c>
      <c r="M46" s="96">
        <f>SUMIFS('8. Uitgaven betaalverzoek'!$X:$X,'8. Uitgaven betaalverzoek'!$E:$E,$A46,'8. Uitgaven betaalverzoek'!$F:$F,$B46,'8. Uitgaven betaalverzoek'!$A:$A,Keuze_DB_Nr)</f>
        <v>0</v>
      </c>
      <c r="N46" s="96" t="str">
        <f>IF($C46&lt;&gt;"",SUMIFS('8. Uitgaven betaalverzoek'!$Z:$Z,'8. Uitgaven betaalverzoek'!$E:$E,$A46,'8. Uitgaven betaalverzoek'!$F:$F,$B46,'8. Uitgaven betaalverzoek'!$A:$A,Keuze_DB_Nr),"")</f>
        <v/>
      </c>
      <c r="O46" s="96" t="str">
        <f>IF($C46&lt;&gt;"",SUMIFS('8. Uitgaven betaalverzoek'!$AA:$AA,'8. Uitgaven betaalverzoek'!$E:$E,$A46,'8. Uitgaven betaalverzoek'!$F:$F,$B46,'8. Uitgaven betaalverzoek'!$A:$A,Keuze_DB_Nr),"")</f>
        <v/>
      </c>
      <c r="P46" s="96">
        <f t="shared" si="5"/>
        <v>0</v>
      </c>
      <c r="Q46" s="96">
        <f t="shared" si="6"/>
        <v>0</v>
      </c>
      <c r="R46" s="96">
        <f>SUMIFS('8. Uitgaven betaalverzoek'!$W:$W,'8. Uitgaven betaalverzoek'!$E:$E,$A46,'8. Uitgaven betaalverzoek'!$F:$F,$B46,'8. Uitgaven betaalverzoek'!$A:$A,Keuze_DB_Nr_BEO)</f>
        <v>0</v>
      </c>
      <c r="S46" s="96">
        <f>SUMIFS('8. Uitgaven betaalverzoek'!$X:$X,'8. Uitgaven betaalverzoek'!$E:$E,$A46,'8. Uitgaven betaalverzoek'!$F:$F,$B46,'8. Uitgaven betaalverzoek'!$A:$A,Keuze_DB_Nr_BEO)</f>
        <v>0</v>
      </c>
      <c r="T46" s="96" t="str">
        <f>IF($C46&lt;&gt;"",SUMIFS('8. Uitgaven betaalverzoek'!$Z:$Z,'8. Uitgaven betaalverzoek'!$E:$E,$A46,'8. Uitgaven betaalverzoek'!$F:$F,$B46,'8. Uitgaven betaalverzoek'!$A:$A,Keuze_DB_Nr_BEO),"")</f>
        <v/>
      </c>
      <c r="U46" s="96" t="str">
        <f>IF($C46&lt;&gt;"",SUMIFS('8. Uitgaven betaalverzoek'!$AA:$AA,'8. Uitgaven betaalverzoek'!$E:$E,$A46,'8. Uitgaven betaalverzoek'!$F:$F,$B46,'8. Uitgaven betaalverzoek'!$A:$A,Keuze_DB_Nr_BEO),"")</f>
        <v/>
      </c>
      <c r="V46" s="96">
        <f t="shared" si="2"/>
        <v>0</v>
      </c>
      <c r="W46" s="96">
        <f t="shared" si="3"/>
        <v>0</v>
      </c>
    </row>
    <row r="47" spans="1:23" x14ac:dyDescent="0.25">
      <c r="A47" s="12"/>
      <c r="B47" s="12"/>
      <c r="C47" s="87" t="str" cm="1">
        <f t="array" ref="C47">IFERROR(INDEX(Tb_KostenOpties[],MATCH(B47,Tb_KostenOptiesDB[KostenOptie],0),IFERROR(MATCH(Methode_Keuze,Tb_KostenOptiesDB[#Headers],0),2)),"")</f>
        <v/>
      </c>
      <c r="D47" s="99">
        <f>IFERROR(INDEX(Tb_ProjectKosten[],MATCH($B47,Tb_ProjectKosten[Begroting],0),6),0)</f>
        <v>0</v>
      </c>
      <c r="E47" s="97">
        <f>SUMIFS('8. Uitgaven betaalverzoek'!$W:$W,'8. Uitgaven betaalverzoek'!$E:$E,$A47,'8. Uitgaven betaalverzoek'!$F:$F,$B47)</f>
        <v>0</v>
      </c>
      <c r="F47" s="97">
        <f>SUMIFS('8. Uitgaven betaalverzoek'!$X:$X,'8. Uitgaven betaalverzoek'!$E:$E,$A47,'8. Uitgaven betaalverzoek'!$F:$F,$B47)</f>
        <v>0</v>
      </c>
      <c r="G47" s="97" t="str">
        <f>IF(C47&lt;&gt;"",SUMIFS('8. Uitgaven betaalverzoek'!$Z:$Z,'8. Uitgaven betaalverzoek'!$E:$E,$A47,'8. Uitgaven betaalverzoek'!$F:$F,$B47),"")</f>
        <v/>
      </c>
      <c r="H47" s="97" t="str">
        <f>IF(C47&lt;&gt;"",SUMIFS('8. Uitgaven betaalverzoek'!$AA:$AA,'8. Uitgaven betaalverzoek'!$E:$E,$A47,'8. Uitgaven betaalverzoek'!$F:$F,$B47),"")</f>
        <v/>
      </c>
      <c r="I47" s="99" t="str">
        <f>IFERROR(VLOOKUP(A47,Lijsten!$AK:$AL,2,0),"")</f>
        <v/>
      </c>
      <c r="J47" s="97">
        <f t="shared" si="4"/>
        <v>0</v>
      </c>
      <c r="K47" s="97">
        <f t="shared" si="1"/>
        <v>0</v>
      </c>
      <c r="L47" s="97">
        <f>SUMIFS('8. Uitgaven betaalverzoek'!$W:$W,'8. Uitgaven betaalverzoek'!$E:$E,$A47,'8. Uitgaven betaalverzoek'!$F:$F,$B47,'8. Uitgaven betaalverzoek'!$A:$A,Keuze_DB_Nr)</f>
        <v>0</v>
      </c>
      <c r="M47" s="97">
        <f>SUMIFS('8. Uitgaven betaalverzoek'!$X:$X,'8. Uitgaven betaalverzoek'!$E:$E,$A47,'8. Uitgaven betaalverzoek'!$F:$F,$B47,'8. Uitgaven betaalverzoek'!$A:$A,Keuze_DB_Nr)</f>
        <v>0</v>
      </c>
      <c r="N47" s="97" t="str">
        <f>IF($C47&lt;&gt;"",SUMIFS('8. Uitgaven betaalverzoek'!$Z:$Z,'8. Uitgaven betaalverzoek'!$E:$E,$A47,'8. Uitgaven betaalverzoek'!$F:$F,$B47,'8. Uitgaven betaalverzoek'!$A:$A,Keuze_DB_Nr),"")</f>
        <v/>
      </c>
      <c r="O47" s="97" t="str">
        <f>IF($C47&lt;&gt;"",SUMIFS('8. Uitgaven betaalverzoek'!$AA:$AA,'8. Uitgaven betaalverzoek'!$E:$E,$A47,'8. Uitgaven betaalverzoek'!$F:$F,$B47,'8. Uitgaven betaalverzoek'!$A:$A,Keuze_DB_Nr),"")</f>
        <v/>
      </c>
      <c r="P47" s="97">
        <f t="shared" si="5"/>
        <v>0</v>
      </c>
      <c r="Q47" s="97">
        <f t="shared" si="6"/>
        <v>0</v>
      </c>
      <c r="R47" s="97">
        <f>SUMIFS('8. Uitgaven betaalverzoek'!$W:$W,'8. Uitgaven betaalverzoek'!$E:$E,$A47,'8. Uitgaven betaalverzoek'!$F:$F,$B47,'8. Uitgaven betaalverzoek'!$A:$A,Keuze_DB_Nr_BEO)</f>
        <v>0</v>
      </c>
      <c r="S47" s="97">
        <f>SUMIFS('8. Uitgaven betaalverzoek'!$X:$X,'8. Uitgaven betaalverzoek'!$E:$E,$A47,'8. Uitgaven betaalverzoek'!$F:$F,$B47,'8. Uitgaven betaalverzoek'!$A:$A,Keuze_DB_Nr_BEO)</f>
        <v>0</v>
      </c>
      <c r="T47" s="97" t="str">
        <f>IF($C47&lt;&gt;"",SUMIFS('8. Uitgaven betaalverzoek'!$Z:$Z,'8. Uitgaven betaalverzoek'!$E:$E,$A47,'8. Uitgaven betaalverzoek'!$F:$F,$B47,'8. Uitgaven betaalverzoek'!$A:$A,Keuze_DB_Nr_BEO),"")</f>
        <v/>
      </c>
      <c r="U47" s="97" t="str">
        <f>IF($C47&lt;&gt;"",SUMIFS('8. Uitgaven betaalverzoek'!$AA:$AA,'8. Uitgaven betaalverzoek'!$E:$E,$A47,'8. Uitgaven betaalverzoek'!$F:$F,$B47,'8. Uitgaven betaalverzoek'!$A:$A,Keuze_DB_Nr_BEO),"")</f>
        <v/>
      </c>
      <c r="V47" s="97">
        <f t="shared" si="2"/>
        <v>0</v>
      </c>
      <c r="W47" s="97">
        <f t="shared" si="3"/>
        <v>0</v>
      </c>
    </row>
    <row r="48" spans="1:23" x14ac:dyDescent="0.25">
      <c r="A48" s="63"/>
      <c r="B48" s="63"/>
      <c r="C48" s="86" t="str" cm="1">
        <f t="array" ref="C48">IFERROR(INDEX(Tb_KostenOpties[],MATCH(B48,Tb_KostenOptiesDB[KostenOptie],0),IFERROR(MATCH(Methode_Keuze,Tb_KostenOptiesDB[#Headers],0),2)),"")</f>
        <v/>
      </c>
      <c r="D48" s="98">
        <f>IFERROR(INDEX(Tb_ProjectKosten[],MATCH($B48,Tb_ProjectKosten[Begroting],0),6),0)</f>
        <v>0</v>
      </c>
      <c r="E48" s="96">
        <f>SUMIFS('8. Uitgaven betaalverzoek'!$W:$W,'8. Uitgaven betaalverzoek'!$E:$E,$A48,'8. Uitgaven betaalverzoek'!$F:$F,$B48)</f>
        <v>0</v>
      </c>
      <c r="F48" s="96">
        <f>SUMIFS('8. Uitgaven betaalverzoek'!$X:$X,'8. Uitgaven betaalverzoek'!$E:$E,$A48,'8. Uitgaven betaalverzoek'!$F:$F,$B48)</f>
        <v>0</v>
      </c>
      <c r="G48" s="96" t="str">
        <f>IF(C48&lt;&gt;"",SUMIFS('8. Uitgaven betaalverzoek'!$Z:$Z,'8. Uitgaven betaalverzoek'!$E:$E,$A48,'8. Uitgaven betaalverzoek'!$F:$F,$B48),"")</f>
        <v/>
      </c>
      <c r="H48" s="96" t="str">
        <f>IF(C48&lt;&gt;"",SUMIFS('8. Uitgaven betaalverzoek'!$AA:$AA,'8. Uitgaven betaalverzoek'!$E:$E,$A48,'8. Uitgaven betaalverzoek'!$F:$F,$B48),"")</f>
        <v/>
      </c>
      <c r="I48" s="98" t="str">
        <f>IFERROR(VLOOKUP(A48,Lijsten!$AK:$AL,2,0),"")</f>
        <v/>
      </c>
      <c r="J48" s="96">
        <f t="shared" si="4"/>
        <v>0</v>
      </c>
      <c r="K48" s="96">
        <f t="shared" si="1"/>
        <v>0</v>
      </c>
      <c r="L48" s="96">
        <f>SUMIFS('8. Uitgaven betaalverzoek'!$W:$W,'8. Uitgaven betaalverzoek'!$E:$E,$A48,'8. Uitgaven betaalverzoek'!$F:$F,$B48,'8. Uitgaven betaalverzoek'!$A:$A,Keuze_DB_Nr)</f>
        <v>0</v>
      </c>
      <c r="M48" s="96">
        <f>SUMIFS('8. Uitgaven betaalverzoek'!$X:$X,'8. Uitgaven betaalverzoek'!$E:$E,$A48,'8. Uitgaven betaalverzoek'!$F:$F,$B48,'8. Uitgaven betaalverzoek'!$A:$A,Keuze_DB_Nr)</f>
        <v>0</v>
      </c>
      <c r="N48" s="96" t="str">
        <f>IF($C48&lt;&gt;"",SUMIFS('8. Uitgaven betaalverzoek'!$Z:$Z,'8. Uitgaven betaalverzoek'!$E:$E,$A48,'8. Uitgaven betaalverzoek'!$F:$F,$B48,'8. Uitgaven betaalverzoek'!$A:$A,Keuze_DB_Nr),"")</f>
        <v/>
      </c>
      <c r="O48" s="96" t="str">
        <f>IF($C48&lt;&gt;"",SUMIFS('8. Uitgaven betaalverzoek'!$AA:$AA,'8. Uitgaven betaalverzoek'!$E:$E,$A48,'8. Uitgaven betaalverzoek'!$F:$F,$B48,'8. Uitgaven betaalverzoek'!$A:$A,Keuze_DB_Nr),"")</f>
        <v/>
      </c>
      <c r="P48" s="96">
        <f t="shared" si="5"/>
        <v>0</v>
      </c>
      <c r="Q48" s="96">
        <f t="shared" si="6"/>
        <v>0</v>
      </c>
      <c r="R48" s="96">
        <f>SUMIFS('8. Uitgaven betaalverzoek'!$W:$W,'8. Uitgaven betaalverzoek'!$E:$E,$A48,'8. Uitgaven betaalverzoek'!$F:$F,$B48,'8. Uitgaven betaalverzoek'!$A:$A,Keuze_DB_Nr_BEO)</f>
        <v>0</v>
      </c>
      <c r="S48" s="96">
        <f>SUMIFS('8. Uitgaven betaalverzoek'!$X:$X,'8. Uitgaven betaalverzoek'!$E:$E,$A48,'8. Uitgaven betaalverzoek'!$F:$F,$B48,'8. Uitgaven betaalverzoek'!$A:$A,Keuze_DB_Nr_BEO)</f>
        <v>0</v>
      </c>
      <c r="T48" s="96" t="str">
        <f>IF($C48&lt;&gt;"",SUMIFS('8. Uitgaven betaalverzoek'!$Z:$Z,'8. Uitgaven betaalverzoek'!$E:$E,$A48,'8. Uitgaven betaalverzoek'!$F:$F,$B48,'8. Uitgaven betaalverzoek'!$A:$A,Keuze_DB_Nr_BEO),"")</f>
        <v/>
      </c>
      <c r="U48" s="96" t="str">
        <f>IF($C48&lt;&gt;"",SUMIFS('8. Uitgaven betaalverzoek'!$AA:$AA,'8. Uitgaven betaalverzoek'!$E:$E,$A48,'8. Uitgaven betaalverzoek'!$F:$F,$B48,'8. Uitgaven betaalverzoek'!$A:$A,Keuze_DB_Nr_BEO),"")</f>
        <v/>
      </c>
      <c r="V48" s="96">
        <f t="shared" si="2"/>
        <v>0</v>
      </c>
      <c r="W48" s="96">
        <f t="shared" si="3"/>
        <v>0</v>
      </c>
    </row>
    <row r="49" spans="1:23" x14ac:dyDescent="0.25">
      <c r="A49" s="12"/>
      <c r="B49" s="12"/>
      <c r="C49" s="87" t="str" cm="1">
        <f t="array" ref="C49">IFERROR(INDEX(Tb_KostenOpties[],MATCH(B49,Tb_KostenOptiesDB[KostenOptie],0),IFERROR(MATCH(Methode_Keuze,Tb_KostenOptiesDB[#Headers],0),2)),"")</f>
        <v/>
      </c>
      <c r="D49" s="99">
        <f>IFERROR(INDEX(Tb_ProjectKosten[],MATCH($B49,Tb_ProjectKosten[Begroting],0),6),0)</f>
        <v>0</v>
      </c>
      <c r="E49" s="97">
        <f>SUMIFS('8. Uitgaven betaalverzoek'!$W:$W,'8. Uitgaven betaalverzoek'!$E:$E,$A49,'8. Uitgaven betaalverzoek'!$F:$F,$B49)</f>
        <v>0</v>
      </c>
      <c r="F49" s="97">
        <f>SUMIFS('8. Uitgaven betaalverzoek'!$X:$X,'8. Uitgaven betaalverzoek'!$E:$E,$A49,'8. Uitgaven betaalverzoek'!$F:$F,$B49)</f>
        <v>0</v>
      </c>
      <c r="G49" s="97" t="str">
        <f>IF(C49&lt;&gt;"",SUMIFS('8. Uitgaven betaalverzoek'!$Z:$Z,'8. Uitgaven betaalverzoek'!$E:$E,$A49,'8. Uitgaven betaalverzoek'!$F:$F,$B49),"")</f>
        <v/>
      </c>
      <c r="H49" s="97" t="str">
        <f>IF(C49&lt;&gt;"",SUMIFS('8. Uitgaven betaalverzoek'!$AA:$AA,'8. Uitgaven betaalverzoek'!$E:$E,$A49,'8. Uitgaven betaalverzoek'!$F:$F,$B49),"")</f>
        <v/>
      </c>
      <c r="I49" s="99" t="str">
        <f>IFERROR(VLOOKUP(A49,Lijsten!$AK:$AL,2,0),"")</f>
        <v/>
      </c>
      <c r="J49" s="97">
        <f t="shared" si="4"/>
        <v>0</v>
      </c>
      <c r="K49" s="97">
        <f t="shared" si="1"/>
        <v>0</v>
      </c>
      <c r="L49" s="97">
        <f>SUMIFS('8. Uitgaven betaalverzoek'!$W:$W,'8. Uitgaven betaalverzoek'!$E:$E,$A49,'8. Uitgaven betaalverzoek'!$F:$F,$B49,'8. Uitgaven betaalverzoek'!$A:$A,Keuze_DB_Nr)</f>
        <v>0</v>
      </c>
      <c r="M49" s="97">
        <f>SUMIFS('8. Uitgaven betaalverzoek'!$X:$X,'8. Uitgaven betaalverzoek'!$E:$E,$A49,'8. Uitgaven betaalverzoek'!$F:$F,$B49,'8. Uitgaven betaalverzoek'!$A:$A,Keuze_DB_Nr)</f>
        <v>0</v>
      </c>
      <c r="N49" s="97" t="str">
        <f>IF($C49&lt;&gt;"",SUMIFS('8. Uitgaven betaalverzoek'!$Z:$Z,'8. Uitgaven betaalverzoek'!$E:$E,$A49,'8. Uitgaven betaalverzoek'!$F:$F,$B49,'8. Uitgaven betaalverzoek'!$A:$A,Keuze_DB_Nr),"")</f>
        <v/>
      </c>
      <c r="O49" s="97" t="str">
        <f>IF($C49&lt;&gt;"",SUMIFS('8. Uitgaven betaalverzoek'!$AA:$AA,'8. Uitgaven betaalverzoek'!$E:$E,$A49,'8. Uitgaven betaalverzoek'!$F:$F,$B49,'8. Uitgaven betaalverzoek'!$A:$A,Keuze_DB_Nr),"")</f>
        <v/>
      </c>
      <c r="P49" s="97">
        <f t="shared" si="5"/>
        <v>0</v>
      </c>
      <c r="Q49" s="97">
        <f t="shared" si="6"/>
        <v>0</v>
      </c>
      <c r="R49" s="97">
        <f>SUMIFS('8. Uitgaven betaalverzoek'!$W:$W,'8. Uitgaven betaalverzoek'!$E:$E,$A49,'8. Uitgaven betaalverzoek'!$F:$F,$B49,'8. Uitgaven betaalverzoek'!$A:$A,Keuze_DB_Nr_BEO)</f>
        <v>0</v>
      </c>
      <c r="S49" s="97">
        <f>SUMIFS('8. Uitgaven betaalverzoek'!$X:$X,'8. Uitgaven betaalverzoek'!$E:$E,$A49,'8. Uitgaven betaalverzoek'!$F:$F,$B49,'8. Uitgaven betaalverzoek'!$A:$A,Keuze_DB_Nr_BEO)</f>
        <v>0</v>
      </c>
      <c r="T49" s="97" t="str">
        <f>IF($C49&lt;&gt;"",SUMIFS('8. Uitgaven betaalverzoek'!$Z:$Z,'8. Uitgaven betaalverzoek'!$E:$E,$A49,'8. Uitgaven betaalverzoek'!$F:$F,$B49,'8. Uitgaven betaalverzoek'!$A:$A,Keuze_DB_Nr_BEO),"")</f>
        <v/>
      </c>
      <c r="U49" s="97" t="str">
        <f>IF($C49&lt;&gt;"",SUMIFS('8. Uitgaven betaalverzoek'!$AA:$AA,'8. Uitgaven betaalverzoek'!$E:$E,$A49,'8. Uitgaven betaalverzoek'!$F:$F,$B49,'8. Uitgaven betaalverzoek'!$A:$A,Keuze_DB_Nr_BEO),"")</f>
        <v/>
      </c>
      <c r="V49" s="97">
        <f t="shared" si="2"/>
        <v>0</v>
      </c>
      <c r="W49" s="97">
        <f t="shared" si="3"/>
        <v>0</v>
      </c>
    </row>
    <row r="50" spans="1:23" x14ac:dyDescent="0.25">
      <c r="A50" s="63"/>
      <c r="B50" s="63"/>
      <c r="C50" s="86" t="str" cm="1">
        <f t="array" ref="C50">IFERROR(INDEX(Tb_KostenOpties[],MATCH(B50,Tb_KostenOptiesDB[KostenOptie],0),IFERROR(MATCH(Methode_Keuze,Tb_KostenOptiesDB[#Headers],0),2)),"")</f>
        <v/>
      </c>
      <c r="D50" s="98">
        <f>IFERROR(INDEX(Tb_ProjectKosten[],MATCH($B50,Tb_ProjectKosten[Begroting],0),6),0)</f>
        <v>0</v>
      </c>
      <c r="E50" s="96">
        <f>SUMIFS('8. Uitgaven betaalverzoek'!$W:$W,'8. Uitgaven betaalverzoek'!$E:$E,$A50,'8. Uitgaven betaalverzoek'!$F:$F,$B50)</f>
        <v>0</v>
      </c>
      <c r="F50" s="96">
        <f>SUMIFS('8. Uitgaven betaalverzoek'!$X:$X,'8. Uitgaven betaalverzoek'!$E:$E,$A50,'8. Uitgaven betaalverzoek'!$F:$F,$B50)</f>
        <v>0</v>
      </c>
      <c r="G50" s="96" t="str">
        <f>IF(C50&lt;&gt;"",SUMIFS('8. Uitgaven betaalverzoek'!$Z:$Z,'8. Uitgaven betaalverzoek'!$E:$E,$A50,'8. Uitgaven betaalverzoek'!$F:$F,$B50),"")</f>
        <v/>
      </c>
      <c r="H50" s="96" t="str">
        <f>IF(C50&lt;&gt;"",SUMIFS('8. Uitgaven betaalverzoek'!$AA:$AA,'8. Uitgaven betaalverzoek'!$E:$E,$A50,'8. Uitgaven betaalverzoek'!$F:$F,$B50),"")</f>
        <v/>
      </c>
      <c r="I50" s="98" t="str">
        <f>IFERROR(VLOOKUP(A50,Lijsten!$AK:$AL,2,0),"")</f>
        <v/>
      </c>
      <c r="J50" s="96">
        <f t="shared" si="4"/>
        <v>0</v>
      </c>
      <c r="K50" s="96">
        <f t="shared" si="1"/>
        <v>0</v>
      </c>
      <c r="L50" s="96">
        <f>SUMIFS('8. Uitgaven betaalverzoek'!$W:$W,'8. Uitgaven betaalverzoek'!$E:$E,$A50,'8. Uitgaven betaalverzoek'!$F:$F,$B50,'8. Uitgaven betaalverzoek'!$A:$A,Keuze_DB_Nr)</f>
        <v>0</v>
      </c>
      <c r="M50" s="96">
        <f>SUMIFS('8. Uitgaven betaalverzoek'!$X:$X,'8. Uitgaven betaalverzoek'!$E:$E,$A50,'8. Uitgaven betaalverzoek'!$F:$F,$B50,'8. Uitgaven betaalverzoek'!$A:$A,Keuze_DB_Nr)</f>
        <v>0</v>
      </c>
      <c r="N50" s="96" t="str">
        <f>IF($C50&lt;&gt;"",SUMIFS('8. Uitgaven betaalverzoek'!$Z:$Z,'8. Uitgaven betaalverzoek'!$E:$E,$A50,'8. Uitgaven betaalverzoek'!$F:$F,$B50,'8. Uitgaven betaalverzoek'!$A:$A,Keuze_DB_Nr),"")</f>
        <v/>
      </c>
      <c r="O50" s="96" t="str">
        <f>IF($C50&lt;&gt;"",SUMIFS('8. Uitgaven betaalverzoek'!$AA:$AA,'8. Uitgaven betaalverzoek'!$E:$E,$A50,'8. Uitgaven betaalverzoek'!$F:$F,$B50,'8. Uitgaven betaalverzoek'!$A:$A,Keuze_DB_Nr),"")</f>
        <v/>
      </c>
      <c r="P50" s="96">
        <f t="shared" si="5"/>
        <v>0</v>
      </c>
      <c r="Q50" s="96">
        <f t="shared" si="6"/>
        <v>0</v>
      </c>
      <c r="R50" s="96">
        <f>SUMIFS('8. Uitgaven betaalverzoek'!$W:$W,'8. Uitgaven betaalverzoek'!$E:$E,$A50,'8. Uitgaven betaalverzoek'!$F:$F,$B50,'8. Uitgaven betaalverzoek'!$A:$A,Keuze_DB_Nr_BEO)</f>
        <v>0</v>
      </c>
      <c r="S50" s="96">
        <f>SUMIFS('8. Uitgaven betaalverzoek'!$X:$X,'8. Uitgaven betaalverzoek'!$E:$E,$A50,'8. Uitgaven betaalverzoek'!$F:$F,$B50,'8. Uitgaven betaalverzoek'!$A:$A,Keuze_DB_Nr_BEO)</f>
        <v>0</v>
      </c>
      <c r="T50" s="96" t="str">
        <f>IF($C50&lt;&gt;"",SUMIFS('8. Uitgaven betaalverzoek'!$Z:$Z,'8. Uitgaven betaalverzoek'!$E:$E,$A50,'8. Uitgaven betaalverzoek'!$F:$F,$B50,'8. Uitgaven betaalverzoek'!$A:$A,Keuze_DB_Nr_BEO),"")</f>
        <v/>
      </c>
      <c r="U50" s="96" t="str">
        <f>IF($C50&lt;&gt;"",SUMIFS('8. Uitgaven betaalverzoek'!$AA:$AA,'8. Uitgaven betaalverzoek'!$E:$E,$A50,'8. Uitgaven betaalverzoek'!$F:$F,$B50,'8. Uitgaven betaalverzoek'!$A:$A,Keuze_DB_Nr_BEO),"")</f>
        <v/>
      </c>
      <c r="V50" s="96">
        <f t="shared" si="2"/>
        <v>0</v>
      </c>
      <c r="W50" s="96">
        <f t="shared" si="3"/>
        <v>0</v>
      </c>
    </row>
    <row r="51" spans="1:23" x14ac:dyDescent="0.25">
      <c r="A51" s="12"/>
      <c r="B51" s="12"/>
      <c r="C51" s="87" t="str" cm="1">
        <f t="array" ref="C51">IFERROR(INDEX(Tb_KostenOpties[],MATCH(B51,Tb_KostenOptiesDB[KostenOptie],0),IFERROR(MATCH(Methode_Keuze,Tb_KostenOptiesDB[#Headers],0),2)),"")</f>
        <v/>
      </c>
      <c r="D51" s="99">
        <f>IFERROR(INDEX(Tb_ProjectKosten[],MATCH($B51,Tb_ProjectKosten[Begroting],0),6),0)</f>
        <v>0</v>
      </c>
      <c r="E51" s="97">
        <f>SUMIFS('8. Uitgaven betaalverzoek'!$W:$W,'8. Uitgaven betaalverzoek'!$E:$E,$A51,'8. Uitgaven betaalverzoek'!$F:$F,$B51)</f>
        <v>0</v>
      </c>
      <c r="F51" s="97">
        <f>SUMIFS('8. Uitgaven betaalverzoek'!$X:$X,'8. Uitgaven betaalverzoek'!$E:$E,$A51,'8. Uitgaven betaalverzoek'!$F:$F,$B51)</f>
        <v>0</v>
      </c>
      <c r="G51" s="97" t="str">
        <f>IF(C51&lt;&gt;"",SUMIFS('8. Uitgaven betaalverzoek'!$Z:$Z,'8. Uitgaven betaalverzoek'!$E:$E,$A51,'8. Uitgaven betaalverzoek'!$F:$F,$B51),"")</f>
        <v/>
      </c>
      <c r="H51" s="97" t="str">
        <f>IF(C51&lt;&gt;"",SUMIFS('8. Uitgaven betaalverzoek'!$AA:$AA,'8. Uitgaven betaalverzoek'!$E:$E,$A51,'8. Uitgaven betaalverzoek'!$F:$F,$B51),"")</f>
        <v/>
      </c>
      <c r="I51" s="99" t="str">
        <f>IFERROR(VLOOKUP(A51,Lijsten!$AK:$AL,2,0),"")</f>
        <v/>
      </c>
      <c r="J51" s="97">
        <f t="shared" si="4"/>
        <v>0</v>
      </c>
      <c r="K51" s="97">
        <f t="shared" si="1"/>
        <v>0</v>
      </c>
      <c r="L51" s="97">
        <f>SUMIFS('8. Uitgaven betaalverzoek'!$W:$W,'8. Uitgaven betaalverzoek'!$E:$E,$A51,'8. Uitgaven betaalverzoek'!$F:$F,$B51,'8. Uitgaven betaalverzoek'!$A:$A,Keuze_DB_Nr)</f>
        <v>0</v>
      </c>
      <c r="M51" s="97">
        <f>SUMIFS('8. Uitgaven betaalverzoek'!$X:$X,'8. Uitgaven betaalverzoek'!$E:$E,$A51,'8. Uitgaven betaalverzoek'!$F:$F,$B51,'8. Uitgaven betaalverzoek'!$A:$A,Keuze_DB_Nr)</f>
        <v>0</v>
      </c>
      <c r="N51" s="97" t="str">
        <f>IF($C51&lt;&gt;"",SUMIFS('8. Uitgaven betaalverzoek'!$Z:$Z,'8. Uitgaven betaalverzoek'!$E:$E,$A51,'8. Uitgaven betaalverzoek'!$F:$F,$B51,'8. Uitgaven betaalverzoek'!$A:$A,Keuze_DB_Nr),"")</f>
        <v/>
      </c>
      <c r="O51" s="97" t="str">
        <f>IF($C51&lt;&gt;"",SUMIFS('8. Uitgaven betaalverzoek'!$AA:$AA,'8. Uitgaven betaalverzoek'!$E:$E,$A51,'8. Uitgaven betaalverzoek'!$F:$F,$B51,'8. Uitgaven betaalverzoek'!$A:$A,Keuze_DB_Nr),"")</f>
        <v/>
      </c>
      <c r="P51" s="97">
        <f t="shared" si="5"/>
        <v>0</v>
      </c>
      <c r="Q51" s="97">
        <f t="shared" si="6"/>
        <v>0</v>
      </c>
      <c r="R51" s="97">
        <f>SUMIFS('8. Uitgaven betaalverzoek'!$W:$W,'8. Uitgaven betaalverzoek'!$E:$E,$A51,'8. Uitgaven betaalverzoek'!$F:$F,$B51,'8. Uitgaven betaalverzoek'!$A:$A,Keuze_DB_Nr_BEO)</f>
        <v>0</v>
      </c>
      <c r="S51" s="97">
        <f>SUMIFS('8. Uitgaven betaalverzoek'!$X:$X,'8. Uitgaven betaalverzoek'!$E:$E,$A51,'8. Uitgaven betaalverzoek'!$F:$F,$B51,'8. Uitgaven betaalverzoek'!$A:$A,Keuze_DB_Nr_BEO)</f>
        <v>0</v>
      </c>
      <c r="T51" s="97" t="str">
        <f>IF($C51&lt;&gt;"",SUMIFS('8. Uitgaven betaalverzoek'!$Z:$Z,'8. Uitgaven betaalverzoek'!$E:$E,$A51,'8. Uitgaven betaalverzoek'!$F:$F,$B51,'8. Uitgaven betaalverzoek'!$A:$A,Keuze_DB_Nr_BEO),"")</f>
        <v/>
      </c>
      <c r="U51" s="97" t="str">
        <f>IF($C51&lt;&gt;"",SUMIFS('8. Uitgaven betaalverzoek'!$AA:$AA,'8. Uitgaven betaalverzoek'!$E:$E,$A51,'8. Uitgaven betaalverzoek'!$F:$F,$B51,'8. Uitgaven betaalverzoek'!$A:$A,Keuze_DB_Nr_BEO),"")</f>
        <v/>
      </c>
      <c r="V51" s="97">
        <f t="shared" si="2"/>
        <v>0</v>
      </c>
      <c r="W51" s="97">
        <f t="shared" si="3"/>
        <v>0</v>
      </c>
    </row>
    <row r="52" spans="1:23" x14ac:dyDescent="0.25">
      <c r="A52" s="63"/>
      <c r="B52" s="63"/>
      <c r="C52" s="86" t="str" cm="1">
        <f t="array" ref="C52">IFERROR(INDEX(Tb_KostenOpties[],MATCH(B52,Tb_KostenOptiesDB[KostenOptie],0),IFERROR(MATCH(Methode_Keuze,Tb_KostenOptiesDB[#Headers],0),2)),"")</f>
        <v/>
      </c>
      <c r="D52" s="98">
        <f>IFERROR(INDEX(Tb_ProjectKosten[],MATCH($B52,Tb_ProjectKosten[Begroting],0),6),0)</f>
        <v>0</v>
      </c>
      <c r="E52" s="96">
        <f>SUMIFS('8. Uitgaven betaalverzoek'!$W:$W,'8. Uitgaven betaalverzoek'!$E:$E,$A52,'8. Uitgaven betaalverzoek'!$F:$F,$B52)</f>
        <v>0</v>
      </c>
      <c r="F52" s="96">
        <f>SUMIFS('8. Uitgaven betaalverzoek'!$X:$X,'8. Uitgaven betaalverzoek'!$E:$E,$A52,'8. Uitgaven betaalverzoek'!$F:$F,$B52)</f>
        <v>0</v>
      </c>
      <c r="G52" s="96" t="str">
        <f>IF(C52&lt;&gt;"",SUMIFS('8. Uitgaven betaalverzoek'!$Z:$Z,'8. Uitgaven betaalverzoek'!$E:$E,$A52,'8. Uitgaven betaalverzoek'!$F:$F,$B52),"")</f>
        <v/>
      </c>
      <c r="H52" s="96" t="str">
        <f>IF(C52&lt;&gt;"",SUMIFS('8. Uitgaven betaalverzoek'!$AA:$AA,'8. Uitgaven betaalverzoek'!$E:$E,$A52,'8. Uitgaven betaalverzoek'!$F:$F,$B52),"")</f>
        <v/>
      </c>
      <c r="I52" s="98" t="str">
        <f>IFERROR(VLOOKUP(A52,Lijsten!$AK:$AL,2,0),"")</f>
        <v/>
      </c>
      <c r="J52" s="96">
        <f t="shared" si="4"/>
        <v>0</v>
      </c>
      <c r="K52" s="96">
        <f t="shared" si="1"/>
        <v>0</v>
      </c>
      <c r="L52" s="96">
        <f>SUMIFS('8. Uitgaven betaalverzoek'!$W:$W,'8. Uitgaven betaalverzoek'!$E:$E,$A52,'8. Uitgaven betaalverzoek'!$F:$F,$B52,'8. Uitgaven betaalverzoek'!$A:$A,Keuze_DB_Nr)</f>
        <v>0</v>
      </c>
      <c r="M52" s="96">
        <f>SUMIFS('8. Uitgaven betaalverzoek'!$X:$X,'8. Uitgaven betaalverzoek'!$E:$E,$A52,'8. Uitgaven betaalverzoek'!$F:$F,$B52,'8. Uitgaven betaalverzoek'!$A:$A,Keuze_DB_Nr)</f>
        <v>0</v>
      </c>
      <c r="N52" s="96" t="str">
        <f>IF($C52&lt;&gt;"",SUMIFS('8. Uitgaven betaalverzoek'!$Z:$Z,'8. Uitgaven betaalverzoek'!$E:$E,$A52,'8. Uitgaven betaalverzoek'!$F:$F,$B52,'8. Uitgaven betaalverzoek'!$A:$A,Keuze_DB_Nr),"")</f>
        <v/>
      </c>
      <c r="O52" s="96" t="str">
        <f>IF($C52&lt;&gt;"",SUMIFS('8. Uitgaven betaalverzoek'!$AA:$AA,'8. Uitgaven betaalverzoek'!$E:$E,$A52,'8. Uitgaven betaalverzoek'!$F:$F,$B52,'8. Uitgaven betaalverzoek'!$A:$A,Keuze_DB_Nr),"")</f>
        <v/>
      </c>
      <c r="P52" s="96">
        <f t="shared" si="5"/>
        <v>0</v>
      </c>
      <c r="Q52" s="96">
        <f t="shared" si="6"/>
        <v>0</v>
      </c>
      <c r="R52" s="96">
        <f>SUMIFS('8. Uitgaven betaalverzoek'!$W:$W,'8. Uitgaven betaalverzoek'!$E:$E,$A52,'8. Uitgaven betaalverzoek'!$F:$F,$B52,'8. Uitgaven betaalverzoek'!$A:$A,Keuze_DB_Nr_BEO)</f>
        <v>0</v>
      </c>
      <c r="S52" s="96">
        <f>SUMIFS('8. Uitgaven betaalverzoek'!$X:$X,'8. Uitgaven betaalverzoek'!$E:$E,$A52,'8. Uitgaven betaalverzoek'!$F:$F,$B52,'8. Uitgaven betaalverzoek'!$A:$A,Keuze_DB_Nr_BEO)</f>
        <v>0</v>
      </c>
      <c r="T52" s="96" t="str">
        <f>IF($C52&lt;&gt;"",SUMIFS('8. Uitgaven betaalverzoek'!$Z:$Z,'8. Uitgaven betaalverzoek'!$E:$E,$A52,'8. Uitgaven betaalverzoek'!$F:$F,$B52,'8. Uitgaven betaalverzoek'!$A:$A,Keuze_DB_Nr_BEO),"")</f>
        <v/>
      </c>
      <c r="U52" s="96" t="str">
        <f>IF($C52&lt;&gt;"",SUMIFS('8. Uitgaven betaalverzoek'!$AA:$AA,'8. Uitgaven betaalverzoek'!$E:$E,$A52,'8. Uitgaven betaalverzoek'!$F:$F,$B52,'8. Uitgaven betaalverzoek'!$A:$A,Keuze_DB_Nr_BEO),"")</f>
        <v/>
      </c>
      <c r="V52" s="96">
        <f t="shared" si="2"/>
        <v>0</v>
      </c>
      <c r="W52" s="96">
        <f t="shared" si="3"/>
        <v>0</v>
      </c>
    </row>
    <row r="53" spans="1:23" x14ac:dyDescent="0.25">
      <c r="A53" s="12"/>
      <c r="B53" s="12"/>
      <c r="C53" s="87" t="str" cm="1">
        <f t="array" ref="C53">IFERROR(INDEX(Tb_KostenOpties[],MATCH(B53,Tb_KostenOptiesDB[KostenOptie],0),IFERROR(MATCH(Methode_Keuze,Tb_KostenOptiesDB[#Headers],0),2)),"")</f>
        <v/>
      </c>
      <c r="D53" s="99">
        <f>IFERROR(INDEX(Tb_ProjectKosten[],MATCH($B53,Tb_ProjectKosten[Begroting],0),6),0)</f>
        <v>0</v>
      </c>
      <c r="E53" s="97">
        <f>SUMIFS('8. Uitgaven betaalverzoek'!$W:$W,'8. Uitgaven betaalverzoek'!$E:$E,$A53,'8. Uitgaven betaalverzoek'!$F:$F,$B53)</f>
        <v>0</v>
      </c>
      <c r="F53" s="97">
        <f>SUMIFS('8. Uitgaven betaalverzoek'!$X:$X,'8. Uitgaven betaalverzoek'!$E:$E,$A53,'8. Uitgaven betaalverzoek'!$F:$F,$B53)</f>
        <v>0</v>
      </c>
      <c r="G53" s="97" t="str">
        <f>IF(C53&lt;&gt;"",SUMIFS('8. Uitgaven betaalverzoek'!$Z:$Z,'8. Uitgaven betaalverzoek'!$E:$E,$A53,'8. Uitgaven betaalverzoek'!$F:$F,$B53),"")</f>
        <v/>
      </c>
      <c r="H53" s="97" t="str">
        <f>IF(C53&lt;&gt;"",SUMIFS('8. Uitgaven betaalverzoek'!$AA:$AA,'8. Uitgaven betaalverzoek'!$E:$E,$A53,'8. Uitgaven betaalverzoek'!$F:$F,$B53),"")</f>
        <v/>
      </c>
      <c r="I53" s="99" t="str">
        <f>IFERROR(VLOOKUP(A53,Lijsten!$AK:$AL,2,0),"")</f>
        <v/>
      </c>
      <c r="J53" s="97">
        <f t="shared" si="4"/>
        <v>0</v>
      </c>
      <c r="K53" s="97">
        <f t="shared" si="1"/>
        <v>0</v>
      </c>
      <c r="L53" s="97">
        <f>SUMIFS('8. Uitgaven betaalverzoek'!$W:$W,'8. Uitgaven betaalverzoek'!$E:$E,$A53,'8. Uitgaven betaalverzoek'!$F:$F,$B53,'8. Uitgaven betaalverzoek'!$A:$A,Keuze_DB_Nr)</f>
        <v>0</v>
      </c>
      <c r="M53" s="97">
        <f>SUMIFS('8. Uitgaven betaalverzoek'!$X:$X,'8. Uitgaven betaalverzoek'!$E:$E,$A53,'8. Uitgaven betaalverzoek'!$F:$F,$B53,'8. Uitgaven betaalverzoek'!$A:$A,Keuze_DB_Nr)</f>
        <v>0</v>
      </c>
      <c r="N53" s="97" t="str">
        <f>IF($C53&lt;&gt;"",SUMIFS('8. Uitgaven betaalverzoek'!$Z:$Z,'8. Uitgaven betaalverzoek'!$E:$E,$A53,'8. Uitgaven betaalverzoek'!$F:$F,$B53,'8. Uitgaven betaalverzoek'!$A:$A,Keuze_DB_Nr),"")</f>
        <v/>
      </c>
      <c r="O53" s="97" t="str">
        <f>IF($C53&lt;&gt;"",SUMIFS('8. Uitgaven betaalverzoek'!$AA:$AA,'8. Uitgaven betaalverzoek'!$E:$E,$A53,'8. Uitgaven betaalverzoek'!$F:$F,$B53,'8. Uitgaven betaalverzoek'!$A:$A,Keuze_DB_Nr),"")</f>
        <v/>
      </c>
      <c r="P53" s="97">
        <f t="shared" si="5"/>
        <v>0</v>
      </c>
      <c r="Q53" s="97">
        <f t="shared" si="6"/>
        <v>0</v>
      </c>
      <c r="R53" s="97">
        <f>SUMIFS('8. Uitgaven betaalverzoek'!$W:$W,'8. Uitgaven betaalverzoek'!$E:$E,$A53,'8. Uitgaven betaalverzoek'!$F:$F,$B53,'8. Uitgaven betaalverzoek'!$A:$A,Keuze_DB_Nr_BEO)</f>
        <v>0</v>
      </c>
      <c r="S53" s="97">
        <f>SUMIFS('8. Uitgaven betaalverzoek'!$X:$X,'8. Uitgaven betaalverzoek'!$E:$E,$A53,'8. Uitgaven betaalverzoek'!$F:$F,$B53,'8. Uitgaven betaalverzoek'!$A:$A,Keuze_DB_Nr_BEO)</f>
        <v>0</v>
      </c>
      <c r="T53" s="97" t="str">
        <f>IF($C53&lt;&gt;"",SUMIFS('8. Uitgaven betaalverzoek'!$Z:$Z,'8. Uitgaven betaalverzoek'!$E:$E,$A53,'8. Uitgaven betaalverzoek'!$F:$F,$B53,'8. Uitgaven betaalverzoek'!$A:$A,Keuze_DB_Nr_BEO),"")</f>
        <v/>
      </c>
      <c r="U53" s="97" t="str">
        <f>IF($C53&lt;&gt;"",SUMIFS('8. Uitgaven betaalverzoek'!$AA:$AA,'8. Uitgaven betaalverzoek'!$E:$E,$A53,'8. Uitgaven betaalverzoek'!$F:$F,$B53,'8. Uitgaven betaalverzoek'!$A:$A,Keuze_DB_Nr_BEO),"")</f>
        <v/>
      </c>
      <c r="V53" s="97">
        <f t="shared" si="2"/>
        <v>0</v>
      </c>
      <c r="W53" s="97">
        <f t="shared" si="3"/>
        <v>0</v>
      </c>
    </row>
    <row r="54" spans="1:23" x14ac:dyDescent="0.25">
      <c r="A54" s="63"/>
      <c r="B54" s="63"/>
      <c r="C54" s="86" t="str" cm="1">
        <f t="array" ref="C54">IFERROR(INDEX(Tb_KostenOpties[],MATCH(B54,Tb_KostenOptiesDB[KostenOptie],0),IFERROR(MATCH(Methode_Keuze,Tb_KostenOptiesDB[#Headers],0),2)),"")</f>
        <v/>
      </c>
      <c r="D54" s="98">
        <f>IFERROR(INDEX(Tb_ProjectKosten[],MATCH($B54,Tb_ProjectKosten[Begroting],0),6),0)</f>
        <v>0</v>
      </c>
      <c r="E54" s="96">
        <f>SUMIFS('8. Uitgaven betaalverzoek'!$W:$W,'8. Uitgaven betaalverzoek'!$E:$E,$A54,'8. Uitgaven betaalverzoek'!$F:$F,$B54)</f>
        <v>0</v>
      </c>
      <c r="F54" s="96">
        <f>SUMIFS('8. Uitgaven betaalverzoek'!$X:$X,'8. Uitgaven betaalverzoek'!$E:$E,$A54,'8. Uitgaven betaalverzoek'!$F:$F,$B54)</f>
        <v>0</v>
      </c>
      <c r="G54" s="96" t="str">
        <f>IF(C54&lt;&gt;"",SUMIFS('8. Uitgaven betaalverzoek'!$Z:$Z,'8. Uitgaven betaalverzoek'!$E:$E,$A54,'8. Uitgaven betaalverzoek'!$F:$F,$B54),"")</f>
        <v/>
      </c>
      <c r="H54" s="96" t="str">
        <f>IF(C54&lt;&gt;"",SUMIFS('8. Uitgaven betaalverzoek'!$AA:$AA,'8. Uitgaven betaalverzoek'!$E:$E,$A54,'8. Uitgaven betaalverzoek'!$F:$F,$B54),"")</f>
        <v/>
      </c>
      <c r="I54" s="98" t="str">
        <f>IFERROR(VLOOKUP(A54,Lijsten!$AK:$AL,2,0),"")</f>
        <v/>
      </c>
      <c r="J54" s="96">
        <f t="shared" si="4"/>
        <v>0</v>
      </c>
      <c r="K54" s="96">
        <f t="shared" si="1"/>
        <v>0</v>
      </c>
      <c r="L54" s="96">
        <f>SUMIFS('8. Uitgaven betaalverzoek'!$W:$W,'8. Uitgaven betaalverzoek'!$E:$E,$A54,'8. Uitgaven betaalverzoek'!$F:$F,$B54,'8. Uitgaven betaalverzoek'!$A:$A,Keuze_DB_Nr)</f>
        <v>0</v>
      </c>
      <c r="M54" s="96">
        <f>SUMIFS('8. Uitgaven betaalverzoek'!$X:$X,'8. Uitgaven betaalverzoek'!$E:$E,$A54,'8. Uitgaven betaalverzoek'!$F:$F,$B54,'8. Uitgaven betaalverzoek'!$A:$A,Keuze_DB_Nr)</f>
        <v>0</v>
      </c>
      <c r="N54" s="96" t="str">
        <f>IF($C54&lt;&gt;"",SUMIFS('8. Uitgaven betaalverzoek'!$Z:$Z,'8. Uitgaven betaalverzoek'!$E:$E,$A54,'8. Uitgaven betaalverzoek'!$F:$F,$B54,'8. Uitgaven betaalverzoek'!$A:$A,Keuze_DB_Nr),"")</f>
        <v/>
      </c>
      <c r="O54" s="96" t="str">
        <f>IF($C54&lt;&gt;"",SUMIFS('8. Uitgaven betaalverzoek'!$AA:$AA,'8. Uitgaven betaalverzoek'!$E:$E,$A54,'8. Uitgaven betaalverzoek'!$F:$F,$B54,'8. Uitgaven betaalverzoek'!$A:$A,Keuze_DB_Nr),"")</f>
        <v/>
      </c>
      <c r="P54" s="96">
        <f t="shared" si="5"/>
        <v>0</v>
      </c>
      <c r="Q54" s="96">
        <f t="shared" si="6"/>
        <v>0</v>
      </c>
      <c r="R54" s="96">
        <f>SUMIFS('8. Uitgaven betaalverzoek'!$W:$W,'8. Uitgaven betaalverzoek'!$E:$E,$A54,'8. Uitgaven betaalverzoek'!$F:$F,$B54,'8. Uitgaven betaalverzoek'!$A:$A,Keuze_DB_Nr_BEO)</f>
        <v>0</v>
      </c>
      <c r="S54" s="96">
        <f>SUMIFS('8. Uitgaven betaalverzoek'!$X:$X,'8. Uitgaven betaalverzoek'!$E:$E,$A54,'8. Uitgaven betaalverzoek'!$F:$F,$B54,'8. Uitgaven betaalverzoek'!$A:$A,Keuze_DB_Nr_BEO)</f>
        <v>0</v>
      </c>
      <c r="T54" s="96" t="str">
        <f>IF($C54&lt;&gt;"",SUMIFS('8. Uitgaven betaalverzoek'!$Z:$Z,'8. Uitgaven betaalverzoek'!$E:$E,$A54,'8. Uitgaven betaalverzoek'!$F:$F,$B54,'8. Uitgaven betaalverzoek'!$A:$A,Keuze_DB_Nr_BEO),"")</f>
        <v/>
      </c>
      <c r="U54" s="96" t="str">
        <f>IF($C54&lt;&gt;"",SUMIFS('8. Uitgaven betaalverzoek'!$AA:$AA,'8. Uitgaven betaalverzoek'!$E:$E,$A54,'8. Uitgaven betaalverzoek'!$F:$F,$B54,'8. Uitgaven betaalverzoek'!$A:$A,Keuze_DB_Nr_BEO),"")</f>
        <v/>
      </c>
      <c r="V54" s="96">
        <f t="shared" si="2"/>
        <v>0</v>
      </c>
      <c r="W54" s="96">
        <f t="shared" si="3"/>
        <v>0</v>
      </c>
    </row>
    <row r="55" spans="1:23" x14ac:dyDescent="0.25">
      <c r="A55" s="12"/>
      <c r="B55" s="12"/>
      <c r="C55" s="87" t="str" cm="1">
        <f t="array" ref="C55">IFERROR(INDEX(Tb_KostenOpties[],MATCH(B55,Tb_KostenOptiesDB[KostenOptie],0),IFERROR(MATCH(Methode_Keuze,Tb_KostenOptiesDB[#Headers],0),2)),"")</f>
        <v/>
      </c>
      <c r="D55" s="99">
        <f>IFERROR(INDEX(Tb_ProjectKosten[],MATCH($B55,Tb_ProjectKosten[Begroting],0),6),0)</f>
        <v>0</v>
      </c>
      <c r="E55" s="97">
        <f>SUMIFS('8. Uitgaven betaalverzoek'!$W:$W,'8. Uitgaven betaalverzoek'!$E:$E,$A55,'8. Uitgaven betaalverzoek'!$F:$F,$B55)</f>
        <v>0</v>
      </c>
      <c r="F55" s="97">
        <f>SUMIFS('8. Uitgaven betaalverzoek'!$X:$X,'8. Uitgaven betaalverzoek'!$E:$E,$A55,'8. Uitgaven betaalverzoek'!$F:$F,$B55)</f>
        <v>0</v>
      </c>
      <c r="G55" s="97" t="str">
        <f>IF(C55&lt;&gt;"",SUMIFS('8. Uitgaven betaalverzoek'!$Z:$Z,'8. Uitgaven betaalverzoek'!$E:$E,$A55,'8. Uitgaven betaalverzoek'!$F:$F,$B55),"")</f>
        <v/>
      </c>
      <c r="H55" s="97" t="str">
        <f>IF(C55&lt;&gt;"",SUMIFS('8. Uitgaven betaalverzoek'!$AA:$AA,'8. Uitgaven betaalverzoek'!$E:$E,$A55,'8. Uitgaven betaalverzoek'!$F:$F,$B55),"")</f>
        <v/>
      </c>
      <c r="I55" s="99" t="str">
        <f>IFERROR(VLOOKUP(A55,Lijsten!$AK:$AL,2,0),"")</f>
        <v/>
      </c>
      <c r="J55" s="97">
        <f t="shared" si="4"/>
        <v>0</v>
      </c>
      <c r="K55" s="97">
        <f t="shared" si="1"/>
        <v>0</v>
      </c>
      <c r="L55" s="97">
        <f>SUMIFS('8. Uitgaven betaalverzoek'!$W:$W,'8. Uitgaven betaalverzoek'!$E:$E,$A55,'8. Uitgaven betaalverzoek'!$F:$F,$B55,'8. Uitgaven betaalverzoek'!$A:$A,Keuze_DB_Nr)</f>
        <v>0</v>
      </c>
      <c r="M55" s="97">
        <f>SUMIFS('8. Uitgaven betaalverzoek'!$X:$X,'8. Uitgaven betaalverzoek'!$E:$E,$A55,'8. Uitgaven betaalverzoek'!$F:$F,$B55,'8. Uitgaven betaalverzoek'!$A:$A,Keuze_DB_Nr)</f>
        <v>0</v>
      </c>
      <c r="N55" s="97" t="str">
        <f>IF($C55&lt;&gt;"",SUMIFS('8. Uitgaven betaalverzoek'!$Z:$Z,'8. Uitgaven betaalverzoek'!$E:$E,$A55,'8. Uitgaven betaalverzoek'!$F:$F,$B55,'8. Uitgaven betaalverzoek'!$A:$A,Keuze_DB_Nr),"")</f>
        <v/>
      </c>
      <c r="O55" s="97" t="str">
        <f>IF($C55&lt;&gt;"",SUMIFS('8. Uitgaven betaalverzoek'!$AA:$AA,'8. Uitgaven betaalverzoek'!$E:$E,$A55,'8. Uitgaven betaalverzoek'!$F:$F,$B55,'8. Uitgaven betaalverzoek'!$A:$A,Keuze_DB_Nr),"")</f>
        <v/>
      </c>
      <c r="P55" s="97">
        <f t="shared" si="5"/>
        <v>0</v>
      </c>
      <c r="Q55" s="97">
        <f t="shared" si="6"/>
        <v>0</v>
      </c>
      <c r="R55" s="97">
        <f>SUMIFS('8. Uitgaven betaalverzoek'!$W:$W,'8. Uitgaven betaalverzoek'!$E:$E,$A55,'8. Uitgaven betaalverzoek'!$F:$F,$B55,'8. Uitgaven betaalverzoek'!$A:$A,Keuze_DB_Nr_BEO)</f>
        <v>0</v>
      </c>
      <c r="S55" s="97">
        <f>SUMIFS('8. Uitgaven betaalverzoek'!$X:$X,'8. Uitgaven betaalverzoek'!$E:$E,$A55,'8. Uitgaven betaalverzoek'!$F:$F,$B55,'8. Uitgaven betaalverzoek'!$A:$A,Keuze_DB_Nr_BEO)</f>
        <v>0</v>
      </c>
      <c r="T55" s="97" t="str">
        <f>IF($C55&lt;&gt;"",SUMIFS('8. Uitgaven betaalverzoek'!$Z:$Z,'8. Uitgaven betaalverzoek'!$E:$E,$A55,'8. Uitgaven betaalverzoek'!$F:$F,$B55,'8. Uitgaven betaalverzoek'!$A:$A,Keuze_DB_Nr_BEO),"")</f>
        <v/>
      </c>
      <c r="U55" s="97" t="str">
        <f>IF($C55&lt;&gt;"",SUMIFS('8. Uitgaven betaalverzoek'!$AA:$AA,'8. Uitgaven betaalverzoek'!$E:$E,$A55,'8. Uitgaven betaalverzoek'!$F:$F,$B55,'8. Uitgaven betaalverzoek'!$A:$A,Keuze_DB_Nr_BEO),"")</f>
        <v/>
      </c>
      <c r="V55" s="97">
        <f t="shared" si="2"/>
        <v>0</v>
      </c>
      <c r="W55" s="97">
        <f t="shared" si="3"/>
        <v>0</v>
      </c>
    </row>
    <row r="56" spans="1:23" x14ac:dyDescent="0.25">
      <c r="A56" s="63"/>
      <c r="B56" s="63"/>
      <c r="C56" s="86" t="str" cm="1">
        <f t="array" ref="C56">IFERROR(INDEX(Tb_KostenOpties[],MATCH(B56,Tb_KostenOptiesDB[KostenOptie],0),IFERROR(MATCH(Methode_Keuze,Tb_KostenOptiesDB[#Headers],0),2)),"")</f>
        <v/>
      </c>
      <c r="D56" s="98">
        <f>IFERROR(INDEX(Tb_ProjectKosten[],MATCH($B56,Tb_ProjectKosten[Begroting],0),6),0)</f>
        <v>0</v>
      </c>
      <c r="E56" s="96">
        <f>SUMIFS('8. Uitgaven betaalverzoek'!$W:$W,'8. Uitgaven betaalverzoek'!$E:$E,$A56,'8. Uitgaven betaalverzoek'!$F:$F,$B56)</f>
        <v>0</v>
      </c>
      <c r="F56" s="96">
        <f>SUMIFS('8. Uitgaven betaalverzoek'!$X:$X,'8. Uitgaven betaalverzoek'!$E:$E,$A56,'8. Uitgaven betaalverzoek'!$F:$F,$B56)</f>
        <v>0</v>
      </c>
      <c r="G56" s="96" t="str">
        <f>IF(C56&lt;&gt;"",SUMIFS('8. Uitgaven betaalverzoek'!$Z:$Z,'8. Uitgaven betaalverzoek'!$E:$E,$A56,'8. Uitgaven betaalverzoek'!$F:$F,$B56),"")</f>
        <v/>
      </c>
      <c r="H56" s="96" t="str">
        <f>IF(C56&lt;&gt;"",SUMIFS('8. Uitgaven betaalverzoek'!$AA:$AA,'8. Uitgaven betaalverzoek'!$E:$E,$A56,'8. Uitgaven betaalverzoek'!$F:$F,$B56),"")</f>
        <v/>
      </c>
      <c r="I56" s="98" t="str">
        <f>IFERROR(VLOOKUP(A56,Lijsten!$AK:$AL,2,0),"")</f>
        <v/>
      </c>
      <c r="J56" s="96">
        <f t="shared" si="4"/>
        <v>0</v>
      </c>
      <c r="K56" s="96">
        <f t="shared" si="1"/>
        <v>0</v>
      </c>
      <c r="L56" s="96">
        <f>SUMIFS('8. Uitgaven betaalverzoek'!$W:$W,'8. Uitgaven betaalverzoek'!$E:$E,$A56,'8. Uitgaven betaalverzoek'!$F:$F,$B56,'8. Uitgaven betaalverzoek'!$A:$A,Keuze_DB_Nr)</f>
        <v>0</v>
      </c>
      <c r="M56" s="96">
        <f>SUMIFS('8. Uitgaven betaalverzoek'!$X:$X,'8. Uitgaven betaalverzoek'!$E:$E,$A56,'8. Uitgaven betaalverzoek'!$F:$F,$B56,'8. Uitgaven betaalverzoek'!$A:$A,Keuze_DB_Nr)</f>
        <v>0</v>
      </c>
      <c r="N56" s="96" t="str">
        <f>IF($C56&lt;&gt;"",SUMIFS('8. Uitgaven betaalverzoek'!$Z:$Z,'8. Uitgaven betaalverzoek'!$E:$E,$A56,'8. Uitgaven betaalverzoek'!$F:$F,$B56,'8. Uitgaven betaalverzoek'!$A:$A,Keuze_DB_Nr),"")</f>
        <v/>
      </c>
      <c r="O56" s="96" t="str">
        <f>IF($C56&lt;&gt;"",SUMIFS('8. Uitgaven betaalverzoek'!$AA:$AA,'8. Uitgaven betaalverzoek'!$E:$E,$A56,'8. Uitgaven betaalverzoek'!$F:$F,$B56,'8. Uitgaven betaalverzoek'!$A:$A,Keuze_DB_Nr),"")</f>
        <v/>
      </c>
      <c r="P56" s="96">
        <f t="shared" si="5"/>
        <v>0</v>
      </c>
      <c r="Q56" s="96">
        <f t="shared" si="6"/>
        <v>0</v>
      </c>
      <c r="R56" s="96">
        <f>SUMIFS('8. Uitgaven betaalverzoek'!$W:$W,'8. Uitgaven betaalverzoek'!$E:$E,$A56,'8. Uitgaven betaalverzoek'!$F:$F,$B56,'8. Uitgaven betaalverzoek'!$A:$A,Keuze_DB_Nr_BEO)</f>
        <v>0</v>
      </c>
      <c r="S56" s="96">
        <f>SUMIFS('8. Uitgaven betaalverzoek'!$X:$X,'8. Uitgaven betaalverzoek'!$E:$E,$A56,'8. Uitgaven betaalverzoek'!$F:$F,$B56,'8. Uitgaven betaalverzoek'!$A:$A,Keuze_DB_Nr_BEO)</f>
        <v>0</v>
      </c>
      <c r="T56" s="96" t="str">
        <f>IF($C56&lt;&gt;"",SUMIFS('8. Uitgaven betaalverzoek'!$Z:$Z,'8. Uitgaven betaalverzoek'!$E:$E,$A56,'8. Uitgaven betaalverzoek'!$F:$F,$B56,'8. Uitgaven betaalverzoek'!$A:$A,Keuze_DB_Nr_BEO),"")</f>
        <v/>
      </c>
      <c r="U56" s="96" t="str">
        <f>IF($C56&lt;&gt;"",SUMIFS('8. Uitgaven betaalverzoek'!$AA:$AA,'8. Uitgaven betaalverzoek'!$E:$E,$A56,'8. Uitgaven betaalverzoek'!$F:$F,$B56,'8. Uitgaven betaalverzoek'!$A:$A,Keuze_DB_Nr_BEO),"")</f>
        <v/>
      </c>
      <c r="V56" s="96">
        <f t="shared" si="2"/>
        <v>0</v>
      </c>
      <c r="W56" s="96">
        <f t="shared" si="3"/>
        <v>0</v>
      </c>
    </row>
    <row r="57" spans="1:23" x14ac:dyDescent="0.25">
      <c r="A57" s="12"/>
      <c r="B57" s="12"/>
      <c r="C57" s="87" t="str" cm="1">
        <f t="array" ref="C57">IFERROR(INDEX(Tb_KostenOpties[],MATCH(B57,Tb_KostenOptiesDB[KostenOptie],0),IFERROR(MATCH(Methode_Keuze,Tb_KostenOptiesDB[#Headers],0),2)),"")</f>
        <v/>
      </c>
      <c r="D57" s="99">
        <f>IFERROR(INDEX(Tb_ProjectKosten[],MATCH($B57,Tb_ProjectKosten[Begroting],0),6),0)</f>
        <v>0</v>
      </c>
      <c r="E57" s="97">
        <f>SUMIFS('8. Uitgaven betaalverzoek'!$W:$W,'8. Uitgaven betaalverzoek'!$E:$E,$A57,'8. Uitgaven betaalverzoek'!$F:$F,$B57)</f>
        <v>0</v>
      </c>
      <c r="F57" s="97">
        <f>SUMIFS('8. Uitgaven betaalverzoek'!$X:$X,'8. Uitgaven betaalverzoek'!$E:$E,$A57,'8. Uitgaven betaalverzoek'!$F:$F,$B57)</f>
        <v>0</v>
      </c>
      <c r="G57" s="97" t="str">
        <f>IF(C57&lt;&gt;"",SUMIFS('8. Uitgaven betaalverzoek'!$Z:$Z,'8. Uitgaven betaalverzoek'!$E:$E,$A57,'8. Uitgaven betaalverzoek'!$F:$F,$B57),"")</f>
        <v/>
      </c>
      <c r="H57" s="97" t="str">
        <f>IF(C57&lt;&gt;"",SUMIFS('8. Uitgaven betaalverzoek'!$AA:$AA,'8. Uitgaven betaalverzoek'!$E:$E,$A57,'8. Uitgaven betaalverzoek'!$F:$F,$B57),"")</f>
        <v/>
      </c>
      <c r="I57" s="99" t="str">
        <f>IFERROR(VLOOKUP(A57,Lijsten!$AK:$AL,2,0),"")</f>
        <v/>
      </c>
      <c r="J57" s="97">
        <f t="shared" si="4"/>
        <v>0</v>
      </c>
      <c r="K57" s="97">
        <f t="shared" si="1"/>
        <v>0</v>
      </c>
      <c r="L57" s="97">
        <f>SUMIFS('8. Uitgaven betaalverzoek'!$W:$W,'8. Uitgaven betaalverzoek'!$E:$E,$A57,'8. Uitgaven betaalverzoek'!$F:$F,$B57,'8. Uitgaven betaalverzoek'!$A:$A,Keuze_DB_Nr)</f>
        <v>0</v>
      </c>
      <c r="M57" s="97">
        <f>SUMIFS('8. Uitgaven betaalverzoek'!$X:$X,'8. Uitgaven betaalverzoek'!$E:$E,$A57,'8. Uitgaven betaalverzoek'!$F:$F,$B57,'8. Uitgaven betaalverzoek'!$A:$A,Keuze_DB_Nr)</f>
        <v>0</v>
      </c>
      <c r="N57" s="97" t="str">
        <f>IF($C57&lt;&gt;"",SUMIFS('8. Uitgaven betaalverzoek'!$Z:$Z,'8. Uitgaven betaalverzoek'!$E:$E,$A57,'8. Uitgaven betaalverzoek'!$F:$F,$B57,'8. Uitgaven betaalverzoek'!$A:$A,Keuze_DB_Nr),"")</f>
        <v/>
      </c>
      <c r="O57" s="97" t="str">
        <f>IF($C57&lt;&gt;"",SUMIFS('8. Uitgaven betaalverzoek'!$AA:$AA,'8. Uitgaven betaalverzoek'!$E:$E,$A57,'8. Uitgaven betaalverzoek'!$F:$F,$B57,'8. Uitgaven betaalverzoek'!$A:$A,Keuze_DB_Nr),"")</f>
        <v/>
      </c>
      <c r="P57" s="97">
        <f t="shared" si="5"/>
        <v>0</v>
      </c>
      <c r="Q57" s="97">
        <f t="shared" si="6"/>
        <v>0</v>
      </c>
      <c r="R57" s="97">
        <f>SUMIFS('8. Uitgaven betaalverzoek'!$W:$W,'8. Uitgaven betaalverzoek'!$E:$E,$A57,'8. Uitgaven betaalverzoek'!$F:$F,$B57,'8. Uitgaven betaalverzoek'!$A:$A,Keuze_DB_Nr_BEO)</f>
        <v>0</v>
      </c>
      <c r="S57" s="97">
        <f>SUMIFS('8. Uitgaven betaalverzoek'!$X:$X,'8. Uitgaven betaalverzoek'!$E:$E,$A57,'8. Uitgaven betaalverzoek'!$F:$F,$B57,'8. Uitgaven betaalverzoek'!$A:$A,Keuze_DB_Nr_BEO)</f>
        <v>0</v>
      </c>
      <c r="T57" s="97" t="str">
        <f>IF($C57&lt;&gt;"",SUMIFS('8. Uitgaven betaalverzoek'!$Z:$Z,'8. Uitgaven betaalverzoek'!$E:$E,$A57,'8. Uitgaven betaalverzoek'!$F:$F,$B57,'8. Uitgaven betaalverzoek'!$A:$A,Keuze_DB_Nr_BEO),"")</f>
        <v/>
      </c>
      <c r="U57" s="97" t="str">
        <f>IF($C57&lt;&gt;"",SUMIFS('8. Uitgaven betaalverzoek'!$AA:$AA,'8. Uitgaven betaalverzoek'!$E:$E,$A57,'8. Uitgaven betaalverzoek'!$F:$F,$B57,'8. Uitgaven betaalverzoek'!$A:$A,Keuze_DB_Nr_BEO),"")</f>
        <v/>
      </c>
      <c r="V57" s="97">
        <f t="shared" si="2"/>
        <v>0</v>
      </c>
      <c r="W57" s="97">
        <f t="shared" si="3"/>
        <v>0</v>
      </c>
    </row>
    <row r="58" spans="1:23" x14ac:dyDescent="0.25">
      <c r="A58" s="63"/>
      <c r="B58" s="63"/>
      <c r="C58" s="86" t="str" cm="1">
        <f t="array" ref="C58">IFERROR(INDEX(Tb_KostenOpties[],MATCH(B58,Tb_KostenOptiesDB[KostenOptie],0),IFERROR(MATCH(Methode_Keuze,Tb_KostenOptiesDB[#Headers],0),2)),"")</f>
        <v/>
      </c>
      <c r="D58" s="98">
        <f>IFERROR(INDEX(Tb_ProjectKosten[],MATCH($B58,Tb_ProjectKosten[Begroting],0),6),0)</f>
        <v>0</v>
      </c>
      <c r="E58" s="96">
        <f>SUMIFS('8. Uitgaven betaalverzoek'!$W:$W,'8. Uitgaven betaalverzoek'!$E:$E,$A58,'8. Uitgaven betaalverzoek'!$F:$F,$B58)</f>
        <v>0</v>
      </c>
      <c r="F58" s="96">
        <f>SUMIFS('8. Uitgaven betaalverzoek'!$X:$X,'8. Uitgaven betaalverzoek'!$E:$E,$A58,'8. Uitgaven betaalverzoek'!$F:$F,$B58)</f>
        <v>0</v>
      </c>
      <c r="G58" s="96" t="str">
        <f>IF(C58&lt;&gt;"",SUMIFS('8. Uitgaven betaalverzoek'!$Z:$Z,'8. Uitgaven betaalverzoek'!$E:$E,$A58,'8. Uitgaven betaalverzoek'!$F:$F,$B58),"")</f>
        <v/>
      </c>
      <c r="H58" s="96" t="str">
        <f>IF(C58&lt;&gt;"",SUMIFS('8. Uitgaven betaalverzoek'!$AA:$AA,'8. Uitgaven betaalverzoek'!$E:$E,$A58,'8. Uitgaven betaalverzoek'!$F:$F,$B58),"")</f>
        <v/>
      </c>
      <c r="I58" s="98" t="str">
        <f>IFERROR(VLOOKUP(A58,Lijsten!$AK:$AL,2,0),"")</f>
        <v/>
      </c>
      <c r="J58" s="96">
        <f t="shared" si="4"/>
        <v>0</v>
      </c>
      <c r="K58" s="96">
        <f t="shared" si="1"/>
        <v>0</v>
      </c>
      <c r="L58" s="96">
        <f>SUMIFS('8. Uitgaven betaalverzoek'!$W:$W,'8. Uitgaven betaalverzoek'!$E:$E,$A58,'8. Uitgaven betaalverzoek'!$F:$F,$B58,'8. Uitgaven betaalverzoek'!$A:$A,Keuze_DB_Nr)</f>
        <v>0</v>
      </c>
      <c r="M58" s="96">
        <f>SUMIFS('8. Uitgaven betaalverzoek'!$X:$X,'8. Uitgaven betaalverzoek'!$E:$E,$A58,'8. Uitgaven betaalverzoek'!$F:$F,$B58,'8. Uitgaven betaalverzoek'!$A:$A,Keuze_DB_Nr)</f>
        <v>0</v>
      </c>
      <c r="N58" s="96" t="str">
        <f>IF($C58&lt;&gt;"",SUMIFS('8. Uitgaven betaalverzoek'!$Z:$Z,'8. Uitgaven betaalverzoek'!$E:$E,$A58,'8. Uitgaven betaalverzoek'!$F:$F,$B58,'8. Uitgaven betaalverzoek'!$A:$A,Keuze_DB_Nr),"")</f>
        <v/>
      </c>
      <c r="O58" s="96" t="str">
        <f>IF($C58&lt;&gt;"",SUMIFS('8. Uitgaven betaalverzoek'!$AA:$AA,'8. Uitgaven betaalverzoek'!$E:$E,$A58,'8. Uitgaven betaalverzoek'!$F:$F,$B58,'8. Uitgaven betaalverzoek'!$A:$A,Keuze_DB_Nr),"")</f>
        <v/>
      </c>
      <c r="P58" s="96">
        <f t="shared" si="5"/>
        <v>0</v>
      </c>
      <c r="Q58" s="96">
        <f t="shared" si="6"/>
        <v>0</v>
      </c>
      <c r="R58" s="96">
        <f>SUMIFS('8. Uitgaven betaalverzoek'!$W:$W,'8. Uitgaven betaalverzoek'!$E:$E,$A58,'8. Uitgaven betaalverzoek'!$F:$F,$B58,'8. Uitgaven betaalverzoek'!$A:$A,Keuze_DB_Nr_BEO)</f>
        <v>0</v>
      </c>
      <c r="S58" s="96">
        <f>SUMIFS('8. Uitgaven betaalverzoek'!$X:$X,'8. Uitgaven betaalverzoek'!$E:$E,$A58,'8. Uitgaven betaalverzoek'!$F:$F,$B58,'8. Uitgaven betaalverzoek'!$A:$A,Keuze_DB_Nr_BEO)</f>
        <v>0</v>
      </c>
      <c r="T58" s="96" t="str">
        <f>IF($C58&lt;&gt;"",SUMIFS('8. Uitgaven betaalverzoek'!$Z:$Z,'8. Uitgaven betaalverzoek'!$E:$E,$A58,'8. Uitgaven betaalverzoek'!$F:$F,$B58,'8. Uitgaven betaalverzoek'!$A:$A,Keuze_DB_Nr_BEO),"")</f>
        <v/>
      </c>
      <c r="U58" s="96" t="str">
        <f>IF($C58&lt;&gt;"",SUMIFS('8. Uitgaven betaalverzoek'!$AA:$AA,'8. Uitgaven betaalverzoek'!$E:$E,$A58,'8. Uitgaven betaalverzoek'!$F:$F,$B58,'8. Uitgaven betaalverzoek'!$A:$A,Keuze_DB_Nr_BEO),"")</f>
        <v/>
      </c>
      <c r="V58" s="96">
        <f t="shared" si="2"/>
        <v>0</v>
      </c>
      <c r="W58" s="96">
        <f t="shared" si="3"/>
        <v>0</v>
      </c>
    </row>
    <row r="59" spans="1:23" x14ac:dyDescent="0.25">
      <c r="A59" s="12"/>
      <c r="B59" s="12"/>
      <c r="C59" s="87" t="str" cm="1">
        <f t="array" ref="C59">IFERROR(INDEX(Tb_KostenOpties[],MATCH(B59,Tb_KostenOptiesDB[KostenOptie],0),IFERROR(MATCH(Methode_Keuze,Tb_KostenOptiesDB[#Headers],0),2)),"")</f>
        <v/>
      </c>
      <c r="D59" s="99">
        <f>IFERROR(INDEX(Tb_ProjectKosten[],MATCH($B59,Tb_ProjectKosten[Begroting],0),6),0)</f>
        <v>0</v>
      </c>
      <c r="E59" s="97">
        <f>SUMIFS('8. Uitgaven betaalverzoek'!$W:$W,'8. Uitgaven betaalverzoek'!$E:$E,$A59,'8. Uitgaven betaalverzoek'!$F:$F,$B59)</f>
        <v>0</v>
      </c>
      <c r="F59" s="97">
        <f>SUMIFS('8. Uitgaven betaalverzoek'!$X:$X,'8. Uitgaven betaalverzoek'!$E:$E,$A59,'8. Uitgaven betaalverzoek'!$F:$F,$B59)</f>
        <v>0</v>
      </c>
      <c r="G59" s="97" t="str">
        <f>IF(C59&lt;&gt;"",SUMIFS('8. Uitgaven betaalverzoek'!$Z:$Z,'8. Uitgaven betaalverzoek'!$E:$E,$A59,'8. Uitgaven betaalverzoek'!$F:$F,$B59),"")</f>
        <v/>
      </c>
      <c r="H59" s="97" t="str">
        <f>IF(C59&lt;&gt;"",SUMIFS('8. Uitgaven betaalverzoek'!$AA:$AA,'8. Uitgaven betaalverzoek'!$E:$E,$A59,'8. Uitgaven betaalverzoek'!$F:$F,$B59),"")</f>
        <v/>
      </c>
      <c r="I59" s="99" t="str">
        <f>IFERROR(VLOOKUP(A59,Lijsten!$AK:$AL,2,0),"")</f>
        <v/>
      </c>
      <c r="J59" s="97">
        <f t="shared" si="4"/>
        <v>0</v>
      </c>
      <c r="K59" s="97">
        <f t="shared" si="1"/>
        <v>0</v>
      </c>
      <c r="L59" s="97">
        <f>SUMIFS('8. Uitgaven betaalverzoek'!$W:$W,'8. Uitgaven betaalverzoek'!$E:$E,$A59,'8. Uitgaven betaalverzoek'!$F:$F,$B59,'8. Uitgaven betaalverzoek'!$A:$A,Keuze_DB_Nr)</f>
        <v>0</v>
      </c>
      <c r="M59" s="97">
        <f>SUMIFS('8. Uitgaven betaalverzoek'!$X:$X,'8. Uitgaven betaalverzoek'!$E:$E,$A59,'8. Uitgaven betaalverzoek'!$F:$F,$B59,'8. Uitgaven betaalverzoek'!$A:$A,Keuze_DB_Nr)</f>
        <v>0</v>
      </c>
      <c r="N59" s="97" t="str">
        <f>IF($C59&lt;&gt;"",SUMIFS('8. Uitgaven betaalverzoek'!$Z:$Z,'8. Uitgaven betaalverzoek'!$E:$E,$A59,'8. Uitgaven betaalverzoek'!$F:$F,$B59,'8. Uitgaven betaalverzoek'!$A:$A,Keuze_DB_Nr),"")</f>
        <v/>
      </c>
      <c r="O59" s="97" t="str">
        <f>IF($C59&lt;&gt;"",SUMIFS('8. Uitgaven betaalverzoek'!$AA:$AA,'8. Uitgaven betaalverzoek'!$E:$E,$A59,'8. Uitgaven betaalverzoek'!$F:$F,$B59,'8. Uitgaven betaalverzoek'!$A:$A,Keuze_DB_Nr),"")</f>
        <v/>
      </c>
      <c r="P59" s="97">
        <f t="shared" si="5"/>
        <v>0</v>
      </c>
      <c r="Q59" s="97">
        <f t="shared" si="6"/>
        <v>0</v>
      </c>
      <c r="R59" s="97">
        <f>SUMIFS('8. Uitgaven betaalverzoek'!$W:$W,'8. Uitgaven betaalverzoek'!$E:$E,$A59,'8. Uitgaven betaalverzoek'!$F:$F,$B59,'8. Uitgaven betaalverzoek'!$A:$A,Keuze_DB_Nr_BEO)</f>
        <v>0</v>
      </c>
      <c r="S59" s="97">
        <f>SUMIFS('8. Uitgaven betaalverzoek'!$X:$X,'8. Uitgaven betaalverzoek'!$E:$E,$A59,'8. Uitgaven betaalverzoek'!$F:$F,$B59,'8. Uitgaven betaalverzoek'!$A:$A,Keuze_DB_Nr_BEO)</f>
        <v>0</v>
      </c>
      <c r="T59" s="97" t="str">
        <f>IF($C59&lt;&gt;"",SUMIFS('8. Uitgaven betaalverzoek'!$Z:$Z,'8. Uitgaven betaalverzoek'!$E:$E,$A59,'8. Uitgaven betaalverzoek'!$F:$F,$B59,'8. Uitgaven betaalverzoek'!$A:$A,Keuze_DB_Nr_BEO),"")</f>
        <v/>
      </c>
      <c r="U59" s="97" t="str">
        <f>IF($C59&lt;&gt;"",SUMIFS('8. Uitgaven betaalverzoek'!$AA:$AA,'8. Uitgaven betaalverzoek'!$E:$E,$A59,'8. Uitgaven betaalverzoek'!$F:$F,$B59,'8. Uitgaven betaalverzoek'!$A:$A,Keuze_DB_Nr_BEO),"")</f>
        <v/>
      </c>
      <c r="V59" s="97">
        <f t="shared" si="2"/>
        <v>0</v>
      </c>
      <c r="W59" s="97">
        <f t="shared" si="3"/>
        <v>0</v>
      </c>
    </row>
    <row r="60" spans="1:23" x14ac:dyDescent="0.25">
      <c r="A60" s="63"/>
      <c r="B60" s="63"/>
      <c r="C60" s="86" t="str" cm="1">
        <f t="array" ref="C60">IFERROR(INDEX(Tb_KostenOpties[],MATCH(B60,Tb_KostenOptiesDB[KostenOptie],0),IFERROR(MATCH(Methode_Keuze,Tb_KostenOptiesDB[#Headers],0),2)),"")</f>
        <v/>
      </c>
      <c r="D60" s="98">
        <f>IFERROR(INDEX(Tb_ProjectKosten[],MATCH($B60,Tb_ProjectKosten[Begroting],0),6),0)</f>
        <v>0</v>
      </c>
      <c r="E60" s="96">
        <f>SUMIFS('8. Uitgaven betaalverzoek'!$W:$W,'8. Uitgaven betaalverzoek'!$E:$E,$A60,'8. Uitgaven betaalverzoek'!$F:$F,$B60)</f>
        <v>0</v>
      </c>
      <c r="F60" s="96">
        <f>SUMIFS('8. Uitgaven betaalverzoek'!$X:$X,'8. Uitgaven betaalverzoek'!$E:$E,$A60,'8. Uitgaven betaalverzoek'!$F:$F,$B60)</f>
        <v>0</v>
      </c>
      <c r="G60" s="96" t="str">
        <f>IF(C60&lt;&gt;"",SUMIFS('8. Uitgaven betaalverzoek'!$Z:$Z,'8. Uitgaven betaalverzoek'!$E:$E,$A60,'8. Uitgaven betaalverzoek'!$F:$F,$B60),"")</f>
        <v/>
      </c>
      <c r="H60" s="96" t="str">
        <f>IF(C60&lt;&gt;"",SUMIFS('8. Uitgaven betaalverzoek'!$AA:$AA,'8. Uitgaven betaalverzoek'!$E:$E,$A60,'8. Uitgaven betaalverzoek'!$F:$F,$B60),"")</f>
        <v/>
      </c>
      <c r="I60" s="98" t="str">
        <f>IFERROR(VLOOKUP(A60,Lijsten!$AK:$AL,2,0),"")</f>
        <v/>
      </c>
      <c r="J60" s="96">
        <f t="shared" si="4"/>
        <v>0</v>
      </c>
      <c r="K60" s="96">
        <f t="shared" si="1"/>
        <v>0</v>
      </c>
      <c r="L60" s="96">
        <f>SUMIFS('8. Uitgaven betaalverzoek'!$W:$W,'8. Uitgaven betaalverzoek'!$E:$E,$A60,'8. Uitgaven betaalverzoek'!$F:$F,$B60,'8. Uitgaven betaalverzoek'!$A:$A,Keuze_DB_Nr)</f>
        <v>0</v>
      </c>
      <c r="M60" s="96">
        <f>SUMIFS('8. Uitgaven betaalverzoek'!$X:$X,'8. Uitgaven betaalverzoek'!$E:$E,$A60,'8. Uitgaven betaalverzoek'!$F:$F,$B60,'8. Uitgaven betaalverzoek'!$A:$A,Keuze_DB_Nr)</f>
        <v>0</v>
      </c>
      <c r="N60" s="96" t="str">
        <f>IF($C60&lt;&gt;"",SUMIFS('8. Uitgaven betaalverzoek'!$Z:$Z,'8. Uitgaven betaalverzoek'!$E:$E,$A60,'8. Uitgaven betaalverzoek'!$F:$F,$B60,'8. Uitgaven betaalverzoek'!$A:$A,Keuze_DB_Nr),"")</f>
        <v/>
      </c>
      <c r="O60" s="96" t="str">
        <f>IF($C60&lt;&gt;"",SUMIFS('8. Uitgaven betaalverzoek'!$AA:$AA,'8. Uitgaven betaalverzoek'!$E:$E,$A60,'8. Uitgaven betaalverzoek'!$F:$F,$B60,'8. Uitgaven betaalverzoek'!$A:$A,Keuze_DB_Nr),"")</f>
        <v/>
      </c>
      <c r="P60" s="96">
        <f t="shared" si="5"/>
        <v>0</v>
      </c>
      <c r="Q60" s="96">
        <f t="shared" si="6"/>
        <v>0</v>
      </c>
      <c r="R60" s="96">
        <f>SUMIFS('8. Uitgaven betaalverzoek'!$W:$W,'8. Uitgaven betaalverzoek'!$E:$E,$A60,'8. Uitgaven betaalverzoek'!$F:$F,$B60,'8. Uitgaven betaalverzoek'!$A:$A,Keuze_DB_Nr_BEO)</f>
        <v>0</v>
      </c>
      <c r="S60" s="96">
        <f>SUMIFS('8. Uitgaven betaalverzoek'!$X:$X,'8. Uitgaven betaalverzoek'!$E:$E,$A60,'8. Uitgaven betaalverzoek'!$F:$F,$B60,'8. Uitgaven betaalverzoek'!$A:$A,Keuze_DB_Nr_BEO)</f>
        <v>0</v>
      </c>
      <c r="T60" s="96" t="str">
        <f>IF($C60&lt;&gt;"",SUMIFS('8. Uitgaven betaalverzoek'!$Z:$Z,'8. Uitgaven betaalverzoek'!$E:$E,$A60,'8. Uitgaven betaalverzoek'!$F:$F,$B60,'8. Uitgaven betaalverzoek'!$A:$A,Keuze_DB_Nr_BEO),"")</f>
        <v/>
      </c>
      <c r="U60" s="96" t="str">
        <f>IF($C60&lt;&gt;"",SUMIFS('8. Uitgaven betaalverzoek'!$AA:$AA,'8. Uitgaven betaalverzoek'!$E:$E,$A60,'8. Uitgaven betaalverzoek'!$F:$F,$B60,'8. Uitgaven betaalverzoek'!$A:$A,Keuze_DB_Nr_BEO),"")</f>
        <v/>
      </c>
      <c r="V60" s="96">
        <f t="shared" si="2"/>
        <v>0</v>
      </c>
      <c r="W60" s="96">
        <f t="shared" si="3"/>
        <v>0</v>
      </c>
    </row>
    <row r="61" spans="1:23" x14ac:dyDescent="0.25">
      <c r="A61" s="12"/>
      <c r="B61" s="12"/>
      <c r="C61" s="87" t="str" cm="1">
        <f t="array" ref="C61">IFERROR(INDEX(Tb_KostenOpties[],MATCH(B61,Tb_KostenOptiesDB[KostenOptie],0),IFERROR(MATCH(Methode_Keuze,Tb_KostenOptiesDB[#Headers],0),2)),"")</f>
        <v/>
      </c>
      <c r="D61" s="99">
        <f>IFERROR(INDEX(Tb_ProjectKosten[],MATCH($B61,Tb_ProjectKosten[Begroting],0),6),0)</f>
        <v>0</v>
      </c>
      <c r="E61" s="97">
        <f>SUMIFS('8. Uitgaven betaalverzoek'!$W:$W,'8. Uitgaven betaalverzoek'!$E:$E,$A61,'8. Uitgaven betaalverzoek'!$F:$F,$B61)</f>
        <v>0</v>
      </c>
      <c r="F61" s="97">
        <f>SUMIFS('8. Uitgaven betaalverzoek'!$X:$X,'8. Uitgaven betaalverzoek'!$E:$E,$A61,'8. Uitgaven betaalverzoek'!$F:$F,$B61)</f>
        <v>0</v>
      </c>
      <c r="G61" s="97" t="str">
        <f>IF(C61&lt;&gt;"",SUMIFS('8. Uitgaven betaalverzoek'!$Z:$Z,'8. Uitgaven betaalverzoek'!$E:$E,$A61,'8. Uitgaven betaalverzoek'!$F:$F,$B61),"")</f>
        <v/>
      </c>
      <c r="H61" s="97" t="str">
        <f>IF(C61&lt;&gt;"",SUMIFS('8. Uitgaven betaalverzoek'!$AA:$AA,'8. Uitgaven betaalverzoek'!$E:$E,$A61,'8. Uitgaven betaalverzoek'!$F:$F,$B61),"")</f>
        <v/>
      </c>
      <c r="I61" s="99" t="str">
        <f>IFERROR(VLOOKUP(A61,Lijsten!$AK:$AL,2,0),"")</f>
        <v/>
      </c>
      <c r="J61" s="97">
        <f t="shared" si="4"/>
        <v>0</v>
      </c>
      <c r="K61" s="97">
        <f t="shared" si="1"/>
        <v>0</v>
      </c>
      <c r="L61" s="97">
        <f>SUMIFS('8. Uitgaven betaalverzoek'!$W:$W,'8. Uitgaven betaalverzoek'!$E:$E,$A61,'8. Uitgaven betaalverzoek'!$F:$F,$B61,'8. Uitgaven betaalverzoek'!$A:$A,Keuze_DB_Nr)</f>
        <v>0</v>
      </c>
      <c r="M61" s="97">
        <f>SUMIFS('8. Uitgaven betaalverzoek'!$X:$X,'8. Uitgaven betaalverzoek'!$E:$E,$A61,'8. Uitgaven betaalverzoek'!$F:$F,$B61,'8. Uitgaven betaalverzoek'!$A:$A,Keuze_DB_Nr)</f>
        <v>0</v>
      </c>
      <c r="N61" s="97" t="str">
        <f>IF($C61&lt;&gt;"",SUMIFS('8. Uitgaven betaalverzoek'!$Z:$Z,'8. Uitgaven betaalverzoek'!$E:$E,$A61,'8. Uitgaven betaalverzoek'!$F:$F,$B61,'8. Uitgaven betaalverzoek'!$A:$A,Keuze_DB_Nr),"")</f>
        <v/>
      </c>
      <c r="O61" s="97" t="str">
        <f>IF($C61&lt;&gt;"",SUMIFS('8. Uitgaven betaalverzoek'!$AA:$AA,'8. Uitgaven betaalverzoek'!$E:$E,$A61,'8. Uitgaven betaalverzoek'!$F:$F,$B61,'8. Uitgaven betaalverzoek'!$A:$A,Keuze_DB_Nr),"")</f>
        <v/>
      </c>
      <c r="P61" s="97">
        <f t="shared" si="5"/>
        <v>0</v>
      </c>
      <c r="Q61" s="97">
        <f t="shared" si="6"/>
        <v>0</v>
      </c>
      <c r="R61" s="97">
        <f>SUMIFS('8. Uitgaven betaalverzoek'!$W:$W,'8. Uitgaven betaalverzoek'!$E:$E,$A61,'8. Uitgaven betaalverzoek'!$F:$F,$B61,'8. Uitgaven betaalverzoek'!$A:$A,Keuze_DB_Nr_BEO)</f>
        <v>0</v>
      </c>
      <c r="S61" s="97">
        <f>SUMIFS('8. Uitgaven betaalverzoek'!$X:$X,'8. Uitgaven betaalverzoek'!$E:$E,$A61,'8. Uitgaven betaalverzoek'!$F:$F,$B61,'8. Uitgaven betaalverzoek'!$A:$A,Keuze_DB_Nr_BEO)</f>
        <v>0</v>
      </c>
      <c r="T61" s="97" t="str">
        <f>IF($C61&lt;&gt;"",SUMIFS('8. Uitgaven betaalverzoek'!$Z:$Z,'8. Uitgaven betaalverzoek'!$E:$E,$A61,'8. Uitgaven betaalverzoek'!$F:$F,$B61,'8. Uitgaven betaalverzoek'!$A:$A,Keuze_DB_Nr_BEO),"")</f>
        <v/>
      </c>
      <c r="U61" s="97" t="str">
        <f>IF($C61&lt;&gt;"",SUMIFS('8. Uitgaven betaalverzoek'!$AA:$AA,'8. Uitgaven betaalverzoek'!$E:$E,$A61,'8. Uitgaven betaalverzoek'!$F:$F,$B61,'8. Uitgaven betaalverzoek'!$A:$A,Keuze_DB_Nr_BEO),"")</f>
        <v/>
      </c>
      <c r="V61" s="97">
        <f t="shared" si="2"/>
        <v>0</v>
      </c>
      <c r="W61" s="97">
        <f t="shared" si="3"/>
        <v>0</v>
      </c>
    </row>
    <row r="62" spans="1:23" x14ac:dyDescent="0.25">
      <c r="A62" s="63"/>
      <c r="B62" s="63"/>
      <c r="C62" s="86" t="str" cm="1">
        <f t="array" ref="C62">IFERROR(INDEX(Tb_KostenOpties[],MATCH(B62,Tb_KostenOptiesDB[KostenOptie],0),IFERROR(MATCH(Methode_Keuze,Tb_KostenOptiesDB[#Headers],0),2)),"")</f>
        <v/>
      </c>
      <c r="D62" s="98">
        <f>IFERROR(INDEX(Tb_ProjectKosten[],MATCH($B62,Tb_ProjectKosten[Begroting],0),6),0)</f>
        <v>0</v>
      </c>
      <c r="E62" s="96">
        <f>SUMIFS('8. Uitgaven betaalverzoek'!$W:$W,'8. Uitgaven betaalverzoek'!$E:$E,$A62,'8. Uitgaven betaalverzoek'!$F:$F,$B62)</f>
        <v>0</v>
      </c>
      <c r="F62" s="96">
        <f>SUMIFS('8. Uitgaven betaalverzoek'!$X:$X,'8. Uitgaven betaalverzoek'!$E:$E,$A62,'8. Uitgaven betaalverzoek'!$F:$F,$B62)</f>
        <v>0</v>
      </c>
      <c r="G62" s="96" t="str">
        <f>IF(C62&lt;&gt;"",SUMIFS('8. Uitgaven betaalverzoek'!$Z:$Z,'8. Uitgaven betaalverzoek'!$E:$E,$A62,'8. Uitgaven betaalverzoek'!$F:$F,$B62),"")</f>
        <v/>
      </c>
      <c r="H62" s="96" t="str">
        <f>IF(C62&lt;&gt;"",SUMIFS('8. Uitgaven betaalverzoek'!$AA:$AA,'8. Uitgaven betaalverzoek'!$E:$E,$A62,'8. Uitgaven betaalverzoek'!$F:$F,$B62),"")</f>
        <v/>
      </c>
      <c r="I62" s="98" t="str">
        <f>IFERROR(VLOOKUP(A62,Lijsten!$AK:$AL,2,0),"")</f>
        <v/>
      </c>
      <c r="J62" s="96">
        <f t="shared" si="4"/>
        <v>0</v>
      </c>
      <c r="K62" s="96">
        <f t="shared" si="1"/>
        <v>0</v>
      </c>
      <c r="L62" s="96">
        <f>SUMIFS('8. Uitgaven betaalverzoek'!$W:$W,'8. Uitgaven betaalverzoek'!$E:$E,$A62,'8. Uitgaven betaalverzoek'!$F:$F,$B62,'8. Uitgaven betaalverzoek'!$A:$A,Keuze_DB_Nr)</f>
        <v>0</v>
      </c>
      <c r="M62" s="96">
        <f>SUMIFS('8. Uitgaven betaalverzoek'!$X:$X,'8. Uitgaven betaalverzoek'!$E:$E,$A62,'8. Uitgaven betaalverzoek'!$F:$F,$B62,'8. Uitgaven betaalverzoek'!$A:$A,Keuze_DB_Nr)</f>
        <v>0</v>
      </c>
      <c r="N62" s="96" t="str">
        <f>IF($C62&lt;&gt;"",SUMIFS('8. Uitgaven betaalverzoek'!$Z:$Z,'8. Uitgaven betaalverzoek'!$E:$E,$A62,'8. Uitgaven betaalverzoek'!$F:$F,$B62,'8. Uitgaven betaalverzoek'!$A:$A,Keuze_DB_Nr),"")</f>
        <v/>
      </c>
      <c r="O62" s="96" t="str">
        <f>IF($C62&lt;&gt;"",SUMIFS('8. Uitgaven betaalverzoek'!$AA:$AA,'8. Uitgaven betaalverzoek'!$E:$E,$A62,'8. Uitgaven betaalverzoek'!$F:$F,$B62,'8. Uitgaven betaalverzoek'!$A:$A,Keuze_DB_Nr),"")</f>
        <v/>
      </c>
      <c r="P62" s="96">
        <f t="shared" si="5"/>
        <v>0</v>
      </c>
      <c r="Q62" s="96">
        <f t="shared" si="6"/>
        <v>0</v>
      </c>
      <c r="R62" s="96">
        <f>SUMIFS('8. Uitgaven betaalverzoek'!$W:$W,'8. Uitgaven betaalverzoek'!$E:$E,$A62,'8. Uitgaven betaalverzoek'!$F:$F,$B62,'8. Uitgaven betaalverzoek'!$A:$A,Keuze_DB_Nr_BEO)</f>
        <v>0</v>
      </c>
      <c r="S62" s="96">
        <f>SUMIFS('8. Uitgaven betaalverzoek'!$X:$X,'8. Uitgaven betaalverzoek'!$E:$E,$A62,'8. Uitgaven betaalverzoek'!$F:$F,$B62,'8. Uitgaven betaalverzoek'!$A:$A,Keuze_DB_Nr_BEO)</f>
        <v>0</v>
      </c>
      <c r="T62" s="96" t="str">
        <f>IF($C62&lt;&gt;"",SUMIFS('8. Uitgaven betaalverzoek'!$Z:$Z,'8. Uitgaven betaalverzoek'!$E:$E,$A62,'8. Uitgaven betaalverzoek'!$F:$F,$B62,'8. Uitgaven betaalverzoek'!$A:$A,Keuze_DB_Nr_BEO),"")</f>
        <v/>
      </c>
      <c r="U62" s="96" t="str">
        <f>IF($C62&lt;&gt;"",SUMIFS('8. Uitgaven betaalverzoek'!$AA:$AA,'8. Uitgaven betaalverzoek'!$E:$E,$A62,'8. Uitgaven betaalverzoek'!$F:$F,$B62,'8. Uitgaven betaalverzoek'!$A:$A,Keuze_DB_Nr_BEO),"")</f>
        <v/>
      </c>
      <c r="V62" s="96">
        <f t="shared" si="2"/>
        <v>0</v>
      </c>
      <c r="W62" s="96">
        <f t="shared" si="3"/>
        <v>0</v>
      </c>
    </row>
    <row r="63" spans="1:23" x14ac:dyDescent="0.25">
      <c r="A63" s="12"/>
      <c r="B63" s="12"/>
      <c r="C63" s="87" t="str" cm="1">
        <f t="array" ref="C63">IFERROR(INDEX(Tb_KostenOpties[],MATCH(B63,Tb_KostenOptiesDB[KostenOptie],0),IFERROR(MATCH(Methode_Keuze,Tb_KostenOptiesDB[#Headers],0),2)),"")</f>
        <v/>
      </c>
      <c r="D63" s="99">
        <f>IFERROR(INDEX(Tb_ProjectKosten[],MATCH($B63,Tb_ProjectKosten[Begroting],0),6),0)</f>
        <v>0</v>
      </c>
      <c r="E63" s="97">
        <f>SUMIFS('8. Uitgaven betaalverzoek'!$W:$W,'8. Uitgaven betaalverzoek'!$E:$E,$A63,'8. Uitgaven betaalverzoek'!$F:$F,$B63)</f>
        <v>0</v>
      </c>
      <c r="F63" s="97">
        <f>SUMIFS('8. Uitgaven betaalverzoek'!$X:$X,'8. Uitgaven betaalverzoek'!$E:$E,$A63,'8. Uitgaven betaalverzoek'!$F:$F,$B63)</f>
        <v>0</v>
      </c>
      <c r="G63" s="97" t="str">
        <f>IF(C63&lt;&gt;"",SUMIFS('8. Uitgaven betaalverzoek'!$Z:$Z,'8. Uitgaven betaalverzoek'!$E:$E,$A63,'8. Uitgaven betaalverzoek'!$F:$F,$B63),"")</f>
        <v/>
      </c>
      <c r="H63" s="97" t="str">
        <f>IF(C63&lt;&gt;"",SUMIFS('8. Uitgaven betaalverzoek'!$AA:$AA,'8. Uitgaven betaalverzoek'!$E:$E,$A63,'8. Uitgaven betaalverzoek'!$F:$F,$B63),"")</f>
        <v/>
      </c>
      <c r="I63" s="99" t="str">
        <f>IFERROR(VLOOKUP(A63,Lijsten!$AK:$AL,2,0),"")</f>
        <v/>
      </c>
      <c r="J63" s="97">
        <f t="shared" si="4"/>
        <v>0</v>
      </c>
      <c r="K63" s="97">
        <f t="shared" si="1"/>
        <v>0</v>
      </c>
      <c r="L63" s="97">
        <f>SUMIFS('8. Uitgaven betaalverzoek'!$W:$W,'8. Uitgaven betaalverzoek'!$E:$E,$A63,'8. Uitgaven betaalverzoek'!$F:$F,$B63,'8. Uitgaven betaalverzoek'!$A:$A,Keuze_DB_Nr)</f>
        <v>0</v>
      </c>
      <c r="M63" s="97">
        <f>SUMIFS('8. Uitgaven betaalverzoek'!$X:$X,'8. Uitgaven betaalverzoek'!$E:$E,$A63,'8. Uitgaven betaalverzoek'!$F:$F,$B63,'8. Uitgaven betaalverzoek'!$A:$A,Keuze_DB_Nr)</f>
        <v>0</v>
      </c>
      <c r="N63" s="97" t="str">
        <f>IF($C63&lt;&gt;"",SUMIFS('8. Uitgaven betaalverzoek'!$Z:$Z,'8. Uitgaven betaalverzoek'!$E:$E,$A63,'8. Uitgaven betaalverzoek'!$F:$F,$B63,'8. Uitgaven betaalverzoek'!$A:$A,Keuze_DB_Nr),"")</f>
        <v/>
      </c>
      <c r="O63" s="97" t="str">
        <f>IF($C63&lt;&gt;"",SUMIFS('8. Uitgaven betaalverzoek'!$AA:$AA,'8. Uitgaven betaalverzoek'!$E:$E,$A63,'8. Uitgaven betaalverzoek'!$F:$F,$B63,'8. Uitgaven betaalverzoek'!$A:$A,Keuze_DB_Nr),"")</f>
        <v/>
      </c>
      <c r="P63" s="97">
        <f t="shared" si="5"/>
        <v>0</v>
      </c>
      <c r="Q63" s="97">
        <f t="shared" si="6"/>
        <v>0</v>
      </c>
      <c r="R63" s="97">
        <f>SUMIFS('8. Uitgaven betaalverzoek'!$W:$W,'8. Uitgaven betaalverzoek'!$E:$E,$A63,'8. Uitgaven betaalverzoek'!$F:$F,$B63,'8. Uitgaven betaalverzoek'!$A:$A,Keuze_DB_Nr_BEO)</f>
        <v>0</v>
      </c>
      <c r="S63" s="97">
        <f>SUMIFS('8. Uitgaven betaalverzoek'!$X:$X,'8. Uitgaven betaalverzoek'!$E:$E,$A63,'8. Uitgaven betaalverzoek'!$F:$F,$B63,'8. Uitgaven betaalverzoek'!$A:$A,Keuze_DB_Nr_BEO)</f>
        <v>0</v>
      </c>
      <c r="T63" s="97" t="str">
        <f>IF($C63&lt;&gt;"",SUMIFS('8. Uitgaven betaalverzoek'!$Z:$Z,'8. Uitgaven betaalverzoek'!$E:$E,$A63,'8. Uitgaven betaalverzoek'!$F:$F,$B63,'8. Uitgaven betaalverzoek'!$A:$A,Keuze_DB_Nr_BEO),"")</f>
        <v/>
      </c>
      <c r="U63" s="97" t="str">
        <f>IF($C63&lt;&gt;"",SUMIFS('8. Uitgaven betaalverzoek'!$AA:$AA,'8. Uitgaven betaalverzoek'!$E:$E,$A63,'8. Uitgaven betaalverzoek'!$F:$F,$B63,'8. Uitgaven betaalverzoek'!$A:$A,Keuze_DB_Nr_BEO),"")</f>
        <v/>
      </c>
      <c r="V63" s="97">
        <f t="shared" si="2"/>
        <v>0</v>
      </c>
      <c r="W63" s="97">
        <f t="shared" si="3"/>
        <v>0</v>
      </c>
    </row>
    <row r="64" spans="1:23" x14ac:dyDescent="0.25">
      <c r="A64" s="63"/>
      <c r="B64" s="63"/>
      <c r="C64" s="86" t="str" cm="1">
        <f t="array" ref="C64">IFERROR(INDEX(Tb_KostenOpties[],MATCH(B64,Tb_KostenOptiesDB[KostenOptie],0),IFERROR(MATCH(Methode_Keuze,Tb_KostenOptiesDB[#Headers],0),2)),"")</f>
        <v/>
      </c>
      <c r="D64" s="98">
        <f>IFERROR(INDEX(Tb_ProjectKosten[],MATCH($B64,Tb_ProjectKosten[Begroting],0),6),0)</f>
        <v>0</v>
      </c>
      <c r="E64" s="96">
        <f>SUMIFS('8. Uitgaven betaalverzoek'!$W:$W,'8. Uitgaven betaalverzoek'!$E:$E,$A64,'8. Uitgaven betaalverzoek'!$F:$F,$B64)</f>
        <v>0</v>
      </c>
      <c r="F64" s="96">
        <f>SUMIFS('8. Uitgaven betaalverzoek'!$X:$X,'8. Uitgaven betaalverzoek'!$E:$E,$A64,'8. Uitgaven betaalverzoek'!$F:$F,$B64)</f>
        <v>0</v>
      </c>
      <c r="G64" s="96" t="str">
        <f>IF(C64&lt;&gt;"",SUMIFS('8. Uitgaven betaalverzoek'!$Z:$Z,'8. Uitgaven betaalverzoek'!$E:$E,$A64,'8. Uitgaven betaalverzoek'!$F:$F,$B64),"")</f>
        <v/>
      </c>
      <c r="H64" s="96" t="str">
        <f>IF(C64&lt;&gt;"",SUMIFS('8. Uitgaven betaalverzoek'!$AA:$AA,'8. Uitgaven betaalverzoek'!$E:$E,$A64,'8. Uitgaven betaalverzoek'!$F:$F,$B64),"")</f>
        <v/>
      </c>
      <c r="I64" s="98" t="str">
        <f>IFERROR(VLOOKUP(A64,Lijsten!$AK:$AL,2,0),"")</f>
        <v/>
      </c>
      <c r="J64" s="96">
        <f t="shared" si="4"/>
        <v>0</v>
      </c>
      <c r="K64" s="96">
        <f t="shared" si="1"/>
        <v>0</v>
      </c>
      <c r="L64" s="96">
        <f>SUMIFS('8. Uitgaven betaalverzoek'!$W:$W,'8. Uitgaven betaalverzoek'!$E:$E,$A64,'8. Uitgaven betaalverzoek'!$F:$F,$B64,'8. Uitgaven betaalverzoek'!$A:$A,Keuze_DB_Nr)</f>
        <v>0</v>
      </c>
      <c r="M64" s="96">
        <f>SUMIFS('8. Uitgaven betaalverzoek'!$X:$X,'8. Uitgaven betaalverzoek'!$E:$E,$A64,'8. Uitgaven betaalverzoek'!$F:$F,$B64,'8. Uitgaven betaalverzoek'!$A:$A,Keuze_DB_Nr)</f>
        <v>0</v>
      </c>
      <c r="N64" s="96" t="str">
        <f>IF($C64&lt;&gt;"",SUMIFS('8. Uitgaven betaalverzoek'!$Z:$Z,'8. Uitgaven betaalverzoek'!$E:$E,$A64,'8. Uitgaven betaalverzoek'!$F:$F,$B64,'8. Uitgaven betaalverzoek'!$A:$A,Keuze_DB_Nr),"")</f>
        <v/>
      </c>
      <c r="O64" s="96" t="str">
        <f>IF($C64&lt;&gt;"",SUMIFS('8. Uitgaven betaalverzoek'!$AA:$AA,'8. Uitgaven betaalverzoek'!$E:$E,$A64,'8. Uitgaven betaalverzoek'!$F:$F,$B64,'8. Uitgaven betaalverzoek'!$A:$A,Keuze_DB_Nr),"")</f>
        <v/>
      </c>
      <c r="P64" s="96">
        <f t="shared" si="5"/>
        <v>0</v>
      </c>
      <c r="Q64" s="96">
        <f t="shared" si="6"/>
        <v>0</v>
      </c>
      <c r="R64" s="96">
        <f>SUMIFS('8. Uitgaven betaalverzoek'!$W:$W,'8. Uitgaven betaalverzoek'!$E:$E,$A64,'8. Uitgaven betaalverzoek'!$F:$F,$B64,'8. Uitgaven betaalverzoek'!$A:$A,Keuze_DB_Nr_BEO)</f>
        <v>0</v>
      </c>
      <c r="S64" s="96">
        <f>SUMIFS('8. Uitgaven betaalverzoek'!$X:$X,'8. Uitgaven betaalverzoek'!$E:$E,$A64,'8. Uitgaven betaalverzoek'!$F:$F,$B64,'8. Uitgaven betaalverzoek'!$A:$A,Keuze_DB_Nr_BEO)</f>
        <v>0</v>
      </c>
      <c r="T64" s="96" t="str">
        <f>IF($C64&lt;&gt;"",SUMIFS('8. Uitgaven betaalverzoek'!$Z:$Z,'8. Uitgaven betaalverzoek'!$E:$E,$A64,'8. Uitgaven betaalverzoek'!$F:$F,$B64,'8. Uitgaven betaalverzoek'!$A:$A,Keuze_DB_Nr_BEO),"")</f>
        <v/>
      </c>
      <c r="U64" s="96" t="str">
        <f>IF($C64&lt;&gt;"",SUMIFS('8. Uitgaven betaalverzoek'!$AA:$AA,'8. Uitgaven betaalverzoek'!$E:$E,$A64,'8. Uitgaven betaalverzoek'!$F:$F,$B64,'8. Uitgaven betaalverzoek'!$A:$A,Keuze_DB_Nr_BEO),"")</f>
        <v/>
      </c>
      <c r="V64" s="96">
        <f t="shared" si="2"/>
        <v>0</v>
      </c>
      <c r="W64" s="96">
        <f t="shared" si="3"/>
        <v>0</v>
      </c>
    </row>
    <row r="65" spans="1:23" x14ac:dyDescent="0.25">
      <c r="A65" s="12"/>
      <c r="B65" s="12"/>
      <c r="C65" s="87" t="str" cm="1">
        <f t="array" ref="C65">IFERROR(INDEX(Tb_KostenOpties[],MATCH(B65,Tb_KostenOptiesDB[KostenOptie],0),IFERROR(MATCH(Methode_Keuze,Tb_KostenOptiesDB[#Headers],0),2)),"")</f>
        <v/>
      </c>
      <c r="D65" s="99">
        <f>IFERROR(INDEX(Tb_ProjectKosten[],MATCH($B65,Tb_ProjectKosten[Begroting],0),6),0)</f>
        <v>0</v>
      </c>
      <c r="E65" s="97">
        <f>SUMIFS('8. Uitgaven betaalverzoek'!$W:$W,'8. Uitgaven betaalverzoek'!$E:$E,$A65,'8. Uitgaven betaalverzoek'!$F:$F,$B65)</f>
        <v>0</v>
      </c>
      <c r="F65" s="97">
        <f>SUMIFS('8. Uitgaven betaalverzoek'!$X:$X,'8. Uitgaven betaalverzoek'!$E:$E,$A65,'8. Uitgaven betaalverzoek'!$F:$F,$B65)</f>
        <v>0</v>
      </c>
      <c r="G65" s="97" t="str">
        <f>IF(C65&lt;&gt;"",SUMIFS('8. Uitgaven betaalverzoek'!$Z:$Z,'8. Uitgaven betaalverzoek'!$E:$E,$A65,'8. Uitgaven betaalverzoek'!$F:$F,$B65),"")</f>
        <v/>
      </c>
      <c r="H65" s="97" t="str">
        <f>IF(C65&lt;&gt;"",SUMIFS('8. Uitgaven betaalverzoek'!$AA:$AA,'8. Uitgaven betaalverzoek'!$E:$E,$A65,'8. Uitgaven betaalverzoek'!$F:$F,$B65),"")</f>
        <v/>
      </c>
      <c r="I65" s="99" t="str">
        <f>IFERROR(VLOOKUP(A65,Lijsten!$AK:$AL,2,0),"")</f>
        <v/>
      </c>
      <c r="J65" s="97">
        <f t="shared" si="4"/>
        <v>0</v>
      </c>
      <c r="K65" s="97">
        <f t="shared" si="1"/>
        <v>0</v>
      </c>
      <c r="L65" s="97">
        <f>SUMIFS('8. Uitgaven betaalverzoek'!$W:$W,'8. Uitgaven betaalverzoek'!$E:$E,$A65,'8. Uitgaven betaalverzoek'!$F:$F,$B65,'8. Uitgaven betaalverzoek'!$A:$A,Keuze_DB_Nr)</f>
        <v>0</v>
      </c>
      <c r="M65" s="97">
        <f>SUMIFS('8. Uitgaven betaalverzoek'!$X:$X,'8. Uitgaven betaalverzoek'!$E:$E,$A65,'8. Uitgaven betaalverzoek'!$F:$F,$B65,'8. Uitgaven betaalverzoek'!$A:$A,Keuze_DB_Nr)</f>
        <v>0</v>
      </c>
      <c r="N65" s="97" t="str">
        <f>IF($C65&lt;&gt;"",SUMIFS('8. Uitgaven betaalverzoek'!$Z:$Z,'8. Uitgaven betaalverzoek'!$E:$E,$A65,'8. Uitgaven betaalverzoek'!$F:$F,$B65,'8. Uitgaven betaalverzoek'!$A:$A,Keuze_DB_Nr),"")</f>
        <v/>
      </c>
      <c r="O65" s="97" t="str">
        <f>IF($C65&lt;&gt;"",SUMIFS('8. Uitgaven betaalverzoek'!$AA:$AA,'8. Uitgaven betaalverzoek'!$E:$E,$A65,'8. Uitgaven betaalverzoek'!$F:$F,$B65,'8. Uitgaven betaalverzoek'!$A:$A,Keuze_DB_Nr),"")</f>
        <v/>
      </c>
      <c r="P65" s="97">
        <f t="shared" si="5"/>
        <v>0</v>
      </c>
      <c r="Q65" s="97">
        <f t="shared" si="6"/>
        <v>0</v>
      </c>
      <c r="R65" s="97">
        <f>SUMIFS('8. Uitgaven betaalverzoek'!$W:$W,'8. Uitgaven betaalverzoek'!$E:$E,$A65,'8. Uitgaven betaalverzoek'!$F:$F,$B65,'8. Uitgaven betaalverzoek'!$A:$A,Keuze_DB_Nr_BEO)</f>
        <v>0</v>
      </c>
      <c r="S65" s="97">
        <f>SUMIFS('8. Uitgaven betaalverzoek'!$X:$X,'8. Uitgaven betaalverzoek'!$E:$E,$A65,'8. Uitgaven betaalverzoek'!$F:$F,$B65,'8. Uitgaven betaalverzoek'!$A:$A,Keuze_DB_Nr_BEO)</f>
        <v>0</v>
      </c>
      <c r="T65" s="97" t="str">
        <f>IF($C65&lt;&gt;"",SUMIFS('8. Uitgaven betaalverzoek'!$Z:$Z,'8. Uitgaven betaalverzoek'!$E:$E,$A65,'8. Uitgaven betaalverzoek'!$F:$F,$B65,'8. Uitgaven betaalverzoek'!$A:$A,Keuze_DB_Nr_BEO),"")</f>
        <v/>
      </c>
      <c r="U65" s="97" t="str">
        <f>IF($C65&lt;&gt;"",SUMIFS('8. Uitgaven betaalverzoek'!$AA:$AA,'8. Uitgaven betaalverzoek'!$E:$E,$A65,'8. Uitgaven betaalverzoek'!$F:$F,$B65,'8. Uitgaven betaalverzoek'!$A:$A,Keuze_DB_Nr_BEO),"")</f>
        <v/>
      </c>
      <c r="V65" s="97">
        <f t="shared" si="2"/>
        <v>0</v>
      </c>
      <c r="W65" s="97">
        <f t="shared" si="3"/>
        <v>0</v>
      </c>
    </row>
    <row r="66" spans="1:23" x14ac:dyDescent="0.25">
      <c r="A66" s="63"/>
      <c r="B66" s="63"/>
      <c r="C66" s="86" t="str" cm="1">
        <f t="array" ref="C66">IFERROR(INDEX(Tb_KostenOpties[],MATCH(B66,Tb_KostenOptiesDB[KostenOptie],0),IFERROR(MATCH(Methode_Keuze,Tb_KostenOptiesDB[#Headers],0),2)),"")</f>
        <v/>
      </c>
      <c r="D66" s="98">
        <f>IFERROR(INDEX(Tb_ProjectKosten[],MATCH($B66,Tb_ProjectKosten[Begroting],0),6),0)</f>
        <v>0</v>
      </c>
      <c r="E66" s="96">
        <f>SUMIFS('8. Uitgaven betaalverzoek'!$W:$W,'8. Uitgaven betaalverzoek'!$E:$E,$A66,'8. Uitgaven betaalverzoek'!$F:$F,$B66)</f>
        <v>0</v>
      </c>
      <c r="F66" s="96">
        <f>SUMIFS('8. Uitgaven betaalverzoek'!$X:$X,'8. Uitgaven betaalverzoek'!$E:$E,$A66,'8. Uitgaven betaalverzoek'!$F:$F,$B66)</f>
        <v>0</v>
      </c>
      <c r="G66" s="96" t="str">
        <f>IF(C66&lt;&gt;"",SUMIFS('8. Uitgaven betaalverzoek'!$Z:$Z,'8. Uitgaven betaalverzoek'!$E:$E,$A66,'8. Uitgaven betaalverzoek'!$F:$F,$B66),"")</f>
        <v/>
      </c>
      <c r="H66" s="96" t="str">
        <f>IF(C66&lt;&gt;"",SUMIFS('8. Uitgaven betaalverzoek'!$AA:$AA,'8. Uitgaven betaalverzoek'!$E:$E,$A66,'8. Uitgaven betaalverzoek'!$F:$F,$B66),"")</f>
        <v/>
      </c>
      <c r="I66" s="98" t="str">
        <f>IFERROR(VLOOKUP(A66,Lijsten!$AK:$AL,2,0),"")</f>
        <v/>
      </c>
      <c r="J66" s="96">
        <f t="shared" si="4"/>
        <v>0</v>
      </c>
      <c r="K66" s="96">
        <f t="shared" si="1"/>
        <v>0</v>
      </c>
      <c r="L66" s="96">
        <f>SUMIFS('8. Uitgaven betaalverzoek'!$W:$W,'8. Uitgaven betaalverzoek'!$E:$E,$A66,'8. Uitgaven betaalverzoek'!$F:$F,$B66,'8. Uitgaven betaalverzoek'!$A:$A,Keuze_DB_Nr)</f>
        <v>0</v>
      </c>
      <c r="M66" s="96">
        <f>SUMIFS('8. Uitgaven betaalverzoek'!$X:$X,'8. Uitgaven betaalverzoek'!$E:$E,$A66,'8. Uitgaven betaalverzoek'!$F:$F,$B66,'8. Uitgaven betaalverzoek'!$A:$A,Keuze_DB_Nr)</f>
        <v>0</v>
      </c>
      <c r="N66" s="96" t="str">
        <f>IF($C66&lt;&gt;"",SUMIFS('8. Uitgaven betaalverzoek'!$Z:$Z,'8. Uitgaven betaalverzoek'!$E:$E,$A66,'8. Uitgaven betaalverzoek'!$F:$F,$B66,'8. Uitgaven betaalverzoek'!$A:$A,Keuze_DB_Nr),"")</f>
        <v/>
      </c>
      <c r="O66" s="96" t="str">
        <f>IF($C66&lt;&gt;"",SUMIFS('8. Uitgaven betaalverzoek'!$AA:$AA,'8. Uitgaven betaalverzoek'!$E:$E,$A66,'8. Uitgaven betaalverzoek'!$F:$F,$B66,'8. Uitgaven betaalverzoek'!$A:$A,Keuze_DB_Nr),"")</f>
        <v/>
      </c>
      <c r="P66" s="96">
        <f t="shared" si="5"/>
        <v>0</v>
      </c>
      <c r="Q66" s="96">
        <f t="shared" si="6"/>
        <v>0</v>
      </c>
      <c r="R66" s="96">
        <f>SUMIFS('8. Uitgaven betaalverzoek'!$W:$W,'8. Uitgaven betaalverzoek'!$E:$E,$A66,'8. Uitgaven betaalverzoek'!$F:$F,$B66,'8. Uitgaven betaalverzoek'!$A:$A,Keuze_DB_Nr_BEO)</f>
        <v>0</v>
      </c>
      <c r="S66" s="96">
        <f>SUMIFS('8. Uitgaven betaalverzoek'!$X:$X,'8. Uitgaven betaalverzoek'!$E:$E,$A66,'8. Uitgaven betaalverzoek'!$F:$F,$B66,'8. Uitgaven betaalverzoek'!$A:$A,Keuze_DB_Nr_BEO)</f>
        <v>0</v>
      </c>
      <c r="T66" s="96" t="str">
        <f>IF($C66&lt;&gt;"",SUMIFS('8. Uitgaven betaalverzoek'!$Z:$Z,'8. Uitgaven betaalverzoek'!$E:$E,$A66,'8. Uitgaven betaalverzoek'!$F:$F,$B66,'8. Uitgaven betaalverzoek'!$A:$A,Keuze_DB_Nr_BEO),"")</f>
        <v/>
      </c>
      <c r="U66" s="96" t="str">
        <f>IF($C66&lt;&gt;"",SUMIFS('8. Uitgaven betaalverzoek'!$AA:$AA,'8. Uitgaven betaalverzoek'!$E:$E,$A66,'8. Uitgaven betaalverzoek'!$F:$F,$B66,'8. Uitgaven betaalverzoek'!$A:$A,Keuze_DB_Nr_BEO),"")</f>
        <v/>
      </c>
      <c r="V66" s="96">
        <f t="shared" si="2"/>
        <v>0</v>
      </c>
      <c r="W66" s="96">
        <f t="shared" si="3"/>
        <v>0</v>
      </c>
    </row>
    <row r="67" spans="1:23" x14ac:dyDescent="0.25">
      <c r="A67" s="12"/>
      <c r="B67" s="12"/>
      <c r="C67" s="87" t="str" cm="1">
        <f t="array" ref="C67">IFERROR(INDEX(Tb_KostenOpties[],MATCH(B67,Tb_KostenOptiesDB[KostenOptie],0),IFERROR(MATCH(Methode_Keuze,Tb_KostenOptiesDB[#Headers],0),2)),"")</f>
        <v/>
      </c>
      <c r="D67" s="99">
        <f>IFERROR(INDEX(Tb_ProjectKosten[],MATCH($B67,Tb_ProjectKosten[Begroting],0),6),0)</f>
        <v>0</v>
      </c>
      <c r="E67" s="97">
        <f>SUMIFS('8. Uitgaven betaalverzoek'!$W:$W,'8. Uitgaven betaalverzoek'!$E:$E,$A67,'8. Uitgaven betaalverzoek'!$F:$F,$B67)</f>
        <v>0</v>
      </c>
      <c r="F67" s="97">
        <f>SUMIFS('8. Uitgaven betaalverzoek'!$X:$X,'8. Uitgaven betaalverzoek'!$E:$E,$A67,'8. Uitgaven betaalverzoek'!$F:$F,$B67)</f>
        <v>0</v>
      </c>
      <c r="G67" s="97" t="str">
        <f>IF(C67&lt;&gt;"",SUMIFS('8. Uitgaven betaalverzoek'!$Z:$Z,'8. Uitgaven betaalverzoek'!$E:$E,$A67,'8. Uitgaven betaalverzoek'!$F:$F,$B67),"")</f>
        <v/>
      </c>
      <c r="H67" s="97" t="str">
        <f>IF(C67&lt;&gt;"",SUMIFS('8. Uitgaven betaalverzoek'!$AA:$AA,'8. Uitgaven betaalverzoek'!$E:$E,$A67,'8. Uitgaven betaalverzoek'!$F:$F,$B67),"")</f>
        <v/>
      </c>
      <c r="I67" s="99" t="str">
        <f>IFERROR(VLOOKUP(A67,Lijsten!$AK:$AL,2,0),"")</f>
        <v/>
      </c>
      <c r="J67" s="97">
        <f t="shared" si="4"/>
        <v>0</v>
      </c>
      <c r="K67" s="97">
        <f t="shared" si="4"/>
        <v>0</v>
      </c>
      <c r="L67" s="97">
        <f>SUMIFS('8. Uitgaven betaalverzoek'!$W:$W,'8. Uitgaven betaalverzoek'!$E:$E,$A67,'8. Uitgaven betaalverzoek'!$F:$F,$B67,'8. Uitgaven betaalverzoek'!$A:$A,Keuze_DB_Nr)</f>
        <v>0</v>
      </c>
      <c r="M67" s="97">
        <f>SUMIFS('8. Uitgaven betaalverzoek'!$X:$X,'8. Uitgaven betaalverzoek'!$E:$E,$A67,'8. Uitgaven betaalverzoek'!$F:$F,$B67,'8. Uitgaven betaalverzoek'!$A:$A,Keuze_DB_Nr)</f>
        <v>0</v>
      </c>
      <c r="N67" s="97" t="str">
        <f>IF($C67&lt;&gt;"",SUMIFS('8. Uitgaven betaalverzoek'!$Z:$Z,'8. Uitgaven betaalverzoek'!$E:$E,$A67,'8. Uitgaven betaalverzoek'!$F:$F,$B67,'8. Uitgaven betaalverzoek'!$A:$A,Keuze_DB_Nr),"")</f>
        <v/>
      </c>
      <c r="O67" s="97" t="str">
        <f>IF($C67&lt;&gt;"",SUMIFS('8. Uitgaven betaalverzoek'!$AA:$AA,'8. Uitgaven betaalverzoek'!$E:$E,$A67,'8. Uitgaven betaalverzoek'!$F:$F,$B67,'8. Uitgaven betaalverzoek'!$A:$A,Keuze_DB_Nr),"")</f>
        <v/>
      </c>
      <c r="P67" s="97">
        <f t="shared" si="5"/>
        <v>0</v>
      </c>
      <c r="Q67" s="97">
        <f t="shared" si="6"/>
        <v>0</v>
      </c>
      <c r="R67" s="97">
        <f>SUMIFS('8. Uitgaven betaalverzoek'!$W:$W,'8. Uitgaven betaalverzoek'!$E:$E,$A67,'8. Uitgaven betaalverzoek'!$F:$F,$B67,'8. Uitgaven betaalverzoek'!$A:$A,Keuze_DB_Nr_BEO)</f>
        <v>0</v>
      </c>
      <c r="S67" s="97">
        <f>SUMIFS('8. Uitgaven betaalverzoek'!$X:$X,'8. Uitgaven betaalverzoek'!$E:$E,$A67,'8. Uitgaven betaalverzoek'!$F:$F,$B67,'8. Uitgaven betaalverzoek'!$A:$A,Keuze_DB_Nr_BEO)</f>
        <v>0</v>
      </c>
      <c r="T67" s="97" t="str">
        <f>IF($C67&lt;&gt;"",SUMIFS('8. Uitgaven betaalverzoek'!$Z:$Z,'8. Uitgaven betaalverzoek'!$E:$E,$A67,'8. Uitgaven betaalverzoek'!$F:$F,$B67,'8. Uitgaven betaalverzoek'!$A:$A,Keuze_DB_Nr_BEO),"")</f>
        <v/>
      </c>
      <c r="U67" s="97" t="str">
        <f>IF($C67&lt;&gt;"",SUMIFS('8. Uitgaven betaalverzoek'!$AA:$AA,'8. Uitgaven betaalverzoek'!$E:$E,$A67,'8. Uitgaven betaalverzoek'!$F:$F,$B67,'8. Uitgaven betaalverzoek'!$A:$A,Keuze_DB_Nr_BEO),"")</f>
        <v/>
      </c>
      <c r="V67" s="97">
        <f t="shared" ref="V67:V100" si="7">IFERROR($I67*(R67+T67),0)</f>
        <v>0</v>
      </c>
      <c r="W67" s="97">
        <f t="shared" ref="W67:W100" si="8">IFERROR($I67*(S67+U67),0)</f>
        <v>0</v>
      </c>
    </row>
    <row r="68" spans="1:23" x14ac:dyDescent="0.25">
      <c r="A68" s="63"/>
      <c r="B68" s="63"/>
      <c r="C68" s="86" t="str" cm="1">
        <f t="array" ref="C68">IFERROR(INDEX(Tb_KostenOpties[],MATCH(B68,Tb_KostenOptiesDB[KostenOptie],0),IFERROR(MATCH(Methode_Keuze,Tb_KostenOptiesDB[#Headers],0),2)),"")</f>
        <v/>
      </c>
      <c r="D68" s="98">
        <f>IFERROR(INDEX(Tb_ProjectKosten[],MATCH($B68,Tb_ProjectKosten[Begroting],0),6),0)</f>
        <v>0</v>
      </c>
      <c r="E68" s="96">
        <f>SUMIFS('8. Uitgaven betaalverzoek'!$W:$W,'8. Uitgaven betaalverzoek'!$E:$E,$A68,'8. Uitgaven betaalverzoek'!$F:$F,$B68)</f>
        <v>0</v>
      </c>
      <c r="F68" s="96">
        <f>SUMIFS('8. Uitgaven betaalverzoek'!$X:$X,'8. Uitgaven betaalverzoek'!$E:$E,$A68,'8. Uitgaven betaalverzoek'!$F:$F,$B68)</f>
        <v>0</v>
      </c>
      <c r="G68" s="96" t="str">
        <f>IF(C68&lt;&gt;"",SUMIFS('8. Uitgaven betaalverzoek'!$Z:$Z,'8. Uitgaven betaalverzoek'!$E:$E,$A68,'8. Uitgaven betaalverzoek'!$F:$F,$B68),"")</f>
        <v/>
      </c>
      <c r="H68" s="96" t="str">
        <f>IF(C68&lt;&gt;"",SUMIFS('8. Uitgaven betaalverzoek'!$AA:$AA,'8. Uitgaven betaalverzoek'!$E:$E,$A68,'8. Uitgaven betaalverzoek'!$F:$F,$B68),"")</f>
        <v/>
      </c>
      <c r="I68" s="98" t="str">
        <f>IFERROR(VLOOKUP(A68,Lijsten!$AK:$AL,2,0),"")</f>
        <v/>
      </c>
      <c r="J68" s="96">
        <f t="shared" si="4"/>
        <v>0</v>
      </c>
      <c r="K68" s="96">
        <f t="shared" si="4"/>
        <v>0</v>
      </c>
      <c r="L68" s="96">
        <f>SUMIFS('8. Uitgaven betaalverzoek'!$W:$W,'8. Uitgaven betaalverzoek'!$E:$E,$A68,'8. Uitgaven betaalverzoek'!$F:$F,$B68,'8. Uitgaven betaalverzoek'!$A:$A,Keuze_DB_Nr)</f>
        <v>0</v>
      </c>
      <c r="M68" s="96">
        <f>SUMIFS('8. Uitgaven betaalverzoek'!$X:$X,'8. Uitgaven betaalverzoek'!$E:$E,$A68,'8. Uitgaven betaalverzoek'!$F:$F,$B68,'8. Uitgaven betaalverzoek'!$A:$A,Keuze_DB_Nr)</f>
        <v>0</v>
      </c>
      <c r="N68" s="96" t="str">
        <f>IF($C68&lt;&gt;"",SUMIFS('8. Uitgaven betaalverzoek'!$Z:$Z,'8. Uitgaven betaalverzoek'!$E:$E,$A68,'8. Uitgaven betaalverzoek'!$F:$F,$B68,'8. Uitgaven betaalverzoek'!$A:$A,Keuze_DB_Nr),"")</f>
        <v/>
      </c>
      <c r="O68" s="96" t="str">
        <f>IF($C68&lt;&gt;"",SUMIFS('8. Uitgaven betaalverzoek'!$AA:$AA,'8. Uitgaven betaalverzoek'!$E:$E,$A68,'8. Uitgaven betaalverzoek'!$F:$F,$B68,'8. Uitgaven betaalverzoek'!$A:$A,Keuze_DB_Nr),"")</f>
        <v/>
      </c>
      <c r="P68" s="96">
        <f t="shared" si="5"/>
        <v>0</v>
      </c>
      <c r="Q68" s="96">
        <f t="shared" si="6"/>
        <v>0</v>
      </c>
      <c r="R68" s="96">
        <f>SUMIFS('8. Uitgaven betaalverzoek'!$W:$W,'8. Uitgaven betaalverzoek'!$E:$E,$A68,'8. Uitgaven betaalverzoek'!$F:$F,$B68,'8. Uitgaven betaalverzoek'!$A:$A,Keuze_DB_Nr_BEO)</f>
        <v>0</v>
      </c>
      <c r="S68" s="96">
        <f>SUMIFS('8. Uitgaven betaalverzoek'!$X:$X,'8. Uitgaven betaalverzoek'!$E:$E,$A68,'8. Uitgaven betaalverzoek'!$F:$F,$B68,'8. Uitgaven betaalverzoek'!$A:$A,Keuze_DB_Nr_BEO)</f>
        <v>0</v>
      </c>
      <c r="T68" s="96" t="str">
        <f>IF($C68&lt;&gt;"",SUMIFS('8. Uitgaven betaalverzoek'!$Z:$Z,'8. Uitgaven betaalverzoek'!$E:$E,$A68,'8. Uitgaven betaalverzoek'!$F:$F,$B68,'8. Uitgaven betaalverzoek'!$A:$A,Keuze_DB_Nr_BEO),"")</f>
        <v/>
      </c>
      <c r="U68" s="96" t="str">
        <f>IF($C68&lt;&gt;"",SUMIFS('8. Uitgaven betaalverzoek'!$AA:$AA,'8. Uitgaven betaalverzoek'!$E:$E,$A68,'8. Uitgaven betaalverzoek'!$F:$F,$B68,'8. Uitgaven betaalverzoek'!$A:$A,Keuze_DB_Nr_BEO),"")</f>
        <v/>
      </c>
      <c r="V68" s="96">
        <f t="shared" si="7"/>
        <v>0</v>
      </c>
      <c r="W68" s="96">
        <f t="shared" si="8"/>
        <v>0</v>
      </c>
    </row>
    <row r="69" spans="1:23" x14ac:dyDescent="0.25">
      <c r="A69" s="12"/>
      <c r="B69" s="12"/>
      <c r="C69" s="87" t="str" cm="1">
        <f t="array" ref="C69">IFERROR(INDEX(Tb_KostenOpties[],MATCH(B69,Tb_KostenOptiesDB[KostenOptie],0),IFERROR(MATCH(Methode_Keuze,Tb_KostenOptiesDB[#Headers],0),2)),"")</f>
        <v/>
      </c>
      <c r="D69" s="99">
        <f>IFERROR(INDEX(Tb_ProjectKosten[],MATCH($B69,Tb_ProjectKosten[Begroting],0),6),0)</f>
        <v>0</v>
      </c>
      <c r="E69" s="97">
        <f>SUMIFS('8. Uitgaven betaalverzoek'!$W:$W,'8. Uitgaven betaalverzoek'!$E:$E,$A69,'8. Uitgaven betaalverzoek'!$F:$F,$B69)</f>
        <v>0</v>
      </c>
      <c r="F69" s="97">
        <f>SUMIFS('8. Uitgaven betaalverzoek'!$X:$X,'8. Uitgaven betaalverzoek'!$E:$E,$A69,'8. Uitgaven betaalverzoek'!$F:$F,$B69)</f>
        <v>0</v>
      </c>
      <c r="G69" s="97" t="str">
        <f>IF(C69&lt;&gt;"",SUMIFS('8. Uitgaven betaalverzoek'!$Z:$Z,'8. Uitgaven betaalverzoek'!$E:$E,$A69,'8. Uitgaven betaalverzoek'!$F:$F,$B69),"")</f>
        <v/>
      </c>
      <c r="H69" s="97" t="str">
        <f>IF(C69&lt;&gt;"",SUMIFS('8. Uitgaven betaalverzoek'!$AA:$AA,'8. Uitgaven betaalverzoek'!$E:$E,$A69,'8. Uitgaven betaalverzoek'!$F:$F,$B69),"")</f>
        <v/>
      </c>
      <c r="I69" s="99" t="str">
        <f>IFERROR(VLOOKUP(A69,Lijsten!$AK:$AL,2,0),"")</f>
        <v/>
      </c>
      <c r="J69" s="97">
        <f t="shared" ref="J69:K100" si="9">IFERROR($I69*(E69+G69),0)</f>
        <v>0</v>
      </c>
      <c r="K69" s="97">
        <f t="shared" si="9"/>
        <v>0</v>
      </c>
      <c r="L69" s="97">
        <f>SUMIFS('8. Uitgaven betaalverzoek'!$W:$W,'8. Uitgaven betaalverzoek'!$E:$E,$A69,'8. Uitgaven betaalverzoek'!$F:$F,$B69,'8. Uitgaven betaalverzoek'!$A:$A,Keuze_DB_Nr)</f>
        <v>0</v>
      </c>
      <c r="M69" s="97">
        <f>SUMIFS('8. Uitgaven betaalverzoek'!$X:$X,'8. Uitgaven betaalverzoek'!$E:$E,$A69,'8. Uitgaven betaalverzoek'!$F:$F,$B69,'8. Uitgaven betaalverzoek'!$A:$A,Keuze_DB_Nr)</f>
        <v>0</v>
      </c>
      <c r="N69" s="97" t="str">
        <f>IF($C69&lt;&gt;"",SUMIFS('8. Uitgaven betaalverzoek'!$Z:$Z,'8. Uitgaven betaalverzoek'!$E:$E,$A69,'8. Uitgaven betaalverzoek'!$F:$F,$B69,'8. Uitgaven betaalverzoek'!$A:$A,Keuze_DB_Nr),"")</f>
        <v/>
      </c>
      <c r="O69" s="97" t="str">
        <f>IF($C69&lt;&gt;"",SUMIFS('8. Uitgaven betaalverzoek'!$AA:$AA,'8. Uitgaven betaalverzoek'!$E:$E,$A69,'8. Uitgaven betaalverzoek'!$F:$F,$B69,'8. Uitgaven betaalverzoek'!$A:$A,Keuze_DB_Nr),"")</f>
        <v/>
      </c>
      <c r="P69" s="97">
        <f t="shared" si="5"/>
        <v>0</v>
      </c>
      <c r="Q69" s="97">
        <f t="shared" si="6"/>
        <v>0</v>
      </c>
      <c r="R69" s="97">
        <f>SUMIFS('8. Uitgaven betaalverzoek'!$W:$W,'8. Uitgaven betaalverzoek'!$E:$E,$A69,'8. Uitgaven betaalverzoek'!$F:$F,$B69,'8. Uitgaven betaalverzoek'!$A:$A,Keuze_DB_Nr_BEO)</f>
        <v>0</v>
      </c>
      <c r="S69" s="97">
        <f>SUMIFS('8. Uitgaven betaalverzoek'!$X:$X,'8. Uitgaven betaalverzoek'!$E:$E,$A69,'8. Uitgaven betaalverzoek'!$F:$F,$B69,'8. Uitgaven betaalverzoek'!$A:$A,Keuze_DB_Nr_BEO)</f>
        <v>0</v>
      </c>
      <c r="T69" s="97" t="str">
        <f>IF($C69&lt;&gt;"",SUMIFS('8. Uitgaven betaalverzoek'!$Z:$Z,'8. Uitgaven betaalverzoek'!$E:$E,$A69,'8. Uitgaven betaalverzoek'!$F:$F,$B69,'8. Uitgaven betaalverzoek'!$A:$A,Keuze_DB_Nr_BEO),"")</f>
        <v/>
      </c>
      <c r="U69" s="97" t="str">
        <f>IF($C69&lt;&gt;"",SUMIFS('8. Uitgaven betaalverzoek'!$AA:$AA,'8. Uitgaven betaalverzoek'!$E:$E,$A69,'8. Uitgaven betaalverzoek'!$F:$F,$B69,'8. Uitgaven betaalverzoek'!$A:$A,Keuze_DB_Nr_BEO),"")</f>
        <v/>
      </c>
      <c r="V69" s="97">
        <f t="shared" si="7"/>
        <v>0</v>
      </c>
      <c r="W69" s="97">
        <f t="shared" si="8"/>
        <v>0</v>
      </c>
    </row>
    <row r="70" spans="1:23" x14ac:dyDescent="0.25">
      <c r="A70" s="63"/>
      <c r="B70" s="63"/>
      <c r="C70" s="86" t="str" cm="1">
        <f t="array" ref="C70">IFERROR(INDEX(Tb_KostenOpties[],MATCH(B70,Tb_KostenOptiesDB[KostenOptie],0),IFERROR(MATCH(Methode_Keuze,Tb_KostenOptiesDB[#Headers],0),2)),"")</f>
        <v/>
      </c>
      <c r="D70" s="98">
        <f>IFERROR(INDEX(Tb_ProjectKosten[],MATCH($B70,Tb_ProjectKosten[Begroting],0),6),0)</f>
        <v>0</v>
      </c>
      <c r="E70" s="96">
        <f>SUMIFS('8. Uitgaven betaalverzoek'!$W:$W,'8. Uitgaven betaalverzoek'!$E:$E,$A70,'8. Uitgaven betaalverzoek'!$F:$F,$B70)</f>
        <v>0</v>
      </c>
      <c r="F70" s="96">
        <f>SUMIFS('8. Uitgaven betaalverzoek'!$X:$X,'8. Uitgaven betaalverzoek'!$E:$E,$A70,'8. Uitgaven betaalverzoek'!$F:$F,$B70)</f>
        <v>0</v>
      </c>
      <c r="G70" s="96" t="str">
        <f>IF(C70&lt;&gt;"",SUMIFS('8. Uitgaven betaalverzoek'!$Z:$Z,'8. Uitgaven betaalverzoek'!$E:$E,$A70,'8. Uitgaven betaalverzoek'!$F:$F,$B70),"")</f>
        <v/>
      </c>
      <c r="H70" s="96" t="str">
        <f>IF(C70&lt;&gt;"",SUMIFS('8. Uitgaven betaalverzoek'!$AA:$AA,'8. Uitgaven betaalverzoek'!$E:$E,$A70,'8. Uitgaven betaalverzoek'!$F:$F,$B70),"")</f>
        <v/>
      </c>
      <c r="I70" s="98" t="str">
        <f>IFERROR(VLOOKUP(A70,Lijsten!$AK:$AL,2,0),"")</f>
        <v/>
      </c>
      <c r="J70" s="96">
        <f t="shared" si="9"/>
        <v>0</v>
      </c>
      <c r="K70" s="96">
        <f t="shared" si="9"/>
        <v>0</v>
      </c>
      <c r="L70" s="96">
        <f>SUMIFS('8. Uitgaven betaalverzoek'!$W:$W,'8. Uitgaven betaalverzoek'!$E:$E,$A70,'8. Uitgaven betaalverzoek'!$F:$F,$B70,'8. Uitgaven betaalverzoek'!$A:$A,Keuze_DB_Nr)</f>
        <v>0</v>
      </c>
      <c r="M70" s="96">
        <f>SUMIFS('8. Uitgaven betaalverzoek'!$X:$X,'8. Uitgaven betaalverzoek'!$E:$E,$A70,'8. Uitgaven betaalverzoek'!$F:$F,$B70,'8. Uitgaven betaalverzoek'!$A:$A,Keuze_DB_Nr)</f>
        <v>0</v>
      </c>
      <c r="N70" s="96" t="str">
        <f>IF($C70&lt;&gt;"",SUMIFS('8. Uitgaven betaalverzoek'!$Z:$Z,'8. Uitgaven betaalverzoek'!$E:$E,$A70,'8. Uitgaven betaalverzoek'!$F:$F,$B70,'8. Uitgaven betaalverzoek'!$A:$A,Keuze_DB_Nr),"")</f>
        <v/>
      </c>
      <c r="O70" s="96" t="str">
        <f>IF($C70&lt;&gt;"",SUMIFS('8. Uitgaven betaalverzoek'!$AA:$AA,'8. Uitgaven betaalverzoek'!$E:$E,$A70,'8. Uitgaven betaalverzoek'!$F:$F,$B70,'8. Uitgaven betaalverzoek'!$A:$A,Keuze_DB_Nr),"")</f>
        <v/>
      </c>
      <c r="P70" s="96">
        <f t="shared" ref="P70:P99" si="10">IFERROR($I70*(L70+N70),0)</f>
        <v>0</v>
      </c>
      <c r="Q70" s="96">
        <f t="shared" ref="Q70:Q99" si="11">IFERROR($I70*(M70+O70),0)</f>
        <v>0</v>
      </c>
      <c r="R70" s="96">
        <f>SUMIFS('8. Uitgaven betaalverzoek'!$W:$W,'8. Uitgaven betaalverzoek'!$E:$E,$A70,'8. Uitgaven betaalverzoek'!$F:$F,$B70,'8. Uitgaven betaalverzoek'!$A:$A,Keuze_DB_Nr_BEO)</f>
        <v>0</v>
      </c>
      <c r="S70" s="96">
        <f>SUMIFS('8. Uitgaven betaalverzoek'!$X:$X,'8. Uitgaven betaalverzoek'!$E:$E,$A70,'8. Uitgaven betaalverzoek'!$F:$F,$B70,'8. Uitgaven betaalverzoek'!$A:$A,Keuze_DB_Nr_BEO)</f>
        <v>0</v>
      </c>
      <c r="T70" s="96" t="str">
        <f>IF($C70&lt;&gt;"",SUMIFS('8. Uitgaven betaalverzoek'!$Z:$Z,'8. Uitgaven betaalverzoek'!$E:$E,$A70,'8. Uitgaven betaalverzoek'!$F:$F,$B70,'8. Uitgaven betaalverzoek'!$A:$A,Keuze_DB_Nr_BEO),"")</f>
        <v/>
      </c>
      <c r="U70" s="96" t="str">
        <f>IF($C70&lt;&gt;"",SUMIFS('8. Uitgaven betaalverzoek'!$AA:$AA,'8. Uitgaven betaalverzoek'!$E:$E,$A70,'8. Uitgaven betaalverzoek'!$F:$F,$B70,'8. Uitgaven betaalverzoek'!$A:$A,Keuze_DB_Nr_BEO),"")</f>
        <v/>
      </c>
      <c r="V70" s="96">
        <f t="shared" si="7"/>
        <v>0</v>
      </c>
      <c r="W70" s="96">
        <f t="shared" si="8"/>
        <v>0</v>
      </c>
    </row>
    <row r="71" spans="1:23" x14ac:dyDescent="0.25">
      <c r="A71" s="12"/>
      <c r="B71" s="12"/>
      <c r="C71" s="87" t="str" cm="1">
        <f t="array" ref="C71">IFERROR(INDEX(Tb_KostenOpties[],MATCH(B71,Tb_KostenOptiesDB[KostenOptie],0),IFERROR(MATCH(Methode_Keuze,Tb_KostenOptiesDB[#Headers],0),2)),"")</f>
        <v/>
      </c>
      <c r="D71" s="99">
        <f>IFERROR(INDEX(Tb_ProjectKosten[],MATCH($B71,Tb_ProjectKosten[Begroting],0),6),0)</f>
        <v>0</v>
      </c>
      <c r="E71" s="97">
        <f>SUMIFS('8. Uitgaven betaalverzoek'!$W:$W,'8. Uitgaven betaalverzoek'!$E:$E,$A71,'8. Uitgaven betaalverzoek'!$F:$F,$B71)</f>
        <v>0</v>
      </c>
      <c r="F71" s="97">
        <f>SUMIFS('8. Uitgaven betaalverzoek'!$X:$X,'8. Uitgaven betaalverzoek'!$E:$E,$A71,'8. Uitgaven betaalverzoek'!$F:$F,$B71)</f>
        <v>0</v>
      </c>
      <c r="G71" s="97" t="str">
        <f>IF(C71&lt;&gt;"",SUMIFS('8. Uitgaven betaalverzoek'!$Z:$Z,'8. Uitgaven betaalverzoek'!$E:$E,$A71,'8. Uitgaven betaalverzoek'!$F:$F,$B71),"")</f>
        <v/>
      </c>
      <c r="H71" s="97" t="str">
        <f>IF(C71&lt;&gt;"",SUMIFS('8. Uitgaven betaalverzoek'!$AA:$AA,'8. Uitgaven betaalverzoek'!$E:$E,$A71,'8. Uitgaven betaalverzoek'!$F:$F,$B71),"")</f>
        <v/>
      </c>
      <c r="I71" s="99" t="str">
        <f>IFERROR(VLOOKUP(A71,Lijsten!$AK:$AL,2,0),"")</f>
        <v/>
      </c>
      <c r="J71" s="97">
        <f t="shared" si="9"/>
        <v>0</v>
      </c>
      <c r="K71" s="97">
        <f t="shared" si="9"/>
        <v>0</v>
      </c>
      <c r="L71" s="97">
        <f>SUMIFS('8. Uitgaven betaalverzoek'!$W:$W,'8. Uitgaven betaalverzoek'!$E:$E,$A71,'8. Uitgaven betaalverzoek'!$F:$F,$B71,'8. Uitgaven betaalverzoek'!$A:$A,Keuze_DB_Nr)</f>
        <v>0</v>
      </c>
      <c r="M71" s="97">
        <f>SUMIFS('8. Uitgaven betaalverzoek'!$X:$X,'8. Uitgaven betaalverzoek'!$E:$E,$A71,'8. Uitgaven betaalverzoek'!$F:$F,$B71,'8. Uitgaven betaalverzoek'!$A:$A,Keuze_DB_Nr)</f>
        <v>0</v>
      </c>
      <c r="N71" s="97" t="str">
        <f>IF($C71&lt;&gt;"",SUMIFS('8. Uitgaven betaalverzoek'!$Z:$Z,'8. Uitgaven betaalverzoek'!$E:$E,$A71,'8. Uitgaven betaalverzoek'!$F:$F,$B71,'8. Uitgaven betaalverzoek'!$A:$A,Keuze_DB_Nr),"")</f>
        <v/>
      </c>
      <c r="O71" s="97" t="str">
        <f>IF($C71&lt;&gt;"",SUMIFS('8. Uitgaven betaalverzoek'!$AA:$AA,'8. Uitgaven betaalverzoek'!$E:$E,$A71,'8. Uitgaven betaalverzoek'!$F:$F,$B71,'8. Uitgaven betaalverzoek'!$A:$A,Keuze_DB_Nr),"")</f>
        <v/>
      </c>
      <c r="P71" s="97">
        <f t="shared" si="10"/>
        <v>0</v>
      </c>
      <c r="Q71" s="97">
        <f t="shared" si="11"/>
        <v>0</v>
      </c>
      <c r="R71" s="97">
        <f>SUMIFS('8. Uitgaven betaalverzoek'!$W:$W,'8. Uitgaven betaalverzoek'!$E:$E,$A71,'8. Uitgaven betaalverzoek'!$F:$F,$B71,'8. Uitgaven betaalverzoek'!$A:$A,Keuze_DB_Nr_BEO)</f>
        <v>0</v>
      </c>
      <c r="S71" s="97">
        <f>SUMIFS('8. Uitgaven betaalverzoek'!$X:$X,'8. Uitgaven betaalverzoek'!$E:$E,$A71,'8. Uitgaven betaalverzoek'!$F:$F,$B71,'8. Uitgaven betaalverzoek'!$A:$A,Keuze_DB_Nr_BEO)</f>
        <v>0</v>
      </c>
      <c r="T71" s="97" t="str">
        <f>IF($C71&lt;&gt;"",SUMIFS('8. Uitgaven betaalverzoek'!$Z:$Z,'8. Uitgaven betaalverzoek'!$E:$E,$A71,'8. Uitgaven betaalverzoek'!$F:$F,$B71,'8. Uitgaven betaalverzoek'!$A:$A,Keuze_DB_Nr_BEO),"")</f>
        <v/>
      </c>
      <c r="U71" s="97" t="str">
        <f>IF($C71&lt;&gt;"",SUMIFS('8. Uitgaven betaalverzoek'!$AA:$AA,'8. Uitgaven betaalverzoek'!$E:$E,$A71,'8. Uitgaven betaalverzoek'!$F:$F,$B71,'8. Uitgaven betaalverzoek'!$A:$A,Keuze_DB_Nr_BEO),"")</f>
        <v/>
      </c>
      <c r="V71" s="97">
        <f t="shared" si="7"/>
        <v>0</v>
      </c>
      <c r="W71" s="97">
        <f t="shared" si="8"/>
        <v>0</v>
      </c>
    </row>
    <row r="72" spans="1:23" x14ac:dyDescent="0.25">
      <c r="A72" s="63"/>
      <c r="B72" s="63"/>
      <c r="C72" s="86" t="str" cm="1">
        <f t="array" ref="C72">IFERROR(INDEX(Tb_KostenOpties[],MATCH(B72,Tb_KostenOptiesDB[KostenOptie],0),IFERROR(MATCH(Methode_Keuze,Tb_KostenOptiesDB[#Headers],0),2)),"")</f>
        <v/>
      </c>
      <c r="D72" s="98">
        <f>IFERROR(INDEX(Tb_ProjectKosten[],MATCH($B72,Tb_ProjectKosten[Begroting],0),6),0)</f>
        <v>0</v>
      </c>
      <c r="E72" s="96">
        <f>SUMIFS('8. Uitgaven betaalverzoek'!$W:$W,'8. Uitgaven betaalverzoek'!$E:$E,$A72,'8. Uitgaven betaalverzoek'!$F:$F,$B72)</f>
        <v>0</v>
      </c>
      <c r="F72" s="96">
        <f>SUMIFS('8. Uitgaven betaalverzoek'!$X:$X,'8. Uitgaven betaalverzoek'!$E:$E,$A72,'8. Uitgaven betaalverzoek'!$F:$F,$B72)</f>
        <v>0</v>
      </c>
      <c r="G72" s="96" t="str">
        <f>IF(C72&lt;&gt;"",SUMIFS('8. Uitgaven betaalverzoek'!$Z:$Z,'8. Uitgaven betaalverzoek'!$E:$E,$A72,'8. Uitgaven betaalverzoek'!$F:$F,$B72),"")</f>
        <v/>
      </c>
      <c r="H72" s="96" t="str">
        <f>IF(C72&lt;&gt;"",SUMIFS('8. Uitgaven betaalverzoek'!$AA:$AA,'8. Uitgaven betaalverzoek'!$E:$E,$A72,'8. Uitgaven betaalverzoek'!$F:$F,$B72),"")</f>
        <v/>
      </c>
      <c r="I72" s="98" t="str">
        <f>IFERROR(VLOOKUP(A72,Lijsten!$AK:$AL,2,0),"")</f>
        <v/>
      </c>
      <c r="J72" s="96">
        <f t="shared" si="9"/>
        <v>0</v>
      </c>
      <c r="K72" s="96">
        <f t="shared" si="9"/>
        <v>0</v>
      </c>
      <c r="L72" s="96">
        <f>SUMIFS('8. Uitgaven betaalverzoek'!$W:$W,'8. Uitgaven betaalverzoek'!$E:$E,$A72,'8. Uitgaven betaalverzoek'!$F:$F,$B72,'8. Uitgaven betaalverzoek'!$A:$A,Keuze_DB_Nr)</f>
        <v>0</v>
      </c>
      <c r="M72" s="96">
        <f>SUMIFS('8. Uitgaven betaalverzoek'!$X:$X,'8. Uitgaven betaalverzoek'!$E:$E,$A72,'8. Uitgaven betaalverzoek'!$F:$F,$B72,'8. Uitgaven betaalverzoek'!$A:$A,Keuze_DB_Nr)</f>
        <v>0</v>
      </c>
      <c r="N72" s="96" t="str">
        <f>IF($C72&lt;&gt;"",SUMIFS('8. Uitgaven betaalverzoek'!$Z:$Z,'8. Uitgaven betaalverzoek'!$E:$E,$A72,'8. Uitgaven betaalverzoek'!$F:$F,$B72,'8. Uitgaven betaalverzoek'!$A:$A,Keuze_DB_Nr),"")</f>
        <v/>
      </c>
      <c r="O72" s="96" t="str">
        <f>IF($C72&lt;&gt;"",SUMIFS('8. Uitgaven betaalverzoek'!$AA:$AA,'8. Uitgaven betaalverzoek'!$E:$E,$A72,'8. Uitgaven betaalverzoek'!$F:$F,$B72,'8. Uitgaven betaalverzoek'!$A:$A,Keuze_DB_Nr),"")</f>
        <v/>
      </c>
      <c r="P72" s="96">
        <f t="shared" si="10"/>
        <v>0</v>
      </c>
      <c r="Q72" s="96">
        <f t="shared" si="11"/>
        <v>0</v>
      </c>
      <c r="R72" s="96">
        <f>SUMIFS('8. Uitgaven betaalverzoek'!$W:$W,'8. Uitgaven betaalverzoek'!$E:$E,$A72,'8. Uitgaven betaalverzoek'!$F:$F,$B72,'8. Uitgaven betaalverzoek'!$A:$A,Keuze_DB_Nr_BEO)</f>
        <v>0</v>
      </c>
      <c r="S72" s="96">
        <f>SUMIFS('8. Uitgaven betaalverzoek'!$X:$X,'8. Uitgaven betaalverzoek'!$E:$E,$A72,'8. Uitgaven betaalverzoek'!$F:$F,$B72,'8. Uitgaven betaalverzoek'!$A:$A,Keuze_DB_Nr_BEO)</f>
        <v>0</v>
      </c>
      <c r="T72" s="96" t="str">
        <f>IF($C72&lt;&gt;"",SUMIFS('8. Uitgaven betaalverzoek'!$Z:$Z,'8. Uitgaven betaalverzoek'!$E:$E,$A72,'8. Uitgaven betaalverzoek'!$F:$F,$B72,'8. Uitgaven betaalverzoek'!$A:$A,Keuze_DB_Nr_BEO),"")</f>
        <v/>
      </c>
      <c r="U72" s="96" t="str">
        <f>IF($C72&lt;&gt;"",SUMIFS('8. Uitgaven betaalverzoek'!$AA:$AA,'8. Uitgaven betaalverzoek'!$E:$E,$A72,'8. Uitgaven betaalverzoek'!$F:$F,$B72,'8. Uitgaven betaalverzoek'!$A:$A,Keuze_DB_Nr_BEO),"")</f>
        <v/>
      </c>
      <c r="V72" s="96">
        <f t="shared" si="7"/>
        <v>0</v>
      </c>
      <c r="W72" s="96">
        <f t="shared" si="8"/>
        <v>0</v>
      </c>
    </row>
    <row r="73" spans="1:23" x14ac:dyDescent="0.25">
      <c r="A73" s="12"/>
      <c r="B73" s="12"/>
      <c r="C73" s="87" t="str" cm="1">
        <f t="array" ref="C73">IFERROR(INDEX(Tb_KostenOpties[],MATCH(B73,Tb_KostenOptiesDB[KostenOptie],0),IFERROR(MATCH(Methode_Keuze,Tb_KostenOptiesDB[#Headers],0),2)),"")</f>
        <v/>
      </c>
      <c r="D73" s="99">
        <f>IFERROR(INDEX(Tb_ProjectKosten[],MATCH($B73,Tb_ProjectKosten[Begroting],0),6),0)</f>
        <v>0</v>
      </c>
      <c r="E73" s="97">
        <f>SUMIFS('8. Uitgaven betaalverzoek'!$W:$W,'8. Uitgaven betaalverzoek'!$E:$E,$A73,'8. Uitgaven betaalverzoek'!$F:$F,$B73)</f>
        <v>0</v>
      </c>
      <c r="F73" s="97">
        <f>SUMIFS('8. Uitgaven betaalverzoek'!$X:$X,'8. Uitgaven betaalverzoek'!$E:$E,$A73,'8. Uitgaven betaalverzoek'!$F:$F,$B73)</f>
        <v>0</v>
      </c>
      <c r="G73" s="97" t="str">
        <f>IF(C73&lt;&gt;"",SUMIFS('8. Uitgaven betaalverzoek'!$Z:$Z,'8. Uitgaven betaalverzoek'!$E:$E,$A73,'8. Uitgaven betaalverzoek'!$F:$F,$B73),"")</f>
        <v/>
      </c>
      <c r="H73" s="97" t="str">
        <f>IF(C73&lt;&gt;"",SUMIFS('8. Uitgaven betaalverzoek'!$AA:$AA,'8. Uitgaven betaalverzoek'!$E:$E,$A73,'8. Uitgaven betaalverzoek'!$F:$F,$B73),"")</f>
        <v/>
      </c>
      <c r="I73" s="99" t="str">
        <f>IFERROR(VLOOKUP(A73,Lijsten!$AK:$AL,2,0),"")</f>
        <v/>
      </c>
      <c r="J73" s="97">
        <f t="shared" si="9"/>
        <v>0</v>
      </c>
      <c r="K73" s="97">
        <f t="shared" si="9"/>
        <v>0</v>
      </c>
      <c r="L73" s="97">
        <f>SUMIFS('8. Uitgaven betaalverzoek'!$W:$W,'8. Uitgaven betaalverzoek'!$E:$E,$A73,'8. Uitgaven betaalverzoek'!$F:$F,$B73,'8. Uitgaven betaalverzoek'!$A:$A,Keuze_DB_Nr)</f>
        <v>0</v>
      </c>
      <c r="M73" s="97">
        <f>SUMIFS('8. Uitgaven betaalverzoek'!$X:$X,'8. Uitgaven betaalverzoek'!$E:$E,$A73,'8. Uitgaven betaalverzoek'!$F:$F,$B73,'8. Uitgaven betaalverzoek'!$A:$A,Keuze_DB_Nr)</f>
        <v>0</v>
      </c>
      <c r="N73" s="97" t="str">
        <f>IF($C73&lt;&gt;"",SUMIFS('8. Uitgaven betaalverzoek'!$Z:$Z,'8. Uitgaven betaalverzoek'!$E:$E,$A73,'8. Uitgaven betaalverzoek'!$F:$F,$B73,'8. Uitgaven betaalverzoek'!$A:$A,Keuze_DB_Nr),"")</f>
        <v/>
      </c>
      <c r="O73" s="97" t="str">
        <f>IF($C73&lt;&gt;"",SUMIFS('8. Uitgaven betaalverzoek'!$AA:$AA,'8. Uitgaven betaalverzoek'!$E:$E,$A73,'8. Uitgaven betaalverzoek'!$F:$F,$B73,'8. Uitgaven betaalverzoek'!$A:$A,Keuze_DB_Nr),"")</f>
        <v/>
      </c>
      <c r="P73" s="97">
        <f t="shared" si="10"/>
        <v>0</v>
      </c>
      <c r="Q73" s="97">
        <f t="shared" si="11"/>
        <v>0</v>
      </c>
      <c r="R73" s="97">
        <f>SUMIFS('8. Uitgaven betaalverzoek'!$W:$W,'8. Uitgaven betaalverzoek'!$E:$E,$A73,'8. Uitgaven betaalverzoek'!$F:$F,$B73,'8. Uitgaven betaalverzoek'!$A:$A,Keuze_DB_Nr_BEO)</f>
        <v>0</v>
      </c>
      <c r="S73" s="97">
        <f>SUMIFS('8. Uitgaven betaalverzoek'!$X:$X,'8. Uitgaven betaalverzoek'!$E:$E,$A73,'8. Uitgaven betaalverzoek'!$F:$F,$B73,'8. Uitgaven betaalverzoek'!$A:$A,Keuze_DB_Nr_BEO)</f>
        <v>0</v>
      </c>
      <c r="T73" s="97" t="str">
        <f>IF($C73&lt;&gt;"",SUMIFS('8. Uitgaven betaalverzoek'!$Z:$Z,'8. Uitgaven betaalverzoek'!$E:$E,$A73,'8. Uitgaven betaalverzoek'!$F:$F,$B73,'8. Uitgaven betaalverzoek'!$A:$A,Keuze_DB_Nr_BEO),"")</f>
        <v/>
      </c>
      <c r="U73" s="97" t="str">
        <f>IF($C73&lt;&gt;"",SUMIFS('8. Uitgaven betaalverzoek'!$AA:$AA,'8. Uitgaven betaalverzoek'!$E:$E,$A73,'8. Uitgaven betaalverzoek'!$F:$F,$B73,'8. Uitgaven betaalverzoek'!$A:$A,Keuze_DB_Nr_BEO),"")</f>
        <v/>
      </c>
      <c r="V73" s="97">
        <f t="shared" si="7"/>
        <v>0</v>
      </c>
      <c r="W73" s="97">
        <f t="shared" si="8"/>
        <v>0</v>
      </c>
    </row>
    <row r="74" spans="1:23" x14ac:dyDescent="0.25">
      <c r="A74" s="63"/>
      <c r="B74" s="63"/>
      <c r="C74" s="86" t="str" cm="1">
        <f t="array" ref="C74">IFERROR(INDEX(Tb_KostenOpties[],MATCH(B74,Tb_KostenOptiesDB[KostenOptie],0),IFERROR(MATCH(Methode_Keuze,Tb_KostenOptiesDB[#Headers],0),2)),"")</f>
        <v/>
      </c>
      <c r="D74" s="98">
        <f>IFERROR(INDEX(Tb_ProjectKosten[],MATCH($B74,Tb_ProjectKosten[Begroting],0),6),0)</f>
        <v>0</v>
      </c>
      <c r="E74" s="96">
        <f>SUMIFS('8. Uitgaven betaalverzoek'!$W:$W,'8. Uitgaven betaalverzoek'!$E:$E,$A74,'8. Uitgaven betaalverzoek'!$F:$F,$B74)</f>
        <v>0</v>
      </c>
      <c r="F74" s="96">
        <f>SUMIFS('8. Uitgaven betaalverzoek'!$X:$X,'8. Uitgaven betaalverzoek'!$E:$E,$A74,'8. Uitgaven betaalverzoek'!$F:$F,$B74)</f>
        <v>0</v>
      </c>
      <c r="G74" s="96" t="str">
        <f>IF(C74&lt;&gt;"",SUMIFS('8. Uitgaven betaalverzoek'!$Z:$Z,'8. Uitgaven betaalverzoek'!$E:$E,$A74,'8. Uitgaven betaalverzoek'!$F:$F,$B74),"")</f>
        <v/>
      </c>
      <c r="H74" s="96" t="str">
        <f>IF(C74&lt;&gt;"",SUMIFS('8. Uitgaven betaalverzoek'!$AA:$AA,'8. Uitgaven betaalverzoek'!$E:$E,$A74,'8. Uitgaven betaalverzoek'!$F:$F,$B74),"")</f>
        <v/>
      </c>
      <c r="I74" s="98" t="str">
        <f>IFERROR(VLOOKUP(A74,Lijsten!$AK:$AL,2,0),"")</f>
        <v/>
      </c>
      <c r="J74" s="96">
        <f t="shared" si="9"/>
        <v>0</v>
      </c>
      <c r="K74" s="96">
        <f t="shared" si="9"/>
        <v>0</v>
      </c>
      <c r="L74" s="96">
        <f>SUMIFS('8. Uitgaven betaalverzoek'!$W:$W,'8. Uitgaven betaalverzoek'!$E:$E,$A74,'8. Uitgaven betaalverzoek'!$F:$F,$B74,'8. Uitgaven betaalverzoek'!$A:$A,Keuze_DB_Nr)</f>
        <v>0</v>
      </c>
      <c r="M74" s="96">
        <f>SUMIFS('8. Uitgaven betaalverzoek'!$X:$X,'8. Uitgaven betaalverzoek'!$E:$E,$A74,'8. Uitgaven betaalverzoek'!$F:$F,$B74,'8. Uitgaven betaalverzoek'!$A:$A,Keuze_DB_Nr)</f>
        <v>0</v>
      </c>
      <c r="N74" s="96" t="str">
        <f>IF($C74&lt;&gt;"",SUMIFS('8. Uitgaven betaalverzoek'!$Z:$Z,'8. Uitgaven betaalverzoek'!$E:$E,$A74,'8. Uitgaven betaalverzoek'!$F:$F,$B74,'8. Uitgaven betaalverzoek'!$A:$A,Keuze_DB_Nr),"")</f>
        <v/>
      </c>
      <c r="O74" s="96" t="str">
        <f>IF($C74&lt;&gt;"",SUMIFS('8. Uitgaven betaalverzoek'!$AA:$AA,'8. Uitgaven betaalverzoek'!$E:$E,$A74,'8. Uitgaven betaalverzoek'!$F:$F,$B74,'8. Uitgaven betaalverzoek'!$A:$A,Keuze_DB_Nr),"")</f>
        <v/>
      </c>
      <c r="P74" s="96">
        <f t="shared" si="10"/>
        <v>0</v>
      </c>
      <c r="Q74" s="96">
        <f t="shared" si="11"/>
        <v>0</v>
      </c>
      <c r="R74" s="96">
        <f>SUMIFS('8. Uitgaven betaalverzoek'!$W:$W,'8. Uitgaven betaalverzoek'!$E:$E,$A74,'8. Uitgaven betaalverzoek'!$F:$F,$B74,'8. Uitgaven betaalverzoek'!$A:$A,Keuze_DB_Nr_BEO)</f>
        <v>0</v>
      </c>
      <c r="S74" s="96">
        <f>SUMIFS('8. Uitgaven betaalverzoek'!$X:$X,'8. Uitgaven betaalverzoek'!$E:$E,$A74,'8. Uitgaven betaalverzoek'!$F:$F,$B74,'8. Uitgaven betaalverzoek'!$A:$A,Keuze_DB_Nr_BEO)</f>
        <v>0</v>
      </c>
      <c r="T74" s="96" t="str">
        <f>IF($C74&lt;&gt;"",SUMIFS('8. Uitgaven betaalverzoek'!$Z:$Z,'8. Uitgaven betaalverzoek'!$E:$E,$A74,'8. Uitgaven betaalverzoek'!$F:$F,$B74,'8. Uitgaven betaalverzoek'!$A:$A,Keuze_DB_Nr_BEO),"")</f>
        <v/>
      </c>
      <c r="U74" s="96" t="str">
        <f>IF($C74&lt;&gt;"",SUMIFS('8. Uitgaven betaalverzoek'!$AA:$AA,'8. Uitgaven betaalverzoek'!$E:$E,$A74,'8. Uitgaven betaalverzoek'!$F:$F,$B74,'8. Uitgaven betaalverzoek'!$A:$A,Keuze_DB_Nr_BEO),"")</f>
        <v/>
      </c>
      <c r="V74" s="96">
        <f t="shared" si="7"/>
        <v>0</v>
      </c>
      <c r="W74" s="96">
        <f t="shared" si="8"/>
        <v>0</v>
      </c>
    </row>
    <row r="75" spans="1:23" x14ac:dyDescent="0.25">
      <c r="A75" s="12"/>
      <c r="B75" s="12"/>
      <c r="C75" s="87" t="str" cm="1">
        <f t="array" ref="C75">IFERROR(INDEX(Tb_KostenOpties[],MATCH(B75,Tb_KostenOptiesDB[KostenOptie],0),IFERROR(MATCH(Methode_Keuze,Tb_KostenOptiesDB[#Headers],0),2)),"")</f>
        <v/>
      </c>
      <c r="D75" s="99">
        <f>IFERROR(INDEX(Tb_ProjectKosten[],MATCH($B75,Tb_ProjectKosten[Begroting],0),6),0)</f>
        <v>0</v>
      </c>
      <c r="E75" s="97">
        <f>SUMIFS('8. Uitgaven betaalverzoek'!$W:$W,'8. Uitgaven betaalverzoek'!$E:$E,$A75,'8. Uitgaven betaalverzoek'!$F:$F,$B75)</f>
        <v>0</v>
      </c>
      <c r="F75" s="97">
        <f>SUMIFS('8. Uitgaven betaalverzoek'!$X:$X,'8. Uitgaven betaalverzoek'!$E:$E,$A75,'8. Uitgaven betaalverzoek'!$F:$F,$B75)</f>
        <v>0</v>
      </c>
      <c r="G75" s="97" t="str">
        <f>IF(C75&lt;&gt;"",SUMIFS('8. Uitgaven betaalverzoek'!$Z:$Z,'8. Uitgaven betaalverzoek'!$E:$E,$A75,'8. Uitgaven betaalverzoek'!$F:$F,$B75),"")</f>
        <v/>
      </c>
      <c r="H75" s="97" t="str">
        <f>IF(C75&lt;&gt;"",SUMIFS('8. Uitgaven betaalverzoek'!$AA:$AA,'8. Uitgaven betaalverzoek'!$E:$E,$A75,'8. Uitgaven betaalverzoek'!$F:$F,$B75),"")</f>
        <v/>
      </c>
      <c r="I75" s="99" t="str">
        <f>IFERROR(VLOOKUP(A75,Lijsten!$AK:$AL,2,0),"")</f>
        <v/>
      </c>
      <c r="J75" s="97">
        <f t="shared" si="9"/>
        <v>0</v>
      </c>
      <c r="K75" s="97">
        <f t="shared" si="9"/>
        <v>0</v>
      </c>
      <c r="L75" s="97">
        <f>SUMIFS('8. Uitgaven betaalverzoek'!$W:$W,'8. Uitgaven betaalverzoek'!$E:$E,$A75,'8. Uitgaven betaalverzoek'!$F:$F,$B75,'8. Uitgaven betaalverzoek'!$A:$A,Keuze_DB_Nr)</f>
        <v>0</v>
      </c>
      <c r="M75" s="97">
        <f>SUMIFS('8. Uitgaven betaalverzoek'!$X:$X,'8. Uitgaven betaalverzoek'!$E:$E,$A75,'8. Uitgaven betaalverzoek'!$F:$F,$B75,'8. Uitgaven betaalverzoek'!$A:$A,Keuze_DB_Nr)</f>
        <v>0</v>
      </c>
      <c r="N75" s="97" t="str">
        <f>IF($C75&lt;&gt;"",SUMIFS('8. Uitgaven betaalverzoek'!$Z:$Z,'8. Uitgaven betaalverzoek'!$E:$E,$A75,'8. Uitgaven betaalverzoek'!$F:$F,$B75,'8. Uitgaven betaalverzoek'!$A:$A,Keuze_DB_Nr),"")</f>
        <v/>
      </c>
      <c r="O75" s="97" t="str">
        <f>IF($C75&lt;&gt;"",SUMIFS('8. Uitgaven betaalverzoek'!$AA:$AA,'8. Uitgaven betaalverzoek'!$E:$E,$A75,'8. Uitgaven betaalverzoek'!$F:$F,$B75,'8. Uitgaven betaalverzoek'!$A:$A,Keuze_DB_Nr),"")</f>
        <v/>
      </c>
      <c r="P75" s="97">
        <f t="shared" si="10"/>
        <v>0</v>
      </c>
      <c r="Q75" s="97">
        <f t="shared" si="11"/>
        <v>0</v>
      </c>
      <c r="R75" s="97">
        <f>SUMIFS('8. Uitgaven betaalverzoek'!$W:$W,'8. Uitgaven betaalverzoek'!$E:$E,$A75,'8. Uitgaven betaalverzoek'!$F:$F,$B75,'8. Uitgaven betaalverzoek'!$A:$A,Keuze_DB_Nr_BEO)</f>
        <v>0</v>
      </c>
      <c r="S75" s="97">
        <f>SUMIFS('8. Uitgaven betaalverzoek'!$X:$X,'8. Uitgaven betaalverzoek'!$E:$E,$A75,'8. Uitgaven betaalverzoek'!$F:$F,$B75,'8. Uitgaven betaalverzoek'!$A:$A,Keuze_DB_Nr_BEO)</f>
        <v>0</v>
      </c>
      <c r="T75" s="97" t="str">
        <f>IF($C75&lt;&gt;"",SUMIFS('8. Uitgaven betaalverzoek'!$Z:$Z,'8. Uitgaven betaalverzoek'!$E:$E,$A75,'8. Uitgaven betaalverzoek'!$F:$F,$B75,'8. Uitgaven betaalverzoek'!$A:$A,Keuze_DB_Nr_BEO),"")</f>
        <v/>
      </c>
      <c r="U75" s="97" t="str">
        <f>IF($C75&lt;&gt;"",SUMIFS('8. Uitgaven betaalverzoek'!$AA:$AA,'8. Uitgaven betaalverzoek'!$E:$E,$A75,'8. Uitgaven betaalverzoek'!$F:$F,$B75,'8. Uitgaven betaalverzoek'!$A:$A,Keuze_DB_Nr_BEO),"")</f>
        <v/>
      </c>
      <c r="V75" s="97">
        <f t="shared" si="7"/>
        <v>0</v>
      </c>
      <c r="W75" s="97">
        <f t="shared" si="8"/>
        <v>0</v>
      </c>
    </row>
    <row r="76" spans="1:23" x14ac:dyDescent="0.25">
      <c r="A76" s="63"/>
      <c r="B76" s="63"/>
      <c r="C76" s="86" t="str" cm="1">
        <f t="array" ref="C76">IFERROR(INDEX(Tb_KostenOpties[],MATCH(B76,Tb_KostenOptiesDB[KostenOptie],0),IFERROR(MATCH(Methode_Keuze,Tb_KostenOptiesDB[#Headers],0),2)),"")</f>
        <v/>
      </c>
      <c r="D76" s="98">
        <f>IFERROR(INDEX(Tb_ProjectKosten[],MATCH($B76,Tb_ProjectKosten[Begroting],0),6),0)</f>
        <v>0</v>
      </c>
      <c r="E76" s="96">
        <f>SUMIFS('8. Uitgaven betaalverzoek'!$W:$W,'8. Uitgaven betaalverzoek'!$E:$E,$A76,'8. Uitgaven betaalverzoek'!$F:$F,$B76)</f>
        <v>0</v>
      </c>
      <c r="F76" s="96">
        <f>SUMIFS('8. Uitgaven betaalverzoek'!$X:$X,'8. Uitgaven betaalverzoek'!$E:$E,$A76,'8. Uitgaven betaalverzoek'!$F:$F,$B76)</f>
        <v>0</v>
      </c>
      <c r="G76" s="96" t="str">
        <f>IF(C76&lt;&gt;"",SUMIFS('8. Uitgaven betaalverzoek'!$Z:$Z,'8. Uitgaven betaalverzoek'!$E:$E,$A76,'8. Uitgaven betaalverzoek'!$F:$F,$B76),"")</f>
        <v/>
      </c>
      <c r="H76" s="96" t="str">
        <f>IF(C76&lt;&gt;"",SUMIFS('8. Uitgaven betaalverzoek'!$AA:$AA,'8. Uitgaven betaalverzoek'!$E:$E,$A76,'8. Uitgaven betaalverzoek'!$F:$F,$B76),"")</f>
        <v/>
      </c>
      <c r="I76" s="98" t="str">
        <f>IFERROR(VLOOKUP(A76,Lijsten!$AK:$AL,2,0),"")</f>
        <v/>
      </c>
      <c r="J76" s="96">
        <f t="shared" si="9"/>
        <v>0</v>
      </c>
      <c r="K76" s="96">
        <f t="shared" si="9"/>
        <v>0</v>
      </c>
      <c r="L76" s="96">
        <f>SUMIFS('8. Uitgaven betaalverzoek'!$W:$W,'8. Uitgaven betaalverzoek'!$E:$E,$A76,'8. Uitgaven betaalverzoek'!$F:$F,$B76,'8. Uitgaven betaalverzoek'!$A:$A,Keuze_DB_Nr)</f>
        <v>0</v>
      </c>
      <c r="M76" s="96">
        <f>SUMIFS('8. Uitgaven betaalverzoek'!$X:$X,'8. Uitgaven betaalverzoek'!$E:$E,$A76,'8. Uitgaven betaalverzoek'!$F:$F,$B76,'8. Uitgaven betaalverzoek'!$A:$A,Keuze_DB_Nr)</f>
        <v>0</v>
      </c>
      <c r="N76" s="96" t="str">
        <f>IF($C76&lt;&gt;"",SUMIFS('8. Uitgaven betaalverzoek'!$Z:$Z,'8. Uitgaven betaalverzoek'!$E:$E,$A76,'8. Uitgaven betaalverzoek'!$F:$F,$B76,'8. Uitgaven betaalverzoek'!$A:$A,Keuze_DB_Nr),"")</f>
        <v/>
      </c>
      <c r="O76" s="96" t="str">
        <f>IF($C76&lt;&gt;"",SUMIFS('8. Uitgaven betaalverzoek'!$AA:$AA,'8. Uitgaven betaalverzoek'!$E:$E,$A76,'8. Uitgaven betaalverzoek'!$F:$F,$B76,'8. Uitgaven betaalverzoek'!$A:$A,Keuze_DB_Nr),"")</f>
        <v/>
      </c>
      <c r="P76" s="96">
        <f t="shared" si="10"/>
        <v>0</v>
      </c>
      <c r="Q76" s="96">
        <f t="shared" si="11"/>
        <v>0</v>
      </c>
      <c r="R76" s="96">
        <f>SUMIFS('8. Uitgaven betaalverzoek'!$W:$W,'8. Uitgaven betaalverzoek'!$E:$E,$A76,'8. Uitgaven betaalverzoek'!$F:$F,$B76,'8. Uitgaven betaalverzoek'!$A:$A,Keuze_DB_Nr_BEO)</f>
        <v>0</v>
      </c>
      <c r="S76" s="96">
        <f>SUMIFS('8. Uitgaven betaalverzoek'!$X:$X,'8. Uitgaven betaalverzoek'!$E:$E,$A76,'8. Uitgaven betaalverzoek'!$F:$F,$B76,'8. Uitgaven betaalverzoek'!$A:$A,Keuze_DB_Nr_BEO)</f>
        <v>0</v>
      </c>
      <c r="T76" s="96" t="str">
        <f>IF($C76&lt;&gt;"",SUMIFS('8. Uitgaven betaalverzoek'!$Z:$Z,'8. Uitgaven betaalverzoek'!$E:$E,$A76,'8. Uitgaven betaalverzoek'!$F:$F,$B76,'8. Uitgaven betaalverzoek'!$A:$A,Keuze_DB_Nr_BEO),"")</f>
        <v/>
      </c>
      <c r="U76" s="96" t="str">
        <f>IF($C76&lt;&gt;"",SUMIFS('8. Uitgaven betaalverzoek'!$AA:$AA,'8. Uitgaven betaalverzoek'!$E:$E,$A76,'8. Uitgaven betaalverzoek'!$F:$F,$B76,'8. Uitgaven betaalverzoek'!$A:$A,Keuze_DB_Nr_BEO),"")</f>
        <v/>
      </c>
      <c r="V76" s="96">
        <f t="shared" si="7"/>
        <v>0</v>
      </c>
      <c r="W76" s="96">
        <f t="shared" si="8"/>
        <v>0</v>
      </c>
    </row>
    <row r="77" spans="1:23" x14ac:dyDescent="0.25">
      <c r="A77" s="12"/>
      <c r="B77" s="12"/>
      <c r="C77" s="87" t="str" cm="1">
        <f t="array" ref="C77">IFERROR(INDEX(Tb_KostenOpties[],MATCH(B77,Tb_KostenOptiesDB[KostenOptie],0),IFERROR(MATCH(Methode_Keuze,Tb_KostenOptiesDB[#Headers],0),2)),"")</f>
        <v/>
      </c>
      <c r="D77" s="99">
        <f>IFERROR(INDEX(Tb_ProjectKosten[],MATCH($B77,Tb_ProjectKosten[Begroting],0),6),0)</f>
        <v>0</v>
      </c>
      <c r="E77" s="97">
        <f>SUMIFS('8. Uitgaven betaalverzoek'!$W:$W,'8. Uitgaven betaalverzoek'!$E:$E,$A77,'8. Uitgaven betaalverzoek'!$F:$F,$B77)</f>
        <v>0</v>
      </c>
      <c r="F77" s="97">
        <f>SUMIFS('8. Uitgaven betaalverzoek'!$X:$X,'8. Uitgaven betaalverzoek'!$E:$E,$A77,'8. Uitgaven betaalverzoek'!$F:$F,$B77)</f>
        <v>0</v>
      </c>
      <c r="G77" s="97" t="str">
        <f>IF(C77&lt;&gt;"",SUMIFS('8. Uitgaven betaalverzoek'!$Z:$Z,'8. Uitgaven betaalverzoek'!$E:$E,$A77,'8. Uitgaven betaalverzoek'!$F:$F,$B77),"")</f>
        <v/>
      </c>
      <c r="H77" s="97" t="str">
        <f>IF(C77&lt;&gt;"",SUMIFS('8. Uitgaven betaalverzoek'!$AA:$AA,'8. Uitgaven betaalverzoek'!$E:$E,$A77,'8. Uitgaven betaalverzoek'!$F:$F,$B77),"")</f>
        <v/>
      </c>
      <c r="I77" s="99" t="str">
        <f>IFERROR(VLOOKUP(A77,Lijsten!$AK:$AL,2,0),"")</f>
        <v/>
      </c>
      <c r="J77" s="97">
        <f t="shared" si="9"/>
        <v>0</v>
      </c>
      <c r="K77" s="97">
        <f t="shared" si="9"/>
        <v>0</v>
      </c>
      <c r="L77" s="97">
        <f>SUMIFS('8. Uitgaven betaalverzoek'!$W:$W,'8. Uitgaven betaalverzoek'!$E:$E,$A77,'8. Uitgaven betaalverzoek'!$F:$F,$B77,'8. Uitgaven betaalverzoek'!$A:$A,Keuze_DB_Nr)</f>
        <v>0</v>
      </c>
      <c r="M77" s="97">
        <f>SUMIFS('8. Uitgaven betaalverzoek'!$X:$X,'8. Uitgaven betaalverzoek'!$E:$E,$A77,'8. Uitgaven betaalverzoek'!$F:$F,$B77,'8. Uitgaven betaalverzoek'!$A:$A,Keuze_DB_Nr)</f>
        <v>0</v>
      </c>
      <c r="N77" s="97" t="str">
        <f>IF($C77&lt;&gt;"",SUMIFS('8. Uitgaven betaalverzoek'!$Z:$Z,'8. Uitgaven betaalverzoek'!$E:$E,$A77,'8. Uitgaven betaalverzoek'!$F:$F,$B77,'8. Uitgaven betaalverzoek'!$A:$A,Keuze_DB_Nr),"")</f>
        <v/>
      </c>
      <c r="O77" s="97" t="str">
        <f>IF($C77&lt;&gt;"",SUMIFS('8. Uitgaven betaalverzoek'!$AA:$AA,'8. Uitgaven betaalverzoek'!$E:$E,$A77,'8. Uitgaven betaalverzoek'!$F:$F,$B77,'8. Uitgaven betaalverzoek'!$A:$A,Keuze_DB_Nr),"")</f>
        <v/>
      </c>
      <c r="P77" s="97">
        <f t="shared" si="10"/>
        <v>0</v>
      </c>
      <c r="Q77" s="97">
        <f t="shared" si="11"/>
        <v>0</v>
      </c>
      <c r="R77" s="97">
        <f>SUMIFS('8. Uitgaven betaalverzoek'!$W:$W,'8. Uitgaven betaalverzoek'!$E:$E,$A77,'8. Uitgaven betaalverzoek'!$F:$F,$B77,'8. Uitgaven betaalverzoek'!$A:$A,Keuze_DB_Nr_BEO)</f>
        <v>0</v>
      </c>
      <c r="S77" s="97">
        <f>SUMIFS('8. Uitgaven betaalverzoek'!$X:$X,'8. Uitgaven betaalverzoek'!$E:$E,$A77,'8. Uitgaven betaalverzoek'!$F:$F,$B77,'8. Uitgaven betaalverzoek'!$A:$A,Keuze_DB_Nr_BEO)</f>
        <v>0</v>
      </c>
      <c r="T77" s="97" t="str">
        <f>IF($C77&lt;&gt;"",SUMIFS('8. Uitgaven betaalverzoek'!$Z:$Z,'8. Uitgaven betaalverzoek'!$E:$E,$A77,'8. Uitgaven betaalverzoek'!$F:$F,$B77,'8. Uitgaven betaalverzoek'!$A:$A,Keuze_DB_Nr_BEO),"")</f>
        <v/>
      </c>
      <c r="U77" s="97" t="str">
        <f>IF($C77&lt;&gt;"",SUMIFS('8. Uitgaven betaalverzoek'!$AA:$AA,'8. Uitgaven betaalverzoek'!$E:$E,$A77,'8. Uitgaven betaalverzoek'!$F:$F,$B77,'8. Uitgaven betaalverzoek'!$A:$A,Keuze_DB_Nr_BEO),"")</f>
        <v/>
      </c>
      <c r="V77" s="97">
        <f t="shared" si="7"/>
        <v>0</v>
      </c>
      <c r="W77" s="97">
        <f t="shared" si="8"/>
        <v>0</v>
      </c>
    </row>
    <row r="78" spans="1:23" x14ac:dyDescent="0.25">
      <c r="A78" s="63"/>
      <c r="B78" s="63"/>
      <c r="C78" s="86" t="str" cm="1">
        <f t="array" ref="C78">IFERROR(INDEX(Tb_KostenOpties[],MATCH(B78,Tb_KostenOptiesDB[KostenOptie],0),IFERROR(MATCH(Methode_Keuze,Tb_KostenOptiesDB[#Headers],0),2)),"")</f>
        <v/>
      </c>
      <c r="D78" s="98">
        <f>IFERROR(INDEX(Tb_ProjectKosten[],MATCH($B78,Tb_ProjectKosten[Begroting],0),6),0)</f>
        <v>0</v>
      </c>
      <c r="E78" s="96">
        <f>SUMIFS('8. Uitgaven betaalverzoek'!$W:$W,'8. Uitgaven betaalverzoek'!$E:$E,$A78,'8. Uitgaven betaalverzoek'!$F:$F,$B78)</f>
        <v>0</v>
      </c>
      <c r="F78" s="96">
        <f>SUMIFS('8. Uitgaven betaalverzoek'!$X:$X,'8. Uitgaven betaalverzoek'!$E:$E,$A78,'8. Uitgaven betaalverzoek'!$F:$F,$B78)</f>
        <v>0</v>
      </c>
      <c r="G78" s="96" t="str">
        <f>IF(C78&lt;&gt;"",SUMIFS('8. Uitgaven betaalverzoek'!$Z:$Z,'8. Uitgaven betaalverzoek'!$E:$E,$A78,'8. Uitgaven betaalverzoek'!$F:$F,$B78),"")</f>
        <v/>
      </c>
      <c r="H78" s="96" t="str">
        <f>IF(C78&lt;&gt;"",SUMIFS('8. Uitgaven betaalverzoek'!$AA:$AA,'8. Uitgaven betaalverzoek'!$E:$E,$A78,'8. Uitgaven betaalverzoek'!$F:$F,$B78),"")</f>
        <v/>
      </c>
      <c r="I78" s="98" t="str">
        <f>IFERROR(VLOOKUP(A78,Lijsten!$AK:$AL,2,0),"")</f>
        <v/>
      </c>
      <c r="J78" s="96">
        <f t="shared" si="9"/>
        <v>0</v>
      </c>
      <c r="K78" s="96">
        <f t="shared" si="9"/>
        <v>0</v>
      </c>
      <c r="L78" s="96">
        <f>SUMIFS('8. Uitgaven betaalverzoek'!$W:$W,'8. Uitgaven betaalverzoek'!$E:$E,$A78,'8. Uitgaven betaalverzoek'!$F:$F,$B78,'8. Uitgaven betaalverzoek'!$A:$A,Keuze_DB_Nr)</f>
        <v>0</v>
      </c>
      <c r="M78" s="96">
        <f>SUMIFS('8. Uitgaven betaalverzoek'!$X:$X,'8. Uitgaven betaalverzoek'!$E:$E,$A78,'8. Uitgaven betaalverzoek'!$F:$F,$B78,'8. Uitgaven betaalverzoek'!$A:$A,Keuze_DB_Nr)</f>
        <v>0</v>
      </c>
      <c r="N78" s="96" t="str">
        <f>IF($C78&lt;&gt;"",SUMIFS('8. Uitgaven betaalverzoek'!$Z:$Z,'8. Uitgaven betaalverzoek'!$E:$E,$A78,'8. Uitgaven betaalverzoek'!$F:$F,$B78,'8. Uitgaven betaalverzoek'!$A:$A,Keuze_DB_Nr),"")</f>
        <v/>
      </c>
      <c r="O78" s="96" t="str">
        <f>IF($C78&lt;&gt;"",SUMIFS('8. Uitgaven betaalverzoek'!$AA:$AA,'8. Uitgaven betaalverzoek'!$E:$E,$A78,'8. Uitgaven betaalverzoek'!$F:$F,$B78,'8. Uitgaven betaalverzoek'!$A:$A,Keuze_DB_Nr),"")</f>
        <v/>
      </c>
      <c r="P78" s="96">
        <f t="shared" si="10"/>
        <v>0</v>
      </c>
      <c r="Q78" s="96">
        <f t="shared" si="11"/>
        <v>0</v>
      </c>
      <c r="R78" s="96">
        <f>SUMIFS('8. Uitgaven betaalverzoek'!$W:$W,'8. Uitgaven betaalverzoek'!$E:$E,$A78,'8. Uitgaven betaalverzoek'!$F:$F,$B78,'8. Uitgaven betaalverzoek'!$A:$A,Keuze_DB_Nr_BEO)</f>
        <v>0</v>
      </c>
      <c r="S78" s="96">
        <f>SUMIFS('8. Uitgaven betaalverzoek'!$X:$X,'8. Uitgaven betaalverzoek'!$E:$E,$A78,'8. Uitgaven betaalverzoek'!$F:$F,$B78,'8. Uitgaven betaalverzoek'!$A:$A,Keuze_DB_Nr_BEO)</f>
        <v>0</v>
      </c>
      <c r="T78" s="96" t="str">
        <f>IF($C78&lt;&gt;"",SUMIFS('8. Uitgaven betaalverzoek'!$Z:$Z,'8. Uitgaven betaalverzoek'!$E:$E,$A78,'8. Uitgaven betaalverzoek'!$F:$F,$B78,'8. Uitgaven betaalverzoek'!$A:$A,Keuze_DB_Nr_BEO),"")</f>
        <v/>
      </c>
      <c r="U78" s="96" t="str">
        <f>IF($C78&lt;&gt;"",SUMIFS('8. Uitgaven betaalverzoek'!$AA:$AA,'8. Uitgaven betaalverzoek'!$E:$E,$A78,'8. Uitgaven betaalverzoek'!$F:$F,$B78,'8. Uitgaven betaalverzoek'!$A:$A,Keuze_DB_Nr_BEO),"")</f>
        <v/>
      </c>
      <c r="V78" s="96">
        <f t="shared" si="7"/>
        <v>0</v>
      </c>
      <c r="W78" s="96">
        <f t="shared" si="8"/>
        <v>0</v>
      </c>
    </row>
    <row r="79" spans="1:23" x14ac:dyDescent="0.25">
      <c r="A79" s="12"/>
      <c r="B79" s="12"/>
      <c r="C79" s="87" t="str" cm="1">
        <f t="array" ref="C79">IFERROR(INDEX(Tb_KostenOpties[],MATCH(B79,Tb_KostenOptiesDB[KostenOptie],0),IFERROR(MATCH(Methode_Keuze,Tb_KostenOptiesDB[#Headers],0),2)),"")</f>
        <v/>
      </c>
      <c r="D79" s="99">
        <f>IFERROR(INDEX(Tb_ProjectKosten[],MATCH($B79,Tb_ProjectKosten[Begroting],0),6),0)</f>
        <v>0</v>
      </c>
      <c r="E79" s="97">
        <f>SUMIFS('8. Uitgaven betaalverzoek'!$W:$W,'8. Uitgaven betaalverzoek'!$E:$E,$A79,'8. Uitgaven betaalverzoek'!$F:$F,$B79)</f>
        <v>0</v>
      </c>
      <c r="F79" s="97">
        <f>SUMIFS('8. Uitgaven betaalverzoek'!$X:$X,'8. Uitgaven betaalverzoek'!$E:$E,$A79,'8. Uitgaven betaalverzoek'!$F:$F,$B79)</f>
        <v>0</v>
      </c>
      <c r="G79" s="97" t="str">
        <f>IF(C79&lt;&gt;"",SUMIFS('8. Uitgaven betaalverzoek'!$Z:$Z,'8. Uitgaven betaalverzoek'!$E:$E,$A79,'8. Uitgaven betaalverzoek'!$F:$F,$B79),"")</f>
        <v/>
      </c>
      <c r="H79" s="97" t="str">
        <f>IF(C79&lt;&gt;"",SUMIFS('8. Uitgaven betaalverzoek'!$AA:$AA,'8. Uitgaven betaalverzoek'!$E:$E,$A79,'8. Uitgaven betaalverzoek'!$F:$F,$B79),"")</f>
        <v/>
      </c>
      <c r="I79" s="99" t="str">
        <f>IFERROR(VLOOKUP(A79,Lijsten!$AK:$AL,2,0),"")</f>
        <v/>
      </c>
      <c r="J79" s="97">
        <f t="shared" si="9"/>
        <v>0</v>
      </c>
      <c r="K79" s="97">
        <f t="shared" si="9"/>
        <v>0</v>
      </c>
      <c r="L79" s="97">
        <f>SUMIFS('8. Uitgaven betaalverzoek'!$W:$W,'8. Uitgaven betaalverzoek'!$E:$E,$A79,'8. Uitgaven betaalverzoek'!$F:$F,$B79,'8. Uitgaven betaalverzoek'!$A:$A,Keuze_DB_Nr)</f>
        <v>0</v>
      </c>
      <c r="M79" s="97">
        <f>SUMIFS('8. Uitgaven betaalverzoek'!$X:$X,'8. Uitgaven betaalverzoek'!$E:$E,$A79,'8. Uitgaven betaalverzoek'!$F:$F,$B79,'8. Uitgaven betaalverzoek'!$A:$A,Keuze_DB_Nr)</f>
        <v>0</v>
      </c>
      <c r="N79" s="97" t="str">
        <f>IF($C79&lt;&gt;"",SUMIFS('8. Uitgaven betaalverzoek'!$Z:$Z,'8. Uitgaven betaalverzoek'!$E:$E,$A79,'8. Uitgaven betaalverzoek'!$F:$F,$B79,'8. Uitgaven betaalverzoek'!$A:$A,Keuze_DB_Nr),"")</f>
        <v/>
      </c>
      <c r="O79" s="97" t="str">
        <f>IF($C79&lt;&gt;"",SUMIFS('8. Uitgaven betaalverzoek'!$AA:$AA,'8. Uitgaven betaalverzoek'!$E:$E,$A79,'8. Uitgaven betaalverzoek'!$F:$F,$B79,'8. Uitgaven betaalverzoek'!$A:$A,Keuze_DB_Nr),"")</f>
        <v/>
      </c>
      <c r="P79" s="97">
        <f t="shared" si="10"/>
        <v>0</v>
      </c>
      <c r="Q79" s="97">
        <f t="shared" si="11"/>
        <v>0</v>
      </c>
      <c r="R79" s="97">
        <f>SUMIFS('8. Uitgaven betaalverzoek'!$W:$W,'8. Uitgaven betaalverzoek'!$E:$E,$A79,'8. Uitgaven betaalverzoek'!$F:$F,$B79,'8. Uitgaven betaalverzoek'!$A:$A,Keuze_DB_Nr_BEO)</f>
        <v>0</v>
      </c>
      <c r="S79" s="97">
        <f>SUMIFS('8. Uitgaven betaalverzoek'!$X:$X,'8. Uitgaven betaalverzoek'!$E:$E,$A79,'8. Uitgaven betaalverzoek'!$F:$F,$B79,'8. Uitgaven betaalverzoek'!$A:$A,Keuze_DB_Nr_BEO)</f>
        <v>0</v>
      </c>
      <c r="T79" s="97" t="str">
        <f>IF($C79&lt;&gt;"",SUMIFS('8. Uitgaven betaalverzoek'!$Z:$Z,'8. Uitgaven betaalverzoek'!$E:$E,$A79,'8. Uitgaven betaalverzoek'!$F:$F,$B79,'8. Uitgaven betaalverzoek'!$A:$A,Keuze_DB_Nr_BEO),"")</f>
        <v/>
      </c>
      <c r="U79" s="97" t="str">
        <f>IF($C79&lt;&gt;"",SUMIFS('8. Uitgaven betaalverzoek'!$AA:$AA,'8. Uitgaven betaalverzoek'!$E:$E,$A79,'8. Uitgaven betaalverzoek'!$F:$F,$B79,'8. Uitgaven betaalverzoek'!$A:$A,Keuze_DB_Nr_BEO),"")</f>
        <v/>
      </c>
      <c r="V79" s="97">
        <f t="shared" si="7"/>
        <v>0</v>
      </c>
      <c r="W79" s="97">
        <f t="shared" si="8"/>
        <v>0</v>
      </c>
    </row>
    <row r="80" spans="1:23" x14ac:dyDescent="0.25">
      <c r="A80" s="63"/>
      <c r="B80" s="63"/>
      <c r="C80" s="86" t="str" cm="1">
        <f t="array" ref="C80">IFERROR(INDEX(Tb_KostenOpties[],MATCH(B80,Tb_KostenOptiesDB[KostenOptie],0),IFERROR(MATCH(Methode_Keuze,Tb_KostenOptiesDB[#Headers],0),2)),"")</f>
        <v/>
      </c>
      <c r="D80" s="98">
        <f>IFERROR(INDEX(Tb_ProjectKosten[],MATCH($B80,Tb_ProjectKosten[Begroting],0),6),0)</f>
        <v>0</v>
      </c>
      <c r="E80" s="96">
        <f>SUMIFS('8. Uitgaven betaalverzoek'!$W:$W,'8. Uitgaven betaalverzoek'!$E:$E,$A80,'8. Uitgaven betaalverzoek'!$F:$F,$B80)</f>
        <v>0</v>
      </c>
      <c r="F80" s="96">
        <f>SUMIFS('8. Uitgaven betaalverzoek'!$X:$X,'8. Uitgaven betaalverzoek'!$E:$E,$A80,'8. Uitgaven betaalverzoek'!$F:$F,$B80)</f>
        <v>0</v>
      </c>
      <c r="G80" s="96" t="str">
        <f>IF(C80&lt;&gt;"",SUMIFS('8. Uitgaven betaalverzoek'!$Z:$Z,'8. Uitgaven betaalverzoek'!$E:$E,$A80,'8. Uitgaven betaalverzoek'!$F:$F,$B80),"")</f>
        <v/>
      </c>
      <c r="H80" s="96" t="str">
        <f>IF(C80&lt;&gt;"",SUMIFS('8. Uitgaven betaalverzoek'!$AA:$AA,'8. Uitgaven betaalverzoek'!$E:$E,$A80,'8. Uitgaven betaalverzoek'!$F:$F,$B80),"")</f>
        <v/>
      </c>
      <c r="I80" s="98" t="str">
        <f>IFERROR(VLOOKUP(A80,Lijsten!$AK:$AL,2,0),"")</f>
        <v/>
      </c>
      <c r="J80" s="96">
        <f t="shared" si="9"/>
        <v>0</v>
      </c>
      <c r="K80" s="96">
        <f t="shared" si="9"/>
        <v>0</v>
      </c>
      <c r="L80" s="96">
        <f>SUMIFS('8. Uitgaven betaalverzoek'!$W:$W,'8. Uitgaven betaalverzoek'!$E:$E,$A80,'8. Uitgaven betaalverzoek'!$F:$F,$B80,'8. Uitgaven betaalverzoek'!$A:$A,Keuze_DB_Nr)</f>
        <v>0</v>
      </c>
      <c r="M80" s="96">
        <f>SUMIFS('8. Uitgaven betaalverzoek'!$X:$X,'8. Uitgaven betaalverzoek'!$E:$E,$A80,'8. Uitgaven betaalverzoek'!$F:$F,$B80,'8. Uitgaven betaalverzoek'!$A:$A,Keuze_DB_Nr)</f>
        <v>0</v>
      </c>
      <c r="N80" s="96" t="str">
        <f>IF($C80&lt;&gt;"",SUMIFS('8. Uitgaven betaalverzoek'!$Z:$Z,'8. Uitgaven betaalverzoek'!$E:$E,$A80,'8. Uitgaven betaalverzoek'!$F:$F,$B80,'8. Uitgaven betaalverzoek'!$A:$A,Keuze_DB_Nr),"")</f>
        <v/>
      </c>
      <c r="O80" s="96" t="str">
        <f>IF($C80&lt;&gt;"",SUMIFS('8. Uitgaven betaalverzoek'!$AA:$AA,'8. Uitgaven betaalverzoek'!$E:$E,$A80,'8. Uitgaven betaalverzoek'!$F:$F,$B80,'8. Uitgaven betaalverzoek'!$A:$A,Keuze_DB_Nr),"")</f>
        <v/>
      </c>
      <c r="P80" s="96">
        <f t="shared" si="10"/>
        <v>0</v>
      </c>
      <c r="Q80" s="96">
        <f t="shared" si="11"/>
        <v>0</v>
      </c>
      <c r="R80" s="96">
        <f>SUMIFS('8. Uitgaven betaalverzoek'!$W:$W,'8. Uitgaven betaalverzoek'!$E:$E,$A80,'8. Uitgaven betaalverzoek'!$F:$F,$B80,'8. Uitgaven betaalverzoek'!$A:$A,Keuze_DB_Nr_BEO)</f>
        <v>0</v>
      </c>
      <c r="S80" s="96">
        <f>SUMIFS('8. Uitgaven betaalverzoek'!$X:$X,'8. Uitgaven betaalverzoek'!$E:$E,$A80,'8. Uitgaven betaalverzoek'!$F:$F,$B80,'8. Uitgaven betaalverzoek'!$A:$A,Keuze_DB_Nr_BEO)</f>
        <v>0</v>
      </c>
      <c r="T80" s="96" t="str">
        <f>IF($C80&lt;&gt;"",SUMIFS('8. Uitgaven betaalverzoek'!$Z:$Z,'8. Uitgaven betaalverzoek'!$E:$E,$A80,'8. Uitgaven betaalverzoek'!$F:$F,$B80,'8. Uitgaven betaalverzoek'!$A:$A,Keuze_DB_Nr_BEO),"")</f>
        <v/>
      </c>
      <c r="U80" s="96" t="str">
        <f>IF($C80&lt;&gt;"",SUMIFS('8. Uitgaven betaalverzoek'!$AA:$AA,'8. Uitgaven betaalverzoek'!$E:$E,$A80,'8. Uitgaven betaalverzoek'!$F:$F,$B80,'8. Uitgaven betaalverzoek'!$A:$A,Keuze_DB_Nr_BEO),"")</f>
        <v/>
      </c>
      <c r="V80" s="96">
        <f t="shared" si="7"/>
        <v>0</v>
      </c>
      <c r="W80" s="96">
        <f t="shared" si="8"/>
        <v>0</v>
      </c>
    </row>
    <row r="81" spans="1:23" x14ac:dyDescent="0.25">
      <c r="A81" s="12"/>
      <c r="B81" s="12"/>
      <c r="C81" s="87" t="str" cm="1">
        <f t="array" ref="C81">IFERROR(INDEX(Tb_KostenOpties[],MATCH(B81,Tb_KostenOptiesDB[KostenOptie],0),IFERROR(MATCH(Methode_Keuze,Tb_KostenOptiesDB[#Headers],0),2)),"")</f>
        <v/>
      </c>
      <c r="D81" s="99">
        <f>IFERROR(INDEX(Tb_ProjectKosten[],MATCH($B81,Tb_ProjectKosten[Begroting],0),6),0)</f>
        <v>0</v>
      </c>
      <c r="E81" s="97">
        <f>SUMIFS('8. Uitgaven betaalverzoek'!$W:$W,'8. Uitgaven betaalverzoek'!$E:$E,$A81,'8. Uitgaven betaalverzoek'!$F:$F,$B81)</f>
        <v>0</v>
      </c>
      <c r="F81" s="97">
        <f>SUMIFS('8. Uitgaven betaalverzoek'!$X:$X,'8. Uitgaven betaalverzoek'!$E:$E,$A81,'8. Uitgaven betaalverzoek'!$F:$F,$B81)</f>
        <v>0</v>
      </c>
      <c r="G81" s="97" t="str">
        <f>IF(C81&lt;&gt;"",SUMIFS('8. Uitgaven betaalverzoek'!$Z:$Z,'8. Uitgaven betaalverzoek'!$E:$E,$A81,'8. Uitgaven betaalverzoek'!$F:$F,$B81),"")</f>
        <v/>
      </c>
      <c r="H81" s="97" t="str">
        <f>IF(C81&lt;&gt;"",SUMIFS('8. Uitgaven betaalverzoek'!$AA:$AA,'8. Uitgaven betaalverzoek'!$E:$E,$A81,'8. Uitgaven betaalverzoek'!$F:$F,$B81),"")</f>
        <v/>
      </c>
      <c r="I81" s="99" t="str">
        <f>IFERROR(VLOOKUP(A81,Lijsten!$AK:$AL,2,0),"")</f>
        <v/>
      </c>
      <c r="J81" s="97">
        <f t="shared" si="9"/>
        <v>0</v>
      </c>
      <c r="K81" s="97">
        <f t="shared" si="9"/>
        <v>0</v>
      </c>
      <c r="L81" s="97">
        <f>SUMIFS('8. Uitgaven betaalverzoek'!$W:$W,'8. Uitgaven betaalverzoek'!$E:$E,$A81,'8. Uitgaven betaalverzoek'!$F:$F,$B81,'8. Uitgaven betaalverzoek'!$A:$A,Keuze_DB_Nr)</f>
        <v>0</v>
      </c>
      <c r="M81" s="97">
        <f>SUMIFS('8. Uitgaven betaalverzoek'!$X:$X,'8. Uitgaven betaalverzoek'!$E:$E,$A81,'8. Uitgaven betaalverzoek'!$F:$F,$B81,'8. Uitgaven betaalverzoek'!$A:$A,Keuze_DB_Nr)</f>
        <v>0</v>
      </c>
      <c r="N81" s="97" t="str">
        <f>IF($C81&lt;&gt;"",SUMIFS('8. Uitgaven betaalverzoek'!$Z:$Z,'8. Uitgaven betaalverzoek'!$E:$E,$A81,'8. Uitgaven betaalverzoek'!$F:$F,$B81,'8. Uitgaven betaalverzoek'!$A:$A,Keuze_DB_Nr),"")</f>
        <v/>
      </c>
      <c r="O81" s="97" t="str">
        <f>IF($C81&lt;&gt;"",SUMIFS('8. Uitgaven betaalverzoek'!$AA:$AA,'8. Uitgaven betaalverzoek'!$E:$E,$A81,'8. Uitgaven betaalverzoek'!$F:$F,$B81,'8. Uitgaven betaalverzoek'!$A:$A,Keuze_DB_Nr),"")</f>
        <v/>
      </c>
      <c r="P81" s="97">
        <f t="shared" si="10"/>
        <v>0</v>
      </c>
      <c r="Q81" s="97">
        <f t="shared" si="11"/>
        <v>0</v>
      </c>
      <c r="R81" s="97">
        <f>SUMIFS('8. Uitgaven betaalverzoek'!$W:$W,'8. Uitgaven betaalverzoek'!$E:$E,$A81,'8. Uitgaven betaalverzoek'!$F:$F,$B81,'8. Uitgaven betaalverzoek'!$A:$A,Keuze_DB_Nr_BEO)</f>
        <v>0</v>
      </c>
      <c r="S81" s="97">
        <f>SUMIFS('8. Uitgaven betaalverzoek'!$X:$X,'8. Uitgaven betaalverzoek'!$E:$E,$A81,'8. Uitgaven betaalverzoek'!$F:$F,$B81,'8. Uitgaven betaalverzoek'!$A:$A,Keuze_DB_Nr_BEO)</f>
        <v>0</v>
      </c>
      <c r="T81" s="97" t="str">
        <f>IF($C81&lt;&gt;"",SUMIFS('8. Uitgaven betaalverzoek'!$Z:$Z,'8. Uitgaven betaalverzoek'!$E:$E,$A81,'8. Uitgaven betaalverzoek'!$F:$F,$B81,'8. Uitgaven betaalverzoek'!$A:$A,Keuze_DB_Nr_BEO),"")</f>
        <v/>
      </c>
      <c r="U81" s="97" t="str">
        <f>IF($C81&lt;&gt;"",SUMIFS('8. Uitgaven betaalverzoek'!$AA:$AA,'8. Uitgaven betaalverzoek'!$E:$E,$A81,'8. Uitgaven betaalverzoek'!$F:$F,$B81,'8. Uitgaven betaalverzoek'!$A:$A,Keuze_DB_Nr_BEO),"")</f>
        <v/>
      </c>
      <c r="V81" s="97">
        <f t="shared" si="7"/>
        <v>0</v>
      </c>
      <c r="W81" s="97">
        <f t="shared" si="8"/>
        <v>0</v>
      </c>
    </row>
    <row r="82" spans="1:23" x14ac:dyDescent="0.25">
      <c r="A82" s="63"/>
      <c r="B82" s="63"/>
      <c r="C82" s="86" t="str" cm="1">
        <f t="array" ref="C82">IFERROR(INDEX(Tb_KostenOpties[],MATCH(B82,Tb_KostenOptiesDB[KostenOptie],0),IFERROR(MATCH(Methode_Keuze,Tb_KostenOptiesDB[#Headers],0),2)),"")</f>
        <v/>
      </c>
      <c r="D82" s="98">
        <f>IFERROR(INDEX(Tb_ProjectKosten[],MATCH($B82,Tb_ProjectKosten[Begroting],0),6),0)</f>
        <v>0</v>
      </c>
      <c r="E82" s="96">
        <f>SUMIFS('8. Uitgaven betaalverzoek'!$W:$W,'8. Uitgaven betaalverzoek'!$E:$E,$A82,'8. Uitgaven betaalverzoek'!$F:$F,$B82)</f>
        <v>0</v>
      </c>
      <c r="F82" s="96">
        <f>SUMIFS('8. Uitgaven betaalverzoek'!$X:$X,'8. Uitgaven betaalverzoek'!$E:$E,$A82,'8. Uitgaven betaalverzoek'!$F:$F,$B82)</f>
        <v>0</v>
      </c>
      <c r="G82" s="96" t="str">
        <f>IF(C82&lt;&gt;"",SUMIFS('8. Uitgaven betaalverzoek'!$Z:$Z,'8. Uitgaven betaalverzoek'!$E:$E,$A82,'8. Uitgaven betaalverzoek'!$F:$F,$B82),"")</f>
        <v/>
      </c>
      <c r="H82" s="96" t="str">
        <f>IF(C82&lt;&gt;"",SUMIFS('8. Uitgaven betaalverzoek'!$AA:$AA,'8. Uitgaven betaalverzoek'!$E:$E,$A82,'8. Uitgaven betaalverzoek'!$F:$F,$B82),"")</f>
        <v/>
      </c>
      <c r="I82" s="98" t="str">
        <f>IFERROR(VLOOKUP(A82,Lijsten!$AK:$AL,2,0),"")</f>
        <v/>
      </c>
      <c r="J82" s="96">
        <f t="shared" si="9"/>
        <v>0</v>
      </c>
      <c r="K82" s="96">
        <f t="shared" si="9"/>
        <v>0</v>
      </c>
      <c r="L82" s="96">
        <f>SUMIFS('8. Uitgaven betaalverzoek'!$W:$W,'8. Uitgaven betaalverzoek'!$E:$E,$A82,'8. Uitgaven betaalverzoek'!$F:$F,$B82,'8. Uitgaven betaalverzoek'!$A:$A,Keuze_DB_Nr)</f>
        <v>0</v>
      </c>
      <c r="M82" s="96">
        <f>SUMIFS('8. Uitgaven betaalverzoek'!$X:$X,'8. Uitgaven betaalverzoek'!$E:$E,$A82,'8. Uitgaven betaalverzoek'!$F:$F,$B82,'8. Uitgaven betaalverzoek'!$A:$A,Keuze_DB_Nr)</f>
        <v>0</v>
      </c>
      <c r="N82" s="96" t="str">
        <f>IF($C82&lt;&gt;"",SUMIFS('8. Uitgaven betaalverzoek'!$Z:$Z,'8. Uitgaven betaalverzoek'!$E:$E,$A82,'8. Uitgaven betaalverzoek'!$F:$F,$B82,'8. Uitgaven betaalverzoek'!$A:$A,Keuze_DB_Nr),"")</f>
        <v/>
      </c>
      <c r="O82" s="96" t="str">
        <f>IF($C82&lt;&gt;"",SUMIFS('8. Uitgaven betaalverzoek'!$AA:$AA,'8. Uitgaven betaalverzoek'!$E:$E,$A82,'8. Uitgaven betaalverzoek'!$F:$F,$B82,'8. Uitgaven betaalverzoek'!$A:$A,Keuze_DB_Nr),"")</f>
        <v/>
      </c>
      <c r="P82" s="96">
        <f t="shared" si="10"/>
        <v>0</v>
      </c>
      <c r="Q82" s="96">
        <f t="shared" si="11"/>
        <v>0</v>
      </c>
      <c r="R82" s="96">
        <f>SUMIFS('8. Uitgaven betaalverzoek'!$W:$W,'8. Uitgaven betaalverzoek'!$E:$E,$A82,'8. Uitgaven betaalverzoek'!$F:$F,$B82,'8. Uitgaven betaalverzoek'!$A:$A,Keuze_DB_Nr_BEO)</f>
        <v>0</v>
      </c>
      <c r="S82" s="96">
        <f>SUMIFS('8. Uitgaven betaalverzoek'!$X:$X,'8. Uitgaven betaalverzoek'!$E:$E,$A82,'8. Uitgaven betaalverzoek'!$F:$F,$B82,'8. Uitgaven betaalverzoek'!$A:$A,Keuze_DB_Nr_BEO)</f>
        <v>0</v>
      </c>
      <c r="T82" s="96" t="str">
        <f>IF($C82&lt;&gt;"",SUMIFS('8. Uitgaven betaalverzoek'!$Z:$Z,'8. Uitgaven betaalverzoek'!$E:$E,$A82,'8. Uitgaven betaalverzoek'!$F:$F,$B82,'8. Uitgaven betaalverzoek'!$A:$A,Keuze_DB_Nr_BEO),"")</f>
        <v/>
      </c>
      <c r="U82" s="96" t="str">
        <f>IF($C82&lt;&gt;"",SUMIFS('8. Uitgaven betaalverzoek'!$AA:$AA,'8. Uitgaven betaalverzoek'!$E:$E,$A82,'8. Uitgaven betaalverzoek'!$F:$F,$B82,'8. Uitgaven betaalverzoek'!$A:$A,Keuze_DB_Nr_BEO),"")</f>
        <v/>
      </c>
      <c r="V82" s="96">
        <f t="shared" si="7"/>
        <v>0</v>
      </c>
      <c r="W82" s="96">
        <f t="shared" si="8"/>
        <v>0</v>
      </c>
    </row>
    <row r="83" spans="1:23" x14ac:dyDescent="0.25">
      <c r="A83" s="12"/>
      <c r="B83" s="12"/>
      <c r="C83" s="87" t="str" cm="1">
        <f t="array" ref="C83">IFERROR(INDEX(Tb_KostenOpties[],MATCH(B83,Tb_KostenOptiesDB[KostenOptie],0),IFERROR(MATCH(Methode_Keuze,Tb_KostenOptiesDB[#Headers],0),2)),"")</f>
        <v/>
      </c>
      <c r="D83" s="99">
        <f>IFERROR(INDEX(Tb_ProjectKosten[],MATCH($B83,Tb_ProjectKosten[Begroting],0),6),0)</f>
        <v>0</v>
      </c>
      <c r="E83" s="97">
        <f>SUMIFS('8. Uitgaven betaalverzoek'!$W:$W,'8. Uitgaven betaalverzoek'!$E:$E,$A83,'8. Uitgaven betaalverzoek'!$F:$F,$B83)</f>
        <v>0</v>
      </c>
      <c r="F83" s="97">
        <f>SUMIFS('8. Uitgaven betaalverzoek'!$X:$X,'8. Uitgaven betaalverzoek'!$E:$E,$A83,'8. Uitgaven betaalverzoek'!$F:$F,$B83)</f>
        <v>0</v>
      </c>
      <c r="G83" s="97" t="str">
        <f>IF(C83&lt;&gt;"",SUMIFS('8. Uitgaven betaalverzoek'!$Z:$Z,'8. Uitgaven betaalverzoek'!$E:$E,$A83,'8. Uitgaven betaalverzoek'!$F:$F,$B83),"")</f>
        <v/>
      </c>
      <c r="H83" s="97" t="str">
        <f>IF(C83&lt;&gt;"",SUMIFS('8. Uitgaven betaalverzoek'!$AA:$AA,'8. Uitgaven betaalverzoek'!$E:$E,$A83,'8. Uitgaven betaalverzoek'!$F:$F,$B83),"")</f>
        <v/>
      </c>
      <c r="I83" s="99" t="str">
        <f>IFERROR(VLOOKUP(A83,Lijsten!$AK:$AL,2,0),"")</f>
        <v/>
      </c>
      <c r="J83" s="97">
        <f t="shared" si="9"/>
        <v>0</v>
      </c>
      <c r="K83" s="97">
        <f t="shared" si="9"/>
        <v>0</v>
      </c>
      <c r="L83" s="97">
        <f>SUMIFS('8. Uitgaven betaalverzoek'!$W:$W,'8. Uitgaven betaalverzoek'!$E:$E,$A83,'8. Uitgaven betaalverzoek'!$F:$F,$B83,'8. Uitgaven betaalverzoek'!$A:$A,Keuze_DB_Nr)</f>
        <v>0</v>
      </c>
      <c r="M83" s="97">
        <f>SUMIFS('8. Uitgaven betaalverzoek'!$X:$X,'8. Uitgaven betaalverzoek'!$E:$E,$A83,'8. Uitgaven betaalverzoek'!$F:$F,$B83,'8. Uitgaven betaalverzoek'!$A:$A,Keuze_DB_Nr)</f>
        <v>0</v>
      </c>
      <c r="N83" s="97" t="str">
        <f>IF($C83&lt;&gt;"",SUMIFS('8. Uitgaven betaalverzoek'!$Z:$Z,'8. Uitgaven betaalverzoek'!$E:$E,$A83,'8. Uitgaven betaalverzoek'!$F:$F,$B83,'8. Uitgaven betaalverzoek'!$A:$A,Keuze_DB_Nr),"")</f>
        <v/>
      </c>
      <c r="O83" s="97" t="str">
        <f>IF($C83&lt;&gt;"",SUMIFS('8. Uitgaven betaalverzoek'!$AA:$AA,'8. Uitgaven betaalverzoek'!$E:$E,$A83,'8. Uitgaven betaalverzoek'!$F:$F,$B83,'8. Uitgaven betaalverzoek'!$A:$A,Keuze_DB_Nr),"")</f>
        <v/>
      </c>
      <c r="P83" s="97">
        <f t="shared" si="10"/>
        <v>0</v>
      </c>
      <c r="Q83" s="97">
        <f t="shared" si="11"/>
        <v>0</v>
      </c>
      <c r="R83" s="97">
        <f>SUMIFS('8. Uitgaven betaalverzoek'!$W:$W,'8. Uitgaven betaalverzoek'!$E:$E,$A83,'8. Uitgaven betaalverzoek'!$F:$F,$B83,'8. Uitgaven betaalverzoek'!$A:$A,Keuze_DB_Nr_BEO)</f>
        <v>0</v>
      </c>
      <c r="S83" s="97">
        <f>SUMIFS('8. Uitgaven betaalverzoek'!$X:$X,'8. Uitgaven betaalverzoek'!$E:$E,$A83,'8. Uitgaven betaalverzoek'!$F:$F,$B83,'8. Uitgaven betaalverzoek'!$A:$A,Keuze_DB_Nr_BEO)</f>
        <v>0</v>
      </c>
      <c r="T83" s="97" t="str">
        <f>IF($C83&lt;&gt;"",SUMIFS('8. Uitgaven betaalverzoek'!$Z:$Z,'8. Uitgaven betaalverzoek'!$E:$E,$A83,'8. Uitgaven betaalverzoek'!$F:$F,$B83,'8. Uitgaven betaalverzoek'!$A:$A,Keuze_DB_Nr_BEO),"")</f>
        <v/>
      </c>
      <c r="U83" s="97" t="str">
        <f>IF($C83&lt;&gt;"",SUMIFS('8. Uitgaven betaalverzoek'!$AA:$AA,'8. Uitgaven betaalverzoek'!$E:$E,$A83,'8. Uitgaven betaalverzoek'!$F:$F,$B83,'8. Uitgaven betaalverzoek'!$A:$A,Keuze_DB_Nr_BEO),"")</f>
        <v/>
      </c>
      <c r="V83" s="97">
        <f t="shared" si="7"/>
        <v>0</v>
      </c>
      <c r="W83" s="97">
        <f t="shared" si="8"/>
        <v>0</v>
      </c>
    </row>
    <row r="84" spans="1:23" x14ac:dyDescent="0.25">
      <c r="A84" s="63"/>
      <c r="B84" s="63"/>
      <c r="C84" s="86" t="str" cm="1">
        <f t="array" ref="C84">IFERROR(INDEX(Tb_KostenOpties[],MATCH(B84,Tb_KostenOptiesDB[KostenOptie],0),IFERROR(MATCH(Methode_Keuze,Tb_KostenOptiesDB[#Headers],0),2)),"")</f>
        <v/>
      </c>
      <c r="D84" s="98">
        <f>IFERROR(INDEX(Tb_ProjectKosten[],MATCH($B84,Tb_ProjectKosten[Begroting],0),6),0)</f>
        <v>0</v>
      </c>
      <c r="E84" s="96">
        <f>SUMIFS('8. Uitgaven betaalverzoek'!$W:$W,'8. Uitgaven betaalverzoek'!$E:$E,$A84,'8. Uitgaven betaalverzoek'!$F:$F,$B84)</f>
        <v>0</v>
      </c>
      <c r="F84" s="96">
        <f>SUMIFS('8. Uitgaven betaalverzoek'!$X:$X,'8. Uitgaven betaalverzoek'!$E:$E,$A84,'8. Uitgaven betaalverzoek'!$F:$F,$B84)</f>
        <v>0</v>
      </c>
      <c r="G84" s="96" t="str">
        <f>IF(C84&lt;&gt;"",SUMIFS('8. Uitgaven betaalverzoek'!$Z:$Z,'8. Uitgaven betaalverzoek'!$E:$E,$A84,'8. Uitgaven betaalverzoek'!$F:$F,$B84),"")</f>
        <v/>
      </c>
      <c r="H84" s="96" t="str">
        <f>IF(C84&lt;&gt;"",SUMIFS('8. Uitgaven betaalverzoek'!$AA:$AA,'8. Uitgaven betaalverzoek'!$E:$E,$A84,'8. Uitgaven betaalverzoek'!$F:$F,$B84),"")</f>
        <v/>
      </c>
      <c r="I84" s="98" t="str">
        <f>IFERROR(VLOOKUP(A84,Lijsten!$AK:$AL,2,0),"")</f>
        <v/>
      </c>
      <c r="J84" s="96">
        <f t="shared" si="9"/>
        <v>0</v>
      </c>
      <c r="K84" s="96">
        <f t="shared" si="9"/>
        <v>0</v>
      </c>
      <c r="L84" s="96">
        <f>SUMIFS('8. Uitgaven betaalverzoek'!$W:$W,'8. Uitgaven betaalverzoek'!$E:$E,$A84,'8. Uitgaven betaalverzoek'!$F:$F,$B84,'8. Uitgaven betaalverzoek'!$A:$A,Keuze_DB_Nr)</f>
        <v>0</v>
      </c>
      <c r="M84" s="96">
        <f>SUMIFS('8. Uitgaven betaalverzoek'!$X:$X,'8. Uitgaven betaalverzoek'!$E:$E,$A84,'8. Uitgaven betaalverzoek'!$F:$F,$B84,'8. Uitgaven betaalverzoek'!$A:$A,Keuze_DB_Nr)</f>
        <v>0</v>
      </c>
      <c r="N84" s="96" t="str">
        <f>IF($C84&lt;&gt;"",SUMIFS('8. Uitgaven betaalverzoek'!$Z:$Z,'8. Uitgaven betaalverzoek'!$E:$E,$A84,'8. Uitgaven betaalverzoek'!$F:$F,$B84,'8. Uitgaven betaalverzoek'!$A:$A,Keuze_DB_Nr),"")</f>
        <v/>
      </c>
      <c r="O84" s="96" t="str">
        <f>IF($C84&lt;&gt;"",SUMIFS('8. Uitgaven betaalverzoek'!$AA:$AA,'8. Uitgaven betaalverzoek'!$E:$E,$A84,'8. Uitgaven betaalverzoek'!$F:$F,$B84,'8. Uitgaven betaalverzoek'!$A:$A,Keuze_DB_Nr),"")</f>
        <v/>
      </c>
      <c r="P84" s="96">
        <f t="shared" si="10"/>
        <v>0</v>
      </c>
      <c r="Q84" s="96">
        <f t="shared" si="11"/>
        <v>0</v>
      </c>
      <c r="R84" s="96">
        <f>SUMIFS('8. Uitgaven betaalverzoek'!$W:$W,'8. Uitgaven betaalverzoek'!$E:$E,$A84,'8. Uitgaven betaalverzoek'!$F:$F,$B84,'8. Uitgaven betaalverzoek'!$A:$A,Keuze_DB_Nr_BEO)</f>
        <v>0</v>
      </c>
      <c r="S84" s="96">
        <f>SUMIFS('8. Uitgaven betaalverzoek'!$X:$X,'8. Uitgaven betaalverzoek'!$E:$E,$A84,'8. Uitgaven betaalverzoek'!$F:$F,$B84,'8. Uitgaven betaalverzoek'!$A:$A,Keuze_DB_Nr_BEO)</f>
        <v>0</v>
      </c>
      <c r="T84" s="96" t="str">
        <f>IF($C84&lt;&gt;"",SUMIFS('8. Uitgaven betaalverzoek'!$Z:$Z,'8. Uitgaven betaalverzoek'!$E:$E,$A84,'8. Uitgaven betaalverzoek'!$F:$F,$B84,'8. Uitgaven betaalverzoek'!$A:$A,Keuze_DB_Nr_BEO),"")</f>
        <v/>
      </c>
      <c r="U84" s="96" t="str">
        <f>IF($C84&lt;&gt;"",SUMIFS('8. Uitgaven betaalverzoek'!$AA:$AA,'8. Uitgaven betaalverzoek'!$E:$E,$A84,'8. Uitgaven betaalverzoek'!$F:$F,$B84,'8. Uitgaven betaalverzoek'!$A:$A,Keuze_DB_Nr_BEO),"")</f>
        <v/>
      </c>
      <c r="V84" s="96">
        <f t="shared" si="7"/>
        <v>0</v>
      </c>
      <c r="W84" s="96">
        <f t="shared" si="8"/>
        <v>0</v>
      </c>
    </row>
    <row r="85" spans="1:23" x14ac:dyDescent="0.25">
      <c r="A85" s="12"/>
      <c r="B85" s="12"/>
      <c r="C85" s="87" t="str" cm="1">
        <f t="array" ref="C85">IFERROR(INDEX(Tb_KostenOpties[],MATCH(B85,Tb_KostenOptiesDB[KostenOptie],0),IFERROR(MATCH(Methode_Keuze,Tb_KostenOptiesDB[#Headers],0),2)),"")</f>
        <v/>
      </c>
      <c r="D85" s="99">
        <f>IFERROR(INDEX(Tb_ProjectKosten[],MATCH($B85,Tb_ProjectKosten[Begroting],0),6),0)</f>
        <v>0</v>
      </c>
      <c r="E85" s="97">
        <f>SUMIFS('8. Uitgaven betaalverzoek'!$W:$W,'8. Uitgaven betaalverzoek'!$E:$E,$A85,'8. Uitgaven betaalverzoek'!$F:$F,$B85)</f>
        <v>0</v>
      </c>
      <c r="F85" s="97">
        <f>SUMIFS('8. Uitgaven betaalverzoek'!$X:$X,'8. Uitgaven betaalverzoek'!$E:$E,$A85,'8. Uitgaven betaalverzoek'!$F:$F,$B85)</f>
        <v>0</v>
      </c>
      <c r="G85" s="97" t="str">
        <f>IF(C85&lt;&gt;"",SUMIFS('8. Uitgaven betaalverzoek'!$Z:$Z,'8. Uitgaven betaalverzoek'!$E:$E,$A85,'8. Uitgaven betaalverzoek'!$F:$F,$B85),"")</f>
        <v/>
      </c>
      <c r="H85" s="97" t="str">
        <f>IF(C85&lt;&gt;"",SUMIFS('8. Uitgaven betaalverzoek'!$AA:$AA,'8. Uitgaven betaalverzoek'!$E:$E,$A85,'8. Uitgaven betaalverzoek'!$F:$F,$B85),"")</f>
        <v/>
      </c>
      <c r="I85" s="99" t="str">
        <f>IFERROR(VLOOKUP(A85,Lijsten!$AK:$AL,2,0),"")</f>
        <v/>
      </c>
      <c r="J85" s="97">
        <f t="shared" si="9"/>
        <v>0</v>
      </c>
      <c r="K85" s="97">
        <f t="shared" si="9"/>
        <v>0</v>
      </c>
      <c r="L85" s="97">
        <f>SUMIFS('8. Uitgaven betaalverzoek'!$W:$W,'8. Uitgaven betaalverzoek'!$E:$E,$A85,'8. Uitgaven betaalverzoek'!$F:$F,$B85,'8. Uitgaven betaalverzoek'!$A:$A,Keuze_DB_Nr)</f>
        <v>0</v>
      </c>
      <c r="M85" s="97">
        <f>SUMIFS('8. Uitgaven betaalverzoek'!$X:$X,'8. Uitgaven betaalverzoek'!$E:$E,$A85,'8. Uitgaven betaalverzoek'!$F:$F,$B85,'8. Uitgaven betaalverzoek'!$A:$A,Keuze_DB_Nr)</f>
        <v>0</v>
      </c>
      <c r="N85" s="97" t="str">
        <f>IF($C85&lt;&gt;"",SUMIFS('8. Uitgaven betaalverzoek'!$Z:$Z,'8. Uitgaven betaalverzoek'!$E:$E,$A85,'8. Uitgaven betaalverzoek'!$F:$F,$B85,'8. Uitgaven betaalverzoek'!$A:$A,Keuze_DB_Nr),"")</f>
        <v/>
      </c>
      <c r="O85" s="97" t="str">
        <f>IF($C85&lt;&gt;"",SUMIFS('8. Uitgaven betaalverzoek'!$AA:$AA,'8. Uitgaven betaalverzoek'!$E:$E,$A85,'8. Uitgaven betaalverzoek'!$F:$F,$B85,'8. Uitgaven betaalverzoek'!$A:$A,Keuze_DB_Nr),"")</f>
        <v/>
      </c>
      <c r="P85" s="97">
        <f t="shared" si="10"/>
        <v>0</v>
      </c>
      <c r="Q85" s="97">
        <f t="shared" si="11"/>
        <v>0</v>
      </c>
      <c r="R85" s="97">
        <f>SUMIFS('8. Uitgaven betaalverzoek'!$W:$W,'8. Uitgaven betaalverzoek'!$E:$E,$A85,'8. Uitgaven betaalverzoek'!$F:$F,$B85,'8. Uitgaven betaalverzoek'!$A:$A,Keuze_DB_Nr_BEO)</f>
        <v>0</v>
      </c>
      <c r="S85" s="97">
        <f>SUMIFS('8. Uitgaven betaalverzoek'!$X:$X,'8. Uitgaven betaalverzoek'!$E:$E,$A85,'8. Uitgaven betaalverzoek'!$F:$F,$B85,'8. Uitgaven betaalverzoek'!$A:$A,Keuze_DB_Nr_BEO)</f>
        <v>0</v>
      </c>
      <c r="T85" s="97" t="str">
        <f>IF($C85&lt;&gt;"",SUMIFS('8. Uitgaven betaalverzoek'!$Z:$Z,'8. Uitgaven betaalverzoek'!$E:$E,$A85,'8. Uitgaven betaalverzoek'!$F:$F,$B85,'8. Uitgaven betaalverzoek'!$A:$A,Keuze_DB_Nr_BEO),"")</f>
        <v/>
      </c>
      <c r="U85" s="97" t="str">
        <f>IF($C85&lt;&gt;"",SUMIFS('8. Uitgaven betaalverzoek'!$AA:$AA,'8. Uitgaven betaalverzoek'!$E:$E,$A85,'8. Uitgaven betaalverzoek'!$F:$F,$B85,'8. Uitgaven betaalverzoek'!$A:$A,Keuze_DB_Nr_BEO),"")</f>
        <v/>
      </c>
      <c r="V85" s="97">
        <f t="shared" si="7"/>
        <v>0</v>
      </c>
      <c r="W85" s="97">
        <f t="shared" si="8"/>
        <v>0</v>
      </c>
    </row>
    <row r="86" spans="1:23" x14ac:dyDescent="0.25">
      <c r="A86" s="63"/>
      <c r="B86" s="63"/>
      <c r="C86" s="86" t="str" cm="1">
        <f t="array" ref="C86">IFERROR(INDEX(Tb_KostenOpties[],MATCH(B86,Tb_KostenOptiesDB[KostenOptie],0),IFERROR(MATCH(Methode_Keuze,Tb_KostenOptiesDB[#Headers],0),2)),"")</f>
        <v/>
      </c>
      <c r="D86" s="98">
        <f>IFERROR(INDEX(Tb_ProjectKosten[],MATCH($B86,Tb_ProjectKosten[Begroting],0),6),0)</f>
        <v>0</v>
      </c>
      <c r="E86" s="96">
        <f>SUMIFS('8. Uitgaven betaalverzoek'!$W:$W,'8. Uitgaven betaalverzoek'!$E:$E,$A86,'8. Uitgaven betaalverzoek'!$F:$F,$B86)</f>
        <v>0</v>
      </c>
      <c r="F86" s="96">
        <f>SUMIFS('8. Uitgaven betaalverzoek'!$X:$X,'8. Uitgaven betaalverzoek'!$E:$E,$A86,'8. Uitgaven betaalverzoek'!$F:$F,$B86)</f>
        <v>0</v>
      </c>
      <c r="G86" s="96" t="str">
        <f>IF(C86&lt;&gt;"",SUMIFS('8. Uitgaven betaalverzoek'!$Z:$Z,'8. Uitgaven betaalverzoek'!$E:$E,$A86,'8. Uitgaven betaalverzoek'!$F:$F,$B86),"")</f>
        <v/>
      </c>
      <c r="H86" s="96" t="str">
        <f>IF(C86&lt;&gt;"",SUMIFS('8. Uitgaven betaalverzoek'!$AA:$AA,'8. Uitgaven betaalverzoek'!$E:$E,$A86,'8. Uitgaven betaalverzoek'!$F:$F,$B86),"")</f>
        <v/>
      </c>
      <c r="I86" s="98" t="str">
        <f>IFERROR(VLOOKUP(A86,Lijsten!$AK:$AL,2,0),"")</f>
        <v/>
      </c>
      <c r="J86" s="96">
        <f t="shared" si="9"/>
        <v>0</v>
      </c>
      <c r="K86" s="96">
        <f t="shared" si="9"/>
        <v>0</v>
      </c>
      <c r="L86" s="96">
        <f>SUMIFS('8. Uitgaven betaalverzoek'!$W:$W,'8. Uitgaven betaalverzoek'!$E:$E,$A86,'8. Uitgaven betaalverzoek'!$F:$F,$B86,'8. Uitgaven betaalverzoek'!$A:$A,Keuze_DB_Nr)</f>
        <v>0</v>
      </c>
      <c r="M86" s="96">
        <f>SUMIFS('8. Uitgaven betaalverzoek'!$X:$X,'8. Uitgaven betaalverzoek'!$E:$E,$A86,'8. Uitgaven betaalverzoek'!$F:$F,$B86,'8. Uitgaven betaalverzoek'!$A:$A,Keuze_DB_Nr)</f>
        <v>0</v>
      </c>
      <c r="N86" s="96" t="str">
        <f>IF($C86&lt;&gt;"",SUMIFS('8. Uitgaven betaalverzoek'!$Z:$Z,'8. Uitgaven betaalverzoek'!$E:$E,$A86,'8. Uitgaven betaalverzoek'!$F:$F,$B86,'8. Uitgaven betaalverzoek'!$A:$A,Keuze_DB_Nr),"")</f>
        <v/>
      </c>
      <c r="O86" s="96" t="str">
        <f>IF($C86&lt;&gt;"",SUMIFS('8. Uitgaven betaalverzoek'!$AA:$AA,'8. Uitgaven betaalverzoek'!$E:$E,$A86,'8. Uitgaven betaalverzoek'!$F:$F,$B86,'8. Uitgaven betaalverzoek'!$A:$A,Keuze_DB_Nr),"")</f>
        <v/>
      </c>
      <c r="P86" s="96">
        <f t="shared" si="10"/>
        <v>0</v>
      </c>
      <c r="Q86" s="96">
        <f t="shared" si="11"/>
        <v>0</v>
      </c>
      <c r="R86" s="96">
        <f>SUMIFS('8. Uitgaven betaalverzoek'!$W:$W,'8. Uitgaven betaalverzoek'!$E:$E,$A86,'8. Uitgaven betaalverzoek'!$F:$F,$B86,'8. Uitgaven betaalverzoek'!$A:$A,Keuze_DB_Nr_BEO)</f>
        <v>0</v>
      </c>
      <c r="S86" s="96">
        <f>SUMIFS('8. Uitgaven betaalverzoek'!$X:$X,'8. Uitgaven betaalverzoek'!$E:$E,$A86,'8. Uitgaven betaalverzoek'!$F:$F,$B86,'8. Uitgaven betaalverzoek'!$A:$A,Keuze_DB_Nr_BEO)</f>
        <v>0</v>
      </c>
      <c r="T86" s="96" t="str">
        <f>IF($C86&lt;&gt;"",SUMIFS('8. Uitgaven betaalverzoek'!$Z:$Z,'8. Uitgaven betaalverzoek'!$E:$E,$A86,'8. Uitgaven betaalverzoek'!$F:$F,$B86,'8. Uitgaven betaalverzoek'!$A:$A,Keuze_DB_Nr_BEO),"")</f>
        <v/>
      </c>
      <c r="U86" s="96" t="str">
        <f>IF($C86&lt;&gt;"",SUMIFS('8. Uitgaven betaalverzoek'!$AA:$AA,'8. Uitgaven betaalverzoek'!$E:$E,$A86,'8. Uitgaven betaalverzoek'!$F:$F,$B86,'8. Uitgaven betaalverzoek'!$A:$A,Keuze_DB_Nr_BEO),"")</f>
        <v/>
      </c>
      <c r="V86" s="96">
        <f t="shared" si="7"/>
        <v>0</v>
      </c>
      <c r="W86" s="96">
        <f t="shared" si="8"/>
        <v>0</v>
      </c>
    </row>
    <row r="87" spans="1:23" x14ac:dyDescent="0.25">
      <c r="A87" s="12"/>
      <c r="B87" s="12"/>
      <c r="C87" s="87" t="str" cm="1">
        <f t="array" ref="C87">IFERROR(INDEX(Tb_KostenOpties[],MATCH(B87,Tb_KostenOptiesDB[KostenOptie],0),IFERROR(MATCH(Methode_Keuze,Tb_KostenOptiesDB[#Headers],0),2)),"")</f>
        <v/>
      </c>
      <c r="D87" s="99">
        <f>IFERROR(INDEX(Tb_ProjectKosten[],MATCH($B87,Tb_ProjectKosten[Begroting],0),6),0)</f>
        <v>0</v>
      </c>
      <c r="E87" s="97">
        <f>SUMIFS('8. Uitgaven betaalverzoek'!$W:$W,'8. Uitgaven betaalverzoek'!$E:$E,$A87,'8. Uitgaven betaalverzoek'!$F:$F,$B87)</f>
        <v>0</v>
      </c>
      <c r="F87" s="97">
        <f>SUMIFS('8. Uitgaven betaalverzoek'!$X:$X,'8. Uitgaven betaalverzoek'!$E:$E,$A87,'8. Uitgaven betaalverzoek'!$F:$F,$B87)</f>
        <v>0</v>
      </c>
      <c r="G87" s="97" t="str">
        <f>IF(C87&lt;&gt;"",SUMIFS('8. Uitgaven betaalverzoek'!$Z:$Z,'8. Uitgaven betaalverzoek'!$E:$E,$A87,'8. Uitgaven betaalverzoek'!$F:$F,$B87),"")</f>
        <v/>
      </c>
      <c r="H87" s="97" t="str">
        <f>IF(C87&lt;&gt;"",SUMIFS('8. Uitgaven betaalverzoek'!$AA:$AA,'8. Uitgaven betaalverzoek'!$E:$E,$A87,'8. Uitgaven betaalverzoek'!$F:$F,$B87),"")</f>
        <v/>
      </c>
      <c r="I87" s="99" t="str">
        <f>IFERROR(VLOOKUP(A87,Lijsten!$AK:$AL,2,0),"")</f>
        <v/>
      </c>
      <c r="J87" s="97">
        <f t="shared" si="9"/>
        <v>0</v>
      </c>
      <c r="K87" s="97">
        <f t="shared" si="9"/>
        <v>0</v>
      </c>
      <c r="L87" s="97">
        <f>SUMIFS('8. Uitgaven betaalverzoek'!$W:$W,'8. Uitgaven betaalverzoek'!$E:$E,$A87,'8. Uitgaven betaalverzoek'!$F:$F,$B87,'8. Uitgaven betaalverzoek'!$A:$A,Keuze_DB_Nr)</f>
        <v>0</v>
      </c>
      <c r="M87" s="97">
        <f>SUMIFS('8. Uitgaven betaalverzoek'!$X:$X,'8. Uitgaven betaalverzoek'!$E:$E,$A87,'8. Uitgaven betaalverzoek'!$F:$F,$B87,'8. Uitgaven betaalverzoek'!$A:$A,Keuze_DB_Nr)</f>
        <v>0</v>
      </c>
      <c r="N87" s="97" t="str">
        <f>IF($C87&lt;&gt;"",SUMIFS('8. Uitgaven betaalverzoek'!$Z:$Z,'8. Uitgaven betaalverzoek'!$E:$E,$A87,'8. Uitgaven betaalverzoek'!$F:$F,$B87,'8. Uitgaven betaalverzoek'!$A:$A,Keuze_DB_Nr),"")</f>
        <v/>
      </c>
      <c r="O87" s="97" t="str">
        <f>IF($C87&lt;&gt;"",SUMIFS('8. Uitgaven betaalverzoek'!$AA:$AA,'8. Uitgaven betaalverzoek'!$E:$E,$A87,'8. Uitgaven betaalverzoek'!$F:$F,$B87,'8. Uitgaven betaalverzoek'!$A:$A,Keuze_DB_Nr),"")</f>
        <v/>
      </c>
      <c r="P87" s="97">
        <f t="shared" si="10"/>
        <v>0</v>
      </c>
      <c r="Q87" s="97">
        <f t="shared" si="11"/>
        <v>0</v>
      </c>
      <c r="R87" s="97">
        <f>SUMIFS('8. Uitgaven betaalverzoek'!$W:$W,'8. Uitgaven betaalverzoek'!$E:$E,$A87,'8. Uitgaven betaalverzoek'!$F:$F,$B87,'8. Uitgaven betaalverzoek'!$A:$A,Keuze_DB_Nr_BEO)</f>
        <v>0</v>
      </c>
      <c r="S87" s="97">
        <f>SUMIFS('8. Uitgaven betaalverzoek'!$X:$X,'8. Uitgaven betaalverzoek'!$E:$E,$A87,'8. Uitgaven betaalverzoek'!$F:$F,$B87,'8. Uitgaven betaalverzoek'!$A:$A,Keuze_DB_Nr_BEO)</f>
        <v>0</v>
      </c>
      <c r="T87" s="97" t="str">
        <f>IF($C87&lt;&gt;"",SUMIFS('8. Uitgaven betaalverzoek'!$Z:$Z,'8. Uitgaven betaalverzoek'!$E:$E,$A87,'8. Uitgaven betaalverzoek'!$F:$F,$B87,'8. Uitgaven betaalverzoek'!$A:$A,Keuze_DB_Nr_BEO),"")</f>
        <v/>
      </c>
      <c r="U87" s="97" t="str">
        <f>IF($C87&lt;&gt;"",SUMIFS('8. Uitgaven betaalverzoek'!$AA:$AA,'8. Uitgaven betaalverzoek'!$E:$E,$A87,'8. Uitgaven betaalverzoek'!$F:$F,$B87,'8. Uitgaven betaalverzoek'!$A:$A,Keuze_DB_Nr_BEO),"")</f>
        <v/>
      </c>
      <c r="V87" s="97">
        <f t="shared" si="7"/>
        <v>0</v>
      </c>
      <c r="W87" s="97">
        <f t="shared" si="8"/>
        <v>0</v>
      </c>
    </row>
    <row r="88" spans="1:23" x14ac:dyDescent="0.25">
      <c r="A88" s="63"/>
      <c r="B88" s="63"/>
      <c r="C88" s="86" t="str" cm="1">
        <f t="array" ref="C88">IFERROR(INDEX(Tb_KostenOpties[],MATCH(B88,Tb_KostenOptiesDB[KostenOptie],0),IFERROR(MATCH(Methode_Keuze,Tb_KostenOptiesDB[#Headers],0),2)),"")</f>
        <v/>
      </c>
      <c r="D88" s="98">
        <f>IFERROR(INDEX(Tb_ProjectKosten[],MATCH($B88,Tb_ProjectKosten[Begroting],0),6),0)</f>
        <v>0</v>
      </c>
      <c r="E88" s="96">
        <f>SUMIFS('8. Uitgaven betaalverzoek'!$W:$W,'8. Uitgaven betaalverzoek'!$E:$E,$A88,'8. Uitgaven betaalverzoek'!$F:$F,$B88)</f>
        <v>0</v>
      </c>
      <c r="F88" s="96">
        <f>SUMIFS('8. Uitgaven betaalverzoek'!$X:$X,'8. Uitgaven betaalverzoek'!$E:$E,$A88,'8. Uitgaven betaalverzoek'!$F:$F,$B88)</f>
        <v>0</v>
      </c>
      <c r="G88" s="96" t="str">
        <f>IF(C88&lt;&gt;"",SUMIFS('8. Uitgaven betaalverzoek'!$Z:$Z,'8. Uitgaven betaalverzoek'!$E:$E,$A88,'8. Uitgaven betaalverzoek'!$F:$F,$B88),"")</f>
        <v/>
      </c>
      <c r="H88" s="96" t="str">
        <f>IF(C88&lt;&gt;"",SUMIFS('8. Uitgaven betaalverzoek'!$AA:$AA,'8. Uitgaven betaalverzoek'!$E:$E,$A88,'8. Uitgaven betaalverzoek'!$F:$F,$B88),"")</f>
        <v/>
      </c>
      <c r="I88" s="98" t="str">
        <f>IFERROR(VLOOKUP(A88,Lijsten!$AK:$AL,2,0),"")</f>
        <v/>
      </c>
      <c r="J88" s="96">
        <f t="shared" si="9"/>
        <v>0</v>
      </c>
      <c r="K88" s="96">
        <f t="shared" si="9"/>
        <v>0</v>
      </c>
      <c r="L88" s="96">
        <f>SUMIFS('8. Uitgaven betaalverzoek'!$W:$W,'8. Uitgaven betaalverzoek'!$E:$E,$A88,'8. Uitgaven betaalverzoek'!$F:$F,$B88,'8. Uitgaven betaalverzoek'!$A:$A,Keuze_DB_Nr)</f>
        <v>0</v>
      </c>
      <c r="M88" s="96">
        <f>SUMIFS('8. Uitgaven betaalverzoek'!$X:$X,'8. Uitgaven betaalverzoek'!$E:$E,$A88,'8. Uitgaven betaalverzoek'!$F:$F,$B88,'8. Uitgaven betaalverzoek'!$A:$A,Keuze_DB_Nr)</f>
        <v>0</v>
      </c>
      <c r="N88" s="96" t="str">
        <f>IF($C88&lt;&gt;"",SUMIFS('8. Uitgaven betaalverzoek'!$Z:$Z,'8. Uitgaven betaalverzoek'!$E:$E,$A88,'8. Uitgaven betaalverzoek'!$F:$F,$B88,'8. Uitgaven betaalverzoek'!$A:$A,Keuze_DB_Nr),"")</f>
        <v/>
      </c>
      <c r="O88" s="96" t="str">
        <f>IF($C88&lt;&gt;"",SUMIFS('8. Uitgaven betaalverzoek'!$AA:$AA,'8. Uitgaven betaalverzoek'!$E:$E,$A88,'8. Uitgaven betaalverzoek'!$F:$F,$B88,'8. Uitgaven betaalverzoek'!$A:$A,Keuze_DB_Nr),"")</f>
        <v/>
      </c>
      <c r="P88" s="96">
        <f t="shared" si="10"/>
        <v>0</v>
      </c>
      <c r="Q88" s="96">
        <f t="shared" si="11"/>
        <v>0</v>
      </c>
      <c r="R88" s="96">
        <f>SUMIFS('8. Uitgaven betaalverzoek'!$W:$W,'8. Uitgaven betaalverzoek'!$E:$E,$A88,'8. Uitgaven betaalverzoek'!$F:$F,$B88,'8. Uitgaven betaalverzoek'!$A:$A,Keuze_DB_Nr_BEO)</f>
        <v>0</v>
      </c>
      <c r="S88" s="96">
        <f>SUMIFS('8. Uitgaven betaalverzoek'!$X:$X,'8. Uitgaven betaalverzoek'!$E:$E,$A88,'8. Uitgaven betaalverzoek'!$F:$F,$B88,'8. Uitgaven betaalverzoek'!$A:$A,Keuze_DB_Nr_BEO)</f>
        <v>0</v>
      </c>
      <c r="T88" s="96" t="str">
        <f>IF($C88&lt;&gt;"",SUMIFS('8. Uitgaven betaalverzoek'!$Z:$Z,'8. Uitgaven betaalverzoek'!$E:$E,$A88,'8. Uitgaven betaalverzoek'!$F:$F,$B88,'8. Uitgaven betaalverzoek'!$A:$A,Keuze_DB_Nr_BEO),"")</f>
        <v/>
      </c>
      <c r="U88" s="96" t="str">
        <f>IF($C88&lt;&gt;"",SUMIFS('8. Uitgaven betaalverzoek'!$AA:$AA,'8. Uitgaven betaalverzoek'!$E:$E,$A88,'8. Uitgaven betaalverzoek'!$F:$F,$B88,'8. Uitgaven betaalverzoek'!$A:$A,Keuze_DB_Nr_BEO),"")</f>
        <v/>
      </c>
      <c r="V88" s="96">
        <f t="shared" si="7"/>
        <v>0</v>
      </c>
      <c r="W88" s="96">
        <f t="shared" si="8"/>
        <v>0</v>
      </c>
    </row>
    <row r="89" spans="1:23" x14ac:dyDescent="0.25">
      <c r="A89" s="12"/>
      <c r="B89" s="12"/>
      <c r="C89" s="87" t="str" cm="1">
        <f t="array" ref="C89">IFERROR(INDEX(Tb_KostenOpties[],MATCH(B89,Tb_KostenOptiesDB[KostenOptie],0),IFERROR(MATCH(Methode_Keuze,Tb_KostenOptiesDB[#Headers],0),2)),"")</f>
        <v/>
      </c>
      <c r="D89" s="99">
        <f>IFERROR(INDEX(Tb_ProjectKosten[],MATCH($B89,Tb_ProjectKosten[Begroting],0),6),0)</f>
        <v>0</v>
      </c>
      <c r="E89" s="97">
        <f>SUMIFS('8. Uitgaven betaalverzoek'!$W:$W,'8. Uitgaven betaalverzoek'!$E:$E,$A89,'8. Uitgaven betaalverzoek'!$F:$F,$B89)</f>
        <v>0</v>
      </c>
      <c r="F89" s="97">
        <f>SUMIFS('8. Uitgaven betaalverzoek'!$X:$X,'8. Uitgaven betaalverzoek'!$E:$E,$A89,'8. Uitgaven betaalverzoek'!$F:$F,$B89)</f>
        <v>0</v>
      </c>
      <c r="G89" s="97" t="str">
        <f>IF(C89&lt;&gt;"",SUMIFS('8. Uitgaven betaalverzoek'!$Z:$Z,'8. Uitgaven betaalverzoek'!$E:$E,$A89,'8. Uitgaven betaalverzoek'!$F:$F,$B89),"")</f>
        <v/>
      </c>
      <c r="H89" s="97" t="str">
        <f>IF(C89&lt;&gt;"",SUMIFS('8. Uitgaven betaalverzoek'!$AA:$AA,'8. Uitgaven betaalverzoek'!$E:$E,$A89,'8. Uitgaven betaalverzoek'!$F:$F,$B89),"")</f>
        <v/>
      </c>
      <c r="I89" s="99" t="str">
        <f>IFERROR(VLOOKUP(A89,Lijsten!$AK:$AL,2,0),"")</f>
        <v/>
      </c>
      <c r="J89" s="97">
        <f t="shared" si="9"/>
        <v>0</v>
      </c>
      <c r="K89" s="97">
        <f t="shared" si="9"/>
        <v>0</v>
      </c>
      <c r="L89" s="97">
        <f>SUMIFS('8. Uitgaven betaalverzoek'!$W:$W,'8. Uitgaven betaalverzoek'!$E:$E,$A89,'8. Uitgaven betaalverzoek'!$F:$F,$B89,'8. Uitgaven betaalverzoek'!$A:$A,Keuze_DB_Nr)</f>
        <v>0</v>
      </c>
      <c r="M89" s="97">
        <f>SUMIFS('8. Uitgaven betaalverzoek'!$X:$X,'8. Uitgaven betaalverzoek'!$E:$E,$A89,'8. Uitgaven betaalverzoek'!$F:$F,$B89,'8. Uitgaven betaalverzoek'!$A:$A,Keuze_DB_Nr)</f>
        <v>0</v>
      </c>
      <c r="N89" s="97" t="str">
        <f>IF($C89&lt;&gt;"",SUMIFS('8. Uitgaven betaalverzoek'!$Z:$Z,'8. Uitgaven betaalverzoek'!$E:$E,$A89,'8. Uitgaven betaalverzoek'!$F:$F,$B89,'8. Uitgaven betaalverzoek'!$A:$A,Keuze_DB_Nr),"")</f>
        <v/>
      </c>
      <c r="O89" s="97" t="str">
        <f>IF($C89&lt;&gt;"",SUMIFS('8. Uitgaven betaalverzoek'!$AA:$AA,'8. Uitgaven betaalverzoek'!$E:$E,$A89,'8. Uitgaven betaalverzoek'!$F:$F,$B89,'8. Uitgaven betaalverzoek'!$A:$A,Keuze_DB_Nr),"")</f>
        <v/>
      </c>
      <c r="P89" s="97">
        <f t="shared" si="10"/>
        <v>0</v>
      </c>
      <c r="Q89" s="97">
        <f t="shared" si="11"/>
        <v>0</v>
      </c>
      <c r="R89" s="97">
        <f>SUMIFS('8. Uitgaven betaalverzoek'!$W:$W,'8. Uitgaven betaalverzoek'!$E:$E,$A89,'8. Uitgaven betaalverzoek'!$F:$F,$B89,'8. Uitgaven betaalverzoek'!$A:$A,Keuze_DB_Nr_BEO)</f>
        <v>0</v>
      </c>
      <c r="S89" s="97">
        <f>SUMIFS('8. Uitgaven betaalverzoek'!$X:$X,'8. Uitgaven betaalverzoek'!$E:$E,$A89,'8. Uitgaven betaalverzoek'!$F:$F,$B89,'8. Uitgaven betaalverzoek'!$A:$A,Keuze_DB_Nr_BEO)</f>
        <v>0</v>
      </c>
      <c r="T89" s="97" t="str">
        <f>IF($C89&lt;&gt;"",SUMIFS('8. Uitgaven betaalverzoek'!$Z:$Z,'8. Uitgaven betaalverzoek'!$E:$E,$A89,'8. Uitgaven betaalverzoek'!$F:$F,$B89,'8. Uitgaven betaalverzoek'!$A:$A,Keuze_DB_Nr_BEO),"")</f>
        <v/>
      </c>
      <c r="U89" s="97" t="str">
        <f>IF($C89&lt;&gt;"",SUMIFS('8. Uitgaven betaalverzoek'!$AA:$AA,'8. Uitgaven betaalverzoek'!$E:$E,$A89,'8. Uitgaven betaalverzoek'!$F:$F,$B89,'8. Uitgaven betaalverzoek'!$A:$A,Keuze_DB_Nr_BEO),"")</f>
        <v/>
      </c>
      <c r="V89" s="97">
        <f t="shared" si="7"/>
        <v>0</v>
      </c>
      <c r="W89" s="97">
        <f t="shared" si="8"/>
        <v>0</v>
      </c>
    </row>
    <row r="90" spans="1:23" x14ac:dyDescent="0.25">
      <c r="A90" s="63"/>
      <c r="B90" s="63"/>
      <c r="C90" s="86" t="str" cm="1">
        <f t="array" ref="C90">IFERROR(INDEX(Tb_KostenOpties[],MATCH(B90,Tb_KostenOptiesDB[KostenOptie],0),IFERROR(MATCH(Methode_Keuze,Tb_KostenOptiesDB[#Headers],0),2)),"")</f>
        <v/>
      </c>
      <c r="D90" s="98">
        <f>IFERROR(INDEX(Tb_ProjectKosten[],MATCH($B90,Tb_ProjectKosten[Begroting],0),6),0)</f>
        <v>0</v>
      </c>
      <c r="E90" s="96">
        <f>SUMIFS('8. Uitgaven betaalverzoek'!$W:$W,'8. Uitgaven betaalverzoek'!$E:$E,$A90,'8. Uitgaven betaalverzoek'!$F:$F,$B90)</f>
        <v>0</v>
      </c>
      <c r="F90" s="96">
        <f>SUMIFS('8. Uitgaven betaalverzoek'!$X:$X,'8. Uitgaven betaalverzoek'!$E:$E,$A90,'8. Uitgaven betaalverzoek'!$F:$F,$B90)</f>
        <v>0</v>
      </c>
      <c r="G90" s="96" t="str">
        <f>IF(C90&lt;&gt;"",SUMIFS('8. Uitgaven betaalverzoek'!$Z:$Z,'8. Uitgaven betaalverzoek'!$E:$E,$A90,'8. Uitgaven betaalverzoek'!$F:$F,$B90),"")</f>
        <v/>
      </c>
      <c r="H90" s="96" t="str">
        <f>IF(C90&lt;&gt;"",SUMIFS('8. Uitgaven betaalverzoek'!$AA:$AA,'8. Uitgaven betaalverzoek'!$E:$E,$A90,'8. Uitgaven betaalverzoek'!$F:$F,$B90),"")</f>
        <v/>
      </c>
      <c r="I90" s="98" t="str">
        <f>IFERROR(VLOOKUP(A90,Lijsten!$AK:$AL,2,0),"")</f>
        <v/>
      </c>
      <c r="J90" s="96">
        <f t="shared" si="9"/>
        <v>0</v>
      </c>
      <c r="K90" s="96">
        <f t="shared" si="9"/>
        <v>0</v>
      </c>
      <c r="L90" s="96">
        <f>SUMIFS('8. Uitgaven betaalverzoek'!$W:$W,'8. Uitgaven betaalverzoek'!$E:$E,$A90,'8. Uitgaven betaalverzoek'!$F:$F,$B90,'8. Uitgaven betaalverzoek'!$A:$A,Keuze_DB_Nr)</f>
        <v>0</v>
      </c>
      <c r="M90" s="96">
        <f>SUMIFS('8. Uitgaven betaalverzoek'!$X:$X,'8. Uitgaven betaalverzoek'!$E:$E,$A90,'8. Uitgaven betaalverzoek'!$F:$F,$B90,'8. Uitgaven betaalverzoek'!$A:$A,Keuze_DB_Nr)</f>
        <v>0</v>
      </c>
      <c r="N90" s="96" t="str">
        <f>IF($C90&lt;&gt;"",SUMIFS('8. Uitgaven betaalverzoek'!$Z:$Z,'8. Uitgaven betaalverzoek'!$E:$E,$A90,'8. Uitgaven betaalverzoek'!$F:$F,$B90,'8. Uitgaven betaalverzoek'!$A:$A,Keuze_DB_Nr),"")</f>
        <v/>
      </c>
      <c r="O90" s="96" t="str">
        <f>IF($C90&lt;&gt;"",SUMIFS('8. Uitgaven betaalverzoek'!$AA:$AA,'8. Uitgaven betaalverzoek'!$E:$E,$A90,'8. Uitgaven betaalverzoek'!$F:$F,$B90,'8. Uitgaven betaalverzoek'!$A:$A,Keuze_DB_Nr),"")</f>
        <v/>
      </c>
      <c r="P90" s="96">
        <f t="shared" si="10"/>
        <v>0</v>
      </c>
      <c r="Q90" s="96">
        <f t="shared" si="11"/>
        <v>0</v>
      </c>
      <c r="R90" s="96">
        <f>SUMIFS('8. Uitgaven betaalverzoek'!$W:$W,'8. Uitgaven betaalverzoek'!$E:$E,$A90,'8. Uitgaven betaalverzoek'!$F:$F,$B90,'8. Uitgaven betaalverzoek'!$A:$A,Keuze_DB_Nr_BEO)</f>
        <v>0</v>
      </c>
      <c r="S90" s="96">
        <f>SUMIFS('8. Uitgaven betaalverzoek'!$X:$X,'8. Uitgaven betaalverzoek'!$E:$E,$A90,'8. Uitgaven betaalverzoek'!$F:$F,$B90,'8. Uitgaven betaalverzoek'!$A:$A,Keuze_DB_Nr_BEO)</f>
        <v>0</v>
      </c>
      <c r="T90" s="96" t="str">
        <f>IF($C90&lt;&gt;"",SUMIFS('8. Uitgaven betaalverzoek'!$Z:$Z,'8. Uitgaven betaalverzoek'!$E:$E,$A90,'8. Uitgaven betaalverzoek'!$F:$F,$B90,'8. Uitgaven betaalverzoek'!$A:$A,Keuze_DB_Nr_BEO),"")</f>
        <v/>
      </c>
      <c r="U90" s="96" t="str">
        <f>IF($C90&lt;&gt;"",SUMIFS('8. Uitgaven betaalverzoek'!$AA:$AA,'8. Uitgaven betaalverzoek'!$E:$E,$A90,'8. Uitgaven betaalverzoek'!$F:$F,$B90,'8. Uitgaven betaalverzoek'!$A:$A,Keuze_DB_Nr_BEO),"")</f>
        <v/>
      </c>
      <c r="V90" s="96">
        <f t="shared" si="7"/>
        <v>0</v>
      </c>
      <c r="W90" s="96">
        <f t="shared" si="8"/>
        <v>0</v>
      </c>
    </row>
    <row r="91" spans="1:23" x14ac:dyDescent="0.25">
      <c r="A91" s="12"/>
      <c r="B91" s="12"/>
      <c r="C91" s="87" t="str" cm="1">
        <f t="array" ref="C91">IFERROR(INDEX(Tb_KostenOpties[],MATCH(B91,Tb_KostenOptiesDB[KostenOptie],0),IFERROR(MATCH(Methode_Keuze,Tb_KostenOptiesDB[#Headers],0),2)),"")</f>
        <v/>
      </c>
      <c r="D91" s="99">
        <f>IFERROR(INDEX(Tb_ProjectKosten[],MATCH($B91,Tb_ProjectKosten[Begroting],0),6),0)</f>
        <v>0</v>
      </c>
      <c r="E91" s="97">
        <f>SUMIFS('8. Uitgaven betaalverzoek'!$W:$W,'8. Uitgaven betaalverzoek'!$E:$E,$A91,'8. Uitgaven betaalverzoek'!$F:$F,$B91)</f>
        <v>0</v>
      </c>
      <c r="F91" s="97">
        <f>SUMIFS('8. Uitgaven betaalverzoek'!$X:$X,'8. Uitgaven betaalverzoek'!$E:$E,$A91,'8. Uitgaven betaalverzoek'!$F:$F,$B91)</f>
        <v>0</v>
      </c>
      <c r="G91" s="97" t="str">
        <f>IF(C91&lt;&gt;"",SUMIFS('8. Uitgaven betaalverzoek'!$Z:$Z,'8. Uitgaven betaalverzoek'!$E:$E,$A91,'8. Uitgaven betaalverzoek'!$F:$F,$B91),"")</f>
        <v/>
      </c>
      <c r="H91" s="97" t="str">
        <f>IF(C91&lt;&gt;"",SUMIFS('8. Uitgaven betaalverzoek'!$AA:$AA,'8. Uitgaven betaalverzoek'!$E:$E,$A91,'8. Uitgaven betaalverzoek'!$F:$F,$B91),"")</f>
        <v/>
      </c>
      <c r="I91" s="99" t="str">
        <f>IFERROR(VLOOKUP(A91,Lijsten!$AK:$AL,2,0),"")</f>
        <v/>
      </c>
      <c r="J91" s="97">
        <f t="shared" si="9"/>
        <v>0</v>
      </c>
      <c r="K91" s="97">
        <f t="shared" si="9"/>
        <v>0</v>
      </c>
      <c r="L91" s="97">
        <f>SUMIFS('8. Uitgaven betaalverzoek'!$W:$W,'8. Uitgaven betaalverzoek'!$E:$E,$A91,'8. Uitgaven betaalverzoek'!$F:$F,$B91,'8. Uitgaven betaalverzoek'!$A:$A,Keuze_DB_Nr)</f>
        <v>0</v>
      </c>
      <c r="M91" s="97">
        <f>SUMIFS('8. Uitgaven betaalverzoek'!$X:$X,'8. Uitgaven betaalverzoek'!$E:$E,$A91,'8. Uitgaven betaalverzoek'!$F:$F,$B91,'8. Uitgaven betaalverzoek'!$A:$A,Keuze_DB_Nr)</f>
        <v>0</v>
      </c>
      <c r="N91" s="97" t="str">
        <f>IF($C91&lt;&gt;"",SUMIFS('8. Uitgaven betaalverzoek'!$Z:$Z,'8. Uitgaven betaalverzoek'!$E:$E,$A91,'8. Uitgaven betaalverzoek'!$F:$F,$B91,'8. Uitgaven betaalverzoek'!$A:$A,Keuze_DB_Nr),"")</f>
        <v/>
      </c>
      <c r="O91" s="97" t="str">
        <f>IF($C91&lt;&gt;"",SUMIFS('8. Uitgaven betaalverzoek'!$AA:$AA,'8. Uitgaven betaalverzoek'!$E:$E,$A91,'8. Uitgaven betaalverzoek'!$F:$F,$B91,'8. Uitgaven betaalverzoek'!$A:$A,Keuze_DB_Nr),"")</f>
        <v/>
      </c>
      <c r="P91" s="97">
        <f t="shared" si="10"/>
        <v>0</v>
      </c>
      <c r="Q91" s="97">
        <f t="shared" si="11"/>
        <v>0</v>
      </c>
      <c r="R91" s="97">
        <f>SUMIFS('8. Uitgaven betaalverzoek'!$W:$W,'8. Uitgaven betaalverzoek'!$E:$E,$A91,'8. Uitgaven betaalverzoek'!$F:$F,$B91,'8. Uitgaven betaalverzoek'!$A:$A,Keuze_DB_Nr_BEO)</f>
        <v>0</v>
      </c>
      <c r="S91" s="97">
        <f>SUMIFS('8. Uitgaven betaalverzoek'!$X:$X,'8. Uitgaven betaalverzoek'!$E:$E,$A91,'8. Uitgaven betaalverzoek'!$F:$F,$B91,'8. Uitgaven betaalverzoek'!$A:$A,Keuze_DB_Nr_BEO)</f>
        <v>0</v>
      </c>
      <c r="T91" s="97" t="str">
        <f>IF($C91&lt;&gt;"",SUMIFS('8. Uitgaven betaalverzoek'!$Z:$Z,'8. Uitgaven betaalverzoek'!$E:$E,$A91,'8. Uitgaven betaalverzoek'!$F:$F,$B91,'8. Uitgaven betaalverzoek'!$A:$A,Keuze_DB_Nr_BEO),"")</f>
        <v/>
      </c>
      <c r="U91" s="97" t="str">
        <f>IF($C91&lt;&gt;"",SUMIFS('8. Uitgaven betaalverzoek'!$AA:$AA,'8. Uitgaven betaalverzoek'!$E:$E,$A91,'8. Uitgaven betaalverzoek'!$F:$F,$B91,'8. Uitgaven betaalverzoek'!$A:$A,Keuze_DB_Nr_BEO),"")</f>
        <v/>
      </c>
      <c r="V91" s="97">
        <f t="shared" si="7"/>
        <v>0</v>
      </c>
      <c r="W91" s="97">
        <f t="shared" si="8"/>
        <v>0</v>
      </c>
    </row>
    <row r="92" spans="1:23" x14ac:dyDescent="0.25">
      <c r="A92" s="63"/>
      <c r="B92" s="63"/>
      <c r="C92" s="86" t="str" cm="1">
        <f t="array" ref="C92">IFERROR(INDEX(Tb_KostenOpties[],MATCH(B92,Tb_KostenOptiesDB[KostenOptie],0),IFERROR(MATCH(Methode_Keuze,Tb_KostenOptiesDB[#Headers],0),2)),"")</f>
        <v/>
      </c>
      <c r="D92" s="98">
        <f>IFERROR(INDEX(Tb_ProjectKosten[],MATCH($B92,Tb_ProjectKosten[Begroting],0),6),0)</f>
        <v>0</v>
      </c>
      <c r="E92" s="96">
        <f>SUMIFS('8. Uitgaven betaalverzoek'!$W:$W,'8. Uitgaven betaalverzoek'!$E:$E,$A92,'8. Uitgaven betaalverzoek'!$F:$F,$B92)</f>
        <v>0</v>
      </c>
      <c r="F92" s="96">
        <f>SUMIFS('8. Uitgaven betaalverzoek'!$X:$X,'8. Uitgaven betaalverzoek'!$E:$E,$A92,'8. Uitgaven betaalverzoek'!$F:$F,$B92)</f>
        <v>0</v>
      </c>
      <c r="G92" s="96" t="str">
        <f>IF(C92&lt;&gt;"",SUMIFS('8. Uitgaven betaalverzoek'!$Z:$Z,'8. Uitgaven betaalverzoek'!$E:$E,$A92,'8. Uitgaven betaalverzoek'!$F:$F,$B92),"")</f>
        <v/>
      </c>
      <c r="H92" s="96" t="str">
        <f>IF(C92&lt;&gt;"",SUMIFS('8. Uitgaven betaalverzoek'!$AA:$AA,'8. Uitgaven betaalverzoek'!$E:$E,$A92,'8. Uitgaven betaalverzoek'!$F:$F,$B92),"")</f>
        <v/>
      </c>
      <c r="I92" s="98" t="str">
        <f>IFERROR(VLOOKUP(A92,Lijsten!$AK:$AL,2,0),"")</f>
        <v/>
      </c>
      <c r="J92" s="96">
        <f t="shared" si="9"/>
        <v>0</v>
      </c>
      <c r="K92" s="96">
        <f t="shared" si="9"/>
        <v>0</v>
      </c>
      <c r="L92" s="96">
        <f>SUMIFS('8. Uitgaven betaalverzoek'!$W:$W,'8. Uitgaven betaalverzoek'!$E:$E,$A92,'8. Uitgaven betaalverzoek'!$F:$F,$B92,'8. Uitgaven betaalverzoek'!$A:$A,Keuze_DB_Nr)</f>
        <v>0</v>
      </c>
      <c r="M92" s="96">
        <f>SUMIFS('8. Uitgaven betaalverzoek'!$X:$X,'8. Uitgaven betaalverzoek'!$E:$E,$A92,'8. Uitgaven betaalverzoek'!$F:$F,$B92,'8. Uitgaven betaalverzoek'!$A:$A,Keuze_DB_Nr)</f>
        <v>0</v>
      </c>
      <c r="N92" s="96" t="str">
        <f>IF($C92&lt;&gt;"",SUMIFS('8. Uitgaven betaalverzoek'!$Z:$Z,'8. Uitgaven betaalverzoek'!$E:$E,$A92,'8. Uitgaven betaalverzoek'!$F:$F,$B92,'8. Uitgaven betaalverzoek'!$A:$A,Keuze_DB_Nr),"")</f>
        <v/>
      </c>
      <c r="O92" s="96" t="str">
        <f>IF($C92&lt;&gt;"",SUMIFS('8. Uitgaven betaalverzoek'!$AA:$AA,'8. Uitgaven betaalverzoek'!$E:$E,$A92,'8. Uitgaven betaalverzoek'!$F:$F,$B92,'8. Uitgaven betaalverzoek'!$A:$A,Keuze_DB_Nr),"")</f>
        <v/>
      </c>
      <c r="P92" s="96">
        <f t="shared" si="10"/>
        <v>0</v>
      </c>
      <c r="Q92" s="96">
        <f t="shared" si="11"/>
        <v>0</v>
      </c>
      <c r="R92" s="96">
        <f>SUMIFS('8. Uitgaven betaalverzoek'!$W:$W,'8. Uitgaven betaalverzoek'!$E:$E,$A92,'8. Uitgaven betaalverzoek'!$F:$F,$B92,'8. Uitgaven betaalverzoek'!$A:$A,Keuze_DB_Nr_BEO)</f>
        <v>0</v>
      </c>
      <c r="S92" s="96">
        <f>SUMIFS('8. Uitgaven betaalverzoek'!$X:$X,'8. Uitgaven betaalverzoek'!$E:$E,$A92,'8. Uitgaven betaalverzoek'!$F:$F,$B92,'8. Uitgaven betaalverzoek'!$A:$A,Keuze_DB_Nr_BEO)</f>
        <v>0</v>
      </c>
      <c r="T92" s="96" t="str">
        <f>IF($C92&lt;&gt;"",SUMIFS('8. Uitgaven betaalverzoek'!$Z:$Z,'8. Uitgaven betaalverzoek'!$E:$E,$A92,'8. Uitgaven betaalverzoek'!$F:$F,$B92,'8. Uitgaven betaalverzoek'!$A:$A,Keuze_DB_Nr_BEO),"")</f>
        <v/>
      </c>
      <c r="U92" s="96" t="str">
        <f>IF($C92&lt;&gt;"",SUMIFS('8. Uitgaven betaalverzoek'!$AA:$AA,'8. Uitgaven betaalverzoek'!$E:$E,$A92,'8. Uitgaven betaalverzoek'!$F:$F,$B92,'8. Uitgaven betaalverzoek'!$A:$A,Keuze_DB_Nr_BEO),"")</f>
        <v/>
      </c>
      <c r="V92" s="96">
        <f t="shared" si="7"/>
        <v>0</v>
      </c>
      <c r="W92" s="96">
        <f t="shared" si="8"/>
        <v>0</v>
      </c>
    </row>
    <row r="93" spans="1:23" x14ac:dyDescent="0.25">
      <c r="A93" s="12"/>
      <c r="B93" s="12"/>
      <c r="C93" s="87" t="str" cm="1">
        <f t="array" ref="C93">IFERROR(INDEX(Tb_KostenOpties[],MATCH(B93,Tb_KostenOptiesDB[KostenOptie],0),IFERROR(MATCH(Methode_Keuze,Tb_KostenOptiesDB[#Headers],0),2)),"")</f>
        <v/>
      </c>
      <c r="D93" s="99">
        <f>IFERROR(INDEX(Tb_ProjectKosten[],MATCH($B93,Tb_ProjectKosten[Begroting],0),6),0)</f>
        <v>0</v>
      </c>
      <c r="E93" s="97">
        <f>SUMIFS('8. Uitgaven betaalverzoek'!$W:$W,'8. Uitgaven betaalverzoek'!$E:$E,$A93,'8. Uitgaven betaalverzoek'!$F:$F,$B93)</f>
        <v>0</v>
      </c>
      <c r="F93" s="97">
        <f>SUMIFS('8. Uitgaven betaalverzoek'!$X:$X,'8. Uitgaven betaalverzoek'!$E:$E,$A93,'8. Uitgaven betaalverzoek'!$F:$F,$B93)</f>
        <v>0</v>
      </c>
      <c r="G93" s="97" t="str">
        <f>IF(C93&lt;&gt;"",SUMIFS('8. Uitgaven betaalverzoek'!$Z:$Z,'8. Uitgaven betaalverzoek'!$E:$E,$A93,'8. Uitgaven betaalverzoek'!$F:$F,$B93),"")</f>
        <v/>
      </c>
      <c r="H93" s="97" t="str">
        <f>IF(C93&lt;&gt;"",SUMIFS('8. Uitgaven betaalverzoek'!$AA:$AA,'8. Uitgaven betaalverzoek'!$E:$E,$A93,'8. Uitgaven betaalverzoek'!$F:$F,$B93),"")</f>
        <v/>
      </c>
      <c r="I93" s="99" t="str">
        <f>IFERROR(VLOOKUP(A93,Lijsten!$AK:$AL,2,0),"")</f>
        <v/>
      </c>
      <c r="J93" s="97">
        <f t="shared" si="9"/>
        <v>0</v>
      </c>
      <c r="K93" s="97">
        <f t="shared" si="9"/>
        <v>0</v>
      </c>
      <c r="L93" s="97">
        <f>SUMIFS('8. Uitgaven betaalverzoek'!$W:$W,'8. Uitgaven betaalverzoek'!$E:$E,$A93,'8. Uitgaven betaalverzoek'!$F:$F,$B93,'8. Uitgaven betaalverzoek'!$A:$A,Keuze_DB_Nr)</f>
        <v>0</v>
      </c>
      <c r="M93" s="97">
        <f>SUMIFS('8. Uitgaven betaalverzoek'!$X:$X,'8. Uitgaven betaalverzoek'!$E:$E,$A93,'8. Uitgaven betaalverzoek'!$F:$F,$B93,'8. Uitgaven betaalverzoek'!$A:$A,Keuze_DB_Nr)</f>
        <v>0</v>
      </c>
      <c r="N93" s="97" t="str">
        <f>IF($C93&lt;&gt;"",SUMIFS('8. Uitgaven betaalverzoek'!$Z:$Z,'8. Uitgaven betaalverzoek'!$E:$E,$A93,'8. Uitgaven betaalverzoek'!$F:$F,$B93,'8. Uitgaven betaalverzoek'!$A:$A,Keuze_DB_Nr),"")</f>
        <v/>
      </c>
      <c r="O93" s="97" t="str">
        <f>IF($C93&lt;&gt;"",SUMIFS('8. Uitgaven betaalverzoek'!$AA:$AA,'8. Uitgaven betaalverzoek'!$E:$E,$A93,'8. Uitgaven betaalverzoek'!$F:$F,$B93,'8. Uitgaven betaalverzoek'!$A:$A,Keuze_DB_Nr),"")</f>
        <v/>
      </c>
      <c r="P93" s="97">
        <f t="shared" si="10"/>
        <v>0</v>
      </c>
      <c r="Q93" s="97">
        <f t="shared" si="11"/>
        <v>0</v>
      </c>
      <c r="R93" s="97">
        <f>SUMIFS('8. Uitgaven betaalverzoek'!$W:$W,'8. Uitgaven betaalverzoek'!$E:$E,$A93,'8. Uitgaven betaalverzoek'!$F:$F,$B93,'8. Uitgaven betaalverzoek'!$A:$A,Keuze_DB_Nr_BEO)</f>
        <v>0</v>
      </c>
      <c r="S93" s="97">
        <f>SUMIFS('8. Uitgaven betaalverzoek'!$X:$X,'8. Uitgaven betaalverzoek'!$E:$E,$A93,'8. Uitgaven betaalverzoek'!$F:$F,$B93,'8. Uitgaven betaalverzoek'!$A:$A,Keuze_DB_Nr_BEO)</f>
        <v>0</v>
      </c>
      <c r="T93" s="97" t="str">
        <f>IF($C93&lt;&gt;"",SUMIFS('8. Uitgaven betaalverzoek'!$Z:$Z,'8. Uitgaven betaalverzoek'!$E:$E,$A93,'8. Uitgaven betaalverzoek'!$F:$F,$B93,'8. Uitgaven betaalverzoek'!$A:$A,Keuze_DB_Nr_BEO),"")</f>
        <v/>
      </c>
      <c r="U93" s="97" t="str">
        <f>IF($C93&lt;&gt;"",SUMIFS('8. Uitgaven betaalverzoek'!$AA:$AA,'8. Uitgaven betaalverzoek'!$E:$E,$A93,'8. Uitgaven betaalverzoek'!$F:$F,$B93,'8. Uitgaven betaalverzoek'!$A:$A,Keuze_DB_Nr_BEO),"")</f>
        <v/>
      </c>
      <c r="V93" s="97">
        <f t="shared" si="7"/>
        <v>0</v>
      </c>
      <c r="W93" s="97">
        <f t="shared" si="8"/>
        <v>0</v>
      </c>
    </row>
    <row r="94" spans="1:23" x14ac:dyDescent="0.25">
      <c r="A94" s="63"/>
      <c r="B94" s="63"/>
      <c r="C94" s="86" t="str" cm="1">
        <f t="array" ref="C94">IFERROR(INDEX(Tb_KostenOpties[],MATCH(B94,Tb_KostenOptiesDB[KostenOptie],0),IFERROR(MATCH(Methode_Keuze,Tb_KostenOptiesDB[#Headers],0),2)),"")</f>
        <v/>
      </c>
      <c r="D94" s="98">
        <f>IFERROR(INDEX(Tb_ProjectKosten[],MATCH($B94,Tb_ProjectKosten[Begroting],0),6),0)</f>
        <v>0</v>
      </c>
      <c r="E94" s="96">
        <f>SUMIFS('8. Uitgaven betaalverzoek'!$W:$W,'8. Uitgaven betaalverzoek'!$E:$E,$A94,'8. Uitgaven betaalverzoek'!$F:$F,$B94)</f>
        <v>0</v>
      </c>
      <c r="F94" s="96">
        <f>SUMIFS('8. Uitgaven betaalverzoek'!$X:$X,'8. Uitgaven betaalverzoek'!$E:$E,$A94,'8. Uitgaven betaalverzoek'!$F:$F,$B94)</f>
        <v>0</v>
      </c>
      <c r="G94" s="96" t="str">
        <f>IF(C94&lt;&gt;"",SUMIFS('8. Uitgaven betaalverzoek'!$Z:$Z,'8. Uitgaven betaalverzoek'!$E:$E,$A94,'8. Uitgaven betaalverzoek'!$F:$F,$B94),"")</f>
        <v/>
      </c>
      <c r="H94" s="96" t="str">
        <f>IF(C94&lt;&gt;"",SUMIFS('8. Uitgaven betaalverzoek'!$AA:$AA,'8. Uitgaven betaalverzoek'!$E:$E,$A94,'8. Uitgaven betaalverzoek'!$F:$F,$B94),"")</f>
        <v/>
      </c>
      <c r="I94" s="98" t="str">
        <f>IFERROR(VLOOKUP(A94,Lijsten!$AK:$AL,2,0),"")</f>
        <v/>
      </c>
      <c r="J94" s="96">
        <f t="shared" si="9"/>
        <v>0</v>
      </c>
      <c r="K94" s="96">
        <f t="shared" si="9"/>
        <v>0</v>
      </c>
      <c r="L94" s="96">
        <f>SUMIFS('8. Uitgaven betaalverzoek'!$W:$W,'8. Uitgaven betaalverzoek'!$E:$E,$A94,'8. Uitgaven betaalverzoek'!$F:$F,$B94,'8. Uitgaven betaalverzoek'!$A:$A,Keuze_DB_Nr)</f>
        <v>0</v>
      </c>
      <c r="M94" s="96">
        <f>SUMIFS('8. Uitgaven betaalverzoek'!$X:$X,'8. Uitgaven betaalverzoek'!$E:$E,$A94,'8. Uitgaven betaalverzoek'!$F:$F,$B94,'8. Uitgaven betaalverzoek'!$A:$A,Keuze_DB_Nr)</f>
        <v>0</v>
      </c>
      <c r="N94" s="96" t="str">
        <f>IF($C94&lt;&gt;"",SUMIFS('8. Uitgaven betaalverzoek'!$Z:$Z,'8. Uitgaven betaalverzoek'!$E:$E,$A94,'8. Uitgaven betaalverzoek'!$F:$F,$B94,'8. Uitgaven betaalverzoek'!$A:$A,Keuze_DB_Nr),"")</f>
        <v/>
      </c>
      <c r="O94" s="96" t="str">
        <f>IF($C94&lt;&gt;"",SUMIFS('8. Uitgaven betaalverzoek'!$AA:$AA,'8. Uitgaven betaalverzoek'!$E:$E,$A94,'8. Uitgaven betaalverzoek'!$F:$F,$B94,'8. Uitgaven betaalverzoek'!$A:$A,Keuze_DB_Nr),"")</f>
        <v/>
      </c>
      <c r="P94" s="96">
        <f t="shared" si="10"/>
        <v>0</v>
      </c>
      <c r="Q94" s="96">
        <f t="shared" si="11"/>
        <v>0</v>
      </c>
      <c r="R94" s="96">
        <f>SUMIFS('8. Uitgaven betaalverzoek'!$W:$W,'8. Uitgaven betaalverzoek'!$E:$E,$A94,'8. Uitgaven betaalverzoek'!$F:$F,$B94,'8. Uitgaven betaalverzoek'!$A:$A,Keuze_DB_Nr_BEO)</f>
        <v>0</v>
      </c>
      <c r="S94" s="96">
        <f>SUMIFS('8. Uitgaven betaalverzoek'!$X:$X,'8. Uitgaven betaalverzoek'!$E:$E,$A94,'8. Uitgaven betaalverzoek'!$F:$F,$B94,'8. Uitgaven betaalverzoek'!$A:$A,Keuze_DB_Nr_BEO)</f>
        <v>0</v>
      </c>
      <c r="T94" s="96" t="str">
        <f>IF($C94&lt;&gt;"",SUMIFS('8. Uitgaven betaalverzoek'!$Z:$Z,'8. Uitgaven betaalverzoek'!$E:$E,$A94,'8. Uitgaven betaalverzoek'!$F:$F,$B94,'8. Uitgaven betaalverzoek'!$A:$A,Keuze_DB_Nr_BEO),"")</f>
        <v/>
      </c>
      <c r="U94" s="96" t="str">
        <f>IF($C94&lt;&gt;"",SUMIFS('8. Uitgaven betaalverzoek'!$AA:$AA,'8. Uitgaven betaalverzoek'!$E:$E,$A94,'8. Uitgaven betaalverzoek'!$F:$F,$B94,'8. Uitgaven betaalverzoek'!$A:$A,Keuze_DB_Nr_BEO),"")</f>
        <v/>
      </c>
      <c r="V94" s="96">
        <f t="shared" si="7"/>
        <v>0</v>
      </c>
      <c r="W94" s="96">
        <f t="shared" si="8"/>
        <v>0</v>
      </c>
    </row>
    <row r="95" spans="1:23" x14ac:dyDescent="0.25">
      <c r="A95" s="12"/>
      <c r="B95" s="12"/>
      <c r="C95" s="87" t="str" cm="1">
        <f t="array" ref="C95">IFERROR(INDEX(Tb_KostenOpties[],MATCH(B95,Tb_KostenOptiesDB[KostenOptie],0),IFERROR(MATCH(Methode_Keuze,Tb_KostenOptiesDB[#Headers],0),2)),"")</f>
        <v/>
      </c>
      <c r="D95" s="99">
        <f>IFERROR(INDEX(Tb_ProjectKosten[],MATCH($B95,Tb_ProjectKosten[Begroting],0),6),0)</f>
        <v>0</v>
      </c>
      <c r="E95" s="97">
        <f>SUMIFS('8. Uitgaven betaalverzoek'!$W:$W,'8. Uitgaven betaalverzoek'!$E:$E,$A95,'8. Uitgaven betaalverzoek'!$F:$F,$B95)</f>
        <v>0</v>
      </c>
      <c r="F95" s="97">
        <f>SUMIFS('8. Uitgaven betaalverzoek'!$X:$X,'8. Uitgaven betaalverzoek'!$E:$E,$A95,'8. Uitgaven betaalverzoek'!$F:$F,$B95)</f>
        <v>0</v>
      </c>
      <c r="G95" s="97" t="str">
        <f>IF(C95&lt;&gt;"",SUMIFS('8. Uitgaven betaalverzoek'!$Z:$Z,'8. Uitgaven betaalverzoek'!$E:$E,$A95,'8. Uitgaven betaalverzoek'!$F:$F,$B95),"")</f>
        <v/>
      </c>
      <c r="H95" s="97" t="str">
        <f>IF(C95&lt;&gt;"",SUMIFS('8. Uitgaven betaalverzoek'!$AA:$AA,'8. Uitgaven betaalverzoek'!$E:$E,$A95,'8. Uitgaven betaalverzoek'!$F:$F,$B95),"")</f>
        <v/>
      </c>
      <c r="I95" s="99" t="str">
        <f>IFERROR(VLOOKUP(A95,Lijsten!$AK:$AL,2,0),"")</f>
        <v/>
      </c>
      <c r="J95" s="97">
        <f t="shared" si="9"/>
        <v>0</v>
      </c>
      <c r="K95" s="97">
        <f t="shared" si="9"/>
        <v>0</v>
      </c>
      <c r="L95" s="97">
        <f>SUMIFS('8. Uitgaven betaalverzoek'!$W:$W,'8. Uitgaven betaalverzoek'!$E:$E,$A95,'8. Uitgaven betaalverzoek'!$F:$F,$B95,'8. Uitgaven betaalverzoek'!$A:$A,Keuze_DB_Nr)</f>
        <v>0</v>
      </c>
      <c r="M95" s="97">
        <f>SUMIFS('8. Uitgaven betaalverzoek'!$X:$X,'8. Uitgaven betaalverzoek'!$E:$E,$A95,'8. Uitgaven betaalverzoek'!$F:$F,$B95,'8. Uitgaven betaalverzoek'!$A:$A,Keuze_DB_Nr)</f>
        <v>0</v>
      </c>
      <c r="N95" s="97" t="str">
        <f>IF($C95&lt;&gt;"",SUMIFS('8. Uitgaven betaalverzoek'!$Z:$Z,'8. Uitgaven betaalverzoek'!$E:$E,$A95,'8. Uitgaven betaalverzoek'!$F:$F,$B95,'8. Uitgaven betaalverzoek'!$A:$A,Keuze_DB_Nr),"")</f>
        <v/>
      </c>
      <c r="O95" s="97" t="str">
        <f>IF($C95&lt;&gt;"",SUMIFS('8. Uitgaven betaalverzoek'!$AA:$AA,'8. Uitgaven betaalverzoek'!$E:$E,$A95,'8. Uitgaven betaalverzoek'!$F:$F,$B95,'8. Uitgaven betaalverzoek'!$A:$A,Keuze_DB_Nr),"")</f>
        <v/>
      </c>
      <c r="P95" s="97">
        <f t="shared" si="10"/>
        <v>0</v>
      </c>
      <c r="Q95" s="97">
        <f t="shared" si="11"/>
        <v>0</v>
      </c>
      <c r="R95" s="97">
        <f>SUMIFS('8. Uitgaven betaalverzoek'!$W:$W,'8. Uitgaven betaalverzoek'!$E:$E,$A95,'8. Uitgaven betaalverzoek'!$F:$F,$B95,'8. Uitgaven betaalverzoek'!$A:$A,Keuze_DB_Nr_BEO)</f>
        <v>0</v>
      </c>
      <c r="S95" s="97">
        <f>SUMIFS('8. Uitgaven betaalverzoek'!$X:$X,'8. Uitgaven betaalverzoek'!$E:$E,$A95,'8. Uitgaven betaalverzoek'!$F:$F,$B95,'8. Uitgaven betaalverzoek'!$A:$A,Keuze_DB_Nr_BEO)</f>
        <v>0</v>
      </c>
      <c r="T95" s="97" t="str">
        <f>IF($C95&lt;&gt;"",SUMIFS('8. Uitgaven betaalverzoek'!$Z:$Z,'8. Uitgaven betaalverzoek'!$E:$E,$A95,'8. Uitgaven betaalverzoek'!$F:$F,$B95,'8. Uitgaven betaalverzoek'!$A:$A,Keuze_DB_Nr_BEO),"")</f>
        <v/>
      </c>
      <c r="U95" s="97" t="str">
        <f>IF($C95&lt;&gt;"",SUMIFS('8. Uitgaven betaalverzoek'!$AA:$AA,'8. Uitgaven betaalverzoek'!$E:$E,$A95,'8. Uitgaven betaalverzoek'!$F:$F,$B95,'8. Uitgaven betaalverzoek'!$A:$A,Keuze_DB_Nr_BEO),"")</f>
        <v/>
      </c>
      <c r="V95" s="97">
        <f t="shared" si="7"/>
        <v>0</v>
      </c>
      <c r="W95" s="97">
        <f t="shared" si="8"/>
        <v>0</v>
      </c>
    </row>
    <row r="96" spans="1:23" x14ac:dyDescent="0.25">
      <c r="A96" s="63"/>
      <c r="B96" s="63"/>
      <c r="C96" s="86" t="str" cm="1">
        <f t="array" ref="C96">IFERROR(INDEX(Tb_KostenOpties[],MATCH(B96,Tb_KostenOptiesDB[KostenOptie],0),IFERROR(MATCH(Methode_Keuze,Tb_KostenOptiesDB[#Headers],0),2)),"")</f>
        <v/>
      </c>
      <c r="D96" s="98">
        <f>IFERROR(INDEX(Tb_ProjectKosten[],MATCH($B96,Tb_ProjectKosten[Begroting],0),6),0)</f>
        <v>0</v>
      </c>
      <c r="E96" s="96">
        <f>SUMIFS('8. Uitgaven betaalverzoek'!$W:$W,'8. Uitgaven betaalverzoek'!$E:$E,$A96,'8. Uitgaven betaalverzoek'!$F:$F,$B96)</f>
        <v>0</v>
      </c>
      <c r="F96" s="96">
        <f>SUMIFS('8. Uitgaven betaalverzoek'!$X:$X,'8. Uitgaven betaalverzoek'!$E:$E,$A96,'8. Uitgaven betaalverzoek'!$F:$F,$B96)</f>
        <v>0</v>
      </c>
      <c r="G96" s="96" t="str">
        <f>IF(C96&lt;&gt;"",SUMIFS('8. Uitgaven betaalverzoek'!$Z:$Z,'8. Uitgaven betaalverzoek'!$E:$E,$A96,'8. Uitgaven betaalverzoek'!$F:$F,$B96),"")</f>
        <v/>
      </c>
      <c r="H96" s="96" t="str">
        <f>IF(C96&lt;&gt;"",SUMIFS('8. Uitgaven betaalverzoek'!$AA:$AA,'8. Uitgaven betaalverzoek'!$E:$E,$A96,'8. Uitgaven betaalverzoek'!$F:$F,$B96),"")</f>
        <v/>
      </c>
      <c r="I96" s="98" t="str">
        <f>IFERROR(VLOOKUP(A96,Lijsten!$AK:$AL,2,0),"")</f>
        <v/>
      </c>
      <c r="J96" s="96">
        <f t="shared" si="9"/>
        <v>0</v>
      </c>
      <c r="K96" s="96">
        <f t="shared" si="9"/>
        <v>0</v>
      </c>
      <c r="L96" s="96">
        <f>SUMIFS('8. Uitgaven betaalverzoek'!$W:$W,'8. Uitgaven betaalverzoek'!$E:$E,$A96,'8. Uitgaven betaalverzoek'!$F:$F,$B96,'8. Uitgaven betaalverzoek'!$A:$A,Keuze_DB_Nr)</f>
        <v>0</v>
      </c>
      <c r="M96" s="96">
        <f>SUMIFS('8. Uitgaven betaalverzoek'!$X:$X,'8. Uitgaven betaalverzoek'!$E:$E,$A96,'8. Uitgaven betaalverzoek'!$F:$F,$B96,'8. Uitgaven betaalverzoek'!$A:$A,Keuze_DB_Nr)</f>
        <v>0</v>
      </c>
      <c r="N96" s="96" t="str">
        <f>IF($C96&lt;&gt;"",SUMIFS('8. Uitgaven betaalverzoek'!$Z:$Z,'8. Uitgaven betaalverzoek'!$E:$E,$A96,'8. Uitgaven betaalverzoek'!$F:$F,$B96,'8. Uitgaven betaalverzoek'!$A:$A,Keuze_DB_Nr),"")</f>
        <v/>
      </c>
      <c r="O96" s="96" t="str">
        <f>IF($C96&lt;&gt;"",SUMIFS('8. Uitgaven betaalverzoek'!$AA:$AA,'8. Uitgaven betaalverzoek'!$E:$E,$A96,'8. Uitgaven betaalverzoek'!$F:$F,$B96,'8. Uitgaven betaalverzoek'!$A:$A,Keuze_DB_Nr),"")</f>
        <v/>
      </c>
      <c r="P96" s="96">
        <f t="shared" si="10"/>
        <v>0</v>
      </c>
      <c r="Q96" s="96">
        <f t="shared" si="11"/>
        <v>0</v>
      </c>
      <c r="R96" s="96">
        <f>SUMIFS('8. Uitgaven betaalverzoek'!$W:$W,'8. Uitgaven betaalverzoek'!$E:$E,$A96,'8. Uitgaven betaalverzoek'!$F:$F,$B96,'8. Uitgaven betaalverzoek'!$A:$A,Keuze_DB_Nr_BEO)</f>
        <v>0</v>
      </c>
      <c r="S96" s="96">
        <f>SUMIFS('8. Uitgaven betaalverzoek'!$X:$X,'8. Uitgaven betaalverzoek'!$E:$E,$A96,'8. Uitgaven betaalverzoek'!$F:$F,$B96,'8. Uitgaven betaalverzoek'!$A:$A,Keuze_DB_Nr_BEO)</f>
        <v>0</v>
      </c>
      <c r="T96" s="96" t="str">
        <f>IF($C96&lt;&gt;"",SUMIFS('8. Uitgaven betaalverzoek'!$Z:$Z,'8. Uitgaven betaalverzoek'!$E:$E,$A96,'8. Uitgaven betaalverzoek'!$F:$F,$B96,'8. Uitgaven betaalverzoek'!$A:$A,Keuze_DB_Nr_BEO),"")</f>
        <v/>
      </c>
      <c r="U96" s="96" t="str">
        <f>IF($C96&lt;&gt;"",SUMIFS('8. Uitgaven betaalverzoek'!$AA:$AA,'8. Uitgaven betaalverzoek'!$E:$E,$A96,'8. Uitgaven betaalverzoek'!$F:$F,$B96,'8. Uitgaven betaalverzoek'!$A:$A,Keuze_DB_Nr_BEO),"")</f>
        <v/>
      </c>
      <c r="V96" s="96">
        <f t="shared" si="7"/>
        <v>0</v>
      </c>
      <c r="W96" s="96">
        <f t="shared" si="8"/>
        <v>0</v>
      </c>
    </row>
    <row r="97" spans="1:23" x14ac:dyDescent="0.25">
      <c r="A97" s="12"/>
      <c r="B97" s="12"/>
      <c r="C97" s="87" t="str" cm="1">
        <f t="array" ref="C97">IFERROR(INDEX(Tb_KostenOpties[],MATCH(B97,Tb_KostenOptiesDB[KostenOptie],0),IFERROR(MATCH(Methode_Keuze,Tb_KostenOptiesDB[#Headers],0),2)),"")</f>
        <v/>
      </c>
      <c r="D97" s="99">
        <f>IFERROR(INDEX(Tb_ProjectKosten[],MATCH($B97,Tb_ProjectKosten[Begroting],0),6),0)</f>
        <v>0</v>
      </c>
      <c r="E97" s="97">
        <f>SUMIFS('8. Uitgaven betaalverzoek'!$W:$W,'8. Uitgaven betaalverzoek'!$E:$E,$A97,'8. Uitgaven betaalverzoek'!$F:$F,$B97)</f>
        <v>0</v>
      </c>
      <c r="F97" s="97">
        <f>SUMIFS('8. Uitgaven betaalverzoek'!$X:$X,'8. Uitgaven betaalverzoek'!$E:$E,$A97,'8. Uitgaven betaalverzoek'!$F:$F,$B97)</f>
        <v>0</v>
      </c>
      <c r="G97" s="97" t="str">
        <f>IF(C97&lt;&gt;"",SUMIFS('8. Uitgaven betaalverzoek'!$Z:$Z,'8. Uitgaven betaalverzoek'!$E:$E,$A97,'8. Uitgaven betaalverzoek'!$F:$F,$B97),"")</f>
        <v/>
      </c>
      <c r="H97" s="97" t="str">
        <f>IF(C97&lt;&gt;"",SUMIFS('8. Uitgaven betaalverzoek'!$AA:$AA,'8. Uitgaven betaalverzoek'!$E:$E,$A97,'8. Uitgaven betaalverzoek'!$F:$F,$B97),"")</f>
        <v/>
      </c>
      <c r="I97" s="99" t="str">
        <f>IFERROR(VLOOKUP(A97,Lijsten!$AK:$AL,2,0),"")</f>
        <v/>
      </c>
      <c r="J97" s="97">
        <f t="shared" si="9"/>
        <v>0</v>
      </c>
      <c r="K97" s="97">
        <f t="shared" si="9"/>
        <v>0</v>
      </c>
      <c r="L97" s="97">
        <f>SUMIFS('8. Uitgaven betaalverzoek'!$W:$W,'8. Uitgaven betaalverzoek'!$E:$E,$A97,'8. Uitgaven betaalverzoek'!$F:$F,$B97,'8. Uitgaven betaalverzoek'!$A:$A,Keuze_DB_Nr)</f>
        <v>0</v>
      </c>
      <c r="M97" s="97">
        <f>SUMIFS('8. Uitgaven betaalverzoek'!$X:$X,'8. Uitgaven betaalverzoek'!$E:$E,$A97,'8. Uitgaven betaalverzoek'!$F:$F,$B97,'8. Uitgaven betaalverzoek'!$A:$A,Keuze_DB_Nr)</f>
        <v>0</v>
      </c>
      <c r="N97" s="97" t="str">
        <f>IF($C97&lt;&gt;"",SUMIFS('8. Uitgaven betaalverzoek'!$Z:$Z,'8. Uitgaven betaalverzoek'!$E:$E,$A97,'8. Uitgaven betaalverzoek'!$F:$F,$B97,'8. Uitgaven betaalverzoek'!$A:$A,Keuze_DB_Nr),"")</f>
        <v/>
      </c>
      <c r="O97" s="97" t="str">
        <f>IF($C97&lt;&gt;"",SUMIFS('8. Uitgaven betaalverzoek'!$AA:$AA,'8. Uitgaven betaalverzoek'!$E:$E,$A97,'8. Uitgaven betaalverzoek'!$F:$F,$B97,'8. Uitgaven betaalverzoek'!$A:$A,Keuze_DB_Nr),"")</f>
        <v/>
      </c>
      <c r="P97" s="97">
        <f t="shared" si="10"/>
        <v>0</v>
      </c>
      <c r="Q97" s="97">
        <f t="shared" si="11"/>
        <v>0</v>
      </c>
      <c r="R97" s="97">
        <f>SUMIFS('8. Uitgaven betaalverzoek'!$W:$W,'8. Uitgaven betaalverzoek'!$E:$E,$A97,'8. Uitgaven betaalverzoek'!$F:$F,$B97,'8. Uitgaven betaalverzoek'!$A:$A,Keuze_DB_Nr_BEO)</f>
        <v>0</v>
      </c>
      <c r="S97" s="97">
        <f>SUMIFS('8. Uitgaven betaalverzoek'!$X:$X,'8. Uitgaven betaalverzoek'!$E:$E,$A97,'8. Uitgaven betaalverzoek'!$F:$F,$B97,'8. Uitgaven betaalverzoek'!$A:$A,Keuze_DB_Nr_BEO)</f>
        <v>0</v>
      </c>
      <c r="T97" s="97" t="str">
        <f>IF($C97&lt;&gt;"",SUMIFS('8. Uitgaven betaalverzoek'!$Z:$Z,'8. Uitgaven betaalverzoek'!$E:$E,$A97,'8. Uitgaven betaalverzoek'!$F:$F,$B97,'8. Uitgaven betaalverzoek'!$A:$A,Keuze_DB_Nr_BEO),"")</f>
        <v/>
      </c>
      <c r="U97" s="97" t="str">
        <f>IF($C97&lt;&gt;"",SUMIFS('8. Uitgaven betaalverzoek'!$AA:$AA,'8. Uitgaven betaalverzoek'!$E:$E,$A97,'8. Uitgaven betaalverzoek'!$F:$F,$B97,'8. Uitgaven betaalverzoek'!$A:$A,Keuze_DB_Nr_BEO),"")</f>
        <v/>
      </c>
      <c r="V97" s="97">
        <f t="shared" si="7"/>
        <v>0</v>
      </c>
      <c r="W97" s="97">
        <f t="shared" si="8"/>
        <v>0</v>
      </c>
    </row>
    <row r="98" spans="1:23" x14ac:dyDescent="0.25">
      <c r="A98" s="63"/>
      <c r="B98" s="63"/>
      <c r="C98" s="86" t="str" cm="1">
        <f t="array" ref="C98">IFERROR(INDEX(Tb_KostenOpties[],MATCH(B98,Tb_KostenOptiesDB[KostenOptie],0),IFERROR(MATCH(Methode_Keuze,Tb_KostenOptiesDB[#Headers],0),2)),"")</f>
        <v/>
      </c>
      <c r="D98" s="98">
        <f>IFERROR(INDEX(Tb_ProjectKosten[],MATCH($B98,Tb_ProjectKosten[Begroting],0),6),0)</f>
        <v>0</v>
      </c>
      <c r="E98" s="96">
        <f>SUMIFS('8. Uitgaven betaalverzoek'!$W:$W,'8. Uitgaven betaalverzoek'!$E:$E,$A98,'8. Uitgaven betaalverzoek'!$F:$F,$B98)</f>
        <v>0</v>
      </c>
      <c r="F98" s="96">
        <f>SUMIFS('8. Uitgaven betaalverzoek'!$X:$X,'8. Uitgaven betaalverzoek'!$E:$E,$A98,'8. Uitgaven betaalverzoek'!$F:$F,$B98)</f>
        <v>0</v>
      </c>
      <c r="G98" s="96" t="str">
        <f>IF(C98&lt;&gt;"",SUMIFS('8. Uitgaven betaalverzoek'!$Z:$Z,'8. Uitgaven betaalverzoek'!$E:$E,$A98,'8. Uitgaven betaalverzoek'!$F:$F,$B98),"")</f>
        <v/>
      </c>
      <c r="H98" s="96" t="str">
        <f>IF(C98&lt;&gt;"",SUMIFS('8. Uitgaven betaalverzoek'!$AA:$AA,'8. Uitgaven betaalverzoek'!$E:$E,$A98,'8. Uitgaven betaalverzoek'!$F:$F,$B98),"")</f>
        <v/>
      </c>
      <c r="I98" s="98" t="str">
        <f>IFERROR(VLOOKUP(A98,Lijsten!$AK:$AL,2,0),"")</f>
        <v/>
      </c>
      <c r="J98" s="96">
        <f t="shared" si="9"/>
        <v>0</v>
      </c>
      <c r="K98" s="96">
        <f t="shared" si="9"/>
        <v>0</v>
      </c>
      <c r="L98" s="96">
        <f>SUMIFS('8. Uitgaven betaalverzoek'!$W:$W,'8. Uitgaven betaalverzoek'!$E:$E,$A98,'8. Uitgaven betaalverzoek'!$F:$F,$B98,'8. Uitgaven betaalverzoek'!$A:$A,Keuze_DB_Nr)</f>
        <v>0</v>
      </c>
      <c r="M98" s="96">
        <f>SUMIFS('8. Uitgaven betaalverzoek'!$X:$X,'8. Uitgaven betaalverzoek'!$E:$E,$A98,'8. Uitgaven betaalverzoek'!$F:$F,$B98,'8. Uitgaven betaalverzoek'!$A:$A,Keuze_DB_Nr)</f>
        <v>0</v>
      </c>
      <c r="N98" s="96" t="str">
        <f>IF($C98&lt;&gt;"",SUMIFS('8. Uitgaven betaalverzoek'!$Z:$Z,'8. Uitgaven betaalverzoek'!$E:$E,$A98,'8. Uitgaven betaalverzoek'!$F:$F,$B98,'8. Uitgaven betaalverzoek'!$A:$A,Keuze_DB_Nr),"")</f>
        <v/>
      </c>
      <c r="O98" s="96" t="str">
        <f>IF($C98&lt;&gt;"",SUMIFS('8. Uitgaven betaalverzoek'!$AA:$AA,'8. Uitgaven betaalverzoek'!$E:$E,$A98,'8. Uitgaven betaalverzoek'!$F:$F,$B98,'8. Uitgaven betaalverzoek'!$A:$A,Keuze_DB_Nr),"")</f>
        <v/>
      </c>
      <c r="P98" s="96">
        <f t="shared" si="10"/>
        <v>0</v>
      </c>
      <c r="Q98" s="96">
        <f t="shared" si="11"/>
        <v>0</v>
      </c>
      <c r="R98" s="96">
        <f>SUMIFS('8. Uitgaven betaalverzoek'!$W:$W,'8. Uitgaven betaalverzoek'!$E:$E,$A98,'8. Uitgaven betaalverzoek'!$F:$F,$B98,'8. Uitgaven betaalverzoek'!$A:$A,Keuze_DB_Nr_BEO)</f>
        <v>0</v>
      </c>
      <c r="S98" s="96">
        <f>SUMIFS('8. Uitgaven betaalverzoek'!$X:$X,'8. Uitgaven betaalverzoek'!$E:$E,$A98,'8. Uitgaven betaalverzoek'!$F:$F,$B98,'8. Uitgaven betaalverzoek'!$A:$A,Keuze_DB_Nr_BEO)</f>
        <v>0</v>
      </c>
      <c r="T98" s="96" t="str">
        <f>IF($C98&lt;&gt;"",SUMIFS('8. Uitgaven betaalverzoek'!$Z:$Z,'8. Uitgaven betaalverzoek'!$E:$E,$A98,'8. Uitgaven betaalverzoek'!$F:$F,$B98,'8. Uitgaven betaalverzoek'!$A:$A,Keuze_DB_Nr_BEO),"")</f>
        <v/>
      </c>
      <c r="U98" s="96" t="str">
        <f>IF($C98&lt;&gt;"",SUMIFS('8. Uitgaven betaalverzoek'!$AA:$AA,'8. Uitgaven betaalverzoek'!$E:$E,$A98,'8. Uitgaven betaalverzoek'!$F:$F,$B98,'8. Uitgaven betaalverzoek'!$A:$A,Keuze_DB_Nr_BEO),"")</f>
        <v/>
      </c>
      <c r="V98" s="96">
        <f t="shared" si="7"/>
        <v>0</v>
      </c>
      <c r="W98" s="96">
        <f t="shared" si="8"/>
        <v>0</v>
      </c>
    </row>
    <row r="99" spans="1:23" x14ac:dyDescent="0.25">
      <c r="A99" s="12"/>
      <c r="B99" s="12"/>
      <c r="C99" s="87" t="str" cm="1">
        <f t="array" ref="C99">IFERROR(INDEX(Tb_KostenOpties[],MATCH(B99,Tb_KostenOptiesDB[KostenOptie],0),IFERROR(MATCH(Methode_Keuze,Tb_KostenOptiesDB[#Headers],0),2)),"")</f>
        <v/>
      </c>
      <c r="D99" s="99">
        <f>IFERROR(INDEX(Tb_ProjectKosten[],MATCH($B99,Tb_ProjectKosten[Begroting],0),6),0)</f>
        <v>0</v>
      </c>
      <c r="E99" s="97">
        <f>SUMIFS('8. Uitgaven betaalverzoek'!$W:$W,'8. Uitgaven betaalverzoek'!$E:$E,$A99,'8. Uitgaven betaalverzoek'!$F:$F,$B99)</f>
        <v>0</v>
      </c>
      <c r="F99" s="97">
        <f>SUMIFS('8. Uitgaven betaalverzoek'!$X:$X,'8. Uitgaven betaalverzoek'!$E:$E,$A99,'8. Uitgaven betaalverzoek'!$F:$F,$B99)</f>
        <v>0</v>
      </c>
      <c r="G99" s="97" t="str">
        <f>IF(C99&lt;&gt;"",SUMIFS('8. Uitgaven betaalverzoek'!$Z:$Z,'8. Uitgaven betaalverzoek'!$E:$E,$A99,'8. Uitgaven betaalverzoek'!$F:$F,$B99),"")</f>
        <v/>
      </c>
      <c r="H99" s="97" t="str">
        <f>IF(C99&lt;&gt;"",SUMIFS('8. Uitgaven betaalverzoek'!$AA:$AA,'8. Uitgaven betaalverzoek'!$E:$E,$A99,'8. Uitgaven betaalverzoek'!$F:$F,$B99),"")</f>
        <v/>
      </c>
      <c r="I99" s="99" t="str">
        <f>IFERROR(VLOOKUP(A99,Lijsten!$AK:$AL,2,0),"")</f>
        <v/>
      </c>
      <c r="J99" s="97">
        <f t="shared" si="9"/>
        <v>0</v>
      </c>
      <c r="K99" s="97">
        <f t="shared" si="9"/>
        <v>0</v>
      </c>
      <c r="L99" s="97">
        <f>SUMIFS('8. Uitgaven betaalverzoek'!$W:$W,'8. Uitgaven betaalverzoek'!$E:$E,$A99,'8. Uitgaven betaalverzoek'!$F:$F,$B99,'8. Uitgaven betaalverzoek'!$A:$A,Keuze_DB_Nr)</f>
        <v>0</v>
      </c>
      <c r="M99" s="97">
        <f>SUMIFS('8. Uitgaven betaalverzoek'!$X:$X,'8. Uitgaven betaalverzoek'!$E:$E,$A99,'8. Uitgaven betaalverzoek'!$F:$F,$B99,'8. Uitgaven betaalverzoek'!$A:$A,Keuze_DB_Nr)</f>
        <v>0</v>
      </c>
      <c r="N99" s="97" t="str">
        <f>IF($C99&lt;&gt;"",SUMIFS('8. Uitgaven betaalverzoek'!$Z:$Z,'8. Uitgaven betaalverzoek'!$E:$E,$A99,'8. Uitgaven betaalverzoek'!$F:$F,$B99,'8. Uitgaven betaalverzoek'!$A:$A,Keuze_DB_Nr),"")</f>
        <v/>
      </c>
      <c r="O99" s="97" t="str">
        <f>IF($C99&lt;&gt;"",SUMIFS('8. Uitgaven betaalverzoek'!$AA:$AA,'8. Uitgaven betaalverzoek'!$E:$E,$A99,'8. Uitgaven betaalverzoek'!$F:$F,$B99,'8. Uitgaven betaalverzoek'!$A:$A,Keuze_DB_Nr),"")</f>
        <v/>
      </c>
      <c r="P99" s="97">
        <f t="shared" si="10"/>
        <v>0</v>
      </c>
      <c r="Q99" s="97">
        <f t="shared" si="11"/>
        <v>0</v>
      </c>
      <c r="R99" s="97">
        <f>SUMIFS('8. Uitgaven betaalverzoek'!$W:$W,'8. Uitgaven betaalverzoek'!$E:$E,$A99,'8. Uitgaven betaalverzoek'!$F:$F,$B99,'8. Uitgaven betaalverzoek'!$A:$A,Keuze_DB_Nr_BEO)</f>
        <v>0</v>
      </c>
      <c r="S99" s="97">
        <f>SUMIFS('8. Uitgaven betaalverzoek'!$X:$X,'8. Uitgaven betaalverzoek'!$E:$E,$A99,'8. Uitgaven betaalverzoek'!$F:$F,$B99,'8. Uitgaven betaalverzoek'!$A:$A,Keuze_DB_Nr_BEO)</f>
        <v>0</v>
      </c>
      <c r="T99" s="97" t="str">
        <f>IF($C99&lt;&gt;"",SUMIFS('8. Uitgaven betaalverzoek'!$Z:$Z,'8. Uitgaven betaalverzoek'!$E:$E,$A99,'8. Uitgaven betaalverzoek'!$F:$F,$B99,'8. Uitgaven betaalverzoek'!$A:$A,Keuze_DB_Nr_BEO),"")</f>
        <v/>
      </c>
      <c r="U99" s="97" t="str">
        <f>IF($C99&lt;&gt;"",SUMIFS('8. Uitgaven betaalverzoek'!$AA:$AA,'8. Uitgaven betaalverzoek'!$E:$E,$A99,'8. Uitgaven betaalverzoek'!$F:$F,$B99,'8. Uitgaven betaalverzoek'!$A:$A,Keuze_DB_Nr_BEO),"")</f>
        <v/>
      </c>
      <c r="V99" s="97">
        <f t="shared" si="7"/>
        <v>0</v>
      </c>
      <c r="W99" s="97">
        <f t="shared" si="8"/>
        <v>0</v>
      </c>
    </row>
    <row r="100" spans="1:23" x14ac:dyDescent="0.25">
      <c r="A100" s="63"/>
      <c r="B100" s="63"/>
      <c r="C100" s="86" t="str" cm="1">
        <f t="array" ref="C100">IFERROR(INDEX(Tb_KostenOpties[],MATCH(B100,Tb_KostenOptiesDB[KostenOptie],0),IFERROR(MATCH(Methode_Keuze,Tb_KostenOptiesDB[#Headers],0),2)),"")</f>
        <v/>
      </c>
      <c r="D100" s="98">
        <f>IFERROR(INDEX(Tb_ProjectKosten[],MATCH($B100,Tb_ProjectKosten[Begroting],0),6),0)</f>
        <v>0</v>
      </c>
      <c r="E100" s="96">
        <f>SUMIFS('8. Uitgaven betaalverzoek'!$W:$W,'8. Uitgaven betaalverzoek'!$E:$E,$A100,'8. Uitgaven betaalverzoek'!$F:$F,$B100)</f>
        <v>0</v>
      </c>
      <c r="F100" s="96">
        <f>SUMIFS('8. Uitgaven betaalverzoek'!$X:$X,'8. Uitgaven betaalverzoek'!$E:$E,$A100,'8. Uitgaven betaalverzoek'!$F:$F,$B100)</f>
        <v>0</v>
      </c>
      <c r="G100" s="96" t="str">
        <f>IF(C100&lt;&gt;"",SUMIFS('8. Uitgaven betaalverzoek'!$Z:$Z,'8. Uitgaven betaalverzoek'!$E:$E,$A100,'8. Uitgaven betaalverzoek'!$F:$F,$B100),"")</f>
        <v/>
      </c>
      <c r="H100" s="96" t="str">
        <f>IF(C100&lt;&gt;"",SUMIFS('8. Uitgaven betaalverzoek'!$AA:$AA,'8. Uitgaven betaalverzoek'!$E:$E,$A100,'8. Uitgaven betaalverzoek'!$F:$F,$B100),"")</f>
        <v/>
      </c>
      <c r="I100" s="98" t="str">
        <f>IFERROR(VLOOKUP(A100,Lijsten!$AK:$AL,2,0),"")</f>
        <v/>
      </c>
      <c r="J100" s="96">
        <f t="shared" si="9"/>
        <v>0</v>
      </c>
      <c r="K100" s="96">
        <f t="shared" si="9"/>
        <v>0</v>
      </c>
      <c r="L100" s="96">
        <f>SUMIFS('8. Uitgaven betaalverzoek'!$W:$W,'8. Uitgaven betaalverzoek'!$E:$E,$A100,'8. Uitgaven betaalverzoek'!$F:$F,$B100,'8. Uitgaven betaalverzoek'!$A:$A,Keuze_DB_Nr)</f>
        <v>0</v>
      </c>
      <c r="M100" s="96">
        <f>SUMIFS('8. Uitgaven betaalverzoek'!$X:$X,'8. Uitgaven betaalverzoek'!$E:$E,$A100,'8. Uitgaven betaalverzoek'!$F:$F,$B100,'8. Uitgaven betaalverzoek'!$A:$A,Keuze_DB_Nr)</f>
        <v>0</v>
      </c>
      <c r="N100" s="96" t="str">
        <f>IF($C100&lt;&gt;"",SUMIFS('8. Uitgaven betaalverzoek'!$Z:$Z,'8. Uitgaven betaalverzoek'!$E:$E,$A100,'8. Uitgaven betaalverzoek'!$F:$F,$B100,'8. Uitgaven betaalverzoek'!$A:$A,Keuze_DB_Nr),"")</f>
        <v/>
      </c>
      <c r="O100" s="96" t="str">
        <f>IF($C100&lt;&gt;"",SUMIFS('8. Uitgaven betaalverzoek'!$AA:$AA,'8. Uitgaven betaalverzoek'!$E:$E,$A100,'8. Uitgaven betaalverzoek'!$F:$F,$B100,'8. Uitgaven betaalverzoek'!$A:$A,Keuze_DB_Nr),"")</f>
        <v/>
      </c>
      <c r="P100" s="96">
        <f>IFERROR($I100*(L100+N100),0)</f>
        <v>0</v>
      </c>
      <c r="Q100" s="96">
        <f>IFERROR($I100*(M100+O100),0)</f>
        <v>0</v>
      </c>
      <c r="R100" s="96">
        <f>SUMIFS('8. Uitgaven betaalverzoek'!$W:$W,'8. Uitgaven betaalverzoek'!$E:$E,$A100,'8. Uitgaven betaalverzoek'!$F:$F,$B100,'8. Uitgaven betaalverzoek'!$A:$A,Keuze_DB_Nr_BEO)</f>
        <v>0</v>
      </c>
      <c r="S100" s="96">
        <f>SUMIFS('8. Uitgaven betaalverzoek'!$X:$X,'8. Uitgaven betaalverzoek'!$E:$E,$A100,'8. Uitgaven betaalverzoek'!$F:$F,$B100,'8. Uitgaven betaalverzoek'!$A:$A,Keuze_DB_Nr_BEO)</f>
        <v>0</v>
      </c>
      <c r="T100" s="96" t="str">
        <f>IF($C100&lt;&gt;"",SUMIFS('8. Uitgaven betaalverzoek'!$Z:$Z,'8. Uitgaven betaalverzoek'!$E:$E,$A100,'8. Uitgaven betaalverzoek'!$F:$F,$B100,'8. Uitgaven betaalverzoek'!$A:$A,Keuze_DB_Nr_BEO),"")</f>
        <v/>
      </c>
      <c r="U100" s="96" t="str">
        <f>IF($C100&lt;&gt;"",SUMIFS('8. Uitgaven betaalverzoek'!$AA:$AA,'8. Uitgaven betaalverzoek'!$E:$E,$A100,'8. Uitgaven betaalverzoek'!$F:$F,$B100,'8. Uitgaven betaalverzoek'!$A:$A,Keuze_DB_Nr_BEO),"")</f>
        <v/>
      </c>
      <c r="V100" s="96">
        <f t="shared" si="7"/>
        <v>0</v>
      </c>
      <c r="W100" s="96">
        <f t="shared" si="8"/>
        <v>0</v>
      </c>
    </row>
  </sheetData>
  <sheetProtection algorithmName="SHA-512" hashValue="JZixHBe1yS8O7iwXMsd+5fjmEhtPJS0s48BzTeqwTYnZippWuheljeJvUC1++8c4r5MJMDFW1goN4rrM0FHqTw==" saltValue="PLWtf8KlqRJN+ze/pqlWWw==" spinCount="100000" sheet="1" objects="1" scenarios="1"/>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8FD11-6826-4A64-8C5E-E5B2FF1B61D8}">
  <sheetPr codeName="Blad13">
    <tabColor theme="4" tint="-0.249977111117893"/>
  </sheetPr>
  <dimension ref="A1:BX100"/>
  <sheetViews>
    <sheetView workbookViewId="0">
      <pane ySplit="1" topLeftCell="A2" activePane="bottomLeft" state="frozen"/>
      <selection activeCell="C10" sqref="C10:E10"/>
      <selection pane="bottomLeft" activeCell="L2" sqref="L2"/>
    </sheetView>
  </sheetViews>
  <sheetFormatPr defaultRowHeight="15" x14ac:dyDescent="0.25"/>
  <cols>
    <col min="1" max="1" width="18.28515625" bestFit="1" customWidth="1"/>
    <col min="2" max="2" width="10.5703125" bestFit="1" customWidth="1"/>
    <col min="3" max="3" width="18.28515625" bestFit="1" customWidth="1"/>
    <col min="5" max="5" width="29.42578125" bestFit="1" customWidth="1"/>
    <col min="8" max="8" width="19.7109375" bestFit="1" customWidth="1"/>
    <col min="9" max="9" width="5.42578125" bestFit="1" customWidth="1"/>
    <col min="12" max="12" width="35.7109375" customWidth="1"/>
    <col min="13" max="14" width="11.140625" customWidth="1"/>
    <col min="15" max="15" width="33.5703125" customWidth="1"/>
    <col min="16" max="16" width="20" customWidth="1"/>
    <col min="18" max="18" width="15.85546875" bestFit="1" customWidth="1"/>
    <col min="20" max="20" width="18.85546875" bestFit="1" customWidth="1"/>
    <col min="21" max="21" width="2.140625" customWidth="1"/>
    <col min="22" max="22" width="7.42578125" bestFit="1" customWidth="1"/>
    <col min="23" max="23" width="3.5703125" customWidth="1"/>
    <col min="24" max="24" width="31.5703125" bestFit="1" customWidth="1"/>
    <col min="25" max="25" width="8.140625" bestFit="1" customWidth="1"/>
    <col min="26" max="26" width="2" customWidth="1"/>
    <col min="27" max="27" width="31.5703125" bestFit="1" customWidth="1"/>
    <col min="28" max="28" width="8.140625" bestFit="1" customWidth="1"/>
    <col min="29" max="29" width="2" customWidth="1"/>
    <col min="30" max="30" width="19.28515625" bestFit="1" customWidth="1"/>
    <col min="31" max="31" width="19.5703125" bestFit="1" customWidth="1"/>
    <col min="33" max="33" width="18.28515625" bestFit="1" customWidth="1"/>
    <col min="34" max="34" width="18.28515625" customWidth="1"/>
    <col min="36" max="36" width="48.28515625" customWidth="1"/>
    <col min="37" max="37" width="35.7109375" bestFit="1" customWidth="1"/>
    <col min="38" max="38" width="11.28515625" style="56" customWidth="1"/>
    <col min="39" max="39" width="9.140625" customWidth="1"/>
    <col min="40" max="40" width="14.28515625" bestFit="1" customWidth="1"/>
    <col min="67" max="67" width="11.85546875" customWidth="1"/>
    <col min="68" max="68" width="14.28515625" customWidth="1"/>
    <col min="69" max="69" width="29.42578125" bestFit="1" customWidth="1"/>
    <col min="70" max="76" width="18.5703125" bestFit="1" customWidth="1"/>
  </cols>
  <sheetData>
    <row r="1" spans="1:76" x14ac:dyDescent="0.25">
      <c r="A1" s="58" t="s">
        <v>76</v>
      </c>
      <c r="C1" s="58" t="s">
        <v>77</v>
      </c>
      <c r="E1" s="58" t="s">
        <v>93</v>
      </c>
      <c r="F1" s="58" t="s">
        <v>97</v>
      </c>
      <c r="H1" s="58" t="s">
        <v>94</v>
      </c>
      <c r="I1" s="66" t="s">
        <v>89</v>
      </c>
      <c r="J1" s="58" t="s">
        <v>48</v>
      </c>
      <c r="L1" s="58" t="s">
        <v>0</v>
      </c>
      <c r="M1" s="58" t="s">
        <v>98</v>
      </c>
      <c r="N1" s="58" t="s">
        <v>40</v>
      </c>
      <c r="O1" s="58"/>
      <c r="P1" s="58" t="str">
        <f>IF(Gebied1_2&lt;&gt;"",Gebied1_2,Berekeningsmethode!$B$2)</f>
        <v>Geen vereenvoudigde kostenoptie</v>
      </c>
      <c r="R1" s="58" t="s">
        <v>328</v>
      </c>
      <c r="T1" s="58" t="s">
        <v>100</v>
      </c>
      <c r="V1" s="58" t="s">
        <v>116</v>
      </c>
      <c r="X1" s="58" t="s">
        <v>121</v>
      </c>
      <c r="Y1" s="58" t="s">
        <v>340</v>
      </c>
      <c r="AA1" s="58" t="s">
        <v>121</v>
      </c>
      <c r="AB1" s="58" t="s">
        <v>340</v>
      </c>
      <c r="AD1" s="58" t="s">
        <v>73</v>
      </c>
      <c r="AE1" s="58" t="s">
        <v>74</v>
      </c>
      <c r="AG1" s="58" t="s">
        <v>151</v>
      </c>
      <c r="AH1" s="58" t="s">
        <v>75</v>
      </c>
      <c r="AJ1" s="58" t="s">
        <v>80</v>
      </c>
      <c r="AK1" s="58" t="s">
        <v>228</v>
      </c>
      <c r="AL1" s="92" t="s">
        <v>254</v>
      </c>
      <c r="AM1" s="58" t="s">
        <v>8</v>
      </c>
      <c r="AN1" s="58" t="s">
        <v>82</v>
      </c>
      <c r="AO1" s="58" t="s">
        <v>28</v>
      </c>
      <c r="AP1" s="58" t="s">
        <v>27</v>
      </c>
      <c r="AQ1" s="58" t="s">
        <v>11</v>
      </c>
      <c r="AR1" s="58" t="s">
        <v>96</v>
      </c>
      <c r="AS1" s="58" t="s">
        <v>95</v>
      </c>
      <c r="AT1" s="58" t="s">
        <v>3</v>
      </c>
      <c r="AU1" s="58" t="s">
        <v>304</v>
      </c>
      <c r="AV1" s="58" t="s">
        <v>314</v>
      </c>
      <c r="AW1" s="58" t="s">
        <v>50</v>
      </c>
      <c r="AX1" s="58" t="s">
        <v>7</v>
      </c>
      <c r="AY1" s="58" t="s">
        <v>5</v>
      </c>
      <c r="AZ1" s="58" t="s">
        <v>52</v>
      </c>
      <c r="BA1" s="58" t="s">
        <v>242</v>
      </c>
      <c r="BB1" s="58" t="s">
        <v>53</v>
      </c>
      <c r="BC1" s="58" t="s">
        <v>43</v>
      </c>
      <c r="BD1" s="58" t="s">
        <v>339</v>
      </c>
      <c r="BE1" s="58" t="s">
        <v>333</v>
      </c>
      <c r="BF1" s="58" t="s">
        <v>334</v>
      </c>
      <c r="BG1" s="58" t="s">
        <v>337</v>
      </c>
      <c r="BH1" s="58" t="s">
        <v>200</v>
      </c>
      <c r="BI1" s="58" t="s">
        <v>201</v>
      </c>
      <c r="BJ1" s="58" t="s">
        <v>202</v>
      </c>
      <c r="BK1" s="58" t="s">
        <v>203</v>
      </c>
      <c r="BL1" s="58" t="s">
        <v>204</v>
      </c>
      <c r="BM1" s="58" t="s">
        <v>245</v>
      </c>
      <c r="BN1" s="58" t="s">
        <v>139</v>
      </c>
      <c r="BO1" s="58" t="s">
        <v>140</v>
      </c>
      <c r="BP1" s="58" t="s">
        <v>141</v>
      </c>
      <c r="BQ1" s="58" t="s">
        <v>142</v>
      </c>
      <c r="BR1" s="58" t="s">
        <v>143</v>
      </c>
      <c r="BS1" s="58" t="s">
        <v>144</v>
      </c>
      <c r="BT1" s="58" t="s">
        <v>145</v>
      </c>
      <c r="BU1" s="58" t="s">
        <v>146</v>
      </c>
      <c r="BV1" s="58" t="s">
        <v>301</v>
      </c>
      <c r="BW1" s="58" t="s">
        <v>302</v>
      </c>
      <c r="BX1" s="58" t="s">
        <v>303</v>
      </c>
    </row>
    <row r="2" spans="1:76" x14ac:dyDescent="0.25">
      <c r="A2" s="57" t="str" cm="1">
        <f t="array" ref="A2">IFERROR(IF(INDEX(Deelnemers,MATCH(0,INDEX(COUNTIF($A$1:A1,Deelnemers),),0))=0,"",INDEX(Deelnemers,MATCH(0,INDEX(COUNTIF($A$1:A1,Deelnemers),),0))),"")</f>
        <v/>
      </c>
      <c r="C2" s="57" t="str" cm="1">
        <f t="array" ref="C2">IFERROR(IF(INDEX(Prestaties,MATCH(0,INDEX(COUNTIF($C$1:C1,Prestaties),),0))=0,"",INDEX(Prestaties,MATCH(0,INDEX(COUNTIF($C$1:C1,Prestaties),),0))),"")</f>
        <v/>
      </c>
      <c r="E2" s="57" t="str" cm="1">
        <f t="array" aca="1" ref="E2:F12" ca="1">IFERROR(_xlfn._xlws.FILTER('6. Begrotingsoverzicht'!B11:C21,'6. Begrotingsoverzicht'!C11:C21&gt;0),"")</f>
        <v/>
      </c>
      <c r="F2" s="57" t="str">
        <f ca="1"/>
        <v/>
      </c>
      <c r="H2" s="57" t="str" cm="1">
        <f t="array" ref="H2">IFERROR(_xlfn._xlws.FILTER('7. Rekenhulp loonkosten bet.vz.'!C5:C54,'7. Rekenhulp loonkosten bet.vz.'!C5:C54&lt;&gt;""),"")</f>
        <v/>
      </c>
      <c r="I2" s="57" t="str">
        <f>IFERROR(INDEX(DB_Loonkosten,MATCH(H2,'7. Rekenhulp loonkosten bet.vz.'!$C$5:$C$54,0),1),"")</f>
        <v/>
      </c>
      <c r="J2" s="67">
        <f>IFERROR(INDEX(DB_Loonkosten,MATCH(I2,[0]!LoonkostenNr,0),24),"")</f>
        <v>0</v>
      </c>
      <c r="L2" s="57" t="str" cm="1">
        <f t="array" ref="L2:O42">IFERROR(_xlfn.UNIQUE(Tb_KostenTypen[[Kostentype]:[Arbeidskosten]]),"")</f>
        <v>Loonkosten</v>
      </c>
      <c r="M2" s="57" t="str">
        <v>Uurtarief</v>
      </c>
      <c r="N2" s="57">
        <v>1</v>
      </c>
      <c r="O2" s="57" t="str">
        <v>Arbeidskosten</v>
      </c>
      <c r="P2" s="67">
        <f>IF(L2&lt;&gt;"",IFERROR(VLOOKUP(L2,Tb_KostenTypen[],MATCH($P$1,Tb_KostenTypen[#Headers],0),0),0),"")</f>
        <v>0</v>
      </c>
      <c r="R2" s="57">
        <v>2025</v>
      </c>
      <c r="T2" s="57" t="str" cm="1">
        <f t="array" ref="T2">IFERROR(_xlfn.UNIQUE(_xlfn._xlws.FILTER('8. Uitgaven betaalverzoek'!A2:A2001,'8. Uitgaven betaalverzoek'!A2:A2001&lt;&gt;"")),"")</f>
        <v/>
      </c>
      <c r="V2" s="57" t="s">
        <v>68</v>
      </c>
      <c r="X2" s="91" t="str" cm="1">
        <f t="array" ref="X2">IFERROR(_xlfn.UNIQUE(_xlfn._xlws.FILTER('5. Kosten uitvoering project'!$E$6:$E$250,'5. Kosten uitvoering project'!$E$6:$E$250&lt;&gt;"")),"")</f>
        <v/>
      </c>
      <c r="Y2" s="91" t="str">
        <f>IFERROR(MATCH(X2,Tb_Activiteiten[Subsidiabele_Activiteit],0),"")</f>
        <v/>
      </c>
      <c r="AA2" s="91" t="str" cm="1">
        <f t="array" aca="1" ref="AA2:AB2" ca="1">_xlfn._xlws.SORT(OFFSET(Lijsten!$X$1,1,,IF(COUNTIF(Lijsten!$X$1:$X$100,"&lt;&gt;"&amp;"")&gt;1,COUNTIF(Lijsten!$X$1:$X$100,"&lt;&gt;"&amp;"")-1,COUNTIF(Lijsten!$X$1:$X$100,"&lt;&gt;"&amp;"")),2),2)</f>
        <v/>
      </c>
      <c r="AB2" s="91" t="str">
        <f ca="1"/>
        <v/>
      </c>
      <c r="AD2" s="95">
        <f>IFERROR(VLOOKUP(Openstelling_Keuze,Subsidie_Tabel,MATCH(AD1,Tb_Openstelling[#Headers],0),0),0)</f>
        <v>0</v>
      </c>
      <c r="AE2" s="95">
        <f>IFERROR(VLOOKUP(Openstelling_Keuze,Subsidie_Tabel,MATCH(AE1,Tb_Openstelling[#Headers],0),0),0)</f>
        <v>0</v>
      </c>
      <c r="AG2" s="91" t="str" cm="1">
        <f t="array" ref="AG2">IFERROR(_xlfn._xlws.FILTER('4. Rekenhulp loonkosten aanvr.'!A5:B54,'4. Rekenhulp loonkosten aanvr.'!A5:A54&lt;&gt;""),"")</f>
        <v/>
      </c>
      <c r="AH2" s="91"/>
      <c r="AJ2" s="91" t="str" cm="1">
        <f t="array" ref="AJ2">IFERROR(IF(Openstelling_Keuze&lt;&gt;"",_xlfn._xlws.FILTER(Tb_Activiteiten[],Tb_Activiteiten[Openstelling]=Openstelling_Keuze,""),""),"")</f>
        <v/>
      </c>
      <c r="AK2" s="91"/>
      <c r="AL2" s="93"/>
      <c r="AM2" s="91"/>
      <c r="AN2" s="91"/>
      <c r="AO2" s="91"/>
      <c r="AP2" s="91"/>
      <c r="AQ2" s="91"/>
      <c r="AR2" s="91"/>
      <c r="AS2" s="91"/>
      <c r="AT2" s="91"/>
      <c r="AU2" s="91"/>
      <c r="AV2" s="91"/>
      <c r="AW2" s="91"/>
      <c r="AX2" s="91"/>
      <c r="AY2" s="91"/>
      <c r="AZ2" s="91"/>
      <c r="BA2" s="91"/>
      <c r="BB2" s="91"/>
      <c r="BC2" s="91"/>
      <c r="BD2" s="91"/>
      <c r="BE2" s="91"/>
      <c r="BF2" s="91"/>
      <c r="BG2" s="91"/>
      <c r="BH2" s="91"/>
      <c r="BI2" s="91"/>
      <c r="BJ2" s="91"/>
      <c r="BK2" s="91"/>
      <c r="BL2" s="91"/>
      <c r="BM2" s="91"/>
      <c r="BN2" s="91"/>
      <c r="BO2" s="91"/>
      <c r="BP2" s="91"/>
      <c r="BQ2" s="91"/>
      <c r="BR2" s="91"/>
      <c r="BS2" s="91"/>
      <c r="BT2" s="91"/>
      <c r="BU2" s="91"/>
      <c r="BV2" s="91"/>
      <c r="BW2" s="91"/>
      <c r="BX2" s="91"/>
    </row>
    <row r="3" spans="1:76" x14ac:dyDescent="0.25">
      <c r="A3" s="57" t="str" cm="1">
        <f t="array" ref="A3">IFERROR(IF(INDEX(Deelnemers,MATCH(0,INDEX(COUNTIF($A$1:A2,Deelnemers),),0))=0,"",INDEX(Deelnemers,MATCH(0,INDEX(COUNTIF($A$1:A2,Deelnemers),),0))),"")</f>
        <v/>
      </c>
      <c r="C3" s="57" t="str" cm="1">
        <f t="array" ref="C3">IFERROR(IF(INDEX(Prestaties,MATCH(0,INDEX(COUNTIF($C$1:C2,Prestaties),),0))=0,"",INDEX(Prestaties,MATCH(0,INDEX(COUNTIF($C$1:C2,Prestaties),),0))),"")</f>
        <v/>
      </c>
      <c r="E3" s="57">
        <f ca="1"/>
        <v>0</v>
      </c>
      <c r="F3" s="57" t="str">
        <f ca="1"/>
        <v/>
      </c>
      <c r="H3" s="57"/>
      <c r="I3" s="57" t="str">
        <f>IFERROR(INDEX(DB_Loonkosten,MATCH(H3,'7. Rekenhulp loonkosten bet.vz.'!$C$5:$C$54,0),1),"")</f>
        <v/>
      </c>
      <c r="J3" s="67">
        <f>IFERROR(INDEX(DB_Loonkosten,MATCH(I3,[0]!LoonkostenNr,0),24),"")</f>
        <v>0</v>
      </c>
      <c r="L3" s="57" t="str">
        <v>Eigen arbeid</v>
      </c>
      <c r="M3" s="57" t="str">
        <v>Vast tarief</v>
      </c>
      <c r="N3" s="57">
        <v>1</v>
      </c>
      <c r="O3" s="57" t="str">
        <v>Arbeidskosten</v>
      </c>
      <c r="P3" s="67">
        <f>IF(L3&lt;&gt;"",IFERROR(VLOOKUP(L3,Tb_KostenTypen[],MATCH($P$1,Tb_KostenTypen[#Headers],0),0),0),"")</f>
        <v>50</v>
      </c>
      <c r="R3" s="57">
        <f>R2+1</f>
        <v>2026</v>
      </c>
      <c r="T3" s="57"/>
      <c r="V3" s="57" t="s">
        <v>62</v>
      </c>
      <c r="X3" s="91"/>
      <c r="Y3" s="91" t="str">
        <f>IFERROR(MATCH(X3,Tb_Activiteiten[Subsidiabele_Activiteit],0),"")</f>
        <v/>
      </c>
      <c r="AA3" s="91"/>
      <c r="AB3" s="91"/>
      <c r="AG3" s="91"/>
      <c r="AH3" s="91"/>
      <c r="AJ3" s="91"/>
      <c r="AK3" s="91"/>
      <c r="AL3" s="93"/>
      <c r="AM3" s="91"/>
      <c r="AN3" s="91"/>
      <c r="AO3" s="91"/>
      <c r="AP3" s="91"/>
      <c r="AQ3" s="91"/>
      <c r="AR3" s="91"/>
      <c r="AS3" s="91"/>
      <c r="AT3" s="91"/>
      <c r="AU3" s="91"/>
      <c r="AV3" s="91"/>
      <c r="AW3" s="91"/>
      <c r="AX3" s="91"/>
      <c r="AY3" s="91"/>
      <c r="AZ3" s="91"/>
      <c r="BA3" s="91"/>
      <c r="BB3" s="91"/>
      <c r="BC3" s="91"/>
      <c r="BD3" s="91"/>
      <c r="BE3" s="91"/>
      <c r="BF3" s="91"/>
      <c r="BG3" s="91"/>
      <c r="BH3" s="91"/>
      <c r="BI3" s="91"/>
      <c r="BJ3" s="91"/>
      <c r="BK3" s="91"/>
      <c r="BL3" s="91"/>
      <c r="BM3" s="91"/>
      <c r="BN3" s="91"/>
      <c r="BO3" s="91"/>
      <c r="BP3" s="91"/>
      <c r="BQ3" s="91"/>
      <c r="BR3" s="91"/>
      <c r="BS3" s="91"/>
      <c r="BT3" s="91"/>
      <c r="BU3" s="91"/>
      <c r="BV3" s="91"/>
      <c r="BW3" s="91"/>
      <c r="BX3" s="91"/>
    </row>
    <row r="4" spans="1:76" x14ac:dyDescent="0.25">
      <c r="A4" s="57" t="str" cm="1">
        <f t="array" ref="A4">IFERROR(IF(INDEX(Deelnemers,MATCH(0,INDEX(COUNTIF($A$1:A3,Deelnemers),),0))=0,"",INDEX(Deelnemers,MATCH(0,INDEX(COUNTIF($A$1:A3,Deelnemers),),0))),"")</f>
        <v/>
      </c>
      <c r="C4" s="57" t="str" cm="1">
        <f t="array" ref="C4">IFERROR(IF(INDEX(Prestaties,MATCH(0,INDEX(COUNTIF($C$1:C3,Prestaties),),0))=0,"",INDEX(Prestaties,MATCH(0,INDEX(COUNTIF($C$1:C3,Prestaties),),0))),"")</f>
        <v/>
      </c>
      <c r="E4" s="57">
        <f ca="1"/>
        <v>0</v>
      </c>
      <c r="F4" s="57" t="str">
        <f ca="1"/>
        <v/>
      </c>
      <c r="H4" s="57"/>
      <c r="I4" s="57" t="str">
        <f>IFERROR(INDEX(DB_Loonkosten,MATCH(H4,'7. Rekenhulp loonkosten bet.vz.'!$C$5:$C$54,0),1),"")</f>
        <v/>
      </c>
      <c r="J4" s="67">
        <f>IFERROR(INDEX(DB_Loonkosten,MATCH(I4,[0]!LoonkostenNr,0),24),"")</f>
        <v>0</v>
      </c>
      <c r="L4" s="57" t="str">
        <v>Adviseur</v>
      </c>
      <c r="M4" s="57" t="str">
        <v>Vast tarief</v>
      </c>
      <c r="N4" s="57">
        <v>0</v>
      </c>
      <c r="O4" s="57" t="str">
        <v>Arbeidskosten - vast tarief (excl eigen arbeid)</v>
      </c>
      <c r="P4" s="67">
        <f>IF(L4&lt;&gt;"",IFERROR(VLOOKUP(L4,Tb_KostenTypen[],MATCH($P$1,Tb_KostenTypen[#Headers],0),0),0),"")</f>
        <v>78</v>
      </c>
      <c r="R4" s="57">
        <f>R3+1</f>
        <v>2027</v>
      </c>
      <c r="T4" s="57"/>
      <c r="X4" s="91"/>
      <c r="Y4" s="91" t="str">
        <f>IFERROR(MATCH(X4,Tb_Activiteiten[Subsidiabele_Activiteit],0),"")</f>
        <v/>
      </c>
      <c r="AA4" s="91"/>
      <c r="AB4" s="91"/>
      <c r="AG4" s="91"/>
      <c r="AH4" s="91"/>
      <c r="AJ4" s="91"/>
      <c r="AK4" s="91"/>
      <c r="AL4" s="93"/>
      <c r="AM4" s="91"/>
      <c r="AN4" s="91"/>
      <c r="AO4" s="91"/>
      <c r="AP4" s="91"/>
      <c r="AQ4" s="91"/>
      <c r="AR4" s="91"/>
      <c r="AS4" s="91"/>
      <c r="AT4" s="91"/>
      <c r="AU4" s="91"/>
      <c r="AV4" s="91"/>
      <c r="AW4" s="91"/>
      <c r="AX4" s="91"/>
      <c r="AY4" s="91"/>
      <c r="AZ4" s="91"/>
      <c r="BA4" s="91"/>
      <c r="BB4" s="91"/>
      <c r="BC4" s="91"/>
      <c r="BD4" s="91"/>
      <c r="BE4" s="91"/>
      <c r="BF4" s="91"/>
      <c r="BG4" s="91"/>
      <c r="BH4" s="91"/>
      <c r="BI4" s="91"/>
      <c r="BJ4" s="91"/>
      <c r="BK4" s="91"/>
      <c r="BL4" s="91"/>
      <c r="BM4" s="91"/>
      <c r="BN4" s="91"/>
      <c r="BO4" s="91"/>
      <c r="BP4" s="91"/>
      <c r="BQ4" s="91"/>
      <c r="BR4" s="91"/>
      <c r="BS4" s="91"/>
      <c r="BT4" s="91"/>
      <c r="BU4" s="91"/>
      <c r="BV4" s="91"/>
      <c r="BW4" s="91"/>
      <c r="BX4" s="91"/>
    </row>
    <row r="5" spans="1:76" x14ac:dyDescent="0.25">
      <c r="A5" s="57" t="str" cm="1">
        <f t="array" ref="A5">IFERROR(IF(INDEX(Deelnemers,MATCH(0,INDEX(COUNTIF($A$1:A4,Deelnemers),),0))=0,"",INDEX(Deelnemers,MATCH(0,INDEX(COUNTIF($A$1:A4,Deelnemers),),0))),"")</f>
        <v/>
      </c>
      <c r="C5" s="57" t="str" cm="1">
        <f t="array" ref="C5">IFERROR(IF(INDEX(Prestaties,MATCH(0,INDEX(COUNTIF($C$1:C4,Prestaties),),0))=0,"",INDEX(Prestaties,MATCH(0,INDEX(COUNTIF($C$1:C4,Prestaties),),0))),"")</f>
        <v/>
      </c>
      <c r="E5" s="57">
        <f ca="1"/>
        <v>0</v>
      </c>
      <c r="F5" s="57" t="str">
        <f ca="1"/>
        <v/>
      </c>
      <c r="H5" s="57"/>
      <c r="I5" s="57" t="str">
        <f>IFERROR(INDEX(DB_Loonkosten,MATCH(H5,'7. Rekenhulp loonkosten bet.vz.'!$C$5:$C$54,0),1),"")</f>
        <v/>
      </c>
      <c r="J5" s="67">
        <f>IFERROR(INDEX(DB_Loonkosten,MATCH(I5,[0]!LoonkostenNr,0),24),"")</f>
        <v>0</v>
      </c>
      <c r="L5" s="57" t="str">
        <v>Projectleider/Expert</v>
      </c>
      <c r="M5" s="57" t="str">
        <v>Vast tarief</v>
      </c>
      <c r="N5" s="57">
        <v>0</v>
      </c>
      <c r="O5" s="57" t="str">
        <v>Arbeidskosten - vast tarief (excl eigen arbeid)</v>
      </c>
      <c r="P5" s="67">
        <f>IF(L5&lt;&gt;"",IFERROR(VLOOKUP(L5,Tb_KostenTypen[],MATCH($P$1,Tb_KostenTypen[#Headers],0),0),0),"")</f>
        <v>88</v>
      </c>
      <c r="R5" s="57">
        <f>R4+1</f>
        <v>2028</v>
      </c>
      <c r="T5" s="57"/>
      <c r="X5" s="91"/>
      <c r="Y5" s="91" t="str">
        <f>IFERROR(MATCH(X5,Tb_Activiteiten[Subsidiabele_Activiteit],0),"")</f>
        <v/>
      </c>
      <c r="AA5" s="91"/>
      <c r="AB5" s="91"/>
      <c r="AG5" s="91"/>
      <c r="AH5" s="91"/>
      <c r="AJ5" s="91"/>
      <c r="AK5" s="91"/>
      <c r="AL5" s="93"/>
      <c r="AM5" s="91"/>
      <c r="AN5" s="91"/>
      <c r="AO5" s="91"/>
      <c r="AP5" s="91"/>
      <c r="AQ5" s="91"/>
      <c r="AR5" s="91"/>
      <c r="AS5" s="91"/>
      <c r="AT5" s="91"/>
      <c r="AU5" s="91"/>
      <c r="AV5" s="91"/>
      <c r="AW5" s="91"/>
      <c r="AX5" s="91"/>
      <c r="AY5" s="91"/>
      <c r="AZ5" s="91"/>
      <c r="BA5" s="91"/>
      <c r="BB5" s="91"/>
      <c r="BC5" s="91"/>
      <c r="BD5" s="91"/>
      <c r="BE5" s="91"/>
      <c r="BF5" s="91"/>
      <c r="BG5" s="91"/>
      <c r="BH5" s="91"/>
      <c r="BI5" s="91"/>
      <c r="BJ5" s="91"/>
      <c r="BK5" s="91"/>
      <c r="BL5" s="91"/>
      <c r="BM5" s="91"/>
      <c r="BN5" s="91"/>
      <c r="BO5" s="91"/>
      <c r="BP5" s="91"/>
      <c r="BQ5" s="91"/>
      <c r="BR5" s="91"/>
      <c r="BS5" s="91"/>
      <c r="BT5" s="91"/>
      <c r="BU5" s="91"/>
      <c r="BV5" s="91"/>
      <c r="BW5" s="91"/>
      <c r="BX5" s="91"/>
    </row>
    <row r="6" spans="1:76" x14ac:dyDescent="0.25">
      <c r="A6" s="57" t="str" cm="1">
        <f t="array" ref="A6">IFERROR(IF(INDEX(Deelnemers,MATCH(0,INDEX(COUNTIF($A$1:A5,Deelnemers),),0))=0,"",INDEX(Deelnemers,MATCH(0,INDEX(COUNTIF($A$1:A5,Deelnemers),),0))),"")</f>
        <v/>
      </c>
      <c r="C6" s="57" t="str" cm="1">
        <f t="array" ref="C6">IFERROR(IF(INDEX(Prestaties,MATCH(0,INDEX(COUNTIF($C$1:C5,Prestaties),),0))=0,"",INDEX(Prestaties,MATCH(0,INDEX(COUNTIF($C$1:C5,Prestaties),),0))),"")</f>
        <v/>
      </c>
      <c r="E6" s="57">
        <f ca="1"/>
        <v>0</v>
      </c>
      <c r="F6" s="57" t="str">
        <f ca="1"/>
        <v/>
      </c>
      <c r="H6" s="57"/>
      <c r="I6" s="57" t="str">
        <f>IFERROR(INDEX(DB_Loonkosten,MATCH(H6,'7. Rekenhulp loonkosten bet.vz.'!$C$5:$C$54,0),1),"")</f>
        <v/>
      </c>
      <c r="J6" s="67">
        <f>IFERROR(INDEX(DB_Loonkosten,MATCH(I6,[0]!LoonkostenNr,0),24),"")</f>
        <v>0</v>
      </c>
      <c r="L6" s="57" t="str">
        <v>Projectmedewerker</v>
      </c>
      <c r="M6" s="57" t="str">
        <v>Vast tarief</v>
      </c>
      <c r="N6" s="57">
        <v>0</v>
      </c>
      <c r="O6" s="57" t="str">
        <v>Arbeidskosten - vast tarief (excl eigen arbeid)</v>
      </c>
      <c r="P6" s="67">
        <f>IF(L6&lt;&gt;"",IFERROR(VLOOKUP(L6,Tb_KostenTypen[],MATCH($P$1,Tb_KostenTypen[#Headers],0),0),0),"")</f>
        <v>44</v>
      </c>
      <c r="R6" s="57"/>
      <c r="T6" s="57"/>
      <c r="V6" t="str" cm="1">
        <f t="array" ref="V6">IF(LEFT('8. Uitgaven betaalverzoek'!F6,6)="Arbeid",IF(RIGHT('8. Uitgaven betaalverzoek'!F6,3)="IKS",MedewerkersIKS_Uniek,Medewerkers_Uniek),"")</f>
        <v/>
      </c>
      <c r="X6" s="91"/>
      <c r="Y6" s="91" t="str">
        <f>IFERROR(MATCH(X6,Tb_Activiteiten[Subsidiabele_Activiteit],0),"")</f>
        <v/>
      </c>
      <c r="AA6" s="91"/>
      <c r="AB6" s="91"/>
      <c r="AG6" s="91"/>
      <c r="AH6" s="91"/>
      <c r="AJ6" s="91"/>
      <c r="AK6" s="91"/>
      <c r="AL6" s="93"/>
      <c r="AM6" s="91"/>
      <c r="AN6" s="91"/>
      <c r="AO6" s="91"/>
      <c r="AP6" s="91"/>
      <c r="AQ6" s="91"/>
      <c r="AR6" s="91"/>
      <c r="AS6" s="91"/>
      <c r="AT6" s="91"/>
      <c r="AU6" s="91"/>
      <c r="AV6" s="91"/>
      <c r="AW6" s="91"/>
      <c r="AX6" s="91"/>
      <c r="AY6" s="91"/>
      <c r="AZ6" s="91"/>
      <c r="BA6" s="91"/>
      <c r="BB6" s="91"/>
      <c r="BC6" s="91"/>
      <c r="BD6" s="91"/>
      <c r="BE6" s="91"/>
      <c r="BF6" s="91"/>
      <c r="BG6" s="91"/>
      <c r="BH6" s="91"/>
      <c r="BI6" s="91"/>
      <c r="BJ6" s="91"/>
      <c r="BK6" s="91"/>
      <c r="BL6" s="91"/>
      <c r="BM6" s="91"/>
      <c r="BN6" s="91"/>
      <c r="BO6" s="91"/>
      <c r="BP6" s="91"/>
      <c r="BQ6" s="91"/>
      <c r="BR6" s="91"/>
      <c r="BS6" s="91"/>
      <c r="BT6" s="91"/>
      <c r="BU6" s="91"/>
      <c r="BV6" s="91"/>
      <c r="BW6" s="91"/>
      <c r="BX6" s="91"/>
    </row>
    <row r="7" spans="1:76" x14ac:dyDescent="0.25">
      <c r="A7" s="57" t="str" cm="1">
        <f t="array" ref="A7">IFERROR(IF(INDEX(Deelnemers,MATCH(0,INDEX(COUNTIF($A$1:A6,Deelnemers),),0))=0,"",INDEX(Deelnemers,MATCH(0,INDEX(COUNTIF($A$1:A6,Deelnemers),),0))),"")</f>
        <v/>
      </c>
      <c r="C7" s="57" t="str" cm="1">
        <f t="array" ref="C7">IFERROR(IF(INDEX(Prestaties,MATCH(0,INDEX(COUNTIF($C$1:C6,Prestaties),),0))=0,"",INDEX(Prestaties,MATCH(0,INDEX(COUNTIF($C$1:C6,Prestaties),),0))),"")</f>
        <v/>
      </c>
      <c r="E7" s="57">
        <f ca="1"/>
        <v>0</v>
      </c>
      <c r="F7" s="57" t="str">
        <f ca="1"/>
        <v/>
      </c>
      <c r="H7" s="57"/>
      <c r="I7" s="57" t="str">
        <f>IFERROR(INDEX(DB_Loonkosten,MATCH(H7,'7. Rekenhulp loonkosten bet.vz.'!$C$5:$C$54,0),1),"")</f>
        <v/>
      </c>
      <c r="J7" s="67">
        <f>IFERROR(INDEX(DB_Loonkosten,MATCH(I7,[0]!LoonkostenNr,0),24),"")</f>
        <v>0</v>
      </c>
      <c r="L7" s="57" t="str">
        <v>Landbouwer</v>
      </c>
      <c r="M7" s="57" t="str">
        <v>Vast tarief</v>
      </c>
      <c r="N7" s="57">
        <v>0</v>
      </c>
      <c r="O7" s="57" t="str">
        <v>Arbeidskosten - vast tarief (excl eigen arbeid)</v>
      </c>
      <c r="P7" s="67">
        <f>IF(L7&lt;&gt;"",IFERROR(VLOOKUP(L7,Tb_KostenTypen[],MATCH($P$1,Tb_KostenTypen[#Headers],0),0),0),"")</f>
        <v>50</v>
      </c>
      <c r="R7" s="57"/>
      <c r="T7" s="57"/>
      <c r="V7" t="str" cm="1">
        <f t="array" ref="V7">IF(LEFT('8. Uitgaven betaalverzoek'!F7,6)="Arbeid",IF(RIGHT('8. Uitgaven betaalverzoek'!F7,3)="IKS",MedewerkersIKS_Uniek,Medewerkers_Uniek),"")</f>
        <v/>
      </c>
      <c r="X7" s="91"/>
      <c r="Y7" s="91" t="str">
        <f>IFERROR(MATCH(X7,Tb_Activiteiten[Subsidiabele_Activiteit],0),"")</f>
        <v/>
      </c>
      <c r="AA7" s="91"/>
      <c r="AB7" s="91"/>
      <c r="AG7" s="91"/>
      <c r="AH7" s="91"/>
      <c r="AJ7" s="91"/>
      <c r="AK7" s="91"/>
      <c r="AL7" s="93"/>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1"/>
      <c r="BS7" s="91"/>
      <c r="BT7" s="91"/>
      <c r="BU7" s="91"/>
      <c r="BV7" s="91"/>
      <c r="BW7" s="91"/>
      <c r="BX7" s="91"/>
    </row>
    <row r="8" spans="1:76" x14ac:dyDescent="0.25">
      <c r="A8" s="57" t="str" cm="1">
        <f t="array" ref="A8">IFERROR(IF(INDEX(Deelnemers,MATCH(0,INDEX(COUNTIF($A$1:A7,Deelnemers),),0))=0,"",INDEX(Deelnemers,MATCH(0,INDEX(COUNTIF($A$1:A7,Deelnemers),),0))),"")</f>
        <v/>
      </c>
      <c r="C8" s="57" t="str" cm="1">
        <f t="array" ref="C8">IFERROR(IF(INDEX(Prestaties,MATCH(0,INDEX(COUNTIF($C$1:C7,Prestaties),),0))=0,"",INDEX(Prestaties,MATCH(0,INDEX(COUNTIF($C$1:C7,Prestaties),),0))),"")</f>
        <v/>
      </c>
      <c r="E8" s="57">
        <f ca="1"/>
        <v>0</v>
      </c>
      <c r="F8" s="57" t="str">
        <f ca="1"/>
        <v/>
      </c>
      <c r="H8" s="57"/>
      <c r="I8" s="57" t="str">
        <f>IFERROR(INDEX(DB_Loonkosten,MATCH(H8,'7. Rekenhulp loonkosten bet.vz.'!$C$5:$C$54,0),1),"")</f>
        <v/>
      </c>
      <c r="J8" s="67">
        <f>IFERROR(INDEX(DB_Loonkosten,MATCH(I8,[0]!LoonkostenNr,0),24),"")</f>
        <v>0</v>
      </c>
      <c r="L8" s="57" t="str">
        <v>Bijdrage in natura (vrijwilligers)</v>
      </c>
      <c r="M8" s="57" t="str">
        <v>Vast tarief</v>
      </c>
      <c r="N8" s="57">
        <v>1</v>
      </c>
      <c r="O8" s="57">
        <v>0</v>
      </c>
      <c r="P8" s="67">
        <f>IF(L8&lt;&gt;"",IFERROR(VLOOKUP(L8,Tb_KostenTypen[],MATCH($P$1,Tb_KostenTypen[#Headers],0),0),0),"")</f>
        <v>22</v>
      </c>
      <c r="R8" s="57"/>
      <c r="T8" s="57"/>
      <c r="V8" t="str" cm="1">
        <f t="array" ref="V8">IF(LEFT('8. Uitgaven betaalverzoek'!F8,6)="Arbeid",IF(RIGHT('8. Uitgaven betaalverzoek'!F8,3)="IKS",MedewerkersIKS_Uniek,Medewerkers_Uniek),"")</f>
        <v/>
      </c>
      <c r="X8" s="91"/>
      <c r="Y8" s="91" t="str">
        <f>IFERROR(MATCH(X8,Tb_Activiteiten[Subsidiabele_Activiteit],0),"")</f>
        <v/>
      </c>
      <c r="AA8" s="91"/>
      <c r="AB8" s="91"/>
      <c r="AG8" s="91"/>
      <c r="AH8" s="91"/>
      <c r="AJ8" s="91"/>
      <c r="AK8" s="91"/>
      <c r="AL8" s="93"/>
      <c r="AM8" s="91"/>
      <c r="AN8" s="91"/>
      <c r="AO8" s="91"/>
      <c r="AP8" s="91"/>
      <c r="AQ8" s="91"/>
      <c r="AR8" s="91"/>
      <c r="AS8" s="91"/>
      <c r="AT8" s="91"/>
      <c r="AU8" s="91"/>
      <c r="AV8" s="91"/>
      <c r="AW8" s="91"/>
      <c r="AX8" s="91"/>
      <c r="AY8" s="91"/>
      <c r="AZ8" s="91"/>
      <c r="BA8" s="91"/>
      <c r="BB8" s="91"/>
      <c r="BC8" s="91"/>
      <c r="BD8" s="91"/>
      <c r="BE8" s="91"/>
      <c r="BF8" s="91"/>
      <c r="BG8" s="91"/>
      <c r="BH8" s="91"/>
      <c r="BI8" s="91"/>
      <c r="BJ8" s="91"/>
      <c r="BK8" s="91"/>
      <c r="BL8" s="91"/>
      <c r="BM8" s="91"/>
      <c r="BN8" s="91"/>
      <c r="BO8" s="91"/>
      <c r="BP8" s="91"/>
      <c r="BQ8" s="91"/>
      <c r="BR8" s="91"/>
      <c r="BS8" s="91"/>
      <c r="BT8" s="91"/>
      <c r="BU8" s="91"/>
      <c r="BV8" s="91"/>
      <c r="BW8" s="91"/>
      <c r="BX8" s="91"/>
    </row>
    <row r="9" spans="1:76" x14ac:dyDescent="0.25">
      <c r="A9" s="57" t="str" cm="1">
        <f t="array" ref="A9">IFERROR(IF(INDEX(Deelnemers,MATCH(0,INDEX(COUNTIF($A$1:A8,Deelnemers),),0))=0,"",INDEX(Deelnemers,MATCH(0,INDEX(COUNTIF($A$1:A8,Deelnemers),),0))),"")</f>
        <v/>
      </c>
      <c r="C9" s="57" t="str" cm="1">
        <f t="array" ref="C9">IFERROR(IF(INDEX(Prestaties,MATCH(0,INDEX(COUNTIF($C$1:C8,Prestaties),),0))=0,"",INDEX(Prestaties,MATCH(0,INDEX(COUNTIF($C$1:C8,Prestaties),),0))),"")</f>
        <v/>
      </c>
      <c r="E9" s="57">
        <f ca="1"/>
        <v>0</v>
      </c>
      <c r="F9" s="57" t="str">
        <f ca="1"/>
        <v/>
      </c>
      <c r="H9" s="57"/>
      <c r="I9" s="57" t="str">
        <f>IFERROR(INDEX(DB_Loonkosten,MATCH(H9,'7. Rekenhulp loonkosten bet.vz.'!$C$5:$C$54,0),1),"")</f>
        <v/>
      </c>
      <c r="J9" s="67">
        <f>IFERROR(INDEX(DB_Loonkosten,MATCH(I9,[0]!LoonkostenNr,0),24),"")</f>
        <v>0</v>
      </c>
      <c r="L9" s="57" t="str">
        <v>Extensiveren max. 150 kg N</v>
      </c>
      <c r="M9" s="57" t="str">
        <v>Vast tarief</v>
      </c>
      <c r="N9" s="57">
        <v>0</v>
      </c>
      <c r="O9" s="57" t="str">
        <v>Overige kosten</v>
      </c>
      <c r="P9" s="67">
        <f>IF(L9&lt;&gt;"",IFERROR(VLOOKUP(L9,Tb_KostenTypen[],MATCH($P$1,Tb_KostenTypen[#Headers],0),0),0),"")</f>
        <v>1680</v>
      </c>
      <c r="R9" s="57"/>
      <c r="T9" s="57"/>
      <c r="V9" t="str" cm="1">
        <f t="array" ref="V9">IF(LEFT('8. Uitgaven betaalverzoek'!F9,6)="Arbeid",IF(RIGHT('8. Uitgaven betaalverzoek'!F9,3)="IKS",MedewerkersIKS_Uniek,Medewerkers_Uniek),"")</f>
        <v/>
      </c>
      <c r="X9" s="91"/>
      <c r="Y9" s="91" t="str">
        <f>IFERROR(MATCH(X9,Tb_Activiteiten[Subsidiabele_Activiteit],0),"")</f>
        <v/>
      </c>
      <c r="AA9" s="91"/>
      <c r="AB9" s="91"/>
      <c r="AG9" s="91"/>
      <c r="AH9" s="91"/>
      <c r="AJ9" s="91"/>
      <c r="AK9" s="91"/>
      <c r="AL9" s="93"/>
      <c r="AM9" s="91"/>
      <c r="AN9" s="91"/>
      <c r="AO9" s="91"/>
      <c r="AP9" s="91"/>
      <c r="AQ9" s="91"/>
      <c r="AR9" s="91"/>
      <c r="AS9" s="91"/>
      <c r="AT9" s="91"/>
      <c r="AU9" s="91"/>
      <c r="AV9" s="91"/>
      <c r="AW9" s="91"/>
      <c r="AX9" s="91"/>
      <c r="AY9" s="91"/>
      <c r="AZ9" s="91"/>
      <c r="BA9" s="91"/>
      <c r="BB9" s="91"/>
      <c r="BC9" s="91"/>
      <c r="BD9" s="91"/>
      <c r="BE9" s="91"/>
      <c r="BF9" s="91"/>
      <c r="BG9" s="91"/>
      <c r="BH9" s="91"/>
      <c r="BI9" s="91"/>
      <c r="BJ9" s="91"/>
      <c r="BK9" s="91"/>
      <c r="BL9" s="91"/>
      <c r="BM9" s="91"/>
      <c r="BN9" s="91"/>
      <c r="BO9" s="91"/>
      <c r="BP9" s="91"/>
      <c r="BQ9" s="91"/>
      <c r="BR9" s="91"/>
      <c r="BS9" s="91"/>
      <c r="BT9" s="91"/>
      <c r="BU9" s="91"/>
      <c r="BV9" s="91"/>
      <c r="BW9" s="91"/>
      <c r="BX9" s="91"/>
    </row>
    <row r="10" spans="1:76" x14ac:dyDescent="0.25">
      <c r="A10" s="57" t="str" cm="1">
        <f t="array" ref="A10">IFERROR(IF(INDEX(Deelnemers,MATCH(0,INDEX(COUNTIF($A$1:A9,Deelnemers),),0))=0,"",INDEX(Deelnemers,MATCH(0,INDEX(COUNTIF($A$1:A9,Deelnemers),),0))),"")</f>
        <v/>
      </c>
      <c r="C10" s="57" t="str" cm="1">
        <f t="array" ref="C10">IFERROR(IF(INDEX(Prestaties,MATCH(0,INDEX(COUNTIF($C$1:C9,Prestaties),),0))=0,"",INDEX(Prestaties,MATCH(0,INDEX(COUNTIF($C$1:C9,Prestaties),),0))),"")</f>
        <v/>
      </c>
      <c r="E10" s="57">
        <f ca="1"/>
        <v>0</v>
      </c>
      <c r="F10" s="57" t="str">
        <f ca="1"/>
        <v/>
      </c>
      <c r="H10" s="57"/>
      <c r="I10" s="57" t="str">
        <f>IFERROR(INDEX(DB_Loonkosten,MATCH(H10,'7. Rekenhulp loonkosten bet.vz.'!$C$5:$C$54,0),1),"")</f>
        <v/>
      </c>
      <c r="J10" s="67">
        <f>IFERROR(INDEX(DB_Loonkosten,MATCH(I10,[0]!LoonkostenNr,0),24),"")</f>
        <v>0</v>
      </c>
      <c r="L10" s="57" t="str">
        <v>Extensiveren max. 100 kg N</v>
      </c>
      <c r="M10" s="57" t="str">
        <v>Vast tarief</v>
      </c>
      <c r="N10" s="57">
        <v>0</v>
      </c>
      <c r="O10" s="57" t="str">
        <v>Overige kosten</v>
      </c>
      <c r="P10" s="67">
        <f>IF(L10&lt;&gt;"",IFERROR(VLOOKUP(L10,Tb_KostenTypen[],MATCH($P$1,Tb_KostenTypen[#Headers],0),0),0),"")</f>
        <v>2430</v>
      </c>
      <c r="R10" s="57"/>
      <c r="T10" s="57"/>
      <c r="V10" t="str" cm="1">
        <f t="array" ref="V10">IF(LEFT('8. Uitgaven betaalverzoek'!F10,6)="Arbeid",IF(RIGHT('8. Uitgaven betaalverzoek'!F10,3)="IKS",MedewerkersIKS_Uniek,Medewerkers_Uniek),"")</f>
        <v/>
      </c>
      <c r="X10" s="91"/>
      <c r="Y10" s="91" t="str">
        <f>IFERROR(MATCH(X10,Tb_Activiteiten[Subsidiabele_Activiteit],0),"")</f>
        <v/>
      </c>
      <c r="AA10" s="91"/>
      <c r="AB10" s="91"/>
      <c r="AG10" s="91"/>
      <c r="AH10" s="91"/>
      <c r="AJ10" s="91"/>
      <c r="AK10" s="91"/>
      <c r="AL10" s="93"/>
      <c r="AM10" s="91"/>
      <c r="AN10" s="91"/>
      <c r="AO10" s="91"/>
      <c r="AP10" s="91"/>
      <c r="AQ10" s="91"/>
      <c r="AR10" s="91"/>
      <c r="AS10" s="91"/>
      <c r="AT10" s="91"/>
      <c r="AU10" s="91"/>
      <c r="AV10" s="91"/>
      <c r="AW10" s="91"/>
      <c r="AX10" s="91"/>
      <c r="AY10" s="91"/>
      <c r="AZ10" s="91"/>
      <c r="BA10" s="91"/>
      <c r="BB10" s="91"/>
      <c r="BC10" s="91"/>
      <c r="BD10" s="91"/>
      <c r="BE10" s="91"/>
      <c r="BF10" s="91"/>
      <c r="BG10" s="91"/>
      <c r="BH10" s="91"/>
      <c r="BI10" s="91"/>
      <c r="BJ10" s="91"/>
      <c r="BK10" s="91"/>
      <c r="BL10" s="91"/>
      <c r="BM10" s="91"/>
      <c r="BN10" s="91"/>
      <c r="BO10" s="91"/>
      <c r="BP10" s="91"/>
      <c r="BQ10" s="91"/>
      <c r="BR10" s="91"/>
      <c r="BS10" s="91"/>
      <c r="BT10" s="91"/>
      <c r="BU10" s="91"/>
      <c r="BV10" s="91"/>
      <c r="BW10" s="91"/>
      <c r="BX10" s="91"/>
    </row>
    <row r="11" spans="1:76" x14ac:dyDescent="0.25">
      <c r="A11" s="57" t="str" cm="1">
        <f t="array" ref="A11">IFERROR(IF(INDEX(Deelnemers,MATCH(0,INDEX(COUNTIF($A$1:A10,Deelnemers),),0))=0,"",INDEX(Deelnemers,MATCH(0,INDEX(COUNTIF($A$1:A10,Deelnemers),),0))),"")</f>
        <v/>
      </c>
      <c r="C11" s="57" t="str" cm="1">
        <f t="array" ref="C11">IFERROR(IF(INDEX(Prestaties,MATCH(0,INDEX(COUNTIF($C$1:C10,Prestaties),),0))=0,"",INDEX(Prestaties,MATCH(0,INDEX(COUNTIF($C$1:C10,Prestaties),),0))),"")</f>
        <v/>
      </c>
      <c r="E11" s="57">
        <f ca="1"/>
        <v>0</v>
      </c>
      <c r="F11" s="57" t="str">
        <f ca="1"/>
        <v/>
      </c>
      <c r="H11" s="57"/>
      <c r="I11" s="57" t="str">
        <f>IFERROR(INDEX(DB_Loonkosten,MATCH(H11,'7. Rekenhulp loonkosten bet.vz.'!$C$5:$C$54,0),1),"")</f>
        <v/>
      </c>
      <c r="J11" s="67">
        <f>IFERROR(INDEX(DB_Loonkosten,MATCH(I11,[0]!LoonkostenNr,0),24),"")</f>
        <v>0</v>
      </c>
      <c r="L11" s="57" t="str">
        <v>Geringere drooglegging 40 cm</v>
      </c>
      <c r="M11" s="57" t="str">
        <v>Vast tarief</v>
      </c>
      <c r="N11" s="57">
        <v>0</v>
      </c>
      <c r="O11" s="57" t="str">
        <v>Overige kosten</v>
      </c>
      <c r="P11" s="67">
        <f>IF(L11&lt;&gt;"",IFERROR(VLOOKUP(L11,Tb_KostenTypen[],MATCH($P$1,Tb_KostenTypen[#Headers],0),0),0),"")</f>
        <v>545</v>
      </c>
      <c r="R11" s="57"/>
      <c r="T11" s="57"/>
      <c r="V11" t="str" cm="1">
        <f t="array" ref="V11">IF(LEFT('8. Uitgaven betaalverzoek'!F11,6)="Arbeid",IF(RIGHT('8. Uitgaven betaalverzoek'!F11,3)="IKS",MedewerkersIKS_Uniek,Medewerkers_Uniek),"")</f>
        <v/>
      </c>
      <c r="X11" s="91"/>
      <c r="Y11" s="91" t="str">
        <f>IFERROR(MATCH(X11,Tb_Activiteiten[Subsidiabele_Activiteit],0),"")</f>
        <v/>
      </c>
      <c r="AA11" s="91"/>
      <c r="AB11" s="91"/>
      <c r="AG11" s="91"/>
      <c r="AH11" s="91"/>
      <c r="AJ11" s="91"/>
      <c r="AK11" s="91"/>
      <c r="AL11" s="93"/>
      <c r="AM11" s="91"/>
      <c r="AN11" s="91"/>
      <c r="AO11" s="91"/>
      <c r="AP11" s="91"/>
      <c r="AQ11" s="91"/>
      <c r="AR11" s="91"/>
      <c r="AS11" s="91"/>
      <c r="AT11" s="91"/>
      <c r="AU11" s="91"/>
      <c r="AV11" s="91"/>
      <c r="AW11" s="91"/>
      <c r="AX11" s="91"/>
      <c r="AY11" s="91"/>
      <c r="AZ11" s="91"/>
      <c r="BA11" s="91"/>
      <c r="BB11" s="91"/>
      <c r="BC11" s="91"/>
      <c r="BD11" s="91"/>
      <c r="BE11" s="91"/>
      <c r="BF11" s="91"/>
      <c r="BG11" s="91"/>
      <c r="BH11" s="91"/>
      <c r="BI11" s="91"/>
      <c r="BJ11" s="91"/>
      <c r="BK11" s="91"/>
      <c r="BL11" s="91"/>
      <c r="BM11" s="91"/>
      <c r="BN11" s="91"/>
      <c r="BO11" s="91"/>
      <c r="BP11" s="91"/>
      <c r="BQ11" s="91"/>
      <c r="BR11" s="91"/>
      <c r="BS11" s="91"/>
      <c r="BT11" s="91"/>
      <c r="BU11" s="91"/>
      <c r="BV11" s="91"/>
      <c r="BW11" s="91"/>
      <c r="BX11" s="91"/>
    </row>
    <row r="12" spans="1:76" x14ac:dyDescent="0.25">
      <c r="A12" s="57" t="str" cm="1">
        <f t="array" ref="A12">IFERROR(IF(INDEX(Deelnemers,MATCH(0,INDEX(COUNTIF($A$1:A11,Deelnemers),),0))=0,"",INDEX(Deelnemers,MATCH(0,INDEX(COUNTIF($A$1:A11,Deelnemers),),0))),"")</f>
        <v/>
      </c>
      <c r="C12" s="57" t="str" cm="1">
        <f t="array" ref="C12">IFERROR(IF(INDEX(Prestaties,MATCH(0,INDEX(COUNTIF($C$1:C11,Prestaties),),0))=0,"",INDEX(Prestaties,MATCH(0,INDEX(COUNTIF($C$1:C11,Prestaties),),0))),"")</f>
        <v/>
      </c>
      <c r="E12" s="57">
        <f ca="1"/>
        <v>0</v>
      </c>
      <c r="F12" s="57" t="str">
        <f ca="1"/>
        <v/>
      </c>
      <c r="H12" s="57"/>
      <c r="I12" s="57" t="str">
        <f>IFERROR(INDEX(DB_Loonkosten,MATCH(H12,'7. Rekenhulp loonkosten bet.vz.'!$C$5:$C$54,0),1),"")</f>
        <v/>
      </c>
      <c r="J12" s="67">
        <f>IFERROR(INDEX(DB_Loonkosten,MATCH(I12,[0]!LoonkostenNr,0),24),"")</f>
        <v>0</v>
      </c>
      <c r="L12" s="57" t="str">
        <v>Geringere drooglegging 30 cm</v>
      </c>
      <c r="M12" s="57" t="str">
        <v>Vast tarief</v>
      </c>
      <c r="N12" s="57">
        <v>0</v>
      </c>
      <c r="O12" s="57" t="str">
        <v>Overige kosten</v>
      </c>
      <c r="P12" s="67">
        <f>IF(L12&lt;&gt;"",IFERROR(VLOOKUP(L12,Tb_KostenTypen[],MATCH($P$1,Tb_KostenTypen[#Headers],0),0),0),"")</f>
        <v>790</v>
      </c>
      <c r="R12" s="57"/>
      <c r="T12" s="57"/>
      <c r="V12" t="str" cm="1">
        <f t="array" ref="V12">IF(LEFT('8. Uitgaven betaalverzoek'!F12,6)="Arbeid",IF(RIGHT('8. Uitgaven betaalverzoek'!F12,3)="IKS",MedewerkersIKS_Uniek,Medewerkers_Uniek),"")</f>
        <v/>
      </c>
      <c r="X12" s="91"/>
      <c r="Y12" s="91" t="str">
        <f>IFERROR(MATCH(X12,Tb_Activiteiten[Subsidiabele_Activiteit],0),"")</f>
        <v/>
      </c>
      <c r="AA12" s="91"/>
      <c r="AB12" s="91"/>
      <c r="AG12" s="91"/>
      <c r="AH12" s="91"/>
      <c r="AJ12" s="91"/>
      <c r="AK12" s="91"/>
      <c r="AL12" s="93"/>
      <c r="AM12" s="91"/>
      <c r="AN12" s="91"/>
      <c r="AO12" s="91"/>
      <c r="AP12" s="91"/>
      <c r="AQ12" s="91"/>
      <c r="AR12" s="91"/>
      <c r="AS12" s="91"/>
      <c r="AT12" s="91"/>
      <c r="AU12" s="91"/>
      <c r="AV12" s="91"/>
      <c r="AW12" s="91"/>
      <c r="AX12" s="91"/>
      <c r="AY12" s="91"/>
      <c r="AZ12" s="91"/>
      <c r="BA12" s="91"/>
      <c r="BB12" s="91"/>
      <c r="BC12" s="91"/>
      <c r="BD12" s="91"/>
      <c r="BE12" s="91"/>
      <c r="BF12" s="91"/>
      <c r="BG12" s="91"/>
      <c r="BH12" s="91"/>
      <c r="BI12" s="91"/>
      <c r="BJ12" s="91"/>
      <c r="BK12" s="91"/>
      <c r="BL12" s="91"/>
      <c r="BM12" s="91"/>
      <c r="BN12" s="91"/>
      <c r="BO12" s="91"/>
      <c r="BP12" s="91"/>
      <c r="BQ12" s="91"/>
      <c r="BR12" s="91"/>
      <c r="BS12" s="91"/>
      <c r="BT12" s="91"/>
      <c r="BU12" s="91"/>
      <c r="BV12" s="91"/>
      <c r="BW12" s="91"/>
      <c r="BX12" s="91"/>
    </row>
    <row r="13" spans="1:76" x14ac:dyDescent="0.25">
      <c r="A13" s="57" t="str" cm="1">
        <f t="array" ref="A13">IFERROR(IF(INDEX(Deelnemers,MATCH(0,INDEX(COUNTIF($A$1:A12,Deelnemers),),0))=0,"",INDEX(Deelnemers,MATCH(0,INDEX(COUNTIF($A$1:A12,Deelnemers),),0))),"")</f>
        <v/>
      </c>
      <c r="C13" s="57" t="str" cm="1">
        <f t="array" ref="C13">IFERROR(IF(INDEX(Prestaties,MATCH(0,INDEX(COUNTIF($C$1:C12,Prestaties),),0))=0,"",INDEX(Prestaties,MATCH(0,INDEX(COUNTIF($C$1:C12,Prestaties),),0))),"")</f>
        <v/>
      </c>
      <c r="E13" s="57"/>
      <c r="F13" s="57"/>
      <c r="H13" s="57"/>
      <c r="I13" s="57" t="str">
        <f>IFERROR(INDEX(DB_Loonkosten,MATCH(H13,'7. Rekenhulp loonkosten bet.vz.'!$C$5:$C$54,0),1),"")</f>
        <v/>
      </c>
      <c r="J13" s="67">
        <f>IFERROR(INDEX(DB_Loonkosten,MATCH(I13,[0]!LoonkostenNr,0),24),"")</f>
        <v>0</v>
      </c>
      <c r="L13" s="57" t="str">
        <v>Geringere drooglegging 20 cm</v>
      </c>
      <c r="M13" s="57" t="str">
        <v>Vast tarief</v>
      </c>
      <c r="N13" s="57">
        <v>0</v>
      </c>
      <c r="O13" s="57" t="str">
        <v>Overige kosten</v>
      </c>
      <c r="P13" s="67">
        <f>IF(L13&lt;&gt;"",IFERROR(VLOOKUP(L13,Tb_KostenTypen[],MATCH($P$1,Tb_KostenTypen[#Headers],0),0),0),"")</f>
        <v>1355</v>
      </c>
      <c r="R13" s="57"/>
      <c r="T13" s="57"/>
      <c r="V13" t="str" cm="1">
        <f t="array" ref="V13">IF(LEFT('8. Uitgaven betaalverzoek'!F13,6)="Arbeid",IF(RIGHT('8. Uitgaven betaalverzoek'!F13,3)="IKS",MedewerkersIKS_Uniek,Medewerkers_Uniek),"")</f>
        <v/>
      </c>
      <c r="X13" s="91"/>
      <c r="Y13" s="91" t="str">
        <f>IFERROR(MATCH(X13,Tb_Activiteiten[Subsidiabele_Activiteit],0),"")</f>
        <v/>
      </c>
      <c r="AA13" s="91"/>
      <c r="AB13" s="91"/>
      <c r="AG13" s="91"/>
      <c r="AH13" s="91"/>
      <c r="AJ13" s="91"/>
      <c r="AK13" s="91"/>
      <c r="AL13" s="93"/>
      <c r="AM13" s="91"/>
      <c r="AN13" s="91"/>
      <c r="AO13" s="91"/>
      <c r="AP13" s="91"/>
      <c r="AQ13" s="91"/>
      <c r="AR13" s="91"/>
      <c r="AS13" s="91"/>
      <c r="AT13" s="91"/>
      <c r="AU13" s="91"/>
      <c r="AV13" s="91"/>
      <c r="AW13" s="91"/>
      <c r="AX13" s="91"/>
      <c r="AY13" s="91"/>
      <c r="AZ13" s="91"/>
      <c r="BA13" s="91"/>
      <c r="BB13" s="91"/>
      <c r="BC13" s="91"/>
      <c r="BD13" s="91"/>
      <c r="BE13" s="91"/>
      <c r="BF13" s="91"/>
      <c r="BG13" s="91"/>
      <c r="BH13" s="91"/>
      <c r="BI13" s="91"/>
      <c r="BJ13" s="91"/>
      <c r="BK13" s="91"/>
      <c r="BL13" s="91"/>
      <c r="BM13" s="91"/>
      <c r="BN13" s="91"/>
      <c r="BO13" s="91"/>
      <c r="BP13" s="91"/>
      <c r="BQ13" s="91"/>
      <c r="BR13" s="91"/>
      <c r="BS13" s="91"/>
      <c r="BT13" s="91"/>
      <c r="BU13" s="91"/>
      <c r="BV13" s="91"/>
      <c r="BW13" s="91"/>
      <c r="BX13" s="91"/>
    </row>
    <row r="14" spans="1:76" x14ac:dyDescent="0.25">
      <c r="A14" s="57" t="str" cm="1">
        <f t="array" ref="A14">IFERROR(IF(INDEX(Deelnemers,MATCH(0,INDEX(COUNTIF($A$1:A13,Deelnemers),),0))=0,"",INDEX(Deelnemers,MATCH(0,INDEX(COUNTIF($A$1:A13,Deelnemers),),0))),"")</f>
        <v/>
      </c>
      <c r="C14" s="57" t="str" cm="1">
        <f t="array" ref="C14">IFERROR(IF(INDEX(Prestaties,MATCH(0,INDEX(COUNTIF($C$1:C13,Prestaties),),0))=0,"",INDEX(Prestaties,MATCH(0,INDEX(COUNTIF($C$1:C13,Prestaties),),0))),"")</f>
        <v/>
      </c>
      <c r="E14" s="57"/>
      <c r="F14" s="57"/>
      <c r="H14" s="57"/>
      <c r="I14" s="57" t="str">
        <f>IFERROR(INDEX(DB_Loonkosten,MATCH(H14,'7. Rekenhulp loonkosten bet.vz.'!$C$5:$C$54,0),1),"")</f>
        <v/>
      </c>
      <c r="J14" s="67">
        <f>IFERROR(INDEX(DB_Loonkosten,MATCH(I14,[0]!LoonkostenNr,0),24),"")</f>
        <v>0</v>
      </c>
      <c r="L14" s="57" t="str">
        <v>Geringere drooglegging 40 cm met extensiveren max. 150 kg N</v>
      </c>
      <c r="M14" s="57" t="str">
        <v>Vast tarief</v>
      </c>
      <c r="N14" s="57">
        <v>0</v>
      </c>
      <c r="O14" s="57" t="str">
        <v>Overige kosten</v>
      </c>
      <c r="P14" s="67">
        <f>IF(L14&lt;&gt;"",IFERROR(VLOOKUP(L14,Tb_KostenTypen[],MATCH($P$1,Tb_KostenTypen[#Headers],0),0),0),"")</f>
        <v>2130</v>
      </c>
      <c r="R14" s="57"/>
      <c r="T14" s="57"/>
      <c r="V14" t="str" cm="1">
        <f t="array" ref="V14">IF(LEFT('8. Uitgaven betaalverzoek'!F14,6)="Arbeid",IF(RIGHT('8. Uitgaven betaalverzoek'!F14,3)="IKS",MedewerkersIKS_Uniek,Medewerkers_Uniek),"")</f>
        <v/>
      </c>
      <c r="X14" s="91"/>
      <c r="Y14" s="91" t="str">
        <f>IFERROR(MATCH(X14,Tb_Activiteiten[Subsidiabele_Activiteit],0),"")</f>
        <v/>
      </c>
      <c r="AA14" s="91"/>
      <c r="AB14" s="91"/>
      <c r="AG14" s="91"/>
      <c r="AH14" s="91"/>
      <c r="AJ14" s="91"/>
      <c r="AK14" s="91"/>
      <c r="AL14" s="93"/>
      <c r="AM14" s="91"/>
      <c r="AN14" s="91"/>
      <c r="AO14" s="91"/>
      <c r="AP14" s="91"/>
      <c r="AQ14" s="91"/>
      <c r="AR14" s="91"/>
      <c r="AS14" s="91"/>
      <c r="AT14" s="91"/>
      <c r="AU14" s="91"/>
      <c r="AV14" s="91"/>
      <c r="AW14" s="91"/>
      <c r="AX14" s="91"/>
      <c r="AY14" s="91"/>
      <c r="AZ14" s="91"/>
      <c r="BA14" s="91"/>
      <c r="BB14" s="91"/>
      <c r="BC14" s="91"/>
      <c r="BD14" s="91"/>
      <c r="BE14" s="91"/>
      <c r="BF14" s="91"/>
      <c r="BG14" s="91"/>
      <c r="BH14" s="91"/>
      <c r="BI14" s="91"/>
      <c r="BJ14" s="91"/>
      <c r="BK14" s="91"/>
      <c r="BL14" s="91"/>
      <c r="BM14" s="91"/>
      <c r="BN14" s="91"/>
      <c r="BO14" s="91"/>
      <c r="BP14" s="91"/>
      <c r="BQ14" s="91"/>
      <c r="BR14" s="91"/>
      <c r="BS14" s="91"/>
      <c r="BT14" s="91"/>
      <c r="BU14" s="91"/>
      <c r="BV14" s="91"/>
      <c r="BW14" s="91"/>
      <c r="BX14" s="91"/>
    </row>
    <row r="15" spans="1:76" x14ac:dyDescent="0.25">
      <c r="A15" s="57" t="str" cm="1">
        <f t="array" ref="A15">IFERROR(IF(INDEX(Deelnemers,MATCH(0,INDEX(COUNTIF($A$1:A14,Deelnemers),),0))=0,"",INDEX(Deelnemers,MATCH(0,INDEX(COUNTIF($A$1:A14,Deelnemers),),0))),"")</f>
        <v/>
      </c>
      <c r="C15" s="57" t="str" cm="1">
        <f t="array" ref="C15">IFERROR(IF(INDEX(Prestaties,MATCH(0,INDEX(COUNTIF($C$1:C14,Prestaties),),0))=0,"",INDEX(Prestaties,MATCH(0,INDEX(COUNTIF($C$1:C14,Prestaties),),0))),"")</f>
        <v/>
      </c>
      <c r="E15" s="57"/>
      <c r="F15" s="57"/>
      <c r="H15" s="57"/>
      <c r="I15" s="57" t="str">
        <f>IFERROR(INDEX(DB_Loonkosten,MATCH(H15,'7. Rekenhulp loonkosten bet.vz.'!$C$5:$C$54,0),1),"")</f>
        <v/>
      </c>
      <c r="J15" s="67">
        <f>IFERROR(INDEX(DB_Loonkosten,MATCH(I15,[0]!LoonkostenNr,0),24),"")</f>
        <v>0</v>
      </c>
      <c r="L15" s="57" t="str">
        <v>Geringere drooglegging 30 cm met extensiveren max. 150 kg N</v>
      </c>
      <c r="M15" s="57" t="str">
        <v>Vast tarief</v>
      </c>
      <c r="N15" s="57">
        <v>0</v>
      </c>
      <c r="O15" s="57" t="str">
        <v>Overige kosten</v>
      </c>
      <c r="P15" s="67">
        <f>IF(L15&lt;&gt;"",IFERROR(VLOOKUP(L15,Tb_KostenTypen[],MATCH($P$1,Tb_KostenTypen[#Headers],0),0),0),"")</f>
        <v>2325</v>
      </c>
      <c r="T15" s="57"/>
      <c r="V15" t="str" cm="1">
        <f t="array" ref="V15">IF(LEFT('8. Uitgaven betaalverzoek'!F15,6)="Arbeid",IF(RIGHT('8. Uitgaven betaalverzoek'!F15,3)="IKS",MedewerkersIKS_Uniek,Medewerkers_Uniek),"")</f>
        <v/>
      </c>
      <c r="AG15" s="91"/>
      <c r="AH15" s="91"/>
    </row>
    <row r="16" spans="1:76" x14ac:dyDescent="0.25">
      <c r="A16" s="57" t="str" cm="1">
        <f t="array" ref="A16">IFERROR(IF(INDEX(Deelnemers,MATCH(0,INDEX(COUNTIF($A$1:A15,Deelnemers),),0))=0,"",INDEX(Deelnemers,MATCH(0,INDEX(COUNTIF($A$1:A15,Deelnemers),),0))),"")</f>
        <v/>
      </c>
      <c r="C16" s="57" t="str" cm="1">
        <f t="array" ref="C16">IFERROR(IF(INDEX(Prestaties,MATCH(0,INDEX(COUNTIF($C$1:C15,Prestaties),),0))=0,"",INDEX(Prestaties,MATCH(0,INDEX(COUNTIF($C$1:C15,Prestaties),),0))),"")</f>
        <v/>
      </c>
      <c r="E16" s="57"/>
      <c r="F16" s="57"/>
      <c r="H16" s="57"/>
      <c r="I16" s="57" t="str">
        <f>IFERROR(INDEX(DB_Loonkosten,MATCH(H16,'7. Rekenhulp loonkosten bet.vz.'!$C$5:$C$54,0),1),"")</f>
        <v/>
      </c>
      <c r="J16" s="67">
        <f>IFERROR(INDEX(DB_Loonkosten,MATCH(I16,[0]!LoonkostenNr,0),24),"")</f>
        <v>0</v>
      </c>
      <c r="L16" s="57" t="str">
        <v>Geringere drooglegging 20 cm met extensiveren max 150 kg N</v>
      </c>
      <c r="M16" s="57" t="str">
        <v>Vast tarief</v>
      </c>
      <c r="N16" s="57">
        <v>0</v>
      </c>
      <c r="O16" s="57" t="str">
        <v>Overige kosten</v>
      </c>
      <c r="P16" s="67">
        <f>IF(L16&lt;&gt;"",IFERROR(VLOOKUP(L16,Tb_KostenTypen[],MATCH($P$1,Tb_KostenTypen[#Headers],0),0),0),"")</f>
        <v>2785</v>
      </c>
      <c r="T16" s="57"/>
      <c r="V16" t="str" cm="1">
        <f t="array" ref="V16">IF(LEFT('8. Uitgaven betaalverzoek'!F16,6)="Arbeid",IF(RIGHT('8. Uitgaven betaalverzoek'!F16,3)="IKS",MedewerkersIKS_Uniek,Medewerkers_Uniek),"")</f>
        <v/>
      </c>
      <c r="AG16" s="91"/>
      <c r="AH16" s="91"/>
    </row>
    <row r="17" spans="1:34" x14ac:dyDescent="0.25">
      <c r="A17" s="57" t="str" cm="1">
        <f t="array" ref="A17">IFERROR(IF(INDEX(Deelnemers,MATCH(0,INDEX(COUNTIF($A$1:A16,Deelnemers),),0))=0,"",INDEX(Deelnemers,MATCH(0,INDEX(COUNTIF($A$1:A16,Deelnemers),),0))),"")</f>
        <v/>
      </c>
      <c r="C17" s="57" t="str" cm="1">
        <f t="array" ref="C17">IFERROR(IF(INDEX(Prestaties,MATCH(0,INDEX(COUNTIF($C$1:C16,Prestaties),),0))=0,"",INDEX(Prestaties,MATCH(0,INDEX(COUNTIF($C$1:C16,Prestaties),),0))),"")</f>
        <v/>
      </c>
      <c r="E17" s="57"/>
      <c r="F17" s="57"/>
      <c r="H17" s="57"/>
      <c r="I17" s="57" t="str">
        <f>IFERROR(INDEX(DB_Loonkosten,MATCH(H17,'7. Rekenhulp loonkosten bet.vz.'!$C$5:$C$54,0),1),"")</f>
        <v/>
      </c>
      <c r="J17" s="67">
        <f>IFERROR(INDEX(DB_Loonkosten,MATCH(I17,[0]!LoonkostenNr,0),24),"")</f>
        <v>0</v>
      </c>
      <c r="L17" s="57" t="str">
        <v>Geringere drooglegging 40 cm met extensiveren max 100 kg N</v>
      </c>
      <c r="M17" s="57" t="str">
        <v>Vast tarief</v>
      </c>
      <c r="N17" s="57">
        <v>0</v>
      </c>
      <c r="O17" s="57" t="str">
        <v>Overige kosten</v>
      </c>
      <c r="P17" s="67">
        <f>IF(L17&lt;&gt;"",IFERROR(VLOOKUP(L17,Tb_KostenTypen[],MATCH($P$1,Tb_KostenTypen[#Headers],0),0),0),"")</f>
        <v>2840</v>
      </c>
      <c r="T17" s="57"/>
      <c r="V17" t="str" cm="1">
        <f t="array" ref="V17">IF(LEFT('8. Uitgaven betaalverzoek'!F17,6)="Arbeid",IF(RIGHT('8. Uitgaven betaalverzoek'!F17,3)="IKS",MedewerkersIKS_Uniek,Medewerkers_Uniek),"")</f>
        <v/>
      </c>
      <c r="AG17" s="91"/>
      <c r="AH17" s="91"/>
    </row>
    <row r="18" spans="1:34" x14ac:dyDescent="0.25">
      <c r="A18" s="57" t="str" cm="1">
        <f t="array" ref="A18">IFERROR(IF(INDEX(Deelnemers,MATCH(0,INDEX(COUNTIF($A$1:A17,Deelnemers),),0))=0,"",INDEX(Deelnemers,MATCH(0,INDEX(COUNTIF($A$1:A17,Deelnemers),),0))),"")</f>
        <v/>
      </c>
      <c r="C18" s="57" t="str" cm="1">
        <f t="array" ref="C18">IFERROR(IF(INDEX(Prestaties,MATCH(0,INDEX(COUNTIF($C$1:C17,Prestaties),),0))=0,"",INDEX(Prestaties,MATCH(0,INDEX(COUNTIF($C$1:C17,Prestaties),),0))),"")</f>
        <v/>
      </c>
      <c r="E18" s="57"/>
      <c r="F18" s="57"/>
      <c r="H18" s="57"/>
      <c r="I18" s="57" t="str">
        <f>IFERROR(INDEX(DB_Loonkosten,MATCH(H18,'7. Rekenhulp loonkosten bet.vz.'!$C$5:$C$54,0),1),"")</f>
        <v/>
      </c>
      <c r="J18" s="67">
        <f>IFERROR(INDEX(DB_Loonkosten,MATCH(I18,[0]!LoonkostenNr,0),24),"")</f>
        <v>0</v>
      </c>
      <c r="L18" s="57" t="str">
        <v>Geringere drooglegging 30 cm met extensiveren max 100 kg N</v>
      </c>
      <c r="M18" s="57" t="str">
        <v>Vast tarief</v>
      </c>
      <c r="N18" s="57">
        <v>0</v>
      </c>
      <c r="O18" s="57" t="str">
        <v>Overige kosten</v>
      </c>
      <c r="P18" s="67">
        <f>IF(L18&lt;&gt;"",IFERROR(VLOOKUP(L18,Tb_KostenTypen[],MATCH($P$1,Tb_KostenTypen[#Headers],0),0),0),"")</f>
        <v>3015</v>
      </c>
      <c r="T18" s="57"/>
      <c r="AG18" s="91"/>
      <c r="AH18" s="91"/>
    </row>
    <row r="19" spans="1:34" x14ac:dyDescent="0.25">
      <c r="A19" s="57" t="str" cm="1">
        <f t="array" ref="A19">IFERROR(IF(INDEX(Deelnemers,MATCH(0,INDEX(COUNTIF($A$1:A18,Deelnemers),),0))=0,"",INDEX(Deelnemers,MATCH(0,INDEX(COUNTIF($A$1:A18,Deelnemers),),0))),"")</f>
        <v/>
      </c>
      <c r="C19" s="57" t="str" cm="1">
        <f t="array" ref="C19">IFERROR(IF(INDEX(Prestaties,MATCH(0,INDEX(COUNTIF($C$1:C18,Prestaties),),0))=0,"",INDEX(Prestaties,MATCH(0,INDEX(COUNTIF($C$1:C18,Prestaties),),0))),"")</f>
        <v/>
      </c>
      <c r="E19" s="57"/>
      <c r="F19" s="57"/>
      <c r="H19" s="57"/>
      <c r="I19" s="57" t="str">
        <f>IFERROR(INDEX(DB_Loonkosten,MATCH(H19,'7. Rekenhulp loonkosten bet.vz.'!$C$5:$C$54,0),1),"")</f>
        <v/>
      </c>
      <c r="J19" s="67">
        <f>IFERROR(INDEX(DB_Loonkosten,MATCH(I19,[0]!LoonkostenNr,0),24),"")</f>
        <v>0</v>
      </c>
      <c r="L19" s="57" t="str">
        <v>Geringere drooglegging 20 cm met extensiveren max 100 kg N</v>
      </c>
      <c r="M19" s="57" t="str">
        <v>Vast tarief</v>
      </c>
      <c r="N19" s="57">
        <v>0</v>
      </c>
      <c r="O19" s="57" t="str">
        <v>Overige kosten</v>
      </c>
      <c r="P19" s="67">
        <f>IF(L19&lt;&gt;"",IFERROR(VLOOKUP(L19,Tb_KostenTypen[],MATCH($P$1,Tb_KostenTypen[#Headers],0),0),0),"")</f>
        <v>3425</v>
      </c>
      <c r="T19" s="57"/>
      <c r="AG19" s="91"/>
      <c r="AH19" s="91"/>
    </row>
    <row r="20" spans="1:34" x14ac:dyDescent="0.25">
      <c r="A20" s="57" t="str" cm="1">
        <f t="array" ref="A20">IFERROR(IF(INDEX(Deelnemers,MATCH(0,INDEX(COUNTIF($A$1:A19,Deelnemers),),0))=0,"",INDEX(Deelnemers,MATCH(0,INDEX(COUNTIF($A$1:A19,Deelnemers),),0))),"")</f>
        <v/>
      </c>
      <c r="C20" s="57" t="str" cm="1">
        <f t="array" ref="C20">IFERROR(IF(INDEX(Prestaties,MATCH(0,INDEX(COUNTIF($C$1:C19,Prestaties),),0))=0,"",INDEX(Prestaties,MATCH(0,INDEX(COUNTIF($C$1:C19,Prestaties),),0))),"")</f>
        <v/>
      </c>
      <c r="E20" s="57"/>
      <c r="F20" s="57"/>
      <c r="H20" s="57"/>
      <c r="I20" s="57" t="str">
        <f>IFERROR(INDEX(DB_Loonkosten,MATCH(H20,'7. Rekenhulp loonkosten bet.vz.'!$C$5:$C$54,0),1),"")</f>
        <v/>
      </c>
      <c r="J20" s="67">
        <f>IFERROR(INDEX(DB_Loonkosten,MATCH(I20,[0]!LoonkostenNr,0),24),"")</f>
        <v>0</v>
      </c>
      <c r="L20" s="57" t="str">
        <v>Extensiveren max. 150 kg N (10/12)</v>
      </c>
      <c r="M20" s="57" t="str">
        <v>Vast tarief</v>
      </c>
      <c r="N20" s="57">
        <v>0</v>
      </c>
      <c r="O20" s="57" t="str">
        <v>Overige kosten</v>
      </c>
      <c r="P20" s="67">
        <f>IF(L20&lt;&gt;"",IFERROR(VLOOKUP(L20,Tb_KostenTypen[],MATCH($P$1,Tb_KostenTypen[#Headers],0),0),0),"")</f>
        <v>1408</v>
      </c>
      <c r="T20" s="57"/>
      <c r="AG20" s="91"/>
      <c r="AH20" s="91"/>
    </row>
    <row r="21" spans="1:34" x14ac:dyDescent="0.25">
      <c r="A21" s="57" t="str" cm="1">
        <f t="array" ref="A21">IFERROR(IF(INDEX(Deelnemers,MATCH(0,INDEX(COUNTIF($A$1:A20,Deelnemers),),0))=0,"",INDEX(Deelnemers,MATCH(0,INDEX(COUNTIF($A$1:A20,Deelnemers),),0))),"")</f>
        <v/>
      </c>
      <c r="C21" s="57" t="str" cm="1">
        <f t="array" ref="C21">IFERROR(IF(INDEX(Prestaties,MATCH(0,INDEX(COUNTIF($C$1:C20,Prestaties),),0))=0,"",INDEX(Prestaties,MATCH(0,INDEX(COUNTIF($C$1:C20,Prestaties),),0))),"")</f>
        <v/>
      </c>
      <c r="H21" s="57"/>
      <c r="I21" s="57" t="str">
        <f>IFERROR(INDEX(DB_Loonkosten,MATCH(H21,'7. Rekenhulp loonkosten bet.vz.'!$C$5:$C$54,0),1),"")</f>
        <v/>
      </c>
      <c r="J21" s="67">
        <f>IFERROR(INDEX(DB_Loonkosten,MATCH(I21,[0]!LoonkostenNr,0),24),"")</f>
        <v>0</v>
      </c>
      <c r="L21" s="57" t="str">
        <v>Extensiveren max. 100 kg N (10/12)</v>
      </c>
      <c r="M21" s="57" t="str">
        <v>Vast tarief</v>
      </c>
      <c r="N21" s="57">
        <v>0</v>
      </c>
      <c r="O21" s="57" t="str">
        <v>Overige kosten</v>
      </c>
      <c r="P21" s="67">
        <f>IF(L21&lt;&gt;"",IFERROR(VLOOKUP(L21,Tb_KostenTypen[],MATCH($P$1,Tb_KostenTypen[#Headers],0),0),0),"")</f>
        <v>2037</v>
      </c>
      <c r="T21" s="57"/>
      <c r="AG21" s="91"/>
      <c r="AH21" s="91"/>
    </row>
    <row r="22" spans="1:34" x14ac:dyDescent="0.25">
      <c r="A22" s="57" t="str" cm="1">
        <f t="array" ref="A22">IFERROR(IF(INDEX(Deelnemers,MATCH(0,INDEX(COUNTIF($A$1:A21,Deelnemers),),0))=0,"",INDEX(Deelnemers,MATCH(0,INDEX(COUNTIF($A$1:A21,Deelnemers),),0))),"")</f>
        <v/>
      </c>
      <c r="C22" s="57" t="str" cm="1">
        <f t="array" ref="C22">IFERROR(IF(INDEX(Prestaties,MATCH(0,INDEX(COUNTIF($C$1:C21,Prestaties),),0))=0,"",INDEX(Prestaties,MATCH(0,INDEX(COUNTIF($C$1:C21,Prestaties),),0))),"")</f>
        <v/>
      </c>
      <c r="H22" s="57"/>
      <c r="I22" s="57" t="str">
        <f>IFERROR(INDEX(DB_Loonkosten,MATCH(H22,'7. Rekenhulp loonkosten bet.vz.'!$C$5:$C$54,0),1),"")</f>
        <v/>
      </c>
      <c r="J22" s="67">
        <f>IFERROR(INDEX(DB_Loonkosten,MATCH(I22,[0]!LoonkostenNr,0),24),"")</f>
        <v>0</v>
      </c>
      <c r="L22" s="57" t="str">
        <v>Geringere drooglegging 40 cm met extensiveren max. 150 kg N (10/12)</v>
      </c>
      <c r="M22" s="57" t="str">
        <v>Vast tarief</v>
      </c>
      <c r="N22" s="57">
        <v>0</v>
      </c>
      <c r="O22" s="57" t="str">
        <v>Overige kosten</v>
      </c>
      <c r="P22" s="67">
        <f>IF(L22&lt;&gt;"",IFERROR(VLOOKUP(L22,Tb_KostenTypen[],MATCH($P$1,Tb_KostenTypen[#Headers],0),0),0),"")</f>
        <v>1858</v>
      </c>
      <c r="T22" s="57"/>
      <c r="AG22" s="91"/>
      <c r="AH22" s="91"/>
    </row>
    <row r="23" spans="1:34" x14ac:dyDescent="0.25">
      <c r="A23" s="57" t="str" cm="1">
        <f t="array" ref="A23">IFERROR(IF(INDEX(Deelnemers,MATCH(0,INDEX(COUNTIF($A$1:A22,Deelnemers),),0))=0,"",INDEX(Deelnemers,MATCH(0,INDEX(COUNTIF($A$1:A22,Deelnemers),),0))),"")</f>
        <v/>
      </c>
      <c r="C23" s="57" t="str" cm="1">
        <f t="array" ref="C23">IFERROR(IF(INDEX(Prestaties,MATCH(0,INDEX(COUNTIF($C$1:C22,Prestaties),),0))=0,"",INDEX(Prestaties,MATCH(0,INDEX(COUNTIF($C$1:C22,Prestaties),),0))),"")</f>
        <v/>
      </c>
      <c r="H23" s="57"/>
      <c r="I23" s="57" t="str">
        <f>IFERROR(INDEX(DB_Loonkosten,MATCH(H23,'7. Rekenhulp loonkosten bet.vz.'!$C$5:$C$54,0),1),"")</f>
        <v/>
      </c>
      <c r="J23" s="67">
        <f>IFERROR(INDEX(DB_Loonkosten,MATCH(I23,[0]!LoonkostenNr,0),24),"")</f>
        <v>0</v>
      </c>
      <c r="L23" s="57" t="str">
        <v>Geringere drooglegging 30 cm met extensiveren max. 150 kg N (10/12)</v>
      </c>
      <c r="M23" s="57" t="str">
        <v>Vast tarief</v>
      </c>
      <c r="N23" s="57">
        <v>0</v>
      </c>
      <c r="O23" s="57" t="str">
        <v>Overige kosten</v>
      </c>
      <c r="P23" s="67">
        <f>IF(L23&lt;&gt;"",IFERROR(VLOOKUP(L23,Tb_KostenTypen[],MATCH($P$1,Tb_KostenTypen[#Headers],0),0),0),"")</f>
        <v>2053</v>
      </c>
      <c r="T23" s="57"/>
      <c r="AG23" s="91"/>
      <c r="AH23" s="91"/>
    </row>
    <row r="24" spans="1:34" x14ac:dyDescent="0.25">
      <c r="A24" s="57" t="str" cm="1">
        <f t="array" ref="A24">IFERROR(IF(INDEX(Deelnemers,MATCH(0,INDEX(COUNTIF($A$1:A23,Deelnemers),),0))=0,"",INDEX(Deelnemers,MATCH(0,INDEX(COUNTIF($A$1:A23,Deelnemers),),0))),"")</f>
        <v/>
      </c>
      <c r="C24" s="57" t="str" cm="1">
        <f t="array" ref="C24">IFERROR(IF(INDEX(Prestaties,MATCH(0,INDEX(COUNTIF($C$1:C23,Prestaties),),0))=0,"",INDEX(Prestaties,MATCH(0,INDEX(COUNTIF($C$1:C23,Prestaties),),0))),"")</f>
        <v/>
      </c>
      <c r="H24" s="57"/>
      <c r="I24" s="57" t="str">
        <f>IFERROR(INDEX(DB_Loonkosten,MATCH(H24,'7. Rekenhulp loonkosten bet.vz.'!$C$5:$C$54,0),1),"")</f>
        <v/>
      </c>
      <c r="J24" s="67">
        <f>IFERROR(INDEX(DB_Loonkosten,MATCH(I24,[0]!LoonkostenNr,0),24),"")</f>
        <v>0</v>
      </c>
      <c r="L24" s="57" t="str">
        <v>Geringere drooglegging 20 cm met extensiveren max. 150 kg N (10/12)</v>
      </c>
      <c r="M24" s="57" t="str">
        <v>Vast tarief</v>
      </c>
      <c r="N24" s="57">
        <v>0</v>
      </c>
      <c r="O24" s="57" t="str">
        <v>Overige kosten</v>
      </c>
      <c r="P24" s="67">
        <f>IF(L24&lt;&gt;"",IFERROR(VLOOKUP(L24,Tb_KostenTypen[],MATCH($P$1,Tb_KostenTypen[#Headers],0),0),0),"")</f>
        <v>2513</v>
      </c>
      <c r="T24" s="57"/>
      <c r="AG24" s="91"/>
      <c r="AH24" s="91"/>
    </row>
    <row r="25" spans="1:34" x14ac:dyDescent="0.25">
      <c r="A25" s="57" t="str" cm="1">
        <f t="array" ref="A25">IFERROR(IF(INDEX(Deelnemers,MATCH(0,INDEX(COUNTIF($A$1:A24,Deelnemers),),0))=0,"",INDEX(Deelnemers,MATCH(0,INDEX(COUNTIF($A$1:A24,Deelnemers),),0))),"")</f>
        <v/>
      </c>
      <c r="C25" s="57" t="str" cm="1">
        <f t="array" ref="C25">IFERROR(IF(INDEX(Prestaties,MATCH(0,INDEX(COUNTIF($C$1:C24,Prestaties),),0))=0,"",INDEX(Prestaties,MATCH(0,INDEX(COUNTIF($C$1:C24,Prestaties),),0))),"")</f>
        <v/>
      </c>
      <c r="H25" s="57"/>
      <c r="I25" s="57" t="str">
        <f>IFERROR(INDEX(DB_Loonkosten,MATCH(H25,'7. Rekenhulp loonkosten bet.vz.'!$C$5:$C$54,0),1),"")</f>
        <v/>
      </c>
      <c r="J25" s="67">
        <f>IFERROR(INDEX(DB_Loonkosten,MATCH(I25,[0]!LoonkostenNr,0),24),"")</f>
        <v>0</v>
      </c>
      <c r="L25" s="57" t="str">
        <v>Geringere drooglegging 40 cm met extensiveren max. 100 kg N (10/12)</v>
      </c>
      <c r="M25" s="57" t="str">
        <v>Vast tarief</v>
      </c>
      <c r="N25" s="57">
        <v>0</v>
      </c>
      <c r="O25" s="57" t="str">
        <v>Overige kosten</v>
      </c>
      <c r="P25" s="67">
        <f>IF(L25&lt;&gt;"",IFERROR(VLOOKUP(L25,Tb_KostenTypen[],MATCH($P$1,Tb_KostenTypen[#Headers],0),0),0),"")</f>
        <v>2447</v>
      </c>
      <c r="T25" s="57"/>
      <c r="AG25" s="91"/>
      <c r="AH25" s="91"/>
    </row>
    <row r="26" spans="1:34" x14ac:dyDescent="0.25">
      <c r="A26" s="57" t="str" cm="1">
        <f t="array" ref="A26">IFERROR(IF(INDEX(Deelnemers,MATCH(0,INDEX(COUNTIF($A$1:A25,Deelnemers),),0))=0,"",INDEX(Deelnemers,MATCH(0,INDEX(COUNTIF($A$1:A25,Deelnemers),),0))),"")</f>
        <v/>
      </c>
      <c r="C26" s="57" t="str" cm="1">
        <f t="array" ref="C26">IFERROR(IF(INDEX(Prestaties,MATCH(0,INDEX(COUNTIF($C$1:C25,Prestaties),),0))=0,"",INDEX(Prestaties,MATCH(0,INDEX(COUNTIF($C$1:C25,Prestaties),),0))),"")</f>
        <v/>
      </c>
      <c r="H26" s="57"/>
      <c r="I26" s="57" t="str">
        <f>IFERROR(INDEX(DB_Loonkosten,MATCH(H26,'7. Rekenhulp loonkosten bet.vz.'!$C$5:$C$54,0),1),"")</f>
        <v/>
      </c>
      <c r="J26" s="67">
        <f>IFERROR(INDEX(DB_Loonkosten,MATCH(I26,[0]!LoonkostenNr,0),24),"")</f>
        <v>0</v>
      </c>
      <c r="L26" s="57" t="str">
        <v>Geringere drooglegging 30 cm met extensiveren max. 100 kg N (10/12)</v>
      </c>
      <c r="M26" s="57" t="str">
        <v>Vast tarief</v>
      </c>
      <c r="N26" s="57">
        <v>0</v>
      </c>
      <c r="O26" s="57" t="str">
        <v>Overige kosten</v>
      </c>
      <c r="P26" s="67">
        <f>IF(L26&lt;&gt;"",IFERROR(VLOOKUP(L26,Tb_KostenTypen[],MATCH($P$1,Tb_KostenTypen[#Headers],0),0),0),"")</f>
        <v>2622</v>
      </c>
      <c r="T26" s="57"/>
      <c r="AG26" s="91"/>
      <c r="AH26" s="91"/>
    </row>
    <row r="27" spans="1:34" x14ac:dyDescent="0.25">
      <c r="A27" s="57" t="str" cm="1">
        <f t="array" ref="A27">IFERROR(IF(INDEX(Deelnemers,MATCH(0,INDEX(COUNTIF($A$1:A26,Deelnemers),),0))=0,"",INDEX(Deelnemers,MATCH(0,INDEX(COUNTIF($A$1:A26,Deelnemers),),0))),"")</f>
        <v/>
      </c>
      <c r="C27" s="57" t="str" cm="1">
        <f t="array" ref="C27">IFERROR(IF(INDEX(Prestaties,MATCH(0,INDEX(COUNTIF($C$1:C26,Prestaties),),0))=0,"",INDEX(Prestaties,MATCH(0,INDEX(COUNTIF($C$1:C26,Prestaties),),0))),"")</f>
        <v/>
      </c>
      <c r="H27" s="57"/>
      <c r="I27" s="57" t="str">
        <f>IFERROR(INDEX(DB_Loonkosten,MATCH(H27,'7. Rekenhulp loonkosten bet.vz.'!$C$5:$C$54,0),1),"")</f>
        <v/>
      </c>
      <c r="J27" s="67">
        <f>IFERROR(INDEX(DB_Loonkosten,MATCH(I27,[0]!LoonkostenNr,0),24),"")</f>
        <v>0</v>
      </c>
      <c r="L27" s="57" t="str">
        <v>Geringere drooglegging 20 cm met extensiveren max. 100 kg N (10/12)</v>
      </c>
      <c r="M27" s="57" t="str">
        <v>Vast tarief</v>
      </c>
      <c r="N27" s="57">
        <v>0</v>
      </c>
      <c r="O27" s="57" t="str">
        <v>Overige kosten</v>
      </c>
      <c r="P27" s="67">
        <f>IF(L27&lt;&gt;"",IFERROR(VLOOKUP(L27,Tb_KostenTypen[],MATCH($P$1,Tb_KostenTypen[#Headers],0),0),0),"")</f>
        <v>3032</v>
      </c>
      <c r="T27" s="57"/>
      <c r="AG27" s="91"/>
      <c r="AH27" s="91"/>
    </row>
    <row r="28" spans="1:34" x14ac:dyDescent="0.25">
      <c r="A28" s="57" t="str" cm="1">
        <f t="array" ref="A28">IFERROR(IF(INDEX(Deelnemers,MATCH(0,INDEX(COUNTIF($A$1:A27,Deelnemers),),0))=0,"",INDEX(Deelnemers,MATCH(0,INDEX(COUNTIF($A$1:A27,Deelnemers),),0))),"")</f>
        <v/>
      </c>
      <c r="C28" s="57" t="str" cm="1">
        <f t="array" ref="C28">IFERROR(IF(INDEX(Prestaties,MATCH(0,INDEX(COUNTIF($C$1:C27,Prestaties),),0))=0,"",INDEX(Prestaties,MATCH(0,INDEX(COUNTIF($C$1:C27,Prestaties),),0))),"")</f>
        <v/>
      </c>
      <c r="H28" s="57"/>
      <c r="I28" s="57" t="str">
        <f>IFERROR(INDEX(DB_Loonkosten,MATCH(H28,'7. Rekenhulp loonkosten bet.vz.'!$C$5:$C$54,0),1),"")</f>
        <v/>
      </c>
      <c r="J28" s="67">
        <f>IFERROR(INDEX(DB_Loonkosten,MATCH(I28,[0]!LoonkostenNr,0),24),"")</f>
        <v>0</v>
      </c>
      <c r="L28" s="57" t="str">
        <v>Geringere drooglegging 40 cm (verlaging ANLB)</v>
      </c>
      <c r="M28" s="57" t="str">
        <v>Vast tarief</v>
      </c>
      <c r="N28" s="57">
        <v>0</v>
      </c>
      <c r="O28" s="57" t="str">
        <v>Overige kosten</v>
      </c>
      <c r="P28" s="67">
        <f>IF(L28&lt;&gt;"",IFERROR(VLOOKUP(L28,Tb_KostenTypen[],MATCH($P$1,Tb_KostenTypen[#Headers],0),0),0),"")</f>
        <v>316.16999999999996</v>
      </c>
      <c r="T28" s="57"/>
      <c r="AG28" s="91"/>
      <c r="AH28" s="91"/>
    </row>
    <row r="29" spans="1:34" x14ac:dyDescent="0.25">
      <c r="A29" s="57" t="str" cm="1">
        <f t="array" ref="A29">IFERROR(IF(INDEX(Deelnemers,MATCH(0,INDEX(COUNTIF($A$1:A28,Deelnemers),),0))=0,"",INDEX(Deelnemers,MATCH(0,INDEX(COUNTIF($A$1:A28,Deelnemers),),0))),"")</f>
        <v/>
      </c>
      <c r="C29" s="57" t="str" cm="1">
        <f t="array" ref="C29">IFERROR(IF(INDEX(Prestaties,MATCH(0,INDEX(COUNTIF($C$1:C28,Prestaties),),0))=0,"",INDEX(Prestaties,MATCH(0,INDEX(COUNTIF($C$1:C28,Prestaties),),0))),"")</f>
        <v/>
      </c>
      <c r="H29" s="57"/>
      <c r="I29" s="57" t="str">
        <f>IFERROR(INDEX(DB_Loonkosten,MATCH(H29,'7. Rekenhulp loonkosten bet.vz.'!$C$5:$C$54,0),1),"")</f>
        <v/>
      </c>
      <c r="J29" s="67">
        <f>IFERROR(INDEX(DB_Loonkosten,MATCH(I29,[0]!LoonkostenNr,0),24),"")</f>
        <v>0</v>
      </c>
      <c r="L29" s="57" t="str">
        <v>Geringere drooglegging 30 cm (verlaging ANLB)</v>
      </c>
      <c r="M29" s="57" t="str">
        <v>Vast tarief</v>
      </c>
      <c r="N29" s="57">
        <v>0</v>
      </c>
      <c r="O29" s="57" t="str">
        <v>Overige kosten</v>
      </c>
      <c r="P29" s="67">
        <f>IF(L29&lt;&gt;"",IFERROR(VLOOKUP(L29,Tb_KostenTypen[],MATCH($P$1,Tb_KostenTypen[#Headers],0),0),0),"")</f>
        <v>618.37</v>
      </c>
      <c r="T29" s="57"/>
      <c r="AG29" s="91"/>
      <c r="AH29" s="91"/>
    </row>
    <row r="30" spans="1:34" x14ac:dyDescent="0.25">
      <c r="A30" s="57" t="str" cm="1">
        <f t="array" ref="A30">IFERROR(IF(INDEX(Deelnemers,MATCH(0,INDEX(COUNTIF($A$1:A29,Deelnemers),),0))=0,"",INDEX(Deelnemers,MATCH(0,INDEX(COUNTIF($A$1:A29,Deelnemers),),0))),"")</f>
        <v/>
      </c>
      <c r="C30" s="57" t="str" cm="1">
        <f t="array" ref="C30">IFERROR(IF(INDEX(Prestaties,MATCH(0,INDEX(COUNTIF($C$1:C29,Prestaties),),0))=0,"",INDEX(Prestaties,MATCH(0,INDEX(COUNTIF($C$1:C29,Prestaties),),0))),"")</f>
        <v/>
      </c>
      <c r="H30" s="57"/>
      <c r="I30" s="57" t="str">
        <f>IFERROR(INDEX(DB_Loonkosten,MATCH(H30,'7. Rekenhulp loonkosten bet.vz.'!$C$5:$C$54,0),1),"")</f>
        <v/>
      </c>
      <c r="J30" s="67">
        <f>IFERROR(INDEX(DB_Loonkosten,MATCH(I30,[0]!LoonkostenNr,0),24),"")</f>
        <v>0</v>
      </c>
      <c r="L30" s="57" t="str">
        <v>Geringere drooglegging 20 cm (verlaging ANLB)</v>
      </c>
      <c r="M30" s="57" t="str">
        <v>Vast tarief</v>
      </c>
      <c r="N30" s="57">
        <v>0</v>
      </c>
      <c r="O30" s="57" t="str">
        <v>Overige kosten</v>
      </c>
      <c r="P30" s="67">
        <f>IF(L30&lt;&gt;"",IFERROR(VLOOKUP(L30,Tb_KostenTypen[],MATCH($P$1,Tb_KostenTypen[#Headers],0),0),0),"")</f>
        <v>1240.58</v>
      </c>
      <c r="T30" s="57"/>
      <c r="AG30" s="91"/>
      <c r="AH30" s="91"/>
    </row>
    <row r="31" spans="1:34" x14ac:dyDescent="0.25">
      <c r="A31" s="57" t="str" cm="1">
        <f t="array" ref="A31">IFERROR(IF(INDEX(Deelnemers,MATCH(0,INDEX(COUNTIF($A$1:A30,Deelnemers),),0))=0,"",INDEX(Deelnemers,MATCH(0,INDEX(COUNTIF($A$1:A30,Deelnemers),),0))),"")</f>
        <v/>
      </c>
      <c r="C31" s="57" t="str" cm="1">
        <f t="array" ref="C31">IFERROR(IF(INDEX(Prestaties,MATCH(0,INDEX(COUNTIF($C$1:C30,Prestaties),),0))=0,"",INDEX(Prestaties,MATCH(0,INDEX(COUNTIF($C$1:C30,Prestaties),),0))),"")</f>
        <v/>
      </c>
      <c r="H31" s="57"/>
      <c r="I31" s="57" t="str">
        <f>IFERROR(INDEX(DB_Loonkosten,MATCH(H31,'7. Rekenhulp loonkosten bet.vz.'!$C$5:$C$54,0),1),"")</f>
        <v/>
      </c>
      <c r="J31" s="67">
        <f>IFERROR(INDEX(DB_Loonkosten,MATCH(I31,[0]!LoonkostenNr,0),24),"")</f>
        <v>0</v>
      </c>
      <c r="L31" s="57" t="str">
        <v>Geringere drooglegging 40 cm met extensiveren max. 150 kg N (verlaging ANLB)</v>
      </c>
      <c r="M31" s="57" t="str">
        <v>Vast tarief</v>
      </c>
      <c r="N31" s="57">
        <v>0</v>
      </c>
      <c r="O31" s="57" t="str">
        <v>Overige kosten</v>
      </c>
      <c r="P31" s="67">
        <f>IF(L31&lt;&gt;"",IFERROR(VLOOKUP(L31,Tb_KostenTypen[],MATCH($P$1,Tb_KostenTypen[#Headers],0),0),0),"")</f>
        <v>1901.17</v>
      </c>
      <c r="T31" s="57"/>
      <c r="AG31" s="91"/>
      <c r="AH31" s="91"/>
    </row>
    <row r="32" spans="1:34" x14ac:dyDescent="0.25">
      <c r="A32" s="57" t="str" cm="1">
        <f t="array" ref="A32">IFERROR(IF(INDEX(Deelnemers,MATCH(0,INDEX(COUNTIF($A$1:A31,Deelnemers),),0))=0,"",INDEX(Deelnemers,MATCH(0,INDEX(COUNTIF($A$1:A31,Deelnemers),),0))),"")</f>
        <v/>
      </c>
      <c r="C32" s="57" t="str" cm="1">
        <f t="array" ref="C32">IFERROR(IF(INDEX(Prestaties,MATCH(0,INDEX(COUNTIF($C$1:C31,Prestaties),),0))=0,"",INDEX(Prestaties,MATCH(0,INDEX(COUNTIF($C$1:C31,Prestaties),),0))),"")</f>
        <v/>
      </c>
      <c r="H32" s="57"/>
      <c r="I32" s="57" t="str">
        <f>IFERROR(INDEX(DB_Loonkosten,MATCH(H32,'7. Rekenhulp loonkosten bet.vz.'!$C$5:$C$54,0),1),"")</f>
        <v/>
      </c>
      <c r="J32" s="67">
        <f>IFERROR(INDEX(DB_Loonkosten,MATCH(I32,[0]!LoonkostenNr,0),24),"")</f>
        <v>0</v>
      </c>
      <c r="L32" s="57" t="str">
        <v>Geringere drooglegging 30 cm met extensiveren max. 150 kg N (verlaging ANLB)</v>
      </c>
      <c r="M32" s="57" t="str">
        <v>Vast tarief</v>
      </c>
      <c r="N32" s="57">
        <v>0</v>
      </c>
      <c r="O32" s="57" t="str">
        <v>Overige kosten</v>
      </c>
      <c r="P32" s="67">
        <f>IF(L32&lt;&gt;"",IFERROR(VLOOKUP(L32,Tb_KostenTypen[],MATCH($P$1,Tb_KostenTypen[#Headers],0),0),0),"")</f>
        <v>2153.37</v>
      </c>
      <c r="T32" s="57"/>
      <c r="AG32" s="91"/>
      <c r="AH32" s="91"/>
    </row>
    <row r="33" spans="1:34" x14ac:dyDescent="0.25">
      <c r="A33" s="57" t="str" cm="1">
        <f t="array" ref="A33">IFERROR(IF(INDEX(Deelnemers,MATCH(0,INDEX(COUNTIF($A$1:A32,Deelnemers),),0))=0,"",INDEX(Deelnemers,MATCH(0,INDEX(COUNTIF($A$1:A32,Deelnemers),),0))),"")</f>
        <v/>
      </c>
      <c r="C33" s="57" t="str" cm="1">
        <f t="array" ref="C33">IFERROR(IF(INDEX(Prestaties,MATCH(0,INDEX(COUNTIF($C$1:C32,Prestaties),),0))=0,"",INDEX(Prestaties,MATCH(0,INDEX(COUNTIF($C$1:C32,Prestaties),),0))),"")</f>
        <v/>
      </c>
      <c r="H33" s="57"/>
      <c r="I33" s="57" t="str">
        <f>IFERROR(INDEX(DB_Loonkosten,MATCH(H33,'7. Rekenhulp loonkosten bet.vz.'!$C$5:$C$54,0),1),"")</f>
        <v/>
      </c>
      <c r="J33" s="67">
        <f>IFERROR(INDEX(DB_Loonkosten,MATCH(I33,[0]!LoonkostenNr,0),24),"")</f>
        <v>0</v>
      </c>
      <c r="L33" s="57" t="str">
        <v>Geringere drooglegging 20 cm met extensiveren max 150 kg N (verlaging ANLB)</v>
      </c>
      <c r="M33" s="57" t="str">
        <v>Vast tarief</v>
      </c>
      <c r="N33" s="57">
        <v>0</v>
      </c>
      <c r="O33" s="57" t="str">
        <v>Overige kosten</v>
      </c>
      <c r="P33" s="67">
        <f>IF(L33&lt;&gt;"",IFERROR(VLOOKUP(L33,Tb_KostenTypen[],MATCH($P$1,Tb_KostenTypen[#Headers],0),0),0),"")</f>
        <v>2670.58</v>
      </c>
      <c r="T33" s="57"/>
      <c r="AG33" s="91"/>
      <c r="AH33" s="91"/>
    </row>
    <row r="34" spans="1:34" x14ac:dyDescent="0.25">
      <c r="A34" s="57" t="str" cm="1">
        <f t="array" ref="A34">IFERROR(IF(INDEX(Deelnemers,MATCH(0,INDEX(COUNTIF($A$1:A33,Deelnemers),),0))=0,"",INDEX(Deelnemers,MATCH(0,INDEX(COUNTIF($A$1:A33,Deelnemers),),0))),"")</f>
        <v/>
      </c>
      <c r="C34" s="57" t="str" cm="1">
        <f t="array" ref="C34">IFERROR(IF(INDEX(Prestaties,MATCH(0,INDEX(COUNTIF($C$1:C33,Prestaties),),0))=0,"",INDEX(Prestaties,MATCH(0,INDEX(COUNTIF($C$1:C33,Prestaties),),0))),"")</f>
        <v/>
      </c>
      <c r="H34" s="57"/>
      <c r="I34" s="57" t="str">
        <f>IFERROR(INDEX(DB_Loonkosten,MATCH(H34,'7. Rekenhulp loonkosten bet.vz.'!$C$5:$C$54,0),1),"")</f>
        <v/>
      </c>
      <c r="J34" s="67">
        <f>IFERROR(INDEX(DB_Loonkosten,MATCH(I34,[0]!LoonkostenNr,0),24),"")</f>
        <v>0</v>
      </c>
      <c r="L34" s="57" t="str">
        <v>Geringere drooglegging 40 cm met extensiveren max 100 kg N (verlaging ANLB)</v>
      </c>
      <c r="M34" s="57" t="str">
        <v>Vast tarief</v>
      </c>
      <c r="N34" s="57">
        <v>0</v>
      </c>
      <c r="O34" s="57" t="str">
        <v>Overige kosten</v>
      </c>
      <c r="P34" s="67">
        <f>IF(L34&lt;&gt;"",IFERROR(VLOOKUP(L34,Tb_KostenTypen[],MATCH($P$1,Tb_KostenTypen[#Headers],0),0),0),"")</f>
        <v>2611.17</v>
      </c>
      <c r="T34" s="57"/>
      <c r="AG34" s="91"/>
      <c r="AH34" s="91"/>
    </row>
    <row r="35" spans="1:34" x14ac:dyDescent="0.25">
      <c r="A35" s="57" t="str" cm="1">
        <f t="array" ref="A35">IFERROR(IF(INDEX(Deelnemers,MATCH(0,INDEX(COUNTIF($A$1:A34,Deelnemers),),0))=0,"",INDEX(Deelnemers,MATCH(0,INDEX(COUNTIF($A$1:A34,Deelnemers),),0))),"")</f>
        <v/>
      </c>
      <c r="C35" s="57" t="str" cm="1">
        <f t="array" ref="C35">IFERROR(IF(INDEX(Prestaties,MATCH(0,INDEX(COUNTIF($C$1:C34,Prestaties),),0))=0,"",INDEX(Prestaties,MATCH(0,INDEX(COUNTIF($C$1:C34,Prestaties),),0))),"")</f>
        <v/>
      </c>
      <c r="H35" s="57"/>
      <c r="I35" s="57" t="str">
        <f>IFERROR(INDEX(DB_Loonkosten,MATCH(H35,'7. Rekenhulp loonkosten bet.vz.'!$C$5:$C$54,0),1),"")</f>
        <v/>
      </c>
      <c r="J35" s="67">
        <f>IFERROR(INDEX(DB_Loonkosten,MATCH(I35,[0]!LoonkostenNr,0),24),"")</f>
        <v>0</v>
      </c>
      <c r="L35" s="57" t="str">
        <v>Geringere drooglegging 30 cm met extensiveren max 100 kg N (verlaging ANLB)</v>
      </c>
      <c r="M35" s="57" t="str">
        <v>Vast tarief</v>
      </c>
      <c r="N35" s="57">
        <v>0</v>
      </c>
      <c r="O35" s="57" t="str">
        <v>Overige kosten</v>
      </c>
      <c r="P35" s="67">
        <f>IF(L35&lt;&gt;"",IFERROR(VLOOKUP(L35,Tb_KostenTypen[],MATCH($P$1,Tb_KostenTypen[#Headers],0),0),0),"")</f>
        <v>2843.37</v>
      </c>
      <c r="T35" s="57"/>
      <c r="AG35" s="91"/>
      <c r="AH35" s="91"/>
    </row>
    <row r="36" spans="1:34" x14ac:dyDescent="0.25">
      <c r="A36" s="57" t="str" cm="1">
        <f t="array" ref="A36">IFERROR(IF(INDEX(Deelnemers,MATCH(0,INDEX(COUNTIF($A$1:A35,Deelnemers),),0))=0,"",INDEX(Deelnemers,MATCH(0,INDEX(COUNTIF($A$1:A35,Deelnemers),),0))),"")</f>
        <v/>
      </c>
      <c r="C36" s="57" t="str" cm="1">
        <f t="array" ref="C36">IFERROR(IF(INDEX(Prestaties,MATCH(0,INDEX(COUNTIF($C$1:C35,Prestaties),),0))=0,"",INDEX(Prestaties,MATCH(0,INDEX(COUNTIF($C$1:C35,Prestaties),),0))),"")</f>
        <v/>
      </c>
      <c r="H36" s="57"/>
      <c r="I36" s="57" t="str">
        <f>IFERROR(INDEX(DB_Loonkosten,MATCH(H36,'7. Rekenhulp loonkosten bet.vz.'!$C$5:$C$54,0),1),"")</f>
        <v/>
      </c>
      <c r="J36" s="67">
        <f>IFERROR(INDEX(DB_Loonkosten,MATCH(I36,[0]!LoonkostenNr,0),24),"")</f>
        <v>0</v>
      </c>
      <c r="L36" s="57" t="str">
        <v>Geringere drooglegging 20 cm met extensiveren max 100 kg N (verlaging ANLB)</v>
      </c>
      <c r="M36" s="57" t="str">
        <v>Vast tarief</v>
      </c>
      <c r="N36" s="57">
        <v>0</v>
      </c>
      <c r="O36" s="57" t="str">
        <v>Overige kosten</v>
      </c>
      <c r="P36" s="67">
        <f>IF(L36&lt;&gt;"",IFERROR(VLOOKUP(L36,Tb_KostenTypen[],MATCH($P$1,Tb_KostenTypen[#Headers],0),0),0),"")</f>
        <v>3310.58</v>
      </c>
      <c r="T36" s="57"/>
      <c r="AG36" s="91"/>
      <c r="AH36" s="91"/>
    </row>
    <row r="37" spans="1:34" x14ac:dyDescent="0.25">
      <c r="A37" s="57" t="str" cm="1">
        <f t="array" ref="A37">IFERROR(IF(INDEX(Deelnemers,MATCH(0,INDEX(COUNTIF($A$1:A36,Deelnemers),),0))=0,"",INDEX(Deelnemers,MATCH(0,INDEX(COUNTIF($A$1:A36,Deelnemers),),0))),"")</f>
        <v/>
      </c>
      <c r="C37" s="57" t="str" cm="1">
        <f t="array" ref="C37">IFERROR(IF(INDEX(Prestaties,MATCH(0,INDEX(COUNTIF($C$1:C36,Prestaties),),0))=0,"",INDEX(Prestaties,MATCH(0,INDEX(COUNTIF($C$1:C36,Prestaties),),0))),"")</f>
        <v/>
      </c>
      <c r="H37" s="57"/>
      <c r="I37" s="57" t="str">
        <f>IFERROR(INDEX(DB_Loonkosten,MATCH(H37,'7. Rekenhulp loonkosten bet.vz.'!$C$5:$C$54,0),1),"")</f>
        <v/>
      </c>
      <c r="J37" s="67">
        <f>IFERROR(INDEX(DB_Loonkosten,MATCH(I37,[0]!LoonkostenNr,0),24),"")</f>
        <v>0</v>
      </c>
      <c r="L37" s="57" t="str">
        <v>Geringere drooglegging 40 cm met extensiveren max. 150 kg N (10/12) (verlaging ANLB)</v>
      </c>
      <c r="M37" s="57" t="str">
        <v>Vast tarief</v>
      </c>
      <c r="N37" s="57">
        <v>0</v>
      </c>
      <c r="O37" s="57" t="str">
        <v>Overige kosten</v>
      </c>
      <c r="P37" s="67">
        <f>IF(L37&lt;&gt;"",IFERROR(VLOOKUP(L37,Tb_KostenTypen[],MATCH($P$1,Tb_KostenTypen[#Headers],0),0),0),"")</f>
        <v>1629.17</v>
      </c>
      <c r="T37" s="57"/>
      <c r="AG37" s="91"/>
      <c r="AH37" s="91"/>
    </row>
    <row r="38" spans="1:34" x14ac:dyDescent="0.25">
      <c r="A38" s="57" t="str" cm="1">
        <f t="array" ref="A38">IFERROR(IF(INDEX(Deelnemers,MATCH(0,INDEX(COUNTIF($A$1:A37,Deelnemers),),0))=0,"",INDEX(Deelnemers,MATCH(0,INDEX(COUNTIF($A$1:A37,Deelnemers),),0))),"")</f>
        <v/>
      </c>
      <c r="C38" s="57" t="str" cm="1">
        <f t="array" ref="C38">IFERROR(IF(INDEX(Prestaties,MATCH(0,INDEX(COUNTIF($C$1:C37,Prestaties),),0))=0,"",INDEX(Prestaties,MATCH(0,INDEX(COUNTIF($C$1:C37,Prestaties),),0))),"")</f>
        <v/>
      </c>
      <c r="H38" s="57"/>
      <c r="I38" s="57" t="str">
        <f>IFERROR(INDEX(DB_Loonkosten,MATCH(H38,'7. Rekenhulp loonkosten bet.vz.'!$C$5:$C$54,0),1),"")</f>
        <v/>
      </c>
      <c r="J38" s="67">
        <f>IFERROR(INDEX(DB_Loonkosten,MATCH(I38,[0]!LoonkostenNr,0),24),"")</f>
        <v>0</v>
      </c>
      <c r="L38" s="57" t="str">
        <v>Geringere drooglegging 30 cm met extensiveren max. 150 kg N (10/12) (verlaging ANLB)</v>
      </c>
      <c r="M38" s="57" t="str">
        <v>Vast tarief</v>
      </c>
      <c r="N38" s="57">
        <v>0</v>
      </c>
      <c r="O38" s="57" t="str">
        <v>Overige kosten</v>
      </c>
      <c r="P38" s="67">
        <f>IF(L38&lt;&gt;"",IFERROR(VLOOKUP(L38,Tb_KostenTypen[],MATCH($P$1,Tb_KostenTypen[#Headers],0),0),0),"")</f>
        <v>1881.37</v>
      </c>
      <c r="T38" s="57"/>
      <c r="AG38" s="91"/>
      <c r="AH38" s="91"/>
    </row>
    <row r="39" spans="1:34" x14ac:dyDescent="0.25">
      <c r="A39" s="57" t="str" cm="1">
        <f t="array" ref="A39">IFERROR(IF(INDEX(Deelnemers,MATCH(0,INDEX(COUNTIF($A$1:A38,Deelnemers),),0))=0,"",INDEX(Deelnemers,MATCH(0,INDEX(COUNTIF($A$1:A38,Deelnemers),),0))),"")</f>
        <v/>
      </c>
      <c r="C39" s="57" t="str" cm="1">
        <f t="array" ref="C39">IFERROR(IF(INDEX(Prestaties,MATCH(0,INDEX(COUNTIF($C$1:C38,Prestaties),),0))=0,"",INDEX(Prestaties,MATCH(0,INDEX(COUNTIF($C$1:C38,Prestaties),),0))),"")</f>
        <v/>
      </c>
      <c r="H39" s="57"/>
      <c r="I39" s="57" t="str">
        <f>IFERROR(INDEX(DB_Loonkosten,MATCH(H39,'7. Rekenhulp loonkosten bet.vz.'!$C$5:$C$54,0),1),"")</f>
        <v/>
      </c>
      <c r="J39" s="67">
        <f>IFERROR(INDEX(DB_Loonkosten,MATCH(I39,[0]!LoonkostenNr,0),24),"")</f>
        <v>0</v>
      </c>
      <c r="L39" s="57" t="str">
        <v>Geringere drooglegging 20 cm met extensiveren max. 150 kg N (10/12) (verlaging ANLB)</v>
      </c>
      <c r="M39" s="57" t="str">
        <v>Vast tarief</v>
      </c>
      <c r="N39" s="57">
        <v>0</v>
      </c>
      <c r="O39" s="57" t="str">
        <v>Overige kosten</v>
      </c>
      <c r="P39" s="67">
        <f>IF(L39&lt;&gt;"",IFERROR(VLOOKUP(L39,Tb_KostenTypen[],MATCH($P$1,Tb_KostenTypen[#Headers],0),0),0),"")</f>
        <v>2398.58</v>
      </c>
      <c r="T39" s="57"/>
      <c r="AG39" s="91"/>
      <c r="AH39" s="91"/>
    </row>
    <row r="40" spans="1:34" x14ac:dyDescent="0.25">
      <c r="A40" s="57" t="str" cm="1">
        <f t="array" ref="A40">IFERROR(IF(INDEX(Deelnemers,MATCH(0,INDEX(COUNTIF($A$1:A39,Deelnemers),),0))=0,"",INDEX(Deelnemers,MATCH(0,INDEX(COUNTIF($A$1:A39,Deelnemers),),0))),"")</f>
        <v/>
      </c>
      <c r="C40" s="57" t="str" cm="1">
        <f t="array" ref="C40">IFERROR(IF(INDEX(Prestaties,MATCH(0,INDEX(COUNTIF($C$1:C39,Prestaties),),0))=0,"",INDEX(Prestaties,MATCH(0,INDEX(COUNTIF($C$1:C39,Prestaties),),0))),"")</f>
        <v/>
      </c>
      <c r="H40" s="57"/>
      <c r="I40" s="57" t="str">
        <f>IFERROR(INDEX(DB_Loonkosten,MATCH(H40,'7. Rekenhulp loonkosten bet.vz.'!$C$5:$C$54,0),1),"")</f>
        <v/>
      </c>
      <c r="J40" s="67">
        <f>IFERROR(INDEX(DB_Loonkosten,MATCH(I40,[0]!LoonkostenNr,0),24),"")</f>
        <v>0</v>
      </c>
      <c r="L40" s="57" t="str">
        <v>Geringere drooglegging 40 cm met extensiveren max. 100 kg N (10/12) (verlaging ANLB)</v>
      </c>
      <c r="M40" s="57" t="str">
        <v>Vast tarief</v>
      </c>
      <c r="N40" s="57">
        <v>0</v>
      </c>
      <c r="O40" s="57" t="str">
        <v>Overige kosten</v>
      </c>
      <c r="P40" s="67">
        <f>IF(L40&lt;&gt;"",IFERROR(VLOOKUP(L40,Tb_KostenTypen[],MATCH($P$1,Tb_KostenTypen[#Headers],0),0),0),"")</f>
        <v>2218.17</v>
      </c>
      <c r="T40" s="57"/>
      <c r="AG40" s="91"/>
      <c r="AH40" s="91"/>
    </row>
    <row r="41" spans="1:34" x14ac:dyDescent="0.25">
      <c r="A41" s="57" t="str" cm="1">
        <f t="array" ref="A41">IFERROR(IF(INDEX(Deelnemers,MATCH(0,INDEX(COUNTIF($A$1:A40,Deelnemers),),0))=0,"",INDEX(Deelnemers,MATCH(0,INDEX(COUNTIF($A$1:A40,Deelnemers),),0))),"")</f>
        <v/>
      </c>
      <c r="C41" s="57" t="str" cm="1">
        <f t="array" ref="C41">IFERROR(IF(INDEX(Prestaties,MATCH(0,INDEX(COUNTIF($C$1:C40,Prestaties),),0))=0,"",INDEX(Prestaties,MATCH(0,INDEX(COUNTIF($C$1:C40,Prestaties),),0))),"")</f>
        <v/>
      </c>
      <c r="H41" s="57"/>
      <c r="I41" s="57" t="str">
        <f>IFERROR(INDEX(DB_Loonkosten,MATCH(H41,'7. Rekenhulp loonkosten bet.vz.'!$C$5:$C$54,0),1),"")</f>
        <v/>
      </c>
      <c r="J41" s="67">
        <f>IFERROR(INDEX(DB_Loonkosten,MATCH(I41,[0]!LoonkostenNr,0),24),"")</f>
        <v>0</v>
      </c>
      <c r="L41" s="57" t="str">
        <v>Geringere drooglegging 30 cm met extensiveren max. 100 kg N (10/12) (verlaging ANLB)</v>
      </c>
      <c r="M41" s="57" t="str">
        <v>Vast tarief</v>
      </c>
      <c r="N41" s="57">
        <v>0</v>
      </c>
      <c r="O41" s="57" t="str">
        <v>Overige kosten</v>
      </c>
      <c r="P41" s="67">
        <f>IF(L41&lt;&gt;"",IFERROR(VLOOKUP(L41,Tb_KostenTypen[],MATCH($P$1,Tb_KostenTypen[#Headers],0),0),0),"")</f>
        <v>2450.37</v>
      </c>
      <c r="T41" s="57"/>
      <c r="AG41" s="91"/>
      <c r="AH41" s="91"/>
    </row>
    <row r="42" spans="1:34" x14ac:dyDescent="0.25">
      <c r="A42" s="57" t="str" cm="1">
        <f t="array" ref="A42">IFERROR(IF(INDEX(Deelnemers,MATCH(0,INDEX(COUNTIF($A$1:A41,Deelnemers),),0))=0,"",INDEX(Deelnemers,MATCH(0,INDEX(COUNTIF($A$1:A41,Deelnemers),),0))),"")</f>
        <v/>
      </c>
      <c r="C42" s="57" t="str" cm="1">
        <f t="array" ref="C42">IFERROR(IF(INDEX(Prestaties,MATCH(0,INDEX(COUNTIF($C$1:C41,Prestaties),),0))=0,"",INDEX(Prestaties,MATCH(0,INDEX(COUNTIF($C$1:C41,Prestaties),),0))),"")</f>
        <v/>
      </c>
      <c r="H42" s="57"/>
      <c r="I42" s="57" t="str">
        <f>IFERROR(INDEX(DB_Loonkosten,MATCH(H42,'7. Rekenhulp loonkosten bet.vz.'!$C$5:$C$54,0),1),"")</f>
        <v/>
      </c>
      <c r="J42" s="67">
        <f>IFERROR(INDEX(DB_Loonkosten,MATCH(I42,[0]!LoonkostenNr,0),24),"")</f>
        <v>0</v>
      </c>
      <c r="L42" s="57" t="str">
        <v>Geringere drooglegging 20 cm met extensiveren max. 100 kg N (10/12) (verlaging ANLB)</v>
      </c>
      <c r="M42" s="57" t="str">
        <v>Vast tarief</v>
      </c>
      <c r="N42" s="57">
        <v>0</v>
      </c>
      <c r="O42" s="57" t="str">
        <v>Overige kosten</v>
      </c>
      <c r="P42" s="67">
        <f>IF(L42&lt;&gt;"",IFERROR(VLOOKUP(L42,Tb_KostenTypen[],MATCH($P$1,Tb_KostenTypen[#Headers],0),0),0),"")</f>
        <v>2917.58</v>
      </c>
      <c r="T42" s="57"/>
      <c r="AG42" s="91"/>
      <c r="AH42" s="91"/>
    </row>
    <row r="43" spans="1:34" x14ac:dyDescent="0.25">
      <c r="A43" s="57" t="str" cm="1">
        <f t="array" ref="A43">IFERROR(IF(INDEX(Deelnemers,MATCH(0,INDEX(COUNTIF($A$1:A42,Deelnemers),),0))=0,"",INDEX(Deelnemers,MATCH(0,INDEX(COUNTIF($A$1:A42,Deelnemers),),0))),"")</f>
        <v/>
      </c>
      <c r="C43" s="57" t="str" cm="1">
        <f t="array" ref="C43">IFERROR(IF(INDEX(Prestaties,MATCH(0,INDEX(COUNTIF($C$1:C42,Prestaties),),0))=0,"",INDEX(Prestaties,MATCH(0,INDEX(COUNTIF($C$1:C42,Prestaties),),0))),"")</f>
        <v/>
      </c>
      <c r="H43" s="57"/>
      <c r="I43" s="57" t="str">
        <f>IFERROR(INDEX(DB_Loonkosten,MATCH(H43,'7. Rekenhulp loonkosten bet.vz.'!$C$5:$C$54,0),1),"")</f>
        <v/>
      </c>
      <c r="J43" s="67">
        <f>IFERROR(INDEX(DB_Loonkosten,MATCH(I43,[0]!LoonkostenNr,0),24),"")</f>
        <v>0</v>
      </c>
      <c r="L43" s="57"/>
      <c r="M43" s="57"/>
      <c r="N43" s="57"/>
      <c r="O43" s="57"/>
      <c r="P43" s="67" t="str">
        <f>IF(L43&lt;&gt;"",IFERROR(VLOOKUP(L43,Tb_KostenTypen[],MATCH($P$1,Tb_KostenTypen[#Headers],0),0),0),"")</f>
        <v/>
      </c>
      <c r="T43" s="57"/>
      <c r="AG43" s="91"/>
      <c r="AH43" s="91"/>
    </row>
    <row r="44" spans="1:34" x14ac:dyDescent="0.25">
      <c r="A44" s="57" t="str" cm="1">
        <f t="array" ref="A44">IFERROR(IF(INDEX(Deelnemers,MATCH(0,INDEX(COUNTIF($A$1:A43,Deelnemers),),0))=0,"",INDEX(Deelnemers,MATCH(0,INDEX(COUNTIF($A$1:A43,Deelnemers),),0))),"")</f>
        <v/>
      </c>
      <c r="C44" s="57" t="str" cm="1">
        <f t="array" ref="C44">IFERROR(IF(INDEX(Prestaties,MATCH(0,INDEX(COUNTIF($C$1:C43,Prestaties),),0))=0,"",INDEX(Prestaties,MATCH(0,INDEX(COUNTIF($C$1:C43,Prestaties),),0))),"")</f>
        <v/>
      </c>
      <c r="H44" s="57"/>
      <c r="I44" s="57" t="str">
        <f>IFERROR(INDEX(DB_Loonkosten,MATCH(H44,'7. Rekenhulp loonkosten bet.vz.'!$C$5:$C$54,0),1),"")</f>
        <v/>
      </c>
      <c r="J44" s="67">
        <f>IFERROR(INDEX(DB_Loonkosten,MATCH(I44,[0]!LoonkostenNr,0),24),"")</f>
        <v>0</v>
      </c>
      <c r="L44" s="57"/>
      <c r="M44" s="57"/>
      <c r="N44" s="57"/>
      <c r="O44" s="57"/>
      <c r="P44" s="67" t="str">
        <f>IF(L44&lt;&gt;"",IFERROR(VLOOKUP(L44,Tb_KostenTypen[],MATCH($P$1,Tb_KostenTypen[#Headers],0),0),0),"")</f>
        <v/>
      </c>
      <c r="T44" s="57"/>
      <c r="AG44" s="91"/>
      <c r="AH44" s="91"/>
    </row>
    <row r="45" spans="1:34" x14ac:dyDescent="0.25">
      <c r="A45" s="57" t="str" cm="1">
        <f t="array" ref="A45">IFERROR(IF(INDEX(Deelnemers,MATCH(0,INDEX(COUNTIF($A$1:A44,Deelnemers),),0))=0,"",INDEX(Deelnemers,MATCH(0,INDEX(COUNTIF($A$1:A44,Deelnemers),),0))),"")</f>
        <v/>
      </c>
      <c r="C45" s="57" t="str" cm="1">
        <f t="array" ref="C45">IFERROR(IF(INDEX(Prestaties,MATCH(0,INDEX(COUNTIF($C$1:C44,Prestaties),),0))=0,"",INDEX(Prestaties,MATCH(0,INDEX(COUNTIF($C$1:C44,Prestaties),),0))),"")</f>
        <v/>
      </c>
      <c r="H45" s="57"/>
      <c r="I45" s="57" t="str">
        <f>IFERROR(INDEX(DB_Loonkosten,MATCH(H45,'7. Rekenhulp loonkosten bet.vz.'!$C$5:$C$54,0),1),"")</f>
        <v/>
      </c>
      <c r="J45" s="67">
        <f>IFERROR(INDEX(DB_Loonkosten,MATCH(I45,[0]!LoonkostenNr,0),24),"")</f>
        <v>0</v>
      </c>
      <c r="L45" s="57"/>
      <c r="M45" s="57"/>
      <c r="N45" s="57"/>
      <c r="O45" s="57"/>
      <c r="P45" s="67" t="str">
        <f>IF(L45&lt;&gt;"",IFERROR(VLOOKUP(L45,Tb_KostenTypen[],MATCH($P$1,Tb_KostenTypen[#Headers],0),0),0),"")</f>
        <v/>
      </c>
      <c r="T45" s="57"/>
      <c r="AG45" s="91"/>
      <c r="AH45" s="91"/>
    </row>
    <row r="46" spans="1:34" x14ac:dyDescent="0.25">
      <c r="A46" s="57" t="str" cm="1">
        <f t="array" ref="A46">IFERROR(IF(INDEX(Deelnemers,MATCH(0,INDEX(COUNTIF($A$1:A45,Deelnemers),),0))=0,"",INDEX(Deelnemers,MATCH(0,INDEX(COUNTIF($A$1:A45,Deelnemers),),0))),"")</f>
        <v/>
      </c>
      <c r="C46" s="57" t="str" cm="1">
        <f t="array" ref="C46">IFERROR(IF(INDEX(Prestaties,MATCH(0,INDEX(COUNTIF($C$1:C45,Prestaties),),0))=0,"",INDEX(Prestaties,MATCH(0,INDEX(COUNTIF($C$1:C45,Prestaties),),0))),"")</f>
        <v/>
      </c>
      <c r="H46" s="57"/>
      <c r="I46" s="57" t="str">
        <f>IFERROR(INDEX(DB_Loonkosten,MATCH(H46,'7. Rekenhulp loonkosten bet.vz.'!$C$5:$C$54,0),1),"")</f>
        <v/>
      </c>
      <c r="J46" s="67">
        <f>IFERROR(INDEX(DB_Loonkosten,MATCH(I46,[0]!LoonkostenNr,0),24),"")</f>
        <v>0</v>
      </c>
      <c r="L46" s="57"/>
      <c r="M46" s="57"/>
      <c r="N46" s="57"/>
      <c r="O46" s="57"/>
      <c r="P46" s="67" t="str">
        <f>IF(L46&lt;&gt;"",IFERROR(VLOOKUP(L46,Tb_KostenTypen[],MATCH($P$1,Tb_KostenTypen[#Headers],0),0),0),"")</f>
        <v/>
      </c>
      <c r="T46" s="57"/>
      <c r="AG46" s="91"/>
      <c r="AH46" s="91"/>
    </row>
    <row r="47" spans="1:34" x14ac:dyDescent="0.25">
      <c r="A47" s="57" t="str" cm="1">
        <f t="array" ref="A47">IFERROR(IF(INDEX(Deelnemers,MATCH(0,INDEX(COUNTIF($A$1:A46,Deelnemers),),0))=0,"",INDEX(Deelnemers,MATCH(0,INDEX(COUNTIF($A$1:A46,Deelnemers),),0))),"")</f>
        <v/>
      </c>
      <c r="C47" s="57" t="str" cm="1">
        <f t="array" ref="C47">IFERROR(IF(INDEX(Prestaties,MATCH(0,INDEX(COUNTIF($C$1:C46,Prestaties),),0))=0,"",INDEX(Prestaties,MATCH(0,INDEX(COUNTIF($C$1:C46,Prestaties),),0))),"")</f>
        <v/>
      </c>
      <c r="H47" s="57"/>
      <c r="I47" s="57" t="str">
        <f>IFERROR(INDEX(DB_Loonkosten,MATCH(H47,'7. Rekenhulp loonkosten bet.vz.'!$C$5:$C$54,0),1),"")</f>
        <v/>
      </c>
      <c r="J47" s="67">
        <f>IFERROR(INDEX(DB_Loonkosten,MATCH(I47,[0]!LoonkostenNr,0),24),"")</f>
        <v>0</v>
      </c>
      <c r="L47" s="57"/>
      <c r="M47" s="57"/>
      <c r="N47" s="57"/>
      <c r="O47" s="57"/>
      <c r="P47" s="67" t="str">
        <f>IF(L47&lt;&gt;"",IFERROR(VLOOKUP(L47,Tb_KostenTypen[],MATCH($P$1,Tb_KostenTypen[#Headers],0),0),0),"")</f>
        <v/>
      </c>
      <c r="T47" s="57"/>
      <c r="AG47" s="91"/>
      <c r="AH47" s="91"/>
    </row>
    <row r="48" spans="1:34" x14ac:dyDescent="0.25">
      <c r="A48" s="57" t="str" cm="1">
        <f t="array" ref="A48">IFERROR(IF(INDEX(Deelnemers,MATCH(0,INDEX(COUNTIF($A$1:A47,Deelnemers),),0))=0,"",INDEX(Deelnemers,MATCH(0,INDEX(COUNTIF($A$1:A47,Deelnemers),),0))),"")</f>
        <v/>
      </c>
      <c r="C48" s="57" t="str" cm="1">
        <f t="array" ref="C48">IFERROR(IF(INDEX(Prestaties,MATCH(0,INDEX(COUNTIF($C$1:C47,Prestaties),),0))=0,"",INDEX(Prestaties,MATCH(0,INDEX(COUNTIF($C$1:C47,Prestaties),),0))),"")</f>
        <v/>
      </c>
      <c r="H48" s="57"/>
      <c r="I48" s="57" t="str">
        <f>IFERROR(INDEX(DB_Loonkosten,MATCH(H48,'7. Rekenhulp loonkosten bet.vz.'!$C$5:$C$54,0),1),"")</f>
        <v/>
      </c>
      <c r="J48" s="67">
        <f>IFERROR(INDEX(DB_Loonkosten,MATCH(I48,[0]!LoonkostenNr,0),24),"")</f>
        <v>0</v>
      </c>
      <c r="L48" s="57"/>
      <c r="M48" s="57"/>
      <c r="N48" s="57"/>
      <c r="O48" s="57"/>
      <c r="P48" s="67" t="str">
        <f>IF(L48&lt;&gt;"",IFERROR(VLOOKUP(L48,Tb_KostenTypen[],MATCH($P$1,Tb_KostenTypen[#Headers],0),0),0),"")</f>
        <v/>
      </c>
      <c r="T48" s="57"/>
      <c r="AG48" s="91"/>
      <c r="AH48" s="91"/>
    </row>
    <row r="49" spans="1:34" x14ac:dyDescent="0.25">
      <c r="A49" s="57" t="str" cm="1">
        <f t="array" ref="A49">IFERROR(IF(INDEX(Deelnemers,MATCH(0,INDEX(COUNTIF($A$1:A48,Deelnemers),),0))=0,"",INDEX(Deelnemers,MATCH(0,INDEX(COUNTIF($A$1:A48,Deelnemers),),0))),"")</f>
        <v/>
      </c>
      <c r="C49" s="57" t="str" cm="1">
        <f t="array" ref="C49">IFERROR(IF(INDEX(Prestaties,MATCH(0,INDEX(COUNTIF($C$1:C48,Prestaties),),0))=0,"",INDEX(Prestaties,MATCH(0,INDEX(COUNTIF($C$1:C48,Prestaties),),0))),"")</f>
        <v/>
      </c>
      <c r="H49" s="57"/>
      <c r="I49" s="57" t="str">
        <f>IFERROR(INDEX(DB_Loonkosten,MATCH(H49,'7. Rekenhulp loonkosten bet.vz.'!$C$5:$C$54,0),1),"")</f>
        <v/>
      </c>
      <c r="J49" s="67">
        <f>IFERROR(INDEX(DB_Loonkosten,MATCH(I49,[0]!LoonkostenNr,0),24),"")</f>
        <v>0</v>
      </c>
      <c r="L49" s="57"/>
      <c r="M49" s="57"/>
      <c r="N49" s="57"/>
      <c r="O49" s="57"/>
      <c r="P49" s="67" t="str">
        <f>IF(L49&lt;&gt;"",IFERROR(VLOOKUP(L49,Tb_KostenTypen[],MATCH($P$1,Tb_KostenTypen[#Headers],0),0),0),"")</f>
        <v/>
      </c>
      <c r="T49" s="57"/>
      <c r="AG49" s="91"/>
      <c r="AH49" s="91"/>
    </row>
    <row r="50" spans="1:34" x14ac:dyDescent="0.25">
      <c r="A50" s="57" t="str" cm="1">
        <f t="array" ref="A50">IFERROR(IF(INDEX(Deelnemers,MATCH(0,INDEX(COUNTIF($A$1:A49,Deelnemers),),0))=0,"",INDEX(Deelnemers,MATCH(0,INDEX(COUNTIF($A$1:A49,Deelnemers),),0))),"")</f>
        <v/>
      </c>
      <c r="C50" s="57" t="str" cm="1">
        <f t="array" ref="C50">IFERROR(IF(INDEX(Prestaties,MATCH(0,INDEX(COUNTIF($C$1:C49,Prestaties),),0))=0,"",INDEX(Prestaties,MATCH(0,INDEX(COUNTIF($C$1:C49,Prestaties),),0))),"")</f>
        <v/>
      </c>
      <c r="H50" s="57"/>
      <c r="I50" s="57" t="str">
        <f>IFERROR(INDEX(DB_Loonkosten,MATCH(H50,'7. Rekenhulp loonkosten bet.vz.'!$C$5:$C$54,0),1),"")</f>
        <v/>
      </c>
      <c r="J50" s="67">
        <f>IFERROR(INDEX(DB_Loonkosten,MATCH(I50,[0]!LoonkostenNr,0),24),"")</f>
        <v>0</v>
      </c>
      <c r="L50" s="57"/>
      <c r="M50" s="57"/>
      <c r="N50" s="57"/>
      <c r="O50" s="57"/>
      <c r="P50" s="67" t="str">
        <f>IF(L50&lt;&gt;"",IFERROR(VLOOKUP(L50,Tb_KostenTypen[],MATCH($P$1,Tb_KostenTypen[#Headers],0),0),0),"")</f>
        <v/>
      </c>
      <c r="T50" s="57"/>
      <c r="AG50" s="91"/>
      <c r="AH50" s="91"/>
    </row>
    <row r="51" spans="1:34" x14ac:dyDescent="0.25">
      <c r="A51" s="57" t="str" cm="1">
        <f t="array" ref="A51">IFERROR(IF(INDEX(Deelnemers,MATCH(0,INDEX(COUNTIF($A$1:A50,Deelnemers),),0))=0,"",INDEX(Deelnemers,MATCH(0,INDEX(COUNTIF($A$1:A50,Deelnemers),),0))),"")</f>
        <v/>
      </c>
      <c r="C51" s="57" t="str" cm="1">
        <f t="array" ref="C51">IFERROR(IF(INDEX(Prestaties,MATCH(0,INDEX(COUNTIF($C$1:C50,Prestaties),),0))=0,"",INDEX(Prestaties,MATCH(0,INDEX(COUNTIF($C$1:C50,Prestaties),),0))),"")</f>
        <v/>
      </c>
      <c r="H51" s="57"/>
      <c r="I51" s="57" t="str">
        <f>IFERROR(INDEX(DB_Loonkosten,MATCH(H51,'7. Rekenhulp loonkosten bet.vz.'!$C$5:$C$54,0),1),"")</f>
        <v/>
      </c>
      <c r="J51" s="67">
        <f>IFERROR(INDEX(DB_Loonkosten,MATCH(I51,[0]!LoonkostenNr,0),24),"")</f>
        <v>0</v>
      </c>
      <c r="L51" s="57"/>
      <c r="M51" s="57"/>
      <c r="N51" s="57"/>
      <c r="O51" s="57"/>
      <c r="P51" s="67" t="str">
        <f>IF(L51&lt;&gt;"",IFERROR(VLOOKUP(L51,Tb_KostenTypen[],MATCH($P$1,Tb_KostenTypen[#Headers],0),0),0),"")</f>
        <v/>
      </c>
      <c r="T51" s="57"/>
      <c r="AG51" s="91"/>
      <c r="AH51" s="91"/>
    </row>
    <row r="52" spans="1:34" x14ac:dyDescent="0.25">
      <c r="A52" s="57" t="str" cm="1">
        <f t="array" ref="A52">IFERROR(IF(INDEX(Deelnemers,MATCH(0,INDEX(COUNTIF($A$1:A51,Deelnemers),),0))=0,"",INDEX(Deelnemers,MATCH(0,INDEX(COUNTIF($A$1:A51,Deelnemers),),0))),"")</f>
        <v/>
      </c>
      <c r="C52" s="57" t="str" cm="1">
        <f t="array" ref="C52">IFERROR(IF(INDEX(Prestaties,MATCH(0,INDEX(COUNTIF($C$1:C51,Prestaties),),0))=0,"",INDEX(Prestaties,MATCH(0,INDEX(COUNTIF($C$1:C51,Prestaties),),0))),"")</f>
        <v/>
      </c>
      <c r="H52" s="57"/>
      <c r="I52" s="57" t="str">
        <f>IFERROR(INDEX(DB_Loonkosten,MATCH(H52,'7. Rekenhulp loonkosten bet.vz.'!$C$5:$C$54,0),1),"")</f>
        <v/>
      </c>
      <c r="J52" s="67">
        <f>IFERROR(INDEX(DB_Loonkosten,MATCH(I52,[0]!LoonkostenNr,0),24),"")</f>
        <v>0</v>
      </c>
      <c r="L52" s="57"/>
      <c r="M52" s="57"/>
      <c r="N52" s="57"/>
      <c r="O52" s="57"/>
      <c r="P52" s="67" t="str">
        <f>IF(L52&lt;&gt;"",IFERROR(VLOOKUP(L52,Tb_KostenTypen[],MATCH($P$1,Tb_KostenTypen[#Headers],0),0),0),"")</f>
        <v/>
      </c>
      <c r="T52" s="57"/>
      <c r="AG52" s="91"/>
      <c r="AH52" s="91"/>
    </row>
    <row r="53" spans="1:34" x14ac:dyDescent="0.25">
      <c r="A53" s="57" t="str" cm="1">
        <f t="array" ref="A53">IFERROR(IF(INDEX(Deelnemers,MATCH(0,INDEX(COUNTIF($A$1:A52,Deelnemers),),0))=0,"",INDEX(Deelnemers,MATCH(0,INDEX(COUNTIF($A$1:A52,Deelnemers),),0))),"")</f>
        <v/>
      </c>
      <c r="C53" s="57" t="str" cm="1">
        <f t="array" ref="C53">IFERROR(IF(INDEX(Prestaties,MATCH(0,INDEX(COUNTIF($C$1:C52,Prestaties),),0))=0,"",INDEX(Prestaties,MATCH(0,INDEX(COUNTIF($C$1:C52,Prestaties),),0))),"")</f>
        <v/>
      </c>
      <c r="H53" s="57"/>
      <c r="I53" s="57" t="str">
        <f>IFERROR(INDEX(DB_Loonkosten,MATCH(H53,'7. Rekenhulp loonkosten bet.vz.'!$C$5:$C$54,0),1),"")</f>
        <v/>
      </c>
      <c r="J53" s="67">
        <f>IFERROR(INDEX(DB_Loonkosten,MATCH(I53,[0]!LoonkostenNr,0),24),"")</f>
        <v>0</v>
      </c>
      <c r="T53" s="57"/>
      <c r="AG53" s="91"/>
      <c r="AH53" s="91"/>
    </row>
    <row r="54" spans="1:34" x14ac:dyDescent="0.25">
      <c r="A54" s="57" t="str" cm="1">
        <f t="array" ref="A54">IFERROR(IF(INDEX(Deelnemers,MATCH(0,INDEX(COUNTIF($A$1:A53,Deelnemers),),0))=0,"",INDEX(Deelnemers,MATCH(0,INDEX(COUNTIF($A$1:A53,Deelnemers),),0))),"")</f>
        <v/>
      </c>
      <c r="C54" s="57" t="str" cm="1">
        <f t="array" ref="C54">IFERROR(IF(INDEX(Prestaties,MATCH(0,INDEX(COUNTIF($C$1:C53,Prestaties),),0))=0,"",INDEX(Prestaties,MATCH(0,INDEX(COUNTIF($C$1:C53,Prestaties),),0))),"")</f>
        <v/>
      </c>
      <c r="H54" s="57"/>
      <c r="I54" s="57" t="str">
        <f>IFERROR(INDEX(DB_Loonkosten,MATCH(H54,'7. Rekenhulp loonkosten bet.vz.'!$C$5:$C$54,0),1),"")</f>
        <v/>
      </c>
      <c r="J54" s="67">
        <f>IFERROR(INDEX(DB_Loonkosten,MATCH(I54,[0]!LoonkostenNr,0),24),"")</f>
        <v>0</v>
      </c>
      <c r="T54" s="57"/>
      <c r="AG54" s="91"/>
      <c r="AH54" s="91"/>
    </row>
    <row r="55" spans="1:34" x14ac:dyDescent="0.25">
      <c r="A55" s="57" t="str" cm="1">
        <f t="array" ref="A55">IFERROR(IF(INDEX(Deelnemers,MATCH(0,INDEX(COUNTIF($A$1:A54,Deelnemers),),0))=0,"",INDEX(Deelnemers,MATCH(0,INDEX(COUNTIF($A$1:A54,Deelnemers),),0))),"")</f>
        <v/>
      </c>
      <c r="C55" s="57" t="str" cm="1">
        <f t="array" ref="C55">IFERROR(IF(INDEX(Prestaties,MATCH(0,INDEX(COUNTIF($C$1:C54,Prestaties),),0))=0,"",INDEX(Prestaties,MATCH(0,INDEX(COUNTIF($C$1:C54,Prestaties),),0))),"")</f>
        <v/>
      </c>
      <c r="H55" s="57"/>
      <c r="I55" s="57" t="str">
        <f>IFERROR(INDEX(DB_Loonkosten,MATCH(H55,'7. Rekenhulp loonkosten bet.vz.'!$C$5:$C$54,0),1),"")</f>
        <v/>
      </c>
      <c r="J55" s="67">
        <f>IFERROR(INDEX(DB_Loonkosten,MATCH(I55,[0]!LoonkostenNr,0),24),"")</f>
        <v>0</v>
      </c>
      <c r="T55" s="57"/>
      <c r="AG55" s="91"/>
      <c r="AH55" s="91"/>
    </row>
    <row r="56" spans="1:34" x14ac:dyDescent="0.25">
      <c r="A56" s="57" t="str" cm="1">
        <f t="array" ref="A56">IFERROR(IF(INDEX(Deelnemers,MATCH(0,INDEX(COUNTIF($A$1:A55,Deelnemers),),0))=0,"",INDEX(Deelnemers,MATCH(0,INDEX(COUNTIF($A$1:A55,Deelnemers),),0))),"")</f>
        <v/>
      </c>
      <c r="C56" s="57" t="str" cm="1">
        <f t="array" ref="C56">IFERROR(IF(INDEX(Prestaties,MATCH(0,INDEX(COUNTIF($C$1:C55,Prestaties),),0))=0,"",INDEX(Prestaties,MATCH(0,INDEX(COUNTIF($C$1:C55,Prestaties),),0))),"")</f>
        <v/>
      </c>
      <c r="H56" s="57"/>
      <c r="I56" s="57" t="str">
        <f>IFERROR(INDEX(DB_Loonkosten,MATCH(H56,'7. Rekenhulp loonkosten bet.vz.'!$C$5:$C$54,0),1),"")</f>
        <v/>
      </c>
      <c r="J56" s="67">
        <f>IFERROR(INDEX(DB_Loonkosten,MATCH(I56,[0]!LoonkostenNr,0),24),"")</f>
        <v>0</v>
      </c>
      <c r="T56" s="57"/>
      <c r="AG56" s="91"/>
      <c r="AH56" s="91"/>
    </row>
    <row r="57" spans="1:34" x14ac:dyDescent="0.25">
      <c r="A57" s="57" t="str" cm="1">
        <f t="array" ref="A57">IFERROR(IF(INDEX(Deelnemers,MATCH(0,INDEX(COUNTIF($A$1:A56,Deelnemers),),0))=0,"",INDEX(Deelnemers,MATCH(0,INDEX(COUNTIF($A$1:A56,Deelnemers),),0))),"")</f>
        <v/>
      </c>
      <c r="C57" s="57" t="str" cm="1">
        <f t="array" ref="C57">IFERROR(IF(INDEX(Prestaties,MATCH(0,INDEX(COUNTIF($C$1:C56,Prestaties),),0))=0,"",INDEX(Prestaties,MATCH(0,INDEX(COUNTIF($C$1:C56,Prestaties),),0))),"")</f>
        <v/>
      </c>
      <c r="H57" s="57"/>
      <c r="I57" s="57" t="str">
        <f>IFERROR(INDEX(DB_Loonkosten,MATCH(H57,'7. Rekenhulp loonkosten bet.vz.'!$C$5:$C$54,0),1),"")</f>
        <v/>
      </c>
      <c r="J57" s="67">
        <f>IFERROR(INDEX(DB_Loonkosten,MATCH(I57,[0]!LoonkostenNr,0),24),"")</f>
        <v>0</v>
      </c>
      <c r="T57" s="57"/>
      <c r="AG57" s="91"/>
      <c r="AH57" s="91"/>
    </row>
    <row r="58" spans="1:34" x14ac:dyDescent="0.25">
      <c r="A58" s="57" t="str" cm="1">
        <f t="array" ref="A58">IFERROR(IF(INDEX(Deelnemers,MATCH(0,INDEX(COUNTIF($A$1:A57,Deelnemers),),0))=0,"",INDEX(Deelnemers,MATCH(0,INDEX(COUNTIF($A$1:A57,Deelnemers),),0))),"")</f>
        <v/>
      </c>
      <c r="C58" s="57" t="str" cm="1">
        <f t="array" ref="C58">IFERROR(IF(INDEX(Prestaties,MATCH(0,INDEX(COUNTIF($C$1:C57,Prestaties),),0))=0,"",INDEX(Prestaties,MATCH(0,INDEX(COUNTIF($C$1:C57,Prestaties),),0))),"")</f>
        <v/>
      </c>
      <c r="H58" s="57"/>
      <c r="I58" s="57" t="str">
        <f>IFERROR(INDEX(DB_Loonkosten,MATCH(H58,'7. Rekenhulp loonkosten bet.vz.'!$C$5:$C$54,0),1),"")</f>
        <v/>
      </c>
      <c r="J58" s="67">
        <f>IFERROR(INDEX(DB_Loonkosten,MATCH(I58,[0]!LoonkostenNr,0),24),"")</f>
        <v>0</v>
      </c>
      <c r="T58" s="57"/>
      <c r="AG58" s="91"/>
      <c r="AH58" s="91"/>
    </row>
    <row r="59" spans="1:34" x14ac:dyDescent="0.25">
      <c r="A59" s="57" t="str" cm="1">
        <f t="array" ref="A59">IFERROR(IF(INDEX(Deelnemers,MATCH(0,INDEX(COUNTIF($A$1:A58,Deelnemers),),0))=0,"",INDEX(Deelnemers,MATCH(0,INDEX(COUNTIF($A$1:A58,Deelnemers),),0))),"")</f>
        <v/>
      </c>
      <c r="C59" s="57" t="str" cm="1">
        <f t="array" ref="C59">IFERROR(IF(INDEX(Prestaties,MATCH(0,INDEX(COUNTIF($C$1:C58,Prestaties),),0))=0,"",INDEX(Prestaties,MATCH(0,INDEX(COUNTIF($C$1:C58,Prestaties),),0))),"")</f>
        <v/>
      </c>
      <c r="H59" s="57"/>
      <c r="I59" s="57" t="str">
        <f>IFERROR(INDEX(DB_Loonkosten,MATCH(H59,'7. Rekenhulp loonkosten bet.vz.'!$C$5:$C$54,0),1),"")</f>
        <v/>
      </c>
      <c r="J59" s="67">
        <f>IFERROR(INDEX(DB_Loonkosten,MATCH(I59,[0]!LoonkostenNr,0),24),"")</f>
        <v>0</v>
      </c>
      <c r="T59" s="57"/>
      <c r="AG59" s="91"/>
      <c r="AH59" s="91"/>
    </row>
    <row r="60" spans="1:34" x14ac:dyDescent="0.25">
      <c r="A60" s="57" t="str" cm="1">
        <f t="array" ref="A60">IFERROR(IF(INDEX(Deelnemers,MATCH(0,INDEX(COUNTIF($A$1:A59,Deelnemers),),0))=0,"",INDEX(Deelnemers,MATCH(0,INDEX(COUNTIF($A$1:A59,Deelnemers),),0))),"")</f>
        <v/>
      </c>
      <c r="C60" s="57" t="str" cm="1">
        <f t="array" ref="C60">IFERROR(IF(INDEX(Prestaties,MATCH(0,INDEX(COUNTIF($C$1:C59,Prestaties),),0))=0,"",INDEX(Prestaties,MATCH(0,INDEX(COUNTIF($C$1:C59,Prestaties),),0))),"")</f>
        <v/>
      </c>
      <c r="H60" s="57"/>
      <c r="I60" s="57" t="str">
        <f>IFERROR(INDEX(DB_Loonkosten,MATCH(H60,'7. Rekenhulp loonkosten bet.vz.'!$C$5:$C$54,0),1),"")</f>
        <v/>
      </c>
      <c r="J60" s="67">
        <f>IFERROR(INDEX(DB_Loonkosten,MATCH(I60,[0]!LoonkostenNr,0),24),"")</f>
        <v>0</v>
      </c>
      <c r="T60" s="57"/>
      <c r="AG60" s="91"/>
      <c r="AH60" s="91"/>
    </row>
    <row r="61" spans="1:34" x14ac:dyDescent="0.25">
      <c r="A61" s="57" t="str" cm="1">
        <f t="array" ref="A61">IFERROR(IF(INDEX(Deelnemers,MATCH(0,INDEX(COUNTIF($A$1:A60,Deelnemers),),0))=0,"",INDEX(Deelnemers,MATCH(0,INDEX(COUNTIF($A$1:A60,Deelnemers),),0))),"")</f>
        <v/>
      </c>
      <c r="C61" s="57" t="str" cm="1">
        <f t="array" ref="C61">IFERROR(IF(INDEX(Prestaties,MATCH(0,INDEX(COUNTIF($C$1:C60,Prestaties),),0))=0,"",INDEX(Prestaties,MATCH(0,INDEX(COUNTIF($C$1:C60,Prestaties),),0))),"")</f>
        <v/>
      </c>
      <c r="H61" s="57"/>
      <c r="I61" s="57" t="str">
        <f>IFERROR(INDEX(DB_Loonkosten,MATCH(H61,'7. Rekenhulp loonkosten bet.vz.'!$C$5:$C$54,0),1),"")</f>
        <v/>
      </c>
      <c r="J61" s="67">
        <f>IFERROR(INDEX(DB_Loonkosten,MATCH(I61,[0]!LoonkostenNr,0),24),"")</f>
        <v>0</v>
      </c>
      <c r="T61" s="57"/>
      <c r="AG61" s="91"/>
      <c r="AH61" s="91"/>
    </row>
    <row r="62" spans="1:34" x14ac:dyDescent="0.25">
      <c r="A62" s="57" t="str" cm="1">
        <f t="array" ref="A62">IFERROR(IF(INDEX(Deelnemers,MATCH(0,INDEX(COUNTIF($A$1:A61,Deelnemers),),0))=0,"",INDEX(Deelnemers,MATCH(0,INDEX(COUNTIF($A$1:A61,Deelnemers),),0))),"")</f>
        <v/>
      </c>
      <c r="C62" s="57" t="str" cm="1">
        <f t="array" ref="C62">IFERROR(IF(INDEX(Prestaties,MATCH(0,INDEX(COUNTIF($C$1:C61,Prestaties),),0))=0,"",INDEX(Prestaties,MATCH(0,INDEX(COUNTIF($C$1:C61,Prestaties),),0))),"")</f>
        <v/>
      </c>
      <c r="H62" s="57"/>
      <c r="I62" s="57" t="str">
        <f>IFERROR(INDEX(DB_Loonkosten,MATCH(H62,'7. Rekenhulp loonkosten bet.vz.'!$C$5:$C$54,0),1),"")</f>
        <v/>
      </c>
      <c r="J62" s="67">
        <f>IFERROR(INDEX(DB_Loonkosten,MATCH(I62,[0]!LoonkostenNr,0),24),"")</f>
        <v>0</v>
      </c>
      <c r="T62" s="57"/>
      <c r="AG62" s="91"/>
      <c r="AH62" s="91"/>
    </row>
    <row r="63" spans="1:34" x14ac:dyDescent="0.25">
      <c r="A63" s="57" t="str" cm="1">
        <f t="array" ref="A63">IFERROR(IF(INDEX(Deelnemers,MATCH(0,INDEX(COUNTIF($A$1:A62,Deelnemers),),0))=0,"",INDEX(Deelnemers,MATCH(0,INDEX(COUNTIF($A$1:A62,Deelnemers),),0))),"")</f>
        <v/>
      </c>
      <c r="C63" s="57" t="str" cm="1">
        <f t="array" ref="C63">IFERROR(IF(INDEX(Prestaties,MATCH(0,INDEX(COUNTIF($C$1:C62,Prestaties),),0))=0,"",INDEX(Prestaties,MATCH(0,INDEX(COUNTIF($C$1:C62,Prestaties),),0))),"")</f>
        <v/>
      </c>
      <c r="H63" s="57"/>
      <c r="I63" s="57" t="str">
        <f>IFERROR(INDEX(DB_Loonkosten,MATCH(H63,'7. Rekenhulp loonkosten bet.vz.'!$C$5:$C$54,0),1),"")</f>
        <v/>
      </c>
      <c r="J63" s="67">
        <f>IFERROR(INDEX(DB_Loonkosten,MATCH(I63,[0]!LoonkostenNr,0),24),"")</f>
        <v>0</v>
      </c>
      <c r="T63" s="57"/>
      <c r="AG63" s="91"/>
      <c r="AH63" s="91"/>
    </row>
    <row r="64" spans="1:34" x14ac:dyDescent="0.25">
      <c r="A64" s="57" t="str" cm="1">
        <f t="array" ref="A64">IFERROR(IF(INDEX(Deelnemers,MATCH(0,INDEX(COUNTIF($A$1:A63,Deelnemers),),0))=0,"",INDEX(Deelnemers,MATCH(0,INDEX(COUNTIF($A$1:A63,Deelnemers),),0))),"")</f>
        <v/>
      </c>
      <c r="C64" s="57" t="str" cm="1">
        <f t="array" ref="C64">IFERROR(IF(INDEX(Prestaties,MATCH(0,INDEX(COUNTIF($C$1:C63,Prestaties),),0))=0,"",INDEX(Prestaties,MATCH(0,INDEX(COUNTIF($C$1:C63,Prestaties),),0))),"")</f>
        <v/>
      </c>
      <c r="H64" s="57"/>
      <c r="I64" s="57" t="str">
        <f>IFERROR(INDEX(DB_Loonkosten,MATCH(H64,'7. Rekenhulp loonkosten bet.vz.'!$C$5:$C$54,0),1),"")</f>
        <v/>
      </c>
      <c r="J64" s="67">
        <f>IFERROR(INDEX(DB_Loonkosten,MATCH(I64,[0]!LoonkostenNr,0),24),"")</f>
        <v>0</v>
      </c>
      <c r="T64" s="57"/>
      <c r="AG64" s="91"/>
      <c r="AH64" s="91"/>
    </row>
    <row r="65" spans="1:34" x14ac:dyDescent="0.25">
      <c r="A65" s="57" t="str" cm="1">
        <f t="array" ref="A65">IFERROR(IF(INDEX(Deelnemers,MATCH(0,INDEX(COUNTIF($A$1:A64,Deelnemers),),0))=0,"",INDEX(Deelnemers,MATCH(0,INDEX(COUNTIF($A$1:A64,Deelnemers),),0))),"")</f>
        <v/>
      </c>
      <c r="C65" s="57" t="str" cm="1">
        <f t="array" ref="C65">IFERROR(IF(INDEX(Prestaties,MATCH(0,INDEX(COUNTIF($C$1:C64,Prestaties),),0))=0,"",INDEX(Prestaties,MATCH(0,INDEX(COUNTIF($C$1:C64,Prestaties),),0))),"")</f>
        <v/>
      </c>
      <c r="H65" s="57"/>
      <c r="I65" s="57" t="str">
        <f>IFERROR(INDEX(DB_Loonkosten,MATCH(H65,'7. Rekenhulp loonkosten bet.vz.'!$C$5:$C$54,0),1),"")</f>
        <v/>
      </c>
      <c r="J65" s="67">
        <f>IFERROR(INDEX(DB_Loonkosten,MATCH(I65,[0]!LoonkostenNr,0),24),"")</f>
        <v>0</v>
      </c>
      <c r="T65" s="57"/>
      <c r="AG65" s="91"/>
      <c r="AH65" s="91"/>
    </row>
    <row r="66" spans="1:34" x14ac:dyDescent="0.25">
      <c r="A66" s="57" t="str" cm="1">
        <f t="array" ref="A66">IFERROR(IF(INDEX(Deelnemers,MATCH(0,INDEX(COUNTIF($A$1:A65,Deelnemers),),0))=0,"",INDEX(Deelnemers,MATCH(0,INDEX(COUNTIF($A$1:A65,Deelnemers),),0))),"")</f>
        <v/>
      </c>
      <c r="C66" s="57" t="str" cm="1">
        <f t="array" ref="C66">IFERROR(IF(INDEX(Prestaties,MATCH(0,INDEX(COUNTIF($C$1:C65,Prestaties),),0))=0,"",INDEX(Prestaties,MATCH(0,INDEX(COUNTIF($C$1:C65,Prestaties),),0))),"")</f>
        <v/>
      </c>
      <c r="H66" s="57"/>
      <c r="I66" s="57" t="str">
        <f>IFERROR(INDEX(DB_Loonkosten,MATCH(H66,'7. Rekenhulp loonkosten bet.vz.'!$C$5:$C$54,0),1),"")</f>
        <v/>
      </c>
      <c r="J66" s="67">
        <f>IFERROR(INDEX(DB_Loonkosten,MATCH(I66,[0]!LoonkostenNr,0),24),"")</f>
        <v>0</v>
      </c>
      <c r="T66" s="57"/>
      <c r="AG66" s="91"/>
      <c r="AH66" s="91"/>
    </row>
    <row r="67" spans="1:34" x14ac:dyDescent="0.25">
      <c r="A67" s="57" t="str" cm="1">
        <f t="array" ref="A67">IFERROR(IF(INDEX(Deelnemers,MATCH(0,INDEX(COUNTIF($A$1:A66,Deelnemers),),0))=0,"",INDEX(Deelnemers,MATCH(0,INDEX(COUNTIF($A$1:A66,Deelnemers),),0))),"")</f>
        <v/>
      </c>
      <c r="C67" s="57" t="str" cm="1">
        <f t="array" ref="C67">IFERROR(IF(INDEX(Prestaties,MATCH(0,INDEX(COUNTIF($C$1:C66,Prestaties),),0))=0,"",INDEX(Prestaties,MATCH(0,INDEX(COUNTIF($C$1:C66,Prestaties),),0))),"")</f>
        <v/>
      </c>
      <c r="H67" s="57"/>
      <c r="I67" s="57" t="str">
        <f>IFERROR(INDEX(DB_Loonkosten,MATCH(H67,'7. Rekenhulp loonkosten bet.vz.'!$C$5:$C$54,0),1),"")</f>
        <v/>
      </c>
      <c r="J67" s="67">
        <f>IFERROR(INDEX(DB_Loonkosten,MATCH(I67,[0]!LoonkostenNr,0),24),"")</f>
        <v>0</v>
      </c>
      <c r="T67" s="57"/>
      <c r="AG67" s="91"/>
      <c r="AH67" s="91"/>
    </row>
    <row r="68" spans="1:34" x14ac:dyDescent="0.25">
      <c r="A68" s="57" t="str" cm="1">
        <f t="array" ref="A68">IFERROR(IF(INDEX(Deelnemers,MATCH(0,INDEX(COUNTIF($A$1:A67,Deelnemers),),0))=0,"",INDEX(Deelnemers,MATCH(0,INDEX(COUNTIF($A$1:A67,Deelnemers),),0))),"")</f>
        <v/>
      </c>
      <c r="C68" s="57" t="str" cm="1">
        <f t="array" ref="C68">IFERROR(IF(INDEX(Prestaties,MATCH(0,INDEX(COUNTIF($C$1:C67,Prestaties),),0))=0,"",INDEX(Prestaties,MATCH(0,INDEX(COUNTIF($C$1:C67,Prestaties),),0))),"")</f>
        <v/>
      </c>
      <c r="H68" s="57"/>
      <c r="I68" s="57" t="str">
        <f>IFERROR(INDEX(DB_Loonkosten,MATCH(H68,'7. Rekenhulp loonkosten bet.vz.'!$C$5:$C$54,0),1),"")</f>
        <v/>
      </c>
      <c r="J68" s="67">
        <f>IFERROR(INDEX(DB_Loonkosten,MATCH(I68,[0]!LoonkostenNr,0),24),"")</f>
        <v>0</v>
      </c>
      <c r="T68" s="57"/>
      <c r="AG68" s="91"/>
      <c r="AH68" s="91"/>
    </row>
    <row r="69" spans="1:34" x14ac:dyDescent="0.25">
      <c r="A69" s="57" t="str" cm="1">
        <f t="array" ref="A69">IFERROR(IF(INDEX(Deelnemers,MATCH(0,INDEX(COUNTIF($A$1:A68,Deelnemers),),0))=0,"",INDEX(Deelnemers,MATCH(0,INDEX(COUNTIF($A$1:A68,Deelnemers),),0))),"")</f>
        <v/>
      </c>
      <c r="C69" s="57" t="str" cm="1">
        <f t="array" ref="C69">IFERROR(IF(INDEX(Prestaties,MATCH(0,INDEX(COUNTIF($C$1:C68,Prestaties),),0))=0,"",INDEX(Prestaties,MATCH(0,INDEX(COUNTIF($C$1:C68,Prestaties),),0))),"")</f>
        <v/>
      </c>
      <c r="H69" s="57"/>
      <c r="I69" s="57" t="str">
        <f>IFERROR(INDEX(DB_Loonkosten,MATCH(H69,'7. Rekenhulp loonkosten bet.vz.'!$C$5:$C$54,0),1),"")</f>
        <v/>
      </c>
      <c r="J69" s="67">
        <f>IFERROR(INDEX(DB_Loonkosten,MATCH(I69,[0]!LoonkostenNr,0),24),"")</f>
        <v>0</v>
      </c>
      <c r="T69" s="57"/>
      <c r="AG69" s="91"/>
      <c r="AH69" s="91"/>
    </row>
    <row r="70" spans="1:34" x14ac:dyDescent="0.25">
      <c r="A70" s="57" t="str" cm="1">
        <f t="array" ref="A70">IFERROR(IF(INDEX(Deelnemers,MATCH(0,INDEX(COUNTIF($A$1:A69,Deelnemers),),0))=0,"",INDEX(Deelnemers,MATCH(0,INDEX(COUNTIF($A$1:A69,Deelnemers),),0))),"")</f>
        <v/>
      </c>
      <c r="C70" s="57" t="str" cm="1">
        <f t="array" ref="C70">IFERROR(IF(INDEX(Prestaties,MATCH(0,INDEX(COUNTIF($C$1:C69,Prestaties),),0))=0,"",INDEX(Prestaties,MATCH(0,INDEX(COUNTIF($C$1:C69,Prestaties),),0))),"")</f>
        <v/>
      </c>
      <c r="H70" s="57"/>
      <c r="I70" s="57" t="str">
        <f>IFERROR(INDEX(DB_Loonkosten,MATCH(H70,'7. Rekenhulp loonkosten bet.vz.'!$C$5:$C$54,0),1),"")</f>
        <v/>
      </c>
      <c r="J70" s="67">
        <f>IFERROR(INDEX(DB_Loonkosten,MATCH(I70,[0]!LoonkostenNr,0),24),"")</f>
        <v>0</v>
      </c>
      <c r="T70" s="57"/>
      <c r="AG70" s="91"/>
      <c r="AH70" s="91"/>
    </row>
    <row r="71" spans="1:34" x14ac:dyDescent="0.25">
      <c r="A71" s="57" t="str" cm="1">
        <f t="array" ref="A71">IFERROR(IF(INDEX(Deelnemers,MATCH(0,INDEX(COUNTIF($A$1:A70,Deelnemers),),0))=0,"",INDEX(Deelnemers,MATCH(0,INDEX(COUNTIF($A$1:A70,Deelnemers),),0))),"")</f>
        <v/>
      </c>
      <c r="C71" s="57" t="str" cm="1">
        <f t="array" ref="C71">IFERROR(IF(INDEX(Prestaties,MATCH(0,INDEX(COUNTIF($C$1:C70,Prestaties),),0))=0,"",INDEX(Prestaties,MATCH(0,INDEX(COUNTIF($C$1:C70,Prestaties),),0))),"")</f>
        <v/>
      </c>
      <c r="H71" s="57"/>
      <c r="I71" s="57" t="str">
        <f>IFERROR(INDEX(DB_Loonkosten,MATCH(H71,'7. Rekenhulp loonkosten bet.vz.'!$C$5:$C$54,0),1),"")</f>
        <v/>
      </c>
      <c r="J71" s="67">
        <f>IFERROR(INDEX(DB_Loonkosten,MATCH(I71,[0]!LoonkostenNr,0),24),"")</f>
        <v>0</v>
      </c>
      <c r="T71" s="57"/>
      <c r="AG71" s="91"/>
      <c r="AH71" s="91"/>
    </row>
    <row r="72" spans="1:34" x14ac:dyDescent="0.25">
      <c r="A72" s="57" t="str" cm="1">
        <f t="array" ref="A72">IFERROR(IF(INDEX(Deelnemers,MATCH(0,INDEX(COUNTIF($A$1:A71,Deelnemers),),0))=0,"",INDEX(Deelnemers,MATCH(0,INDEX(COUNTIF($A$1:A71,Deelnemers),),0))),"")</f>
        <v/>
      </c>
      <c r="C72" s="57" t="str" cm="1">
        <f t="array" ref="C72">IFERROR(IF(INDEX(Prestaties,MATCH(0,INDEX(COUNTIF($C$1:C71,Prestaties),),0))=0,"",INDEX(Prestaties,MATCH(0,INDEX(COUNTIF($C$1:C71,Prestaties),),0))),"")</f>
        <v/>
      </c>
      <c r="H72" s="57"/>
      <c r="I72" s="57" t="str">
        <f>IFERROR(INDEX(DB_Loonkosten,MATCH(H72,'7. Rekenhulp loonkosten bet.vz.'!$C$5:$C$54,0),1),"")</f>
        <v/>
      </c>
      <c r="J72" s="67">
        <f>IFERROR(INDEX(DB_Loonkosten,MATCH(I72,[0]!LoonkostenNr,0),24),"")</f>
        <v>0</v>
      </c>
      <c r="T72" s="57"/>
      <c r="AG72" s="91"/>
      <c r="AH72" s="91"/>
    </row>
    <row r="73" spans="1:34" x14ac:dyDescent="0.25">
      <c r="A73" s="57" t="str" cm="1">
        <f t="array" ref="A73">IFERROR(IF(INDEX(Deelnemers,MATCH(0,INDEX(COUNTIF($A$1:A72,Deelnemers),),0))=0,"",INDEX(Deelnemers,MATCH(0,INDEX(COUNTIF($A$1:A72,Deelnemers),),0))),"")</f>
        <v/>
      </c>
      <c r="C73" s="57" t="str" cm="1">
        <f t="array" ref="C73">IFERROR(IF(INDEX(Prestaties,MATCH(0,INDEX(COUNTIF($C$1:C72,Prestaties),),0))=0,"",INDEX(Prestaties,MATCH(0,INDEX(COUNTIF($C$1:C72,Prestaties),),0))),"")</f>
        <v/>
      </c>
      <c r="H73" s="57"/>
      <c r="I73" s="57" t="str">
        <f>IFERROR(INDEX(DB_Loonkosten,MATCH(H73,'7. Rekenhulp loonkosten bet.vz.'!$C$5:$C$54,0),1),"")</f>
        <v/>
      </c>
      <c r="J73" s="67">
        <f>IFERROR(INDEX(DB_Loonkosten,MATCH(I73,[0]!LoonkostenNr,0),24),"")</f>
        <v>0</v>
      </c>
      <c r="T73" s="57"/>
      <c r="AG73" s="91"/>
      <c r="AH73" s="91"/>
    </row>
    <row r="74" spans="1:34" x14ac:dyDescent="0.25">
      <c r="A74" s="57" t="str" cm="1">
        <f t="array" ref="A74">IFERROR(IF(INDEX(Deelnemers,MATCH(0,INDEX(COUNTIF($A$1:A73,Deelnemers),),0))=0,"",INDEX(Deelnemers,MATCH(0,INDEX(COUNTIF($A$1:A73,Deelnemers),),0))),"")</f>
        <v/>
      </c>
      <c r="C74" s="57" t="str" cm="1">
        <f t="array" ref="C74">IFERROR(IF(INDEX(Prestaties,MATCH(0,INDEX(COUNTIF($C$1:C73,Prestaties),),0))=0,"",INDEX(Prestaties,MATCH(0,INDEX(COUNTIF($C$1:C73,Prestaties),),0))),"")</f>
        <v/>
      </c>
      <c r="H74" s="57"/>
      <c r="I74" s="57" t="str">
        <f>IFERROR(INDEX(DB_Loonkosten,MATCH(H74,'7. Rekenhulp loonkosten bet.vz.'!$C$5:$C$54,0),1),"")</f>
        <v/>
      </c>
      <c r="J74" s="67">
        <f>IFERROR(INDEX(DB_Loonkosten,MATCH(I74,[0]!LoonkostenNr,0),24),"")</f>
        <v>0</v>
      </c>
      <c r="T74" s="57"/>
      <c r="AG74" s="91"/>
      <c r="AH74" s="91"/>
    </row>
    <row r="75" spans="1:34" x14ac:dyDescent="0.25">
      <c r="A75" s="57" t="str" cm="1">
        <f t="array" ref="A75">IFERROR(IF(INDEX(Deelnemers,MATCH(0,INDEX(COUNTIF($A$1:A74,Deelnemers),),0))=0,"",INDEX(Deelnemers,MATCH(0,INDEX(COUNTIF($A$1:A74,Deelnemers),),0))),"")</f>
        <v/>
      </c>
      <c r="C75" s="57" t="str" cm="1">
        <f t="array" ref="C75">IFERROR(IF(INDEX(Prestaties,MATCH(0,INDEX(COUNTIF($C$1:C74,Prestaties),),0))=0,"",INDEX(Prestaties,MATCH(0,INDEX(COUNTIF($C$1:C74,Prestaties),),0))),"")</f>
        <v/>
      </c>
      <c r="H75" s="57"/>
      <c r="I75" s="57" t="str">
        <f>IFERROR(INDEX(DB_Loonkosten,MATCH(H75,'7. Rekenhulp loonkosten bet.vz.'!$C$5:$C$54,0),1),"")</f>
        <v/>
      </c>
      <c r="J75" s="67">
        <f>IFERROR(INDEX(DB_Loonkosten,MATCH(I75,[0]!LoonkostenNr,0),24),"")</f>
        <v>0</v>
      </c>
      <c r="T75" s="57"/>
      <c r="AG75" s="91"/>
      <c r="AH75" s="91"/>
    </row>
    <row r="76" spans="1:34" x14ac:dyDescent="0.25">
      <c r="A76" s="57" t="str" cm="1">
        <f t="array" ref="A76">IFERROR(IF(INDEX(Deelnemers,MATCH(0,INDEX(COUNTIF($A$1:A75,Deelnemers),),0))=0,"",INDEX(Deelnemers,MATCH(0,INDEX(COUNTIF($A$1:A75,Deelnemers),),0))),"")</f>
        <v/>
      </c>
      <c r="C76" s="57" t="str" cm="1">
        <f t="array" ref="C76">IFERROR(IF(INDEX(Prestaties,MATCH(0,INDEX(COUNTIF($C$1:C75,Prestaties),),0))=0,"",INDEX(Prestaties,MATCH(0,INDEX(COUNTIF($C$1:C75,Prestaties),),0))),"")</f>
        <v/>
      </c>
      <c r="H76" s="57"/>
      <c r="I76" s="57" t="str">
        <f>IFERROR(INDEX(DB_Loonkosten,MATCH(H76,'7. Rekenhulp loonkosten bet.vz.'!$C$5:$C$54,0),1),"")</f>
        <v/>
      </c>
      <c r="J76" s="67">
        <f>IFERROR(INDEX(DB_Loonkosten,MATCH(I76,[0]!LoonkostenNr,0),24),"")</f>
        <v>0</v>
      </c>
      <c r="T76" s="57"/>
      <c r="AG76" s="91"/>
      <c r="AH76" s="91"/>
    </row>
    <row r="77" spans="1:34" x14ac:dyDescent="0.25">
      <c r="A77" s="57" t="str" cm="1">
        <f t="array" ref="A77">IFERROR(IF(INDEX(Deelnemers,MATCH(0,INDEX(COUNTIF($A$1:A76,Deelnemers),),0))=0,"",INDEX(Deelnemers,MATCH(0,INDEX(COUNTIF($A$1:A76,Deelnemers),),0))),"")</f>
        <v/>
      </c>
      <c r="C77" s="57" t="str" cm="1">
        <f t="array" ref="C77">IFERROR(IF(INDEX(Prestaties,MATCH(0,INDEX(COUNTIF($C$1:C76,Prestaties),),0))=0,"",INDEX(Prestaties,MATCH(0,INDEX(COUNTIF($C$1:C76,Prestaties),),0))),"")</f>
        <v/>
      </c>
      <c r="H77" s="57"/>
      <c r="I77" s="57" t="str">
        <f>IFERROR(INDEX(DB_Loonkosten,MATCH(H77,'7. Rekenhulp loonkosten bet.vz.'!$C$5:$C$54,0),1),"")</f>
        <v/>
      </c>
      <c r="J77" s="67">
        <f>IFERROR(INDEX(DB_Loonkosten,MATCH(I77,[0]!LoonkostenNr,0),24),"")</f>
        <v>0</v>
      </c>
      <c r="T77" s="57"/>
      <c r="AG77" s="91"/>
      <c r="AH77" s="91"/>
    </row>
    <row r="78" spans="1:34" x14ac:dyDescent="0.25">
      <c r="A78" s="57" t="str" cm="1">
        <f t="array" ref="A78">IFERROR(IF(INDEX(Deelnemers,MATCH(0,INDEX(COUNTIF($A$1:A77,Deelnemers),),0))=0,"",INDEX(Deelnemers,MATCH(0,INDEX(COUNTIF($A$1:A77,Deelnemers),),0))),"")</f>
        <v/>
      </c>
      <c r="C78" s="57" t="str" cm="1">
        <f t="array" ref="C78">IFERROR(IF(INDEX(Prestaties,MATCH(0,INDEX(COUNTIF($C$1:C77,Prestaties),),0))=0,"",INDEX(Prestaties,MATCH(0,INDEX(COUNTIF($C$1:C77,Prestaties),),0))),"")</f>
        <v/>
      </c>
      <c r="H78" s="57"/>
      <c r="I78" s="57" t="str">
        <f>IFERROR(INDEX(DB_Loonkosten,MATCH(H78,'7. Rekenhulp loonkosten bet.vz.'!$C$5:$C$54,0),1),"")</f>
        <v/>
      </c>
      <c r="J78" s="67">
        <f>IFERROR(INDEX(DB_Loonkosten,MATCH(I78,[0]!LoonkostenNr,0),24),"")</f>
        <v>0</v>
      </c>
      <c r="T78" s="57"/>
      <c r="AG78" s="91"/>
      <c r="AH78" s="91"/>
    </row>
    <row r="79" spans="1:34" x14ac:dyDescent="0.25">
      <c r="A79" s="57" t="str" cm="1">
        <f t="array" ref="A79">IFERROR(IF(INDEX(Deelnemers,MATCH(0,INDEX(COUNTIF($A$1:A78,Deelnemers),),0))=0,"",INDEX(Deelnemers,MATCH(0,INDEX(COUNTIF($A$1:A78,Deelnemers),),0))),"")</f>
        <v/>
      </c>
      <c r="C79" s="57" t="str" cm="1">
        <f t="array" ref="C79">IFERROR(IF(INDEX(Prestaties,MATCH(0,INDEX(COUNTIF($C$1:C78,Prestaties),),0))=0,"",INDEX(Prestaties,MATCH(0,INDEX(COUNTIF($C$1:C78,Prestaties),),0))),"")</f>
        <v/>
      </c>
      <c r="H79" s="57"/>
      <c r="I79" s="57" t="str">
        <f>IFERROR(INDEX(DB_Loonkosten,MATCH(H79,'7. Rekenhulp loonkosten bet.vz.'!$C$5:$C$54,0),1),"")</f>
        <v/>
      </c>
      <c r="J79" s="67">
        <f>IFERROR(INDEX(DB_Loonkosten,MATCH(I79,[0]!LoonkostenNr,0),24),"")</f>
        <v>0</v>
      </c>
      <c r="T79" s="57"/>
      <c r="AG79" s="91"/>
      <c r="AH79" s="91"/>
    </row>
    <row r="80" spans="1:34" x14ac:dyDescent="0.25">
      <c r="A80" s="57" t="str" cm="1">
        <f t="array" ref="A80">IFERROR(IF(INDEX(Deelnemers,MATCH(0,INDEX(COUNTIF($A$1:A79,Deelnemers),),0))=0,"",INDEX(Deelnemers,MATCH(0,INDEX(COUNTIF($A$1:A79,Deelnemers),),0))),"")</f>
        <v/>
      </c>
      <c r="C80" s="57" t="str" cm="1">
        <f t="array" ref="C80">IFERROR(IF(INDEX(Prestaties,MATCH(0,INDEX(COUNTIF($C$1:C79,Prestaties),),0))=0,"",INDEX(Prestaties,MATCH(0,INDEX(COUNTIF($C$1:C79,Prestaties),),0))),"")</f>
        <v/>
      </c>
      <c r="H80" s="57"/>
      <c r="I80" s="57" t="str">
        <f>IFERROR(INDEX(DB_Loonkosten,MATCH(H80,'7. Rekenhulp loonkosten bet.vz.'!$C$5:$C$54,0),1),"")</f>
        <v/>
      </c>
      <c r="J80" s="67">
        <f>IFERROR(INDEX(DB_Loonkosten,MATCH(I80,[0]!LoonkostenNr,0),24),"")</f>
        <v>0</v>
      </c>
      <c r="T80" s="57"/>
      <c r="AG80" s="91"/>
      <c r="AH80" s="91"/>
    </row>
    <row r="81" spans="1:34" x14ac:dyDescent="0.25">
      <c r="A81" s="57" t="str" cm="1">
        <f t="array" ref="A81">IFERROR(IF(INDEX(Deelnemers,MATCH(0,INDEX(COUNTIF($A$1:A80,Deelnemers),),0))=0,"",INDEX(Deelnemers,MATCH(0,INDEX(COUNTIF($A$1:A80,Deelnemers),),0))),"")</f>
        <v/>
      </c>
      <c r="C81" s="57" t="str" cm="1">
        <f t="array" ref="C81">IFERROR(IF(INDEX(Prestaties,MATCH(0,INDEX(COUNTIF($C$1:C80,Prestaties),),0))=0,"",INDEX(Prestaties,MATCH(0,INDEX(COUNTIF($C$1:C80,Prestaties),),0))),"")</f>
        <v/>
      </c>
      <c r="H81" s="57"/>
      <c r="I81" s="57" t="str">
        <f>IFERROR(INDEX(DB_Loonkosten,MATCH(H81,'7. Rekenhulp loonkosten bet.vz.'!$C$5:$C$54,0),1),"")</f>
        <v/>
      </c>
      <c r="J81" s="67">
        <f>IFERROR(INDEX(DB_Loonkosten,MATCH(I81,[0]!LoonkostenNr,0),24),"")</f>
        <v>0</v>
      </c>
      <c r="T81" s="57"/>
      <c r="AG81" s="91"/>
      <c r="AH81" s="91"/>
    </row>
    <row r="82" spans="1:34" x14ac:dyDescent="0.25">
      <c r="A82" s="57" t="str" cm="1">
        <f t="array" ref="A82">IFERROR(IF(INDEX(Deelnemers,MATCH(0,INDEX(COUNTIF($A$1:A81,Deelnemers),),0))=0,"",INDEX(Deelnemers,MATCH(0,INDEX(COUNTIF($A$1:A81,Deelnemers),),0))),"")</f>
        <v/>
      </c>
      <c r="C82" s="57" t="str" cm="1">
        <f t="array" ref="C82">IFERROR(IF(INDEX(Prestaties,MATCH(0,INDEX(COUNTIF($C$1:C81,Prestaties),),0))=0,"",INDEX(Prestaties,MATCH(0,INDEX(COUNTIF($C$1:C81,Prestaties),),0))),"")</f>
        <v/>
      </c>
      <c r="H82" s="57"/>
      <c r="I82" s="57" t="str">
        <f>IFERROR(INDEX(DB_Loonkosten,MATCH(H82,'7. Rekenhulp loonkosten bet.vz.'!$C$5:$C$54,0),1),"")</f>
        <v/>
      </c>
      <c r="J82" s="67">
        <f>IFERROR(INDEX(DB_Loonkosten,MATCH(I82,[0]!LoonkostenNr,0),24),"")</f>
        <v>0</v>
      </c>
      <c r="T82" s="57"/>
      <c r="AG82" s="91"/>
      <c r="AH82" s="91"/>
    </row>
    <row r="83" spans="1:34" x14ac:dyDescent="0.25">
      <c r="A83" s="57" t="str" cm="1">
        <f t="array" ref="A83">IFERROR(IF(INDEX(Deelnemers,MATCH(0,INDEX(COUNTIF($A$1:A82,Deelnemers),),0))=0,"",INDEX(Deelnemers,MATCH(0,INDEX(COUNTIF($A$1:A82,Deelnemers),),0))),"")</f>
        <v/>
      </c>
      <c r="C83" s="57" t="str" cm="1">
        <f t="array" ref="C83">IFERROR(IF(INDEX(Prestaties,MATCH(0,INDEX(COUNTIF($C$1:C82,Prestaties),),0))=0,"",INDEX(Prestaties,MATCH(0,INDEX(COUNTIF($C$1:C82,Prestaties),),0))),"")</f>
        <v/>
      </c>
      <c r="H83" s="57"/>
      <c r="I83" s="57" t="str">
        <f>IFERROR(INDEX(DB_Loonkosten,MATCH(H83,'7. Rekenhulp loonkosten bet.vz.'!$C$5:$C$54,0),1),"")</f>
        <v/>
      </c>
      <c r="J83" s="67">
        <f>IFERROR(INDEX(DB_Loonkosten,MATCH(I83,[0]!LoonkostenNr,0),24),"")</f>
        <v>0</v>
      </c>
      <c r="T83" s="57"/>
      <c r="AG83" s="91"/>
      <c r="AH83" s="91"/>
    </row>
    <row r="84" spans="1:34" x14ac:dyDescent="0.25">
      <c r="A84" s="57" t="str" cm="1">
        <f t="array" ref="A84">IFERROR(IF(INDEX(Deelnemers,MATCH(0,INDEX(COUNTIF($A$1:A83,Deelnemers),),0))=0,"",INDEX(Deelnemers,MATCH(0,INDEX(COUNTIF($A$1:A83,Deelnemers),),0))),"")</f>
        <v/>
      </c>
      <c r="C84" s="57" t="str" cm="1">
        <f t="array" ref="C84">IFERROR(IF(INDEX(Prestaties,MATCH(0,INDEX(COUNTIF($C$1:C83,Prestaties),),0))=0,"",INDEX(Prestaties,MATCH(0,INDEX(COUNTIF($C$1:C83,Prestaties),),0))),"")</f>
        <v/>
      </c>
      <c r="H84" s="57"/>
      <c r="I84" s="57" t="str">
        <f>IFERROR(INDEX(DB_Loonkosten,MATCH(H84,'7. Rekenhulp loonkosten bet.vz.'!$C$5:$C$54,0),1),"")</f>
        <v/>
      </c>
      <c r="J84" s="67">
        <f>IFERROR(INDEX(DB_Loonkosten,MATCH(I84,[0]!LoonkostenNr,0),24),"")</f>
        <v>0</v>
      </c>
      <c r="T84" s="57"/>
      <c r="AG84" s="91"/>
      <c r="AH84" s="91"/>
    </row>
    <row r="85" spans="1:34" x14ac:dyDescent="0.25">
      <c r="A85" s="57" t="str" cm="1">
        <f t="array" ref="A85">IFERROR(IF(INDEX(Deelnemers,MATCH(0,INDEX(COUNTIF($A$1:A84,Deelnemers),),0))=0,"",INDEX(Deelnemers,MATCH(0,INDEX(COUNTIF($A$1:A84,Deelnemers),),0))),"")</f>
        <v/>
      </c>
      <c r="C85" s="57" t="str" cm="1">
        <f t="array" ref="C85">IFERROR(IF(INDEX(Prestaties,MATCH(0,INDEX(COUNTIF($C$1:C84,Prestaties),),0))=0,"",INDEX(Prestaties,MATCH(0,INDEX(COUNTIF($C$1:C84,Prestaties),),0))),"")</f>
        <v/>
      </c>
      <c r="H85" s="57"/>
      <c r="I85" s="57" t="str">
        <f>IFERROR(INDEX(DB_Loonkosten,MATCH(H85,'7. Rekenhulp loonkosten bet.vz.'!$C$5:$C$54,0),1),"")</f>
        <v/>
      </c>
      <c r="J85" s="67">
        <f>IFERROR(INDEX(DB_Loonkosten,MATCH(I85,[0]!LoonkostenNr,0),24),"")</f>
        <v>0</v>
      </c>
      <c r="T85" s="57"/>
      <c r="AG85" s="91"/>
      <c r="AH85" s="91"/>
    </row>
    <row r="86" spans="1:34" x14ac:dyDescent="0.25">
      <c r="A86" s="57" t="str" cm="1">
        <f t="array" ref="A86">IFERROR(IF(INDEX(Deelnemers,MATCH(0,INDEX(COUNTIF($A$1:A85,Deelnemers),),0))=0,"",INDEX(Deelnemers,MATCH(0,INDEX(COUNTIF($A$1:A85,Deelnemers),),0))),"")</f>
        <v/>
      </c>
      <c r="C86" s="57" t="str" cm="1">
        <f t="array" ref="C86">IFERROR(IF(INDEX(Prestaties,MATCH(0,INDEX(COUNTIF($C$1:C85,Prestaties),),0))=0,"",INDEX(Prestaties,MATCH(0,INDEX(COUNTIF($C$1:C85,Prestaties),),0))),"")</f>
        <v/>
      </c>
      <c r="H86" s="57"/>
      <c r="I86" s="57" t="str">
        <f>IFERROR(INDEX(DB_Loonkosten,MATCH(H86,'7. Rekenhulp loonkosten bet.vz.'!$C$5:$C$54,0),1),"")</f>
        <v/>
      </c>
      <c r="J86" s="67">
        <f>IFERROR(INDEX(DB_Loonkosten,MATCH(I86,[0]!LoonkostenNr,0),24),"")</f>
        <v>0</v>
      </c>
      <c r="T86" s="57"/>
      <c r="AG86" s="91"/>
      <c r="AH86" s="91"/>
    </row>
    <row r="87" spans="1:34" x14ac:dyDescent="0.25">
      <c r="A87" s="57" t="str" cm="1">
        <f t="array" ref="A87">IFERROR(IF(INDEX(Deelnemers,MATCH(0,INDEX(COUNTIF($A$1:A86,Deelnemers),),0))=0,"",INDEX(Deelnemers,MATCH(0,INDEX(COUNTIF($A$1:A86,Deelnemers),),0))),"")</f>
        <v/>
      </c>
      <c r="C87" s="57" t="str" cm="1">
        <f t="array" ref="C87">IFERROR(IF(INDEX(Prestaties,MATCH(0,INDEX(COUNTIF($C$1:C86,Prestaties),),0))=0,"",INDEX(Prestaties,MATCH(0,INDEX(COUNTIF($C$1:C86,Prestaties),),0))),"")</f>
        <v/>
      </c>
      <c r="H87" s="57"/>
      <c r="I87" s="57" t="str">
        <f>IFERROR(INDEX(DB_Loonkosten,MATCH(H87,'7. Rekenhulp loonkosten bet.vz.'!$C$5:$C$54,0),1),"")</f>
        <v/>
      </c>
      <c r="J87" s="67">
        <f>IFERROR(INDEX(DB_Loonkosten,MATCH(I87,[0]!LoonkostenNr,0),24),"")</f>
        <v>0</v>
      </c>
      <c r="T87" s="57"/>
      <c r="AG87" s="91"/>
      <c r="AH87" s="91"/>
    </row>
    <row r="88" spans="1:34" x14ac:dyDescent="0.25">
      <c r="A88" s="57" t="str" cm="1">
        <f t="array" ref="A88">IFERROR(IF(INDEX(Deelnemers,MATCH(0,INDEX(COUNTIF($A$1:A87,Deelnemers),),0))=0,"",INDEX(Deelnemers,MATCH(0,INDEX(COUNTIF($A$1:A87,Deelnemers),),0))),"")</f>
        <v/>
      </c>
      <c r="C88" s="57" t="str" cm="1">
        <f t="array" ref="C88">IFERROR(IF(INDEX(Prestaties,MATCH(0,INDEX(COUNTIF($C$1:C87,Prestaties),),0))=0,"",INDEX(Prestaties,MATCH(0,INDEX(COUNTIF($C$1:C87,Prestaties),),0))),"")</f>
        <v/>
      </c>
      <c r="H88" s="57"/>
      <c r="I88" s="57" t="str">
        <f>IFERROR(INDEX(DB_Loonkosten,MATCH(H88,'7. Rekenhulp loonkosten bet.vz.'!$C$5:$C$54,0),1),"")</f>
        <v/>
      </c>
      <c r="J88" s="67">
        <f>IFERROR(INDEX(DB_Loonkosten,MATCH(I88,[0]!LoonkostenNr,0),24),"")</f>
        <v>0</v>
      </c>
      <c r="T88" s="57"/>
      <c r="AG88" s="91"/>
      <c r="AH88" s="91"/>
    </row>
    <row r="89" spans="1:34" x14ac:dyDescent="0.25">
      <c r="A89" s="57" t="str" cm="1">
        <f t="array" ref="A89">IFERROR(IF(INDEX(Deelnemers,MATCH(0,INDEX(COUNTIF($A$1:A88,Deelnemers),),0))=0,"",INDEX(Deelnemers,MATCH(0,INDEX(COUNTIF($A$1:A88,Deelnemers),),0))),"")</f>
        <v/>
      </c>
      <c r="C89" s="57" t="str" cm="1">
        <f t="array" ref="C89">IFERROR(IF(INDEX(Prestaties,MATCH(0,INDEX(COUNTIF($C$1:C88,Prestaties),),0))=0,"",INDEX(Prestaties,MATCH(0,INDEX(COUNTIF($C$1:C88,Prestaties),),0))),"")</f>
        <v/>
      </c>
      <c r="H89" s="57"/>
      <c r="I89" s="57" t="str">
        <f>IFERROR(INDEX(DB_Loonkosten,MATCH(H89,'7. Rekenhulp loonkosten bet.vz.'!$C$5:$C$54,0),1),"")</f>
        <v/>
      </c>
      <c r="J89" s="67">
        <f>IFERROR(INDEX(DB_Loonkosten,MATCH(I89,[0]!LoonkostenNr,0),24),"")</f>
        <v>0</v>
      </c>
      <c r="T89" s="57"/>
      <c r="AG89" s="91"/>
      <c r="AH89" s="91"/>
    </row>
    <row r="90" spans="1:34" x14ac:dyDescent="0.25">
      <c r="A90" s="57" t="str" cm="1">
        <f t="array" ref="A90">IFERROR(IF(INDEX(Deelnemers,MATCH(0,INDEX(COUNTIF($A$1:A89,Deelnemers),),0))=0,"",INDEX(Deelnemers,MATCH(0,INDEX(COUNTIF($A$1:A89,Deelnemers),),0))),"")</f>
        <v/>
      </c>
      <c r="C90" s="57" t="str" cm="1">
        <f t="array" ref="C90">IFERROR(IF(INDEX(Prestaties,MATCH(0,INDEX(COUNTIF($C$1:C89,Prestaties),),0))=0,"",INDEX(Prestaties,MATCH(0,INDEX(COUNTIF($C$1:C89,Prestaties),),0))),"")</f>
        <v/>
      </c>
      <c r="H90" s="57"/>
      <c r="I90" s="57" t="str">
        <f>IFERROR(INDEX(DB_Loonkosten,MATCH(H90,'7. Rekenhulp loonkosten bet.vz.'!$C$5:$C$54,0),1),"")</f>
        <v/>
      </c>
      <c r="J90" s="67">
        <f>IFERROR(INDEX(DB_Loonkosten,MATCH(I90,[0]!LoonkostenNr,0),24),"")</f>
        <v>0</v>
      </c>
      <c r="T90" s="57"/>
      <c r="AG90" s="91"/>
      <c r="AH90" s="91"/>
    </row>
    <row r="91" spans="1:34" x14ac:dyDescent="0.25">
      <c r="A91" s="57" t="str" cm="1">
        <f t="array" ref="A91">IFERROR(IF(INDEX(Deelnemers,MATCH(0,INDEX(COUNTIF($A$1:A90,Deelnemers),),0))=0,"",INDEX(Deelnemers,MATCH(0,INDEX(COUNTIF($A$1:A90,Deelnemers),),0))),"")</f>
        <v/>
      </c>
      <c r="C91" s="57" t="str" cm="1">
        <f t="array" ref="C91">IFERROR(IF(INDEX(Prestaties,MATCH(0,INDEX(COUNTIF($C$1:C90,Prestaties),),0))=0,"",INDEX(Prestaties,MATCH(0,INDEX(COUNTIF($C$1:C90,Prestaties),),0))),"")</f>
        <v/>
      </c>
      <c r="H91" s="57"/>
      <c r="I91" s="57" t="str">
        <f>IFERROR(INDEX(DB_Loonkosten,MATCH(H91,'7. Rekenhulp loonkosten bet.vz.'!$C$5:$C$54,0),1),"")</f>
        <v/>
      </c>
      <c r="J91" s="67">
        <f>IFERROR(INDEX(DB_Loonkosten,MATCH(I91,[0]!LoonkostenNr,0),24),"")</f>
        <v>0</v>
      </c>
      <c r="T91" s="57"/>
      <c r="AG91" s="91"/>
      <c r="AH91" s="91"/>
    </row>
    <row r="92" spans="1:34" x14ac:dyDescent="0.25">
      <c r="A92" s="57" t="str" cm="1">
        <f t="array" ref="A92">IFERROR(IF(INDEX(Deelnemers,MATCH(0,INDEX(COUNTIF($A$1:A91,Deelnemers),),0))=0,"",INDEX(Deelnemers,MATCH(0,INDEX(COUNTIF($A$1:A91,Deelnemers),),0))),"")</f>
        <v/>
      </c>
      <c r="C92" s="57" t="str" cm="1">
        <f t="array" ref="C92">IFERROR(IF(INDEX(Prestaties,MATCH(0,INDEX(COUNTIF($C$1:C91,Prestaties),),0))=0,"",INDEX(Prestaties,MATCH(0,INDEX(COUNTIF($C$1:C91,Prestaties),),0))),"")</f>
        <v/>
      </c>
      <c r="H92" s="57"/>
      <c r="I92" s="57" t="str">
        <f>IFERROR(INDEX(DB_Loonkosten,MATCH(H92,'7. Rekenhulp loonkosten bet.vz.'!$C$5:$C$54,0),1),"")</f>
        <v/>
      </c>
      <c r="J92" s="67">
        <f>IFERROR(INDEX(DB_Loonkosten,MATCH(I92,[0]!LoonkostenNr,0),24),"")</f>
        <v>0</v>
      </c>
      <c r="T92" s="57"/>
      <c r="AG92" s="91"/>
      <c r="AH92" s="91"/>
    </row>
    <row r="93" spans="1:34" x14ac:dyDescent="0.25">
      <c r="A93" s="57" t="str" cm="1">
        <f t="array" ref="A93">IFERROR(IF(INDEX(Deelnemers,MATCH(0,INDEX(COUNTIF($A$1:A92,Deelnemers),),0))=0,"",INDEX(Deelnemers,MATCH(0,INDEX(COUNTIF($A$1:A92,Deelnemers),),0))),"")</f>
        <v/>
      </c>
      <c r="C93" s="57" t="str" cm="1">
        <f t="array" ref="C93">IFERROR(IF(INDEX(Prestaties,MATCH(0,INDEX(COUNTIF($C$1:C92,Prestaties),),0))=0,"",INDEX(Prestaties,MATCH(0,INDEX(COUNTIF($C$1:C92,Prestaties),),0))),"")</f>
        <v/>
      </c>
      <c r="H93" s="57"/>
      <c r="I93" s="57" t="str">
        <f>IFERROR(INDEX(DB_Loonkosten,MATCH(H93,'7. Rekenhulp loonkosten bet.vz.'!$C$5:$C$54,0),1),"")</f>
        <v/>
      </c>
      <c r="J93" s="67">
        <f>IFERROR(INDEX(DB_Loonkosten,MATCH(I93,[0]!LoonkostenNr,0),24),"")</f>
        <v>0</v>
      </c>
      <c r="T93" s="57"/>
      <c r="AG93" s="91"/>
      <c r="AH93" s="91"/>
    </row>
    <row r="94" spans="1:34" x14ac:dyDescent="0.25">
      <c r="A94" s="57" t="str" cm="1">
        <f t="array" ref="A94">IFERROR(IF(INDEX(Deelnemers,MATCH(0,INDEX(COUNTIF($A$1:A93,Deelnemers),),0))=0,"",INDEX(Deelnemers,MATCH(0,INDEX(COUNTIF($A$1:A93,Deelnemers),),0))),"")</f>
        <v/>
      </c>
      <c r="C94" s="57" t="str" cm="1">
        <f t="array" ref="C94">IFERROR(IF(INDEX(Prestaties,MATCH(0,INDEX(COUNTIF($C$1:C93,Prestaties),),0))=0,"",INDEX(Prestaties,MATCH(0,INDEX(COUNTIF($C$1:C93,Prestaties),),0))),"")</f>
        <v/>
      </c>
      <c r="H94" s="57"/>
      <c r="I94" s="57" t="str">
        <f>IFERROR(INDEX(DB_Loonkosten,MATCH(H94,'7. Rekenhulp loonkosten bet.vz.'!$C$5:$C$54,0),1),"")</f>
        <v/>
      </c>
      <c r="J94" s="67">
        <f>IFERROR(INDEX(DB_Loonkosten,MATCH(I94,[0]!LoonkostenNr,0),24),"")</f>
        <v>0</v>
      </c>
      <c r="T94" s="57"/>
      <c r="AG94" s="91"/>
      <c r="AH94" s="91"/>
    </row>
    <row r="95" spans="1:34" x14ac:dyDescent="0.25">
      <c r="A95" s="57" t="str" cm="1">
        <f t="array" ref="A95">IFERROR(IF(INDEX(Deelnemers,MATCH(0,INDEX(COUNTIF($A$1:A94,Deelnemers),),0))=0,"",INDEX(Deelnemers,MATCH(0,INDEX(COUNTIF($A$1:A94,Deelnemers),),0))),"")</f>
        <v/>
      </c>
      <c r="C95" s="57" t="str" cm="1">
        <f t="array" ref="C95">IFERROR(IF(INDEX(Prestaties,MATCH(0,INDEX(COUNTIF($C$1:C94,Prestaties),),0))=0,"",INDEX(Prestaties,MATCH(0,INDEX(COUNTIF($C$1:C94,Prestaties),),0))),"")</f>
        <v/>
      </c>
      <c r="H95" s="57"/>
      <c r="I95" s="57" t="str">
        <f>IFERROR(INDEX(DB_Loonkosten,MATCH(H95,'7. Rekenhulp loonkosten bet.vz.'!$C$5:$C$54,0),1),"")</f>
        <v/>
      </c>
      <c r="J95" s="67">
        <f>IFERROR(INDEX(DB_Loonkosten,MATCH(I95,[0]!LoonkostenNr,0),24),"")</f>
        <v>0</v>
      </c>
      <c r="T95" s="57"/>
    </row>
    <row r="96" spans="1:34" x14ac:dyDescent="0.25">
      <c r="A96" s="57" t="str" cm="1">
        <f t="array" ref="A96">IFERROR(IF(INDEX(Deelnemers,MATCH(0,INDEX(COUNTIF($A$1:A95,Deelnemers),),0))=0,"",INDEX(Deelnemers,MATCH(0,INDEX(COUNTIF($A$1:A95,Deelnemers),),0))),"")</f>
        <v/>
      </c>
      <c r="C96" s="57" t="str" cm="1">
        <f t="array" ref="C96">IFERROR(IF(INDEX(Prestaties,MATCH(0,INDEX(COUNTIF($C$1:C95,Prestaties),),0))=0,"",INDEX(Prestaties,MATCH(0,INDEX(COUNTIF($C$1:C95,Prestaties),),0))),"")</f>
        <v/>
      </c>
      <c r="H96" s="57"/>
      <c r="I96" s="57" t="str">
        <f>IFERROR(INDEX(DB_Loonkosten,MATCH(H96,'7. Rekenhulp loonkosten bet.vz.'!$C$5:$C$54,0),1),"")</f>
        <v/>
      </c>
      <c r="J96" s="67">
        <f>IFERROR(INDEX(DB_Loonkosten,MATCH(I96,[0]!LoonkostenNr,0),24),"")</f>
        <v>0</v>
      </c>
      <c r="T96" s="57"/>
    </row>
    <row r="97" spans="1:20" x14ac:dyDescent="0.25">
      <c r="A97" s="57" t="str" cm="1">
        <f t="array" ref="A97">IFERROR(IF(INDEX(Deelnemers,MATCH(0,INDEX(COUNTIF($A$1:A96,Deelnemers),),0))=0,"",INDEX(Deelnemers,MATCH(0,INDEX(COUNTIF($A$1:A96,Deelnemers),),0))),"")</f>
        <v/>
      </c>
      <c r="C97" s="57" t="str" cm="1">
        <f t="array" ref="C97">IFERROR(IF(INDEX(Prestaties,MATCH(0,INDEX(COUNTIF($C$1:C96,Prestaties),),0))=0,"",INDEX(Prestaties,MATCH(0,INDEX(COUNTIF($C$1:C96,Prestaties),),0))),"")</f>
        <v/>
      </c>
      <c r="H97" s="57"/>
      <c r="I97" s="57" t="str">
        <f>IFERROR(INDEX(DB_Loonkosten,MATCH(H97,'7. Rekenhulp loonkosten bet.vz.'!$C$5:$C$54,0),1),"")</f>
        <v/>
      </c>
      <c r="J97" s="67">
        <f>IFERROR(INDEX(DB_Loonkosten,MATCH(I97,[0]!LoonkostenNr,0),24),"")</f>
        <v>0</v>
      </c>
      <c r="T97" s="57"/>
    </row>
    <row r="98" spans="1:20" x14ac:dyDescent="0.25">
      <c r="A98" s="57" t="str" cm="1">
        <f t="array" ref="A98">IFERROR(IF(INDEX(Deelnemers,MATCH(0,INDEX(COUNTIF($A$1:A97,Deelnemers),),0))=0,"",INDEX(Deelnemers,MATCH(0,INDEX(COUNTIF($A$1:A97,Deelnemers),),0))),"")</f>
        <v/>
      </c>
      <c r="C98" s="57" t="str" cm="1">
        <f t="array" ref="C98">IFERROR(IF(INDEX(Prestaties,MATCH(0,INDEX(COUNTIF($C$1:C97,Prestaties),),0))=0,"",INDEX(Prestaties,MATCH(0,INDEX(COUNTIF($C$1:C97,Prestaties),),0))),"")</f>
        <v/>
      </c>
      <c r="H98" s="57"/>
      <c r="I98" s="57" t="str">
        <f>IFERROR(INDEX(DB_Loonkosten,MATCH(H98,'7. Rekenhulp loonkosten bet.vz.'!$C$5:$C$54,0),1),"")</f>
        <v/>
      </c>
      <c r="J98" s="67">
        <f>IFERROR(INDEX(DB_Loonkosten,MATCH(I98,[0]!LoonkostenNr,0),24),"")</f>
        <v>0</v>
      </c>
      <c r="T98" s="57"/>
    </row>
    <row r="99" spans="1:20" x14ac:dyDescent="0.25">
      <c r="A99" s="57" t="str" cm="1">
        <f t="array" ref="A99">IFERROR(IF(INDEX(Deelnemers,MATCH(0,INDEX(COUNTIF($A$1:A98,Deelnemers),),0))=0,"",INDEX(Deelnemers,MATCH(0,INDEX(COUNTIF($A$1:A98,Deelnemers),),0))),"")</f>
        <v/>
      </c>
      <c r="C99" s="57" t="str" cm="1">
        <f t="array" ref="C99">IFERROR(IF(INDEX(Prestaties,MATCH(0,INDEX(COUNTIF($C$1:C98,Prestaties),),0))=0,"",INDEX(Prestaties,MATCH(0,INDEX(COUNTIF($C$1:C98,Prestaties),),0))),"")</f>
        <v/>
      </c>
      <c r="H99" s="57"/>
      <c r="I99" s="57" t="str">
        <f>IFERROR(INDEX(DB_Loonkosten,MATCH(H99,'7. Rekenhulp loonkosten bet.vz.'!$C$5:$C$54,0),1),"")</f>
        <v/>
      </c>
      <c r="J99" s="67">
        <f>IFERROR(INDEX(DB_Loonkosten,MATCH(I99,[0]!LoonkostenNr,0),24),"")</f>
        <v>0</v>
      </c>
      <c r="T99" s="57"/>
    </row>
    <row r="100" spans="1:20" x14ac:dyDescent="0.25">
      <c r="A100" s="57" t="str" cm="1">
        <f t="array" ref="A100">IFERROR(IF(INDEX(Deelnemers,MATCH(0,INDEX(COUNTIF($A$1:A99,Deelnemers),),0))=0,"",INDEX(Deelnemers,MATCH(0,INDEX(COUNTIF($A$1:A99,Deelnemers),),0))),"")</f>
        <v/>
      </c>
      <c r="C100" s="57" t="str" cm="1">
        <f t="array" ref="C100">IFERROR(IF(INDEX(Prestaties,MATCH(0,INDEX(COUNTIF($C$1:C99,Prestaties),),0))=0,"",INDEX(Prestaties,MATCH(0,INDEX(COUNTIF($C$1:C99,Prestaties),),0))),"")</f>
        <v/>
      </c>
      <c r="H100" s="57"/>
      <c r="I100" s="57" t="str">
        <f>IFERROR(INDEX(DB_Loonkosten,MATCH(H100,'7. Rekenhulp loonkosten bet.vz.'!$C$5:$C$54,0),1),"")</f>
        <v/>
      </c>
      <c r="J100" s="67">
        <f>IFERROR(INDEX(DB_Loonkosten,MATCH(I100,[0]!LoonkostenNr,0),24),"")</f>
        <v>0</v>
      </c>
      <c r="T100" s="57"/>
    </row>
  </sheetData>
  <sheetProtection algorithmName="SHA-512" hashValue="3YP8mTg/CfFxfcLU6X0ua5BFZjUWslonic1pLhbv40xFMJXZaH4GW4gi3HHK+tuGCWRAbXgiav1MOFJGvrkywg==" saltValue="x9STj/QqNLkTgomOydcAUQ==" spinCount="100000" sheet="1" objects="1" scenarios="1"/>
  <phoneticPr fontId="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62B99-26F0-4B78-AD3A-47B9E9B70813}">
  <sheetPr codeName="Blad1">
    <tabColor theme="8" tint="0.79998168889431442"/>
    <pageSetUpPr fitToPage="1"/>
  </sheetPr>
  <dimension ref="A1:XFC40"/>
  <sheetViews>
    <sheetView showGridLines="0" zoomScaleNormal="100" workbookViewId="0">
      <selection activeCell="C8" sqref="C8:D8"/>
    </sheetView>
  </sheetViews>
  <sheetFormatPr defaultColWidth="0" defaultRowHeight="15" customHeight="1" zeroHeight="1" x14ac:dyDescent="0.25"/>
  <cols>
    <col min="1" max="1" width="2.85546875" style="37" customWidth="1"/>
    <col min="2" max="2" width="61.7109375" style="37" customWidth="1"/>
    <col min="3" max="4" width="33.140625" style="37" customWidth="1"/>
    <col min="5" max="5" width="4.5703125" style="37" customWidth="1"/>
    <col min="6" max="6" width="16.85546875" style="25" hidden="1" customWidth="1"/>
    <col min="7" max="7" width="12.5703125" style="25" hidden="1" customWidth="1"/>
    <col min="8" max="8" width="21.140625" style="25" hidden="1" customWidth="1"/>
    <col min="9" max="9" width="5.85546875" style="25" hidden="1" customWidth="1"/>
    <col min="10" max="10" width="13.42578125" style="25" hidden="1" customWidth="1"/>
    <col min="11" max="11" width="9.85546875" style="25" hidden="1" customWidth="1"/>
    <col min="12" max="12" width="13.7109375" style="25" hidden="1" customWidth="1"/>
    <col min="13" max="16383" width="9.140625" style="25" hidden="1"/>
    <col min="16384" max="16384" width="40.85546875" style="25" hidden="1" customWidth="1"/>
  </cols>
  <sheetData>
    <row r="1" spans="1:5" ht="15" customHeight="1" x14ac:dyDescent="0.25">
      <c r="B1" s="192"/>
      <c r="C1" s="230" t="str">
        <f>IF($C$2="","Kies hieronder openstelling:","")</f>
        <v>Kies hieronder openstelling:</v>
      </c>
      <c r="D1" s="192"/>
    </row>
    <row r="2" spans="1:5" ht="28.5" customHeight="1" x14ac:dyDescent="0.25">
      <c r="A2" s="25"/>
      <c r="B2" s="17" t="s">
        <v>71</v>
      </c>
      <c r="C2" s="377"/>
      <c r="D2" s="377"/>
      <c r="E2" s="25"/>
    </row>
    <row r="3" spans="1:5" ht="15" customHeight="1" x14ac:dyDescent="0.25">
      <c r="A3" s="25"/>
      <c r="B3" s="17" t="s">
        <v>16</v>
      </c>
      <c r="C3" s="379"/>
      <c r="D3" s="379"/>
      <c r="E3" s="25"/>
    </row>
    <row r="4" spans="1:5" ht="15" customHeight="1" x14ac:dyDescent="0.25">
      <c r="A4" s="25"/>
      <c r="B4" s="17" t="s">
        <v>17</v>
      </c>
      <c r="C4" s="379"/>
      <c r="D4" s="379"/>
      <c r="E4" s="25"/>
    </row>
    <row r="5" spans="1:5" x14ac:dyDescent="0.25">
      <c r="A5" s="25"/>
      <c r="B5" s="17" t="s">
        <v>18</v>
      </c>
      <c r="C5" s="379"/>
      <c r="D5" s="379"/>
      <c r="E5" s="25"/>
    </row>
    <row r="6" spans="1:5" ht="15" customHeight="1" x14ac:dyDescent="0.25">
      <c r="A6" s="25"/>
      <c r="B6" s="5"/>
      <c r="C6" s="380"/>
      <c r="D6" s="380"/>
      <c r="E6" s="25"/>
    </row>
    <row r="7" spans="1:5" ht="15" customHeight="1" x14ac:dyDescent="0.25">
      <c r="B7" s="192"/>
      <c r="C7" s="230" t="str">
        <f>IF($C$8="","Kies hieronder methode:","")</f>
        <v>Kies hieronder methode:</v>
      </c>
      <c r="D7" s="192"/>
    </row>
    <row r="8" spans="1:5" ht="15" customHeight="1" x14ac:dyDescent="0.25">
      <c r="A8" s="25"/>
      <c r="B8" s="151" t="s">
        <v>19</v>
      </c>
      <c r="C8" s="378" t="s">
        <v>553</v>
      </c>
      <c r="D8" s="378"/>
      <c r="E8" s="25"/>
    </row>
    <row r="9" spans="1:5" ht="15" customHeight="1" x14ac:dyDescent="0.25">
      <c r="B9" s="228"/>
      <c r="C9" s="228"/>
      <c r="D9" s="229"/>
    </row>
    <row r="20" spans="1:6" s="26" customFormat="1" ht="15" hidden="1" customHeight="1" x14ac:dyDescent="0.25">
      <c r="A20" s="40"/>
      <c r="B20" s="37"/>
      <c r="C20" s="37"/>
      <c r="D20" s="37"/>
      <c r="E20" s="40"/>
    </row>
    <row r="21" spans="1:6" s="26" customFormat="1" ht="15" hidden="1" customHeight="1" x14ac:dyDescent="0.25">
      <c r="A21" s="40"/>
      <c r="B21" s="37"/>
      <c r="C21" s="37"/>
      <c r="D21" s="37"/>
      <c r="E21" s="40"/>
    </row>
    <row r="22" spans="1:6" s="26" customFormat="1" ht="15" hidden="1" customHeight="1" x14ac:dyDescent="0.25">
      <c r="A22" s="40"/>
      <c r="B22" s="37"/>
      <c r="C22" s="37"/>
      <c r="D22" s="37"/>
      <c r="E22" s="40"/>
    </row>
    <row r="24" spans="1:6" s="26" customFormat="1" ht="15" hidden="1" customHeight="1" x14ac:dyDescent="0.25">
      <c r="A24" s="40"/>
      <c r="B24" s="37"/>
      <c r="C24" s="37"/>
      <c r="D24" s="37"/>
      <c r="E24" s="40"/>
    </row>
    <row r="26" spans="1:6" s="26" customFormat="1" ht="15" hidden="1" customHeight="1" x14ac:dyDescent="0.25">
      <c r="A26" s="40"/>
      <c r="B26" s="37"/>
      <c r="C26" s="37"/>
      <c r="D26" s="37"/>
      <c r="E26" s="40"/>
    </row>
    <row r="27" spans="1:6" s="26" customFormat="1" ht="15" hidden="1" customHeight="1" x14ac:dyDescent="0.25">
      <c r="A27" s="40"/>
      <c r="B27" s="37"/>
      <c r="C27" s="37"/>
      <c r="D27" s="37"/>
      <c r="E27" s="40"/>
    </row>
    <row r="28" spans="1:6" s="26" customFormat="1" ht="15" hidden="1" customHeight="1" x14ac:dyDescent="0.25">
      <c r="A28" s="40"/>
      <c r="B28" s="37"/>
      <c r="C28" s="37"/>
      <c r="D28" s="37"/>
      <c r="E28" s="40"/>
    </row>
    <row r="29" spans="1:6" s="26" customFormat="1" ht="15" hidden="1" customHeight="1" x14ac:dyDescent="0.25">
      <c r="A29" s="40"/>
      <c r="B29" s="37"/>
      <c r="C29" s="37"/>
      <c r="D29" s="37"/>
      <c r="E29" s="40"/>
    </row>
    <row r="31" spans="1:6" s="27" customFormat="1" ht="15" hidden="1" customHeight="1" x14ac:dyDescent="0.25">
      <c r="A31" s="39"/>
      <c r="B31" s="37"/>
      <c r="C31" s="37"/>
      <c r="D31" s="37"/>
      <c r="E31" s="39"/>
      <c r="F31" s="50"/>
    </row>
    <row r="40" ht="47.45" hidden="1" customHeight="1" x14ac:dyDescent="0.25"/>
  </sheetData>
  <sheetProtection algorithmName="SHA-512" hashValue="CADxCPLKC69tb9G6DelUOjVhGqBYQ4WF8ix7fUyfBGbeasmzctXToC3r5CY32LiRb+6CMGsERcrFpyTRsTaKNg==" saltValue="v717AJIsWFS4teSSrKYbMQ==" spinCount="100000" sheet="1" objects="1" scenarios="1"/>
  <mergeCells count="6">
    <mergeCell ref="C2:D2"/>
    <mergeCell ref="C8:D8"/>
    <mergeCell ref="C3:D3"/>
    <mergeCell ref="C4:D4"/>
    <mergeCell ref="C5:D5"/>
    <mergeCell ref="C6:D6"/>
  </mergeCells>
  <dataValidations count="1">
    <dataValidation type="list" showInputMessage="1" showErrorMessage="1" errorTitle="Onjuiste methode" error="Kies eerst de openstelling en kies daarna een methode uit de lijst." sqref="C8:D8" xr:uid="{A1B397DB-D8C0-4DBC-94E0-84786849B37C}">
      <formula1>Methode_Uniek</formula1>
    </dataValidation>
  </dataValidations>
  <pageMargins left="0.70866141732283472" right="0.70866141732283472" top="0.74803149606299213" bottom="0.74803149606299213" header="0.31496062992125984" footer="0.31496062992125984"/>
  <pageSetup paperSize="9" orientation="landscape" r:id="rId1"/>
  <headerFooter>
    <oddFooter>&amp;LVersie: september 2023&amp;C&amp;A&amp;R&amp;P van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BFFD634-6C29-4236-9C1B-616DDEED59BF}">
          <x14:formula1>
            <xm:f>OFFSET(Openstelling_Activiteit!$A$3,1,0,IF(COUNTIF(Openstelling_Activiteit!$A$3:$A$1000,"&lt;&gt;"&amp;"")&gt;1,COUNTIF(Openstelling_Activiteit!$A$3:$A$1000,"&lt;&gt;"&amp;"")-1,COUNTIF(Openstelling_Activiteit!$A$3:$A$1000,"&lt;&gt;"&amp;"")))</xm:f>
          </x14:formula1>
          <xm:sqref>C2:D2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757CF-D13F-439A-BF30-E46CCC07843E}">
  <sheetPr codeName="Blad21">
    <tabColor theme="4" tint="-0.249977111117893"/>
  </sheetPr>
  <dimension ref="A1:AA14"/>
  <sheetViews>
    <sheetView workbookViewId="0"/>
  </sheetViews>
  <sheetFormatPr defaultRowHeight="15" x14ac:dyDescent="0.25"/>
  <cols>
    <col min="1" max="1" width="31.85546875" bestFit="1" customWidth="1"/>
    <col min="2" max="2" width="10.85546875" customWidth="1"/>
    <col min="3" max="3" width="1.7109375" customWidth="1"/>
    <col min="4" max="5" width="18.5703125" customWidth="1"/>
    <col min="6" max="6" width="1.7109375" customWidth="1"/>
    <col min="7" max="7" width="31.5703125" bestFit="1" customWidth="1"/>
    <col min="8" max="8" width="18.5703125" customWidth="1"/>
    <col min="9" max="9" width="1.7109375" customWidth="1"/>
    <col min="10" max="10" width="31.5703125" bestFit="1" customWidth="1"/>
    <col min="11" max="11" width="18.5703125" customWidth="1"/>
    <col min="12" max="12" width="1.7109375" customWidth="1"/>
    <col min="13" max="13" width="20.28515625" bestFit="1" customWidth="1"/>
    <col min="14" max="14" width="13.85546875" customWidth="1"/>
    <col min="15" max="15" width="1.7109375" customWidth="1"/>
    <col min="16" max="16" width="35.7109375" bestFit="1" customWidth="1"/>
    <col min="17" max="27" width="13.140625" bestFit="1" customWidth="1"/>
  </cols>
  <sheetData>
    <row r="1" spans="1:27" x14ac:dyDescent="0.25">
      <c r="A1" s="58" t="s">
        <v>155</v>
      </c>
      <c r="B1" s="58" t="s">
        <v>340</v>
      </c>
      <c r="D1" s="58" t="s">
        <v>121</v>
      </c>
      <c r="E1" s="58" t="s">
        <v>340</v>
      </c>
      <c r="G1" s="58" t="s">
        <v>359</v>
      </c>
      <c r="H1" s="58" t="s">
        <v>340</v>
      </c>
      <c r="J1" s="58" t="s">
        <v>359</v>
      </c>
      <c r="K1" s="58" t="s">
        <v>340</v>
      </c>
      <c r="M1" s="58" t="s">
        <v>186</v>
      </c>
      <c r="N1" s="58" t="s">
        <v>187</v>
      </c>
      <c r="P1" s="58" t="s">
        <v>156</v>
      </c>
      <c r="Q1" s="58" t="s">
        <v>139</v>
      </c>
      <c r="R1" s="58" t="s">
        <v>140</v>
      </c>
      <c r="S1" s="58" t="s">
        <v>141</v>
      </c>
      <c r="T1" s="58" t="s">
        <v>142</v>
      </c>
      <c r="U1" s="58" t="s">
        <v>143</v>
      </c>
      <c r="V1" s="58" t="s">
        <v>144</v>
      </c>
      <c r="W1" s="58" t="s">
        <v>145</v>
      </c>
      <c r="X1" s="58" t="s">
        <v>146</v>
      </c>
      <c r="Y1" s="58" t="s">
        <v>301</v>
      </c>
      <c r="Z1" s="58" t="s">
        <v>302</v>
      </c>
      <c r="AA1" s="58" t="s">
        <v>303</v>
      </c>
    </row>
    <row r="2" spans="1:27" x14ac:dyDescent="0.25">
      <c r="A2" s="91" t="str" cm="1">
        <f t="array" ref="A2">IFERROR(_xlfn.UNIQUE(_xlfn._xlws.FILTER('8. Uitgaven betaalverzoek'!$E$2:$E$10000,'8. Uitgaven betaalverzoek'!$E$2:$E$10000&lt;&gt;"")),"")</f>
        <v/>
      </c>
      <c r="B2" s="91" t="str">
        <f>IFERROR(MATCH(A2,Tb_Activiteiten[Subsidiabele_Activiteit],0),"")</f>
        <v/>
      </c>
      <c r="D2" s="91" t="str" cm="1">
        <f t="array" aca="1" ref="D2:E2" ca="1">_xlfn._xlws.SORT(OFFSET($A$1,1,,IF(COUNTIF($A$1:$A$100,"&lt;&gt;"&amp;"")&gt;1,COUNTIF($A$1:$A$100,"&lt;&gt;"&amp;"")-1,COUNTIF($A$1:$A$100,"&lt;&gt;"&amp;"")),2),2)</f>
        <v/>
      </c>
      <c r="E2" s="91" t="str">
        <f ca="1"/>
        <v/>
      </c>
      <c r="G2" s="91" t="str" cm="1">
        <f t="array" ref="G2">IFERROR(_xlfn.UNIQUE(_xlfn._xlws.FILTER('5. Kosten uitvoering project'!$E$6:$E$10000,'5. Kosten uitvoering project'!$E$6:$E$10000&lt;&gt;"")),"")</f>
        <v/>
      </c>
      <c r="H2" s="91" t="str">
        <f>IFERROR(MATCH(G2,Tb_Activiteiten[Subsidiabele_Activiteit],0),"")</f>
        <v/>
      </c>
      <c r="J2" s="91" t="str" cm="1">
        <f t="array" aca="1" ref="J2:K2" ca="1">_xlfn._xlws.SORT(OFFSET($G$1,1,,IF(COUNTIF($G$1:$G$100,"&lt;&gt;"&amp;"")&gt;1,COUNTIF($G$1:$G$100,"&lt;&gt;"&amp;"")-1,COUNTIF($G$1:$G$100,"&lt;&gt;"&amp;"")),2),2)</f>
        <v/>
      </c>
      <c r="K2" s="91" t="str">
        <f ca="1"/>
        <v/>
      </c>
      <c r="M2" s="155">
        <f ca="1">'Beoordeeld begrotingsoverzicht'!C54</f>
        <v>0</v>
      </c>
      <c r="N2" s="155">
        <f ca="1">'Beoordeeld begrotingsoverzicht'!C46</f>
        <v>0</v>
      </c>
      <c r="P2" s="91" t="str" cm="1">
        <f t="array" ref="P2">IFERROR(_xlfn.UNIQUE(_xlfn._xlws.FILTER(SubsidieTabel!$A2:$A1000,SubsidieTabel!$A2:$A1000&lt;&gt;"","")),"")</f>
        <v/>
      </c>
      <c r="Q2" s="91" t="str" cm="1">
        <f t="array" ref="Q2">IF($P2&lt;&gt;"",IFERROR(TRANSPOSE(_xlfn.UNIQUE(_xlfn._xlws.FILTER(SubsidieTabel!$C2:$C1000,(SubsidieTabel!$A2:$A1000=$P2)*(SubsidieTabel!$A2:$A1000&lt;&gt;""),""))),""),"")</f>
        <v/>
      </c>
      <c r="R2" s="91"/>
      <c r="S2" s="91"/>
      <c r="T2" s="91"/>
      <c r="U2" s="91"/>
      <c r="V2" s="91"/>
      <c r="W2" s="91"/>
      <c r="X2" s="91"/>
      <c r="Y2" s="91"/>
      <c r="Z2" s="91"/>
      <c r="AA2" s="91"/>
    </row>
    <row r="3" spans="1:27" x14ac:dyDescent="0.25">
      <c r="A3" s="91"/>
      <c r="B3" s="91" t="str">
        <f>IFERROR(MATCH(A3,Tb_Activiteiten[Subsidiabele_Activiteit],0),"")</f>
        <v/>
      </c>
      <c r="D3" s="91"/>
      <c r="E3" s="91"/>
      <c r="G3" s="91"/>
      <c r="H3" s="91" t="str">
        <f>IFERROR(MATCH(G3,Tb_Activiteiten[Subsidiabele_Activiteit],0),"")</f>
        <v/>
      </c>
      <c r="J3" s="91"/>
      <c r="K3" s="91"/>
      <c r="M3" s="155">
        <f ca="1">$M$2-(SUMIFS('8. Uitgaven betaalverzoek'!W:W,'8. Uitgaven betaalverzoek'!F:F,"=Bijdrage*",'8. Uitgaven betaalverzoek'!A:A,"&lt;&gt;""")-SUMIF(Tb_DBKosten[],"=Bijdrage*",Tb_DBKosten[Deelbetaling_Aanvraag]))</f>
        <v>0</v>
      </c>
      <c r="N3" s="155">
        <f ca="1">$N$2-(SUMIFS('8. Uitgaven betaalverzoek'!W:W,'8. Uitgaven betaalverzoek'!F:F,"=Grond*",'8. Uitgaven betaalverzoek'!A:A,"&lt;&gt;""")-SUMIF(Tb_DBKosten[],"=Grond*",Tb_DBKosten[Deelbetaling_Aanvraag]))</f>
        <v>0</v>
      </c>
      <c r="P3" s="91"/>
      <c r="Q3" s="91" t="str" cm="1">
        <f t="array" ref="Q3">IF($P3&lt;&gt;"",IFERROR(TRANSPOSE(_xlfn.UNIQUE(_xlfn._xlws.FILTER(SubsidieTabel!$C3:$C1001,(SubsidieTabel!$A3:$A1001=$P3)*(SubsidieTabel!$A3:$A1001&lt;&gt;""),""))),""),"")</f>
        <v/>
      </c>
      <c r="R3" s="91"/>
      <c r="S3" s="91"/>
      <c r="T3" s="91"/>
      <c r="U3" s="91"/>
      <c r="V3" s="91"/>
      <c r="W3" s="91"/>
      <c r="X3" s="91"/>
      <c r="Y3" s="91"/>
      <c r="Z3" s="91"/>
      <c r="AA3" s="91"/>
    </row>
    <row r="4" spans="1:27" x14ac:dyDescent="0.25">
      <c r="A4" s="91"/>
      <c r="B4" s="91" t="str">
        <f>IFERROR(MATCH(A4,Tb_Activiteiten[Subsidiabele_Activiteit],0),"")</f>
        <v/>
      </c>
      <c r="D4" s="91"/>
      <c r="E4" s="91"/>
      <c r="G4" s="91"/>
      <c r="H4" s="91" t="str">
        <f>IFERROR(MATCH(G4,Tb_Activiteiten[Subsidiabele_Activiteit],0),"")</f>
        <v/>
      </c>
      <c r="J4" s="91"/>
      <c r="K4" s="91"/>
      <c r="M4" s="155">
        <f ca="1">$M$2-(SUMIFS('8. Uitgaven betaalverzoek'!X:X,'8. Uitgaven betaalverzoek'!F:F,"=Bijdrage*",'8. Uitgaven betaalverzoek'!A:A,"&lt;&gt;""")-SUMIF(Tb_DBKosten[],"=Bijdrage*",Tb_DBKosten[Deelbetaling_Beoordeeld]))</f>
        <v>0</v>
      </c>
      <c r="N4" s="155">
        <f ca="1">$N$2-(SUMIFS('8. Uitgaven betaalverzoek'!X:X,'8. Uitgaven betaalverzoek'!F:F,"=Grond*",'8. Uitgaven betaalverzoek'!A:A,"&lt;&gt;""")-SUMIF(Tb_DBKosten[],"=Grond*",Tb_DBKosten[Deelbetaling_Beoordeeld]))</f>
        <v>0</v>
      </c>
      <c r="P4" s="91"/>
      <c r="Q4" s="91" t="str" cm="1">
        <f t="array" ref="Q4">IF($P4&lt;&gt;"",IFERROR(TRANSPOSE(_xlfn.UNIQUE(_xlfn._xlws.FILTER(SubsidieTabel!$C4:$C1002,(SubsidieTabel!$A4:$A1002=$P4)*(SubsidieTabel!$A4:$A1002&lt;&gt;""),""))),""),"")</f>
        <v/>
      </c>
      <c r="R4" s="91"/>
      <c r="S4" s="91"/>
      <c r="T4" s="91"/>
      <c r="U4" s="91"/>
      <c r="V4" s="91"/>
      <c r="W4" s="91"/>
      <c r="X4" s="91"/>
      <c r="Y4" s="91"/>
      <c r="Z4" s="91"/>
      <c r="AA4" s="91"/>
    </row>
    <row r="5" spans="1:27" x14ac:dyDescent="0.25">
      <c r="A5" s="91"/>
      <c r="B5" s="91" t="str">
        <f>IFERROR(MATCH(A5,Tb_Activiteiten[Subsidiabele_Activiteit],0),"")</f>
        <v/>
      </c>
      <c r="D5" s="91"/>
      <c r="E5" s="91"/>
      <c r="G5" s="91"/>
      <c r="H5" s="91" t="str">
        <f>IFERROR(MATCH(G5,Tb_Activiteiten[Subsidiabele_Activiteit],0),"")</f>
        <v/>
      </c>
      <c r="J5" s="91"/>
      <c r="K5" s="91"/>
      <c r="P5" s="91"/>
      <c r="Q5" s="91" t="str" cm="1">
        <f t="array" ref="Q5">IF($P5&lt;&gt;"",IFERROR(TRANSPOSE(_xlfn.UNIQUE(_xlfn._xlws.FILTER(SubsidieTabel!$C5:$C1003,(SubsidieTabel!$A5:$A1003=$P5)*(SubsidieTabel!$A5:$A1003&lt;&gt;""),""))),""),"")</f>
        <v/>
      </c>
      <c r="R5" s="91"/>
      <c r="S5" s="91"/>
      <c r="T5" s="91"/>
      <c r="U5" s="91"/>
      <c r="V5" s="91"/>
      <c r="W5" s="91"/>
      <c r="X5" s="91"/>
      <c r="Y5" s="91"/>
      <c r="Z5" s="91"/>
      <c r="AA5" s="91"/>
    </row>
    <row r="6" spans="1:27" x14ac:dyDescent="0.25">
      <c r="A6" s="91"/>
      <c r="B6" s="91" t="str">
        <f>IFERROR(MATCH(A6,Tb_Activiteiten[Subsidiabele_Activiteit],0),"")</f>
        <v/>
      </c>
      <c r="D6" s="91"/>
      <c r="E6" s="91"/>
      <c r="G6" s="91"/>
      <c r="H6" s="91" t="str">
        <f>IFERROR(MATCH(G6,Tb_Activiteiten[Subsidiabele_Activiteit],0),"")</f>
        <v/>
      </c>
      <c r="J6" s="91"/>
      <c r="K6" s="91"/>
      <c r="P6" s="91"/>
      <c r="Q6" s="91" t="str" cm="1">
        <f t="array" ref="Q6">IF($P6&lt;&gt;"",IFERROR(TRANSPOSE(_xlfn.UNIQUE(_xlfn._xlws.FILTER(SubsidieTabel!$C6:$C1004,(SubsidieTabel!$A6:$A1004=$P6)*(SubsidieTabel!$A6:$A1004&lt;&gt;""),""))),""),"")</f>
        <v/>
      </c>
      <c r="R6" s="91"/>
      <c r="S6" s="91"/>
      <c r="T6" s="91"/>
      <c r="U6" s="91"/>
      <c r="V6" s="91"/>
      <c r="W6" s="91"/>
      <c r="X6" s="91"/>
      <c r="Y6" s="91"/>
      <c r="Z6" s="91"/>
      <c r="AA6" s="91"/>
    </row>
    <row r="7" spans="1:27" x14ac:dyDescent="0.25">
      <c r="A7" s="91"/>
      <c r="B7" s="91" t="str">
        <f>IFERROR(MATCH(A7,Tb_Activiteiten[Subsidiabele_Activiteit],0),"")</f>
        <v/>
      </c>
      <c r="D7" s="91"/>
      <c r="E7" s="91"/>
      <c r="G7" s="91"/>
      <c r="H7" s="91" t="str">
        <f>IFERROR(MATCH(G7,Tb_Activiteiten[Subsidiabele_Activiteit],0),"")</f>
        <v/>
      </c>
      <c r="J7" s="91"/>
      <c r="K7" s="91"/>
      <c r="P7" s="91"/>
      <c r="Q7" s="91" t="str" cm="1">
        <f t="array" ref="Q7">IF($P7&lt;&gt;"",IFERROR(TRANSPOSE(_xlfn.UNIQUE(_xlfn._xlws.FILTER(SubsidieTabel!$C7:$C1005,(SubsidieTabel!$A7:$A1005=$P7)*(SubsidieTabel!$A7:$A1005&lt;&gt;""),""))),""),"")</f>
        <v/>
      </c>
      <c r="R7" s="91"/>
      <c r="S7" s="91"/>
      <c r="T7" s="91"/>
      <c r="U7" s="91"/>
      <c r="V7" s="91"/>
      <c r="W7" s="91"/>
      <c r="X7" s="91"/>
      <c r="Y7" s="91"/>
      <c r="Z7" s="91"/>
      <c r="AA7" s="91"/>
    </row>
    <row r="8" spans="1:27" x14ac:dyDescent="0.25">
      <c r="A8" s="91"/>
      <c r="B8" s="91" t="str">
        <f>IFERROR(MATCH(A8,Tb_Activiteiten[Subsidiabele_Activiteit],0),"")</f>
        <v/>
      </c>
      <c r="D8" s="91"/>
      <c r="E8" s="91"/>
      <c r="G8" s="91"/>
      <c r="H8" s="91" t="str">
        <f>IFERROR(MATCH(G8,Tb_Activiteiten[Subsidiabele_Activiteit],0),"")</f>
        <v/>
      </c>
      <c r="J8" s="91"/>
      <c r="K8" s="91"/>
      <c r="P8" s="91"/>
      <c r="Q8" s="91" t="str" cm="1">
        <f t="array" ref="Q8">IF($P8&lt;&gt;"",IFERROR(TRANSPOSE(_xlfn.UNIQUE(_xlfn._xlws.FILTER(SubsidieTabel!$C8:$C1006,(SubsidieTabel!$A8:$A1006=$P8)*(SubsidieTabel!$A8:$A1006&lt;&gt;""),""))),""),"")</f>
        <v/>
      </c>
      <c r="R8" s="91"/>
      <c r="S8" s="91"/>
      <c r="T8" s="91"/>
      <c r="U8" s="91"/>
      <c r="V8" s="91"/>
      <c r="W8" s="91"/>
      <c r="X8" s="91"/>
      <c r="Y8" s="91"/>
      <c r="Z8" s="91"/>
      <c r="AA8" s="91"/>
    </row>
    <row r="9" spans="1:27" x14ac:dyDescent="0.25">
      <c r="A9" s="91"/>
      <c r="B9" s="91" t="str">
        <f>IFERROR(MATCH(A9,Tb_Activiteiten[Subsidiabele_Activiteit],0),"")</f>
        <v/>
      </c>
      <c r="D9" s="91"/>
      <c r="E9" s="91"/>
      <c r="G9" s="91"/>
      <c r="H9" s="91" t="str">
        <f>IFERROR(MATCH(G9,Tb_Activiteiten[Subsidiabele_Activiteit],0),"")</f>
        <v/>
      </c>
      <c r="J9" s="91"/>
      <c r="K9" s="91"/>
      <c r="P9" s="91"/>
      <c r="Q9" s="91" t="str" cm="1">
        <f t="array" ref="Q9">IF($P9&lt;&gt;"",IFERROR(TRANSPOSE(_xlfn.UNIQUE(_xlfn._xlws.FILTER(SubsidieTabel!$C9:$C1007,(SubsidieTabel!$A9:$A1007=$P9)*(SubsidieTabel!$A9:$A1007&lt;&gt;""),""))),""),"")</f>
        <v/>
      </c>
      <c r="R9" s="91"/>
      <c r="S9" s="91"/>
      <c r="T9" s="91"/>
      <c r="U9" s="91"/>
      <c r="V9" s="91"/>
      <c r="W9" s="91"/>
      <c r="X9" s="91"/>
      <c r="Y9" s="91"/>
      <c r="Z9" s="91"/>
      <c r="AA9" s="91"/>
    </row>
    <row r="10" spans="1:27" x14ac:dyDescent="0.25">
      <c r="A10" s="91"/>
      <c r="B10" s="91" t="str">
        <f>IFERROR(MATCH(A10,Tb_Activiteiten[Subsidiabele_Activiteit],0),"")</f>
        <v/>
      </c>
      <c r="D10" s="91"/>
      <c r="E10" s="91"/>
      <c r="G10" s="91"/>
      <c r="H10" s="91" t="str">
        <f>IFERROR(MATCH(G10,Tb_Activiteiten[Subsidiabele_Activiteit],0),"")</f>
        <v/>
      </c>
      <c r="J10" s="91"/>
      <c r="K10" s="91"/>
      <c r="P10" s="91"/>
      <c r="Q10" s="91" t="str" cm="1">
        <f t="array" ref="Q10">IF($P10&lt;&gt;"",IFERROR(TRANSPOSE(_xlfn.UNIQUE(_xlfn._xlws.FILTER(SubsidieTabel!$C10:$C1008,(SubsidieTabel!$A10:$A1008=$P10)*(SubsidieTabel!$A10:$A1008&lt;&gt;""),""))),""),"")</f>
        <v/>
      </c>
      <c r="R10" s="91"/>
      <c r="S10" s="91"/>
      <c r="T10" s="91"/>
      <c r="U10" s="91"/>
      <c r="V10" s="91"/>
      <c r="W10" s="91"/>
      <c r="X10" s="91"/>
      <c r="Y10" s="91"/>
      <c r="Z10" s="91"/>
      <c r="AA10" s="91"/>
    </row>
    <row r="11" spans="1:27" x14ac:dyDescent="0.25">
      <c r="A11" s="91"/>
      <c r="B11" s="91" t="str">
        <f>IFERROR(MATCH(A11,Tb_Activiteiten[Subsidiabele_Activiteit],0),"")</f>
        <v/>
      </c>
      <c r="D11" s="91"/>
      <c r="E11" s="91"/>
      <c r="G11" s="91"/>
      <c r="H11" s="91" t="str">
        <f>IFERROR(MATCH(G11,Tb_Activiteiten[Subsidiabele_Activiteit],0),"")</f>
        <v/>
      </c>
      <c r="J11" s="91"/>
      <c r="K11" s="91"/>
      <c r="P11" s="91"/>
      <c r="Q11" s="91" t="str" cm="1">
        <f t="array" ref="Q11">IF($P11&lt;&gt;"",IFERROR(TRANSPOSE(_xlfn.UNIQUE(_xlfn._xlws.FILTER(SubsidieTabel!$C11:$C1009,(SubsidieTabel!$A11:$A1009=$P11)*(SubsidieTabel!$A11:$A1009&lt;&gt;""),""))),""),"")</f>
        <v/>
      </c>
      <c r="R11" s="91"/>
      <c r="S11" s="91"/>
      <c r="T11" s="91"/>
      <c r="U11" s="91"/>
      <c r="V11" s="91"/>
      <c r="W11" s="91"/>
      <c r="X11" s="91"/>
      <c r="Y11" s="91"/>
      <c r="Z11" s="91"/>
      <c r="AA11" s="91"/>
    </row>
    <row r="12" spans="1:27" x14ac:dyDescent="0.25">
      <c r="A12" s="91"/>
      <c r="B12" s="91" t="str">
        <f>IFERROR(MATCH(A12,Tb_Activiteiten[Subsidiabele_Activiteit],0),"")</f>
        <v/>
      </c>
      <c r="D12" s="91"/>
      <c r="E12" s="91"/>
      <c r="G12" s="91"/>
      <c r="H12" s="91" t="str">
        <f>IFERROR(MATCH(G12,Tb_Activiteiten[Subsidiabele_Activiteit],0),"")</f>
        <v/>
      </c>
      <c r="J12" s="91"/>
      <c r="K12" s="91"/>
      <c r="P12" s="91"/>
      <c r="Q12" s="91" t="str" cm="1">
        <f t="array" ref="Q12">IF($P12&lt;&gt;"",IFERROR(TRANSPOSE(_xlfn.UNIQUE(_xlfn._xlws.FILTER(SubsidieTabel!$C12:$C1010,(SubsidieTabel!$A12:$A1010=$P12)*(SubsidieTabel!$A12:$A1010&lt;&gt;""),""))),""),"")</f>
        <v/>
      </c>
      <c r="R12" s="91"/>
      <c r="S12" s="91"/>
      <c r="T12" s="91"/>
      <c r="U12" s="91"/>
      <c r="V12" s="91"/>
      <c r="W12" s="91"/>
      <c r="X12" s="91"/>
      <c r="Y12" s="91"/>
      <c r="Z12" s="91"/>
      <c r="AA12" s="91"/>
    </row>
    <row r="13" spans="1:27" x14ac:dyDescent="0.25">
      <c r="A13" s="91"/>
      <c r="B13" s="91" t="str">
        <f>IFERROR(MATCH(A13,Tb_Activiteiten[Subsidiabele_Activiteit],0),"")</f>
        <v/>
      </c>
      <c r="D13" s="91"/>
      <c r="E13" s="91"/>
      <c r="G13" s="91"/>
      <c r="H13" s="91" t="str">
        <f>IFERROR(MATCH(G13,Tb_Activiteiten[Subsidiabele_Activiteit],0),"")</f>
        <v/>
      </c>
      <c r="J13" s="91"/>
      <c r="K13" s="91"/>
      <c r="P13" s="91"/>
      <c r="Q13" s="91" t="str" cm="1">
        <f t="array" ref="Q13">IF($P13&lt;&gt;"",IFERROR(TRANSPOSE(_xlfn.UNIQUE(_xlfn._xlws.FILTER(SubsidieTabel!$C13:$C1011,(SubsidieTabel!$A13:$A1011=$P13)*(SubsidieTabel!$A13:$A1011&lt;&gt;""),""))),""),"")</f>
        <v/>
      </c>
      <c r="R13" s="91"/>
      <c r="S13" s="91"/>
      <c r="T13" s="91"/>
      <c r="U13" s="91"/>
      <c r="V13" s="91"/>
      <c r="W13" s="91"/>
      <c r="X13" s="91"/>
      <c r="Y13" s="91"/>
      <c r="Z13" s="91"/>
      <c r="AA13" s="91"/>
    </row>
    <row r="14" spans="1:27" x14ac:dyDescent="0.25">
      <c r="A14" s="91"/>
      <c r="B14" s="91" t="str">
        <f>IFERROR(MATCH(A14,Tb_Activiteiten[Subsidiabele_Activiteit],0),"")</f>
        <v/>
      </c>
      <c r="D14" s="91"/>
      <c r="E14" s="91"/>
      <c r="G14" s="91"/>
      <c r="H14" s="91" t="str">
        <f>IFERROR(MATCH(G14,Tb_Activiteiten[Subsidiabele_Activiteit],0),"")</f>
        <v/>
      </c>
      <c r="J14" s="91"/>
      <c r="K14" s="91"/>
      <c r="P14" s="91"/>
      <c r="Q14" s="91" t="str" cm="1">
        <f t="array" ref="Q14">IF($P14&lt;&gt;"",IFERROR(TRANSPOSE(_xlfn.UNIQUE(_xlfn._xlws.FILTER(SubsidieTabel!$C14:$C1012,(SubsidieTabel!$A14:$A1012=$P14)*(SubsidieTabel!$A14:$A1012&lt;&gt;""),""))),""),"")</f>
        <v/>
      </c>
      <c r="R14" s="91"/>
      <c r="S14" s="91"/>
      <c r="T14" s="91"/>
      <c r="U14" s="91"/>
      <c r="V14" s="91"/>
      <c r="W14" s="91"/>
      <c r="X14" s="91"/>
      <c r="Y14" s="91"/>
      <c r="Z14" s="91"/>
      <c r="AA14" s="91"/>
    </row>
  </sheetData>
  <sheetProtection algorithmName="SHA-512" hashValue="thU9REDzG8D9H+6L5wiOKSpSCexR2xklQ+gPww5Yz9dh+8rWL9C4VNmrCDbIde9AuYhrMlBAKUagnBNgHgzRcA==" saltValue="HLaJan3/9O0gUWzrPbxE3w==" spinCount="100000" sheet="1" objects="1" scenarios="1"/>
  <phoneticPr fontId="4" type="noConversion"/>
  <dataValidations disablePrompts="1" count="1">
    <dataValidation type="list" allowBlank="1" showInputMessage="1" showErrorMessage="1" sqref="AB3" xr:uid="{057C3F02-9D06-4E0A-89D7-09FA42B04A7C}">
      <formula1>OFFSET($P$2,MATCH($AA5,$P$2:$P$21,0)-1,1,,COUNTIF(OFFSET($P$2,MATCH($AA5,$P$2:$P$21,0)-1,1,,20),"?*")-1)</formula1>
    </dataValidation>
  </dataValidation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AD849-6BF2-4663-A17C-7A404BE269BD}">
  <sheetPr codeName="Blad26">
    <tabColor theme="4" tint="-0.249977111117893"/>
  </sheetPr>
  <dimension ref="A1:BR14"/>
  <sheetViews>
    <sheetView workbookViewId="0"/>
  </sheetViews>
  <sheetFormatPr defaultRowHeight="15" x14ac:dyDescent="0.25"/>
  <cols>
    <col min="1" max="13" width="39" customWidth="1"/>
    <col min="14" max="36" width="20.140625" customWidth="1"/>
  </cols>
  <sheetData>
    <row r="1" spans="1:70" ht="75" x14ac:dyDescent="0.25">
      <c r="A1" s="260" t="str">
        <f>Spec_Activiteit!A1</f>
        <v>Openstelling</v>
      </c>
      <c r="B1" s="260" t="str">
        <f>Spec_Activiteit!B1</f>
        <v>Subsidiabele_Activiteit</v>
      </c>
      <c r="C1" s="260" t="str">
        <f ca="1">Spec_Activiteit!C1</f>
        <v>Extensiveren max. 150 kg N</v>
      </c>
      <c r="D1" s="260" t="str">
        <f ca="1">Spec_Activiteit!D1</f>
        <v>Extensiveren max. 100 kg N</v>
      </c>
      <c r="E1" s="260" t="str">
        <f ca="1">Spec_Activiteit!E1</f>
        <v>Geringere drooglegging 40 cm</v>
      </c>
      <c r="F1" s="260" t="str">
        <f ca="1">Spec_Activiteit!F1</f>
        <v>Geringere drooglegging 30 cm</v>
      </c>
      <c r="G1" s="260" t="str">
        <f ca="1">Spec_Activiteit!G1</f>
        <v>Geringere drooglegging 20 cm</v>
      </c>
      <c r="H1" s="260" t="str">
        <f ca="1">Spec_Activiteit!H1</f>
        <v>Geringere drooglegging 40 cm met extensiveren max. 150 kg N</v>
      </c>
      <c r="I1" s="260" t="str">
        <f ca="1">Spec_Activiteit!I1</f>
        <v>Geringere drooglegging 30 cm met extensiveren max. 150 kg N</v>
      </c>
      <c r="J1" s="260" t="str">
        <f ca="1">Spec_Activiteit!J1</f>
        <v>Geringere drooglegging 20 cm met extensiveren max 150 kg N</v>
      </c>
      <c r="K1" s="260" t="str">
        <f ca="1">Spec_Activiteit!K1</f>
        <v>Geringere drooglegging 40 cm met extensiveren max 100 kg N</v>
      </c>
      <c r="L1" s="260" t="str">
        <f ca="1">Spec_Activiteit!L1</f>
        <v>Geringere drooglegging 30 cm met extensiveren max 100 kg N</v>
      </c>
      <c r="M1" s="260" t="str">
        <f ca="1">Spec_Activiteit!M1</f>
        <v>Geringere drooglegging 20 cm met extensiveren max 100 kg N</v>
      </c>
      <c r="N1" s="260" t="str">
        <f ca="1">Spec_Activiteit!N1</f>
        <v>Extensiveren max. 150 kg N (10/12)</v>
      </c>
      <c r="O1" s="260" t="str">
        <f ca="1">Spec_Activiteit!O1</f>
        <v>Extensiveren max. 100 kg N (10/12)</v>
      </c>
      <c r="P1" s="260" t="str">
        <f ca="1">Spec_Activiteit!P1</f>
        <v>Geringere drooglegging 40 cm met extensiveren max. 150 kg N (10/12)</v>
      </c>
      <c r="Q1" s="260" t="str">
        <f ca="1">Spec_Activiteit!Q1</f>
        <v>Geringere drooglegging 30 cm met extensiveren max. 150 kg N (10/12)</v>
      </c>
      <c r="R1" s="260" t="str">
        <f ca="1">Spec_Activiteit!R1</f>
        <v>Geringere drooglegging 20 cm met extensiveren max. 150 kg N (10/12)</v>
      </c>
      <c r="S1" s="260" t="str">
        <f ca="1">Spec_Activiteit!S1</f>
        <v>Geringere drooglegging 40 cm met extensiveren max. 100 kg N (10/12)</v>
      </c>
      <c r="T1" s="260" t="str">
        <f ca="1">Spec_Activiteit!T1</f>
        <v>Geringere drooglegging 30 cm met extensiveren max. 100 kg N (10/12)</v>
      </c>
      <c r="U1" s="260" t="str">
        <f ca="1">Spec_Activiteit!U1</f>
        <v>Geringere drooglegging 20 cm met extensiveren max. 100 kg N (10/12)</v>
      </c>
      <c r="V1" s="260" t="str">
        <f ca="1">Spec_Activiteit!V1</f>
        <v>Geringere drooglegging 40 cm (verlaging ANLB)</v>
      </c>
      <c r="W1" s="260" t="str">
        <f ca="1">Spec_Activiteit!W1</f>
        <v>Geringere drooglegging 30 cm (verlaging ANLB)</v>
      </c>
      <c r="X1" s="260" t="str">
        <f ca="1">Spec_Activiteit!X1</f>
        <v>Geringere drooglegging 20 cm (verlaging ANLB)</v>
      </c>
      <c r="Y1" s="260" t="str">
        <f ca="1">Spec_Activiteit!Y1</f>
        <v>Geringere drooglegging 40 cm met extensiveren max. 150 kg N (verlaging ANLB)</v>
      </c>
      <c r="Z1" s="260" t="str">
        <f ca="1">Spec_Activiteit!Z1</f>
        <v>Geringere drooglegging 30 cm met extensiveren max. 150 kg N (verlaging ANLB)</v>
      </c>
      <c r="AA1" s="260" t="str">
        <f ca="1">Spec_Activiteit!AA1</f>
        <v>Geringere drooglegging 20 cm met extensiveren max 150 kg N (verlaging ANLB)</v>
      </c>
      <c r="AB1" s="260" t="str">
        <f ca="1">Spec_Activiteit!AB1</f>
        <v>Geringere drooglegging 40 cm met extensiveren max 100 kg N (verlaging ANLB)</v>
      </c>
      <c r="AC1" s="260" t="str">
        <f ca="1">Spec_Activiteit!AC1</f>
        <v>Geringere drooglegging 30 cm met extensiveren max 100 kg N (verlaging ANLB)</v>
      </c>
      <c r="AD1" s="260" t="str">
        <f ca="1">Spec_Activiteit!AD1</f>
        <v>Geringere drooglegging 20 cm met extensiveren max 100 kg N (verlaging ANLB)</v>
      </c>
      <c r="AE1" s="260" t="str">
        <f ca="1">Spec_Activiteit!AE1</f>
        <v>Geringere drooglegging 40 cm met extensiveren max. 150 kg N (10/12) (verlaging ANLB)</v>
      </c>
      <c r="AF1" s="260" t="str">
        <f ca="1">Spec_Activiteit!AF1</f>
        <v>Geringere drooglegging 30 cm met extensiveren max. 150 kg N (10/12) (verlaging ANLB)</v>
      </c>
      <c r="AG1" s="260" t="str">
        <f ca="1">Spec_Activiteit!AG1</f>
        <v>Geringere drooglegging 20 cm met extensiveren max. 150 kg N (10/12) (verlaging ANLB)</v>
      </c>
      <c r="AH1" s="260" t="str">
        <f ca="1">Spec_Activiteit!AH1</f>
        <v>Geringere drooglegging 40 cm met extensiveren max. 100 kg N (10/12) (verlaging ANLB)</v>
      </c>
      <c r="AI1" s="260" t="str">
        <f ca="1">Spec_Activiteit!AI1</f>
        <v>Geringere drooglegging 30 cm met extensiveren max. 100 kg N (10/12) (verlaging ANLB)</v>
      </c>
      <c r="AJ1" s="260" t="str">
        <f ca="1">Spec_Activiteit!AJ1</f>
        <v>Geringere drooglegging 20 cm met extensiveren max. 100 kg N (10/12) (verlaging ANLB)</v>
      </c>
      <c r="AK1" s="265" t="s">
        <v>317</v>
      </c>
      <c r="AL1" s="265" t="s">
        <v>318</v>
      </c>
      <c r="AM1" s="265" t="s">
        <v>319</v>
      </c>
      <c r="AN1" s="265" t="s">
        <v>320</v>
      </c>
      <c r="AO1" s="265" t="s">
        <v>321</v>
      </c>
      <c r="AP1" s="265" t="s">
        <v>322</v>
      </c>
      <c r="AQ1" s="265" t="s">
        <v>323</v>
      </c>
      <c r="AR1" s="265" t="s">
        <v>324</v>
      </c>
      <c r="AS1" s="265" t="s">
        <v>325</v>
      </c>
      <c r="AT1" s="265" t="s">
        <v>326</v>
      </c>
      <c r="AU1" s="265" t="s">
        <v>327</v>
      </c>
      <c r="AV1" s="265" t="s">
        <v>356</v>
      </c>
      <c r="AW1" s="265" t="s">
        <v>357</v>
      </c>
      <c r="AX1" s="265" t="s">
        <v>358</v>
      </c>
      <c r="AY1" s="265" t="s">
        <v>481</v>
      </c>
      <c r="AZ1" s="265" t="s">
        <v>482</v>
      </c>
      <c r="BA1" s="265" t="s">
        <v>483</v>
      </c>
      <c r="BB1" s="265" t="s">
        <v>484</v>
      </c>
      <c r="BC1" s="265" t="s">
        <v>485</v>
      </c>
      <c r="BD1" s="265" t="s">
        <v>486</v>
      </c>
      <c r="BE1" s="265" t="s">
        <v>487</v>
      </c>
      <c r="BF1" s="265" t="s">
        <v>488</v>
      </c>
      <c r="BG1" s="265" t="s">
        <v>489</v>
      </c>
      <c r="BH1" s="265" t="s">
        <v>490</v>
      </c>
      <c r="BI1" s="265" t="s">
        <v>491</v>
      </c>
      <c r="BJ1" s="265" t="s">
        <v>492</v>
      </c>
      <c r="BK1" s="265" t="s">
        <v>493</v>
      </c>
      <c r="BL1" s="265" t="s">
        <v>494</v>
      </c>
      <c r="BM1" s="265" t="s">
        <v>495</v>
      </c>
      <c r="BN1" s="265" t="s">
        <v>496</v>
      </c>
      <c r="BO1" s="265" t="s">
        <v>497</v>
      </c>
      <c r="BP1" s="265" t="s">
        <v>498</v>
      </c>
      <c r="BQ1" s="265" t="s">
        <v>499</v>
      </c>
      <c r="BR1" s="265" t="s">
        <v>500</v>
      </c>
    </row>
    <row r="2" spans="1:70" x14ac:dyDescent="0.25">
      <c r="A2" s="91" t="str" cm="1">
        <f t="array" ref="A2">IFERROR(IF(Openstelling_Keuze&lt;&gt;"",_xlfn._xlws.FILTER(Spec_Activiteit!$A$2:$AJ$1500,Spec_Activiteit!$A$2:$A$1500=Openstelling_Keuze,""),""),"")</f>
        <v/>
      </c>
      <c r="B2" s="91"/>
      <c r="C2" s="323"/>
      <c r="D2" s="323"/>
      <c r="E2" s="323"/>
      <c r="F2" s="323"/>
      <c r="G2" s="323"/>
      <c r="H2" s="323"/>
      <c r="I2" s="323"/>
      <c r="J2" s="323"/>
      <c r="K2" s="323"/>
      <c r="L2" s="323"/>
      <c r="M2" s="323"/>
      <c r="N2" s="323"/>
      <c r="O2" s="323"/>
      <c r="P2" s="323"/>
      <c r="Q2" s="323"/>
      <c r="R2" s="323"/>
      <c r="S2" s="323"/>
      <c r="T2" s="323"/>
      <c r="U2" s="323"/>
      <c r="V2" s="323"/>
      <c r="W2" s="323"/>
      <c r="X2" s="323"/>
      <c r="Y2" s="323"/>
      <c r="Z2" s="323"/>
      <c r="AA2" s="323"/>
      <c r="AB2" s="323"/>
      <c r="AC2" s="323"/>
      <c r="AD2" s="323"/>
      <c r="AE2" s="323"/>
      <c r="AF2" s="323"/>
      <c r="AG2" s="323"/>
      <c r="AH2" s="323"/>
      <c r="AI2" s="323"/>
      <c r="AJ2" s="323"/>
      <c r="AK2" s="323" t="str">
        <f>IF(C2=1,C$1,"")</f>
        <v/>
      </c>
      <c r="AL2" s="323" t="str">
        <f t="shared" ref="AL2:AX14" si="0">IF(D2=1,D$1,"")</f>
        <v/>
      </c>
      <c r="AM2" s="323" t="str">
        <f t="shared" si="0"/>
        <v/>
      </c>
      <c r="AN2" s="323" t="str">
        <f t="shared" si="0"/>
        <v/>
      </c>
      <c r="AO2" s="323" t="str">
        <f t="shared" si="0"/>
        <v/>
      </c>
      <c r="AP2" s="323" t="str">
        <f t="shared" si="0"/>
        <v/>
      </c>
      <c r="AQ2" s="323" t="str">
        <f t="shared" si="0"/>
        <v/>
      </c>
      <c r="AR2" s="323" t="str">
        <f t="shared" si="0"/>
        <v/>
      </c>
      <c r="AS2" s="323" t="str">
        <f t="shared" si="0"/>
        <v/>
      </c>
      <c r="AT2" s="323" t="str">
        <f t="shared" si="0"/>
        <v/>
      </c>
      <c r="AU2" s="323" t="str">
        <f t="shared" si="0"/>
        <v/>
      </c>
      <c r="AV2" s="323" t="str">
        <f t="shared" si="0"/>
        <v/>
      </c>
      <c r="AW2" s="323" t="str">
        <f>IF(O2=1,O$1,"")</f>
        <v/>
      </c>
      <c r="AX2" s="323" t="str">
        <f>IF(P2=1,P$1,"")</f>
        <v/>
      </c>
      <c r="AY2" s="323" t="str">
        <f t="shared" ref="AY2:BR14" si="1">IF(Q2=1,Q$1,"")</f>
        <v/>
      </c>
      <c r="AZ2" s="323" t="str">
        <f t="shared" si="1"/>
        <v/>
      </c>
      <c r="BA2" s="323" t="str">
        <f t="shared" si="1"/>
        <v/>
      </c>
      <c r="BB2" s="323" t="str">
        <f t="shared" si="1"/>
        <v/>
      </c>
      <c r="BC2" s="323" t="str">
        <f t="shared" si="1"/>
        <v/>
      </c>
      <c r="BD2" s="323" t="str">
        <f t="shared" si="1"/>
        <v/>
      </c>
      <c r="BE2" s="323" t="str">
        <f t="shared" si="1"/>
        <v/>
      </c>
      <c r="BF2" s="323" t="str">
        <f t="shared" si="1"/>
        <v/>
      </c>
      <c r="BG2" s="323" t="str">
        <f t="shared" si="1"/>
        <v/>
      </c>
      <c r="BH2" s="323" t="str">
        <f t="shared" si="1"/>
        <v/>
      </c>
      <c r="BI2" s="323" t="str">
        <f t="shared" si="1"/>
        <v/>
      </c>
      <c r="BJ2" s="323" t="str">
        <f t="shared" si="1"/>
        <v/>
      </c>
      <c r="BK2" s="323" t="str">
        <f t="shared" si="1"/>
        <v/>
      </c>
      <c r="BL2" s="323" t="str">
        <f t="shared" si="1"/>
        <v/>
      </c>
      <c r="BM2" s="323" t="str">
        <f t="shared" si="1"/>
        <v/>
      </c>
      <c r="BN2" s="323" t="str">
        <f t="shared" si="1"/>
        <v/>
      </c>
      <c r="BO2" s="323" t="str">
        <f t="shared" si="1"/>
        <v/>
      </c>
      <c r="BP2" s="323" t="str">
        <f t="shared" si="1"/>
        <v/>
      </c>
      <c r="BQ2" s="323" t="str">
        <f t="shared" si="1"/>
        <v/>
      </c>
      <c r="BR2" s="323" t="str">
        <f t="shared" si="1"/>
        <v/>
      </c>
    </row>
    <row r="3" spans="1:70" x14ac:dyDescent="0.25">
      <c r="A3" s="91"/>
      <c r="B3" s="91"/>
      <c r="C3" s="323"/>
      <c r="D3" s="323"/>
      <c r="E3" s="323"/>
      <c r="F3" s="323"/>
      <c r="G3" s="323"/>
      <c r="H3" s="323"/>
      <c r="I3" s="323"/>
      <c r="J3" s="323"/>
      <c r="K3" s="323"/>
      <c r="L3" s="323"/>
      <c r="M3" s="323"/>
      <c r="N3" s="323"/>
      <c r="O3" s="323"/>
      <c r="P3" s="323"/>
      <c r="Q3" s="323"/>
      <c r="R3" s="323"/>
      <c r="S3" s="323"/>
      <c r="T3" s="323"/>
      <c r="U3" s="323"/>
      <c r="V3" s="323"/>
      <c r="W3" s="323"/>
      <c r="X3" s="323"/>
      <c r="Y3" s="323"/>
      <c r="Z3" s="323"/>
      <c r="AA3" s="323"/>
      <c r="AB3" s="323"/>
      <c r="AC3" s="323"/>
      <c r="AD3" s="323"/>
      <c r="AE3" s="323"/>
      <c r="AF3" s="323"/>
      <c r="AG3" s="323"/>
      <c r="AH3" s="323"/>
      <c r="AI3" s="323"/>
      <c r="AJ3" s="323"/>
      <c r="AK3" s="323" t="str">
        <f t="shared" ref="AK3:AK14" si="2">IF(C3=1,C$1,"")</f>
        <v/>
      </c>
      <c r="AL3" s="323" t="str">
        <f t="shared" si="0"/>
        <v/>
      </c>
      <c r="AM3" s="323" t="str">
        <f t="shared" si="0"/>
        <v/>
      </c>
      <c r="AN3" s="323" t="str">
        <f t="shared" si="0"/>
        <v/>
      </c>
      <c r="AO3" s="323" t="str">
        <f t="shared" si="0"/>
        <v/>
      </c>
      <c r="AP3" s="323" t="str">
        <f t="shared" si="0"/>
        <v/>
      </c>
      <c r="AQ3" s="323" t="str">
        <f t="shared" si="0"/>
        <v/>
      </c>
      <c r="AR3" s="323" t="str">
        <f t="shared" si="0"/>
        <v/>
      </c>
      <c r="AS3" s="323" t="str">
        <f t="shared" si="0"/>
        <v/>
      </c>
      <c r="AT3" s="323" t="str">
        <f t="shared" si="0"/>
        <v/>
      </c>
      <c r="AU3" s="323" t="str">
        <f t="shared" si="0"/>
        <v/>
      </c>
      <c r="AV3" s="323" t="str">
        <f t="shared" si="0"/>
        <v/>
      </c>
      <c r="AW3" s="323" t="str">
        <f t="shared" si="0"/>
        <v/>
      </c>
      <c r="AX3" s="323" t="str">
        <f>IF(P3=1,P$1,"")</f>
        <v/>
      </c>
      <c r="AY3" s="323" t="str">
        <f t="shared" si="1"/>
        <v/>
      </c>
      <c r="AZ3" s="323" t="str">
        <f t="shared" si="1"/>
        <v/>
      </c>
      <c r="BA3" s="323" t="str">
        <f t="shared" si="1"/>
        <v/>
      </c>
      <c r="BB3" s="323" t="str">
        <f t="shared" si="1"/>
        <v/>
      </c>
      <c r="BC3" s="323" t="str">
        <f t="shared" si="1"/>
        <v/>
      </c>
      <c r="BD3" s="323" t="str">
        <f t="shared" si="1"/>
        <v/>
      </c>
      <c r="BE3" s="323" t="str">
        <f t="shared" si="1"/>
        <v/>
      </c>
      <c r="BF3" s="323" t="str">
        <f t="shared" si="1"/>
        <v/>
      </c>
      <c r="BG3" s="323" t="str">
        <f t="shared" si="1"/>
        <v/>
      </c>
      <c r="BH3" s="323" t="str">
        <f t="shared" si="1"/>
        <v/>
      </c>
      <c r="BI3" s="323" t="str">
        <f t="shared" si="1"/>
        <v/>
      </c>
      <c r="BJ3" s="323" t="str">
        <f t="shared" si="1"/>
        <v/>
      </c>
      <c r="BK3" s="323" t="str">
        <f t="shared" si="1"/>
        <v/>
      </c>
      <c r="BL3" s="323" t="str">
        <f t="shared" si="1"/>
        <v/>
      </c>
      <c r="BM3" s="323" t="str">
        <f t="shared" si="1"/>
        <v/>
      </c>
      <c r="BN3" s="323" t="str">
        <f t="shared" si="1"/>
        <v/>
      </c>
      <c r="BO3" s="323" t="str">
        <f t="shared" si="1"/>
        <v/>
      </c>
      <c r="BP3" s="323" t="str">
        <f t="shared" si="1"/>
        <v/>
      </c>
      <c r="BQ3" s="323" t="str">
        <f t="shared" si="1"/>
        <v/>
      </c>
      <c r="BR3" s="323" t="str">
        <f t="shared" si="1"/>
        <v/>
      </c>
    </row>
    <row r="4" spans="1:70" x14ac:dyDescent="0.25">
      <c r="A4" s="91"/>
      <c r="B4" s="91"/>
      <c r="C4" s="323"/>
      <c r="D4" s="323"/>
      <c r="E4" s="323"/>
      <c r="F4" s="323"/>
      <c r="G4" s="323"/>
      <c r="H4" s="323"/>
      <c r="I4" s="323"/>
      <c r="J4" s="323"/>
      <c r="K4" s="323"/>
      <c r="L4" s="323"/>
      <c r="M4" s="323"/>
      <c r="N4" s="323"/>
      <c r="O4" s="323"/>
      <c r="P4" s="323"/>
      <c r="Q4" s="323"/>
      <c r="R4" s="323"/>
      <c r="S4" s="323"/>
      <c r="T4" s="323"/>
      <c r="U4" s="323"/>
      <c r="V4" s="323"/>
      <c r="W4" s="323"/>
      <c r="X4" s="323"/>
      <c r="Y4" s="323"/>
      <c r="Z4" s="323"/>
      <c r="AA4" s="323"/>
      <c r="AB4" s="323"/>
      <c r="AC4" s="323"/>
      <c r="AD4" s="323"/>
      <c r="AE4" s="323"/>
      <c r="AF4" s="323"/>
      <c r="AG4" s="323"/>
      <c r="AH4" s="323"/>
      <c r="AI4" s="323"/>
      <c r="AJ4" s="323"/>
      <c r="AK4" s="323" t="str">
        <f t="shared" si="2"/>
        <v/>
      </c>
      <c r="AL4" s="323" t="str">
        <f t="shared" si="0"/>
        <v/>
      </c>
      <c r="AM4" s="323" t="str">
        <f t="shared" si="0"/>
        <v/>
      </c>
      <c r="AN4" s="323" t="str">
        <f t="shared" si="0"/>
        <v/>
      </c>
      <c r="AO4" s="323" t="str">
        <f t="shared" si="0"/>
        <v/>
      </c>
      <c r="AP4" s="323" t="str">
        <f t="shared" si="0"/>
        <v/>
      </c>
      <c r="AQ4" s="323" t="str">
        <f t="shared" si="0"/>
        <v/>
      </c>
      <c r="AR4" s="323" t="str">
        <f t="shared" si="0"/>
        <v/>
      </c>
      <c r="AS4" s="323" t="str">
        <f t="shared" si="0"/>
        <v/>
      </c>
      <c r="AT4" s="323" t="str">
        <f t="shared" si="0"/>
        <v/>
      </c>
      <c r="AU4" s="323" t="str">
        <f t="shared" si="0"/>
        <v/>
      </c>
      <c r="AV4" s="323" t="str">
        <f t="shared" si="0"/>
        <v/>
      </c>
      <c r="AW4" s="323" t="str">
        <f t="shared" si="0"/>
        <v/>
      </c>
      <c r="AX4" s="323" t="str">
        <f>IF(P4=1,P$1,"")</f>
        <v/>
      </c>
      <c r="AY4" s="323" t="str">
        <f t="shared" si="1"/>
        <v/>
      </c>
      <c r="AZ4" s="323" t="str">
        <f t="shared" si="1"/>
        <v/>
      </c>
      <c r="BA4" s="323" t="str">
        <f t="shared" si="1"/>
        <v/>
      </c>
      <c r="BB4" s="323" t="str">
        <f t="shared" si="1"/>
        <v/>
      </c>
      <c r="BC4" s="323" t="str">
        <f t="shared" si="1"/>
        <v/>
      </c>
      <c r="BD4" s="323" t="str">
        <f t="shared" si="1"/>
        <v/>
      </c>
      <c r="BE4" s="323" t="str">
        <f t="shared" si="1"/>
        <v/>
      </c>
      <c r="BF4" s="323" t="str">
        <f t="shared" si="1"/>
        <v/>
      </c>
      <c r="BG4" s="323" t="str">
        <f t="shared" si="1"/>
        <v/>
      </c>
      <c r="BH4" s="323" t="str">
        <f t="shared" si="1"/>
        <v/>
      </c>
      <c r="BI4" s="323" t="str">
        <f t="shared" si="1"/>
        <v/>
      </c>
      <c r="BJ4" s="323" t="str">
        <f t="shared" si="1"/>
        <v/>
      </c>
      <c r="BK4" s="323" t="str">
        <f t="shared" si="1"/>
        <v/>
      </c>
      <c r="BL4" s="323" t="str">
        <f t="shared" si="1"/>
        <v/>
      </c>
      <c r="BM4" s="323" t="str">
        <f t="shared" si="1"/>
        <v/>
      </c>
      <c r="BN4" s="323" t="str">
        <f t="shared" si="1"/>
        <v/>
      </c>
      <c r="BO4" s="323" t="str">
        <f t="shared" si="1"/>
        <v/>
      </c>
      <c r="BP4" s="323" t="str">
        <f t="shared" si="1"/>
        <v/>
      </c>
      <c r="BQ4" s="323" t="str">
        <f t="shared" si="1"/>
        <v/>
      </c>
      <c r="BR4" s="323" t="str">
        <f t="shared" si="1"/>
        <v/>
      </c>
    </row>
    <row r="5" spans="1:70" x14ac:dyDescent="0.25">
      <c r="A5" s="91"/>
      <c r="B5" s="91"/>
      <c r="C5" s="323"/>
      <c r="D5" s="323"/>
      <c r="E5" s="323"/>
      <c r="F5" s="323"/>
      <c r="G5" s="323"/>
      <c r="H5" s="323"/>
      <c r="I5" s="323"/>
      <c r="J5" s="323"/>
      <c r="K5" s="323"/>
      <c r="L5" s="323"/>
      <c r="M5" s="323"/>
      <c r="N5" s="323"/>
      <c r="O5" s="323"/>
      <c r="P5" s="323"/>
      <c r="Q5" s="323"/>
      <c r="R5" s="323"/>
      <c r="S5" s="323"/>
      <c r="T5" s="323"/>
      <c r="U5" s="323"/>
      <c r="V5" s="323"/>
      <c r="W5" s="323"/>
      <c r="X5" s="323"/>
      <c r="Y5" s="323"/>
      <c r="Z5" s="323"/>
      <c r="AA5" s="323"/>
      <c r="AB5" s="323"/>
      <c r="AC5" s="323"/>
      <c r="AD5" s="323"/>
      <c r="AE5" s="323"/>
      <c r="AF5" s="323"/>
      <c r="AG5" s="323"/>
      <c r="AH5" s="323"/>
      <c r="AI5" s="323"/>
      <c r="AJ5" s="323"/>
      <c r="AK5" s="323" t="str">
        <f t="shared" si="2"/>
        <v/>
      </c>
      <c r="AL5" s="323" t="str">
        <f t="shared" si="0"/>
        <v/>
      </c>
      <c r="AM5" s="323" t="str">
        <f t="shared" si="0"/>
        <v/>
      </c>
      <c r="AN5" s="323" t="str">
        <f t="shared" si="0"/>
        <v/>
      </c>
      <c r="AO5" s="323" t="str">
        <f t="shared" si="0"/>
        <v/>
      </c>
      <c r="AP5" s="323" t="str">
        <f t="shared" si="0"/>
        <v/>
      </c>
      <c r="AQ5" s="323" t="str">
        <f t="shared" si="0"/>
        <v/>
      </c>
      <c r="AR5" s="323" t="str">
        <f t="shared" si="0"/>
        <v/>
      </c>
      <c r="AS5" s="323" t="str">
        <f t="shared" si="0"/>
        <v/>
      </c>
      <c r="AT5" s="323" t="str">
        <f t="shared" si="0"/>
        <v/>
      </c>
      <c r="AU5" s="323" t="str">
        <f t="shared" si="0"/>
        <v/>
      </c>
      <c r="AV5" s="323" t="str">
        <f t="shared" si="0"/>
        <v/>
      </c>
      <c r="AW5" s="323" t="str">
        <f t="shared" si="0"/>
        <v/>
      </c>
      <c r="AX5" s="323" t="str">
        <f t="shared" si="0"/>
        <v/>
      </c>
      <c r="AY5" s="323" t="str">
        <f t="shared" si="1"/>
        <v/>
      </c>
      <c r="AZ5" s="323" t="str">
        <f t="shared" si="1"/>
        <v/>
      </c>
      <c r="BA5" s="323" t="str">
        <f t="shared" si="1"/>
        <v/>
      </c>
      <c r="BB5" s="323" t="str">
        <f t="shared" si="1"/>
        <v/>
      </c>
      <c r="BC5" s="323" t="str">
        <f t="shared" si="1"/>
        <v/>
      </c>
      <c r="BD5" s="323" t="str">
        <f t="shared" si="1"/>
        <v/>
      </c>
      <c r="BE5" s="323" t="str">
        <f t="shared" si="1"/>
        <v/>
      </c>
      <c r="BF5" s="323" t="str">
        <f t="shared" si="1"/>
        <v/>
      </c>
      <c r="BG5" s="323" t="str">
        <f t="shared" si="1"/>
        <v/>
      </c>
      <c r="BH5" s="323" t="str">
        <f t="shared" si="1"/>
        <v/>
      </c>
      <c r="BI5" s="323" t="str">
        <f t="shared" si="1"/>
        <v/>
      </c>
      <c r="BJ5" s="323" t="str">
        <f t="shared" si="1"/>
        <v/>
      </c>
      <c r="BK5" s="323" t="str">
        <f t="shared" si="1"/>
        <v/>
      </c>
      <c r="BL5" s="323" t="str">
        <f t="shared" si="1"/>
        <v/>
      </c>
      <c r="BM5" s="323" t="str">
        <f t="shared" si="1"/>
        <v/>
      </c>
      <c r="BN5" s="323" t="str">
        <f t="shared" si="1"/>
        <v/>
      </c>
      <c r="BO5" s="323" t="str">
        <f t="shared" si="1"/>
        <v/>
      </c>
      <c r="BP5" s="323" t="str">
        <f t="shared" si="1"/>
        <v/>
      </c>
      <c r="BQ5" s="323" t="str">
        <f t="shared" si="1"/>
        <v/>
      </c>
      <c r="BR5" s="323" t="str">
        <f t="shared" si="1"/>
        <v/>
      </c>
    </row>
    <row r="6" spans="1:70" x14ac:dyDescent="0.25">
      <c r="A6" s="91"/>
      <c r="B6" s="91"/>
      <c r="C6" s="323"/>
      <c r="D6" s="323"/>
      <c r="E6" s="323"/>
      <c r="F6" s="323"/>
      <c r="G6" s="323"/>
      <c r="H6" s="323"/>
      <c r="I6" s="323"/>
      <c r="J6" s="323"/>
      <c r="K6" s="323"/>
      <c r="L6" s="323"/>
      <c r="M6" s="323"/>
      <c r="N6" s="323"/>
      <c r="O6" s="323"/>
      <c r="P6" s="323"/>
      <c r="Q6" s="323"/>
      <c r="R6" s="323"/>
      <c r="S6" s="323"/>
      <c r="T6" s="323"/>
      <c r="U6" s="323"/>
      <c r="V6" s="323"/>
      <c r="W6" s="323"/>
      <c r="X6" s="323"/>
      <c r="Y6" s="323"/>
      <c r="Z6" s="323"/>
      <c r="AA6" s="323"/>
      <c r="AB6" s="323"/>
      <c r="AC6" s="323"/>
      <c r="AD6" s="323"/>
      <c r="AE6" s="323"/>
      <c r="AF6" s="323"/>
      <c r="AG6" s="323"/>
      <c r="AH6" s="323"/>
      <c r="AI6" s="323"/>
      <c r="AJ6" s="323"/>
      <c r="AK6" s="323" t="str">
        <f t="shared" si="2"/>
        <v/>
      </c>
      <c r="AL6" s="323" t="str">
        <f t="shared" si="0"/>
        <v/>
      </c>
      <c r="AM6" s="323" t="str">
        <f t="shared" si="0"/>
        <v/>
      </c>
      <c r="AN6" s="323" t="str">
        <f t="shared" si="0"/>
        <v/>
      </c>
      <c r="AO6" s="323" t="str">
        <f t="shared" si="0"/>
        <v/>
      </c>
      <c r="AP6" s="323" t="str">
        <f t="shared" si="0"/>
        <v/>
      </c>
      <c r="AQ6" s="323" t="str">
        <f t="shared" si="0"/>
        <v/>
      </c>
      <c r="AR6" s="323" t="str">
        <f t="shared" si="0"/>
        <v/>
      </c>
      <c r="AS6" s="323" t="str">
        <f t="shared" si="0"/>
        <v/>
      </c>
      <c r="AT6" s="323" t="str">
        <f t="shared" si="0"/>
        <v/>
      </c>
      <c r="AU6" s="323" t="str">
        <f t="shared" si="0"/>
        <v/>
      </c>
      <c r="AV6" s="323" t="str">
        <f t="shared" si="0"/>
        <v/>
      </c>
      <c r="AW6" s="323" t="str">
        <f t="shared" si="0"/>
        <v/>
      </c>
      <c r="AX6" s="323" t="str">
        <f t="shared" si="0"/>
        <v/>
      </c>
      <c r="AY6" s="323" t="str">
        <f t="shared" si="1"/>
        <v/>
      </c>
      <c r="AZ6" s="323" t="str">
        <f t="shared" si="1"/>
        <v/>
      </c>
      <c r="BA6" s="323" t="str">
        <f t="shared" si="1"/>
        <v/>
      </c>
      <c r="BB6" s="323" t="str">
        <f t="shared" si="1"/>
        <v/>
      </c>
      <c r="BC6" s="323" t="str">
        <f t="shared" si="1"/>
        <v/>
      </c>
      <c r="BD6" s="323" t="str">
        <f t="shared" si="1"/>
        <v/>
      </c>
      <c r="BE6" s="323" t="str">
        <f t="shared" si="1"/>
        <v/>
      </c>
      <c r="BF6" s="323" t="str">
        <f t="shared" si="1"/>
        <v/>
      </c>
      <c r="BG6" s="323" t="str">
        <f t="shared" si="1"/>
        <v/>
      </c>
      <c r="BH6" s="323" t="str">
        <f t="shared" si="1"/>
        <v/>
      </c>
      <c r="BI6" s="323" t="str">
        <f t="shared" si="1"/>
        <v/>
      </c>
      <c r="BJ6" s="323" t="str">
        <f t="shared" si="1"/>
        <v/>
      </c>
      <c r="BK6" s="323" t="str">
        <f t="shared" si="1"/>
        <v/>
      </c>
      <c r="BL6" s="323" t="str">
        <f t="shared" si="1"/>
        <v/>
      </c>
      <c r="BM6" s="323" t="str">
        <f t="shared" si="1"/>
        <v/>
      </c>
      <c r="BN6" s="323" t="str">
        <f t="shared" si="1"/>
        <v/>
      </c>
      <c r="BO6" s="323" t="str">
        <f t="shared" si="1"/>
        <v/>
      </c>
      <c r="BP6" s="323" t="str">
        <f t="shared" si="1"/>
        <v/>
      </c>
      <c r="BQ6" s="323" t="str">
        <f t="shared" si="1"/>
        <v/>
      </c>
      <c r="BR6" s="323" t="str">
        <f t="shared" si="1"/>
        <v/>
      </c>
    </row>
    <row r="7" spans="1:70" x14ac:dyDescent="0.25">
      <c r="A7" s="91"/>
      <c r="B7" s="91"/>
      <c r="C7" s="323"/>
      <c r="D7" s="323"/>
      <c r="E7" s="323"/>
      <c r="F7" s="323"/>
      <c r="G7" s="323"/>
      <c r="H7" s="323"/>
      <c r="I7" s="323"/>
      <c r="J7" s="323"/>
      <c r="K7" s="323"/>
      <c r="L7" s="323"/>
      <c r="M7" s="323"/>
      <c r="N7" s="323"/>
      <c r="O7" s="323"/>
      <c r="P7" s="323"/>
      <c r="Q7" s="323"/>
      <c r="R7" s="323"/>
      <c r="S7" s="323"/>
      <c r="T7" s="323"/>
      <c r="U7" s="323"/>
      <c r="V7" s="323"/>
      <c r="W7" s="323"/>
      <c r="X7" s="323"/>
      <c r="Y7" s="323"/>
      <c r="Z7" s="323"/>
      <c r="AA7" s="323"/>
      <c r="AB7" s="323"/>
      <c r="AC7" s="323"/>
      <c r="AD7" s="323"/>
      <c r="AE7" s="323"/>
      <c r="AF7" s="323"/>
      <c r="AG7" s="323"/>
      <c r="AH7" s="323"/>
      <c r="AI7" s="323"/>
      <c r="AJ7" s="323"/>
      <c r="AK7" s="323" t="str">
        <f t="shared" si="2"/>
        <v/>
      </c>
      <c r="AL7" s="323" t="str">
        <f t="shared" si="0"/>
        <v/>
      </c>
      <c r="AM7" s="323" t="str">
        <f t="shared" si="0"/>
        <v/>
      </c>
      <c r="AN7" s="323" t="str">
        <f t="shared" si="0"/>
        <v/>
      </c>
      <c r="AO7" s="323" t="str">
        <f t="shared" si="0"/>
        <v/>
      </c>
      <c r="AP7" s="323" t="str">
        <f t="shared" si="0"/>
        <v/>
      </c>
      <c r="AQ7" s="323" t="str">
        <f t="shared" si="0"/>
        <v/>
      </c>
      <c r="AR7" s="323" t="str">
        <f t="shared" si="0"/>
        <v/>
      </c>
      <c r="AS7" s="323" t="str">
        <f t="shared" si="0"/>
        <v/>
      </c>
      <c r="AT7" s="323" t="str">
        <f t="shared" si="0"/>
        <v/>
      </c>
      <c r="AU7" s="323" t="str">
        <f t="shared" si="0"/>
        <v/>
      </c>
      <c r="AV7" s="323" t="str">
        <f t="shared" si="0"/>
        <v/>
      </c>
      <c r="AW7" s="323" t="str">
        <f t="shared" si="0"/>
        <v/>
      </c>
      <c r="AX7" s="323" t="str">
        <f t="shared" si="0"/>
        <v/>
      </c>
      <c r="AY7" s="323" t="str">
        <f t="shared" si="1"/>
        <v/>
      </c>
      <c r="AZ7" s="323" t="str">
        <f t="shared" si="1"/>
        <v/>
      </c>
      <c r="BA7" s="323" t="str">
        <f t="shared" si="1"/>
        <v/>
      </c>
      <c r="BB7" s="323" t="str">
        <f t="shared" si="1"/>
        <v/>
      </c>
      <c r="BC7" s="323" t="str">
        <f t="shared" si="1"/>
        <v/>
      </c>
      <c r="BD7" s="323" t="str">
        <f t="shared" si="1"/>
        <v/>
      </c>
      <c r="BE7" s="323" t="str">
        <f t="shared" si="1"/>
        <v/>
      </c>
      <c r="BF7" s="323" t="str">
        <f t="shared" si="1"/>
        <v/>
      </c>
      <c r="BG7" s="323" t="str">
        <f t="shared" si="1"/>
        <v/>
      </c>
      <c r="BH7" s="323" t="str">
        <f t="shared" si="1"/>
        <v/>
      </c>
      <c r="BI7" s="323" t="str">
        <f t="shared" si="1"/>
        <v/>
      </c>
      <c r="BJ7" s="323" t="str">
        <f t="shared" si="1"/>
        <v/>
      </c>
      <c r="BK7" s="323" t="str">
        <f t="shared" si="1"/>
        <v/>
      </c>
      <c r="BL7" s="323" t="str">
        <f t="shared" si="1"/>
        <v/>
      </c>
      <c r="BM7" s="323" t="str">
        <f t="shared" si="1"/>
        <v/>
      </c>
      <c r="BN7" s="323" t="str">
        <f t="shared" si="1"/>
        <v/>
      </c>
      <c r="BO7" s="323" t="str">
        <f t="shared" si="1"/>
        <v/>
      </c>
      <c r="BP7" s="323" t="str">
        <f t="shared" si="1"/>
        <v/>
      </c>
      <c r="BQ7" s="323" t="str">
        <f t="shared" si="1"/>
        <v/>
      </c>
      <c r="BR7" s="323" t="str">
        <f t="shared" si="1"/>
        <v/>
      </c>
    </row>
    <row r="8" spans="1:70" x14ac:dyDescent="0.25">
      <c r="A8" s="91"/>
      <c r="B8" s="91"/>
      <c r="C8" s="323"/>
      <c r="D8" s="323"/>
      <c r="E8" s="323"/>
      <c r="F8" s="323"/>
      <c r="G8" s="323"/>
      <c r="H8" s="323"/>
      <c r="I8" s="323"/>
      <c r="J8" s="323"/>
      <c r="K8" s="323"/>
      <c r="L8" s="323"/>
      <c r="M8" s="323"/>
      <c r="N8" s="323"/>
      <c r="O8" s="323"/>
      <c r="P8" s="323"/>
      <c r="Q8" s="323"/>
      <c r="R8" s="323"/>
      <c r="S8" s="323"/>
      <c r="T8" s="323"/>
      <c r="U8" s="323"/>
      <c r="V8" s="323"/>
      <c r="W8" s="323"/>
      <c r="X8" s="323"/>
      <c r="Y8" s="323"/>
      <c r="Z8" s="323"/>
      <c r="AA8" s="323"/>
      <c r="AB8" s="323"/>
      <c r="AC8" s="323"/>
      <c r="AD8" s="323"/>
      <c r="AE8" s="323"/>
      <c r="AF8" s="323"/>
      <c r="AG8" s="323"/>
      <c r="AH8" s="323"/>
      <c r="AI8" s="323"/>
      <c r="AJ8" s="323"/>
      <c r="AK8" s="323" t="str">
        <f t="shared" si="2"/>
        <v/>
      </c>
      <c r="AL8" s="323" t="str">
        <f t="shared" si="0"/>
        <v/>
      </c>
      <c r="AM8" s="323" t="str">
        <f t="shared" si="0"/>
        <v/>
      </c>
      <c r="AN8" s="323" t="str">
        <f t="shared" si="0"/>
        <v/>
      </c>
      <c r="AO8" s="323" t="str">
        <f t="shared" si="0"/>
        <v/>
      </c>
      <c r="AP8" s="323" t="str">
        <f t="shared" si="0"/>
        <v/>
      </c>
      <c r="AQ8" s="323" t="str">
        <f t="shared" si="0"/>
        <v/>
      </c>
      <c r="AR8" s="323" t="str">
        <f t="shared" si="0"/>
        <v/>
      </c>
      <c r="AS8" s="323" t="str">
        <f t="shared" si="0"/>
        <v/>
      </c>
      <c r="AT8" s="323" t="str">
        <f t="shared" si="0"/>
        <v/>
      </c>
      <c r="AU8" s="323" t="str">
        <f t="shared" si="0"/>
        <v/>
      </c>
      <c r="AV8" s="323" t="str">
        <f t="shared" si="0"/>
        <v/>
      </c>
      <c r="AW8" s="323" t="str">
        <f t="shared" si="0"/>
        <v/>
      </c>
      <c r="AX8" s="323" t="str">
        <f t="shared" si="0"/>
        <v/>
      </c>
      <c r="AY8" s="323" t="str">
        <f t="shared" si="1"/>
        <v/>
      </c>
      <c r="AZ8" s="323" t="str">
        <f t="shared" si="1"/>
        <v/>
      </c>
      <c r="BA8" s="323" t="str">
        <f t="shared" si="1"/>
        <v/>
      </c>
      <c r="BB8" s="323" t="str">
        <f t="shared" si="1"/>
        <v/>
      </c>
      <c r="BC8" s="323" t="str">
        <f t="shared" si="1"/>
        <v/>
      </c>
      <c r="BD8" s="323" t="str">
        <f t="shared" si="1"/>
        <v/>
      </c>
      <c r="BE8" s="323" t="str">
        <f t="shared" si="1"/>
        <v/>
      </c>
      <c r="BF8" s="323" t="str">
        <f t="shared" si="1"/>
        <v/>
      </c>
      <c r="BG8" s="323" t="str">
        <f t="shared" si="1"/>
        <v/>
      </c>
      <c r="BH8" s="323" t="str">
        <f t="shared" si="1"/>
        <v/>
      </c>
      <c r="BI8" s="323" t="str">
        <f t="shared" si="1"/>
        <v/>
      </c>
      <c r="BJ8" s="323" t="str">
        <f t="shared" si="1"/>
        <v/>
      </c>
      <c r="BK8" s="323" t="str">
        <f t="shared" si="1"/>
        <v/>
      </c>
      <c r="BL8" s="323" t="str">
        <f t="shared" si="1"/>
        <v/>
      </c>
      <c r="BM8" s="323" t="str">
        <f t="shared" si="1"/>
        <v/>
      </c>
      <c r="BN8" s="323" t="str">
        <f t="shared" si="1"/>
        <v/>
      </c>
      <c r="BO8" s="323" t="str">
        <f t="shared" si="1"/>
        <v/>
      </c>
      <c r="BP8" s="323" t="str">
        <f t="shared" si="1"/>
        <v/>
      </c>
      <c r="BQ8" s="323" t="str">
        <f t="shared" si="1"/>
        <v/>
      </c>
      <c r="BR8" s="323" t="str">
        <f t="shared" si="1"/>
        <v/>
      </c>
    </row>
    <row r="9" spans="1:70" x14ac:dyDescent="0.25">
      <c r="A9" s="91"/>
      <c r="B9" s="91"/>
      <c r="C9" s="323"/>
      <c r="D9" s="323"/>
      <c r="E9" s="323"/>
      <c r="F9" s="323"/>
      <c r="G9" s="323"/>
      <c r="H9" s="323"/>
      <c r="I9" s="323"/>
      <c r="J9" s="323"/>
      <c r="K9" s="323"/>
      <c r="L9" s="323"/>
      <c r="M9" s="323"/>
      <c r="N9" s="323"/>
      <c r="O9" s="323"/>
      <c r="P9" s="323"/>
      <c r="Q9" s="323"/>
      <c r="R9" s="323"/>
      <c r="S9" s="323"/>
      <c r="T9" s="323"/>
      <c r="U9" s="323"/>
      <c r="V9" s="323"/>
      <c r="W9" s="323"/>
      <c r="X9" s="323"/>
      <c r="Y9" s="323"/>
      <c r="Z9" s="323"/>
      <c r="AA9" s="323"/>
      <c r="AB9" s="323"/>
      <c r="AC9" s="323"/>
      <c r="AD9" s="323"/>
      <c r="AE9" s="323"/>
      <c r="AF9" s="323"/>
      <c r="AG9" s="323"/>
      <c r="AH9" s="323"/>
      <c r="AI9" s="323"/>
      <c r="AJ9" s="323"/>
      <c r="AK9" s="323" t="str">
        <f t="shared" si="2"/>
        <v/>
      </c>
      <c r="AL9" s="323" t="str">
        <f t="shared" si="0"/>
        <v/>
      </c>
      <c r="AM9" s="323" t="str">
        <f t="shared" si="0"/>
        <v/>
      </c>
      <c r="AN9" s="323" t="str">
        <f t="shared" si="0"/>
        <v/>
      </c>
      <c r="AO9" s="323" t="str">
        <f t="shared" si="0"/>
        <v/>
      </c>
      <c r="AP9" s="323" t="str">
        <f t="shared" si="0"/>
        <v/>
      </c>
      <c r="AQ9" s="323" t="str">
        <f t="shared" si="0"/>
        <v/>
      </c>
      <c r="AR9" s="323" t="str">
        <f t="shared" si="0"/>
        <v/>
      </c>
      <c r="AS9" s="323" t="str">
        <f t="shared" si="0"/>
        <v/>
      </c>
      <c r="AT9" s="323" t="str">
        <f t="shared" si="0"/>
        <v/>
      </c>
      <c r="AU9" s="323" t="str">
        <f t="shared" si="0"/>
        <v/>
      </c>
      <c r="AV9" s="323" t="str">
        <f t="shared" si="0"/>
        <v/>
      </c>
      <c r="AW9" s="323" t="str">
        <f t="shared" si="0"/>
        <v/>
      </c>
      <c r="AX9" s="323" t="str">
        <f t="shared" si="0"/>
        <v/>
      </c>
      <c r="AY9" s="323" t="str">
        <f t="shared" si="1"/>
        <v/>
      </c>
      <c r="AZ9" s="323" t="str">
        <f t="shared" si="1"/>
        <v/>
      </c>
      <c r="BA9" s="323" t="str">
        <f t="shared" si="1"/>
        <v/>
      </c>
      <c r="BB9" s="323" t="str">
        <f t="shared" si="1"/>
        <v/>
      </c>
      <c r="BC9" s="323" t="str">
        <f t="shared" si="1"/>
        <v/>
      </c>
      <c r="BD9" s="323" t="str">
        <f t="shared" si="1"/>
        <v/>
      </c>
      <c r="BE9" s="323" t="str">
        <f t="shared" si="1"/>
        <v/>
      </c>
      <c r="BF9" s="323" t="str">
        <f t="shared" si="1"/>
        <v/>
      </c>
      <c r="BG9" s="323" t="str">
        <f t="shared" si="1"/>
        <v/>
      </c>
      <c r="BH9" s="323" t="str">
        <f t="shared" si="1"/>
        <v/>
      </c>
      <c r="BI9" s="323" t="str">
        <f t="shared" si="1"/>
        <v/>
      </c>
      <c r="BJ9" s="323" t="str">
        <f t="shared" si="1"/>
        <v/>
      </c>
      <c r="BK9" s="323" t="str">
        <f t="shared" si="1"/>
        <v/>
      </c>
      <c r="BL9" s="323" t="str">
        <f t="shared" si="1"/>
        <v/>
      </c>
      <c r="BM9" s="323" t="str">
        <f t="shared" si="1"/>
        <v/>
      </c>
      <c r="BN9" s="323" t="str">
        <f t="shared" si="1"/>
        <v/>
      </c>
      <c r="BO9" s="323" t="str">
        <f t="shared" si="1"/>
        <v/>
      </c>
      <c r="BP9" s="323" t="str">
        <f t="shared" si="1"/>
        <v/>
      </c>
      <c r="BQ9" s="323" t="str">
        <f t="shared" si="1"/>
        <v/>
      </c>
      <c r="BR9" s="323" t="str">
        <f t="shared" si="1"/>
        <v/>
      </c>
    </row>
    <row r="10" spans="1:70" x14ac:dyDescent="0.25">
      <c r="A10" s="91"/>
      <c r="B10" s="91"/>
      <c r="C10" s="323"/>
      <c r="D10" s="323"/>
      <c r="E10" s="323"/>
      <c r="F10" s="323"/>
      <c r="G10" s="323"/>
      <c r="H10" s="323"/>
      <c r="I10" s="323"/>
      <c r="J10" s="323"/>
      <c r="K10" s="323"/>
      <c r="L10" s="323"/>
      <c r="M10" s="323"/>
      <c r="N10" s="323"/>
      <c r="O10" s="323"/>
      <c r="P10" s="323"/>
      <c r="Q10" s="323"/>
      <c r="R10" s="323"/>
      <c r="S10" s="323"/>
      <c r="T10" s="323"/>
      <c r="U10" s="323"/>
      <c r="V10" s="323"/>
      <c r="W10" s="323"/>
      <c r="X10" s="323"/>
      <c r="Y10" s="323"/>
      <c r="Z10" s="323"/>
      <c r="AA10" s="323"/>
      <c r="AB10" s="323"/>
      <c r="AC10" s="323"/>
      <c r="AD10" s="323"/>
      <c r="AE10" s="323"/>
      <c r="AF10" s="323"/>
      <c r="AG10" s="323"/>
      <c r="AH10" s="323"/>
      <c r="AI10" s="323"/>
      <c r="AJ10" s="323"/>
      <c r="AK10" s="323" t="str">
        <f t="shared" si="2"/>
        <v/>
      </c>
      <c r="AL10" s="323" t="str">
        <f t="shared" si="0"/>
        <v/>
      </c>
      <c r="AM10" s="323" t="str">
        <f t="shared" si="0"/>
        <v/>
      </c>
      <c r="AN10" s="323" t="str">
        <f t="shared" si="0"/>
        <v/>
      </c>
      <c r="AO10" s="323" t="str">
        <f t="shared" si="0"/>
        <v/>
      </c>
      <c r="AP10" s="323" t="str">
        <f t="shared" si="0"/>
        <v/>
      </c>
      <c r="AQ10" s="323" t="str">
        <f t="shared" si="0"/>
        <v/>
      </c>
      <c r="AR10" s="323" t="str">
        <f t="shared" si="0"/>
        <v/>
      </c>
      <c r="AS10" s="323" t="str">
        <f t="shared" si="0"/>
        <v/>
      </c>
      <c r="AT10" s="323" t="str">
        <f t="shared" si="0"/>
        <v/>
      </c>
      <c r="AU10" s="323" t="str">
        <f t="shared" si="0"/>
        <v/>
      </c>
      <c r="AV10" s="323" t="str">
        <f t="shared" si="0"/>
        <v/>
      </c>
      <c r="AW10" s="323" t="str">
        <f t="shared" si="0"/>
        <v/>
      </c>
      <c r="AX10" s="323" t="str">
        <f t="shared" si="0"/>
        <v/>
      </c>
      <c r="AY10" s="323" t="str">
        <f t="shared" si="1"/>
        <v/>
      </c>
      <c r="AZ10" s="323" t="str">
        <f t="shared" si="1"/>
        <v/>
      </c>
      <c r="BA10" s="323" t="str">
        <f t="shared" si="1"/>
        <v/>
      </c>
      <c r="BB10" s="323" t="str">
        <f t="shared" si="1"/>
        <v/>
      </c>
      <c r="BC10" s="323" t="str">
        <f t="shared" si="1"/>
        <v/>
      </c>
      <c r="BD10" s="323" t="str">
        <f t="shared" si="1"/>
        <v/>
      </c>
      <c r="BE10" s="323" t="str">
        <f t="shared" si="1"/>
        <v/>
      </c>
      <c r="BF10" s="323" t="str">
        <f t="shared" si="1"/>
        <v/>
      </c>
      <c r="BG10" s="323" t="str">
        <f t="shared" si="1"/>
        <v/>
      </c>
      <c r="BH10" s="323" t="str">
        <f t="shared" si="1"/>
        <v/>
      </c>
      <c r="BI10" s="323" t="str">
        <f t="shared" si="1"/>
        <v/>
      </c>
      <c r="BJ10" s="323" t="str">
        <f t="shared" si="1"/>
        <v/>
      </c>
      <c r="BK10" s="323" t="str">
        <f t="shared" si="1"/>
        <v/>
      </c>
      <c r="BL10" s="323" t="str">
        <f t="shared" si="1"/>
        <v/>
      </c>
      <c r="BM10" s="323" t="str">
        <f t="shared" si="1"/>
        <v/>
      </c>
      <c r="BN10" s="323" t="str">
        <f t="shared" si="1"/>
        <v/>
      </c>
      <c r="BO10" s="323" t="str">
        <f t="shared" si="1"/>
        <v/>
      </c>
      <c r="BP10" s="323" t="str">
        <f t="shared" si="1"/>
        <v/>
      </c>
      <c r="BQ10" s="323" t="str">
        <f t="shared" si="1"/>
        <v/>
      </c>
      <c r="BR10" s="323" t="str">
        <f t="shared" si="1"/>
        <v/>
      </c>
    </row>
    <row r="11" spans="1:70" x14ac:dyDescent="0.25">
      <c r="A11" s="91"/>
      <c r="B11" s="91"/>
      <c r="C11" s="323"/>
      <c r="D11" s="323"/>
      <c r="E11" s="323"/>
      <c r="F11" s="323"/>
      <c r="G11" s="323"/>
      <c r="H11" s="323"/>
      <c r="I11" s="323"/>
      <c r="J11" s="323"/>
      <c r="K11" s="323"/>
      <c r="L11" s="323"/>
      <c r="M11" s="323"/>
      <c r="N11" s="323"/>
      <c r="O11" s="323"/>
      <c r="P11" s="323"/>
      <c r="Q11" s="323"/>
      <c r="R11" s="323"/>
      <c r="S11" s="323"/>
      <c r="T11" s="323"/>
      <c r="U11" s="323"/>
      <c r="V11" s="323"/>
      <c r="W11" s="323"/>
      <c r="X11" s="323"/>
      <c r="Y11" s="323"/>
      <c r="Z11" s="323"/>
      <c r="AA11" s="323"/>
      <c r="AB11" s="323"/>
      <c r="AC11" s="323"/>
      <c r="AD11" s="323"/>
      <c r="AE11" s="323"/>
      <c r="AF11" s="323"/>
      <c r="AG11" s="323"/>
      <c r="AH11" s="323"/>
      <c r="AI11" s="323"/>
      <c r="AJ11" s="323"/>
      <c r="AK11" s="323" t="str">
        <f t="shared" si="2"/>
        <v/>
      </c>
      <c r="AL11" s="323" t="str">
        <f t="shared" si="0"/>
        <v/>
      </c>
      <c r="AM11" s="323" t="str">
        <f t="shared" si="0"/>
        <v/>
      </c>
      <c r="AN11" s="323" t="str">
        <f t="shared" si="0"/>
        <v/>
      </c>
      <c r="AO11" s="323" t="str">
        <f t="shared" si="0"/>
        <v/>
      </c>
      <c r="AP11" s="323" t="str">
        <f t="shared" si="0"/>
        <v/>
      </c>
      <c r="AQ11" s="323" t="str">
        <f t="shared" si="0"/>
        <v/>
      </c>
      <c r="AR11" s="323" t="str">
        <f t="shared" si="0"/>
        <v/>
      </c>
      <c r="AS11" s="323" t="str">
        <f t="shared" si="0"/>
        <v/>
      </c>
      <c r="AT11" s="323" t="str">
        <f t="shared" si="0"/>
        <v/>
      </c>
      <c r="AU11" s="323" t="str">
        <f t="shared" si="0"/>
        <v/>
      </c>
      <c r="AV11" s="323" t="str">
        <f t="shared" si="0"/>
        <v/>
      </c>
      <c r="AW11" s="323" t="str">
        <f t="shared" si="0"/>
        <v/>
      </c>
      <c r="AX11" s="323" t="str">
        <f t="shared" si="0"/>
        <v/>
      </c>
      <c r="AY11" s="323" t="str">
        <f t="shared" si="1"/>
        <v/>
      </c>
      <c r="AZ11" s="323" t="str">
        <f t="shared" si="1"/>
        <v/>
      </c>
      <c r="BA11" s="323" t="str">
        <f t="shared" si="1"/>
        <v/>
      </c>
      <c r="BB11" s="323" t="str">
        <f t="shared" si="1"/>
        <v/>
      </c>
      <c r="BC11" s="323" t="str">
        <f t="shared" si="1"/>
        <v/>
      </c>
      <c r="BD11" s="323" t="str">
        <f t="shared" si="1"/>
        <v/>
      </c>
      <c r="BE11" s="323" t="str">
        <f t="shared" si="1"/>
        <v/>
      </c>
      <c r="BF11" s="323" t="str">
        <f t="shared" si="1"/>
        <v/>
      </c>
      <c r="BG11" s="323" t="str">
        <f t="shared" si="1"/>
        <v/>
      </c>
      <c r="BH11" s="323" t="str">
        <f t="shared" si="1"/>
        <v/>
      </c>
      <c r="BI11" s="323" t="str">
        <f t="shared" si="1"/>
        <v/>
      </c>
      <c r="BJ11" s="323" t="str">
        <f t="shared" si="1"/>
        <v/>
      </c>
      <c r="BK11" s="323" t="str">
        <f t="shared" si="1"/>
        <v/>
      </c>
      <c r="BL11" s="323" t="str">
        <f t="shared" si="1"/>
        <v/>
      </c>
      <c r="BM11" s="323" t="str">
        <f t="shared" si="1"/>
        <v/>
      </c>
      <c r="BN11" s="323" t="str">
        <f t="shared" si="1"/>
        <v/>
      </c>
      <c r="BO11" s="323" t="str">
        <f t="shared" si="1"/>
        <v/>
      </c>
      <c r="BP11" s="323" t="str">
        <f t="shared" si="1"/>
        <v/>
      </c>
      <c r="BQ11" s="323" t="str">
        <f t="shared" si="1"/>
        <v/>
      </c>
      <c r="BR11" s="323" t="str">
        <f t="shared" si="1"/>
        <v/>
      </c>
    </row>
    <row r="12" spans="1:70" x14ac:dyDescent="0.25">
      <c r="A12" s="91"/>
      <c r="B12" s="91"/>
      <c r="C12" s="323"/>
      <c r="D12" s="323"/>
      <c r="E12" s="323"/>
      <c r="F12" s="323"/>
      <c r="G12" s="323"/>
      <c r="H12" s="323"/>
      <c r="I12" s="323"/>
      <c r="J12" s="323"/>
      <c r="K12" s="323"/>
      <c r="L12" s="323"/>
      <c r="M12" s="323"/>
      <c r="N12" s="323"/>
      <c r="O12" s="323"/>
      <c r="P12" s="323"/>
      <c r="Q12" s="323"/>
      <c r="R12" s="323"/>
      <c r="S12" s="323"/>
      <c r="T12" s="323"/>
      <c r="U12" s="323"/>
      <c r="V12" s="323"/>
      <c r="W12" s="323"/>
      <c r="X12" s="323"/>
      <c r="Y12" s="323"/>
      <c r="Z12" s="323"/>
      <c r="AA12" s="323"/>
      <c r="AB12" s="323"/>
      <c r="AC12" s="323"/>
      <c r="AD12" s="323"/>
      <c r="AE12" s="323"/>
      <c r="AF12" s="323"/>
      <c r="AG12" s="323"/>
      <c r="AH12" s="323"/>
      <c r="AI12" s="323"/>
      <c r="AJ12" s="323"/>
      <c r="AK12" s="323" t="str">
        <f t="shared" si="2"/>
        <v/>
      </c>
      <c r="AL12" s="323" t="str">
        <f t="shared" si="0"/>
        <v/>
      </c>
      <c r="AM12" s="323" t="str">
        <f t="shared" si="0"/>
        <v/>
      </c>
      <c r="AN12" s="323" t="str">
        <f t="shared" si="0"/>
        <v/>
      </c>
      <c r="AO12" s="323" t="str">
        <f t="shared" si="0"/>
        <v/>
      </c>
      <c r="AP12" s="323" t="str">
        <f t="shared" si="0"/>
        <v/>
      </c>
      <c r="AQ12" s="323" t="str">
        <f t="shared" si="0"/>
        <v/>
      </c>
      <c r="AR12" s="323" t="str">
        <f t="shared" si="0"/>
        <v/>
      </c>
      <c r="AS12" s="323" t="str">
        <f t="shared" si="0"/>
        <v/>
      </c>
      <c r="AT12" s="323" t="str">
        <f t="shared" si="0"/>
        <v/>
      </c>
      <c r="AU12" s="323" t="str">
        <f t="shared" si="0"/>
        <v/>
      </c>
      <c r="AV12" s="323" t="str">
        <f t="shared" si="0"/>
        <v/>
      </c>
      <c r="AW12" s="323" t="str">
        <f t="shared" si="0"/>
        <v/>
      </c>
      <c r="AX12" s="323" t="str">
        <f t="shared" si="0"/>
        <v/>
      </c>
      <c r="AY12" s="323" t="str">
        <f t="shared" si="1"/>
        <v/>
      </c>
      <c r="AZ12" s="323" t="str">
        <f t="shared" si="1"/>
        <v/>
      </c>
      <c r="BA12" s="323" t="str">
        <f t="shared" si="1"/>
        <v/>
      </c>
      <c r="BB12" s="323" t="str">
        <f t="shared" si="1"/>
        <v/>
      </c>
      <c r="BC12" s="323" t="str">
        <f t="shared" si="1"/>
        <v/>
      </c>
      <c r="BD12" s="323" t="str">
        <f t="shared" si="1"/>
        <v/>
      </c>
      <c r="BE12" s="323" t="str">
        <f t="shared" si="1"/>
        <v/>
      </c>
      <c r="BF12" s="323" t="str">
        <f t="shared" si="1"/>
        <v/>
      </c>
      <c r="BG12" s="323" t="str">
        <f t="shared" si="1"/>
        <v/>
      </c>
      <c r="BH12" s="323" t="str">
        <f t="shared" si="1"/>
        <v/>
      </c>
      <c r="BI12" s="323" t="str">
        <f t="shared" si="1"/>
        <v/>
      </c>
      <c r="BJ12" s="323" t="str">
        <f t="shared" si="1"/>
        <v/>
      </c>
      <c r="BK12" s="323" t="str">
        <f t="shared" si="1"/>
        <v/>
      </c>
      <c r="BL12" s="323" t="str">
        <f t="shared" si="1"/>
        <v/>
      </c>
      <c r="BM12" s="323" t="str">
        <f t="shared" si="1"/>
        <v/>
      </c>
      <c r="BN12" s="323" t="str">
        <f t="shared" si="1"/>
        <v/>
      </c>
      <c r="BO12" s="323" t="str">
        <f t="shared" si="1"/>
        <v/>
      </c>
      <c r="BP12" s="323" t="str">
        <f t="shared" si="1"/>
        <v/>
      </c>
      <c r="BQ12" s="323" t="str">
        <f t="shared" si="1"/>
        <v/>
      </c>
      <c r="BR12" s="323" t="str">
        <f t="shared" si="1"/>
        <v/>
      </c>
    </row>
    <row r="13" spans="1:70" x14ac:dyDescent="0.25">
      <c r="A13" s="91"/>
      <c r="B13" s="91"/>
      <c r="C13" s="323"/>
      <c r="D13" s="323"/>
      <c r="E13" s="323"/>
      <c r="F13" s="323"/>
      <c r="G13" s="323"/>
      <c r="H13" s="323"/>
      <c r="I13" s="323"/>
      <c r="J13" s="323"/>
      <c r="K13" s="323"/>
      <c r="L13" s="323"/>
      <c r="M13" s="323"/>
      <c r="N13" s="323"/>
      <c r="O13" s="323"/>
      <c r="P13" s="323"/>
      <c r="Q13" s="323"/>
      <c r="R13" s="323"/>
      <c r="S13" s="323"/>
      <c r="T13" s="323"/>
      <c r="U13" s="323"/>
      <c r="V13" s="323"/>
      <c r="W13" s="323"/>
      <c r="X13" s="323"/>
      <c r="Y13" s="323"/>
      <c r="Z13" s="323"/>
      <c r="AA13" s="323"/>
      <c r="AB13" s="323"/>
      <c r="AC13" s="323"/>
      <c r="AD13" s="323"/>
      <c r="AE13" s="323"/>
      <c r="AF13" s="323"/>
      <c r="AG13" s="323"/>
      <c r="AH13" s="323"/>
      <c r="AI13" s="323"/>
      <c r="AJ13" s="323"/>
      <c r="AK13" s="323" t="str">
        <f t="shared" si="2"/>
        <v/>
      </c>
      <c r="AL13" s="323" t="str">
        <f t="shared" si="0"/>
        <v/>
      </c>
      <c r="AM13" s="323" t="str">
        <f t="shared" si="0"/>
        <v/>
      </c>
      <c r="AN13" s="323" t="str">
        <f t="shared" si="0"/>
        <v/>
      </c>
      <c r="AO13" s="323" t="str">
        <f t="shared" si="0"/>
        <v/>
      </c>
      <c r="AP13" s="323" t="str">
        <f t="shared" si="0"/>
        <v/>
      </c>
      <c r="AQ13" s="323" t="str">
        <f t="shared" si="0"/>
        <v/>
      </c>
      <c r="AR13" s="323" t="str">
        <f t="shared" si="0"/>
        <v/>
      </c>
      <c r="AS13" s="323" t="str">
        <f t="shared" si="0"/>
        <v/>
      </c>
      <c r="AT13" s="323" t="str">
        <f t="shared" si="0"/>
        <v/>
      </c>
      <c r="AU13" s="323" t="str">
        <f t="shared" si="0"/>
        <v/>
      </c>
      <c r="AV13" s="323" t="str">
        <f t="shared" si="0"/>
        <v/>
      </c>
      <c r="AW13" s="323" t="str">
        <f t="shared" si="0"/>
        <v/>
      </c>
      <c r="AX13" s="323" t="str">
        <f t="shared" si="0"/>
        <v/>
      </c>
      <c r="AY13" s="323" t="str">
        <f t="shared" si="1"/>
        <v/>
      </c>
      <c r="AZ13" s="323" t="str">
        <f t="shared" si="1"/>
        <v/>
      </c>
      <c r="BA13" s="323" t="str">
        <f t="shared" si="1"/>
        <v/>
      </c>
      <c r="BB13" s="323" t="str">
        <f t="shared" si="1"/>
        <v/>
      </c>
      <c r="BC13" s="323" t="str">
        <f t="shared" si="1"/>
        <v/>
      </c>
      <c r="BD13" s="323" t="str">
        <f t="shared" si="1"/>
        <v/>
      </c>
      <c r="BE13" s="323" t="str">
        <f t="shared" si="1"/>
        <v/>
      </c>
      <c r="BF13" s="323" t="str">
        <f t="shared" si="1"/>
        <v/>
      </c>
      <c r="BG13" s="323" t="str">
        <f t="shared" si="1"/>
        <v/>
      </c>
      <c r="BH13" s="323" t="str">
        <f t="shared" si="1"/>
        <v/>
      </c>
      <c r="BI13" s="323" t="str">
        <f t="shared" si="1"/>
        <v/>
      </c>
      <c r="BJ13" s="323" t="str">
        <f t="shared" si="1"/>
        <v/>
      </c>
      <c r="BK13" s="323" t="str">
        <f t="shared" si="1"/>
        <v/>
      </c>
      <c r="BL13" s="323" t="str">
        <f t="shared" si="1"/>
        <v/>
      </c>
      <c r="BM13" s="323" t="str">
        <f t="shared" si="1"/>
        <v/>
      </c>
      <c r="BN13" s="323" t="str">
        <f t="shared" si="1"/>
        <v/>
      </c>
      <c r="BO13" s="323" t="str">
        <f t="shared" si="1"/>
        <v/>
      </c>
      <c r="BP13" s="323" t="str">
        <f t="shared" si="1"/>
        <v/>
      </c>
      <c r="BQ13" s="323" t="str">
        <f t="shared" si="1"/>
        <v/>
      </c>
      <c r="BR13" s="323" t="str">
        <f t="shared" si="1"/>
        <v/>
      </c>
    </row>
    <row r="14" spans="1:70" x14ac:dyDescent="0.25">
      <c r="A14" s="91"/>
      <c r="B14" s="91"/>
      <c r="C14" s="323"/>
      <c r="D14" s="323"/>
      <c r="E14" s="323"/>
      <c r="F14" s="323"/>
      <c r="G14" s="323"/>
      <c r="H14" s="323"/>
      <c r="I14" s="323"/>
      <c r="J14" s="323"/>
      <c r="K14" s="323"/>
      <c r="L14" s="323"/>
      <c r="M14" s="323"/>
      <c r="N14" s="323"/>
      <c r="O14" s="323"/>
      <c r="P14" s="323"/>
      <c r="Q14" s="323"/>
      <c r="R14" s="323"/>
      <c r="S14" s="323"/>
      <c r="T14" s="323"/>
      <c r="U14" s="323"/>
      <c r="V14" s="323"/>
      <c r="W14" s="323"/>
      <c r="X14" s="323"/>
      <c r="Y14" s="323"/>
      <c r="Z14" s="323"/>
      <c r="AA14" s="323"/>
      <c r="AB14" s="323"/>
      <c r="AC14" s="323"/>
      <c r="AD14" s="323"/>
      <c r="AE14" s="323"/>
      <c r="AF14" s="323"/>
      <c r="AG14" s="323"/>
      <c r="AH14" s="323"/>
      <c r="AI14" s="323"/>
      <c r="AJ14" s="323"/>
      <c r="AK14" s="323" t="str">
        <f t="shared" si="2"/>
        <v/>
      </c>
      <c r="AL14" s="323" t="str">
        <f t="shared" si="0"/>
        <v/>
      </c>
      <c r="AM14" s="323" t="str">
        <f t="shared" si="0"/>
        <v/>
      </c>
      <c r="AN14" s="323" t="str">
        <f t="shared" si="0"/>
        <v/>
      </c>
      <c r="AO14" s="323" t="str">
        <f t="shared" si="0"/>
        <v/>
      </c>
      <c r="AP14" s="323" t="str">
        <f t="shared" si="0"/>
        <v/>
      </c>
      <c r="AQ14" s="323" t="str">
        <f t="shared" si="0"/>
        <v/>
      </c>
      <c r="AR14" s="323" t="str">
        <f t="shared" si="0"/>
        <v/>
      </c>
      <c r="AS14" s="323" t="str">
        <f t="shared" si="0"/>
        <v/>
      </c>
      <c r="AT14" s="323" t="str">
        <f t="shared" si="0"/>
        <v/>
      </c>
      <c r="AU14" s="323" t="str">
        <f t="shared" si="0"/>
        <v/>
      </c>
      <c r="AV14" s="323" t="str">
        <f t="shared" si="0"/>
        <v/>
      </c>
      <c r="AW14" s="323" t="str">
        <f t="shared" si="0"/>
        <v/>
      </c>
      <c r="AX14" s="323" t="str">
        <f t="shared" si="0"/>
        <v/>
      </c>
      <c r="AY14" s="323" t="str">
        <f t="shared" si="1"/>
        <v/>
      </c>
      <c r="AZ14" s="323" t="str">
        <f t="shared" si="1"/>
        <v/>
      </c>
      <c r="BA14" s="323" t="str">
        <f t="shared" si="1"/>
        <v/>
      </c>
      <c r="BB14" s="323" t="str">
        <f t="shared" si="1"/>
        <v/>
      </c>
      <c r="BC14" s="323" t="str">
        <f t="shared" si="1"/>
        <v/>
      </c>
      <c r="BD14" s="323" t="str">
        <f t="shared" si="1"/>
        <v/>
      </c>
      <c r="BE14" s="323" t="str">
        <f t="shared" si="1"/>
        <v/>
      </c>
      <c r="BF14" s="323" t="str">
        <f t="shared" si="1"/>
        <v/>
      </c>
      <c r="BG14" s="323" t="str">
        <f t="shared" si="1"/>
        <v/>
      </c>
      <c r="BH14" s="323" t="str">
        <f t="shared" si="1"/>
        <v/>
      </c>
      <c r="BI14" s="323" t="str">
        <f t="shared" si="1"/>
        <v/>
      </c>
      <c r="BJ14" s="323" t="str">
        <f t="shared" si="1"/>
        <v/>
      </c>
      <c r="BK14" s="323" t="str">
        <f t="shared" si="1"/>
        <v/>
      </c>
      <c r="BL14" s="323" t="str">
        <f t="shared" si="1"/>
        <v/>
      </c>
      <c r="BM14" s="323" t="str">
        <f t="shared" si="1"/>
        <v/>
      </c>
      <c r="BN14" s="323" t="str">
        <f>IF(AF14=1,AF$1,"")</f>
        <v/>
      </c>
      <c r="BO14" s="323" t="str">
        <f>IF(AG14=1,AG$1,"")</f>
        <v/>
      </c>
      <c r="BP14" s="323" t="str">
        <f>IF(AH14=1,AH$1,"")</f>
        <v/>
      </c>
      <c r="BQ14" s="323" t="str">
        <f>IF(AI14=1,AI$1,"")</f>
        <v/>
      </c>
      <c r="BR14" s="323" t="str">
        <f>IF(AJ14=1,AJ$1,"")</f>
        <v/>
      </c>
    </row>
  </sheetData>
  <sheetProtection algorithmName="SHA-512" hashValue="QQPz4I5OdDdDWj5FZpnVZbSXzrGa87y3SJ+DzCR4s3RMjhyMWlBhfw7JJlDMETNPuYFmGftWUXJVJSbSW7Y1PA==" saltValue="DRo+eAKTWQ+5Dfg1IGA21w==" spinCount="100000" sheet="1" objects="1" scenarios="1"/>
  <phoneticPr fontId="4" type="noConversion"/>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058ED-811F-4BCB-A09E-06D98E432C28}">
  <sheetPr codeName="Blad10">
    <tabColor theme="4" tint="-0.249977111117893"/>
  </sheetPr>
  <dimension ref="A1:AI186"/>
  <sheetViews>
    <sheetView workbookViewId="0">
      <selection activeCell="B147" sqref="B147:D147"/>
    </sheetView>
  </sheetViews>
  <sheetFormatPr defaultRowHeight="15" x14ac:dyDescent="0.25"/>
  <cols>
    <col min="1" max="1" width="50.85546875" customWidth="1"/>
    <col min="2" max="3" width="32.85546875" customWidth="1"/>
    <col min="4" max="4" width="39" bestFit="1" customWidth="1"/>
    <col min="5" max="5" width="29.7109375" customWidth="1"/>
    <col min="6" max="6" width="26.85546875" bestFit="1" customWidth="1"/>
    <col min="7" max="7" width="18.42578125" customWidth="1"/>
    <col min="8" max="35" width="15.7109375" customWidth="1"/>
  </cols>
  <sheetData>
    <row r="1" spans="1:12" x14ac:dyDescent="0.25">
      <c r="A1" s="468" t="s">
        <v>44</v>
      </c>
      <c r="B1" s="468"/>
      <c r="C1" s="19"/>
      <c r="D1" s="132"/>
      <c r="E1" s="132" t="s">
        <v>45</v>
      </c>
    </row>
    <row r="2" spans="1:12" s="2" customFormat="1" ht="75" x14ac:dyDescent="0.25">
      <c r="A2" s="20" t="s">
        <v>46</v>
      </c>
      <c r="B2" s="21" t="s">
        <v>47</v>
      </c>
      <c r="C2" s="21" t="s">
        <v>47</v>
      </c>
      <c r="D2" s="4" t="s">
        <v>138</v>
      </c>
      <c r="E2" s="4" t="s">
        <v>120</v>
      </c>
      <c r="F2" s="4" t="s">
        <v>118</v>
      </c>
      <c r="G2" s="3"/>
      <c r="H2" s="3"/>
      <c r="I2" s="3"/>
      <c r="J2" s="3"/>
      <c r="K2" s="3"/>
      <c r="L2" s="3"/>
    </row>
    <row r="3" spans="1:12" x14ac:dyDescent="0.25">
      <c r="A3" t="s">
        <v>8</v>
      </c>
      <c r="B3" t="s">
        <v>8</v>
      </c>
      <c r="C3" t="s">
        <v>48</v>
      </c>
      <c r="D3" s="12" t="s">
        <v>8</v>
      </c>
      <c r="E3" s="12" t="str">
        <f>$D3</f>
        <v>Arbeidskosten</v>
      </c>
      <c r="F3" s="12" t="str">
        <f>$D3</f>
        <v>Arbeidskosten</v>
      </c>
    </row>
    <row r="4" spans="1:12" x14ac:dyDescent="0.25">
      <c r="A4" s="12" t="s">
        <v>82</v>
      </c>
      <c r="B4" t="s">
        <v>8</v>
      </c>
      <c r="C4" t="s">
        <v>48</v>
      </c>
      <c r="D4" s="12" t="s">
        <v>82</v>
      </c>
      <c r="E4" s="12" t="str">
        <f>IFERROR(IF((VLOOKUP(Openstelling_Keuze,Tb_Openstelling[],2,0)=1),IF($D4&lt;&gt;"",$D4,""),IF($D5&lt;&gt;"",$D5,"")),IF($D4&lt;&gt;"",$D4,""))</f>
        <v>Arbeidskosten op basis van IKS</v>
      </c>
      <c r="F4" s="12" t="str">
        <f>IFERROR(IF((VLOOKUP(Openstelling_Keuze,Tb_Openstelling[],2,0)=1),IF($D4&lt;&gt;"",$D4,""),IF($D5&lt;&gt;"",$D5,"")),IF($D4&lt;&gt;"",$D4,""))</f>
        <v>Arbeidskosten op basis van IKS</v>
      </c>
    </row>
    <row r="5" spans="1:12" x14ac:dyDescent="0.25">
      <c r="A5" s="12" t="s">
        <v>5</v>
      </c>
      <c r="B5" t="s">
        <v>8</v>
      </c>
      <c r="C5" t="s">
        <v>49</v>
      </c>
      <c r="D5" s="12" t="s">
        <v>28</v>
      </c>
      <c r="E5" s="12" t="str">
        <f>IFERROR(IF((VLOOKUP(Openstelling_Keuze,Tb_Openstelling[],2,0)=1),IF(D5&lt;&gt;"",D5,""),IF(D6&lt;&gt;"",D6,"")),IF(D5&lt;&gt;"",D5,""))</f>
        <v>Kosten derden exclusief btw</v>
      </c>
      <c r="F5" s="12" t="str">
        <f>IFERROR(IF((VLOOKUP(Openstelling_Keuze,Tb_Openstelling[],2,0)=1),IF(E5&lt;&gt;"",E5,""),IF(E6&lt;&gt;"",E6,"")),IF(E5&lt;&gt;"",E5,""))</f>
        <v>Kosten derden exclusief btw</v>
      </c>
    </row>
    <row r="6" spans="1:12" x14ac:dyDescent="0.25">
      <c r="A6" s="12" t="s">
        <v>28</v>
      </c>
      <c r="B6" s="22" t="s">
        <v>50</v>
      </c>
      <c r="C6" s="23" t="s">
        <v>51</v>
      </c>
      <c r="D6" s="12" t="s">
        <v>27</v>
      </c>
      <c r="E6" s="12" t="str">
        <f>IFERROR(IF((VLOOKUP(Openstelling_Keuze,Tb_Openstelling[],2,0)=1),IF(D6&lt;&gt;"",D6,""),IF(D7&lt;&gt;"",D7,"")),IF(D6&lt;&gt;"",D6,""))</f>
        <v>Niet verrekenbare btw</v>
      </c>
      <c r="F6" s="12" t="str">
        <f>IFERROR(IF((VLOOKUP(Openstelling_Keuze,Tb_Openstelling[],2,0)=1),IF(E6&lt;&gt;"",E6,""),IF(E7&lt;&gt;"",E7,"")),IF(E6&lt;&gt;"",E6,""))</f>
        <v>Niet verrekenbare btw</v>
      </c>
    </row>
    <row r="7" spans="1:12" x14ac:dyDescent="0.25">
      <c r="A7" s="12" t="s">
        <v>27</v>
      </c>
      <c r="B7" s="22" t="s">
        <v>50</v>
      </c>
      <c r="C7" s="23" t="s">
        <v>51</v>
      </c>
      <c r="D7" s="12" t="s">
        <v>11</v>
      </c>
      <c r="E7" s="12" t="str">
        <f>IFERROR(IF((VLOOKUP(Openstelling_Keuze,Tb_Openstelling[],2,0)=1),IF(D7&lt;&gt;"",D7,""),IF(D8&lt;&gt;"",D8,"")),IF(D7&lt;&gt;"",D7,""))</f>
        <v>Grondkosten</v>
      </c>
      <c r="F7" s="12" t="str">
        <f>IFERROR(IF((VLOOKUP(Openstelling_Keuze,Tb_Openstelling[],2,0)=1),IF(E7&lt;&gt;"",E7,""),IF(E8&lt;&gt;"",E8,"")),IF(E7&lt;&gt;"",E7,""))</f>
        <v>Grondkosten</v>
      </c>
    </row>
    <row r="8" spans="1:12" x14ac:dyDescent="0.25">
      <c r="A8" s="12" t="s">
        <v>11</v>
      </c>
      <c r="B8" s="22" t="s">
        <v>50</v>
      </c>
      <c r="C8" s="23" t="s">
        <v>51</v>
      </c>
      <c r="D8" s="12" t="s">
        <v>95</v>
      </c>
      <c r="E8" s="12" t="str">
        <f>IFERROR(IF((VLOOKUP(Openstelling_Keuze,Tb_Openstelling[],2,0)=1),IF(D8&lt;&gt;"",D8,""),IF(D9&lt;&gt;"",D9,"")),IF(D8&lt;&gt;"",D8,""))</f>
        <v>Bijdrage in natura (vrijwilligers)</v>
      </c>
      <c r="F8" s="12" t="str">
        <f>IFERROR(IF((VLOOKUP(Openstelling_Keuze,Tb_Openstelling[],2,0)=1),IF(E8&lt;&gt;"",E8,""),IF(E9&lt;&gt;"",E9,"")),IF(E8&lt;&gt;"",E8,""))</f>
        <v>Bijdrage in natura (vrijwilligers)</v>
      </c>
    </row>
    <row r="9" spans="1:12" ht="14.25" customHeight="1" x14ac:dyDescent="0.25">
      <c r="A9" s="12" t="s">
        <v>96</v>
      </c>
      <c r="B9" s="12" t="s">
        <v>96</v>
      </c>
      <c r="C9" s="23" t="s">
        <v>51</v>
      </c>
      <c r="D9" s="12" t="s">
        <v>96</v>
      </c>
      <c r="E9" s="12" t="str">
        <f>IFERROR(IF((VLOOKUP(Openstelling_Keuze,Tb_Openstelling[],2,0)=1),IF(D9&lt;&gt;"",D9,""),IF(D10&lt;&gt;"",D10,"")),IF(D9&lt;&gt;"",D9,""))</f>
        <v>Bijdrage in natura (overige)</v>
      </c>
      <c r="F9" s="12" t="str">
        <f>IFERROR(IF((VLOOKUP(Openstelling_Keuze,Tb_Openstelling[],2,0)=1),IF(E9&lt;&gt;"",E9,""),IF(E10&lt;&gt;"",E10,"")),IF(E9&lt;&gt;"",E9,""))</f>
        <v>Bijdrage in natura (overige)</v>
      </c>
    </row>
    <row r="10" spans="1:12" x14ac:dyDescent="0.25">
      <c r="A10" s="12" t="s">
        <v>95</v>
      </c>
      <c r="B10" s="12" t="s">
        <v>95</v>
      </c>
      <c r="C10" t="s">
        <v>49</v>
      </c>
      <c r="D10" s="12" t="s">
        <v>3</v>
      </c>
      <c r="E10" s="12" t="str">
        <f>IFERROR(IF((VLOOKUP(Openstelling_Keuze,Tb_Openstelling[],2,0)=1),IF(D10&lt;&gt;"",D10,""),IF(D11&lt;&gt;"",D11,"")),IF(D10&lt;&gt;"",D10,""))</f>
        <v>Afschrijvingskosten</v>
      </c>
      <c r="F10" s="12" t="str">
        <f>IFERROR(IF((VLOOKUP(Openstelling_Keuze,Tb_Openstelling[],2,0)=1),IF(E10&lt;&gt;"",E10,""),IF(E11&lt;&gt;"",E11,"")),IF(E10&lt;&gt;"",E10,""))</f>
        <v>Afschrijvingskosten</v>
      </c>
    </row>
    <row r="11" spans="1:12" x14ac:dyDescent="0.25">
      <c r="A11" s="12" t="s">
        <v>3</v>
      </c>
      <c r="B11" s="12" t="s">
        <v>3</v>
      </c>
      <c r="C11" s="23" t="s">
        <v>51</v>
      </c>
      <c r="D11" s="12"/>
      <c r="E11" s="12" t="str">
        <f>IFERROR(IF((VLOOKUP(Openstelling_Keuze,Tb_Openstelling[],2,0)=1),IF(D11&lt;&gt;"",D11,""),IF(D12&lt;&gt;"",D12,"")),IF(D11&lt;&gt;"",D11,""))</f>
        <v/>
      </c>
      <c r="F11" s="12" t="str">
        <f>IFERROR(IF((VLOOKUP(Openstelling_Keuze,Tb_Openstelling[],2,0)=1),IF(E11&lt;&gt;"",E11,""),IF(E12&lt;&gt;"",E12,"")),IF(E11&lt;&gt;"",E11,""))</f>
        <v/>
      </c>
    </row>
    <row r="12" spans="1:12" x14ac:dyDescent="0.25">
      <c r="A12" t="str">
        <f>'Vast tarief'!B5</f>
        <v>Adviseur</v>
      </c>
      <c r="B12" t="s">
        <v>8</v>
      </c>
      <c r="C12" t="s">
        <v>49</v>
      </c>
      <c r="D12" s="12"/>
      <c r="E12" s="12" t="str">
        <f>IFERROR(IF((VLOOKUP(Openstelling_Keuze,Tb_Openstelling[],2,0)=1),IF(D12&lt;&gt;"",D12,""),IF(D13&lt;&gt;"",D13,"")),IF(D12&lt;&gt;"",D12,""))</f>
        <v/>
      </c>
    </row>
    <row r="13" spans="1:12" x14ac:dyDescent="0.25">
      <c r="A13" t="str">
        <f>'Vast tarief'!B6</f>
        <v>Projectleider/Expert</v>
      </c>
      <c r="B13" t="s">
        <v>8</v>
      </c>
      <c r="C13" t="s">
        <v>49</v>
      </c>
      <c r="E13" s="12" t="str">
        <f>IFERROR(IF((VLOOKUP(Openstelling_Keuze,Tb_Openstelling[],2,0)=1),IF(D13&lt;&gt;"",D13,""),IF(D14&lt;&gt;"",D14,"")),IF(D13&lt;&gt;"",D13,""))</f>
        <v/>
      </c>
    </row>
    <row r="14" spans="1:12" x14ac:dyDescent="0.25">
      <c r="A14" t="str">
        <f>'Vast tarief'!B7</f>
        <v>Projectmedewerker</v>
      </c>
      <c r="B14" t="s">
        <v>8</v>
      </c>
      <c r="C14" t="s">
        <v>49</v>
      </c>
      <c r="E14" s="12" t="str">
        <f>IFERROR(IF((VLOOKUP(Openstelling_Keuze,Tb_Openstelling[],2,0)=1),IF(D14&lt;&gt;"",D14,""),IF(D15&lt;&gt;"",D15,"")),IF(D14&lt;&gt;"",D14,""))</f>
        <v/>
      </c>
    </row>
    <row r="15" spans="1:12" x14ac:dyDescent="0.25">
      <c r="A15" t="str">
        <f>'Vast tarief'!B8</f>
        <v>Landbouwer</v>
      </c>
      <c r="B15" t="s">
        <v>8</v>
      </c>
      <c r="C15" t="s">
        <v>49</v>
      </c>
      <c r="E15" s="12" t="str">
        <f>IFERROR(IF((VLOOKUP(Openstelling_Keuze,Tb_Openstelling[],2,0)=1),IF(D15&lt;&gt;"",D15,""),IF(#REF!&lt;&gt;"",#REF!,"")),IF(D15&lt;&gt;"",D15,""))</f>
        <v/>
      </c>
    </row>
    <row r="16" spans="1:12" x14ac:dyDescent="0.25">
      <c r="A16" t="s">
        <v>304</v>
      </c>
      <c r="C16" t="s">
        <v>49</v>
      </c>
    </row>
    <row r="17" spans="1:12" x14ac:dyDescent="0.25">
      <c r="A17" t="s">
        <v>314</v>
      </c>
      <c r="C17" t="s">
        <v>49</v>
      </c>
    </row>
    <row r="18" spans="1:12" x14ac:dyDescent="0.25">
      <c r="A18" t="s">
        <v>50</v>
      </c>
      <c r="C18" t="s">
        <v>51</v>
      </c>
    </row>
    <row r="20" spans="1:12" x14ac:dyDescent="0.25">
      <c r="A20" s="58" t="s">
        <v>119</v>
      </c>
      <c r="B20" s="58" t="s">
        <v>139</v>
      </c>
      <c r="C20" s="58" t="s">
        <v>140</v>
      </c>
      <c r="D20" s="58" t="s">
        <v>141</v>
      </c>
      <c r="E20" s="58" t="s">
        <v>142</v>
      </c>
      <c r="F20" s="58" t="s">
        <v>143</v>
      </c>
      <c r="G20" s="58" t="s">
        <v>144</v>
      </c>
      <c r="H20" s="58" t="s">
        <v>145</v>
      </c>
      <c r="I20" s="58" t="s">
        <v>146</v>
      </c>
      <c r="J20" s="58" t="s">
        <v>301</v>
      </c>
      <c r="K20" s="58" t="s">
        <v>302</v>
      </c>
      <c r="L20" s="58" t="s">
        <v>303</v>
      </c>
    </row>
    <row r="21" spans="1:12" x14ac:dyDescent="0.25">
      <c r="A21" s="91" cm="1">
        <f t="array" aca="1" ref="A21" ca="1">OFFSET(Lijsten!$AJ$1,1,1,IF(COUNTIF(Lijsten!$AJ$1:$AJ$100,"&lt;&gt;"&amp;"")&gt;1,COUNTIF(Lijsten!$AJ$1:$AJ$100,"&lt;&gt;"&amp;"")-1,COUNTIF(Lijsten!$AJ$1:$AJ$100,"&lt;&gt;"&amp;"")))</f>
        <v>0</v>
      </c>
      <c r="B21" s="91" t="str" cm="1">
        <f t="array" aca="1" ref="B21" ca="1">IFERROR(_xlfn._xlws.SORT(_xlfn._xlws.FILTER(OFFSET(Lijsten!$BN:$BX,MATCH(A21,Lijsten!AK:AK,0)-1,,1),OFFSET(Lijsten!$BN:$BX,MATCH(A21,Lijsten!AK:AK,0)-1,,1)&lt;&gt;""),1,,1),"")</f>
        <v/>
      </c>
      <c r="C21" s="91"/>
      <c r="D21" s="91"/>
      <c r="E21" s="91"/>
      <c r="F21" s="91"/>
      <c r="G21" s="91"/>
      <c r="H21" s="91"/>
      <c r="I21" s="91"/>
      <c r="J21" s="91"/>
      <c r="K21" s="91"/>
      <c r="L21" s="91"/>
    </row>
    <row r="22" spans="1:12" x14ac:dyDescent="0.25">
      <c r="A22" s="91"/>
      <c r="B22" s="91" t="str" cm="1">
        <f t="array" aca="1" ref="B22" ca="1">IFERROR(_xlfn._xlws.SORT(_xlfn._xlws.FILTER(OFFSET(Lijsten!$BN:$BX,MATCH(A22,Lijsten!AK:AK,0)-1,,1),OFFSET(Lijsten!$BN:$BX,MATCH(A22,Lijsten!AK:AK,0)-1,,1)&lt;&gt;""),1,,1),"")</f>
        <v/>
      </c>
      <c r="C22" s="91"/>
      <c r="D22" s="91"/>
      <c r="E22" s="91"/>
      <c r="F22" s="91"/>
      <c r="G22" s="91"/>
      <c r="H22" s="91"/>
      <c r="I22" s="91"/>
      <c r="J22" s="91"/>
      <c r="K22" s="91"/>
      <c r="L22" s="91"/>
    </row>
    <row r="23" spans="1:12" x14ac:dyDescent="0.25">
      <c r="A23" s="91"/>
      <c r="B23" s="91" t="str" cm="1">
        <f t="array" aca="1" ref="B23" ca="1">IFERROR(_xlfn._xlws.SORT(_xlfn._xlws.FILTER(OFFSET(Lijsten!$BN:$BX,MATCH(A23,Lijsten!AK:AK,0)-1,,1),OFFSET(Lijsten!$BN:$BX,MATCH(A23,Lijsten!AK:AK,0)-1,,1)&lt;&gt;""),1,,1),"")</f>
        <v/>
      </c>
      <c r="C23" s="91"/>
      <c r="D23" s="91"/>
      <c r="E23" s="91"/>
      <c r="F23" s="91"/>
      <c r="G23" s="91"/>
      <c r="H23" s="91"/>
      <c r="I23" s="91"/>
      <c r="J23" s="91"/>
      <c r="K23" s="91"/>
      <c r="L23" s="91"/>
    </row>
    <row r="24" spans="1:12" x14ac:dyDescent="0.25">
      <c r="A24" s="91"/>
      <c r="B24" s="91" t="str" cm="1">
        <f t="array" aca="1" ref="B24" ca="1">IFERROR(_xlfn._xlws.SORT(_xlfn._xlws.FILTER(OFFSET(Lijsten!$BN:$BX,MATCH(A24,Lijsten!AK:AK,0)-1,,1),OFFSET(Lijsten!$BN:$BX,MATCH(A24,Lijsten!AK:AK,0)-1,,1)&lt;&gt;""),1,,1),"")</f>
        <v/>
      </c>
      <c r="C24" s="91"/>
      <c r="D24" s="91"/>
      <c r="E24" s="91"/>
      <c r="F24" s="91"/>
      <c r="G24" s="91"/>
      <c r="H24" s="91"/>
      <c r="I24" s="91"/>
      <c r="J24" s="91"/>
      <c r="K24" s="91"/>
      <c r="L24" s="91"/>
    </row>
    <row r="25" spans="1:12" x14ac:dyDescent="0.25">
      <c r="A25" s="91"/>
      <c r="B25" s="91" t="str" cm="1">
        <f t="array" aca="1" ref="B25" ca="1">IFERROR(_xlfn._xlws.SORT(_xlfn._xlws.FILTER(OFFSET(Lijsten!$BN:$BX,MATCH(A25,Lijsten!AK:AK,0)-1,,1),OFFSET(Lijsten!$BN:$BX,MATCH(A25,Lijsten!AK:AK,0)-1,,1)&lt;&gt;""),1,,1),"")</f>
        <v/>
      </c>
      <c r="C25" s="91"/>
      <c r="D25" s="91"/>
      <c r="E25" s="91"/>
      <c r="F25" s="91"/>
      <c r="G25" s="91"/>
      <c r="H25" s="91"/>
      <c r="I25" s="91"/>
      <c r="J25" s="91"/>
      <c r="K25" s="91"/>
      <c r="L25" s="91"/>
    </row>
    <row r="26" spans="1:12" x14ac:dyDescent="0.25">
      <c r="A26" s="91"/>
      <c r="B26" s="91" t="str" cm="1">
        <f t="array" aca="1" ref="B26" ca="1">IFERROR(_xlfn._xlws.SORT(_xlfn._xlws.FILTER(OFFSET(Lijsten!$BN:$BX,MATCH(A26,Lijsten!AK:AK,0)-1,,1),OFFSET(Lijsten!$BN:$BX,MATCH(A26,Lijsten!AK:AK,0)-1,,1)&lt;&gt;""),1,,1),"")</f>
        <v/>
      </c>
      <c r="C26" s="91"/>
      <c r="D26" s="91"/>
      <c r="E26" s="91"/>
      <c r="F26" s="91"/>
      <c r="G26" s="91"/>
      <c r="H26" s="91"/>
      <c r="I26" s="91"/>
      <c r="J26" s="91"/>
      <c r="K26" s="91"/>
      <c r="L26" s="91"/>
    </row>
    <row r="27" spans="1:12" x14ac:dyDescent="0.25">
      <c r="A27" s="91"/>
      <c r="B27" s="91" t="str" cm="1">
        <f t="array" aca="1" ref="B27" ca="1">IFERROR(_xlfn._xlws.SORT(_xlfn._xlws.FILTER(OFFSET(Lijsten!$BN:$BX,MATCH(A27,Lijsten!AK:AK,0)-1,,1),OFFSET(Lijsten!$BN:$BX,MATCH(A27,Lijsten!AK:AK,0)-1,,1)&lt;&gt;""),1,,1),"")</f>
        <v/>
      </c>
      <c r="C27" s="91"/>
      <c r="D27" s="91"/>
      <c r="E27" s="91"/>
      <c r="F27" s="91"/>
      <c r="G27" s="91"/>
      <c r="H27" s="91"/>
      <c r="I27" s="91"/>
      <c r="J27" s="91"/>
      <c r="K27" s="91"/>
      <c r="L27" s="91"/>
    </row>
    <row r="28" spans="1:12" x14ac:dyDescent="0.25">
      <c r="A28" s="91"/>
      <c r="B28" s="91" t="str" cm="1">
        <f t="array" aca="1" ref="B28" ca="1">IFERROR(_xlfn._xlws.SORT(_xlfn._xlws.FILTER(OFFSET(Lijsten!$BN:$BX,MATCH(A28,Lijsten!AK:AK,0)-1,,1),OFFSET(Lijsten!$BN:$BX,MATCH(A28,Lijsten!AK:AK,0)-1,,1)&lt;&gt;""),1,,1),"")</f>
        <v/>
      </c>
      <c r="C28" s="91"/>
      <c r="D28" s="91"/>
      <c r="E28" s="91"/>
      <c r="F28" s="91"/>
      <c r="G28" s="91"/>
      <c r="H28" s="91"/>
      <c r="I28" s="91"/>
      <c r="J28" s="91"/>
      <c r="K28" s="91"/>
      <c r="L28" s="91"/>
    </row>
    <row r="29" spans="1:12" x14ac:dyDescent="0.25">
      <c r="A29" s="91"/>
      <c r="B29" s="91" t="str" cm="1">
        <f t="array" aca="1" ref="B29" ca="1">IFERROR(_xlfn._xlws.SORT(_xlfn._xlws.FILTER(OFFSET(Lijsten!$BN:$BX,MATCH(A29,Lijsten!AK:AK,0)-1,,1),OFFSET(Lijsten!$BN:$BX,MATCH(A29,Lijsten!AK:AK,0)-1,,1)&lt;&gt;""),1,,1),"")</f>
        <v/>
      </c>
      <c r="C29" s="91"/>
      <c r="D29" s="91"/>
      <c r="E29" s="91"/>
      <c r="F29" s="91"/>
      <c r="G29" s="91"/>
      <c r="H29" s="91"/>
      <c r="I29" s="91"/>
      <c r="J29" s="91"/>
      <c r="K29" s="91"/>
      <c r="L29" s="91"/>
    </row>
    <row r="30" spans="1:12" x14ac:dyDescent="0.25">
      <c r="A30" s="91"/>
      <c r="B30" s="91" t="str" cm="1">
        <f t="array" aca="1" ref="B30" ca="1">IFERROR(_xlfn._xlws.SORT(_xlfn._xlws.FILTER(OFFSET(Lijsten!$BN:$BX,MATCH(A30,Lijsten!AK:AK,0)-1,,1),OFFSET(Lijsten!$BN:$BX,MATCH(A30,Lijsten!AK:AK,0)-1,,1)&lt;&gt;""),1,,1),"")</f>
        <v/>
      </c>
      <c r="C30" s="91"/>
      <c r="D30" s="91"/>
      <c r="E30" s="91"/>
      <c r="F30" s="91"/>
      <c r="G30" s="91"/>
      <c r="H30" s="91"/>
      <c r="I30" s="91"/>
      <c r="J30" s="91"/>
      <c r="K30" s="91"/>
      <c r="L30" s="91"/>
    </row>
    <row r="31" spans="1:12" x14ac:dyDescent="0.25">
      <c r="A31" s="91"/>
      <c r="B31" s="91" t="str" cm="1">
        <f t="array" aca="1" ref="B31" ca="1">IFERROR(_xlfn._xlws.SORT(_xlfn._xlws.FILTER(OFFSET(Lijsten!$BN:$BX,MATCH(A31,Lijsten!AK:AK,0)-1,,1),OFFSET(Lijsten!$BN:$BX,MATCH(A31,Lijsten!AK:AK,0)-1,,1)&lt;&gt;""),1,,1),"")</f>
        <v/>
      </c>
      <c r="C31" s="91"/>
      <c r="D31" s="91"/>
      <c r="E31" s="91"/>
      <c r="F31" s="91"/>
      <c r="G31" s="91"/>
      <c r="H31" s="91"/>
      <c r="I31" s="91"/>
      <c r="J31" s="91"/>
      <c r="K31" s="91"/>
      <c r="L31" s="91"/>
    </row>
    <row r="32" spans="1:12" x14ac:dyDescent="0.25">
      <c r="A32" s="91"/>
      <c r="B32" s="91" t="str" cm="1">
        <f t="array" aca="1" ref="B32" ca="1">IFERROR(_xlfn._xlws.SORT(_xlfn._xlws.FILTER(OFFSET(Lijsten!$BN:$BX,MATCH(A32,Lijsten!AK:AK,0)-1,,1),OFFSET(Lijsten!$BN:$BX,MATCH(A32,Lijsten!AK:AK,0)-1,,1)&lt;&gt;""),1,,1),"")</f>
        <v/>
      </c>
      <c r="C32" s="91"/>
      <c r="D32" s="91"/>
      <c r="E32" s="91"/>
      <c r="F32" s="91"/>
      <c r="G32" s="91"/>
      <c r="H32" s="91"/>
      <c r="I32" s="91"/>
      <c r="J32" s="91"/>
      <c r="K32" s="91"/>
      <c r="L32" s="91"/>
    </row>
    <row r="34" spans="1:12" x14ac:dyDescent="0.25">
      <c r="A34" s="58" t="s">
        <v>194</v>
      </c>
      <c r="B34" s="58" t="s">
        <v>139</v>
      </c>
      <c r="C34" s="58" t="s">
        <v>140</v>
      </c>
      <c r="D34" s="58" t="s">
        <v>141</v>
      </c>
      <c r="E34" s="58" t="s">
        <v>142</v>
      </c>
      <c r="F34" s="58" t="s">
        <v>143</v>
      </c>
      <c r="G34" s="58" t="s">
        <v>144</v>
      </c>
      <c r="H34" s="58" t="s">
        <v>145</v>
      </c>
      <c r="I34" s="58" t="s">
        <v>146</v>
      </c>
      <c r="J34" s="58" t="s">
        <v>301</v>
      </c>
      <c r="K34" s="58" t="s">
        <v>302</v>
      </c>
      <c r="L34" s="58" t="s">
        <v>303</v>
      </c>
    </row>
    <row r="35" spans="1:12" x14ac:dyDescent="0.25">
      <c r="A35" s="91" cm="1">
        <f t="array" aca="1" ref="A35" ca="1">OFFSET(Lijsten!$AJ$1,1,1,IF(COUNTIF(Lijsten!$AJ$1:$AJ$100,"&lt;&gt;"&amp;"")&gt;1,COUNTIF(Lijsten!$AJ$1:$AJ$100,"&lt;&gt;"&amp;"")-1,COUNTIF(Lijsten!$AJ$1:$AJ$100,"&lt;&gt;"&amp;"")))</f>
        <v>0</v>
      </c>
      <c r="B35" s="91" t="str" cm="1">
        <f t="array" aca="1" ref="B35" ca="1">TRANSPOSE(_xlfn.UNIQUE(TRANSPOSE(B49:L49)))</f>
        <v/>
      </c>
      <c r="C35" s="91"/>
      <c r="D35" s="91"/>
      <c r="E35" s="91"/>
      <c r="F35" s="91"/>
      <c r="G35" s="91"/>
      <c r="H35" s="91"/>
      <c r="I35" s="91"/>
      <c r="J35" s="91"/>
      <c r="K35" s="91"/>
      <c r="L35" s="91"/>
    </row>
    <row r="36" spans="1:12" x14ac:dyDescent="0.25">
      <c r="A36" s="91"/>
      <c r="B36" s="91" t="str" cm="1">
        <f t="array" aca="1" ref="B36" ca="1">TRANSPOSE(_xlfn.UNIQUE(TRANSPOSE(B50:L50)))</f>
        <v/>
      </c>
      <c r="C36" s="91"/>
      <c r="D36" s="91"/>
      <c r="E36" s="91"/>
      <c r="F36" s="91"/>
      <c r="G36" s="91"/>
      <c r="H36" s="91"/>
      <c r="I36" s="91"/>
      <c r="J36" s="91"/>
      <c r="K36" s="91"/>
      <c r="L36" s="91"/>
    </row>
    <row r="37" spans="1:12" x14ac:dyDescent="0.25">
      <c r="A37" s="91"/>
      <c r="B37" s="91" t="str" cm="1">
        <f t="array" aca="1" ref="B37" ca="1">TRANSPOSE(_xlfn.UNIQUE(TRANSPOSE(B51:L51)))</f>
        <v/>
      </c>
      <c r="C37" s="91"/>
      <c r="D37" s="91"/>
      <c r="E37" s="91"/>
      <c r="F37" s="91"/>
      <c r="G37" s="91"/>
      <c r="H37" s="91"/>
      <c r="I37" s="91"/>
      <c r="J37" s="91"/>
      <c r="K37" s="91"/>
      <c r="L37" s="91"/>
    </row>
    <row r="38" spans="1:12" x14ac:dyDescent="0.25">
      <c r="A38" s="91"/>
      <c r="B38" s="91" t="str" cm="1">
        <f t="array" aca="1" ref="B38" ca="1">TRANSPOSE(_xlfn.UNIQUE(TRANSPOSE(B52:L52)))</f>
        <v/>
      </c>
      <c r="C38" s="91"/>
      <c r="D38" s="91"/>
      <c r="E38" s="91"/>
      <c r="F38" s="91"/>
      <c r="G38" s="91"/>
      <c r="H38" s="91"/>
      <c r="I38" s="91"/>
      <c r="J38" s="91"/>
      <c r="K38" s="91"/>
      <c r="L38" s="91"/>
    </row>
    <row r="39" spans="1:12" x14ac:dyDescent="0.25">
      <c r="A39" s="91"/>
      <c r="B39" s="91" t="str" cm="1">
        <f t="array" aca="1" ref="B39" ca="1">TRANSPOSE(_xlfn.UNIQUE(TRANSPOSE(B53:L53)))</f>
        <v/>
      </c>
      <c r="C39" s="91"/>
      <c r="D39" s="91"/>
      <c r="E39" s="91"/>
      <c r="F39" s="91"/>
      <c r="G39" s="91"/>
      <c r="H39" s="91"/>
      <c r="I39" s="91"/>
      <c r="J39" s="91"/>
      <c r="K39" s="91"/>
      <c r="L39" s="91"/>
    </row>
    <row r="40" spans="1:12" x14ac:dyDescent="0.25">
      <c r="A40" s="91"/>
      <c r="B40" s="91" t="str" cm="1">
        <f t="array" aca="1" ref="B40" ca="1">TRANSPOSE(_xlfn.UNIQUE(TRANSPOSE(B54:L54)))</f>
        <v/>
      </c>
      <c r="C40" s="91"/>
      <c r="D40" s="91"/>
      <c r="E40" s="91"/>
      <c r="F40" s="91"/>
      <c r="G40" s="91"/>
      <c r="H40" s="91"/>
      <c r="I40" s="91"/>
      <c r="J40" s="91"/>
      <c r="K40" s="91"/>
      <c r="L40" s="91"/>
    </row>
    <row r="41" spans="1:12" x14ac:dyDescent="0.25">
      <c r="A41" s="91"/>
      <c r="B41" s="91" t="str" cm="1">
        <f t="array" aca="1" ref="B41" ca="1">TRANSPOSE(_xlfn.UNIQUE(TRANSPOSE(B55:L55)))</f>
        <v/>
      </c>
      <c r="C41" s="91"/>
      <c r="D41" s="91"/>
      <c r="E41" s="91"/>
      <c r="F41" s="91"/>
      <c r="G41" s="91"/>
      <c r="H41" s="91"/>
      <c r="I41" s="91"/>
      <c r="J41" s="91"/>
      <c r="K41" s="91"/>
      <c r="L41" s="91"/>
    </row>
    <row r="42" spans="1:12" x14ac:dyDescent="0.25">
      <c r="A42" s="91"/>
      <c r="B42" s="91" t="str" cm="1">
        <f t="array" aca="1" ref="B42" ca="1">TRANSPOSE(_xlfn.UNIQUE(TRANSPOSE(B56:L56)))</f>
        <v/>
      </c>
      <c r="C42" s="91"/>
      <c r="D42" s="91"/>
      <c r="E42" s="91"/>
      <c r="F42" s="91"/>
      <c r="G42" s="91"/>
      <c r="H42" s="91"/>
      <c r="I42" s="91"/>
      <c r="J42" s="91"/>
      <c r="K42" s="91"/>
      <c r="L42" s="91"/>
    </row>
    <row r="43" spans="1:12" x14ac:dyDescent="0.25">
      <c r="A43" s="91"/>
      <c r="B43" s="91" t="str" cm="1">
        <f t="array" aca="1" ref="B43" ca="1">TRANSPOSE(_xlfn.UNIQUE(TRANSPOSE(B57:L57)))</f>
        <v/>
      </c>
      <c r="C43" s="91"/>
      <c r="D43" s="91"/>
      <c r="E43" s="91"/>
      <c r="F43" s="91"/>
      <c r="G43" s="91"/>
      <c r="H43" s="91"/>
      <c r="I43" s="91"/>
      <c r="J43" s="91"/>
      <c r="K43" s="91"/>
      <c r="L43" s="91"/>
    </row>
    <row r="44" spans="1:12" x14ac:dyDescent="0.25">
      <c r="A44" s="91"/>
      <c r="B44" s="91" t="str" cm="1">
        <f t="array" aca="1" ref="B44" ca="1">TRANSPOSE(_xlfn.UNIQUE(TRANSPOSE(B58:L58)))</f>
        <v/>
      </c>
      <c r="C44" s="91"/>
      <c r="D44" s="91"/>
      <c r="E44" s="91"/>
      <c r="F44" s="91"/>
      <c r="G44" s="91"/>
      <c r="H44" s="91"/>
      <c r="I44" s="91"/>
      <c r="J44" s="91"/>
      <c r="K44" s="91"/>
      <c r="L44" s="91"/>
    </row>
    <row r="45" spans="1:12" x14ac:dyDescent="0.25">
      <c r="A45" s="91"/>
      <c r="B45" s="91" t="str" cm="1">
        <f t="array" aca="1" ref="B45" ca="1">TRANSPOSE(_xlfn.UNIQUE(TRANSPOSE(B59:L59)))</f>
        <v/>
      </c>
      <c r="C45" s="91"/>
      <c r="D45" s="91"/>
      <c r="E45" s="91"/>
      <c r="F45" s="91"/>
      <c r="G45" s="91"/>
      <c r="H45" s="91"/>
      <c r="I45" s="91"/>
      <c r="J45" s="91"/>
      <c r="K45" s="91"/>
      <c r="L45" s="91"/>
    </row>
    <row r="46" spans="1:12" x14ac:dyDescent="0.25">
      <c r="A46" s="91"/>
      <c r="B46" s="91" t="str" cm="1">
        <f t="array" aca="1" ref="B46" ca="1">TRANSPOSE(_xlfn.UNIQUE(TRANSPOSE(B60:L60)))</f>
        <v/>
      </c>
      <c r="C46" s="91"/>
      <c r="D46" s="91"/>
      <c r="E46" s="91"/>
      <c r="F46" s="91"/>
      <c r="G46" s="91"/>
      <c r="H46" s="91"/>
      <c r="I46" s="91"/>
      <c r="J46" s="91"/>
      <c r="K46" s="91"/>
      <c r="L46" s="91"/>
    </row>
    <row r="48" spans="1:12" x14ac:dyDescent="0.25">
      <c r="A48" s="58" t="s">
        <v>195</v>
      </c>
      <c r="B48" s="58" t="s">
        <v>139</v>
      </c>
      <c r="C48" s="58" t="s">
        <v>140</v>
      </c>
      <c r="D48" s="58" t="s">
        <v>141</v>
      </c>
      <c r="E48" s="58" t="s">
        <v>142</v>
      </c>
      <c r="F48" s="58" t="s">
        <v>143</v>
      </c>
      <c r="G48" s="58" t="s">
        <v>144</v>
      </c>
      <c r="H48" s="58" t="s">
        <v>145</v>
      </c>
      <c r="I48" s="58" t="s">
        <v>146</v>
      </c>
      <c r="J48" s="58" t="s">
        <v>301</v>
      </c>
      <c r="K48" s="58" t="s">
        <v>302</v>
      </c>
      <c r="L48" s="58" t="s">
        <v>303</v>
      </c>
    </row>
    <row r="49" spans="1:12" x14ac:dyDescent="0.25">
      <c r="A49" s="91" cm="1">
        <f t="array" aca="1" ref="A49" ca="1">OFFSET(Lijsten!$AJ$1,1,1,IF(COUNTIF(Lijsten!$AJ$1:$AJ$100,"&lt;&gt;"&amp;"")&gt;1,COUNTIF(Lijsten!$AJ$1:$AJ$100,"&lt;&gt;"&amp;"")-1,COUNTIF(Lijsten!$AJ$1:$AJ$100,"&lt;&gt;"&amp;"")))</f>
        <v>0</v>
      </c>
      <c r="B49" s="91" t="str">
        <f ca="1">IF(AND(B21&lt;&gt;"",B21&lt;&gt;0),VLOOKUP(B21,Tb_ProjectKosten[],4,0),"")</f>
        <v/>
      </c>
      <c r="C49" s="91" t="str">
        <f>IF(AND(C21&lt;&gt;"",C21&lt;&gt;0),VLOOKUP(C21,Tb_ProjectKosten[],4,0),"")</f>
        <v/>
      </c>
      <c r="D49" s="91" t="str">
        <f>IF(AND(D21&lt;&gt;"",D21&lt;&gt;0),VLOOKUP(D21,Tb_ProjectKosten[],4,0),"")</f>
        <v/>
      </c>
      <c r="E49" s="91" t="str">
        <f>IF(AND(E21&lt;&gt;"",E21&lt;&gt;0),VLOOKUP(E21,Tb_ProjectKosten[],4,0),"")</f>
        <v/>
      </c>
      <c r="F49" s="91" t="str">
        <f>IF(AND(F21&lt;&gt;"",F21&lt;&gt;0),VLOOKUP(F21,Tb_ProjectKosten[],4,0),"")</f>
        <v/>
      </c>
      <c r="G49" s="91" t="str">
        <f>IF(AND(G21&lt;&gt;"",G21&lt;&gt;0),VLOOKUP(G21,Tb_ProjectKosten[],4,0),"")</f>
        <v/>
      </c>
      <c r="H49" s="91" t="str">
        <f>IF(AND(H21&lt;&gt;"",H21&lt;&gt;0),VLOOKUP(H21,Tb_ProjectKosten[],4,0),"")</f>
        <v/>
      </c>
      <c r="I49" s="91" t="str">
        <f>IF(AND(I21&lt;&gt;"",I21&lt;&gt;0),VLOOKUP(I21,Tb_ProjectKosten[],4,0),"")</f>
        <v/>
      </c>
      <c r="J49" s="91" t="str">
        <f>IF(AND(J21&lt;&gt;"",J21&lt;&gt;0),VLOOKUP(J21,Tb_ProjectKosten[],4,0),"")</f>
        <v/>
      </c>
      <c r="K49" s="91" t="str">
        <f>IF(AND(K21&lt;&gt;"",K21&lt;&gt;0),VLOOKUP(K21,Tb_ProjectKosten[],4,0),"")</f>
        <v/>
      </c>
      <c r="L49" s="91" t="str">
        <f>IF(AND(L21&lt;&gt;"",L21&lt;&gt;0),VLOOKUP(L21,Tb_ProjectKosten[],4,0),"")</f>
        <v/>
      </c>
    </row>
    <row r="50" spans="1:12" x14ac:dyDescent="0.25">
      <c r="A50" s="91"/>
      <c r="B50" s="91" t="str">
        <f ca="1">IF(AND(B22&lt;&gt;"",B22&lt;&gt;0),VLOOKUP(B22,Tb_ProjectKosten[],4,0),"")</f>
        <v/>
      </c>
      <c r="C50" s="91" t="str">
        <f>IF(AND(C22&lt;&gt;"",C22&lt;&gt;0),VLOOKUP(C22,Tb_ProjectKosten[],4,0),"")</f>
        <v/>
      </c>
      <c r="D50" s="91" t="str">
        <f>IF(AND(D22&lt;&gt;"",D22&lt;&gt;0),VLOOKUP(D22,Tb_ProjectKosten[],4,0),"")</f>
        <v/>
      </c>
      <c r="E50" s="91" t="str">
        <f>IF(AND(E22&lt;&gt;"",E22&lt;&gt;0),VLOOKUP(E22,Tb_ProjectKosten[],4,0),"")</f>
        <v/>
      </c>
      <c r="F50" s="91" t="str">
        <f>IF(AND(F22&lt;&gt;"",F22&lt;&gt;0),VLOOKUP(F22,Tb_ProjectKosten[],4,0),"")</f>
        <v/>
      </c>
      <c r="G50" s="91" t="str">
        <f>IF(AND(G22&lt;&gt;"",G22&lt;&gt;0),VLOOKUP(G22,Tb_ProjectKosten[],4,0),"")</f>
        <v/>
      </c>
      <c r="H50" s="91" t="str">
        <f>IF(AND(H22&lt;&gt;"",H22&lt;&gt;0),VLOOKUP(H22,Tb_ProjectKosten[],4,0),"")</f>
        <v/>
      </c>
      <c r="I50" s="91" t="str">
        <f>IF(AND(I22&lt;&gt;"",I22&lt;&gt;0),VLOOKUP(I22,Tb_ProjectKosten[],4,0),"")</f>
        <v/>
      </c>
      <c r="J50" s="91" t="str">
        <f>IF(AND(J22&lt;&gt;"",J22&lt;&gt;0),VLOOKUP(J22,Tb_ProjectKosten[],4,0),"")</f>
        <v/>
      </c>
      <c r="K50" s="91" t="str">
        <f>IF(AND(K22&lt;&gt;"",K22&lt;&gt;0),VLOOKUP(K22,Tb_ProjectKosten[],4,0),"")</f>
        <v/>
      </c>
      <c r="L50" s="91" t="str">
        <f>IF(AND(L22&lt;&gt;"",L22&lt;&gt;0),VLOOKUP(L22,Tb_ProjectKosten[],4,0),"")</f>
        <v/>
      </c>
    </row>
    <row r="51" spans="1:12" x14ac:dyDescent="0.25">
      <c r="A51" s="91"/>
      <c r="B51" s="91" t="str">
        <f ca="1">IF(AND(B23&lt;&gt;"",B23&lt;&gt;0),VLOOKUP(B23,Tb_ProjectKosten[],4,0),"")</f>
        <v/>
      </c>
      <c r="C51" s="91" t="str">
        <f>IF(AND(C23&lt;&gt;"",C23&lt;&gt;0),VLOOKUP(C23,Tb_ProjectKosten[],4,0),"")</f>
        <v/>
      </c>
      <c r="D51" s="91" t="str">
        <f>IF(AND(D23&lt;&gt;"",D23&lt;&gt;0),VLOOKUP(D23,Tb_ProjectKosten[],4,0),"")</f>
        <v/>
      </c>
      <c r="E51" s="91" t="str">
        <f>IF(AND(E23&lt;&gt;"",E23&lt;&gt;0),VLOOKUP(E23,Tb_ProjectKosten[],4,0),"")</f>
        <v/>
      </c>
      <c r="F51" s="91" t="str">
        <f>IF(AND(F23&lt;&gt;"",F23&lt;&gt;0),VLOOKUP(F23,Tb_ProjectKosten[],4,0),"")</f>
        <v/>
      </c>
      <c r="G51" s="91" t="str">
        <f>IF(AND(G23&lt;&gt;"",G23&lt;&gt;0),VLOOKUP(G23,Tb_ProjectKosten[],4,0),"")</f>
        <v/>
      </c>
      <c r="H51" s="91" t="str">
        <f>IF(AND(H23&lt;&gt;"",H23&lt;&gt;0),VLOOKUP(H23,Tb_ProjectKosten[],4,0),"")</f>
        <v/>
      </c>
      <c r="I51" s="91" t="str">
        <f>IF(AND(I23&lt;&gt;"",I23&lt;&gt;0),VLOOKUP(I23,Tb_ProjectKosten[],4,0),"")</f>
        <v/>
      </c>
      <c r="J51" s="91" t="str">
        <f>IF(AND(J23&lt;&gt;"",J23&lt;&gt;0),VLOOKUP(J23,Tb_ProjectKosten[],4,0),"")</f>
        <v/>
      </c>
      <c r="K51" s="91" t="str">
        <f>IF(AND(K23&lt;&gt;"",K23&lt;&gt;0),VLOOKUP(K23,Tb_ProjectKosten[],4,0),"")</f>
        <v/>
      </c>
      <c r="L51" s="91" t="str">
        <f>IF(AND(L23&lt;&gt;"",L23&lt;&gt;0),VLOOKUP(L23,Tb_ProjectKosten[],4,0),"")</f>
        <v/>
      </c>
    </row>
    <row r="52" spans="1:12" x14ac:dyDescent="0.25">
      <c r="A52" s="91"/>
      <c r="B52" s="91" t="str">
        <f ca="1">IF(AND(B24&lt;&gt;"",B24&lt;&gt;0),VLOOKUP(B24,Tb_ProjectKosten[],4,0),"")</f>
        <v/>
      </c>
      <c r="C52" s="91" t="str">
        <f>IF(AND(C24&lt;&gt;"",C24&lt;&gt;0),VLOOKUP(C24,Tb_ProjectKosten[],4,0),"")</f>
        <v/>
      </c>
      <c r="D52" s="91" t="str">
        <f>IF(AND(D24&lt;&gt;"",D24&lt;&gt;0),VLOOKUP(D24,Tb_ProjectKosten[],4,0),"")</f>
        <v/>
      </c>
      <c r="E52" s="91" t="str">
        <f>IF(AND(E24&lt;&gt;"",E24&lt;&gt;0),VLOOKUP(E24,Tb_ProjectKosten[],4,0),"")</f>
        <v/>
      </c>
      <c r="F52" s="91" t="str">
        <f>IF(AND(F24&lt;&gt;"",F24&lt;&gt;0),VLOOKUP(F24,Tb_ProjectKosten[],4,0),"")</f>
        <v/>
      </c>
      <c r="G52" s="91" t="str">
        <f>IF(AND(G24&lt;&gt;"",G24&lt;&gt;0),VLOOKUP(G24,Tb_ProjectKosten[],4,0),"")</f>
        <v/>
      </c>
      <c r="H52" s="91" t="str">
        <f>IF(AND(H24&lt;&gt;"",H24&lt;&gt;0),VLOOKUP(H24,Tb_ProjectKosten[],4,0),"")</f>
        <v/>
      </c>
      <c r="I52" s="91" t="str">
        <f>IF(AND(I24&lt;&gt;"",I24&lt;&gt;0),VLOOKUP(I24,Tb_ProjectKosten[],4,0),"")</f>
        <v/>
      </c>
      <c r="J52" s="91" t="str">
        <f>IF(AND(J24&lt;&gt;"",J24&lt;&gt;0),VLOOKUP(J24,Tb_ProjectKosten[],4,0),"")</f>
        <v/>
      </c>
      <c r="K52" s="91" t="str">
        <f>IF(AND(K24&lt;&gt;"",K24&lt;&gt;0),VLOOKUP(K24,Tb_ProjectKosten[],4,0),"")</f>
        <v/>
      </c>
      <c r="L52" s="91" t="str">
        <f>IF(AND(L24&lt;&gt;"",L24&lt;&gt;0),VLOOKUP(L24,Tb_ProjectKosten[],4,0),"")</f>
        <v/>
      </c>
    </row>
    <row r="53" spans="1:12" x14ac:dyDescent="0.25">
      <c r="A53" s="91"/>
      <c r="B53" s="91" t="str">
        <f ca="1">IF(AND(B25&lt;&gt;"",B25&lt;&gt;0),VLOOKUP(B25,Tb_ProjectKosten[],4,0),"")</f>
        <v/>
      </c>
      <c r="C53" s="91" t="str">
        <f>IF(AND(C25&lt;&gt;"",C25&lt;&gt;0),VLOOKUP(C25,Tb_ProjectKosten[],4,0),"")</f>
        <v/>
      </c>
      <c r="D53" s="91" t="str">
        <f>IF(AND(D25&lt;&gt;"",D25&lt;&gt;0),VLOOKUP(D25,Tb_ProjectKosten[],4,0),"")</f>
        <v/>
      </c>
      <c r="E53" s="91" t="str">
        <f>IF(AND(E25&lt;&gt;"",E25&lt;&gt;0),VLOOKUP(E25,Tb_ProjectKosten[],4,0),"")</f>
        <v/>
      </c>
      <c r="F53" s="91" t="str">
        <f>IF(AND(F25&lt;&gt;"",F25&lt;&gt;0),VLOOKUP(F25,Tb_ProjectKosten[],4,0),"")</f>
        <v/>
      </c>
      <c r="G53" s="91" t="str">
        <f>IF(AND(G25&lt;&gt;"",G25&lt;&gt;0),VLOOKUP(G25,Tb_ProjectKosten[],4,0),"")</f>
        <v/>
      </c>
      <c r="H53" s="91" t="str">
        <f>IF(AND(H25&lt;&gt;"",H25&lt;&gt;0),VLOOKUP(H25,Tb_ProjectKosten[],4,0),"")</f>
        <v/>
      </c>
      <c r="I53" s="91" t="str">
        <f>IF(AND(I25&lt;&gt;"",I25&lt;&gt;0),VLOOKUP(I25,Tb_ProjectKosten[],4,0),"")</f>
        <v/>
      </c>
      <c r="J53" s="91" t="str">
        <f>IF(AND(J25&lt;&gt;"",J25&lt;&gt;0),VLOOKUP(J25,Tb_ProjectKosten[],4,0),"")</f>
        <v/>
      </c>
      <c r="K53" s="91" t="str">
        <f>IF(AND(K25&lt;&gt;"",K25&lt;&gt;0),VLOOKUP(K25,Tb_ProjectKosten[],4,0),"")</f>
        <v/>
      </c>
      <c r="L53" s="91" t="str">
        <f>IF(AND(L25&lt;&gt;"",L25&lt;&gt;0),VLOOKUP(L25,Tb_ProjectKosten[],4,0),"")</f>
        <v/>
      </c>
    </row>
    <row r="54" spans="1:12" x14ac:dyDescent="0.25">
      <c r="A54" s="91"/>
      <c r="B54" s="91" t="str">
        <f ca="1">IF(AND(B26&lt;&gt;"",B26&lt;&gt;0),VLOOKUP(B26,Tb_ProjectKosten[],4,0),"")</f>
        <v/>
      </c>
      <c r="C54" s="91" t="str">
        <f>IF(AND(C26&lt;&gt;"",C26&lt;&gt;0),VLOOKUP(C26,Tb_ProjectKosten[],4,0),"")</f>
        <v/>
      </c>
      <c r="D54" s="91" t="str">
        <f>IF(AND(D26&lt;&gt;"",D26&lt;&gt;0),VLOOKUP(D26,Tb_ProjectKosten[],4,0),"")</f>
        <v/>
      </c>
      <c r="E54" s="91" t="str">
        <f>IF(AND(E26&lt;&gt;"",E26&lt;&gt;0),VLOOKUP(E26,Tb_ProjectKosten[],4,0),"")</f>
        <v/>
      </c>
      <c r="F54" s="91" t="str">
        <f>IF(AND(F26&lt;&gt;"",F26&lt;&gt;0),VLOOKUP(F26,Tb_ProjectKosten[],4,0),"")</f>
        <v/>
      </c>
      <c r="G54" s="91" t="str">
        <f>IF(AND(G26&lt;&gt;"",G26&lt;&gt;0),VLOOKUP(G26,Tb_ProjectKosten[],4,0),"")</f>
        <v/>
      </c>
      <c r="H54" s="91" t="str">
        <f>IF(AND(H26&lt;&gt;"",H26&lt;&gt;0),VLOOKUP(H26,Tb_ProjectKosten[],4,0),"")</f>
        <v/>
      </c>
      <c r="I54" s="91" t="str">
        <f>IF(AND(I26&lt;&gt;"",I26&lt;&gt;0),VLOOKUP(I26,Tb_ProjectKosten[],4,0),"")</f>
        <v/>
      </c>
      <c r="J54" s="91" t="str">
        <f>IF(AND(J26&lt;&gt;"",J26&lt;&gt;0),VLOOKUP(J26,Tb_ProjectKosten[],4,0),"")</f>
        <v/>
      </c>
      <c r="K54" s="91" t="str">
        <f>IF(AND(K26&lt;&gt;"",K26&lt;&gt;0),VLOOKUP(K26,Tb_ProjectKosten[],4,0),"")</f>
        <v/>
      </c>
      <c r="L54" s="91" t="str">
        <f>IF(AND(L26&lt;&gt;"",L26&lt;&gt;0),VLOOKUP(L26,Tb_ProjectKosten[],4,0),"")</f>
        <v/>
      </c>
    </row>
    <row r="55" spans="1:12" x14ac:dyDescent="0.25">
      <c r="A55" s="91"/>
      <c r="B55" s="91" t="str">
        <f ca="1">IF(AND(B27&lt;&gt;"",B27&lt;&gt;0),VLOOKUP(B27,Tb_ProjectKosten[],4,0),"")</f>
        <v/>
      </c>
      <c r="C55" s="91" t="str">
        <f>IF(AND(C27&lt;&gt;"",C27&lt;&gt;0),VLOOKUP(C27,Tb_ProjectKosten[],4,0),"")</f>
        <v/>
      </c>
      <c r="D55" s="91" t="str">
        <f>IF(AND(D27&lt;&gt;"",D27&lt;&gt;0),VLOOKUP(D27,Tb_ProjectKosten[],4,0),"")</f>
        <v/>
      </c>
      <c r="E55" s="91" t="str">
        <f>IF(AND(E27&lt;&gt;"",E27&lt;&gt;0),VLOOKUP(E27,Tb_ProjectKosten[],4,0),"")</f>
        <v/>
      </c>
      <c r="F55" s="91" t="str">
        <f>IF(AND(F27&lt;&gt;"",F27&lt;&gt;0),VLOOKUP(F27,Tb_ProjectKosten[],4,0),"")</f>
        <v/>
      </c>
      <c r="G55" s="91" t="str">
        <f>IF(AND(G27&lt;&gt;"",G27&lt;&gt;0),VLOOKUP(G27,Tb_ProjectKosten[],4,0),"")</f>
        <v/>
      </c>
      <c r="H55" s="91" t="str">
        <f>IF(AND(H27&lt;&gt;"",H27&lt;&gt;0),VLOOKUP(H27,Tb_ProjectKosten[],4,0),"")</f>
        <v/>
      </c>
      <c r="I55" s="91" t="str">
        <f>IF(AND(I27&lt;&gt;"",I27&lt;&gt;0),VLOOKUP(I27,Tb_ProjectKosten[],4,0),"")</f>
        <v/>
      </c>
      <c r="J55" s="91" t="str">
        <f>IF(AND(J27&lt;&gt;"",J27&lt;&gt;0),VLOOKUP(J27,Tb_ProjectKosten[],4,0),"")</f>
        <v/>
      </c>
      <c r="K55" s="91" t="str">
        <f>IF(AND(K27&lt;&gt;"",K27&lt;&gt;0),VLOOKUP(K27,Tb_ProjectKosten[],4,0),"")</f>
        <v/>
      </c>
      <c r="L55" s="91" t="str">
        <f>IF(AND(L27&lt;&gt;"",L27&lt;&gt;0),VLOOKUP(L27,Tb_ProjectKosten[],4,0),"")</f>
        <v/>
      </c>
    </row>
    <row r="56" spans="1:12" x14ac:dyDescent="0.25">
      <c r="A56" s="91"/>
      <c r="B56" s="91" t="str">
        <f ca="1">IF(AND(B28&lt;&gt;"",B28&lt;&gt;0),VLOOKUP(B28,Tb_ProjectKosten[],4,0),"")</f>
        <v/>
      </c>
      <c r="C56" s="91" t="str">
        <f>IF(AND(C28&lt;&gt;"",C28&lt;&gt;0),VLOOKUP(C28,Tb_ProjectKosten[],4,0),"")</f>
        <v/>
      </c>
      <c r="D56" s="91" t="str">
        <f>IF(AND(D28&lt;&gt;"",D28&lt;&gt;0),VLOOKUP(D28,Tb_ProjectKosten[],4,0),"")</f>
        <v/>
      </c>
      <c r="E56" s="91" t="str">
        <f>IF(AND(E28&lt;&gt;"",E28&lt;&gt;0),VLOOKUP(E28,Tb_ProjectKosten[],4,0),"")</f>
        <v/>
      </c>
      <c r="F56" s="91" t="str">
        <f>IF(AND(F28&lt;&gt;"",F28&lt;&gt;0),VLOOKUP(F28,Tb_ProjectKosten[],4,0),"")</f>
        <v/>
      </c>
      <c r="G56" s="91" t="str">
        <f>IF(AND(G28&lt;&gt;"",G28&lt;&gt;0),VLOOKUP(G28,Tb_ProjectKosten[],4,0),"")</f>
        <v/>
      </c>
      <c r="H56" s="91" t="str">
        <f>IF(AND(H28&lt;&gt;"",H28&lt;&gt;0),VLOOKUP(H28,Tb_ProjectKosten[],4,0),"")</f>
        <v/>
      </c>
      <c r="I56" s="91" t="str">
        <f>IF(AND(I28&lt;&gt;"",I28&lt;&gt;0),VLOOKUP(I28,Tb_ProjectKosten[],4,0),"")</f>
        <v/>
      </c>
      <c r="J56" s="91" t="str">
        <f>IF(AND(J28&lt;&gt;"",J28&lt;&gt;0),VLOOKUP(J28,Tb_ProjectKosten[],4,0),"")</f>
        <v/>
      </c>
      <c r="K56" s="91" t="str">
        <f>IF(AND(K28&lt;&gt;"",K28&lt;&gt;0),VLOOKUP(K28,Tb_ProjectKosten[],4,0),"")</f>
        <v/>
      </c>
      <c r="L56" s="91" t="str">
        <f>IF(AND(L28&lt;&gt;"",L28&lt;&gt;0),VLOOKUP(L28,Tb_ProjectKosten[],4,0),"")</f>
        <v/>
      </c>
    </row>
    <row r="57" spans="1:12" x14ac:dyDescent="0.25">
      <c r="A57" s="91"/>
      <c r="B57" s="91" t="str">
        <f ca="1">IF(AND(B29&lt;&gt;"",B29&lt;&gt;0),VLOOKUP(B29,Tb_ProjectKosten[],4,0),"")</f>
        <v/>
      </c>
      <c r="C57" s="91" t="str">
        <f>IF(AND(C29&lt;&gt;"",C29&lt;&gt;0),VLOOKUP(C29,Tb_ProjectKosten[],4,0),"")</f>
        <v/>
      </c>
      <c r="D57" s="91" t="str">
        <f>IF(AND(D29&lt;&gt;"",D29&lt;&gt;0),VLOOKUP(D29,Tb_ProjectKosten[],4,0),"")</f>
        <v/>
      </c>
      <c r="E57" s="91" t="str">
        <f>IF(AND(E29&lt;&gt;"",E29&lt;&gt;0),VLOOKUP(E29,Tb_ProjectKosten[],4,0),"")</f>
        <v/>
      </c>
      <c r="F57" s="91" t="str">
        <f>IF(AND(F29&lt;&gt;"",F29&lt;&gt;0),VLOOKUP(F29,Tb_ProjectKosten[],4,0),"")</f>
        <v/>
      </c>
      <c r="G57" s="91" t="str">
        <f>IF(AND(G29&lt;&gt;"",G29&lt;&gt;0),VLOOKUP(G29,Tb_ProjectKosten[],4,0),"")</f>
        <v/>
      </c>
      <c r="H57" s="91" t="str">
        <f>IF(AND(H29&lt;&gt;"",H29&lt;&gt;0),VLOOKUP(H29,Tb_ProjectKosten[],4,0),"")</f>
        <v/>
      </c>
      <c r="I57" s="91" t="str">
        <f>IF(AND(I29&lt;&gt;"",I29&lt;&gt;0),VLOOKUP(I29,Tb_ProjectKosten[],4,0),"")</f>
        <v/>
      </c>
      <c r="J57" s="91" t="str">
        <f>IF(AND(J29&lt;&gt;"",J29&lt;&gt;0),VLOOKUP(J29,Tb_ProjectKosten[],4,0),"")</f>
        <v/>
      </c>
      <c r="K57" s="91" t="str">
        <f>IF(AND(K29&lt;&gt;"",K29&lt;&gt;0),VLOOKUP(K29,Tb_ProjectKosten[],4,0),"")</f>
        <v/>
      </c>
      <c r="L57" s="91" t="str">
        <f>IF(AND(L29&lt;&gt;"",L29&lt;&gt;0),VLOOKUP(L29,Tb_ProjectKosten[],4,0),"")</f>
        <v/>
      </c>
    </row>
    <row r="58" spans="1:12" x14ac:dyDescent="0.25">
      <c r="A58" s="91"/>
      <c r="B58" s="91" t="str">
        <f ca="1">IF(AND(B30&lt;&gt;"",B30&lt;&gt;0),VLOOKUP(B30,Tb_ProjectKosten[],4,0),"")</f>
        <v/>
      </c>
      <c r="C58" s="91" t="str">
        <f>IF(AND(C30&lt;&gt;"",C30&lt;&gt;0),VLOOKUP(C30,Tb_ProjectKosten[],4,0),"")</f>
        <v/>
      </c>
      <c r="D58" s="91" t="str">
        <f>IF(AND(D30&lt;&gt;"",D30&lt;&gt;0),VLOOKUP(D30,Tb_ProjectKosten[],4,0),"")</f>
        <v/>
      </c>
      <c r="E58" s="91" t="str">
        <f>IF(AND(E30&lt;&gt;"",E30&lt;&gt;0),VLOOKUP(E30,Tb_ProjectKosten[],4,0),"")</f>
        <v/>
      </c>
      <c r="F58" s="91" t="str">
        <f>IF(AND(F30&lt;&gt;"",F30&lt;&gt;0),VLOOKUP(F30,Tb_ProjectKosten[],4,0),"")</f>
        <v/>
      </c>
      <c r="G58" s="91" t="str">
        <f>IF(AND(G30&lt;&gt;"",G30&lt;&gt;0),VLOOKUP(G30,Tb_ProjectKosten[],4,0),"")</f>
        <v/>
      </c>
      <c r="H58" s="91" t="str">
        <f>IF(AND(H30&lt;&gt;"",H30&lt;&gt;0),VLOOKUP(H30,Tb_ProjectKosten[],4,0),"")</f>
        <v/>
      </c>
      <c r="I58" s="91" t="str">
        <f>IF(AND(I30&lt;&gt;"",I30&lt;&gt;0),VLOOKUP(I30,Tb_ProjectKosten[],4,0),"")</f>
        <v/>
      </c>
      <c r="J58" s="91" t="str">
        <f>IF(AND(J30&lt;&gt;"",J30&lt;&gt;0),VLOOKUP(J30,Tb_ProjectKosten[],4,0),"")</f>
        <v/>
      </c>
      <c r="K58" s="91" t="str">
        <f>IF(AND(K30&lt;&gt;"",K30&lt;&gt;0),VLOOKUP(K30,Tb_ProjectKosten[],4,0),"")</f>
        <v/>
      </c>
      <c r="L58" s="91" t="str">
        <f>IF(AND(L30&lt;&gt;"",L30&lt;&gt;0),VLOOKUP(L30,Tb_ProjectKosten[],4,0),"")</f>
        <v/>
      </c>
    </row>
    <row r="59" spans="1:12" x14ac:dyDescent="0.25">
      <c r="A59" s="91"/>
      <c r="B59" s="91" t="str">
        <f ca="1">IF(AND(B31&lt;&gt;"",B31&lt;&gt;0),VLOOKUP(B31,Tb_ProjectKosten[],4,0),"")</f>
        <v/>
      </c>
      <c r="C59" s="91" t="str">
        <f>IF(AND(C31&lt;&gt;"",C31&lt;&gt;0),VLOOKUP(C31,Tb_ProjectKosten[],4,0),"")</f>
        <v/>
      </c>
      <c r="D59" s="91" t="str">
        <f>IF(AND(D31&lt;&gt;"",D31&lt;&gt;0),VLOOKUP(D31,Tb_ProjectKosten[],4,0),"")</f>
        <v/>
      </c>
      <c r="E59" s="91" t="str">
        <f>IF(AND(E31&lt;&gt;"",E31&lt;&gt;0),VLOOKUP(E31,Tb_ProjectKosten[],4,0),"")</f>
        <v/>
      </c>
      <c r="F59" s="91" t="str">
        <f>IF(AND(F31&lt;&gt;"",F31&lt;&gt;0),VLOOKUP(F31,Tb_ProjectKosten[],4,0),"")</f>
        <v/>
      </c>
      <c r="G59" s="91" t="str">
        <f>IF(AND(G31&lt;&gt;"",G31&lt;&gt;0),VLOOKUP(G31,Tb_ProjectKosten[],4,0),"")</f>
        <v/>
      </c>
      <c r="H59" s="91" t="str">
        <f>IF(AND(H31&lt;&gt;"",H31&lt;&gt;0),VLOOKUP(H31,Tb_ProjectKosten[],4,0),"")</f>
        <v/>
      </c>
      <c r="I59" s="91" t="str">
        <f>IF(AND(I31&lt;&gt;"",I31&lt;&gt;0),VLOOKUP(I31,Tb_ProjectKosten[],4,0),"")</f>
        <v/>
      </c>
      <c r="J59" s="91" t="str">
        <f>IF(AND(J31&lt;&gt;"",J31&lt;&gt;0),VLOOKUP(J31,Tb_ProjectKosten[],4,0),"")</f>
        <v/>
      </c>
      <c r="K59" s="91" t="str">
        <f>IF(AND(K31&lt;&gt;"",K31&lt;&gt;0),VLOOKUP(K31,Tb_ProjectKosten[],4,0),"")</f>
        <v/>
      </c>
      <c r="L59" s="91" t="str">
        <f>IF(AND(L31&lt;&gt;"",L31&lt;&gt;0),VLOOKUP(L31,Tb_ProjectKosten[],4,0),"")</f>
        <v/>
      </c>
    </row>
    <row r="60" spans="1:12" x14ac:dyDescent="0.25">
      <c r="A60" s="91"/>
      <c r="B60" s="91" t="str">
        <f ca="1">IF(AND(B32&lt;&gt;"",B32&lt;&gt;0),VLOOKUP(B32,Tb_ProjectKosten[],4,0),"")</f>
        <v/>
      </c>
      <c r="C60" s="91" t="str">
        <f>IF(AND(C32&lt;&gt;"",C32&lt;&gt;0),VLOOKUP(C32,Tb_ProjectKosten[],4,0),"")</f>
        <v/>
      </c>
      <c r="D60" s="91" t="str">
        <f>IF(AND(D32&lt;&gt;"",D32&lt;&gt;0),VLOOKUP(D32,Tb_ProjectKosten[],4,0),"")</f>
        <v/>
      </c>
      <c r="E60" s="91" t="str">
        <f>IF(AND(E32&lt;&gt;"",E32&lt;&gt;0),VLOOKUP(E32,Tb_ProjectKosten[],4,0),"")</f>
        <v/>
      </c>
      <c r="F60" s="91" t="str">
        <f>IF(AND(F32&lt;&gt;"",F32&lt;&gt;0),VLOOKUP(F32,Tb_ProjectKosten[],4,0),"")</f>
        <v/>
      </c>
      <c r="G60" s="91" t="str">
        <f>IF(AND(G32&lt;&gt;"",G32&lt;&gt;0),VLOOKUP(G32,Tb_ProjectKosten[],4,0),"")</f>
        <v/>
      </c>
      <c r="H60" s="91" t="str">
        <f>IF(AND(H32&lt;&gt;"",H32&lt;&gt;0),VLOOKUP(H32,Tb_ProjectKosten[],4,0),"")</f>
        <v/>
      </c>
      <c r="I60" s="91" t="str">
        <f>IF(AND(I32&lt;&gt;"",I32&lt;&gt;0),VLOOKUP(I32,Tb_ProjectKosten[],4,0),"")</f>
        <v/>
      </c>
      <c r="J60" s="91" t="str">
        <f>IF(AND(J32&lt;&gt;"",J32&lt;&gt;0),VLOOKUP(J32,Tb_ProjectKosten[],4,0),"")</f>
        <v/>
      </c>
      <c r="K60" s="91" t="str">
        <f>IF(AND(K32&lt;&gt;"",K32&lt;&gt;0),VLOOKUP(K32,Tb_ProjectKosten[],4,0),"")</f>
        <v/>
      </c>
      <c r="L60" s="91" t="str">
        <f>IF(AND(L32&lt;&gt;"",L32&lt;&gt;0),VLOOKUP(L32,Tb_ProjectKosten[],4,0),"")</f>
        <v/>
      </c>
    </row>
    <row r="62" spans="1:12" x14ac:dyDescent="0.25">
      <c r="A62" s="58" t="s">
        <v>119</v>
      </c>
      <c r="B62" s="58" t="s">
        <v>200</v>
      </c>
      <c r="C62" s="58" t="s">
        <v>201</v>
      </c>
      <c r="D62" s="58" t="s">
        <v>202</v>
      </c>
      <c r="E62" s="58" t="s">
        <v>203</v>
      </c>
      <c r="F62" s="58" t="s">
        <v>204</v>
      </c>
      <c r="G62" s="58" t="s">
        <v>245</v>
      </c>
    </row>
    <row r="63" spans="1:12" x14ac:dyDescent="0.25">
      <c r="A63" s="91" cm="1">
        <f t="array" aca="1" ref="A63" ca="1">OFFSET(Lijsten!$AJ$1,1,1,IF(COUNTIF(Lijsten!$AJ$1:$AJ$100,"&lt;&gt;"&amp;"")&gt;1,COUNTIF(Lijsten!$AJ$1:$AJ$100,"&lt;&gt;"&amp;"")-1,COUNTIF(Lijsten!$AJ$1:$AJ$100,"&lt;&gt;"&amp;"")))</f>
        <v>0</v>
      </c>
      <c r="B63" s="91" t="str" cm="1">
        <f t="array" aca="1" ref="B63" ca="1">IFERROR(_xlfn._xlws.FILTER(OFFSET(Lijsten!$BH:$BI,MATCH(A63,Lijsten!AK:AK,0)-1,,1),OFFSET(Lijsten!$BH:$BI,MATCH(A63,Lijsten!AK:AK,0)-1,,1)&lt;&gt;""),"")</f>
        <v/>
      </c>
      <c r="C63" s="91"/>
      <c r="D63" s="91"/>
      <c r="E63" s="91"/>
      <c r="F63" s="91"/>
      <c r="G63" s="91"/>
    </row>
    <row r="64" spans="1:12" x14ac:dyDescent="0.25">
      <c r="A64" s="91"/>
      <c r="B64" s="91" t="str" cm="1">
        <f t="array" aca="1" ref="B64" ca="1">IFERROR(_xlfn._xlws.FILTER(OFFSET(Lijsten!$BH:$BI,MATCH(A64,Lijsten!AK:AK,0)-1,,1),OFFSET(Lijsten!$BH:$BI,MATCH(A64,Lijsten!AK:AK,0)-1,,1)&lt;&gt;""),"")</f>
        <v/>
      </c>
      <c r="C64" s="91"/>
      <c r="D64" s="91"/>
      <c r="E64" s="91"/>
      <c r="F64" s="91"/>
      <c r="G64" s="91"/>
    </row>
    <row r="65" spans="1:7" x14ac:dyDescent="0.25">
      <c r="A65" s="91"/>
      <c r="B65" s="91" t="str" cm="1">
        <f t="array" aca="1" ref="B65" ca="1">IFERROR(_xlfn._xlws.FILTER(OFFSET(Lijsten!$BH:$BI,MATCH(A65,Lijsten!AK:AK,0)-1,,1),OFFSET(Lijsten!$BH:$BI,MATCH(A65,Lijsten!AK:AK,0)-1,,1)&lt;&gt;""),"")</f>
        <v/>
      </c>
      <c r="C65" s="91"/>
      <c r="D65" s="91"/>
      <c r="E65" s="91"/>
      <c r="F65" s="91"/>
      <c r="G65" s="91"/>
    </row>
    <row r="66" spans="1:7" x14ac:dyDescent="0.25">
      <c r="A66" s="91"/>
      <c r="B66" s="91" t="str" cm="1">
        <f t="array" aca="1" ref="B66" ca="1">IFERROR(_xlfn._xlws.FILTER(OFFSET(Lijsten!$BH:$BI,MATCH(A66,Lijsten!AK:AK,0)-1,,1),OFFSET(Lijsten!$BH:$BI,MATCH(A66,Lijsten!AK:AK,0)-1,,1)&lt;&gt;""),"")</f>
        <v/>
      </c>
      <c r="C66" s="91"/>
      <c r="D66" s="91"/>
      <c r="E66" s="91"/>
      <c r="F66" s="91"/>
      <c r="G66" s="91"/>
    </row>
    <row r="67" spans="1:7" x14ac:dyDescent="0.25">
      <c r="A67" s="91"/>
      <c r="B67" s="91" t="str" cm="1">
        <f t="array" aca="1" ref="B67" ca="1">IFERROR(_xlfn._xlws.FILTER(OFFSET(Lijsten!$BH:$BI,MATCH(A67,Lijsten!AK:AK,0)-1,,1),OFFSET(Lijsten!$BH:$BI,MATCH(A67,Lijsten!AK:AK,0)-1,,1)&lt;&gt;""),"")</f>
        <v/>
      </c>
      <c r="C67" s="91"/>
      <c r="D67" s="91"/>
      <c r="E67" s="91"/>
      <c r="F67" s="91"/>
      <c r="G67" s="91"/>
    </row>
    <row r="68" spans="1:7" x14ac:dyDescent="0.25">
      <c r="A68" s="91"/>
      <c r="B68" s="91" t="str" cm="1">
        <f t="array" aca="1" ref="B68" ca="1">IFERROR(_xlfn._xlws.FILTER(OFFSET(Lijsten!$BH:$BI,MATCH(A68,Lijsten!AK:AK,0)-1,,1),OFFSET(Lijsten!$BH:$BI,MATCH(A68,Lijsten!AK:AK,0)-1,,1)&lt;&gt;""),"")</f>
        <v/>
      </c>
      <c r="C68" s="91"/>
      <c r="D68" s="91"/>
      <c r="E68" s="91"/>
      <c r="F68" s="91"/>
      <c r="G68" s="91"/>
    </row>
    <row r="69" spans="1:7" x14ac:dyDescent="0.25">
      <c r="A69" s="91"/>
      <c r="B69" s="91" t="str" cm="1">
        <f t="array" aca="1" ref="B69" ca="1">IFERROR(_xlfn._xlws.FILTER(OFFSET(Lijsten!$BH:$BI,MATCH(A69,Lijsten!AK:AK,0)-1,,1),OFFSET(Lijsten!$BH:$BI,MATCH(A69,Lijsten!AK:AK,0)-1,,1)&lt;&gt;""),"")</f>
        <v/>
      </c>
      <c r="C69" s="91"/>
      <c r="D69" s="91"/>
      <c r="E69" s="91"/>
      <c r="F69" s="91"/>
      <c r="G69" s="91"/>
    </row>
    <row r="70" spans="1:7" x14ac:dyDescent="0.25">
      <c r="A70" s="91"/>
      <c r="B70" s="91" t="str" cm="1">
        <f t="array" aca="1" ref="B70" ca="1">IFERROR(_xlfn._xlws.FILTER(OFFSET(Lijsten!$BH:$BI,MATCH(A70,Lijsten!AK:AK,0)-1,,1),OFFSET(Lijsten!$BH:$BI,MATCH(A70,Lijsten!AK:AK,0)-1,,1)&lt;&gt;""),"")</f>
        <v/>
      </c>
      <c r="C70" s="91"/>
      <c r="D70" s="91"/>
      <c r="E70" s="91"/>
      <c r="F70" s="91"/>
      <c r="G70" s="91"/>
    </row>
    <row r="71" spans="1:7" x14ac:dyDescent="0.25">
      <c r="A71" s="91"/>
      <c r="B71" s="91" t="str" cm="1">
        <f t="array" aca="1" ref="B71" ca="1">IFERROR(_xlfn._xlws.FILTER(OFFSET(Lijsten!$BH:$BI,MATCH(A71,Lijsten!AK:AK,0)-1,,1),OFFSET(Lijsten!$BH:$BI,MATCH(A71,Lijsten!AK:AK,0)-1,,1)&lt;&gt;""),"")</f>
        <v/>
      </c>
      <c r="C71" s="91"/>
      <c r="D71" s="91"/>
      <c r="E71" s="91"/>
      <c r="F71" s="91"/>
      <c r="G71" s="91"/>
    </row>
    <row r="72" spans="1:7" x14ac:dyDescent="0.25">
      <c r="A72" s="91"/>
      <c r="B72" s="91" t="str" cm="1">
        <f t="array" aca="1" ref="B72" ca="1">IFERROR(_xlfn._xlws.FILTER(OFFSET(Lijsten!$BH:$BI,MATCH(A72,Lijsten!AK:AK,0)-1,,1),OFFSET(Lijsten!$BH:$BI,MATCH(A72,Lijsten!AK:AK,0)-1,,1)&lt;&gt;""),"")</f>
        <v/>
      </c>
      <c r="C72" s="91"/>
      <c r="D72" s="91"/>
      <c r="E72" s="91"/>
      <c r="F72" s="91"/>
      <c r="G72" s="91"/>
    </row>
    <row r="73" spans="1:7" x14ac:dyDescent="0.25">
      <c r="A73" s="91"/>
      <c r="B73" s="91" t="str" cm="1">
        <f t="array" aca="1" ref="B73" ca="1">IFERROR(_xlfn._xlws.FILTER(OFFSET(Lijsten!$BH:$BI,MATCH(A73,Lijsten!AK:AK,0)-1,,1),OFFSET(Lijsten!$BH:$BI,MATCH(A73,Lijsten!AK:AK,0)-1,,1)&lt;&gt;""),"")</f>
        <v/>
      </c>
      <c r="C73" s="91"/>
      <c r="D73" s="91"/>
      <c r="E73" s="91"/>
      <c r="F73" s="91"/>
      <c r="G73" s="91"/>
    </row>
    <row r="74" spans="1:7" x14ac:dyDescent="0.25">
      <c r="A74" s="91"/>
      <c r="B74" s="91" t="str" cm="1">
        <f t="array" aca="1" ref="B74" ca="1">IFERROR(_xlfn._xlws.FILTER(OFFSET(Lijsten!$BH:$BI,MATCH(A74,Lijsten!AK:AK,0)-1,,1),OFFSET(Lijsten!$BH:$BI,MATCH(A74,Lijsten!AK:AK,0)-1,,1)&lt;&gt;""),"")</f>
        <v/>
      </c>
      <c r="C74" s="91"/>
      <c r="D74" s="91"/>
      <c r="E74" s="91"/>
      <c r="F74" s="91"/>
      <c r="G74" s="91"/>
    </row>
    <row r="76" spans="1:7" x14ac:dyDescent="0.25">
      <c r="A76" s="58" t="s">
        <v>194</v>
      </c>
      <c r="B76" s="58" t="s">
        <v>200</v>
      </c>
      <c r="C76" s="58" t="s">
        <v>201</v>
      </c>
      <c r="D76" s="58" t="s">
        <v>202</v>
      </c>
      <c r="E76" s="58" t="s">
        <v>203</v>
      </c>
      <c r="F76" s="58" t="s">
        <v>204</v>
      </c>
      <c r="G76" s="58" t="s">
        <v>245</v>
      </c>
    </row>
    <row r="77" spans="1:7" x14ac:dyDescent="0.25">
      <c r="A77" s="91" cm="1">
        <f t="array" aca="1" ref="A77" ca="1">OFFSET(Lijsten!$AJ$1,1,1,IF(COUNTIF(Lijsten!$AJ$1:$AJ$100,"&lt;&gt;"&amp;"")&gt;1,COUNTIF(Lijsten!$AJ$1:$AJ$100,"&lt;&gt;"&amp;"")-1,COUNTIF(Lijsten!$AJ$1:$AJ$100,"&lt;&gt;"&amp;"")))</f>
        <v>0</v>
      </c>
      <c r="B77" s="91" t="str" cm="1">
        <f t="array" aca="1" ref="B77" ca="1">TRANSPOSE(_xlfn.UNIQUE(TRANSPOSE(B91:G91)))</f>
        <v/>
      </c>
      <c r="C77" s="91"/>
      <c r="D77" s="91"/>
      <c r="E77" s="91"/>
      <c r="F77" s="91"/>
      <c r="G77" s="91"/>
    </row>
    <row r="78" spans="1:7" x14ac:dyDescent="0.25">
      <c r="A78" s="91"/>
      <c r="B78" s="91" t="str" cm="1">
        <f t="array" aca="1" ref="B78" ca="1">TRANSPOSE(_xlfn.UNIQUE(TRANSPOSE(B92:G92)))</f>
        <v/>
      </c>
      <c r="C78" s="91"/>
      <c r="D78" s="91"/>
      <c r="E78" s="91"/>
      <c r="F78" s="91"/>
      <c r="G78" s="91"/>
    </row>
    <row r="79" spans="1:7" x14ac:dyDescent="0.25">
      <c r="A79" s="91"/>
      <c r="B79" s="91" t="str" cm="1">
        <f t="array" aca="1" ref="B79" ca="1">TRANSPOSE(_xlfn.UNIQUE(TRANSPOSE(B93:G93)))</f>
        <v/>
      </c>
      <c r="C79" s="91"/>
      <c r="D79" s="91"/>
      <c r="E79" s="91"/>
      <c r="F79" s="91"/>
      <c r="G79" s="91"/>
    </row>
    <row r="80" spans="1:7" x14ac:dyDescent="0.25">
      <c r="A80" s="91"/>
      <c r="B80" s="91" t="str" cm="1">
        <f t="array" aca="1" ref="B80" ca="1">TRANSPOSE(_xlfn.UNIQUE(TRANSPOSE(B94:G94)))</f>
        <v/>
      </c>
      <c r="C80" s="91"/>
      <c r="D80" s="91"/>
      <c r="E80" s="91"/>
      <c r="F80" s="91"/>
      <c r="G80" s="91"/>
    </row>
    <row r="81" spans="1:7" x14ac:dyDescent="0.25">
      <c r="A81" s="91"/>
      <c r="B81" s="91" t="str" cm="1">
        <f t="array" aca="1" ref="B81" ca="1">TRANSPOSE(_xlfn.UNIQUE(TRANSPOSE(B95:G95)))</f>
        <v/>
      </c>
      <c r="C81" s="91"/>
      <c r="D81" s="91"/>
      <c r="E81" s="91"/>
      <c r="F81" s="91"/>
      <c r="G81" s="91"/>
    </row>
    <row r="82" spans="1:7" x14ac:dyDescent="0.25">
      <c r="A82" s="91"/>
      <c r="B82" s="91" t="str" cm="1">
        <f t="array" aca="1" ref="B82" ca="1">TRANSPOSE(_xlfn.UNIQUE(TRANSPOSE(B96:G96)))</f>
        <v/>
      </c>
      <c r="C82" s="91"/>
      <c r="D82" s="91"/>
      <c r="E82" s="91"/>
      <c r="F82" s="91"/>
      <c r="G82" s="91"/>
    </row>
    <row r="83" spans="1:7" x14ac:dyDescent="0.25">
      <c r="A83" s="91"/>
      <c r="B83" s="91" t="str" cm="1">
        <f t="array" aca="1" ref="B83" ca="1">TRANSPOSE(_xlfn.UNIQUE(TRANSPOSE(B97:G97)))</f>
        <v/>
      </c>
      <c r="C83" s="91"/>
      <c r="D83" s="91"/>
      <c r="E83" s="91"/>
      <c r="F83" s="91"/>
      <c r="G83" s="91"/>
    </row>
    <row r="84" spans="1:7" x14ac:dyDescent="0.25">
      <c r="A84" s="91"/>
      <c r="B84" s="91" t="str" cm="1">
        <f t="array" aca="1" ref="B84" ca="1">TRANSPOSE(_xlfn.UNIQUE(TRANSPOSE(B98:G98)))</f>
        <v/>
      </c>
      <c r="C84" s="91"/>
      <c r="D84" s="91"/>
      <c r="E84" s="91"/>
      <c r="F84" s="91"/>
      <c r="G84" s="91"/>
    </row>
    <row r="85" spans="1:7" x14ac:dyDescent="0.25">
      <c r="A85" s="91"/>
      <c r="B85" s="91" t="str" cm="1">
        <f t="array" aca="1" ref="B85" ca="1">TRANSPOSE(_xlfn.UNIQUE(TRANSPOSE(B99:G99)))</f>
        <v/>
      </c>
      <c r="C85" s="91"/>
      <c r="D85" s="91"/>
      <c r="E85" s="91"/>
      <c r="F85" s="91"/>
      <c r="G85" s="91"/>
    </row>
    <row r="86" spans="1:7" x14ac:dyDescent="0.25">
      <c r="A86" s="91"/>
      <c r="B86" s="91" t="str" cm="1">
        <f t="array" aca="1" ref="B86" ca="1">TRANSPOSE(_xlfn.UNIQUE(TRANSPOSE(B100:G100)))</f>
        <v/>
      </c>
      <c r="C86" s="91"/>
      <c r="D86" s="91"/>
      <c r="E86" s="91"/>
      <c r="F86" s="91"/>
      <c r="G86" s="91"/>
    </row>
    <row r="87" spans="1:7" x14ac:dyDescent="0.25">
      <c r="A87" s="91"/>
      <c r="B87" s="91" t="str" cm="1">
        <f t="array" aca="1" ref="B87" ca="1">TRANSPOSE(_xlfn.UNIQUE(TRANSPOSE(B101:G101)))</f>
        <v/>
      </c>
      <c r="C87" s="91"/>
      <c r="D87" s="91"/>
      <c r="E87" s="91"/>
      <c r="F87" s="91"/>
      <c r="G87" s="91"/>
    </row>
    <row r="88" spans="1:7" x14ac:dyDescent="0.25">
      <c r="A88" s="91"/>
      <c r="B88" s="91" t="str" cm="1">
        <f t="array" aca="1" ref="B88" ca="1">TRANSPOSE(_xlfn.UNIQUE(TRANSPOSE(B102:G102)))</f>
        <v/>
      </c>
      <c r="C88" s="91"/>
      <c r="D88" s="91"/>
      <c r="E88" s="91"/>
      <c r="F88" s="91"/>
      <c r="G88" s="91"/>
    </row>
    <row r="90" spans="1:7" x14ac:dyDescent="0.25">
      <c r="A90" s="58" t="s">
        <v>195</v>
      </c>
      <c r="B90" s="58" t="s">
        <v>200</v>
      </c>
      <c r="C90" s="58" t="s">
        <v>201</v>
      </c>
      <c r="D90" s="58" t="s">
        <v>202</v>
      </c>
      <c r="E90" s="58" t="s">
        <v>203</v>
      </c>
      <c r="F90" s="58" t="s">
        <v>204</v>
      </c>
      <c r="G90" s="58" t="s">
        <v>245</v>
      </c>
    </row>
    <row r="91" spans="1:7" x14ac:dyDescent="0.25">
      <c r="A91" s="91" cm="1">
        <f t="array" aca="1" ref="A91" ca="1">OFFSET(Lijsten!$AJ$1,1,1,IF(COUNTIF(Lijsten!$AJ$1:$AJ$100,"&lt;&gt;"&amp;"")&gt;1,COUNTIF(Lijsten!$AJ$1:$AJ$100,"&lt;&gt;"&amp;"")-1,COUNTIF(Lijsten!$AJ$1:$AJ$100,"&lt;&gt;"&amp;"")))</f>
        <v>0</v>
      </c>
      <c r="B91" s="91" t="str">
        <f ca="1">IF(AND(B63&lt;&gt;"",B63&lt;&gt;0),VLOOKUP(B63,Tb_KostenTypen[#All],1,0),"")</f>
        <v/>
      </c>
      <c r="C91" s="91" t="str">
        <f>IF(AND(C63&lt;&gt;"",C63&lt;&gt;0),VLOOKUP(C63,Tb_KostenTypen[#All],1,0),"")</f>
        <v/>
      </c>
      <c r="D91" s="91" t="str">
        <f>IF(AND(D63&lt;&gt;"",D63&lt;&gt;0),VLOOKUP(D63,Tb_KostenTypen[#All],1,0),"")</f>
        <v/>
      </c>
      <c r="E91" s="91" t="str">
        <f>IF(AND(E63&lt;&gt;"",E63&lt;&gt;0),VLOOKUP(E63,Tb_KostenTypen[#All],1,0),"")</f>
        <v/>
      </c>
      <c r="F91" s="91" t="str">
        <f>IF(AND(F63&lt;&gt;"",F63&lt;&gt;0),VLOOKUP(F63,Tb_KostenTypen[#All],1,0),"")</f>
        <v/>
      </c>
      <c r="G91" s="91" t="str">
        <f>IF(AND(G63&lt;&gt;"",G63&lt;&gt;0),VLOOKUP(G63,Tb_KostenTypen[#All],1,0),"")</f>
        <v/>
      </c>
    </row>
    <row r="92" spans="1:7" x14ac:dyDescent="0.25">
      <c r="A92" s="91"/>
      <c r="B92" s="91" t="str">
        <f ca="1">IF(AND(B64&lt;&gt;"",B64&lt;&gt;0),VLOOKUP(B64,Tb_KostenTypen[#All],1,0),"")</f>
        <v/>
      </c>
      <c r="C92" s="91" t="str">
        <f>IF(AND(C64&lt;&gt;"",C64&lt;&gt;0),VLOOKUP(C64,Tb_KostenTypen[#All],1,0),"")</f>
        <v/>
      </c>
      <c r="D92" s="91" t="str">
        <f>IF(AND(D64&lt;&gt;"",D64&lt;&gt;0),VLOOKUP(D64,Tb_KostenTypen[#All],1,0),"")</f>
        <v/>
      </c>
      <c r="E92" s="91" t="str">
        <f>IF(AND(E64&lt;&gt;"",E64&lt;&gt;0),VLOOKUP(E64,Tb_KostenTypen[#All],1,0),"")</f>
        <v/>
      </c>
      <c r="F92" s="91" t="str">
        <f>IF(AND(F64&lt;&gt;"",F64&lt;&gt;0),VLOOKUP(F64,Tb_KostenTypen[#All],1,0),"")</f>
        <v/>
      </c>
      <c r="G92" s="91" t="str">
        <f>IF(AND(G64&lt;&gt;"",G64&lt;&gt;0),VLOOKUP(G64,Tb_KostenTypen[#All],1,0),"")</f>
        <v/>
      </c>
    </row>
    <row r="93" spans="1:7" x14ac:dyDescent="0.25">
      <c r="A93" s="91"/>
      <c r="B93" s="91" t="str">
        <f ca="1">IF(AND(B65&lt;&gt;"",B65&lt;&gt;0),VLOOKUP(B65,Tb_KostenTypen[#All],1,0),"")</f>
        <v/>
      </c>
      <c r="C93" s="91" t="str">
        <f>IF(AND(C65&lt;&gt;"",C65&lt;&gt;0),VLOOKUP(C65,Tb_KostenTypen[#All],1,0),"")</f>
        <v/>
      </c>
      <c r="D93" s="91" t="str">
        <f>IF(AND(D65&lt;&gt;"",D65&lt;&gt;0),VLOOKUP(D65,Tb_KostenTypen[#All],1,0),"")</f>
        <v/>
      </c>
      <c r="E93" s="91" t="str">
        <f>IF(AND(E65&lt;&gt;"",E65&lt;&gt;0),VLOOKUP(E65,Tb_KostenTypen[#All],1,0),"")</f>
        <v/>
      </c>
      <c r="F93" s="91" t="str">
        <f>IF(AND(F65&lt;&gt;"",F65&lt;&gt;0),VLOOKUP(F65,Tb_KostenTypen[#All],1,0),"")</f>
        <v/>
      </c>
      <c r="G93" s="91" t="str">
        <f>IF(AND(G65&lt;&gt;"",G65&lt;&gt;0),VLOOKUP(G65,Tb_KostenTypen[#All],1,0),"")</f>
        <v/>
      </c>
    </row>
    <row r="94" spans="1:7" x14ac:dyDescent="0.25">
      <c r="A94" s="91"/>
      <c r="B94" s="91" t="str">
        <f ca="1">IF(AND(B66&lt;&gt;"",B66&lt;&gt;0),VLOOKUP(B66,Tb_KostenTypen[#All],1,0),"")</f>
        <v/>
      </c>
      <c r="C94" s="91" t="str">
        <f>IF(AND(C66&lt;&gt;"",C66&lt;&gt;0),VLOOKUP(C66,Tb_KostenTypen[#All],1,0),"")</f>
        <v/>
      </c>
      <c r="D94" s="91" t="str">
        <f>IF(AND(D66&lt;&gt;"",D66&lt;&gt;0),VLOOKUP(D66,Tb_KostenTypen[#All],1,0),"")</f>
        <v/>
      </c>
      <c r="E94" s="91" t="str">
        <f>IF(AND(E66&lt;&gt;"",E66&lt;&gt;0),VLOOKUP(E66,Tb_KostenTypen[#All],1,0),"")</f>
        <v/>
      </c>
      <c r="F94" s="91" t="str">
        <f>IF(AND(F66&lt;&gt;"",F66&lt;&gt;0),VLOOKUP(F66,Tb_KostenTypen[#All],1,0),"")</f>
        <v/>
      </c>
      <c r="G94" s="91" t="str">
        <f>IF(AND(G66&lt;&gt;"",G66&lt;&gt;0),VLOOKUP(G66,Tb_KostenTypen[#All],1,0),"")</f>
        <v/>
      </c>
    </row>
    <row r="95" spans="1:7" x14ac:dyDescent="0.25">
      <c r="A95" s="91"/>
      <c r="B95" s="91" t="str">
        <f ca="1">IF(AND(B67&lt;&gt;"",B67&lt;&gt;0),VLOOKUP(B67,Tb_KostenTypen[#All],1,0),"")</f>
        <v/>
      </c>
      <c r="C95" s="91" t="str">
        <f>IF(AND(C67&lt;&gt;"",C67&lt;&gt;0),VLOOKUP(C67,Tb_KostenTypen[#All],1,0),"")</f>
        <v/>
      </c>
      <c r="D95" s="91" t="str">
        <f>IF(AND(D67&lt;&gt;"",D67&lt;&gt;0),VLOOKUP(D67,Tb_KostenTypen[#All],1,0),"")</f>
        <v/>
      </c>
      <c r="E95" s="91" t="str">
        <f>IF(AND(E67&lt;&gt;"",E67&lt;&gt;0),VLOOKUP(E67,Tb_KostenTypen[#All],1,0),"")</f>
        <v/>
      </c>
      <c r="F95" s="91" t="str">
        <f>IF(AND(F67&lt;&gt;"",F67&lt;&gt;0),VLOOKUP(F67,Tb_KostenTypen[#All],1,0),"")</f>
        <v/>
      </c>
      <c r="G95" s="91" t="str">
        <f>IF(AND(G67&lt;&gt;"",G67&lt;&gt;0),VLOOKUP(G67,Tb_KostenTypen[#All],1,0),"")</f>
        <v/>
      </c>
    </row>
    <row r="96" spans="1:7" x14ac:dyDescent="0.25">
      <c r="A96" s="91"/>
      <c r="B96" s="91" t="str">
        <f ca="1">IF(AND(B68&lt;&gt;"",B68&lt;&gt;0),VLOOKUP(B68,Tb_KostenTypen[#All],1,0),"")</f>
        <v/>
      </c>
      <c r="C96" s="91" t="str">
        <f>IF(AND(C68&lt;&gt;"",C68&lt;&gt;0),VLOOKUP(C68,Tb_KostenTypen[#All],1,0),"")</f>
        <v/>
      </c>
      <c r="D96" s="91" t="str">
        <f>IF(AND(D68&lt;&gt;"",D68&lt;&gt;0),VLOOKUP(D68,Tb_KostenTypen[#All],1,0),"")</f>
        <v/>
      </c>
      <c r="E96" s="91" t="str">
        <f>IF(AND(E68&lt;&gt;"",E68&lt;&gt;0),VLOOKUP(E68,Tb_KostenTypen[#All],1,0),"")</f>
        <v/>
      </c>
      <c r="F96" s="91" t="str">
        <f>IF(AND(F68&lt;&gt;"",F68&lt;&gt;0),VLOOKUP(F68,Tb_KostenTypen[#All],1,0),"")</f>
        <v/>
      </c>
      <c r="G96" s="91" t="str">
        <f>IF(AND(G68&lt;&gt;"",G68&lt;&gt;0),VLOOKUP(G68,Tb_KostenTypen[#All],1,0),"")</f>
        <v/>
      </c>
    </row>
    <row r="97" spans="1:7" x14ac:dyDescent="0.25">
      <c r="A97" s="91"/>
      <c r="B97" s="91" t="str">
        <f ca="1">IF(AND(B69&lt;&gt;"",B69&lt;&gt;0),VLOOKUP(B69,Tb_KostenTypen[#All],1,0),"")</f>
        <v/>
      </c>
      <c r="C97" s="91" t="str">
        <f>IF(AND(C69&lt;&gt;"",C69&lt;&gt;0),VLOOKUP(C69,Tb_KostenTypen[#All],1,0),"")</f>
        <v/>
      </c>
      <c r="D97" s="91" t="str">
        <f>IF(AND(D69&lt;&gt;"",D69&lt;&gt;0),VLOOKUP(D69,Tb_KostenTypen[#All],1,0),"")</f>
        <v/>
      </c>
      <c r="E97" s="91" t="str">
        <f>IF(AND(E69&lt;&gt;"",E69&lt;&gt;0),VLOOKUP(E69,Tb_KostenTypen[#All],1,0),"")</f>
        <v/>
      </c>
      <c r="F97" s="91" t="str">
        <f>IF(AND(F69&lt;&gt;"",F69&lt;&gt;0),VLOOKUP(F69,Tb_KostenTypen[#All],1,0),"")</f>
        <v/>
      </c>
      <c r="G97" s="91" t="str">
        <f>IF(AND(G69&lt;&gt;"",G69&lt;&gt;0),VLOOKUP(G69,Tb_KostenTypen[#All],1,0),"")</f>
        <v/>
      </c>
    </row>
    <row r="98" spans="1:7" x14ac:dyDescent="0.25">
      <c r="A98" s="91"/>
      <c r="B98" s="91" t="str">
        <f ca="1">IF(AND(B70&lt;&gt;"",B70&lt;&gt;0),VLOOKUP(B70,Tb_KostenTypen[#All],1,0),"")</f>
        <v/>
      </c>
      <c r="C98" s="91" t="str">
        <f>IF(AND(C70&lt;&gt;"",C70&lt;&gt;0),VLOOKUP(C70,Tb_KostenTypen[#All],1,0),"")</f>
        <v/>
      </c>
      <c r="D98" s="91" t="str">
        <f>IF(AND(D70&lt;&gt;"",D70&lt;&gt;0),VLOOKUP(D70,Tb_KostenTypen[#All],1,0),"")</f>
        <v/>
      </c>
      <c r="E98" s="91" t="str">
        <f>IF(AND(E70&lt;&gt;"",E70&lt;&gt;0),VLOOKUP(E70,Tb_KostenTypen[#All],1,0),"")</f>
        <v/>
      </c>
      <c r="F98" s="91" t="str">
        <f>IF(AND(F70&lt;&gt;"",F70&lt;&gt;0),VLOOKUP(F70,Tb_KostenTypen[#All],1,0),"")</f>
        <v/>
      </c>
      <c r="G98" s="91" t="str">
        <f>IF(AND(G70&lt;&gt;"",G70&lt;&gt;0),VLOOKUP(G70,Tb_KostenTypen[#All],1,0),"")</f>
        <v/>
      </c>
    </row>
    <row r="99" spans="1:7" x14ac:dyDescent="0.25">
      <c r="A99" s="91"/>
      <c r="B99" s="91" t="str">
        <f ca="1">IF(AND(B71&lt;&gt;"",B71&lt;&gt;0),VLOOKUP(B71,Tb_KostenTypen[#All],1,0),"")</f>
        <v/>
      </c>
      <c r="C99" s="91" t="str">
        <f>IF(AND(C71&lt;&gt;"",C71&lt;&gt;0),VLOOKUP(C71,Tb_KostenTypen[#All],1,0),"")</f>
        <v/>
      </c>
      <c r="D99" s="91" t="str">
        <f>IF(AND(D71&lt;&gt;"",D71&lt;&gt;0),VLOOKUP(D71,Tb_KostenTypen[#All],1,0),"")</f>
        <v/>
      </c>
      <c r="E99" s="91" t="str">
        <f>IF(AND(E71&lt;&gt;"",E71&lt;&gt;0),VLOOKUP(E71,Tb_KostenTypen[#All],1,0),"")</f>
        <v/>
      </c>
      <c r="F99" s="91" t="str">
        <f>IF(AND(F71&lt;&gt;"",F71&lt;&gt;0),VLOOKUP(F71,Tb_KostenTypen[#All],1,0),"")</f>
        <v/>
      </c>
      <c r="G99" s="91" t="str">
        <f>IF(AND(G71&lt;&gt;"",G71&lt;&gt;0),VLOOKUP(G71,Tb_KostenTypen[#All],1,0),"")</f>
        <v/>
      </c>
    </row>
    <row r="100" spans="1:7" x14ac:dyDescent="0.25">
      <c r="A100" s="91"/>
      <c r="B100" s="91" t="str">
        <f ca="1">IF(AND(B72&lt;&gt;"",B72&lt;&gt;0),VLOOKUP(B72,Tb_KostenTypen[#All],1,0),"")</f>
        <v/>
      </c>
      <c r="C100" s="91" t="str">
        <f>IF(AND(C72&lt;&gt;"",C72&lt;&gt;0),VLOOKUP(C72,Tb_KostenTypen[#All],1,0),"")</f>
        <v/>
      </c>
      <c r="D100" s="91" t="str">
        <f>IF(AND(D72&lt;&gt;"",D72&lt;&gt;0),VLOOKUP(D72,Tb_KostenTypen[#All],1,0),"")</f>
        <v/>
      </c>
      <c r="E100" s="91" t="str">
        <f>IF(AND(E72&lt;&gt;"",E72&lt;&gt;0),VLOOKUP(E72,Tb_KostenTypen[#All],1,0),"")</f>
        <v/>
      </c>
      <c r="F100" s="91" t="str">
        <f>IF(AND(F72&lt;&gt;"",F72&lt;&gt;0),VLOOKUP(F72,Tb_KostenTypen[#All],1,0),"")</f>
        <v/>
      </c>
      <c r="G100" s="91" t="str">
        <f>IF(AND(G72&lt;&gt;"",G72&lt;&gt;0),VLOOKUP(G72,Tb_KostenTypen[#All],1,0),"")</f>
        <v/>
      </c>
    </row>
    <row r="101" spans="1:7" x14ac:dyDescent="0.25">
      <c r="A101" s="91"/>
      <c r="B101" s="91" t="str">
        <f ca="1">IF(AND(B73&lt;&gt;"",B73&lt;&gt;0),VLOOKUP(B73,Tb_KostenTypen[#All],1,0),"")</f>
        <v/>
      </c>
      <c r="C101" s="91" t="str">
        <f>IF(AND(C73&lt;&gt;"",C73&lt;&gt;0),VLOOKUP(C73,Tb_KostenTypen[#All],1,0),"")</f>
        <v/>
      </c>
      <c r="D101" s="91" t="str">
        <f>IF(AND(D73&lt;&gt;"",D73&lt;&gt;0),VLOOKUP(D73,Tb_KostenTypen[#All],1,0),"")</f>
        <v/>
      </c>
      <c r="E101" s="91" t="str">
        <f>IF(AND(E73&lt;&gt;"",E73&lt;&gt;0),VLOOKUP(E73,Tb_KostenTypen[#All],1,0),"")</f>
        <v/>
      </c>
      <c r="F101" s="91" t="str">
        <f>IF(AND(F73&lt;&gt;"",F73&lt;&gt;0),VLOOKUP(F73,Tb_KostenTypen[#All],1,0),"")</f>
        <v/>
      </c>
      <c r="G101" s="91" t="str">
        <f>IF(AND(G73&lt;&gt;"",G73&lt;&gt;0),VLOOKUP(G73,Tb_KostenTypen[#All],1,0),"")</f>
        <v/>
      </c>
    </row>
    <row r="102" spans="1:7" x14ac:dyDescent="0.25">
      <c r="A102" s="91"/>
      <c r="B102" s="91" t="str">
        <f ca="1">IF(AND(B74&lt;&gt;"",B74&lt;&gt;0),VLOOKUP(B74,Tb_KostenTypen[#All],1,0),"")</f>
        <v/>
      </c>
      <c r="C102" s="91" t="str">
        <f>IF(AND(C74&lt;&gt;"",C74&lt;&gt;0),VLOOKUP(C74,Tb_KostenTypen[#All],1,0),"")</f>
        <v/>
      </c>
      <c r="D102" s="91" t="str">
        <f>IF(AND(D74&lt;&gt;"",D74&lt;&gt;0),VLOOKUP(D74,Tb_KostenTypen[#All],1,0),"")</f>
        <v/>
      </c>
      <c r="E102" s="91" t="str">
        <f>IF(AND(E74&lt;&gt;"",E74&lt;&gt;0),VLOOKUP(E74,Tb_KostenTypen[#All],1,0),"")</f>
        <v/>
      </c>
      <c r="F102" s="91" t="str">
        <f>IF(AND(F74&lt;&gt;"",F74&lt;&gt;0),VLOOKUP(F74,Tb_KostenTypen[#All],1,0),"")</f>
        <v/>
      </c>
      <c r="G102" s="91" t="str">
        <f>IF(AND(G74&lt;&gt;"",G74&lt;&gt;0),VLOOKUP(G74,Tb_KostenTypen[#All],1,0),"")</f>
        <v/>
      </c>
    </row>
    <row r="104" spans="1:7" x14ac:dyDescent="0.25">
      <c r="A104" s="58" t="s">
        <v>119</v>
      </c>
      <c r="B104" s="58" t="s">
        <v>309</v>
      </c>
      <c r="C104" s="58" t="s">
        <v>310</v>
      </c>
      <c r="D104" s="58" t="s">
        <v>311</v>
      </c>
      <c r="E104" s="58" t="s">
        <v>312</v>
      </c>
      <c r="F104" s="58" t="s">
        <v>204</v>
      </c>
      <c r="G104" s="58" t="s">
        <v>245</v>
      </c>
    </row>
    <row r="105" spans="1:7" x14ac:dyDescent="0.25">
      <c r="A105" s="91" cm="1">
        <f t="array" aca="1" ref="A105" ca="1">OFFSET(Lijsten!$AJ$1,1,1,IF(COUNTIF(Lijsten!$AJ$1:$AJ$100,"&lt;&gt;"&amp;"")&gt;1,COUNTIF(Lijsten!$AJ$1:$AJ$100,"&lt;&gt;"&amp;"")-1,COUNTIF(Lijsten!$AJ$1:$AJ$100,"&lt;&gt;"&amp;"")))</f>
        <v>0</v>
      </c>
      <c r="B105" s="91" t="str" cm="1">
        <f t="array" aca="1" ref="B105" ca="1">IFERROR(_xlfn._xlws.SORT(_xlfn._xlws.FILTER(OFFSET(Lijsten!$BJ:$BM,MATCH(A105,Lijsten!AK:AK,0)-1,,1),OFFSET(Lijsten!$BJ:$BM,MATCH(A105,Lijsten!AK:AK,0)-1,,1)&lt;&gt;""),1,,1),"")</f>
        <v/>
      </c>
      <c r="C105" s="91"/>
      <c r="D105" s="91"/>
      <c r="E105" s="91"/>
      <c r="F105" s="91"/>
      <c r="G105" s="91"/>
    </row>
    <row r="106" spans="1:7" x14ac:dyDescent="0.25">
      <c r="A106" s="91"/>
      <c r="B106" s="91" t="str" cm="1">
        <f t="array" aca="1" ref="B106" ca="1">IFERROR(_xlfn._xlws.SORT(_xlfn._xlws.FILTER(OFFSET(Lijsten!$BJ:$BM,MATCH(A106,Lijsten!AK:AK,0)-1,,1),OFFSET(Lijsten!$BJ:$BM,MATCH(A106,Lijsten!AK:AK,0)-1,,1)&lt;&gt;""),1,,1),"")</f>
        <v/>
      </c>
      <c r="C106" s="91"/>
      <c r="D106" s="91"/>
      <c r="E106" s="91"/>
      <c r="F106" s="91"/>
      <c r="G106" s="91"/>
    </row>
    <row r="107" spans="1:7" x14ac:dyDescent="0.25">
      <c r="A107" s="91"/>
      <c r="B107" s="91" t="str" cm="1">
        <f t="array" aca="1" ref="B107" ca="1">IFERROR(_xlfn._xlws.SORT(_xlfn._xlws.FILTER(OFFSET(Lijsten!$BJ:$BM,MATCH(A107,Lijsten!AK:AK,0)-1,,1),OFFSET(Lijsten!$BJ:$BM,MATCH(A107,Lijsten!AK:AK,0)-1,,1)&lt;&gt;""),1,,1),"")</f>
        <v/>
      </c>
      <c r="C107" s="91"/>
      <c r="D107" s="91"/>
      <c r="E107" s="91"/>
      <c r="F107" s="91"/>
      <c r="G107" s="91"/>
    </row>
    <row r="108" spans="1:7" x14ac:dyDescent="0.25">
      <c r="A108" s="91"/>
      <c r="B108" s="91" t="str" cm="1">
        <f t="array" aca="1" ref="B108" ca="1">IFERROR(_xlfn._xlws.SORT(_xlfn._xlws.FILTER(OFFSET(Lijsten!$BJ:$BM,MATCH(A108,Lijsten!AK:AK,0)-1,,1),OFFSET(Lijsten!$BJ:$BM,MATCH(A108,Lijsten!AK:AK,0)-1,,1)&lt;&gt;""),1,,1),"")</f>
        <v/>
      </c>
      <c r="C108" s="91"/>
      <c r="D108" s="91"/>
      <c r="E108" s="91"/>
      <c r="F108" s="91"/>
      <c r="G108" s="91"/>
    </row>
    <row r="109" spans="1:7" x14ac:dyDescent="0.25">
      <c r="A109" s="91"/>
      <c r="B109" s="91" t="str" cm="1">
        <f t="array" aca="1" ref="B109" ca="1">IFERROR(_xlfn._xlws.SORT(_xlfn._xlws.FILTER(OFFSET(Lijsten!$BJ:$BM,MATCH(A109,Lijsten!AK:AK,0)-1,,1),OFFSET(Lijsten!$BJ:$BM,MATCH(A109,Lijsten!AK:AK,0)-1,,1)&lt;&gt;""),1,,1),"")</f>
        <v/>
      </c>
      <c r="C109" s="91"/>
      <c r="D109" s="91"/>
      <c r="E109" s="91"/>
      <c r="F109" s="91"/>
      <c r="G109" s="91"/>
    </row>
    <row r="110" spans="1:7" x14ac:dyDescent="0.25">
      <c r="A110" s="91"/>
      <c r="B110" s="91" t="str" cm="1">
        <f t="array" aca="1" ref="B110" ca="1">IFERROR(_xlfn._xlws.SORT(_xlfn._xlws.FILTER(OFFSET(Lijsten!$BJ:$BM,MATCH(A110,Lijsten!AK:AK,0)-1,,1),OFFSET(Lijsten!$BJ:$BM,MATCH(A110,Lijsten!AK:AK,0)-1,,1)&lt;&gt;""),1,,1),"")</f>
        <v/>
      </c>
      <c r="C110" s="91"/>
      <c r="D110" s="91"/>
      <c r="E110" s="91"/>
      <c r="F110" s="91"/>
      <c r="G110" s="91"/>
    </row>
    <row r="111" spans="1:7" x14ac:dyDescent="0.25">
      <c r="A111" s="91"/>
      <c r="B111" s="91" t="str" cm="1">
        <f t="array" aca="1" ref="B111" ca="1">IFERROR(_xlfn._xlws.SORT(_xlfn._xlws.FILTER(OFFSET(Lijsten!$BJ:$BM,MATCH(A111,Lijsten!AK:AK,0)-1,,1),OFFSET(Lijsten!$BJ:$BM,MATCH(A111,Lijsten!AK:AK,0)-1,,1)&lt;&gt;""),1,,1),"")</f>
        <v/>
      </c>
      <c r="C111" s="91"/>
      <c r="D111" s="91"/>
      <c r="E111" s="91"/>
      <c r="F111" s="91"/>
      <c r="G111" s="91"/>
    </row>
    <row r="112" spans="1:7" x14ac:dyDescent="0.25">
      <c r="A112" s="91"/>
      <c r="B112" s="91" t="str" cm="1">
        <f t="array" aca="1" ref="B112" ca="1">IFERROR(_xlfn._xlws.SORT(_xlfn._xlws.FILTER(OFFSET(Lijsten!$BJ:$BM,MATCH(A112,Lijsten!AK:AK,0)-1,,1),OFFSET(Lijsten!$BJ:$BM,MATCH(A112,Lijsten!AK:AK,0)-1,,1)&lt;&gt;""),1,,1),"")</f>
        <v/>
      </c>
      <c r="C112" s="91"/>
      <c r="D112" s="91"/>
      <c r="E112" s="91"/>
      <c r="F112" s="91"/>
      <c r="G112" s="91"/>
    </row>
    <row r="113" spans="1:7" x14ac:dyDescent="0.25">
      <c r="A113" s="91"/>
      <c r="B113" s="91" t="str" cm="1">
        <f t="array" aca="1" ref="B113" ca="1">IFERROR(_xlfn._xlws.SORT(_xlfn._xlws.FILTER(OFFSET(Lijsten!$BJ:$BM,MATCH(A113,Lijsten!AK:AK,0)-1,,1),OFFSET(Lijsten!$BJ:$BM,MATCH(A113,Lijsten!AK:AK,0)-1,,1)&lt;&gt;""),1,,1),"")</f>
        <v/>
      </c>
      <c r="C113" s="91"/>
      <c r="D113" s="91"/>
      <c r="E113" s="91"/>
      <c r="F113" s="91"/>
      <c r="G113" s="91"/>
    </row>
    <row r="114" spans="1:7" x14ac:dyDescent="0.25">
      <c r="A114" s="91"/>
      <c r="B114" s="91" t="str" cm="1">
        <f t="array" aca="1" ref="B114" ca="1">IFERROR(_xlfn._xlws.SORT(_xlfn._xlws.FILTER(OFFSET(Lijsten!$BJ:$BM,MATCH(A114,Lijsten!AK:AK,0)-1,,1),OFFSET(Lijsten!$BJ:$BM,MATCH(A114,Lijsten!AK:AK,0)-1,,1)&lt;&gt;""),1,,1),"")</f>
        <v/>
      </c>
      <c r="C114" s="91"/>
      <c r="D114" s="91"/>
      <c r="E114" s="91"/>
      <c r="F114" s="91"/>
      <c r="G114" s="91"/>
    </row>
    <row r="115" spans="1:7" x14ac:dyDescent="0.25">
      <c r="A115" s="91"/>
      <c r="B115" s="91" t="str" cm="1">
        <f t="array" aca="1" ref="B115" ca="1">IFERROR(_xlfn._xlws.SORT(_xlfn._xlws.FILTER(OFFSET(Lijsten!$BJ:$BM,MATCH(A115,Lijsten!AK:AK,0)-1,,1),OFFSET(Lijsten!$BJ:$BM,MATCH(A115,Lijsten!AK:AK,0)-1,,1)&lt;&gt;""),1,,1),"")</f>
        <v/>
      </c>
      <c r="C115" s="91"/>
      <c r="D115" s="91"/>
      <c r="E115" s="91"/>
      <c r="F115" s="91"/>
      <c r="G115" s="91"/>
    </row>
    <row r="116" spans="1:7" x14ac:dyDescent="0.25">
      <c r="A116" s="91"/>
      <c r="B116" s="91" t="str" cm="1">
        <f t="array" aca="1" ref="B116" ca="1">IFERROR(_xlfn._xlws.SORT(_xlfn._xlws.FILTER(OFFSET(Lijsten!$BJ:$BM,MATCH(A116,Lijsten!AK:AK,0)-1,,1),OFFSET(Lijsten!$BJ:$BM,MATCH(A116,Lijsten!AK:AK,0)-1,,1)&lt;&gt;""),1,,1),"")</f>
        <v/>
      </c>
      <c r="C116" s="91"/>
      <c r="D116" s="91"/>
      <c r="E116" s="91"/>
      <c r="F116" s="91"/>
      <c r="G116" s="91"/>
    </row>
    <row r="118" spans="1:7" x14ac:dyDescent="0.25">
      <c r="A118" s="58" t="s">
        <v>194</v>
      </c>
      <c r="B118" s="58" t="s">
        <v>309</v>
      </c>
      <c r="C118" s="58" t="s">
        <v>310</v>
      </c>
      <c r="D118" s="58" t="s">
        <v>311</v>
      </c>
      <c r="E118" s="58" t="s">
        <v>312</v>
      </c>
      <c r="F118" s="58" t="s">
        <v>204</v>
      </c>
      <c r="G118" s="58" t="s">
        <v>245</v>
      </c>
    </row>
    <row r="119" spans="1:7" x14ac:dyDescent="0.25">
      <c r="A119" s="91" cm="1">
        <f t="array" aca="1" ref="A119" ca="1">OFFSET(Lijsten!$AJ$1,1,1,IF(COUNTIF(Lijsten!$AJ$1:$AJ$100,"&lt;&gt;"&amp;"")&gt;1,COUNTIF(Lijsten!$AJ$1:$AJ$100,"&lt;&gt;"&amp;"")-1,COUNTIF(Lijsten!$AJ$1:$AJ$100,"&lt;&gt;"&amp;"")))</f>
        <v>0</v>
      </c>
      <c r="B119" s="91" t="str" cm="1">
        <f t="array" aca="1" ref="B119" ca="1">TRANSPOSE(_xlfn.UNIQUE(TRANSPOSE(B133:G133)))</f>
        <v/>
      </c>
      <c r="C119" s="91"/>
      <c r="D119" s="91"/>
      <c r="E119" s="91"/>
      <c r="F119" s="91"/>
      <c r="G119" s="91"/>
    </row>
    <row r="120" spans="1:7" x14ac:dyDescent="0.25">
      <c r="A120" s="91"/>
      <c r="B120" s="91" t="str" cm="1">
        <f t="array" aca="1" ref="B120" ca="1">TRANSPOSE(_xlfn.UNIQUE(TRANSPOSE(B134:G134)))</f>
        <v/>
      </c>
      <c r="C120" s="91"/>
      <c r="D120" s="91"/>
      <c r="E120" s="91"/>
      <c r="F120" s="91"/>
      <c r="G120" s="91"/>
    </row>
    <row r="121" spans="1:7" x14ac:dyDescent="0.25">
      <c r="A121" s="91"/>
      <c r="B121" s="91" t="str" cm="1">
        <f t="array" aca="1" ref="B121" ca="1">TRANSPOSE(_xlfn.UNIQUE(TRANSPOSE(B135:G135)))</f>
        <v/>
      </c>
      <c r="C121" s="91"/>
      <c r="D121" s="91"/>
      <c r="E121" s="91"/>
      <c r="F121" s="91"/>
      <c r="G121" s="91"/>
    </row>
    <row r="122" spans="1:7" x14ac:dyDescent="0.25">
      <c r="A122" s="91"/>
      <c r="B122" s="91" t="str" cm="1">
        <f t="array" aca="1" ref="B122" ca="1">TRANSPOSE(_xlfn.UNIQUE(TRANSPOSE(B136:G136)))</f>
        <v/>
      </c>
      <c r="C122" s="91"/>
      <c r="D122" s="91"/>
      <c r="E122" s="91"/>
      <c r="F122" s="91"/>
      <c r="G122" s="91"/>
    </row>
    <row r="123" spans="1:7" x14ac:dyDescent="0.25">
      <c r="A123" s="91"/>
      <c r="B123" s="91" t="str" cm="1">
        <f t="array" aca="1" ref="B123" ca="1">TRANSPOSE(_xlfn.UNIQUE(TRANSPOSE(B137:G137)))</f>
        <v/>
      </c>
      <c r="C123" s="91"/>
      <c r="D123" s="91"/>
      <c r="E123" s="91"/>
      <c r="F123" s="91"/>
      <c r="G123" s="91"/>
    </row>
    <row r="124" spans="1:7" x14ac:dyDescent="0.25">
      <c r="A124" s="91"/>
      <c r="B124" s="91" t="str" cm="1">
        <f t="array" aca="1" ref="B124" ca="1">TRANSPOSE(_xlfn.UNIQUE(TRANSPOSE(B138:G138)))</f>
        <v/>
      </c>
      <c r="C124" s="91"/>
      <c r="D124" s="91"/>
      <c r="E124" s="91"/>
      <c r="F124" s="91"/>
      <c r="G124" s="91"/>
    </row>
    <row r="125" spans="1:7" x14ac:dyDescent="0.25">
      <c r="A125" s="91"/>
      <c r="B125" s="91" t="str" cm="1">
        <f t="array" aca="1" ref="B125" ca="1">TRANSPOSE(_xlfn.UNIQUE(TRANSPOSE(B139:G139)))</f>
        <v/>
      </c>
      <c r="C125" s="91"/>
      <c r="D125" s="91"/>
      <c r="E125" s="91"/>
      <c r="F125" s="91"/>
      <c r="G125" s="91"/>
    </row>
    <row r="126" spans="1:7" x14ac:dyDescent="0.25">
      <c r="A126" s="91"/>
      <c r="B126" s="91" t="str" cm="1">
        <f t="array" aca="1" ref="B126" ca="1">TRANSPOSE(_xlfn.UNIQUE(TRANSPOSE(B140:G140)))</f>
        <v/>
      </c>
      <c r="C126" s="91"/>
      <c r="D126" s="91"/>
      <c r="E126" s="91"/>
      <c r="F126" s="91"/>
      <c r="G126" s="91"/>
    </row>
    <row r="127" spans="1:7" x14ac:dyDescent="0.25">
      <c r="A127" s="91"/>
      <c r="B127" s="91" t="str" cm="1">
        <f t="array" aca="1" ref="B127" ca="1">TRANSPOSE(_xlfn.UNIQUE(TRANSPOSE(B141:G141)))</f>
        <v/>
      </c>
      <c r="C127" s="91"/>
      <c r="D127" s="91"/>
      <c r="E127" s="91"/>
      <c r="F127" s="91"/>
      <c r="G127" s="91"/>
    </row>
    <row r="128" spans="1:7" x14ac:dyDescent="0.25">
      <c r="A128" s="91"/>
      <c r="B128" s="91" t="str" cm="1">
        <f t="array" aca="1" ref="B128" ca="1">TRANSPOSE(_xlfn.UNIQUE(TRANSPOSE(B142:G142)))</f>
        <v/>
      </c>
      <c r="C128" s="91"/>
      <c r="D128" s="91"/>
      <c r="E128" s="91"/>
      <c r="F128" s="91"/>
      <c r="G128" s="91"/>
    </row>
    <row r="129" spans="1:7" x14ac:dyDescent="0.25">
      <c r="A129" s="91"/>
      <c r="B129" s="91" t="str" cm="1">
        <f t="array" aca="1" ref="B129" ca="1">TRANSPOSE(_xlfn.UNIQUE(TRANSPOSE(B143:G143)))</f>
        <v/>
      </c>
      <c r="C129" s="91"/>
      <c r="D129" s="91"/>
      <c r="E129" s="91"/>
      <c r="F129" s="91"/>
      <c r="G129" s="91"/>
    </row>
    <row r="130" spans="1:7" x14ac:dyDescent="0.25">
      <c r="A130" s="91"/>
      <c r="B130" s="91" t="str" cm="1">
        <f t="array" aca="1" ref="B130" ca="1">TRANSPOSE(_xlfn.UNIQUE(TRANSPOSE(B144:G144)))</f>
        <v/>
      </c>
      <c r="C130" s="91"/>
      <c r="D130" s="91"/>
      <c r="E130" s="91"/>
      <c r="F130" s="91"/>
      <c r="G130" s="91"/>
    </row>
    <row r="132" spans="1:7" x14ac:dyDescent="0.25">
      <c r="A132" s="58" t="s">
        <v>195</v>
      </c>
      <c r="B132" s="58" t="s">
        <v>309</v>
      </c>
      <c r="C132" s="58" t="s">
        <v>310</v>
      </c>
      <c r="D132" s="58" t="s">
        <v>311</v>
      </c>
      <c r="E132" s="58" t="s">
        <v>312</v>
      </c>
      <c r="F132" s="58" t="s">
        <v>204</v>
      </c>
      <c r="G132" s="58" t="s">
        <v>245</v>
      </c>
    </row>
    <row r="133" spans="1:7" x14ac:dyDescent="0.25">
      <c r="A133" s="91" cm="1">
        <f t="array" aca="1" ref="A133" ca="1">OFFSET(Lijsten!$AJ$1,1,1,IF(COUNTIF(Lijsten!$AJ$1:$AJ$100,"&lt;&gt;"&amp;"")&gt;1,COUNTIF(Lijsten!$AJ$1:$AJ$100,"&lt;&gt;"&amp;"")-1,COUNTIF(Lijsten!$AJ$1:$AJ$100,"&lt;&gt;"&amp;"")))</f>
        <v>0</v>
      </c>
      <c r="B133" s="91" t="str">
        <f ca="1">IF(AND(B105&lt;&gt;"",B105&lt;&gt;0),VLOOKUP(B105,Tb_KostenTypen[#All],1,0),"")</f>
        <v/>
      </c>
      <c r="C133" s="91" t="str">
        <f>IF(AND(C105&lt;&gt;"",C105&lt;&gt;0),VLOOKUP(C105,Tb_KostenTypen[#All],1,0),"")</f>
        <v/>
      </c>
      <c r="D133" s="91" t="str">
        <f>IF(AND(D105&lt;&gt;"",D105&lt;&gt;0),VLOOKUP(D105,Tb_KostenTypen[#All],1,0),"")</f>
        <v/>
      </c>
      <c r="E133" s="91" t="str">
        <f>IF(AND(E105&lt;&gt;"",E105&lt;&gt;0),VLOOKUP(E105,Tb_KostenTypen[#All],1,0),"")</f>
        <v/>
      </c>
      <c r="F133" s="91" t="str">
        <f>IF(AND(F105&lt;&gt;"",F105&lt;&gt;0),VLOOKUP(F105,Tb_KostenTypen[#All],1,0),"")</f>
        <v/>
      </c>
      <c r="G133" s="91" t="str">
        <f>IF(AND(G105&lt;&gt;"",G105&lt;&gt;0),VLOOKUP(G105,Tb_KostenTypen[#All],1,0),"")</f>
        <v/>
      </c>
    </row>
    <row r="134" spans="1:7" x14ac:dyDescent="0.25">
      <c r="A134" s="91"/>
      <c r="B134" s="91" t="str">
        <f ca="1">IF(AND(B106&lt;&gt;"",B106&lt;&gt;0),VLOOKUP(B106,Tb_KostenTypen[#All],1,0),"")</f>
        <v/>
      </c>
      <c r="C134" s="91" t="str">
        <f>IF(AND(C106&lt;&gt;"",C106&lt;&gt;0),VLOOKUP(C106,Tb_KostenTypen[#All],1,0),"")</f>
        <v/>
      </c>
      <c r="D134" s="91" t="str">
        <f>IF(AND(D106&lt;&gt;"",D106&lt;&gt;0),VLOOKUP(D106,Tb_KostenTypen[#All],1,0),"")</f>
        <v/>
      </c>
      <c r="E134" s="91" t="str">
        <f>IF(AND(E106&lt;&gt;"",E106&lt;&gt;0),VLOOKUP(E106,Tb_KostenTypen[#All],1,0),"")</f>
        <v/>
      </c>
      <c r="F134" s="91" t="str">
        <f>IF(AND(F106&lt;&gt;"",F106&lt;&gt;0),VLOOKUP(F106,Tb_KostenTypen[#All],1,0),"")</f>
        <v/>
      </c>
      <c r="G134" s="91" t="str">
        <f>IF(AND(G106&lt;&gt;"",G106&lt;&gt;0),VLOOKUP(G106,Tb_KostenTypen[#All],1,0),"")</f>
        <v/>
      </c>
    </row>
    <row r="135" spans="1:7" x14ac:dyDescent="0.25">
      <c r="A135" s="91"/>
      <c r="B135" s="91" t="str">
        <f ca="1">IF(AND(B107&lt;&gt;"",B107&lt;&gt;0),VLOOKUP(B107,Tb_KostenTypen[#All],1,0),"")</f>
        <v/>
      </c>
      <c r="C135" s="91" t="str">
        <f>IF(AND(C107&lt;&gt;"",C107&lt;&gt;0),VLOOKUP(C107,Tb_KostenTypen[#All],1,0),"")</f>
        <v/>
      </c>
      <c r="D135" s="91" t="str">
        <f>IF(AND(D107&lt;&gt;"",D107&lt;&gt;0),VLOOKUP(D107,Tb_KostenTypen[#All],1,0),"")</f>
        <v/>
      </c>
      <c r="E135" s="91" t="str">
        <f>IF(AND(E107&lt;&gt;"",E107&lt;&gt;0),VLOOKUP(E107,Tb_KostenTypen[#All],1,0),"")</f>
        <v/>
      </c>
      <c r="F135" s="91" t="str">
        <f>IF(AND(F107&lt;&gt;"",F107&lt;&gt;0),VLOOKUP(F107,Tb_KostenTypen[#All],1,0),"")</f>
        <v/>
      </c>
      <c r="G135" s="91" t="str">
        <f>IF(AND(G107&lt;&gt;"",G107&lt;&gt;0),VLOOKUP(G107,Tb_KostenTypen[#All],1,0),"")</f>
        <v/>
      </c>
    </row>
    <row r="136" spans="1:7" x14ac:dyDescent="0.25">
      <c r="A136" s="91"/>
      <c r="B136" s="91" t="str">
        <f ca="1">IF(AND(B108&lt;&gt;"",B108&lt;&gt;0),VLOOKUP(B108,Tb_KostenTypen[#All],1,0),"")</f>
        <v/>
      </c>
      <c r="C136" s="91" t="str">
        <f>IF(AND(C108&lt;&gt;"",C108&lt;&gt;0),VLOOKUP(C108,Tb_KostenTypen[#All],1,0),"")</f>
        <v/>
      </c>
      <c r="D136" s="91" t="str">
        <f>IF(AND(D108&lt;&gt;"",D108&lt;&gt;0),VLOOKUP(D108,Tb_KostenTypen[#All],1,0),"")</f>
        <v/>
      </c>
      <c r="E136" s="91" t="str">
        <f>IF(AND(E108&lt;&gt;"",E108&lt;&gt;0),VLOOKUP(E108,Tb_KostenTypen[#All],1,0),"")</f>
        <v/>
      </c>
      <c r="F136" s="91" t="str">
        <f>IF(AND(F108&lt;&gt;"",F108&lt;&gt;0),VLOOKUP(F108,Tb_KostenTypen[#All],1,0),"")</f>
        <v/>
      </c>
      <c r="G136" s="91" t="str">
        <f>IF(AND(G108&lt;&gt;"",G108&lt;&gt;0),VLOOKUP(G108,Tb_KostenTypen[#All],1,0),"")</f>
        <v/>
      </c>
    </row>
    <row r="137" spans="1:7" x14ac:dyDescent="0.25">
      <c r="A137" s="91"/>
      <c r="B137" s="91" t="str">
        <f ca="1">IF(AND(B109&lt;&gt;"",B109&lt;&gt;0),VLOOKUP(B109,Tb_KostenTypen[#All],1,0),"")</f>
        <v/>
      </c>
      <c r="C137" s="91" t="str">
        <f>IF(AND(C109&lt;&gt;"",C109&lt;&gt;0),VLOOKUP(C109,Tb_KostenTypen[#All],1,0),"")</f>
        <v/>
      </c>
      <c r="D137" s="91" t="str">
        <f>IF(AND(D109&lt;&gt;"",D109&lt;&gt;0),VLOOKUP(D109,Tb_KostenTypen[#All],1,0),"")</f>
        <v/>
      </c>
      <c r="E137" s="91" t="str">
        <f>IF(AND(E109&lt;&gt;"",E109&lt;&gt;0),VLOOKUP(E109,Tb_KostenTypen[#All],1,0),"")</f>
        <v/>
      </c>
      <c r="F137" s="91" t="str">
        <f>IF(AND(F109&lt;&gt;"",F109&lt;&gt;0),VLOOKUP(F109,Tb_KostenTypen[#All],1,0),"")</f>
        <v/>
      </c>
      <c r="G137" s="91" t="str">
        <f>IF(AND(G109&lt;&gt;"",G109&lt;&gt;0),VLOOKUP(G109,Tb_KostenTypen[#All],1,0),"")</f>
        <v/>
      </c>
    </row>
    <row r="138" spans="1:7" x14ac:dyDescent="0.25">
      <c r="A138" s="91"/>
      <c r="B138" s="91" t="str">
        <f ca="1">IF(AND(B110&lt;&gt;"",B110&lt;&gt;0),VLOOKUP(B110,Tb_KostenTypen[#All],1,0),"")</f>
        <v/>
      </c>
      <c r="C138" s="91" t="str">
        <f>IF(AND(C110&lt;&gt;"",C110&lt;&gt;0),VLOOKUP(C110,Tb_KostenTypen[#All],1,0),"")</f>
        <v/>
      </c>
      <c r="D138" s="91" t="str">
        <f>IF(AND(D110&lt;&gt;"",D110&lt;&gt;0),VLOOKUP(D110,Tb_KostenTypen[#All],1,0),"")</f>
        <v/>
      </c>
      <c r="E138" s="91" t="str">
        <f>IF(AND(E110&lt;&gt;"",E110&lt;&gt;0),VLOOKUP(E110,Tb_KostenTypen[#All],1,0),"")</f>
        <v/>
      </c>
      <c r="F138" s="91" t="str">
        <f>IF(AND(F110&lt;&gt;"",F110&lt;&gt;0),VLOOKUP(F110,Tb_KostenTypen[#All],1,0),"")</f>
        <v/>
      </c>
      <c r="G138" s="91" t="str">
        <f>IF(AND(G110&lt;&gt;"",G110&lt;&gt;0),VLOOKUP(G110,Tb_KostenTypen[#All],1,0),"")</f>
        <v/>
      </c>
    </row>
    <row r="139" spans="1:7" x14ac:dyDescent="0.25">
      <c r="A139" s="91"/>
      <c r="B139" s="91" t="str">
        <f ca="1">IF(AND(B111&lt;&gt;"",B111&lt;&gt;0),VLOOKUP(B111,Tb_KostenTypen[#All],1,0),"")</f>
        <v/>
      </c>
      <c r="C139" s="91" t="str">
        <f>IF(AND(C111&lt;&gt;"",C111&lt;&gt;0),VLOOKUP(C111,Tb_KostenTypen[#All],1,0),"")</f>
        <v/>
      </c>
      <c r="D139" s="91" t="str">
        <f>IF(AND(D111&lt;&gt;"",D111&lt;&gt;0),VLOOKUP(D111,Tb_KostenTypen[#All],1,0),"")</f>
        <v/>
      </c>
      <c r="E139" s="91" t="str">
        <f>IF(AND(E111&lt;&gt;"",E111&lt;&gt;0),VLOOKUP(E111,Tb_KostenTypen[#All],1,0),"")</f>
        <v/>
      </c>
      <c r="F139" s="91" t="str">
        <f>IF(AND(F111&lt;&gt;"",F111&lt;&gt;0),VLOOKUP(F111,Tb_KostenTypen[#All],1,0),"")</f>
        <v/>
      </c>
      <c r="G139" s="91" t="str">
        <f>IF(AND(G111&lt;&gt;"",G111&lt;&gt;0),VLOOKUP(G111,Tb_KostenTypen[#All],1,0),"")</f>
        <v/>
      </c>
    </row>
    <row r="140" spans="1:7" x14ac:dyDescent="0.25">
      <c r="A140" s="91"/>
      <c r="B140" s="91" t="str">
        <f ca="1">IF(AND(B112&lt;&gt;"",B112&lt;&gt;0),VLOOKUP(B112,Tb_KostenTypen[#All],1,0),"")</f>
        <v/>
      </c>
      <c r="C140" s="91" t="str">
        <f>IF(AND(C112&lt;&gt;"",C112&lt;&gt;0),VLOOKUP(C112,Tb_KostenTypen[#All],1,0),"")</f>
        <v/>
      </c>
      <c r="D140" s="91" t="str">
        <f>IF(AND(D112&lt;&gt;"",D112&lt;&gt;0),VLOOKUP(D112,Tb_KostenTypen[#All],1,0),"")</f>
        <v/>
      </c>
      <c r="E140" s="91" t="str">
        <f>IF(AND(E112&lt;&gt;"",E112&lt;&gt;0),VLOOKUP(E112,Tb_KostenTypen[#All],1,0),"")</f>
        <v/>
      </c>
      <c r="F140" s="91" t="str">
        <f>IF(AND(F112&lt;&gt;"",F112&lt;&gt;0),VLOOKUP(F112,Tb_KostenTypen[#All],1,0),"")</f>
        <v/>
      </c>
      <c r="G140" s="91" t="str">
        <f>IF(AND(G112&lt;&gt;"",G112&lt;&gt;0),VLOOKUP(G112,Tb_KostenTypen[#All],1,0),"")</f>
        <v/>
      </c>
    </row>
    <row r="141" spans="1:7" x14ac:dyDescent="0.25">
      <c r="A141" s="91"/>
      <c r="B141" s="91" t="str">
        <f ca="1">IF(AND(B113&lt;&gt;"",B113&lt;&gt;0),VLOOKUP(B113,Tb_KostenTypen[#All],1,0),"")</f>
        <v/>
      </c>
      <c r="C141" s="91" t="str">
        <f>IF(AND(C113&lt;&gt;"",C113&lt;&gt;0),VLOOKUP(C113,Tb_KostenTypen[#All],1,0),"")</f>
        <v/>
      </c>
      <c r="D141" s="91" t="str">
        <f>IF(AND(D113&lt;&gt;"",D113&lt;&gt;0),VLOOKUP(D113,Tb_KostenTypen[#All],1,0),"")</f>
        <v/>
      </c>
      <c r="E141" s="91" t="str">
        <f>IF(AND(E113&lt;&gt;"",E113&lt;&gt;0),VLOOKUP(E113,Tb_KostenTypen[#All],1,0),"")</f>
        <v/>
      </c>
      <c r="F141" s="91" t="str">
        <f>IF(AND(F113&lt;&gt;"",F113&lt;&gt;0),VLOOKUP(F113,Tb_KostenTypen[#All],1,0),"")</f>
        <v/>
      </c>
      <c r="G141" s="91" t="str">
        <f>IF(AND(G113&lt;&gt;"",G113&lt;&gt;0),VLOOKUP(G113,Tb_KostenTypen[#All],1,0),"")</f>
        <v/>
      </c>
    </row>
    <row r="142" spans="1:7" x14ac:dyDescent="0.25">
      <c r="A142" s="91"/>
      <c r="B142" s="91" t="str">
        <f ca="1">IF(AND(B114&lt;&gt;"",B114&lt;&gt;0),VLOOKUP(B114,Tb_KostenTypen[#All],1,0),"")</f>
        <v/>
      </c>
      <c r="C142" s="91" t="str">
        <f>IF(AND(C114&lt;&gt;"",C114&lt;&gt;0),VLOOKUP(C114,Tb_KostenTypen[#All],1,0),"")</f>
        <v/>
      </c>
      <c r="D142" s="91" t="str">
        <f>IF(AND(D114&lt;&gt;"",D114&lt;&gt;0),VLOOKUP(D114,Tb_KostenTypen[#All],1,0),"")</f>
        <v/>
      </c>
      <c r="E142" s="91" t="str">
        <f>IF(AND(E114&lt;&gt;"",E114&lt;&gt;0),VLOOKUP(E114,Tb_KostenTypen[#All],1,0),"")</f>
        <v/>
      </c>
      <c r="F142" s="91" t="str">
        <f>IF(AND(F114&lt;&gt;"",F114&lt;&gt;0),VLOOKUP(F114,Tb_KostenTypen[#All],1,0),"")</f>
        <v/>
      </c>
      <c r="G142" s="91" t="str">
        <f>IF(AND(G114&lt;&gt;"",G114&lt;&gt;0),VLOOKUP(G114,Tb_KostenTypen[#All],1,0),"")</f>
        <v/>
      </c>
    </row>
    <row r="143" spans="1:7" x14ac:dyDescent="0.25">
      <c r="A143" s="91"/>
      <c r="B143" s="91" t="str">
        <f ca="1">IF(AND(B115&lt;&gt;"",B115&lt;&gt;0),VLOOKUP(B115,Tb_KostenTypen[#All],1,0),"")</f>
        <v/>
      </c>
      <c r="C143" s="91" t="str">
        <f>IF(AND(C115&lt;&gt;"",C115&lt;&gt;0),VLOOKUP(C115,Tb_KostenTypen[#All],1,0),"")</f>
        <v/>
      </c>
      <c r="D143" s="91" t="str">
        <f>IF(AND(D115&lt;&gt;"",D115&lt;&gt;0),VLOOKUP(D115,Tb_KostenTypen[#All],1,0),"")</f>
        <v/>
      </c>
      <c r="E143" s="91" t="str">
        <f>IF(AND(E115&lt;&gt;"",E115&lt;&gt;0),VLOOKUP(E115,Tb_KostenTypen[#All],1,0),"")</f>
        <v/>
      </c>
      <c r="F143" s="91" t="str">
        <f>IF(AND(F115&lt;&gt;"",F115&lt;&gt;0),VLOOKUP(F115,Tb_KostenTypen[#All],1,0),"")</f>
        <v/>
      </c>
      <c r="G143" s="91" t="str">
        <f>IF(AND(G115&lt;&gt;"",G115&lt;&gt;0),VLOOKUP(G115,Tb_KostenTypen[#All],1,0),"")</f>
        <v/>
      </c>
    </row>
    <row r="144" spans="1:7" x14ac:dyDescent="0.25">
      <c r="A144" s="91"/>
      <c r="B144" s="91" t="str">
        <f ca="1">IF(AND(B116&lt;&gt;"",B116&lt;&gt;0),VLOOKUP(B116,Tb_KostenTypen[#All],1,0),"")</f>
        <v/>
      </c>
      <c r="C144" s="91" t="str">
        <f>IF(AND(C116&lt;&gt;"",C116&lt;&gt;0),VLOOKUP(C116,Tb_KostenTypen[#All],1,0),"")</f>
        <v/>
      </c>
      <c r="D144" s="91" t="str">
        <f>IF(AND(D116&lt;&gt;"",D116&lt;&gt;0),VLOOKUP(D116,Tb_KostenTypen[#All],1,0),"")</f>
        <v/>
      </c>
      <c r="E144" s="91" t="str">
        <f>IF(AND(E116&lt;&gt;"",E116&lt;&gt;0),VLOOKUP(E116,Tb_KostenTypen[#All],1,0),"")</f>
        <v/>
      </c>
      <c r="F144" s="91" t="str">
        <f>IF(AND(F116&lt;&gt;"",F116&lt;&gt;0),VLOOKUP(F116,Tb_KostenTypen[#All],1,0),"")</f>
        <v/>
      </c>
      <c r="G144" s="91" t="str">
        <f>IF(AND(G116&lt;&gt;"",G116&lt;&gt;0),VLOOKUP(G116,Tb_KostenTypen[#All],1,0),"")</f>
        <v/>
      </c>
    </row>
    <row r="146" spans="1:35" x14ac:dyDescent="0.25">
      <c r="A146" s="264" t="s">
        <v>119</v>
      </c>
      <c r="B146" s="264" t="s">
        <v>317</v>
      </c>
      <c r="C146" s="264" t="s">
        <v>318</v>
      </c>
      <c r="D146" s="264" t="s">
        <v>319</v>
      </c>
      <c r="E146" s="264" t="s">
        <v>320</v>
      </c>
      <c r="F146" s="264" t="s">
        <v>321</v>
      </c>
      <c r="G146" s="264" t="s">
        <v>322</v>
      </c>
      <c r="H146" s="264" t="s">
        <v>323</v>
      </c>
      <c r="I146" s="264" t="s">
        <v>324</v>
      </c>
      <c r="J146" s="264" t="s">
        <v>325</v>
      </c>
      <c r="K146" s="264" t="s">
        <v>326</v>
      </c>
      <c r="L146" s="264" t="s">
        <v>327</v>
      </c>
      <c r="M146" s="264" t="s">
        <v>356</v>
      </c>
      <c r="N146" s="264" t="s">
        <v>357</v>
      </c>
      <c r="O146" s="264" t="s">
        <v>358</v>
      </c>
      <c r="P146" s="264" t="s">
        <v>481</v>
      </c>
      <c r="Q146" s="264" t="s">
        <v>482</v>
      </c>
      <c r="R146" s="264" t="s">
        <v>483</v>
      </c>
      <c r="S146" s="264" t="s">
        <v>484</v>
      </c>
      <c r="T146" s="264" t="s">
        <v>485</v>
      </c>
      <c r="U146" s="264" t="s">
        <v>486</v>
      </c>
      <c r="V146" s="264" t="s">
        <v>487</v>
      </c>
      <c r="W146" s="264" t="s">
        <v>488</v>
      </c>
      <c r="X146" s="264" t="s">
        <v>489</v>
      </c>
      <c r="Y146" s="264" t="s">
        <v>490</v>
      </c>
      <c r="Z146" s="264" t="s">
        <v>491</v>
      </c>
      <c r="AA146" s="264" t="s">
        <v>492</v>
      </c>
      <c r="AB146" s="264" t="s">
        <v>493</v>
      </c>
      <c r="AC146" s="264" t="s">
        <v>494</v>
      </c>
      <c r="AD146" s="264" t="s">
        <v>495</v>
      </c>
      <c r="AE146" s="264" t="s">
        <v>496</v>
      </c>
      <c r="AF146" s="264" t="s">
        <v>497</v>
      </c>
      <c r="AG146" s="264" t="s">
        <v>498</v>
      </c>
      <c r="AH146" s="264" t="s">
        <v>499</v>
      </c>
      <c r="AI146" s="264" t="s">
        <v>500</v>
      </c>
    </row>
    <row r="147" spans="1:35" x14ac:dyDescent="0.25">
      <c r="A147" s="91" cm="1">
        <f t="array" aca="1" ref="A147" ca="1">OFFSET(Spec_Lijsten!$A$1,1,1,IF(COUNTIF(Spec_Lijsten!$A:$A,"&lt;&gt;"&amp;"")&gt;1,COUNTIF(Spec_Lijsten!$A:$A,"&lt;&gt;"&amp;"")-1,COUNTIF(Spec_Lijsten!A:A,"&lt;&gt;"&amp;"")))</f>
        <v>0</v>
      </c>
      <c r="B147" s="91" t="str" cm="1">
        <f t="array" aca="1" ref="B147" ca="1">IFERROR(_xlfn._xlws.SORT(_xlfn._xlws.FILTER(OFFSET(Spec_Lijsten!$AK1:$BR20,MATCH(A147,Spec_Lijsten!$B1:$B20,0)-1,,1),OFFSET(Spec_Lijsten!$AK1:$BR20,MATCH(A147,Spec_Lijsten!$B1:$B20,0)-1,,1)&lt;&gt;""),1,,1),"")</f>
        <v/>
      </c>
      <c r="C147" s="91"/>
      <c r="D147" s="91"/>
      <c r="E147" s="91"/>
      <c r="F147" s="91"/>
      <c r="G147" s="91"/>
      <c r="H147" s="91"/>
      <c r="I147" s="91"/>
      <c r="J147" s="91"/>
      <c r="K147" s="91"/>
      <c r="L147" s="91"/>
      <c r="M147" s="91"/>
      <c r="N147" s="91"/>
      <c r="O147" s="91"/>
      <c r="P147" s="91"/>
      <c r="Q147" s="91"/>
      <c r="R147" s="91"/>
      <c r="S147" s="91"/>
      <c r="T147" s="91"/>
      <c r="U147" s="91"/>
      <c r="V147" s="91"/>
      <c r="W147" s="91"/>
      <c r="X147" s="91"/>
      <c r="Y147" s="91"/>
      <c r="Z147" s="91"/>
      <c r="AA147" s="91"/>
      <c r="AB147" s="91"/>
      <c r="AC147" s="91"/>
      <c r="AD147" s="91"/>
      <c r="AE147" s="91"/>
      <c r="AF147" s="91"/>
      <c r="AG147" s="91"/>
      <c r="AH147" s="91"/>
      <c r="AI147" s="91"/>
    </row>
    <row r="148" spans="1:35" x14ac:dyDescent="0.25">
      <c r="A148" s="91"/>
      <c r="B148" s="91" t="str" cm="1">
        <f t="array" aca="1" ref="B148" ca="1">IFERROR(_xlfn._xlws.SORT(_xlfn._xlws.FILTER(OFFSET(Spec_Lijsten!$AK2:$BR21,MATCH(A148,Spec_Lijsten!$B2:$B21,0)-1,,1),OFFSET(Spec_Lijsten!$AK2:$BR21,MATCH(A148,Spec_Lijsten!$B2:$B21,0)-1,,1)&lt;&gt;""),1,,1),"")</f>
        <v/>
      </c>
      <c r="C148" s="91"/>
      <c r="D148" s="91"/>
      <c r="E148" s="91"/>
      <c r="F148" s="91"/>
      <c r="G148" s="91"/>
      <c r="H148" s="91"/>
      <c r="I148" s="91"/>
      <c r="J148" s="91"/>
      <c r="K148" s="91"/>
      <c r="L148" s="91"/>
      <c r="M148" s="91"/>
      <c r="N148" s="91"/>
      <c r="O148" s="91"/>
      <c r="P148" s="91"/>
      <c r="Q148" s="91"/>
      <c r="R148" s="91"/>
      <c r="S148" s="91"/>
      <c r="T148" s="91"/>
      <c r="U148" s="91"/>
      <c r="V148" s="91"/>
      <c r="W148" s="91"/>
      <c r="X148" s="91"/>
      <c r="Y148" s="91"/>
      <c r="Z148" s="91"/>
      <c r="AA148" s="91"/>
      <c r="AB148" s="91"/>
      <c r="AC148" s="91"/>
      <c r="AD148" s="91"/>
      <c r="AE148" s="91"/>
      <c r="AF148" s="91"/>
      <c r="AG148" s="91"/>
      <c r="AH148" s="91"/>
      <c r="AI148" s="91"/>
    </row>
    <row r="149" spans="1:35" x14ac:dyDescent="0.25">
      <c r="A149" s="91"/>
      <c r="B149" s="91" t="str" cm="1">
        <f t="array" aca="1" ref="B149" ca="1">IFERROR(_xlfn._xlws.SORT(_xlfn._xlws.FILTER(OFFSET(Spec_Lijsten!$AK3:$BR22,MATCH(A149,Spec_Lijsten!$B3:$B22,0)-1,,1),OFFSET(Spec_Lijsten!$AK3:$BR22,MATCH(A149,Spec_Lijsten!$B3:$B22,0)-1,,1)&lt;&gt;""),1,,1),"")</f>
        <v/>
      </c>
      <c r="C149" s="91"/>
      <c r="D149" s="91"/>
      <c r="E149" s="91"/>
      <c r="F149" s="91"/>
      <c r="G149" s="91"/>
      <c r="H149" s="91"/>
      <c r="I149" s="91"/>
      <c r="J149" s="91"/>
      <c r="K149" s="91"/>
      <c r="L149" s="91"/>
      <c r="M149" s="91"/>
      <c r="N149" s="91"/>
      <c r="O149" s="91"/>
      <c r="P149" s="91"/>
      <c r="Q149" s="91"/>
      <c r="R149" s="91"/>
      <c r="S149" s="91"/>
      <c r="T149" s="91"/>
      <c r="U149" s="91"/>
      <c r="V149" s="91"/>
      <c r="W149" s="91"/>
      <c r="X149" s="91"/>
      <c r="Y149" s="91"/>
      <c r="Z149" s="91"/>
      <c r="AA149" s="91"/>
      <c r="AB149" s="91"/>
      <c r="AC149" s="91"/>
      <c r="AD149" s="91"/>
      <c r="AE149" s="91"/>
      <c r="AF149" s="91"/>
      <c r="AG149" s="91"/>
      <c r="AH149" s="91"/>
      <c r="AI149" s="91"/>
    </row>
    <row r="150" spans="1:35" x14ac:dyDescent="0.25">
      <c r="A150" s="91"/>
      <c r="B150" s="91" t="str" cm="1">
        <f t="array" aca="1" ref="B150" ca="1">IFERROR(_xlfn._xlws.SORT(_xlfn._xlws.FILTER(OFFSET(Spec_Lijsten!$AK4:$BR23,MATCH(A150,Spec_Lijsten!$B4:$B23,0)-1,,1),OFFSET(Spec_Lijsten!$AK4:$BR23,MATCH(A150,Spec_Lijsten!$B4:$B23,0)-1,,1)&lt;&gt;""),1,,1),"")</f>
        <v/>
      </c>
      <c r="C150" s="91"/>
      <c r="D150" s="91"/>
      <c r="E150" s="91"/>
      <c r="F150" s="91"/>
      <c r="G150" s="91"/>
      <c r="H150" s="91"/>
      <c r="I150" s="91"/>
      <c r="J150" s="91"/>
      <c r="K150" s="91"/>
      <c r="L150" s="91"/>
      <c r="M150" s="91"/>
      <c r="N150" s="91"/>
      <c r="O150" s="91"/>
      <c r="P150" s="91"/>
      <c r="Q150" s="91"/>
      <c r="R150" s="91"/>
      <c r="S150" s="91"/>
      <c r="T150" s="91"/>
      <c r="U150" s="91"/>
      <c r="V150" s="91"/>
      <c r="W150" s="91"/>
      <c r="X150" s="91"/>
      <c r="Y150" s="91"/>
      <c r="Z150" s="91"/>
      <c r="AA150" s="91"/>
      <c r="AB150" s="91"/>
      <c r="AC150" s="91"/>
      <c r="AD150" s="91"/>
      <c r="AE150" s="91"/>
      <c r="AF150" s="91"/>
      <c r="AG150" s="91"/>
      <c r="AH150" s="91"/>
      <c r="AI150" s="91"/>
    </row>
    <row r="151" spans="1:35" x14ac:dyDescent="0.25">
      <c r="A151" s="91"/>
      <c r="B151" s="91" t="str" cm="1">
        <f t="array" aca="1" ref="B151" ca="1">IFERROR(_xlfn._xlws.SORT(_xlfn._xlws.FILTER(OFFSET(Spec_Lijsten!$AK5:$BR24,MATCH(A151,Spec_Lijsten!$B5:$B24,0)-1,,1),OFFSET(Spec_Lijsten!$AK5:$BR24,MATCH(A151,Spec_Lijsten!$B5:$B24,0)-1,,1)&lt;&gt;""),1,,1),"")</f>
        <v/>
      </c>
      <c r="C151" s="91"/>
      <c r="D151" s="91"/>
      <c r="E151" s="91"/>
      <c r="F151" s="91"/>
      <c r="G151" s="91"/>
      <c r="H151" s="91"/>
      <c r="I151" s="91"/>
      <c r="J151" s="91"/>
      <c r="K151" s="91"/>
      <c r="L151" s="91"/>
      <c r="M151" s="91"/>
      <c r="N151" s="91"/>
      <c r="O151" s="91"/>
      <c r="P151" s="91"/>
      <c r="Q151" s="91"/>
      <c r="R151" s="91"/>
      <c r="S151" s="91"/>
      <c r="T151" s="91"/>
      <c r="U151" s="91"/>
      <c r="V151" s="91"/>
      <c r="W151" s="91"/>
      <c r="X151" s="91"/>
      <c r="Y151" s="91"/>
      <c r="Z151" s="91"/>
      <c r="AA151" s="91"/>
      <c r="AB151" s="91"/>
      <c r="AC151" s="91"/>
      <c r="AD151" s="91"/>
      <c r="AE151" s="91"/>
      <c r="AF151" s="91"/>
      <c r="AG151" s="91"/>
      <c r="AH151" s="91"/>
      <c r="AI151" s="91"/>
    </row>
    <row r="152" spans="1:35" x14ac:dyDescent="0.25">
      <c r="A152" s="91"/>
      <c r="B152" s="91" t="str" cm="1">
        <f t="array" aca="1" ref="B152" ca="1">IFERROR(_xlfn._xlws.SORT(_xlfn._xlws.FILTER(OFFSET(Spec_Lijsten!$AK6:$BR25,MATCH(A152,Spec_Lijsten!$B6:$B25,0)-1,,1),OFFSET(Spec_Lijsten!$AK6:$BR25,MATCH(A152,Spec_Lijsten!$B6:$B25,0)-1,,1)&lt;&gt;""),1,,1),"")</f>
        <v/>
      </c>
      <c r="C152" s="91"/>
      <c r="D152" s="91"/>
      <c r="E152" s="91"/>
      <c r="F152" s="91"/>
      <c r="G152" s="91"/>
      <c r="H152" s="91"/>
      <c r="I152" s="91"/>
      <c r="J152" s="91"/>
      <c r="K152" s="91"/>
      <c r="L152" s="91"/>
      <c r="M152" s="91"/>
      <c r="N152" s="91"/>
      <c r="O152" s="91"/>
      <c r="P152" s="91"/>
      <c r="Q152" s="91"/>
      <c r="R152" s="91"/>
      <c r="S152" s="91"/>
      <c r="T152" s="91"/>
      <c r="U152" s="91"/>
      <c r="V152" s="91"/>
      <c r="W152" s="91"/>
      <c r="X152" s="91"/>
      <c r="Y152" s="91"/>
      <c r="Z152" s="91"/>
      <c r="AA152" s="91"/>
      <c r="AB152" s="91"/>
      <c r="AC152" s="91"/>
      <c r="AD152" s="91"/>
      <c r="AE152" s="91"/>
      <c r="AF152" s="91"/>
      <c r="AG152" s="91"/>
      <c r="AH152" s="91"/>
      <c r="AI152" s="91"/>
    </row>
    <row r="153" spans="1:35" x14ac:dyDescent="0.25">
      <c r="A153" s="91"/>
      <c r="B153" s="91" t="str" cm="1">
        <f t="array" aca="1" ref="B153" ca="1">IFERROR(_xlfn._xlws.SORT(_xlfn._xlws.FILTER(OFFSET(Spec_Lijsten!$AK7:$BR26,MATCH(A153,Spec_Lijsten!$B7:$B26,0)-1,,1),OFFSET(Spec_Lijsten!$AK7:$BR26,MATCH(A153,Spec_Lijsten!$B7:$B26,0)-1,,1)&lt;&gt;""),1,,1),"")</f>
        <v/>
      </c>
      <c r="C153" s="91"/>
      <c r="D153" s="91"/>
      <c r="E153" s="91"/>
      <c r="F153" s="91"/>
      <c r="G153" s="91"/>
      <c r="H153" s="91"/>
      <c r="I153" s="91"/>
      <c r="J153" s="91"/>
      <c r="K153" s="91"/>
      <c r="L153" s="91"/>
      <c r="M153" s="91"/>
      <c r="N153" s="91"/>
      <c r="O153" s="91"/>
      <c r="P153" s="91"/>
      <c r="Q153" s="91"/>
      <c r="R153" s="91"/>
      <c r="S153" s="91"/>
      <c r="T153" s="91"/>
      <c r="U153" s="91"/>
      <c r="V153" s="91"/>
      <c r="W153" s="91"/>
      <c r="X153" s="91"/>
      <c r="Y153" s="91"/>
      <c r="Z153" s="91"/>
      <c r="AA153" s="91"/>
      <c r="AB153" s="91"/>
      <c r="AC153" s="91"/>
      <c r="AD153" s="91"/>
      <c r="AE153" s="91"/>
      <c r="AF153" s="91"/>
      <c r="AG153" s="91"/>
      <c r="AH153" s="91"/>
      <c r="AI153" s="91"/>
    </row>
    <row r="154" spans="1:35" x14ac:dyDescent="0.25">
      <c r="A154" s="91"/>
      <c r="B154" s="91" t="str" cm="1">
        <f t="array" aca="1" ref="B154" ca="1">IFERROR(_xlfn._xlws.SORT(_xlfn._xlws.FILTER(OFFSET(Spec_Lijsten!$AK8:$BR27,MATCH(A154,Spec_Lijsten!$B8:$B27,0)-1,,1),OFFSET(Spec_Lijsten!$AK8:$BR27,MATCH(A154,Spec_Lijsten!$B8:$B27,0)-1,,1)&lt;&gt;""),1,,1),"")</f>
        <v/>
      </c>
      <c r="C154" s="91"/>
      <c r="D154" s="91"/>
      <c r="E154" s="91"/>
      <c r="F154" s="91"/>
      <c r="G154" s="91"/>
      <c r="H154" s="91"/>
      <c r="I154" s="91"/>
      <c r="J154" s="91"/>
      <c r="K154" s="91"/>
      <c r="L154" s="91"/>
      <c r="M154" s="91"/>
      <c r="N154" s="91"/>
      <c r="O154" s="91"/>
      <c r="P154" s="91"/>
      <c r="Q154" s="91"/>
      <c r="R154" s="91"/>
      <c r="S154" s="91"/>
      <c r="T154" s="91"/>
      <c r="U154" s="91"/>
      <c r="V154" s="91"/>
      <c r="W154" s="91"/>
      <c r="X154" s="91"/>
      <c r="Y154" s="91"/>
      <c r="Z154" s="91"/>
      <c r="AA154" s="91"/>
      <c r="AB154" s="91"/>
      <c r="AC154" s="91"/>
      <c r="AD154" s="91"/>
      <c r="AE154" s="91"/>
      <c r="AF154" s="91"/>
      <c r="AG154" s="91"/>
      <c r="AH154" s="91"/>
      <c r="AI154" s="91"/>
    </row>
    <row r="155" spans="1:35" x14ac:dyDescent="0.25">
      <c r="A155" s="91"/>
      <c r="B155" s="91" t="str" cm="1">
        <f t="array" aca="1" ref="B155" ca="1">IFERROR(_xlfn._xlws.SORT(_xlfn._xlws.FILTER(OFFSET(Spec_Lijsten!$AK9:$BR28,MATCH(A155,Spec_Lijsten!$B9:$B28,0)-1,,1),OFFSET(Spec_Lijsten!$AK9:$BR28,MATCH(A155,Spec_Lijsten!$B9:$B28,0)-1,,1)&lt;&gt;""),1,,1),"")</f>
        <v/>
      </c>
      <c r="C155" s="91"/>
      <c r="D155" s="91"/>
      <c r="E155" s="91"/>
      <c r="F155" s="91"/>
      <c r="G155" s="91"/>
      <c r="H155" s="91"/>
      <c r="I155" s="91"/>
      <c r="J155" s="91"/>
      <c r="K155" s="91"/>
      <c r="L155" s="91"/>
      <c r="M155" s="91"/>
      <c r="N155" s="91"/>
      <c r="O155" s="91"/>
      <c r="P155" s="91"/>
      <c r="Q155" s="91"/>
      <c r="R155" s="91"/>
      <c r="S155" s="91"/>
      <c r="T155" s="91"/>
      <c r="U155" s="91"/>
      <c r="V155" s="91"/>
      <c r="W155" s="91"/>
      <c r="X155" s="91"/>
      <c r="Y155" s="91"/>
      <c r="Z155" s="91"/>
      <c r="AA155" s="91"/>
      <c r="AB155" s="91"/>
      <c r="AC155" s="91"/>
      <c r="AD155" s="91"/>
      <c r="AE155" s="91"/>
      <c r="AF155" s="91"/>
      <c r="AG155" s="91"/>
      <c r="AH155" s="91"/>
      <c r="AI155" s="91"/>
    </row>
    <row r="156" spans="1:35" x14ac:dyDescent="0.25">
      <c r="A156" s="91"/>
      <c r="B156" s="91" t="str" cm="1">
        <f t="array" aca="1" ref="B156" ca="1">IFERROR(_xlfn._xlws.SORT(_xlfn._xlws.FILTER(OFFSET(Spec_Lijsten!$AK10:$BR29,MATCH(A156,Spec_Lijsten!$B10:$B29,0)-1,,1),OFFSET(Spec_Lijsten!$AK10:$BR29,MATCH(A156,Spec_Lijsten!$B10:$B29,0)-1,,1)&lt;&gt;""),1,,1),"")</f>
        <v/>
      </c>
      <c r="C156" s="91"/>
      <c r="D156" s="91"/>
      <c r="E156" s="91"/>
      <c r="F156" s="91"/>
      <c r="G156" s="91"/>
      <c r="H156" s="91"/>
      <c r="I156" s="91"/>
      <c r="J156" s="91"/>
      <c r="K156" s="91"/>
      <c r="L156" s="91"/>
      <c r="M156" s="91"/>
      <c r="N156" s="91"/>
      <c r="O156" s="91"/>
      <c r="P156" s="91"/>
      <c r="Q156" s="91"/>
      <c r="R156" s="91"/>
      <c r="S156" s="91"/>
      <c r="T156" s="91"/>
      <c r="U156" s="91"/>
      <c r="V156" s="91"/>
      <c r="W156" s="91"/>
      <c r="X156" s="91"/>
      <c r="Y156" s="91"/>
      <c r="Z156" s="91"/>
      <c r="AA156" s="91"/>
      <c r="AB156" s="91"/>
      <c r="AC156" s="91"/>
      <c r="AD156" s="91"/>
      <c r="AE156" s="91"/>
      <c r="AF156" s="91"/>
      <c r="AG156" s="91"/>
      <c r="AH156" s="91"/>
      <c r="AI156" s="91"/>
    </row>
    <row r="157" spans="1:35" x14ac:dyDescent="0.25">
      <c r="A157" s="91"/>
      <c r="B157" s="91" t="str" cm="1">
        <f t="array" aca="1" ref="B157" ca="1">IFERROR(_xlfn._xlws.SORT(_xlfn._xlws.FILTER(OFFSET(Spec_Lijsten!$AK11:$BR30,MATCH(A157,Spec_Lijsten!$B11:$B30,0)-1,,1),OFFSET(Spec_Lijsten!$AK11:$BR30,MATCH(A157,Spec_Lijsten!$B11:$B30,0)-1,,1)&lt;&gt;""),1,,1),"")</f>
        <v/>
      </c>
      <c r="C157" s="91"/>
      <c r="D157" s="91"/>
      <c r="E157" s="91"/>
      <c r="F157" s="91"/>
      <c r="G157" s="91"/>
      <c r="H157" s="91"/>
      <c r="I157" s="91"/>
      <c r="J157" s="91"/>
      <c r="K157" s="91"/>
      <c r="L157" s="91"/>
      <c r="M157" s="91"/>
      <c r="N157" s="91"/>
      <c r="O157" s="91"/>
      <c r="P157" s="91"/>
      <c r="Q157" s="91"/>
      <c r="R157" s="91"/>
      <c r="S157" s="91"/>
      <c r="T157" s="91"/>
      <c r="U157" s="91"/>
      <c r="V157" s="91"/>
      <c r="W157" s="91"/>
      <c r="X157" s="91"/>
      <c r="Y157" s="91"/>
      <c r="Z157" s="91"/>
      <c r="AA157" s="91"/>
      <c r="AB157" s="91"/>
      <c r="AC157" s="91"/>
      <c r="AD157" s="91"/>
      <c r="AE157" s="91"/>
      <c r="AF157" s="91"/>
      <c r="AG157" s="91"/>
      <c r="AH157" s="91"/>
      <c r="AI157" s="91"/>
    </row>
    <row r="158" spans="1:35" x14ac:dyDescent="0.25">
      <c r="A158" s="91"/>
      <c r="B158" s="91" t="str" cm="1">
        <f t="array" aca="1" ref="B158" ca="1">IFERROR(_xlfn._xlws.SORT(_xlfn._xlws.FILTER(OFFSET(Spec_Lijsten!$AK12:$BR31,MATCH(A158,Spec_Lijsten!$B12:$B31,0)-1,,1),OFFSET(Spec_Lijsten!$AK12:$BR31,MATCH(A158,Spec_Lijsten!$B12:$B31,0)-1,,1)&lt;&gt;""),1,,1),"")</f>
        <v/>
      </c>
      <c r="C158" s="91"/>
      <c r="D158" s="91"/>
      <c r="E158" s="91"/>
      <c r="F158" s="91"/>
      <c r="G158" s="91"/>
      <c r="H158" s="91"/>
      <c r="I158" s="91"/>
      <c r="J158" s="91"/>
      <c r="K158" s="91"/>
      <c r="L158" s="91"/>
      <c r="M158" s="91"/>
      <c r="N158" s="91"/>
      <c r="O158" s="91"/>
      <c r="P158" s="91"/>
      <c r="Q158" s="91"/>
      <c r="R158" s="91"/>
      <c r="S158" s="91"/>
      <c r="T158" s="91"/>
      <c r="U158" s="91"/>
      <c r="V158" s="91"/>
      <c r="W158" s="91"/>
      <c r="X158" s="91"/>
      <c r="Y158" s="91"/>
      <c r="Z158" s="91"/>
      <c r="AA158" s="91"/>
      <c r="AB158" s="91"/>
      <c r="AC158" s="91"/>
      <c r="AD158" s="91"/>
      <c r="AE158" s="91"/>
      <c r="AF158" s="91"/>
      <c r="AG158" s="91"/>
      <c r="AH158" s="91"/>
      <c r="AI158" s="91"/>
    </row>
    <row r="160" spans="1:35" x14ac:dyDescent="0.25">
      <c r="A160" s="264" t="s">
        <v>194</v>
      </c>
      <c r="B160" s="264" t="s">
        <v>317</v>
      </c>
      <c r="C160" s="264" t="s">
        <v>318</v>
      </c>
      <c r="D160" s="264" t="s">
        <v>319</v>
      </c>
      <c r="E160" s="264" t="s">
        <v>320</v>
      </c>
      <c r="F160" s="264" t="s">
        <v>321</v>
      </c>
      <c r="G160" s="264" t="s">
        <v>322</v>
      </c>
      <c r="H160" s="264" t="s">
        <v>323</v>
      </c>
      <c r="I160" s="264" t="s">
        <v>324</v>
      </c>
      <c r="J160" s="264" t="s">
        <v>325</v>
      </c>
      <c r="K160" s="264" t="s">
        <v>326</v>
      </c>
      <c r="L160" s="264" t="s">
        <v>327</v>
      </c>
      <c r="M160" s="264" t="s">
        <v>356</v>
      </c>
      <c r="N160" s="264" t="s">
        <v>357</v>
      </c>
      <c r="O160" s="264" t="s">
        <v>358</v>
      </c>
      <c r="P160" s="264" t="s">
        <v>481</v>
      </c>
      <c r="Q160" s="264" t="s">
        <v>482</v>
      </c>
      <c r="R160" s="264" t="s">
        <v>483</v>
      </c>
      <c r="S160" s="264" t="s">
        <v>484</v>
      </c>
      <c r="T160" s="264" t="s">
        <v>485</v>
      </c>
      <c r="U160" s="264" t="s">
        <v>486</v>
      </c>
      <c r="V160" s="264" t="s">
        <v>487</v>
      </c>
      <c r="W160" s="264" t="s">
        <v>488</v>
      </c>
      <c r="X160" s="264" t="s">
        <v>489</v>
      </c>
      <c r="Y160" s="264" t="s">
        <v>490</v>
      </c>
      <c r="Z160" s="264" t="s">
        <v>491</v>
      </c>
      <c r="AA160" s="264" t="s">
        <v>492</v>
      </c>
      <c r="AB160" s="264" t="s">
        <v>493</v>
      </c>
      <c r="AC160" s="264" t="s">
        <v>494</v>
      </c>
      <c r="AD160" s="264" t="s">
        <v>495</v>
      </c>
      <c r="AE160" s="264" t="s">
        <v>496</v>
      </c>
      <c r="AF160" s="264" t="s">
        <v>497</v>
      </c>
      <c r="AG160" s="264" t="s">
        <v>498</v>
      </c>
      <c r="AH160" s="264" t="s">
        <v>499</v>
      </c>
      <c r="AI160" s="264" t="s">
        <v>500</v>
      </c>
    </row>
    <row r="161" spans="1:35" x14ac:dyDescent="0.25">
      <c r="A161" s="91" cm="1">
        <f t="array" aca="1" ref="A161" ca="1">OFFSET(Lijsten!$AJ$1,1,1,IF(COUNTIF(Lijsten!$AJ$1:$AJ$100,"&lt;&gt;"&amp;"")&gt;1,COUNTIF(Lijsten!$AJ$1:$AJ$100,"&lt;&gt;"&amp;"")-1,COUNTIF(Lijsten!$AJ$1:$AJ$100,"&lt;&gt;"&amp;"")))</f>
        <v>0</v>
      </c>
      <c r="B161" s="91" t="str" cm="1">
        <f t="array" aca="1" ref="B161" ca="1">TRANSPOSE(_xlfn.UNIQUE(TRANSPOSE(B175:AI175)))</f>
        <v/>
      </c>
      <c r="C161" s="91"/>
      <c r="D161" s="91"/>
      <c r="E161" s="91"/>
      <c r="F161" s="91"/>
      <c r="G161" s="91"/>
      <c r="H161" s="91"/>
      <c r="I161" s="91"/>
      <c r="J161" s="91"/>
      <c r="K161" s="91"/>
      <c r="L161" s="91"/>
      <c r="M161" s="91"/>
      <c r="N161" s="91"/>
      <c r="O161" s="91"/>
      <c r="P161" s="91"/>
      <c r="Q161" s="91"/>
      <c r="R161" s="91"/>
      <c r="S161" s="91"/>
      <c r="T161" s="91"/>
      <c r="U161" s="91"/>
      <c r="V161" s="91"/>
      <c r="W161" s="91"/>
      <c r="X161" s="91"/>
      <c r="Y161" s="91"/>
      <c r="Z161" s="91"/>
      <c r="AA161" s="91"/>
      <c r="AB161" s="91"/>
      <c r="AC161" s="91"/>
      <c r="AD161" s="91"/>
      <c r="AE161" s="91"/>
      <c r="AF161" s="91"/>
      <c r="AG161" s="91"/>
      <c r="AH161" s="91"/>
      <c r="AI161" s="91"/>
    </row>
    <row r="162" spans="1:35" x14ac:dyDescent="0.25">
      <c r="A162" s="91"/>
      <c r="B162" s="91" t="str" cm="1">
        <f t="array" aca="1" ref="B162" ca="1">TRANSPOSE(_xlfn.UNIQUE(TRANSPOSE(B176:AI176)))</f>
        <v/>
      </c>
      <c r="C162" s="91"/>
      <c r="D162" s="91"/>
      <c r="E162" s="91"/>
      <c r="F162" s="91"/>
      <c r="G162" s="91"/>
      <c r="H162" s="91"/>
      <c r="I162" s="91"/>
      <c r="J162" s="91"/>
      <c r="K162" s="91"/>
      <c r="L162" s="91"/>
      <c r="M162" s="91"/>
      <c r="N162" s="91"/>
      <c r="O162" s="91"/>
      <c r="P162" s="91"/>
      <c r="Q162" s="91"/>
      <c r="R162" s="91"/>
      <c r="S162" s="91"/>
      <c r="T162" s="91"/>
      <c r="U162" s="91"/>
      <c r="V162" s="91"/>
      <c r="W162" s="91"/>
      <c r="X162" s="91"/>
      <c r="Y162" s="91"/>
      <c r="Z162" s="91"/>
      <c r="AA162" s="91"/>
      <c r="AB162" s="91"/>
      <c r="AC162" s="91"/>
      <c r="AD162" s="91"/>
      <c r="AE162" s="91"/>
      <c r="AF162" s="91"/>
      <c r="AG162" s="91"/>
      <c r="AH162" s="91"/>
      <c r="AI162" s="91"/>
    </row>
    <row r="163" spans="1:35" x14ac:dyDescent="0.25">
      <c r="A163" s="91"/>
      <c r="B163" s="91" t="str" cm="1">
        <f t="array" aca="1" ref="B163" ca="1">TRANSPOSE(_xlfn.UNIQUE(TRANSPOSE(B177:AI177)))</f>
        <v/>
      </c>
      <c r="C163" s="91"/>
      <c r="D163" s="91"/>
      <c r="E163" s="91"/>
      <c r="F163" s="91"/>
      <c r="G163" s="91"/>
      <c r="H163" s="91"/>
      <c r="I163" s="91"/>
      <c r="J163" s="91"/>
      <c r="K163" s="91"/>
      <c r="L163" s="91"/>
      <c r="M163" s="91"/>
      <c r="N163" s="91"/>
      <c r="O163" s="91"/>
      <c r="P163" s="91"/>
      <c r="Q163" s="91"/>
      <c r="R163" s="91"/>
      <c r="S163" s="91"/>
      <c r="T163" s="91"/>
      <c r="U163" s="91"/>
      <c r="V163" s="91"/>
      <c r="W163" s="91"/>
      <c r="X163" s="91"/>
      <c r="Y163" s="91"/>
      <c r="Z163" s="91"/>
      <c r="AA163" s="91"/>
      <c r="AB163" s="91"/>
      <c r="AC163" s="91"/>
      <c r="AD163" s="91"/>
      <c r="AE163" s="91"/>
      <c r="AF163" s="91"/>
      <c r="AG163" s="91"/>
      <c r="AH163" s="91"/>
      <c r="AI163" s="91"/>
    </row>
    <row r="164" spans="1:35" x14ac:dyDescent="0.25">
      <c r="A164" s="91"/>
      <c r="B164" s="91" t="str" cm="1">
        <f t="array" aca="1" ref="B164" ca="1">TRANSPOSE(_xlfn.UNIQUE(TRANSPOSE(B178:AI178)))</f>
        <v/>
      </c>
      <c r="C164" s="91"/>
      <c r="D164" s="91"/>
      <c r="E164" s="91"/>
      <c r="F164" s="91"/>
      <c r="G164" s="91"/>
      <c r="H164" s="91"/>
      <c r="I164" s="91"/>
      <c r="J164" s="91"/>
      <c r="K164" s="91"/>
      <c r="L164" s="91"/>
      <c r="M164" s="91"/>
      <c r="N164" s="91"/>
      <c r="O164" s="91"/>
      <c r="P164" s="91"/>
      <c r="Q164" s="91"/>
      <c r="R164" s="91"/>
      <c r="S164" s="91"/>
      <c r="T164" s="91"/>
      <c r="U164" s="91"/>
      <c r="V164" s="91"/>
      <c r="W164" s="91"/>
      <c r="X164" s="91"/>
      <c r="Y164" s="91"/>
      <c r="Z164" s="91"/>
      <c r="AA164" s="91"/>
      <c r="AB164" s="91"/>
      <c r="AC164" s="91"/>
      <c r="AD164" s="91"/>
      <c r="AE164" s="91"/>
      <c r="AF164" s="91"/>
      <c r="AG164" s="91"/>
      <c r="AH164" s="91"/>
      <c r="AI164" s="91"/>
    </row>
    <row r="165" spans="1:35" x14ac:dyDescent="0.25">
      <c r="A165" s="91"/>
      <c r="B165" s="91" t="str" cm="1">
        <f t="array" aca="1" ref="B165" ca="1">TRANSPOSE(_xlfn.UNIQUE(TRANSPOSE(B179:AI179)))</f>
        <v/>
      </c>
      <c r="C165" s="91"/>
      <c r="D165" s="91"/>
      <c r="E165" s="91"/>
      <c r="F165" s="91"/>
      <c r="G165" s="91"/>
      <c r="H165" s="91"/>
      <c r="I165" s="91"/>
      <c r="J165" s="91"/>
      <c r="K165" s="91"/>
      <c r="L165" s="91"/>
      <c r="M165" s="91"/>
      <c r="N165" s="91"/>
      <c r="O165" s="91"/>
      <c r="P165" s="91"/>
      <c r="Q165" s="91"/>
      <c r="R165" s="91"/>
      <c r="S165" s="91"/>
      <c r="T165" s="91"/>
      <c r="U165" s="91"/>
      <c r="V165" s="91"/>
      <c r="W165" s="91"/>
      <c r="X165" s="91"/>
      <c r="Y165" s="91"/>
      <c r="Z165" s="91"/>
      <c r="AA165" s="91"/>
      <c r="AB165" s="91"/>
      <c r="AC165" s="91"/>
      <c r="AD165" s="91"/>
      <c r="AE165" s="91"/>
      <c r="AF165" s="91"/>
      <c r="AG165" s="91"/>
      <c r="AH165" s="91"/>
      <c r="AI165" s="91"/>
    </row>
    <row r="166" spans="1:35" x14ac:dyDescent="0.25">
      <c r="A166" s="91"/>
      <c r="B166" s="91" t="str" cm="1">
        <f t="array" aca="1" ref="B166" ca="1">TRANSPOSE(_xlfn.UNIQUE(TRANSPOSE(B180:AI180)))</f>
        <v/>
      </c>
      <c r="C166" s="91"/>
      <c r="D166" s="91"/>
      <c r="E166" s="91"/>
      <c r="F166" s="91"/>
      <c r="G166" s="91"/>
      <c r="H166" s="91"/>
      <c r="I166" s="91"/>
      <c r="J166" s="91"/>
      <c r="K166" s="91"/>
      <c r="L166" s="91"/>
      <c r="M166" s="91"/>
      <c r="N166" s="91"/>
      <c r="O166" s="91"/>
      <c r="P166" s="91"/>
      <c r="Q166" s="91"/>
      <c r="R166" s="91"/>
      <c r="S166" s="91"/>
      <c r="T166" s="91"/>
      <c r="U166" s="91"/>
      <c r="V166" s="91"/>
      <c r="W166" s="91"/>
      <c r="X166" s="91"/>
      <c r="Y166" s="91"/>
      <c r="Z166" s="91"/>
      <c r="AA166" s="91"/>
      <c r="AB166" s="91"/>
      <c r="AC166" s="91"/>
      <c r="AD166" s="91"/>
      <c r="AE166" s="91"/>
      <c r="AF166" s="91"/>
      <c r="AG166" s="91"/>
      <c r="AH166" s="91"/>
      <c r="AI166" s="91"/>
    </row>
    <row r="167" spans="1:35" x14ac:dyDescent="0.25">
      <c r="A167" s="91"/>
      <c r="B167" s="91" t="str" cm="1">
        <f t="array" aca="1" ref="B167" ca="1">TRANSPOSE(_xlfn.UNIQUE(TRANSPOSE(B181:AI181)))</f>
        <v/>
      </c>
      <c r="C167" s="91"/>
      <c r="D167" s="91"/>
      <c r="E167" s="91"/>
      <c r="F167" s="91"/>
      <c r="G167" s="91"/>
      <c r="H167" s="91"/>
      <c r="I167" s="91"/>
      <c r="J167" s="91"/>
      <c r="K167" s="91"/>
      <c r="L167" s="91"/>
      <c r="M167" s="91"/>
      <c r="N167" s="91"/>
      <c r="O167" s="91"/>
      <c r="P167" s="91"/>
      <c r="Q167" s="91"/>
      <c r="R167" s="91"/>
      <c r="S167" s="91"/>
      <c r="T167" s="91"/>
      <c r="U167" s="91"/>
      <c r="V167" s="91"/>
      <c r="W167" s="91"/>
      <c r="X167" s="91"/>
      <c r="Y167" s="91"/>
      <c r="Z167" s="91"/>
      <c r="AA167" s="91"/>
      <c r="AB167" s="91"/>
      <c r="AC167" s="91"/>
      <c r="AD167" s="91"/>
      <c r="AE167" s="91"/>
      <c r="AF167" s="91"/>
      <c r="AG167" s="91"/>
      <c r="AH167" s="91"/>
      <c r="AI167" s="91"/>
    </row>
    <row r="168" spans="1:35" x14ac:dyDescent="0.25">
      <c r="A168" s="91"/>
      <c r="B168" s="91" t="str" cm="1">
        <f t="array" aca="1" ref="B168" ca="1">TRANSPOSE(_xlfn.UNIQUE(TRANSPOSE(B182:AI182)))</f>
        <v/>
      </c>
      <c r="C168" s="91"/>
      <c r="D168" s="91"/>
      <c r="E168" s="91"/>
      <c r="F168" s="91"/>
      <c r="G168" s="91"/>
      <c r="H168" s="91"/>
      <c r="I168" s="91"/>
      <c r="J168" s="91"/>
      <c r="K168" s="91"/>
      <c r="L168" s="91"/>
      <c r="M168" s="91"/>
      <c r="N168" s="91"/>
      <c r="O168" s="91"/>
      <c r="P168" s="91"/>
      <c r="Q168" s="91"/>
      <c r="R168" s="91"/>
      <c r="S168" s="91"/>
      <c r="T168" s="91"/>
      <c r="U168" s="91"/>
      <c r="V168" s="91"/>
      <c r="W168" s="91"/>
      <c r="X168" s="91"/>
      <c r="Y168" s="91"/>
      <c r="Z168" s="91"/>
      <c r="AA168" s="91"/>
      <c r="AB168" s="91"/>
      <c r="AC168" s="91"/>
      <c r="AD168" s="91"/>
      <c r="AE168" s="91"/>
      <c r="AF168" s="91"/>
      <c r="AG168" s="91"/>
      <c r="AH168" s="91"/>
      <c r="AI168" s="91"/>
    </row>
    <row r="169" spans="1:35" x14ac:dyDescent="0.25">
      <c r="A169" s="91"/>
      <c r="B169" s="91" t="str" cm="1">
        <f t="array" aca="1" ref="B169" ca="1">TRANSPOSE(_xlfn.UNIQUE(TRANSPOSE(B183:AI183)))</f>
        <v/>
      </c>
      <c r="C169" s="91"/>
      <c r="D169" s="91"/>
      <c r="E169" s="91"/>
      <c r="F169" s="91"/>
      <c r="G169" s="91"/>
      <c r="H169" s="91"/>
      <c r="I169" s="91"/>
      <c r="J169" s="91"/>
      <c r="K169" s="91"/>
      <c r="L169" s="91"/>
      <c r="M169" s="91"/>
      <c r="N169" s="91"/>
      <c r="O169" s="91"/>
      <c r="P169" s="91"/>
      <c r="Q169" s="91"/>
      <c r="R169" s="91"/>
      <c r="S169" s="91"/>
      <c r="T169" s="91"/>
      <c r="U169" s="91"/>
      <c r="V169" s="91"/>
      <c r="W169" s="91"/>
      <c r="X169" s="91"/>
      <c r="Y169" s="91"/>
      <c r="Z169" s="91"/>
      <c r="AA169" s="91"/>
      <c r="AB169" s="91"/>
      <c r="AC169" s="91"/>
      <c r="AD169" s="91"/>
      <c r="AE169" s="91"/>
      <c r="AF169" s="91"/>
      <c r="AG169" s="91"/>
      <c r="AH169" s="91"/>
      <c r="AI169" s="91"/>
    </row>
    <row r="170" spans="1:35" x14ac:dyDescent="0.25">
      <c r="A170" s="91"/>
      <c r="B170" s="91" t="str" cm="1">
        <f t="array" aca="1" ref="B170" ca="1">TRANSPOSE(_xlfn.UNIQUE(TRANSPOSE(B184:AI184)))</f>
        <v/>
      </c>
      <c r="C170" s="91"/>
      <c r="D170" s="91"/>
      <c r="E170" s="91"/>
      <c r="F170" s="91"/>
      <c r="G170" s="91"/>
      <c r="H170" s="91"/>
      <c r="I170" s="91"/>
      <c r="J170" s="91"/>
      <c r="K170" s="91"/>
      <c r="L170" s="91"/>
      <c r="M170" s="91"/>
      <c r="N170" s="91"/>
      <c r="O170" s="91"/>
      <c r="P170" s="91"/>
      <c r="Q170" s="91"/>
      <c r="R170" s="91"/>
      <c r="S170" s="91"/>
      <c r="T170" s="91"/>
      <c r="U170" s="91"/>
      <c r="V170" s="91"/>
      <c r="W170" s="91"/>
      <c r="X170" s="91"/>
      <c r="Y170" s="91"/>
      <c r="Z170" s="91"/>
      <c r="AA170" s="91"/>
      <c r="AB170" s="91"/>
      <c r="AC170" s="91"/>
      <c r="AD170" s="91"/>
      <c r="AE170" s="91"/>
      <c r="AF170" s="91"/>
      <c r="AG170" s="91"/>
      <c r="AH170" s="91"/>
      <c r="AI170" s="91"/>
    </row>
    <row r="171" spans="1:35" x14ac:dyDescent="0.25">
      <c r="A171" s="91"/>
      <c r="B171" s="91" t="str" cm="1">
        <f t="array" aca="1" ref="B171" ca="1">TRANSPOSE(_xlfn.UNIQUE(TRANSPOSE(B185:AI185)))</f>
        <v/>
      </c>
      <c r="C171" s="91"/>
      <c r="D171" s="91"/>
      <c r="E171" s="91"/>
      <c r="F171" s="91"/>
      <c r="G171" s="91"/>
      <c r="H171" s="91"/>
      <c r="I171" s="91"/>
      <c r="J171" s="91"/>
      <c r="K171" s="91"/>
      <c r="L171" s="91"/>
      <c r="M171" s="91"/>
      <c r="N171" s="91"/>
      <c r="O171" s="91"/>
      <c r="P171" s="91"/>
      <c r="Q171" s="91"/>
      <c r="R171" s="91"/>
      <c r="S171" s="91"/>
      <c r="T171" s="91"/>
      <c r="U171" s="91"/>
      <c r="V171" s="91"/>
      <c r="W171" s="91"/>
      <c r="X171" s="91"/>
      <c r="Y171" s="91"/>
      <c r="Z171" s="91"/>
      <c r="AA171" s="91"/>
      <c r="AB171" s="91"/>
      <c r="AC171" s="91"/>
      <c r="AD171" s="91"/>
      <c r="AE171" s="91"/>
      <c r="AF171" s="91"/>
      <c r="AG171" s="91"/>
      <c r="AH171" s="91"/>
      <c r="AI171" s="91"/>
    </row>
    <row r="172" spans="1:35" x14ac:dyDescent="0.25">
      <c r="A172" s="91"/>
      <c r="B172" s="91" t="str" cm="1">
        <f t="array" aca="1" ref="B172" ca="1">TRANSPOSE(_xlfn.UNIQUE(TRANSPOSE(B186:AI186)))</f>
        <v/>
      </c>
      <c r="C172" s="91"/>
      <c r="D172" s="91"/>
      <c r="E172" s="91"/>
      <c r="F172" s="91"/>
      <c r="G172" s="91"/>
      <c r="H172" s="91"/>
      <c r="I172" s="91"/>
      <c r="J172" s="91"/>
      <c r="K172" s="91"/>
      <c r="L172" s="91"/>
      <c r="M172" s="91"/>
      <c r="N172" s="91"/>
      <c r="O172" s="91"/>
      <c r="P172" s="91"/>
      <c r="Q172" s="91"/>
      <c r="R172" s="91"/>
      <c r="S172" s="91"/>
      <c r="T172" s="91"/>
      <c r="U172" s="91"/>
      <c r="V172" s="91"/>
      <c r="W172" s="91"/>
      <c r="X172" s="91"/>
      <c r="Y172" s="91"/>
      <c r="Z172" s="91"/>
      <c r="AA172" s="91"/>
      <c r="AB172" s="91"/>
      <c r="AC172" s="91"/>
      <c r="AD172" s="91"/>
      <c r="AE172" s="91"/>
      <c r="AF172" s="91"/>
      <c r="AG172" s="91"/>
      <c r="AH172" s="91"/>
      <c r="AI172" s="91"/>
    </row>
    <row r="174" spans="1:35" x14ac:dyDescent="0.25">
      <c r="A174" s="264" t="s">
        <v>195</v>
      </c>
      <c r="B174" s="264" t="s">
        <v>317</v>
      </c>
      <c r="C174" s="264" t="s">
        <v>318</v>
      </c>
      <c r="D174" s="264" t="s">
        <v>319</v>
      </c>
      <c r="E174" s="264" t="s">
        <v>320</v>
      </c>
      <c r="F174" s="264" t="s">
        <v>321</v>
      </c>
      <c r="G174" s="264" t="s">
        <v>322</v>
      </c>
      <c r="H174" s="264" t="s">
        <v>323</v>
      </c>
      <c r="I174" s="264" t="s">
        <v>324</v>
      </c>
      <c r="J174" s="264" t="s">
        <v>325</v>
      </c>
      <c r="K174" s="264" t="s">
        <v>326</v>
      </c>
      <c r="L174" s="264" t="s">
        <v>327</v>
      </c>
      <c r="M174" s="264" t="s">
        <v>356</v>
      </c>
      <c r="N174" s="264" t="s">
        <v>357</v>
      </c>
      <c r="O174" s="264" t="s">
        <v>358</v>
      </c>
      <c r="P174" s="264" t="s">
        <v>481</v>
      </c>
      <c r="Q174" s="264" t="s">
        <v>482</v>
      </c>
      <c r="R174" s="264" t="s">
        <v>483</v>
      </c>
      <c r="S174" s="264" t="s">
        <v>484</v>
      </c>
      <c r="T174" s="264" t="s">
        <v>485</v>
      </c>
      <c r="U174" s="264" t="s">
        <v>486</v>
      </c>
      <c r="V174" s="264" t="s">
        <v>487</v>
      </c>
      <c r="W174" s="264" t="s">
        <v>488</v>
      </c>
      <c r="X174" s="264" t="s">
        <v>489</v>
      </c>
      <c r="Y174" s="264" t="s">
        <v>490</v>
      </c>
      <c r="Z174" s="264" t="s">
        <v>491</v>
      </c>
      <c r="AA174" s="264" t="s">
        <v>492</v>
      </c>
      <c r="AB174" s="264" t="s">
        <v>493</v>
      </c>
      <c r="AC174" s="264" t="s">
        <v>494</v>
      </c>
      <c r="AD174" s="264" t="s">
        <v>495</v>
      </c>
      <c r="AE174" s="264" t="s">
        <v>496</v>
      </c>
      <c r="AF174" s="264" t="s">
        <v>497</v>
      </c>
      <c r="AG174" s="264" t="s">
        <v>498</v>
      </c>
      <c r="AH174" s="264" t="s">
        <v>499</v>
      </c>
      <c r="AI174" s="264" t="s">
        <v>500</v>
      </c>
    </row>
    <row r="175" spans="1:35" x14ac:dyDescent="0.25">
      <c r="A175" s="91" cm="1">
        <f t="array" aca="1" ref="A175" ca="1">OFFSET(Lijsten!$AJ$1,1,1,IF(COUNTIF(Lijsten!$AJ$1:$AJ$100,"&lt;&gt;"&amp;"")&gt;1,COUNTIF(Lijsten!$AJ$1:$AJ$100,"&lt;&gt;"&amp;"")-1,COUNTIF(Lijsten!$AJ$1:$AJ$100,"&lt;&gt;"&amp;"")))</f>
        <v>0</v>
      </c>
      <c r="B175" s="91" t="str">
        <f ca="1">IF(AND(B147&lt;&gt;"",B147&lt;&gt;0),VLOOKUP(B147,Tb_KostenTypen[#All],1,0),"")</f>
        <v/>
      </c>
      <c r="C175" s="91" t="str">
        <f>IF(AND(C147&lt;&gt;"",C147&lt;&gt;0),VLOOKUP(C147,Tb_KostenTypen[#All],1,0),"")</f>
        <v/>
      </c>
      <c r="D175" s="91" t="str">
        <f>IF(AND(D147&lt;&gt;"",D147&lt;&gt;0),VLOOKUP(D147,Tb_KostenTypen[#All],1,0),"")</f>
        <v/>
      </c>
      <c r="E175" s="91" t="str">
        <f>IF(AND(E147&lt;&gt;"",E147&lt;&gt;0),VLOOKUP(E147,Tb_KostenTypen[#All],1,0),"")</f>
        <v/>
      </c>
      <c r="F175" s="91" t="str">
        <f>IF(AND(F147&lt;&gt;"",F147&lt;&gt;0),VLOOKUP(F147,Tb_KostenTypen[#All],1,0),"")</f>
        <v/>
      </c>
      <c r="G175" s="91" t="str">
        <f>IF(AND(G147&lt;&gt;"",G147&lt;&gt;0),VLOOKUP(G147,Tb_KostenTypen[#All],1,0),"")</f>
        <v/>
      </c>
      <c r="H175" s="91" t="str">
        <f>IF(AND(H147&lt;&gt;"",H147&lt;&gt;0),VLOOKUP(H147,Tb_KostenTypen[#All],1,0),"")</f>
        <v/>
      </c>
      <c r="I175" s="91" t="str">
        <f>IF(AND(I147&lt;&gt;"",I147&lt;&gt;0),VLOOKUP(I147,Tb_KostenTypen[#All],1,0),"")</f>
        <v/>
      </c>
      <c r="J175" s="91" t="str">
        <f>IF(AND(J147&lt;&gt;"",J147&lt;&gt;0),VLOOKUP(J147,Tb_KostenTypen[#All],1,0),"")</f>
        <v/>
      </c>
      <c r="K175" s="91" t="str">
        <f>IF(AND(K147&lt;&gt;"",K147&lt;&gt;0),VLOOKUP(K147,Tb_KostenTypen[#All],1,0),"")</f>
        <v/>
      </c>
      <c r="L175" s="91" t="str">
        <f>IF(AND(L147&lt;&gt;"",L147&lt;&gt;0),VLOOKUP(L147,Tb_KostenTypen[#All],1,0),"")</f>
        <v/>
      </c>
      <c r="M175" s="91" t="str">
        <f>IF(AND(M147&lt;&gt;"",M147&lt;&gt;0),VLOOKUP(M147,Tb_KostenTypen[#All],1,0),"")</f>
        <v/>
      </c>
      <c r="N175" s="91" t="str">
        <f>IF(AND(N147&lt;&gt;"",N147&lt;&gt;0),VLOOKUP(N147,Tb_KostenTypen[#All],1,0),"")</f>
        <v/>
      </c>
      <c r="O175" s="91" t="str">
        <f>IF(AND(O147&lt;&gt;"",O147&lt;&gt;0),VLOOKUP(O147,Tb_KostenTypen[#All],1,0),"")</f>
        <v/>
      </c>
      <c r="P175" s="91" t="str">
        <f>IF(AND(P147&lt;&gt;"",P147&lt;&gt;0),VLOOKUP(P147,Tb_KostenTypen[#All],1,0),"")</f>
        <v/>
      </c>
      <c r="Q175" s="91" t="str">
        <f>IF(AND(Q147&lt;&gt;"",Q147&lt;&gt;0),VLOOKUP(Q147,Tb_KostenTypen[#All],1,0),"")</f>
        <v/>
      </c>
      <c r="R175" s="91" t="str">
        <f>IF(AND(R147&lt;&gt;"",R147&lt;&gt;0),VLOOKUP(R147,Tb_KostenTypen[#All],1,0),"")</f>
        <v/>
      </c>
      <c r="S175" s="91" t="str">
        <f>IF(AND(S147&lt;&gt;"",S147&lt;&gt;0),VLOOKUP(S147,Tb_KostenTypen[#All],1,0),"")</f>
        <v/>
      </c>
      <c r="T175" s="91" t="str">
        <f>IF(AND(T147&lt;&gt;"",T147&lt;&gt;0),VLOOKUP(T147,Tb_KostenTypen[#All],1,0),"")</f>
        <v/>
      </c>
      <c r="U175" s="91" t="str">
        <f>IF(AND(U147&lt;&gt;"",U147&lt;&gt;0),VLOOKUP(U147,Tb_KostenTypen[#All],1,0),"")</f>
        <v/>
      </c>
      <c r="V175" s="91" t="str">
        <f>IF(AND(V147&lt;&gt;"",V147&lt;&gt;0),VLOOKUP(V147,Tb_KostenTypen[#All],1,0),"")</f>
        <v/>
      </c>
      <c r="W175" s="91" t="str">
        <f>IF(AND(W147&lt;&gt;"",W147&lt;&gt;0),VLOOKUP(W147,Tb_KostenTypen[#All],1,0),"")</f>
        <v/>
      </c>
      <c r="X175" s="91" t="str">
        <f>IF(AND(X147&lt;&gt;"",X147&lt;&gt;0),VLOOKUP(X147,Tb_KostenTypen[#All],1,0),"")</f>
        <v/>
      </c>
      <c r="Y175" s="91" t="str">
        <f>IF(AND(Y147&lt;&gt;"",Y147&lt;&gt;0),VLOOKUP(Y147,Tb_KostenTypen[#All],1,0),"")</f>
        <v/>
      </c>
      <c r="Z175" s="91" t="str">
        <f>IF(AND(Z147&lt;&gt;"",Z147&lt;&gt;0),VLOOKUP(Z147,Tb_KostenTypen[#All],1,0),"")</f>
        <v/>
      </c>
      <c r="AA175" s="91" t="str">
        <f>IF(AND(AA147&lt;&gt;"",AA147&lt;&gt;0),VLOOKUP(AA147,Tb_KostenTypen[#All],1,0),"")</f>
        <v/>
      </c>
      <c r="AB175" s="91" t="str">
        <f>IF(AND(AB147&lt;&gt;"",AB147&lt;&gt;0),VLOOKUP(AB147,Tb_KostenTypen[#All],1,0),"")</f>
        <v/>
      </c>
      <c r="AC175" s="91" t="str">
        <f>IF(AND(AC147&lt;&gt;"",AC147&lt;&gt;0),VLOOKUP(AC147,Tb_KostenTypen[#All],1,0),"")</f>
        <v/>
      </c>
      <c r="AD175" s="91" t="str">
        <f>IF(AND(AD147&lt;&gt;"",AD147&lt;&gt;0),VLOOKUP(AD147,Tb_KostenTypen[#All],1,0),"")</f>
        <v/>
      </c>
      <c r="AE175" s="91" t="str">
        <f>IF(AND(AE147&lt;&gt;"",AE147&lt;&gt;0),VLOOKUP(AE147,Tb_KostenTypen[#All],1,0),"")</f>
        <v/>
      </c>
      <c r="AF175" s="91" t="str">
        <f>IF(AND(AF147&lt;&gt;"",AF147&lt;&gt;0),VLOOKUP(AF147,Tb_KostenTypen[#All],1,0),"")</f>
        <v/>
      </c>
      <c r="AG175" s="91" t="str">
        <f>IF(AND(AG147&lt;&gt;"",AG147&lt;&gt;0),VLOOKUP(AG147,Tb_KostenTypen[#All],1,0),"")</f>
        <v/>
      </c>
      <c r="AH175" s="91" t="str">
        <f>IF(AND(AH147&lt;&gt;"",AH147&lt;&gt;0),VLOOKUP(AH147,Tb_KostenTypen[#All],1,0),"")</f>
        <v/>
      </c>
      <c r="AI175" s="91" t="str">
        <f>IF(AND(AI147&lt;&gt;"",AI147&lt;&gt;0),VLOOKUP(AI147,Tb_KostenTypen[#All],1,0),"")</f>
        <v/>
      </c>
    </row>
    <row r="176" spans="1:35" x14ac:dyDescent="0.25">
      <c r="A176" s="91"/>
      <c r="B176" s="91" t="str">
        <f ca="1">IF(AND(B148&lt;&gt;"",B148&lt;&gt;0),VLOOKUP(B148,Tb_KostenTypen[#All],1,0),"")</f>
        <v/>
      </c>
      <c r="C176" s="91" t="str">
        <f>IF(AND(C148&lt;&gt;"",C148&lt;&gt;0),VLOOKUP(C148,Tb_KostenTypen[#All],1,0),"")</f>
        <v/>
      </c>
      <c r="D176" s="91" t="str">
        <f>IF(AND(D148&lt;&gt;"",D148&lt;&gt;0),VLOOKUP(D148,Tb_KostenTypen[#All],1,0),"")</f>
        <v/>
      </c>
      <c r="E176" s="91" t="str">
        <f>IF(AND(E148&lt;&gt;"",E148&lt;&gt;0),VLOOKUP(E148,Tb_KostenTypen[#All],1,0),"")</f>
        <v/>
      </c>
      <c r="F176" s="91" t="str">
        <f>IF(AND(F148&lt;&gt;"",F148&lt;&gt;0),VLOOKUP(F148,Tb_KostenTypen[#All],1,0),"")</f>
        <v/>
      </c>
      <c r="G176" s="91" t="str">
        <f>IF(AND(G148&lt;&gt;"",G148&lt;&gt;0),VLOOKUP(G148,Tb_KostenTypen[#All],1,0),"")</f>
        <v/>
      </c>
      <c r="H176" s="91" t="str">
        <f>IF(AND(H148&lt;&gt;"",H148&lt;&gt;0),VLOOKUP(H148,Tb_KostenTypen[#All],1,0),"")</f>
        <v/>
      </c>
      <c r="I176" s="91" t="str">
        <f>IF(AND(I148&lt;&gt;"",I148&lt;&gt;0),VLOOKUP(I148,Tb_KostenTypen[#All],1,0),"")</f>
        <v/>
      </c>
      <c r="J176" s="91" t="str">
        <f>IF(AND(J148&lt;&gt;"",J148&lt;&gt;0),VLOOKUP(J148,Tb_KostenTypen[#All],1,0),"")</f>
        <v/>
      </c>
      <c r="K176" s="91" t="str">
        <f>IF(AND(K148&lt;&gt;"",K148&lt;&gt;0),VLOOKUP(K148,Tb_KostenTypen[#All],1,0),"")</f>
        <v/>
      </c>
      <c r="L176" s="91" t="str">
        <f>IF(AND(L148&lt;&gt;"",L148&lt;&gt;0),VLOOKUP(L148,Tb_KostenTypen[#All],1,0),"")</f>
        <v/>
      </c>
      <c r="M176" s="91" t="str">
        <f>IF(AND(M148&lt;&gt;"",M148&lt;&gt;0),VLOOKUP(M148,Tb_KostenTypen[#All],1,0),"")</f>
        <v/>
      </c>
      <c r="N176" s="91" t="str">
        <f>IF(AND(N148&lt;&gt;"",N148&lt;&gt;0),VLOOKUP(N148,Tb_KostenTypen[#All],1,0),"")</f>
        <v/>
      </c>
      <c r="O176" s="91" t="str">
        <f>IF(AND(O148&lt;&gt;"",O148&lt;&gt;0),VLOOKUP(O148,Tb_KostenTypen[#All],1,0),"")</f>
        <v/>
      </c>
      <c r="P176" s="91" t="str">
        <f>IF(AND(P148&lt;&gt;"",P148&lt;&gt;0),VLOOKUP(P148,Tb_KostenTypen[#All],1,0),"")</f>
        <v/>
      </c>
      <c r="Q176" s="91" t="str">
        <f>IF(AND(Q148&lt;&gt;"",Q148&lt;&gt;0),VLOOKUP(Q148,Tb_KostenTypen[#All],1,0),"")</f>
        <v/>
      </c>
      <c r="R176" s="91" t="str">
        <f>IF(AND(R148&lt;&gt;"",R148&lt;&gt;0),VLOOKUP(R148,Tb_KostenTypen[#All],1,0),"")</f>
        <v/>
      </c>
      <c r="S176" s="91" t="str">
        <f>IF(AND(S148&lt;&gt;"",S148&lt;&gt;0),VLOOKUP(S148,Tb_KostenTypen[#All],1,0),"")</f>
        <v/>
      </c>
      <c r="T176" s="91" t="str">
        <f>IF(AND(T148&lt;&gt;"",T148&lt;&gt;0),VLOOKUP(T148,Tb_KostenTypen[#All],1,0),"")</f>
        <v/>
      </c>
      <c r="U176" s="91" t="str">
        <f>IF(AND(U148&lt;&gt;"",U148&lt;&gt;0),VLOOKUP(U148,Tb_KostenTypen[#All],1,0),"")</f>
        <v/>
      </c>
      <c r="V176" s="91" t="str">
        <f>IF(AND(V148&lt;&gt;"",V148&lt;&gt;0),VLOOKUP(V148,Tb_KostenTypen[#All],1,0),"")</f>
        <v/>
      </c>
      <c r="W176" s="91" t="str">
        <f>IF(AND(W148&lt;&gt;"",W148&lt;&gt;0),VLOOKUP(W148,Tb_KostenTypen[#All],1,0),"")</f>
        <v/>
      </c>
      <c r="X176" s="91" t="str">
        <f>IF(AND(X148&lt;&gt;"",X148&lt;&gt;0),VLOOKUP(X148,Tb_KostenTypen[#All],1,0),"")</f>
        <v/>
      </c>
      <c r="Y176" s="91" t="str">
        <f>IF(AND(Y148&lt;&gt;"",Y148&lt;&gt;0),VLOOKUP(Y148,Tb_KostenTypen[#All],1,0),"")</f>
        <v/>
      </c>
      <c r="Z176" s="91" t="str">
        <f>IF(AND(Z148&lt;&gt;"",Z148&lt;&gt;0),VLOOKUP(Z148,Tb_KostenTypen[#All],1,0),"")</f>
        <v/>
      </c>
      <c r="AA176" s="91" t="str">
        <f>IF(AND(AA148&lt;&gt;"",AA148&lt;&gt;0),VLOOKUP(AA148,Tb_KostenTypen[#All],1,0),"")</f>
        <v/>
      </c>
      <c r="AB176" s="91" t="str">
        <f>IF(AND(AB148&lt;&gt;"",AB148&lt;&gt;0),VLOOKUP(AB148,Tb_KostenTypen[#All],1,0),"")</f>
        <v/>
      </c>
      <c r="AC176" s="91" t="str">
        <f>IF(AND(AC148&lt;&gt;"",AC148&lt;&gt;0),VLOOKUP(AC148,Tb_KostenTypen[#All],1,0),"")</f>
        <v/>
      </c>
      <c r="AD176" s="91" t="str">
        <f>IF(AND(AD148&lt;&gt;"",AD148&lt;&gt;0),VLOOKUP(AD148,Tb_KostenTypen[#All],1,0),"")</f>
        <v/>
      </c>
      <c r="AE176" s="91" t="str">
        <f>IF(AND(AE148&lt;&gt;"",AE148&lt;&gt;0),VLOOKUP(AE148,Tb_KostenTypen[#All],1,0),"")</f>
        <v/>
      </c>
      <c r="AF176" s="91" t="str">
        <f>IF(AND(AF148&lt;&gt;"",AF148&lt;&gt;0),VLOOKUP(AF148,Tb_KostenTypen[#All],1,0),"")</f>
        <v/>
      </c>
      <c r="AG176" s="91" t="str">
        <f>IF(AND(AG148&lt;&gt;"",AG148&lt;&gt;0),VLOOKUP(AG148,Tb_KostenTypen[#All],1,0),"")</f>
        <v/>
      </c>
      <c r="AH176" s="91" t="str">
        <f>IF(AND(AH148&lt;&gt;"",AH148&lt;&gt;0),VLOOKUP(AH148,Tb_KostenTypen[#All],1,0),"")</f>
        <v/>
      </c>
      <c r="AI176" s="91" t="str">
        <f>IF(AND(AI148&lt;&gt;"",AI148&lt;&gt;0),VLOOKUP(AI148,Tb_KostenTypen[#All],1,0),"")</f>
        <v/>
      </c>
    </row>
    <row r="177" spans="1:35" x14ac:dyDescent="0.25">
      <c r="A177" s="91"/>
      <c r="B177" s="91" t="str">
        <f ca="1">IF(AND(B149&lt;&gt;"",B149&lt;&gt;0),VLOOKUP(B149,Tb_KostenTypen[#All],1,0),"")</f>
        <v/>
      </c>
      <c r="C177" s="91" t="str">
        <f>IF(AND(C149&lt;&gt;"",C149&lt;&gt;0),VLOOKUP(C149,Tb_KostenTypen[#All],1,0),"")</f>
        <v/>
      </c>
      <c r="D177" s="91" t="str">
        <f>IF(AND(D149&lt;&gt;"",D149&lt;&gt;0),VLOOKUP(D149,Tb_KostenTypen[#All],1,0),"")</f>
        <v/>
      </c>
      <c r="E177" s="91" t="str">
        <f>IF(AND(E149&lt;&gt;"",E149&lt;&gt;0),VLOOKUP(E149,Tb_KostenTypen[#All],1,0),"")</f>
        <v/>
      </c>
      <c r="F177" s="91" t="str">
        <f>IF(AND(F149&lt;&gt;"",F149&lt;&gt;0),VLOOKUP(F149,Tb_KostenTypen[#All],1,0),"")</f>
        <v/>
      </c>
      <c r="G177" s="91" t="str">
        <f>IF(AND(G149&lt;&gt;"",G149&lt;&gt;0),VLOOKUP(G149,Tb_KostenTypen[#All],1,0),"")</f>
        <v/>
      </c>
      <c r="H177" s="91" t="str">
        <f>IF(AND(H149&lt;&gt;"",H149&lt;&gt;0),VLOOKUP(H149,Tb_KostenTypen[#All],1,0),"")</f>
        <v/>
      </c>
      <c r="I177" s="91" t="str">
        <f>IF(AND(I149&lt;&gt;"",I149&lt;&gt;0),VLOOKUP(I149,Tb_KostenTypen[#All],1,0),"")</f>
        <v/>
      </c>
      <c r="J177" s="91" t="str">
        <f>IF(AND(J149&lt;&gt;"",J149&lt;&gt;0),VLOOKUP(J149,Tb_KostenTypen[#All],1,0),"")</f>
        <v/>
      </c>
      <c r="K177" s="91" t="str">
        <f>IF(AND(K149&lt;&gt;"",K149&lt;&gt;0),VLOOKUP(K149,Tb_KostenTypen[#All],1,0),"")</f>
        <v/>
      </c>
      <c r="L177" s="91" t="str">
        <f>IF(AND(L149&lt;&gt;"",L149&lt;&gt;0),VLOOKUP(L149,Tb_KostenTypen[#All],1,0),"")</f>
        <v/>
      </c>
      <c r="M177" s="91" t="str">
        <f>IF(AND(M149&lt;&gt;"",M149&lt;&gt;0),VLOOKUP(M149,Tb_KostenTypen[#All],1,0),"")</f>
        <v/>
      </c>
      <c r="N177" s="91" t="str">
        <f>IF(AND(N149&lt;&gt;"",N149&lt;&gt;0),VLOOKUP(N149,Tb_KostenTypen[#All],1,0),"")</f>
        <v/>
      </c>
      <c r="O177" s="91" t="str">
        <f>IF(AND(O149&lt;&gt;"",O149&lt;&gt;0),VLOOKUP(O149,Tb_KostenTypen[#All],1,0),"")</f>
        <v/>
      </c>
      <c r="P177" s="91" t="str">
        <f>IF(AND(P149&lt;&gt;"",P149&lt;&gt;0),VLOOKUP(P149,Tb_KostenTypen[#All],1,0),"")</f>
        <v/>
      </c>
      <c r="Q177" s="91" t="str">
        <f>IF(AND(Q149&lt;&gt;"",Q149&lt;&gt;0),VLOOKUP(Q149,Tb_KostenTypen[#All],1,0),"")</f>
        <v/>
      </c>
      <c r="R177" s="91" t="str">
        <f>IF(AND(R149&lt;&gt;"",R149&lt;&gt;0),VLOOKUP(R149,Tb_KostenTypen[#All],1,0),"")</f>
        <v/>
      </c>
      <c r="S177" s="91" t="str">
        <f>IF(AND(S149&lt;&gt;"",S149&lt;&gt;0),VLOOKUP(S149,Tb_KostenTypen[#All],1,0),"")</f>
        <v/>
      </c>
      <c r="T177" s="91" t="str">
        <f>IF(AND(T149&lt;&gt;"",T149&lt;&gt;0),VLOOKUP(T149,Tb_KostenTypen[#All],1,0),"")</f>
        <v/>
      </c>
      <c r="U177" s="91" t="str">
        <f>IF(AND(U149&lt;&gt;"",U149&lt;&gt;0),VLOOKUP(U149,Tb_KostenTypen[#All],1,0),"")</f>
        <v/>
      </c>
      <c r="V177" s="91" t="str">
        <f>IF(AND(V149&lt;&gt;"",V149&lt;&gt;0),VLOOKUP(V149,Tb_KostenTypen[#All],1,0),"")</f>
        <v/>
      </c>
      <c r="W177" s="91" t="str">
        <f>IF(AND(W149&lt;&gt;"",W149&lt;&gt;0),VLOOKUP(W149,Tb_KostenTypen[#All],1,0),"")</f>
        <v/>
      </c>
      <c r="X177" s="91" t="str">
        <f>IF(AND(X149&lt;&gt;"",X149&lt;&gt;0),VLOOKUP(X149,Tb_KostenTypen[#All],1,0),"")</f>
        <v/>
      </c>
      <c r="Y177" s="91" t="str">
        <f>IF(AND(Y149&lt;&gt;"",Y149&lt;&gt;0),VLOOKUP(Y149,Tb_KostenTypen[#All],1,0),"")</f>
        <v/>
      </c>
      <c r="Z177" s="91" t="str">
        <f>IF(AND(Z149&lt;&gt;"",Z149&lt;&gt;0),VLOOKUP(Z149,Tb_KostenTypen[#All],1,0),"")</f>
        <v/>
      </c>
      <c r="AA177" s="91" t="str">
        <f>IF(AND(AA149&lt;&gt;"",AA149&lt;&gt;0),VLOOKUP(AA149,Tb_KostenTypen[#All],1,0),"")</f>
        <v/>
      </c>
      <c r="AB177" s="91" t="str">
        <f>IF(AND(AB149&lt;&gt;"",AB149&lt;&gt;0),VLOOKUP(AB149,Tb_KostenTypen[#All],1,0),"")</f>
        <v/>
      </c>
      <c r="AC177" s="91" t="str">
        <f>IF(AND(AC149&lt;&gt;"",AC149&lt;&gt;0),VLOOKUP(AC149,Tb_KostenTypen[#All],1,0),"")</f>
        <v/>
      </c>
      <c r="AD177" s="91" t="str">
        <f>IF(AND(AD149&lt;&gt;"",AD149&lt;&gt;0),VLOOKUP(AD149,Tb_KostenTypen[#All],1,0),"")</f>
        <v/>
      </c>
      <c r="AE177" s="91" t="str">
        <f>IF(AND(AE149&lt;&gt;"",AE149&lt;&gt;0),VLOOKUP(AE149,Tb_KostenTypen[#All],1,0),"")</f>
        <v/>
      </c>
      <c r="AF177" s="91" t="str">
        <f>IF(AND(AF149&lt;&gt;"",AF149&lt;&gt;0),VLOOKUP(AF149,Tb_KostenTypen[#All],1,0),"")</f>
        <v/>
      </c>
      <c r="AG177" s="91" t="str">
        <f>IF(AND(AG149&lt;&gt;"",AG149&lt;&gt;0),VLOOKUP(AG149,Tb_KostenTypen[#All],1,0),"")</f>
        <v/>
      </c>
      <c r="AH177" s="91" t="str">
        <f>IF(AND(AH149&lt;&gt;"",AH149&lt;&gt;0),VLOOKUP(AH149,Tb_KostenTypen[#All],1,0),"")</f>
        <v/>
      </c>
      <c r="AI177" s="91" t="str">
        <f>IF(AND(AI149&lt;&gt;"",AI149&lt;&gt;0),VLOOKUP(AI149,Tb_KostenTypen[#All],1,0),"")</f>
        <v/>
      </c>
    </row>
    <row r="178" spans="1:35" x14ac:dyDescent="0.25">
      <c r="A178" s="91"/>
      <c r="B178" s="91" t="str">
        <f ca="1">IF(AND(B150&lt;&gt;"",B150&lt;&gt;0),VLOOKUP(B150,Tb_KostenTypen[#All],1,0),"")</f>
        <v/>
      </c>
      <c r="C178" s="91" t="str">
        <f>IF(AND(C150&lt;&gt;"",C150&lt;&gt;0),VLOOKUP(C150,Tb_KostenTypen[#All],1,0),"")</f>
        <v/>
      </c>
      <c r="D178" s="91" t="str">
        <f>IF(AND(D150&lt;&gt;"",D150&lt;&gt;0),VLOOKUP(D150,Tb_KostenTypen[#All],1,0),"")</f>
        <v/>
      </c>
      <c r="E178" s="91" t="str">
        <f>IF(AND(E150&lt;&gt;"",E150&lt;&gt;0),VLOOKUP(E150,Tb_KostenTypen[#All],1,0),"")</f>
        <v/>
      </c>
      <c r="F178" s="91" t="str">
        <f>IF(AND(F150&lt;&gt;"",F150&lt;&gt;0),VLOOKUP(F150,Tb_KostenTypen[#All],1,0),"")</f>
        <v/>
      </c>
      <c r="G178" s="91" t="str">
        <f>IF(AND(G150&lt;&gt;"",G150&lt;&gt;0),VLOOKUP(G150,Tb_KostenTypen[#All],1,0),"")</f>
        <v/>
      </c>
      <c r="H178" s="91" t="str">
        <f>IF(AND(H150&lt;&gt;"",H150&lt;&gt;0),VLOOKUP(H150,Tb_KostenTypen[#All],1,0),"")</f>
        <v/>
      </c>
      <c r="I178" s="91" t="str">
        <f>IF(AND(I150&lt;&gt;"",I150&lt;&gt;0),VLOOKUP(I150,Tb_KostenTypen[#All],1,0),"")</f>
        <v/>
      </c>
      <c r="J178" s="91" t="str">
        <f>IF(AND(J150&lt;&gt;"",J150&lt;&gt;0),VLOOKUP(J150,Tb_KostenTypen[#All],1,0),"")</f>
        <v/>
      </c>
      <c r="K178" s="91" t="str">
        <f>IF(AND(K150&lt;&gt;"",K150&lt;&gt;0),VLOOKUP(K150,Tb_KostenTypen[#All],1,0),"")</f>
        <v/>
      </c>
      <c r="L178" s="91" t="str">
        <f>IF(AND(L150&lt;&gt;"",L150&lt;&gt;0),VLOOKUP(L150,Tb_KostenTypen[#All],1,0),"")</f>
        <v/>
      </c>
      <c r="M178" s="91" t="str">
        <f>IF(AND(M150&lt;&gt;"",M150&lt;&gt;0),VLOOKUP(M150,Tb_KostenTypen[#All],1,0),"")</f>
        <v/>
      </c>
      <c r="N178" s="91" t="str">
        <f>IF(AND(N150&lt;&gt;"",N150&lt;&gt;0),VLOOKUP(N150,Tb_KostenTypen[#All],1,0),"")</f>
        <v/>
      </c>
      <c r="O178" s="91" t="str">
        <f>IF(AND(O150&lt;&gt;"",O150&lt;&gt;0),VLOOKUP(O150,Tb_KostenTypen[#All],1,0),"")</f>
        <v/>
      </c>
      <c r="P178" s="91" t="str">
        <f>IF(AND(P150&lt;&gt;"",P150&lt;&gt;0),VLOOKUP(P150,Tb_KostenTypen[#All],1,0),"")</f>
        <v/>
      </c>
      <c r="Q178" s="91" t="str">
        <f>IF(AND(Q150&lt;&gt;"",Q150&lt;&gt;0),VLOOKUP(Q150,Tb_KostenTypen[#All],1,0),"")</f>
        <v/>
      </c>
      <c r="R178" s="91" t="str">
        <f>IF(AND(R150&lt;&gt;"",R150&lt;&gt;0),VLOOKUP(R150,Tb_KostenTypen[#All],1,0),"")</f>
        <v/>
      </c>
      <c r="S178" s="91" t="str">
        <f>IF(AND(S150&lt;&gt;"",S150&lt;&gt;0),VLOOKUP(S150,Tb_KostenTypen[#All],1,0),"")</f>
        <v/>
      </c>
      <c r="T178" s="91" t="str">
        <f>IF(AND(T150&lt;&gt;"",T150&lt;&gt;0),VLOOKUP(T150,Tb_KostenTypen[#All],1,0),"")</f>
        <v/>
      </c>
      <c r="U178" s="91" t="str">
        <f>IF(AND(U150&lt;&gt;"",U150&lt;&gt;0),VLOOKUP(U150,Tb_KostenTypen[#All],1,0),"")</f>
        <v/>
      </c>
      <c r="V178" s="91" t="str">
        <f>IF(AND(V150&lt;&gt;"",V150&lt;&gt;0),VLOOKUP(V150,Tb_KostenTypen[#All],1,0),"")</f>
        <v/>
      </c>
      <c r="W178" s="91" t="str">
        <f>IF(AND(W150&lt;&gt;"",W150&lt;&gt;0),VLOOKUP(W150,Tb_KostenTypen[#All],1,0),"")</f>
        <v/>
      </c>
      <c r="X178" s="91" t="str">
        <f>IF(AND(X150&lt;&gt;"",X150&lt;&gt;0),VLOOKUP(X150,Tb_KostenTypen[#All],1,0),"")</f>
        <v/>
      </c>
      <c r="Y178" s="91" t="str">
        <f>IF(AND(Y150&lt;&gt;"",Y150&lt;&gt;0),VLOOKUP(Y150,Tb_KostenTypen[#All],1,0),"")</f>
        <v/>
      </c>
      <c r="Z178" s="91" t="str">
        <f>IF(AND(Z150&lt;&gt;"",Z150&lt;&gt;0),VLOOKUP(Z150,Tb_KostenTypen[#All],1,0),"")</f>
        <v/>
      </c>
      <c r="AA178" s="91" t="str">
        <f>IF(AND(AA150&lt;&gt;"",AA150&lt;&gt;0),VLOOKUP(AA150,Tb_KostenTypen[#All],1,0),"")</f>
        <v/>
      </c>
      <c r="AB178" s="91" t="str">
        <f>IF(AND(AB150&lt;&gt;"",AB150&lt;&gt;0),VLOOKUP(AB150,Tb_KostenTypen[#All],1,0),"")</f>
        <v/>
      </c>
      <c r="AC178" s="91" t="str">
        <f>IF(AND(AC150&lt;&gt;"",AC150&lt;&gt;0),VLOOKUP(AC150,Tb_KostenTypen[#All],1,0),"")</f>
        <v/>
      </c>
      <c r="AD178" s="91" t="str">
        <f>IF(AND(AD150&lt;&gt;"",AD150&lt;&gt;0),VLOOKUP(AD150,Tb_KostenTypen[#All],1,0),"")</f>
        <v/>
      </c>
      <c r="AE178" s="91" t="str">
        <f>IF(AND(AE150&lt;&gt;"",AE150&lt;&gt;0),VLOOKUP(AE150,Tb_KostenTypen[#All],1,0),"")</f>
        <v/>
      </c>
      <c r="AF178" s="91" t="str">
        <f>IF(AND(AF150&lt;&gt;"",AF150&lt;&gt;0),VLOOKUP(AF150,Tb_KostenTypen[#All],1,0),"")</f>
        <v/>
      </c>
      <c r="AG178" s="91" t="str">
        <f>IF(AND(AG150&lt;&gt;"",AG150&lt;&gt;0),VLOOKUP(AG150,Tb_KostenTypen[#All],1,0),"")</f>
        <v/>
      </c>
      <c r="AH178" s="91" t="str">
        <f>IF(AND(AH150&lt;&gt;"",AH150&lt;&gt;0),VLOOKUP(AH150,Tb_KostenTypen[#All],1,0),"")</f>
        <v/>
      </c>
      <c r="AI178" s="91" t="str">
        <f>IF(AND(AI150&lt;&gt;"",AI150&lt;&gt;0),VLOOKUP(AI150,Tb_KostenTypen[#All],1,0),"")</f>
        <v/>
      </c>
    </row>
    <row r="179" spans="1:35" x14ac:dyDescent="0.25">
      <c r="A179" s="91"/>
      <c r="B179" s="91" t="str">
        <f ca="1">IF(AND(B151&lt;&gt;"",B151&lt;&gt;0),VLOOKUP(B151,Tb_KostenTypen[#All],1,0),"")</f>
        <v/>
      </c>
      <c r="C179" s="91" t="str">
        <f>IF(AND(C151&lt;&gt;"",C151&lt;&gt;0),VLOOKUP(C151,Tb_KostenTypen[#All],1,0),"")</f>
        <v/>
      </c>
      <c r="D179" s="91" t="str">
        <f>IF(AND(D151&lt;&gt;"",D151&lt;&gt;0),VLOOKUP(D151,Tb_KostenTypen[#All],1,0),"")</f>
        <v/>
      </c>
      <c r="E179" s="91" t="str">
        <f>IF(AND(E151&lt;&gt;"",E151&lt;&gt;0),VLOOKUP(E151,Tb_KostenTypen[#All],1,0),"")</f>
        <v/>
      </c>
      <c r="F179" s="91" t="str">
        <f>IF(AND(F151&lt;&gt;"",F151&lt;&gt;0),VLOOKUP(F151,Tb_KostenTypen[#All],1,0),"")</f>
        <v/>
      </c>
      <c r="G179" s="91" t="str">
        <f>IF(AND(G151&lt;&gt;"",G151&lt;&gt;0),VLOOKUP(G151,Tb_KostenTypen[#All],1,0),"")</f>
        <v/>
      </c>
      <c r="H179" s="91" t="str">
        <f>IF(AND(H151&lt;&gt;"",H151&lt;&gt;0),VLOOKUP(H151,Tb_KostenTypen[#All],1,0),"")</f>
        <v/>
      </c>
      <c r="I179" s="91" t="str">
        <f>IF(AND(I151&lt;&gt;"",I151&lt;&gt;0),VLOOKUP(I151,Tb_KostenTypen[#All],1,0),"")</f>
        <v/>
      </c>
      <c r="J179" s="91" t="str">
        <f>IF(AND(J151&lt;&gt;"",J151&lt;&gt;0),VLOOKUP(J151,Tb_KostenTypen[#All],1,0),"")</f>
        <v/>
      </c>
      <c r="K179" s="91" t="str">
        <f>IF(AND(K151&lt;&gt;"",K151&lt;&gt;0),VLOOKUP(K151,Tb_KostenTypen[#All],1,0),"")</f>
        <v/>
      </c>
      <c r="L179" s="91" t="str">
        <f>IF(AND(L151&lt;&gt;"",L151&lt;&gt;0),VLOOKUP(L151,Tb_KostenTypen[#All],1,0),"")</f>
        <v/>
      </c>
      <c r="M179" s="91" t="str">
        <f>IF(AND(M151&lt;&gt;"",M151&lt;&gt;0),VLOOKUP(M151,Tb_KostenTypen[#All],1,0),"")</f>
        <v/>
      </c>
      <c r="N179" s="91" t="str">
        <f>IF(AND(N151&lt;&gt;"",N151&lt;&gt;0),VLOOKUP(N151,Tb_KostenTypen[#All],1,0),"")</f>
        <v/>
      </c>
      <c r="O179" s="91" t="str">
        <f>IF(AND(O151&lt;&gt;"",O151&lt;&gt;0),VLOOKUP(O151,Tb_KostenTypen[#All],1,0),"")</f>
        <v/>
      </c>
      <c r="P179" s="91" t="str">
        <f>IF(AND(P151&lt;&gt;"",P151&lt;&gt;0),VLOOKUP(P151,Tb_KostenTypen[#All],1,0),"")</f>
        <v/>
      </c>
      <c r="Q179" s="91" t="str">
        <f>IF(AND(Q151&lt;&gt;"",Q151&lt;&gt;0),VLOOKUP(Q151,Tb_KostenTypen[#All],1,0),"")</f>
        <v/>
      </c>
      <c r="R179" s="91" t="str">
        <f>IF(AND(R151&lt;&gt;"",R151&lt;&gt;0),VLOOKUP(R151,Tb_KostenTypen[#All],1,0),"")</f>
        <v/>
      </c>
      <c r="S179" s="91" t="str">
        <f>IF(AND(S151&lt;&gt;"",S151&lt;&gt;0),VLOOKUP(S151,Tb_KostenTypen[#All],1,0),"")</f>
        <v/>
      </c>
      <c r="T179" s="91" t="str">
        <f>IF(AND(T151&lt;&gt;"",T151&lt;&gt;0),VLOOKUP(T151,Tb_KostenTypen[#All],1,0),"")</f>
        <v/>
      </c>
      <c r="U179" s="91" t="str">
        <f>IF(AND(U151&lt;&gt;"",U151&lt;&gt;0),VLOOKUP(U151,Tb_KostenTypen[#All],1,0),"")</f>
        <v/>
      </c>
      <c r="V179" s="91" t="str">
        <f>IF(AND(V151&lt;&gt;"",V151&lt;&gt;0),VLOOKUP(V151,Tb_KostenTypen[#All],1,0),"")</f>
        <v/>
      </c>
      <c r="W179" s="91" t="str">
        <f>IF(AND(W151&lt;&gt;"",W151&lt;&gt;0),VLOOKUP(W151,Tb_KostenTypen[#All],1,0),"")</f>
        <v/>
      </c>
      <c r="X179" s="91" t="str">
        <f>IF(AND(X151&lt;&gt;"",X151&lt;&gt;0),VLOOKUP(X151,Tb_KostenTypen[#All],1,0),"")</f>
        <v/>
      </c>
      <c r="Y179" s="91" t="str">
        <f>IF(AND(Y151&lt;&gt;"",Y151&lt;&gt;0),VLOOKUP(Y151,Tb_KostenTypen[#All],1,0),"")</f>
        <v/>
      </c>
      <c r="Z179" s="91" t="str">
        <f>IF(AND(Z151&lt;&gt;"",Z151&lt;&gt;0),VLOOKUP(Z151,Tb_KostenTypen[#All],1,0),"")</f>
        <v/>
      </c>
      <c r="AA179" s="91" t="str">
        <f>IF(AND(AA151&lt;&gt;"",AA151&lt;&gt;0),VLOOKUP(AA151,Tb_KostenTypen[#All],1,0),"")</f>
        <v/>
      </c>
      <c r="AB179" s="91" t="str">
        <f>IF(AND(AB151&lt;&gt;"",AB151&lt;&gt;0),VLOOKUP(AB151,Tb_KostenTypen[#All],1,0),"")</f>
        <v/>
      </c>
      <c r="AC179" s="91" t="str">
        <f>IF(AND(AC151&lt;&gt;"",AC151&lt;&gt;0),VLOOKUP(AC151,Tb_KostenTypen[#All],1,0),"")</f>
        <v/>
      </c>
      <c r="AD179" s="91" t="str">
        <f>IF(AND(AD151&lt;&gt;"",AD151&lt;&gt;0),VLOOKUP(AD151,Tb_KostenTypen[#All],1,0),"")</f>
        <v/>
      </c>
      <c r="AE179" s="91" t="str">
        <f>IF(AND(AE151&lt;&gt;"",AE151&lt;&gt;0),VLOOKUP(AE151,Tb_KostenTypen[#All],1,0),"")</f>
        <v/>
      </c>
      <c r="AF179" s="91" t="str">
        <f>IF(AND(AF151&lt;&gt;"",AF151&lt;&gt;0),VLOOKUP(AF151,Tb_KostenTypen[#All],1,0),"")</f>
        <v/>
      </c>
      <c r="AG179" s="91" t="str">
        <f>IF(AND(AG151&lt;&gt;"",AG151&lt;&gt;0),VLOOKUP(AG151,Tb_KostenTypen[#All],1,0),"")</f>
        <v/>
      </c>
      <c r="AH179" s="91" t="str">
        <f>IF(AND(AH151&lt;&gt;"",AH151&lt;&gt;0),VLOOKUP(AH151,Tb_KostenTypen[#All],1,0),"")</f>
        <v/>
      </c>
      <c r="AI179" s="91" t="str">
        <f>IF(AND(AI151&lt;&gt;"",AI151&lt;&gt;0),VLOOKUP(AI151,Tb_KostenTypen[#All],1,0),"")</f>
        <v/>
      </c>
    </row>
    <row r="180" spans="1:35" x14ac:dyDescent="0.25">
      <c r="A180" s="91"/>
      <c r="B180" s="91" t="str">
        <f ca="1">IF(AND(B152&lt;&gt;"",B152&lt;&gt;0),VLOOKUP(B152,Tb_KostenTypen[#All],1,0),"")</f>
        <v/>
      </c>
      <c r="C180" s="91" t="str">
        <f>IF(AND(C152&lt;&gt;"",C152&lt;&gt;0),VLOOKUP(C152,Tb_KostenTypen[#All],1,0),"")</f>
        <v/>
      </c>
      <c r="D180" s="91" t="str">
        <f>IF(AND(D152&lt;&gt;"",D152&lt;&gt;0),VLOOKUP(D152,Tb_KostenTypen[#All],1,0),"")</f>
        <v/>
      </c>
      <c r="E180" s="91" t="str">
        <f>IF(AND(E152&lt;&gt;"",E152&lt;&gt;0),VLOOKUP(E152,Tb_KostenTypen[#All],1,0),"")</f>
        <v/>
      </c>
      <c r="F180" s="91" t="str">
        <f>IF(AND(F152&lt;&gt;"",F152&lt;&gt;0),VLOOKUP(F152,Tb_KostenTypen[#All],1,0),"")</f>
        <v/>
      </c>
      <c r="G180" s="91" t="str">
        <f>IF(AND(G152&lt;&gt;"",G152&lt;&gt;0),VLOOKUP(G152,Tb_KostenTypen[#All],1,0),"")</f>
        <v/>
      </c>
      <c r="H180" s="91" t="str">
        <f>IF(AND(H152&lt;&gt;"",H152&lt;&gt;0),VLOOKUP(H152,Tb_KostenTypen[#All],1,0),"")</f>
        <v/>
      </c>
      <c r="I180" s="91" t="str">
        <f>IF(AND(I152&lt;&gt;"",I152&lt;&gt;0),VLOOKUP(I152,Tb_KostenTypen[#All],1,0),"")</f>
        <v/>
      </c>
      <c r="J180" s="91" t="str">
        <f>IF(AND(J152&lt;&gt;"",J152&lt;&gt;0),VLOOKUP(J152,Tb_KostenTypen[#All],1,0),"")</f>
        <v/>
      </c>
      <c r="K180" s="91" t="str">
        <f>IF(AND(K152&lt;&gt;"",K152&lt;&gt;0),VLOOKUP(K152,Tb_KostenTypen[#All],1,0),"")</f>
        <v/>
      </c>
      <c r="L180" s="91" t="str">
        <f>IF(AND(L152&lt;&gt;"",L152&lt;&gt;0),VLOOKUP(L152,Tb_KostenTypen[#All],1,0),"")</f>
        <v/>
      </c>
      <c r="M180" s="91" t="str">
        <f>IF(AND(M152&lt;&gt;"",M152&lt;&gt;0),VLOOKUP(M152,Tb_KostenTypen[#All],1,0),"")</f>
        <v/>
      </c>
      <c r="N180" s="91" t="str">
        <f>IF(AND(N152&lt;&gt;"",N152&lt;&gt;0),VLOOKUP(N152,Tb_KostenTypen[#All],1,0),"")</f>
        <v/>
      </c>
      <c r="O180" s="91" t="str">
        <f>IF(AND(O152&lt;&gt;"",O152&lt;&gt;0),VLOOKUP(O152,Tb_KostenTypen[#All],1,0),"")</f>
        <v/>
      </c>
      <c r="P180" s="91" t="str">
        <f>IF(AND(P152&lt;&gt;"",P152&lt;&gt;0),VLOOKUP(P152,Tb_KostenTypen[#All],1,0),"")</f>
        <v/>
      </c>
      <c r="Q180" s="91" t="str">
        <f>IF(AND(Q152&lt;&gt;"",Q152&lt;&gt;0),VLOOKUP(Q152,Tb_KostenTypen[#All],1,0),"")</f>
        <v/>
      </c>
      <c r="R180" s="91" t="str">
        <f>IF(AND(R152&lt;&gt;"",R152&lt;&gt;0),VLOOKUP(R152,Tb_KostenTypen[#All],1,0),"")</f>
        <v/>
      </c>
      <c r="S180" s="91" t="str">
        <f>IF(AND(S152&lt;&gt;"",S152&lt;&gt;0),VLOOKUP(S152,Tb_KostenTypen[#All],1,0),"")</f>
        <v/>
      </c>
      <c r="T180" s="91" t="str">
        <f>IF(AND(T152&lt;&gt;"",T152&lt;&gt;0),VLOOKUP(T152,Tb_KostenTypen[#All],1,0),"")</f>
        <v/>
      </c>
      <c r="U180" s="91" t="str">
        <f>IF(AND(U152&lt;&gt;"",U152&lt;&gt;0),VLOOKUP(U152,Tb_KostenTypen[#All],1,0),"")</f>
        <v/>
      </c>
      <c r="V180" s="91" t="str">
        <f>IF(AND(V152&lt;&gt;"",V152&lt;&gt;0),VLOOKUP(V152,Tb_KostenTypen[#All],1,0),"")</f>
        <v/>
      </c>
      <c r="W180" s="91" t="str">
        <f>IF(AND(W152&lt;&gt;"",W152&lt;&gt;0),VLOOKUP(W152,Tb_KostenTypen[#All],1,0),"")</f>
        <v/>
      </c>
      <c r="X180" s="91" t="str">
        <f>IF(AND(X152&lt;&gt;"",X152&lt;&gt;0),VLOOKUP(X152,Tb_KostenTypen[#All],1,0),"")</f>
        <v/>
      </c>
      <c r="Y180" s="91" t="str">
        <f>IF(AND(Y152&lt;&gt;"",Y152&lt;&gt;0),VLOOKUP(Y152,Tb_KostenTypen[#All],1,0),"")</f>
        <v/>
      </c>
      <c r="Z180" s="91" t="str">
        <f>IF(AND(Z152&lt;&gt;"",Z152&lt;&gt;0),VLOOKUP(Z152,Tb_KostenTypen[#All],1,0),"")</f>
        <v/>
      </c>
      <c r="AA180" s="91" t="str">
        <f>IF(AND(AA152&lt;&gt;"",AA152&lt;&gt;0),VLOOKUP(AA152,Tb_KostenTypen[#All],1,0),"")</f>
        <v/>
      </c>
      <c r="AB180" s="91" t="str">
        <f>IF(AND(AB152&lt;&gt;"",AB152&lt;&gt;0),VLOOKUP(AB152,Tb_KostenTypen[#All],1,0),"")</f>
        <v/>
      </c>
      <c r="AC180" s="91" t="str">
        <f>IF(AND(AC152&lt;&gt;"",AC152&lt;&gt;0),VLOOKUP(AC152,Tb_KostenTypen[#All],1,0),"")</f>
        <v/>
      </c>
      <c r="AD180" s="91" t="str">
        <f>IF(AND(AD152&lt;&gt;"",AD152&lt;&gt;0),VLOOKUP(AD152,Tb_KostenTypen[#All],1,0),"")</f>
        <v/>
      </c>
      <c r="AE180" s="91" t="str">
        <f>IF(AND(AE152&lt;&gt;"",AE152&lt;&gt;0),VLOOKUP(AE152,Tb_KostenTypen[#All],1,0),"")</f>
        <v/>
      </c>
      <c r="AF180" s="91" t="str">
        <f>IF(AND(AF152&lt;&gt;"",AF152&lt;&gt;0),VLOOKUP(AF152,Tb_KostenTypen[#All],1,0),"")</f>
        <v/>
      </c>
      <c r="AG180" s="91" t="str">
        <f>IF(AND(AG152&lt;&gt;"",AG152&lt;&gt;0),VLOOKUP(AG152,Tb_KostenTypen[#All],1,0),"")</f>
        <v/>
      </c>
      <c r="AH180" s="91" t="str">
        <f>IF(AND(AH152&lt;&gt;"",AH152&lt;&gt;0),VLOOKUP(AH152,Tb_KostenTypen[#All],1,0),"")</f>
        <v/>
      </c>
      <c r="AI180" s="91" t="str">
        <f>IF(AND(AI152&lt;&gt;"",AI152&lt;&gt;0),VLOOKUP(AI152,Tb_KostenTypen[#All],1,0),"")</f>
        <v/>
      </c>
    </row>
    <row r="181" spans="1:35" x14ac:dyDescent="0.25">
      <c r="A181" s="91"/>
      <c r="B181" s="91" t="str">
        <f ca="1">IF(AND(B153&lt;&gt;"",B153&lt;&gt;0),VLOOKUP(B153,Tb_KostenTypen[#All],1,0),"")</f>
        <v/>
      </c>
      <c r="C181" s="91" t="str">
        <f>IF(AND(C153&lt;&gt;"",C153&lt;&gt;0),VLOOKUP(C153,Tb_KostenTypen[#All],1,0),"")</f>
        <v/>
      </c>
      <c r="D181" s="91" t="str">
        <f>IF(AND(D153&lt;&gt;"",D153&lt;&gt;0),VLOOKUP(D153,Tb_KostenTypen[#All],1,0),"")</f>
        <v/>
      </c>
      <c r="E181" s="91" t="str">
        <f>IF(AND(E153&lt;&gt;"",E153&lt;&gt;0),VLOOKUP(E153,Tb_KostenTypen[#All],1,0),"")</f>
        <v/>
      </c>
      <c r="F181" s="91" t="str">
        <f>IF(AND(F153&lt;&gt;"",F153&lt;&gt;0),VLOOKUP(F153,Tb_KostenTypen[#All],1,0),"")</f>
        <v/>
      </c>
      <c r="G181" s="91" t="str">
        <f>IF(AND(G153&lt;&gt;"",G153&lt;&gt;0),VLOOKUP(G153,Tb_KostenTypen[#All],1,0),"")</f>
        <v/>
      </c>
      <c r="H181" s="91" t="str">
        <f>IF(AND(H153&lt;&gt;"",H153&lt;&gt;0),VLOOKUP(H153,Tb_KostenTypen[#All],1,0),"")</f>
        <v/>
      </c>
      <c r="I181" s="91" t="str">
        <f>IF(AND(I153&lt;&gt;"",I153&lt;&gt;0),VLOOKUP(I153,Tb_KostenTypen[#All],1,0),"")</f>
        <v/>
      </c>
      <c r="J181" s="91" t="str">
        <f>IF(AND(J153&lt;&gt;"",J153&lt;&gt;0),VLOOKUP(J153,Tb_KostenTypen[#All],1,0),"")</f>
        <v/>
      </c>
      <c r="K181" s="91" t="str">
        <f>IF(AND(K153&lt;&gt;"",K153&lt;&gt;0),VLOOKUP(K153,Tb_KostenTypen[#All],1,0),"")</f>
        <v/>
      </c>
      <c r="L181" s="91" t="str">
        <f>IF(AND(L153&lt;&gt;"",L153&lt;&gt;0),VLOOKUP(L153,Tb_KostenTypen[#All],1,0),"")</f>
        <v/>
      </c>
      <c r="M181" s="91" t="str">
        <f>IF(AND(M153&lt;&gt;"",M153&lt;&gt;0),VLOOKUP(M153,Tb_KostenTypen[#All],1,0),"")</f>
        <v/>
      </c>
      <c r="N181" s="91" t="str">
        <f>IF(AND(N153&lt;&gt;"",N153&lt;&gt;0),VLOOKUP(N153,Tb_KostenTypen[#All],1,0),"")</f>
        <v/>
      </c>
      <c r="O181" s="91" t="str">
        <f>IF(AND(O153&lt;&gt;"",O153&lt;&gt;0),VLOOKUP(O153,Tb_KostenTypen[#All],1,0),"")</f>
        <v/>
      </c>
      <c r="P181" s="91" t="str">
        <f>IF(AND(P153&lt;&gt;"",P153&lt;&gt;0),VLOOKUP(P153,Tb_KostenTypen[#All],1,0),"")</f>
        <v/>
      </c>
      <c r="Q181" s="91" t="str">
        <f>IF(AND(Q153&lt;&gt;"",Q153&lt;&gt;0),VLOOKUP(Q153,Tb_KostenTypen[#All],1,0),"")</f>
        <v/>
      </c>
      <c r="R181" s="91" t="str">
        <f>IF(AND(R153&lt;&gt;"",R153&lt;&gt;0),VLOOKUP(R153,Tb_KostenTypen[#All],1,0),"")</f>
        <v/>
      </c>
      <c r="S181" s="91" t="str">
        <f>IF(AND(S153&lt;&gt;"",S153&lt;&gt;0),VLOOKUP(S153,Tb_KostenTypen[#All],1,0),"")</f>
        <v/>
      </c>
      <c r="T181" s="91" t="str">
        <f>IF(AND(T153&lt;&gt;"",T153&lt;&gt;0),VLOOKUP(T153,Tb_KostenTypen[#All],1,0),"")</f>
        <v/>
      </c>
      <c r="U181" s="91" t="str">
        <f>IF(AND(U153&lt;&gt;"",U153&lt;&gt;0),VLOOKUP(U153,Tb_KostenTypen[#All],1,0),"")</f>
        <v/>
      </c>
      <c r="V181" s="91" t="str">
        <f>IF(AND(V153&lt;&gt;"",V153&lt;&gt;0),VLOOKUP(V153,Tb_KostenTypen[#All],1,0),"")</f>
        <v/>
      </c>
      <c r="W181" s="91" t="str">
        <f>IF(AND(W153&lt;&gt;"",W153&lt;&gt;0),VLOOKUP(W153,Tb_KostenTypen[#All],1,0),"")</f>
        <v/>
      </c>
      <c r="X181" s="91" t="str">
        <f>IF(AND(X153&lt;&gt;"",X153&lt;&gt;0),VLOOKUP(X153,Tb_KostenTypen[#All],1,0),"")</f>
        <v/>
      </c>
      <c r="Y181" s="91" t="str">
        <f>IF(AND(Y153&lt;&gt;"",Y153&lt;&gt;0),VLOOKUP(Y153,Tb_KostenTypen[#All],1,0),"")</f>
        <v/>
      </c>
      <c r="Z181" s="91" t="str">
        <f>IF(AND(Z153&lt;&gt;"",Z153&lt;&gt;0),VLOOKUP(Z153,Tb_KostenTypen[#All],1,0),"")</f>
        <v/>
      </c>
      <c r="AA181" s="91" t="str">
        <f>IF(AND(AA153&lt;&gt;"",AA153&lt;&gt;0),VLOOKUP(AA153,Tb_KostenTypen[#All],1,0),"")</f>
        <v/>
      </c>
      <c r="AB181" s="91" t="str">
        <f>IF(AND(AB153&lt;&gt;"",AB153&lt;&gt;0),VLOOKUP(AB153,Tb_KostenTypen[#All],1,0),"")</f>
        <v/>
      </c>
      <c r="AC181" s="91" t="str">
        <f>IF(AND(AC153&lt;&gt;"",AC153&lt;&gt;0),VLOOKUP(AC153,Tb_KostenTypen[#All],1,0),"")</f>
        <v/>
      </c>
      <c r="AD181" s="91" t="str">
        <f>IF(AND(AD153&lt;&gt;"",AD153&lt;&gt;0),VLOOKUP(AD153,Tb_KostenTypen[#All],1,0),"")</f>
        <v/>
      </c>
      <c r="AE181" s="91" t="str">
        <f>IF(AND(AE153&lt;&gt;"",AE153&lt;&gt;0),VLOOKUP(AE153,Tb_KostenTypen[#All],1,0),"")</f>
        <v/>
      </c>
      <c r="AF181" s="91" t="str">
        <f>IF(AND(AF153&lt;&gt;"",AF153&lt;&gt;0),VLOOKUP(AF153,Tb_KostenTypen[#All],1,0),"")</f>
        <v/>
      </c>
      <c r="AG181" s="91" t="str">
        <f>IF(AND(AG153&lt;&gt;"",AG153&lt;&gt;0),VLOOKUP(AG153,Tb_KostenTypen[#All],1,0),"")</f>
        <v/>
      </c>
      <c r="AH181" s="91" t="str">
        <f>IF(AND(AH153&lt;&gt;"",AH153&lt;&gt;0),VLOOKUP(AH153,Tb_KostenTypen[#All],1,0),"")</f>
        <v/>
      </c>
      <c r="AI181" s="91" t="str">
        <f>IF(AND(AI153&lt;&gt;"",AI153&lt;&gt;0),VLOOKUP(AI153,Tb_KostenTypen[#All],1,0),"")</f>
        <v/>
      </c>
    </row>
    <row r="182" spans="1:35" x14ac:dyDescent="0.25">
      <c r="A182" s="91"/>
      <c r="B182" s="91" t="str">
        <f ca="1">IF(AND(B154&lt;&gt;"",B154&lt;&gt;0),VLOOKUP(B154,Tb_KostenTypen[#All],1,0),"")</f>
        <v/>
      </c>
      <c r="C182" s="91" t="str">
        <f>IF(AND(C154&lt;&gt;"",C154&lt;&gt;0),VLOOKUP(C154,Tb_KostenTypen[#All],1,0),"")</f>
        <v/>
      </c>
      <c r="D182" s="91" t="str">
        <f>IF(AND(D154&lt;&gt;"",D154&lt;&gt;0),VLOOKUP(D154,Tb_KostenTypen[#All],1,0),"")</f>
        <v/>
      </c>
      <c r="E182" s="91" t="str">
        <f>IF(AND(E154&lt;&gt;"",E154&lt;&gt;0),VLOOKUP(E154,Tb_KostenTypen[#All],1,0),"")</f>
        <v/>
      </c>
      <c r="F182" s="91" t="str">
        <f>IF(AND(F154&lt;&gt;"",F154&lt;&gt;0),VLOOKUP(F154,Tb_KostenTypen[#All],1,0),"")</f>
        <v/>
      </c>
      <c r="G182" s="91" t="str">
        <f>IF(AND(G154&lt;&gt;"",G154&lt;&gt;0),VLOOKUP(G154,Tb_KostenTypen[#All],1,0),"")</f>
        <v/>
      </c>
      <c r="H182" s="91" t="str">
        <f>IF(AND(H154&lt;&gt;"",H154&lt;&gt;0),VLOOKUP(H154,Tb_KostenTypen[#All],1,0),"")</f>
        <v/>
      </c>
      <c r="I182" s="91" t="str">
        <f>IF(AND(I154&lt;&gt;"",I154&lt;&gt;0),VLOOKUP(I154,Tb_KostenTypen[#All],1,0),"")</f>
        <v/>
      </c>
      <c r="J182" s="91" t="str">
        <f>IF(AND(J154&lt;&gt;"",J154&lt;&gt;0),VLOOKUP(J154,Tb_KostenTypen[#All],1,0),"")</f>
        <v/>
      </c>
      <c r="K182" s="91" t="str">
        <f>IF(AND(K154&lt;&gt;"",K154&lt;&gt;0),VLOOKUP(K154,Tb_KostenTypen[#All],1,0),"")</f>
        <v/>
      </c>
      <c r="L182" s="91" t="str">
        <f>IF(AND(L154&lt;&gt;"",L154&lt;&gt;0),VLOOKUP(L154,Tb_KostenTypen[#All],1,0),"")</f>
        <v/>
      </c>
      <c r="M182" s="91" t="str">
        <f>IF(AND(M154&lt;&gt;"",M154&lt;&gt;0),VLOOKUP(M154,Tb_KostenTypen[#All],1,0),"")</f>
        <v/>
      </c>
      <c r="N182" s="91" t="str">
        <f>IF(AND(N154&lt;&gt;"",N154&lt;&gt;0),VLOOKUP(N154,Tb_KostenTypen[#All],1,0),"")</f>
        <v/>
      </c>
      <c r="O182" s="91" t="str">
        <f>IF(AND(O154&lt;&gt;"",O154&lt;&gt;0),VLOOKUP(O154,Tb_KostenTypen[#All],1,0),"")</f>
        <v/>
      </c>
      <c r="P182" s="91" t="str">
        <f>IF(AND(P154&lt;&gt;"",P154&lt;&gt;0),VLOOKUP(P154,Tb_KostenTypen[#All],1,0),"")</f>
        <v/>
      </c>
      <c r="Q182" s="91" t="str">
        <f>IF(AND(Q154&lt;&gt;"",Q154&lt;&gt;0),VLOOKUP(Q154,Tb_KostenTypen[#All],1,0),"")</f>
        <v/>
      </c>
      <c r="R182" s="91" t="str">
        <f>IF(AND(R154&lt;&gt;"",R154&lt;&gt;0),VLOOKUP(R154,Tb_KostenTypen[#All],1,0),"")</f>
        <v/>
      </c>
      <c r="S182" s="91" t="str">
        <f>IF(AND(S154&lt;&gt;"",S154&lt;&gt;0),VLOOKUP(S154,Tb_KostenTypen[#All],1,0),"")</f>
        <v/>
      </c>
      <c r="T182" s="91" t="str">
        <f>IF(AND(T154&lt;&gt;"",T154&lt;&gt;0),VLOOKUP(T154,Tb_KostenTypen[#All],1,0),"")</f>
        <v/>
      </c>
      <c r="U182" s="91" t="str">
        <f>IF(AND(U154&lt;&gt;"",U154&lt;&gt;0),VLOOKUP(U154,Tb_KostenTypen[#All],1,0),"")</f>
        <v/>
      </c>
      <c r="V182" s="91" t="str">
        <f>IF(AND(V154&lt;&gt;"",V154&lt;&gt;0),VLOOKUP(V154,Tb_KostenTypen[#All],1,0),"")</f>
        <v/>
      </c>
      <c r="W182" s="91" t="str">
        <f>IF(AND(W154&lt;&gt;"",W154&lt;&gt;0),VLOOKUP(W154,Tb_KostenTypen[#All],1,0),"")</f>
        <v/>
      </c>
      <c r="X182" s="91" t="str">
        <f>IF(AND(X154&lt;&gt;"",X154&lt;&gt;0),VLOOKUP(X154,Tb_KostenTypen[#All],1,0),"")</f>
        <v/>
      </c>
      <c r="Y182" s="91" t="str">
        <f>IF(AND(Y154&lt;&gt;"",Y154&lt;&gt;0),VLOOKUP(Y154,Tb_KostenTypen[#All],1,0),"")</f>
        <v/>
      </c>
      <c r="Z182" s="91" t="str">
        <f>IF(AND(Z154&lt;&gt;"",Z154&lt;&gt;0),VLOOKUP(Z154,Tb_KostenTypen[#All],1,0),"")</f>
        <v/>
      </c>
      <c r="AA182" s="91" t="str">
        <f>IF(AND(AA154&lt;&gt;"",AA154&lt;&gt;0),VLOOKUP(AA154,Tb_KostenTypen[#All],1,0),"")</f>
        <v/>
      </c>
      <c r="AB182" s="91" t="str">
        <f>IF(AND(AB154&lt;&gt;"",AB154&lt;&gt;0),VLOOKUP(AB154,Tb_KostenTypen[#All],1,0),"")</f>
        <v/>
      </c>
      <c r="AC182" s="91" t="str">
        <f>IF(AND(AC154&lt;&gt;"",AC154&lt;&gt;0),VLOOKUP(AC154,Tb_KostenTypen[#All],1,0),"")</f>
        <v/>
      </c>
      <c r="AD182" s="91" t="str">
        <f>IF(AND(AD154&lt;&gt;"",AD154&lt;&gt;0),VLOOKUP(AD154,Tb_KostenTypen[#All],1,0),"")</f>
        <v/>
      </c>
      <c r="AE182" s="91" t="str">
        <f>IF(AND(AE154&lt;&gt;"",AE154&lt;&gt;0),VLOOKUP(AE154,Tb_KostenTypen[#All],1,0),"")</f>
        <v/>
      </c>
      <c r="AF182" s="91" t="str">
        <f>IF(AND(AF154&lt;&gt;"",AF154&lt;&gt;0),VLOOKUP(AF154,Tb_KostenTypen[#All],1,0),"")</f>
        <v/>
      </c>
      <c r="AG182" s="91" t="str">
        <f>IF(AND(AG154&lt;&gt;"",AG154&lt;&gt;0),VLOOKUP(AG154,Tb_KostenTypen[#All],1,0),"")</f>
        <v/>
      </c>
      <c r="AH182" s="91" t="str">
        <f>IF(AND(AH154&lt;&gt;"",AH154&lt;&gt;0),VLOOKUP(AH154,Tb_KostenTypen[#All],1,0),"")</f>
        <v/>
      </c>
      <c r="AI182" s="91" t="str">
        <f>IF(AND(AI154&lt;&gt;"",AI154&lt;&gt;0),VLOOKUP(AI154,Tb_KostenTypen[#All],1,0),"")</f>
        <v/>
      </c>
    </row>
    <row r="183" spans="1:35" x14ac:dyDescent="0.25">
      <c r="A183" s="91"/>
      <c r="B183" s="91" t="str">
        <f ca="1">IF(AND(B155&lt;&gt;"",B155&lt;&gt;0),VLOOKUP(B155,Tb_KostenTypen[#All],1,0),"")</f>
        <v/>
      </c>
      <c r="C183" s="91" t="str">
        <f>IF(AND(C155&lt;&gt;"",C155&lt;&gt;0),VLOOKUP(C155,Tb_KostenTypen[#All],1,0),"")</f>
        <v/>
      </c>
      <c r="D183" s="91" t="str">
        <f>IF(AND(D155&lt;&gt;"",D155&lt;&gt;0),VLOOKUP(D155,Tb_KostenTypen[#All],1,0),"")</f>
        <v/>
      </c>
      <c r="E183" s="91" t="str">
        <f>IF(AND(E155&lt;&gt;"",E155&lt;&gt;0),VLOOKUP(E155,Tb_KostenTypen[#All],1,0),"")</f>
        <v/>
      </c>
      <c r="F183" s="91" t="str">
        <f>IF(AND(F155&lt;&gt;"",F155&lt;&gt;0),VLOOKUP(F155,Tb_KostenTypen[#All],1,0),"")</f>
        <v/>
      </c>
      <c r="G183" s="91" t="str">
        <f>IF(AND(G155&lt;&gt;"",G155&lt;&gt;0),VLOOKUP(G155,Tb_KostenTypen[#All],1,0),"")</f>
        <v/>
      </c>
      <c r="H183" s="91" t="str">
        <f>IF(AND(H155&lt;&gt;"",H155&lt;&gt;0),VLOOKUP(H155,Tb_KostenTypen[#All],1,0),"")</f>
        <v/>
      </c>
      <c r="I183" s="91" t="str">
        <f>IF(AND(I155&lt;&gt;"",I155&lt;&gt;0),VLOOKUP(I155,Tb_KostenTypen[#All],1,0),"")</f>
        <v/>
      </c>
      <c r="J183" s="91" t="str">
        <f>IF(AND(J155&lt;&gt;"",J155&lt;&gt;0),VLOOKUP(J155,Tb_KostenTypen[#All],1,0),"")</f>
        <v/>
      </c>
      <c r="K183" s="91" t="str">
        <f>IF(AND(K155&lt;&gt;"",K155&lt;&gt;0),VLOOKUP(K155,Tb_KostenTypen[#All],1,0),"")</f>
        <v/>
      </c>
      <c r="L183" s="91" t="str">
        <f>IF(AND(L155&lt;&gt;"",L155&lt;&gt;0),VLOOKUP(L155,Tb_KostenTypen[#All],1,0),"")</f>
        <v/>
      </c>
      <c r="M183" s="91" t="str">
        <f>IF(AND(M155&lt;&gt;"",M155&lt;&gt;0),VLOOKUP(M155,Tb_KostenTypen[#All],1,0),"")</f>
        <v/>
      </c>
      <c r="N183" s="91" t="str">
        <f>IF(AND(N155&lt;&gt;"",N155&lt;&gt;0),VLOOKUP(N155,Tb_KostenTypen[#All],1,0),"")</f>
        <v/>
      </c>
      <c r="O183" s="91" t="str">
        <f>IF(AND(O155&lt;&gt;"",O155&lt;&gt;0),VLOOKUP(O155,Tb_KostenTypen[#All],1,0),"")</f>
        <v/>
      </c>
      <c r="P183" s="91" t="str">
        <f>IF(AND(P155&lt;&gt;"",P155&lt;&gt;0),VLOOKUP(P155,Tb_KostenTypen[#All],1,0),"")</f>
        <v/>
      </c>
      <c r="Q183" s="91" t="str">
        <f>IF(AND(Q155&lt;&gt;"",Q155&lt;&gt;0),VLOOKUP(Q155,Tb_KostenTypen[#All],1,0),"")</f>
        <v/>
      </c>
      <c r="R183" s="91" t="str">
        <f>IF(AND(R155&lt;&gt;"",R155&lt;&gt;0),VLOOKUP(R155,Tb_KostenTypen[#All],1,0),"")</f>
        <v/>
      </c>
      <c r="S183" s="91" t="str">
        <f>IF(AND(S155&lt;&gt;"",S155&lt;&gt;0),VLOOKUP(S155,Tb_KostenTypen[#All],1,0),"")</f>
        <v/>
      </c>
      <c r="T183" s="91" t="str">
        <f>IF(AND(T155&lt;&gt;"",T155&lt;&gt;0),VLOOKUP(T155,Tb_KostenTypen[#All],1,0),"")</f>
        <v/>
      </c>
      <c r="U183" s="91" t="str">
        <f>IF(AND(U155&lt;&gt;"",U155&lt;&gt;0),VLOOKUP(U155,Tb_KostenTypen[#All],1,0),"")</f>
        <v/>
      </c>
      <c r="V183" s="91" t="str">
        <f>IF(AND(V155&lt;&gt;"",V155&lt;&gt;0),VLOOKUP(V155,Tb_KostenTypen[#All],1,0),"")</f>
        <v/>
      </c>
      <c r="W183" s="91" t="str">
        <f>IF(AND(W155&lt;&gt;"",W155&lt;&gt;0),VLOOKUP(W155,Tb_KostenTypen[#All],1,0),"")</f>
        <v/>
      </c>
      <c r="X183" s="91" t="str">
        <f>IF(AND(X155&lt;&gt;"",X155&lt;&gt;0),VLOOKUP(X155,Tb_KostenTypen[#All],1,0),"")</f>
        <v/>
      </c>
      <c r="Y183" s="91" t="str">
        <f>IF(AND(Y155&lt;&gt;"",Y155&lt;&gt;0),VLOOKUP(Y155,Tb_KostenTypen[#All],1,0),"")</f>
        <v/>
      </c>
      <c r="Z183" s="91" t="str">
        <f>IF(AND(Z155&lt;&gt;"",Z155&lt;&gt;0),VLOOKUP(Z155,Tb_KostenTypen[#All],1,0),"")</f>
        <v/>
      </c>
      <c r="AA183" s="91" t="str">
        <f>IF(AND(AA155&lt;&gt;"",AA155&lt;&gt;0),VLOOKUP(AA155,Tb_KostenTypen[#All],1,0),"")</f>
        <v/>
      </c>
      <c r="AB183" s="91" t="str">
        <f>IF(AND(AB155&lt;&gt;"",AB155&lt;&gt;0),VLOOKUP(AB155,Tb_KostenTypen[#All],1,0),"")</f>
        <v/>
      </c>
      <c r="AC183" s="91" t="str">
        <f>IF(AND(AC155&lt;&gt;"",AC155&lt;&gt;0),VLOOKUP(AC155,Tb_KostenTypen[#All],1,0),"")</f>
        <v/>
      </c>
      <c r="AD183" s="91" t="str">
        <f>IF(AND(AD155&lt;&gt;"",AD155&lt;&gt;0),VLOOKUP(AD155,Tb_KostenTypen[#All],1,0),"")</f>
        <v/>
      </c>
      <c r="AE183" s="91" t="str">
        <f>IF(AND(AE155&lt;&gt;"",AE155&lt;&gt;0),VLOOKUP(AE155,Tb_KostenTypen[#All],1,0),"")</f>
        <v/>
      </c>
      <c r="AF183" s="91" t="str">
        <f>IF(AND(AF155&lt;&gt;"",AF155&lt;&gt;0),VLOOKUP(AF155,Tb_KostenTypen[#All],1,0),"")</f>
        <v/>
      </c>
      <c r="AG183" s="91" t="str">
        <f>IF(AND(AG155&lt;&gt;"",AG155&lt;&gt;0),VLOOKUP(AG155,Tb_KostenTypen[#All],1,0),"")</f>
        <v/>
      </c>
      <c r="AH183" s="91" t="str">
        <f>IF(AND(AH155&lt;&gt;"",AH155&lt;&gt;0),VLOOKUP(AH155,Tb_KostenTypen[#All],1,0),"")</f>
        <v/>
      </c>
      <c r="AI183" s="91" t="str">
        <f>IF(AND(AI155&lt;&gt;"",AI155&lt;&gt;0),VLOOKUP(AI155,Tb_KostenTypen[#All],1,0),"")</f>
        <v/>
      </c>
    </row>
    <row r="184" spans="1:35" x14ac:dyDescent="0.25">
      <c r="A184" s="91"/>
      <c r="B184" s="91" t="str">
        <f ca="1">IF(AND(B156&lt;&gt;"",B156&lt;&gt;0),VLOOKUP(B156,Tb_KostenTypen[#All],1,0),"")</f>
        <v/>
      </c>
      <c r="C184" s="91" t="str">
        <f>IF(AND(C156&lt;&gt;"",C156&lt;&gt;0),VLOOKUP(C156,Tb_KostenTypen[#All],1,0),"")</f>
        <v/>
      </c>
      <c r="D184" s="91" t="str">
        <f>IF(AND(D156&lt;&gt;"",D156&lt;&gt;0),VLOOKUP(D156,Tb_KostenTypen[#All],1,0),"")</f>
        <v/>
      </c>
      <c r="E184" s="91" t="str">
        <f>IF(AND(E156&lt;&gt;"",E156&lt;&gt;0),VLOOKUP(E156,Tb_KostenTypen[#All],1,0),"")</f>
        <v/>
      </c>
      <c r="F184" s="91" t="str">
        <f>IF(AND(F156&lt;&gt;"",F156&lt;&gt;0),VLOOKUP(F156,Tb_KostenTypen[#All],1,0),"")</f>
        <v/>
      </c>
      <c r="G184" s="91" t="str">
        <f>IF(AND(G156&lt;&gt;"",G156&lt;&gt;0),VLOOKUP(G156,Tb_KostenTypen[#All],1,0),"")</f>
        <v/>
      </c>
      <c r="H184" s="91" t="str">
        <f>IF(AND(H156&lt;&gt;"",H156&lt;&gt;0),VLOOKUP(H156,Tb_KostenTypen[#All],1,0),"")</f>
        <v/>
      </c>
      <c r="I184" s="91" t="str">
        <f>IF(AND(I156&lt;&gt;"",I156&lt;&gt;0),VLOOKUP(I156,Tb_KostenTypen[#All],1,0),"")</f>
        <v/>
      </c>
      <c r="J184" s="91" t="str">
        <f>IF(AND(J156&lt;&gt;"",J156&lt;&gt;0),VLOOKUP(J156,Tb_KostenTypen[#All],1,0),"")</f>
        <v/>
      </c>
      <c r="K184" s="91" t="str">
        <f>IF(AND(K156&lt;&gt;"",K156&lt;&gt;0),VLOOKUP(K156,Tb_KostenTypen[#All],1,0),"")</f>
        <v/>
      </c>
      <c r="L184" s="91" t="str">
        <f>IF(AND(L156&lt;&gt;"",L156&lt;&gt;0),VLOOKUP(L156,Tb_KostenTypen[#All],1,0),"")</f>
        <v/>
      </c>
      <c r="M184" s="91" t="str">
        <f>IF(AND(M156&lt;&gt;"",M156&lt;&gt;0),VLOOKUP(M156,Tb_KostenTypen[#All],1,0),"")</f>
        <v/>
      </c>
      <c r="N184" s="91" t="str">
        <f>IF(AND(N156&lt;&gt;"",N156&lt;&gt;0),VLOOKUP(N156,Tb_KostenTypen[#All],1,0),"")</f>
        <v/>
      </c>
      <c r="O184" s="91" t="str">
        <f>IF(AND(O156&lt;&gt;"",O156&lt;&gt;0),VLOOKUP(O156,Tb_KostenTypen[#All],1,0),"")</f>
        <v/>
      </c>
      <c r="P184" s="91" t="str">
        <f>IF(AND(P156&lt;&gt;"",P156&lt;&gt;0),VLOOKUP(P156,Tb_KostenTypen[#All],1,0),"")</f>
        <v/>
      </c>
      <c r="Q184" s="91" t="str">
        <f>IF(AND(Q156&lt;&gt;"",Q156&lt;&gt;0),VLOOKUP(Q156,Tb_KostenTypen[#All],1,0),"")</f>
        <v/>
      </c>
      <c r="R184" s="91" t="str">
        <f>IF(AND(R156&lt;&gt;"",R156&lt;&gt;0),VLOOKUP(R156,Tb_KostenTypen[#All],1,0),"")</f>
        <v/>
      </c>
      <c r="S184" s="91" t="str">
        <f>IF(AND(S156&lt;&gt;"",S156&lt;&gt;0),VLOOKUP(S156,Tb_KostenTypen[#All],1,0),"")</f>
        <v/>
      </c>
      <c r="T184" s="91" t="str">
        <f>IF(AND(T156&lt;&gt;"",T156&lt;&gt;0),VLOOKUP(T156,Tb_KostenTypen[#All],1,0),"")</f>
        <v/>
      </c>
      <c r="U184" s="91" t="str">
        <f>IF(AND(U156&lt;&gt;"",U156&lt;&gt;0),VLOOKUP(U156,Tb_KostenTypen[#All],1,0),"")</f>
        <v/>
      </c>
      <c r="V184" s="91" t="str">
        <f>IF(AND(V156&lt;&gt;"",V156&lt;&gt;0),VLOOKUP(V156,Tb_KostenTypen[#All],1,0),"")</f>
        <v/>
      </c>
      <c r="W184" s="91" t="str">
        <f>IF(AND(W156&lt;&gt;"",W156&lt;&gt;0),VLOOKUP(W156,Tb_KostenTypen[#All],1,0),"")</f>
        <v/>
      </c>
      <c r="X184" s="91" t="str">
        <f>IF(AND(X156&lt;&gt;"",X156&lt;&gt;0),VLOOKUP(X156,Tb_KostenTypen[#All],1,0),"")</f>
        <v/>
      </c>
      <c r="Y184" s="91" t="str">
        <f>IF(AND(Y156&lt;&gt;"",Y156&lt;&gt;0),VLOOKUP(Y156,Tb_KostenTypen[#All],1,0),"")</f>
        <v/>
      </c>
      <c r="Z184" s="91" t="str">
        <f>IF(AND(Z156&lt;&gt;"",Z156&lt;&gt;0),VLOOKUP(Z156,Tb_KostenTypen[#All],1,0),"")</f>
        <v/>
      </c>
      <c r="AA184" s="91" t="str">
        <f>IF(AND(AA156&lt;&gt;"",AA156&lt;&gt;0),VLOOKUP(AA156,Tb_KostenTypen[#All],1,0),"")</f>
        <v/>
      </c>
      <c r="AB184" s="91" t="str">
        <f>IF(AND(AB156&lt;&gt;"",AB156&lt;&gt;0),VLOOKUP(AB156,Tb_KostenTypen[#All],1,0),"")</f>
        <v/>
      </c>
      <c r="AC184" s="91" t="str">
        <f>IF(AND(AC156&lt;&gt;"",AC156&lt;&gt;0),VLOOKUP(AC156,Tb_KostenTypen[#All],1,0),"")</f>
        <v/>
      </c>
      <c r="AD184" s="91" t="str">
        <f>IF(AND(AD156&lt;&gt;"",AD156&lt;&gt;0),VLOOKUP(AD156,Tb_KostenTypen[#All],1,0),"")</f>
        <v/>
      </c>
      <c r="AE184" s="91" t="str">
        <f>IF(AND(AE156&lt;&gt;"",AE156&lt;&gt;0),VLOOKUP(AE156,Tb_KostenTypen[#All],1,0),"")</f>
        <v/>
      </c>
      <c r="AF184" s="91" t="str">
        <f>IF(AND(AF156&lt;&gt;"",AF156&lt;&gt;0),VLOOKUP(AF156,Tb_KostenTypen[#All],1,0),"")</f>
        <v/>
      </c>
      <c r="AG184" s="91" t="str">
        <f>IF(AND(AG156&lt;&gt;"",AG156&lt;&gt;0),VLOOKUP(AG156,Tb_KostenTypen[#All],1,0),"")</f>
        <v/>
      </c>
      <c r="AH184" s="91" t="str">
        <f>IF(AND(AH156&lt;&gt;"",AH156&lt;&gt;0),VLOOKUP(AH156,Tb_KostenTypen[#All],1,0),"")</f>
        <v/>
      </c>
      <c r="AI184" s="91" t="str">
        <f>IF(AND(AI156&lt;&gt;"",AI156&lt;&gt;0),VLOOKUP(AI156,Tb_KostenTypen[#All],1,0),"")</f>
        <v/>
      </c>
    </row>
    <row r="185" spans="1:35" x14ac:dyDescent="0.25">
      <c r="A185" s="91"/>
      <c r="B185" s="91" t="str">
        <f ca="1">IF(AND(B157&lt;&gt;"",B157&lt;&gt;0),VLOOKUP(B157,Tb_KostenTypen[#All],1,0),"")</f>
        <v/>
      </c>
      <c r="C185" s="91" t="str">
        <f>IF(AND(C157&lt;&gt;"",C157&lt;&gt;0),VLOOKUP(C157,Tb_KostenTypen[#All],1,0),"")</f>
        <v/>
      </c>
      <c r="D185" s="91" t="str">
        <f>IF(AND(D157&lt;&gt;"",D157&lt;&gt;0),VLOOKUP(D157,Tb_KostenTypen[#All],1,0),"")</f>
        <v/>
      </c>
      <c r="E185" s="91" t="str">
        <f>IF(AND(E157&lt;&gt;"",E157&lt;&gt;0),VLOOKUP(E157,Tb_KostenTypen[#All],1,0),"")</f>
        <v/>
      </c>
      <c r="F185" s="91" t="str">
        <f>IF(AND(F157&lt;&gt;"",F157&lt;&gt;0),VLOOKUP(F157,Tb_KostenTypen[#All],1,0),"")</f>
        <v/>
      </c>
      <c r="G185" s="91" t="str">
        <f>IF(AND(G157&lt;&gt;"",G157&lt;&gt;0),VLOOKUP(G157,Tb_KostenTypen[#All],1,0),"")</f>
        <v/>
      </c>
      <c r="H185" s="91" t="str">
        <f>IF(AND(H157&lt;&gt;"",H157&lt;&gt;0),VLOOKUP(H157,Tb_KostenTypen[#All],1,0),"")</f>
        <v/>
      </c>
      <c r="I185" s="91" t="str">
        <f>IF(AND(I157&lt;&gt;"",I157&lt;&gt;0),VLOOKUP(I157,Tb_KostenTypen[#All],1,0),"")</f>
        <v/>
      </c>
      <c r="J185" s="91" t="str">
        <f>IF(AND(J157&lt;&gt;"",J157&lt;&gt;0),VLOOKUP(J157,Tb_KostenTypen[#All],1,0),"")</f>
        <v/>
      </c>
      <c r="K185" s="91" t="str">
        <f>IF(AND(K157&lt;&gt;"",K157&lt;&gt;0),VLOOKUP(K157,Tb_KostenTypen[#All],1,0),"")</f>
        <v/>
      </c>
      <c r="L185" s="91" t="str">
        <f>IF(AND(L157&lt;&gt;"",L157&lt;&gt;0),VLOOKUP(L157,Tb_KostenTypen[#All],1,0),"")</f>
        <v/>
      </c>
      <c r="M185" s="91" t="str">
        <f>IF(AND(M157&lt;&gt;"",M157&lt;&gt;0),VLOOKUP(M157,Tb_KostenTypen[#All],1,0),"")</f>
        <v/>
      </c>
      <c r="N185" s="91" t="str">
        <f>IF(AND(N157&lt;&gt;"",N157&lt;&gt;0),VLOOKUP(N157,Tb_KostenTypen[#All],1,0),"")</f>
        <v/>
      </c>
      <c r="O185" s="91" t="str">
        <f>IF(AND(O157&lt;&gt;"",O157&lt;&gt;0),VLOOKUP(O157,Tb_KostenTypen[#All],1,0),"")</f>
        <v/>
      </c>
      <c r="P185" s="91" t="str">
        <f>IF(AND(P157&lt;&gt;"",P157&lt;&gt;0),VLOOKUP(P157,Tb_KostenTypen[#All],1,0),"")</f>
        <v/>
      </c>
      <c r="Q185" s="91" t="str">
        <f>IF(AND(Q157&lt;&gt;"",Q157&lt;&gt;0),VLOOKUP(Q157,Tb_KostenTypen[#All],1,0),"")</f>
        <v/>
      </c>
      <c r="R185" s="91" t="str">
        <f>IF(AND(R157&lt;&gt;"",R157&lt;&gt;0),VLOOKUP(R157,Tb_KostenTypen[#All],1,0),"")</f>
        <v/>
      </c>
      <c r="S185" s="91" t="str">
        <f>IF(AND(S157&lt;&gt;"",S157&lt;&gt;0),VLOOKUP(S157,Tb_KostenTypen[#All],1,0),"")</f>
        <v/>
      </c>
      <c r="T185" s="91" t="str">
        <f>IF(AND(T157&lt;&gt;"",T157&lt;&gt;0),VLOOKUP(T157,Tb_KostenTypen[#All],1,0),"")</f>
        <v/>
      </c>
      <c r="U185" s="91" t="str">
        <f>IF(AND(U157&lt;&gt;"",U157&lt;&gt;0),VLOOKUP(U157,Tb_KostenTypen[#All],1,0),"")</f>
        <v/>
      </c>
      <c r="V185" s="91" t="str">
        <f>IF(AND(V157&lt;&gt;"",V157&lt;&gt;0),VLOOKUP(V157,Tb_KostenTypen[#All],1,0),"")</f>
        <v/>
      </c>
      <c r="W185" s="91" t="str">
        <f>IF(AND(W157&lt;&gt;"",W157&lt;&gt;0),VLOOKUP(W157,Tb_KostenTypen[#All],1,0),"")</f>
        <v/>
      </c>
      <c r="X185" s="91" t="str">
        <f>IF(AND(X157&lt;&gt;"",X157&lt;&gt;0),VLOOKUP(X157,Tb_KostenTypen[#All],1,0),"")</f>
        <v/>
      </c>
      <c r="Y185" s="91" t="str">
        <f>IF(AND(Y157&lt;&gt;"",Y157&lt;&gt;0),VLOOKUP(Y157,Tb_KostenTypen[#All],1,0),"")</f>
        <v/>
      </c>
      <c r="Z185" s="91" t="str">
        <f>IF(AND(Z157&lt;&gt;"",Z157&lt;&gt;0),VLOOKUP(Z157,Tb_KostenTypen[#All],1,0),"")</f>
        <v/>
      </c>
      <c r="AA185" s="91" t="str">
        <f>IF(AND(AA157&lt;&gt;"",AA157&lt;&gt;0),VLOOKUP(AA157,Tb_KostenTypen[#All],1,0),"")</f>
        <v/>
      </c>
      <c r="AB185" s="91" t="str">
        <f>IF(AND(AB157&lt;&gt;"",AB157&lt;&gt;0),VLOOKUP(AB157,Tb_KostenTypen[#All],1,0),"")</f>
        <v/>
      </c>
      <c r="AC185" s="91" t="str">
        <f>IF(AND(AC157&lt;&gt;"",AC157&lt;&gt;0),VLOOKUP(AC157,Tb_KostenTypen[#All],1,0),"")</f>
        <v/>
      </c>
      <c r="AD185" s="91" t="str">
        <f>IF(AND(AD157&lt;&gt;"",AD157&lt;&gt;0),VLOOKUP(AD157,Tb_KostenTypen[#All],1,0),"")</f>
        <v/>
      </c>
      <c r="AE185" s="91" t="str">
        <f>IF(AND(AE157&lt;&gt;"",AE157&lt;&gt;0),VLOOKUP(AE157,Tb_KostenTypen[#All],1,0),"")</f>
        <v/>
      </c>
      <c r="AF185" s="91" t="str">
        <f>IF(AND(AF157&lt;&gt;"",AF157&lt;&gt;0),VLOOKUP(AF157,Tb_KostenTypen[#All],1,0),"")</f>
        <v/>
      </c>
      <c r="AG185" s="91" t="str">
        <f>IF(AND(AG157&lt;&gt;"",AG157&lt;&gt;0),VLOOKUP(AG157,Tb_KostenTypen[#All],1,0),"")</f>
        <v/>
      </c>
      <c r="AH185" s="91" t="str">
        <f>IF(AND(AH157&lt;&gt;"",AH157&lt;&gt;0),VLOOKUP(AH157,Tb_KostenTypen[#All],1,0),"")</f>
        <v/>
      </c>
      <c r="AI185" s="91" t="str">
        <f>IF(AND(AI157&lt;&gt;"",AI157&lt;&gt;0),VLOOKUP(AI157,Tb_KostenTypen[#All],1,0),"")</f>
        <v/>
      </c>
    </row>
    <row r="186" spans="1:35" x14ac:dyDescent="0.25">
      <c r="A186" s="91"/>
      <c r="B186" s="91" t="str">
        <f ca="1">IF(AND(B158&lt;&gt;"",B158&lt;&gt;0),VLOOKUP(B158,Tb_KostenTypen[#All],1,0),"")</f>
        <v/>
      </c>
      <c r="C186" s="91" t="str">
        <f>IF(AND(C158&lt;&gt;"",C158&lt;&gt;0),VLOOKUP(C158,Tb_KostenTypen[#All],1,0),"")</f>
        <v/>
      </c>
      <c r="D186" s="91" t="str">
        <f>IF(AND(D158&lt;&gt;"",D158&lt;&gt;0),VLOOKUP(D158,Tb_KostenTypen[#All],1,0),"")</f>
        <v/>
      </c>
      <c r="E186" s="91" t="str">
        <f>IF(AND(E158&lt;&gt;"",E158&lt;&gt;0),VLOOKUP(E158,Tb_KostenTypen[#All],1,0),"")</f>
        <v/>
      </c>
      <c r="F186" s="91" t="str">
        <f>IF(AND(F158&lt;&gt;"",F158&lt;&gt;0),VLOOKUP(F158,Tb_KostenTypen[#All],1,0),"")</f>
        <v/>
      </c>
      <c r="G186" s="91" t="str">
        <f>IF(AND(G158&lt;&gt;"",G158&lt;&gt;0),VLOOKUP(G158,Tb_KostenTypen[#All],1,0),"")</f>
        <v/>
      </c>
      <c r="H186" s="91" t="str">
        <f>IF(AND(H158&lt;&gt;"",H158&lt;&gt;0),VLOOKUP(H158,Tb_KostenTypen[#All],1,0),"")</f>
        <v/>
      </c>
      <c r="I186" s="91" t="str">
        <f>IF(AND(I158&lt;&gt;"",I158&lt;&gt;0),VLOOKUP(I158,Tb_KostenTypen[#All],1,0),"")</f>
        <v/>
      </c>
      <c r="J186" s="91" t="str">
        <f>IF(AND(J158&lt;&gt;"",J158&lt;&gt;0),VLOOKUP(J158,Tb_KostenTypen[#All],1,0),"")</f>
        <v/>
      </c>
      <c r="K186" s="91" t="str">
        <f>IF(AND(K158&lt;&gt;"",K158&lt;&gt;0),VLOOKUP(K158,Tb_KostenTypen[#All],1,0),"")</f>
        <v/>
      </c>
      <c r="L186" s="91" t="str">
        <f>IF(AND(L158&lt;&gt;"",L158&lt;&gt;0),VLOOKUP(L158,Tb_KostenTypen[#All],1,0),"")</f>
        <v/>
      </c>
      <c r="M186" s="91" t="str">
        <f>IF(AND(M158&lt;&gt;"",M158&lt;&gt;0),VLOOKUP(M158,Tb_KostenTypen[#All],1,0),"")</f>
        <v/>
      </c>
      <c r="N186" s="91" t="str">
        <f>IF(AND(N158&lt;&gt;"",N158&lt;&gt;0),VLOOKUP(N158,Tb_KostenTypen[#All],1,0),"")</f>
        <v/>
      </c>
      <c r="O186" s="91" t="str">
        <f>IF(AND(O158&lt;&gt;"",O158&lt;&gt;0),VLOOKUP(O158,Tb_KostenTypen[#All],1,0),"")</f>
        <v/>
      </c>
      <c r="P186" s="91" t="str">
        <f>IF(AND(P158&lt;&gt;"",P158&lt;&gt;0),VLOOKUP(P158,Tb_KostenTypen[#All],1,0),"")</f>
        <v/>
      </c>
      <c r="Q186" s="91" t="str">
        <f>IF(AND(Q158&lt;&gt;"",Q158&lt;&gt;0),VLOOKUP(Q158,Tb_KostenTypen[#All],1,0),"")</f>
        <v/>
      </c>
      <c r="R186" s="91" t="str">
        <f>IF(AND(R158&lt;&gt;"",R158&lt;&gt;0),VLOOKUP(R158,Tb_KostenTypen[#All],1,0),"")</f>
        <v/>
      </c>
      <c r="S186" s="91" t="str">
        <f>IF(AND(S158&lt;&gt;"",S158&lt;&gt;0),VLOOKUP(S158,Tb_KostenTypen[#All],1,0),"")</f>
        <v/>
      </c>
      <c r="T186" s="91" t="str">
        <f>IF(AND(T158&lt;&gt;"",T158&lt;&gt;0),VLOOKUP(T158,Tb_KostenTypen[#All],1,0),"")</f>
        <v/>
      </c>
      <c r="U186" s="91" t="str">
        <f>IF(AND(U158&lt;&gt;"",U158&lt;&gt;0),VLOOKUP(U158,Tb_KostenTypen[#All],1,0),"")</f>
        <v/>
      </c>
      <c r="V186" s="91" t="str">
        <f>IF(AND(V158&lt;&gt;"",V158&lt;&gt;0),VLOOKUP(V158,Tb_KostenTypen[#All],1,0),"")</f>
        <v/>
      </c>
      <c r="W186" s="91" t="str">
        <f>IF(AND(W158&lt;&gt;"",W158&lt;&gt;0),VLOOKUP(W158,Tb_KostenTypen[#All],1,0),"")</f>
        <v/>
      </c>
      <c r="X186" s="91" t="str">
        <f>IF(AND(X158&lt;&gt;"",X158&lt;&gt;0),VLOOKUP(X158,Tb_KostenTypen[#All],1,0),"")</f>
        <v/>
      </c>
      <c r="Y186" s="91" t="str">
        <f>IF(AND(Y158&lt;&gt;"",Y158&lt;&gt;0),VLOOKUP(Y158,Tb_KostenTypen[#All],1,0),"")</f>
        <v/>
      </c>
      <c r="Z186" s="91" t="str">
        <f>IF(AND(Z158&lt;&gt;"",Z158&lt;&gt;0),VLOOKUP(Z158,Tb_KostenTypen[#All],1,0),"")</f>
        <v/>
      </c>
      <c r="AA186" s="91" t="str">
        <f>IF(AND(AA158&lt;&gt;"",AA158&lt;&gt;0),VLOOKUP(AA158,Tb_KostenTypen[#All],1,0),"")</f>
        <v/>
      </c>
      <c r="AB186" s="91" t="str">
        <f>IF(AND(AB158&lt;&gt;"",AB158&lt;&gt;0),VLOOKUP(AB158,Tb_KostenTypen[#All],1,0),"")</f>
        <v/>
      </c>
      <c r="AC186" s="91" t="str">
        <f>IF(AND(AC158&lt;&gt;"",AC158&lt;&gt;0),VLOOKUP(AC158,Tb_KostenTypen[#All],1,0),"")</f>
        <v/>
      </c>
      <c r="AD186" s="91" t="str">
        <f>IF(AND(AD158&lt;&gt;"",AD158&lt;&gt;0),VLOOKUP(AD158,Tb_KostenTypen[#All],1,0),"")</f>
        <v/>
      </c>
      <c r="AE186" s="91" t="str">
        <f>IF(AND(AE158&lt;&gt;"",AE158&lt;&gt;0),VLOOKUP(AE158,Tb_KostenTypen[#All],1,0),"")</f>
        <v/>
      </c>
      <c r="AF186" s="91" t="str">
        <f>IF(AND(AF158&lt;&gt;"",AF158&lt;&gt;0),VLOOKUP(AF158,Tb_KostenTypen[#All],1,0),"")</f>
        <v/>
      </c>
      <c r="AG186" s="91" t="str">
        <f>IF(AND(AG158&lt;&gt;"",AG158&lt;&gt;0),VLOOKUP(AG158,Tb_KostenTypen[#All],1,0),"")</f>
        <v/>
      </c>
      <c r="AH186" s="91" t="str">
        <f>IF(AND(AH158&lt;&gt;"",AH158&lt;&gt;0),VLOOKUP(AH158,Tb_KostenTypen[#All],1,0),"")</f>
        <v/>
      </c>
      <c r="AI186" s="91" t="str">
        <f>IF(AND(AI158&lt;&gt;"",AI158&lt;&gt;0),VLOOKUP(AI158,Tb_KostenTypen[#All],1,0),"")</f>
        <v/>
      </c>
    </row>
  </sheetData>
  <sheetProtection algorithmName="SHA-512" hashValue="7yLbL5zAHPHxBj1lmbAhyTDRZGnKj8tNenXDdJdROLQM5AqtPb0ML6fqszn9WkvAOAIfD43t6hKqy7cq8Iqg1g==" saltValue="9iQ3UUamDX7q62MPwQffXw==" spinCount="100000" sheet="1" objects="1" scenarios="1" selectLockedCells="1" selectUnlockedCells="1"/>
  <mergeCells count="1">
    <mergeCell ref="A1:B1"/>
  </mergeCells>
  <phoneticPr fontId="4" type="noConversion"/>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03951-0229-4F5E-B86E-D05DE250D52D}">
  <sheetPr codeName="Blad11">
    <tabColor theme="4" tint="-0.249977111117893"/>
  </sheetPr>
  <dimension ref="B2:L43"/>
  <sheetViews>
    <sheetView workbookViewId="0">
      <selection activeCell="B3" sqref="B3"/>
    </sheetView>
  </sheetViews>
  <sheetFormatPr defaultRowHeight="15" x14ac:dyDescent="0.25"/>
  <cols>
    <col min="1" max="1" width="3.140625" customWidth="1"/>
    <col min="2" max="2" width="75.85546875" bestFit="1" customWidth="1"/>
    <col min="3" max="3" width="10.140625" bestFit="1" customWidth="1"/>
    <col min="4" max="4" width="10.140625" customWidth="1"/>
    <col min="5" max="5" width="23.28515625" customWidth="1"/>
    <col min="6" max="6" width="12.5703125" bestFit="1" customWidth="1"/>
    <col min="7" max="7" width="18" bestFit="1" customWidth="1"/>
    <col min="8" max="9" width="18.5703125" bestFit="1" customWidth="1"/>
    <col min="10" max="10" width="29" customWidth="1"/>
    <col min="12" max="12" width="33.85546875" customWidth="1"/>
  </cols>
  <sheetData>
    <row r="2" spans="2:12" ht="45" x14ac:dyDescent="0.25">
      <c r="B2" s="170" t="s">
        <v>0</v>
      </c>
      <c r="C2" s="171" t="s">
        <v>98</v>
      </c>
      <c r="D2" s="172" t="s">
        <v>40</v>
      </c>
      <c r="E2" s="170" t="s">
        <v>8</v>
      </c>
      <c r="F2" s="171" t="s">
        <v>205</v>
      </c>
      <c r="G2" s="172" t="s">
        <v>313</v>
      </c>
      <c r="H2" s="170" t="s">
        <v>24</v>
      </c>
      <c r="I2" s="170" t="s">
        <v>23</v>
      </c>
      <c r="J2" s="170" t="s">
        <v>22</v>
      </c>
      <c r="K2" s="1"/>
      <c r="L2" s="1"/>
    </row>
    <row r="3" spans="2:12" x14ac:dyDescent="0.25">
      <c r="B3" t="s">
        <v>7</v>
      </c>
      <c r="C3" t="s">
        <v>48</v>
      </c>
      <c r="D3" s="139">
        <v>1</v>
      </c>
      <c r="E3" t="s">
        <v>8</v>
      </c>
      <c r="F3">
        <f ca="1">IF(OR(COUNTIFS(Kostentypen!$B$77:$O$88,Tb_KostenTypen[[#This Row],[Kostentype]])&gt;0,COUNTIFS(Kostentypen!$A$161:$O$172,Tb_KostenTypen[[#This Row],[Kostentype]])&gt;0),1,0)</f>
        <v>0</v>
      </c>
      <c r="G3">
        <f ca="1">IF(COUNTIFS(Kostentypen!$A$119:$G$130,Tb_KostenTypen[[#This Row],[Kostentype]])&gt;0,1,0)</f>
        <v>0</v>
      </c>
      <c r="H3" s="174"/>
      <c r="I3" s="174"/>
      <c r="J3" s="174"/>
    </row>
    <row r="4" spans="2:12" x14ac:dyDescent="0.25">
      <c r="B4" t="s">
        <v>5</v>
      </c>
      <c r="C4" t="s">
        <v>49</v>
      </c>
      <c r="D4" s="139">
        <v>1</v>
      </c>
      <c r="E4" t="s">
        <v>8</v>
      </c>
      <c r="F4">
        <f ca="1">IF(OR(COUNTIFS(Kostentypen!$B$77:$O$88,Tb_KostenTypen[[#This Row],[Kostentype]])&gt;0,COUNTIFS(Kostentypen!$A$161:$O$172,Tb_KostenTypen[[#This Row],[Kostentype]])&gt;0),1,0)</f>
        <v>0</v>
      </c>
      <c r="G4">
        <f ca="1">IF(COUNTIFS(Kostentypen!$A$119:$G$130,Tb_KostenTypen[[#This Row],[Kostentype]])&gt;0,1,0)</f>
        <v>0</v>
      </c>
      <c r="H4" s="174">
        <v>50</v>
      </c>
      <c r="I4" s="174"/>
      <c r="J4" s="174">
        <v>43</v>
      </c>
    </row>
    <row r="5" spans="2:12" x14ac:dyDescent="0.25">
      <c r="B5" t="s">
        <v>53</v>
      </c>
      <c r="C5" t="s">
        <v>49</v>
      </c>
      <c r="D5" s="139">
        <v>0</v>
      </c>
      <c r="E5" t="s">
        <v>314</v>
      </c>
      <c r="F5">
        <f ca="1">IF(OR(COUNTIFS(Kostentypen!$B$77:$O$88,Tb_KostenTypen[[#This Row],[Kostentype]])&gt;0,COUNTIFS(Kostentypen!$A$161:$O$172,Tb_KostenTypen[[#This Row],[Kostentype]])&gt;0),1,0)</f>
        <v>0</v>
      </c>
      <c r="G5">
        <f ca="1">IF(COUNTIFS(Kostentypen!$A$119:$G$130,Tb_KostenTypen[[#This Row],[Kostentype]])&gt;0,1,0)</f>
        <v>0</v>
      </c>
      <c r="H5" s="174">
        <v>78</v>
      </c>
      <c r="I5" s="174"/>
      <c r="J5" s="174">
        <v>95</v>
      </c>
    </row>
    <row r="6" spans="2:12" x14ac:dyDescent="0.25">
      <c r="B6" t="s">
        <v>43</v>
      </c>
      <c r="C6" t="s">
        <v>49</v>
      </c>
      <c r="D6" s="139">
        <v>0</v>
      </c>
      <c r="E6" t="s">
        <v>314</v>
      </c>
      <c r="F6">
        <f ca="1">IF(OR(COUNTIFS(Kostentypen!$B$77:$O$88,Tb_KostenTypen[[#This Row],[Kostentype]])&gt;0,COUNTIFS(Kostentypen!$A$161:$O$172,Tb_KostenTypen[[#This Row],[Kostentype]])&gt;0),1,0)</f>
        <v>0</v>
      </c>
      <c r="G6">
        <f ca="1">IF(COUNTIFS(Kostentypen!$A$119:$G$130,Tb_KostenTypen[[#This Row],[Kostentype]])&gt;0,1,0)</f>
        <v>0</v>
      </c>
      <c r="H6" s="174">
        <v>88</v>
      </c>
      <c r="I6" s="174"/>
      <c r="J6" s="174">
        <v>107</v>
      </c>
    </row>
    <row r="7" spans="2:12" x14ac:dyDescent="0.25">
      <c r="B7" t="s">
        <v>52</v>
      </c>
      <c r="C7" t="s">
        <v>49</v>
      </c>
      <c r="D7" s="139">
        <v>0</v>
      </c>
      <c r="E7" t="s">
        <v>314</v>
      </c>
      <c r="F7">
        <f ca="1">IF(OR(COUNTIFS(Kostentypen!$B$77:$O$88,Tb_KostenTypen[[#This Row],[Kostentype]])&gt;0,COUNTIFS(Kostentypen!$A$161:$O$172,Tb_KostenTypen[[#This Row],[Kostentype]])&gt;0),1,0)</f>
        <v>0</v>
      </c>
      <c r="G7">
        <f ca="1">IF(COUNTIFS(Kostentypen!$A$119:$G$130,Tb_KostenTypen[[#This Row],[Kostentype]])&gt;0,1,0)</f>
        <v>0</v>
      </c>
      <c r="H7" s="174">
        <v>44</v>
      </c>
      <c r="I7" s="174"/>
      <c r="J7" s="174">
        <v>54</v>
      </c>
    </row>
    <row r="8" spans="2:12" x14ac:dyDescent="0.25">
      <c r="B8" t="s">
        <v>242</v>
      </c>
      <c r="C8" t="s">
        <v>49</v>
      </c>
      <c r="D8" s="139">
        <v>0</v>
      </c>
      <c r="E8" t="s">
        <v>314</v>
      </c>
      <c r="F8">
        <f ca="1">IF(OR(COUNTIFS(Kostentypen!$B$77:$O$88,Tb_KostenTypen[[#This Row],[Kostentype]])&gt;0,COUNTIFS(Kostentypen!$A$161:$O$172,Tb_KostenTypen[[#This Row],[Kostentype]])&gt;0),1,0)</f>
        <v>0</v>
      </c>
      <c r="G8">
        <f ca="1">IF(COUNTIFS(Kostentypen!$A$119:$G$130,Tb_KostenTypen[[#This Row],[Kostentype]])&gt;0,1,0)</f>
        <v>0</v>
      </c>
      <c r="H8" s="174">
        <v>50</v>
      </c>
      <c r="I8" s="174"/>
      <c r="J8" s="174">
        <v>60</v>
      </c>
    </row>
    <row r="9" spans="2:12" x14ac:dyDescent="0.25">
      <c r="B9" t="s">
        <v>95</v>
      </c>
      <c r="C9" t="s">
        <v>49</v>
      </c>
      <c r="D9" s="139">
        <v>1</v>
      </c>
      <c r="F9">
        <f ca="1">IF(OR(COUNTIFS(Kostentypen!$B$77:$O$88,Tb_KostenTypen[[#This Row],[Kostentype]])&gt;0,COUNTIFS(Kostentypen!$A$161:$O$172,Tb_KostenTypen[[#This Row],[Kostentype]])&gt;0),1,0)</f>
        <v>0</v>
      </c>
      <c r="G9">
        <f ca="1">IF(COUNTIFS(Kostentypen!$A$119:$G$130,Tb_KostenTypen[[#This Row],[Kostentype]])&gt;0,1,0)</f>
        <v>0</v>
      </c>
      <c r="H9" s="174">
        <v>22</v>
      </c>
      <c r="I9" s="174">
        <v>22</v>
      </c>
      <c r="J9" s="174"/>
    </row>
    <row r="10" spans="2:12" x14ac:dyDescent="0.25">
      <c r="B10" t="s">
        <v>502</v>
      </c>
      <c r="C10" t="s">
        <v>49</v>
      </c>
      <c r="D10" s="139">
        <v>0</v>
      </c>
      <c r="E10" t="s">
        <v>50</v>
      </c>
      <c r="F10">
        <f ca="1">IF(OR(COUNTIFS(Kostentypen!$B$77:$O$88,Tb_KostenTypen[[#This Row],[Kostentype]])&gt;0,COUNTIFS(Kostentypen!$A$161:$O$172,Tb_KostenTypen[[#This Row],[Kostentype]])&gt;0),1,0)</f>
        <v>0</v>
      </c>
      <c r="G10">
        <f ca="1">IF(COUNTIFS(Kostentypen!$A$119:$G$130,Tb_KostenTypen[[#This Row],[Kostentype]])&gt;0,1,0)</f>
        <v>0</v>
      </c>
      <c r="H10" s="174">
        <v>1680</v>
      </c>
      <c r="I10" s="174">
        <v>1680</v>
      </c>
      <c r="J10" s="174"/>
    </row>
    <row r="11" spans="2:12" x14ac:dyDescent="0.25">
      <c r="B11" t="s">
        <v>503</v>
      </c>
      <c r="C11" t="s">
        <v>49</v>
      </c>
      <c r="D11" s="139">
        <v>0</v>
      </c>
      <c r="E11" t="s">
        <v>50</v>
      </c>
      <c r="F11">
        <f ca="1">IF(OR(COUNTIFS(Kostentypen!$B$77:$O$88,Tb_KostenTypen[[#This Row],[Kostentype]])&gt;0,COUNTIFS(Kostentypen!$A$161:$O$172,Tb_KostenTypen[[#This Row],[Kostentype]])&gt;0),1,0)</f>
        <v>0</v>
      </c>
      <c r="G11">
        <f ca="1">IF(COUNTIFS(Kostentypen!$A$119:$G$130,Tb_KostenTypen[[#This Row],[Kostentype]])&gt;0,1,0)</f>
        <v>0</v>
      </c>
      <c r="H11" s="174">
        <v>2430</v>
      </c>
      <c r="I11" s="174">
        <v>2430</v>
      </c>
      <c r="J11" s="174"/>
    </row>
    <row r="12" spans="2:12" x14ac:dyDescent="0.25">
      <c r="B12" t="s">
        <v>504</v>
      </c>
      <c r="C12" t="s">
        <v>49</v>
      </c>
      <c r="D12" s="139">
        <v>0</v>
      </c>
      <c r="E12" t="s">
        <v>50</v>
      </c>
      <c r="F12">
        <f ca="1">IF(OR(COUNTIFS(Kostentypen!$B$77:$O$88,Tb_KostenTypen[[#This Row],[Kostentype]])&gt;0,COUNTIFS(Kostentypen!$A$161:$O$172,Tb_KostenTypen[[#This Row],[Kostentype]])&gt;0),1,0)</f>
        <v>0</v>
      </c>
      <c r="G12">
        <f ca="1">IF(COUNTIFS(Kostentypen!$A$119:$G$130,Tb_KostenTypen[[#This Row],[Kostentype]])&gt;0,1,0)</f>
        <v>0</v>
      </c>
      <c r="H12" s="174">
        <v>545</v>
      </c>
      <c r="I12" s="174">
        <v>545</v>
      </c>
      <c r="J12" s="174"/>
    </row>
    <row r="13" spans="2:12" x14ac:dyDescent="0.25">
      <c r="B13" t="s">
        <v>505</v>
      </c>
      <c r="C13" t="s">
        <v>49</v>
      </c>
      <c r="D13" s="139">
        <v>0</v>
      </c>
      <c r="E13" t="s">
        <v>50</v>
      </c>
      <c r="F13">
        <f ca="1">IF(OR(COUNTIFS(Kostentypen!$B$77:$O$88,Tb_KostenTypen[[#This Row],[Kostentype]])&gt;0,COUNTIFS(Kostentypen!$A$161:$O$172,Tb_KostenTypen[[#This Row],[Kostentype]])&gt;0),1,0)</f>
        <v>0</v>
      </c>
      <c r="G13">
        <f ca="1">IF(COUNTIFS(Kostentypen!$A$119:$G$130,Tb_KostenTypen[[#This Row],[Kostentype]])&gt;0,1,0)</f>
        <v>0</v>
      </c>
      <c r="H13" s="174">
        <v>790</v>
      </c>
      <c r="I13" s="174">
        <v>790</v>
      </c>
      <c r="J13" s="174"/>
    </row>
    <row r="14" spans="2:12" x14ac:dyDescent="0.25">
      <c r="B14" t="s">
        <v>506</v>
      </c>
      <c r="C14" t="s">
        <v>49</v>
      </c>
      <c r="D14" s="139">
        <v>0</v>
      </c>
      <c r="E14" t="s">
        <v>50</v>
      </c>
      <c r="F14">
        <f ca="1">IF(OR(COUNTIFS(Kostentypen!$B$77:$O$88,Tb_KostenTypen[[#This Row],[Kostentype]])&gt;0,COUNTIFS(Kostentypen!$A$161:$O$172,Tb_KostenTypen[[#This Row],[Kostentype]])&gt;0),1,0)</f>
        <v>0</v>
      </c>
      <c r="G14">
        <f ca="1">IF(COUNTIFS(Kostentypen!$A$119:$G$130,Tb_KostenTypen[[#This Row],[Kostentype]])&gt;0,1,0)</f>
        <v>0</v>
      </c>
      <c r="H14" s="174">
        <v>1355</v>
      </c>
      <c r="I14" s="174">
        <v>1355</v>
      </c>
      <c r="J14" s="174"/>
    </row>
    <row r="15" spans="2:12" x14ac:dyDescent="0.25">
      <c r="B15" t="s">
        <v>507</v>
      </c>
      <c r="C15" t="s">
        <v>49</v>
      </c>
      <c r="D15" s="139">
        <v>0</v>
      </c>
      <c r="E15" t="s">
        <v>50</v>
      </c>
      <c r="F15">
        <f ca="1">IF(OR(COUNTIFS(Kostentypen!$B$77:$O$88,Tb_KostenTypen[[#This Row],[Kostentype]])&gt;0,COUNTIFS(Kostentypen!$A$161:$O$172,Tb_KostenTypen[[#This Row],[Kostentype]])&gt;0),1,0)</f>
        <v>0</v>
      </c>
      <c r="G15">
        <f ca="1">IF(COUNTIFS(Kostentypen!$A$119:$G$130,Tb_KostenTypen[[#This Row],[Kostentype]])&gt;0,1,0)</f>
        <v>0</v>
      </c>
      <c r="H15" s="174">
        <v>2130</v>
      </c>
      <c r="I15" s="174">
        <v>2130</v>
      </c>
      <c r="J15" s="174"/>
    </row>
    <row r="16" spans="2:12" x14ac:dyDescent="0.25">
      <c r="B16" t="s">
        <v>508</v>
      </c>
      <c r="C16" t="s">
        <v>49</v>
      </c>
      <c r="D16" s="139">
        <v>0</v>
      </c>
      <c r="E16" t="s">
        <v>50</v>
      </c>
      <c r="F16">
        <f ca="1">IF(OR(COUNTIFS(Kostentypen!$B$77:$O$88,Tb_KostenTypen[[#This Row],[Kostentype]])&gt;0,COUNTIFS(Kostentypen!$A$161:$O$172,Tb_KostenTypen[[#This Row],[Kostentype]])&gt;0),1,0)</f>
        <v>0</v>
      </c>
      <c r="G16">
        <f ca="1">IF(COUNTIFS(Kostentypen!$A$119:$G$130,Tb_KostenTypen[[#This Row],[Kostentype]])&gt;0,1,0)</f>
        <v>0</v>
      </c>
      <c r="H16" s="174">
        <v>2325</v>
      </c>
      <c r="I16" s="174">
        <v>2325</v>
      </c>
      <c r="J16" s="174"/>
    </row>
    <row r="17" spans="2:10" x14ac:dyDescent="0.25">
      <c r="B17" t="s">
        <v>509</v>
      </c>
      <c r="C17" t="s">
        <v>49</v>
      </c>
      <c r="D17" s="139">
        <v>0</v>
      </c>
      <c r="E17" t="s">
        <v>50</v>
      </c>
      <c r="F17">
        <f ca="1">IF(OR(COUNTIFS(Kostentypen!$B$77:$O$88,Tb_KostenTypen[[#This Row],[Kostentype]])&gt;0,COUNTIFS(Kostentypen!$A$161:$O$172,Tb_KostenTypen[[#This Row],[Kostentype]])&gt;0),1,0)</f>
        <v>0</v>
      </c>
      <c r="G17">
        <f ca="1">IF(COUNTIFS(Kostentypen!$A$119:$G$130,Tb_KostenTypen[[#This Row],[Kostentype]])&gt;0,1,0)</f>
        <v>0</v>
      </c>
      <c r="H17" s="174">
        <v>2785</v>
      </c>
      <c r="I17" s="174">
        <v>2785</v>
      </c>
      <c r="J17" s="174"/>
    </row>
    <row r="18" spans="2:10" x14ac:dyDescent="0.25">
      <c r="B18" t="s">
        <v>510</v>
      </c>
      <c r="C18" t="s">
        <v>49</v>
      </c>
      <c r="D18" s="139">
        <v>0</v>
      </c>
      <c r="E18" t="s">
        <v>50</v>
      </c>
      <c r="F18">
        <f ca="1">IF(OR(COUNTIFS(Kostentypen!$B$77:$O$88,Tb_KostenTypen[[#This Row],[Kostentype]])&gt;0,COUNTIFS(Kostentypen!$A$161:$O$172,Tb_KostenTypen[[#This Row],[Kostentype]])&gt;0),1,0)</f>
        <v>0</v>
      </c>
      <c r="G18">
        <f ca="1">IF(COUNTIFS(Kostentypen!$A$119:$G$130,Tb_KostenTypen[[#This Row],[Kostentype]])&gt;0,1,0)</f>
        <v>0</v>
      </c>
      <c r="H18" s="174">
        <v>2840</v>
      </c>
      <c r="I18" s="174">
        <v>2840</v>
      </c>
      <c r="J18" s="174"/>
    </row>
    <row r="19" spans="2:10" x14ac:dyDescent="0.25">
      <c r="B19" t="s">
        <v>511</v>
      </c>
      <c r="C19" t="s">
        <v>49</v>
      </c>
      <c r="D19" s="139">
        <v>0</v>
      </c>
      <c r="E19" t="s">
        <v>50</v>
      </c>
      <c r="F19">
        <f ca="1">IF(OR(COUNTIFS(Kostentypen!$B$77:$O$88,Tb_KostenTypen[[#This Row],[Kostentype]])&gt;0,COUNTIFS(Kostentypen!$A$161:$O$172,Tb_KostenTypen[[#This Row],[Kostentype]])&gt;0),1,0)</f>
        <v>0</v>
      </c>
      <c r="G19">
        <f ca="1">IF(COUNTIFS(Kostentypen!$A$119:$G$130,Tb_KostenTypen[[#This Row],[Kostentype]])&gt;0,1,0)</f>
        <v>0</v>
      </c>
      <c r="H19" s="174">
        <v>3015</v>
      </c>
      <c r="I19" s="174">
        <v>3015</v>
      </c>
      <c r="J19" s="174"/>
    </row>
    <row r="20" spans="2:10" x14ac:dyDescent="0.25">
      <c r="B20" t="s">
        <v>512</v>
      </c>
      <c r="C20" t="s">
        <v>49</v>
      </c>
      <c r="D20" s="139">
        <v>0</v>
      </c>
      <c r="E20" t="s">
        <v>50</v>
      </c>
      <c r="F20">
        <f ca="1">IF(OR(COUNTIFS(Kostentypen!$B$77:$O$88,Tb_KostenTypen[[#This Row],[Kostentype]])&gt;0,COUNTIFS(Kostentypen!$A$161:$O$172,Tb_KostenTypen[[#This Row],[Kostentype]])&gt;0),1,0)</f>
        <v>0</v>
      </c>
      <c r="G20">
        <f ca="1">IF(COUNTIFS(Kostentypen!$A$119:$G$130,Tb_KostenTypen[[#This Row],[Kostentype]])&gt;0,1,0)</f>
        <v>0</v>
      </c>
      <c r="H20" s="174">
        <v>3425</v>
      </c>
      <c r="I20" s="174">
        <v>3425</v>
      </c>
      <c r="J20" s="174"/>
    </row>
    <row r="21" spans="2:10" x14ac:dyDescent="0.25">
      <c r="B21" t="s">
        <v>513</v>
      </c>
      <c r="C21" t="s">
        <v>49</v>
      </c>
      <c r="D21" s="139">
        <v>0</v>
      </c>
      <c r="E21" t="s">
        <v>50</v>
      </c>
      <c r="F21">
        <f ca="1">IF(OR(COUNTIFS(Kostentypen!$B$77:$O$88,Tb_KostenTypen[[#This Row],[Kostentype]])&gt;0,COUNTIFS(Kostentypen!$A$161:$O$172,Tb_KostenTypen[[#This Row],[Kostentype]])&gt;0),1,0)</f>
        <v>0</v>
      </c>
      <c r="G21">
        <f ca="1">IF(COUNTIFS(Kostentypen!$A$119:$G$130,Tb_KostenTypen[[#This Row],[Kostentype]])&gt;0,1,0)</f>
        <v>0</v>
      </c>
      <c r="H21" s="174">
        <v>1408</v>
      </c>
      <c r="I21" s="174">
        <v>1408</v>
      </c>
      <c r="J21" s="174"/>
    </row>
    <row r="22" spans="2:10" x14ac:dyDescent="0.25">
      <c r="B22" t="s">
        <v>514</v>
      </c>
      <c r="C22" t="s">
        <v>49</v>
      </c>
      <c r="D22" s="139">
        <v>0</v>
      </c>
      <c r="E22" t="s">
        <v>50</v>
      </c>
      <c r="F22">
        <f ca="1">IF(OR(COUNTIFS(Kostentypen!$B$77:$O$88,Tb_KostenTypen[[#This Row],[Kostentype]])&gt;0,COUNTIFS(Kostentypen!$A$161:$O$172,Tb_KostenTypen[[#This Row],[Kostentype]])&gt;0),1,0)</f>
        <v>0</v>
      </c>
      <c r="G22">
        <f ca="1">IF(COUNTIFS(Kostentypen!$A$119:$G$130,Tb_KostenTypen[[#This Row],[Kostentype]])&gt;0,1,0)</f>
        <v>0</v>
      </c>
      <c r="H22" s="174">
        <v>2037</v>
      </c>
      <c r="I22" s="174">
        <v>2037</v>
      </c>
      <c r="J22" s="174"/>
    </row>
    <row r="23" spans="2:10" x14ac:dyDescent="0.25">
      <c r="B23" t="s">
        <v>515</v>
      </c>
      <c r="C23" t="s">
        <v>49</v>
      </c>
      <c r="D23" s="139">
        <v>0</v>
      </c>
      <c r="E23" t="s">
        <v>50</v>
      </c>
      <c r="F23">
        <f ca="1">IF(OR(COUNTIFS(Kostentypen!$B$77:$O$88,Tb_KostenTypen[[#This Row],[Kostentype]])&gt;0,COUNTIFS(Kostentypen!$A$161:$O$172,Tb_KostenTypen[[#This Row],[Kostentype]])&gt;0),1,0)</f>
        <v>0</v>
      </c>
      <c r="G23">
        <f ca="1">IF(COUNTIFS(Kostentypen!$A$119:$G$130,Tb_KostenTypen[[#This Row],[Kostentype]])&gt;0,1,0)</f>
        <v>0</v>
      </c>
      <c r="H23" s="174">
        <v>1858</v>
      </c>
      <c r="I23" s="174">
        <v>1858</v>
      </c>
      <c r="J23" s="174"/>
    </row>
    <row r="24" spans="2:10" x14ac:dyDescent="0.25">
      <c r="B24" t="s">
        <v>516</v>
      </c>
      <c r="C24" t="s">
        <v>49</v>
      </c>
      <c r="D24" s="139">
        <v>0</v>
      </c>
      <c r="E24" t="s">
        <v>50</v>
      </c>
      <c r="F24">
        <f ca="1">IF(OR(COUNTIFS(Kostentypen!$B$77:$O$88,Tb_KostenTypen[[#This Row],[Kostentype]])&gt;0,COUNTIFS(Kostentypen!$A$161:$O$172,Tb_KostenTypen[[#This Row],[Kostentype]])&gt;0),1,0)</f>
        <v>0</v>
      </c>
      <c r="G24">
        <f ca="1">IF(COUNTIFS(Kostentypen!$A$119:$G$130,Tb_KostenTypen[[#This Row],[Kostentype]])&gt;0,1,0)</f>
        <v>0</v>
      </c>
      <c r="H24" s="174">
        <v>2053</v>
      </c>
      <c r="I24" s="174">
        <v>2053</v>
      </c>
      <c r="J24" s="174"/>
    </row>
    <row r="25" spans="2:10" x14ac:dyDescent="0.25">
      <c r="B25" t="s">
        <v>517</v>
      </c>
      <c r="C25" t="s">
        <v>49</v>
      </c>
      <c r="D25" s="139">
        <v>0</v>
      </c>
      <c r="E25" t="s">
        <v>50</v>
      </c>
      <c r="F25">
        <f ca="1">IF(OR(COUNTIFS(Kostentypen!$B$77:$O$88,Tb_KostenTypen[[#This Row],[Kostentype]])&gt;0,COUNTIFS(Kostentypen!$A$161:$O$172,Tb_KostenTypen[[#This Row],[Kostentype]])&gt;0),1,0)</f>
        <v>0</v>
      </c>
      <c r="G25">
        <f ca="1">IF(COUNTIFS(Kostentypen!$A$119:$G$130,Tb_KostenTypen[[#This Row],[Kostentype]])&gt;0,1,0)</f>
        <v>0</v>
      </c>
      <c r="H25" s="174">
        <v>2513</v>
      </c>
      <c r="I25" s="174">
        <v>2513</v>
      </c>
      <c r="J25" s="174"/>
    </row>
    <row r="26" spans="2:10" x14ac:dyDescent="0.25">
      <c r="B26" t="s">
        <v>518</v>
      </c>
      <c r="C26" t="s">
        <v>49</v>
      </c>
      <c r="D26" s="139">
        <v>0</v>
      </c>
      <c r="E26" t="s">
        <v>50</v>
      </c>
      <c r="F26">
        <f ca="1">IF(OR(COUNTIFS(Kostentypen!$B$77:$O$88,Tb_KostenTypen[[#This Row],[Kostentype]])&gt;0,COUNTIFS(Kostentypen!$A$161:$O$172,Tb_KostenTypen[[#This Row],[Kostentype]])&gt;0),1,0)</f>
        <v>0</v>
      </c>
      <c r="G26">
        <f ca="1">IF(COUNTIFS(Kostentypen!$A$119:$G$130,Tb_KostenTypen[[#This Row],[Kostentype]])&gt;0,1,0)</f>
        <v>0</v>
      </c>
      <c r="H26" s="174">
        <v>2447</v>
      </c>
      <c r="I26" s="174">
        <v>2447</v>
      </c>
      <c r="J26" s="174"/>
    </row>
    <row r="27" spans="2:10" x14ac:dyDescent="0.25">
      <c r="B27" t="s">
        <v>519</v>
      </c>
      <c r="C27" t="s">
        <v>49</v>
      </c>
      <c r="D27" s="139">
        <v>0</v>
      </c>
      <c r="E27" t="s">
        <v>50</v>
      </c>
      <c r="F27">
        <f ca="1">IF(OR(COUNTIFS(Kostentypen!$B$77:$O$88,Tb_KostenTypen[[#This Row],[Kostentype]])&gt;0,COUNTIFS(Kostentypen!$A$161:$O$172,Tb_KostenTypen[[#This Row],[Kostentype]])&gt;0),1,0)</f>
        <v>0</v>
      </c>
      <c r="G27">
        <f ca="1">IF(COUNTIFS(Kostentypen!$A$119:$G$130,Tb_KostenTypen[[#This Row],[Kostentype]])&gt;0,1,0)</f>
        <v>0</v>
      </c>
      <c r="H27" s="174">
        <v>2622</v>
      </c>
      <c r="I27" s="174">
        <v>2622</v>
      </c>
      <c r="J27" s="174"/>
    </row>
    <row r="28" spans="2:10" x14ac:dyDescent="0.25">
      <c r="B28" t="s">
        <v>520</v>
      </c>
      <c r="C28" t="s">
        <v>49</v>
      </c>
      <c r="D28" s="139">
        <v>0</v>
      </c>
      <c r="E28" t="s">
        <v>50</v>
      </c>
      <c r="F28">
        <f ca="1">IF(OR(COUNTIFS(Kostentypen!$B$77:$O$88,Tb_KostenTypen[[#This Row],[Kostentype]])&gt;0,COUNTIFS(Kostentypen!$A$161:$O$172,Tb_KostenTypen[[#This Row],[Kostentype]])&gt;0),1,0)</f>
        <v>0</v>
      </c>
      <c r="G28">
        <f ca="1">IF(COUNTIFS(Kostentypen!$A$119:$G$130,Tb_KostenTypen[[#This Row],[Kostentype]])&gt;0,1,0)</f>
        <v>0</v>
      </c>
      <c r="H28" s="174">
        <v>3032</v>
      </c>
      <c r="I28" s="174">
        <v>3032</v>
      </c>
      <c r="J28" s="174"/>
    </row>
    <row r="29" spans="2:10" x14ac:dyDescent="0.25">
      <c r="B29" t="s">
        <v>533</v>
      </c>
      <c r="C29" t="s">
        <v>49</v>
      </c>
      <c r="D29" s="139">
        <v>0</v>
      </c>
      <c r="E29" t="s">
        <v>50</v>
      </c>
      <c r="F29">
        <f ca="1">IF(OR(COUNTIFS(Kostentypen!$B$77:$O$88,Tb_KostenTypen[[#This Row],[Kostentype]])&gt;0,COUNTIFS(Kostentypen!$A$161:$O$172,Tb_KostenTypen[[#This Row],[Kostentype]])&gt;0),1,0)</f>
        <v>0</v>
      </c>
      <c r="G29">
        <f ca="1">IF(COUNTIFS(Kostentypen!$A$119:$G$130,Tb_KostenTypen[[#This Row],[Kostentype]])&gt;0,1,0)</f>
        <v>0</v>
      </c>
      <c r="H29" s="174">
        <v>316.16999999999996</v>
      </c>
      <c r="I29" s="174">
        <v>316.16999999999996</v>
      </c>
      <c r="J29" s="174"/>
    </row>
    <row r="30" spans="2:10" x14ac:dyDescent="0.25">
      <c r="B30" t="s">
        <v>534</v>
      </c>
      <c r="C30" t="s">
        <v>49</v>
      </c>
      <c r="D30" s="139">
        <v>0</v>
      </c>
      <c r="E30" t="s">
        <v>50</v>
      </c>
      <c r="F30">
        <f ca="1">IF(OR(COUNTIFS(Kostentypen!$B$77:$O$88,Tb_KostenTypen[[#This Row],[Kostentype]])&gt;0,COUNTIFS(Kostentypen!$A$161:$O$172,Tb_KostenTypen[[#This Row],[Kostentype]])&gt;0),1,0)</f>
        <v>0</v>
      </c>
      <c r="G30">
        <f ca="1">IF(COUNTIFS(Kostentypen!$A$119:$G$130,Tb_KostenTypen[[#This Row],[Kostentype]])&gt;0,1,0)</f>
        <v>0</v>
      </c>
      <c r="H30" s="174">
        <v>618.37</v>
      </c>
      <c r="I30" s="174">
        <v>618.37</v>
      </c>
      <c r="J30" s="174"/>
    </row>
    <row r="31" spans="2:10" x14ac:dyDescent="0.25">
      <c r="B31" t="s">
        <v>535</v>
      </c>
      <c r="C31" t="s">
        <v>49</v>
      </c>
      <c r="D31" s="139">
        <v>0</v>
      </c>
      <c r="E31" t="s">
        <v>50</v>
      </c>
      <c r="F31">
        <f ca="1">IF(OR(COUNTIFS(Kostentypen!$B$77:$O$88,Tb_KostenTypen[[#This Row],[Kostentype]])&gt;0,COUNTIFS(Kostentypen!$A$161:$O$172,Tb_KostenTypen[[#This Row],[Kostentype]])&gt;0),1,0)</f>
        <v>0</v>
      </c>
      <c r="G31">
        <f ca="1">IF(COUNTIFS(Kostentypen!$A$119:$G$130,Tb_KostenTypen[[#This Row],[Kostentype]])&gt;0,1,0)</f>
        <v>0</v>
      </c>
      <c r="H31" s="174">
        <v>1240.58</v>
      </c>
      <c r="I31" s="174">
        <v>1240.58</v>
      </c>
      <c r="J31" s="174"/>
    </row>
    <row r="32" spans="2:10" x14ac:dyDescent="0.25">
      <c r="B32" t="s">
        <v>526</v>
      </c>
      <c r="C32" t="s">
        <v>49</v>
      </c>
      <c r="D32" s="139">
        <v>0</v>
      </c>
      <c r="E32" t="s">
        <v>50</v>
      </c>
      <c r="F32">
        <f ca="1">IF(OR(COUNTIFS(Kostentypen!$B$77:$O$88,Tb_KostenTypen[[#This Row],[Kostentype]])&gt;0,COUNTIFS(Kostentypen!$A$161:$O$172,Tb_KostenTypen[[#This Row],[Kostentype]])&gt;0),1,0)</f>
        <v>0</v>
      </c>
      <c r="G32">
        <f ca="1">IF(COUNTIFS(Kostentypen!$A$119:$G$130,Tb_KostenTypen[[#This Row],[Kostentype]])&gt;0,1,0)</f>
        <v>0</v>
      </c>
      <c r="H32" s="174">
        <v>1901.17</v>
      </c>
      <c r="I32" s="174">
        <v>1901.17</v>
      </c>
      <c r="J32" s="174"/>
    </row>
    <row r="33" spans="2:10" x14ac:dyDescent="0.25">
      <c r="B33" t="s">
        <v>521</v>
      </c>
      <c r="C33" t="s">
        <v>49</v>
      </c>
      <c r="D33" s="139">
        <v>0</v>
      </c>
      <c r="E33" t="s">
        <v>50</v>
      </c>
      <c r="F33">
        <f ca="1">IF(OR(COUNTIFS(Kostentypen!$B$77:$O$88,Tb_KostenTypen[[#This Row],[Kostentype]])&gt;0,COUNTIFS(Kostentypen!$A$161:$O$172,Tb_KostenTypen[[#This Row],[Kostentype]])&gt;0),1,0)</f>
        <v>0</v>
      </c>
      <c r="G33">
        <f ca="1">IF(COUNTIFS(Kostentypen!$A$119:$G$130,Tb_KostenTypen[[#This Row],[Kostentype]])&gt;0,1,0)</f>
        <v>0</v>
      </c>
      <c r="H33" s="174">
        <v>2153.37</v>
      </c>
      <c r="I33" s="174">
        <v>2153.37</v>
      </c>
      <c r="J33" s="174"/>
    </row>
    <row r="34" spans="2:10" x14ac:dyDescent="0.25">
      <c r="B34" t="s">
        <v>522</v>
      </c>
      <c r="C34" t="s">
        <v>49</v>
      </c>
      <c r="D34" s="139">
        <v>0</v>
      </c>
      <c r="E34" t="s">
        <v>50</v>
      </c>
      <c r="F34">
        <f ca="1">IF(OR(COUNTIFS(Kostentypen!$B$77:$O$88,Tb_KostenTypen[[#This Row],[Kostentype]])&gt;0,COUNTIFS(Kostentypen!$A$161:$O$172,Tb_KostenTypen[[#This Row],[Kostentype]])&gt;0),1,0)</f>
        <v>0</v>
      </c>
      <c r="G34">
        <f ca="1">IF(COUNTIFS(Kostentypen!$A$119:$G$130,Tb_KostenTypen[[#This Row],[Kostentype]])&gt;0,1,0)</f>
        <v>0</v>
      </c>
      <c r="H34" s="174">
        <v>2670.58</v>
      </c>
      <c r="I34" s="174">
        <v>2670.58</v>
      </c>
      <c r="J34" s="174"/>
    </row>
    <row r="35" spans="2:10" x14ac:dyDescent="0.25">
      <c r="B35" t="s">
        <v>523</v>
      </c>
      <c r="C35" t="s">
        <v>49</v>
      </c>
      <c r="D35" s="139">
        <v>0</v>
      </c>
      <c r="E35" t="s">
        <v>50</v>
      </c>
      <c r="F35">
        <f ca="1">IF(OR(COUNTIFS(Kostentypen!$B$77:$O$88,Tb_KostenTypen[[#This Row],[Kostentype]])&gt;0,COUNTIFS(Kostentypen!$A$161:$O$172,Tb_KostenTypen[[#This Row],[Kostentype]])&gt;0),1,0)</f>
        <v>0</v>
      </c>
      <c r="G35">
        <f ca="1">IF(COUNTIFS(Kostentypen!$A$119:$G$130,Tb_KostenTypen[[#This Row],[Kostentype]])&gt;0,1,0)</f>
        <v>0</v>
      </c>
      <c r="H35" s="174">
        <v>2611.17</v>
      </c>
      <c r="I35" s="174">
        <v>2611.17</v>
      </c>
      <c r="J35" s="174"/>
    </row>
    <row r="36" spans="2:10" x14ac:dyDescent="0.25">
      <c r="B36" t="s">
        <v>524</v>
      </c>
      <c r="C36" t="s">
        <v>49</v>
      </c>
      <c r="D36" s="139">
        <v>0</v>
      </c>
      <c r="E36" t="s">
        <v>50</v>
      </c>
      <c r="F36">
        <f ca="1">IF(OR(COUNTIFS(Kostentypen!$B$77:$O$88,Tb_KostenTypen[[#This Row],[Kostentype]])&gt;0,COUNTIFS(Kostentypen!$A$161:$O$172,Tb_KostenTypen[[#This Row],[Kostentype]])&gt;0),1,0)</f>
        <v>0</v>
      </c>
      <c r="G36">
        <f ca="1">IF(COUNTIFS(Kostentypen!$A$119:$G$130,Tb_KostenTypen[[#This Row],[Kostentype]])&gt;0,1,0)</f>
        <v>0</v>
      </c>
      <c r="H36" s="174">
        <v>2843.37</v>
      </c>
      <c r="I36" s="174">
        <v>2843.37</v>
      </c>
      <c r="J36" s="174"/>
    </row>
    <row r="37" spans="2:10" x14ac:dyDescent="0.25">
      <c r="B37" t="s">
        <v>525</v>
      </c>
      <c r="C37" t="s">
        <v>49</v>
      </c>
      <c r="D37" s="139">
        <v>0</v>
      </c>
      <c r="E37" t="s">
        <v>50</v>
      </c>
      <c r="F37">
        <f ca="1">IF(OR(COUNTIFS(Kostentypen!$B$77:$O$88,Tb_KostenTypen[[#This Row],[Kostentype]])&gt;0,COUNTIFS(Kostentypen!$A$161:$O$172,Tb_KostenTypen[[#This Row],[Kostentype]])&gt;0),1,0)</f>
        <v>0</v>
      </c>
      <c r="G37">
        <f ca="1">IF(COUNTIFS(Kostentypen!$A$119:$G$130,Tb_KostenTypen[[#This Row],[Kostentype]])&gt;0,1,0)</f>
        <v>0</v>
      </c>
      <c r="H37" s="174">
        <v>3310.58</v>
      </c>
      <c r="I37" s="174">
        <v>3310.58</v>
      </c>
      <c r="J37" s="174"/>
    </row>
    <row r="38" spans="2:10" x14ac:dyDescent="0.25">
      <c r="B38" t="s">
        <v>527</v>
      </c>
      <c r="C38" t="s">
        <v>49</v>
      </c>
      <c r="D38" s="139">
        <v>0</v>
      </c>
      <c r="E38" t="s">
        <v>50</v>
      </c>
      <c r="F38">
        <f ca="1">IF(OR(COUNTIFS(Kostentypen!$B$77:$O$88,Tb_KostenTypen[[#This Row],[Kostentype]])&gt;0,COUNTIFS(Kostentypen!$A$161:$O$172,Tb_KostenTypen[[#This Row],[Kostentype]])&gt;0),1,0)</f>
        <v>0</v>
      </c>
      <c r="G38">
        <f ca="1">IF(COUNTIFS(Kostentypen!$A$119:$G$130,Tb_KostenTypen[[#This Row],[Kostentype]])&gt;0,1,0)</f>
        <v>0</v>
      </c>
      <c r="H38" s="174">
        <v>1629.17</v>
      </c>
      <c r="I38" s="174">
        <v>1629.17</v>
      </c>
      <c r="J38" s="174"/>
    </row>
    <row r="39" spans="2:10" x14ac:dyDescent="0.25">
      <c r="B39" t="s">
        <v>528</v>
      </c>
      <c r="C39" t="s">
        <v>49</v>
      </c>
      <c r="D39" s="139">
        <v>0</v>
      </c>
      <c r="E39" t="s">
        <v>50</v>
      </c>
      <c r="F39">
        <f ca="1">IF(OR(COUNTIFS(Kostentypen!$B$77:$O$88,Tb_KostenTypen[[#This Row],[Kostentype]])&gt;0,COUNTIFS(Kostentypen!$A$161:$O$172,Tb_KostenTypen[[#This Row],[Kostentype]])&gt;0),1,0)</f>
        <v>0</v>
      </c>
      <c r="G39">
        <f ca="1">IF(COUNTIFS(Kostentypen!$A$119:$G$130,Tb_KostenTypen[[#This Row],[Kostentype]])&gt;0,1,0)</f>
        <v>0</v>
      </c>
      <c r="H39" s="174">
        <v>1881.37</v>
      </c>
      <c r="I39" s="174">
        <v>1881.37</v>
      </c>
      <c r="J39" s="174"/>
    </row>
    <row r="40" spans="2:10" x14ac:dyDescent="0.25">
      <c r="B40" t="s">
        <v>529</v>
      </c>
      <c r="C40" t="s">
        <v>49</v>
      </c>
      <c r="D40" s="139">
        <v>0</v>
      </c>
      <c r="E40" t="s">
        <v>50</v>
      </c>
      <c r="F40">
        <f ca="1">IF(OR(COUNTIFS(Kostentypen!$B$77:$O$88,Tb_KostenTypen[[#This Row],[Kostentype]])&gt;0,COUNTIFS(Kostentypen!$A$161:$O$172,Tb_KostenTypen[[#This Row],[Kostentype]])&gt;0),1,0)</f>
        <v>0</v>
      </c>
      <c r="G40">
        <f ca="1">IF(COUNTIFS(Kostentypen!$A$119:$G$130,Tb_KostenTypen[[#This Row],[Kostentype]])&gt;0,1,0)</f>
        <v>0</v>
      </c>
      <c r="H40" s="174">
        <v>2398.58</v>
      </c>
      <c r="I40" s="174">
        <v>2398.58</v>
      </c>
      <c r="J40" s="174"/>
    </row>
    <row r="41" spans="2:10" x14ac:dyDescent="0.25">
      <c r="B41" t="s">
        <v>530</v>
      </c>
      <c r="C41" t="s">
        <v>49</v>
      </c>
      <c r="D41" s="139">
        <v>0</v>
      </c>
      <c r="E41" t="s">
        <v>50</v>
      </c>
      <c r="F41">
        <f ca="1">IF(OR(COUNTIFS(Kostentypen!$B$77:$O$88,Tb_KostenTypen[[#This Row],[Kostentype]])&gt;0,COUNTIFS(Kostentypen!$A$161:$O$172,Tb_KostenTypen[[#This Row],[Kostentype]])&gt;0),1,0)</f>
        <v>0</v>
      </c>
      <c r="G41">
        <f ca="1">IF(COUNTIFS(Kostentypen!$A$119:$G$130,Tb_KostenTypen[[#This Row],[Kostentype]])&gt;0,1,0)</f>
        <v>0</v>
      </c>
      <c r="H41" s="174">
        <v>2218.17</v>
      </c>
      <c r="I41" s="174">
        <v>2218.17</v>
      </c>
      <c r="J41" s="174"/>
    </row>
    <row r="42" spans="2:10" x14ac:dyDescent="0.25">
      <c r="B42" t="s">
        <v>531</v>
      </c>
      <c r="C42" t="s">
        <v>49</v>
      </c>
      <c r="D42" s="139">
        <v>0</v>
      </c>
      <c r="E42" t="s">
        <v>50</v>
      </c>
      <c r="F42">
        <f ca="1">IF(OR(COUNTIFS(Kostentypen!$B$77:$O$88,Tb_KostenTypen[[#This Row],[Kostentype]])&gt;0,COUNTIFS(Kostentypen!$A$161:$O$172,Tb_KostenTypen[[#This Row],[Kostentype]])&gt;0),1,0)</f>
        <v>0</v>
      </c>
      <c r="G42">
        <f ca="1">IF(COUNTIFS(Kostentypen!$A$119:$G$130,Tb_KostenTypen[[#This Row],[Kostentype]])&gt;0,1,0)</f>
        <v>0</v>
      </c>
      <c r="H42" s="174">
        <v>2450.37</v>
      </c>
      <c r="I42" s="174">
        <v>2450.37</v>
      </c>
      <c r="J42" s="174"/>
    </row>
    <row r="43" spans="2:10" x14ac:dyDescent="0.25">
      <c r="B43" t="s">
        <v>532</v>
      </c>
      <c r="C43" t="s">
        <v>49</v>
      </c>
      <c r="D43" s="139">
        <v>0</v>
      </c>
      <c r="E43" t="s">
        <v>50</v>
      </c>
      <c r="F43">
        <f ca="1">IF(OR(COUNTIFS(Kostentypen!$B$77:$O$88,Tb_KostenTypen[[#This Row],[Kostentype]])&gt;0,COUNTIFS(Kostentypen!$A$161:$O$172,Tb_KostenTypen[[#This Row],[Kostentype]])&gt;0),1,0)</f>
        <v>0</v>
      </c>
      <c r="G43">
        <f ca="1">IF(COUNTIFS(Kostentypen!$A$119:$G$130,Tb_KostenTypen[[#This Row],[Kostentype]])&gt;0,1,0)</f>
        <v>0</v>
      </c>
      <c r="H43" s="174">
        <v>2917.58</v>
      </c>
      <c r="I43" s="174">
        <v>2917.58</v>
      </c>
      <c r="J43" s="174"/>
    </row>
  </sheetData>
  <sheetProtection algorithmName="SHA-512" hashValue="igshmSKA4SsSyyM5vcewIem1adkqIZQagN0vRTcWyzUm39PLYMhZHfDozC0wEoAa//Nv0E38hWEY6eEC0YVpdg==" saltValue="Q93Wik3q5TmUhvLxpphgYw==" spinCount="100000" sheet="1" objects="1" scenarios="1" selectLockedCells="1" selectUnlockedCells="1"/>
  <phoneticPr fontId="4" type="noConversion"/>
  <pageMargins left="0.7" right="0.7" top="0.75" bottom="0.75" header="0.3" footer="0.3"/>
  <pageSetup paperSize="9" orientation="portrait" r:id="rId1"/>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5BB46-CE0F-4860-BF4D-D6C4CB561412}">
  <sheetPr codeName="Blad8">
    <tabColor theme="4" tint="-0.249977111117893"/>
  </sheetPr>
  <dimension ref="B1:F11"/>
  <sheetViews>
    <sheetView topLeftCell="B1" workbookViewId="0">
      <selection activeCell="E2" sqref="E2"/>
    </sheetView>
  </sheetViews>
  <sheetFormatPr defaultRowHeight="15" x14ac:dyDescent="0.25"/>
  <cols>
    <col min="1" max="1" width="3.42578125" customWidth="1"/>
    <col min="2" max="2" width="56.140625" customWidth="1"/>
    <col min="3" max="3" width="47.42578125" bestFit="1" customWidth="1"/>
    <col min="4" max="4" width="45.5703125" bestFit="1" customWidth="1"/>
    <col min="5" max="5" width="14" customWidth="1"/>
    <col min="6" max="6" width="6.7109375" bestFit="1" customWidth="1"/>
  </cols>
  <sheetData>
    <row r="1" spans="2:6" ht="90" x14ac:dyDescent="0.25">
      <c r="B1" s="157" t="s">
        <v>129</v>
      </c>
      <c r="C1" s="158" t="s">
        <v>54</v>
      </c>
      <c r="D1" s="158" t="s">
        <v>191</v>
      </c>
      <c r="E1" s="158" t="s">
        <v>193</v>
      </c>
      <c r="F1" s="159" t="s">
        <v>192</v>
      </c>
    </row>
    <row r="2" spans="2:6" x14ac:dyDescent="0.25">
      <c r="B2" s="160" t="s">
        <v>24</v>
      </c>
      <c r="C2" t="str" cm="1">
        <f t="array" ref="C2">IFERROR(_xlfn._xlws.FILTER(D2:D11,D2:D11&gt;"-"),"")</f>
        <v/>
      </c>
      <c r="D2" s="160" t="str">
        <f>IFERROR(IF(VLOOKUP(Openstelling_Keuze,Tb_Openstelling[],F2,FALSE)=1,B2,"-"),"-")</f>
        <v>-</v>
      </c>
      <c r="E2" s="156" t="s">
        <v>190</v>
      </c>
      <c r="F2" s="160">
        <f>IFERROR(MATCH(E2,Tb_Openstelling[#Headers],0),"")</f>
        <v>3</v>
      </c>
    </row>
    <row r="3" spans="2:6" x14ac:dyDescent="0.25">
      <c r="B3" s="160" t="s">
        <v>23</v>
      </c>
      <c r="C3" s="161"/>
      <c r="D3" s="160" t="str">
        <f>IFERROR(IF(VLOOKUP(Openstelling_Keuze,Tb_Openstelling[],F3,FALSE)=1,B3,"-"),"-")</f>
        <v>-</v>
      </c>
      <c r="E3" s="156" t="s">
        <v>158</v>
      </c>
      <c r="F3" s="160">
        <f>IFERROR(MATCH(E3,Tb_Openstelling[#Headers],0),"")</f>
        <v>4</v>
      </c>
    </row>
    <row r="4" spans="2:6" x14ac:dyDescent="0.25">
      <c r="B4" s="160" t="s">
        <v>22</v>
      </c>
      <c r="C4" s="161"/>
      <c r="D4" s="160" t="str">
        <f>IFERROR(IF(VLOOKUP(Openstelling_Keuze,Tb_Openstelling[],F4,FALSE)=1,B4,"-"),"-")</f>
        <v>-</v>
      </c>
      <c r="E4" s="156" t="s">
        <v>159</v>
      </c>
      <c r="F4" s="160">
        <f>IFERROR(MATCH(E4,Tb_Openstelling[#Headers],0),"")</f>
        <v>5</v>
      </c>
    </row>
    <row r="5" spans="2:6" x14ac:dyDescent="0.25">
      <c r="B5" s="160"/>
      <c r="C5" s="161"/>
      <c r="D5" s="160" t="str">
        <f>IFERROR(IF(VLOOKUP(Openstelling_Keuze,Tb_Openstelling[],F5,FALSE)=1,B5,"-"),"-")</f>
        <v>-</v>
      </c>
      <c r="E5" s="156"/>
      <c r="F5" s="160" t="str">
        <f>IFERROR(MATCH(E5,Tb_Openstelling[#Headers],0),"")</f>
        <v/>
      </c>
    </row>
    <row r="6" spans="2:6" x14ac:dyDescent="0.25">
      <c r="B6" s="160"/>
      <c r="C6" s="161"/>
      <c r="D6" s="160" t="str">
        <f>IFERROR(IF(VLOOKUP(Openstelling_Keuze,Tb_Openstelling[],F6,FALSE)=1,B6,"-"),"-")</f>
        <v>-</v>
      </c>
      <c r="E6" s="156"/>
      <c r="F6" s="160" t="str">
        <f>IFERROR(MATCH(E6,Tb_Openstelling[#Headers],0),"")</f>
        <v/>
      </c>
    </row>
    <row r="7" spans="2:6" x14ac:dyDescent="0.25">
      <c r="B7" s="160"/>
      <c r="C7" s="161"/>
      <c r="D7" s="160" t="str">
        <f>IFERROR(IF(VLOOKUP(Openstelling_Keuze,Tb_Openstelling[],F7,FALSE)=1,B7,"-"),"-")</f>
        <v>-</v>
      </c>
      <c r="E7" s="156"/>
      <c r="F7" s="160" t="str">
        <f>IFERROR(MATCH(E7,Tb_Openstelling[#Headers],0),"")</f>
        <v/>
      </c>
    </row>
    <row r="8" spans="2:6" x14ac:dyDescent="0.25">
      <c r="B8" s="160"/>
      <c r="C8" s="161"/>
      <c r="D8" s="160" t="str">
        <f>IFERROR(IF(VLOOKUP(Openstelling_Keuze,Tb_Openstelling[],F8,FALSE)=1,B8,"-"),"-")</f>
        <v>-</v>
      </c>
      <c r="E8" s="156"/>
      <c r="F8" s="160" t="str">
        <f>IFERROR(MATCH(E8,Tb_Openstelling[#Headers],0),"")</f>
        <v/>
      </c>
    </row>
    <row r="9" spans="2:6" x14ac:dyDescent="0.25">
      <c r="B9" s="160"/>
      <c r="C9" s="161"/>
      <c r="D9" s="160" t="str">
        <f>IFERROR(IF(VLOOKUP(Openstelling_Keuze,Tb_Openstelling[],F9,FALSE)=1,B9,"-"),"-")</f>
        <v>-</v>
      </c>
      <c r="E9" s="156"/>
      <c r="F9" s="160" t="str">
        <f>IFERROR(MATCH(E9,Tb_Openstelling[#Headers],0),"")</f>
        <v/>
      </c>
    </row>
    <row r="10" spans="2:6" x14ac:dyDescent="0.25">
      <c r="B10" s="160"/>
      <c r="C10" s="161"/>
      <c r="D10" s="160" t="str">
        <f>IFERROR(IF(VLOOKUP(Openstelling_Keuze,Tb_Openstelling[],F10,FALSE)=1,B10,"-"),"-")</f>
        <v>-</v>
      </c>
      <c r="E10" s="156"/>
      <c r="F10" s="160" t="str">
        <f>IFERROR(MATCH(E10,Tb_Openstelling[#Headers],0),"")</f>
        <v/>
      </c>
    </row>
    <row r="11" spans="2:6" x14ac:dyDescent="0.25">
      <c r="B11" s="160"/>
      <c r="C11" s="161"/>
      <c r="D11" s="160" t="str">
        <f>IFERROR(IF(VLOOKUP(Openstelling_Keuze,Tb_Openstelling[],F11,FALSE)=1,B11,"-"),"-")</f>
        <v>-</v>
      </c>
      <c r="E11" s="156"/>
      <c r="F11" s="160" t="str">
        <f>IFERROR(MATCH(E11,Tb_Openstelling[#Headers],0),"")</f>
        <v/>
      </c>
    </row>
  </sheetData>
  <sheetProtection algorithmName="SHA-512" hashValue="7XvbUxZdXokdFvldJ6xZDJrZ91/4KMDNMt8xcFjWa3gygQr619+m/YyweMIHZfVrStnWZyjVtanBnj2ccFTzEw==" saltValue="zJSjmNJYM3B/Has2O6OH8Q==" spinCount="100000" sheet="1" objects="1" scenarios="1" selectLockedCell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FFE25-10B4-4053-A06E-AFE2524139E1}">
  <sheetPr codeName="Blad2">
    <tabColor theme="8" tint="0.79998168889431442"/>
    <pageSetUpPr fitToPage="1"/>
  </sheetPr>
  <dimension ref="A1:L51"/>
  <sheetViews>
    <sheetView showGridLines="0" workbookViewId="0">
      <pane xSplit="1" ySplit="4" topLeftCell="B27" activePane="bottomRight" state="frozen"/>
      <selection activeCell="O25" sqref="O25"/>
      <selection pane="topRight" activeCell="O25" sqref="O25"/>
      <selection pane="bottomLeft" activeCell="O25" sqref="O25"/>
      <selection pane="bottomRight" activeCell="C42" sqref="C42"/>
    </sheetView>
  </sheetViews>
  <sheetFormatPr defaultColWidth="0" defaultRowHeight="15" customHeight="1" zeroHeight="1" x14ac:dyDescent="0.25"/>
  <cols>
    <col min="1" max="1" width="5.7109375" style="28" customWidth="1"/>
    <col min="2" max="2" width="50.140625" style="25" customWidth="1"/>
    <col min="3" max="4" width="25.7109375" style="25" customWidth="1"/>
    <col min="5" max="5" width="17.7109375" style="25" customWidth="1"/>
    <col min="6" max="6" width="17.7109375" style="25" hidden="1" customWidth="1"/>
    <col min="7" max="7" width="17.7109375" style="25" customWidth="1"/>
    <col min="8" max="8" width="17.7109375" style="25" hidden="1" customWidth="1"/>
    <col min="9" max="9" width="16.7109375" style="25" customWidth="1"/>
    <col min="10" max="10" width="16.7109375" style="25" hidden="1" customWidth="1"/>
    <col min="11" max="11" width="17.7109375" style="25" customWidth="1"/>
    <col min="12" max="12" width="17.7109375" style="25" hidden="1" customWidth="1"/>
    <col min="13" max="16384" width="9.140625" style="25" hidden="1"/>
  </cols>
  <sheetData>
    <row r="1" spans="1:12" ht="15" customHeight="1" x14ac:dyDescent="0.25">
      <c r="A1" s="118"/>
      <c r="B1" s="237" t="s">
        <v>25</v>
      </c>
      <c r="C1" s="238"/>
      <c r="D1" s="238"/>
      <c r="E1" s="238"/>
      <c r="F1" s="238"/>
      <c r="G1" s="238"/>
      <c r="H1" s="238"/>
      <c r="I1" s="238"/>
      <c r="J1" s="238"/>
      <c r="K1" s="238"/>
      <c r="L1" s="239"/>
    </row>
    <row r="2" spans="1:12" ht="15" customHeight="1" x14ac:dyDescent="0.25">
      <c r="A2" s="120"/>
      <c r="B2" s="240" t="s">
        <v>20</v>
      </c>
      <c r="C2" s="473" t="str">
        <f>IF(OR('1. Aanvraaggegevens'!C8="",'1. Aanvraaggegevens'!C8=0),"Kies een berekeningsmethode op tabblad '1. Aanvraaggegevens'",'1. Aanvraaggegevens'!C8)</f>
        <v>Kies een berekeningsmethode op tabblad '1. Aanvraaggegevens'</v>
      </c>
      <c r="D2" s="241"/>
      <c r="E2" s="242"/>
      <c r="F2" s="242"/>
      <c r="G2" s="242"/>
      <c r="H2" s="242"/>
      <c r="I2" s="242"/>
      <c r="J2" s="242"/>
      <c r="K2" s="242"/>
      <c r="L2" s="243"/>
    </row>
    <row r="3" spans="1:12" ht="47.25" customHeight="1" x14ac:dyDescent="0.25">
      <c r="A3" s="232"/>
      <c r="B3" s="232"/>
      <c r="C3" s="232"/>
      <c r="D3" s="232"/>
      <c r="E3" s="381" t="str">
        <f>IF(OR(LEFT(Methode_Keuze,4)="Geen",Methode_Keuze=""),"Kosten","Kosten"&amp;CHAR(10)&amp;"(exclusief forfait)")</f>
        <v>Kosten</v>
      </c>
      <c r="F3" s="382"/>
      <c r="G3" s="381" t="str">
        <f>IF(OR(LEFT(Methode_Keuze,4)="Geen",Methode_Keuze=""),"Verdeling kosten naar rato","Verdeling kosten naar rato"&amp;CHAR(10)&amp;"(exclusief forfait)")</f>
        <v>Verdeling kosten naar rato</v>
      </c>
      <c r="H3" s="382"/>
      <c r="I3" s="381" t="str">
        <f>IF(OR(LEFT(Methode_Keuze,4)="Geen",Methode_Keuze=""),"Verdeling subsidie in %","Verdeling subsidie in %"&amp;CHAR(10)&amp;"(inclusief forfait)")</f>
        <v>Verdeling subsidie in %</v>
      </c>
      <c r="J3" s="382"/>
      <c r="K3" s="383" t="str">
        <f>IF(OR(LEFT(Methode_Keuze,4)="Geen",Methode_Keuze=""),"Subsidiebedrag","Subsidiebedrag"&amp;CHAR(10)&amp;"(inclusief forfait)")</f>
        <v>Subsidiebedrag</v>
      </c>
      <c r="L3" s="384"/>
    </row>
    <row r="4" spans="1:12" ht="30" x14ac:dyDescent="0.25">
      <c r="A4" s="117" t="s">
        <v>134</v>
      </c>
      <c r="B4" s="232" t="s">
        <v>30</v>
      </c>
      <c r="C4" s="117" t="s">
        <v>9</v>
      </c>
      <c r="D4" s="117" t="s">
        <v>10</v>
      </c>
      <c r="E4" s="117" t="s">
        <v>60</v>
      </c>
      <c r="F4" s="117" t="s">
        <v>59</v>
      </c>
      <c r="G4" s="117" t="s">
        <v>60</v>
      </c>
      <c r="H4" s="117" t="s">
        <v>59</v>
      </c>
      <c r="I4" s="117" t="s">
        <v>60</v>
      </c>
      <c r="J4" s="117" t="s">
        <v>59</v>
      </c>
      <c r="K4" s="117" t="s">
        <v>60</v>
      </c>
      <c r="L4" s="117" t="s">
        <v>59</v>
      </c>
    </row>
    <row r="5" spans="1:12" x14ac:dyDescent="0.25">
      <c r="A5" s="303">
        <v>1</v>
      </c>
      <c r="B5" s="295"/>
      <c r="C5" s="366"/>
      <c r="D5" s="366"/>
      <c r="E5" s="297" t="str">
        <f>IF($B5="","",SUMIF('5. Kosten uitvoering project'!$B$6:$U$250,B5,'5. Kosten uitvoering project'!$R$6:$R$250))</f>
        <v/>
      </c>
      <c r="F5" s="304" t="str">
        <f>IF($B5="","",SUMIF('5. Kosten uitvoering project'!$B$6:$U$250,B5,'5. Kosten uitvoering project'!$S$6:$S$250))</f>
        <v/>
      </c>
      <c r="G5" s="305" t="str">
        <f t="shared" ref="G5:G34" si="0">IFERROR(IF(OR(E5="",E5=0),"",ROUND(E5/(Totaal_Project-SUM(Forfait_Aanvraag)),4)),0)</f>
        <v/>
      </c>
      <c r="H5" s="306" t="str">
        <f t="shared" ref="H5:H34" si="1">IF(OR(F5="",F5=0),"",ROUND(F5/(Beoord_Totaal_Project-SUM(Beoord_Forfait_Aanvraag)),4))</f>
        <v/>
      </c>
      <c r="I5" s="307"/>
      <c r="J5" s="307"/>
      <c r="K5" s="301" t="str">
        <f>IF(OR(E5="",E5=0),"",K$42*I5)</f>
        <v/>
      </c>
      <c r="L5" s="304" t="str">
        <f>IF(OR(F5="",F5=0),"",L$42*J5)</f>
        <v/>
      </c>
    </row>
    <row r="6" spans="1:12" x14ac:dyDescent="0.25">
      <c r="A6" s="303">
        <v>2</v>
      </c>
      <c r="B6" s="295"/>
      <c r="C6" s="366"/>
      <c r="D6" s="366"/>
      <c r="E6" s="297" t="str">
        <f>IF($B6="","",SUMIF('5. Kosten uitvoering project'!$B$6:$U$250,B6,'5. Kosten uitvoering project'!$R$6:$R$250))</f>
        <v/>
      </c>
      <c r="F6" s="304" t="str">
        <f>IF($B6="","",SUMIF('5. Kosten uitvoering project'!$B$6:$U$250,B6,'5. Kosten uitvoering project'!$S$6:$S$250))</f>
        <v/>
      </c>
      <c r="G6" s="305" t="str">
        <f t="shared" si="0"/>
        <v/>
      </c>
      <c r="H6" s="306" t="str">
        <f t="shared" si="1"/>
        <v/>
      </c>
      <c r="I6" s="307"/>
      <c r="J6" s="307"/>
      <c r="K6" s="301" t="str">
        <f t="shared" ref="K6:K34" si="2">IF(OR(E6="",E6=0),"",K$42*I6)</f>
        <v/>
      </c>
      <c r="L6" s="304" t="str">
        <f t="shared" ref="L6:L34" si="3">IF(OR(F6="",F6=0),"",L$42*J6)</f>
        <v/>
      </c>
    </row>
    <row r="7" spans="1:12" x14ac:dyDescent="0.25">
      <c r="A7" s="303">
        <v>3</v>
      </c>
      <c r="B7" s="295"/>
      <c r="C7" s="366"/>
      <c r="D7" s="366"/>
      <c r="E7" s="297" t="str">
        <f>IF($B7="","",SUMIF('5. Kosten uitvoering project'!$B$6:$U$250,B7,'5. Kosten uitvoering project'!$R$6:$R$250))</f>
        <v/>
      </c>
      <c r="F7" s="304" t="str">
        <f>IF($B7="","",SUMIF('5. Kosten uitvoering project'!$B$6:$U$250,B7,'5. Kosten uitvoering project'!$S$6:$S$250))</f>
        <v/>
      </c>
      <c r="G7" s="305" t="str">
        <f t="shared" si="0"/>
        <v/>
      </c>
      <c r="H7" s="306" t="str">
        <f t="shared" si="1"/>
        <v/>
      </c>
      <c r="I7" s="307"/>
      <c r="J7" s="307"/>
      <c r="K7" s="301" t="str">
        <f t="shared" si="2"/>
        <v/>
      </c>
      <c r="L7" s="304" t="str">
        <f t="shared" si="3"/>
        <v/>
      </c>
    </row>
    <row r="8" spans="1:12" x14ac:dyDescent="0.25">
      <c r="A8" s="303">
        <v>4</v>
      </c>
      <c r="B8" s="295"/>
      <c r="C8" s="366"/>
      <c r="D8" s="366"/>
      <c r="E8" s="297" t="str">
        <f>IF($B8="","",SUMIF('5. Kosten uitvoering project'!$B$6:$U$250,B8,'5. Kosten uitvoering project'!$R$6:$R$250))</f>
        <v/>
      </c>
      <c r="F8" s="304" t="str">
        <f>IF($B8="","",SUMIF('5. Kosten uitvoering project'!$B$6:$U$250,B8,'5. Kosten uitvoering project'!$S$6:$S$250))</f>
        <v/>
      </c>
      <c r="G8" s="305" t="str">
        <f t="shared" si="0"/>
        <v/>
      </c>
      <c r="H8" s="306" t="str">
        <f t="shared" si="1"/>
        <v/>
      </c>
      <c r="I8" s="307"/>
      <c r="J8" s="307"/>
      <c r="K8" s="301" t="str">
        <f t="shared" si="2"/>
        <v/>
      </c>
      <c r="L8" s="304" t="str">
        <f t="shared" si="3"/>
        <v/>
      </c>
    </row>
    <row r="9" spans="1:12" x14ac:dyDescent="0.25">
      <c r="A9" s="303">
        <v>5</v>
      </c>
      <c r="B9" s="295"/>
      <c r="C9" s="366"/>
      <c r="D9" s="366"/>
      <c r="E9" s="297" t="str">
        <f>IF($B9="","",SUMIF('5. Kosten uitvoering project'!$B$6:$U$250,B9,'5. Kosten uitvoering project'!$R$6:$R$250))</f>
        <v/>
      </c>
      <c r="F9" s="304" t="str">
        <f>IF($B9="","",SUMIF('5. Kosten uitvoering project'!$B$6:$U$250,B9,'5. Kosten uitvoering project'!$S$6:$S$250))</f>
        <v/>
      </c>
      <c r="G9" s="305" t="str">
        <f t="shared" si="0"/>
        <v/>
      </c>
      <c r="H9" s="306" t="str">
        <f t="shared" si="1"/>
        <v/>
      </c>
      <c r="I9" s="307"/>
      <c r="J9" s="307"/>
      <c r="K9" s="301" t="str">
        <f t="shared" si="2"/>
        <v/>
      </c>
      <c r="L9" s="304" t="str">
        <f t="shared" si="3"/>
        <v/>
      </c>
    </row>
    <row r="10" spans="1:12" x14ac:dyDescent="0.25">
      <c r="A10" s="303">
        <v>6</v>
      </c>
      <c r="B10" s="295"/>
      <c r="C10" s="366"/>
      <c r="D10" s="366"/>
      <c r="E10" s="297" t="str">
        <f>IF($B10="","",SUMIF('5. Kosten uitvoering project'!$B$6:$U$250,B10,'5. Kosten uitvoering project'!$R$6:$R$250))</f>
        <v/>
      </c>
      <c r="F10" s="304" t="str">
        <f>IF($B10="","",SUMIF('5. Kosten uitvoering project'!$B$6:$U$250,B10,'5. Kosten uitvoering project'!$S$6:$S$250))</f>
        <v/>
      </c>
      <c r="G10" s="305" t="str">
        <f t="shared" si="0"/>
        <v/>
      </c>
      <c r="H10" s="306" t="str">
        <f t="shared" si="1"/>
        <v/>
      </c>
      <c r="I10" s="307"/>
      <c r="J10" s="307"/>
      <c r="K10" s="301" t="str">
        <f t="shared" si="2"/>
        <v/>
      </c>
      <c r="L10" s="304" t="str">
        <f t="shared" si="3"/>
        <v/>
      </c>
    </row>
    <row r="11" spans="1:12" x14ac:dyDescent="0.25">
      <c r="A11" s="303">
        <v>7</v>
      </c>
      <c r="B11" s="295"/>
      <c r="C11" s="366"/>
      <c r="D11" s="366"/>
      <c r="E11" s="297" t="str">
        <f>IF($B11="","",SUMIF('5. Kosten uitvoering project'!$B$6:$U$250,B11,'5. Kosten uitvoering project'!$R$6:$R$250))</f>
        <v/>
      </c>
      <c r="F11" s="304" t="str">
        <f>IF($B11="","",SUMIF('5. Kosten uitvoering project'!$B$6:$U$250,B11,'5. Kosten uitvoering project'!$S$6:$S$250))</f>
        <v/>
      </c>
      <c r="G11" s="305" t="str">
        <f t="shared" si="0"/>
        <v/>
      </c>
      <c r="H11" s="306" t="str">
        <f t="shared" si="1"/>
        <v/>
      </c>
      <c r="I11" s="307"/>
      <c r="J11" s="307"/>
      <c r="K11" s="301" t="str">
        <f t="shared" si="2"/>
        <v/>
      </c>
      <c r="L11" s="304" t="str">
        <f t="shared" si="3"/>
        <v/>
      </c>
    </row>
    <row r="12" spans="1:12" x14ac:dyDescent="0.25">
      <c r="A12" s="303">
        <v>8</v>
      </c>
      <c r="B12" s="295"/>
      <c r="C12" s="366"/>
      <c r="D12" s="366"/>
      <c r="E12" s="297" t="str">
        <f>IF($B12="","",SUMIF('5. Kosten uitvoering project'!$B$6:$U$250,B12,'5. Kosten uitvoering project'!$R$6:$R$250))</f>
        <v/>
      </c>
      <c r="F12" s="304" t="str">
        <f>IF($B12="","",SUMIF('5. Kosten uitvoering project'!$B$6:$U$250,B12,'5. Kosten uitvoering project'!$S$6:$S$250))</f>
        <v/>
      </c>
      <c r="G12" s="305" t="str">
        <f t="shared" si="0"/>
        <v/>
      </c>
      <c r="H12" s="306" t="str">
        <f t="shared" si="1"/>
        <v/>
      </c>
      <c r="I12" s="307"/>
      <c r="J12" s="307"/>
      <c r="K12" s="301" t="str">
        <f t="shared" si="2"/>
        <v/>
      </c>
      <c r="L12" s="304" t="str">
        <f t="shared" si="3"/>
        <v/>
      </c>
    </row>
    <row r="13" spans="1:12" x14ac:dyDescent="0.25">
      <c r="A13" s="303">
        <v>9</v>
      </c>
      <c r="B13" s="295"/>
      <c r="C13" s="366"/>
      <c r="D13" s="366"/>
      <c r="E13" s="297" t="str">
        <f>IF($B13="","",SUMIF('5. Kosten uitvoering project'!$B$6:$U$250,B13,'5. Kosten uitvoering project'!$R$6:$R$250))</f>
        <v/>
      </c>
      <c r="F13" s="304" t="str">
        <f>IF($B13="","",SUMIF('5. Kosten uitvoering project'!$B$6:$U$250,B13,'5. Kosten uitvoering project'!$S$6:$S$250))</f>
        <v/>
      </c>
      <c r="G13" s="305" t="str">
        <f t="shared" si="0"/>
        <v/>
      </c>
      <c r="H13" s="306" t="str">
        <f t="shared" si="1"/>
        <v/>
      </c>
      <c r="I13" s="307"/>
      <c r="J13" s="307"/>
      <c r="K13" s="301" t="str">
        <f t="shared" si="2"/>
        <v/>
      </c>
      <c r="L13" s="304" t="str">
        <f t="shared" si="3"/>
        <v/>
      </c>
    </row>
    <row r="14" spans="1:12" x14ac:dyDescent="0.25">
      <c r="A14" s="303">
        <v>10</v>
      </c>
      <c r="B14" s="295"/>
      <c r="C14" s="366"/>
      <c r="D14" s="366"/>
      <c r="E14" s="297" t="str">
        <f>IF($B14="","",SUMIF('5. Kosten uitvoering project'!$B$6:$U$250,B14,'5. Kosten uitvoering project'!$R$6:$R$250))</f>
        <v/>
      </c>
      <c r="F14" s="304" t="str">
        <f>IF($B14="","",SUMIF('5. Kosten uitvoering project'!$B$6:$U$250,B14,'5. Kosten uitvoering project'!$S$6:$S$250))</f>
        <v/>
      </c>
      <c r="G14" s="305" t="str">
        <f t="shared" si="0"/>
        <v/>
      </c>
      <c r="H14" s="306" t="str">
        <f t="shared" si="1"/>
        <v/>
      </c>
      <c r="I14" s="307"/>
      <c r="J14" s="307"/>
      <c r="K14" s="301" t="str">
        <f t="shared" si="2"/>
        <v/>
      </c>
      <c r="L14" s="304" t="str">
        <f t="shared" si="3"/>
        <v/>
      </c>
    </row>
    <row r="15" spans="1:12" x14ac:dyDescent="0.25">
      <c r="A15" s="303">
        <v>11</v>
      </c>
      <c r="B15" s="295"/>
      <c r="C15" s="366"/>
      <c r="D15" s="366"/>
      <c r="E15" s="297" t="str">
        <f>IF($B15="","",SUMIF('5. Kosten uitvoering project'!$B$6:$U$250,B15,'5. Kosten uitvoering project'!$R$6:$R$250))</f>
        <v/>
      </c>
      <c r="F15" s="304" t="str">
        <f>IF($B15="","",SUMIF('5. Kosten uitvoering project'!$B$6:$U$250,B15,'5. Kosten uitvoering project'!$S$6:$S$250))</f>
        <v/>
      </c>
      <c r="G15" s="305" t="str">
        <f t="shared" si="0"/>
        <v/>
      </c>
      <c r="H15" s="306" t="str">
        <f t="shared" si="1"/>
        <v/>
      </c>
      <c r="I15" s="307"/>
      <c r="J15" s="307"/>
      <c r="K15" s="301" t="str">
        <f t="shared" si="2"/>
        <v/>
      </c>
      <c r="L15" s="304" t="str">
        <f t="shared" si="3"/>
        <v/>
      </c>
    </row>
    <row r="16" spans="1:12" x14ac:dyDescent="0.25">
      <c r="A16" s="303">
        <v>12</v>
      </c>
      <c r="B16" s="295"/>
      <c r="C16" s="366"/>
      <c r="D16" s="366"/>
      <c r="E16" s="297" t="str">
        <f>IF($B16="","",SUMIF('5. Kosten uitvoering project'!$B$6:$U$250,B16,'5. Kosten uitvoering project'!$R$6:$R$250))</f>
        <v/>
      </c>
      <c r="F16" s="304" t="str">
        <f>IF($B16="","",SUMIF('5. Kosten uitvoering project'!$B$6:$U$250,B16,'5. Kosten uitvoering project'!$S$6:$S$250))</f>
        <v/>
      </c>
      <c r="G16" s="305" t="str">
        <f t="shared" si="0"/>
        <v/>
      </c>
      <c r="H16" s="306" t="str">
        <f t="shared" si="1"/>
        <v/>
      </c>
      <c r="I16" s="307"/>
      <c r="J16" s="307"/>
      <c r="K16" s="301" t="str">
        <f t="shared" si="2"/>
        <v/>
      </c>
      <c r="L16" s="304" t="str">
        <f t="shared" si="3"/>
        <v/>
      </c>
    </row>
    <row r="17" spans="1:12" x14ac:dyDescent="0.25">
      <c r="A17" s="303">
        <v>13</v>
      </c>
      <c r="B17" s="295"/>
      <c r="C17" s="366"/>
      <c r="D17" s="366"/>
      <c r="E17" s="297" t="str">
        <f>IF($B17="","",SUMIF('5. Kosten uitvoering project'!$B$6:$U$250,B17,'5. Kosten uitvoering project'!$R$6:$R$250))</f>
        <v/>
      </c>
      <c r="F17" s="304" t="str">
        <f>IF($B17="","",SUMIF('5. Kosten uitvoering project'!$B$6:$U$250,B17,'5. Kosten uitvoering project'!$S$6:$S$250))</f>
        <v/>
      </c>
      <c r="G17" s="305" t="str">
        <f t="shared" si="0"/>
        <v/>
      </c>
      <c r="H17" s="306" t="str">
        <f t="shared" si="1"/>
        <v/>
      </c>
      <c r="I17" s="307"/>
      <c r="J17" s="307"/>
      <c r="K17" s="301" t="str">
        <f t="shared" si="2"/>
        <v/>
      </c>
      <c r="L17" s="304" t="str">
        <f t="shared" si="3"/>
        <v/>
      </c>
    </row>
    <row r="18" spans="1:12" x14ac:dyDescent="0.25">
      <c r="A18" s="303">
        <v>14</v>
      </c>
      <c r="B18" s="295"/>
      <c r="C18" s="366"/>
      <c r="D18" s="366"/>
      <c r="E18" s="297" t="str">
        <f>IF($B18="","",SUMIF('5. Kosten uitvoering project'!$B$6:$U$250,B18,'5. Kosten uitvoering project'!$R$6:$R$250))</f>
        <v/>
      </c>
      <c r="F18" s="304" t="str">
        <f>IF($B18="","",SUMIF('5. Kosten uitvoering project'!$B$6:$U$250,B18,'5. Kosten uitvoering project'!$S$6:$S$250))</f>
        <v/>
      </c>
      <c r="G18" s="305" t="str">
        <f t="shared" si="0"/>
        <v/>
      </c>
      <c r="H18" s="306" t="str">
        <f t="shared" si="1"/>
        <v/>
      </c>
      <c r="I18" s="307"/>
      <c r="J18" s="307"/>
      <c r="K18" s="301" t="str">
        <f t="shared" si="2"/>
        <v/>
      </c>
      <c r="L18" s="304" t="str">
        <f t="shared" si="3"/>
        <v/>
      </c>
    </row>
    <row r="19" spans="1:12" x14ac:dyDescent="0.25">
      <c r="A19" s="303">
        <v>15</v>
      </c>
      <c r="B19" s="295"/>
      <c r="C19" s="366"/>
      <c r="D19" s="366"/>
      <c r="E19" s="297" t="str">
        <f>IF($B19="","",SUMIF('5. Kosten uitvoering project'!$B$6:$U$250,B19,'5. Kosten uitvoering project'!$R$6:$R$250))</f>
        <v/>
      </c>
      <c r="F19" s="304" t="str">
        <f>IF($B19="","",SUMIF('5. Kosten uitvoering project'!$B$6:$U$250,B19,'5. Kosten uitvoering project'!$S$6:$S$250))</f>
        <v/>
      </c>
      <c r="G19" s="305" t="str">
        <f t="shared" si="0"/>
        <v/>
      </c>
      <c r="H19" s="306" t="str">
        <f t="shared" si="1"/>
        <v/>
      </c>
      <c r="I19" s="307"/>
      <c r="J19" s="307"/>
      <c r="K19" s="301" t="str">
        <f t="shared" si="2"/>
        <v/>
      </c>
      <c r="L19" s="304" t="str">
        <f t="shared" si="3"/>
        <v/>
      </c>
    </row>
    <row r="20" spans="1:12" x14ac:dyDescent="0.25">
      <c r="A20" s="303">
        <v>16</v>
      </c>
      <c r="B20" s="295"/>
      <c r="C20" s="366"/>
      <c r="D20" s="366"/>
      <c r="E20" s="297" t="str">
        <f>IF($B20="","",SUMIF('5. Kosten uitvoering project'!$B$6:$U$250,B20,'5. Kosten uitvoering project'!$R$6:$R$250))</f>
        <v/>
      </c>
      <c r="F20" s="304" t="str">
        <f>IF($B20="","",SUMIF('5. Kosten uitvoering project'!$B$6:$U$250,B20,'5. Kosten uitvoering project'!$S$6:$S$250))</f>
        <v/>
      </c>
      <c r="G20" s="305" t="str">
        <f t="shared" si="0"/>
        <v/>
      </c>
      <c r="H20" s="306" t="str">
        <f t="shared" si="1"/>
        <v/>
      </c>
      <c r="I20" s="307"/>
      <c r="J20" s="307"/>
      <c r="K20" s="301" t="str">
        <f t="shared" si="2"/>
        <v/>
      </c>
      <c r="L20" s="304" t="str">
        <f t="shared" si="3"/>
        <v/>
      </c>
    </row>
    <row r="21" spans="1:12" x14ac:dyDescent="0.25">
      <c r="A21" s="303">
        <v>17</v>
      </c>
      <c r="B21" s="295"/>
      <c r="C21" s="366"/>
      <c r="D21" s="366"/>
      <c r="E21" s="297" t="str">
        <f>IF($B21="","",SUMIF('5. Kosten uitvoering project'!$B$6:$U$250,B21,'5. Kosten uitvoering project'!$R$6:$R$250))</f>
        <v/>
      </c>
      <c r="F21" s="304" t="str">
        <f>IF($B21="","",SUMIF('5. Kosten uitvoering project'!$B$6:$U$250,B21,'5. Kosten uitvoering project'!$S$6:$S$250))</f>
        <v/>
      </c>
      <c r="G21" s="305" t="str">
        <f t="shared" si="0"/>
        <v/>
      </c>
      <c r="H21" s="306" t="str">
        <f t="shared" si="1"/>
        <v/>
      </c>
      <c r="I21" s="307"/>
      <c r="J21" s="307"/>
      <c r="K21" s="301" t="str">
        <f t="shared" si="2"/>
        <v/>
      </c>
      <c r="L21" s="304" t="str">
        <f t="shared" si="3"/>
        <v/>
      </c>
    </row>
    <row r="22" spans="1:12" x14ac:dyDescent="0.25">
      <c r="A22" s="303">
        <v>18</v>
      </c>
      <c r="B22" s="295"/>
      <c r="C22" s="366"/>
      <c r="D22" s="366"/>
      <c r="E22" s="297" t="str">
        <f>IF($B22="","",SUMIF('5. Kosten uitvoering project'!$B$6:$U$250,B22,'5. Kosten uitvoering project'!$R$6:$R$250))</f>
        <v/>
      </c>
      <c r="F22" s="304" t="str">
        <f>IF($B22="","",SUMIF('5. Kosten uitvoering project'!$B$6:$U$250,B22,'5. Kosten uitvoering project'!$S$6:$S$250))</f>
        <v/>
      </c>
      <c r="G22" s="305" t="str">
        <f t="shared" si="0"/>
        <v/>
      </c>
      <c r="H22" s="306" t="str">
        <f t="shared" si="1"/>
        <v/>
      </c>
      <c r="I22" s="307"/>
      <c r="J22" s="307"/>
      <c r="K22" s="301" t="str">
        <f t="shared" si="2"/>
        <v/>
      </c>
      <c r="L22" s="304" t="str">
        <f t="shared" si="3"/>
        <v/>
      </c>
    </row>
    <row r="23" spans="1:12" x14ac:dyDescent="0.25">
      <c r="A23" s="303">
        <v>19</v>
      </c>
      <c r="B23" s="295"/>
      <c r="C23" s="366"/>
      <c r="D23" s="366"/>
      <c r="E23" s="297" t="str">
        <f>IF($B23="","",SUMIF('5. Kosten uitvoering project'!$B$6:$U$250,B23,'5. Kosten uitvoering project'!$R$6:$R$250))</f>
        <v/>
      </c>
      <c r="F23" s="304" t="str">
        <f>IF($B23="","",SUMIF('5. Kosten uitvoering project'!$B$6:$U$250,B23,'5. Kosten uitvoering project'!$S$6:$S$250))</f>
        <v/>
      </c>
      <c r="G23" s="305" t="str">
        <f t="shared" si="0"/>
        <v/>
      </c>
      <c r="H23" s="306" t="str">
        <f t="shared" si="1"/>
        <v/>
      </c>
      <c r="I23" s="307"/>
      <c r="J23" s="307"/>
      <c r="K23" s="301" t="str">
        <f t="shared" si="2"/>
        <v/>
      </c>
      <c r="L23" s="304" t="str">
        <f t="shared" si="3"/>
        <v/>
      </c>
    </row>
    <row r="24" spans="1:12" x14ac:dyDescent="0.25">
      <c r="A24" s="303">
        <v>20</v>
      </c>
      <c r="B24" s="295"/>
      <c r="C24" s="366"/>
      <c r="D24" s="366"/>
      <c r="E24" s="297" t="str">
        <f>IF($B24="","",SUMIF('5. Kosten uitvoering project'!$B$6:$U$250,B24,'5. Kosten uitvoering project'!$R$6:$R$250))</f>
        <v/>
      </c>
      <c r="F24" s="304" t="str">
        <f>IF($B24="","",SUMIF('5. Kosten uitvoering project'!$B$6:$U$250,B24,'5. Kosten uitvoering project'!$S$6:$S$250))</f>
        <v/>
      </c>
      <c r="G24" s="305" t="str">
        <f t="shared" si="0"/>
        <v/>
      </c>
      <c r="H24" s="306" t="str">
        <f t="shared" si="1"/>
        <v/>
      </c>
      <c r="I24" s="307"/>
      <c r="J24" s="307"/>
      <c r="K24" s="301" t="str">
        <f t="shared" si="2"/>
        <v/>
      </c>
      <c r="L24" s="304" t="str">
        <f t="shared" si="3"/>
        <v/>
      </c>
    </row>
    <row r="25" spans="1:12" x14ac:dyDescent="0.25">
      <c r="A25" s="303">
        <v>21</v>
      </c>
      <c r="B25" s="295"/>
      <c r="C25" s="366"/>
      <c r="D25" s="366"/>
      <c r="E25" s="297" t="str">
        <f>IF($B25="","",SUMIF('5. Kosten uitvoering project'!$B$6:$U$250,B25,'5. Kosten uitvoering project'!$R$6:$R$250))</f>
        <v/>
      </c>
      <c r="F25" s="304" t="str">
        <f>IF($B25="","",SUMIF('5. Kosten uitvoering project'!$B$6:$U$250,B25,'5. Kosten uitvoering project'!$S$6:$S$250))</f>
        <v/>
      </c>
      <c r="G25" s="305" t="str">
        <f t="shared" si="0"/>
        <v/>
      </c>
      <c r="H25" s="306" t="str">
        <f t="shared" si="1"/>
        <v/>
      </c>
      <c r="I25" s="307"/>
      <c r="J25" s="307"/>
      <c r="K25" s="301" t="str">
        <f t="shared" si="2"/>
        <v/>
      </c>
      <c r="L25" s="304" t="str">
        <f t="shared" si="3"/>
        <v/>
      </c>
    </row>
    <row r="26" spans="1:12" x14ac:dyDescent="0.25">
      <c r="A26" s="303">
        <v>22</v>
      </c>
      <c r="B26" s="295"/>
      <c r="C26" s="366"/>
      <c r="D26" s="366"/>
      <c r="E26" s="297" t="str">
        <f>IF($B26="","",SUMIF('5. Kosten uitvoering project'!$B$6:$U$250,B26,'5. Kosten uitvoering project'!$R$6:$R$250))</f>
        <v/>
      </c>
      <c r="F26" s="304" t="str">
        <f>IF($B26="","",SUMIF('5. Kosten uitvoering project'!$B$6:$U$250,B26,'5. Kosten uitvoering project'!$S$6:$S$250))</f>
        <v/>
      </c>
      <c r="G26" s="305" t="str">
        <f t="shared" si="0"/>
        <v/>
      </c>
      <c r="H26" s="306" t="str">
        <f t="shared" si="1"/>
        <v/>
      </c>
      <c r="I26" s="307"/>
      <c r="J26" s="307"/>
      <c r="K26" s="301" t="str">
        <f t="shared" si="2"/>
        <v/>
      </c>
      <c r="L26" s="304" t="str">
        <f t="shared" si="3"/>
        <v/>
      </c>
    </row>
    <row r="27" spans="1:12" x14ac:dyDescent="0.25">
      <c r="A27" s="303">
        <v>23</v>
      </c>
      <c r="B27" s="295"/>
      <c r="C27" s="366"/>
      <c r="D27" s="366"/>
      <c r="E27" s="297" t="str">
        <f>IF($B27="","",SUMIF('5. Kosten uitvoering project'!$B$6:$U$250,B27,'5. Kosten uitvoering project'!$R$6:$R$250))</f>
        <v/>
      </c>
      <c r="F27" s="304" t="str">
        <f>IF($B27="","",SUMIF('5. Kosten uitvoering project'!$B$6:$U$250,B27,'5. Kosten uitvoering project'!$S$6:$S$250))</f>
        <v/>
      </c>
      <c r="G27" s="305" t="str">
        <f t="shared" si="0"/>
        <v/>
      </c>
      <c r="H27" s="306" t="str">
        <f t="shared" si="1"/>
        <v/>
      </c>
      <c r="I27" s="307"/>
      <c r="J27" s="307"/>
      <c r="K27" s="301" t="str">
        <f t="shared" si="2"/>
        <v/>
      </c>
      <c r="L27" s="304" t="str">
        <f t="shared" si="3"/>
        <v/>
      </c>
    </row>
    <row r="28" spans="1:12" x14ac:dyDescent="0.25">
      <c r="A28" s="303">
        <v>24</v>
      </c>
      <c r="B28" s="295"/>
      <c r="C28" s="366"/>
      <c r="D28" s="366"/>
      <c r="E28" s="297" t="str">
        <f>IF($B28="","",SUMIF('5. Kosten uitvoering project'!$B$6:$U$250,B28,'5. Kosten uitvoering project'!$R$6:$R$250))</f>
        <v/>
      </c>
      <c r="F28" s="304" t="str">
        <f>IF($B28="","",SUMIF('5. Kosten uitvoering project'!$B$6:$U$250,B28,'5. Kosten uitvoering project'!$S$6:$S$250))</f>
        <v/>
      </c>
      <c r="G28" s="305" t="str">
        <f t="shared" si="0"/>
        <v/>
      </c>
      <c r="H28" s="306" t="str">
        <f t="shared" si="1"/>
        <v/>
      </c>
      <c r="I28" s="307"/>
      <c r="J28" s="307"/>
      <c r="K28" s="301" t="str">
        <f t="shared" si="2"/>
        <v/>
      </c>
      <c r="L28" s="304" t="str">
        <f t="shared" si="3"/>
        <v/>
      </c>
    </row>
    <row r="29" spans="1:12" x14ac:dyDescent="0.25">
      <c r="A29" s="303">
        <v>25</v>
      </c>
      <c r="B29" s="295"/>
      <c r="C29" s="366"/>
      <c r="D29" s="366"/>
      <c r="E29" s="297" t="str">
        <f>IF($B29="","",SUMIF('5. Kosten uitvoering project'!$B$6:$U$250,B29,'5. Kosten uitvoering project'!$R$6:$R$250))</f>
        <v/>
      </c>
      <c r="F29" s="304" t="str">
        <f>IF($B29="","",SUMIF('5. Kosten uitvoering project'!$B$6:$U$250,B29,'5. Kosten uitvoering project'!$S$6:$S$250))</f>
        <v/>
      </c>
      <c r="G29" s="305" t="str">
        <f t="shared" si="0"/>
        <v/>
      </c>
      <c r="H29" s="306" t="str">
        <f t="shared" si="1"/>
        <v/>
      </c>
      <c r="I29" s="307"/>
      <c r="J29" s="307"/>
      <c r="K29" s="301" t="str">
        <f t="shared" si="2"/>
        <v/>
      </c>
      <c r="L29" s="304" t="str">
        <f t="shared" si="3"/>
        <v/>
      </c>
    </row>
    <row r="30" spans="1:12" x14ac:dyDescent="0.25">
      <c r="A30" s="303">
        <v>26</v>
      </c>
      <c r="B30" s="295"/>
      <c r="C30" s="366"/>
      <c r="D30" s="366"/>
      <c r="E30" s="297" t="str">
        <f>IF($B30="","",SUMIF('5. Kosten uitvoering project'!$B$6:$U$250,B30,'5. Kosten uitvoering project'!$R$6:$R$250))</f>
        <v/>
      </c>
      <c r="F30" s="304" t="str">
        <f>IF($B30="","",SUMIF('5. Kosten uitvoering project'!$B$6:$U$250,B30,'5. Kosten uitvoering project'!$S$6:$S$250))</f>
        <v/>
      </c>
      <c r="G30" s="305" t="str">
        <f t="shared" si="0"/>
        <v/>
      </c>
      <c r="H30" s="306" t="str">
        <f t="shared" si="1"/>
        <v/>
      </c>
      <c r="I30" s="307"/>
      <c r="J30" s="307"/>
      <c r="K30" s="301" t="str">
        <f t="shared" si="2"/>
        <v/>
      </c>
      <c r="L30" s="304" t="str">
        <f t="shared" si="3"/>
        <v/>
      </c>
    </row>
    <row r="31" spans="1:12" x14ac:dyDescent="0.25">
      <c r="A31" s="303">
        <v>27</v>
      </c>
      <c r="B31" s="295"/>
      <c r="C31" s="366"/>
      <c r="D31" s="366"/>
      <c r="E31" s="297" t="str">
        <f>IF($B31="","",SUMIF('5. Kosten uitvoering project'!$B$6:$U$250,B31,'5. Kosten uitvoering project'!$R$6:$R$250))</f>
        <v/>
      </c>
      <c r="F31" s="304" t="str">
        <f>IF($B31="","",SUMIF('5. Kosten uitvoering project'!$B$6:$U$250,B31,'5. Kosten uitvoering project'!$S$6:$S$250))</f>
        <v/>
      </c>
      <c r="G31" s="305" t="str">
        <f t="shared" si="0"/>
        <v/>
      </c>
      <c r="H31" s="306" t="str">
        <f t="shared" si="1"/>
        <v/>
      </c>
      <c r="I31" s="307"/>
      <c r="J31" s="307"/>
      <c r="K31" s="301" t="str">
        <f t="shared" si="2"/>
        <v/>
      </c>
      <c r="L31" s="304" t="str">
        <f t="shared" si="3"/>
        <v/>
      </c>
    </row>
    <row r="32" spans="1:12" x14ac:dyDescent="0.25">
      <c r="A32" s="303">
        <v>28</v>
      </c>
      <c r="B32" s="295"/>
      <c r="C32" s="366"/>
      <c r="D32" s="366"/>
      <c r="E32" s="297" t="str">
        <f>IF($B32="","",SUMIF('5. Kosten uitvoering project'!$B$6:$U$250,B32,'5. Kosten uitvoering project'!$R$6:$R$250))</f>
        <v/>
      </c>
      <c r="F32" s="304" t="str">
        <f>IF($B32="","",SUMIF('5. Kosten uitvoering project'!$B$6:$U$250,B32,'5. Kosten uitvoering project'!$S$6:$S$250))</f>
        <v/>
      </c>
      <c r="G32" s="305" t="str">
        <f t="shared" si="0"/>
        <v/>
      </c>
      <c r="H32" s="306" t="str">
        <f t="shared" si="1"/>
        <v/>
      </c>
      <c r="I32" s="307"/>
      <c r="J32" s="307"/>
      <c r="K32" s="301" t="str">
        <f t="shared" si="2"/>
        <v/>
      </c>
      <c r="L32" s="304" t="str">
        <f t="shared" si="3"/>
        <v/>
      </c>
    </row>
    <row r="33" spans="1:12" x14ac:dyDescent="0.25">
      <c r="A33" s="303">
        <v>29</v>
      </c>
      <c r="B33" s="295"/>
      <c r="C33" s="366"/>
      <c r="D33" s="366"/>
      <c r="E33" s="297" t="str">
        <f>IF($B33="","",SUMIF('5. Kosten uitvoering project'!$B$6:$U$250,B33,'5. Kosten uitvoering project'!$R$6:$R$250))</f>
        <v/>
      </c>
      <c r="F33" s="304" t="str">
        <f>IF($B33="","",SUMIF('5. Kosten uitvoering project'!$B$6:$U$250,B33,'5. Kosten uitvoering project'!$S$6:$S$250))</f>
        <v/>
      </c>
      <c r="G33" s="305" t="str">
        <f t="shared" si="0"/>
        <v/>
      </c>
      <c r="H33" s="306" t="str">
        <f t="shared" si="1"/>
        <v/>
      </c>
      <c r="I33" s="307"/>
      <c r="J33" s="307"/>
      <c r="K33" s="301" t="str">
        <f t="shared" si="2"/>
        <v/>
      </c>
      <c r="L33" s="304" t="str">
        <f t="shared" si="3"/>
        <v/>
      </c>
    </row>
    <row r="34" spans="1:12" x14ac:dyDescent="0.25">
      <c r="A34" s="303">
        <v>30</v>
      </c>
      <c r="B34" s="295"/>
      <c r="C34" s="366"/>
      <c r="D34" s="366"/>
      <c r="E34" s="297" t="str">
        <f>IF($B34="","",SUMIF('5. Kosten uitvoering project'!$B$6:$U$250,B34,'5. Kosten uitvoering project'!$R$6:$R$250))</f>
        <v/>
      </c>
      <c r="F34" s="304" t="str">
        <f>IF($B34="","",SUMIF('5. Kosten uitvoering project'!$B$6:$U$250,B34,'5. Kosten uitvoering project'!$S$6:$S$250))</f>
        <v/>
      </c>
      <c r="G34" s="305" t="str">
        <f t="shared" si="0"/>
        <v/>
      </c>
      <c r="H34" s="306" t="str">
        <f t="shared" si="1"/>
        <v/>
      </c>
      <c r="I34" s="307"/>
      <c r="J34" s="307"/>
      <c r="K34" s="301" t="str">
        <f t="shared" si="2"/>
        <v/>
      </c>
      <c r="L34" s="304" t="str">
        <f t="shared" si="3"/>
        <v/>
      </c>
    </row>
    <row r="35" spans="1:12" ht="15" customHeight="1" x14ac:dyDescent="0.25">
      <c r="A35" s="29"/>
      <c r="B35" s="8" t="s">
        <v>31</v>
      </c>
      <c r="C35" s="8"/>
      <c r="D35" s="8"/>
      <c r="E35" s="9">
        <f>SUM(E5:E34)</f>
        <v>0</v>
      </c>
      <c r="F35" s="9">
        <f>SUM(F5:F34)</f>
        <v>0</v>
      </c>
      <c r="G35" s="13">
        <f>SUM(G5:G34)</f>
        <v>0</v>
      </c>
      <c r="H35" s="13">
        <f>SUM(H5:H34)</f>
        <v>0</v>
      </c>
      <c r="I35" s="9"/>
      <c r="J35" s="9"/>
      <c r="K35" s="9"/>
      <c r="L35" s="9"/>
    </row>
    <row r="36" spans="1:12" ht="15" customHeight="1" x14ac:dyDescent="0.25">
      <c r="A36" s="30"/>
      <c r="B36" s="61" t="str">
        <f ca="1">IF(E36&lt;&gt;"","Kosten nog toe te kennen aan een projectdeelnemer","")</f>
        <v/>
      </c>
      <c r="C36" s="8"/>
      <c r="D36" s="9"/>
      <c r="E36" s="59" t="str">
        <f ca="1">IF(ROUND(E38-E35-SUM(E37),2)&lt;&gt;0,E38-E35-SUM(E37),"")</f>
        <v/>
      </c>
      <c r="F36" s="59" t="str">
        <f ca="1">IF(ROUND(F38-F35-SUM(F37),2)&lt;&gt;0,F38-F35-SUM(F37),"")</f>
        <v/>
      </c>
      <c r="G36" s="59"/>
      <c r="H36" s="9"/>
      <c r="I36" s="9"/>
      <c r="J36" s="9"/>
      <c r="K36" s="9"/>
      <c r="L36" s="9"/>
    </row>
    <row r="37" spans="1:12" ht="15" customHeight="1" x14ac:dyDescent="0.25">
      <c r="A37" s="30"/>
      <c r="B37" s="8" t="str">
        <f>IF(OR(E37&lt;&gt;"",F37&lt;&gt;""),"Forfait op basis van opgegeven kosten","")</f>
        <v/>
      </c>
      <c r="C37" s="8"/>
      <c r="D37" s="9"/>
      <c r="E37" s="9" t="str">
        <f>IF(Forfait_Aanvraag&lt;&gt;0,Forfait_Aanvraag,"")</f>
        <v/>
      </c>
      <c r="F37" s="9" t="str">
        <f>IF(Beoord_Forfait_Aanvraag&lt;&gt;0,Beoord_Forfait_Aanvraag,"")</f>
        <v/>
      </c>
      <c r="G37" s="9"/>
      <c r="H37" s="9"/>
      <c r="I37" s="9"/>
      <c r="J37" s="9"/>
      <c r="K37" s="9"/>
      <c r="L37" s="9"/>
    </row>
    <row r="38" spans="1:12" ht="15" customHeight="1" x14ac:dyDescent="0.25">
      <c r="A38" s="31"/>
      <c r="B38" s="8" t="s">
        <v>79</v>
      </c>
      <c r="C38" s="8"/>
      <c r="D38" s="8"/>
      <c r="E38" s="9">
        <f ca="1">Totaal_Project</f>
        <v>0</v>
      </c>
      <c r="F38" s="9">
        <f ca="1">Beoord_Totaal_Project</f>
        <v>0</v>
      </c>
      <c r="G38" s="9"/>
      <c r="H38" s="8"/>
      <c r="I38" s="9"/>
      <c r="J38" s="9"/>
      <c r="K38" s="8"/>
      <c r="L38" s="8"/>
    </row>
    <row r="39" spans="1:12" ht="3" customHeight="1" x14ac:dyDescent="0.25">
      <c r="A39" s="31"/>
      <c r="B39" s="8"/>
      <c r="C39" s="8"/>
      <c r="D39" s="8"/>
      <c r="E39" s="9"/>
      <c r="F39" s="9"/>
      <c r="G39" s="9"/>
      <c r="H39" s="8"/>
      <c r="I39" s="9"/>
      <c r="J39" s="9"/>
      <c r="K39" s="8"/>
      <c r="L39" s="8"/>
    </row>
    <row r="40" spans="1:12" ht="15" customHeight="1" x14ac:dyDescent="0.25">
      <c r="A40" s="31"/>
      <c r="B40" s="8" t="s">
        <v>32</v>
      </c>
      <c r="C40" s="8"/>
      <c r="D40" s="8"/>
      <c r="E40" s="9"/>
      <c r="F40" s="9"/>
      <c r="G40" s="9"/>
      <c r="H40" s="8"/>
      <c r="I40" s="13">
        <f>SUM(I5:I34)</f>
        <v>0</v>
      </c>
      <c r="J40" s="13">
        <f>SUM(J5:J34)</f>
        <v>0</v>
      </c>
      <c r="K40" s="9">
        <f>SUM(K5:K34)</f>
        <v>0</v>
      </c>
      <c r="L40" s="9">
        <f>SUM(L5:L34)</f>
        <v>0</v>
      </c>
    </row>
    <row r="41" spans="1:12" ht="3" customHeight="1" x14ac:dyDescent="0.25">
      <c r="A41" s="31"/>
      <c r="B41" s="8"/>
      <c r="C41" s="8"/>
      <c r="D41" s="8"/>
      <c r="E41" s="9"/>
      <c r="F41" s="9"/>
      <c r="G41" s="9"/>
      <c r="H41" s="8"/>
      <c r="I41" s="13"/>
      <c r="J41" s="13"/>
      <c r="K41" s="9"/>
      <c r="L41" s="9"/>
    </row>
    <row r="42" spans="1:12" ht="15" customHeight="1" x14ac:dyDescent="0.25">
      <c r="A42" s="31"/>
      <c r="B42" s="8" t="s">
        <v>15</v>
      </c>
      <c r="C42" s="8"/>
      <c r="D42" s="8"/>
      <c r="E42" s="9"/>
      <c r="F42" s="9"/>
      <c r="G42" s="9"/>
      <c r="H42" s="8"/>
      <c r="I42" s="9"/>
      <c r="J42" s="9"/>
      <c r="K42" s="9">
        <f ca="1">IF(AND(Subsidie_Aanvraag_Min&lt;Subsidie_Aanvraag,Subsidie_Aanvraag_Min&lt;&gt;"",Subsidie_Aanvraag_Min&lt;&gt;0),Subsidie_Aanvraag_Min,Subsidie_Aanvraag)</f>
        <v>0</v>
      </c>
      <c r="L42" s="9">
        <f ca="1">IF(AND(Beoord_Subsidie_Aanvraag_Min&lt;Beoord_Subsidie_Aanvraag,Beoord_Subsidie_Aanvraag_Min&lt;&gt;"",Beoord_Subsidie_Aanvraag_Min&lt;&gt;0),Beoord_Subsidie_Aanvraag_Min,Beoord_Subsidie_Aanvraag)</f>
        <v>0</v>
      </c>
    </row>
    <row r="51" ht="15" customHeight="1" x14ac:dyDescent="0.25"/>
  </sheetData>
  <sheetProtection algorithmName="SHA-512" hashValue="sIpKBMnX3wVXtrcn0TSoCTq+URiLte/Kx4sl+D8Llmcev/smyyTb7iy/w6bsKawiBvUwKuu/7DMHCd+YOQKrZQ==" saltValue="uw5oFPpTTuUVCnrv3UPRAw==" spinCount="100000" sheet="1" objects="1" scenarios="1"/>
  <mergeCells count="4">
    <mergeCell ref="E3:F3"/>
    <mergeCell ref="G3:H3"/>
    <mergeCell ref="I3:J3"/>
    <mergeCell ref="K3:L3"/>
  </mergeCells>
  <phoneticPr fontId="4" type="noConversion"/>
  <conditionalFormatting sqref="B5:B34">
    <cfRule type="cellIs" dxfId="179" priority="4" operator="equal">
      <formula>""</formula>
    </cfRule>
  </conditionalFormatting>
  <conditionalFormatting sqref="B35:F35">
    <cfRule type="expression" dxfId="178" priority="9">
      <formula>$E$36&lt;&gt;""</formula>
    </cfRule>
  </conditionalFormatting>
  <conditionalFormatting sqref="H36:H37">
    <cfRule type="expression" dxfId="177" priority="7">
      <formula>$D$35&lt;&gt;$D$38</formula>
    </cfRule>
  </conditionalFormatting>
  <conditionalFormatting sqref="I40:J40">
    <cfRule type="expression" dxfId="176" priority="2">
      <formula>AND(K$42&gt;0,ROUND(I$40,4)&lt;&gt;1)</formula>
    </cfRule>
  </conditionalFormatting>
  <conditionalFormatting sqref="K40">
    <cfRule type="expression" dxfId="175" priority="1">
      <formula>$K$40&lt;&gt;$K$42</formula>
    </cfRule>
  </conditionalFormatting>
  <conditionalFormatting sqref="L40">
    <cfRule type="expression" dxfId="174" priority="115">
      <formula>$L$40&lt;&gt;$L$42</formula>
    </cfRule>
  </conditionalFormatting>
  <dataValidations count="2">
    <dataValidation type="decimal" allowBlank="1" showInputMessage="1" showErrorMessage="1" sqref="I5:J34" xr:uid="{370F2516-D9D4-4341-A8F8-BA7C5EFC2EE2}">
      <formula1>0</formula1>
      <formula2>100</formula2>
    </dataValidation>
    <dataValidation type="textLength" operator="lessThanOrEqual" allowBlank="1" showInputMessage="1" showErrorMessage="1" errorTitle="Tekstveld limiet" error="Maximaal 120 tekens toegestaan" sqref="B5:B34" xr:uid="{FFC864E1-3916-4DA7-A09E-4849AF7E5B15}">
      <formula1>120</formula1>
    </dataValidation>
  </dataValidations>
  <pageMargins left="0.70866141732283472" right="0.70866141732283472" top="0.74803149606299213" bottom="0.74803149606299213" header="0.31496062992125984" footer="0.31496062992125984"/>
  <pageSetup paperSize="9" scale="77" orientation="landscape" r:id="rId1"/>
  <headerFooter>
    <oddFooter>&amp;LVersie: september 2023&amp;C&amp;A&amp;R&amp;P 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C162D-6FF1-417F-8073-927E1574B43F}">
  <sheetPr codeName="Blad7">
    <tabColor theme="8" tint="0.79998168889431442"/>
  </sheetPr>
  <dimension ref="A1:L42"/>
  <sheetViews>
    <sheetView showGridLines="0" zoomScaleNormal="100" workbookViewId="0">
      <pane xSplit="1" ySplit="4" topLeftCell="B27" activePane="bottomRight" state="frozen"/>
      <selection activeCell="O25" sqref="O25"/>
      <selection pane="topRight" activeCell="O25" sqref="O25"/>
      <selection pane="bottomLeft" activeCell="O25" sqref="O25"/>
      <selection pane="bottomRight" activeCell="B36" sqref="B36"/>
    </sheetView>
  </sheetViews>
  <sheetFormatPr defaultColWidth="0" defaultRowHeight="15" zeroHeight="1" x14ac:dyDescent="0.25"/>
  <cols>
    <col min="1" max="1" width="5.7109375" style="28" customWidth="1"/>
    <col min="2" max="2" width="44.5703125" style="25" customWidth="1"/>
    <col min="3" max="3" width="54.85546875" style="25" customWidth="1"/>
    <col min="4" max="4" width="18.7109375" style="25" customWidth="1"/>
    <col min="5" max="5" width="18.7109375" style="25" hidden="1" customWidth="1"/>
    <col min="6" max="7" width="17.7109375" style="25" customWidth="1"/>
    <col min="8" max="9" width="18.7109375" style="25" customWidth="1"/>
    <col min="10" max="10" width="22.7109375" style="25" customWidth="1"/>
    <col min="11" max="11" width="19.7109375" style="25" hidden="1" customWidth="1"/>
    <col min="12" max="12" width="66.42578125" style="25" customWidth="1"/>
    <col min="13" max="16384" width="9.140625" style="25" hidden="1"/>
  </cols>
  <sheetData>
    <row r="1" spans="1:12" ht="15" customHeight="1" x14ac:dyDescent="0.25">
      <c r="A1" s="118"/>
      <c r="B1" s="237" t="s">
        <v>555</v>
      </c>
      <c r="C1" s="245"/>
      <c r="D1" s="238"/>
      <c r="E1" s="238"/>
      <c r="F1" s="238"/>
      <c r="G1" s="238"/>
      <c r="H1" s="238"/>
      <c r="I1" s="238"/>
      <c r="J1" s="238"/>
      <c r="K1" s="238"/>
      <c r="L1" s="239"/>
    </row>
    <row r="2" spans="1:12" ht="15" customHeight="1" x14ac:dyDescent="0.25">
      <c r="A2" s="120"/>
      <c r="B2" s="246" t="s">
        <v>20</v>
      </c>
      <c r="C2" s="474" t="str">
        <f>IF(OR('1. Aanvraaggegevens'!C8="",'1. Aanvraaggegevens'!C8=0),"Kies een berekeningsmethode op tabblad '1. Aanvraaggegevens'",'1. Aanvraaggegevens'!C8)</f>
        <v>Kies een berekeningsmethode op tabblad '1. Aanvraaggegevens'</v>
      </c>
      <c r="D2" s="247"/>
      <c r="E2" s="247"/>
      <c r="F2" s="247"/>
      <c r="G2" s="247"/>
      <c r="H2" s="247"/>
      <c r="I2" s="247"/>
      <c r="J2" s="247"/>
      <c r="K2" s="247"/>
      <c r="L2" s="248"/>
    </row>
    <row r="3" spans="1:12" ht="45.75" customHeight="1" x14ac:dyDescent="0.25">
      <c r="A3" s="385"/>
      <c r="B3" s="385"/>
      <c r="C3" s="384"/>
      <c r="D3" s="383" t="str">
        <f>IF(OR(LEFT(Methode_Keuze,4)="Geen",Methode_Keuze=""),"Kosten","Kosten"&amp;CHAR(10)&amp;"(exclusief forfait)")</f>
        <v>Kosten</v>
      </c>
      <c r="E3" s="384"/>
      <c r="F3" s="383" t="str">
        <f>IF(OR(LEFT(Methode_Keuze,4)="Geen",Methode_Keuze=""),"Verdeling kosten naar rato","Verdeling kosten naar rato"&amp;CHAR(10)&amp;"(exclusief forfait)")</f>
        <v>Verdeling kosten naar rato</v>
      </c>
      <c r="G3" s="384"/>
      <c r="H3" s="383" t="str">
        <f>IF(OR(LEFT(Methode_Keuze,4)="Geen",Methode_Keuze=""),"Subsidie naar rato van kosten","Subsidie naar rato van kosten"&amp;CHAR(10)&amp;"(inclusief forfait)")</f>
        <v>Subsidie naar rato van kosten</v>
      </c>
      <c r="I3" s="384"/>
      <c r="J3" s="383" t="str">
        <f>IF(OR(LEFT(Methode_Keuze,4)="Geen",Methode_Keuze=""),"Eigen verdeling subsidie per deelprestatie","Eigen verdeling subsidie per deelprestatie"&amp;CHAR(10)&amp;"(inclusief forfait)")</f>
        <v>Eigen verdeling subsidie per deelprestatie</v>
      </c>
      <c r="K3" s="384"/>
      <c r="L3" s="244"/>
    </row>
    <row r="4" spans="1:12" s="32" customFormat="1" ht="30" x14ac:dyDescent="0.25">
      <c r="A4" s="117" t="s">
        <v>134</v>
      </c>
      <c r="B4" s="116" t="s">
        <v>70</v>
      </c>
      <c r="C4" s="116" t="s">
        <v>39</v>
      </c>
      <c r="D4" s="71" t="s">
        <v>60</v>
      </c>
      <c r="E4" s="71" t="s">
        <v>59</v>
      </c>
      <c r="F4" s="71" t="s">
        <v>60</v>
      </c>
      <c r="G4" s="71" t="s">
        <v>59</v>
      </c>
      <c r="H4" s="71" t="s">
        <v>60</v>
      </c>
      <c r="I4" s="71" t="s">
        <v>59</v>
      </c>
      <c r="J4" s="71" t="s">
        <v>60</v>
      </c>
      <c r="K4" s="71" t="s">
        <v>59</v>
      </c>
      <c r="L4" s="70" t="s">
        <v>56</v>
      </c>
    </row>
    <row r="5" spans="1:12" x14ac:dyDescent="0.25">
      <c r="A5" s="303">
        <v>1</v>
      </c>
      <c r="B5" s="295"/>
      <c r="C5" s="296"/>
      <c r="D5" s="297" t="str">
        <f>IF(OR($B5="",$B5="&lt;Vul in&gt;"),"",(SUMIF('5. Kosten uitvoering project'!$D$6:$D$251,B5,'5. Kosten uitvoering project'!$R$6:$R$251)))</f>
        <v/>
      </c>
      <c r="E5" s="298" t="str">
        <f>IF(OR($B5="",$B5="&lt;Vul in&gt;"),"",(SUMIF('5. Kosten uitvoering project'!$D$6:$D$251,B5,'5. Kosten uitvoering project'!$S$6:$S$251)))</f>
        <v/>
      </c>
      <c r="F5" s="299" t="str">
        <f t="shared" ref="F5:F34" si="0">IF(OR(D5="",D5=0),"",D5/Totaal_aangevraagd)</f>
        <v/>
      </c>
      <c r="G5" s="300" t="str">
        <f t="shared" ref="G5:G34" si="1">IF(OR(E5="",E5=0),"",E5/Totaal_Beoordeeld)</f>
        <v/>
      </c>
      <c r="H5" s="301" t="str">
        <f ca="1">IFERROR(ROUND(F5*J$42,2),"")</f>
        <v/>
      </c>
      <c r="I5" s="298" t="str">
        <f ca="1">IFERROR(ROUND(G5*K$42,2),"")</f>
        <v/>
      </c>
      <c r="J5" s="302"/>
      <c r="K5" s="302"/>
      <c r="L5" s="308" t="str" cm="1">
        <f t="array" ref="L5">_xlfn.IFNA(_xlfn.IFS(AND(OR(D5=0,D5=""),J5&lt;&gt;0),"Geef ook in de begroting  de kosten aan die horen bij deze deelprestatie."),"")</f>
        <v/>
      </c>
    </row>
    <row r="6" spans="1:12" x14ac:dyDescent="0.25">
      <c r="A6" s="303">
        <v>2</v>
      </c>
      <c r="B6" s="295"/>
      <c r="C6" s="296"/>
      <c r="D6" s="297" t="str">
        <f>IF(OR($B6="",$B6="&lt;Vul in&gt;"),"",(SUMIF('5. Kosten uitvoering project'!$D$6:$D$251,B6,'5. Kosten uitvoering project'!$R$6:$R$251)))</f>
        <v/>
      </c>
      <c r="E6" s="298" t="str">
        <f>IF(OR($B6="",$B6="&lt;Vul in&gt;"),"",(SUMIF('5. Kosten uitvoering project'!$D$6:$D$251,B6,'5. Kosten uitvoering project'!$S$6:$S$251)))</f>
        <v/>
      </c>
      <c r="F6" s="299" t="str">
        <f t="shared" si="0"/>
        <v/>
      </c>
      <c r="G6" s="300" t="str">
        <f t="shared" si="1"/>
        <v/>
      </c>
      <c r="H6" s="301" t="str">
        <f t="shared" ref="H6:I34" ca="1" si="2">IFERROR(ROUND(F6*J$42,2),"")</f>
        <v/>
      </c>
      <c r="I6" s="298" t="str">
        <f t="shared" ca="1" si="2"/>
        <v/>
      </c>
      <c r="J6" s="302"/>
      <c r="K6" s="302"/>
      <c r="L6" s="308" t="str" cm="1">
        <f t="array" ref="L6">_xlfn.IFNA(_xlfn.IFS(AND(OR(D6=0,D6=""),J6&lt;&gt;0),"Geef ook in de begroting  de kosten aan die horen bij deze deelprestatie."),"")</f>
        <v/>
      </c>
    </row>
    <row r="7" spans="1:12" x14ac:dyDescent="0.25">
      <c r="A7" s="303">
        <v>3</v>
      </c>
      <c r="B7" s="295"/>
      <c r="C7" s="296"/>
      <c r="D7" s="297" t="str">
        <f>IF(OR($B7="",$B7="&lt;Vul in&gt;"),"",(SUMIF('5. Kosten uitvoering project'!$D$6:$D$251,B7,'5. Kosten uitvoering project'!$R$6:$R$251)))</f>
        <v/>
      </c>
      <c r="E7" s="298" t="str">
        <f>IF(OR($B7="",$B7="&lt;Vul in&gt;"),"",(SUMIF('5. Kosten uitvoering project'!$D$6:$D$251,B7,'5. Kosten uitvoering project'!$S$6:$S$251)))</f>
        <v/>
      </c>
      <c r="F7" s="299" t="str">
        <f t="shared" si="0"/>
        <v/>
      </c>
      <c r="G7" s="300" t="str">
        <f t="shared" si="1"/>
        <v/>
      </c>
      <c r="H7" s="301" t="str">
        <f t="shared" ca="1" si="2"/>
        <v/>
      </c>
      <c r="I7" s="298" t="str">
        <f t="shared" ca="1" si="2"/>
        <v/>
      </c>
      <c r="J7" s="302"/>
      <c r="K7" s="302"/>
      <c r="L7" s="308" t="str" cm="1">
        <f t="array" ref="L7">_xlfn.IFNA(_xlfn.IFS(AND(OR(D7=0,D7=""),J7&lt;&gt;0),"Geef ook in de begroting  de kosten aan die horen bij deze deelprestatie."),"")</f>
        <v/>
      </c>
    </row>
    <row r="8" spans="1:12" x14ac:dyDescent="0.25">
      <c r="A8" s="303">
        <v>4</v>
      </c>
      <c r="B8" s="295"/>
      <c r="C8" s="296"/>
      <c r="D8" s="297" t="str">
        <f>IF(OR($B8="",$B8="&lt;Vul in&gt;"),"",(SUMIF('5. Kosten uitvoering project'!$D$6:$D$251,B8,'5. Kosten uitvoering project'!$R$6:$R$251)))</f>
        <v/>
      </c>
      <c r="E8" s="298" t="str">
        <f>IF(OR($B8="",$B8="&lt;Vul in&gt;"),"",(SUMIF('5. Kosten uitvoering project'!$D$6:$D$251,B8,'5. Kosten uitvoering project'!$S$6:$S$251)))</f>
        <v/>
      </c>
      <c r="F8" s="299" t="str">
        <f t="shared" si="0"/>
        <v/>
      </c>
      <c r="G8" s="300" t="str">
        <f t="shared" si="1"/>
        <v/>
      </c>
      <c r="H8" s="301" t="str">
        <f t="shared" ca="1" si="2"/>
        <v/>
      </c>
      <c r="I8" s="298" t="str">
        <f t="shared" ca="1" si="2"/>
        <v/>
      </c>
      <c r="J8" s="302"/>
      <c r="K8" s="302"/>
      <c r="L8" s="308" t="str" cm="1">
        <f t="array" ref="L8">_xlfn.IFNA(_xlfn.IFS(AND(OR(D8=0,D8=""),J8&lt;&gt;0),"Geef ook in de begroting  de kosten aan die horen bij deze deelprestatie."),"")</f>
        <v/>
      </c>
    </row>
    <row r="9" spans="1:12" x14ac:dyDescent="0.25">
      <c r="A9" s="303">
        <v>5</v>
      </c>
      <c r="B9" s="295"/>
      <c r="C9" s="296"/>
      <c r="D9" s="297" t="str">
        <f>IF(OR($B9="",$B9="&lt;Vul in&gt;"),"",(SUMIF('5. Kosten uitvoering project'!$D$6:$D$251,B9,'5. Kosten uitvoering project'!$R$6:$R$251)))</f>
        <v/>
      </c>
      <c r="E9" s="298" t="str">
        <f>IF(OR($B9="",$B9="&lt;Vul in&gt;"),"",(SUMIF('5. Kosten uitvoering project'!$D$6:$D$251,B9,'5. Kosten uitvoering project'!$S$6:$S$251)))</f>
        <v/>
      </c>
      <c r="F9" s="299" t="str">
        <f t="shared" si="0"/>
        <v/>
      </c>
      <c r="G9" s="300" t="str">
        <f t="shared" si="1"/>
        <v/>
      </c>
      <c r="H9" s="301" t="str">
        <f t="shared" ca="1" si="2"/>
        <v/>
      </c>
      <c r="I9" s="298" t="str">
        <f t="shared" ca="1" si="2"/>
        <v/>
      </c>
      <c r="J9" s="302"/>
      <c r="K9" s="302"/>
      <c r="L9" s="308" t="str" cm="1">
        <f t="array" ref="L9">_xlfn.IFNA(_xlfn.IFS(AND(OR(D9=0,D9=""),J9&lt;&gt;0),"Geef ook in de begroting  de kosten aan die horen bij deze deelprestatie."),"")</f>
        <v/>
      </c>
    </row>
    <row r="10" spans="1:12" x14ac:dyDescent="0.25">
      <c r="A10" s="303">
        <v>6</v>
      </c>
      <c r="B10" s="295"/>
      <c r="C10" s="296"/>
      <c r="D10" s="297" t="str">
        <f>IF(OR($B10="",$B10="&lt;Vul in&gt;"),"",(SUMIF('5. Kosten uitvoering project'!$D$6:$D$251,B10,'5. Kosten uitvoering project'!$R$6:$R$251)))</f>
        <v/>
      </c>
      <c r="E10" s="298" t="str">
        <f>IF(OR($B10="",$B10="&lt;Vul in&gt;"),"",(SUMIF('5. Kosten uitvoering project'!$D$6:$D$251,B10,'5. Kosten uitvoering project'!$S$6:$S$251)))</f>
        <v/>
      </c>
      <c r="F10" s="299" t="str">
        <f t="shared" si="0"/>
        <v/>
      </c>
      <c r="G10" s="300" t="str">
        <f t="shared" si="1"/>
        <v/>
      </c>
      <c r="H10" s="301" t="str">
        <f t="shared" ca="1" si="2"/>
        <v/>
      </c>
      <c r="I10" s="298" t="str">
        <f t="shared" ca="1" si="2"/>
        <v/>
      </c>
      <c r="J10" s="302"/>
      <c r="K10" s="302"/>
      <c r="L10" s="308" t="str" cm="1">
        <f t="array" ref="L10">_xlfn.IFNA(_xlfn.IFS(AND(OR(D10=0,D10=""),J10&lt;&gt;0),"Geef ook in de begroting  de kosten aan die horen bij deze deelprestatie."),"")</f>
        <v/>
      </c>
    </row>
    <row r="11" spans="1:12" x14ac:dyDescent="0.25">
      <c r="A11" s="303">
        <v>7</v>
      </c>
      <c r="B11" s="295"/>
      <c r="C11" s="296"/>
      <c r="D11" s="297" t="str">
        <f>IF(OR($B11="",$B11="&lt;Vul in&gt;"),"",(SUMIF('5. Kosten uitvoering project'!$D$6:$D$251,B11,'5. Kosten uitvoering project'!$R$6:$R$251)))</f>
        <v/>
      </c>
      <c r="E11" s="298" t="str">
        <f>IF(OR($B11="",$B11="&lt;Vul in&gt;"),"",(SUMIF('5. Kosten uitvoering project'!$D$6:$D$251,B11,'5. Kosten uitvoering project'!$S$6:$S$251)))</f>
        <v/>
      </c>
      <c r="F11" s="299" t="str">
        <f t="shared" si="0"/>
        <v/>
      </c>
      <c r="G11" s="300" t="str">
        <f t="shared" si="1"/>
        <v/>
      </c>
      <c r="H11" s="301" t="str">
        <f t="shared" ca="1" si="2"/>
        <v/>
      </c>
      <c r="I11" s="298" t="str">
        <f t="shared" ca="1" si="2"/>
        <v/>
      </c>
      <c r="J11" s="302"/>
      <c r="K11" s="302"/>
      <c r="L11" s="308" t="str" cm="1">
        <f t="array" ref="L11">_xlfn.IFNA(_xlfn.IFS(AND(OR(D11=0,D11=""),J11&lt;&gt;0),"Geef ook in de begroting  de kosten aan die horen bij deze deelprestatie."),"")</f>
        <v/>
      </c>
    </row>
    <row r="12" spans="1:12" x14ac:dyDescent="0.25">
      <c r="A12" s="303">
        <v>8</v>
      </c>
      <c r="B12" s="295"/>
      <c r="C12" s="296"/>
      <c r="D12" s="297" t="str">
        <f>IF(OR($B12="",$B12="&lt;Vul in&gt;"),"",(SUMIF('5. Kosten uitvoering project'!$D$6:$D$251,B12,'5. Kosten uitvoering project'!$R$6:$R$251)))</f>
        <v/>
      </c>
      <c r="E12" s="298" t="str">
        <f>IF(OR($B12="",$B12="&lt;Vul in&gt;"),"",(SUMIF('5. Kosten uitvoering project'!$D$6:$D$251,B12,'5. Kosten uitvoering project'!$S$6:$S$251)))</f>
        <v/>
      </c>
      <c r="F12" s="299" t="str">
        <f t="shared" si="0"/>
        <v/>
      </c>
      <c r="G12" s="300" t="str">
        <f t="shared" si="1"/>
        <v/>
      </c>
      <c r="H12" s="301" t="str">
        <f t="shared" ca="1" si="2"/>
        <v/>
      </c>
      <c r="I12" s="298" t="str">
        <f t="shared" ca="1" si="2"/>
        <v/>
      </c>
      <c r="J12" s="302"/>
      <c r="K12" s="302"/>
      <c r="L12" s="308" t="str" cm="1">
        <f t="array" ref="L12">_xlfn.IFNA(_xlfn.IFS(AND(OR(D12=0,D12=""),J12&lt;&gt;0),"Geef ook in de begroting  de kosten aan die horen bij deze deelprestatie."),"")</f>
        <v/>
      </c>
    </row>
    <row r="13" spans="1:12" x14ac:dyDescent="0.25">
      <c r="A13" s="303">
        <v>9</v>
      </c>
      <c r="B13" s="295"/>
      <c r="C13" s="296"/>
      <c r="D13" s="297" t="str">
        <f>IF(OR($B13="",$B13="&lt;Vul in&gt;"),"",(SUMIF('5. Kosten uitvoering project'!$D$6:$D$251,B13,'5. Kosten uitvoering project'!$R$6:$R$251)))</f>
        <v/>
      </c>
      <c r="E13" s="298" t="str">
        <f>IF(OR($B13="",$B13="&lt;Vul in&gt;"),"",(SUMIF('5. Kosten uitvoering project'!$D$6:$D$251,B13,'5. Kosten uitvoering project'!$S$6:$S$251)))</f>
        <v/>
      </c>
      <c r="F13" s="299" t="str">
        <f t="shared" si="0"/>
        <v/>
      </c>
      <c r="G13" s="300" t="str">
        <f t="shared" si="1"/>
        <v/>
      </c>
      <c r="H13" s="301" t="str">
        <f t="shared" ca="1" si="2"/>
        <v/>
      </c>
      <c r="I13" s="298" t="str">
        <f t="shared" ca="1" si="2"/>
        <v/>
      </c>
      <c r="J13" s="302"/>
      <c r="K13" s="302"/>
      <c r="L13" s="308" t="str" cm="1">
        <f t="array" ref="L13">_xlfn.IFNA(_xlfn.IFS(AND(OR(D13=0,D13=""),J13&lt;&gt;0),"Geef ook in de begroting  de kosten aan die horen bij deze deelprestatie."),"")</f>
        <v/>
      </c>
    </row>
    <row r="14" spans="1:12" x14ac:dyDescent="0.25">
      <c r="A14" s="303">
        <v>10</v>
      </c>
      <c r="B14" s="295"/>
      <c r="C14" s="296"/>
      <c r="D14" s="297" t="str">
        <f>IF(OR($B14="",$B14="&lt;Vul in&gt;"),"",(SUMIF('5. Kosten uitvoering project'!$D$6:$D$251,B14,'5. Kosten uitvoering project'!$R$6:$R$251)))</f>
        <v/>
      </c>
      <c r="E14" s="298" t="str">
        <f>IF(OR($B14="",$B14="&lt;Vul in&gt;"),"",(SUMIF('5. Kosten uitvoering project'!$D$6:$D$251,B14,'5. Kosten uitvoering project'!$S$6:$S$251)))</f>
        <v/>
      </c>
      <c r="F14" s="299" t="str">
        <f t="shared" si="0"/>
        <v/>
      </c>
      <c r="G14" s="300" t="str">
        <f t="shared" si="1"/>
        <v/>
      </c>
      <c r="H14" s="301" t="str">
        <f t="shared" ca="1" si="2"/>
        <v/>
      </c>
      <c r="I14" s="298" t="str">
        <f t="shared" ca="1" si="2"/>
        <v/>
      </c>
      <c r="J14" s="302"/>
      <c r="K14" s="302"/>
      <c r="L14" s="308" t="str" cm="1">
        <f t="array" ref="L14">_xlfn.IFNA(_xlfn.IFS(AND(OR(D14=0,D14=""),J14&lt;&gt;0),"Geef ook in de begroting  de kosten aan die horen bij deze deelprestatie."),"")</f>
        <v/>
      </c>
    </row>
    <row r="15" spans="1:12" x14ac:dyDescent="0.25">
      <c r="A15" s="303">
        <v>11</v>
      </c>
      <c r="B15" s="295"/>
      <c r="C15" s="296"/>
      <c r="D15" s="297" t="str">
        <f>IF(OR($B15="",$B15="&lt;Vul in&gt;"),"",(SUMIF('5. Kosten uitvoering project'!$D$6:$D$251,B15,'5. Kosten uitvoering project'!$R$6:$R$251)))</f>
        <v/>
      </c>
      <c r="E15" s="298" t="str">
        <f>IF(OR($B15="",$B15="&lt;Vul in&gt;"),"",(SUMIF('5. Kosten uitvoering project'!$D$6:$D$251,B15,'5. Kosten uitvoering project'!$S$6:$S$251)))</f>
        <v/>
      </c>
      <c r="F15" s="299" t="str">
        <f t="shared" si="0"/>
        <v/>
      </c>
      <c r="G15" s="300" t="str">
        <f t="shared" si="1"/>
        <v/>
      </c>
      <c r="H15" s="301" t="str">
        <f t="shared" ca="1" si="2"/>
        <v/>
      </c>
      <c r="I15" s="298" t="str">
        <f t="shared" ca="1" si="2"/>
        <v/>
      </c>
      <c r="J15" s="302"/>
      <c r="K15" s="302"/>
      <c r="L15" s="308" t="str" cm="1">
        <f t="array" ref="L15">_xlfn.IFNA(_xlfn.IFS(AND(OR(D15=0,D15=""),J15&lt;&gt;0),"Geef ook in de begroting  de kosten aan die horen bij deze deelprestatie."),"")</f>
        <v/>
      </c>
    </row>
    <row r="16" spans="1:12" x14ac:dyDescent="0.25">
      <c r="A16" s="303">
        <v>12</v>
      </c>
      <c r="B16" s="295"/>
      <c r="C16" s="296"/>
      <c r="D16" s="297" t="str">
        <f>IF(OR($B16="",$B16="&lt;Vul in&gt;"),"",(SUMIF('5. Kosten uitvoering project'!$D$6:$D$251,B16,'5. Kosten uitvoering project'!$R$6:$R$251)))</f>
        <v/>
      </c>
      <c r="E16" s="298" t="str">
        <f>IF(OR($B16="",$B16="&lt;Vul in&gt;"),"",(SUMIF('5. Kosten uitvoering project'!$D$6:$D$251,B16,'5. Kosten uitvoering project'!$S$6:$S$251)))</f>
        <v/>
      </c>
      <c r="F16" s="299" t="str">
        <f t="shared" si="0"/>
        <v/>
      </c>
      <c r="G16" s="300" t="str">
        <f t="shared" si="1"/>
        <v/>
      </c>
      <c r="H16" s="301" t="str">
        <f t="shared" ca="1" si="2"/>
        <v/>
      </c>
      <c r="I16" s="298" t="str">
        <f t="shared" ca="1" si="2"/>
        <v/>
      </c>
      <c r="J16" s="302"/>
      <c r="K16" s="302"/>
      <c r="L16" s="308" t="str" cm="1">
        <f t="array" ref="L16">_xlfn.IFNA(_xlfn.IFS(AND(OR(D16=0,D16=""),J16&lt;&gt;0),"Geef ook in de begroting  de kosten aan die horen bij deze deelprestatie."),"")</f>
        <v/>
      </c>
    </row>
    <row r="17" spans="1:12" x14ac:dyDescent="0.25">
      <c r="A17" s="303">
        <v>13</v>
      </c>
      <c r="B17" s="295"/>
      <c r="C17" s="296"/>
      <c r="D17" s="297" t="str">
        <f>IF(OR($B17="",$B17="&lt;Vul in&gt;"),"",(SUMIF('5. Kosten uitvoering project'!$D$6:$D$251,B17,'5. Kosten uitvoering project'!$R$6:$R$251)))</f>
        <v/>
      </c>
      <c r="E17" s="298" t="str">
        <f>IF(OR($B17="",$B17="&lt;Vul in&gt;"),"",(SUMIF('5. Kosten uitvoering project'!$D$6:$D$251,B17,'5. Kosten uitvoering project'!$S$6:$S$251)))</f>
        <v/>
      </c>
      <c r="F17" s="299" t="str">
        <f t="shared" si="0"/>
        <v/>
      </c>
      <c r="G17" s="300" t="str">
        <f t="shared" si="1"/>
        <v/>
      </c>
      <c r="H17" s="301" t="str">
        <f t="shared" ca="1" si="2"/>
        <v/>
      </c>
      <c r="I17" s="298" t="str">
        <f t="shared" ca="1" si="2"/>
        <v/>
      </c>
      <c r="J17" s="302"/>
      <c r="K17" s="302"/>
      <c r="L17" s="308" t="str" cm="1">
        <f t="array" ref="L17">_xlfn.IFNA(_xlfn.IFS(AND(OR(D17=0,D17=""),J17&lt;&gt;0),"Geef ook in de begroting  de kosten aan die horen bij deze deelprestatie."),"")</f>
        <v/>
      </c>
    </row>
    <row r="18" spans="1:12" x14ac:dyDescent="0.25">
      <c r="A18" s="303">
        <v>14</v>
      </c>
      <c r="B18" s="295"/>
      <c r="C18" s="296"/>
      <c r="D18" s="297" t="str">
        <f>IF(OR($B18="",$B18="&lt;Vul in&gt;"),"",(SUMIF('5. Kosten uitvoering project'!$D$6:$D$251,B18,'5. Kosten uitvoering project'!$R$6:$R$251)))</f>
        <v/>
      </c>
      <c r="E18" s="298" t="str">
        <f>IF(OR($B18="",$B18="&lt;Vul in&gt;"),"",(SUMIF('5. Kosten uitvoering project'!$D$6:$D$251,B18,'5. Kosten uitvoering project'!$S$6:$S$251)))</f>
        <v/>
      </c>
      <c r="F18" s="299" t="str">
        <f t="shared" si="0"/>
        <v/>
      </c>
      <c r="G18" s="300" t="str">
        <f t="shared" si="1"/>
        <v/>
      </c>
      <c r="H18" s="301" t="str">
        <f t="shared" ca="1" si="2"/>
        <v/>
      </c>
      <c r="I18" s="298" t="str">
        <f t="shared" ca="1" si="2"/>
        <v/>
      </c>
      <c r="J18" s="302"/>
      <c r="K18" s="302"/>
      <c r="L18" s="308" t="str" cm="1">
        <f t="array" ref="L18">_xlfn.IFNA(_xlfn.IFS(AND(OR(D18=0,D18=""),J18&lt;&gt;0),"Geef ook in de begroting  de kosten aan die horen bij deze deelprestatie."),"")</f>
        <v/>
      </c>
    </row>
    <row r="19" spans="1:12" x14ac:dyDescent="0.25">
      <c r="A19" s="303">
        <v>15</v>
      </c>
      <c r="B19" s="295"/>
      <c r="C19" s="296"/>
      <c r="D19" s="297" t="str">
        <f>IF(OR($B19="",$B19="&lt;Vul in&gt;"),"",(SUMIF('5. Kosten uitvoering project'!$D$6:$D$251,B19,'5. Kosten uitvoering project'!$R$6:$R$251)))</f>
        <v/>
      </c>
      <c r="E19" s="298" t="str">
        <f>IF(OR($B19="",$B19="&lt;Vul in&gt;"),"",(SUMIF('5. Kosten uitvoering project'!$D$6:$D$251,B19,'5. Kosten uitvoering project'!$S$6:$S$251)))</f>
        <v/>
      </c>
      <c r="F19" s="299" t="str">
        <f t="shared" si="0"/>
        <v/>
      </c>
      <c r="G19" s="300" t="str">
        <f t="shared" si="1"/>
        <v/>
      </c>
      <c r="H19" s="301" t="str">
        <f t="shared" ca="1" si="2"/>
        <v/>
      </c>
      <c r="I19" s="298" t="str">
        <f t="shared" ca="1" si="2"/>
        <v/>
      </c>
      <c r="J19" s="302"/>
      <c r="K19" s="302"/>
      <c r="L19" s="308" t="str" cm="1">
        <f t="array" ref="L19">_xlfn.IFNA(_xlfn.IFS(AND(OR(D19=0,D19=""),J19&lt;&gt;0),"Geef ook in de begroting  de kosten aan die horen bij deze deelprestatie."),"")</f>
        <v/>
      </c>
    </row>
    <row r="20" spans="1:12" x14ac:dyDescent="0.25">
      <c r="A20" s="303">
        <v>16</v>
      </c>
      <c r="B20" s="295"/>
      <c r="C20" s="296"/>
      <c r="D20" s="297" t="str">
        <f>IF(OR($B20="",$B20="&lt;Vul in&gt;"),"",(SUMIF('5. Kosten uitvoering project'!$D$6:$D$251,B20,'5. Kosten uitvoering project'!$R$6:$R$251)))</f>
        <v/>
      </c>
      <c r="E20" s="298" t="str">
        <f>IF(OR($B20="",$B20="&lt;Vul in&gt;"),"",(SUMIF('5. Kosten uitvoering project'!$D$6:$D$251,B20,'5. Kosten uitvoering project'!$S$6:$S$251)))</f>
        <v/>
      </c>
      <c r="F20" s="299" t="str">
        <f t="shared" si="0"/>
        <v/>
      </c>
      <c r="G20" s="300" t="str">
        <f t="shared" si="1"/>
        <v/>
      </c>
      <c r="H20" s="301" t="str">
        <f t="shared" ca="1" si="2"/>
        <v/>
      </c>
      <c r="I20" s="298" t="str">
        <f t="shared" ca="1" si="2"/>
        <v/>
      </c>
      <c r="J20" s="302"/>
      <c r="K20" s="302"/>
      <c r="L20" s="308" t="str" cm="1">
        <f t="array" ref="L20">_xlfn.IFNA(_xlfn.IFS(AND(OR(D20=0,D20=""),J20&lt;&gt;0),"Geef ook in de begroting  de kosten aan die horen bij deze deelprestatie."),"")</f>
        <v/>
      </c>
    </row>
    <row r="21" spans="1:12" x14ac:dyDescent="0.25">
      <c r="A21" s="303">
        <v>17</v>
      </c>
      <c r="B21" s="295"/>
      <c r="C21" s="296"/>
      <c r="D21" s="297" t="str">
        <f>IF(OR($B21="",$B21="&lt;Vul in&gt;"),"",(SUMIF('5. Kosten uitvoering project'!$D$6:$D$251,B21,'5. Kosten uitvoering project'!$R$6:$R$251)))</f>
        <v/>
      </c>
      <c r="E21" s="298" t="str">
        <f>IF(OR($B21="",$B21="&lt;Vul in&gt;"),"",(SUMIF('5. Kosten uitvoering project'!$D$6:$D$251,B21,'5. Kosten uitvoering project'!$S$6:$S$251)))</f>
        <v/>
      </c>
      <c r="F21" s="299" t="str">
        <f t="shared" si="0"/>
        <v/>
      </c>
      <c r="G21" s="300" t="str">
        <f t="shared" si="1"/>
        <v/>
      </c>
      <c r="H21" s="301" t="str">
        <f t="shared" ca="1" si="2"/>
        <v/>
      </c>
      <c r="I21" s="298" t="str">
        <f t="shared" ca="1" si="2"/>
        <v/>
      </c>
      <c r="J21" s="302"/>
      <c r="K21" s="302"/>
      <c r="L21" s="308" t="str" cm="1">
        <f t="array" ref="L21">_xlfn.IFNA(_xlfn.IFS(AND(OR(D21=0,D21=""),J21&lt;&gt;0),"Geef ook in de begroting  de kosten aan die horen bij deze deelprestatie."),"")</f>
        <v/>
      </c>
    </row>
    <row r="22" spans="1:12" x14ac:dyDescent="0.25">
      <c r="A22" s="303">
        <v>18</v>
      </c>
      <c r="B22" s="295"/>
      <c r="C22" s="296"/>
      <c r="D22" s="297" t="str">
        <f>IF(OR($B22="",$B22="&lt;Vul in&gt;"),"",(SUMIF('5. Kosten uitvoering project'!$D$6:$D$251,B22,'5. Kosten uitvoering project'!$R$6:$R$251)))</f>
        <v/>
      </c>
      <c r="E22" s="298" t="str">
        <f>IF(OR($B22="",$B22="&lt;Vul in&gt;"),"",(SUMIF('5. Kosten uitvoering project'!$D$6:$D$251,B22,'5. Kosten uitvoering project'!$S$6:$S$251)))</f>
        <v/>
      </c>
      <c r="F22" s="299" t="str">
        <f t="shared" si="0"/>
        <v/>
      </c>
      <c r="G22" s="300" t="str">
        <f t="shared" si="1"/>
        <v/>
      </c>
      <c r="H22" s="301" t="str">
        <f t="shared" ca="1" si="2"/>
        <v/>
      </c>
      <c r="I22" s="298" t="str">
        <f t="shared" ca="1" si="2"/>
        <v/>
      </c>
      <c r="J22" s="302"/>
      <c r="K22" s="302"/>
      <c r="L22" s="308" t="str" cm="1">
        <f t="array" ref="L22">_xlfn.IFNA(_xlfn.IFS(AND(OR(D22=0,D22=""),J22&lt;&gt;0),"Geef ook in de begroting  de kosten aan die horen bij deze deelprestatie."),"")</f>
        <v/>
      </c>
    </row>
    <row r="23" spans="1:12" x14ac:dyDescent="0.25">
      <c r="A23" s="303">
        <v>19</v>
      </c>
      <c r="B23" s="295"/>
      <c r="C23" s="296"/>
      <c r="D23" s="297" t="str">
        <f>IF(OR($B23="",$B23="&lt;Vul in&gt;"),"",(SUMIF('5. Kosten uitvoering project'!$D$6:$D$251,B23,'5. Kosten uitvoering project'!$R$6:$R$251)))</f>
        <v/>
      </c>
      <c r="E23" s="298" t="str">
        <f>IF(OR($B23="",$B23="&lt;Vul in&gt;"),"",(SUMIF('5. Kosten uitvoering project'!$D$6:$D$251,B23,'5. Kosten uitvoering project'!$S$6:$S$251)))</f>
        <v/>
      </c>
      <c r="F23" s="299" t="str">
        <f t="shared" si="0"/>
        <v/>
      </c>
      <c r="G23" s="300" t="str">
        <f t="shared" si="1"/>
        <v/>
      </c>
      <c r="H23" s="301" t="str">
        <f t="shared" ca="1" si="2"/>
        <v/>
      </c>
      <c r="I23" s="298" t="str">
        <f t="shared" ca="1" si="2"/>
        <v/>
      </c>
      <c r="J23" s="302"/>
      <c r="K23" s="302"/>
      <c r="L23" s="308" t="str" cm="1">
        <f t="array" ref="L23">_xlfn.IFNA(_xlfn.IFS(AND(OR(D23=0,D23=""),J23&lt;&gt;0),"Geef ook in de begroting  de kosten aan die horen bij deze deelprestatie."),"")</f>
        <v/>
      </c>
    </row>
    <row r="24" spans="1:12" x14ac:dyDescent="0.25">
      <c r="A24" s="303">
        <v>20</v>
      </c>
      <c r="B24" s="295"/>
      <c r="C24" s="296"/>
      <c r="D24" s="297" t="str">
        <f>IF(OR($B24="",$B24="&lt;Vul in&gt;"),"",(SUMIF('5. Kosten uitvoering project'!$D$6:$D$251,B24,'5. Kosten uitvoering project'!$R$6:$R$251)))</f>
        <v/>
      </c>
      <c r="E24" s="298" t="str">
        <f>IF(OR($B24="",$B24="&lt;Vul in&gt;"),"",(SUMIF('5. Kosten uitvoering project'!$D$6:$D$251,B24,'5. Kosten uitvoering project'!$S$6:$S$251)))</f>
        <v/>
      </c>
      <c r="F24" s="299" t="str">
        <f t="shared" si="0"/>
        <v/>
      </c>
      <c r="G24" s="300" t="str">
        <f t="shared" si="1"/>
        <v/>
      </c>
      <c r="H24" s="301" t="str">
        <f t="shared" ca="1" si="2"/>
        <v/>
      </c>
      <c r="I24" s="298" t="str">
        <f t="shared" ca="1" si="2"/>
        <v/>
      </c>
      <c r="J24" s="302"/>
      <c r="K24" s="302"/>
      <c r="L24" s="308" t="str" cm="1">
        <f t="array" ref="L24">_xlfn.IFNA(_xlfn.IFS(AND(OR(D24=0,D24=""),J24&lt;&gt;0),"Geef ook in de begroting  de kosten aan die horen bij deze deelprestatie."),"")</f>
        <v/>
      </c>
    </row>
    <row r="25" spans="1:12" x14ac:dyDescent="0.25">
      <c r="A25" s="303">
        <v>21</v>
      </c>
      <c r="B25" s="295"/>
      <c r="C25" s="296"/>
      <c r="D25" s="297" t="str">
        <f>IF(OR($B25="",$B25="&lt;Vul in&gt;"),"",(SUMIF('5. Kosten uitvoering project'!$D$6:$D$251,B25,'5. Kosten uitvoering project'!$R$6:$R$251)))</f>
        <v/>
      </c>
      <c r="E25" s="298" t="str">
        <f>IF(OR($B25="",$B25="&lt;Vul in&gt;"),"",(SUMIF('5. Kosten uitvoering project'!$D$6:$D$251,B25,'5. Kosten uitvoering project'!$S$6:$S$251)))</f>
        <v/>
      </c>
      <c r="F25" s="299" t="str">
        <f t="shared" si="0"/>
        <v/>
      </c>
      <c r="G25" s="300" t="str">
        <f t="shared" si="1"/>
        <v/>
      </c>
      <c r="H25" s="301" t="str">
        <f t="shared" ca="1" si="2"/>
        <v/>
      </c>
      <c r="I25" s="298" t="str">
        <f t="shared" ca="1" si="2"/>
        <v/>
      </c>
      <c r="J25" s="302"/>
      <c r="K25" s="302"/>
      <c r="L25" s="308" t="str" cm="1">
        <f t="array" ref="L25">_xlfn.IFNA(_xlfn.IFS(AND(OR(D25=0,D25=""),J25&lt;&gt;0),"Geef ook in de begroting  de kosten aan die horen bij deze deelprestatie."),"")</f>
        <v/>
      </c>
    </row>
    <row r="26" spans="1:12" x14ac:dyDescent="0.25">
      <c r="A26" s="303">
        <v>22</v>
      </c>
      <c r="B26" s="295"/>
      <c r="C26" s="296"/>
      <c r="D26" s="297" t="str">
        <f>IF(OR($B26="",$B26="&lt;Vul in&gt;"),"",(SUMIF('5. Kosten uitvoering project'!$D$6:$D$251,B26,'5. Kosten uitvoering project'!$R$6:$R$251)))</f>
        <v/>
      </c>
      <c r="E26" s="298" t="str">
        <f>IF(OR($B26="",$B26="&lt;Vul in&gt;"),"",(SUMIF('5. Kosten uitvoering project'!$D$6:$D$251,B26,'5. Kosten uitvoering project'!$S$6:$S$251)))</f>
        <v/>
      </c>
      <c r="F26" s="299" t="str">
        <f t="shared" si="0"/>
        <v/>
      </c>
      <c r="G26" s="300" t="str">
        <f t="shared" si="1"/>
        <v/>
      </c>
      <c r="H26" s="301" t="str">
        <f t="shared" ca="1" si="2"/>
        <v/>
      </c>
      <c r="I26" s="298" t="str">
        <f t="shared" ca="1" si="2"/>
        <v/>
      </c>
      <c r="J26" s="302"/>
      <c r="K26" s="302"/>
      <c r="L26" s="308" t="str" cm="1">
        <f t="array" ref="L26">_xlfn.IFNA(_xlfn.IFS(AND(OR(D26=0,D26=""),J26&lt;&gt;0),"Geef ook in de begroting  de kosten aan die horen bij deze deelprestatie."),"")</f>
        <v/>
      </c>
    </row>
    <row r="27" spans="1:12" x14ac:dyDescent="0.25">
      <c r="A27" s="303">
        <v>23</v>
      </c>
      <c r="B27" s="295"/>
      <c r="C27" s="296"/>
      <c r="D27" s="297" t="str">
        <f>IF(OR($B27="",$B27="&lt;Vul in&gt;"),"",(SUMIF('5. Kosten uitvoering project'!$D$6:$D$251,B27,'5. Kosten uitvoering project'!$R$6:$R$251)))</f>
        <v/>
      </c>
      <c r="E27" s="298" t="str">
        <f>IF(OR($B27="",$B27="&lt;Vul in&gt;"),"",(SUMIF('5. Kosten uitvoering project'!$D$6:$D$251,B27,'5. Kosten uitvoering project'!$S$6:$S$251)))</f>
        <v/>
      </c>
      <c r="F27" s="299" t="str">
        <f t="shared" si="0"/>
        <v/>
      </c>
      <c r="G27" s="300" t="str">
        <f t="shared" si="1"/>
        <v/>
      </c>
      <c r="H27" s="301" t="str">
        <f t="shared" ca="1" si="2"/>
        <v/>
      </c>
      <c r="I27" s="298" t="str">
        <f t="shared" ca="1" si="2"/>
        <v/>
      </c>
      <c r="J27" s="302"/>
      <c r="K27" s="302"/>
      <c r="L27" s="308" t="str" cm="1">
        <f t="array" ref="L27">_xlfn.IFNA(_xlfn.IFS(AND(OR(D27=0,D27=""),J27&lt;&gt;0),"Geef ook in de begroting  de kosten aan die horen bij deze deelprestatie."),"")</f>
        <v/>
      </c>
    </row>
    <row r="28" spans="1:12" x14ac:dyDescent="0.25">
      <c r="A28" s="303">
        <v>24</v>
      </c>
      <c r="B28" s="295"/>
      <c r="C28" s="296"/>
      <c r="D28" s="297" t="str">
        <f>IF(OR($B28="",$B28="&lt;Vul in&gt;"),"",(SUMIF('5. Kosten uitvoering project'!$D$6:$D$251,B28,'5. Kosten uitvoering project'!$R$6:$R$251)))</f>
        <v/>
      </c>
      <c r="E28" s="298" t="str">
        <f>IF(OR($B28="",$B28="&lt;Vul in&gt;"),"",(SUMIF('5. Kosten uitvoering project'!$D$6:$D$251,B28,'5. Kosten uitvoering project'!$S$6:$S$251)))</f>
        <v/>
      </c>
      <c r="F28" s="299" t="str">
        <f t="shared" si="0"/>
        <v/>
      </c>
      <c r="G28" s="300" t="str">
        <f t="shared" si="1"/>
        <v/>
      </c>
      <c r="H28" s="301" t="str">
        <f t="shared" ca="1" si="2"/>
        <v/>
      </c>
      <c r="I28" s="298" t="str">
        <f t="shared" ca="1" si="2"/>
        <v/>
      </c>
      <c r="J28" s="302"/>
      <c r="K28" s="302"/>
      <c r="L28" s="308" t="str" cm="1">
        <f t="array" ref="L28">_xlfn.IFNA(_xlfn.IFS(AND(OR(D28=0,D28=""),J28&lt;&gt;0),"Geef ook in de begroting  de kosten aan die horen bij deze deelprestatie."),"")</f>
        <v/>
      </c>
    </row>
    <row r="29" spans="1:12" x14ac:dyDescent="0.25">
      <c r="A29" s="303">
        <v>25</v>
      </c>
      <c r="B29" s="295"/>
      <c r="C29" s="296"/>
      <c r="D29" s="297" t="str">
        <f>IF(OR($B29="",$B29="&lt;Vul in&gt;"),"",(SUMIF('5. Kosten uitvoering project'!$D$6:$D$251,B29,'5. Kosten uitvoering project'!$R$6:$R$251)))</f>
        <v/>
      </c>
      <c r="E29" s="298" t="str">
        <f>IF(OR($B29="",$B29="&lt;Vul in&gt;"),"",(SUMIF('5. Kosten uitvoering project'!$D$6:$D$251,B29,'5. Kosten uitvoering project'!$S$6:$S$251)))</f>
        <v/>
      </c>
      <c r="F29" s="299" t="str">
        <f t="shared" si="0"/>
        <v/>
      </c>
      <c r="G29" s="300" t="str">
        <f t="shared" si="1"/>
        <v/>
      </c>
      <c r="H29" s="301" t="str">
        <f t="shared" ca="1" si="2"/>
        <v/>
      </c>
      <c r="I29" s="298" t="str">
        <f t="shared" ca="1" si="2"/>
        <v/>
      </c>
      <c r="J29" s="302"/>
      <c r="K29" s="302"/>
      <c r="L29" s="308" t="str" cm="1">
        <f t="array" ref="L29">_xlfn.IFNA(_xlfn.IFS(AND(OR(D29=0,D29=""),J29&lt;&gt;0),"Geef ook in de begroting  de kosten aan die horen bij deze deelprestatie."),"")</f>
        <v/>
      </c>
    </row>
    <row r="30" spans="1:12" x14ac:dyDescent="0.25">
      <c r="A30" s="303">
        <v>26</v>
      </c>
      <c r="B30" s="295"/>
      <c r="C30" s="296"/>
      <c r="D30" s="297" t="str">
        <f>IF(OR($B30="",$B30="&lt;Vul in&gt;"),"",(SUMIF('5. Kosten uitvoering project'!$D$6:$D$251,B30,'5. Kosten uitvoering project'!$R$6:$R$251)))</f>
        <v/>
      </c>
      <c r="E30" s="298" t="str">
        <f>IF(OR($B30="",$B30="&lt;Vul in&gt;"),"",(SUMIF('5. Kosten uitvoering project'!$D$6:$D$251,B30,'5. Kosten uitvoering project'!$S$6:$S$251)))</f>
        <v/>
      </c>
      <c r="F30" s="299" t="str">
        <f t="shared" si="0"/>
        <v/>
      </c>
      <c r="G30" s="300" t="str">
        <f t="shared" si="1"/>
        <v/>
      </c>
      <c r="H30" s="301" t="str">
        <f t="shared" ca="1" si="2"/>
        <v/>
      </c>
      <c r="I30" s="298" t="str">
        <f t="shared" ca="1" si="2"/>
        <v/>
      </c>
      <c r="J30" s="302"/>
      <c r="K30" s="302"/>
      <c r="L30" s="308" t="str" cm="1">
        <f t="array" ref="L30">_xlfn.IFNA(_xlfn.IFS(AND(OR(D30=0,D30=""),J30&lt;&gt;0),"Geef ook in de begroting  de kosten aan die horen bij deze deelprestatie."),"")</f>
        <v/>
      </c>
    </row>
    <row r="31" spans="1:12" x14ac:dyDescent="0.25">
      <c r="A31" s="303">
        <v>27</v>
      </c>
      <c r="B31" s="295"/>
      <c r="C31" s="296"/>
      <c r="D31" s="297" t="str">
        <f>IF(OR($B31="",$B31="&lt;Vul in&gt;"),"",(SUMIF('5. Kosten uitvoering project'!$D$6:$D$251,B31,'5. Kosten uitvoering project'!$R$6:$R$251)))</f>
        <v/>
      </c>
      <c r="E31" s="298" t="str">
        <f>IF(OR($B31="",$B31="&lt;Vul in&gt;"),"",(SUMIF('5. Kosten uitvoering project'!$D$6:$D$251,B31,'5. Kosten uitvoering project'!$S$6:$S$251)))</f>
        <v/>
      </c>
      <c r="F31" s="299" t="str">
        <f t="shared" si="0"/>
        <v/>
      </c>
      <c r="G31" s="300" t="str">
        <f t="shared" si="1"/>
        <v/>
      </c>
      <c r="H31" s="301" t="str">
        <f t="shared" ca="1" si="2"/>
        <v/>
      </c>
      <c r="I31" s="298" t="str">
        <f t="shared" ca="1" si="2"/>
        <v/>
      </c>
      <c r="J31" s="302"/>
      <c r="K31" s="302"/>
      <c r="L31" s="308" t="str" cm="1">
        <f t="array" ref="L31">_xlfn.IFNA(_xlfn.IFS(AND(OR(D31=0,D31=""),J31&lt;&gt;0),"Geef ook in de begroting  de kosten aan die horen bij deze deelprestatie."),"")</f>
        <v/>
      </c>
    </row>
    <row r="32" spans="1:12" x14ac:dyDescent="0.25">
      <c r="A32" s="303">
        <v>28</v>
      </c>
      <c r="B32" s="295"/>
      <c r="C32" s="296"/>
      <c r="D32" s="297" t="str">
        <f>IF(OR($B32="",$B32="&lt;Vul in&gt;"),"",(SUMIF('5. Kosten uitvoering project'!$D$6:$D$251,B32,'5. Kosten uitvoering project'!$R$6:$R$251)))</f>
        <v/>
      </c>
      <c r="E32" s="298" t="str">
        <f>IF(OR($B32="",$B32="&lt;Vul in&gt;"),"",(SUMIF('5. Kosten uitvoering project'!$D$6:$D$251,B32,'5. Kosten uitvoering project'!$S$6:$S$251)))</f>
        <v/>
      </c>
      <c r="F32" s="299" t="str">
        <f t="shared" si="0"/>
        <v/>
      </c>
      <c r="G32" s="300" t="str">
        <f t="shared" si="1"/>
        <v/>
      </c>
      <c r="H32" s="301" t="str">
        <f t="shared" ca="1" si="2"/>
        <v/>
      </c>
      <c r="I32" s="298" t="str">
        <f t="shared" ca="1" si="2"/>
        <v/>
      </c>
      <c r="J32" s="302"/>
      <c r="K32" s="302"/>
      <c r="L32" s="308" t="str" cm="1">
        <f t="array" ref="L32">_xlfn.IFNA(_xlfn.IFS(AND(OR(D32=0,D32=""),J32&lt;&gt;0),"Geef ook in de begroting  de kosten aan die horen bij deze deelprestatie."),"")</f>
        <v/>
      </c>
    </row>
    <row r="33" spans="1:12" x14ac:dyDescent="0.25">
      <c r="A33" s="303">
        <v>29</v>
      </c>
      <c r="B33" s="295"/>
      <c r="C33" s="296"/>
      <c r="D33" s="297" t="str">
        <f>IF(OR($B33="",$B33="&lt;Vul in&gt;"),"",(SUMIF('5. Kosten uitvoering project'!$D$6:$D$251,B33,'5. Kosten uitvoering project'!$R$6:$R$251)))</f>
        <v/>
      </c>
      <c r="E33" s="298" t="str">
        <f>IF(OR($B33="",$B33="&lt;Vul in&gt;"),"",(SUMIF('5. Kosten uitvoering project'!$D$6:$D$251,B33,'5. Kosten uitvoering project'!$S$6:$S$251)))</f>
        <v/>
      </c>
      <c r="F33" s="299" t="str">
        <f t="shared" si="0"/>
        <v/>
      </c>
      <c r="G33" s="300" t="str">
        <f t="shared" si="1"/>
        <v/>
      </c>
      <c r="H33" s="301" t="str">
        <f t="shared" ca="1" si="2"/>
        <v/>
      </c>
      <c r="I33" s="298" t="str">
        <f t="shared" ca="1" si="2"/>
        <v/>
      </c>
      <c r="J33" s="302"/>
      <c r="K33" s="302"/>
      <c r="L33" s="308" t="str" cm="1">
        <f t="array" ref="L33">_xlfn.IFNA(_xlfn.IFS(AND(OR(D33=0,D33=""),J33&lt;&gt;0),"Geef ook in de begroting  de kosten aan die horen bij deze deelprestatie."),"")</f>
        <v/>
      </c>
    </row>
    <row r="34" spans="1:12" x14ac:dyDescent="0.25">
      <c r="A34" s="303">
        <v>30</v>
      </c>
      <c r="B34" s="295"/>
      <c r="C34" s="296"/>
      <c r="D34" s="297" t="str">
        <f>IF(OR($B34="",$B34="&lt;Vul in&gt;"),"",(SUMIF('5. Kosten uitvoering project'!$D$6:$D$251,B34,'5. Kosten uitvoering project'!$R$6:$R$251)))</f>
        <v/>
      </c>
      <c r="E34" s="298" t="str">
        <f>IF(OR($B34="",$B34="&lt;Vul in&gt;"),"",(SUMIF('5. Kosten uitvoering project'!$D$6:$D$251,B34,'5. Kosten uitvoering project'!$S$6:$S$251)))</f>
        <v/>
      </c>
      <c r="F34" s="299" t="str">
        <f t="shared" si="0"/>
        <v/>
      </c>
      <c r="G34" s="300" t="str">
        <f t="shared" si="1"/>
        <v/>
      </c>
      <c r="H34" s="301" t="str">
        <f t="shared" ca="1" si="2"/>
        <v/>
      </c>
      <c r="I34" s="298" t="str">
        <f t="shared" ca="1" si="2"/>
        <v/>
      </c>
      <c r="J34" s="302"/>
      <c r="K34" s="302"/>
      <c r="L34" s="308" t="str" cm="1">
        <f t="array" ref="L34">_xlfn.IFNA(_xlfn.IFS(AND(OR(D34=0,D34=""),J34&lt;&gt;0),"Geef ook in de begroting  de kosten aan die horen bij deze deelprestatie."),"")</f>
        <v/>
      </c>
    </row>
    <row r="35" spans="1:12" x14ac:dyDescent="0.25">
      <c r="A35" s="29"/>
      <c r="B35" s="33" t="s">
        <v>41</v>
      </c>
      <c r="C35" s="34"/>
      <c r="D35" s="9">
        <f t="shared" ref="D35:I35" si="3">SUM(D5:D34)</f>
        <v>0</v>
      </c>
      <c r="E35" s="9">
        <f t="shared" si="3"/>
        <v>0</v>
      </c>
      <c r="F35" s="13">
        <f t="shared" si="3"/>
        <v>0</v>
      </c>
      <c r="G35" s="13">
        <f t="shared" si="3"/>
        <v>0</v>
      </c>
      <c r="H35" s="9">
        <f t="shared" ca="1" si="3"/>
        <v>0</v>
      </c>
      <c r="I35" s="9">
        <f t="shared" ca="1" si="3"/>
        <v>0</v>
      </c>
      <c r="J35" s="9"/>
      <c r="K35" s="9"/>
      <c r="L35" s="9"/>
    </row>
    <row r="36" spans="1:12" ht="15" customHeight="1" x14ac:dyDescent="0.25">
      <c r="A36" s="30"/>
      <c r="B36" s="60" t="str">
        <f ca="1">IF(D36&lt;&gt;"","Kosten nog toe te kennen aan een projectdeelnemer","")</f>
        <v/>
      </c>
      <c r="C36" s="34"/>
      <c r="D36" s="9" t="str">
        <f ca="1">IF(ROUND(D38-D35-SUM(D37),2)&lt;&gt;0,D38-D35-SUM(D37),"")</f>
        <v/>
      </c>
      <c r="E36" s="9" t="str">
        <f ca="1">IF(ROUND(E38-E35-SUM(E37),2)&lt;&gt;0,E38-E35-SUM(E37),"")</f>
        <v/>
      </c>
      <c r="F36" s="10"/>
      <c r="G36" s="9"/>
      <c r="H36" s="9"/>
      <c r="I36" s="9"/>
      <c r="J36" s="9"/>
      <c r="K36" s="9"/>
      <c r="L36" s="9"/>
    </row>
    <row r="37" spans="1:12" ht="15" customHeight="1" x14ac:dyDescent="0.25">
      <c r="A37" s="30"/>
      <c r="B37" s="33" t="str">
        <f>IF(OR(D37&lt;&gt;"",E37&lt;&gt;""),"Forfait op basis van opgegeven kosten","")</f>
        <v/>
      </c>
      <c r="C37" s="34"/>
      <c r="D37" s="9" t="str">
        <f>IF(Forfait_Aanvraag&lt;&gt;0,Forfait_Aanvraag,"")</f>
        <v/>
      </c>
      <c r="E37" s="9" t="str">
        <f>IF(Beoord_Forfait_Aanvraag&lt;&gt;0,Beoord_Forfait_Aanvraag,"")</f>
        <v/>
      </c>
      <c r="F37" s="10"/>
      <c r="G37" s="9"/>
      <c r="H37" s="9"/>
      <c r="I37" s="9"/>
      <c r="J37" s="9"/>
      <c r="K37" s="9"/>
      <c r="L37" s="9"/>
    </row>
    <row r="38" spans="1:12" ht="15" customHeight="1" x14ac:dyDescent="0.25">
      <c r="A38" s="31"/>
      <c r="B38" s="33" t="s">
        <v>79</v>
      </c>
      <c r="C38" s="34"/>
      <c r="D38" s="9">
        <f ca="1">Totaal_Project</f>
        <v>0</v>
      </c>
      <c r="E38" s="9">
        <f ca="1">Beoord_Totaal_Project</f>
        <v>0</v>
      </c>
      <c r="F38" s="8"/>
      <c r="G38" s="8"/>
      <c r="H38" s="8"/>
      <c r="I38" s="8"/>
      <c r="J38" s="8"/>
      <c r="K38" s="8"/>
      <c r="L38" s="8"/>
    </row>
    <row r="39" spans="1:12" ht="3" customHeight="1" x14ac:dyDescent="0.25">
      <c r="A39" s="31"/>
      <c r="B39" s="33"/>
      <c r="C39" s="34"/>
      <c r="D39" s="9"/>
      <c r="E39" s="9"/>
      <c r="F39" s="8"/>
      <c r="G39" s="8"/>
      <c r="H39" s="8"/>
      <c r="I39" s="8"/>
      <c r="J39" s="8"/>
      <c r="K39" s="8"/>
      <c r="L39" s="8"/>
    </row>
    <row r="40" spans="1:12" ht="15" customHeight="1" x14ac:dyDescent="0.25">
      <c r="A40" s="31"/>
      <c r="B40" s="33" t="s">
        <v>32</v>
      </c>
      <c r="C40" s="34"/>
      <c r="D40" s="9"/>
      <c r="E40" s="9"/>
      <c r="F40" s="8"/>
      <c r="G40" s="8"/>
      <c r="H40" s="8"/>
      <c r="I40" s="8"/>
      <c r="J40" s="9">
        <f>ROUND(SUM(J5:J34),2)</f>
        <v>0</v>
      </c>
      <c r="K40" s="9">
        <f>ROUND(SUM(K5:K34),2)</f>
        <v>0</v>
      </c>
      <c r="L40" s="9"/>
    </row>
    <row r="41" spans="1:12" x14ac:dyDescent="0.25">
      <c r="A41" s="31"/>
      <c r="B41" s="33" t="str">
        <f ca="1">IF(OR(J41&lt;&gt;"",K41&lt;&gt;""),"Subsidie nog toe te kennen aan een deelprestatie","")</f>
        <v/>
      </c>
      <c r="C41" s="34"/>
      <c r="D41" s="9"/>
      <c r="E41" s="9"/>
      <c r="F41" s="8"/>
      <c r="G41" s="8"/>
      <c r="H41" s="8"/>
      <c r="I41" s="8"/>
      <c r="J41" s="9" t="str">
        <f ca="1">IF(ROUND(J42-J40,2)&lt;&gt;0,ROUND(J42-J40,2),"")</f>
        <v/>
      </c>
      <c r="K41" s="9" t="str">
        <f ca="1">IF(ROUND(K42-K40,2)&lt;&gt;0,ROUND(K42-K40,2),"")</f>
        <v/>
      </c>
      <c r="L41" s="9"/>
    </row>
    <row r="42" spans="1:12" ht="15" customHeight="1" x14ac:dyDescent="0.25">
      <c r="A42" s="31"/>
      <c r="B42" s="33" t="str">
        <f>IF(E35&gt;0,"Subsidiebedrag op basis van beoordeelde kosten","Subsidiebedrag op basis van opgegeven kosten")</f>
        <v>Subsidiebedrag op basis van opgegeven kosten</v>
      </c>
      <c r="C42" s="34"/>
      <c r="D42" s="9"/>
      <c r="E42" s="9"/>
      <c r="F42" s="8"/>
      <c r="G42" s="8"/>
      <c r="H42" s="263" t="str">
        <f ca="1">IFERROR(ROUND(J42/SUM(H5:H34),2),"")</f>
        <v/>
      </c>
      <c r="I42" s="13" t="str">
        <f ca="1">IFERROR(ROUND(K42/SUM(I5:I34),2),"")</f>
        <v/>
      </c>
      <c r="J42" s="9">
        <f ca="1">IF(AND(Subsidie_Aanvraag_Min&lt;Subsidie_Aanvraag,Subsidie_Aanvraag_Min&lt;&gt;"",Subsidie_Aanvraag_Min&lt;&gt;0),Subsidie_Aanvraag_Min,Subsidie_Aanvraag)</f>
        <v>0</v>
      </c>
      <c r="K42" s="9">
        <f ca="1">IF(AND(Beoord_Subsidie_Aanvraag_Min&lt;Beoord_Subsidie_Aanvraag,Beoord_Subsidie_Aanvraag_Min&lt;&gt;"",Beoord_Subsidie_Aanvraag_Min&lt;&gt;0),Beoord_Subsidie_Aanvraag_Min,Beoord_Subsidie_Aanvraag)</f>
        <v>0</v>
      </c>
      <c r="L42" s="9"/>
    </row>
  </sheetData>
  <sheetProtection algorithmName="SHA-512" hashValue="XIYdg90ODT5SkNVvgrK9hdxMh2R5m8izaG4yTws8I9/dciGE8K3Gz9nWFUsTMYaApzCQlxQygQDP9F75imwd3g==" saltValue="h+3YldkRG14xlC6AOiUKbg==" spinCount="100000" sheet="1" objects="1" scenarios="1"/>
  <mergeCells count="5">
    <mergeCell ref="D3:E3"/>
    <mergeCell ref="F3:G3"/>
    <mergeCell ref="J3:K3"/>
    <mergeCell ref="A3:C3"/>
    <mergeCell ref="H3:I3"/>
  </mergeCells>
  <phoneticPr fontId="4" type="noConversion"/>
  <conditionalFormatting sqref="B5:B34">
    <cfRule type="cellIs" dxfId="173" priority="6" operator="equal">
      <formula>""</formula>
    </cfRule>
  </conditionalFormatting>
  <conditionalFormatting sqref="B35 G36:I37">
    <cfRule type="expression" dxfId="172" priority="2">
      <formula>$D$36&lt;&gt;""</formula>
    </cfRule>
  </conditionalFormatting>
  <conditionalFormatting sqref="B40:I41">
    <cfRule type="expression" dxfId="171" priority="9">
      <formula>#REF!&lt;&gt;#REF!</formula>
    </cfRule>
  </conditionalFormatting>
  <conditionalFormatting sqref="D35:E35">
    <cfRule type="expression" dxfId="170" priority="17">
      <formula>$D$36&lt;&gt;""</formula>
    </cfRule>
  </conditionalFormatting>
  <conditionalFormatting sqref="D36:E36">
    <cfRule type="expression" dxfId="169" priority="4">
      <formula>$D$35&lt;&gt;$D$38</formula>
    </cfRule>
  </conditionalFormatting>
  <conditionalFormatting sqref="H35:I35">
    <cfRule type="expression" dxfId="168" priority="1">
      <formula>$D$36&lt;&gt;""</formula>
    </cfRule>
  </conditionalFormatting>
  <conditionalFormatting sqref="L40 J41:L41">
    <cfRule type="expression" dxfId="167" priority="7">
      <formula>J$40&lt;&gt;J$42</formula>
    </cfRule>
  </conditionalFormatting>
  <dataValidations count="3">
    <dataValidation type="decimal" operator="greaterThanOrEqual" allowBlank="1" showInputMessage="1" showErrorMessage="1" sqref="J5:K34" xr:uid="{26C8ED8A-E373-4056-B9B0-55DB835EF0F0}">
      <formula1>0</formula1>
    </dataValidation>
    <dataValidation type="textLength" operator="lessThanOrEqual" allowBlank="1" showInputMessage="1" showErrorMessage="1" errorTitle="Tekstveld limiet" error="Maximaal 120 tekens toegestaan" sqref="B5:B34" xr:uid="{4C1CC2ED-B700-4801-97F1-AD61540141DA}">
      <formula1>120</formula1>
    </dataValidation>
    <dataValidation type="textLength" operator="lessThanOrEqual" allowBlank="1" showInputMessage="1" showErrorMessage="1" errorTitle="Tekstveld limiet" error="Maximaal 250 tekens toegestaan" sqref="L5:L34 C5:C34" xr:uid="{4AC8A1AA-096A-4F32-A0E8-B9F1A7017E40}">
      <formula1>250</formula1>
    </dataValidation>
  </dataValidations>
  <pageMargins left="0.70866141732283472" right="0.70866141732283472" top="0.74803149606299213" bottom="0.74803149606299213" header="0.31496062992125984" footer="0.31496062992125984"/>
  <pageSetup paperSize="9" scale="74" orientation="landscape" r:id="rId1"/>
  <headerFooter>
    <oddFooter>&amp;LVersie: september 2023&amp;C&amp;A&amp;R&amp;P van &amp;N</oddFooter>
  </headerFooter>
  <colBreaks count="1" manualBreakCount="1">
    <brk id="6" max="39"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72725-3B2A-4CBE-AAF2-15675778931C}">
  <sheetPr codeName="Blad3">
    <tabColor theme="8" tint="0.79998168889431442"/>
  </sheetPr>
  <dimension ref="A1:AA57"/>
  <sheetViews>
    <sheetView showGridLines="0" zoomScaleNormal="100" workbookViewId="0">
      <pane xSplit="1" ySplit="4" topLeftCell="B37" activePane="bottomRight" state="frozen"/>
      <selection activeCell="O25" sqref="O25"/>
      <selection pane="topRight" activeCell="O25" sqref="O25"/>
      <selection pane="bottomLeft" activeCell="O25" sqref="O25"/>
      <selection pane="bottomRight" activeCell="F52" sqref="F52"/>
    </sheetView>
  </sheetViews>
  <sheetFormatPr defaultColWidth="0" defaultRowHeight="15" customHeight="1" zeroHeight="1" x14ac:dyDescent="0.25"/>
  <cols>
    <col min="1" max="1" width="11.28515625" style="36" bestFit="1" customWidth="1"/>
    <col min="2" max="2" width="15.5703125" style="36" customWidth="1"/>
    <col min="3" max="3" width="29.7109375" style="35" customWidth="1"/>
    <col min="4" max="4" width="14.5703125" style="35" customWidth="1"/>
    <col min="5" max="5" width="15.42578125" style="35" bestFit="1" customWidth="1"/>
    <col min="6" max="7" width="18.7109375" style="35" customWidth="1"/>
    <col min="8" max="8" width="15.28515625" style="35" bestFit="1" customWidth="1"/>
    <col min="9" max="9" width="16" style="35" customWidth="1"/>
    <col min="10" max="10" width="11" style="35" bestFit="1" customWidth="1"/>
    <col min="11" max="11" width="11.42578125" style="35" hidden="1" customWidth="1"/>
    <col min="12" max="13" width="15.42578125" style="35" hidden="1" customWidth="1"/>
    <col min="14" max="14" width="18.140625" style="35" hidden="1" customWidth="1"/>
    <col min="15" max="15" width="18.42578125" style="35" hidden="1" customWidth="1"/>
    <col min="16" max="16" width="15.7109375" style="35" hidden="1" customWidth="1"/>
    <col min="17" max="17" width="16.42578125" style="35" hidden="1" customWidth="1"/>
    <col min="18" max="18" width="9.85546875" style="35" hidden="1" customWidth="1"/>
    <col min="19" max="19" width="12" style="35" bestFit="1" customWidth="1"/>
    <col min="20" max="20" width="9.7109375" style="35" bestFit="1" customWidth="1"/>
    <col min="21" max="21" width="15.28515625" style="35" customWidth="1"/>
    <col min="22" max="22" width="11.140625" style="35" bestFit="1" customWidth="1"/>
    <col min="23" max="23" width="11.42578125" style="35" hidden="1" customWidth="1"/>
    <col min="24" max="24" width="55.140625" style="35" customWidth="1"/>
    <col min="25" max="25" width="61.28515625" hidden="1" customWidth="1"/>
    <col min="26" max="27" width="7.7109375" style="35" hidden="1"/>
    <col min="28" max="16384" width="9.140625" style="35" hidden="1"/>
  </cols>
  <sheetData>
    <row r="1" spans="1:25" s="25" customFormat="1" ht="15" customHeight="1" x14ac:dyDescent="0.25">
      <c r="A1" s="11"/>
      <c r="B1" s="8" t="s">
        <v>55</v>
      </c>
      <c r="C1" s="221"/>
      <c r="D1" s="8"/>
      <c r="E1" s="8"/>
      <c r="F1" s="8"/>
      <c r="G1" s="14"/>
      <c r="H1" s="8"/>
      <c r="I1" s="8"/>
      <c r="J1" s="8"/>
      <c r="K1" s="11"/>
      <c r="L1" s="14"/>
      <c r="M1" s="14"/>
      <c r="N1" s="14"/>
      <c r="O1" s="14"/>
      <c r="P1" s="8"/>
      <c r="Q1" s="8"/>
      <c r="R1" s="8"/>
      <c r="S1" s="8"/>
      <c r="T1" s="8"/>
      <c r="U1" s="8"/>
      <c r="V1" s="8"/>
      <c r="W1" s="8"/>
      <c r="X1" s="8"/>
      <c r="Y1" s="8"/>
    </row>
    <row r="2" spans="1:25" s="25" customFormat="1" ht="15" customHeight="1" x14ac:dyDescent="0.25">
      <c r="A2" s="124"/>
      <c r="B2" s="125" t="s">
        <v>20</v>
      </c>
      <c r="C2" s="475" t="str">
        <f>IF(OR('1. Aanvraaggegevens'!C8="",'1. Aanvraaggegevens'!C8=0),"Kies een berekeningsmethode op tabblad '1. Aanvraaggegevens'",'1. Aanvraaggegevens'!C8)</f>
        <v>Kies een berekeningsmethode op tabblad '1. Aanvraaggegevens'</v>
      </c>
      <c r="D2" s="125"/>
      <c r="E2" s="125"/>
      <c r="F2" s="125"/>
      <c r="G2" s="126"/>
      <c r="H2" s="127" t="str">
        <f>IF(C2="Vereenvoudigde kostenoptie voor arbeidskosten","--&gt;U heeft gekozen voor een forfait voor arbeidskosten. U hoeft daarom geen loonkosten op te geven.","")</f>
        <v/>
      </c>
      <c r="I2" s="127"/>
      <c r="J2" s="127"/>
      <c r="K2" s="124"/>
      <c r="L2" s="126"/>
      <c r="M2" s="126"/>
      <c r="N2" s="126"/>
      <c r="O2" s="126"/>
      <c r="P2" s="127" t="str">
        <f>IF(G2="Vereenvoudigde kostenoptie voor arbeidskosten","--&gt;U heeft gekozen voor een forfait voor arbeidskosten. U hoeft daarom geen loonkosten op te geven.","")</f>
        <v/>
      </c>
      <c r="Q2" s="127"/>
      <c r="R2" s="127"/>
      <c r="S2" s="125"/>
      <c r="T2" s="125"/>
      <c r="U2" s="125"/>
      <c r="V2" s="125"/>
      <c r="W2" s="125"/>
      <c r="X2" s="125"/>
      <c r="Y2" s="125"/>
    </row>
    <row r="3" spans="1:25" s="25" customFormat="1" ht="15" customHeight="1" x14ac:dyDescent="0.25">
      <c r="A3" s="73"/>
      <c r="B3" s="138"/>
      <c r="C3" s="138"/>
      <c r="D3" s="386" t="s">
        <v>133</v>
      </c>
      <c r="E3" s="387"/>
      <c r="F3" s="387"/>
      <c r="G3" s="387"/>
      <c r="H3" s="387"/>
      <c r="I3" s="387"/>
      <c r="J3" s="388"/>
      <c r="K3" s="389" t="s">
        <v>147</v>
      </c>
      <c r="L3" s="390"/>
      <c r="M3" s="390"/>
      <c r="N3" s="390"/>
      <c r="O3" s="390"/>
      <c r="P3" s="390"/>
      <c r="Q3" s="390"/>
      <c r="R3" s="391"/>
      <c r="S3" s="181"/>
      <c r="T3" s="138"/>
      <c r="U3" s="138"/>
      <c r="V3" s="138"/>
      <c r="W3" s="217"/>
      <c r="X3" s="180"/>
      <c r="Y3" s="218"/>
    </row>
    <row r="4" spans="1:25" s="27" customFormat="1" ht="60" x14ac:dyDescent="0.25">
      <c r="A4" s="74" t="s">
        <v>29</v>
      </c>
      <c r="B4" s="74" t="s">
        <v>36</v>
      </c>
      <c r="C4" s="128" t="s">
        <v>12</v>
      </c>
      <c r="D4" s="134" t="s">
        <v>34</v>
      </c>
      <c r="E4" s="135" t="s">
        <v>78</v>
      </c>
      <c r="F4" s="135" t="s">
        <v>33</v>
      </c>
      <c r="G4" s="136" t="s">
        <v>26</v>
      </c>
      <c r="H4" s="136" t="s">
        <v>13</v>
      </c>
      <c r="I4" s="136" t="s">
        <v>14</v>
      </c>
      <c r="J4" s="137" t="s">
        <v>37</v>
      </c>
      <c r="K4" s="134" t="s">
        <v>148</v>
      </c>
      <c r="L4" s="135" t="s">
        <v>34</v>
      </c>
      <c r="M4" s="135" t="s">
        <v>78</v>
      </c>
      <c r="N4" s="135" t="s">
        <v>33</v>
      </c>
      <c r="O4" s="136" t="s">
        <v>26</v>
      </c>
      <c r="P4" s="136" t="s">
        <v>13</v>
      </c>
      <c r="Q4" s="136" t="s">
        <v>14</v>
      </c>
      <c r="R4" s="137" t="s">
        <v>37</v>
      </c>
      <c r="S4" s="178" t="s">
        <v>244</v>
      </c>
      <c r="T4" s="130" t="s">
        <v>135</v>
      </c>
      <c r="U4" s="74" t="s">
        <v>137</v>
      </c>
      <c r="V4" s="74" t="s">
        <v>149</v>
      </c>
      <c r="W4" s="179" t="s">
        <v>150</v>
      </c>
      <c r="X4" s="129" t="s">
        <v>210</v>
      </c>
      <c r="Y4" s="74" t="s">
        <v>197</v>
      </c>
    </row>
    <row r="5" spans="1:25" x14ac:dyDescent="0.2">
      <c r="A5" s="328" t="str">
        <f>IF(OR($B5="Ja",$B5="Nee"),MAX($A$4:A4)+1,"")</f>
        <v/>
      </c>
      <c r="B5" s="329" t="s">
        <v>35</v>
      </c>
      <c r="C5" s="330"/>
      <c r="D5" s="331"/>
      <c r="E5" s="332"/>
      <c r="F5" s="333"/>
      <c r="G5" s="334"/>
      <c r="H5" s="335">
        <f>SUM(F5*12,G5)</f>
        <v>0</v>
      </c>
      <c r="I5" s="336">
        <f>1720*E5/40</f>
        <v>0</v>
      </c>
      <c r="J5" s="337">
        <f t="shared" ref="J5:J36" si="0">IF($B5="nee",IFERROR(ROUND(H5*(1+$U5)/I5,2),0),0)</f>
        <v>0</v>
      </c>
      <c r="K5" s="338"/>
      <c r="L5" s="334"/>
      <c r="M5" s="339"/>
      <c r="N5" s="334"/>
      <c r="O5" s="334"/>
      <c r="P5" s="335">
        <f>SUM(N5*12,O5)</f>
        <v>0</v>
      </c>
      <c r="Q5" s="336">
        <f t="shared" ref="Q5:Q36" si="1">1720*M5/40</f>
        <v>0</v>
      </c>
      <c r="R5" s="337">
        <f t="shared" ref="R5:R36" si="2">IF($B5="nee",IFERROR(ROUND(P5*(1+$U5)/Q5,2),0),0)</f>
        <v>0</v>
      </c>
      <c r="S5" s="340" t="s">
        <v>136</v>
      </c>
      <c r="T5" s="341" t="str">
        <f t="shared" ref="T5:T36" si="3">IF(Methode_Keuze&lt;&gt;"",IF($C$2="Vereenvoudigde kostenoptie voor overige kosten","nee","ja"),"ja")</f>
        <v>ja</v>
      </c>
      <c r="U5" s="342">
        <f>IF(T5="ja",0.442*(1.15)+0.15,0.442)</f>
        <v>0.6583</v>
      </c>
      <c r="V5" s="343">
        <f>IF(B5="Ja",D5,J5)</f>
        <v>0</v>
      </c>
      <c r="W5" s="337" t="str">
        <f>IF(B5="Ja",IF(K5="JA",D5,L5),IF(B5="Nee",IF(K5="JA",J5,R5),""))</f>
        <v/>
      </c>
      <c r="X5" s="344"/>
      <c r="Y5" s="345"/>
    </row>
    <row r="6" spans="1:25" x14ac:dyDescent="0.2">
      <c r="A6" s="328" t="str">
        <f>IF(B6&lt;&gt;"&lt;Selecteer&gt;",MAX($A$4:A5)+1,"")</f>
        <v/>
      </c>
      <c r="B6" s="329" t="s">
        <v>35</v>
      </c>
      <c r="C6" s="330"/>
      <c r="D6" s="331"/>
      <c r="E6" s="332"/>
      <c r="F6" s="333"/>
      <c r="G6" s="334"/>
      <c r="H6" s="335">
        <f t="shared" ref="H6:H54" si="4">SUM(F6*12,G6)</f>
        <v>0</v>
      </c>
      <c r="I6" s="336">
        <f t="shared" ref="I6:I54" si="5">1720*E6/40</f>
        <v>0</v>
      </c>
      <c r="J6" s="337">
        <f t="shared" si="0"/>
        <v>0</v>
      </c>
      <c r="K6" s="338"/>
      <c r="L6" s="334"/>
      <c r="M6" s="339"/>
      <c r="N6" s="334"/>
      <c r="O6" s="334"/>
      <c r="P6" s="335">
        <f t="shared" ref="P6:P54" si="6">SUM(N6*12,O6)</f>
        <v>0</v>
      </c>
      <c r="Q6" s="336">
        <f t="shared" si="1"/>
        <v>0</v>
      </c>
      <c r="R6" s="337">
        <f t="shared" si="2"/>
        <v>0</v>
      </c>
      <c r="S6" s="340" t="s">
        <v>136</v>
      </c>
      <c r="T6" s="341" t="str">
        <f t="shared" si="3"/>
        <v>ja</v>
      </c>
      <c r="U6" s="342">
        <f t="shared" ref="U6:U54" si="7">IF(T6="ja",0.442*(1.15)+0.15,0.442)</f>
        <v>0.6583</v>
      </c>
      <c r="V6" s="343">
        <f t="shared" ref="V6:V54" si="8">IF(B6="Ja",D6,J6)</f>
        <v>0</v>
      </c>
      <c r="W6" s="337" t="str">
        <f t="shared" ref="W6:W54" si="9">IF(B6="Ja",IF(K6="JA",D6,L6),IF(B6="Nee",IF(K6="JA",J6,R6),""))</f>
        <v/>
      </c>
      <c r="X6" s="344"/>
      <c r="Y6" s="345"/>
    </row>
    <row r="7" spans="1:25" x14ac:dyDescent="0.2">
      <c r="A7" s="328" t="str">
        <f>IF(B7&lt;&gt;"&lt;Selecteer&gt;",MAX($A$4:A6)+1,"")</f>
        <v/>
      </c>
      <c r="B7" s="329" t="s">
        <v>35</v>
      </c>
      <c r="C7" s="330"/>
      <c r="D7" s="331"/>
      <c r="E7" s="332"/>
      <c r="F7" s="333"/>
      <c r="G7" s="334"/>
      <c r="H7" s="335">
        <f t="shared" si="4"/>
        <v>0</v>
      </c>
      <c r="I7" s="336">
        <f t="shared" si="5"/>
        <v>0</v>
      </c>
      <c r="J7" s="337">
        <f t="shared" si="0"/>
        <v>0</v>
      </c>
      <c r="K7" s="338"/>
      <c r="L7" s="334"/>
      <c r="M7" s="339"/>
      <c r="N7" s="334"/>
      <c r="O7" s="334"/>
      <c r="P7" s="335">
        <f t="shared" si="6"/>
        <v>0</v>
      </c>
      <c r="Q7" s="336">
        <f t="shared" si="1"/>
        <v>0</v>
      </c>
      <c r="R7" s="337">
        <f t="shared" si="2"/>
        <v>0</v>
      </c>
      <c r="S7" s="340" t="s">
        <v>136</v>
      </c>
      <c r="T7" s="341" t="str">
        <f t="shared" si="3"/>
        <v>ja</v>
      </c>
      <c r="U7" s="342">
        <f t="shared" si="7"/>
        <v>0.6583</v>
      </c>
      <c r="V7" s="343">
        <f t="shared" si="8"/>
        <v>0</v>
      </c>
      <c r="W7" s="337" t="str">
        <f t="shared" si="9"/>
        <v/>
      </c>
      <c r="X7" s="344"/>
      <c r="Y7" s="345"/>
    </row>
    <row r="8" spans="1:25" x14ac:dyDescent="0.2">
      <c r="A8" s="328" t="str">
        <f>IF(B8&lt;&gt;"&lt;Selecteer&gt;",MAX($A$4:A7)+1,"")</f>
        <v/>
      </c>
      <c r="B8" s="329" t="s">
        <v>35</v>
      </c>
      <c r="C8" s="330"/>
      <c r="D8" s="331"/>
      <c r="E8" s="332"/>
      <c r="F8" s="333"/>
      <c r="G8" s="334"/>
      <c r="H8" s="335">
        <f t="shared" si="4"/>
        <v>0</v>
      </c>
      <c r="I8" s="336">
        <f t="shared" si="5"/>
        <v>0</v>
      </c>
      <c r="J8" s="337">
        <f t="shared" si="0"/>
        <v>0</v>
      </c>
      <c r="K8" s="338"/>
      <c r="L8" s="334"/>
      <c r="M8" s="339"/>
      <c r="N8" s="334"/>
      <c r="O8" s="334"/>
      <c r="P8" s="335">
        <f t="shared" si="6"/>
        <v>0</v>
      </c>
      <c r="Q8" s="336">
        <f t="shared" si="1"/>
        <v>0</v>
      </c>
      <c r="R8" s="337">
        <f t="shared" si="2"/>
        <v>0</v>
      </c>
      <c r="S8" s="340" t="s">
        <v>136</v>
      </c>
      <c r="T8" s="341" t="str">
        <f t="shared" si="3"/>
        <v>ja</v>
      </c>
      <c r="U8" s="342">
        <f t="shared" si="7"/>
        <v>0.6583</v>
      </c>
      <c r="V8" s="343">
        <f t="shared" si="8"/>
        <v>0</v>
      </c>
      <c r="W8" s="337" t="str">
        <f t="shared" si="9"/>
        <v/>
      </c>
      <c r="X8" s="344"/>
      <c r="Y8" s="345"/>
    </row>
    <row r="9" spans="1:25" x14ac:dyDescent="0.2">
      <c r="A9" s="328" t="str">
        <f>IF(B9&lt;&gt;"&lt;Selecteer&gt;",MAX($A$4:A8)+1,"")</f>
        <v/>
      </c>
      <c r="B9" s="329" t="s">
        <v>35</v>
      </c>
      <c r="C9" s="330"/>
      <c r="D9" s="331"/>
      <c r="E9" s="332"/>
      <c r="F9" s="333"/>
      <c r="G9" s="334"/>
      <c r="H9" s="335">
        <f t="shared" si="4"/>
        <v>0</v>
      </c>
      <c r="I9" s="336">
        <f t="shared" si="5"/>
        <v>0</v>
      </c>
      <c r="J9" s="337">
        <f t="shared" si="0"/>
        <v>0</v>
      </c>
      <c r="K9" s="338"/>
      <c r="L9" s="334"/>
      <c r="M9" s="339"/>
      <c r="N9" s="334"/>
      <c r="O9" s="334"/>
      <c r="P9" s="335">
        <f t="shared" si="6"/>
        <v>0</v>
      </c>
      <c r="Q9" s="336">
        <f t="shared" si="1"/>
        <v>0</v>
      </c>
      <c r="R9" s="337">
        <f t="shared" si="2"/>
        <v>0</v>
      </c>
      <c r="S9" s="340" t="s">
        <v>136</v>
      </c>
      <c r="T9" s="341" t="str">
        <f t="shared" si="3"/>
        <v>ja</v>
      </c>
      <c r="U9" s="342">
        <f t="shared" si="7"/>
        <v>0.6583</v>
      </c>
      <c r="V9" s="343">
        <f t="shared" si="8"/>
        <v>0</v>
      </c>
      <c r="W9" s="337" t="str">
        <f t="shared" si="9"/>
        <v/>
      </c>
      <c r="X9" s="344"/>
      <c r="Y9" s="345"/>
    </row>
    <row r="10" spans="1:25" x14ac:dyDescent="0.2">
      <c r="A10" s="328" t="str">
        <f>IF(B10&lt;&gt;"&lt;Selecteer&gt;",MAX($A$4:A9)+1,"")</f>
        <v/>
      </c>
      <c r="B10" s="329" t="s">
        <v>35</v>
      </c>
      <c r="C10" s="330"/>
      <c r="D10" s="331"/>
      <c r="E10" s="332"/>
      <c r="F10" s="333"/>
      <c r="G10" s="334"/>
      <c r="H10" s="335">
        <f t="shared" si="4"/>
        <v>0</v>
      </c>
      <c r="I10" s="336">
        <f t="shared" si="5"/>
        <v>0</v>
      </c>
      <c r="J10" s="337">
        <f t="shared" si="0"/>
        <v>0</v>
      </c>
      <c r="K10" s="338"/>
      <c r="L10" s="334"/>
      <c r="M10" s="339"/>
      <c r="N10" s="334"/>
      <c r="O10" s="334"/>
      <c r="P10" s="335">
        <f t="shared" si="6"/>
        <v>0</v>
      </c>
      <c r="Q10" s="336">
        <f t="shared" si="1"/>
        <v>0</v>
      </c>
      <c r="R10" s="337">
        <f t="shared" si="2"/>
        <v>0</v>
      </c>
      <c r="S10" s="340" t="s">
        <v>136</v>
      </c>
      <c r="T10" s="341" t="str">
        <f t="shared" si="3"/>
        <v>ja</v>
      </c>
      <c r="U10" s="342">
        <f t="shared" si="7"/>
        <v>0.6583</v>
      </c>
      <c r="V10" s="343">
        <f t="shared" si="8"/>
        <v>0</v>
      </c>
      <c r="W10" s="337" t="str">
        <f t="shared" si="9"/>
        <v/>
      </c>
      <c r="X10" s="344"/>
      <c r="Y10" s="345"/>
    </row>
    <row r="11" spans="1:25" x14ac:dyDescent="0.2">
      <c r="A11" s="328" t="str">
        <f>IF(B11&lt;&gt;"&lt;Selecteer&gt;",MAX($A$4:A10)+1,"")</f>
        <v/>
      </c>
      <c r="B11" s="329" t="s">
        <v>35</v>
      </c>
      <c r="C11" s="330"/>
      <c r="D11" s="331"/>
      <c r="E11" s="332"/>
      <c r="F11" s="333"/>
      <c r="G11" s="334"/>
      <c r="H11" s="335">
        <f t="shared" si="4"/>
        <v>0</v>
      </c>
      <c r="I11" s="336">
        <f t="shared" si="5"/>
        <v>0</v>
      </c>
      <c r="J11" s="337">
        <f t="shared" si="0"/>
        <v>0</v>
      </c>
      <c r="K11" s="338"/>
      <c r="L11" s="334"/>
      <c r="M11" s="339"/>
      <c r="N11" s="334"/>
      <c r="O11" s="334"/>
      <c r="P11" s="335">
        <f t="shared" si="6"/>
        <v>0</v>
      </c>
      <c r="Q11" s="336">
        <f t="shared" si="1"/>
        <v>0</v>
      </c>
      <c r="R11" s="337">
        <f t="shared" si="2"/>
        <v>0</v>
      </c>
      <c r="S11" s="340" t="s">
        <v>136</v>
      </c>
      <c r="T11" s="341" t="str">
        <f t="shared" si="3"/>
        <v>ja</v>
      </c>
      <c r="U11" s="342">
        <f t="shared" si="7"/>
        <v>0.6583</v>
      </c>
      <c r="V11" s="343">
        <f t="shared" si="8"/>
        <v>0</v>
      </c>
      <c r="W11" s="337" t="str">
        <f t="shared" si="9"/>
        <v/>
      </c>
      <c r="X11" s="344"/>
      <c r="Y11" s="345"/>
    </row>
    <row r="12" spans="1:25" x14ac:dyDescent="0.2">
      <c r="A12" s="328" t="str">
        <f>IF(B12&lt;&gt;"&lt;Selecteer&gt;",MAX($A$4:A11)+1,"")</f>
        <v/>
      </c>
      <c r="B12" s="329" t="s">
        <v>35</v>
      </c>
      <c r="C12" s="330"/>
      <c r="D12" s="331"/>
      <c r="E12" s="332"/>
      <c r="F12" s="333"/>
      <c r="G12" s="334"/>
      <c r="H12" s="335">
        <f t="shared" si="4"/>
        <v>0</v>
      </c>
      <c r="I12" s="336">
        <f t="shared" si="5"/>
        <v>0</v>
      </c>
      <c r="J12" s="337">
        <f t="shared" si="0"/>
        <v>0</v>
      </c>
      <c r="K12" s="338"/>
      <c r="L12" s="334"/>
      <c r="M12" s="339"/>
      <c r="N12" s="334"/>
      <c r="O12" s="334"/>
      <c r="P12" s="335">
        <f t="shared" si="6"/>
        <v>0</v>
      </c>
      <c r="Q12" s="336">
        <f t="shared" si="1"/>
        <v>0</v>
      </c>
      <c r="R12" s="337">
        <f t="shared" si="2"/>
        <v>0</v>
      </c>
      <c r="S12" s="340" t="s">
        <v>136</v>
      </c>
      <c r="T12" s="341" t="str">
        <f t="shared" si="3"/>
        <v>ja</v>
      </c>
      <c r="U12" s="342">
        <f t="shared" si="7"/>
        <v>0.6583</v>
      </c>
      <c r="V12" s="343">
        <f t="shared" si="8"/>
        <v>0</v>
      </c>
      <c r="W12" s="337" t="str">
        <f t="shared" si="9"/>
        <v/>
      </c>
      <c r="X12" s="344"/>
      <c r="Y12" s="345"/>
    </row>
    <row r="13" spans="1:25" x14ac:dyDescent="0.2">
      <c r="A13" s="328" t="str">
        <f>IF(B13&lt;&gt;"&lt;Selecteer&gt;",MAX($A$4:A12)+1,"")</f>
        <v/>
      </c>
      <c r="B13" s="329" t="s">
        <v>35</v>
      </c>
      <c r="C13" s="330"/>
      <c r="D13" s="331"/>
      <c r="E13" s="332"/>
      <c r="F13" s="333"/>
      <c r="G13" s="334"/>
      <c r="H13" s="335">
        <f t="shared" si="4"/>
        <v>0</v>
      </c>
      <c r="I13" s="336">
        <f t="shared" si="5"/>
        <v>0</v>
      </c>
      <c r="J13" s="337">
        <f t="shared" si="0"/>
        <v>0</v>
      </c>
      <c r="K13" s="338"/>
      <c r="L13" s="334"/>
      <c r="M13" s="339"/>
      <c r="N13" s="334"/>
      <c r="O13" s="334"/>
      <c r="P13" s="335">
        <f t="shared" si="6"/>
        <v>0</v>
      </c>
      <c r="Q13" s="336">
        <f t="shared" si="1"/>
        <v>0</v>
      </c>
      <c r="R13" s="337">
        <f t="shared" si="2"/>
        <v>0</v>
      </c>
      <c r="S13" s="340" t="s">
        <v>136</v>
      </c>
      <c r="T13" s="341" t="str">
        <f t="shared" si="3"/>
        <v>ja</v>
      </c>
      <c r="U13" s="342">
        <f t="shared" si="7"/>
        <v>0.6583</v>
      </c>
      <c r="V13" s="343">
        <f t="shared" si="8"/>
        <v>0</v>
      </c>
      <c r="W13" s="337" t="str">
        <f t="shared" si="9"/>
        <v/>
      </c>
      <c r="X13" s="344"/>
      <c r="Y13" s="345"/>
    </row>
    <row r="14" spans="1:25" x14ac:dyDescent="0.2">
      <c r="A14" s="328" t="str">
        <f>IF(B14&lt;&gt;"&lt;Selecteer&gt;",MAX($A$4:A13)+1,"")</f>
        <v/>
      </c>
      <c r="B14" s="329" t="s">
        <v>35</v>
      </c>
      <c r="C14" s="330"/>
      <c r="D14" s="331"/>
      <c r="E14" s="332"/>
      <c r="F14" s="333"/>
      <c r="G14" s="334"/>
      <c r="H14" s="335">
        <f t="shared" si="4"/>
        <v>0</v>
      </c>
      <c r="I14" s="336">
        <f t="shared" si="5"/>
        <v>0</v>
      </c>
      <c r="J14" s="337">
        <f t="shared" si="0"/>
        <v>0</v>
      </c>
      <c r="K14" s="338"/>
      <c r="L14" s="334"/>
      <c r="M14" s="339"/>
      <c r="N14" s="334"/>
      <c r="O14" s="334"/>
      <c r="P14" s="335">
        <f t="shared" si="6"/>
        <v>0</v>
      </c>
      <c r="Q14" s="336">
        <f t="shared" si="1"/>
        <v>0</v>
      </c>
      <c r="R14" s="337">
        <f t="shared" si="2"/>
        <v>0</v>
      </c>
      <c r="S14" s="340" t="s">
        <v>136</v>
      </c>
      <c r="T14" s="341" t="str">
        <f t="shared" si="3"/>
        <v>ja</v>
      </c>
      <c r="U14" s="342">
        <f t="shared" si="7"/>
        <v>0.6583</v>
      </c>
      <c r="V14" s="343">
        <f t="shared" si="8"/>
        <v>0</v>
      </c>
      <c r="W14" s="337" t="str">
        <f t="shared" si="9"/>
        <v/>
      </c>
      <c r="X14" s="344"/>
      <c r="Y14" s="345"/>
    </row>
    <row r="15" spans="1:25" x14ac:dyDescent="0.2">
      <c r="A15" s="328" t="str">
        <f>IF(B15&lt;&gt;"&lt;Selecteer&gt;",MAX($A$4:A14)+1,"")</f>
        <v/>
      </c>
      <c r="B15" s="329" t="s">
        <v>35</v>
      </c>
      <c r="C15" s="330"/>
      <c r="D15" s="331"/>
      <c r="E15" s="332"/>
      <c r="F15" s="333"/>
      <c r="G15" s="334"/>
      <c r="H15" s="335">
        <f t="shared" si="4"/>
        <v>0</v>
      </c>
      <c r="I15" s="336">
        <f t="shared" si="5"/>
        <v>0</v>
      </c>
      <c r="J15" s="337">
        <f t="shared" si="0"/>
        <v>0</v>
      </c>
      <c r="K15" s="338"/>
      <c r="L15" s="334"/>
      <c r="M15" s="339"/>
      <c r="N15" s="334"/>
      <c r="O15" s="334"/>
      <c r="P15" s="335">
        <f t="shared" si="6"/>
        <v>0</v>
      </c>
      <c r="Q15" s="336">
        <f t="shared" si="1"/>
        <v>0</v>
      </c>
      <c r="R15" s="337">
        <f t="shared" si="2"/>
        <v>0</v>
      </c>
      <c r="S15" s="340" t="s">
        <v>136</v>
      </c>
      <c r="T15" s="341" t="str">
        <f t="shared" si="3"/>
        <v>ja</v>
      </c>
      <c r="U15" s="342">
        <f t="shared" si="7"/>
        <v>0.6583</v>
      </c>
      <c r="V15" s="343">
        <f t="shared" si="8"/>
        <v>0</v>
      </c>
      <c r="W15" s="337" t="str">
        <f t="shared" si="9"/>
        <v/>
      </c>
      <c r="X15" s="344"/>
      <c r="Y15" s="345"/>
    </row>
    <row r="16" spans="1:25" x14ac:dyDescent="0.2">
      <c r="A16" s="328" t="str">
        <f>IF(B16&lt;&gt;"&lt;Selecteer&gt;",MAX($A$4:A15)+1,"")</f>
        <v/>
      </c>
      <c r="B16" s="329" t="s">
        <v>35</v>
      </c>
      <c r="C16" s="330"/>
      <c r="D16" s="331"/>
      <c r="E16" s="332"/>
      <c r="F16" s="333"/>
      <c r="G16" s="334"/>
      <c r="H16" s="335">
        <f t="shared" si="4"/>
        <v>0</v>
      </c>
      <c r="I16" s="336">
        <f t="shared" si="5"/>
        <v>0</v>
      </c>
      <c r="J16" s="337">
        <f t="shared" si="0"/>
        <v>0</v>
      </c>
      <c r="K16" s="338"/>
      <c r="L16" s="334"/>
      <c r="M16" s="339"/>
      <c r="N16" s="334"/>
      <c r="O16" s="334"/>
      <c r="P16" s="335">
        <f t="shared" si="6"/>
        <v>0</v>
      </c>
      <c r="Q16" s="336">
        <f t="shared" si="1"/>
        <v>0</v>
      </c>
      <c r="R16" s="337">
        <f t="shared" si="2"/>
        <v>0</v>
      </c>
      <c r="S16" s="340" t="s">
        <v>136</v>
      </c>
      <c r="T16" s="341" t="str">
        <f t="shared" si="3"/>
        <v>ja</v>
      </c>
      <c r="U16" s="342">
        <f t="shared" si="7"/>
        <v>0.6583</v>
      </c>
      <c r="V16" s="343">
        <f t="shared" si="8"/>
        <v>0</v>
      </c>
      <c r="W16" s="337" t="str">
        <f t="shared" si="9"/>
        <v/>
      </c>
      <c r="X16" s="344"/>
      <c r="Y16" s="345"/>
    </row>
    <row r="17" spans="1:25" x14ac:dyDescent="0.2">
      <c r="A17" s="328" t="str">
        <f>IF(B17&lt;&gt;"&lt;Selecteer&gt;",MAX($A$4:A16)+1,"")</f>
        <v/>
      </c>
      <c r="B17" s="329" t="s">
        <v>35</v>
      </c>
      <c r="C17" s="330"/>
      <c r="D17" s="331"/>
      <c r="E17" s="332"/>
      <c r="F17" s="333"/>
      <c r="G17" s="334"/>
      <c r="H17" s="335">
        <f t="shared" si="4"/>
        <v>0</v>
      </c>
      <c r="I17" s="336">
        <f t="shared" si="5"/>
        <v>0</v>
      </c>
      <c r="J17" s="337">
        <f t="shared" si="0"/>
        <v>0</v>
      </c>
      <c r="K17" s="338"/>
      <c r="L17" s="334"/>
      <c r="M17" s="339"/>
      <c r="N17" s="334"/>
      <c r="O17" s="334"/>
      <c r="P17" s="335">
        <f t="shared" si="6"/>
        <v>0</v>
      </c>
      <c r="Q17" s="336">
        <f t="shared" si="1"/>
        <v>0</v>
      </c>
      <c r="R17" s="337">
        <f t="shared" si="2"/>
        <v>0</v>
      </c>
      <c r="S17" s="340" t="s">
        <v>136</v>
      </c>
      <c r="T17" s="341" t="str">
        <f t="shared" si="3"/>
        <v>ja</v>
      </c>
      <c r="U17" s="342">
        <f t="shared" si="7"/>
        <v>0.6583</v>
      </c>
      <c r="V17" s="343">
        <f t="shared" si="8"/>
        <v>0</v>
      </c>
      <c r="W17" s="337" t="str">
        <f t="shared" si="9"/>
        <v/>
      </c>
      <c r="X17" s="344"/>
      <c r="Y17" s="345"/>
    </row>
    <row r="18" spans="1:25" x14ac:dyDescent="0.2">
      <c r="A18" s="328" t="str">
        <f>IF(B18&lt;&gt;"&lt;Selecteer&gt;",MAX($A$4:A17)+1,"")</f>
        <v/>
      </c>
      <c r="B18" s="329" t="s">
        <v>35</v>
      </c>
      <c r="C18" s="330"/>
      <c r="D18" s="331"/>
      <c r="E18" s="332"/>
      <c r="F18" s="333"/>
      <c r="G18" s="334"/>
      <c r="H18" s="335">
        <f t="shared" si="4"/>
        <v>0</v>
      </c>
      <c r="I18" s="336">
        <f t="shared" si="5"/>
        <v>0</v>
      </c>
      <c r="J18" s="337">
        <f t="shared" si="0"/>
        <v>0</v>
      </c>
      <c r="K18" s="338"/>
      <c r="L18" s="334"/>
      <c r="M18" s="339"/>
      <c r="N18" s="334"/>
      <c r="O18" s="334"/>
      <c r="P18" s="335">
        <f t="shared" si="6"/>
        <v>0</v>
      </c>
      <c r="Q18" s="336">
        <f t="shared" si="1"/>
        <v>0</v>
      </c>
      <c r="R18" s="337">
        <f t="shared" si="2"/>
        <v>0</v>
      </c>
      <c r="S18" s="340" t="s">
        <v>136</v>
      </c>
      <c r="T18" s="341" t="str">
        <f t="shared" si="3"/>
        <v>ja</v>
      </c>
      <c r="U18" s="342">
        <f t="shared" si="7"/>
        <v>0.6583</v>
      </c>
      <c r="V18" s="343">
        <f t="shared" si="8"/>
        <v>0</v>
      </c>
      <c r="W18" s="337" t="str">
        <f t="shared" si="9"/>
        <v/>
      </c>
      <c r="X18" s="344"/>
      <c r="Y18" s="345"/>
    </row>
    <row r="19" spans="1:25" x14ac:dyDescent="0.2">
      <c r="A19" s="328" t="str">
        <f>IF(B19&lt;&gt;"&lt;Selecteer&gt;",MAX($A$4:A18)+1,"")</f>
        <v/>
      </c>
      <c r="B19" s="329" t="s">
        <v>35</v>
      </c>
      <c r="C19" s="330"/>
      <c r="D19" s="331"/>
      <c r="E19" s="332"/>
      <c r="F19" s="333"/>
      <c r="G19" s="334"/>
      <c r="H19" s="335">
        <f t="shared" si="4"/>
        <v>0</v>
      </c>
      <c r="I19" s="336">
        <f t="shared" si="5"/>
        <v>0</v>
      </c>
      <c r="J19" s="337">
        <f t="shared" si="0"/>
        <v>0</v>
      </c>
      <c r="K19" s="338"/>
      <c r="L19" s="334"/>
      <c r="M19" s="339"/>
      <c r="N19" s="334"/>
      <c r="O19" s="334"/>
      <c r="P19" s="335">
        <f t="shared" si="6"/>
        <v>0</v>
      </c>
      <c r="Q19" s="336">
        <f t="shared" si="1"/>
        <v>0</v>
      </c>
      <c r="R19" s="337">
        <f t="shared" si="2"/>
        <v>0</v>
      </c>
      <c r="S19" s="340" t="s">
        <v>136</v>
      </c>
      <c r="T19" s="341" t="str">
        <f t="shared" si="3"/>
        <v>ja</v>
      </c>
      <c r="U19" s="342">
        <f t="shared" si="7"/>
        <v>0.6583</v>
      </c>
      <c r="V19" s="343">
        <f t="shared" si="8"/>
        <v>0</v>
      </c>
      <c r="W19" s="337" t="str">
        <f t="shared" si="9"/>
        <v/>
      </c>
      <c r="X19" s="344"/>
      <c r="Y19" s="345"/>
    </row>
    <row r="20" spans="1:25" x14ac:dyDescent="0.2">
      <c r="A20" s="328" t="str">
        <f>IF(B20&lt;&gt;"&lt;Selecteer&gt;",MAX($A$4:A19)+1,"")</f>
        <v/>
      </c>
      <c r="B20" s="329" t="s">
        <v>35</v>
      </c>
      <c r="C20" s="330"/>
      <c r="D20" s="331"/>
      <c r="E20" s="332"/>
      <c r="F20" s="333"/>
      <c r="G20" s="334"/>
      <c r="H20" s="335">
        <f t="shared" si="4"/>
        <v>0</v>
      </c>
      <c r="I20" s="336">
        <f t="shared" si="5"/>
        <v>0</v>
      </c>
      <c r="J20" s="337">
        <f t="shared" si="0"/>
        <v>0</v>
      </c>
      <c r="K20" s="338"/>
      <c r="L20" s="334"/>
      <c r="M20" s="339"/>
      <c r="N20" s="334"/>
      <c r="O20" s="334"/>
      <c r="P20" s="335">
        <f t="shared" si="6"/>
        <v>0</v>
      </c>
      <c r="Q20" s="336">
        <f t="shared" si="1"/>
        <v>0</v>
      </c>
      <c r="R20" s="337">
        <f t="shared" si="2"/>
        <v>0</v>
      </c>
      <c r="S20" s="340" t="s">
        <v>136</v>
      </c>
      <c r="T20" s="341" t="str">
        <f t="shared" si="3"/>
        <v>ja</v>
      </c>
      <c r="U20" s="342">
        <f t="shared" si="7"/>
        <v>0.6583</v>
      </c>
      <c r="V20" s="343">
        <f t="shared" si="8"/>
        <v>0</v>
      </c>
      <c r="W20" s="337" t="str">
        <f t="shared" si="9"/>
        <v/>
      </c>
      <c r="X20" s="344"/>
      <c r="Y20" s="345"/>
    </row>
    <row r="21" spans="1:25" x14ac:dyDescent="0.2">
      <c r="A21" s="328" t="str">
        <f>IF(B21&lt;&gt;"&lt;Selecteer&gt;",MAX($A$4:A20)+1,"")</f>
        <v/>
      </c>
      <c r="B21" s="329" t="s">
        <v>35</v>
      </c>
      <c r="C21" s="330"/>
      <c r="D21" s="331"/>
      <c r="E21" s="332"/>
      <c r="F21" s="333"/>
      <c r="G21" s="334"/>
      <c r="H21" s="335">
        <f t="shared" si="4"/>
        <v>0</v>
      </c>
      <c r="I21" s="336">
        <f t="shared" si="5"/>
        <v>0</v>
      </c>
      <c r="J21" s="337">
        <f t="shared" si="0"/>
        <v>0</v>
      </c>
      <c r="K21" s="338"/>
      <c r="L21" s="334"/>
      <c r="M21" s="339"/>
      <c r="N21" s="334"/>
      <c r="O21" s="334"/>
      <c r="P21" s="335">
        <f t="shared" si="6"/>
        <v>0</v>
      </c>
      <c r="Q21" s="336">
        <f t="shared" si="1"/>
        <v>0</v>
      </c>
      <c r="R21" s="337">
        <f t="shared" si="2"/>
        <v>0</v>
      </c>
      <c r="S21" s="340" t="s">
        <v>136</v>
      </c>
      <c r="T21" s="341" t="str">
        <f t="shared" si="3"/>
        <v>ja</v>
      </c>
      <c r="U21" s="342">
        <f t="shared" si="7"/>
        <v>0.6583</v>
      </c>
      <c r="V21" s="343">
        <f t="shared" si="8"/>
        <v>0</v>
      </c>
      <c r="W21" s="337" t="str">
        <f t="shared" si="9"/>
        <v/>
      </c>
      <c r="X21" s="344"/>
      <c r="Y21" s="345"/>
    </row>
    <row r="22" spans="1:25" x14ac:dyDescent="0.2">
      <c r="A22" s="328" t="str">
        <f>IF(B22&lt;&gt;"&lt;Selecteer&gt;",MAX($A$4:A21)+1,"")</f>
        <v/>
      </c>
      <c r="B22" s="329" t="s">
        <v>35</v>
      </c>
      <c r="C22" s="330"/>
      <c r="D22" s="331"/>
      <c r="E22" s="332"/>
      <c r="F22" s="333"/>
      <c r="G22" s="334"/>
      <c r="H22" s="335">
        <f t="shared" si="4"/>
        <v>0</v>
      </c>
      <c r="I22" s="336">
        <f t="shared" si="5"/>
        <v>0</v>
      </c>
      <c r="J22" s="337">
        <f t="shared" si="0"/>
        <v>0</v>
      </c>
      <c r="K22" s="338"/>
      <c r="L22" s="334"/>
      <c r="M22" s="339"/>
      <c r="N22" s="334"/>
      <c r="O22" s="334"/>
      <c r="P22" s="335">
        <f t="shared" si="6"/>
        <v>0</v>
      </c>
      <c r="Q22" s="336">
        <f t="shared" si="1"/>
        <v>0</v>
      </c>
      <c r="R22" s="337">
        <f t="shared" si="2"/>
        <v>0</v>
      </c>
      <c r="S22" s="340" t="s">
        <v>136</v>
      </c>
      <c r="T22" s="341" t="str">
        <f t="shared" si="3"/>
        <v>ja</v>
      </c>
      <c r="U22" s="342">
        <f t="shared" si="7"/>
        <v>0.6583</v>
      </c>
      <c r="V22" s="343">
        <f t="shared" si="8"/>
        <v>0</v>
      </c>
      <c r="W22" s="337" t="str">
        <f t="shared" si="9"/>
        <v/>
      </c>
      <c r="X22" s="344"/>
      <c r="Y22" s="345"/>
    </row>
    <row r="23" spans="1:25" x14ac:dyDescent="0.2">
      <c r="A23" s="328" t="str">
        <f>IF(B23&lt;&gt;"&lt;Selecteer&gt;",MAX($A$4:A22)+1,"")</f>
        <v/>
      </c>
      <c r="B23" s="329" t="s">
        <v>35</v>
      </c>
      <c r="C23" s="330"/>
      <c r="D23" s="331"/>
      <c r="E23" s="332"/>
      <c r="F23" s="333"/>
      <c r="G23" s="334"/>
      <c r="H23" s="335">
        <f t="shared" si="4"/>
        <v>0</v>
      </c>
      <c r="I23" s="336">
        <f t="shared" si="5"/>
        <v>0</v>
      </c>
      <c r="J23" s="337">
        <f t="shared" si="0"/>
        <v>0</v>
      </c>
      <c r="K23" s="338"/>
      <c r="L23" s="334"/>
      <c r="M23" s="339"/>
      <c r="N23" s="334"/>
      <c r="O23" s="334"/>
      <c r="P23" s="335">
        <f t="shared" si="6"/>
        <v>0</v>
      </c>
      <c r="Q23" s="336">
        <f t="shared" si="1"/>
        <v>0</v>
      </c>
      <c r="R23" s="337">
        <f t="shared" si="2"/>
        <v>0</v>
      </c>
      <c r="S23" s="340" t="s">
        <v>136</v>
      </c>
      <c r="T23" s="341" t="str">
        <f t="shared" si="3"/>
        <v>ja</v>
      </c>
      <c r="U23" s="342">
        <f t="shared" si="7"/>
        <v>0.6583</v>
      </c>
      <c r="V23" s="343">
        <f t="shared" si="8"/>
        <v>0</v>
      </c>
      <c r="W23" s="337" t="str">
        <f t="shared" si="9"/>
        <v/>
      </c>
      <c r="X23" s="344"/>
      <c r="Y23" s="345"/>
    </row>
    <row r="24" spans="1:25" x14ac:dyDescent="0.2">
      <c r="A24" s="328" t="str">
        <f>IF(B24&lt;&gt;"&lt;Selecteer&gt;",MAX($A$4:A23)+1,"")</f>
        <v/>
      </c>
      <c r="B24" s="329" t="s">
        <v>35</v>
      </c>
      <c r="C24" s="330"/>
      <c r="D24" s="331"/>
      <c r="E24" s="332"/>
      <c r="F24" s="333"/>
      <c r="G24" s="334"/>
      <c r="H24" s="335">
        <f t="shared" si="4"/>
        <v>0</v>
      </c>
      <c r="I24" s="336">
        <f t="shared" si="5"/>
        <v>0</v>
      </c>
      <c r="J24" s="337">
        <f t="shared" si="0"/>
        <v>0</v>
      </c>
      <c r="K24" s="338"/>
      <c r="L24" s="334"/>
      <c r="M24" s="339"/>
      <c r="N24" s="334"/>
      <c r="O24" s="334"/>
      <c r="P24" s="335">
        <f t="shared" si="6"/>
        <v>0</v>
      </c>
      <c r="Q24" s="336">
        <f t="shared" si="1"/>
        <v>0</v>
      </c>
      <c r="R24" s="337">
        <f t="shared" si="2"/>
        <v>0</v>
      </c>
      <c r="S24" s="340" t="s">
        <v>136</v>
      </c>
      <c r="T24" s="341" t="str">
        <f t="shared" si="3"/>
        <v>ja</v>
      </c>
      <c r="U24" s="342">
        <f t="shared" si="7"/>
        <v>0.6583</v>
      </c>
      <c r="V24" s="343">
        <f t="shared" si="8"/>
        <v>0</v>
      </c>
      <c r="W24" s="337" t="str">
        <f t="shared" si="9"/>
        <v/>
      </c>
      <c r="X24" s="344"/>
      <c r="Y24" s="345"/>
    </row>
    <row r="25" spans="1:25" x14ac:dyDescent="0.2">
      <c r="A25" s="328" t="str">
        <f>IF(B25&lt;&gt;"&lt;Selecteer&gt;",MAX($A$4:A24)+1,"")</f>
        <v/>
      </c>
      <c r="B25" s="329" t="s">
        <v>35</v>
      </c>
      <c r="C25" s="330"/>
      <c r="D25" s="331"/>
      <c r="E25" s="332"/>
      <c r="F25" s="333"/>
      <c r="G25" s="334"/>
      <c r="H25" s="335">
        <f t="shared" si="4"/>
        <v>0</v>
      </c>
      <c r="I25" s="336">
        <f t="shared" si="5"/>
        <v>0</v>
      </c>
      <c r="J25" s="337">
        <f t="shared" si="0"/>
        <v>0</v>
      </c>
      <c r="K25" s="338"/>
      <c r="L25" s="334"/>
      <c r="M25" s="339"/>
      <c r="N25" s="334"/>
      <c r="O25" s="334"/>
      <c r="P25" s="335">
        <f t="shared" si="6"/>
        <v>0</v>
      </c>
      <c r="Q25" s="336">
        <f t="shared" si="1"/>
        <v>0</v>
      </c>
      <c r="R25" s="337">
        <f t="shared" si="2"/>
        <v>0</v>
      </c>
      <c r="S25" s="340" t="s">
        <v>136</v>
      </c>
      <c r="T25" s="341" t="str">
        <f t="shared" si="3"/>
        <v>ja</v>
      </c>
      <c r="U25" s="342">
        <f t="shared" si="7"/>
        <v>0.6583</v>
      </c>
      <c r="V25" s="343">
        <f t="shared" si="8"/>
        <v>0</v>
      </c>
      <c r="W25" s="337" t="str">
        <f t="shared" si="9"/>
        <v/>
      </c>
      <c r="X25" s="344"/>
      <c r="Y25" s="345"/>
    </row>
    <row r="26" spans="1:25" x14ac:dyDescent="0.2">
      <c r="A26" s="328" t="str">
        <f>IF(B26&lt;&gt;"&lt;Selecteer&gt;",MAX($A$4:A25)+1,"")</f>
        <v/>
      </c>
      <c r="B26" s="329" t="s">
        <v>35</v>
      </c>
      <c r="C26" s="330"/>
      <c r="D26" s="331"/>
      <c r="E26" s="332"/>
      <c r="F26" s="333"/>
      <c r="G26" s="334"/>
      <c r="H26" s="335">
        <f t="shared" si="4"/>
        <v>0</v>
      </c>
      <c r="I26" s="336">
        <f t="shared" si="5"/>
        <v>0</v>
      </c>
      <c r="J26" s="337">
        <f t="shared" si="0"/>
        <v>0</v>
      </c>
      <c r="K26" s="338"/>
      <c r="L26" s="334"/>
      <c r="M26" s="339"/>
      <c r="N26" s="334"/>
      <c r="O26" s="334"/>
      <c r="P26" s="335">
        <f t="shared" si="6"/>
        <v>0</v>
      </c>
      <c r="Q26" s="336">
        <f t="shared" si="1"/>
        <v>0</v>
      </c>
      <c r="R26" s="337">
        <f t="shared" si="2"/>
        <v>0</v>
      </c>
      <c r="S26" s="340" t="s">
        <v>136</v>
      </c>
      <c r="T26" s="341" t="str">
        <f t="shared" si="3"/>
        <v>ja</v>
      </c>
      <c r="U26" s="342">
        <f t="shared" si="7"/>
        <v>0.6583</v>
      </c>
      <c r="V26" s="343">
        <f t="shared" si="8"/>
        <v>0</v>
      </c>
      <c r="W26" s="337" t="str">
        <f t="shared" si="9"/>
        <v/>
      </c>
      <c r="X26" s="344"/>
      <c r="Y26" s="345"/>
    </row>
    <row r="27" spans="1:25" x14ac:dyDescent="0.2">
      <c r="A27" s="328" t="str">
        <f>IF(B27&lt;&gt;"&lt;Selecteer&gt;",MAX($A$4:A26)+1,"")</f>
        <v/>
      </c>
      <c r="B27" s="329" t="s">
        <v>35</v>
      </c>
      <c r="C27" s="330"/>
      <c r="D27" s="331"/>
      <c r="E27" s="332"/>
      <c r="F27" s="333"/>
      <c r="G27" s="334"/>
      <c r="H27" s="335">
        <f t="shared" si="4"/>
        <v>0</v>
      </c>
      <c r="I27" s="336">
        <f t="shared" si="5"/>
        <v>0</v>
      </c>
      <c r="J27" s="337">
        <f t="shared" si="0"/>
        <v>0</v>
      </c>
      <c r="K27" s="338"/>
      <c r="L27" s="334"/>
      <c r="M27" s="339"/>
      <c r="N27" s="334"/>
      <c r="O27" s="334"/>
      <c r="P27" s="335">
        <f t="shared" si="6"/>
        <v>0</v>
      </c>
      <c r="Q27" s="336">
        <f t="shared" si="1"/>
        <v>0</v>
      </c>
      <c r="R27" s="337">
        <f t="shared" si="2"/>
        <v>0</v>
      </c>
      <c r="S27" s="340" t="s">
        <v>136</v>
      </c>
      <c r="T27" s="341" t="str">
        <f t="shared" si="3"/>
        <v>ja</v>
      </c>
      <c r="U27" s="342">
        <f t="shared" si="7"/>
        <v>0.6583</v>
      </c>
      <c r="V27" s="343">
        <f t="shared" si="8"/>
        <v>0</v>
      </c>
      <c r="W27" s="337" t="str">
        <f t="shared" si="9"/>
        <v/>
      </c>
      <c r="X27" s="344"/>
      <c r="Y27" s="345"/>
    </row>
    <row r="28" spans="1:25" x14ac:dyDescent="0.2">
      <c r="A28" s="328" t="str">
        <f>IF(B28&lt;&gt;"&lt;Selecteer&gt;",MAX($A$4:A27)+1,"")</f>
        <v/>
      </c>
      <c r="B28" s="329" t="s">
        <v>35</v>
      </c>
      <c r="C28" s="330"/>
      <c r="D28" s="331"/>
      <c r="E28" s="332"/>
      <c r="F28" s="333"/>
      <c r="G28" s="334"/>
      <c r="H28" s="335">
        <f t="shared" si="4"/>
        <v>0</v>
      </c>
      <c r="I28" s="336">
        <f t="shared" si="5"/>
        <v>0</v>
      </c>
      <c r="J28" s="337">
        <f t="shared" si="0"/>
        <v>0</v>
      </c>
      <c r="K28" s="338"/>
      <c r="L28" s="334"/>
      <c r="M28" s="339"/>
      <c r="N28" s="334"/>
      <c r="O28" s="334"/>
      <c r="P28" s="335">
        <f t="shared" si="6"/>
        <v>0</v>
      </c>
      <c r="Q28" s="336">
        <f t="shared" si="1"/>
        <v>0</v>
      </c>
      <c r="R28" s="337">
        <f t="shared" si="2"/>
        <v>0</v>
      </c>
      <c r="S28" s="340" t="s">
        <v>136</v>
      </c>
      <c r="T28" s="341" t="str">
        <f t="shared" si="3"/>
        <v>ja</v>
      </c>
      <c r="U28" s="342">
        <f t="shared" si="7"/>
        <v>0.6583</v>
      </c>
      <c r="V28" s="343">
        <f t="shared" si="8"/>
        <v>0</v>
      </c>
      <c r="W28" s="337" t="str">
        <f t="shared" si="9"/>
        <v/>
      </c>
      <c r="X28" s="344"/>
      <c r="Y28" s="345"/>
    </row>
    <row r="29" spans="1:25" x14ac:dyDescent="0.2">
      <c r="A29" s="328" t="str">
        <f>IF(B29&lt;&gt;"&lt;Selecteer&gt;",MAX($A$4:A28)+1,"")</f>
        <v/>
      </c>
      <c r="B29" s="329" t="s">
        <v>35</v>
      </c>
      <c r="C29" s="330"/>
      <c r="D29" s="331"/>
      <c r="E29" s="332"/>
      <c r="F29" s="333"/>
      <c r="G29" s="334"/>
      <c r="H29" s="335">
        <f t="shared" si="4"/>
        <v>0</v>
      </c>
      <c r="I29" s="336">
        <f t="shared" si="5"/>
        <v>0</v>
      </c>
      <c r="J29" s="337">
        <f t="shared" si="0"/>
        <v>0</v>
      </c>
      <c r="K29" s="338"/>
      <c r="L29" s="334"/>
      <c r="M29" s="339"/>
      <c r="N29" s="334"/>
      <c r="O29" s="334"/>
      <c r="P29" s="335">
        <f t="shared" si="6"/>
        <v>0</v>
      </c>
      <c r="Q29" s="336">
        <f t="shared" si="1"/>
        <v>0</v>
      </c>
      <c r="R29" s="337">
        <f t="shared" si="2"/>
        <v>0</v>
      </c>
      <c r="S29" s="340" t="s">
        <v>136</v>
      </c>
      <c r="T29" s="341" t="str">
        <f t="shared" si="3"/>
        <v>ja</v>
      </c>
      <c r="U29" s="342">
        <f t="shared" si="7"/>
        <v>0.6583</v>
      </c>
      <c r="V29" s="343">
        <f t="shared" si="8"/>
        <v>0</v>
      </c>
      <c r="W29" s="337" t="str">
        <f t="shared" si="9"/>
        <v/>
      </c>
      <c r="X29" s="344"/>
      <c r="Y29" s="345"/>
    </row>
    <row r="30" spans="1:25" x14ac:dyDescent="0.2">
      <c r="A30" s="328" t="str">
        <f>IF(B30&lt;&gt;"&lt;Selecteer&gt;",MAX($A$4:A29)+1,"")</f>
        <v/>
      </c>
      <c r="B30" s="329" t="s">
        <v>35</v>
      </c>
      <c r="C30" s="330"/>
      <c r="D30" s="331"/>
      <c r="E30" s="332"/>
      <c r="F30" s="333"/>
      <c r="G30" s="334"/>
      <c r="H30" s="335">
        <f t="shared" si="4"/>
        <v>0</v>
      </c>
      <c r="I30" s="336">
        <f t="shared" si="5"/>
        <v>0</v>
      </c>
      <c r="J30" s="337">
        <f t="shared" si="0"/>
        <v>0</v>
      </c>
      <c r="K30" s="338"/>
      <c r="L30" s="334"/>
      <c r="M30" s="339"/>
      <c r="N30" s="334"/>
      <c r="O30" s="334"/>
      <c r="P30" s="335">
        <f t="shared" si="6"/>
        <v>0</v>
      </c>
      <c r="Q30" s="336">
        <f t="shared" si="1"/>
        <v>0</v>
      </c>
      <c r="R30" s="337">
        <f t="shared" si="2"/>
        <v>0</v>
      </c>
      <c r="S30" s="340" t="s">
        <v>136</v>
      </c>
      <c r="T30" s="341" t="str">
        <f t="shared" si="3"/>
        <v>ja</v>
      </c>
      <c r="U30" s="342">
        <f t="shared" si="7"/>
        <v>0.6583</v>
      </c>
      <c r="V30" s="343">
        <f t="shared" si="8"/>
        <v>0</v>
      </c>
      <c r="W30" s="337" t="str">
        <f t="shared" si="9"/>
        <v/>
      </c>
      <c r="X30" s="344"/>
      <c r="Y30" s="345"/>
    </row>
    <row r="31" spans="1:25" x14ac:dyDescent="0.2">
      <c r="A31" s="328" t="str">
        <f>IF(B31&lt;&gt;"&lt;Selecteer&gt;",MAX($A$4:A30)+1,"")</f>
        <v/>
      </c>
      <c r="B31" s="329" t="s">
        <v>35</v>
      </c>
      <c r="C31" s="330"/>
      <c r="D31" s="331"/>
      <c r="E31" s="332"/>
      <c r="F31" s="333"/>
      <c r="G31" s="334"/>
      <c r="H31" s="335">
        <f t="shared" si="4"/>
        <v>0</v>
      </c>
      <c r="I31" s="336">
        <f t="shared" si="5"/>
        <v>0</v>
      </c>
      <c r="J31" s="337">
        <f t="shared" si="0"/>
        <v>0</v>
      </c>
      <c r="K31" s="338"/>
      <c r="L31" s="334"/>
      <c r="M31" s="339"/>
      <c r="N31" s="334"/>
      <c r="O31" s="334"/>
      <c r="P31" s="335">
        <f t="shared" si="6"/>
        <v>0</v>
      </c>
      <c r="Q31" s="336">
        <f t="shared" si="1"/>
        <v>0</v>
      </c>
      <c r="R31" s="337">
        <f t="shared" si="2"/>
        <v>0</v>
      </c>
      <c r="S31" s="340" t="s">
        <v>136</v>
      </c>
      <c r="T31" s="341" t="str">
        <f t="shared" si="3"/>
        <v>ja</v>
      </c>
      <c r="U31" s="342">
        <f t="shared" si="7"/>
        <v>0.6583</v>
      </c>
      <c r="V31" s="343">
        <f t="shared" si="8"/>
        <v>0</v>
      </c>
      <c r="W31" s="337" t="str">
        <f t="shared" si="9"/>
        <v/>
      </c>
      <c r="X31" s="344"/>
      <c r="Y31" s="345"/>
    </row>
    <row r="32" spans="1:25" x14ac:dyDescent="0.2">
      <c r="A32" s="328" t="str">
        <f>IF(B32&lt;&gt;"&lt;Selecteer&gt;",MAX($A$4:A31)+1,"")</f>
        <v/>
      </c>
      <c r="B32" s="329" t="s">
        <v>35</v>
      </c>
      <c r="C32" s="330"/>
      <c r="D32" s="331"/>
      <c r="E32" s="332"/>
      <c r="F32" s="333"/>
      <c r="G32" s="334"/>
      <c r="H32" s="335">
        <f t="shared" si="4"/>
        <v>0</v>
      </c>
      <c r="I32" s="336">
        <f t="shared" si="5"/>
        <v>0</v>
      </c>
      <c r="J32" s="337">
        <f t="shared" si="0"/>
        <v>0</v>
      </c>
      <c r="K32" s="338"/>
      <c r="L32" s="334"/>
      <c r="M32" s="339"/>
      <c r="N32" s="334"/>
      <c r="O32" s="334"/>
      <c r="P32" s="335">
        <f t="shared" si="6"/>
        <v>0</v>
      </c>
      <c r="Q32" s="336">
        <f t="shared" si="1"/>
        <v>0</v>
      </c>
      <c r="R32" s="337">
        <f t="shared" si="2"/>
        <v>0</v>
      </c>
      <c r="S32" s="340" t="s">
        <v>136</v>
      </c>
      <c r="T32" s="341" t="str">
        <f t="shared" si="3"/>
        <v>ja</v>
      </c>
      <c r="U32" s="342">
        <f t="shared" si="7"/>
        <v>0.6583</v>
      </c>
      <c r="V32" s="343">
        <f t="shared" si="8"/>
        <v>0</v>
      </c>
      <c r="W32" s="337" t="str">
        <f t="shared" si="9"/>
        <v/>
      </c>
      <c r="X32" s="344"/>
      <c r="Y32" s="345"/>
    </row>
    <row r="33" spans="1:25" x14ac:dyDescent="0.2">
      <c r="A33" s="328" t="str">
        <f>IF(B33&lt;&gt;"&lt;Selecteer&gt;",MAX($A$4:A32)+1,"")</f>
        <v/>
      </c>
      <c r="B33" s="329" t="s">
        <v>35</v>
      </c>
      <c r="C33" s="330"/>
      <c r="D33" s="331"/>
      <c r="E33" s="332"/>
      <c r="F33" s="333"/>
      <c r="G33" s="334"/>
      <c r="H33" s="335">
        <f t="shared" si="4"/>
        <v>0</v>
      </c>
      <c r="I33" s="336">
        <f t="shared" si="5"/>
        <v>0</v>
      </c>
      <c r="J33" s="337">
        <f t="shared" si="0"/>
        <v>0</v>
      </c>
      <c r="K33" s="338"/>
      <c r="L33" s="334"/>
      <c r="M33" s="339"/>
      <c r="N33" s="334"/>
      <c r="O33" s="334"/>
      <c r="P33" s="335">
        <f t="shared" si="6"/>
        <v>0</v>
      </c>
      <c r="Q33" s="336">
        <f t="shared" si="1"/>
        <v>0</v>
      </c>
      <c r="R33" s="337">
        <f t="shared" si="2"/>
        <v>0</v>
      </c>
      <c r="S33" s="340" t="s">
        <v>136</v>
      </c>
      <c r="T33" s="341" t="str">
        <f t="shared" si="3"/>
        <v>ja</v>
      </c>
      <c r="U33" s="342">
        <f t="shared" si="7"/>
        <v>0.6583</v>
      </c>
      <c r="V33" s="343">
        <f t="shared" si="8"/>
        <v>0</v>
      </c>
      <c r="W33" s="337" t="str">
        <f t="shared" si="9"/>
        <v/>
      </c>
      <c r="X33" s="344"/>
      <c r="Y33" s="345"/>
    </row>
    <row r="34" spans="1:25" x14ac:dyDescent="0.2">
      <c r="A34" s="328" t="str">
        <f>IF(B34&lt;&gt;"&lt;Selecteer&gt;",MAX($A$4:A33)+1,"")</f>
        <v/>
      </c>
      <c r="B34" s="329" t="s">
        <v>35</v>
      </c>
      <c r="C34" s="330"/>
      <c r="D34" s="331"/>
      <c r="E34" s="332"/>
      <c r="F34" s="333"/>
      <c r="G34" s="334"/>
      <c r="H34" s="335">
        <f t="shared" si="4"/>
        <v>0</v>
      </c>
      <c r="I34" s="336">
        <f t="shared" si="5"/>
        <v>0</v>
      </c>
      <c r="J34" s="337">
        <f t="shared" si="0"/>
        <v>0</v>
      </c>
      <c r="K34" s="338"/>
      <c r="L34" s="334"/>
      <c r="M34" s="339"/>
      <c r="N34" s="334"/>
      <c r="O34" s="334"/>
      <c r="P34" s="335">
        <f t="shared" si="6"/>
        <v>0</v>
      </c>
      <c r="Q34" s="336">
        <f t="shared" si="1"/>
        <v>0</v>
      </c>
      <c r="R34" s="337">
        <f t="shared" si="2"/>
        <v>0</v>
      </c>
      <c r="S34" s="340" t="s">
        <v>136</v>
      </c>
      <c r="T34" s="341" t="str">
        <f t="shared" si="3"/>
        <v>ja</v>
      </c>
      <c r="U34" s="342">
        <f t="shared" si="7"/>
        <v>0.6583</v>
      </c>
      <c r="V34" s="343">
        <f t="shared" si="8"/>
        <v>0</v>
      </c>
      <c r="W34" s="337" t="str">
        <f t="shared" si="9"/>
        <v/>
      </c>
      <c r="X34" s="344"/>
      <c r="Y34" s="345"/>
    </row>
    <row r="35" spans="1:25" x14ac:dyDescent="0.2">
      <c r="A35" s="328" t="str">
        <f>IF(B35&lt;&gt;"&lt;Selecteer&gt;",MAX($A$4:A34)+1,"")</f>
        <v/>
      </c>
      <c r="B35" s="329" t="s">
        <v>35</v>
      </c>
      <c r="C35" s="330"/>
      <c r="D35" s="331"/>
      <c r="E35" s="332"/>
      <c r="F35" s="333"/>
      <c r="G35" s="334"/>
      <c r="H35" s="335">
        <f t="shared" si="4"/>
        <v>0</v>
      </c>
      <c r="I35" s="336">
        <f t="shared" si="5"/>
        <v>0</v>
      </c>
      <c r="J35" s="337">
        <f t="shared" si="0"/>
        <v>0</v>
      </c>
      <c r="K35" s="338"/>
      <c r="L35" s="334"/>
      <c r="M35" s="339"/>
      <c r="N35" s="334"/>
      <c r="O35" s="334"/>
      <c r="P35" s="335">
        <f t="shared" si="6"/>
        <v>0</v>
      </c>
      <c r="Q35" s="336">
        <f t="shared" si="1"/>
        <v>0</v>
      </c>
      <c r="R35" s="337">
        <f t="shared" si="2"/>
        <v>0</v>
      </c>
      <c r="S35" s="340" t="s">
        <v>136</v>
      </c>
      <c r="T35" s="341" t="str">
        <f t="shared" si="3"/>
        <v>ja</v>
      </c>
      <c r="U35" s="342">
        <f t="shared" si="7"/>
        <v>0.6583</v>
      </c>
      <c r="V35" s="343">
        <f t="shared" si="8"/>
        <v>0</v>
      </c>
      <c r="W35" s="337" t="str">
        <f t="shared" si="9"/>
        <v/>
      </c>
      <c r="X35" s="344"/>
      <c r="Y35" s="345"/>
    </row>
    <row r="36" spans="1:25" x14ac:dyDescent="0.2">
      <c r="A36" s="328" t="str">
        <f>IF(B36&lt;&gt;"&lt;Selecteer&gt;",MAX($A$4:A35)+1,"")</f>
        <v/>
      </c>
      <c r="B36" s="329" t="s">
        <v>35</v>
      </c>
      <c r="C36" s="330"/>
      <c r="D36" s="331"/>
      <c r="E36" s="332"/>
      <c r="F36" s="333"/>
      <c r="G36" s="334"/>
      <c r="H36" s="335">
        <f t="shared" si="4"/>
        <v>0</v>
      </c>
      <c r="I36" s="336">
        <f t="shared" si="5"/>
        <v>0</v>
      </c>
      <c r="J36" s="337">
        <f t="shared" si="0"/>
        <v>0</v>
      </c>
      <c r="K36" s="338"/>
      <c r="L36" s="334"/>
      <c r="M36" s="339"/>
      <c r="N36" s="334"/>
      <c r="O36" s="334"/>
      <c r="P36" s="335">
        <f t="shared" si="6"/>
        <v>0</v>
      </c>
      <c r="Q36" s="336">
        <f t="shared" si="1"/>
        <v>0</v>
      </c>
      <c r="R36" s="337">
        <f t="shared" si="2"/>
        <v>0</v>
      </c>
      <c r="S36" s="340" t="s">
        <v>136</v>
      </c>
      <c r="T36" s="341" t="str">
        <f t="shared" si="3"/>
        <v>ja</v>
      </c>
      <c r="U36" s="342">
        <f t="shared" si="7"/>
        <v>0.6583</v>
      </c>
      <c r="V36" s="343">
        <f t="shared" si="8"/>
        <v>0</v>
      </c>
      <c r="W36" s="337" t="str">
        <f t="shared" si="9"/>
        <v/>
      </c>
      <c r="X36" s="344"/>
      <c r="Y36" s="345"/>
    </row>
    <row r="37" spans="1:25" x14ac:dyDescent="0.2">
      <c r="A37" s="328" t="str">
        <f>IF(B37&lt;&gt;"&lt;Selecteer&gt;",MAX($A$4:A36)+1,"")</f>
        <v/>
      </c>
      <c r="B37" s="329" t="s">
        <v>35</v>
      </c>
      <c r="C37" s="330"/>
      <c r="D37" s="331"/>
      <c r="E37" s="332"/>
      <c r="F37" s="333"/>
      <c r="G37" s="334"/>
      <c r="H37" s="335">
        <f t="shared" si="4"/>
        <v>0</v>
      </c>
      <c r="I37" s="336">
        <f t="shared" si="5"/>
        <v>0</v>
      </c>
      <c r="J37" s="337">
        <f t="shared" ref="J37:J54" si="10">IF($B37="nee",IFERROR(ROUND(H37*(1+$U37)/I37,2),0),0)</f>
        <v>0</v>
      </c>
      <c r="K37" s="338"/>
      <c r="L37" s="334"/>
      <c r="M37" s="339"/>
      <c r="N37" s="334"/>
      <c r="O37" s="334"/>
      <c r="P37" s="335">
        <f t="shared" si="6"/>
        <v>0</v>
      </c>
      <c r="Q37" s="336">
        <f t="shared" ref="Q37:Q54" si="11">1720*M37/40</f>
        <v>0</v>
      </c>
      <c r="R37" s="337">
        <f t="shared" ref="R37:R54" si="12">IF($B37="nee",IFERROR(ROUND(P37*(1+$U37)/Q37,2),0),0)</f>
        <v>0</v>
      </c>
      <c r="S37" s="340" t="s">
        <v>136</v>
      </c>
      <c r="T37" s="341" t="str">
        <f t="shared" ref="T37:T54" si="13">IF(Methode_Keuze&lt;&gt;"",IF($C$2="Vereenvoudigde kostenoptie voor overige kosten","nee","ja"),"ja")</f>
        <v>ja</v>
      </c>
      <c r="U37" s="342">
        <f t="shared" si="7"/>
        <v>0.6583</v>
      </c>
      <c r="V37" s="343">
        <f t="shared" si="8"/>
        <v>0</v>
      </c>
      <c r="W37" s="337" t="str">
        <f t="shared" si="9"/>
        <v/>
      </c>
      <c r="X37" s="344"/>
      <c r="Y37" s="345"/>
    </row>
    <row r="38" spans="1:25" x14ac:dyDescent="0.2">
      <c r="A38" s="328" t="str">
        <f>IF(B38&lt;&gt;"&lt;Selecteer&gt;",MAX($A$4:A37)+1,"")</f>
        <v/>
      </c>
      <c r="B38" s="329" t="s">
        <v>35</v>
      </c>
      <c r="C38" s="330"/>
      <c r="D38" s="331"/>
      <c r="E38" s="332"/>
      <c r="F38" s="333"/>
      <c r="G38" s="334"/>
      <c r="H38" s="335">
        <f t="shared" si="4"/>
        <v>0</v>
      </c>
      <c r="I38" s="336">
        <f t="shared" si="5"/>
        <v>0</v>
      </c>
      <c r="J38" s="337">
        <f t="shared" si="10"/>
        <v>0</v>
      </c>
      <c r="K38" s="338"/>
      <c r="L38" s="334"/>
      <c r="M38" s="339"/>
      <c r="N38" s="334"/>
      <c r="O38" s="334"/>
      <c r="P38" s="335">
        <f t="shared" si="6"/>
        <v>0</v>
      </c>
      <c r="Q38" s="336">
        <f t="shared" si="11"/>
        <v>0</v>
      </c>
      <c r="R38" s="337">
        <f t="shared" si="12"/>
        <v>0</v>
      </c>
      <c r="S38" s="340" t="s">
        <v>136</v>
      </c>
      <c r="T38" s="341" t="str">
        <f t="shared" si="13"/>
        <v>ja</v>
      </c>
      <c r="U38" s="342">
        <f t="shared" si="7"/>
        <v>0.6583</v>
      </c>
      <c r="V38" s="343">
        <f t="shared" si="8"/>
        <v>0</v>
      </c>
      <c r="W38" s="337" t="str">
        <f t="shared" si="9"/>
        <v/>
      </c>
      <c r="X38" s="344"/>
      <c r="Y38" s="345"/>
    </row>
    <row r="39" spans="1:25" x14ac:dyDescent="0.2">
      <c r="A39" s="328" t="str">
        <f>IF(B39&lt;&gt;"&lt;Selecteer&gt;",MAX($A$4:A38)+1,"")</f>
        <v/>
      </c>
      <c r="B39" s="329" t="s">
        <v>35</v>
      </c>
      <c r="C39" s="330"/>
      <c r="D39" s="331"/>
      <c r="E39" s="332"/>
      <c r="F39" s="333"/>
      <c r="G39" s="334"/>
      <c r="H39" s="335">
        <f t="shared" si="4"/>
        <v>0</v>
      </c>
      <c r="I39" s="336">
        <f t="shared" si="5"/>
        <v>0</v>
      </c>
      <c r="J39" s="337">
        <f t="shared" si="10"/>
        <v>0</v>
      </c>
      <c r="K39" s="338"/>
      <c r="L39" s="334"/>
      <c r="M39" s="339"/>
      <c r="N39" s="334"/>
      <c r="O39" s="334"/>
      <c r="P39" s="335">
        <f t="shared" si="6"/>
        <v>0</v>
      </c>
      <c r="Q39" s="336">
        <f t="shared" si="11"/>
        <v>0</v>
      </c>
      <c r="R39" s="337">
        <f t="shared" si="12"/>
        <v>0</v>
      </c>
      <c r="S39" s="340" t="s">
        <v>136</v>
      </c>
      <c r="T39" s="341" t="str">
        <f t="shared" si="13"/>
        <v>ja</v>
      </c>
      <c r="U39" s="342">
        <f t="shared" si="7"/>
        <v>0.6583</v>
      </c>
      <c r="V39" s="343">
        <f t="shared" si="8"/>
        <v>0</v>
      </c>
      <c r="W39" s="337" t="str">
        <f t="shared" si="9"/>
        <v/>
      </c>
      <c r="X39" s="344"/>
      <c r="Y39" s="345"/>
    </row>
    <row r="40" spans="1:25" x14ac:dyDescent="0.2">
      <c r="A40" s="328" t="str">
        <f>IF(B40&lt;&gt;"&lt;Selecteer&gt;",MAX($A$4:A39)+1,"")</f>
        <v/>
      </c>
      <c r="B40" s="329" t="s">
        <v>35</v>
      </c>
      <c r="C40" s="330"/>
      <c r="D40" s="331"/>
      <c r="E40" s="332"/>
      <c r="F40" s="333"/>
      <c r="G40" s="334"/>
      <c r="H40" s="335">
        <f t="shared" si="4"/>
        <v>0</v>
      </c>
      <c r="I40" s="336">
        <f t="shared" si="5"/>
        <v>0</v>
      </c>
      <c r="J40" s="337">
        <f t="shared" si="10"/>
        <v>0</v>
      </c>
      <c r="K40" s="338"/>
      <c r="L40" s="334"/>
      <c r="M40" s="339"/>
      <c r="N40" s="334"/>
      <c r="O40" s="334"/>
      <c r="P40" s="335">
        <f t="shared" si="6"/>
        <v>0</v>
      </c>
      <c r="Q40" s="336">
        <f t="shared" si="11"/>
        <v>0</v>
      </c>
      <c r="R40" s="337">
        <f t="shared" si="12"/>
        <v>0</v>
      </c>
      <c r="S40" s="340" t="s">
        <v>136</v>
      </c>
      <c r="T40" s="341" t="str">
        <f t="shared" si="13"/>
        <v>ja</v>
      </c>
      <c r="U40" s="342">
        <f t="shared" si="7"/>
        <v>0.6583</v>
      </c>
      <c r="V40" s="343">
        <f t="shared" si="8"/>
        <v>0</v>
      </c>
      <c r="W40" s="337" t="str">
        <f t="shared" si="9"/>
        <v/>
      </c>
      <c r="X40" s="344"/>
      <c r="Y40" s="345"/>
    </row>
    <row r="41" spans="1:25" x14ac:dyDescent="0.2">
      <c r="A41" s="328" t="str">
        <f>IF(B41&lt;&gt;"&lt;Selecteer&gt;",MAX($A$4:A40)+1,"")</f>
        <v/>
      </c>
      <c r="B41" s="329" t="s">
        <v>35</v>
      </c>
      <c r="C41" s="330"/>
      <c r="D41" s="331"/>
      <c r="E41" s="332"/>
      <c r="F41" s="333"/>
      <c r="G41" s="334"/>
      <c r="H41" s="335">
        <f t="shared" si="4"/>
        <v>0</v>
      </c>
      <c r="I41" s="336">
        <f t="shared" si="5"/>
        <v>0</v>
      </c>
      <c r="J41" s="337">
        <f t="shared" si="10"/>
        <v>0</v>
      </c>
      <c r="K41" s="338"/>
      <c r="L41" s="334"/>
      <c r="M41" s="339"/>
      <c r="N41" s="334"/>
      <c r="O41" s="334"/>
      <c r="P41" s="335">
        <f t="shared" si="6"/>
        <v>0</v>
      </c>
      <c r="Q41" s="336">
        <f t="shared" si="11"/>
        <v>0</v>
      </c>
      <c r="R41" s="337">
        <f t="shared" si="12"/>
        <v>0</v>
      </c>
      <c r="S41" s="340" t="s">
        <v>136</v>
      </c>
      <c r="T41" s="341" t="str">
        <f t="shared" si="13"/>
        <v>ja</v>
      </c>
      <c r="U41" s="342">
        <f t="shared" si="7"/>
        <v>0.6583</v>
      </c>
      <c r="V41" s="343">
        <f t="shared" si="8"/>
        <v>0</v>
      </c>
      <c r="W41" s="337" t="str">
        <f t="shared" si="9"/>
        <v/>
      </c>
      <c r="X41" s="344"/>
      <c r="Y41" s="345"/>
    </row>
    <row r="42" spans="1:25" x14ac:dyDescent="0.2">
      <c r="A42" s="328" t="str">
        <f>IF(B42&lt;&gt;"&lt;Selecteer&gt;",MAX($A$4:A41)+1,"")</f>
        <v/>
      </c>
      <c r="B42" s="329" t="s">
        <v>35</v>
      </c>
      <c r="C42" s="330"/>
      <c r="D42" s="331"/>
      <c r="E42" s="332"/>
      <c r="F42" s="333"/>
      <c r="G42" s="334"/>
      <c r="H42" s="335">
        <f t="shared" si="4"/>
        <v>0</v>
      </c>
      <c r="I42" s="336">
        <f t="shared" si="5"/>
        <v>0</v>
      </c>
      <c r="J42" s="337">
        <f t="shared" si="10"/>
        <v>0</v>
      </c>
      <c r="K42" s="338"/>
      <c r="L42" s="334"/>
      <c r="M42" s="339"/>
      <c r="N42" s="334"/>
      <c r="O42" s="334"/>
      <c r="P42" s="335">
        <f t="shared" si="6"/>
        <v>0</v>
      </c>
      <c r="Q42" s="336">
        <f t="shared" si="11"/>
        <v>0</v>
      </c>
      <c r="R42" s="337">
        <f t="shared" si="12"/>
        <v>0</v>
      </c>
      <c r="S42" s="340" t="s">
        <v>136</v>
      </c>
      <c r="T42" s="341" t="str">
        <f t="shared" si="13"/>
        <v>ja</v>
      </c>
      <c r="U42" s="342">
        <f t="shared" si="7"/>
        <v>0.6583</v>
      </c>
      <c r="V42" s="343">
        <f t="shared" si="8"/>
        <v>0</v>
      </c>
      <c r="W42" s="337" t="str">
        <f t="shared" si="9"/>
        <v/>
      </c>
      <c r="X42" s="344"/>
      <c r="Y42" s="345"/>
    </row>
    <row r="43" spans="1:25" x14ac:dyDescent="0.2">
      <c r="A43" s="328" t="str">
        <f>IF(B43&lt;&gt;"&lt;Selecteer&gt;",MAX($A$4:A42)+1,"")</f>
        <v/>
      </c>
      <c r="B43" s="329" t="s">
        <v>35</v>
      </c>
      <c r="C43" s="330"/>
      <c r="D43" s="331"/>
      <c r="E43" s="332"/>
      <c r="F43" s="333"/>
      <c r="G43" s="334"/>
      <c r="H43" s="335">
        <f t="shared" si="4"/>
        <v>0</v>
      </c>
      <c r="I43" s="336">
        <f t="shared" si="5"/>
        <v>0</v>
      </c>
      <c r="J43" s="337">
        <f t="shared" si="10"/>
        <v>0</v>
      </c>
      <c r="K43" s="338"/>
      <c r="L43" s="334"/>
      <c r="M43" s="339"/>
      <c r="N43" s="334"/>
      <c r="O43" s="334"/>
      <c r="P43" s="335">
        <f t="shared" si="6"/>
        <v>0</v>
      </c>
      <c r="Q43" s="336">
        <f t="shared" si="11"/>
        <v>0</v>
      </c>
      <c r="R43" s="337">
        <f t="shared" si="12"/>
        <v>0</v>
      </c>
      <c r="S43" s="340" t="s">
        <v>136</v>
      </c>
      <c r="T43" s="341" t="str">
        <f t="shared" si="13"/>
        <v>ja</v>
      </c>
      <c r="U43" s="342">
        <f t="shared" si="7"/>
        <v>0.6583</v>
      </c>
      <c r="V43" s="343">
        <f t="shared" si="8"/>
        <v>0</v>
      </c>
      <c r="W43" s="337" t="str">
        <f t="shared" si="9"/>
        <v/>
      </c>
      <c r="X43" s="344"/>
      <c r="Y43" s="345"/>
    </row>
    <row r="44" spans="1:25" x14ac:dyDescent="0.2">
      <c r="A44" s="328" t="str">
        <f>IF(B44&lt;&gt;"&lt;Selecteer&gt;",MAX($A$4:A43)+1,"")</f>
        <v/>
      </c>
      <c r="B44" s="329" t="s">
        <v>35</v>
      </c>
      <c r="C44" s="330"/>
      <c r="D44" s="331"/>
      <c r="E44" s="332"/>
      <c r="F44" s="333"/>
      <c r="G44" s="334"/>
      <c r="H44" s="335">
        <f t="shared" si="4"/>
        <v>0</v>
      </c>
      <c r="I44" s="336">
        <f t="shared" si="5"/>
        <v>0</v>
      </c>
      <c r="J44" s="337">
        <f t="shared" si="10"/>
        <v>0</v>
      </c>
      <c r="K44" s="338"/>
      <c r="L44" s="334"/>
      <c r="M44" s="339"/>
      <c r="N44" s="334"/>
      <c r="O44" s="334"/>
      <c r="P44" s="335">
        <f t="shared" si="6"/>
        <v>0</v>
      </c>
      <c r="Q44" s="336">
        <f t="shared" si="11"/>
        <v>0</v>
      </c>
      <c r="R44" s="337">
        <f t="shared" si="12"/>
        <v>0</v>
      </c>
      <c r="S44" s="340" t="s">
        <v>136</v>
      </c>
      <c r="T44" s="341" t="str">
        <f t="shared" si="13"/>
        <v>ja</v>
      </c>
      <c r="U44" s="342">
        <f t="shared" si="7"/>
        <v>0.6583</v>
      </c>
      <c r="V44" s="343">
        <f t="shared" si="8"/>
        <v>0</v>
      </c>
      <c r="W44" s="337" t="str">
        <f t="shared" si="9"/>
        <v/>
      </c>
      <c r="X44" s="344"/>
      <c r="Y44" s="345"/>
    </row>
    <row r="45" spans="1:25" x14ac:dyDescent="0.2">
      <c r="A45" s="328" t="str">
        <f>IF(B45&lt;&gt;"&lt;Selecteer&gt;",MAX($A$4:A44)+1,"")</f>
        <v/>
      </c>
      <c r="B45" s="329" t="s">
        <v>35</v>
      </c>
      <c r="C45" s="330"/>
      <c r="D45" s="331"/>
      <c r="E45" s="332"/>
      <c r="F45" s="333"/>
      <c r="G45" s="334"/>
      <c r="H45" s="335">
        <f t="shared" si="4"/>
        <v>0</v>
      </c>
      <c r="I45" s="336">
        <f t="shared" si="5"/>
        <v>0</v>
      </c>
      <c r="J45" s="337">
        <f t="shared" si="10"/>
        <v>0</v>
      </c>
      <c r="K45" s="338"/>
      <c r="L45" s="334"/>
      <c r="M45" s="339"/>
      <c r="N45" s="334"/>
      <c r="O45" s="334"/>
      <c r="P45" s="335">
        <f t="shared" si="6"/>
        <v>0</v>
      </c>
      <c r="Q45" s="336">
        <f t="shared" si="11"/>
        <v>0</v>
      </c>
      <c r="R45" s="337">
        <f t="shared" si="12"/>
        <v>0</v>
      </c>
      <c r="S45" s="340" t="s">
        <v>136</v>
      </c>
      <c r="T45" s="341" t="str">
        <f t="shared" si="13"/>
        <v>ja</v>
      </c>
      <c r="U45" s="342">
        <f t="shared" si="7"/>
        <v>0.6583</v>
      </c>
      <c r="V45" s="343">
        <f t="shared" si="8"/>
        <v>0</v>
      </c>
      <c r="W45" s="337" t="str">
        <f t="shared" si="9"/>
        <v/>
      </c>
      <c r="X45" s="344"/>
      <c r="Y45" s="345"/>
    </row>
    <row r="46" spans="1:25" x14ac:dyDescent="0.2">
      <c r="A46" s="328" t="str">
        <f>IF(B46&lt;&gt;"&lt;Selecteer&gt;",MAX($A$4:A45)+1,"")</f>
        <v/>
      </c>
      <c r="B46" s="329" t="s">
        <v>35</v>
      </c>
      <c r="C46" s="330"/>
      <c r="D46" s="331"/>
      <c r="E46" s="332"/>
      <c r="F46" s="333"/>
      <c r="G46" s="334"/>
      <c r="H46" s="335">
        <f t="shared" si="4"/>
        <v>0</v>
      </c>
      <c r="I46" s="336">
        <f t="shared" si="5"/>
        <v>0</v>
      </c>
      <c r="J46" s="337">
        <f t="shared" si="10"/>
        <v>0</v>
      </c>
      <c r="K46" s="338"/>
      <c r="L46" s="334"/>
      <c r="M46" s="339"/>
      <c r="N46" s="334"/>
      <c r="O46" s="334"/>
      <c r="P46" s="335">
        <f t="shared" si="6"/>
        <v>0</v>
      </c>
      <c r="Q46" s="336">
        <f t="shared" si="11"/>
        <v>0</v>
      </c>
      <c r="R46" s="337">
        <f t="shared" si="12"/>
        <v>0</v>
      </c>
      <c r="S46" s="340" t="s">
        <v>136</v>
      </c>
      <c r="T46" s="341" t="str">
        <f t="shared" si="13"/>
        <v>ja</v>
      </c>
      <c r="U46" s="342">
        <f t="shared" si="7"/>
        <v>0.6583</v>
      </c>
      <c r="V46" s="343">
        <f t="shared" si="8"/>
        <v>0</v>
      </c>
      <c r="W46" s="337" t="str">
        <f t="shared" si="9"/>
        <v/>
      </c>
      <c r="X46" s="344"/>
      <c r="Y46" s="345"/>
    </row>
    <row r="47" spans="1:25" x14ac:dyDescent="0.2">
      <c r="A47" s="328" t="str">
        <f>IF(B47&lt;&gt;"&lt;Selecteer&gt;",MAX($A$4:A46)+1,"")</f>
        <v/>
      </c>
      <c r="B47" s="329" t="s">
        <v>35</v>
      </c>
      <c r="C47" s="330"/>
      <c r="D47" s="331"/>
      <c r="E47" s="332"/>
      <c r="F47" s="333"/>
      <c r="G47" s="334"/>
      <c r="H47" s="335">
        <f t="shared" si="4"/>
        <v>0</v>
      </c>
      <c r="I47" s="336">
        <f t="shared" si="5"/>
        <v>0</v>
      </c>
      <c r="J47" s="337">
        <f t="shared" si="10"/>
        <v>0</v>
      </c>
      <c r="K47" s="338"/>
      <c r="L47" s="334"/>
      <c r="M47" s="339"/>
      <c r="N47" s="334"/>
      <c r="O47" s="334"/>
      <c r="P47" s="335">
        <f t="shared" si="6"/>
        <v>0</v>
      </c>
      <c r="Q47" s="336">
        <f t="shared" si="11"/>
        <v>0</v>
      </c>
      <c r="R47" s="337">
        <f t="shared" si="12"/>
        <v>0</v>
      </c>
      <c r="S47" s="340" t="s">
        <v>136</v>
      </c>
      <c r="T47" s="341" t="str">
        <f t="shared" si="13"/>
        <v>ja</v>
      </c>
      <c r="U47" s="342">
        <f t="shared" si="7"/>
        <v>0.6583</v>
      </c>
      <c r="V47" s="343">
        <f t="shared" si="8"/>
        <v>0</v>
      </c>
      <c r="W47" s="337" t="str">
        <f t="shared" si="9"/>
        <v/>
      </c>
      <c r="X47" s="344"/>
      <c r="Y47" s="345"/>
    </row>
    <row r="48" spans="1:25" x14ac:dyDescent="0.2">
      <c r="A48" s="328" t="str">
        <f>IF(B48&lt;&gt;"&lt;Selecteer&gt;",MAX($A$4:A47)+1,"")</f>
        <v/>
      </c>
      <c r="B48" s="329" t="s">
        <v>35</v>
      </c>
      <c r="C48" s="330"/>
      <c r="D48" s="331"/>
      <c r="E48" s="332"/>
      <c r="F48" s="333"/>
      <c r="G48" s="334"/>
      <c r="H48" s="335">
        <f t="shared" si="4"/>
        <v>0</v>
      </c>
      <c r="I48" s="336">
        <f t="shared" si="5"/>
        <v>0</v>
      </c>
      <c r="J48" s="337">
        <f t="shared" si="10"/>
        <v>0</v>
      </c>
      <c r="K48" s="338"/>
      <c r="L48" s="334"/>
      <c r="M48" s="339"/>
      <c r="N48" s="334"/>
      <c r="O48" s="334"/>
      <c r="P48" s="335">
        <f t="shared" si="6"/>
        <v>0</v>
      </c>
      <c r="Q48" s="336">
        <f t="shared" si="11"/>
        <v>0</v>
      </c>
      <c r="R48" s="337">
        <f t="shared" si="12"/>
        <v>0</v>
      </c>
      <c r="S48" s="340" t="s">
        <v>136</v>
      </c>
      <c r="T48" s="341" t="str">
        <f t="shared" si="13"/>
        <v>ja</v>
      </c>
      <c r="U48" s="342">
        <f t="shared" si="7"/>
        <v>0.6583</v>
      </c>
      <c r="V48" s="343">
        <f t="shared" si="8"/>
        <v>0</v>
      </c>
      <c r="W48" s="337" t="str">
        <f t="shared" si="9"/>
        <v/>
      </c>
      <c r="X48" s="344"/>
      <c r="Y48" s="345"/>
    </row>
    <row r="49" spans="1:25" x14ac:dyDescent="0.2">
      <c r="A49" s="328" t="str">
        <f>IF(B49&lt;&gt;"&lt;Selecteer&gt;",MAX($A$4:A48)+1,"")</f>
        <v/>
      </c>
      <c r="B49" s="329" t="s">
        <v>35</v>
      </c>
      <c r="C49" s="330"/>
      <c r="D49" s="331"/>
      <c r="E49" s="332"/>
      <c r="F49" s="333"/>
      <c r="G49" s="334"/>
      <c r="H49" s="335">
        <f t="shared" si="4"/>
        <v>0</v>
      </c>
      <c r="I49" s="336">
        <f t="shared" si="5"/>
        <v>0</v>
      </c>
      <c r="J49" s="337">
        <f t="shared" si="10"/>
        <v>0</v>
      </c>
      <c r="K49" s="338"/>
      <c r="L49" s="334"/>
      <c r="M49" s="339"/>
      <c r="N49" s="334"/>
      <c r="O49" s="334"/>
      <c r="P49" s="335">
        <f t="shared" si="6"/>
        <v>0</v>
      </c>
      <c r="Q49" s="336">
        <f t="shared" si="11"/>
        <v>0</v>
      </c>
      <c r="R49" s="337">
        <f t="shared" si="12"/>
        <v>0</v>
      </c>
      <c r="S49" s="340" t="s">
        <v>136</v>
      </c>
      <c r="T49" s="341" t="str">
        <f t="shared" si="13"/>
        <v>ja</v>
      </c>
      <c r="U49" s="342">
        <f t="shared" si="7"/>
        <v>0.6583</v>
      </c>
      <c r="V49" s="343">
        <f t="shared" si="8"/>
        <v>0</v>
      </c>
      <c r="W49" s="337" t="str">
        <f t="shared" si="9"/>
        <v/>
      </c>
      <c r="X49" s="344"/>
      <c r="Y49" s="345"/>
    </row>
    <row r="50" spans="1:25" x14ac:dyDescent="0.2">
      <c r="A50" s="328" t="str">
        <f>IF(B50&lt;&gt;"&lt;Selecteer&gt;",MAX($A$4:A49)+1,"")</f>
        <v/>
      </c>
      <c r="B50" s="329" t="s">
        <v>35</v>
      </c>
      <c r="C50" s="330"/>
      <c r="D50" s="331"/>
      <c r="E50" s="332"/>
      <c r="F50" s="333"/>
      <c r="G50" s="334"/>
      <c r="H50" s="335">
        <f t="shared" si="4"/>
        <v>0</v>
      </c>
      <c r="I50" s="336">
        <f t="shared" si="5"/>
        <v>0</v>
      </c>
      <c r="J50" s="337">
        <f t="shared" si="10"/>
        <v>0</v>
      </c>
      <c r="K50" s="338"/>
      <c r="L50" s="334"/>
      <c r="M50" s="339"/>
      <c r="N50" s="334"/>
      <c r="O50" s="334"/>
      <c r="P50" s="335">
        <f t="shared" si="6"/>
        <v>0</v>
      </c>
      <c r="Q50" s="336">
        <f t="shared" si="11"/>
        <v>0</v>
      </c>
      <c r="R50" s="337">
        <f t="shared" si="12"/>
        <v>0</v>
      </c>
      <c r="S50" s="340" t="s">
        <v>136</v>
      </c>
      <c r="T50" s="341" t="str">
        <f t="shared" si="13"/>
        <v>ja</v>
      </c>
      <c r="U50" s="342">
        <f t="shared" si="7"/>
        <v>0.6583</v>
      </c>
      <c r="V50" s="343">
        <f t="shared" si="8"/>
        <v>0</v>
      </c>
      <c r="W50" s="337" t="str">
        <f t="shared" si="9"/>
        <v/>
      </c>
      <c r="X50" s="344"/>
      <c r="Y50" s="345"/>
    </row>
    <row r="51" spans="1:25" x14ac:dyDescent="0.2">
      <c r="A51" s="328" t="str">
        <f>IF(B51&lt;&gt;"&lt;Selecteer&gt;",MAX($A$4:A50)+1,"")</f>
        <v/>
      </c>
      <c r="B51" s="329" t="s">
        <v>35</v>
      </c>
      <c r="C51" s="330"/>
      <c r="D51" s="331"/>
      <c r="E51" s="332"/>
      <c r="F51" s="333"/>
      <c r="G51" s="334"/>
      <c r="H51" s="335">
        <f t="shared" si="4"/>
        <v>0</v>
      </c>
      <c r="I51" s="336">
        <f t="shared" si="5"/>
        <v>0</v>
      </c>
      <c r="J51" s="337">
        <f t="shared" si="10"/>
        <v>0</v>
      </c>
      <c r="K51" s="338"/>
      <c r="L51" s="334"/>
      <c r="M51" s="339"/>
      <c r="N51" s="334"/>
      <c r="O51" s="334"/>
      <c r="P51" s="335">
        <f t="shared" si="6"/>
        <v>0</v>
      </c>
      <c r="Q51" s="336">
        <f t="shared" si="11"/>
        <v>0</v>
      </c>
      <c r="R51" s="337">
        <f t="shared" si="12"/>
        <v>0</v>
      </c>
      <c r="S51" s="340" t="s">
        <v>136</v>
      </c>
      <c r="T51" s="341" t="str">
        <f t="shared" si="13"/>
        <v>ja</v>
      </c>
      <c r="U51" s="342">
        <f t="shared" si="7"/>
        <v>0.6583</v>
      </c>
      <c r="V51" s="343">
        <f t="shared" si="8"/>
        <v>0</v>
      </c>
      <c r="W51" s="337" t="str">
        <f t="shared" si="9"/>
        <v/>
      </c>
      <c r="X51" s="344"/>
      <c r="Y51" s="345"/>
    </row>
    <row r="52" spans="1:25" x14ac:dyDescent="0.2">
      <c r="A52" s="328" t="str">
        <f>IF(B52&lt;&gt;"&lt;Selecteer&gt;",MAX($A$4:A51)+1,"")</f>
        <v/>
      </c>
      <c r="B52" s="329" t="s">
        <v>35</v>
      </c>
      <c r="C52" s="330"/>
      <c r="D52" s="331"/>
      <c r="E52" s="332"/>
      <c r="F52" s="333"/>
      <c r="G52" s="334"/>
      <c r="H52" s="335">
        <f t="shared" si="4"/>
        <v>0</v>
      </c>
      <c r="I52" s="336">
        <f t="shared" si="5"/>
        <v>0</v>
      </c>
      <c r="J52" s="337">
        <f t="shared" si="10"/>
        <v>0</v>
      </c>
      <c r="K52" s="338"/>
      <c r="L52" s="334"/>
      <c r="M52" s="339"/>
      <c r="N52" s="334"/>
      <c r="O52" s="334"/>
      <c r="P52" s="335">
        <f t="shared" si="6"/>
        <v>0</v>
      </c>
      <c r="Q52" s="336">
        <f t="shared" si="11"/>
        <v>0</v>
      </c>
      <c r="R52" s="337">
        <f t="shared" si="12"/>
        <v>0</v>
      </c>
      <c r="S52" s="340" t="s">
        <v>136</v>
      </c>
      <c r="T52" s="341" t="str">
        <f t="shared" si="13"/>
        <v>ja</v>
      </c>
      <c r="U52" s="342">
        <f t="shared" si="7"/>
        <v>0.6583</v>
      </c>
      <c r="V52" s="343">
        <f t="shared" si="8"/>
        <v>0</v>
      </c>
      <c r="W52" s="337" t="str">
        <f t="shared" si="9"/>
        <v/>
      </c>
      <c r="X52" s="344"/>
      <c r="Y52" s="345"/>
    </row>
    <row r="53" spans="1:25" x14ac:dyDescent="0.2">
      <c r="A53" s="328" t="str">
        <f>IF(B53&lt;&gt;"&lt;Selecteer&gt;",MAX($A$4:A52)+1,"")</f>
        <v/>
      </c>
      <c r="B53" s="329" t="s">
        <v>35</v>
      </c>
      <c r="C53" s="330"/>
      <c r="D53" s="331"/>
      <c r="E53" s="332"/>
      <c r="F53" s="333"/>
      <c r="G53" s="334"/>
      <c r="H53" s="335">
        <f t="shared" si="4"/>
        <v>0</v>
      </c>
      <c r="I53" s="336">
        <f t="shared" si="5"/>
        <v>0</v>
      </c>
      <c r="J53" s="337">
        <f t="shared" si="10"/>
        <v>0</v>
      </c>
      <c r="K53" s="338"/>
      <c r="L53" s="334"/>
      <c r="M53" s="339"/>
      <c r="N53" s="334"/>
      <c r="O53" s="334"/>
      <c r="P53" s="335">
        <f t="shared" si="6"/>
        <v>0</v>
      </c>
      <c r="Q53" s="336">
        <f t="shared" si="11"/>
        <v>0</v>
      </c>
      <c r="R53" s="337">
        <f t="shared" si="12"/>
        <v>0</v>
      </c>
      <c r="S53" s="340" t="s">
        <v>136</v>
      </c>
      <c r="T53" s="341" t="str">
        <f t="shared" si="13"/>
        <v>ja</v>
      </c>
      <c r="U53" s="342">
        <f t="shared" si="7"/>
        <v>0.6583</v>
      </c>
      <c r="V53" s="343">
        <f t="shared" si="8"/>
        <v>0</v>
      </c>
      <c r="W53" s="337" t="str">
        <f t="shared" si="9"/>
        <v/>
      </c>
      <c r="X53" s="344"/>
      <c r="Y53" s="345"/>
    </row>
    <row r="54" spans="1:25" x14ac:dyDescent="0.2">
      <c r="A54" s="328" t="str">
        <f>IF(B54&lt;&gt;"&lt;Selecteer&gt;",MAX($A$4:A53)+1,"")</f>
        <v/>
      </c>
      <c r="B54" s="329" t="s">
        <v>35</v>
      </c>
      <c r="C54" s="330"/>
      <c r="D54" s="331"/>
      <c r="E54" s="332"/>
      <c r="F54" s="333"/>
      <c r="G54" s="334"/>
      <c r="H54" s="335">
        <f t="shared" si="4"/>
        <v>0</v>
      </c>
      <c r="I54" s="336">
        <f t="shared" si="5"/>
        <v>0</v>
      </c>
      <c r="J54" s="337">
        <f t="shared" si="10"/>
        <v>0</v>
      </c>
      <c r="K54" s="338"/>
      <c r="L54" s="334"/>
      <c r="M54" s="339"/>
      <c r="N54" s="334"/>
      <c r="O54" s="334"/>
      <c r="P54" s="335">
        <f t="shared" si="6"/>
        <v>0</v>
      </c>
      <c r="Q54" s="336">
        <f t="shared" si="11"/>
        <v>0</v>
      </c>
      <c r="R54" s="337">
        <f t="shared" si="12"/>
        <v>0</v>
      </c>
      <c r="S54" s="340" t="s">
        <v>136</v>
      </c>
      <c r="T54" s="341" t="str">
        <f t="shared" si="13"/>
        <v>ja</v>
      </c>
      <c r="U54" s="342">
        <f t="shared" si="7"/>
        <v>0.6583</v>
      </c>
      <c r="V54" s="343">
        <f t="shared" si="8"/>
        <v>0</v>
      </c>
      <c r="W54" s="337" t="str">
        <f t="shared" si="9"/>
        <v/>
      </c>
      <c r="X54" s="344"/>
      <c r="Y54" s="345"/>
    </row>
    <row r="57" spans="1:25" ht="15" hidden="1" customHeight="1" x14ac:dyDescent="0.25">
      <c r="U57" s="131"/>
    </row>
  </sheetData>
  <sheetProtection algorithmName="SHA-512" hashValue="8CbZwkXi/CBwvOFxY1TD5W7qamLX+xh+XZSS8jkW+uwGatCtgW0PmlXUcksSCW9Zl5EEU+hzqhn78NVf6kln+A==" saltValue="1J2o8jBGoPyU6/ZRXnr2Kg==" spinCount="100000" sheet="1" objects="1" scenarios="1"/>
  <mergeCells count="2">
    <mergeCell ref="D3:J3"/>
    <mergeCell ref="K3:R3"/>
  </mergeCells>
  <conditionalFormatting sqref="A5:A54">
    <cfRule type="expression" dxfId="166" priority="26">
      <formula>OR($B5="Ja",$B5="Nee")</formula>
    </cfRule>
  </conditionalFormatting>
  <conditionalFormatting sqref="C5:Y54">
    <cfRule type="expression" dxfId="165" priority="1" stopIfTrue="1">
      <formula>$B5="&lt;Selecteer&gt;"</formula>
    </cfRule>
  </conditionalFormatting>
  <conditionalFormatting sqref="D5:D54">
    <cfRule type="expression" dxfId="164" priority="18">
      <formula>$B5="Ja"</formula>
    </cfRule>
  </conditionalFormatting>
  <conditionalFormatting sqref="E5:G54">
    <cfRule type="expression" dxfId="163" priority="24">
      <formula>$B5="Nee"</formula>
    </cfRule>
  </conditionalFormatting>
  <conditionalFormatting sqref="H5:J54">
    <cfRule type="expression" dxfId="162" priority="10">
      <formula>$B5="Nee"</formula>
    </cfRule>
  </conditionalFormatting>
  <conditionalFormatting sqref="K5:K54">
    <cfRule type="cellIs" dxfId="161" priority="6" stopIfTrue="1" operator="equal">
      <formula>"JA"</formula>
    </cfRule>
    <cfRule type="cellIs" dxfId="160" priority="30" stopIfTrue="1" operator="equal">
      <formula>"NEE"</formula>
    </cfRule>
    <cfRule type="cellIs" dxfId="159" priority="31" stopIfTrue="1" operator="equal">
      <formula>""</formula>
    </cfRule>
  </conditionalFormatting>
  <conditionalFormatting sqref="L5:L54">
    <cfRule type="expression" dxfId="158" priority="20">
      <formula>AND($B5="Ja",$K5="NEE")</formula>
    </cfRule>
  </conditionalFormatting>
  <conditionalFormatting sqref="M5:O54">
    <cfRule type="expression" dxfId="157" priority="11">
      <formula>AND($B5="Nee",$K5="NEE")</formula>
    </cfRule>
  </conditionalFormatting>
  <conditionalFormatting sqref="P5:R54">
    <cfRule type="expression" dxfId="156" priority="19">
      <formula>AND($B5="Nee",$K5="NEE")</formula>
    </cfRule>
  </conditionalFormatting>
  <conditionalFormatting sqref="S5:U54">
    <cfRule type="expression" dxfId="155" priority="35">
      <formula>$B5="Nee"</formula>
    </cfRule>
  </conditionalFormatting>
  <conditionalFormatting sqref="V5:X54">
    <cfRule type="expression" dxfId="154" priority="15">
      <formula>OR($B5="Nee",$B5="Ja")</formula>
    </cfRule>
  </conditionalFormatting>
  <conditionalFormatting sqref="X5:Y54 C5:C54">
    <cfRule type="expression" dxfId="153" priority="8">
      <formula>OR($B5="Ja",$B5="Nee")</formula>
    </cfRule>
  </conditionalFormatting>
  <conditionalFormatting sqref="Y5:Y54">
    <cfRule type="cellIs" dxfId="152" priority="2" stopIfTrue="1" operator="equal">
      <formula>"JA"</formula>
    </cfRule>
    <cfRule type="cellIs" dxfId="151" priority="3" stopIfTrue="1" operator="equal">
      <formula>"NEE"</formula>
    </cfRule>
    <cfRule type="cellIs" dxfId="150" priority="4" stopIfTrue="1" operator="equal">
      <formula>""</formula>
    </cfRule>
  </conditionalFormatting>
  <dataValidations count="6">
    <dataValidation type="decimal" allowBlank="1" showInputMessage="1" showErrorMessage="1" errorTitle="Controleer opgegeven uren" error="Dienstverband moet tussen 1 en 40 uur liggen." sqref="E5:E54" xr:uid="{4078C813-E3C6-421A-89FA-13659880964B}">
      <formula1>1</formula1>
      <formula2>40</formula2>
    </dataValidation>
    <dataValidation type="list" allowBlank="1" showInputMessage="1" showErrorMessage="1" sqref="B5:B54" xr:uid="{DD99B368-A1BD-49D7-A8B2-6A4978DE6FF3}">
      <formula1>"&lt;Selecteer&gt;,Ja,Nee"</formula1>
    </dataValidation>
    <dataValidation type="list" allowBlank="1" showInputMessage="1" showErrorMessage="1" sqref="K5:K54" xr:uid="{F243CCE4-85E7-4502-A133-CB5F9518C7A9}">
      <formula1>Keuze_Ja_Nee</formula1>
    </dataValidation>
    <dataValidation type="decimal" operator="greaterThanOrEqual" allowBlank="1" showInputMessage="1" showErrorMessage="1" sqref="D5:D54 F5:G54" xr:uid="{AB97FEDA-9257-4820-A20D-D0A00CCF293B}">
      <formula1>0</formula1>
    </dataValidation>
    <dataValidation type="textLength" operator="lessThanOrEqual" allowBlank="1" showInputMessage="1" showErrorMessage="1" errorTitle="Tekstveld limiet" error="Maximaal 250 tekens toegestaan" sqref="X5:X54" xr:uid="{C69A3823-4430-4F9E-B900-25431B12F532}">
      <formula1>250</formula1>
    </dataValidation>
    <dataValidation type="textLength" operator="lessThanOrEqual" allowBlank="1" showInputMessage="1" showErrorMessage="1" errorTitle="Tekstveld limiet" error="Maximaal 120 tekens toegestaan" sqref="C5:C54" xr:uid="{2F25B1B9-FD5E-4037-A8B8-ADE19F8149E7}">
      <formula1>120</formula1>
    </dataValidation>
  </dataValidations>
  <pageMargins left="0.70866141732283472" right="0.70866141732283472" top="0.74803149606299213" bottom="0.74803149606299213" header="0.31496062992125984" footer="0.31496062992125984"/>
  <pageSetup paperSize="9" scale="80" orientation="landscape" r:id="rId1"/>
  <headerFooter>
    <oddFooter>&amp;LVersie: september 2023&amp;C&amp;A&amp;R&amp;P van &amp;N</oddFooter>
  </headerFooter>
  <rowBreaks count="1" manualBreakCount="1">
    <brk id="29" max="14" man="1"/>
  </rowBreaks>
  <colBreaks count="1" manualBreakCount="1">
    <brk id="18" max="53"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AF75B-4E8B-4520-84D7-CD51A78E3E73}">
  <sheetPr codeName="Blad4">
    <tabColor theme="8" tint="0.79998168889431442"/>
  </sheetPr>
  <dimension ref="A1:AA251"/>
  <sheetViews>
    <sheetView showGridLines="0" zoomScaleNormal="100" zoomScaleSheetLayoutView="59" workbookViewId="0">
      <pane xSplit="1" ySplit="5" topLeftCell="H233" activePane="bottomRight" state="frozen"/>
      <selection activeCell="O25" sqref="O25"/>
      <selection pane="topRight" activeCell="O25" sqref="O25"/>
      <selection pane="bottomLeft" activeCell="O25" sqref="O25"/>
      <selection pane="bottomRight" activeCell="Z3" sqref="Z3"/>
    </sheetView>
  </sheetViews>
  <sheetFormatPr defaultColWidth="0" defaultRowHeight="15" customHeight="1" zeroHeight="1" x14ac:dyDescent="0.25"/>
  <cols>
    <col min="1" max="1" width="5.7109375" style="28" customWidth="1"/>
    <col min="2" max="2" width="34.5703125" style="25" customWidth="1"/>
    <col min="3" max="3" width="47.85546875" style="25" customWidth="1"/>
    <col min="4" max="4" width="40.7109375" style="25" customWidth="1"/>
    <col min="5" max="5" width="45.7109375" style="25" customWidth="1"/>
    <col min="6" max="7" width="40.7109375" style="25" customWidth="1"/>
    <col min="8" max="8" width="22.7109375" style="25" customWidth="1"/>
    <col min="9" max="9" width="16.28515625" style="28" customWidth="1"/>
    <col min="10" max="10" width="13.5703125" style="28" customWidth="1"/>
    <col min="11" max="11" width="13.5703125" style="25" hidden="1" customWidth="1"/>
    <col min="12" max="12" width="15.7109375" style="25" customWidth="1"/>
    <col min="13" max="13" width="15.7109375" style="25" hidden="1" customWidth="1"/>
    <col min="14" max="14" width="17.7109375" style="25" customWidth="1"/>
    <col min="15" max="15" width="17.7109375" style="25" hidden="1" customWidth="1"/>
    <col min="16" max="16" width="14.85546875" style="25" hidden="1" customWidth="1"/>
    <col min="17" max="17" width="18.140625" style="25" hidden="1" customWidth="1"/>
    <col min="18" max="18" width="17.7109375" style="25" customWidth="1"/>
    <col min="19" max="20" width="17.7109375" style="25" hidden="1" customWidth="1"/>
    <col min="21" max="21" width="17.7109375" style="25" customWidth="1"/>
    <col min="22" max="23" width="17.7109375" style="25" hidden="1" customWidth="1"/>
    <col min="24" max="24" width="54" style="25" customWidth="1"/>
    <col min="25" max="25" width="77" style="25" hidden="1" customWidth="1"/>
    <col min="26" max="26" width="9.140625" style="25" customWidth="1"/>
    <col min="27" max="27" width="13.5703125" style="25" hidden="1"/>
    <col min="28" max="16384" width="9.140625" style="25" hidden="1"/>
  </cols>
  <sheetData>
    <row r="1" spans="1:25" ht="15" customHeight="1" x14ac:dyDescent="0.25">
      <c r="A1" s="118"/>
      <c r="B1" s="114" t="s">
        <v>72</v>
      </c>
      <c r="C1" s="222" t="str">
        <f>IF(OR('1. Aanvraaggegevens'!C2="",'1. Aanvraaggegevens'!C2=0),"Kies een openstelling op tabblad '1. Aanvraaggegevens'",'1. Aanvraaggegevens'!C2)</f>
        <v>Kies een openstelling op tabblad '1. Aanvraaggegevens'</v>
      </c>
      <c r="D1" s="115"/>
      <c r="E1" s="119"/>
      <c r="F1" s="119"/>
      <c r="G1" s="119"/>
      <c r="H1" s="119"/>
      <c r="I1" s="119"/>
      <c r="J1" s="119"/>
      <c r="K1" s="119"/>
      <c r="L1" s="119"/>
      <c r="M1" s="119"/>
      <c r="N1" s="119"/>
      <c r="O1" s="119"/>
      <c r="P1" s="119"/>
      <c r="Q1" s="119"/>
      <c r="R1" s="119"/>
      <c r="S1" s="119"/>
      <c r="T1" s="119"/>
      <c r="U1" s="119"/>
      <c r="V1" s="119"/>
      <c r="W1" s="119"/>
      <c r="X1" s="119"/>
      <c r="Y1" s="119"/>
    </row>
    <row r="2" spans="1:25" ht="15" customHeight="1" x14ac:dyDescent="0.25">
      <c r="A2" s="120"/>
      <c r="B2" s="121" t="s">
        <v>20</v>
      </c>
      <c r="C2" s="476" t="str">
        <f>IF(OR('1. Aanvraaggegevens'!C8="",'1. Aanvraaggegevens'!C8=0),"Kies een berekeningsmethode op tabblad '1. Aanvraaggegevens'",'1. Aanvraaggegevens'!C8)</f>
        <v>Kies een berekeningsmethode op tabblad '1. Aanvraaggegevens'</v>
      </c>
      <c r="D2" s="122"/>
      <c r="E2" s="123"/>
      <c r="F2" s="123"/>
      <c r="G2" s="123"/>
      <c r="H2" s="123"/>
      <c r="I2" s="123"/>
      <c r="J2" s="123"/>
      <c r="K2" s="123"/>
      <c r="L2" s="123"/>
      <c r="M2" s="123"/>
      <c r="N2" s="123"/>
      <c r="O2" s="123"/>
      <c r="P2" s="123"/>
      <c r="Q2" s="123"/>
      <c r="R2" s="123"/>
      <c r="S2" s="123"/>
      <c r="T2" s="123"/>
      <c r="U2" s="123"/>
      <c r="V2" s="123"/>
      <c r="W2" s="123"/>
      <c r="X2" s="123"/>
      <c r="Y2" s="123"/>
    </row>
    <row r="3" spans="1:25" ht="15" customHeight="1" x14ac:dyDescent="0.25">
      <c r="A3" s="112"/>
      <c r="B3" s="110"/>
      <c r="C3" s="111"/>
      <c r="D3" s="112"/>
      <c r="E3" s="256"/>
      <c r="F3" s="256"/>
      <c r="G3" s="256"/>
      <c r="H3" s="257"/>
      <c r="I3" s="395" t="str">
        <f>IF(COUNTIF($F$5:$F$250,Openstelling_Activiteit!$X$3)&gt;0,"Jaartal of Loonkosten nr (uit tabblad 4)","Loonkosten nr (uit tabblad 4)")</f>
        <v>Loonkosten nr (uit tabblad 4)</v>
      </c>
      <c r="J3" s="397" t="s">
        <v>4</v>
      </c>
      <c r="K3" s="398"/>
      <c r="L3" s="401" t="str">
        <f>IF(COUNTIF($F$5:$F$250,Openstelling_Activiteit!$X$3)&gt;0,"Aantal uur/ eenheden","Aantal uur")</f>
        <v>Aantal uur</v>
      </c>
      <c r="M3" s="402"/>
      <c r="N3" s="397" t="s">
        <v>50</v>
      </c>
      <c r="O3" s="398"/>
      <c r="P3" s="401" t="str">
        <f>IF(COUNTIF($F$5:$F$250,Openstelling_Activiteit!$X$3)&gt;0,"Aantal uur/ eenheden","Aantal uur")</f>
        <v>Aantal uur</v>
      </c>
      <c r="Q3" s="409" t="s">
        <v>50</v>
      </c>
      <c r="R3" s="406" t="s">
        <v>6</v>
      </c>
      <c r="S3" s="407"/>
      <c r="T3" s="408"/>
      <c r="U3" s="406" t="s">
        <v>206</v>
      </c>
      <c r="V3" s="407"/>
      <c r="W3" s="408"/>
      <c r="X3" s="403" t="s">
        <v>56</v>
      </c>
      <c r="Y3" s="392" t="s">
        <v>61</v>
      </c>
    </row>
    <row r="4" spans="1:25" ht="15" customHeight="1" x14ac:dyDescent="0.25">
      <c r="A4" s="112"/>
      <c r="B4" s="110"/>
      <c r="C4" s="111"/>
      <c r="D4" s="112"/>
      <c r="E4" s="112"/>
      <c r="F4" s="112"/>
      <c r="G4" s="113"/>
      <c r="H4" s="258"/>
      <c r="I4" s="395"/>
      <c r="J4" s="399"/>
      <c r="K4" s="400"/>
      <c r="L4" s="383"/>
      <c r="M4" s="384"/>
      <c r="N4" s="399"/>
      <c r="O4" s="400"/>
      <c r="P4" s="383"/>
      <c r="Q4" s="410"/>
      <c r="R4" s="72">
        <f t="shared" ref="R4:W4" ca="1" si="0" xml:space="preserve"> SUBTOTAL(9,R6:R250)</f>
        <v>0</v>
      </c>
      <c r="S4" s="72">
        <f t="shared" ca="1" si="0"/>
        <v>0</v>
      </c>
      <c r="T4" s="72">
        <f t="shared" ca="1" si="0"/>
        <v>0</v>
      </c>
      <c r="U4" s="72">
        <f t="shared" ca="1" si="0"/>
        <v>0</v>
      </c>
      <c r="V4" s="72">
        <f t="shared" ca="1" si="0"/>
        <v>0</v>
      </c>
      <c r="W4" s="72">
        <f t="shared" ca="1" si="0"/>
        <v>0</v>
      </c>
      <c r="X4" s="404"/>
      <c r="Y4" s="393"/>
    </row>
    <row r="5" spans="1:25" ht="30" x14ac:dyDescent="0.25">
      <c r="A5" s="116" t="s">
        <v>134</v>
      </c>
      <c r="B5" s="116" t="s">
        <v>58</v>
      </c>
      <c r="C5" s="116" t="s">
        <v>2</v>
      </c>
      <c r="D5" s="116" t="s">
        <v>38</v>
      </c>
      <c r="E5" s="116" t="s">
        <v>152</v>
      </c>
      <c r="F5" s="116" t="s">
        <v>0</v>
      </c>
      <c r="G5" s="116" t="s">
        <v>315</v>
      </c>
      <c r="H5" s="259" t="s">
        <v>42</v>
      </c>
      <c r="I5" s="396" t="s">
        <v>198</v>
      </c>
      <c r="J5" s="71" t="s">
        <v>60</v>
      </c>
      <c r="K5" s="71" t="s">
        <v>59</v>
      </c>
      <c r="L5" s="71" t="s">
        <v>60</v>
      </c>
      <c r="M5" s="71" t="s">
        <v>59</v>
      </c>
      <c r="N5" s="71" t="s">
        <v>60</v>
      </c>
      <c r="O5" s="71" t="s">
        <v>59</v>
      </c>
      <c r="P5" s="71" t="s">
        <v>536</v>
      </c>
      <c r="Q5" s="71" t="s">
        <v>536</v>
      </c>
      <c r="R5" s="71" t="s">
        <v>60</v>
      </c>
      <c r="S5" s="71" t="s">
        <v>59</v>
      </c>
      <c r="T5" s="71" t="s">
        <v>536</v>
      </c>
      <c r="U5" s="71" t="s">
        <v>60</v>
      </c>
      <c r="V5" s="71" t="s">
        <v>59</v>
      </c>
      <c r="W5" s="71" t="s">
        <v>536</v>
      </c>
      <c r="X5" s="405"/>
      <c r="Y5" s="394"/>
    </row>
    <row r="6" spans="1:25" x14ac:dyDescent="0.25">
      <c r="A6" s="309">
        <f>MAX($A$5:A5)+1</f>
        <v>1</v>
      </c>
      <c r="B6" s="296"/>
      <c r="C6" s="296"/>
      <c r="D6" s="296"/>
      <c r="E6" s="296"/>
      <c r="F6" s="296"/>
      <c r="G6" s="327"/>
      <c r="H6" s="310" t="str">
        <f ca="1">IFERROR(IF(VLOOKUP(F6,Kostentypen!$A$3:$E$21,3,0)=0,"",IF(OR(F6="Arbeidskosten",F6="Vergoeding"),VLOOKUP(G6,Tb_KostenTypen[],2,0),VLOOKUP(F6,Kostentypen!$A$3:$E$20,3,0))),"")</f>
        <v/>
      </c>
      <c r="I6" s="311"/>
      <c r="J6" s="312" t="str" cm="1">
        <f t="array" ref="J6">_xlfn.IFNA(IF(INDEX(Tb_KostenOpties[],MATCH($F6,Tb_KostenOpties[KostenOptie],0),IFERROR(MATCH(Methode_Keuze,Tb_KostenOpties[#Headers],0),2))=1,_xlfn.SWITCH($H6,"Uurtarief",IF(OR(AND(RIGHT($F6,3)="IKS",VLOOKUP($I6,Loonkosten,2,0)="Ja"),AND(RIGHT($F6,3)&lt;&gt;"IKS",VLOOKUP($I6,Loonkosten,2,0)="Nee")), VLOOKUP($I6,Loonkosten,MATCH("Opgegeven uurtarief",'4. Rekenhulp loonkosten aanvr.'!$4:$4,0)),0),"Vast tarief",IF(LEFT(F6,8)="Bijdrage",VLOOKUP($F6,Tb_KostenTypen[],MATCH(Lijsten!$P$1,Tb_KostenTypen[#Headers],0),0),VLOOKUP($G6,Lijsten!L:P,MATCH(Lijsten!$P$1,Kop_Tarief_Vast,0),0))),""),"")</f>
        <v/>
      </c>
      <c r="K6" s="312" t="str" cm="1">
        <f t="array" ref="K6">_xlfn.IFNA(IF(INDEX(Tb_KostenOpties[],MATCH($F6,Tb_KostenOpties[KostenOptie],0),IFERROR(MATCH(Methode_Keuze,Tb_KostenOpties[#Headers],0),2))=1,_xlfn.SWITCH($H6,"Uurtarief",IF(OR(AND(RIGHT($F6,3)="IKS",VLOOKUP($I6,Loonkosten,2,0)="Ja"),AND(RIGHT($F6,3)&lt;&gt;"IKS",VLOOKUP($I6,Loonkosten,2,0)="Nee")), VLOOKUP($I6,Loonkosten,MATCH("Beoordeeld uurtarief",'4. Rekenhulp loonkosten aanvr.'!$4:$4,0),0),0),"Vast tarief",IF(LEFT(F6,8)="Bijdrage",VLOOKUP($F6,Tb_KostenTypen[],MATCH(Lijsten!$P$1,Tb_KostenTypen[#Headers],0),0),VLOOKUP($G6,Lijsten!L:P,MATCH(Lijsten!$P$1,Kop_Tarief_Vast,0),0))),""),"")</f>
        <v/>
      </c>
      <c r="L6" s="358"/>
      <c r="M6" s="358"/>
      <c r="N6" s="313"/>
      <c r="O6" s="313"/>
      <c r="P6" s="374" t="str">
        <f>IFERROR(IF(AND(M6&lt;&gt;"",M6&lt;&gt;L6),-1*(M6-L6),""),"")</f>
        <v/>
      </c>
      <c r="Q6" s="314" t="str">
        <f>IFERROR(IF(AND(O6&lt;&gt;"",O6&lt;&gt;N6),-1*(O6-N6),""),"")</f>
        <v/>
      </c>
      <c r="R6" s="314" t="str" cm="1">
        <f t="array" aca="1" ref="R6" ca="1">_xlfn.IFNA(_xlfn.IFS(X6="Dit kostentype hoeft u niet op te geven. Hiervoor wordt een forfait berekend.","",AND(J6&lt;&gt;"",H6="Vast tarief",F6="Vergoeding"),SUM(J6)*FLOOR(SUM(L6),0.0001),AND(J6&lt;&gt;"",OR(H6="Uurtarief",H6="Vast tarief")),SUM(J6)*FLOOR(SUM(L6),0.01),AND(N6&lt;&gt;"",H6="-"),FLOOR(SUM(N6),0.01)),"")</f>
        <v/>
      </c>
      <c r="S6" s="314" t="str" cm="1">
        <f t="array" aca="1" ref="S6" ca="1">_xlfn.IFNA(_xlfn.IFS(X6="Dit kostentype hoeft u niet op te geven. Hiervoor wordt een forfait berekend.","",AND(K6&lt;&gt;"",M6&lt;&gt;"",H6="Vast tarief",F6="Vergoeding"),SUM(K6)*FLOOR(SUM(M6),0.0001),AND(K6&lt;&gt;"",M6&lt;&gt;"",OR(H6="Uurtarief",H6="Vast tarief")),SUM(K6)*FLOOR(SUM(M6),0.01),AND(O6&lt;&gt;"",H6="-"),FLOOR(SUM(O6),0.01)),"")</f>
        <v/>
      </c>
      <c r="T6" s="314" t="str">
        <f ca="1">IFERROR(IF(AND(S6&lt;&gt;"",S6&lt;&gt;R6),-1*(S6-R6),""),"")</f>
        <v/>
      </c>
      <c r="U6" s="314" t="str" cm="1">
        <f t="array" aca="1" ref="U6" ca="1">IFERROR(_xlfn.IFS(OR(F6="",LEFT(Methode_Keuze,4)="Geen",Methode_Keuze=""),"",AND(R6&lt;&gt;"",F6&lt;&gt;"Arbeidskosten"),R6*VLOOKUP(F6,Tb_ProjectKosten[],MATCH(Tb_ProjectKosten[[#Headers],[Forfait_Percentage]],Tb_ProjectKosten[#Headers],0),0),AND(F6="Arbeidskosten",G6&lt;&gt;""),IFERROR(R6*VLOOKUP(G6,Tb_KostenTypen[],3,0)*VLOOKUP(F6,Tb_ProjectKosten[],MATCH(Tb_ProjectKosten[[#Headers],[Forfait_Percentage]],Tb_ProjectKosten[#Headers],0),0),""),R6 &lt;=0,0),"")</f>
        <v/>
      </c>
      <c r="V6" s="314" t="str" cm="1">
        <f t="array" aca="1" ref="V6" ca="1">IFERROR(_xlfn.IFS(OR(F6="",LEFT(Methode_Keuze,4)="Geen",Methode_Keuze=""),"",AND(S6&lt;&gt;"",F6&lt;&gt;"Arbeidskosten"),S6*VLOOKUP(F6,Tb_ProjectKosten[],MATCH(Tb_ProjectKosten[[#Headers],[Forfait_Percentage]],Tb_ProjectKosten[#Headers],0),0),AND(F6="Arbeidskosten",G6&lt;&gt;""),IFERROR(S6*VLOOKUP(G6,Tb_KostenTypen[],3,0)*VLOOKUP(F6,Tb_ProjectKosten[],MATCH(Tb_ProjectKosten[[#Headers],[Forfait_Percentage]],Tb_ProjectKosten[#Headers],0),0),""),S6 &lt;=0,0),"")</f>
        <v/>
      </c>
      <c r="W6" s="314" t="str">
        <f ca="1">IFERROR(IF(AND(V6&lt;&gt;"",V6&lt;&gt;U6),-1*(V6-U6),""),"")</f>
        <v/>
      </c>
      <c r="X6" s="376" t="str">
        <f>IFERROR(VLOOKUP(F6,Tb_ProjectKosten[#All],11,0),"")</f>
        <v/>
      </c>
      <c r="Y6" s="315"/>
    </row>
    <row r="7" spans="1:25" x14ac:dyDescent="0.25">
      <c r="A7" s="309">
        <f>MAX($A$5:A6)+1</f>
        <v>2</v>
      </c>
      <c r="B7" s="296"/>
      <c r="C7" s="296"/>
      <c r="D7" s="296"/>
      <c r="E7" s="296"/>
      <c r="F7" s="296"/>
      <c r="G7" s="327"/>
      <c r="H7" s="310" t="str">
        <f ca="1">IFERROR(IF(VLOOKUP(F7,Kostentypen!$A$3:$E$21,3,0)=0,"",IF(OR(F7="Arbeidskosten",F7="Vergoeding"),VLOOKUP(G7,Tb_KostenTypen[],2,0),VLOOKUP(F7,Kostentypen!$A$3:$E$20,3,0))),"")</f>
        <v/>
      </c>
      <c r="I7" s="311"/>
      <c r="J7" s="312" t="str" cm="1">
        <f t="array" ref="J7">_xlfn.IFNA(IF(INDEX(Tb_KostenOpties[],MATCH($F7,Tb_KostenOpties[KostenOptie],0),IFERROR(MATCH(Methode_Keuze,Tb_KostenOpties[#Headers],0),2))=1,_xlfn.SWITCH($H7,"Uurtarief",IF(OR(AND(RIGHT($F7,3)="IKS",VLOOKUP($I7,Loonkosten,2,0)="Ja"),AND(RIGHT($F7,3)&lt;&gt;"IKS",VLOOKUP($I7,Loonkosten,2,0)="Nee")), VLOOKUP($I7,Loonkosten,MATCH("Opgegeven uurtarief",'4. Rekenhulp loonkosten aanvr.'!$4:$4,0)),0),"Vast tarief",IF(LEFT(F7,8)="Bijdrage",VLOOKUP($F7,Tb_KostenTypen[],MATCH(Lijsten!$P$1,Tb_KostenTypen[#Headers],0),0),VLOOKUP($G7,Lijsten!L:P,MATCH(Lijsten!$P$1,Kop_Tarief_Vast,0),0))),""),"")</f>
        <v/>
      </c>
      <c r="K7" s="312" t="str" cm="1">
        <f t="array" ref="K7">_xlfn.IFNA(IF(INDEX(Tb_KostenOpties[],MATCH($F7,Tb_KostenOpties[KostenOptie],0),IFERROR(MATCH(Methode_Keuze,Tb_KostenOpties[#Headers],0),2))=1,_xlfn.SWITCH($H7,"Uurtarief",IF(OR(AND(RIGHT($F7,3)="IKS",VLOOKUP($I7,Loonkosten,2,0)="Ja"),AND(RIGHT($F7,3)&lt;&gt;"IKS",VLOOKUP($I7,Loonkosten,2,0)="Nee")), VLOOKUP($I7,Loonkosten,MATCH("Beoordeeld uurtarief",'4. Rekenhulp loonkosten aanvr.'!$4:$4,0),0),0),"Vast tarief",IF(LEFT(F7,8)="Bijdrage",VLOOKUP($F7,Tb_KostenTypen[],MATCH(Lijsten!$P$1,Tb_KostenTypen[#Headers],0),0),VLOOKUP($G7,Lijsten!L:P,MATCH(Lijsten!$P$1,Kop_Tarief_Vast,0),0))),""),"")</f>
        <v/>
      </c>
      <c r="L7" s="358"/>
      <c r="M7" s="358"/>
      <c r="N7" s="313"/>
      <c r="O7" s="313"/>
      <c r="P7" s="374" t="str">
        <f t="shared" ref="P7:P70" si="1">IFERROR(IF(AND(M7&lt;&gt;"",M7&lt;&gt;L7),-1*(M7-L7),""),"")</f>
        <v/>
      </c>
      <c r="Q7" s="314" t="str">
        <f t="shared" ref="Q7:Q70" si="2">IFERROR(IF(AND(O7&lt;&gt;"",O7&lt;&gt;N7),-1*(O7-N7),""),"")</f>
        <v/>
      </c>
      <c r="R7" s="314" t="str" cm="1">
        <f t="array" aca="1" ref="R7" ca="1">_xlfn.IFNA(_xlfn.IFS(X7="Dit kostentype hoeft u niet op te geven. Hiervoor wordt een forfait berekend.","",AND(J7&lt;&gt;"",H7="Vast tarief",F7="Vergoeding"),SUM(J7)*FLOOR(SUM(L7),0.0001),AND(J7&lt;&gt;"",OR(H7="Uurtarief",H7="Vast tarief")),SUM(J7)*FLOOR(SUM(L7),0.01),AND(N7&lt;&gt;"",H7="-"),FLOOR(SUM(N7),0.01)),"")</f>
        <v/>
      </c>
      <c r="S7" s="314" t="str" cm="1">
        <f t="array" aca="1" ref="S7" ca="1">_xlfn.IFNA(_xlfn.IFS(X7="Dit kostentype hoeft u niet op te geven. Hiervoor wordt een forfait berekend.","",AND(K7&lt;&gt;"",M7&lt;&gt;"",H7="Vast tarief",F7="Vergoeding"),SUM(K7)*FLOOR(SUM(M7),0.0001),AND(K7&lt;&gt;"",M7&lt;&gt;"",OR(H7="Uurtarief",H7="Vast tarief")),SUM(K7)*FLOOR(SUM(M7),0.01),AND(O7&lt;&gt;"",H7="-"),FLOOR(SUM(O7),0.01)),"")</f>
        <v/>
      </c>
      <c r="T7" s="314" t="str">
        <f t="shared" ref="T7:T70" ca="1" si="3">IFERROR(IF(AND(S7&lt;&gt;"",S7&lt;&gt;R7),-1*(S7-R7),""),"")</f>
        <v/>
      </c>
      <c r="U7" s="314" t="str" cm="1">
        <f t="array" aca="1" ref="U7" ca="1">IFERROR(_xlfn.IFS(OR(F7="",LEFT(Methode_Keuze,4)="Geen",Methode_Keuze=""),"",AND(R7&lt;&gt;"",F7&lt;&gt;"Arbeidskosten"),R7*VLOOKUP(F7,Tb_ProjectKosten[],MATCH(Tb_ProjectKosten[[#Headers],[Forfait_Percentage]],Tb_ProjectKosten[#Headers],0),0),AND(F7="Arbeidskosten",G7&lt;&gt;""),IFERROR(R7*VLOOKUP(G7,Tb_KostenTypen[],3,0)*VLOOKUP(F7,Tb_ProjectKosten[],MATCH(Tb_ProjectKosten[[#Headers],[Forfait_Percentage]],Tb_ProjectKosten[#Headers],0),0),""),R7 &lt;=0,0),"")</f>
        <v/>
      </c>
      <c r="V7" s="314" t="str" cm="1">
        <f t="array" aca="1" ref="V7" ca="1">IFERROR(_xlfn.IFS(OR(F7="",LEFT(Methode_Keuze,4)="Geen",Methode_Keuze=""),"",AND(S7&lt;&gt;"",F7&lt;&gt;"Arbeidskosten"),S7*VLOOKUP(F7,Tb_ProjectKosten[],MATCH(Tb_ProjectKosten[[#Headers],[Forfait_Percentage]],Tb_ProjectKosten[#Headers],0),0),AND(F7="Arbeidskosten",G7&lt;&gt;""),IFERROR(S7*VLOOKUP(G7,Tb_KostenTypen[],3,0)*VLOOKUP(F7,Tb_ProjectKosten[],MATCH(Tb_ProjectKosten[[#Headers],[Forfait_Percentage]],Tb_ProjectKosten[#Headers],0),0),""),S7 &lt;=0,0),"")</f>
        <v/>
      </c>
      <c r="W7" s="314" t="str">
        <f t="shared" ref="W7:W70" ca="1" si="4">IFERROR(IF(AND(V7&lt;&gt;"",V7&lt;&gt;U7),-1*(V7-U7),""),"")</f>
        <v/>
      </c>
      <c r="X7" s="376" t="str">
        <f>IFERROR(VLOOKUP(F7,Tb_ProjectKosten[#All],11,0),"")</f>
        <v/>
      </c>
      <c r="Y7" s="315"/>
    </row>
    <row r="8" spans="1:25" x14ac:dyDescent="0.25">
      <c r="A8" s="309">
        <f>MAX($A$5:A7)+1</f>
        <v>3</v>
      </c>
      <c r="B8" s="296"/>
      <c r="C8" s="296"/>
      <c r="D8" s="296"/>
      <c r="E8" s="296"/>
      <c r="F8" s="296"/>
      <c r="G8" s="327"/>
      <c r="H8" s="310" t="str">
        <f ca="1">IFERROR(IF(VLOOKUP(F8,Kostentypen!$A$3:$E$21,3,0)=0,"",IF(OR(F8="Arbeidskosten",F8="Vergoeding"),VLOOKUP(G8,Tb_KostenTypen[],2,0),VLOOKUP(F8,Kostentypen!$A$3:$E$20,3,0))),"")</f>
        <v/>
      </c>
      <c r="I8" s="311"/>
      <c r="J8" s="312" t="str" cm="1">
        <f t="array" ref="J8">_xlfn.IFNA(IF(INDEX(Tb_KostenOpties[],MATCH($F8,Tb_KostenOpties[KostenOptie],0),IFERROR(MATCH(Methode_Keuze,Tb_KostenOpties[#Headers],0),2))=1,_xlfn.SWITCH($H8,"Uurtarief",IF(OR(AND(RIGHT($F8,3)="IKS",VLOOKUP($I8,Loonkosten,2,0)="Ja"),AND(RIGHT($F8,3)&lt;&gt;"IKS",VLOOKUP($I8,Loonkosten,2,0)="Nee")), VLOOKUP($I8,Loonkosten,MATCH("Opgegeven uurtarief",'4. Rekenhulp loonkosten aanvr.'!$4:$4,0)),0),"Vast tarief",IF(LEFT(F8,8)="Bijdrage",VLOOKUP($F8,Tb_KostenTypen[],MATCH(Lijsten!$P$1,Tb_KostenTypen[#Headers],0),0),VLOOKUP($G8,Lijsten!L:P,MATCH(Lijsten!$P$1,Kop_Tarief_Vast,0),0))),""),"")</f>
        <v/>
      </c>
      <c r="K8" s="312" t="str" cm="1">
        <f t="array" ref="K8">_xlfn.IFNA(IF(INDEX(Tb_KostenOpties[],MATCH($F8,Tb_KostenOpties[KostenOptie],0),IFERROR(MATCH(Methode_Keuze,Tb_KostenOpties[#Headers],0),2))=1,_xlfn.SWITCH($H8,"Uurtarief",IF(OR(AND(RIGHT($F8,3)="IKS",VLOOKUP($I8,Loonkosten,2,0)="Ja"),AND(RIGHT($F8,3)&lt;&gt;"IKS",VLOOKUP($I8,Loonkosten,2,0)="Nee")), VLOOKUP($I8,Loonkosten,MATCH("Beoordeeld uurtarief",'4. Rekenhulp loonkosten aanvr.'!$4:$4,0),0),0),"Vast tarief",IF(LEFT(F8,8)="Bijdrage",VLOOKUP($F8,Tb_KostenTypen[],MATCH(Lijsten!$P$1,Tb_KostenTypen[#Headers],0),0),VLOOKUP($G8,Lijsten!L:P,MATCH(Lijsten!$P$1,Kop_Tarief_Vast,0),0))),""),"")</f>
        <v/>
      </c>
      <c r="L8" s="358"/>
      <c r="M8" s="358"/>
      <c r="N8" s="313"/>
      <c r="O8" s="313"/>
      <c r="P8" s="374" t="str">
        <f t="shared" si="1"/>
        <v/>
      </c>
      <c r="Q8" s="314" t="str">
        <f t="shared" si="2"/>
        <v/>
      </c>
      <c r="R8" s="314" t="str" cm="1">
        <f t="array" aca="1" ref="R8" ca="1">_xlfn.IFNA(_xlfn.IFS(X8="Dit kostentype hoeft u niet op te geven. Hiervoor wordt een forfait berekend.","",AND(J8&lt;&gt;"",H8="Vast tarief",F8="Vergoeding"),SUM(J8)*FLOOR(SUM(L8),0.0001),AND(J8&lt;&gt;"",OR(H8="Uurtarief",H8="Vast tarief")),SUM(J8)*FLOOR(SUM(L8),0.01),AND(N8&lt;&gt;"",H8="-"),FLOOR(SUM(N8),0.01)),"")</f>
        <v/>
      </c>
      <c r="S8" s="314" t="str" cm="1">
        <f t="array" aca="1" ref="S8" ca="1">_xlfn.IFNA(_xlfn.IFS(X8="Dit kostentype hoeft u niet op te geven. Hiervoor wordt een forfait berekend.","",AND(K8&lt;&gt;"",M8&lt;&gt;"",H8="Vast tarief",F8="Vergoeding"),SUM(K8)*FLOOR(SUM(M8),0.0001),AND(K8&lt;&gt;"",M8&lt;&gt;"",OR(H8="Uurtarief",H8="Vast tarief")),SUM(K8)*FLOOR(SUM(M8),0.01),AND(O8&lt;&gt;"",H8="-"),FLOOR(SUM(O8),0.01)),"")</f>
        <v/>
      </c>
      <c r="T8" s="314" t="str">
        <f t="shared" ca="1" si="3"/>
        <v/>
      </c>
      <c r="U8" s="314" t="str" cm="1">
        <f t="array" aca="1" ref="U8" ca="1">IFERROR(_xlfn.IFS(OR(F8="",LEFT(Methode_Keuze,4)="Geen",Methode_Keuze=""),"",AND(R8&lt;&gt;"",F8&lt;&gt;"Arbeidskosten"),R8*VLOOKUP(F8,Tb_ProjectKosten[],MATCH(Tb_ProjectKosten[[#Headers],[Forfait_Percentage]],Tb_ProjectKosten[#Headers],0),0),AND(F8="Arbeidskosten",G8&lt;&gt;""),IFERROR(R8*VLOOKUP(G8,Tb_KostenTypen[],3,0)*VLOOKUP(F8,Tb_ProjectKosten[],MATCH(Tb_ProjectKosten[[#Headers],[Forfait_Percentage]],Tb_ProjectKosten[#Headers],0),0),""),R8 &lt;=0,0),"")</f>
        <v/>
      </c>
      <c r="V8" s="314" t="str" cm="1">
        <f t="array" aca="1" ref="V8" ca="1">IFERROR(_xlfn.IFS(OR(F8="",LEFT(Methode_Keuze,4)="Geen",Methode_Keuze=""),"",AND(S8&lt;&gt;"",F8&lt;&gt;"Arbeidskosten"),S8*VLOOKUP(F8,Tb_ProjectKosten[],MATCH(Tb_ProjectKosten[[#Headers],[Forfait_Percentage]],Tb_ProjectKosten[#Headers],0),0),AND(F8="Arbeidskosten",G8&lt;&gt;""),IFERROR(S8*VLOOKUP(G8,Tb_KostenTypen[],3,0)*VLOOKUP(F8,Tb_ProjectKosten[],MATCH(Tb_ProjectKosten[[#Headers],[Forfait_Percentage]],Tb_ProjectKosten[#Headers],0),0),""),S8 &lt;=0,0),"")</f>
        <v/>
      </c>
      <c r="W8" s="314" t="str">
        <f t="shared" ca="1" si="4"/>
        <v/>
      </c>
      <c r="X8" s="376" t="str">
        <f>IFERROR(VLOOKUP(F8,Tb_ProjectKosten[#All],11,0),"")</f>
        <v/>
      </c>
      <c r="Y8" s="315"/>
    </row>
    <row r="9" spans="1:25" x14ac:dyDescent="0.25">
      <c r="A9" s="309">
        <f>MAX($A$5:A8)+1</f>
        <v>4</v>
      </c>
      <c r="B9" s="296"/>
      <c r="C9" s="296"/>
      <c r="D9" s="296"/>
      <c r="E9" s="296"/>
      <c r="F9" s="296"/>
      <c r="G9" s="327"/>
      <c r="H9" s="310" t="str">
        <f ca="1">IFERROR(IF(VLOOKUP(F9,Kostentypen!$A$3:$E$21,3,0)=0,"",IF(OR(F9="Arbeidskosten",F9="Vergoeding"),VLOOKUP(G9,Tb_KostenTypen[],2,0),VLOOKUP(F9,Kostentypen!$A$3:$E$20,3,0))),"")</f>
        <v/>
      </c>
      <c r="I9" s="311"/>
      <c r="J9" s="312" t="str" cm="1">
        <f t="array" ref="J9">_xlfn.IFNA(IF(INDEX(Tb_KostenOpties[],MATCH($F9,Tb_KostenOpties[KostenOptie],0),IFERROR(MATCH(Methode_Keuze,Tb_KostenOpties[#Headers],0),2))=1,_xlfn.SWITCH($H9,"Uurtarief",IF(OR(AND(RIGHT($F9,3)="IKS",VLOOKUP($I9,Loonkosten,2,0)="Ja"),AND(RIGHT($F9,3)&lt;&gt;"IKS",VLOOKUP($I9,Loonkosten,2,0)="Nee")), VLOOKUP($I9,Loonkosten,MATCH("Opgegeven uurtarief",'4. Rekenhulp loonkosten aanvr.'!$4:$4,0)),0),"Vast tarief",IF(LEFT(F9,8)="Bijdrage",VLOOKUP($F9,Tb_KostenTypen[],MATCH(Lijsten!$P$1,Tb_KostenTypen[#Headers],0),0),VLOOKUP($G9,Lijsten!L:P,MATCH(Lijsten!$P$1,Kop_Tarief_Vast,0),0))),""),"")</f>
        <v/>
      </c>
      <c r="K9" s="312" t="str" cm="1">
        <f t="array" ref="K9">_xlfn.IFNA(IF(INDEX(Tb_KostenOpties[],MATCH($F9,Tb_KostenOpties[KostenOptie],0),IFERROR(MATCH(Methode_Keuze,Tb_KostenOpties[#Headers],0),2))=1,_xlfn.SWITCH($H9,"Uurtarief",IF(OR(AND(RIGHT($F9,3)="IKS",VLOOKUP($I9,Loonkosten,2,0)="Ja"),AND(RIGHT($F9,3)&lt;&gt;"IKS",VLOOKUP($I9,Loonkosten,2,0)="Nee")), VLOOKUP($I9,Loonkosten,MATCH("Beoordeeld uurtarief",'4. Rekenhulp loonkosten aanvr.'!$4:$4,0),0),0),"Vast tarief",IF(LEFT(F9,8)="Bijdrage",VLOOKUP($F9,Tb_KostenTypen[],MATCH(Lijsten!$P$1,Tb_KostenTypen[#Headers],0),0),VLOOKUP($G9,Lijsten!L:P,MATCH(Lijsten!$P$1,Kop_Tarief_Vast,0),0))),""),"")</f>
        <v/>
      </c>
      <c r="L9" s="358"/>
      <c r="M9" s="358"/>
      <c r="N9" s="313"/>
      <c r="O9" s="313"/>
      <c r="P9" s="374" t="str">
        <f t="shared" si="1"/>
        <v/>
      </c>
      <c r="Q9" s="314" t="str">
        <f t="shared" si="2"/>
        <v/>
      </c>
      <c r="R9" s="314" t="str" cm="1">
        <f t="array" aca="1" ref="R9" ca="1">_xlfn.IFNA(_xlfn.IFS(X9="Dit kostentype hoeft u niet op te geven. Hiervoor wordt een forfait berekend.","",AND(J9&lt;&gt;"",H9="Vast tarief",F9="Vergoeding"),SUM(J9)*FLOOR(SUM(L9),0.0001),AND(J9&lt;&gt;"",OR(H9="Uurtarief",H9="Vast tarief")),SUM(J9)*FLOOR(SUM(L9),0.01),AND(N9&lt;&gt;"",H9="-"),FLOOR(SUM(N9),0.01)),"")</f>
        <v/>
      </c>
      <c r="S9" s="314" t="str" cm="1">
        <f t="array" aca="1" ref="S9" ca="1">_xlfn.IFNA(_xlfn.IFS(X9="Dit kostentype hoeft u niet op te geven. Hiervoor wordt een forfait berekend.","",AND(K9&lt;&gt;"",M9&lt;&gt;"",H9="Vast tarief",F9="Vergoeding"),SUM(K9)*FLOOR(SUM(M9),0.0001),AND(K9&lt;&gt;"",M9&lt;&gt;"",OR(H9="Uurtarief",H9="Vast tarief")),SUM(K9)*FLOOR(SUM(M9),0.01),AND(O9&lt;&gt;"",H9="-"),FLOOR(SUM(O9),0.01)),"")</f>
        <v/>
      </c>
      <c r="T9" s="314" t="str">
        <f t="shared" ca="1" si="3"/>
        <v/>
      </c>
      <c r="U9" s="314" t="str" cm="1">
        <f t="array" aca="1" ref="U9" ca="1">IFERROR(_xlfn.IFS(OR(F9="",LEFT(Methode_Keuze,4)="Geen",Methode_Keuze=""),"",AND(R9&lt;&gt;"",F9&lt;&gt;"Arbeidskosten"),R9*VLOOKUP(F9,Tb_ProjectKosten[],MATCH(Tb_ProjectKosten[[#Headers],[Forfait_Percentage]],Tb_ProjectKosten[#Headers],0),0),AND(F9="Arbeidskosten",G9&lt;&gt;""),IFERROR(R9*VLOOKUP(G9,Tb_KostenTypen[],3,0)*VLOOKUP(F9,Tb_ProjectKosten[],MATCH(Tb_ProjectKosten[[#Headers],[Forfait_Percentage]],Tb_ProjectKosten[#Headers],0),0),""),R9 &lt;=0,0),"")</f>
        <v/>
      </c>
      <c r="V9" s="314" t="str" cm="1">
        <f t="array" aca="1" ref="V9" ca="1">IFERROR(_xlfn.IFS(OR(F9="",LEFT(Methode_Keuze,4)="Geen",Methode_Keuze=""),"",AND(S9&lt;&gt;"",F9&lt;&gt;"Arbeidskosten"),S9*VLOOKUP(F9,Tb_ProjectKosten[],MATCH(Tb_ProjectKosten[[#Headers],[Forfait_Percentage]],Tb_ProjectKosten[#Headers],0),0),AND(F9="Arbeidskosten",G9&lt;&gt;""),IFERROR(S9*VLOOKUP(G9,Tb_KostenTypen[],3,0)*VLOOKUP(F9,Tb_ProjectKosten[],MATCH(Tb_ProjectKosten[[#Headers],[Forfait_Percentage]],Tb_ProjectKosten[#Headers],0),0),""),S9 &lt;=0,0),"")</f>
        <v/>
      </c>
      <c r="W9" s="314" t="str">
        <f t="shared" ca="1" si="4"/>
        <v/>
      </c>
      <c r="X9" s="376" t="str">
        <f>IFERROR(VLOOKUP(F9,Tb_ProjectKosten[#All],11,0),"")</f>
        <v/>
      </c>
      <c r="Y9" s="315"/>
    </row>
    <row r="10" spans="1:25" x14ac:dyDescent="0.25">
      <c r="A10" s="309">
        <f>MAX($A$5:A9)+1</f>
        <v>5</v>
      </c>
      <c r="B10" s="296"/>
      <c r="C10" s="296"/>
      <c r="D10" s="296"/>
      <c r="E10" s="296"/>
      <c r="F10" s="296"/>
      <c r="G10" s="327"/>
      <c r="H10" s="310" t="str">
        <f ca="1">IFERROR(IF(VLOOKUP(F10,Kostentypen!$A$3:$E$21,3,0)=0,"",IF(OR(F10="Arbeidskosten",F10="Vergoeding"),VLOOKUP(G10,Tb_KostenTypen[],2,0),VLOOKUP(F10,Kostentypen!$A$3:$E$20,3,0))),"")</f>
        <v/>
      </c>
      <c r="I10" s="311"/>
      <c r="J10" s="312" t="str" cm="1">
        <f t="array" ref="J10">_xlfn.IFNA(IF(INDEX(Tb_KostenOpties[],MATCH($F10,Tb_KostenOpties[KostenOptie],0),IFERROR(MATCH(Methode_Keuze,Tb_KostenOpties[#Headers],0),2))=1,_xlfn.SWITCH($H10,"Uurtarief",IF(OR(AND(RIGHT($F10,3)="IKS",VLOOKUP($I10,Loonkosten,2,0)="Ja"),AND(RIGHT($F10,3)&lt;&gt;"IKS",VLOOKUP($I10,Loonkosten,2,0)="Nee")), VLOOKUP($I10,Loonkosten,MATCH("Opgegeven uurtarief",'4. Rekenhulp loonkosten aanvr.'!$4:$4,0)),0),"Vast tarief",IF(LEFT(F10,8)="Bijdrage",VLOOKUP($F10,Tb_KostenTypen[],MATCH(Lijsten!$P$1,Tb_KostenTypen[#Headers],0),0),VLOOKUP($G10,Lijsten!L:P,MATCH(Lijsten!$P$1,Kop_Tarief_Vast,0),0))),""),"")</f>
        <v/>
      </c>
      <c r="K10" s="312" t="str" cm="1">
        <f t="array" ref="K10">_xlfn.IFNA(IF(INDEX(Tb_KostenOpties[],MATCH($F10,Tb_KostenOpties[KostenOptie],0),IFERROR(MATCH(Methode_Keuze,Tb_KostenOpties[#Headers],0),2))=1,_xlfn.SWITCH($H10,"Uurtarief",IF(OR(AND(RIGHT($F10,3)="IKS",VLOOKUP($I10,Loonkosten,2,0)="Ja"),AND(RIGHT($F10,3)&lt;&gt;"IKS",VLOOKUP($I10,Loonkosten,2,0)="Nee")), VLOOKUP($I10,Loonkosten,MATCH("Beoordeeld uurtarief",'4. Rekenhulp loonkosten aanvr.'!$4:$4,0),0),0),"Vast tarief",IF(LEFT(F10,8)="Bijdrage",VLOOKUP($F10,Tb_KostenTypen[],MATCH(Lijsten!$P$1,Tb_KostenTypen[#Headers],0),0),VLOOKUP($G10,Lijsten!L:P,MATCH(Lijsten!$P$1,Kop_Tarief_Vast,0),0))),""),"")</f>
        <v/>
      </c>
      <c r="L10" s="358"/>
      <c r="M10" s="358"/>
      <c r="N10" s="313"/>
      <c r="O10" s="313"/>
      <c r="P10" s="374" t="str">
        <f t="shared" si="1"/>
        <v/>
      </c>
      <c r="Q10" s="314" t="str">
        <f t="shared" si="2"/>
        <v/>
      </c>
      <c r="R10" s="314" t="str" cm="1">
        <f t="array" aca="1" ref="R10" ca="1">_xlfn.IFNA(_xlfn.IFS(X10="Dit kostentype hoeft u niet op te geven. Hiervoor wordt een forfait berekend.","",AND(J10&lt;&gt;"",H10="Vast tarief",F10="Vergoeding"),SUM(J10)*FLOOR(SUM(L10),0.0001),AND(J10&lt;&gt;"",OR(H10="Uurtarief",H10="Vast tarief")),SUM(J10)*FLOOR(SUM(L10),0.01),AND(N10&lt;&gt;"",H10="-"),FLOOR(SUM(N10),0.01)),"")</f>
        <v/>
      </c>
      <c r="S10" s="314" t="str" cm="1">
        <f t="array" aca="1" ref="S10" ca="1">_xlfn.IFNA(_xlfn.IFS(X10="Dit kostentype hoeft u niet op te geven. Hiervoor wordt een forfait berekend.","",AND(K10&lt;&gt;"",M10&lt;&gt;"",H10="Vast tarief",F10="Vergoeding"),SUM(K10)*FLOOR(SUM(M10),0.0001),AND(K10&lt;&gt;"",M10&lt;&gt;"",OR(H10="Uurtarief",H10="Vast tarief")),SUM(K10)*FLOOR(SUM(M10),0.01),AND(O10&lt;&gt;"",H10="-"),FLOOR(SUM(O10),0.01)),"")</f>
        <v/>
      </c>
      <c r="T10" s="314" t="str">
        <f t="shared" ca="1" si="3"/>
        <v/>
      </c>
      <c r="U10" s="314" t="str" cm="1">
        <f t="array" aca="1" ref="U10" ca="1">IFERROR(_xlfn.IFS(OR(F10="",LEFT(Methode_Keuze,4)="Geen",Methode_Keuze=""),"",AND(R10&lt;&gt;"",F10&lt;&gt;"Arbeidskosten"),R10*VLOOKUP(F10,Tb_ProjectKosten[],MATCH(Tb_ProjectKosten[[#Headers],[Forfait_Percentage]],Tb_ProjectKosten[#Headers],0),0),AND(F10="Arbeidskosten",G10&lt;&gt;""),IFERROR(R10*VLOOKUP(G10,Tb_KostenTypen[],3,0)*VLOOKUP(F10,Tb_ProjectKosten[],MATCH(Tb_ProjectKosten[[#Headers],[Forfait_Percentage]],Tb_ProjectKosten[#Headers],0),0),""),R10 &lt;=0,0),"")</f>
        <v/>
      </c>
      <c r="V10" s="314" t="str" cm="1">
        <f t="array" aca="1" ref="V10" ca="1">IFERROR(_xlfn.IFS(OR(F10="",LEFT(Methode_Keuze,4)="Geen",Methode_Keuze=""),"",AND(S10&lt;&gt;"",F10&lt;&gt;"Arbeidskosten"),S10*VLOOKUP(F10,Tb_ProjectKosten[],MATCH(Tb_ProjectKosten[[#Headers],[Forfait_Percentage]],Tb_ProjectKosten[#Headers],0),0),AND(F10="Arbeidskosten",G10&lt;&gt;""),IFERROR(S10*VLOOKUP(G10,Tb_KostenTypen[],3,0)*VLOOKUP(F10,Tb_ProjectKosten[],MATCH(Tb_ProjectKosten[[#Headers],[Forfait_Percentage]],Tb_ProjectKosten[#Headers],0),0),""),S10 &lt;=0,0),"")</f>
        <v/>
      </c>
      <c r="W10" s="314" t="str">
        <f t="shared" ca="1" si="4"/>
        <v/>
      </c>
      <c r="X10" s="376" t="str">
        <f>IFERROR(VLOOKUP(F10,Tb_ProjectKosten[#All],11,0),"")</f>
        <v/>
      </c>
      <c r="Y10" s="315"/>
    </row>
    <row r="11" spans="1:25" x14ac:dyDescent="0.25">
      <c r="A11" s="309">
        <f>MAX($A$5:A10)+1</f>
        <v>6</v>
      </c>
      <c r="B11" s="296"/>
      <c r="C11" s="296"/>
      <c r="D11" s="296"/>
      <c r="E11" s="296"/>
      <c r="F11" s="296"/>
      <c r="G11" s="327"/>
      <c r="H11" s="310" t="str">
        <f ca="1">IFERROR(IF(VLOOKUP(F11,Kostentypen!$A$3:$E$21,3,0)=0,"",IF(OR(F11="Arbeidskosten",F11="Vergoeding"),VLOOKUP(G11,Tb_KostenTypen[],2,0),VLOOKUP(F11,Kostentypen!$A$3:$E$20,3,0))),"")</f>
        <v/>
      </c>
      <c r="I11" s="311"/>
      <c r="J11" s="312" t="str" cm="1">
        <f t="array" ref="J11">_xlfn.IFNA(IF(INDEX(Tb_KostenOpties[],MATCH($F11,Tb_KostenOpties[KostenOptie],0),IFERROR(MATCH(Methode_Keuze,Tb_KostenOpties[#Headers],0),2))=1,_xlfn.SWITCH($H11,"Uurtarief",IF(OR(AND(RIGHT($F11,3)="IKS",VLOOKUP($I11,Loonkosten,2,0)="Ja"),AND(RIGHT($F11,3)&lt;&gt;"IKS",VLOOKUP($I11,Loonkosten,2,0)="Nee")), VLOOKUP($I11,Loonkosten,MATCH("Opgegeven uurtarief",'4. Rekenhulp loonkosten aanvr.'!$4:$4,0)),0),"Vast tarief",IF(LEFT(F11,8)="Bijdrage",VLOOKUP($F11,Tb_KostenTypen[],MATCH(Lijsten!$P$1,Tb_KostenTypen[#Headers],0),0),VLOOKUP($G11,Lijsten!L:P,MATCH(Lijsten!$P$1,Kop_Tarief_Vast,0),0))),""),"")</f>
        <v/>
      </c>
      <c r="K11" s="312" t="str" cm="1">
        <f t="array" ref="K11">_xlfn.IFNA(IF(INDEX(Tb_KostenOpties[],MATCH($F11,Tb_KostenOpties[KostenOptie],0),IFERROR(MATCH(Methode_Keuze,Tb_KostenOpties[#Headers],0),2))=1,_xlfn.SWITCH($H11,"Uurtarief",IF(OR(AND(RIGHT($F11,3)="IKS",VLOOKUP($I11,Loonkosten,2,0)="Ja"),AND(RIGHT($F11,3)&lt;&gt;"IKS",VLOOKUP($I11,Loonkosten,2,0)="Nee")), VLOOKUP($I11,Loonkosten,MATCH("Beoordeeld uurtarief",'4. Rekenhulp loonkosten aanvr.'!$4:$4,0),0),0),"Vast tarief",IF(LEFT(F11,8)="Bijdrage",VLOOKUP($F11,Tb_KostenTypen[],MATCH(Lijsten!$P$1,Tb_KostenTypen[#Headers],0),0),VLOOKUP($G11,Lijsten!L:P,MATCH(Lijsten!$P$1,Kop_Tarief_Vast,0),0))),""),"")</f>
        <v/>
      </c>
      <c r="L11" s="358"/>
      <c r="M11" s="358"/>
      <c r="N11" s="313"/>
      <c r="O11" s="313"/>
      <c r="P11" s="374" t="str">
        <f t="shared" si="1"/>
        <v/>
      </c>
      <c r="Q11" s="314" t="str">
        <f t="shared" si="2"/>
        <v/>
      </c>
      <c r="R11" s="314" t="str" cm="1">
        <f t="array" aca="1" ref="R11" ca="1">_xlfn.IFNA(_xlfn.IFS(X11="Dit kostentype hoeft u niet op te geven. Hiervoor wordt een forfait berekend.","",AND(J11&lt;&gt;"",H11="Vast tarief",F11="Vergoeding"),SUM(J11)*FLOOR(SUM(L11),0.0001),AND(J11&lt;&gt;"",OR(H11="Uurtarief",H11="Vast tarief")),SUM(J11)*FLOOR(SUM(L11),0.01),AND(N11&lt;&gt;"",H11="-"),FLOOR(SUM(N11),0.01)),"")</f>
        <v/>
      </c>
      <c r="S11" s="314" t="str" cm="1">
        <f t="array" aca="1" ref="S11" ca="1">_xlfn.IFNA(_xlfn.IFS(X11="Dit kostentype hoeft u niet op te geven. Hiervoor wordt een forfait berekend.","",AND(K11&lt;&gt;"",M11&lt;&gt;"",H11="Vast tarief",F11="Vergoeding"),SUM(K11)*FLOOR(SUM(M11),0.0001),AND(K11&lt;&gt;"",M11&lt;&gt;"",OR(H11="Uurtarief",H11="Vast tarief")),SUM(K11)*FLOOR(SUM(M11),0.01),AND(O11&lt;&gt;"",H11="-"),FLOOR(SUM(O11),0.01)),"")</f>
        <v/>
      </c>
      <c r="T11" s="314" t="str">
        <f t="shared" ca="1" si="3"/>
        <v/>
      </c>
      <c r="U11" s="314" t="str" cm="1">
        <f t="array" aca="1" ref="U11" ca="1">IFERROR(_xlfn.IFS(OR(F11="",LEFT(Methode_Keuze,4)="Geen",Methode_Keuze=""),"",AND(R11&lt;&gt;"",F11&lt;&gt;"Arbeidskosten"),R11*VLOOKUP(F11,Tb_ProjectKosten[],MATCH(Tb_ProjectKosten[[#Headers],[Forfait_Percentage]],Tb_ProjectKosten[#Headers],0),0),AND(F11="Arbeidskosten",G11&lt;&gt;""),IFERROR(R11*VLOOKUP(G11,Tb_KostenTypen[],3,0)*VLOOKUP(F11,Tb_ProjectKosten[],MATCH(Tb_ProjectKosten[[#Headers],[Forfait_Percentage]],Tb_ProjectKosten[#Headers],0),0),""),R11 &lt;=0,0),"")</f>
        <v/>
      </c>
      <c r="V11" s="314" t="str" cm="1">
        <f t="array" aca="1" ref="V11" ca="1">IFERROR(_xlfn.IFS(OR(F11="",LEFT(Methode_Keuze,4)="Geen",Methode_Keuze=""),"",AND(S11&lt;&gt;"",F11&lt;&gt;"Arbeidskosten"),S11*VLOOKUP(F11,Tb_ProjectKosten[],MATCH(Tb_ProjectKosten[[#Headers],[Forfait_Percentage]],Tb_ProjectKosten[#Headers],0),0),AND(F11="Arbeidskosten",G11&lt;&gt;""),IFERROR(S11*VLOOKUP(G11,Tb_KostenTypen[],3,0)*VLOOKUP(F11,Tb_ProjectKosten[],MATCH(Tb_ProjectKosten[[#Headers],[Forfait_Percentage]],Tb_ProjectKosten[#Headers],0),0),""),S11 &lt;=0,0),"")</f>
        <v/>
      </c>
      <c r="W11" s="314" t="str">
        <f t="shared" ca="1" si="4"/>
        <v/>
      </c>
      <c r="X11" s="376" t="str">
        <f>IFERROR(VLOOKUP(F11,Tb_ProjectKosten[#All],11,0),"")</f>
        <v/>
      </c>
      <c r="Y11" s="315"/>
    </row>
    <row r="12" spans="1:25" x14ac:dyDescent="0.25">
      <c r="A12" s="309">
        <f>MAX($A$5:A11)+1</f>
        <v>7</v>
      </c>
      <c r="B12" s="296"/>
      <c r="C12" s="296"/>
      <c r="D12" s="296"/>
      <c r="E12" s="296"/>
      <c r="F12" s="296"/>
      <c r="G12" s="327"/>
      <c r="H12" s="310" t="str">
        <f ca="1">IFERROR(IF(VLOOKUP(F12,Kostentypen!$A$3:$E$21,3,0)=0,"",IF(OR(F12="Arbeidskosten",F12="Vergoeding"),VLOOKUP(G12,Tb_KostenTypen[],2,0),VLOOKUP(F12,Kostentypen!$A$3:$E$20,3,0))),"")</f>
        <v/>
      </c>
      <c r="I12" s="311"/>
      <c r="J12" s="312" t="str" cm="1">
        <f t="array" ref="J12">_xlfn.IFNA(IF(INDEX(Tb_KostenOpties[],MATCH($F12,Tb_KostenOpties[KostenOptie],0),IFERROR(MATCH(Methode_Keuze,Tb_KostenOpties[#Headers],0),2))=1,_xlfn.SWITCH($H12,"Uurtarief",IF(OR(AND(RIGHT($F12,3)="IKS",VLOOKUP($I12,Loonkosten,2,0)="Ja"),AND(RIGHT($F12,3)&lt;&gt;"IKS",VLOOKUP($I12,Loonkosten,2,0)="Nee")), VLOOKUP($I12,Loonkosten,MATCH("Opgegeven uurtarief",'4. Rekenhulp loonkosten aanvr.'!$4:$4,0)),0),"Vast tarief",IF(LEFT(F12,8)="Bijdrage",VLOOKUP($F12,Tb_KostenTypen[],MATCH(Lijsten!$P$1,Tb_KostenTypen[#Headers],0),0),VLOOKUP($G12,Lijsten!L:P,MATCH(Lijsten!$P$1,Kop_Tarief_Vast,0),0))),""),"")</f>
        <v/>
      </c>
      <c r="K12" s="312" t="str" cm="1">
        <f t="array" ref="K12">_xlfn.IFNA(IF(INDEX(Tb_KostenOpties[],MATCH($F12,Tb_KostenOpties[KostenOptie],0),IFERROR(MATCH(Methode_Keuze,Tb_KostenOpties[#Headers],0),2))=1,_xlfn.SWITCH($H12,"Uurtarief",IF(OR(AND(RIGHT($F12,3)="IKS",VLOOKUP($I12,Loonkosten,2,0)="Ja"),AND(RIGHT($F12,3)&lt;&gt;"IKS",VLOOKUP($I12,Loonkosten,2,0)="Nee")), VLOOKUP($I12,Loonkosten,MATCH("Beoordeeld uurtarief",'4. Rekenhulp loonkosten aanvr.'!$4:$4,0),0),0),"Vast tarief",IF(LEFT(F12,8)="Bijdrage",VLOOKUP($F12,Tb_KostenTypen[],MATCH(Lijsten!$P$1,Tb_KostenTypen[#Headers],0),0),VLOOKUP($G12,Lijsten!L:P,MATCH(Lijsten!$P$1,Kop_Tarief_Vast,0),0))),""),"")</f>
        <v/>
      </c>
      <c r="L12" s="358"/>
      <c r="M12" s="358"/>
      <c r="N12" s="313"/>
      <c r="O12" s="313"/>
      <c r="P12" s="374" t="str">
        <f t="shared" si="1"/>
        <v/>
      </c>
      <c r="Q12" s="314" t="str">
        <f t="shared" si="2"/>
        <v/>
      </c>
      <c r="R12" s="314" t="str" cm="1">
        <f t="array" aca="1" ref="R12" ca="1">_xlfn.IFNA(_xlfn.IFS(X12="Dit kostentype hoeft u niet op te geven. Hiervoor wordt een forfait berekend.","",AND(J12&lt;&gt;"",H12="Vast tarief",F12="Vergoeding"),SUM(J12)*FLOOR(SUM(L12),0.0001),AND(J12&lt;&gt;"",OR(H12="Uurtarief",H12="Vast tarief")),SUM(J12)*FLOOR(SUM(L12),0.01),AND(N12&lt;&gt;"",H12="-"),FLOOR(SUM(N12),0.01)),"")</f>
        <v/>
      </c>
      <c r="S12" s="314" t="str" cm="1">
        <f t="array" aca="1" ref="S12" ca="1">_xlfn.IFNA(_xlfn.IFS(X12="Dit kostentype hoeft u niet op te geven. Hiervoor wordt een forfait berekend.","",AND(K12&lt;&gt;"",M12&lt;&gt;"",H12="Vast tarief",F12="Vergoeding"),SUM(K12)*FLOOR(SUM(M12),0.0001),AND(K12&lt;&gt;"",M12&lt;&gt;"",OR(H12="Uurtarief",H12="Vast tarief")),SUM(K12)*FLOOR(SUM(M12),0.01),AND(O12&lt;&gt;"",H12="-"),FLOOR(SUM(O12),0.01)),"")</f>
        <v/>
      </c>
      <c r="T12" s="314" t="str">
        <f t="shared" ca="1" si="3"/>
        <v/>
      </c>
      <c r="U12" s="314" t="str" cm="1">
        <f t="array" aca="1" ref="U12" ca="1">IFERROR(_xlfn.IFS(OR(F12="",LEFT(Methode_Keuze,4)="Geen",Methode_Keuze=""),"",AND(R12&lt;&gt;"",F12&lt;&gt;"Arbeidskosten"),R12*VLOOKUP(F12,Tb_ProjectKosten[],MATCH(Tb_ProjectKosten[[#Headers],[Forfait_Percentage]],Tb_ProjectKosten[#Headers],0),0),AND(F12="Arbeidskosten",G12&lt;&gt;""),IFERROR(R12*VLOOKUP(G12,Tb_KostenTypen[],3,0)*VLOOKUP(F12,Tb_ProjectKosten[],MATCH(Tb_ProjectKosten[[#Headers],[Forfait_Percentage]],Tb_ProjectKosten[#Headers],0),0),""),R12 &lt;=0,0),"")</f>
        <v/>
      </c>
      <c r="V12" s="314" t="str" cm="1">
        <f t="array" aca="1" ref="V12" ca="1">IFERROR(_xlfn.IFS(OR(F12="",LEFT(Methode_Keuze,4)="Geen",Methode_Keuze=""),"",AND(S12&lt;&gt;"",F12&lt;&gt;"Arbeidskosten"),S12*VLOOKUP(F12,Tb_ProjectKosten[],MATCH(Tb_ProjectKosten[[#Headers],[Forfait_Percentage]],Tb_ProjectKosten[#Headers],0),0),AND(F12="Arbeidskosten",G12&lt;&gt;""),IFERROR(S12*VLOOKUP(G12,Tb_KostenTypen[],3,0)*VLOOKUP(F12,Tb_ProjectKosten[],MATCH(Tb_ProjectKosten[[#Headers],[Forfait_Percentage]],Tb_ProjectKosten[#Headers],0),0),""),S12 &lt;=0,0),"")</f>
        <v/>
      </c>
      <c r="W12" s="314" t="str">
        <f t="shared" ca="1" si="4"/>
        <v/>
      </c>
      <c r="X12" s="376" t="str">
        <f>IFERROR(VLOOKUP(F12,Tb_ProjectKosten[#All],11,0),"")</f>
        <v/>
      </c>
      <c r="Y12" s="315"/>
    </row>
    <row r="13" spans="1:25" x14ac:dyDescent="0.25">
      <c r="A13" s="309">
        <f>MAX($A$5:A12)+1</f>
        <v>8</v>
      </c>
      <c r="B13" s="296"/>
      <c r="C13" s="296"/>
      <c r="D13" s="296"/>
      <c r="E13" s="296"/>
      <c r="F13" s="296"/>
      <c r="G13" s="327"/>
      <c r="H13" s="310" t="str">
        <f ca="1">IFERROR(IF(VLOOKUP(F13,Kostentypen!$A$3:$E$21,3,0)=0,"",IF(OR(F13="Arbeidskosten",F13="Vergoeding"),VLOOKUP(G13,Tb_KostenTypen[],2,0),VLOOKUP(F13,Kostentypen!$A$3:$E$20,3,0))),"")</f>
        <v/>
      </c>
      <c r="I13" s="311"/>
      <c r="J13" s="312" t="str" cm="1">
        <f t="array" ref="J13">_xlfn.IFNA(IF(INDEX(Tb_KostenOpties[],MATCH($F13,Tb_KostenOpties[KostenOptie],0),IFERROR(MATCH(Methode_Keuze,Tb_KostenOpties[#Headers],0),2))=1,_xlfn.SWITCH($H13,"Uurtarief",IF(OR(AND(RIGHT($F13,3)="IKS",VLOOKUP($I13,Loonkosten,2,0)="Ja"),AND(RIGHT($F13,3)&lt;&gt;"IKS",VLOOKUP($I13,Loonkosten,2,0)="Nee")), VLOOKUP($I13,Loonkosten,MATCH("Opgegeven uurtarief",'4. Rekenhulp loonkosten aanvr.'!$4:$4,0)),0),"Vast tarief",IF(LEFT(F13,8)="Bijdrage",VLOOKUP($F13,Tb_KostenTypen[],MATCH(Lijsten!$P$1,Tb_KostenTypen[#Headers],0),0),VLOOKUP($G13,Lijsten!L:P,MATCH(Lijsten!$P$1,Kop_Tarief_Vast,0),0))),""),"")</f>
        <v/>
      </c>
      <c r="K13" s="312" t="str" cm="1">
        <f t="array" ref="K13">_xlfn.IFNA(IF(INDEX(Tb_KostenOpties[],MATCH($F13,Tb_KostenOpties[KostenOptie],0),IFERROR(MATCH(Methode_Keuze,Tb_KostenOpties[#Headers],0),2))=1,_xlfn.SWITCH($H13,"Uurtarief",IF(OR(AND(RIGHT($F13,3)="IKS",VLOOKUP($I13,Loonkosten,2,0)="Ja"),AND(RIGHT($F13,3)&lt;&gt;"IKS",VLOOKUP($I13,Loonkosten,2,0)="Nee")), VLOOKUP($I13,Loonkosten,MATCH("Beoordeeld uurtarief",'4. Rekenhulp loonkosten aanvr.'!$4:$4,0),0),0),"Vast tarief",IF(LEFT(F13,8)="Bijdrage",VLOOKUP($F13,Tb_KostenTypen[],MATCH(Lijsten!$P$1,Tb_KostenTypen[#Headers],0),0),VLOOKUP($G13,Lijsten!L:P,MATCH(Lijsten!$P$1,Kop_Tarief_Vast,0),0))),""),"")</f>
        <v/>
      </c>
      <c r="L13" s="358"/>
      <c r="M13" s="358"/>
      <c r="N13" s="313"/>
      <c r="O13" s="313"/>
      <c r="P13" s="374" t="str">
        <f t="shared" si="1"/>
        <v/>
      </c>
      <c r="Q13" s="314" t="str">
        <f t="shared" si="2"/>
        <v/>
      </c>
      <c r="R13" s="314" t="str" cm="1">
        <f t="array" aca="1" ref="R13" ca="1">_xlfn.IFNA(_xlfn.IFS(X13="Dit kostentype hoeft u niet op te geven. Hiervoor wordt een forfait berekend.","",AND(J13&lt;&gt;"",H13="Vast tarief",F13="Vergoeding"),SUM(J13)*FLOOR(SUM(L13),0.0001),AND(J13&lt;&gt;"",OR(H13="Uurtarief",H13="Vast tarief")),SUM(J13)*FLOOR(SUM(L13),0.01),AND(N13&lt;&gt;"",H13="-"),FLOOR(SUM(N13),0.01)),"")</f>
        <v/>
      </c>
      <c r="S13" s="314" t="str" cm="1">
        <f t="array" aca="1" ref="S13" ca="1">_xlfn.IFNA(_xlfn.IFS(X13="Dit kostentype hoeft u niet op te geven. Hiervoor wordt een forfait berekend.","",AND(K13&lt;&gt;"",M13&lt;&gt;"",H13="Vast tarief",F13="Vergoeding"),SUM(K13)*FLOOR(SUM(M13),0.0001),AND(K13&lt;&gt;"",M13&lt;&gt;"",OR(H13="Uurtarief",H13="Vast tarief")),SUM(K13)*FLOOR(SUM(M13),0.01),AND(O13&lt;&gt;"",H13="-"),FLOOR(SUM(O13),0.01)),"")</f>
        <v/>
      </c>
      <c r="T13" s="314" t="str">
        <f t="shared" ca="1" si="3"/>
        <v/>
      </c>
      <c r="U13" s="314" t="str" cm="1">
        <f t="array" aca="1" ref="U13" ca="1">IFERROR(_xlfn.IFS(OR(F13="",LEFT(Methode_Keuze,4)="Geen",Methode_Keuze=""),"",AND(R13&lt;&gt;"",F13&lt;&gt;"Arbeidskosten"),R13*VLOOKUP(F13,Tb_ProjectKosten[],MATCH(Tb_ProjectKosten[[#Headers],[Forfait_Percentage]],Tb_ProjectKosten[#Headers],0),0),AND(F13="Arbeidskosten",G13&lt;&gt;""),IFERROR(R13*VLOOKUP(G13,Tb_KostenTypen[],3,0)*VLOOKUP(F13,Tb_ProjectKosten[],MATCH(Tb_ProjectKosten[[#Headers],[Forfait_Percentage]],Tb_ProjectKosten[#Headers],0),0),""),R13 &lt;=0,0),"")</f>
        <v/>
      </c>
      <c r="V13" s="314" t="str" cm="1">
        <f t="array" aca="1" ref="V13" ca="1">IFERROR(_xlfn.IFS(OR(F13="",LEFT(Methode_Keuze,4)="Geen",Methode_Keuze=""),"",AND(S13&lt;&gt;"",F13&lt;&gt;"Arbeidskosten"),S13*VLOOKUP(F13,Tb_ProjectKosten[],MATCH(Tb_ProjectKosten[[#Headers],[Forfait_Percentage]],Tb_ProjectKosten[#Headers],0),0),AND(F13="Arbeidskosten",G13&lt;&gt;""),IFERROR(S13*VLOOKUP(G13,Tb_KostenTypen[],3,0)*VLOOKUP(F13,Tb_ProjectKosten[],MATCH(Tb_ProjectKosten[[#Headers],[Forfait_Percentage]],Tb_ProjectKosten[#Headers],0),0),""),S13 &lt;=0,0),"")</f>
        <v/>
      </c>
      <c r="W13" s="314" t="str">
        <f t="shared" ca="1" si="4"/>
        <v/>
      </c>
      <c r="X13" s="376" t="str">
        <f>IFERROR(VLOOKUP(F13,Tb_ProjectKosten[#All],11,0),"")</f>
        <v/>
      </c>
      <c r="Y13" s="315"/>
    </row>
    <row r="14" spans="1:25" x14ac:dyDescent="0.25">
      <c r="A14" s="309">
        <f>MAX($A$5:A13)+1</f>
        <v>9</v>
      </c>
      <c r="B14" s="296"/>
      <c r="C14" s="296"/>
      <c r="D14" s="296"/>
      <c r="E14" s="296"/>
      <c r="F14" s="296"/>
      <c r="G14" s="327"/>
      <c r="H14" s="310" t="str">
        <f ca="1">IFERROR(IF(VLOOKUP(F14,Kostentypen!$A$3:$E$21,3,0)=0,"",IF(OR(F14="Arbeidskosten",F14="Vergoeding"),VLOOKUP(G14,Tb_KostenTypen[],2,0),VLOOKUP(F14,Kostentypen!$A$3:$E$20,3,0))),"")</f>
        <v/>
      </c>
      <c r="I14" s="311"/>
      <c r="J14" s="312" t="str" cm="1">
        <f t="array" ref="J14">_xlfn.IFNA(IF(INDEX(Tb_KostenOpties[],MATCH($F14,Tb_KostenOpties[KostenOptie],0),IFERROR(MATCH(Methode_Keuze,Tb_KostenOpties[#Headers],0),2))=1,_xlfn.SWITCH($H14,"Uurtarief",IF(OR(AND(RIGHT($F14,3)="IKS",VLOOKUP($I14,Loonkosten,2,0)="Ja"),AND(RIGHT($F14,3)&lt;&gt;"IKS",VLOOKUP($I14,Loonkosten,2,0)="Nee")), VLOOKUP($I14,Loonkosten,MATCH("Opgegeven uurtarief",'4. Rekenhulp loonkosten aanvr.'!$4:$4,0)),0),"Vast tarief",IF(LEFT(F14,8)="Bijdrage",VLOOKUP($F14,Tb_KostenTypen[],MATCH(Lijsten!$P$1,Tb_KostenTypen[#Headers],0),0),VLOOKUP($G14,Lijsten!L:P,MATCH(Lijsten!$P$1,Kop_Tarief_Vast,0),0))),""),"")</f>
        <v/>
      </c>
      <c r="K14" s="312" t="str" cm="1">
        <f t="array" ref="K14">_xlfn.IFNA(IF(INDEX(Tb_KostenOpties[],MATCH($F14,Tb_KostenOpties[KostenOptie],0),IFERROR(MATCH(Methode_Keuze,Tb_KostenOpties[#Headers],0),2))=1,_xlfn.SWITCH($H14,"Uurtarief",IF(OR(AND(RIGHT($F14,3)="IKS",VLOOKUP($I14,Loonkosten,2,0)="Ja"),AND(RIGHT($F14,3)&lt;&gt;"IKS",VLOOKUP($I14,Loonkosten,2,0)="Nee")), VLOOKUP($I14,Loonkosten,MATCH("Beoordeeld uurtarief",'4. Rekenhulp loonkosten aanvr.'!$4:$4,0),0),0),"Vast tarief",IF(LEFT(F14,8)="Bijdrage",VLOOKUP($F14,Tb_KostenTypen[],MATCH(Lijsten!$P$1,Tb_KostenTypen[#Headers],0),0),VLOOKUP($G14,Lijsten!L:P,MATCH(Lijsten!$P$1,Kop_Tarief_Vast,0),0))),""),"")</f>
        <v/>
      </c>
      <c r="L14" s="358"/>
      <c r="M14" s="358"/>
      <c r="N14" s="313"/>
      <c r="O14" s="313"/>
      <c r="P14" s="374" t="str">
        <f t="shared" si="1"/>
        <v/>
      </c>
      <c r="Q14" s="314" t="str">
        <f t="shared" si="2"/>
        <v/>
      </c>
      <c r="R14" s="314" t="str" cm="1">
        <f t="array" aca="1" ref="R14" ca="1">_xlfn.IFNA(_xlfn.IFS(X14="Dit kostentype hoeft u niet op te geven. Hiervoor wordt een forfait berekend.","",AND(J14&lt;&gt;"",H14="Vast tarief",F14="Vergoeding"),SUM(J14)*FLOOR(SUM(L14),0.0001),AND(J14&lt;&gt;"",OR(H14="Uurtarief",H14="Vast tarief")),SUM(J14)*FLOOR(SUM(L14),0.01),AND(N14&lt;&gt;"",H14="-"),FLOOR(SUM(N14),0.01)),"")</f>
        <v/>
      </c>
      <c r="S14" s="314" t="str" cm="1">
        <f t="array" aca="1" ref="S14" ca="1">_xlfn.IFNA(_xlfn.IFS(X14="Dit kostentype hoeft u niet op te geven. Hiervoor wordt een forfait berekend.","",AND(K14&lt;&gt;"",M14&lt;&gt;"",H14="Vast tarief",F14="Vergoeding"),SUM(K14)*FLOOR(SUM(M14),0.0001),AND(K14&lt;&gt;"",M14&lt;&gt;"",OR(H14="Uurtarief",H14="Vast tarief")),SUM(K14)*FLOOR(SUM(M14),0.01),AND(O14&lt;&gt;"",H14="-"),FLOOR(SUM(O14),0.01)),"")</f>
        <v/>
      </c>
      <c r="T14" s="314" t="str">
        <f t="shared" ca="1" si="3"/>
        <v/>
      </c>
      <c r="U14" s="314" t="str" cm="1">
        <f t="array" aca="1" ref="U14" ca="1">IFERROR(_xlfn.IFS(OR(F14="",LEFT(Methode_Keuze,4)="Geen",Methode_Keuze=""),"",AND(R14&lt;&gt;"",F14&lt;&gt;"Arbeidskosten"),R14*VLOOKUP(F14,Tb_ProjectKosten[],MATCH(Tb_ProjectKosten[[#Headers],[Forfait_Percentage]],Tb_ProjectKosten[#Headers],0),0),AND(F14="Arbeidskosten",G14&lt;&gt;""),IFERROR(R14*VLOOKUP(G14,Tb_KostenTypen[],3,0)*VLOOKUP(F14,Tb_ProjectKosten[],MATCH(Tb_ProjectKosten[[#Headers],[Forfait_Percentage]],Tb_ProjectKosten[#Headers],0),0),""),R14 &lt;=0,0),"")</f>
        <v/>
      </c>
      <c r="V14" s="314" t="str" cm="1">
        <f t="array" aca="1" ref="V14" ca="1">IFERROR(_xlfn.IFS(OR(F14="",LEFT(Methode_Keuze,4)="Geen",Methode_Keuze=""),"",AND(S14&lt;&gt;"",F14&lt;&gt;"Arbeidskosten"),S14*VLOOKUP(F14,Tb_ProjectKosten[],MATCH(Tb_ProjectKosten[[#Headers],[Forfait_Percentage]],Tb_ProjectKosten[#Headers],0),0),AND(F14="Arbeidskosten",G14&lt;&gt;""),IFERROR(S14*VLOOKUP(G14,Tb_KostenTypen[],3,0)*VLOOKUP(F14,Tb_ProjectKosten[],MATCH(Tb_ProjectKosten[[#Headers],[Forfait_Percentage]],Tb_ProjectKosten[#Headers],0),0),""),S14 &lt;=0,0),"")</f>
        <v/>
      </c>
      <c r="W14" s="314" t="str">
        <f t="shared" ca="1" si="4"/>
        <v/>
      </c>
      <c r="X14" s="376" t="str">
        <f>IFERROR(VLOOKUP(F14,Tb_ProjectKosten[#All],11,0),"")</f>
        <v/>
      </c>
      <c r="Y14" s="315"/>
    </row>
    <row r="15" spans="1:25" x14ac:dyDescent="0.25">
      <c r="A15" s="309">
        <f>MAX($A$5:A14)+1</f>
        <v>10</v>
      </c>
      <c r="B15" s="296"/>
      <c r="C15" s="296"/>
      <c r="D15" s="296"/>
      <c r="E15" s="296"/>
      <c r="F15" s="296"/>
      <c r="G15" s="327"/>
      <c r="H15" s="310" t="str">
        <f ca="1">IFERROR(IF(VLOOKUP(F15,Kostentypen!$A$3:$E$21,3,0)=0,"",IF(OR(F15="Arbeidskosten",F15="Vergoeding"),VLOOKUP(G15,Tb_KostenTypen[],2,0),VLOOKUP(F15,Kostentypen!$A$3:$E$20,3,0))),"")</f>
        <v/>
      </c>
      <c r="I15" s="311"/>
      <c r="J15" s="312" t="str" cm="1">
        <f t="array" ref="J15">_xlfn.IFNA(IF(INDEX(Tb_KostenOpties[],MATCH($F15,Tb_KostenOpties[KostenOptie],0),IFERROR(MATCH(Methode_Keuze,Tb_KostenOpties[#Headers],0),2))=1,_xlfn.SWITCH($H15,"Uurtarief",IF(OR(AND(RIGHT($F15,3)="IKS",VLOOKUP($I15,Loonkosten,2,0)="Ja"),AND(RIGHT($F15,3)&lt;&gt;"IKS",VLOOKUP($I15,Loonkosten,2,0)="Nee")), VLOOKUP($I15,Loonkosten,MATCH("Opgegeven uurtarief",'4. Rekenhulp loonkosten aanvr.'!$4:$4,0)),0),"Vast tarief",IF(LEFT(F15,8)="Bijdrage",VLOOKUP($F15,Tb_KostenTypen[],MATCH(Lijsten!$P$1,Tb_KostenTypen[#Headers],0),0),VLOOKUP($G15,Lijsten!L:P,MATCH(Lijsten!$P$1,Kop_Tarief_Vast,0),0))),""),"")</f>
        <v/>
      </c>
      <c r="K15" s="312" t="str" cm="1">
        <f t="array" ref="K15">_xlfn.IFNA(IF(INDEX(Tb_KostenOpties[],MATCH($F15,Tb_KostenOpties[KostenOptie],0),IFERROR(MATCH(Methode_Keuze,Tb_KostenOpties[#Headers],0),2))=1,_xlfn.SWITCH($H15,"Uurtarief",IF(OR(AND(RIGHT($F15,3)="IKS",VLOOKUP($I15,Loonkosten,2,0)="Ja"),AND(RIGHT($F15,3)&lt;&gt;"IKS",VLOOKUP($I15,Loonkosten,2,0)="Nee")), VLOOKUP($I15,Loonkosten,MATCH("Beoordeeld uurtarief",'4. Rekenhulp loonkosten aanvr.'!$4:$4,0),0),0),"Vast tarief",IF(LEFT(F15,8)="Bijdrage",VLOOKUP($F15,Tb_KostenTypen[],MATCH(Lijsten!$P$1,Tb_KostenTypen[#Headers],0),0),VLOOKUP($G15,Lijsten!L:P,MATCH(Lijsten!$P$1,Kop_Tarief_Vast,0),0))),""),"")</f>
        <v/>
      </c>
      <c r="L15" s="358"/>
      <c r="M15" s="358"/>
      <c r="N15" s="313"/>
      <c r="O15" s="313"/>
      <c r="P15" s="374" t="str">
        <f t="shared" si="1"/>
        <v/>
      </c>
      <c r="Q15" s="314" t="str">
        <f t="shared" si="2"/>
        <v/>
      </c>
      <c r="R15" s="314" t="str" cm="1">
        <f t="array" aca="1" ref="R15" ca="1">_xlfn.IFNA(_xlfn.IFS(X15="Dit kostentype hoeft u niet op te geven. Hiervoor wordt een forfait berekend.","",AND(J15&lt;&gt;"",H15="Vast tarief",F15="Vergoeding"),SUM(J15)*FLOOR(SUM(L15),0.0001),AND(J15&lt;&gt;"",OR(H15="Uurtarief",H15="Vast tarief")),SUM(J15)*FLOOR(SUM(L15),0.01),AND(N15&lt;&gt;"",H15="-"),FLOOR(SUM(N15),0.01)),"")</f>
        <v/>
      </c>
      <c r="S15" s="314" t="str" cm="1">
        <f t="array" aca="1" ref="S15" ca="1">_xlfn.IFNA(_xlfn.IFS(X15="Dit kostentype hoeft u niet op te geven. Hiervoor wordt een forfait berekend.","",AND(K15&lt;&gt;"",M15&lt;&gt;"",H15="Vast tarief",F15="Vergoeding"),SUM(K15)*FLOOR(SUM(M15),0.0001),AND(K15&lt;&gt;"",M15&lt;&gt;"",OR(H15="Uurtarief",H15="Vast tarief")),SUM(K15)*FLOOR(SUM(M15),0.01),AND(O15&lt;&gt;"",H15="-"),FLOOR(SUM(O15),0.01)),"")</f>
        <v/>
      </c>
      <c r="T15" s="314" t="str">
        <f t="shared" ca="1" si="3"/>
        <v/>
      </c>
      <c r="U15" s="314" t="str" cm="1">
        <f t="array" aca="1" ref="U15" ca="1">IFERROR(_xlfn.IFS(OR(F15="",LEFT(Methode_Keuze,4)="Geen",Methode_Keuze=""),"",AND(R15&lt;&gt;"",F15&lt;&gt;"Arbeidskosten"),R15*VLOOKUP(F15,Tb_ProjectKosten[],MATCH(Tb_ProjectKosten[[#Headers],[Forfait_Percentage]],Tb_ProjectKosten[#Headers],0),0),AND(F15="Arbeidskosten",G15&lt;&gt;""),IFERROR(R15*VLOOKUP(G15,Tb_KostenTypen[],3,0)*VLOOKUP(F15,Tb_ProjectKosten[],MATCH(Tb_ProjectKosten[[#Headers],[Forfait_Percentage]],Tb_ProjectKosten[#Headers],0),0),""),R15 &lt;=0,0),"")</f>
        <v/>
      </c>
      <c r="V15" s="314" t="str" cm="1">
        <f t="array" aca="1" ref="V15" ca="1">IFERROR(_xlfn.IFS(OR(F15="",LEFT(Methode_Keuze,4)="Geen",Methode_Keuze=""),"",AND(S15&lt;&gt;"",F15&lt;&gt;"Arbeidskosten"),S15*VLOOKUP(F15,Tb_ProjectKosten[],MATCH(Tb_ProjectKosten[[#Headers],[Forfait_Percentage]],Tb_ProjectKosten[#Headers],0),0),AND(F15="Arbeidskosten",G15&lt;&gt;""),IFERROR(S15*VLOOKUP(G15,Tb_KostenTypen[],3,0)*VLOOKUP(F15,Tb_ProjectKosten[],MATCH(Tb_ProjectKosten[[#Headers],[Forfait_Percentage]],Tb_ProjectKosten[#Headers],0),0),""),S15 &lt;=0,0),"")</f>
        <v/>
      </c>
      <c r="W15" s="314" t="str">
        <f t="shared" ca="1" si="4"/>
        <v/>
      </c>
      <c r="X15" s="376" t="str">
        <f>IFERROR(VLOOKUP(F15,Tb_ProjectKosten[#All],11,0),"")</f>
        <v/>
      </c>
      <c r="Y15" s="315"/>
    </row>
    <row r="16" spans="1:25" x14ac:dyDescent="0.25">
      <c r="A16" s="309">
        <f>MAX($A$5:A15)+1</f>
        <v>11</v>
      </c>
      <c r="B16" s="296"/>
      <c r="C16" s="296"/>
      <c r="D16" s="296"/>
      <c r="E16" s="296"/>
      <c r="F16" s="296"/>
      <c r="G16" s="327"/>
      <c r="H16" s="310" t="str">
        <f ca="1">IFERROR(IF(VLOOKUP(F16,Kostentypen!$A$3:$E$21,3,0)=0,"",IF(OR(F16="Arbeidskosten",F16="Vergoeding"),VLOOKUP(G16,Tb_KostenTypen[],2,0),VLOOKUP(F16,Kostentypen!$A$3:$E$20,3,0))),"")</f>
        <v/>
      </c>
      <c r="I16" s="311"/>
      <c r="J16" s="312" t="str" cm="1">
        <f t="array" ref="J16">_xlfn.IFNA(IF(INDEX(Tb_KostenOpties[],MATCH($F16,Tb_KostenOpties[KostenOptie],0),IFERROR(MATCH(Methode_Keuze,Tb_KostenOpties[#Headers],0),2))=1,_xlfn.SWITCH($H16,"Uurtarief",IF(OR(AND(RIGHT($F16,3)="IKS",VLOOKUP($I16,Loonkosten,2,0)="Ja"),AND(RIGHT($F16,3)&lt;&gt;"IKS",VLOOKUP($I16,Loonkosten,2,0)="Nee")), VLOOKUP($I16,Loonkosten,MATCH("Opgegeven uurtarief",'4. Rekenhulp loonkosten aanvr.'!$4:$4,0)),0),"Vast tarief",IF(LEFT(F16,8)="Bijdrage",VLOOKUP($F16,Tb_KostenTypen[],MATCH(Lijsten!$P$1,Tb_KostenTypen[#Headers],0),0),VLOOKUP($G16,Lijsten!L:P,MATCH(Lijsten!$P$1,Kop_Tarief_Vast,0),0))),""),"")</f>
        <v/>
      </c>
      <c r="K16" s="312" t="str" cm="1">
        <f t="array" ref="K16">_xlfn.IFNA(IF(INDEX(Tb_KostenOpties[],MATCH($F16,Tb_KostenOpties[KostenOptie],0),IFERROR(MATCH(Methode_Keuze,Tb_KostenOpties[#Headers],0),2))=1,_xlfn.SWITCH($H16,"Uurtarief",IF(OR(AND(RIGHT($F16,3)="IKS",VLOOKUP($I16,Loonkosten,2,0)="Ja"),AND(RIGHT($F16,3)&lt;&gt;"IKS",VLOOKUP($I16,Loonkosten,2,0)="Nee")), VLOOKUP($I16,Loonkosten,MATCH("Beoordeeld uurtarief",'4. Rekenhulp loonkosten aanvr.'!$4:$4,0),0),0),"Vast tarief",IF(LEFT(F16,8)="Bijdrage",VLOOKUP($F16,Tb_KostenTypen[],MATCH(Lijsten!$P$1,Tb_KostenTypen[#Headers],0),0),VLOOKUP($G16,Lijsten!L:P,MATCH(Lijsten!$P$1,Kop_Tarief_Vast,0),0))),""),"")</f>
        <v/>
      </c>
      <c r="L16" s="358"/>
      <c r="M16" s="358"/>
      <c r="N16" s="313"/>
      <c r="O16" s="313"/>
      <c r="P16" s="374" t="str">
        <f t="shared" si="1"/>
        <v/>
      </c>
      <c r="Q16" s="314" t="str">
        <f t="shared" si="2"/>
        <v/>
      </c>
      <c r="R16" s="314" t="str" cm="1">
        <f t="array" aca="1" ref="R16" ca="1">_xlfn.IFNA(_xlfn.IFS(X16="Dit kostentype hoeft u niet op te geven. Hiervoor wordt een forfait berekend.","",AND(J16&lt;&gt;"",H16="Vast tarief",F16="Vergoeding"),SUM(J16)*FLOOR(SUM(L16),0.0001),AND(J16&lt;&gt;"",OR(H16="Uurtarief",H16="Vast tarief")),SUM(J16)*FLOOR(SUM(L16),0.01),AND(N16&lt;&gt;"",H16="-"),FLOOR(SUM(N16),0.01)),"")</f>
        <v/>
      </c>
      <c r="S16" s="314" t="str" cm="1">
        <f t="array" aca="1" ref="S16" ca="1">_xlfn.IFNA(_xlfn.IFS(X16="Dit kostentype hoeft u niet op te geven. Hiervoor wordt een forfait berekend.","",AND(K16&lt;&gt;"",M16&lt;&gt;"",H16="Vast tarief",F16="Vergoeding"),SUM(K16)*FLOOR(SUM(M16),0.0001),AND(K16&lt;&gt;"",M16&lt;&gt;"",OR(H16="Uurtarief",H16="Vast tarief")),SUM(K16)*FLOOR(SUM(M16),0.01),AND(O16&lt;&gt;"",H16="-"),FLOOR(SUM(O16),0.01)),"")</f>
        <v/>
      </c>
      <c r="T16" s="314" t="str">
        <f t="shared" ca="1" si="3"/>
        <v/>
      </c>
      <c r="U16" s="314" t="str" cm="1">
        <f t="array" aca="1" ref="U16" ca="1">IFERROR(_xlfn.IFS(OR(F16="",LEFT(Methode_Keuze,4)="Geen",Methode_Keuze=""),"",AND(R16&lt;&gt;"",F16&lt;&gt;"Arbeidskosten"),R16*VLOOKUP(F16,Tb_ProjectKosten[],MATCH(Tb_ProjectKosten[[#Headers],[Forfait_Percentage]],Tb_ProjectKosten[#Headers],0),0),AND(F16="Arbeidskosten",G16&lt;&gt;""),IFERROR(R16*VLOOKUP(G16,Tb_KostenTypen[],3,0)*VLOOKUP(F16,Tb_ProjectKosten[],MATCH(Tb_ProjectKosten[[#Headers],[Forfait_Percentage]],Tb_ProjectKosten[#Headers],0),0),""),R16 &lt;=0,0),"")</f>
        <v/>
      </c>
      <c r="V16" s="314" t="str" cm="1">
        <f t="array" aca="1" ref="V16" ca="1">IFERROR(_xlfn.IFS(OR(F16="",LEFT(Methode_Keuze,4)="Geen",Methode_Keuze=""),"",AND(S16&lt;&gt;"",F16&lt;&gt;"Arbeidskosten"),S16*VLOOKUP(F16,Tb_ProjectKosten[],MATCH(Tb_ProjectKosten[[#Headers],[Forfait_Percentage]],Tb_ProjectKosten[#Headers],0),0),AND(F16="Arbeidskosten",G16&lt;&gt;""),IFERROR(S16*VLOOKUP(G16,Tb_KostenTypen[],3,0)*VLOOKUP(F16,Tb_ProjectKosten[],MATCH(Tb_ProjectKosten[[#Headers],[Forfait_Percentage]],Tb_ProjectKosten[#Headers],0),0),""),S16 &lt;=0,0),"")</f>
        <v/>
      </c>
      <c r="W16" s="314" t="str">
        <f t="shared" ca="1" si="4"/>
        <v/>
      </c>
      <c r="X16" s="376" t="str">
        <f>IFERROR(VLOOKUP(F16,Tb_ProjectKosten[#All],11,0),"")</f>
        <v/>
      </c>
      <c r="Y16" s="315"/>
    </row>
    <row r="17" spans="1:25" x14ac:dyDescent="0.25">
      <c r="A17" s="309">
        <f>MAX($A$5:A16)+1</f>
        <v>12</v>
      </c>
      <c r="B17" s="296"/>
      <c r="C17" s="296"/>
      <c r="D17" s="296"/>
      <c r="E17" s="296"/>
      <c r="F17" s="296"/>
      <c r="G17" s="327"/>
      <c r="H17" s="310" t="str">
        <f ca="1">IFERROR(IF(VLOOKUP(F17,Kostentypen!$A$3:$E$21,3,0)=0,"",IF(OR(F17="Arbeidskosten",F17="Vergoeding"),VLOOKUP(G17,Tb_KostenTypen[],2,0),VLOOKUP(F17,Kostentypen!$A$3:$E$20,3,0))),"")</f>
        <v/>
      </c>
      <c r="I17" s="311"/>
      <c r="J17" s="312" t="str" cm="1">
        <f t="array" ref="J17">_xlfn.IFNA(IF(INDEX(Tb_KostenOpties[],MATCH($F17,Tb_KostenOpties[KostenOptie],0),IFERROR(MATCH(Methode_Keuze,Tb_KostenOpties[#Headers],0),2))=1,_xlfn.SWITCH($H17,"Uurtarief",IF(OR(AND(RIGHT($F17,3)="IKS",VLOOKUP($I17,Loonkosten,2,0)="Ja"),AND(RIGHT($F17,3)&lt;&gt;"IKS",VLOOKUP($I17,Loonkosten,2,0)="Nee")), VLOOKUP($I17,Loonkosten,MATCH("Opgegeven uurtarief",'4. Rekenhulp loonkosten aanvr.'!$4:$4,0)),0),"Vast tarief",IF(LEFT(F17,8)="Bijdrage",VLOOKUP($F17,Tb_KostenTypen[],MATCH(Lijsten!$P$1,Tb_KostenTypen[#Headers],0),0),VLOOKUP($G17,Lijsten!L:P,MATCH(Lijsten!$P$1,Kop_Tarief_Vast,0),0))),""),"")</f>
        <v/>
      </c>
      <c r="K17" s="312" t="str" cm="1">
        <f t="array" ref="K17">_xlfn.IFNA(IF(INDEX(Tb_KostenOpties[],MATCH($F17,Tb_KostenOpties[KostenOptie],0),IFERROR(MATCH(Methode_Keuze,Tb_KostenOpties[#Headers],0),2))=1,_xlfn.SWITCH($H17,"Uurtarief",IF(OR(AND(RIGHT($F17,3)="IKS",VLOOKUP($I17,Loonkosten,2,0)="Ja"),AND(RIGHT($F17,3)&lt;&gt;"IKS",VLOOKUP($I17,Loonkosten,2,0)="Nee")), VLOOKUP($I17,Loonkosten,MATCH("Beoordeeld uurtarief",'4. Rekenhulp loonkosten aanvr.'!$4:$4,0),0),0),"Vast tarief",IF(LEFT(F17,8)="Bijdrage",VLOOKUP($F17,Tb_KostenTypen[],MATCH(Lijsten!$P$1,Tb_KostenTypen[#Headers],0),0),VLOOKUP($G17,Lijsten!L:P,MATCH(Lijsten!$P$1,Kop_Tarief_Vast,0),0))),""),"")</f>
        <v/>
      </c>
      <c r="L17" s="358"/>
      <c r="M17" s="358"/>
      <c r="N17" s="313"/>
      <c r="O17" s="313"/>
      <c r="P17" s="374" t="str">
        <f t="shared" si="1"/>
        <v/>
      </c>
      <c r="Q17" s="314" t="str">
        <f t="shared" si="2"/>
        <v/>
      </c>
      <c r="R17" s="314" t="str" cm="1">
        <f t="array" aca="1" ref="R17" ca="1">_xlfn.IFNA(_xlfn.IFS(X17="Dit kostentype hoeft u niet op te geven. Hiervoor wordt een forfait berekend.","",AND(J17&lt;&gt;"",H17="Vast tarief",F17="Vergoeding"),SUM(J17)*FLOOR(SUM(L17),0.0001),AND(J17&lt;&gt;"",OR(H17="Uurtarief",H17="Vast tarief")),SUM(J17)*FLOOR(SUM(L17),0.01),AND(N17&lt;&gt;"",H17="-"),FLOOR(SUM(N17),0.01)),"")</f>
        <v/>
      </c>
      <c r="S17" s="314" t="str" cm="1">
        <f t="array" aca="1" ref="S17" ca="1">_xlfn.IFNA(_xlfn.IFS(X17="Dit kostentype hoeft u niet op te geven. Hiervoor wordt een forfait berekend.","",AND(K17&lt;&gt;"",M17&lt;&gt;"",H17="Vast tarief",F17="Vergoeding"),SUM(K17)*FLOOR(SUM(M17),0.0001),AND(K17&lt;&gt;"",M17&lt;&gt;"",OR(H17="Uurtarief",H17="Vast tarief")),SUM(K17)*FLOOR(SUM(M17),0.01),AND(O17&lt;&gt;"",H17="-"),FLOOR(SUM(O17),0.01)),"")</f>
        <v/>
      </c>
      <c r="T17" s="314" t="str">
        <f t="shared" ca="1" si="3"/>
        <v/>
      </c>
      <c r="U17" s="314" t="str" cm="1">
        <f t="array" aca="1" ref="U17" ca="1">IFERROR(_xlfn.IFS(OR(F17="",LEFT(Methode_Keuze,4)="Geen",Methode_Keuze=""),"",AND(R17&lt;&gt;"",F17&lt;&gt;"Arbeidskosten"),R17*VLOOKUP(F17,Tb_ProjectKosten[],MATCH(Tb_ProjectKosten[[#Headers],[Forfait_Percentage]],Tb_ProjectKosten[#Headers],0),0),AND(F17="Arbeidskosten",G17&lt;&gt;""),IFERROR(R17*VLOOKUP(G17,Tb_KostenTypen[],3,0)*VLOOKUP(F17,Tb_ProjectKosten[],MATCH(Tb_ProjectKosten[[#Headers],[Forfait_Percentage]],Tb_ProjectKosten[#Headers],0),0),""),R17 &lt;=0,0),"")</f>
        <v/>
      </c>
      <c r="V17" s="314" t="str" cm="1">
        <f t="array" aca="1" ref="V17" ca="1">IFERROR(_xlfn.IFS(OR(F17="",LEFT(Methode_Keuze,4)="Geen",Methode_Keuze=""),"",AND(S17&lt;&gt;"",F17&lt;&gt;"Arbeidskosten"),S17*VLOOKUP(F17,Tb_ProjectKosten[],MATCH(Tb_ProjectKosten[[#Headers],[Forfait_Percentage]],Tb_ProjectKosten[#Headers],0),0),AND(F17="Arbeidskosten",G17&lt;&gt;""),IFERROR(S17*VLOOKUP(G17,Tb_KostenTypen[],3,0)*VLOOKUP(F17,Tb_ProjectKosten[],MATCH(Tb_ProjectKosten[[#Headers],[Forfait_Percentage]],Tb_ProjectKosten[#Headers],0),0),""),S17 &lt;=0,0),"")</f>
        <v/>
      </c>
      <c r="W17" s="314" t="str">
        <f t="shared" ca="1" si="4"/>
        <v/>
      </c>
      <c r="X17" s="376" t="str">
        <f>IFERROR(VLOOKUP(F17,Tb_ProjectKosten[#All],11,0),"")</f>
        <v/>
      </c>
      <c r="Y17" s="315"/>
    </row>
    <row r="18" spans="1:25" x14ac:dyDescent="0.25">
      <c r="A18" s="309">
        <f>MAX($A$5:A17)+1</f>
        <v>13</v>
      </c>
      <c r="B18" s="296"/>
      <c r="C18" s="296"/>
      <c r="D18" s="296"/>
      <c r="E18" s="296"/>
      <c r="F18" s="296"/>
      <c r="G18" s="327"/>
      <c r="H18" s="310" t="str">
        <f ca="1">IFERROR(IF(VLOOKUP(F18,Kostentypen!$A$3:$E$21,3,0)=0,"",IF(OR(F18="Arbeidskosten",F18="Vergoeding"),VLOOKUP(G18,Tb_KostenTypen[],2,0),VLOOKUP(F18,Kostentypen!$A$3:$E$20,3,0))),"")</f>
        <v/>
      </c>
      <c r="I18" s="311"/>
      <c r="J18" s="312" t="str" cm="1">
        <f t="array" ref="J18">_xlfn.IFNA(IF(INDEX(Tb_KostenOpties[],MATCH($F18,Tb_KostenOpties[KostenOptie],0),IFERROR(MATCH(Methode_Keuze,Tb_KostenOpties[#Headers],0),2))=1,_xlfn.SWITCH($H18,"Uurtarief",IF(OR(AND(RIGHT($F18,3)="IKS",VLOOKUP($I18,Loonkosten,2,0)="Ja"),AND(RIGHT($F18,3)&lt;&gt;"IKS",VLOOKUP($I18,Loonkosten,2,0)="Nee")), VLOOKUP($I18,Loonkosten,MATCH("Opgegeven uurtarief",'4. Rekenhulp loonkosten aanvr.'!$4:$4,0)),0),"Vast tarief",IF(LEFT(F18,8)="Bijdrage",VLOOKUP($F18,Tb_KostenTypen[],MATCH(Lijsten!$P$1,Tb_KostenTypen[#Headers],0),0),VLOOKUP($G18,Lijsten!L:P,MATCH(Lijsten!$P$1,Kop_Tarief_Vast,0),0))),""),"")</f>
        <v/>
      </c>
      <c r="K18" s="312" t="str" cm="1">
        <f t="array" ref="K18">_xlfn.IFNA(IF(INDEX(Tb_KostenOpties[],MATCH($F18,Tb_KostenOpties[KostenOptie],0),IFERROR(MATCH(Methode_Keuze,Tb_KostenOpties[#Headers],0),2))=1,_xlfn.SWITCH($H18,"Uurtarief",IF(OR(AND(RIGHT($F18,3)="IKS",VLOOKUP($I18,Loonkosten,2,0)="Ja"),AND(RIGHT($F18,3)&lt;&gt;"IKS",VLOOKUP($I18,Loonkosten,2,0)="Nee")), VLOOKUP($I18,Loonkosten,MATCH("Beoordeeld uurtarief",'4. Rekenhulp loonkosten aanvr.'!$4:$4,0),0),0),"Vast tarief",IF(LEFT(F18,8)="Bijdrage",VLOOKUP($F18,Tb_KostenTypen[],MATCH(Lijsten!$P$1,Tb_KostenTypen[#Headers],0),0),VLOOKUP($G18,Lijsten!L:P,MATCH(Lijsten!$P$1,Kop_Tarief_Vast,0),0))),""),"")</f>
        <v/>
      </c>
      <c r="L18" s="358"/>
      <c r="M18" s="358"/>
      <c r="N18" s="313"/>
      <c r="O18" s="313"/>
      <c r="P18" s="374" t="str">
        <f t="shared" si="1"/>
        <v/>
      </c>
      <c r="Q18" s="314" t="str">
        <f t="shared" si="2"/>
        <v/>
      </c>
      <c r="R18" s="314" t="str" cm="1">
        <f t="array" aca="1" ref="R18" ca="1">_xlfn.IFNA(_xlfn.IFS(X18="Dit kostentype hoeft u niet op te geven. Hiervoor wordt een forfait berekend.","",AND(J18&lt;&gt;"",H18="Vast tarief",F18="Vergoeding"),SUM(J18)*FLOOR(SUM(L18),0.0001),AND(J18&lt;&gt;"",OR(H18="Uurtarief",H18="Vast tarief")),SUM(J18)*FLOOR(SUM(L18),0.01),AND(N18&lt;&gt;"",H18="-"),FLOOR(SUM(N18),0.01)),"")</f>
        <v/>
      </c>
      <c r="S18" s="314" t="str" cm="1">
        <f t="array" aca="1" ref="S18" ca="1">_xlfn.IFNA(_xlfn.IFS(X18="Dit kostentype hoeft u niet op te geven. Hiervoor wordt een forfait berekend.","",AND(K18&lt;&gt;"",M18&lt;&gt;"",H18="Vast tarief",F18="Vergoeding"),SUM(K18)*FLOOR(SUM(M18),0.0001),AND(K18&lt;&gt;"",M18&lt;&gt;"",OR(H18="Uurtarief",H18="Vast tarief")),SUM(K18)*FLOOR(SUM(M18),0.01),AND(O18&lt;&gt;"",H18="-"),FLOOR(SUM(O18),0.01)),"")</f>
        <v/>
      </c>
      <c r="T18" s="314" t="str">
        <f t="shared" ca="1" si="3"/>
        <v/>
      </c>
      <c r="U18" s="314" t="str" cm="1">
        <f t="array" aca="1" ref="U18" ca="1">IFERROR(_xlfn.IFS(OR(F18="",LEFT(Methode_Keuze,4)="Geen",Methode_Keuze=""),"",AND(R18&lt;&gt;"",F18&lt;&gt;"Arbeidskosten"),R18*VLOOKUP(F18,Tb_ProjectKosten[],MATCH(Tb_ProjectKosten[[#Headers],[Forfait_Percentage]],Tb_ProjectKosten[#Headers],0),0),AND(F18="Arbeidskosten",G18&lt;&gt;""),IFERROR(R18*VLOOKUP(G18,Tb_KostenTypen[],3,0)*VLOOKUP(F18,Tb_ProjectKosten[],MATCH(Tb_ProjectKosten[[#Headers],[Forfait_Percentage]],Tb_ProjectKosten[#Headers],0),0),""),R18 &lt;=0,0),"")</f>
        <v/>
      </c>
      <c r="V18" s="314" t="str" cm="1">
        <f t="array" aca="1" ref="V18" ca="1">IFERROR(_xlfn.IFS(OR(F18="",LEFT(Methode_Keuze,4)="Geen",Methode_Keuze=""),"",AND(S18&lt;&gt;"",F18&lt;&gt;"Arbeidskosten"),S18*VLOOKUP(F18,Tb_ProjectKosten[],MATCH(Tb_ProjectKosten[[#Headers],[Forfait_Percentage]],Tb_ProjectKosten[#Headers],0),0),AND(F18="Arbeidskosten",G18&lt;&gt;""),IFERROR(S18*VLOOKUP(G18,Tb_KostenTypen[],3,0)*VLOOKUP(F18,Tb_ProjectKosten[],MATCH(Tb_ProjectKosten[[#Headers],[Forfait_Percentage]],Tb_ProjectKosten[#Headers],0),0),""),S18 &lt;=0,0),"")</f>
        <v/>
      </c>
      <c r="W18" s="314" t="str">
        <f t="shared" ca="1" si="4"/>
        <v/>
      </c>
      <c r="X18" s="376" t="str">
        <f>IFERROR(VLOOKUP(F18,Tb_ProjectKosten[#All],11,0),"")</f>
        <v/>
      </c>
      <c r="Y18" s="315"/>
    </row>
    <row r="19" spans="1:25" x14ac:dyDescent="0.25">
      <c r="A19" s="309">
        <f>MAX($A$5:A18)+1</f>
        <v>14</v>
      </c>
      <c r="B19" s="296"/>
      <c r="C19" s="296"/>
      <c r="D19" s="296"/>
      <c r="E19" s="296"/>
      <c r="F19" s="296"/>
      <c r="G19" s="327"/>
      <c r="H19" s="310" t="str">
        <f ca="1">IFERROR(IF(VLOOKUP(F19,Kostentypen!$A$3:$E$21,3,0)=0,"",IF(OR(F19="Arbeidskosten",F19="Vergoeding"),VLOOKUP(G19,Tb_KostenTypen[],2,0),VLOOKUP(F19,Kostentypen!$A$3:$E$20,3,0))),"")</f>
        <v/>
      </c>
      <c r="I19" s="311"/>
      <c r="J19" s="312" t="str" cm="1">
        <f t="array" ref="J19">_xlfn.IFNA(IF(INDEX(Tb_KostenOpties[],MATCH($F19,Tb_KostenOpties[KostenOptie],0),IFERROR(MATCH(Methode_Keuze,Tb_KostenOpties[#Headers],0),2))=1,_xlfn.SWITCH($H19,"Uurtarief",IF(OR(AND(RIGHT($F19,3)="IKS",VLOOKUP($I19,Loonkosten,2,0)="Ja"),AND(RIGHT($F19,3)&lt;&gt;"IKS",VLOOKUP($I19,Loonkosten,2,0)="Nee")), VLOOKUP($I19,Loonkosten,MATCH("Opgegeven uurtarief",'4. Rekenhulp loonkosten aanvr.'!$4:$4,0)),0),"Vast tarief",IF(LEFT(F19,8)="Bijdrage",VLOOKUP($F19,Tb_KostenTypen[],MATCH(Lijsten!$P$1,Tb_KostenTypen[#Headers],0),0),VLOOKUP($G19,Lijsten!L:P,MATCH(Lijsten!$P$1,Kop_Tarief_Vast,0),0))),""),"")</f>
        <v/>
      </c>
      <c r="K19" s="312" t="str" cm="1">
        <f t="array" ref="K19">_xlfn.IFNA(IF(INDEX(Tb_KostenOpties[],MATCH($F19,Tb_KostenOpties[KostenOptie],0),IFERROR(MATCH(Methode_Keuze,Tb_KostenOpties[#Headers],0),2))=1,_xlfn.SWITCH($H19,"Uurtarief",IF(OR(AND(RIGHT($F19,3)="IKS",VLOOKUP($I19,Loonkosten,2,0)="Ja"),AND(RIGHT($F19,3)&lt;&gt;"IKS",VLOOKUP($I19,Loonkosten,2,0)="Nee")), VLOOKUP($I19,Loonkosten,MATCH("Beoordeeld uurtarief",'4. Rekenhulp loonkosten aanvr.'!$4:$4,0),0),0),"Vast tarief",IF(LEFT(F19,8)="Bijdrage",VLOOKUP($F19,Tb_KostenTypen[],MATCH(Lijsten!$P$1,Tb_KostenTypen[#Headers],0),0),VLOOKUP($G19,Lijsten!L:P,MATCH(Lijsten!$P$1,Kop_Tarief_Vast,0),0))),""),"")</f>
        <v/>
      </c>
      <c r="L19" s="358"/>
      <c r="M19" s="358"/>
      <c r="N19" s="313"/>
      <c r="O19" s="313"/>
      <c r="P19" s="374" t="str">
        <f t="shared" si="1"/>
        <v/>
      </c>
      <c r="Q19" s="314" t="str">
        <f t="shared" si="2"/>
        <v/>
      </c>
      <c r="R19" s="314" t="str" cm="1">
        <f t="array" aca="1" ref="R19" ca="1">_xlfn.IFNA(_xlfn.IFS(X19="Dit kostentype hoeft u niet op te geven. Hiervoor wordt een forfait berekend.","",AND(J19&lt;&gt;"",H19="Vast tarief",F19="Vergoeding"),SUM(J19)*FLOOR(SUM(L19),0.0001),AND(J19&lt;&gt;"",OR(H19="Uurtarief",H19="Vast tarief")),SUM(J19)*FLOOR(SUM(L19),0.01),AND(N19&lt;&gt;"",H19="-"),FLOOR(SUM(N19),0.01)),"")</f>
        <v/>
      </c>
      <c r="S19" s="314" t="str" cm="1">
        <f t="array" aca="1" ref="S19" ca="1">_xlfn.IFNA(_xlfn.IFS(X19="Dit kostentype hoeft u niet op te geven. Hiervoor wordt een forfait berekend.","",AND(K19&lt;&gt;"",M19&lt;&gt;"",H19="Vast tarief",F19="Vergoeding"),SUM(K19)*FLOOR(SUM(M19),0.0001),AND(K19&lt;&gt;"",M19&lt;&gt;"",OR(H19="Uurtarief",H19="Vast tarief")),SUM(K19)*FLOOR(SUM(M19),0.01),AND(O19&lt;&gt;"",H19="-"),FLOOR(SUM(O19),0.01)),"")</f>
        <v/>
      </c>
      <c r="T19" s="314" t="str">
        <f t="shared" ca="1" si="3"/>
        <v/>
      </c>
      <c r="U19" s="314" t="str" cm="1">
        <f t="array" aca="1" ref="U19" ca="1">IFERROR(_xlfn.IFS(OR(F19="",LEFT(Methode_Keuze,4)="Geen",Methode_Keuze=""),"",AND(R19&lt;&gt;"",F19&lt;&gt;"Arbeidskosten"),R19*VLOOKUP(F19,Tb_ProjectKosten[],MATCH(Tb_ProjectKosten[[#Headers],[Forfait_Percentage]],Tb_ProjectKosten[#Headers],0),0),AND(F19="Arbeidskosten",G19&lt;&gt;""),IFERROR(R19*VLOOKUP(G19,Tb_KostenTypen[],3,0)*VLOOKUP(F19,Tb_ProjectKosten[],MATCH(Tb_ProjectKosten[[#Headers],[Forfait_Percentage]],Tb_ProjectKosten[#Headers],0),0),""),R19 &lt;=0,0),"")</f>
        <v/>
      </c>
      <c r="V19" s="314" t="str" cm="1">
        <f t="array" aca="1" ref="V19" ca="1">IFERROR(_xlfn.IFS(OR(F19="",LEFT(Methode_Keuze,4)="Geen",Methode_Keuze=""),"",AND(S19&lt;&gt;"",F19&lt;&gt;"Arbeidskosten"),S19*VLOOKUP(F19,Tb_ProjectKosten[],MATCH(Tb_ProjectKosten[[#Headers],[Forfait_Percentage]],Tb_ProjectKosten[#Headers],0),0),AND(F19="Arbeidskosten",G19&lt;&gt;""),IFERROR(S19*VLOOKUP(G19,Tb_KostenTypen[],3,0)*VLOOKUP(F19,Tb_ProjectKosten[],MATCH(Tb_ProjectKosten[[#Headers],[Forfait_Percentage]],Tb_ProjectKosten[#Headers],0),0),""),S19 &lt;=0,0),"")</f>
        <v/>
      </c>
      <c r="W19" s="314" t="str">
        <f t="shared" ca="1" si="4"/>
        <v/>
      </c>
      <c r="X19" s="376" t="str">
        <f>IFERROR(VLOOKUP(F19,Tb_ProjectKosten[#All],11,0),"")</f>
        <v/>
      </c>
      <c r="Y19" s="315"/>
    </row>
    <row r="20" spans="1:25" x14ac:dyDescent="0.25">
      <c r="A20" s="309">
        <f>MAX($A$5:A19)+1</f>
        <v>15</v>
      </c>
      <c r="B20" s="296"/>
      <c r="C20" s="296"/>
      <c r="D20" s="296"/>
      <c r="E20" s="296"/>
      <c r="F20" s="296"/>
      <c r="G20" s="327"/>
      <c r="H20" s="310" t="str">
        <f ca="1">IFERROR(IF(VLOOKUP(F20,Kostentypen!$A$3:$E$21,3,0)=0,"",IF(OR(F20="Arbeidskosten",F20="Vergoeding"),VLOOKUP(G20,Tb_KostenTypen[],2,0),VLOOKUP(F20,Kostentypen!$A$3:$E$20,3,0))),"")</f>
        <v/>
      </c>
      <c r="I20" s="311"/>
      <c r="J20" s="312" t="str" cm="1">
        <f t="array" ref="J20">_xlfn.IFNA(IF(INDEX(Tb_KostenOpties[],MATCH($F20,Tb_KostenOpties[KostenOptie],0),IFERROR(MATCH(Methode_Keuze,Tb_KostenOpties[#Headers],0),2))=1,_xlfn.SWITCH($H20,"Uurtarief",IF(OR(AND(RIGHT($F20,3)="IKS",VLOOKUP($I20,Loonkosten,2,0)="Ja"),AND(RIGHT($F20,3)&lt;&gt;"IKS",VLOOKUP($I20,Loonkosten,2,0)="Nee")), VLOOKUP($I20,Loonkosten,MATCH("Opgegeven uurtarief",'4. Rekenhulp loonkosten aanvr.'!$4:$4,0)),0),"Vast tarief",IF(LEFT(F20,8)="Bijdrage",VLOOKUP($F20,Tb_KostenTypen[],MATCH(Lijsten!$P$1,Tb_KostenTypen[#Headers],0),0),VLOOKUP($G20,Lijsten!L:P,MATCH(Lijsten!$P$1,Kop_Tarief_Vast,0),0))),""),"")</f>
        <v/>
      </c>
      <c r="K20" s="312" t="str" cm="1">
        <f t="array" ref="K20">_xlfn.IFNA(IF(INDEX(Tb_KostenOpties[],MATCH($F20,Tb_KostenOpties[KostenOptie],0),IFERROR(MATCH(Methode_Keuze,Tb_KostenOpties[#Headers],0),2))=1,_xlfn.SWITCH($H20,"Uurtarief",IF(OR(AND(RIGHT($F20,3)="IKS",VLOOKUP($I20,Loonkosten,2,0)="Ja"),AND(RIGHT($F20,3)&lt;&gt;"IKS",VLOOKUP($I20,Loonkosten,2,0)="Nee")), VLOOKUP($I20,Loonkosten,MATCH("Beoordeeld uurtarief",'4. Rekenhulp loonkosten aanvr.'!$4:$4,0),0),0),"Vast tarief",IF(LEFT(F20,8)="Bijdrage",VLOOKUP($F20,Tb_KostenTypen[],MATCH(Lijsten!$P$1,Tb_KostenTypen[#Headers],0),0),VLOOKUP($G20,Lijsten!L:P,MATCH(Lijsten!$P$1,Kop_Tarief_Vast,0),0))),""),"")</f>
        <v/>
      </c>
      <c r="L20" s="358"/>
      <c r="M20" s="358"/>
      <c r="N20" s="313"/>
      <c r="O20" s="313"/>
      <c r="P20" s="374" t="str">
        <f t="shared" si="1"/>
        <v/>
      </c>
      <c r="Q20" s="314" t="str">
        <f t="shared" si="2"/>
        <v/>
      </c>
      <c r="R20" s="314" t="str" cm="1">
        <f t="array" aca="1" ref="R20" ca="1">_xlfn.IFNA(_xlfn.IFS(X20="Dit kostentype hoeft u niet op te geven. Hiervoor wordt een forfait berekend.","",AND(J20&lt;&gt;"",H20="Vast tarief",F20="Vergoeding"),SUM(J20)*FLOOR(SUM(L20),0.0001),AND(J20&lt;&gt;"",OR(H20="Uurtarief",H20="Vast tarief")),SUM(J20)*FLOOR(SUM(L20),0.01),AND(N20&lt;&gt;"",H20="-"),FLOOR(SUM(N20),0.01)),"")</f>
        <v/>
      </c>
      <c r="S20" s="314" t="str" cm="1">
        <f t="array" aca="1" ref="S20" ca="1">_xlfn.IFNA(_xlfn.IFS(X20="Dit kostentype hoeft u niet op te geven. Hiervoor wordt een forfait berekend.","",AND(K20&lt;&gt;"",M20&lt;&gt;"",H20="Vast tarief",F20="Vergoeding"),SUM(K20)*FLOOR(SUM(M20),0.0001),AND(K20&lt;&gt;"",M20&lt;&gt;"",OR(H20="Uurtarief",H20="Vast tarief")),SUM(K20)*FLOOR(SUM(M20),0.01),AND(O20&lt;&gt;"",H20="-"),FLOOR(SUM(O20),0.01)),"")</f>
        <v/>
      </c>
      <c r="T20" s="314" t="str">
        <f t="shared" ca="1" si="3"/>
        <v/>
      </c>
      <c r="U20" s="314" t="str" cm="1">
        <f t="array" aca="1" ref="U20" ca="1">IFERROR(_xlfn.IFS(OR(F20="",LEFT(Methode_Keuze,4)="Geen",Methode_Keuze=""),"",AND(R20&lt;&gt;"",F20&lt;&gt;"Arbeidskosten"),R20*VLOOKUP(F20,Tb_ProjectKosten[],MATCH(Tb_ProjectKosten[[#Headers],[Forfait_Percentage]],Tb_ProjectKosten[#Headers],0),0),AND(F20="Arbeidskosten",G20&lt;&gt;""),IFERROR(R20*VLOOKUP(G20,Tb_KostenTypen[],3,0)*VLOOKUP(F20,Tb_ProjectKosten[],MATCH(Tb_ProjectKosten[[#Headers],[Forfait_Percentage]],Tb_ProjectKosten[#Headers],0),0),""),R20 &lt;=0,0),"")</f>
        <v/>
      </c>
      <c r="V20" s="314" t="str" cm="1">
        <f t="array" aca="1" ref="V20" ca="1">IFERROR(_xlfn.IFS(OR(F20="",LEFT(Methode_Keuze,4)="Geen",Methode_Keuze=""),"",AND(S20&lt;&gt;"",F20&lt;&gt;"Arbeidskosten"),S20*VLOOKUP(F20,Tb_ProjectKosten[],MATCH(Tb_ProjectKosten[[#Headers],[Forfait_Percentage]],Tb_ProjectKosten[#Headers],0),0),AND(F20="Arbeidskosten",G20&lt;&gt;""),IFERROR(S20*VLOOKUP(G20,Tb_KostenTypen[],3,0)*VLOOKUP(F20,Tb_ProjectKosten[],MATCH(Tb_ProjectKosten[[#Headers],[Forfait_Percentage]],Tb_ProjectKosten[#Headers],0),0),""),S20 &lt;=0,0),"")</f>
        <v/>
      </c>
      <c r="W20" s="314" t="str">
        <f t="shared" ca="1" si="4"/>
        <v/>
      </c>
      <c r="X20" s="376" t="str">
        <f>IFERROR(VLOOKUP(F20,Tb_ProjectKosten[#All],11,0),"")</f>
        <v/>
      </c>
      <c r="Y20" s="315"/>
    </row>
    <row r="21" spans="1:25" x14ac:dyDescent="0.25">
      <c r="A21" s="309">
        <f>MAX($A$5:A20)+1</f>
        <v>16</v>
      </c>
      <c r="B21" s="296"/>
      <c r="C21" s="296"/>
      <c r="D21" s="296"/>
      <c r="E21" s="296"/>
      <c r="F21" s="296"/>
      <c r="G21" s="327"/>
      <c r="H21" s="310" t="str">
        <f ca="1">IFERROR(IF(VLOOKUP(F21,Kostentypen!$A$3:$E$21,3,0)=0,"",IF(OR(F21="Arbeidskosten",F21="Vergoeding"),VLOOKUP(G21,Tb_KostenTypen[],2,0),VLOOKUP(F21,Kostentypen!$A$3:$E$20,3,0))),"")</f>
        <v/>
      </c>
      <c r="I21" s="311"/>
      <c r="J21" s="312" t="str" cm="1">
        <f t="array" ref="J21">_xlfn.IFNA(IF(INDEX(Tb_KostenOpties[],MATCH($F21,Tb_KostenOpties[KostenOptie],0),IFERROR(MATCH(Methode_Keuze,Tb_KostenOpties[#Headers],0),2))=1,_xlfn.SWITCH($H21,"Uurtarief",IF(OR(AND(RIGHT($F21,3)="IKS",VLOOKUP($I21,Loonkosten,2,0)="Ja"),AND(RIGHT($F21,3)&lt;&gt;"IKS",VLOOKUP($I21,Loonkosten,2,0)="Nee")), VLOOKUP($I21,Loonkosten,MATCH("Opgegeven uurtarief",'4. Rekenhulp loonkosten aanvr.'!$4:$4,0)),0),"Vast tarief",IF(LEFT(F21,8)="Bijdrage",VLOOKUP($F21,Tb_KostenTypen[],MATCH(Lijsten!$P$1,Tb_KostenTypen[#Headers],0),0),VLOOKUP($G21,Lijsten!L:P,MATCH(Lijsten!$P$1,Kop_Tarief_Vast,0),0))),""),"")</f>
        <v/>
      </c>
      <c r="K21" s="312" t="str" cm="1">
        <f t="array" ref="K21">_xlfn.IFNA(IF(INDEX(Tb_KostenOpties[],MATCH($F21,Tb_KostenOpties[KostenOptie],0),IFERROR(MATCH(Methode_Keuze,Tb_KostenOpties[#Headers],0),2))=1,_xlfn.SWITCH($H21,"Uurtarief",IF(OR(AND(RIGHT($F21,3)="IKS",VLOOKUP($I21,Loonkosten,2,0)="Ja"),AND(RIGHT($F21,3)&lt;&gt;"IKS",VLOOKUP($I21,Loonkosten,2,0)="Nee")), VLOOKUP($I21,Loonkosten,MATCH("Beoordeeld uurtarief",'4. Rekenhulp loonkosten aanvr.'!$4:$4,0),0),0),"Vast tarief",IF(LEFT(F21,8)="Bijdrage",VLOOKUP($F21,Tb_KostenTypen[],MATCH(Lijsten!$P$1,Tb_KostenTypen[#Headers],0),0),VLOOKUP($G21,Lijsten!L:P,MATCH(Lijsten!$P$1,Kop_Tarief_Vast,0),0))),""),"")</f>
        <v/>
      </c>
      <c r="L21" s="358"/>
      <c r="M21" s="358"/>
      <c r="N21" s="313"/>
      <c r="O21" s="313"/>
      <c r="P21" s="374" t="str">
        <f t="shared" si="1"/>
        <v/>
      </c>
      <c r="Q21" s="314" t="str">
        <f t="shared" si="2"/>
        <v/>
      </c>
      <c r="R21" s="314" t="str" cm="1">
        <f t="array" aca="1" ref="R21" ca="1">_xlfn.IFNA(_xlfn.IFS(X21="Dit kostentype hoeft u niet op te geven. Hiervoor wordt een forfait berekend.","",AND(J21&lt;&gt;"",H21="Vast tarief",F21="Vergoeding"),SUM(J21)*FLOOR(SUM(L21),0.0001),AND(J21&lt;&gt;"",OR(H21="Uurtarief",H21="Vast tarief")),SUM(J21)*FLOOR(SUM(L21),0.01),AND(N21&lt;&gt;"",H21="-"),FLOOR(SUM(N21),0.01)),"")</f>
        <v/>
      </c>
      <c r="S21" s="314" t="str" cm="1">
        <f t="array" aca="1" ref="S21" ca="1">_xlfn.IFNA(_xlfn.IFS(X21="Dit kostentype hoeft u niet op te geven. Hiervoor wordt een forfait berekend.","",AND(K21&lt;&gt;"",M21&lt;&gt;"",H21="Vast tarief",F21="Vergoeding"),SUM(K21)*FLOOR(SUM(M21),0.0001),AND(K21&lt;&gt;"",M21&lt;&gt;"",OR(H21="Uurtarief",H21="Vast tarief")),SUM(K21)*FLOOR(SUM(M21),0.01),AND(O21&lt;&gt;"",H21="-"),FLOOR(SUM(O21),0.01)),"")</f>
        <v/>
      </c>
      <c r="T21" s="314" t="str">
        <f t="shared" ca="1" si="3"/>
        <v/>
      </c>
      <c r="U21" s="314" t="str" cm="1">
        <f t="array" aca="1" ref="U21" ca="1">IFERROR(_xlfn.IFS(OR(F21="",LEFT(Methode_Keuze,4)="Geen",Methode_Keuze=""),"",AND(R21&lt;&gt;"",F21&lt;&gt;"Arbeidskosten"),R21*VLOOKUP(F21,Tb_ProjectKosten[],MATCH(Tb_ProjectKosten[[#Headers],[Forfait_Percentage]],Tb_ProjectKosten[#Headers],0),0),AND(F21="Arbeidskosten",G21&lt;&gt;""),IFERROR(R21*VLOOKUP(G21,Tb_KostenTypen[],3,0)*VLOOKUP(F21,Tb_ProjectKosten[],MATCH(Tb_ProjectKosten[[#Headers],[Forfait_Percentage]],Tb_ProjectKosten[#Headers],0),0),""),R21 &lt;=0,0),"")</f>
        <v/>
      </c>
      <c r="V21" s="314" t="str" cm="1">
        <f t="array" aca="1" ref="V21" ca="1">IFERROR(_xlfn.IFS(OR(F21="",LEFT(Methode_Keuze,4)="Geen",Methode_Keuze=""),"",AND(S21&lt;&gt;"",F21&lt;&gt;"Arbeidskosten"),S21*VLOOKUP(F21,Tb_ProjectKosten[],MATCH(Tb_ProjectKosten[[#Headers],[Forfait_Percentage]],Tb_ProjectKosten[#Headers],0),0),AND(F21="Arbeidskosten",G21&lt;&gt;""),IFERROR(S21*VLOOKUP(G21,Tb_KostenTypen[],3,0)*VLOOKUP(F21,Tb_ProjectKosten[],MATCH(Tb_ProjectKosten[[#Headers],[Forfait_Percentage]],Tb_ProjectKosten[#Headers],0),0),""),S21 &lt;=0,0),"")</f>
        <v/>
      </c>
      <c r="W21" s="314" t="str">
        <f t="shared" ca="1" si="4"/>
        <v/>
      </c>
      <c r="X21" s="376" t="str">
        <f>IFERROR(VLOOKUP(F21,Tb_ProjectKosten[#All],11,0),"")</f>
        <v/>
      </c>
      <c r="Y21" s="315"/>
    </row>
    <row r="22" spans="1:25" x14ac:dyDescent="0.25">
      <c r="A22" s="309">
        <f>MAX($A$5:A21)+1</f>
        <v>17</v>
      </c>
      <c r="B22" s="296"/>
      <c r="C22" s="296"/>
      <c r="D22" s="296"/>
      <c r="E22" s="296"/>
      <c r="F22" s="296"/>
      <c r="G22" s="327"/>
      <c r="H22" s="310" t="str">
        <f ca="1">IFERROR(IF(VLOOKUP(F22,Kostentypen!$A$3:$E$21,3,0)=0,"",IF(OR(F22="Arbeidskosten",F22="Vergoeding"),VLOOKUP(G22,Tb_KostenTypen[],2,0),VLOOKUP(F22,Kostentypen!$A$3:$E$20,3,0))),"")</f>
        <v/>
      </c>
      <c r="I22" s="311"/>
      <c r="J22" s="312" t="str" cm="1">
        <f t="array" ref="J22">_xlfn.IFNA(IF(INDEX(Tb_KostenOpties[],MATCH($F22,Tb_KostenOpties[KostenOptie],0),IFERROR(MATCH(Methode_Keuze,Tb_KostenOpties[#Headers],0),2))=1,_xlfn.SWITCH($H22,"Uurtarief",IF(OR(AND(RIGHT($F22,3)="IKS",VLOOKUP($I22,Loonkosten,2,0)="Ja"),AND(RIGHT($F22,3)&lt;&gt;"IKS",VLOOKUP($I22,Loonkosten,2,0)="Nee")), VLOOKUP($I22,Loonkosten,MATCH("Opgegeven uurtarief",'4. Rekenhulp loonkosten aanvr.'!$4:$4,0)),0),"Vast tarief",IF(LEFT(F22,8)="Bijdrage",VLOOKUP($F22,Tb_KostenTypen[],MATCH(Lijsten!$P$1,Tb_KostenTypen[#Headers],0),0),VLOOKUP($G22,Lijsten!L:P,MATCH(Lijsten!$P$1,Kop_Tarief_Vast,0),0))),""),"")</f>
        <v/>
      </c>
      <c r="K22" s="312" t="str" cm="1">
        <f t="array" ref="K22">_xlfn.IFNA(IF(INDEX(Tb_KostenOpties[],MATCH($F22,Tb_KostenOpties[KostenOptie],0),IFERROR(MATCH(Methode_Keuze,Tb_KostenOpties[#Headers],0),2))=1,_xlfn.SWITCH($H22,"Uurtarief",IF(OR(AND(RIGHT($F22,3)="IKS",VLOOKUP($I22,Loonkosten,2,0)="Ja"),AND(RIGHT($F22,3)&lt;&gt;"IKS",VLOOKUP($I22,Loonkosten,2,0)="Nee")), VLOOKUP($I22,Loonkosten,MATCH("Beoordeeld uurtarief",'4. Rekenhulp loonkosten aanvr.'!$4:$4,0),0),0),"Vast tarief",IF(LEFT(F22,8)="Bijdrage",VLOOKUP($F22,Tb_KostenTypen[],MATCH(Lijsten!$P$1,Tb_KostenTypen[#Headers],0),0),VLOOKUP($G22,Lijsten!L:P,MATCH(Lijsten!$P$1,Kop_Tarief_Vast,0),0))),""),"")</f>
        <v/>
      </c>
      <c r="L22" s="358"/>
      <c r="M22" s="358"/>
      <c r="N22" s="313"/>
      <c r="O22" s="313"/>
      <c r="P22" s="374" t="str">
        <f t="shared" si="1"/>
        <v/>
      </c>
      <c r="Q22" s="314" t="str">
        <f t="shared" si="2"/>
        <v/>
      </c>
      <c r="R22" s="314" t="str" cm="1">
        <f t="array" aca="1" ref="R22" ca="1">_xlfn.IFNA(_xlfn.IFS(X22="Dit kostentype hoeft u niet op te geven. Hiervoor wordt een forfait berekend.","",AND(J22&lt;&gt;"",H22="Vast tarief",F22="Vergoeding"),SUM(J22)*FLOOR(SUM(L22),0.0001),AND(J22&lt;&gt;"",OR(H22="Uurtarief",H22="Vast tarief")),SUM(J22)*FLOOR(SUM(L22),0.01),AND(N22&lt;&gt;"",H22="-"),FLOOR(SUM(N22),0.01)),"")</f>
        <v/>
      </c>
      <c r="S22" s="314" t="str" cm="1">
        <f t="array" aca="1" ref="S22" ca="1">_xlfn.IFNA(_xlfn.IFS(X22="Dit kostentype hoeft u niet op te geven. Hiervoor wordt een forfait berekend.","",AND(K22&lt;&gt;"",M22&lt;&gt;"",H22="Vast tarief",F22="Vergoeding"),SUM(K22)*FLOOR(SUM(M22),0.0001),AND(K22&lt;&gt;"",M22&lt;&gt;"",OR(H22="Uurtarief",H22="Vast tarief")),SUM(K22)*FLOOR(SUM(M22),0.01),AND(O22&lt;&gt;"",H22="-"),FLOOR(SUM(O22),0.01)),"")</f>
        <v/>
      </c>
      <c r="T22" s="314" t="str">
        <f t="shared" ca="1" si="3"/>
        <v/>
      </c>
      <c r="U22" s="314" t="str" cm="1">
        <f t="array" aca="1" ref="U22" ca="1">IFERROR(_xlfn.IFS(OR(F22="",LEFT(Methode_Keuze,4)="Geen",Methode_Keuze=""),"",AND(R22&lt;&gt;"",F22&lt;&gt;"Arbeidskosten"),R22*VLOOKUP(F22,Tb_ProjectKosten[],MATCH(Tb_ProjectKosten[[#Headers],[Forfait_Percentage]],Tb_ProjectKosten[#Headers],0),0),AND(F22="Arbeidskosten",G22&lt;&gt;""),IFERROR(R22*VLOOKUP(G22,Tb_KostenTypen[],3,0)*VLOOKUP(F22,Tb_ProjectKosten[],MATCH(Tb_ProjectKosten[[#Headers],[Forfait_Percentage]],Tb_ProjectKosten[#Headers],0),0),""),R22 &lt;=0,0),"")</f>
        <v/>
      </c>
      <c r="V22" s="314" t="str" cm="1">
        <f t="array" aca="1" ref="V22" ca="1">IFERROR(_xlfn.IFS(OR(F22="",LEFT(Methode_Keuze,4)="Geen",Methode_Keuze=""),"",AND(S22&lt;&gt;"",F22&lt;&gt;"Arbeidskosten"),S22*VLOOKUP(F22,Tb_ProjectKosten[],MATCH(Tb_ProjectKosten[[#Headers],[Forfait_Percentage]],Tb_ProjectKosten[#Headers],0),0),AND(F22="Arbeidskosten",G22&lt;&gt;""),IFERROR(S22*VLOOKUP(G22,Tb_KostenTypen[],3,0)*VLOOKUP(F22,Tb_ProjectKosten[],MATCH(Tb_ProjectKosten[[#Headers],[Forfait_Percentage]],Tb_ProjectKosten[#Headers],0),0),""),S22 &lt;=0,0),"")</f>
        <v/>
      </c>
      <c r="W22" s="314" t="str">
        <f t="shared" ca="1" si="4"/>
        <v/>
      </c>
      <c r="X22" s="376" t="str">
        <f>IFERROR(VLOOKUP(F22,Tb_ProjectKosten[#All],11,0),"")</f>
        <v/>
      </c>
      <c r="Y22" s="315"/>
    </row>
    <row r="23" spans="1:25" x14ac:dyDescent="0.25">
      <c r="A23" s="309">
        <f>MAX($A$5:A22)+1</f>
        <v>18</v>
      </c>
      <c r="B23" s="296"/>
      <c r="C23" s="296"/>
      <c r="D23" s="296"/>
      <c r="E23" s="296"/>
      <c r="F23" s="296"/>
      <c r="G23" s="327"/>
      <c r="H23" s="310" t="str">
        <f ca="1">IFERROR(IF(VLOOKUP(F23,Kostentypen!$A$3:$E$21,3,0)=0,"",IF(OR(F23="Arbeidskosten",F23="Vergoeding"),VLOOKUP(G23,Tb_KostenTypen[],2,0),VLOOKUP(F23,Kostentypen!$A$3:$E$20,3,0))),"")</f>
        <v/>
      </c>
      <c r="I23" s="311"/>
      <c r="J23" s="312" t="str" cm="1">
        <f t="array" ref="J23">_xlfn.IFNA(IF(INDEX(Tb_KostenOpties[],MATCH($F23,Tb_KostenOpties[KostenOptie],0),IFERROR(MATCH(Methode_Keuze,Tb_KostenOpties[#Headers],0),2))=1,_xlfn.SWITCH($H23,"Uurtarief",IF(OR(AND(RIGHT($F23,3)="IKS",VLOOKUP($I23,Loonkosten,2,0)="Ja"),AND(RIGHT($F23,3)&lt;&gt;"IKS",VLOOKUP($I23,Loonkosten,2,0)="Nee")), VLOOKUP($I23,Loonkosten,MATCH("Opgegeven uurtarief",'4. Rekenhulp loonkosten aanvr.'!$4:$4,0)),0),"Vast tarief",IF(LEFT(F23,8)="Bijdrage",VLOOKUP($F23,Tb_KostenTypen[],MATCH(Lijsten!$P$1,Tb_KostenTypen[#Headers],0),0),VLOOKUP($G23,Lijsten!L:P,MATCH(Lijsten!$P$1,Kop_Tarief_Vast,0),0))),""),"")</f>
        <v/>
      </c>
      <c r="K23" s="312" t="str" cm="1">
        <f t="array" ref="K23">_xlfn.IFNA(IF(INDEX(Tb_KostenOpties[],MATCH($F23,Tb_KostenOpties[KostenOptie],0),IFERROR(MATCH(Methode_Keuze,Tb_KostenOpties[#Headers],0),2))=1,_xlfn.SWITCH($H23,"Uurtarief",IF(OR(AND(RIGHT($F23,3)="IKS",VLOOKUP($I23,Loonkosten,2,0)="Ja"),AND(RIGHT($F23,3)&lt;&gt;"IKS",VLOOKUP($I23,Loonkosten,2,0)="Nee")), VLOOKUP($I23,Loonkosten,MATCH("Beoordeeld uurtarief",'4. Rekenhulp loonkosten aanvr.'!$4:$4,0),0),0),"Vast tarief",IF(LEFT(F23,8)="Bijdrage",VLOOKUP($F23,Tb_KostenTypen[],MATCH(Lijsten!$P$1,Tb_KostenTypen[#Headers],0),0),VLOOKUP($G23,Lijsten!L:P,MATCH(Lijsten!$P$1,Kop_Tarief_Vast,0),0))),""),"")</f>
        <v/>
      </c>
      <c r="L23" s="358"/>
      <c r="M23" s="358"/>
      <c r="N23" s="313"/>
      <c r="O23" s="313"/>
      <c r="P23" s="374" t="str">
        <f t="shared" si="1"/>
        <v/>
      </c>
      <c r="Q23" s="314" t="str">
        <f t="shared" si="2"/>
        <v/>
      </c>
      <c r="R23" s="314" t="str" cm="1">
        <f t="array" aca="1" ref="R23" ca="1">_xlfn.IFNA(_xlfn.IFS(X23="Dit kostentype hoeft u niet op te geven. Hiervoor wordt een forfait berekend.","",AND(J23&lt;&gt;"",H23="Vast tarief",F23="Vergoeding"),SUM(J23)*FLOOR(SUM(L23),0.0001),AND(J23&lt;&gt;"",OR(H23="Uurtarief",H23="Vast tarief")),SUM(J23)*FLOOR(SUM(L23),0.01),AND(N23&lt;&gt;"",H23="-"),FLOOR(SUM(N23),0.01)),"")</f>
        <v/>
      </c>
      <c r="S23" s="314" t="str" cm="1">
        <f t="array" aca="1" ref="S23" ca="1">_xlfn.IFNA(_xlfn.IFS(X23="Dit kostentype hoeft u niet op te geven. Hiervoor wordt een forfait berekend.","",AND(K23&lt;&gt;"",M23&lt;&gt;"",H23="Vast tarief",F23="Vergoeding"),SUM(K23)*FLOOR(SUM(M23),0.0001),AND(K23&lt;&gt;"",M23&lt;&gt;"",OR(H23="Uurtarief",H23="Vast tarief")),SUM(K23)*FLOOR(SUM(M23),0.01),AND(O23&lt;&gt;"",H23="-"),FLOOR(SUM(O23),0.01)),"")</f>
        <v/>
      </c>
      <c r="T23" s="314" t="str">
        <f t="shared" ca="1" si="3"/>
        <v/>
      </c>
      <c r="U23" s="314" t="str" cm="1">
        <f t="array" aca="1" ref="U23" ca="1">IFERROR(_xlfn.IFS(OR(F23="",LEFT(Methode_Keuze,4)="Geen",Methode_Keuze=""),"",AND(R23&lt;&gt;"",F23&lt;&gt;"Arbeidskosten"),R23*VLOOKUP(F23,Tb_ProjectKosten[],MATCH(Tb_ProjectKosten[[#Headers],[Forfait_Percentage]],Tb_ProjectKosten[#Headers],0),0),AND(F23="Arbeidskosten",G23&lt;&gt;""),IFERROR(R23*VLOOKUP(G23,Tb_KostenTypen[],3,0)*VLOOKUP(F23,Tb_ProjectKosten[],MATCH(Tb_ProjectKosten[[#Headers],[Forfait_Percentage]],Tb_ProjectKosten[#Headers],0),0),""),R23 &lt;=0,0),"")</f>
        <v/>
      </c>
      <c r="V23" s="314" t="str" cm="1">
        <f t="array" aca="1" ref="V23" ca="1">IFERROR(_xlfn.IFS(OR(F23="",LEFT(Methode_Keuze,4)="Geen",Methode_Keuze=""),"",AND(S23&lt;&gt;"",F23&lt;&gt;"Arbeidskosten"),S23*VLOOKUP(F23,Tb_ProjectKosten[],MATCH(Tb_ProjectKosten[[#Headers],[Forfait_Percentage]],Tb_ProjectKosten[#Headers],0),0),AND(F23="Arbeidskosten",G23&lt;&gt;""),IFERROR(S23*VLOOKUP(G23,Tb_KostenTypen[],3,0)*VLOOKUP(F23,Tb_ProjectKosten[],MATCH(Tb_ProjectKosten[[#Headers],[Forfait_Percentage]],Tb_ProjectKosten[#Headers],0),0),""),S23 &lt;=0,0),"")</f>
        <v/>
      </c>
      <c r="W23" s="314" t="str">
        <f t="shared" ca="1" si="4"/>
        <v/>
      </c>
      <c r="X23" s="376" t="str">
        <f>IFERROR(VLOOKUP(F23,Tb_ProjectKosten[#All],11,0),"")</f>
        <v/>
      </c>
      <c r="Y23" s="315"/>
    </row>
    <row r="24" spans="1:25" x14ac:dyDescent="0.25">
      <c r="A24" s="309">
        <f>MAX($A$5:A23)+1</f>
        <v>19</v>
      </c>
      <c r="B24" s="296"/>
      <c r="C24" s="296"/>
      <c r="D24" s="296"/>
      <c r="E24" s="296"/>
      <c r="F24" s="296"/>
      <c r="G24" s="327"/>
      <c r="H24" s="310" t="str">
        <f ca="1">IFERROR(IF(VLOOKUP(F24,Kostentypen!$A$3:$E$21,3,0)=0,"",IF(OR(F24="Arbeidskosten",F24="Vergoeding"),VLOOKUP(G24,Tb_KostenTypen[],2,0),VLOOKUP(F24,Kostentypen!$A$3:$E$20,3,0))),"")</f>
        <v/>
      </c>
      <c r="I24" s="311"/>
      <c r="J24" s="312" t="str" cm="1">
        <f t="array" ref="J24">_xlfn.IFNA(IF(INDEX(Tb_KostenOpties[],MATCH($F24,Tb_KostenOpties[KostenOptie],0),IFERROR(MATCH(Methode_Keuze,Tb_KostenOpties[#Headers],0),2))=1,_xlfn.SWITCH($H24,"Uurtarief",IF(OR(AND(RIGHT($F24,3)="IKS",VLOOKUP($I24,Loonkosten,2,0)="Ja"),AND(RIGHT($F24,3)&lt;&gt;"IKS",VLOOKUP($I24,Loonkosten,2,0)="Nee")), VLOOKUP($I24,Loonkosten,MATCH("Opgegeven uurtarief",'4. Rekenhulp loonkosten aanvr.'!$4:$4,0)),0),"Vast tarief",IF(LEFT(F24,8)="Bijdrage",VLOOKUP($F24,Tb_KostenTypen[],MATCH(Lijsten!$P$1,Tb_KostenTypen[#Headers],0),0),VLOOKUP($G24,Lijsten!L:P,MATCH(Lijsten!$P$1,Kop_Tarief_Vast,0),0))),""),"")</f>
        <v/>
      </c>
      <c r="K24" s="312" t="str" cm="1">
        <f t="array" ref="K24">_xlfn.IFNA(IF(INDEX(Tb_KostenOpties[],MATCH($F24,Tb_KostenOpties[KostenOptie],0),IFERROR(MATCH(Methode_Keuze,Tb_KostenOpties[#Headers],0),2))=1,_xlfn.SWITCH($H24,"Uurtarief",IF(OR(AND(RIGHT($F24,3)="IKS",VLOOKUP($I24,Loonkosten,2,0)="Ja"),AND(RIGHT($F24,3)&lt;&gt;"IKS",VLOOKUP($I24,Loonkosten,2,0)="Nee")), VLOOKUP($I24,Loonkosten,MATCH("Beoordeeld uurtarief",'4. Rekenhulp loonkosten aanvr.'!$4:$4,0),0),0),"Vast tarief",IF(LEFT(F24,8)="Bijdrage",VLOOKUP($F24,Tb_KostenTypen[],MATCH(Lijsten!$P$1,Tb_KostenTypen[#Headers],0),0),VLOOKUP($G24,Lijsten!L:P,MATCH(Lijsten!$P$1,Kop_Tarief_Vast,0),0))),""),"")</f>
        <v/>
      </c>
      <c r="L24" s="358"/>
      <c r="M24" s="358"/>
      <c r="N24" s="313"/>
      <c r="O24" s="313"/>
      <c r="P24" s="374" t="str">
        <f t="shared" si="1"/>
        <v/>
      </c>
      <c r="Q24" s="314" t="str">
        <f t="shared" si="2"/>
        <v/>
      </c>
      <c r="R24" s="314" t="str" cm="1">
        <f t="array" aca="1" ref="R24" ca="1">_xlfn.IFNA(_xlfn.IFS(X24="Dit kostentype hoeft u niet op te geven. Hiervoor wordt een forfait berekend.","",AND(J24&lt;&gt;"",H24="Vast tarief",F24="Vergoeding"),SUM(J24)*FLOOR(SUM(L24),0.0001),AND(J24&lt;&gt;"",OR(H24="Uurtarief",H24="Vast tarief")),SUM(J24)*FLOOR(SUM(L24),0.01),AND(N24&lt;&gt;"",H24="-"),FLOOR(SUM(N24),0.01)),"")</f>
        <v/>
      </c>
      <c r="S24" s="314" t="str" cm="1">
        <f t="array" aca="1" ref="S24" ca="1">_xlfn.IFNA(_xlfn.IFS(X24="Dit kostentype hoeft u niet op te geven. Hiervoor wordt een forfait berekend.","",AND(K24&lt;&gt;"",M24&lt;&gt;"",H24="Vast tarief",F24="Vergoeding"),SUM(K24)*FLOOR(SUM(M24),0.0001),AND(K24&lt;&gt;"",M24&lt;&gt;"",OR(H24="Uurtarief",H24="Vast tarief")),SUM(K24)*FLOOR(SUM(M24),0.01),AND(O24&lt;&gt;"",H24="-"),FLOOR(SUM(O24),0.01)),"")</f>
        <v/>
      </c>
      <c r="T24" s="314" t="str">
        <f t="shared" ca="1" si="3"/>
        <v/>
      </c>
      <c r="U24" s="314" t="str" cm="1">
        <f t="array" aca="1" ref="U24" ca="1">IFERROR(_xlfn.IFS(OR(F24="",LEFT(Methode_Keuze,4)="Geen",Methode_Keuze=""),"",AND(R24&lt;&gt;"",F24&lt;&gt;"Arbeidskosten"),R24*VLOOKUP(F24,Tb_ProjectKosten[],MATCH(Tb_ProjectKosten[[#Headers],[Forfait_Percentage]],Tb_ProjectKosten[#Headers],0),0),AND(F24="Arbeidskosten",G24&lt;&gt;""),IFERROR(R24*VLOOKUP(G24,Tb_KostenTypen[],3,0)*VLOOKUP(F24,Tb_ProjectKosten[],MATCH(Tb_ProjectKosten[[#Headers],[Forfait_Percentage]],Tb_ProjectKosten[#Headers],0),0),""),R24 &lt;=0,0),"")</f>
        <v/>
      </c>
      <c r="V24" s="314" t="str" cm="1">
        <f t="array" aca="1" ref="V24" ca="1">IFERROR(_xlfn.IFS(OR(F24="",LEFT(Methode_Keuze,4)="Geen",Methode_Keuze=""),"",AND(S24&lt;&gt;"",F24&lt;&gt;"Arbeidskosten"),S24*VLOOKUP(F24,Tb_ProjectKosten[],MATCH(Tb_ProjectKosten[[#Headers],[Forfait_Percentage]],Tb_ProjectKosten[#Headers],0),0),AND(F24="Arbeidskosten",G24&lt;&gt;""),IFERROR(S24*VLOOKUP(G24,Tb_KostenTypen[],3,0)*VLOOKUP(F24,Tb_ProjectKosten[],MATCH(Tb_ProjectKosten[[#Headers],[Forfait_Percentage]],Tb_ProjectKosten[#Headers],0),0),""),S24 &lt;=0,0),"")</f>
        <v/>
      </c>
      <c r="W24" s="314" t="str">
        <f t="shared" ca="1" si="4"/>
        <v/>
      </c>
      <c r="X24" s="376" t="str">
        <f>IFERROR(VLOOKUP(F24,Tb_ProjectKosten[#All],11,0),"")</f>
        <v/>
      </c>
      <c r="Y24" s="315"/>
    </row>
    <row r="25" spans="1:25" x14ac:dyDescent="0.25">
      <c r="A25" s="309">
        <f>MAX($A$5:A24)+1</f>
        <v>20</v>
      </c>
      <c r="B25" s="296"/>
      <c r="C25" s="296"/>
      <c r="D25" s="296"/>
      <c r="E25" s="296"/>
      <c r="F25" s="296"/>
      <c r="G25" s="327"/>
      <c r="H25" s="310" t="str">
        <f ca="1">IFERROR(IF(VLOOKUP(F25,Kostentypen!$A$3:$E$21,3,0)=0,"",IF(OR(F25="Arbeidskosten",F25="Vergoeding"),VLOOKUP(G25,Tb_KostenTypen[],2,0),VLOOKUP(F25,Kostentypen!$A$3:$E$20,3,0))),"")</f>
        <v/>
      </c>
      <c r="I25" s="311"/>
      <c r="J25" s="312" t="str" cm="1">
        <f t="array" ref="J25">_xlfn.IFNA(IF(INDEX(Tb_KostenOpties[],MATCH($F25,Tb_KostenOpties[KostenOptie],0),IFERROR(MATCH(Methode_Keuze,Tb_KostenOpties[#Headers],0),2))=1,_xlfn.SWITCH($H25,"Uurtarief",IF(OR(AND(RIGHT($F25,3)="IKS",VLOOKUP($I25,Loonkosten,2,0)="Ja"),AND(RIGHT($F25,3)&lt;&gt;"IKS",VLOOKUP($I25,Loonkosten,2,0)="Nee")), VLOOKUP($I25,Loonkosten,MATCH("Opgegeven uurtarief",'4. Rekenhulp loonkosten aanvr.'!$4:$4,0)),0),"Vast tarief",IF(LEFT(F25,8)="Bijdrage",VLOOKUP($F25,Tb_KostenTypen[],MATCH(Lijsten!$P$1,Tb_KostenTypen[#Headers],0),0),VLOOKUP($G25,Lijsten!L:P,MATCH(Lijsten!$P$1,Kop_Tarief_Vast,0),0))),""),"")</f>
        <v/>
      </c>
      <c r="K25" s="312" t="str" cm="1">
        <f t="array" ref="K25">_xlfn.IFNA(IF(INDEX(Tb_KostenOpties[],MATCH($F25,Tb_KostenOpties[KostenOptie],0),IFERROR(MATCH(Methode_Keuze,Tb_KostenOpties[#Headers],0),2))=1,_xlfn.SWITCH($H25,"Uurtarief",IF(OR(AND(RIGHT($F25,3)="IKS",VLOOKUP($I25,Loonkosten,2,0)="Ja"),AND(RIGHT($F25,3)&lt;&gt;"IKS",VLOOKUP($I25,Loonkosten,2,0)="Nee")), VLOOKUP($I25,Loonkosten,MATCH("Beoordeeld uurtarief",'4. Rekenhulp loonkosten aanvr.'!$4:$4,0),0),0),"Vast tarief",IF(LEFT(F25,8)="Bijdrage",VLOOKUP($F25,Tb_KostenTypen[],MATCH(Lijsten!$P$1,Tb_KostenTypen[#Headers],0),0),VLOOKUP($G25,Lijsten!L:P,MATCH(Lijsten!$P$1,Kop_Tarief_Vast,0),0))),""),"")</f>
        <v/>
      </c>
      <c r="L25" s="358"/>
      <c r="M25" s="358"/>
      <c r="N25" s="313"/>
      <c r="O25" s="313"/>
      <c r="P25" s="374" t="str">
        <f t="shared" si="1"/>
        <v/>
      </c>
      <c r="Q25" s="314" t="str">
        <f t="shared" si="2"/>
        <v/>
      </c>
      <c r="R25" s="314" t="str" cm="1">
        <f t="array" aca="1" ref="R25" ca="1">_xlfn.IFNA(_xlfn.IFS(X25="Dit kostentype hoeft u niet op te geven. Hiervoor wordt een forfait berekend.","",AND(J25&lt;&gt;"",H25="Vast tarief",F25="Vergoeding"),SUM(J25)*FLOOR(SUM(L25),0.0001),AND(J25&lt;&gt;"",OR(H25="Uurtarief",H25="Vast tarief")),SUM(J25)*FLOOR(SUM(L25),0.01),AND(N25&lt;&gt;"",H25="-"),FLOOR(SUM(N25),0.01)),"")</f>
        <v/>
      </c>
      <c r="S25" s="314" t="str" cm="1">
        <f t="array" aca="1" ref="S25" ca="1">_xlfn.IFNA(_xlfn.IFS(X25="Dit kostentype hoeft u niet op te geven. Hiervoor wordt een forfait berekend.","",AND(K25&lt;&gt;"",M25&lt;&gt;"",H25="Vast tarief",F25="Vergoeding"),SUM(K25)*FLOOR(SUM(M25),0.0001),AND(K25&lt;&gt;"",M25&lt;&gt;"",OR(H25="Uurtarief",H25="Vast tarief")),SUM(K25)*FLOOR(SUM(M25),0.01),AND(O25&lt;&gt;"",H25="-"),FLOOR(SUM(O25),0.01)),"")</f>
        <v/>
      </c>
      <c r="T25" s="314" t="str">
        <f t="shared" ca="1" si="3"/>
        <v/>
      </c>
      <c r="U25" s="314" t="str" cm="1">
        <f t="array" aca="1" ref="U25" ca="1">IFERROR(_xlfn.IFS(OR(F25="",LEFT(Methode_Keuze,4)="Geen",Methode_Keuze=""),"",AND(R25&lt;&gt;"",F25&lt;&gt;"Arbeidskosten"),R25*VLOOKUP(F25,Tb_ProjectKosten[],MATCH(Tb_ProjectKosten[[#Headers],[Forfait_Percentage]],Tb_ProjectKosten[#Headers],0),0),AND(F25="Arbeidskosten",G25&lt;&gt;""),IFERROR(R25*VLOOKUP(G25,Tb_KostenTypen[],3,0)*VLOOKUP(F25,Tb_ProjectKosten[],MATCH(Tb_ProjectKosten[[#Headers],[Forfait_Percentage]],Tb_ProjectKosten[#Headers],0),0),""),R25 &lt;=0,0),"")</f>
        <v/>
      </c>
      <c r="V25" s="314" t="str" cm="1">
        <f t="array" aca="1" ref="V25" ca="1">IFERROR(_xlfn.IFS(OR(F25="",LEFT(Methode_Keuze,4)="Geen",Methode_Keuze=""),"",AND(S25&lt;&gt;"",F25&lt;&gt;"Arbeidskosten"),S25*VLOOKUP(F25,Tb_ProjectKosten[],MATCH(Tb_ProjectKosten[[#Headers],[Forfait_Percentage]],Tb_ProjectKosten[#Headers],0),0),AND(F25="Arbeidskosten",G25&lt;&gt;""),IFERROR(S25*VLOOKUP(G25,Tb_KostenTypen[],3,0)*VLOOKUP(F25,Tb_ProjectKosten[],MATCH(Tb_ProjectKosten[[#Headers],[Forfait_Percentage]],Tb_ProjectKosten[#Headers],0),0),""),S25 &lt;=0,0),"")</f>
        <v/>
      </c>
      <c r="W25" s="314" t="str">
        <f t="shared" ca="1" si="4"/>
        <v/>
      </c>
      <c r="X25" s="376" t="str">
        <f>IFERROR(VLOOKUP(F25,Tb_ProjectKosten[#All],11,0),"")</f>
        <v/>
      </c>
      <c r="Y25" s="315"/>
    </row>
    <row r="26" spans="1:25" x14ac:dyDescent="0.25">
      <c r="A26" s="309">
        <f>MAX($A$5:A25)+1</f>
        <v>21</v>
      </c>
      <c r="B26" s="296"/>
      <c r="C26" s="296"/>
      <c r="D26" s="296"/>
      <c r="E26" s="296"/>
      <c r="F26" s="296"/>
      <c r="G26" s="327"/>
      <c r="H26" s="310" t="str">
        <f ca="1">IFERROR(IF(VLOOKUP(F26,Kostentypen!$A$3:$E$21,3,0)=0,"",IF(OR(F26="Arbeidskosten",F26="Vergoeding"),VLOOKUP(G26,Tb_KostenTypen[],2,0),VLOOKUP(F26,Kostentypen!$A$3:$E$20,3,0))),"")</f>
        <v/>
      </c>
      <c r="I26" s="311"/>
      <c r="J26" s="312" t="str" cm="1">
        <f t="array" ref="J26">_xlfn.IFNA(IF(INDEX(Tb_KostenOpties[],MATCH($F26,Tb_KostenOpties[KostenOptie],0),IFERROR(MATCH(Methode_Keuze,Tb_KostenOpties[#Headers],0),2))=1,_xlfn.SWITCH($H26,"Uurtarief",IF(OR(AND(RIGHT($F26,3)="IKS",VLOOKUP($I26,Loonkosten,2,0)="Ja"),AND(RIGHT($F26,3)&lt;&gt;"IKS",VLOOKUP($I26,Loonkosten,2,0)="Nee")), VLOOKUP($I26,Loonkosten,MATCH("Opgegeven uurtarief",'4. Rekenhulp loonkosten aanvr.'!$4:$4,0)),0),"Vast tarief",IF(LEFT(F26,8)="Bijdrage",VLOOKUP($F26,Tb_KostenTypen[],MATCH(Lijsten!$P$1,Tb_KostenTypen[#Headers],0),0),VLOOKUP($G26,Lijsten!L:P,MATCH(Lijsten!$P$1,Kop_Tarief_Vast,0),0))),""),"")</f>
        <v/>
      </c>
      <c r="K26" s="312" t="str" cm="1">
        <f t="array" ref="K26">_xlfn.IFNA(IF(INDEX(Tb_KostenOpties[],MATCH($F26,Tb_KostenOpties[KostenOptie],0),IFERROR(MATCH(Methode_Keuze,Tb_KostenOpties[#Headers],0),2))=1,_xlfn.SWITCH($H26,"Uurtarief",IF(OR(AND(RIGHT($F26,3)="IKS",VLOOKUP($I26,Loonkosten,2,0)="Ja"),AND(RIGHT($F26,3)&lt;&gt;"IKS",VLOOKUP($I26,Loonkosten,2,0)="Nee")), VLOOKUP($I26,Loonkosten,MATCH("Beoordeeld uurtarief",'4. Rekenhulp loonkosten aanvr.'!$4:$4,0),0),0),"Vast tarief",IF(LEFT(F26,8)="Bijdrage",VLOOKUP($F26,Tb_KostenTypen[],MATCH(Lijsten!$P$1,Tb_KostenTypen[#Headers],0),0),VLOOKUP($G26,Lijsten!L:P,MATCH(Lijsten!$P$1,Kop_Tarief_Vast,0),0))),""),"")</f>
        <v/>
      </c>
      <c r="L26" s="358"/>
      <c r="M26" s="358"/>
      <c r="N26" s="313"/>
      <c r="O26" s="313"/>
      <c r="P26" s="374" t="str">
        <f t="shared" si="1"/>
        <v/>
      </c>
      <c r="Q26" s="314" t="str">
        <f t="shared" si="2"/>
        <v/>
      </c>
      <c r="R26" s="314" t="str" cm="1">
        <f t="array" aca="1" ref="R26" ca="1">_xlfn.IFNA(_xlfn.IFS(X26="Dit kostentype hoeft u niet op te geven. Hiervoor wordt een forfait berekend.","",AND(J26&lt;&gt;"",H26="Vast tarief",F26="Vergoeding"),SUM(J26)*FLOOR(SUM(L26),0.0001),AND(J26&lt;&gt;"",OR(H26="Uurtarief",H26="Vast tarief")),SUM(J26)*FLOOR(SUM(L26),0.01),AND(N26&lt;&gt;"",H26="-"),FLOOR(SUM(N26),0.01)),"")</f>
        <v/>
      </c>
      <c r="S26" s="314" t="str" cm="1">
        <f t="array" aca="1" ref="S26" ca="1">_xlfn.IFNA(_xlfn.IFS(X26="Dit kostentype hoeft u niet op te geven. Hiervoor wordt een forfait berekend.","",AND(K26&lt;&gt;"",M26&lt;&gt;"",H26="Vast tarief",F26="Vergoeding"),SUM(K26)*FLOOR(SUM(M26),0.0001),AND(K26&lt;&gt;"",M26&lt;&gt;"",OR(H26="Uurtarief",H26="Vast tarief")),SUM(K26)*FLOOR(SUM(M26),0.01),AND(O26&lt;&gt;"",H26="-"),FLOOR(SUM(O26),0.01)),"")</f>
        <v/>
      </c>
      <c r="T26" s="314" t="str">
        <f t="shared" ca="1" si="3"/>
        <v/>
      </c>
      <c r="U26" s="314" t="str" cm="1">
        <f t="array" aca="1" ref="U26" ca="1">IFERROR(_xlfn.IFS(OR(F26="",LEFT(Methode_Keuze,4)="Geen",Methode_Keuze=""),"",AND(R26&lt;&gt;"",F26&lt;&gt;"Arbeidskosten"),R26*VLOOKUP(F26,Tb_ProjectKosten[],MATCH(Tb_ProjectKosten[[#Headers],[Forfait_Percentage]],Tb_ProjectKosten[#Headers],0),0),AND(F26="Arbeidskosten",G26&lt;&gt;""),IFERROR(R26*VLOOKUP(G26,Tb_KostenTypen[],3,0)*VLOOKUP(F26,Tb_ProjectKosten[],MATCH(Tb_ProjectKosten[[#Headers],[Forfait_Percentage]],Tb_ProjectKosten[#Headers],0),0),""),R26 &lt;=0,0),"")</f>
        <v/>
      </c>
      <c r="V26" s="314" t="str" cm="1">
        <f t="array" aca="1" ref="V26" ca="1">IFERROR(_xlfn.IFS(OR(F26="",LEFT(Methode_Keuze,4)="Geen",Methode_Keuze=""),"",AND(S26&lt;&gt;"",F26&lt;&gt;"Arbeidskosten"),S26*VLOOKUP(F26,Tb_ProjectKosten[],MATCH(Tb_ProjectKosten[[#Headers],[Forfait_Percentage]],Tb_ProjectKosten[#Headers],0),0),AND(F26="Arbeidskosten",G26&lt;&gt;""),IFERROR(S26*VLOOKUP(G26,Tb_KostenTypen[],3,0)*VLOOKUP(F26,Tb_ProjectKosten[],MATCH(Tb_ProjectKosten[[#Headers],[Forfait_Percentage]],Tb_ProjectKosten[#Headers],0),0),""),S26 &lt;=0,0),"")</f>
        <v/>
      </c>
      <c r="W26" s="314" t="str">
        <f t="shared" ca="1" si="4"/>
        <v/>
      </c>
      <c r="X26" s="376" t="str">
        <f>IFERROR(VLOOKUP(F26,Tb_ProjectKosten[#All],11,0),"")</f>
        <v/>
      </c>
      <c r="Y26" s="315"/>
    </row>
    <row r="27" spans="1:25" x14ac:dyDescent="0.25">
      <c r="A27" s="309">
        <f>MAX($A$5:A26)+1</f>
        <v>22</v>
      </c>
      <c r="B27" s="296"/>
      <c r="C27" s="296"/>
      <c r="D27" s="296"/>
      <c r="E27" s="296"/>
      <c r="F27" s="296"/>
      <c r="G27" s="327"/>
      <c r="H27" s="310" t="str">
        <f ca="1">IFERROR(IF(VLOOKUP(F27,Kostentypen!$A$3:$E$21,3,0)=0,"",IF(OR(F27="Arbeidskosten",F27="Vergoeding"),VLOOKUP(G27,Tb_KostenTypen[],2,0),VLOOKUP(F27,Kostentypen!$A$3:$E$20,3,0))),"")</f>
        <v/>
      </c>
      <c r="I27" s="311"/>
      <c r="J27" s="312" t="str" cm="1">
        <f t="array" ref="J27">_xlfn.IFNA(IF(INDEX(Tb_KostenOpties[],MATCH($F27,Tb_KostenOpties[KostenOptie],0),IFERROR(MATCH(Methode_Keuze,Tb_KostenOpties[#Headers],0),2))=1,_xlfn.SWITCH($H27,"Uurtarief",IF(OR(AND(RIGHT($F27,3)="IKS",VLOOKUP($I27,Loonkosten,2,0)="Ja"),AND(RIGHT($F27,3)&lt;&gt;"IKS",VLOOKUP($I27,Loonkosten,2,0)="Nee")), VLOOKUP($I27,Loonkosten,MATCH("Opgegeven uurtarief",'4. Rekenhulp loonkosten aanvr.'!$4:$4,0)),0),"Vast tarief",IF(LEFT(F27,8)="Bijdrage",VLOOKUP($F27,Tb_KostenTypen[],MATCH(Lijsten!$P$1,Tb_KostenTypen[#Headers],0),0),VLOOKUP($G27,Lijsten!L:P,MATCH(Lijsten!$P$1,Kop_Tarief_Vast,0),0))),""),"")</f>
        <v/>
      </c>
      <c r="K27" s="312" t="str" cm="1">
        <f t="array" ref="K27">_xlfn.IFNA(IF(INDEX(Tb_KostenOpties[],MATCH($F27,Tb_KostenOpties[KostenOptie],0),IFERROR(MATCH(Methode_Keuze,Tb_KostenOpties[#Headers],0),2))=1,_xlfn.SWITCH($H27,"Uurtarief",IF(OR(AND(RIGHT($F27,3)="IKS",VLOOKUP($I27,Loonkosten,2,0)="Ja"),AND(RIGHT($F27,3)&lt;&gt;"IKS",VLOOKUP($I27,Loonkosten,2,0)="Nee")), VLOOKUP($I27,Loonkosten,MATCH("Beoordeeld uurtarief",'4. Rekenhulp loonkosten aanvr.'!$4:$4,0),0),0),"Vast tarief",IF(LEFT(F27,8)="Bijdrage",VLOOKUP($F27,Tb_KostenTypen[],MATCH(Lijsten!$P$1,Tb_KostenTypen[#Headers],0),0),VLOOKUP($G27,Lijsten!L:P,MATCH(Lijsten!$P$1,Kop_Tarief_Vast,0),0))),""),"")</f>
        <v/>
      </c>
      <c r="L27" s="358"/>
      <c r="M27" s="358"/>
      <c r="N27" s="313"/>
      <c r="O27" s="313"/>
      <c r="P27" s="374" t="str">
        <f t="shared" si="1"/>
        <v/>
      </c>
      <c r="Q27" s="314" t="str">
        <f t="shared" si="2"/>
        <v/>
      </c>
      <c r="R27" s="314" t="str" cm="1">
        <f t="array" aca="1" ref="R27" ca="1">_xlfn.IFNA(_xlfn.IFS(X27="Dit kostentype hoeft u niet op te geven. Hiervoor wordt een forfait berekend.","",AND(J27&lt;&gt;"",H27="Vast tarief",F27="Vergoeding"),SUM(J27)*FLOOR(SUM(L27),0.0001),AND(J27&lt;&gt;"",OR(H27="Uurtarief",H27="Vast tarief")),SUM(J27)*FLOOR(SUM(L27),0.01),AND(N27&lt;&gt;"",H27="-"),FLOOR(SUM(N27),0.01)),"")</f>
        <v/>
      </c>
      <c r="S27" s="314" t="str" cm="1">
        <f t="array" aca="1" ref="S27" ca="1">_xlfn.IFNA(_xlfn.IFS(X27="Dit kostentype hoeft u niet op te geven. Hiervoor wordt een forfait berekend.","",AND(K27&lt;&gt;"",M27&lt;&gt;"",H27="Vast tarief",F27="Vergoeding"),SUM(K27)*FLOOR(SUM(M27),0.0001),AND(K27&lt;&gt;"",M27&lt;&gt;"",OR(H27="Uurtarief",H27="Vast tarief")),SUM(K27)*FLOOR(SUM(M27),0.01),AND(O27&lt;&gt;"",H27="-"),FLOOR(SUM(O27),0.01)),"")</f>
        <v/>
      </c>
      <c r="T27" s="314" t="str">
        <f t="shared" ca="1" si="3"/>
        <v/>
      </c>
      <c r="U27" s="314" t="str" cm="1">
        <f t="array" aca="1" ref="U27" ca="1">IFERROR(_xlfn.IFS(OR(F27="",LEFT(Methode_Keuze,4)="Geen",Methode_Keuze=""),"",AND(R27&lt;&gt;"",F27&lt;&gt;"Arbeidskosten"),R27*VLOOKUP(F27,Tb_ProjectKosten[],MATCH(Tb_ProjectKosten[[#Headers],[Forfait_Percentage]],Tb_ProjectKosten[#Headers],0),0),AND(F27="Arbeidskosten",G27&lt;&gt;""),IFERROR(R27*VLOOKUP(G27,Tb_KostenTypen[],3,0)*VLOOKUP(F27,Tb_ProjectKosten[],MATCH(Tb_ProjectKosten[[#Headers],[Forfait_Percentage]],Tb_ProjectKosten[#Headers],0),0),""),R27 &lt;=0,0),"")</f>
        <v/>
      </c>
      <c r="V27" s="314" t="str" cm="1">
        <f t="array" aca="1" ref="V27" ca="1">IFERROR(_xlfn.IFS(OR(F27="",LEFT(Methode_Keuze,4)="Geen",Methode_Keuze=""),"",AND(S27&lt;&gt;"",F27&lt;&gt;"Arbeidskosten"),S27*VLOOKUP(F27,Tb_ProjectKosten[],MATCH(Tb_ProjectKosten[[#Headers],[Forfait_Percentage]],Tb_ProjectKosten[#Headers],0),0),AND(F27="Arbeidskosten",G27&lt;&gt;""),IFERROR(S27*VLOOKUP(G27,Tb_KostenTypen[],3,0)*VLOOKUP(F27,Tb_ProjectKosten[],MATCH(Tb_ProjectKosten[[#Headers],[Forfait_Percentage]],Tb_ProjectKosten[#Headers],0),0),""),S27 &lt;=0,0),"")</f>
        <v/>
      </c>
      <c r="W27" s="314" t="str">
        <f t="shared" ca="1" si="4"/>
        <v/>
      </c>
      <c r="X27" s="376" t="str">
        <f>IFERROR(VLOOKUP(F27,Tb_ProjectKosten[#All],11,0),"")</f>
        <v/>
      </c>
      <c r="Y27" s="315"/>
    </row>
    <row r="28" spans="1:25" x14ac:dyDescent="0.25">
      <c r="A28" s="309">
        <f>MAX($A$5:A27)+1</f>
        <v>23</v>
      </c>
      <c r="B28" s="296"/>
      <c r="C28" s="296"/>
      <c r="D28" s="296"/>
      <c r="E28" s="296"/>
      <c r="F28" s="296"/>
      <c r="G28" s="327"/>
      <c r="H28" s="310" t="str">
        <f ca="1">IFERROR(IF(VLOOKUP(F28,Kostentypen!$A$3:$E$21,3,0)=0,"",IF(OR(F28="Arbeidskosten",F28="Vergoeding"),VLOOKUP(G28,Tb_KostenTypen[],2,0),VLOOKUP(F28,Kostentypen!$A$3:$E$20,3,0))),"")</f>
        <v/>
      </c>
      <c r="I28" s="311"/>
      <c r="J28" s="312" t="str" cm="1">
        <f t="array" ref="J28">_xlfn.IFNA(IF(INDEX(Tb_KostenOpties[],MATCH($F28,Tb_KostenOpties[KostenOptie],0),IFERROR(MATCH(Methode_Keuze,Tb_KostenOpties[#Headers],0),2))=1,_xlfn.SWITCH($H28,"Uurtarief",IF(OR(AND(RIGHT($F28,3)="IKS",VLOOKUP($I28,Loonkosten,2,0)="Ja"),AND(RIGHT($F28,3)&lt;&gt;"IKS",VLOOKUP($I28,Loonkosten,2,0)="Nee")), VLOOKUP($I28,Loonkosten,MATCH("Opgegeven uurtarief",'4. Rekenhulp loonkosten aanvr.'!$4:$4,0)),0),"Vast tarief",IF(LEFT(F28,8)="Bijdrage",VLOOKUP($F28,Tb_KostenTypen[],MATCH(Lijsten!$P$1,Tb_KostenTypen[#Headers],0),0),VLOOKUP($G28,Lijsten!L:P,MATCH(Lijsten!$P$1,Kop_Tarief_Vast,0),0))),""),"")</f>
        <v/>
      </c>
      <c r="K28" s="312" t="str" cm="1">
        <f t="array" ref="K28">_xlfn.IFNA(IF(INDEX(Tb_KostenOpties[],MATCH($F28,Tb_KostenOpties[KostenOptie],0),IFERROR(MATCH(Methode_Keuze,Tb_KostenOpties[#Headers],0),2))=1,_xlfn.SWITCH($H28,"Uurtarief",IF(OR(AND(RIGHT($F28,3)="IKS",VLOOKUP($I28,Loonkosten,2,0)="Ja"),AND(RIGHT($F28,3)&lt;&gt;"IKS",VLOOKUP($I28,Loonkosten,2,0)="Nee")), VLOOKUP($I28,Loonkosten,MATCH("Beoordeeld uurtarief",'4. Rekenhulp loonkosten aanvr.'!$4:$4,0),0),0),"Vast tarief",IF(LEFT(F28,8)="Bijdrage",VLOOKUP($F28,Tb_KostenTypen[],MATCH(Lijsten!$P$1,Tb_KostenTypen[#Headers],0),0),VLOOKUP($G28,Lijsten!L:P,MATCH(Lijsten!$P$1,Kop_Tarief_Vast,0),0))),""),"")</f>
        <v/>
      </c>
      <c r="L28" s="358"/>
      <c r="M28" s="358"/>
      <c r="N28" s="313"/>
      <c r="O28" s="313"/>
      <c r="P28" s="374" t="str">
        <f t="shared" si="1"/>
        <v/>
      </c>
      <c r="Q28" s="314" t="str">
        <f t="shared" si="2"/>
        <v/>
      </c>
      <c r="R28" s="314" t="str" cm="1">
        <f t="array" aca="1" ref="R28" ca="1">_xlfn.IFNA(_xlfn.IFS(X28="Dit kostentype hoeft u niet op te geven. Hiervoor wordt een forfait berekend.","",AND(J28&lt;&gt;"",H28="Vast tarief",F28="Vergoeding"),SUM(J28)*FLOOR(SUM(L28),0.0001),AND(J28&lt;&gt;"",OR(H28="Uurtarief",H28="Vast tarief")),SUM(J28)*FLOOR(SUM(L28),0.01),AND(N28&lt;&gt;"",H28="-"),FLOOR(SUM(N28),0.01)),"")</f>
        <v/>
      </c>
      <c r="S28" s="314" t="str" cm="1">
        <f t="array" aca="1" ref="S28" ca="1">_xlfn.IFNA(_xlfn.IFS(X28="Dit kostentype hoeft u niet op te geven. Hiervoor wordt een forfait berekend.","",AND(K28&lt;&gt;"",M28&lt;&gt;"",H28="Vast tarief",F28="Vergoeding"),SUM(K28)*FLOOR(SUM(M28),0.0001),AND(K28&lt;&gt;"",M28&lt;&gt;"",OR(H28="Uurtarief",H28="Vast tarief")),SUM(K28)*FLOOR(SUM(M28),0.01),AND(O28&lt;&gt;"",H28="-"),FLOOR(SUM(O28),0.01)),"")</f>
        <v/>
      </c>
      <c r="T28" s="314" t="str">
        <f t="shared" ca="1" si="3"/>
        <v/>
      </c>
      <c r="U28" s="314" t="str" cm="1">
        <f t="array" aca="1" ref="U28" ca="1">IFERROR(_xlfn.IFS(OR(F28="",LEFT(Methode_Keuze,4)="Geen",Methode_Keuze=""),"",AND(R28&lt;&gt;"",F28&lt;&gt;"Arbeidskosten"),R28*VLOOKUP(F28,Tb_ProjectKosten[],MATCH(Tb_ProjectKosten[[#Headers],[Forfait_Percentage]],Tb_ProjectKosten[#Headers],0),0),AND(F28="Arbeidskosten",G28&lt;&gt;""),IFERROR(R28*VLOOKUP(G28,Tb_KostenTypen[],3,0)*VLOOKUP(F28,Tb_ProjectKosten[],MATCH(Tb_ProjectKosten[[#Headers],[Forfait_Percentage]],Tb_ProjectKosten[#Headers],0),0),""),R28 &lt;=0,0),"")</f>
        <v/>
      </c>
      <c r="V28" s="314" t="str" cm="1">
        <f t="array" aca="1" ref="V28" ca="1">IFERROR(_xlfn.IFS(OR(F28="",LEFT(Methode_Keuze,4)="Geen",Methode_Keuze=""),"",AND(S28&lt;&gt;"",F28&lt;&gt;"Arbeidskosten"),S28*VLOOKUP(F28,Tb_ProjectKosten[],MATCH(Tb_ProjectKosten[[#Headers],[Forfait_Percentage]],Tb_ProjectKosten[#Headers],0),0),AND(F28="Arbeidskosten",G28&lt;&gt;""),IFERROR(S28*VLOOKUP(G28,Tb_KostenTypen[],3,0)*VLOOKUP(F28,Tb_ProjectKosten[],MATCH(Tb_ProjectKosten[[#Headers],[Forfait_Percentage]],Tb_ProjectKosten[#Headers],0),0),""),S28 &lt;=0,0),"")</f>
        <v/>
      </c>
      <c r="W28" s="314" t="str">
        <f t="shared" ca="1" si="4"/>
        <v/>
      </c>
      <c r="X28" s="376" t="str">
        <f>IFERROR(VLOOKUP(F28,Tb_ProjectKosten[#All],11,0),"")</f>
        <v/>
      </c>
      <c r="Y28" s="315"/>
    </row>
    <row r="29" spans="1:25" x14ac:dyDescent="0.25">
      <c r="A29" s="309">
        <f>MAX($A$5:A28)+1</f>
        <v>24</v>
      </c>
      <c r="B29" s="296"/>
      <c r="C29" s="296"/>
      <c r="D29" s="296"/>
      <c r="E29" s="296"/>
      <c r="F29" s="296"/>
      <c r="G29" s="327"/>
      <c r="H29" s="310" t="str">
        <f ca="1">IFERROR(IF(VLOOKUP(F29,Kostentypen!$A$3:$E$21,3,0)=0,"",IF(OR(F29="Arbeidskosten",F29="Vergoeding"),VLOOKUP(G29,Tb_KostenTypen[],2,0),VLOOKUP(F29,Kostentypen!$A$3:$E$20,3,0))),"")</f>
        <v/>
      </c>
      <c r="I29" s="311"/>
      <c r="J29" s="312" t="str" cm="1">
        <f t="array" ref="J29">_xlfn.IFNA(IF(INDEX(Tb_KostenOpties[],MATCH($F29,Tb_KostenOpties[KostenOptie],0),IFERROR(MATCH(Methode_Keuze,Tb_KostenOpties[#Headers],0),2))=1,_xlfn.SWITCH($H29,"Uurtarief",IF(OR(AND(RIGHT($F29,3)="IKS",VLOOKUP($I29,Loonkosten,2,0)="Ja"),AND(RIGHT($F29,3)&lt;&gt;"IKS",VLOOKUP($I29,Loonkosten,2,0)="Nee")), VLOOKUP($I29,Loonkosten,MATCH("Opgegeven uurtarief",'4. Rekenhulp loonkosten aanvr.'!$4:$4,0)),0),"Vast tarief",IF(LEFT(F29,8)="Bijdrage",VLOOKUP($F29,Tb_KostenTypen[],MATCH(Lijsten!$P$1,Tb_KostenTypen[#Headers],0),0),VLOOKUP($G29,Lijsten!L:P,MATCH(Lijsten!$P$1,Kop_Tarief_Vast,0),0))),""),"")</f>
        <v/>
      </c>
      <c r="K29" s="312" t="str" cm="1">
        <f t="array" ref="K29">_xlfn.IFNA(IF(INDEX(Tb_KostenOpties[],MATCH($F29,Tb_KostenOpties[KostenOptie],0),IFERROR(MATCH(Methode_Keuze,Tb_KostenOpties[#Headers],0),2))=1,_xlfn.SWITCH($H29,"Uurtarief",IF(OR(AND(RIGHT($F29,3)="IKS",VLOOKUP($I29,Loonkosten,2,0)="Ja"),AND(RIGHT($F29,3)&lt;&gt;"IKS",VLOOKUP($I29,Loonkosten,2,0)="Nee")), VLOOKUP($I29,Loonkosten,MATCH("Beoordeeld uurtarief",'4. Rekenhulp loonkosten aanvr.'!$4:$4,0),0),0),"Vast tarief",IF(LEFT(F29,8)="Bijdrage",VLOOKUP($F29,Tb_KostenTypen[],MATCH(Lijsten!$P$1,Tb_KostenTypen[#Headers],0),0),VLOOKUP($G29,Lijsten!L:P,MATCH(Lijsten!$P$1,Kop_Tarief_Vast,0),0))),""),"")</f>
        <v/>
      </c>
      <c r="L29" s="358"/>
      <c r="M29" s="358"/>
      <c r="N29" s="313"/>
      <c r="O29" s="313"/>
      <c r="P29" s="374" t="str">
        <f t="shared" si="1"/>
        <v/>
      </c>
      <c r="Q29" s="314" t="str">
        <f t="shared" si="2"/>
        <v/>
      </c>
      <c r="R29" s="314" t="str" cm="1">
        <f t="array" aca="1" ref="R29" ca="1">_xlfn.IFNA(_xlfn.IFS(X29="Dit kostentype hoeft u niet op te geven. Hiervoor wordt een forfait berekend.","",AND(J29&lt;&gt;"",H29="Vast tarief",F29="Vergoeding"),SUM(J29)*FLOOR(SUM(L29),0.0001),AND(J29&lt;&gt;"",OR(H29="Uurtarief",H29="Vast tarief")),SUM(J29)*FLOOR(SUM(L29),0.01),AND(N29&lt;&gt;"",H29="-"),FLOOR(SUM(N29),0.01)),"")</f>
        <v/>
      </c>
      <c r="S29" s="314" t="str" cm="1">
        <f t="array" aca="1" ref="S29" ca="1">_xlfn.IFNA(_xlfn.IFS(X29="Dit kostentype hoeft u niet op te geven. Hiervoor wordt een forfait berekend.","",AND(K29&lt;&gt;"",M29&lt;&gt;"",H29="Vast tarief",F29="Vergoeding"),SUM(K29)*FLOOR(SUM(M29),0.0001),AND(K29&lt;&gt;"",M29&lt;&gt;"",OR(H29="Uurtarief",H29="Vast tarief")),SUM(K29)*FLOOR(SUM(M29),0.01),AND(O29&lt;&gt;"",H29="-"),FLOOR(SUM(O29),0.01)),"")</f>
        <v/>
      </c>
      <c r="T29" s="314" t="str">
        <f t="shared" ca="1" si="3"/>
        <v/>
      </c>
      <c r="U29" s="314" t="str" cm="1">
        <f t="array" aca="1" ref="U29" ca="1">IFERROR(_xlfn.IFS(OR(F29="",LEFT(Methode_Keuze,4)="Geen",Methode_Keuze=""),"",AND(R29&lt;&gt;"",F29&lt;&gt;"Arbeidskosten"),R29*VLOOKUP(F29,Tb_ProjectKosten[],MATCH(Tb_ProjectKosten[[#Headers],[Forfait_Percentage]],Tb_ProjectKosten[#Headers],0),0),AND(F29="Arbeidskosten",G29&lt;&gt;""),IFERROR(R29*VLOOKUP(G29,Tb_KostenTypen[],3,0)*VLOOKUP(F29,Tb_ProjectKosten[],MATCH(Tb_ProjectKosten[[#Headers],[Forfait_Percentage]],Tb_ProjectKosten[#Headers],0),0),""),R29 &lt;=0,0),"")</f>
        <v/>
      </c>
      <c r="V29" s="314" t="str" cm="1">
        <f t="array" aca="1" ref="V29" ca="1">IFERROR(_xlfn.IFS(OR(F29="",LEFT(Methode_Keuze,4)="Geen",Methode_Keuze=""),"",AND(S29&lt;&gt;"",F29&lt;&gt;"Arbeidskosten"),S29*VLOOKUP(F29,Tb_ProjectKosten[],MATCH(Tb_ProjectKosten[[#Headers],[Forfait_Percentage]],Tb_ProjectKosten[#Headers],0),0),AND(F29="Arbeidskosten",G29&lt;&gt;""),IFERROR(S29*VLOOKUP(G29,Tb_KostenTypen[],3,0)*VLOOKUP(F29,Tb_ProjectKosten[],MATCH(Tb_ProjectKosten[[#Headers],[Forfait_Percentage]],Tb_ProjectKosten[#Headers],0),0),""),S29 &lt;=0,0),"")</f>
        <v/>
      </c>
      <c r="W29" s="314" t="str">
        <f t="shared" ca="1" si="4"/>
        <v/>
      </c>
      <c r="X29" s="376" t="str">
        <f>IFERROR(VLOOKUP(F29,Tb_ProjectKosten[#All],11,0),"")</f>
        <v/>
      </c>
      <c r="Y29" s="315"/>
    </row>
    <row r="30" spans="1:25" x14ac:dyDescent="0.25">
      <c r="A30" s="309">
        <f>MAX($A$5:A29)+1</f>
        <v>25</v>
      </c>
      <c r="B30" s="296"/>
      <c r="C30" s="296"/>
      <c r="D30" s="296"/>
      <c r="E30" s="296"/>
      <c r="F30" s="296"/>
      <c r="G30" s="327"/>
      <c r="H30" s="310" t="str">
        <f ca="1">IFERROR(IF(VLOOKUP(F30,Kostentypen!$A$3:$E$21,3,0)=0,"",IF(OR(F30="Arbeidskosten",F30="Vergoeding"),VLOOKUP(G30,Tb_KostenTypen[],2,0),VLOOKUP(F30,Kostentypen!$A$3:$E$20,3,0))),"")</f>
        <v/>
      </c>
      <c r="I30" s="311"/>
      <c r="J30" s="312" t="str" cm="1">
        <f t="array" ref="J30">_xlfn.IFNA(IF(INDEX(Tb_KostenOpties[],MATCH($F30,Tb_KostenOpties[KostenOptie],0),IFERROR(MATCH(Methode_Keuze,Tb_KostenOpties[#Headers],0),2))=1,_xlfn.SWITCH($H30,"Uurtarief",IF(OR(AND(RIGHT($F30,3)="IKS",VLOOKUP($I30,Loonkosten,2,0)="Ja"),AND(RIGHT($F30,3)&lt;&gt;"IKS",VLOOKUP($I30,Loonkosten,2,0)="Nee")), VLOOKUP($I30,Loonkosten,MATCH("Opgegeven uurtarief",'4. Rekenhulp loonkosten aanvr.'!$4:$4,0)),0),"Vast tarief",IF(LEFT(F30,8)="Bijdrage",VLOOKUP($F30,Tb_KostenTypen[],MATCH(Lijsten!$P$1,Tb_KostenTypen[#Headers],0),0),VLOOKUP($G30,Lijsten!L:P,MATCH(Lijsten!$P$1,Kop_Tarief_Vast,0),0))),""),"")</f>
        <v/>
      </c>
      <c r="K30" s="312" t="str" cm="1">
        <f t="array" ref="K30">_xlfn.IFNA(IF(INDEX(Tb_KostenOpties[],MATCH($F30,Tb_KostenOpties[KostenOptie],0),IFERROR(MATCH(Methode_Keuze,Tb_KostenOpties[#Headers],0),2))=1,_xlfn.SWITCH($H30,"Uurtarief",IF(OR(AND(RIGHT($F30,3)="IKS",VLOOKUP($I30,Loonkosten,2,0)="Ja"),AND(RIGHT($F30,3)&lt;&gt;"IKS",VLOOKUP($I30,Loonkosten,2,0)="Nee")), VLOOKUP($I30,Loonkosten,MATCH("Beoordeeld uurtarief",'4. Rekenhulp loonkosten aanvr.'!$4:$4,0),0),0),"Vast tarief",IF(LEFT(F30,8)="Bijdrage",VLOOKUP($F30,Tb_KostenTypen[],MATCH(Lijsten!$P$1,Tb_KostenTypen[#Headers],0),0),VLOOKUP($G30,Lijsten!L:P,MATCH(Lijsten!$P$1,Kop_Tarief_Vast,0),0))),""),"")</f>
        <v/>
      </c>
      <c r="L30" s="358"/>
      <c r="M30" s="358"/>
      <c r="N30" s="313"/>
      <c r="O30" s="313"/>
      <c r="P30" s="374" t="str">
        <f t="shared" si="1"/>
        <v/>
      </c>
      <c r="Q30" s="314" t="str">
        <f t="shared" si="2"/>
        <v/>
      </c>
      <c r="R30" s="314" t="str" cm="1">
        <f t="array" aca="1" ref="R30" ca="1">_xlfn.IFNA(_xlfn.IFS(X30="Dit kostentype hoeft u niet op te geven. Hiervoor wordt een forfait berekend.","",AND(J30&lt;&gt;"",H30="Vast tarief",F30="Vergoeding"),SUM(J30)*FLOOR(SUM(L30),0.0001),AND(J30&lt;&gt;"",OR(H30="Uurtarief",H30="Vast tarief")),SUM(J30)*FLOOR(SUM(L30),0.01),AND(N30&lt;&gt;"",H30="-"),FLOOR(SUM(N30),0.01)),"")</f>
        <v/>
      </c>
      <c r="S30" s="314" t="str" cm="1">
        <f t="array" aca="1" ref="S30" ca="1">_xlfn.IFNA(_xlfn.IFS(X30="Dit kostentype hoeft u niet op te geven. Hiervoor wordt een forfait berekend.","",AND(K30&lt;&gt;"",M30&lt;&gt;"",H30="Vast tarief",F30="Vergoeding"),SUM(K30)*FLOOR(SUM(M30),0.0001),AND(K30&lt;&gt;"",M30&lt;&gt;"",OR(H30="Uurtarief",H30="Vast tarief")),SUM(K30)*FLOOR(SUM(M30),0.01),AND(O30&lt;&gt;"",H30="-"),FLOOR(SUM(O30),0.01)),"")</f>
        <v/>
      </c>
      <c r="T30" s="314" t="str">
        <f t="shared" ca="1" si="3"/>
        <v/>
      </c>
      <c r="U30" s="314" t="str" cm="1">
        <f t="array" aca="1" ref="U30" ca="1">IFERROR(_xlfn.IFS(OR(F30="",LEFT(Methode_Keuze,4)="Geen",Methode_Keuze=""),"",AND(R30&lt;&gt;"",F30&lt;&gt;"Arbeidskosten"),R30*VLOOKUP(F30,Tb_ProjectKosten[],MATCH(Tb_ProjectKosten[[#Headers],[Forfait_Percentage]],Tb_ProjectKosten[#Headers],0),0),AND(F30="Arbeidskosten",G30&lt;&gt;""),IFERROR(R30*VLOOKUP(G30,Tb_KostenTypen[],3,0)*VLOOKUP(F30,Tb_ProjectKosten[],MATCH(Tb_ProjectKosten[[#Headers],[Forfait_Percentage]],Tb_ProjectKosten[#Headers],0),0),""),R30 &lt;=0,0),"")</f>
        <v/>
      </c>
      <c r="V30" s="314" t="str" cm="1">
        <f t="array" aca="1" ref="V30" ca="1">IFERROR(_xlfn.IFS(OR(F30="",LEFT(Methode_Keuze,4)="Geen",Methode_Keuze=""),"",AND(S30&lt;&gt;"",F30&lt;&gt;"Arbeidskosten"),S30*VLOOKUP(F30,Tb_ProjectKosten[],MATCH(Tb_ProjectKosten[[#Headers],[Forfait_Percentage]],Tb_ProjectKosten[#Headers],0),0),AND(F30="Arbeidskosten",G30&lt;&gt;""),IFERROR(S30*VLOOKUP(G30,Tb_KostenTypen[],3,0)*VLOOKUP(F30,Tb_ProjectKosten[],MATCH(Tb_ProjectKosten[[#Headers],[Forfait_Percentage]],Tb_ProjectKosten[#Headers],0),0),""),S30 &lt;=0,0),"")</f>
        <v/>
      </c>
      <c r="W30" s="314" t="str">
        <f t="shared" ca="1" si="4"/>
        <v/>
      </c>
      <c r="X30" s="376" t="str">
        <f>IFERROR(VLOOKUP(F30,Tb_ProjectKosten[#All],11,0),"")</f>
        <v/>
      </c>
      <c r="Y30" s="315"/>
    </row>
    <row r="31" spans="1:25" x14ac:dyDescent="0.25">
      <c r="A31" s="309">
        <f>MAX($A$5:A30)+1</f>
        <v>26</v>
      </c>
      <c r="B31" s="296"/>
      <c r="C31" s="296"/>
      <c r="D31" s="296"/>
      <c r="E31" s="296"/>
      <c r="F31" s="296"/>
      <c r="G31" s="327"/>
      <c r="H31" s="310" t="str">
        <f ca="1">IFERROR(IF(VLOOKUP(F31,Kostentypen!$A$3:$E$21,3,0)=0,"",IF(OR(F31="Arbeidskosten",F31="Vergoeding"),VLOOKUP(G31,Tb_KostenTypen[],2,0),VLOOKUP(F31,Kostentypen!$A$3:$E$20,3,0))),"")</f>
        <v/>
      </c>
      <c r="I31" s="311"/>
      <c r="J31" s="312" t="str" cm="1">
        <f t="array" ref="J31">_xlfn.IFNA(IF(INDEX(Tb_KostenOpties[],MATCH($F31,Tb_KostenOpties[KostenOptie],0),IFERROR(MATCH(Methode_Keuze,Tb_KostenOpties[#Headers],0),2))=1,_xlfn.SWITCH($H31,"Uurtarief",IF(OR(AND(RIGHT($F31,3)="IKS",VLOOKUP($I31,Loonkosten,2,0)="Ja"),AND(RIGHT($F31,3)&lt;&gt;"IKS",VLOOKUP($I31,Loonkosten,2,0)="Nee")), VLOOKUP($I31,Loonkosten,MATCH("Opgegeven uurtarief",'4. Rekenhulp loonkosten aanvr.'!$4:$4,0)),0),"Vast tarief",IF(LEFT(F31,8)="Bijdrage",VLOOKUP($F31,Tb_KostenTypen[],MATCH(Lijsten!$P$1,Tb_KostenTypen[#Headers],0),0),VLOOKUP($G31,Lijsten!L:P,MATCH(Lijsten!$P$1,Kop_Tarief_Vast,0),0))),""),"")</f>
        <v/>
      </c>
      <c r="K31" s="312" t="str" cm="1">
        <f t="array" ref="K31">_xlfn.IFNA(IF(INDEX(Tb_KostenOpties[],MATCH($F31,Tb_KostenOpties[KostenOptie],0),IFERROR(MATCH(Methode_Keuze,Tb_KostenOpties[#Headers],0),2))=1,_xlfn.SWITCH($H31,"Uurtarief",IF(OR(AND(RIGHT($F31,3)="IKS",VLOOKUP($I31,Loonkosten,2,0)="Ja"),AND(RIGHT($F31,3)&lt;&gt;"IKS",VLOOKUP($I31,Loonkosten,2,0)="Nee")), VLOOKUP($I31,Loonkosten,MATCH("Beoordeeld uurtarief",'4. Rekenhulp loonkosten aanvr.'!$4:$4,0),0),0),"Vast tarief",IF(LEFT(F31,8)="Bijdrage",VLOOKUP($F31,Tb_KostenTypen[],MATCH(Lijsten!$P$1,Tb_KostenTypen[#Headers],0),0),VLOOKUP($G31,Lijsten!L:P,MATCH(Lijsten!$P$1,Kop_Tarief_Vast,0),0))),""),"")</f>
        <v/>
      </c>
      <c r="L31" s="358"/>
      <c r="M31" s="358"/>
      <c r="N31" s="313"/>
      <c r="O31" s="313"/>
      <c r="P31" s="374" t="str">
        <f t="shared" si="1"/>
        <v/>
      </c>
      <c r="Q31" s="314" t="str">
        <f t="shared" si="2"/>
        <v/>
      </c>
      <c r="R31" s="314" t="str" cm="1">
        <f t="array" aca="1" ref="R31" ca="1">_xlfn.IFNA(_xlfn.IFS(X31="Dit kostentype hoeft u niet op te geven. Hiervoor wordt een forfait berekend.","",AND(J31&lt;&gt;"",H31="Vast tarief",F31="Vergoeding"),SUM(J31)*FLOOR(SUM(L31),0.0001),AND(J31&lt;&gt;"",OR(H31="Uurtarief",H31="Vast tarief")),SUM(J31)*FLOOR(SUM(L31),0.01),AND(N31&lt;&gt;"",H31="-"),FLOOR(SUM(N31),0.01)),"")</f>
        <v/>
      </c>
      <c r="S31" s="314" t="str" cm="1">
        <f t="array" aca="1" ref="S31" ca="1">_xlfn.IFNA(_xlfn.IFS(X31="Dit kostentype hoeft u niet op te geven. Hiervoor wordt een forfait berekend.","",AND(K31&lt;&gt;"",M31&lt;&gt;"",H31="Vast tarief",F31="Vergoeding"),SUM(K31)*FLOOR(SUM(M31),0.0001),AND(K31&lt;&gt;"",M31&lt;&gt;"",OR(H31="Uurtarief",H31="Vast tarief")),SUM(K31)*FLOOR(SUM(M31),0.01),AND(O31&lt;&gt;"",H31="-"),FLOOR(SUM(O31),0.01)),"")</f>
        <v/>
      </c>
      <c r="T31" s="314" t="str">
        <f t="shared" ca="1" si="3"/>
        <v/>
      </c>
      <c r="U31" s="314" t="str" cm="1">
        <f t="array" aca="1" ref="U31" ca="1">IFERROR(_xlfn.IFS(OR(F31="",LEFT(Methode_Keuze,4)="Geen",Methode_Keuze=""),"",AND(R31&lt;&gt;"",F31&lt;&gt;"Arbeidskosten"),R31*VLOOKUP(F31,Tb_ProjectKosten[],MATCH(Tb_ProjectKosten[[#Headers],[Forfait_Percentage]],Tb_ProjectKosten[#Headers],0),0),AND(F31="Arbeidskosten",G31&lt;&gt;""),IFERROR(R31*VLOOKUP(G31,Tb_KostenTypen[],3,0)*VLOOKUP(F31,Tb_ProjectKosten[],MATCH(Tb_ProjectKosten[[#Headers],[Forfait_Percentage]],Tb_ProjectKosten[#Headers],0),0),""),R31 &lt;=0,0),"")</f>
        <v/>
      </c>
      <c r="V31" s="314" t="str" cm="1">
        <f t="array" aca="1" ref="V31" ca="1">IFERROR(_xlfn.IFS(OR(F31="",LEFT(Methode_Keuze,4)="Geen",Methode_Keuze=""),"",AND(S31&lt;&gt;"",F31&lt;&gt;"Arbeidskosten"),S31*VLOOKUP(F31,Tb_ProjectKosten[],MATCH(Tb_ProjectKosten[[#Headers],[Forfait_Percentage]],Tb_ProjectKosten[#Headers],0),0),AND(F31="Arbeidskosten",G31&lt;&gt;""),IFERROR(S31*VLOOKUP(G31,Tb_KostenTypen[],3,0)*VLOOKUP(F31,Tb_ProjectKosten[],MATCH(Tb_ProjectKosten[[#Headers],[Forfait_Percentage]],Tb_ProjectKosten[#Headers],0),0),""),S31 &lt;=0,0),"")</f>
        <v/>
      </c>
      <c r="W31" s="314" t="str">
        <f t="shared" ca="1" si="4"/>
        <v/>
      </c>
      <c r="X31" s="376" t="str">
        <f>IFERROR(VLOOKUP(F31,Tb_ProjectKosten[#All],11,0),"")</f>
        <v/>
      </c>
      <c r="Y31" s="315"/>
    </row>
    <row r="32" spans="1:25" x14ac:dyDescent="0.25">
      <c r="A32" s="309">
        <f>MAX($A$5:A31)+1</f>
        <v>27</v>
      </c>
      <c r="B32" s="296"/>
      <c r="C32" s="296"/>
      <c r="D32" s="296"/>
      <c r="E32" s="296"/>
      <c r="F32" s="296"/>
      <c r="G32" s="327"/>
      <c r="H32" s="310" t="str">
        <f ca="1">IFERROR(IF(VLOOKUP(F32,Kostentypen!$A$3:$E$21,3,0)=0,"",IF(OR(F32="Arbeidskosten",F32="Vergoeding"),VLOOKUP(G32,Tb_KostenTypen[],2,0),VLOOKUP(F32,Kostentypen!$A$3:$E$20,3,0))),"")</f>
        <v/>
      </c>
      <c r="I32" s="311"/>
      <c r="J32" s="312" t="str" cm="1">
        <f t="array" ref="J32">_xlfn.IFNA(IF(INDEX(Tb_KostenOpties[],MATCH($F32,Tb_KostenOpties[KostenOptie],0),IFERROR(MATCH(Methode_Keuze,Tb_KostenOpties[#Headers],0),2))=1,_xlfn.SWITCH($H32,"Uurtarief",IF(OR(AND(RIGHT($F32,3)="IKS",VLOOKUP($I32,Loonkosten,2,0)="Ja"),AND(RIGHT($F32,3)&lt;&gt;"IKS",VLOOKUP($I32,Loonkosten,2,0)="Nee")), VLOOKUP($I32,Loonkosten,MATCH("Opgegeven uurtarief",'4. Rekenhulp loonkosten aanvr.'!$4:$4,0)),0),"Vast tarief",IF(LEFT(F32,8)="Bijdrage",VLOOKUP($F32,Tb_KostenTypen[],MATCH(Lijsten!$P$1,Tb_KostenTypen[#Headers],0),0),VLOOKUP($G32,Lijsten!L:P,MATCH(Lijsten!$P$1,Kop_Tarief_Vast,0),0))),""),"")</f>
        <v/>
      </c>
      <c r="K32" s="312" t="str" cm="1">
        <f t="array" ref="K32">_xlfn.IFNA(IF(INDEX(Tb_KostenOpties[],MATCH($F32,Tb_KostenOpties[KostenOptie],0),IFERROR(MATCH(Methode_Keuze,Tb_KostenOpties[#Headers],0),2))=1,_xlfn.SWITCH($H32,"Uurtarief",IF(OR(AND(RIGHT($F32,3)="IKS",VLOOKUP($I32,Loonkosten,2,0)="Ja"),AND(RIGHT($F32,3)&lt;&gt;"IKS",VLOOKUP($I32,Loonkosten,2,0)="Nee")), VLOOKUP($I32,Loonkosten,MATCH("Beoordeeld uurtarief",'4. Rekenhulp loonkosten aanvr.'!$4:$4,0),0),0),"Vast tarief",IF(LEFT(F32,8)="Bijdrage",VLOOKUP($F32,Tb_KostenTypen[],MATCH(Lijsten!$P$1,Tb_KostenTypen[#Headers],0),0),VLOOKUP($G32,Lijsten!L:P,MATCH(Lijsten!$P$1,Kop_Tarief_Vast,0),0))),""),"")</f>
        <v/>
      </c>
      <c r="L32" s="358"/>
      <c r="M32" s="358"/>
      <c r="N32" s="313"/>
      <c r="O32" s="313"/>
      <c r="P32" s="374" t="str">
        <f t="shared" si="1"/>
        <v/>
      </c>
      <c r="Q32" s="314" t="str">
        <f t="shared" si="2"/>
        <v/>
      </c>
      <c r="R32" s="314" t="str" cm="1">
        <f t="array" aca="1" ref="R32" ca="1">_xlfn.IFNA(_xlfn.IFS(X32="Dit kostentype hoeft u niet op te geven. Hiervoor wordt een forfait berekend.","",AND(J32&lt;&gt;"",H32="Vast tarief",F32="Vergoeding"),SUM(J32)*FLOOR(SUM(L32),0.0001),AND(J32&lt;&gt;"",OR(H32="Uurtarief",H32="Vast tarief")),SUM(J32)*FLOOR(SUM(L32),0.01),AND(N32&lt;&gt;"",H32="-"),FLOOR(SUM(N32),0.01)),"")</f>
        <v/>
      </c>
      <c r="S32" s="314" t="str" cm="1">
        <f t="array" aca="1" ref="S32" ca="1">_xlfn.IFNA(_xlfn.IFS(X32="Dit kostentype hoeft u niet op te geven. Hiervoor wordt een forfait berekend.","",AND(K32&lt;&gt;"",M32&lt;&gt;"",H32="Vast tarief",F32="Vergoeding"),SUM(K32)*FLOOR(SUM(M32),0.0001),AND(K32&lt;&gt;"",M32&lt;&gt;"",OR(H32="Uurtarief",H32="Vast tarief")),SUM(K32)*FLOOR(SUM(M32),0.01),AND(O32&lt;&gt;"",H32="-"),FLOOR(SUM(O32),0.01)),"")</f>
        <v/>
      </c>
      <c r="T32" s="314" t="str">
        <f t="shared" ca="1" si="3"/>
        <v/>
      </c>
      <c r="U32" s="314" t="str" cm="1">
        <f t="array" aca="1" ref="U32" ca="1">IFERROR(_xlfn.IFS(OR(F32="",LEFT(Methode_Keuze,4)="Geen",Methode_Keuze=""),"",AND(R32&lt;&gt;"",F32&lt;&gt;"Arbeidskosten"),R32*VLOOKUP(F32,Tb_ProjectKosten[],MATCH(Tb_ProjectKosten[[#Headers],[Forfait_Percentage]],Tb_ProjectKosten[#Headers],0),0),AND(F32="Arbeidskosten",G32&lt;&gt;""),IFERROR(R32*VLOOKUP(G32,Tb_KostenTypen[],3,0)*VLOOKUP(F32,Tb_ProjectKosten[],MATCH(Tb_ProjectKosten[[#Headers],[Forfait_Percentage]],Tb_ProjectKosten[#Headers],0),0),""),R32 &lt;=0,0),"")</f>
        <v/>
      </c>
      <c r="V32" s="314" t="str" cm="1">
        <f t="array" aca="1" ref="V32" ca="1">IFERROR(_xlfn.IFS(OR(F32="",LEFT(Methode_Keuze,4)="Geen",Methode_Keuze=""),"",AND(S32&lt;&gt;"",F32&lt;&gt;"Arbeidskosten"),S32*VLOOKUP(F32,Tb_ProjectKosten[],MATCH(Tb_ProjectKosten[[#Headers],[Forfait_Percentage]],Tb_ProjectKosten[#Headers],0),0),AND(F32="Arbeidskosten",G32&lt;&gt;""),IFERROR(S32*VLOOKUP(G32,Tb_KostenTypen[],3,0)*VLOOKUP(F32,Tb_ProjectKosten[],MATCH(Tb_ProjectKosten[[#Headers],[Forfait_Percentage]],Tb_ProjectKosten[#Headers],0),0),""),S32 &lt;=0,0),"")</f>
        <v/>
      </c>
      <c r="W32" s="314" t="str">
        <f t="shared" ca="1" si="4"/>
        <v/>
      </c>
      <c r="X32" s="376" t="str">
        <f>IFERROR(VLOOKUP(F32,Tb_ProjectKosten[#All],11,0),"")</f>
        <v/>
      </c>
      <c r="Y32" s="315"/>
    </row>
    <row r="33" spans="1:25" x14ac:dyDescent="0.25">
      <c r="A33" s="309">
        <f>MAX($A$5:A32)+1</f>
        <v>28</v>
      </c>
      <c r="B33" s="296"/>
      <c r="C33" s="296"/>
      <c r="D33" s="296"/>
      <c r="E33" s="296"/>
      <c r="F33" s="296"/>
      <c r="G33" s="327"/>
      <c r="H33" s="310" t="str">
        <f ca="1">IFERROR(IF(VLOOKUP(F33,Kostentypen!$A$3:$E$21,3,0)=0,"",IF(OR(F33="Arbeidskosten",F33="Vergoeding"),VLOOKUP(G33,Tb_KostenTypen[],2,0),VLOOKUP(F33,Kostentypen!$A$3:$E$20,3,0))),"")</f>
        <v/>
      </c>
      <c r="I33" s="311"/>
      <c r="J33" s="312" t="str" cm="1">
        <f t="array" ref="J33">_xlfn.IFNA(IF(INDEX(Tb_KostenOpties[],MATCH($F33,Tb_KostenOpties[KostenOptie],0),IFERROR(MATCH(Methode_Keuze,Tb_KostenOpties[#Headers],0),2))=1,_xlfn.SWITCH($H33,"Uurtarief",IF(OR(AND(RIGHT($F33,3)="IKS",VLOOKUP($I33,Loonkosten,2,0)="Ja"),AND(RIGHT($F33,3)&lt;&gt;"IKS",VLOOKUP($I33,Loonkosten,2,0)="Nee")), VLOOKUP($I33,Loonkosten,MATCH("Opgegeven uurtarief",'4. Rekenhulp loonkosten aanvr.'!$4:$4,0)),0),"Vast tarief",IF(LEFT(F33,8)="Bijdrage",VLOOKUP($F33,Tb_KostenTypen[],MATCH(Lijsten!$P$1,Tb_KostenTypen[#Headers],0),0),VLOOKUP($G33,Lijsten!L:P,MATCH(Lijsten!$P$1,Kop_Tarief_Vast,0),0))),""),"")</f>
        <v/>
      </c>
      <c r="K33" s="312" t="str" cm="1">
        <f t="array" ref="K33">_xlfn.IFNA(IF(INDEX(Tb_KostenOpties[],MATCH($F33,Tb_KostenOpties[KostenOptie],0),IFERROR(MATCH(Methode_Keuze,Tb_KostenOpties[#Headers],0),2))=1,_xlfn.SWITCH($H33,"Uurtarief",IF(OR(AND(RIGHT($F33,3)="IKS",VLOOKUP($I33,Loonkosten,2,0)="Ja"),AND(RIGHT($F33,3)&lt;&gt;"IKS",VLOOKUP($I33,Loonkosten,2,0)="Nee")), VLOOKUP($I33,Loonkosten,MATCH("Beoordeeld uurtarief",'4. Rekenhulp loonkosten aanvr.'!$4:$4,0),0),0),"Vast tarief",IF(LEFT(F33,8)="Bijdrage",VLOOKUP($F33,Tb_KostenTypen[],MATCH(Lijsten!$P$1,Tb_KostenTypen[#Headers],0),0),VLOOKUP($G33,Lijsten!L:P,MATCH(Lijsten!$P$1,Kop_Tarief_Vast,0),0))),""),"")</f>
        <v/>
      </c>
      <c r="L33" s="358"/>
      <c r="M33" s="358"/>
      <c r="N33" s="313"/>
      <c r="O33" s="313"/>
      <c r="P33" s="374" t="str">
        <f t="shared" si="1"/>
        <v/>
      </c>
      <c r="Q33" s="314" t="str">
        <f t="shared" si="2"/>
        <v/>
      </c>
      <c r="R33" s="314" t="str" cm="1">
        <f t="array" aca="1" ref="R33" ca="1">_xlfn.IFNA(_xlfn.IFS(X33="Dit kostentype hoeft u niet op te geven. Hiervoor wordt een forfait berekend.","",AND(J33&lt;&gt;"",H33="Vast tarief",F33="Vergoeding"),SUM(J33)*FLOOR(SUM(L33),0.0001),AND(J33&lt;&gt;"",OR(H33="Uurtarief",H33="Vast tarief")),SUM(J33)*FLOOR(SUM(L33),0.01),AND(N33&lt;&gt;"",H33="-"),FLOOR(SUM(N33),0.01)),"")</f>
        <v/>
      </c>
      <c r="S33" s="314" t="str" cm="1">
        <f t="array" aca="1" ref="S33" ca="1">_xlfn.IFNA(_xlfn.IFS(X33="Dit kostentype hoeft u niet op te geven. Hiervoor wordt een forfait berekend.","",AND(K33&lt;&gt;"",M33&lt;&gt;"",H33="Vast tarief",F33="Vergoeding"),SUM(K33)*FLOOR(SUM(M33),0.0001),AND(K33&lt;&gt;"",M33&lt;&gt;"",OR(H33="Uurtarief",H33="Vast tarief")),SUM(K33)*FLOOR(SUM(M33),0.01),AND(O33&lt;&gt;"",H33="-"),FLOOR(SUM(O33),0.01)),"")</f>
        <v/>
      </c>
      <c r="T33" s="314" t="str">
        <f t="shared" ca="1" si="3"/>
        <v/>
      </c>
      <c r="U33" s="314" t="str" cm="1">
        <f t="array" aca="1" ref="U33" ca="1">IFERROR(_xlfn.IFS(OR(F33="",LEFT(Methode_Keuze,4)="Geen",Methode_Keuze=""),"",AND(R33&lt;&gt;"",F33&lt;&gt;"Arbeidskosten"),R33*VLOOKUP(F33,Tb_ProjectKosten[],MATCH(Tb_ProjectKosten[[#Headers],[Forfait_Percentage]],Tb_ProjectKosten[#Headers],0),0),AND(F33="Arbeidskosten",G33&lt;&gt;""),IFERROR(R33*VLOOKUP(G33,Tb_KostenTypen[],3,0)*VLOOKUP(F33,Tb_ProjectKosten[],MATCH(Tb_ProjectKosten[[#Headers],[Forfait_Percentage]],Tb_ProjectKosten[#Headers],0),0),""),R33 &lt;=0,0),"")</f>
        <v/>
      </c>
      <c r="V33" s="314" t="str" cm="1">
        <f t="array" aca="1" ref="V33" ca="1">IFERROR(_xlfn.IFS(OR(F33="",LEFT(Methode_Keuze,4)="Geen",Methode_Keuze=""),"",AND(S33&lt;&gt;"",F33&lt;&gt;"Arbeidskosten"),S33*VLOOKUP(F33,Tb_ProjectKosten[],MATCH(Tb_ProjectKosten[[#Headers],[Forfait_Percentage]],Tb_ProjectKosten[#Headers],0),0),AND(F33="Arbeidskosten",G33&lt;&gt;""),IFERROR(S33*VLOOKUP(G33,Tb_KostenTypen[],3,0)*VLOOKUP(F33,Tb_ProjectKosten[],MATCH(Tb_ProjectKosten[[#Headers],[Forfait_Percentage]],Tb_ProjectKosten[#Headers],0),0),""),S33 &lt;=0,0),"")</f>
        <v/>
      </c>
      <c r="W33" s="314" t="str">
        <f t="shared" ca="1" si="4"/>
        <v/>
      </c>
      <c r="X33" s="376" t="str">
        <f>IFERROR(VLOOKUP(F33,Tb_ProjectKosten[#All],11,0),"")</f>
        <v/>
      </c>
      <c r="Y33" s="315"/>
    </row>
    <row r="34" spans="1:25" x14ac:dyDescent="0.25">
      <c r="A34" s="309">
        <f>MAX($A$5:A33)+1</f>
        <v>29</v>
      </c>
      <c r="B34" s="296"/>
      <c r="C34" s="296"/>
      <c r="D34" s="296"/>
      <c r="E34" s="296"/>
      <c r="F34" s="296"/>
      <c r="G34" s="327"/>
      <c r="H34" s="310" t="str">
        <f ca="1">IFERROR(IF(VLOOKUP(F34,Kostentypen!$A$3:$E$21,3,0)=0,"",IF(OR(F34="Arbeidskosten",F34="Vergoeding"),VLOOKUP(G34,Tb_KostenTypen[],2,0),VLOOKUP(F34,Kostentypen!$A$3:$E$20,3,0))),"")</f>
        <v/>
      </c>
      <c r="I34" s="311"/>
      <c r="J34" s="312" t="str" cm="1">
        <f t="array" ref="J34">_xlfn.IFNA(IF(INDEX(Tb_KostenOpties[],MATCH($F34,Tb_KostenOpties[KostenOptie],0),IFERROR(MATCH(Methode_Keuze,Tb_KostenOpties[#Headers],0),2))=1,_xlfn.SWITCH($H34,"Uurtarief",IF(OR(AND(RIGHT($F34,3)="IKS",VLOOKUP($I34,Loonkosten,2,0)="Ja"),AND(RIGHT($F34,3)&lt;&gt;"IKS",VLOOKUP($I34,Loonkosten,2,0)="Nee")), VLOOKUP($I34,Loonkosten,MATCH("Opgegeven uurtarief",'4. Rekenhulp loonkosten aanvr.'!$4:$4,0)),0),"Vast tarief",IF(LEFT(F34,8)="Bijdrage",VLOOKUP($F34,Tb_KostenTypen[],MATCH(Lijsten!$P$1,Tb_KostenTypen[#Headers],0),0),VLOOKUP($G34,Lijsten!L:P,MATCH(Lijsten!$P$1,Kop_Tarief_Vast,0),0))),""),"")</f>
        <v/>
      </c>
      <c r="K34" s="312" t="str" cm="1">
        <f t="array" ref="K34">_xlfn.IFNA(IF(INDEX(Tb_KostenOpties[],MATCH($F34,Tb_KostenOpties[KostenOptie],0),IFERROR(MATCH(Methode_Keuze,Tb_KostenOpties[#Headers],0),2))=1,_xlfn.SWITCH($H34,"Uurtarief",IF(OR(AND(RIGHT($F34,3)="IKS",VLOOKUP($I34,Loonkosten,2,0)="Ja"),AND(RIGHT($F34,3)&lt;&gt;"IKS",VLOOKUP($I34,Loonkosten,2,0)="Nee")), VLOOKUP($I34,Loonkosten,MATCH("Beoordeeld uurtarief",'4. Rekenhulp loonkosten aanvr.'!$4:$4,0),0),0),"Vast tarief",IF(LEFT(F34,8)="Bijdrage",VLOOKUP($F34,Tb_KostenTypen[],MATCH(Lijsten!$P$1,Tb_KostenTypen[#Headers],0),0),VLOOKUP($G34,Lijsten!L:P,MATCH(Lijsten!$P$1,Kop_Tarief_Vast,0),0))),""),"")</f>
        <v/>
      </c>
      <c r="L34" s="358"/>
      <c r="M34" s="358"/>
      <c r="N34" s="313"/>
      <c r="O34" s="313"/>
      <c r="P34" s="374" t="str">
        <f t="shared" si="1"/>
        <v/>
      </c>
      <c r="Q34" s="314" t="str">
        <f t="shared" si="2"/>
        <v/>
      </c>
      <c r="R34" s="314" t="str" cm="1">
        <f t="array" aca="1" ref="R34" ca="1">_xlfn.IFNA(_xlfn.IFS(X34="Dit kostentype hoeft u niet op te geven. Hiervoor wordt een forfait berekend.","",AND(J34&lt;&gt;"",H34="Vast tarief",F34="Vergoeding"),SUM(J34)*FLOOR(SUM(L34),0.0001),AND(J34&lt;&gt;"",OR(H34="Uurtarief",H34="Vast tarief")),SUM(J34)*FLOOR(SUM(L34),0.01),AND(N34&lt;&gt;"",H34="-"),FLOOR(SUM(N34),0.01)),"")</f>
        <v/>
      </c>
      <c r="S34" s="314" t="str" cm="1">
        <f t="array" aca="1" ref="S34" ca="1">_xlfn.IFNA(_xlfn.IFS(X34="Dit kostentype hoeft u niet op te geven. Hiervoor wordt een forfait berekend.","",AND(K34&lt;&gt;"",M34&lt;&gt;"",H34="Vast tarief",F34="Vergoeding"),SUM(K34)*FLOOR(SUM(M34),0.0001),AND(K34&lt;&gt;"",M34&lt;&gt;"",OR(H34="Uurtarief",H34="Vast tarief")),SUM(K34)*FLOOR(SUM(M34),0.01),AND(O34&lt;&gt;"",H34="-"),FLOOR(SUM(O34),0.01)),"")</f>
        <v/>
      </c>
      <c r="T34" s="314" t="str">
        <f t="shared" ca="1" si="3"/>
        <v/>
      </c>
      <c r="U34" s="314" t="str" cm="1">
        <f t="array" aca="1" ref="U34" ca="1">IFERROR(_xlfn.IFS(OR(F34="",LEFT(Methode_Keuze,4)="Geen",Methode_Keuze=""),"",AND(R34&lt;&gt;"",F34&lt;&gt;"Arbeidskosten"),R34*VLOOKUP(F34,Tb_ProjectKosten[],MATCH(Tb_ProjectKosten[[#Headers],[Forfait_Percentage]],Tb_ProjectKosten[#Headers],0),0),AND(F34="Arbeidskosten",G34&lt;&gt;""),IFERROR(R34*VLOOKUP(G34,Tb_KostenTypen[],3,0)*VLOOKUP(F34,Tb_ProjectKosten[],MATCH(Tb_ProjectKosten[[#Headers],[Forfait_Percentage]],Tb_ProjectKosten[#Headers],0),0),""),R34 &lt;=0,0),"")</f>
        <v/>
      </c>
      <c r="V34" s="314" t="str" cm="1">
        <f t="array" aca="1" ref="V34" ca="1">IFERROR(_xlfn.IFS(OR(F34="",LEFT(Methode_Keuze,4)="Geen",Methode_Keuze=""),"",AND(S34&lt;&gt;"",F34&lt;&gt;"Arbeidskosten"),S34*VLOOKUP(F34,Tb_ProjectKosten[],MATCH(Tb_ProjectKosten[[#Headers],[Forfait_Percentage]],Tb_ProjectKosten[#Headers],0),0),AND(F34="Arbeidskosten",G34&lt;&gt;""),IFERROR(S34*VLOOKUP(G34,Tb_KostenTypen[],3,0)*VLOOKUP(F34,Tb_ProjectKosten[],MATCH(Tb_ProjectKosten[[#Headers],[Forfait_Percentage]],Tb_ProjectKosten[#Headers],0),0),""),S34 &lt;=0,0),"")</f>
        <v/>
      </c>
      <c r="W34" s="314" t="str">
        <f t="shared" ca="1" si="4"/>
        <v/>
      </c>
      <c r="X34" s="376" t="str">
        <f>IFERROR(VLOOKUP(F34,Tb_ProjectKosten[#All],11,0),"")</f>
        <v/>
      </c>
      <c r="Y34" s="315"/>
    </row>
    <row r="35" spans="1:25" x14ac:dyDescent="0.25">
      <c r="A35" s="309">
        <f>MAX($A$5:A34)+1</f>
        <v>30</v>
      </c>
      <c r="B35" s="296"/>
      <c r="C35" s="296"/>
      <c r="D35" s="296"/>
      <c r="E35" s="296"/>
      <c r="F35" s="296"/>
      <c r="G35" s="327"/>
      <c r="H35" s="310" t="str">
        <f ca="1">IFERROR(IF(VLOOKUP(F35,Kostentypen!$A$3:$E$21,3,0)=0,"",IF(OR(F35="Arbeidskosten",F35="Vergoeding"),VLOOKUP(G35,Tb_KostenTypen[],2,0),VLOOKUP(F35,Kostentypen!$A$3:$E$20,3,0))),"")</f>
        <v/>
      </c>
      <c r="I35" s="311"/>
      <c r="J35" s="312" t="str" cm="1">
        <f t="array" ref="J35">_xlfn.IFNA(IF(INDEX(Tb_KostenOpties[],MATCH($F35,Tb_KostenOpties[KostenOptie],0),IFERROR(MATCH(Methode_Keuze,Tb_KostenOpties[#Headers],0),2))=1,_xlfn.SWITCH($H35,"Uurtarief",IF(OR(AND(RIGHT($F35,3)="IKS",VLOOKUP($I35,Loonkosten,2,0)="Ja"),AND(RIGHT($F35,3)&lt;&gt;"IKS",VLOOKUP($I35,Loonkosten,2,0)="Nee")), VLOOKUP($I35,Loonkosten,MATCH("Opgegeven uurtarief",'4. Rekenhulp loonkosten aanvr.'!$4:$4,0)),0),"Vast tarief",IF(LEFT(F35,8)="Bijdrage",VLOOKUP($F35,Tb_KostenTypen[],MATCH(Lijsten!$P$1,Tb_KostenTypen[#Headers],0),0),VLOOKUP($G35,Lijsten!L:P,MATCH(Lijsten!$P$1,Kop_Tarief_Vast,0),0))),""),"")</f>
        <v/>
      </c>
      <c r="K35" s="312" t="str" cm="1">
        <f t="array" ref="K35">_xlfn.IFNA(IF(INDEX(Tb_KostenOpties[],MATCH($F35,Tb_KostenOpties[KostenOptie],0),IFERROR(MATCH(Methode_Keuze,Tb_KostenOpties[#Headers],0),2))=1,_xlfn.SWITCH($H35,"Uurtarief",IF(OR(AND(RIGHT($F35,3)="IKS",VLOOKUP($I35,Loonkosten,2,0)="Ja"),AND(RIGHT($F35,3)&lt;&gt;"IKS",VLOOKUP($I35,Loonkosten,2,0)="Nee")), VLOOKUP($I35,Loonkosten,MATCH("Beoordeeld uurtarief",'4. Rekenhulp loonkosten aanvr.'!$4:$4,0),0),0),"Vast tarief",IF(LEFT(F35,8)="Bijdrage",VLOOKUP($F35,Tb_KostenTypen[],MATCH(Lijsten!$P$1,Tb_KostenTypen[#Headers],0),0),VLOOKUP($G35,Lijsten!L:P,MATCH(Lijsten!$P$1,Kop_Tarief_Vast,0),0))),""),"")</f>
        <v/>
      </c>
      <c r="L35" s="358"/>
      <c r="M35" s="358"/>
      <c r="N35" s="313"/>
      <c r="O35" s="313"/>
      <c r="P35" s="374" t="str">
        <f t="shared" si="1"/>
        <v/>
      </c>
      <c r="Q35" s="314" t="str">
        <f t="shared" si="2"/>
        <v/>
      </c>
      <c r="R35" s="314" t="str" cm="1">
        <f t="array" aca="1" ref="R35" ca="1">_xlfn.IFNA(_xlfn.IFS(X35="Dit kostentype hoeft u niet op te geven. Hiervoor wordt een forfait berekend.","",AND(J35&lt;&gt;"",H35="Vast tarief",F35="Vergoeding"),SUM(J35)*FLOOR(SUM(L35),0.0001),AND(J35&lt;&gt;"",OR(H35="Uurtarief",H35="Vast tarief")),SUM(J35)*FLOOR(SUM(L35),0.01),AND(N35&lt;&gt;"",H35="-"),FLOOR(SUM(N35),0.01)),"")</f>
        <v/>
      </c>
      <c r="S35" s="314" t="str" cm="1">
        <f t="array" aca="1" ref="S35" ca="1">_xlfn.IFNA(_xlfn.IFS(X35="Dit kostentype hoeft u niet op te geven. Hiervoor wordt een forfait berekend.","",AND(K35&lt;&gt;"",M35&lt;&gt;"",H35="Vast tarief",F35="Vergoeding"),SUM(K35)*FLOOR(SUM(M35),0.0001),AND(K35&lt;&gt;"",M35&lt;&gt;"",OR(H35="Uurtarief",H35="Vast tarief")),SUM(K35)*FLOOR(SUM(M35),0.01),AND(O35&lt;&gt;"",H35="-"),FLOOR(SUM(O35),0.01)),"")</f>
        <v/>
      </c>
      <c r="T35" s="314" t="str">
        <f t="shared" ca="1" si="3"/>
        <v/>
      </c>
      <c r="U35" s="314" t="str" cm="1">
        <f t="array" aca="1" ref="U35" ca="1">IFERROR(_xlfn.IFS(OR(F35="",LEFT(Methode_Keuze,4)="Geen",Methode_Keuze=""),"",AND(R35&lt;&gt;"",F35&lt;&gt;"Arbeidskosten"),R35*VLOOKUP(F35,Tb_ProjectKosten[],MATCH(Tb_ProjectKosten[[#Headers],[Forfait_Percentage]],Tb_ProjectKosten[#Headers],0),0),AND(F35="Arbeidskosten",G35&lt;&gt;""),IFERROR(R35*VLOOKUP(G35,Tb_KostenTypen[],3,0)*VLOOKUP(F35,Tb_ProjectKosten[],MATCH(Tb_ProjectKosten[[#Headers],[Forfait_Percentage]],Tb_ProjectKosten[#Headers],0),0),""),R35 &lt;=0,0),"")</f>
        <v/>
      </c>
      <c r="V35" s="314" t="str" cm="1">
        <f t="array" aca="1" ref="V35" ca="1">IFERROR(_xlfn.IFS(OR(F35="",LEFT(Methode_Keuze,4)="Geen",Methode_Keuze=""),"",AND(S35&lt;&gt;"",F35&lt;&gt;"Arbeidskosten"),S35*VLOOKUP(F35,Tb_ProjectKosten[],MATCH(Tb_ProjectKosten[[#Headers],[Forfait_Percentage]],Tb_ProjectKosten[#Headers],0),0),AND(F35="Arbeidskosten",G35&lt;&gt;""),IFERROR(S35*VLOOKUP(G35,Tb_KostenTypen[],3,0)*VLOOKUP(F35,Tb_ProjectKosten[],MATCH(Tb_ProjectKosten[[#Headers],[Forfait_Percentage]],Tb_ProjectKosten[#Headers],0),0),""),S35 &lt;=0,0),"")</f>
        <v/>
      </c>
      <c r="W35" s="314" t="str">
        <f t="shared" ca="1" si="4"/>
        <v/>
      </c>
      <c r="X35" s="376" t="str">
        <f>IFERROR(VLOOKUP(F35,Tb_ProjectKosten[#All],11,0),"")</f>
        <v/>
      </c>
      <c r="Y35" s="315"/>
    </row>
    <row r="36" spans="1:25" x14ac:dyDescent="0.25">
      <c r="A36" s="309">
        <f>MAX($A$5:A35)+1</f>
        <v>31</v>
      </c>
      <c r="B36" s="296"/>
      <c r="C36" s="296"/>
      <c r="D36" s="296"/>
      <c r="E36" s="296"/>
      <c r="F36" s="296"/>
      <c r="G36" s="327"/>
      <c r="H36" s="310" t="str">
        <f ca="1">IFERROR(IF(VLOOKUP(F36,Kostentypen!$A$3:$E$21,3,0)=0,"",IF(OR(F36="Arbeidskosten",F36="Vergoeding"),VLOOKUP(G36,Tb_KostenTypen[],2,0),VLOOKUP(F36,Kostentypen!$A$3:$E$20,3,0))),"")</f>
        <v/>
      </c>
      <c r="I36" s="311"/>
      <c r="J36" s="312" t="str" cm="1">
        <f t="array" ref="J36">_xlfn.IFNA(IF(INDEX(Tb_KostenOpties[],MATCH($F36,Tb_KostenOpties[KostenOptie],0),IFERROR(MATCH(Methode_Keuze,Tb_KostenOpties[#Headers],0),2))=1,_xlfn.SWITCH($H36,"Uurtarief",IF(OR(AND(RIGHT($F36,3)="IKS",VLOOKUP($I36,Loonkosten,2,0)="Ja"),AND(RIGHT($F36,3)&lt;&gt;"IKS",VLOOKUP($I36,Loonkosten,2,0)="Nee")), VLOOKUP($I36,Loonkosten,MATCH("Opgegeven uurtarief",'4. Rekenhulp loonkosten aanvr.'!$4:$4,0)),0),"Vast tarief",IF(LEFT(F36,8)="Bijdrage",VLOOKUP($F36,Tb_KostenTypen[],MATCH(Lijsten!$P$1,Tb_KostenTypen[#Headers],0),0),VLOOKUP($G36,Lijsten!L:P,MATCH(Lijsten!$P$1,Kop_Tarief_Vast,0),0))),""),"")</f>
        <v/>
      </c>
      <c r="K36" s="312" t="str" cm="1">
        <f t="array" ref="K36">_xlfn.IFNA(IF(INDEX(Tb_KostenOpties[],MATCH($F36,Tb_KostenOpties[KostenOptie],0),IFERROR(MATCH(Methode_Keuze,Tb_KostenOpties[#Headers],0),2))=1,_xlfn.SWITCH($H36,"Uurtarief",IF(OR(AND(RIGHT($F36,3)="IKS",VLOOKUP($I36,Loonkosten,2,0)="Ja"),AND(RIGHT($F36,3)&lt;&gt;"IKS",VLOOKUP($I36,Loonkosten,2,0)="Nee")), VLOOKUP($I36,Loonkosten,MATCH("Beoordeeld uurtarief",'4. Rekenhulp loonkosten aanvr.'!$4:$4,0),0),0),"Vast tarief",IF(LEFT(F36,8)="Bijdrage",VLOOKUP($F36,Tb_KostenTypen[],MATCH(Lijsten!$P$1,Tb_KostenTypen[#Headers],0),0),VLOOKUP($G36,Lijsten!L:P,MATCH(Lijsten!$P$1,Kop_Tarief_Vast,0),0))),""),"")</f>
        <v/>
      </c>
      <c r="L36" s="358"/>
      <c r="M36" s="358"/>
      <c r="N36" s="313"/>
      <c r="O36" s="313"/>
      <c r="P36" s="374" t="str">
        <f t="shared" si="1"/>
        <v/>
      </c>
      <c r="Q36" s="314" t="str">
        <f t="shared" si="2"/>
        <v/>
      </c>
      <c r="R36" s="314" t="str" cm="1">
        <f t="array" aca="1" ref="R36" ca="1">_xlfn.IFNA(_xlfn.IFS(X36="Dit kostentype hoeft u niet op te geven. Hiervoor wordt een forfait berekend.","",AND(J36&lt;&gt;"",H36="Vast tarief",F36="Vergoeding"),SUM(J36)*FLOOR(SUM(L36),0.0001),AND(J36&lt;&gt;"",OR(H36="Uurtarief",H36="Vast tarief")),SUM(J36)*FLOOR(SUM(L36),0.01),AND(N36&lt;&gt;"",H36="-"),FLOOR(SUM(N36),0.01)),"")</f>
        <v/>
      </c>
      <c r="S36" s="314" t="str" cm="1">
        <f t="array" aca="1" ref="S36" ca="1">_xlfn.IFNA(_xlfn.IFS(X36="Dit kostentype hoeft u niet op te geven. Hiervoor wordt een forfait berekend.","",AND(K36&lt;&gt;"",M36&lt;&gt;"",H36="Vast tarief",F36="Vergoeding"),SUM(K36)*FLOOR(SUM(M36),0.0001),AND(K36&lt;&gt;"",M36&lt;&gt;"",OR(H36="Uurtarief",H36="Vast tarief")),SUM(K36)*FLOOR(SUM(M36),0.01),AND(O36&lt;&gt;"",H36="-"),FLOOR(SUM(O36),0.01)),"")</f>
        <v/>
      </c>
      <c r="T36" s="314" t="str">
        <f t="shared" ca="1" si="3"/>
        <v/>
      </c>
      <c r="U36" s="314" t="str" cm="1">
        <f t="array" aca="1" ref="U36" ca="1">IFERROR(_xlfn.IFS(OR(F36="",LEFT(Methode_Keuze,4)="Geen",Methode_Keuze=""),"",AND(R36&lt;&gt;"",F36&lt;&gt;"Arbeidskosten"),R36*VLOOKUP(F36,Tb_ProjectKosten[],MATCH(Tb_ProjectKosten[[#Headers],[Forfait_Percentage]],Tb_ProjectKosten[#Headers],0),0),AND(F36="Arbeidskosten",G36&lt;&gt;""),IFERROR(R36*VLOOKUP(G36,Tb_KostenTypen[],3,0)*VLOOKUP(F36,Tb_ProjectKosten[],MATCH(Tb_ProjectKosten[[#Headers],[Forfait_Percentage]],Tb_ProjectKosten[#Headers],0),0),""),R36 &lt;=0,0),"")</f>
        <v/>
      </c>
      <c r="V36" s="314" t="str" cm="1">
        <f t="array" aca="1" ref="V36" ca="1">IFERROR(_xlfn.IFS(OR(F36="",LEFT(Methode_Keuze,4)="Geen",Methode_Keuze=""),"",AND(S36&lt;&gt;"",F36&lt;&gt;"Arbeidskosten"),S36*VLOOKUP(F36,Tb_ProjectKosten[],MATCH(Tb_ProjectKosten[[#Headers],[Forfait_Percentage]],Tb_ProjectKosten[#Headers],0),0),AND(F36="Arbeidskosten",G36&lt;&gt;""),IFERROR(S36*VLOOKUP(G36,Tb_KostenTypen[],3,0)*VLOOKUP(F36,Tb_ProjectKosten[],MATCH(Tb_ProjectKosten[[#Headers],[Forfait_Percentage]],Tb_ProjectKosten[#Headers],0),0),""),S36 &lt;=0,0),"")</f>
        <v/>
      </c>
      <c r="W36" s="314" t="str">
        <f t="shared" ca="1" si="4"/>
        <v/>
      </c>
      <c r="X36" s="376" t="str">
        <f>IFERROR(VLOOKUP(F36,Tb_ProjectKosten[#All],11,0),"")</f>
        <v/>
      </c>
      <c r="Y36" s="315"/>
    </row>
    <row r="37" spans="1:25" x14ac:dyDescent="0.25">
      <c r="A37" s="309">
        <f>MAX($A$5:A36)+1</f>
        <v>32</v>
      </c>
      <c r="B37" s="296"/>
      <c r="C37" s="296"/>
      <c r="D37" s="296"/>
      <c r="E37" s="296"/>
      <c r="F37" s="296"/>
      <c r="G37" s="327"/>
      <c r="H37" s="310" t="str">
        <f ca="1">IFERROR(IF(VLOOKUP(F37,Kostentypen!$A$3:$E$21,3,0)=0,"",IF(OR(F37="Arbeidskosten",F37="Vergoeding"),VLOOKUP(G37,Tb_KostenTypen[],2,0),VLOOKUP(F37,Kostentypen!$A$3:$E$20,3,0))),"")</f>
        <v/>
      </c>
      <c r="I37" s="311"/>
      <c r="J37" s="312" t="str" cm="1">
        <f t="array" ref="J37">_xlfn.IFNA(IF(INDEX(Tb_KostenOpties[],MATCH($F37,Tb_KostenOpties[KostenOptie],0),IFERROR(MATCH(Methode_Keuze,Tb_KostenOpties[#Headers],0),2))=1,_xlfn.SWITCH($H37,"Uurtarief",IF(OR(AND(RIGHT($F37,3)="IKS",VLOOKUP($I37,Loonkosten,2,0)="Ja"),AND(RIGHT($F37,3)&lt;&gt;"IKS",VLOOKUP($I37,Loonkosten,2,0)="Nee")), VLOOKUP($I37,Loonkosten,MATCH("Opgegeven uurtarief",'4. Rekenhulp loonkosten aanvr.'!$4:$4,0)),0),"Vast tarief",IF(LEFT(F37,8)="Bijdrage",VLOOKUP($F37,Tb_KostenTypen[],MATCH(Lijsten!$P$1,Tb_KostenTypen[#Headers],0),0),VLOOKUP($G37,Lijsten!L:P,MATCH(Lijsten!$P$1,Kop_Tarief_Vast,0),0))),""),"")</f>
        <v/>
      </c>
      <c r="K37" s="312" t="str" cm="1">
        <f t="array" ref="K37">_xlfn.IFNA(IF(INDEX(Tb_KostenOpties[],MATCH($F37,Tb_KostenOpties[KostenOptie],0),IFERROR(MATCH(Methode_Keuze,Tb_KostenOpties[#Headers],0),2))=1,_xlfn.SWITCH($H37,"Uurtarief",IF(OR(AND(RIGHT($F37,3)="IKS",VLOOKUP($I37,Loonkosten,2,0)="Ja"),AND(RIGHT($F37,3)&lt;&gt;"IKS",VLOOKUP($I37,Loonkosten,2,0)="Nee")), VLOOKUP($I37,Loonkosten,MATCH("Beoordeeld uurtarief",'4. Rekenhulp loonkosten aanvr.'!$4:$4,0),0),0),"Vast tarief",IF(LEFT(F37,8)="Bijdrage",VLOOKUP($F37,Tb_KostenTypen[],MATCH(Lijsten!$P$1,Tb_KostenTypen[#Headers],0),0),VLOOKUP($G37,Lijsten!L:P,MATCH(Lijsten!$P$1,Kop_Tarief_Vast,0),0))),""),"")</f>
        <v/>
      </c>
      <c r="L37" s="358"/>
      <c r="M37" s="358"/>
      <c r="N37" s="313"/>
      <c r="O37" s="313"/>
      <c r="P37" s="374" t="str">
        <f t="shared" si="1"/>
        <v/>
      </c>
      <c r="Q37" s="314" t="str">
        <f t="shared" si="2"/>
        <v/>
      </c>
      <c r="R37" s="314" t="str" cm="1">
        <f t="array" aca="1" ref="R37" ca="1">_xlfn.IFNA(_xlfn.IFS(X37="Dit kostentype hoeft u niet op te geven. Hiervoor wordt een forfait berekend.","",AND(J37&lt;&gt;"",H37="Vast tarief",F37="Vergoeding"),SUM(J37)*FLOOR(SUM(L37),0.0001),AND(J37&lt;&gt;"",OR(H37="Uurtarief",H37="Vast tarief")),SUM(J37)*FLOOR(SUM(L37),0.01),AND(N37&lt;&gt;"",H37="-"),FLOOR(SUM(N37),0.01)),"")</f>
        <v/>
      </c>
      <c r="S37" s="314" t="str" cm="1">
        <f t="array" aca="1" ref="S37" ca="1">_xlfn.IFNA(_xlfn.IFS(X37="Dit kostentype hoeft u niet op te geven. Hiervoor wordt een forfait berekend.","",AND(K37&lt;&gt;"",M37&lt;&gt;"",H37="Vast tarief",F37="Vergoeding"),SUM(K37)*FLOOR(SUM(M37),0.0001),AND(K37&lt;&gt;"",M37&lt;&gt;"",OR(H37="Uurtarief",H37="Vast tarief")),SUM(K37)*FLOOR(SUM(M37),0.01),AND(O37&lt;&gt;"",H37="-"),FLOOR(SUM(O37),0.01)),"")</f>
        <v/>
      </c>
      <c r="T37" s="314" t="str">
        <f t="shared" ca="1" si="3"/>
        <v/>
      </c>
      <c r="U37" s="314" t="str" cm="1">
        <f t="array" aca="1" ref="U37" ca="1">IFERROR(_xlfn.IFS(OR(F37="",LEFT(Methode_Keuze,4)="Geen",Methode_Keuze=""),"",AND(R37&lt;&gt;"",F37&lt;&gt;"Arbeidskosten"),R37*VLOOKUP(F37,Tb_ProjectKosten[],MATCH(Tb_ProjectKosten[[#Headers],[Forfait_Percentage]],Tb_ProjectKosten[#Headers],0),0),AND(F37="Arbeidskosten",G37&lt;&gt;""),IFERROR(R37*VLOOKUP(G37,Tb_KostenTypen[],3,0)*VLOOKUP(F37,Tb_ProjectKosten[],MATCH(Tb_ProjectKosten[[#Headers],[Forfait_Percentage]],Tb_ProjectKosten[#Headers],0),0),""),R37 &lt;=0,0),"")</f>
        <v/>
      </c>
      <c r="V37" s="314" t="str" cm="1">
        <f t="array" aca="1" ref="V37" ca="1">IFERROR(_xlfn.IFS(OR(F37="",LEFT(Methode_Keuze,4)="Geen",Methode_Keuze=""),"",AND(S37&lt;&gt;"",F37&lt;&gt;"Arbeidskosten"),S37*VLOOKUP(F37,Tb_ProjectKosten[],MATCH(Tb_ProjectKosten[[#Headers],[Forfait_Percentage]],Tb_ProjectKosten[#Headers],0),0),AND(F37="Arbeidskosten",G37&lt;&gt;""),IFERROR(S37*VLOOKUP(G37,Tb_KostenTypen[],3,0)*VLOOKUP(F37,Tb_ProjectKosten[],MATCH(Tb_ProjectKosten[[#Headers],[Forfait_Percentage]],Tb_ProjectKosten[#Headers],0),0),""),S37 &lt;=0,0),"")</f>
        <v/>
      </c>
      <c r="W37" s="314" t="str">
        <f t="shared" ca="1" si="4"/>
        <v/>
      </c>
      <c r="X37" s="376" t="str">
        <f>IFERROR(VLOOKUP(F37,Tb_ProjectKosten[#All],11,0),"")</f>
        <v/>
      </c>
      <c r="Y37" s="315"/>
    </row>
    <row r="38" spans="1:25" x14ac:dyDescent="0.25">
      <c r="A38" s="309">
        <f>MAX($A$5:A37)+1</f>
        <v>33</v>
      </c>
      <c r="B38" s="296"/>
      <c r="C38" s="296"/>
      <c r="D38" s="296"/>
      <c r="E38" s="296"/>
      <c r="F38" s="296"/>
      <c r="G38" s="327"/>
      <c r="H38" s="310" t="str">
        <f ca="1">IFERROR(IF(VLOOKUP(F38,Kostentypen!$A$3:$E$21,3,0)=0,"",IF(OR(F38="Arbeidskosten",F38="Vergoeding"),VLOOKUP(G38,Tb_KostenTypen[],2,0),VLOOKUP(F38,Kostentypen!$A$3:$E$20,3,0))),"")</f>
        <v/>
      </c>
      <c r="I38" s="311"/>
      <c r="J38" s="312" t="str" cm="1">
        <f t="array" ref="J38">_xlfn.IFNA(IF(INDEX(Tb_KostenOpties[],MATCH($F38,Tb_KostenOpties[KostenOptie],0),IFERROR(MATCH(Methode_Keuze,Tb_KostenOpties[#Headers],0),2))=1,_xlfn.SWITCH($H38,"Uurtarief",IF(OR(AND(RIGHT($F38,3)="IKS",VLOOKUP($I38,Loonkosten,2,0)="Ja"),AND(RIGHT($F38,3)&lt;&gt;"IKS",VLOOKUP($I38,Loonkosten,2,0)="Nee")), VLOOKUP($I38,Loonkosten,MATCH("Opgegeven uurtarief",'4. Rekenhulp loonkosten aanvr.'!$4:$4,0)),0),"Vast tarief",IF(LEFT(F38,8)="Bijdrage",VLOOKUP($F38,Tb_KostenTypen[],MATCH(Lijsten!$P$1,Tb_KostenTypen[#Headers],0),0),VLOOKUP($G38,Lijsten!L:P,MATCH(Lijsten!$P$1,Kop_Tarief_Vast,0),0))),""),"")</f>
        <v/>
      </c>
      <c r="K38" s="312" t="str" cm="1">
        <f t="array" ref="K38">_xlfn.IFNA(IF(INDEX(Tb_KostenOpties[],MATCH($F38,Tb_KostenOpties[KostenOptie],0),IFERROR(MATCH(Methode_Keuze,Tb_KostenOpties[#Headers],0),2))=1,_xlfn.SWITCH($H38,"Uurtarief",IF(OR(AND(RIGHT($F38,3)="IKS",VLOOKUP($I38,Loonkosten,2,0)="Ja"),AND(RIGHT($F38,3)&lt;&gt;"IKS",VLOOKUP($I38,Loonkosten,2,0)="Nee")), VLOOKUP($I38,Loonkosten,MATCH("Beoordeeld uurtarief",'4. Rekenhulp loonkosten aanvr.'!$4:$4,0),0),0),"Vast tarief",IF(LEFT(F38,8)="Bijdrage",VLOOKUP($F38,Tb_KostenTypen[],MATCH(Lijsten!$P$1,Tb_KostenTypen[#Headers],0),0),VLOOKUP($G38,Lijsten!L:P,MATCH(Lijsten!$P$1,Kop_Tarief_Vast,0),0))),""),"")</f>
        <v/>
      </c>
      <c r="L38" s="358"/>
      <c r="M38" s="358"/>
      <c r="N38" s="313"/>
      <c r="O38" s="313"/>
      <c r="P38" s="374" t="str">
        <f t="shared" si="1"/>
        <v/>
      </c>
      <c r="Q38" s="314" t="str">
        <f t="shared" si="2"/>
        <v/>
      </c>
      <c r="R38" s="314" t="str" cm="1">
        <f t="array" aca="1" ref="R38" ca="1">_xlfn.IFNA(_xlfn.IFS(X38="Dit kostentype hoeft u niet op te geven. Hiervoor wordt een forfait berekend.","",AND(J38&lt;&gt;"",H38="Vast tarief",F38="Vergoeding"),SUM(J38)*FLOOR(SUM(L38),0.0001),AND(J38&lt;&gt;"",OR(H38="Uurtarief",H38="Vast tarief")),SUM(J38)*FLOOR(SUM(L38),0.01),AND(N38&lt;&gt;"",H38="-"),FLOOR(SUM(N38),0.01)),"")</f>
        <v/>
      </c>
      <c r="S38" s="314" t="str" cm="1">
        <f t="array" aca="1" ref="S38" ca="1">_xlfn.IFNA(_xlfn.IFS(X38="Dit kostentype hoeft u niet op te geven. Hiervoor wordt een forfait berekend.","",AND(K38&lt;&gt;"",M38&lt;&gt;"",H38="Vast tarief",F38="Vergoeding"),SUM(K38)*FLOOR(SUM(M38),0.0001),AND(K38&lt;&gt;"",M38&lt;&gt;"",OR(H38="Uurtarief",H38="Vast tarief")),SUM(K38)*FLOOR(SUM(M38),0.01),AND(O38&lt;&gt;"",H38="-"),FLOOR(SUM(O38),0.01)),"")</f>
        <v/>
      </c>
      <c r="T38" s="314" t="str">
        <f t="shared" ca="1" si="3"/>
        <v/>
      </c>
      <c r="U38" s="314" t="str" cm="1">
        <f t="array" aca="1" ref="U38" ca="1">IFERROR(_xlfn.IFS(OR(F38="",LEFT(Methode_Keuze,4)="Geen",Methode_Keuze=""),"",AND(R38&lt;&gt;"",F38&lt;&gt;"Arbeidskosten"),R38*VLOOKUP(F38,Tb_ProjectKosten[],MATCH(Tb_ProjectKosten[[#Headers],[Forfait_Percentage]],Tb_ProjectKosten[#Headers],0),0),AND(F38="Arbeidskosten",G38&lt;&gt;""),IFERROR(R38*VLOOKUP(G38,Tb_KostenTypen[],3,0)*VLOOKUP(F38,Tb_ProjectKosten[],MATCH(Tb_ProjectKosten[[#Headers],[Forfait_Percentage]],Tb_ProjectKosten[#Headers],0),0),""),R38 &lt;=0,0),"")</f>
        <v/>
      </c>
      <c r="V38" s="314" t="str" cm="1">
        <f t="array" aca="1" ref="V38" ca="1">IFERROR(_xlfn.IFS(OR(F38="",LEFT(Methode_Keuze,4)="Geen",Methode_Keuze=""),"",AND(S38&lt;&gt;"",F38&lt;&gt;"Arbeidskosten"),S38*VLOOKUP(F38,Tb_ProjectKosten[],MATCH(Tb_ProjectKosten[[#Headers],[Forfait_Percentage]],Tb_ProjectKosten[#Headers],0),0),AND(F38="Arbeidskosten",G38&lt;&gt;""),IFERROR(S38*VLOOKUP(G38,Tb_KostenTypen[],3,0)*VLOOKUP(F38,Tb_ProjectKosten[],MATCH(Tb_ProjectKosten[[#Headers],[Forfait_Percentage]],Tb_ProjectKosten[#Headers],0),0),""),S38 &lt;=0,0),"")</f>
        <v/>
      </c>
      <c r="W38" s="314" t="str">
        <f t="shared" ca="1" si="4"/>
        <v/>
      </c>
      <c r="X38" s="376" t="str">
        <f>IFERROR(VLOOKUP(F38,Tb_ProjectKosten[#All],11,0),"")</f>
        <v/>
      </c>
      <c r="Y38" s="315"/>
    </row>
    <row r="39" spans="1:25" x14ac:dyDescent="0.25">
      <c r="A39" s="309">
        <f>MAX($A$5:A38)+1</f>
        <v>34</v>
      </c>
      <c r="B39" s="296"/>
      <c r="C39" s="296"/>
      <c r="D39" s="296"/>
      <c r="E39" s="296"/>
      <c r="F39" s="296"/>
      <c r="G39" s="327"/>
      <c r="H39" s="310" t="str">
        <f ca="1">IFERROR(IF(VLOOKUP(F39,Kostentypen!$A$3:$E$21,3,0)=0,"",IF(OR(F39="Arbeidskosten",F39="Vergoeding"),VLOOKUP(G39,Tb_KostenTypen[],2,0),VLOOKUP(F39,Kostentypen!$A$3:$E$20,3,0))),"")</f>
        <v/>
      </c>
      <c r="I39" s="311"/>
      <c r="J39" s="312" t="str" cm="1">
        <f t="array" ref="J39">_xlfn.IFNA(IF(INDEX(Tb_KostenOpties[],MATCH($F39,Tb_KostenOpties[KostenOptie],0),IFERROR(MATCH(Methode_Keuze,Tb_KostenOpties[#Headers],0),2))=1,_xlfn.SWITCH($H39,"Uurtarief",IF(OR(AND(RIGHT($F39,3)="IKS",VLOOKUP($I39,Loonkosten,2,0)="Ja"),AND(RIGHT($F39,3)&lt;&gt;"IKS",VLOOKUP($I39,Loonkosten,2,0)="Nee")), VLOOKUP($I39,Loonkosten,MATCH("Opgegeven uurtarief",'4. Rekenhulp loonkosten aanvr.'!$4:$4,0)),0),"Vast tarief",IF(LEFT(F39,8)="Bijdrage",VLOOKUP($F39,Tb_KostenTypen[],MATCH(Lijsten!$P$1,Tb_KostenTypen[#Headers],0),0),VLOOKUP($G39,Lijsten!L:P,MATCH(Lijsten!$P$1,Kop_Tarief_Vast,0),0))),""),"")</f>
        <v/>
      </c>
      <c r="K39" s="312" t="str" cm="1">
        <f t="array" ref="K39">_xlfn.IFNA(IF(INDEX(Tb_KostenOpties[],MATCH($F39,Tb_KostenOpties[KostenOptie],0),IFERROR(MATCH(Methode_Keuze,Tb_KostenOpties[#Headers],0),2))=1,_xlfn.SWITCH($H39,"Uurtarief",IF(OR(AND(RIGHT($F39,3)="IKS",VLOOKUP($I39,Loonkosten,2,0)="Ja"),AND(RIGHT($F39,3)&lt;&gt;"IKS",VLOOKUP($I39,Loonkosten,2,0)="Nee")), VLOOKUP($I39,Loonkosten,MATCH("Beoordeeld uurtarief",'4. Rekenhulp loonkosten aanvr.'!$4:$4,0),0),0),"Vast tarief",IF(LEFT(F39,8)="Bijdrage",VLOOKUP($F39,Tb_KostenTypen[],MATCH(Lijsten!$P$1,Tb_KostenTypen[#Headers],0),0),VLOOKUP($G39,Lijsten!L:P,MATCH(Lijsten!$P$1,Kop_Tarief_Vast,0),0))),""),"")</f>
        <v/>
      </c>
      <c r="L39" s="358"/>
      <c r="M39" s="358"/>
      <c r="N39" s="313"/>
      <c r="O39" s="313"/>
      <c r="P39" s="374" t="str">
        <f t="shared" si="1"/>
        <v/>
      </c>
      <c r="Q39" s="314" t="str">
        <f t="shared" si="2"/>
        <v/>
      </c>
      <c r="R39" s="314" t="str" cm="1">
        <f t="array" aca="1" ref="R39" ca="1">_xlfn.IFNA(_xlfn.IFS(X39="Dit kostentype hoeft u niet op te geven. Hiervoor wordt een forfait berekend.","",AND(J39&lt;&gt;"",H39="Vast tarief",F39="Vergoeding"),SUM(J39)*FLOOR(SUM(L39),0.0001),AND(J39&lt;&gt;"",OR(H39="Uurtarief",H39="Vast tarief")),SUM(J39)*FLOOR(SUM(L39),0.01),AND(N39&lt;&gt;"",H39="-"),FLOOR(SUM(N39),0.01)),"")</f>
        <v/>
      </c>
      <c r="S39" s="314" t="str" cm="1">
        <f t="array" aca="1" ref="S39" ca="1">_xlfn.IFNA(_xlfn.IFS(X39="Dit kostentype hoeft u niet op te geven. Hiervoor wordt een forfait berekend.","",AND(K39&lt;&gt;"",M39&lt;&gt;"",H39="Vast tarief",F39="Vergoeding"),SUM(K39)*FLOOR(SUM(M39),0.0001),AND(K39&lt;&gt;"",M39&lt;&gt;"",OR(H39="Uurtarief",H39="Vast tarief")),SUM(K39)*FLOOR(SUM(M39),0.01),AND(O39&lt;&gt;"",H39="-"),FLOOR(SUM(O39),0.01)),"")</f>
        <v/>
      </c>
      <c r="T39" s="314" t="str">
        <f t="shared" ca="1" si="3"/>
        <v/>
      </c>
      <c r="U39" s="314" t="str" cm="1">
        <f t="array" aca="1" ref="U39" ca="1">IFERROR(_xlfn.IFS(OR(F39="",LEFT(Methode_Keuze,4)="Geen",Methode_Keuze=""),"",AND(R39&lt;&gt;"",F39&lt;&gt;"Arbeidskosten"),R39*VLOOKUP(F39,Tb_ProjectKosten[],MATCH(Tb_ProjectKosten[[#Headers],[Forfait_Percentage]],Tb_ProjectKosten[#Headers],0),0),AND(F39="Arbeidskosten",G39&lt;&gt;""),IFERROR(R39*VLOOKUP(G39,Tb_KostenTypen[],3,0)*VLOOKUP(F39,Tb_ProjectKosten[],MATCH(Tb_ProjectKosten[[#Headers],[Forfait_Percentage]],Tb_ProjectKosten[#Headers],0),0),""),R39 &lt;=0,0),"")</f>
        <v/>
      </c>
      <c r="V39" s="314" t="str" cm="1">
        <f t="array" aca="1" ref="V39" ca="1">IFERROR(_xlfn.IFS(OR(F39="",LEFT(Methode_Keuze,4)="Geen",Methode_Keuze=""),"",AND(S39&lt;&gt;"",F39&lt;&gt;"Arbeidskosten"),S39*VLOOKUP(F39,Tb_ProjectKosten[],MATCH(Tb_ProjectKosten[[#Headers],[Forfait_Percentage]],Tb_ProjectKosten[#Headers],0),0),AND(F39="Arbeidskosten",G39&lt;&gt;""),IFERROR(S39*VLOOKUP(G39,Tb_KostenTypen[],3,0)*VLOOKUP(F39,Tb_ProjectKosten[],MATCH(Tb_ProjectKosten[[#Headers],[Forfait_Percentage]],Tb_ProjectKosten[#Headers],0),0),""),S39 &lt;=0,0),"")</f>
        <v/>
      </c>
      <c r="W39" s="314" t="str">
        <f t="shared" ca="1" si="4"/>
        <v/>
      </c>
      <c r="X39" s="376" t="str">
        <f>IFERROR(VLOOKUP(F39,Tb_ProjectKosten[#All],11,0),"")</f>
        <v/>
      </c>
      <c r="Y39" s="315"/>
    </row>
    <row r="40" spans="1:25" x14ac:dyDescent="0.25">
      <c r="A40" s="309">
        <f>MAX($A$5:A39)+1</f>
        <v>35</v>
      </c>
      <c r="B40" s="296"/>
      <c r="C40" s="296"/>
      <c r="D40" s="296"/>
      <c r="E40" s="296"/>
      <c r="F40" s="296"/>
      <c r="G40" s="327"/>
      <c r="H40" s="310" t="str">
        <f ca="1">IFERROR(IF(VLOOKUP(F40,Kostentypen!$A$3:$E$21,3,0)=0,"",IF(OR(F40="Arbeidskosten",F40="Vergoeding"),VLOOKUP(G40,Tb_KostenTypen[],2,0),VLOOKUP(F40,Kostentypen!$A$3:$E$20,3,0))),"")</f>
        <v/>
      </c>
      <c r="I40" s="311"/>
      <c r="J40" s="312" t="str" cm="1">
        <f t="array" ref="J40">_xlfn.IFNA(IF(INDEX(Tb_KostenOpties[],MATCH($F40,Tb_KostenOpties[KostenOptie],0),IFERROR(MATCH(Methode_Keuze,Tb_KostenOpties[#Headers],0),2))=1,_xlfn.SWITCH($H40,"Uurtarief",IF(OR(AND(RIGHT($F40,3)="IKS",VLOOKUP($I40,Loonkosten,2,0)="Ja"),AND(RIGHT($F40,3)&lt;&gt;"IKS",VLOOKUP($I40,Loonkosten,2,0)="Nee")), VLOOKUP($I40,Loonkosten,MATCH("Opgegeven uurtarief",'4. Rekenhulp loonkosten aanvr.'!$4:$4,0)),0),"Vast tarief",IF(LEFT(F40,8)="Bijdrage",VLOOKUP($F40,Tb_KostenTypen[],MATCH(Lijsten!$P$1,Tb_KostenTypen[#Headers],0),0),VLOOKUP($G40,Lijsten!L:P,MATCH(Lijsten!$P$1,Kop_Tarief_Vast,0),0))),""),"")</f>
        <v/>
      </c>
      <c r="K40" s="312" t="str" cm="1">
        <f t="array" ref="K40">_xlfn.IFNA(IF(INDEX(Tb_KostenOpties[],MATCH($F40,Tb_KostenOpties[KostenOptie],0),IFERROR(MATCH(Methode_Keuze,Tb_KostenOpties[#Headers],0),2))=1,_xlfn.SWITCH($H40,"Uurtarief",IF(OR(AND(RIGHT($F40,3)="IKS",VLOOKUP($I40,Loonkosten,2,0)="Ja"),AND(RIGHT($F40,3)&lt;&gt;"IKS",VLOOKUP($I40,Loonkosten,2,0)="Nee")), VLOOKUP($I40,Loonkosten,MATCH("Beoordeeld uurtarief",'4. Rekenhulp loonkosten aanvr.'!$4:$4,0),0),0),"Vast tarief",IF(LEFT(F40,8)="Bijdrage",VLOOKUP($F40,Tb_KostenTypen[],MATCH(Lijsten!$P$1,Tb_KostenTypen[#Headers],0),0),VLOOKUP($G40,Lijsten!L:P,MATCH(Lijsten!$P$1,Kop_Tarief_Vast,0),0))),""),"")</f>
        <v/>
      </c>
      <c r="L40" s="358"/>
      <c r="M40" s="358"/>
      <c r="N40" s="313"/>
      <c r="O40" s="313"/>
      <c r="P40" s="374" t="str">
        <f t="shared" si="1"/>
        <v/>
      </c>
      <c r="Q40" s="314" t="str">
        <f t="shared" si="2"/>
        <v/>
      </c>
      <c r="R40" s="314" t="str" cm="1">
        <f t="array" aca="1" ref="R40" ca="1">_xlfn.IFNA(_xlfn.IFS(X40="Dit kostentype hoeft u niet op te geven. Hiervoor wordt een forfait berekend.","",AND(J40&lt;&gt;"",H40="Vast tarief",F40="Vergoeding"),SUM(J40)*FLOOR(SUM(L40),0.0001),AND(J40&lt;&gt;"",OR(H40="Uurtarief",H40="Vast tarief")),SUM(J40)*FLOOR(SUM(L40),0.01),AND(N40&lt;&gt;"",H40="-"),FLOOR(SUM(N40),0.01)),"")</f>
        <v/>
      </c>
      <c r="S40" s="314" t="str" cm="1">
        <f t="array" aca="1" ref="S40" ca="1">_xlfn.IFNA(_xlfn.IFS(X40="Dit kostentype hoeft u niet op te geven. Hiervoor wordt een forfait berekend.","",AND(K40&lt;&gt;"",M40&lt;&gt;"",H40="Vast tarief",F40="Vergoeding"),SUM(K40)*FLOOR(SUM(M40),0.0001),AND(K40&lt;&gt;"",M40&lt;&gt;"",OR(H40="Uurtarief",H40="Vast tarief")),SUM(K40)*FLOOR(SUM(M40),0.01),AND(O40&lt;&gt;"",H40="-"),FLOOR(SUM(O40),0.01)),"")</f>
        <v/>
      </c>
      <c r="T40" s="314" t="str">
        <f t="shared" ca="1" si="3"/>
        <v/>
      </c>
      <c r="U40" s="314" t="str" cm="1">
        <f t="array" aca="1" ref="U40" ca="1">IFERROR(_xlfn.IFS(OR(F40="",LEFT(Methode_Keuze,4)="Geen",Methode_Keuze=""),"",AND(R40&lt;&gt;"",F40&lt;&gt;"Arbeidskosten"),R40*VLOOKUP(F40,Tb_ProjectKosten[],MATCH(Tb_ProjectKosten[[#Headers],[Forfait_Percentage]],Tb_ProjectKosten[#Headers],0),0),AND(F40="Arbeidskosten",G40&lt;&gt;""),IFERROR(R40*VLOOKUP(G40,Tb_KostenTypen[],3,0)*VLOOKUP(F40,Tb_ProjectKosten[],MATCH(Tb_ProjectKosten[[#Headers],[Forfait_Percentage]],Tb_ProjectKosten[#Headers],0),0),""),R40 &lt;=0,0),"")</f>
        <v/>
      </c>
      <c r="V40" s="314" t="str" cm="1">
        <f t="array" aca="1" ref="V40" ca="1">IFERROR(_xlfn.IFS(OR(F40="",LEFT(Methode_Keuze,4)="Geen",Methode_Keuze=""),"",AND(S40&lt;&gt;"",F40&lt;&gt;"Arbeidskosten"),S40*VLOOKUP(F40,Tb_ProjectKosten[],MATCH(Tb_ProjectKosten[[#Headers],[Forfait_Percentage]],Tb_ProjectKosten[#Headers],0),0),AND(F40="Arbeidskosten",G40&lt;&gt;""),IFERROR(S40*VLOOKUP(G40,Tb_KostenTypen[],3,0)*VLOOKUP(F40,Tb_ProjectKosten[],MATCH(Tb_ProjectKosten[[#Headers],[Forfait_Percentage]],Tb_ProjectKosten[#Headers],0),0),""),S40 &lt;=0,0),"")</f>
        <v/>
      </c>
      <c r="W40" s="314" t="str">
        <f t="shared" ca="1" si="4"/>
        <v/>
      </c>
      <c r="X40" s="376" t="str">
        <f>IFERROR(VLOOKUP(F40,Tb_ProjectKosten[#All],11,0),"")</f>
        <v/>
      </c>
      <c r="Y40" s="315"/>
    </row>
    <row r="41" spans="1:25" x14ac:dyDescent="0.25">
      <c r="A41" s="309">
        <f>MAX($A$5:A40)+1</f>
        <v>36</v>
      </c>
      <c r="B41" s="296"/>
      <c r="C41" s="296"/>
      <c r="D41" s="296"/>
      <c r="E41" s="296"/>
      <c r="F41" s="296"/>
      <c r="G41" s="327"/>
      <c r="H41" s="310" t="str">
        <f ca="1">IFERROR(IF(VLOOKUP(F41,Kostentypen!$A$3:$E$21,3,0)=0,"",IF(OR(F41="Arbeidskosten",F41="Vergoeding"),VLOOKUP(G41,Tb_KostenTypen[],2,0),VLOOKUP(F41,Kostentypen!$A$3:$E$20,3,0))),"")</f>
        <v/>
      </c>
      <c r="I41" s="311"/>
      <c r="J41" s="312" t="str" cm="1">
        <f t="array" ref="J41">_xlfn.IFNA(IF(INDEX(Tb_KostenOpties[],MATCH($F41,Tb_KostenOpties[KostenOptie],0),IFERROR(MATCH(Methode_Keuze,Tb_KostenOpties[#Headers],0),2))=1,_xlfn.SWITCH($H41,"Uurtarief",IF(OR(AND(RIGHT($F41,3)="IKS",VLOOKUP($I41,Loonkosten,2,0)="Ja"),AND(RIGHT($F41,3)&lt;&gt;"IKS",VLOOKUP($I41,Loonkosten,2,0)="Nee")), VLOOKUP($I41,Loonkosten,MATCH("Opgegeven uurtarief",'4. Rekenhulp loonkosten aanvr.'!$4:$4,0)),0),"Vast tarief",IF(LEFT(F41,8)="Bijdrage",VLOOKUP($F41,Tb_KostenTypen[],MATCH(Lijsten!$P$1,Tb_KostenTypen[#Headers],0),0),VLOOKUP($G41,Lijsten!L:P,MATCH(Lijsten!$P$1,Kop_Tarief_Vast,0),0))),""),"")</f>
        <v/>
      </c>
      <c r="K41" s="312" t="str" cm="1">
        <f t="array" ref="K41">_xlfn.IFNA(IF(INDEX(Tb_KostenOpties[],MATCH($F41,Tb_KostenOpties[KostenOptie],0),IFERROR(MATCH(Methode_Keuze,Tb_KostenOpties[#Headers],0),2))=1,_xlfn.SWITCH($H41,"Uurtarief",IF(OR(AND(RIGHT($F41,3)="IKS",VLOOKUP($I41,Loonkosten,2,0)="Ja"),AND(RIGHT($F41,3)&lt;&gt;"IKS",VLOOKUP($I41,Loonkosten,2,0)="Nee")), VLOOKUP($I41,Loonkosten,MATCH("Beoordeeld uurtarief",'4. Rekenhulp loonkosten aanvr.'!$4:$4,0),0),0),"Vast tarief",IF(LEFT(F41,8)="Bijdrage",VLOOKUP($F41,Tb_KostenTypen[],MATCH(Lijsten!$P$1,Tb_KostenTypen[#Headers],0),0),VLOOKUP($G41,Lijsten!L:P,MATCH(Lijsten!$P$1,Kop_Tarief_Vast,0),0))),""),"")</f>
        <v/>
      </c>
      <c r="L41" s="358"/>
      <c r="M41" s="358"/>
      <c r="N41" s="313"/>
      <c r="O41" s="313"/>
      <c r="P41" s="374" t="str">
        <f t="shared" si="1"/>
        <v/>
      </c>
      <c r="Q41" s="314" t="str">
        <f t="shared" si="2"/>
        <v/>
      </c>
      <c r="R41" s="314" t="str" cm="1">
        <f t="array" aca="1" ref="R41" ca="1">_xlfn.IFNA(_xlfn.IFS(X41="Dit kostentype hoeft u niet op te geven. Hiervoor wordt een forfait berekend.","",AND(J41&lt;&gt;"",H41="Vast tarief",F41="Vergoeding"),SUM(J41)*FLOOR(SUM(L41),0.0001),AND(J41&lt;&gt;"",OR(H41="Uurtarief",H41="Vast tarief")),SUM(J41)*FLOOR(SUM(L41),0.01),AND(N41&lt;&gt;"",H41="-"),FLOOR(SUM(N41),0.01)),"")</f>
        <v/>
      </c>
      <c r="S41" s="314" t="str" cm="1">
        <f t="array" aca="1" ref="S41" ca="1">_xlfn.IFNA(_xlfn.IFS(X41="Dit kostentype hoeft u niet op te geven. Hiervoor wordt een forfait berekend.","",AND(K41&lt;&gt;"",M41&lt;&gt;"",H41="Vast tarief",F41="Vergoeding"),SUM(K41)*FLOOR(SUM(M41),0.0001),AND(K41&lt;&gt;"",M41&lt;&gt;"",OR(H41="Uurtarief",H41="Vast tarief")),SUM(K41)*FLOOR(SUM(M41),0.01),AND(O41&lt;&gt;"",H41="-"),FLOOR(SUM(O41),0.01)),"")</f>
        <v/>
      </c>
      <c r="T41" s="314" t="str">
        <f t="shared" ca="1" si="3"/>
        <v/>
      </c>
      <c r="U41" s="314" t="str" cm="1">
        <f t="array" aca="1" ref="U41" ca="1">IFERROR(_xlfn.IFS(OR(F41="",LEFT(Methode_Keuze,4)="Geen",Methode_Keuze=""),"",AND(R41&lt;&gt;"",F41&lt;&gt;"Arbeidskosten"),R41*VLOOKUP(F41,Tb_ProjectKosten[],MATCH(Tb_ProjectKosten[[#Headers],[Forfait_Percentage]],Tb_ProjectKosten[#Headers],0),0),AND(F41="Arbeidskosten",G41&lt;&gt;""),IFERROR(R41*VLOOKUP(G41,Tb_KostenTypen[],3,0)*VLOOKUP(F41,Tb_ProjectKosten[],MATCH(Tb_ProjectKosten[[#Headers],[Forfait_Percentage]],Tb_ProjectKosten[#Headers],0),0),""),R41 &lt;=0,0),"")</f>
        <v/>
      </c>
      <c r="V41" s="314" t="str" cm="1">
        <f t="array" aca="1" ref="V41" ca="1">IFERROR(_xlfn.IFS(OR(F41="",LEFT(Methode_Keuze,4)="Geen",Methode_Keuze=""),"",AND(S41&lt;&gt;"",F41&lt;&gt;"Arbeidskosten"),S41*VLOOKUP(F41,Tb_ProjectKosten[],MATCH(Tb_ProjectKosten[[#Headers],[Forfait_Percentage]],Tb_ProjectKosten[#Headers],0),0),AND(F41="Arbeidskosten",G41&lt;&gt;""),IFERROR(S41*VLOOKUP(G41,Tb_KostenTypen[],3,0)*VLOOKUP(F41,Tb_ProjectKosten[],MATCH(Tb_ProjectKosten[[#Headers],[Forfait_Percentage]],Tb_ProjectKosten[#Headers],0),0),""),S41 &lt;=0,0),"")</f>
        <v/>
      </c>
      <c r="W41" s="314" t="str">
        <f t="shared" ca="1" si="4"/>
        <v/>
      </c>
      <c r="X41" s="376" t="str">
        <f>IFERROR(VLOOKUP(F41,Tb_ProjectKosten[#All],11,0),"")</f>
        <v/>
      </c>
      <c r="Y41" s="315"/>
    </row>
    <row r="42" spans="1:25" x14ac:dyDescent="0.25">
      <c r="A42" s="309">
        <f>MAX($A$5:A41)+1</f>
        <v>37</v>
      </c>
      <c r="B42" s="296"/>
      <c r="C42" s="296"/>
      <c r="D42" s="296"/>
      <c r="E42" s="296"/>
      <c r="F42" s="296"/>
      <c r="G42" s="327"/>
      <c r="H42" s="310" t="str">
        <f ca="1">IFERROR(IF(VLOOKUP(F42,Kostentypen!$A$3:$E$21,3,0)=0,"",IF(OR(F42="Arbeidskosten",F42="Vergoeding"),VLOOKUP(G42,Tb_KostenTypen[],2,0),VLOOKUP(F42,Kostentypen!$A$3:$E$20,3,0))),"")</f>
        <v/>
      </c>
      <c r="I42" s="311"/>
      <c r="J42" s="312" t="str" cm="1">
        <f t="array" ref="J42">_xlfn.IFNA(IF(INDEX(Tb_KostenOpties[],MATCH($F42,Tb_KostenOpties[KostenOptie],0),IFERROR(MATCH(Methode_Keuze,Tb_KostenOpties[#Headers],0),2))=1,_xlfn.SWITCH($H42,"Uurtarief",IF(OR(AND(RIGHT($F42,3)="IKS",VLOOKUP($I42,Loonkosten,2,0)="Ja"),AND(RIGHT($F42,3)&lt;&gt;"IKS",VLOOKUP($I42,Loonkosten,2,0)="Nee")), VLOOKUP($I42,Loonkosten,MATCH("Opgegeven uurtarief",'4. Rekenhulp loonkosten aanvr.'!$4:$4,0)),0),"Vast tarief",IF(LEFT(F42,8)="Bijdrage",VLOOKUP($F42,Tb_KostenTypen[],MATCH(Lijsten!$P$1,Tb_KostenTypen[#Headers],0),0),VLOOKUP($G42,Lijsten!L:P,MATCH(Lijsten!$P$1,Kop_Tarief_Vast,0),0))),""),"")</f>
        <v/>
      </c>
      <c r="K42" s="312" t="str" cm="1">
        <f t="array" ref="K42">_xlfn.IFNA(IF(INDEX(Tb_KostenOpties[],MATCH($F42,Tb_KostenOpties[KostenOptie],0),IFERROR(MATCH(Methode_Keuze,Tb_KostenOpties[#Headers],0),2))=1,_xlfn.SWITCH($H42,"Uurtarief",IF(OR(AND(RIGHT($F42,3)="IKS",VLOOKUP($I42,Loonkosten,2,0)="Ja"),AND(RIGHT($F42,3)&lt;&gt;"IKS",VLOOKUP($I42,Loonkosten,2,0)="Nee")), VLOOKUP($I42,Loonkosten,MATCH("Beoordeeld uurtarief",'4. Rekenhulp loonkosten aanvr.'!$4:$4,0),0),0),"Vast tarief",IF(LEFT(F42,8)="Bijdrage",VLOOKUP($F42,Tb_KostenTypen[],MATCH(Lijsten!$P$1,Tb_KostenTypen[#Headers],0),0),VLOOKUP($G42,Lijsten!L:P,MATCH(Lijsten!$P$1,Kop_Tarief_Vast,0),0))),""),"")</f>
        <v/>
      </c>
      <c r="L42" s="358"/>
      <c r="M42" s="358"/>
      <c r="N42" s="313"/>
      <c r="O42" s="313"/>
      <c r="P42" s="374" t="str">
        <f t="shared" si="1"/>
        <v/>
      </c>
      <c r="Q42" s="314" t="str">
        <f t="shared" si="2"/>
        <v/>
      </c>
      <c r="R42" s="314" t="str" cm="1">
        <f t="array" aca="1" ref="R42" ca="1">_xlfn.IFNA(_xlfn.IFS(X42="Dit kostentype hoeft u niet op te geven. Hiervoor wordt een forfait berekend.","",AND(J42&lt;&gt;"",H42="Vast tarief",F42="Vergoeding"),SUM(J42)*FLOOR(SUM(L42),0.0001),AND(J42&lt;&gt;"",OR(H42="Uurtarief",H42="Vast tarief")),SUM(J42)*FLOOR(SUM(L42),0.01),AND(N42&lt;&gt;"",H42="-"),FLOOR(SUM(N42),0.01)),"")</f>
        <v/>
      </c>
      <c r="S42" s="314" t="str" cm="1">
        <f t="array" aca="1" ref="S42" ca="1">_xlfn.IFNA(_xlfn.IFS(X42="Dit kostentype hoeft u niet op te geven. Hiervoor wordt een forfait berekend.","",AND(K42&lt;&gt;"",M42&lt;&gt;"",H42="Vast tarief",F42="Vergoeding"),SUM(K42)*FLOOR(SUM(M42),0.0001),AND(K42&lt;&gt;"",M42&lt;&gt;"",OR(H42="Uurtarief",H42="Vast tarief")),SUM(K42)*FLOOR(SUM(M42),0.01),AND(O42&lt;&gt;"",H42="-"),FLOOR(SUM(O42),0.01)),"")</f>
        <v/>
      </c>
      <c r="T42" s="314" t="str">
        <f t="shared" ca="1" si="3"/>
        <v/>
      </c>
      <c r="U42" s="314" t="str" cm="1">
        <f t="array" aca="1" ref="U42" ca="1">IFERROR(_xlfn.IFS(OR(F42="",LEFT(Methode_Keuze,4)="Geen",Methode_Keuze=""),"",AND(R42&lt;&gt;"",F42&lt;&gt;"Arbeidskosten"),R42*VLOOKUP(F42,Tb_ProjectKosten[],MATCH(Tb_ProjectKosten[[#Headers],[Forfait_Percentage]],Tb_ProjectKosten[#Headers],0),0),AND(F42="Arbeidskosten",G42&lt;&gt;""),IFERROR(R42*VLOOKUP(G42,Tb_KostenTypen[],3,0)*VLOOKUP(F42,Tb_ProjectKosten[],MATCH(Tb_ProjectKosten[[#Headers],[Forfait_Percentage]],Tb_ProjectKosten[#Headers],0),0),""),R42 &lt;=0,0),"")</f>
        <v/>
      </c>
      <c r="V42" s="314" t="str" cm="1">
        <f t="array" aca="1" ref="V42" ca="1">IFERROR(_xlfn.IFS(OR(F42="",LEFT(Methode_Keuze,4)="Geen",Methode_Keuze=""),"",AND(S42&lt;&gt;"",F42&lt;&gt;"Arbeidskosten"),S42*VLOOKUP(F42,Tb_ProjectKosten[],MATCH(Tb_ProjectKosten[[#Headers],[Forfait_Percentage]],Tb_ProjectKosten[#Headers],0),0),AND(F42="Arbeidskosten",G42&lt;&gt;""),IFERROR(S42*VLOOKUP(G42,Tb_KostenTypen[],3,0)*VLOOKUP(F42,Tb_ProjectKosten[],MATCH(Tb_ProjectKosten[[#Headers],[Forfait_Percentage]],Tb_ProjectKosten[#Headers],0),0),""),S42 &lt;=0,0),"")</f>
        <v/>
      </c>
      <c r="W42" s="314" t="str">
        <f t="shared" ca="1" si="4"/>
        <v/>
      </c>
      <c r="X42" s="376" t="str">
        <f>IFERROR(VLOOKUP(F42,Tb_ProjectKosten[#All],11,0),"")</f>
        <v/>
      </c>
      <c r="Y42" s="315"/>
    </row>
    <row r="43" spans="1:25" x14ac:dyDescent="0.25">
      <c r="A43" s="309">
        <f>MAX($A$5:A42)+1</f>
        <v>38</v>
      </c>
      <c r="B43" s="296"/>
      <c r="C43" s="296"/>
      <c r="D43" s="296"/>
      <c r="E43" s="296"/>
      <c r="F43" s="296"/>
      <c r="G43" s="327"/>
      <c r="H43" s="310" t="str">
        <f ca="1">IFERROR(IF(VLOOKUP(F43,Kostentypen!$A$3:$E$21,3,0)=0,"",IF(OR(F43="Arbeidskosten",F43="Vergoeding"),VLOOKUP(G43,Tb_KostenTypen[],2,0),VLOOKUP(F43,Kostentypen!$A$3:$E$20,3,0))),"")</f>
        <v/>
      </c>
      <c r="I43" s="311"/>
      <c r="J43" s="312" t="str" cm="1">
        <f t="array" ref="J43">_xlfn.IFNA(IF(INDEX(Tb_KostenOpties[],MATCH($F43,Tb_KostenOpties[KostenOptie],0),IFERROR(MATCH(Methode_Keuze,Tb_KostenOpties[#Headers],0),2))=1,_xlfn.SWITCH($H43,"Uurtarief",IF(OR(AND(RIGHT($F43,3)="IKS",VLOOKUP($I43,Loonkosten,2,0)="Ja"),AND(RIGHT($F43,3)&lt;&gt;"IKS",VLOOKUP($I43,Loonkosten,2,0)="Nee")), VLOOKUP($I43,Loonkosten,MATCH("Opgegeven uurtarief",'4. Rekenhulp loonkosten aanvr.'!$4:$4,0)),0),"Vast tarief",IF(LEFT(F43,8)="Bijdrage",VLOOKUP($F43,Tb_KostenTypen[],MATCH(Lijsten!$P$1,Tb_KostenTypen[#Headers],0),0),VLOOKUP($G43,Lijsten!L:P,MATCH(Lijsten!$P$1,Kop_Tarief_Vast,0),0))),""),"")</f>
        <v/>
      </c>
      <c r="K43" s="312" t="str" cm="1">
        <f t="array" ref="K43">_xlfn.IFNA(IF(INDEX(Tb_KostenOpties[],MATCH($F43,Tb_KostenOpties[KostenOptie],0),IFERROR(MATCH(Methode_Keuze,Tb_KostenOpties[#Headers],0),2))=1,_xlfn.SWITCH($H43,"Uurtarief",IF(OR(AND(RIGHT($F43,3)="IKS",VLOOKUP($I43,Loonkosten,2,0)="Ja"),AND(RIGHT($F43,3)&lt;&gt;"IKS",VLOOKUP($I43,Loonkosten,2,0)="Nee")), VLOOKUP($I43,Loonkosten,MATCH("Beoordeeld uurtarief",'4. Rekenhulp loonkosten aanvr.'!$4:$4,0),0),0),"Vast tarief",IF(LEFT(F43,8)="Bijdrage",VLOOKUP($F43,Tb_KostenTypen[],MATCH(Lijsten!$P$1,Tb_KostenTypen[#Headers],0),0),VLOOKUP($G43,Lijsten!L:P,MATCH(Lijsten!$P$1,Kop_Tarief_Vast,0),0))),""),"")</f>
        <v/>
      </c>
      <c r="L43" s="358"/>
      <c r="M43" s="358"/>
      <c r="N43" s="313"/>
      <c r="O43" s="313"/>
      <c r="P43" s="374" t="str">
        <f t="shared" si="1"/>
        <v/>
      </c>
      <c r="Q43" s="314" t="str">
        <f t="shared" si="2"/>
        <v/>
      </c>
      <c r="R43" s="314" t="str" cm="1">
        <f t="array" aca="1" ref="R43" ca="1">_xlfn.IFNA(_xlfn.IFS(X43="Dit kostentype hoeft u niet op te geven. Hiervoor wordt een forfait berekend.","",AND(J43&lt;&gt;"",H43="Vast tarief",F43="Vergoeding"),SUM(J43)*FLOOR(SUM(L43),0.0001),AND(J43&lt;&gt;"",OR(H43="Uurtarief",H43="Vast tarief")),SUM(J43)*FLOOR(SUM(L43),0.01),AND(N43&lt;&gt;"",H43="-"),FLOOR(SUM(N43),0.01)),"")</f>
        <v/>
      </c>
      <c r="S43" s="314" t="str" cm="1">
        <f t="array" aca="1" ref="S43" ca="1">_xlfn.IFNA(_xlfn.IFS(X43="Dit kostentype hoeft u niet op te geven. Hiervoor wordt een forfait berekend.","",AND(K43&lt;&gt;"",M43&lt;&gt;"",H43="Vast tarief",F43="Vergoeding"),SUM(K43)*FLOOR(SUM(M43),0.0001),AND(K43&lt;&gt;"",M43&lt;&gt;"",OR(H43="Uurtarief",H43="Vast tarief")),SUM(K43)*FLOOR(SUM(M43),0.01),AND(O43&lt;&gt;"",H43="-"),FLOOR(SUM(O43),0.01)),"")</f>
        <v/>
      </c>
      <c r="T43" s="314" t="str">
        <f t="shared" ca="1" si="3"/>
        <v/>
      </c>
      <c r="U43" s="314" t="str" cm="1">
        <f t="array" aca="1" ref="U43" ca="1">IFERROR(_xlfn.IFS(OR(F43="",LEFT(Methode_Keuze,4)="Geen",Methode_Keuze=""),"",AND(R43&lt;&gt;"",F43&lt;&gt;"Arbeidskosten"),R43*VLOOKUP(F43,Tb_ProjectKosten[],MATCH(Tb_ProjectKosten[[#Headers],[Forfait_Percentage]],Tb_ProjectKosten[#Headers],0),0),AND(F43="Arbeidskosten",G43&lt;&gt;""),IFERROR(R43*VLOOKUP(G43,Tb_KostenTypen[],3,0)*VLOOKUP(F43,Tb_ProjectKosten[],MATCH(Tb_ProjectKosten[[#Headers],[Forfait_Percentage]],Tb_ProjectKosten[#Headers],0),0),""),R43 &lt;=0,0),"")</f>
        <v/>
      </c>
      <c r="V43" s="314" t="str" cm="1">
        <f t="array" aca="1" ref="V43" ca="1">IFERROR(_xlfn.IFS(OR(F43="",LEFT(Methode_Keuze,4)="Geen",Methode_Keuze=""),"",AND(S43&lt;&gt;"",F43&lt;&gt;"Arbeidskosten"),S43*VLOOKUP(F43,Tb_ProjectKosten[],MATCH(Tb_ProjectKosten[[#Headers],[Forfait_Percentage]],Tb_ProjectKosten[#Headers],0),0),AND(F43="Arbeidskosten",G43&lt;&gt;""),IFERROR(S43*VLOOKUP(G43,Tb_KostenTypen[],3,0)*VLOOKUP(F43,Tb_ProjectKosten[],MATCH(Tb_ProjectKosten[[#Headers],[Forfait_Percentage]],Tb_ProjectKosten[#Headers],0),0),""),S43 &lt;=0,0),"")</f>
        <v/>
      </c>
      <c r="W43" s="314" t="str">
        <f t="shared" ca="1" si="4"/>
        <v/>
      </c>
      <c r="X43" s="376" t="str">
        <f>IFERROR(VLOOKUP(F43,Tb_ProjectKosten[#All],11,0),"")</f>
        <v/>
      </c>
      <c r="Y43" s="315"/>
    </row>
    <row r="44" spans="1:25" x14ac:dyDescent="0.25">
      <c r="A44" s="309">
        <f>MAX($A$5:A43)+1</f>
        <v>39</v>
      </c>
      <c r="B44" s="296"/>
      <c r="C44" s="296"/>
      <c r="D44" s="296"/>
      <c r="E44" s="296"/>
      <c r="F44" s="296"/>
      <c r="G44" s="327"/>
      <c r="H44" s="310" t="str">
        <f ca="1">IFERROR(IF(VLOOKUP(F44,Kostentypen!$A$3:$E$21,3,0)=0,"",IF(OR(F44="Arbeidskosten",F44="Vergoeding"),VLOOKUP(G44,Tb_KostenTypen[],2,0),VLOOKUP(F44,Kostentypen!$A$3:$E$20,3,0))),"")</f>
        <v/>
      </c>
      <c r="I44" s="311"/>
      <c r="J44" s="312" t="str" cm="1">
        <f t="array" ref="J44">_xlfn.IFNA(IF(INDEX(Tb_KostenOpties[],MATCH($F44,Tb_KostenOpties[KostenOptie],0),IFERROR(MATCH(Methode_Keuze,Tb_KostenOpties[#Headers],0),2))=1,_xlfn.SWITCH($H44,"Uurtarief",IF(OR(AND(RIGHT($F44,3)="IKS",VLOOKUP($I44,Loonkosten,2,0)="Ja"),AND(RIGHT($F44,3)&lt;&gt;"IKS",VLOOKUP($I44,Loonkosten,2,0)="Nee")), VLOOKUP($I44,Loonkosten,MATCH("Opgegeven uurtarief",'4. Rekenhulp loonkosten aanvr.'!$4:$4,0)),0),"Vast tarief",IF(LEFT(F44,8)="Bijdrage",VLOOKUP($F44,Tb_KostenTypen[],MATCH(Lijsten!$P$1,Tb_KostenTypen[#Headers],0),0),VLOOKUP($G44,Lijsten!L:P,MATCH(Lijsten!$P$1,Kop_Tarief_Vast,0),0))),""),"")</f>
        <v/>
      </c>
      <c r="K44" s="312" t="str" cm="1">
        <f t="array" ref="K44">_xlfn.IFNA(IF(INDEX(Tb_KostenOpties[],MATCH($F44,Tb_KostenOpties[KostenOptie],0),IFERROR(MATCH(Methode_Keuze,Tb_KostenOpties[#Headers],0),2))=1,_xlfn.SWITCH($H44,"Uurtarief",IF(OR(AND(RIGHT($F44,3)="IKS",VLOOKUP($I44,Loonkosten,2,0)="Ja"),AND(RIGHT($F44,3)&lt;&gt;"IKS",VLOOKUP($I44,Loonkosten,2,0)="Nee")), VLOOKUP($I44,Loonkosten,MATCH("Beoordeeld uurtarief",'4. Rekenhulp loonkosten aanvr.'!$4:$4,0),0),0),"Vast tarief",IF(LEFT(F44,8)="Bijdrage",VLOOKUP($F44,Tb_KostenTypen[],MATCH(Lijsten!$P$1,Tb_KostenTypen[#Headers],0),0),VLOOKUP($G44,Lijsten!L:P,MATCH(Lijsten!$P$1,Kop_Tarief_Vast,0),0))),""),"")</f>
        <v/>
      </c>
      <c r="L44" s="358"/>
      <c r="M44" s="358"/>
      <c r="N44" s="313"/>
      <c r="O44" s="313"/>
      <c r="P44" s="374" t="str">
        <f t="shared" si="1"/>
        <v/>
      </c>
      <c r="Q44" s="314" t="str">
        <f t="shared" si="2"/>
        <v/>
      </c>
      <c r="R44" s="314" t="str" cm="1">
        <f t="array" aca="1" ref="R44" ca="1">_xlfn.IFNA(_xlfn.IFS(X44="Dit kostentype hoeft u niet op te geven. Hiervoor wordt een forfait berekend.","",AND(J44&lt;&gt;"",H44="Vast tarief",F44="Vergoeding"),SUM(J44)*FLOOR(SUM(L44),0.0001),AND(J44&lt;&gt;"",OR(H44="Uurtarief",H44="Vast tarief")),SUM(J44)*FLOOR(SUM(L44),0.01),AND(N44&lt;&gt;"",H44="-"),FLOOR(SUM(N44),0.01)),"")</f>
        <v/>
      </c>
      <c r="S44" s="314" t="str" cm="1">
        <f t="array" aca="1" ref="S44" ca="1">_xlfn.IFNA(_xlfn.IFS(X44="Dit kostentype hoeft u niet op te geven. Hiervoor wordt een forfait berekend.","",AND(K44&lt;&gt;"",M44&lt;&gt;"",H44="Vast tarief",F44="Vergoeding"),SUM(K44)*FLOOR(SUM(M44),0.0001),AND(K44&lt;&gt;"",M44&lt;&gt;"",OR(H44="Uurtarief",H44="Vast tarief")),SUM(K44)*FLOOR(SUM(M44),0.01),AND(O44&lt;&gt;"",H44="-"),FLOOR(SUM(O44),0.01)),"")</f>
        <v/>
      </c>
      <c r="T44" s="314" t="str">
        <f t="shared" ca="1" si="3"/>
        <v/>
      </c>
      <c r="U44" s="314" t="str" cm="1">
        <f t="array" aca="1" ref="U44" ca="1">IFERROR(_xlfn.IFS(OR(F44="",LEFT(Methode_Keuze,4)="Geen",Methode_Keuze=""),"",AND(R44&lt;&gt;"",F44&lt;&gt;"Arbeidskosten"),R44*VLOOKUP(F44,Tb_ProjectKosten[],MATCH(Tb_ProjectKosten[[#Headers],[Forfait_Percentage]],Tb_ProjectKosten[#Headers],0),0),AND(F44="Arbeidskosten",G44&lt;&gt;""),IFERROR(R44*VLOOKUP(G44,Tb_KostenTypen[],3,0)*VLOOKUP(F44,Tb_ProjectKosten[],MATCH(Tb_ProjectKosten[[#Headers],[Forfait_Percentage]],Tb_ProjectKosten[#Headers],0),0),""),R44 &lt;=0,0),"")</f>
        <v/>
      </c>
      <c r="V44" s="314" t="str" cm="1">
        <f t="array" aca="1" ref="V44" ca="1">IFERROR(_xlfn.IFS(OR(F44="",LEFT(Methode_Keuze,4)="Geen",Methode_Keuze=""),"",AND(S44&lt;&gt;"",F44&lt;&gt;"Arbeidskosten"),S44*VLOOKUP(F44,Tb_ProjectKosten[],MATCH(Tb_ProjectKosten[[#Headers],[Forfait_Percentage]],Tb_ProjectKosten[#Headers],0),0),AND(F44="Arbeidskosten",G44&lt;&gt;""),IFERROR(S44*VLOOKUP(G44,Tb_KostenTypen[],3,0)*VLOOKUP(F44,Tb_ProjectKosten[],MATCH(Tb_ProjectKosten[[#Headers],[Forfait_Percentage]],Tb_ProjectKosten[#Headers],0),0),""),S44 &lt;=0,0),"")</f>
        <v/>
      </c>
      <c r="W44" s="314" t="str">
        <f t="shared" ca="1" si="4"/>
        <v/>
      </c>
      <c r="X44" s="376" t="str">
        <f>IFERROR(VLOOKUP(F44,Tb_ProjectKosten[#All],11,0),"")</f>
        <v/>
      </c>
      <c r="Y44" s="315"/>
    </row>
    <row r="45" spans="1:25" x14ac:dyDescent="0.25">
      <c r="A45" s="309">
        <f>MAX($A$5:A44)+1</f>
        <v>40</v>
      </c>
      <c r="B45" s="296"/>
      <c r="C45" s="296"/>
      <c r="D45" s="296"/>
      <c r="E45" s="296"/>
      <c r="F45" s="296"/>
      <c r="G45" s="327"/>
      <c r="H45" s="310" t="str">
        <f ca="1">IFERROR(IF(VLOOKUP(F45,Kostentypen!$A$3:$E$21,3,0)=0,"",IF(OR(F45="Arbeidskosten",F45="Vergoeding"),VLOOKUP(G45,Tb_KostenTypen[],2,0),VLOOKUP(F45,Kostentypen!$A$3:$E$20,3,0))),"")</f>
        <v/>
      </c>
      <c r="I45" s="311"/>
      <c r="J45" s="312" t="str" cm="1">
        <f t="array" ref="J45">_xlfn.IFNA(IF(INDEX(Tb_KostenOpties[],MATCH($F45,Tb_KostenOpties[KostenOptie],0),IFERROR(MATCH(Methode_Keuze,Tb_KostenOpties[#Headers],0),2))=1,_xlfn.SWITCH($H45,"Uurtarief",IF(OR(AND(RIGHT($F45,3)="IKS",VLOOKUP($I45,Loonkosten,2,0)="Ja"),AND(RIGHT($F45,3)&lt;&gt;"IKS",VLOOKUP($I45,Loonkosten,2,0)="Nee")), VLOOKUP($I45,Loonkosten,MATCH("Opgegeven uurtarief",'4. Rekenhulp loonkosten aanvr.'!$4:$4,0)),0),"Vast tarief",IF(LEFT(F45,8)="Bijdrage",VLOOKUP($F45,Tb_KostenTypen[],MATCH(Lijsten!$P$1,Tb_KostenTypen[#Headers],0),0),VLOOKUP($G45,Lijsten!L:P,MATCH(Lijsten!$P$1,Kop_Tarief_Vast,0),0))),""),"")</f>
        <v/>
      </c>
      <c r="K45" s="312" t="str" cm="1">
        <f t="array" ref="K45">_xlfn.IFNA(IF(INDEX(Tb_KostenOpties[],MATCH($F45,Tb_KostenOpties[KostenOptie],0),IFERROR(MATCH(Methode_Keuze,Tb_KostenOpties[#Headers],0),2))=1,_xlfn.SWITCH($H45,"Uurtarief",IF(OR(AND(RIGHT($F45,3)="IKS",VLOOKUP($I45,Loonkosten,2,0)="Ja"),AND(RIGHT($F45,3)&lt;&gt;"IKS",VLOOKUP($I45,Loonkosten,2,0)="Nee")), VLOOKUP($I45,Loonkosten,MATCH("Beoordeeld uurtarief",'4. Rekenhulp loonkosten aanvr.'!$4:$4,0),0),0),"Vast tarief",IF(LEFT(F45,8)="Bijdrage",VLOOKUP($F45,Tb_KostenTypen[],MATCH(Lijsten!$P$1,Tb_KostenTypen[#Headers],0),0),VLOOKUP($G45,Lijsten!L:P,MATCH(Lijsten!$P$1,Kop_Tarief_Vast,0),0))),""),"")</f>
        <v/>
      </c>
      <c r="L45" s="358"/>
      <c r="M45" s="358"/>
      <c r="N45" s="313"/>
      <c r="O45" s="313"/>
      <c r="P45" s="374" t="str">
        <f t="shared" si="1"/>
        <v/>
      </c>
      <c r="Q45" s="314" t="str">
        <f t="shared" si="2"/>
        <v/>
      </c>
      <c r="R45" s="314" t="str" cm="1">
        <f t="array" aca="1" ref="R45" ca="1">_xlfn.IFNA(_xlfn.IFS(X45="Dit kostentype hoeft u niet op te geven. Hiervoor wordt een forfait berekend.","",AND(J45&lt;&gt;"",H45="Vast tarief",F45="Vergoeding"),SUM(J45)*FLOOR(SUM(L45),0.0001),AND(J45&lt;&gt;"",OR(H45="Uurtarief",H45="Vast tarief")),SUM(J45)*FLOOR(SUM(L45),0.01),AND(N45&lt;&gt;"",H45="-"),FLOOR(SUM(N45),0.01)),"")</f>
        <v/>
      </c>
      <c r="S45" s="314" t="str" cm="1">
        <f t="array" aca="1" ref="S45" ca="1">_xlfn.IFNA(_xlfn.IFS(X45="Dit kostentype hoeft u niet op te geven. Hiervoor wordt een forfait berekend.","",AND(K45&lt;&gt;"",M45&lt;&gt;"",H45="Vast tarief",F45="Vergoeding"),SUM(K45)*FLOOR(SUM(M45),0.0001),AND(K45&lt;&gt;"",M45&lt;&gt;"",OR(H45="Uurtarief",H45="Vast tarief")),SUM(K45)*FLOOR(SUM(M45),0.01),AND(O45&lt;&gt;"",H45="-"),FLOOR(SUM(O45),0.01)),"")</f>
        <v/>
      </c>
      <c r="T45" s="314" t="str">
        <f t="shared" ca="1" si="3"/>
        <v/>
      </c>
      <c r="U45" s="314" t="str" cm="1">
        <f t="array" aca="1" ref="U45" ca="1">IFERROR(_xlfn.IFS(OR(F45="",LEFT(Methode_Keuze,4)="Geen",Methode_Keuze=""),"",AND(R45&lt;&gt;"",F45&lt;&gt;"Arbeidskosten"),R45*VLOOKUP(F45,Tb_ProjectKosten[],MATCH(Tb_ProjectKosten[[#Headers],[Forfait_Percentage]],Tb_ProjectKosten[#Headers],0),0),AND(F45="Arbeidskosten",G45&lt;&gt;""),IFERROR(R45*VLOOKUP(G45,Tb_KostenTypen[],3,0)*VLOOKUP(F45,Tb_ProjectKosten[],MATCH(Tb_ProjectKosten[[#Headers],[Forfait_Percentage]],Tb_ProjectKosten[#Headers],0),0),""),R45 &lt;=0,0),"")</f>
        <v/>
      </c>
      <c r="V45" s="314" t="str" cm="1">
        <f t="array" aca="1" ref="V45" ca="1">IFERROR(_xlfn.IFS(OR(F45="",LEFT(Methode_Keuze,4)="Geen",Methode_Keuze=""),"",AND(S45&lt;&gt;"",F45&lt;&gt;"Arbeidskosten"),S45*VLOOKUP(F45,Tb_ProjectKosten[],MATCH(Tb_ProjectKosten[[#Headers],[Forfait_Percentage]],Tb_ProjectKosten[#Headers],0),0),AND(F45="Arbeidskosten",G45&lt;&gt;""),IFERROR(S45*VLOOKUP(G45,Tb_KostenTypen[],3,0)*VLOOKUP(F45,Tb_ProjectKosten[],MATCH(Tb_ProjectKosten[[#Headers],[Forfait_Percentage]],Tb_ProjectKosten[#Headers],0),0),""),S45 &lt;=0,0),"")</f>
        <v/>
      </c>
      <c r="W45" s="314" t="str">
        <f t="shared" ca="1" si="4"/>
        <v/>
      </c>
      <c r="X45" s="376" t="str">
        <f>IFERROR(VLOOKUP(F45,Tb_ProjectKosten[#All],11,0),"")</f>
        <v/>
      </c>
      <c r="Y45" s="315"/>
    </row>
    <row r="46" spans="1:25" x14ac:dyDescent="0.25">
      <c r="A46" s="309">
        <f>MAX($A$5:A45)+1</f>
        <v>41</v>
      </c>
      <c r="B46" s="296"/>
      <c r="C46" s="296"/>
      <c r="D46" s="296"/>
      <c r="E46" s="296"/>
      <c r="F46" s="296"/>
      <c r="G46" s="327"/>
      <c r="H46" s="310" t="str">
        <f ca="1">IFERROR(IF(VLOOKUP(F46,Kostentypen!$A$3:$E$21,3,0)=0,"",IF(OR(F46="Arbeidskosten",F46="Vergoeding"),VLOOKUP(G46,Tb_KostenTypen[],2,0),VLOOKUP(F46,Kostentypen!$A$3:$E$20,3,0))),"")</f>
        <v/>
      </c>
      <c r="I46" s="311"/>
      <c r="J46" s="312" t="str" cm="1">
        <f t="array" ref="J46">_xlfn.IFNA(IF(INDEX(Tb_KostenOpties[],MATCH($F46,Tb_KostenOpties[KostenOptie],0),IFERROR(MATCH(Methode_Keuze,Tb_KostenOpties[#Headers],0),2))=1,_xlfn.SWITCH($H46,"Uurtarief",IF(OR(AND(RIGHT($F46,3)="IKS",VLOOKUP($I46,Loonkosten,2,0)="Ja"),AND(RIGHT($F46,3)&lt;&gt;"IKS",VLOOKUP($I46,Loonkosten,2,0)="Nee")), VLOOKUP($I46,Loonkosten,MATCH("Opgegeven uurtarief",'4. Rekenhulp loonkosten aanvr.'!$4:$4,0)),0),"Vast tarief",IF(LEFT(F46,8)="Bijdrage",VLOOKUP($F46,Tb_KostenTypen[],MATCH(Lijsten!$P$1,Tb_KostenTypen[#Headers],0),0),VLOOKUP($G46,Lijsten!L:P,MATCH(Lijsten!$P$1,Kop_Tarief_Vast,0),0))),""),"")</f>
        <v/>
      </c>
      <c r="K46" s="312" t="str" cm="1">
        <f t="array" ref="K46">_xlfn.IFNA(IF(INDEX(Tb_KostenOpties[],MATCH($F46,Tb_KostenOpties[KostenOptie],0),IFERROR(MATCH(Methode_Keuze,Tb_KostenOpties[#Headers],0),2))=1,_xlfn.SWITCH($H46,"Uurtarief",IF(OR(AND(RIGHT($F46,3)="IKS",VLOOKUP($I46,Loonkosten,2,0)="Ja"),AND(RIGHT($F46,3)&lt;&gt;"IKS",VLOOKUP($I46,Loonkosten,2,0)="Nee")), VLOOKUP($I46,Loonkosten,MATCH("Beoordeeld uurtarief",'4. Rekenhulp loonkosten aanvr.'!$4:$4,0),0),0),"Vast tarief",IF(LEFT(F46,8)="Bijdrage",VLOOKUP($F46,Tb_KostenTypen[],MATCH(Lijsten!$P$1,Tb_KostenTypen[#Headers],0),0),VLOOKUP($G46,Lijsten!L:P,MATCH(Lijsten!$P$1,Kop_Tarief_Vast,0),0))),""),"")</f>
        <v/>
      </c>
      <c r="L46" s="358"/>
      <c r="M46" s="358"/>
      <c r="N46" s="313"/>
      <c r="O46" s="313"/>
      <c r="P46" s="374" t="str">
        <f t="shared" si="1"/>
        <v/>
      </c>
      <c r="Q46" s="314" t="str">
        <f t="shared" si="2"/>
        <v/>
      </c>
      <c r="R46" s="314" t="str" cm="1">
        <f t="array" aca="1" ref="R46" ca="1">_xlfn.IFNA(_xlfn.IFS(X46="Dit kostentype hoeft u niet op te geven. Hiervoor wordt een forfait berekend.","",AND(J46&lt;&gt;"",H46="Vast tarief",F46="Vergoeding"),SUM(J46)*FLOOR(SUM(L46),0.0001),AND(J46&lt;&gt;"",OR(H46="Uurtarief",H46="Vast tarief")),SUM(J46)*FLOOR(SUM(L46),0.01),AND(N46&lt;&gt;"",H46="-"),FLOOR(SUM(N46),0.01)),"")</f>
        <v/>
      </c>
      <c r="S46" s="314" t="str" cm="1">
        <f t="array" aca="1" ref="S46" ca="1">_xlfn.IFNA(_xlfn.IFS(X46="Dit kostentype hoeft u niet op te geven. Hiervoor wordt een forfait berekend.","",AND(K46&lt;&gt;"",M46&lt;&gt;"",H46="Vast tarief",F46="Vergoeding"),SUM(K46)*FLOOR(SUM(M46),0.0001),AND(K46&lt;&gt;"",M46&lt;&gt;"",OR(H46="Uurtarief",H46="Vast tarief")),SUM(K46)*FLOOR(SUM(M46),0.01),AND(O46&lt;&gt;"",H46="-"),FLOOR(SUM(O46),0.01)),"")</f>
        <v/>
      </c>
      <c r="T46" s="314" t="str">
        <f t="shared" ca="1" si="3"/>
        <v/>
      </c>
      <c r="U46" s="314" t="str" cm="1">
        <f t="array" aca="1" ref="U46" ca="1">IFERROR(_xlfn.IFS(OR(F46="",LEFT(Methode_Keuze,4)="Geen",Methode_Keuze=""),"",AND(R46&lt;&gt;"",F46&lt;&gt;"Arbeidskosten"),R46*VLOOKUP(F46,Tb_ProjectKosten[],MATCH(Tb_ProjectKosten[[#Headers],[Forfait_Percentage]],Tb_ProjectKosten[#Headers],0),0),AND(F46="Arbeidskosten",G46&lt;&gt;""),IFERROR(R46*VLOOKUP(G46,Tb_KostenTypen[],3,0)*VLOOKUP(F46,Tb_ProjectKosten[],MATCH(Tb_ProjectKosten[[#Headers],[Forfait_Percentage]],Tb_ProjectKosten[#Headers],0),0),""),R46 &lt;=0,0),"")</f>
        <v/>
      </c>
      <c r="V46" s="314" t="str" cm="1">
        <f t="array" aca="1" ref="V46" ca="1">IFERROR(_xlfn.IFS(OR(F46="",LEFT(Methode_Keuze,4)="Geen",Methode_Keuze=""),"",AND(S46&lt;&gt;"",F46&lt;&gt;"Arbeidskosten"),S46*VLOOKUP(F46,Tb_ProjectKosten[],MATCH(Tb_ProjectKosten[[#Headers],[Forfait_Percentage]],Tb_ProjectKosten[#Headers],0),0),AND(F46="Arbeidskosten",G46&lt;&gt;""),IFERROR(S46*VLOOKUP(G46,Tb_KostenTypen[],3,0)*VLOOKUP(F46,Tb_ProjectKosten[],MATCH(Tb_ProjectKosten[[#Headers],[Forfait_Percentage]],Tb_ProjectKosten[#Headers],0),0),""),S46 &lt;=0,0),"")</f>
        <v/>
      </c>
      <c r="W46" s="314" t="str">
        <f t="shared" ca="1" si="4"/>
        <v/>
      </c>
      <c r="X46" s="376" t="str">
        <f>IFERROR(VLOOKUP(F46,Tb_ProjectKosten[#All],11,0),"")</f>
        <v/>
      </c>
      <c r="Y46" s="315"/>
    </row>
    <row r="47" spans="1:25" x14ac:dyDescent="0.25">
      <c r="A47" s="309">
        <f>MAX($A$5:A46)+1</f>
        <v>42</v>
      </c>
      <c r="B47" s="296"/>
      <c r="C47" s="296"/>
      <c r="D47" s="296"/>
      <c r="E47" s="296"/>
      <c r="F47" s="296"/>
      <c r="G47" s="327"/>
      <c r="H47" s="310" t="str">
        <f ca="1">IFERROR(IF(VLOOKUP(F47,Kostentypen!$A$3:$E$21,3,0)=0,"",IF(OR(F47="Arbeidskosten",F47="Vergoeding"),VLOOKUP(G47,Tb_KostenTypen[],2,0),VLOOKUP(F47,Kostentypen!$A$3:$E$20,3,0))),"")</f>
        <v/>
      </c>
      <c r="I47" s="311"/>
      <c r="J47" s="312" t="str" cm="1">
        <f t="array" ref="J47">_xlfn.IFNA(IF(INDEX(Tb_KostenOpties[],MATCH($F47,Tb_KostenOpties[KostenOptie],0),IFERROR(MATCH(Methode_Keuze,Tb_KostenOpties[#Headers],0),2))=1,_xlfn.SWITCH($H47,"Uurtarief",IF(OR(AND(RIGHT($F47,3)="IKS",VLOOKUP($I47,Loonkosten,2,0)="Ja"),AND(RIGHT($F47,3)&lt;&gt;"IKS",VLOOKUP($I47,Loonkosten,2,0)="Nee")), VLOOKUP($I47,Loonkosten,MATCH("Opgegeven uurtarief",'4. Rekenhulp loonkosten aanvr.'!$4:$4,0)),0),"Vast tarief",IF(LEFT(F47,8)="Bijdrage",VLOOKUP($F47,Tb_KostenTypen[],MATCH(Lijsten!$P$1,Tb_KostenTypen[#Headers],0),0),VLOOKUP($G47,Lijsten!L:P,MATCH(Lijsten!$P$1,Kop_Tarief_Vast,0),0))),""),"")</f>
        <v/>
      </c>
      <c r="K47" s="312" t="str" cm="1">
        <f t="array" ref="K47">_xlfn.IFNA(IF(INDEX(Tb_KostenOpties[],MATCH($F47,Tb_KostenOpties[KostenOptie],0),IFERROR(MATCH(Methode_Keuze,Tb_KostenOpties[#Headers],0),2))=1,_xlfn.SWITCH($H47,"Uurtarief",IF(OR(AND(RIGHT($F47,3)="IKS",VLOOKUP($I47,Loonkosten,2,0)="Ja"),AND(RIGHT($F47,3)&lt;&gt;"IKS",VLOOKUP($I47,Loonkosten,2,0)="Nee")), VLOOKUP($I47,Loonkosten,MATCH("Beoordeeld uurtarief",'4. Rekenhulp loonkosten aanvr.'!$4:$4,0),0),0),"Vast tarief",IF(LEFT(F47,8)="Bijdrage",VLOOKUP($F47,Tb_KostenTypen[],MATCH(Lijsten!$P$1,Tb_KostenTypen[#Headers],0),0),VLOOKUP($G47,Lijsten!L:P,MATCH(Lijsten!$P$1,Kop_Tarief_Vast,0),0))),""),"")</f>
        <v/>
      </c>
      <c r="L47" s="358"/>
      <c r="M47" s="358"/>
      <c r="N47" s="313"/>
      <c r="O47" s="313"/>
      <c r="P47" s="374" t="str">
        <f t="shared" si="1"/>
        <v/>
      </c>
      <c r="Q47" s="314" t="str">
        <f t="shared" si="2"/>
        <v/>
      </c>
      <c r="R47" s="314" t="str" cm="1">
        <f t="array" aca="1" ref="R47" ca="1">_xlfn.IFNA(_xlfn.IFS(X47="Dit kostentype hoeft u niet op te geven. Hiervoor wordt een forfait berekend.","",AND(J47&lt;&gt;"",H47="Vast tarief",F47="Vergoeding"),SUM(J47)*FLOOR(SUM(L47),0.0001),AND(J47&lt;&gt;"",OR(H47="Uurtarief",H47="Vast tarief")),SUM(J47)*FLOOR(SUM(L47),0.01),AND(N47&lt;&gt;"",H47="-"),FLOOR(SUM(N47),0.01)),"")</f>
        <v/>
      </c>
      <c r="S47" s="314" t="str" cm="1">
        <f t="array" aca="1" ref="S47" ca="1">_xlfn.IFNA(_xlfn.IFS(X47="Dit kostentype hoeft u niet op te geven. Hiervoor wordt een forfait berekend.","",AND(K47&lt;&gt;"",M47&lt;&gt;"",H47="Vast tarief",F47="Vergoeding"),SUM(K47)*FLOOR(SUM(M47),0.0001),AND(K47&lt;&gt;"",M47&lt;&gt;"",OR(H47="Uurtarief",H47="Vast tarief")),SUM(K47)*FLOOR(SUM(M47),0.01),AND(O47&lt;&gt;"",H47="-"),FLOOR(SUM(O47),0.01)),"")</f>
        <v/>
      </c>
      <c r="T47" s="314" t="str">
        <f t="shared" ca="1" si="3"/>
        <v/>
      </c>
      <c r="U47" s="314" t="str" cm="1">
        <f t="array" aca="1" ref="U47" ca="1">IFERROR(_xlfn.IFS(OR(F47="",LEFT(Methode_Keuze,4)="Geen",Methode_Keuze=""),"",AND(R47&lt;&gt;"",F47&lt;&gt;"Arbeidskosten"),R47*VLOOKUP(F47,Tb_ProjectKosten[],MATCH(Tb_ProjectKosten[[#Headers],[Forfait_Percentage]],Tb_ProjectKosten[#Headers],0),0),AND(F47="Arbeidskosten",G47&lt;&gt;""),IFERROR(R47*VLOOKUP(G47,Tb_KostenTypen[],3,0)*VLOOKUP(F47,Tb_ProjectKosten[],MATCH(Tb_ProjectKosten[[#Headers],[Forfait_Percentage]],Tb_ProjectKosten[#Headers],0),0),""),R47 &lt;=0,0),"")</f>
        <v/>
      </c>
      <c r="V47" s="314" t="str" cm="1">
        <f t="array" aca="1" ref="V47" ca="1">IFERROR(_xlfn.IFS(OR(F47="",LEFT(Methode_Keuze,4)="Geen",Methode_Keuze=""),"",AND(S47&lt;&gt;"",F47&lt;&gt;"Arbeidskosten"),S47*VLOOKUP(F47,Tb_ProjectKosten[],MATCH(Tb_ProjectKosten[[#Headers],[Forfait_Percentage]],Tb_ProjectKosten[#Headers],0),0),AND(F47="Arbeidskosten",G47&lt;&gt;""),IFERROR(S47*VLOOKUP(G47,Tb_KostenTypen[],3,0)*VLOOKUP(F47,Tb_ProjectKosten[],MATCH(Tb_ProjectKosten[[#Headers],[Forfait_Percentage]],Tb_ProjectKosten[#Headers],0),0),""),S47 &lt;=0,0),"")</f>
        <v/>
      </c>
      <c r="W47" s="314" t="str">
        <f t="shared" ca="1" si="4"/>
        <v/>
      </c>
      <c r="X47" s="376" t="str">
        <f>IFERROR(VLOOKUP(F47,Tb_ProjectKosten[#All],11,0),"")</f>
        <v/>
      </c>
      <c r="Y47" s="315"/>
    </row>
    <row r="48" spans="1:25" x14ac:dyDescent="0.25">
      <c r="A48" s="309">
        <f>MAX($A$5:A47)+1</f>
        <v>43</v>
      </c>
      <c r="B48" s="296"/>
      <c r="C48" s="296"/>
      <c r="D48" s="296"/>
      <c r="E48" s="296"/>
      <c r="F48" s="296"/>
      <c r="G48" s="327"/>
      <c r="H48" s="310" t="str">
        <f ca="1">IFERROR(IF(VLOOKUP(F48,Kostentypen!$A$3:$E$21,3,0)=0,"",IF(OR(F48="Arbeidskosten",F48="Vergoeding"),VLOOKUP(G48,Tb_KostenTypen[],2,0),VLOOKUP(F48,Kostentypen!$A$3:$E$20,3,0))),"")</f>
        <v/>
      </c>
      <c r="I48" s="311"/>
      <c r="J48" s="312" t="str" cm="1">
        <f t="array" ref="J48">_xlfn.IFNA(IF(INDEX(Tb_KostenOpties[],MATCH($F48,Tb_KostenOpties[KostenOptie],0),IFERROR(MATCH(Methode_Keuze,Tb_KostenOpties[#Headers],0),2))=1,_xlfn.SWITCH($H48,"Uurtarief",IF(OR(AND(RIGHT($F48,3)="IKS",VLOOKUP($I48,Loonkosten,2,0)="Ja"),AND(RIGHT($F48,3)&lt;&gt;"IKS",VLOOKUP($I48,Loonkosten,2,0)="Nee")), VLOOKUP($I48,Loonkosten,MATCH("Opgegeven uurtarief",'4. Rekenhulp loonkosten aanvr.'!$4:$4,0)),0),"Vast tarief",IF(LEFT(F48,8)="Bijdrage",VLOOKUP($F48,Tb_KostenTypen[],MATCH(Lijsten!$P$1,Tb_KostenTypen[#Headers],0),0),VLOOKUP($G48,Lijsten!L:P,MATCH(Lijsten!$P$1,Kop_Tarief_Vast,0),0))),""),"")</f>
        <v/>
      </c>
      <c r="K48" s="312" t="str" cm="1">
        <f t="array" ref="K48">_xlfn.IFNA(IF(INDEX(Tb_KostenOpties[],MATCH($F48,Tb_KostenOpties[KostenOptie],0),IFERROR(MATCH(Methode_Keuze,Tb_KostenOpties[#Headers],0),2))=1,_xlfn.SWITCH($H48,"Uurtarief",IF(OR(AND(RIGHT($F48,3)="IKS",VLOOKUP($I48,Loonkosten,2,0)="Ja"),AND(RIGHT($F48,3)&lt;&gt;"IKS",VLOOKUP($I48,Loonkosten,2,0)="Nee")), VLOOKUP($I48,Loonkosten,MATCH("Beoordeeld uurtarief",'4. Rekenhulp loonkosten aanvr.'!$4:$4,0),0),0),"Vast tarief",IF(LEFT(F48,8)="Bijdrage",VLOOKUP($F48,Tb_KostenTypen[],MATCH(Lijsten!$P$1,Tb_KostenTypen[#Headers],0),0),VLOOKUP($G48,Lijsten!L:P,MATCH(Lijsten!$P$1,Kop_Tarief_Vast,0),0))),""),"")</f>
        <v/>
      </c>
      <c r="L48" s="358"/>
      <c r="M48" s="358"/>
      <c r="N48" s="313"/>
      <c r="O48" s="313"/>
      <c r="P48" s="374" t="str">
        <f t="shared" si="1"/>
        <v/>
      </c>
      <c r="Q48" s="314" t="str">
        <f t="shared" si="2"/>
        <v/>
      </c>
      <c r="R48" s="314" t="str" cm="1">
        <f t="array" aca="1" ref="R48" ca="1">_xlfn.IFNA(_xlfn.IFS(X48="Dit kostentype hoeft u niet op te geven. Hiervoor wordt een forfait berekend.","",AND(J48&lt;&gt;"",H48="Vast tarief",F48="Vergoeding"),SUM(J48)*FLOOR(SUM(L48),0.0001),AND(J48&lt;&gt;"",OR(H48="Uurtarief",H48="Vast tarief")),SUM(J48)*FLOOR(SUM(L48),0.01),AND(N48&lt;&gt;"",H48="-"),FLOOR(SUM(N48),0.01)),"")</f>
        <v/>
      </c>
      <c r="S48" s="314" t="str" cm="1">
        <f t="array" aca="1" ref="S48" ca="1">_xlfn.IFNA(_xlfn.IFS(X48="Dit kostentype hoeft u niet op te geven. Hiervoor wordt een forfait berekend.","",AND(K48&lt;&gt;"",M48&lt;&gt;"",H48="Vast tarief",F48="Vergoeding"),SUM(K48)*FLOOR(SUM(M48),0.0001),AND(K48&lt;&gt;"",M48&lt;&gt;"",OR(H48="Uurtarief",H48="Vast tarief")),SUM(K48)*FLOOR(SUM(M48),0.01),AND(O48&lt;&gt;"",H48="-"),FLOOR(SUM(O48),0.01)),"")</f>
        <v/>
      </c>
      <c r="T48" s="314" t="str">
        <f t="shared" ca="1" si="3"/>
        <v/>
      </c>
      <c r="U48" s="314" t="str" cm="1">
        <f t="array" aca="1" ref="U48" ca="1">IFERROR(_xlfn.IFS(OR(F48="",LEFT(Methode_Keuze,4)="Geen",Methode_Keuze=""),"",AND(R48&lt;&gt;"",F48&lt;&gt;"Arbeidskosten"),R48*VLOOKUP(F48,Tb_ProjectKosten[],MATCH(Tb_ProjectKosten[[#Headers],[Forfait_Percentage]],Tb_ProjectKosten[#Headers],0),0),AND(F48="Arbeidskosten",G48&lt;&gt;""),IFERROR(R48*VLOOKUP(G48,Tb_KostenTypen[],3,0)*VLOOKUP(F48,Tb_ProjectKosten[],MATCH(Tb_ProjectKosten[[#Headers],[Forfait_Percentage]],Tb_ProjectKosten[#Headers],0),0),""),R48 &lt;=0,0),"")</f>
        <v/>
      </c>
      <c r="V48" s="314" t="str" cm="1">
        <f t="array" aca="1" ref="V48" ca="1">IFERROR(_xlfn.IFS(OR(F48="",LEFT(Methode_Keuze,4)="Geen",Methode_Keuze=""),"",AND(S48&lt;&gt;"",F48&lt;&gt;"Arbeidskosten"),S48*VLOOKUP(F48,Tb_ProjectKosten[],MATCH(Tb_ProjectKosten[[#Headers],[Forfait_Percentage]],Tb_ProjectKosten[#Headers],0),0),AND(F48="Arbeidskosten",G48&lt;&gt;""),IFERROR(S48*VLOOKUP(G48,Tb_KostenTypen[],3,0)*VLOOKUP(F48,Tb_ProjectKosten[],MATCH(Tb_ProjectKosten[[#Headers],[Forfait_Percentage]],Tb_ProjectKosten[#Headers],0),0),""),S48 &lt;=0,0),"")</f>
        <v/>
      </c>
      <c r="W48" s="314" t="str">
        <f t="shared" ca="1" si="4"/>
        <v/>
      </c>
      <c r="X48" s="376" t="str">
        <f>IFERROR(VLOOKUP(F48,Tb_ProjectKosten[#All],11,0),"")</f>
        <v/>
      </c>
      <c r="Y48" s="315"/>
    </row>
    <row r="49" spans="1:25" x14ac:dyDescent="0.25">
      <c r="A49" s="309">
        <f>MAX($A$5:A48)+1</f>
        <v>44</v>
      </c>
      <c r="B49" s="296"/>
      <c r="C49" s="296"/>
      <c r="D49" s="296"/>
      <c r="E49" s="296"/>
      <c r="F49" s="296"/>
      <c r="G49" s="327"/>
      <c r="H49" s="310" t="str">
        <f ca="1">IFERROR(IF(VLOOKUP(F49,Kostentypen!$A$3:$E$21,3,0)=0,"",IF(OR(F49="Arbeidskosten",F49="Vergoeding"),VLOOKUP(G49,Tb_KostenTypen[],2,0),VLOOKUP(F49,Kostentypen!$A$3:$E$20,3,0))),"")</f>
        <v/>
      </c>
      <c r="I49" s="311"/>
      <c r="J49" s="312" t="str" cm="1">
        <f t="array" ref="J49">_xlfn.IFNA(IF(INDEX(Tb_KostenOpties[],MATCH($F49,Tb_KostenOpties[KostenOptie],0),IFERROR(MATCH(Methode_Keuze,Tb_KostenOpties[#Headers],0),2))=1,_xlfn.SWITCH($H49,"Uurtarief",IF(OR(AND(RIGHT($F49,3)="IKS",VLOOKUP($I49,Loonkosten,2,0)="Ja"),AND(RIGHT($F49,3)&lt;&gt;"IKS",VLOOKUP($I49,Loonkosten,2,0)="Nee")), VLOOKUP($I49,Loonkosten,MATCH("Opgegeven uurtarief",'4. Rekenhulp loonkosten aanvr.'!$4:$4,0)),0),"Vast tarief",IF(LEFT(F49,8)="Bijdrage",VLOOKUP($F49,Tb_KostenTypen[],MATCH(Lijsten!$P$1,Tb_KostenTypen[#Headers],0),0),VLOOKUP($G49,Lijsten!L:P,MATCH(Lijsten!$P$1,Kop_Tarief_Vast,0),0))),""),"")</f>
        <v/>
      </c>
      <c r="K49" s="312" t="str" cm="1">
        <f t="array" ref="K49">_xlfn.IFNA(IF(INDEX(Tb_KostenOpties[],MATCH($F49,Tb_KostenOpties[KostenOptie],0),IFERROR(MATCH(Methode_Keuze,Tb_KostenOpties[#Headers],0),2))=1,_xlfn.SWITCH($H49,"Uurtarief",IF(OR(AND(RIGHT($F49,3)="IKS",VLOOKUP($I49,Loonkosten,2,0)="Ja"),AND(RIGHT($F49,3)&lt;&gt;"IKS",VLOOKUP($I49,Loonkosten,2,0)="Nee")), VLOOKUP($I49,Loonkosten,MATCH("Beoordeeld uurtarief",'4. Rekenhulp loonkosten aanvr.'!$4:$4,0),0),0),"Vast tarief",IF(LEFT(F49,8)="Bijdrage",VLOOKUP($F49,Tb_KostenTypen[],MATCH(Lijsten!$P$1,Tb_KostenTypen[#Headers],0),0),VLOOKUP($G49,Lijsten!L:P,MATCH(Lijsten!$P$1,Kop_Tarief_Vast,0),0))),""),"")</f>
        <v/>
      </c>
      <c r="L49" s="358"/>
      <c r="M49" s="358"/>
      <c r="N49" s="313"/>
      <c r="O49" s="313"/>
      <c r="P49" s="374" t="str">
        <f t="shared" si="1"/>
        <v/>
      </c>
      <c r="Q49" s="314" t="str">
        <f t="shared" si="2"/>
        <v/>
      </c>
      <c r="R49" s="314" t="str" cm="1">
        <f t="array" aca="1" ref="R49" ca="1">_xlfn.IFNA(_xlfn.IFS(X49="Dit kostentype hoeft u niet op te geven. Hiervoor wordt een forfait berekend.","",AND(J49&lt;&gt;"",H49="Vast tarief",F49="Vergoeding"),SUM(J49)*FLOOR(SUM(L49),0.0001),AND(J49&lt;&gt;"",OR(H49="Uurtarief",H49="Vast tarief")),SUM(J49)*FLOOR(SUM(L49),0.01),AND(N49&lt;&gt;"",H49="-"),FLOOR(SUM(N49),0.01)),"")</f>
        <v/>
      </c>
      <c r="S49" s="314" t="str" cm="1">
        <f t="array" aca="1" ref="S49" ca="1">_xlfn.IFNA(_xlfn.IFS(X49="Dit kostentype hoeft u niet op te geven. Hiervoor wordt een forfait berekend.","",AND(K49&lt;&gt;"",M49&lt;&gt;"",H49="Vast tarief",F49="Vergoeding"),SUM(K49)*FLOOR(SUM(M49),0.0001),AND(K49&lt;&gt;"",M49&lt;&gt;"",OR(H49="Uurtarief",H49="Vast tarief")),SUM(K49)*FLOOR(SUM(M49),0.01),AND(O49&lt;&gt;"",H49="-"),FLOOR(SUM(O49),0.01)),"")</f>
        <v/>
      </c>
      <c r="T49" s="314" t="str">
        <f t="shared" ca="1" si="3"/>
        <v/>
      </c>
      <c r="U49" s="314" t="str" cm="1">
        <f t="array" aca="1" ref="U49" ca="1">IFERROR(_xlfn.IFS(OR(F49="",LEFT(Methode_Keuze,4)="Geen",Methode_Keuze=""),"",AND(R49&lt;&gt;"",F49&lt;&gt;"Arbeidskosten"),R49*VLOOKUP(F49,Tb_ProjectKosten[],MATCH(Tb_ProjectKosten[[#Headers],[Forfait_Percentage]],Tb_ProjectKosten[#Headers],0),0),AND(F49="Arbeidskosten",G49&lt;&gt;""),IFERROR(R49*VLOOKUP(G49,Tb_KostenTypen[],3,0)*VLOOKUP(F49,Tb_ProjectKosten[],MATCH(Tb_ProjectKosten[[#Headers],[Forfait_Percentage]],Tb_ProjectKosten[#Headers],0),0),""),R49 &lt;=0,0),"")</f>
        <v/>
      </c>
      <c r="V49" s="314" t="str" cm="1">
        <f t="array" aca="1" ref="V49" ca="1">IFERROR(_xlfn.IFS(OR(F49="",LEFT(Methode_Keuze,4)="Geen",Methode_Keuze=""),"",AND(S49&lt;&gt;"",F49&lt;&gt;"Arbeidskosten"),S49*VLOOKUP(F49,Tb_ProjectKosten[],MATCH(Tb_ProjectKosten[[#Headers],[Forfait_Percentage]],Tb_ProjectKosten[#Headers],0),0),AND(F49="Arbeidskosten",G49&lt;&gt;""),IFERROR(S49*VLOOKUP(G49,Tb_KostenTypen[],3,0)*VLOOKUP(F49,Tb_ProjectKosten[],MATCH(Tb_ProjectKosten[[#Headers],[Forfait_Percentage]],Tb_ProjectKosten[#Headers],0),0),""),S49 &lt;=0,0),"")</f>
        <v/>
      </c>
      <c r="W49" s="314" t="str">
        <f t="shared" ca="1" si="4"/>
        <v/>
      </c>
      <c r="X49" s="376" t="str">
        <f>IFERROR(VLOOKUP(F49,Tb_ProjectKosten[#All],11,0),"")</f>
        <v/>
      </c>
      <c r="Y49" s="315"/>
    </row>
    <row r="50" spans="1:25" x14ac:dyDescent="0.25">
      <c r="A50" s="309">
        <f>MAX($A$5:A49)+1</f>
        <v>45</v>
      </c>
      <c r="B50" s="296"/>
      <c r="C50" s="296"/>
      <c r="D50" s="296"/>
      <c r="E50" s="296"/>
      <c r="F50" s="296"/>
      <c r="G50" s="327"/>
      <c r="H50" s="310" t="str">
        <f ca="1">IFERROR(IF(VLOOKUP(F50,Kostentypen!$A$3:$E$21,3,0)=0,"",IF(OR(F50="Arbeidskosten",F50="Vergoeding"),VLOOKUP(G50,Tb_KostenTypen[],2,0),VLOOKUP(F50,Kostentypen!$A$3:$E$20,3,0))),"")</f>
        <v/>
      </c>
      <c r="I50" s="311"/>
      <c r="J50" s="312" t="str" cm="1">
        <f t="array" ref="J50">_xlfn.IFNA(IF(INDEX(Tb_KostenOpties[],MATCH($F50,Tb_KostenOpties[KostenOptie],0),IFERROR(MATCH(Methode_Keuze,Tb_KostenOpties[#Headers],0),2))=1,_xlfn.SWITCH($H50,"Uurtarief",IF(OR(AND(RIGHT($F50,3)="IKS",VLOOKUP($I50,Loonkosten,2,0)="Ja"),AND(RIGHT($F50,3)&lt;&gt;"IKS",VLOOKUP($I50,Loonkosten,2,0)="Nee")), VLOOKUP($I50,Loonkosten,MATCH("Opgegeven uurtarief",'4. Rekenhulp loonkosten aanvr.'!$4:$4,0)),0),"Vast tarief",IF(LEFT(F50,8)="Bijdrage",VLOOKUP($F50,Tb_KostenTypen[],MATCH(Lijsten!$P$1,Tb_KostenTypen[#Headers],0),0),VLOOKUP($G50,Lijsten!L:P,MATCH(Lijsten!$P$1,Kop_Tarief_Vast,0),0))),""),"")</f>
        <v/>
      </c>
      <c r="K50" s="312" t="str" cm="1">
        <f t="array" ref="K50">_xlfn.IFNA(IF(INDEX(Tb_KostenOpties[],MATCH($F50,Tb_KostenOpties[KostenOptie],0),IFERROR(MATCH(Methode_Keuze,Tb_KostenOpties[#Headers],0),2))=1,_xlfn.SWITCH($H50,"Uurtarief",IF(OR(AND(RIGHT($F50,3)="IKS",VLOOKUP($I50,Loonkosten,2,0)="Ja"),AND(RIGHT($F50,3)&lt;&gt;"IKS",VLOOKUP($I50,Loonkosten,2,0)="Nee")), VLOOKUP($I50,Loonkosten,MATCH("Beoordeeld uurtarief",'4. Rekenhulp loonkosten aanvr.'!$4:$4,0),0),0),"Vast tarief",IF(LEFT(F50,8)="Bijdrage",VLOOKUP($F50,Tb_KostenTypen[],MATCH(Lijsten!$P$1,Tb_KostenTypen[#Headers],0),0),VLOOKUP($G50,Lijsten!L:P,MATCH(Lijsten!$P$1,Kop_Tarief_Vast,0),0))),""),"")</f>
        <v/>
      </c>
      <c r="L50" s="358"/>
      <c r="M50" s="358"/>
      <c r="N50" s="313"/>
      <c r="O50" s="313"/>
      <c r="P50" s="374" t="str">
        <f t="shared" si="1"/>
        <v/>
      </c>
      <c r="Q50" s="314" t="str">
        <f t="shared" si="2"/>
        <v/>
      </c>
      <c r="R50" s="314" t="str" cm="1">
        <f t="array" aca="1" ref="R50" ca="1">_xlfn.IFNA(_xlfn.IFS(X50="Dit kostentype hoeft u niet op te geven. Hiervoor wordt een forfait berekend.","",AND(J50&lt;&gt;"",H50="Vast tarief",F50="Vergoeding"),SUM(J50)*FLOOR(SUM(L50),0.0001),AND(J50&lt;&gt;"",OR(H50="Uurtarief",H50="Vast tarief")),SUM(J50)*FLOOR(SUM(L50),0.01),AND(N50&lt;&gt;"",H50="-"),FLOOR(SUM(N50),0.01)),"")</f>
        <v/>
      </c>
      <c r="S50" s="314" t="str" cm="1">
        <f t="array" aca="1" ref="S50" ca="1">_xlfn.IFNA(_xlfn.IFS(X50="Dit kostentype hoeft u niet op te geven. Hiervoor wordt een forfait berekend.","",AND(K50&lt;&gt;"",M50&lt;&gt;"",H50="Vast tarief",F50="Vergoeding"),SUM(K50)*FLOOR(SUM(M50),0.0001),AND(K50&lt;&gt;"",M50&lt;&gt;"",OR(H50="Uurtarief",H50="Vast tarief")),SUM(K50)*FLOOR(SUM(M50),0.01),AND(O50&lt;&gt;"",H50="-"),FLOOR(SUM(O50),0.01)),"")</f>
        <v/>
      </c>
      <c r="T50" s="314" t="str">
        <f t="shared" ca="1" si="3"/>
        <v/>
      </c>
      <c r="U50" s="314" t="str" cm="1">
        <f t="array" aca="1" ref="U50" ca="1">IFERROR(_xlfn.IFS(OR(F50="",LEFT(Methode_Keuze,4)="Geen",Methode_Keuze=""),"",AND(R50&lt;&gt;"",F50&lt;&gt;"Arbeidskosten"),R50*VLOOKUP(F50,Tb_ProjectKosten[],MATCH(Tb_ProjectKosten[[#Headers],[Forfait_Percentage]],Tb_ProjectKosten[#Headers],0),0),AND(F50="Arbeidskosten",G50&lt;&gt;""),IFERROR(R50*VLOOKUP(G50,Tb_KostenTypen[],3,0)*VLOOKUP(F50,Tb_ProjectKosten[],MATCH(Tb_ProjectKosten[[#Headers],[Forfait_Percentage]],Tb_ProjectKosten[#Headers],0),0),""),R50 &lt;=0,0),"")</f>
        <v/>
      </c>
      <c r="V50" s="314" t="str" cm="1">
        <f t="array" aca="1" ref="V50" ca="1">IFERROR(_xlfn.IFS(OR(F50="",LEFT(Methode_Keuze,4)="Geen",Methode_Keuze=""),"",AND(S50&lt;&gt;"",F50&lt;&gt;"Arbeidskosten"),S50*VLOOKUP(F50,Tb_ProjectKosten[],MATCH(Tb_ProjectKosten[[#Headers],[Forfait_Percentage]],Tb_ProjectKosten[#Headers],0),0),AND(F50="Arbeidskosten",G50&lt;&gt;""),IFERROR(S50*VLOOKUP(G50,Tb_KostenTypen[],3,0)*VLOOKUP(F50,Tb_ProjectKosten[],MATCH(Tb_ProjectKosten[[#Headers],[Forfait_Percentage]],Tb_ProjectKosten[#Headers],0),0),""),S50 &lt;=0,0),"")</f>
        <v/>
      </c>
      <c r="W50" s="314" t="str">
        <f t="shared" ca="1" si="4"/>
        <v/>
      </c>
      <c r="X50" s="376" t="str">
        <f>IFERROR(VLOOKUP(F50,Tb_ProjectKosten[#All],11,0),"")</f>
        <v/>
      </c>
      <c r="Y50" s="315"/>
    </row>
    <row r="51" spans="1:25" x14ac:dyDescent="0.25">
      <c r="A51" s="309">
        <f>MAX($A$5:A50)+1</f>
        <v>46</v>
      </c>
      <c r="B51" s="296"/>
      <c r="C51" s="296"/>
      <c r="D51" s="296"/>
      <c r="E51" s="296"/>
      <c r="F51" s="296"/>
      <c r="G51" s="327"/>
      <c r="H51" s="310" t="str">
        <f ca="1">IFERROR(IF(VLOOKUP(F51,Kostentypen!$A$3:$E$21,3,0)=0,"",IF(OR(F51="Arbeidskosten",F51="Vergoeding"),VLOOKUP(G51,Tb_KostenTypen[],2,0),VLOOKUP(F51,Kostentypen!$A$3:$E$20,3,0))),"")</f>
        <v/>
      </c>
      <c r="I51" s="311"/>
      <c r="J51" s="312" t="str" cm="1">
        <f t="array" ref="J51">_xlfn.IFNA(IF(INDEX(Tb_KostenOpties[],MATCH($F51,Tb_KostenOpties[KostenOptie],0),IFERROR(MATCH(Methode_Keuze,Tb_KostenOpties[#Headers],0),2))=1,_xlfn.SWITCH($H51,"Uurtarief",IF(OR(AND(RIGHT($F51,3)="IKS",VLOOKUP($I51,Loonkosten,2,0)="Ja"),AND(RIGHT($F51,3)&lt;&gt;"IKS",VLOOKUP($I51,Loonkosten,2,0)="Nee")), VLOOKUP($I51,Loonkosten,MATCH("Opgegeven uurtarief",'4. Rekenhulp loonkosten aanvr.'!$4:$4,0)),0),"Vast tarief",IF(LEFT(F51,8)="Bijdrage",VLOOKUP($F51,Tb_KostenTypen[],MATCH(Lijsten!$P$1,Tb_KostenTypen[#Headers],0),0),VLOOKUP($G51,Lijsten!L:P,MATCH(Lijsten!$P$1,Kop_Tarief_Vast,0),0))),""),"")</f>
        <v/>
      </c>
      <c r="K51" s="312" t="str" cm="1">
        <f t="array" ref="K51">_xlfn.IFNA(IF(INDEX(Tb_KostenOpties[],MATCH($F51,Tb_KostenOpties[KostenOptie],0),IFERROR(MATCH(Methode_Keuze,Tb_KostenOpties[#Headers],0),2))=1,_xlfn.SWITCH($H51,"Uurtarief",IF(OR(AND(RIGHT($F51,3)="IKS",VLOOKUP($I51,Loonkosten,2,0)="Ja"),AND(RIGHT($F51,3)&lt;&gt;"IKS",VLOOKUP($I51,Loonkosten,2,0)="Nee")), VLOOKUP($I51,Loonkosten,MATCH("Beoordeeld uurtarief",'4. Rekenhulp loonkosten aanvr.'!$4:$4,0),0),0),"Vast tarief",IF(LEFT(F51,8)="Bijdrage",VLOOKUP($F51,Tb_KostenTypen[],MATCH(Lijsten!$P$1,Tb_KostenTypen[#Headers],0),0),VLOOKUP($G51,Lijsten!L:P,MATCH(Lijsten!$P$1,Kop_Tarief_Vast,0),0))),""),"")</f>
        <v/>
      </c>
      <c r="L51" s="358"/>
      <c r="M51" s="358"/>
      <c r="N51" s="313"/>
      <c r="O51" s="313"/>
      <c r="P51" s="374" t="str">
        <f t="shared" si="1"/>
        <v/>
      </c>
      <c r="Q51" s="314" t="str">
        <f t="shared" si="2"/>
        <v/>
      </c>
      <c r="R51" s="314" t="str" cm="1">
        <f t="array" aca="1" ref="R51" ca="1">_xlfn.IFNA(_xlfn.IFS(X51="Dit kostentype hoeft u niet op te geven. Hiervoor wordt een forfait berekend.","",AND(J51&lt;&gt;"",H51="Vast tarief",F51="Vergoeding"),SUM(J51)*FLOOR(SUM(L51),0.0001),AND(J51&lt;&gt;"",OR(H51="Uurtarief",H51="Vast tarief")),SUM(J51)*FLOOR(SUM(L51),0.01),AND(N51&lt;&gt;"",H51="-"),FLOOR(SUM(N51),0.01)),"")</f>
        <v/>
      </c>
      <c r="S51" s="314" t="str" cm="1">
        <f t="array" aca="1" ref="S51" ca="1">_xlfn.IFNA(_xlfn.IFS(X51="Dit kostentype hoeft u niet op te geven. Hiervoor wordt een forfait berekend.","",AND(K51&lt;&gt;"",M51&lt;&gt;"",H51="Vast tarief",F51="Vergoeding"),SUM(K51)*FLOOR(SUM(M51),0.0001),AND(K51&lt;&gt;"",M51&lt;&gt;"",OR(H51="Uurtarief",H51="Vast tarief")),SUM(K51)*FLOOR(SUM(M51),0.01),AND(O51&lt;&gt;"",H51="-"),FLOOR(SUM(O51),0.01)),"")</f>
        <v/>
      </c>
      <c r="T51" s="314" t="str">
        <f t="shared" ca="1" si="3"/>
        <v/>
      </c>
      <c r="U51" s="314" t="str" cm="1">
        <f t="array" aca="1" ref="U51" ca="1">IFERROR(_xlfn.IFS(OR(F51="",LEFT(Methode_Keuze,4)="Geen",Methode_Keuze=""),"",AND(R51&lt;&gt;"",F51&lt;&gt;"Arbeidskosten"),R51*VLOOKUP(F51,Tb_ProjectKosten[],MATCH(Tb_ProjectKosten[[#Headers],[Forfait_Percentage]],Tb_ProjectKosten[#Headers],0),0),AND(F51="Arbeidskosten",G51&lt;&gt;""),IFERROR(R51*VLOOKUP(G51,Tb_KostenTypen[],3,0)*VLOOKUP(F51,Tb_ProjectKosten[],MATCH(Tb_ProjectKosten[[#Headers],[Forfait_Percentage]],Tb_ProjectKosten[#Headers],0),0),""),R51 &lt;=0,0),"")</f>
        <v/>
      </c>
      <c r="V51" s="314" t="str" cm="1">
        <f t="array" aca="1" ref="V51" ca="1">IFERROR(_xlfn.IFS(OR(F51="",LEFT(Methode_Keuze,4)="Geen",Methode_Keuze=""),"",AND(S51&lt;&gt;"",F51&lt;&gt;"Arbeidskosten"),S51*VLOOKUP(F51,Tb_ProjectKosten[],MATCH(Tb_ProjectKosten[[#Headers],[Forfait_Percentage]],Tb_ProjectKosten[#Headers],0),0),AND(F51="Arbeidskosten",G51&lt;&gt;""),IFERROR(S51*VLOOKUP(G51,Tb_KostenTypen[],3,0)*VLOOKUP(F51,Tb_ProjectKosten[],MATCH(Tb_ProjectKosten[[#Headers],[Forfait_Percentage]],Tb_ProjectKosten[#Headers],0),0),""),S51 &lt;=0,0),"")</f>
        <v/>
      </c>
      <c r="W51" s="314" t="str">
        <f t="shared" ca="1" si="4"/>
        <v/>
      </c>
      <c r="X51" s="376" t="str">
        <f>IFERROR(VLOOKUP(F51,Tb_ProjectKosten[#All],11,0),"")</f>
        <v/>
      </c>
      <c r="Y51" s="315"/>
    </row>
    <row r="52" spans="1:25" x14ac:dyDescent="0.25">
      <c r="A52" s="309">
        <f>MAX($A$5:A51)+1</f>
        <v>47</v>
      </c>
      <c r="B52" s="296"/>
      <c r="C52" s="296"/>
      <c r="D52" s="296"/>
      <c r="E52" s="296"/>
      <c r="F52" s="296"/>
      <c r="G52" s="327"/>
      <c r="H52" s="310" t="str">
        <f ca="1">IFERROR(IF(VLOOKUP(F52,Kostentypen!$A$3:$E$21,3,0)=0,"",IF(OR(F52="Arbeidskosten",F52="Vergoeding"),VLOOKUP(G52,Tb_KostenTypen[],2,0),VLOOKUP(F52,Kostentypen!$A$3:$E$20,3,0))),"")</f>
        <v/>
      </c>
      <c r="I52" s="311"/>
      <c r="J52" s="312" t="str" cm="1">
        <f t="array" ref="J52">_xlfn.IFNA(IF(INDEX(Tb_KostenOpties[],MATCH($F52,Tb_KostenOpties[KostenOptie],0),IFERROR(MATCH(Methode_Keuze,Tb_KostenOpties[#Headers],0),2))=1,_xlfn.SWITCH($H52,"Uurtarief",IF(OR(AND(RIGHT($F52,3)="IKS",VLOOKUP($I52,Loonkosten,2,0)="Ja"),AND(RIGHT($F52,3)&lt;&gt;"IKS",VLOOKUP($I52,Loonkosten,2,0)="Nee")), VLOOKUP($I52,Loonkosten,MATCH("Opgegeven uurtarief",'4. Rekenhulp loonkosten aanvr.'!$4:$4,0)),0),"Vast tarief",IF(LEFT(F52,8)="Bijdrage",VLOOKUP($F52,Tb_KostenTypen[],MATCH(Lijsten!$P$1,Tb_KostenTypen[#Headers],0),0),VLOOKUP($G52,Lijsten!L:P,MATCH(Lijsten!$P$1,Kop_Tarief_Vast,0),0))),""),"")</f>
        <v/>
      </c>
      <c r="K52" s="312" t="str" cm="1">
        <f t="array" ref="K52">_xlfn.IFNA(IF(INDEX(Tb_KostenOpties[],MATCH($F52,Tb_KostenOpties[KostenOptie],0),IFERROR(MATCH(Methode_Keuze,Tb_KostenOpties[#Headers],0),2))=1,_xlfn.SWITCH($H52,"Uurtarief",IF(OR(AND(RIGHT($F52,3)="IKS",VLOOKUP($I52,Loonkosten,2,0)="Ja"),AND(RIGHT($F52,3)&lt;&gt;"IKS",VLOOKUP($I52,Loonkosten,2,0)="Nee")), VLOOKUP($I52,Loonkosten,MATCH("Beoordeeld uurtarief",'4. Rekenhulp loonkosten aanvr.'!$4:$4,0),0),0),"Vast tarief",IF(LEFT(F52,8)="Bijdrage",VLOOKUP($F52,Tb_KostenTypen[],MATCH(Lijsten!$P$1,Tb_KostenTypen[#Headers],0),0),VLOOKUP($G52,Lijsten!L:P,MATCH(Lijsten!$P$1,Kop_Tarief_Vast,0),0))),""),"")</f>
        <v/>
      </c>
      <c r="L52" s="358"/>
      <c r="M52" s="358"/>
      <c r="N52" s="313"/>
      <c r="O52" s="313"/>
      <c r="P52" s="374" t="str">
        <f t="shared" si="1"/>
        <v/>
      </c>
      <c r="Q52" s="314" t="str">
        <f t="shared" si="2"/>
        <v/>
      </c>
      <c r="R52" s="314" t="str" cm="1">
        <f t="array" aca="1" ref="R52" ca="1">_xlfn.IFNA(_xlfn.IFS(X52="Dit kostentype hoeft u niet op te geven. Hiervoor wordt een forfait berekend.","",AND(J52&lt;&gt;"",H52="Vast tarief",F52="Vergoeding"),SUM(J52)*FLOOR(SUM(L52),0.0001),AND(J52&lt;&gt;"",OR(H52="Uurtarief",H52="Vast tarief")),SUM(J52)*FLOOR(SUM(L52),0.01),AND(N52&lt;&gt;"",H52="-"),FLOOR(SUM(N52),0.01)),"")</f>
        <v/>
      </c>
      <c r="S52" s="314" t="str" cm="1">
        <f t="array" aca="1" ref="S52" ca="1">_xlfn.IFNA(_xlfn.IFS(X52="Dit kostentype hoeft u niet op te geven. Hiervoor wordt een forfait berekend.","",AND(K52&lt;&gt;"",M52&lt;&gt;"",H52="Vast tarief",F52="Vergoeding"),SUM(K52)*FLOOR(SUM(M52),0.0001),AND(K52&lt;&gt;"",M52&lt;&gt;"",OR(H52="Uurtarief",H52="Vast tarief")),SUM(K52)*FLOOR(SUM(M52),0.01),AND(O52&lt;&gt;"",H52="-"),FLOOR(SUM(O52),0.01)),"")</f>
        <v/>
      </c>
      <c r="T52" s="314" t="str">
        <f t="shared" ca="1" si="3"/>
        <v/>
      </c>
      <c r="U52" s="314" t="str" cm="1">
        <f t="array" aca="1" ref="U52" ca="1">IFERROR(_xlfn.IFS(OR(F52="",LEFT(Methode_Keuze,4)="Geen",Methode_Keuze=""),"",AND(R52&lt;&gt;"",F52&lt;&gt;"Arbeidskosten"),R52*VLOOKUP(F52,Tb_ProjectKosten[],MATCH(Tb_ProjectKosten[[#Headers],[Forfait_Percentage]],Tb_ProjectKosten[#Headers],0),0),AND(F52="Arbeidskosten",G52&lt;&gt;""),IFERROR(R52*VLOOKUP(G52,Tb_KostenTypen[],3,0)*VLOOKUP(F52,Tb_ProjectKosten[],MATCH(Tb_ProjectKosten[[#Headers],[Forfait_Percentage]],Tb_ProjectKosten[#Headers],0),0),""),R52 &lt;=0,0),"")</f>
        <v/>
      </c>
      <c r="V52" s="314" t="str" cm="1">
        <f t="array" aca="1" ref="V52" ca="1">IFERROR(_xlfn.IFS(OR(F52="",LEFT(Methode_Keuze,4)="Geen",Methode_Keuze=""),"",AND(S52&lt;&gt;"",F52&lt;&gt;"Arbeidskosten"),S52*VLOOKUP(F52,Tb_ProjectKosten[],MATCH(Tb_ProjectKosten[[#Headers],[Forfait_Percentage]],Tb_ProjectKosten[#Headers],0),0),AND(F52="Arbeidskosten",G52&lt;&gt;""),IFERROR(S52*VLOOKUP(G52,Tb_KostenTypen[],3,0)*VLOOKUP(F52,Tb_ProjectKosten[],MATCH(Tb_ProjectKosten[[#Headers],[Forfait_Percentage]],Tb_ProjectKosten[#Headers],0),0),""),S52 &lt;=0,0),"")</f>
        <v/>
      </c>
      <c r="W52" s="314" t="str">
        <f t="shared" ca="1" si="4"/>
        <v/>
      </c>
      <c r="X52" s="376" t="str">
        <f>IFERROR(VLOOKUP(F52,Tb_ProjectKosten[#All],11,0),"")</f>
        <v/>
      </c>
      <c r="Y52" s="315"/>
    </row>
    <row r="53" spans="1:25" x14ac:dyDescent="0.25">
      <c r="A53" s="309">
        <f>MAX($A$5:A52)+1</f>
        <v>48</v>
      </c>
      <c r="B53" s="296"/>
      <c r="C53" s="296"/>
      <c r="D53" s="296"/>
      <c r="E53" s="296"/>
      <c r="F53" s="296"/>
      <c r="G53" s="327"/>
      <c r="H53" s="310" t="str">
        <f ca="1">IFERROR(IF(VLOOKUP(F53,Kostentypen!$A$3:$E$21,3,0)=0,"",IF(OR(F53="Arbeidskosten",F53="Vergoeding"),VLOOKUP(G53,Tb_KostenTypen[],2,0),VLOOKUP(F53,Kostentypen!$A$3:$E$20,3,0))),"")</f>
        <v/>
      </c>
      <c r="I53" s="311"/>
      <c r="J53" s="312" t="str" cm="1">
        <f t="array" ref="J53">_xlfn.IFNA(IF(INDEX(Tb_KostenOpties[],MATCH($F53,Tb_KostenOpties[KostenOptie],0),IFERROR(MATCH(Methode_Keuze,Tb_KostenOpties[#Headers],0),2))=1,_xlfn.SWITCH($H53,"Uurtarief",IF(OR(AND(RIGHT($F53,3)="IKS",VLOOKUP($I53,Loonkosten,2,0)="Ja"),AND(RIGHT($F53,3)&lt;&gt;"IKS",VLOOKUP($I53,Loonkosten,2,0)="Nee")), VLOOKUP($I53,Loonkosten,MATCH("Opgegeven uurtarief",'4. Rekenhulp loonkosten aanvr.'!$4:$4,0)),0),"Vast tarief",IF(LEFT(F53,8)="Bijdrage",VLOOKUP($F53,Tb_KostenTypen[],MATCH(Lijsten!$P$1,Tb_KostenTypen[#Headers],0),0),VLOOKUP($G53,Lijsten!L:P,MATCH(Lijsten!$P$1,Kop_Tarief_Vast,0),0))),""),"")</f>
        <v/>
      </c>
      <c r="K53" s="312" t="str" cm="1">
        <f t="array" ref="K53">_xlfn.IFNA(IF(INDEX(Tb_KostenOpties[],MATCH($F53,Tb_KostenOpties[KostenOptie],0),IFERROR(MATCH(Methode_Keuze,Tb_KostenOpties[#Headers],0),2))=1,_xlfn.SWITCH($H53,"Uurtarief",IF(OR(AND(RIGHT($F53,3)="IKS",VLOOKUP($I53,Loonkosten,2,0)="Ja"),AND(RIGHT($F53,3)&lt;&gt;"IKS",VLOOKUP($I53,Loonkosten,2,0)="Nee")), VLOOKUP($I53,Loonkosten,MATCH("Beoordeeld uurtarief",'4. Rekenhulp loonkosten aanvr.'!$4:$4,0),0),0),"Vast tarief",IF(LEFT(F53,8)="Bijdrage",VLOOKUP($F53,Tb_KostenTypen[],MATCH(Lijsten!$P$1,Tb_KostenTypen[#Headers],0),0),VLOOKUP($G53,Lijsten!L:P,MATCH(Lijsten!$P$1,Kop_Tarief_Vast,0),0))),""),"")</f>
        <v/>
      </c>
      <c r="L53" s="358"/>
      <c r="M53" s="358"/>
      <c r="N53" s="313"/>
      <c r="O53" s="313"/>
      <c r="P53" s="374" t="str">
        <f t="shared" si="1"/>
        <v/>
      </c>
      <c r="Q53" s="314" t="str">
        <f t="shared" si="2"/>
        <v/>
      </c>
      <c r="R53" s="314" t="str" cm="1">
        <f t="array" aca="1" ref="R53" ca="1">_xlfn.IFNA(_xlfn.IFS(X53="Dit kostentype hoeft u niet op te geven. Hiervoor wordt een forfait berekend.","",AND(J53&lt;&gt;"",H53="Vast tarief",F53="Vergoeding"),SUM(J53)*FLOOR(SUM(L53),0.0001),AND(J53&lt;&gt;"",OR(H53="Uurtarief",H53="Vast tarief")),SUM(J53)*FLOOR(SUM(L53),0.01),AND(N53&lt;&gt;"",H53="-"),FLOOR(SUM(N53),0.01)),"")</f>
        <v/>
      </c>
      <c r="S53" s="314" t="str" cm="1">
        <f t="array" aca="1" ref="S53" ca="1">_xlfn.IFNA(_xlfn.IFS(X53="Dit kostentype hoeft u niet op te geven. Hiervoor wordt een forfait berekend.","",AND(K53&lt;&gt;"",M53&lt;&gt;"",H53="Vast tarief",F53="Vergoeding"),SUM(K53)*FLOOR(SUM(M53),0.0001),AND(K53&lt;&gt;"",M53&lt;&gt;"",OR(H53="Uurtarief",H53="Vast tarief")),SUM(K53)*FLOOR(SUM(M53),0.01),AND(O53&lt;&gt;"",H53="-"),FLOOR(SUM(O53),0.01)),"")</f>
        <v/>
      </c>
      <c r="T53" s="314" t="str">
        <f t="shared" ca="1" si="3"/>
        <v/>
      </c>
      <c r="U53" s="314" t="str" cm="1">
        <f t="array" aca="1" ref="U53" ca="1">IFERROR(_xlfn.IFS(OR(F53="",LEFT(Methode_Keuze,4)="Geen",Methode_Keuze=""),"",AND(R53&lt;&gt;"",F53&lt;&gt;"Arbeidskosten"),R53*VLOOKUP(F53,Tb_ProjectKosten[],MATCH(Tb_ProjectKosten[[#Headers],[Forfait_Percentage]],Tb_ProjectKosten[#Headers],0),0),AND(F53="Arbeidskosten",G53&lt;&gt;""),IFERROR(R53*VLOOKUP(G53,Tb_KostenTypen[],3,0)*VLOOKUP(F53,Tb_ProjectKosten[],MATCH(Tb_ProjectKosten[[#Headers],[Forfait_Percentage]],Tb_ProjectKosten[#Headers],0),0),""),R53 &lt;=0,0),"")</f>
        <v/>
      </c>
      <c r="V53" s="314" t="str" cm="1">
        <f t="array" aca="1" ref="V53" ca="1">IFERROR(_xlfn.IFS(OR(F53="",LEFT(Methode_Keuze,4)="Geen",Methode_Keuze=""),"",AND(S53&lt;&gt;"",F53&lt;&gt;"Arbeidskosten"),S53*VLOOKUP(F53,Tb_ProjectKosten[],MATCH(Tb_ProjectKosten[[#Headers],[Forfait_Percentage]],Tb_ProjectKosten[#Headers],0),0),AND(F53="Arbeidskosten",G53&lt;&gt;""),IFERROR(S53*VLOOKUP(G53,Tb_KostenTypen[],3,0)*VLOOKUP(F53,Tb_ProjectKosten[],MATCH(Tb_ProjectKosten[[#Headers],[Forfait_Percentage]],Tb_ProjectKosten[#Headers],0),0),""),S53 &lt;=0,0),"")</f>
        <v/>
      </c>
      <c r="W53" s="314" t="str">
        <f t="shared" ca="1" si="4"/>
        <v/>
      </c>
      <c r="X53" s="376" t="str">
        <f>IFERROR(VLOOKUP(F53,Tb_ProjectKosten[#All],11,0),"")</f>
        <v/>
      </c>
      <c r="Y53" s="315"/>
    </row>
    <row r="54" spans="1:25" x14ac:dyDescent="0.25">
      <c r="A54" s="309">
        <f>MAX($A$5:A53)+1</f>
        <v>49</v>
      </c>
      <c r="B54" s="296"/>
      <c r="C54" s="296"/>
      <c r="D54" s="296"/>
      <c r="E54" s="296"/>
      <c r="F54" s="296"/>
      <c r="G54" s="327"/>
      <c r="H54" s="310" t="str">
        <f ca="1">IFERROR(IF(VLOOKUP(F54,Kostentypen!$A$3:$E$21,3,0)=0,"",IF(OR(F54="Arbeidskosten",F54="Vergoeding"),VLOOKUP(G54,Tb_KostenTypen[],2,0),VLOOKUP(F54,Kostentypen!$A$3:$E$20,3,0))),"")</f>
        <v/>
      </c>
      <c r="I54" s="311"/>
      <c r="J54" s="312" t="str" cm="1">
        <f t="array" ref="J54">_xlfn.IFNA(IF(INDEX(Tb_KostenOpties[],MATCH($F54,Tb_KostenOpties[KostenOptie],0),IFERROR(MATCH(Methode_Keuze,Tb_KostenOpties[#Headers],0),2))=1,_xlfn.SWITCH($H54,"Uurtarief",IF(OR(AND(RIGHT($F54,3)="IKS",VLOOKUP($I54,Loonkosten,2,0)="Ja"),AND(RIGHT($F54,3)&lt;&gt;"IKS",VLOOKUP($I54,Loonkosten,2,0)="Nee")), VLOOKUP($I54,Loonkosten,MATCH("Opgegeven uurtarief",'4. Rekenhulp loonkosten aanvr.'!$4:$4,0)),0),"Vast tarief",IF(LEFT(F54,8)="Bijdrage",VLOOKUP($F54,Tb_KostenTypen[],MATCH(Lijsten!$P$1,Tb_KostenTypen[#Headers],0),0),VLOOKUP($G54,Lijsten!L:P,MATCH(Lijsten!$P$1,Kop_Tarief_Vast,0),0))),""),"")</f>
        <v/>
      </c>
      <c r="K54" s="312" t="str" cm="1">
        <f t="array" ref="K54">_xlfn.IFNA(IF(INDEX(Tb_KostenOpties[],MATCH($F54,Tb_KostenOpties[KostenOptie],0),IFERROR(MATCH(Methode_Keuze,Tb_KostenOpties[#Headers],0),2))=1,_xlfn.SWITCH($H54,"Uurtarief",IF(OR(AND(RIGHT($F54,3)="IKS",VLOOKUP($I54,Loonkosten,2,0)="Ja"),AND(RIGHT($F54,3)&lt;&gt;"IKS",VLOOKUP($I54,Loonkosten,2,0)="Nee")), VLOOKUP($I54,Loonkosten,MATCH("Beoordeeld uurtarief",'4. Rekenhulp loonkosten aanvr.'!$4:$4,0),0),0),"Vast tarief",IF(LEFT(F54,8)="Bijdrage",VLOOKUP($F54,Tb_KostenTypen[],MATCH(Lijsten!$P$1,Tb_KostenTypen[#Headers],0),0),VLOOKUP($G54,Lijsten!L:P,MATCH(Lijsten!$P$1,Kop_Tarief_Vast,0),0))),""),"")</f>
        <v/>
      </c>
      <c r="L54" s="358"/>
      <c r="M54" s="358"/>
      <c r="N54" s="313"/>
      <c r="O54" s="313"/>
      <c r="P54" s="374" t="str">
        <f t="shared" si="1"/>
        <v/>
      </c>
      <c r="Q54" s="314" t="str">
        <f t="shared" si="2"/>
        <v/>
      </c>
      <c r="R54" s="314" t="str" cm="1">
        <f t="array" aca="1" ref="R54" ca="1">_xlfn.IFNA(_xlfn.IFS(X54="Dit kostentype hoeft u niet op te geven. Hiervoor wordt een forfait berekend.","",AND(J54&lt;&gt;"",H54="Vast tarief",F54="Vergoeding"),SUM(J54)*FLOOR(SUM(L54),0.0001),AND(J54&lt;&gt;"",OR(H54="Uurtarief",H54="Vast tarief")),SUM(J54)*FLOOR(SUM(L54),0.01),AND(N54&lt;&gt;"",H54="-"),FLOOR(SUM(N54),0.01)),"")</f>
        <v/>
      </c>
      <c r="S54" s="314" t="str" cm="1">
        <f t="array" aca="1" ref="S54" ca="1">_xlfn.IFNA(_xlfn.IFS(X54="Dit kostentype hoeft u niet op te geven. Hiervoor wordt een forfait berekend.","",AND(K54&lt;&gt;"",M54&lt;&gt;"",H54="Vast tarief",F54="Vergoeding"),SUM(K54)*FLOOR(SUM(M54),0.0001),AND(K54&lt;&gt;"",M54&lt;&gt;"",OR(H54="Uurtarief",H54="Vast tarief")),SUM(K54)*FLOOR(SUM(M54),0.01),AND(O54&lt;&gt;"",H54="-"),FLOOR(SUM(O54),0.01)),"")</f>
        <v/>
      </c>
      <c r="T54" s="314" t="str">
        <f t="shared" ca="1" si="3"/>
        <v/>
      </c>
      <c r="U54" s="314" t="str" cm="1">
        <f t="array" aca="1" ref="U54" ca="1">IFERROR(_xlfn.IFS(OR(F54="",LEFT(Methode_Keuze,4)="Geen",Methode_Keuze=""),"",AND(R54&lt;&gt;"",F54&lt;&gt;"Arbeidskosten"),R54*VLOOKUP(F54,Tb_ProjectKosten[],MATCH(Tb_ProjectKosten[[#Headers],[Forfait_Percentage]],Tb_ProjectKosten[#Headers],0),0),AND(F54="Arbeidskosten",G54&lt;&gt;""),IFERROR(R54*VLOOKUP(G54,Tb_KostenTypen[],3,0)*VLOOKUP(F54,Tb_ProjectKosten[],MATCH(Tb_ProjectKosten[[#Headers],[Forfait_Percentage]],Tb_ProjectKosten[#Headers],0),0),""),R54 &lt;=0,0),"")</f>
        <v/>
      </c>
      <c r="V54" s="314" t="str" cm="1">
        <f t="array" aca="1" ref="V54" ca="1">IFERROR(_xlfn.IFS(OR(F54="",LEFT(Methode_Keuze,4)="Geen",Methode_Keuze=""),"",AND(S54&lt;&gt;"",F54&lt;&gt;"Arbeidskosten"),S54*VLOOKUP(F54,Tb_ProjectKosten[],MATCH(Tb_ProjectKosten[[#Headers],[Forfait_Percentage]],Tb_ProjectKosten[#Headers],0),0),AND(F54="Arbeidskosten",G54&lt;&gt;""),IFERROR(S54*VLOOKUP(G54,Tb_KostenTypen[],3,0)*VLOOKUP(F54,Tb_ProjectKosten[],MATCH(Tb_ProjectKosten[[#Headers],[Forfait_Percentage]],Tb_ProjectKosten[#Headers],0),0),""),S54 &lt;=0,0),"")</f>
        <v/>
      </c>
      <c r="W54" s="314" t="str">
        <f t="shared" ca="1" si="4"/>
        <v/>
      </c>
      <c r="X54" s="376" t="str">
        <f>IFERROR(VLOOKUP(F54,Tb_ProjectKosten[#All],11,0),"")</f>
        <v/>
      </c>
      <c r="Y54" s="315"/>
    </row>
    <row r="55" spans="1:25" x14ac:dyDescent="0.25">
      <c r="A55" s="309">
        <f>MAX($A$5:A54)+1</f>
        <v>50</v>
      </c>
      <c r="B55" s="296"/>
      <c r="C55" s="296"/>
      <c r="D55" s="296"/>
      <c r="E55" s="296"/>
      <c r="F55" s="296"/>
      <c r="G55" s="327"/>
      <c r="H55" s="310" t="str">
        <f ca="1">IFERROR(IF(VLOOKUP(F55,Kostentypen!$A$3:$E$21,3,0)=0,"",IF(OR(F55="Arbeidskosten",F55="Vergoeding"),VLOOKUP(G55,Tb_KostenTypen[],2,0),VLOOKUP(F55,Kostentypen!$A$3:$E$20,3,0))),"")</f>
        <v/>
      </c>
      <c r="I55" s="311"/>
      <c r="J55" s="312" t="str" cm="1">
        <f t="array" ref="J55">_xlfn.IFNA(IF(INDEX(Tb_KostenOpties[],MATCH($F55,Tb_KostenOpties[KostenOptie],0),IFERROR(MATCH(Methode_Keuze,Tb_KostenOpties[#Headers],0),2))=1,_xlfn.SWITCH($H55,"Uurtarief",IF(OR(AND(RIGHT($F55,3)="IKS",VLOOKUP($I55,Loonkosten,2,0)="Ja"),AND(RIGHT($F55,3)&lt;&gt;"IKS",VLOOKUP($I55,Loonkosten,2,0)="Nee")), VLOOKUP($I55,Loonkosten,MATCH("Opgegeven uurtarief",'4. Rekenhulp loonkosten aanvr.'!$4:$4,0)),0),"Vast tarief",IF(LEFT(F55,8)="Bijdrage",VLOOKUP($F55,Tb_KostenTypen[],MATCH(Lijsten!$P$1,Tb_KostenTypen[#Headers],0),0),VLOOKUP($G55,Lijsten!L:P,MATCH(Lijsten!$P$1,Kop_Tarief_Vast,0),0))),""),"")</f>
        <v/>
      </c>
      <c r="K55" s="312" t="str" cm="1">
        <f t="array" ref="K55">_xlfn.IFNA(IF(INDEX(Tb_KostenOpties[],MATCH($F55,Tb_KostenOpties[KostenOptie],0),IFERROR(MATCH(Methode_Keuze,Tb_KostenOpties[#Headers],0),2))=1,_xlfn.SWITCH($H55,"Uurtarief",IF(OR(AND(RIGHT($F55,3)="IKS",VLOOKUP($I55,Loonkosten,2,0)="Ja"),AND(RIGHT($F55,3)&lt;&gt;"IKS",VLOOKUP($I55,Loonkosten,2,0)="Nee")), VLOOKUP($I55,Loonkosten,MATCH("Beoordeeld uurtarief",'4. Rekenhulp loonkosten aanvr.'!$4:$4,0),0),0),"Vast tarief",IF(LEFT(F55,8)="Bijdrage",VLOOKUP($F55,Tb_KostenTypen[],MATCH(Lijsten!$P$1,Tb_KostenTypen[#Headers],0),0),VLOOKUP($G55,Lijsten!L:P,MATCH(Lijsten!$P$1,Kop_Tarief_Vast,0),0))),""),"")</f>
        <v/>
      </c>
      <c r="L55" s="358"/>
      <c r="M55" s="358"/>
      <c r="N55" s="313"/>
      <c r="O55" s="313"/>
      <c r="P55" s="374" t="str">
        <f t="shared" si="1"/>
        <v/>
      </c>
      <c r="Q55" s="314" t="str">
        <f t="shared" si="2"/>
        <v/>
      </c>
      <c r="R55" s="314" t="str" cm="1">
        <f t="array" aca="1" ref="R55" ca="1">_xlfn.IFNA(_xlfn.IFS(X55="Dit kostentype hoeft u niet op te geven. Hiervoor wordt een forfait berekend.","",AND(J55&lt;&gt;"",H55="Vast tarief",F55="Vergoeding"),SUM(J55)*FLOOR(SUM(L55),0.0001),AND(J55&lt;&gt;"",OR(H55="Uurtarief",H55="Vast tarief")),SUM(J55)*FLOOR(SUM(L55),0.01),AND(N55&lt;&gt;"",H55="-"),FLOOR(SUM(N55),0.01)),"")</f>
        <v/>
      </c>
      <c r="S55" s="314" t="str" cm="1">
        <f t="array" aca="1" ref="S55" ca="1">_xlfn.IFNA(_xlfn.IFS(X55="Dit kostentype hoeft u niet op te geven. Hiervoor wordt een forfait berekend.","",AND(K55&lt;&gt;"",M55&lt;&gt;"",H55="Vast tarief",F55="Vergoeding"),SUM(K55)*FLOOR(SUM(M55),0.0001),AND(K55&lt;&gt;"",M55&lt;&gt;"",OR(H55="Uurtarief",H55="Vast tarief")),SUM(K55)*FLOOR(SUM(M55),0.01),AND(O55&lt;&gt;"",H55="-"),FLOOR(SUM(O55),0.01)),"")</f>
        <v/>
      </c>
      <c r="T55" s="314" t="str">
        <f t="shared" ca="1" si="3"/>
        <v/>
      </c>
      <c r="U55" s="314" t="str" cm="1">
        <f t="array" aca="1" ref="U55" ca="1">IFERROR(_xlfn.IFS(OR(F55="",LEFT(Methode_Keuze,4)="Geen",Methode_Keuze=""),"",AND(R55&lt;&gt;"",F55&lt;&gt;"Arbeidskosten"),R55*VLOOKUP(F55,Tb_ProjectKosten[],MATCH(Tb_ProjectKosten[[#Headers],[Forfait_Percentage]],Tb_ProjectKosten[#Headers],0),0),AND(F55="Arbeidskosten",G55&lt;&gt;""),IFERROR(R55*VLOOKUP(G55,Tb_KostenTypen[],3,0)*VLOOKUP(F55,Tb_ProjectKosten[],MATCH(Tb_ProjectKosten[[#Headers],[Forfait_Percentage]],Tb_ProjectKosten[#Headers],0),0),""),R55 &lt;=0,0),"")</f>
        <v/>
      </c>
      <c r="V55" s="314" t="str" cm="1">
        <f t="array" aca="1" ref="V55" ca="1">IFERROR(_xlfn.IFS(OR(F55="",LEFT(Methode_Keuze,4)="Geen",Methode_Keuze=""),"",AND(S55&lt;&gt;"",F55&lt;&gt;"Arbeidskosten"),S55*VLOOKUP(F55,Tb_ProjectKosten[],MATCH(Tb_ProjectKosten[[#Headers],[Forfait_Percentage]],Tb_ProjectKosten[#Headers],0),0),AND(F55="Arbeidskosten",G55&lt;&gt;""),IFERROR(S55*VLOOKUP(G55,Tb_KostenTypen[],3,0)*VLOOKUP(F55,Tb_ProjectKosten[],MATCH(Tb_ProjectKosten[[#Headers],[Forfait_Percentage]],Tb_ProjectKosten[#Headers],0),0),""),S55 &lt;=0,0),"")</f>
        <v/>
      </c>
      <c r="W55" s="314" t="str">
        <f t="shared" ca="1" si="4"/>
        <v/>
      </c>
      <c r="X55" s="376" t="str">
        <f>IFERROR(VLOOKUP(F55,Tb_ProjectKosten[#All],11,0),"")</f>
        <v/>
      </c>
      <c r="Y55" s="315"/>
    </row>
    <row r="56" spans="1:25" x14ac:dyDescent="0.25">
      <c r="A56" s="309">
        <f>MAX($A$5:A55)+1</f>
        <v>51</v>
      </c>
      <c r="B56" s="296"/>
      <c r="C56" s="296"/>
      <c r="D56" s="296"/>
      <c r="E56" s="296"/>
      <c r="F56" s="296"/>
      <c r="G56" s="327"/>
      <c r="H56" s="310" t="str">
        <f ca="1">IFERROR(IF(VLOOKUP(F56,Kostentypen!$A$3:$E$21,3,0)=0,"",IF(OR(F56="Arbeidskosten",F56="Vergoeding"),VLOOKUP(G56,Tb_KostenTypen[],2,0),VLOOKUP(F56,Kostentypen!$A$3:$E$20,3,0))),"")</f>
        <v/>
      </c>
      <c r="I56" s="311"/>
      <c r="J56" s="312" t="str" cm="1">
        <f t="array" ref="J56">_xlfn.IFNA(IF(INDEX(Tb_KostenOpties[],MATCH($F56,Tb_KostenOpties[KostenOptie],0),IFERROR(MATCH(Methode_Keuze,Tb_KostenOpties[#Headers],0),2))=1,_xlfn.SWITCH($H56,"Uurtarief",IF(OR(AND(RIGHT($F56,3)="IKS",VLOOKUP($I56,Loonkosten,2,0)="Ja"),AND(RIGHT($F56,3)&lt;&gt;"IKS",VLOOKUP($I56,Loonkosten,2,0)="Nee")), VLOOKUP($I56,Loonkosten,MATCH("Opgegeven uurtarief",'4. Rekenhulp loonkosten aanvr.'!$4:$4,0)),0),"Vast tarief",IF(LEFT(F56,8)="Bijdrage",VLOOKUP($F56,Tb_KostenTypen[],MATCH(Lijsten!$P$1,Tb_KostenTypen[#Headers],0),0),VLOOKUP($G56,Lijsten!L:P,MATCH(Lijsten!$P$1,Kop_Tarief_Vast,0),0))),""),"")</f>
        <v/>
      </c>
      <c r="K56" s="312" t="str" cm="1">
        <f t="array" ref="K56">_xlfn.IFNA(IF(INDEX(Tb_KostenOpties[],MATCH($F56,Tb_KostenOpties[KostenOptie],0),IFERROR(MATCH(Methode_Keuze,Tb_KostenOpties[#Headers],0),2))=1,_xlfn.SWITCH($H56,"Uurtarief",IF(OR(AND(RIGHT($F56,3)="IKS",VLOOKUP($I56,Loonkosten,2,0)="Ja"),AND(RIGHT($F56,3)&lt;&gt;"IKS",VLOOKUP($I56,Loonkosten,2,0)="Nee")), VLOOKUP($I56,Loonkosten,MATCH("Beoordeeld uurtarief",'4. Rekenhulp loonkosten aanvr.'!$4:$4,0),0),0),"Vast tarief",IF(LEFT(F56,8)="Bijdrage",VLOOKUP($F56,Tb_KostenTypen[],MATCH(Lijsten!$P$1,Tb_KostenTypen[#Headers],0),0),VLOOKUP($G56,Lijsten!L:P,MATCH(Lijsten!$P$1,Kop_Tarief_Vast,0),0))),""),"")</f>
        <v/>
      </c>
      <c r="L56" s="358"/>
      <c r="M56" s="358"/>
      <c r="N56" s="313"/>
      <c r="O56" s="313"/>
      <c r="P56" s="374" t="str">
        <f t="shared" si="1"/>
        <v/>
      </c>
      <c r="Q56" s="314" t="str">
        <f t="shared" si="2"/>
        <v/>
      </c>
      <c r="R56" s="314" t="str" cm="1">
        <f t="array" aca="1" ref="R56" ca="1">_xlfn.IFNA(_xlfn.IFS(X56="Dit kostentype hoeft u niet op te geven. Hiervoor wordt een forfait berekend.","",AND(J56&lt;&gt;"",H56="Vast tarief",F56="Vergoeding"),SUM(J56)*FLOOR(SUM(L56),0.0001),AND(J56&lt;&gt;"",OR(H56="Uurtarief",H56="Vast tarief")),SUM(J56)*FLOOR(SUM(L56),0.01),AND(N56&lt;&gt;"",H56="-"),FLOOR(SUM(N56),0.01)),"")</f>
        <v/>
      </c>
      <c r="S56" s="314" t="str" cm="1">
        <f t="array" aca="1" ref="S56" ca="1">_xlfn.IFNA(_xlfn.IFS(X56="Dit kostentype hoeft u niet op te geven. Hiervoor wordt een forfait berekend.","",AND(K56&lt;&gt;"",M56&lt;&gt;"",H56="Vast tarief",F56="Vergoeding"),SUM(K56)*FLOOR(SUM(M56),0.0001),AND(K56&lt;&gt;"",M56&lt;&gt;"",OR(H56="Uurtarief",H56="Vast tarief")),SUM(K56)*FLOOR(SUM(M56),0.01),AND(O56&lt;&gt;"",H56="-"),FLOOR(SUM(O56),0.01)),"")</f>
        <v/>
      </c>
      <c r="T56" s="314" t="str">
        <f t="shared" ca="1" si="3"/>
        <v/>
      </c>
      <c r="U56" s="314" t="str" cm="1">
        <f t="array" aca="1" ref="U56" ca="1">IFERROR(_xlfn.IFS(OR(F56="",LEFT(Methode_Keuze,4)="Geen",Methode_Keuze=""),"",AND(R56&lt;&gt;"",F56&lt;&gt;"Arbeidskosten"),R56*VLOOKUP(F56,Tb_ProjectKosten[],MATCH(Tb_ProjectKosten[[#Headers],[Forfait_Percentage]],Tb_ProjectKosten[#Headers],0),0),AND(F56="Arbeidskosten",G56&lt;&gt;""),IFERROR(R56*VLOOKUP(G56,Tb_KostenTypen[],3,0)*VLOOKUP(F56,Tb_ProjectKosten[],MATCH(Tb_ProjectKosten[[#Headers],[Forfait_Percentage]],Tb_ProjectKosten[#Headers],0),0),""),R56 &lt;=0,0),"")</f>
        <v/>
      </c>
      <c r="V56" s="314" t="str" cm="1">
        <f t="array" aca="1" ref="V56" ca="1">IFERROR(_xlfn.IFS(OR(F56="",LEFT(Methode_Keuze,4)="Geen",Methode_Keuze=""),"",AND(S56&lt;&gt;"",F56&lt;&gt;"Arbeidskosten"),S56*VLOOKUP(F56,Tb_ProjectKosten[],MATCH(Tb_ProjectKosten[[#Headers],[Forfait_Percentage]],Tb_ProjectKosten[#Headers],0),0),AND(F56="Arbeidskosten",G56&lt;&gt;""),IFERROR(S56*VLOOKUP(G56,Tb_KostenTypen[],3,0)*VLOOKUP(F56,Tb_ProjectKosten[],MATCH(Tb_ProjectKosten[[#Headers],[Forfait_Percentage]],Tb_ProjectKosten[#Headers],0),0),""),S56 &lt;=0,0),"")</f>
        <v/>
      </c>
      <c r="W56" s="314" t="str">
        <f t="shared" ca="1" si="4"/>
        <v/>
      </c>
      <c r="X56" s="376" t="str">
        <f>IFERROR(VLOOKUP(F56,Tb_ProjectKosten[#All],11,0),"")</f>
        <v/>
      </c>
      <c r="Y56" s="315"/>
    </row>
    <row r="57" spans="1:25" x14ac:dyDescent="0.25">
      <c r="A57" s="309">
        <f>MAX($A$5:A56)+1</f>
        <v>52</v>
      </c>
      <c r="B57" s="296"/>
      <c r="C57" s="296"/>
      <c r="D57" s="296"/>
      <c r="E57" s="296"/>
      <c r="F57" s="296"/>
      <c r="G57" s="327"/>
      <c r="H57" s="310" t="str">
        <f ca="1">IFERROR(IF(VLOOKUP(F57,Kostentypen!$A$3:$E$21,3,0)=0,"",IF(OR(F57="Arbeidskosten",F57="Vergoeding"),VLOOKUP(G57,Tb_KostenTypen[],2,0),VLOOKUP(F57,Kostentypen!$A$3:$E$20,3,0))),"")</f>
        <v/>
      </c>
      <c r="I57" s="311"/>
      <c r="J57" s="312" t="str" cm="1">
        <f t="array" ref="J57">_xlfn.IFNA(IF(INDEX(Tb_KostenOpties[],MATCH($F57,Tb_KostenOpties[KostenOptie],0),IFERROR(MATCH(Methode_Keuze,Tb_KostenOpties[#Headers],0),2))=1,_xlfn.SWITCH($H57,"Uurtarief",IF(OR(AND(RIGHT($F57,3)="IKS",VLOOKUP($I57,Loonkosten,2,0)="Ja"),AND(RIGHT($F57,3)&lt;&gt;"IKS",VLOOKUP($I57,Loonkosten,2,0)="Nee")), VLOOKUP($I57,Loonkosten,MATCH("Opgegeven uurtarief",'4. Rekenhulp loonkosten aanvr.'!$4:$4,0)),0),"Vast tarief",IF(LEFT(F57,8)="Bijdrage",VLOOKUP($F57,Tb_KostenTypen[],MATCH(Lijsten!$P$1,Tb_KostenTypen[#Headers],0),0),VLOOKUP($G57,Lijsten!L:P,MATCH(Lijsten!$P$1,Kop_Tarief_Vast,0),0))),""),"")</f>
        <v/>
      </c>
      <c r="K57" s="312" t="str" cm="1">
        <f t="array" ref="K57">_xlfn.IFNA(IF(INDEX(Tb_KostenOpties[],MATCH($F57,Tb_KostenOpties[KostenOptie],0),IFERROR(MATCH(Methode_Keuze,Tb_KostenOpties[#Headers],0),2))=1,_xlfn.SWITCH($H57,"Uurtarief",IF(OR(AND(RIGHT($F57,3)="IKS",VLOOKUP($I57,Loonkosten,2,0)="Ja"),AND(RIGHT($F57,3)&lt;&gt;"IKS",VLOOKUP($I57,Loonkosten,2,0)="Nee")), VLOOKUP($I57,Loonkosten,MATCH("Beoordeeld uurtarief",'4. Rekenhulp loonkosten aanvr.'!$4:$4,0),0),0),"Vast tarief",IF(LEFT(F57,8)="Bijdrage",VLOOKUP($F57,Tb_KostenTypen[],MATCH(Lijsten!$P$1,Tb_KostenTypen[#Headers],0),0),VLOOKUP($G57,Lijsten!L:P,MATCH(Lijsten!$P$1,Kop_Tarief_Vast,0),0))),""),"")</f>
        <v/>
      </c>
      <c r="L57" s="358"/>
      <c r="M57" s="358"/>
      <c r="N57" s="313"/>
      <c r="O57" s="313"/>
      <c r="P57" s="374" t="str">
        <f t="shared" si="1"/>
        <v/>
      </c>
      <c r="Q57" s="314" t="str">
        <f t="shared" si="2"/>
        <v/>
      </c>
      <c r="R57" s="314" t="str" cm="1">
        <f t="array" aca="1" ref="R57" ca="1">_xlfn.IFNA(_xlfn.IFS(X57="Dit kostentype hoeft u niet op te geven. Hiervoor wordt een forfait berekend.","",AND(J57&lt;&gt;"",H57="Vast tarief",F57="Vergoeding"),SUM(J57)*FLOOR(SUM(L57),0.0001),AND(J57&lt;&gt;"",OR(H57="Uurtarief",H57="Vast tarief")),SUM(J57)*FLOOR(SUM(L57),0.01),AND(N57&lt;&gt;"",H57="-"),FLOOR(SUM(N57),0.01)),"")</f>
        <v/>
      </c>
      <c r="S57" s="314" t="str" cm="1">
        <f t="array" aca="1" ref="S57" ca="1">_xlfn.IFNA(_xlfn.IFS(X57="Dit kostentype hoeft u niet op te geven. Hiervoor wordt een forfait berekend.","",AND(K57&lt;&gt;"",M57&lt;&gt;"",H57="Vast tarief",F57="Vergoeding"),SUM(K57)*FLOOR(SUM(M57),0.0001),AND(K57&lt;&gt;"",M57&lt;&gt;"",OR(H57="Uurtarief",H57="Vast tarief")),SUM(K57)*FLOOR(SUM(M57),0.01),AND(O57&lt;&gt;"",H57="-"),FLOOR(SUM(O57),0.01)),"")</f>
        <v/>
      </c>
      <c r="T57" s="314" t="str">
        <f t="shared" ca="1" si="3"/>
        <v/>
      </c>
      <c r="U57" s="314" t="str" cm="1">
        <f t="array" aca="1" ref="U57" ca="1">IFERROR(_xlfn.IFS(OR(F57="",LEFT(Methode_Keuze,4)="Geen",Methode_Keuze=""),"",AND(R57&lt;&gt;"",F57&lt;&gt;"Arbeidskosten"),R57*VLOOKUP(F57,Tb_ProjectKosten[],MATCH(Tb_ProjectKosten[[#Headers],[Forfait_Percentage]],Tb_ProjectKosten[#Headers],0),0),AND(F57="Arbeidskosten",G57&lt;&gt;""),IFERROR(R57*VLOOKUP(G57,Tb_KostenTypen[],3,0)*VLOOKUP(F57,Tb_ProjectKosten[],MATCH(Tb_ProjectKosten[[#Headers],[Forfait_Percentage]],Tb_ProjectKosten[#Headers],0),0),""),R57 &lt;=0,0),"")</f>
        <v/>
      </c>
      <c r="V57" s="314" t="str" cm="1">
        <f t="array" aca="1" ref="V57" ca="1">IFERROR(_xlfn.IFS(OR(F57="",LEFT(Methode_Keuze,4)="Geen",Methode_Keuze=""),"",AND(S57&lt;&gt;"",F57&lt;&gt;"Arbeidskosten"),S57*VLOOKUP(F57,Tb_ProjectKosten[],MATCH(Tb_ProjectKosten[[#Headers],[Forfait_Percentage]],Tb_ProjectKosten[#Headers],0),0),AND(F57="Arbeidskosten",G57&lt;&gt;""),IFERROR(S57*VLOOKUP(G57,Tb_KostenTypen[],3,0)*VLOOKUP(F57,Tb_ProjectKosten[],MATCH(Tb_ProjectKosten[[#Headers],[Forfait_Percentage]],Tb_ProjectKosten[#Headers],0),0),""),S57 &lt;=0,0),"")</f>
        <v/>
      </c>
      <c r="W57" s="314" t="str">
        <f t="shared" ca="1" si="4"/>
        <v/>
      </c>
      <c r="X57" s="376" t="str">
        <f>IFERROR(VLOOKUP(F57,Tb_ProjectKosten[#All],11,0),"")</f>
        <v/>
      </c>
      <c r="Y57" s="315"/>
    </row>
    <row r="58" spans="1:25" x14ac:dyDescent="0.25">
      <c r="A58" s="309">
        <f>MAX($A$5:A57)+1</f>
        <v>53</v>
      </c>
      <c r="B58" s="296"/>
      <c r="C58" s="296"/>
      <c r="D58" s="296"/>
      <c r="E58" s="296"/>
      <c r="F58" s="296"/>
      <c r="G58" s="327"/>
      <c r="H58" s="310" t="str">
        <f ca="1">IFERROR(IF(VLOOKUP(F58,Kostentypen!$A$3:$E$21,3,0)=0,"",IF(OR(F58="Arbeidskosten",F58="Vergoeding"),VLOOKUP(G58,Tb_KostenTypen[],2,0),VLOOKUP(F58,Kostentypen!$A$3:$E$20,3,0))),"")</f>
        <v/>
      </c>
      <c r="I58" s="311"/>
      <c r="J58" s="312" t="str" cm="1">
        <f t="array" ref="J58">_xlfn.IFNA(IF(INDEX(Tb_KostenOpties[],MATCH($F58,Tb_KostenOpties[KostenOptie],0),IFERROR(MATCH(Methode_Keuze,Tb_KostenOpties[#Headers],0),2))=1,_xlfn.SWITCH($H58,"Uurtarief",IF(OR(AND(RIGHT($F58,3)="IKS",VLOOKUP($I58,Loonkosten,2,0)="Ja"),AND(RIGHT($F58,3)&lt;&gt;"IKS",VLOOKUP($I58,Loonkosten,2,0)="Nee")), VLOOKUP($I58,Loonkosten,MATCH("Opgegeven uurtarief",'4. Rekenhulp loonkosten aanvr.'!$4:$4,0)),0),"Vast tarief",IF(LEFT(F58,8)="Bijdrage",VLOOKUP($F58,Tb_KostenTypen[],MATCH(Lijsten!$P$1,Tb_KostenTypen[#Headers],0),0),VLOOKUP($G58,Lijsten!L:P,MATCH(Lijsten!$P$1,Kop_Tarief_Vast,0),0))),""),"")</f>
        <v/>
      </c>
      <c r="K58" s="312" t="str" cm="1">
        <f t="array" ref="K58">_xlfn.IFNA(IF(INDEX(Tb_KostenOpties[],MATCH($F58,Tb_KostenOpties[KostenOptie],0),IFERROR(MATCH(Methode_Keuze,Tb_KostenOpties[#Headers],0),2))=1,_xlfn.SWITCH($H58,"Uurtarief",IF(OR(AND(RIGHT($F58,3)="IKS",VLOOKUP($I58,Loonkosten,2,0)="Ja"),AND(RIGHT($F58,3)&lt;&gt;"IKS",VLOOKUP($I58,Loonkosten,2,0)="Nee")), VLOOKUP($I58,Loonkosten,MATCH("Beoordeeld uurtarief",'4. Rekenhulp loonkosten aanvr.'!$4:$4,0),0),0),"Vast tarief",IF(LEFT(F58,8)="Bijdrage",VLOOKUP($F58,Tb_KostenTypen[],MATCH(Lijsten!$P$1,Tb_KostenTypen[#Headers],0),0),VLOOKUP($G58,Lijsten!L:P,MATCH(Lijsten!$P$1,Kop_Tarief_Vast,0),0))),""),"")</f>
        <v/>
      </c>
      <c r="L58" s="358"/>
      <c r="M58" s="358"/>
      <c r="N58" s="313"/>
      <c r="O58" s="313"/>
      <c r="P58" s="374" t="str">
        <f t="shared" si="1"/>
        <v/>
      </c>
      <c r="Q58" s="314" t="str">
        <f t="shared" si="2"/>
        <v/>
      </c>
      <c r="R58" s="314" t="str" cm="1">
        <f t="array" aca="1" ref="R58" ca="1">_xlfn.IFNA(_xlfn.IFS(X58="Dit kostentype hoeft u niet op te geven. Hiervoor wordt een forfait berekend.","",AND(J58&lt;&gt;"",H58="Vast tarief",F58="Vergoeding"),SUM(J58)*FLOOR(SUM(L58),0.0001),AND(J58&lt;&gt;"",OR(H58="Uurtarief",H58="Vast tarief")),SUM(J58)*FLOOR(SUM(L58),0.01),AND(N58&lt;&gt;"",H58="-"),FLOOR(SUM(N58),0.01)),"")</f>
        <v/>
      </c>
      <c r="S58" s="314" t="str" cm="1">
        <f t="array" aca="1" ref="S58" ca="1">_xlfn.IFNA(_xlfn.IFS(X58="Dit kostentype hoeft u niet op te geven. Hiervoor wordt een forfait berekend.","",AND(K58&lt;&gt;"",M58&lt;&gt;"",H58="Vast tarief",F58="Vergoeding"),SUM(K58)*FLOOR(SUM(M58),0.0001),AND(K58&lt;&gt;"",M58&lt;&gt;"",OR(H58="Uurtarief",H58="Vast tarief")),SUM(K58)*FLOOR(SUM(M58),0.01),AND(O58&lt;&gt;"",H58="-"),FLOOR(SUM(O58),0.01)),"")</f>
        <v/>
      </c>
      <c r="T58" s="314" t="str">
        <f t="shared" ca="1" si="3"/>
        <v/>
      </c>
      <c r="U58" s="314" t="str" cm="1">
        <f t="array" aca="1" ref="U58" ca="1">IFERROR(_xlfn.IFS(OR(F58="",LEFT(Methode_Keuze,4)="Geen",Methode_Keuze=""),"",AND(R58&lt;&gt;"",F58&lt;&gt;"Arbeidskosten"),R58*VLOOKUP(F58,Tb_ProjectKosten[],MATCH(Tb_ProjectKosten[[#Headers],[Forfait_Percentage]],Tb_ProjectKosten[#Headers],0),0),AND(F58="Arbeidskosten",G58&lt;&gt;""),IFERROR(R58*VLOOKUP(G58,Tb_KostenTypen[],3,0)*VLOOKUP(F58,Tb_ProjectKosten[],MATCH(Tb_ProjectKosten[[#Headers],[Forfait_Percentage]],Tb_ProjectKosten[#Headers],0),0),""),R58 &lt;=0,0),"")</f>
        <v/>
      </c>
      <c r="V58" s="314" t="str" cm="1">
        <f t="array" aca="1" ref="V58" ca="1">IFERROR(_xlfn.IFS(OR(F58="",LEFT(Methode_Keuze,4)="Geen",Methode_Keuze=""),"",AND(S58&lt;&gt;"",F58&lt;&gt;"Arbeidskosten"),S58*VLOOKUP(F58,Tb_ProjectKosten[],MATCH(Tb_ProjectKosten[[#Headers],[Forfait_Percentage]],Tb_ProjectKosten[#Headers],0),0),AND(F58="Arbeidskosten",G58&lt;&gt;""),IFERROR(S58*VLOOKUP(G58,Tb_KostenTypen[],3,0)*VLOOKUP(F58,Tb_ProjectKosten[],MATCH(Tb_ProjectKosten[[#Headers],[Forfait_Percentage]],Tb_ProjectKosten[#Headers],0),0),""),S58 &lt;=0,0),"")</f>
        <v/>
      </c>
      <c r="W58" s="314" t="str">
        <f t="shared" ca="1" si="4"/>
        <v/>
      </c>
      <c r="X58" s="376" t="str">
        <f>IFERROR(VLOOKUP(F58,Tb_ProjectKosten[#All],11,0),"")</f>
        <v/>
      </c>
      <c r="Y58" s="315"/>
    </row>
    <row r="59" spans="1:25" x14ac:dyDescent="0.25">
      <c r="A59" s="309">
        <f>MAX($A$5:A58)+1</f>
        <v>54</v>
      </c>
      <c r="B59" s="296"/>
      <c r="C59" s="296"/>
      <c r="D59" s="296"/>
      <c r="E59" s="296"/>
      <c r="F59" s="296"/>
      <c r="G59" s="327"/>
      <c r="H59" s="310" t="str">
        <f ca="1">IFERROR(IF(VLOOKUP(F59,Kostentypen!$A$3:$E$21,3,0)=0,"",IF(OR(F59="Arbeidskosten",F59="Vergoeding"),VLOOKUP(G59,Tb_KostenTypen[],2,0),VLOOKUP(F59,Kostentypen!$A$3:$E$20,3,0))),"")</f>
        <v/>
      </c>
      <c r="I59" s="311"/>
      <c r="J59" s="312" t="str" cm="1">
        <f t="array" ref="J59">_xlfn.IFNA(IF(INDEX(Tb_KostenOpties[],MATCH($F59,Tb_KostenOpties[KostenOptie],0),IFERROR(MATCH(Methode_Keuze,Tb_KostenOpties[#Headers],0),2))=1,_xlfn.SWITCH($H59,"Uurtarief",IF(OR(AND(RIGHT($F59,3)="IKS",VLOOKUP($I59,Loonkosten,2,0)="Ja"),AND(RIGHT($F59,3)&lt;&gt;"IKS",VLOOKUP($I59,Loonkosten,2,0)="Nee")), VLOOKUP($I59,Loonkosten,MATCH("Opgegeven uurtarief",'4. Rekenhulp loonkosten aanvr.'!$4:$4,0)),0),"Vast tarief",IF(LEFT(F59,8)="Bijdrage",VLOOKUP($F59,Tb_KostenTypen[],MATCH(Lijsten!$P$1,Tb_KostenTypen[#Headers],0),0),VLOOKUP($G59,Lijsten!L:P,MATCH(Lijsten!$P$1,Kop_Tarief_Vast,0),0))),""),"")</f>
        <v/>
      </c>
      <c r="K59" s="312" t="str" cm="1">
        <f t="array" ref="K59">_xlfn.IFNA(IF(INDEX(Tb_KostenOpties[],MATCH($F59,Tb_KostenOpties[KostenOptie],0),IFERROR(MATCH(Methode_Keuze,Tb_KostenOpties[#Headers],0),2))=1,_xlfn.SWITCH($H59,"Uurtarief",IF(OR(AND(RIGHT($F59,3)="IKS",VLOOKUP($I59,Loonkosten,2,0)="Ja"),AND(RIGHT($F59,3)&lt;&gt;"IKS",VLOOKUP($I59,Loonkosten,2,0)="Nee")), VLOOKUP($I59,Loonkosten,MATCH("Beoordeeld uurtarief",'4. Rekenhulp loonkosten aanvr.'!$4:$4,0),0),0),"Vast tarief",IF(LEFT(F59,8)="Bijdrage",VLOOKUP($F59,Tb_KostenTypen[],MATCH(Lijsten!$P$1,Tb_KostenTypen[#Headers],0),0),VLOOKUP($G59,Lijsten!L:P,MATCH(Lijsten!$P$1,Kop_Tarief_Vast,0),0))),""),"")</f>
        <v/>
      </c>
      <c r="L59" s="358"/>
      <c r="M59" s="358"/>
      <c r="N59" s="313"/>
      <c r="O59" s="313"/>
      <c r="P59" s="374" t="str">
        <f t="shared" si="1"/>
        <v/>
      </c>
      <c r="Q59" s="314" t="str">
        <f t="shared" si="2"/>
        <v/>
      </c>
      <c r="R59" s="314" t="str" cm="1">
        <f t="array" aca="1" ref="R59" ca="1">_xlfn.IFNA(_xlfn.IFS(X59="Dit kostentype hoeft u niet op te geven. Hiervoor wordt een forfait berekend.","",AND(J59&lt;&gt;"",H59="Vast tarief",F59="Vergoeding"),SUM(J59)*FLOOR(SUM(L59),0.0001),AND(J59&lt;&gt;"",OR(H59="Uurtarief",H59="Vast tarief")),SUM(J59)*FLOOR(SUM(L59),0.01),AND(N59&lt;&gt;"",H59="-"),FLOOR(SUM(N59),0.01)),"")</f>
        <v/>
      </c>
      <c r="S59" s="314" t="str" cm="1">
        <f t="array" aca="1" ref="S59" ca="1">_xlfn.IFNA(_xlfn.IFS(X59="Dit kostentype hoeft u niet op te geven. Hiervoor wordt een forfait berekend.","",AND(K59&lt;&gt;"",M59&lt;&gt;"",H59="Vast tarief",F59="Vergoeding"),SUM(K59)*FLOOR(SUM(M59),0.0001),AND(K59&lt;&gt;"",M59&lt;&gt;"",OR(H59="Uurtarief",H59="Vast tarief")),SUM(K59)*FLOOR(SUM(M59),0.01),AND(O59&lt;&gt;"",H59="-"),FLOOR(SUM(O59),0.01)),"")</f>
        <v/>
      </c>
      <c r="T59" s="314" t="str">
        <f t="shared" ca="1" si="3"/>
        <v/>
      </c>
      <c r="U59" s="314" t="str" cm="1">
        <f t="array" aca="1" ref="U59" ca="1">IFERROR(_xlfn.IFS(OR(F59="",LEFT(Methode_Keuze,4)="Geen",Methode_Keuze=""),"",AND(R59&lt;&gt;"",F59&lt;&gt;"Arbeidskosten"),R59*VLOOKUP(F59,Tb_ProjectKosten[],MATCH(Tb_ProjectKosten[[#Headers],[Forfait_Percentage]],Tb_ProjectKosten[#Headers],0),0),AND(F59="Arbeidskosten",G59&lt;&gt;""),IFERROR(R59*VLOOKUP(G59,Tb_KostenTypen[],3,0)*VLOOKUP(F59,Tb_ProjectKosten[],MATCH(Tb_ProjectKosten[[#Headers],[Forfait_Percentage]],Tb_ProjectKosten[#Headers],0),0),""),R59 &lt;=0,0),"")</f>
        <v/>
      </c>
      <c r="V59" s="314" t="str" cm="1">
        <f t="array" aca="1" ref="V59" ca="1">IFERROR(_xlfn.IFS(OR(F59="",LEFT(Methode_Keuze,4)="Geen",Methode_Keuze=""),"",AND(S59&lt;&gt;"",F59&lt;&gt;"Arbeidskosten"),S59*VLOOKUP(F59,Tb_ProjectKosten[],MATCH(Tb_ProjectKosten[[#Headers],[Forfait_Percentage]],Tb_ProjectKosten[#Headers],0),0),AND(F59="Arbeidskosten",G59&lt;&gt;""),IFERROR(S59*VLOOKUP(G59,Tb_KostenTypen[],3,0)*VLOOKUP(F59,Tb_ProjectKosten[],MATCH(Tb_ProjectKosten[[#Headers],[Forfait_Percentage]],Tb_ProjectKosten[#Headers],0),0),""),S59 &lt;=0,0),"")</f>
        <v/>
      </c>
      <c r="W59" s="314" t="str">
        <f t="shared" ca="1" si="4"/>
        <v/>
      </c>
      <c r="X59" s="376" t="str">
        <f>IFERROR(VLOOKUP(F59,Tb_ProjectKosten[#All],11,0),"")</f>
        <v/>
      </c>
      <c r="Y59" s="315"/>
    </row>
    <row r="60" spans="1:25" x14ac:dyDescent="0.25">
      <c r="A60" s="309">
        <f>MAX($A$5:A59)+1</f>
        <v>55</v>
      </c>
      <c r="B60" s="296"/>
      <c r="C60" s="296"/>
      <c r="D60" s="296"/>
      <c r="E60" s="296"/>
      <c r="F60" s="296"/>
      <c r="G60" s="327"/>
      <c r="H60" s="310" t="str">
        <f ca="1">IFERROR(IF(VLOOKUP(F60,Kostentypen!$A$3:$E$21,3,0)=0,"",IF(OR(F60="Arbeidskosten",F60="Vergoeding"),VLOOKUP(G60,Tb_KostenTypen[],2,0),VLOOKUP(F60,Kostentypen!$A$3:$E$20,3,0))),"")</f>
        <v/>
      </c>
      <c r="I60" s="311"/>
      <c r="J60" s="312" t="str" cm="1">
        <f t="array" ref="J60">_xlfn.IFNA(IF(INDEX(Tb_KostenOpties[],MATCH($F60,Tb_KostenOpties[KostenOptie],0),IFERROR(MATCH(Methode_Keuze,Tb_KostenOpties[#Headers],0),2))=1,_xlfn.SWITCH($H60,"Uurtarief",IF(OR(AND(RIGHT($F60,3)="IKS",VLOOKUP($I60,Loonkosten,2,0)="Ja"),AND(RIGHT($F60,3)&lt;&gt;"IKS",VLOOKUP($I60,Loonkosten,2,0)="Nee")), VLOOKUP($I60,Loonkosten,MATCH("Opgegeven uurtarief",'4. Rekenhulp loonkosten aanvr.'!$4:$4,0)),0),"Vast tarief",IF(LEFT(F60,8)="Bijdrage",VLOOKUP($F60,Tb_KostenTypen[],MATCH(Lijsten!$P$1,Tb_KostenTypen[#Headers],0),0),VLOOKUP($G60,Lijsten!L:P,MATCH(Lijsten!$P$1,Kop_Tarief_Vast,0),0))),""),"")</f>
        <v/>
      </c>
      <c r="K60" s="312" t="str" cm="1">
        <f t="array" ref="K60">_xlfn.IFNA(IF(INDEX(Tb_KostenOpties[],MATCH($F60,Tb_KostenOpties[KostenOptie],0),IFERROR(MATCH(Methode_Keuze,Tb_KostenOpties[#Headers],0),2))=1,_xlfn.SWITCH($H60,"Uurtarief",IF(OR(AND(RIGHT($F60,3)="IKS",VLOOKUP($I60,Loonkosten,2,0)="Ja"),AND(RIGHT($F60,3)&lt;&gt;"IKS",VLOOKUP($I60,Loonkosten,2,0)="Nee")), VLOOKUP($I60,Loonkosten,MATCH("Beoordeeld uurtarief",'4. Rekenhulp loonkosten aanvr.'!$4:$4,0),0),0),"Vast tarief",IF(LEFT(F60,8)="Bijdrage",VLOOKUP($F60,Tb_KostenTypen[],MATCH(Lijsten!$P$1,Tb_KostenTypen[#Headers],0),0),VLOOKUP($G60,Lijsten!L:P,MATCH(Lijsten!$P$1,Kop_Tarief_Vast,0),0))),""),"")</f>
        <v/>
      </c>
      <c r="L60" s="358"/>
      <c r="M60" s="358"/>
      <c r="N60" s="313"/>
      <c r="O60" s="313"/>
      <c r="P60" s="374" t="str">
        <f t="shared" si="1"/>
        <v/>
      </c>
      <c r="Q60" s="314" t="str">
        <f t="shared" si="2"/>
        <v/>
      </c>
      <c r="R60" s="314" t="str" cm="1">
        <f t="array" aca="1" ref="R60" ca="1">_xlfn.IFNA(_xlfn.IFS(X60="Dit kostentype hoeft u niet op te geven. Hiervoor wordt een forfait berekend.","",AND(J60&lt;&gt;"",H60="Vast tarief",F60="Vergoeding"),SUM(J60)*FLOOR(SUM(L60),0.0001),AND(J60&lt;&gt;"",OR(H60="Uurtarief",H60="Vast tarief")),SUM(J60)*FLOOR(SUM(L60),0.01),AND(N60&lt;&gt;"",H60="-"),FLOOR(SUM(N60),0.01)),"")</f>
        <v/>
      </c>
      <c r="S60" s="314" t="str" cm="1">
        <f t="array" aca="1" ref="S60" ca="1">_xlfn.IFNA(_xlfn.IFS(X60="Dit kostentype hoeft u niet op te geven. Hiervoor wordt een forfait berekend.","",AND(K60&lt;&gt;"",M60&lt;&gt;"",H60="Vast tarief",F60="Vergoeding"),SUM(K60)*FLOOR(SUM(M60),0.0001),AND(K60&lt;&gt;"",M60&lt;&gt;"",OR(H60="Uurtarief",H60="Vast tarief")),SUM(K60)*FLOOR(SUM(M60),0.01),AND(O60&lt;&gt;"",H60="-"),FLOOR(SUM(O60),0.01)),"")</f>
        <v/>
      </c>
      <c r="T60" s="314" t="str">
        <f t="shared" ca="1" si="3"/>
        <v/>
      </c>
      <c r="U60" s="314" t="str" cm="1">
        <f t="array" aca="1" ref="U60" ca="1">IFERROR(_xlfn.IFS(OR(F60="",LEFT(Methode_Keuze,4)="Geen",Methode_Keuze=""),"",AND(R60&lt;&gt;"",F60&lt;&gt;"Arbeidskosten"),R60*VLOOKUP(F60,Tb_ProjectKosten[],MATCH(Tb_ProjectKosten[[#Headers],[Forfait_Percentage]],Tb_ProjectKosten[#Headers],0),0),AND(F60="Arbeidskosten",G60&lt;&gt;""),IFERROR(R60*VLOOKUP(G60,Tb_KostenTypen[],3,0)*VLOOKUP(F60,Tb_ProjectKosten[],MATCH(Tb_ProjectKosten[[#Headers],[Forfait_Percentage]],Tb_ProjectKosten[#Headers],0),0),""),R60 &lt;=0,0),"")</f>
        <v/>
      </c>
      <c r="V60" s="314" t="str" cm="1">
        <f t="array" aca="1" ref="V60" ca="1">IFERROR(_xlfn.IFS(OR(F60="",LEFT(Methode_Keuze,4)="Geen",Methode_Keuze=""),"",AND(S60&lt;&gt;"",F60&lt;&gt;"Arbeidskosten"),S60*VLOOKUP(F60,Tb_ProjectKosten[],MATCH(Tb_ProjectKosten[[#Headers],[Forfait_Percentage]],Tb_ProjectKosten[#Headers],0),0),AND(F60="Arbeidskosten",G60&lt;&gt;""),IFERROR(S60*VLOOKUP(G60,Tb_KostenTypen[],3,0)*VLOOKUP(F60,Tb_ProjectKosten[],MATCH(Tb_ProjectKosten[[#Headers],[Forfait_Percentage]],Tb_ProjectKosten[#Headers],0),0),""),S60 &lt;=0,0),"")</f>
        <v/>
      </c>
      <c r="W60" s="314" t="str">
        <f t="shared" ca="1" si="4"/>
        <v/>
      </c>
      <c r="X60" s="376" t="str">
        <f>IFERROR(VLOOKUP(F60,Tb_ProjectKosten[#All],11,0),"")</f>
        <v/>
      </c>
      <c r="Y60" s="315"/>
    </row>
    <row r="61" spans="1:25" x14ac:dyDescent="0.25">
      <c r="A61" s="309">
        <f>MAX($A$5:A60)+1</f>
        <v>56</v>
      </c>
      <c r="B61" s="296"/>
      <c r="C61" s="296"/>
      <c r="D61" s="296"/>
      <c r="E61" s="296"/>
      <c r="F61" s="296"/>
      <c r="G61" s="327"/>
      <c r="H61" s="310" t="str">
        <f ca="1">IFERROR(IF(VLOOKUP(F61,Kostentypen!$A$3:$E$21,3,0)=0,"",IF(OR(F61="Arbeidskosten",F61="Vergoeding"),VLOOKUP(G61,Tb_KostenTypen[],2,0),VLOOKUP(F61,Kostentypen!$A$3:$E$20,3,0))),"")</f>
        <v/>
      </c>
      <c r="I61" s="311"/>
      <c r="J61" s="312" t="str" cm="1">
        <f t="array" ref="J61">_xlfn.IFNA(IF(INDEX(Tb_KostenOpties[],MATCH($F61,Tb_KostenOpties[KostenOptie],0),IFERROR(MATCH(Methode_Keuze,Tb_KostenOpties[#Headers],0),2))=1,_xlfn.SWITCH($H61,"Uurtarief",IF(OR(AND(RIGHT($F61,3)="IKS",VLOOKUP($I61,Loonkosten,2,0)="Ja"),AND(RIGHT($F61,3)&lt;&gt;"IKS",VLOOKUP($I61,Loonkosten,2,0)="Nee")), VLOOKUP($I61,Loonkosten,MATCH("Opgegeven uurtarief",'4. Rekenhulp loonkosten aanvr.'!$4:$4,0)),0),"Vast tarief",IF(LEFT(F61,8)="Bijdrage",VLOOKUP($F61,Tb_KostenTypen[],MATCH(Lijsten!$P$1,Tb_KostenTypen[#Headers],0),0),VLOOKUP($G61,Lijsten!L:P,MATCH(Lijsten!$P$1,Kop_Tarief_Vast,0),0))),""),"")</f>
        <v/>
      </c>
      <c r="K61" s="312" t="str" cm="1">
        <f t="array" ref="K61">_xlfn.IFNA(IF(INDEX(Tb_KostenOpties[],MATCH($F61,Tb_KostenOpties[KostenOptie],0),IFERROR(MATCH(Methode_Keuze,Tb_KostenOpties[#Headers],0),2))=1,_xlfn.SWITCH($H61,"Uurtarief",IF(OR(AND(RIGHT($F61,3)="IKS",VLOOKUP($I61,Loonkosten,2,0)="Ja"),AND(RIGHT($F61,3)&lt;&gt;"IKS",VLOOKUP($I61,Loonkosten,2,0)="Nee")), VLOOKUP($I61,Loonkosten,MATCH("Beoordeeld uurtarief",'4. Rekenhulp loonkosten aanvr.'!$4:$4,0),0),0),"Vast tarief",IF(LEFT(F61,8)="Bijdrage",VLOOKUP($F61,Tb_KostenTypen[],MATCH(Lijsten!$P$1,Tb_KostenTypen[#Headers],0),0),VLOOKUP($G61,Lijsten!L:P,MATCH(Lijsten!$P$1,Kop_Tarief_Vast,0),0))),""),"")</f>
        <v/>
      </c>
      <c r="L61" s="358"/>
      <c r="M61" s="358"/>
      <c r="N61" s="313"/>
      <c r="O61" s="313"/>
      <c r="P61" s="374" t="str">
        <f t="shared" si="1"/>
        <v/>
      </c>
      <c r="Q61" s="314" t="str">
        <f t="shared" si="2"/>
        <v/>
      </c>
      <c r="R61" s="314" t="str" cm="1">
        <f t="array" aca="1" ref="R61" ca="1">_xlfn.IFNA(_xlfn.IFS(X61="Dit kostentype hoeft u niet op te geven. Hiervoor wordt een forfait berekend.","",AND(J61&lt;&gt;"",H61="Vast tarief",F61="Vergoeding"),SUM(J61)*FLOOR(SUM(L61),0.0001),AND(J61&lt;&gt;"",OR(H61="Uurtarief",H61="Vast tarief")),SUM(J61)*FLOOR(SUM(L61),0.01),AND(N61&lt;&gt;"",H61="-"),FLOOR(SUM(N61),0.01)),"")</f>
        <v/>
      </c>
      <c r="S61" s="314" t="str" cm="1">
        <f t="array" aca="1" ref="S61" ca="1">_xlfn.IFNA(_xlfn.IFS(X61="Dit kostentype hoeft u niet op te geven. Hiervoor wordt een forfait berekend.","",AND(K61&lt;&gt;"",M61&lt;&gt;"",H61="Vast tarief",F61="Vergoeding"),SUM(K61)*FLOOR(SUM(M61),0.0001),AND(K61&lt;&gt;"",M61&lt;&gt;"",OR(H61="Uurtarief",H61="Vast tarief")),SUM(K61)*FLOOR(SUM(M61),0.01),AND(O61&lt;&gt;"",H61="-"),FLOOR(SUM(O61),0.01)),"")</f>
        <v/>
      </c>
      <c r="T61" s="314" t="str">
        <f t="shared" ca="1" si="3"/>
        <v/>
      </c>
      <c r="U61" s="314" t="str" cm="1">
        <f t="array" aca="1" ref="U61" ca="1">IFERROR(_xlfn.IFS(OR(F61="",LEFT(Methode_Keuze,4)="Geen",Methode_Keuze=""),"",AND(R61&lt;&gt;"",F61&lt;&gt;"Arbeidskosten"),R61*VLOOKUP(F61,Tb_ProjectKosten[],MATCH(Tb_ProjectKosten[[#Headers],[Forfait_Percentage]],Tb_ProjectKosten[#Headers],0),0),AND(F61="Arbeidskosten",G61&lt;&gt;""),IFERROR(R61*VLOOKUP(G61,Tb_KostenTypen[],3,0)*VLOOKUP(F61,Tb_ProjectKosten[],MATCH(Tb_ProjectKosten[[#Headers],[Forfait_Percentage]],Tb_ProjectKosten[#Headers],0),0),""),R61 &lt;=0,0),"")</f>
        <v/>
      </c>
      <c r="V61" s="314" t="str" cm="1">
        <f t="array" aca="1" ref="V61" ca="1">IFERROR(_xlfn.IFS(OR(F61="",LEFT(Methode_Keuze,4)="Geen",Methode_Keuze=""),"",AND(S61&lt;&gt;"",F61&lt;&gt;"Arbeidskosten"),S61*VLOOKUP(F61,Tb_ProjectKosten[],MATCH(Tb_ProjectKosten[[#Headers],[Forfait_Percentage]],Tb_ProjectKosten[#Headers],0),0),AND(F61="Arbeidskosten",G61&lt;&gt;""),IFERROR(S61*VLOOKUP(G61,Tb_KostenTypen[],3,0)*VLOOKUP(F61,Tb_ProjectKosten[],MATCH(Tb_ProjectKosten[[#Headers],[Forfait_Percentage]],Tb_ProjectKosten[#Headers],0),0),""),S61 &lt;=0,0),"")</f>
        <v/>
      </c>
      <c r="W61" s="314" t="str">
        <f t="shared" ca="1" si="4"/>
        <v/>
      </c>
      <c r="X61" s="376" t="str">
        <f>IFERROR(VLOOKUP(F61,Tb_ProjectKosten[#All],11,0),"")</f>
        <v/>
      </c>
      <c r="Y61" s="315"/>
    </row>
    <row r="62" spans="1:25" x14ac:dyDescent="0.25">
      <c r="A62" s="309">
        <f>MAX($A$5:A61)+1</f>
        <v>57</v>
      </c>
      <c r="B62" s="296"/>
      <c r="C62" s="296"/>
      <c r="D62" s="296"/>
      <c r="E62" s="296"/>
      <c r="F62" s="296"/>
      <c r="G62" s="327"/>
      <c r="H62" s="310" t="str">
        <f ca="1">IFERROR(IF(VLOOKUP(F62,Kostentypen!$A$3:$E$21,3,0)=0,"",IF(OR(F62="Arbeidskosten",F62="Vergoeding"),VLOOKUP(G62,Tb_KostenTypen[],2,0),VLOOKUP(F62,Kostentypen!$A$3:$E$20,3,0))),"")</f>
        <v/>
      </c>
      <c r="I62" s="311"/>
      <c r="J62" s="312" t="str" cm="1">
        <f t="array" ref="J62">_xlfn.IFNA(IF(INDEX(Tb_KostenOpties[],MATCH($F62,Tb_KostenOpties[KostenOptie],0),IFERROR(MATCH(Methode_Keuze,Tb_KostenOpties[#Headers],0),2))=1,_xlfn.SWITCH($H62,"Uurtarief",IF(OR(AND(RIGHT($F62,3)="IKS",VLOOKUP($I62,Loonkosten,2,0)="Ja"),AND(RIGHT($F62,3)&lt;&gt;"IKS",VLOOKUP($I62,Loonkosten,2,0)="Nee")), VLOOKUP($I62,Loonkosten,MATCH("Opgegeven uurtarief",'4. Rekenhulp loonkosten aanvr.'!$4:$4,0)),0),"Vast tarief",IF(LEFT(F62,8)="Bijdrage",VLOOKUP($F62,Tb_KostenTypen[],MATCH(Lijsten!$P$1,Tb_KostenTypen[#Headers],0),0),VLOOKUP($G62,Lijsten!L:P,MATCH(Lijsten!$P$1,Kop_Tarief_Vast,0),0))),""),"")</f>
        <v/>
      </c>
      <c r="K62" s="312" t="str" cm="1">
        <f t="array" ref="K62">_xlfn.IFNA(IF(INDEX(Tb_KostenOpties[],MATCH($F62,Tb_KostenOpties[KostenOptie],0),IFERROR(MATCH(Methode_Keuze,Tb_KostenOpties[#Headers],0),2))=1,_xlfn.SWITCH($H62,"Uurtarief",IF(OR(AND(RIGHT($F62,3)="IKS",VLOOKUP($I62,Loonkosten,2,0)="Ja"),AND(RIGHT($F62,3)&lt;&gt;"IKS",VLOOKUP($I62,Loonkosten,2,0)="Nee")), VLOOKUP($I62,Loonkosten,MATCH("Beoordeeld uurtarief",'4. Rekenhulp loonkosten aanvr.'!$4:$4,0),0),0),"Vast tarief",IF(LEFT(F62,8)="Bijdrage",VLOOKUP($F62,Tb_KostenTypen[],MATCH(Lijsten!$P$1,Tb_KostenTypen[#Headers],0),0),VLOOKUP($G62,Lijsten!L:P,MATCH(Lijsten!$P$1,Kop_Tarief_Vast,0),0))),""),"")</f>
        <v/>
      </c>
      <c r="L62" s="358"/>
      <c r="M62" s="358"/>
      <c r="N62" s="313"/>
      <c r="O62" s="313"/>
      <c r="P62" s="374" t="str">
        <f t="shared" si="1"/>
        <v/>
      </c>
      <c r="Q62" s="314" t="str">
        <f t="shared" si="2"/>
        <v/>
      </c>
      <c r="R62" s="314" t="str" cm="1">
        <f t="array" aca="1" ref="R62" ca="1">_xlfn.IFNA(_xlfn.IFS(X62="Dit kostentype hoeft u niet op te geven. Hiervoor wordt een forfait berekend.","",AND(J62&lt;&gt;"",H62="Vast tarief",F62="Vergoeding"),SUM(J62)*FLOOR(SUM(L62),0.0001),AND(J62&lt;&gt;"",OR(H62="Uurtarief",H62="Vast tarief")),SUM(J62)*FLOOR(SUM(L62),0.01),AND(N62&lt;&gt;"",H62="-"),FLOOR(SUM(N62),0.01)),"")</f>
        <v/>
      </c>
      <c r="S62" s="314" t="str" cm="1">
        <f t="array" aca="1" ref="S62" ca="1">_xlfn.IFNA(_xlfn.IFS(X62="Dit kostentype hoeft u niet op te geven. Hiervoor wordt een forfait berekend.","",AND(K62&lt;&gt;"",M62&lt;&gt;"",H62="Vast tarief",F62="Vergoeding"),SUM(K62)*FLOOR(SUM(M62),0.0001),AND(K62&lt;&gt;"",M62&lt;&gt;"",OR(H62="Uurtarief",H62="Vast tarief")),SUM(K62)*FLOOR(SUM(M62),0.01),AND(O62&lt;&gt;"",H62="-"),FLOOR(SUM(O62),0.01)),"")</f>
        <v/>
      </c>
      <c r="T62" s="314" t="str">
        <f t="shared" ca="1" si="3"/>
        <v/>
      </c>
      <c r="U62" s="314" t="str" cm="1">
        <f t="array" aca="1" ref="U62" ca="1">IFERROR(_xlfn.IFS(OR(F62="",LEFT(Methode_Keuze,4)="Geen",Methode_Keuze=""),"",AND(R62&lt;&gt;"",F62&lt;&gt;"Arbeidskosten"),R62*VLOOKUP(F62,Tb_ProjectKosten[],MATCH(Tb_ProjectKosten[[#Headers],[Forfait_Percentage]],Tb_ProjectKosten[#Headers],0),0),AND(F62="Arbeidskosten",G62&lt;&gt;""),IFERROR(R62*VLOOKUP(G62,Tb_KostenTypen[],3,0)*VLOOKUP(F62,Tb_ProjectKosten[],MATCH(Tb_ProjectKosten[[#Headers],[Forfait_Percentage]],Tb_ProjectKosten[#Headers],0),0),""),R62 &lt;=0,0),"")</f>
        <v/>
      </c>
      <c r="V62" s="314" t="str" cm="1">
        <f t="array" aca="1" ref="V62" ca="1">IFERROR(_xlfn.IFS(OR(F62="",LEFT(Methode_Keuze,4)="Geen",Methode_Keuze=""),"",AND(S62&lt;&gt;"",F62&lt;&gt;"Arbeidskosten"),S62*VLOOKUP(F62,Tb_ProjectKosten[],MATCH(Tb_ProjectKosten[[#Headers],[Forfait_Percentage]],Tb_ProjectKosten[#Headers],0),0),AND(F62="Arbeidskosten",G62&lt;&gt;""),IFERROR(S62*VLOOKUP(G62,Tb_KostenTypen[],3,0)*VLOOKUP(F62,Tb_ProjectKosten[],MATCH(Tb_ProjectKosten[[#Headers],[Forfait_Percentage]],Tb_ProjectKosten[#Headers],0),0),""),S62 &lt;=0,0),"")</f>
        <v/>
      </c>
      <c r="W62" s="314" t="str">
        <f t="shared" ca="1" si="4"/>
        <v/>
      </c>
      <c r="X62" s="376" t="str">
        <f>IFERROR(VLOOKUP(F62,Tb_ProjectKosten[#All],11,0),"")</f>
        <v/>
      </c>
      <c r="Y62" s="315"/>
    </row>
    <row r="63" spans="1:25" x14ac:dyDescent="0.25">
      <c r="A63" s="309">
        <f>MAX($A$5:A62)+1</f>
        <v>58</v>
      </c>
      <c r="B63" s="296"/>
      <c r="C63" s="296"/>
      <c r="D63" s="296"/>
      <c r="E63" s="296"/>
      <c r="F63" s="296"/>
      <c r="G63" s="327"/>
      <c r="H63" s="310" t="str">
        <f ca="1">IFERROR(IF(VLOOKUP(F63,Kostentypen!$A$3:$E$21,3,0)=0,"",IF(OR(F63="Arbeidskosten",F63="Vergoeding"),VLOOKUP(G63,Tb_KostenTypen[],2,0),VLOOKUP(F63,Kostentypen!$A$3:$E$20,3,0))),"")</f>
        <v/>
      </c>
      <c r="I63" s="311"/>
      <c r="J63" s="312" t="str" cm="1">
        <f t="array" ref="J63">_xlfn.IFNA(IF(INDEX(Tb_KostenOpties[],MATCH($F63,Tb_KostenOpties[KostenOptie],0),IFERROR(MATCH(Methode_Keuze,Tb_KostenOpties[#Headers],0),2))=1,_xlfn.SWITCH($H63,"Uurtarief",IF(OR(AND(RIGHT($F63,3)="IKS",VLOOKUP($I63,Loonkosten,2,0)="Ja"),AND(RIGHT($F63,3)&lt;&gt;"IKS",VLOOKUP($I63,Loonkosten,2,0)="Nee")), VLOOKUP($I63,Loonkosten,MATCH("Opgegeven uurtarief",'4. Rekenhulp loonkosten aanvr.'!$4:$4,0)),0),"Vast tarief",IF(LEFT(F63,8)="Bijdrage",VLOOKUP($F63,Tb_KostenTypen[],MATCH(Lijsten!$P$1,Tb_KostenTypen[#Headers],0),0),VLOOKUP($G63,Lijsten!L:P,MATCH(Lijsten!$P$1,Kop_Tarief_Vast,0),0))),""),"")</f>
        <v/>
      </c>
      <c r="K63" s="312" t="str" cm="1">
        <f t="array" ref="K63">_xlfn.IFNA(IF(INDEX(Tb_KostenOpties[],MATCH($F63,Tb_KostenOpties[KostenOptie],0),IFERROR(MATCH(Methode_Keuze,Tb_KostenOpties[#Headers],0),2))=1,_xlfn.SWITCH($H63,"Uurtarief",IF(OR(AND(RIGHT($F63,3)="IKS",VLOOKUP($I63,Loonkosten,2,0)="Ja"),AND(RIGHT($F63,3)&lt;&gt;"IKS",VLOOKUP($I63,Loonkosten,2,0)="Nee")), VLOOKUP($I63,Loonkosten,MATCH("Beoordeeld uurtarief",'4. Rekenhulp loonkosten aanvr.'!$4:$4,0),0),0),"Vast tarief",IF(LEFT(F63,8)="Bijdrage",VLOOKUP($F63,Tb_KostenTypen[],MATCH(Lijsten!$P$1,Tb_KostenTypen[#Headers],0),0),VLOOKUP($G63,Lijsten!L:P,MATCH(Lijsten!$P$1,Kop_Tarief_Vast,0),0))),""),"")</f>
        <v/>
      </c>
      <c r="L63" s="358"/>
      <c r="M63" s="358"/>
      <c r="N63" s="313"/>
      <c r="O63" s="313"/>
      <c r="P63" s="374" t="str">
        <f t="shared" si="1"/>
        <v/>
      </c>
      <c r="Q63" s="314" t="str">
        <f t="shared" si="2"/>
        <v/>
      </c>
      <c r="R63" s="314" t="str" cm="1">
        <f t="array" aca="1" ref="R63" ca="1">_xlfn.IFNA(_xlfn.IFS(X63="Dit kostentype hoeft u niet op te geven. Hiervoor wordt een forfait berekend.","",AND(J63&lt;&gt;"",H63="Vast tarief",F63="Vergoeding"),SUM(J63)*FLOOR(SUM(L63),0.0001),AND(J63&lt;&gt;"",OR(H63="Uurtarief",H63="Vast tarief")),SUM(J63)*FLOOR(SUM(L63),0.01),AND(N63&lt;&gt;"",H63="-"),FLOOR(SUM(N63),0.01)),"")</f>
        <v/>
      </c>
      <c r="S63" s="314" t="str" cm="1">
        <f t="array" aca="1" ref="S63" ca="1">_xlfn.IFNA(_xlfn.IFS(X63="Dit kostentype hoeft u niet op te geven. Hiervoor wordt een forfait berekend.","",AND(K63&lt;&gt;"",M63&lt;&gt;"",H63="Vast tarief",F63="Vergoeding"),SUM(K63)*FLOOR(SUM(M63),0.0001),AND(K63&lt;&gt;"",M63&lt;&gt;"",OR(H63="Uurtarief",H63="Vast tarief")),SUM(K63)*FLOOR(SUM(M63),0.01),AND(O63&lt;&gt;"",H63="-"),FLOOR(SUM(O63),0.01)),"")</f>
        <v/>
      </c>
      <c r="T63" s="314" t="str">
        <f t="shared" ca="1" si="3"/>
        <v/>
      </c>
      <c r="U63" s="314" t="str" cm="1">
        <f t="array" aca="1" ref="U63" ca="1">IFERROR(_xlfn.IFS(OR(F63="",LEFT(Methode_Keuze,4)="Geen",Methode_Keuze=""),"",AND(R63&lt;&gt;"",F63&lt;&gt;"Arbeidskosten"),R63*VLOOKUP(F63,Tb_ProjectKosten[],MATCH(Tb_ProjectKosten[[#Headers],[Forfait_Percentage]],Tb_ProjectKosten[#Headers],0),0),AND(F63="Arbeidskosten",G63&lt;&gt;""),IFERROR(R63*VLOOKUP(G63,Tb_KostenTypen[],3,0)*VLOOKUP(F63,Tb_ProjectKosten[],MATCH(Tb_ProjectKosten[[#Headers],[Forfait_Percentage]],Tb_ProjectKosten[#Headers],0),0),""),R63 &lt;=0,0),"")</f>
        <v/>
      </c>
      <c r="V63" s="314" t="str" cm="1">
        <f t="array" aca="1" ref="V63" ca="1">IFERROR(_xlfn.IFS(OR(F63="",LEFT(Methode_Keuze,4)="Geen",Methode_Keuze=""),"",AND(S63&lt;&gt;"",F63&lt;&gt;"Arbeidskosten"),S63*VLOOKUP(F63,Tb_ProjectKosten[],MATCH(Tb_ProjectKosten[[#Headers],[Forfait_Percentage]],Tb_ProjectKosten[#Headers],0),0),AND(F63="Arbeidskosten",G63&lt;&gt;""),IFERROR(S63*VLOOKUP(G63,Tb_KostenTypen[],3,0)*VLOOKUP(F63,Tb_ProjectKosten[],MATCH(Tb_ProjectKosten[[#Headers],[Forfait_Percentage]],Tb_ProjectKosten[#Headers],0),0),""),S63 &lt;=0,0),"")</f>
        <v/>
      </c>
      <c r="W63" s="314" t="str">
        <f t="shared" ca="1" si="4"/>
        <v/>
      </c>
      <c r="X63" s="376" t="str">
        <f>IFERROR(VLOOKUP(F63,Tb_ProjectKosten[#All],11,0),"")</f>
        <v/>
      </c>
      <c r="Y63" s="315"/>
    </row>
    <row r="64" spans="1:25" x14ac:dyDescent="0.25">
      <c r="A64" s="309">
        <f>MAX($A$5:A63)+1</f>
        <v>59</v>
      </c>
      <c r="B64" s="296"/>
      <c r="C64" s="296"/>
      <c r="D64" s="296"/>
      <c r="E64" s="296"/>
      <c r="F64" s="296"/>
      <c r="G64" s="327"/>
      <c r="H64" s="310" t="str">
        <f ca="1">IFERROR(IF(VLOOKUP(F64,Kostentypen!$A$3:$E$21,3,0)=0,"",IF(OR(F64="Arbeidskosten",F64="Vergoeding"),VLOOKUP(G64,Tb_KostenTypen[],2,0),VLOOKUP(F64,Kostentypen!$A$3:$E$20,3,0))),"")</f>
        <v/>
      </c>
      <c r="I64" s="311"/>
      <c r="J64" s="312" t="str" cm="1">
        <f t="array" ref="J64">_xlfn.IFNA(IF(INDEX(Tb_KostenOpties[],MATCH($F64,Tb_KostenOpties[KostenOptie],0),IFERROR(MATCH(Methode_Keuze,Tb_KostenOpties[#Headers],0),2))=1,_xlfn.SWITCH($H64,"Uurtarief",IF(OR(AND(RIGHT($F64,3)="IKS",VLOOKUP($I64,Loonkosten,2,0)="Ja"),AND(RIGHT($F64,3)&lt;&gt;"IKS",VLOOKUP($I64,Loonkosten,2,0)="Nee")), VLOOKUP($I64,Loonkosten,MATCH("Opgegeven uurtarief",'4. Rekenhulp loonkosten aanvr.'!$4:$4,0)),0),"Vast tarief",IF(LEFT(F64,8)="Bijdrage",VLOOKUP($F64,Tb_KostenTypen[],MATCH(Lijsten!$P$1,Tb_KostenTypen[#Headers],0),0),VLOOKUP($G64,Lijsten!L:P,MATCH(Lijsten!$P$1,Kop_Tarief_Vast,0),0))),""),"")</f>
        <v/>
      </c>
      <c r="K64" s="312" t="str" cm="1">
        <f t="array" ref="K64">_xlfn.IFNA(IF(INDEX(Tb_KostenOpties[],MATCH($F64,Tb_KostenOpties[KostenOptie],0),IFERROR(MATCH(Methode_Keuze,Tb_KostenOpties[#Headers],0),2))=1,_xlfn.SWITCH($H64,"Uurtarief",IF(OR(AND(RIGHT($F64,3)="IKS",VLOOKUP($I64,Loonkosten,2,0)="Ja"),AND(RIGHT($F64,3)&lt;&gt;"IKS",VLOOKUP($I64,Loonkosten,2,0)="Nee")), VLOOKUP($I64,Loonkosten,MATCH("Beoordeeld uurtarief",'4. Rekenhulp loonkosten aanvr.'!$4:$4,0),0),0),"Vast tarief",IF(LEFT(F64,8)="Bijdrage",VLOOKUP($F64,Tb_KostenTypen[],MATCH(Lijsten!$P$1,Tb_KostenTypen[#Headers],0),0),VLOOKUP($G64,Lijsten!L:P,MATCH(Lijsten!$P$1,Kop_Tarief_Vast,0),0))),""),"")</f>
        <v/>
      </c>
      <c r="L64" s="358"/>
      <c r="M64" s="358"/>
      <c r="N64" s="313"/>
      <c r="O64" s="313"/>
      <c r="P64" s="374" t="str">
        <f t="shared" si="1"/>
        <v/>
      </c>
      <c r="Q64" s="314" t="str">
        <f t="shared" si="2"/>
        <v/>
      </c>
      <c r="R64" s="314" t="str" cm="1">
        <f t="array" aca="1" ref="R64" ca="1">_xlfn.IFNA(_xlfn.IFS(X64="Dit kostentype hoeft u niet op te geven. Hiervoor wordt een forfait berekend.","",AND(J64&lt;&gt;"",H64="Vast tarief",F64="Vergoeding"),SUM(J64)*FLOOR(SUM(L64),0.0001),AND(J64&lt;&gt;"",OR(H64="Uurtarief",H64="Vast tarief")),SUM(J64)*FLOOR(SUM(L64),0.01),AND(N64&lt;&gt;"",H64="-"),FLOOR(SUM(N64),0.01)),"")</f>
        <v/>
      </c>
      <c r="S64" s="314" t="str" cm="1">
        <f t="array" aca="1" ref="S64" ca="1">_xlfn.IFNA(_xlfn.IFS(X64="Dit kostentype hoeft u niet op te geven. Hiervoor wordt een forfait berekend.","",AND(K64&lt;&gt;"",M64&lt;&gt;"",H64="Vast tarief",F64="Vergoeding"),SUM(K64)*FLOOR(SUM(M64),0.0001),AND(K64&lt;&gt;"",M64&lt;&gt;"",OR(H64="Uurtarief",H64="Vast tarief")),SUM(K64)*FLOOR(SUM(M64),0.01),AND(O64&lt;&gt;"",H64="-"),FLOOR(SUM(O64),0.01)),"")</f>
        <v/>
      </c>
      <c r="T64" s="314" t="str">
        <f t="shared" ca="1" si="3"/>
        <v/>
      </c>
      <c r="U64" s="314" t="str" cm="1">
        <f t="array" aca="1" ref="U64" ca="1">IFERROR(_xlfn.IFS(OR(F64="",LEFT(Methode_Keuze,4)="Geen",Methode_Keuze=""),"",AND(R64&lt;&gt;"",F64&lt;&gt;"Arbeidskosten"),R64*VLOOKUP(F64,Tb_ProjectKosten[],MATCH(Tb_ProjectKosten[[#Headers],[Forfait_Percentage]],Tb_ProjectKosten[#Headers],0),0),AND(F64="Arbeidskosten",G64&lt;&gt;""),IFERROR(R64*VLOOKUP(G64,Tb_KostenTypen[],3,0)*VLOOKUP(F64,Tb_ProjectKosten[],MATCH(Tb_ProjectKosten[[#Headers],[Forfait_Percentage]],Tb_ProjectKosten[#Headers],0),0),""),R64 &lt;=0,0),"")</f>
        <v/>
      </c>
      <c r="V64" s="314" t="str" cm="1">
        <f t="array" aca="1" ref="V64" ca="1">IFERROR(_xlfn.IFS(OR(F64="",LEFT(Methode_Keuze,4)="Geen",Methode_Keuze=""),"",AND(S64&lt;&gt;"",F64&lt;&gt;"Arbeidskosten"),S64*VLOOKUP(F64,Tb_ProjectKosten[],MATCH(Tb_ProjectKosten[[#Headers],[Forfait_Percentage]],Tb_ProjectKosten[#Headers],0),0),AND(F64="Arbeidskosten",G64&lt;&gt;""),IFERROR(S64*VLOOKUP(G64,Tb_KostenTypen[],3,0)*VLOOKUP(F64,Tb_ProjectKosten[],MATCH(Tb_ProjectKosten[[#Headers],[Forfait_Percentage]],Tb_ProjectKosten[#Headers],0),0),""),S64 &lt;=0,0),"")</f>
        <v/>
      </c>
      <c r="W64" s="314" t="str">
        <f t="shared" ca="1" si="4"/>
        <v/>
      </c>
      <c r="X64" s="376" t="str">
        <f>IFERROR(VLOOKUP(F64,Tb_ProjectKosten[#All],11,0),"")</f>
        <v/>
      </c>
      <c r="Y64" s="315"/>
    </row>
    <row r="65" spans="1:25" x14ac:dyDescent="0.25">
      <c r="A65" s="309">
        <f>MAX($A$5:A64)+1</f>
        <v>60</v>
      </c>
      <c r="B65" s="296"/>
      <c r="C65" s="296"/>
      <c r="D65" s="296"/>
      <c r="E65" s="296"/>
      <c r="F65" s="296"/>
      <c r="G65" s="327"/>
      <c r="H65" s="310" t="str">
        <f ca="1">IFERROR(IF(VLOOKUP(F65,Kostentypen!$A$3:$E$21,3,0)=0,"",IF(OR(F65="Arbeidskosten",F65="Vergoeding"),VLOOKUP(G65,Tb_KostenTypen[],2,0),VLOOKUP(F65,Kostentypen!$A$3:$E$20,3,0))),"")</f>
        <v/>
      </c>
      <c r="I65" s="311"/>
      <c r="J65" s="312" t="str" cm="1">
        <f t="array" ref="J65">_xlfn.IFNA(IF(INDEX(Tb_KostenOpties[],MATCH($F65,Tb_KostenOpties[KostenOptie],0),IFERROR(MATCH(Methode_Keuze,Tb_KostenOpties[#Headers],0),2))=1,_xlfn.SWITCH($H65,"Uurtarief",IF(OR(AND(RIGHT($F65,3)="IKS",VLOOKUP($I65,Loonkosten,2,0)="Ja"),AND(RIGHT($F65,3)&lt;&gt;"IKS",VLOOKUP($I65,Loonkosten,2,0)="Nee")), VLOOKUP($I65,Loonkosten,MATCH("Opgegeven uurtarief",'4. Rekenhulp loonkosten aanvr.'!$4:$4,0)),0),"Vast tarief",IF(LEFT(F65,8)="Bijdrage",VLOOKUP($F65,Tb_KostenTypen[],MATCH(Lijsten!$P$1,Tb_KostenTypen[#Headers],0),0),VLOOKUP($G65,Lijsten!L:P,MATCH(Lijsten!$P$1,Kop_Tarief_Vast,0),0))),""),"")</f>
        <v/>
      </c>
      <c r="K65" s="312" t="str" cm="1">
        <f t="array" ref="K65">_xlfn.IFNA(IF(INDEX(Tb_KostenOpties[],MATCH($F65,Tb_KostenOpties[KostenOptie],0),IFERROR(MATCH(Methode_Keuze,Tb_KostenOpties[#Headers],0),2))=1,_xlfn.SWITCH($H65,"Uurtarief",IF(OR(AND(RIGHT($F65,3)="IKS",VLOOKUP($I65,Loonkosten,2,0)="Ja"),AND(RIGHT($F65,3)&lt;&gt;"IKS",VLOOKUP($I65,Loonkosten,2,0)="Nee")), VLOOKUP($I65,Loonkosten,MATCH("Beoordeeld uurtarief",'4. Rekenhulp loonkosten aanvr.'!$4:$4,0),0),0),"Vast tarief",IF(LEFT(F65,8)="Bijdrage",VLOOKUP($F65,Tb_KostenTypen[],MATCH(Lijsten!$P$1,Tb_KostenTypen[#Headers],0),0),VLOOKUP($G65,Lijsten!L:P,MATCH(Lijsten!$P$1,Kop_Tarief_Vast,0),0))),""),"")</f>
        <v/>
      </c>
      <c r="L65" s="358"/>
      <c r="M65" s="358"/>
      <c r="N65" s="313"/>
      <c r="O65" s="313"/>
      <c r="P65" s="374" t="str">
        <f t="shared" si="1"/>
        <v/>
      </c>
      <c r="Q65" s="314" t="str">
        <f t="shared" si="2"/>
        <v/>
      </c>
      <c r="R65" s="314" t="str" cm="1">
        <f t="array" aca="1" ref="R65" ca="1">_xlfn.IFNA(_xlfn.IFS(X65="Dit kostentype hoeft u niet op te geven. Hiervoor wordt een forfait berekend.","",AND(J65&lt;&gt;"",H65="Vast tarief",F65="Vergoeding"),SUM(J65)*FLOOR(SUM(L65),0.0001),AND(J65&lt;&gt;"",OR(H65="Uurtarief",H65="Vast tarief")),SUM(J65)*FLOOR(SUM(L65),0.01),AND(N65&lt;&gt;"",H65="-"),FLOOR(SUM(N65),0.01)),"")</f>
        <v/>
      </c>
      <c r="S65" s="314" t="str" cm="1">
        <f t="array" aca="1" ref="S65" ca="1">_xlfn.IFNA(_xlfn.IFS(X65="Dit kostentype hoeft u niet op te geven. Hiervoor wordt een forfait berekend.","",AND(K65&lt;&gt;"",M65&lt;&gt;"",H65="Vast tarief",F65="Vergoeding"),SUM(K65)*FLOOR(SUM(M65),0.0001),AND(K65&lt;&gt;"",M65&lt;&gt;"",OR(H65="Uurtarief",H65="Vast tarief")),SUM(K65)*FLOOR(SUM(M65),0.01),AND(O65&lt;&gt;"",H65="-"),FLOOR(SUM(O65),0.01)),"")</f>
        <v/>
      </c>
      <c r="T65" s="314" t="str">
        <f t="shared" ca="1" si="3"/>
        <v/>
      </c>
      <c r="U65" s="314" t="str" cm="1">
        <f t="array" aca="1" ref="U65" ca="1">IFERROR(_xlfn.IFS(OR(F65="",LEFT(Methode_Keuze,4)="Geen",Methode_Keuze=""),"",AND(R65&lt;&gt;"",F65&lt;&gt;"Arbeidskosten"),R65*VLOOKUP(F65,Tb_ProjectKosten[],MATCH(Tb_ProjectKosten[[#Headers],[Forfait_Percentage]],Tb_ProjectKosten[#Headers],0),0),AND(F65="Arbeidskosten",G65&lt;&gt;""),IFERROR(R65*VLOOKUP(G65,Tb_KostenTypen[],3,0)*VLOOKUP(F65,Tb_ProjectKosten[],MATCH(Tb_ProjectKosten[[#Headers],[Forfait_Percentage]],Tb_ProjectKosten[#Headers],0),0),""),R65 &lt;=0,0),"")</f>
        <v/>
      </c>
      <c r="V65" s="314" t="str" cm="1">
        <f t="array" aca="1" ref="V65" ca="1">IFERROR(_xlfn.IFS(OR(F65="",LEFT(Methode_Keuze,4)="Geen",Methode_Keuze=""),"",AND(S65&lt;&gt;"",F65&lt;&gt;"Arbeidskosten"),S65*VLOOKUP(F65,Tb_ProjectKosten[],MATCH(Tb_ProjectKosten[[#Headers],[Forfait_Percentage]],Tb_ProjectKosten[#Headers],0),0),AND(F65="Arbeidskosten",G65&lt;&gt;""),IFERROR(S65*VLOOKUP(G65,Tb_KostenTypen[],3,0)*VLOOKUP(F65,Tb_ProjectKosten[],MATCH(Tb_ProjectKosten[[#Headers],[Forfait_Percentage]],Tb_ProjectKosten[#Headers],0),0),""),S65 &lt;=0,0),"")</f>
        <v/>
      </c>
      <c r="W65" s="314" t="str">
        <f t="shared" ca="1" si="4"/>
        <v/>
      </c>
      <c r="X65" s="376" t="str">
        <f>IFERROR(VLOOKUP(F65,Tb_ProjectKosten[#All],11,0),"")</f>
        <v/>
      </c>
      <c r="Y65" s="315"/>
    </row>
    <row r="66" spans="1:25" x14ac:dyDescent="0.25">
      <c r="A66" s="309">
        <f>MAX($A$5:A65)+1</f>
        <v>61</v>
      </c>
      <c r="B66" s="296"/>
      <c r="C66" s="296"/>
      <c r="D66" s="296"/>
      <c r="E66" s="296"/>
      <c r="F66" s="296"/>
      <c r="G66" s="327"/>
      <c r="H66" s="310" t="str">
        <f ca="1">IFERROR(IF(VLOOKUP(F66,Kostentypen!$A$3:$E$21,3,0)=0,"",IF(OR(F66="Arbeidskosten",F66="Vergoeding"),VLOOKUP(G66,Tb_KostenTypen[],2,0),VLOOKUP(F66,Kostentypen!$A$3:$E$20,3,0))),"")</f>
        <v/>
      </c>
      <c r="I66" s="311"/>
      <c r="J66" s="312" t="str" cm="1">
        <f t="array" ref="J66">_xlfn.IFNA(IF(INDEX(Tb_KostenOpties[],MATCH($F66,Tb_KostenOpties[KostenOptie],0),IFERROR(MATCH(Methode_Keuze,Tb_KostenOpties[#Headers],0),2))=1,_xlfn.SWITCH($H66,"Uurtarief",IF(OR(AND(RIGHT($F66,3)="IKS",VLOOKUP($I66,Loonkosten,2,0)="Ja"),AND(RIGHT($F66,3)&lt;&gt;"IKS",VLOOKUP($I66,Loonkosten,2,0)="Nee")), VLOOKUP($I66,Loonkosten,MATCH("Opgegeven uurtarief",'4. Rekenhulp loonkosten aanvr.'!$4:$4,0)),0),"Vast tarief",IF(LEFT(F66,8)="Bijdrage",VLOOKUP($F66,Tb_KostenTypen[],MATCH(Lijsten!$P$1,Tb_KostenTypen[#Headers],0),0),VLOOKUP($G66,Lijsten!L:P,MATCH(Lijsten!$P$1,Kop_Tarief_Vast,0),0))),""),"")</f>
        <v/>
      </c>
      <c r="K66" s="312" t="str" cm="1">
        <f t="array" ref="K66">_xlfn.IFNA(IF(INDEX(Tb_KostenOpties[],MATCH($F66,Tb_KostenOpties[KostenOptie],0),IFERROR(MATCH(Methode_Keuze,Tb_KostenOpties[#Headers],0),2))=1,_xlfn.SWITCH($H66,"Uurtarief",IF(OR(AND(RIGHT($F66,3)="IKS",VLOOKUP($I66,Loonkosten,2,0)="Ja"),AND(RIGHT($F66,3)&lt;&gt;"IKS",VLOOKUP($I66,Loonkosten,2,0)="Nee")), VLOOKUP($I66,Loonkosten,MATCH("Beoordeeld uurtarief",'4. Rekenhulp loonkosten aanvr.'!$4:$4,0),0),0),"Vast tarief",IF(LEFT(F66,8)="Bijdrage",VLOOKUP($F66,Tb_KostenTypen[],MATCH(Lijsten!$P$1,Tb_KostenTypen[#Headers],0),0),VLOOKUP($G66,Lijsten!L:P,MATCH(Lijsten!$P$1,Kop_Tarief_Vast,0),0))),""),"")</f>
        <v/>
      </c>
      <c r="L66" s="358"/>
      <c r="M66" s="358"/>
      <c r="N66" s="313"/>
      <c r="O66" s="313"/>
      <c r="P66" s="374" t="str">
        <f t="shared" si="1"/>
        <v/>
      </c>
      <c r="Q66" s="314" t="str">
        <f t="shared" si="2"/>
        <v/>
      </c>
      <c r="R66" s="314" t="str" cm="1">
        <f t="array" aca="1" ref="R66" ca="1">_xlfn.IFNA(_xlfn.IFS(X66="Dit kostentype hoeft u niet op te geven. Hiervoor wordt een forfait berekend.","",AND(J66&lt;&gt;"",H66="Vast tarief",F66="Vergoeding"),SUM(J66)*FLOOR(SUM(L66),0.0001),AND(J66&lt;&gt;"",OR(H66="Uurtarief",H66="Vast tarief")),SUM(J66)*FLOOR(SUM(L66),0.01),AND(N66&lt;&gt;"",H66="-"),FLOOR(SUM(N66),0.01)),"")</f>
        <v/>
      </c>
      <c r="S66" s="314" t="str" cm="1">
        <f t="array" aca="1" ref="S66" ca="1">_xlfn.IFNA(_xlfn.IFS(X66="Dit kostentype hoeft u niet op te geven. Hiervoor wordt een forfait berekend.","",AND(K66&lt;&gt;"",M66&lt;&gt;"",H66="Vast tarief",F66="Vergoeding"),SUM(K66)*FLOOR(SUM(M66),0.0001),AND(K66&lt;&gt;"",M66&lt;&gt;"",OR(H66="Uurtarief",H66="Vast tarief")),SUM(K66)*FLOOR(SUM(M66),0.01),AND(O66&lt;&gt;"",H66="-"),FLOOR(SUM(O66),0.01)),"")</f>
        <v/>
      </c>
      <c r="T66" s="314" t="str">
        <f t="shared" ca="1" si="3"/>
        <v/>
      </c>
      <c r="U66" s="314" t="str" cm="1">
        <f t="array" aca="1" ref="U66" ca="1">IFERROR(_xlfn.IFS(OR(F66="",LEFT(Methode_Keuze,4)="Geen",Methode_Keuze=""),"",AND(R66&lt;&gt;"",F66&lt;&gt;"Arbeidskosten"),R66*VLOOKUP(F66,Tb_ProjectKosten[],MATCH(Tb_ProjectKosten[[#Headers],[Forfait_Percentage]],Tb_ProjectKosten[#Headers],0),0),AND(F66="Arbeidskosten",G66&lt;&gt;""),IFERROR(R66*VLOOKUP(G66,Tb_KostenTypen[],3,0)*VLOOKUP(F66,Tb_ProjectKosten[],MATCH(Tb_ProjectKosten[[#Headers],[Forfait_Percentage]],Tb_ProjectKosten[#Headers],0),0),""),R66 &lt;=0,0),"")</f>
        <v/>
      </c>
      <c r="V66" s="314" t="str" cm="1">
        <f t="array" aca="1" ref="V66" ca="1">IFERROR(_xlfn.IFS(OR(F66="",LEFT(Methode_Keuze,4)="Geen",Methode_Keuze=""),"",AND(S66&lt;&gt;"",F66&lt;&gt;"Arbeidskosten"),S66*VLOOKUP(F66,Tb_ProjectKosten[],MATCH(Tb_ProjectKosten[[#Headers],[Forfait_Percentage]],Tb_ProjectKosten[#Headers],0),0),AND(F66="Arbeidskosten",G66&lt;&gt;""),IFERROR(S66*VLOOKUP(G66,Tb_KostenTypen[],3,0)*VLOOKUP(F66,Tb_ProjectKosten[],MATCH(Tb_ProjectKosten[[#Headers],[Forfait_Percentage]],Tb_ProjectKosten[#Headers],0),0),""),S66 &lt;=0,0),"")</f>
        <v/>
      </c>
      <c r="W66" s="314" t="str">
        <f t="shared" ca="1" si="4"/>
        <v/>
      </c>
      <c r="X66" s="376" t="str">
        <f>IFERROR(VLOOKUP(F66,Tb_ProjectKosten[#All],11,0),"")</f>
        <v/>
      </c>
      <c r="Y66" s="315"/>
    </row>
    <row r="67" spans="1:25" x14ac:dyDescent="0.25">
      <c r="A67" s="309">
        <f>MAX($A$5:A66)+1</f>
        <v>62</v>
      </c>
      <c r="B67" s="296"/>
      <c r="C67" s="296"/>
      <c r="D67" s="296"/>
      <c r="E67" s="296"/>
      <c r="F67" s="296"/>
      <c r="G67" s="327"/>
      <c r="H67" s="310" t="str">
        <f ca="1">IFERROR(IF(VLOOKUP(F67,Kostentypen!$A$3:$E$21,3,0)=0,"",IF(OR(F67="Arbeidskosten",F67="Vergoeding"),VLOOKUP(G67,Tb_KostenTypen[],2,0),VLOOKUP(F67,Kostentypen!$A$3:$E$20,3,0))),"")</f>
        <v/>
      </c>
      <c r="I67" s="311"/>
      <c r="J67" s="312" t="str" cm="1">
        <f t="array" ref="J67">_xlfn.IFNA(IF(INDEX(Tb_KostenOpties[],MATCH($F67,Tb_KostenOpties[KostenOptie],0),IFERROR(MATCH(Methode_Keuze,Tb_KostenOpties[#Headers],0),2))=1,_xlfn.SWITCH($H67,"Uurtarief",IF(OR(AND(RIGHT($F67,3)="IKS",VLOOKUP($I67,Loonkosten,2,0)="Ja"),AND(RIGHT($F67,3)&lt;&gt;"IKS",VLOOKUP($I67,Loonkosten,2,0)="Nee")), VLOOKUP($I67,Loonkosten,MATCH("Opgegeven uurtarief",'4. Rekenhulp loonkosten aanvr.'!$4:$4,0)),0),"Vast tarief",IF(LEFT(F67,8)="Bijdrage",VLOOKUP($F67,Tb_KostenTypen[],MATCH(Lijsten!$P$1,Tb_KostenTypen[#Headers],0),0),VLOOKUP($G67,Lijsten!L:P,MATCH(Lijsten!$P$1,Kop_Tarief_Vast,0),0))),""),"")</f>
        <v/>
      </c>
      <c r="K67" s="312" t="str" cm="1">
        <f t="array" ref="K67">_xlfn.IFNA(IF(INDEX(Tb_KostenOpties[],MATCH($F67,Tb_KostenOpties[KostenOptie],0),IFERROR(MATCH(Methode_Keuze,Tb_KostenOpties[#Headers],0),2))=1,_xlfn.SWITCH($H67,"Uurtarief",IF(OR(AND(RIGHT($F67,3)="IKS",VLOOKUP($I67,Loonkosten,2,0)="Ja"),AND(RIGHT($F67,3)&lt;&gt;"IKS",VLOOKUP($I67,Loonkosten,2,0)="Nee")), VLOOKUP($I67,Loonkosten,MATCH("Beoordeeld uurtarief",'4. Rekenhulp loonkosten aanvr.'!$4:$4,0),0),0),"Vast tarief",IF(LEFT(F67,8)="Bijdrage",VLOOKUP($F67,Tb_KostenTypen[],MATCH(Lijsten!$P$1,Tb_KostenTypen[#Headers],0),0),VLOOKUP($G67,Lijsten!L:P,MATCH(Lijsten!$P$1,Kop_Tarief_Vast,0),0))),""),"")</f>
        <v/>
      </c>
      <c r="L67" s="358"/>
      <c r="M67" s="358"/>
      <c r="N67" s="313"/>
      <c r="O67" s="313"/>
      <c r="P67" s="374" t="str">
        <f t="shared" si="1"/>
        <v/>
      </c>
      <c r="Q67" s="314" t="str">
        <f t="shared" si="2"/>
        <v/>
      </c>
      <c r="R67" s="314" t="str" cm="1">
        <f t="array" aca="1" ref="R67" ca="1">_xlfn.IFNA(_xlfn.IFS(X67="Dit kostentype hoeft u niet op te geven. Hiervoor wordt een forfait berekend.","",AND(J67&lt;&gt;"",H67="Vast tarief",F67="Vergoeding"),SUM(J67)*FLOOR(SUM(L67),0.0001),AND(J67&lt;&gt;"",OR(H67="Uurtarief",H67="Vast tarief")),SUM(J67)*FLOOR(SUM(L67),0.01),AND(N67&lt;&gt;"",H67="-"),FLOOR(SUM(N67),0.01)),"")</f>
        <v/>
      </c>
      <c r="S67" s="314" t="str" cm="1">
        <f t="array" aca="1" ref="S67" ca="1">_xlfn.IFNA(_xlfn.IFS(X67="Dit kostentype hoeft u niet op te geven. Hiervoor wordt een forfait berekend.","",AND(K67&lt;&gt;"",M67&lt;&gt;"",H67="Vast tarief",F67="Vergoeding"),SUM(K67)*FLOOR(SUM(M67),0.0001),AND(K67&lt;&gt;"",M67&lt;&gt;"",OR(H67="Uurtarief",H67="Vast tarief")),SUM(K67)*FLOOR(SUM(M67),0.01),AND(O67&lt;&gt;"",H67="-"),FLOOR(SUM(O67),0.01)),"")</f>
        <v/>
      </c>
      <c r="T67" s="314" t="str">
        <f t="shared" ca="1" si="3"/>
        <v/>
      </c>
      <c r="U67" s="314" t="str" cm="1">
        <f t="array" aca="1" ref="U67" ca="1">IFERROR(_xlfn.IFS(OR(F67="",LEFT(Methode_Keuze,4)="Geen",Methode_Keuze=""),"",AND(R67&lt;&gt;"",F67&lt;&gt;"Arbeidskosten"),R67*VLOOKUP(F67,Tb_ProjectKosten[],MATCH(Tb_ProjectKosten[[#Headers],[Forfait_Percentage]],Tb_ProjectKosten[#Headers],0),0),AND(F67="Arbeidskosten",G67&lt;&gt;""),IFERROR(R67*VLOOKUP(G67,Tb_KostenTypen[],3,0)*VLOOKUP(F67,Tb_ProjectKosten[],MATCH(Tb_ProjectKosten[[#Headers],[Forfait_Percentage]],Tb_ProjectKosten[#Headers],0),0),""),R67 &lt;=0,0),"")</f>
        <v/>
      </c>
      <c r="V67" s="314" t="str" cm="1">
        <f t="array" aca="1" ref="V67" ca="1">IFERROR(_xlfn.IFS(OR(F67="",LEFT(Methode_Keuze,4)="Geen",Methode_Keuze=""),"",AND(S67&lt;&gt;"",F67&lt;&gt;"Arbeidskosten"),S67*VLOOKUP(F67,Tb_ProjectKosten[],MATCH(Tb_ProjectKosten[[#Headers],[Forfait_Percentage]],Tb_ProjectKosten[#Headers],0),0),AND(F67="Arbeidskosten",G67&lt;&gt;""),IFERROR(S67*VLOOKUP(G67,Tb_KostenTypen[],3,0)*VLOOKUP(F67,Tb_ProjectKosten[],MATCH(Tb_ProjectKosten[[#Headers],[Forfait_Percentage]],Tb_ProjectKosten[#Headers],0),0),""),S67 &lt;=0,0),"")</f>
        <v/>
      </c>
      <c r="W67" s="314" t="str">
        <f t="shared" ca="1" si="4"/>
        <v/>
      </c>
      <c r="X67" s="376" t="str">
        <f>IFERROR(VLOOKUP(F67,Tb_ProjectKosten[#All],11,0),"")</f>
        <v/>
      </c>
      <c r="Y67" s="315"/>
    </row>
    <row r="68" spans="1:25" x14ac:dyDescent="0.25">
      <c r="A68" s="309">
        <f>MAX($A$5:A67)+1</f>
        <v>63</v>
      </c>
      <c r="B68" s="296"/>
      <c r="C68" s="296"/>
      <c r="D68" s="296"/>
      <c r="E68" s="296"/>
      <c r="F68" s="296"/>
      <c r="G68" s="327"/>
      <c r="H68" s="310" t="str">
        <f ca="1">IFERROR(IF(VLOOKUP(F68,Kostentypen!$A$3:$E$21,3,0)=0,"",IF(OR(F68="Arbeidskosten",F68="Vergoeding"),VLOOKUP(G68,Tb_KostenTypen[],2,0),VLOOKUP(F68,Kostentypen!$A$3:$E$20,3,0))),"")</f>
        <v/>
      </c>
      <c r="I68" s="311"/>
      <c r="J68" s="312" t="str" cm="1">
        <f t="array" ref="J68">_xlfn.IFNA(IF(INDEX(Tb_KostenOpties[],MATCH($F68,Tb_KostenOpties[KostenOptie],0),IFERROR(MATCH(Methode_Keuze,Tb_KostenOpties[#Headers],0),2))=1,_xlfn.SWITCH($H68,"Uurtarief",IF(OR(AND(RIGHT($F68,3)="IKS",VLOOKUP($I68,Loonkosten,2,0)="Ja"),AND(RIGHT($F68,3)&lt;&gt;"IKS",VLOOKUP($I68,Loonkosten,2,0)="Nee")), VLOOKUP($I68,Loonkosten,MATCH("Opgegeven uurtarief",'4. Rekenhulp loonkosten aanvr.'!$4:$4,0)),0),"Vast tarief",IF(LEFT(F68,8)="Bijdrage",VLOOKUP($F68,Tb_KostenTypen[],MATCH(Lijsten!$P$1,Tb_KostenTypen[#Headers],0),0),VLOOKUP($G68,Lijsten!L:P,MATCH(Lijsten!$P$1,Kop_Tarief_Vast,0),0))),""),"")</f>
        <v/>
      </c>
      <c r="K68" s="312" t="str" cm="1">
        <f t="array" ref="K68">_xlfn.IFNA(IF(INDEX(Tb_KostenOpties[],MATCH($F68,Tb_KostenOpties[KostenOptie],0),IFERROR(MATCH(Methode_Keuze,Tb_KostenOpties[#Headers],0),2))=1,_xlfn.SWITCH($H68,"Uurtarief",IF(OR(AND(RIGHT($F68,3)="IKS",VLOOKUP($I68,Loonkosten,2,0)="Ja"),AND(RIGHT($F68,3)&lt;&gt;"IKS",VLOOKUP($I68,Loonkosten,2,0)="Nee")), VLOOKUP($I68,Loonkosten,MATCH("Beoordeeld uurtarief",'4. Rekenhulp loonkosten aanvr.'!$4:$4,0),0),0),"Vast tarief",IF(LEFT(F68,8)="Bijdrage",VLOOKUP($F68,Tb_KostenTypen[],MATCH(Lijsten!$P$1,Tb_KostenTypen[#Headers],0),0),VLOOKUP($G68,Lijsten!L:P,MATCH(Lijsten!$P$1,Kop_Tarief_Vast,0),0))),""),"")</f>
        <v/>
      </c>
      <c r="L68" s="358"/>
      <c r="M68" s="358"/>
      <c r="N68" s="313"/>
      <c r="O68" s="313"/>
      <c r="P68" s="374" t="str">
        <f t="shared" si="1"/>
        <v/>
      </c>
      <c r="Q68" s="314" t="str">
        <f t="shared" si="2"/>
        <v/>
      </c>
      <c r="R68" s="314" t="str" cm="1">
        <f t="array" aca="1" ref="R68" ca="1">_xlfn.IFNA(_xlfn.IFS(X68="Dit kostentype hoeft u niet op te geven. Hiervoor wordt een forfait berekend.","",AND(J68&lt;&gt;"",H68="Vast tarief",F68="Vergoeding"),SUM(J68)*FLOOR(SUM(L68),0.0001),AND(J68&lt;&gt;"",OR(H68="Uurtarief",H68="Vast tarief")),SUM(J68)*FLOOR(SUM(L68),0.01),AND(N68&lt;&gt;"",H68="-"),FLOOR(SUM(N68),0.01)),"")</f>
        <v/>
      </c>
      <c r="S68" s="314" t="str" cm="1">
        <f t="array" aca="1" ref="S68" ca="1">_xlfn.IFNA(_xlfn.IFS(X68="Dit kostentype hoeft u niet op te geven. Hiervoor wordt een forfait berekend.","",AND(K68&lt;&gt;"",M68&lt;&gt;"",H68="Vast tarief",F68="Vergoeding"),SUM(K68)*FLOOR(SUM(M68),0.0001),AND(K68&lt;&gt;"",M68&lt;&gt;"",OR(H68="Uurtarief",H68="Vast tarief")),SUM(K68)*FLOOR(SUM(M68),0.01),AND(O68&lt;&gt;"",H68="-"),FLOOR(SUM(O68),0.01)),"")</f>
        <v/>
      </c>
      <c r="T68" s="314" t="str">
        <f t="shared" ca="1" si="3"/>
        <v/>
      </c>
      <c r="U68" s="314" t="str" cm="1">
        <f t="array" aca="1" ref="U68" ca="1">IFERROR(_xlfn.IFS(OR(F68="",LEFT(Methode_Keuze,4)="Geen",Methode_Keuze=""),"",AND(R68&lt;&gt;"",F68&lt;&gt;"Arbeidskosten"),R68*VLOOKUP(F68,Tb_ProjectKosten[],MATCH(Tb_ProjectKosten[[#Headers],[Forfait_Percentage]],Tb_ProjectKosten[#Headers],0),0),AND(F68="Arbeidskosten",G68&lt;&gt;""),IFERROR(R68*VLOOKUP(G68,Tb_KostenTypen[],3,0)*VLOOKUP(F68,Tb_ProjectKosten[],MATCH(Tb_ProjectKosten[[#Headers],[Forfait_Percentage]],Tb_ProjectKosten[#Headers],0),0),""),R68 &lt;=0,0),"")</f>
        <v/>
      </c>
      <c r="V68" s="314" t="str" cm="1">
        <f t="array" aca="1" ref="V68" ca="1">IFERROR(_xlfn.IFS(OR(F68="",LEFT(Methode_Keuze,4)="Geen",Methode_Keuze=""),"",AND(S68&lt;&gt;"",F68&lt;&gt;"Arbeidskosten"),S68*VLOOKUP(F68,Tb_ProjectKosten[],MATCH(Tb_ProjectKosten[[#Headers],[Forfait_Percentage]],Tb_ProjectKosten[#Headers],0),0),AND(F68="Arbeidskosten",G68&lt;&gt;""),IFERROR(S68*VLOOKUP(G68,Tb_KostenTypen[],3,0)*VLOOKUP(F68,Tb_ProjectKosten[],MATCH(Tb_ProjectKosten[[#Headers],[Forfait_Percentage]],Tb_ProjectKosten[#Headers],0),0),""),S68 &lt;=0,0),"")</f>
        <v/>
      </c>
      <c r="W68" s="314" t="str">
        <f t="shared" ca="1" si="4"/>
        <v/>
      </c>
      <c r="X68" s="376" t="str">
        <f>IFERROR(VLOOKUP(F68,Tb_ProjectKosten[#All],11,0),"")</f>
        <v/>
      </c>
      <c r="Y68" s="315"/>
    </row>
    <row r="69" spans="1:25" x14ac:dyDescent="0.25">
      <c r="A69" s="309">
        <f>MAX($A$5:A68)+1</f>
        <v>64</v>
      </c>
      <c r="B69" s="296"/>
      <c r="C69" s="296"/>
      <c r="D69" s="296"/>
      <c r="E69" s="296"/>
      <c r="F69" s="296"/>
      <c r="G69" s="327"/>
      <c r="H69" s="310" t="str">
        <f ca="1">IFERROR(IF(VLOOKUP(F69,Kostentypen!$A$3:$E$21,3,0)=0,"",IF(OR(F69="Arbeidskosten",F69="Vergoeding"),VLOOKUP(G69,Tb_KostenTypen[],2,0),VLOOKUP(F69,Kostentypen!$A$3:$E$20,3,0))),"")</f>
        <v/>
      </c>
      <c r="I69" s="311"/>
      <c r="J69" s="312" t="str" cm="1">
        <f t="array" ref="J69">_xlfn.IFNA(IF(INDEX(Tb_KostenOpties[],MATCH($F69,Tb_KostenOpties[KostenOptie],0),IFERROR(MATCH(Methode_Keuze,Tb_KostenOpties[#Headers],0),2))=1,_xlfn.SWITCH($H69,"Uurtarief",IF(OR(AND(RIGHT($F69,3)="IKS",VLOOKUP($I69,Loonkosten,2,0)="Ja"),AND(RIGHT($F69,3)&lt;&gt;"IKS",VLOOKUP($I69,Loonkosten,2,0)="Nee")), VLOOKUP($I69,Loonkosten,MATCH("Opgegeven uurtarief",'4. Rekenhulp loonkosten aanvr.'!$4:$4,0)),0),"Vast tarief",IF(LEFT(F69,8)="Bijdrage",VLOOKUP($F69,Tb_KostenTypen[],MATCH(Lijsten!$P$1,Tb_KostenTypen[#Headers],0),0),VLOOKUP($G69,Lijsten!L:P,MATCH(Lijsten!$P$1,Kop_Tarief_Vast,0),0))),""),"")</f>
        <v/>
      </c>
      <c r="K69" s="312" t="str" cm="1">
        <f t="array" ref="K69">_xlfn.IFNA(IF(INDEX(Tb_KostenOpties[],MATCH($F69,Tb_KostenOpties[KostenOptie],0),IFERROR(MATCH(Methode_Keuze,Tb_KostenOpties[#Headers],0),2))=1,_xlfn.SWITCH($H69,"Uurtarief",IF(OR(AND(RIGHT($F69,3)="IKS",VLOOKUP($I69,Loonkosten,2,0)="Ja"),AND(RIGHT($F69,3)&lt;&gt;"IKS",VLOOKUP($I69,Loonkosten,2,0)="Nee")), VLOOKUP($I69,Loonkosten,MATCH("Beoordeeld uurtarief",'4. Rekenhulp loonkosten aanvr.'!$4:$4,0),0),0),"Vast tarief",IF(LEFT(F69,8)="Bijdrage",VLOOKUP($F69,Tb_KostenTypen[],MATCH(Lijsten!$P$1,Tb_KostenTypen[#Headers],0),0),VLOOKUP($G69,Lijsten!L:P,MATCH(Lijsten!$P$1,Kop_Tarief_Vast,0),0))),""),"")</f>
        <v/>
      </c>
      <c r="L69" s="358"/>
      <c r="M69" s="358"/>
      <c r="N69" s="313"/>
      <c r="O69" s="313"/>
      <c r="P69" s="374" t="str">
        <f t="shared" si="1"/>
        <v/>
      </c>
      <c r="Q69" s="314" t="str">
        <f t="shared" si="2"/>
        <v/>
      </c>
      <c r="R69" s="314" t="str" cm="1">
        <f t="array" aca="1" ref="R69" ca="1">_xlfn.IFNA(_xlfn.IFS(X69="Dit kostentype hoeft u niet op te geven. Hiervoor wordt een forfait berekend.","",AND(J69&lt;&gt;"",H69="Vast tarief",F69="Vergoeding"),SUM(J69)*FLOOR(SUM(L69),0.0001),AND(J69&lt;&gt;"",OR(H69="Uurtarief",H69="Vast tarief")),SUM(J69)*FLOOR(SUM(L69),0.01),AND(N69&lt;&gt;"",H69="-"),FLOOR(SUM(N69),0.01)),"")</f>
        <v/>
      </c>
      <c r="S69" s="314" t="str" cm="1">
        <f t="array" aca="1" ref="S69" ca="1">_xlfn.IFNA(_xlfn.IFS(X69="Dit kostentype hoeft u niet op te geven. Hiervoor wordt een forfait berekend.","",AND(K69&lt;&gt;"",M69&lt;&gt;"",H69="Vast tarief",F69="Vergoeding"),SUM(K69)*FLOOR(SUM(M69),0.0001),AND(K69&lt;&gt;"",M69&lt;&gt;"",OR(H69="Uurtarief",H69="Vast tarief")),SUM(K69)*FLOOR(SUM(M69),0.01),AND(O69&lt;&gt;"",H69="-"),FLOOR(SUM(O69),0.01)),"")</f>
        <v/>
      </c>
      <c r="T69" s="314" t="str">
        <f t="shared" ca="1" si="3"/>
        <v/>
      </c>
      <c r="U69" s="314" t="str" cm="1">
        <f t="array" aca="1" ref="U69" ca="1">IFERROR(_xlfn.IFS(OR(F69="",LEFT(Methode_Keuze,4)="Geen",Methode_Keuze=""),"",AND(R69&lt;&gt;"",F69&lt;&gt;"Arbeidskosten"),R69*VLOOKUP(F69,Tb_ProjectKosten[],MATCH(Tb_ProjectKosten[[#Headers],[Forfait_Percentage]],Tb_ProjectKosten[#Headers],0),0),AND(F69="Arbeidskosten",G69&lt;&gt;""),IFERROR(R69*VLOOKUP(G69,Tb_KostenTypen[],3,0)*VLOOKUP(F69,Tb_ProjectKosten[],MATCH(Tb_ProjectKosten[[#Headers],[Forfait_Percentage]],Tb_ProjectKosten[#Headers],0),0),""),R69 &lt;=0,0),"")</f>
        <v/>
      </c>
      <c r="V69" s="314" t="str" cm="1">
        <f t="array" aca="1" ref="V69" ca="1">IFERROR(_xlfn.IFS(OR(F69="",LEFT(Methode_Keuze,4)="Geen",Methode_Keuze=""),"",AND(S69&lt;&gt;"",F69&lt;&gt;"Arbeidskosten"),S69*VLOOKUP(F69,Tb_ProjectKosten[],MATCH(Tb_ProjectKosten[[#Headers],[Forfait_Percentage]],Tb_ProjectKosten[#Headers],0),0),AND(F69="Arbeidskosten",G69&lt;&gt;""),IFERROR(S69*VLOOKUP(G69,Tb_KostenTypen[],3,0)*VLOOKUP(F69,Tb_ProjectKosten[],MATCH(Tb_ProjectKosten[[#Headers],[Forfait_Percentage]],Tb_ProjectKosten[#Headers],0),0),""),S69 &lt;=0,0),"")</f>
        <v/>
      </c>
      <c r="W69" s="314" t="str">
        <f t="shared" ca="1" si="4"/>
        <v/>
      </c>
      <c r="X69" s="376" t="str">
        <f>IFERROR(VLOOKUP(F69,Tb_ProjectKosten[#All],11,0),"")</f>
        <v/>
      </c>
      <c r="Y69" s="315"/>
    </row>
    <row r="70" spans="1:25" x14ac:dyDescent="0.25">
      <c r="A70" s="309">
        <f>MAX($A$5:A69)+1</f>
        <v>65</v>
      </c>
      <c r="B70" s="296"/>
      <c r="C70" s="296"/>
      <c r="D70" s="296"/>
      <c r="E70" s="296"/>
      <c r="F70" s="296"/>
      <c r="G70" s="327"/>
      <c r="H70" s="310" t="str">
        <f ca="1">IFERROR(IF(VLOOKUP(F70,Kostentypen!$A$3:$E$21,3,0)=0,"",IF(OR(F70="Arbeidskosten",F70="Vergoeding"),VLOOKUP(G70,Tb_KostenTypen[],2,0),VLOOKUP(F70,Kostentypen!$A$3:$E$20,3,0))),"")</f>
        <v/>
      </c>
      <c r="I70" s="311"/>
      <c r="J70" s="312" t="str" cm="1">
        <f t="array" ref="J70">_xlfn.IFNA(IF(INDEX(Tb_KostenOpties[],MATCH($F70,Tb_KostenOpties[KostenOptie],0),IFERROR(MATCH(Methode_Keuze,Tb_KostenOpties[#Headers],0),2))=1,_xlfn.SWITCH($H70,"Uurtarief",IF(OR(AND(RIGHT($F70,3)="IKS",VLOOKUP($I70,Loonkosten,2,0)="Ja"),AND(RIGHT($F70,3)&lt;&gt;"IKS",VLOOKUP($I70,Loonkosten,2,0)="Nee")), VLOOKUP($I70,Loonkosten,MATCH("Opgegeven uurtarief",'4. Rekenhulp loonkosten aanvr.'!$4:$4,0)),0),"Vast tarief",IF(LEFT(F70,8)="Bijdrage",VLOOKUP($F70,Tb_KostenTypen[],MATCH(Lijsten!$P$1,Tb_KostenTypen[#Headers],0),0),VLOOKUP($G70,Lijsten!L:P,MATCH(Lijsten!$P$1,Kop_Tarief_Vast,0),0))),""),"")</f>
        <v/>
      </c>
      <c r="K70" s="312" t="str" cm="1">
        <f t="array" ref="K70">_xlfn.IFNA(IF(INDEX(Tb_KostenOpties[],MATCH($F70,Tb_KostenOpties[KostenOptie],0),IFERROR(MATCH(Methode_Keuze,Tb_KostenOpties[#Headers],0),2))=1,_xlfn.SWITCH($H70,"Uurtarief",IF(OR(AND(RIGHT($F70,3)="IKS",VLOOKUP($I70,Loonkosten,2,0)="Ja"),AND(RIGHT($F70,3)&lt;&gt;"IKS",VLOOKUP($I70,Loonkosten,2,0)="Nee")), VLOOKUP($I70,Loonkosten,MATCH("Beoordeeld uurtarief",'4. Rekenhulp loonkosten aanvr.'!$4:$4,0),0),0),"Vast tarief",IF(LEFT(F70,8)="Bijdrage",VLOOKUP($F70,Tb_KostenTypen[],MATCH(Lijsten!$P$1,Tb_KostenTypen[#Headers],0),0),VLOOKUP($G70,Lijsten!L:P,MATCH(Lijsten!$P$1,Kop_Tarief_Vast,0),0))),""),"")</f>
        <v/>
      </c>
      <c r="L70" s="358"/>
      <c r="M70" s="358"/>
      <c r="N70" s="313"/>
      <c r="O70" s="313"/>
      <c r="P70" s="374" t="str">
        <f t="shared" si="1"/>
        <v/>
      </c>
      <c r="Q70" s="314" t="str">
        <f t="shared" si="2"/>
        <v/>
      </c>
      <c r="R70" s="314" t="str" cm="1">
        <f t="array" aca="1" ref="R70" ca="1">_xlfn.IFNA(_xlfn.IFS(X70="Dit kostentype hoeft u niet op te geven. Hiervoor wordt een forfait berekend.","",AND(J70&lt;&gt;"",H70="Vast tarief",F70="Vergoeding"),SUM(J70)*FLOOR(SUM(L70),0.0001),AND(J70&lt;&gt;"",OR(H70="Uurtarief",H70="Vast tarief")),SUM(J70)*FLOOR(SUM(L70),0.01),AND(N70&lt;&gt;"",H70="-"),FLOOR(SUM(N70),0.01)),"")</f>
        <v/>
      </c>
      <c r="S70" s="314" t="str" cm="1">
        <f t="array" aca="1" ref="S70" ca="1">_xlfn.IFNA(_xlfn.IFS(X70="Dit kostentype hoeft u niet op te geven. Hiervoor wordt een forfait berekend.","",AND(K70&lt;&gt;"",M70&lt;&gt;"",H70="Vast tarief",F70="Vergoeding"),SUM(K70)*FLOOR(SUM(M70),0.0001),AND(K70&lt;&gt;"",M70&lt;&gt;"",OR(H70="Uurtarief",H70="Vast tarief")),SUM(K70)*FLOOR(SUM(M70),0.01),AND(O70&lt;&gt;"",H70="-"),FLOOR(SUM(O70),0.01)),"")</f>
        <v/>
      </c>
      <c r="T70" s="314" t="str">
        <f t="shared" ca="1" si="3"/>
        <v/>
      </c>
      <c r="U70" s="314" t="str" cm="1">
        <f t="array" aca="1" ref="U70" ca="1">IFERROR(_xlfn.IFS(OR(F70="",LEFT(Methode_Keuze,4)="Geen",Methode_Keuze=""),"",AND(R70&lt;&gt;"",F70&lt;&gt;"Arbeidskosten"),R70*VLOOKUP(F70,Tb_ProjectKosten[],MATCH(Tb_ProjectKosten[[#Headers],[Forfait_Percentage]],Tb_ProjectKosten[#Headers],0),0),AND(F70="Arbeidskosten",G70&lt;&gt;""),IFERROR(R70*VLOOKUP(G70,Tb_KostenTypen[],3,0)*VLOOKUP(F70,Tb_ProjectKosten[],MATCH(Tb_ProjectKosten[[#Headers],[Forfait_Percentage]],Tb_ProjectKosten[#Headers],0),0),""),R70 &lt;=0,0),"")</f>
        <v/>
      </c>
      <c r="V70" s="314" t="str" cm="1">
        <f t="array" aca="1" ref="V70" ca="1">IFERROR(_xlfn.IFS(OR(F70="",LEFT(Methode_Keuze,4)="Geen",Methode_Keuze=""),"",AND(S70&lt;&gt;"",F70&lt;&gt;"Arbeidskosten"),S70*VLOOKUP(F70,Tb_ProjectKosten[],MATCH(Tb_ProjectKosten[[#Headers],[Forfait_Percentage]],Tb_ProjectKosten[#Headers],0),0),AND(F70="Arbeidskosten",G70&lt;&gt;""),IFERROR(S70*VLOOKUP(G70,Tb_KostenTypen[],3,0)*VLOOKUP(F70,Tb_ProjectKosten[],MATCH(Tb_ProjectKosten[[#Headers],[Forfait_Percentage]],Tb_ProjectKosten[#Headers],0),0),""),S70 &lt;=0,0),"")</f>
        <v/>
      </c>
      <c r="W70" s="314" t="str">
        <f t="shared" ca="1" si="4"/>
        <v/>
      </c>
      <c r="X70" s="376" t="str">
        <f>IFERROR(VLOOKUP(F70,Tb_ProjectKosten[#All],11,0),"")</f>
        <v/>
      </c>
      <c r="Y70" s="315"/>
    </row>
    <row r="71" spans="1:25" x14ac:dyDescent="0.25">
      <c r="A71" s="309">
        <f>MAX($A$5:A70)+1</f>
        <v>66</v>
      </c>
      <c r="B71" s="296"/>
      <c r="C71" s="296"/>
      <c r="D71" s="296"/>
      <c r="E71" s="296"/>
      <c r="F71" s="296"/>
      <c r="G71" s="327"/>
      <c r="H71" s="310" t="str">
        <f ca="1">IFERROR(IF(VLOOKUP(F71,Kostentypen!$A$3:$E$21,3,0)=0,"",IF(OR(F71="Arbeidskosten",F71="Vergoeding"),VLOOKUP(G71,Tb_KostenTypen[],2,0),VLOOKUP(F71,Kostentypen!$A$3:$E$20,3,0))),"")</f>
        <v/>
      </c>
      <c r="I71" s="311"/>
      <c r="J71" s="312" t="str" cm="1">
        <f t="array" ref="J71">_xlfn.IFNA(IF(INDEX(Tb_KostenOpties[],MATCH($F71,Tb_KostenOpties[KostenOptie],0),IFERROR(MATCH(Methode_Keuze,Tb_KostenOpties[#Headers],0),2))=1,_xlfn.SWITCH($H71,"Uurtarief",IF(OR(AND(RIGHT($F71,3)="IKS",VLOOKUP($I71,Loonkosten,2,0)="Ja"),AND(RIGHT($F71,3)&lt;&gt;"IKS",VLOOKUP($I71,Loonkosten,2,0)="Nee")), VLOOKUP($I71,Loonkosten,MATCH("Opgegeven uurtarief",'4. Rekenhulp loonkosten aanvr.'!$4:$4,0)),0),"Vast tarief",IF(LEFT(F71,8)="Bijdrage",VLOOKUP($F71,Tb_KostenTypen[],MATCH(Lijsten!$P$1,Tb_KostenTypen[#Headers],0),0),VLOOKUP($G71,Lijsten!L:P,MATCH(Lijsten!$P$1,Kop_Tarief_Vast,0),0))),""),"")</f>
        <v/>
      </c>
      <c r="K71" s="312" t="str" cm="1">
        <f t="array" ref="K71">_xlfn.IFNA(IF(INDEX(Tb_KostenOpties[],MATCH($F71,Tb_KostenOpties[KostenOptie],0),IFERROR(MATCH(Methode_Keuze,Tb_KostenOpties[#Headers],0),2))=1,_xlfn.SWITCH($H71,"Uurtarief",IF(OR(AND(RIGHT($F71,3)="IKS",VLOOKUP($I71,Loonkosten,2,0)="Ja"),AND(RIGHT($F71,3)&lt;&gt;"IKS",VLOOKUP($I71,Loonkosten,2,0)="Nee")), VLOOKUP($I71,Loonkosten,MATCH("Beoordeeld uurtarief",'4. Rekenhulp loonkosten aanvr.'!$4:$4,0),0),0),"Vast tarief",IF(LEFT(F71,8)="Bijdrage",VLOOKUP($F71,Tb_KostenTypen[],MATCH(Lijsten!$P$1,Tb_KostenTypen[#Headers],0),0),VLOOKUP($G71,Lijsten!L:P,MATCH(Lijsten!$P$1,Kop_Tarief_Vast,0),0))),""),"")</f>
        <v/>
      </c>
      <c r="L71" s="358"/>
      <c r="M71" s="358"/>
      <c r="N71" s="313"/>
      <c r="O71" s="313"/>
      <c r="P71" s="374" t="str">
        <f t="shared" ref="P71:P134" si="5">IFERROR(IF(AND(M71&lt;&gt;"",M71&lt;&gt;L71),-1*(M71-L71),""),"")</f>
        <v/>
      </c>
      <c r="Q71" s="314" t="str">
        <f t="shared" ref="Q71:Q134" si="6">IFERROR(IF(AND(O71&lt;&gt;"",O71&lt;&gt;N71),-1*(O71-N71),""),"")</f>
        <v/>
      </c>
      <c r="R71" s="314" t="str" cm="1">
        <f t="array" aca="1" ref="R71" ca="1">_xlfn.IFNA(_xlfn.IFS(X71="Dit kostentype hoeft u niet op te geven. Hiervoor wordt een forfait berekend.","",AND(J71&lt;&gt;"",H71="Vast tarief",F71="Vergoeding"),SUM(J71)*FLOOR(SUM(L71),0.0001),AND(J71&lt;&gt;"",OR(H71="Uurtarief",H71="Vast tarief")),SUM(J71)*FLOOR(SUM(L71),0.01),AND(N71&lt;&gt;"",H71="-"),FLOOR(SUM(N71),0.01)),"")</f>
        <v/>
      </c>
      <c r="S71" s="314" t="str" cm="1">
        <f t="array" aca="1" ref="S71" ca="1">_xlfn.IFNA(_xlfn.IFS(X71="Dit kostentype hoeft u niet op te geven. Hiervoor wordt een forfait berekend.","",AND(K71&lt;&gt;"",M71&lt;&gt;"",H71="Vast tarief",F71="Vergoeding"),SUM(K71)*FLOOR(SUM(M71),0.0001),AND(K71&lt;&gt;"",M71&lt;&gt;"",OR(H71="Uurtarief",H71="Vast tarief")),SUM(K71)*FLOOR(SUM(M71),0.01),AND(O71&lt;&gt;"",H71="-"),FLOOR(SUM(O71),0.01)),"")</f>
        <v/>
      </c>
      <c r="T71" s="314" t="str">
        <f t="shared" ref="T71:T134" ca="1" si="7">IFERROR(IF(AND(S71&lt;&gt;"",S71&lt;&gt;R71),-1*(S71-R71),""),"")</f>
        <v/>
      </c>
      <c r="U71" s="314" t="str" cm="1">
        <f t="array" aca="1" ref="U71" ca="1">IFERROR(_xlfn.IFS(OR(F71="",LEFT(Methode_Keuze,4)="Geen",Methode_Keuze=""),"",AND(R71&lt;&gt;"",F71&lt;&gt;"Arbeidskosten"),R71*VLOOKUP(F71,Tb_ProjectKosten[],MATCH(Tb_ProjectKosten[[#Headers],[Forfait_Percentage]],Tb_ProjectKosten[#Headers],0),0),AND(F71="Arbeidskosten",G71&lt;&gt;""),IFERROR(R71*VLOOKUP(G71,Tb_KostenTypen[],3,0)*VLOOKUP(F71,Tb_ProjectKosten[],MATCH(Tb_ProjectKosten[[#Headers],[Forfait_Percentage]],Tb_ProjectKosten[#Headers],0),0),""),R71 &lt;=0,0),"")</f>
        <v/>
      </c>
      <c r="V71" s="314" t="str" cm="1">
        <f t="array" aca="1" ref="V71" ca="1">IFERROR(_xlfn.IFS(OR(F71="",LEFT(Methode_Keuze,4)="Geen",Methode_Keuze=""),"",AND(S71&lt;&gt;"",F71&lt;&gt;"Arbeidskosten"),S71*VLOOKUP(F71,Tb_ProjectKosten[],MATCH(Tb_ProjectKosten[[#Headers],[Forfait_Percentage]],Tb_ProjectKosten[#Headers],0),0),AND(F71="Arbeidskosten",G71&lt;&gt;""),IFERROR(S71*VLOOKUP(G71,Tb_KostenTypen[],3,0)*VLOOKUP(F71,Tb_ProjectKosten[],MATCH(Tb_ProjectKosten[[#Headers],[Forfait_Percentage]],Tb_ProjectKosten[#Headers],0),0),""),S71 &lt;=0,0),"")</f>
        <v/>
      </c>
      <c r="W71" s="314" t="str">
        <f t="shared" ref="W71:W134" ca="1" si="8">IFERROR(IF(AND(V71&lt;&gt;"",V71&lt;&gt;U71),-1*(V71-U71),""),"")</f>
        <v/>
      </c>
      <c r="X71" s="376" t="str">
        <f>IFERROR(VLOOKUP(F71,Tb_ProjectKosten[#All],11,0),"")</f>
        <v/>
      </c>
      <c r="Y71" s="315"/>
    </row>
    <row r="72" spans="1:25" x14ac:dyDescent="0.25">
      <c r="A72" s="309">
        <f>MAX($A$5:A71)+1</f>
        <v>67</v>
      </c>
      <c r="B72" s="296"/>
      <c r="C72" s="296"/>
      <c r="D72" s="296"/>
      <c r="E72" s="296"/>
      <c r="F72" s="296"/>
      <c r="G72" s="327"/>
      <c r="H72" s="310" t="str">
        <f ca="1">IFERROR(IF(VLOOKUP(F72,Kostentypen!$A$3:$E$21,3,0)=0,"",IF(OR(F72="Arbeidskosten",F72="Vergoeding"),VLOOKUP(G72,Tb_KostenTypen[],2,0),VLOOKUP(F72,Kostentypen!$A$3:$E$20,3,0))),"")</f>
        <v/>
      </c>
      <c r="I72" s="311"/>
      <c r="J72" s="312" t="str" cm="1">
        <f t="array" ref="J72">_xlfn.IFNA(IF(INDEX(Tb_KostenOpties[],MATCH($F72,Tb_KostenOpties[KostenOptie],0),IFERROR(MATCH(Methode_Keuze,Tb_KostenOpties[#Headers],0),2))=1,_xlfn.SWITCH($H72,"Uurtarief",IF(OR(AND(RIGHT($F72,3)="IKS",VLOOKUP($I72,Loonkosten,2,0)="Ja"),AND(RIGHT($F72,3)&lt;&gt;"IKS",VLOOKUP($I72,Loonkosten,2,0)="Nee")), VLOOKUP($I72,Loonkosten,MATCH("Opgegeven uurtarief",'4. Rekenhulp loonkosten aanvr.'!$4:$4,0)),0),"Vast tarief",IF(LEFT(F72,8)="Bijdrage",VLOOKUP($F72,Tb_KostenTypen[],MATCH(Lijsten!$P$1,Tb_KostenTypen[#Headers],0),0),VLOOKUP($G72,Lijsten!L:P,MATCH(Lijsten!$P$1,Kop_Tarief_Vast,0),0))),""),"")</f>
        <v/>
      </c>
      <c r="K72" s="312" t="str" cm="1">
        <f t="array" ref="K72">_xlfn.IFNA(IF(INDEX(Tb_KostenOpties[],MATCH($F72,Tb_KostenOpties[KostenOptie],0),IFERROR(MATCH(Methode_Keuze,Tb_KostenOpties[#Headers],0),2))=1,_xlfn.SWITCH($H72,"Uurtarief",IF(OR(AND(RIGHT($F72,3)="IKS",VLOOKUP($I72,Loonkosten,2,0)="Ja"),AND(RIGHT($F72,3)&lt;&gt;"IKS",VLOOKUP($I72,Loonkosten,2,0)="Nee")), VLOOKUP($I72,Loonkosten,MATCH("Beoordeeld uurtarief",'4. Rekenhulp loonkosten aanvr.'!$4:$4,0),0),0),"Vast tarief",IF(LEFT(F72,8)="Bijdrage",VLOOKUP($F72,Tb_KostenTypen[],MATCH(Lijsten!$P$1,Tb_KostenTypen[#Headers],0),0),VLOOKUP($G72,Lijsten!L:P,MATCH(Lijsten!$P$1,Kop_Tarief_Vast,0),0))),""),"")</f>
        <v/>
      </c>
      <c r="L72" s="358"/>
      <c r="M72" s="358"/>
      <c r="N72" s="313"/>
      <c r="O72" s="313"/>
      <c r="P72" s="374" t="str">
        <f t="shared" si="5"/>
        <v/>
      </c>
      <c r="Q72" s="314" t="str">
        <f t="shared" si="6"/>
        <v/>
      </c>
      <c r="R72" s="314" t="str" cm="1">
        <f t="array" aca="1" ref="R72" ca="1">_xlfn.IFNA(_xlfn.IFS(X72="Dit kostentype hoeft u niet op te geven. Hiervoor wordt een forfait berekend.","",AND(J72&lt;&gt;"",H72="Vast tarief",F72="Vergoeding"),SUM(J72)*FLOOR(SUM(L72),0.0001),AND(J72&lt;&gt;"",OR(H72="Uurtarief",H72="Vast tarief")),SUM(J72)*FLOOR(SUM(L72),0.01),AND(N72&lt;&gt;"",H72="-"),FLOOR(SUM(N72),0.01)),"")</f>
        <v/>
      </c>
      <c r="S72" s="314" t="str" cm="1">
        <f t="array" aca="1" ref="S72" ca="1">_xlfn.IFNA(_xlfn.IFS(X72="Dit kostentype hoeft u niet op te geven. Hiervoor wordt een forfait berekend.","",AND(K72&lt;&gt;"",M72&lt;&gt;"",H72="Vast tarief",F72="Vergoeding"),SUM(K72)*FLOOR(SUM(M72),0.0001),AND(K72&lt;&gt;"",M72&lt;&gt;"",OR(H72="Uurtarief",H72="Vast tarief")),SUM(K72)*FLOOR(SUM(M72),0.01),AND(O72&lt;&gt;"",H72="-"),FLOOR(SUM(O72),0.01)),"")</f>
        <v/>
      </c>
      <c r="T72" s="314" t="str">
        <f t="shared" ca="1" si="7"/>
        <v/>
      </c>
      <c r="U72" s="314" t="str" cm="1">
        <f t="array" aca="1" ref="U72" ca="1">IFERROR(_xlfn.IFS(OR(F72="",LEFT(Methode_Keuze,4)="Geen",Methode_Keuze=""),"",AND(R72&lt;&gt;"",F72&lt;&gt;"Arbeidskosten"),R72*VLOOKUP(F72,Tb_ProjectKosten[],MATCH(Tb_ProjectKosten[[#Headers],[Forfait_Percentage]],Tb_ProjectKosten[#Headers],0),0),AND(F72="Arbeidskosten",G72&lt;&gt;""),IFERROR(R72*VLOOKUP(G72,Tb_KostenTypen[],3,0)*VLOOKUP(F72,Tb_ProjectKosten[],MATCH(Tb_ProjectKosten[[#Headers],[Forfait_Percentage]],Tb_ProjectKosten[#Headers],0),0),""),R72 &lt;=0,0),"")</f>
        <v/>
      </c>
      <c r="V72" s="314" t="str" cm="1">
        <f t="array" aca="1" ref="V72" ca="1">IFERROR(_xlfn.IFS(OR(F72="",LEFT(Methode_Keuze,4)="Geen",Methode_Keuze=""),"",AND(S72&lt;&gt;"",F72&lt;&gt;"Arbeidskosten"),S72*VLOOKUP(F72,Tb_ProjectKosten[],MATCH(Tb_ProjectKosten[[#Headers],[Forfait_Percentage]],Tb_ProjectKosten[#Headers],0),0),AND(F72="Arbeidskosten",G72&lt;&gt;""),IFERROR(S72*VLOOKUP(G72,Tb_KostenTypen[],3,0)*VLOOKUP(F72,Tb_ProjectKosten[],MATCH(Tb_ProjectKosten[[#Headers],[Forfait_Percentage]],Tb_ProjectKosten[#Headers],0),0),""),S72 &lt;=0,0),"")</f>
        <v/>
      </c>
      <c r="W72" s="314" t="str">
        <f t="shared" ca="1" si="8"/>
        <v/>
      </c>
      <c r="X72" s="376" t="str">
        <f>IFERROR(VLOOKUP(F72,Tb_ProjectKosten[#All],11,0),"")</f>
        <v/>
      </c>
      <c r="Y72" s="315"/>
    </row>
    <row r="73" spans="1:25" x14ac:dyDescent="0.25">
      <c r="A73" s="309">
        <f>MAX($A$5:A72)+1</f>
        <v>68</v>
      </c>
      <c r="B73" s="296"/>
      <c r="C73" s="296"/>
      <c r="D73" s="296"/>
      <c r="E73" s="296"/>
      <c r="F73" s="296"/>
      <c r="G73" s="327"/>
      <c r="H73" s="310" t="str">
        <f ca="1">IFERROR(IF(VLOOKUP(F73,Kostentypen!$A$3:$E$21,3,0)=0,"",IF(OR(F73="Arbeidskosten",F73="Vergoeding"),VLOOKUP(G73,Tb_KostenTypen[],2,0),VLOOKUP(F73,Kostentypen!$A$3:$E$20,3,0))),"")</f>
        <v/>
      </c>
      <c r="I73" s="311"/>
      <c r="J73" s="312" t="str" cm="1">
        <f t="array" ref="J73">_xlfn.IFNA(IF(INDEX(Tb_KostenOpties[],MATCH($F73,Tb_KostenOpties[KostenOptie],0),IFERROR(MATCH(Methode_Keuze,Tb_KostenOpties[#Headers],0),2))=1,_xlfn.SWITCH($H73,"Uurtarief",IF(OR(AND(RIGHT($F73,3)="IKS",VLOOKUP($I73,Loonkosten,2,0)="Ja"),AND(RIGHT($F73,3)&lt;&gt;"IKS",VLOOKUP($I73,Loonkosten,2,0)="Nee")), VLOOKUP($I73,Loonkosten,MATCH("Opgegeven uurtarief",'4. Rekenhulp loonkosten aanvr.'!$4:$4,0)),0),"Vast tarief",IF(LEFT(F73,8)="Bijdrage",VLOOKUP($F73,Tb_KostenTypen[],MATCH(Lijsten!$P$1,Tb_KostenTypen[#Headers],0),0),VLOOKUP($G73,Lijsten!L:P,MATCH(Lijsten!$P$1,Kop_Tarief_Vast,0),0))),""),"")</f>
        <v/>
      </c>
      <c r="K73" s="312" t="str" cm="1">
        <f t="array" ref="K73">_xlfn.IFNA(IF(INDEX(Tb_KostenOpties[],MATCH($F73,Tb_KostenOpties[KostenOptie],0),IFERROR(MATCH(Methode_Keuze,Tb_KostenOpties[#Headers],0),2))=1,_xlfn.SWITCH($H73,"Uurtarief",IF(OR(AND(RIGHT($F73,3)="IKS",VLOOKUP($I73,Loonkosten,2,0)="Ja"),AND(RIGHT($F73,3)&lt;&gt;"IKS",VLOOKUP($I73,Loonkosten,2,0)="Nee")), VLOOKUP($I73,Loonkosten,MATCH("Beoordeeld uurtarief",'4. Rekenhulp loonkosten aanvr.'!$4:$4,0),0),0),"Vast tarief",IF(LEFT(F73,8)="Bijdrage",VLOOKUP($F73,Tb_KostenTypen[],MATCH(Lijsten!$P$1,Tb_KostenTypen[#Headers],0),0),VLOOKUP($G73,Lijsten!L:P,MATCH(Lijsten!$P$1,Kop_Tarief_Vast,0),0))),""),"")</f>
        <v/>
      </c>
      <c r="L73" s="358"/>
      <c r="M73" s="358"/>
      <c r="N73" s="313"/>
      <c r="O73" s="313"/>
      <c r="P73" s="374" t="str">
        <f t="shared" si="5"/>
        <v/>
      </c>
      <c r="Q73" s="314" t="str">
        <f t="shared" si="6"/>
        <v/>
      </c>
      <c r="R73" s="314" t="str" cm="1">
        <f t="array" aca="1" ref="R73" ca="1">_xlfn.IFNA(_xlfn.IFS(X73="Dit kostentype hoeft u niet op te geven. Hiervoor wordt een forfait berekend.","",AND(J73&lt;&gt;"",H73="Vast tarief",F73="Vergoeding"),SUM(J73)*FLOOR(SUM(L73),0.0001),AND(J73&lt;&gt;"",OR(H73="Uurtarief",H73="Vast tarief")),SUM(J73)*FLOOR(SUM(L73),0.01),AND(N73&lt;&gt;"",H73="-"),FLOOR(SUM(N73),0.01)),"")</f>
        <v/>
      </c>
      <c r="S73" s="314" t="str" cm="1">
        <f t="array" aca="1" ref="S73" ca="1">_xlfn.IFNA(_xlfn.IFS(X73="Dit kostentype hoeft u niet op te geven. Hiervoor wordt een forfait berekend.","",AND(K73&lt;&gt;"",M73&lt;&gt;"",H73="Vast tarief",F73="Vergoeding"),SUM(K73)*FLOOR(SUM(M73),0.0001),AND(K73&lt;&gt;"",M73&lt;&gt;"",OR(H73="Uurtarief",H73="Vast tarief")),SUM(K73)*FLOOR(SUM(M73),0.01),AND(O73&lt;&gt;"",H73="-"),FLOOR(SUM(O73),0.01)),"")</f>
        <v/>
      </c>
      <c r="T73" s="314" t="str">
        <f t="shared" ca="1" si="7"/>
        <v/>
      </c>
      <c r="U73" s="314" t="str" cm="1">
        <f t="array" aca="1" ref="U73" ca="1">IFERROR(_xlfn.IFS(OR(F73="",LEFT(Methode_Keuze,4)="Geen",Methode_Keuze=""),"",AND(R73&lt;&gt;"",F73&lt;&gt;"Arbeidskosten"),R73*VLOOKUP(F73,Tb_ProjectKosten[],MATCH(Tb_ProjectKosten[[#Headers],[Forfait_Percentage]],Tb_ProjectKosten[#Headers],0),0),AND(F73="Arbeidskosten",G73&lt;&gt;""),IFERROR(R73*VLOOKUP(G73,Tb_KostenTypen[],3,0)*VLOOKUP(F73,Tb_ProjectKosten[],MATCH(Tb_ProjectKosten[[#Headers],[Forfait_Percentage]],Tb_ProjectKosten[#Headers],0),0),""),R73 &lt;=0,0),"")</f>
        <v/>
      </c>
      <c r="V73" s="314" t="str" cm="1">
        <f t="array" aca="1" ref="V73" ca="1">IFERROR(_xlfn.IFS(OR(F73="",LEFT(Methode_Keuze,4)="Geen",Methode_Keuze=""),"",AND(S73&lt;&gt;"",F73&lt;&gt;"Arbeidskosten"),S73*VLOOKUP(F73,Tb_ProjectKosten[],MATCH(Tb_ProjectKosten[[#Headers],[Forfait_Percentage]],Tb_ProjectKosten[#Headers],0),0),AND(F73="Arbeidskosten",G73&lt;&gt;""),IFERROR(S73*VLOOKUP(G73,Tb_KostenTypen[],3,0)*VLOOKUP(F73,Tb_ProjectKosten[],MATCH(Tb_ProjectKosten[[#Headers],[Forfait_Percentage]],Tb_ProjectKosten[#Headers],0),0),""),S73 &lt;=0,0),"")</f>
        <v/>
      </c>
      <c r="W73" s="314" t="str">
        <f t="shared" ca="1" si="8"/>
        <v/>
      </c>
      <c r="X73" s="376" t="str">
        <f>IFERROR(VLOOKUP(F73,Tb_ProjectKosten[#All],11,0),"")</f>
        <v/>
      </c>
      <c r="Y73" s="315"/>
    </row>
    <row r="74" spans="1:25" x14ac:dyDescent="0.25">
      <c r="A74" s="309">
        <f>MAX($A$5:A73)+1</f>
        <v>69</v>
      </c>
      <c r="B74" s="296"/>
      <c r="C74" s="296"/>
      <c r="D74" s="296"/>
      <c r="E74" s="296"/>
      <c r="F74" s="296"/>
      <c r="G74" s="327"/>
      <c r="H74" s="310" t="str">
        <f ca="1">IFERROR(IF(VLOOKUP(F74,Kostentypen!$A$3:$E$21,3,0)=0,"",IF(OR(F74="Arbeidskosten",F74="Vergoeding"),VLOOKUP(G74,Tb_KostenTypen[],2,0),VLOOKUP(F74,Kostentypen!$A$3:$E$20,3,0))),"")</f>
        <v/>
      </c>
      <c r="I74" s="311"/>
      <c r="J74" s="312" t="str" cm="1">
        <f t="array" ref="J74">_xlfn.IFNA(IF(INDEX(Tb_KostenOpties[],MATCH($F74,Tb_KostenOpties[KostenOptie],0),IFERROR(MATCH(Methode_Keuze,Tb_KostenOpties[#Headers],0),2))=1,_xlfn.SWITCH($H74,"Uurtarief",IF(OR(AND(RIGHT($F74,3)="IKS",VLOOKUP($I74,Loonkosten,2,0)="Ja"),AND(RIGHT($F74,3)&lt;&gt;"IKS",VLOOKUP($I74,Loonkosten,2,0)="Nee")), VLOOKUP($I74,Loonkosten,MATCH("Opgegeven uurtarief",'4. Rekenhulp loonkosten aanvr.'!$4:$4,0)),0),"Vast tarief",IF(LEFT(F74,8)="Bijdrage",VLOOKUP($F74,Tb_KostenTypen[],MATCH(Lijsten!$P$1,Tb_KostenTypen[#Headers],0),0),VLOOKUP($G74,Lijsten!L:P,MATCH(Lijsten!$P$1,Kop_Tarief_Vast,0),0))),""),"")</f>
        <v/>
      </c>
      <c r="K74" s="312" t="str" cm="1">
        <f t="array" ref="K74">_xlfn.IFNA(IF(INDEX(Tb_KostenOpties[],MATCH($F74,Tb_KostenOpties[KostenOptie],0),IFERROR(MATCH(Methode_Keuze,Tb_KostenOpties[#Headers],0),2))=1,_xlfn.SWITCH($H74,"Uurtarief",IF(OR(AND(RIGHT($F74,3)="IKS",VLOOKUP($I74,Loonkosten,2,0)="Ja"),AND(RIGHT($F74,3)&lt;&gt;"IKS",VLOOKUP($I74,Loonkosten,2,0)="Nee")), VLOOKUP($I74,Loonkosten,MATCH("Beoordeeld uurtarief",'4. Rekenhulp loonkosten aanvr.'!$4:$4,0),0),0),"Vast tarief",IF(LEFT(F74,8)="Bijdrage",VLOOKUP($F74,Tb_KostenTypen[],MATCH(Lijsten!$P$1,Tb_KostenTypen[#Headers],0),0),VLOOKUP($G74,Lijsten!L:P,MATCH(Lijsten!$P$1,Kop_Tarief_Vast,0),0))),""),"")</f>
        <v/>
      </c>
      <c r="L74" s="358"/>
      <c r="M74" s="358"/>
      <c r="N74" s="313"/>
      <c r="O74" s="313"/>
      <c r="P74" s="374" t="str">
        <f t="shared" si="5"/>
        <v/>
      </c>
      <c r="Q74" s="314" t="str">
        <f t="shared" si="6"/>
        <v/>
      </c>
      <c r="R74" s="314" t="str" cm="1">
        <f t="array" aca="1" ref="R74" ca="1">_xlfn.IFNA(_xlfn.IFS(X74="Dit kostentype hoeft u niet op te geven. Hiervoor wordt een forfait berekend.","",AND(J74&lt;&gt;"",H74="Vast tarief",F74="Vergoeding"),SUM(J74)*FLOOR(SUM(L74),0.0001),AND(J74&lt;&gt;"",OR(H74="Uurtarief",H74="Vast tarief")),SUM(J74)*FLOOR(SUM(L74),0.01),AND(N74&lt;&gt;"",H74="-"),FLOOR(SUM(N74),0.01)),"")</f>
        <v/>
      </c>
      <c r="S74" s="314" t="str" cm="1">
        <f t="array" aca="1" ref="S74" ca="1">_xlfn.IFNA(_xlfn.IFS(X74="Dit kostentype hoeft u niet op te geven. Hiervoor wordt een forfait berekend.","",AND(K74&lt;&gt;"",M74&lt;&gt;"",H74="Vast tarief",F74="Vergoeding"),SUM(K74)*FLOOR(SUM(M74),0.0001),AND(K74&lt;&gt;"",M74&lt;&gt;"",OR(H74="Uurtarief",H74="Vast tarief")),SUM(K74)*FLOOR(SUM(M74),0.01),AND(O74&lt;&gt;"",H74="-"),FLOOR(SUM(O74),0.01)),"")</f>
        <v/>
      </c>
      <c r="T74" s="314" t="str">
        <f t="shared" ca="1" si="7"/>
        <v/>
      </c>
      <c r="U74" s="314" t="str" cm="1">
        <f t="array" aca="1" ref="U74" ca="1">IFERROR(_xlfn.IFS(OR(F74="",LEFT(Methode_Keuze,4)="Geen",Methode_Keuze=""),"",AND(R74&lt;&gt;"",F74&lt;&gt;"Arbeidskosten"),R74*VLOOKUP(F74,Tb_ProjectKosten[],MATCH(Tb_ProjectKosten[[#Headers],[Forfait_Percentage]],Tb_ProjectKosten[#Headers],0),0),AND(F74="Arbeidskosten",G74&lt;&gt;""),IFERROR(R74*VLOOKUP(G74,Tb_KostenTypen[],3,0)*VLOOKUP(F74,Tb_ProjectKosten[],MATCH(Tb_ProjectKosten[[#Headers],[Forfait_Percentage]],Tb_ProjectKosten[#Headers],0),0),""),R74 &lt;=0,0),"")</f>
        <v/>
      </c>
      <c r="V74" s="314" t="str" cm="1">
        <f t="array" aca="1" ref="V74" ca="1">IFERROR(_xlfn.IFS(OR(F74="",LEFT(Methode_Keuze,4)="Geen",Methode_Keuze=""),"",AND(S74&lt;&gt;"",F74&lt;&gt;"Arbeidskosten"),S74*VLOOKUP(F74,Tb_ProjectKosten[],MATCH(Tb_ProjectKosten[[#Headers],[Forfait_Percentage]],Tb_ProjectKosten[#Headers],0),0),AND(F74="Arbeidskosten",G74&lt;&gt;""),IFERROR(S74*VLOOKUP(G74,Tb_KostenTypen[],3,0)*VLOOKUP(F74,Tb_ProjectKosten[],MATCH(Tb_ProjectKosten[[#Headers],[Forfait_Percentage]],Tb_ProjectKosten[#Headers],0),0),""),S74 &lt;=0,0),"")</f>
        <v/>
      </c>
      <c r="W74" s="314" t="str">
        <f t="shared" ca="1" si="8"/>
        <v/>
      </c>
      <c r="X74" s="376" t="str">
        <f>IFERROR(VLOOKUP(F74,Tb_ProjectKosten[#All],11,0),"")</f>
        <v/>
      </c>
      <c r="Y74" s="315"/>
    </row>
    <row r="75" spans="1:25" x14ac:dyDescent="0.25">
      <c r="A75" s="309">
        <f>MAX($A$5:A74)+1</f>
        <v>70</v>
      </c>
      <c r="B75" s="296"/>
      <c r="C75" s="296"/>
      <c r="D75" s="296"/>
      <c r="E75" s="296"/>
      <c r="F75" s="296"/>
      <c r="G75" s="327"/>
      <c r="H75" s="310" t="str">
        <f ca="1">IFERROR(IF(VLOOKUP(F75,Kostentypen!$A$3:$E$21,3,0)=0,"",IF(OR(F75="Arbeidskosten",F75="Vergoeding"),VLOOKUP(G75,Tb_KostenTypen[],2,0),VLOOKUP(F75,Kostentypen!$A$3:$E$20,3,0))),"")</f>
        <v/>
      </c>
      <c r="I75" s="311"/>
      <c r="J75" s="312" t="str" cm="1">
        <f t="array" ref="J75">_xlfn.IFNA(IF(INDEX(Tb_KostenOpties[],MATCH($F75,Tb_KostenOpties[KostenOptie],0),IFERROR(MATCH(Methode_Keuze,Tb_KostenOpties[#Headers],0),2))=1,_xlfn.SWITCH($H75,"Uurtarief",IF(OR(AND(RIGHT($F75,3)="IKS",VLOOKUP($I75,Loonkosten,2,0)="Ja"),AND(RIGHT($F75,3)&lt;&gt;"IKS",VLOOKUP($I75,Loonkosten,2,0)="Nee")), VLOOKUP($I75,Loonkosten,MATCH("Opgegeven uurtarief",'4. Rekenhulp loonkosten aanvr.'!$4:$4,0)),0),"Vast tarief",IF(LEFT(F75,8)="Bijdrage",VLOOKUP($F75,Tb_KostenTypen[],MATCH(Lijsten!$P$1,Tb_KostenTypen[#Headers],0),0),VLOOKUP($G75,Lijsten!L:P,MATCH(Lijsten!$P$1,Kop_Tarief_Vast,0),0))),""),"")</f>
        <v/>
      </c>
      <c r="K75" s="312" t="str" cm="1">
        <f t="array" ref="K75">_xlfn.IFNA(IF(INDEX(Tb_KostenOpties[],MATCH($F75,Tb_KostenOpties[KostenOptie],0),IFERROR(MATCH(Methode_Keuze,Tb_KostenOpties[#Headers],0),2))=1,_xlfn.SWITCH($H75,"Uurtarief",IF(OR(AND(RIGHT($F75,3)="IKS",VLOOKUP($I75,Loonkosten,2,0)="Ja"),AND(RIGHT($F75,3)&lt;&gt;"IKS",VLOOKUP($I75,Loonkosten,2,0)="Nee")), VLOOKUP($I75,Loonkosten,MATCH("Beoordeeld uurtarief",'4. Rekenhulp loonkosten aanvr.'!$4:$4,0),0),0),"Vast tarief",IF(LEFT(F75,8)="Bijdrage",VLOOKUP($F75,Tb_KostenTypen[],MATCH(Lijsten!$P$1,Tb_KostenTypen[#Headers],0),0),VLOOKUP($G75,Lijsten!L:P,MATCH(Lijsten!$P$1,Kop_Tarief_Vast,0),0))),""),"")</f>
        <v/>
      </c>
      <c r="L75" s="358"/>
      <c r="M75" s="358"/>
      <c r="N75" s="313"/>
      <c r="O75" s="313"/>
      <c r="P75" s="374" t="str">
        <f t="shared" si="5"/>
        <v/>
      </c>
      <c r="Q75" s="314" t="str">
        <f t="shared" si="6"/>
        <v/>
      </c>
      <c r="R75" s="314" t="str" cm="1">
        <f t="array" aca="1" ref="R75" ca="1">_xlfn.IFNA(_xlfn.IFS(X75="Dit kostentype hoeft u niet op te geven. Hiervoor wordt een forfait berekend.","",AND(J75&lt;&gt;"",H75="Vast tarief",F75="Vergoeding"),SUM(J75)*FLOOR(SUM(L75),0.0001),AND(J75&lt;&gt;"",OR(H75="Uurtarief",H75="Vast tarief")),SUM(J75)*FLOOR(SUM(L75),0.01),AND(N75&lt;&gt;"",H75="-"),FLOOR(SUM(N75),0.01)),"")</f>
        <v/>
      </c>
      <c r="S75" s="314" t="str" cm="1">
        <f t="array" aca="1" ref="S75" ca="1">_xlfn.IFNA(_xlfn.IFS(X75="Dit kostentype hoeft u niet op te geven. Hiervoor wordt een forfait berekend.","",AND(K75&lt;&gt;"",M75&lt;&gt;"",H75="Vast tarief",F75="Vergoeding"),SUM(K75)*FLOOR(SUM(M75),0.0001),AND(K75&lt;&gt;"",M75&lt;&gt;"",OR(H75="Uurtarief",H75="Vast tarief")),SUM(K75)*FLOOR(SUM(M75),0.01),AND(O75&lt;&gt;"",H75="-"),FLOOR(SUM(O75),0.01)),"")</f>
        <v/>
      </c>
      <c r="T75" s="314" t="str">
        <f t="shared" ca="1" si="7"/>
        <v/>
      </c>
      <c r="U75" s="314" t="str" cm="1">
        <f t="array" aca="1" ref="U75" ca="1">IFERROR(_xlfn.IFS(OR(F75="",LEFT(Methode_Keuze,4)="Geen",Methode_Keuze=""),"",AND(R75&lt;&gt;"",F75&lt;&gt;"Arbeidskosten"),R75*VLOOKUP(F75,Tb_ProjectKosten[],MATCH(Tb_ProjectKosten[[#Headers],[Forfait_Percentage]],Tb_ProjectKosten[#Headers],0),0),AND(F75="Arbeidskosten",G75&lt;&gt;""),IFERROR(R75*VLOOKUP(G75,Tb_KostenTypen[],3,0)*VLOOKUP(F75,Tb_ProjectKosten[],MATCH(Tb_ProjectKosten[[#Headers],[Forfait_Percentage]],Tb_ProjectKosten[#Headers],0),0),""),R75 &lt;=0,0),"")</f>
        <v/>
      </c>
      <c r="V75" s="314" t="str" cm="1">
        <f t="array" aca="1" ref="V75" ca="1">IFERROR(_xlfn.IFS(OR(F75="",LEFT(Methode_Keuze,4)="Geen",Methode_Keuze=""),"",AND(S75&lt;&gt;"",F75&lt;&gt;"Arbeidskosten"),S75*VLOOKUP(F75,Tb_ProjectKosten[],MATCH(Tb_ProjectKosten[[#Headers],[Forfait_Percentage]],Tb_ProjectKosten[#Headers],0),0),AND(F75="Arbeidskosten",G75&lt;&gt;""),IFERROR(S75*VLOOKUP(G75,Tb_KostenTypen[],3,0)*VLOOKUP(F75,Tb_ProjectKosten[],MATCH(Tb_ProjectKosten[[#Headers],[Forfait_Percentage]],Tb_ProjectKosten[#Headers],0),0),""),S75 &lt;=0,0),"")</f>
        <v/>
      </c>
      <c r="W75" s="314" t="str">
        <f t="shared" ca="1" si="8"/>
        <v/>
      </c>
      <c r="X75" s="376" t="str">
        <f>IFERROR(VLOOKUP(F75,Tb_ProjectKosten[#All],11,0),"")</f>
        <v/>
      </c>
      <c r="Y75" s="315"/>
    </row>
    <row r="76" spans="1:25" x14ac:dyDescent="0.25">
      <c r="A76" s="309">
        <f>MAX($A$5:A75)+1</f>
        <v>71</v>
      </c>
      <c r="B76" s="296"/>
      <c r="C76" s="296"/>
      <c r="D76" s="296"/>
      <c r="E76" s="296"/>
      <c r="F76" s="296"/>
      <c r="G76" s="327"/>
      <c r="H76" s="310" t="str">
        <f ca="1">IFERROR(IF(VLOOKUP(F76,Kostentypen!$A$3:$E$21,3,0)=0,"",IF(OR(F76="Arbeidskosten",F76="Vergoeding"),VLOOKUP(G76,Tb_KostenTypen[],2,0),VLOOKUP(F76,Kostentypen!$A$3:$E$20,3,0))),"")</f>
        <v/>
      </c>
      <c r="I76" s="311"/>
      <c r="J76" s="312" t="str" cm="1">
        <f t="array" ref="J76">_xlfn.IFNA(IF(INDEX(Tb_KostenOpties[],MATCH($F76,Tb_KostenOpties[KostenOptie],0),IFERROR(MATCH(Methode_Keuze,Tb_KostenOpties[#Headers],0),2))=1,_xlfn.SWITCH($H76,"Uurtarief",IF(OR(AND(RIGHT($F76,3)="IKS",VLOOKUP($I76,Loonkosten,2,0)="Ja"),AND(RIGHT($F76,3)&lt;&gt;"IKS",VLOOKUP($I76,Loonkosten,2,0)="Nee")), VLOOKUP($I76,Loonkosten,MATCH("Opgegeven uurtarief",'4. Rekenhulp loonkosten aanvr.'!$4:$4,0)),0),"Vast tarief",IF(LEFT(F76,8)="Bijdrage",VLOOKUP($F76,Tb_KostenTypen[],MATCH(Lijsten!$P$1,Tb_KostenTypen[#Headers],0),0),VLOOKUP($G76,Lijsten!L:P,MATCH(Lijsten!$P$1,Kop_Tarief_Vast,0),0))),""),"")</f>
        <v/>
      </c>
      <c r="K76" s="312" t="str" cm="1">
        <f t="array" ref="K76">_xlfn.IFNA(IF(INDEX(Tb_KostenOpties[],MATCH($F76,Tb_KostenOpties[KostenOptie],0),IFERROR(MATCH(Methode_Keuze,Tb_KostenOpties[#Headers],0),2))=1,_xlfn.SWITCH($H76,"Uurtarief",IF(OR(AND(RIGHT($F76,3)="IKS",VLOOKUP($I76,Loonkosten,2,0)="Ja"),AND(RIGHT($F76,3)&lt;&gt;"IKS",VLOOKUP($I76,Loonkosten,2,0)="Nee")), VLOOKUP($I76,Loonkosten,MATCH("Beoordeeld uurtarief",'4. Rekenhulp loonkosten aanvr.'!$4:$4,0),0),0),"Vast tarief",IF(LEFT(F76,8)="Bijdrage",VLOOKUP($F76,Tb_KostenTypen[],MATCH(Lijsten!$P$1,Tb_KostenTypen[#Headers],0),0),VLOOKUP($G76,Lijsten!L:P,MATCH(Lijsten!$P$1,Kop_Tarief_Vast,0),0))),""),"")</f>
        <v/>
      </c>
      <c r="L76" s="358"/>
      <c r="M76" s="358"/>
      <c r="N76" s="313"/>
      <c r="O76" s="313"/>
      <c r="P76" s="374" t="str">
        <f t="shared" si="5"/>
        <v/>
      </c>
      <c r="Q76" s="314" t="str">
        <f t="shared" si="6"/>
        <v/>
      </c>
      <c r="R76" s="314" t="str" cm="1">
        <f t="array" aca="1" ref="R76" ca="1">_xlfn.IFNA(_xlfn.IFS(X76="Dit kostentype hoeft u niet op te geven. Hiervoor wordt een forfait berekend.","",AND(J76&lt;&gt;"",H76="Vast tarief",F76="Vergoeding"),SUM(J76)*FLOOR(SUM(L76),0.0001),AND(J76&lt;&gt;"",OR(H76="Uurtarief",H76="Vast tarief")),SUM(J76)*FLOOR(SUM(L76),0.01),AND(N76&lt;&gt;"",H76="-"),FLOOR(SUM(N76),0.01)),"")</f>
        <v/>
      </c>
      <c r="S76" s="314" t="str" cm="1">
        <f t="array" aca="1" ref="S76" ca="1">_xlfn.IFNA(_xlfn.IFS(X76="Dit kostentype hoeft u niet op te geven. Hiervoor wordt een forfait berekend.","",AND(K76&lt;&gt;"",M76&lt;&gt;"",H76="Vast tarief",F76="Vergoeding"),SUM(K76)*FLOOR(SUM(M76),0.0001),AND(K76&lt;&gt;"",M76&lt;&gt;"",OR(H76="Uurtarief",H76="Vast tarief")),SUM(K76)*FLOOR(SUM(M76),0.01),AND(O76&lt;&gt;"",H76="-"),FLOOR(SUM(O76),0.01)),"")</f>
        <v/>
      </c>
      <c r="T76" s="314" t="str">
        <f t="shared" ca="1" si="7"/>
        <v/>
      </c>
      <c r="U76" s="314" t="str" cm="1">
        <f t="array" aca="1" ref="U76" ca="1">IFERROR(_xlfn.IFS(OR(F76="",LEFT(Methode_Keuze,4)="Geen",Methode_Keuze=""),"",AND(R76&lt;&gt;"",F76&lt;&gt;"Arbeidskosten"),R76*VLOOKUP(F76,Tb_ProjectKosten[],MATCH(Tb_ProjectKosten[[#Headers],[Forfait_Percentage]],Tb_ProjectKosten[#Headers],0),0),AND(F76="Arbeidskosten",G76&lt;&gt;""),IFERROR(R76*VLOOKUP(G76,Tb_KostenTypen[],3,0)*VLOOKUP(F76,Tb_ProjectKosten[],MATCH(Tb_ProjectKosten[[#Headers],[Forfait_Percentage]],Tb_ProjectKosten[#Headers],0),0),""),R76 &lt;=0,0),"")</f>
        <v/>
      </c>
      <c r="V76" s="314" t="str" cm="1">
        <f t="array" aca="1" ref="V76" ca="1">IFERROR(_xlfn.IFS(OR(F76="",LEFT(Methode_Keuze,4)="Geen",Methode_Keuze=""),"",AND(S76&lt;&gt;"",F76&lt;&gt;"Arbeidskosten"),S76*VLOOKUP(F76,Tb_ProjectKosten[],MATCH(Tb_ProjectKosten[[#Headers],[Forfait_Percentage]],Tb_ProjectKosten[#Headers],0),0),AND(F76="Arbeidskosten",G76&lt;&gt;""),IFERROR(S76*VLOOKUP(G76,Tb_KostenTypen[],3,0)*VLOOKUP(F76,Tb_ProjectKosten[],MATCH(Tb_ProjectKosten[[#Headers],[Forfait_Percentage]],Tb_ProjectKosten[#Headers],0),0),""),S76 &lt;=0,0),"")</f>
        <v/>
      </c>
      <c r="W76" s="314" t="str">
        <f t="shared" ca="1" si="8"/>
        <v/>
      </c>
      <c r="X76" s="376" t="str">
        <f>IFERROR(VLOOKUP(F76,Tb_ProjectKosten[#All],11,0),"")</f>
        <v/>
      </c>
      <c r="Y76" s="315"/>
    </row>
    <row r="77" spans="1:25" x14ac:dyDescent="0.25">
      <c r="A77" s="309">
        <f>MAX($A$5:A76)+1</f>
        <v>72</v>
      </c>
      <c r="B77" s="296"/>
      <c r="C77" s="296"/>
      <c r="D77" s="296"/>
      <c r="E77" s="296"/>
      <c r="F77" s="296"/>
      <c r="G77" s="327"/>
      <c r="H77" s="310" t="str">
        <f ca="1">IFERROR(IF(VLOOKUP(F77,Kostentypen!$A$3:$E$21,3,0)=0,"",IF(OR(F77="Arbeidskosten",F77="Vergoeding"),VLOOKUP(G77,Tb_KostenTypen[],2,0),VLOOKUP(F77,Kostentypen!$A$3:$E$20,3,0))),"")</f>
        <v/>
      </c>
      <c r="I77" s="311"/>
      <c r="J77" s="312" t="str" cm="1">
        <f t="array" ref="J77">_xlfn.IFNA(IF(INDEX(Tb_KostenOpties[],MATCH($F77,Tb_KostenOpties[KostenOptie],0),IFERROR(MATCH(Methode_Keuze,Tb_KostenOpties[#Headers],0),2))=1,_xlfn.SWITCH($H77,"Uurtarief",IF(OR(AND(RIGHT($F77,3)="IKS",VLOOKUP($I77,Loonkosten,2,0)="Ja"),AND(RIGHT($F77,3)&lt;&gt;"IKS",VLOOKUP($I77,Loonkosten,2,0)="Nee")), VLOOKUP($I77,Loonkosten,MATCH("Opgegeven uurtarief",'4. Rekenhulp loonkosten aanvr.'!$4:$4,0)),0),"Vast tarief",IF(LEFT(F77,8)="Bijdrage",VLOOKUP($F77,Tb_KostenTypen[],MATCH(Lijsten!$P$1,Tb_KostenTypen[#Headers],0),0),VLOOKUP($G77,Lijsten!L:P,MATCH(Lijsten!$P$1,Kop_Tarief_Vast,0),0))),""),"")</f>
        <v/>
      </c>
      <c r="K77" s="312" t="str" cm="1">
        <f t="array" ref="K77">_xlfn.IFNA(IF(INDEX(Tb_KostenOpties[],MATCH($F77,Tb_KostenOpties[KostenOptie],0),IFERROR(MATCH(Methode_Keuze,Tb_KostenOpties[#Headers],0),2))=1,_xlfn.SWITCH($H77,"Uurtarief",IF(OR(AND(RIGHT($F77,3)="IKS",VLOOKUP($I77,Loonkosten,2,0)="Ja"),AND(RIGHT($F77,3)&lt;&gt;"IKS",VLOOKUP($I77,Loonkosten,2,0)="Nee")), VLOOKUP($I77,Loonkosten,MATCH("Beoordeeld uurtarief",'4. Rekenhulp loonkosten aanvr.'!$4:$4,0),0),0),"Vast tarief",IF(LEFT(F77,8)="Bijdrage",VLOOKUP($F77,Tb_KostenTypen[],MATCH(Lijsten!$P$1,Tb_KostenTypen[#Headers],0),0),VLOOKUP($G77,Lijsten!L:P,MATCH(Lijsten!$P$1,Kop_Tarief_Vast,0),0))),""),"")</f>
        <v/>
      </c>
      <c r="L77" s="358"/>
      <c r="M77" s="358"/>
      <c r="N77" s="313"/>
      <c r="O77" s="313"/>
      <c r="P77" s="374" t="str">
        <f t="shared" si="5"/>
        <v/>
      </c>
      <c r="Q77" s="314" t="str">
        <f t="shared" si="6"/>
        <v/>
      </c>
      <c r="R77" s="314" t="str" cm="1">
        <f t="array" aca="1" ref="R77" ca="1">_xlfn.IFNA(_xlfn.IFS(X77="Dit kostentype hoeft u niet op te geven. Hiervoor wordt een forfait berekend.","",AND(J77&lt;&gt;"",H77="Vast tarief",F77="Vergoeding"),SUM(J77)*FLOOR(SUM(L77),0.0001),AND(J77&lt;&gt;"",OR(H77="Uurtarief",H77="Vast tarief")),SUM(J77)*FLOOR(SUM(L77),0.01),AND(N77&lt;&gt;"",H77="-"),FLOOR(SUM(N77),0.01)),"")</f>
        <v/>
      </c>
      <c r="S77" s="314" t="str" cm="1">
        <f t="array" aca="1" ref="S77" ca="1">_xlfn.IFNA(_xlfn.IFS(X77="Dit kostentype hoeft u niet op te geven. Hiervoor wordt een forfait berekend.","",AND(K77&lt;&gt;"",M77&lt;&gt;"",H77="Vast tarief",F77="Vergoeding"),SUM(K77)*FLOOR(SUM(M77),0.0001),AND(K77&lt;&gt;"",M77&lt;&gt;"",OR(H77="Uurtarief",H77="Vast tarief")),SUM(K77)*FLOOR(SUM(M77),0.01),AND(O77&lt;&gt;"",H77="-"),FLOOR(SUM(O77),0.01)),"")</f>
        <v/>
      </c>
      <c r="T77" s="314" t="str">
        <f t="shared" ca="1" si="7"/>
        <v/>
      </c>
      <c r="U77" s="314" t="str" cm="1">
        <f t="array" aca="1" ref="U77" ca="1">IFERROR(_xlfn.IFS(OR(F77="",LEFT(Methode_Keuze,4)="Geen",Methode_Keuze=""),"",AND(R77&lt;&gt;"",F77&lt;&gt;"Arbeidskosten"),R77*VLOOKUP(F77,Tb_ProjectKosten[],MATCH(Tb_ProjectKosten[[#Headers],[Forfait_Percentage]],Tb_ProjectKosten[#Headers],0),0),AND(F77="Arbeidskosten",G77&lt;&gt;""),IFERROR(R77*VLOOKUP(G77,Tb_KostenTypen[],3,0)*VLOOKUP(F77,Tb_ProjectKosten[],MATCH(Tb_ProjectKosten[[#Headers],[Forfait_Percentage]],Tb_ProjectKosten[#Headers],0),0),""),R77 &lt;=0,0),"")</f>
        <v/>
      </c>
      <c r="V77" s="314" t="str" cm="1">
        <f t="array" aca="1" ref="V77" ca="1">IFERROR(_xlfn.IFS(OR(F77="",LEFT(Methode_Keuze,4)="Geen",Methode_Keuze=""),"",AND(S77&lt;&gt;"",F77&lt;&gt;"Arbeidskosten"),S77*VLOOKUP(F77,Tb_ProjectKosten[],MATCH(Tb_ProjectKosten[[#Headers],[Forfait_Percentage]],Tb_ProjectKosten[#Headers],0),0),AND(F77="Arbeidskosten",G77&lt;&gt;""),IFERROR(S77*VLOOKUP(G77,Tb_KostenTypen[],3,0)*VLOOKUP(F77,Tb_ProjectKosten[],MATCH(Tb_ProjectKosten[[#Headers],[Forfait_Percentage]],Tb_ProjectKosten[#Headers],0),0),""),S77 &lt;=0,0),"")</f>
        <v/>
      </c>
      <c r="W77" s="314" t="str">
        <f t="shared" ca="1" si="8"/>
        <v/>
      </c>
      <c r="X77" s="376" t="str">
        <f>IFERROR(VLOOKUP(F77,Tb_ProjectKosten[#All],11,0),"")</f>
        <v/>
      </c>
      <c r="Y77" s="315"/>
    </row>
    <row r="78" spans="1:25" x14ac:dyDescent="0.25">
      <c r="A78" s="309">
        <f>MAX($A$5:A77)+1</f>
        <v>73</v>
      </c>
      <c r="B78" s="296"/>
      <c r="C78" s="296"/>
      <c r="D78" s="296"/>
      <c r="E78" s="296"/>
      <c r="F78" s="296"/>
      <c r="G78" s="327"/>
      <c r="H78" s="310" t="str">
        <f ca="1">IFERROR(IF(VLOOKUP(F78,Kostentypen!$A$3:$E$21,3,0)=0,"",IF(OR(F78="Arbeidskosten",F78="Vergoeding"),VLOOKUP(G78,Tb_KostenTypen[],2,0),VLOOKUP(F78,Kostentypen!$A$3:$E$20,3,0))),"")</f>
        <v/>
      </c>
      <c r="I78" s="311"/>
      <c r="J78" s="312" t="str" cm="1">
        <f t="array" ref="J78">_xlfn.IFNA(IF(INDEX(Tb_KostenOpties[],MATCH($F78,Tb_KostenOpties[KostenOptie],0),IFERROR(MATCH(Methode_Keuze,Tb_KostenOpties[#Headers],0),2))=1,_xlfn.SWITCH($H78,"Uurtarief",IF(OR(AND(RIGHT($F78,3)="IKS",VLOOKUP($I78,Loonkosten,2,0)="Ja"),AND(RIGHT($F78,3)&lt;&gt;"IKS",VLOOKUP($I78,Loonkosten,2,0)="Nee")), VLOOKUP($I78,Loonkosten,MATCH("Opgegeven uurtarief",'4. Rekenhulp loonkosten aanvr.'!$4:$4,0)),0),"Vast tarief",IF(LEFT(F78,8)="Bijdrage",VLOOKUP($F78,Tb_KostenTypen[],MATCH(Lijsten!$P$1,Tb_KostenTypen[#Headers],0),0),VLOOKUP($G78,Lijsten!L:P,MATCH(Lijsten!$P$1,Kop_Tarief_Vast,0),0))),""),"")</f>
        <v/>
      </c>
      <c r="K78" s="312" t="str" cm="1">
        <f t="array" ref="K78">_xlfn.IFNA(IF(INDEX(Tb_KostenOpties[],MATCH($F78,Tb_KostenOpties[KostenOptie],0),IFERROR(MATCH(Methode_Keuze,Tb_KostenOpties[#Headers],0),2))=1,_xlfn.SWITCH($H78,"Uurtarief",IF(OR(AND(RIGHT($F78,3)="IKS",VLOOKUP($I78,Loonkosten,2,0)="Ja"),AND(RIGHT($F78,3)&lt;&gt;"IKS",VLOOKUP($I78,Loonkosten,2,0)="Nee")), VLOOKUP($I78,Loonkosten,MATCH("Beoordeeld uurtarief",'4. Rekenhulp loonkosten aanvr.'!$4:$4,0),0),0),"Vast tarief",IF(LEFT(F78,8)="Bijdrage",VLOOKUP($F78,Tb_KostenTypen[],MATCH(Lijsten!$P$1,Tb_KostenTypen[#Headers],0),0),VLOOKUP($G78,Lijsten!L:P,MATCH(Lijsten!$P$1,Kop_Tarief_Vast,0),0))),""),"")</f>
        <v/>
      </c>
      <c r="L78" s="358"/>
      <c r="M78" s="358"/>
      <c r="N78" s="313"/>
      <c r="O78" s="313"/>
      <c r="P78" s="374" t="str">
        <f t="shared" si="5"/>
        <v/>
      </c>
      <c r="Q78" s="314" t="str">
        <f t="shared" si="6"/>
        <v/>
      </c>
      <c r="R78" s="314" t="str" cm="1">
        <f t="array" aca="1" ref="R78" ca="1">_xlfn.IFNA(_xlfn.IFS(X78="Dit kostentype hoeft u niet op te geven. Hiervoor wordt een forfait berekend.","",AND(J78&lt;&gt;"",H78="Vast tarief",F78="Vergoeding"),SUM(J78)*FLOOR(SUM(L78),0.0001),AND(J78&lt;&gt;"",OR(H78="Uurtarief",H78="Vast tarief")),SUM(J78)*FLOOR(SUM(L78),0.01),AND(N78&lt;&gt;"",H78="-"),FLOOR(SUM(N78),0.01)),"")</f>
        <v/>
      </c>
      <c r="S78" s="314" t="str" cm="1">
        <f t="array" aca="1" ref="S78" ca="1">_xlfn.IFNA(_xlfn.IFS(X78="Dit kostentype hoeft u niet op te geven. Hiervoor wordt een forfait berekend.","",AND(K78&lt;&gt;"",M78&lt;&gt;"",H78="Vast tarief",F78="Vergoeding"),SUM(K78)*FLOOR(SUM(M78),0.0001),AND(K78&lt;&gt;"",M78&lt;&gt;"",OR(H78="Uurtarief",H78="Vast tarief")),SUM(K78)*FLOOR(SUM(M78),0.01),AND(O78&lt;&gt;"",H78="-"),FLOOR(SUM(O78),0.01)),"")</f>
        <v/>
      </c>
      <c r="T78" s="314" t="str">
        <f t="shared" ca="1" si="7"/>
        <v/>
      </c>
      <c r="U78" s="314" t="str" cm="1">
        <f t="array" aca="1" ref="U78" ca="1">IFERROR(_xlfn.IFS(OR(F78="",LEFT(Methode_Keuze,4)="Geen",Methode_Keuze=""),"",AND(R78&lt;&gt;"",F78&lt;&gt;"Arbeidskosten"),R78*VLOOKUP(F78,Tb_ProjectKosten[],MATCH(Tb_ProjectKosten[[#Headers],[Forfait_Percentage]],Tb_ProjectKosten[#Headers],0),0),AND(F78="Arbeidskosten",G78&lt;&gt;""),IFERROR(R78*VLOOKUP(G78,Tb_KostenTypen[],3,0)*VLOOKUP(F78,Tb_ProjectKosten[],MATCH(Tb_ProjectKosten[[#Headers],[Forfait_Percentage]],Tb_ProjectKosten[#Headers],0),0),""),R78 &lt;=0,0),"")</f>
        <v/>
      </c>
      <c r="V78" s="314" t="str" cm="1">
        <f t="array" aca="1" ref="V78" ca="1">IFERROR(_xlfn.IFS(OR(F78="",LEFT(Methode_Keuze,4)="Geen",Methode_Keuze=""),"",AND(S78&lt;&gt;"",F78&lt;&gt;"Arbeidskosten"),S78*VLOOKUP(F78,Tb_ProjectKosten[],MATCH(Tb_ProjectKosten[[#Headers],[Forfait_Percentage]],Tb_ProjectKosten[#Headers],0),0),AND(F78="Arbeidskosten",G78&lt;&gt;""),IFERROR(S78*VLOOKUP(G78,Tb_KostenTypen[],3,0)*VLOOKUP(F78,Tb_ProjectKosten[],MATCH(Tb_ProjectKosten[[#Headers],[Forfait_Percentage]],Tb_ProjectKosten[#Headers],0),0),""),S78 &lt;=0,0),"")</f>
        <v/>
      </c>
      <c r="W78" s="314" t="str">
        <f t="shared" ca="1" si="8"/>
        <v/>
      </c>
      <c r="X78" s="376" t="str">
        <f>IFERROR(VLOOKUP(F78,Tb_ProjectKosten[#All],11,0),"")</f>
        <v/>
      </c>
      <c r="Y78" s="315"/>
    </row>
    <row r="79" spans="1:25" x14ac:dyDescent="0.25">
      <c r="A79" s="309">
        <f>MAX($A$5:A78)+1</f>
        <v>74</v>
      </c>
      <c r="B79" s="296"/>
      <c r="C79" s="296"/>
      <c r="D79" s="296"/>
      <c r="E79" s="296"/>
      <c r="F79" s="296"/>
      <c r="G79" s="327"/>
      <c r="H79" s="310" t="str">
        <f ca="1">IFERROR(IF(VLOOKUP(F79,Kostentypen!$A$3:$E$21,3,0)=0,"",IF(OR(F79="Arbeidskosten",F79="Vergoeding"),VLOOKUP(G79,Tb_KostenTypen[],2,0),VLOOKUP(F79,Kostentypen!$A$3:$E$20,3,0))),"")</f>
        <v/>
      </c>
      <c r="I79" s="311"/>
      <c r="J79" s="312" t="str" cm="1">
        <f t="array" ref="J79">_xlfn.IFNA(IF(INDEX(Tb_KostenOpties[],MATCH($F79,Tb_KostenOpties[KostenOptie],0),IFERROR(MATCH(Methode_Keuze,Tb_KostenOpties[#Headers],0),2))=1,_xlfn.SWITCH($H79,"Uurtarief",IF(OR(AND(RIGHT($F79,3)="IKS",VLOOKUP($I79,Loonkosten,2,0)="Ja"),AND(RIGHT($F79,3)&lt;&gt;"IKS",VLOOKUP($I79,Loonkosten,2,0)="Nee")), VLOOKUP($I79,Loonkosten,MATCH("Opgegeven uurtarief",'4. Rekenhulp loonkosten aanvr.'!$4:$4,0)),0),"Vast tarief",IF(LEFT(F79,8)="Bijdrage",VLOOKUP($F79,Tb_KostenTypen[],MATCH(Lijsten!$P$1,Tb_KostenTypen[#Headers],0),0),VLOOKUP($G79,Lijsten!L:P,MATCH(Lijsten!$P$1,Kop_Tarief_Vast,0),0))),""),"")</f>
        <v/>
      </c>
      <c r="K79" s="312" t="str" cm="1">
        <f t="array" ref="K79">_xlfn.IFNA(IF(INDEX(Tb_KostenOpties[],MATCH($F79,Tb_KostenOpties[KostenOptie],0),IFERROR(MATCH(Methode_Keuze,Tb_KostenOpties[#Headers],0),2))=1,_xlfn.SWITCH($H79,"Uurtarief",IF(OR(AND(RIGHT($F79,3)="IKS",VLOOKUP($I79,Loonkosten,2,0)="Ja"),AND(RIGHT($F79,3)&lt;&gt;"IKS",VLOOKUP($I79,Loonkosten,2,0)="Nee")), VLOOKUP($I79,Loonkosten,MATCH("Beoordeeld uurtarief",'4. Rekenhulp loonkosten aanvr.'!$4:$4,0),0),0),"Vast tarief",IF(LEFT(F79,8)="Bijdrage",VLOOKUP($F79,Tb_KostenTypen[],MATCH(Lijsten!$P$1,Tb_KostenTypen[#Headers],0),0),VLOOKUP($G79,Lijsten!L:P,MATCH(Lijsten!$P$1,Kop_Tarief_Vast,0),0))),""),"")</f>
        <v/>
      </c>
      <c r="L79" s="358"/>
      <c r="M79" s="358"/>
      <c r="N79" s="313"/>
      <c r="O79" s="313"/>
      <c r="P79" s="374" t="str">
        <f t="shared" si="5"/>
        <v/>
      </c>
      <c r="Q79" s="314" t="str">
        <f t="shared" si="6"/>
        <v/>
      </c>
      <c r="R79" s="314" t="str" cm="1">
        <f t="array" aca="1" ref="R79" ca="1">_xlfn.IFNA(_xlfn.IFS(X79="Dit kostentype hoeft u niet op te geven. Hiervoor wordt een forfait berekend.","",AND(J79&lt;&gt;"",H79="Vast tarief",F79="Vergoeding"),SUM(J79)*FLOOR(SUM(L79),0.0001),AND(J79&lt;&gt;"",OR(H79="Uurtarief",H79="Vast tarief")),SUM(J79)*FLOOR(SUM(L79),0.01),AND(N79&lt;&gt;"",H79="-"),FLOOR(SUM(N79),0.01)),"")</f>
        <v/>
      </c>
      <c r="S79" s="314" t="str" cm="1">
        <f t="array" aca="1" ref="S79" ca="1">_xlfn.IFNA(_xlfn.IFS(X79="Dit kostentype hoeft u niet op te geven. Hiervoor wordt een forfait berekend.","",AND(K79&lt;&gt;"",M79&lt;&gt;"",H79="Vast tarief",F79="Vergoeding"),SUM(K79)*FLOOR(SUM(M79),0.0001),AND(K79&lt;&gt;"",M79&lt;&gt;"",OR(H79="Uurtarief",H79="Vast tarief")),SUM(K79)*FLOOR(SUM(M79),0.01),AND(O79&lt;&gt;"",H79="-"),FLOOR(SUM(O79),0.01)),"")</f>
        <v/>
      </c>
      <c r="T79" s="314" t="str">
        <f t="shared" ca="1" si="7"/>
        <v/>
      </c>
      <c r="U79" s="314" t="str" cm="1">
        <f t="array" aca="1" ref="U79" ca="1">IFERROR(_xlfn.IFS(OR(F79="",LEFT(Methode_Keuze,4)="Geen",Methode_Keuze=""),"",AND(R79&lt;&gt;"",F79&lt;&gt;"Arbeidskosten"),R79*VLOOKUP(F79,Tb_ProjectKosten[],MATCH(Tb_ProjectKosten[[#Headers],[Forfait_Percentage]],Tb_ProjectKosten[#Headers],0),0),AND(F79="Arbeidskosten",G79&lt;&gt;""),IFERROR(R79*VLOOKUP(G79,Tb_KostenTypen[],3,0)*VLOOKUP(F79,Tb_ProjectKosten[],MATCH(Tb_ProjectKosten[[#Headers],[Forfait_Percentage]],Tb_ProjectKosten[#Headers],0),0),""),R79 &lt;=0,0),"")</f>
        <v/>
      </c>
      <c r="V79" s="314" t="str" cm="1">
        <f t="array" aca="1" ref="V79" ca="1">IFERROR(_xlfn.IFS(OR(F79="",LEFT(Methode_Keuze,4)="Geen",Methode_Keuze=""),"",AND(S79&lt;&gt;"",F79&lt;&gt;"Arbeidskosten"),S79*VLOOKUP(F79,Tb_ProjectKosten[],MATCH(Tb_ProjectKosten[[#Headers],[Forfait_Percentage]],Tb_ProjectKosten[#Headers],0),0),AND(F79="Arbeidskosten",G79&lt;&gt;""),IFERROR(S79*VLOOKUP(G79,Tb_KostenTypen[],3,0)*VLOOKUP(F79,Tb_ProjectKosten[],MATCH(Tb_ProjectKosten[[#Headers],[Forfait_Percentage]],Tb_ProjectKosten[#Headers],0),0),""),S79 &lt;=0,0),"")</f>
        <v/>
      </c>
      <c r="W79" s="314" t="str">
        <f t="shared" ca="1" si="8"/>
        <v/>
      </c>
      <c r="X79" s="376" t="str">
        <f>IFERROR(VLOOKUP(F79,Tb_ProjectKosten[#All],11,0),"")</f>
        <v/>
      </c>
      <c r="Y79" s="315"/>
    </row>
    <row r="80" spans="1:25" x14ac:dyDescent="0.25">
      <c r="A80" s="309">
        <f>MAX($A$5:A79)+1</f>
        <v>75</v>
      </c>
      <c r="B80" s="296"/>
      <c r="C80" s="296"/>
      <c r="D80" s="296"/>
      <c r="E80" s="296"/>
      <c r="F80" s="296"/>
      <c r="G80" s="327"/>
      <c r="H80" s="310" t="str">
        <f ca="1">IFERROR(IF(VLOOKUP(F80,Kostentypen!$A$3:$E$21,3,0)=0,"",IF(OR(F80="Arbeidskosten",F80="Vergoeding"),VLOOKUP(G80,Tb_KostenTypen[],2,0),VLOOKUP(F80,Kostentypen!$A$3:$E$20,3,0))),"")</f>
        <v/>
      </c>
      <c r="I80" s="311"/>
      <c r="J80" s="312" t="str" cm="1">
        <f t="array" ref="J80">_xlfn.IFNA(IF(INDEX(Tb_KostenOpties[],MATCH($F80,Tb_KostenOpties[KostenOptie],0),IFERROR(MATCH(Methode_Keuze,Tb_KostenOpties[#Headers],0),2))=1,_xlfn.SWITCH($H80,"Uurtarief",IF(OR(AND(RIGHT($F80,3)="IKS",VLOOKUP($I80,Loonkosten,2,0)="Ja"),AND(RIGHT($F80,3)&lt;&gt;"IKS",VLOOKUP($I80,Loonkosten,2,0)="Nee")), VLOOKUP($I80,Loonkosten,MATCH("Opgegeven uurtarief",'4. Rekenhulp loonkosten aanvr.'!$4:$4,0)),0),"Vast tarief",IF(LEFT(F80,8)="Bijdrage",VLOOKUP($F80,Tb_KostenTypen[],MATCH(Lijsten!$P$1,Tb_KostenTypen[#Headers],0),0),VLOOKUP($G80,Lijsten!L:P,MATCH(Lijsten!$P$1,Kop_Tarief_Vast,0),0))),""),"")</f>
        <v/>
      </c>
      <c r="K80" s="312" t="str" cm="1">
        <f t="array" ref="K80">_xlfn.IFNA(IF(INDEX(Tb_KostenOpties[],MATCH($F80,Tb_KostenOpties[KostenOptie],0),IFERROR(MATCH(Methode_Keuze,Tb_KostenOpties[#Headers],0),2))=1,_xlfn.SWITCH($H80,"Uurtarief",IF(OR(AND(RIGHT($F80,3)="IKS",VLOOKUP($I80,Loonkosten,2,0)="Ja"),AND(RIGHT($F80,3)&lt;&gt;"IKS",VLOOKUP($I80,Loonkosten,2,0)="Nee")), VLOOKUP($I80,Loonkosten,MATCH("Beoordeeld uurtarief",'4. Rekenhulp loonkosten aanvr.'!$4:$4,0),0),0),"Vast tarief",IF(LEFT(F80,8)="Bijdrage",VLOOKUP($F80,Tb_KostenTypen[],MATCH(Lijsten!$P$1,Tb_KostenTypen[#Headers],0),0),VLOOKUP($G80,Lijsten!L:P,MATCH(Lijsten!$P$1,Kop_Tarief_Vast,0),0))),""),"")</f>
        <v/>
      </c>
      <c r="L80" s="358"/>
      <c r="M80" s="358"/>
      <c r="N80" s="313"/>
      <c r="O80" s="313"/>
      <c r="P80" s="374" t="str">
        <f t="shared" si="5"/>
        <v/>
      </c>
      <c r="Q80" s="314" t="str">
        <f t="shared" si="6"/>
        <v/>
      </c>
      <c r="R80" s="314" t="str" cm="1">
        <f t="array" aca="1" ref="R80" ca="1">_xlfn.IFNA(_xlfn.IFS(X80="Dit kostentype hoeft u niet op te geven. Hiervoor wordt een forfait berekend.","",AND(J80&lt;&gt;"",H80="Vast tarief",F80="Vergoeding"),SUM(J80)*FLOOR(SUM(L80),0.0001),AND(J80&lt;&gt;"",OR(H80="Uurtarief",H80="Vast tarief")),SUM(J80)*FLOOR(SUM(L80),0.01),AND(N80&lt;&gt;"",H80="-"),FLOOR(SUM(N80),0.01)),"")</f>
        <v/>
      </c>
      <c r="S80" s="314" t="str" cm="1">
        <f t="array" aca="1" ref="S80" ca="1">_xlfn.IFNA(_xlfn.IFS(X80="Dit kostentype hoeft u niet op te geven. Hiervoor wordt een forfait berekend.","",AND(K80&lt;&gt;"",M80&lt;&gt;"",H80="Vast tarief",F80="Vergoeding"),SUM(K80)*FLOOR(SUM(M80),0.0001),AND(K80&lt;&gt;"",M80&lt;&gt;"",OR(H80="Uurtarief",H80="Vast tarief")),SUM(K80)*FLOOR(SUM(M80),0.01),AND(O80&lt;&gt;"",H80="-"),FLOOR(SUM(O80),0.01)),"")</f>
        <v/>
      </c>
      <c r="T80" s="314" t="str">
        <f t="shared" ca="1" si="7"/>
        <v/>
      </c>
      <c r="U80" s="314" t="str" cm="1">
        <f t="array" aca="1" ref="U80" ca="1">IFERROR(_xlfn.IFS(OR(F80="",LEFT(Methode_Keuze,4)="Geen",Methode_Keuze=""),"",AND(R80&lt;&gt;"",F80&lt;&gt;"Arbeidskosten"),R80*VLOOKUP(F80,Tb_ProjectKosten[],MATCH(Tb_ProjectKosten[[#Headers],[Forfait_Percentage]],Tb_ProjectKosten[#Headers],0),0),AND(F80="Arbeidskosten",G80&lt;&gt;""),IFERROR(R80*VLOOKUP(G80,Tb_KostenTypen[],3,0)*VLOOKUP(F80,Tb_ProjectKosten[],MATCH(Tb_ProjectKosten[[#Headers],[Forfait_Percentage]],Tb_ProjectKosten[#Headers],0),0),""),R80 &lt;=0,0),"")</f>
        <v/>
      </c>
      <c r="V80" s="314" t="str" cm="1">
        <f t="array" aca="1" ref="V80" ca="1">IFERROR(_xlfn.IFS(OR(F80="",LEFT(Methode_Keuze,4)="Geen",Methode_Keuze=""),"",AND(S80&lt;&gt;"",F80&lt;&gt;"Arbeidskosten"),S80*VLOOKUP(F80,Tb_ProjectKosten[],MATCH(Tb_ProjectKosten[[#Headers],[Forfait_Percentage]],Tb_ProjectKosten[#Headers],0),0),AND(F80="Arbeidskosten",G80&lt;&gt;""),IFERROR(S80*VLOOKUP(G80,Tb_KostenTypen[],3,0)*VLOOKUP(F80,Tb_ProjectKosten[],MATCH(Tb_ProjectKosten[[#Headers],[Forfait_Percentage]],Tb_ProjectKosten[#Headers],0),0),""),S80 &lt;=0,0),"")</f>
        <v/>
      </c>
      <c r="W80" s="314" t="str">
        <f t="shared" ca="1" si="8"/>
        <v/>
      </c>
      <c r="X80" s="376" t="str">
        <f>IFERROR(VLOOKUP(F80,Tb_ProjectKosten[#All],11,0),"")</f>
        <v/>
      </c>
      <c r="Y80" s="315"/>
    </row>
    <row r="81" spans="1:25" x14ac:dyDescent="0.25">
      <c r="A81" s="309">
        <f>MAX($A$5:A80)+1</f>
        <v>76</v>
      </c>
      <c r="B81" s="296"/>
      <c r="C81" s="296"/>
      <c r="D81" s="296"/>
      <c r="E81" s="296"/>
      <c r="F81" s="296"/>
      <c r="G81" s="327"/>
      <c r="H81" s="310" t="str">
        <f ca="1">IFERROR(IF(VLOOKUP(F81,Kostentypen!$A$3:$E$21,3,0)=0,"",IF(OR(F81="Arbeidskosten",F81="Vergoeding"),VLOOKUP(G81,Tb_KostenTypen[],2,0),VLOOKUP(F81,Kostentypen!$A$3:$E$20,3,0))),"")</f>
        <v/>
      </c>
      <c r="I81" s="311"/>
      <c r="J81" s="312" t="str" cm="1">
        <f t="array" ref="J81">_xlfn.IFNA(IF(INDEX(Tb_KostenOpties[],MATCH($F81,Tb_KostenOpties[KostenOptie],0),IFERROR(MATCH(Methode_Keuze,Tb_KostenOpties[#Headers],0),2))=1,_xlfn.SWITCH($H81,"Uurtarief",IF(OR(AND(RIGHT($F81,3)="IKS",VLOOKUP($I81,Loonkosten,2,0)="Ja"),AND(RIGHT($F81,3)&lt;&gt;"IKS",VLOOKUP($I81,Loonkosten,2,0)="Nee")), VLOOKUP($I81,Loonkosten,MATCH("Opgegeven uurtarief",'4. Rekenhulp loonkosten aanvr.'!$4:$4,0)),0),"Vast tarief",IF(LEFT(F81,8)="Bijdrage",VLOOKUP($F81,Tb_KostenTypen[],MATCH(Lijsten!$P$1,Tb_KostenTypen[#Headers],0),0),VLOOKUP($G81,Lijsten!L:P,MATCH(Lijsten!$P$1,Kop_Tarief_Vast,0),0))),""),"")</f>
        <v/>
      </c>
      <c r="K81" s="312" t="str" cm="1">
        <f t="array" ref="K81">_xlfn.IFNA(IF(INDEX(Tb_KostenOpties[],MATCH($F81,Tb_KostenOpties[KostenOptie],0),IFERROR(MATCH(Methode_Keuze,Tb_KostenOpties[#Headers],0),2))=1,_xlfn.SWITCH($H81,"Uurtarief",IF(OR(AND(RIGHT($F81,3)="IKS",VLOOKUP($I81,Loonkosten,2,0)="Ja"),AND(RIGHT($F81,3)&lt;&gt;"IKS",VLOOKUP($I81,Loonkosten,2,0)="Nee")), VLOOKUP($I81,Loonkosten,MATCH("Beoordeeld uurtarief",'4. Rekenhulp loonkosten aanvr.'!$4:$4,0),0),0),"Vast tarief",IF(LEFT(F81,8)="Bijdrage",VLOOKUP($F81,Tb_KostenTypen[],MATCH(Lijsten!$P$1,Tb_KostenTypen[#Headers],0),0),VLOOKUP($G81,Lijsten!L:P,MATCH(Lijsten!$P$1,Kop_Tarief_Vast,0),0))),""),"")</f>
        <v/>
      </c>
      <c r="L81" s="358"/>
      <c r="M81" s="358"/>
      <c r="N81" s="313"/>
      <c r="O81" s="313"/>
      <c r="P81" s="374" t="str">
        <f t="shared" si="5"/>
        <v/>
      </c>
      <c r="Q81" s="314" t="str">
        <f t="shared" si="6"/>
        <v/>
      </c>
      <c r="R81" s="314" t="str" cm="1">
        <f t="array" aca="1" ref="R81" ca="1">_xlfn.IFNA(_xlfn.IFS(X81="Dit kostentype hoeft u niet op te geven. Hiervoor wordt een forfait berekend.","",AND(J81&lt;&gt;"",H81="Vast tarief",F81="Vergoeding"),SUM(J81)*FLOOR(SUM(L81),0.0001),AND(J81&lt;&gt;"",OR(H81="Uurtarief",H81="Vast tarief")),SUM(J81)*FLOOR(SUM(L81),0.01),AND(N81&lt;&gt;"",H81="-"),FLOOR(SUM(N81),0.01)),"")</f>
        <v/>
      </c>
      <c r="S81" s="314" t="str" cm="1">
        <f t="array" aca="1" ref="S81" ca="1">_xlfn.IFNA(_xlfn.IFS(X81="Dit kostentype hoeft u niet op te geven. Hiervoor wordt een forfait berekend.","",AND(K81&lt;&gt;"",M81&lt;&gt;"",H81="Vast tarief",F81="Vergoeding"),SUM(K81)*FLOOR(SUM(M81),0.0001),AND(K81&lt;&gt;"",M81&lt;&gt;"",OR(H81="Uurtarief",H81="Vast tarief")),SUM(K81)*FLOOR(SUM(M81),0.01),AND(O81&lt;&gt;"",H81="-"),FLOOR(SUM(O81),0.01)),"")</f>
        <v/>
      </c>
      <c r="T81" s="314" t="str">
        <f t="shared" ca="1" si="7"/>
        <v/>
      </c>
      <c r="U81" s="314" t="str" cm="1">
        <f t="array" aca="1" ref="U81" ca="1">IFERROR(_xlfn.IFS(OR(F81="",LEFT(Methode_Keuze,4)="Geen",Methode_Keuze=""),"",AND(R81&lt;&gt;"",F81&lt;&gt;"Arbeidskosten"),R81*VLOOKUP(F81,Tb_ProjectKosten[],MATCH(Tb_ProjectKosten[[#Headers],[Forfait_Percentage]],Tb_ProjectKosten[#Headers],0),0),AND(F81="Arbeidskosten",G81&lt;&gt;""),IFERROR(R81*VLOOKUP(G81,Tb_KostenTypen[],3,0)*VLOOKUP(F81,Tb_ProjectKosten[],MATCH(Tb_ProjectKosten[[#Headers],[Forfait_Percentage]],Tb_ProjectKosten[#Headers],0),0),""),R81 &lt;=0,0),"")</f>
        <v/>
      </c>
      <c r="V81" s="314" t="str" cm="1">
        <f t="array" aca="1" ref="V81" ca="1">IFERROR(_xlfn.IFS(OR(F81="",LEFT(Methode_Keuze,4)="Geen",Methode_Keuze=""),"",AND(S81&lt;&gt;"",F81&lt;&gt;"Arbeidskosten"),S81*VLOOKUP(F81,Tb_ProjectKosten[],MATCH(Tb_ProjectKosten[[#Headers],[Forfait_Percentage]],Tb_ProjectKosten[#Headers],0),0),AND(F81="Arbeidskosten",G81&lt;&gt;""),IFERROR(S81*VLOOKUP(G81,Tb_KostenTypen[],3,0)*VLOOKUP(F81,Tb_ProjectKosten[],MATCH(Tb_ProjectKosten[[#Headers],[Forfait_Percentage]],Tb_ProjectKosten[#Headers],0),0),""),S81 &lt;=0,0),"")</f>
        <v/>
      </c>
      <c r="W81" s="314" t="str">
        <f t="shared" ca="1" si="8"/>
        <v/>
      </c>
      <c r="X81" s="376" t="str">
        <f>IFERROR(VLOOKUP(F81,Tb_ProjectKosten[#All],11,0),"")</f>
        <v/>
      </c>
      <c r="Y81" s="315"/>
    </row>
    <row r="82" spans="1:25" x14ac:dyDescent="0.25">
      <c r="A82" s="309">
        <f>MAX($A$5:A81)+1</f>
        <v>77</v>
      </c>
      <c r="B82" s="296"/>
      <c r="C82" s="296"/>
      <c r="D82" s="296"/>
      <c r="E82" s="296"/>
      <c r="F82" s="296"/>
      <c r="G82" s="327"/>
      <c r="H82" s="310" t="str">
        <f ca="1">IFERROR(IF(VLOOKUP(F82,Kostentypen!$A$3:$E$21,3,0)=0,"",IF(OR(F82="Arbeidskosten",F82="Vergoeding"),VLOOKUP(G82,Tb_KostenTypen[],2,0),VLOOKUP(F82,Kostentypen!$A$3:$E$20,3,0))),"")</f>
        <v/>
      </c>
      <c r="I82" s="311"/>
      <c r="J82" s="312" t="str" cm="1">
        <f t="array" ref="J82">_xlfn.IFNA(IF(INDEX(Tb_KostenOpties[],MATCH($F82,Tb_KostenOpties[KostenOptie],0),IFERROR(MATCH(Methode_Keuze,Tb_KostenOpties[#Headers],0),2))=1,_xlfn.SWITCH($H82,"Uurtarief",IF(OR(AND(RIGHT($F82,3)="IKS",VLOOKUP($I82,Loonkosten,2,0)="Ja"),AND(RIGHT($F82,3)&lt;&gt;"IKS",VLOOKUP($I82,Loonkosten,2,0)="Nee")), VLOOKUP($I82,Loonkosten,MATCH("Opgegeven uurtarief",'4. Rekenhulp loonkosten aanvr.'!$4:$4,0)),0),"Vast tarief",IF(LEFT(F82,8)="Bijdrage",VLOOKUP($F82,Tb_KostenTypen[],MATCH(Lijsten!$P$1,Tb_KostenTypen[#Headers],0),0),VLOOKUP($G82,Lijsten!L:P,MATCH(Lijsten!$P$1,Kop_Tarief_Vast,0),0))),""),"")</f>
        <v/>
      </c>
      <c r="K82" s="312" t="str" cm="1">
        <f t="array" ref="K82">_xlfn.IFNA(IF(INDEX(Tb_KostenOpties[],MATCH($F82,Tb_KostenOpties[KostenOptie],0),IFERROR(MATCH(Methode_Keuze,Tb_KostenOpties[#Headers],0),2))=1,_xlfn.SWITCH($H82,"Uurtarief",IF(OR(AND(RIGHT($F82,3)="IKS",VLOOKUP($I82,Loonkosten,2,0)="Ja"),AND(RIGHT($F82,3)&lt;&gt;"IKS",VLOOKUP($I82,Loonkosten,2,0)="Nee")), VLOOKUP($I82,Loonkosten,MATCH("Beoordeeld uurtarief",'4. Rekenhulp loonkosten aanvr.'!$4:$4,0),0),0),"Vast tarief",IF(LEFT(F82,8)="Bijdrage",VLOOKUP($F82,Tb_KostenTypen[],MATCH(Lijsten!$P$1,Tb_KostenTypen[#Headers],0),0),VLOOKUP($G82,Lijsten!L:P,MATCH(Lijsten!$P$1,Kop_Tarief_Vast,0),0))),""),"")</f>
        <v/>
      </c>
      <c r="L82" s="358"/>
      <c r="M82" s="358"/>
      <c r="N82" s="313"/>
      <c r="O82" s="313"/>
      <c r="P82" s="374" t="str">
        <f t="shared" si="5"/>
        <v/>
      </c>
      <c r="Q82" s="314" t="str">
        <f t="shared" si="6"/>
        <v/>
      </c>
      <c r="R82" s="314" t="str" cm="1">
        <f t="array" aca="1" ref="R82" ca="1">_xlfn.IFNA(_xlfn.IFS(X82="Dit kostentype hoeft u niet op te geven. Hiervoor wordt een forfait berekend.","",AND(J82&lt;&gt;"",H82="Vast tarief",F82="Vergoeding"),SUM(J82)*FLOOR(SUM(L82),0.0001),AND(J82&lt;&gt;"",OR(H82="Uurtarief",H82="Vast tarief")),SUM(J82)*FLOOR(SUM(L82),0.01),AND(N82&lt;&gt;"",H82="-"),FLOOR(SUM(N82),0.01)),"")</f>
        <v/>
      </c>
      <c r="S82" s="314" t="str" cm="1">
        <f t="array" aca="1" ref="S82" ca="1">_xlfn.IFNA(_xlfn.IFS(X82="Dit kostentype hoeft u niet op te geven. Hiervoor wordt een forfait berekend.","",AND(K82&lt;&gt;"",M82&lt;&gt;"",H82="Vast tarief",F82="Vergoeding"),SUM(K82)*FLOOR(SUM(M82),0.0001),AND(K82&lt;&gt;"",M82&lt;&gt;"",OR(H82="Uurtarief",H82="Vast tarief")),SUM(K82)*FLOOR(SUM(M82),0.01),AND(O82&lt;&gt;"",H82="-"),FLOOR(SUM(O82),0.01)),"")</f>
        <v/>
      </c>
      <c r="T82" s="314" t="str">
        <f t="shared" ca="1" si="7"/>
        <v/>
      </c>
      <c r="U82" s="314" t="str" cm="1">
        <f t="array" aca="1" ref="U82" ca="1">IFERROR(_xlfn.IFS(OR(F82="",LEFT(Methode_Keuze,4)="Geen",Methode_Keuze=""),"",AND(R82&lt;&gt;"",F82&lt;&gt;"Arbeidskosten"),R82*VLOOKUP(F82,Tb_ProjectKosten[],MATCH(Tb_ProjectKosten[[#Headers],[Forfait_Percentage]],Tb_ProjectKosten[#Headers],0),0),AND(F82="Arbeidskosten",G82&lt;&gt;""),IFERROR(R82*VLOOKUP(G82,Tb_KostenTypen[],3,0)*VLOOKUP(F82,Tb_ProjectKosten[],MATCH(Tb_ProjectKosten[[#Headers],[Forfait_Percentage]],Tb_ProjectKosten[#Headers],0),0),""),R82 &lt;=0,0),"")</f>
        <v/>
      </c>
      <c r="V82" s="314" t="str" cm="1">
        <f t="array" aca="1" ref="V82" ca="1">IFERROR(_xlfn.IFS(OR(F82="",LEFT(Methode_Keuze,4)="Geen",Methode_Keuze=""),"",AND(S82&lt;&gt;"",F82&lt;&gt;"Arbeidskosten"),S82*VLOOKUP(F82,Tb_ProjectKosten[],MATCH(Tb_ProjectKosten[[#Headers],[Forfait_Percentage]],Tb_ProjectKosten[#Headers],0),0),AND(F82="Arbeidskosten",G82&lt;&gt;""),IFERROR(S82*VLOOKUP(G82,Tb_KostenTypen[],3,0)*VLOOKUP(F82,Tb_ProjectKosten[],MATCH(Tb_ProjectKosten[[#Headers],[Forfait_Percentage]],Tb_ProjectKosten[#Headers],0),0),""),S82 &lt;=0,0),"")</f>
        <v/>
      </c>
      <c r="W82" s="314" t="str">
        <f t="shared" ca="1" si="8"/>
        <v/>
      </c>
      <c r="X82" s="376" t="str">
        <f>IFERROR(VLOOKUP(F82,Tb_ProjectKosten[#All],11,0),"")</f>
        <v/>
      </c>
      <c r="Y82" s="315"/>
    </row>
    <row r="83" spans="1:25" x14ac:dyDescent="0.25">
      <c r="A83" s="309">
        <f>MAX($A$5:A82)+1</f>
        <v>78</v>
      </c>
      <c r="B83" s="296"/>
      <c r="C83" s="296"/>
      <c r="D83" s="296"/>
      <c r="E83" s="296"/>
      <c r="F83" s="296"/>
      <c r="G83" s="327"/>
      <c r="H83" s="310" t="str">
        <f ca="1">IFERROR(IF(VLOOKUP(F83,Kostentypen!$A$3:$E$21,3,0)=0,"",IF(OR(F83="Arbeidskosten",F83="Vergoeding"),VLOOKUP(G83,Tb_KostenTypen[],2,0),VLOOKUP(F83,Kostentypen!$A$3:$E$20,3,0))),"")</f>
        <v/>
      </c>
      <c r="I83" s="311"/>
      <c r="J83" s="312" t="str" cm="1">
        <f t="array" ref="J83">_xlfn.IFNA(IF(INDEX(Tb_KostenOpties[],MATCH($F83,Tb_KostenOpties[KostenOptie],0),IFERROR(MATCH(Methode_Keuze,Tb_KostenOpties[#Headers],0),2))=1,_xlfn.SWITCH($H83,"Uurtarief",IF(OR(AND(RIGHT($F83,3)="IKS",VLOOKUP($I83,Loonkosten,2,0)="Ja"),AND(RIGHT($F83,3)&lt;&gt;"IKS",VLOOKUP($I83,Loonkosten,2,0)="Nee")), VLOOKUP($I83,Loonkosten,MATCH("Opgegeven uurtarief",'4. Rekenhulp loonkosten aanvr.'!$4:$4,0)),0),"Vast tarief",IF(LEFT(F83,8)="Bijdrage",VLOOKUP($F83,Tb_KostenTypen[],MATCH(Lijsten!$P$1,Tb_KostenTypen[#Headers],0),0),VLOOKUP($G83,Lijsten!L:P,MATCH(Lijsten!$P$1,Kop_Tarief_Vast,0),0))),""),"")</f>
        <v/>
      </c>
      <c r="K83" s="312" t="str" cm="1">
        <f t="array" ref="K83">_xlfn.IFNA(IF(INDEX(Tb_KostenOpties[],MATCH($F83,Tb_KostenOpties[KostenOptie],0),IFERROR(MATCH(Methode_Keuze,Tb_KostenOpties[#Headers],0),2))=1,_xlfn.SWITCH($H83,"Uurtarief",IF(OR(AND(RIGHT($F83,3)="IKS",VLOOKUP($I83,Loonkosten,2,0)="Ja"),AND(RIGHT($F83,3)&lt;&gt;"IKS",VLOOKUP($I83,Loonkosten,2,0)="Nee")), VLOOKUP($I83,Loonkosten,MATCH("Beoordeeld uurtarief",'4. Rekenhulp loonkosten aanvr.'!$4:$4,0),0),0),"Vast tarief",IF(LEFT(F83,8)="Bijdrage",VLOOKUP($F83,Tb_KostenTypen[],MATCH(Lijsten!$P$1,Tb_KostenTypen[#Headers],0),0),VLOOKUP($G83,Lijsten!L:P,MATCH(Lijsten!$P$1,Kop_Tarief_Vast,0),0))),""),"")</f>
        <v/>
      </c>
      <c r="L83" s="358"/>
      <c r="M83" s="358"/>
      <c r="N83" s="313"/>
      <c r="O83" s="313"/>
      <c r="P83" s="374" t="str">
        <f t="shared" si="5"/>
        <v/>
      </c>
      <c r="Q83" s="314" t="str">
        <f t="shared" si="6"/>
        <v/>
      </c>
      <c r="R83" s="314" t="str" cm="1">
        <f t="array" aca="1" ref="R83" ca="1">_xlfn.IFNA(_xlfn.IFS(X83="Dit kostentype hoeft u niet op te geven. Hiervoor wordt een forfait berekend.","",AND(J83&lt;&gt;"",H83="Vast tarief",F83="Vergoeding"),SUM(J83)*FLOOR(SUM(L83),0.0001),AND(J83&lt;&gt;"",OR(H83="Uurtarief",H83="Vast tarief")),SUM(J83)*FLOOR(SUM(L83),0.01),AND(N83&lt;&gt;"",H83="-"),FLOOR(SUM(N83),0.01)),"")</f>
        <v/>
      </c>
      <c r="S83" s="314" t="str" cm="1">
        <f t="array" aca="1" ref="S83" ca="1">_xlfn.IFNA(_xlfn.IFS(X83="Dit kostentype hoeft u niet op te geven. Hiervoor wordt een forfait berekend.","",AND(K83&lt;&gt;"",M83&lt;&gt;"",H83="Vast tarief",F83="Vergoeding"),SUM(K83)*FLOOR(SUM(M83),0.0001),AND(K83&lt;&gt;"",M83&lt;&gt;"",OR(H83="Uurtarief",H83="Vast tarief")),SUM(K83)*FLOOR(SUM(M83),0.01),AND(O83&lt;&gt;"",H83="-"),FLOOR(SUM(O83),0.01)),"")</f>
        <v/>
      </c>
      <c r="T83" s="314" t="str">
        <f t="shared" ca="1" si="7"/>
        <v/>
      </c>
      <c r="U83" s="314" t="str" cm="1">
        <f t="array" aca="1" ref="U83" ca="1">IFERROR(_xlfn.IFS(OR(F83="",LEFT(Methode_Keuze,4)="Geen",Methode_Keuze=""),"",AND(R83&lt;&gt;"",F83&lt;&gt;"Arbeidskosten"),R83*VLOOKUP(F83,Tb_ProjectKosten[],MATCH(Tb_ProjectKosten[[#Headers],[Forfait_Percentage]],Tb_ProjectKosten[#Headers],0),0),AND(F83="Arbeidskosten",G83&lt;&gt;""),IFERROR(R83*VLOOKUP(G83,Tb_KostenTypen[],3,0)*VLOOKUP(F83,Tb_ProjectKosten[],MATCH(Tb_ProjectKosten[[#Headers],[Forfait_Percentage]],Tb_ProjectKosten[#Headers],0),0),""),R83 &lt;=0,0),"")</f>
        <v/>
      </c>
      <c r="V83" s="314" t="str" cm="1">
        <f t="array" aca="1" ref="V83" ca="1">IFERROR(_xlfn.IFS(OR(F83="",LEFT(Methode_Keuze,4)="Geen",Methode_Keuze=""),"",AND(S83&lt;&gt;"",F83&lt;&gt;"Arbeidskosten"),S83*VLOOKUP(F83,Tb_ProjectKosten[],MATCH(Tb_ProjectKosten[[#Headers],[Forfait_Percentage]],Tb_ProjectKosten[#Headers],0),0),AND(F83="Arbeidskosten",G83&lt;&gt;""),IFERROR(S83*VLOOKUP(G83,Tb_KostenTypen[],3,0)*VLOOKUP(F83,Tb_ProjectKosten[],MATCH(Tb_ProjectKosten[[#Headers],[Forfait_Percentage]],Tb_ProjectKosten[#Headers],0),0),""),S83 &lt;=0,0),"")</f>
        <v/>
      </c>
      <c r="W83" s="314" t="str">
        <f t="shared" ca="1" si="8"/>
        <v/>
      </c>
      <c r="X83" s="376" t="str">
        <f>IFERROR(VLOOKUP(F83,Tb_ProjectKosten[#All],11,0),"")</f>
        <v/>
      </c>
      <c r="Y83" s="315"/>
    </row>
    <row r="84" spans="1:25" x14ac:dyDescent="0.25">
      <c r="A84" s="309">
        <f>MAX($A$5:A83)+1</f>
        <v>79</v>
      </c>
      <c r="B84" s="296"/>
      <c r="C84" s="296"/>
      <c r="D84" s="296"/>
      <c r="E84" s="296"/>
      <c r="F84" s="296"/>
      <c r="G84" s="327"/>
      <c r="H84" s="310" t="str">
        <f ca="1">IFERROR(IF(VLOOKUP(F84,Kostentypen!$A$3:$E$21,3,0)=0,"",IF(OR(F84="Arbeidskosten",F84="Vergoeding"),VLOOKUP(G84,Tb_KostenTypen[],2,0),VLOOKUP(F84,Kostentypen!$A$3:$E$20,3,0))),"")</f>
        <v/>
      </c>
      <c r="I84" s="311"/>
      <c r="J84" s="312" t="str" cm="1">
        <f t="array" ref="J84">_xlfn.IFNA(IF(INDEX(Tb_KostenOpties[],MATCH($F84,Tb_KostenOpties[KostenOptie],0),IFERROR(MATCH(Methode_Keuze,Tb_KostenOpties[#Headers],0),2))=1,_xlfn.SWITCH($H84,"Uurtarief",IF(OR(AND(RIGHT($F84,3)="IKS",VLOOKUP($I84,Loonkosten,2,0)="Ja"),AND(RIGHT($F84,3)&lt;&gt;"IKS",VLOOKUP($I84,Loonkosten,2,0)="Nee")), VLOOKUP($I84,Loonkosten,MATCH("Opgegeven uurtarief",'4. Rekenhulp loonkosten aanvr.'!$4:$4,0)),0),"Vast tarief",IF(LEFT(F84,8)="Bijdrage",VLOOKUP($F84,Tb_KostenTypen[],MATCH(Lijsten!$P$1,Tb_KostenTypen[#Headers],0),0),VLOOKUP($G84,Lijsten!L:P,MATCH(Lijsten!$P$1,Kop_Tarief_Vast,0),0))),""),"")</f>
        <v/>
      </c>
      <c r="K84" s="312" t="str" cm="1">
        <f t="array" ref="K84">_xlfn.IFNA(IF(INDEX(Tb_KostenOpties[],MATCH($F84,Tb_KostenOpties[KostenOptie],0),IFERROR(MATCH(Methode_Keuze,Tb_KostenOpties[#Headers],0),2))=1,_xlfn.SWITCH($H84,"Uurtarief",IF(OR(AND(RIGHT($F84,3)="IKS",VLOOKUP($I84,Loonkosten,2,0)="Ja"),AND(RIGHT($F84,3)&lt;&gt;"IKS",VLOOKUP($I84,Loonkosten,2,0)="Nee")), VLOOKUP($I84,Loonkosten,MATCH("Beoordeeld uurtarief",'4. Rekenhulp loonkosten aanvr.'!$4:$4,0),0),0),"Vast tarief",IF(LEFT(F84,8)="Bijdrage",VLOOKUP($F84,Tb_KostenTypen[],MATCH(Lijsten!$P$1,Tb_KostenTypen[#Headers],0),0),VLOOKUP($G84,Lijsten!L:P,MATCH(Lijsten!$P$1,Kop_Tarief_Vast,0),0))),""),"")</f>
        <v/>
      </c>
      <c r="L84" s="358"/>
      <c r="M84" s="358"/>
      <c r="N84" s="313"/>
      <c r="O84" s="313"/>
      <c r="P84" s="374" t="str">
        <f t="shared" si="5"/>
        <v/>
      </c>
      <c r="Q84" s="314" t="str">
        <f t="shared" si="6"/>
        <v/>
      </c>
      <c r="R84" s="314" t="str" cm="1">
        <f t="array" aca="1" ref="R84" ca="1">_xlfn.IFNA(_xlfn.IFS(X84="Dit kostentype hoeft u niet op te geven. Hiervoor wordt een forfait berekend.","",AND(J84&lt;&gt;"",H84="Vast tarief",F84="Vergoeding"),SUM(J84)*FLOOR(SUM(L84),0.0001),AND(J84&lt;&gt;"",OR(H84="Uurtarief",H84="Vast tarief")),SUM(J84)*FLOOR(SUM(L84),0.01),AND(N84&lt;&gt;"",H84="-"),FLOOR(SUM(N84),0.01)),"")</f>
        <v/>
      </c>
      <c r="S84" s="314" t="str" cm="1">
        <f t="array" aca="1" ref="S84" ca="1">_xlfn.IFNA(_xlfn.IFS(X84="Dit kostentype hoeft u niet op te geven. Hiervoor wordt een forfait berekend.","",AND(K84&lt;&gt;"",M84&lt;&gt;"",H84="Vast tarief",F84="Vergoeding"),SUM(K84)*FLOOR(SUM(M84),0.0001),AND(K84&lt;&gt;"",M84&lt;&gt;"",OR(H84="Uurtarief",H84="Vast tarief")),SUM(K84)*FLOOR(SUM(M84),0.01),AND(O84&lt;&gt;"",H84="-"),FLOOR(SUM(O84),0.01)),"")</f>
        <v/>
      </c>
      <c r="T84" s="314" t="str">
        <f t="shared" ca="1" si="7"/>
        <v/>
      </c>
      <c r="U84" s="314" t="str" cm="1">
        <f t="array" aca="1" ref="U84" ca="1">IFERROR(_xlfn.IFS(OR(F84="",LEFT(Methode_Keuze,4)="Geen",Methode_Keuze=""),"",AND(R84&lt;&gt;"",F84&lt;&gt;"Arbeidskosten"),R84*VLOOKUP(F84,Tb_ProjectKosten[],MATCH(Tb_ProjectKosten[[#Headers],[Forfait_Percentage]],Tb_ProjectKosten[#Headers],0),0),AND(F84="Arbeidskosten",G84&lt;&gt;""),IFERROR(R84*VLOOKUP(G84,Tb_KostenTypen[],3,0)*VLOOKUP(F84,Tb_ProjectKosten[],MATCH(Tb_ProjectKosten[[#Headers],[Forfait_Percentage]],Tb_ProjectKosten[#Headers],0),0),""),R84 &lt;=0,0),"")</f>
        <v/>
      </c>
      <c r="V84" s="314" t="str" cm="1">
        <f t="array" aca="1" ref="V84" ca="1">IFERROR(_xlfn.IFS(OR(F84="",LEFT(Methode_Keuze,4)="Geen",Methode_Keuze=""),"",AND(S84&lt;&gt;"",F84&lt;&gt;"Arbeidskosten"),S84*VLOOKUP(F84,Tb_ProjectKosten[],MATCH(Tb_ProjectKosten[[#Headers],[Forfait_Percentage]],Tb_ProjectKosten[#Headers],0),0),AND(F84="Arbeidskosten",G84&lt;&gt;""),IFERROR(S84*VLOOKUP(G84,Tb_KostenTypen[],3,0)*VLOOKUP(F84,Tb_ProjectKosten[],MATCH(Tb_ProjectKosten[[#Headers],[Forfait_Percentage]],Tb_ProjectKosten[#Headers],0),0),""),S84 &lt;=0,0),"")</f>
        <v/>
      </c>
      <c r="W84" s="314" t="str">
        <f t="shared" ca="1" si="8"/>
        <v/>
      </c>
      <c r="X84" s="376" t="str">
        <f>IFERROR(VLOOKUP(F84,Tb_ProjectKosten[#All],11,0),"")</f>
        <v/>
      </c>
      <c r="Y84" s="315"/>
    </row>
    <row r="85" spans="1:25" x14ac:dyDescent="0.25">
      <c r="A85" s="309">
        <f>MAX($A$5:A84)+1</f>
        <v>80</v>
      </c>
      <c r="B85" s="296"/>
      <c r="C85" s="296"/>
      <c r="D85" s="296"/>
      <c r="E85" s="296"/>
      <c r="F85" s="296"/>
      <c r="G85" s="327"/>
      <c r="H85" s="310" t="str">
        <f ca="1">IFERROR(IF(VLOOKUP(F85,Kostentypen!$A$3:$E$21,3,0)=0,"",IF(OR(F85="Arbeidskosten",F85="Vergoeding"),VLOOKUP(G85,Tb_KostenTypen[],2,0),VLOOKUP(F85,Kostentypen!$A$3:$E$20,3,0))),"")</f>
        <v/>
      </c>
      <c r="I85" s="311"/>
      <c r="J85" s="312" t="str" cm="1">
        <f t="array" ref="J85">_xlfn.IFNA(IF(INDEX(Tb_KostenOpties[],MATCH($F85,Tb_KostenOpties[KostenOptie],0),IFERROR(MATCH(Methode_Keuze,Tb_KostenOpties[#Headers],0),2))=1,_xlfn.SWITCH($H85,"Uurtarief",IF(OR(AND(RIGHT($F85,3)="IKS",VLOOKUP($I85,Loonkosten,2,0)="Ja"),AND(RIGHT($F85,3)&lt;&gt;"IKS",VLOOKUP($I85,Loonkosten,2,0)="Nee")), VLOOKUP($I85,Loonkosten,MATCH("Opgegeven uurtarief",'4. Rekenhulp loonkosten aanvr.'!$4:$4,0)),0),"Vast tarief",IF(LEFT(F85,8)="Bijdrage",VLOOKUP($F85,Tb_KostenTypen[],MATCH(Lijsten!$P$1,Tb_KostenTypen[#Headers],0),0),VLOOKUP($G85,Lijsten!L:P,MATCH(Lijsten!$P$1,Kop_Tarief_Vast,0),0))),""),"")</f>
        <v/>
      </c>
      <c r="K85" s="312" t="str" cm="1">
        <f t="array" ref="K85">_xlfn.IFNA(IF(INDEX(Tb_KostenOpties[],MATCH($F85,Tb_KostenOpties[KostenOptie],0),IFERROR(MATCH(Methode_Keuze,Tb_KostenOpties[#Headers],0),2))=1,_xlfn.SWITCH($H85,"Uurtarief",IF(OR(AND(RIGHT($F85,3)="IKS",VLOOKUP($I85,Loonkosten,2,0)="Ja"),AND(RIGHT($F85,3)&lt;&gt;"IKS",VLOOKUP($I85,Loonkosten,2,0)="Nee")), VLOOKUP($I85,Loonkosten,MATCH("Beoordeeld uurtarief",'4. Rekenhulp loonkosten aanvr.'!$4:$4,0),0),0),"Vast tarief",IF(LEFT(F85,8)="Bijdrage",VLOOKUP($F85,Tb_KostenTypen[],MATCH(Lijsten!$P$1,Tb_KostenTypen[#Headers],0),0),VLOOKUP($G85,Lijsten!L:P,MATCH(Lijsten!$P$1,Kop_Tarief_Vast,0),0))),""),"")</f>
        <v/>
      </c>
      <c r="L85" s="358"/>
      <c r="M85" s="358"/>
      <c r="N85" s="313"/>
      <c r="O85" s="313"/>
      <c r="P85" s="374" t="str">
        <f t="shared" si="5"/>
        <v/>
      </c>
      <c r="Q85" s="314" t="str">
        <f t="shared" si="6"/>
        <v/>
      </c>
      <c r="R85" s="314" t="str" cm="1">
        <f t="array" aca="1" ref="R85" ca="1">_xlfn.IFNA(_xlfn.IFS(X85="Dit kostentype hoeft u niet op te geven. Hiervoor wordt een forfait berekend.","",AND(J85&lt;&gt;"",H85="Vast tarief",F85="Vergoeding"),SUM(J85)*FLOOR(SUM(L85),0.0001),AND(J85&lt;&gt;"",OR(H85="Uurtarief",H85="Vast tarief")),SUM(J85)*FLOOR(SUM(L85),0.01),AND(N85&lt;&gt;"",H85="-"),FLOOR(SUM(N85),0.01)),"")</f>
        <v/>
      </c>
      <c r="S85" s="314" t="str" cm="1">
        <f t="array" aca="1" ref="S85" ca="1">_xlfn.IFNA(_xlfn.IFS(X85="Dit kostentype hoeft u niet op te geven. Hiervoor wordt een forfait berekend.","",AND(K85&lt;&gt;"",M85&lt;&gt;"",H85="Vast tarief",F85="Vergoeding"),SUM(K85)*FLOOR(SUM(M85),0.0001),AND(K85&lt;&gt;"",M85&lt;&gt;"",OR(H85="Uurtarief",H85="Vast tarief")),SUM(K85)*FLOOR(SUM(M85),0.01),AND(O85&lt;&gt;"",H85="-"),FLOOR(SUM(O85),0.01)),"")</f>
        <v/>
      </c>
      <c r="T85" s="314" t="str">
        <f t="shared" ca="1" si="7"/>
        <v/>
      </c>
      <c r="U85" s="314" t="str" cm="1">
        <f t="array" aca="1" ref="U85" ca="1">IFERROR(_xlfn.IFS(OR(F85="",LEFT(Methode_Keuze,4)="Geen",Methode_Keuze=""),"",AND(R85&lt;&gt;"",F85&lt;&gt;"Arbeidskosten"),R85*VLOOKUP(F85,Tb_ProjectKosten[],MATCH(Tb_ProjectKosten[[#Headers],[Forfait_Percentage]],Tb_ProjectKosten[#Headers],0),0),AND(F85="Arbeidskosten",G85&lt;&gt;""),IFERROR(R85*VLOOKUP(G85,Tb_KostenTypen[],3,0)*VLOOKUP(F85,Tb_ProjectKosten[],MATCH(Tb_ProjectKosten[[#Headers],[Forfait_Percentage]],Tb_ProjectKosten[#Headers],0),0),""),R85 &lt;=0,0),"")</f>
        <v/>
      </c>
      <c r="V85" s="314" t="str" cm="1">
        <f t="array" aca="1" ref="V85" ca="1">IFERROR(_xlfn.IFS(OR(F85="",LEFT(Methode_Keuze,4)="Geen",Methode_Keuze=""),"",AND(S85&lt;&gt;"",F85&lt;&gt;"Arbeidskosten"),S85*VLOOKUP(F85,Tb_ProjectKosten[],MATCH(Tb_ProjectKosten[[#Headers],[Forfait_Percentage]],Tb_ProjectKosten[#Headers],0),0),AND(F85="Arbeidskosten",G85&lt;&gt;""),IFERROR(S85*VLOOKUP(G85,Tb_KostenTypen[],3,0)*VLOOKUP(F85,Tb_ProjectKosten[],MATCH(Tb_ProjectKosten[[#Headers],[Forfait_Percentage]],Tb_ProjectKosten[#Headers],0),0),""),S85 &lt;=0,0),"")</f>
        <v/>
      </c>
      <c r="W85" s="314" t="str">
        <f t="shared" ca="1" si="8"/>
        <v/>
      </c>
      <c r="X85" s="376" t="str">
        <f>IFERROR(VLOOKUP(F85,Tb_ProjectKosten[#All],11,0),"")</f>
        <v/>
      </c>
      <c r="Y85" s="315"/>
    </row>
    <row r="86" spans="1:25" x14ac:dyDescent="0.25">
      <c r="A86" s="309">
        <f>MAX($A$5:A85)+1</f>
        <v>81</v>
      </c>
      <c r="B86" s="296"/>
      <c r="C86" s="296"/>
      <c r="D86" s="296"/>
      <c r="E86" s="296"/>
      <c r="F86" s="296"/>
      <c r="G86" s="327"/>
      <c r="H86" s="310" t="str">
        <f ca="1">IFERROR(IF(VLOOKUP(F86,Kostentypen!$A$3:$E$21,3,0)=0,"",IF(OR(F86="Arbeidskosten",F86="Vergoeding"),VLOOKUP(G86,Tb_KostenTypen[],2,0),VLOOKUP(F86,Kostentypen!$A$3:$E$20,3,0))),"")</f>
        <v/>
      </c>
      <c r="I86" s="311"/>
      <c r="J86" s="312" t="str" cm="1">
        <f t="array" ref="J86">_xlfn.IFNA(IF(INDEX(Tb_KostenOpties[],MATCH($F86,Tb_KostenOpties[KostenOptie],0),IFERROR(MATCH(Methode_Keuze,Tb_KostenOpties[#Headers],0),2))=1,_xlfn.SWITCH($H86,"Uurtarief",IF(OR(AND(RIGHT($F86,3)="IKS",VLOOKUP($I86,Loonkosten,2,0)="Ja"),AND(RIGHT($F86,3)&lt;&gt;"IKS",VLOOKUP($I86,Loonkosten,2,0)="Nee")), VLOOKUP($I86,Loonkosten,MATCH("Opgegeven uurtarief",'4. Rekenhulp loonkosten aanvr.'!$4:$4,0)),0),"Vast tarief",IF(LEFT(F86,8)="Bijdrage",VLOOKUP($F86,Tb_KostenTypen[],MATCH(Lijsten!$P$1,Tb_KostenTypen[#Headers],0),0),VLOOKUP($G86,Lijsten!L:P,MATCH(Lijsten!$P$1,Kop_Tarief_Vast,0),0))),""),"")</f>
        <v/>
      </c>
      <c r="K86" s="312" t="str" cm="1">
        <f t="array" ref="K86">_xlfn.IFNA(IF(INDEX(Tb_KostenOpties[],MATCH($F86,Tb_KostenOpties[KostenOptie],0),IFERROR(MATCH(Methode_Keuze,Tb_KostenOpties[#Headers],0),2))=1,_xlfn.SWITCH($H86,"Uurtarief",IF(OR(AND(RIGHT($F86,3)="IKS",VLOOKUP($I86,Loonkosten,2,0)="Ja"),AND(RIGHT($F86,3)&lt;&gt;"IKS",VLOOKUP($I86,Loonkosten,2,0)="Nee")), VLOOKUP($I86,Loonkosten,MATCH("Beoordeeld uurtarief",'4. Rekenhulp loonkosten aanvr.'!$4:$4,0),0),0),"Vast tarief",IF(LEFT(F86,8)="Bijdrage",VLOOKUP($F86,Tb_KostenTypen[],MATCH(Lijsten!$P$1,Tb_KostenTypen[#Headers],0),0),VLOOKUP($G86,Lijsten!L:P,MATCH(Lijsten!$P$1,Kop_Tarief_Vast,0),0))),""),"")</f>
        <v/>
      </c>
      <c r="L86" s="358"/>
      <c r="M86" s="358"/>
      <c r="N86" s="313"/>
      <c r="O86" s="313"/>
      <c r="P86" s="374" t="str">
        <f t="shared" si="5"/>
        <v/>
      </c>
      <c r="Q86" s="314" t="str">
        <f t="shared" si="6"/>
        <v/>
      </c>
      <c r="R86" s="314" t="str" cm="1">
        <f t="array" aca="1" ref="R86" ca="1">_xlfn.IFNA(_xlfn.IFS(X86="Dit kostentype hoeft u niet op te geven. Hiervoor wordt een forfait berekend.","",AND(J86&lt;&gt;"",H86="Vast tarief",F86="Vergoeding"),SUM(J86)*FLOOR(SUM(L86),0.0001),AND(J86&lt;&gt;"",OR(H86="Uurtarief",H86="Vast tarief")),SUM(J86)*FLOOR(SUM(L86),0.01),AND(N86&lt;&gt;"",H86="-"),FLOOR(SUM(N86),0.01)),"")</f>
        <v/>
      </c>
      <c r="S86" s="314" t="str" cm="1">
        <f t="array" aca="1" ref="S86" ca="1">_xlfn.IFNA(_xlfn.IFS(X86="Dit kostentype hoeft u niet op te geven. Hiervoor wordt een forfait berekend.","",AND(K86&lt;&gt;"",M86&lt;&gt;"",H86="Vast tarief",F86="Vergoeding"),SUM(K86)*FLOOR(SUM(M86),0.0001),AND(K86&lt;&gt;"",M86&lt;&gt;"",OR(H86="Uurtarief",H86="Vast tarief")),SUM(K86)*FLOOR(SUM(M86),0.01),AND(O86&lt;&gt;"",H86="-"),FLOOR(SUM(O86),0.01)),"")</f>
        <v/>
      </c>
      <c r="T86" s="314" t="str">
        <f t="shared" ca="1" si="7"/>
        <v/>
      </c>
      <c r="U86" s="314" t="str" cm="1">
        <f t="array" aca="1" ref="U86" ca="1">IFERROR(_xlfn.IFS(OR(F86="",LEFT(Methode_Keuze,4)="Geen",Methode_Keuze=""),"",AND(R86&lt;&gt;"",F86&lt;&gt;"Arbeidskosten"),R86*VLOOKUP(F86,Tb_ProjectKosten[],MATCH(Tb_ProjectKosten[[#Headers],[Forfait_Percentage]],Tb_ProjectKosten[#Headers],0),0),AND(F86="Arbeidskosten",G86&lt;&gt;""),IFERROR(R86*VLOOKUP(G86,Tb_KostenTypen[],3,0)*VLOOKUP(F86,Tb_ProjectKosten[],MATCH(Tb_ProjectKosten[[#Headers],[Forfait_Percentage]],Tb_ProjectKosten[#Headers],0),0),""),R86 &lt;=0,0),"")</f>
        <v/>
      </c>
      <c r="V86" s="314" t="str" cm="1">
        <f t="array" aca="1" ref="V86" ca="1">IFERROR(_xlfn.IFS(OR(F86="",LEFT(Methode_Keuze,4)="Geen",Methode_Keuze=""),"",AND(S86&lt;&gt;"",F86&lt;&gt;"Arbeidskosten"),S86*VLOOKUP(F86,Tb_ProjectKosten[],MATCH(Tb_ProjectKosten[[#Headers],[Forfait_Percentage]],Tb_ProjectKosten[#Headers],0),0),AND(F86="Arbeidskosten",G86&lt;&gt;""),IFERROR(S86*VLOOKUP(G86,Tb_KostenTypen[],3,0)*VLOOKUP(F86,Tb_ProjectKosten[],MATCH(Tb_ProjectKosten[[#Headers],[Forfait_Percentage]],Tb_ProjectKosten[#Headers],0),0),""),S86 &lt;=0,0),"")</f>
        <v/>
      </c>
      <c r="W86" s="314" t="str">
        <f t="shared" ca="1" si="8"/>
        <v/>
      </c>
      <c r="X86" s="376" t="str">
        <f>IFERROR(VLOOKUP(F86,Tb_ProjectKosten[#All],11,0),"")</f>
        <v/>
      </c>
      <c r="Y86" s="315"/>
    </row>
    <row r="87" spans="1:25" x14ac:dyDescent="0.25">
      <c r="A87" s="309">
        <f>MAX($A$5:A86)+1</f>
        <v>82</v>
      </c>
      <c r="B87" s="296"/>
      <c r="C87" s="296"/>
      <c r="D87" s="296"/>
      <c r="E87" s="296"/>
      <c r="F87" s="296"/>
      <c r="G87" s="327"/>
      <c r="H87" s="310" t="str">
        <f ca="1">IFERROR(IF(VLOOKUP(F87,Kostentypen!$A$3:$E$21,3,0)=0,"",IF(OR(F87="Arbeidskosten",F87="Vergoeding"),VLOOKUP(G87,Tb_KostenTypen[],2,0),VLOOKUP(F87,Kostentypen!$A$3:$E$20,3,0))),"")</f>
        <v/>
      </c>
      <c r="I87" s="311"/>
      <c r="J87" s="312" t="str" cm="1">
        <f t="array" ref="J87">_xlfn.IFNA(IF(INDEX(Tb_KostenOpties[],MATCH($F87,Tb_KostenOpties[KostenOptie],0),IFERROR(MATCH(Methode_Keuze,Tb_KostenOpties[#Headers],0),2))=1,_xlfn.SWITCH($H87,"Uurtarief",IF(OR(AND(RIGHT($F87,3)="IKS",VLOOKUP($I87,Loonkosten,2,0)="Ja"),AND(RIGHT($F87,3)&lt;&gt;"IKS",VLOOKUP($I87,Loonkosten,2,0)="Nee")), VLOOKUP($I87,Loonkosten,MATCH("Opgegeven uurtarief",'4. Rekenhulp loonkosten aanvr.'!$4:$4,0)),0),"Vast tarief",IF(LEFT(F87,8)="Bijdrage",VLOOKUP($F87,Tb_KostenTypen[],MATCH(Lijsten!$P$1,Tb_KostenTypen[#Headers],0),0),VLOOKUP($G87,Lijsten!L:P,MATCH(Lijsten!$P$1,Kop_Tarief_Vast,0),0))),""),"")</f>
        <v/>
      </c>
      <c r="K87" s="312" t="str" cm="1">
        <f t="array" ref="K87">_xlfn.IFNA(IF(INDEX(Tb_KostenOpties[],MATCH($F87,Tb_KostenOpties[KostenOptie],0),IFERROR(MATCH(Methode_Keuze,Tb_KostenOpties[#Headers],0),2))=1,_xlfn.SWITCH($H87,"Uurtarief",IF(OR(AND(RIGHT($F87,3)="IKS",VLOOKUP($I87,Loonkosten,2,0)="Ja"),AND(RIGHT($F87,3)&lt;&gt;"IKS",VLOOKUP($I87,Loonkosten,2,0)="Nee")), VLOOKUP($I87,Loonkosten,MATCH("Beoordeeld uurtarief",'4. Rekenhulp loonkosten aanvr.'!$4:$4,0),0),0),"Vast tarief",IF(LEFT(F87,8)="Bijdrage",VLOOKUP($F87,Tb_KostenTypen[],MATCH(Lijsten!$P$1,Tb_KostenTypen[#Headers],0),0),VLOOKUP($G87,Lijsten!L:P,MATCH(Lijsten!$P$1,Kop_Tarief_Vast,0),0))),""),"")</f>
        <v/>
      </c>
      <c r="L87" s="358"/>
      <c r="M87" s="358"/>
      <c r="N87" s="313"/>
      <c r="O87" s="313"/>
      <c r="P87" s="374" t="str">
        <f t="shared" si="5"/>
        <v/>
      </c>
      <c r="Q87" s="314" t="str">
        <f t="shared" si="6"/>
        <v/>
      </c>
      <c r="R87" s="314" t="str" cm="1">
        <f t="array" aca="1" ref="R87" ca="1">_xlfn.IFNA(_xlfn.IFS(X87="Dit kostentype hoeft u niet op te geven. Hiervoor wordt een forfait berekend.","",AND(J87&lt;&gt;"",H87="Vast tarief",F87="Vergoeding"),SUM(J87)*FLOOR(SUM(L87),0.0001),AND(J87&lt;&gt;"",OR(H87="Uurtarief",H87="Vast tarief")),SUM(J87)*FLOOR(SUM(L87),0.01),AND(N87&lt;&gt;"",H87="-"),FLOOR(SUM(N87),0.01)),"")</f>
        <v/>
      </c>
      <c r="S87" s="314" t="str" cm="1">
        <f t="array" aca="1" ref="S87" ca="1">_xlfn.IFNA(_xlfn.IFS(X87="Dit kostentype hoeft u niet op te geven. Hiervoor wordt een forfait berekend.","",AND(K87&lt;&gt;"",M87&lt;&gt;"",H87="Vast tarief",F87="Vergoeding"),SUM(K87)*FLOOR(SUM(M87),0.0001),AND(K87&lt;&gt;"",M87&lt;&gt;"",OR(H87="Uurtarief",H87="Vast tarief")),SUM(K87)*FLOOR(SUM(M87),0.01),AND(O87&lt;&gt;"",H87="-"),FLOOR(SUM(O87),0.01)),"")</f>
        <v/>
      </c>
      <c r="T87" s="314" t="str">
        <f t="shared" ca="1" si="7"/>
        <v/>
      </c>
      <c r="U87" s="314" t="str" cm="1">
        <f t="array" aca="1" ref="U87" ca="1">IFERROR(_xlfn.IFS(OR(F87="",LEFT(Methode_Keuze,4)="Geen",Methode_Keuze=""),"",AND(R87&lt;&gt;"",F87&lt;&gt;"Arbeidskosten"),R87*VLOOKUP(F87,Tb_ProjectKosten[],MATCH(Tb_ProjectKosten[[#Headers],[Forfait_Percentage]],Tb_ProjectKosten[#Headers],0),0),AND(F87="Arbeidskosten",G87&lt;&gt;""),IFERROR(R87*VLOOKUP(G87,Tb_KostenTypen[],3,0)*VLOOKUP(F87,Tb_ProjectKosten[],MATCH(Tb_ProjectKosten[[#Headers],[Forfait_Percentage]],Tb_ProjectKosten[#Headers],0),0),""),R87 &lt;=0,0),"")</f>
        <v/>
      </c>
      <c r="V87" s="314" t="str" cm="1">
        <f t="array" aca="1" ref="V87" ca="1">IFERROR(_xlfn.IFS(OR(F87="",LEFT(Methode_Keuze,4)="Geen",Methode_Keuze=""),"",AND(S87&lt;&gt;"",F87&lt;&gt;"Arbeidskosten"),S87*VLOOKUP(F87,Tb_ProjectKosten[],MATCH(Tb_ProjectKosten[[#Headers],[Forfait_Percentage]],Tb_ProjectKosten[#Headers],0),0),AND(F87="Arbeidskosten",G87&lt;&gt;""),IFERROR(S87*VLOOKUP(G87,Tb_KostenTypen[],3,0)*VLOOKUP(F87,Tb_ProjectKosten[],MATCH(Tb_ProjectKosten[[#Headers],[Forfait_Percentage]],Tb_ProjectKosten[#Headers],0),0),""),S87 &lt;=0,0),"")</f>
        <v/>
      </c>
      <c r="W87" s="314" t="str">
        <f t="shared" ca="1" si="8"/>
        <v/>
      </c>
      <c r="X87" s="376" t="str">
        <f>IFERROR(VLOOKUP(F87,Tb_ProjectKosten[#All],11,0),"")</f>
        <v/>
      </c>
      <c r="Y87" s="315"/>
    </row>
    <row r="88" spans="1:25" x14ac:dyDescent="0.25">
      <c r="A88" s="309">
        <f>MAX($A$5:A87)+1</f>
        <v>83</v>
      </c>
      <c r="B88" s="296"/>
      <c r="C88" s="296"/>
      <c r="D88" s="296"/>
      <c r="E88" s="296"/>
      <c r="F88" s="296"/>
      <c r="G88" s="327"/>
      <c r="H88" s="310" t="str">
        <f ca="1">IFERROR(IF(VLOOKUP(F88,Kostentypen!$A$3:$E$21,3,0)=0,"",IF(OR(F88="Arbeidskosten",F88="Vergoeding"),VLOOKUP(G88,Tb_KostenTypen[],2,0),VLOOKUP(F88,Kostentypen!$A$3:$E$20,3,0))),"")</f>
        <v/>
      </c>
      <c r="I88" s="311"/>
      <c r="J88" s="312" t="str" cm="1">
        <f t="array" ref="J88">_xlfn.IFNA(IF(INDEX(Tb_KostenOpties[],MATCH($F88,Tb_KostenOpties[KostenOptie],0),IFERROR(MATCH(Methode_Keuze,Tb_KostenOpties[#Headers],0),2))=1,_xlfn.SWITCH($H88,"Uurtarief",IF(OR(AND(RIGHT($F88,3)="IKS",VLOOKUP($I88,Loonkosten,2,0)="Ja"),AND(RIGHT($F88,3)&lt;&gt;"IKS",VLOOKUP($I88,Loonkosten,2,0)="Nee")), VLOOKUP($I88,Loonkosten,MATCH("Opgegeven uurtarief",'4. Rekenhulp loonkosten aanvr.'!$4:$4,0)),0),"Vast tarief",IF(LEFT(F88,8)="Bijdrage",VLOOKUP($F88,Tb_KostenTypen[],MATCH(Lijsten!$P$1,Tb_KostenTypen[#Headers],0),0),VLOOKUP($G88,Lijsten!L:P,MATCH(Lijsten!$P$1,Kop_Tarief_Vast,0),0))),""),"")</f>
        <v/>
      </c>
      <c r="K88" s="312" t="str" cm="1">
        <f t="array" ref="K88">_xlfn.IFNA(IF(INDEX(Tb_KostenOpties[],MATCH($F88,Tb_KostenOpties[KostenOptie],0),IFERROR(MATCH(Methode_Keuze,Tb_KostenOpties[#Headers],0),2))=1,_xlfn.SWITCH($H88,"Uurtarief",IF(OR(AND(RIGHT($F88,3)="IKS",VLOOKUP($I88,Loonkosten,2,0)="Ja"),AND(RIGHT($F88,3)&lt;&gt;"IKS",VLOOKUP($I88,Loonkosten,2,0)="Nee")), VLOOKUP($I88,Loonkosten,MATCH("Beoordeeld uurtarief",'4. Rekenhulp loonkosten aanvr.'!$4:$4,0),0),0),"Vast tarief",IF(LEFT(F88,8)="Bijdrage",VLOOKUP($F88,Tb_KostenTypen[],MATCH(Lijsten!$P$1,Tb_KostenTypen[#Headers],0),0),VLOOKUP($G88,Lijsten!L:P,MATCH(Lijsten!$P$1,Kop_Tarief_Vast,0),0))),""),"")</f>
        <v/>
      </c>
      <c r="L88" s="358"/>
      <c r="M88" s="358"/>
      <c r="N88" s="313"/>
      <c r="O88" s="313"/>
      <c r="P88" s="374" t="str">
        <f t="shared" si="5"/>
        <v/>
      </c>
      <c r="Q88" s="314" t="str">
        <f t="shared" si="6"/>
        <v/>
      </c>
      <c r="R88" s="314" t="str" cm="1">
        <f t="array" aca="1" ref="R88" ca="1">_xlfn.IFNA(_xlfn.IFS(X88="Dit kostentype hoeft u niet op te geven. Hiervoor wordt een forfait berekend.","",AND(J88&lt;&gt;"",H88="Vast tarief",F88="Vergoeding"),SUM(J88)*FLOOR(SUM(L88),0.0001),AND(J88&lt;&gt;"",OR(H88="Uurtarief",H88="Vast tarief")),SUM(J88)*FLOOR(SUM(L88),0.01),AND(N88&lt;&gt;"",H88="-"),FLOOR(SUM(N88),0.01)),"")</f>
        <v/>
      </c>
      <c r="S88" s="314" t="str" cm="1">
        <f t="array" aca="1" ref="S88" ca="1">_xlfn.IFNA(_xlfn.IFS(X88="Dit kostentype hoeft u niet op te geven. Hiervoor wordt een forfait berekend.","",AND(K88&lt;&gt;"",M88&lt;&gt;"",H88="Vast tarief",F88="Vergoeding"),SUM(K88)*FLOOR(SUM(M88),0.0001),AND(K88&lt;&gt;"",M88&lt;&gt;"",OR(H88="Uurtarief",H88="Vast tarief")),SUM(K88)*FLOOR(SUM(M88),0.01),AND(O88&lt;&gt;"",H88="-"),FLOOR(SUM(O88),0.01)),"")</f>
        <v/>
      </c>
      <c r="T88" s="314" t="str">
        <f t="shared" ca="1" si="7"/>
        <v/>
      </c>
      <c r="U88" s="314" t="str" cm="1">
        <f t="array" aca="1" ref="U88" ca="1">IFERROR(_xlfn.IFS(OR(F88="",LEFT(Methode_Keuze,4)="Geen",Methode_Keuze=""),"",AND(R88&lt;&gt;"",F88&lt;&gt;"Arbeidskosten"),R88*VLOOKUP(F88,Tb_ProjectKosten[],MATCH(Tb_ProjectKosten[[#Headers],[Forfait_Percentage]],Tb_ProjectKosten[#Headers],0),0),AND(F88="Arbeidskosten",G88&lt;&gt;""),IFERROR(R88*VLOOKUP(G88,Tb_KostenTypen[],3,0)*VLOOKUP(F88,Tb_ProjectKosten[],MATCH(Tb_ProjectKosten[[#Headers],[Forfait_Percentage]],Tb_ProjectKosten[#Headers],0),0),""),R88 &lt;=0,0),"")</f>
        <v/>
      </c>
      <c r="V88" s="314" t="str" cm="1">
        <f t="array" aca="1" ref="V88" ca="1">IFERROR(_xlfn.IFS(OR(F88="",LEFT(Methode_Keuze,4)="Geen",Methode_Keuze=""),"",AND(S88&lt;&gt;"",F88&lt;&gt;"Arbeidskosten"),S88*VLOOKUP(F88,Tb_ProjectKosten[],MATCH(Tb_ProjectKosten[[#Headers],[Forfait_Percentage]],Tb_ProjectKosten[#Headers],0),0),AND(F88="Arbeidskosten",G88&lt;&gt;""),IFERROR(S88*VLOOKUP(G88,Tb_KostenTypen[],3,0)*VLOOKUP(F88,Tb_ProjectKosten[],MATCH(Tb_ProjectKosten[[#Headers],[Forfait_Percentage]],Tb_ProjectKosten[#Headers],0),0),""),S88 &lt;=0,0),"")</f>
        <v/>
      </c>
      <c r="W88" s="314" t="str">
        <f t="shared" ca="1" si="8"/>
        <v/>
      </c>
      <c r="X88" s="376" t="str">
        <f>IFERROR(VLOOKUP(F88,Tb_ProjectKosten[#All],11,0),"")</f>
        <v/>
      </c>
      <c r="Y88" s="315"/>
    </row>
    <row r="89" spans="1:25" x14ac:dyDescent="0.25">
      <c r="A89" s="309">
        <f>MAX($A$5:A88)+1</f>
        <v>84</v>
      </c>
      <c r="B89" s="296"/>
      <c r="C89" s="296"/>
      <c r="D89" s="296"/>
      <c r="E89" s="296"/>
      <c r="F89" s="296"/>
      <c r="G89" s="327"/>
      <c r="H89" s="310" t="str">
        <f ca="1">IFERROR(IF(VLOOKUP(F89,Kostentypen!$A$3:$E$21,3,0)=0,"",IF(OR(F89="Arbeidskosten",F89="Vergoeding"),VLOOKUP(G89,Tb_KostenTypen[],2,0),VLOOKUP(F89,Kostentypen!$A$3:$E$20,3,0))),"")</f>
        <v/>
      </c>
      <c r="I89" s="311"/>
      <c r="J89" s="312" t="str" cm="1">
        <f t="array" ref="J89">_xlfn.IFNA(IF(INDEX(Tb_KostenOpties[],MATCH($F89,Tb_KostenOpties[KostenOptie],0),IFERROR(MATCH(Methode_Keuze,Tb_KostenOpties[#Headers],0),2))=1,_xlfn.SWITCH($H89,"Uurtarief",IF(OR(AND(RIGHT($F89,3)="IKS",VLOOKUP($I89,Loonkosten,2,0)="Ja"),AND(RIGHT($F89,3)&lt;&gt;"IKS",VLOOKUP($I89,Loonkosten,2,0)="Nee")), VLOOKUP($I89,Loonkosten,MATCH("Opgegeven uurtarief",'4. Rekenhulp loonkosten aanvr.'!$4:$4,0)),0),"Vast tarief",IF(LEFT(F89,8)="Bijdrage",VLOOKUP($F89,Tb_KostenTypen[],MATCH(Lijsten!$P$1,Tb_KostenTypen[#Headers],0),0),VLOOKUP($G89,Lijsten!L:P,MATCH(Lijsten!$P$1,Kop_Tarief_Vast,0),0))),""),"")</f>
        <v/>
      </c>
      <c r="K89" s="312" t="str" cm="1">
        <f t="array" ref="K89">_xlfn.IFNA(IF(INDEX(Tb_KostenOpties[],MATCH($F89,Tb_KostenOpties[KostenOptie],0),IFERROR(MATCH(Methode_Keuze,Tb_KostenOpties[#Headers],0),2))=1,_xlfn.SWITCH($H89,"Uurtarief",IF(OR(AND(RIGHT($F89,3)="IKS",VLOOKUP($I89,Loonkosten,2,0)="Ja"),AND(RIGHT($F89,3)&lt;&gt;"IKS",VLOOKUP($I89,Loonkosten,2,0)="Nee")), VLOOKUP($I89,Loonkosten,MATCH("Beoordeeld uurtarief",'4. Rekenhulp loonkosten aanvr.'!$4:$4,0),0),0),"Vast tarief",IF(LEFT(F89,8)="Bijdrage",VLOOKUP($F89,Tb_KostenTypen[],MATCH(Lijsten!$P$1,Tb_KostenTypen[#Headers],0),0),VLOOKUP($G89,Lijsten!L:P,MATCH(Lijsten!$P$1,Kop_Tarief_Vast,0),0))),""),"")</f>
        <v/>
      </c>
      <c r="L89" s="358"/>
      <c r="M89" s="358"/>
      <c r="N89" s="313"/>
      <c r="O89" s="313"/>
      <c r="P89" s="374" t="str">
        <f t="shared" si="5"/>
        <v/>
      </c>
      <c r="Q89" s="314" t="str">
        <f t="shared" si="6"/>
        <v/>
      </c>
      <c r="R89" s="314" t="str" cm="1">
        <f t="array" aca="1" ref="R89" ca="1">_xlfn.IFNA(_xlfn.IFS(X89="Dit kostentype hoeft u niet op te geven. Hiervoor wordt een forfait berekend.","",AND(J89&lt;&gt;"",H89="Vast tarief",F89="Vergoeding"),SUM(J89)*FLOOR(SUM(L89),0.0001),AND(J89&lt;&gt;"",OR(H89="Uurtarief",H89="Vast tarief")),SUM(J89)*FLOOR(SUM(L89),0.01),AND(N89&lt;&gt;"",H89="-"),FLOOR(SUM(N89),0.01)),"")</f>
        <v/>
      </c>
      <c r="S89" s="314" t="str" cm="1">
        <f t="array" aca="1" ref="S89" ca="1">_xlfn.IFNA(_xlfn.IFS(X89="Dit kostentype hoeft u niet op te geven. Hiervoor wordt een forfait berekend.","",AND(K89&lt;&gt;"",M89&lt;&gt;"",H89="Vast tarief",F89="Vergoeding"),SUM(K89)*FLOOR(SUM(M89),0.0001),AND(K89&lt;&gt;"",M89&lt;&gt;"",OR(H89="Uurtarief",H89="Vast tarief")),SUM(K89)*FLOOR(SUM(M89),0.01),AND(O89&lt;&gt;"",H89="-"),FLOOR(SUM(O89),0.01)),"")</f>
        <v/>
      </c>
      <c r="T89" s="314" t="str">
        <f t="shared" ca="1" si="7"/>
        <v/>
      </c>
      <c r="U89" s="314" t="str" cm="1">
        <f t="array" aca="1" ref="U89" ca="1">IFERROR(_xlfn.IFS(OR(F89="",LEFT(Methode_Keuze,4)="Geen",Methode_Keuze=""),"",AND(R89&lt;&gt;"",F89&lt;&gt;"Arbeidskosten"),R89*VLOOKUP(F89,Tb_ProjectKosten[],MATCH(Tb_ProjectKosten[[#Headers],[Forfait_Percentage]],Tb_ProjectKosten[#Headers],0),0),AND(F89="Arbeidskosten",G89&lt;&gt;""),IFERROR(R89*VLOOKUP(G89,Tb_KostenTypen[],3,0)*VLOOKUP(F89,Tb_ProjectKosten[],MATCH(Tb_ProjectKosten[[#Headers],[Forfait_Percentage]],Tb_ProjectKosten[#Headers],0),0),""),R89 &lt;=0,0),"")</f>
        <v/>
      </c>
      <c r="V89" s="314" t="str" cm="1">
        <f t="array" aca="1" ref="V89" ca="1">IFERROR(_xlfn.IFS(OR(F89="",LEFT(Methode_Keuze,4)="Geen",Methode_Keuze=""),"",AND(S89&lt;&gt;"",F89&lt;&gt;"Arbeidskosten"),S89*VLOOKUP(F89,Tb_ProjectKosten[],MATCH(Tb_ProjectKosten[[#Headers],[Forfait_Percentage]],Tb_ProjectKosten[#Headers],0),0),AND(F89="Arbeidskosten",G89&lt;&gt;""),IFERROR(S89*VLOOKUP(G89,Tb_KostenTypen[],3,0)*VLOOKUP(F89,Tb_ProjectKosten[],MATCH(Tb_ProjectKosten[[#Headers],[Forfait_Percentage]],Tb_ProjectKosten[#Headers],0),0),""),S89 &lt;=0,0),"")</f>
        <v/>
      </c>
      <c r="W89" s="314" t="str">
        <f t="shared" ca="1" si="8"/>
        <v/>
      </c>
      <c r="X89" s="376" t="str">
        <f>IFERROR(VLOOKUP(F89,Tb_ProjectKosten[#All],11,0),"")</f>
        <v/>
      </c>
      <c r="Y89" s="315"/>
    </row>
    <row r="90" spans="1:25" x14ac:dyDescent="0.25">
      <c r="A90" s="309">
        <f>MAX($A$5:A89)+1</f>
        <v>85</v>
      </c>
      <c r="B90" s="296"/>
      <c r="C90" s="296"/>
      <c r="D90" s="296"/>
      <c r="E90" s="296"/>
      <c r="F90" s="296"/>
      <c r="G90" s="327"/>
      <c r="H90" s="310" t="str">
        <f ca="1">IFERROR(IF(VLOOKUP(F90,Kostentypen!$A$3:$E$21,3,0)=0,"",IF(OR(F90="Arbeidskosten",F90="Vergoeding"),VLOOKUP(G90,Tb_KostenTypen[],2,0),VLOOKUP(F90,Kostentypen!$A$3:$E$20,3,0))),"")</f>
        <v/>
      </c>
      <c r="I90" s="311"/>
      <c r="J90" s="312" t="str" cm="1">
        <f t="array" ref="J90">_xlfn.IFNA(IF(INDEX(Tb_KostenOpties[],MATCH($F90,Tb_KostenOpties[KostenOptie],0),IFERROR(MATCH(Methode_Keuze,Tb_KostenOpties[#Headers],0),2))=1,_xlfn.SWITCH($H90,"Uurtarief",IF(OR(AND(RIGHT($F90,3)="IKS",VLOOKUP($I90,Loonkosten,2,0)="Ja"),AND(RIGHT($F90,3)&lt;&gt;"IKS",VLOOKUP($I90,Loonkosten,2,0)="Nee")), VLOOKUP($I90,Loonkosten,MATCH("Opgegeven uurtarief",'4. Rekenhulp loonkosten aanvr.'!$4:$4,0)),0),"Vast tarief",IF(LEFT(F90,8)="Bijdrage",VLOOKUP($F90,Tb_KostenTypen[],MATCH(Lijsten!$P$1,Tb_KostenTypen[#Headers],0),0),VLOOKUP($G90,Lijsten!L:P,MATCH(Lijsten!$P$1,Kop_Tarief_Vast,0),0))),""),"")</f>
        <v/>
      </c>
      <c r="K90" s="312" t="str" cm="1">
        <f t="array" ref="K90">_xlfn.IFNA(IF(INDEX(Tb_KostenOpties[],MATCH($F90,Tb_KostenOpties[KostenOptie],0),IFERROR(MATCH(Methode_Keuze,Tb_KostenOpties[#Headers],0),2))=1,_xlfn.SWITCH($H90,"Uurtarief",IF(OR(AND(RIGHT($F90,3)="IKS",VLOOKUP($I90,Loonkosten,2,0)="Ja"),AND(RIGHT($F90,3)&lt;&gt;"IKS",VLOOKUP($I90,Loonkosten,2,0)="Nee")), VLOOKUP($I90,Loonkosten,MATCH("Beoordeeld uurtarief",'4. Rekenhulp loonkosten aanvr.'!$4:$4,0),0),0),"Vast tarief",IF(LEFT(F90,8)="Bijdrage",VLOOKUP($F90,Tb_KostenTypen[],MATCH(Lijsten!$P$1,Tb_KostenTypen[#Headers],0),0),VLOOKUP($G90,Lijsten!L:P,MATCH(Lijsten!$P$1,Kop_Tarief_Vast,0),0))),""),"")</f>
        <v/>
      </c>
      <c r="L90" s="358"/>
      <c r="M90" s="358"/>
      <c r="N90" s="313"/>
      <c r="O90" s="313"/>
      <c r="P90" s="374" t="str">
        <f t="shared" si="5"/>
        <v/>
      </c>
      <c r="Q90" s="314" t="str">
        <f t="shared" si="6"/>
        <v/>
      </c>
      <c r="R90" s="314" t="str" cm="1">
        <f t="array" aca="1" ref="R90" ca="1">_xlfn.IFNA(_xlfn.IFS(X90="Dit kostentype hoeft u niet op te geven. Hiervoor wordt een forfait berekend.","",AND(J90&lt;&gt;"",H90="Vast tarief",F90="Vergoeding"),SUM(J90)*FLOOR(SUM(L90),0.0001),AND(J90&lt;&gt;"",OR(H90="Uurtarief",H90="Vast tarief")),SUM(J90)*FLOOR(SUM(L90),0.01),AND(N90&lt;&gt;"",H90="-"),FLOOR(SUM(N90),0.01)),"")</f>
        <v/>
      </c>
      <c r="S90" s="314" t="str" cm="1">
        <f t="array" aca="1" ref="S90" ca="1">_xlfn.IFNA(_xlfn.IFS(X90="Dit kostentype hoeft u niet op te geven. Hiervoor wordt een forfait berekend.","",AND(K90&lt;&gt;"",M90&lt;&gt;"",H90="Vast tarief",F90="Vergoeding"),SUM(K90)*FLOOR(SUM(M90),0.0001),AND(K90&lt;&gt;"",M90&lt;&gt;"",OR(H90="Uurtarief",H90="Vast tarief")),SUM(K90)*FLOOR(SUM(M90),0.01),AND(O90&lt;&gt;"",H90="-"),FLOOR(SUM(O90),0.01)),"")</f>
        <v/>
      </c>
      <c r="T90" s="314" t="str">
        <f t="shared" ca="1" si="7"/>
        <v/>
      </c>
      <c r="U90" s="314" t="str" cm="1">
        <f t="array" aca="1" ref="U90" ca="1">IFERROR(_xlfn.IFS(OR(F90="",LEFT(Methode_Keuze,4)="Geen",Methode_Keuze=""),"",AND(R90&lt;&gt;"",F90&lt;&gt;"Arbeidskosten"),R90*VLOOKUP(F90,Tb_ProjectKosten[],MATCH(Tb_ProjectKosten[[#Headers],[Forfait_Percentage]],Tb_ProjectKosten[#Headers],0),0),AND(F90="Arbeidskosten",G90&lt;&gt;""),IFERROR(R90*VLOOKUP(G90,Tb_KostenTypen[],3,0)*VLOOKUP(F90,Tb_ProjectKosten[],MATCH(Tb_ProjectKosten[[#Headers],[Forfait_Percentage]],Tb_ProjectKosten[#Headers],0),0),""),R90 &lt;=0,0),"")</f>
        <v/>
      </c>
      <c r="V90" s="314" t="str" cm="1">
        <f t="array" aca="1" ref="V90" ca="1">IFERROR(_xlfn.IFS(OR(F90="",LEFT(Methode_Keuze,4)="Geen",Methode_Keuze=""),"",AND(S90&lt;&gt;"",F90&lt;&gt;"Arbeidskosten"),S90*VLOOKUP(F90,Tb_ProjectKosten[],MATCH(Tb_ProjectKosten[[#Headers],[Forfait_Percentage]],Tb_ProjectKosten[#Headers],0),0),AND(F90="Arbeidskosten",G90&lt;&gt;""),IFERROR(S90*VLOOKUP(G90,Tb_KostenTypen[],3,0)*VLOOKUP(F90,Tb_ProjectKosten[],MATCH(Tb_ProjectKosten[[#Headers],[Forfait_Percentage]],Tb_ProjectKosten[#Headers],0),0),""),S90 &lt;=0,0),"")</f>
        <v/>
      </c>
      <c r="W90" s="314" t="str">
        <f t="shared" ca="1" si="8"/>
        <v/>
      </c>
      <c r="X90" s="376" t="str">
        <f>IFERROR(VLOOKUP(F90,Tb_ProjectKosten[#All],11,0),"")</f>
        <v/>
      </c>
      <c r="Y90" s="315"/>
    </row>
    <row r="91" spans="1:25" x14ac:dyDescent="0.25">
      <c r="A91" s="309">
        <f>MAX($A$5:A90)+1</f>
        <v>86</v>
      </c>
      <c r="B91" s="296"/>
      <c r="C91" s="296"/>
      <c r="D91" s="296"/>
      <c r="E91" s="296"/>
      <c r="F91" s="296"/>
      <c r="G91" s="327"/>
      <c r="H91" s="310" t="str">
        <f ca="1">IFERROR(IF(VLOOKUP(F91,Kostentypen!$A$3:$E$21,3,0)=0,"",IF(OR(F91="Arbeidskosten",F91="Vergoeding"),VLOOKUP(G91,Tb_KostenTypen[],2,0),VLOOKUP(F91,Kostentypen!$A$3:$E$20,3,0))),"")</f>
        <v/>
      </c>
      <c r="I91" s="311"/>
      <c r="J91" s="312" t="str" cm="1">
        <f t="array" ref="J91">_xlfn.IFNA(IF(INDEX(Tb_KostenOpties[],MATCH($F91,Tb_KostenOpties[KostenOptie],0),IFERROR(MATCH(Methode_Keuze,Tb_KostenOpties[#Headers],0),2))=1,_xlfn.SWITCH($H91,"Uurtarief",IF(OR(AND(RIGHT($F91,3)="IKS",VLOOKUP($I91,Loonkosten,2,0)="Ja"),AND(RIGHT($F91,3)&lt;&gt;"IKS",VLOOKUP($I91,Loonkosten,2,0)="Nee")), VLOOKUP($I91,Loonkosten,MATCH("Opgegeven uurtarief",'4. Rekenhulp loonkosten aanvr.'!$4:$4,0)),0),"Vast tarief",IF(LEFT(F91,8)="Bijdrage",VLOOKUP($F91,Tb_KostenTypen[],MATCH(Lijsten!$P$1,Tb_KostenTypen[#Headers],0),0),VLOOKUP($G91,Lijsten!L:P,MATCH(Lijsten!$P$1,Kop_Tarief_Vast,0),0))),""),"")</f>
        <v/>
      </c>
      <c r="K91" s="312" t="str" cm="1">
        <f t="array" ref="K91">_xlfn.IFNA(IF(INDEX(Tb_KostenOpties[],MATCH($F91,Tb_KostenOpties[KostenOptie],0),IFERROR(MATCH(Methode_Keuze,Tb_KostenOpties[#Headers],0),2))=1,_xlfn.SWITCH($H91,"Uurtarief",IF(OR(AND(RIGHT($F91,3)="IKS",VLOOKUP($I91,Loonkosten,2,0)="Ja"),AND(RIGHT($F91,3)&lt;&gt;"IKS",VLOOKUP($I91,Loonkosten,2,0)="Nee")), VLOOKUP($I91,Loonkosten,MATCH("Beoordeeld uurtarief",'4. Rekenhulp loonkosten aanvr.'!$4:$4,0),0),0),"Vast tarief",IF(LEFT(F91,8)="Bijdrage",VLOOKUP($F91,Tb_KostenTypen[],MATCH(Lijsten!$P$1,Tb_KostenTypen[#Headers],0),0),VLOOKUP($G91,Lijsten!L:P,MATCH(Lijsten!$P$1,Kop_Tarief_Vast,0),0))),""),"")</f>
        <v/>
      </c>
      <c r="L91" s="358"/>
      <c r="M91" s="358"/>
      <c r="N91" s="313"/>
      <c r="O91" s="313"/>
      <c r="P91" s="374" t="str">
        <f t="shared" si="5"/>
        <v/>
      </c>
      <c r="Q91" s="314" t="str">
        <f t="shared" si="6"/>
        <v/>
      </c>
      <c r="R91" s="314" t="str" cm="1">
        <f t="array" aca="1" ref="R91" ca="1">_xlfn.IFNA(_xlfn.IFS(X91="Dit kostentype hoeft u niet op te geven. Hiervoor wordt een forfait berekend.","",AND(J91&lt;&gt;"",H91="Vast tarief",F91="Vergoeding"),SUM(J91)*FLOOR(SUM(L91),0.0001),AND(J91&lt;&gt;"",OR(H91="Uurtarief",H91="Vast tarief")),SUM(J91)*FLOOR(SUM(L91),0.01),AND(N91&lt;&gt;"",H91="-"),FLOOR(SUM(N91),0.01)),"")</f>
        <v/>
      </c>
      <c r="S91" s="314" t="str" cm="1">
        <f t="array" aca="1" ref="S91" ca="1">_xlfn.IFNA(_xlfn.IFS(X91="Dit kostentype hoeft u niet op te geven. Hiervoor wordt een forfait berekend.","",AND(K91&lt;&gt;"",M91&lt;&gt;"",H91="Vast tarief",F91="Vergoeding"),SUM(K91)*FLOOR(SUM(M91),0.0001),AND(K91&lt;&gt;"",M91&lt;&gt;"",OR(H91="Uurtarief",H91="Vast tarief")),SUM(K91)*FLOOR(SUM(M91),0.01),AND(O91&lt;&gt;"",H91="-"),FLOOR(SUM(O91),0.01)),"")</f>
        <v/>
      </c>
      <c r="T91" s="314" t="str">
        <f t="shared" ca="1" si="7"/>
        <v/>
      </c>
      <c r="U91" s="314" t="str" cm="1">
        <f t="array" aca="1" ref="U91" ca="1">IFERROR(_xlfn.IFS(OR(F91="",LEFT(Methode_Keuze,4)="Geen",Methode_Keuze=""),"",AND(R91&lt;&gt;"",F91&lt;&gt;"Arbeidskosten"),R91*VLOOKUP(F91,Tb_ProjectKosten[],MATCH(Tb_ProjectKosten[[#Headers],[Forfait_Percentage]],Tb_ProjectKosten[#Headers],0),0),AND(F91="Arbeidskosten",G91&lt;&gt;""),IFERROR(R91*VLOOKUP(G91,Tb_KostenTypen[],3,0)*VLOOKUP(F91,Tb_ProjectKosten[],MATCH(Tb_ProjectKosten[[#Headers],[Forfait_Percentage]],Tb_ProjectKosten[#Headers],0),0),""),R91 &lt;=0,0),"")</f>
        <v/>
      </c>
      <c r="V91" s="314" t="str" cm="1">
        <f t="array" aca="1" ref="V91" ca="1">IFERROR(_xlfn.IFS(OR(F91="",LEFT(Methode_Keuze,4)="Geen",Methode_Keuze=""),"",AND(S91&lt;&gt;"",F91&lt;&gt;"Arbeidskosten"),S91*VLOOKUP(F91,Tb_ProjectKosten[],MATCH(Tb_ProjectKosten[[#Headers],[Forfait_Percentage]],Tb_ProjectKosten[#Headers],0),0),AND(F91="Arbeidskosten",G91&lt;&gt;""),IFERROR(S91*VLOOKUP(G91,Tb_KostenTypen[],3,0)*VLOOKUP(F91,Tb_ProjectKosten[],MATCH(Tb_ProjectKosten[[#Headers],[Forfait_Percentage]],Tb_ProjectKosten[#Headers],0),0),""),S91 &lt;=0,0),"")</f>
        <v/>
      </c>
      <c r="W91" s="314" t="str">
        <f t="shared" ca="1" si="8"/>
        <v/>
      </c>
      <c r="X91" s="376" t="str">
        <f>IFERROR(VLOOKUP(F91,Tb_ProjectKosten[#All],11,0),"")</f>
        <v/>
      </c>
      <c r="Y91" s="315"/>
    </row>
    <row r="92" spans="1:25" x14ac:dyDescent="0.25">
      <c r="A92" s="309">
        <f>MAX($A$5:A91)+1</f>
        <v>87</v>
      </c>
      <c r="B92" s="296"/>
      <c r="C92" s="296"/>
      <c r="D92" s="296"/>
      <c r="E92" s="296"/>
      <c r="F92" s="296"/>
      <c r="G92" s="327"/>
      <c r="H92" s="310" t="str">
        <f ca="1">IFERROR(IF(VLOOKUP(F92,Kostentypen!$A$3:$E$21,3,0)=0,"",IF(OR(F92="Arbeidskosten",F92="Vergoeding"),VLOOKUP(G92,Tb_KostenTypen[],2,0),VLOOKUP(F92,Kostentypen!$A$3:$E$20,3,0))),"")</f>
        <v/>
      </c>
      <c r="I92" s="311"/>
      <c r="J92" s="312" t="str" cm="1">
        <f t="array" ref="J92">_xlfn.IFNA(IF(INDEX(Tb_KostenOpties[],MATCH($F92,Tb_KostenOpties[KostenOptie],0),IFERROR(MATCH(Methode_Keuze,Tb_KostenOpties[#Headers],0),2))=1,_xlfn.SWITCH($H92,"Uurtarief",IF(OR(AND(RIGHT($F92,3)="IKS",VLOOKUP($I92,Loonkosten,2,0)="Ja"),AND(RIGHT($F92,3)&lt;&gt;"IKS",VLOOKUP($I92,Loonkosten,2,0)="Nee")), VLOOKUP($I92,Loonkosten,MATCH("Opgegeven uurtarief",'4. Rekenhulp loonkosten aanvr.'!$4:$4,0)),0),"Vast tarief",IF(LEFT(F92,8)="Bijdrage",VLOOKUP($F92,Tb_KostenTypen[],MATCH(Lijsten!$P$1,Tb_KostenTypen[#Headers],0),0),VLOOKUP($G92,Lijsten!L:P,MATCH(Lijsten!$P$1,Kop_Tarief_Vast,0),0))),""),"")</f>
        <v/>
      </c>
      <c r="K92" s="312" t="str" cm="1">
        <f t="array" ref="K92">_xlfn.IFNA(IF(INDEX(Tb_KostenOpties[],MATCH($F92,Tb_KostenOpties[KostenOptie],0),IFERROR(MATCH(Methode_Keuze,Tb_KostenOpties[#Headers],0),2))=1,_xlfn.SWITCH($H92,"Uurtarief",IF(OR(AND(RIGHT($F92,3)="IKS",VLOOKUP($I92,Loonkosten,2,0)="Ja"),AND(RIGHT($F92,3)&lt;&gt;"IKS",VLOOKUP($I92,Loonkosten,2,0)="Nee")), VLOOKUP($I92,Loonkosten,MATCH("Beoordeeld uurtarief",'4. Rekenhulp loonkosten aanvr.'!$4:$4,0),0),0),"Vast tarief",IF(LEFT(F92,8)="Bijdrage",VLOOKUP($F92,Tb_KostenTypen[],MATCH(Lijsten!$P$1,Tb_KostenTypen[#Headers],0),0),VLOOKUP($G92,Lijsten!L:P,MATCH(Lijsten!$P$1,Kop_Tarief_Vast,0),0))),""),"")</f>
        <v/>
      </c>
      <c r="L92" s="358"/>
      <c r="M92" s="358"/>
      <c r="N92" s="313"/>
      <c r="O92" s="313"/>
      <c r="P92" s="374" t="str">
        <f t="shared" si="5"/>
        <v/>
      </c>
      <c r="Q92" s="314" t="str">
        <f t="shared" si="6"/>
        <v/>
      </c>
      <c r="R92" s="314" t="str" cm="1">
        <f t="array" aca="1" ref="R92" ca="1">_xlfn.IFNA(_xlfn.IFS(X92="Dit kostentype hoeft u niet op te geven. Hiervoor wordt een forfait berekend.","",AND(J92&lt;&gt;"",H92="Vast tarief",F92="Vergoeding"),SUM(J92)*FLOOR(SUM(L92),0.0001),AND(J92&lt;&gt;"",OR(H92="Uurtarief",H92="Vast tarief")),SUM(J92)*FLOOR(SUM(L92),0.01),AND(N92&lt;&gt;"",H92="-"),FLOOR(SUM(N92),0.01)),"")</f>
        <v/>
      </c>
      <c r="S92" s="314" t="str" cm="1">
        <f t="array" aca="1" ref="S92" ca="1">_xlfn.IFNA(_xlfn.IFS(X92="Dit kostentype hoeft u niet op te geven. Hiervoor wordt een forfait berekend.","",AND(K92&lt;&gt;"",M92&lt;&gt;"",H92="Vast tarief",F92="Vergoeding"),SUM(K92)*FLOOR(SUM(M92),0.0001),AND(K92&lt;&gt;"",M92&lt;&gt;"",OR(H92="Uurtarief",H92="Vast tarief")),SUM(K92)*FLOOR(SUM(M92),0.01),AND(O92&lt;&gt;"",H92="-"),FLOOR(SUM(O92),0.01)),"")</f>
        <v/>
      </c>
      <c r="T92" s="314" t="str">
        <f t="shared" ca="1" si="7"/>
        <v/>
      </c>
      <c r="U92" s="314" t="str" cm="1">
        <f t="array" aca="1" ref="U92" ca="1">IFERROR(_xlfn.IFS(OR(F92="",LEFT(Methode_Keuze,4)="Geen",Methode_Keuze=""),"",AND(R92&lt;&gt;"",F92&lt;&gt;"Arbeidskosten"),R92*VLOOKUP(F92,Tb_ProjectKosten[],MATCH(Tb_ProjectKosten[[#Headers],[Forfait_Percentage]],Tb_ProjectKosten[#Headers],0),0),AND(F92="Arbeidskosten",G92&lt;&gt;""),IFERROR(R92*VLOOKUP(G92,Tb_KostenTypen[],3,0)*VLOOKUP(F92,Tb_ProjectKosten[],MATCH(Tb_ProjectKosten[[#Headers],[Forfait_Percentage]],Tb_ProjectKosten[#Headers],0),0),""),R92 &lt;=0,0),"")</f>
        <v/>
      </c>
      <c r="V92" s="314" t="str" cm="1">
        <f t="array" aca="1" ref="V92" ca="1">IFERROR(_xlfn.IFS(OR(F92="",LEFT(Methode_Keuze,4)="Geen",Methode_Keuze=""),"",AND(S92&lt;&gt;"",F92&lt;&gt;"Arbeidskosten"),S92*VLOOKUP(F92,Tb_ProjectKosten[],MATCH(Tb_ProjectKosten[[#Headers],[Forfait_Percentage]],Tb_ProjectKosten[#Headers],0),0),AND(F92="Arbeidskosten",G92&lt;&gt;""),IFERROR(S92*VLOOKUP(G92,Tb_KostenTypen[],3,0)*VLOOKUP(F92,Tb_ProjectKosten[],MATCH(Tb_ProjectKosten[[#Headers],[Forfait_Percentage]],Tb_ProjectKosten[#Headers],0),0),""),S92 &lt;=0,0),"")</f>
        <v/>
      </c>
      <c r="W92" s="314" t="str">
        <f t="shared" ca="1" si="8"/>
        <v/>
      </c>
      <c r="X92" s="376" t="str">
        <f>IFERROR(VLOOKUP(F92,Tb_ProjectKosten[#All],11,0),"")</f>
        <v/>
      </c>
      <c r="Y92" s="315"/>
    </row>
    <row r="93" spans="1:25" x14ac:dyDescent="0.25">
      <c r="A93" s="309">
        <f>MAX($A$5:A92)+1</f>
        <v>88</v>
      </c>
      <c r="B93" s="296"/>
      <c r="C93" s="296"/>
      <c r="D93" s="296"/>
      <c r="E93" s="296"/>
      <c r="F93" s="296"/>
      <c r="G93" s="327"/>
      <c r="H93" s="310" t="str">
        <f ca="1">IFERROR(IF(VLOOKUP(F93,Kostentypen!$A$3:$E$21,3,0)=0,"",IF(OR(F93="Arbeidskosten",F93="Vergoeding"),VLOOKUP(G93,Tb_KostenTypen[],2,0),VLOOKUP(F93,Kostentypen!$A$3:$E$20,3,0))),"")</f>
        <v/>
      </c>
      <c r="I93" s="311"/>
      <c r="J93" s="312" t="str" cm="1">
        <f t="array" ref="J93">_xlfn.IFNA(IF(INDEX(Tb_KostenOpties[],MATCH($F93,Tb_KostenOpties[KostenOptie],0),IFERROR(MATCH(Methode_Keuze,Tb_KostenOpties[#Headers],0),2))=1,_xlfn.SWITCH($H93,"Uurtarief",IF(OR(AND(RIGHT($F93,3)="IKS",VLOOKUP($I93,Loonkosten,2,0)="Ja"),AND(RIGHT($F93,3)&lt;&gt;"IKS",VLOOKUP($I93,Loonkosten,2,0)="Nee")), VLOOKUP($I93,Loonkosten,MATCH("Opgegeven uurtarief",'4. Rekenhulp loonkosten aanvr.'!$4:$4,0)),0),"Vast tarief",IF(LEFT(F93,8)="Bijdrage",VLOOKUP($F93,Tb_KostenTypen[],MATCH(Lijsten!$P$1,Tb_KostenTypen[#Headers],0),0),VLOOKUP($G93,Lijsten!L:P,MATCH(Lijsten!$P$1,Kop_Tarief_Vast,0),0))),""),"")</f>
        <v/>
      </c>
      <c r="K93" s="312" t="str" cm="1">
        <f t="array" ref="K93">_xlfn.IFNA(IF(INDEX(Tb_KostenOpties[],MATCH($F93,Tb_KostenOpties[KostenOptie],0),IFERROR(MATCH(Methode_Keuze,Tb_KostenOpties[#Headers],0),2))=1,_xlfn.SWITCH($H93,"Uurtarief",IF(OR(AND(RIGHT($F93,3)="IKS",VLOOKUP($I93,Loonkosten,2,0)="Ja"),AND(RIGHT($F93,3)&lt;&gt;"IKS",VLOOKUP($I93,Loonkosten,2,0)="Nee")), VLOOKUP($I93,Loonkosten,MATCH("Beoordeeld uurtarief",'4. Rekenhulp loonkosten aanvr.'!$4:$4,0),0),0),"Vast tarief",IF(LEFT(F93,8)="Bijdrage",VLOOKUP($F93,Tb_KostenTypen[],MATCH(Lijsten!$P$1,Tb_KostenTypen[#Headers],0),0),VLOOKUP($G93,Lijsten!L:P,MATCH(Lijsten!$P$1,Kop_Tarief_Vast,0),0))),""),"")</f>
        <v/>
      </c>
      <c r="L93" s="358"/>
      <c r="M93" s="358"/>
      <c r="N93" s="313"/>
      <c r="O93" s="313"/>
      <c r="P93" s="374" t="str">
        <f t="shared" si="5"/>
        <v/>
      </c>
      <c r="Q93" s="314" t="str">
        <f t="shared" si="6"/>
        <v/>
      </c>
      <c r="R93" s="314" t="str" cm="1">
        <f t="array" aca="1" ref="R93" ca="1">_xlfn.IFNA(_xlfn.IFS(X93="Dit kostentype hoeft u niet op te geven. Hiervoor wordt een forfait berekend.","",AND(J93&lt;&gt;"",H93="Vast tarief",F93="Vergoeding"),SUM(J93)*FLOOR(SUM(L93),0.0001),AND(J93&lt;&gt;"",OR(H93="Uurtarief",H93="Vast tarief")),SUM(J93)*FLOOR(SUM(L93),0.01),AND(N93&lt;&gt;"",H93="-"),FLOOR(SUM(N93),0.01)),"")</f>
        <v/>
      </c>
      <c r="S93" s="314" t="str" cm="1">
        <f t="array" aca="1" ref="S93" ca="1">_xlfn.IFNA(_xlfn.IFS(X93="Dit kostentype hoeft u niet op te geven. Hiervoor wordt een forfait berekend.","",AND(K93&lt;&gt;"",M93&lt;&gt;"",H93="Vast tarief",F93="Vergoeding"),SUM(K93)*FLOOR(SUM(M93),0.0001),AND(K93&lt;&gt;"",M93&lt;&gt;"",OR(H93="Uurtarief",H93="Vast tarief")),SUM(K93)*FLOOR(SUM(M93),0.01),AND(O93&lt;&gt;"",H93="-"),FLOOR(SUM(O93),0.01)),"")</f>
        <v/>
      </c>
      <c r="T93" s="314" t="str">
        <f t="shared" ca="1" si="7"/>
        <v/>
      </c>
      <c r="U93" s="314" t="str" cm="1">
        <f t="array" aca="1" ref="U93" ca="1">IFERROR(_xlfn.IFS(OR(F93="",LEFT(Methode_Keuze,4)="Geen",Methode_Keuze=""),"",AND(R93&lt;&gt;"",F93&lt;&gt;"Arbeidskosten"),R93*VLOOKUP(F93,Tb_ProjectKosten[],MATCH(Tb_ProjectKosten[[#Headers],[Forfait_Percentage]],Tb_ProjectKosten[#Headers],0),0),AND(F93="Arbeidskosten",G93&lt;&gt;""),IFERROR(R93*VLOOKUP(G93,Tb_KostenTypen[],3,0)*VLOOKUP(F93,Tb_ProjectKosten[],MATCH(Tb_ProjectKosten[[#Headers],[Forfait_Percentage]],Tb_ProjectKosten[#Headers],0),0),""),R93 &lt;=0,0),"")</f>
        <v/>
      </c>
      <c r="V93" s="314" t="str" cm="1">
        <f t="array" aca="1" ref="V93" ca="1">IFERROR(_xlfn.IFS(OR(F93="",LEFT(Methode_Keuze,4)="Geen",Methode_Keuze=""),"",AND(S93&lt;&gt;"",F93&lt;&gt;"Arbeidskosten"),S93*VLOOKUP(F93,Tb_ProjectKosten[],MATCH(Tb_ProjectKosten[[#Headers],[Forfait_Percentage]],Tb_ProjectKosten[#Headers],0),0),AND(F93="Arbeidskosten",G93&lt;&gt;""),IFERROR(S93*VLOOKUP(G93,Tb_KostenTypen[],3,0)*VLOOKUP(F93,Tb_ProjectKosten[],MATCH(Tb_ProjectKosten[[#Headers],[Forfait_Percentage]],Tb_ProjectKosten[#Headers],0),0),""),S93 &lt;=0,0),"")</f>
        <v/>
      </c>
      <c r="W93" s="314" t="str">
        <f t="shared" ca="1" si="8"/>
        <v/>
      </c>
      <c r="X93" s="376" t="str">
        <f>IFERROR(VLOOKUP(F93,Tb_ProjectKosten[#All],11,0),"")</f>
        <v/>
      </c>
      <c r="Y93" s="315"/>
    </row>
    <row r="94" spans="1:25" x14ac:dyDescent="0.25">
      <c r="A94" s="309">
        <f>MAX($A$5:A93)+1</f>
        <v>89</v>
      </c>
      <c r="B94" s="296"/>
      <c r="C94" s="296"/>
      <c r="D94" s="296"/>
      <c r="E94" s="296"/>
      <c r="F94" s="296"/>
      <c r="G94" s="327"/>
      <c r="H94" s="310" t="str">
        <f ca="1">IFERROR(IF(VLOOKUP(F94,Kostentypen!$A$3:$E$21,3,0)=0,"",IF(OR(F94="Arbeidskosten",F94="Vergoeding"),VLOOKUP(G94,Tb_KostenTypen[],2,0),VLOOKUP(F94,Kostentypen!$A$3:$E$20,3,0))),"")</f>
        <v/>
      </c>
      <c r="I94" s="311"/>
      <c r="J94" s="312" t="str" cm="1">
        <f t="array" ref="J94">_xlfn.IFNA(IF(INDEX(Tb_KostenOpties[],MATCH($F94,Tb_KostenOpties[KostenOptie],0),IFERROR(MATCH(Methode_Keuze,Tb_KostenOpties[#Headers],0),2))=1,_xlfn.SWITCH($H94,"Uurtarief",IF(OR(AND(RIGHT($F94,3)="IKS",VLOOKUP($I94,Loonkosten,2,0)="Ja"),AND(RIGHT($F94,3)&lt;&gt;"IKS",VLOOKUP($I94,Loonkosten,2,0)="Nee")), VLOOKUP($I94,Loonkosten,MATCH("Opgegeven uurtarief",'4. Rekenhulp loonkosten aanvr.'!$4:$4,0)),0),"Vast tarief",IF(LEFT(F94,8)="Bijdrage",VLOOKUP($F94,Tb_KostenTypen[],MATCH(Lijsten!$P$1,Tb_KostenTypen[#Headers],0),0),VLOOKUP($G94,Lijsten!L:P,MATCH(Lijsten!$P$1,Kop_Tarief_Vast,0),0))),""),"")</f>
        <v/>
      </c>
      <c r="K94" s="312" t="str" cm="1">
        <f t="array" ref="K94">_xlfn.IFNA(IF(INDEX(Tb_KostenOpties[],MATCH($F94,Tb_KostenOpties[KostenOptie],0),IFERROR(MATCH(Methode_Keuze,Tb_KostenOpties[#Headers],0),2))=1,_xlfn.SWITCH($H94,"Uurtarief",IF(OR(AND(RIGHT($F94,3)="IKS",VLOOKUP($I94,Loonkosten,2,0)="Ja"),AND(RIGHT($F94,3)&lt;&gt;"IKS",VLOOKUP($I94,Loonkosten,2,0)="Nee")), VLOOKUP($I94,Loonkosten,MATCH("Beoordeeld uurtarief",'4. Rekenhulp loonkosten aanvr.'!$4:$4,0),0),0),"Vast tarief",IF(LEFT(F94,8)="Bijdrage",VLOOKUP($F94,Tb_KostenTypen[],MATCH(Lijsten!$P$1,Tb_KostenTypen[#Headers],0),0),VLOOKUP($G94,Lijsten!L:P,MATCH(Lijsten!$P$1,Kop_Tarief_Vast,0),0))),""),"")</f>
        <v/>
      </c>
      <c r="L94" s="358"/>
      <c r="M94" s="358"/>
      <c r="N94" s="313"/>
      <c r="O94" s="313"/>
      <c r="P94" s="374" t="str">
        <f t="shared" si="5"/>
        <v/>
      </c>
      <c r="Q94" s="314" t="str">
        <f t="shared" si="6"/>
        <v/>
      </c>
      <c r="R94" s="314" t="str" cm="1">
        <f t="array" aca="1" ref="R94" ca="1">_xlfn.IFNA(_xlfn.IFS(X94="Dit kostentype hoeft u niet op te geven. Hiervoor wordt een forfait berekend.","",AND(J94&lt;&gt;"",H94="Vast tarief",F94="Vergoeding"),SUM(J94)*FLOOR(SUM(L94),0.0001),AND(J94&lt;&gt;"",OR(H94="Uurtarief",H94="Vast tarief")),SUM(J94)*FLOOR(SUM(L94),0.01),AND(N94&lt;&gt;"",H94="-"),FLOOR(SUM(N94),0.01)),"")</f>
        <v/>
      </c>
      <c r="S94" s="314" t="str" cm="1">
        <f t="array" aca="1" ref="S94" ca="1">_xlfn.IFNA(_xlfn.IFS(X94="Dit kostentype hoeft u niet op te geven. Hiervoor wordt een forfait berekend.","",AND(K94&lt;&gt;"",M94&lt;&gt;"",H94="Vast tarief",F94="Vergoeding"),SUM(K94)*FLOOR(SUM(M94),0.0001),AND(K94&lt;&gt;"",M94&lt;&gt;"",OR(H94="Uurtarief",H94="Vast tarief")),SUM(K94)*FLOOR(SUM(M94),0.01),AND(O94&lt;&gt;"",H94="-"),FLOOR(SUM(O94),0.01)),"")</f>
        <v/>
      </c>
      <c r="T94" s="314" t="str">
        <f t="shared" ca="1" si="7"/>
        <v/>
      </c>
      <c r="U94" s="314" t="str" cm="1">
        <f t="array" aca="1" ref="U94" ca="1">IFERROR(_xlfn.IFS(OR(F94="",LEFT(Methode_Keuze,4)="Geen",Methode_Keuze=""),"",AND(R94&lt;&gt;"",F94&lt;&gt;"Arbeidskosten"),R94*VLOOKUP(F94,Tb_ProjectKosten[],MATCH(Tb_ProjectKosten[[#Headers],[Forfait_Percentage]],Tb_ProjectKosten[#Headers],0),0),AND(F94="Arbeidskosten",G94&lt;&gt;""),IFERROR(R94*VLOOKUP(G94,Tb_KostenTypen[],3,0)*VLOOKUP(F94,Tb_ProjectKosten[],MATCH(Tb_ProjectKosten[[#Headers],[Forfait_Percentage]],Tb_ProjectKosten[#Headers],0),0),""),R94 &lt;=0,0),"")</f>
        <v/>
      </c>
      <c r="V94" s="314" t="str" cm="1">
        <f t="array" aca="1" ref="V94" ca="1">IFERROR(_xlfn.IFS(OR(F94="",LEFT(Methode_Keuze,4)="Geen",Methode_Keuze=""),"",AND(S94&lt;&gt;"",F94&lt;&gt;"Arbeidskosten"),S94*VLOOKUP(F94,Tb_ProjectKosten[],MATCH(Tb_ProjectKosten[[#Headers],[Forfait_Percentage]],Tb_ProjectKosten[#Headers],0),0),AND(F94="Arbeidskosten",G94&lt;&gt;""),IFERROR(S94*VLOOKUP(G94,Tb_KostenTypen[],3,0)*VLOOKUP(F94,Tb_ProjectKosten[],MATCH(Tb_ProjectKosten[[#Headers],[Forfait_Percentage]],Tb_ProjectKosten[#Headers],0),0),""),S94 &lt;=0,0),"")</f>
        <v/>
      </c>
      <c r="W94" s="314" t="str">
        <f t="shared" ca="1" si="8"/>
        <v/>
      </c>
      <c r="X94" s="376" t="str">
        <f>IFERROR(VLOOKUP(F94,Tb_ProjectKosten[#All],11,0),"")</f>
        <v/>
      </c>
      <c r="Y94" s="315"/>
    </row>
    <row r="95" spans="1:25" x14ac:dyDescent="0.25">
      <c r="A95" s="309">
        <f>MAX($A$5:A94)+1</f>
        <v>90</v>
      </c>
      <c r="B95" s="296"/>
      <c r="C95" s="296"/>
      <c r="D95" s="296"/>
      <c r="E95" s="296"/>
      <c r="F95" s="296"/>
      <c r="G95" s="327"/>
      <c r="H95" s="310" t="str">
        <f ca="1">IFERROR(IF(VLOOKUP(F95,Kostentypen!$A$3:$E$21,3,0)=0,"",IF(OR(F95="Arbeidskosten",F95="Vergoeding"),VLOOKUP(G95,Tb_KostenTypen[],2,0),VLOOKUP(F95,Kostentypen!$A$3:$E$20,3,0))),"")</f>
        <v/>
      </c>
      <c r="I95" s="311"/>
      <c r="J95" s="312" t="str" cm="1">
        <f t="array" ref="J95">_xlfn.IFNA(IF(INDEX(Tb_KostenOpties[],MATCH($F95,Tb_KostenOpties[KostenOptie],0),IFERROR(MATCH(Methode_Keuze,Tb_KostenOpties[#Headers],0),2))=1,_xlfn.SWITCH($H95,"Uurtarief",IF(OR(AND(RIGHT($F95,3)="IKS",VLOOKUP($I95,Loonkosten,2,0)="Ja"),AND(RIGHT($F95,3)&lt;&gt;"IKS",VLOOKUP($I95,Loonkosten,2,0)="Nee")), VLOOKUP($I95,Loonkosten,MATCH("Opgegeven uurtarief",'4. Rekenhulp loonkosten aanvr.'!$4:$4,0)),0),"Vast tarief",IF(LEFT(F95,8)="Bijdrage",VLOOKUP($F95,Tb_KostenTypen[],MATCH(Lijsten!$P$1,Tb_KostenTypen[#Headers],0),0),VLOOKUP($G95,Lijsten!L:P,MATCH(Lijsten!$P$1,Kop_Tarief_Vast,0),0))),""),"")</f>
        <v/>
      </c>
      <c r="K95" s="312" t="str" cm="1">
        <f t="array" ref="K95">_xlfn.IFNA(IF(INDEX(Tb_KostenOpties[],MATCH($F95,Tb_KostenOpties[KostenOptie],0),IFERROR(MATCH(Methode_Keuze,Tb_KostenOpties[#Headers],0),2))=1,_xlfn.SWITCH($H95,"Uurtarief",IF(OR(AND(RIGHT($F95,3)="IKS",VLOOKUP($I95,Loonkosten,2,0)="Ja"),AND(RIGHT($F95,3)&lt;&gt;"IKS",VLOOKUP($I95,Loonkosten,2,0)="Nee")), VLOOKUP($I95,Loonkosten,MATCH("Beoordeeld uurtarief",'4. Rekenhulp loonkosten aanvr.'!$4:$4,0),0),0),"Vast tarief",IF(LEFT(F95,8)="Bijdrage",VLOOKUP($F95,Tb_KostenTypen[],MATCH(Lijsten!$P$1,Tb_KostenTypen[#Headers],0),0),VLOOKUP($G95,Lijsten!L:P,MATCH(Lijsten!$P$1,Kop_Tarief_Vast,0),0))),""),"")</f>
        <v/>
      </c>
      <c r="L95" s="358"/>
      <c r="M95" s="358"/>
      <c r="N95" s="313"/>
      <c r="O95" s="313"/>
      <c r="P95" s="374" t="str">
        <f t="shared" si="5"/>
        <v/>
      </c>
      <c r="Q95" s="314" t="str">
        <f t="shared" si="6"/>
        <v/>
      </c>
      <c r="R95" s="314" t="str" cm="1">
        <f t="array" aca="1" ref="R95" ca="1">_xlfn.IFNA(_xlfn.IFS(X95="Dit kostentype hoeft u niet op te geven. Hiervoor wordt een forfait berekend.","",AND(J95&lt;&gt;"",H95="Vast tarief",F95="Vergoeding"),SUM(J95)*FLOOR(SUM(L95),0.0001),AND(J95&lt;&gt;"",OR(H95="Uurtarief",H95="Vast tarief")),SUM(J95)*FLOOR(SUM(L95),0.01),AND(N95&lt;&gt;"",H95="-"),FLOOR(SUM(N95),0.01)),"")</f>
        <v/>
      </c>
      <c r="S95" s="314" t="str" cm="1">
        <f t="array" aca="1" ref="S95" ca="1">_xlfn.IFNA(_xlfn.IFS(X95="Dit kostentype hoeft u niet op te geven. Hiervoor wordt een forfait berekend.","",AND(K95&lt;&gt;"",M95&lt;&gt;"",H95="Vast tarief",F95="Vergoeding"),SUM(K95)*FLOOR(SUM(M95),0.0001),AND(K95&lt;&gt;"",M95&lt;&gt;"",OR(H95="Uurtarief",H95="Vast tarief")),SUM(K95)*FLOOR(SUM(M95),0.01),AND(O95&lt;&gt;"",H95="-"),FLOOR(SUM(O95),0.01)),"")</f>
        <v/>
      </c>
      <c r="T95" s="314" t="str">
        <f t="shared" ca="1" si="7"/>
        <v/>
      </c>
      <c r="U95" s="314" t="str" cm="1">
        <f t="array" aca="1" ref="U95" ca="1">IFERROR(_xlfn.IFS(OR(F95="",LEFT(Methode_Keuze,4)="Geen",Methode_Keuze=""),"",AND(R95&lt;&gt;"",F95&lt;&gt;"Arbeidskosten"),R95*VLOOKUP(F95,Tb_ProjectKosten[],MATCH(Tb_ProjectKosten[[#Headers],[Forfait_Percentage]],Tb_ProjectKosten[#Headers],0),0),AND(F95="Arbeidskosten",G95&lt;&gt;""),IFERROR(R95*VLOOKUP(G95,Tb_KostenTypen[],3,0)*VLOOKUP(F95,Tb_ProjectKosten[],MATCH(Tb_ProjectKosten[[#Headers],[Forfait_Percentage]],Tb_ProjectKosten[#Headers],0),0),""),R95 &lt;=0,0),"")</f>
        <v/>
      </c>
      <c r="V95" s="314" t="str" cm="1">
        <f t="array" aca="1" ref="V95" ca="1">IFERROR(_xlfn.IFS(OR(F95="",LEFT(Methode_Keuze,4)="Geen",Methode_Keuze=""),"",AND(S95&lt;&gt;"",F95&lt;&gt;"Arbeidskosten"),S95*VLOOKUP(F95,Tb_ProjectKosten[],MATCH(Tb_ProjectKosten[[#Headers],[Forfait_Percentage]],Tb_ProjectKosten[#Headers],0),0),AND(F95="Arbeidskosten",G95&lt;&gt;""),IFERROR(S95*VLOOKUP(G95,Tb_KostenTypen[],3,0)*VLOOKUP(F95,Tb_ProjectKosten[],MATCH(Tb_ProjectKosten[[#Headers],[Forfait_Percentage]],Tb_ProjectKosten[#Headers],0),0),""),S95 &lt;=0,0),"")</f>
        <v/>
      </c>
      <c r="W95" s="314" t="str">
        <f t="shared" ca="1" si="8"/>
        <v/>
      </c>
      <c r="X95" s="376" t="str">
        <f>IFERROR(VLOOKUP(F95,Tb_ProjectKosten[#All],11,0),"")</f>
        <v/>
      </c>
      <c r="Y95" s="315"/>
    </row>
    <row r="96" spans="1:25" x14ac:dyDescent="0.25">
      <c r="A96" s="309">
        <f>MAX($A$5:A95)+1</f>
        <v>91</v>
      </c>
      <c r="B96" s="296"/>
      <c r="C96" s="296"/>
      <c r="D96" s="296"/>
      <c r="E96" s="296"/>
      <c r="F96" s="296"/>
      <c r="G96" s="327"/>
      <c r="H96" s="310" t="str">
        <f ca="1">IFERROR(IF(VLOOKUP(F96,Kostentypen!$A$3:$E$21,3,0)=0,"",IF(OR(F96="Arbeidskosten",F96="Vergoeding"),VLOOKUP(G96,Tb_KostenTypen[],2,0),VLOOKUP(F96,Kostentypen!$A$3:$E$20,3,0))),"")</f>
        <v/>
      </c>
      <c r="I96" s="311"/>
      <c r="J96" s="312" t="str" cm="1">
        <f t="array" ref="J96">_xlfn.IFNA(IF(INDEX(Tb_KostenOpties[],MATCH($F96,Tb_KostenOpties[KostenOptie],0),IFERROR(MATCH(Methode_Keuze,Tb_KostenOpties[#Headers],0),2))=1,_xlfn.SWITCH($H96,"Uurtarief",IF(OR(AND(RIGHT($F96,3)="IKS",VLOOKUP($I96,Loonkosten,2,0)="Ja"),AND(RIGHT($F96,3)&lt;&gt;"IKS",VLOOKUP($I96,Loonkosten,2,0)="Nee")), VLOOKUP($I96,Loonkosten,MATCH("Opgegeven uurtarief",'4. Rekenhulp loonkosten aanvr.'!$4:$4,0)),0),"Vast tarief",IF(LEFT(F96,8)="Bijdrage",VLOOKUP($F96,Tb_KostenTypen[],MATCH(Lijsten!$P$1,Tb_KostenTypen[#Headers],0),0),VLOOKUP($G96,Lijsten!L:P,MATCH(Lijsten!$P$1,Kop_Tarief_Vast,0),0))),""),"")</f>
        <v/>
      </c>
      <c r="K96" s="312" t="str" cm="1">
        <f t="array" ref="K96">_xlfn.IFNA(IF(INDEX(Tb_KostenOpties[],MATCH($F96,Tb_KostenOpties[KostenOptie],0),IFERROR(MATCH(Methode_Keuze,Tb_KostenOpties[#Headers],0),2))=1,_xlfn.SWITCH($H96,"Uurtarief",IF(OR(AND(RIGHT($F96,3)="IKS",VLOOKUP($I96,Loonkosten,2,0)="Ja"),AND(RIGHT($F96,3)&lt;&gt;"IKS",VLOOKUP($I96,Loonkosten,2,0)="Nee")), VLOOKUP($I96,Loonkosten,MATCH("Beoordeeld uurtarief",'4. Rekenhulp loonkosten aanvr.'!$4:$4,0),0),0),"Vast tarief",IF(LEFT(F96,8)="Bijdrage",VLOOKUP($F96,Tb_KostenTypen[],MATCH(Lijsten!$P$1,Tb_KostenTypen[#Headers],0),0),VLOOKUP($G96,Lijsten!L:P,MATCH(Lijsten!$P$1,Kop_Tarief_Vast,0),0))),""),"")</f>
        <v/>
      </c>
      <c r="L96" s="358"/>
      <c r="M96" s="358"/>
      <c r="N96" s="313"/>
      <c r="O96" s="313"/>
      <c r="P96" s="374" t="str">
        <f t="shared" si="5"/>
        <v/>
      </c>
      <c r="Q96" s="314" t="str">
        <f t="shared" si="6"/>
        <v/>
      </c>
      <c r="R96" s="314" t="str" cm="1">
        <f t="array" aca="1" ref="R96" ca="1">_xlfn.IFNA(_xlfn.IFS(X96="Dit kostentype hoeft u niet op te geven. Hiervoor wordt een forfait berekend.","",AND(J96&lt;&gt;"",H96="Vast tarief",F96="Vergoeding"),SUM(J96)*FLOOR(SUM(L96),0.0001),AND(J96&lt;&gt;"",OR(H96="Uurtarief",H96="Vast tarief")),SUM(J96)*FLOOR(SUM(L96),0.01),AND(N96&lt;&gt;"",H96="-"),FLOOR(SUM(N96),0.01)),"")</f>
        <v/>
      </c>
      <c r="S96" s="314" t="str" cm="1">
        <f t="array" aca="1" ref="S96" ca="1">_xlfn.IFNA(_xlfn.IFS(X96="Dit kostentype hoeft u niet op te geven. Hiervoor wordt een forfait berekend.","",AND(K96&lt;&gt;"",M96&lt;&gt;"",H96="Vast tarief",F96="Vergoeding"),SUM(K96)*FLOOR(SUM(M96),0.0001),AND(K96&lt;&gt;"",M96&lt;&gt;"",OR(H96="Uurtarief",H96="Vast tarief")),SUM(K96)*FLOOR(SUM(M96),0.01),AND(O96&lt;&gt;"",H96="-"),FLOOR(SUM(O96),0.01)),"")</f>
        <v/>
      </c>
      <c r="T96" s="314" t="str">
        <f t="shared" ca="1" si="7"/>
        <v/>
      </c>
      <c r="U96" s="314" t="str" cm="1">
        <f t="array" aca="1" ref="U96" ca="1">IFERROR(_xlfn.IFS(OR(F96="",LEFT(Methode_Keuze,4)="Geen",Methode_Keuze=""),"",AND(R96&lt;&gt;"",F96&lt;&gt;"Arbeidskosten"),R96*VLOOKUP(F96,Tb_ProjectKosten[],MATCH(Tb_ProjectKosten[[#Headers],[Forfait_Percentage]],Tb_ProjectKosten[#Headers],0),0),AND(F96="Arbeidskosten",G96&lt;&gt;""),IFERROR(R96*VLOOKUP(G96,Tb_KostenTypen[],3,0)*VLOOKUP(F96,Tb_ProjectKosten[],MATCH(Tb_ProjectKosten[[#Headers],[Forfait_Percentage]],Tb_ProjectKosten[#Headers],0),0),""),R96 &lt;=0,0),"")</f>
        <v/>
      </c>
      <c r="V96" s="314" t="str" cm="1">
        <f t="array" aca="1" ref="V96" ca="1">IFERROR(_xlfn.IFS(OR(F96="",LEFT(Methode_Keuze,4)="Geen",Methode_Keuze=""),"",AND(S96&lt;&gt;"",F96&lt;&gt;"Arbeidskosten"),S96*VLOOKUP(F96,Tb_ProjectKosten[],MATCH(Tb_ProjectKosten[[#Headers],[Forfait_Percentage]],Tb_ProjectKosten[#Headers],0),0),AND(F96="Arbeidskosten",G96&lt;&gt;""),IFERROR(S96*VLOOKUP(G96,Tb_KostenTypen[],3,0)*VLOOKUP(F96,Tb_ProjectKosten[],MATCH(Tb_ProjectKosten[[#Headers],[Forfait_Percentage]],Tb_ProjectKosten[#Headers],0),0),""),S96 &lt;=0,0),"")</f>
        <v/>
      </c>
      <c r="W96" s="314" t="str">
        <f t="shared" ca="1" si="8"/>
        <v/>
      </c>
      <c r="X96" s="376" t="str">
        <f>IFERROR(VLOOKUP(F96,Tb_ProjectKosten[#All],11,0),"")</f>
        <v/>
      </c>
      <c r="Y96" s="315"/>
    </row>
    <row r="97" spans="1:25" x14ac:dyDescent="0.25">
      <c r="A97" s="309">
        <f>MAX($A$5:A96)+1</f>
        <v>92</v>
      </c>
      <c r="B97" s="296"/>
      <c r="C97" s="296"/>
      <c r="D97" s="296"/>
      <c r="E97" s="296"/>
      <c r="F97" s="296"/>
      <c r="G97" s="327"/>
      <c r="H97" s="310" t="str">
        <f ca="1">IFERROR(IF(VLOOKUP(F97,Kostentypen!$A$3:$E$21,3,0)=0,"",IF(OR(F97="Arbeidskosten",F97="Vergoeding"),VLOOKUP(G97,Tb_KostenTypen[],2,0),VLOOKUP(F97,Kostentypen!$A$3:$E$20,3,0))),"")</f>
        <v/>
      </c>
      <c r="I97" s="311"/>
      <c r="J97" s="312" t="str" cm="1">
        <f t="array" ref="J97">_xlfn.IFNA(IF(INDEX(Tb_KostenOpties[],MATCH($F97,Tb_KostenOpties[KostenOptie],0),IFERROR(MATCH(Methode_Keuze,Tb_KostenOpties[#Headers],0),2))=1,_xlfn.SWITCH($H97,"Uurtarief",IF(OR(AND(RIGHT($F97,3)="IKS",VLOOKUP($I97,Loonkosten,2,0)="Ja"),AND(RIGHT($F97,3)&lt;&gt;"IKS",VLOOKUP($I97,Loonkosten,2,0)="Nee")), VLOOKUP($I97,Loonkosten,MATCH("Opgegeven uurtarief",'4. Rekenhulp loonkosten aanvr.'!$4:$4,0)),0),"Vast tarief",IF(LEFT(F97,8)="Bijdrage",VLOOKUP($F97,Tb_KostenTypen[],MATCH(Lijsten!$P$1,Tb_KostenTypen[#Headers],0),0),VLOOKUP($G97,Lijsten!L:P,MATCH(Lijsten!$P$1,Kop_Tarief_Vast,0),0))),""),"")</f>
        <v/>
      </c>
      <c r="K97" s="312" t="str" cm="1">
        <f t="array" ref="K97">_xlfn.IFNA(IF(INDEX(Tb_KostenOpties[],MATCH($F97,Tb_KostenOpties[KostenOptie],0),IFERROR(MATCH(Methode_Keuze,Tb_KostenOpties[#Headers],0),2))=1,_xlfn.SWITCH($H97,"Uurtarief",IF(OR(AND(RIGHT($F97,3)="IKS",VLOOKUP($I97,Loonkosten,2,0)="Ja"),AND(RIGHT($F97,3)&lt;&gt;"IKS",VLOOKUP($I97,Loonkosten,2,0)="Nee")), VLOOKUP($I97,Loonkosten,MATCH("Beoordeeld uurtarief",'4. Rekenhulp loonkosten aanvr.'!$4:$4,0),0),0),"Vast tarief",IF(LEFT(F97,8)="Bijdrage",VLOOKUP($F97,Tb_KostenTypen[],MATCH(Lijsten!$P$1,Tb_KostenTypen[#Headers],0),0),VLOOKUP($G97,Lijsten!L:P,MATCH(Lijsten!$P$1,Kop_Tarief_Vast,0),0))),""),"")</f>
        <v/>
      </c>
      <c r="L97" s="358"/>
      <c r="M97" s="358"/>
      <c r="N97" s="313"/>
      <c r="O97" s="313"/>
      <c r="P97" s="374" t="str">
        <f t="shared" si="5"/>
        <v/>
      </c>
      <c r="Q97" s="314" t="str">
        <f t="shared" si="6"/>
        <v/>
      </c>
      <c r="R97" s="314" t="str" cm="1">
        <f t="array" aca="1" ref="R97" ca="1">_xlfn.IFNA(_xlfn.IFS(X97="Dit kostentype hoeft u niet op te geven. Hiervoor wordt een forfait berekend.","",AND(J97&lt;&gt;"",H97="Vast tarief",F97="Vergoeding"),SUM(J97)*FLOOR(SUM(L97),0.0001),AND(J97&lt;&gt;"",OR(H97="Uurtarief",H97="Vast tarief")),SUM(J97)*FLOOR(SUM(L97),0.01),AND(N97&lt;&gt;"",H97="-"),FLOOR(SUM(N97),0.01)),"")</f>
        <v/>
      </c>
      <c r="S97" s="314" t="str" cm="1">
        <f t="array" aca="1" ref="S97" ca="1">_xlfn.IFNA(_xlfn.IFS(X97="Dit kostentype hoeft u niet op te geven. Hiervoor wordt een forfait berekend.","",AND(K97&lt;&gt;"",M97&lt;&gt;"",H97="Vast tarief",F97="Vergoeding"),SUM(K97)*FLOOR(SUM(M97),0.0001),AND(K97&lt;&gt;"",M97&lt;&gt;"",OR(H97="Uurtarief",H97="Vast tarief")),SUM(K97)*FLOOR(SUM(M97),0.01),AND(O97&lt;&gt;"",H97="-"),FLOOR(SUM(O97),0.01)),"")</f>
        <v/>
      </c>
      <c r="T97" s="314" t="str">
        <f t="shared" ca="1" si="7"/>
        <v/>
      </c>
      <c r="U97" s="314" t="str" cm="1">
        <f t="array" aca="1" ref="U97" ca="1">IFERROR(_xlfn.IFS(OR(F97="",LEFT(Methode_Keuze,4)="Geen",Methode_Keuze=""),"",AND(R97&lt;&gt;"",F97&lt;&gt;"Arbeidskosten"),R97*VLOOKUP(F97,Tb_ProjectKosten[],MATCH(Tb_ProjectKosten[[#Headers],[Forfait_Percentage]],Tb_ProjectKosten[#Headers],0),0),AND(F97="Arbeidskosten",G97&lt;&gt;""),IFERROR(R97*VLOOKUP(G97,Tb_KostenTypen[],3,0)*VLOOKUP(F97,Tb_ProjectKosten[],MATCH(Tb_ProjectKosten[[#Headers],[Forfait_Percentage]],Tb_ProjectKosten[#Headers],0),0),""),R97 &lt;=0,0),"")</f>
        <v/>
      </c>
      <c r="V97" s="314" t="str" cm="1">
        <f t="array" aca="1" ref="V97" ca="1">IFERROR(_xlfn.IFS(OR(F97="",LEFT(Methode_Keuze,4)="Geen",Methode_Keuze=""),"",AND(S97&lt;&gt;"",F97&lt;&gt;"Arbeidskosten"),S97*VLOOKUP(F97,Tb_ProjectKosten[],MATCH(Tb_ProjectKosten[[#Headers],[Forfait_Percentage]],Tb_ProjectKosten[#Headers],0),0),AND(F97="Arbeidskosten",G97&lt;&gt;""),IFERROR(S97*VLOOKUP(G97,Tb_KostenTypen[],3,0)*VLOOKUP(F97,Tb_ProjectKosten[],MATCH(Tb_ProjectKosten[[#Headers],[Forfait_Percentage]],Tb_ProjectKosten[#Headers],0),0),""),S97 &lt;=0,0),"")</f>
        <v/>
      </c>
      <c r="W97" s="314" t="str">
        <f t="shared" ca="1" si="8"/>
        <v/>
      </c>
      <c r="X97" s="376" t="str">
        <f>IFERROR(VLOOKUP(F97,Tb_ProjectKosten[#All],11,0),"")</f>
        <v/>
      </c>
      <c r="Y97" s="315"/>
    </row>
    <row r="98" spans="1:25" x14ac:dyDescent="0.25">
      <c r="A98" s="309">
        <f>MAX($A$5:A97)+1</f>
        <v>93</v>
      </c>
      <c r="B98" s="296"/>
      <c r="C98" s="296"/>
      <c r="D98" s="296"/>
      <c r="E98" s="296"/>
      <c r="F98" s="296"/>
      <c r="G98" s="327"/>
      <c r="H98" s="310" t="str">
        <f ca="1">IFERROR(IF(VLOOKUP(F98,Kostentypen!$A$3:$E$21,3,0)=0,"",IF(OR(F98="Arbeidskosten",F98="Vergoeding"),VLOOKUP(G98,Tb_KostenTypen[],2,0),VLOOKUP(F98,Kostentypen!$A$3:$E$20,3,0))),"")</f>
        <v/>
      </c>
      <c r="I98" s="311"/>
      <c r="J98" s="312" t="str" cm="1">
        <f t="array" ref="J98">_xlfn.IFNA(IF(INDEX(Tb_KostenOpties[],MATCH($F98,Tb_KostenOpties[KostenOptie],0),IFERROR(MATCH(Methode_Keuze,Tb_KostenOpties[#Headers],0),2))=1,_xlfn.SWITCH($H98,"Uurtarief",IF(OR(AND(RIGHT($F98,3)="IKS",VLOOKUP($I98,Loonkosten,2,0)="Ja"),AND(RIGHT($F98,3)&lt;&gt;"IKS",VLOOKUP($I98,Loonkosten,2,0)="Nee")), VLOOKUP($I98,Loonkosten,MATCH("Opgegeven uurtarief",'4. Rekenhulp loonkosten aanvr.'!$4:$4,0)),0),"Vast tarief",IF(LEFT(F98,8)="Bijdrage",VLOOKUP($F98,Tb_KostenTypen[],MATCH(Lijsten!$P$1,Tb_KostenTypen[#Headers],0),0),VLOOKUP($G98,Lijsten!L:P,MATCH(Lijsten!$P$1,Kop_Tarief_Vast,0),0))),""),"")</f>
        <v/>
      </c>
      <c r="K98" s="312" t="str" cm="1">
        <f t="array" ref="K98">_xlfn.IFNA(IF(INDEX(Tb_KostenOpties[],MATCH($F98,Tb_KostenOpties[KostenOptie],0),IFERROR(MATCH(Methode_Keuze,Tb_KostenOpties[#Headers],0),2))=1,_xlfn.SWITCH($H98,"Uurtarief",IF(OR(AND(RIGHT($F98,3)="IKS",VLOOKUP($I98,Loonkosten,2,0)="Ja"),AND(RIGHT($F98,3)&lt;&gt;"IKS",VLOOKUP($I98,Loonkosten,2,0)="Nee")), VLOOKUP($I98,Loonkosten,MATCH("Beoordeeld uurtarief",'4. Rekenhulp loonkosten aanvr.'!$4:$4,0),0),0),"Vast tarief",IF(LEFT(F98,8)="Bijdrage",VLOOKUP($F98,Tb_KostenTypen[],MATCH(Lijsten!$P$1,Tb_KostenTypen[#Headers],0),0),VLOOKUP($G98,Lijsten!L:P,MATCH(Lijsten!$P$1,Kop_Tarief_Vast,0),0))),""),"")</f>
        <v/>
      </c>
      <c r="L98" s="358"/>
      <c r="M98" s="358"/>
      <c r="N98" s="313"/>
      <c r="O98" s="313"/>
      <c r="P98" s="374" t="str">
        <f t="shared" si="5"/>
        <v/>
      </c>
      <c r="Q98" s="314" t="str">
        <f t="shared" si="6"/>
        <v/>
      </c>
      <c r="R98" s="314" t="str" cm="1">
        <f t="array" aca="1" ref="R98" ca="1">_xlfn.IFNA(_xlfn.IFS(X98="Dit kostentype hoeft u niet op te geven. Hiervoor wordt een forfait berekend.","",AND(J98&lt;&gt;"",H98="Vast tarief",F98="Vergoeding"),SUM(J98)*FLOOR(SUM(L98),0.0001),AND(J98&lt;&gt;"",OR(H98="Uurtarief",H98="Vast tarief")),SUM(J98)*FLOOR(SUM(L98),0.01),AND(N98&lt;&gt;"",H98="-"),FLOOR(SUM(N98),0.01)),"")</f>
        <v/>
      </c>
      <c r="S98" s="314" t="str" cm="1">
        <f t="array" aca="1" ref="S98" ca="1">_xlfn.IFNA(_xlfn.IFS(X98="Dit kostentype hoeft u niet op te geven. Hiervoor wordt een forfait berekend.","",AND(K98&lt;&gt;"",M98&lt;&gt;"",H98="Vast tarief",F98="Vergoeding"),SUM(K98)*FLOOR(SUM(M98),0.0001),AND(K98&lt;&gt;"",M98&lt;&gt;"",OR(H98="Uurtarief",H98="Vast tarief")),SUM(K98)*FLOOR(SUM(M98),0.01),AND(O98&lt;&gt;"",H98="-"),FLOOR(SUM(O98),0.01)),"")</f>
        <v/>
      </c>
      <c r="T98" s="314" t="str">
        <f t="shared" ca="1" si="7"/>
        <v/>
      </c>
      <c r="U98" s="314" t="str" cm="1">
        <f t="array" aca="1" ref="U98" ca="1">IFERROR(_xlfn.IFS(OR(F98="",LEFT(Methode_Keuze,4)="Geen",Methode_Keuze=""),"",AND(R98&lt;&gt;"",F98&lt;&gt;"Arbeidskosten"),R98*VLOOKUP(F98,Tb_ProjectKosten[],MATCH(Tb_ProjectKosten[[#Headers],[Forfait_Percentage]],Tb_ProjectKosten[#Headers],0),0),AND(F98="Arbeidskosten",G98&lt;&gt;""),IFERROR(R98*VLOOKUP(G98,Tb_KostenTypen[],3,0)*VLOOKUP(F98,Tb_ProjectKosten[],MATCH(Tb_ProjectKosten[[#Headers],[Forfait_Percentage]],Tb_ProjectKosten[#Headers],0),0),""),R98 &lt;=0,0),"")</f>
        <v/>
      </c>
      <c r="V98" s="314" t="str" cm="1">
        <f t="array" aca="1" ref="V98" ca="1">IFERROR(_xlfn.IFS(OR(F98="",LEFT(Methode_Keuze,4)="Geen",Methode_Keuze=""),"",AND(S98&lt;&gt;"",F98&lt;&gt;"Arbeidskosten"),S98*VLOOKUP(F98,Tb_ProjectKosten[],MATCH(Tb_ProjectKosten[[#Headers],[Forfait_Percentage]],Tb_ProjectKosten[#Headers],0),0),AND(F98="Arbeidskosten",G98&lt;&gt;""),IFERROR(S98*VLOOKUP(G98,Tb_KostenTypen[],3,0)*VLOOKUP(F98,Tb_ProjectKosten[],MATCH(Tb_ProjectKosten[[#Headers],[Forfait_Percentage]],Tb_ProjectKosten[#Headers],0),0),""),S98 &lt;=0,0),"")</f>
        <v/>
      </c>
      <c r="W98" s="314" t="str">
        <f t="shared" ca="1" si="8"/>
        <v/>
      </c>
      <c r="X98" s="376" t="str">
        <f>IFERROR(VLOOKUP(F98,Tb_ProjectKosten[#All],11,0),"")</f>
        <v/>
      </c>
      <c r="Y98" s="315"/>
    </row>
    <row r="99" spans="1:25" x14ac:dyDescent="0.25">
      <c r="A99" s="309">
        <f>MAX($A$5:A98)+1</f>
        <v>94</v>
      </c>
      <c r="B99" s="296"/>
      <c r="C99" s="296"/>
      <c r="D99" s="296"/>
      <c r="E99" s="296"/>
      <c r="F99" s="296"/>
      <c r="G99" s="327"/>
      <c r="H99" s="310" t="str">
        <f ca="1">IFERROR(IF(VLOOKUP(F99,Kostentypen!$A$3:$E$21,3,0)=0,"",IF(OR(F99="Arbeidskosten",F99="Vergoeding"),VLOOKUP(G99,Tb_KostenTypen[],2,0),VLOOKUP(F99,Kostentypen!$A$3:$E$20,3,0))),"")</f>
        <v/>
      </c>
      <c r="I99" s="311"/>
      <c r="J99" s="312" t="str" cm="1">
        <f t="array" ref="J99">_xlfn.IFNA(IF(INDEX(Tb_KostenOpties[],MATCH($F99,Tb_KostenOpties[KostenOptie],0),IFERROR(MATCH(Methode_Keuze,Tb_KostenOpties[#Headers],0),2))=1,_xlfn.SWITCH($H99,"Uurtarief",IF(OR(AND(RIGHT($F99,3)="IKS",VLOOKUP($I99,Loonkosten,2,0)="Ja"),AND(RIGHT($F99,3)&lt;&gt;"IKS",VLOOKUP($I99,Loonkosten,2,0)="Nee")), VLOOKUP($I99,Loonkosten,MATCH("Opgegeven uurtarief",'4. Rekenhulp loonkosten aanvr.'!$4:$4,0)),0),"Vast tarief",IF(LEFT(F99,8)="Bijdrage",VLOOKUP($F99,Tb_KostenTypen[],MATCH(Lijsten!$P$1,Tb_KostenTypen[#Headers],0),0),VLOOKUP($G99,Lijsten!L:P,MATCH(Lijsten!$P$1,Kop_Tarief_Vast,0),0))),""),"")</f>
        <v/>
      </c>
      <c r="K99" s="312" t="str" cm="1">
        <f t="array" ref="K99">_xlfn.IFNA(IF(INDEX(Tb_KostenOpties[],MATCH($F99,Tb_KostenOpties[KostenOptie],0),IFERROR(MATCH(Methode_Keuze,Tb_KostenOpties[#Headers],0),2))=1,_xlfn.SWITCH($H99,"Uurtarief",IF(OR(AND(RIGHT($F99,3)="IKS",VLOOKUP($I99,Loonkosten,2,0)="Ja"),AND(RIGHT($F99,3)&lt;&gt;"IKS",VLOOKUP($I99,Loonkosten,2,0)="Nee")), VLOOKUP($I99,Loonkosten,MATCH("Beoordeeld uurtarief",'4. Rekenhulp loonkosten aanvr.'!$4:$4,0),0),0),"Vast tarief",IF(LEFT(F99,8)="Bijdrage",VLOOKUP($F99,Tb_KostenTypen[],MATCH(Lijsten!$P$1,Tb_KostenTypen[#Headers],0),0),VLOOKUP($G99,Lijsten!L:P,MATCH(Lijsten!$P$1,Kop_Tarief_Vast,0),0))),""),"")</f>
        <v/>
      </c>
      <c r="L99" s="358"/>
      <c r="M99" s="358"/>
      <c r="N99" s="313"/>
      <c r="O99" s="313"/>
      <c r="P99" s="374" t="str">
        <f t="shared" si="5"/>
        <v/>
      </c>
      <c r="Q99" s="314" t="str">
        <f t="shared" si="6"/>
        <v/>
      </c>
      <c r="R99" s="314" t="str" cm="1">
        <f t="array" aca="1" ref="R99" ca="1">_xlfn.IFNA(_xlfn.IFS(X99="Dit kostentype hoeft u niet op te geven. Hiervoor wordt een forfait berekend.","",AND(J99&lt;&gt;"",H99="Vast tarief",F99="Vergoeding"),SUM(J99)*FLOOR(SUM(L99),0.0001),AND(J99&lt;&gt;"",OR(H99="Uurtarief",H99="Vast tarief")),SUM(J99)*FLOOR(SUM(L99),0.01),AND(N99&lt;&gt;"",H99="-"),FLOOR(SUM(N99),0.01)),"")</f>
        <v/>
      </c>
      <c r="S99" s="314" t="str" cm="1">
        <f t="array" aca="1" ref="S99" ca="1">_xlfn.IFNA(_xlfn.IFS(X99="Dit kostentype hoeft u niet op te geven. Hiervoor wordt een forfait berekend.","",AND(K99&lt;&gt;"",M99&lt;&gt;"",H99="Vast tarief",F99="Vergoeding"),SUM(K99)*FLOOR(SUM(M99),0.0001),AND(K99&lt;&gt;"",M99&lt;&gt;"",OR(H99="Uurtarief",H99="Vast tarief")),SUM(K99)*FLOOR(SUM(M99),0.01),AND(O99&lt;&gt;"",H99="-"),FLOOR(SUM(O99),0.01)),"")</f>
        <v/>
      </c>
      <c r="T99" s="314" t="str">
        <f t="shared" ca="1" si="7"/>
        <v/>
      </c>
      <c r="U99" s="314" t="str" cm="1">
        <f t="array" aca="1" ref="U99" ca="1">IFERROR(_xlfn.IFS(OR(F99="",LEFT(Methode_Keuze,4)="Geen",Methode_Keuze=""),"",AND(R99&lt;&gt;"",F99&lt;&gt;"Arbeidskosten"),R99*VLOOKUP(F99,Tb_ProjectKosten[],MATCH(Tb_ProjectKosten[[#Headers],[Forfait_Percentage]],Tb_ProjectKosten[#Headers],0),0),AND(F99="Arbeidskosten",G99&lt;&gt;""),IFERROR(R99*VLOOKUP(G99,Tb_KostenTypen[],3,0)*VLOOKUP(F99,Tb_ProjectKosten[],MATCH(Tb_ProjectKosten[[#Headers],[Forfait_Percentage]],Tb_ProjectKosten[#Headers],0),0),""),R99 &lt;=0,0),"")</f>
        <v/>
      </c>
      <c r="V99" s="314" t="str" cm="1">
        <f t="array" aca="1" ref="V99" ca="1">IFERROR(_xlfn.IFS(OR(F99="",LEFT(Methode_Keuze,4)="Geen",Methode_Keuze=""),"",AND(S99&lt;&gt;"",F99&lt;&gt;"Arbeidskosten"),S99*VLOOKUP(F99,Tb_ProjectKosten[],MATCH(Tb_ProjectKosten[[#Headers],[Forfait_Percentage]],Tb_ProjectKosten[#Headers],0),0),AND(F99="Arbeidskosten",G99&lt;&gt;""),IFERROR(S99*VLOOKUP(G99,Tb_KostenTypen[],3,0)*VLOOKUP(F99,Tb_ProjectKosten[],MATCH(Tb_ProjectKosten[[#Headers],[Forfait_Percentage]],Tb_ProjectKosten[#Headers],0),0),""),S99 &lt;=0,0),"")</f>
        <v/>
      </c>
      <c r="W99" s="314" t="str">
        <f t="shared" ca="1" si="8"/>
        <v/>
      </c>
      <c r="X99" s="376" t="str">
        <f>IFERROR(VLOOKUP(F99,Tb_ProjectKosten[#All],11,0),"")</f>
        <v/>
      </c>
      <c r="Y99" s="315"/>
    </row>
    <row r="100" spans="1:25" x14ac:dyDescent="0.25">
      <c r="A100" s="309">
        <f>MAX($A$5:A99)+1</f>
        <v>95</v>
      </c>
      <c r="B100" s="296"/>
      <c r="C100" s="296"/>
      <c r="D100" s="296"/>
      <c r="E100" s="296"/>
      <c r="F100" s="296"/>
      <c r="G100" s="327"/>
      <c r="H100" s="310" t="str">
        <f ca="1">IFERROR(IF(VLOOKUP(F100,Kostentypen!$A$3:$E$21,3,0)=0,"",IF(OR(F100="Arbeidskosten",F100="Vergoeding"),VLOOKUP(G100,Tb_KostenTypen[],2,0),VLOOKUP(F100,Kostentypen!$A$3:$E$20,3,0))),"")</f>
        <v/>
      </c>
      <c r="I100" s="311"/>
      <c r="J100" s="312" t="str" cm="1">
        <f t="array" ref="J100">_xlfn.IFNA(IF(INDEX(Tb_KostenOpties[],MATCH($F100,Tb_KostenOpties[KostenOptie],0),IFERROR(MATCH(Methode_Keuze,Tb_KostenOpties[#Headers],0),2))=1,_xlfn.SWITCH($H100,"Uurtarief",IF(OR(AND(RIGHT($F100,3)="IKS",VLOOKUP($I100,Loonkosten,2,0)="Ja"),AND(RIGHT($F100,3)&lt;&gt;"IKS",VLOOKUP($I100,Loonkosten,2,0)="Nee")), VLOOKUP($I100,Loonkosten,MATCH("Opgegeven uurtarief",'4. Rekenhulp loonkosten aanvr.'!$4:$4,0)),0),"Vast tarief",IF(LEFT(F100,8)="Bijdrage",VLOOKUP($F100,Tb_KostenTypen[],MATCH(Lijsten!$P$1,Tb_KostenTypen[#Headers],0),0),VLOOKUP($G100,Lijsten!L:P,MATCH(Lijsten!$P$1,Kop_Tarief_Vast,0),0))),""),"")</f>
        <v/>
      </c>
      <c r="K100" s="312" t="str" cm="1">
        <f t="array" ref="K100">_xlfn.IFNA(IF(INDEX(Tb_KostenOpties[],MATCH($F100,Tb_KostenOpties[KostenOptie],0),IFERROR(MATCH(Methode_Keuze,Tb_KostenOpties[#Headers],0),2))=1,_xlfn.SWITCH($H100,"Uurtarief",IF(OR(AND(RIGHT($F100,3)="IKS",VLOOKUP($I100,Loonkosten,2,0)="Ja"),AND(RIGHT($F100,3)&lt;&gt;"IKS",VLOOKUP($I100,Loonkosten,2,0)="Nee")), VLOOKUP($I100,Loonkosten,MATCH("Beoordeeld uurtarief",'4. Rekenhulp loonkosten aanvr.'!$4:$4,0),0),0),"Vast tarief",IF(LEFT(F100,8)="Bijdrage",VLOOKUP($F100,Tb_KostenTypen[],MATCH(Lijsten!$P$1,Tb_KostenTypen[#Headers],0),0),VLOOKUP($G100,Lijsten!L:P,MATCH(Lijsten!$P$1,Kop_Tarief_Vast,0),0))),""),"")</f>
        <v/>
      </c>
      <c r="L100" s="358"/>
      <c r="M100" s="358"/>
      <c r="N100" s="313"/>
      <c r="O100" s="313"/>
      <c r="P100" s="374" t="str">
        <f t="shared" si="5"/>
        <v/>
      </c>
      <c r="Q100" s="314" t="str">
        <f t="shared" si="6"/>
        <v/>
      </c>
      <c r="R100" s="314" t="str" cm="1">
        <f t="array" aca="1" ref="R100" ca="1">_xlfn.IFNA(_xlfn.IFS(X100="Dit kostentype hoeft u niet op te geven. Hiervoor wordt een forfait berekend.","",AND(J100&lt;&gt;"",H100="Vast tarief",F100="Vergoeding"),SUM(J100)*FLOOR(SUM(L100),0.0001),AND(J100&lt;&gt;"",OR(H100="Uurtarief",H100="Vast tarief")),SUM(J100)*FLOOR(SUM(L100),0.01),AND(N100&lt;&gt;"",H100="-"),FLOOR(SUM(N100),0.01)),"")</f>
        <v/>
      </c>
      <c r="S100" s="314" t="str" cm="1">
        <f t="array" aca="1" ref="S100" ca="1">_xlfn.IFNA(_xlfn.IFS(X100="Dit kostentype hoeft u niet op te geven. Hiervoor wordt een forfait berekend.","",AND(K100&lt;&gt;"",M100&lt;&gt;"",H100="Vast tarief",F100="Vergoeding"),SUM(K100)*FLOOR(SUM(M100),0.0001),AND(K100&lt;&gt;"",M100&lt;&gt;"",OR(H100="Uurtarief",H100="Vast tarief")),SUM(K100)*FLOOR(SUM(M100),0.01),AND(O100&lt;&gt;"",H100="-"),FLOOR(SUM(O100),0.01)),"")</f>
        <v/>
      </c>
      <c r="T100" s="314" t="str">
        <f t="shared" ca="1" si="7"/>
        <v/>
      </c>
      <c r="U100" s="314" t="str" cm="1">
        <f t="array" aca="1" ref="U100" ca="1">IFERROR(_xlfn.IFS(OR(F100="",LEFT(Methode_Keuze,4)="Geen",Methode_Keuze=""),"",AND(R100&lt;&gt;"",F100&lt;&gt;"Arbeidskosten"),R100*VLOOKUP(F100,Tb_ProjectKosten[],MATCH(Tb_ProjectKosten[[#Headers],[Forfait_Percentage]],Tb_ProjectKosten[#Headers],0),0),AND(F100="Arbeidskosten",G100&lt;&gt;""),IFERROR(R100*VLOOKUP(G100,Tb_KostenTypen[],3,0)*VLOOKUP(F100,Tb_ProjectKosten[],MATCH(Tb_ProjectKosten[[#Headers],[Forfait_Percentage]],Tb_ProjectKosten[#Headers],0),0),""),R100 &lt;=0,0),"")</f>
        <v/>
      </c>
      <c r="V100" s="314" t="str" cm="1">
        <f t="array" aca="1" ref="V100" ca="1">IFERROR(_xlfn.IFS(OR(F100="",LEFT(Methode_Keuze,4)="Geen",Methode_Keuze=""),"",AND(S100&lt;&gt;"",F100&lt;&gt;"Arbeidskosten"),S100*VLOOKUP(F100,Tb_ProjectKosten[],MATCH(Tb_ProjectKosten[[#Headers],[Forfait_Percentage]],Tb_ProjectKosten[#Headers],0),0),AND(F100="Arbeidskosten",G100&lt;&gt;""),IFERROR(S100*VLOOKUP(G100,Tb_KostenTypen[],3,0)*VLOOKUP(F100,Tb_ProjectKosten[],MATCH(Tb_ProjectKosten[[#Headers],[Forfait_Percentage]],Tb_ProjectKosten[#Headers],0),0),""),S100 &lt;=0,0),"")</f>
        <v/>
      </c>
      <c r="W100" s="314" t="str">
        <f t="shared" ca="1" si="8"/>
        <v/>
      </c>
      <c r="X100" s="376" t="str">
        <f>IFERROR(VLOOKUP(F100,Tb_ProjectKosten[#All],11,0),"")</f>
        <v/>
      </c>
      <c r="Y100" s="315"/>
    </row>
    <row r="101" spans="1:25" x14ac:dyDescent="0.25">
      <c r="A101" s="309">
        <f>MAX($A$5:A100)+1</f>
        <v>96</v>
      </c>
      <c r="B101" s="296"/>
      <c r="C101" s="296"/>
      <c r="D101" s="296"/>
      <c r="E101" s="296"/>
      <c r="F101" s="296"/>
      <c r="G101" s="327"/>
      <c r="H101" s="310" t="str">
        <f ca="1">IFERROR(IF(VLOOKUP(F101,Kostentypen!$A$3:$E$21,3,0)=0,"",IF(OR(F101="Arbeidskosten",F101="Vergoeding"),VLOOKUP(G101,Tb_KostenTypen[],2,0),VLOOKUP(F101,Kostentypen!$A$3:$E$20,3,0))),"")</f>
        <v/>
      </c>
      <c r="I101" s="311"/>
      <c r="J101" s="312" t="str" cm="1">
        <f t="array" ref="J101">_xlfn.IFNA(IF(INDEX(Tb_KostenOpties[],MATCH($F101,Tb_KostenOpties[KostenOptie],0),IFERROR(MATCH(Methode_Keuze,Tb_KostenOpties[#Headers],0),2))=1,_xlfn.SWITCH($H101,"Uurtarief",IF(OR(AND(RIGHT($F101,3)="IKS",VLOOKUP($I101,Loonkosten,2,0)="Ja"),AND(RIGHT($F101,3)&lt;&gt;"IKS",VLOOKUP($I101,Loonkosten,2,0)="Nee")), VLOOKUP($I101,Loonkosten,MATCH("Opgegeven uurtarief",'4. Rekenhulp loonkosten aanvr.'!$4:$4,0)),0),"Vast tarief",IF(LEFT(F101,8)="Bijdrage",VLOOKUP($F101,Tb_KostenTypen[],MATCH(Lijsten!$P$1,Tb_KostenTypen[#Headers],0),0),VLOOKUP($G101,Lijsten!L:P,MATCH(Lijsten!$P$1,Kop_Tarief_Vast,0),0))),""),"")</f>
        <v/>
      </c>
      <c r="K101" s="312" t="str" cm="1">
        <f t="array" ref="K101">_xlfn.IFNA(IF(INDEX(Tb_KostenOpties[],MATCH($F101,Tb_KostenOpties[KostenOptie],0),IFERROR(MATCH(Methode_Keuze,Tb_KostenOpties[#Headers],0),2))=1,_xlfn.SWITCH($H101,"Uurtarief",IF(OR(AND(RIGHT($F101,3)="IKS",VLOOKUP($I101,Loonkosten,2,0)="Ja"),AND(RIGHT($F101,3)&lt;&gt;"IKS",VLOOKUP($I101,Loonkosten,2,0)="Nee")), VLOOKUP($I101,Loonkosten,MATCH("Beoordeeld uurtarief",'4. Rekenhulp loonkosten aanvr.'!$4:$4,0),0),0),"Vast tarief",IF(LEFT(F101,8)="Bijdrage",VLOOKUP($F101,Tb_KostenTypen[],MATCH(Lijsten!$P$1,Tb_KostenTypen[#Headers],0),0),VLOOKUP($G101,Lijsten!L:P,MATCH(Lijsten!$P$1,Kop_Tarief_Vast,0),0))),""),"")</f>
        <v/>
      </c>
      <c r="L101" s="358"/>
      <c r="M101" s="358"/>
      <c r="N101" s="313"/>
      <c r="O101" s="313"/>
      <c r="P101" s="374" t="str">
        <f t="shared" si="5"/>
        <v/>
      </c>
      <c r="Q101" s="314" t="str">
        <f t="shared" si="6"/>
        <v/>
      </c>
      <c r="R101" s="314" t="str" cm="1">
        <f t="array" aca="1" ref="R101" ca="1">_xlfn.IFNA(_xlfn.IFS(X101="Dit kostentype hoeft u niet op te geven. Hiervoor wordt een forfait berekend.","",AND(J101&lt;&gt;"",H101="Vast tarief",F101="Vergoeding"),SUM(J101)*FLOOR(SUM(L101),0.0001),AND(J101&lt;&gt;"",OR(H101="Uurtarief",H101="Vast tarief")),SUM(J101)*FLOOR(SUM(L101),0.01),AND(N101&lt;&gt;"",H101="-"),FLOOR(SUM(N101),0.01)),"")</f>
        <v/>
      </c>
      <c r="S101" s="314" t="str" cm="1">
        <f t="array" aca="1" ref="S101" ca="1">_xlfn.IFNA(_xlfn.IFS(X101="Dit kostentype hoeft u niet op te geven. Hiervoor wordt een forfait berekend.","",AND(K101&lt;&gt;"",M101&lt;&gt;"",H101="Vast tarief",F101="Vergoeding"),SUM(K101)*FLOOR(SUM(M101),0.0001),AND(K101&lt;&gt;"",M101&lt;&gt;"",OR(H101="Uurtarief",H101="Vast tarief")),SUM(K101)*FLOOR(SUM(M101),0.01),AND(O101&lt;&gt;"",H101="-"),FLOOR(SUM(O101),0.01)),"")</f>
        <v/>
      </c>
      <c r="T101" s="314" t="str">
        <f t="shared" ca="1" si="7"/>
        <v/>
      </c>
      <c r="U101" s="314" t="str" cm="1">
        <f t="array" aca="1" ref="U101" ca="1">IFERROR(_xlfn.IFS(OR(F101="",LEFT(Methode_Keuze,4)="Geen",Methode_Keuze=""),"",AND(R101&lt;&gt;"",F101&lt;&gt;"Arbeidskosten"),R101*VLOOKUP(F101,Tb_ProjectKosten[],MATCH(Tb_ProjectKosten[[#Headers],[Forfait_Percentage]],Tb_ProjectKosten[#Headers],0),0),AND(F101="Arbeidskosten",G101&lt;&gt;""),IFERROR(R101*VLOOKUP(G101,Tb_KostenTypen[],3,0)*VLOOKUP(F101,Tb_ProjectKosten[],MATCH(Tb_ProjectKosten[[#Headers],[Forfait_Percentage]],Tb_ProjectKosten[#Headers],0),0),""),R101 &lt;=0,0),"")</f>
        <v/>
      </c>
      <c r="V101" s="314" t="str" cm="1">
        <f t="array" aca="1" ref="V101" ca="1">IFERROR(_xlfn.IFS(OR(F101="",LEFT(Methode_Keuze,4)="Geen",Methode_Keuze=""),"",AND(S101&lt;&gt;"",F101&lt;&gt;"Arbeidskosten"),S101*VLOOKUP(F101,Tb_ProjectKosten[],MATCH(Tb_ProjectKosten[[#Headers],[Forfait_Percentage]],Tb_ProjectKosten[#Headers],0),0),AND(F101="Arbeidskosten",G101&lt;&gt;""),IFERROR(S101*VLOOKUP(G101,Tb_KostenTypen[],3,0)*VLOOKUP(F101,Tb_ProjectKosten[],MATCH(Tb_ProjectKosten[[#Headers],[Forfait_Percentage]],Tb_ProjectKosten[#Headers],0),0),""),S101 &lt;=0,0),"")</f>
        <v/>
      </c>
      <c r="W101" s="314" t="str">
        <f t="shared" ca="1" si="8"/>
        <v/>
      </c>
      <c r="X101" s="376" t="str">
        <f>IFERROR(VLOOKUP(F101,Tb_ProjectKosten[#All],11,0),"")</f>
        <v/>
      </c>
      <c r="Y101" s="315"/>
    </row>
    <row r="102" spans="1:25" x14ac:dyDescent="0.25">
      <c r="A102" s="309">
        <f>MAX($A$5:A101)+1</f>
        <v>97</v>
      </c>
      <c r="B102" s="296"/>
      <c r="C102" s="296"/>
      <c r="D102" s="296"/>
      <c r="E102" s="296"/>
      <c r="F102" s="296"/>
      <c r="G102" s="327"/>
      <c r="H102" s="310" t="str">
        <f ca="1">IFERROR(IF(VLOOKUP(F102,Kostentypen!$A$3:$E$21,3,0)=0,"",IF(OR(F102="Arbeidskosten",F102="Vergoeding"),VLOOKUP(G102,Tb_KostenTypen[],2,0),VLOOKUP(F102,Kostentypen!$A$3:$E$20,3,0))),"")</f>
        <v/>
      </c>
      <c r="I102" s="311"/>
      <c r="J102" s="312" t="str" cm="1">
        <f t="array" ref="J102">_xlfn.IFNA(IF(INDEX(Tb_KostenOpties[],MATCH($F102,Tb_KostenOpties[KostenOptie],0),IFERROR(MATCH(Methode_Keuze,Tb_KostenOpties[#Headers],0),2))=1,_xlfn.SWITCH($H102,"Uurtarief",IF(OR(AND(RIGHT($F102,3)="IKS",VLOOKUP($I102,Loonkosten,2,0)="Ja"),AND(RIGHT($F102,3)&lt;&gt;"IKS",VLOOKUP($I102,Loonkosten,2,0)="Nee")), VLOOKUP($I102,Loonkosten,MATCH("Opgegeven uurtarief",'4. Rekenhulp loonkosten aanvr.'!$4:$4,0)),0),"Vast tarief",IF(LEFT(F102,8)="Bijdrage",VLOOKUP($F102,Tb_KostenTypen[],MATCH(Lijsten!$P$1,Tb_KostenTypen[#Headers],0),0),VLOOKUP($G102,Lijsten!L:P,MATCH(Lijsten!$P$1,Kop_Tarief_Vast,0),0))),""),"")</f>
        <v/>
      </c>
      <c r="K102" s="312" t="str" cm="1">
        <f t="array" ref="K102">_xlfn.IFNA(IF(INDEX(Tb_KostenOpties[],MATCH($F102,Tb_KostenOpties[KostenOptie],0),IFERROR(MATCH(Methode_Keuze,Tb_KostenOpties[#Headers],0),2))=1,_xlfn.SWITCH($H102,"Uurtarief",IF(OR(AND(RIGHT($F102,3)="IKS",VLOOKUP($I102,Loonkosten,2,0)="Ja"),AND(RIGHT($F102,3)&lt;&gt;"IKS",VLOOKUP($I102,Loonkosten,2,0)="Nee")), VLOOKUP($I102,Loonkosten,MATCH("Beoordeeld uurtarief",'4. Rekenhulp loonkosten aanvr.'!$4:$4,0),0),0),"Vast tarief",IF(LEFT(F102,8)="Bijdrage",VLOOKUP($F102,Tb_KostenTypen[],MATCH(Lijsten!$P$1,Tb_KostenTypen[#Headers],0),0),VLOOKUP($G102,Lijsten!L:P,MATCH(Lijsten!$P$1,Kop_Tarief_Vast,0),0))),""),"")</f>
        <v/>
      </c>
      <c r="L102" s="358"/>
      <c r="M102" s="358"/>
      <c r="N102" s="313"/>
      <c r="O102" s="313"/>
      <c r="P102" s="374" t="str">
        <f t="shared" si="5"/>
        <v/>
      </c>
      <c r="Q102" s="314" t="str">
        <f t="shared" si="6"/>
        <v/>
      </c>
      <c r="R102" s="314" t="str" cm="1">
        <f t="array" aca="1" ref="R102" ca="1">_xlfn.IFNA(_xlfn.IFS(X102="Dit kostentype hoeft u niet op te geven. Hiervoor wordt een forfait berekend.","",AND(J102&lt;&gt;"",H102="Vast tarief",F102="Vergoeding"),SUM(J102)*FLOOR(SUM(L102),0.0001),AND(J102&lt;&gt;"",OR(H102="Uurtarief",H102="Vast tarief")),SUM(J102)*FLOOR(SUM(L102),0.01),AND(N102&lt;&gt;"",H102="-"),FLOOR(SUM(N102),0.01)),"")</f>
        <v/>
      </c>
      <c r="S102" s="314" t="str" cm="1">
        <f t="array" aca="1" ref="S102" ca="1">_xlfn.IFNA(_xlfn.IFS(X102="Dit kostentype hoeft u niet op te geven. Hiervoor wordt een forfait berekend.","",AND(K102&lt;&gt;"",M102&lt;&gt;"",H102="Vast tarief",F102="Vergoeding"),SUM(K102)*FLOOR(SUM(M102),0.0001),AND(K102&lt;&gt;"",M102&lt;&gt;"",OR(H102="Uurtarief",H102="Vast tarief")),SUM(K102)*FLOOR(SUM(M102),0.01),AND(O102&lt;&gt;"",H102="-"),FLOOR(SUM(O102),0.01)),"")</f>
        <v/>
      </c>
      <c r="T102" s="314" t="str">
        <f t="shared" ca="1" si="7"/>
        <v/>
      </c>
      <c r="U102" s="314" t="str" cm="1">
        <f t="array" aca="1" ref="U102" ca="1">IFERROR(_xlfn.IFS(OR(F102="",LEFT(Methode_Keuze,4)="Geen",Methode_Keuze=""),"",AND(R102&lt;&gt;"",F102&lt;&gt;"Arbeidskosten"),R102*VLOOKUP(F102,Tb_ProjectKosten[],MATCH(Tb_ProjectKosten[[#Headers],[Forfait_Percentage]],Tb_ProjectKosten[#Headers],0),0),AND(F102="Arbeidskosten",G102&lt;&gt;""),IFERROR(R102*VLOOKUP(G102,Tb_KostenTypen[],3,0)*VLOOKUP(F102,Tb_ProjectKosten[],MATCH(Tb_ProjectKosten[[#Headers],[Forfait_Percentage]],Tb_ProjectKosten[#Headers],0),0),""),R102 &lt;=0,0),"")</f>
        <v/>
      </c>
      <c r="V102" s="314" t="str" cm="1">
        <f t="array" aca="1" ref="V102" ca="1">IFERROR(_xlfn.IFS(OR(F102="",LEFT(Methode_Keuze,4)="Geen",Methode_Keuze=""),"",AND(S102&lt;&gt;"",F102&lt;&gt;"Arbeidskosten"),S102*VLOOKUP(F102,Tb_ProjectKosten[],MATCH(Tb_ProjectKosten[[#Headers],[Forfait_Percentage]],Tb_ProjectKosten[#Headers],0),0),AND(F102="Arbeidskosten",G102&lt;&gt;""),IFERROR(S102*VLOOKUP(G102,Tb_KostenTypen[],3,0)*VLOOKUP(F102,Tb_ProjectKosten[],MATCH(Tb_ProjectKosten[[#Headers],[Forfait_Percentage]],Tb_ProjectKosten[#Headers],0),0),""),S102 &lt;=0,0),"")</f>
        <v/>
      </c>
      <c r="W102" s="314" t="str">
        <f t="shared" ca="1" si="8"/>
        <v/>
      </c>
      <c r="X102" s="376" t="str">
        <f>IFERROR(VLOOKUP(F102,Tb_ProjectKosten[#All],11,0),"")</f>
        <v/>
      </c>
      <c r="Y102" s="315"/>
    </row>
    <row r="103" spans="1:25" x14ac:dyDescent="0.25">
      <c r="A103" s="309">
        <f>MAX($A$5:A102)+1</f>
        <v>98</v>
      </c>
      <c r="B103" s="296"/>
      <c r="C103" s="296"/>
      <c r="D103" s="296"/>
      <c r="E103" s="296"/>
      <c r="F103" s="296"/>
      <c r="G103" s="327"/>
      <c r="H103" s="310" t="str">
        <f ca="1">IFERROR(IF(VLOOKUP(F103,Kostentypen!$A$3:$E$21,3,0)=0,"",IF(OR(F103="Arbeidskosten",F103="Vergoeding"),VLOOKUP(G103,Tb_KostenTypen[],2,0),VLOOKUP(F103,Kostentypen!$A$3:$E$20,3,0))),"")</f>
        <v/>
      </c>
      <c r="I103" s="311"/>
      <c r="J103" s="312" t="str" cm="1">
        <f t="array" ref="J103">_xlfn.IFNA(IF(INDEX(Tb_KostenOpties[],MATCH($F103,Tb_KostenOpties[KostenOptie],0),IFERROR(MATCH(Methode_Keuze,Tb_KostenOpties[#Headers],0),2))=1,_xlfn.SWITCH($H103,"Uurtarief",IF(OR(AND(RIGHT($F103,3)="IKS",VLOOKUP($I103,Loonkosten,2,0)="Ja"),AND(RIGHT($F103,3)&lt;&gt;"IKS",VLOOKUP($I103,Loonkosten,2,0)="Nee")), VLOOKUP($I103,Loonkosten,MATCH("Opgegeven uurtarief",'4. Rekenhulp loonkosten aanvr.'!$4:$4,0)),0),"Vast tarief",IF(LEFT(F103,8)="Bijdrage",VLOOKUP($F103,Tb_KostenTypen[],MATCH(Lijsten!$P$1,Tb_KostenTypen[#Headers],0),0),VLOOKUP($G103,Lijsten!L:P,MATCH(Lijsten!$P$1,Kop_Tarief_Vast,0),0))),""),"")</f>
        <v/>
      </c>
      <c r="K103" s="312" t="str" cm="1">
        <f t="array" ref="K103">_xlfn.IFNA(IF(INDEX(Tb_KostenOpties[],MATCH($F103,Tb_KostenOpties[KostenOptie],0),IFERROR(MATCH(Methode_Keuze,Tb_KostenOpties[#Headers],0),2))=1,_xlfn.SWITCH($H103,"Uurtarief",IF(OR(AND(RIGHT($F103,3)="IKS",VLOOKUP($I103,Loonkosten,2,0)="Ja"),AND(RIGHT($F103,3)&lt;&gt;"IKS",VLOOKUP($I103,Loonkosten,2,0)="Nee")), VLOOKUP($I103,Loonkosten,MATCH("Beoordeeld uurtarief",'4. Rekenhulp loonkosten aanvr.'!$4:$4,0),0),0),"Vast tarief",IF(LEFT(F103,8)="Bijdrage",VLOOKUP($F103,Tb_KostenTypen[],MATCH(Lijsten!$P$1,Tb_KostenTypen[#Headers],0),0),VLOOKUP($G103,Lijsten!L:P,MATCH(Lijsten!$P$1,Kop_Tarief_Vast,0),0))),""),"")</f>
        <v/>
      </c>
      <c r="L103" s="358"/>
      <c r="M103" s="358"/>
      <c r="N103" s="313"/>
      <c r="O103" s="313"/>
      <c r="P103" s="374" t="str">
        <f t="shared" si="5"/>
        <v/>
      </c>
      <c r="Q103" s="314" t="str">
        <f t="shared" si="6"/>
        <v/>
      </c>
      <c r="R103" s="314" t="str" cm="1">
        <f t="array" aca="1" ref="R103" ca="1">_xlfn.IFNA(_xlfn.IFS(X103="Dit kostentype hoeft u niet op te geven. Hiervoor wordt een forfait berekend.","",AND(J103&lt;&gt;"",H103="Vast tarief",F103="Vergoeding"),SUM(J103)*FLOOR(SUM(L103),0.0001),AND(J103&lt;&gt;"",OR(H103="Uurtarief",H103="Vast tarief")),SUM(J103)*FLOOR(SUM(L103),0.01),AND(N103&lt;&gt;"",H103="-"),FLOOR(SUM(N103),0.01)),"")</f>
        <v/>
      </c>
      <c r="S103" s="314" t="str" cm="1">
        <f t="array" aca="1" ref="S103" ca="1">_xlfn.IFNA(_xlfn.IFS(X103="Dit kostentype hoeft u niet op te geven. Hiervoor wordt een forfait berekend.","",AND(K103&lt;&gt;"",M103&lt;&gt;"",H103="Vast tarief",F103="Vergoeding"),SUM(K103)*FLOOR(SUM(M103),0.0001),AND(K103&lt;&gt;"",M103&lt;&gt;"",OR(H103="Uurtarief",H103="Vast tarief")),SUM(K103)*FLOOR(SUM(M103),0.01),AND(O103&lt;&gt;"",H103="-"),FLOOR(SUM(O103),0.01)),"")</f>
        <v/>
      </c>
      <c r="T103" s="314" t="str">
        <f t="shared" ca="1" si="7"/>
        <v/>
      </c>
      <c r="U103" s="314" t="str" cm="1">
        <f t="array" aca="1" ref="U103" ca="1">IFERROR(_xlfn.IFS(OR(F103="",LEFT(Methode_Keuze,4)="Geen",Methode_Keuze=""),"",AND(R103&lt;&gt;"",F103&lt;&gt;"Arbeidskosten"),R103*VLOOKUP(F103,Tb_ProjectKosten[],MATCH(Tb_ProjectKosten[[#Headers],[Forfait_Percentage]],Tb_ProjectKosten[#Headers],0),0),AND(F103="Arbeidskosten",G103&lt;&gt;""),IFERROR(R103*VLOOKUP(G103,Tb_KostenTypen[],3,0)*VLOOKUP(F103,Tb_ProjectKosten[],MATCH(Tb_ProjectKosten[[#Headers],[Forfait_Percentage]],Tb_ProjectKosten[#Headers],0),0),""),R103 &lt;=0,0),"")</f>
        <v/>
      </c>
      <c r="V103" s="314" t="str" cm="1">
        <f t="array" aca="1" ref="V103" ca="1">IFERROR(_xlfn.IFS(OR(F103="",LEFT(Methode_Keuze,4)="Geen",Methode_Keuze=""),"",AND(S103&lt;&gt;"",F103&lt;&gt;"Arbeidskosten"),S103*VLOOKUP(F103,Tb_ProjectKosten[],MATCH(Tb_ProjectKosten[[#Headers],[Forfait_Percentage]],Tb_ProjectKosten[#Headers],0),0),AND(F103="Arbeidskosten",G103&lt;&gt;""),IFERROR(S103*VLOOKUP(G103,Tb_KostenTypen[],3,0)*VLOOKUP(F103,Tb_ProjectKosten[],MATCH(Tb_ProjectKosten[[#Headers],[Forfait_Percentage]],Tb_ProjectKosten[#Headers],0),0),""),S103 &lt;=0,0),"")</f>
        <v/>
      </c>
      <c r="W103" s="314" t="str">
        <f t="shared" ca="1" si="8"/>
        <v/>
      </c>
      <c r="X103" s="376" t="str">
        <f>IFERROR(VLOOKUP(F103,Tb_ProjectKosten[#All],11,0),"")</f>
        <v/>
      </c>
      <c r="Y103" s="315"/>
    </row>
    <row r="104" spans="1:25" x14ac:dyDescent="0.25">
      <c r="A104" s="309">
        <f>MAX($A$5:A103)+1</f>
        <v>99</v>
      </c>
      <c r="B104" s="296"/>
      <c r="C104" s="296"/>
      <c r="D104" s="296"/>
      <c r="E104" s="296"/>
      <c r="F104" s="296"/>
      <c r="G104" s="327"/>
      <c r="H104" s="310" t="str">
        <f ca="1">IFERROR(IF(VLOOKUP(F104,Kostentypen!$A$3:$E$21,3,0)=0,"",IF(OR(F104="Arbeidskosten",F104="Vergoeding"),VLOOKUP(G104,Tb_KostenTypen[],2,0),VLOOKUP(F104,Kostentypen!$A$3:$E$20,3,0))),"")</f>
        <v/>
      </c>
      <c r="I104" s="311"/>
      <c r="J104" s="312" t="str" cm="1">
        <f t="array" ref="J104">_xlfn.IFNA(IF(INDEX(Tb_KostenOpties[],MATCH($F104,Tb_KostenOpties[KostenOptie],0),IFERROR(MATCH(Methode_Keuze,Tb_KostenOpties[#Headers],0),2))=1,_xlfn.SWITCH($H104,"Uurtarief",IF(OR(AND(RIGHT($F104,3)="IKS",VLOOKUP($I104,Loonkosten,2,0)="Ja"),AND(RIGHT($F104,3)&lt;&gt;"IKS",VLOOKUP($I104,Loonkosten,2,0)="Nee")), VLOOKUP($I104,Loonkosten,MATCH("Opgegeven uurtarief",'4. Rekenhulp loonkosten aanvr.'!$4:$4,0)),0),"Vast tarief",IF(LEFT(F104,8)="Bijdrage",VLOOKUP($F104,Tb_KostenTypen[],MATCH(Lijsten!$P$1,Tb_KostenTypen[#Headers],0),0),VLOOKUP($G104,Lijsten!L:P,MATCH(Lijsten!$P$1,Kop_Tarief_Vast,0),0))),""),"")</f>
        <v/>
      </c>
      <c r="K104" s="312" t="str" cm="1">
        <f t="array" ref="K104">_xlfn.IFNA(IF(INDEX(Tb_KostenOpties[],MATCH($F104,Tb_KostenOpties[KostenOptie],0),IFERROR(MATCH(Methode_Keuze,Tb_KostenOpties[#Headers],0),2))=1,_xlfn.SWITCH($H104,"Uurtarief",IF(OR(AND(RIGHT($F104,3)="IKS",VLOOKUP($I104,Loonkosten,2,0)="Ja"),AND(RIGHT($F104,3)&lt;&gt;"IKS",VLOOKUP($I104,Loonkosten,2,0)="Nee")), VLOOKUP($I104,Loonkosten,MATCH("Beoordeeld uurtarief",'4. Rekenhulp loonkosten aanvr.'!$4:$4,0),0),0),"Vast tarief",IF(LEFT(F104,8)="Bijdrage",VLOOKUP($F104,Tb_KostenTypen[],MATCH(Lijsten!$P$1,Tb_KostenTypen[#Headers],0),0),VLOOKUP($G104,Lijsten!L:P,MATCH(Lijsten!$P$1,Kop_Tarief_Vast,0),0))),""),"")</f>
        <v/>
      </c>
      <c r="L104" s="358"/>
      <c r="M104" s="358"/>
      <c r="N104" s="313"/>
      <c r="O104" s="313"/>
      <c r="P104" s="374" t="str">
        <f t="shared" si="5"/>
        <v/>
      </c>
      <c r="Q104" s="314" t="str">
        <f t="shared" si="6"/>
        <v/>
      </c>
      <c r="R104" s="314" t="str" cm="1">
        <f t="array" aca="1" ref="R104" ca="1">_xlfn.IFNA(_xlfn.IFS(X104="Dit kostentype hoeft u niet op te geven. Hiervoor wordt een forfait berekend.","",AND(J104&lt;&gt;"",H104="Vast tarief",F104="Vergoeding"),SUM(J104)*FLOOR(SUM(L104),0.0001),AND(J104&lt;&gt;"",OR(H104="Uurtarief",H104="Vast tarief")),SUM(J104)*FLOOR(SUM(L104),0.01),AND(N104&lt;&gt;"",H104="-"),FLOOR(SUM(N104),0.01)),"")</f>
        <v/>
      </c>
      <c r="S104" s="314" t="str" cm="1">
        <f t="array" aca="1" ref="S104" ca="1">_xlfn.IFNA(_xlfn.IFS(X104="Dit kostentype hoeft u niet op te geven. Hiervoor wordt een forfait berekend.","",AND(K104&lt;&gt;"",M104&lt;&gt;"",H104="Vast tarief",F104="Vergoeding"),SUM(K104)*FLOOR(SUM(M104),0.0001),AND(K104&lt;&gt;"",M104&lt;&gt;"",OR(H104="Uurtarief",H104="Vast tarief")),SUM(K104)*FLOOR(SUM(M104),0.01),AND(O104&lt;&gt;"",H104="-"),FLOOR(SUM(O104),0.01)),"")</f>
        <v/>
      </c>
      <c r="T104" s="314" t="str">
        <f t="shared" ca="1" si="7"/>
        <v/>
      </c>
      <c r="U104" s="314" t="str" cm="1">
        <f t="array" aca="1" ref="U104" ca="1">IFERROR(_xlfn.IFS(OR(F104="",LEFT(Methode_Keuze,4)="Geen",Methode_Keuze=""),"",AND(R104&lt;&gt;"",F104&lt;&gt;"Arbeidskosten"),R104*VLOOKUP(F104,Tb_ProjectKosten[],MATCH(Tb_ProjectKosten[[#Headers],[Forfait_Percentage]],Tb_ProjectKosten[#Headers],0),0),AND(F104="Arbeidskosten",G104&lt;&gt;""),IFERROR(R104*VLOOKUP(G104,Tb_KostenTypen[],3,0)*VLOOKUP(F104,Tb_ProjectKosten[],MATCH(Tb_ProjectKosten[[#Headers],[Forfait_Percentage]],Tb_ProjectKosten[#Headers],0),0),""),R104 &lt;=0,0),"")</f>
        <v/>
      </c>
      <c r="V104" s="314" t="str" cm="1">
        <f t="array" aca="1" ref="V104" ca="1">IFERROR(_xlfn.IFS(OR(F104="",LEFT(Methode_Keuze,4)="Geen",Methode_Keuze=""),"",AND(S104&lt;&gt;"",F104&lt;&gt;"Arbeidskosten"),S104*VLOOKUP(F104,Tb_ProjectKosten[],MATCH(Tb_ProjectKosten[[#Headers],[Forfait_Percentage]],Tb_ProjectKosten[#Headers],0),0),AND(F104="Arbeidskosten",G104&lt;&gt;""),IFERROR(S104*VLOOKUP(G104,Tb_KostenTypen[],3,0)*VLOOKUP(F104,Tb_ProjectKosten[],MATCH(Tb_ProjectKosten[[#Headers],[Forfait_Percentage]],Tb_ProjectKosten[#Headers],0),0),""),S104 &lt;=0,0),"")</f>
        <v/>
      </c>
      <c r="W104" s="314" t="str">
        <f t="shared" ca="1" si="8"/>
        <v/>
      </c>
      <c r="X104" s="376" t="str">
        <f>IFERROR(VLOOKUP(F104,Tb_ProjectKosten[#All],11,0),"")</f>
        <v/>
      </c>
      <c r="Y104" s="315"/>
    </row>
    <row r="105" spans="1:25" x14ac:dyDescent="0.25">
      <c r="A105" s="309">
        <f>MAX($A$5:A104)+1</f>
        <v>100</v>
      </c>
      <c r="B105" s="296"/>
      <c r="C105" s="296"/>
      <c r="D105" s="296"/>
      <c r="E105" s="296"/>
      <c r="F105" s="296"/>
      <c r="G105" s="327"/>
      <c r="H105" s="310" t="str">
        <f ca="1">IFERROR(IF(VLOOKUP(F105,Kostentypen!$A$3:$E$21,3,0)=0,"",IF(OR(F105="Arbeidskosten",F105="Vergoeding"),VLOOKUP(G105,Tb_KostenTypen[],2,0),VLOOKUP(F105,Kostentypen!$A$3:$E$20,3,0))),"")</f>
        <v/>
      </c>
      <c r="I105" s="311"/>
      <c r="J105" s="312" t="str" cm="1">
        <f t="array" ref="J105">_xlfn.IFNA(IF(INDEX(Tb_KostenOpties[],MATCH($F105,Tb_KostenOpties[KostenOptie],0),IFERROR(MATCH(Methode_Keuze,Tb_KostenOpties[#Headers],0),2))=1,_xlfn.SWITCH($H105,"Uurtarief",IF(OR(AND(RIGHT($F105,3)="IKS",VLOOKUP($I105,Loonkosten,2,0)="Ja"),AND(RIGHT($F105,3)&lt;&gt;"IKS",VLOOKUP($I105,Loonkosten,2,0)="Nee")), VLOOKUP($I105,Loonkosten,MATCH("Opgegeven uurtarief",'4. Rekenhulp loonkosten aanvr.'!$4:$4,0)),0),"Vast tarief",IF(LEFT(F105,8)="Bijdrage",VLOOKUP($F105,Tb_KostenTypen[],MATCH(Lijsten!$P$1,Tb_KostenTypen[#Headers],0),0),VLOOKUP($G105,Lijsten!L:P,MATCH(Lijsten!$P$1,Kop_Tarief_Vast,0),0))),""),"")</f>
        <v/>
      </c>
      <c r="K105" s="312" t="str" cm="1">
        <f t="array" ref="K105">_xlfn.IFNA(IF(INDEX(Tb_KostenOpties[],MATCH($F105,Tb_KostenOpties[KostenOptie],0),IFERROR(MATCH(Methode_Keuze,Tb_KostenOpties[#Headers],0),2))=1,_xlfn.SWITCH($H105,"Uurtarief",IF(OR(AND(RIGHT($F105,3)="IKS",VLOOKUP($I105,Loonkosten,2,0)="Ja"),AND(RIGHT($F105,3)&lt;&gt;"IKS",VLOOKUP($I105,Loonkosten,2,0)="Nee")), VLOOKUP($I105,Loonkosten,MATCH("Beoordeeld uurtarief",'4. Rekenhulp loonkosten aanvr.'!$4:$4,0),0),0),"Vast tarief",IF(LEFT(F105,8)="Bijdrage",VLOOKUP($F105,Tb_KostenTypen[],MATCH(Lijsten!$P$1,Tb_KostenTypen[#Headers],0),0),VLOOKUP($G105,Lijsten!L:P,MATCH(Lijsten!$P$1,Kop_Tarief_Vast,0),0))),""),"")</f>
        <v/>
      </c>
      <c r="L105" s="358"/>
      <c r="M105" s="358"/>
      <c r="N105" s="313"/>
      <c r="O105" s="313"/>
      <c r="P105" s="374" t="str">
        <f t="shared" si="5"/>
        <v/>
      </c>
      <c r="Q105" s="314" t="str">
        <f t="shared" si="6"/>
        <v/>
      </c>
      <c r="R105" s="314" t="str" cm="1">
        <f t="array" aca="1" ref="R105" ca="1">_xlfn.IFNA(_xlfn.IFS(X105="Dit kostentype hoeft u niet op te geven. Hiervoor wordt een forfait berekend.","",AND(J105&lt;&gt;"",H105="Vast tarief",F105="Vergoeding"),SUM(J105)*FLOOR(SUM(L105),0.0001),AND(J105&lt;&gt;"",OR(H105="Uurtarief",H105="Vast tarief")),SUM(J105)*FLOOR(SUM(L105),0.01),AND(N105&lt;&gt;"",H105="-"),FLOOR(SUM(N105),0.01)),"")</f>
        <v/>
      </c>
      <c r="S105" s="314" t="str" cm="1">
        <f t="array" aca="1" ref="S105" ca="1">_xlfn.IFNA(_xlfn.IFS(X105="Dit kostentype hoeft u niet op te geven. Hiervoor wordt een forfait berekend.","",AND(K105&lt;&gt;"",M105&lt;&gt;"",H105="Vast tarief",F105="Vergoeding"),SUM(K105)*FLOOR(SUM(M105),0.0001),AND(K105&lt;&gt;"",M105&lt;&gt;"",OR(H105="Uurtarief",H105="Vast tarief")),SUM(K105)*FLOOR(SUM(M105),0.01),AND(O105&lt;&gt;"",H105="-"),FLOOR(SUM(O105),0.01)),"")</f>
        <v/>
      </c>
      <c r="T105" s="314" t="str">
        <f t="shared" ca="1" si="7"/>
        <v/>
      </c>
      <c r="U105" s="314" t="str" cm="1">
        <f t="array" aca="1" ref="U105" ca="1">IFERROR(_xlfn.IFS(OR(F105="",LEFT(Methode_Keuze,4)="Geen",Methode_Keuze=""),"",AND(R105&lt;&gt;"",F105&lt;&gt;"Arbeidskosten"),R105*VLOOKUP(F105,Tb_ProjectKosten[],MATCH(Tb_ProjectKosten[[#Headers],[Forfait_Percentage]],Tb_ProjectKosten[#Headers],0),0),AND(F105="Arbeidskosten",G105&lt;&gt;""),IFERROR(R105*VLOOKUP(G105,Tb_KostenTypen[],3,0)*VLOOKUP(F105,Tb_ProjectKosten[],MATCH(Tb_ProjectKosten[[#Headers],[Forfait_Percentage]],Tb_ProjectKosten[#Headers],0),0),""),R105 &lt;=0,0),"")</f>
        <v/>
      </c>
      <c r="V105" s="314" t="str" cm="1">
        <f t="array" aca="1" ref="V105" ca="1">IFERROR(_xlfn.IFS(OR(F105="",LEFT(Methode_Keuze,4)="Geen",Methode_Keuze=""),"",AND(S105&lt;&gt;"",F105&lt;&gt;"Arbeidskosten"),S105*VLOOKUP(F105,Tb_ProjectKosten[],MATCH(Tb_ProjectKosten[[#Headers],[Forfait_Percentage]],Tb_ProjectKosten[#Headers],0),0),AND(F105="Arbeidskosten",G105&lt;&gt;""),IFERROR(S105*VLOOKUP(G105,Tb_KostenTypen[],3,0)*VLOOKUP(F105,Tb_ProjectKosten[],MATCH(Tb_ProjectKosten[[#Headers],[Forfait_Percentage]],Tb_ProjectKosten[#Headers],0),0),""),S105 &lt;=0,0),"")</f>
        <v/>
      </c>
      <c r="W105" s="314" t="str">
        <f t="shared" ca="1" si="8"/>
        <v/>
      </c>
      <c r="X105" s="376" t="str">
        <f>IFERROR(VLOOKUP(F105,Tb_ProjectKosten[#All],11,0),"")</f>
        <v/>
      </c>
      <c r="Y105" s="315"/>
    </row>
    <row r="106" spans="1:25" x14ac:dyDescent="0.25">
      <c r="A106" s="309">
        <f>MAX($A$5:A105)+1</f>
        <v>101</v>
      </c>
      <c r="B106" s="296"/>
      <c r="C106" s="296"/>
      <c r="D106" s="296"/>
      <c r="E106" s="296"/>
      <c r="F106" s="296"/>
      <c r="G106" s="327"/>
      <c r="H106" s="310" t="str">
        <f ca="1">IFERROR(IF(VLOOKUP(F106,Kostentypen!$A$3:$E$21,3,0)=0,"",IF(OR(F106="Arbeidskosten",F106="Vergoeding"),VLOOKUP(G106,Tb_KostenTypen[],2,0),VLOOKUP(F106,Kostentypen!$A$3:$E$20,3,0))),"")</f>
        <v/>
      </c>
      <c r="I106" s="311"/>
      <c r="J106" s="312" t="str" cm="1">
        <f t="array" ref="J106">_xlfn.IFNA(IF(INDEX(Tb_KostenOpties[],MATCH($F106,Tb_KostenOpties[KostenOptie],0),IFERROR(MATCH(Methode_Keuze,Tb_KostenOpties[#Headers],0),2))=1,_xlfn.SWITCH($H106,"Uurtarief",IF(OR(AND(RIGHT($F106,3)="IKS",VLOOKUP($I106,Loonkosten,2,0)="Ja"),AND(RIGHT($F106,3)&lt;&gt;"IKS",VLOOKUP($I106,Loonkosten,2,0)="Nee")), VLOOKUP($I106,Loonkosten,MATCH("Opgegeven uurtarief",'4. Rekenhulp loonkosten aanvr.'!$4:$4,0)),0),"Vast tarief",IF(LEFT(F106,8)="Bijdrage",VLOOKUP($F106,Tb_KostenTypen[],MATCH(Lijsten!$P$1,Tb_KostenTypen[#Headers],0),0),VLOOKUP($G106,Lijsten!L:P,MATCH(Lijsten!$P$1,Kop_Tarief_Vast,0),0))),""),"")</f>
        <v/>
      </c>
      <c r="K106" s="312" t="str" cm="1">
        <f t="array" ref="K106">_xlfn.IFNA(IF(INDEX(Tb_KostenOpties[],MATCH($F106,Tb_KostenOpties[KostenOptie],0),IFERROR(MATCH(Methode_Keuze,Tb_KostenOpties[#Headers],0),2))=1,_xlfn.SWITCH($H106,"Uurtarief",IF(OR(AND(RIGHT($F106,3)="IKS",VLOOKUP($I106,Loonkosten,2,0)="Ja"),AND(RIGHT($F106,3)&lt;&gt;"IKS",VLOOKUP($I106,Loonkosten,2,0)="Nee")), VLOOKUP($I106,Loonkosten,MATCH("Beoordeeld uurtarief",'4. Rekenhulp loonkosten aanvr.'!$4:$4,0),0),0),"Vast tarief",IF(LEFT(F106,8)="Bijdrage",VLOOKUP($F106,Tb_KostenTypen[],MATCH(Lijsten!$P$1,Tb_KostenTypen[#Headers],0),0),VLOOKUP($G106,Lijsten!L:P,MATCH(Lijsten!$P$1,Kop_Tarief_Vast,0),0))),""),"")</f>
        <v/>
      </c>
      <c r="L106" s="358"/>
      <c r="M106" s="358"/>
      <c r="N106" s="313"/>
      <c r="O106" s="313"/>
      <c r="P106" s="374" t="str">
        <f t="shared" si="5"/>
        <v/>
      </c>
      <c r="Q106" s="314" t="str">
        <f t="shared" si="6"/>
        <v/>
      </c>
      <c r="R106" s="314" t="str" cm="1">
        <f t="array" aca="1" ref="R106" ca="1">_xlfn.IFNA(_xlfn.IFS(X106="Dit kostentype hoeft u niet op te geven. Hiervoor wordt een forfait berekend.","",AND(J106&lt;&gt;"",H106="Vast tarief",F106="Vergoeding"),SUM(J106)*FLOOR(SUM(L106),0.0001),AND(J106&lt;&gt;"",OR(H106="Uurtarief",H106="Vast tarief")),SUM(J106)*FLOOR(SUM(L106),0.01),AND(N106&lt;&gt;"",H106="-"),FLOOR(SUM(N106),0.01)),"")</f>
        <v/>
      </c>
      <c r="S106" s="314" t="str" cm="1">
        <f t="array" aca="1" ref="S106" ca="1">_xlfn.IFNA(_xlfn.IFS(X106="Dit kostentype hoeft u niet op te geven. Hiervoor wordt een forfait berekend.","",AND(K106&lt;&gt;"",M106&lt;&gt;"",H106="Vast tarief",F106="Vergoeding"),SUM(K106)*FLOOR(SUM(M106),0.0001),AND(K106&lt;&gt;"",M106&lt;&gt;"",OR(H106="Uurtarief",H106="Vast tarief")),SUM(K106)*FLOOR(SUM(M106),0.01),AND(O106&lt;&gt;"",H106="-"),FLOOR(SUM(O106),0.01)),"")</f>
        <v/>
      </c>
      <c r="T106" s="314" t="str">
        <f t="shared" ca="1" si="7"/>
        <v/>
      </c>
      <c r="U106" s="314" t="str" cm="1">
        <f t="array" aca="1" ref="U106" ca="1">IFERROR(_xlfn.IFS(OR(F106="",LEFT(Methode_Keuze,4)="Geen",Methode_Keuze=""),"",AND(R106&lt;&gt;"",F106&lt;&gt;"Arbeidskosten"),R106*VLOOKUP(F106,Tb_ProjectKosten[],MATCH(Tb_ProjectKosten[[#Headers],[Forfait_Percentage]],Tb_ProjectKosten[#Headers],0),0),AND(F106="Arbeidskosten",G106&lt;&gt;""),IFERROR(R106*VLOOKUP(G106,Tb_KostenTypen[],3,0)*VLOOKUP(F106,Tb_ProjectKosten[],MATCH(Tb_ProjectKosten[[#Headers],[Forfait_Percentage]],Tb_ProjectKosten[#Headers],0),0),""),R106 &lt;=0,0),"")</f>
        <v/>
      </c>
      <c r="V106" s="314" t="str" cm="1">
        <f t="array" aca="1" ref="V106" ca="1">IFERROR(_xlfn.IFS(OR(F106="",LEFT(Methode_Keuze,4)="Geen",Methode_Keuze=""),"",AND(S106&lt;&gt;"",F106&lt;&gt;"Arbeidskosten"),S106*VLOOKUP(F106,Tb_ProjectKosten[],MATCH(Tb_ProjectKosten[[#Headers],[Forfait_Percentage]],Tb_ProjectKosten[#Headers],0),0),AND(F106="Arbeidskosten",G106&lt;&gt;""),IFERROR(S106*VLOOKUP(G106,Tb_KostenTypen[],3,0)*VLOOKUP(F106,Tb_ProjectKosten[],MATCH(Tb_ProjectKosten[[#Headers],[Forfait_Percentage]],Tb_ProjectKosten[#Headers],0),0),""),S106 &lt;=0,0),"")</f>
        <v/>
      </c>
      <c r="W106" s="314" t="str">
        <f t="shared" ca="1" si="8"/>
        <v/>
      </c>
      <c r="X106" s="376" t="str">
        <f>IFERROR(VLOOKUP(F106,Tb_ProjectKosten[#All],11,0),"")</f>
        <v/>
      </c>
      <c r="Y106" s="315"/>
    </row>
    <row r="107" spans="1:25" x14ac:dyDescent="0.25">
      <c r="A107" s="309">
        <f>MAX($A$5:A106)+1</f>
        <v>102</v>
      </c>
      <c r="B107" s="296"/>
      <c r="C107" s="296"/>
      <c r="D107" s="296"/>
      <c r="E107" s="296"/>
      <c r="F107" s="296"/>
      <c r="G107" s="327"/>
      <c r="H107" s="310" t="str">
        <f ca="1">IFERROR(IF(VLOOKUP(F107,Kostentypen!$A$3:$E$21,3,0)=0,"",IF(OR(F107="Arbeidskosten",F107="Vergoeding"),VLOOKUP(G107,Tb_KostenTypen[],2,0),VLOOKUP(F107,Kostentypen!$A$3:$E$20,3,0))),"")</f>
        <v/>
      </c>
      <c r="I107" s="311"/>
      <c r="J107" s="312" t="str" cm="1">
        <f t="array" ref="J107">_xlfn.IFNA(IF(INDEX(Tb_KostenOpties[],MATCH($F107,Tb_KostenOpties[KostenOptie],0),IFERROR(MATCH(Methode_Keuze,Tb_KostenOpties[#Headers],0),2))=1,_xlfn.SWITCH($H107,"Uurtarief",IF(OR(AND(RIGHT($F107,3)="IKS",VLOOKUP($I107,Loonkosten,2,0)="Ja"),AND(RIGHT($F107,3)&lt;&gt;"IKS",VLOOKUP($I107,Loonkosten,2,0)="Nee")), VLOOKUP($I107,Loonkosten,MATCH("Opgegeven uurtarief",'4. Rekenhulp loonkosten aanvr.'!$4:$4,0)),0),"Vast tarief",IF(LEFT(F107,8)="Bijdrage",VLOOKUP($F107,Tb_KostenTypen[],MATCH(Lijsten!$P$1,Tb_KostenTypen[#Headers],0),0),VLOOKUP($G107,Lijsten!L:P,MATCH(Lijsten!$P$1,Kop_Tarief_Vast,0),0))),""),"")</f>
        <v/>
      </c>
      <c r="K107" s="312" t="str" cm="1">
        <f t="array" ref="K107">_xlfn.IFNA(IF(INDEX(Tb_KostenOpties[],MATCH($F107,Tb_KostenOpties[KostenOptie],0),IFERROR(MATCH(Methode_Keuze,Tb_KostenOpties[#Headers],0),2))=1,_xlfn.SWITCH($H107,"Uurtarief",IF(OR(AND(RIGHT($F107,3)="IKS",VLOOKUP($I107,Loonkosten,2,0)="Ja"),AND(RIGHT($F107,3)&lt;&gt;"IKS",VLOOKUP($I107,Loonkosten,2,0)="Nee")), VLOOKUP($I107,Loonkosten,MATCH("Beoordeeld uurtarief",'4. Rekenhulp loonkosten aanvr.'!$4:$4,0),0),0),"Vast tarief",IF(LEFT(F107,8)="Bijdrage",VLOOKUP($F107,Tb_KostenTypen[],MATCH(Lijsten!$P$1,Tb_KostenTypen[#Headers],0),0),VLOOKUP($G107,Lijsten!L:P,MATCH(Lijsten!$P$1,Kop_Tarief_Vast,0),0))),""),"")</f>
        <v/>
      </c>
      <c r="L107" s="358"/>
      <c r="M107" s="358"/>
      <c r="N107" s="313"/>
      <c r="O107" s="313"/>
      <c r="P107" s="374" t="str">
        <f t="shared" si="5"/>
        <v/>
      </c>
      <c r="Q107" s="314" t="str">
        <f t="shared" si="6"/>
        <v/>
      </c>
      <c r="R107" s="314" t="str" cm="1">
        <f t="array" aca="1" ref="R107" ca="1">_xlfn.IFNA(_xlfn.IFS(X107="Dit kostentype hoeft u niet op te geven. Hiervoor wordt een forfait berekend.","",AND(J107&lt;&gt;"",H107="Vast tarief",F107="Vergoeding"),SUM(J107)*FLOOR(SUM(L107),0.0001),AND(J107&lt;&gt;"",OR(H107="Uurtarief",H107="Vast tarief")),SUM(J107)*FLOOR(SUM(L107),0.01),AND(N107&lt;&gt;"",H107="-"),FLOOR(SUM(N107),0.01)),"")</f>
        <v/>
      </c>
      <c r="S107" s="314" t="str" cm="1">
        <f t="array" aca="1" ref="S107" ca="1">_xlfn.IFNA(_xlfn.IFS(X107="Dit kostentype hoeft u niet op te geven. Hiervoor wordt een forfait berekend.","",AND(K107&lt;&gt;"",M107&lt;&gt;"",H107="Vast tarief",F107="Vergoeding"),SUM(K107)*FLOOR(SUM(M107),0.0001),AND(K107&lt;&gt;"",M107&lt;&gt;"",OR(H107="Uurtarief",H107="Vast tarief")),SUM(K107)*FLOOR(SUM(M107),0.01),AND(O107&lt;&gt;"",H107="-"),FLOOR(SUM(O107),0.01)),"")</f>
        <v/>
      </c>
      <c r="T107" s="314" t="str">
        <f t="shared" ca="1" si="7"/>
        <v/>
      </c>
      <c r="U107" s="314" t="str" cm="1">
        <f t="array" aca="1" ref="U107" ca="1">IFERROR(_xlfn.IFS(OR(F107="",LEFT(Methode_Keuze,4)="Geen",Methode_Keuze=""),"",AND(R107&lt;&gt;"",F107&lt;&gt;"Arbeidskosten"),R107*VLOOKUP(F107,Tb_ProjectKosten[],MATCH(Tb_ProjectKosten[[#Headers],[Forfait_Percentage]],Tb_ProjectKosten[#Headers],0),0),AND(F107="Arbeidskosten",G107&lt;&gt;""),IFERROR(R107*VLOOKUP(G107,Tb_KostenTypen[],3,0)*VLOOKUP(F107,Tb_ProjectKosten[],MATCH(Tb_ProjectKosten[[#Headers],[Forfait_Percentage]],Tb_ProjectKosten[#Headers],0),0),""),R107 &lt;=0,0),"")</f>
        <v/>
      </c>
      <c r="V107" s="314" t="str" cm="1">
        <f t="array" aca="1" ref="V107" ca="1">IFERROR(_xlfn.IFS(OR(F107="",LEFT(Methode_Keuze,4)="Geen",Methode_Keuze=""),"",AND(S107&lt;&gt;"",F107&lt;&gt;"Arbeidskosten"),S107*VLOOKUP(F107,Tb_ProjectKosten[],MATCH(Tb_ProjectKosten[[#Headers],[Forfait_Percentage]],Tb_ProjectKosten[#Headers],0),0),AND(F107="Arbeidskosten",G107&lt;&gt;""),IFERROR(S107*VLOOKUP(G107,Tb_KostenTypen[],3,0)*VLOOKUP(F107,Tb_ProjectKosten[],MATCH(Tb_ProjectKosten[[#Headers],[Forfait_Percentage]],Tb_ProjectKosten[#Headers],0),0),""),S107 &lt;=0,0),"")</f>
        <v/>
      </c>
      <c r="W107" s="314" t="str">
        <f t="shared" ca="1" si="8"/>
        <v/>
      </c>
      <c r="X107" s="376" t="str">
        <f>IFERROR(VLOOKUP(F107,Tb_ProjectKosten[#All],11,0),"")</f>
        <v/>
      </c>
      <c r="Y107" s="315"/>
    </row>
    <row r="108" spans="1:25" x14ac:dyDescent="0.25">
      <c r="A108" s="309">
        <f>MAX($A$5:A107)+1</f>
        <v>103</v>
      </c>
      <c r="B108" s="296"/>
      <c r="C108" s="296"/>
      <c r="D108" s="296"/>
      <c r="E108" s="296"/>
      <c r="F108" s="296"/>
      <c r="G108" s="327"/>
      <c r="H108" s="310" t="str">
        <f ca="1">IFERROR(IF(VLOOKUP(F108,Kostentypen!$A$3:$E$21,3,0)=0,"",IF(OR(F108="Arbeidskosten",F108="Vergoeding"),VLOOKUP(G108,Tb_KostenTypen[],2,0),VLOOKUP(F108,Kostentypen!$A$3:$E$20,3,0))),"")</f>
        <v/>
      </c>
      <c r="I108" s="311"/>
      <c r="J108" s="312" t="str" cm="1">
        <f t="array" ref="J108">_xlfn.IFNA(IF(INDEX(Tb_KostenOpties[],MATCH($F108,Tb_KostenOpties[KostenOptie],0),IFERROR(MATCH(Methode_Keuze,Tb_KostenOpties[#Headers],0),2))=1,_xlfn.SWITCH($H108,"Uurtarief",IF(OR(AND(RIGHT($F108,3)="IKS",VLOOKUP($I108,Loonkosten,2,0)="Ja"),AND(RIGHT($F108,3)&lt;&gt;"IKS",VLOOKUP($I108,Loonkosten,2,0)="Nee")), VLOOKUP($I108,Loonkosten,MATCH("Opgegeven uurtarief",'4. Rekenhulp loonkosten aanvr.'!$4:$4,0)),0),"Vast tarief",IF(LEFT(F108,8)="Bijdrage",VLOOKUP($F108,Tb_KostenTypen[],MATCH(Lijsten!$P$1,Tb_KostenTypen[#Headers],0),0),VLOOKUP($G108,Lijsten!L:P,MATCH(Lijsten!$P$1,Kop_Tarief_Vast,0),0))),""),"")</f>
        <v/>
      </c>
      <c r="K108" s="312" t="str" cm="1">
        <f t="array" ref="K108">_xlfn.IFNA(IF(INDEX(Tb_KostenOpties[],MATCH($F108,Tb_KostenOpties[KostenOptie],0),IFERROR(MATCH(Methode_Keuze,Tb_KostenOpties[#Headers],0),2))=1,_xlfn.SWITCH($H108,"Uurtarief",IF(OR(AND(RIGHT($F108,3)="IKS",VLOOKUP($I108,Loonkosten,2,0)="Ja"),AND(RIGHT($F108,3)&lt;&gt;"IKS",VLOOKUP($I108,Loonkosten,2,0)="Nee")), VLOOKUP($I108,Loonkosten,MATCH("Beoordeeld uurtarief",'4. Rekenhulp loonkosten aanvr.'!$4:$4,0),0),0),"Vast tarief",IF(LEFT(F108,8)="Bijdrage",VLOOKUP($F108,Tb_KostenTypen[],MATCH(Lijsten!$P$1,Tb_KostenTypen[#Headers],0),0),VLOOKUP($G108,Lijsten!L:P,MATCH(Lijsten!$P$1,Kop_Tarief_Vast,0),0))),""),"")</f>
        <v/>
      </c>
      <c r="L108" s="358"/>
      <c r="M108" s="358"/>
      <c r="N108" s="313"/>
      <c r="O108" s="313"/>
      <c r="P108" s="374" t="str">
        <f t="shared" si="5"/>
        <v/>
      </c>
      <c r="Q108" s="314" t="str">
        <f t="shared" si="6"/>
        <v/>
      </c>
      <c r="R108" s="314" t="str" cm="1">
        <f t="array" aca="1" ref="R108" ca="1">_xlfn.IFNA(_xlfn.IFS(X108="Dit kostentype hoeft u niet op te geven. Hiervoor wordt een forfait berekend.","",AND(J108&lt;&gt;"",H108="Vast tarief",F108="Vergoeding"),SUM(J108)*FLOOR(SUM(L108),0.0001),AND(J108&lt;&gt;"",OR(H108="Uurtarief",H108="Vast tarief")),SUM(J108)*FLOOR(SUM(L108),0.01),AND(N108&lt;&gt;"",H108="-"),FLOOR(SUM(N108),0.01)),"")</f>
        <v/>
      </c>
      <c r="S108" s="314" t="str" cm="1">
        <f t="array" aca="1" ref="S108" ca="1">_xlfn.IFNA(_xlfn.IFS(X108="Dit kostentype hoeft u niet op te geven. Hiervoor wordt een forfait berekend.","",AND(K108&lt;&gt;"",M108&lt;&gt;"",H108="Vast tarief",F108="Vergoeding"),SUM(K108)*FLOOR(SUM(M108),0.0001),AND(K108&lt;&gt;"",M108&lt;&gt;"",OR(H108="Uurtarief",H108="Vast tarief")),SUM(K108)*FLOOR(SUM(M108),0.01),AND(O108&lt;&gt;"",H108="-"),FLOOR(SUM(O108),0.01)),"")</f>
        <v/>
      </c>
      <c r="T108" s="314" t="str">
        <f t="shared" ca="1" si="7"/>
        <v/>
      </c>
      <c r="U108" s="314" t="str" cm="1">
        <f t="array" aca="1" ref="U108" ca="1">IFERROR(_xlfn.IFS(OR(F108="",LEFT(Methode_Keuze,4)="Geen",Methode_Keuze=""),"",AND(R108&lt;&gt;"",F108&lt;&gt;"Arbeidskosten"),R108*VLOOKUP(F108,Tb_ProjectKosten[],MATCH(Tb_ProjectKosten[[#Headers],[Forfait_Percentage]],Tb_ProjectKosten[#Headers],0),0),AND(F108="Arbeidskosten",G108&lt;&gt;""),IFERROR(R108*VLOOKUP(G108,Tb_KostenTypen[],3,0)*VLOOKUP(F108,Tb_ProjectKosten[],MATCH(Tb_ProjectKosten[[#Headers],[Forfait_Percentage]],Tb_ProjectKosten[#Headers],0),0),""),R108 &lt;=0,0),"")</f>
        <v/>
      </c>
      <c r="V108" s="314" t="str" cm="1">
        <f t="array" aca="1" ref="V108" ca="1">IFERROR(_xlfn.IFS(OR(F108="",LEFT(Methode_Keuze,4)="Geen",Methode_Keuze=""),"",AND(S108&lt;&gt;"",F108&lt;&gt;"Arbeidskosten"),S108*VLOOKUP(F108,Tb_ProjectKosten[],MATCH(Tb_ProjectKosten[[#Headers],[Forfait_Percentage]],Tb_ProjectKosten[#Headers],0),0),AND(F108="Arbeidskosten",G108&lt;&gt;""),IFERROR(S108*VLOOKUP(G108,Tb_KostenTypen[],3,0)*VLOOKUP(F108,Tb_ProjectKosten[],MATCH(Tb_ProjectKosten[[#Headers],[Forfait_Percentage]],Tb_ProjectKosten[#Headers],0),0),""),S108 &lt;=0,0),"")</f>
        <v/>
      </c>
      <c r="W108" s="314" t="str">
        <f t="shared" ca="1" si="8"/>
        <v/>
      </c>
      <c r="X108" s="376" t="str">
        <f>IFERROR(VLOOKUP(F108,Tb_ProjectKosten[#All],11,0),"")</f>
        <v/>
      </c>
      <c r="Y108" s="315"/>
    </row>
    <row r="109" spans="1:25" x14ac:dyDescent="0.25">
      <c r="A109" s="309">
        <f>MAX($A$5:A108)+1</f>
        <v>104</v>
      </c>
      <c r="B109" s="296"/>
      <c r="C109" s="296"/>
      <c r="D109" s="296"/>
      <c r="E109" s="296"/>
      <c r="F109" s="296"/>
      <c r="G109" s="327"/>
      <c r="H109" s="310" t="str">
        <f ca="1">IFERROR(IF(VLOOKUP(F109,Kostentypen!$A$3:$E$21,3,0)=0,"",IF(OR(F109="Arbeidskosten",F109="Vergoeding"),VLOOKUP(G109,Tb_KostenTypen[],2,0),VLOOKUP(F109,Kostentypen!$A$3:$E$20,3,0))),"")</f>
        <v/>
      </c>
      <c r="I109" s="311"/>
      <c r="J109" s="312" t="str" cm="1">
        <f t="array" ref="J109">_xlfn.IFNA(IF(INDEX(Tb_KostenOpties[],MATCH($F109,Tb_KostenOpties[KostenOptie],0),IFERROR(MATCH(Methode_Keuze,Tb_KostenOpties[#Headers],0),2))=1,_xlfn.SWITCH($H109,"Uurtarief",IF(OR(AND(RIGHT($F109,3)="IKS",VLOOKUP($I109,Loonkosten,2,0)="Ja"),AND(RIGHT($F109,3)&lt;&gt;"IKS",VLOOKUP($I109,Loonkosten,2,0)="Nee")), VLOOKUP($I109,Loonkosten,MATCH("Opgegeven uurtarief",'4. Rekenhulp loonkosten aanvr.'!$4:$4,0)),0),"Vast tarief",IF(LEFT(F109,8)="Bijdrage",VLOOKUP($F109,Tb_KostenTypen[],MATCH(Lijsten!$P$1,Tb_KostenTypen[#Headers],0),0),VLOOKUP($G109,Lijsten!L:P,MATCH(Lijsten!$P$1,Kop_Tarief_Vast,0),0))),""),"")</f>
        <v/>
      </c>
      <c r="K109" s="312" t="str" cm="1">
        <f t="array" ref="K109">_xlfn.IFNA(IF(INDEX(Tb_KostenOpties[],MATCH($F109,Tb_KostenOpties[KostenOptie],0),IFERROR(MATCH(Methode_Keuze,Tb_KostenOpties[#Headers],0),2))=1,_xlfn.SWITCH($H109,"Uurtarief",IF(OR(AND(RIGHT($F109,3)="IKS",VLOOKUP($I109,Loonkosten,2,0)="Ja"),AND(RIGHT($F109,3)&lt;&gt;"IKS",VLOOKUP($I109,Loonkosten,2,0)="Nee")), VLOOKUP($I109,Loonkosten,MATCH("Beoordeeld uurtarief",'4. Rekenhulp loonkosten aanvr.'!$4:$4,0),0),0),"Vast tarief",IF(LEFT(F109,8)="Bijdrage",VLOOKUP($F109,Tb_KostenTypen[],MATCH(Lijsten!$P$1,Tb_KostenTypen[#Headers],0),0),VLOOKUP($G109,Lijsten!L:P,MATCH(Lijsten!$P$1,Kop_Tarief_Vast,0),0))),""),"")</f>
        <v/>
      </c>
      <c r="L109" s="358"/>
      <c r="M109" s="358"/>
      <c r="N109" s="313"/>
      <c r="O109" s="313"/>
      <c r="P109" s="374" t="str">
        <f t="shared" si="5"/>
        <v/>
      </c>
      <c r="Q109" s="314" t="str">
        <f t="shared" si="6"/>
        <v/>
      </c>
      <c r="R109" s="314" t="str" cm="1">
        <f t="array" aca="1" ref="R109" ca="1">_xlfn.IFNA(_xlfn.IFS(X109="Dit kostentype hoeft u niet op te geven. Hiervoor wordt een forfait berekend.","",AND(J109&lt;&gt;"",H109="Vast tarief",F109="Vergoeding"),SUM(J109)*FLOOR(SUM(L109),0.0001),AND(J109&lt;&gt;"",OR(H109="Uurtarief",H109="Vast tarief")),SUM(J109)*FLOOR(SUM(L109),0.01),AND(N109&lt;&gt;"",H109="-"),FLOOR(SUM(N109),0.01)),"")</f>
        <v/>
      </c>
      <c r="S109" s="314" t="str" cm="1">
        <f t="array" aca="1" ref="S109" ca="1">_xlfn.IFNA(_xlfn.IFS(X109="Dit kostentype hoeft u niet op te geven. Hiervoor wordt een forfait berekend.","",AND(K109&lt;&gt;"",M109&lt;&gt;"",H109="Vast tarief",F109="Vergoeding"),SUM(K109)*FLOOR(SUM(M109),0.0001),AND(K109&lt;&gt;"",M109&lt;&gt;"",OR(H109="Uurtarief",H109="Vast tarief")),SUM(K109)*FLOOR(SUM(M109),0.01),AND(O109&lt;&gt;"",H109="-"),FLOOR(SUM(O109),0.01)),"")</f>
        <v/>
      </c>
      <c r="T109" s="314" t="str">
        <f t="shared" ca="1" si="7"/>
        <v/>
      </c>
      <c r="U109" s="314" t="str" cm="1">
        <f t="array" aca="1" ref="U109" ca="1">IFERROR(_xlfn.IFS(OR(F109="",LEFT(Methode_Keuze,4)="Geen",Methode_Keuze=""),"",AND(R109&lt;&gt;"",F109&lt;&gt;"Arbeidskosten"),R109*VLOOKUP(F109,Tb_ProjectKosten[],MATCH(Tb_ProjectKosten[[#Headers],[Forfait_Percentage]],Tb_ProjectKosten[#Headers],0),0),AND(F109="Arbeidskosten",G109&lt;&gt;""),IFERROR(R109*VLOOKUP(G109,Tb_KostenTypen[],3,0)*VLOOKUP(F109,Tb_ProjectKosten[],MATCH(Tb_ProjectKosten[[#Headers],[Forfait_Percentage]],Tb_ProjectKosten[#Headers],0),0),""),R109 &lt;=0,0),"")</f>
        <v/>
      </c>
      <c r="V109" s="314" t="str" cm="1">
        <f t="array" aca="1" ref="V109" ca="1">IFERROR(_xlfn.IFS(OR(F109="",LEFT(Methode_Keuze,4)="Geen",Methode_Keuze=""),"",AND(S109&lt;&gt;"",F109&lt;&gt;"Arbeidskosten"),S109*VLOOKUP(F109,Tb_ProjectKosten[],MATCH(Tb_ProjectKosten[[#Headers],[Forfait_Percentage]],Tb_ProjectKosten[#Headers],0),0),AND(F109="Arbeidskosten",G109&lt;&gt;""),IFERROR(S109*VLOOKUP(G109,Tb_KostenTypen[],3,0)*VLOOKUP(F109,Tb_ProjectKosten[],MATCH(Tb_ProjectKosten[[#Headers],[Forfait_Percentage]],Tb_ProjectKosten[#Headers],0),0),""),S109 &lt;=0,0),"")</f>
        <v/>
      </c>
      <c r="W109" s="314" t="str">
        <f t="shared" ca="1" si="8"/>
        <v/>
      </c>
      <c r="X109" s="376" t="str">
        <f>IFERROR(VLOOKUP(F109,Tb_ProjectKosten[#All],11,0),"")</f>
        <v/>
      </c>
      <c r="Y109" s="315"/>
    </row>
    <row r="110" spans="1:25" x14ac:dyDescent="0.25">
      <c r="A110" s="309">
        <f>MAX($A$5:A109)+1</f>
        <v>105</v>
      </c>
      <c r="B110" s="296"/>
      <c r="C110" s="296"/>
      <c r="D110" s="296"/>
      <c r="E110" s="296"/>
      <c r="F110" s="296"/>
      <c r="G110" s="327"/>
      <c r="H110" s="310" t="str">
        <f ca="1">IFERROR(IF(VLOOKUP(F110,Kostentypen!$A$3:$E$21,3,0)=0,"",IF(OR(F110="Arbeidskosten",F110="Vergoeding"),VLOOKUP(G110,Tb_KostenTypen[],2,0),VLOOKUP(F110,Kostentypen!$A$3:$E$20,3,0))),"")</f>
        <v/>
      </c>
      <c r="I110" s="311"/>
      <c r="J110" s="312" t="str" cm="1">
        <f t="array" ref="J110">_xlfn.IFNA(IF(INDEX(Tb_KostenOpties[],MATCH($F110,Tb_KostenOpties[KostenOptie],0),IFERROR(MATCH(Methode_Keuze,Tb_KostenOpties[#Headers],0),2))=1,_xlfn.SWITCH($H110,"Uurtarief",IF(OR(AND(RIGHT($F110,3)="IKS",VLOOKUP($I110,Loonkosten,2,0)="Ja"),AND(RIGHT($F110,3)&lt;&gt;"IKS",VLOOKUP($I110,Loonkosten,2,0)="Nee")), VLOOKUP($I110,Loonkosten,MATCH("Opgegeven uurtarief",'4. Rekenhulp loonkosten aanvr.'!$4:$4,0)),0),"Vast tarief",IF(LEFT(F110,8)="Bijdrage",VLOOKUP($F110,Tb_KostenTypen[],MATCH(Lijsten!$P$1,Tb_KostenTypen[#Headers],0),0),VLOOKUP($G110,Lijsten!L:P,MATCH(Lijsten!$P$1,Kop_Tarief_Vast,0),0))),""),"")</f>
        <v/>
      </c>
      <c r="K110" s="312" t="str" cm="1">
        <f t="array" ref="K110">_xlfn.IFNA(IF(INDEX(Tb_KostenOpties[],MATCH($F110,Tb_KostenOpties[KostenOptie],0),IFERROR(MATCH(Methode_Keuze,Tb_KostenOpties[#Headers],0),2))=1,_xlfn.SWITCH($H110,"Uurtarief",IF(OR(AND(RIGHT($F110,3)="IKS",VLOOKUP($I110,Loonkosten,2,0)="Ja"),AND(RIGHT($F110,3)&lt;&gt;"IKS",VLOOKUP($I110,Loonkosten,2,0)="Nee")), VLOOKUP($I110,Loonkosten,MATCH("Beoordeeld uurtarief",'4. Rekenhulp loonkosten aanvr.'!$4:$4,0),0),0),"Vast tarief",IF(LEFT(F110,8)="Bijdrage",VLOOKUP($F110,Tb_KostenTypen[],MATCH(Lijsten!$P$1,Tb_KostenTypen[#Headers],0),0),VLOOKUP($G110,Lijsten!L:P,MATCH(Lijsten!$P$1,Kop_Tarief_Vast,0),0))),""),"")</f>
        <v/>
      </c>
      <c r="L110" s="358"/>
      <c r="M110" s="358"/>
      <c r="N110" s="313"/>
      <c r="O110" s="313"/>
      <c r="P110" s="374" t="str">
        <f t="shared" si="5"/>
        <v/>
      </c>
      <c r="Q110" s="314" t="str">
        <f t="shared" si="6"/>
        <v/>
      </c>
      <c r="R110" s="314" t="str" cm="1">
        <f t="array" aca="1" ref="R110" ca="1">_xlfn.IFNA(_xlfn.IFS(X110="Dit kostentype hoeft u niet op te geven. Hiervoor wordt een forfait berekend.","",AND(J110&lt;&gt;"",H110="Vast tarief",F110="Vergoeding"),SUM(J110)*FLOOR(SUM(L110),0.0001),AND(J110&lt;&gt;"",OR(H110="Uurtarief",H110="Vast tarief")),SUM(J110)*FLOOR(SUM(L110),0.01),AND(N110&lt;&gt;"",H110="-"),FLOOR(SUM(N110),0.01)),"")</f>
        <v/>
      </c>
      <c r="S110" s="314" t="str" cm="1">
        <f t="array" aca="1" ref="S110" ca="1">_xlfn.IFNA(_xlfn.IFS(X110="Dit kostentype hoeft u niet op te geven. Hiervoor wordt een forfait berekend.","",AND(K110&lt;&gt;"",M110&lt;&gt;"",H110="Vast tarief",F110="Vergoeding"),SUM(K110)*FLOOR(SUM(M110),0.0001),AND(K110&lt;&gt;"",M110&lt;&gt;"",OR(H110="Uurtarief",H110="Vast tarief")),SUM(K110)*FLOOR(SUM(M110),0.01),AND(O110&lt;&gt;"",H110="-"),FLOOR(SUM(O110),0.01)),"")</f>
        <v/>
      </c>
      <c r="T110" s="314" t="str">
        <f t="shared" ca="1" si="7"/>
        <v/>
      </c>
      <c r="U110" s="314" t="str" cm="1">
        <f t="array" aca="1" ref="U110" ca="1">IFERROR(_xlfn.IFS(OR(F110="",LEFT(Methode_Keuze,4)="Geen",Methode_Keuze=""),"",AND(R110&lt;&gt;"",F110&lt;&gt;"Arbeidskosten"),R110*VLOOKUP(F110,Tb_ProjectKosten[],MATCH(Tb_ProjectKosten[[#Headers],[Forfait_Percentage]],Tb_ProjectKosten[#Headers],0),0),AND(F110="Arbeidskosten",G110&lt;&gt;""),IFERROR(R110*VLOOKUP(G110,Tb_KostenTypen[],3,0)*VLOOKUP(F110,Tb_ProjectKosten[],MATCH(Tb_ProjectKosten[[#Headers],[Forfait_Percentage]],Tb_ProjectKosten[#Headers],0),0),""),R110 &lt;=0,0),"")</f>
        <v/>
      </c>
      <c r="V110" s="314" t="str" cm="1">
        <f t="array" aca="1" ref="V110" ca="1">IFERROR(_xlfn.IFS(OR(F110="",LEFT(Methode_Keuze,4)="Geen",Methode_Keuze=""),"",AND(S110&lt;&gt;"",F110&lt;&gt;"Arbeidskosten"),S110*VLOOKUP(F110,Tb_ProjectKosten[],MATCH(Tb_ProjectKosten[[#Headers],[Forfait_Percentage]],Tb_ProjectKosten[#Headers],0),0),AND(F110="Arbeidskosten",G110&lt;&gt;""),IFERROR(S110*VLOOKUP(G110,Tb_KostenTypen[],3,0)*VLOOKUP(F110,Tb_ProjectKosten[],MATCH(Tb_ProjectKosten[[#Headers],[Forfait_Percentage]],Tb_ProjectKosten[#Headers],0),0),""),S110 &lt;=0,0),"")</f>
        <v/>
      </c>
      <c r="W110" s="314" t="str">
        <f t="shared" ca="1" si="8"/>
        <v/>
      </c>
      <c r="X110" s="376" t="str">
        <f>IFERROR(VLOOKUP(F110,Tb_ProjectKosten[#All],11,0),"")</f>
        <v/>
      </c>
      <c r="Y110" s="315"/>
    </row>
    <row r="111" spans="1:25" x14ac:dyDescent="0.25">
      <c r="A111" s="309">
        <f>MAX($A$5:A110)+1</f>
        <v>106</v>
      </c>
      <c r="B111" s="296"/>
      <c r="C111" s="296"/>
      <c r="D111" s="296"/>
      <c r="E111" s="296"/>
      <c r="F111" s="296"/>
      <c r="G111" s="327"/>
      <c r="H111" s="310" t="str">
        <f ca="1">IFERROR(IF(VLOOKUP(F111,Kostentypen!$A$3:$E$21,3,0)=0,"",IF(OR(F111="Arbeidskosten",F111="Vergoeding"),VLOOKUP(G111,Tb_KostenTypen[],2,0),VLOOKUP(F111,Kostentypen!$A$3:$E$20,3,0))),"")</f>
        <v/>
      </c>
      <c r="I111" s="311"/>
      <c r="J111" s="312" t="str" cm="1">
        <f t="array" ref="J111">_xlfn.IFNA(IF(INDEX(Tb_KostenOpties[],MATCH($F111,Tb_KostenOpties[KostenOptie],0),IFERROR(MATCH(Methode_Keuze,Tb_KostenOpties[#Headers],0),2))=1,_xlfn.SWITCH($H111,"Uurtarief",IF(OR(AND(RIGHT($F111,3)="IKS",VLOOKUP($I111,Loonkosten,2,0)="Ja"),AND(RIGHT($F111,3)&lt;&gt;"IKS",VLOOKUP($I111,Loonkosten,2,0)="Nee")), VLOOKUP($I111,Loonkosten,MATCH("Opgegeven uurtarief",'4. Rekenhulp loonkosten aanvr.'!$4:$4,0)),0),"Vast tarief",IF(LEFT(F111,8)="Bijdrage",VLOOKUP($F111,Tb_KostenTypen[],MATCH(Lijsten!$P$1,Tb_KostenTypen[#Headers],0),0),VLOOKUP($G111,Lijsten!L:P,MATCH(Lijsten!$P$1,Kop_Tarief_Vast,0),0))),""),"")</f>
        <v/>
      </c>
      <c r="K111" s="312" t="str" cm="1">
        <f t="array" ref="K111">_xlfn.IFNA(IF(INDEX(Tb_KostenOpties[],MATCH($F111,Tb_KostenOpties[KostenOptie],0),IFERROR(MATCH(Methode_Keuze,Tb_KostenOpties[#Headers],0),2))=1,_xlfn.SWITCH($H111,"Uurtarief",IF(OR(AND(RIGHT($F111,3)="IKS",VLOOKUP($I111,Loonkosten,2,0)="Ja"),AND(RIGHT($F111,3)&lt;&gt;"IKS",VLOOKUP($I111,Loonkosten,2,0)="Nee")), VLOOKUP($I111,Loonkosten,MATCH("Beoordeeld uurtarief",'4. Rekenhulp loonkosten aanvr.'!$4:$4,0),0),0),"Vast tarief",IF(LEFT(F111,8)="Bijdrage",VLOOKUP($F111,Tb_KostenTypen[],MATCH(Lijsten!$P$1,Tb_KostenTypen[#Headers],0),0),VLOOKUP($G111,Lijsten!L:P,MATCH(Lijsten!$P$1,Kop_Tarief_Vast,0),0))),""),"")</f>
        <v/>
      </c>
      <c r="L111" s="358"/>
      <c r="M111" s="358"/>
      <c r="N111" s="313"/>
      <c r="O111" s="313"/>
      <c r="P111" s="374" t="str">
        <f t="shared" si="5"/>
        <v/>
      </c>
      <c r="Q111" s="314" t="str">
        <f t="shared" si="6"/>
        <v/>
      </c>
      <c r="R111" s="314" t="str" cm="1">
        <f t="array" aca="1" ref="R111" ca="1">_xlfn.IFNA(_xlfn.IFS(X111="Dit kostentype hoeft u niet op te geven. Hiervoor wordt een forfait berekend.","",AND(J111&lt;&gt;"",H111="Vast tarief",F111="Vergoeding"),SUM(J111)*FLOOR(SUM(L111),0.0001),AND(J111&lt;&gt;"",OR(H111="Uurtarief",H111="Vast tarief")),SUM(J111)*FLOOR(SUM(L111),0.01),AND(N111&lt;&gt;"",H111="-"),FLOOR(SUM(N111),0.01)),"")</f>
        <v/>
      </c>
      <c r="S111" s="314" t="str" cm="1">
        <f t="array" aca="1" ref="S111" ca="1">_xlfn.IFNA(_xlfn.IFS(X111="Dit kostentype hoeft u niet op te geven. Hiervoor wordt een forfait berekend.","",AND(K111&lt;&gt;"",M111&lt;&gt;"",H111="Vast tarief",F111="Vergoeding"),SUM(K111)*FLOOR(SUM(M111),0.0001),AND(K111&lt;&gt;"",M111&lt;&gt;"",OR(H111="Uurtarief",H111="Vast tarief")),SUM(K111)*FLOOR(SUM(M111),0.01),AND(O111&lt;&gt;"",H111="-"),FLOOR(SUM(O111),0.01)),"")</f>
        <v/>
      </c>
      <c r="T111" s="314" t="str">
        <f t="shared" ca="1" si="7"/>
        <v/>
      </c>
      <c r="U111" s="314" t="str" cm="1">
        <f t="array" aca="1" ref="U111" ca="1">IFERROR(_xlfn.IFS(OR(F111="",LEFT(Methode_Keuze,4)="Geen",Methode_Keuze=""),"",AND(R111&lt;&gt;"",F111&lt;&gt;"Arbeidskosten"),R111*VLOOKUP(F111,Tb_ProjectKosten[],MATCH(Tb_ProjectKosten[[#Headers],[Forfait_Percentage]],Tb_ProjectKosten[#Headers],0),0),AND(F111="Arbeidskosten",G111&lt;&gt;""),IFERROR(R111*VLOOKUP(G111,Tb_KostenTypen[],3,0)*VLOOKUP(F111,Tb_ProjectKosten[],MATCH(Tb_ProjectKosten[[#Headers],[Forfait_Percentage]],Tb_ProjectKosten[#Headers],0),0),""),R111 &lt;=0,0),"")</f>
        <v/>
      </c>
      <c r="V111" s="314" t="str" cm="1">
        <f t="array" aca="1" ref="V111" ca="1">IFERROR(_xlfn.IFS(OR(F111="",LEFT(Methode_Keuze,4)="Geen",Methode_Keuze=""),"",AND(S111&lt;&gt;"",F111&lt;&gt;"Arbeidskosten"),S111*VLOOKUP(F111,Tb_ProjectKosten[],MATCH(Tb_ProjectKosten[[#Headers],[Forfait_Percentage]],Tb_ProjectKosten[#Headers],0),0),AND(F111="Arbeidskosten",G111&lt;&gt;""),IFERROR(S111*VLOOKUP(G111,Tb_KostenTypen[],3,0)*VLOOKUP(F111,Tb_ProjectKosten[],MATCH(Tb_ProjectKosten[[#Headers],[Forfait_Percentage]],Tb_ProjectKosten[#Headers],0),0),""),S111 &lt;=0,0),"")</f>
        <v/>
      </c>
      <c r="W111" s="314" t="str">
        <f t="shared" ca="1" si="8"/>
        <v/>
      </c>
      <c r="X111" s="376" t="str">
        <f>IFERROR(VLOOKUP(F111,Tb_ProjectKosten[#All],11,0),"")</f>
        <v/>
      </c>
      <c r="Y111" s="315"/>
    </row>
    <row r="112" spans="1:25" x14ac:dyDescent="0.25">
      <c r="A112" s="309">
        <f>MAX($A$5:A111)+1</f>
        <v>107</v>
      </c>
      <c r="B112" s="296"/>
      <c r="C112" s="296"/>
      <c r="D112" s="296"/>
      <c r="E112" s="296"/>
      <c r="F112" s="296"/>
      <c r="G112" s="327"/>
      <c r="H112" s="310" t="str">
        <f ca="1">IFERROR(IF(VLOOKUP(F112,Kostentypen!$A$3:$E$21,3,0)=0,"",IF(OR(F112="Arbeidskosten",F112="Vergoeding"),VLOOKUP(G112,Tb_KostenTypen[],2,0),VLOOKUP(F112,Kostentypen!$A$3:$E$20,3,0))),"")</f>
        <v/>
      </c>
      <c r="I112" s="311"/>
      <c r="J112" s="312" t="str" cm="1">
        <f t="array" ref="J112">_xlfn.IFNA(IF(INDEX(Tb_KostenOpties[],MATCH($F112,Tb_KostenOpties[KostenOptie],0),IFERROR(MATCH(Methode_Keuze,Tb_KostenOpties[#Headers],0),2))=1,_xlfn.SWITCH($H112,"Uurtarief",IF(OR(AND(RIGHT($F112,3)="IKS",VLOOKUP($I112,Loonkosten,2,0)="Ja"),AND(RIGHT($F112,3)&lt;&gt;"IKS",VLOOKUP($I112,Loonkosten,2,0)="Nee")), VLOOKUP($I112,Loonkosten,MATCH("Opgegeven uurtarief",'4. Rekenhulp loonkosten aanvr.'!$4:$4,0)),0),"Vast tarief",IF(LEFT(F112,8)="Bijdrage",VLOOKUP($F112,Tb_KostenTypen[],MATCH(Lijsten!$P$1,Tb_KostenTypen[#Headers],0),0),VLOOKUP($G112,Lijsten!L:P,MATCH(Lijsten!$P$1,Kop_Tarief_Vast,0),0))),""),"")</f>
        <v/>
      </c>
      <c r="K112" s="312" t="str" cm="1">
        <f t="array" ref="K112">_xlfn.IFNA(IF(INDEX(Tb_KostenOpties[],MATCH($F112,Tb_KostenOpties[KostenOptie],0),IFERROR(MATCH(Methode_Keuze,Tb_KostenOpties[#Headers],0),2))=1,_xlfn.SWITCH($H112,"Uurtarief",IF(OR(AND(RIGHT($F112,3)="IKS",VLOOKUP($I112,Loonkosten,2,0)="Ja"),AND(RIGHT($F112,3)&lt;&gt;"IKS",VLOOKUP($I112,Loonkosten,2,0)="Nee")), VLOOKUP($I112,Loonkosten,MATCH("Beoordeeld uurtarief",'4. Rekenhulp loonkosten aanvr.'!$4:$4,0),0),0),"Vast tarief",IF(LEFT(F112,8)="Bijdrage",VLOOKUP($F112,Tb_KostenTypen[],MATCH(Lijsten!$P$1,Tb_KostenTypen[#Headers],0),0),VLOOKUP($G112,Lijsten!L:P,MATCH(Lijsten!$P$1,Kop_Tarief_Vast,0),0))),""),"")</f>
        <v/>
      </c>
      <c r="L112" s="358"/>
      <c r="M112" s="358"/>
      <c r="N112" s="313"/>
      <c r="O112" s="313"/>
      <c r="P112" s="374" t="str">
        <f t="shared" si="5"/>
        <v/>
      </c>
      <c r="Q112" s="314" t="str">
        <f t="shared" si="6"/>
        <v/>
      </c>
      <c r="R112" s="314" t="str" cm="1">
        <f t="array" aca="1" ref="R112" ca="1">_xlfn.IFNA(_xlfn.IFS(X112="Dit kostentype hoeft u niet op te geven. Hiervoor wordt een forfait berekend.","",AND(J112&lt;&gt;"",H112="Vast tarief",F112="Vergoeding"),SUM(J112)*FLOOR(SUM(L112),0.0001),AND(J112&lt;&gt;"",OR(H112="Uurtarief",H112="Vast tarief")),SUM(J112)*FLOOR(SUM(L112),0.01),AND(N112&lt;&gt;"",H112="-"),FLOOR(SUM(N112),0.01)),"")</f>
        <v/>
      </c>
      <c r="S112" s="314" t="str" cm="1">
        <f t="array" aca="1" ref="S112" ca="1">_xlfn.IFNA(_xlfn.IFS(X112="Dit kostentype hoeft u niet op te geven. Hiervoor wordt een forfait berekend.","",AND(K112&lt;&gt;"",M112&lt;&gt;"",H112="Vast tarief",F112="Vergoeding"),SUM(K112)*FLOOR(SUM(M112),0.0001),AND(K112&lt;&gt;"",M112&lt;&gt;"",OR(H112="Uurtarief",H112="Vast tarief")),SUM(K112)*FLOOR(SUM(M112),0.01),AND(O112&lt;&gt;"",H112="-"),FLOOR(SUM(O112),0.01)),"")</f>
        <v/>
      </c>
      <c r="T112" s="314" t="str">
        <f t="shared" ca="1" si="7"/>
        <v/>
      </c>
      <c r="U112" s="314" t="str" cm="1">
        <f t="array" aca="1" ref="U112" ca="1">IFERROR(_xlfn.IFS(OR(F112="",LEFT(Methode_Keuze,4)="Geen",Methode_Keuze=""),"",AND(R112&lt;&gt;"",F112&lt;&gt;"Arbeidskosten"),R112*VLOOKUP(F112,Tb_ProjectKosten[],MATCH(Tb_ProjectKosten[[#Headers],[Forfait_Percentage]],Tb_ProjectKosten[#Headers],0),0),AND(F112="Arbeidskosten",G112&lt;&gt;""),IFERROR(R112*VLOOKUP(G112,Tb_KostenTypen[],3,0)*VLOOKUP(F112,Tb_ProjectKosten[],MATCH(Tb_ProjectKosten[[#Headers],[Forfait_Percentage]],Tb_ProjectKosten[#Headers],0),0),""),R112 &lt;=0,0),"")</f>
        <v/>
      </c>
      <c r="V112" s="314" t="str" cm="1">
        <f t="array" aca="1" ref="V112" ca="1">IFERROR(_xlfn.IFS(OR(F112="",LEFT(Methode_Keuze,4)="Geen",Methode_Keuze=""),"",AND(S112&lt;&gt;"",F112&lt;&gt;"Arbeidskosten"),S112*VLOOKUP(F112,Tb_ProjectKosten[],MATCH(Tb_ProjectKosten[[#Headers],[Forfait_Percentage]],Tb_ProjectKosten[#Headers],0),0),AND(F112="Arbeidskosten",G112&lt;&gt;""),IFERROR(S112*VLOOKUP(G112,Tb_KostenTypen[],3,0)*VLOOKUP(F112,Tb_ProjectKosten[],MATCH(Tb_ProjectKosten[[#Headers],[Forfait_Percentage]],Tb_ProjectKosten[#Headers],0),0),""),S112 &lt;=0,0),"")</f>
        <v/>
      </c>
      <c r="W112" s="314" t="str">
        <f t="shared" ca="1" si="8"/>
        <v/>
      </c>
      <c r="X112" s="376" t="str">
        <f>IFERROR(VLOOKUP(F112,Tb_ProjectKosten[#All],11,0),"")</f>
        <v/>
      </c>
      <c r="Y112" s="315"/>
    </row>
    <row r="113" spans="1:25" x14ac:dyDescent="0.25">
      <c r="A113" s="309">
        <f>MAX($A$5:A112)+1</f>
        <v>108</v>
      </c>
      <c r="B113" s="296"/>
      <c r="C113" s="296"/>
      <c r="D113" s="296"/>
      <c r="E113" s="296"/>
      <c r="F113" s="296"/>
      <c r="G113" s="327"/>
      <c r="H113" s="310" t="str">
        <f ca="1">IFERROR(IF(VLOOKUP(F113,Kostentypen!$A$3:$E$21,3,0)=0,"",IF(OR(F113="Arbeidskosten",F113="Vergoeding"),VLOOKUP(G113,Tb_KostenTypen[],2,0),VLOOKUP(F113,Kostentypen!$A$3:$E$20,3,0))),"")</f>
        <v/>
      </c>
      <c r="I113" s="311"/>
      <c r="J113" s="312" t="str" cm="1">
        <f t="array" ref="J113">_xlfn.IFNA(IF(INDEX(Tb_KostenOpties[],MATCH($F113,Tb_KostenOpties[KostenOptie],0),IFERROR(MATCH(Methode_Keuze,Tb_KostenOpties[#Headers],0),2))=1,_xlfn.SWITCH($H113,"Uurtarief",IF(OR(AND(RIGHT($F113,3)="IKS",VLOOKUP($I113,Loonkosten,2,0)="Ja"),AND(RIGHT($F113,3)&lt;&gt;"IKS",VLOOKUP($I113,Loonkosten,2,0)="Nee")), VLOOKUP($I113,Loonkosten,MATCH("Opgegeven uurtarief",'4. Rekenhulp loonkosten aanvr.'!$4:$4,0)),0),"Vast tarief",IF(LEFT(F113,8)="Bijdrage",VLOOKUP($F113,Tb_KostenTypen[],MATCH(Lijsten!$P$1,Tb_KostenTypen[#Headers],0),0),VLOOKUP($G113,Lijsten!L:P,MATCH(Lijsten!$P$1,Kop_Tarief_Vast,0),0))),""),"")</f>
        <v/>
      </c>
      <c r="K113" s="312" t="str" cm="1">
        <f t="array" ref="K113">_xlfn.IFNA(IF(INDEX(Tb_KostenOpties[],MATCH($F113,Tb_KostenOpties[KostenOptie],0),IFERROR(MATCH(Methode_Keuze,Tb_KostenOpties[#Headers],0),2))=1,_xlfn.SWITCH($H113,"Uurtarief",IF(OR(AND(RIGHT($F113,3)="IKS",VLOOKUP($I113,Loonkosten,2,0)="Ja"),AND(RIGHT($F113,3)&lt;&gt;"IKS",VLOOKUP($I113,Loonkosten,2,0)="Nee")), VLOOKUP($I113,Loonkosten,MATCH("Beoordeeld uurtarief",'4. Rekenhulp loonkosten aanvr.'!$4:$4,0),0),0),"Vast tarief",IF(LEFT(F113,8)="Bijdrage",VLOOKUP($F113,Tb_KostenTypen[],MATCH(Lijsten!$P$1,Tb_KostenTypen[#Headers],0),0),VLOOKUP($G113,Lijsten!L:P,MATCH(Lijsten!$P$1,Kop_Tarief_Vast,0),0))),""),"")</f>
        <v/>
      </c>
      <c r="L113" s="358"/>
      <c r="M113" s="358"/>
      <c r="N113" s="313"/>
      <c r="O113" s="313"/>
      <c r="P113" s="374" t="str">
        <f t="shared" si="5"/>
        <v/>
      </c>
      <c r="Q113" s="314" t="str">
        <f t="shared" si="6"/>
        <v/>
      </c>
      <c r="R113" s="314" t="str" cm="1">
        <f t="array" aca="1" ref="R113" ca="1">_xlfn.IFNA(_xlfn.IFS(X113="Dit kostentype hoeft u niet op te geven. Hiervoor wordt een forfait berekend.","",AND(J113&lt;&gt;"",H113="Vast tarief",F113="Vergoeding"),SUM(J113)*FLOOR(SUM(L113),0.0001),AND(J113&lt;&gt;"",OR(H113="Uurtarief",H113="Vast tarief")),SUM(J113)*FLOOR(SUM(L113),0.01),AND(N113&lt;&gt;"",H113="-"),FLOOR(SUM(N113),0.01)),"")</f>
        <v/>
      </c>
      <c r="S113" s="314" t="str" cm="1">
        <f t="array" aca="1" ref="S113" ca="1">_xlfn.IFNA(_xlfn.IFS(X113="Dit kostentype hoeft u niet op te geven. Hiervoor wordt een forfait berekend.","",AND(K113&lt;&gt;"",M113&lt;&gt;"",H113="Vast tarief",F113="Vergoeding"),SUM(K113)*FLOOR(SUM(M113),0.0001),AND(K113&lt;&gt;"",M113&lt;&gt;"",OR(H113="Uurtarief",H113="Vast tarief")),SUM(K113)*FLOOR(SUM(M113),0.01),AND(O113&lt;&gt;"",H113="-"),FLOOR(SUM(O113),0.01)),"")</f>
        <v/>
      </c>
      <c r="T113" s="314" t="str">
        <f t="shared" ca="1" si="7"/>
        <v/>
      </c>
      <c r="U113" s="314" t="str" cm="1">
        <f t="array" aca="1" ref="U113" ca="1">IFERROR(_xlfn.IFS(OR(F113="",LEFT(Methode_Keuze,4)="Geen",Methode_Keuze=""),"",AND(R113&lt;&gt;"",F113&lt;&gt;"Arbeidskosten"),R113*VLOOKUP(F113,Tb_ProjectKosten[],MATCH(Tb_ProjectKosten[[#Headers],[Forfait_Percentage]],Tb_ProjectKosten[#Headers],0),0),AND(F113="Arbeidskosten",G113&lt;&gt;""),IFERROR(R113*VLOOKUP(G113,Tb_KostenTypen[],3,0)*VLOOKUP(F113,Tb_ProjectKosten[],MATCH(Tb_ProjectKosten[[#Headers],[Forfait_Percentage]],Tb_ProjectKosten[#Headers],0),0),""),R113 &lt;=0,0),"")</f>
        <v/>
      </c>
      <c r="V113" s="314" t="str" cm="1">
        <f t="array" aca="1" ref="V113" ca="1">IFERROR(_xlfn.IFS(OR(F113="",LEFT(Methode_Keuze,4)="Geen",Methode_Keuze=""),"",AND(S113&lt;&gt;"",F113&lt;&gt;"Arbeidskosten"),S113*VLOOKUP(F113,Tb_ProjectKosten[],MATCH(Tb_ProjectKosten[[#Headers],[Forfait_Percentage]],Tb_ProjectKosten[#Headers],0),0),AND(F113="Arbeidskosten",G113&lt;&gt;""),IFERROR(S113*VLOOKUP(G113,Tb_KostenTypen[],3,0)*VLOOKUP(F113,Tb_ProjectKosten[],MATCH(Tb_ProjectKosten[[#Headers],[Forfait_Percentage]],Tb_ProjectKosten[#Headers],0),0),""),S113 &lt;=0,0),"")</f>
        <v/>
      </c>
      <c r="W113" s="314" t="str">
        <f t="shared" ca="1" si="8"/>
        <v/>
      </c>
      <c r="X113" s="376" t="str">
        <f>IFERROR(VLOOKUP(F113,Tb_ProjectKosten[#All],11,0),"")</f>
        <v/>
      </c>
      <c r="Y113" s="315"/>
    </row>
    <row r="114" spans="1:25" x14ac:dyDescent="0.25">
      <c r="A114" s="309">
        <f>MAX($A$5:A113)+1</f>
        <v>109</v>
      </c>
      <c r="B114" s="296"/>
      <c r="C114" s="296"/>
      <c r="D114" s="296"/>
      <c r="E114" s="296"/>
      <c r="F114" s="296"/>
      <c r="G114" s="327"/>
      <c r="H114" s="310" t="str">
        <f ca="1">IFERROR(IF(VLOOKUP(F114,Kostentypen!$A$3:$E$21,3,0)=0,"",IF(OR(F114="Arbeidskosten",F114="Vergoeding"),VLOOKUP(G114,Tb_KostenTypen[],2,0),VLOOKUP(F114,Kostentypen!$A$3:$E$20,3,0))),"")</f>
        <v/>
      </c>
      <c r="I114" s="311"/>
      <c r="J114" s="312" t="str" cm="1">
        <f t="array" ref="J114">_xlfn.IFNA(IF(INDEX(Tb_KostenOpties[],MATCH($F114,Tb_KostenOpties[KostenOptie],0),IFERROR(MATCH(Methode_Keuze,Tb_KostenOpties[#Headers],0),2))=1,_xlfn.SWITCH($H114,"Uurtarief",IF(OR(AND(RIGHT($F114,3)="IKS",VLOOKUP($I114,Loonkosten,2,0)="Ja"),AND(RIGHT($F114,3)&lt;&gt;"IKS",VLOOKUP($I114,Loonkosten,2,0)="Nee")), VLOOKUP($I114,Loonkosten,MATCH("Opgegeven uurtarief",'4. Rekenhulp loonkosten aanvr.'!$4:$4,0)),0),"Vast tarief",IF(LEFT(F114,8)="Bijdrage",VLOOKUP($F114,Tb_KostenTypen[],MATCH(Lijsten!$P$1,Tb_KostenTypen[#Headers],0),0),VLOOKUP($G114,Lijsten!L:P,MATCH(Lijsten!$P$1,Kop_Tarief_Vast,0),0))),""),"")</f>
        <v/>
      </c>
      <c r="K114" s="312" t="str" cm="1">
        <f t="array" ref="K114">_xlfn.IFNA(IF(INDEX(Tb_KostenOpties[],MATCH($F114,Tb_KostenOpties[KostenOptie],0),IFERROR(MATCH(Methode_Keuze,Tb_KostenOpties[#Headers],0),2))=1,_xlfn.SWITCH($H114,"Uurtarief",IF(OR(AND(RIGHT($F114,3)="IKS",VLOOKUP($I114,Loonkosten,2,0)="Ja"),AND(RIGHT($F114,3)&lt;&gt;"IKS",VLOOKUP($I114,Loonkosten,2,0)="Nee")), VLOOKUP($I114,Loonkosten,MATCH("Beoordeeld uurtarief",'4. Rekenhulp loonkosten aanvr.'!$4:$4,0),0),0),"Vast tarief",IF(LEFT(F114,8)="Bijdrage",VLOOKUP($F114,Tb_KostenTypen[],MATCH(Lijsten!$P$1,Tb_KostenTypen[#Headers],0),0),VLOOKUP($G114,Lijsten!L:P,MATCH(Lijsten!$P$1,Kop_Tarief_Vast,0),0))),""),"")</f>
        <v/>
      </c>
      <c r="L114" s="358"/>
      <c r="M114" s="358"/>
      <c r="N114" s="313"/>
      <c r="O114" s="313"/>
      <c r="P114" s="374" t="str">
        <f t="shared" si="5"/>
        <v/>
      </c>
      <c r="Q114" s="314" t="str">
        <f t="shared" si="6"/>
        <v/>
      </c>
      <c r="R114" s="314" t="str" cm="1">
        <f t="array" aca="1" ref="R114" ca="1">_xlfn.IFNA(_xlfn.IFS(X114="Dit kostentype hoeft u niet op te geven. Hiervoor wordt een forfait berekend.","",AND(J114&lt;&gt;"",H114="Vast tarief",F114="Vergoeding"),SUM(J114)*FLOOR(SUM(L114),0.0001),AND(J114&lt;&gt;"",OR(H114="Uurtarief",H114="Vast tarief")),SUM(J114)*FLOOR(SUM(L114),0.01),AND(N114&lt;&gt;"",H114="-"),FLOOR(SUM(N114),0.01)),"")</f>
        <v/>
      </c>
      <c r="S114" s="314" t="str" cm="1">
        <f t="array" aca="1" ref="S114" ca="1">_xlfn.IFNA(_xlfn.IFS(X114="Dit kostentype hoeft u niet op te geven. Hiervoor wordt een forfait berekend.","",AND(K114&lt;&gt;"",M114&lt;&gt;"",H114="Vast tarief",F114="Vergoeding"),SUM(K114)*FLOOR(SUM(M114),0.0001),AND(K114&lt;&gt;"",M114&lt;&gt;"",OR(H114="Uurtarief",H114="Vast tarief")),SUM(K114)*FLOOR(SUM(M114),0.01),AND(O114&lt;&gt;"",H114="-"),FLOOR(SUM(O114),0.01)),"")</f>
        <v/>
      </c>
      <c r="T114" s="314" t="str">
        <f t="shared" ca="1" si="7"/>
        <v/>
      </c>
      <c r="U114" s="314" t="str" cm="1">
        <f t="array" aca="1" ref="U114" ca="1">IFERROR(_xlfn.IFS(OR(F114="",LEFT(Methode_Keuze,4)="Geen",Methode_Keuze=""),"",AND(R114&lt;&gt;"",F114&lt;&gt;"Arbeidskosten"),R114*VLOOKUP(F114,Tb_ProjectKosten[],MATCH(Tb_ProjectKosten[[#Headers],[Forfait_Percentage]],Tb_ProjectKosten[#Headers],0),0),AND(F114="Arbeidskosten",G114&lt;&gt;""),IFERROR(R114*VLOOKUP(G114,Tb_KostenTypen[],3,0)*VLOOKUP(F114,Tb_ProjectKosten[],MATCH(Tb_ProjectKosten[[#Headers],[Forfait_Percentage]],Tb_ProjectKosten[#Headers],0),0),""),R114 &lt;=0,0),"")</f>
        <v/>
      </c>
      <c r="V114" s="314" t="str" cm="1">
        <f t="array" aca="1" ref="V114" ca="1">IFERROR(_xlfn.IFS(OR(F114="",LEFT(Methode_Keuze,4)="Geen",Methode_Keuze=""),"",AND(S114&lt;&gt;"",F114&lt;&gt;"Arbeidskosten"),S114*VLOOKUP(F114,Tb_ProjectKosten[],MATCH(Tb_ProjectKosten[[#Headers],[Forfait_Percentage]],Tb_ProjectKosten[#Headers],0),0),AND(F114="Arbeidskosten",G114&lt;&gt;""),IFERROR(S114*VLOOKUP(G114,Tb_KostenTypen[],3,0)*VLOOKUP(F114,Tb_ProjectKosten[],MATCH(Tb_ProjectKosten[[#Headers],[Forfait_Percentage]],Tb_ProjectKosten[#Headers],0),0),""),S114 &lt;=0,0),"")</f>
        <v/>
      </c>
      <c r="W114" s="314" t="str">
        <f t="shared" ca="1" si="8"/>
        <v/>
      </c>
      <c r="X114" s="376" t="str">
        <f>IFERROR(VLOOKUP(F114,Tb_ProjectKosten[#All],11,0),"")</f>
        <v/>
      </c>
      <c r="Y114" s="315"/>
    </row>
    <row r="115" spans="1:25" x14ac:dyDescent="0.25">
      <c r="A115" s="309">
        <f>MAX($A$5:A114)+1</f>
        <v>110</v>
      </c>
      <c r="B115" s="296"/>
      <c r="C115" s="296"/>
      <c r="D115" s="296"/>
      <c r="E115" s="296"/>
      <c r="F115" s="296"/>
      <c r="G115" s="327"/>
      <c r="H115" s="310" t="str">
        <f ca="1">IFERROR(IF(VLOOKUP(F115,Kostentypen!$A$3:$E$21,3,0)=0,"",IF(OR(F115="Arbeidskosten",F115="Vergoeding"),VLOOKUP(G115,Tb_KostenTypen[],2,0),VLOOKUP(F115,Kostentypen!$A$3:$E$20,3,0))),"")</f>
        <v/>
      </c>
      <c r="I115" s="311"/>
      <c r="J115" s="312" t="str" cm="1">
        <f t="array" ref="J115">_xlfn.IFNA(IF(INDEX(Tb_KostenOpties[],MATCH($F115,Tb_KostenOpties[KostenOptie],0),IFERROR(MATCH(Methode_Keuze,Tb_KostenOpties[#Headers],0),2))=1,_xlfn.SWITCH($H115,"Uurtarief",IF(OR(AND(RIGHT($F115,3)="IKS",VLOOKUP($I115,Loonkosten,2,0)="Ja"),AND(RIGHT($F115,3)&lt;&gt;"IKS",VLOOKUP($I115,Loonkosten,2,0)="Nee")), VLOOKUP($I115,Loonkosten,MATCH("Opgegeven uurtarief",'4. Rekenhulp loonkosten aanvr.'!$4:$4,0)),0),"Vast tarief",IF(LEFT(F115,8)="Bijdrage",VLOOKUP($F115,Tb_KostenTypen[],MATCH(Lijsten!$P$1,Tb_KostenTypen[#Headers],0),0),VLOOKUP($G115,Lijsten!L:P,MATCH(Lijsten!$P$1,Kop_Tarief_Vast,0),0))),""),"")</f>
        <v/>
      </c>
      <c r="K115" s="312" t="str" cm="1">
        <f t="array" ref="K115">_xlfn.IFNA(IF(INDEX(Tb_KostenOpties[],MATCH($F115,Tb_KostenOpties[KostenOptie],0),IFERROR(MATCH(Methode_Keuze,Tb_KostenOpties[#Headers],0),2))=1,_xlfn.SWITCH($H115,"Uurtarief",IF(OR(AND(RIGHT($F115,3)="IKS",VLOOKUP($I115,Loonkosten,2,0)="Ja"),AND(RIGHT($F115,3)&lt;&gt;"IKS",VLOOKUP($I115,Loonkosten,2,0)="Nee")), VLOOKUP($I115,Loonkosten,MATCH("Beoordeeld uurtarief",'4. Rekenhulp loonkosten aanvr.'!$4:$4,0),0),0),"Vast tarief",IF(LEFT(F115,8)="Bijdrage",VLOOKUP($F115,Tb_KostenTypen[],MATCH(Lijsten!$P$1,Tb_KostenTypen[#Headers],0),0),VLOOKUP($G115,Lijsten!L:P,MATCH(Lijsten!$P$1,Kop_Tarief_Vast,0),0))),""),"")</f>
        <v/>
      </c>
      <c r="L115" s="358"/>
      <c r="M115" s="358"/>
      <c r="N115" s="313"/>
      <c r="O115" s="313"/>
      <c r="P115" s="374" t="str">
        <f t="shared" si="5"/>
        <v/>
      </c>
      <c r="Q115" s="314" t="str">
        <f t="shared" si="6"/>
        <v/>
      </c>
      <c r="R115" s="314" t="str" cm="1">
        <f t="array" aca="1" ref="R115" ca="1">_xlfn.IFNA(_xlfn.IFS(X115="Dit kostentype hoeft u niet op te geven. Hiervoor wordt een forfait berekend.","",AND(J115&lt;&gt;"",H115="Vast tarief",F115="Vergoeding"),SUM(J115)*FLOOR(SUM(L115),0.0001),AND(J115&lt;&gt;"",OR(H115="Uurtarief",H115="Vast tarief")),SUM(J115)*FLOOR(SUM(L115),0.01),AND(N115&lt;&gt;"",H115="-"),FLOOR(SUM(N115),0.01)),"")</f>
        <v/>
      </c>
      <c r="S115" s="314" t="str" cm="1">
        <f t="array" aca="1" ref="S115" ca="1">_xlfn.IFNA(_xlfn.IFS(X115="Dit kostentype hoeft u niet op te geven. Hiervoor wordt een forfait berekend.","",AND(K115&lt;&gt;"",M115&lt;&gt;"",H115="Vast tarief",F115="Vergoeding"),SUM(K115)*FLOOR(SUM(M115),0.0001),AND(K115&lt;&gt;"",M115&lt;&gt;"",OR(H115="Uurtarief",H115="Vast tarief")),SUM(K115)*FLOOR(SUM(M115),0.01),AND(O115&lt;&gt;"",H115="-"),FLOOR(SUM(O115),0.01)),"")</f>
        <v/>
      </c>
      <c r="T115" s="314" t="str">
        <f t="shared" ca="1" si="7"/>
        <v/>
      </c>
      <c r="U115" s="314" t="str" cm="1">
        <f t="array" aca="1" ref="U115" ca="1">IFERROR(_xlfn.IFS(OR(F115="",LEFT(Methode_Keuze,4)="Geen",Methode_Keuze=""),"",AND(R115&lt;&gt;"",F115&lt;&gt;"Arbeidskosten"),R115*VLOOKUP(F115,Tb_ProjectKosten[],MATCH(Tb_ProjectKosten[[#Headers],[Forfait_Percentage]],Tb_ProjectKosten[#Headers],0),0),AND(F115="Arbeidskosten",G115&lt;&gt;""),IFERROR(R115*VLOOKUP(G115,Tb_KostenTypen[],3,0)*VLOOKUP(F115,Tb_ProjectKosten[],MATCH(Tb_ProjectKosten[[#Headers],[Forfait_Percentage]],Tb_ProjectKosten[#Headers],0),0),""),R115 &lt;=0,0),"")</f>
        <v/>
      </c>
      <c r="V115" s="314" t="str" cm="1">
        <f t="array" aca="1" ref="V115" ca="1">IFERROR(_xlfn.IFS(OR(F115="",LEFT(Methode_Keuze,4)="Geen",Methode_Keuze=""),"",AND(S115&lt;&gt;"",F115&lt;&gt;"Arbeidskosten"),S115*VLOOKUP(F115,Tb_ProjectKosten[],MATCH(Tb_ProjectKosten[[#Headers],[Forfait_Percentage]],Tb_ProjectKosten[#Headers],0),0),AND(F115="Arbeidskosten",G115&lt;&gt;""),IFERROR(S115*VLOOKUP(G115,Tb_KostenTypen[],3,0)*VLOOKUP(F115,Tb_ProjectKosten[],MATCH(Tb_ProjectKosten[[#Headers],[Forfait_Percentage]],Tb_ProjectKosten[#Headers],0),0),""),S115 &lt;=0,0),"")</f>
        <v/>
      </c>
      <c r="W115" s="314" t="str">
        <f t="shared" ca="1" si="8"/>
        <v/>
      </c>
      <c r="X115" s="376" t="str">
        <f>IFERROR(VLOOKUP(F115,Tb_ProjectKosten[#All],11,0),"")</f>
        <v/>
      </c>
      <c r="Y115" s="315"/>
    </row>
    <row r="116" spans="1:25" x14ac:dyDescent="0.25">
      <c r="A116" s="309">
        <f>MAX($A$5:A115)+1</f>
        <v>111</v>
      </c>
      <c r="B116" s="296"/>
      <c r="C116" s="296"/>
      <c r="D116" s="296"/>
      <c r="E116" s="296"/>
      <c r="F116" s="296"/>
      <c r="G116" s="327"/>
      <c r="H116" s="310" t="str">
        <f ca="1">IFERROR(IF(VLOOKUP(F116,Kostentypen!$A$3:$E$21,3,0)=0,"",IF(OR(F116="Arbeidskosten",F116="Vergoeding"),VLOOKUP(G116,Tb_KostenTypen[],2,0),VLOOKUP(F116,Kostentypen!$A$3:$E$20,3,0))),"")</f>
        <v/>
      </c>
      <c r="I116" s="311"/>
      <c r="J116" s="312" t="str" cm="1">
        <f t="array" ref="J116">_xlfn.IFNA(IF(INDEX(Tb_KostenOpties[],MATCH($F116,Tb_KostenOpties[KostenOptie],0),IFERROR(MATCH(Methode_Keuze,Tb_KostenOpties[#Headers],0),2))=1,_xlfn.SWITCH($H116,"Uurtarief",IF(OR(AND(RIGHT($F116,3)="IKS",VLOOKUP($I116,Loonkosten,2,0)="Ja"),AND(RIGHT($F116,3)&lt;&gt;"IKS",VLOOKUP($I116,Loonkosten,2,0)="Nee")), VLOOKUP($I116,Loonkosten,MATCH("Opgegeven uurtarief",'4. Rekenhulp loonkosten aanvr.'!$4:$4,0)),0),"Vast tarief",IF(LEFT(F116,8)="Bijdrage",VLOOKUP($F116,Tb_KostenTypen[],MATCH(Lijsten!$P$1,Tb_KostenTypen[#Headers],0),0),VLOOKUP($G116,Lijsten!L:P,MATCH(Lijsten!$P$1,Kop_Tarief_Vast,0),0))),""),"")</f>
        <v/>
      </c>
      <c r="K116" s="312" t="str" cm="1">
        <f t="array" ref="K116">_xlfn.IFNA(IF(INDEX(Tb_KostenOpties[],MATCH($F116,Tb_KostenOpties[KostenOptie],0),IFERROR(MATCH(Methode_Keuze,Tb_KostenOpties[#Headers],0),2))=1,_xlfn.SWITCH($H116,"Uurtarief",IF(OR(AND(RIGHT($F116,3)="IKS",VLOOKUP($I116,Loonkosten,2,0)="Ja"),AND(RIGHT($F116,3)&lt;&gt;"IKS",VLOOKUP($I116,Loonkosten,2,0)="Nee")), VLOOKUP($I116,Loonkosten,MATCH("Beoordeeld uurtarief",'4. Rekenhulp loonkosten aanvr.'!$4:$4,0),0),0),"Vast tarief",IF(LEFT(F116,8)="Bijdrage",VLOOKUP($F116,Tb_KostenTypen[],MATCH(Lijsten!$P$1,Tb_KostenTypen[#Headers],0),0),VLOOKUP($G116,Lijsten!L:P,MATCH(Lijsten!$P$1,Kop_Tarief_Vast,0),0))),""),"")</f>
        <v/>
      </c>
      <c r="L116" s="358"/>
      <c r="M116" s="358"/>
      <c r="N116" s="313"/>
      <c r="O116" s="313"/>
      <c r="P116" s="374" t="str">
        <f t="shared" si="5"/>
        <v/>
      </c>
      <c r="Q116" s="314" t="str">
        <f t="shared" si="6"/>
        <v/>
      </c>
      <c r="R116" s="314" t="str" cm="1">
        <f t="array" aca="1" ref="R116" ca="1">_xlfn.IFNA(_xlfn.IFS(X116="Dit kostentype hoeft u niet op te geven. Hiervoor wordt een forfait berekend.","",AND(J116&lt;&gt;"",H116="Vast tarief",F116="Vergoeding"),SUM(J116)*FLOOR(SUM(L116),0.0001),AND(J116&lt;&gt;"",OR(H116="Uurtarief",H116="Vast tarief")),SUM(J116)*FLOOR(SUM(L116),0.01),AND(N116&lt;&gt;"",H116="-"),FLOOR(SUM(N116),0.01)),"")</f>
        <v/>
      </c>
      <c r="S116" s="314" t="str" cm="1">
        <f t="array" aca="1" ref="S116" ca="1">_xlfn.IFNA(_xlfn.IFS(X116="Dit kostentype hoeft u niet op te geven. Hiervoor wordt een forfait berekend.","",AND(K116&lt;&gt;"",M116&lt;&gt;"",H116="Vast tarief",F116="Vergoeding"),SUM(K116)*FLOOR(SUM(M116),0.0001),AND(K116&lt;&gt;"",M116&lt;&gt;"",OR(H116="Uurtarief",H116="Vast tarief")),SUM(K116)*FLOOR(SUM(M116),0.01),AND(O116&lt;&gt;"",H116="-"),FLOOR(SUM(O116),0.01)),"")</f>
        <v/>
      </c>
      <c r="T116" s="314" t="str">
        <f t="shared" ca="1" si="7"/>
        <v/>
      </c>
      <c r="U116" s="314" t="str" cm="1">
        <f t="array" aca="1" ref="U116" ca="1">IFERROR(_xlfn.IFS(OR(F116="",LEFT(Methode_Keuze,4)="Geen",Methode_Keuze=""),"",AND(R116&lt;&gt;"",F116&lt;&gt;"Arbeidskosten"),R116*VLOOKUP(F116,Tb_ProjectKosten[],MATCH(Tb_ProjectKosten[[#Headers],[Forfait_Percentage]],Tb_ProjectKosten[#Headers],0),0),AND(F116="Arbeidskosten",G116&lt;&gt;""),IFERROR(R116*VLOOKUP(G116,Tb_KostenTypen[],3,0)*VLOOKUP(F116,Tb_ProjectKosten[],MATCH(Tb_ProjectKosten[[#Headers],[Forfait_Percentage]],Tb_ProjectKosten[#Headers],0),0),""),R116 &lt;=0,0),"")</f>
        <v/>
      </c>
      <c r="V116" s="314" t="str" cm="1">
        <f t="array" aca="1" ref="V116" ca="1">IFERROR(_xlfn.IFS(OR(F116="",LEFT(Methode_Keuze,4)="Geen",Methode_Keuze=""),"",AND(S116&lt;&gt;"",F116&lt;&gt;"Arbeidskosten"),S116*VLOOKUP(F116,Tb_ProjectKosten[],MATCH(Tb_ProjectKosten[[#Headers],[Forfait_Percentage]],Tb_ProjectKosten[#Headers],0),0),AND(F116="Arbeidskosten",G116&lt;&gt;""),IFERROR(S116*VLOOKUP(G116,Tb_KostenTypen[],3,0)*VLOOKUP(F116,Tb_ProjectKosten[],MATCH(Tb_ProjectKosten[[#Headers],[Forfait_Percentage]],Tb_ProjectKosten[#Headers],0),0),""),S116 &lt;=0,0),"")</f>
        <v/>
      </c>
      <c r="W116" s="314" t="str">
        <f t="shared" ca="1" si="8"/>
        <v/>
      </c>
      <c r="X116" s="376" t="str">
        <f>IFERROR(VLOOKUP(F116,Tb_ProjectKosten[#All],11,0),"")</f>
        <v/>
      </c>
      <c r="Y116" s="315"/>
    </row>
    <row r="117" spans="1:25" x14ac:dyDescent="0.25">
      <c r="A117" s="309">
        <f>MAX($A$5:A116)+1</f>
        <v>112</v>
      </c>
      <c r="B117" s="296"/>
      <c r="C117" s="296"/>
      <c r="D117" s="296"/>
      <c r="E117" s="296"/>
      <c r="F117" s="296"/>
      <c r="G117" s="327"/>
      <c r="H117" s="310" t="str">
        <f ca="1">IFERROR(IF(VLOOKUP(F117,Kostentypen!$A$3:$E$21,3,0)=0,"",IF(OR(F117="Arbeidskosten",F117="Vergoeding"),VLOOKUP(G117,Tb_KostenTypen[],2,0),VLOOKUP(F117,Kostentypen!$A$3:$E$20,3,0))),"")</f>
        <v/>
      </c>
      <c r="I117" s="311"/>
      <c r="J117" s="312" t="str" cm="1">
        <f t="array" ref="J117">_xlfn.IFNA(IF(INDEX(Tb_KostenOpties[],MATCH($F117,Tb_KostenOpties[KostenOptie],0),IFERROR(MATCH(Methode_Keuze,Tb_KostenOpties[#Headers],0),2))=1,_xlfn.SWITCH($H117,"Uurtarief",IF(OR(AND(RIGHT($F117,3)="IKS",VLOOKUP($I117,Loonkosten,2,0)="Ja"),AND(RIGHT($F117,3)&lt;&gt;"IKS",VLOOKUP($I117,Loonkosten,2,0)="Nee")), VLOOKUP($I117,Loonkosten,MATCH("Opgegeven uurtarief",'4. Rekenhulp loonkosten aanvr.'!$4:$4,0)),0),"Vast tarief",IF(LEFT(F117,8)="Bijdrage",VLOOKUP($F117,Tb_KostenTypen[],MATCH(Lijsten!$P$1,Tb_KostenTypen[#Headers],0),0),VLOOKUP($G117,Lijsten!L:P,MATCH(Lijsten!$P$1,Kop_Tarief_Vast,0),0))),""),"")</f>
        <v/>
      </c>
      <c r="K117" s="312" t="str" cm="1">
        <f t="array" ref="K117">_xlfn.IFNA(IF(INDEX(Tb_KostenOpties[],MATCH($F117,Tb_KostenOpties[KostenOptie],0),IFERROR(MATCH(Methode_Keuze,Tb_KostenOpties[#Headers],0),2))=1,_xlfn.SWITCH($H117,"Uurtarief",IF(OR(AND(RIGHT($F117,3)="IKS",VLOOKUP($I117,Loonkosten,2,0)="Ja"),AND(RIGHT($F117,3)&lt;&gt;"IKS",VLOOKUP($I117,Loonkosten,2,0)="Nee")), VLOOKUP($I117,Loonkosten,MATCH("Beoordeeld uurtarief",'4. Rekenhulp loonkosten aanvr.'!$4:$4,0),0),0),"Vast tarief",IF(LEFT(F117,8)="Bijdrage",VLOOKUP($F117,Tb_KostenTypen[],MATCH(Lijsten!$P$1,Tb_KostenTypen[#Headers],0),0),VLOOKUP($G117,Lijsten!L:P,MATCH(Lijsten!$P$1,Kop_Tarief_Vast,0),0))),""),"")</f>
        <v/>
      </c>
      <c r="L117" s="358"/>
      <c r="M117" s="358"/>
      <c r="N117" s="313"/>
      <c r="O117" s="313"/>
      <c r="P117" s="374" t="str">
        <f t="shared" si="5"/>
        <v/>
      </c>
      <c r="Q117" s="314" t="str">
        <f t="shared" si="6"/>
        <v/>
      </c>
      <c r="R117" s="314" t="str" cm="1">
        <f t="array" aca="1" ref="R117" ca="1">_xlfn.IFNA(_xlfn.IFS(X117="Dit kostentype hoeft u niet op te geven. Hiervoor wordt een forfait berekend.","",AND(J117&lt;&gt;"",H117="Vast tarief",F117="Vergoeding"),SUM(J117)*FLOOR(SUM(L117),0.0001),AND(J117&lt;&gt;"",OR(H117="Uurtarief",H117="Vast tarief")),SUM(J117)*FLOOR(SUM(L117),0.01),AND(N117&lt;&gt;"",H117="-"),FLOOR(SUM(N117),0.01)),"")</f>
        <v/>
      </c>
      <c r="S117" s="314" t="str" cm="1">
        <f t="array" aca="1" ref="S117" ca="1">_xlfn.IFNA(_xlfn.IFS(X117="Dit kostentype hoeft u niet op te geven. Hiervoor wordt een forfait berekend.","",AND(K117&lt;&gt;"",M117&lt;&gt;"",H117="Vast tarief",F117="Vergoeding"),SUM(K117)*FLOOR(SUM(M117),0.0001),AND(K117&lt;&gt;"",M117&lt;&gt;"",OR(H117="Uurtarief",H117="Vast tarief")),SUM(K117)*FLOOR(SUM(M117),0.01),AND(O117&lt;&gt;"",H117="-"),FLOOR(SUM(O117),0.01)),"")</f>
        <v/>
      </c>
      <c r="T117" s="314" t="str">
        <f t="shared" ca="1" si="7"/>
        <v/>
      </c>
      <c r="U117" s="314" t="str" cm="1">
        <f t="array" aca="1" ref="U117" ca="1">IFERROR(_xlfn.IFS(OR(F117="",LEFT(Methode_Keuze,4)="Geen",Methode_Keuze=""),"",AND(R117&lt;&gt;"",F117&lt;&gt;"Arbeidskosten"),R117*VLOOKUP(F117,Tb_ProjectKosten[],MATCH(Tb_ProjectKosten[[#Headers],[Forfait_Percentage]],Tb_ProjectKosten[#Headers],0),0),AND(F117="Arbeidskosten",G117&lt;&gt;""),IFERROR(R117*VLOOKUP(G117,Tb_KostenTypen[],3,0)*VLOOKUP(F117,Tb_ProjectKosten[],MATCH(Tb_ProjectKosten[[#Headers],[Forfait_Percentage]],Tb_ProjectKosten[#Headers],0),0),""),R117 &lt;=0,0),"")</f>
        <v/>
      </c>
      <c r="V117" s="314" t="str" cm="1">
        <f t="array" aca="1" ref="V117" ca="1">IFERROR(_xlfn.IFS(OR(F117="",LEFT(Methode_Keuze,4)="Geen",Methode_Keuze=""),"",AND(S117&lt;&gt;"",F117&lt;&gt;"Arbeidskosten"),S117*VLOOKUP(F117,Tb_ProjectKosten[],MATCH(Tb_ProjectKosten[[#Headers],[Forfait_Percentage]],Tb_ProjectKosten[#Headers],0),0),AND(F117="Arbeidskosten",G117&lt;&gt;""),IFERROR(S117*VLOOKUP(G117,Tb_KostenTypen[],3,0)*VLOOKUP(F117,Tb_ProjectKosten[],MATCH(Tb_ProjectKosten[[#Headers],[Forfait_Percentage]],Tb_ProjectKosten[#Headers],0),0),""),S117 &lt;=0,0),"")</f>
        <v/>
      </c>
      <c r="W117" s="314" t="str">
        <f t="shared" ca="1" si="8"/>
        <v/>
      </c>
      <c r="X117" s="376" t="str">
        <f>IFERROR(VLOOKUP(F117,Tb_ProjectKosten[#All],11,0),"")</f>
        <v/>
      </c>
      <c r="Y117" s="315"/>
    </row>
    <row r="118" spans="1:25" x14ac:dyDescent="0.25">
      <c r="A118" s="309">
        <f>MAX($A$5:A117)+1</f>
        <v>113</v>
      </c>
      <c r="B118" s="296"/>
      <c r="C118" s="296"/>
      <c r="D118" s="296"/>
      <c r="E118" s="296"/>
      <c r="F118" s="296"/>
      <c r="G118" s="327"/>
      <c r="H118" s="310" t="str">
        <f ca="1">IFERROR(IF(VLOOKUP(F118,Kostentypen!$A$3:$E$21,3,0)=0,"",IF(OR(F118="Arbeidskosten",F118="Vergoeding"),VLOOKUP(G118,Tb_KostenTypen[],2,0),VLOOKUP(F118,Kostentypen!$A$3:$E$20,3,0))),"")</f>
        <v/>
      </c>
      <c r="I118" s="311"/>
      <c r="J118" s="312" t="str" cm="1">
        <f t="array" ref="J118">_xlfn.IFNA(IF(INDEX(Tb_KostenOpties[],MATCH($F118,Tb_KostenOpties[KostenOptie],0),IFERROR(MATCH(Methode_Keuze,Tb_KostenOpties[#Headers],0),2))=1,_xlfn.SWITCH($H118,"Uurtarief",IF(OR(AND(RIGHT($F118,3)="IKS",VLOOKUP($I118,Loonkosten,2,0)="Ja"),AND(RIGHT($F118,3)&lt;&gt;"IKS",VLOOKUP($I118,Loonkosten,2,0)="Nee")), VLOOKUP($I118,Loonkosten,MATCH("Opgegeven uurtarief",'4. Rekenhulp loonkosten aanvr.'!$4:$4,0)),0),"Vast tarief",IF(LEFT(F118,8)="Bijdrage",VLOOKUP($F118,Tb_KostenTypen[],MATCH(Lijsten!$P$1,Tb_KostenTypen[#Headers],0),0),VLOOKUP($G118,Lijsten!L:P,MATCH(Lijsten!$P$1,Kop_Tarief_Vast,0),0))),""),"")</f>
        <v/>
      </c>
      <c r="K118" s="312" t="str" cm="1">
        <f t="array" ref="K118">_xlfn.IFNA(IF(INDEX(Tb_KostenOpties[],MATCH($F118,Tb_KostenOpties[KostenOptie],0),IFERROR(MATCH(Methode_Keuze,Tb_KostenOpties[#Headers],0),2))=1,_xlfn.SWITCH($H118,"Uurtarief",IF(OR(AND(RIGHT($F118,3)="IKS",VLOOKUP($I118,Loonkosten,2,0)="Ja"),AND(RIGHT($F118,3)&lt;&gt;"IKS",VLOOKUP($I118,Loonkosten,2,0)="Nee")), VLOOKUP($I118,Loonkosten,MATCH("Beoordeeld uurtarief",'4. Rekenhulp loonkosten aanvr.'!$4:$4,0),0),0),"Vast tarief",IF(LEFT(F118,8)="Bijdrage",VLOOKUP($F118,Tb_KostenTypen[],MATCH(Lijsten!$P$1,Tb_KostenTypen[#Headers],0),0),VLOOKUP($G118,Lijsten!L:P,MATCH(Lijsten!$P$1,Kop_Tarief_Vast,0),0))),""),"")</f>
        <v/>
      </c>
      <c r="L118" s="358"/>
      <c r="M118" s="358"/>
      <c r="N118" s="313"/>
      <c r="O118" s="313"/>
      <c r="P118" s="374" t="str">
        <f t="shared" si="5"/>
        <v/>
      </c>
      <c r="Q118" s="314" t="str">
        <f t="shared" si="6"/>
        <v/>
      </c>
      <c r="R118" s="314" t="str" cm="1">
        <f t="array" aca="1" ref="R118" ca="1">_xlfn.IFNA(_xlfn.IFS(X118="Dit kostentype hoeft u niet op te geven. Hiervoor wordt een forfait berekend.","",AND(J118&lt;&gt;"",H118="Vast tarief",F118="Vergoeding"),SUM(J118)*FLOOR(SUM(L118),0.0001),AND(J118&lt;&gt;"",OR(H118="Uurtarief",H118="Vast tarief")),SUM(J118)*FLOOR(SUM(L118),0.01),AND(N118&lt;&gt;"",H118="-"),FLOOR(SUM(N118),0.01)),"")</f>
        <v/>
      </c>
      <c r="S118" s="314" t="str" cm="1">
        <f t="array" aca="1" ref="S118" ca="1">_xlfn.IFNA(_xlfn.IFS(X118="Dit kostentype hoeft u niet op te geven. Hiervoor wordt een forfait berekend.","",AND(K118&lt;&gt;"",M118&lt;&gt;"",H118="Vast tarief",F118="Vergoeding"),SUM(K118)*FLOOR(SUM(M118),0.0001),AND(K118&lt;&gt;"",M118&lt;&gt;"",OR(H118="Uurtarief",H118="Vast tarief")),SUM(K118)*FLOOR(SUM(M118),0.01),AND(O118&lt;&gt;"",H118="-"),FLOOR(SUM(O118),0.01)),"")</f>
        <v/>
      </c>
      <c r="T118" s="314" t="str">
        <f t="shared" ca="1" si="7"/>
        <v/>
      </c>
      <c r="U118" s="314" t="str" cm="1">
        <f t="array" aca="1" ref="U118" ca="1">IFERROR(_xlfn.IFS(OR(F118="",LEFT(Methode_Keuze,4)="Geen",Methode_Keuze=""),"",AND(R118&lt;&gt;"",F118&lt;&gt;"Arbeidskosten"),R118*VLOOKUP(F118,Tb_ProjectKosten[],MATCH(Tb_ProjectKosten[[#Headers],[Forfait_Percentage]],Tb_ProjectKosten[#Headers],0),0),AND(F118="Arbeidskosten",G118&lt;&gt;""),IFERROR(R118*VLOOKUP(G118,Tb_KostenTypen[],3,0)*VLOOKUP(F118,Tb_ProjectKosten[],MATCH(Tb_ProjectKosten[[#Headers],[Forfait_Percentage]],Tb_ProjectKosten[#Headers],0),0),""),R118 &lt;=0,0),"")</f>
        <v/>
      </c>
      <c r="V118" s="314" t="str" cm="1">
        <f t="array" aca="1" ref="V118" ca="1">IFERROR(_xlfn.IFS(OR(F118="",LEFT(Methode_Keuze,4)="Geen",Methode_Keuze=""),"",AND(S118&lt;&gt;"",F118&lt;&gt;"Arbeidskosten"),S118*VLOOKUP(F118,Tb_ProjectKosten[],MATCH(Tb_ProjectKosten[[#Headers],[Forfait_Percentage]],Tb_ProjectKosten[#Headers],0),0),AND(F118="Arbeidskosten",G118&lt;&gt;""),IFERROR(S118*VLOOKUP(G118,Tb_KostenTypen[],3,0)*VLOOKUP(F118,Tb_ProjectKosten[],MATCH(Tb_ProjectKosten[[#Headers],[Forfait_Percentage]],Tb_ProjectKosten[#Headers],0),0),""),S118 &lt;=0,0),"")</f>
        <v/>
      </c>
      <c r="W118" s="314" t="str">
        <f t="shared" ca="1" si="8"/>
        <v/>
      </c>
      <c r="X118" s="376" t="str">
        <f>IFERROR(VLOOKUP(F118,Tb_ProjectKosten[#All],11,0),"")</f>
        <v/>
      </c>
      <c r="Y118" s="315"/>
    </row>
    <row r="119" spans="1:25" x14ac:dyDescent="0.25">
      <c r="A119" s="309">
        <f>MAX($A$5:A118)+1</f>
        <v>114</v>
      </c>
      <c r="B119" s="296"/>
      <c r="C119" s="296"/>
      <c r="D119" s="296"/>
      <c r="E119" s="296"/>
      <c r="F119" s="296"/>
      <c r="G119" s="327"/>
      <c r="H119" s="310" t="str">
        <f ca="1">IFERROR(IF(VLOOKUP(F119,Kostentypen!$A$3:$E$21,3,0)=0,"",IF(OR(F119="Arbeidskosten",F119="Vergoeding"),VLOOKUP(G119,Tb_KostenTypen[],2,0),VLOOKUP(F119,Kostentypen!$A$3:$E$20,3,0))),"")</f>
        <v/>
      </c>
      <c r="I119" s="311"/>
      <c r="J119" s="312" t="str" cm="1">
        <f t="array" ref="J119">_xlfn.IFNA(IF(INDEX(Tb_KostenOpties[],MATCH($F119,Tb_KostenOpties[KostenOptie],0),IFERROR(MATCH(Methode_Keuze,Tb_KostenOpties[#Headers],0),2))=1,_xlfn.SWITCH($H119,"Uurtarief",IF(OR(AND(RIGHT($F119,3)="IKS",VLOOKUP($I119,Loonkosten,2,0)="Ja"),AND(RIGHT($F119,3)&lt;&gt;"IKS",VLOOKUP($I119,Loonkosten,2,0)="Nee")), VLOOKUP($I119,Loonkosten,MATCH("Opgegeven uurtarief",'4. Rekenhulp loonkosten aanvr.'!$4:$4,0)),0),"Vast tarief",IF(LEFT(F119,8)="Bijdrage",VLOOKUP($F119,Tb_KostenTypen[],MATCH(Lijsten!$P$1,Tb_KostenTypen[#Headers],0),0),VLOOKUP($G119,Lijsten!L:P,MATCH(Lijsten!$P$1,Kop_Tarief_Vast,0),0))),""),"")</f>
        <v/>
      </c>
      <c r="K119" s="312" t="str" cm="1">
        <f t="array" ref="K119">_xlfn.IFNA(IF(INDEX(Tb_KostenOpties[],MATCH($F119,Tb_KostenOpties[KostenOptie],0),IFERROR(MATCH(Methode_Keuze,Tb_KostenOpties[#Headers],0),2))=1,_xlfn.SWITCH($H119,"Uurtarief",IF(OR(AND(RIGHT($F119,3)="IKS",VLOOKUP($I119,Loonkosten,2,0)="Ja"),AND(RIGHT($F119,3)&lt;&gt;"IKS",VLOOKUP($I119,Loonkosten,2,0)="Nee")), VLOOKUP($I119,Loonkosten,MATCH("Beoordeeld uurtarief",'4. Rekenhulp loonkosten aanvr.'!$4:$4,0),0),0),"Vast tarief",IF(LEFT(F119,8)="Bijdrage",VLOOKUP($F119,Tb_KostenTypen[],MATCH(Lijsten!$P$1,Tb_KostenTypen[#Headers],0),0),VLOOKUP($G119,Lijsten!L:P,MATCH(Lijsten!$P$1,Kop_Tarief_Vast,0),0))),""),"")</f>
        <v/>
      </c>
      <c r="L119" s="358"/>
      <c r="M119" s="358"/>
      <c r="N119" s="313"/>
      <c r="O119" s="313"/>
      <c r="P119" s="374" t="str">
        <f t="shared" si="5"/>
        <v/>
      </c>
      <c r="Q119" s="314" t="str">
        <f t="shared" si="6"/>
        <v/>
      </c>
      <c r="R119" s="314" t="str" cm="1">
        <f t="array" aca="1" ref="R119" ca="1">_xlfn.IFNA(_xlfn.IFS(X119="Dit kostentype hoeft u niet op te geven. Hiervoor wordt een forfait berekend.","",AND(J119&lt;&gt;"",H119="Vast tarief",F119="Vergoeding"),SUM(J119)*FLOOR(SUM(L119),0.0001),AND(J119&lt;&gt;"",OR(H119="Uurtarief",H119="Vast tarief")),SUM(J119)*FLOOR(SUM(L119),0.01),AND(N119&lt;&gt;"",H119="-"),FLOOR(SUM(N119),0.01)),"")</f>
        <v/>
      </c>
      <c r="S119" s="314" t="str" cm="1">
        <f t="array" aca="1" ref="S119" ca="1">_xlfn.IFNA(_xlfn.IFS(X119="Dit kostentype hoeft u niet op te geven. Hiervoor wordt een forfait berekend.","",AND(K119&lt;&gt;"",M119&lt;&gt;"",H119="Vast tarief",F119="Vergoeding"),SUM(K119)*FLOOR(SUM(M119),0.0001),AND(K119&lt;&gt;"",M119&lt;&gt;"",OR(H119="Uurtarief",H119="Vast tarief")),SUM(K119)*FLOOR(SUM(M119),0.01),AND(O119&lt;&gt;"",H119="-"),FLOOR(SUM(O119),0.01)),"")</f>
        <v/>
      </c>
      <c r="T119" s="314" t="str">
        <f t="shared" ca="1" si="7"/>
        <v/>
      </c>
      <c r="U119" s="314" t="str" cm="1">
        <f t="array" aca="1" ref="U119" ca="1">IFERROR(_xlfn.IFS(OR(F119="",LEFT(Methode_Keuze,4)="Geen",Methode_Keuze=""),"",AND(R119&lt;&gt;"",F119&lt;&gt;"Arbeidskosten"),R119*VLOOKUP(F119,Tb_ProjectKosten[],MATCH(Tb_ProjectKosten[[#Headers],[Forfait_Percentage]],Tb_ProjectKosten[#Headers],0),0),AND(F119="Arbeidskosten",G119&lt;&gt;""),IFERROR(R119*VLOOKUP(G119,Tb_KostenTypen[],3,0)*VLOOKUP(F119,Tb_ProjectKosten[],MATCH(Tb_ProjectKosten[[#Headers],[Forfait_Percentage]],Tb_ProjectKosten[#Headers],0),0),""),R119 &lt;=0,0),"")</f>
        <v/>
      </c>
      <c r="V119" s="314" t="str" cm="1">
        <f t="array" aca="1" ref="V119" ca="1">IFERROR(_xlfn.IFS(OR(F119="",LEFT(Methode_Keuze,4)="Geen",Methode_Keuze=""),"",AND(S119&lt;&gt;"",F119&lt;&gt;"Arbeidskosten"),S119*VLOOKUP(F119,Tb_ProjectKosten[],MATCH(Tb_ProjectKosten[[#Headers],[Forfait_Percentage]],Tb_ProjectKosten[#Headers],0),0),AND(F119="Arbeidskosten",G119&lt;&gt;""),IFERROR(S119*VLOOKUP(G119,Tb_KostenTypen[],3,0)*VLOOKUP(F119,Tb_ProjectKosten[],MATCH(Tb_ProjectKosten[[#Headers],[Forfait_Percentage]],Tb_ProjectKosten[#Headers],0),0),""),S119 &lt;=0,0),"")</f>
        <v/>
      </c>
      <c r="W119" s="314" t="str">
        <f t="shared" ca="1" si="8"/>
        <v/>
      </c>
      <c r="X119" s="376" t="str">
        <f>IFERROR(VLOOKUP(F119,Tb_ProjectKosten[#All],11,0),"")</f>
        <v/>
      </c>
      <c r="Y119" s="315"/>
    </row>
    <row r="120" spans="1:25" x14ac:dyDescent="0.25">
      <c r="A120" s="309">
        <f>MAX($A$5:A119)+1</f>
        <v>115</v>
      </c>
      <c r="B120" s="296"/>
      <c r="C120" s="296"/>
      <c r="D120" s="296"/>
      <c r="E120" s="296"/>
      <c r="F120" s="296"/>
      <c r="G120" s="327"/>
      <c r="H120" s="310" t="str">
        <f ca="1">IFERROR(IF(VLOOKUP(F120,Kostentypen!$A$3:$E$21,3,0)=0,"",IF(OR(F120="Arbeidskosten",F120="Vergoeding"),VLOOKUP(G120,Tb_KostenTypen[],2,0),VLOOKUP(F120,Kostentypen!$A$3:$E$20,3,0))),"")</f>
        <v/>
      </c>
      <c r="I120" s="311"/>
      <c r="J120" s="312" t="str" cm="1">
        <f t="array" ref="J120">_xlfn.IFNA(IF(INDEX(Tb_KostenOpties[],MATCH($F120,Tb_KostenOpties[KostenOptie],0),IFERROR(MATCH(Methode_Keuze,Tb_KostenOpties[#Headers],0),2))=1,_xlfn.SWITCH($H120,"Uurtarief",IF(OR(AND(RIGHT($F120,3)="IKS",VLOOKUP($I120,Loonkosten,2,0)="Ja"),AND(RIGHT($F120,3)&lt;&gt;"IKS",VLOOKUP($I120,Loonkosten,2,0)="Nee")), VLOOKUP($I120,Loonkosten,MATCH("Opgegeven uurtarief",'4. Rekenhulp loonkosten aanvr.'!$4:$4,0)),0),"Vast tarief",IF(LEFT(F120,8)="Bijdrage",VLOOKUP($F120,Tb_KostenTypen[],MATCH(Lijsten!$P$1,Tb_KostenTypen[#Headers],0),0),VLOOKUP($G120,Lijsten!L:P,MATCH(Lijsten!$P$1,Kop_Tarief_Vast,0),0))),""),"")</f>
        <v/>
      </c>
      <c r="K120" s="312" t="str" cm="1">
        <f t="array" ref="K120">_xlfn.IFNA(IF(INDEX(Tb_KostenOpties[],MATCH($F120,Tb_KostenOpties[KostenOptie],0),IFERROR(MATCH(Methode_Keuze,Tb_KostenOpties[#Headers],0),2))=1,_xlfn.SWITCH($H120,"Uurtarief",IF(OR(AND(RIGHT($F120,3)="IKS",VLOOKUP($I120,Loonkosten,2,0)="Ja"),AND(RIGHT($F120,3)&lt;&gt;"IKS",VLOOKUP($I120,Loonkosten,2,0)="Nee")), VLOOKUP($I120,Loonkosten,MATCH("Beoordeeld uurtarief",'4. Rekenhulp loonkosten aanvr.'!$4:$4,0),0),0),"Vast tarief",IF(LEFT(F120,8)="Bijdrage",VLOOKUP($F120,Tb_KostenTypen[],MATCH(Lijsten!$P$1,Tb_KostenTypen[#Headers],0),0),VLOOKUP($G120,Lijsten!L:P,MATCH(Lijsten!$P$1,Kop_Tarief_Vast,0),0))),""),"")</f>
        <v/>
      </c>
      <c r="L120" s="358"/>
      <c r="M120" s="358"/>
      <c r="N120" s="313"/>
      <c r="O120" s="313"/>
      <c r="P120" s="374" t="str">
        <f t="shared" si="5"/>
        <v/>
      </c>
      <c r="Q120" s="314" t="str">
        <f t="shared" si="6"/>
        <v/>
      </c>
      <c r="R120" s="314" t="str" cm="1">
        <f t="array" aca="1" ref="R120" ca="1">_xlfn.IFNA(_xlfn.IFS(X120="Dit kostentype hoeft u niet op te geven. Hiervoor wordt een forfait berekend.","",AND(J120&lt;&gt;"",H120="Vast tarief",F120="Vergoeding"),SUM(J120)*FLOOR(SUM(L120),0.0001),AND(J120&lt;&gt;"",OR(H120="Uurtarief",H120="Vast tarief")),SUM(J120)*FLOOR(SUM(L120),0.01),AND(N120&lt;&gt;"",H120="-"),FLOOR(SUM(N120),0.01)),"")</f>
        <v/>
      </c>
      <c r="S120" s="314" t="str" cm="1">
        <f t="array" aca="1" ref="S120" ca="1">_xlfn.IFNA(_xlfn.IFS(X120="Dit kostentype hoeft u niet op te geven. Hiervoor wordt een forfait berekend.","",AND(K120&lt;&gt;"",M120&lt;&gt;"",H120="Vast tarief",F120="Vergoeding"),SUM(K120)*FLOOR(SUM(M120),0.0001),AND(K120&lt;&gt;"",M120&lt;&gt;"",OR(H120="Uurtarief",H120="Vast tarief")),SUM(K120)*FLOOR(SUM(M120),0.01),AND(O120&lt;&gt;"",H120="-"),FLOOR(SUM(O120),0.01)),"")</f>
        <v/>
      </c>
      <c r="T120" s="314" t="str">
        <f t="shared" ca="1" si="7"/>
        <v/>
      </c>
      <c r="U120" s="314" t="str" cm="1">
        <f t="array" aca="1" ref="U120" ca="1">IFERROR(_xlfn.IFS(OR(F120="",LEFT(Methode_Keuze,4)="Geen",Methode_Keuze=""),"",AND(R120&lt;&gt;"",F120&lt;&gt;"Arbeidskosten"),R120*VLOOKUP(F120,Tb_ProjectKosten[],MATCH(Tb_ProjectKosten[[#Headers],[Forfait_Percentage]],Tb_ProjectKosten[#Headers],0),0),AND(F120="Arbeidskosten",G120&lt;&gt;""),IFERROR(R120*VLOOKUP(G120,Tb_KostenTypen[],3,0)*VLOOKUP(F120,Tb_ProjectKosten[],MATCH(Tb_ProjectKosten[[#Headers],[Forfait_Percentage]],Tb_ProjectKosten[#Headers],0),0),""),R120 &lt;=0,0),"")</f>
        <v/>
      </c>
      <c r="V120" s="314" t="str" cm="1">
        <f t="array" aca="1" ref="V120" ca="1">IFERROR(_xlfn.IFS(OR(F120="",LEFT(Methode_Keuze,4)="Geen",Methode_Keuze=""),"",AND(S120&lt;&gt;"",F120&lt;&gt;"Arbeidskosten"),S120*VLOOKUP(F120,Tb_ProjectKosten[],MATCH(Tb_ProjectKosten[[#Headers],[Forfait_Percentage]],Tb_ProjectKosten[#Headers],0),0),AND(F120="Arbeidskosten",G120&lt;&gt;""),IFERROR(S120*VLOOKUP(G120,Tb_KostenTypen[],3,0)*VLOOKUP(F120,Tb_ProjectKosten[],MATCH(Tb_ProjectKosten[[#Headers],[Forfait_Percentage]],Tb_ProjectKosten[#Headers],0),0),""),S120 &lt;=0,0),"")</f>
        <v/>
      </c>
      <c r="W120" s="314" t="str">
        <f t="shared" ca="1" si="8"/>
        <v/>
      </c>
      <c r="X120" s="376" t="str">
        <f>IFERROR(VLOOKUP(F120,Tb_ProjectKosten[#All],11,0),"")</f>
        <v/>
      </c>
      <c r="Y120" s="315"/>
    </row>
    <row r="121" spans="1:25" x14ac:dyDescent="0.25">
      <c r="A121" s="309">
        <f>MAX($A$5:A120)+1</f>
        <v>116</v>
      </c>
      <c r="B121" s="296"/>
      <c r="C121" s="296"/>
      <c r="D121" s="296"/>
      <c r="E121" s="296"/>
      <c r="F121" s="296"/>
      <c r="G121" s="327"/>
      <c r="H121" s="310" t="str">
        <f ca="1">IFERROR(IF(VLOOKUP(F121,Kostentypen!$A$3:$E$21,3,0)=0,"",IF(OR(F121="Arbeidskosten",F121="Vergoeding"),VLOOKUP(G121,Tb_KostenTypen[],2,0),VLOOKUP(F121,Kostentypen!$A$3:$E$20,3,0))),"")</f>
        <v/>
      </c>
      <c r="I121" s="311"/>
      <c r="J121" s="312" t="str" cm="1">
        <f t="array" ref="J121">_xlfn.IFNA(IF(INDEX(Tb_KostenOpties[],MATCH($F121,Tb_KostenOpties[KostenOptie],0),IFERROR(MATCH(Methode_Keuze,Tb_KostenOpties[#Headers],0),2))=1,_xlfn.SWITCH($H121,"Uurtarief",IF(OR(AND(RIGHT($F121,3)="IKS",VLOOKUP($I121,Loonkosten,2,0)="Ja"),AND(RIGHT($F121,3)&lt;&gt;"IKS",VLOOKUP($I121,Loonkosten,2,0)="Nee")), VLOOKUP($I121,Loonkosten,MATCH("Opgegeven uurtarief",'4. Rekenhulp loonkosten aanvr.'!$4:$4,0)),0),"Vast tarief",IF(LEFT(F121,8)="Bijdrage",VLOOKUP($F121,Tb_KostenTypen[],MATCH(Lijsten!$P$1,Tb_KostenTypen[#Headers],0),0),VLOOKUP($G121,Lijsten!L:P,MATCH(Lijsten!$P$1,Kop_Tarief_Vast,0),0))),""),"")</f>
        <v/>
      </c>
      <c r="K121" s="312" t="str" cm="1">
        <f t="array" ref="K121">_xlfn.IFNA(IF(INDEX(Tb_KostenOpties[],MATCH($F121,Tb_KostenOpties[KostenOptie],0),IFERROR(MATCH(Methode_Keuze,Tb_KostenOpties[#Headers],0),2))=1,_xlfn.SWITCH($H121,"Uurtarief",IF(OR(AND(RIGHT($F121,3)="IKS",VLOOKUP($I121,Loonkosten,2,0)="Ja"),AND(RIGHT($F121,3)&lt;&gt;"IKS",VLOOKUP($I121,Loonkosten,2,0)="Nee")), VLOOKUP($I121,Loonkosten,MATCH("Beoordeeld uurtarief",'4. Rekenhulp loonkosten aanvr.'!$4:$4,0),0),0),"Vast tarief",IF(LEFT(F121,8)="Bijdrage",VLOOKUP($F121,Tb_KostenTypen[],MATCH(Lijsten!$P$1,Tb_KostenTypen[#Headers],0),0),VLOOKUP($G121,Lijsten!L:P,MATCH(Lijsten!$P$1,Kop_Tarief_Vast,0),0))),""),"")</f>
        <v/>
      </c>
      <c r="L121" s="358"/>
      <c r="M121" s="358"/>
      <c r="N121" s="313"/>
      <c r="O121" s="313"/>
      <c r="P121" s="374" t="str">
        <f t="shared" si="5"/>
        <v/>
      </c>
      <c r="Q121" s="314" t="str">
        <f t="shared" si="6"/>
        <v/>
      </c>
      <c r="R121" s="314" t="str" cm="1">
        <f t="array" aca="1" ref="R121" ca="1">_xlfn.IFNA(_xlfn.IFS(X121="Dit kostentype hoeft u niet op te geven. Hiervoor wordt een forfait berekend.","",AND(J121&lt;&gt;"",H121="Vast tarief",F121="Vergoeding"),SUM(J121)*FLOOR(SUM(L121),0.0001),AND(J121&lt;&gt;"",OR(H121="Uurtarief",H121="Vast tarief")),SUM(J121)*FLOOR(SUM(L121),0.01),AND(N121&lt;&gt;"",H121="-"),FLOOR(SUM(N121),0.01)),"")</f>
        <v/>
      </c>
      <c r="S121" s="314" t="str" cm="1">
        <f t="array" aca="1" ref="S121" ca="1">_xlfn.IFNA(_xlfn.IFS(X121="Dit kostentype hoeft u niet op te geven. Hiervoor wordt een forfait berekend.","",AND(K121&lt;&gt;"",M121&lt;&gt;"",H121="Vast tarief",F121="Vergoeding"),SUM(K121)*FLOOR(SUM(M121),0.0001),AND(K121&lt;&gt;"",M121&lt;&gt;"",OR(H121="Uurtarief",H121="Vast tarief")),SUM(K121)*FLOOR(SUM(M121),0.01),AND(O121&lt;&gt;"",H121="-"),FLOOR(SUM(O121),0.01)),"")</f>
        <v/>
      </c>
      <c r="T121" s="314" t="str">
        <f t="shared" ca="1" si="7"/>
        <v/>
      </c>
      <c r="U121" s="314" t="str" cm="1">
        <f t="array" aca="1" ref="U121" ca="1">IFERROR(_xlfn.IFS(OR(F121="",LEFT(Methode_Keuze,4)="Geen",Methode_Keuze=""),"",AND(R121&lt;&gt;"",F121&lt;&gt;"Arbeidskosten"),R121*VLOOKUP(F121,Tb_ProjectKosten[],MATCH(Tb_ProjectKosten[[#Headers],[Forfait_Percentage]],Tb_ProjectKosten[#Headers],0),0),AND(F121="Arbeidskosten",G121&lt;&gt;""),IFERROR(R121*VLOOKUP(G121,Tb_KostenTypen[],3,0)*VLOOKUP(F121,Tb_ProjectKosten[],MATCH(Tb_ProjectKosten[[#Headers],[Forfait_Percentage]],Tb_ProjectKosten[#Headers],0),0),""),R121 &lt;=0,0),"")</f>
        <v/>
      </c>
      <c r="V121" s="314" t="str" cm="1">
        <f t="array" aca="1" ref="V121" ca="1">IFERROR(_xlfn.IFS(OR(F121="",LEFT(Methode_Keuze,4)="Geen",Methode_Keuze=""),"",AND(S121&lt;&gt;"",F121&lt;&gt;"Arbeidskosten"),S121*VLOOKUP(F121,Tb_ProjectKosten[],MATCH(Tb_ProjectKosten[[#Headers],[Forfait_Percentage]],Tb_ProjectKosten[#Headers],0),0),AND(F121="Arbeidskosten",G121&lt;&gt;""),IFERROR(S121*VLOOKUP(G121,Tb_KostenTypen[],3,0)*VLOOKUP(F121,Tb_ProjectKosten[],MATCH(Tb_ProjectKosten[[#Headers],[Forfait_Percentage]],Tb_ProjectKosten[#Headers],0),0),""),S121 &lt;=0,0),"")</f>
        <v/>
      </c>
      <c r="W121" s="314" t="str">
        <f t="shared" ca="1" si="8"/>
        <v/>
      </c>
      <c r="X121" s="376" t="str">
        <f>IFERROR(VLOOKUP(F121,Tb_ProjectKosten[#All],11,0),"")</f>
        <v/>
      </c>
      <c r="Y121" s="315"/>
    </row>
    <row r="122" spans="1:25" x14ac:dyDescent="0.25">
      <c r="A122" s="309">
        <f>MAX($A$5:A121)+1</f>
        <v>117</v>
      </c>
      <c r="B122" s="296"/>
      <c r="C122" s="296"/>
      <c r="D122" s="296"/>
      <c r="E122" s="296"/>
      <c r="F122" s="296"/>
      <c r="G122" s="327"/>
      <c r="H122" s="310" t="str">
        <f ca="1">IFERROR(IF(VLOOKUP(F122,Kostentypen!$A$3:$E$21,3,0)=0,"",IF(OR(F122="Arbeidskosten",F122="Vergoeding"),VLOOKUP(G122,Tb_KostenTypen[],2,0),VLOOKUP(F122,Kostentypen!$A$3:$E$20,3,0))),"")</f>
        <v/>
      </c>
      <c r="I122" s="311"/>
      <c r="J122" s="312" t="str" cm="1">
        <f t="array" ref="J122">_xlfn.IFNA(IF(INDEX(Tb_KostenOpties[],MATCH($F122,Tb_KostenOpties[KostenOptie],0),IFERROR(MATCH(Methode_Keuze,Tb_KostenOpties[#Headers],0),2))=1,_xlfn.SWITCH($H122,"Uurtarief",IF(OR(AND(RIGHT($F122,3)="IKS",VLOOKUP($I122,Loonkosten,2,0)="Ja"),AND(RIGHT($F122,3)&lt;&gt;"IKS",VLOOKUP($I122,Loonkosten,2,0)="Nee")), VLOOKUP($I122,Loonkosten,MATCH("Opgegeven uurtarief",'4. Rekenhulp loonkosten aanvr.'!$4:$4,0)),0),"Vast tarief",IF(LEFT(F122,8)="Bijdrage",VLOOKUP($F122,Tb_KostenTypen[],MATCH(Lijsten!$P$1,Tb_KostenTypen[#Headers],0),0),VLOOKUP($G122,Lijsten!L:P,MATCH(Lijsten!$P$1,Kop_Tarief_Vast,0),0))),""),"")</f>
        <v/>
      </c>
      <c r="K122" s="312" t="str" cm="1">
        <f t="array" ref="K122">_xlfn.IFNA(IF(INDEX(Tb_KostenOpties[],MATCH($F122,Tb_KostenOpties[KostenOptie],0),IFERROR(MATCH(Methode_Keuze,Tb_KostenOpties[#Headers],0),2))=1,_xlfn.SWITCH($H122,"Uurtarief",IF(OR(AND(RIGHT($F122,3)="IKS",VLOOKUP($I122,Loonkosten,2,0)="Ja"),AND(RIGHT($F122,3)&lt;&gt;"IKS",VLOOKUP($I122,Loonkosten,2,0)="Nee")), VLOOKUP($I122,Loonkosten,MATCH("Beoordeeld uurtarief",'4. Rekenhulp loonkosten aanvr.'!$4:$4,0),0),0),"Vast tarief",IF(LEFT(F122,8)="Bijdrage",VLOOKUP($F122,Tb_KostenTypen[],MATCH(Lijsten!$P$1,Tb_KostenTypen[#Headers],0),0),VLOOKUP($G122,Lijsten!L:P,MATCH(Lijsten!$P$1,Kop_Tarief_Vast,0),0))),""),"")</f>
        <v/>
      </c>
      <c r="L122" s="358"/>
      <c r="M122" s="358"/>
      <c r="N122" s="313"/>
      <c r="O122" s="313"/>
      <c r="P122" s="374" t="str">
        <f t="shared" si="5"/>
        <v/>
      </c>
      <c r="Q122" s="314" t="str">
        <f t="shared" si="6"/>
        <v/>
      </c>
      <c r="R122" s="314" t="str" cm="1">
        <f t="array" aca="1" ref="R122" ca="1">_xlfn.IFNA(_xlfn.IFS(X122="Dit kostentype hoeft u niet op te geven. Hiervoor wordt een forfait berekend.","",AND(J122&lt;&gt;"",H122="Vast tarief",F122="Vergoeding"),SUM(J122)*FLOOR(SUM(L122),0.0001),AND(J122&lt;&gt;"",OR(H122="Uurtarief",H122="Vast tarief")),SUM(J122)*FLOOR(SUM(L122),0.01),AND(N122&lt;&gt;"",H122="-"),FLOOR(SUM(N122),0.01)),"")</f>
        <v/>
      </c>
      <c r="S122" s="314" t="str" cm="1">
        <f t="array" aca="1" ref="S122" ca="1">_xlfn.IFNA(_xlfn.IFS(X122="Dit kostentype hoeft u niet op te geven. Hiervoor wordt een forfait berekend.","",AND(K122&lt;&gt;"",M122&lt;&gt;"",H122="Vast tarief",F122="Vergoeding"),SUM(K122)*FLOOR(SUM(M122),0.0001),AND(K122&lt;&gt;"",M122&lt;&gt;"",OR(H122="Uurtarief",H122="Vast tarief")),SUM(K122)*FLOOR(SUM(M122),0.01),AND(O122&lt;&gt;"",H122="-"),FLOOR(SUM(O122),0.01)),"")</f>
        <v/>
      </c>
      <c r="T122" s="314" t="str">
        <f t="shared" ca="1" si="7"/>
        <v/>
      </c>
      <c r="U122" s="314" t="str" cm="1">
        <f t="array" aca="1" ref="U122" ca="1">IFERROR(_xlfn.IFS(OR(F122="",LEFT(Methode_Keuze,4)="Geen",Methode_Keuze=""),"",AND(R122&lt;&gt;"",F122&lt;&gt;"Arbeidskosten"),R122*VLOOKUP(F122,Tb_ProjectKosten[],MATCH(Tb_ProjectKosten[[#Headers],[Forfait_Percentage]],Tb_ProjectKosten[#Headers],0),0),AND(F122="Arbeidskosten",G122&lt;&gt;""),IFERROR(R122*VLOOKUP(G122,Tb_KostenTypen[],3,0)*VLOOKUP(F122,Tb_ProjectKosten[],MATCH(Tb_ProjectKosten[[#Headers],[Forfait_Percentage]],Tb_ProjectKosten[#Headers],0),0),""),R122 &lt;=0,0),"")</f>
        <v/>
      </c>
      <c r="V122" s="314" t="str" cm="1">
        <f t="array" aca="1" ref="V122" ca="1">IFERROR(_xlfn.IFS(OR(F122="",LEFT(Methode_Keuze,4)="Geen",Methode_Keuze=""),"",AND(S122&lt;&gt;"",F122&lt;&gt;"Arbeidskosten"),S122*VLOOKUP(F122,Tb_ProjectKosten[],MATCH(Tb_ProjectKosten[[#Headers],[Forfait_Percentage]],Tb_ProjectKosten[#Headers],0),0),AND(F122="Arbeidskosten",G122&lt;&gt;""),IFERROR(S122*VLOOKUP(G122,Tb_KostenTypen[],3,0)*VLOOKUP(F122,Tb_ProjectKosten[],MATCH(Tb_ProjectKosten[[#Headers],[Forfait_Percentage]],Tb_ProjectKosten[#Headers],0),0),""),S122 &lt;=0,0),"")</f>
        <v/>
      </c>
      <c r="W122" s="314" t="str">
        <f t="shared" ca="1" si="8"/>
        <v/>
      </c>
      <c r="X122" s="376" t="str">
        <f>IFERROR(VLOOKUP(F122,Tb_ProjectKosten[#All],11,0),"")</f>
        <v/>
      </c>
      <c r="Y122" s="315"/>
    </row>
    <row r="123" spans="1:25" x14ac:dyDescent="0.25">
      <c r="A123" s="309">
        <f>MAX($A$5:A122)+1</f>
        <v>118</v>
      </c>
      <c r="B123" s="296"/>
      <c r="C123" s="296"/>
      <c r="D123" s="296"/>
      <c r="E123" s="296"/>
      <c r="F123" s="296"/>
      <c r="G123" s="327"/>
      <c r="H123" s="310" t="str">
        <f ca="1">IFERROR(IF(VLOOKUP(F123,Kostentypen!$A$3:$E$21,3,0)=0,"",IF(OR(F123="Arbeidskosten",F123="Vergoeding"),VLOOKUP(G123,Tb_KostenTypen[],2,0),VLOOKUP(F123,Kostentypen!$A$3:$E$20,3,0))),"")</f>
        <v/>
      </c>
      <c r="I123" s="311"/>
      <c r="J123" s="312" t="str" cm="1">
        <f t="array" ref="J123">_xlfn.IFNA(IF(INDEX(Tb_KostenOpties[],MATCH($F123,Tb_KostenOpties[KostenOptie],0),IFERROR(MATCH(Methode_Keuze,Tb_KostenOpties[#Headers],0),2))=1,_xlfn.SWITCH($H123,"Uurtarief",IF(OR(AND(RIGHT($F123,3)="IKS",VLOOKUP($I123,Loonkosten,2,0)="Ja"),AND(RIGHT($F123,3)&lt;&gt;"IKS",VLOOKUP($I123,Loonkosten,2,0)="Nee")), VLOOKUP($I123,Loonkosten,MATCH("Opgegeven uurtarief",'4. Rekenhulp loonkosten aanvr.'!$4:$4,0)),0),"Vast tarief",IF(LEFT(F123,8)="Bijdrage",VLOOKUP($F123,Tb_KostenTypen[],MATCH(Lijsten!$P$1,Tb_KostenTypen[#Headers],0),0),VLOOKUP($G123,Lijsten!L:P,MATCH(Lijsten!$P$1,Kop_Tarief_Vast,0),0))),""),"")</f>
        <v/>
      </c>
      <c r="K123" s="312" t="str" cm="1">
        <f t="array" ref="K123">_xlfn.IFNA(IF(INDEX(Tb_KostenOpties[],MATCH($F123,Tb_KostenOpties[KostenOptie],0),IFERROR(MATCH(Methode_Keuze,Tb_KostenOpties[#Headers],0),2))=1,_xlfn.SWITCH($H123,"Uurtarief",IF(OR(AND(RIGHT($F123,3)="IKS",VLOOKUP($I123,Loonkosten,2,0)="Ja"),AND(RIGHT($F123,3)&lt;&gt;"IKS",VLOOKUP($I123,Loonkosten,2,0)="Nee")), VLOOKUP($I123,Loonkosten,MATCH("Beoordeeld uurtarief",'4. Rekenhulp loonkosten aanvr.'!$4:$4,0),0),0),"Vast tarief",IF(LEFT(F123,8)="Bijdrage",VLOOKUP($F123,Tb_KostenTypen[],MATCH(Lijsten!$P$1,Tb_KostenTypen[#Headers],0),0),VLOOKUP($G123,Lijsten!L:P,MATCH(Lijsten!$P$1,Kop_Tarief_Vast,0),0))),""),"")</f>
        <v/>
      </c>
      <c r="L123" s="358"/>
      <c r="M123" s="358"/>
      <c r="N123" s="313"/>
      <c r="O123" s="313"/>
      <c r="P123" s="374" t="str">
        <f t="shared" si="5"/>
        <v/>
      </c>
      <c r="Q123" s="314" t="str">
        <f t="shared" si="6"/>
        <v/>
      </c>
      <c r="R123" s="314" t="str" cm="1">
        <f t="array" aca="1" ref="R123" ca="1">_xlfn.IFNA(_xlfn.IFS(X123="Dit kostentype hoeft u niet op te geven. Hiervoor wordt een forfait berekend.","",AND(J123&lt;&gt;"",H123="Vast tarief",F123="Vergoeding"),SUM(J123)*FLOOR(SUM(L123),0.0001),AND(J123&lt;&gt;"",OR(H123="Uurtarief",H123="Vast tarief")),SUM(J123)*FLOOR(SUM(L123),0.01),AND(N123&lt;&gt;"",H123="-"),FLOOR(SUM(N123),0.01)),"")</f>
        <v/>
      </c>
      <c r="S123" s="314" t="str" cm="1">
        <f t="array" aca="1" ref="S123" ca="1">_xlfn.IFNA(_xlfn.IFS(X123="Dit kostentype hoeft u niet op te geven. Hiervoor wordt een forfait berekend.","",AND(K123&lt;&gt;"",M123&lt;&gt;"",H123="Vast tarief",F123="Vergoeding"),SUM(K123)*FLOOR(SUM(M123),0.0001),AND(K123&lt;&gt;"",M123&lt;&gt;"",OR(H123="Uurtarief",H123="Vast tarief")),SUM(K123)*FLOOR(SUM(M123),0.01),AND(O123&lt;&gt;"",H123="-"),FLOOR(SUM(O123),0.01)),"")</f>
        <v/>
      </c>
      <c r="T123" s="314" t="str">
        <f t="shared" ca="1" si="7"/>
        <v/>
      </c>
      <c r="U123" s="314" t="str" cm="1">
        <f t="array" aca="1" ref="U123" ca="1">IFERROR(_xlfn.IFS(OR(F123="",LEFT(Methode_Keuze,4)="Geen",Methode_Keuze=""),"",AND(R123&lt;&gt;"",F123&lt;&gt;"Arbeidskosten"),R123*VLOOKUP(F123,Tb_ProjectKosten[],MATCH(Tb_ProjectKosten[[#Headers],[Forfait_Percentage]],Tb_ProjectKosten[#Headers],0),0),AND(F123="Arbeidskosten",G123&lt;&gt;""),IFERROR(R123*VLOOKUP(G123,Tb_KostenTypen[],3,0)*VLOOKUP(F123,Tb_ProjectKosten[],MATCH(Tb_ProjectKosten[[#Headers],[Forfait_Percentage]],Tb_ProjectKosten[#Headers],0),0),""),R123 &lt;=0,0),"")</f>
        <v/>
      </c>
      <c r="V123" s="314" t="str" cm="1">
        <f t="array" aca="1" ref="V123" ca="1">IFERROR(_xlfn.IFS(OR(F123="",LEFT(Methode_Keuze,4)="Geen",Methode_Keuze=""),"",AND(S123&lt;&gt;"",F123&lt;&gt;"Arbeidskosten"),S123*VLOOKUP(F123,Tb_ProjectKosten[],MATCH(Tb_ProjectKosten[[#Headers],[Forfait_Percentage]],Tb_ProjectKosten[#Headers],0),0),AND(F123="Arbeidskosten",G123&lt;&gt;""),IFERROR(S123*VLOOKUP(G123,Tb_KostenTypen[],3,0)*VLOOKUP(F123,Tb_ProjectKosten[],MATCH(Tb_ProjectKosten[[#Headers],[Forfait_Percentage]],Tb_ProjectKosten[#Headers],0),0),""),S123 &lt;=0,0),"")</f>
        <v/>
      </c>
      <c r="W123" s="314" t="str">
        <f t="shared" ca="1" si="8"/>
        <v/>
      </c>
      <c r="X123" s="376" t="str">
        <f>IFERROR(VLOOKUP(F123,Tb_ProjectKosten[#All],11,0),"")</f>
        <v/>
      </c>
      <c r="Y123" s="315"/>
    </row>
    <row r="124" spans="1:25" x14ac:dyDescent="0.25">
      <c r="A124" s="309">
        <f>MAX($A$5:A123)+1</f>
        <v>119</v>
      </c>
      <c r="B124" s="296"/>
      <c r="C124" s="296"/>
      <c r="D124" s="296"/>
      <c r="E124" s="296"/>
      <c r="F124" s="296"/>
      <c r="G124" s="327"/>
      <c r="H124" s="310" t="str">
        <f ca="1">IFERROR(IF(VLOOKUP(F124,Kostentypen!$A$3:$E$21,3,0)=0,"",IF(OR(F124="Arbeidskosten",F124="Vergoeding"),VLOOKUP(G124,Tb_KostenTypen[],2,0),VLOOKUP(F124,Kostentypen!$A$3:$E$20,3,0))),"")</f>
        <v/>
      </c>
      <c r="I124" s="311"/>
      <c r="J124" s="312" t="str" cm="1">
        <f t="array" ref="J124">_xlfn.IFNA(IF(INDEX(Tb_KostenOpties[],MATCH($F124,Tb_KostenOpties[KostenOptie],0),IFERROR(MATCH(Methode_Keuze,Tb_KostenOpties[#Headers],0),2))=1,_xlfn.SWITCH($H124,"Uurtarief",IF(OR(AND(RIGHT($F124,3)="IKS",VLOOKUP($I124,Loonkosten,2,0)="Ja"),AND(RIGHT($F124,3)&lt;&gt;"IKS",VLOOKUP($I124,Loonkosten,2,0)="Nee")), VLOOKUP($I124,Loonkosten,MATCH("Opgegeven uurtarief",'4. Rekenhulp loonkosten aanvr.'!$4:$4,0)),0),"Vast tarief",IF(LEFT(F124,8)="Bijdrage",VLOOKUP($F124,Tb_KostenTypen[],MATCH(Lijsten!$P$1,Tb_KostenTypen[#Headers],0),0),VLOOKUP($G124,Lijsten!L:P,MATCH(Lijsten!$P$1,Kop_Tarief_Vast,0),0))),""),"")</f>
        <v/>
      </c>
      <c r="K124" s="312" t="str" cm="1">
        <f t="array" ref="K124">_xlfn.IFNA(IF(INDEX(Tb_KostenOpties[],MATCH($F124,Tb_KostenOpties[KostenOptie],0),IFERROR(MATCH(Methode_Keuze,Tb_KostenOpties[#Headers],0),2))=1,_xlfn.SWITCH($H124,"Uurtarief",IF(OR(AND(RIGHT($F124,3)="IKS",VLOOKUP($I124,Loonkosten,2,0)="Ja"),AND(RIGHT($F124,3)&lt;&gt;"IKS",VLOOKUP($I124,Loonkosten,2,0)="Nee")), VLOOKUP($I124,Loonkosten,MATCH("Beoordeeld uurtarief",'4. Rekenhulp loonkosten aanvr.'!$4:$4,0),0),0),"Vast tarief",IF(LEFT(F124,8)="Bijdrage",VLOOKUP($F124,Tb_KostenTypen[],MATCH(Lijsten!$P$1,Tb_KostenTypen[#Headers],0),0),VLOOKUP($G124,Lijsten!L:P,MATCH(Lijsten!$P$1,Kop_Tarief_Vast,0),0))),""),"")</f>
        <v/>
      </c>
      <c r="L124" s="358"/>
      <c r="M124" s="358"/>
      <c r="N124" s="313"/>
      <c r="O124" s="313"/>
      <c r="P124" s="374" t="str">
        <f t="shared" si="5"/>
        <v/>
      </c>
      <c r="Q124" s="314" t="str">
        <f t="shared" si="6"/>
        <v/>
      </c>
      <c r="R124" s="314" t="str" cm="1">
        <f t="array" aca="1" ref="R124" ca="1">_xlfn.IFNA(_xlfn.IFS(X124="Dit kostentype hoeft u niet op te geven. Hiervoor wordt een forfait berekend.","",AND(J124&lt;&gt;"",H124="Vast tarief",F124="Vergoeding"),SUM(J124)*FLOOR(SUM(L124),0.0001),AND(J124&lt;&gt;"",OR(H124="Uurtarief",H124="Vast tarief")),SUM(J124)*FLOOR(SUM(L124),0.01),AND(N124&lt;&gt;"",H124="-"),FLOOR(SUM(N124),0.01)),"")</f>
        <v/>
      </c>
      <c r="S124" s="314" t="str" cm="1">
        <f t="array" aca="1" ref="S124" ca="1">_xlfn.IFNA(_xlfn.IFS(X124="Dit kostentype hoeft u niet op te geven. Hiervoor wordt een forfait berekend.","",AND(K124&lt;&gt;"",M124&lt;&gt;"",H124="Vast tarief",F124="Vergoeding"),SUM(K124)*FLOOR(SUM(M124),0.0001),AND(K124&lt;&gt;"",M124&lt;&gt;"",OR(H124="Uurtarief",H124="Vast tarief")),SUM(K124)*FLOOR(SUM(M124),0.01),AND(O124&lt;&gt;"",H124="-"),FLOOR(SUM(O124),0.01)),"")</f>
        <v/>
      </c>
      <c r="T124" s="314" t="str">
        <f t="shared" ca="1" si="7"/>
        <v/>
      </c>
      <c r="U124" s="314" t="str" cm="1">
        <f t="array" aca="1" ref="U124" ca="1">IFERROR(_xlfn.IFS(OR(F124="",LEFT(Methode_Keuze,4)="Geen",Methode_Keuze=""),"",AND(R124&lt;&gt;"",F124&lt;&gt;"Arbeidskosten"),R124*VLOOKUP(F124,Tb_ProjectKosten[],MATCH(Tb_ProjectKosten[[#Headers],[Forfait_Percentage]],Tb_ProjectKosten[#Headers],0),0),AND(F124="Arbeidskosten",G124&lt;&gt;""),IFERROR(R124*VLOOKUP(G124,Tb_KostenTypen[],3,0)*VLOOKUP(F124,Tb_ProjectKosten[],MATCH(Tb_ProjectKosten[[#Headers],[Forfait_Percentage]],Tb_ProjectKosten[#Headers],0),0),""),R124 &lt;=0,0),"")</f>
        <v/>
      </c>
      <c r="V124" s="314" t="str" cm="1">
        <f t="array" aca="1" ref="V124" ca="1">IFERROR(_xlfn.IFS(OR(F124="",LEFT(Methode_Keuze,4)="Geen",Methode_Keuze=""),"",AND(S124&lt;&gt;"",F124&lt;&gt;"Arbeidskosten"),S124*VLOOKUP(F124,Tb_ProjectKosten[],MATCH(Tb_ProjectKosten[[#Headers],[Forfait_Percentage]],Tb_ProjectKosten[#Headers],0),0),AND(F124="Arbeidskosten",G124&lt;&gt;""),IFERROR(S124*VLOOKUP(G124,Tb_KostenTypen[],3,0)*VLOOKUP(F124,Tb_ProjectKosten[],MATCH(Tb_ProjectKosten[[#Headers],[Forfait_Percentage]],Tb_ProjectKosten[#Headers],0),0),""),S124 &lt;=0,0),"")</f>
        <v/>
      </c>
      <c r="W124" s="314" t="str">
        <f t="shared" ca="1" si="8"/>
        <v/>
      </c>
      <c r="X124" s="376" t="str">
        <f>IFERROR(VLOOKUP(F124,Tb_ProjectKosten[#All],11,0),"")</f>
        <v/>
      </c>
      <c r="Y124" s="315"/>
    </row>
    <row r="125" spans="1:25" x14ac:dyDescent="0.25">
      <c r="A125" s="309">
        <f>MAX($A$5:A124)+1</f>
        <v>120</v>
      </c>
      <c r="B125" s="296"/>
      <c r="C125" s="296"/>
      <c r="D125" s="296"/>
      <c r="E125" s="296"/>
      <c r="F125" s="296"/>
      <c r="G125" s="327"/>
      <c r="H125" s="310" t="str">
        <f ca="1">IFERROR(IF(VLOOKUP(F125,Kostentypen!$A$3:$E$21,3,0)=0,"",IF(OR(F125="Arbeidskosten",F125="Vergoeding"),VLOOKUP(G125,Tb_KostenTypen[],2,0),VLOOKUP(F125,Kostentypen!$A$3:$E$20,3,0))),"")</f>
        <v/>
      </c>
      <c r="I125" s="311"/>
      <c r="J125" s="312" t="str" cm="1">
        <f t="array" ref="J125">_xlfn.IFNA(IF(INDEX(Tb_KostenOpties[],MATCH($F125,Tb_KostenOpties[KostenOptie],0),IFERROR(MATCH(Methode_Keuze,Tb_KostenOpties[#Headers],0),2))=1,_xlfn.SWITCH($H125,"Uurtarief",IF(OR(AND(RIGHT($F125,3)="IKS",VLOOKUP($I125,Loonkosten,2,0)="Ja"),AND(RIGHT($F125,3)&lt;&gt;"IKS",VLOOKUP($I125,Loonkosten,2,0)="Nee")), VLOOKUP($I125,Loonkosten,MATCH("Opgegeven uurtarief",'4. Rekenhulp loonkosten aanvr.'!$4:$4,0)),0),"Vast tarief",IF(LEFT(F125,8)="Bijdrage",VLOOKUP($F125,Tb_KostenTypen[],MATCH(Lijsten!$P$1,Tb_KostenTypen[#Headers],0),0),VLOOKUP($G125,Lijsten!L:P,MATCH(Lijsten!$P$1,Kop_Tarief_Vast,0),0))),""),"")</f>
        <v/>
      </c>
      <c r="K125" s="312" t="str" cm="1">
        <f t="array" ref="K125">_xlfn.IFNA(IF(INDEX(Tb_KostenOpties[],MATCH($F125,Tb_KostenOpties[KostenOptie],0),IFERROR(MATCH(Methode_Keuze,Tb_KostenOpties[#Headers],0),2))=1,_xlfn.SWITCH($H125,"Uurtarief",IF(OR(AND(RIGHT($F125,3)="IKS",VLOOKUP($I125,Loonkosten,2,0)="Ja"),AND(RIGHT($F125,3)&lt;&gt;"IKS",VLOOKUP($I125,Loonkosten,2,0)="Nee")), VLOOKUP($I125,Loonkosten,MATCH("Beoordeeld uurtarief",'4. Rekenhulp loonkosten aanvr.'!$4:$4,0),0),0),"Vast tarief",IF(LEFT(F125,8)="Bijdrage",VLOOKUP($F125,Tb_KostenTypen[],MATCH(Lijsten!$P$1,Tb_KostenTypen[#Headers],0),0),VLOOKUP($G125,Lijsten!L:P,MATCH(Lijsten!$P$1,Kop_Tarief_Vast,0),0))),""),"")</f>
        <v/>
      </c>
      <c r="L125" s="358"/>
      <c r="M125" s="358"/>
      <c r="N125" s="313"/>
      <c r="O125" s="313"/>
      <c r="P125" s="374" t="str">
        <f t="shared" si="5"/>
        <v/>
      </c>
      <c r="Q125" s="314" t="str">
        <f t="shared" si="6"/>
        <v/>
      </c>
      <c r="R125" s="314" t="str" cm="1">
        <f t="array" aca="1" ref="R125" ca="1">_xlfn.IFNA(_xlfn.IFS(X125="Dit kostentype hoeft u niet op te geven. Hiervoor wordt een forfait berekend.","",AND(J125&lt;&gt;"",H125="Vast tarief",F125="Vergoeding"),SUM(J125)*FLOOR(SUM(L125),0.0001),AND(J125&lt;&gt;"",OR(H125="Uurtarief",H125="Vast tarief")),SUM(J125)*FLOOR(SUM(L125),0.01),AND(N125&lt;&gt;"",H125="-"),FLOOR(SUM(N125),0.01)),"")</f>
        <v/>
      </c>
      <c r="S125" s="314" t="str" cm="1">
        <f t="array" aca="1" ref="S125" ca="1">_xlfn.IFNA(_xlfn.IFS(X125="Dit kostentype hoeft u niet op te geven. Hiervoor wordt een forfait berekend.","",AND(K125&lt;&gt;"",M125&lt;&gt;"",H125="Vast tarief",F125="Vergoeding"),SUM(K125)*FLOOR(SUM(M125),0.0001),AND(K125&lt;&gt;"",M125&lt;&gt;"",OR(H125="Uurtarief",H125="Vast tarief")),SUM(K125)*FLOOR(SUM(M125),0.01),AND(O125&lt;&gt;"",H125="-"),FLOOR(SUM(O125),0.01)),"")</f>
        <v/>
      </c>
      <c r="T125" s="314" t="str">
        <f t="shared" ca="1" si="7"/>
        <v/>
      </c>
      <c r="U125" s="314" t="str" cm="1">
        <f t="array" aca="1" ref="U125" ca="1">IFERROR(_xlfn.IFS(OR(F125="",LEFT(Methode_Keuze,4)="Geen",Methode_Keuze=""),"",AND(R125&lt;&gt;"",F125&lt;&gt;"Arbeidskosten"),R125*VLOOKUP(F125,Tb_ProjectKosten[],MATCH(Tb_ProjectKosten[[#Headers],[Forfait_Percentage]],Tb_ProjectKosten[#Headers],0),0),AND(F125="Arbeidskosten",G125&lt;&gt;""),IFERROR(R125*VLOOKUP(G125,Tb_KostenTypen[],3,0)*VLOOKUP(F125,Tb_ProjectKosten[],MATCH(Tb_ProjectKosten[[#Headers],[Forfait_Percentage]],Tb_ProjectKosten[#Headers],0),0),""),R125 &lt;=0,0),"")</f>
        <v/>
      </c>
      <c r="V125" s="314" t="str" cm="1">
        <f t="array" aca="1" ref="V125" ca="1">IFERROR(_xlfn.IFS(OR(F125="",LEFT(Methode_Keuze,4)="Geen",Methode_Keuze=""),"",AND(S125&lt;&gt;"",F125&lt;&gt;"Arbeidskosten"),S125*VLOOKUP(F125,Tb_ProjectKosten[],MATCH(Tb_ProjectKosten[[#Headers],[Forfait_Percentage]],Tb_ProjectKosten[#Headers],0),0),AND(F125="Arbeidskosten",G125&lt;&gt;""),IFERROR(S125*VLOOKUP(G125,Tb_KostenTypen[],3,0)*VLOOKUP(F125,Tb_ProjectKosten[],MATCH(Tb_ProjectKosten[[#Headers],[Forfait_Percentage]],Tb_ProjectKosten[#Headers],0),0),""),S125 &lt;=0,0),"")</f>
        <v/>
      </c>
      <c r="W125" s="314" t="str">
        <f t="shared" ca="1" si="8"/>
        <v/>
      </c>
      <c r="X125" s="376" t="str">
        <f>IFERROR(VLOOKUP(F125,Tb_ProjectKosten[#All],11,0),"")</f>
        <v/>
      </c>
      <c r="Y125" s="315"/>
    </row>
    <row r="126" spans="1:25" x14ac:dyDescent="0.25">
      <c r="A126" s="309">
        <f>MAX($A$5:A125)+1</f>
        <v>121</v>
      </c>
      <c r="B126" s="296"/>
      <c r="C126" s="296"/>
      <c r="D126" s="296"/>
      <c r="E126" s="296"/>
      <c r="F126" s="296"/>
      <c r="G126" s="327"/>
      <c r="H126" s="310" t="str">
        <f ca="1">IFERROR(IF(VLOOKUP(F126,Kostentypen!$A$3:$E$21,3,0)=0,"",IF(OR(F126="Arbeidskosten",F126="Vergoeding"),VLOOKUP(G126,Tb_KostenTypen[],2,0),VLOOKUP(F126,Kostentypen!$A$3:$E$20,3,0))),"")</f>
        <v/>
      </c>
      <c r="I126" s="311"/>
      <c r="J126" s="312" t="str" cm="1">
        <f t="array" ref="J126">_xlfn.IFNA(IF(INDEX(Tb_KostenOpties[],MATCH($F126,Tb_KostenOpties[KostenOptie],0),IFERROR(MATCH(Methode_Keuze,Tb_KostenOpties[#Headers],0),2))=1,_xlfn.SWITCH($H126,"Uurtarief",IF(OR(AND(RIGHT($F126,3)="IKS",VLOOKUP($I126,Loonkosten,2,0)="Ja"),AND(RIGHT($F126,3)&lt;&gt;"IKS",VLOOKUP($I126,Loonkosten,2,0)="Nee")), VLOOKUP($I126,Loonkosten,MATCH("Opgegeven uurtarief",'4. Rekenhulp loonkosten aanvr.'!$4:$4,0)),0),"Vast tarief",IF(LEFT(F126,8)="Bijdrage",VLOOKUP($F126,Tb_KostenTypen[],MATCH(Lijsten!$P$1,Tb_KostenTypen[#Headers],0),0),VLOOKUP($G126,Lijsten!L:P,MATCH(Lijsten!$P$1,Kop_Tarief_Vast,0),0))),""),"")</f>
        <v/>
      </c>
      <c r="K126" s="312" t="str" cm="1">
        <f t="array" ref="K126">_xlfn.IFNA(IF(INDEX(Tb_KostenOpties[],MATCH($F126,Tb_KostenOpties[KostenOptie],0),IFERROR(MATCH(Methode_Keuze,Tb_KostenOpties[#Headers],0),2))=1,_xlfn.SWITCH($H126,"Uurtarief",IF(OR(AND(RIGHT($F126,3)="IKS",VLOOKUP($I126,Loonkosten,2,0)="Ja"),AND(RIGHT($F126,3)&lt;&gt;"IKS",VLOOKUP($I126,Loonkosten,2,0)="Nee")), VLOOKUP($I126,Loonkosten,MATCH("Beoordeeld uurtarief",'4. Rekenhulp loonkosten aanvr.'!$4:$4,0),0),0),"Vast tarief",IF(LEFT(F126,8)="Bijdrage",VLOOKUP($F126,Tb_KostenTypen[],MATCH(Lijsten!$P$1,Tb_KostenTypen[#Headers],0),0),VLOOKUP($G126,Lijsten!L:P,MATCH(Lijsten!$P$1,Kop_Tarief_Vast,0),0))),""),"")</f>
        <v/>
      </c>
      <c r="L126" s="358"/>
      <c r="M126" s="358"/>
      <c r="N126" s="313"/>
      <c r="O126" s="313"/>
      <c r="P126" s="374" t="str">
        <f t="shared" si="5"/>
        <v/>
      </c>
      <c r="Q126" s="314" t="str">
        <f t="shared" si="6"/>
        <v/>
      </c>
      <c r="R126" s="314" t="str" cm="1">
        <f t="array" aca="1" ref="R126" ca="1">_xlfn.IFNA(_xlfn.IFS(X126="Dit kostentype hoeft u niet op te geven. Hiervoor wordt een forfait berekend.","",AND(J126&lt;&gt;"",H126="Vast tarief",F126="Vergoeding"),SUM(J126)*FLOOR(SUM(L126),0.0001),AND(J126&lt;&gt;"",OR(H126="Uurtarief",H126="Vast tarief")),SUM(J126)*FLOOR(SUM(L126),0.01),AND(N126&lt;&gt;"",H126="-"),FLOOR(SUM(N126),0.01)),"")</f>
        <v/>
      </c>
      <c r="S126" s="314" t="str" cm="1">
        <f t="array" aca="1" ref="S126" ca="1">_xlfn.IFNA(_xlfn.IFS(X126="Dit kostentype hoeft u niet op te geven. Hiervoor wordt een forfait berekend.","",AND(K126&lt;&gt;"",M126&lt;&gt;"",H126="Vast tarief",F126="Vergoeding"),SUM(K126)*FLOOR(SUM(M126),0.0001),AND(K126&lt;&gt;"",M126&lt;&gt;"",OR(H126="Uurtarief",H126="Vast tarief")),SUM(K126)*FLOOR(SUM(M126),0.01),AND(O126&lt;&gt;"",H126="-"),FLOOR(SUM(O126),0.01)),"")</f>
        <v/>
      </c>
      <c r="T126" s="314" t="str">
        <f t="shared" ca="1" si="7"/>
        <v/>
      </c>
      <c r="U126" s="314" t="str" cm="1">
        <f t="array" aca="1" ref="U126" ca="1">IFERROR(_xlfn.IFS(OR(F126="",LEFT(Methode_Keuze,4)="Geen",Methode_Keuze=""),"",AND(R126&lt;&gt;"",F126&lt;&gt;"Arbeidskosten"),R126*VLOOKUP(F126,Tb_ProjectKosten[],MATCH(Tb_ProjectKosten[[#Headers],[Forfait_Percentage]],Tb_ProjectKosten[#Headers],0),0),AND(F126="Arbeidskosten",G126&lt;&gt;""),IFERROR(R126*VLOOKUP(G126,Tb_KostenTypen[],3,0)*VLOOKUP(F126,Tb_ProjectKosten[],MATCH(Tb_ProjectKosten[[#Headers],[Forfait_Percentage]],Tb_ProjectKosten[#Headers],0),0),""),R126 &lt;=0,0),"")</f>
        <v/>
      </c>
      <c r="V126" s="314" t="str" cm="1">
        <f t="array" aca="1" ref="V126" ca="1">IFERROR(_xlfn.IFS(OR(F126="",LEFT(Methode_Keuze,4)="Geen",Methode_Keuze=""),"",AND(S126&lt;&gt;"",F126&lt;&gt;"Arbeidskosten"),S126*VLOOKUP(F126,Tb_ProjectKosten[],MATCH(Tb_ProjectKosten[[#Headers],[Forfait_Percentage]],Tb_ProjectKosten[#Headers],0),0),AND(F126="Arbeidskosten",G126&lt;&gt;""),IFERROR(S126*VLOOKUP(G126,Tb_KostenTypen[],3,0)*VLOOKUP(F126,Tb_ProjectKosten[],MATCH(Tb_ProjectKosten[[#Headers],[Forfait_Percentage]],Tb_ProjectKosten[#Headers],0),0),""),S126 &lt;=0,0),"")</f>
        <v/>
      </c>
      <c r="W126" s="314" t="str">
        <f t="shared" ca="1" si="8"/>
        <v/>
      </c>
      <c r="X126" s="376" t="str">
        <f>IFERROR(VLOOKUP(F126,Tb_ProjectKosten[#All],11,0),"")</f>
        <v/>
      </c>
      <c r="Y126" s="315"/>
    </row>
    <row r="127" spans="1:25" x14ac:dyDescent="0.25">
      <c r="A127" s="309">
        <f>MAX($A$5:A126)+1</f>
        <v>122</v>
      </c>
      <c r="B127" s="296"/>
      <c r="C127" s="296"/>
      <c r="D127" s="296"/>
      <c r="E127" s="296"/>
      <c r="F127" s="296"/>
      <c r="G127" s="327"/>
      <c r="H127" s="310" t="str">
        <f ca="1">IFERROR(IF(VLOOKUP(F127,Kostentypen!$A$3:$E$21,3,0)=0,"",IF(OR(F127="Arbeidskosten",F127="Vergoeding"),VLOOKUP(G127,Tb_KostenTypen[],2,0),VLOOKUP(F127,Kostentypen!$A$3:$E$20,3,0))),"")</f>
        <v/>
      </c>
      <c r="I127" s="311"/>
      <c r="J127" s="312" t="str" cm="1">
        <f t="array" ref="J127">_xlfn.IFNA(IF(INDEX(Tb_KostenOpties[],MATCH($F127,Tb_KostenOpties[KostenOptie],0),IFERROR(MATCH(Methode_Keuze,Tb_KostenOpties[#Headers],0),2))=1,_xlfn.SWITCH($H127,"Uurtarief",IF(OR(AND(RIGHT($F127,3)="IKS",VLOOKUP($I127,Loonkosten,2,0)="Ja"),AND(RIGHT($F127,3)&lt;&gt;"IKS",VLOOKUP($I127,Loonkosten,2,0)="Nee")), VLOOKUP($I127,Loonkosten,MATCH("Opgegeven uurtarief",'4. Rekenhulp loonkosten aanvr.'!$4:$4,0)),0),"Vast tarief",IF(LEFT(F127,8)="Bijdrage",VLOOKUP($F127,Tb_KostenTypen[],MATCH(Lijsten!$P$1,Tb_KostenTypen[#Headers],0),0),VLOOKUP($G127,Lijsten!L:P,MATCH(Lijsten!$P$1,Kop_Tarief_Vast,0),0))),""),"")</f>
        <v/>
      </c>
      <c r="K127" s="312" t="str" cm="1">
        <f t="array" ref="K127">_xlfn.IFNA(IF(INDEX(Tb_KostenOpties[],MATCH($F127,Tb_KostenOpties[KostenOptie],0),IFERROR(MATCH(Methode_Keuze,Tb_KostenOpties[#Headers],0),2))=1,_xlfn.SWITCH($H127,"Uurtarief",IF(OR(AND(RIGHT($F127,3)="IKS",VLOOKUP($I127,Loonkosten,2,0)="Ja"),AND(RIGHT($F127,3)&lt;&gt;"IKS",VLOOKUP($I127,Loonkosten,2,0)="Nee")), VLOOKUP($I127,Loonkosten,MATCH("Beoordeeld uurtarief",'4. Rekenhulp loonkosten aanvr.'!$4:$4,0),0),0),"Vast tarief",IF(LEFT(F127,8)="Bijdrage",VLOOKUP($F127,Tb_KostenTypen[],MATCH(Lijsten!$P$1,Tb_KostenTypen[#Headers],0),0),VLOOKUP($G127,Lijsten!L:P,MATCH(Lijsten!$P$1,Kop_Tarief_Vast,0),0))),""),"")</f>
        <v/>
      </c>
      <c r="L127" s="358"/>
      <c r="M127" s="358"/>
      <c r="N127" s="313"/>
      <c r="O127" s="313"/>
      <c r="P127" s="374" t="str">
        <f t="shared" si="5"/>
        <v/>
      </c>
      <c r="Q127" s="314" t="str">
        <f t="shared" si="6"/>
        <v/>
      </c>
      <c r="R127" s="314" t="str" cm="1">
        <f t="array" aca="1" ref="R127" ca="1">_xlfn.IFNA(_xlfn.IFS(X127="Dit kostentype hoeft u niet op te geven. Hiervoor wordt een forfait berekend.","",AND(J127&lt;&gt;"",H127="Vast tarief",F127="Vergoeding"),SUM(J127)*FLOOR(SUM(L127),0.0001),AND(J127&lt;&gt;"",OR(H127="Uurtarief",H127="Vast tarief")),SUM(J127)*FLOOR(SUM(L127),0.01),AND(N127&lt;&gt;"",H127="-"),FLOOR(SUM(N127),0.01)),"")</f>
        <v/>
      </c>
      <c r="S127" s="314" t="str" cm="1">
        <f t="array" aca="1" ref="S127" ca="1">_xlfn.IFNA(_xlfn.IFS(X127="Dit kostentype hoeft u niet op te geven. Hiervoor wordt een forfait berekend.","",AND(K127&lt;&gt;"",M127&lt;&gt;"",H127="Vast tarief",F127="Vergoeding"),SUM(K127)*FLOOR(SUM(M127),0.0001),AND(K127&lt;&gt;"",M127&lt;&gt;"",OR(H127="Uurtarief",H127="Vast tarief")),SUM(K127)*FLOOR(SUM(M127),0.01),AND(O127&lt;&gt;"",H127="-"),FLOOR(SUM(O127),0.01)),"")</f>
        <v/>
      </c>
      <c r="T127" s="314" t="str">
        <f t="shared" ca="1" si="7"/>
        <v/>
      </c>
      <c r="U127" s="314" t="str" cm="1">
        <f t="array" aca="1" ref="U127" ca="1">IFERROR(_xlfn.IFS(OR(F127="",LEFT(Methode_Keuze,4)="Geen",Methode_Keuze=""),"",AND(R127&lt;&gt;"",F127&lt;&gt;"Arbeidskosten"),R127*VLOOKUP(F127,Tb_ProjectKosten[],MATCH(Tb_ProjectKosten[[#Headers],[Forfait_Percentage]],Tb_ProjectKosten[#Headers],0),0),AND(F127="Arbeidskosten",G127&lt;&gt;""),IFERROR(R127*VLOOKUP(G127,Tb_KostenTypen[],3,0)*VLOOKUP(F127,Tb_ProjectKosten[],MATCH(Tb_ProjectKosten[[#Headers],[Forfait_Percentage]],Tb_ProjectKosten[#Headers],0),0),""),R127 &lt;=0,0),"")</f>
        <v/>
      </c>
      <c r="V127" s="314" t="str" cm="1">
        <f t="array" aca="1" ref="V127" ca="1">IFERROR(_xlfn.IFS(OR(F127="",LEFT(Methode_Keuze,4)="Geen",Methode_Keuze=""),"",AND(S127&lt;&gt;"",F127&lt;&gt;"Arbeidskosten"),S127*VLOOKUP(F127,Tb_ProjectKosten[],MATCH(Tb_ProjectKosten[[#Headers],[Forfait_Percentage]],Tb_ProjectKosten[#Headers],0),0),AND(F127="Arbeidskosten",G127&lt;&gt;""),IFERROR(S127*VLOOKUP(G127,Tb_KostenTypen[],3,0)*VLOOKUP(F127,Tb_ProjectKosten[],MATCH(Tb_ProjectKosten[[#Headers],[Forfait_Percentage]],Tb_ProjectKosten[#Headers],0),0),""),S127 &lt;=0,0),"")</f>
        <v/>
      </c>
      <c r="W127" s="314" t="str">
        <f t="shared" ca="1" si="8"/>
        <v/>
      </c>
      <c r="X127" s="376" t="str">
        <f>IFERROR(VLOOKUP(F127,Tb_ProjectKosten[#All],11,0),"")</f>
        <v/>
      </c>
      <c r="Y127" s="315"/>
    </row>
    <row r="128" spans="1:25" x14ac:dyDescent="0.25">
      <c r="A128" s="309">
        <f>MAX($A$5:A127)+1</f>
        <v>123</v>
      </c>
      <c r="B128" s="296"/>
      <c r="C128" s="296"/>
      <c r="D128" s="296"/>
      <c r="E128" s="296"/>
      <c r="F128" s="296"/>
      <c r="G128" s="327"/>
      <c r="H128" s="310" t="str">
        <f ca="1">IFERROR(IF(VLOOKUP(F128,Kostentypen!$A$3:$E$21,3,0)=0,"",IF(OR(F128="Arbeidskosten",F128="Vergoeding"),VLOOKUP(G128,Tb_KostenTypen[],2,0),VLOOKUP(F128,Kostentypen!$A$3:$E$20,3,0))),"")</f>
        <v/>
      </c>
      <c r="I128" s="311"/>
      <c r="J128" s="312" t="str" cm="1">
        <f t="array" ref="J128">_xlfn.IFNA(IF(INDEX(Tb_KostenOpties[],MATCH($F128,Tb_KostenOpties[KostenOptie],0),IFERROR(MATCH(Methode_Keuze,Tb_KostenOpties[#Headers],0),2))=1,_xlfn.SWITCH($H128,"Uurtarief",IF(OR(AND(RIGHT($F128,3)="IKS",VLOOKUP($I128,Loonkosten,2,0)="Ja"),AND(RIGHT($F128,3)&lt;&gt;"IKS",VLOOKUP($I128,Loonkosten,2,0)="Nee")), VLOOKUP($I128,Loonkosten,MATCH("Opgegeven uurtarief",'4. Rekenhulp loonkosten aanvr.'!$4:$4,0)),0),"Vast tarief",IF(LEFT(F128,8)="Bijdrage",VLOOKUP($F128,Tb_KostenTypen[],MATCH(Lijsten!$P$1,Tb_KostenTypen[#Headers],0),0),VLOOKUP($G128,Lijsten!L:P,MATCH(Lijsten!$P$1,Kop_Tarief_Vast,0),0))),""),"")</f>
        <v/>
      </c>
      <c r="K128" s="312" t="str" cm="1">
        <f t="array" ref="K128">_xlfn.IFNA(IF(INDEX(Tb_KostenOpties[],MATCH($F128,Tb_KostenOpties[KostenOptie],0),IFERROR(MATCH(Methode_Keuze,Tb_KostenOpties[#Headers],0),2))=1,_xlfn.SWITCH($H128,"Uurtarief",IF(OR(AND(RIGHT($F128,3)="IKS",VLOOKUP($I128,Loonkosten,2,0)="Ja"),AND(RIGHT($F128,3)&lt;&gt;"IKS",VLOOKUP($I128,Loonkosten,2,0)="Nee")), VLOOKUP($I128,Loonkosten,MATCH("Beoordeeld uurtarief",'4. Rekenhulp loonkosten aanvr.'!$4:$4,0),0),0),"Vast tarief",IF(LEFT(F128,8)="Bijdrage",VLOOKUP($F128,Tb_KostenTypen[],MATCH(Lijsten!$P$1,Tb_KostenTypen[#Headers],0),0),VLOOKUP($G128,Lijsten!L:P,MATCH(Lijsten!$P$1,Kop_Tarief_Vast,0),0))),""),"")</f>
        <v/>
      </c>
      <c r="L128" s="358"/>
      <c r="M128" s="358"/>
      <c r="N128" s="313"/>
      <c r="O128" s="313"/>
      <c r="P128" s="374" t="str">
        <f t="shared" si="5"/>
        <v/>
      </c>
      <c r="Q128" s="314" t="str">
        <f t="shared" si="6"/>
        <v/>
      </c>
      <c r="R128" s="314" t="str" cm="1">
        <f t="array" aca="1" ref="R128" ca="1">_xlfn.IFNA(_xlfn.IFS(X128="Dit kostentype hoeft u niet op te geven. Hiervoor wordt een forfait berekend.","",AND(J128&lt;&gt;"",H128="Vast tarief",F128="Vergoeding"),SUM(J128)*FLOOR(SUM(L128),0.0001),AND(J128&lt;&gt;"",OR(H128="Uurtarief",H128="Vast tarief")),SUM(J128)*FLOOR(SUM(L128),0.01),AND(N128&lt;&gt;"",H128="-"),FLOOR(SUM(N128),0.01)),"")</f>
        <v/>
      </c>
      <c r="S128" s="314" t="str" cm="1">
        <f t="array" aca="1" ref="S128" ca="1">_xlfn.IFNA(_xlfn.IFS(X128="Dit kostentype hoeft u niet op te geven. Hiervoor wordt een forfait berekend.","",AND(K128&lt;&gt;"",M128&lt;&gt;"",H128="Vast tarief",F128="Vergoeding"),SUM(K128)*FLOOR(SUM(M128),0.0001),AND(K128&lt;&gt;"",M128&lt;&gt;"",OR(H128="Uurtarief",H128="Vast tarief")),SUM(K128)*FLOOR(SUM(M128),0.01),AND(O128&lt;&gt;"",H128="-"),FLOOR(SUM(O128),0.01)),"")</f>
        <v/>
      </c>
      <c r="T128" s="314" t="str">
        <f t="shared" ca="1" si="7"/>
        <v/>
      </c>
      <c r="U128" s="314" t="str" cm="1">
        <f t="array" aca="1" ref="U128" ca="1">IFERROR(_xlfn.IFS(OR(F128="",LEFT(Methode_Keuze,4)="Geen",Methode_Keuze=""),"",AND(R128&lt;&gt;"",F128&lt;&gt;"Arbeidskosten"),R128*VLOOKUP(F128,Tb_ProjectKosten[],MATCH(Tb_ProjectKosten[[#Headers],[Forfait_Percentage]],Tb_ProjectKosten[#Headers],0),0),AND(F128="Arbeidskosten",G128&lt;&gt;""),IFERROR(R128*VLOOKUP(G128,Tb_KostenTypen[],3,0)*VLOOKUP(F128,Tb_ProjectKosten[],MATCH(Tb_ProjectKosten[[#Headers],[Forfait_Percentage]],Tb_ProjectKosten[#Headers],0),0),""),R128 &lt;=0,0),"")</f>
        <v/>
      </c>
      <c r="V128" s="314" t="str" cm="1">
        <f t="array" aca="1" ref="V128" ca="1">IFERROR(_xlfn.IFS(OR(F128="",LEFT(Methode_Keuze,4)="Geen",Methode_Keuze=""),"",AND(S128&lt;&gt;"",F128&lt;&gt;"Arbeidskosten"),S128*VLOOKUP(F128,Tb_ProjectKosten[],MATCH(Tb_ProjectKosten[[#Headers],[Forfait_Percentage]],Tb_ProjectKosten[#Headers],0),0),AND(F128="Arbeidskosten",G128&lt;&gt;""),IFERROR(S128*VLOOKUP(G128,Tb_KostenTypen[],3,0)*VLOOKUP(F128,Tb_ProjectKosten[],MATCH(Tb_ProjectKosten[[#Headers],[Forfait_Percentage]],Tb_ProjectKosten[#Headers],0),0),""),S128 &lt;=0,0),"")</f>
        <v/>
      </c>
      <c r="W128" s="314" t="str">
        <f t="shared" ca="1" si="8"/>
        <v/>
      </c>
      <c r="X128" s="376" t="str">
        <f>IFERROR(VLOOKUP(F128,Tb_ProjectKosten[#All],11,0),"")</f>
        <v/>
      </c>
      <c r="Y128" s="315"/>
    </row>
    <row r="129" spans="1:25" x14ac:dyDescent="0.25">
      <c r="A129" s="309">
        <f>MAX($A$5:A128)+1</f>
        <v>124</v>
      </c>
      <c r="B129" s="296"/>
      <c r="C129" s="296"/>
      <c r="D129" s="296"/>
      <c r="E129" s="296"/>
      <c r="F129" s="296"/>
      <c r="G129" s="327"/>
      <c r="H129" s="310" t="str">
        <f ca="1">IFERROR(IF(VLOOKUP(F129,Kostentypen!$A$3:$E$21,3,0)=0,"",IF(OR(F129="Arbeidskosten",F129="Vergoeding"),VLOOKUP(G129,Tb_KostenTypen[],2,0),VLOOKUP(F129,Kostentypen!$A$3:$E$20,3,0))),"")</f>
        <v/>
      </c>
      <c r="I129" s="311"/>
      <c r="J129" s="312" t="str" cm="1">
        <f t="array" ref="J129">_xlfn.IFNA(IF(INDEX(Tb_KostenOpties[],MATCH($F129,Tb_KostenOpties[KostenOptie],0),IFERROR(MATCH(Methode_Keuze,Tb_KostenOpties[#Headers],0),2))=1,_xlfn.SWITCH($H129,"Uurtarief",IF(OR(AND(RIGHT($F129,3)="IKS",VLOOKUP($I129,Loonkosten,2,0)="Ja"),AND(RIGHT($F129,3)&lt;&gt;"IKS",VLOOKUP($I129,Loonkosten,2,0)="Nee")), VLOOKUP($I129,Loonkosten,MATCH("Opgegeven uurtarief",'4. Rekenhulp loonkosten aanvr.'!$4:$4,0)),0),"Vast tarief",IF(LEFT(F129,8)="Bijdrage",VLOOKUP($F129,Tb_KostenTypen[],MATCH(Lijsten!$P$1,Tb_KostenTypen[#Headers],0),0),VLOOKUP($G129,Lijsten!L:P,MATCH(Lijsten!$P$1,Kop_Tarief_Vast,0),0))),""),"")</f>
        <v/>
      </c>
      <c r="K129" s="312" t="str" cm="1">
        <f t="array" ref="K129">_xlfn.IFNA(IF(INDEX(Tb_KostenOpties[],MATCH($F129,Tb_KostenOpties[KostenOptie],0),IFERROR(MATCH(Methode_Keuze,Tb_KostenOpties[#Headers],0),2))=1,_xlfn.SWITCH($H129,"Uurtarief",IF(OR(AND(RIGHT($F129,3)="IKS",VLOOKUP($I129,Loonkosten,2,0)="Ja"),AND(RIGHT($F129,3)&lt;&gt;"IKS",VLOOKUP($I129,Loonkosten,2,0)="Nee")), VLOOKUP($I129,Loonkosten,MATCH("Beoordeeld uurtarief",'4. Rekenhulp loonkosten aanvr.'!$4:$4,0),0),0),"Vast tarief",IF(LEFT(F129,8)="Bijdrage",VLOOKUP($F129,Tb_KostenTypen[],MATCH(Lijsten!$P$1,Tb_KostenTypen[#Headers],0),0),VLOOKUP($G129,Lijsten!L:P,MATCH(Lijsten!$P$1,Kop_Tarief_Vast,0),0))),""),"")</f>
        <v/>
      </c>
      <c r="L129" s="358"/>
      <c r="M129" s="358"/>
      <c r="N129" s="313"/>
      <c r="O129" s="313"/>
      <c r="P129" s="374" t="str">
        <f t="shared" si="5"/>
        <v/>
      </c>
      <c r="Q129" s="314" t="str">
        <f t="shared" si="6"/>
        <v/>
      </c>
      <c r="R129" s="314" t="str" cm="1">
        <f t="array" aca="1" ref="R129" ca="1">_xlfn.IFNA(_xlfn.IFS(X129="Dit kostentype hoeft u niet op te geven. Hiervoor wordt een forfait berekend.","",AND(J129&lt;&gt;"",H129="Vast tarief",F129="Vergoeding"),SUM(J129)*FLOOR(SUM(L129),0.0001),AND(J129&lt;&gt;"",OR(H129="Uurtarief",H129="Vast tarief")),SUM(J129)*FLOOR(SUM(L129),0.01),AND(N129&lt;&gt;"",H129="-"),FLOOR(SUM(N129),0.01)),"")</f>
        <v/>
      </c>
      <c r="S129" s="314" t="str" cm="1">
        <f t="array" aca="1" ref="S129" ca="1">_xlfn.IFNA(_xlfn.IFS(X129="Dit kostentype hoeft u niet op te geven. Hiervoor wordt een forfait berekend.","",AND(K129&lt;&gt;"",M129&lt;&gt;"",H129="Vast tarief",F129="Vergoeding"),SUM(K129)*FLOOR(SUM(M129),0.0001),AND(K129&lt;&gt;"",M129&lt;&gt;"",OR(H129="Uurtarief",H129="Vast tarief")),SUM(K129)*FLOOR(SUM(M129),0.01),AND(O129&lt;&gt;"",H129="-"),FLOOR(SUM(O129),0.01)),"")</f>
        <v/>
      </c>
      <c r="T129" s="314" t="str">
        <f t="shared" ca="1" si="7"/>
        <v/>
      </c>
      <c r="U129" s="314" t="str" cm="1">
        <f t="array" aca="1" ref="U129" ca="1">IFERROR(_xlfn.IFS(OR(F129="",LEFT(Methode_Keuze,4)="Geen",Methode_Keuze=""),"",AND(R129&lt;&gt;"",F129&lt;&gt;"Arbeidskosten"),R129*VLOOKUP(F129,Tb_ProjectKosten[],MATCH(Tb_ProjectKosten[[#Headers],[Forfait_Percentage]],Tb_ProjectKosten[#Headers],0),0),AND(F129="Arbeidskosten",G129&lt;&gt;""),IFERROR(R129*VLOOKUP(G129,Tb_KostenTypen[],3,0)*VLOOKUP(F129,Tb_ProjectKosten[],MATCH(Tb_ProjectKosten[[#Headers],[Forfait_Percentage]],Tb_ProjectKosten[#Headers],0),0),""),R129 &lt;=0,0),"")</f>
        <v/>
      </c>
      <c r="V129" s="314" t="str" cm="1">
        <f t="array" aca="1" ref="V129" ca="1">IFERROR(_xlfn.IFS(OR(F129="",LEFT(Methode_Keuze,4)="Geen",Methode_Keuze=""),"",AND(S129&lt;&gt;"",F129&lt;&gt;"Arbeidskosten"),S129*VLOOKUP(F129,Tb_ProjectKosten[],MATCH(Tb_ProjectKosten[[#Headers],[Forfait_Percentage]],Tb_ProjectKosten[#Headers],0),0),AND(F129="Arbeidskosten",G129&lt;&gt;""),IFERROR(S129*VLOOKUP(G129,Tb_KostenTypen[],3,0)*VLOOKUP(F129,Tb_ProjectKosten[],MATCH(Tb_ProjectKosten[[#Headers],[Forfait_Percentage]],Tb_ProjectKosten[#Headers],0),0),""),S129 &lt;=0,0),"")</f>
        <v/>
      </c>
      <c r="W129" s="314" t="str">
        <f t="shared" ca="1" si="8"/>
        <v/>
      </c>
      <c r="X129" s="376" t="str">
        <f>IFERROR(VLOOKUP(F129,Tb_ProjectKosten[#All],11,0),"")</f>
        <v/>
      </c>
      <c r="Y129" s="315"/>
    </row>
    <row r="130" spans="1:25" x14ac:dyDescent="0.25">
      <c r="A130" s="309">
        <f>MAX($A$5:A129)+1</f>
        <v>125</v>
      </c>
      <c r="B130" s="296"/>
      <c r="C130" s="296"/>
      <c r="D130" s="296"/>
      <c r="E130" s="296"/>
      <c r="F130" s="296"/>
      <c r="G130" s="327"/>
      <c r="H130" s="310" t="str">
        <f ca="1">IFERROR(IF(VLOOKUP(F130,Kostentypen!$A$3:$E$21,3,0)=0,"",IF(OR(F130="Arbeidskosten",F130="Vergoeding"),VLOOKUP(G130,Tb_KostenTypen[],2,0),VLOOKUP(F130,Kostentypen!$A$3:$E$20,3,0))),"")</f>
        <v/>
      </c>
      <c r="I130" s="311"/>
      <c r="J130" s="312" t="str" cm="1">
        <f t="array" ref="J130">_xlfn.IFNA(IF(INDEX(Tb_KostenOpties[],MATCH($F130,Tb_KostenOpties[KostenOptie],0),IFERROR(MATCH(Methode_Keuze,Tb_KostenOpties[#Headers],0),2))=1,_xlfn.SWITCH($H130,"Uurtarief",IF(OR(AND(RIGHT($F130,3)="IKS",VLOOKUP($I130,Loonkosten,2,0)="Ja"),AND(RIGHT($F130,3)&lt;&gt;"IKS",VLOOKUP($I130,Loonkosten,2,0)="Nee")), VLOOKUP($I130,Loonkosten,MATCH("Opgegeven uurtarief",'4. Rekenhulp loonkosten aanvr.'!$4:$4,0)),0),"Vast tarief",IF(LEFT(F130,8)="Bijdrage",VLOOKUP($F130,Tb_KostenTypen[],MATCH(Lijsten!$P$1,Tb_KostenTypen[#Headers],0),0),VLOOKUP($G130,Lijsten!L:P,MATCH(Lijsten!$P$1,Kop_Tarief_Vast,0),0))),""),"")</f>
        <v/>
      </c>
      <c r="K130" s="312" t="str" cm="1">
        <f t="array" ref="K130">_xlfn.IFNA(IF(INDEX(Tb_KostenOpties[],MATCH($F130,Tb_KostenOpties[KostenOptie],0),IFERROR(MATCH(Methode_Keuze,Tb_KostenOpties[#Headers],0),2))=1,_xlfn.SWITCH($H130,"Uurtarief",IF(OR(AND(RIGHT($F130,3)="IKS",VLOOKUP($I130,Loonkosten,2,0)="Ja"),AND(RIGHT($F130,3)&lt;&gt;"IKS",VLOOKUP($I130,Loonkosten,2,0)="Nee")), VLOOKUP($I130,Loonkosten,MATCH("Beoordeeld uurtarief",'4. Rekenhulp loonkosten aanvr.'!$4:$4,0),0),0),"Vast tarief",IF(LEFT(F130,8)="Bijdrage",VLOOKUP($F130,Tb_KostenTypen[],MATCH(Lijsten!$P$1,Tb_KostenTypen[#Headers],0),0),VLOOKUP($G130,Lijsten!L:P,MATCH(Lijsten!$P$1,Kop_Tarief_Vast,0),0))),""),"")</f>
        <v/>
      </c>
      <c r="L130" s="358"/>
      <c r="M130" s="358"/>
      <c r="N130" s="313"/>
      <c r="O130" s="313"/>
      <c r="P130" s="374" t="str">
        <f t="shared" si="5"/>
        <v/>
      </c>
      <c r="Q130" s="314" t="str">
        <f t="shared" si="6"/>
        <v/>
      </c>
      <c r="R130" s="314" t="str" cm="1">
        <f t="array" aca="1" ref="R130" ca="1">_xlfn.IFNA(_xlfn.IFS(X130="Dit kostentype hoeft u niet op te geven. Hiervoor wordt een forfait berekend.","",AND(J130&lt;&gt;"",H130="Vast tarief",F130="Vergoeding"),SUM(J130)*FLOOR(SUM(L130),0.0001),AND(J130&lt;&gt;"",OR(H130="Uurtarief",H130="Vast tarief")),SUM(J130)*FLOOR(SUM(L130),0.01),AND(N130&lt;&gt;"",H130="-"),FLOOR(SUM(N130),0.01)),"")</f>
        <v/>
      </c>
      <c r="S130" s="314" t="str" cm="1">
        <f t="array" aca="1" ref="S130" ca="1">_xlfn.IFNA(_xlfn.IFS(X130="Dit kostentype hoeft u niet op te geven. Hiervoor wordt een forfait berekend.","",AND(K130&lt;&gt;"",M130&lt;&gt;"",H130="Vast tarief",F130="Vergoeding"),SUM(K130)*FLOOR(SUM(M130),0.0001),AND(K130&lt;&gt;"",M130&lt;&gt;"",OR(H130="Uurtarief",H130="Vast tarief")),SUM(K130)*FLOOR(SUM(M130),0.01),AND(O130&lt;&gt;"",H130="-"),FLOOR(SUM(O130),0.01)),"")</f>
        <v/>
      </c>
      <c r="T130" s="314" t="str">
        <f t="shared" ca="1" si="7"/>
        <v/>
      </c>
      <c r="U130" s="314" t="str" cm="1">
        <f t="array" aca="1" ref="U130" ca="1">IFERROR(_xlfn.IFS(OR(F130="",LEFT(Methode_Keuze,4)="Geen",Methode_Keuze=""),"",AND(R130&lt;&gt;"",F130&lt;&gt;"Arbeidskosten"),R130*VLOOKUP(F130,Tb_ProjectKosten[],MATCH(Tb_ProjectKosten[[#Headers],[Forfait_Percentage]],Tb_ProjectKosten[#Headers],0),0),AND(F130="Arbeidskosten",G130&lt;&gt;""),IFERROR(R130*VLOOKUP(G130,Tb_KostenTypen[],3,0)*VLOOKUP(F130,Tb_ProjectKosten[],MATCH(Tb_ProjectKosten[[#Headers],[Forfait_Percentage]],Tb_ProjectKosten[#Headers],0),0),""),R130 &lt;=0,0),"")</f>
        <v/>
      </c>
      <c r="V130" s="314" t="str" cm="1">
        <f t="array" aca="1" ref="V130" ca="1">IFERROR(_xlfn.IFS(OR(F130="",LEFT(Methode_Keuze,4)="Geen",Methode_Keuze=""),"",AND(S130&lt;&gt;"",F130&lt;&gt;"Arbeidskosten"),S130*VLOOKUP(F130,Tb_ProjectKosten[],MATCH(Tb_ProjectKosten[[#Headers],[Forfait_Percentage]],Tb_ProjectKosten[#Headers],0),0),AND(F130="Arbeidskosten",G130&lt;&gt;""),IFERROR(S130*VLOOKUP(G130,Tb_KostenTypen[],3,0)*VLOOKUP(F130,Tb_ProjectKosten[],MATCH(Tb_ProjectKosten[[#Headers],[Forfait_Percentage]],Tb_ProjectKosten[#Headers],0),0),""),S130 &lt;=0,0),"")</f>
        <v/>
      </c>
      <c r="W130" s="314" t="str">
        <f t="shared" ca="1" si="8"/>
        <v/>
      </c>
      <c r="X130" s="376" t="str">
        <f>IFERROR(VLOOKUP(F130,Tb_ProjectKosten[#All],11,0),"")</f>
        <v/>
      </c>
      <c r="Y130" s="315"/>
    </row>
    <row r="131" spans="1:25" x14ac:dyDescent="0.25">
      <c r="A131" s="309">
        <f>MAX($A$5:A130)+1</f>
        <v>126</v>
      </c>
      <c r="B131" s="296"/>
      <c r="C131" s="296"/>
      <c r="D131" s="296"/>
      <c r="E131" s="296"/>
      <c r="F131" s="296"/>
      <c r="G131" s="327"/>
      <c r="H131" s="310" t="str">
        <f ca="1">IFERROR(IF(VLOOKUP(F131,Kostentypen!$A$3:$E$21,3,0)=0,"",IF(OR(F131="Arbeidskosten",F131="Vergoeding"),VLOOKUP(G131,Tb_KostenTypen[],2,0),VLOOKUP(F131,Kostentypen!$A$3:$E$20,3,0))),"")</f>
        <v/>
      </c>
      <c r="I131" s="311"/>
      <c r="J131" s="312" t="str" cm="1">
        <f t="array" ref="J131">_xlfn.IFNA(IF(INDEX(Tb_KostenOpties[],MATCH($F131,Tb_KostenOpties[KostenOptie],0),IFERROR(MATCH(Methode_Keuze,Tb_KostenOpties[#Headers],0),2))=1,_xlfn.SWITCH($H131,"Uurtarief",IF(OR(AND(RIGHT($F131,3)="IKS",VLOOKUP($I131,Loonkosten,2,0)="Ja"),AND(RIGHT($F131,3)&lt;&gt;"IKS",VLOOKUP($I131,Loonkosten,2,0)="Nee")), VLOOKUP($I131,Loonkosten,MATCH("Opgegeven uurtarief",'4. Rekenhulp loonkosten aanvr.'!$4:$4,0)),0),"Vast tarief",IF(LEFT(F131,8)="Bijdrage",VLOOKUP($F131,Tb_KostenTypen[],MATCH(Lijsten!$P$1,Tb_KostenTypen[#Headers],0),0),VLOOKUP($G131,Lijsten!L:P,MATCH(Lijsten!$P$1,Kop_Tarief_Vast,0),0))),""),"")</f>
        <v/>
      </c>
      <c r="K131" s="312" t="str" cm="1">
        <f t="array" ref="K131">_xlfn.IFNA(IF(INDEX(Tb_KostenOpties[],MATCH($F131,Tb_KostenOpties[KostenOptie],0),IFERROR(MATCH(Methode_Keuze,Tb_KostenOpties[#Headers],0),2))=1,_xlfn.SWITCH($H131,"Uurtarief",IF(OR(AND(RIGHT($F131,3)="IKS",VLOOKUP($I131,Loonkosten,2,0)="Ja"),AND(RIGHT($F131,3)&lt;&gt;"IKS",VLOOKUP($I131,Loonkosten,2,0)="Nee")), VLOOKUP($I131,Loonkosten,MATCH("Beoordeeld uurtarief",'4. Rekenhulp loonkosten aanvr.'!$4:$4,0),0),0),"Vast tarief",IF(LEFT(F131,8)="Bijdrage",VLOOKUP($F131,Tb_KostenTypen[],MATCH(Lijsten!$P$1,Tb_KostenTypen[#Headers],0),0),VLOOKUP($G131,Lijsten!L:P,MATCH(Lijsten!$P$1,Kop_Tarief_Vast,0),0))),""),"")</f>
        <v/>
      </c>
      <c r="L131" s="358"/>
      <c r="M131" s="358"/>
      <c r="N131" s="313"/>
      <c r="O131" s="313"/>
      <c r="P131" s="374" t="str">
        <f t="shared" si="5"/>
        <v/>
      </c>
      <c r="Q131" s="314" t="str">
        <f t="shared" si="6"/>
        <v/>
      </c>
      <c r="R131" s="314" t="str" cm="1">
        <f t="array" aca="1" ref="R131" ca="1">_xlfn.IFNA(_xlfn.IFS(X131="Dit kostentype hoeft u niet op te geven. Hiervoor wordt een forfait berekend.","",AND(J131&lt;&gt;"",H131="Vast tarief",F131="Vergoeding"),SUM(J131)*FLOOR(SUM(L131),0.0001),AND(J131&lt;&gt;"",OR(H131="Uurtarief",H131="Vast tarief")),SUM(J131)*FLOOR(SUM(L131),0.01),AND(N131&lt;&gt;"",H131="-"),FLOOR(SUM(N131),0.01)),"")</f>
        <v/>
      </c>
      <c r="S131" s="314" t="str" cm="1">
        <f t="array" aca="1" ref="S131" ca="1">_xlfn.IFNA(_xlfn.IFS(X131="Dit kostentype hoeft u niet op te geven. Hiervoor wordt een forfait berekend.","",AND(K131&lt;&gt;"",M131&lt;&gt;"",H131="Vast tarief",F131="Vergoeding"),SUM(K131)*FLOOR(SUM(M131),0.0001),AND(K131&lt;&gt;"",M131&lt;&gt;"",OR(H131="Uurtarief",H131="Vast tarief")),SUM(K131)*FLOOR(SUM(M131),0.01),AND(O131&lt;&gt;"",H131="-"),FLOOR(SUM(O131),0.01)),"")</f>
        <v/>
      </c>
      <c r="T131" s="314" t="str">
        <f t="shared" ca="1" si="7"/>
        <v/>
      </c>
      <c r="U131" s="314" t="str" cm="1">
        <f t="array" aca="1" ref="U131" ca="1">IFERROR(_xlfn.IFS(OR(F131="",LEFT(Methode_Keuze,4)="Geen",Methode_Keuze=""),"",AND(R131&lt;&gt;"",F131&lt;&gt;"Arbeidskosten"),R131*VLOOKUP(F131,Tb_ProjectKosten[],MATCH(Tb_ProjectKosten[[#Headers],[Forfait_Percentage]],Tb_ProjectKosten[#Headers],0),0),AND(F131="Arbeidskosten",G131&lt;&gt;""),IFERROR(R131*VLOOKUP(G131,Tb_KostenTypen[],3,0)*VLOOKUP(F131,Tb_ProjectKosten[],MATCH(Tb_ProjectKosten[[#Headers],[Forfait_Percentage]],Tb_ProjectKosten[#Headers],0),0),""),R131 &lt;=0,0),"")</f>
        <v/>
      </c>
      <c r="V131" s="314" t="str" cm="1">
        <f t="array" aca="1" ref="V131" ca="1">IFERROR(_xlfn.IFS(OR(F131="",LEFT(Methode_Keuze,4)="Geen",Methode_Keuze=""),"",AND(S131&lt;&gt;"",F131&lt;&gt;"Arbeidskosten"),S131*VLOOKUP(F131,Tb_ProjectKosten[],MATCH(Tb_ProjectKosten[[#Headers],[Forfait_Percentage]],Tb_ProjectKosten[#Headers],0),0),AND(F131="Arbeidskosten",G131&lt;&gt;""),IFERROR(S131*VLOOKUP(G131,Tb_KostenTypen[],3,0)*VLOOKUP(F131,Tb_ProjectKosten[],MATCH(Tb_ProjectKosten[[#Headers],[Forfait_Percentage]],Tb_ProjectKosten[#Headers],0),0),""),S131 &lt;=0,0),"")</f>
        <v/>
      </c>
      <c r="W131" s="314" t="str">
        <f t="shared" ca="1" si="8"/>
        <v/>
      </c>
      <c r="X131" s="376" t="str">
        <f>IFERROR(VLOOKUP(F131,Tb_ProjectKosten[#All],11,0),"")</f>
        <v/>
      </c>
      <c r="Y131" s="315"/>
    </row>
    <row r="132" spans="1:25" x14ac:dyDescent="0.25">
      <c r="A132" s="309">
        <f>MAX($A$5:A131)+1</f>
        <v>127</v>
      </c>
      <c r="B132" s="296"/>
      <c r="C132" s="296"/>
      <c r="D132" s="296"/>
      <c r="E132" s="296"/>
      <c r="F132" s="296"/>
      <c r="G132" s="327"/>
      <c r="H132" s="310" t="str">
        <f ca="1">IFERROR(IF(VLOOKUP(F132,Kostentypen!$A$3:$E$21,3,0)=0,"",IF(OR(F132="Arbeidskosten",F132="Vergoeding"),VLOOKUP(G132,Tb_KostenTypen[],2,0),VLOOKUP(F132,Kostentypen!$A$3:$E$20,3,0))),"")</f>
        <v/>
      </c>
      <c r="I132" s="311"/>
      <c r="J132" s="312" t="str" cm="1">
        <f t="array" ref="J132">_xlfn.IFNA(IF(INDEX(Tb_KostenOpties[],MATCH($F132,Tb_KostenOpties[KostenOptie],0),IFERROR(MATCH(Methode_Keuze,Tb_KostenOpties[#Headers],0),2))=1,_xlfn.SWITCH($H132,"Uurtarief",IF(OR(AND(RIGHT($F132,3)="IKS",VLOOKUP($I132,Loonkosten,2,0)="Ja"),AND(RIGHT($F132,3)&lt;&gt;"IKS",VLOOKUP($I132,Loonkosten,2,0)="Nee")), VLOOKUP($I132,Loonkosten,MATCH("Opgegeven uurtarief",'4. Rekenhulp loonkosten aanvr.'!$4:$4,0)),0),"Vast tarief",IF(LEFT(F132,8)="Bijdrage",VLOOKUP($F132,Tb_KostenTypen[],MATCH(Lijsten!$P$1,Tb_KostenTypen[#Headers],0),0),VLOOKUP($G132,Lijsten!L:P,MATCH(Lijsten!$P$1,Kop_Tarief_Vast,0),0))),""),"")</f>
        <v/>
      </c>
      <c r="K132" s="312" t="str" cm="1">
        <f t="array" ref="K132">_xlfn.IFNA(IF(INDEX(Tb_KostenOpties[],MATCH($F132,Tb_KostenOpties[KostenOptie],0),IFERROR(MATCH(Methode_Keuze,Tb_KostenOpties[#Headers],0),2))=1,_xlfn.SWITCH($H132,"Uurtarief",IF(OR(AND(RIGHT($F132,3)="IKS",VLOOKUP($I132,Loonkosten,2,0)="Ja"),AND(RIGHT($F132,3)&lt;&gt;"IKS",VLOOKUP($I132,Loonkosten,2,0)="Nee")), VLOOKUP($I132,Loonkosten,MATCH("Beoordeeld uurtarief",'4. Rekenhulp loonkosten aanvr.'!$4:$4,0),0),0),"Vast tarief",IF(LEFT(F132,8)="Bijdrage",VLOOKUP($F132,Tb_KostenTypen[],MATCH(Lijsten!$P$1,Tb_KostenTypen[#Headers],0),0),VLOOKUP($G132,Lijsten!L:P,MATCH(Lijsten!$P$1,Kop_Tarief_Vast,0),0))),""),"")</f>
        <v/>
      </c>
      <c r="L132" s="358"/>
      <c r="M132" s="358"/>
      <c r="N132" s="313"/>
      <c r="O132" s="313"/>
      <c r="P132" s="374" t="str">
        <f t="shared" si="5"/>
        <v/>
      </c>
      <c r="Q132" s="314" t="str">
        <f t="shared" si="6"/>
        <v/>
      </c>
      <c r="R132" s="314" t="str" cm="1">
        <f t="array" aca="1" ref="R132" ca="1">_xlfn.IFNA(_xlfn.IFS(X132="Dit kostentype hoeft u niet op te geven. Hiervoor wordt een forfait berekend.","",AND(J132&lt;&gt;"",H132="Vast tarief",F132="Vergoeding"),SUM(J132)*FLOOR(SUM(L132),0.0001),AND(J132&lt;&gt;"",OR(H132="Uurtarief",H132="Vast tarief")),SUM(J132)*FLOOR(SUM(L132),0.01),AND(N132&lt;&gt;"",H132="-"),FLOOR(SUM(N132),0.01)),"")</f>
        <v/>
      </c>
      <c r="S132" s="314" t="str" cm="1">
        <f t="array" aca="1" ref="S132" ca="1">_xlfn.IFNA(_xlfn.IFS(X132="Dit kostentype hoeft u niet op te geven. Hiervoor wordt een forfait berekend.","",AND(K132&lt;&gt;"",M132&lt;&gt;"",H132="Vast tarief",F132="Vergoeding"),SUM(K132)*FLOOR(SUM(M132),0.0001),AND(K132&lt;&gt;"",M132&lt;&gt;"",OR(H132="Uurtarief",H132="Vast tarief")),SUM(K132)*FLOOR(SUM(M132),0.01),AND(O132&lt;&gt;"",H132="-"),FLOOR(SUM(O132),0.01)),"")</f>
        <v/>
      </c>
      <c r="T132" s="314" t="str">
        <f t="shared" ca="1" si="7"/>
        <v/>
      </c>
      <c r="U132" s="314" t="str" cm="1">
        <f t="array" aca="1" ref="U132" ca="1">IFERROR(_xlfn.IFS(OR(F132="",LEFT(Methode_Keuze,4)="Geen",Methode_Keuze=""),"",AND(R132&lt;&gt;"",F132&lt;&gt;"Arbeidskosten"),R132*VLOOKUP(F132,Tb_ProjectKosten[],MATCH(Tb_ProjectKosten[[#Headers],[Forfait_Percentage]],Tb_ProjectKosten[#Headers],0),0),AND(F132="Arbeidskosten",G132&lt;&gt;""),IFERROR(R132*VLOOKUP(G132,Tb_KostenTypen[],3,0)*VLOOKUP(F132,Tb_ProjectKosten[],MATCH(Tb_ProjectKosten[[#Headers],[Forfait_Percentage]],Tb_ProjectKosten[#Headers],0),0),""),R132 &lt;=0,0),"")</f>
        <v/>
      </c>
      <c r="V132" s="314" t="str" cm="1">
        <f t="array" aca="1" ref="V132" ca="1">IFERROR(_xlfn.IFS(OR(F132="",LEFT(Methode_Keuze,4)="Geen",Methode_Keuze=""),"",AND(S132&lt;&gt;"",F132&lt;&gt;"Arbeidskosten"),S132*VLOOKUP(F132,Tb_ProjectKosten[],MATCH(Tb_ProjectKosten[[#Headers],[Forfait_Percentage]],Tb_ProjectKosten[#Headers],0),0),AND(F132="Arbeidskosten",G132&lt;&gt;""),IFERROR(S132*VLOOKUP(G132,Tb_KostenTypen[],3,0)*VLOOKUP(F132,Tb_ProjectKosten[],MATCH(Tb_ProjectKosten[[#Headers],[Forfait_Percentage]],Tb_ProjectKosten[#Headers],0),0),""),S132 &lt;=0,0),"")</f>
        <v/>
      </c>
      <c r="W132" s="314" t="str">
        <f t="shared" ca="1" si="8"/>
        <v/>
      </c>
      <c r="X132" s="376" t="str">
        <f>IFERROR(VLOOKUP(F132,Tb_ProjectKosten[#All],11,0),"")</f>
        <v/>
      </c>
      <c r="Y132" s="315"/>
    </row>
    <row r="133" spans="1:25" x14ac:dyDescent="0.25">
      <c r="A133" s="309">
        <f>MAX($A$5:A132)+1</f>
        <v>128</v>
      </c>
      <c r="B133" s="296"/>
      <c r="C133" s="296"/>
      <c r="D133" s="296"/>
      <c r="E133" s="296"/>
      <c r="F133" s="296"/>
      <c r="G133" s="327"/>
      <c r="H133" s="310" t="str">
        <f ca="1">IFERROR(IF(VLOOKUP(F133,Kostentypen!$A$3:$E$21,3,0)=0,"",IF(OR(F133="Arbeidskosten",F133="Vergoeding"),VLOOKUP(G133,Tb_KostenTypen[],2,0),VLOOKUP(F133,Kostentypen!$A$3:$E$20,3,0))),"")</f>
        <v/>
      </c>
      <c r="I133" s="311"/>
      <c r="J133" s="312" t="str" cm="1">
        <f t="array" ref="J133">_xlfn.IFNA(IF(INDEX(Tb_KostenOpties[],MATCH($F133,Tb_KostenOpties[KostenOptie],0),IFERROR(MATCH(Methode_Keuze,Tb_KostenOpties[#Headers],0),2))=1,_xlfn.SWITCH($H133,"Uurtarief",IF(OR(AND(RIGHT($F133,3)="IKS",VLOOKUP($I133,Loonkosten,2,0)="Ja"),AND(RIGHT($F133,3)&lt;&gt;"IKS",VLOOKUP($I133,Loonkosten,2,0)="Nee")), VLOOKUP($I133,Loonkosten,MATCH("Opgegeven uurtarief",'4. Rekenhulp loonkosten aanvr.'!$4:$4,0)),0),"Vast tarief",IF(LEFT(F133,8)="Bijdrage",VLOOKUP($F133,Tb_KostenTypen[],MATCH(Lijsten!$P$1,Tb_KostenTypen[#Headers],0),0),VLOOKUP($G133,Lijsten!L:P,MATCH(Lijsten!$P$1,Kop_Tarief_Vast,0),0))),""),"")</f>
        <v/>
      </c>
      <c r="K133" s="312" t="str" cm="1">
        <f t="array" ref="K133">_xlfn.IFNA(IF(INDEX(Tb_KostenOpties[],MATCH($F133,Tb_KostenOpties[KostenOptie],0),IFERROR(MATCH(Methode_Keuze,Tb_KostenOpties[#Headers],0),2))=1,_xlfn.SWITCH($H133,"Uurtarief",IF(OR(AND(RIGHT($F133,3)="IKS",VLOOKUP($I133,Loonkosten,2,0)="Ja"),AND(RIGHT($F133,3)&lt;&gt;"IKS",VLOOKUP($I133,Loonkosten,2,0)="Nee")), VLOOKUP($I133,Loonkosten,MATCH("Beoordeeld uurtarief",'4. Rekenhulp loonkosten aanvr.'!$4:$4,0),0),0),"Vast tarief",IF(LEFT(F133,8)="Bijdrage",VLOOKUP($F133,Tb_KostenTypen[],MATCH(Lijsten!$P$1,Tb_KostenTypen[#Headers],0),0),VLOOKUP($G133,Lijsten!L:P,MATCH(Lijsten!$P$1,Kop_Tarief_Vast,0),0))),""),"")</f>
        <v/>
      </c>
      <c r="L133" s="358"/>
      <c r="M133" s="358"/>
      <c r="N133" s="313"/>
      <c r="O133" s="313"/>
      <c r="P133" s="374" t="str">
        <f t="shared" si="5"/>
        <v/>
      </c>
      <c r="Q133" s="314" t="str">
        <f t="shared" si="6"/>
        <v/>
      </c>
      <c r="R133" s="314" t="str" cm="1">
        <f t="array" aca="1" ref="R133" ca="1">_xlfn.IFNA(_xlfn.IFS(X133="Dit kostentype hoeft u niet op te geven. Hiervoor wordt een forfait berekend.","",AND(J133&lt;&gt;"",H133="Vast tarief",F133="Vergoeding"),SUM(J133)*FLOOR(SUM(L133),0.0001),AND(J133&lt;&gt;"",OR(H133="Uurtarief",H133="Vast tarief")),SUM(J133)*FLOOR(SUM(L133),0.01),AND(N133&lt;&gt;"",H133="-"),FLOOR(SUM(N133),0.01)),"")</f>
        <v/>
      </c>
      <c r="S133" s="314" t="str" cm="1">
        <f t="array" aca="1" ref="S133" ca="1">_xlfn.IFNA(_xlfn.IFS(X133="Dit kostentype hoeft u niet op te geven. Hiervoor wordt een forfait berekend.","",AND(K133&lt;&gt;"",M133&lt;&gt;"",H133="Vast tarief",F133="Vergoeding"),SUM(K133)*FLOOR(SUM(M133),0.0001),AND(K133&lt;&gt;"",M133&lt;&gt;"",OR(H133="Uurtarief",H133="Vast tarief")),SUM(K133)*FLOOR(SUM(M133),0.01),AND(O133&lt;&gt;"",H133="-"),FLOOR(SUM(O133),0.01)),"")</f>
        <v/>
      </c>
      <c r="T133" s="314" t="str">
        <f t="shared" ca="1" si="7"/>
        <v/>
      </c>
      <c r="U133" s="314" t="str" cm="1">
        <f t="array" aca="1" ref="U133" ca="1">IFERROR(_xlfn.IFS(OR(F133="",LEFT(Methode_Keuze,4)="Geen",Methode_Keuze=""),"",AND(R133&lt;&gt;"",F133&lt;&gt;"Arbeidskosten"),R133*VLOOKUP(F133,Tb_ProjectKosten[],MATCH(Tb_ProjectKosten[[#Headers],[Forfait_Percentage]],Tb_ProjectKosten[#Headers],0),0),AND(F133="Arbeidskosten",G133&lt;&gt;""),IFERROR(R133*VLOOKUP(G133,Tb_KostenTypen[],3,0)*VLOOKUP(F133,Tb_ProjectKosten[],MATCH(Tb_ProjectKosten[[#Headers],[Forfait_Percentage]],Tb_ProjectKosten[#Headers],0),0),""),R133 &lt;=0,0),"")</f>
        <v/>
      </c>
      <c r="V133" s="314" t="str" cm="1">
        <f t="array" aca="1" ref="V133" ca="1">IFERROR(_xlfn.IFS(OR(F133="",LEFT(Methode_Keuze,4)="Geen",Methode_Keuze=""),"",AND(S133&lt;&gt;"",F133&lt;&gt;"Arbeidskosten"),S133*VLOOKUP(F133,Tb_ProjectKosten[],MATCH(Tb_ProjectKosten[[#Headers],[Forfait_Percentage]],Tb_ProjectKosten[#Headers],0),0),AND(F133="Arbeidskosten",G133&lt;&gt;""),IFERROR(S133*VLOOKUP(G133,Tb_KostenTypen[],3,0)*VLOOKUP(F133,Tb_ProjectKosten[],MATCH(Tb_ProjectKosten[[#Headers],[Forfait_Percentage]],Tb_ProjectKosten[#Headers],0),0),""),S133 &lt;=0,0),"")</f>
        <v/>
      </c>
      <c r="W133" s="314" t="str">
        <f t="shared" ca="1" si="8"/>
        <v/>
      </c>
      <c r="X133" s="376" t="str">
        <f>IFERROR(VLOOKUP(F133,Tb_ProjectKosten[#All],11,0),"")</f>
        <v/>
      </c>
      <c r="Y133" s="315"/>
    </row>
    <row r="134" spans="1:25" x14ac:dyDescent="0.25">
      <c r="A134" s="309">
        <f>MAX($A$5:A133)+1</f>
        <v>129</v>
      </c>
      <c r="B134" s="296"/>
      <c r="C134" s="296"/>
      <c r="D134" s="296"/>
      <c r="E134" s="296"/>
      <c r="F134" s="296"/>
      <c r="G134" s="327"/>
      <c r="H134" s="310" t="str">
        <f ca="1">IFERROR(IF(VLOOKUP(F134,Kostentypen!$A$3:$E$21,3,0)=0,"",IF(OR(F134="Arbeidskosten",F134="Vergoeding"),VLOOKUP(G134,Tb_KostenTypen[],2,0),VLOOKUP(F134,Kostentypen!$A$3:$E$20,3,0))),"")</f>
        <v/>
      </c>
      <c r="I134" s="311"/>
      <c r="J134" s="312" t="str" cm="1">
        <f t="array" ref="J134">_xlfn.IFNA(IF(INDEX(Tb_KostenOpties[],MATCH($F134,Tb_KostenOpties[KostenOptie],0),IFERROR(MATCH(Methode_Keuze,Tb_KostenOpties[#Headers],0),2))=1,_xlfn.SWITCH($H134,"Uurtarief",IF(OR(AND(RIGHT($F134,3)="IKS",VLOOKUP($I134,Loonkosten,2,0)="Ja"),AND(RIGHT($F134,3)&lt;&gt;"IKS",VLOOKUP($I134,Loonkosten,2,0)="Nee")), VLOOKUP($I134,Loonkosten,MATCH("Opgegeven uurtarief",'4. Rekenhulp loonkosten aanvr.'!$4:$4,0)),0),"Vast tarief",IF(LEFT(F134,8)="Bijdrage",VLOOKUP($F134,Tb_KostenTypen[],MATCH(Lijsten!$P$1,Tb_KostenTypen[#Headers],0),0),VLOOKUP($G134,Lijsten!L:P,MATCH(Lijsten!$P$1,Kop_Tarief_Vast,0),0))),""),"")</f>
        <v/>
      </c>
      <c r="K134" s="312" t="str" cm="1">
        <f t="array" ref="K134">_xlfn.IFNA(IF(INDEX(Tb_KostenOpties[],MATCH($F134,Tb_KostenOpties[KostenOptie],0),IFERROR(MATCH(Methode_Keuze,Tb_KostenOpties[#Headers],0),2))=1,_xlfn.SWITCH($H134,"Uurtarief",IF(OR(AND(RIGHT($F134,3)="IKS",VLOOKUP($I134,Loonkosten,2,0)="Ja"),AND(RIGHT($F134,3)&lt;&gt;"IKS",VLOOKUP($I134,Loonkosten,2,0)="Nee")), VLOOKUP($I134,Loonkosten,MATCH("Beoordeeld uurtarief",'4. Rekenhulp loonkosten aanvr.'!$4:$4,0),0),0),"Vast tarief",IF(LEFT(F134,8)="Bijdrage",VLOOKUP($F134,Tb_KostenTypen[],MATCH(Lijsten!$P$1,Tb_KostenTypen[#Headers],0),0),VLOOKUP($G134,Lijsten!L:P,MATCH(Lijsten!$P$1,Kop_Tarief_Vast,0),0))),""),"")</f>
        <v/>
      </c>
      <c r="L134" s="358"/>
      <c r="M134" s="358"/>
      <c r="N134" s="313"/>
      <c r="O134" s="313"/>
      <c r="P134" s="374" t="str">
        <f t="shared" si="5"/>
        <v/>
      </c>
      <c r="Q134" s="314" t="str">
        <f t="shared" si="6"/>
        <v/>
      </c>
      <c r="R134" s="314" t="str" cm="1">
        <f t="array" aca="1" ref="R134" ca="1">_xlfn.IFNA(_xlfn.IFS(X134="Dit kostentype hoeft u niet op te geven. Hiervoor wordt een forfait berekend.","",AND(J134&lt;&gt;"",H134="Vast tarief",F134="Vergoeding"),SUM(J134)*FLOOR(SUM(L134),0.0001),AND(J134&lt;&gt;"",OR(H134="Uurtarief",H134="Vast tarief")),SUM(J134)*FLOOR(SUM(L134),0.01),AND(N134&lt;&gt;"",H134="-"),FLOOR(SUM(N134),0.01)),"")</f>
        <v/>
      </c>
      <c r="S134" s="314" t="str" cm="1">
        <f t="array" aca="1" ref="S134" ca="1">_xlfn.IFNA(_xlfn.IFS(X134="Dit kostentype hoeft u niet op te geven. Hiervoor wordt een forfait berekend.","",AND(K134&lt;&gt;"",M134&lt;&gt;"",H134="Vast tarief",F134="Vergoeding"),SUM(K134)*FLOOR(SUM(M134),0.0001),AND(K134&lt;&gt;"",M134&lt;&gt;"",OR(H134="Uurtarief",H134="Vast tarief")),SUM(K134)*FLOOR(SUM(M134),0.01),AND(O134&lt;&gt;"",H134="-"),FLOOR(SUM(O134),0.01)),"")</f>
        <v/>
      </c>
      <c r="T134" s="314" t="str">
        <f t="shared" ca="1" si="7"/>
        <v/>
      </c>
      <c r="U134" s="314" t="str" cm="1">
        <f t="array" aca="1" ref="U134" ca="1">IFERROR(_xlfn.IFS(OR(F134="",LEFT(Methode_Keuze,4)="Geen",Methode_Keuze=""),"",AND(R134&lt;&gt;"",F134&lt;&gt;"Arbeidskosten"),R134*VLOOKUP(F134,Tb_ProjectKosten[],MATCH(Tb_ProjectKosten[[#Headers],[Forfait_Percentage]],Tb_ProjectKosten[#Headers],0),0),AND(F134="Arbeidskosten",G134&lt;&gt;""),IFERROR(R134*VLOOKUP(G134,Tb_KostenTypen[],3,0)*VLOOKUP(F134,Tb_ProjectKosten[],MATCH(Tb_ProjectKosten[[#Headers],[Forfait_Percentage]],Tb_ProjectKosten[#Headers],0),0),""),R134 &lt;=0,0),"")</f>
        <v/>
      </c>
      <c r="V134" s="314" t="str" cm="1">
        <f t="array" aca="1" ref="V134" ca="1">IFERROR(_xlfn.IFS(OR(F134="",LEFT(Methode_Keuze,4)="Geen",Methode_Keuze=""),"",AND(S134&lt;&gt;"",F134&lt;&gt;"Arbeidskosten"),S134*VLOOKUP(F134,Tb_ProjectKosten[],MATCH(Tb_ProjectKosten[[#Headers],[Forfait_Percentage]],Tb_ProjectKosten[#Headers],0),0),AND(F134="Arbeidskosten",G134&lt;&gt;""),IFERROR(S134*VLOOKUP(G134,Tb_KostenTypen[],3,0)*VLOOKUP(F134,Tb_ProjectKosten[],MATCH(Tb_ProjectKosten[[#Headers],[Forfait_Percentage]],Tb_ProjectKosten[#Headers],0),0),""),S134 &lt;=0,0),"")</f>
        <v/>
      </c>
      <c r="W134" s="314" t="str">
        <f t="shared" ca="1" si="8"/>
        <v/>
      </c>
      <c r="X134" s="376" t="str">
        <f>IFERROR(VLOOKUP(F134,Tb_ProjectKosten[#All],11,0),"")</f>
        <v/>
      </c>
      <c r="Y134" s="315"/>
    </row>
    <row r="135" spans="1:25" x14ac:dyDescent="0.25">
      <c r="A135" s="309">
        <f>MAX($A$5:A134)+1</f>
        <v>130</v>
      </c>
      <c r="B135" s="296"/>
      <c r="C135" s="296"/>
      <c r="D135" s="296"/>
      <c r="E135" s="296"/>
      <c r="F135" s="296"/>
      <c r="G135" s="327"/>
      <c r="H135" s="310" t="str">
        <f ca="1">IFERROR(IF(VLOOKUP(F135,Kostentypen!$A$3:$E$21,3,0)=0,"",IF(OR(F135="Arbeidskosten",F135="Vergoeding"),VLOOKUP(G135,Tb_KostenTypen[],2,0),VLOOKUP(F135,Kostentypen!$A$3:$E$20,3,0))),"")</f>
        <v/>
      </c>
      <c r="I135" s="311"/>
      <c r="J135" s="312" t="str" cm="1">
        <f t="array" ref="J135">_xlfn.IFNA(IF(INDEX(Tb_KostenOpties[],MATCH($F135,Tb_KostenOpties[KostenOptie],0),IFERROR(MATCH(Methode_Keuze,Tb_KostenOpties[#Headers],0),2))=1,_xlfn.SWITCH($H135,"Uurtarief",IF(OR(AND(RIGHT($F135,3)="IKS",VLOOKUP($I135,Loonkosten,2,0)="Ja"),AND(RIGHT($F135,3)&lt;&gt;"IKS",VLOOKUP($I135,Loonkosten,2,0)="Nee")), VLOOKUP($I135,Loonkosten,MATCH("Opgegeven uurtarief",'4. Rekenhulp loonkosten aanvr.'!$4:$4,0)),0),"Vast tarief",IF(LEFT(F135,8)="Bijdrage",VLOOKUP($F135,Tb_KostenTypen[],MATCH(Lijsten!$P$1,Tb_KostenTypen[#Headers],0),0),VLOOKUP($G135,Lijsten!L:P,MATCH(Lijsten!$P$1,Kop_Tarief_Vast,0),0))),""),"")</f>
        <v/>
      </c>
      <c r="K135" s="312" t="str" cm="1">
        <f t="array" ref="K135">_xlfn.IFNA(IF(INDEX(Tb_KostenOpties[],MATCH($F135,Tb_KostenOpties[KostenOptie],0),IFERROR(MATCH(Methode_Keuze,Tb_KostenOpties[#Headers],0),2))=1,_xlfn.SWITCH($H135,"Uurtarief",IF(OR(AND(RIGHT($F135,3)="IKS",VLOOKUP($I135,Loonkosten,2,0)="Ja"),AND(RIGHT($F135,3)&lt;&gt;"IKS",VLOOKUP($I135,Loonkosten,2,0)="Nee")), VLOOKUP($I135,Loonkosten,MATCH("Beoordeeld uurtarief",'4. Rekenhulp loonkosten aanvr.'!$4:$4,0),0),0),"Vast tarief",IF(LEFT(F135,8)="Bijdrage",VLOOKUP($F135,Tb_KostenTypen[],MATCH(Lijsten!$P$1,Tb_KostenTypen[#Headers],0),0),VLOOKUP($G135,Lijsten!L:P,MATCH(Lijsten!$P$1,Kop_Tarief_Vast,0),0))),""),"")</f>
        <v/>
      </c>
      <c r="L135" s="358"/>
      <c r="M135" s="358"/>
      <c r="N135" s="313"/>
      <c r="O135" s="313"/>
      <c r="P135" s="374" t="str">
        <f t="shared" ref="P135:P198" si="9">IFERROR(IF(AND(M135&lt;&gt;"",M135&lt;&gt;L135),-1*(M135-L135),""),"")</f>
        <v/>
      </c>
      <c r="Q135" s="314" t="str">
        <f t="shared" ref="Q135:Q198" si="10">IFERROR(IF(AND(O135&lt;&gt;"",O135&lt;&gt;N135),-1*(O135-N135),""),"")</f>
        <v/>
      </c>
      <c r="R135" s="314" t="str" cm="1">
        <f t="array" aca="1" ref="R135" ca="1">_xlfn.IFNA(_xlfn.IFS(X135="Dit kostentype hoeft u niet op te geven. Hiervoor wordt een forfait berekend.","",AND(J135&lt;&gt;"",H135="Vast tarief",F135="Vergoeding"),SUM(J135)*FLOOR(SUM(L135),0.0001),AND(J135&lt;&gt;"",OR(H135="Uurtarief",H135="Vast tarief")),SUM(J135)*FLOOR(SUM(L135),0.01),AND(N135&lt;&gt;"",H135="-"),FLOOR(SUM(N135),0.01)),"")</f>
        <v/>
      </c>
      <c r="S135" s="314" t="str" cm="1">
        <f t="array" aca="1" ref="S135" ca="1">_xlfn.IFNA(_xlfn.IFS(X135="Dit kostentype hoeft u niet op te geven. Hiervoor wordt een forfait berekend.","",AND(K135&lt;&gt;"",M135&lt;&gt;"",H135="Vast tarief",F135="Vergoeding"),SUM(K135)*FLOOR(SUM(M135),0.0001),AND(K135&lt;&gt;"",M135&lt;&gt;"",OR(H135="Uurtarief",H135="Vast tarief")),SUM(K135)*FLOOR(SUM(M135),0.01),AND(O135&lt;&gt;"",H135="-"),FLOOR(SUM(O135),0.01)),"")</f>
        <v/>
      </c>
      <c r="T135" s="314" t="str">
        <f t="shared" ref="T135:T198" ca="1" si="11">IFERROR(IF(AND(S135&lt;&gt;"",S135&lt;&gt;R135),-1*(S135-R135),""),"")</f>
        <v/>
      </c>
      <c r="U135" s="314" t="str" cm="1">
        <f t="array" aca="1" ref="U135" ca="1">IFERROR(_xlfn.IFS(OR(F135="",LEFT(Methode_Keuze,4)="Geen",Methode_Keuze=""),"",AND(R135&lt;&gt;"",F135&lt;&gt;"Arbeidskosten"),R135*VLOOKUP(F135,Tb_ProjectKosten[],MATCH(Tb_ProjectKosten[[#Headers],[Forfait_Percentage]],Tb_ProjectKosten[#Headers],0),0),AND(F135="Arbeidskosten",G135&lt;&gt;""),IFERROR(R135*VLOOKUP(G135,Tb_KostenTypen[],3,0)*VLOOKUP(F135,Tb_ProjectKosten[],MATCH(Tb_ProjectKosten[[#Headers],[Forfait_Percentage]],Tb_ProjectKosten[#Headers],0),0),""),R135 &lt;=0,0),"")</f>
        <v/>
      </c>
      <c r="V135" s="314" t="str" cm="1">
        <f t="array" aca="1" ref="V135" ca="1">IFERROR(_xlfn.IFS(OR(F135="",LEFT(Methode_Keuze,4)="Geen",Methode_Keuze=""),"",AND(S135&lt;&gt;"",F135&lt;&gt;"Arbeidskosten"),S135*VLOOKUP(F135,Tb_ProjectKosten[],MATCH(Tb_ProjectKosten[[#Headers],[Forfait_Percentage]],Tb_ProjectKosten[#Headers],0),0),AND(F135="Arbeidskosten",G135&lt;&gt;""),IFERROR(S135*VLOOKUP(G135,Tb_KostenTypen[],3,0)*VLOOKUP(F135,Tb_ProjectKosten[],MATCH(Tb_ProjectKosten[[#Headers],[Forfait_Percentage]],Tb_ProjectKosten[#Headers],0),0),""),S135 &lt;=0,0),"")</f>
        <v/>
      </c>
      <c r="W135" s="314" t="str">
        <f t="shared" ref="W135:W198" ca="1" si="12">IFERROR(IF(AND(V135&lt;&gt;"",V135&lt;&gt;U135),-1*(V135-U135),""),"")</f>
        <v/>
      </c>
      <c r="X135" s="376" t="str">
        <f>IFERROR(VLOOKUP(F135,Tb_ProjectKosten[#All],11,0),"")</f>
        <v/>
      </c>
      <c r="Y135" s="315"/>
    </row>
    <row r="136" spans="1:25" x14ac:dyDescent="0.25">
      <c r="A136" s="309">
        <f>MAX($A$5:A135)+1</f>
        <v>131</v>
      </c>
      <c r="B136" s="296"/>
      <c r="C136" s="296"/>
      <c r="D136" s="296"/>
      <c r="E136" s="296"/>
      <c r="F136" s="296"/>
      <c r="G136" s="327"/>
      <c r="H136" s="310" t="str">
        <f ca="1">IFERROR(IF(VLOOKUP(F136,Kostentypen!$A$3:$E$21,3,0)=0,"",IF(OR(F136="Arbeidskosten",F136="Vergoeding"),VLOOKUP(G136,Tb_KostenTypen[],2,0),VLOOKUP(F136,Kostentypen!$A$3:$E$20,3,0))),"")</f>
        <v/>
      </c>
      <c r="I136" s="311"/>
      <c r="J136" s="312" t="str" cm="1">
        <f t="array" ref="J136">_xlfn.IFNA(IF(INDEX(Tb_KostenOpties[],MATCH($F136,Tb_KostenOpties[KostenOptie],0),IFERROR(MATCH(Methode_Keuze,Tb_KostenOpties[#Headers],0),2))=1,_xlfn.SWITCH($H136,"Uurtarief",IF(OR(AND(RIGHT($F136,3)="IKS",VLOOKUP($I136,Loonkosten,2,0)="Ja"),AND(RIGHT($F136,3)&lt;&gt;"IKS",VLOOKUP($I136,Loonkosten,2,0)="Nee")), VLOOKUP($I136,Loonkosten,MATCH("Opgegeven uurtarief",'4. Rekenhulp loonkosten aanvr.'!$4:$4,0)),0),"Vast tarief",IF(LEFT(F136,8)="Bijdrage",VLOOKUP($F136,Tb_KostenTypen[],MATCH(Lijsten!$P$1,Tb_KostenTypen[#Headers],0),0),VLOOKUP($G136,Lijsten!L:P,MATCH(Lijsten!$P$1,Kop_Tarief_Vast,0),0))),""),"")</f>
        <v/>
      </c>
      <c r="K136" s="312" t="str" cm="1">
        <f t="array" ref="K136">_xlfn.IFNA(IF(INDEX(Tb_KostenOpties[],MATCH($F136,Tb_KostenOpties[KostenOptie],0),IFERROR(MATCH(Methode_Keuze,Tb_KostenOpties[#Headers],0),2))=1,_xlfn.SWITCH($H136,"Uurtarief",IF(OR(AND(RIGHT($F136,3)="IKS",VLOOKUP($I136,Loonkosten,2,0)="Ja"),AND(RIGHT($F136,3)&lt;&gt;"IKS",VLOOKUP($I136,Loonkosten,2,0)="Nee")), VLOOKUP($I136,Loonkosten,MATCH("Beoordeeld uurtarief",'4. Rekenhulp loonkosten aanvr.'!$4:$4,0),0),0),"Vast tarief",IF(LEFT(F136,8)="Bijdrage",VLOOKUP($F136,Tb_KostenTypen[],MATCH(Lijsten!$P$1,Tb_KostenTypen[#Headers],0),0),VLOOKUP($G136,Lijsten!L:P,MATCH(Lijsten!$P$1,Kop_Tarief_Vast,0),0))),""),"")</f>
        <v/>
      </c>
      <c r="L136" s="358"/>
      <c r="M136" s="358"/>
      <c r="N136" s="313"/>
      <c r="O136" s="313"/>
      <c r="P136" s="374" t="str">
        <f t="shared" si="9"/>
        <v/>
      </c>
      <c r="Q136" s="314" t="str">
        <f t="shared" si="10"/>
        <v/>
      </c>
      <c r="R136" s="314" t="str" cm="1">
        <f t="array" aca="1" ref="R136" ca="1">_xlfn.IFNA(_xlfn.IFS(X136="Dit kostentype hoeft u niet op te geven. Hiervoor wordt een forfait berekend.","",AND(J136&lt;&gt;"",H136="Vast tarief",F136="Vergoeding"),SUM(J136)*FLOOR(SUM(L136),0.0001),AND(J136&lt;&gt;"",OR(H136="Uurtarief",H136="Vast tarief")),SUM(J136)*FLOOR(SUM(L136),0.01),AND(N136&lt;&gt;"",H136="-"),FLOOR(SUM(N136),0.01)),"")</f>
        <v/>
      </c>
      <c r="S136" s="314" t="str" cm="1">
        <f t="array" aca="1" ref="S136" ca="1">_xlfn.IFNA(_xlfn.IFS(X136="Dit kostentype hoeft u niet op te geven. Hiervoor wordt een forfait berekend.","",AND(K136&lt;&gt;"",M136&lt;&gt;"",H136="Vast tarief",F136="Vergoeding"),SUM(K136)*FLOOR(SUM(M136),0.0001),AND(K136&lt;&gt;"",M136&lt;&gt;"",OR(H136="Uurtarief",H136="Vast tarief")),SUM(K136)*FLOOR(SUM(M136),0.01),AND(O136&lt;&gt;"",H136="-"),FLOOR(SUM(O136),0.01)),"")</f>
        <v/>
      </c>
      <c r="T136" s="314" t="str">
        <f t="shared" ca="1" si="11"/>
        <v/>
      </c>
      <c r="U136" s="314" t="str" cm="1">
        <f t="array" aca="1" ref="U136" ca="1">IFERROR(_xlfn.IFS(OR(F136="",LEFT(Methode_Keuze,4)="Geen",Methode_Keuze=""),"",AND(R136&lt;&gt;"",F136&lt;&gt;"Arbeidskosten"),R136*VLOOKUP(F136,Tb_ProjectKosten[],MATCH(Tb_ProjectKosten[[#Headers],[Forfait_Percentage]],Tb_ProjectKosten[#Headers],0),0),AND(F136="Arbeidskosten",G136&lt;&gt;""),IFERROR(R136*VLOOKUP(G136,Tb_KostenTypen[],3,0)*VLOOKUP(F136,Tb_ProjectKosten[],MATCH(Tb_ProjectKosten[[#Headers],[Forfait_Percentage]],Tb_ProjectKosten[#Headers],0),0),""),R136 &lt;=0,0),"")</f>
        <v/>
      </c>
      <c r="V136" s="314" t="str" cm="1">
        <f t="array" aca="1" ref="V136" ca="1">IFERROR(_xlfn.IFS(OR(F136="",LEFT(Methode_Keuze,4)="Geen",Methode_Keuze=""),"",AND(S136&lt;&gt;"",F136&lt;&gt;"Arbeidskosten"),S136*VLOOKUP(F136,Tb_ProjectKosten[],MATCH(Tb_ProjectKosten[[#Headers],[Forfait_Percentage]],Tb_ProjectKosten[#Headers],0),0),AND(F136="Arbeidskosten",G136&lt;&gt;""),IFERROR(S136*VLOOKUP(G136,Tb_KostenTypen[],3,0)*VLOOKUP(F136,Tb_ProjectKosten[],MATCH(Tb_ProjectKosten[[#Headers],[Forfait_Percentage]],Tb_ProjectKosten[#Headers],0),0),""),S136 &lt;=0,0),"")</f>
        <v/>
      </c>
      <c r="W136" s="314" t="str">
        <f t="shared" ca="1" si="12"/>
        <v/>
      </c>
      <c r="X136" s="376" t="str">
        <f>IFERROR(VLOOKUP(F136,Tb_ProjectKosten[#All],11,0),"")</f>
        <v/>
      </c>
      <c r="Y136" s="315"/>
    </row>
    <row r="137" spans="1:25" x14ac:dyDescent="0.25">
      <c r="A137" s="309">
        <f>MAX($A$5:A136)+1</f>
        <v>132</v>
      </c>
      <c r="B137" s="296"/>
      <c r="C137" s="296"/>
      <c r="D137" s="296"/>
      <c r="E137" s="296"/>
      <c r="F137" s="296"/>
      <c r="G137" s="327"/>
      <c r="H137" s="310" t="str">
        <f ca="1">IFERROR(IF(VLOOKUP(F137,Kostentypen!$A$3:$E$21,3,0)=0,"",IF(OR(F137="Arbeidskosten",F137="Vergoeding"),VLOOKUP(G137,Tb_KostenTypen[],2,0),VLOOKUP(F137,Kostentypen!$A$3:$E$20,3,0))),"")</f>
        <v/>
      </c>
      <c r="I137" s="311"/>
      <c r="J137" s="312" t="str" cm="1">
        <f t="array" ref="J137">_xlfn.IFNA(IF(INDEX(Tb_KostenOpties[],MATCH($F137,Tb_KostenOpties[KostenOptie],0),IFERROR(MATCH(Methode_Keuze,Tb_KostenOpties[#Headers],0),2))=1,_xlfn.SWITCH($H137,"Uurtarief",IF(OR(AND(RIGHT($F137,3)="IKS",VLOOKUP($I137,Loonkosten,2,0)="Ja"),AND(RIGHT($F137,3)&lt;&gt;"IKS",VLOOKUP($I137,Loonkosten,2,0)="Nee")), VLOOKUP($I137,Loonkosten,MATCH("Opgegeven uurtarief",'4. Rekenhulp loonkosten aanvr.'!$4:$4,0)),0),"Vast tarief",IF(LEFT(F137,8)="Bijdrage",VLOOKUP($F137,Tb_KostenTypen[],MATCH(Lijsten!$P$1,Tb_KostenTypen[#Headers],0),0),VLOOKUP($G137,Lijsten!L:P,MATCH(Lijsten!$P$1,Kop_Tarief_Vast,0),0))),""),"")</f>
        <v/>
      </c>
      <c r="K137" s="312" t="str" cm="1">
        <f t="array" ref="K137">_xlfn.IFNA(IF(INDEX(Tb_KostenOpties[],MATCH($F137,Tb_KostenOpties[KostenOptie],0),IFERROR(MATCH(Methode_Keuze,Tb_KostenOpties[#Headers],0),2))=1,_xlfn.SWITCH($H137,"Uurtarief",IF(OR(AND(RIGHT($F137,3)="IKS",VLOOKUP($I137,Loonkosten,2,0)="Ja"),AND(RIGHT($F137,3)&lt;&gt;"IKS",VLOOKUP($I137,Loonkosten,2,0)="Nee")), VLOOKUP($I137,Loonkosten,MATCH("Beoordeeld uurtarief",'4. Rekenhulp loonkosten aanvr.'!$4:$4,0),0),0),"Vast tarief",IF(LEFT(F137,8)="Bijdrage",VLOOKUP($F137,Tb_KostenTypen[],MATCH(Lijsten!$P$1,Tb_KostenTypen[#Headers],0),0),VLOOKUP($G137,Lijsten!L:P,MATCH(Lijsten!$P$1,Kop_Tarief_Vast,0),0))),""),"")</f>
        <v/>
      </c>
      <c r="L137" s="358"/>
      <c r="M137" s="358"/>
      <c r="N137" s="313"/>
      <c r="O137" s="313"/>
      <c r="P137" s="374" t="str">
        <f t="shared" si="9"/>
        <v/>
      </c>
      <c r="Q137" s="314" t="str">
        <f t="shared" si="10"/>
        <v/>
      </c>
      <c r="R137" s="314" t="str" cm="1">
        <f t="array" aca="1" ref="R137" ca="1">_xlfn.IFNA(_xlfn.IFS(X137="Dit kostentype hoeft u niet op te geven. Hiervoor wordt een forfait berekend.","",AND(J137&lt;&gt;"",H137="Vast tarief",F137="Vergoeding"),SUM(J137)*FLOOR(SUM(L137),0.0001),AND(J137&lt;&gt;"",OR(H137="Uurtarief",H137="Vast tarief")),SUM(J137)*FLOOR(SUM(L137),0.01),AND(N137&lt;&gt;"",H137="-"),FLOOR(SUM(N137),0.01)),"")</f>
        <v/>
      </c>
      <c r="S137" s="314" t="str" cm="1">
        <f t="array" aca="1" ref="S137" ca="1">_xlfn.IFNA(_xlfn.IFS(X137="Dit kostentype hoeft u niet op te geven. Hiervoor wordt een forfait berekend.","",AND(K137&lt;&gt;"",M137&lt;&gt;"",H137="Vast tarief",F137="Vergoeding"),SUM(K137)*FLOOR(SUM(M137),0.0001),AND(K137&lt;&gt;"",M137&lt;&gt;"",OR(H137="Uurtarief",H137="Vast tarief")),SUM(K137)*FLOOR(SUM(M137),0.01),AND(O137&lt;&gt;"",H137="-"),FLOOR(SUM(O137),0.01)),"")</f>
        <v/>
      </c>
      <c r="T137" s="314" t="str">
        <f t="shared" ca="1" si="11"/>
        <v/>
      </c>
      <c r="U137" s="314" t="str" cm="1">
        <f t="array" aca="1" ref="U137" ca="1">IFERROR(_xlfn.IFS(OR(F137="",LEFT(Methode_Keuze,4)="Geen",Methode_Keuze=""),"",AND(R137&lt;&gt;"",F137&lt;&gt;"Arbeidskosten"),R137*VLOOKUP(F137,Tb_ProjectKosten[],MATCH(Tb_ProjectKosten[[#Headers],[Forfait_Percentage]],Tb_ProjectKosten[#Headers],0),0),AND(F137="Arbeidskosten",G137&lt;&gt;""),IFERROR(R137*VLOOKUP(G137,Tb_KostenTypen[],3,0)*VLOOKUP(F137,Tb_ProjectKosten[],MATCH(Tb_ProjectKosten[[#Headers],[Forfait_Percentage]],Tb_ProjectKosten[#Headers],0),0),""),R137 &lt;=0,0),"")</f>
        <v/>
      </c>
      <c r="V137" s="314" t="str" cm="1">
        <f t="array" aca="1" ref="V137" ca="1">IFERROR(_xlfn.IFS(OR(F137="",LEFT(Methode_Keuze,4)="Geen",Methode_Keuze=""),"",AND(S137&lt;&gt;"",F137&lt;&gt;"Arbeidskosten"),S137*VLOOKUP(F137,Tb_ProjectKosten[],MATCH(Tb_ProjectKosten[[#Headers],[Forfait_Percentage]],Tb_ProjectKosten[#Headers],0),0),AND(F137="Arbeidskosten",G137&lt;&gt;""),IFERROR(S137*VLOOKUP(G137,Tb_KostenTypen[],3,0)*VLOOKUP(F137,Tb_ProjectKosten[],MATCH(Tb_ProjectKosten[[#Headers],[Forfait_Percentage]],Tb_ProjectKosten[#Headers],0),0),""),S137 &lt;=0,0),"")</f>
        <v/>
      </c>
      <c r="W137" s="314" t="str">
        <f t="shared" ca="1" si="12"/>
        <v/>
      </c>
      <c r="X137" s="376" t="str">
        <f>IFERROR(VLOOKUP(F137,Tb_ProjectKosten[#All],11,0),"")</f>
        <v/>
      </c>
      <c r="Y137" s="315"/>
    </row>
    <row r="138" spans="1:25" x14ac:dyDescent="0.25">
      <c r="A138" s="309">
        <f>MAX($A$5:A137)+1</f>
        <v>133</v>
      </c>
      <c r="B138" s="296"/>
      <c r="C138" s="296"/>
      <c r="D138" s="296"/>
      <c r="E138" s="296"/>
      <c r="F138" s="296"/>
      <c r="G138" s="327"/>
      <c r="H138" s="310" t="str">
        <f ca="1">IFERROR(IF(VLOOKUP(F138,Kostentypen!$A$3:$E$21,3,0)=0,"",IF(OR(F138="Arbeidskosten",F138="Vergoeding"),VLOOKUP(G138,Tb_KostenTypen[],2,0),VLOOKUP(F138,Kostentypen!$A$3:$E$20,3,0))),"")</f>
        <v/>
      </c>
      <c r="I138" s="311"/>
      <c r="J138" s="312" t="str" cm="1">
        <f t="array" ref="J138">_xlfn.IFNA(IF(INDEX(Tb_KostenOpties[],MATCH($F138,Tb_KostenOpties[KostenOptie],0),IFERROR(MATCH(Methode_Keuze,Tb_KostenOpties[#Headers],0),2))=1,_xlfn.SWITCH($H138,"Uurtarief",IF(OR(AND(RIGHT($F138,3)="IKS",VLOOKUP($I138,Loonkosten,2,0)="Ja"),AND(RIGHT($F138,3)&lt;&gt;"IKS",VLOOKUP($I138,Loonkosten,2,0)="Nee")), VLOOKUP($I138,Loonkosten,MATCH("Opgegeven uurtarief",'4. Rekenhulp loonkosten aanvr.'!$4:$4,0)),0),"Vast tarief",IF(LEFT(F138,8)="Bijdrage",VLOOKUP($F138,Tb_KostenTypen[],MATCH(Lijsten!$P$1,Tb_KostenTypen[#Headers],0),0),VLOOKUP($G138,Lijsten!L:P,MATCH(Lijsten!$P$1,Kop_Tarief_Vast,0),0))),""),"")</f>
        <v/>
      </c>
      <c r="K138" s="312" t="str" cm="1">
        <f t="array" ref="K138">_xlfn.IFNA(IF(INDEX(Tb_KostenOpties[],MATCH($F138,Tb_KostenOpties[KostenOptie],0),IFERROR(MATCH(Methode_Keuze,Tb_KostenOpties[#Headers],0),2))=1,_xlfn.SWITCH($H138,"Uurtarief",IF(OR(AND(RIGHT($F138,3)="IKS",VLOOKUP($I138,Loonkosten,2,0)="Ja"),AND(RIGHT($F138,3)&lt;&gt;"IKS",VLOOKUP($I138,Loonkosten,2,0)="Nee")), VLOOKUP($I138,Loonkosten,MATCH("Beoordeeld uurtarief",'4. Rekenhulp loonkosten aanvr.'!$4:$4,0),0),0),"Vast tarief",IF(LEFT(F138,8)="Bijdrage",VLOOKUP($F138,Tb_KostenTypen[],MATCH(Lijsten!$P$1,Tb_KostenTypen[#Headers],0),0),VLOOKUP($G138,Lijsten!L:P,MATCH(Lijsten!$P$1,Kop_Tarief_Vast,0),0))),""),"")</f>
        <v/>
      </c>
      <c r="L138" s="358"/>
      <c r="M138" s="358"/>
      <c r="N138" s="313"/>
      <c r="O138" s="313"/>
      <c r="P138" s="374" t="str">
        <f t="shared" si="9"/>
        <v/>
      </c>
      <c r="Q138" s="314" t="str">
        <f t="shared" si="10"/>
        <v/>
      </c>
      <c r="R138" s="314" t="str" cm="1">
        <f t="array" aca="1" ref="R138" ca="1">_xlfn.IFNA(_xlfn.IFS(X138="Dit kostentype hoeft u niet op te geven. Hiervoor wordt een forfait berekend.","",AND(J138&lt;&gt;"",H138="Vast tarief",F138="Vergoeding"),SUM(J138)*FLOOR(SUM(L138),0.0001),AND(J138&lt;&gt;"",OR(H138="Uurtarief",H138="Vast tarief")),SUM(J138)*FLOOR(SUM(L138),0.01),AND(N138&lt;&gt;"",H138="-"),FLOOR(SUM(N138),0.01)),"")</f>
        <v/>
      </c>
      <c r="S138" s="314" t="str" cm="1">
        <f t="array" aca="1" ref="S138" ca="1">_xlfn.IFNA(_xlfn.IFS(X138="Dit kostentype hoeft u niet op te geven. Hiervoor wordt een forfait berekend.","",AND(K138&lt;&gt;"",M138&lt;&gt;"",H138="Vast tarief",F138="Vergoeding"),SUM(K138)*FLOOR(SUM(M138),0.0001),AND(K138&lt;&gt;"",M138&lt;&gt;"",OR(H138="Uurtarief",H138="Vast tarief")),SUM(K138)*FLOOR(SUM(M138),0.01),AND(O138&lt;&gt;"",H138="-"),FLOOR(SUM(O138),0.01)),"")</f>
        <v/>
      </c>
      <c r="T138" s="314" t="str">
        <f t="shared" ca="1" si="11"/>
        <v/>
      </c>
      <c r="U138" s="314" t="str" cm="1">
        <f t="array" aca="1" ref="U138" ca="1">IFERROR(_xlfn.IFS(OR(F138="",LEFT(Methode_Keuze,4)="Geen",Methode_Keuze=""),"",AND(R138&lt;&gt;"",F138&lt;&gt;"Arbeidskosten"),R138*VLOOKUP(F138,Tb_ProjectKosten[],MATCH(Tb_ProjectKosten[[#Headers],[Forfait_Percentage]],Tb_ProjectKosten[#Headers],0),0),AND(F138="Arbeidskosten",G138&lt;&gt;""),IFERROR(R138*VLOOKUP(G138,Tb_KostenTypen[],3,0)*VLOOKUP(F138,Tb_ProjectKosten[],MATCH(Tb_ProjectKosten[[#Headers],[Forfait_Percentage]],Tb_ProjectKosten[#Headers],0),0),""),R138 &lt;=0,0),"")</f>
        <v/>
      </c>
      <c r="V138" s="314" t="str" cm="1">
        <f t="array" aca="1" ref="V138" ca="1">IFERROR(_xlfn.IFS(OR(F138="",LEFT(Methode_Keuze,4)="Geen",Methode_Keuze=""),"",AND(S138&lt;&gt;"",F138&lt;&gt;"Arbeidskosten"),S138*VLOOKUP(F138,Tb_ProjectKosten[],MATCH(Tb_ProjectKosten[[#Headers],[Forfait_Percentage]],Tb_ProjectKosten[#Headers],0),0),AND(F138="Arbeidskosten",G138&lt;&gt;""),IFERROR(S138*VLOOKUP(G138,Tb_KostenTypen[],3,0)*VLOOKUP(F138,Tb_ProjectKosten[],MATCH(Tb_ProjectKosten[[#Headers],[Forfait_Percentage]],Tb_ProjectKosten[#Headers],0),0),""),S138 &lt;=0,0),"")</f>
        <v/>
      </c>
      <c r="W138" s="314" t="str">
        <f t="shared" ca="1" si="12"/>
        <v/>
      </c>
      <c r="X138" s="376" t="str">
        <f>IFERROR(VLOOKUP(F138,Tb_ProjectKosten[#All],11,0),"")</f>
        <v/>
      </c>
      <c r="Y138" s="315"/>
    </row>
    <row r="139" spans="1:25" x14ac:dyDescent="0.25">
      <c r="A139" s="309">
        <f>MAX($A$5:A138)+1</f>
        <v>134</v>
      </c>
      <c r="B139" s="296"/>
      <c r="C139" s="296"/>
      <c r="D139" s="296"/>
      <c r="E139" s="296"/>
      <c r="F139" s="296"/>
      <c r="G139" s="327"/>
      <c r="H139" s="310" t="str">
        <f ca="1">IFERROR(IF(VLOOKUP(F139,Kostentypen!$A$3:$E$21,3,0)=0,"",IF(OR(F139="Arbeidskosten",F139="Vergoeding"),VLOOKUP(G139,Tb_KostenTypen[],2,0),VLOOKUP(F139,Kostentypen!$A$3:$E$20,3,0))),"")</f>
        <v/>
      </c>
      <c r="I139" s="311"/>
      <c r="J139" s="312" t="str" cm="1">
        <f t="array" ref="J139">_xlfn.IFNA(IF(INDEX(Tb_KostenOpties[],MATCH($F139,Tb_KostenOpties[KostenOptie],0),IFERROR(MATCH(Methode_Keuze,Tb_KostenOpties[#Headers],0),2))=1,_xlfn.SWITCH($H139,"Uurtarief",IF(OR(AND(RIGHT($F139,3)="IKS",VLOOKUP($I139,Loonkosten,2,0)="Ja"),AND(RIGHT($F139,3)&lt;&gt;"IKS",VLOOKUP($I139,Loonkosten,2,0)="Nee")), VLOOKUP($I139,Loonkosten,MATCH("Opgegeven uurtarief",'4. Rekenhulp loonkosten aanvr.'!$4:$4,0)),0),"Vast tarief",IF(LEFT(F139,8)="Bijdrage",VLOOKUP($F139,Tb_KostenTypen[],MATCH(Lijsten!$P$1,Tb_KostenTypen[#Headers],0),0),VLOOKUP($G139,Lijsten!L:P,MATCH(Lijsten!$P$1,Kop_Tarief_Vast,0),0))),""),"")</f>
        <v/>
      </c>
      <c r="K139" s="312" t="str" cm="1">
        <f t="array" ref="K139">_xlfn.IFNA(IF(INDEX(Tb_KostenOpties[],MATCH($F139,Tb_KostenOpties[KostenOptie],0),IFERROR(MATCH(Methode_Keuze,Tb_KostenOpties[#Headers],0),2))=1,_xlfn.SWITCH($H139,"Uurtarief",IF(OR(AND(RIGHT($F139,3)="IKS",VLOOKUP($I139,Loonkosten,2,0)="Ja"),AND(RIGHT($F139,3)&lt;&gt;"IKS",VLOOKUP($I139,Loonkosten,2,0)="Nee")), VLOOKUP($I139,Loonkosten,MATCH("Beoordeeld uurtarief",'4. Rekenhulp loonkosten aanvr.'!$4:$4,0),0),0),"Vast tarief",IF(LEFT(F139,8)="Bijdrage",VLOOKUP($F139,Tb_KostenTypen[],MATCH(Lijsten!$P$1,Tb_KostenTypen[#Headers],0),0),VLOOKUP($G139,Lijsten!L:P,MATCH(Lijsten!$P$1,Kop_Tarief_Vast,0),0))),""),"")</f>
        <v/>
      </c>
      <c r="L139" s="358"/>
      <c r="M139" s="358"/>
      <c r="N139" s="313"/>
      <c r="O139" s="313"/>
      <c r="P139" s="374" t="str">
        <f t="shared" si="9"/>
        <v/>
      </c>
      <c r="Q139" s="314" t="str">
        <f t="shared" si="10"/>
        <v/>
      </c>
      <c r="R139" s="314" t="str" cm="1">
        <f t="array" aca="1" ref="R139" ca="1">_xlfn.IFNA(_xlfn.IFS(X139="Dit kostentype hoeft u niet op te geven. Hiervoor wordt een forfait berekend.","",AND(J139&lt;&gt;"",H139="Vast tarief",F139="Vergoeding"),SUM(J139)*FLOOR(SUM(L139),0.0001),AND(J139&lt;&gt;"",OR(H139="Uurtarief",H139="Vast tarief")),SUM(J139)*FLOOR(SUM(L139),0.01),AND(N139&lt;&gt;"",H139="-"),FLOOR(SUM(N139),0.01)),"")</f>
        <v/>
      </c>
      <c r="S139" s="314" t="str" cm="1">
        <f t="array" aca="1" ref="S139" ca="1">_xlfn.IFNA(_xlfn.IFS(X139="Dit kostentype hoeft u niet op te geven. Hiervoor wordt een forfait berekend.","",AND(K139&lt;&gt;"",M139&lt;&gt;"",H139="Vast tarief",F139="Vergoeding"),SUM(K139)*FLOOR(SUM(M139),0.0001),AND(K139&lt;&gt;"",M139&lt;&gt;"",OR(H139="Uurtarief",H139="Vast tarief")),SUM(K139)*FLOOR(SUM(M139),0.01),AND(O139&lt;&gt;"",H139="-"),FLOOR(SUM(O139),0.01)),"")</f>
        <v/>
      </c>
      <c r="T139" s="314" t="str">
        <f t="shared" ca="1" si="11"/>
        <v/>
      </c>
      <c r="U139" s="314" t="str" cm="1">
        <f t="array" aca="1" ref="U139" ca="1">IFERROR(_xlfn.IFS(OR(F139="",LEFT(Methode_Keuze,4)="Geen",Methode_Keuze=""),"",AND(R139&lt;&gt;"",F139&lt;&gt;"Arbeidskosten"),R139*VLOOKUP(F139,Tb_ProjectKosten[],MATCH(Tb_ProjectKosten[[#Headers],[Forfait_Percentage]],Tb_ProjectKosten[#Headers],0),0),AND(F139="Arbeidskosten",G139&lt;&gt;""),IFERROR(R139*VLOOKUP(G139,Tb_KostenTypen[],3,0)*VLOOKUP(F139,Tb_ProjectKosten[],MATCH(Tb_ProjectKosten[[#Headers],[Forfait_Percentage]],Tb_ProjectKosten[#Headers],0),0),""),R139 &lt;=0,0),"")</f>
        <v/>
      </c>
      <c r="V139" s="314" t="str" cm="1">
        <f t="array" aca="1" ref="V139" ca="1">IFERROR(_xlfn.IFS(OR(F139="",LEFT(Methode_Keuze,4)="Geen",Methode_Keuze=""),"",AND(S139&lt;&gt;"",F139&lt;&gt;"Arbeidskosten"),S139*VLOOKUP(F139,Tb_ProjectKosten[],MATCH(Tb_ProjectKosten[[#Headers],[Forfait_Percentage]],Tb_ProjectKosten[#Headers],0),0),AND(F139="Arbeidskosten",G139&lt;&gt;""),IFERROR(S139*VLOOKUP(G139,Tb_KostenTypen[],3,0)*VLOOKUP(F139,Tb_ProjectKosten[],MATCH(Tb_ProjectKosten[[#Headers],[Forfait_Percentage]],Tb_ProjectKosten[#Headers],0),0),""),S139 &lt;=0,0),"")</f>
        <v/>
      </c>
      <c r="W139" s="314" t="str">
        <f t="shared" ca="1" si="12"/>
        <v/>
      </c>
      <c r="X139" s="376" t="str">
        <f>IFERROR(VLOOKUP(F139,Tb_ProjectKosten[#All],11,0),"")</f>
        <v/>
      </c>
      <c r="Y139" s="315"/>
    </row>
    <row r="140" spans="1:25" x14ac:dyDescent="0.25">
      <c r="A140" s="309">
        <f>MAX($A$5:A139)+1</f>
        <v>135</v>
      </c>
      <c r="B140" s="296"/>
      <c r="C140" s="296"/>
      <c r="D140" s="296"/>
      <c r="E140" s="296"/>
      <c r="F140" s="296"/>
      <c r="G140" s="327"/>
      <c r="H140" s="310" t="str">
        <f ca="1">IFERROR(IF(VLOOKUP(F140,Kostentypen!$A$3:$E$21,3,0)=0,"",IF(OR(F140="Arbeidskosten",F140="Vergoeding"),VLOOKUP(G140,Tb_KostenTypen[],2,0),VLOOKUP(F140,Kostentypen!$A$3:$E$20,3,0))),"")</f>
        <v/>
      </c>
      <c r="I140" s="311"/>
      <c r="J140" s="312" t="str" cm="1">
        <f t="array" ref="J140">_xlfn.IFNA(IF(INDEX(Tb_KostenOpties[],MATCH($F140,Tb_KostenOpties[KostenOptie],0),IFERROR(MATCH(Methode_Keuze,Tb_KostenOpties[#Headers],0),2))=1,_xlfn.SWITCH($H140,"Uurtarief",IF(OR(AND(RIGHT($F140,3)="IKS",VLOOKUP($I140,Loonkosten,2,0)="Ja"),AND(RIGHT($F140,3)&lt;&gt;"IKS",VLOOKUP($I140,Loonkosten,2,0)="Nee")), VLOOKUP($I140,Loonkosten,MATCH("Opgegeven uurtarief",'4. Rekenhulp loonkosten aanvr.'!$4:$4,0)),0),"Vast tarief",IF(LEFT(F140,8)="Bijdrage",VLOOKUP($F140,Tb_KostenTypen[],MATCH(Lijsten!$P$1,Tb_KostenTypen[#Headers],0),0),VLOOKUP($G140,Lijsten!L:P,MATCH(Lijsten!$P$1,Kop_Tarief_Vast,0),0))),""),"")</f>
        <v/>
      </c>
      <c r="K140" s="312" t="str" cm="1">
        <f t="array" ref="K140">_xlfn.IFNA(IF(INDEX(Tb_KostenOpties[],MATCH($F140,Tb_KostenOpties[KostenOptie],0),IFERROR(MATCH(Methode_Keuze,Tb_KostenOpties[#Headers],0),2))=1,_xlfn.SWITCH($H140,"Uurtarief",IF(OR(AND(RIGHT($F140,3)="IKS",VLOOKUP($I140,Loonkosten,2,0)="Ja"),AND(RIGHT($F140,3)&lt;&gt;"IKS",VLOOKUP($I140,Loonkosten,2,0)="Nee")), VLOOKUP($I140,Loonkosten,MATCH("Beoordeeld uurtarief",'4. Rekenhulp loonkosten aanvr.'!$4:$4,0),0),0),"Vast tarief",IF(LEFT(F140,8)="Bijdrage",VLOOKUP($F140,Tb_KostenTypen[],MATCH(Lijsten!$P$1,Tb_KostenTypen[#Headers],0),0),VLOOKUP($G140,Lijsten!L:P,MATCH(Lijsten!$P$1,Kop_Tarief_Vast,0),0))),""),"")</f>
        <v/>
      </c>
      <c r="L140" s="358"/>
      <c r="M140" s="358"/>
      <c r="N140" s="313"/>
      <c r="O140" s="313"/>
      <c r="P140" s="374" t="str">
        <f t="shared" si="9"/>
        <v/>
      </c>
      <c r="Q140" s="314" t="str">
        <f t="shared" si="10"/>
        <v/>
      </c>
      <c r="R140" s="314" t="str" cm="1">
        <f t="array" aca="1" ref="R140" ca="1">_xlfn.IFNA(_xlfn.IFS(X140="Dit kostentype hoeft u niet op te geven. Hiervoor wordt een forfait berekend.","",AND(J140&lt;&gt;"",H140="Vast tarief",F140="Vergoeding"),SUM(J140)*FLOOR(SUM(L140),0.0001),AND(J140&lt;&gt;"",OR(H140="Uurtarief",H140="Vast tarief")),SUM(J140)*FLOOR(SUM(L140),0.01),AND(N140&lt;&gt;"",H140="-"),FLOOR(SUM(N140),0.01)),"")</f>
        <v/>
      </c>
      <c r="S140" s="314" t="str" cm="1">
        <f t="array" aca="1" ref="S140" ca="1">_xlfn.IFNA(_xlfn.IFS(X140="Dit kostentype hoeft u niet op te geven. Hiervoor wordt een forfait berekend.","",AND(K140&lt;&gt;"",M140&lt;&gt;"",H140="Vast tarief",F140="Vergoeding"),SUM(K140)*FLOOR(SUM(M140),0.0001),AND(K140&lt;&gt;"",M140&lt;&gt;"",OR(H140="Uurtarief",H140="Vast tarief")),SUM(K140)*FLOOR(SUM(M140),0.01),AND(O140&lt;&gt;"",H140="-"),FLOOR(SUM(O140),0.01)),"")</f>
        <v/>
      </c>
      <c r="T140" s="314" t="str">
        <f t="shared" ca="1" si="11"/>
        <v/>
      </c>
      <c r="U140" s="314" t="str" cm="1">
        <f t="array" aca="1" ref="U140" ca="1">IFERROR(_xlfn.IFS(OR(F140="",LEFT(Methode_Keuze,4)="Geen",Methode_Keuze=""),"",AND(R140&lt;&gt;"",F140&lt;&gt;"Arbeidskosten"),R140*VLOOKUP(F140,Tb_ProjectKosten[],MATCH(Tb_ProjectKosten[[#Headers],[Forfait_Percentage]],Tb_ProjectKosten[#Headers],0),0),AND(F140="Arbeidskosten",G140&lt;&gt;""),IFERROR(R140*VLOOKUP(G140,Tb_KostenTypen[],3,0)*VLOOKUP(F140,Tb_ProjectKosten[],MATCH(Tb_ProjectKosten[[#Headers],[Forfait_Percentage]],Tb_ProjectKosten[#Headers],0),0),""),R140 &lt;=0,0),"")</f>
        <v/>
      </c>
      <c r="V140" s="314" t="str" cm="1">
        <f t="array" aca="1" ref="V140" ca="1">IFERROR(_xlfn.IFS(OR(F140="",LEFT(Methode_Keuze,4)="Geen",Methode_Keuze=""),"",AND(S140&lt;&gt;"",F140&lt;&gt;"Arbeidskosten"),S140*VLOOKUP(F140,Tb_ProjectKosten[],MATCH(Tb_ProjectKosten[[#Headers],[Forfait_Percentage]],Tb_ProjectKosten[#Headers],0),0),AND(F140="Arbeidskosten",G140&lt;&gt;""),IFERROR(S140*VLOOKUP(G140,Tb_KostenTypen[],3,0)*VLOOKUP(F140,Tb_ProjectKosten[],MATCH(Tb_ProjectKosten[[#Headers],[Forfait_Percentage]],Tb_ProjectKosten[#Headers],0),0),""),S140 &lt;=0,0),"")</f>
        <v/>
      </c>
      <c r="W140" s="314" t="str">
        <f t="shared" ca="1" si="12"/>
        <v/>
      </c>
      <c r="X140" s="376" t="str">
        <f>IFERROR(VLOOKUP(F140,Tb_ProjectKosten[#All],11,0),"")</f>
        <v/>
      </c>
      <c r="Y140" s="315"/>
    </row>
    <row r="141" spans="1:25" x14ac:dyDescent="0.25">
      <c r="A141" s="309">
        <f>MAX($A$5:A140)+1</f>
        <v>136</v>
      </c>
      <c r="B141" s="296"/>
      <c r="C141" s="296"/>
      <c r="D141" s="296"/>
      <c r="E141" s="296"/>
      <c r="F141" s="296"/>
      <c r="G141" s="327"/>
      <c r="H141" s="310" t="str">
        <f ca="1">IFERROR(IF(VLOOKUP(F141,Kostentypen!$A$3:$E$21,3,0)=0,"",IF(OR(F141="Arbeidskosten",F141="Vergoeding"),VLOOKUP(G141,Tb_KostenTypen[],2,0),VLOOKUP(F141,Kostentypen!$A$3:$E$20,3,0))),"")</f>
        <v/>
      </c>
      <c r="I141" s="311"/>
      <c r="J141" s="312" t="str" cm="1">
        <f t="array" ref="J141">_xlfn.IFNA(IF(INDEX(Tb_KostenOpties[],MATCH($F141,Tb_KostenOpties[KostenOptie],0),IFERROR(MATCH(Methode_Keuze,Tb_KostenOpties[#Headers],0),2))=1,_xlfn.SWITCH($H141,"Uurtarief",IF(OR(AND(RIGHT($F141,3)="IKS",VLOOKUP($I141,Loonkosten,2,0)="Ja"),AND(RIGHT($F141,3)&lt;&gt;"IKS",VLOOKUP($I141,Loonkosten,2,0)="Nee")), VLOOKUP($I141,Loonkosten,MATCH("Opgegeven uurtarief",'4. Rekenhulp loonkosten aanvr.'!$4:$4,0)),0),"Vast tarief",IF(LEFT(F141,8)="Bijdrage",VLOOKUP($F141,Tb_KostenTypen[],MATCH(Lijsten!$P$1,Tb_KostenTypen[#Headers],0),0),VLOOKUP($G141,Lijsten!L:P,MATCH(Lijsten!$P$1,Kop_Tarief_Vast,0),0))),""),"")</f>
        <v/>
      </c>
      <c r="K141" s="312" t="str" cm="1">
        <f t="array" ref="K141">_xlfn.IFNA(IF(INDEX(Tb_KostenOpties[],MATCH($F141,Tb_KostenOpties[KostenOptie],0),IFERROR(MATCH(Methode_Keuze,Tb_KostenOpties[#Headers],0),2))=1,_xlfn.SWITCH($H141,"Uurtarief",IF(OR(AND(RIGHT($F141,3)="IKS",VLOOKUP($I141,Loonkosten,2,0)="Ja"),AND(RIGHT($F141,3)&lt;&gt;"IKS",VLOOKUP($I141,Loonkosten,2,0)="Nee")), VLOOKUP($I141,Loonkosten,MATCH("Beoordeeld uurtarief",'4. Rekenhulp loonkosten aanvr.'!$4:$4,0),0),0),"Vast tarief",IF(LEFT(F141,8)="Bijdrage",VLOOKUP($F141,Tb_KostenTypen[],MATCH(Lijsten!$P$1,Tb_KostenTypen[#Headers],0),0),VLOOKUP($G141,Lijsten!L:P,MATCH(Lijsten!$P$1,Kop_Tarief_Vast,0),0))),""),"")</f>
        <v/>
      </c>
      <c r="L141" s="358"/>
      <c r="M141" s="358"/>
      <c r="N141" s="313"/>
      <c r="O141" s="313"/>
      <c r="P141" s="374" t="str">
        <f t="shared" si="9"/>
        <v/>
      </c>
      <c r="Q141" s="314" t="str">
        <f t="shared" si="10"/>
        <v/>
      </c>
      <c r="R141" s="314" t="str" cm="1">
        <f t="array" aca="1" ref="R141" ca="1">_xlfn.IFNA(_xlfn.IFS(X141="Dit kostentype hoeft u niet op te geven. Hiervoor wordt een forfait berekend.","",AND(J141&lt;&gt;"",H141="Vast tarief",F141="Vergoeding"),SUM(J141)*FLOOR(SUM(L141),0.0001),AND(J141&lt;&gt;"",OR(H141="Uurtarief",H141="Vast tarief")),SUM(J141)*FLOOR(SUM(L141),0.01),AND(N141&lt;&gt;"",H141="-"),FLOOR(SUM(N141),0.01)),"")</f>
        <v/>
      </c>
      <c r="S141" s="314" t="str" cm="1">
        <f t="array" aca="1" ref="S141" ca="1">_xlfn.IFNA(_xlfn.IFS(X141="Dit kostentype hoeft u niet op te geven. Hiervoor wordt een forfait berekend.","",AND(K141&lt;&gt;"",M141&lt;&gt;"",H141="Vast tarief",F141="Vergoeding"),SUM(K141)*FLOOR(SUM(M141),0.0001),AND(K141&lt;&gt;"",M141&lt;&gt;"",OR(H141="Uurtarief",H141="Vast tarief")),SUM(K141)*FLOOR(SUM(M141),0.01),AND(O141&lt;&gt;"",H141="-"),FLOOR(SUM(O141),0.01)),"")</f>
        <v/>
      </c>
      <c r="T141" s="314" t="str">
        <f t="shared" ca="1" si="11"/>
        <v/>
      </c>
      <c r="U141" s="314" t="str" cm="1">
        <f t="array" aca="1" ref="U141" ca="1">IFERROR(_xlfn.IFS(OR(F141="",LEFT(Methode_Keuze,4)="Geen",Methode_Keuze=""),"",AND(R141&lt;&gt;"",F141&lt;&gt;"Arbeidskosten"),R141*VLOOKUP(F141,Tb_ProjectKosten[],MATCH(Tb_ProjectKosten[[#Headers],[Forfait_Percentage]],Tb_ProjectKosten[#Headers],0),0),AND(F141="Arbeidskosten",G141&lt;&gt;""),IFERROR(R141*VLOOKUP(G141,Tb_KostenTypen[],3,0)*VLOOKUP(F141,Tb_ProjectKosten[],MATCH(Tb_ProjectKosten[[#Headers],[Forfait_Percentage]],Tb_ProjectKosten[#Headers],0),0),""),R141 &lt;=0,0),"")</f>
        <v/>
      </c>
      <c r="V141" s="314" t="str" cm="1">
        <f t="array" aca="1" ref="V141" ca="1">IFERROR(_xlfn.IFS(OR(F141="",LEFT(Methode_Keuze,4)="Geen",Methode_Keuze=""),"",AND(S141&lt;&gt;"",F141&lt;&gt;"Arbeidskosten"),S141*VLOOKUP(F141,Tb_ProjectKosten[],MATCH(Tb_ProjectKosten[[#Headers],[Forfait_Percentage]],Tb_ProjectKosten[#Headers],0),0),AND(F141="Arbeidskosten",G141&lt;&gt;""),IFERROR(S141*VLOOKUP(G141,Tb_KostenTypen[],3,0)*VLOOKUP(F141,Tb_ProjectKosten[],MATCH(Tb_ProjectKosten[[#Headers],[Forfait_Percentage]],Tb_ProjectKosten[#Headers],0),0),""),S141 &lt;=0,0),"")</f>
        <v/>
      </c>
      <c r="W141" s="314" t="str">
        <f t="shared" ca="1" si="12"/>
        <v/>
      </c>
      <c r="X141" s="376" t="str">
        <f>IFERROR(VLOOKUP(F141,Tb_ProjectKosten[#All],11,0),"")</f>
        <v/>
      </c>
      <c r="Y141" s="315"/>
    </row>
    <row r="142" spans="1:25" x14ac:dyDescent="0.25">
      <c r="A142" s="309">
        <f>MAX($A$5:A141)+1</f>
        <v>137</v>
      </c>
      <c r="B142" s="296"/>
      <c r="C142" s="296"/>
      <c r="D142" s="296"/>
      <c r="E142" s="296"/>
      <c r="F142" s="296"/>
      <c r="G142" s="327"/>
      <c r="H142" s="310" t="str">
        <f ca="1">IFERROR(IF(VLOOKUP(F142,Kostentypen!$A$3:$E$21,3,0)=0,"",IF(OR(F142="Arbeidskosten",F142="Vergoeding"),VLOOKUP(G142,Tb_KostenTypen[],2,0),VLOOKUP(F142,Kostentypen!$A$3:$E$20,3,0))),"")</f>
        <v/>
      </c>
      <c r="I142" s="311"/>
      <c r="J142" s="312" t="str" cm="1">
        <f t="array" ref="J142">_xlfn.IFNA(IF(INDEX(Tb_KostenOpties[],MATCH($F142,Tb_KostenOpties[KostenOptie],0),IFERROR(MATCH(Methode_Keuze,Tb_KostenOpties[#Headers],0),2))=1,_xlfn.SWITCH($H142,"Uurtarief",IF(OR(AND(RIGHT($F142,3)="IKS",VLOOKUP($I142,Loonkosten,2,0)="Ja"),AND(RIGHT($F142,3)&lt;&gt;"IKS",VLOOKUP($I142,Loonkosten,2,0)="Nee")), VLOOKUP($I142,Loonkosten,MATCH("Opgegeven uurtarief",'4. Rekenhulp loonkosten aanvr.'!$4:$4,0)),0),"Vast tarief",IF(LEFT(F142,8)="Bijdrage",VLOOKUP($F142,Tb_KostenTypen[],MATCH(Lijsten!$P$1,Tb_KostenTypen[#Headers],0),0),VLOOKUP($G142,Lijsten!L:P,MATCH(Lijsten!$P$1,Kop_Tarief_Vast,0),0))),""),"")</f>
        <v/>
      </c>
      <c r="K142" s="312" t="str" cm="1">
        <f t="array" ref="K142">_xlfn.IFNA(IF(INDEX(Tb_KostenOpties[],MATCH($F142,Tb_KostenOpties[KostenOptie],0),IFERROR(MATCH(Methode_Keuze,Tb_KostenOpties[#Headers],0),2))=1,_xlfn.SWITCH($H142,"Uurtarief",IF(OR(AND(RIGHT($F142,3)="IKS",VLOOKUP($I142,Loonkosten,2,0)="Ja"),AND(RIGHT($F142,3)&lt;&gt;"IKS",VLOOKUP($I142,Loonkosten,2,0)="Nee")), VLOOKUP($I142,Loonkosten,MATCH("Beoordeeld uurtarief",'4. Rekenhulp loonkosten aanvr.'!$4:$4,0),0),0),"Vast tarief",IF(LEFT(F142,8)="Bijdrage",VLOOKUP($F142,Tb_KostenTypen[],MATCH(Lijsten!$P$1,Tb_KostenTypen[#Headers],0),0),VLOOKUP($G142,Lijsten!L:P,MATCH(Lijsten!$P$1,Kop_Tarief_Vast,0),0))),""),"")</f>
        <v/>
      </c>
      <c r="L142" s="358"/>
      <c r="M142" s="358"/>
      <c r="N142" s="313"/>
      <c r="O142" s="313"/>
      <c r="P142" s="374" t="str">
        <f t="shared" si="9"/>
        <v/>
      </c>
      <c r="Q142" s="314" t="str">
        <f t="shared" si="10"/>
        <v/>
      </c>
      <c r="R142" s="314" t="str" cm="1">
        <f t="array" aca="1" ref="R142" ca="1">_xlfn.IFNA(_xlfn.IFS(X142="Dit kostentype hoeft u niet op te geven. Hiervoor wordt een forfait berekend.","",AND(J142&lt;&gt;"",H142="Vast tarief",F142="Vergoeding"),SUM(J142)*FLOOR(SUM(L142),0.0001),AND(J142&lt;&gt;"",OR(H142="Uurtarief",H142="Vast tarief")),SUM(J142)*FLOOR(SUM(L142),0.01),AND(N142&lt;&gt;"",H142="-"),FLOOR(SUM(N142),0.01)),"")</f>
        <v/>
      </c>
      <c r="S142" s="314" t="str" cm="1">
        <f t="array" aca="1" ref="S142" ca="1">_xlfn.IFNA(_xlfn.IFS(X142="Dit kostentype hoeft u niet op te geven. Hiervoor wordt een forfait berekend.","",AND(K142&lt;&gt;"",M142&lt;&gt;"",H142="Vast tarief",F142="Vergoeding"),SUM(K142)*FLOOR(SUM(M142),0.0001),AND(K142&lt;&gt;"",M142&lt;&gt;"",OR(H142="Uurtarief",H142="Vast tarief")),SUM(K142)*FLOOR(SUM(M142),0.01),AND(O142&lt;&gt;"",H142="-"),FLOOR(SUM(O142),0.01)),"")</f>
        <v/>
      </c>
      <c r="T142" s="314" t="str">
        <f t="shared" ca="1" si="11"/>
        <v/>
      </c>
      <c r="U142" s="314" t="str" cm="1">
        <f t="array" aca="1" ref="U142" ca="1">IFERROR(_xlfn.IFS(OR(F142="",LEFT(Methode_Keuze,4)="Geen",Methode_Keuze=""),"",AND(R142&lt;&gt;"",F142&lt;&gt;"Arbeidskosten"),R142*VLOOKUP(F142,Tb_ProjectKosten[],MATCH(Tb_ProjectKosten[[#Headers],[Forfait_Percentage]],Tb_ProjectKosten[#Headers],0),0),AND(F142="Arbeidskosten",G142&lt;&gt;""),IFERROR(R142*VLOOKUP(G142,Tb_KostenTypen[],3,0)*VLOOKUP(F142,Tb_ProjectKosten[],MATCH(Tb_ProjectKosten[[#Headers],[Forfait_Percentage]],Tb_ProjectKosten[#Headers],0),0),""),R142 &lt;=0,0),"")</f>
        <v/>
      </c>
      <c r="V142" s="314" t="str" cm="1">
        <f t="array" aca="1" ref="V142" ca="1">IFERROR(_xlfn.IFS(OR(F142="",LEFT(Methode_Keuze,4)="Geen",Methode_Keuze=""),"",AND(S142&lt;&gt;"",F142&lt;&gt;"Arbeidskosten"),S142*VLOOKUP(F142,Tb_ProjectKosten[],MATCH(Tb_ProjectKosten[[#Headers],[Forfait_Percentage]],Tb_ProjectKosten[#Headers],0),0),AND(F142="Arbeidskosten",G142&lt;&gt;""),IFERROR(S142*VLOOKUP(G142,Tb_KostenTypen[],3,0)*VLOOKUP(F142,Tb_ProjectKosten[],MATCH(Tb_ProjectKosten[[#Headers],[Forfait_Percentage]],Tb_ProjectKosten[#Headers],0),0),""),S142 &lt;=0,0),"")</f>
        <v/>
      </c>
      <c r="W142" s="314" t="str">
        <f t="shared" ca="1" si="12"/>
        <v/>
      </c>
      <c r="X142" s="376" t="str">
        <f>IFERROR(VLOOKUP(F142,Tb_ProjectKosten[#All],11,0),"")</f>
        <v/>
      </c>
      <c r="Y142" s="315"/>
    </row>
    <row r="143" spans="1:25" x14ac:dyDescent="0.25">
      <c r="A143" s="309">
        <f>MAX($A$5:A142)+1</f>
        <v>138</v>
      </c>
      <c r="B143" s="296"/>
      <c r="C143" s="296"/>
      <c r="D143" s="296"/>
      <c r="E143" s="296"/>
      <c r="F143" s="296"/>
      <c r="G143" s="327"/>
      <c r="H143" s="310" t="str">
        <f ca="1">IFERROR(IF(VLOOKUP(F143,Kostentypen!$A$3:$E$21,3,0)=0,"",IF(OR(F143="Arbeidskosten",F143="Vergoeding"),VLOOKUP(G143,Tb_KostenTypen[],2,0),VLOOKUP(F143,Kostentypen!$A$3:$E$20,3,0))),"")</f>
        <v/>
      </c>
      <c r="I143" s="311"/>
      <c r="J143" s="312" t="str" cm="1">
        <f t="array" ref="J143">_xlfn.IFNA(IF(INDEX(Tb_KostenOpties[],MATCH($F143,Tb_KostenOpties[KostenOptie],0),IFERROR(MATCH(Methode_Keuze,Tb_KostenOpties[#Headers],0),2))=1,_xlfn.SWITCH($H143,"Uurtarief",IF(OR(AND(RIGHT($F143,3)="IKS",VLOOKUP($I143,Loonkosten,2,0)="Ja"),AND(RIGHT($F143,3)&lt;&gt;"IKS",VLOOKUP($I143,Loonkosten,2,0)="Nee")), VLOOKUP($I143,Loonkosten,MATCH("Opgegeven uurtarief",'4. Rekenhulp loonkosten aanvr.'!$4:$4,0)),0),"Vast tarief",IF(LEFT(F143,8)="Bijdrage",VLOOKUP($F143,Tb_KostenTypen[],MATCH(Lijsten!$P$1,Tb_KostenTypen[#Headers],0),0),VLOOKUP($G143,Lijsten!L:P,MATCH(Lijsten!$P$1,Kop_Tarief_Vast,0),0))),""),"")</f>
        <v/>
      </c>
      <c r="K143" s="312" t="str" cm="1">
        <f t="array" ref="K143">_xlfn.IFNA(IF(INDEX(Tb_KostenOpties[],MATCH($F143,Tb_KostenOpties[KostenOptie],0),IFERROR(MATCH(Methode_Keuze,Tb_KostenOpties[#Headers],0),2))=1,_xlfn.SWITCH($H143,"Uurtarief",IF(OR(AND(RIGHT($F143,3)="IKS",VLOOKUP($I143,Loonkosten,2,0)="Ja"),AND(RIGHT($F143,3)&lt;&gt;"IKS",VLOOKUP($I143,Loonkosten,2,0)="Nee")), VLOOKUP($I143,Loonkosten,MATCH("Beoordeeld uurtarief",'4. Rekenhulp loonkosten aanvr.'!$4:$4,0),0),0),"Vast tarief",IF(LEFT(F143,8)="Bijdrage",VLOOKUP($F143,Tb_KostenTypen[],MATCH(Lijsten!$P$1,Tb_KostenTypen[#Headers],0),0),VLOOKUP($G143,Lijsten!L:P,MATCH(Lijsten!$P$1,Kop_Tarief_Vast,0),0))),""),"")</f>
        <v/>
      </c>
      <c r="L143" s="358"/>
      <c r="M143" s="358"/>
      <c r="N143" s="313"/>
      <c r="O143" s="313"/>
      <c r="P143" s="374" t="str">
        <f t="shared" si="9"/>
        <v/>
      </c>
      <c r="Q143" s="314" t="str">
        <f t="shared" si="10"/>
        <v/>
      </c>
      <c r="R143" s="314" t="str" cm="1">
        <f t="array" aca="1" ref="R143" ca="1">_xlfn.IFNA(_xlfn.IFS(X143="Dit kostentype hoeft u niet op te geven. Hiervoor wordt een forfait berekend.","",AND(J143&lt;&gt;"",H143="Vast tarief",F143="Vergoeding"),SUM(J143)*FLOOR(SUM(L143),0.0001),AND(J143&lt;&gt;"",OR(H143="Uurtarief",H143="Vast tarief")),SUM(J143)*FLOOR(SUM(L143),0.01),AND(N143&lt;&gt;"",H143="-"),FLOOR(SUM(N143),0.01)),"")</f>
        <v/>
      </c>
      <c r="S143" s="314" t="str" cm="1">
        <f t="array" aca="1" ref="S143" ca="1">_xlfn.IFNA(_xlfn.IFS(X143="Dit kostentype hoeft u niet op te geven. Hiervoor wordt een forfait berekend.","",AND(K143&lt;&gt;"",M143&lt;&gt;"",H143="Vast tarief",F143="Vergoeding"),SUM(K143)*FLOOR(SUM(M143),0.0001),AND(K143&lt;&gt;"",M143&lt;&gt;"",OR(H143="Uurtarief",H143="Vast tarief")),SUM(K143)*FLOOR(SUM(M143),0.01),AND(O143&lt;&gt;"",H143="-"),FLOOR(SUM(O143),0.01)),"")</f>
        <v/>
      </c>
      <c r="T143" s="314" t="str">
        <f t="shared" ca="1" si="11"/>
        <v/>
      </c>
      <c r="U143" s="314" t="str" cm="1">
        <f t="array" aca="1" ref="U143" ca="1">IFERROR(_xlfn.IFS(OR(F143="",LEFT(Methode_Keuze,4)="Geen",Methode_Keuze=""),"",AND(R143&lt;&gt;"",F143&lt;&gt;"Arbeidskosten"),R143*VLOOKUP(F143,Tb_ProjectKosten[],MATCH(Tb_ProjectKosten[[#Headers],[Forfait_Percentage]],Tb_ProjectKosten[#Headers],0),0),AND(F143="Arbeidskosten",G143&lt;&gt;""),IFERROR(R143*VLOOKUP(G143,Tb_KostenTypen[],3,0)*VLOOKUP(F143,Tb_ProjectKosten[],MATCH(Tb_ProjectKosten[[#Headers],[Forfait_Percentage]],Tb_ProjectKosten[#Headers],0),0),""),R143 &lt;=0,0),"")</f>
        <v/>
      </c>
      <c r="V143" s="314" t="str" cm="1">
        <f t="array" aca="1" ref="V143" ca="1">IFERROR(_xlfn.IFS(OR(F143="",LEFT(Methode_Keuze,4)="Geen",Methode_Keuze=""),"",AND(S143&lt;&gt;"",F143&lt;&gt;"Arbeidskosten"),S143*VLOOKUP(F143,Tb_ProjectKosten[],MATCH(Tb_ProjectKosten[[#Headers],[Forfait_Percentage]],Tb_ProjectKosten[#Headers],0),0),AND(F143="Arbeidskosten",G143&lt;&gt;""),IFERROR(S143*VLOOKUP(G143,Tb_KostenTypen[],3,0)*VLOOKUP(F143,Tb_ProjectKosten[],MATCH(Tb_ProjectKosten[[#Headers],[Forfait_Percentage]],Tb_ProjectKosten[#Headers],0),0),""),S143 &lt;=0,0),"")</f>
        <v/>
      </c>
      <c r="W143" s="314" t="str">
        <f t="shared" ca="1" si="12"/>
        <v/>
      </c>
      <c r="X143" s="376" t="str">
        <f>IFERROR(VLOOKUP(F143,Tb_ProjectKosten[#All],11,0),"")</f>
        <v/>
      </c>
      <c r="Y143" s="315"/>
    </row>
    <row r="144" spans="1:25" x14ac:dyDescent="0.25">
      <c r="A144" s="309">
        <f>MAX($A$5:A143)+1</f>
        <v>139</v>
      </c>
      <c r="B144" s="296"/>
      <c r="C144" s="296"/>
      <c r="D144" s="296"/>
      <c r="E144" s="296"/>
      <c r="F144" s="296"/>
      <c r="G144" s="327"/>
      <c r="H144" s="310" t="str">
        <f ca="1">IFERROR(IF(VLOOKUP(F144,Kostentypen!$A$3:$E$21,3,0)=0,"",IF(OR(F144="Arbeidskosten",F144="Vergoeding"),VLOOKUP(G144,Tb_KostenTypen[],2,0),VLOOKUP(F144,Kostentypen!$A$3:$E$20,3,0))),"")</f>
        <v/>
      </c>
      <c r="I144" s="311"/>
      <c r="J144" s="312" t="str" cm="1">
        <f t="array" ref="J144">_xlfn.IFNA(IF(INDEX(Tb_KostenOpties[],MATCH($F144,Tb_KostenOpties[KostenOptie],0),IFERROR(MATCH(Methode_Keuze,Tb_KostenOpties[#Headers],0),2))=1,_xlfn.SWITCH($H144,"Uurtarief",IF(OR(AND(RIGHT($F144,3)="IKS",VLOOKUP($I144,Loonkosten,2,0)="Ja"),AND(RIGHT($F144,3)&lt;&gt;"IKS",VLOOKUP($I144,Loonkosten,2,0)="Nee")), VLOOKUP($I144,Loonkosten,MATCH("Opgegeven uurtarief",'4. Rekenhulp loonkosten aanvr.'!$4:$4,0)),0),"Vast tarief",IF(LEFT(F144,8)="Bijdrage",VLOOKUP($F144,Tb_KostenTypen[],MATCH(Lijsten!$P$1,Tb_KostenTypen[#Headers],0),0),VLOOKUP($G144,Lijsten!L:P,MATCH(Lijsten!$P$1,Kop_Tarief_Vast,0),0))),""),"")</f>
        <v/>
      </c>
      <c r="K144" s="312" t="str" cm="1">
        <f t="array" ref="K144">_xlfn.IFNA(IF(INDEX(Tb_KostenOpties[],MATCH($F144,Tb_KostenOpties[KostenOptie],0),IFERROR(MATCH(Methode_Keuze,Tb_KostenOpties[#Headers],0),2))=1,_xlfn.SWITCH($H144,"Uurtarief",IF(OR(AND(RIGHT($F144,3)="IKS",VLOOKUP($I144,Loonkosten,2,0)="Ja"),AND(RIGHT($F144,3)&lt;&gt;"IKS",VLOOKUP($I144,Loonkosten,2,0)="Nee")), VLOOKUP($I144,Loonkosten,MATCH("Beoordeeld uurtarief",'4. Rekenhulp loonkosten aanvr.'!$4:$4,0),0),0),"Vast tarief",IF(LEFT(F144,8)="Bijdrage",VLOOKUP($F144,Tb_KostenTypen[],MATCH(Lijsten!$P$1,Tb_KostenTypen[#Headers],0),0),VLOOKUP($G144,Lijsten!L:P,MATCH(Lijsten!$P$1,Kop_Tarief_Vast,0),0))),""),"")</f>
        <v/>
      </c>
      <c r="L144" s="358"/>
      <c r="M144" s="358"/>
      <c r="N144" s="313"/>
      <c r="O144" s="313"/>
      <c r="P144" s="374" t="str">
        <f t="shared" si="9"/>
        <v/>
      </c>
      <c r="Q144" s="314" t="str">
        <f t="shared" si="10"/>
        <v/>
      </c>
      <c r="R144" s="314" t="str" cm="1">
        <f t="array" aca="1" ref="R144" ca="1">_xlfn.IFNA(_xlfn.IFS(X144="Dit kostentype hoeft u niet op te geven. Hiervoor wordt een forfait berekend.","",AND(J144&lt;&gt;"",H144="Vast tarief",F144="Vergoeding"),SUM(J144)*FLOOR(SUM(L144),0.0001),AND(J144&lt;&gt;"",OR(H144="Uurtarief",H144="Vast tarief")),SUM(J144)*FLOOR(SUM(L144),0.01),AND(N144&lt;&gt;"",H144="-"),FLOOR(SUM(N144),0.01)),"")</f>
        <v/>
      </c>
      <c r="S144" s="314" t="str" cm="1">
        <f t="array" aca="1" ref="S144" ca="1">_xlfn.IFNA(_xlfn.IFS(X144="Dit kostentype hoeft u niet op te geven. Hiervoor wordt een forfait berekend.","",AND(K144&lt;&gt;"",M144&lt;&gt;"",H144="Vast tarief",F144="Vergoeding"),SUM(K144)*FLOOR(SUM(M144),0.0001),AND(K144&lt;&gt;"",M144&lt;&gt;"",OR(H144="Uurtarief",H144="Vast tarief")),SUM(K144)*FLOOR(SUM(M144),0.01),AND(O144&lt;&gt;"",H144="-"),FLOOR(SUM(O144),0.01)),"")</f>
        <v/>
      </c>
      <c r="T144" s="314" t="str">
        <f t="shared" ca="1" si="11"/>
        <v/>
      </c>
      <c r="U144" s="314" t="str" cm="1">
        <f t="array" aca="1" ref="U144" ca="1">IFERROR(_xlfn.IFS(OR(F144="",LEFT(Methode_Keuze,4)="Geen",Methode_Keuze=""),"",AND(R144&lt;&gt;"",F144&lt;&gt;"Arbeidskosten"),R144*VLOOKUP(F144,Tb_ProjectKosten[],MATCH(Tb_ProjectKosten[[#Headers],[Forfait_Percentage]],Tb_ProjectKosten[#Headers],0),0),AND(F144="Arbeidskosten",G144&lt;&gt;""),IFERROR(R144*VLOOKUP(G144,Tb_KostenTypen[],3,0)*VLOOKUP(F144,Tb_ProjectKosten[],MATCH(Tb_ProjectKosten[[#Headers],[Forfait_Percentage]],Tb_ProjectKosten[#Headers],0),0),""),R144 &lt;=0,0),"")</f>
        <v/>
      </c>
      <c r="V144" s="314" t="str" cm="1">
        <f t="array" aca="1" ref="V144" ca="1">IFERROR(_xlfn.IFS(OR(F144="",LEFT(Methode_Keuze,4)="Geen",Methode_Keuze=""),"",AND(S144&lt;&gt;"",F144&lt;&gt;"Arbeidskosten"),S144*VLOOKUP(F144,Tb_ProjectKosten[],MATCH(Tb_ProjectKosten[[#Headers],[Forfait_Percentage]],Tb_ProjectKosten[#Headers],0),0),AND(F144="Arbeidskosten",G144&lt;&gt;""),IFERROR(S144*VLOOKUP(G144,Tb_KostenTypen[],3,0)*VLOOKUP(F144,Tb_ProjectKosten[],MATCH(Tb_ProjectKosten[[#Headers],[Forfait_Percentage]],Tb_ProjectKosten[#Headers],0),0),""),S144 &lt;=0,0),"")</f>
        <v/>
      </c>
      <c r="W144" s="314" t="str">
        <f t="shared" ca="1" si="12"/>
        <v/>
      </c>
      <c r="X144" s="376" t="str">
        <f>IFERROR(VLOOKUP(F144,Tb_ProjectKosten[#All],11,0),"")</f>
        <v/>
      </c>
      <c r="Y144" s="315"/>
    </row>
    <row r="145" spans="1:25" x14ac:dyDescent="0.25">
      <c r="A145" s="309">
        <f>MAX($A$5:A144)+1</f>
        <v>140</v>
      </c>
      <c r="B145" s="296"/>
      <c r="C145" s="296"/>
      <c r="D145" s="296"/>
      <c r="E145" s="296"/>
      <c r="F145" s="296"/>
      <c r="G145" s="327"/>
      <c r="H145" s="310" t="str">
        <f ca="1">IFERROR(IF(VLOOKUP(F145,Kostentypen!$A$3:$E$21,3,0)=0,"",IF(OR(F145="Arbeidskosten",F145="Vergoeding"),VLOOKUP(G145,Tb_KostenTypen[],2,0),VLOOKUP(F145,Kostentypen!$A$3:$E$20,3,0))),"")</f>
        <v/>
      </c>
      <c r="I145" s="311"/>
      <c r="J145" s="312" t="str" cm="1">
        <f t="array" ref="J145">_xlfn.IFNA(IF(INDEX(Tb_KostenOpties[],MATCH($F145,Tb_KostenOpties[KostenOptie],0),IFERROR(MATCH(Methode_Keuze,Tb_KostenOpties[#Headers],0),2))=1,_xlfn.SWITCH($H145,"Uurtarief",IF(OR(AND(RIGHT($F145,3)="IKS",VLOOKUP($I145,Loonkosten,2,0)="Ja"),AND(RIGHT($F145,3)&lt;&gt;"IKS",VLOOKUP($I145,Loonkosten,2,0)="Nee")), VLOOKUP($I145,Loonkosten,MATCH("Opgegeven uurtarief",'4. Rekenhulp loonkosten aanvr.'!$4:$4,0)),0),"Vast tarief",IF(LEFT(F145,8)="Bijdrage",VLOOKUP($F145,Tb_KostenTypen[],MATCH(Lijsten!$P$1,Tb_KostenTypen[#Headers],0),0),VLOOKUP($G145,Lijsten!L:P,MATCH(Lijsten!$P$1,Kop_Tarief_Vast,0),0))),""),"")</f>
        <v/>
      </c>
      <c r="K145" s="312" t="str" cm="1">
        <f t="array" ref="K145">_xlfn.IFNA(IF(INDEX(Tb_KostenOpties[],MATCH($F145,Tb_KostenOpties[KostenOptie],0),IFERROR(MATCH(Methode_Keuze,Tb_KostenOpties[#Headers],0),2))=1,_xlfn.SWITCH($H145,"Uurtarief",IF(OR(AND(RIGHT($F145,3)="IKS",VLOOKUP($I145,Loonkosten,2,0)="Ja"),AND(RIGHT($F145,3)&lt;&gt;"IKS",VLOOKUP($I145,Loonkosten,2,0)="Nee")), VLOOKUP($I145,Loonkosten,MATCH("Beoordeeld uurtarief",'4. Rekenhulp loonkosten aanvr.'!$4:$4,0),0),0),"Vast tarief",IF(LEFT(F145,8)="Bijdrage",VLOOKUP($F145,Tb_KostenTypen[],MATCH(Lijsten!$P$1,Tb_KostenTypen[#Headers],0),0),VLOOKUP($G145,Lijsten!L:P,MATCH(Lijsten!$P$1,Kop_Tarief_Vast,0),0))),""),"")</f>
        <v/>
      </c>
      <c r="L145" s="358"/>
      <c r="M145" s="358"/>
      <c r="N145" s="313"/>
      <c r="O145" s="313"/>
      <c r="P145" s="374" t="str">
        <f t="shared" si="9"/>
        <v/>
      </c>
      <c r="Q145" s="314" t="str">
        <f t="shared" si="10"/>
        <v/>
      </c>
      <c r="R145" s="314" t="str" cm="1">
        <f t="array" aca="1" ref="R145" ca="1">_xlfn.IFNA(_xlfn.IFS(X145="Dit kostentype hoeft u niet op te geven. Hiervoor wordt een forfait berekend.","",AND(J145&lt;&gt;"",H145="Vast tarief",F145="Vergoeding"),SUM(J145)*FLOOR(SUM(L145),0.0001),AND(J145&lt;&gt;"",OR(H145="Uurtarief",H145="Vast tarief")),SUM(J145)*FLOOR(SUM(L145),0.01),AND(N145&lt;&gt;"",H145="-"),FLOOR(SUM(N145),0.01)),"")</f>
        <v/>
      </c>
      <c r="S145" s="314" t="str" cm="1">
        <f t="array" aca="1" ref="S145" ca="1">_xlfn.IFNA(_xlfn.IFS(X145="Dit kostentype hoeft u niet op te geven. Hiervoor wordt een forfait berekend.","",AND(K145&lt;&gt;"",M145&lt;&gt;"",H145="Vast tarief",F145="Vergoeding"),SUM(K145)*FLOOR(SUM(M145),0.0001),AND(K145&lt;&gt;"",M145&lt;&gt;"",OR(H145="Uurtarief",H145="Vast tarief")),SUM(K145)*FLOOR(SUM(M145),0.01),AND(O145&lt;&gt;"",H145="-"),FLOOR(SUM(O145),0.01)),"")</f>
        <v/>
      </c>
      <c r="T145" s="314" t="str">
        <f t="shared" ca="1" si="11"/>
        <v/>
      </c>
      <c r="U145" s="314" t="str" cm="1">
        <f t="array" aca="1" ref="U145" ca="1">IFERROR(_xlfn.IFS(OR(F145="",LEFT(Methode_Keuze,4)="Geen",Methode_Keuze=""),"",AND(R145&lt;&gt;"",F145&lt;&gt;"Arbeidskosten"),R145*VLOOKUP(F145,Tb_ProjectKosten[],MATCH(Tb_ProjectKosten[[#Headers],[Forfait_Percentage]],Tb_ProjectKosten[#Headers],0),0),AND(F145="Arbeidskosten",G145&lt;&gt;""),IFERROR(R145*VLOOKUP(G145,Tb_KostenTypen[],3,0)*VLOOKUP(F145,Tb_ProjectKosten[],MATCH(Tb_ProjectKosten[[#Headers],[Forfait_Percentage]],Tb_ProjectKosten[#Headers],0),0),""),R145 &lt;=0,0),"")</f>
        <v/>
      </c>
      <c r="V145" s="314" t="str" cm="1">
        <f t="array" aca="1" ref="V145" ca="1">IFERROR(_xlfn.IFS(OR(F145="",LEFT(Methode_Keuze,4)="Geen",Methode_Keuze=""),"",AND(S145&lt;&gt;"",F145&lt;&gt;"Arbeidskosten"),S145*VLOOKUP(F145,Tb_ProjectKosten[],MATCH(Tb_ProjectKosten[[#Headers],[Forfait_Percentage]],Tb_ProjectKosten[#Headers],0),0),AND(F145="Arbeidskosten",G145&lt;&gt;""),IFERROR(S145*VLOOKUP(G145,Tb_KostenTypen[],3,0)*VLOOKUP(F145,Tb_ProjectKosten[],MATCH(Tb_ProjectKosten[[#Headers],[Forfait_Percentage]],Tb_ProjectKosten[#Headers],0),0),""),S145 &lt;=0,0),"")</f>
        <v/>
      </c>
      <c r="W145" s="314" t="str">
        <f t="shared" ca="1" si="12"/>
        <v/>
      </c>
      <c r="X145" s="376" t="str">
        <f>IFERROR(VLOOKUP(F145,Tb_ProjectKosten[#All],11,0),"")</f>
        <v/>
      </c>
      <c r="Y145" s="315"/>
    </row>
    <row r="146" spans="1:25" x14ac:dyDescent="0.25">
      <c r="A146" s="309">
        <f>MAX($A$5:A145)+1</f>
        <v>141</v>
      </c>
      <c r="B146" s="296"/>
      <c r="C146" s="296"/>
      <c r="D146" s="296"/>
      <c r="E146" s="296"/>
      <c r="F146" s="296"/>
      <c r="G146" s="327"/>
      <c r="H146" s="310" t="str">
        <f ca="1">IFERROR(IF(VLOOKUP(F146,Kostentypen!$A$3:$E$21,3,0)=0,"",IF(OR(F146="Arbeidskosten",F146="Vergoeding"),VLOOKUP(G146,Tb_KostenTypen[],2,0),VLOOKUP(F146,Kostentypen!$A$3:$E$20,3,0))),"")</f>
        <v/>
      </c>
      <c r="I146" s="311"/>
      <c r="J146" s="312" t="str" cm="1">
        <f t="array" ref="J146">_xlfn.IFNA(IF(INDEX(Tb_KostenOpties[],MATCH($F146,Tb_KostenOpties[KostenOptie],0),IFERROR(MATCH(Methode_Keuze,Tb_KostenOpties[#Headers],0),2))=1,_xlfn.SWITCH($H146,"Uurtarief",IF(OR(AND(RIGHT($F146,3)="IKS",VLOOKUP($I146,Loonkosten,2,0)="Ja"),AND(RIGHT($F146,3)&lt;&gt;"IKS",VLOOKUP($I146,Loonkosten,2,0)="Nee")), VLOOKUP($I146,Loonkosten,MATCH("Opgegeven uurtarief",'4. Rekenhulp loonkosten aanvr.'!$4:$4,0)),0),"Vast tarief",IF(LEFT(F146,8)="Bijdrage",VLOOKUP($F146,Tb_KostenTypen[],MATCH(Lijsten!$P$1,Tb_KostenTypen[#Headers],0),0),VLOOKUP($G146,Lijsten!L:P,MATCH(Lijsten!$P$1,Kop_Tarief_Vast,0),0))),""),"")</f>
        <v/>
      </c>
      <c r="K146" s="312" t="str" cm="1">
        <f t="array" ref="K146">_xlfn.IFNA(IF(INDEX(Tb_KostenOpties[],MATCH($F146,Tb_KostenOpties[KostenOptie],0),IFERROR(MATCH(Methode_Keuze,Tb_KostenOpties[#Headers],0),2))=1,_xlfn.SWITCH($H146,"Uurtarief",IF(OR(AND(RIGHT($F146,3)="IKS",VLOOKUP($I146,Loonkosten,2,0)="Ja"),AND(RIGHT($F146,3)&lt;&gt;"IKS",VLOOKUP($I146,Loonkosten,2,0)="Nee")), VLOOKUP($I146,Loonkosten,MATCH("Beoordeeld uurtarief",'4. Rekenhulp loonkosten aanvr.'!$4:$4,0),0),0),"Vast tarief",IF(LEFT(F146,8)="Bijdrage",VLOOKUP($F146,Tb_KostenTypen[],MATCH(Lijsten!$P$1,Tb_KostenTypen[#Headers],0),0),VLOOKUP($G146,Lijsten!L:P,MATCH(Lijsten!$P$1,Kop_Tarief_Vast,0),0))),""),"")</f>
        <v/>
      </c>
      <c r="L146" s="358"/>
      <c r="M146" s="358"/>
      <c r="N146" s="313"/>
      <c r="O146" s="313"/>
      <c r="P146" s="374" t="str">
        <f t="shared" si="9"/>
        <v/>
      </c>
      <c r="Q146" s="314" t="str">
        <f t="shared" si="10"/>
        <v/>
      </c>
      <c r="R146" s="314" t="str" cm="1">
        <f t="array" aca="1" ref="R146" ca="1">_xlfn.IFNA(_xlfn.IFS(X146="Dit kostentype hoeft u niet op te geven. Hiervoor wordt een forfait berekend.","",AND(J146&lt;&gt;"",H146="Vast tarief",F146="Vergoeding"),SUM(J146)*FLOOR(SUM(L146),0.0001),AND(J146&lt;&gt;"",OR(H146="Uurtarief",H146="Vast tarief")),SUM(J146)*FLOOR(SUM(L146),0.01),AND(N146&lt;&gt;"",H146="-"),FLOOR(SUM(N146),0.01)),"")</f>
        <v/>
      </c>
      <c r="S146" s="314" t="str" cm="1">
        <f t="array" aca="1" ref="S146" ca="1">_xlfn.IFNA(_xlfn.IFS(X146="Dit kostentype hoeft u niet op te geven. Hiervoor wordt een forfait berekend.","",AND(K146&lt;&gt;"",M146&lt;&gt;"",H146="Vast tarief",F146="Vergoeding"),SUM(K146)*FLOOR(SUM(M146),0.0001),AND(K146&lt;&gt;"",M146&lt;&gt;"",OR(H146="Uurtarief",H146="Vast tarief")),SUM(K146)*FLOOR(SUM(M146),0.01),AND(O146&lt;&gt;"",H146="-"),FLOOR(SUM(O146),0.01)),"")</f>
        <v/>
      </c>
      <c r="T146" s="314" t="str">
        <f t="shared" ca="1" si="11"/>
        <v/>
      </c>
      <c r="U146" s="314" t="str" cm="1">
        <f t="array" aca="1" ref="U146" ca="1">IFERROR(_xlfn.IFS(OR(F146="",LEFT(Methode_Keuze,4)="Geen",Methode_Keuze=""),"",AND(R146&lt;&gt;"",F146&lt;&gt;"Arbeidskosten"),R146*VLOOKUP(F146,Tb_ProjectKosten[],MATCH(Tb_ProjectKosten[[#Headers],[Forfait_Percentage]],Tb_ProjectKosten[#Headers],0),0),AND(F146="Arbeidskosten",G146&lt;&gt;""),IFERROR(R146*VLOOKUP(G146,Tb_KostenTypen[],3,0)*VLOOKUP(F146,Tb_ProjectKosten[],MATCH(Tb_ProjectKosten[[#Headers],[Forfait_Percentage]],Tb_ProjectKosten[#Headers],0),0),""),R146 &lt;=0,0),"")</f>
        <v/>
      </c>
      <c r="V146" s="314" t="str" cm="1">
        <f t="array" aca="1" ref="V146" ca="1">IFERROR(_xlfn.IFS(OR(F146="",LEFT(Methode_Keuze,4)="Geen",Methode_Keuze=""),"",AND(S146&lt;&gt;"",F146&lt;&gt;"Arbeidskosten"),S146*VLOOKUP(F146,Tb_ProjectKosten[],MATCH(Tb_ProjectKosten[[#Headers],[Forfait_Percentage]],Tb_ProjectKosten[#Headers],0),0),AND(F146="Arbeidskosten",G146&lt;&gt;""),IFERROR(S146*VLOOKUP(G146,Tb_KostenTypen[],3,0)*VLOOKUP(F146,Tb_ProjectKosten[],MATCH(Tb_ProjectKosten[[#Headers],[Forfait_Percentage]],Tb_ProjectKosten[#Headers],0),0),""),S146 &lt;=0,0),"")</f>
        <v/>
      </c>
      <c r="W146" s="314" t="str">
        <f t="shared" ca="1" si="12"/>
        <v/>
      </c>
      <c r="X146" s="376" t="str">
        <f>IFERROR(VLOOKUP(F146,Tb_ProjectKosten[#All],11,0),"")</f>
        <v/>
      </c>
      <c r="Y146" s="315"/>
    </row>
    <row r="147" spans="1:25" x14ac:dyDescent="0.25">
      <c r="A147" s="309">
        <f>MAX($A$5:A146)+1</f>
        <v>142</v>
      </c>
      <c r="B147" s="296"/>
      <c r="C147" s="296"/>
      <c r="D147" s="296"/>
      <c r="E147" s="296"/>
      <c r="F147" s="296"/>
      <c r="G147" s="327"/>
      <c r="H147" s="310" t="str">
        <f ca="1">IFERROR(IF(VLOOKUP(F147,Kostentypen!$A$3:$E$21,3,0)=0,"",IF(OR(F147="Arbeidskosten",F147="Vergoeding"),VLOOKUP(G147,Tb_KostenTypen[],2,0),VLOOKUP(F147,Kostentypen!$A$3:$E$20,3,0))),"")</f>
        <v/>
      </c>
      <c r="I147" s="311"/>
      <c r="J147" s="312" t="str" cm="1">
        <f t="array" ref="J147">_xlfn.IFNA(IF(INDEX(Tb_KostenOpties[],MATCH($F147,Tb_KostenOpties[KostenOptie],0),IFERROR(MATCH(Methode_Keuze,Tb_KostenOpties[#Headers],0),2))=1,_xlfn.SWITCH($H147,"Uurtarief",IF(OR(AND(RIGHT($F147,3)="IKS",VLOOKUP($I147,Loonkosten,2,0)="Ja"),AND(RIGHT($F147,3)&lt;&gt;"IKS",VLOOKUP($I147,Loonkosten,2,0)="Nee")), VLOOKUP($I147,Loonkosten,MATCH("Opgegeven uurtarief",'4. Rekenhulp loonkosten aanvr.'!$4:$4,0)),0),"Vast tarief",IF(LEFT(F147,8)="Bijdrage",VLOOKUP($F147,Tb_KostenTypen[],MATCH(Lijsten!$P$1,Tb_KostenTypen[#Headers],0),0),VLOOKUP($G147,Lijsten!L:P,MATCH(Lijsten!$P$1,Kop_Tarief_Vast,0),0))),""),"")</f>
        <v/>
      </c>
      <c r="K147" s="312" t="str" cm="1">
        <f t="array" ref="K147">_xlfn.IFNA(IF(INDEX(Tb_KostenOpties[],MATCH($F147,Tb_KostenOpties[KostenOptie],0),IFERROR(MATCH(Methode_Keuze,Tb_KostenOpties[#Headers],0),2))=1,_xlfn.SWITCH($H147,"Uurtarief",IF(OR(AND(RIGHT($F147,3)="IKS",VLOOKUP($I147,Loonkosten,2,0)="Ja"),AND(RIGHT($F147,3)&lt;&gt;"IKS",VLOOKUP($I147,Loonkosten,2,0)="Nee")), VLOOKUP($I147,Loonkosten,MATCH("Beoordeeld uurtarief",'4. Rekenhulp loonkosten aanvr.'!$4:$4,0),0),0),"Vast tarief",IF(LEFT(F147,8)="Bijdrage",VLOOKUP($F147,Tb_KostenTypen[],MATCH(Lijsten!$P$1,Tb_KostenTypen[#Headers],0),0),VLOOKUP($G147,Lijsten!L:P,MATCH(Lijsten!$P$1,Kop_Tarief_Vast,0),0))),""),"")</f>
        <v/>
      </c>
      <c r="L147" s="358"/>
      <c r="M147" s="358"/>
      <c r="N147" s="313"/>
      <c r="O147" s="313"/>
      <c r="P147" s="374" t="str">
        <f t="shared" si="9"/>
        <v/>
      </c>
      <c r="Q147" s="314" t="str">
        <f t="shared" si="10"/>
        <v/>
      </c>
      <c r="R147" s="314" t="str" cm="1">
        <f t="array" aca="1" ref="R147" ca="1">_xlfn.IFNA(_xlfn.IFS(X147="Dit kostentype hoeft u niet op te geven. Hiervoor wordt een forfait berekend.","",AND(J147&lt;&gt;"",H147="Vast tarief",F147="Vergoeding"),SUM(J147)*FLOOR(SUM(L147),0.0001),AND(J147&lt;&gt;"",OR(H147="Uurtarief",H147="Vast tarief")),SUM(J147)*FLOOR(SUM(L147),0.01),AND(N147&lt;&gt;"",H147="-"),FLOOR(SUM(N147),0.01)),"")</f>
        <v/>
      </c>
      <c r="S147" s="314" t="str" cm="1">
        <f t="array" aca="1" ref="S147" ca="1">_xlfn.IFNA(_xlfn.IFS(X147="Dit kostentype hoeft u niet op te geven. Hiervoor wordt een forfait berekend.","",AND(K147&lt;&gt;"",M147&lt;&gt;"",H147="Vast tarief",F147="Vergoeding"),SUM(K147)*FLOOR(SUM(M147),0.0001),AND(K147&lt;&gt;"",M147&lt;&gt;"",OR(H147="Uurtarief",H147="Vast tarief")),SUM(K147)*FLOOR(SUM(M147),0.01),AND(O147&lt;&gt;"",H147="-"),FLOOR(SUM(O147),0.01)),"")</f>
        <v/>
      </c>
      <c r="T147" s="314" t="str">
        <f t="shared" ca="1" si="11"/>
        <v/>
      </c>
      <c r="U147" s="314" t="str" cm="1">
        <f t="array" aca="1" ref="U147" ca="1">IFERROR(_xlfn.IFS(OR(F147="",LEFT(Methode_Keuze,4)="Geen",Methode_Keuze=""),"",AND(R147&lt;&gt;"",F147&lt;&gt;"Arbeidskosten"),R147*VLOOKUP(F147,Tb_ProjectKosten[],MATCH(Tb_ProjectKosten[[#Headers],[Forfait_Percentage]],Tb_ProjectKosten[#Headers],0),0),AND(F147="Arbeidskosten",G147&lt;&gt;""),IFERROR(R147*VLOOKUP(G147,Tb_KostenTypen[],3,0)*VLOOKUP(F147,Tb_ProjectKosten[],MATCH(Tb_ProjectKosten[[#Headers],[Forfait_Percentage]],Tb_ProjectKosten[#Headers],0),0),""),R147 &lt;=0,0),"")</f>
        <v/>
      </c>
      <c r="V147" s="314" t="str" cm="1">
        <f t="array" aca="1" ref="V147" ca="1">IFERROR(_xlfn.IFS(OR(F147="",LEFT(Methode_Keuze,4)="Geen",Methode_Keuze=""),"",AND(S147&lt;&gt;"",F147&lt;&gt;"Arbeidskosten"),S147*VLOOKUP(F147,Tb_ProjectKosten[],MATCH(Tb_ProjectKosten[[#Headers],[Forfait_Percentage]],Tb_ProjectKosten[#Headers],0),0),AND(F147="Arbeidskosten",G147&lt;&gt;""),IFERROR(S147*VLOOKUP(G147,Tb_KostenTypen[],3,0)*VLOOKUP(F147,Tb_ProjectKosten[],MATCH(Tb_ProjectKosten[[#Headers],[Forfait_Percentage]],Tb_ProjectKosten[#Headers],0),0),""),S147 &lt;=0,0),"")</f>
        <v/>
      </c>
      <c r="W147" s="314" t="str">
        <f t="shared" ca="1" si="12"/>
        <v/>
      </c>
      <c r="X147" s="376" t="str">
        <f>IFERROR(VLOOKUP(F147,Tb_ProjectKosten[#All],11,0),"")</f>
        <v/>
      </c>
      <c r="Y147" s="315"/>
    </row>
    <row r="148" spans="1:25" x14ac:dyDescent="0.25">
      <c r="A148" s="309">
        <f>MAX($A$5:A147)+1</f>
        <v>143</v>
      </c>
      <c r="B148" s="296"/>
      <c r="C148" s="296"/>
      <c r="D148" s="296"/>
      <c r="E148" s="296"/>
      <c r="F148" s="296"/>
      <c r="G148" s="327"/>
      <c r="H148" s="310" t="str">
        <f ca="1">IFERROR(IF(VLOOKUP(F148,Kostentypen!$A$3:$E$21,3,0)=0,"",IF(OR(F148="Arbeidskosten",F148="Vergoeding"),VLOOKUP(G148,Tb_KostenTypen[],2,0),VLOOKUP(F148,Kostentypen!$A$3:$E$20,3,0))),"")</f>
        <v/>
      </c>
      <c r="I148" s="311"/>
      <c r="J148" s="312" t="str" cm="1">
        <f t="array" ref="J148">_xlfn.IFNA(IF(INDEX(Tb_KostenOpties[],MATCH($F148,Tb_KostenOpties[KostenOptie],0),IFERROR(MATCH(Methode_Keuze,Tb_KostenOpties[#Headers],0),2))=1,_xlfn.SWITCH($H148,"Uurtarief",IF(OR(AND(RIGHT($F148,3)="IKS",VLOOKUP($I148,Loonkosten,2,0)="Ja"),AND(RIGHT($F148,3)&lt;&gt;"IKS",VLOOKUP($I148,Loonkosten,2,0)="Nee")), VLOOKUP($I148,Loonkosten,MATCH("Opgegeven uurtarief",'4. Rekenhulp loonkosten aanvr.'!$4:$4,0)),0),"Vast tarief",IF(LEFT(F148,8)="Bijdrage",VLOOKUP($F148,Tb_KostenTypen[],MATCH(Lijsten!$P$1,Tb_KostenTypen[#Headers],0),0),VLOOKUP($G148,Lijsten!L:P,MATCH(Lijsten!$P$1,Kop_Tarief_Vast,0),0))),""),"")</f>
        <v/>
      </c>
      <c r="K148" s="312" t="str" cm="1">
        <f t="array" ref="K148">_xlfn.IFNA(IF(INDEX(Tb_KostenOpties[],MATCH($F148,Tb_KostenOpties[KostenOptie],0),IFERROR(MATCH(Methode_Keuze,Tb_KostenOpties[#Headers],0),2))=1,_xlfn.SWITCH($H148,"Uurtarief",IF(OR(AND(RIGHT($F148,3)="IKS",VLOOKUP($I148,Loonkosten,2,0)="Ja"),AND(RIGHT($F148,3)&lt;&gt;"IKS",VLOOKUP($I148,Loonkosten,2,0)="Nee")), VLOOKUP($I148,Loonkosten,MATCH("Beoordeeld uurtarief",'4. Rekenhulp loonkosten aanvr.'!$4:$4,0),0),0),"Vast tarief",IF(LEFT(F148,8)="Bijdrage",VLOOKUP($F148,Tb_KostenTypen[],MATCH(Lijsten!$P$1,Tb_KostenTypen[#Headers],0),0),VLOOKUP($G148,Lijsten!L:P,MATCH(Lijsten!$P$1,Kop_Tarief_Vast,0),0))),""),"")</f>
        <v/>
      </c>
      <c r="L148" s="358"/>
      <c r="M148" s="358"/>
      <c r="N148" s="313"/>
      <c r="O148" s="313"/>
      <c r="P148" s="374" t="str">
        <f t="shared" si="9"/>
        <v/>
      </c>
      <c r="Q148" s="314" t="str">
        <f t="shared" si="10"/>
        <v/>
      </c>
      <c r="R148" s="314" t="str" cm="1">
        <f t="array" aca="1" ref="R148" ca="1">_xlfn.IFNA(_xlfn.IFS(X148="Dit kostentype hoeft u niet op te geven. Hiervoor wordt een forfait berekend.","",AND(J148&lt;&gt;"",H148="Vast tarief",F148="Vergoeding"),SUM(J148)*FLOOR(SUM(L148),0.0001),AND(J148&lt;&gt;"",OR(H148="Uurtarief",H148="Vast tarief")),SUM(J148)*FLOOR(SUM(L148),0.01),AND(N148&lt;&gt;"",H148="-"),FLOOR(SUM(N148),0.01)),"")</f>
        <v/>
      </c>
      <c r="S148" s="314" t="str" cm="1">
        <f t="array" aca="1" ref="S148" ca="1">_xlfn.IFNA(_xlfn.IFS(X148="Dit kostentype hoeft u niet op te geven. Hiervoor wordt een forfait berekend.","",AND(K148&lt;&gt;"",M148&lt;&gt;"",H148="Vast tarief",F148="Vergoeding"),SUM(K148)*FLOOR(SUM(M148),0.0001),AND(K148&lt;&gt;"",M148&lt;&gt;"",OR(H148="Uurtarief",H148="Vast tarief")),SUM(K148)*FLOOR(SUM(M148),0.01),AND(O148&lt;&gt;"",H148="-"),FLOOR(SUM(O148),0.01)),"")</f>
        <v/>
      </c>
      <c r="T148" s="314" t="str">
        <f t="shared" ca="1" si="11"/>
        <v/>
      </c>
      <c r="U148" s="314" t="str" cm="1">
        <f t="array" aca="1" ref="U148" ca="1">IFERROR(_xlfn.IFS(OR(F148="",LEFT(Methode_Keuze,4)="Geen",Methode_Keuze=""),"",AND(R148&lt;&gt;"",F148&lt;&gt;"Arbeidskosten"),R148*VLOOKUP(F148,Tb_ProjectKosten[],MATCH(Tb_ProjectKosten[[#Headers],[Forfait_Percentage]],Tb_ProjectKosten[#Headers],0),0),AND(F148="Arbeidskosten",G148&lt;&gt;""),IFERROR(R148*VLOOKUP(G148,Tb_KostenTypen[],3,0)*VLOOKUP(F148,Tb_ProjectKosten[],MATCH(Tb_ProjectKosten[[#Headers],[Forfait_Percentage]],Tb_ProjectKosten[#Headers],0),0),""),R148 &lt;=0,0),"")</f>
        <v/>
      </c>
      <c r="V148" s="314" t="str" cm="1">
        <f t="array" aca="1" ref="V148" ca="1">IFERROR(_xlfn.IFS(OR(F148="",LEFT(Methode_Keuze,4)="Geen",Methode_Keuze=""),"",AND(S148&lt;&gt;"",F148&lt;&gt;"Arbeidskosten"),S148*VLOOKUP(F148,Tb_ProjectKosten[],MATCH(Tb_ProjectKosten[[#Headers],[Forfait_Percentage]],Tb_ProjectKosten[#Headers],0),0),AND(F148="Arbeidskosten",G148&lt;&gt;""),IFERROR(S148*VLOOKUP(G148,Tb_KostenTypen[],3,0)*VLOOKUP(F148,Tb_ProjectKosten[],MATCH(Tb_ProjectKosten[[#Headers],[Forfait_Percentage]],Tb_ProjectKosten[#Headers],0),0),""),S148 &lt;=0,0),"")</f>
        <v/>
      </c>
      <c r="W148" s="314" t="str">
        <f t="shared" ca="1" si="12"/>
        <v/>
      </c>
      <c r="X148" s="376" t="str">
        <f>IFERROR(VLOOKUP(F148,Tb_ProjectKosten[#All],11,0),"")</f>
        <v/>
      </c>
      <c r="Y148" s="315"/>
    </row>
    <row r="149" spans="1:25" x14ac:dyDescent="0.25">
      <c r="A149" s="309">
        <f>MAX($A$5:A148)+1</f>
        <v>144</v>
      </c>
      <c r="B149" s="296"/>
      <c r="C149" s="296"/>
      <c r="D149" s="296"/>
      <c r="E149" s="296"/>
      <c r="F149" s="296"/>
      <c r="G149" s="327"/>
      <c r="H149" s="310" t="str">
        <f ca="1">IFERROR(IF(VLOOKUP(F149,Kostentypen!$A$3:$E$21,3,0)=0,"",IF(OR(F149="Arbeidskosten",F149="Vergoeding"),VLOOKUP(G149,Tb_KostenTypen[],2,0),VLOOKUP(F149,Kostentypen!$A$3:$E$20,3,0))),"")</f>
        <v/>
      </c>
      <c r="I149" s="311"/>
      <c r="J149" s="312" t="str" cm="1">
        <f t="array" ref="J149">_xlfn.IFNA(IF(INDEX(Tb_KostenOpties[],MATCH($F149,Tb_KostenOpties[KostenOptie],0),IFERROR(MATCH(Methode_Keuze,Tb_KostenOpties[#Headers],0),2))=1,_xlfn.SWITCH($H149,"Uurtarief",IF(OR(AND(RIGHT($F149,3)="IKS",VLOOKUP($I149,Loonkosten,2,0)="Ja"),AND(RIGHT($F149,3)&lt;&gt;"IKS",VLOOKUP($I149,Loonkosten,2,0)="Nee")), VLOOKUP($I149,Loonkosten,MATCH("Opgegeven uurtarief",'4. Rekenhulp loonkosten aanvr.'!$4:$4,0)),0),"Vast tarief",IF(LEFT(F149,8)="Bijdrage",VLOOKUP($F149,Tb_KostenTypen[],MATCH(Lijsten!$P$1,Tb_KostenTypen[#Headers],0),0),VLOOKUP($G149,Lijsten!L:P,MATCH(Lijsten!$P$1,Kop_Tarief_Vast,0),0))),""),"")</f>
        <v/>
      </c>
      <c r="K149" s="312" t="str" cm="1">
        <f t="array" ref="K149">_xlfn.IFNA(IF(INDEX(Tb_KostenOpties[],MATCH($F149,Tb_KostenOpties[KostenOptie],0),IFERROR(MATCH(Methode_Keuze,Tb_KostenOpties[#Headers],0),2))=1,_xlfn.SWITCH($H149,"Uurtarief",IF(OR(AND(RIGHT($F149,3)="IKS",VLOOKUP($I149,Loonkosten,2,0)="Ja"),AND(RIGHT($F149,3)&lt;&gt;"IKS",VLOOKUP($I149,Loonkosten,2,0)="Nee")), VLOOKUP($I149,Loonkosten,MATCH("Beoordeeld uurtarief",'4. Rekenhulp loonkosten aanvr.'!$4:$4,0),0),0),"Vast tarief",IF(LEFT(F149,8)="Bijdrage",VLOOKUP($F149,Tb_KostenTypen[],MATCH(Lijsten!$P$1,Tb_KostenTypen[#Headers],0),0),VLOOKUP($G149,Lijsten!L:P,MATCH(Lijsten!$P$1,Kop_Tarief_Vast,0),0))),""),"")</f>
        <v/>
      </c>
      <c r="L149" s="358"/>
      <c r="M149" s="358"/>
      <c r="N149" s="313"/>
      <c r="O149" s="313"/>
      <c r="P149" s="374" t="str">
        <f t="shared" si="9"/>
        <v/>
      </c>
      <c r="Q149" s="314" t="str">
        <f t="shared" si="10"/>
        <v/>
      </c>
      <c r="R149" s="314" t="str" cm="1">
        <f t="array" aca="1" ref="R149" ca="1">_xlfn.IFNA(_xlfn.IFS(X149="Dit kostentype hoeft u niet op te geven. Hiervoor wordt een forfait berekend.","",AND(J149&lt;&gt;"",H149="Vast tarief",F149="Vergoeding"),SUM(J149)*FLOOR(SUM(L149),0.0001),AND(J149&lt;&gt;"",OR(H149="Uurtarief",H149="Vast tarief")),SUM(J149)*FLOOR(SUM(L149),0.01),AND(N149&lt;&gt;"",H149="-"),FLOOR(SUM(N149),0.01)),"")</f>
        <v/>
      </c>
      <c r="S149" s="314" t="str" cm="1">
        <f t="array" aca="1" ref="S149" ca="1">_xlfn.IFNA(_xlfn.IFS(X149="Dit kostentype hoeft u niet op te geven. Hiervoor wordt een forfait berekend.","",AND(K149&lt;&gt;"",M149&lt;&gt;"",H149="Vast tarief",F149="Vergoeding"),SUM(K149)*FLOOR(SUM(M149),0.0001),AND(K149&lt;&gt;"",M149&lt;&gt;"",OR(H149="Uurtarief",H149="Vast tarief")),SUM(K149)*FLOOR(SUM(M149),0.01),AND(O149&lt;&gt;"",H149="-"),FLOOR(SUM(O149),0.01)),"")</f>
        <v/>
      </c>
      <c r="T149" s="314" t="str">
        <f t="shared" ca="1" si="11"/>
        <v/>
      </c>
      <c r="U149" s="314" t="str" cm="1">
        <f t="array" aca="1" ref="U149" ca="1">IFERROR(_xlfn.IFS(OR(F149="",LEFT(Methode_Keuze,4)="Geen",Methode_Keuze=""),"",AND(R149&lt;&gt;"",F149&lt;&gt;"Arbeidskosten"),R149*VLOOKUP(F149,Tb_ProjectKosten[],MATCH(Tb_ProjectKosten[[#Headers],[Forfait_Percentage]],Tb_ProjectKosten[#Headers],0),0),AND(F149="Arbeidskosten",G149&lt;&gt;""),IFERROR(R149*VLOOKUP(G149,Tb_KostenTypen[],3,0)*VLOOKUP(F149,Tb_ProjectKosten[],MATCH(Tb_ProjectKosten[[#Headers],[Forfait_Percentage]],Tb_ProjectKosten[#Headers],0),0),""),R149 &lt;=0,0),"")</f>
        <v/>
      </c>
      <c r="V149" s="314" t="str" cm="1">
        <f t="array" aca="1" ref="V149" ca="1">IFERROR(_xlfn.IFS(OR(F149="",LEFT(Methode_Keuze,4)="Geen",Methode_Keuze=""),"",AND(S149&lt;&gt;"",F149&lt;&gt;"Arbeidskosten"),S149*VLOOKUP(F149,Tb_ProjectKosten[],MATCH(Tb_ProjectKosten[[#Headers],[Forfait_Percentage]],Tb_ProjectKosten[#Headers],0),0),AND(F149="Arbeidskosten",G149&lt;&gt;""),IFERROR(S149*VLOOKUP(G149,Tb_KostenTypen[],3,0)*VLOOKUP(F149,Tb_ProjectKosten[],MATCH(Tb_ProjectKosten[[#Headers],[Forfait_Percentage]],Tb_ProjectKosten[#Headers],0),0),""),S149 &lt;=0,0),"")</f>
        <v/>
      </c>
      <c r="W149" s="314" t="str">
        <f t="shared" ca="1" si="12"/>
        <v/>
      </c>
      <c r="X149" s="376" t="str">
        <f>IFERROR(VLOOKUP(F149,Tb_ProjectKosten[#All],11,0),"")</f>
        <v/>
      </c>
      <c r="Y149" s="315"/>
    </row>
    <row r="150" spans="1:25" x14ac:dyDescent="0.25">
      <c r="A150" s="309">
        <f>MAX($A$5:A149)+1</f>
        <v>145</v>
      </c>
      <c r="B150" s="296"/>
      <c r="C150" s="296"/>
      <c r="D150" s="296"/>
      <c r="E150" s="296"/>
      <c r="F150" s="296"/>
      <c r="G150" s="327"/>
      <c r="H150" s="310" t="str">
        <f ca="1">IFERROR(IF(VLOOKUP(F150,Kostentypen!$A$3:$E$21,3,0)=0,"",IF(OR(F150="Arbeidskosten",F150="Vergoeding"),VLOOKUP(G150,Tb_KostenTypen[],2,0),VLOOKUP(F150,Kostentypen!$A$3:$E$20,3,0))),"")</f>
        <v/>
      </c>
      <c r="I150" s="311"/>
      <c r="J150" s="312" t="str" cm="1">
        <f t="array" ref="J150">_xlfn.IFNA(IF(INDEX(Tb_KostenOpties[],MATCH($F150,Tb_KostenOpties[KostenOptie],0),IFERROR(MATCH(Methode_Keuze,Tb_KostenOpties[#Headers],0),2))=1,_xlfn.SWITCH($H150,"Uurtarief",IF(OR(AND(RIGHT($F150,3)="IKS",VLOOKUP($I150,Loonkosten,2,0)="Ja"),AND(RIGHT($F150,3)&lt;&gt;"IKS",VLOOKUP($I150,Loonkosten,2,0)="Nee")), VLOOKUP($I150,Loonkosten,MATCH("Opgegeven uurtarief",'4. Rekenhulp loonkosten aanvr.'!$4:$4,0)),0),"Vast tarief",IF(LEFT(F150,8)="Bijdrage",VLOOKUP($F150,Tb_KostenTypen[],MATCH(Lijsten!$P$1,Tb_KostenTypen[#Headers],0),0),VLOOKUP($G150,Lijsten!L:P,MATCH(Lijsten!$P$1,Kop_Tarief_Vast,0),0))),""),"")</f>
        <v/>
      </c>
      <c r="K150" s="312" t="str" cm="1">
        <f t="array" ref="K150">_xlfn.IFNA(IF(INDEX(Tb_KostenOpties[],MATCH($F150,Tb_KostenOpties[KostenOptie],0),IFERROR(MATCH(Methode_Keuze,Tb_KostenOpties[#Headers],0),2))=1,_xlfn.SWITCH($H150,"Uurtarief",IF(OR(AND(RIGHT($F150,3)="IKS",VLOOKUP($I150,Loonkosten,2,0)="Ja"),AND(RIGHT($F150,3)&lt;&gt;"IKS",VLOOKUP($I150,Loonkosten,2,0)="Nee")), VLOOKUP($I150,Loonkosten,MATCH("Beoordeeld uurtarief",'4. Rekenhulp loonkosten aanvr.'!$4:$4,0),0),0),"Vast tarief",IF(LEFT(F150,8)="Bijdrage",VLOOKUP($F150,Tb_KostenTypen[],MATCH(Lijsten!$P$1,Tb_KostenTypen[#Headers],0),0),VLOOKUP($G150,Lijsten!L:P,MATCH(Lijsten!$P$1,Kop_Tarief_Vast,0),0))),""),"")</f>
        <v/>
      </c>
      <c r="L150" s="358"/>
      <c r="M150" s="358"/>
      <c r="N150" s="313"/>
      <c r="O150" s="313"/>
      <c r="P150" s="374" t="str">
        <f t="shared" si="9"/>
        <v/>
      </c>
      <c r="Q150" s="314" t="str">
        <f t="shared" si="10"/>
        <v/>
      </c>
      <c r="R150" s="314" t="str" cm="1">
        <f t="array" aca="1" ref="R150" ca="1">_xlfn.IFNA(_xlfn.IFS(X150="Dit kostentype hoeft u niet op te geven. Hiervoor wordt een forfait berekend.","",AND(J150&lt;&gt;"",H150="Vast tarief",F150="Vergoeding"),SUM(J150)*FLOOR(SUM(L150),0.0001),AND(J150&lt;&gt;"",OR(H150="Uurtarief",H150="Vast tarief")),SUM(J150)*FLOOR(SUM(L150),0.01),AND(N150&lt;&gt;"",H150="-"),FLOOR(SUM(N150),0.01)),"")</f>
        <v/>
      </c>
      <c r="S150" s="314" t="str" cm="1">
        <f t="array" aca="1" ref="S150" ca="1">_xlfn.IFNA(_xlfn.IFS(X150="Dit kostentype hoeft u niet op te geven. Hiervoor wordt een forfait berekend.","",AND(K150&lt;&gt;"",M150&lt;&gt;"",H150="Vast tarief",F150="Vergoeding"),SUM(K150)*FLOOR(SUM(M150),0.0001),AND(K150&lt;&gt;"",M150&lt;&gt;"",OR(H150="Uurtarief",H150="Vast tarief")),SUM(K150)*FLOOR(SUM(M150),0.01),AND(O150&lt;&gt;"",H150="-"),FLOOR(SUM(O150),0.01)),"")</f>
        <v/>
      </c>
      <c r="T150" s="314" t="str">
        <f t="shared" ca="1" si="11"/>
        <v/>
      </c>
      <c r="U150" s="314" t="str" cm="1">
        <f t="array" aca="1" ref="U150" ca="1">IFERROR(_xlfn.IFS(OR(F150="",LEFT(Methode_Keuze,4)="Geen",Methode_Keuze=""),"",AND(R150&lt;&gt;"",F150&lt;&gt;"Arbeidskosten"),R150*VLOOKUP(F150,Tb_ProjectKosten[],MATCH(Tb_ProjectKosten[[#Headers],[Forfait_Percentage]],Tb_ProjectKosten[#Headers],0),0),AND(F150="Arbeidskosten",G150&lt;&gt;""),IFERROR(R150*VLOOKUP(G150,Tb_KostenTypen[],3,0)*VLOOKUP(F150,Tb_ProjectKosten[],MATCH(Tb_ProjectKosten[[#Headers],[Forfait_Percentage]],Tb_ProjectKosten[#Headers],0),0),""),R150 &lt;=0,0),"")</f>
        <v/>
      </c>
      <c r="V150" s="314" t="str" cm="1">
        <f t="array" aca="1" ref="V150" ca="1">IFERROR(_xlfn.IFS(OR(F150="",LEFT(Methode_Keuze,4)="Geen",Methode_Keuze=""),"",AND(S150&lt;&gt;"",F150&lt;&gt;"Arbeidskosten"),S150*VLOOKUP(F150,Tb_ProjectKosten[],MATCH(Tb_ProjectKosten[[#Headers],[Forfait_Percentage]],Tb_ProjectKosten[#Headers],0),0),AND(F150="Arbeidskosten",G150&lt;&gt;""),IFERROR(S150*VLOOKUP(G150,Tb_KostenTypen[],3,0)*VLOOKUP(F150,Tb_ProjectKosten[],MATCH(Tb_ProjectKosten[[#Headers],[Forfait_Percentage]],Tb_ProjectKosten[#Headers],0),0),""),S150 &lt;=0,0),"")</f>
        <v/>
      </c>
      <c r="W150" s="314" t="str">
        <f t="shared" ca="1" si="12"/>
        <v/>
      </c>
      <c r="X150" s="376" t="str">
        <f>IFERROR(VLOOKUP(F150,Tb_ProjectKosten[#All],11,0),"")</f>
        <v/>
      </c>
      <c r="Y150" s="315"/>
    </row>
    <row r="151" spans="1:25" x14ac:dyDescent="0.25">
      <c r="A151" s="309">
        <f>MAX($A$5:A150)+1</f>
        <v>146</v>
      </c>
      <c r="B151" s="296"/>
      <c r="C151" s="296"/>
      <c r="D151" s="296"/>
      <c r="E151" s="296"/>
      <c r="F151" s="296"/>
      <c r="G151" s="327"/>
      <c r="H151" s="310" t="str">
        <f ca="1">IFERROR(IF(VLOOKUP(F151,Kostentypen!$A$3:$E$21,3,0)=0,"",IF(OR(F151="Arbeidskosten",F151="Vergoeding"),VLOOKUP(G151,Tb_KostenTypen[],2,0),VLOOKUP(F151,Kostentypen!$A$3:$E$20,3,0))),"")</f>
        <v/>
      </c>
      <c r="I151" s="311"/>
      <c r="J151" s="312" t="str" cm="1">
        <f t="array" ref="J151">_xlfn.IFNA(IF(INDEX(Tb_KostenOpties[],MATCH($F151,Tb_KostenOpties[KostenOptie],0),IFERROR(MATCH(Methode_Keuze,Tb_KostenOpties[#Headers],0),2))=1,_xlfn.SWITCH($H151,"Uurtarief",IF(OR(AND(RIGHT($F151,3)="IKS",VLOOKUP($I151,Loonkosten,2,0)="Ja"),AND(RIGHT($F151,3)&lt;&gt;"IKS",VLOOKUP($I151,Loonkosten,2,0)="Nee")), VLOOKUP($I151,Loonkosten,MATCH("Opgegeven uurtarief",'4. Rekenhulp loonkosten aanvr.'!$4:$4,0)),0),"Vast tarief",IF(LEFT(F151,8)="Bijdrage",VLOOKUP($F151,Tb_KostenTypen[],MATCH(Lijsten!$P$1,Tb_KostenTypen[#Headers],0),0),VLOOKUP($G151,Lijsten!L:P,MATCH(Lijsten!$P$1,Kop_Tarief_Vast,0),0))),""),"")</f>
        <v/>
      </c>
      <c r="K151" s="312" t="str" cm="1">
        <f t="array" ref="K151">_xlfn.IFNA(IF(INDEX(Tb_KostenOpties[],MATCH($F151,Tb_KostenOpties[KostenOptie],0),IFERROR(MATCH(Methode_Keuze,Tb_KostenOpties[#Headers],0),2))=1,_xlfn.SWITCH($H151,"Uurtarief",IF(OR(AND(RIGHT($F151,3)="IKS",VLOOKUP($I151,Loonkosten,2,0)="Ja"),AND(RIGHT($F151,3)&lt;&gt;"IKS",VLOOKUP($I151,Loonkosten,2,0)="Nee")), VLOOKUP($I151,Loonkosten,MATCH("Beoordeeld uurtarief",'4. Rekenhulp loonkosten aanvr.'!$4:$4,0),0),0),"Vast tarief",IF(LEFT(F151,8)="Bijdrage",VLOOKUP($F151,Tb_KostenTypen[],MATCH(Lijsten!$P$1,Tb_KostenTypen[#Headers],0),0),VLOOKUP($G151,Lijsten!L:P,MATCH(Lijsten!$P$1,Kop_Tarief_Vast,0),0))),""),"")</f>
        <v/>
      </c>
      <c r="L151" s="358"/>
      <c r="M151" s="358"/>
      <c r="N151" s="313"/>
      <c r="O151" s="313"/>
      <c r="P151" s="374" t="str">
        <f t="shared" si="9"/>
        <v/>
      </c>
      <c r="Q151" s="314" t="str">
        <f t="shared" si="10"/>
        <v/>
      </c>
      <c r="R151" s="314" t="str" cm="1">
        <f t="array" aca="1" ref="R151" ca="1">_xlfn.IFNA(_xlfn.IFS(X151="Dit kostentype hoeft u niet op te geven. Hiervoor wordt een forfait berekend.","",AND(J151&lt;&gt;"",H151="Vast tarief",F151="Vergoeding"),SUM(J151)*FLOOR(SUM(L151),0.0001),AND(J151&lt;&gt;"",OR(H151="Uurtarief",H151="Vast tarief")),SUM(J151)*FLOOR(SUM(L151),0.01),AND(N151&lt;&gt;"",H151="-"),FLOOR(SUM(N151),0.01)),"")</f>
        <v/>
      </c>
      <c r="S151" s="314" t="str" cm="1">
        <f t="array" aca="1" ref="S151" ca="1">_xlfn.IFNA(_xlfn.IFS(X151="Dit kostentype hoeft u niet op te geven. Hiervoor wordt een forfait berekend.","",AND(K151&lt;&gt;"",M151&lt;&gt;"",H151="Vast tarief",F151="Vergoeding"),SUM(K151)*FLOOR(SUM(M151),0.0001),AND(K151&lt;&gt;"",M151&lt;&gt;"",OR(H151="Uurtarief",H151="Vast tarief")),SUM(K151)*FLOOR(SUM(M151),0.01),AND(O151&lt;&gt;"",H151="-"),FLOOR(SUM(O151),0.01)),"")</f>
        <v/>
      </c>
      <c r="T151" s="314" t="str">
        <f t="shared" ca="1" si="11"/>
        <v/>
      </c>
      <c r="U151" s="314" t="str" cm="1">
        <f t="array" aca="1" ref="U151" ca="1">IFERROR(_xlfn.IFS(OR(F151="",LEFT(Methode_Keuze,4)="Geen",Methode_Keuze=""),"",AND(R151&lt;&gt;"",F151&lt;&gt;"Arbeidskosten"),R151*VLOOKUP(F151,Tb_ProjectKosten[],MATCH(Tb_ProjectKosten[[#Headers],[Forfait_Percentage]],Tb_ProjectKosten[#Headers],0),0),AND(F151="Arbeidskosten",G151&lt;&gt;""),IFERROR(R151*VLOOKUP(G151,Tb_KostenTypen[],3,0)*VLOOKUP(F151,Tb_ProjectKosten[],MATCH(Tb_ProjectKosten[[#Headers],[Forfait_Percentage]],Tb_ProjectKosten[#Headers],0),0),""),R151 &lt;=0,0),"")</f>
        <v/>
      </c>
      <c r="V151" s="314" t="str" cm="1">
        <f t="array" aca="1" ref="V151" ca="1">IFERROR(_xlfn.IFS(OR(F151="",LEFT(Methode_Keuze,4)="Geen",Methode_Keuze=""),"",AND(S151&lt;&gt;"",F151&lt;&gt;"Arbeidskosten"),S151*VLOOKUP(F151,Tb_ProjectKosten[],MATCH(Tb_ProjectKosten[[#Headers],[Forfait_Percentage]],Tb_ProjectKosten[#Headers],0),0),AND(F151="Arbeidskosten",G151&lt;&gt;""),IFERROR(S151*VLOOKUP(G151,Tb_KostenTypen[],3,0)*VLOOKUP(F151,Tb_ProjectKosten[],MATCH(Tb_ProjectKosten[[#Headers],[Forfait_Percentage]],Tb_ProjectKosten[#Headers],0),0),""),S151 &lt;=0,0),"")</f>
        <v/>
      </c>
      <c r="W151" s="314" t="str">
        <f t="shared" ca="1" si="12"/>
        <v/>
      </c>
      <c r="X151" s="376" t="str">
        <f>IFERROR(VLOOKUP(F151,Tb_ProjectKosten[#All],11,0),"")</f>
        <v/>
      </c>
      <c r="Y151" s="315"/>
    </row>
    <row r="152" spans="1:25" x14ac:dyDescent="0.25">
      <c r="A152" s="309">
        <f>MAX($A$5:A151)+1</f>
        <v>147</v>
      </c>
      <c r="B152" s="296"/>
      <c r="C152" s="296"/>
      <c r="D152" s="296"/>
      <c r="E152" s="296"/>
      <c r="F152" s="296"/>
      <c r="G152" s="327"/>
      <c r="H152" s="310" t="str">
        <f ca="1">IFERROR(IF(VLOOKUP(F152,Kostentypen!$A$3:$E$21,3,0)=0,"",IF(OR(F152="Arbeidskosten",F152="Vergoeding"),VLOOKUP(G152,Tb_KostenTypen[],2,0),VLOOKUP(F152,Kostentypen!$A$3:$E$20,3,0))),"")</f>
        <v/>
      </c>
      <c r="I152" s="311"/>
      <c r="J152" s="312" t="str" cm="1">
        <f t="array" ref="J152">_xlfn.IFNA(IF(INDEX(Tb_KostenOpties[],MATCH($F152,Tb_KostenOpties[KostenOptie],0),IFERROR(MATCH(Methode_Keuze,Tb_KostenOpties[#Headers],0),2))=1,_xlfn.SWITCH($H152,"Uurtarief",IF(OR(AND(RIGHT($F152,3)="IKS",VLOOKUP($I152,Loonkosten,2,0)="Ja"),AND(RIGHT($F152,3)&lt;&gt;"IKS",VLOOKUP($I152,Loonkosten,2,0)="Nee")), VLOOKUP($I152,Loonkosten,MATCH("Opgegeven uurtarief",'4. Rekenhulp loonkosten aanvr.'!$4:$4,0)),0),"Vast tarief",IF(LEFT(F152,8)="Bijdrage",VLOOKUP($F152,Tb_KostenTypen[],MATCH(Lijsten!$P$1,Tb_KostenTypen[#Headers],0),0),VLOOKUP($G152,Lijsten!L:P,MATCH(Lijsten!$P$1,Kop_Tarief_Vast,0),0))),""),"")</f>
        <v/>
      </c>
      <c r="K152" s="312" t="str" cm="1">
        <f t="array" ref="K152">_xlfn.IFNA(IF(INDEX(Tb_KostenOpties[],MATCH($F152,Tb_KostenOpties[KostenOptie],0),IFERROR(MATCH(Methode_Keuze,Tb_KostenOpties[#Headers],0),2))=1,_xlfn.SWITCH($H152,"Uurtarief",IF(OR(AND(RIGHT($F152,3)="IKS",VLOOKUP($I152,Loonkosten,2,0)="Ja"),AND(RIGHT($F152,3)&lt;&gt;"IKS",VLOOKUP($I152,Loonkosten,2,0)="Nee")), VLOOKUP($I152,Loonkosten,MATCH("Beoordeeld uurtarief",'4. Rekenhulp loonkosten aanvr.'!$4:$4,0),0),0),"Vast tarief",IF(LEFT(F152,8)="Bijdrage",VLOOKUP($F152,Tb_KostenTypen[],MATCH(Lijsten!$P$1,Tb_KostenTypen[#Headers],0),0),VLOOKUP($G152,Lijsten!L:P,MATCH(Lijsten!$P$1,Kop_Tarief_Vast,0),0))),""),"")</f>
        <v/>
      </c>
      <c r="L152" s="358"/>
      <c r="M152" s="358"/>
      <c r="N152" s="313"/>
      <c r="O152" s="313"/>
      <c r="P152" s="374" t="str">
        <f t="shared" si="9"/>
        <v/>
      </c>
      <c r="Q152" s="314" t="str">
        <f t="shared" si="10"/>
        <v/>
      </c>
      <c r="R152" s="314" t="str" cm="1">
        <f t="array" aca="1" ref="R152" ca="1">_xlfn.IFNA(_xlfn.IFS(X152="Dit kostentype hoeft u niet op te geven. Hiervoor wordt een forfait berekend.","",AND(J152&lt;&gt;"",H152="Vast tarief",F152="Vergoeding"),SUM(J152)*FLOOR(SUM(L152),0.0001),AND(J152&lt;&gt;"",OR(H152="Uurtarief",H152="Vast tarief")),SUM(J152)*FLOOR(SUM(L152),0.01),AND(N152&lt;&gt;"",H152="-"),FLOOR(SUM(N152),0.01)),"")</f>
        <v/>
      </c>
      <c r="S152" s="314" t="str" cm="1">
        <f t="array" aca="1" ref="S152" ca="1">_xlfn.IFNA(_xlfn.IFS(X152="Dit kostentype hoeft u niet op te geven. Hiervoor wordt een forfait berekend.","",AND(K152&lt;&gt;"",M152&lt;&gt;"",H152="Vast tarief",F152="Vergoeding"),SUM(K152)*FLOOR(SUM(M152),0.0001),AND(K152&lt;&gt;"",M152&lt;&gt;"",OR(H152="Uurtarief",H152="Vast tarief")),SUM(K152)*FLOOR(SUM(M152),0.01),AND(O152&lt;&gt;"",H152="-"),FLOOR(SUM(O152),0.01)),"")</f>
        <v/>
      </c>
      <c r="T152" s="314" t="str">
        <f t="shared" ca="1" si="11"/>
        <v/>
      </c>
      <c r="U152" s="314" t="str" cm="1">
        <f t="array" aca="1" ref="U152" ca="1">IFERROR(_xlfn.IFS(OR(F152="",LEFT(Methode_Keuze,4)="Geen",Methode_Keuze=""),"",AND(R152&lt;&gt;"",F152&lt;&gt;"Arbeidskosten"),R152*VLOOKUP(F152,Tb_ProjectKosten[],MATCH(Tb_ProjectKosten[[#Headers],[Forfait_Percentage]],Tb_ProjectKosten[#Headers],0),0),AND(F152="Arbeidskosten",G152&lt;&gt;""),IFERROR(R152*VLOOKUP(G152,Tb_KostenTypen[],3,0)*VLOOKUP(F152,Tb_ProjectKosten[],MATCH(Tb_ProjectKosten[[#Headers],[Forfait_Percentage]],Tb_ProjectKosten[#Headers],0),0),""),R152 &lt;=0,0),"")</f>
        <v/>
      </c>
      <c r="V152" s="314" t="str" cm="1">
        <f t="array" aca="1" ref="V152" ca="1">IFERROR(_xlfn.IFS(OR(F152="",LEFT(Methode_Keuze,4)="Geen",Methode_Keuze=""),"",AND(S152&lt;&gt;"",F152&lt;&gt;"Arbeidskosten"),S152*VLOOKUP(F152,Tb_ProjectKosten[],MATCH(Tb_ProjectKosten[[#Headers],[Forfait_Percentage]],Tb_ProjectKosten[#Headers],0),0),AND(F152="Arbeidskosten",G152&lt;&gt;""),IFERROR(S152*VLOOKUP(G152,Tb_KostenTypen[],3,0)*VLOOKUP(F152,Tb_ProjectKosten[],MATCH(Tb_ProjectKosten[[#Headers],[Forfait_Percentage]],Tb_ProjectKosten[#Headers],0),0),""),S152 &lt;=0,0),"")</f>
        <v/>
      </c>
      <c r="W152" s="314" t="str">
        <f t="shared" ca="1" si="12"/>
        <v/>
      </c>
      <c r="X152" s="376" t="str">
        <f>IFERROR(VLOOKUP(F152,Tb_ProjectKosten[#All],11,0),"")</f>
        <v/>
      </c>
      <c r="Y152" s="315"/>
    </row>
    <row r="153" spans="1:25" x14ac:dyDescent="0.25">
      <c r="A153" s="309">
        <f>MAX($A$5:A152)+1</f>
        <v>148</v>
      </c>
      <c r="B153" s="296"/>
      <c r="C153" s="296"/>
      <c r="D153" s="296"/>
      <c r="E153" s="296"/>
      <c r="F153" s="296"/>
      <c r="G153" s="327"/>
      <c r="H153" s="310" t="str">
        <f ca="1">IFERROR(IF(VLOOKUP(F153,Kostentypen!$A$3:$E$21,3,0)=0,"",IF(OR(F153="Arbeidskosten",F153="Vergoeding"),VLOOKUP(G153,Tb_KostenTypen[],2,0),VLOOKUP(F153,Kostentypen!$A$3:$E$20,3,0))),"")</f>
        <v/>
      </c>
      <c r="I153" s="311"/>
      <c r="J153" s="312" t="str" cm="1">
        <f t="array" ref="J153">_xlfn.IFNA(IF(INDEX(Tb_KostenOpties[],MATCH($F153,Tb_KostenOpties[KostenOptie],0),IFERROR(MATCH(Methode_Keuze,Tb_KostenOpties[#Headers],0),2))=1,_xlfn.SWITCH($H153,"Uurtarief",IF(OR(AND(RIGHT($F153,3)="IKS",VLOOKUP($I153,Loonkosten,2,0)="Ja"),AND(RIGHT($F153,3)&lt;&gt;"IKS",VLOOKUP($I153,Loonkosten,2,0)="Nee")), VLOOKUP($I153,Loonkosten,MATCH("Opgegeven uurtarief",'4. Rekenhulp loonkosten aanvr.'!$4:$4,0)),0),"Vast tarief",IF(LEFT(F153,8)="Bijdrage",VLOOKUP($F153,Tb_KostenTypen[],MATCH(Lijsten!$P$1,Tb_KostenTypen[#Headers],0),0),VLOOKUP($G153,Lijsten!L:P,MATCH(Lijsten!$P$1,Kop_Tarief_Vast,0),0))),""),"")</f>
        <v/>
      </c>
      <c r="K153" s="312" t="str" cm="1">
        <f t="array" ref="K153">_xlfn.IFNA(IF(INDEX(Tb_KostenOpties[],MATCH($F153,Tb_KostenOpties[KostenOptie],0),IFERROR(MATCH(Methode_Keuze,Tb_KostenOpties[#Headers],0),2))=1,_xlfn.SWITCH($H153,"Uurtarief",IF(OR(AND(RIGHT($F153,3)="IKS",VLOOKUP($I153,Loonkosten,2,0)="Ja"),AND(RIGHT($F153,3)&lt;&gt;"IKS",VLOOKUP($I153,Loonkosten,2,0)="Nee")), VLOOKUP($I153,Loonkosten,MATCH("Beoordeeld uurtarief",'4. Rekenhulp loonkosten aanvr.'!$4:$4,0),0),0),"Vast tarief",IF(LEFT(F153,8)="Bijdrage",VLOOKUP($F153,Tb_KostenTypen[],MATCH(Lijsten!$P$1,Tb_KostenTypen[#Headers],0),0),VLOOKUP($G153,Lijsten!L:P,MATCH(Lijsten!$P$1,Kop_Tarief_Vast,0),0))),""),"")</f>
        <v/>
      </c>
      <c r="L153" s="358"/>
      <c r="M153" s="358"/>
      <c r="N153" s="313"/>
      <c r="O153" s="313"/>
      <c r="P153" s="374" t="str">
        <f t="shared" si="9"/>
        <v/>
      </c>
      <c r="Q153" s="314" t="str">
        <f t="shared" si="10"/>
        <v/>
      </c>
      <c r="R153" s="314" t="str" cm="1">
        <f t="array" aca="1" ref="R153" ca="1">_xlfn.IFNA(_xlfn.IFS(X153="Dit kostentype hoeft u niet op te geven. Hiervoor wordt een forfait berekend.","",AND(J153&lt;&gt;"",H153="Vast tarief",F153="Vergoeding"),SUM(J153)*FLOOR(SUM(L153),0.0001),AND(J153&lt;&gt;"",OR(H153="Uurtarief",H153="Vast tarief")),SUM(J153)*FLOOR(SUM(L153),0.01),AND(N153&lt;&gt;"",H153="-"),FLOOR(SUM(N153),0.01)),"")</f>
        <v/>
      </c>
      <c r="S153" s="314" t="str" cm="1">
        <f t="array" aca="1" ref="S153" ca="1">_xlfn.IFNA(_xlfn.IFS(X153="Dit kostentype hoeft u niet op te geven. Hiervoor wordt een forfait berekend.","",AND(K153&lt;&gt;"",M153&lt;&gt;"",H153="Vast tarief",F153="Vergoeding"),SUM(K153)*FLOOR(SUM(M153),0.0001),AND(K153&lt;&gt;"",M153&lt;&gt;"",OR(H153="Uurtarief",H153="Vast tarief")),SUM(K153)*FLOOR(SUM(M153),0.01),AND(O153&lt;&gt;"",H153="-"),FLOOR(SUM(O153),0.01)),"")</f>
        <v/>
      </c>
      <c r="T153" s="314" t="str">
        <f t="shared" ca="1" si="11"/>
        <v/>
      </c>
      <c r="U153" s="314" t="str" cm="1">
        <f t="array" aca="1" ref="U153" ca="1">IFERROR(_xlfn.IFS(OR(F153="",LEFT(Methode_Keuze,4)="Geen",Methode_Keuze=""),"",AND(R153&lt;&gt;"",F153&lt;&gt;"Arbeidskosten"),R153*VLOOKUP(F153,Tb_ProjectKosten[],MATCH(Tb_ProjectKosten[[#Headers],[Forfait_Percentage]],Tb_ProjectKosten[#Headers],0),0),AND(F153="Arbeidskosten",G153&lt;&gt;""),IFERROR(R153*VLOOKUP(G153,Tb_KostenTypen[],3,0)*VLOOKUP(F153,Tb_ProjectKosten[],MATCH(Tb_ProjectKosten[[#Headers],[Forfait_Percentage]],Tb_ProjectKosten[#Headers],0),0),""),R153 &lt;=0,0),"")</f>
        <v/>
      </c>
      <c r="V153" s="314" t="str" cm="1">
        <f t="array" aca="1" ref="V153" ca="1">IFERROR(_xlfn.IFS(OR(F153="",LEFT(Methode_Keuze,4)="Geen",Methode_Keuze=""),"",AND(S153&lt;&gt;"",F153&lt;&gt;"Arbeidskosten"),S153*VLOOKUP(F153,Tb_ProjectKosten[],MATCH(Tb_ProjectKosten[[#Headers],[Forfait_Percentage]],Tb_ProjectKosten[#Headers],0),0),AND(F153="Arbeidskosten",G153&lt;&gt;""),IFERROR(S153*VLOOKUP(G153,Tb_KostenTypen[],3,0)*VLOOKUP(F153,Tb_ProjectKosten[],MATCH(Tb_ProjectKosten[[#Headers],[Forfait_Percentage]],Tb_ProjectKosten[#Headers],0),0),""),S153 &lt;=0,0),"")</f>
        <v/>
      </c>
      <c r="W153" s="314" t="str">
        <f t="shared" ca="1" si="12"/>
        <v/>
      </c>
      <c r="X153" s="376" t="str">
        <f>IFERROR(VLOOKUP(F153,Tb_ProjectKosten[#All],11,0),"")</f>
        <v/>
      </c>
      <c r="Y153" s="315"/>
    </row>
    <row r="154" spans="1:25" x14ac:dyDescent="0.25">
      <c r="A154" s="309">
        <f>MAX($A$5:A153)+1</f>
        <v>149</v>
      </c>
      <c r="B154" s="296"/>
      <c r="C154" s="296"/>
      <c r="D154" s="296"/>
      <c r="E154" s="296"/>
      <c r="F154" s="296"/>
      <c r="G154" s="327"/>
      <c r="H154" s="310" t="str">
        <f ca="1">IFERROR(IF(VLOOKUP(F154,Kostentypen!$A$3:$E$21,3,0)=0,"",IF(OR(F154="Arbeidskosten",F154="Vergoeding"),VLOOKUP(G154,Tb_KostenTypen[],2,0),VLOOKUP(F154,Kostentypen!$A$3:$E$20,3,0))),"")</f>
        <v/>
      </c>
      <c r="I154" s="311"/>
      <c r="J154" s="312" t="str" cm="1">
        <f t="array" ref="J154">_xlfn.IFNA(IF(INDEX(Tb_KostenOpties[],MATCH($F154,Tb_KostenOpties[KostenOptie],0),IFERROR(MATCH(Methode_Keuze,Tb_KostenOpties[#Headers],0),2))=1,_xlfn.SWITCH($H154,"Uurtarief",IF(OR(AND(RIGHT($F154,3)="IKS",VLOOKUP($I154,Loonkosten,2,0)="Ja"),AND(RIGHT($F154,3)&lt;&gt;"IKS",VLOOKUP($I154,Loonkosten,2,0)="Nee")), VLOOKUP($I154,Loonkosten,MATCH("Opgegeven uurtarief",'4. Rekenhulp loonkosten aanvr.'!$4:$4,0)),0),"Vast tarief",IF(LEFT(F154,8)="Bijdrage",VLOOKUP($F154,Tb_KostenTypen[],MATCH(Lijsten!$P$1,Tb_KostenTypen[#Headers],0),0),VLOOKUP($G154,Lijsten!L:P,MATCH(Lijsten!$P$1,Kop_Tarief_Vast,0),0))),""),"")</f>
        <v/>
      </c>
      <c r="K154" s="312" t="str" cm="1">
        <f t="array" ref="K154">_xlfn.IFNA(IF(INDEX(Tb_KostenOpties[],MATCH($F154,Tb_KostenOpties[KostenOptie],0),IFERROR(MATCH(Methode_Keuze,Tb_KostenOpties[#Headers],0),2))=1,_xlfn.SWITCH($H154,"Uurtarief",IF(OR(AND(RIGHT($F154,3)="IKS",VLOOKUP($I154,Loonkosten,2,0)="Ja"),AND(RIGHT($F154,3)&lt;&gt;"IKS",VLOOKUP($I154,Loonkosten,2,0)="Nee")), VLOOKUP($I154,Loonkosten,MATCH("Beoordeeld uurtarief",'4. Rekenhulp loonkosten aanvr.'!$4:$4,0),0),0),"Vast tarief",IF(LEFT(F154,8)="Bijdrage",VLOOKUP($F154,Tb_KostenTypen[],MATCH(Lijsten!$P$1,Tb_KostenTypen[#Headers],0),0),VLOOKUP($G154,Lijsten!L:P,MATCH(Lijsten!$P$1,Kop_Tarief_Vast,0),0))),""),"")</f>
        <v/>
      </c>
      <c r="L154" s="358"/>
      <c r="M154" s="358"/>
      <c r="N154" s="313"/>
      <c r="O154" s="313"/>
      <c r="P154" s="374" t="str">
        <f t="shared" si="9"/>
        <v/>
      </c>
      <c r="Q154" s="314" t="str">
        <f t="shared" si="10"/>
        <v/>
      </c>
      <c r="R154" s="314" t="str" cm="1">
        <f t="array" aca="1" ref="R154" ca="1">_xlfn.IFNA(_xlfn.IFS(X154="Dit kostentype hoeft u niet op te geven. Hiervoor wordt een forfait berekend.","",AND(J154&lt;&gt;"",H154="Vast tarief",F154="Vergoeding"),SUM(J154)*FLOOR(SUM(L154),0.0001),AND(J154&lt;&gt;"",OR(H154="Uurtarief",H154="Vast tarief")),SUM(J154)*FLOOR(SUM(L154),0.01),AND(N154&lt;&gt;"",H154="-"),FLOOR(SUM(N154),0.01)),"")</f>
        <v/>
      </c>
      <c r="S154" s="314" t="str" cm="1">
        <f t="array" aca="1" ref="S154" ca="1">_xlfn.IFNA(_xlfn.IFS(X154="Dit kostentype hoeft u niet op te geven. Hiervoor wordt een forfait berekend.","",AND(K154&lt;&gt;"",M154&lt;&gt;"",H154="Vast tarief",F154="Vergoeding"),SUM(K154)*FLOOR(SUM(M154),0.0001),AND(K154&lt;&gt;"",M154&lt;&gt;"",OR(H154="Uurtarief",H154="Vast tarief")),SUM(K154)*FLOOR(SUM(M154),0.01),AND(O154&lt;&gt;"",H154="-"),FLOOR(SUM(O154),0.01)),"")</f>
        <v/>
      </c>
      <c r="T154" s="314" t="str">
        <f t="shared" ca="1" si="11"/>
        <v/>
      </c>
      <c r="U154" s="314" t="str" cm="1">
        <f t="array" aca="1" ref="U154" ca="1">IFERROR(_xlfn.IFS(OR(F154="",LEFT(Methode_Keuze,4)="Geen",Methode_Keuze=""),"",AND(R154&lt;&gt;"",F154&lt;&gt;"Arbeidskosten"),R154*VLOOKUP(F154,Tb_ProjectKosten[],MATCH(Tb_ProjectKosten[[#Headers],[Forfait_Percentage]],Tb_ProjectKosten[#Headers],0),0),AND(F154="Arbeidskosten",G154&lt;&gt;""),IFERROR(R154*VLOOKUP(G154,Tb_KostenTypen[],3,0)*VLOOKUP(F154,Tb_ProjectKosten[],MATCH(Tb_ProjectKosten[[#Headers],[Forfait_Percentage]],Tb_ProjectKosten[#Headers],0),0),""),R154 &lt;=0,0),"")</f>
        <v/>
      </c>
      <c r="V154" s="314" t="str" cm="1">
        <f t="array" aca="1" ref="V154" ca="1">IFERROR(_xlfn.IFS(OR(F154="",LEFT(Methode_Keuze,4)="Geen",Methode_Keuze=""),"",AND(S154&lt;&gt;"",F154&lt;&gt;"Arbeidskosten"),S154*VLOOKUP(F154,Tb_ProjectKosten[],MATCH(Tb_ProjectKosten[[#Headers],[Forfait_Percentage]],Tb_ProjectKosten[#Headers],0),0),AND(F154="Arbeidskosten",G154&lt;&gt;""),IFERROR(S154*VLOOKUP(G154,Tb_KostenTypen[],3,0)*VLOOKUP(F154,Tb_ProjectKosten[],MATCH(Tb_ProjectKosten[[#Headers],[Forfait_Percentage]],Tb_ProjectKosten[#Headers],0),0),""),S154 &lt;=0,0),"")</f>
        <v/>
      </c>
      <c r="W154" s="314" t="str">
        <f t="shared" ca="1" si="12"/>
        <v/>
      </c>
      <c r="X154" s="376" t="str">
        <f>IFERROR(VLOOKUP(F154,Tb_ProjectKosten[#All],11,0),"")</f>
        <v/>
      </c>
      <c r="Y154" s="315"/>
    </row>
    <row r="155" spans="1:25" x14ac:dyDescent="0.25">
      <c r="A155" s="309">
        <f>MAX($A$5:A154)+1</f>
        <v>150</v>
      </c>
      <c r="B155" s="296"/>
      <c r="C155" s="296"/>
      <c r="D155" s="296"/>
      <c r="E155" s="296"/>
      <c r="F155" s="296"/>
      <c r="G155" s="327"/>
      <c r="H155" s="310" t="str">
        <f ca="1">IFERROR(IF(VLOOKUP(F155,Kostentypen!$A$3:$E$21,3,0)=0,"",IF(OR(F155="Arbeidskosten",F155="Vergoeding"),VLOOKUP(G155,Tb_KostenTypen[],2,0),VLOOKUP(F155,Kostentypen!$A$3:$E$20,3,0))),"")</f>
        <v/>
      </c>
      <c r="I155" s="311"/>
      <c r="J155" s="312" t="str" cm="1">
        <f t="array" ref="J155">_xlfn.IFNA(IF(INDEX(Tb_KostenOpties[],MATCH($F155,Tb_KostenOpties[KostenOptie],0),IFERROR(MATCH(Methode_Keuze,Tb_KostenOpties[#Headers],0),2))=1,_xlfn.SWITCH($H155,"Uurtarief",IF(OR(AND(RIGHT($F155,3)="IKS",VLOOKUP($I155,Loonkosten,2,0)="Ja"),AND(RIGHT($F155,3)&lt;&gt;"IKS",VLOOKUP($I155,Loonkosten,2,0)="Nee")), VLOOKUP($I155,Loonkosten,MATCH("Opgegeven uurtarief",'4. Rekenhulp loonkosten aanvr.'!$4:$4,0)),0),"Vast tarief",IF(LEFT(F155,8)="Bijdrage",VLOOKUP($F155,Tb_KostenTypen[],MATCH(Lijsten!$P$1,Tb_KostenTypen[#Headers],0),0),VLOOKUP($G155,Lijsten!L:P,MATCH(Lijsten!$P$1,Kop_Tarief_Vast,0),0))),""),"")</f>
        <v/>
      </c>
      <c r="K155" s="312" t="str" cm="1">
        <f t="array" ref="K155">_xlfn.IFNA(IF(INDEX(Tb_KostenOpties[],MATCH($F155,Tb_KostenOpties[KostenOptie],0),IFERROR(MATCH(Methode_Keuze,Tb_KostenOpties[#Headers],0),2))=1,_xlfn.SWITCH($H155,"Uurtarief",IF(OR(AND(RIGHT($F155,3)="IKS",VLOOKUP($I155,Loonkosten,2,0)="Ja"),AND(RIGHT($F155,3)&lt;&gt;"IKS",VLOOKUP($I155,Loonkosten,2,0)="Nee")), VLOOKUP($I155,Loonkosten,MATCH("Beoordeeld uurtarief",'4. Rekenhulp loonkosten aanvr.'!$4:$4,0),0),0),"Vast tarief",IF(LEFT(F155,8)="Bijdrage",VLOOKUP($F155,Tb_KostenTypen[],MATCH(Lijsten!$P$1,Tb_KostenTypen[#Headers],0),0),VLOOKUP($G155,Lijsten!L:P,MATCH(Lijsten!$P$1,Kop_Tarief_Vast,0),0))),""),"")</f>
        <v/>
      </c>
      <c r="L155" s="358"/>
      <c r="M155" s="358"/>
      <c r="N155" s="313"/>
      <c r="O155" s="313"/>
      <c r="P155" s="374" t="str">
        <f t="shared" si="9"/>
        <v/>
      </c>
      <c r="Q155" s="314" t="str">
        <f t="shared" si="10"/>
        <v/>
      </c>
      <c r="R155" s="314" t="str" cm="1">
        <f t="array" aca="1" ref="R155" ca="1">_xlfn.IFNA(_xlfn.IFS(X155="Dit kostentype hoeft u niet op te geven. Hiervoor wordt een forfait berekend.","",AND(J155&lt;&gt;"",H155="Vast tarief",F155="Vergoeding"),SUM(J155)*FLOOR(SUM(L155),0.0001),AND(J155&lt;&gt;"",OR(H155="Uurtarief",H155="Vast tarief")),SUM(J155)*FLOOR(SUM(L155),0.01),AND(N155&lt;&gt;"",H155="-"),FLOOR(SUM(N155),0.01)),"")</f>
        <v/>
      </c>
      <c r="S155" s="314" t="str" cm="1">
        <f t="array" aca="1" ref="S155" ca="1">_xlfn.IFNA(_xlfn.IFS(X155="Dit kostentype hoeft u niet op te geven. Hiervoor wordt een forfait berekend.","",AND(K155&lt;&gt;"",M155&lt;&gt;"",H155="Vast tarief",F155="Vergoeding"),SUM(K155)*FLOOR(SUM(M155),0.0001),AND(K155&lt;&gt;"",M155&lt;&gt;"",OR(H155="Uurtarief",H155="Vast tarief")),SUM(K155)*FLOOR(SUM(M155),0.01),AND(O155&lt;&gt;"",H155="-"),FLOOR(SUM(O155),0.01)),"")</f>
        <v/>
      </c>
      <c r="T155" s="314" t="str">
        <f t="shared" ca="1" si="11"/>
        <v/>
      </c>
      <c r="U155" s="314" t="str" cm="1">
        <f t="array" aca="1" ref="U155" ca="1">IFERROR(_xlfn.IFS(OR(F155="",LEFT(Methode_Keuze,4)="Geen",Methode_Keuze=""),"",AND(R155&lt;&gt;"",F155&lt;&gt;"Arbeidskosten"),R155*VLOOKUP(F155,Tb_ProjectKosten[],MATCH(Tb_ProjectKosten[[#Headers],[Forfait_Percentage]],Tb_ProjectKosten[#Headers],0),0),AND(F155="Arbeidskosten",G155&lt;&gt;""),IFERROR(R155*VLOOKUP(G155,Tb_KostenTypen[],3,0)*VLOOKUP(F155,Tb_ProjectKosten[],MATCH(Tb_ProjectKosten[[#Headers],[Forfait_Percentage]],Tb_ProjectKosten[#Headers],0),0),""),R155 &lt;=0,0),"")</f>
        <v/>
      </c>
      <c r="V155" s="314" t="str" cm="1">
        <f t="array" aca="1" ref="V155" ca="1">IFERROR(_xlfn.IFS(OR(F155="",LEFT(Methode_Keuze,4)="Geen",Methode_Keuze=""),"",AND(S155&lt;&gt;"",F155&lt;&gt;"Arbeidskosten"),S155*VLOOKUP(F155,Tb_ProjectKosten[],MATCH(Tb_ProjectKosten[[#Headers],[Forfait_Percentage]],Tb_ProjectKosten[#Headers],0),0),AND(F155="Arbeidskosten",G155&lt;&gt;""),IFERROR(S155*VLOOKUP(G155,Tb_KostenTypen[],3,0)*VLOOKUP(F155,Tb_ProjectKosten[],MATCH(Tb_ProjectKosten[[#Headers],[Forfait_Percentage]],Tb_ProjectKosten[#Headers],0),0),""),S155 &lt;=0,0),"")</f>
        <v/>
      </c>
      <c r="W155" s="314" t="str">
        <f t="shared" ca="1" si="12"/>
        <v/>
      </c>
      <c r="X155" s="376" t="str">
        <f>IFERROR(VLOOKUP(F155,Tb_ProjectKosten[#All],11,0),"")</f>
        <v/>
      </c>
      <c r="Y155" s="315"/>
    </row>
    <row r="156" spans="1:25" x14ac:dyDescent="0.25">
      <c r="A156" s="309">
        <f>MAX($A$5:A155)+1</f>
        <v>151</v>
      </c>
      <c r="B156" s="296"/>
      <c r="C156" s="296"/>
      <c r="D156" s="296"/>
      <c r="E156" s="296"/>
      <c r="F156" s="296"/>
      <c r="G156" s="327"/>
      <c r="H156" s="310" t="str">
        <f ca="1">IFERROR(IF(VLOOKUP(F156,Kostentypen!$A$3:$E$21,3,0)=0,"",IF(OR(F156="Arbeidskosten",F156="Vergoeding"),VLOOKUP(G156,Tb_KostenTypen[],2,0),VLOOKUP(F156,Kostentypen!$A$3:$E$20,3,0))),"")</f>
        <v/>
      </c>
      <c r="I156" s="311"/>
      <c r="J156" s="312" t="str" cm="1">
        <f t="array" ref="J156">_xlfn.IFNA(IF(INDEX(Tb_KostenOpties[],MATCH($F156,Tb_KostenOpties[KostenOptie],0),IFERROR(MATCH(Methode_Keuze,Tb_KostenOpties[#Headers],0),2))=1,_xlfn.SWITCH($H156,"Uurtarief",IF(OR(AND(RIGHT($F156,3)="IKS",VLOOKUP($I156,Loonkosten,2,0)="Ja"),AND(RIGHT($F156,3)&lt;&gt;"IKS",VLOOKUP($I156,Loonkosten,2,0)="Nee")), VLOOKUP($I156,Loonkosten,MATCH("Opgegeven uurtarief",'4. Rekenhulp loonkosten aanvr.'!$4:$4,0)),0),"Vast tarief",IF(LEFT(F156,8)="Bijdrage",VLOOKUP($F156,Tb_KostenTypen[],MATCH(Lijsten!$P$1,Tb_KostenTypen[#Headers],0),0),VLOOKUP($G156,Lijsten!L:P,MATCH(Lijsten!$P$1,Kop_Tarief_Vast,0),0))),""),"")</f>
        <v/>
      </c>
      <c r="K156" s="312" t="str" cm="1">
        <f t="array" ref="K156">_xlfn.IFNA(IF(INDEX(Tb_KostenOpties[],MATCH($F156,Tb_KostenOpties[KostenOptie],0),IFERROR(MATCH(Methode_Keuze,Tb_KostenOpties[#Headers],0),2))=1,_xlfn.SWITCH($H156,"Uurtarief",IF(OR(AND(RIGHT($F156,3)="IKS",VLOOKUP($I156,Loonkosten,2,0)="Ja"),AND(RIGHT($F156,3)&lt;&gt;"IKS",VLOOKUP($I156,Loonkosten,2,0)="Nee")), VLOOKUP($I156,Loonkosten,MATCH("Beoordeeld uurtarief",'4. Rekenhulp loonkosten aanvr.'!$4:$4,0),0),0),"Vast tarief",IF(LEFT(F156,8)="Bijdrage",VLOOKUP($F156,Tb_KostenTypen[],MATCH(Lijsten!$P$1,Tb_KostenTypen[#Headers],0),0),VLOOKUP($G156,Lijsten!L:P,MATCH(Lijsten!$P$1,Kop_Tarief_Vast,0),0))),""),"")</f>
        <v/>
      </c>
      <c r="L156" s="358"/>
      <c r="M156" s="358"/>
      <c r="N156" s="313"/>
      <c r="O156" s="313"/>
      <c r="P156" s="374" t="str">
        <f t="shared" si="9"/>
        <v/>
      </c>
      <c r="Q156" s="314" t="str">
        <f t="shared" si="10"/>
        <v/>
      </c>
      <c r="R156" s="314" t="str" cm="1">
        <f t="array" aca="1" ref="R156" ca="1">_xlfn.IFNA(_xlfn.IFS(X156="Dit kostentype hoeft u niet op te geven. Hiervoor wordt een forfait berekend.","",AND(J156&lt;&gt;"",H156="Vast tarief",F156="Vergoeding"),SUM(J156)*FLOOR(SUM(L156),0.0001),AND(J156&lt;&gt;"",OR(H156="Uurtarief",H156="Vast tarief")),SUM(J156)*FLOOR(SUM(L156),0.01),AND(N156&lt;&gt;"",H156="-"),FLOOR(SUM(N156),0.01)),"")</f>
        <v/>
      </c>
      <c r="S156" s="314" t="str" cm="1">
        <f t="array" aca="1" ref="S156" ca="1">_xlfn.IFNA(_xlfn.IFS(X156="Dit kostentype hoeft u niet op te geven. Hiervoor wordt een forfait berekend.","",AND(K156&lt;&gt;"",M156&lt;&gt;"",H156="Vast tarief",F156="Vergoeding"),SUM(K156)*FLOOR(SUM(M156),0.0001),AND(K156&lt;&gt;"",M156&lt;&gt;"",OR(H156="Uurtarief",H156="Vast tarief")),SUM(K156)*FLOOR(SUM(M156),0.01),AND(O156&lt;&gt;"",H156="-"),FLOOR(SUM(O156),0.01)),"")</f>
        <v/>
      </c>
      <c r="T156" s="314" t="str">
        <f t="shared" ca="1" si="11"/>
        <v/>
      </c>
      <c r="U156" s="314" t="str" cm="1">
        <f t="array" aca="1" ref="U156" ca="1">IFERROR(_xlfn.IFS(OR(F156="",LEFT(Methode_Keuze,4)="Geen",Methode_Keuze=""),"",AND(R156&lt;&gt;"",F156&lt;&gt;"Arbeidskosten"),R156*VLOOKUP(F156,Tb_ProjectKosten[],MATCH(Tb_ProjectKosten[[#Headers],[Forfait_Percentage]],Tb_ProjectKosten[#Headers],0),0),AND(F156="Arbeidskosten",G156&lt;&gt;""),IFERROR(R156*VLOOKUP(G156,Tb_KostenTypen[],3,0)*VLOOKUP(F156,Tb_ProjectKosten[],MATCH(Tb_ProjectKosten[[#Headers],[Forfait_Percentage]],Tb_ProjectKosten[#Headers],0),0),""),R156 &lt;=0,0),"")</f>
        <v/>
      </c>
      <c r="V156" s="314" t="str" cm="1">
        <f t="array" aca="1" ref="V156" ca="1">IFERROR(_xlfn.IFS(OR(F156="",LEFT(Methode_Keuze,4)="Geen",Methode_Keuze=""),"",AND(S156&lt;&gt;"",F156&lt;&gt;"Arbeidskosten"),S156*VLOOKUP(F156,Tb_ProjectKosten[],MATCH(Tb_ProjectKosten[[#Headers],[Forfait_Percentage]],Tb_ProjectKosten[#Headers],0),0),AND(F156="Arbeidskosten",G156&lt;&gt;""),IFERROR(S156*VLOOKUP(G156,Tb_KostenTypen[],3,0)*VLOOKUP(F156,Tb_ProjectKosten[],MATCH(Tb_ProjectKosten[[#Headers],[Forfait_Percentage]],Tb_ProjectKosten[#Headers],0),0),""),S156 &lt;=0,0),"")</f>
        <v/>
      </c>
      <c r="W156" s="314" t="str">
        <f t="shared" ca="1" si="12"/>
        <v/>
      </c>
      <c r="X156" s="376" t="str">
        <f>IFERROR(VLOOKUP(F156,Tb_ProjectKosten[#All],11,0),"")</f>
        <v/>
      </c>
      <c r="Y156" s="315"/>
    </row>
    <row r="157" spans="1:25" x14ac:dyDescent="0.25">
      <c r="A157" s="309">
        <f>MAX($A$5:A156)+1</f>
        <v>152</v>
      </c>
      <c r="B157" s="296"/>
      <c r="C157" s="296"/>
      <c r="D157" s="296"/>
      <c r="E157" s="296"/>
      <c r="F157" s="296"/>
      <c r="G157" s="327"/>
      <c r="H157" s="310" t="str">
        <f ca="1">IFERROR(IF(VLOOKUP(F157,Kostentypen!$A$3:$E$21,3,0)=0,"",IF(OR(F157="Arbeidskosten",F157="Vergoeding"),VLOOKUP(G157,Tb_KostenTypen[],2,0),VLOOKUP(F157,Kostentypen!$A$3:$E$20,3,0))),"")</f>
        <v/>
      </c>
      <c r="I157" s="311"/>
      <c r="J157" s="312" t="str" cm="1">
        <f t="array" ref="J157">_xlfn.IFNA(IF(INDEX(Tb_KostenOpties[],MATCH($F157,Tb_KostenOpties[KostenOptie],0),IFERROR(MATCH(Methode_Keuze,Tb_KostenOpties[#Headers],0),2))=1,_xlfn.SWITCH($H157,"Uurtarief",IF(OR(AND(RIGHT($F157,3)="IKS",VLOOKUP($I157,Loonkosten,2,0)="Ja"),AND(RIGHT($F157,3)&lt;&gt;"IKS",VLOOKUP($I157,Loonkosten,2,0)="Nee")), VLOOKUP($I157,Loonkosten,MATCH("Opgegeven uurtarief",'4. Rekenhulp loonkosten aanvr.'!$4:$4,0)),0),"Vast tarief",IF(LEFT(F157,8)="Bijdrage",VLOOKUP($F157,Tb_KostenTypen[],MATCH(Lijsten!$P$1,Tb_KostenTypen[#Headers],0),0),VLOOKUP($G157,Lijsten!L:P,MATCH(Lijsten!$P$1,Kop_Tarief_Vast,0),0))),""),"")</f>
        <v/>
      </c>
      <c r="K157" s="312" t="str" cm="1">
        <f t="array" ref="K157">_xlfn.IFNA(IF(INDEX(Tb_KostenOpties[],MATCH($F157,Tb_KostenOpties[KostenOptie],0),IFERROR(MATCH(Methode_Keuze,Tb_KostenOpties[#Headers],0),2))=1,_xlfn.SWITCH($H157,"Uurtarief",IF(OR(AND(RIGHT($F157,3)="IKS",VLOOKUP($I157,Loonkosten,2,0)="Ja"),AND(RIGHT($F157,3)&lt;&gt;"IKS",VLOOKUP($I157,Loonkosten,2,0)="Nee")), VLOOKUP($I157,Loonkosten,MATCH("Beoordeeld uurtarief",'4. Rekenhulp loonkosten aanvr.'!$4:$4,0),0),0),"Vast tarief",IF(LEFT(F157,8)="Bijdrage",VLOOKUP($F157,Tb_KostenTypen[],MATCH(Lijsten!$P$1,Tb_KostenTypen[#Headers],0),0),VLOOKUP($G157,Lijsten!L:P,MATCH(Lijsten!$P$1,Kop_Tarief_Vast,0),0))),""),"")</f>
        <v/>
      </c>
      <c r="L157" s="358"/>
      <c r="M157" s="358"/>
      <c r="N157" s="313"/>
      <c r="O157" s="313"/>
      <c r="P157" s="374" t="str">
        <f t="shared" si="9"/>
        <v/>
      </c>
      <c r="Q157" s="314" t="str">
        <f t="shared" si="10"/>
        <v/>
      </c>
      <c r="R157" s="314" t="str" cm="1">
        <f t="array" aca="1" ref="R157" ca="1">_xlfn.IFNA(_xlfn.IFS(X157="Dit kostentype hoeft u niet op te geven. Hiervoor wordt een forfait berekend.","",AND(J157&lt;&gt;"",H157="Vast tarief",F157="Vergoeding"),SUM(J157)*FLOOR(SUM(L157),0.0001),AND(J157&lt;&gt;"",OR(H157="Uurtarief",H157="Vast tarief")),SUM(J157)*FLOOR(SUM(L157),0.01),AND(N157&lt;&gt;"",H157="-"),FLOOR(SUM(N157),0.01)),"")</f>
        <v/>
      </c>
      <c r="S157" s="314" t="str" cm="1">
        <f t="array" aca="1" ref="S157" ca="1">_xlfn.IFNA(_xlfn.IFS(X157="Dit kostentype hoeft u niet op te geven. Hiervoor wordt een forfait berekend.","",AND(K157&lt;&gt;"",M157&lt;&gt;"",H157="Vast tarief",F157="Vergoeding"),SUM(K157)*FLOOR(SUM(M157),0.0001),AND(K157&lt;&gt;"",M157&lt;&gt;"",OR(H157="Uurtarief",H157="Vast tarief")),SUM(K157)*FLOOR(SUM(M157),0.01),AND(O157&lt;&gt;"",H157="-"),FLOOR(SUM(O157),0.01)),"")</f>
        <v/>
      </c>
      <c r="T157" s="314" t="str">
        <f t="shared" ca="1" si="11"/>
        <v/>
      </c>
      <c r="U157" s="314" t="str" cm="1">
        <f t="array" aca="1" ref="U157" ca="1">IFERROR(_xlfn.IFS(OR(F157="",LEFT(Methode_Keuze,4)="Geen",Methode_Keuze=""),"",AND(R157&lt;&gt;"",F157&lt;&gt;"Arbeidskosten"),R157*VLOOKUP(F157,Tb_ProjectKosten[],MATCH(Tb_ProjectKosten[[#Headers],[Forfait_Percentage]],Tb_ProjectKosten[#Headers],0),0),AND(F157="Arbeidskosten",G157&lt;&gt;""),IFERROR(R157*VLOOKUP(G157,Tb_KostenTypen[],3,0)*VLOOKUP(F157,Tb_ProjectKosten[],MATCH(Tb_ProjectKosten[[#Headers],[Forfait_Percentage]],Tb_ProjectKosten[#Headers],0),0),""),R157 &lt;=0,0),"")</f>
        <v/>
      </c>
      <c r="V157" s="314" t="str" cm="1">
        <f t="array" aca="1" ref="V157" ca="1">IFERROR(_xlfn.IFS(OR(F157="",LEFT(Methode_Keuze,4)="Geen",Methode_Keuze=""),"",AND(S157&lt;&gt;"",F157&lt;&gt;"Arbeidskosten"),S157*VLOOKUP(F157,Tb_ProjectKosten[],MATCH(Tb_ProjectKosten[[#Headers],[Forfait_Percentage]],Tb_ProjectKosten[#Headers],0),0),AND(F157="Arbeidskosten",G157&lt;&gt;""),IFERROR(S157*VLOOKUP(G157,Tb_KostenTypen[],3,0)*VLOOKUP(F157,Tb_ProjectKosten[],MATCH(Tb_ProjectKosten[[#Headers],[Forfait_Percentage]],Tb_ProjectKosten[#Headers],0),0),""),S157 &lt;=0,0),"")</f>
        <v/>
      </c>
      <c r="W157" s="314" t="str">
        <f t="shared" ca="1" si="12"/>
        <v/>
      </c>
      <c r="X157" s="376" t="str">
        <f>IFERROR(VLOOKUP(F157,Tb_ProjectKosten[#All],11,0),"")</f>
        <v/>
      </c>
      <c r="Y157" s="315"/>
    </row>
    <row r="158" spans="1:25" x14ac:dyDescent="0.25">
      <c r="A158" s="309">
        <f>MAX($A$5:A157)+1</f>
        <v>153</v>
      </c>
      <c r="B158" s="296"/>
      <c r="C158" s="296"/>
      <c r="D158" s="296"/>
      <c r="E158" s="296"/>
      <c r="F158" s="296"/>
      <c r="G158" s="327"/>
      <c r="H158" s="310" t="str">
        <f ca="1">IFERROR(IF(VLOOKUP(F158,Kostentypen!$A$3:$E$21,3,0)=0,"",IF(OR(F158="Arbeidskosten",F158="Vergoeding"),VLOOKUP(G158,Tb_KostenTypen[],2,0),VLOOKUP(F158,Kostentypen!$A$3:$E$20,3,0))),"")</f>
        <v/>
      </c>
      <c r="I158" s="311"/>
      <c r="J158" s="312" t="str" cm="1">
        <f t="array" ref="J158">_xlfn.IFNA(IF(INDEX(Tb_KostenOpties[],MATCH($F158,Tb_KostenOpties[KostenOptie],0),IFERROR(MATCH(Methode_Keuze,Tb_KostenOpties[#Headers],0),2))=1,_xlfn.SWITCH($H158,"Uurtarief",IF(OR(AND(RIGHT($F158,3)="IKS",VLOOKUP($I158,Loonkosten,2,0)="Ja"),AND(RIGHT($F158,3)&lt;&gt;"IKS",VLOOKUP($I158,Loonkosten,2,0)="Nee")), VLOOKUP($I158,Loonkosten,MATCH("Opgegeven uurtarief",'4. Rekenhulp loonkosten aanvr.'!$4:$4,0)),0),"Vast tarief",IF(LEFT(F158,8)="Bijdrage",VLOOKUP($F158,Tb_KostenTypen[],MATCH(Lijsten!$P$1,Tb_KostenTypen[#Headers],0),0),VLOOKUP($G158,Lijsten!L:P,MATCH(Lijsten!$P$1,Kop_Tarief_Vast,0),0))),""),"")</f>
        <v/>
      </c>
      <c r="K158" s="312" t="str" cm="1">
        <f t="array" ref="K158">_xlfn.IFNA(IF(INDEX(Tb_KostenOpties[],MATCH($F158,Tb_KostenOpties[KostenOptie],0),IFERROR(MATCH(Methode_Keuze,Tb_KostenOpties[#Headers],0),2))=1,_xlfn.SWITCH($H158,"Uurtarief",IF(OR(AND(RIGHT($F158,3)="IKS",VLOOKUP($I158,Loonkosten,2,0)="Ja"),AND(RIGHT($F158,3)&lt;&gt;"IKS",VLOOKUP($I158,Loonkosten,2,0)="Nee")), VLOOKUP($I158,Loonkosten,MATCH("Beoordeeld uurtarief",'4. Rekenhulp loonkosten aanvr.'!$4:$4,0),0),0),"Vast tarief",IF(LEFT(F158,8)="Bijdrage",VLOOKUP($F158,Tb_KostenTypen[],MATCH(Lijsten!$P$1,Tb_KostenTypen[#Headers],0),0),VLOOKUP($G158,Lijsten!L:P,MATCH(Lijsten!$P$1,Kop_Tarief_Vast,0),0))),""),"")</f>
        <v/>
      </c>
      <c r="L158" s="358"/>
      <c r="M158" s="358"/>
      <c r="N158" s="313"/>
      <c r="O158" s="313"/>
      <c r="P158" s="374" t="str">
        <f t="shared" si="9"/>
        <v/>
      </c>
      <c r="Q158" s="314" t="str">
        <f t="shared" si="10"/>
        <v/>
      </c>
      <c r="R158" s="314" t="str" cm="1">
        <f t="array" aca="1" ref="R158" ca="1">_xlfn.IFNA(_xlfn.IFS(X158="Dit kostentype hoeft u niet op te geven. Hiervoor wordt een forfait berekend.","",AND(J158&lt;&gt;"",H158="Vast tarief",F158="Vergoeding"),SUM(J158)*FLOOR(SUM(L158),0.0001),AND(J158&lt;&gt;"",OR(H158="Uurtarief",H158="Vast tarief")),SUM(J158)*FLOOR(SUM(L158),0.01),AND(N158&lt;&gt;"",H158="-"),FLOOR(SUM(N158),0.01)),"")</f>
        <v/>
      </c>
      <c r="S158" s="314" t="str" cm="1">
        <f t="array" aca="1" ref="S158" ca="1">_xlfn.IFNA(_xlfn.IFS(X158="Dit kostentype hoeft u niet op te geven. Hiervoor wordt een forfait berekend.","",AND(K158&lt;&gt;"",M158&lt;&gt;"",H158="Vast tarief",F158="Vergoeding"),SUM(K158)*FLOOR(SUM(M158),0.0001),AND(K158&lt;&gt;"",M158&lt;&gt;"",OR(H158="Uurtarief",H158="Vast tarief")),SUM(K158)*FLOOR(SUM(M158),0.01),AND(O158&lt;&gt;"",H158="-"),FLOOR(SUM(O158),0.01)),"")</f>
        <v/>
      </c>
      <c r="T158" s="314" t="str">
        <f t="shared" ca="1" si="11"/>
        <v/>
      </c>
      <c r="U158" s="314" t="str" cm="1">
        <f t="array" aca="1" ref="U158" ca="1">IFERROR(_xlfn.IFS(OR(F158="",LEFT(Methode_Keuze,4)="Geen",Methode_Keuze=""),"",AND(R158&lt;&gt;"",F158&lt;&gt;"Arbeidskosten"),R158*VLOOKUP(F158,Tb_ProjectKosten[],MATCH(Tb_ProjectKosten[[#Headers],[Forfait_Percentage]],Tb_ProjectKosten[#Headers],0),0),AND(F158="Arbeidskosten",G158&lt;&gt;""),IFERROR(R158*VLOOKUP(G158,Tb_KostenTypen[],3,0)*VLOOKUP(F158,Tb_ProjectKosten[],MATCH(Tb_ProjectKosten[[#Headers],[Forfait_Percentage]],Tb_ProjectKosten[#Headers],0),0),""),R158 &lt;=0,0),"")</f>
        <v/>
      </c>
      <c r="V158" s="314" t="str" cm="1">
        <f t="array" aca="1" ref="V158" ca="1">IFERROR(_xlfn.IFS(OR(F158="",LEFT(Methode_Keuze,4)="Geen",Methode_Keuze=""),"",AND(S158&lt;&gt;"",F158&lt;&gt;"Arbeidskosten"),S158*VLOOKUP(F158,Tb_ProjectKosten[],MATCH(Tb_ProjectKosten[[#Headers],[Forfait_Percentage]],Tb_ProjectKosten[#Headers],0),0),AND(F158="Arbeidskosten",G158&lt;&gt;""),IFERROR(S158*VLOOKUP(G158,Tb_KostenTypen[],3,0)*VLOOKUP(F158,Tb_ProjectKosten[],MATCH(Tb_ProjectKosten[[#Headers],[Forfait_Percentage]],Tb_ProjectKosten[#Headers],0),0),""),S158 &lt;=0,0),"")</f>
        <v/>
      </c>
      <c r="W158" s="314" t="str">
        <f t="shared" ca="1" si="12"/>
        <v/>
      </c>
      <c r="X158" s="376" t="str">
        <f>IFERROR(VLOOKUP(F158,Tb_ProjectKosten[#All],11,0),"")</f>
        <v/>
      </c>
      <c r="Y158" s="315"/>
    </row>
    <row r="159" spans="1:25" x14ac:dyDescent="0.25">
      <c r="A159" s="309">
        <f>MAX($A$5:A158)+1</f>
        <v>154</v>
      </c>
      <c r="B159" s="296"/>
      <c r="C159" s="296"/>
      <c r="D159" s="296"/>
      <c r="E159" s="296"/>
      <c r="F159" s="296"/>
      <c r="G159" s="327"/>
      <c r="H159" s="310" t="str">
        <f ca="1">IFERROR(IF(VLOOKUP(F159,Kostentypen!$A$3:$E$21,3,0)=0,"",IF(OR(F159="Arbeidskosten",F159="Vergoeding"),VLOOKUP(G159,Tb_KostenTypen[],2,0),VLOOKUP(F159,Kostentypen!$A$3:$E$20,3,0))),"")</f>
        <v/>
      </c>
      <c r="I159" s="311"/>
      <c r="J159" s="312" t="str" cm="1">
        <f t="array" ref="J159">_xlfn.IFNA(IF(INDEX(Tb_KostenOpties[],MATCH($F159,Tb_KostenOpties[KostenOptie],0),IFERROR(MATCH(Methode_Keuze,Tb_KostenOpties[#Headers],0),2))=1,_xlfn.SWITCH($H159,"Uurtarief",IF(OR(AND(RIGHT($F159,3)="IKS",VLOOKUP($I159,Loonkosten,2,0)="Ja"),AND(RIGHT($F159,3)&lt;&gt;"IKS",VLOOKUP($I159,Loonkosten,2,0)="Nee")), VLOOKUP($I159,Loonkosten,MATCH("Opgegeven uurtarief",'4. Rekenhulp loonkosten aanvr.'!$4:$4,0)),0),"Vast tarief",IF(LEFT(F159,8)="Bijdrage",VLOOKUP($F159,Tb_KostenTypen[],MATCH(Lijsten!$P$1,Tb_KostenTypen[#Headers],0),0),VLOOKUP($G159,Lijsten!L:P,MATCH(Lijsten!$P$1,Kop_Tarief_Vast,0),0))),""),"")</f>
        <v/>
      </c>
      <c r="K159" s="312" t="str" cm="1">
        <f t="array" ref="K159">_xlfn.IFNA(IF(INDEX(Tb_KostenOpties[],MATCH($F159,Tb_KostenOpties[KostenOptie],0),IFERROR(MATCH(Methode_Keuze,Tb_KostenOpties[#Headers],0),2))=1,_xlfn.SWITCH($H159,"Uurtarief",IF(OR(AND(RIGHT($F159,3)="IKS",VLOOKUP($I159,Loonkosten,2,0)="Ja"),AND(RIGHT($F159,3)&lt;&gt;"IKS",VLOOKUP($I159,Loonkosten,2,0)="Nee")), VLOOKUP($I159,Loonkosten,MATCH("Beoordeeld uurtarief",'4. Rekenhulp loonkosten aanvr.'!$4:$4,0),0),0),"Vast tarief",IF(LEFT(F159,8)="Bijdrage",VLOOKUP($F159,Tb_KostenTypen[],MATCH(Lijsten!$P$1,Tb_KostenTypen[#Headers],0),0),VLOOKUP($G159,Lijsten!L:P,MATCH(Lijsten!$P$1,Kop_Tarief_Vast,0),0))),""),"")</f>
        <v/>
      </c>
      <c r="L159" s="358"/>
      <c r="M159" s="358"/>
      <c r="N159" s="313"/>
      <c r="O159" s="313"/>
      <c r="P159" s="374" t="str">
        <f t="shared" si="9"/>
        <v/>
      </c>
      <c r="Q159" s="314" t="str">
        <f t="shared" si="10"/>
        <v/>
      </c>
      <c r="R159" s="314" t="str" cm="1">
        <f t="array" aca="1" ref="R159" ca="1">_xlfn.IFNA(_xlfn.IFS(X159="Dit kostentype hoeft u niet op te geven. Hiervoor wordt een forfait berekend.","",AND(J159&lt;&gt;"",H159="Vast tarief",F159="Vergoeding"),SUM(J159)*FLOOR(SUM(L159),0.0001),AND(J159&lt;&gt;"",OR(H159="Uurtarief",H159="Vast tarief")),SUM(J159)*FLOOR(SUM(L159),0.01),AND(N159&lt;&gt;"",H159="-"),FLOOR(SUM(N159),0.01)),"")</f>
        <v/>
      </c>
      <c r="S159" s="314" t="str" cm="1">
        <f t="array" aca="1" ref="S159" ca="1">_xlfn.IFNA(_xlfn.IFS(X159="Dit kostentype hoeft u niet op te geven. Hiervoor wordt een forfait berekend.","",AND(K159&lt;&gt;"",M159&lt;&gt;"",H159="Vast tarief",F159="Vergoeding"),SUM(K159)*FLOOR(SUM(M159),0.0001),AND(K159&lt;&gt;"",M159&lt;&gt;"",OR(H159="Uurtarief",H159="Vast tarief")),SUM(K159)*FLOOR(SUM(M159),0.01),AND(O159&lt;&gt;"",H159="-"),FLOOR(SUM(O159),0.01)),"")</f>
        <v/>
      </c>
      <c r="T159" s="314" t="str">
        <f t="shared" ca="1" si="11"/>
        <v/>
      </c>
      <c r="U159" s="314" t="str" cm="1">
        <f t="array" aca="1" ref="U159" ca="1">IFERROR(_xlfn.IFS(OR(F159="",LEFT(Methode_Keuze,4)="Geen",Methode_Keuze=""),"",AND(R159&lt;&gt;"",F159&lt;&gt;"Arbeidskosten"),R159*VLOOKUP(F159,Tb_ProjectKosten[],MATCH(Tb_ProjectKosten[[#Headers],[Forfait_Percentage]],Tb_ProjectKosten[#Headers],0),0),AND(F159="Arbeidskosten",G159&lt;&gt;""),IFERROR(R159*VLOOKUP(G159,Tb_KostenTypen[],3,0)*VLOOKUP(F159,Tb_ProjectKosten[],MATCH(Tb_ProjectKosten[[#Headers],[Forfait_Percentage]],Tb_ProjectKosten[#Headers],0),0),""),R159 &lt;=0,0),"")</f>
        <v/>
      </c>
      <c r="V159" s="314" t="str" cm="1">
        <f t="array" aca="1" ref="V159" ca="1">IFERROR(_xlfn.IFS(OR(F159="",LEFT(Methode_Keuze,4)="Geen",Methode_Keuze=""),"",AND(S159&lt;&gt;"",F159&lt;&gt;"Arbeidskosten"),S159*VLOOKUP(F159,Tb_ProjectKosten[],MATCH(Tb_ProjectKosten[[#Headers],[Forfait_Percentage]],Tb_ProjectKosten[#Headers],0),0),AND(F159="Arbeidskosten",G159&lt;&gt;""),IFERROR(S159*VLOOKUP(G159,Tb_KostenTypen[],3,0)*VLOOKUP(F159,Tb_ProjectKosten[],MATCH(Tb_ProjectKosten[[#Headers],[Forfait_Percentage]],Tb_ProjectKosten[#Headers],0),0),""),S159 &lt;=0,0),"")</f>
        <v/>
      </c>
      <c r="W159" s="314" t="str">
        <f t="shared" ca="1" si="12"/>
        <v/>
      </c>
      <c r="X159" s="376" t="str">
        <f>IFERROR(VLOOKUP(F159,Tb_ProjectKosten[#All],11,0),"")</f>
        <v/>
      </c>
      <c r="Y159" s="315"/>
    </row>
    <row r="160" spans="1:25" x14ac:dyDescent="0.25">
      <c r="A160" s="309">
        <f>MAX($A$5:A159)+1</f>
        <v>155</v>
      </c>
      <c r="B160" s="296"/>
      <c r="C160" s="296"/>
      <c r="D160" s="296"/>
      <c r="E160" s="296"/>
      <c r="F160" s="296"/>
      <c r="G160" s="327"/>
      <c r="H160" s="310" t="str">
        <f ca="1">IFERROR(IF(VLOOKUP(F160,Kostentypen!$A$3:$E$21,3,0)=0,"",IF(OR(F160="Arbeidskosten",F160="Vergoeding"),VLOOKUP(G160,Tb_KostenTypen[],2,0),VLOOKUP(F160,Kostentypen!$A$3:$E$20,3,0))),"")</f>
        <v/>
      </c>
      <c r="I160" s="311"/>
      <c r="J160" s="312" t="str" cm="1">
        <f t="array" ref="J160">_xlfn.IFNA(IF(INDEX(Tb_KostenOpties[],MATCH($F160,Tb_KostenOpties[KostenOptie],0),IFERROR(MATCH(Methode_Keuze,Tb_KostenOpties[#Headers],0),2))=1,_xlfn.SWITCH($H160,"Uurtarief",IF(OR(AND(RIGHT($F160,3)="IKS",VLOOKUP($I160,Loonkosten,2,0)="Ja"),AND(RIGHT($F160,3)&lt;&gt;"IKS",VLOOKUP($I160,Loonkosten,2,0)="Nee")), VLOOKUP($I160,Loonkosten,MATCH("Opgegeven uurtarief",'4. Rekenhulp loonkosten aanvr.'!$4:$4,0)),0),"Vast tarief",IF(LEFT(F160,8)="Bijdrage",VLOOKUP($F160,Tb_KostenTypen[],MATCH(Lijsten!$P$1,Tb_KostenTypen[#Headers],0),0),VLOOKUP($G160,Lijsten!L:P,MATCH(Lijsten!$P$1,Kop_Tarief_Vast,0),0))),""),"")</f>
        <v/>
      </c>
      <c r="K160" s="312" t="str" cm="1">
        <f t="array" ref="K160">_xlfn.IFNA(IF(INDEX(Tb_KostenOpties[],MATCH($F160,Tb_KostenOpties[KostenOptie],0),IFERROR(MATCH(Methode_Keuze,Tb_KostenOpties[#Headers],0),2))=1,_xlfn.SWITCH($H160,"Uurtarief",IF(OR(AND(RIGHT($F160,3)="IKS",VLOOKUP($I160,Loonkosten,2,0)="Ja"),AND(RIGHT($F160,3)&lt;&gt;"IKS",VLOOKUP($I160,Loonkosten,2,0)="Nee")), VLOOKUP($I160,Loonkosten,MATCH("Beoordeeld uurtarief",'4. Rekenhulp loonkosten aanvr.'!$4:$4,0),0),0),"Vast tarief",IF(LEFT(F160,8)="Bijdrage",VLOOKUP($F160,Tb_KostenTypen[],MATCH(Lijsten!$P$1,Tb_KostenTypen[#Headers],0),0),VLOOKUP($G160,Lijsten!L:P,MATCH(Lijsten!$P$1,Kop_Tarief_Vast,0),0))),""),"")</f>
        <v/>
      </c>
      <c r="L160" s="358"/>
      <c r="M160" s="358"/>
      <c r="N160" s="313"/>
      <c r="O160" s="313"/>
      <c r="P160" s="374" t="str">
        <f t="shared" si="9"/>
        <v/>
      </c>
      <c r="Q160" s="314" t="str">
        <f t="shared" si="10"/>
        <v/>
      </c>
      <c r="R160" s="314" t="str" cm="1">
        <f t="array" aca="1" ref="R160" ca="1">_xlfn.IFNA(_xlfn.IFS(X160="Dit kostentype hoeft u niet op te geven. Hiervoor wordt een forfait berekend.","",AND(J160&lt;&gt;"",H160="Vast tarief",F160="Vergoeding"),SUM(J160)*FLOOR(SUM(L160),0.0001),AND(J160&lt;&gt;"",OR(H160="Uurtarief",H160="Vast tarief")),SUM(J160)*FLOOR(SUM(L160),0.01),AND(N160&lt;&gt;"",H160="-"),FLOOR(SUM(N160),0.01)),"")</f>
        <v/>
      </c>
      <c r="S160" s="314" t="str" cm="1">
        <f t="array" aca="1" ref="S160" ca="1">_xlfn.IFNA(_xlfn.IFS(X160="Dit kostentype hoeft u niet op te geven. Hiervoor wordt een forfait berekend.","",AND(K160&lt;&gt;"",M160&lt;&gt;"",H160="Vast tarief",F160="Vergoeding"),SUM(K160)*FLOOR(SUM(M160),0.0001),AND(K160&lt;&gt;"",M160&lt;&gt;"",OR(H160="Uurtarief",H160="Vast tarief")),SUM(K160)*FLOOR(SUM(M160),0.01),AND(O160&lt;&gt;"",H160="-"),FLOOR(SUM(O160),0.01)),"")</f>
        <v/>
      </c>
      <c r="T160" s="314" t="str">
        <f t="shared" ca="1" si="11"/>
        <v/>
      </c>
      <c r="U160" s="314" t="str" cm="1">
        <f t="array" aca="1" ref="U160" ca="1">IFERROR(_xlfn.IFS(OR(F160="",LEFT(Methode_Keuze,4)="Geen",Methode_Keuze=""),"",AND(R160&lt;&gt;"",F160&lt;&gt;"Arbeidskosten"),R160*VLOOKUP(F160,Tb_ProjectKosten[],MATCH(Tb_ProjectKosten[[#Headers],[Forfait_Percentage]],Tb_ProjectKosten[#Headers],0),0),AND(F160="Arbeidskosten",G160&lt;&gt;""),IFERROR(R160*VLOOKUP(G160,Tb_KostenTypen[],3,0)*VLOOKUP(F160,Tb_ProjectKosten[],MATCH(Tb_ProjectKosten[[#Headers],[Forfait_Percentage]],Tb_ProjectKosten[#Headers],0),0),""),R160 &lt;=0,0),"")</f>
        <v/>
      </c>
      <c r="V160" s="314" t="str" cm="1">
        <f t="array" aca="1" ref="V160" ca="1">IFERROR(_xlfn.IFS(OR(F160="",LEFT(Methode_Keuze,4)="Geen",Methode_Keuze=""),"",AND(S160&lt;&gt;"",F160&lt;&gt;"Arbeidskosten"),S160*VLOOKUP(F160,Tb_ProjectKosten[],MATCH(Tb_ProjectKosten[[#Headers],[Forfait_Percentage]],Tb_ProjectKosten[#Headers],0),0),AND(F160="Arbeidskosten",G160&lt;&gt;""),IFERROR(S160*VLOOKUP(G160,Tb_KostenTypen[],3,0)*VLOOKUP(F160,Tb_ProjectKosten[],MATCH(Tb_ProjectKosten[[#Headers],[Forfait_Percentage]],Tb_ProjectKosten[#Headers],0),0),""),S160 &lt;=0,0),"")</f>
        <v/>
      </c>
      <c r="W160" s="314" t="str">
        <f t="shared" ca="1" si="12"/>
        <v/>
      </c>
      <c r="X160" s="376" t="str">
        <f>IFERROR(VLOOKUP(F160,Tb_ProjectKosten[#All],11,0),"")</f>
        <v/>
      </c>
      <c r="Y160" s="315"/>
    </row>
    <row r="161" spans="1:25" x14ac:dyDescent="0.25">
      <c r="A161" s="309">
        <f>MAX($A$5:A160)+1</f>
        <v>156</v>
      </c>
      <c r="B161" s="296"/>
      <c r="C161" s="296"/>
      <c r="D161" s="296"/>
      <c r="E161" s="296"/>
      <c r="F161" s="296"/>
      <c r="G161" s="327"/>
      <c r="H161" s="310" t="str">
        <f ca="1">IFERROR(IF(VLOOKUP(F161,Kostentypen!$A$3:$E$21,3,0)=0,"",IF(OR(F161="Arbeidskosten",F161="Vergoeding"),VLOOKUP(G161,Tb_KostenTypen[],2,0),VLOOKUP(F161,Kostentypen!$A$3:$E$20,3,0))),"")</f>
        <v/>
      </c>
      <c r="I161" s="311"/>
      <c r="J161" s="312" t="str" cm="1">
        <f t="array" ref="J161">_xlfn.IFNA(IF(INDEX(Tb_KostenOpties[],MATCH($F161,Tb_KostenOpties[KostenOptie],0),IFERROR(MATCH(Methode_Keuze,Tb_KostenOpties[#Headers],0),2))=1,_xlfn.SWITCH($H161,"Uurtarief",IF(OR(AND(RIGHT($F161,3)="IKS",VLOOKUP($I161,Loonkosten,2,0)="Ja"),AND(RIGHT($F161,3)&lt;&gt;"IKS",VLOOKUP($I161,Loonkosten,2,0)="Nee")), VLOOKUP($I161,Loonkosten,MATCH("Opgegeven uurtarief",'4. Rekenhulp loonkosten aanvr.'!$4:$4,0)),0),"Vast tarief",IF(LEFT(F161,8)="Bijdrage",VLOOKUP($F161,Tb_KostenTypen[],MATCH(Lijsten!$P$1,Tb_KostenTypen[#Headers],0),0),VLOOKUP($G161,Lijsten!L:P,MATCH(Lijsten!$P$1,Kop_Tarief_Vast,0),0))),""),"")</f>
        <v/>
      </c>
      <c r="K161" s="312" t="str" cm="1">
        <f t="array" ref="K161">_xlfn.IFNA(IF(INDEX(Tb_KostenOpties[],MATCH($F161,Tb_KostenOpties[KostenOptie],0),IFERROR(MATCH(Methode_Keuze,Tb_KostenOpties[#Headers],0),2))=1,_xlfn.SWITCH($H161,"Uurtarief",IF(OR(AND(RIGHT($F161,3)="IKS",VLOOKUP($I161,Loonkosten,2,0)="Ja"),AND(RIGHT($F161,3)&lt;&gt;"IKS",VLOOKUP($I161,Loonkosten,2,0)="Nee")), VLOOKUP($I161,Loonkosten,MATCH("Beoordeeld uurtarief",'4. Rekenhulp loonkosten aanvr.'!$4:$4,0),0),0),"Vast tarief",IF(LEFT(F161,8)="Bijdrage",VLOOKUP($F161,Tb_KostenTypen[],MATCH(Lijsten!$P$1,Tb_KostenTypen[#Headers],0),0),VLOOKUP($G161,Lijsten!L:P,MATCH(Lijsten!$P$1,Kop_Tarief_Vast,0),0))),""),"")</f>
        <v/>
      </c>
      <c r="L161" s="358"/>
      <c r="M161" s="358"/>
      <c r="N161" s="313"/>
      <c r="O161" s="313"/>
      <c r="P161" s="374" t="str">
        <f t="shared" si="9"/>
        <v/>
      </c>
      <c r="Q161" s="314" t="str">
        <f t="shared" si="10"/>
        <v/>
      </c>
      <c r="R161" s="314" t="str" cm="1">
        <f t="array" aca="1" ref="R161" ca="1">_xlfn.IFNA(_xlfn.IFS(X161="Dit kostentype hoeft u niet op te geven. Hiervoor wordt een forfait berekend.","",AND(J161&lt;&gt;"",H161="Vast tarief",F161="Vergoeding"),SUM(J161)*FLOOR(SUM(L161),0.0001),AND(J161&lt;&gt;"",OR(H161="Uurtarief",H161="Vast tarief")),SUM(J161)*FLOOR(SUM(L161),0.01),AND(N161&lt;&gt;"",H161="-"),FLOOR(SUM(N161),0.01)),"")</f>
        <v/>
      </c>
      <c r="S161" s="314" t="str" cm="1">
        <f t="array" aca="1" ref="S161" ca="1">_xlfn.IFNA(_xlfn.IFS(X161="Dit kostentype hoeft u niet op te geven. Hiervoor wordt een forfait berekend.","",AND(K161&lt;&gt;"",M161&lt;&gt;"",H161="Vast tarief",F161="Vergoeding"),SUM(K161)*FLOOR(SUM(M161),0.0001),AND(K161&lt;&gt;"",M161&lt;&gt;"",OR(H161="Uurtarief",H161="Vast tarief")),SUM(K161)*FLOOR(SUM(M161),0.01),AND(O161&lt;&gt;"",H161="-"),FLOOR(SUM(O161),0.01)),"")</f>
        <v/>
      </c>
      <c r="T161" s="314" t="str">
        <f t="shared" ca="1" si="11"/>
        <v/>
      </c>
      <c r="U161" s="314" t="str" cm="1">
        <f t="array" aca="1" ref="U161" ca="1">IFERROR(_xlfn.IFS(OR(F161="",LEFT(Methode_Keuze,4)="Geen",Methode_Keuze=""),"",AND(R161&lt;&gt;"",F161&lt;&gt;"Arbeidskosten"),R161*VLOOKUP(F161,Tb_ProjectKosten[],MATCH(Tb_ProjectKosten[[#Headers],[Forfait_Percentage]],Tb_ProjectKosten[#Headers],0),0),AND(F161="Arbeidskosten",G161&lt;&gt;""),IFERROR(R161*VLOOKUP(G161,Tb_KostenTypen[],3,0)*VLOOKUP(F161,Tb_ProjectKosten[],MATCH(Tb_ProjectKosten[[#Headers],[Forfait_Percentage]],Tb_ProjectKosten[#Headers],0),0),""),R161 &lt;=0,0),"")</f>
        <v/>
      </c>
      <c r="V161" s="314" t="str" cm="1">
        <f t="array" aca="1" ref="V161" ca="1">IFERROR(_xlfn.IFS(OR(F161="",LEFT(Methode_Keuze,4)="Geen",Methode_Keuze=""),"",AND(S161&lt;&gt;"",F161&lt;&gt;"Arbeidskosten"),S161*VLOOKUP(F161,Tb_ProjectKosten[],MATCH(Tb_ProjectKosten[[#Headers],[Forfait_Percentage]],Tb_ProjectKosten[#Headers],0),0),AND(F161="Arbeidskosten",G161&lt;&gt;""),IFERROR(S161*VLOOKUP(G161,Tb_KostenTypen[],3,0)*VLOOKUP(F161,Tb_ProjectKosten[],MATCH(Tb_ProjectKosten[[#Headers],[Forfait_Percentage]],Tb_ProjectKosten[#Headers],0),0),""),S161 &lt;=0,0),"")</f>
        <v/>
      </c>
      <c r="W161" s="314" t="str">
        <f t="shared" ca="1" si="12"/>
        <v/>
      </c>
      <c r="X161" s="376" t="str">
        <f>IFERROR(VLOOKUP(F161,Tb_ProjectKosten[#All],11,0),"")</f>
        <v/>
      </c>
      <c r="Y161" s="315"/>
    </row>
    <row r="162" spans="1:25" x14ac:dyDescent="0.25">
      <c r="A162" s="309">
        <f>MAX($A$5:A161)+1</f>
        <v>157</v>
      </c>
      <c r="B162" s="296"/>
      <c r="C162" s="296"/>
      <c r="D162" s="296"/>
      <c r="E162" s="296"/>
      <c r="F162" s="296"/>
      <c r="G162" s="327"/>
      <c r="H162" s="310" t="str">
        <f ca="1">IFERROR(IF(VLOOKUP(F162,Kostentypen!$A$3:$E$21,3,0)=0,"",IF(OR(F162="Arbeidskosten",F162="Vergoeding"),VLOOKUP(G162,Tb_KostenTypen[],2,0),VLOOKUP(F162,Kostentypen!$A$3:$E$20,3,0))),"")</f>
        <v/>
      </c>
      <c r="I162" s="311"/>
      <c r="J162" s="312" t="str" cm="1">
        <f t="array" ref="J162">_xlfn.IFNA(IF(INDEX(Tb_KostenOpties[],MATCH($F162,Tb_KostenOpties[KostenOptie],0),IFERROR(MATCH(Methode_Keuze,Tb_KostenOpties[#Headers],0),2))=1,_xlfn.SWITCH($H162,"Uurtarief",IF(OR(AND(RIGHT($F162,3)="IKS",VLOOKUP($I162,Loonkosten,2,0)="Ja"),AND(RIGHT($F162,3)&lt;&gt;"IKS",VLOOKUP($I162,Loonkosten,2,0)="Nee")), VLOOKUP($I162,Loonkosten,MATCH("Opgegeven uurtarief",'4. Rekenhulp loonkosten aanvr.'!$4:$4,0)),0),"Vast tarief",IF(LEFT(F162,8)="Bijdrage",VLOOKUP($F162,Tb_KostenTypen[],MATCH(Lijsten!$P$1,Tb_KostenTypen[#Headers],0),0),VLOOKUP($G162,Lijsten!L:P,MATCH(Lijsten!$P$1,Kop_Tarief_Vast,0),0))),""),"")</f>
        <v/>
      </c>
      <c r="K162" s="312" t="str" cm="1">
        <f t="array" ref="K162">_xlfn.IFNA(IF(INDEX(Tb_KostenOpties[],MATCH($F162,Tb_KostenOpties[KostenOptie],0),IFERROR(MATCH(Methode_Keuze,Tb_KostenOpties[#Headers],0),2))=1,_xlfn.SWITCH($H162,"Uurtarief",IF(OR(AND(RIGHT($F162,3)="IKS",VLOOKUP($I162,Loonkosten,2,0)="Ja"),AND(RIGHT($F162,3)&lt;&gt;"IKS",VLOOKUP($I162,Loonkosten,2,0)="Nee")), VLOOKUP($I162,Loonkosten,MATCH("Beoordeeld uurtarief",'4. Rekenhulp loonkosten aanvr.'!$4:$4,0),0),0),"Vast tarief",IF(LEFT(F162,8)="Bijdrage",VLOOKUP($F162,Tb_KostenTypen[],MATCH(Lijsten!$P$1,Tb_KostenTypen[#Headers],0),0),VLOOKUP($G162,Lijsten!L:P,MATCH(Lijsten!$P$1,Kop_Tarief_Vast,0),0))),""),"")</f>
        <v/>
      </c>
      <c r="L162" s="358"/>
      <c r="M162" s="358"/>
      <c r="N162" s="313"/>
      <c r="O162" s="313"/>
      <c r="P162" s="374" t="str">
        <f t="shared" si="9"/>
        <v/>
      </c>
      <c r="Q162" s="314" t="str">
        <f t="shared" si="10"/>
        <v/>
      </c>
      <c r="R162" s="314" t="str" cm="1">
        <f t="array" aca="1" ref="R162" ca="1">_xlfn.IFNA(_xlfn.IFS(X162="Dit kostentype hoeft u niet op te geven. Hiervoor wordt een forfait berekend.","",AND(J162&lt;&gt;"",H162="Vast tarief",F162="Vergoeding"),SUM(J162)*FLOOR(SUM(L162),0.0001),AND(J162&lt;&gt;"",OR(H162="Uurtarief",H162="Vast tarief")),SUM(J162)*FLOOR(SUM(L162),0.01),AND(N162&lt;&gt;"",H162="-"),FLOOR(SUM(N162),0.01)),"")</f>
        <v/>
      </c>
      <c r="S162" s="314" t="str" cm="1">
        <f t="array" aca="1" ref="S162" ca="1">_xlfn.IFNA(_xlfn.IFS(X162="Dit kostentype hoeft u niet op te geven. Hiervoor wordt een forfait berekend.","",AND(K162&lt;&gt;"",M162&lt;&gt;"",H162="Vast tarief",F162="Vergoeding"),SUM(K162)*FLOOR(SUM(M162),0.0001),AND(K162&lt;&gt;"",M162&lt;&gt;"",OR(H162="Uurtarief",H162="Vast tarief")),SUM(K162)*FLOOR(SUM(M162),0.01),AND(O162&lt;&gt;"",H162="-"),FLOOR(SUM(O162),0.01)),"")</f>
        <v/>
      </c>
      <c r="T162" s="314" t="str">
        <f t="shared" ca="1" si="11"/>
        <v/>
      </c>
      <c r="U162" s="314" t="str" cm="1">
        <f t="array" aca="1" ref="U162" ca="1">IFERROR(_xlfn.IFS(OR(F162="",LEFT(Methode_Keuze,4)="Geen",Methode_Keuze=""),"",AND(R162&lt;&gt;"",F162&lt;&gt;"Arbeidskosten"),R162*VLOOKUP(F162,Tb_ProjectKosten[],MATCH(Tb_ProjectKosten[[#Headers],[Forfait_Percentage]],Tb_ProjectKosten[#Headers],0),0),AND(F162="Arbeidskosten",G162&lt;&gt;""),IFERROR(R162*VLOOKUP(G162,Tb_KostenTypen[],3,0)*VLOOKUP(F162,Tb_ProjectKosten[],MATCH(Tb_ProjectKosten[[#Headers],[Forfait_Percentage]],Tb_ProjectKosten[#Headers],0),0),""),R162 &lt;=0,0),"")</f>
        <v/>
      </c>
      <c r="V162" s="314" t="str" cm="1">
        <f t="array" aca="1" ref="V162" ca="1">IFERROR(_xlfn.IFS(OR(F162="",LEFT(Methode_Keuze,4)="Geen",Methode_Keuze=""),"",AND(S162&lt;&gt;"",F162&lt;&gt;"Arbeidskosten"),S162*VLOOKUP(F162,Tb_ProjectKosten[],MATCH(Tb_ProjectKosten[[#Headers],[Forfait_Percentage]],Tb_ProjectKosten[#Headers],0),0),AND(F162="Arbeidskosten",G162&lt;&gt;""),IFERROR(S162*VLOOKUP(G162,Tb_KostenTypen[],3,0)*VLOOKUP(F162,Tb_ProjectKosten[],MATCH(Tb_ProjectKosten[[#Headers],[Forfait_Percentage]],Tb_ProjectKosten[#Headers],0),0),""),S162 &lt;=0,0),"")</f>
        <v/>
      </c>
      <c r="W162" s="314" t="str">
        <f t="shared" ca="1" si="12"/>
        <v/>
      </c>
      <c r="X162" s="376" t="str">
        <f>IFERROR(VLOOKUP(F162,Tb_ProjectKosten[#All],11,0),"")</f>
        <v/>
      </c>
      <c r="Y162" s="315"/>
    </row>
    <row r="163" spans="1:25" x14ac:dyDescent="0.25">
      <c r="A163" s="309">
        <f>MAX($A$5:A162)+1</f>
        <v>158</v>
      </c>
      <c r="B163" s="296"/>
      <c r="C163" s="296"/>
      <c r="D163" s="296"/>
      <c r="E163" s="296"/>
      <c r="F163" s="296"/>
      <c r="G163" s="327"/>
      <c r="H163" s="310" t="str">
        <f ca="1">IFERROR(IF(VLOOKUP(F163,Kostentypen!$A$3:$E$21,3,0)=0,"",IF(OR(F163="Arbeidskosten",F163="Vergoeding"),VLOOKUP(G163,Tb_KostenTypen[],2,0),VLOOKUP(F163,Kostentypen!$A$3:$E$20,3,0))),"")</f>
        <v/>
      </c>
      <c r="I163" s="311"/>
      <c r="J163" s="312" t="str" cm="1">
        <f t="array" ref="J163">_xlfn.IFNA(IF(INDEX(Tb_KostenOpties[],MATCH($F163,Tb_KostenOpties[KostenOptie],0),IFERROR(MATCH(Methode_Keuze,Tb_KostenOpties[#Headers],0),2))=1,_xlfn.SWITCH($H163,"Uurtarief",IF(OR(AND(RIGHT($F163,3)="IKS",VLOOKUP($I163,Loonkosten,2,0)="Ja"),AND(RIGHT($F163,3)&lt;&gt;"IKS",VLOOKUP($I163,Loonkosten,2,0)="Nee")), VLOOKUP($I163,Loonkosten,MATCH("Opgegeven uurtarief",'4. Rekenhulp loonkosten aanvr.'!$4:$4,0)),0),"Vast tarief",IF(LEFT(F163,8)="Bijdrage",VLOOKUP($F163,Tb_KostenTypen[],MATCH(Lijsten!$P$1,Tb_KostenTypen[#Headers],0),0),VLOOKUP($G163,Lijsten!L:P,MATCH(Lijsten!$P$1,Kop_Tarief_Vast,0),0))),""),"")</f>
        <v/>
      </c>
      <c r="K163" s="312" t="str" cm="1">
        <f t="array" ref="K163">_xlfn.IFNA(IF(INDEX(Tb_KostenOpties[],MATCH($F163,Tb_KostenOpties[KostenOptie],0),IFERROR(MATCH(Methode_Keuze,Tb_KostenOpties[#Headers],0),2))=1,_xlfn.SWITCH($H163,"Uurtarief",IF(OR(AND(RIGHT($F163,3)="IKS",VLOOKUP($I163,Loonkosten,2,0)="Ja"),AND(RIGHT($F163,3)&lt;&gt;"IKS",VLOOKUP($I163,Loonkosten,2,0)="Nee")), VLOOKUP($I163,Loonkosten,MATCH("Beoordeeld uurtarief",'4. Rekenhulp loonkosten aanvr.'!$4:$4,0),0),0),"Vast tarief",IF(LEFT(F163,8)="Bijdrage",VLOOKUP($F163,Tb_KostenTypen[],MATCH(Lijsten!$P$1,Tb_KostenTypen[#Headers],0),0),VLOOKUP($G163,Lijsten!L:P,MATCH(Lijsten!$P$1,Kop_Tarief_Vast,0),0))),""),"")</f>
        <v/>
      </c>
      <c r="L163" s="358"/>
      <c r="M163" s="358"/>
      <c r="N163" s="313"/>
      <c r="O163" s="313"/>
      <c r="P163" s="374" t="str">
        <f t="shared" si="9"/>
        <v/>
      </c>
      <c r="Q163" s="314" t="str">
        <f t="shared" si="10"/>
        <v/>
      </c>
      <c r="R163" s="314" t="str" cm="1">
        <f t="array" aca="1" ref="R163" ca="1">_xlfn.IFNA(_xlfn.IFS(X163="Dit kostentype hoeft u niet op te geven. Hiervoor wordt een forfait berekend.","",AND(J163&lt;&gt;"",H163="Vast tarief",F163="Vergoeding"),SUM(J163)*FLOOR(SUM(L163),0.0001),AND(J163&lt;&gt;"",OR(H163="Uurtarief",H163="Vast tarief")),SUM(J163)*FLOOR(SUM(L163),0.01),AND(N163&lt;&gt;"",H163="-"),FLOOR(SUM(N163),0.01)),"")</f>
        <v/>
      </c>
      <c r="S163" s="314" t="str" cm="1">
        <f t="array" aca="1" ref="S163" ca="1">_xlfn.IFNA(_xlfn.IFS(X163="Dit kostentype hoeft u niet op te geven. Hiervoor wordt een forfait berekend.","",AND(K163&lt;&gt;"",M163&lt;&gt;"",H163="Vast tarief",F163="Vergoeding"),SUM(K163)*FLOOR(SUM(M163),0.0001),AND(K163&lt;&gt;"",M163&lt;&gt;"",OR(H163="Uurtarief",H163="Vast tarief")),SUM(K163)*FLOOR(SUM(M163),0.01),AND(O163&lt;&gt;"",H163="-"),FLOOR(SUM(O163),0.01)),"")</f>
        <v/>
      </c>
      <c r="T163" s="314" t="str">
        <f t="shared" ca="1" si="11"/>
        <v/>
      </c>
      <c r="U163" s="314" t="str" cm="1">
        <f t="array" aca="1" ref="U163" ca="1">IFERROR(_xlfn.IFS(OR(F163="",LEFT(Methode_Keuze,4)="Geen",Methode_Keuze=""),"",AND(R163&lt;&gt;"",F163&lt;&gt;"Arbeidskosten"),R163*VLOOKUP(F163,Tb_ProjectKosten[],MATCH(Tb_ProjectKosten[[#Headers],[Forfait_Percentage]],Tb_ProjectKosten[#Headers],0),0),AND(F163="Arbeidskosten",G163&lt;&gt;""),IFERROR(R163*VLOOKUP(G163,Tb_KostenTypen[],3,0)*VLOOKUP(F163,Tb_ProjectKosten[],MATCH(Tb_ProjectKosten[[#Headers],[Forfait_Percentage]],Tb_ProjectKosten[#Headers],0),0),""),R163 &lt;=0,0),"")</f>
        <v/>
      </c>
      <c r="V163" s="314" t="str" cm="1">
        <f t="array" aca="1" ref="V163" ca="1">IFERROR(_xlfn.IFS(OR(F163="",LEFT(Methode_Keuze,4)="Geen",Methode_Keuze=""),"",AND(S163&lt;&gt;"",F163&lt;&gt;"Arbeidskosten"),S163*VLOOKUP(F163,Tb_ProjectKosten[],MATCH(Tb_ProjectKosten[[#Headers],[Forfait_Percentage]],Tb_ProjectKosten[#Headers],0),0),AND(F163="Arbeidskosten",G163&lt;&gt;""),IFERROR(S163*VLOOKUP(G163,Tb_KostenTypen[],3,0)*VLOOKUP(F163,Tb_ProjectKosten[],MATCH(Tb_ProjectKosten[[#Headers],[Forfait_Percentage]],Tb_ProjectKosten[#Headers],0),0),""),S163 &lt;=0,0),"")</f>
        <v/>
      </c>
      <c r="W163" s="314" t="str">
        <f t="shared" ca="1" si="12"/>
        <v/>
      </c>
      <c r="X163" s="376" t="str">
        <f>IFERROR(VLOOKUP(F163,Tb_ProjectKosten[#All],11,0),"")</f>
        <v/>
      </c>
      <c r="Y163" s="315"/>
    </row>
    <row r="164" spans="1:25" x14ac:dyDescent="0.25">
      <c r="A164" s="309">
        <f>MAX($A$5:A163)+1</f>
        <v>159</v>
      </c>
      <c r="B164" s="296"/>
      <c r="C164" s="296"/>
      <c r="D164" s="296"/>
      <c r="E164" s="296"/>
      <c r="F164" s="296"/>
      <c r="G164" s="327"/>
      <c r="H164" s="310" t="str">
        <f ca="1">IFERROR(IF(VLOOKUP(F164,Kostentypen!$A$3:$E$21,3,0)=0,"",IF(OR(F164="Arbeidskosten",F164="Vergoeding"),VLOOKUP(G164,Tb_KostenTypen[],2,0),VLOOKUP(F164,Kostentypen!$A$3:$E$20,3,0))),"")</f>
        <v/>
      </c>
      <c r="I164" s="311"/>
      <c r="J164" s="312" t="str" cm="1">
        <f t="array" ref="J164">_xlfn.IFNA(IF(INDEX(Tb_KostenOpties[],MATCH($F164,Tb_KostenOpties[KostenOptie],0),IFERROR(MATCH(Methode_Keuze,Tb_KostenOpties[#Headers],0),2))=1,_xlfn.SWITCH($H164,"Uurtarief",IF(OR(AND(RIGHT($F164,3)="IKS",VLOOKUP($I164,Loonkosten,2,0)="Ja"),AND(RIGHT($F164,3)&lt;&gt;"IKS",VLOOKUP($I164,Loonkosten,2,0)="Nee")), VLOOKUP($I164,Loonkosten,MATCH("Opgegeven uurtarief",'4. Rekenhulp loonkosten aanvr.'!$4:$4,0)),0),"Vast tarief",IF(LEFT(F164,8)="Bijdrage",VLOOKUP($F164,Tb_KostenTypen[],MATCH(Lijsten!$P$1,Tb_KostenTypen[#Headers],0),0),VLOOKUP($G164,Lijsten!L:P,MATCH(Lijsten!$P$1,Kop_Tarief_Vast,0),0))),""),"")</f>
        <v/>
      </c>
      <c r="K164" s="312" t="str" cm="1">
        <f t="array" ref="K164">_xlfn.IFNA(IF(INDEX(Tb_KostenOpties[],MATCH($F164,Tb_KostenOpties[KostenOptie],0),IFERROR(MATCH(Methode_Keuze,Tb_KostenOpties[#Headers],0),2))=1,_xlfn.SWITCH($H164,"Uurtarief",IF(OR(AND(RIGHT($F164,3)="IKS",VLOOKUP($I164,Loonkosten,2,0)="Ja"),AND(RIGHT($F164,3)&lt;&gt;"IKS",VLOOKUP($I164,Loonkosten,2,0)="Nee")), VLOOKUP($I164,Loonkosten,MATCH("Beoordeeld uurtarief",'4. Rekenhulp loonkosten aanvr.'!$4:$4,0),0),0),"Vast tarief",IF(LEFT(F164,8)="Bijdrage",VLOOKUP($F164,Tb_KostenTypen[],MATCH(Lijsten!$P$1,Tb_KostenTypen[#Headers],0),0),VLOOKUP($G164,Lijsten!L:P,MATCH(Lijsten!$P$1,Kop_Tarief_Vast,0),0))),""),"")</f>
        <v/>
      </c>
      <c r="L164" s="358"/>
      <c r="M164" s="358"/>
      <c r="N164" s="313"/>
      <c r="O164" s="313"/>
      <c r="P164" s="374" t="str">
        <f t="shared" si="9"/>
        <v/>
      </c>
      <c r="Q164" s="314" t="str">
        <f t="shared" si="10"/>
        <v/>
      </c>
      <c r="R164" s="314" t="str" cm="1">
        <f t="array" aca="1" ref="R164" ca="1">_xlfn.IFNA(_xlfn.IFS(X164="Dit kostentype hoeft u niet op te geven. Hiervoor wordt een forfait berekend.","",AND(J164&lt;&gt;"",H164="Vast tarief",F164="Vergoeding"),SUM(J164)*FLOOR(SUM(L164),0.0001),AND(J164&lt;&gt;"",OR(H164="Uurtarief",H164="Vast tarief")),SUM(J164)*FLOOR(SUM(L164),0.01),AND(N164&lt;&gt;"",H164="-"),FLOOR(SUM(N164),0.01)),"")</f>
        <v/>
      </c>
      <c r="S164" s="314" t="str" cm="1">
        <f t="array" aca="1" ref="S164" ca="1">_xlfn.IFNA(_xlfn.IFS(X164="Dit kostentype hoeft u niet op te geven. Hiervoor wordt een forfait berekend.","",AND(K164&lt;&gt;"",M164&lt;&gt;"",H164="Vast tarief",F164="Vergoeding"),SUM(K164)*FLOOR(SUM(M164),0.0001),AND(K164&lt;&gt;"",M164&lt;&gt;"",OR(H164="Uurtarief",H164="Vast tarief")),SUM(K164)*FLOOR(SUM(M164),0.01),AND(O164&lt;&gt;"",H164="-"),FLOOR(SUM(O164),0.01)),"")</f>
        <v/>
      </c>
      <c r="T164" s="314" t="str">
        <f t="shared" ca="1" si="11"/>
        <v/>
      </c>
      <c r="U164" s="314" t="str" cm="1">
        <f t="array" aca="1" ref="U164" ca="1">IFERROR(_xlfn.IFS(OR(F164="",LEFT(Methode_Keuze,4)="Geen",Methode_Keuze=""),"",AND(R164&lt;&gt;"",F164&lt;&gt;"Arbeidskosten"),R164*VLOOKUP(F164,Tb_ProjectKosten[],MATCH(Tb_ProjectKosten[[#Headers],[Forfait_Percentage]],Tb_ProjectKosten[#Headers],0),0),AND(F164="Arbeidskosten",G164&lt;&gt;""),IFERROR(R164*VLOOKUP(G164,Tb_KostenTypen[],3,0)*VLOOKUP(F164,Tb_ProjectKosten[],MATCH(Tb_ProjectKosten[[#Headers],[Forfait_Percentage]],Tb_ProjectKosten[#Headers],0),0),""),R164 &lt;=0,0),"")</f>
        <v/>
      </c>
      <c r="V164" s="314" t="str" cm="1">
        <f t="array" aca="1" ref="V164" ca="1">IFERROR(_xlfn.IFS(OR(F164="",LEFT(Methode_Keuze,4)="Geen",Methode_Keuze=""),"",AND(S164&lt;&gt;"",F164&lt;&gt;"Arbeidskosten"),S164*VLOOKUP(F164,Tb_ProjectKosten[],MATCH(Tb_ProjectKosten[[#Headers],[Forfait_Percentage]],Tb_ProjectKosten[#Headers],0),0),AND(F164="Arbeidskosten",G164&lt;&gt;""),IFERROR(S164*VLOOKUP(G164,Tb_KostenTypen[],3,0)*VLOOKUP(F164,Tb_ProjectKosten[],MATCH(Tb_ProjectKosten[[#Headers],[Forfait_Percentage]],Tb_ProjectKosten[#Headers],0),0),""),S164 &lt;=0,0),"")</f>
        <v/>
      </c>
      <c r="W164" s="314" t="str">
        <f t="shared" ca="1" si="12"/>
        <v/>
      </c>
      <c r="X164" s="376" t="str">
        <f>IFERROR(VLOOKUP(F164,Tb_ProjectKosten[#All],11,0),"")</f>
        <v/>
      </c>
      <c r="Y164" s="315"/>
    </row>
    <row r="165" spans="1:25" x14ac:dyDescent="0.25">
      <c r="A165" s="309">
        <f>MAX($A$5:A164)+1</f>
        <v>160</v>
      </c>
      <c r="B165" s="296"/>
      <c r="C165" s="296"/>
      <c r="D165" s="296"/>
      <c r="E165" s="296"/>
      <c r="F165" s="296"/>
      <c r="G165" s="327"/>
      <c r="H165" s="310" t="str">
        <f ca="1">IFERROR(IF(VLOOKUP(F165,Kostentypen!$A$3:$E$21,3,0)=0,"",IF(OR(F165="Arbeidskosten",F165="Vergoeding"),VLOOKUP(G165,Tb_KostenTypen[],2,0),VLOOKUP(F165,Kostentypen!$A$3:$E$20,3,0))),"")</f>
        <v/>
      </c>
      <c r="I165" s="311"/>
      <c r="J165" s="312" t="str" cm="1">
        <f t="array" ref="J165">_xlfn.IFNA(IF(INDEX(Tb_KostenOpties[],MATCH($F165,Tb_KostenOpties[KostenOptie],0),IFERROR(MATCH(Methode_Keuze,Tb_KostenOpties[#Headers],0),2))=1,_xlfn.SWITCH($H165,"Uurtarief",IF(OR(AND(RIGHT($F165,3)="IKS",VLOOKUP($I165,Loonkosten,2,0)="Ja"),AND(RIGHT($F165,3)&lt;&gt;"IKS",VLOOKUP($I165,Loonkosten,2,0)="Nee")), VLOOKUP($I165,Loonkosten,MATCH("Opgegeven uurtarief",'4. Rekenhulp loonkosten aanvr.'!$4:$4,0)),0),"Vast tarief",IF(LEFT(F165,8)="Bijdrage",VLOOKUP($F165,Tb_KostenTypen[],MATCH(Lijsten!$P$1,Tb_KostenTypen[#Headers],0),0),VLOOKUP($G165,Lijsten!L:P,MATCH(Lijsten!$P$1,Kop_Tarief_Vast,0),0))),""),"")</f>
        <v/>
      </c>
      <c r="K165" s="312" t="str" cm="1">
        <f t="array" ref="K165">_xlfn.IFNA(IF(INDEX(Tb_KostenOpties[],MATCH($F165,Tb_KostenOpties[KostenOptie],0),IFERROR(MATCH(Methode_Keuze,Tb_KostenOpties[#Headers],0),2))=1,_xlfn.SWITCH($H165,"Uurtarief",IF(OR(AND(RIGHT($F165,3)="IKS",VLOOKUP($I165,Loonkosten,2,0)="Ja"),AND(RIGHT($F165,3)&lt;&gt;"IKS",VLOOKUP($I165,Loonkosten,2,0)="Nee")), VLOOKUP($I165,Loonkosten,MATCH("Beoordeeld uurtarief",'4. Rekenhulp loonkosten aanvr.'!$4:$4,0),0),0),"Vast tarief",IF(LEFT(F165,8)="Bijdrage",VLOOKUP($F165,Tb_KostenTypen[],MATCH(Lijsten!$P$1,Tb_KostenTypen[#Headers],0),0),VLOOKUP($G165,Lijsten!L:P,MATCH(Lijsten!$P$1,Kop_Tarief_Vast,0),0))),""),"")</f>
        <v/>
      </c>
      <c r="L165" s="358"/>
      <c r="M165" s="358"/>
      <c r="N165" s="313"/>
      <c r="O165" s="313"/>
      <c r="P165" s="374" t="str">
        <f t="shared" si="9"/>
        <v/>
      </c>
      <c r="Q165" s="314" t="str">
        <f t="shared" si="10"/>
        <v/>
      </c>
      <c r="R165" s="314" t="str" cm="1">
        <f t="array" aca="1" ref="R165" ca="1">_xlfn.IFNA(_xlfn.IFS(X165="Dit kostentype hoeft u niet op te geven. Hiervoor wordt een forfait berekend.","",AND(J165&lt;&gt;"",H165="Vast tarief",F165="Vergoeding"),SUM(J165)*FLOOR(SUM(L165),0.0001),AND(J165&lt;&gt;"",OR(H165="Uurtarief",H165="Vast tarief")),SUM(J165)*FLOOR(SUM(L165),0.01),AND(N165&lt;&gt;"",H165="-"),FLOOR(SUM(N165),0.01)),"")</f>
        <v/>
      </c>
      <c r="S165" s="314" t="str" cm="1">
        <f t="array" aca="1" ref="S165" ca="1">_xlfn.IFNA(_xlfn.IFS(X165="Dit kostentype hoeft u niet op te geven. Hiervoor wordt een forfait berekend.","",AND(K165&lt;&gt;"",M165&lt;&gt;"",H165="Vast tarief",F165="Vergoeding"),SUM(K165)*FLOOR(SUM(M165),0.0001),AND(K165&lt;&gt;"",M165&lt;&gt;"",OR(H165="Uurtarief",H165="Vast tarief")),SUM(K165)*FLOOR(SUM(M165),0.01),AND(O165&lt;&gt;"",H165="-"),FLOOR(SUM(O165),0.01)),"")</f>
        <v/>
      </c>
      <c r="T165" s="314" t="str">
        <f t="shared" ca="1" si="11"/>
        <v/>
      </c>
      <c r="U165" s="314" t="str" cm="1">
        <f t="array" aca="1" ref="U165" ca="1">IFERROR(_xlfn.IFS(OR(F165="",LEFT(Methode_Keuze,4)="Geen",Methode_Keuze=""),"",AND(R165&lt;&gt;"",F165&lt;&gt;"Arbeidskosten"),R165*VLOOKUP(F165,Tb_ProjectKosten[],MATCH(Tb_ProjectKosten[[#Headers],[Forfait_Percentage]],Tb_ProjectKosten[#Headers],0),0),AND(F165="Arbeidskosten",G165&lt;&gt;""),IFERROR(R165*VLOOKUP(G165,Tb_KostenTypen[],3,0)*VLOOKUP(F165,Tb_ProjectKosten[],MATCH(Tb_ProjectKosten[[#Headers],[Forfait_Percentage]],Tb_ProjectKosten[#Headers],0),0),""),R165 &lt;=0,0),"")</f>
        <v/>
      </c>
      <c r="V165" s="314" t="str" cm="1">
        <f t="array" aca="1" ref="V165" ca="1">IFERROR(_xlfn.IFS(OR(F165="",LEFT(Methode_Keuze,4)="Geen",Methode_Keuze=""),"",AND(S165&lt;&gt;"",F165&lt;&gt;"Arbeidskosten"),S165*VLOOKUP(F165,Tb_ProjectKosten[],MATCH(Tb_ProjectKosten[[#Headers],[Forfait_Percentage]],Tb_ProjectKosten[#Headers],0),0),AND(F165="Arbeidskosten",G165&lt;&gt;""),IFERROR(S165*VLOOKUP(G165,Tb_KostenTypen[],3,0)*VLOOKUP(F165,Tb_ProjectKosten[],MATCH(Tb_ProjectKosten[[#Headers],[Forfait_Percentage]],Tb_ProjectKosten[#Headers],0),0),""),S165 &lt;=0,0),"")</f>
        <v/>
      </c>
      <c r="W165" s="314" t="str">
        <f t="shared" ca="1" si="12"/>
        <v/>
      </c>
      <c r="X165" s="376" t="str">
        <f>IFERROR(VLOOKUP(F165,Tb_ProjectKosten[#All],11,0),"")</f>
        <v/>
      </c>
      <c r="Y165" s="315"/>
    </row>
    <row r="166" spans="1:25" x14ac:dyDescent="0.25">
      <c r="A166" s="309">
        <f>MAX($A$5:A165)+1</f>
        <v>161</v>
      </c>
      <c r="B166" s="296"/>
      <c r="C166" s="296"/>
      <c r="D166" s="296"/>
      <c r="E166" s="296"/>
      <c r="F166" s="296"/>
      <c r="G166" s="327"/>
      <c r="H166" s="310" t="str">
        <f ca="1">IFERROR(IF(VLOOKUP(F166,Kostentypen!$A$3:$E$21,3,0)=0,"",IF(OR(F166="Arbeidskosten",F166="Vergoeding"),VLOOKUP(G166,Tb_KostenTypen[],2,0),VLOOKUP(F166,Kostentypen!$A$3:$E$20,3,0))),"")</f>
        <v/>
      </c>
      <c r="I166" s="311"/>
      <c r="J166" s="312" t="str" cm="1">
        <f t="array" ref="J166">_xlfn.IFNA(IF(INDEX(Tb_KostenOpties[],MATCH($F166,Tb_KostenOpties[KostenOptie],0),IFERROR(MATCH(Methode_Keuze,Tb_KostenOpties[#Headers],0),2))=1,_xlfn.SWITCH($H166,"Uurtarief",IF(OR(AND(RIGHT($F166,3)="IKS",VLOOKUP($I166,Loonkosten,2,0)="Ja"),AND(RIGHT($F166,3)&lt;&gt;"IKS",VLOOKUP($I166,Loonkosten,2,0)="Nee")), VLOOKUP($I166,Loonkosten,MATCH("Opgegeven uurtarief",'4. Rekenhulp loonkosten aanvr.'!$4:$4,0)),0),"Vast tarief",IF(LEFT(F166,8)="Bijdrage",VLOOKUP($F166,Tb_KostenTypen[],MATCH(Lijsten!$P$1,Tb_KostenTypen[#Headers],0),0),VLOOKUP($G166,Lijsten!L:P,MATCH(Lijsten!$P$1,Kop_Tarief_Vast,0),0))),""),"")</f>
        <v/>
      </c>
      <c r="K166" s="312" t="str" cm="1">
        <f t="array" ref="K166">_xlfn.IFNA(IF(INDEX(Tb_KostenOpties[],MATCH($F166,Tb_KostenOpties[KostenOptie],0),IFERROR(MATCH(Methode_Keuze,Tb_KostenOpties[#Headers],0),2))=1,_xlfn.SWITCH($H166,"Uurtarief",IF(OR(AND(RIGHT($F166,3)="IKS",VLOOKUP($I166,Loonkosten,2,0)="Ja"),AND(RIGHT($F166,3)&lt;&gt;"IKS",VLOOKUP($I166,Loonkosten,2,0)="Nee")), VLOOKUP($I166,Loonkosten,MATCH("Beoordeeld uurtarief",'4. Rekenhulp loonkosten aanvr.'!$4:$4,0),0),0),"Vast tarief",IF(LEFT(F166,8)="Bijdrage",VLOOKUP($F166,Tb_KostenTypen[],MATCH(Lijsten!$P$1,Tb_KostenTypen[#Headers],0),0),VLOOKUP($G166,Lijsten!L:P,MATCH(Lijsten!$P$1,Kop_Tarief_Vast,0),0))),""),"")</f>
        <v/>
      </c>
      <c r="L166" s="358"/>
      <c r="M166" s="358"/>
      <c r="N166" s="313"/>
      <c r="O166" s="313"/>
      <c r="P166" s="374" t="str">
        <f t="shared" si="9"/>
        <v/>
      </c>
      <c r="Q166" s="314" t="str">
        <f t="shared" si="10"/>
        <v/>
      </c>
      <c r="R166" s="314" t="str" cm="1">
        <f t="array" aca="1" ref="R166" ca="1">_xlfn.IFNA(_xlfn.IFS(X166="Dit kostentype hoeft u niet op te geven. Hiervoor wordt een forfait berekend.","",AND(J166&lt;&gt;"",H166="Vast tarief",F166="Vergoeding"),SUM(J166)*FLOOR(SUM(L166),0.0001),AND(J166&lt;&gt;"",OR(H166="Uurtarief",H166="Vast tarief")),SUM(J166)*FLOOR(SUM(L166),0.01),AND(N166&lt;&gt;"",H166="-"),FLOOR(SUM(N166),0.01)),"")</f>
        <v/>
      </c>
      <c r="S166" s="314" t="str" cm="1">
        <f t="array" aca="1" ref="S166" ca="1">_xlfn.IFNA(_xlfn.IFS(X166="Dit kostentype hoeft u niet op te geven. Hiervoor wordt een forfait berekend.","",AND(K166&lt;&gt;"",M166&lt;&gt;"",H166="Vast tarief",F166="Vergoeding"),SUM(K166)*FLOOR(SUM(M166),0.0001),AND(K166&lt;&gt;"",M166&lt;&gt;"",OR(H166="Uurtarief",H166="Vast tarief")),SUM(K166)*FLOOR(SUM(M166),0.01),AND(O166&lt;&gt;"",H166="-"),FLOOR(SUM(O166),0.01)),"")</f>
        <v/>
      </c>
      <c r="T166" s="314" t="str">
        <f t="shared" ca="1" si="11"/>
        <v/>
      </c>
      <c r="U166" s="314" t="str" cm="1">
        <f t="array" aca="1" ref="U166" ca="1">IFERROR(_xlfn.IFS(OR(F166="",LEFT(Methode_Keuze,4)="Geen",Methode_Keuze=""),"",AND(R166&lt;&gt;"",F166&lt;&gt;"Arbeidskosten"),R166*VLOOKUP(F166,Tb_ProjectKosten[],MATCH(Tb_ProjectKosten[[#Headers],[Forfait_Percentage]],Tb_ProjectKosten[#Headers],0),0),AND(F166="Arbeidskosten",G166&lt;&gt;""),IFERROR(R166*VLOOKUP(G166,Tb_KostenTypen[],3,0)*VLOOKUP(F166,Tb_ProjectKosten[],MATCH(Tb_ProjectKosten[[#Headers],[Forfait_Percentage]],Tb_ProjectKosten[#Headers],0),0),""),R166 &lt;=0,0),"")</f>
        <v/>
      </c>
      <c r="V166" s="314" t="str" cm="1">
        <f t="array" aca="1" ref="V166" ca="1">IFERROR(_xlfn.IFS(OR(F166="",LEFT(Methode_Keuze,4)="Geen",Methode_Keuze=""),"",AND(S166&lt;&gt;"",F166&lt;&gt;"Arbeidskosten"),S166*VLOOKUP(F166,Tb_ProjectKosten[],MATCH(Tb_ProjectKosten[[#Headers],[Forfait_Percentage]],Tb_ProjectKosten[#Headers],0),0),AND(F166="Arbeidskosten",G166&lt;&gt;""),IFERROR(S166*VLOOKUP(G166,Tb_KostenTypen[],3,0)*VLOOKUP(F166,Tb_ProjectKosten[],MATCH(Tb_ProjectKosten[[#Headers],[Forfait_Percentage]],Tb_ProjectKosten[#Headers],0),0),""),S166 &lt;=0,0),"")</f>
        <v/>
      </c>
      <c r="W166" s="314" t="str">
        <f t="shared" ca="1" si="12"/>
        <v/>
      </c>
      <c r="X166" s="376" t="str">
        <f>IFERROR(VLOOKUP(F166,Tb_ProjectKosten[#All],11,0),"")</f>
        <v/>
      </c>
      <c r="Y166" s="315"/>
    </row>
    <row r="167" spans="1:25" x14ac:dyDescent="0.25">
      <c r="A167" s="309">
        <f>MAX($A$5:A166)+1</f>
        <v>162</v>
      </c>
      <c r="B167" s="296"/>
      <c r="C167" s="296"/>
      <c r="D167" s="296"/>
      <c r="E167" s="296"/>
      <c r="F167" s="296"/>
      <c r="G167" s="327"/>
      <c r="H167" s="310" t="str">
        <f ca="1">IFERROR(IF(VLOOKUP(F167,Kostentypen!$A$3:$E$21,3,0)=0,"",IF(OR(F167="Arbeidskosten",F167="Vergoeding"),VLOOKUP(G167,Tb_KostenTypen[],2,0),VLOOKUP(F167,Kostentypen!$A$3:$E$20,3,0))),"")</f>
        <v/>
      </c>
      <c r="I167" s="311"/>
      <c r="J167" s="312" t="str" cm="1">
        <f t="array" ref="J167">_xlfn.IFNA(IF(INDEX(Tb_KostenOpties[],MATCH($F167,Tb_KostenOpties[KostenOptie],0),IFERROR(MATCH(Methode_Keuze,Tb_KostenOpties[#Headers],0),2))=1,_xlfn.SWITCH($H167,"Uurtarief",IF(OR(AND(RIGHT($F167,3)="IKS",VLOOKUP($I167,Loonkosten,2,0)="Ja"),AND(RIGHT($F167,3)&lt;&gt;"IKS",VLOOKUP($I167,Loonkosten,2,0)="Nee")), VLOOKUP($I167,Loonkosten,MATCH("Opgegeven uurtarief",'4. Rekenhulp loonkosten aanvr.'!$4:$4,0)),0),"Vast tarief",IF(LEFT(F167,8)="Bijdrage",VLOOKUP($F167,Tb_KostenTypen[],MATCH(Lijsten!$P$1,Tb_KostenTypen[#Headers],0),0),VLOOKUP($G167,Lijsten!L:P,MATCH(Lijsten!$P$1,Kop_Tarief_Vast,0),0))),""),"")</f>
        <v/>
      </c>
      <c r="K167" s="312" t="str" cm="1">
        <f t="array" ref="K167">_xlfn.IFNA(IF(INDEX(Tb_KostenOpties[],MATCH($F167,Tb_KostenOpties[KostenOptie],0),IFERROR(MATCH(Methode_Keuze,Tb_KostenOpties[#Headers],0),2))=1,_xlfn.SWITCH($H167,"Uurtarief",IF(OR(AND(RIGHT($F167,3)="IKS",VLOOKUP($I167,Loonkosten,2,0)="Ja"),AND(RIGHT($F167,3)&lt;&gt;"IKS",VLOOKUP($I167,Loonkosten,2,0)="Nee")), VLOOKUP($I167,Loonkosten,MATCH("Beoordeeld uurtarief",'4. Rekenhulp loonkosten aanvr.'!$4:$4,0),0),0),"Vast tarief",IF(LEFT(F167,8)="Bijdrage",VLOOKUP($F167,Tb_KostenTypen[],MATCH(Lijsten!$P$1,Tb_KostenTypen[#Headers],0),0),VLOOKUP($G167,Lijsten!L:P,MATCH(Lijsten!$P$1,Kop_Tarief_Vast,0),0))),""),"")</f>
        <v/>
      </c>
      <c r="L167" s="358"/>
      <c r="M167" s="358"/>
      <c r="N167" s="313"/>
      <c r="O167" s="313"/>
      <c r="P167" s="374" t="str">
        <f t="shared" si="9"/>
        <v/>
      </c>
      <c r="Q167" s="314" t="str">
        <f t="shared" si="10"/>
        <v/>
      </c>
      <c r="R167" s="314" t="str" cm="1">
        <f t="array" aca="1" ref="R167" ca="1">_xlfn.IFNA(_xlfn.IFS(X167="Dit kostentype hoeft u niet op te geven. Hiervoor wordt een forfait berekend.","",AND(J167&lt;&gt;"",H167="Vast tarief",F167="Vergoeding"),SUM(J167)*FLOOR(SUM(L167),0.0001),AND(J167&lt;&gt;"",OR(H167="Uurtarief",H167="Vast tarief")),SUM(J167)*FLOOR(SUM(L167),0.01),AND(N167&lt;&gt;"",H167="-"),FLOOR(SUM(N167),0.01)),"")</f>
        <v/>
      </c>
      <c r="S167" s="314" t="str" cm="1">
        <f t="array" aca="1" ref="S167" ca="1">_xlfn.IFNA(_xlfn.IFS(X167="Dit kostentype hoeft u niet op te geven. Hiervoor wordt een forfait berekend.","",AND(K167&lt;&gt;"",M167&lt;&gt;"",H167="Vast tarief",F167="Vergoeding"),SUM(K167)*FLOOR(SUM(M167),0.0001),AND(K167&lt;&gt;"",M167&lt;&gt;"",OR(H167="Uurtarief",H167="Vast tarief")),SUM(K167)*FLOOR(SUM(M167),0.01),AND(O167&lt;&gt;"",H167="-"),FLOOR(SUM(O167),0.01)),"")</f>
        <v/>
      </c>
      <c r="T167" s="314" t="str">
        <f t="shared" ca="1" si="11"/>
        <v/>
      </c>
      <c r="U167" s="314" t="str" cm="1">
        <f t="array" aca="1" ref="U167" ca="1">IFERROR(_xlfn.IFS(OR(F167="",LEFT(Methode_Keuze,4)="Geen",Methode_Keuze=""),"",AND(R167&lt;&gt;"",F167&lt;&gt;"Arbeidskosten"),R167*VLOOKUP(F167,Tb_ProjectKosten[],MATCH(Tb_ProjectKosten[[#Headers],[Forfait_Percentage]],Tb_ProjectKosten[#Headers],0),0),AND(F167="Arbeidskosten",G167&lt;&gt;""),IFERROR(R167*VLOOKUP(G167,Tb_KostenTypen[],3,0)*VLOOKUP(F167,Tb_ProjectKosten[],MATCH(Tb_ProjectKosten[[#Headers],[Forfait_Percentage]],Tb_ProjectKosten[#Headers],0),0),""),R167 &lt;=0,0),"")</f>
        <v/>
      </c>
      <c r="V167" s="314" t="str" cm="1">
        <f t="array" aca="1" ref="V167" ca="1">IFERROR(_xlfn.IFS(OR(F167="",LEFT(Methode_Keuze,4)="Geen",Methode_Keuze=""),"",AND(S167&lt;&gt;"",F167&lt;&gt;"Arbeidskosten"),S167*VLOOKUP(F167,Tb_ProjectKosten[],MATCH(Tb_ProjectKosten[[#Headers],[Forfait_Percentage]],Tb_ProjectKosten[#Headers],0),0),AND(F167="Arbeidskosten",G167&lt;&gt;""),IFERROR(S167*VLOOKUP(G167,Tb_KostenTypen[],3,0)*VLOOKUP(F167,Tb_ProjectKosten[],MATCH(Tb_ProjectKosten[[#Headers],[Forfait_Percentage]],Tb_ProjectKosten[#Headers],0),0),""),S167 &lt;=0,0),"")</f>
        <v/>
      </c>
      <c r="W167" s="314" t="str">
        <f t="shared" ca="1" si="12"/>
        <v/>
      </c>
      <c r="X167" s="376" t="str">
        <f>IFERROR(VLOOKUP(F167,Tb_ProjectKosten[#All],11,0),"")</f>
        <v/>
      </c>
      <c r="Y167" s="315"/>
    </row>
    <row r="168" spans="1:25" x14ac:dyDescent="0.25">
      <c r="A168" s="309">
        <f>MAX($A$5:A167)+1</f>
        <v>163</v>
      </c>
      <c r="B168" s="296"/>
      <c r="C168" s="296"/>
      <c r="D168" s="296"/>
      <c r="E168" s="296"/>
      <c r="F168" s="296"/>
      <c r="G168" s="327"/>
      <c r="H168" s="310" t="str">
        <f ca="1">IFERROR(IF(VLOOKUP(F168,Kostentypen!$A$3:$E$21,3,0)=0,"",IF(OR(F168="Arbeidskosten",F168="Vergoeding"),VLOOKUP(G168,Tb_KostenTypen[],2,0),VLOOKUP(F168,Kostentypen!$A$3:$E$20,3,0))),"")</f>
        <v/>
      </c>
      <c r="I168" s="311"/>
      <c r="J168" s="312" t="str" cm="1">
        <f t="array" ref="J168">_xlfn.IFNA(IF(INDEX(Tb_KostenOpties[],MATCH($F168,Tb_KostenOpties[KostenOptie],0),IFERROR(MATCH(Methode_Keuze,Tb_KostenOpties[#Headers],0),2))=1,_xlfn.SWITCH($H168,"Uurtarief",IF(OR(AND(RIGHT($F168,3)="IKS",VLOOKUP($I168,Loonkosten,2,0)="Ja"),AND(RIGHT($F168,3)&lt;&gt;"IKS",VLOOKUP($I168,Loonkosten,2,0)="Nee")), VLOOKUP($I168,Loonkosten,MATCH("Opgegeven uurtarief",'4. Rekenhulp loonkosten aanvr.'!$4:$4,0)),0),"Vast tarief",IF(LEFT(F168,8)="Bijdrage",VLOOKUP($F168,Tb_KostenTypen[],MATCH(Lijsten!$P$1,Tb_KostenTypen[#Headers],0),0),VLOOKUP($G168,Lijsten!L:P,MATCH(Lijsten!$P$1,Kop_Tarief_Vast,0),0))),""),"")</f>
        <v/>
      </c>
      <c r="K168" s="312" t="str" cm="1">
        <f t="array" ref="K168">_xlfn.IFNA(IF(INDEX(Tb_KostenOpties[],MATCH($F168,Tb_KostenOpties[KostenOptie],0),IFERROR(MATCH(Methode_Keuze,Tb_KostenOpties[#Headers],0),2))=1,_xlfn.SWITCH($H168,"Uurtarief",IF(OR(AND(RIGHT($F168,3)="IKS",VLOOKUP($I168,Loonkosten,2,0)="Ja"),AND(RIGHT($F168,3)&lt;&gt;"IKS",VLOOKUP($I168,Loonkosten,2,0)="Nee")), VLOOKUP($I168,Loonkosten,MATCH("Beoordeeld uurtarief",'4. Rekenhulp loonkosten aanvr.'!$4:$4,0),0),0),"Vast tarief",IF(LEFT(F168,8)="Bijdrage",VLOOKUP($F168,Tb_KostenTypen[],MATCH(Lijsten!$P$1,Tb_KostenTypen[#Headers],0),0),VLOOKUP($G168,Lijsten!L:P,MATCH(Lijsten!$P$1,Kop_Tarief_Vast,0),0))),""),"")</f>
        <v/>
      </c>
      <c r="L168" s="358"/>
      <c r="M168" s="358"/>
      <c r="N168" s="313"/>
      <c r="O168" s="313"/>
      <c r="P168" s="374" t="str">
        <f t="shared" si="9"/>
        <v/>
      </c>
      <c r="Q168" s="314" t="str">
        <f t="shared" si="10"/>
        <v/>
      </c>
      <c r="R168" s="314" t="str" cm="1">
        <f t="array" aca="1" ref="R168" ca="1">_xlfn.IFNA(_xlfn.IFS(X168="Dit kostentype hoeft u niet op te geven. Hiervoor wordt een forfait berekend.","",AND(J168&lt;&gt;"",H168="Vast tarief",F168="Vergoeding"),SUM(J168)*FLOOR(SUM(L168),0.0001),AND(J168&lt;&gt;"",OR(H168="Uurtarief",H168="Vast tarief")),SUM(J168)*FLOOR(SUM(L168),0.01),AND(N168&lt;&gt;"",H168="-"),FLOOR(SUM(N168),0.01)),"")</f>
        <v/>
      </c>
      <c r="S168" s="314" t="str" cm="1">
        <f t="array" aca="1" ref="S168" ca="1">_xlfn.IFNA(_xlfn.IFS(X168="Dit kostentype hoeft u niet op te geven. Hiervoor wordt een forfait berekend.","",AND(K168&lt;&gt;"",M168&lt;&gt;"",H168="Vast tarief",F168="Vergoeding"),SUM(K168)*FLOOR(SUM(M168),0.0001),AND(K168&lt;&gt;"",M168&lt;&gt;"",OR(H168="Uurtarief",H168="Vast tarief")),SUM(K168)*FLOOR(SUM(M168),0.01),AND(O168&lt;&gt;"",H168="-"),FLOOR(SUM(O168),0.01)),"")</f>
        <v/>
      </c>
      <c r="T168" s="314" t="str">
        <f t="shared" ca="1" si="11"/>
        <v/>
      </c>
      <c r="U168" s="314" t="str" cm="1">
        <f t="array" aca="1" ref="U168" ca="1">IFERROR(_xlfn.IFS(OR(F168="",LEFT(Methode_Keuze,4)="Geen",Methode_Keuze=""),"",AND(R168&lt;&gt;"",F168&lt;&gt;"Arbeidskosten"),R168*VLOOKUP(F168,Tb_ProjectKosten[],MATCH(Tb_ProjectKosten[[#Headers],[Forfait_Percentage]],Tb_ProjectKosten[#Headers],0),0),AND(F168="Arbeidskosten",G168&lt;&gt;""),IFERROR(R168*VLOOKUP(G168,Tb_KostenTypen[],3,0)*VLOOKUP(F168,Tb_ProjectKosten[],MATCH(Tb_ProjectKosten[[#Headers],[Forfait_Percentage]],Tb_ProjectKosten[#Headers],0),0),""),R168 &lt;=0,0),"")</f>
        <v/>
      </c>
      <c r="V168" s="314" t="str" cm="1">
        <f t="array" aca="1" ref="V168" ca="1">IFERROR(_xlfn.IFS(OR(F168="",LEFT(Methode_Keuze,4)="Geen",Methode_Keuze=""),"",AND(S168&lt;&gt;"",F168&lt;&gt;"Arbeidskosten"),S168*VLOOKUP(F168,Tb_ProjectKosten[],MATCH(Tb_ProjectKosten[[#Headers],[Forfait_Percentage]],Tb_ProjectKosten[#Headers],0),0),AND(F168="Arbeidskosten",G168&lt;&gt;""),IFERROR(S168*VLOOKUP(G168,Tb_KostenTypen[],3,0)*VLOOKUP(F168,Tb_ProjectKosten[],MATCH(Tb_ProjectKosten[[#Headers],[Forfait_Percentage]],Tb_ProjectKosten[#Headers],0),0),""),S168 &lt;=0,0),"")</f>
        <v/>
      </c>
      <c r="W168" s="314" t="str">
        <f t="shared" ca="1" si="12"/>
        <v/>
      </c>
      <c r="X168" s="376" t="str">
        <f>IFERROR(VLOOKUP(F168,Tb_ProjectKosten[#All],11,0),"")</f>
        <v/>
      </c>
      <c r="Y168" s="315"/>
    </row>
    <row r="169" spans="1:25" x14ac:dyDescent="0.25">
      <c r="A169" s="309">
        <f>MAX($A$5:A168)+1</f>
        <v>164</v>
      </c>
      <c r="B169" s="296"/>
      <c r="C169" s="296"/>
      <c r="D169" s="296"/>
      <c r="E169" s="296"/>
      <c r="F169" s="296"/>
      <c r="G169" s="327"/>
      <c r="H169" s="310" t="str">
        <f ca="1">IFERROR(IF(VLOOKUP(F169,Kostentypen!$A$3:$E$21,3,0)=0,"",IF(OR(F169="Arbeidskosten",F169="Vergoeding"),VLOOKUP(G169,Tb_KostenTypen[],2,0),VLOOKUP(F169,Kostentypen!$A$3:$E$20,3,0))),"")</f>
        <v/>
      </c>
      <c r="I169" s="311"/>
      <c r="J169" s="312" t="str" cm="1">
        <f t="array" ref="J169">_xlfn.IFNA(IF(INDEX(Tb_KostenOpties[],MATCH($F169,Tb_KostenOpties[KostenOptie],0),IFERROR(MATCH(Methode_Keuze,Tb_KostenOpties[#Headers],0),2))=1,_xlfn.SWITCH($H169,"Uurtarief",IF(OR(AND(RIGHT($F169,3)="IKS",VLOOKUP($I169,Loonkosten,2,0)="Ja"),AND(RIGHT($F169,3)&lt;&gt;"IKS",VLOOKUP($I169,Loonkosten,2,0)="Nee")), VLOOKUP($I169,Loonkosten,MATCH("Opgegeven uurtarief",'4. Rekenhulp loonkosten aanvr.'!$4:$4,0)),0),"Vast tarief",IF(LEFT(F169,8)="Bijdrage",VLOOKUP($F169,Tb_KostenTypen[],MATCH(Lijsten!$P$1,Tb_KostenTypen[#Headers],0),0),VLOOKUP($G169,Lijsten!L:P,MATCH(Lijsten!$P$1,Kop_Tarief_Vast,0),0))),""),"")</f>
        <v/>
      </c>
      <c r="K169" s="312" t="str" cm="1">
        <f t="array" ref="K169">_xlfn.IFNA(IF(INDEX(Tb_KostenOpties[],MATCH($F169,Tb_KostenOpties[KostenOptie],0),IFERROR(MATCH(Methode_Keuze,Tb_KostenOpties[#Headers],0),2))=1,_xlfn.SWITCH($H169,"Uurtarief",IF(OR(AND(RIGHT($F169,3)="IKS",VLOOKUP($I169,Loonkosten,2,0)="Ja"),AND(RIGHT($F169,3)&lt;&gt;"IKS",VLOOKUP($I169,Loonkosten,2,0)="Nee")), VLOOKUP($I169,Loonkosten,MATCH("Beoordeeld uurtarief",'4. Rekenhulp loonkosten aanvr.'!$4:$4,0),0),0),"Vast tarief",IF(LEFT(F169,8)="Bijdrage",VLOOKUP($F169,Tb_KostenTypen[],MATCH(Lijsten!$P$1,Tb_KostenTypen[#Headers],0),0),VLOOKUP($G169,Lijsten!L:P,MATCH(Lijsten!$P$1,Kop_Tarief_Vast,0),0))),""),"")</f>
        <v/>
      </c>
      <c r="L169" s="358"/>
      <c r="M169" s="358"/>
      <c r="N169" s="313"/>
      <c r="O169" s="313"/>
      <c r="P169" s="374" t="str">
        <f t="shared" si="9"/>
        <v/>
      </c>
      <c r="Q169" s="314" t="str">
        <f t="shared" si="10"/>
        <v/>
      </c>
      <c r="R169" s="314" t="str" cm="1">
        <f t="array" aca="1" ref="R169" ca="1">_xlfn.IFNA(_xlfn.IFS(X169="Dit kostentype hoeft u niet op te geven. Hiervoor wordt een forfait berekend.","",AND(J169&lt;&gt;"",H169="Vast tarief",F169="Vergoeding"),SUM(J169)*FLOOR(SUM(L169),0.0001),AND(J169&lt;&gt;"",OR(H169="Uurtarief",H169="Vast tarief")),SUM(J169)*FLOOR(SUM(L169),0.01),AND(N169&lt;&gt;"",H169="-"),FLOOR(SUM(N169),0.01)),"")</f>
        <v/>
      </c>
      <c r="S169" s="314" t="str" cm="1">
        <f t="array" aca="1" ref="S169" ca="1">_xlfn.IFNA(_xlfn.IFS(X169="Dit kostentype hoeft u niet op te geven. Hiervoor wordt een forfait berekend.","",AND(K169&lt;&gt;"",M169&lt;&gt;"",H169="Vast tarief",F169="Vergoeding"),SUM(K169)*FLOOR(SUM(M169),0.0001),AND(K169&lt;&gt;"",M169&lt;&gt;"",OR(H169="Uurtarief",H169="Vast tarief")),SUM(K169)*FLOOR(SUM(M169),0.01),AND(O169&lt;&gt;"",H169="-"),FLOOR(SUM(O169),0.01)),"")</f>
        <v/>
      </c>
      <c r="T169" s="314" t="str">
        <f t="shared" ca="1" si="11"/>
        <v/>
      </c>
      <c r="U169" s="314" t="str" cm="1">
        <f t="array" aca="1" ref="U169" ca="1">IFERROR(_xlfn.IFS(OR(F169="",LEFT(Methode_Keuze,4)="Geen",Methode_Keuze=""),"",AND(R169&lt;&gt;"",F169&lt;&gt;"Arbeidskosten"),R169*VLOOKUP(F169,Tb_ProjectKosten[],MATCH(Tb_ProjectKosten[[#Headers],[Forfait_Percentage]],Tb_ProjectKosten[#Headers],0),0),AND(F169="Arbeidskosten",G169&lt;&gt;""),IFERROR(R169*VLOOKUP(G169,Tb_KostenTypen[],3,0)*VLOOKUP(F169,Tb_ProjectKosten[],MATCH(Tb_ProjectKosten[[#Headers],[Forfait_Percentage]],Tb_ProjectKosten[#Headers],0),0),""),R169 &lt;=0,0),"")</f>
        <v/>
      </c>
      <c r="V169" s="314" t="str" cm="1">
        <f t="array" aca="1" ref="V169" ca="1">IFERROR(_xlfn.IFS(OR(F169="",LEFT(Methode_Keuze,4)="Geen",Methode_Keuze=""),"",AND(S169&lt;&gt;"",F169&lt;&gt;"Arbeidskosten"),S169*VLOOKUP(F169,Tb_ProjectKosten[],MATCH(Tb_ProjectKosten[[#Headers],[Forfait_Percentage]],Tb_ProjectKosten[#Headers],0),0),AND(F169="Arbeidskosten",G169&lt;&gt;""),IFERROR(S169*VLOOKUP(G169,Tb_KostenTypen[],3,0)*VLOOKUP(F169,Tb_ProjectKosten[],MATCH(Tb_ProjectKosten[[#Headers],[Forfait_Percentage]],Tb_ProjectKosten[#Headers],0),0),""),S169 &lt;=0,0),"")</f>
        <v/>
      </c>
      <c r="W169" s="314" t="str">
        <f t="shared" ca="1" si="12"/>
        <v/>
      </c>
      <c r="X169" s="376" t="str">
        <f>IFERROR(VLOOKUP(F169,Tb_ProjectKosten[#All],11,0),"")</f>
        <v/>
      </c>
      <c r="Y169" s="315"/>
    </row>
    <row r="170" spans="1:25" x14ac:dyDescent="0.25">
      <c r="A170" s="309">
        <f>MAX($A$5:A169)+1</f>
        <v>165</v>
      </c>
      <c r="B170" s="296"/>
      <c r="C170" s="296"/>
      <c r="D170" s="296"/>
      <c r="E170" s="296"/>
      <c r="F170" s="296"/>
      <c r="G170" s="327"/>
      <c r="H170" s="310" t="str">
        <f ca="1">IFERROR(IF(VLOOKUP(F170,Kostentypen!$A$3:$E$21,3,0)=0,"",IF(OR(F170="Arbeidskosten",F170="Vergoeding"),VLOOKUP(G170,Tb_KostenTypen[],2,0),VLOOKUP(F170,Kostentypen!$A$3:$E$20,3,0))),"")</f>
        <v/>
      </c>
      <c r="I170" s="311"/>
      <c r="J170" s="312" t="str" cm="1">
        <f t="array" ref="J170">_xlfn.IFNA(IF(INDEX(Tb_KostenOpties[],MATCH($F170,Tb_KostenOpties[KostenOptie],0),IFERROR(MATCH(Methode_Keuze,Tb_KostenOpties[#Headers],0),2))=1,_xlfn.SWITCH($H170,"Uurtarief",IF(OR(AND(RIGHT($F170,3)="IKS",VLOOKUP($I170,Loonkosten,2,0)="Ja"),AND(RIGHT($F170,3)&lt;&gt;"IKS",VLOOKUP($I170,Loonkosten,2,0)="Nee")), VLOOKUP($I170,Loonkosten,MATCH("Opgegeven uurtarief",'4. Rekenhulp loonkosten aanvr.'!$4:$4,0)),0),"Vast tarief",IF(LEFT(F170,8)="Bijdrage",VLOOKUP($F170,Tb_KostenTypen[],MATCH(Lijsten!$P$1,Tb_KostenTypen[#Headers],0),0),VLOOKUP($G170,Lijsten!L:P,MATCH(Lijsten!$P$1,Kop_Tarief_Vast,0),0))),""),"")</f>
        <v/>
      </c>
      <c r="K170" s="312" t="str" cm="1">
        <f t="array" ref="K170">_xlfn.IFNA(IF(INDEX(Tb_KostenOpties[],MATCH($F170,Tb_KostenOpties[KostenOptie],0),IFERROR(MATCH(Methode_Keuze,Tb_KostenOpties[#Headers],0),2))=1,_xlfn.SWITCH($H170,"Uurtarief",IF(OR(AND(RIGHT($F170,3)="IKS",VLOOKUP($I170,Loonkosten,2,0)="Ja"),AND(RIGHT($F170,3)&lt;&gt;"IKS",VLOOKUP($I170,Loonkosten,2,0)="Nee")), VLOOKUP($I170,Loonkosten,MATCH("Beoordeeld uurtarief",'4. Rekenhulp loonkosten aanvr.'!$4:$4,0),0),0),"Vast tarief",IF(LEFT(F170,8)="Bijdrage",VLOOKUP($F170,Tb_KostenTypen[],MATCH(Lijsten!$P$1,Tb_KostenTypen[#Headers],0),0),VLOOKUP($G170,Lijsten!L:P,MATCH(Lijsten!$P$1,Kop_Tarief_Vast,0),0))),""),"")</f>
        <v/>
      </c>
      <c r="L170" s="358"/>
      <c r="M170" s="358"/>
      <c r="N170" s="313"/>
      <c r="O170" s="313"/>
      <c r="P170" s="374" t="str">
        <f t="shared" si="9"/>
        <v/>
      </c>
      <c r="Q170" s="314" t="str">
        <f t="shared" si="10"/>
        <v/>
      </c>
      <c r="R170" s="314" t="str" cm="1">
        <f t="array" aca="1" ref="R170" ca="1">_xlfn.IFNA(_xlfn.IFS(X170="Dit kostentype hoeft u niet op te geven. Hiervoor wordt een forfait berekend.","",AND(J170&lt;&gt;"",H170="Vast tarief",F170="Vergoeding"),SUM(J170)*FLOOR(SUM(L170),0.0001),AND(J170&lt;&gt;"",OR(H170="Uurtarief",H170="Vast tarief")),SUM(J170)*FLOOR(SUM(L170),0.01),AND(N170&lt;&gt;"",H170="-"),FLOOR(SUM(N170),0.01)),"")</f>
        <v/>
      </c>
      <c r="S170" s="314" t="str" cm="1">
        <f t="array" aca="1" ref="S170" ca="1">_xlfn.IFNA(_xlfn.IFS(X170="Dit kostentype hoeft u niet op te geven. Hiervoor wordt een forfait berekend.","",AND(K170&lt;&gt;"",M170&lt;&gt;"",H170="Vast tarief",F170="Vergoeding"),SUM(K170)*FLOOR(SUM(M170),0.0001),AND(K170&lt;&gt;"",M170&lt;&gt;"",OR(H170="Uurtarief",H170="Vast tarief")),SUM(K170)*FLOOR(SUM(M170),0.01),AND(O170&lt;&gt;"",H170="-"),FLOOR(SUM(O170),0.01)),"")</f>
        <v/>
      </c>
      <c r="T170" s="314" t="str">
        <f t="shared" ca="1" si="11"/>
        <v/>
      </c>
      <c r="U170" s="314" t="str" cm="1">
        <f t="array" aca="1" ref="U170" ca="1">IFERROR(_xlfn.IFS(OR(F170="",LEFT(Methode_Keuze,4)="Geen",Methode_Keuze=""),"",AND(R170&lt;&gt;"",F170&lt;&gt;"Arbeidskosten"),R170*VLOOKUP(F170,Tb_ProjectKosten[],MATCH(Tb_ProjectKosten[[#Headers],[Forfait_Percentage]],Tb_ProjectKosten[#Headers],0),0),AND(F170="Arbeidskosten",G170&lt;&gt;""),IFERROR(R170*VLOOKUP(G170,Tb_KostenTypen[],3,0)*VLOOKUP(F170,Tb_ProjectKosten[],MATCH(Tb_ProjectKosten[[#Headers],[Forfait_Percentage]],Tb_ProjectKosten[#Headers],0),0),""),R170 &lt;=0,0),"")</f>
        <v/>
      </c>
      <c r="V170" s="314" t="str" cm="1">
        <f t="array" aca="1" ref="V170" ca="1">IFERROR(_xlfn.IFS(OR(F170="",LEFT(Methode_Keuze,4)="Geen",Methode_Keuze=""),"",AND(S170&lt;&gt;"",F170&lt;&gt;"Arbeidskosten"),S170*VLOOKUP(F170,Tb_ProjectKosten[],MATCH(Tb_ProjectKosten[[#Headers],[Forfait_Percentage]],Tb_ProjectKosten[#Headers],0),0),AND(F170="Arbeidskosten",G170&lt;&gt;""),IFERROR(S170*VLOOKUP(G170,Tb_KostenTypen[],3,0)*VLOOKUP(F170,Tb_ProjectKosten[],MATCH(Tb_ProjectKosten[[#Headers],[Forfait_Percentage]],Tb_ProjectKosten[#Headers],0),0),""),S170 &lt;=0,0),"")</f>
        <v/>
      </c>
      <c r="W170" s="314" t="str">
        <f t="shared" ca="1" si="12"/>
        <v/>
      </c>
      <c r="X170" s="376" t="str">
        <f>IFERROR(VLOOKUP(F170,Tb_ProjectKosten[#All],11,0),"")</f>
        <v/>
      </c>
      <c r="Y170" s="315"/>
    </row>
    <row r="171" spans="1:25" x14ac:dyDescent="0.25">
      <c r="A171" s="309">
        <f>MAX($A$5:A170)+1</f>
        <v>166</v>
      </c>
      <c r="B171" s="296"/>
      <c r="C171" s="296"/>
      <c r="D171" s="296"/>
      <c r="E171" s="296"/>
      <c r="F171" s="296"/>
      <c r="G171" s="327"/>
      <c r="H171" s="310" t="str">
        <f ca="1">IFERROR(IF(VLOOKUP(F171,Kostentypen!$A$3:$E$21,3,0)=0,"",IF(OR(F171="Arbeidskosten",F171="Vergoeding"),VLOOKUP(G171,Tb_KostenTypen[],2,0),VLOOKUP(F171,Kostentypen!$A$3:$E$20,3,0))),"")</f>
        <v/>
      </c>
      <c r="I171" s="311"/>
      <c r="J171" s="312" t="str" cm="1">
        <f t="array" ref="J171">_xlfn.IFNA(IF(INDEX(Tb_KostenOpties[],MATCH($F171,Tb_KostenOpties[KostenOptie],0),IFERROR(MATCH(Methode_Keuze,Tb_KostenOpties[#Headers],0),2))=1,_xlfn.SWITCH($H171,"Uurtarief",IF(OR(AND(RIGHT($F171,3)="IKS",VLOOKUP($I171,Loonkosten,2,0)="Ja"),AND(RIGHT($F171,3)&lt;&gt;"IKS",VLOOKUP($I171,Loonkosten,2,0)="Nee")), VLOOKUP($I171,Loonkosten,MATCH("Opgegeven uurtarief",'4. Rekenhulp loonkosten aanvr.'!$4:$4,0)),0),"Vast tarief",IF(LEFT(F171,8)="Bijdrage",VLOOKUP($F171,Tb_KostenTypen[],MATCH(Lijsten!$P$1,Tb_KostenTypen[#Headers],0),0),VLOOKUP($G171,Lijsten!L:P,MATCH(Lijsten!$P$1,Kop_Tarief_Vast,0),0))),""),"")</f>
        <v/>
      </c>
      <c r="K171" s="312" t="str" cm="1">
        <f t="array" ref="K171">_xlfn.IFNA(IF(INDEX(Tb_KostenOpties[],MATCH($F171,Tb_KostenOpties[KostenOptie],0),IFERROR(MATCH(Methode_Keuze,Tb_KostenOpties[#Headers],0),2))=1,_xlfn.SWITCH($H171,"Uurtarief",IF(OR(AND(RIGHT($F171,3)="IKS",VLOOKUP($I171,Loonkosten,2,0)="Ja"),AND(RIGHT($F171,3)&lt;&gt;"IKS",VLOOKUP($I171,Loonkosten,2,0)="Nee")), VLOOKUP($I171,Loonkosten,MATCH("Beoordeeld uurtarief",'4. Rekenhulp loonkosten aanvr.'!$4:$4,0),0),0),"Vast tarief",IF(LEFT(F171,8)="Bijdrage",VLOOKUP($F171,Tb_KostenTypen[],MATCH(Lijsten!$P$1,Tb_KostenTypen[#Headers],0),0),VLOOKUP($G171,Lijsten!L:P,MATCH(Lijsten!$P$1,Kop_Tarief_Vast,0),0))),""),"")</f>
        <v/>
      </c>
      <c r="L171" s="358"/>
      <c r="M171" s="358"/>
      <c r="N171" s="313"/>
      <c r="O171" s="313"/>
      <c r="P171" s="374" t="str">
        <f t="shared" si="9"/>
        <v/>
      </c>
      <c r="Q171" s="314" t="str">
        <f t="shared" si="10"/>
        <v/>
      </c>
      <c r="R171" s="314" t="str" cm="1">
        <f t="array" aca="1" ref="R171" ca="1">_xlfn.IFNA(_xlfn.IFS(X171="Dit kostentype hoeft u niet op te geven. Hiervoor wordt een forfait berekend.","",AND(J171&lt;&gt;"",H171="Vast tarief",F171="Vergoeding"),SUM(J171)*FLOOR(SUM(L171),0.0001),AND(J171&lt;&gt;"",OR(H171="Uurtarief",H171="Vast tarief")),SUM(J171)*FLOOR(SUM(L171),0.01),AND(N171&lt;&gt;"",H171="-"),FLOOR(SUM(N171),0.01)),"")</f>
        <v/>
      </c>
      <c r="S171" s="314" t="str" cm="1">
        <f t="array" aca="1" ref="S171" ca="1">_xlfn.IFNA(_xlfn.IFS(X171="Dit kostentype hoeft u niet op te geven. Hiervoor wordt een forfait berekend.","",AND(K171&lt;&gt;"",M171&lt;&gt;"",H171="Vast tarief",F171="Vergoeding"),SUM(K171)*FLOOR(SUM(M171),0.0001),AND(K171&lt;&gt;"",M171&lt;&gt;"",OR(H171="Uurtarief",H171="Vast tarief")),SUM(K171)*FLOOR(SUM(M171),0.01),AND(O171&lt;&gt;"",H171="-"),FLOOR(SUM(O171),0.01)),"")</f>
        <v/>
      </c>
      <c r="T171" s="314" t="str">
        <f t="shared" ca="1" si="11"/>
        <v/>
      </c>
      <c r="U171" s="314" t="str" cm="1">
        <f t="array" aca="1" ref="U171" ca="1">IFERROR(_xlfn.IFS(OR(F171="",LEFT(Methode_Keuze,4)="Geen",Methode_Keuze=""),"",AND(R171&lt;&gt;"",F171&lt;&gt;"Arbeidskosten"),R171*VLOOKUP(F171,Tb_ProjectKosten[],MATCH(Tb_ProjectKosten[[#Headers],[Forfait_Percentage]],Tb_ProjectKosten[#Headers],0),0),AND(F171="Arbeidskosten",G171&lt;&gt;""),IFERROR(R171*VLOOKUP(G171,Tb_KostenTypen[],3,0)*VLOOKUP(F171,Tb_ProjectKosten[],MATCH(Tb_ProjectKosten[[#Headers],[Forfait_Percentage]],Tb_ProjectKosten[#Headers],0),0),""),R171 &lt;=0,0),"")</f>
        <v/>
      </c>
      <c r="V171" s="314" t="str" cm="1">
        <f t="array" aca="1" ref="V171" ca="1">IFERROR(_xlfn.IFS(OR(F171="",LEFT(Methode_Keuze,4)="Geen",Methode_Keuze=""),"",AND(S171&lt;&gt;"",F171&lt;&gt;"Arbeidskosten"),S171*VLOOKUP(F171,Tb_ProjectKosten[],MATCH(Tb_ProjectKosten[[#Headers],[Forfait_Percentage]],Tb_ProjectKosten[#Headers],0),0),AND(F171="Arbeidskosten",G171&lt;&gt;""),IFERROR(S171*VLOOKUP(G171,Tb_KostenTypen[],3,0)*VLOOKUP(F171,Tb_ProjectKosten[],MATCH(Tb_ProjectKosten[[#Headers],[Forfait_Percentage]],Tb_ProjectKosten[#Headers],0),0),""),S171 &lt;=0,0),"")</f>
        <v/>
      </c>
      <c r="W171" s="314" t="str">
        <f t="shared" ca="1" si="12"/>
        <v/>
      </c>
      <c r="X171" s="376" t="str">
        <f>IFERROR(VLOOKUP(F171,Tb_ProjectKosten[#All],11,0),"")</f>
        <v/>
      </c>
      <c r="Y171" s="315"/>
    </row>
    <row r="172" spans="1:25" x14ac:dyDescent="0.25">
      <c r="A172" s="309">
        <f>MAX($A$5:A171)+1</f>
        <v>167</v>
      </c>
      <c r="B172" s="296"/>
      <c r="C172" s="296"/>
      <c r="D172" s="296"/>
      <c r="E172" s="296"/>
      <c r="F172" s="296"/>
      <c r="G172" s="327"/>
      <c r="H172" s="310" t="str">
        <f ca="1">IFERROR(IF(VLOOKUP(F172,Kostentypen!$A$3:$E$21,3,0)=0,"",IF(OR(F172="Arbeidskosten",F172="Vergoeding"),VLOOKUP(G172,Tb_KostenTypen[],2,0),VLOOKUP(F172,Kostentypen!$A$3:$E$20,3,0))),"")</f>
        <v/>
      </c>
      <c r="I172" s="311"/>
      <c r="J172" s="312" t="str" cm="1">
        <f t="array" ref="J172">_xlfn.IFNA(IF(INDEX(Tb_KostenOpties[],MATCH($F172,Tb_KostenOpties[KostenOptie],0),IFERROR(MATCH(Methode_Keuze,Tb_KostenOpties[#Headers],0),2))=1,_xlfn.SWITCH($H172,"Uurtarief",IF(OR(AND(RIGHT($F172,3)="IKS",VLOOKUP($I172,Loonkosten,2,0)="Ja"),AND(RIGHT($F172,3)&lt;&gt;"IKS",VLOOKUP($I172,Loonkosten,2,0)="Nee")), VLOOKUP($I172,Loonkosten,MATCH("Opgegeven uurtarief",'4. Rekenhulp loonkosten aanvr.'!$4:$4,0)),0),"Vast tarief",IF(LEFT(F172,8)="Bijdrage",VLOOKUP($F172,Tb_KostenTypen[],MATCH(Lijsten!$P$1,Tb_KostenTypen[#Headers],0),0),VLOOKUP($G172,Lijsten!L:P,MATCH(Lijsten!$P$1,Kop_Tarief_Vast,0),0))),""),"")</f>
        <v/>
      </c>
      <c r="K172" s="312" t="str" cm="1">
        <f t="array" ref="K172">_xlfn.IFNA(IF(INDEX(Tb_KostenOpties[],MATCH($F172,Tb_KostenOpties[KostenOptie],0),IFERROR(MATCH(Methode_Keuze,Tb_KostenOpties[#Headers],0),2))=1,_xlfn.SWITCH($H172,"Uurtarief",IF(OR(AND(RIGHT($F172,3)="IKS",VLOOKUP($I172,Loonkosten,2,0)="Ja"),AND(RIGHT($F172,3)&lt;&gt;"IKS",VLOOKUP($I172,Loonkosten,2,0)="Nee")), VLOOKUP($I172,Loonkosten,MATCH("Beoordeeld uurtarief",'4. Rekenhulp loonkosten aanvr.'!$4:$4,0),0),0),"Vast tarief",IF(LEFT(F172,8)="Bijdrage",VLOOKUP($F172,Tb_KostenTypen[],MATCH(Lijsten!$P$1,Tb_KostenTypen[#Headers],0),0),VLOOKUP($G172,Lijsten!L:P,MATCH(Lijsten!$P$1,Kop_Tarief_Vast,0),0))),""),"")</f>
        <v/>
      </c>
      <c r="L172" s="358"/>
      <c r="M172" s="358"/>
      <c r="N172" s="313"/>
      <c r="O172" s="313"/>
      <c r="P172" s="374" t="str">
        <f t="shared" si="9"/>
        <v/>
      </c>
      <c r="Q172" s="314" t="str">
        <f t="shared" si="10"/>
        <v/>
      </c>
      <c r="R172" s="314" t="str" cm="1">
        <f t="array" aca="1" ref="R172" ca="1">_xlfn.IFNA(_xlfn.IFS(X172="Dit kostentype hoeft u niet op te geven. Hiervoor wordt een forfait berekend.","",AND(J172&lt;&gt;"",H172="Vast tarief",F172="Vergoeding"),SUM(J172)*FLOOR(SUM(L172),0.0001),AND(J172&lt;&gt;"",OR(H172="Uurtarief",H172="Vast tarief")),SUM(J172)*FLOOR(SUM(L172),0.01),AND(N172&lt;&gt;"",H172="-"),FLOOR(SUM(N172),0.01)),"")</f>
        <v/>
      </c>
      <c r="S172" s="314" t="str" cm="1">
        <f t="array" aca="1" ref="S172" ca="1">_xlfn.IFNA(_xlfn.IFS(X172="Dit kostentype hoeft u niet op te geven. Hiervoor wordt een forfait berekend.","",AND(K172&lt;&gt;"",M172&lt;&gt;"",H172="Vast tarief",F172="Vergoeding"),SUM(K172)*FLOOR(SUM(M172),0.0001),AND(K172&lt;&gt;"",M172&lt;&gt;"",OR(H172="Uurtarief",H172="Vast tarief")),SUM(K172)*FLOOR(SUM(M172),0.01),AND(O172&lt;&gt;"",H172="-"),FLOOR(SUM(O172),0.01)),"")</f>
        <v/>
      </c>
      <c r="T172" s="314" t="str">
        <f t="shared" ca="1" si="11"/>
        <v/>
      </c>
      <c r="U172" s="314" t="str" cm="1">
        <f t="array" aca="1" ref="U172" ca="1">IFERROR(_xlfn.IFS(OR(F172="",LEFT(Methode_Keuze,4)="Geen",Methode_Keuze=""),"",AND(R172&lt;&gt;"",F172&lt;&gt;"Arbeidskosten"),R172*VLOOKUP(F172,Tb_ProjectKosten[],MATCH(Tb_ProjectKosten[[#Headers],[Forfait_Percentage]],Tb_ProjectKosten[#Headers],0),0),AND(F172="Arbeidskosten",G172&lt;&gt;""),IFERROR(R172*VLOOKUP(G172,Tb_KostenTypen[],3,0)*VLOOKUP(F172,Tb_ProjectKosten[],MATCH(Tb_ProjectKosten[[#Headers],[Forfait_Percentage]],Tb_ProjectKosten[#Headers],0),0),""),R172 &lt;=0,0),"")</f>
        <v/>
      </c>
      <c r="V172" s="314" t="str" cm="1">
        <f t="array" aca="1" ref="V172" ca="1">IFERROR(_xlfn.IFS(OR(F172="",LEFT(Methode_Keuze,4)="Geen",Methode_Keuze=""),"",AND(S172&lt;&gt;"",F172&lt;&gt;"Arbeidskosten"),S172*VLOOKUP(F172,Tb_ProjectKosten[],MATCH(Tb_ProjectKosten[[#Headers],[Forfait_Percentage]],Tb_ProjectKosten[#Headers],0),0),AND(F172="Arbeidskosten",G172&lt;&gt;""),IFERROR(S172*VLOOKUP(G172,Tb_KostenTypen[],3,0)*VLOOKUP(F172,Tb_ProjectKosten[],MATCH(Tb_ProjectKosten[[#Headers],[Forfait_Percentage]],Tb_ProjectKosten[#Headers],0),0),""),S172 &lt;=0,0),"")</f>
        <v/>
      </c>
      <c r="W172" s="314" t="str">
        <f t="shared" ca="1" si="12"/>
        <v/>
      </c>
      <c r="X172" s="376" t="str">
        <f>IFERROR(VLOOKUP(F172,Tb_ProjectKosten[#All],11,0),"")</f>
        <v/>
      </c>
      <c r="Y172" s="315"/>
    </row>
    <row r="173" spans="1:25" x14ac:dyDescent="0.25">
      <c r="A173" s="309">
        <f>MAX($A$5:A172)+1</f>
        <v>168</v>
      </c>
      <c r="B173" s="296"/>
      <c r="C173" s="296"/>
      <c r="D173" s="296"/>
      <c r="E173" s="296"/>
      <c r="F173" s="296"/>
      <c r="G173" s="327"/>
      <c r="H173" s="310" t="str">
        <f ca="1">IFERROR(IF(VLOOKUP(F173,Kostentypen!$A$3:$E$21,3,0)=0,"",IF(OR(F173="Arbeidskosten",F173="Vergoeding"),VLOOKUP(G173,Tb_KostenTypen[],2,0),VLOOKUP(F173,Kostentypen!$A$3:$E$20,3,0))),"")</f>
        <v/>
      </c>
      <c r="I173" s="311"/>
      <c r="J173" s="312" t="str" cm="1">
        <f t="array" ref="J173">_xlfn.IFNA(IF(INDEX(Tb_KostenOpties[],MATCH($F173,Tb_KostenOpties[KostenOptie],0),IFERROR(MATCH(Methode_Keuze,Tb_KostenOpties[#Headers],0),2))=1,_xlfn.SWITCH($H173,"Uurtarief",IF(OR(AND(RIGHT($F173,3)="IKS",VLOOKUP($I173,Loonkosten,2,0)="Ja"),AND(RIGHT($F173,3)&lt;&gt;"IKS",VLOOKUP($I173,Loonkosten,2,0)="Nee")), VLOOKUP($I173,Loonkosten,MATCH("Opgegeven uurtarief",'4. Rekenhulp loonkosten aanvr.'!$4:$4,0)),0),"Vast tarief",IF(LEFT(F173,8)="Bijdrage",VLOOKUP($F173,Tb_KostenTypen[],MATCH(Lijsten!$P$1,Tb_KostenTypen[#Headers],0),0),VLOOKUP($G173,Lijsten!L:P,MATCH(Lijsten!$P$1,Kop_Tarief_Vast,0),0))),""),"")</f>
        <v/>
      </c>
      <c r="K173" s="312" t="str" cm="1">
        <f t="array" ref="K173">_xlfn.IFNA(IF(INDEX(Tb_KostenOpties[],MATCH($F173,Tb_KostenOpties[KostenOptie],0),IFERROR(MATCH(Methode_Keuze,Tb_KostenOpties[#Headers],0),2))=1,_xlfn.SWITCH($H173,"Uurtarief",IF(OR(AND(RIGHT($F173,3)="IKS",VLOOKUP($I173,Loonkosten,2,0)="Ja"),AND(RIGHT($F173,3)&lt;&gt;"IKS",VLOOKUP($I173,Loonkosten,2,0)="Nee")), VLOOKUP($I173,Loonkosten,MATCH("Beoordeeld uurtarief",'4. Rekenhulp loonkosten aanvr.'!$4:$4,0),0),0),"Vast tarief",IF(LEFT(F173,8)="Bijdrage",VLOOKUP($F173,Tb_KostenTypen[],MATCH(Lijsten!$P$1,Tb_KostenTypen[#Headers],0),0),VLOOKUP($G173,Lijsten!L:P,MATCH(Lijsten!$P$1,Kop_Tarief_Vast,0),0))),""),"")</f>
        <v/>
      </c>
      <c r="L173" s="358"/>
      <c r="M173" s="358"/>
      <c r="N173" s="313"/>
      <c r="O173" s="313"/>
      <c r="P173" s="374" t="str">
        <f t="shared" si="9"/>
        <v/>
      </c>
      <c r="Q173" s="314" t="str">
        <f t="shared" si="10"/>
        <v/>
      </c>
      <c r="R173" s="314" t="str" cm="1">
        <f t="array" aca="1" ref="R173" ca="1">_xlfn.IFNA(_xlfn.IFS(X173="Dit kostentype hoeft u niet op te geven. Hiervoor wordt een forfait berekend.","",AND(J173&lt;&gt;"",H173="Vast tarief",F173="Vergoeding"),SUM(J173)*FLOOR(SUM(L173),0.0001),AND(J173&lt;&gt;"",OR(H173="Uurtarief",H173="Vast tarief")),SUM(J173)*FLOOR(SUM(L173),0.01),AND(N173&lt;&gt;"",H173="-"),FLOOR(SUM(N173),0.01)),"")</f>
        <v/>
      </c>
      <c r="S173" s="314" t="str" cm="1">
        <f t="array" aca="1" ref="S173" ca="1">_xlfn.IFNA(_xlfn.IFS(X173="Dit kostentype hoeft u niet op te geven. Hiervoor wordt een forfait berekend.","",AND(K173&lt;&gt;"",M173&lt;&gt;"",H173="Vast tarief",F173="Vergoeding"),SUM(K173)*FLOOR(SUM(M173),0.0001),AND(K173&lt;&gt;"",M173&lt;&gt;"",OR(H173="Uurtarief",H173="Vast tarief")),SUM(K173)*FLOOR(SUM(M173),0.01),AND(O173&lt;&gt;"",H173="-"),FLOOR(SUM(O173),0.01)),"")</f>
        <v/>
      </c>
      <c r="T173" s="314" t="str">
        <f t="shared" ca="1" si="11"/>
        <v/>
      </c>
      <c r="U173" s="314" t="str" cm="1">
        <f t="array" aca="1" ref="U173" ca="1">IFERROR(_xlfn.IFS(OR(F173="",LEFT(Methode_Keuze,4)="Geen",Methode_Keuze=""),"",AND(R173&lt;&gt;"",F173&lt;&gt;"Arbeidskosten"),R173*VLOOKUP(F173,Tb_ProjectKosten[],MATCH(Tb_ProjectKosten[[#Headers],[Forfait_Percentage]],Tb_ProjectKosten[#Headers],0),0),AND(F173="Arbeidskosten",G173&lt;&gt;""),IFERROR(R173*VLOOKUP(G173,Tb_KostenTypen[],3,0)*VLOOKUP(F173,Tb_ProjectKosten[],MATCH(Tb_ProjectKosten[[#Headers],[Forfait_Percentage]],Tb_ProjectKosten[#Headers],0),0),""),R173 &lt;=0,0),"")</f>
        <v/>
      </c>
      <c r="V173" s="314" t="str" cm="1">
        <f t="array" aca="1" ref="V173" ca="1">IFERROR(_xlfn.IFS(OR(F173="",LEFT(Methode_Keuze,4)="Geen",Methode_Keuze=""),"",AND(S173&lt;&gt;"",F173&lt;&gt;"Arbeidskosten"),S173*VLOOKUP(F173,Tb_ProjectKosten[],MATCH(Tb_ProjectKosten[[#Headers],[Forfait_Percentage]],Tb_ProjectKosten[#Headers],0),0),AND(F173="Arbeidskosten",G173&lt;&gt;""),IFERROR(S173*VLOOKUP(G173,Tb_KostenTypen[],3,0)*VLOOKUP(F173,Tb_ProjectKosten[],MATCH(Tb_ProjectKosten[[#Headers],[Forfait_Percentage]],Tb_ProjectKosten[#Headers],0),0),""),S173 &lt;=0,0),"")</f>
        <v/>
      </c>
      <c r="W173" s="314" t="str">
        <f t="shared" ca="1" si="12"/>
        <v/>
      </c>
      <c r="X173" s="376" t="str">
        <f>IFERROR(VLOOKUP(F173,Tb_ProjectKosten[#All],11,0),"")</f>
        <v/>
      </c>
      <c r="Y173" s="315"/>
    </row>
    <row r="174" spans="1:25" x14ac:dyDescent="0.25">
      <c r="A174" s="309">
        <f>MAX($A$5:A173)+1</f>
        <v>169</v>
      </c>
      <c r="B174" s="296"/>
      <c r="C174" s="296"/>
      <c r="D174" s="296"/>
      <c r="E174" s="296"/>
      <c r="F174" s="296"/>
      <c r="G174" s="327"/>
      <c r="H174" s="310" t="str">
        <f ca="1">IFERROR(IF(VLOOKUP(F174,Kostentypen!$A$3:$E$21,3,0)=0,"",IF(OR(F174="Arbeidskosten",F174="Vergoeding"),VLOOKUP(G174,Tb_KostenTypen[],2,0),VLOOKUP(F174,Kostentypen!$A$3:$E$20,3,0))),"")</f>
        <v/>
      </c>
      <c r="I174" s="311"/>
      <c r="J174" s="312" t="str" cm="1">
        <f t="array" ref="J174">_xlfn.IFNA(IF(INDEX(Tb_KostenOpties[],MATCH($F174,Tb_KostenOpties[KostenOptie],0),IFERROR(MATCH(Methode_Keuze,Tb_KostenOpties[#Headers],0),2))=1,_xlfn.SWITCH($H174,"Uurtarief",IF(OR(AND(RIGHT($F174,3)="IKS",VLOOKUP($I174,Loonkosten,2,0)="Ja"),AND(RIGHT($F174,3)&lt;&gt;"IKS",VLOOKUP($I174,Loonkosten,2,0)="Nee")), VLOOKUP($I174,Loonkosten,MATCH("Opgegeven uurtarief",'4. Rekenhulp loonkosten aanvr.'!$4:$4,0)),0),"Vast tarief",IF(LEFT(F174,8)="Bijdrage",VLOOKUP($F174,Tb_KostenTypen[],MATCH(Lijsten!$P$1,Tb_KostenTypen[#Headers],0),0),VLOOKUP($G174,Lijsten!L:P,MATCH(Lijsten!$P$1,Kop_Tarief_Vast,0),0))),""),"")</f>
        <v/>
      </c>
      <c r="K174" s="312" t="str" cm="1">
        <f t="array" ref="K174">_xlfn.IFNA(IF(INDEX(Tb_KostenOpties[],MATCH($F174,Tb_KostenOpties[KostenOptie],0),IFERROR(MATCH(Methode_Keuze,Tb_KostenOpties[#Headers],0),2))=1,_xlfn.SWITCH($H174,"Uurtarief",IF(OR(AND(RIGHT($F174,3)="IKS",VLOOKUP($I174,Loonkosten,2,0)="Ja"),AND(RIGHT($F174,3)&lt;&gt;"IKS",VLOOKUP($I174,Loonkosten,2,0)="Nee")), VLOOKUP($I174,Loonkosten,MATCH("Beoordeeld uurtarief",'4. Rekenhulp loonkosten aanvr.'!$4:$4,0),0),0),"Vast tarief",IF(LEFT(F174,8)="Bijdrage",VLOOKUP($F174,Tb_KostenTypen[],MATCH(Lijsten!$P$1,Tb_KostenTypen[#Headers],0),0),VLOOKUP($G174,Lijsten!L:P,MATCH(Lijsten!$P$1,Kop_Tarief_Vast,0),0))),""),"")</f>
        <v/>
      </c>
      <c r="L174" s="358"/>
      <c r="M174" s="358"/>
      <c r="N174" s="313"/>
      <c r="O174" s="313"/>
      <c r="P174" s="374" t="str">
        <f t="shared" si="9"/>
        <v/>
      </c>
      <c r="Q174" s="314" t="str">
        <f t="shared" si="10"/>
        <v/>
      </c>
      <c r="R174" s="314" t="str" cm="1">
        <f t="array" aca="1" ref="R174" ca="1">_xlfn.IFNA(_xlfn.IFS(X174="Dit kostentype hoeft u niet op te geven. Hiervoor wordt een forfait berekend.","",AND(J174&lt;&gt;"",H174="Vast tarief",F174="Vergoeding"),SUM(J174)*FLOOR(SUM(L174),0.0001),AND(J174&lt;&gt;"",OR(H174="Uurtarief",H174="Vast tarief")),SUM(J174)*FLOOR(SUM(L174),0.01),AND(N174&lt;&gt;"",H174="-"),FLOOR(SUM(N174),0.01)),"")</f>
        <v/>
      </c>
      <c r="S174" s="314" t="str" cm="1">
        <f t="array" aca="1" ref="S174" ca="1">_xlfn.IFNA(_xlfn.IFS(X174="Dit kostentype hoeft u niet op te geven. Hiervoor wordt een forfait berekend.","",AND(K174&lt;&gt;"",M174&lt;&gt;"",H174="Vast tarief",F174="Vergoeding"),SUM(K174)*FLOOR(SUM(M174),0.0001),AND(K174&lt;&gt;"",M174&lt;&gt;"",OR(H174="Uurtarief",H174="Vast tarief")),SUM(K174)*FLOOR(SUM(M174),0.01),AND(O174&lt;&gt;"",H174="-"),FLOOR(SUM(O174),0.01)),"")</f>
        <v/>
      </c>
      <c r="T174" s="314" t="str">
        <f t="shared" ca="1" si="11"/>
        <v/>
      </c>
      <c r="U174" s="314" t="str" cm="1">
        <f t="array" aca="1" ref="U174" ca="1">IFERROR(_xlfn.IFS(OR(F174="",LEFT(Methode_Keuze,4)="Geen",Methode_Keuze=""),"",AND(R174&lt;&gt;"",F174&lt;&gt;"Arbeidskosten"),R174*VLOOKUP(F174,Tb_ProjectKosten[],MATCH(Tb_ProjectKosten[[#Headers],[Forfait_Percentage]],Tb_ProjectKosten[#Headers],0),0),AND(F174="Arbeidskosten",G174&lt;&gt;""),IFERROR(R174*VLOOKUP(G174,Tb_KostenTypen[],3,0)*VLOOKUP(F174,Tb_ProjectKosten[],MATCH(Tb_ProjectKosten[[#Headers],[Forfait_Percentage]],Tb_ProjectKosten[#Headers],0),0),""),R174 &lt;=0,0),"")</f>
        <v/>
      </c>
      <c r="V174" s="314" t="str" cm="1">
        <f t="array" aca="1" ref="V174" ca="1">IFERROR(_xlfn.IFS(OR(F174="",LEFT(Methode_Keuze,4)="Geen",Methode_Keuze=""),"",AND(S174&lt;&gt;"",F174&lt;&gt;"Arbeidskosten"),S174*VLOOKUP(F174,Tb_ProjectKosten[],MATCH(Tb_ProjectKosten[[#Headers],[Forfait_Percentage]],Tb_ProjectKosten[#Headers],0),0),AND(F174="Arbeidskosten",G174&lt;&gt;""),IFERROR(S174*VLOOKUP(G174,Tb_KostenTypen[],3,0)*VLOOKUP(F174,Tb_ProjectKosten[],MATCH(Tb_ProjectKosten[[#Headers],[Forfait_Percentage]],Tb_ProjectKosten[#Headers],0),0),""),S174 &lt;=0,0),"")</f>
        <v/>
      </c>
      <c r="W174" s="314" t="str">
        <f t="shared" ca="1" si="12"/>
        <v/>
      </c>
      <c r="X174" s="376" t="str">
        <f>IFERROR(VLOOKUP(F174,Tb_ProjectKosten[#All],11,0),"")</f>
        <v/>
      </c>
      <c r="Y174" s="315"/>
    </row>
    <row r="175" spans="1:25" x14ac:dyDescent="0.25">
      <c r="A175" s="309">
        <f>MAX($A$5:A174)+1</f>
        <v>170</v>
      </c>
      <c r="B175" s="296"/>
      <c r="C175" s="296"/>
      <c r="D175" s="296"/>
      <c r="E175" s="296"/>
      <c r="F175" s="296"/>
      <c r="G175" s="327"/>
      <c r="H175" s="310" t="str">
        <f ca="1">IFERROR(IF(VLOOKUP(F175,Kostentypen!$A$3:$E$21,3,0)=0,"",IF(OR(F175="Arbeidskosten",F175="Vergoeding"),VLOOKUP(G175,Tb_KostenTypen[],2,0),VLOOKUP(F175,Kostentypen!$A$3:$E$20,3,0))),"")</f>
        <v/>
      </c>
      <c r="I175" s="311"/>
      <c r="J175" s="312" t="str" cm="1">
        <f t="array" ref="J175">_xlfn.IFNA(IF(INDEX(Tb_KostenOpties[],MATCH($F175,Tb_KostenOpties[KostenOptie],0),IFERROR(MATCH(Methode_Keuze,Tb_KostenOpties[#Headers],0),2))=1,_xlfn.SWITCH($H175,"Uurtarief",IF(OR(AND(RIGHT($F175,3)="IKS",VLOOKUP($I175,Loonkosten,2,0)="Ja"),AND(RIGHT($F175,3)&lt;&gt;"IKS",VLOOKUP($I175,Loonkosten,2,0)="Nee")), VLOOKUP($I175,Loonkosten,MATCH("Opgegeven uurtarief",'4. Rekenhulp loonkosten aanvr.'!$4:$4,0)),0),"Vast tarief",IF(LEFT(F175,8)="Bijdrage",VLOOKUP($F175,Tb_KostenTypen[],MATCH(Lijsten!$P$1,Tb_KostenTypen[#Headers],0),0),VLOOKUP($G175,Lijsten!L:P,MATCH(Lijsten!$P$1,Kop_Tarief_Vast,0),0))),""),"")</f>
        <v/>
      </c>
      <c r="K175" s="312" t="str" cm="1">
        <f t="array" ref="K175">_xlfn.IFNA(IF(INDEX(Tb_KostenOpties[],MATCH($F175,Tb_KostenOpties[KostenOptie],0),IFERROR(MATCH(Methode_Keuze,Tb_KostenOpties[#Headers],0),2))=1,_xlfn.SWITCH($H175,"Uurtarief",IF(OR(AND(RIGHT($F175,3)="IKS",VLOOKUP($I175,Loonkosten,2,0)="Ja"),AND(RIGHT($F175,3)&lt;&gt;"IKS",VLOOKUP($I175,Loonkosten,2,0)="Nee")), VLOOKUP($I175,Loonkosten,MATCH("Beoordeeld uurtarief",'4. Rekenhulp loonkosten aanvr.'!$4:$4,0),0),0),"Vast tarief",IF(LEFT(F175,8)="Bijdrage",VLOOKUP($F175,Tb_KostenTypen[],MATCH(Lijsten!$P$1,Tb_KostenTypen[#Headers],0),0),VLOOKUP($G175,Lijsten!L:P,MATCH(Lijsten!$P$1,Kop_Tarief_Vast,0),0))),""),"")</f>
        <v/>
      </c>
      <c r="L175" s="358"/>
      <c r="M175" s="358"/>
      <c r="N175" s="313"/>
      <c r="O175" s="313"/>
      <c r="P175" s="374" t="str">
        <f t="shared" si="9"/>
        <v/>
      </c>
      <c r="Q175" s="314" t="str">
        <f t="shared" si="10"/>
        <v/>
      </c>
      <c r="R175" s="314" t="str" cm="1">
        <f t="array" aca="1" ref="R175" ca="1">_xlfn.IFNA(_xlfn.IFS(X175="Dit kostentype hoeft u niet op te geven. Hiervoor wordt een forfait berekend.","",AND(J175&lt;&gt;"",H175="Vast tarief",F175="Vergoeding"),SUM(J175)*FLOOR(SUM(L175),0.0001),AND(J175&lt;&gt;"",OR(H175="Uurtarief",H175="Vast tarief")),SUM(J175)*FLOOR(SUM(L175),0.01),AND(N175&lt;&gt;"",H175="-"),FLOOR(SUM(N175),0.01)),"")</f>
        <v/>
      </c>
      <c r="S175" s="314" t="str" cm="1">
        <f t="array" aca="1" ref="S175" ca="1">_xlfn.IFNA(_xlfn.IFS(X175="Dit kostentype hoeft u niet op te geven. Hiervoor wordt een forfait berekend.","",AND(K175&lt;&gt;"",M175&lt;&gt;"",H175="Vast tarief",F175="Vergoeding"),SUM(K175)*FLOOR(SUM(M175),0.0001),AND(K175&lt;&gt;"",M175&lt;&gt;"",OR(H175="Uurtarief",H175="Vast tarief")),SUM(K175)*FLOOR(SUM(M175),0.01),AND(O175&lt;&gt;"",H175="-"),FLOOR(SUM(O175),0.01)),"")</f>
        <v/>
      </c>
      <c r="T175" s="314" t="str">
        <f t="shared" ca="1" si="11"/>
        <v/>
      </c>
      <c r="U175" s="314" t="str" cm="1">
        <f t="array" aca="1" ref="U175" ca="1">IFERROR(_xlfn.IFS(OR(F175="",LEFT(Methode_Keuze,4)="Geen",Methode_Keuze=""),"",AND(R175&lt;&gt;"",F175&lt;&gt;"Arbeidskosten"),R175*VLOOKUP(F175,Tb_ProjectKosten[],MATCH(Tb_ProjectKosten[[#Headers],[Forfait_Percentage]],Tb_ProjectKosten[#Headers],0),0),AND(F175="Arbeidskosten",G175&lt;&gt;""),IFERROR(R175*VLOOKUP(G175,Tb_KostenTypen[],3,0)*VLOOKUP(F175,Tb_ProjectKosten[],MATCH(Tb_ProjectKosten[[#Headers],[Forfait_Percentage]],Tb_ProjectKosten[#Headers],0),0),""),R175 &lt;=0,0),"")</f>
        <v/>
      </c>
      <c r="V175" s="314" t="str" cm="1">
        <f t="array" aca="1" ref="V175" ca="1">IFERROR(_xlfn.IFS(OR(F175="",LEFT(Methode_Keuze,4)="Geen",Methode_Keuze=""),"",AND(S175&lt;&gt;"",F175&lt;&gt;"Arbeidskosten"),S175*VLOOKUP(F175,Tb_ProjectKosten[],MATCH(Tb_ProjectKosten[[#Headers],[Forfait_Percentage]],Tb_ProjectKosten[#Headers],0),0),AND(F175="Arbeidskosten",G175&lt;&gt;""),IFERROR(S175*VLOOKUP(G175,Tb_KostenTypen[],3,0)*VLOOKUP(F175,Tb_ProjectKosten[],MATCH(Tb_ProjectKosten[[#Headers],[Forfait_Percentage]],Tb_ProjectKosten[#Headers],0),0),""),S175 &lt;=0,0),"")</f>
        <v/>
      </c>
      <c r="W175" s="314" t="str">
        <f t="shared" ca="1" si="12"/>
        <v/>
      </c>
      <c r="X175" s="376" t="str">
        <f>IFERROR(VLOOKUP(F175,Tb_ProjectKosten[#All],11,0),"")</f>
        <v/>
      </c>
      <c r="Y175" s="315"/>
    </row>
    <row r="176" spans="1:25" x14ac:dyDescent="0.25">
      <c r="A176" s="309">
        <f>MAX($A$5:A175)+1</f>
        <v>171</v>
      </c>
      <c r="B176" s="296"/>
      <c r="C176" s="296"/>
      <c r="D176" s="296"/>
      <c r="E176" s="296"/>
      <c r="F176" s="296"/>
      <c r="G176" s="327"/>
      <c r="H176" s="310" t="str">
        <f ca="1">IFERROR(IF(VLOOKUP(F176,Kostentypen!$A$3:$E$21,3,0)=0,"",IF(OR(F176="Arbeidskosten",F176="Vergoeding"),VLOOKUP(G176,Tb_KostenTypen[],2,0),VLOOKUP(F176,Kostentypen!$A$3:$E$20,3,0))),"")</f>
        <v/>
      </c>
      <c r="I176" s="311"/>
      <c r="J176" s="312" t="str" cm="1">
        <f t="array" ref="J176">_xlfn.IFNA(IF(INDEX(Tb_KostenOpties[],MATCH($F176,Tb_KostenOpties[KostenOptie],0),IFERROR(MATCH(Methode_Keuze,Tb_KostenOpties[#Headers],0),2))=1,_xlfn.SWITCH($H176,"Uurtarief",IF(OR(AND(RIGHT($F176,3)="IKS",VLOOKUP($I176,Loonkosten,2,0)="Ja"),AND(RIGHT($F176,3)&lt;&gt;"IKS",VLOOKUP($I176,Loonkosten,2,0)="Nee")), VLOOKUP($I176,Loonkosten,MATCH("Opgegeven uurtarief",'4. Rekenhulp loonkosten aanvr.'!$4:$4,0)),0),"Vast tarief",IF(LEFT(F176,8)="Bijdrage",VLOOKUP($F176,Tb_KostenTypen[],MATCH(Lijsten!$P$1,Tb_KostenTypen[#Headers],0),0),VLOOKUP($G176,Lijsten!L:P,MATCH(Lijsten!$P$1,Kop_Tarief_Vast,0),0))),""),"")</f>
        <v/>
      </c>
      <c r="K176" s="312" t="str" cm="1">
        <f t="array" ref="K176">_xlfn.IFNA(IF(INDEX(Tb_KostenOpties[],MATCH($F176,Tb_KostenOpties[KostenOptie],0),IFERROR(MATCH(Methode_Keuze,Tb_KostenOpties[#Headers],0),2))=1,_xlfn.SWITCH($H176,"Uurtarief",IF(OR(AND(RIGHT($F176,3)="IKS",VLOOKUP($I176,Loonkosten,2,0)="Ja"),AND(RIGHT($F176,3)&lt;&gt;"IKS",VLOOKUP($I176,Loonkosten,2,0)="Nee")), VLOOKUP($I176,Loonkosten,MATCH("Beoordeeld uurtarief",'4. Rekenhulp loonkosten aanvr.'!$4:$4,0),0),0),"Vast tarief",IF(LEFT(F176,8)="Bijdrage",VLOOKUP($F176,Tb_KostenTypen[],MATCH(Lijsten!$P$1,Tb_KostenTypen[#Headers],0),0),VLOOKUP($G176,Lijsten!L:P,MATCH(Lijsten!$P$1,Kop_Tarief_Vast,0),0))),""),"")</f>
        <v/>
      </c>
      <c r="L176" s="358"/>
      <c r="M176" s="358"/>
      <c r="N176" s="313"/>
      <c r="O176" s="313"/>
      <c r="P176" s="374" t="str">
        <f t="shared" si="9"/>
        <v/>
      </c>
      <c r="Q176" s="314" t="str">
        <f t="shared" si="10"/>
        <v/>
      </c>
      <c r="R176" s="314" t="str" cm="1">
        <f t="array" aca="1" ref="R176" ca="1">_xlfn.IFNA(_xlfn.IFS(X176="Dit kostentype hoeft u niet op te geven. Hiervoor wordt een forfait berekend.","",AND(J176&lt;&gt;"",H176="Vast tarief",F176="Vergoeding"),SUM(J176)*FLOOR(SUM(L176),0.0001),AND(J176&lt;&gt;"",OR(H176="Uurtarief",H176="Vast tarief")),SUM(J176)*FLOOR(SUM(L176),0.01),AND(N176&lt;&gt;"",H176="-"),FLOOR(SUM(N176),0.01)),"")</f>
        <v/>
      </c>
      <c r="S176" s="314" t="str" cm="1">
        <f t="array" aca="1" ref="S176" ca="1">_xlfn.IFNA(_xlfn.IFS(X176="Dit kostentype hoeft u niet op te geven. Hiervoor wordt een forfait berekend.","",AND(K176&lt;&gt;"",M176&lt;&gt;"",H176="Vast tarief",F176="Vergoeding"),SUM(K176)*FLOOR(SUM(M176),0.0001),AND(K176&lt;&gt;"",M176&lt;&gt;"",OR(H176="Uurtarief",H176="Vast tarief")),SUM(K176)*FLOOR(SUM(M176),0.01),AND(O176&lt;&gt;"",H176="-"),FLOOR(SUM(O176),0.01)),"")</f>
        <v/>
      </c>
      <c r="T176" s="314" t="str">
        <f t="shared" ca="1" si="11"/>
        <v/>
      </c>
      <c r="U176" s="314" t="str" cm="1">
        <f t="array" aca="1" ref="U176" ca="1">IFERROR(_xlfn.IFS(OR(F176="",LEFT(Methode_Keuze,4)="Geen",Methode_Keuze=""),"",AND(R176&lt;&gt;"",F176&lt;&gt;"Arbeidskosten"),R176*VLOOKUP(F176,Tb_ProjectKosten[],MATCH(Tb_ProjectKosten[[#Headers],[Forfait_Percentage]],Tb_ProjectKosten[#Headers],0),0),AND(F176="Arbeidskosten",G176&lt;&gt;""),IFERROR(R176*VLOOKUP(G176,Tb_KostenTypen[],3,0)*VLOOKUP(F176,Tb_ProjectKosten[],MATCH(Tb_ProjectKosten[[#Headers],[Forfait_Percentage]],Tb_ProjectKosten[#Headers],0),0),""),R176 &lt;=0,0),"")</f>
        <v/>
      </c>
      <c r="V176" s="314" t="str" cm="1">
        <f t="array" aca="1" ref="V176" ca="1">IFERROR(_xlfn.IFS(OR(F176="",LEFT(Methode_Keuze,4)="Geen",Methode_Keuze=""),"",AND(S176&lt;&gt;"",F176&lt;&gt;"Arbeidskosten"),S176*VLOOKUP(F176,Tb_ProjectKosten[],MATCH(Tb_ProjectKosten[[#Headers],[Forfait_Percentage]],Tb_ProjectKosten[#Headers],0),0),AND(F176="Arbeidskosten",G176&lt;&gt;""),IFERROR(S176*VLOOKUP(G176,Tb_KostenTypen[],3,0)*VLOOKUP(F176,Tb_ProjectKosten[],MATCH(Tb_ProjectKosten[[#Headers],[Forfait_Percentage]],Tb_ProjectKosten[#Headers],0),0),""),S176 &lt;=0,0),"")</f>
        <v/>
      </c>
      <c r="W176" s="314" t="str">
        <f t="shared" ca="1" si="12"/>
        <v/>
      </c>
      <c r="X176" s="376" t="str">
        <f>IFERROR(VLOOKUP(F176,Tb_ProjectKosten[#All],11,0),"")</f>
        <v/>
      </c>
      <c r="Y176" s="315"/>
    </row>
    <row r="177" spans="1:25" x14ac:dyDescent="0.25">
      <c r="A177" s="309">
        <f>MAX($A$5:A176)+1</f>
        <v>172</v>
      </c>
      <c r="B177" s="296"/>
      <c r="C177" s="296"/>
      <c r="D177" s="296"/>
      <c r="E177" s="296"/>
      <c r="F177" s="296"/>
      <c r="G177" s="327"/>
      <c r="H177" s="310" t="str">
        <f ca="1">IFERROR(IF(VLOOKUP(F177,Kostentypen!$A$3:$E$21,3,0)=0,"",IF(OR(F177="Arbeidskosten",F177="Vergoeding"),VLOOKUP(G177,Tb_KostenTypen[],2,0),VLOOKUP(F177,Kostentypen!$A$3:$E$20,3,0))),"")</f>
        <v/>
      </c>
      <c r="I177" s="311"/>
      <c r="J177" s="312" t="str" cm="1">
        <f t="array" ref="J177">_xlfn.IFNA(IF(INDEX(Tb_KostenOpties[],MATCH($F177,Tb_KostenOpties[KostenOptie],0),IFERROR(MATCH(Methode_Keuze,Tb_KostenOpties[#Headers],0),2))=1,_xlfn.SWITCH($H177,"Uurtarief",IF(OR(AND(RIGHT($F177,3)="IKS",VLOOKUP($I177,Loonkosten,2,0)="Ja"),AND(RIGHT($F177,3)&lt;&gt;"IKS",VLOOKUP($I177,Loonkosten,2,0)="Nee")), VLOOKUP($I177,Loonkosten,MATCH("Opgegeven uurtarief",'4. Rekenhulp loonkosten aanvr.'!$4:$4,0)),0),"Vast tarief",IF(LEFT(F177,8)="Bijdrage",VLOOKUP($F177,Tb_KostenTypen[],MATCH(Lijsten!$P$1,Tb_KostenTypen[#Headers],0),0),VLOOKUP($G177,Lijsten!L:P,MATCH(Lijsten!$P$1,Kop_Tarief_Vast,0),0))),""),"")</f>
        <v/>
      </c>
      <c r="K177" s="312" t="str" cm="1">
        <f t="array" ref="K177">_xlfn.IFNA(IF(INDEX(Tb_KostenOpties[],MATCH($F177,Tb_KostenOpties[KostenOptie],0),IFERROR(MATCH(Methode_Keuze,Tb_KostenOpties[#Headers],0),2))=1,_xlfn.SWITCH($H177,"Uurtarief",IF(OR(AND(RIGHT($F177,3)="IKS",VLOOKUP($I177,Loonkosten,2,0)="Ja"),AND(RIGHT($F177,3)&lt;&gt;"IKS",VLOOKUP($I177,Loonkosten,2,0)="Nee")), VLOOKUP($I177,Loonkosten,MATCH("Beoordeeld uurtarief",'4. Rekenhulp loonkosten aanvr.'!$4:$4,0),0),0),"Vast tarief",IF(LEFT(F177,8)="Bijdrage",VLOOKUP($F177,Tb_KostenTypen[],MATCH(Lijsten!$P$1,Tb_KostenTypen[#Headers],0),0),VLOOKUP($G177,Lijsten!L:P,MATCH(Lijsten!$P$1,Kop_Tarief_Vast,0),0))),""),"")</f>
        <v/>
      </c>
      <c r="L177" s="358"/>
      <c r="M177" s="358"/>
      <c r="N177" s="313"/>
      <c r="O177" s="313"/>
      <c r="P177" s="374" t="str">
        <f t="shared" si="9"/>
        <v/>
      </c>
      <c r="Q177" s="314" t="str">
        <f t="shared" si="10"/>
        <v/>
      </c>
      <c r="R177" s="314" t="str" cm="1">
        <f t="array" aca="1" ref="R177" ca="1">_xlfn.IFNA(_xlfn.IFS(X177="Dit kostentype hoeft u niet op te geven. Hiervoor wordt een forfait berekend.","",AND(J177&lt;&gt;"",H177="Vast tarief",F177="Vergoeding"),SUM(J177)*FLOOR(SUM(L177),0.0001),AND(J177&lt;&gt;"",OR(H177="Uurtarief",H177="Vast tarief")),SUM(J177)*FLOOR(SUM(L177),0.01),AND(N177&lt;&gt;"",H177="-"),FLOOR(SUM(N177),0.01)),"")</f>
        <v/>
      </c>
      <c r="S177" s="314" t="str" cm="1">
        <f t="array" aca="1" ref="S177" ca="1">_xlfn.IFNA(_xlfn.IFS(X177="Dit kostentype hoeft u niet op te geven. Hiervoor wordt een forfait berekend.","",AND(K177&lt;&gt;"",M177&lt;&gt;"",H177="Vast tarief",F177="Vergoeding"),SUM(K177)*FLOOR(SUM(M177),0.0001),AND(K177&lt;&gt;"",M177&lt;&gt;"",OR(H177="Uurtarief",H177="Vast tarief")),SUM(K177)*FLOOR(SUM(M177),0.01),AND(O177&lt;&gt;"",H177="-"),FLOOR(SUM(O177),0.01)),"")</f>
        <v/>
      </c>
      <c r="T177" s="314" t="str">
        <f t="shared" ca="1" si="11"/>
        <v/>
      </c>
      <c r="U177" s="314" t="str" cm="1">
        <f t="array" aca="1" ref="U177" ca="1">IFERROR(_xlfn.IFS(OR(F177="",LEFT(Methode_Keuze,4)="Geen",Methode_Keuze=""),"",AND(R177&lt;&gt;"",F177&lt;&gt;"Arbeidskosten"),R177*VLOOKUP(F177,Tb_ProjectKosten[],MATCH(Tb_ProjectKosten[[#Headers],[Forfait_Percentage]],Tb_ProjectKosten[#Headers],0),0),AND(F177="Arbeidskosten",G177&lt;&gt;""),IFERROR(R177*VLOOKUP(G177,Tb_KostenTypen[],3,0)*VLOOKUP(F177,Tb_ProjectKosten[],MATCH(Tb_ProjectKosten[[#Headers],[Forfait_Percentage]],Tb_ProjectKosten[#Headers],0),0),""),R177 &lt;=0,0),"")</f>
        <v/>
      </c>
      <c r="V177" s="314" t="str" cm="1">
        <f t="array" aca="1" ref="V177" ca="1">IFERROR(_xlfn.IFS(OR(F177="",LEFT(Methode_Keuze,4)="Geen",Methode_Keuze=""),"",AND(S177&lt;&gt;"",F177&lt;&gt;"Arbeidskosten"),S177*VLOOKUP(F177,Tb_ProjectKosten[],MATCH(Tb_ProjectKosten[[#Headers],[Forfait_Percentage]],Tb_ProjectKosten[#Headers],0),0),AND(F177="Arbeidskosten",G177&lt;&gt;""),IFERROR(S177*VLOOKUP(G177,Tb_KostenTypen[],3,0)*VLOOKUP(F177,Tb_ProjectKosten[],MATCH(Tb_ProjectKosten[[#Headers],[Forfait_Percentage]],Tb_ProjectKosten[#Headers],0),0),""),S177 &lt;=0,0),"")</f>
        <v/>
      </c>
      <c r="W177" s="314" t="str">
        <f t="shared" ca="1" si="12"/>
        <v/>
      </c>
      <c r="X177" s="376" t="str">
        <f>IFERROR(VLOOKUP(F177,Tb_ProjectKosten[#All],11,0),"")</f>
        <v/>
      </c>
      <c r="Y177" s="315"/>
    </row>
    <row r="178" spans="1:25" x14ac:dyDescent="0.25">
      <c r="A178" s="309">
        <f>MAX($A$5:A177)+1</f>
        <v>173</v>
      </c>
      <c r="B178" s="296"/>
      <c r="C178" s="296"/>
      <c r="D178" s="296"/>
      <c r="E178" s="296"/>
      <c r="F178" s="296"/>
      <c r="G178" s="327"/>
      <c r="H178" s="310" t="str">
        <f ca="1">IFERROR(IF(VLOOKUP(F178,Kostentypen!$A$3:$E$21,3,0)=0,"",IF(OR(F178="Arbeidskosten",F178="Vergoeding"),VLOOKUP(G178,Tb_KostenTypen[],2,0),VLOOKUP(F178,Kostentypen!$A$3:$E$20,3,0))),"")</f>
        <v/>
      </c>
      <c r="I178" s="311"/>
      <c r="J178" s="312" t="str" cm="1">
        <f t="array" ref="J178">_xlfn.IFNA(IF(INDEX(Tb_KostenOpties[],MATCH($F178,Tb_KostenOpties[KostenOptie],0),IFERROR(MATCH(Methode_Keuze,Tb_KostenOpties[#Headers],0),2))=1,_xlfn.SWITCH($H178,"Uurtarief",IF(OR(AND(RIGHT($F178,3)="IKS",VLOOKUP($I178,Loonkosten,2,0)="Ja"),AND(RIGHT($F178,3)&lt;&gt;"IKS",VLOOKUP($I178,Loonkosten,2,0)="Nee")), VLOOKUP($I178,Loonkosten,MATCH("Opgegeven uurtarief",'4. Rekenhulp loonkosten aanvr.'!$4:$4,0)),0),"Vast tarief",IF(LEFT(F178,8)="Bijdrage",VLOOKUP($F178,Tb_KostenTypen[],MATCH(Lijsten!$P$1,Tb_KostenTypen[#Headers],0),0),VLOOKUP($G178,Lijsten!L:P,MATCH(Lijsten!$P$1,Kop_Tarief_Vast,0),0))),""),"")</f>
        <v/>
      </c>
      <c r="K178" s="312" t="str" cm="1">
        <f t="array" ref="K178">_xlfn.IFNA(IF(INDEX(Tb_KostenOpties[],MATCH($F178,Tb_KostenOpties[KostenOptie],0),IFERROR(MATCH(Methode_Keuze,Tb_KostenOpties[#Headers],0),2))=1,_xlfn.SWITCH($H178,"Uurtarief",IF(OR(AND(RIGHT($F178,3)="IKS",VLOOKUP($I178,Loonkosten,2,0)="Ja"),AND(RIGHT($F178,3)&lt;&gt;"IKS",VLOOKUP($I178,Loonkosten,2,0)="Nee")), VLOOKUP($I178,Loonkosten,MATCH("Beoordeeld uurtarief",'4. Rekenhulp loonkosten aanvr.'!$4:$4,0),0),0),"Vast tarief",IF(LEFT(F178,8)="Bijdrage",VLOOKUP($F178,Tb_KostenTypen[],MATCH(Lijsten!$P$1,Tb_KostenTypen[#Headers],0),0),VLOOKUP($G178,Lijsten!L:P,MATCH(Lijsten!$P$1,Kop_Tarief_Vast,0),0))),""),"")</f>
        <v/>
      </c>
      <c r="L178" s="358"/>
      <c r="M178" s="358"/>
      <c r="N178" s="313"/>
      <c r="O178" s="313"/>
      <c r="P178" s="374" t="str">
        <f t="shared" si="9"/>
        <v/>
      </c>
      <c r="Q178" s="314" t="str">
        <f t="shared" si="10"/>
        <v/>
      </c>
      <c r="R178" s="314" t="str" cm="1">
        <f t="array" aca="1" ref="R178" ca="1">_xlfn.IFNA(_xlfn.IFS(X178="Dit kostentype hoeft u niet op te geven. Hiervoor wordt een forfait berekend.","",AND(J178&lt;&gt;"",H178="Vast tarief",F178="Vergoeding"),SUM(J178)*FLOOR(SUM(L178),0.0001),AND(J178&lt;&gt;"",OR(H178="Uurtarief",H178="Vast tarief")),SUM(J178)*FLOOR(SUM(L178),0.01),AND(N178&lt;&gt;"",H178="-"),FLOOR(SUM(N178),0.01)),"")</f>
        <v/>
      </c>
      <c r="S178" s="314" t="str" cm="1">
        <f t="array" aca="1" ref="S178" ca="1">_xlfn.IFNA(_xlfn.IFS(X178="Dit kostentype hoeft u niet op te geven. Hiervoor wordt een forfait berekend.","",AND(K178&lt;&gt;"",M178&lt;&gt;"",H178="Vast tarief",F178="Vergoeding"),SUM(K178)*FLOOR(SUM(M178),0.0001),AND(K178&lt;&gt;"",M178&lt;&gt;"",OR(H178="Uurtarief",H178="Vast tarief")),SUM(K178)*FLOOR(SUM(M178),0.01),AND(O178&lt;&gt;"",H178="-"),FLOOR(SUM(O178),0.01)),"")</f>
        <v/>
      </c>
      <c r="T178" s="314" t="str">
        <f t="shared" ca="1" si="11"/>
        <v/>
      </c>
      <c r="U178" s="314" t="str" cm="1">
        <f t="array" aca="1" ref="U178" ca="1">IFERROR(_xlfn.IFS(OR(F178="",LEFT(Methode_Keuze,4)="Geen",Methode_Keuze=""),"",AND(R178&lt;&gt;"",F178&lt;&gt;"Arbeidskosten"),R178*VLOOKUP(F178,Tb_ProjectKosten[],MATCH(Tb_ProjectKosten[[#Headers],[Forfait_Percentage]],Tb_ProjectKosten[#Headers],0),0),AND(F178="Arbeidskosten",G178&lt;&gt;""),IFERROR(R178*VLOOKUP(G178,Tb_KostenTypen[],3,0)*VLOOKUP(F178,Tb_ProjectKosten[],MATCH(Tb_ProjectKosten[[#Headers],[Forfait_Percentage]],Tb_ProjectKosten[#Headers],0),0),""),R178 &lt;=0,0),"")</f>
        <v/>
      </c>
      <c r="V178" s="314" t="str" cm="1">
        <f t="array" aca="1" ref="V178" ca="1">IFERROR(_xlfn.IFS(OR(F178="",LEFT(Methode_Keuze,4)="Geen",Methode_Keuze=""),"",AND(S178&lt;&gt;"",F178&lt;&gt;"Arbeidskosten"),S178*VLOOKUP(F178,Tb_ProjectKosten[],MATCH(Tb_ProjectKosten[[#Headers],[Forfait_Percentage]],Tb_ProjectKosten[#Headers],0),0),AND(F178="Arbeidskosten",G178&lt;&gt;""),IFERROR(S178*VLOOKUP(G178,Tb_KostenTypen[],3,0)*VLOOKUP(F178,Tb_ProjectKosten[],MATCH(Tb_ProjectKosten[[#Headers],[Forfait_Percentage]],Tb_ProjectKosten[#Headers],0),0),""),S178 &lt;=0,0),"")</f>
        <v/>
      </c>
      <c r="W178" s="314" t="str">
        <f t="shared" ca="1" si="12"/>
        <v/>
      </c>
      <c r="X178" s="376" t="str">
        <f>IFERROR(VLOOKUP(F178,Tb_ProjectKosten[#All],11,0),"")</f>
        <v/>
      </c>
      <c r="Y178" s="315"/>
    </row>
    <row r="179" spans="1:25" x14ac:dyDescent="0.25">
      <c r="A179" s="309">
        <f>MAX($A$5:A178)+1</f>
        <v>174</v>
      </c>
      <c r="B179" s="296"/>
      <c r="C179" s="296"/>
      <c r="D179" s="296"/>
      <c r="E179" s="296"/>
      <c r="F179" s="296"/>
      <c r="G179" s="327"/>
      <c r="H179" s="310" t="str">
        <f ca="1">IFERROR(IF(VLOOKUP(F179,Kostentypen!$A$3:$E$21,3,0)=0,"",IF(OR(F179="Arbeidskosten",F179="Vergoeding"),VLOOKUP(G179,Tb_KostenTypen[],2,0),VLOOKUP(F179,Kostentypen!$A$3:$E$20,3,0))),"")</f>
        <v/>
      </c>
      <c r="I179" s="311"/>
      <c r="J179" s="312" t="str" cm="1">
        <f t="array" ref="J179">_xlfn.IFNA(IF(INDEX(Tb_KostenOpties[],MATCH($F179,Tb_KostenOpties[KostenOptie],0),IFERROR(MATCH(Methode_Keuze,Tb_KostenOpties[#Headers],0),2))=1,_xlfn.SWITCH($H179,"Uurtarief",IF(OR(AND(RIGHT($F179,3)="IKS",VLOOKUP($I179,Loonkosten,2,0)="Ja"),AND(RIGHT($F179,3)&lt;&gt;"IKS",VLOOKUP($I179,Loonkosten,2,0)="Nee")), VLOOKUP($I179,Loonkosten,MATCH("Opgegeven uurtarief",'4. Rekenhulp loonkosten aanvr.'!$4:$4,0)),0),"Vast tarief",IF(LEFT(F179,8)="Bijdrage",VLOOKUP($F179,Tb_KostenTypen[],MATCH(Lijsten!$P$1,Tb_KostenTypen[#Headers],0),0),VLOOKUP($G179,Lijsten!L:P,MATCH(Lijsten!$P$1,Kop_Tarief_Vast,0),0))),""),"")</f>
        <v/>
      </c>
      <c r="K179" s="312" t="str" cm="1">
        <f t="array" ref="K179">_xlfn.IFNA(IF(INDEX(Tb_KostenOpties[],MATCH($F179,Tb_KostenOpties[KostenOptie],0),IFERROR(MATCH(Methode_Keuze,Tb_KostenOpties[#Headers],0),2))=1,_xlfn.SWITCH($H179,"Uurtarief",IF(OR(AND(RIGHT($F179,3)="IKS",VLOOKUP($I179,Loonkosten,2,0)="Ja"),AND(RIGHT($F179,3)&lt;&gt;"IKS",VLOOKUP($I179,Loonkosten,2,0)="Nee")), VLOOKUP($I179,Loonkosten,MATCH("Beoordeeld uurtarief",'4. Rekenhulp loonkosten aanvr.'!$4:$4,0),0),0),"Vast tarief",IF(LEFT(F179,8)="Bijdrage",VLOOKUP($F179,Tb_KostenTypen[],MATCH(Lijsten!$P$1,Tb_KostenTypen[#Headers],0),0),VLOOKUP($G179,Lijsten!L:P,MATCH(Lijsten!$P$1,Kop_Tarief_Vast,0),0))),""),"")</f>
        <v/>
      </c>
      <c r="L179" s="358"/>
      <c r="M179" s="358"/>
      <c r="N179" s="313"/>
      <c r="O179" s="313"/>
      <c r="P179" s="374" t="str">
        <f t="shared" si="9"/>
        <v/>
      </c>
      <c r="Q179" s="314" t="str">
        <f t="shared" si="10"/>
        <v/>
      </c>
      <c r="R179" s="314" t="str" cm="1">
        <f t="array" aca="1" ref="R179" ca="1">_xlfn.IFNA(_xlfn.IFS(X179="Dit kostentype hoeft u niet op te geven. Hiervoor wordt een forfait berekend.","",AND(J179&lt;&gt;"",H179="Vast tarief",F179="Vergoeding"),SUM(J179)*FLOOR(SUM(L179),0.0001),AND(J179&lt;&gt;"",OR(H179="Uurtarief",H179="Vast tarief")),SUM(J179)*FLOOR(SUM(L179),0.01),AND(N179&lt;&gt;"",H179="-"),FLOOR(SUM(N179),0.01)),"")</f>
        <v/>
      </c>
      <c r="S179" s="314" t="str" cm="1">
        <f t="array" aca="1" ref="S179" ca="1">_xlfn.IFNA(_xlfn.IFS(X179="Dit kostentype hoeft u niet op te geven. Hiervoor wordt een forfait berekend.","",AND(K179&lt;&gt;"",M179&lt;&gt;"",H179="Vast tarief",F179="Vergoeding"),SUM(K179)*FLOOR(SUM(M179),0.0001),AND(K179&lt;&gt;"",M179&lt;&gt;"",OR(H179="Uurtarief",H179="Vast tarief")),SUM(K179)*FLOOR(SUM(M179),0.01),AND(O179&lt;&gt;"",H179="-"),FLOOR(SUM(O179),0.01)),"")</f>
        <v/>
      </c>
      <c r="T179" s="314" t="str">
        <f t="shared" ca="1" si="11"/>
        <v/>
      </c>
      <c r="U179" s="314" t="str" cm="1">
        <f t="array" aca="1" ref="U179" ca="1">IFERROR(_xlfn.IFS(OR(F179="",LEFT(Methode_Keuze,4)="Geen",Methode_Keuze=""),"",AND(R179&lt;&gt;"",F179&lt;&gt;"Arbeidskosten"),R179*VLOOKUP(F179,Tb_ProjectKosten[],MATCH(Tb_ProjectKosten[[#Headers],[Forfait_Percentage]],Tb_ProjectKosten[#Headers],0),0),AND(F179="Arbeidskosten",G179&lt;&gt;""),IFERROR(R179*VLOOKUP(G179,Tb_KostenTypen[],3,0)*VLOOKUP(F179,Tb_ProjectKosten[],MATCH(Tb_ProjectKosten[[#Headers],[Forfait_Percentage]],Tb_ProjectKosten[#Headers],0),0),""),R179 &lt;=0,0),"")</f>
        <v/>
      </c>
      <c r="V179" s="314" t="str" cm="1">
        <f t="array" aca="1" ref="V179" ca="1">IFERROR(_xlfn.IFS(OR(F179="",LEFT(Methode_Keuze,4)="Geen",Methode_Keuze=""),"",AND(S179&lt;&gt;"",F179&lt;&gt;"Arbeidskosten"),S179*VLOOKUP(F179,Tb_ProjectKosten[],MATCH(Tb_ProjectKosten[[#Headers],[Forfait_Percentage]],Tb_ProjectKosten[#Headers],0),0),AND(F179="Arbeidskosten",G179&lt;&gt;""),IFERROR(S179*VLOOKUP(G179,Tb_KostenTypen[],3,0)*VLOOKUP(F179,Tb_ProjectKosten[],MATCH(Tb_ProjectKosten[[#Headers],[Forfait_Percentage]],Tb_ProjectKosten[#Headers],0),0),""),S179 &lt;=0,0),"")</f>
        <v/>
      </c>
      <c r="W179" s="314" t="str">
        <f t="shared" ca="1" si="12"/>
        <v/>
      </c>
      <c r="X179" s="376" t="str">
        <f>IFERROR(VLOOKUP(F179,Tb_ProjectKosten[#All],11,0),"")</f>
        <v/>
      </c>
      <c r="Y179" s="315"/>
    </row>
    <row r="180" spans="1:25" x14ac:dyDescent="0.25">
      <c r="A180" s="309">
        <f>MAX($A$5:A179)+1</f>
        <v>175</v>
      </c>
      <c r="B180" s="296"/>
      <c r="C180" s="296"/>
      <c r="D180" s="296"/>
      <c r="E180" s="296"/>
      <c r="F180" s="296"/>
      <c r="G180" s="327"/>
      <c r="H180" s="310" t="str">
        <f ca="1">IFERROR(IF(VLOOKUP(F180,Kostentypen!$A$3:$E$21,3,0)=0,"",IF(OR(F180="Arbeidskosten",F180="Vergoeding"),VLOOKUP(G180,Tb_KostenTypen[],2,0),VLOOKUP(F180,Kostentypen!$A$3:$E$20,3,0))),"")</f>
        <v/>
      </c>
      <c r="I180" s="311"/>
      <c r="J180" s="312" t="str" cm="1">
        <f t="array" ref="J180">_xlfn.IFNA(IF(INDEX(Tb_KostenOpties[],MATCH($F180,Tb_KostenOpties[KostenOptie],0),IFERROR(MATCH(Methode_Keuze,Tb_KostenOpties[#Headers],0),2))=1,_xlfn.SWITCH($H180,"Uurtarief",IF(OR(AND(RIGHT($F180,3)="IKS",VLOOKUP($I180,Loonkosten,2,0)="Ja"),AND(RIGHT($F180,3)&lt;&gt;"IKS",VLOOKUP($I180,Loonkosten,2,0)="Nee")), VLOOKUP($I180,Loonkosten,MATCH("Opgegeven uurtarief",'4. Rekenhulp loonkosten aanvr.'!$4:$4,0)),0),"Vast tarief",IF(LEFT(F180,8)="Bijdrage",VLOOKUP($F180,Tb_KostenTypen[],MATCH(Lijsten!$P$1,Tb_KostenTypen[#Headers],0),0),VLOOKUP($G180,Lijsten!L:P,MATCH(Lijsten!$P$1,Kop_Tarief_Vast,0),0))),""),"")</f>
        <v/>
      </c>
      <c r="K180" s="312" t="str" cm="1">
        <f t="array" ref="K180">_xlfn.IFNA(IF(INDEX(Tb_KostenOpties[],MATCH($F180,Tb_KostenOpties[KostenOptie],0),IFERROR(MATCH(Methode_Keuze,Tb_KostenOpties[#Headers],0),2))=1,_xlfn.SWITCH($H180,"Uurtarief",IF(OR(AND(RIGHT($F180,3)="IKS",VLOOKUP($I180,Loonkosten,2,0)="Ja"),AND(RIGHT($F180,3)&lt;&gt;"IKS",VLOOKUP($I180,Loonkosten,2,0)="Nee")), VLOOKUP($I180,Loonkosten,MATCH("Beoordeeld uurtarief",'4. Rekenhulp loonkosten aanvr.'!$4:$4,0),0),0),"Vast tarief",IF(LEFT(F180,8)="Bijdrage",VLOOKUP($F180,Tb_KostenTypen[],MATCH(Lijsten!$P$1,Tb_KostenTypen[#Headers],0),0),VLOOKUP($G180,Lijsten!L:P,MATCH(Lijsten!$P$1,Kop_Tarief_Vast,0),0))),""),"")</f>
        <v/>
      </c>
      <c r="L180" s="358"/>
      <c r="M180" s="358"/>
      <c r="N180" s="313"/>
      <c r="O180" s="313"/>
      <c r="P180" s="374" t="str">
        <f t="shared" si="9"/>
        <v/>
      </c>
      <c r="Q180" s="314" t="str">
        <f t="shared" si="10"/>
        <v/>
      </c>
      <c r="R180" s="314" t="str" cm="1">
        <f t="array" aca="1" ref="R180" ca="1">_xlfn.IFNA(_xlfn.IFS(X180="Dit kostentype hoeft u niet op te geven. Hiervoor wordt een forfait berekend.","",AND(J180&lt;&gt;"",H180="Vast tarief",F180="Vergoeding"),SUM(J180)*FLOOR(SUM(L180),0.0001),AND(J180&lt;&gt;"",OR(H180="Uurtarief",H180="Vast tarief")),SUM(J180)*FLOOR(SUM(L180),0.01),AND(N180&lt;&gt;"",H180="-"),FLOOR(SUM(N180),0.01)),"")</f>
        <v/>
      </c>
      <c r="S180" s="314" t="str" cm="1">
        <f t="array" aca="1" ref="S180" ca="1">_xlfn.IFNA(_xlfn.IFS(X180="Dit kostentype hoeft u niet op te geven. Hiervoor wordt een forfait berekend.","",AND(K180&lt;&gt;"",M180&lt;&gt;"",H180="Vast tarief",F180="Vergoeding"),SUM(K180)*FLOOR(SUM(M180),0.0001),AND(K180&lt;&gt;"",M180&lt;&gt;"",OR(H180="Uurtarief",H180="Vast tarief")),SUM(K180)*FLOOR(SUM(M180),0.01),AND(O180&lt;&gt;"",H180="-"),FLOOR(SUM(O180),0.01)),"")</f>
        <v/>
      </c>
      <c r="T180" s="314" t="str">
        <f t="shared" ca="1" si="11"/>
        <v/>
      </c>
      <c r="U180" s="314" t="str" cm="1">
        <f t="array" aca="1" ref="U180" ca="1">IFERROR(_xlfn.IFS(OR(F180="",LEFT(Methode_Keuze,4)="Geen",Methode_Keuze=""),"",AND(R180&lt;&gt;"",F180&lt;&gt;"Arbeidskosten"),R180*VLOOKUP(F180,Tb_ProjectKosten[],MATCH(Tb_ProjectKosten[[#Headers],[Forfait_Percentage]],Tb_ProjectKosten[#Headers],0),0),AND(F180="Arbeidskosten",G180&lt;&gt;""),IFERROR(R180*VLOOKUP(G180,Tb_KostenTypen[],3,0)*VLOOKUP(F180,Tb_ProjectKosten[],MATCH(Tb_ProjectKosten[[#Headers],[Forfait_Percentage]],Tb_ProjectKosten[#Headers],0),0),""),R180 &lt;=0,0),"")</f>
        <v/>
      </c>
      <c r="V180" s="314" t="str" cm="1">
        <f t="array" aca="1" ref="V180" ca="1">IFERROR(_xlfn.IFS(OR(F180="",LEFT(Methode_Keuze,4)="Geen",Methode_Keuze=""),"",AND(S180&lt;&gt;"",F180&lt;&gt;"Arbeidskosten"),S180*VLOOKUP(F180,Tb_ProjectKosten[],MATCH(Tb_ProjectKosten[[#Headers],[Forfait_Percentage]],Tb_ProjectKosten[#Headers],0),0),AND(F180="Arbeidskosten",G180&lt;&gt;""),IFERROR(S180*VLOOKUP(G180,Tb_KostenTypen[],3,0)*VLOOKUP(F180,Tb_ProjectKosten[],MATCH(Tb_ProjectKosten[[#Headers],[Forfait_Percentage]],Tb_ProjectKosten[#Headers],0),0),""),S180 &lt;=0,0),"")</f>
        <v/>
      </c>
      <c r="W180" s="314" t="str">
        <f t="shared" ca="1" si="12"/>
        <v/>
      </c>
      <c r="X180" s="376" t="str">
        <f>IFERROR(VLOOKUP(F180,Tb_ProjectKosten[#All],11,0),"")</f>
        <v/>
      </c>
      <c r="Y180" s="315"/>
    </row>
    <row r="181" spans="1:25" x14ac:dyDescent="0.25">
      <c r="A181" s="309">
        <f>MAX($A$5:A180)+1</f>
        <v>176</v>
      </c>
      <c r="B181" s="296"/>
      <c r="C181" s="296"/>
      <c r="D181" s="296"/>
      <c r="E181" s="296"/>
      <c r="F181" s="296"/>
      <c r="G181" s="327"/>
      <c r="H181" s="310" t="str">
        <f ca="1">IFERROR(IF(VLOOKUP(F181,Kostentypen!$A$3:$E$21,3,0)=0,"",IF(OR(F181="Arbeidskosten",F181="Vergoeding"),VLOOKUP(G181,Tb_KostenTypen[],2,0),VLOOKUP(F181,Kostentypen!$A$3:$E$20,3,0))),"")</f>
        <v/>
      </c>
      <c r="I181" s="311"/>
      <c r="J181" s="312" t="str" cm="1">
        <f t="array" ref="J181">_xlfn.IFNA(IF(INDEX(Tb_KostenOpties[],MATCH($F181,Tb_KostenOpties[KostenOptie],0),IFERROR(MATCH(Methode_Keuze,Tb_KostenOpties[#Headers],0),2))=1,_xlfn.SWITCH($H181,"Uurtarief",IF(OR(AND(RIGHT($F181,3)="IKS",VLOOKUP($I181,Loonkosten,2,0)="Ja"),AND(RIGHT($F181,3)&lt;&gt;"IKS",VLOOKUP($I181,Loonkosten,2,0)="Nee")), VLOOKUP($I181,Loonkosten,MATCH("Opgegeven uurtarief",'4. Rekenhulp loonkosten aanvr.'!$4:$4,0)),0),"Vast tarief",IF(LEFT(F181,8)="Bijdrage",VLOOKUP($F181,Tb_KostenTypen[],MATCH(Lijsten!$P$1,Tb_KostenTypen[#Headers],0),0),VLOOKUP($G181,Lijsten!L:P,MATCH(Lijsten!$P$1,Kop_Tarief_Vast,0),0))),""),"")</f>
        <v/>
      </c>
      <c r="K181" s="312" t="str" cm="1">
        <f t="array" ref="K181">_xlfn.IFNA(IF(INDEX(Tb_KostenOpties[],MATCH($F181,Tb_KostenOpties[KostenOptie],0),IFERROR(MATCH(Methode_Keuze,Tb_KostenOpties[#Headers],0),2))=1,_xlfn.SWITCH($H181,"Uurtarief",IF(OR(AND(RIGHT($F181,3)="IKS",VLOOKUP($I181,Loonkosten,2,0)="Ja"),AND(RIGHT($F181,3)&lt;&gt;"IKS",VLOOKUP($I181,Loonkosten,2,0)="Nee")), VLOOKUP($I181,Loonkosten,MATCH("Beoordeeld uurtarief",'4. Rekenhulp loonkosten aanvr.'!$4:$4,0),0),0),"Vast tarief",IF(LEFT(F181,8)="Bijdrage",VLOOKUP($F181,Tb_KostenTypen[],MATCH(Lijsten!$P$1,Tb_KostenTypen[#Headers],0),0),VLOOKUP($G181,Lijsten!L:P,MATCH(Lijsten!$P$1,Kop_Tarief_Vast,0),0))),""),"")</f>
        <v/>
      </c>
      <c r="L181" s="358"/>
      <c r="M181" s="358"/>
      <c r="N181" s="313"/>
      <c r="O181" s="313"/>
      <c r="P181" s="374" t="str">
        <f t="shared" si="9"/>
        <v/>
      </c>
      <c r="Q181" s="314" t="str">
        <f t="shared" si="10"/>
        <v/>
      </c>
      <c r="R181" s="314" t="str" cm="1">
        <f t="array" aca="1" ref="R181" ca="1">_xlfn.IFNA(_xlfn.IFS(X181="Dit kostentype hoeft u niet op te geven. Hiervoor wordt een forfait berekend.","",AND(J181&lt;&gt;"",H181="Vast tarief",F181="Vergoeding"),SUM(J181)*FLOOR(SUM(L181),0.0001),AND(J181&lt;&gt;"",OR(H181="Uurtarief",H181="Vast tarief")),SUM(J181)*FLOOR(SUM(L181),0.01),AND(N181&lt;&gt;"",H181="-"),FLOOR(SUM(N181),0.01)),"")</f>
        <v/>
      </c>
      <c r="S181" s="314" t="str" cm="1">
        <f t="array" aca="1" ref="S181" ca="1">_xlfn.IFNA(_xlfn.IFS(X181="Dit kostentype hoeft u niet op te geven. Hiervoor wordt een forfait berekend.","",AND(K181&lt;&gt;"",M181&lt;&gt;"",H181="Vast tarief",F181="Vergoeding"),SUM(K181)*FLOOR(SUM(M181),0.0001),AND(K181&lt;&gt;"",M181&lt;&gt;"",OR(H181="Uurtarief",H181="Vast tarief")),SUM(K181)*FLOOR(SUM(M181),0.01),AND(O181&lt;&gt;"",H181="-"),FLOOR(SUM(O181),0.01)),"")</f>
        <v/>
      </c>
      <c r="T181" s="314" t="str">
        <f t="shared" ca="1" si="11"/>
        <v/>
      </c>
      <c r="U181" s="314" t="str" cm="1">
        <f t="array" aca="1" ref="U181" ca="1">IFERROR(_xlfn.IFS(OR(F181="",LEFT(Methode_Keuze,4)="Geen",Methode_Keuze=""),"",AND(R181&lt;&gt;"",F181&lt;&gt;"Arbeidskosten"),R181*VLOOKUP(F181,Tb_ProjectKosten[],MATCH(Tb_ProjectKosten[[#Headers],[Forfait_Percentage]],Tb_ProjectKosten[#Headers],0),0),AND(F181="Arbeidskosten",G181&lt;&gt;""),IFERROR(R181*VLOOKUP(G181,Tb_KostenTypen[],3,0)*VLOOKUP(F181,Tb_ProjectKosten[],MATCH(Tb_ProjectKosten[[#Headers],[Forfait_Percentage]],Tb_ProjectKosten[#Headers],0),0),""),R181 &lt;=0,0),"")</f>
        <v/>
      </c>
      <c r="V181" s="314" t="str" cm="1">
        <f t="array" aca="1" ref="V181" ca="1">IFERROR(_xlfn.IFS(OR(F181="",LEFT(Methode_Keuze,4)="Geen",Methode_Keuze=""),"",AND(S181&lt;&gt;"",F181&lt;&gt;"Arbeidskosten"),S181*VLOOKUP(F181,Tb_ProjectKosten[],MATCH(Tb_ProjectKosten[[#Headers],[Forfait_Percentage]],Tb_ProjectKosten[#Headers],0),0),AND(F181="Arbeidskosten",G181&lt;&gt;""),IFERROR(S181*VLOOKUP(G181,Tb_KostenTypen[],3,0)*VLOOKUP(F181,Tb_ProjectKosten[],MATCH(Tb_ProjectKosten[[#Headers],[Forfait_Percentage]],Tb_ProjectKosten[#Headers],0),0),""),S181 &lt;=0,0),"")</f>
        <v/>
      </c>
      <c r="W181" s="314" t="str">
        <f t="shared" ca="1" si="12"/>
        <v/>
      </c>
      <c r="X181" s="376" t="str">
        <f>IFERROR(VLOOKUP(F181,Tb_ProjectKosten[#All],11,0),"")</f>
        <v/>
      </c>
      <c r="Y181" s="315"/>
    </row>
    <row r="182" spans="1:25" x14ac:dyDescent="0.25">
      <c r="A182" s="309">
        <f>MAX($A$5:A181)+1</f>
        <v>177</v>
      </c>
      <c r="B182" s="296"/>
      <c r="C182" s="296"/>
      <c r="D182" s="296"/>
      <c r="E182" s="296"/>
      <c r="F182" s="296"/>
      <c r="G182" s="327"/>
      <c r="H182" s="310" t="str">
        <f ca="1">IFERROR(IF(VLOOKUP(F182,Kostentypen!$A$3:$E$21,3,0)=0,"",IF(OR(F182="Arbeidskosten",F182="Vergoeding"),VLOOKUP(G182,Tb_KostenTypen[],2,0),VLOOKUP(F182,Kostentypen!$A$3:$E$20,3,0))),"")</f>
        <v/>
      </c>
      <c r="I182" s="311"/>
      <c r="J182" s="312" t="str" cm="1">
        <f t="array" ref="J182">_xlfn.IFNA(IF(INDEX(Tb_KostenOpties[],MATCH($F182,Tb_KostenOpties[KostenOptie],0),IFERROR(MATCH(Methode_Keuze,Tb_KostenOpties[#Headers],0),2))=1,_xlfn.SWITCH($H182,"Uurtarief",IF(OR(AND(RIGHT($F182,3)="IKS",VLOOKUP($I182,Loonkosten,2,0)="Ja"),AND(RIGHT($F182,3)&lt;&gt;"IKS",VLOOKUP($I182,Loonkosten,2,0)="Nee")), VLOOKUP($I182,Loonkosten,MATCH("Opgegeven uurtarief",'4. Rekenhulp loonkosten aanvr.'!$4:$4,0)),0),"Vast tarief",IF(LEFT(F182,8)="Bijdrage",VLOOKUP($F182,Tb_KostenTypen[],MATCH(Lijsten!$P$1,Tb_KostenTypen[#Headers],0),0),VLOOKUP($G182,Lijsten!L:P,MATCH(Lijsten!$P$1,Kop_Tarief_Vast,0),0))),""),"")</f>
        <v/>
      </c>
      <c r="K182" s="312" t="str" cm="1">
        <f t="array" ref="K182">_xlfn.IFNA(IF(INDEX(Tb_KostenOpties[],MATCH($F182,Tb_KostenOpties[KostenOptie],0),IFERROR(MATCH(Methode_Keuze,Tb_KostenOpties[#Headers],0),2))=1,_xlfn.SWITCH($H182,"Uurtarief",IF(OR(AND(RIGHT($F182,3)="IKS",VLOOKUP($I182,Loonkosten,2,0)="Ja"),AND(RIGHT($F182,3)&lt;&gt;"IKS",VLOOKUP($I182,Loonkosten,2,0)="Nee")), VLOOKUP($I182,Loonkosten,MATCH("Beoordeeld uurtarief",'4. Rekenhulp loonkosten aanvr.'!$4:$4,0),0),0),"Vast tarief",IF(LEFT(F182,8)="Bijdrage",VLOOKUP($F182,Tb_KostenTypen[],MATCH(Lijsten!$P$1,Tb_KostenTypen[#Headers],0),0),VLOOKUP($G182,Lijsten!L:P,MATCH(Lijsten!$P$1,Kop_Tarief_Vast,0),0))),""),"")</f>
        <v/>
      </c>
      <c r="L182" s="358"/>
      <c r="M182" s="358"/>
      <c r="N182" s="313"/>
      <c r="O182" s="313"/>
      <c r="P182" s="374" t="str">
        <f t="shared" si="9"/>
        <v/>
      </c>
      <c r="Q182" s="314" t="str">
        <f t="shared" si="10"/>
        <v/>
      </c>
      <c r="R182" s="314" t="str" cm="1">
        <f t="array" aca="1" ref="R182" ca="1">_xlfn.IFNA(_xlfn.IFS(X182="Dit kostentype hoeft u niet op te geven. Hiervoor wordt een forfait berekend.","",AND(J182&lt;&gt;"",H182="Vast tarief",F182="Vergoeding"),SUM(J182)*FLOOR(SUM(L182),0.0001),AND(J182&lt;&gt;"",OR(H182="Uurtarief",H182="Vast tarief")),SUM(J182)*FLOOR(SUM(L182),0.01),AND(N182&lt;&gt;"",H182="-"),FLOOR(SUM(N182),0.01)),"")</f>
        <v/>
      </c>
      <c r="S182" s="314" t="str" cm="1">
        <f t="array" aca="1" ref="S182" ca="1">_xlfn.IFNA(_xlfn.IFS(X182="Dit kostentype hoeft u niet op te geven. Hiervoor wordt een forfait berekend.","",AND(K182&lt;&gt;"",M182&lt;&gt;"",H182="Vast tarief",F182="Vergoeding"),SUM(K182)*FLOOR(SUM(M182),0.0001),AND(K182&lt;&gt;"",M182&lt;&gt;"",OR(H182="Uurtarief",H182="Vast tarief")),SUM(K182)*FLOOR(SUM(M182),0.01),AND(O182&lt;&gt;"",H182="-"),FLOOR(SUM(O182),0.01)),"")</f>
        <v/>
      </c>
      <c r="T182" s="314" t="str">
        <f t="shared" ca="1" si="11"/>
        <v/>
      </c>
      <c r="U182" s="314" t="str" cm="1">
        <f t="array" aca="1" ref="U182" ca="1">IFERROR(_xlfn.IFS(OR(F182="",LEFT(Methode_Keuze,4)="Geen",Methode_Keuze=""),"",AND(R182&lt;&gt;"",F182&lt;&gt;"Arbeidskosten"),R182*VLOOKUP(F182,Tb_ProjectKosten[],MATCH(Tb_ProjectKosten[[#Headers],[Forfait_Percentage]],Tb_ProjectKosten[#Headers],0),0),AND(F182="Arbeidskosten",G182&lt;&gt;""),IFERROR(R182*VLOOKUP(G182,Tb_KostenTypen[],3,0)*VLOOKUP(F182,Tb_ProjectKosten[],MATCH(Tb_ProjectKosten[[#Headers],[Forfait_Percentage]],Tb_ProjectKosten[#Headers],0),0),""),R182 &lt;=0,0),"")</f>
        <v/>
      </c>
      <c r="V182" s="314" t="str" cm="1">
        <f t="array" aca="1" ref="V182" ca="1">IFERROR(_xlfn.IFS(OR(F182="",LEFT(Methode_Keuze,4)="Geen",Methode_Keuze=""),"",AND(S182&lt;&gt;"",F182&lt;&gt;"Arbeidskosten"),S182*VLOOKUP(F182,Tb_ProjectKosten[],MATCH(Tb_ProjectKosten[[#Headers],[Forfait_Percentage]],Tb_ProjectKosten[#Headers],0),0),AND(F182="Arbeidskosten",G182&lt;&gt;""),IFERROR(S182*VLOOKUP(G182,Tb_KostenTypen[],3,0)*VLOOKUP(F182,Tb_ProjectKosten[],MATCH(Tb_ProjectKosten[[#Headers],[Forfait_Percentage]],Tb_ProjectKosten[#Headers],0),0),""),S182 &lt;=0,0),"")</f>
        <v/>
      </c>
      <c r="W182" s="314" t="str">
        <f t="shared" ca="1" si="12"/>
        <v/>
      </c>
      <c r="X182" s="376" t="str">
        <f>IFERROR(VLOOKUP(F182,Tb_ProjectKosten[#All],11,0),"")</f>
        <v/>
      </c>
      <c r="Y182" s="315"/>
    </row>
    <row r="183" spans="1:25" x14ac:dyDescent="0.25">
      <c r="A183" s="309">
        <f>MAX($A$5:A182)+1</f>
        <v>178</v>
      </c>
      <c r="B183" s="296"/>
      <c r="C183" s="296"/>
      <c r="D183" s="296"/>
      <c r="E183" s="296"/>
      <c r="F183" s="296"/>
      <c r="G183" s="327"/>
      <c r="H183" s="310" t="str">
        <f ca="1">IFERROR(IF(VLOOKUP(F183,Kostentypen!$A$3:$E$21,3,0)=0,"",IF(OR(F183="Arbeidskosten",F183="Vergoeding"),VLOOKUP(G183,Tb_KostenTypen[],2,0),VLOOKUP(F183,Kostentypen!$A$3:$E$20,3,0))),"")</f>
        <v/>
      </c>
      <c r="I183" s="311"/>
      <c r="J183" s="312" t="str" cm="1">
        <f t="array" ref="J183">_xlfn.IFNA(IF(INDEX(Tb_KostenOpties[],MATCH($F183,Tb_KostenOpties[KostenOptie],0),IFERROR(MATCH(Methode_Keuze,Tb_KostenOpties[#Headers],0),2))=1,_xlfn.SWITCH($H183,"Uurtarief",IF(OR(AND(RIGHT($F183,3)="IKS",VLOOKUP($I183,Loonkosten,2,0)="Ja"),AND(RIGHT($F183,3)&lt;&gt;"IKS",VLOOKUP($I183,Loonkosten,2,0)="Nee")), VLOOKUP($I183,Loonkosten,MATCH("Opgegeven uurtarief",'4. Rekenhulp loonkosten aanvr.'!$4:$4,0)),0),"Vast tarief",IF(LEFT(F183,8)="Bijdrage",VLOOKUP($F183,Tb_KostenTypen[],MATCH(Lijsten!$P$1,Tb_KostenTypen[#Headers],0),0),VLOOKUP($G183,Lijsten!L:P,MATCH(Lijsten!$P$1,Kop_Tarief_Vast,0),0))),""),"")</f>
        <v/>
      </c>
      <c r="K183" s="312" t="str" cm="1">
        <f t="array" ref="K183">_xlfn.IFNA(IF(INDEX(Tb_KostenOpties[],MATCH($F183,Tb_KostenOpties[KostenOptie],0),IFERROR(MATCH(Methode_Keuze,Tb_KostenOpties[#Headers],0),2))=1,_xlfn.SWITCH($H183,"Uurtarief",IF(OR(AND(RIGHT($F183,3)="IKS",VLOOKUP($I183,Loonkosten,2,0)="Ja"),AND(RIGHT($F183,3)&lt;&gt;"IKS",VLOOKUP($I183,Loonkosten,2,0)="Nee")), VLOOKUP($I183,Loonkosten,MATCH("Beoordeeld uurtarief",'4. Rekenhulp loonkosten aanvr.'!$4:$4,0),0),0),"Vast tarief",IF(LEFT(F183,8)="Bijdrage",VLOOKUP($F183,Tb_KostenTypen[],MATCH(Lijsten!$P$1,Tb_KostenTypen[#Headers],0),0),VLOOKUP($G183,Lijsten!L:P,MATCH(Lijsten!$P$1,Kop_Tarief_Vast,0),0))),""),"")</f>
        <v/>
      </c>
      <c r="L183" s="358"/>
      <c r="M183" s="358"/>
      <c r="N183" s="313"/>
      <c r="O183" s="313"/>
      <c r="P183" s="374" t="str">
        <f t="shared" si="9"/>
        <v/>
      </c>
      <c r="Q183" s="314" t="str">
        <f t="shared" si="10"/>
        <v/>
      </c>
      <c r="R183" s="314" t="str" cm="1">
        <f t="array" aca="1" ref="R183" ca="1">_xlfn.IFNA(_xlfn.IFS(X183="Dit kostentype hoeft u niet op te geven. Hiervoor wordt een forfait berekend.","",AND(J183&lt;&gt;"",H183="Vast tarief",F183="Vergoeding"),SUM(J183)*FLOOR(SUM(L183),0.0001),AND(J183&lt;&gt;"",OR(H183="Uurtarief",H183="Vast tarief")),SUM(J183)*FLOOR(SUM(L183),0.01),AND(N183&lt;&gt;"",H183="-"),FLOOR(SUM(N183),0.01)),"")</f>
        <v/>
      </c>
      <c r="S183" s="314" t="str" cm="1">
        <f t="array" aca="1" ref="S183" ca="1">_xlfn.IFNA(_xlfn.IFS(X183="Dit kostentype hoeft u niet op te geven. Hiervoor wordt een forfait berekend.","",AND(K183&lt;&gt;"",M183&lt;&gt;"",H183="Vast tarief",F183="Vergoeding"),SUM(K183)*FLOOR(SUM(M183),0.0001),AND(K183&lt;&gt;"",M183&lt;&gt;"",OR(H183="Uurtarief",H183="Vast tarief")),SUM(K183)*FLOOR(SUM(M183),0.01),AND(O183&lt;&gt;"",H183="-"),FLOOR(SUM(O183),0.01)),"")</f>
        <v/>
      </c>
      <c r="T183" s="314" t="str">
        <f t="shared" ca="1" si="11"/>
        <v/>
      </c>
      <c r="U183" s="314" t="str" cm="1">
        <f t="array" aca="1" ref="U183" ca="1">IFERROR(_xlfn.IFS(OR(F183="",LEFT(Methode_Keuze,4)="Geen",Methode_Keuze=""),"",AND(R183&lt;&gt;"",F183&lt;&gt;"Arbeidskosten"),R183*VLOOKUP(F183,Tb_ProjectKosten[],MATCH(Tb_ProjectKosten[[#Headers],[Forfait_Percentage]],Tb_ProjectKosten[#Headers],0),0),AND(F183="Arbeidskosten",G183&lt;&gt;""),IFERROR(R183*VLOOKUP(G183,Tb_KostenTypen[],3,0)*VLOOKUP(F183,Tb_ProjectKosten[],MATCH(Tb_ProjectKosten[[#Headers],[Forfait_Percentage]],Tb_ProjectKosten[#Headers],0),0),""),R183 &lt;=0,0),"")</f>
        <v/>
      </c>
      <c r="V183" s="314" t="str" cm="1">
        <f t="array" aca="1" ref="V183" ca="1">IFERROR(_xlfn.IFS(OR(F183="",LEFT(Methode_Keuze,4)="Geen",Methode_Keuze=""),"",AND(S183&lt;&gt;"",F183&lt;&gt;"Arbeidskosten"),S183*VLOOKUP(F183,Tb_ProjectKosten[],MATCH(Tb_ProjectKosten[[#Headers],[Forfait_Percentage]],Tb_ProjectKosten[#Headers],0),0),AND(F183="Arbeidskosten",G183&lt;&gt;""),IFERROR(S183*VLOOKUP(G183,Tb_KostenTypen[],3,0)*VLOOKUP(F183,Tb_ProjectKosten[],MATCH(Tb_ProjectKosten[[#Headers],[Forfait_Percentage]],Tb_ProjectKosten[#Headers],0),0),""),S183 &lt;=0,0),"")</f>
        <v/>
      </c>
      <c r="W183" s="314" t="str">
        <f t="shared" ca="1" si="12"/>
        <v/>
      </c>
      <c r="X183" s="376" t="str">
        <f>IFERROR(VLOOKUP(F183,Tb_ProjectKosten[#All],11,0),"")</f>
        <v/>
      </c>
      <c r="Y183" s="315"/>
    </row>
    <row r="184" spans="1:25" x14ac:dyDescent="0.25">
      <c r="A184" s="309">
        <f>MAX($A$5:A183)+1</f>
        <v>179</v>
      </c>
      <c r="B184" s="296"/>
      <c r="C184" s="296"/>
      <c r="D184" s="296"/>
      <c r="E184" s="296"/>
      <c r="F184" s="296"/>
      <c r="G184" s="327"/>
      <c r="H184" s="310" t="str">
        <f ca="1">IFERROR(IF(VLOOKUP(F184,Kostentypen!$A$3:$E$21,3,0)=0,"",IF(OR(F184="Arbeidskosten",F184="Vergoeding"),VLOOKUP(G184,Tb_KostenTypen[],2,0),VLOOKUP(F184,Kostentypen!$A$3:$E$20,3,0))),"")</f>
        <v/>
      </c>
      <c r="I184" s="311"/>
      <c r="J184" s="312" t="str" cm="1">
        <f t="array" ref="J184">_xlfn.IFNA(IF(INDEX(Tb_KostenOpties[],MATCH($F184,Tb_KostenOpties[KostenOptie],0),IFERROR(MATCH(Methode_Keuze,Tb_KostenOpties[#Headers],0),2))=1,_xlfn.SWITCH($H184,"Uurtarief",IF(OR(AND(RIGHT($F184,3)="IKS",VLOOKUP($I184,Loonkosten,2,0)="Ja"),AND(RIGHT($F184,3)&lt;&gt;"IKS",VLOOKUP($I184,Loonkosten,2,0)="Nee")), VLOOKUP($I184,Loonkosten,MATCH("Opgegeven uurtarief",'4. Rekenhulp loonkosten aanvr.'!$4:$4,0)),0),"Vast tarief",IF(LEFT(F184,8)="Bijdrage",VLOOKUP($F184,Tb_KostenTypen[],MATCH(Lijsten!$P$1,Tb_KostenTypen[#Headers],0),0),VLOOKUP($G184,Lijsten!L:P,MATCH(Lijsten!$P$1,Kop_Tarief_Vast,0),0))),""),"")</f>
        <v/>
      </c>
      <c r="K184" s="312" t="str" cm="1">
        <f t="array" ref="K184">_xlfn.IFNA(IF(INDEX(Tb_KostenOpties[],MATCH($F184,Tb_KostenOpties[KostenOptie],0),IFERROR(MATCH(Methode_Keuze,Tb_KostenOpties[#Headers],0),2))=1,_xlfn.SWITCH($H184,"Uurtarief",IF(OR(AND(RIGHT($F184,3)="IKS",VLOOKUP($I184,Loonkosten,2,0)="Ja"),AND(RIGHT($F184,3)&lt;&gt;"IKS",VLOOKUP($I184,Loonkosten,2,0)="Nee")), VLOOKUP($I184,Loonkosten,MATCH("Beoordeeld uurtarief",'4. Rekenhulp loonkosten aanvr.'!$4:$4,0),0),0),"Vast tarief",IF(LEFT(F184,8)="Bijdrage",VLOOKUP($F184,Tb_KostenTypen[],MATCH(Lijsten!$P$1,Tb_KostenTypen[#Headers],0),0),VLOOKUP($G184,Lijsten!L:P,MATCH(Lijsten!$P$1,Kop_Tarief_Vast,0),0))),""),"")</f>
        <v/>
      </c>
      <c r="L184" s="358"/>
      <c r="M184" s="358"/>
      <c r="N184" s="313"/>
      <c r="O184" s="313"/>
      <c r="P184" s="374" t="str">
        <f t="shared" si="9"/>
        <v/>
      </c>
      <c r="Q184" s="314" t="str">
        <f t="shared" si="10"/>
        <v/>
      </c>
      <c r="R184" s="314" t="str" cm="1">
        <f t="array" aca="1" ref="R184" ca="1">_xlfn.IFNA(_xlfn.IFS(X184="Dit kostentype hoeft u niet op te geven. Hiervoor wordt een forfait berekend.","",AND(J184&lt;&gt;"",H184="Vast tarief",F184="Vergoeding"),SUM(J184)*FLOOR(SUM(L184),0.0001),AND(J184&lt;&gt;"",OR(H184="Uurtarief",H184="Vast tarief")),SUM(J184)*FLOOR(SUM(L184),0.01),AND(N184&lt;&gt;"",H184="-"),FLOOR(SUM(N184),0.01)),"")</f>
        <v/>
      </c>
      <c r="S184" s="314" t="str" cm="1">
        <f t="array" aca="1" ref="S184" ca="1">_xlfn.IFNA(_xlfn.IFS(X184="Dit kostentype hoeft u niet op te geven. Hiervoor wordt een forfait berekend.","",AND(K184&lt;&gt;"",M184&lt;&gt;"",H184="Vast tarief",F184="Vergoeding"),SUM(K184)*FLOOR(SUM(M184),0.0001),AND(K184&lt;&gt;"",M184&lt;&gt;"",OR(H184="Uurtarief",H184="Vast tarief")),SUM(K184)*FLOOR(SUM(M184),0.01),AND(O184&lt;&gt;"",H184="-"),FLOOR(SUM(O184),0.01)),"")</f>
        <v/>
      </c>
      <c r="T184" s="314" t="str">
        <f t="shared" ca="1" si="11"/>
        <v/>
      </c>
      <c r="U184" s="314" t="str" cm="1">
        <f t="array" aca="1" ref="U184" ca="1">IFERROR(_xlfn.IFS(OR(F184="",LEFT(Methode_Keuze,4)="Geen",Methode_Keuze=""),"",AND(R184&lt;&gt;"",F184&lt;&gt;"Arbeidskosten"),R184*VLOOKUP(F184,Tb_ProjectKosten[],MATCH(Tb_ProjectKosten[[#Headers],[Forfait_Percentage]],Tb_ProjectKosten[#Headers],0),0),AND(F184="Arbeidskosten",G184&lt;&gt;""),IFERROR(R184*VLOOKUP(G184,Tb_KostenTypen[],3,0)*VLOOKUP(F184,Tb_ProjectKosten[],MATCH(Tb_ProjectKosten[[#Headers],[Forfait_Percentage]],Tb_ProjectKosten[#Headers],0),0),""),R184 &lt;=0,0),"")</f>
        <v/>
      </c>
      <c r="V184" s="314" t="str" cm="1">
        <f t="array" aca="1" ref="V184" ca="1">IFERROR(_xlfn.IFS(OR(F184="",LEFT(Methode_Keuze,4)="Geen",Methode_Keuze=""),"",AND(S184&lt;&gt;"",F184&lt;&gt;"Arbeidskosten"),S184*VLOOKUP(F184,Tb_ProjectKosten[],MATCH(Tb_ProjectKosten[[#Headers],[Forfait_Percentage]],Tb_ProjectKosten[#Headers],0),0),AND(F184="Arbeidskosten",G184&lt;&gt;""),IFERROR(S184*VLOOKUP(G184,Tb_KostenTypen[],3,0)*VLOOKUP(F184,Tb_ProjectKosten[],MATCH(Tb_ProjectKosten[[#Headers],[Forfait_Percentage]],Tb_ProjectKosten[#Headers],0),0),""),S184 &lt;=0,0),"")</f>
        <v/>
      </c>
      <c r="W184" s="314" t="str">
        <f t="shared" ca="1" si="12"/>
        <v/>
      </c>
      <c r="X184" s="376" t="str">
        <f>IFERROR(VLOOKUP(F184,Tb_ProjectKosten[#All],11,0),"")</f>
        <v/>
      </c>
      <c r="Y184" s="315"/>
    </row>
    <row r="185" spans="1:25" x14ac:dyDescent="0.25">
      <c r="A185" s="309">
        <f>MAX($A$5:A184)+1</f>
        <v>180</v>
      </c>
      <c r="B185" s="296"/>
      <c r="C185" s="296"/>
      <c r="D185" s="296"/>
      <c r="E185" s="296"/>
      <c r="F185" s="296"/>
      <c r="G185" s="327"/>
      <c r="H185" s="310" t="str">
        <f ca="1">IFERROR(IF(VLOOKUP(F185,Kostentypen!$A$3:$E$21,3,0)=0,"",IF(OR(F185="Arbeidskosten",F185="Vergoeding"),VLOOKUP(G185,Tb_KostenTypen[],2,0),VLOOKUP(F185,Kostentypen!$A$3:$E$20,3,0))),"")</f>
        <v/>
      </c>
      <c r="I185" s="311"/>
      <c r="J185" s="312" t="str" cm="1">
        <f t="array" ref="J185">_xlfn.IFNA(IF(INDEX(Tb_KostenOpties[],MATCH($F185,Tb_KostenOpties[KostenOptie],0),IFERROR(MATCH(Methode_Keuze,Tb_KostenOpties[#Headers],0),2))=1,_xlfn.SWITCH($H185,"Uurtarief",IF(OR(AND(RIGHT($F185,3)="IKS",VLOOKUP($I185,Loonkosten,2,0)="Ja"),AND(RIGHT($F185,3)&lt;&gt;"IKS",VLOOKUP($I185,Loonkosten,2,0)="Nee")), VLOOKUP($I185,Loonkosten,MATCH("Opgegeven uurtarief",'4. Rekenhulp loonkosten aanvr.'!$4:$4,0)),0),"Vast tarief",IF(LEFT(F185,8)="Bijdrage",VLOOKUP($F185,Tb_KostenTypen[],MATCH(Lijsten!$P$1,Tb_KostenTypen[#Headers],0),0),VLOOKUP($G185,Lijsten!L:P,MATCH(Lijsten!$P$1,Kop_Tarief_Vast,0),0))),""),"")</f>
        <v/>
      </c>
      <c r="K185" s="312" t="str" cm="1">
        <f t="array" ref="K185">_xlfn.IFNA(IF(INDEX(Tb_KostenOpties[],MATCH($F185,Tb_KostenOpties[KostenOptie],0),IFERROR(MATCH(Methode_Keuze,Tb_KostenOpties[#Headers],0),2))=1,_xlfn.SWITCH($H185,"Uurtarief",IF(OR(AND(RIGHT($F185,3)="IKS",VLOOKUP($I185,Loonkosten,2,0)="Ja"),AND(RIGHT($F185,3)&lt;&gt;"IKS",VLOOKUP($I185,Loonkosten,2,0)="Nee")), VLOOKUP($I185,Loonkosten,MATCH("Beoordeeld uurtarief",'4. Rekenhulp loonkosten aanvr.'!$4:$4,0),0),0),"Vast tarief",IF(LEFT(F185,8)="Bijdrage",VLOOKUP($F185,Tb_KostenTypen[],MATCH(Lijsten!$P$1,Tb_KostenTypen[#Headers],0),0),VLOOKUP($G185,Lijsten!L:P,MATCH(Lijsten!$P$1,Kop_Tarief_Vast,0),0))),""),"")</f>
        <v/>
      </c>
      <c r="L185" s="358"/>
      <c r="M185" s="358"/>
      <c r="N185" s="313"/>
      <c r="O185" s="313"/>
      <c r="P185" s="374" t="str">
        <f t="shared" si="9"/>
        <v/>
      </c>
      <c r="Q185" s="314" t="str">
        <f t="shared" si="10"/>
        <v/>
      </c>
      <c r="R185" s="314" t="str" cm="1">
        <f t="array" aca="1" ref="R185" ca="1">_xlfn.IFNA(_xlfn.IFS(X185="Dit kostentype hoeft u niet op te geven. Hiervoor wordt een forfait berekend.","",AND(J185&lt;&gt;"",H185="Vast tarief",F185="Vergoeding"),SUM(J185)*FLOOR(SUM(L185),0.0001),AND(J185&lt;&gt;"",OR(H185="Uurtarief",H185="Vast tarief")),SUM(J185)*FLOOR(SUM(L185),0.01),AND(N185&lt;&gt;"",H185="-"),FLOOR(SUM(N185),0.01)),"")</f>
        <v/>
      </c>
      <c r="S185" s="314" t="str" cm="1">
        <f t="array" aca="1" ref="S185" ca="1">_xlfn.IFNA(_xlfn.IFS(X185="Dit kostentype hoeft u niet op te geven. Hiervoor wordt een forfait berekend.","",AND(K185&lt;&gt;"",M185&lt;&gt;"",H185="Vast tarief",F185="Vergoeding"),SUM(K185)*FLOOR(SUM(M185),0.0001),AND(K185&lt;&gt;"",M185&lt;&gt;"",OR(H185="Uurtarief",H185="Vast tarief")),SUM(K185)*FLOOR(SUM(M185),0.01),AND(O185&lt;&gt;"",H185="-"),FLOOR(SUM(O185),0.01)),"")</f>
        <v/>
      </c>
      <c r="T185" s="314" t="str">
        <f t="shared" ca="1" si="11"/>
        <v/>
      </c>
      <c r="U185" s="314" t="str" cm="1">
        <f t="array" aca="1" ref="U185" ca="1">IFERROR(_xlfn.IFS(OR(F185="",LEFT(Methode_Keuze,4)="Geen",Methode_Keuze=""),"",AND(R185&lt;&gt;"",F185&lt;&gt;"Arbeidskosten"),R185*VLOOKUP(F185,Tb_ProjectKosten[],MATCH(Tb_ProjectKosten[[#Headers],[Forfait_Percentage]],Tb_ProjectKosten[#Headers],0),0),AND(F185="Arbeidskosten",G185&lt;&gt;""),IFERROR(R185*VLOOKUP(G185,Tb_KostenTypen[],3,0)*VLOOKUP(F185,Tb_ProjectKosten[],MATCH(Tb_ProjectKosten[[#Headers],[Forfait_Percentage]],Tb_ProjectKosten[#Headers],0),0),""),R185 &lt;=0,0),"")</f>
        <v/>
      </c>
      <c r="V185" s="314" t="str" cm="1">
        <f t="array" aca="1" ref="V185" ca="1">IFERROR(_xlfn.IFS(OR(F185="",LEFT(Methode_Keuze,4)="Geen",Methode_Keuze=""),"",AND(S185&lt;&gt;"",F185&lt;&gt;"Arbeidskosten"),S185*VLOOKUP(F185,Tb_ProjectKosten[],MATCH(Tb_ProjectKosten[[#Headers],[Forfait_Percentage]],Tb_ProjectKosten[#Headers],0),0),AND(F185="Arbeidskosten",G185&lt;&gt;""),IFERROR(S185*VLOOKUP(G185,Tb_KostenTypen[],3,0)*VLOOKUP(F185,Tb_ProjectKosten[],MATCH(Tb_ProjectKosten[[#Headers],[Forfait_Percentage]],Tb_ProjectKosten[#Headers],0),0),""),S185 &lt;=0,0),"")</f>
        <v/>
      </c>
      <c r="W185" s="314" t="str">
        <f t="shared" ca="1" si="12"/>
        <v/>
      </c>
      <c r="X185" s="376" t="str">
        <f>IFERROR(VLOOKUP(F185,Tb_ProjectKosten[#All],11,0),"")</f>
        <v/>
      </c>
      <c r="Y185" s="315"/>
    </row>
    <row r="186" spans="1:25" x14ac:dyDescent="0.25">
      <c r="A186" s="309">
        <f>MAX($A$5:A185)+1</f>
        <v>181</v>
      </c>
      <c r="B186" s="296"/>
      <c r="C186" s="296"/>
      <c r="D186" s="296"/>
      <c r="E186" s="296"/>
      <c r="F186" s="296"/>
      <c r="G186" s="327"/>
      <c r="H186" s="310" t="str">
        <f ca="1">IFERROR(IF(VLOOKUP(F186,Kostentypen!$A$3:$E$21,3,0)=0,"",IF(OR(F186="Arbeidskosten",F186="Vergoeding"),VLOOKUP(G186,Tb_KostenTypen[],2,0),VLOOKUP(F186,Kostentypen!$A$3:$E$20,3,0))),"")</f>
        <v/>
      </c>
      <c r="I186" s="311"/>
      <c r="J186" s="312" t="str" cm="1">
        <f t="array" ref="J186">_xlfn.IFNA(IF(INDEX(Tb_KostenOpties[],MATCH($F186,Tb_KostenOpties[KostenOptie],0),IFERROR(MATCH(Methode_Keuze,Tb_KostenOpties[#Headers],0),2))=1,_xlfn.SWITCH($H186,"Uurtarief",IF(OR(AND(RIGHT($F186,3)="IKS",VLOOKUP($I186,Loonkosten,2,0)="Ja"),AND(RIGHT($F186,3)&lt;&gt;"IKS",VLOOKUP($I186,Loonkosten,2,0)="Nee")), VLOOKUP($I186,Loonkosten,MATCH("Opgegeven uurtarief",'4. Rekenhulp loonkosten aanvr.'!$4:$4,0)),0),"Vast tarief",IF(LEFT(F186,8)="Bijdrage",VLOOKUP($F186,Tb_KostenTypen[],MATCH(Lijsten!$P$1,Tb_KostenTypen[#Headers],0),0),VLOOKUP($G186,Lijsten!L:P,MATCH(Lijsten!$P$1,Kop_Tarief_Vast,0),0))),""),"")</f>
        <v/>
      </c>
      <c r="K186" s="312" t="str" cm="1">
        <f t="array" ref="K186">_xlfn.IFNA(IF(INDEX(Tb_KostenOpties[],MATCH($F186,Tb_KostenOpties[KostenOptie],0),IFERROR(MATCH(Methode_Keuze,Tb_KostenOpties[#Headers],0),2))=1,_xlfn.SWITCH($H186,"Uurtarief",IF(OR(AND(RIGHT($F186,3)="IKS",VLOOKUP($I186,Loonkosten,2,0)="Ja"),AND(RIGHT($F186,3)&lt;&gt;"IKS",VLOOKUP($I186,Loonkosten,2,0)="Nee")), VLOOKUP($I186,Loonkosten,MATCH("Beoordeeld uurtarief",'4. Rekenhulp loonkosten aanvr.'!$4:$4,0),0),0),"Vast tarief",IF(LEFT(F186,8)="Bijdrage",VLOOKUP($F186,Tb_KostenTypen[],MATCH(Lijsten!$P$1,Tb_KostenTypen[#Headers],0),0),VLOOKUP($G186,Lijsten!L:P,MATCH(Lijsten!$P$1,Kop_Tarief_Vast,0),0))),""),"")</f>
        <v/>
      </c>
      <c r="L186" s="358"/>
      <c r="M186" s="358"/>
      <c r="N186" s="313"/>
      <c r="O186" s="313"/>
      <c r="P186" s="374" t="str">
        <f t="shared" si="9"/>
        <v/>
      </c>
      <c r="Q186" s="314" t="str">
        <f t="shared" si="10"/>
        <v/>
      </c>
      <c r="R186" s="314" t="str" cm="1">
        <f t="array" aca="1" ref="R186" ca="1">_xlfn.IFNA(_xlfn.IFS(X186="Dit kostentype hoeft u niet op te geven. Hiervoor wordt een forfait berekend.","",AND(J186&lt;&gt;"",H186="Vast tarief",F186="Vergoeding"),SUM(J186)*FLOOR(SUM(L186),0.0001),AND(J186&lt;&gt;"",OR(H186="Uurtarief",H186="Vast tarief")),SUM(J186)*FLOOR(SUM(L186),0.01),AND(N186&lt;&gt;"",H186="-"),FLOOR(SUM(N186),0.01)),"")</f>
        <v/>
      </c>
      <c r="S186" s="314" t="str" cm="1">
        <f t="array" aca="1" ref="S186" ca="1">_xlfn.IFNA(_xlfn.IFS(X186="Dit kostentype hoeft u niet op te geven. Hiervoor wordt een forfait berekend.","",AND(K186&lt;&gt;"",M186&lt;&gt;"",H186="Vast tarief",F186="Vergoeding"),SUM(K186)*FLOOR(SUM(M186),0.0001),AND(K186&lt;&gt;"",M186&lt;&gt;"",OR(H186="Uurtarief",H186="Vast tarief")),SUM(K186)*FLOOR(SUM(M186),0.01),AND(O186&lt;&gt;"",H186="-"),FLOOR(SUM(O186),0.01)),"")</f>
        <v/>
      </c>
      <c r="T186" s="314" t="str">
        <f t="shared" ca="1" si="11"/>
        <v/>
      </c>
      <c r="U186" s="314" t="str" cm="1">
        <f t="array" aca="1" ref="U186" ca="1">IFERROR(_xlfn.IFS(OR(F186="",LEFT(Methode_Keuze,4)="Geen",Methode_Keuze=""),"",AND(R186&lt;&gt;"",F186&lt;&gt;"Arbeidskosten"),R186*VLOOKUP(F186,Tb_ProjectKosten[],MATCH(Tb_ProjectKosten[[#Headers],[Forfait_Percentage]],Tb_ProjectKosten[#Headers],0),0),AND(F186="Arbeidskosten",G186&lt;&gt;""),IFERROR(R186*VLOOKUP(G186,Tb_KostenTypen[],3,0)*VLOOKUP(F186,Tb_ProjectKosten[],MATCH(Tb_ProjectKosten[[#Headers],[Forfait_Percentage]],Tb_ProjectKosten[#Headers],0),0),""),R186 &lt;=0,0),"")</f>
        <v/>
      </c>
      <c r="V186" s="314" t="str" cm="1">
        <f t="array" aca="1" ref="V186" ca="1">IFERROR(_xlfn.IFS(OR(F186="",LEFT(Methode_Keuze,4)="Geen",Methode_Keuze=""),"",AND(S186&lt;&gt;"",F186&lt;&gt;"Arbeidskosten"),S186*VLOOKUP(F186,Tb_ProjectKosten[],MATCH(Tb_ProjectKosten[[#Headers],[Forfait_Percentage]],Tb_ProjectKosten[#Headers],0),0),AND(F186="Arbeidskosten",G186&lt;&gt;""),IFERROR(S186*VLOOKUP(G186,Tb_KostenTypen[],3,0)*VLOOKUP(F186,Tb_ProjectKosten[],MATCH(Tb_ProjectKosten[[#Headers],[Forfait_Percentage]],Tb_ProjectKosten[#Headers],0),0),""),S186 &lt;=0,0),"")</f>
        <v/>
      </c>
      <c r="W186" s="314" t="str">
        <f t="shared" ca="1" si="12"/>
        <v/>
      </c>
      <c r="X186" s="376" t="str">
        <f>IFERROR(VLOOKUP(F186,Tb_ProjectKosten[#All],11,0),"")</f>
        <v/>
      </c>
      <c r="Y186" s="315"/>
    </row>
    <row r="187" spans="1:25" x14ac:dyDescent="0.25">
      <c r="A187" s="309">
        <f>MAX($A$5:A186)+1</f>
        <v>182</v>
      </c>
      <c r="B187" s="296"/>
      <c r="C187" s="296"/>
      <c r="D187" s="296"/>
      <c r="E187" s="296"/>
      <c r="F187" s="296"/>
      <c r="G187" s="327"/>
      <c r="H187" s="310" t="str">
        <f ca="1">IFERROR(IF(VLOOKUP(F187,Kostentypen!$A$3:$E$21,3,0)=0,"",IF(OR(F187="Arbeidskosten",F187="Vergoeding"),VLOOKUP(G187,Tb_KostenTypen[],2,0),VLOOKUP(F187,Kostentypen!$A$3:$E$20,3,0))),"")</f>
        <v/>
      </c>
      <c r="I187" s="311"/>
      <c r="J187" s="312" t="str" cm="1">
        <f t="array" ref="J187">_xlfn.IFNA(IF(INDEX(Tb_KostenOpties[],MATCH($F187,Tb_KostenOpties[KostenOptie],0),IFERROR(MATCH(Methode_Keuze,Tb_KostenOpties[#Headers],0),2))=1,_xlfn.SWITCH($H187,"Uurtarief",IF(OR(AND(RIGHT($F187,3)="IKS",VLOOKUP($I187,Loonkosten,2,0)="Ja"),AND(RIGHT($F187,3)&lt;&gt;"IKS",VLOOKUP($I187,Loonkosten,2,0)="Nee")), VLOOKUP($I187,Loonkosten,MATCH("Opgegeven uurtarief",'4. Rekenhulp loonkosten aanvr.'!$4:$4,0)),0),"Vast tarief",IF(LEFT(F187,8)="Bijdrage",VLOOKUP($F187,Tb_KostenTypen[],MATCH(Lijsten!$P$1,Tb_KostenTypen[#Headers],0),0),VLOOKUP($G187,Lijsten!L:P,MATCH(Lijsten!$P$1,Kop_Tarief_Vast,0),0))),""),"")</f>
        <v/>
      </c>
      <c r="K187" s="312" t="str" cm="1">
        <f t="array" ref="K187">_xlfn.IFNA(IF(INDEX(Tb_KostenOpties[],MATCH($F187,Tb_KostenOpties[KostenOptie],0),IFERROR(MATCH(Methode_Keuze,Tb_KostenOpties[#Headers],0),2))=1,_xlfn.SWITCH($H187,"Uurtarief",IF(OR(AND(RIGHT($F187,3)="IKS",VLOOKUP($I187,Loonkosten,2,0)="Ja"),AND(RIGHT($F187,3)&lt;&gt;"IKS",VLOOKUP($I187,Loonkosten,2,0)="Nee")), VLOOKUP($I187,Loonkosten,MATCH("Beoordeeld uurtarief",'4. Rekenhulp loonkosten aanvr.'!$4:$4,0),0),0),"Vast tarief",IF(LEFT(F187,8)="Bijdrage",VLOOKUP($F187,Tb_KostenTypen[],MATCH(Lijsten!$P$1,Tb_KostenTypen[#Headers],0),0),VLOOKUP($G187,Lijsten!L:P,MATCH(Lijsten!$P$1,Kop_Tarief_Vast,0),0))),""),"")</f>
        <v/>
      </c>
      <c r="L187" s="358"/>
      <c r="M187" s="358"/>
      <c r="N187" s="313"/>
      <c r="O187" s="313"/>
      <c r="P187" s="374" t="str">
        <f t="shared" si="9"/>
        <v/>
      </c>
      <c r="Q187" s="314" t="str">
        <f t="shared" si="10"/>
        <v/>
      </c>
      <c r="R187" s="314" t="str" cm="1">
        <f t="array" aca="1" ref="R187" ca="1">_xlfn.IFNA(_xlfn.IFS(X187="Dit kostentype hoeft u niet op te geven. Hiervoor wordt een forfait berekend.","",AND(J187&lt;&gt;"",H187="Vast tarief",F187="Vergoeding"),SUM(J187)*FLOOR(SUM(L187),0.0001),AND(J187&lt;&gt;"",OR(H187="Uurtarief",H187="Vast tarief")),SUM(J187)*FLOOR(SUM(L187),0.01),AND(N187&lt;&gt;"",H187="-"),FLOOR(SUM(N187),0.01)),"")</f>
        <v/>
      </c>
      <c r="S187" s="314" t="str" cm="1">
        <f t="array" aca="1" ref="S187" ca="1">_xlfn.IFNA(_xlfn.IFS(X187="Dit kostentype hoeft u niet op te geven. Hiervoor wordt een forfait berekend.","",AND(K187&lt;&gt;"",M187&lt;&gt;"",H187="Vast tarief",F187="Vergoeding"),SUM(K187)*FLOOR(SUM(M187),0.0001),AND(K187&lt;&gt;"",M187&lt;&gt;"",OR(H187="Uurtarief",H187="Vast tarief")),SUM(K187)*FLOOR(SUM(M187),0.01),AND(O187&lt;&gt;"",H187="-"),FLOOR(SUM(O187),0.01)),"")</f>
        <v/>
      </c>
      <c r="T187" s="314" t="str">
        <f t="shared" ca="1" si="11"/>
        <v/>
      </c>
      <c r="U187" s="314" t="str" cm="1">
        <f t="array" aca="1" ref="U187" ca="1">IFERROR(_xlfn.IFS(OR(F187="",LEFT(Methode_Keuze,4)="Geen",Methode_Keuze=""),"",AND(R187&lt;&gt;"",F187&lt;&gt;"Arbeidskosten"),R187*VLOOKUP(F187,Tb_ProjectKosten[],MATCH(Tb_ProjectKosten[[#Headers],[Forfait_Percentage]],Tb_ProjectKosten[#Headers],0),0),AND(F187="Arbeidskosten",G187&lt;&gt;""),IFERROR(R187*VLOOKUP(G187,Tb_KostenTypen[],3,0)*VLOOKUP(F187,Tb_ProjectKosten[],MATCH(Tb_ProjectKosten[[#Headers],[Forfait_Percentage]],Tb_ProjectKosten[#Headers],0),0),""),R187 &lt;=0,0),"")</f>
        <v/>
      </c>
      <c r="V187" s="314" t="str" cm="1">
        <f t="array" aca="1" ref="V187" ca="1">IFERROR(_xlfn.IFS(OR(F187="",LEFT(Methode_Keuze,4)="Geen",Methode_Keuze=""),"",AND(S187&lt;&gt;"",F187&lt;&gt;"Arbeidskosten"),S187*VLOOKUP(F187,Tb_ProjectKosten[],MATCH(Tb_ProjectKosten[[#Headers],[Forfait_Percentage]],Tb_ProjectKosten[#Headers],0),0),AND(F187="Arbeidskosten",G187&lt;&gt;""),IFERROR(S187*VLOOKUP(G187,Tb_KostenTypen[],3,0)*VLOOKUP(F187,Tb_ProjectKosten[],MATCH(Tb_ProjectKosten[[#Headers],[Forfait_Percentage]],Tb_ProjectKosten[#Headers],0),0),""),S187 &lt;=0,0),"")</f>
        <v/>
      </c>
      <c r="W187" s="314" t="str">
        <f t="shared" ca="1" si="12"/>
        <v/>
      </c>
      <c r="X187" s="376" t="str">
        <f>IFERROR(VLOOKUP(F187,Tb_ProjectKosten[#All],11,0),"")</f>
        <v/>
      </c>
      <c r="Y187" s="315"/>
    </row>
    <row r="188" spans="1:25" x14ac:dyDescent="0.25">
      <c r="A188" s="309">
        <f>MAX($A$5:A187)+1</f>
        <v>183</v>
      </c>
      <c r="B188" s="296"/>
      <c r="C188" s="296"/>
      <c r="D188" s="296"/>
      <c r="E188" s="296"/>
      <c r="F188" s="296"/>
      <c r="G188" s="327"/>
      <c r="H188" s="310" t="str">
        <f ca="1">IFERROR(IF(VLOOKUP(F188,Kostentypen!$A$3:$E$21,3,0)=0,"",IF(OR(F188="Arbeidskosten",F188="Vergoeding"),VLOOKUP(G188,Tb_KostenTypen[],2,0),VLOOKUP(F188,Kostentypen!$A$3:$E$20,3,0))),"")</f>
        <v/>
      </c>
      <c r="I188" s="311"/>
      <c r="J188" s="312" t="str" cm="1">
        <f t="array" ref="J188">_xlfn.IFNA(IF(INDEX(Tb_KostenOpties[],MATCH($F188,Tb_KostenOpties[KostenOptie],0),IFERROR(MATCH(Methode_Keuze,Tb_KostenOpties[#Headers],0),2))=1,_xlfn.SWITCH($H188,"Uurtarief",IF(OR(AND(RIGHT($F188,3)="IKS",VLOOKUP($I188,Loonkosten,2,0)="Ja"),AND(RIGHT($F188,3)&lt;&gt;"IKS",VLOOKUP($I188,Loonkosten,2,0)="Nee")), VLOOKUP($I188,Loonkosten,MATCH("Opgegeven uurtarief",'4. Rekenhulp loonkosten aanvr.'!$4:$4,0)),0),"Vast tarief",IF(LEFT(F188,8)="Bijdrage",VLOOKUP($F188,Tb_KostenTypen[],MATCH(Lijsten!$P$1,Tb_KostenTypen[#Headers],0),0),VLOOKUP($G188,Lijsten!L:P,MATCH(Lijsten!$P$1,Kop_Tarief_Vast,0),0))),""),"")</f>
        <v/>
      </c>
      <c r="K188" s="312" t="str" cm="1">
        <f t="array" ref="K188">_xlfn.IFNA(IF(INDEX(Tb_KostenOpties[],MATCH($F188,Tb_KostenOpties[KostenOptie],0),IFERROR(MATCH(Methode_Keuze,Tb_KostenOpties[#Headers],0),2))=1,_xlfn.SWITCH($H188,"Uurtarief",IF(OR(AND(RIGHT($F188,3)="IKS",VLOOKUP($I188,Loonkosten,2,0)="Ja"),AND(RIGHT($F188,3)&lt;&gt;"IKS",VLOOKUP($I188,Loonkosten,2,0)="Nee")), VLOOKUP($I188,Loonkosten,MATCH("Beoordeeld uurtarief",'4. Rekenhulp loonkosten aanvr.'!$4:$4,0),0),0),"Vast tarief",IF(LEFT(F188,8)="Bijdrage",VLOOKUP($F188,Tb_KostenTypen[],MATCH(Lijsten!$P$1,Tb_KostenTypen[#Headers],0),0),VLOOKUP($G188,Lijsten!L:P,MATCH(Lijsten!$P$1,Kop_Tarief_Vast,0),0))),""),"")</f>
        <v/>
      </c>
      <c r="L188" s="358"/>
      <c r="M188" s="358"/>
      <c r="N188" s="313"/>
      <c r="O188" s="313"/>
      <c r="P188" s="374" t="str">
        <f t="shared" si="9"/>
        <v/>
      </c>
      <c r="Q188" s="314" t="str">
        <f t="shared" si="10"/>
        <v/>
      </c>
      <c r="R188" s="314" t="str" cm="1">
        <f t="array" aca="1" ref="R188" ca="1">_xlfn.IFNA(_xlfn.IFS(X188="Dit kostentype hoeft u niet op te geven. Hiervoor wordt een forfait berekend.","",AND(J188&lt;&gt;"",H188="Vast tarief",F188="Vergoeding"),SUM(J188)*FLOOR(SUM(L188),0.0001),AND(J188&lt;&gt;"",OR(H188="Uurtarief",H188="Vast tarief")),SUM(J188)*FLOOR(SUM(L188),0.01),AND(N188&lt;&gt;"",H188="-"),FLOOR(SUM(N188),0.01)),"")</f>
        <v/>
      </c>
      <c r="S188" s="314" t="str" cm="1">
        <f t="array" aca="1" ref="S188" ca="1">_xlfn.IFNA(_xlfn.IFS(X188="Dit kostentype hoeft u niet op te geven. Hiervoor wordt een forfait berekend.","",AND(K188&lt;&gt;"",M188&lt;&gt;"",H188="Vast tarief",F188="Vergoeding"),SUM(K188)*FLOOR(SUM(M188),0.0001),AND(K188&lt;&gt;"",M188&lt;&gt;"",OR(H188="Uurtarief",H188="Vast tarief")),SUM(K188)*FLOOR(SUM(M188),0.01),AND(O188&lt;&gt;"",H188="-"),FLOOR(SUM(O188),0.01)),"")</f>
        <v/>
      </c>
      <c r="T188" s="314" t="str">
        <f t="shared" ca="1" si="11"/>
        <v/>
      </c>
      <c r="U188" s="314" t="str" cm="1">
        <f t="array" aca="1" ref="U188" ca="1">IFERROR(_xlfn.IFS(OR(F188="",LEFT(Methode_Keuze,4)="Geen",Methode_Keuze=""),"",AND(R188&lt;&gt;"",F188&lt;&gt;"Arbeidskosten"),R188*VLOOKUP(F188,Tb_ProjectKosten[],MATCH(Tb_ProjectKosten[[#Headers],[Forfait_Percentage]],Tb_ProjectKosten[#Headers],0),0),AND(F188="Arbeidskosten",G188&lt;&gt;""),IFERROR(R188*VLOOKUP(G188,Tb_KostenTypen[],3,0)*VLOOKUP(F188,Tb_ProjectKosten[],MATCH(Tb_ProjectKosten[[#Headers],[Forfait_Percentage]],Tb_ProjectKosten[#Headers],0),0),""),R188 &lt;=0,0),"")</f>
        <v/>
      </c>
      <c r="V188" s="314" t="str" cm="1">
        <f t="array" aca="1" ref="V188" ca="1">IFERROR(_xlfn.IFS(OR(F188="",LEFT(Methode_Keuze,4)="Geen",Methode_Keuze=""),"",AND(S188&lt;&gt;"",F188&lt;&gt;"Arbeidskosten"),S188*VLOOKUP(F188,Tb_ProjectKosten[],MATCH(Tb_ProjectKosten[[#Headers],[Forfait_Percentage]],Tb_ProjectKosten[#Headers],0),0),AND(F188="Arbeidskosten",G188&lt;&gt;""),IFERROR(S188*VLOOKUP(G188,Tb_KostenTypen[],3,0)*VLOOKUP(F188,Tb_ProjectKosten[],MATCH(Tb_ProjectKosten[[#Headers],[Forfait_Percentage]],Tb_ProjectKosten[#Headers],0),0),""),S188 &lt;=0,0),"")</f>
        <v/>
      </c>
      <c r="W188" s="314" t="str">
        <f t="shared" ca="1" si="12"/>
        <v/>
      </c>
      <c r="X188" s="376" t="str">
        <f>IFERROR(VLOOKUP(F188,Tb_ProjectKosten[#All],11,0),"")</f>
        <v/>
      </c>
      <c r="Y188" s="315"/>
    </row>
    <row r="189" spans="1:25" x14ac:dyDescent="0.25">
      <c r="A189" s="309">
        <f>MAX($A$5:A188)+1</f>
        <v>184</v>
      </c>
      <c r="B189" s="296"/>
      <c r="C189" s="296"/>
      <c r="D189" s="296"/>
      <c r="E189" s="296"/>
      <c r="F189" s="296"/>
      <c r="G189" s="327"/>
      <c r="H189" s="310" t="str">
        <f ca="1">IFERROR(IF(VLOOKUP(F189,Kostentypen!$A$3:$E$21,3,0)=0,"",IF(OR(F189="Arbeidskosten",F189="Vergoeding"),VLOOKUP(G189,Tb_KostenTypen[],2,0),VLOOKUP(F189,Kostentypen!$A$3:$E$20,3,0))),"")</f>
        <v/>
      </c>
      <c r="I189" s="311"/>
      <c r="J189" s="312" t="str" cm="1">
        <f t="array" ref="J189">_xlfn.IFNA(IF(INDEX(Tb_KostenOpties[],MATCH($F189,Tb_KostenOpties[KostenOptie],0),IFERROR(MATCH(Methode_Keuze,Tb_KostenOpties[#Headers],0),2))=1,_xlfn.SWITCH($H189,"Uurtarief",IF(OR(AND(RIGHT($F189,3)="IKS",VLOOKUP($I189,Loonkosten,2,0)="Ja"),AND(RIGHT($F189,3)&lt;&gt;"IKS",VLOOKUP($I189,Loonkosten,2,0)="Nee")), VLOOKUP($I189,Loonkosten,MATCH("Opgegeven uurtarief",'4. Rekenhulp loonkosten aanvr.'!$4:$4,0)),0),"Vast tarief",IF(LEFT(F189,8)="Bijdrage",VLOOKUP($F189,Tb_KostenTypen[],MATCH(Lijsten!$P$1,Tb_KostenTypen[#Headers],0),0),VLOOKUP($G189,Lijsten!L:P,MATCH(Lijsten!$P$1,Kop_Tarief_Vast,0),0))),""),"")</f>
        <v/>
      </c>
      <c r="K189" s="312" t="str" cm="1">
        <f t="array" ref="K189">_xlfn.IFNA(IF(INDEX(Tb_KostenOpties[],MATCH($F189,Tb_KostenOpties[KostenOptie],0),IFERROR(MATCH(Methode_Keuze,Tb_KostenOpties[#Headers],0),2))=1,_xlfn.SWITCH($H189,"Uurtarief",IF(OR(AND(RIGHT($F189,3)="IKS",VLOOKUP($I189,Loonkosten,2,0)="Ja"),AND(RIGHT($F189,3)&lt;&gt;"IKS",VLOOKUP($I189,Loonkosten,2,0)="Nee")), VLOOKUP($I189,Loonkosten,MATCH("Beoordeeld uurtarief",'4. Rekenhulp loonkosten aanvr.'!$4:$4,0),0),0),"Vast tarief",IF(LEFT(F189,8)="Bijdrage",VLOOKUP($F189,Tb_KostenTypen[],MATCH(Lijsten!$P$1,Tb_KostenTypen[#Headers],0),0),VLOOKUP($G189,Lijsten!L:P,MATCH(Lijsten!$P$1,Kop_Tarief_Vast,0),0))),""),"")</f>
        <v/>
      </c>
      <c r="L189" s="358"/>
      <c r="M189" s="358"/>
      <c r="N189" s="313"/>
      <c r="O189" s="313"/>
      <c r="P189" s="374" t="str">
        <f t="shared" si="9"/>
        <v/>
      </c>
      <c r="Q189" s="314" t="str">
        <f t="shared" si="10"/>
        <v/>
      </c>
      <c r="R189" s="314" t="str" cm="1">
        <f t="array" aca="1" ref="R189" ca="1">_xlfn.IFNA(_xlfn.IFS(X189="Dit kostentype hoeft u niet op te geven. Hiervoor wordt een forfait berekend.","",AND(J189&lt;&gt;"",H189="Vast tarief",F189="Vergoeding"),SUM(J189)*FLOOR(SUM(L189),0.0001),AND(J189&lt;&gt;"",OR(H189="Uurtarief",H189="Vast tarief")),SUM(J189)*FLOOR(SUM(L189),0.01),AND(N189&lt;&gt;"",H189="-"),FLOOR(SUM(N189),0.01)),"")</f>
        <v/>
      </c>
      <c r="S189" s="314" t="str" cm="1">
        <f t="array" aca="1" ref="S189" ca="1">_xlfn.IFNA(_xlfn.IFS(X189="Dit kostentype hoeft u niet op te geven. Hiervoor wordt een forfait berekend.","",AND(K189&lt;&gt;"",M189&lt;&gt;"",H189="Vast tarief",F189="Vergoeding"),SUM(K189)*FLOOR(SUM(M189),0.0001),AND(K189&lt;&gt;"",M189&lt;&gt;"",OR(H189="Uurtarief",H189="Vast tarief")),SUM(K189)*FLOOR(SUM(M189),0.01),AND(O189&lt;&gt;"",H189="-"),FLOOR(SUM(O189),0.01)),"")</f>
        <v/>
      </c>
      <c r="T189" s="314" t="str">
        <f t="shared" ca="1" si="11"/>
        <v/>
      </c>
      <c r="U189" s="314" t="str" cm="1">
        <f t="array" aca="1" ref="U189" ca="1">IFERROR(_xlfn.IFS(OR(F189="",LEFT(Methode_Keuze,4)="Geen",Methode_Keuze=""),"",AND(R189&lt;&gt;"",F189&lt;&gt;"Arbeidskosten"),R189*VLOOKUP(F189,Tb_ProjectKosten[],MATCH(Tb_ProjectKosten[[#Headers],[Forfait_Percentage]],Tb_ProjectKosten[#Headers],0),0),AND(F189="Arbeidskosten",G189&lt;&gt;""),IFERROR(R189*VLOOKUP(G189,Tb_KostenTypen[],3,0)*VLOOKUP(F189,Tb_ProjectKosten[],MATCH(Tb_ProjectKosten[[#Headers],[Forfait_Percentage]],Tb_ProjectKosten[#Headers],0),0),""),R189 &lt;=0,0),"")</f>
        <v/>
      </c>
      <c r="V189" s="314" t="str" cm="1">
        <f t="array" aca="1" ref="V189" ca="1">IFERROR(_xlfn.IFS(OR(F189="",LEFT(Methode_Keuze,4)="Geen",Methode_Keuze=""),"",AND(S189&lt;&gt;"",F189&lt;&gt;"Arbeidskosten"),S189*VLOOKUP(F189,Tb_ProjectKosten[],MATCH(Tb_ProjectKosten[[#Headers],[Forfait_Percentage]],Tb_ProjectKosten[#Headers],0),0),AND(F189="Arbeidskosten",G189&lt;&gt;""),IFERROR(S189*VLOOKUP(G189,Tb_KostenTypen[],3,0)*VLOOKUP(F189,Tb_ProjectKosten[],MATCH(Tb_ProjectKosten[[#Headers],[Forfait_Percentage]],Tb_ProjectKosten[#Headers],0),0),""),S189 &lt;=0,0),"")</f>
        <v/>
      </c>
      <c r="W189" s="314" t="str">
        <f t="shared" ca="1" si="12"/>
        <v/>
      </c>
      <c r="X189" s="376" t="str">
        <f>IFERROR(VLOOKUP(F189,Tb_ProjectKosten[#All],11,0),"")</f>
        <v/>
      </c>
      <c r="Y189" s="315"/>
    </row>
    <row r="190" spans="1:25" x14ac:dyDescent="0.25">
      <c r="A190" s="309">
        <f>MAX($A$5:A189)+1</f>
        <v>185</v>
      </c>
      <c r="B190" s="296"/>
      <c r="C190" s="296"/>
      <c r="D190" s="296"/>
      <c r="E190" s="296"/>
      <c r="F190" s="296"/>
      <c r="G190" s="327"/>
      <c r="H190" s="310" t="str">
        <f ca="1">IFERROR(IF(VLOOKUP(F190,Kostentypen!$A$3:$E$21,3,0)=0,"",IF(OR(F190="Arbeidskosten",F190="Vergoeding"),VLOOKUP(G190,Tb_KostenTypen[],2,0),VLOOKUP(F190,Kostentypen!$A$3:$E$20,3,0))),"")</f>
        <v/>
      </c>
      <c r="I190" s="311"/>
      <c r="J190" s="312" t="str" cm="1">
        <f t="array" ref="J190">_xlfn.IFNA(IF(INDEX(Tb_KostenOpties[],MATCH($F190,Tb_KostenOpties[KostenOptie],0),IFERROR(MATCH(Methode_Keuze,Tb_KostenOpties[#Headers],0),2))=1,_xlfn.SWITCH($H190,"Uurtarief",IF(OR(AND(RIGHT($F190,3)="IKS",VLOOKUP($I190,Loonkosten,2,0)="Ja"),AND(RIGHT($F190,3)&lt;&gt;"IKS",VLOOKUP($I190,Loonkosten,2,0)="Nee")), VLOOKUP($I190,Loonkosten,MATCH("Opgegeven uurtarief",'4. Rekenhulp loonkosten aanvr.'!$4:$4,0)),0),"Vast tarief",IF(LEFT(F190,8)="Bijdrage",VLOOKUP($F190,Tb_KostenTypen[],MATCH(Lijsten!$P$1,Tb_KostenTypen[#Headers],0),0),VLOOKUP($G190,Lijsten!L:P,MATCH(Lijsten!$P$1,Kop_Tarief_Vast,0),0))),""),"")</f>
        <v/>
      </c>
      <c r="K190" s="312" t="str" cm="1">
        <f t="array" ref="K190">_xlfn.IFNA(IF(INDEX(Tb_KostenOpties[],MATCH($F190,Tb_KostenOpties[KostenOptie],0),IFERROR(MATCH(Methode_Keuze,Tb_KostenOpties[#Headers],0),2))=1,_xlfn.SWITCH($H190,"Uurtarief",IF(OR(AND(RIGHT($F190,3)="IKS",VLOOKUP($I190,Loonkosten,2,0)="Ja"),AND(RIGHT($F190,3)&lt;&gt;"IKS",VLOOKUP($I190,Loonkosten,2,0)="Nee")), VLOOKUP($I190,Loonkosten,MATCH("Beoordeeld uurtarief",'4. Rekenhulp loonkosten aanvr.'!$4:$4,0),0),0),"Vast tarief",IF(LEFT(F190,8)="Bijdrage",VLOOKUP($F190,Tb_KostenTypen[],MATCH(Lijsten!$P$1,Tb_KostenTypen[#Headers],0),0),VLOOKUP($G190,Lijsten!L:P,MATCH(Lijsten!$P$1,Kop_Tarief_Vast,0),0))),""),"")</f>
        <v/>
      </c>
      <c r="L190" s="358"/>
      <c r="M190" s="358"/>
      <c r="N190" s="313"/>
      <c r="O190" s="313"/>
      <c r="P190" s="374" t="str">
        <f t="shared" si="9"/>
        <v/>
      </c>
      <c r="Q190" s="314" t="str">
        <f t="shared" si="10"/>
        <v/>
      </c>
      <c r="R190" s="314" t="str" cm="1">
        <f t="array" aca="1" ref="R190" ca="1">_xlfn.IFNA(_xlfn.IFS(X190="Dit kostentype hoeft u niet op te geven. Hiervoor wordt een forfait berekend.","",AND(J190&lt;&gt;"",H190="Vast tarief",F190="Vergoeding"),SUM(J190)*FLOOR(SUM(L190),0.0001),AND(J190&lt;&gt;"",OR(H190="Uurtarief",H190="Vast tarief")),SUM(J190)*FLOOR(SUM(L190),0.01),AND(N190&lt;&gt;"",H190="-"),FLOOR(SUM(N190),0.01)),"")</f>
        <v/>
      </c>
      <c r="S190" s="314" t="str" cm="1">
        <f t="array" aca="1" ref="S190" ca="1">_xlfn.IFNA(_xlfn.IFS(X190="Dit kostentype hoeft u niet op te geven. Hiervoor wordt een forfait berekend.","",AND(K190&lt;&gt;"",M190&lt;&gt;"",H190="Vast tarief",F190="Vergoeding"),SUM(K190)*FLOOR(SUM(M190),0.0001),AND(K190&lt;&gt;"",M190&lt;&gt;"",OR(H190="Uurtarief",H190="Vast tarief")),SUM(K190)*FLOOR(SUM(M190),0.01),AND(O190&lt;&gt;"",H190="-"),FLOOR(SUM(O190),0.01)),"")</f>
        <v/>
      </c>
      <c r="T190" s="314" t="str">
        <f t="shared" ca="1" si="11"/>
        <v/>
      </c>
      <c r="U190" s="314" t="str" cm="1">
        <f t="array" aca="1" ref="U190" ca="1">IFERROR(_xlfn.IFS(OR(F190="",LEFT(Methode_Keuze,4)="Geen",Methode_Keuze=""),"",AND(R190&lt;&gt;"",F190&lt;&gt;"Arbeidskosten"),R190*VLOOKUP(F190,Tb_ProjectKosten[],MATCH(Tb_ProjectKosten[[#Headers],[Forfait_Percentage]],Tb_ProjectKosten[#Headers],0),0),AND(F190="Arbeidskosten",G190&lt;&gt;""),IFERROR(R190*VLOOKUP(G190,Tb_KostenTypen[],3,0)*VLOOKUP(F190,Tb_ProjectKosten[],MATCH(Tb_ProjectKosten[[#Headers],[Forfait_Percentage]],Tb_ProjectKosten[#Headers],0),0),""),R190 &lt;=0,0),"")</f>
        <v/>
      </c>
      <c r="V190" s="314" t="str" cm="1">
        <f t="array" aca="1" ref="V190" ca="1">IFERROR(_xlfn.IFS(OR(F190="",LEFT(Methode_Keuze,4)="Geen",Methode_Keuze=""),"",AND(S190&lt;&gt;"",F190&lt;&gt;"Arbeidskosten"),S190*VLOOKUP(F190,Tb_ProjectKosten[],MATCH(Tb_ProjectKosten[[#Headers],[Forfait_Percentage]],Tb_ProjectKosten[#Headers],0),0),AND(F190="Arbeidskosten",G190&lt;&gt;""),IFERROR(S190*VLOOKUP(G190,Tb_KostenTypen[],3,0)*VLOOKUP(F190,Tb_ProjectKosten[],MATCH(Tb_ProjectKosten[[#Headers],[Forfait_Percentage]],Tb_ProjectKosten[#Headers],0),0),""),S190 &lt;=0,0),"")</f>
        <v/>
      </c>
      <c r="W190" s="314" t="str">
        <f t="shared" ca="1" si="12"/>
        <v/>
      </c>
      <c r="X190" s="376" t="str">
        <f>IFERROR(VLOOKUP(F190,Tb_ProjectKosten[#All],11,0),"")</f>
        <v/>
      </c>
      <c r="Y190" s="315"/>
    </row>
    <row r="191" spans="1:25" x14ac:dyDescent="0.25">
      <c r="A191" s="309">
        <f>MAX($A$5:A190)+1</f>
        <v>186</v>
      </c>
      <c r="B191" s="296"/>
      <c r="C191" s="296"/>
      <c r="D191" s="296"/>
      <c r="E191" s="296"/>
      <c r="F191" s="296"/>
      <c r="G191" s="327"/>
      <c r="H191" s="310" t="str">
        <f ca="1">IFERROR(IF(VLOOKUP(F191,Kostentypen!$A$3:$E$21,3,0)=0,"",IF(OR(F191="Arbeidskosten",F191="Vergoeding"),VLOOKUP(G191,Tb_KostenTypen[],2,0),VLOOKUP(F191,Kostentypen!$A$3:$E$20,3,0))),"")</f>
        <v/>
      </c>
      <c r="I191" s="311"/>
      <c r="J191" s="312" t="str" cm="1">
        <f t="array" ref="J191">_xlfn.IFNA(IF(INDEX(Tb_KostenOpties[],MATCH($F191,Tb_KostenOpties[KostenOptie],0),IFERROR(MATCH(Methode_Keuze,Tb_KostenOpties[#Headers],0),2))=1,_xlfn.SWITCH($H191,"Uurtarief",IF(OR(AND(RIGHT($F191,3)="IKS",VLOOKUP($I191,Loonkosten,2,0)="Ja"),AND(RIGHT($F191,3)&lt;&gt;"IKS",VLOOKUP($I191,Loonkosten,2,0)="Nee")), VLOOKUP($I191,Loonkosten,MATCH("Opgegeven uurtarief",'4. Rekenhulp loonkosten aanvr.'!$4:$4,0)),0),"Vast tarief",IF(LEFT(F191,8)="Bijdrage",VLOOKUP($F191,Tb_KostenTypen[],MATCH(Lijsten!$P$1,Tb_KostenTypen[#Headers],0),0),VLOOKUP($G191,Lijsten!L:P,MATCH(Lijsten!$P$1,Kop_Tarief_Vast,0),0))),""),"")</f>
        <v/>
      </c>
      <c r="K191" s="312" t="str" cm="1">
        <f t="array" ref="K191">_xlfn.IFNA(IF(INDEX(Tb_KostenOpties[],MATCH($F191,Tb_KostenOpties[KostenOptie],0),IFERROR(MATCH(Methode_Keuze,Tb_KostenOpties[#Headers],0),2))=1,_xlfn.SWITCH($H191,"Uurtarief",IF(OR(AND(RIGHT($F191,3)="IKS",VLOOKUP($I191,Loonkosten,2,0)="Ja"),AND(RIGHT($F191,3)&lt;&gt;"IKS",VLOOKUP($I191,Loonkosten,2,0)="Nee")), VLOOKUP($I191,Loonkosten,MATCH("Beoordeeld uurtarief",'4. Rekenhulp loonkosten aanvr.'!$4:$4,0),0),0),"Vast tarief",IF(LEFT(F191,8)="Bijdrage",VLOOKUP($F191,Tb_KostenTypen[],MATCH(Lijsten!$P$1,Tb_KostenTypen[#Headers],0),0),VLOOKUP($G191,Lijsten!L:P,MATCH(Lijsten!$P$1,Kop_Tarief_Vast,0),0))),""),"")</f>
        <v/>
      </c>
      <c r="L191" s="358"/>
      <c r="M191" s="358"/>
      <c r="N191" s="313"/>
      <c r="O191" s="313"/>
      <c r="P191" s="374" t="str">
        <f t="shared" si="9"/>
        <v/>
      </c>
      <c r="Q191" s="314" t="str">
        <f t="shared" si="10"/>
        <v/>
      </c>
      <c r="R191" s="314" t="str" cm="1">
        <f t="array" aca="1" ref="R191" ca="1">_xlfn.IFNA(_xlfn.IFS(X191="Dit kostentype hoeft u niet op te geven. Hiervoor wordt een forfait berekend.","",AND(J191&lt;&gt;"",H191="Vast tarief",F191="Vergoeding"),SUM(J191)*FLOOR(SUM(L191),0.0001),AND(J191&lt;&gt;"",OR(H191="Uurtarief",H191="Vast tarief")),SUM(J191)*FLOOR(SUM(L191),0.01),AND(N191&lt;&gt;"",H191="-"),FLOOR(SUM(N191),0.01)),"")</f>
        <v/>
      </c>
      <c r="S191" s="314" t="str" cm="1">
        <f t="array" aca="1" ref="S191" ca="1">_xlfn.IFNA(_xlfn.IFS(X191="Dit kostentype hoeft u niet op te geven. Hiervoor wordt een forfait berekend.","",AND(K191&lt;&gt;"",M191&lt;&gt;"",H191="Vast tarief",F191="Vergoeding"),SUM(K191)*FLOOR(SUM(M191),0.0001),AND(K191&lt;&gt;"",M191&lt;&gt;"",OR(H191="Uurtarief",H191="Vast tarief")),SUM(K191)*FLOOR(SUM(M191),0.01),AND(O191&lt;&gt;"",H191="-"),FLOOR(SUM(O191),0.01)),"")</f>
        <v/>
      </c>
      <c r="T191" s="314" t="str">
        <f t="shared" ca="1" si="11"/>
        <v/>
      </c>
      <c r="U191" s="314" t="str" cm="1">
        <f t="array" aca="1" ref="U191" ca="1">IFERROR(_xlfn.IFS(OR(F191="",LEFT(Methode_Keuze,4)="Geen",Methode_Keuze=""),"",AND(R191&lt;&gt;"",F191&lt;&gt;"Arbeidskosten"),R191*VLOOKUP(F191,Tb_ProjectKosten[],MATCH(Tb_ProjectKosten[[#Headers],[Forfait_Percentage]],Tb_ProjectKosten[#Headers],0),0),AND(F191="Arbeidskosten",G191&lt;&gt;""),IFERROR(R191*VLOOKUP(G191,Tb_KostenTypen[],3,0)*VLOOKUP(F191,Tb_ProjectKosten[],MATCH(Tb_ProjectKosten[[#Headers],[Forfait_Percentage]],Tb_ProjectKosten[#Headers],0),0),""),R191 &lt;=0,0),"")</f>
        <v/>
      </c>
      <c r="V191" s="314" t="str" cm="1">
        <f t="array" aca="1" ref="V191" ca="1">IFERROR(_xlfn.IFS(OR(F191="",LEFT(Methode_Keuze,4)="Geen",Methode_Keuze=""),"",AND(S191&lt;&gt;"",F191&lt;&gt;"Arbeidskosten"),S191*VLOOKUP(F191,Tb_ProjectKosten[],MATCH(Tb_ProjectKosten[[#Headers],[Forfait_Percentage]],Tb_ProjectKosten[#Headers],0),0),AND(F191="Arbeidskosten",G191&lt;&gt;""),IFERROR(S191*VLOOKUP(G191,Tb_KostenTypen[],3,0)*VLOOKUP(F191,Tb_ProjectKosten[],MATCH(Tb_ProjectKosten[[#Headers],[Forfait_Percentage]],Tb_ProjectKosten[#Headers],0),0),""),S191 &lt;=0,0),"")</f>
        <v/>
      </c>
      <c r="W191" s="314" t="str">
        <f t="shared" ca="1" si="12"/>
        <v/>
      </c>
      <c r="X191" s="376" t="str">
        <f>IFERROR(VLOOKUP(F191,Tb_ProjectKosten[#All],11,0),"")</f>
        <v/>
      </c>
      <c r="Y191" s="315"/>
    </row>
    <row r="192" spans="1:25" x14ac:dyDescent="0.25">
      <c r="A192" s="309">
        <f>MAX($A$5:A191)+1</f>
        <v>187</v>
      </c>
      <c r="B192" s="296"/>
      <c r="C192" s="296"/>
      <c r="D192" s="296"/>
      <c r="E192" s="296"/>
      <c r="F192" s="296"/>
      <c r="G192" s="327"/>
      <c r="H192" s="310" t="str">
        <f ca="1">IFERROR(IF(VLOOKUP(F192,Kostentypen!$A$3:$E$21,3,0)=0,"",IF(OR(F192="Arbeidskosten",F192="Vergoeding"),VLOOKUP(G192,Tb_KostenTypen[],2,0),VLOOKUP(F192,Kostentypen!$A$3:$E$20,3,0))),"")</f>
        <v/>
      </c>
      <c r="I192" s="311"/>
      <c r="J192" s="312" t="str" cm="1">
        <f t="array" ref="J192">_xlfn.IFNA(IF(INDEX(Tb_KostenOpties[],MATCH($F192,Tb_KostenOpties[KostenOptie],0),IFERROR(MATCH(Methode_Keuze,Tb_KostenOpties[#Headers],0),2))=1,_xlfn.SWITCH($H192,"Uurtarief",IF(OR(AND(RIGHT($F192,3)="IKS",VLOOKUP($I192,Loonkosten,2,0)="Ja"),AND(RIGHT($F192,3)&lt;&gt;"IKS",VLOOKUP($I192,Loonkosten,2,0)="Nee")), VLOOKUP($I192,Loonkosten,MATCH("Opgegeven uurtarief",'4. Rekenhulp loonkosten aanvr.'!$4:$4,0)),0),"Vast tarief",IF(LEFT(F192,8)="Bijdrage",VLOOKUP($F192,Tb_KostenTypen[],MATCH(Lijsten!$P$1,Tb_KostenTypen[#Headers],0),0),VLOOKUP($G192,Lijsten!L:P,MATCH(Lijsten!$P$1,Kop_Tarief_Vast,0),0))),""),"")</f>
        <v/>
      </c>
      <c r="K192" s="312" t="str" cm="1">
        <f t="array" ref="K192">_xlfn.IFNA(IF(INDEX(Tb_KostenOpties[],MATCH($F192,Tb_KostenOpties[KostenOptie],0),IFERROR(MATCH(Methode_Keuze,Tb_KostenOpties[#Headers],0),2))=1,_xlfn.SWITCH($H192,"Uurtarief",IF(OR(AND(RIGHT($F192,3)="IKS",VLOOKUP($I192,Loonkosten,2,0)="Ja"),AND(RIGHT($F192,3)&lt;&gt;"IKS",VLOOKUP($I192,Loonkosten,2,0)="Nee")), VLOOKUP($I192,Loonkosten,MATCH("Beoordeeld uurtarief",'4. Rekenhulp loonkosten aanvr.'!$4:$4,0),0),0),"Vast tarief",IF(LEFT(F192,8)="Bijdrage",VLOOKUP($F192,Tb_KostenTypen[],MATCH(Lijsten!$P$1,Tb_KostenTypen[#Headers],0),0),VLOOKUP($G192,Lijsten!L:P,MATCH(Lijsten!$P$1,Kop_Tarief_Vast,0),0))),""),"")</f>
        <v/>
      </c>
      <c r="L192" s="358"/>
      <c r="M192" s="358"/>
      <c r="N192" s="313"/>
      <c r="O192" s="313"/>
      <c r="P192" s="374" t="str">
        <f t="shared" si="9"/>
        <v/>
      </c>
      <c r="Q192" s="314" t="str">
        <f t="shared" si="10"/>
        <v/>
      </c>
      <c r="R192" s="314" t="str" cm="1">
        <f t="array" aca="1" ref="R192" ca="1">_xlfn.IFNA(_xlfn.IFS(X192="Dit kostentype hoeft u niet op te geven. Hiervoor wordt een forfait berekend.","",AND(J192&lt;&gt;"",H192="Vast tarief",F192="Vergoeding"),SUM(J192)*FLOOR(SUM(L192),0.0001),AND(J192&lt;&gt;"",OR(H192="Uurtarief",H192="Vast tarief")),SUM(J192)*FLOOR(SUM(L192),0.01),AND(N192&lt;&gt;"",H192="-"),FLOOR(SUM(N192),0.01)),"")</f>
        <v/>
      </c>
      <c r="S192" s="314" t="str" cm="1">
        <f t="array" aca="1" ref="S192" ca="1">_xlfn.IFNA(_xlfn.IFS(X192="Dit kostentype hoeft u niet op te geven. Hiervoor wordt een forfait berekend.","",AND(K192&lt;&gt;"",M192&lt;&gt;"",H192="Vast tarief",F192="Vergoeding"),SUM(K192)*FLOOR(SUM(M192),0.0001),AND(K192&lt;&gt;"",M192&lt;&gt;"",OR(H192="Uurtarief",H192="Vast tarief")),SUM(K192)*FLOOR(SUM(M192),0.01),AND(O192&lt;&gt;"",H192="-"),FLOOR(SUM(O192),0.01)),"")</f>
        <v/>
      </c>
      <c r="T192" s="314" t="str">
        <f t="shared" ca="1" si="11"/>
        <v/>
      </c>
      <c r="U192" s="314" t="str" cm="1">
        <f t="array" aca="1" ref="U192" ca="1">IFERROR(_xlfn.IFS(OR(F192="",LEFT(Methode_Keuze,4)="Geen",Methode_Keuze=""),"",AND(R192&lt;&gt;"",F192&lt;&gt;"Arbeidskosten"),R192*VLOOKUP(F192,Tb_ProjectKosten[],MATCH(Tb_ProjectKosten[[#Headers],[Forfait_Percentage]],Tb_ProjectKosten[#Headers],0),0),AND(F192="Arbeidskosten",G192&lt;&gt;""),IFERROR(R192*VLOOKUP(G192,Tb_KostenTypen[],3,0)*VLOOKUP(F192,Tb_ProjectKosten[],MATCH(Tb_ProjectKosten[[#Headers],[Forfait_Percentage]],Tb_ProjectKosten[#Headers],0),0),""),R192 &lt;=0,0),"")</f>
        <v/>
      </c>
      <c r="V192" s="314" t="str" cm="1">
        <f t="array" aca="1" ref="V192" ca="1">IFERROR(_xlfn.IFS(OR(F192="",LEFT(Methode_Keuze,4)="Geen",Methode_Keuze=""),"",AND(S192&lt;&gt;"",F192&lt;&gt;"Arbeidskosten"),S192*VLOOKUP(F192,Tb_ProjectKosten[],MATCH(Tb_ProjectKosten[[#Headers],[Forfait_Percentage]],Tb_ProjectKosten[#Headers],0),0),AND(F192="Arbeidskosten",G192&lt;&gt;""),IFERROR(S192*VLOOKUP(G192,Tb_KostenTypen[],3,0)*VLOOKUP(F192,Tb_ProjectKosten[],MATCH(Tb_ProjectKosten[[#Headers],[Forfait_Percentage]],Tb_ProjectKosten[#Headers],0),0),""),S192 &lt;=0,0),"")</f>
        <v/>
      </c>
      <c r="W192" s="314" t="str">
        <f t="shared" ca="1" si="12"/>
        <v/>
      </c>
      <c r="X192" s="376" t="str">
        <f>IFERROR(VLOOKUP(F192,Tb_ProjectKosten[#All],11,0),"")</f>
        <v/>
      </c>
      <c r="Y192" s="315"/>
    </row>
    <row r="193" spans="1:25" x14ac:dyDescent="0.25">
      <c r="A193" s="309">
        <f>MAX($A$5:A192)+1</f>
        <v>188</v>
      </c>
      <c r="B193" s="296"/>
      <c r="C193" s="296"/>
      <c r="D193" s="296"/>
      <c r="E193" s="296"/>
      <c r="F193" s="296"/>
      <c r="G193" s="327"/>
      <c r="H193" s="310" t="str">
        <f ca="1">IFERROR(IF(VLOOKUP(F193,Kostentypen!$A$3:$E$21,3,0)=0,"",IF(OR(F193="Arbeidskosten",F193="Vergoeding"),VLOOKUP(G193,Tb_KostenTypen[],2,0),VLOOKUP(F193,Kostentypen!$A$3:$E$20,3,0))),"")</f>
        <v/>
      </c>
      <c r="I193" s="311"/>
      <c r="J193" s="312" t="str" cm="1">
        <f t="array" ref="J193">_xlfn.IFNA(IF(INDEX(Tb_KostenOpties[],MATCH($F193,Tb_KostenOpties[KostenOptie],0),IFERROR(MATCH(Methode_Keuze,Tb_KostenOpties[#Headers],0),2))=1,_xlfn.SWITCH($H193,"Uurtarief",IF(OR(AND(RIGHT($F193,3)="IKS",VLOOKUP($I193,Loonkosten,2,0)="Ja"),AND(RIGHT($F193,3)&lt;&gt;"IKS",VLOOKUP($I193,Loonkosten,2,0)="Nee")), VLOOKUP($I193,Loonkosten,MATCH("Opgegeven uurtarief",'4. Rekenhulp loonkosten aanvr.'!$4:$4,0)),0),"Vast tarief",IF(LEFT(F193,8)="Bijdrage",VLOOKUP($F193,Tb_KostenTypen[],MATCH(Lijsten!$P$1,Tb_KostenTypen[#Headers],0),0),VLOOKUP($G193,Lijsten!L:P,MATCH(Lijsten!$P$1,Kop_Tarief_Vast,0),0))),""),"")</f>
        <v/>
      </c>
      <c r="K193" s="312" t="str" cm="1">
        <f t="array" ref="K193">_xlfn.IFNA(IF(INDEX(Tb_KostenOpties[],MATCH($F193,Tb_KostenOpties[KostenOptie],0),IFERROR(MATCH(Methode_Keuze,Tb_KostenOpties[#Headers],0),2))=1,_xlfn.SWITCH($H193,"Uurtarief",IF(OR(AND(RIGHT($F193,3)="IKS",VLOOKUP($I193,Loonkosten,2,0)="Ja"),AND(RIGHT($F193,3)&lt;&gt;"IKS",VLOOKUP($I193,Loonkosten,2,0)="Nee")), VLOOKUP($I193,Loonkosten,MATCH("Beoordeeld uurtarief",'4. Rekenhulp loonkosten aanvr.'!$4:$4,0),0),0),"Vast tarief",IF(LEFT(F193,8)="Bijdrage",VLOOKUP($F193,Tb_KostenTypen[],MATCH(Lijsten!$P$1,Tb_KostenTypen[#Headers],0),0),VLOOKUP($G193,Lijsten!L:P,MATCH(Lijsten!$P$1,Kop_Tarief_Vast,0),0))),""),"")</f>
        <v/>
      </c>
      <c r="L193" s="358"/>
      <c r="M193" s="358"/>
      <c r="N193" s="313"/>
      <c r="O193" s="313"/>
      <c r="P193" s="374" t="str">
        <f t="shared" si="9"/>
        <v/>
      </c>
      <c r="Q193" s="314" t="str">
        <f t="shared" si="10"/>
        <v/>
      </c>
      <c r="R193" s="314" t="str" cm="1">
        <f t="array" aca="1" ref="R193" ca="1">_xlfn.IFNA(_xlfn.IFS(X193="Dit kostentype hoeft u niet op te geven. Hiervoor wordt een forfait berekend.","",AND(J193&lt;&gt;"",H193="Vast tarief",F193="Vergoeding"),SUM(J193)*FLOOR(SUM(L193),0.0001),AND(J193&lt;&gt;"",OR(H193="Uurtarief",H193="Vast tarief")),SUM(J193)*FLOOR(SUM(L193),0.01),AND(N193&lt;&gt;"",H193="-"),FLOOR(SUM(N193),0.01)),"")</f>
        <v/>
      </c>
      <c r="S193" s="314" t="str" cm="1">
        <f t="array" aca="1" ref="S193" ca="1">_xlfn.IFNA(_xlfn.IFS(X193="Dit kostentype hoeft u niet op te geven. Hiervoor wordt een forfait berekend.","",AND(K193&lt;&gt;"",M193&lt;&gt;"",H193="Vast tarief",F193="Vergoeding"),SUM(K193)*FLOOR(SUM(M193),0.0001),AND(K193&lt;&gt;"",M193&lt;&gt;"",OR(H193="Uurtarief",H193="Vast tarief")),SUM(K193)*FLOOR(SUM(M193),0.01),AND(O193&lt;&gt;"",H193="-"),FLOOR(SUM(O193),0.01)),"")</f>
        <v/>
      </c>
      <c r="T193" s="314" t="str">
        <f t="shared" ca="1" si="11"/>
        <v/>
      </c>
      <c r="U193" s="314" t="str" cm="1">
        <f t="array" aca="1" ref="U193" ca="1">IFERROR(_xlfn.IFS(OR(F193="",LEFT(Methode_Keuze,4)="Geen",Methode_Keuze=""),"",AND(R193&lt;&gt;"",F193&lt;&gt;"Arbeidskosten"),R193*VLOOKUP(F193,Tb_ProjectKosten[],MATCH(Tb_ProjectKosten[[#Headers],[Forfait_Percentage]],Tb_ProjectKosten[#Headers],0),0),AND(F193="Arbeidskosten",G193&lt;&gt;""),IFERROR(R193*VLOOKUP(G193,Tb_KostenTypen[],3,0)*VLOOKUP(F193,Tb_ProjectKosten[],MATCH(Tb_ProjectKosten[[#Headers],[Forfait_Percentage]],Tb_ProjectKosten[#Headers],0),0),""),R193 &lt;=0,0),"")</f>
        <v/>
      </c>
      <c r="V193" s="314" t="str" cm="1">
        <f t="array" aca="1" ref="V193" ca="1">IFERROR(_xlfn.IFS(OR(F193="",LEFT(Methode_Keuze,4)="Geen",Methode_Keuze=""),"",AND(S193&lt;&gt;"",F193&lt;&gt;"Arbeidskosten"),S193*VLOOKUP(F193,Tb_ProjectKosten[],MATCH(Tb_ProjectKosten[[#Headers],[Forfait_Percentage]],Tb_ProjectKosten[#Headers],0),0),AND(F193="Arbeidskosten",G193&lt;&gt;""),IFERROR(S193*VLOOKUP(G193,Tb_KostenTypen[],3,0)*VLOOKUP(F193,Tb_ProjectKosten[],MATCH(Tb_ProjectKosten[[#Headers],[Forfait_Percentage]],Tb_ProjectKosten[#Headers],0),0),""),S193 &lt;=0,0),"")</f>
        <v/>
      </c>
      <c r="W193" s="314" t="str">
        <f t="shared" ca="1" si="12"/>
        <v/>
      </c>
      <c r="X193" s="376" t="str">
        <f>IFERROR(VLOOKUP(F193,Tb_ProjectKosten[#All],11,0),"")</f>
        <v/>
      </c>
      <c r="Y193" s="315"/>
    </row>
    <row r="194" spans="1:25" x14ac:dyDescent="0.25">
      <c r="A194" s="309">
        <f>MAX($A$5:A193)+1</f>
        <v>189</v>
      </c>
      <c r="B194" s="296"/>
      <c r="C194" s="296"/>
      <c r="D194" s="296"/>
      <c r="E194" s="296"/>
      <c r="F194" s="296"/>
      <c r="G194" s="327"/>
      <c r="H194" s="310" t="str">
        <f ca="1">IFERROR(IF(VLOOKUP(F194,Kostentypen!$A$3:$E$21,3,0)=0,"",IF(OR(F194="Arbeidskosten",F194="Vergoeding"),VLOOKUP(G194,Tb_KostenTypen[],2,0),VLOOKUP(F194,Kostentypen!$A$3:$E$20,3,0))),"")</f>
        <v/>
      </c>
      <c r="I194" s="311"/>
      <c r="J194" s="312" t="str" cm="1">
        <f t="array" ref="J194">_xlfn.IFNA(IF(INDEX(Tb_KostenOpties[],MATCH($F194,Tb_KostenOpties[KostenOptie],0),IFERROR(MATCH(Methode_Keuze,Tb_KostenOpties[#Headers],0),2))=1,_xlfn.SWITCH($H194,"Uurtarief",IF(OR(AND(RIGHT($F194,3)="IKS",VLOOKUP($I194,Loonkosten,2,0)="Ja"),AND(RIGHT($F194,3)&lt;&gt;"IKS",VLOOKUP($I194,Loonkosten,2,0)="Nee")), VLOOKUP($I194,Loonkosten,MATCH("Opgegeven uurtarief",'4. Rekenhulp loonkosten aanvr.'!$4:$4,0)),0),"Vast tarief",IF(LEFT(F194,8)="Bijdrage",VLOOKUP($F194,Tb_KostenTypen[],MATCH(Lijsten!$P$1,Tb_KostenTypen[#Headers],0),0),VLOOKUP($G194,Lijsten!L:P,MATCH(Lijsten!$P$1,Kop_Tarief_Vast,0),0))),""),"")</f>
        <v/>
      </c>
      <c r="K194" s="312" t="str" cm="1">
        <f t="array" ref="K194">_xlfn.IFNA(IF(INDEX(Tb_KostenOpties[],MATCH($F194,Tb_KostenOpties[KostenOptie],0),IFERROR(MATCH(Methode_Keuze,Tb_KostenOpties[#Headers],0),2))=1,_xlfn.SWITCH($H194,"Uurtarief",IF(OR(AND(RIGHT($F194,3)="IKS",VLOOKUP($I194,Loonkosten,2,0)="Ja"),AND(RIGHT($F194,3)&lt;&gt;"IKS",VLOOKUP($I194,Loonkosten,2,0)="Nee")), VLOOKUP($I194,Loonkosten,MATCH("Beoordeeld uurtarief",'4. Rekenhulp loonkosten aanvr.'!$4:$4,0),0),0),"Vast tarief",IF(LEFT(F194,8)="Bijdrage",VLOOKUP($F194,Tb_KostenTypen[],MATCH(Lijsten!$P$1,Tb_KostenTypen[#Headers],0),0),VLOOKUP($G194,Lijsten!L:P,MATCH(Lijsten!$P$1,Kop_Tarief_Vast,0),0))),""),"")</f>
        <v/>
      </c>
      <c r="L194" s="358"/>
      <c r="M194" s="358"/>
      <c r="N194" s="313"/>
      <c r="O194" s="313"/>
      <c r="P194" s="374" t="str">
        <f t="shared" si="9"/>
        <v/>
      </c>
      <c r="Q194" s="314" t="str">
        <f t="shared" si="10"/>
        <v/>
      </c>
      <c r="R194" s="314" t="str" cm="1">
        <f t="array" aca="1" ref="R194" ca="1">_xlfn.IFNA(_xlfn.IFS(X194="Dit kostentype hoeft u niet op te geven. Hiervoor wordt een forfait berekend.","",AND(J194&lt;&gt;"",H194="Vast tarief",F194="Vergoeding"),SUM(J194)*FLOOR(SUM(L194),0.0001),AND(J194&lt;&gt;"",OR(H194="Uurtarief",H194="Vast tarief")),SUM(J194)*FLOOR(SUM(L194),0.01),AND(N194&lt;&gt;"",H194="-"),FLOOR(SUM(N194),0.01)),"")</f>
        <v/>
      </c>
      <c r="S194" s="314" t="str" cm="1">
        <f t="array" aca="1" ref="S194" ca="1">_xlfn.IFNA(_xlfn.IFS(X194="Dit kostentype hoeft u niet op te geven. Hiervoor wordt een forfait berekend.","",AND(K194&lt;&gt;"",M194&lt;&gt;"",H194="Vast tarief",F194="Vergoeding"),SUM(K194)*FLOOR(SUM(M194),0.0001),AND(K194&lt;&gt;"",M194&lt;&gt;"",OR(H194="Uurtarief",H194="Vast tarief")),SUM(K194)*FLOOR(SUM(M194),0.01),AND(O194&lt;&gt;"",H194="-"),FLOOR(SUM(O194),0.01)),"")</f>
        <v/>
      </c>
      <c r="T194" s="314" t="str">
        <f t="shared" ca="1" si="11"/>
        <v/>
      </c>
      <c r="U194" s="314" t="str" cm="1">
        <f t="array" aca="1" ref="U194" ca="1">IFERROR(_xlfn.IFS(OR(F194="",LEFT(Methode_Keuze,4)="Geen",Methode_Keuze=""),"",AND(R194&lt;&gt;"",F194&lt;&gt;"Arbeidskosten"),R194*VLOOKUP(F194,Tb_ProjectKosten[],MATCH(Tb_ProjectKosten[[#Headers],[Forfait_Percentage]],Tb_ProjectKosten[#Headers],0),0),AND(F194="Arbeidskosten",G194&lt;&gt;""),IFERROR(R194*VLOOKUP(G194,Tb_KostenTypen[],3,0)*VLOOKUP(F194,Tb_ProjectKosten[],MATCH(Tb_ProjectKosten[[#Headers],[Forfait_Percentage]],Tb_ProjectKosten[#Headers],0),0),""),R194 &lt;=0,0),"")</f>
        <v/>
      </c>
      <c r="V194" s="314" t="str" cm="1">
        <f t="array" aca="1" ref="V194" ca="1">IFERROR(_xlfn.IFS(OR(F194="",LEFT(Methode_Keuze,4)="Geen",Methode_Keuze=""),"",AND(S194&lt;&gt;"",F194&lt;&gt;"Arbeidskosten"),S194*VLOOKUP(F194,Tb_ProjectKosten[],MATCH(Tb_ProjectKosten[[#Headers],[Forfait_Percentage]],Tb_ProjectKosten[#Headers],0),0),AND(F194="Arbeidskosten",G194&lt;&gt;""),IFERROR(S194*VLOOKUP(G194,Tb_KostenTypen[],3,0)*VLOOKUP(F194,Tb_ProjectKosten[],MATCH(Tb_ProjectKosten[[#Headers],[Forfait_Percentage]],Tb_ProjectKosten[#Headers],0),0),""),S194 &lt;=0,0),"")</f>
        <v/>
      </c>
      <c r="W194" s="314" t="str">
        <f t="shared" ca="1" si="12"/>
        <v/>
      </c>
      <c r="X194" s="376" t="str">
        <f>IFERROR(VLOOKUP(F194,Tb_ProjectKosten[#All],11,0),"")</f>
        <v/>
      </c>
      <c r="Y194" s="315"/>
    </row>
    <row r="195" spans="1:25" x14ac:dyDescent="0.25">
      <c r="A195" s="309">
        <f>MAX($A$5:A194)+1</f>
        <v>190</v>
      </c>
      <c r="B195" s="296"/>
      <c r="C195" s="296"/>
      <c r="D195" s="296"/>
      <c r="E195" s="296"/>
      <c r="F195" s="296"/>
      <c r="G195" s="327"/>
      <c r="H195" s="310" t="str">
        <f ca="1">IFERROR(IF(VLOOKUP(F195,Kostentypen!$A$3:$E$21,3,0)=0,"",IF(OR(F195="Arbeidskosten",F195="Vergoeding"),VLOOKUP(G195,Tb_KostenTypen[],2,0),VLOOKUP(F195,Kostentypen!$A$3:$E$20,3,0))),"")</f>
        <v/>
      </c>
      <c r="I195" s="311"/>
      <c r="J195" s="312" t="str" cm="1">
        <f t="array" ref="J195">_xlfn.IFNA(IF(INDEX(Tb_KostenOpties[],MATCH($F195,Tb_KostenOpties[KostenOptie],0),IFERROR(MATCH(Methode_Keuze,Tb_KostenOpties[#Headers],0),2))=1,_xlfn.SWITCH($H195,"Uurtarief",IF(OR(AND(RIGHT($F195,3)="IKS",VLOOKUP($I195,Loonkosten,2,0)="Ja"),AND(RIGHT($F195,3)&lt;&gt;"IKS",VLOOKUP($I195,Loonkosten,2,0)="Nee")), VLOOKUP($I195,Loonkosten,MATCH("Opgegeven uurtarief",'4. Rekenhulp loonkosten aanvr.'!$4:$4,0)),0),"Vast tarief",IF(LEFT(F195,8)="Bijdrage",VLOOKUP($F195,Tb_KostenTypen[],MATCH(Lijsten!$P$1,Tb_KostenTypen[#Headers],0),0),VLOOKUP($G195,Lijsten!L:P,MATCH(Lijsten!$P$1,Kop_Tarief_Vast,0),0))),""),"")</f>
        <v/>
      </c>
      <c r="K195" s="312" t="str" cm="1">
        <f t="array" ref="K195">_xlfn.IFNA(IF(INDEX(Tb_KostenOpties[],MATCH($F195,Tb_KostenOpties[KostenOptie],0),IFERROR(MATCH(Methode_Keuze,Tb_KostenOpties[#Headers],0),2))=1,_xlfn.SWITCH($H195,"Uurtarief",IF(OR(AND(RIGHT($F195,3)="IKS",VLOOKUP($I195,Loonkosten,2,0)="Ja"),AND(RIGHT($F195,3)&lt;&gt;"IKS",VLOOKUP($I195,Loonkosten,2,0)="Nee")), VLOOKUP($I195,Loonkosten,MATCH("Beoordeeld uurtarief",'4. Rekenhulp loonkosten aanvr.'!$4:$4,0),0),0),"Vast tarief",IF(LEFT(F195,8)="Bijdrage",VLOOKUP($F195,Tb_KostenTypen[],MATCH(Lijsten!$P$1,Tb_KostenTypen[#Headers],0),0),VLOOKUP($G195,Lijsten!L:P,MATCH(Lijsten!$P$1,Kop_Tarief_Vast,0),0))),""),"")</f>
        <v/>
      </c>
      <c r="L195" s="358"/>
      <c r="M195" s="358"/>
      <c r="N195" s="313"/>
      <c r="O195" s="313"/>
      <c r="P195" s="374" t="str">
        <f t="shared" si="9"/>
        <v/>
      </c>
      <c r="Q195" s="314" t="str">
        <f t="shared" si="10"/>
        <v/>
      </c>
      <c r="R195" s="314" t="str" cm="1">
        <f t="array" aca="1" ref="R195" ca="1">_xlfn.IFNA(_xlfn.IFS(X195="Dit kostentype hoeft u niet op te geven. Hiervoor wordt een forfait berekend.","",AND(J195&lt;&gt;"",H195="Vast tarief",F195="Vergoeding"),SUM(J195)*FLOOR(SUM(L195),0.0001),AND(J195&lt;&gt;"",OR(H195="Uurtarief",H195="Vast tarief")),SUM(J195)*FLOOR(SUM(L195),0.01),AND(N195&lt;&gt;"",H195="-"),FLOOR(SUM(N195),0.01)),"")</f>
        <v/>
      </c>
      <c r="S195" s="314" t="str" cm="1">
        <f t="array" aca="1" ref="S195" ca="1">_xlfn.IFNA(_xlfn.IFS(X195="Dit kostentype hoeft u niet op te geven. Hiervoor wordt een forfait berekend.","",AND(K195&lt;&gt;"",M195&lt;&gt;"",H195="Vast tarief",F195="Vergoeding"),SUM(K195)*FLOOR(SUM(M195),0.0001),AND(K195&lt;&gt;"",M195&lt;&gt;"",OR(H195="Uurtarief",H195="Vast tarief")),SUM(K195)*FLOOR(SUM(M195),0.01),AND(O195&lt;&gt;"",H195="-"),FLOOR(SUM(O195),0.01)),"")</f>
        <v/>
      </c>
      <c r="T195" s="314" t="str">
        <f t="shared" ca="1" si="11"/>
        <v/>
      </c>
      <c r="U195" s="314" t="str" cm="1">
        <f t="array" aca="1" ref="U195" ca="1">IFERROR(_xlfn.IFS(OR(F195="",LEFT(Methode_Keuze,4)="Geen",Methode_Keuze=""),"",AND(R195&lt;&gt;"",F195&lt;&gt;"Arbeidskosten"),R195*VLOOKUP(F195,Tb_ProjectKosten[],MATCH(Tb_ProjectKosten[[#Headers],[Forfait_Percentage]],Tb_ProjectKosten[#Headers],0),0),AND(F195="Arbeidskosten",G195&lt;&gt;""),IFERROR(R195*VLOOKUP(G195,Tb_KostenTypen[],3,0)*VLOOKUP(F195,Tb_ProjectKosten[],MATCH(Tb_ProjectKosten[[#Headers],[Forfait_Percentage]],Tb_ProjectKosten[#Headers],0),0),""),R195 &lt;=0,0),"")</f>
        <v/>
      </c>
      <c r="V195" s="314" t="str" cm="1">
        <f t="array" aca="1" ref="V195" ca="1">IFERROR(_xlfn.IFS(OR(F195="",LEFT(Methode_Keuze,4)="Geen",Methode_Keuze=""),"",AND(S195&lt;&gt;"",F195&lt;&gt;"Arbeidskosten"),S195*VLOOKUP(F195,Tb_ProjectKosten[],MATCH(Tb_ProjectKosten[[#Headers],[Forfait_Percentage]],Tb_ProjectKosten[#Headers],0),0),AND(F195="Arbeidskosten",G195&lt;&gt;""),IFERROR(S195*VLOOKUP(G195,Tb_KostenTypen[],3,0)*VLOOKUP(F195,Tb_ProjectKosten[],MATCH(Tb_ProjectKosten[[#Headers],[Forfait_Percentage]],Tb_ProjectKosten[#Headers],0),0),""),S195 &lt;=0,0),"")</f>
        <v/>
      </c>
      <c r="W195" s="314" t="str">
        <f t="shared" ca="1" si="12"/>
        <v/>
      </c>
      <c r="X195" s="376" t="str">
        <f>IFERROR(VLOOKUP(F195,Tb_ProjectKosten[#All],11,0),"")</f>
        <v/>
      </c>
      <c r="Y195" s="315"/>
    </row>
    <row r="196" spans="1:25" x14ac:dyDescent="0.25">
      <c r="A196" s="309">
        <f>MAX($A$5:A195)+1</f>
        <v>191</v>
      </c>
      <c r="B196" s="296"/>
      <c r="C196" s="296"/>
      <c r="D196" s="296"/>
      <c r="E196" s="296"/>
      <c r="F196" s="296"/>
      <c r="G196" s="327"/>
      <c r="H196" s="310" t="str">
        <f ca="1">IFERROR(IF(VLOOKUP(F196,Kostentypen!$A$3:$E$21,3,0)=0,"",IF(OR(F196="Arbeidskosten",F196="Vergoeding"),VLOOKUP(G196,Tb_KostenTypen[],2,0),VLOOKUP(F196,Kostentypen!$A$3:$E$20,3,0))),"")</f>
        <v/>
      </c>
      <c r="I196" s="311"/>
      <c r="J196" s="312" t="str" cm="1">
        <f t="array" ref="J196">_xlfn.IFNA(IF(INDEX(Tb_KostenOpties[],MATCH($F196,Tb_KostenOpties[KostenOptie],0),IFERROR(MATCH(Methode_Keuze,Tb_KostenOpties[#Headers],0),2))=1,_xlfn.SWITCH($H196,"Uurtarief",IF(OR(AND(RIGHT($F196,3)="IKS",VLOOKUP($I196,Loonkosten,2,0)="Ja"),AND(RIGHT($F196,3)&lt;&gt;"IKS",VLOOKUP($I196,Loonkosten,2,0)="Nee")), VLOOKUP($I196,Loonkosten,MATCH("Opgegeven uurtarief",'4. Rekenhulp loonkosten aanvr.'!$4:$4,0)),0),"Vast tarief",IF(LEFT(F196,8)="Bijdrage",VLOOKUP($F196,Tb_KostenTypen[],MATCH(Lijsten!$P$1,Tb_KostenTypen[#Headers],0),0),VLOOKUP($G196,Lijsten!L:P,MATCH(Lijsten!$P$1,Kop_Tarief_Vast,0),0))),""),"")</f>
        <v/>
      </c>
      <c r="K196" s="312" t="str" cm="1">
        <f t="array" ref="K196">_xlfn.IFNA(IF(INDEX(Tb_KostenOpties[],MATCH($F196,Tb_KostenOpties[KostenOptie],0),IFERROR(MATCH(Methode_Keuze,Tb_KostenOpties[#Headers],0),2))=1,_xlfn.SWITCH($H196,"Uurtarief",IF(OR(AND(RIGHT($F196,3)="IKS",VLOOKUP($I196,Loonkosten,2,0)="Ja"),AND(RIGHT($F196,3)&lt;&gt;"IKS",VLOOKUP($I196,Loonkosten,2,0)="Nee")), VLOOKUP($I196,Loonkosten,MATCH("Beoordeeld uurtarief",'4. Rekenhulp loonkosten aanvr.'!$4:$4,0),0),0),"Vast tarief",IF(LEFT(F196,8)="Bijdrage",VLOOKUP($F196,Tb_KostenTypen[],MATCH(Lijsten!$P$1,Tb_KostenTypen[#Headers],0),0),VLOOKUP($G196,Lijsten!L:P,MATCH(Lijsten!$P$1,Kop_Tarief_Vast,0),0))),""),"")</f>
        <v/>
      </c>
      <c r="L196" s="358"/>
      <c r="M196" s="358"/>
      <c r="N196" s="313"/>
      <c r="O196" s="313"/>
      <c r="P196" s="374" t="str">
        <f t="shared" si="9"/>
        <v/>
      </c>
      <c r="Q196" s="314" t="str">
        <f t="shared" si="10"/>
        <v/>
      </c>
      <c r="R196" s="314" t="str" cm="1">
        <f t="array" aca="1" ref="R196" ca="1">_xlfn.IFNA(_xlfn.IFS(X196="Dit kostentype hoeft u niet op te geven. Hiervoor wordt een forfait berekend.","",AND(J196&lt;&gt;"",H196="Vast tarief",F196="Vergoeding"),SUM(J196)*FLOOR(SUM(L196),0.0001),AND(J196&lt;&gt;"",OR(H196="Uurtarief",H196="Vast tarief")),SUM(J196)*FLOOR(SUM(L196),0.01),AND(N196&lt;&gt;"",H196="-"),FLOOR(SUM(N196),0.01)),"")</f>
        <v/>
      </c>
      <c r="S196" s="314" t="str" cm="1">
        <f t="array" aca="1" ref="S196" ca="1">_xlfn.IFNA(_xlfn.IFS(X196="Dit kostentype hoeft u niet op te geven. Hiervoor wordt een forfait berekend.","",AND(K196&lt;&gt;"",M196&lt;&gt;"",H196="Vast tarief",F196="Vergoeding"),SUM(K196)*FLOOR(SUM(M196),0.0001),AND(K196&lt;&gt;"",M196&lt;&gt;"",OR(H196="Uurtarief",H196="Vast tarief")),SUM(K196)*FLOOR(SUM(M196),0.01),AND(O196&lt;&gt;"",H196="-"),FLOOR(SUM(O196),0.01)),"")</f>
        <v/>
      </c>
      <c r="T196" s="314" t="str">
        <f t="shared" ca="1" si="11"/>
        <v/>
      </c>
      <c r="U196" s="314" t="str" cm="1">
        <f t="array" aca="1" ref="U196" ca="1">IFERROR(_xlfn.IFS(OR(F196="",LEFT(Methode_Keuze,4)="Geen",Methode_Keuze=""),"",AND(R196&lt;&gt;"",F196&lt;&gt;"Arbeidskosten"),R196*VLOOKUP(F196,Tb_ProjectKosten[],MATCH(Tb_ProjectKosten[[#Headers],[Forfait_Percentage]],Tb_ProjectKosten[#Headers],0),0),AND(F196="Arbeidskosten",G196&lt;&gt;""),IFERROR(R196*VLOOKUP(G196,Tb_KostenTypen[],3,0)*VLOOKUP(F196,Tb_ProjectKosten[],MATCH(Tb_ProjectKosten[[#Headers],[Forfait_Percentage]],Tb_ProjectKosten[#Headers],0),0),""),R196 &lt;=0,0),"")</f>
        <v/>
      </c>
      <c r="V196" s="314" t="str" cm="1">
        <f t="array" aca="1" ref="V196" ca="1">IFERROR(_xlfn.IFS(OR(F196="",LEFT(Methode_Keuze,4)="Geen",Methode_Keuze=""),"",AND(S196&lt;&gt;"",F196&lt;&gt;"Arbeidskosten"),S196*VLOOKUP(F196,Tb_ProjectKosten[],MATCH(Tb_ProjectKosten[[#Headers],[Forfait_Percentage]],Tb_ProjectKosten[#Headers],0),0),AND(F196="Arbeidskosten",G196&lt;&gt;""),IFERROR(S196*VLOOKUP(G196,Tb_KostenTypen[],3,0)*VLOOKUP(F196,Tb_ProjectKosten[],MATCH(Tb_ProjectKosten[[#Headers],[Forfait_Percentage]],Tb_ProjectKosten[#Headers],0),0),""),S196 &lt;=0,0),"")</f>
        <v/>
      </c>
      <c r="W196" s="314" t="str">
        <f t="shared" ca="1" si="12"/>
        <v/>
      </c>
      <c r="X196" s="376" t="str">
        <f>IFERROR(VLOOKUP(F196,Tb_ProjectKosten[#All],11,0),"")</f>
        <v/>
      </c>
      <c r="Y196" s="315"/>
    </row>
    <row r="197" spans="1:25" x14ac:dyDescent="0.25">
      <c r="A197" s="309">
        <f>MAX($A$5:A196)+1</f>
        <v>192</v>
      </c>
      <c r="B197" s="296"/>
      <c r="C197" s="296"/>
      <c r="D197" s="296"/>
      <c r="E197" s="296"/>
      <c r="F197" s="296"/>
      <c r="G197" s="327"/>
      <c r="H197" s="310" t="str">
        <f ca="1">IFERROR(IF(VLOOKUP(F197,Kostentypen!$A$3:$E$21,3,0)=0,"",IF(OR(F197="Arbeidskosten",F197="Vergoeding"),VLOOKUP(G197,Tb_KostenTypen[],2,0),VLOOKUP(F197,Kostentypen!$A$3:$E$20,3,0))),"")</f>
        <v/>
      </c>
      <c r="I197" s="311"/>
      <c r="J197" s="312" t="str" cm="1">
        <f t="array" ref="J197">_xlfn.IFNA(IF(INDEX(Tb_KostenOpties[],MATCH($F197,Tb_KostenOpties[KostenOptie],0),IFERROR(MATCH(Methode_Keuze,Tb_KostenOpties[#Headers],0),2))=1,_xlfn.SWITCH($H197,"Uurtarief",IF(OR(AND(RIGHT($F197,3)="IKS",VLOOKUP($I197,Loonkosten,2,0)="Ja"),AND(RIGHT($F197,3)&lt;&gt;"IKS",VLOOKUP($I197,Loonkosten,2,0)="Nee")), VLOOKUP($I197,Loonkosten,MATCH("Opgegeven uurtarief",'4. Rekenhulp loonkosten aanvr.'!$4:$4,0)),0),"Vast tarief",IF(LEFT(F197,8)="Bijdrage",VLOOKUP($F197,Tb_KostenTypen[],MATCH(Lijsten!$P$1,Tb_KostenTypen[#Headers],0),0),VLOOKUP($G197,Lijsten!L:P,MATCH(Lijsten!$P$1,Kop_Tarief_Vast,0),0))),""),"")</f>
        <v/>
      </c>
      <c r="K197" s="312" t="str" cm="1">
        <f t="array" ref="K197">_xlfn.IFNA(IF(INDEX(Tb_KostenOpties[],MATCH($F197,Tb_KostenOpties[KostenOptie],0),IFERROR(MATCH(Methode_Keuze,Tb_KostenOpties[#Headers],0),2))=1,_xlfn.SWITCH($H197,"Uurtarief",IF(OR(AND(RIGHT($F197,3)="IKS",VLOOKUP($I197,Loonkosten,2,0)="Ja"),AND(RIGHT($F197,3)&lt;&gt;"IKS",VLOOKUP($I197,Loonkosten,2,0)="Nee")), VLOOKUP($I197,Loonkosten,MATCH("Beoordeeld uurtarief",'4. Rekenhulp loonkosten aanvr.'!$4:$4,0),0),0),"Vast tarief",IF(LEFT(F197,8)="Bijdrage",VLOOKUP($F197,Tb_KostenTypen[],MATCH(Lijsten!$P$1,Tb_KostenTypen[#Headers],0),0),VLOOKUP($G197,Lijsten!L:P,MATCH(Lijsten!$P$1,Kop_Tarief_Vast,0),0))),""),"")</f>
        <v/>
      </c>
      <c r="L197" s="358"/>
      <c r="M197" s="358"/>
      <c r="N197" s="313"/>
      <c r="O197" s="313"/>
      <c r="P197" s="374" t="str">
        <f t="shared" si="9"/>
        <v/>
      </c>
      <c r="Q197" s="314" t="str">
        <f t="shared" si="10"/>
        <v/>
      </c>
      <c r="R197" s="314" t="str" cm="1">
        <f t="array" aca="1" ref="R197" ca="1">_xlfn.IFNA(_xlfn.IFS(X197="Dit kostentype hoeft u niet op te geven. Hiervoor wordt een forfait berekend.","",AND(J197&lt;&gt;"",H197="Vast tarief",F197="Vergoeding"),SUM(J197)*FLOOR(SUM(L197),0.0001),AND(J197&lt;&gt;"",OR(H197="Uurtarief",H197="Vast tarief")),SUM(J197)*FLOOR(SUM(L197),0.01),AND(N197&lt;&gt;"",H197="-"),FLOOR(SUM(N197),0.01)),"")</f>
        <v/>
      </c>
      <c r="S197" s="314" t="str" cm="1">
        <f t="array" aca="1" ref="S197" ca="1">_xlfn.IFNA(_xlfn.IFS(X197="Dit kostentype hoeft u niet op te geven. Hiervoor wordt een forfait berekend.","",AND(K197&lt;&gt;"",M197&lt;&gt;"",H197="Vast tarief",F197="Vergoeding"),SUM(K197)*FLOOR(SUM(M197),0.0001),AND(K197&lt;&gt;"",M197&lt;&gt;"",OR(H197="Uurtarief",H197="Vast tarief")),SUM(K197)*FLOOR(SUM(M197),0.01),AND(O197&lt;&gt;"",H197="-"),FLOOR(SUM(O197),0.01)),"")</f>
        <v/>
      </c>
      <c r="T197" s="314" t="str">
        <f t="shared" ca="1" si="11"/>
        <v/>
      </c>
      <c r="U197" s="314" t="str" cm="1">
        <f t="array" aca="1" ref="U197" ca="1">IFERROR(_xlfn.IFS(OR(F197="",LEFT(Methode_Keuze,4)="Geen",Methode_Keuze=""),"",AND(R197&lt;&gt;"",F197&lt;&gt;"Arbeidskosten"),R197*VLOOKUP(F197,Tb_ProjectKosten[],MATCH(Tb_ProjectKosten[[#Headers],[Forfait_Percentage]],Tb_ProjectKosten[#Headers],0),0),AND(F197="Arbeidskosten",G197&lt;&gt;""),IFERROR(R197*VLOOKUP(G197,Tb_KostenTypen[],3,0)*VLOOKUP(F197,Tb_ProjectKosten[],MATCH(Tb_ProjectKosten[[#Headers],[Forfait_Percentage]],Tb_ProjectKosten[#Headers],0),0),""),R197 &lt;=0,0),"")</f>
        <v/>
      </c>
      <c r="V197" s="314" t="str" cm="1">
        <f t="array" aca="1" ref="V197" ca="1">IFERROR(_xlfn.IFS(OR(F197="",LEFT(Methode_Keuze,4)="Geen",Methode_Keuze=""),"",AND(S197&lt;&gt;"",F197&lt;&gt;"Arbeidskosten"),S197*VLOOKUP(F197,Tb_ProjectKosten[],MATCH(Tb_ProjectKosten[[#Headers],[Forfait_Percentage]],Tb_ProjectKosten[#Headers],0),0),AND(F197="Arbeidskosten",G197&lt;&gt;""),IFERROR(S197*VLOOKUP(G197,Tb_KostenTypen[],3,0)*VLOOKUP(F197,Tb_ProjectKosten[],MATCH(Tb_ProjectKosten[[#Headers],[Forfait_Percentage]],Tb_ProjectKosten[#Headers],0),0),""),S197 &lt;=0,0),"")</f>
        <v/>
      </c>
      <c r="W197" s="314" t="str">
        <f t="shared" ca="1" si="12"/>
        <v/>
      </c>
      <c r="X197" s="376" t="str">
        <f>IFERROR(VLOOKUP(F197,Tb_ProjectKosten[#All],11,0),"")</f>
        <v/>
      </c>
      <c r="Y197" s="315"/>
    </row>
    <row r="198" spans="1:25" x14ac:dyDescent="0.25">
      <c r="A198" s="309">
        <f>MAX($A$5:A197)+1</f>
        <v>193</v>
      </c>
      <c r="B198" s="296"/>
      <c r="C198" s="296"/>
      <c r="D198" s="296"/>
      <c r="E198" s="296"/>
      <c r="F198" s="296"/>
      <c r="G198" s="327"/>
      <c r="H198" s="310" t="str">
        <f ca="1">IFERROR(IF(VLOOKUP(F198,Kostentypen!$A$3:$E$21,3,0)=0,"",IF(OR(F198="Arbeidskosten",F198="Vergoeding"),VLOOKUP(G198,Tb_KostenTypen[],2,0),VLOOKUP(F198,Kostentypen!$A$3:$E$20,3,0))),"")</f>
        <v/>
      </c>
      <c r="I198" s="311"/>
      <c r="J198" s="312" t="str" cm="1">
        <f t="array" ref="J198">_xlfn.IFNA(IF(INDEX(Tb_KostenOpties[],MATCH($F198,Tb_KostenOpties[KostenOptie],0),IFERROR(MATCH(Methode_Keuze,Tb_KostenOpties[#Headers],0),2))=1,_xlfn.SWITCH($H198,"Uurtarief",IF(OR(AND(RIGHT($F198,3)="IKS",VLOOKUP($I198,Loonkosten,2,0)="Ja"),AND(RIGHT($F198,3)&lt;&gt;"IKS",VLOOKUP($I198,Loonkosten,2,0)="Nee")), VLOOKUP($I198,Loonkosten,MATCH("Opgegeven uurtarief",'4. Rekenhulp loonkosten aanvr.'!$4:$4,0)),0),"Vast tarief",IF(LEFT(F198,8)="Bijdrage",VLOOKUP($F198,Tb_KostenTypen[],MATCH(Lijsten!$P$1,Tb_KostenTypen[#Headers],0),0),VLOOKUP($G198,Lijsten!L:P,MATCH(Lijsten!$P$1,Kop_Tarief_Vast,0),0))),""),"")</f>
        <v/>
      </c>
      <c r="K198" s="312" t="str" cm="1">
        <f t="array" ref="K198">_xlfn.IFNA(IF(INDEX(Tb_KostenOpties[],MATCH($F198,Tb_KostenOpties[KostenOptie],0),IFERROR(MATCH(Methode_Keuze,Tb_KostenOpties[#Headers],0),2))=1,_xlfn.SWITCH($H198,"Uurtarief",IF(OR(AND(RIGHT($F198,3)="IKS",VLOOKUP($I198,Loonkosten,2,0)="Ja"),AND(RIGHT($F198,3)&lt;&gt;"IKS",VLOOKUP($I198,Loonkosten,2,0)="Nee")), VLOOKUP($I198,Loonkosten,MATCH("Beoordeeld uurtarief",'4. Rekenhulp loonkosten aanvr.'!$4:$4,0),0),0),"Vast tarief",IF(LEFT(F198,8)="Bijdrage",VLOOKUP($F198,Tb_KostenTypen[],MATCH(Lijsten!$P$1,Tb_KostenTypen[#Headers],0),0),VLOOKUP($G198,Lijsten!L:P,MATCH(Lijsten!$P$1,Kop_Tarief_Vast,0),0))),""),"")</f>
        <v/>
      </c>
      <c r="L198" s="358"/>
      <c r="M198" s="358"/>
      <c r="N198" s="313"/>
      <c r="O198" s="313"/>
      <c r="P198" s="374" t="str">
        <f t="shared" si="9"/>
        <v/>
      </c>
      <c r="Q198" s="314" t="str">
        <f t="shared" si="10"/>
        <v/>
      </c>
      <c r="R198" s="314" t="str" cm="1">
        <f t="array" aca="1" ref="R198" ca="1">_xlfn.IFNA(_xlfn.IFS(X198="Dit kostentype hoeft u niet op te geven. Hiervoor wordt een forfait berekend.","",AND(J198&lt;&gt;"",H198="Vast tarief",F198="Vergoeding"),SUM(J198)*FLOOR(SUM(L198),0.0001),AND(J198&lt;&gt;"",OR(H198="Uurtarief",H198="Vast tarief")),SUM(J198)*FLOOR(SUM(L198),0.01),AND(N198&lt;&gt;"",H198="-"),FLOOR(SUM(N198),0.01)),"")</f>
        <v/>
      </c>
      <c r="S198" s="314" t="str" cm="1">
        <f t="array" aca="1" ref="S198" ca="1">_xlfn.IFNA(_xlfn.IFS(X198="Dit kostentype hoeft u niet op te geven. Hiervoor wordt een forfait berekend.","",AND(K198&lt;&gt;"",M198&lt;&gt;"",H198="Vast tarief",F198="Vergoeding"),SUM(K198)*FLOOR(SUM(M198),0.0001),AND(K198&lt;&gt;"",M198&lt;&gt;"",OR(H198="Uurtarief",H198="Vast tarief")),SUM(K198)*FLOOR(SUM(M198),0.01),AND(O198&lt;&gt;"",H198="-"),FLOOR(SUM(O198),0.01)),"")</f>
        <v/>
      </c>
      <c r="T198" s="314" t="str">
        <f t="shared" ca="1" si="11"/>
        <v/>
      </c>
      <c r="U198" s="314" t="str" cm="1">
        <f t="array" aca="1" ref="U198" ca="1">IFERROR(_xlfn.IFS(OR(F198="",LEFT(Methode_Keuze,4)="Geen",Methode_Keuze=""),"",AND(R198&lt;&gt;"",F198&lt;&gt;"Arbeidskosten"),R198*VLOOKUP(F198,Tb_ProjectKosten[],MATCH(Tb_ProjectKosten[[#Headers],[Forfait_Percentage]],Tb_ProjectKosten[#Headers],0),0),AND(F198="Arbeidskosten",G198&lt;&gt;""),IFERROR(R198*VLOOKUP(G198,Tb_KostenTypen[],3,0)*VLOOKUP(F198,Tb_ProjectKosten[],MATCH(Tb_ProjectKosten[[#Headers],[Forfait_Percentage]],Tb_ProjectKosten[#Headers],0),0),""),R198 &lt;=0,0),"")</f>
        <v/>
      </c>
      <c r="V198" s="314" t="str" cm="1">
        <f t="array" aca="1" ref="V198" ca="1">IFERROR(_xlfn.IFS(OR(F198="",LEFT(Methode_Keuze,4)="Geen",Methode_Keuze=""),"",AND(S198&lt;&gt;"",F198&lt;&gt;"Arbeidskosten"),S198*VLOOKUP(F198,Tb_ProjectKosten[],MATCH(Tb_ProjectKosten[[#Headers],[Forfait_Percentage]],Tb_ProjectKosten[#Headers],0),0),AND(F198="Arbeidskosten",G198&lt;&gt;""),IFERROR(S198*VLOOKUP(G198,Tb_KostenTypen[],3,0)*VLOOKUP(F198,Tb_ProjectKosten[],MATCH(Tb_ProjectKosten[[#Headers],[Forfait_Percentage]],Tb_ProjectKosten[#Headers],0),0),""),S198 &lt;=0,0),"")</f>
        <v/>
      </c>
      <c r="W198" s="314" t="str">
        <f t="shared" ca="1" si="12"/>
        <v/>
      </c>
      <c r="X198" s="376" t="str">
        <f>IFERROR(VLOOKUP(F198,Tb_ProjectKosten[#All],11,0),"")</f>
        <v/>
      </c>
      <c r="Y198" s="315"/>
    </row>
    <row r="199" spans="1:25" x14ac:dyDescent="0.25">
      <c r="A199" s="309">
        <f>MAX($A$5:A198)+1</f>
        <v>194</v>
      </c>
      <c r="B199" s="296"/>
      <c r="C199" s="296"/>
      <c r="D199" s="296"/>
      <c r="E199" s="296"/>
      <c r="F199" s="296"/>
      <c r="G199" s="327"/>
      <c r="H199" s="310" t="str">
        <f ca="1">IFERROR(IF(VLOOKUP(F199,Kostentypen!$A$3:$E$21,3,0)=0,"",IF(OR(F199="Arbeidskosten",F199="Vergoeding"),VLOOKUP(G199,Tb_KostenTypen[],2,0),VLOOKUP(F199,Kostentypen!$A$3:$E$20,3,0))),"")</f>
        <v/>
      </c>
      <c r="I199" s="311"/>
      <c r="J199" s="312" t="str" cm="1">
        <f t="array" ref="J199">_xlfn.IFNA(IF(INDEX(Tb_KostenOpties[],MATCH($F199,Tb_KostenOpties[KostenOptie],0),IFERROR(MATCH(Methode_Keuze,Tb_KostenOpties[#Headers],0),2))=1,_xlfn.SWITCH($H199,"Uurtarief",IF(OR(AND(RIGHT($F199,3)="IKS",VLOOKUP($I199,Loonkosten,2,0)="Ja"),AND(RIGHT($F199,3)&lt;&gt;"IKS",VLOOKUP($I199,Loonkosten,2,0)="Nee")), VLOOKUP($I199,Loonkosten,MATCH("Opgegeven uurtarief",'4. Rekenhulp loonkosten aanvr.'!$4:$4,0)),0),"Vast tarief",IF(LEFT(F199,8)="Bijdrage",VLOOKUP($F199,Tb_KostenTypen[],MATCH(Lijsten!$P$1,Tb_KostenTypen[#Headers],0),0),VLOOKUP($G199,Lijsten!L:P,MATCH(Lijsten!$P$1,Kop_Tarief_Vast,0),0))),""),"")</f>
        <v/>
      </c>
      <c r="K199" s="312" t="str" cm="1">
        <f t="array" ref="K199">_xlfn.IFNA(IF(INDEX(Tb_KostenOpties[],MATCH($F199,Tb_KostenOpties[KostenOptie],0),IFERROR(MATCH(Methode_Keuze,Tb_KostenOpties[#Headers],0),2))=1,_xlfn.SWITCH($H199,"Uurtarief",IF(OR(AND(RIGHT($F199,3)="IKS",VLOOKUP($I199,Loonkosten,2,0)="Ja"),AND(RIGHT($F199,3)&lt;&gt;"IKS",VLOOKUP($I199,Loonkosten,2,0)="Nee")), VLOOKUP($I199,Loonkosten,MATCH("Beoordeeld uurtarief",'4. Rekenhulp loonkosten aanvr.'!$4:$4,0),0),0),"Vast tarief",IF(LEFT(F199,8)="Bijdrage",VLOOKUP($F199,Tb_KostenTypen[],MATCH(Lijsten!$P$1,Tb_KostenTypen[#Headers],0),0),VLOOKUP($G199,Lijsten!L:P,MATCH(Lijsten!$P$1,Kop_Tarief_Vast,0),0))),""),"")</f>
        <v/>
      </c>
      <c r="L199" s="358"/>
      <c r="M199" s="358"/>
      <c r="N199" s="313"/>
      <c r="O199" s="313"/>
      <c r="P199" s="374" t="str">
        <f t="shared" ref="P199:P250" si="13">IFERROR(IF(AND(M199&lt;&gt;"",M199&lt;&gt;L199),-1*(M199-L199),""),"")</f>
        <v/>
      </c>
      <c r="Q199" s="314" t="str">
        <f t="shared" ref="Q199:Q250" si="14">IFERROR(IF(AND(O199&lt;&gt;"",O199&lt;&gt;N199),-1*(O199-N199),""),"")</f>
        <v/>
      </c>
      <c r="R199" s="314" t="str" cm="1">
        <f t="array" aca="1" ref="R199" ca="1">_xlfn.IFNA(_xlfn.IFS(X199="Dit kostentype hoeft u niet op te geven. Hiervoor wordt een forfait berekend.","",AND(J199&lt;&gt;"",H199="Vast tarief",F199="Vergoeding"),SUM(J199)*FLOOR(SUM(L199),0.0001),AND(J199&lt;&gt;"",OR(H199="Uurtarief",H199="Vast tarief")),SUM(J199)*FLOOR(SUM(L199),0.01),AND(N199&lt;&gt;"",H199="-"),FLOOR(SUM(N199),0.01)),"")</f>
        <v/>
      </c>
      <c r="S199" s="314" t="str" cm="1">
        <f t="array" aca="1" ref="S199" ca="1">_xlfn.IFNA(_xlfn.IFS(X199="Dit kostentype hoeft u niet op te geven. Hiervoor wordt een forfait berekend.","",AND(K199&lt;&gt;"",M199&lt;&gt;"",H199="Vast tarief",F199="Vergoeding"),SUM(K199)*FLOOR(SUM(M199),0.0001),AND(K199&lt;&gt;"",M199&lt;&gt;"",OR(H199="Uurtarief",H199="Vast tarief")),SUM(K199)*FLOOR(SUM(M199),0.01),AND(O199&lt;&gt;"",H199="-"),FLOOR(SUM(O199),0.01)),"")</f>
        <v/>
      </c>
      <c r="T199" s="314" t="str">
        <f t="shared" ref="T199:T250" ca="1" si="15">IFERROR(IF(AND(S199&lt;&gt;"",S199&lt;&gt;R199),-1*(S199-R199),""),"")</f>
        <v/>
      </c>
      <c r="U199" s="314" t="str" cm="1">
        <f t="array" aca="1" ref="U199" ca="1">IFERROR(_xlfn.IFS(OR(F199="",LEFT(Methode_Keuze,4)="Geen",Methode_Keuze=""),"",AND(R199&lt;&gt;"",F199&lt;&gt;"Arbeidskosten"),R199*VLOOKUP(F199,Tb_ProjectKosten[],MATCH(Tb_ProjectKosten[[#Headers],[Forfait_Percentage]],Tb_ProjectKosten[#Headers],0),0),AND(F199="Arbeidskosten",G199&lt;&gt;""),IFERROR(R199*VLOOKUP(G199,Tb_KostenTypen[],3,0)*VLOOKUP(F199,Tb_ProjectKosten[],MATCH(Tb_ProjectKosten[[#Headers],[Forfait_Percentage]],Tb_ProjectKosten[#Headers],0),0),""),R199 &lt;=0,0),"")</f>
        <v/>
      </c>
      <c r="V199" s="314" t="str" cm="1">
        <f t="array" aca="1" ref="V199" ca="1">IFERROR(_xlfn.IFS(OR(F199="",LEFT(Methode_Keuze,4)="Geen",Methode_Keuze=""),"",AND(S199&lt;&gt;"",F199&lt;&gt;"Arbeidskosten"),S199*VLOOKUP(F199,Tb_ProjectKosten[],MATCH(Tb_ProjectKosten[[#Headers],[Forfait_Percentage]],Tb_ProjectKosten[#Headers],0),0),AND(F199="Arbeidskosten",G199&lt;&gt;""),IFERROR(S199*VLOOKUP(G199,Tb_KostenTypen[],3,0)*VLOOKUP(F199,Tb_ProjectKosten[],MATCH(Tb_ProjectKosten[[#Headers],[Forfait_Percentage]],Tb_ProjectKosten[#Headers],0),0),""),S199 &lt;=0,0),"")</f>
        <v/>
      </c>
      <c r="W199" s="314" t="str">
        <f t="shared" ref="W199:W250" ca="1" si="16">IFERROR(IF(AND(V199&lt;&gt;"",V199&lt;&gt;U199),-1*(V199-U199),""),"")</f>
        <v/>
      </c>
      <c r="X199" s="376" t="str">
        <f>IFERROR(VLOOKUP(F199,Tb_ProjectKosten[#All],11,0),"")</f>
        <v/>
      </c>
      <c r="Y199" s="315"/>
    </row>
    <row r="200" spans="1:25" x14ac:dyDescent="0.25">
      <c r="A200" s="309">
        <f>MAX($A$5:A199)+1</f>
        <v>195</v>
      </c>
      <c r="B200" s="296"/>
      <c r="C200" s="296"/>
      <c r="D200" s="296"/>
      <c r="E200" s="296"/>
      <c r="F200" s="296"/>
      <c r="G200" s="327"/>
      <c r="H200" s="310" t="str">
        <f ca="1">IFERROR(IF(VLOOKUP(F200,Kostentypen!$A$3:$E$21,3,0)=0,"",IF(OR(F200="Arbeidskosten",F200="Vergoeding"),VLOOKUP(G200,Tb_KostenTypen[],2,0),VLOOKUP(F200,Kostentypen!$A$3:$E$20,3,0))),"")</f>
        <v/>
      </c>
      <c r="I200" s="311"/>
      <c r="J200" s="312" t="str" cm="1">
        <f t="array" ref="J200">_xlfn.IFNA(IF(INDEX(Tb_KostenOpties[],MATCH($F200,Tb_KostenOpties[KostenOptie],0),IFERROR(MATCH(Methode_Keuze,Tb_KostenOpties[#Headers],0),2))=1,_xlfn.SWITCH($H200,"Uurtarief",IF(OR(AND(RIGHT($F200,3)="IKS",VLOOKUP($I200,Loonkosten,2,0)="Ja"),AND(RIGHT($F200,3)&lt;&gt;"IKS",VLOOKUP($I200,Loonkosten,2,0)="Nee")), VLOOKUP($I200,Loonkosten,MATCH("Opgegeven uurtarief",'4. Rekenhulp loonkosten aanvr.'!$4:$4,0)),0),"Vast tarief",IF(LEFT(F200,8)="Bijdrage",VLOOKUP($F200,Tb_KostenTypen[],MATCH(Lijsten!$P$1,Tb_KostenTypen[#Headers],0),0),VLOOKUP($G200,Lijsten!L:P,MATCH(Lijsten!$P$1,Kop_Tarief_Vast,0),0))),""),"")</f>
        <v/>
      </c>
      <c r="K200" s="312" t="str" cm="1">
        <f t="array" ref="K200">_xlfn.IFNA(IF(INDEX(Tb_KostenOpties[],MATCH($F200,Tb_KostenOpties[KostenOptie],0),IFERROR(MATCH(Methode_Keuze,Tb_KostenOpties[#Headers],0),2))=1,_xlfn.SWITCH($H200,"Uurtarief",IF(OR(AND(RIGHT($F200,3)="IKS",VLOOKUP($I200,Loonkosten,2,0)="Ja"),AND(RIGHT($F200,3)&lt;&gt;"IKS",VLOOKUP($I200,Loonkosten,2,0)="Nee")), VLOOKUP($I200,Loonkosten,MATCH("Beoordeeld uurtarief",'4. Rekenhulp loonkosten aanvr.'!$4:$4,0),0),0),"Vast tarief",IF(LEFT(F200,8)="Bijdrage",VLOOKUP($F200,Tb_KostenTypen[],MATCH(Lijsten!$P$1,Tb_KostenTypen[#Headers],0),0),VLOOKUP($G200,Lijsten!L:P,MATCH(Lijsten!$P$1,Kop_Tarief_Vast,0),0))),""),"")</f>
        <v/>
      </c>
      <c r="L200" s="358"/>
      <c r="M200" s="358"/>
      <c r="N200" s="313"/>
      <c r="O200" s="313"/>
      <c r="P200" s="374" t="str">
        <f t="shared" si="13"/>
        <v/>
      </c>
      <c r="Q200" s="314" t="str">
        <f t="shared" si="14"/>
        <v/>
      </c>
      <c r="R200" s="314" t="str" cm="1">
        <f t="array" aca="1" ref="R200" ca="1">_xlfn.IFNA(_xlfn.IFS(X200="Dit kostentype hoeft u niet op te geven. Hiervoor wordt een forfait berekend.","",AND(J200&lt;&gt;"",H200="Vast tarief",F200="Vergoeding"),SUM(J200)*FLOOR(SUM(L200),0.0001),AND(J200&lt;&gt;"",OR(H200="Uurtarief",H200="Vast tarief")),SUM(J200)*FLOOR(SUM(L200),0.01),AND(N200&lt;&gt;"",H200="-"),FLOOR(SUM(N200),0.01)),"")</f>
        <v/>
      </c>
      <c r="S200" s="314" t="str" cm="1">
        <f t="array" aca="1" ref="S200" ca="1">_xlfn.IFNA(_xlfn.IFS(X200="Dit kostentype hoeft u niet op te geven. Hiervoor wordt een forfait berekend.","",AND(K200&lt;&gt;"",M200&lt;&gt;"",H200="Vast tarief",F200="Vergoeding"),SUM(K200)*FLOOR(SUM(M200),0.0001),AND(K200&lt;&gt;"",M200&lt;&gt;"",OR(H200="Uurtarief",H200="Vast tarief")),SUM(K200)*FLOOR(SUM(M200),0.01),AND(O200&lt;&gt;"",H200="-"),FLOOR(SUM(O200),0.01)),"")</f>
        <v/>
      </c>
      <c r="T200" s="314" t="str">
        <f t="shared" ca="1" si="15"/>
        <v/>
      </c>
      <c r="U200" s="314" t="str" cm="1">
        <f t="array" aca="1" ref="U200" ca="1">IFERROR(_xlfn.IFS(OR(F200="",LEFT(Methode_Keuze,4)="Geen",Methode_Keuze=""),"",AND(R200&lt;&gt;"",F200&lt;&gt;"Arbeidskosten"),R200*VLOOKUP(F200,Tb_ProjectKosten[],MATCH(Tb_ProjectKosten[[#Headers],[Forfait_Percentage]],Tb_ProjectKosten[#Headers],0),0),AND(F200="Arbeidskosten",G200&lt;&gt;""),IFERROR(R200*VLOOKUP(G200,Tb_KostenTypen[],3,0)*VLOOKUP(F200,Tb_ProjectKosten[],MATCH(Tb_ProjectKosten[[#Headers],[Forfait_Percentage]],Tb_ProjectKosten[#Headers],0),0),""),R200 &lt;=0,0),"")</f>
        <v/>
      </c>
      <c r="V200" s="314" t="str" cm="1">
        <f t="array" aca="1" ref="V200" ca="1">IFERROR(_xlfn.IFS(OR(F200="",LEFT(Methode_Keuze,4)="Geen",Methode_Keuze=""),"",AND(S200&lt;&gt;"",F200&lt;&gt;"Arbeidskosten"),S200*VLOOKUP(F200,Tb_ProjectKosten[],MATCH(Tb_ProjectKosten[[#Headers],[Forfait_Percentage]],Tb_ProjectKosten[#Headers],0),0),AND(F200="Arbeidskosten",G200&lt;&gt;""),IFERROR(S200*VLOOKUP(G200,Tb_KostenTypen[],3,0)*VLOOKUP(F200,Tb_ProjectKosten[],MATCH(Tb_ProjectKosten[[#Headers],[Forfait_Percentage]],Tb_ProjectKosten[#Headers],0),0),""),S200 &lt;=0,0),"")</f>
        <v/>
      </c>
      <c r="W200" s="314" t="str">
        <f t="shared" ca="1" si="16"/>
        <v/>
      </c>
      <c r="X200" s="376" t="str">
        <f>IFERROR(VLOOKUP(F200,Tb_ProjectKosten[#All],11,0),"")</f>
        <v/>
      </c>
      <c r="Y200" s="315"/>
    </row>
    <row r="201" spans="1:25" x14ac:dyDescent="0.25">
      <c r="A201" s="309">
        <f>MAX($A$5:A200)+1</f>
        <v>196</v>
      </c>
      <c r="B201" s="296"/>
      <c r="C201" s="296"/>
      <c r="D201" s="296"/>
      <c r="E201" s="296"/>
      <c r="F201" s="296"/>
      <c r="G201" s="327"/>
      <c r="H201" s="310" t="str">
        <f ca="1">IFERROR(IF(VLOOKUP(F201,Kostentypen!$A$3:$E$21,3,0)=0,"",IF(OR(F201="Arbeidskosten",F201="Vergoeding"),VLOOKUP(G201,Tb_KostenTypen[],2,0),VLOOKUP(F201,Kostentypen!$A$3:$E$20,3,0))),"")</f>
        <v/>
      </c>
      <c r="I201" s="311"/>
      <c r="J201" s="312" t="str" cm="1">
        <f t="array" ref="J201">_xlfn.IFNA(IF(INDEX(Tb_KostenOpties[],MATCH($F201,Tb_KostenOpties[KostenOptie],0),IFERROR(MATCH(Methode_Keuze,Tb_KostenOpties[#Headers],0),2))=1,_xlfn.SWITCH($H201,"Uurtarief",IF(OR(AND(RIGHT($F201,3)="IKS",VLOOKUP($I201,Loonkosten,2,0)="Ja"),AND(RIGHT($F201,3)&lt;&gt;"IKS",VLOOKUP($I201,Loonkosten,2,0)="Nee")), VLOOKUP($I201,Loonkosten,MATCH("Opgegeven uurtarief",'4. Rekenhulp loonkosten aanvr.'!$4:$4,0)),0),"Vast tarief",IF(LEFT(F201,8)="Bijdrage",VLOOKUP($F201,Tb_KostenTypen[],MATCH(Lijsten!$P$1,Tb_KostenTypen[#Headers],0),0),VLOOKUP($G201,Lijsten!L:P,MATCH(Lijsten!$P$1,Kop_Tarief_Vast,0),0))),""),"")</f>
        <v/>
      </c>
      <c r="K201" s="312" t="str" cm="1">
        <f t="array" ref="K201">_xlfn.IFNA(IF(INDEX(Tb_KostenOpties[],MATCH($F201,Tb_KostenOpties[KostenOptie],0),IFERROR(MATCH(Methode_Keuze,Tb_KostenOpties[#Headers],0),2))=1,_xlfn.SWITCH($H201,"Uurtarief",IF(OR(AND(RIGHT($F201,3)="IKS",VLOOKUP($I201,Loonkosten,2,0)="Ja"),AND(RIGHT($F201,3)&lt;&gt;"IKS",VLOOKUP($I201,Loonkosten,2,0)="Nee")), VLOOKUP($I201,Loonkosten,MATCH("Beoordeeld uurtarief",'4. Rekenhulp loonkosten aanvr.'!$4:$4,0),0),0),"Vast tarief",IF(LEFT(F201,8)="Bijdrage",VLOOKUP($F201,Tb_KostenTypen[],MATCH(Lijsten!$P$1,Tb_KostenTypen[#Headers],0),0),VLOOKUP($G201,Lijsten!L:P,MATCH(Lijsten!$P$1,Kop_Tarief_Vast,0),0))),""),"")</f>
        <v/>
      </c>
      <c r="L201" s="358"/>
      <c r="M201" s="358"/>
      <c r="N201" s="313"/>
      <c r="O201" s="313"/>
      <c r="P201" s="374" t="str">
        <f t="shared" si="13"/>
        <v/>
      </c>
      <c r="Q201" s="314" t="str">
        <f t="shared" si="14"/>
        <v/>
      </c>
      <c r="R201" s="314" t="str" cm="1">
        <f t="array" aca="1" ref="R201" ca="1">_xlfn.IFNA(_xlfn.IFS(X201="Dit kostentype hoeft u niet op te geven. Hiervoor wordt een forfait berekend.","",AND(J201&lt;&gt;"",H201="Vast tarief",F201="Vergoeding"),SUM(J201)*FLOOR(SUM(L201),0.0001),AND(J201&lt;&gt;"",OR(H201="Uurtarief",H201="Vast tarief")),SUM(J201)*FLOOR(SUM(L201),0.01),AND(N201&lt;&gt;"",H201="-"),FLOOR(SUM(N201),0.01)),"")</f>
        <v/>
      </c>
      <c r="S201" s="314" t="str" cm="1">
        <f t="array" aca="1" ref="S201" ca="1">_xlfn.IFNA(_xlfn.IFS(X201="Dit kostentype hoeft u niet op te geven. Hiervoor wordt een forfait berekend.","",AND(K201&lt;&gt;"",M201&lt;&gt;"",H201="Vast tarief",F201="Vergoeding"),SUM(K201)*FLOOR(SUM(M201),0.0001),AND(K201&lt;&gt;"",M201&lt;&gt;"",OR(H201="Uurtarief",H201="Vast tarief")),SUM(K201)*FLOOR(SUM(M201),0.01),AND(O201&lt;&gt;"",H201="-"),FLOOR(SUM(O201),0.01)),"")</f>
        <v/>
      </c>
      <c r="T201" s="314" t="str">
        <f t="shared" ca="1" si="15"/>
        <v/>
      </c>
      <c r="U201" s="314" t="str" cm="1">
        <f t="array" aca="1" ref="U201" ca="1">IFERROR(_xlfn.IFS(OR(F201="",LEFT(Methode_Keuze,4)="Geen",Methode_Keuze=""),"",AND(R201&lt;&gt;"",F201&lt;&gt;"Arbeidskosten"),R201*VLOOKUP(F201,Tb_ProjectKosten[],MATCH(Tb_ProjectKosten[[#Headers],[Forfait_Percentage]],Tb_ProjectKosten[#Headers],0),0),AND(F201="Arbeidskosten",G201&lt;&gt;""),IFERROR(R201*VLOOKUP(G201,Tb_KostenTypen[],3,0)*VLOOKUP(F201,Tb_ProjectKosten[],MATCH(Tb_ProjectKosten[[#Headers],[Forfait_Percentage]],Tb_ProjectKosten[#Headers],0),0),""),R201 &lt;=0,0),"")</f>
        <v/>
      </c>
      <c r="V201" s="314" t="str" cm="1">
        <f t="array" aca="1" ref="V201" ca="1">IFERROR(_xlfn.IFS(OR(F201="",LEFT(Methode_Keuze,4)="Geen",Methode_Keuze=""),"",AND(S201&lt;&gt;"",F201&lt;&gt;"Arbeidskosten"),S201*VLOOKUP(F201,Tb_ProjectKosten[],MATCH(Tb_ProjectKosten[[#Headers],[Forfait_Percentage]],Tb_ProjectKosten[#Headers],0),0),AND(F201="Arbeidskosten",G201&lt;&gt;""),IFERROR(S201*VLOOKUP(G201,Tb_KostenTypen[],3,0)*VLOOKUP(F201,Tb_ProjectKosten[],MATCH(Tb_ProjectKosten[[#Headers],[Forfait_Percentage]],Tb_ProjectKosten[#Headers],0),0),""),S201 &lt;=0,0),"")</f>
        <v/>
      </c>
      <c r="W201" s="314" t="str">
        <f t="shared" ca="1" si="16"/>
        <v/>
      </c>
      <c r="X201" s="376" t="str">
        <f>IFERROR(VLOOKUP(F201,Tb_ProjectKosten[#All],11,0),"")</f>
        <v/>
      </c>
      <c r="Y201" s="315"/>
    </row>
    <row r="202" spans="1:25" x14ac:dyDescent="0.25">
      <c r="A202" s="309">
        <f>MAX($A$5:A201)+1</f>
        <v>197</v>
      </c>
      <c r="B202" s="296"/>
      <c r="C202" s="296"/>
      <c r="D202" s="296"/>
      <c r="E202" s="296"/>
      <c r="F202" s="296"/>
      <c r="G202" s="327"/>
      <c r="H202" s="310" t="str">
        <f ca="1">IFERROR(IF(VLOOKUP(F202,Kostentypen!$A$3:$E$21,3,0)=0,"",IF(OR(F202="Arbeidskosten",F202="Vergoeding"),VLOOKUP(G202,Tb_KostenTypen[],2,0),VLOOKUP(F202,Kostentypen!$A$3:$E$20,3,0))),"")</f>
        <v/>
      </c>
      <c r="I202" s="311"/>
      <c r="J202" s="312" t="str" cm="1">
        <f t="array" ref="J202">_xlfn.IFNA(IF(INDEX(Tb_KostenOpties[],MATCH($F202,Tb_KostenOpties[KostenOptie],0),IFERROR(MATCH(Methode_Keuze,Tb_KostenOpties[#Headers],0),2))=1,_xlfn.SWITCH($H202,"Uurtarief",IF(OR(AND(RIGHT($F202,3)="IKS",VLOOKUP($I202,Loonkosten,2,0)="Ja"),AND(RIGHT($F202,3)&lt;&gt;"IKS",VLOOKUP($I202,Loonkosten,2,0)="Nee")), VLOOKUP($I202,Loonkosten,MATCH("Opgegeven uurtarief",'4. Rekenhulp loonkosten aanvr.'!$4:$4,0)),0),"Vast tarief",IF(LEFT(F202,8)="Bijdrage",VLOOKUP($F202,Tb_KostenTypen[],MATCH(Lijsten!$P$1,Tb_KostenTypen[#Headers],0),0),VLOOKUP($G202,Lijsten!L:P,MATCH(Lijsten!$P$1,Kop_Tarief_Vast,0),0))),""),"")</f>
        <v/>
      </c>
      <c r="K202" s="312" t="str" cm="1">
        <f t="array" ref="K202">_xlfn.IFNA(IF(INDEX(Tb_KostenOpties[],MATCH($F202,Tb_KostenOpties[KostenOptie],0),IFERROR(MATCH(Methode_Keuze,Tb_KostenOpties[#Headers],0),2))=1,_xlfn.SWITCH($H202,"Uurtarief",IF(OR(AND(RIGHT($F202,3)="IKS",VLOOKUP($I202,Loonkosten,2,0)="Ja"),AND(RIGHT($F202,3)&lt;&gt;"IKS",VLOOKUP($I202,Loonkosten,2,0)="Nee")), VLOOKUP($I202,Loonkosten,MATCH("Beoordeeld uurtarief",'4. Rekenhulp loonkosten aanvr.'!$4:$4,0),0),0),"Vast tarief",IF(LEFT(F202,8)="Bijdrage",VLOOKUP($F202,Tb_KostenTypen[],MATCH(Lijsten!$P$1,Tb_KostenTypen[#Headers],0),0),VLOOKUP($G202,Lijsten!L:P,MATCH(Lijsten!$P$1,Kop_Tarief_Vast,0),0))),""),"")</f>
        <v/>
      </c>
      <c r="L202" s="358"/>
      <c r="M202" s="358"/>
      <c r="N202" s="313"/>
      <c r="O202" s="313"/>
      <c r="P202" s="374" t="str">
        <f t="shared" si="13"/>
        <v/>
      </c>
      <c r="Q202" s="314" t="str">
        <f t="shared" si="14"/>
        <v/>
      </c>
      <c r="R202" s="314" t="str" cm="1">
        <f t="array" aca="1" ref="R202" ca="1">_xlfn.IFNA(_xlfn.IFS(X202="Dit kostentype hoeft u niet op te geven. Hiervoor wordt een forfait berekend.","",AND(J202&lt;&gt;"",H202="Vast tarief",F202="Vergoeding"),SUM(J202)*FLOOR(SUM(L202),0.0001),AND(J202&lt;&gt;"",OR(H202="Uurtarief",H202="Vast tarief")),SUM(J202)*FLOOR(SUM(L202),0.01),AND(N202&lt;&gt;"",H202="-"),FLOOR(SUM(N202),0.01)),"")</f>
        <v/>
      </c>
      <c r="S202" s="314" t="str" cm="1">
        <f t="array" aca="1" ref="S202" ca="1">_xlfn.IFNA(_xlfn.IFS(X202="Dit kostentype hoeft u niet op te geven. Hiervoor wordt een forfait berekend.","",AND(K202&lt;&gt;"",M202&lt;&gt;"",H202="Vast tarief",F202="Vergoeding"),SUM(K202)*FLOOR(SUM(M202),0.0001),AND(K202&lt;&gt;"",M202&lt;&gt;"",OR(H202="Uurtarief",H202="Vast tarief")),SUM(K202)*FLOOR(SUM(M202),0.01),AND(O202&lt;&gt;"",H202="-"),FLOOR(SUM(O202),0.01)),"")</f>
        <v/>
      </c>
      <c r="T202" s="314" t="str">
        <f t="shared" ca="1" si="15"/>
        <v/>
      </c>
      <c r="U202" s="314" t="str" cm="1">
        <f t="array" aca="1" ref="U202" ca="1">IFERROR(_xlfn.IFS(OR(F202="",LEFT(Methode_Keuze,4)="Geen",Methode_Keuze=""),"",AND(R202&lt;&gt;"",F202&lt;&gt;"Arbeidskosten"),R202*VLOOKUP(F202,Tb_ProjectKosten[],MATCH(Tb_ProjectKosten[[#Headers],[Forfait_Percentage]],Tb_ProjectKosten[#Headers],0),0),AND(F202="Arbeidskosten",G202&lt;&gt;""),IFERROR(R202*VLOOKUP(G202,Tb_KostenTypen[],3,0)*VLOOKUP(F202,Tb_ProjectKosten[],MATCH(Tb_ProjectKosten[[#Headers],[Forfait_Percentage]],Tb_ProjectKosten[#Headers],0),0),""),R202 &lt;=0,0),"")</f>
        <v/>
      </c>
      <c r="V202" s="314" t="str" cm="1">
        <f t="array" aca="1" ref="V202" ca="1">IFERROR(_xlfn.IFS(OR(F202="",LEFT(Methode_Keuze,4)="Geen",Methode_Keuze=""),"",AND(S202&lt;&gt;"",F202&lt;&gt;"Arbeidskosten"),S202*VLOOKUP(F202,Tb_ProjectKosten[],MATCH(Tb_ProjectKosten[[#Headers],[Forfait_Percentage]],Tb_ProjectKosten[#Headers],0),0),AND(F202="Arbeidskosten",G202&lt;&gt;""),IFERROR(S202*VLOOKUP(G202,Tb_KostenTypen[],3,0)*VLOOKUP(F202,Tb_ProjectKosten[],MATCH(Tb_ProjectKosten[[#Headers],[Forfait_Percentage]],Tb_ProjectKosten[#Headers],0),0),""),S202 &lt;=0,0),"")</f>
        <v/>
      </c>
      <c r="W202" s="314" t="str">
        <f t="shared" ca="1" si="16"/>
        <v/>
      </c>
      <c r="X202" s="376" t="str">
        <f>IFERROR(VLOOKUP(F202,Tb_ProjectKosten[#All],11,0),"")</f>
        <v/>
      </c>
      <c r="Y202" s="315"/>
    </row>
    <row r="203" spans="1:25" x14ac:dyDescent="0.25">
      <c r="A203" s="309">
        <f>MAX($A$5:A202)+1</f>
        <v>198</v>
      </c>
      <c r="B203" s="296"/>
      <c r="C203" s="296"/>
      <c r="D203" s="296"/>
      <c r="E203" s="296"/>
      <c r="F203" s="296"/>
      <c r="G203" s="327"/>
      <c r="H203" s="310" t="str">
        <f ca="1">IFERROR(IF(VLOOKUP(F203,Kostentypen!$A$3:$E$21,3,0)=0,"",IF(OR(F203="Arbeidskosten",F203="Vergoeding"),VLOOKUP(G203,Tb_KostenTypen[],2,0),VLOOKUP(F203,Kostentypen!$A$3:$E$20,3,0))),"")</f>
        <v/>
      </c>
      <c r="I203" s="311"/>
      <c r="J203" s="312" t="str" cm="1">
        <f t="array" ref="J203">_xlfn.IFNA(IF(INDEX(Tb_KostenOpties[],MATCH($F203,Tb_KostenOpties[KostenOptie],0),IFERROR(MATCH(Methode_Keuze,Tb_KostenOpties[#Headers],0),2))=1,_xlfn.SWITCH($H203,"Uurtarief",IF(OR(AND(RIGHT($F203,3)="IKS",VLOOKUP($I203,Loonkosten,2,0)="Ja"),AND(RIGHT($F203,3)&lt;&gt;"IKS",VLOOKUP($I203,Loonkosten,2,0)="Nee")), VLOOKUP($I203,Loonkosten,MATCH("Opgegeven uurtarief",'4. Rekenhulp loonkosten aanvr.'!$4:$4,0)),0),"Vast tarief",IF(LEFT(F203,8)="Bijdrage",VLOOKUP($F203,Tb_KostenTypen[],MATCH(Lijsten!$P$1,Tb_KostenTypen[#Headers],0),0),VLOOKUP($G203,Lijsten!L:P,MATCH(Lijsten!$P$1,Kop_Tarief_Vast,0),0))),""),"")</f>
        <v/>
      </c>
      <c r="K203" s="312" t="str" cm="1">
        <f t="array" ref="K203">_xlfn.IFNA(IF(INDEX(Tb_KostenOpties[],MATCH($F203,Tb_KostenOpties[KostenOptie],0),IFERROR(MATCH(Methode_Keuze,Tb_KostenOpties[#Headers],0),2))=1,_xlfn.SWITCH($H203,"Uurtarief",IF(OR(AND(RIGHT($F203,3)="IKS",VLOOKUP($I203,Loonkosten,2,0)="Ja"),AND(RIGHT($F203,3)&lt;&gt;"IKS",VLOOKUP($I203,Loonkosten,2,0)="Nee")), VLOOKUP($I203,Loonkosten,MATCH("Beoordeeld uurtarief",'4. Rekenhulp loonkosten aanvr.'!$4:$4,0),0),0),"Vast tarief",IF(LEFT(F203,8)="Bijdrage",VLOOKUP($F203,Tb_KostenTypen[],MATCH(Lijsten!$P$1,Tb_KostenTypen[#Headers],0),0),VLOOKUP($G203,Lijsten!L:P,MATCH(Lijsten!$P$1,Kop_Tarief_Vast,0),0))),""),"")</f>
        <v/>
      </c>
      <c r="L203" s="358"/>
      <c r="M203" s="358"/>
      <c r="N203" s="313"/>
      <c r="O203" s="313"/>
      <c r="P203" s="374" t="str">
        <f t="shared" si="13"/>
        <v/>
      </c>
      <c r="Q203" s="314" t="str">
        <f t="shared" si="14"/>
        <v/>
      </c>
      <c r="R203" s="314" t="str" cm="1">
        <f t="array" aca="1" ref="R203" ca="1">_xlfn.IFNA(_xlfn.IFS(X203="Dit kostentype hoeft u niet op te geven. Hiervoor wordt een forfait berekend.","",AND(J203&lt;&gt;"",H203="Vast tarief",F203="Vergoeding"),SUM(J203)*FLOOR(SUM(L203),0.0001),AND(J203&lt;&gt;"",OR(H203="Uurtarief",H203="Vast tarief")),SUM(J203)*FLOOR(SUM(L203),0.01),AND(N203&lt;&gt;"",H203="-"),FLOOR(SUM(N203),0.01)),"")</f>
        <v/>
      </c>
      <c r="S203" s="314" t="str" cm="1">
        <f t="array" aca="1" ref="S203" ca="1">_xlfn.IFNA(_xlfn.IFS(X203="Dit kostentype hoeft u niet op te geven. Hiervoor wordt een forfait berekend.","",AND(K203&lt;&gt;"",M203&lt;&gt;"",H203="Vast tarief",F203="Vergoeding"),SUM(K203)*FLOOR(SUM(M203),0.0001),AND(K203&lt;&gt;"",M203&lt;&gt;"",OR(H203="Uurtarief",H203="Vast tarief")),SUM(K203)*FLOOR(SUM(M203),0.01),AND(O203&lt;&gt;"",H203="-"),FLOOR(SUM(O203),0.01)),"")</f>
        <v/>
      </c>
      <c r="T203" s="314" t="str">
        <f t="shared" ca="1" si="15"/>
        <v/>
      </c>
      <c r="U203" s="314" t="str" cm="1">
        <f t="array" aca="1" ref="U203" ca="1">IFERROR(_xlfn.IFS(OR(F203="",LEFT(Methode_Keuze,4)="Geen",Methode_Keuze=""),"",AND(R203&lt;&gt;"",F203&lt;&gt;"Arbeidskosten"),R203*VLOOKUP(F203,Tb_ProjectKosten[],MATCH(Tb_ProjectKosten[[#Headers],[Forfait_Percentage]],Tb_ProjectKosten[#Headers],0),0),AND(F203="Arbeidskosten",G203&lt;&gt;""),IFERROR(R203*VLOOKUP(G203,Tb_KostenTypen[],3,0)*VLOOKUP(F203,Tb_ProjectKosten[],MATCH(Tb_ProjectKosten[[#Headers],[Forfait_Percentage]],Tb_ProjectKosten[#Headers],0),0),""),R203 &lt;=0,0),"")</f>
        <v/>
      </c>
      <c r="V203" s="314" t="str" cm="1">
        <f t="array" aca="1" ref="V203" ca="1">IFERROR(_xlfn.IFS(OR(F203="",LEFT(Methode_Keuze,4)="Geen",Methode_Keuze=""),"",AND(S203&lt;&gt;"",F203&lt;&gt;"Arbeidskosten"),S203*VLOOKUP(F203,Tb_ProjectKosten[],MATCH(Tb_ProjectKosten[[#Headers],[Forfait_Percentage]],Tb_ProjectKosten[#Headers],0),0),AND(F203="Arbeidskosten",G203&lt;&gt;""),IFERROR(S203*VLOOKUP(G203,Tb_KostenTypen[],3,0)*VLOOKUP(F203,Tb_ProjectKosten[],MATCH(Tb_ProjectKosten[[#Headers],[Forfait_Percentage]],Tb_ProjectKosten[#Headers],0),0),""),S203 &lt;=0,0),"")</f>
        <v/>
      </c>
      <c r="W203" s="314" t="str">
        <f t="shared" ca="1" si="16"/>
        <v/>
      </c>
      <c r="X203" s="376" t="str">
        <f>IFERROR(VLOOKUP(F203,Tb_ProjectKosten[#All],11,0),"")</f>
        <v/>
      </c>
      <c r="Y203" s="315"/>
    </row>
    <row r="204" spans="1:25" x14ac:dyDescent="0.25">
      <c r="A204" s="309">
        <f>MAX($A$5:A203)+1</f>
        <v>199</v>
      </c>
      <c r="B204" s="296"/>
      <c r="C204" s="296"/>
      <c r="D204" s="296"/>
      <c r="E204" s="296"/>
      <c r="F204" s="296"/>
      <c r="G204" s="327"/>
      <c r="H204" s="310" t="str">
        <f ca="1">IFERROR(IF(VLOOKUP(F204,Kostentypen!$A$3:$E$21,3,0)=0,"",IF(OR(F204="Arbeidskosten",F204="Vergoeding"),VLOOKUP(G204,Tb_KostenTypen[],2,0),VLOOKUP(F204,Kostentypen!$A$3:$E$20,3,0))),"")</f>
        <v/>
      </c>
      <c r="I204" s="311"/>
      <c r="J204" s="312" t="str" cm="1">
        <f t="array" ref="J204">_xlfn.IFNA(IF(INDEX(Tb_KostenOpties[],MATCH($F204,Tb_KostenOpties[KostenOptie],0),IFERROR(MATCH(Methode_Keuze,Tb_KostenOpties[#Headers],0),2))=1,_xlfn.SWITCH($H204,"Uurtarief",IF(OR(AND(RIGHT($F204,3)="IKS",VLOOKUP($I204,Loonkosten,2,0)="Ja"),AND(RIGHT($F204,3)&lt;&gt;"IKS",VLOOKUP($I204,Loonkosten,2,0)="Nee")), VLOOKUP($I204,Loonkosten,MATCH("Opgegeven uurtarief",'4. Rekenhulp loonkosten aanvr.'!$4:$4,0)),0),"Vast tarief",IF(LEFT(F204,8)="Bijdrage",VLOOKUP($F204,Tb_KostenTypen[],MATCH(Lijsten!$P$1,Tb_KostenTypen[#Headers],0),0),VLOOKUP($G204,Lijsten!L:P,MATCH(Lijsten!$P$1,Kop_Tarief_Vast,0),0))),""),"")</f>
        <v/>
      </c>
      <c r="K204" s="312" t="str" cm="1">
        <f t="array" ref="K204">_xlfn.IFNA(IF(INDEX(Tb_KostenOpties[],MATCH($F204,Tb_KostenOpties[KostenOptie],0),IFERROR(MATCH(Methode_Keuze,Tb_KostenOpties[#Headers],0),2))=1,_xlfn.SWITCH($H204,"Uurtarief",IF(OR(AND(RIGHT($F204,3)="IKS",VLOOKUP($I204,Loonkosten,2,0)="Ja"),AND(RIGHT($F204,3)&lt;&gt;"IKS",VLOOKUP($I204,Loonkosten,2,0)="Nee")), VLOOKUP($I204,Loonkosten,MATCH("Beoordeeld uurtarief",'4. Rekenhulp loonkosten aanvr.'!$4:$4,0),0),0),"Vast tarief",IF(LEFT(F204,8)="Bijdrage",VLOOKUP($F204,Tb_KostenTypen[],MATCH(Lijsten!$P$1,Tb_KostenTypen[#Headers],0),0),VLOOKUP($G204,Lijsten!L:P,MATCH(Lijsten!$P$1,Kop_Tarief_Vast,0),0))),""),"")</f>
        <v/>
      </c>
      <c r="L204" s="358"/>
      <c r="M204" s="358"/>
      <c r="N204" s="313"/>
      <c r="O204" s="313"/>
      <c r="P204" s="374" t="str">
        <f t="shared" si="13"/>
        <v/>
      </c>
      <c r="Q204" s="314" t="str">
        <f t="shared" si="14"/>
        <v/>
      </c>
      <c r="R204" s="314" t="str" cm="1">
        <f t="array" aca="1" ref="R204" ca="1">_xlfn.IFNA(_xlfn.IFS(X204="Dit kostentype hoeft u niet op te geven. Hiervoor wordt een forfait berekend.","",AND(J204&lt;&gt;"",H204="Vast tarief",F204="Vergoeding"),SUM(J204)*FLOOR(SUM(L204),0.0001),AND(J204&lt;&gt;"",OR(H204="Uurtarief",H204="Vast tarief")),SUM(J204)*FLOOR(SUM(L204),0.01),AND(N204&lt;&gt;"",H204="-"),FLOOR(SUM(N204),0.01)),"")</f>
        <v/>
      </c>
      <c r="S204" s="314" t="str" cm="1">
        <f t="array" aca="1" ref="S204" ca="1">_xlfn.IFNA(_xlfn.IFS(X204="Dit kostentype hoeft u niet op te geven. Hiervoor wordt een forfait berekend.","",AND(K204&lt;&gt;"",M204&lt;&gt;"",H204="Vast tarief",F204="Vergoeding"),SUM(K204)*FLOOR(SUM(M204),0.0001),AND(K204&lt;&gt;"",M204&lt;&gt;"",OR(H204="Uurtarief",H204="Vast tarief")),SUM(K204)*FLOOR(SUM(M204),0.01),AND(O204&lt;&gt;"",H204="-"),FLOOR(SUM(O204),0.01)),"")</f>
        <v/>
      </c>
      <c r="T204" s="314" t="str">
        <f t="shared" ca="1" si="15"/>
        <v/>
      </c>
      <c r="U204" s="314" t="str" cm="1">
        <f t="array" aca="1" ref="U204" ca="1">IFERROR(_xlfn.IFS(OR(F204="",LEFT(Methode_Keuze,4)="Geen",Methode_Keuze=""),"",AND(R204&lt;&gt;"",F204&lt;&gt;"Arbeidskosten"),R204*VLOOKUP(F204,Tb_ProjectKosten[],MATCH(Tb_ProjectKosten[[#Headers],[Forfait_Percentage]],Tb_ProjectKosten[#Headers],0),0),AND(F204="Arbeidskosten",G204&lt;&gt;""),IFERROR(R204*VLOOKUP(G204,Tb_KostenTypen[],3,0)*VLOOKUP(F204,Tb_ProjectKosten[],MATCH(Tb_ProjectKosten[[#Headers],[Forfait_Percentage]],Tb_ProjectKosten[#Headers],0),0),""),R204 &lt;=0,0),"")</f>
        <v/>
      </c>
      <c r="V204" s="314" t="str" cm="1">
        <f t="array" aca="1" ref="V204" ca="1">IFERROR(_xlfn.IFS(OR(F204="",LEFT(Methode_Keuze,4)="Geen",Methode_Keuze=""),"",AND(S204&lt;&gt;"",F204&lt;&gt;"Arbeidskosten"),S204*VLOOKUP(F204,Tb_ProjectKosten[],MATCH(Tb_ProjectKosten[[#Headers],[Forfait_Percentage]],Tb_ProjectKosten[#Headers],0),0),AND(F204="Arbeidskosten",G204&lt;&gt;""),IFERROR(S204*VLOOKUP(G204,Tb_KostenTypen[],3,0)*VLOOKUP(F204,Tb_ProjectKosten[],MATCH(Tb_ProjectKosten[[#Headers],[Forfait_Percentage]],Tb_ProjectKosten[#Headers],0),0),""),S204 &lt;=0,0),"")</f>
        <v/>
      </c>
      <c r="W204" s="314" t="str">
        <f t="shared" ca="1" si="16"/>
        <v/>
      </c>
      <c r="X204" s="376" t="str">
        <f>IFERROR(VLOOKUP(F204,Tb_ProjectKosten[#All],11,0),"")</f>
        <v/>
      </c>
      <c r="Y204" s="315"/>
    </row>
    <row r="205" spans="1:25" x14ac:dyDescent="0.25">
      <c r="A205" s="309">
        <f>MAX($A$5:A204)+1</f>
        <v>200</v>
      </c>
      <c r="B205" s="296"/>
      <c r="C205" s="296"/>
      <c r="D205" s="296"/>
      <c r="E205" s="296"/>
      <c r="F205" s="296"/>
      <c r="G205" s="327"/>
      <c r="H205" s="310" t="str">
        <f ca="1">IFERROR(IF(VLOOKUP(F205,Kostentypen!$A$3:$E$21,3,0)=0,"",IF(OR(F205="Arbeidskosten",F205="Vergoeding"),VLOOKUP(G205,Tb_KostenTypen[],2,0),VLOOKUP(F205,Kostentypen!$A$3:$E$20,3,0))),"")</f>
        <v/>
      </c>
      <c r="I205" s="311"/>
      <c r="J205" s="312" t="str" cm="1">
        <f t="array" ref="J205">_xlfn.IFNA(IF(INDEX(Tb_KostenOpties[],MATCH($F205,Tb_KostenOpties[KostenOptie],0),IFERROR(MATCH(Methode_Keuze,Tb_KostenOpties[#Headers],0),2))=1,_xlfn.SWITCH($H205,"Uurtarief",IF(OR(AND(RIGHT($F205,3)="IKS",VLOOKUP($I205,Loonkosten,2,0)="Ja"),AND(RIGHT($F205,3)&lt;&gt;"IKS",VLOOKUP($I205,Loonkosten,2,0)="Nee")), VLOOKUP($I205,Loonkosten,MATCH("Opgegeven uurtarief",'4. Rekenhulp loonkosten aanvr.'!$4:$4,0)),0),"Vast tarief",IF(LEFT(F205,8)="Bijdrage",VLOOKUP($F205,Tb_KostenTypen[],MATCH(Lijsten!$P$1,Tb_KostenTypen[#Headers],0),0),VLOOKUP($G205,Lijsten!L:P,MATCH(Lijsten!$P$1,Kop_Tarief_Vast,0),0))),""),"")</f>
        <v/>
      </c>
      <c r="K205" s="312" t="str" cm="1">
        <f t="array" ref="K205">_xlfn.IFNA(IF(INDEX(Tb_KostenOpties[],MATCH($F205,Tb_KostenOpties[KostenOptie],0),IFERROR(MATCH(Methode_Keuze,Tb_KostenOpties[#Headers],0),2))=1,_xlfn.SWITCH($H205,"Uurtarief",IF(OR(AND(RIGHT($F205,3)="IKS",VLOOKUP($I205,Loonkosten,2,0)="Ja"),AND(RIGHT($F205,3)&lt;&gt;"IKS",VLOOKUP($I205,Loonkosten,2,0)="Nee")), VLOOKUP($I205,Loonkosten,MATCH("Beoordeeld uurtarief",'4. Rekenhulp loonkosten aanvr.'!$4:$4,0),0),0),"Vast tarief",IF(LEFT(F205,8)="Bijdrage",VLOOKUP($F205,Tb_KostenTypen[],MATCH(Lijsten!$P$1,Tb_KostenTypen[#Headers],0),0),VLOOKUP($G205,Lijsten!L:P,MATCH(Lijsten!$P$1,Kop_Tarief_Vast,0),0))),""),"")</f>
        <v/>
      </c>
      <c r="L205" s="358"/>
      <c r="M205" s="358"/>
      <c r="N205" s="313"/>
      <c r="O205" s="313"/>
      <c r="P205" s="374" t="str">
        <f t="shared" si="13"/>
        <v/>
      </c>
      <c r="Q205" s="314" t="str">
        <f t="shared" si="14"/>
        <v/>
      </c>
      <c r="R205" s="314" t="str" cm="1">
        <f t="array" aca="1" ref="R205" ca="1">_xlfn.IFNA(_xlfn.IFS(X205="Dit kostentype hoeft u niet op te geven. Hiervoor wordt een forfait berekend.","",AND(J205&lt;&gt;"",H205="Vast tarief",F205="Vergoeding"),SUM(J205)*FLOOR(SUM(L205),0.0001),AND(J205&lt;&gt;"",OR(H205="Uurtarief",H205="Vast tarief")),SUM(J205)*FLOOR(SUM(L205),0.01),AND(N205&lt;&gt;"",H205="-"),FLOOR(SUM(N205),0.01)),"")</f>
        <v/>
      </c>
      <c r="S205" s="314" t="str" cm="1">
        <f t="array" aca="1" ref="S205" ca="1">_xlfn.IFNA(_xlfn.IFS(X205="Dit kostentype hoeft u niet op te geven. Hiervoor wordt een forfait berekend.","",AND(K205&lt;&gt;"",M205&lt;&gt;"",H205="Vast tarief",F205="Vergoeding"),SUM(K205)*FLOOR(SUM(M205),0.0001),AND(K205&lt;&gt;"",M205&lt;&gt;"",OR(H205="Uurtarief",H205="Vast tarief")),SUM(K205)*FLOOR(SUM(M205),0.01),AND(O205&lt;&gt;"",H205="-"),FLOOR(SUM(O205),0.01)),"")</f>
        <v/>
      </c>
      <c r="T205" s="314" t="str">
        <f t="shared" ca="1" si="15"/>
        <v/>
      </c>
      <c r="U205" s="314" t="str" cm="1">
        <f t="array" aca="1" ref="U205" ca="1">IFERROR(_xlfn.IFS(OR(F205="",LEFT(Methode_Keuze,4)="Geen",Methode_Keuze=""),"",AND(R205&lt;&gt;"",F205&lt;&gt;"Arbeidskosten"),R205*VLOOKUP(F205,Tb_ProjectKosten[],MATCH(Tb_ProjectKosten[[#Headers],[Forfait_Percentage]],Tb_ProjectKosten[#Headers],0),0),AND(F205="Arbeidskosten",G205&lt;&gt;""),IFERROR(R205*VLOOKUP(G205,Tb_KostenTypen[],3,0)*VLOOKUP(F205,Tb_ProjectKosten[],MATCH(Tb_ProjectKosten[[#Headers],[Forfait_Percentage]],Tb_ProjectKosten[#Headers],0),0),""),R205 &lt;=0,0),"")</f>
        <v/>
      </c>
      <c r="V205" s="314" t="str" cm="1">
        <f t="array" aca="1" ref="V205" ca="1">IFERROR(_xlfn.IFS(OR(F205="",LEFT(Methode_Keuze,4)="Geen",Methode_Keuze=""),"",AND(S205&lt;&gt;"",F205&lt;&gt;"Arbeidskosten"),S205*VLOOKUP(F205,Tb_ProjectKosten[],MATCH(Tb_ProjectKosten[[#Headers],[Forfait_Percentage]],Tb_ProjectKosten[#Headers],0),0),AND(F205="Arbeidskosten",G205&lt;&gt;""),IFERROR(S205*VLOOKUP(G205,Tb_KostenTypen[],3,0)*VLOOKUP(F205,Tb_ProjectKosten[],MATCH(Tb_ProjectKosten[[#Headers],[Forfait_Percentage]],Tb_ProjectKosten[#Headers],0),0),""),S205 &lt;=0,0),"")</f>
        <v/>
      </c>
      <c r="W205" s="314" t="str">
        <f t="shared" ca="1" si="16"/>
        <v/>
      </c>
      <c r="X205" s="376" t="str">
        <f>IFERROR(VLOOKUP(F205,Tb_ProjectKosten[#All],11,0),"")</f>
        <v/>
      </c>
      <c r="Y205" s="315"/>
    </row>
    <row r="206" spans="1:25" x14ac:dyDescent="0.25">
      <c r="A206" s="309">
        <f>MAX($A$5:A205)+1</f>
        <v>201</v>
      </c>
      <c r="B206" s="296"/>
      <c r="C206" s="296"/>
      <c r="D206" s="296"/>
      <c r="E206" s="296"/>
      <c r="F206" s="296"/>
      <c r="G206" s="327"/>
      <c r="H206" s="310" t="str">
        <f ca="1">IFERROR(IF(VLOOKUP(F206,Kostentypen!$A$3:$E$21,3,0)=0,"",IF(OR(F206="Arbeidskosten",F206="Vergoeding"),VLOOKUP(G206,Tb_KostenTypen[],2,0),VLOOKUP(F206,Kostentypen!$A$3:$E$20,3,0))),"")</f>
        <v/>
      </c>
      <c r="I206" s="311"/>
      <c r="J206" s="312" t="str" cm="1">
        <f t="array" ref="J206">_xlfn.IFNA(IF(INDEX(Tb_KostenOpties[],MATCH($F206,Tb_KostenOpties[KostenOptie],0),IFERROR(MATCH(Methode_Keuze,Tb_KostenOpties[#Headers],0),2))=1,_xlfn.SWITCH($H206,"Uurtarief",IF(OR(AND(RIGHT($F206,3)="IKS",VLOOKUP($I206,Loonkosten,2,0)="Ja"),AND(RIGHT($F206,3)&lt;&gt;"IKS",VLOOKUP($I206,Loonkosten,2,0)="Nee")), VLOOKUP($I206,Loonkosten,MATCH("Opgegeven uurtarief",'4. Rekenhulp loonkosten aanvr.'!$4:$4,0)),0),"Vast tarief",IF(LEFT(F206,8)="Bijdrage",VLOOKUP($F206,Tb_KostenTypen[],MATCH(Lijsten!$P$1,Tb_KostenTypen[#Headers],0),0),VLOOKUP($G206,Lijsten!L:P,MATCH(Lijsten!$P$1,Kop_Tarief_Vast,0),0))),""),"")</f>
        <v/>
      </c>
      <c r="K206" s="312" t="str" cm="1">
        <f t="array" ref="K206">_xlfn.IFNA(IF(INDEX(Tb_KostenOpties[],MATCH($F206,Tb_KostenOpties[KostenOptie],0),IFERROR(MATCH(Methode_Keuze,Tb_KostenOpties[#Headers],0),2))=1,_xlfn.SWITCH($H206,"Uurtarief",IF(OR(AND(RIGHT($F206,3)="IKS",VLOOKUP($I206,Loonkosten,2,0)="Ja"),AND(RIGHT($F206,3)&lt;&gt;"IKS",VLOOKUP($I206,Loonkosten,2,0)="Nee")), VLOOKUP($I206,Loonkosten,MATCH("Beoordeeld uurtarief",'4. Rekenhulp loonkosten aanvr.'!$4:$4,0),0),0),"Vast tarief",IF(LEFT(F206,8)="Bijdrage",VLOOKUP($F206,Tb_KostenTypen[],MATCH(Lijsten!$P$1,Tb_KostenTypen[#Headers],0),0),VLOOKUP($G206,Lijsten!L:P,MATCH(Lijsten!$P$1,Kop_Tarief_Vast,0),0))),""),"")</f>
        <v/>
      </c>
      <c r="L206" s="358"/>
      <c r="M206" s="358"/>
      <c r="N206" s="313"/>
      <c r="O206" s="313"/>
      <c r="P206" s="374" t="str">
        <f t="shared" si="13"/>
        <v/>
      </c>
      <c r="Q206" s="314" t="str">
        <f t="shared" si="14"/>
        <v/>
      </c>
      <c r="R206" s="314" t="str" cm="1">
        <f t="array" aca="1" ref="R206" ca="1">_xlfn.IFNA(_xlfn.IFS(X206="Dit kostentype hoeft u niet op te geven. Hiervoor wordt een forfait berekend.","",AND(J206&lt;&gt;"",H206="Vast tarief",F206="Vergoeding"),SUM(J206)*FLOOR(SUM(L206),0.0001),AND(J206&lt;&gt;"",OR(H206="Uurtarief",H206="Vast tarief")),SUM(J206)*FLOOR(SUM(L206),0.01),AND(N206&lt;&gt;"",H206="-"),FLOOR(SUM(N206),0.01)),"")</f>
        <v/>
      </c>
      <c r="S206" s="314" t="str" cm="1">
        <f t="array" aca="1" ref="S206" ca="1">_xlfn.IFNA(_xlfn.IFS(X206="Dit kostentype hoeft u niet op te geven. Hiervoor wordt een forfait berekend.","",AND(K206&lt;&gt;"",M206&lt;&gt;"",H206="Vast tarief",F206="Vergoeding"),SUM(K206)*FLOOR(SUM(M206),0.0001),AND(K206&lt;&gt;"",M206&lt;&gt;"",OR(H206="Uurtarief",H206="Vast tarief")),SUM(K206)*FLOOR(SUM(M206),0.01),AND(O206&lt;&gt;"",H206="-"),FLOOR(SUM(O206),0.01)),"")</f>
        <v/>
      </c>
      <c r="T206" s="314" t="str">
        <f t="shared" ca="1" si="15"/>
        <v/>
      </c>
      <c r="U206" s="314" t="str" cm="1">
        <f t="array" aca="1" ref="U206" ca="1">IFERROR(_xlfn.IFS(OR(F206="",LEFT(Methode_Keuze,4)="Geen",Methode_Keuze=""),"",AND(R206&lt;&gt;"",F206&lt;&gt;"Arbeidskosten"),R206*VLOOKUP(F206,Tb_ProjectKosten[],MATCH(Tb_ProjectKosten[[#Headers],[Forfait_Percentage]],Tb_ProjectKosten[#Headers],0),0),AND(F206="Arbeidskosten",G206&lt;&gt;""),IFERROR(R206*VLOOKUP(G206,Tb_KostenTypen[],3,0)*VLOOKUP(F206,Tb_ProjectKosten[],MATCH(Tb_ProjectKosten[[#Headers],[Forfait_Percentage]],Tb_ProjectKosten[#Headers],0),0),""),R206 &lt;=0,0),"")</f>
        <v/>
      </c>
      <c r="V206" s="314" t="str" cm="1">
        <f t="array" aca="1" ref="V206" ca="1">IFERROR(_xlfn.IFS(OR(F206="",LEFT(Methode_Keuze,4)="Geen",Methode_Keuze=""),"",AND(S206&lt;&gt;"",F206&lt;&gt;"Arbeidskosten"),S206*VLOOKUP(F206,Tb_ProjectKosten[],MATCH(Tb_ProjectKosten[[#Headers],[Forfait_Percentage]],Tb_ProjectKosten[#Headers],0),0),AND(F206="Arbeidskosten",G206&lt;&gt;""),IFERROR(S206*VLOOKUP(G206,Tb_KostenTypen[],3,0)*VLOOKUP(F206,Tb_ProjectKosten[],MATCH(Tb_ProjectKosten[[#Headers],[Forfait_Percentage]],Tb_ProjectKosten[#Headers],0),0),""),S206 &lt;=0,0),"")</f>
        <v/>
      </c>
      <c r="W206" s="314" t="str">
        <f t="shared" ca="1" si="16"/>
        <v/>
      </c>
      <c r="X206" s="376" t="str">
        <f>IFERROR(VLOOKUP(F206,Tb_ProjectKosten[#All],11,0),"")</f>
        <v/>
      </c>
      <c r="Y206" s="315"/>
    </row>
    <row r="207" spans="1:25" x14ac:dyDescent="0.25">
      <c r="A207" s="309">
        <f>MAX($A$5:A206)+1</f>
        <v>202</v>
      </c>
      <c r="B207" s="296"/>
      <c r="C207" s="296"/>
      <c r="D207" s="296"/>
      <c r="E207" s="296"/>
      <c r="F207" s="296"/>
      <c r="G207" s="327"/>
      <c r="H207" s="310" t="str">
        <f ca="1">IFERROR(IF(VLOOKUP(F207,Kostentypen!$A$3:$E$21,3,0)=0,"",IF(OR(F207="Arbeidskosten",F207="Vergoeding"),VLOOKUP(G207,Tb_KostenTypen[],2,0),VLOOKUP(F207,Kostentypen!$A$3:$E$20,3,0))),"")</f>
        <v/>
      </c>
      <c r="I207" s="311"/>
      <c r="J207" s="312" t="str" cm="1">
        <f t="array" ref="J207">_xlfn.IFNA(IF(INDEX(Tb_KostenOpties[],MATCH($F207,Tb_KostenOpties[KostenOptie],0),IFERROR(MATCH(Methode_Keuze,Tb_KostenOpties[#Headers],0),2))=1,_xlfn.SWITCH($H207,"Uurtarief",IF(OR(AND(RIGHT($F207,3)="IKS",VLOOKUP($I207,Loonkosten,2,0)="Ja"),AND(RIGHT($F207,3)&lt;&gt;"IKS",VLOOKUP($I207,Loonkosten,2,0)="Nee")), VLOOKUP($I207,Loonkosten,MATCH("Opgegeven uurtarief",'4. Rekenhulp loonkosten aanvr.'!$4:$4,0)),0),"Vast tarief",IF(LEFT(F207,8)="Bijdrage",VLOOKUP($F207,Tb_KostenTypen[],MATCH(Lijsten!$P$1,Tb_KostenTypen[#Headers],0),0),VLOOKUP($G207,Lijsten!L:P,MATCH(Lijsten!$P$1,Kop_Tarief_Vast,0),0))),""),"")</f>
        <v/>
      </c>
      <c r="K207" s="312" t="str" cm="1">
        <f t="array" ref="K207">_xlfn.IFNA(IF(INDEX(Tb_KostenOpties[],MATCH($F207,Tb_KostenOpties[KostenOptie],0),IFERROR(MATCH(Methode_Keuze,Tb_KostenOpties[#Headers],0),2))=1,_xlfn.SWITCH($H207,"Uurtarief",IF(OR(AND(RIGHT($F207,3)="IKS",VLOOKUP($I207,Loonkosten,2,0)="Ja"),AND(RIGHT($F207,3)&lt;&gt;"IKS",VLOOKUP($I207,Loonkosten,2,0)="Nee")), VLOOKUP($I207,Loonkosten,MATCH("Beoordeeld uurtarief",'4. Rekenhulp loonkosten aanvr.'!$4:$4,0),0),0),"Vast tarief",IF(LEFT(F207,8)="Bijdrage",VLOOKUP($F207,Tb_KostenTypen[],MATCH(Lijsten!$P$1,Tb_KostenTypen[#Headers],0),0),VLOOKUP($G207,Lijsten!L:P,MATCH(Lijsten!$P$1,Kop_Tarief_Vast,0),0))),""),"")</f>
        <v/>
      </c>
      <c r="L207" s="358"/>
      <c r="M207" s="358"/>
      <c r="N207" s="313"/>
      <c r="O207" s="313"/>
      <c r="P207" s="374" t="str">
        <f t="shared" si="13"/>
        <v/>
      </c>
      <c r="Q207" s="314" t="str">
        <f t="shared" si="14"/>
        <v/>
      </c>
      <c r="R207" s="314" t="str" cm="1">
        <f t="array" aca="1" ref="R207" ca="1">_xlfn.IFNA(_xlfn.IFS(X207="Dit kostentype hoeft u niet op te geven. Hiervoor wordt een forfait berekend.","",AND(J207&lt;&gt;"",H207="Vast tarief",F207="Vergoeding"),SUM(J207)*FLOOR(SUM(L207),0.0001),AND(J207&lt;&gt;"",OR(H207="Uurtarief",H207="Vast tarief")),SUM(J207)*FLOOR(SUM(L207),0.01),AND(N207&lt;&gt;"",H207="-"),FLOOR(SUM(N207),0.01)),"")</f>
        <v/>
      </c>
      <c r="S207" s="314" t="str" cm="1">
        <f t="array" aca="1" ref="S207" ca="1">_xlfn.IFNA(_xlfn.IFS(X207="Dit kostentype hoeft u niet op te geven. Hiervoor wordt een forfait berekend.","",AND(K207&lt;&gt;"",M207&lt;&gt;"",H207="Vast tarief",F207="Vergoeding"),SUM(K207)*FLOOR(SUM(M207),0.0001),AND(K207&lt;&gt;"",M207&lt;&gt;"",OR(H207="Uurtarief",H207="Vast tarief")),SUM(K207)*FLOOR(SUM(M207),0.01),AND(O207&lt;&gt;"",H207="-"),FLOOR(SUM(O207),0.01)),"")</f>
        <v/>
      </c>
      <c r="T207" s="314" t="str">
        <f t="shared" ca="1" si="15"/>
        <v/>
      </c>
      <c r="U207" s="314" t="str" cm="1">
        <f t="array" aca="1" ref="U207" ca="1">IFERROR(_xlfn.IFS(OR(F207="",LEFT(Methode_Keuze,4)="Geen",Methode_Keuze=""),"",AND(R207&lt;&gt;"",F207&lt;&gt;"Arbeidskosten"),R207*VLOOKUP(F207,Tb_ProjectKosten[],MATCH(Tb_ProjectKosten[[#Headers],[Forfait_Percentage]],Tb_ProjectKosten[#Headers],0),0),AND(F207="Arbeidskosten",G207&lt;&gt;""),IFERROR(R207*VLOOKUP(G207,Tb_KostenTypen[],3,0)*VLOOKUP(F207,Tb_ProjectKosten[],MATCH(Tb_ProjectKosten[[#Headers],[Forfait_Percentage]],Tb_ProjectKosten[#Headers],0),0),""),R207 &lt;=0,0),"")</f>
        <v/>
      </c>
      <c r="V207" s="314" t="str" cm="1">
        <f t="array" aca="1" ref="V207" ca="1">IFERROR(_xlfn.IFS(OR(F207="",LEFT(Methode_Keuze,4)="Geen",Methode_Keuze=""),"",AND(S207&lt;&gt;"",F207&lt;&gt;"Arbeidskosten"),S207*VLOOKUP(F207,Tb_ProjectKosten[],MATCH(Tb_ProjectKosten[[#Headers],[Forfait_Percentage]],Tb_ProjectKosten[#Headers],0),0),AND(F207="Arbeidskosten",G207&lt;&gt;""),IFERROR(S207*VLOOKUP(G207,Tb_KostenTypen[],3,0)*VLOOKUP(F207,Tb_ProjectKosten[],MATCH(Tb_ProjectKosten[[#Headers],[Forfait_Percentage]],Tb_ProjectKosten[#Headers],0),0),""),S207 &lt;=0,0),"")</f>
        <v/>
      </c>
      <c r="W207" s="314" t="str">
        <f t="shared" ca="1" si="16"/>
        <v/>
      </c>
      <c r="X207" s="376" t="str">
        <f>IFERROR(VLOOKUP(F207,Tb_ProjectKosten[#All],11,0),"")</f>
        <v/>
      </c>
      <c r="Y207" s="315"/>
    </row>
    <row r="208" spans="1:25" x14ac:dyDescent="0.25">
      <c r="A208" s="309">
        <f>MAX($A$5:A207)+1</f>
        <v>203</v>
      </c>
      <c r="B208" s="296"/>
      <c r="C208" s="296"/>
      <c r="D208" s="296"/>
      <c r="E208" s="296"/>
      <c r="F208" s="296"/>
      <c r="G208" s="327"/>
      <c r="H208" s="310" t="str">
        <f ca="1">IFERROR(IF(VLOOKUP(F208,Kostentypen!$A$3:$E$21,3,0)=0,"",IF(OR(F208="Arbeidskosten",F208="Vergoeding"),VLOOKUP(G208,Tb_KostenTypen[],2,0),VLOOKUP(F208,Kostentypen!$A$3:$E$20,3,0))),"")</f>
        <v/>
      </c>
      <c r="I208" s="311"/>
      <c r="J208" s="312" t="str" cm="1">
        <f t="array" ref="J208">_xlfn.IFNA(IF(INDEX(Tb_KostenOpties[],MATCH($F208,Tb_KostenOpties[KostenOptie],0),IFERROR(MATCH(Methode_Keuze,Tb_KostenOpties[#Headers],0),2))=1,_xlfn.SWITCH($H208,"Uurtarief",IF(OR(AND(RIGHT($F208,3)="IKS",VLOOKUP($I208,Loonkosten,2,0)="Ja"),AND(RIGHT($F208,3)&lt;&gt;"IKS",VLOOKUP($I208,Loonkosten,2,0)="Nee")), VLOOKUP($I208,Loonkosten,MATCH("Opgegeven uurtarief",'4. Rekenhulp loonkosten aanvr.'!$4:$4,0)),0),"Vast tarief",IF(LEFT(F208,8)="Bijdrage",VLOOKUP($F208,Tb_KostenTypen[],MATCH(Lijsten!$P$1,Tb_KostenTypen[#Headers],0),0),VLOOKUP($G208,Lijsten!L:P,MATCH(Lijsten!$P$1,Kop_Tarief_Vast,0),0))),""),"")</f>
        <v/>
      </c>
      <c r="K208" s="312" t="str" cm="1">
        <f t="array" ref="K208">_xlfn.IFNA(IF(INDEX(Tb_KostenOpties[],MATCH($F208,Tb_KostenOpties[KostenOptie],0),IFERROR(MATCH(Methode_Keuze,Tb_KostenOpties[#Headers],0),2))=1,_xlfn.SWITCH($H208,"Uurtarief",IF(OR(AND(RIGHT($F208,3)="IKS",VLOOKUP($I208,Loonkosten,2,0)="Ja"),AND(RIGHT($F208,3)&lt;&gt;"IKS",VLOOKUP($I208,Loonkosten,2,0)="Nee")), VLOOKUP($I208,Loonkosten,MATCH("Beoordeeld uurtarief",'4. Rekenhulp loonkosten aanvr.'!$4:$4,0),0),0),"Vast tarief",IF(LEFT(F208,8)="Bijdrage",VLOOKUP($F208,Tb_KostenTypen[],MATCH(Lijsten!$P$1,Tb_KostenTypen[#Headers],0),0),VLOOKUP($G208,Lijsten!L:P,MATCH(Lijsten!$P$1,Kop_Tarief_Vast,0),0))),""),"")</f>
        <v/>
      </c>
      <c r="L208" s="358"/>
      <c r="M208" s="358"/>
      <c r="N208" s="313"/>
      <c r="O208" s="313"/>
      <c r="P208" s="374" t="str">
        <f t="shared" si="13"/>
        <v/>
      </c>
      <c r="Q208" s="314" t="str">
        <f t="shared" si="14"/>
        <v/>
      </c>
      <c r="R208" s="314" t="str" cm="1">
        <f t="array" aca="1" ref="R208" ca="1">_xlfn.IFNA(_xlfn.IFS(X208="Dit kostentype hoeft u niet op te geven. Hiervoor wordt een forfait berekend.","",AND(J208&lt;&gt;"",H208="Vast tarief",F208="Vergoeding"),SUM(J208)*FLOOR(SUM(L208),0.0001),AND(J208&lt;&gt;"",OR(H208="Uurtarief",H208="Vast tarief")),SUM(J208)*FLOOR(SUM(L208),0.01),AND(N208&lt;&gt;"",H208="-"),FLOOR(SUM(N208),0.01)),"")</f>
        <v/>
      </c>
      <c r="S208" s="314" t="str" cm="1">
        <f t="array" aca="1" ref="S208" ca="1">_xlfn.IFNA(_xlfn.IFS(X208="Dit kostentype hoeft u niet op te geven. Hiervoor wordt een forfait berekend.","",AND(K208&lt;&gt;"",M208&lt;&gt;"",H208="Vast tarief",F208="Vergoeding"),SUM(K208)*FLOOR(SUM(M208),0.0001),AND(K208&lt;&gt;"",M208&lt;&gt;"",OR(H208="Uurtarief",H208="Vast tarief")),SUM(K208)*FLOOR(SUM(M208),0.01),AND(O208&lt;&gt;"",H208="-"),FLOOR(SUM(O208),0.01)),"")</f>
        <v/>
      </c>
      <c r="T208" s="314" t="str">
        <f t="shared" ca="1" si="15"/>
        <v/>
      </c>
      <c r="U208" s="314" t="str" cm="1">
        <f t="array" aca="1" ref="U208" ca="1">IFERROR(_xlfn.IFS(OR(F208="",LEFT(Methode_Keuze,4)="Geen",Methode_Keuze=""),"",AND(R208&lt;&gt;"",F208&lt;&gt;"Arbeidskosten"),R208*VLOOKUP(F208,Tb_ProjectKosten[],MATCH(Tb_ProjectKosten[[#Headers],[Forfait_Percentage]],Tb_ProjectKosten[#Headers],0),0),AND(F208="Arbeidskosten",G208&lt;&gt;""),IFERROR(R208*VLOOKUP(G208,Tb_KostenTypen[],3,0)*VLOOKUP(F208,Tb_ProjectKosten[],MATCH(Tb_ProjectKosten[[#Headers],[Forfait_Percentage]],Tb_ProjectKosten[#Headers],0),0),""),R208 &lt;=0,0),"")</f>
        <v/>
      </c>
      <c r="V208" s="314" t="str" cm="1">
        <f t="array" aca="1" ref="V208" ca="1">IFERROR(_xlfn.IFS(OR(F208="",LEFT(Methode_Keuze,4)="Geen",Methode_Keuze=""),"",AND(S208&lt;&gt;"",F208&lt;&gt;"Arbeidskosten"),S208*VLOOKUP(F208,Tb_ProjectKosten[],MATCH(Tb_ProjectKosten[[#Headers],[Forfait_Percentage]],Tb_ProjectKosten[#Headers],0),0),AND(F208="Arbeidskosten",G208&lt;&gt;""),IFERROR(S208*VLOOKUP(G208,Tb_KostenTypen[],3,0)*VLOOKUP(F208,Tb_ProjectKosten[],MATCH(Tb_ProjectKosten[[#Headers],[Forfait_Percentage]],Tb_ProjectKosten[#Headers],0),0),""),S208 &lt;=0,0),"")</f>
        <v/>
      </c>
      <c r="W208" s="314" t="str">
        <f t="shared" ca="1" si="16"/>
        <v/>
      </c>
      <c r="X208" s="376" t="str">
        <f>IFERROR(VLOOKUP(F208,Tb_ProjectKosten[#All],11,0),"")</f>
        <v/>
      </c>
      <c r="Y208" s="315"/>
    </row>
    <row r="209" spans="1:25" x14ac:dyDescent="0.25">
      <c r="A209" s="309">
        <f>MAX($A$5:A208)+1</f>
        <v>204</v>
      </c>
      <c r="B209" s="296"/>
      <c r="C209" s="296"/>
      <c r="D209" s="296"/>
      <c r="E209" s="296"/>
      <c r="F209" s="296"/>
      <c r="G209" s="327"/>
      <c r="H209" s="310" t="str">
        <f ca="1">IFERROR(IF(VLOOKUP(F209,Kostentypen!$A$3:$E$21,3,0)=0,"",IF(OR(F209="Arbeidskosten",F209="Vergoeding"),VLOOKUP(G209,Tb_KostenTypen[],2,0),VLOOKUP(F209,Kostentypen!$A$3:$E$20,3,0))),"")</f>
        <v/>
      </c>
      <c r="I209" s="311"/>
      <c r="J209" s="312" t="str" cm="1">
        <f t="array" ref="J209">_xlfn.IFNA(IF(INDEX(Tb_KostenOpties[],MATCH($F209,Tb_KostenOpties[KostenOptie],0),IFERROR(MATCH(Methode_Keuze,Tb_KostenOpties[#Headers],0),2))=1,_xlfn.SWITCH($H209,"Uurtarief",IF(OR(AND(RIGHT($F209,3)="IKS",VLOOKUP($I209,Loonkosten,2,0)="Ja"),AND(RIGHT($F209,3)&lt;&gt;"IKS",VLOOKUP($I209,Loonkosten,2,0)="Nee")), VLOOKUP($I209,Loonkosten,MATCH("Opgegeven uurtarief",'4. Rekenhulp loonkosten aanvr.'!$4:$4,0)),0),"Vast tarief",IF(LEFT(F209,8)="Bijdrage",VLOOKUP($F209,Tb_KostenTypen[],MATCH(Lijsten!$P$1,Tb_KostenTypen[#Headers],0),0),VLOOKUP($G209,Lijsten!L:P,MATCH(Lijsten!$P$1,Kop_Tarief_Vast,0),0))),""),"")</f>
        <v/>
      </c>
      <c r="K209" s="312" t="str" cm="1">
        <f t="array" ref="K209">_xlfn.IFNA(IF(INDEX(Tb_KostenOpties[],MATCH($F209,Tb_KostenOpties[KostenOptie],0),IFERROR(MATCH(Methode_Keuze,Tb_KostenOpties[#Headers],0),2))=1,_xlfn.SWITCH($H209,"Uurtarief",IF(OR(AND(RIGHT($F209,3)="IKS",VLOOKUP($I209,Loonkosten,2,0)="Ja"),AND(RIGHT($F209,3)&lt;&gt;"IKS",VLOOKUP($I209,Loonkosten,2,0)="Nee")), VLOOKUP($I209,Loonkosten,MATCH("Beoordeeld uurtarief",'4. Rekenhulp loonkosten aanvr.'!$4:$4,0),0),0),"Vast tarief",IF(LEFT(F209,8)="Bijdrage",VLOOKUP($F209,Tb_KostenTypen[],MATCH(Lijsten!$P$1,Tb_KostenTypen[#Headers],0),0),VLOOKUP($G209,Lijsten!L:P,MATCH(Lijsten!$P$1,Kop_Tarief_Vast,0),0))),""),"")</f>
        <v/>
      </c>
      <c r="L209" s="358"/>
      <c r="M209" s="358"/>
      <c r="N209" s="313"/>
      <c r="O209" s="313"/>
      <c r="P209" s="374" t="str">
        <f t="shared" si="13"/>
        <v/>
      </c>
      <c r="Q209" s="314" t="str">
        <f t="shared" si="14"/>
        <v/>
      </c>
      <c r="R209" s="314" t="str" cm="1">
        <f t="array" aca="1" ref="R209" ca="1">_xlfn.IFNA(_xlfn.IFS(X209="Dit kostentype hoeft u niet op te geven. Hiervoor wordt een forfait berekend.","",AND(J209&lt;&gt;"",H209="Vast tarief",F209="Vergoeding"),SUM(J209)*FLOOR(SUM(L209),0.0001),AND(J209&lt;&gt;"",OR(H209="Uurtarief",H209="Vast tarief")),SUM(J209)*FLOOR(SUM(L209),0.01),AND(N209&lt;&gt;"",H209="-"),FLOOR(SUM(N209),0.01)),"")</f>
        <v/>
      </c>
      <c r="S209" s="314" t="str" cm="1">
        <f t="array" aca="1" ref="S209" ca="1">_xlfn.IFNA(_xlfn.IFS(X209="Dit kostentype hoeft u niet op te geven. Hiervoor wordt een forfait berekend.","",AND(K209&lt;&gt;"",M209&lt;&gt;"",H209="Vast tarief",F209="Vergoeding"),SUM(K209)*FLOOR(SUM(M209),0.0001),AND(K209&lt;&gt;"",M209&lt;&gt;"",OR(H209="Uurtarief",H209="Vast tarief")),SUM(K209)*FLOOR(SUM(M209),0.01),AND(O209&lt;&gt;"",H209="-"),FLOOR(SUM(O209),0.01)),"")</f>
        <v/>
      </c>
      <c r="T209" s="314" t="str">
        <f t="shared" ca="1" si="15"/>
        <v/>
      </c>
      <c r="U209" s="314" t="str" cm="1">
        <f t="array" aca="1" ref="U209" ca="1">IFERROR(_xlfn.IFS(OR(F209="",LEFT(Methode_Keuze,4)="Geen",Methode_Keuze=""),"",AND(R209&lt;&gt;"",F209&lt;&gt;"Arbeidskosten"),R209*VLOOKUP(F209,Tb_ProjectKosten[],MATCH(Tb_ProjectKosten[[#Headers],[Forfait_Percentage]],Tb_ProjectKosten[#Headers],0),0),AND(F209="Arbeidskosten",G209&lt;&gt;""),IFERROR(R209*VLOOKUP(G209,Tb_KostenTypen[],3,0)*VLOOKUP(F209,Tb_ProjectKosten[],MATCH(Tb_ProjectKosten[[#Headers],[Forfait_Percentage]],Tb_ProjectKosten[#Headers],0),0),""),R209 &lt;=0,0),"")</f>
        <v/>
      </c>
      <c r="V209" s="314" t="str" cm="1">
        <f t="array" aca="1" ref="V209" ca="1">IFERROR(_xlfn.IFS(OR(F209="",LEFT(Methode_Keuze,4)="Geen",Methode_Keuze=""),"",AND(S209&lt;&gt;"",F209&lt;&gt;"Arbeidskosten"),S209*VLOOKUP(F209,Tb_ProjectKosten[],MATCH(Tb_ProjectKosten[[#Headers],[Forfait_Percentage]],Tb_ProjectKosten[#Headers],0),0),AND(F209="Arbeidskosten",G209&lt;&gt;""),IFERROR(S209*VLOOKUP(G209,Tb_KostenTypen[],3,0)*VLOOKUP(F209,Tb_ProjectKosten[],MATCH(Tb_ProjectKosten[[#Headers],[Forfait_Percentage]],Tb_ProjectKosten[#Headers],0),0),""),S209 &lt;=0,0),"")</f>
        <v/>
      </c>
      <c r="W209" s="314" t="str">
        <f t="shared" ca="1" si="16"/>
        <v/>
      </c>
      <c r="X209" s="376" t="str">
        <f>IFERROR(VLOOKUP(F209,Tb_ProjectKosten[#All],11,0),"")</f>
        <v/>
      </c>
      <c r="Y209" s="315"/>
    </row>
    <row r="210" spans="1:25" x14ac:dyDescent="0.25">
      <c r="A210" s="309">
        <f>MAX($A$5:A209)+1</f>
        <v>205</v>
      </c>
      <c r="B210" s="296"/>
      <c r="C210" s="296"/>
      <c r="D210" s="296"/>
      <c r="E210" s="296"/>
      <c r="F210" s="296"/>
      <c r="G210" s="327"/>
      <c r="H210" s="310" t="str">
        <f ca="1">IFERROR(IF(VLOOKUP(F210,Kostentypen!$A$3:$E$21,3,0)=0,"",IF(OR(F210="Arbeidskosten",F210="Vergoeding"),VLOOKUP(G210,Tb_KostenTypen[],2,0),VLOOKUP(F210,Kostentypen!$A$3:$E$20,3,0))),"")</f>
        <v/>
      </c>
      <c r="I210" s="311"/>
      <c r="J210" s="312" t="str" cm="1">
        <f t="array" ref="J210">_xlfn.IFNA(IF(INDEX(Tb_KostenOpties[],MATCH($F210,Tb_KostenOpties[KostenOptie],0),IFERROR(MATCH(Methode_Keuze,Tb_KostenOpties[#Headers],0),2))=1,_xlfn.SWITCH($H210,"Uurtarief",IF(OR(AND(RIGHT($F210,3)="IKS",VLOOKUP($I210,Loonkosten,2,0)="Ja"),AND(RIGHT($F210,3)&lt;&gt;"IKS",VLOOKUP($I210,Loonkosten,2,0)="Nee")), VLOOKUP($I210,Loonkosten,MATCH("Opgegeven uurtarief",'4. Rekenhulp loonkosten aanvr.'!$4:$4,0)),0),"Vast tarief",IF(LEFT(F210,8)="Bijdrage",VLOOKUP($F210,Tb_KostenTypen[],MATCH(Lijsten!$P$1,Tb_KostenTypen[#Headers],0),0),VLOOKUP($G210,Lijsten!L:P,MATCH(Lijsten!$P$1,Kop_Tarief_Vast,0),0))),""),"")</f>
        <v/>
      </c>
      <c r="K210" s="312" t="str" cm="1">
        <f t="array" ref="K210">_xlfn.IFNA(IF(INDEX(Tb_KostenOpties[],MATCH($F210,Tb_KostenOpties[KostenOptie],0),IFERROR(MATCH(Methode_Keuze,Tb_KostenOpties[#Headers],0),2))=1,_xlfn.SWITCH($H210,"Uurtarief",IF(OR(AND(RIGHT($F210,3)="IKS",VLOOKUP($I210,Loonkosten,2,0)="Ja"),AND(RIGHT($F210,3)&lt;&gt;"IKS",VLOOKUP($I210,Loonkosten,2,0)="Nee")), VLOOKUP($I210,Loonkosten,MATCH("Beoordeeld uurtarief",'4. Rekenhulp loonkosten aanvr.'!$4:$4,0),0),0),"Vast tarief",IF(LEFT(F210,8)="Bijdrage",VLOOKUP($F210,Tb_KostenTypen[],MATCH(Lijsten!$P$1,Tb_KostenTypen[#Headers],0),0),VLOOKUP($G210,Lijsten!L:P,MATCH(Lijsten!$P$1,Kop_Tarief_Vast,0),0))),""),"")</f>
        <v/>
      </c>
      <c r="L210" s="358"/>
      <c r="M210" s="358"/>
      <c r="N210" s="313"/>
      <c r="O210" s="313"/>
      <c r="P210" s="374" t="str">
        <f t="shared" si="13"/>
        <v/>
      </c>
      <c r="Q210" s="314" t="str">
        <f t="shared" si="14"/>
        <v/>
      </c>
      <c r="R210" s="314" t="str" cm="1">
        <f t="array" aca="1" ref="R210" ca="1">_xlfn.IFNA(_xlfn.IFS(X210="Dit kostentype hoeft u niet op te geven. Hiervoor wordt een forfait berekend.","",AND(J210&lt;&gt;"",H210="Vast tarief",F210="Vergoeding"),SUM(J210)*FLOOR(SUM(L210),0.0001),AND(J210&lt;&gt;"",OR(H210="Uurtarief",H210="Vast tarief")),SUM(J210)*FLOOR(SUM(L210),0.01),AND(N210&lt;&gt;"",H210="-"),FLOOR(SUM(N210),0.01)),"")</f>
        <v/>
      </c>
      <c r="S210" s="314" t="str" cm="1">
        <f t="array" aca="1" ref="S210" ca="1">_xlfn.IFNA(_xlfn.IFS(X210="Dit kostentype hoeft u niet op te geven. Hiervoor wordt een forfait berekend.","",AND(K210&lt;&gt;"",M210&lt;&gt;"",H210="Vast tarief",F210="Vergoeding"),SUM(K210)*FLOOR(SUM(M210),0.0001),AND(K210&lt;&gt;"",M210&lt;&gt;"",OR(H210="Uurtarief",H210="Vast tarief")),SUM(K210)*FLOOR(SUM(M210),0.01),AND(O210&lt;&gt;"",H210="-"),FLOOR(SUM(O210),0.01)),"")</f>
        <v/>
      </c>
      <c r="T210" s="314" t="str">
        <f t="shared" ca="1" si="15"/>
        <v/>
      </c>
      <c r="U210" s="314" t="str" cm="1">
        <f t="array" aca="1" ref="U210" ca="1">IFERROR(_xlfn.IFS(OR(F210="",LEFT(Methode_Keuze,4)="Geen",Methode_Keuze=""),"",AND(R210&lt;&gt;"",F210&lt;&gt;"Arbeidskosten"),R210*VLOOKUP(F210,Tb_ProjectKosten[],MATCH(Tb_ProjectKosten[[#Headers],[Forfait_Percentage]],Tb_ProjectKosten[#Headers],0),0),AND(F210="Arbeidskosten",G210&lt;&gt;""),IFERROR(R210*VLOOKUP(G210,Tb_KostenTypen[],3,0)*VLOOKUP(F210,Tb_ProjectKosten[],MATCH(Tb_ProjectKosten[[#Headers],[Forfait_Percentage]],Tb_ProjectKosten[#Headers],0),0),""),R210 &lt;=0,0),"")</f>
        <v/>
      </c>
      <c r="V210" s="314" t="str" cm="1">
        <f t="array" aca="1" ref="V210" ca="1">IFERROR(_xlfn.IFS(OR(F210="",LEFT(Methode_Keuze,4)="Geen",Methode_Keuze=""),"",AND(S210&lt;&gt;"",F210&lt;&gt;"Arbeidskosten"),S210*VLOOKUP(F210,Tb_ProjectKosten[],MATCH(Tb_ProjectKosten[[#Headers],[Forfait_Percentage]],Tb_ProjectKosten[#Headers],0),0),AND(F210="Arbeidskosten",G210&lt;&gt;""),IFERROR(S210*VLOOKUP(G210,Tb_KostenTypen[],3,0)*VLOOKUP(F210,Tb_ProjectKosten[],MATCH(Tb_ProjectKosten[[#Headers],[Forfait_Percentage]],Tb_ProjectKosten[#Headers],0),0),""),S210 &lt;=0,0),"")</f>
        <v/>
      </c>
      <c r="W210" s="314" t="str">
        <f t="shared" ca="1" si="16"/>
        <v/>
      </c>
      <c r="X210" s="376" t="str">
        <f>IFERROR(VLOOKUP(F210,Tb_ProjectKosten[#All],11,0),"")</f>
        <v/>
      </c>
      <c r="Y210" s="315"/>
    </row>
    <row r="211" spans="1:25" x14ac:dyDescent="0.25">
      <c r="A211" s="309">
        <f>MAX($A$5:A210)+1</f>
        <v>206</v>
      </c>
      <c r="B211" s="296"/>
      <c r="C211" s="296"/>
      <c r="D211" s="296"/>
      <c r="E211" s="296"/>
      <c r="F211" s="296"/>
      <c r="G211" s="327"/>
      <c r="H211" s="310" t="str">
        <f ca="1">IFERROR(IF(VLOOKUP(F211,Kostentypen!$A$3:$E$21,3,0)=0,"",IF(OR(F211="Arbeidskosten",F211="Vergoeding"),VLOOKUP(G211,Tb_KostenTypen[],2,0),VLOOKUP(F211,Kostentypen!$A$3:$E$20,3,0))),"")</f>
        <v/>
      </c>
      <c r="I211" s="311"/>
      <c r="J211" s="312" t="str" cm="1">
        <f t="array" ref="J211">_xlfn.IFNA(IF(INDEX(Tb_KostenOpties[],MATCH($F211,Tb_KostenOpties[KostenOptie],0),IFERROR(MATCH(Methode_Keuze,Tb_KostenOpties[#Headers],0),2))=1,_xlfn.SWITCH($H211,"Uurtarief",IF(OR(AND(RIGHT($F211,3)="IKS",VLOOKUP($I211,Loonkosten,2,0)="Ja"),AND(RIGHT($F211,3)&lt;&gt;"IKS",VLOOKUP($I211,Loonkosten,2,0)="Nee")), VLOOKUP($I211,Loonkosten,MATCH("Opgegeven uurtarief",'4. Rekenhulp loonkosten aanvr.'!$4:$4,0)),0),"Vast tarief",IF(LEFT(F211,8)="Bijdrage",VLOOKUP($F211,Tb_KostenTypen[],MATCH(Lijsten!$P$1,Tb_KostenTypen[#Headers],0),0),VLOOKUP($G211,Lijsten!L:P,MATCH(Lijsten!$P$1,Kop_Tarief_Vast,0),0))),""),"")</f>
        <v/>
      </c>
      <c r="K211" s="312" t="str" cm="1">
        <f t="array" ref="K211">_xlfn.IFNA(IF(INDEX(Tb_KostenOpties[],MATCH($F211,Tb_KostenOpties[KostenOptie],0),IFERROR(MATCH(Methode_Keuze,Tb_KostenOpties[#Headers],0),2))=1,_xlfn.SWITCH($H211,"Uurtarief",IF(OR(AND(RIGHT($F211,3)="IKS",VLOOKUP($I211,Loonkosten,2,0)="Ja"),AND(RIGHT($F211,3)&lt;&gt;"IKS",VLOOKUP($I211,Loonkosten,2,0)="Nee")), VLOOKUP($I211,Loonkosten,MATCH("Beoordeeld uurtarief",'4. Rekenhulp loonkosten aanvr.'!$4:$4,0),0),0),"Vast tarief",IF(LEFT(F211,8)="Bijdrage",VLOOKUP($F211,Tb_KostenTypen[],MATCH(Lijsten!$P$1,Tb_KostenTypen[#Headers],0),0),VLOOKUP($G211,Lijsten!L:P,MATCH(Lijsten!$P$1,Kop_Tarief_Vast,0),0))),""),"")</f>
        <v/>
      </c>
      <c r="L211" s="358"/>
      <c r="M211" s="358"/>
      <c r="N211" s="313"/>
      <c r="O211" s="313"/>
      <c r="P211" s="374" t="str">
        <f t="shared" si="13"/>
        <v/>
      </c>
      <c r="Q211" s="314" t="str">
        <f t="shared" si="14"/>
        <v/>
      </c>
      <c r="R211" s="314" t="str" cm="1">
        <f t="array" aca="1" ref="R211" ca="1">_xlfn.IFNA(_xlfn.IFS(X211="Dit kostentype hoeft u niet op te geven. Hiervoor wordt een forfait berekend.","",AND(J211&lt;&gt;"",H211="Vast tarief",F211="Vergoeding"),SUM(J211)*FLOOR(SUM(L211),0.0001),AND(J211&lt;&gt;"",OR(H211="Uurtarief",H211="Vast tarief")),SUM(J211)*FLOOR(SUM(L211),0.01),AND(N211&lt;&gt;"",H211="-"),FLOOR(SUM(N211),0.01)),"")</f>
        <v/>
      </c>
      <c r="S211" s="314" t="str" cm="1">
        <f t="array" aca="1" ref="S211" ca="1">_xlfn.IFNA(_xlfn.IFS(X211="Dit kostentype hoeft u niet op te geven. Hiervoor wordt een forfait berekend.","",AND(K211&lt;&gt;"",M211&lt;&gt;"",H211="Vast tarief",F211="Vergoeding"),SUM(K211)*FLOOR(SUM(M211),0.0001),AND(K211&lt;&gt;"",M211&lt;&gt;"",OR(H211="Uurtarief",H211="Vast tarief")),SUM(K211)*FLOOR(SUM(M211),0.01),AND(O211&lt;&gt;"",H211="-"),FLOOR(SUM(O211),0.01)),"")</f>
        <v/>
      </c>
      <c r="T211" s="314" t="str">
        <f t="shared" ca="1" si="15"/>
        <v/>
      </c>
      <c r="U211" s="314" t="str" cm="1">
        <f t="array" aca="1" ref="U211" ca="1">IFERROR(_xlfn.IFS(OR(F211="",LEFT(Methode_Keuze,4)="Geen",Methode_Keuze=""),"",AND(R211&lt;&gt;"",F211&lt;&gt;"Arbeidskosten"),R211*VLOOKUP(F211,Tb_ProjectKosten[],MATCH(Tb_ProjectKosten[[#Headers],[Forfait_Percentage]],Tb_ProjectKosten[#Headers],0),0),AND(F211="Arbeidskosten",G211&lt;&gt;""),IFERROR(R211*VLOOKUP(G211,Tb_KostenTypen[],3,0)*VLOOKUP(F211,Tb_ProjectKosten[],MATCH(Tb_ProjectKosten[[#Headers],[Forfait_Percentage]],Tb_ProjectKosten[#Headers],0),0),""),R211 &lt;=0,0),"")</f>
        <v/>
      </c>
      <c r="V211" s="314" t="str" cm="1">
        <f t="array" aca="1" ref="V211" ca="1">IFERROR(_xlfn.IFS(OR(F211="",LEFT(Methode_Keuze,4)="Geen",Methode_Keuze=""),"",AND(S211&lt;&gt;"",F211&lt;&gt;"Arbeidskosten"),S211*VLOOKUP(F211,Tb_ProjectKosten[],MATCH(Tb_ProjectKosten[[#Headers],[Forfait_Percentage]],Tb_ProjectKosten[#Headers],0),0),AND(F211="Arbeidskosten",G211&lt;&gt;""),IFERROR(S211*VLOOKUP(G211,Tb_KostenTypen[],3,0)*VLOOKUP(F211,Tb_ProjectKosten[],MATCH(Tb_ProjectKosten[[#Headers],[Forfait_Percentage]],Tb_ProjectKosten[#Headers],0),0),""),S211 &lt;=0,0),"")</f>
        <v/>
      </c>
      <c r="W211" s="314" t="str">
        <f t="shared" ca="1" si="16"/>
        <v/>
      </c>
      <c r="X211" s="376" t="str">
        <f>IFERROR(VLOOKUP(F211,Tb_ProjectKosten[#All],11,0),"")</f>
        <v/>
      </c>
      <c r="Y211" s="315"/>
    </row>
    <row r="212" spans="1:25" x14ac:dyDescent="0.25">
      <c r="A212" s="309">
        <f>MAX($A$5:A211)+1</f>
        <v>207</v>
      </c>
      <c r="B212" s="296"/>
      <c r="C212" s="296"/>
      <c r="D212" s="296"/>
      <c r="E212" s="296"/>
      <c r="F212" s="296"/>
      <c r="G212" s="327"/>
      <c r="H212" s="310" t="str">
        <f ca="1">IFERROR(IF(VLOOKUP(F212,Kostentypen!$A$3:$E$21,3,0)=0,"",IF(OR(F212="Arbeidskosten",F212="Vergoeding"),VLOOKUP(G212,Tb_KostenTypen[],2,0),VLOOKUP(F212,Kostentypen!$A$3:$E$20,3,0))),"")</f>
        <v/>
      </c>
      <c r="I212" s="311"/>
      <c r="J212" s="312" t="str" cm="1">
        <f t="array" ref="J212">_xlfn.IFNA(IF(INDEX(Tb_KostenOpties[],MATCH($F212,Tb_KostenOpties[KostenOptie],0),IFERROR(MATCH(Methode_Keuze,Tb_KostenOpties[#Headers],0),2))=1,_xlfn.SWITCH($H212,"Uurtarief",IF(OR(AND(RIGHT($F212,3)="IKS",VLOOKUP($I212,Loonkosten,2,0)="Ja"),AND(RIGHT($F212,3)&lt;&gt;"IKS",VLOOKUP($I212,Loonkosten,2,0)="Nee")), VLOOKUP($I212,Loonkosten,MATCH("Opgegeven uurtarief",'4. Rekenhulp loonkosten aanvr.'!$4:$4,0)),0),"Vast tarief",IF(LEFT(F212,8)="Bijdrage",VLOOKUP($F212,Tb_KostenTypen[],MATCH(Lijsten!$P$1,Tb_KostenTypen[#Headers],0),0),VLOOKUP($G212,Lijsten!L:P,MATCH(Lijsten!$P$1,Kop_Tarief_Vast,0),0))),""),"")</f>
        <v/>
      </c>
      <c r="K212" s="312" t="str" cm="1">
        <f t="array" ref="K212">_xlfn.IFNA(IF(INDEX(Tb_KostenOpties[],MATCH($F212,Tb_KostenOpties[KostenOptie],0),IFERROR(MATCH(Methode_Keuze,Tb_KostenOpties[#Headers],0),2))=1,_xlfn.SWITCH($H212,"Uurtarief",IF(OR(AND(RIGHT($F212,3)="IKS",VLOOKUP($I212,Loonkosten,2,0)="Ja"),AND(RIGHT($F212,3)&lt;&gt;"IKS",VLOOKUP($I212,Loonkosten,2,0)="Nee")), VLOOKUP($I212,Loonkosten,MATCH("Beoordeeld uurtarief",'4. Rekenhulp loonkosten aanvr.'!$4:$4,0),0),0),"Vast tarief",IF(LEFT(F212,8)="Bijdrage",VLOOKUP($F212,Tb_KostenTypen[],MATCH(Lijsten!$P$1,Tb_KostenTypen[#Headers],0),0),VLOOKUP($G212,Lijsten!L:P,MATCH(Lijsten!$P$1,Kop_Tarief_Vast,0),0))),""),"")</f>
        <v/>
      </c>
      <c r="L212" s="358"/>
      <c r="M212" s="358"/>
      <c r="N212" s="313"/>
      <c r="O212" s="313"/>
      <c r="P212" s="374" t="str">
        <f t="shared" si="13"/>
        <v/>
      </c>
      <c r="Q212" s="314" t="str">
        <f t="shared" si="14"/>
        <v/>
      </c>
      <c r="R212" s="314" t="str" cm="1">
        <f t="array" aca="1" ref="R212" ca="1">_xlfn.IFNA(_xlfn.IFS(X212="Dit kostentype hoeft u niet op te geven. Hiervoor wordt een forfait berekend.","",AND(J212&lt;&gt;"",H212="Vast tarief",F212="Vergoeding"),SUM(J212)*FLOOR(SUM(L212),0.0001),AND(J212&lt;&gt;"",OR(H212="Uurtarief",H212="Vast tarief")),SUM(J212)*FLOOR(SUM(L212),0.01),AND(N212&lt;&gt;"",H212="-"),FLOOR(SUM(N212),0.01)),"")</f>
        <v/>
      </c>
      <c r="S212" s="314" t="str" cm="1">
        <f t="array" aca="1" ref="S212" ca="1">_xlfn.IFNA(_xlfn.IFS(X212="Dit kostentype hoeft u niet op te geven. Hiervoor wordt een forfait berekend.","",AND(K212&lt;&gt;"",M212&lt;&gt;"",H212="Vast tarief",F212="Vergoeding"),SUM(K212)*FLOOR(SUM(M212),0.0001),AND(K212&lt;&gt;"",M212&lt;&gt;"",OR(H212="Uurtarief",H212="Vast tarief")),SUM(K212)*FLOOR(SUM(M212),0.01),AND(O212&lt;&gt;"",H212="-"),FLOOR(SUM(O212),0.01)),"")</f>
        <v/>
      </c>
      <c r="T212" s="314" t="str">
        <f t="shared" ca="1" si="15"/>
        <v/>
      </c>
      <c r="U212" s="314" t="str" cm="1">
        <f t="array" aca="1" ref="U212" ca="1">IFERROR(_xlfn.IFS(OR(F212="",LEFT(Methode_Keuze,4)="Geen",Methode_Keuze=""),"",AND(R212&lt;&gt;"",F212&lt;&gt;"Arbeidskosten"),R212*VLOOKUP(F212,Tb_ProjectKosten[],MATCH(Tb_ProjectKosten[[#Headers],[Forfait_Percentage]],Tb_ProjectKosten[#Headers],0),0),AND(F212="Arbeidskosten",G212&lt;&gt;""),IFERROR(R212*VLOOKUP(G212,Tb_KostenTypen[],3,0)*VLOOKUP(F212,Tb_ProjectKosten[],MATCH(Tb_ProjectKosten[[#Headers],[Forfait_Percentage]],Tb_ProjectKosten[#Headers],0),0),""),R212 &lt;=0,0),"")</f>
        <v/>
      </c>
      <c r="V212" s="314" t="str" cm="1">
        <f t="array" aca="1" ref="V212" ca="1">IFERROR(_xlfn.IFS(OR(F212="",LEFT(Methode_Keuze,4)="Geen",Methode_Keuze=""),"",AND(S212&lt;&gt;"",F212&lt;&gt;"Arbeidskosten"),S212*VLOOKUP(F212,Tb_ProjectKosten[],MATCH(Tb_ProjectKosten[[#Headers],[Forfait_Percentage]],Tb_ProjectKosten[#Headers],0),0),AND(F212="Arbeidskosten",G212&lt;&gt;""),IFERROR(S212*VLOOKUP(G212,Tb_KostenTypen[],3,0)*VLOOKUP(F212,Tb_ProjectKosten[],MATCH(Tb_ProjectKosten[[#Headers],[Forfait_Percentage]],Tb_ProjectKosten[#Headers],0),0),""),S212 &lt;=0,0),"")</f>
        <v/>
      </c>
      <c r="W212" s="314" t="str">
        <f t="shared" ca="1" si="16"/>
        <v/>
      </c>
      <c r="X212" s="376" t="str">
        <f>IFERROR(VLOOKUP(F212,Tb_ProjectKosten[#All],11,0),"")</f>
        <v/>
      </c>
      <c r="Y212" s="315"/>
    </row>
    <row r="213" spans="1:25" x14ac:dyDescent="0.25">
      <c r="A213" s="309">
        <f>MAX($A$5:A212)+1</f>
        <v>208</v>
      </c>
      <c r="B213" s="296"/>
      <c r="C213" s="296"/>
      <c r="D213" s="296"/>
      <c r="E213" s="296"/>
      <c r="F213" s="296"/>
      <c r="G213" s="327"/>
      <c r="H213" s="310" t="str">
        <f ca="1">IFERROR(IF(VLOOKUP(F213,Kostentypen!$A$3:$E$21,3,0)=0,"",IF(OR(F213="Arbeidskosten",F213="Vergoeding"),VLOOKUP(G213,Tb_KostenTypen[],2,0),VLOOKUP(F213,Kostentypen!$A$3:$E$20,3,0))),"")</f>
        <v/>
      </c>
      <c r="I213" s="311"/>
      <c r="J213" s="312" t="str" cm="1">
        <f t="array" ref="J213">_xlfn.IFNA(IF(INDEX(Tb_KostenOpties[],MATCH($F213,Tb_KostenOpties[KostenOptie],0),IFERROR(MATCH(Methode_Keuze,Tb_KostenOpties[#Headers],0),2))=1,_xlfn.SWITCH($H213,"Uurtarief",IF(OR(AND(RIGHT($F213,3)="IKS",VLOOKUP($I213,Loonkosten,2,0)="Ja"),AND(RIGHT($F213,3)&lt;&gt;"IKS",VLOOKUP($I213,Loonkosten,2,0)="Nee")), VLOOKUP($I213,Loonkosten,MATCH("Opgegeven uurtarief",'4. Rekenhulp loonkosten aanvr.'!$4:$4,0)),0),"Vast tarief",IF(LEFT(F213,8)="Bijdrage",VLOOKUP($F213,Tb_KostenTypen[],MATCH(Lijsten!$P$1,Tb_KostenTypen[#Headers],0),0),VLOOKUP($G213,Lijsten!L:P,MATCH(Lijsten!$P$1,Kop_Tarief_Vast,0),0))),""),"")</f>
        <v/>
      </c>
      <c r="K213" s="312" t="str" cm="1">
        <f t="array" ref="K213">_xlfn.IFNA(IF(INDEX(Tb_KostenOpties[],MATCH($F213,Tb_KostenOpties[KostenOptie],0),IFERROR(MATCH(Methode_Keuze,Tb_KostenOpties[#Headers],0),2))=1,_xlfn.SWITCH($H213,"Uurtarief",IF(OR(AND(RIGHT($F213,3)="IKS",VLOOKUP($I213,Loonkosten,2,0)="Ja"),AND(RIGHT($F213,3)&lt;&gt;"IKS",VLOOKUP($I213,Loonkosten,2,0)="Nee")), VLOOKUP($I213,Loonkosten,MATCH("Beoordeeld uurtarief",'4. Rekenhulp loonkosten aanvr.'!$4:$4,0),0),0),"Vast tarief",IF(LEFT(F213,8)="Bijdrage",VLOOKUP($F213,Tb_KostenTypen[],MATCH(Lijsten!$P$1,Tb_KostenTypen[#Headers],0),0),VLOOKUP($G213,Lijsten!L:P,MATCH(Lijsten!$P$1,Kop_Tarief_Vast,0),0))),""),"")</f>
        <v/>
      </c>
      <c r="L213" s="358"/>
      <c r="M213" s="358"/>
      <c r="N213" s="313"/>
      <c r="O213" s="313"/>
      <c r="P213" s="374" t="str">
        <f t="shared" si="13"/>
        <v/>
      </c>
      <c r="Q213" s="314" t="str">
        <f t="shared" si="14"/>
        <v/>
      </c>
      <c r="R213" s="314" t="str" cm="1">
        <f t="array" aca="1" ref="R213" ca="1">_xlfn.IFNA(_xlfn.IFS(X213="Dit kostentype hoeft u niet op te geven. Hiervoor wordt een forfait berekend.","",AND(J213&lt;&gt;"",H213="Vast tarief",F213="Vergoeding"),SUM(J213)*FLOOR(SUM(L213),0.0001),AND(J213&lt;&gt;"",OR(H213="Uurtarief",H213="Vast tarief")),SUM(J213)*FLOOR(SUM(L213),0.01),AND(N213&lt;&gt;"",H213="-"),FLOOR(SUM(N213),0.01)),"")</f>
        <v/>
      </c>
      <c r="S213" s="314" t="str" cm="1">
        <f t="array" aca="1" ref="S213" ca="1">_xlfn.IFNA(_xlfn.IFS(X213="Dit kostentype hoeft u niet op te geven. Hiervoor wordt een forfait berekend.","",AND(K213&lt;&gt;"",M213&lt;&gt;"",H213="Vast tarief",F213="Vergoeding"),SUM(K213)*FLOOR(SUM(M213),0.0001),AND(K213&lt;&gt;"",M213&lt;&gt;"",OR(H213="Uurtarief",H213="Vast tarief")),SUM(K213)*FLOOR(SUM(M213),0.01),AND(O213&lt;&gt;"",H213="-"),FLOOR(SUM(O213),0.01)),"")</f>
        <v/>
      </c>
      <c r="T213" s="314" t="str">
        <f t="shared" ca="1" si="15"/>
        <v/>
      </c>
      <c r="U213" s="314" t="str" cm="1">
        <f t="array" aca="1" ref="U213" ca="1">IFERROR(_xlfn.IFS(OR(F213="",LEFT(Methode_Keuze,4)="Geen",Methode_Keuze=""),"",AND(R213&lt;&gt;"",F213&lt;&gt;"Arbeidskosten"),R213*VLOOKUP(F213,Tb_ProjectKosten[],MATCH(Tb_ProjectKosten[[#Headers],[Forfait_Percentage]],Tb_ProjectKosten[#Headers],0),0),AND(F213="Arbeidskosten",G213&lt;&gt;""),IFERROR(R213*VLOOKUP(G213,Tb_KostenTypen[],3,0)*VLOOKUP(F213,Tb_ProjectKosten[],MATCH(Tb_ProjectKosten[[#Headers],[Forfait_Percentage]],Tb_ProjectKosten[#Headers],0),0),""),R213 &lt;=0,0),"")</f>
        <v/>
      </c>
      <c r="V213" s="314" t="str" cm="1">
        <f t="array" aca="1" ref="V213" ca="1">IFERROR(_xlfn.IFS(OR(F213="",LEFT(Methode_Keuze,4)="Geen",Methode_Keuze=""),"",AND(S213&lt;&gt;"",F213&lt;&gt;"Arbeidskosten"),S213*VLOOKUP(F213,Tb_ProjectKosten[],MATCH(Tb_ProjectKosten[[#Headers],[Forfait_Percentage]],Tb_ProjectKosten[#Headers],0),0),AND(F213="Arbeidskosten",G213&lt;&gt;""),IFERROR(S213*VLOOKUP(G213,Tb_KostenTypen[],3,0)*VLOOKUP(F213,Tb_ProjectKosten[],MATCH(Tb_ProjectKosten[[#Headers],[Forfait_Percentage]],Tb_ProjectKosten[#Headers],0),0),""),S213 &lt;=0,0),"")</f>
        <v/>
      </c>
      <c r="W213" s="314" t="str">
        <f t="shared" ca="1" si="16"/>
        <v/>
      </c>
      <c r="X213" s="376" t="str">
        <f>IFERROR(VLOOKUP(F213,Tb_ProjectKosten[#All],11,0),"")</f>
        <v/>
      </c>
      <c r="Y213" s="315"/>
    </row>
    <row r="214" spans="1:25" x14ac:dyDescent="0.25">
      <c r="A214" s="309">
        <f>MAX($A$5:A213)+1</f>
        <v>209</v>
      </c>
      <c r="B214" s="296"/>
      <c r="C214" s="296"/>
      <c r="D214" s="296"/>
      <c r="E214" s="296"/>
      <c r="F214" s="296"/>
      <c r="G214" s="327"/>
      <c r="H214" s="310" t="str">
        <f ca="1">IFERROR(IF(VLOOKUP(F214,Kostentypen!$A$3:$E$21,3,0)=0,"",IF(OR(F214="Arbeidskosten",F214="Vergoeding"),VLOOKUP(G214,Tb_KostenTypen[],2,0),VLOOKUP(F214,Kostentypen!$A$3:$E$20,3,0))),"")</f>
        <v/>
      </c>
      <c r="I214" s="311"/>
      <c r="J214" s="312" t="str" cm="1">
        <f t="array" ref="J214">_xlfn.IFNA(IF(INDEX(Tb_KostenOpties[],MATCH($F214,Tb_KostenOpties[KostenOptie],0),IFERROR(MATCH(Methode_Keuze,Tb_KostenOpties[#Headers],0),2))=1,_xlfn.SWITCH($H214,"Uurtarief",IF(OR(AND(RIGHT($F214,3)="IKS",VLOOKUP($I214,Loonkosten,2,0)="Ja"),AND(RIGHT($F214,3)&lt;&gt;"IKS",VLOOKUP($I214,Loonkosten,2,0)="Nee")), VLOOKUP($I214,Loonkosten,MATCH("Opgegeven uurtarief",'4. Rekenhulp loonkosten aanvr.'!$4:$4,0)),0),"Vast tarief",IF(LEFT(F214,8)="Bijdrage",VLOOKUP($F214,Tb_KostenTypen[],MATCH(Lijsten!$P$1,Tb_KostenTypen[#Headers],0),0),VLOOKUP($G214,Lijsten!L:P,MATCH(Lijsten!$P$1,Kop_Tarief_Vast,0),0))),""),"")</f>
        <v/>
      </c>
      <c r="K214" s="312" t="str" cm="1">
        <f t="array" ref="K214">_xlfn.IFNA(IF(INDEX(Tb_KostenOpties[],MATCH($F214,Tb_KostenOpties[KostenOptie],0),IFERROR(MATCH(Methode_Keuze,Tb_KostenOpties[#Headers],0),2))=1,_xlfn.SWITCH($H214,"Uurtarief",IF(OR(AND(RIGHT($F214,3)="IKS",VLOOKUP($I214,Loonkosten,2,0)="Ja"),AND(RIGHT($F214,3)&lt;&gt;"IKS",VLOOKUP($I214,Loonkosten,2,0)="Nee")), VLOOKUP($I214,Loonkosten,MATCH("Beoordeeld uurtarief",'4. Rekenhulp loonkosten aanvr.'!$4:$4,0),0),0),"Vast tarief",IF(LEFT(F214,8)="Bijdrage",VLOOKUP($F214,Tb_KostenTypen[],MATCH(Lijsten!$P$1,Tb_KostenTypen[#Headers],0),0),VLOOKUP($G214,Lijsten!L:P,MATCH(Lijsten!$P$1,Kop_Tarief_Vast,0),0))),""),"")</f>
        <v/>
      </c>
      <c r="L214" s="358"/>
      <c r="M214" s="358"/>
      <c r="N214" s="313"/>
      <c r="O214" s="313"/>
      <c r="P214" s="374" t="str">
        <f t="shared" si="13"/>
        <v/>
      </c>
      <c r="Q214" s="314" t="str">
        <f t="shared" si="14"/>
        <v/>
      </c>
      <c r="R214" s="314" t="str" cm="1">
        <f t="array" aca="1" ref="R214" ca="1">_xlfn.IFNA(_xlfn.IFS(X214="Dit kostentype hoeft u niet op te geven. Hiervoor wordt een forfait berekend.","",AND(J214&lt;&gt;"",H214="Vast tarief",F214="Vergoeding"),SUM(J214)*FLOOR(SUM(L214),0.0001),AND(J214&lt;&gt;"",OR(H214="Uurtarief",H214="Vast tarief")),SUM(J214)*FLOOR(SUM(L214),0.01),AND(N214&lt;&gt;"",H214="-"),FLOOR(SUM(N214),0.01)),"")</f>
        <v/>
      </c>
      <c r="S214" s="314" t="str" cm="1">
        <f t="array" aca="1" ref="S214" ca="1">_xlfn.IFNA(_xlfn.IFS(X214="Dit kostentype hoeft u niet op te geven. Hiervoor wordt een forfait berekend.","",AND(K214&lt;&gt;"",M214&lt;&gt;"",H214="Vast tarief",F214="Vergoeding"),SUM(K214)*FLOOR(SUM(M214),0.0001),AND(K214&lt;&gt;"",M214&lt;&gt;"",OR(H214="Uurtarief",H214="Vast tarief")),SUM(K214)*FLOOR(SUM(M214),0.01),AND(O214&lt;&gt;"",H214="-"),FLOOR(SUM(O214),0.01)),"")</f>
        <v/>
      </c>
      <c r="T214" s="314" t="str">
        <f t="shared" ca="1" si="15"/>
        <v/>
      </c>
      <c r="U214" s="314" t="str" cm="1">
        <f t="array" aca="1" ref="U214" ca="1">IFERROR(_xlfn.IFS(OR(F214="",LEFT(Methode_Keuze,4)="Geen",Methode_Keuze=""),"",AND(R214&lt;&gt;"",F214&lt;&gt;"Arbeidskosten"),R214*VLOOKUP(F214,Tb_ProjectKosten[],MATCH(Tb_ProjectKosten[[#Headers],[Forfait_Percentage]],Tb_ProjectKosten[#Headers],0),0),AND(F214="Arbeidskosten",G214&lt;&gt;""),IFERROR(R214*VLOOKUP(G214,Tb_KostenTypen[],3,0)*VLOOKUP(F214,Tb_ProjectKosten[],MATCH(Tb_ProjectKosten[[#Headers],[Forfait_Percentage]],Tb_ProjectKosten[#Headers],0),0),""),R214 &lt;=0,0),"")</f>
        <v/>
      </c>
      <c r="V214" s="314" t="str" cm="1">
        <f t="array" aca="1" ref="V214" ca="1">IFERROR(_xlfn.IFS(OR(F214="",LEFT(Methode_Keuze,4)="Geen",Methode_Keuze=""),"",AND(S214&lt;&gt;"",F214&lt;&gt;"Arbeidskosten"),S214*VLOOKUP(F214,Tb_ProjectKosten[],MATCH(Tb_ProjectKosten[[#Headers],[Forfait_Percentage]],Tb_ProjectKosten[#Headers],0),0),AND(F214="Arbeidskosten",G214&lt;&gt;""),IFERROR(S214*VLOOKUP(G214,Tb_KostenTypen[],3,0)*VLOOKUP(F214,Tb_ProjectKosten[],MATCH(Tb_ProjectKosten[[#Headers],[Forfait_Percentage]],Tb_ProjectKosten[#Headers],0),0),""),S214 &lt;=0,0),"")</f>
        <v/>
      </c>
      <c r="W214" s="314" t="str">
        <f t="shared" ca="1" si="16"/>
        <v/>
      </c>
      <c r="X214" s="376" t="str">
        <f>IFERROR(VLOOKUP(F214,Tb_ProjectKosten[#All],11,0),"")</f>
        <v/>
      </c>
      <c r="Y214" s="315"/>
    </row>
    <row r="215" spans="1:25" x14ac:dyDescent="0.25">
      <c r="A215" s="309">
        <f>MAX($A$5:A214)+1</f>
        <v>210</v>
      </c>
      <c r="B215" s="296"/>
      <c r="C215" s="296"/>
      <c r="D215" s="296"/>
      <c r="E215" s="296"/>
      <c r="F215" s="296"/>
      <c r="G215" s="327"/>
      <c r="H215" s="310" t="str">
        <f ca="1">IFERROR(IF(VLOOKUP(F215,Kostentypen!$A$3:$E$21,3,0)=0,"",IF(OR(F215="Arbeidskosten",F215="Vergoeding"),VLOOKUP(G215,Tb_KostenTypen[],2,0),VLOOKUP(F215,Kostentypen!$A$3:$E$20,3,0))),"")</f>
        <v/>
      </c>
      <c r="I215" s="311"/>
      <c r="J215" s="312" t="str" cm="1">
        <f t="array" ref="J215">_xlfn.IFNA(IF(INDEX(Tb_KostenOpties[],MATCH($F215,Tb_KostenOpties[KostenOptie],0),IFERROR(MATCH(Methode_Keuze,Tb_KostenOpties[#Headers],0),2))=1,_xlfn.SWITCH($H215,"Uurtarief",IF(OR(AND(RIGHT($F215,3)="IKS",VLOOKUP($I215,Loonkosten,2,0)="Ja"),AND(RIGHT($F215,3)&lt;&gt;"IKS",VLOOKUP($I215,Loonkosten,2,0)="Nee")), VLOOKUP($I215,Loonkosten,MATCH("Opgegeven uurtarief",'4. Rekenhulp loonkosten aanvr.'!$4:$4,0)),0),"Vast tarief",IF(LEFT(F215,8)="Bijdrage",VLOOKUP($F215,Tb_KostenTypen[],MATCH(Lijsten!$P$1,Tb_KostenTypen[#Headers],0),0),VLOOKUP($G215,Lijsten!L:P,MATCH(Lijsten!$P$1,Kop_Tarief_Vast,0),0))),""),"")</f>
        <v/>
      </c>
      <c r="K215" s="312" t="str" cm="1">
        <f t="array" ref="K215">_xlfn.IFNA(IF(INDEX(Tb_KostenOpties[],MATCH($F215,Tb_KostenOpties[KostenOptie],0),IFERROR(MATCH(Methode_Keuze,Tb_KostenOpties[#Headers],0),2))=1,_xlfn.SWITCH($H215,"Uurtarief",IF(OR(AND(RIGHT($F215,3)="IKS",VLOOKUP($I215,Loonkosten,2,0)="Ja"),AND(RIGHT($F215,3)&lt;&gt;"IKS",VLOOKUP($I215,Loonkosten,2,0)="Nee")), VLOOKUP($I215,Loonkosten,MATCH("Beoordeeld uurtarief",'4. Rekenhulp loonkosten aanvr.'!$4:$4,0),0),0),"Vast tarief",IF(LEFT(F215,8)="Bijdrage",VLOOKUP($F215,Tb_KostenTypen[],MATCH(Lijsten!$P$1,Tb_KostenTypen[#Headers],0),0),VLOOKUP($G215,Lijsten!L:P,MATCH(Lijsten!$P$1,Kop_Tarief_Vast,0),0))),""),"")</f>
        <v/>
      </c>
      <c r="L215" s="358"/>
      <c r="M215" s="358"/>
      <c r="N215" s="313"/>
      <c r="O215" s="313"/>
      <c r="P215" s="374" t="str">
        <f t="shared" si="13"/>
        <v/>
      </c>
      <c r="Q215" s="314" t="str">
        <f t="shared" si="14"/>
        <v/>
      </c>
      <c r="R215" s="314" t="str" cm="1">
        <f t="array" aca="1" ref="R215" ca="1">_xlfn.IFNA(_xlfn.IFS(X215="Dit kostentype hoeft u niet op te geven. Hiervoor wordt een forfait berekend.","",AND(J215&lt;&gt;"",H215="Vast tarief",F215="Vergoeding"),SUM(J215)*FLOOR(SUM(L215),0.0001),AND(J215&lt;&gt;"",OR(H215="Uurtarief",H215="Vast tarief")),SUM(J215)*FLOOR(SUM(L215),0.01),AND(N215&lt;&gt;"",H215="-"),FLOOR(SUM(N215),0.01)),"")</f>
        <v/>
      </c>
      <c r="S215" s="314" t="str" cm="1">
        <f t="array" aca="1" ref="S215" ca="1">_xlfn.IFNA(_xlfn.IFS(X215="Dit kostentype hoeft u niet op te geven. Hiervoor wordt een forfait berekend.","",AND(K215&lt;&gt;"",M215&lt;&gt;"",H215="Vast tarief",F215="Vergoeding"),SUM(K215)*FLOOR(SUM(M215),0.0001),AND(K215&lt;&gt;"",M215&lt;&gt;"",OR(H215="Uurtarief",H215="Vast tarief")),SUM(K215)*FLOOR(SUM(M215),0.01),AND(O215&lt;&gt;"",H215="-"),FLOOR(SUM(O215),0.01)),"")</f>
        <v/>
      </c>
      <c r="T215" s="314" t="str">
        <f t="shared" ca="1" si="15"/>
        <v/>
      </c>
      <c r="U215" s="314" t="str" cm="1">
        <f t="array" aca="1" ref="U215" ca="1">IFERROR(_xlfn.IFS(OR(F215="",LEFT(Methode_Keuze,4)="Geen",Methode_Keuze=""),"",AND(R215&lt;&gt;"",F215&lt;&gt;"Arbeidskosten"),R215*VLOOKUP(F215,Tb_ProjectKosten[],MATCH(Tb_ProjectKosten[[#Headers],[Forfait_Percentage]],Tb_ProjectKosten[#Headers],0),0),AND(F215="Arbeidskosten",G215&lt;&gt;""),IFERROR(R215*VLOOKUP(G215,Tb_KostenTypen[],3,0)*VLOOKUP(F215,Tb_ProjectKosten[],MATCH(Tb_ProjectKosten[[#Headers],[Forfait_Percentage]],Tb_ProjectKosten[#Headers],0),0),""),R215 &lt;=0,0),"")</f>
        <v/>
      </c>
      <c r="V215" s="314" t="str" cm="1">
        <f t="array" aca="1" ref="V215" ca="1">IFERROR(_xlfn.IFS(OR(F215="",LEFT(Methode_Keuze,4)="Geen",Methode_Keuze=""),"",AND(S215&lt;&gt;"",F215&lt;&gt;"Arbeidskosten"),S215*VLOOKUP(F215,Tb_ProjectKosten[],MATCH(Tb_ProjectKosten[[#Headers],[Forfait_Percentage]],Tb_ProjectKosten[#Headers],0),0),AND(F215="Arbeidskosten",G215&lt;&gt;""),IFERROR(S215*VLOOKUP(G215,Tb_KostenTypen[],3,0)*VLOOKUP(F215,Tb_ProjectKosten[],MATCH(Tb_ProjectKosten[[#Headers],[Forfait_Percentage]],Tb_ProjectKosten[#Headers],0),0),""),S215 &lt;=0,0),"")</f>
        <v/>
      </c>
      <c r="W215" s="314" t="str">
        <f t="shared" ca="1" si="16"/>
        <v/>
      </c>
      <c r="X215" s="376" t="str">
        <f>IFERROR(VLOOKUP(F215,Tb_ProjectKosten[#All],11,0),"")</f>
        <v/>
      </c>
      <c r="Y215" s="315"/>
    </row>
    <row r="216" spans="1:25" x14ac:dyDescent="0.25">
      <c r="A216" s="309">
        <f>MAX($A$5:A215)+1</f>
        <v>211</v>
      </c>
      <c r="B216" s="296"/>
      <c r="C216" s="296"/>
      <c r="D216" s="296"/>
      <c r="E216" s="296"/>
      <c r="F216" s="296"/>
      <c r="G216" s="327"/>
      <c r="H216" s="310" t="str">
        <f ca="1">IFERROR(IF(VLOOKUP(F216,Kostentypen!$A$3:$E$21,3,0)=0,"",IF(OR(F216="Arbeidskosten",F216="Vergoeding"),VLOOKUP(G216,Tb_KostenTypen[],2,0),VLOOKUP(F216,Kostentypen!$A$3:$E$20,3,0))),"")</f>
        <v/>
      </c>
      <c r="I216" s="311"/>
      <c r="J216" s="312" t="str" cm="1">
        <f t="array" ref="J216">_xlfn.IFNA(IF(INDEX(Tb_KostenOpties[],MATCH($F216,Tb_KostenOpties[KostenOptie],0),IFERROR(MATCH(Methode_Keuze,Tb_KostenOpties[#Headers],0),2))=1,_xlfn.SWITCH($H216,"Uurtarief",IF(OR(AND(RIGHT($F216,3)="IKS",VLOOKUP($I216,Loonkosten,2,0)="Ja"),AND(RIGHT($F216,3)&lt;&gt;"IKS",VLOOKUP($I216,Loonkosten,2,0)="Nee")), VLOOKUP($I216,Loonkosten,MATCH("Opgegeven uurtarief",'4. Rekenhulp loonkosten aanvr.'!$4:$4,0)),0),"Vast tarief",IF(LEFT(F216,8)="Bijdrage",VLOOKUP($F216,Tb_KostenTypen[],MATCH(Lijsten!$P$1,Tb_KostenTypen[#Headers],0),0),VLOOKUP($G216,Lijsten!L:P,MATCH(Lijsten!$P$1,Kop_Tarief_Vast,0),0))),""),"")</f>
        <v/>
      </c>
      <c r="K216" s="312" t="str" cm="1">
        <f t="array" ref="K216">_xlfn.IFNA(IF(INDEX(Tb_KostenOpties[],MATCH($F216,Tb_KostenOpties[KostenOptie],0),IFERROR(MATCH(Methode_Keuze,Tb_KostenOpties[#Headers],0),2))=1,_xlfn.SWITCH($H216,"Uurtarief",IF(OR(AND(RIGHT($F216,3)="IKS",VLOOKUP($I216,Loonkosten,2,0)="Ja"),AND(RIGHT($F216,3)&lt;&gt;"IKS",VLOOKUP($I216,Loonkosten,2,0)="Nee")), VLOOKUP($I216,Loonkosten,MATCH("Beoordeeld uurtarief",'4. Rekenhulp loonkosten aanvr.'!$4:$4,0),0),0),"Vast tarief",IF(LEFT(F216,8)="Bijdrage",VLOOKUP($F216,Tb_KostenTypen[],MATCH(Lijsten!$P$1,Tb_KostenTypen[#Headers],0),0),VLOOKUP($G216,Lijsten!L:P,MATCH(Lijsten!$P$1,Kop_Tarief_Vast,0),0))),""),"")</f>
        <v/>
      </c>
      <c r="L216" s="358"/>
      <c r="M216" s="358"/>
      <c r="N216" s="313"/>
      <c r="O216" s="313"/>
      <c r="P216" s="374" t="str">
        <f t="shared" si="13"/>
        <v/>
      </c>
      <c r="Q216" s="314" t="str">
        <f t="shared" si="14"/>
        <v/>
      </c>
      <c r="R216" s="314" t="str" cm="1">
        <f t="array" aca="1" ref="R216" ca="1">_xlfn.IFNA(_xlfn.IFS(X216="Dit kostentype hoeft u niet op te geven. Hiervoor wordt een forfait berekend.","",AND(J216&lt;&gt;"",H216="Vast tarief",F216="Vergoeding"),SUM(J216)*FLOOR(SUM(L216),0.0001),AND(J216&lt;&gt;"",OR(H216="Uurtarief",H216="Vast tarief")),SUM(J216)*FLOOR(SUM(L216),0.01),AND(N216&lt;&gt;"",H216="-"),FLOOR(SUM(N216),0.01)),"")</f>
        <v/>
      </c>
      <c r="S216" s="314" t="str" cm="1">
        <f t="array" aca="1" ref="S216" ca="1">_xlfn.IFNA(_xlfn.IFS(X216="Dit kostentype hoeft u niet op te geven. Hiervoor wordt een forfait berekend.","",AND(K216&lt;&gt;"",M216&lt;&gt;"",H216="Vast tarief",F216="Vergoeding"),SUM(K216)*FLOOR(SUM(M216),0.0001),AND(K216&lt;&gt;"",M216&lt;&gt;"",OR(H216="Uurtarief",H216="Vast tarief")),SUM(K216)*FLOOR(SUM(M216),0.01),AND(O216&lt;&gt;"",H216="-"),FLOOR(SUM(O216),0.01)),"")</f>
        <v/>
      </c>
      <c r="T216" s="314" t="str">
        <f t="shared" ca="1" si="15"/>
        <v/>
      </c>
      <c r="U216" s="314" t="str" cm="1">
        <f t="array" aca="1" ref="U216" ca="1">IFERROR(_xlfn.IFS(OR(F216="",LEFT(Methode_Keuze,4)="Geen",Methode_Keuze=""),"",AND(R216&lt;&gt;"",F216&lt;&gt;"Arbeidskosten"),R216*VLOOKUP(F216,Tb_ProjectKosten[],MATCH(Tb_ProjectKosten[[#Headers],[Forfait_Percentage]],Tb_ProjectKosten[#Headers],0),0),AND(F216="Arbeidskosten",G216&lt;&gt;""),IFERROR(R216*VLOOKUP(G216,Tb_KostenTypen[],3,0)*VLOOKUP(F216,Tb_ProjectKosten[],MATCH(Tb_ProjectKosten[[#Headers],[Forfait_Percentage]],Tb_ProjectKosten[#Headers],0),0),""),R216 &lt;=0,0),"")</f>
        <v/>
      </c>
      <c r="V216" s="314" t="str" cm="1">
        <f t="array" aca="1" ref="V216" ca="1">IFERROR(_xlfn.IFS(OR(F216="",LEFT(Methode_Keuze,4)="Geen",Methode_Keuze=""),"",AND(S216&lt;&gt;"",F216&lt;&gt;"Arbeidskosten"),S216*VLOOKUP(F216,Tb_ProjectKosten[],MATCH(Tb_ProjectKosten[[#Headers],[Forfait_Percentage]],Tb_ProjectKosten[#Headers],0),0),AND(F216="Arbeidskosten",G216&lt;&gt;""),IFERROR(S216*VLOOKUP(G216,Tb_KostenTypen[],3,0)*VLOOKUP(F216,Tb_ProjectKosten[],MATCH(Tb_ProjectKosten[[#Headers],[Forfait_Percentage]],Tb_ProjectKosten[#Headers],0),0),""),S216 &lt;=0,0),"")</f>
        <v/>
      </c>
      <c r="W216" s="314" t="str">
        <f t="shared" ca="1" si="16"/>
        <v/>
      </c>
      <c r="X216" s="376" t="str">
        <f>IFERROR(VLOOKUP(F216,Tb_ProjectKosten[#All],11,0),"")</f>
        <v/>
      </c>
      <c r="Y216" s="315"/>
    </row>
    <row r="217" spans="1:25" x14ac:dyDescent="0.25">
      <c r="A217" s="309">
        <f>MAX($A$5:A216)+1</f>
        <v>212</v>
      </c>
      <c r="B217" s="296"/>
      <c r="C217" s="296"/>
      <c r="D217" s="296"/>
      <c r="E217" s="296"/>
      <c r="F217" s="296"/>
      <c r="G217" s="327"/>
      <c r="H217" s="310" t="str">
        <f ca="1">IFERROR(IF(VLOOKUP(F217,Kostentypen!$A$3:$E$21,3,0)=0,"",IF(OR(F217="Arbeidskosten",F217="Vergoeding"),VLOOKUP(G217,Tb_KostenTypen[],2,0),VLOOKUP(F217,Kostentypen!$A$3:$E$20,3,0))),"")</f>
        <v/>
      </c>
      <c r="I217" s="311"/>
      <c r="J217" s="312" t="str" cm="1">
        <f t="array" ref="J217">_xlfn.IFNA(IF(INDEX(Tb_KostenOpties[],MATCH($F217,Tb_KostenOpties[KostenOptie],0),IFERROR(MATCH(Methode_Keuze,Tb_KostenOpties[#Headers],0),2))=1,_xlfn.SWITCH($H217,"Uurtarief",IF(OR(AND(RIGHT($F217,3)="IKS",VLOOKUP($I217,Loonkosten,2,0)="Ja"),AND(RIGHT($F217,3)&lt;&gt;"IKS",VLOOKUP($I217,Loonkosten,2,0)="Nee")), VLOOKUP($I217,Loonkosten,MATCH("Opgegeven uurtarief",'4. Rekenhulp loonkosten aanvr.'!$4:$4,0)),0),"Vast tarief",IF(LEFT(F217,8)="Bijdrage",VLOOKUP($F217,Tb_KostenTypen[],MATCH(Lijsten!$P$1,Tb_KostenTypen[#Headers],0),0),VLOOKUP($G217,Lijsten!L:P,MATCH(Lijsten!$P$1,Kop_Tarief_Vast,0),0))),""),"")</f>
        <v/>
      </c>
      <c r="K217" s="312" t="str" cm="1">
        <f t="array" ref="K217">_xlfn.IFNA(IF(INDEX(Tb_KostenOpties[],MATCH($F217,Tb_KostenOpties[KostenOptie],0),IFERROR(MATCH(Methode_Keuze,Tb_KostenOpties[#Headers],0),2))=1,_xlfn.SWITCH($H217,"Uurtarief",IF(OR(AND(RIGHT($F217,3)="IKS",VLOOKUP($I217,Loonkosten,2,0)="Ja"),AND(RIGHT($F217,3)&lt;&gt;"IKS",VLOOKUP($I217,Loonkosten,2,0)="Nee")), VLOOKUP($I217,Loonkosten,MATCH("Beoordeeld uurtarief",'4. Rekenhulp loonkosten aanvr.'!$4:$4,0),0),0),"Vast tarief",IF(LEFT(F217,8)="Bijdrage",VLOOKUP($F217,Tb_KostenTypen[],MATCH(Lijsten!$P$1,Tb_KostenTypen[#Headers],0),0),VLOOKUP($G217,Lijsten!L:P,MATCH(Lijsten!$P$1,Kop_Tarief_Vast,0),0))),""),"")</f>
        <v/>
      </c>
      <c r="L217" s="358"/>
      <c r="M217" s="358"/>
      <c r="N217" s="313"/>
      <c r="O217" s="313"/>
      <c r="P217" s="374" t="str">
        <f t="shared" si="13"/>
        <v/>
      </c>
      <c r="Q217" s="314" t="str">
        <f t="shared" si="14"/>
        <v/>
      </c>
      <c r="R217" s="314" t="str" cm="1">
        <f t="array" aca="1" ref="R217" ca="1">_xlfn.IFNA(_xlfn.IFS(X217="Dit kostentype hoeft u niet op te geven. Hiervoor wordt een forfait berekend.","",AND(J217&lt;&gt;"",H217="Vast tarief",F217="Vergoeding"),SUM(J217)*FLOOR(SUM(L217),0.0001),AND(J217&lt;&gt;"",OR(H217="Uurtarief",H217="Vast tarief")),SUM(J217)*FLOOR(SUM(L217),0.01),AND(N217&lt;&gt;"",H217="-"),FLOOR(SUM(N217),0.01)),"")</f>
        <v/>
      </c>
      <c r="S217" s="314" t="str" cm="1">
        <f t="array" aca="1" ref="S217" ca="1">_xlfn.IFNA(_xlfn.IFS(X217="Dit kostentype hoeft u niet op te geven. Hiervoor wordt een forfait berekend.","",AND(K217&lt;&gt;"",M217&lt;&gt;"",H217="Vast tarief",F217="Vergoeding"),SUM(K217)*FLOOR(SUM(M217),0.0001),AND(K217&lt;&gt;"",M217&lt;&gt;"",OR(H217="Uurtarief",H217="Vast tarief")),SUM(K217)*FLOOR(SUM(M217),0.01),AND(O217&lt;&gt;"",H217="-"),FLOOR(SUM(O217),0.01)),"")</f>
        <v/>
      </c>
      <c r="T217" s="314" t="str">
        <f t="shared" ca="1" si="15"/>
        <v/>
      </c>
      <c r="U217" s="314" t="str" cm="1">
        <f t="array" aca="1" ref="U217" ca="1">IFERROR(_xlfn.IFS(OR(F217="",LEFT(Methode_Keuze,4)="Geen",Methode_Keuze=""),"",AND(R217&lt;&gt;"",F217&lt;&gt;"Arbeidskosten"),R217*VLOOKUP(F217,Tb_ProjectKosten[],MATCH(Tb_ProjectKosten[[#Headers],[Forfait_Percentage]],Tb_ProjectKosten[#Headers],0),0),AND(F217="Arbeidskosten",G217&lt;&gt;""),IFERROR(R217*VLOOKUP(G217,Tb_KostenTypen[],3,0)*VLOOKUP(F217,Tb_ProjectKosten[],MATCH(Tb_ProjectKosten[[#Headers],[Forfait_Percentage]],Tb_ProjectKosten[#Headers],0),0),""),R217 &lt;=0,0),"")</f>
        <v/>
      </c>
      <c r="V217" s="314" t="str" cm="1">
        <f t="array" aca="1" ref="V217" ca="1">IFERROR(_xlfn.IFS(OR(F217="",LEFT(Methode_Keuze,4)="Geen",Methode_Keuze=""),"",AND(S217&lt;&gt;"",F217&lt;&gt;"Arbeidskosten"),S217*VLOOKUP(F217,Tb_ProjectKosten[],MATCH(Tb_ProjectKosten[[#Headers],[Forfait_Percentage]],Tb_ProjectKosten[#Headers],0),0),AND(F217="Arbeidskosten",G217&lt;&gt;""),IFERROR(S217*VLOOKUP(G217,Tb_KostenTypen[],3,0)*VLOOKUP(F217,Tb_ProjectKosten[],MATCH(Tb_ProjectKosten[[#Headers],[Forfait_Percentage]],Tb_ProjectKosten[#Headers],0),0),""),S217 &lt;=0,0),"")</f>
        <v/>
      </c>
      <c r="W217" s="314" t="str">
        <f t="shared" ca="1" si="16"/>
        <v/>
      </c>
      <c r="X217" s="376" t="str">
        <f>IFERROR(VLOOKUP(F217,Tb_ProjectKosten[#All],11,0),"")</f>
        <v/>
      </c>
      <c r="Y217" s="315"/>
    </row>
    <row r="218" spans="1:25" x14ac:dyDescent="0.25">
      <c r="A218" s="309">
        <f>MAX($A$5:A217)+1</f>
        <v>213</v>
      </c>
      <c r="B218" s="296"/>
      <c r="C218" s="296"/>
      <c r="D218" s="296"/>
      <c r="E218" s="296"/>
      <c r="F218" s="296"/>
      <c r="G218" s="327"/>
      <c r="H218" s="310" t="str">
        <f ca="1">IFERROR(IF(VLOOKUP(F218,Kostentypen!$A$3:$E$21,3,0)=0,"",IF(OR(F218="Arbeidskosten",F218="Vergoeding"),VLOOKUP(G218,Tb_KostenTypen[],2,0),VLOOKUP(F218,Kostentypen!$A$3:$E$20,3,0))),"")</f>
        <v/>
      </c>
      <c r="I218" s="311"/>
      <c r="J218" s="312" t="str" cm="1">
        <f t="array" ref="J218">_xlfn.IFNA(IF(INDEX(Tb_KostenOpties[],MATCH($F218,Tb_KostenOpties[KostenOptie],0),IFERROR(MATCH(Methode_Keuze,Tb_KostenOpties[#Headers],0),2))=1,_xlfn.SWITCH($H218,"Uurtarief",IF(OR(AND(RIGHT($F218,3)="IKS",VLOOKUP($I218,Loonkosten,2,0)="Ja"),AND(RIGHT($F218,3)&lt;&gt;"IKS",VLOOKUP($I218,Loonkosten,2,0)="Nee")), VLOOKUP($I218,Loonkosten,MATCH("Opgegeven uurtarief",'4. Rekenhulp loonkosten aanvr.'!$4:$4,0)),0),"Vast tarief",IF(LEFT(F218,8)="Bijdrage",VLOOKUP($F218,Tb_KostenTypen[],MATCH(Lijsten!$P$1,Tb_KostenTypen[#Headers],0),0),VLOOKUP($G218,Lijsten!L:P,MATCH(Lijsten!$P$1,Kop_Tarief_Vast,0),0))),""),"")</f>
        <v/>
      </c>
      <c r="K218" s="312" t="str" cm="1">
        <f t="array" ref="K218">_xlfn.IFNA(IF(INDEX(Tb_KostenOpties[],MATCH($F218,Tb_KostenOpties[KostenOptie],0),IFERROR(MATCH(Methode_Keuze,Tb_KostenOpties[#Headers],0),2))=1,_xlfn.SWITCH($H218,"Uurtarief",IF(OR(AND(RIGHT($F218,3)="IKS",VLOOKUP($I218,Loonkosten,2,0)="Ja"),AND(RIGHT($F218,3)&lt;&gt;"IKS",VLOOKUP($I218,Loonkosten,2,0)="Nee")), VLOOKUP($I218,Loonkosten,MATCH("Beoordeeld uurtarief",'4. Rekenhulp loonkosten aanvr.'!$4:$4,0),0),0),"Vast tarief",IF(LEFT(F218,8)="Bijdrage",VLOOKUP($F218,Tb_KostenTypen[],MATCH(Lijsten!$P$1,Tb_KostenTypen[#Headers],0),0),VLOOKUP($G218,Lijsten!L:P,MATCH(Lijsten!$P$1,Kop_Tarief_Vast,0),0))),""),"")</f>
        <v/>
      </c>
      <c r="L218" s="358"/>
      <c r="M218" s="358"/>
      <c r="N218" s="313"/>
      <c r="O218" s="313"/>
      <c r="P218" s="374" t="str">
        <f t="shared" si="13"/>
        <v/>
      </c>
      <c r="Q218" s="314" t="str">
        <f t="shared" si="14"/>
        <v/>
      </c>
      <c r="R218" s="314" t="str" cm="1">
        <f t="array" aca="1" ref="R218" ca="1">_xlfn.IFNA(_xlfn.IFS(X218="Dit kostentype hoeft u niet op te geven. Hiervoor wordt een forfait berekend.","",AND(J218&lt;&gt;"",H218="Vast tarief",F218="Vergoeding"),SUM(J218)*FLOOR(SUM(L218),0.0001),AND(J218&lt;&gt;"",OR(H218="Uurtarief",H218="Vast tarief")),SUM(J218)*FLOOR(SUM(L218),0.01),AND(N218&lt;&gt;"",H218="-"),FLOOR(SUM(N218),0.01)),"")</f>
        <v/>
      </c>
      <c r="S218" s="314" t="str" cm="1">
        <f t="array" aca="1" ref="S218" ca="1">_xlfn.IFNA(_xlfn.IFS(X218="Dit kostentype hoeft u niet op te geven. Hiervoor wordt een forfait berekend.","",AND(K218&lt;&gt;"",M218&lt;&gt;"",H218="Vast tarief",F218="Vergoeding"),SUM(K218)*FLOOR(SUM(M218),0.0001),AND(K218&lt;&gt;"",M218&lt;&gt;"",OR(H218="Uurtarief",H218="Vast tarief")),SUM(K218)*FLOOR(SUM(M218),0.01),AND(O218&lt;&gt;"",H218="-"),FLOOR(SUM(O218),0.01)),"")</f>
        <v/>
      </c>
      <c r="T218" s="314" t="str">
        <f t="shared" ca="1" si="15"/>
        <v/>
      </c>
      <c r="U218" s="314" t="str" cm="1">
        <f t="array" aca="1" ref="U218" ca="1">IFERROR(_xlfn.IFS(OR(F218="",LEFT(Methode_Keuze,4)="Geen",Methode_Keuze=""),"",AND(R218&lt;&gt;"",F218&lt;&gt;"Arbeidskosten"),R218*VLOOKUP(F218,Tb_ProjectKosten[],MATCH(Tb_ProjectKosten[[#Headers],[Forfait_Percentage]],Tb_ProjectKosten[#Headers],0),0),AND(F218="Arbeidskosten",G218&lt;&gt;""),IFERROR(R218*VLOOKUP(G218,Tb_KostenTypen[],3,0)*VLOOKUP(F218,Tb_ProjectKosten[],MATCH(Tb_ProjectKosten[[#Headers],[Forfait_Percentage]],Tb_ProjectKosten[#Headers],0),0),""),R218 &lt;=0,0),"")</f>
        <v/>
      </c>
      <c r="V218" s="314" t="str" cm="1">
        <f t="array" aca="1" ref="V218" ca="1">IFERROR(_xlfn.IFS(OR(F218="",LEFT(Methode_Keuze,4)="Geen",Methode_Keuze=""),"",AND(S218&lt;&gt;"",F218&lt;&gt;"Arbeidskosten"),S218*VLOOKUP(F218,Tb_ProjectKosten[],MATCH(Tb_ProjectKosten[[#Headers],[Forfait_Percentage]],Tb_ProjectKosten[#Headers],0),0),AND(F218="Arbeidskosten",G218&lt;&gt;""),IFERROR(S218*VLOOKUP(G218,Tb_KostenTypen[],3,0)*VLOOKUP(F218,Tb_ProjectKosten[],MATCH(Tb_ProjectKosten[[#Headers],[Forfait_Percentage]],Tb_ProjectKosten[#Headers],0),0),""),S218 &lt;=0,0),"")</f>
        <v/>
      </c>
      <c r="W218" s="314" t="str">
        <f t="shared" ca="1" si="16"/>
        <v/>
      </c>
      <c r="X218" s="376" t="str">
        <f>IFERROR(VLOOKUP(F218,Tb_ProjectKosten[#All],11,0),"")</f>
        <v/>
      </c>
      <c r="Y218" s="315"/>
    </row>
    <row r="219" spans="1:25" x14ac:dyDescent="0.25">
      <c r="A219" s="309">
        <f>MAX($A$5:A218)+1</f>
        <v>214</v>
      </c>
      <c r="B219" s="296"/>
      <c r="C219" s="296"/>
      <c r="D219" s="296"/>
      <c r="E219" s="296"/>
      <c r="F219" s="296"/>
      <c r="G219" s="327"/>
      <c r="H219" s="310" t="str">
        <f ca="1">IFERROR(IF(VLOOKUP(F219,Kostentypen!$A$3:$E$21,3,0)=0,"",IF(OR(F219="Arbeidskosten",F219="Vergoeding"),VLOOKUP(G219,Tb_KostenTypen[],2,0),VLOOKUP(F219,Kostentypen!$A$3:$E$20,3,0))),"")</f>
        <v/>
      </c>
      <c r="I219" s="311"/>
      <c r="J219" s="312" t="str" cm="1">
        <f t="array" ref="J219">_xlfn.IFNA(IF(INDEX(Tb_KostenOpties[],MATCH($F219,Tb_KostenOpties[KostenOptie],0),IFERROR(MATCH(Methode_Keuze,Tb_KostenOpties[#Headers],0),2))=1,_xlfn.SWITCH($H219,"Uurtarief",IF(OR(AND(RIGHT($F219,3)="IKS",VLOOKUP($I219,Loonkosten,2,0)="Ja"),AND(RIGHT($F219,3)&lt;&gt;"IKS",VLOOKUP($I219,Loonkosten,2,0)="Nee")), VLOOKUP($I219,Loonkosten,MATCH("Opgegeven uurtarief",'4. Rekenhulp loonkosten aanvr.'!$4:$4,0)),0),"Vast tarief",IF(LEFT(F219,8)="Bijdrage",VLOOKUP($F219,Tb_KostenTypen[],MATCH(Lijsten!$P$1,Tb_KostenTypen[#Headers],0),0),VLOOKUP($G219,Lijsten!L:P,MATCH(Lijsten!$P$1,Kop_Tarief_Vast,0),0))),""),"")</f>
        <v/>
      </c>
      <c r="K219" s="312" t="str" cm="1">
        <f t="array" ref="K219">_xlfn.IFNA(IF(INDEX(Tb_KostenOpties[],MATCH($F219,Tb_KostenOpties[KostenOptie],0),IFERROR(MATCH(Methode_Keuze,Tb_KostenOpties[#Headers],0),2))=1,_xlfn.SWITCH($H219,"Uurtarief",IF(OR(AND(RIGHT($F219,3)="IKS",VLOOKUP($I219,Loonkosten,2,0)="Ja"),AND(RIGHT($F219,3)&lt;&gt;"IKS",VLOOKUP($I219,Loonkosten,2,0)="Nee")), VLOOKUP($I219,Loonkosten,MATCH("Beoordeeld uurtarief",'4. Rekenhulp loonkosten aanvr.'!$4:$4,0),0),0),"Vast tarief",IF(LEFT(F219,8)="Bijdrage",VLOOKUP($F219,Tb_KostenTypen[],MATCH(Lijsten!$P$1,Tb_KostenTypen[#Headers],0),0),VLOOKUP($G219,Lijsten!L:P,MATCH(Lijsten!$P$1,Kop_Tarief_Vast,0),0))),""),"")</f>
        <v/>
      </c>
      <c r="L219" s="358"/>
      <c r="M219" s="358"/>
      <c r="N219" s="313"/>
      <c r="O219" s="313"/>
      <c r="P219" s="374" t="str">
        <f t="shared" si="13"/>
        <v/>
      </c>
      <c r="Q219" s="314" t="str">
        <f t="shared" si="14"/>
        <v/>
      </c>
      <c r="R219" s="314" t="str" cm="1">
        <f t="array" aca="1" ref="R219" ca="1">_xlfn.IFNA(_xlfn.IFS(X219="Dit kostentype hoeft u niet op te geven. Hiervoor wordt een forfait berekend.","",AND(J219&lt;&gt;"",H219="Vast tarief",F219="Vergoeding"),SUM(J219)*FLOOR(SUM(L219),0.0001),AND(J219&lt;&gt;"",OR(H219="Uurtarief",H219="Vast tarief")),SUM(J219)*FLOOR(SUM(L219),0.01),AND(N219&lt;&gt;"",H219="-"),FLOOR(SUM(N219),0.01)),"")</f>
        <v/>
      </c>
      <c r="S219" s="314" t="str" cm="1">
        <f t="array" aca="1" ref="S219" ca="1">_xlfn.IFNA(_xlfn.IFS(X219="Dit kostentype hoeft u niet op te geven. Hiervoor wordt een forfait berekend.","",AND(K219&lt;&gt;"",M219&lt;&gt;"",H219="Vast tarief",F219="Vergoeding"),SUM(K219)*FLOOR(SUM(M219),0.0001),AND(K219&lt;&gt;"",M219&lt;&gt;"",OR(H219="Uurtarief",H219="Vast tarief")),SUM(K219)*FLOOR(SUM(M219),0.01),AND(O219&lt;&gt;"",H219="-"),FLOOR(SUM(O219),0.01)),"")</f>
        <v/>
      </c>
      <c r="T219" s="314" t="str">
        <f t="shared" ca="1" si="15"/>
        <v/>
      </c>
      <c r="U219" s="314" t="str" cm="1">
        <f t="array" aca="1" ref="U219" ca="1">IFERROR(_xlfn.IFS(OR(F219="",LEFT(Methode_Keuze,4)="Geen",Methode_Keuze=""),"",AND(R219&lt;&gt;"",F219&lt;&gt;"Arbeidskosten"),R219*VLOOKUP(F219,Tb_ProjectKosten[],MATCH(Tb_ProjectKosten[[#Headers],[Forfait_Percentage]],Tb_ProjectKosten[#Headers],0),0),AND(F219="Arbeidskosten",G219&lt;&gt;""),IFERROR(R219*VLOOKUP(G219,Tb_KostenTypen[],3,0)*VLOOKUP(F219,Tb_ProjectKosten[],MATCH(Tb_ProjectKosten[[#Headers],[Forfait_Percentage]],Tb_ProjectKosten[#Headers],0),0),""),R219 &lt;=0,0),"")</f>
        <v/>
      </c>
      <c r="V219" s="314" t="str" cm="1">
        <f t="array" aca="1" ref="V219" ca="1">IFERROR(_xlfn.IFS(OR(F219="",LEFT(Methode_Keuze,4)="Geen",Methode_Keuze=""),"",AND(S219&lt;&gt;"",F219&lt;&gt;"Arbeidskosten"),S219*VLOOKUP(F219,Tb_ProjectKosten[],MATCH(Tb_ProjectKosten[[#Headers],[Forfait_Percentage]],Tb_ProjectKosten[#Headers],0),0),AND(F219="Arbeidskosten",G219&lt;&gt;""),IFERROR(S219*VLOOKUP(G219,Tb_KostenTypen[],3,0)*VLOOKUP(F219,Tb_ProjectKosten[],MATCH(Tb_ProjectKosten[[#Headers],[Forfait_Percentage]],Tb_ProjectKosten[#Headers],0),0),""),S219 &lt;=0,0),"")</f>
        <v/>
      </c>
      <c r="W219" s="314" t="str">
        <f t="shared" ca="1" si="16"/>
        <v/>
      </c>
      <c r="X219" s="376" t="str">
        <f>IFERROR(VLOOKUP(F219,Tb_ProjectKosten[#All],11,0),"")</f>
        <v/>
      </c>
      <c r="Y219" s="315"/>
    </row>
    <row r="220" spans="1:25" x14ac:dyDescent="0.25">
      <c r="A220" s="309">
        <f>MAX($A$5:A219)+1</f>
        <v>215</v>
      </c>
      <c r="B220" s="296"/>
      <c r="C220" s="296"/>
      <c r="D220" s="296"/>
      <c r="E220" s="296"/>
      <c r="F220" s="296"/>
      <c r="G220" s="327"/>
      <c r="H220" s="310" t="str">
        <f ca="1">IFERROR(IF(VLOOKUP(F220,Kostentypen!$A$3:$E$21,3,0)=0,"",IF(OR(F220="Arbeidskosten",F220="Vergoeding"),VLOOKUP(G220,Tb_KostenTypen[],2,0),VLOOKUP(F220,Kostentypen!$A$3:$E$20,3,0))),"")</f>
        <v/>
      </c>
      <c r="I220" s="311"/>
      <c r="J220" s="312" t="str" cm="1">
        <f t="array" ref="J220">_xlfn.IFNA(IF(INDEX(Tb_KostenOpties[],MATCH($F220,Tb_KostenOpties[KostenOptie],0),IFERROR(MATCH(Methode_Keuze,Tb_KostenOpties[#Headers],0),2))=1,_xlfn.SWITCH($H220,"Uurtarief",IF(OR(AND(RIGHT($F220,3)="IKS",VLOOKUP($I220,Loonkosten,2,0)="Ja"),AND(RIGHT($F220,3)&lt;&gt;"IKS",VLOOKUP($I220,Loonkosten,2,0)="Nee")), VLOOKUP($I220,Loonkosten,MATCH("Opgegeven uurtarief",'4. Rekenhulp loonkosten aanvr.'!$4:$4,0)),0),"Vast tarief",IF(LEFT(F220,8)="Bijdrage",VLOOKUP($F220,Tb_KostenTypen[],MATCH(Lijsten!$P$1,Tb_KostenTypen[#Headers],0),0),VLOOKUP($G220,Lijsten!L:P,MATCH(Lijsten!$P$1,Kop_Tarief_Vast,0),0))),""),"")</f>
        <v/>
      </c>
      <c r="K220" s="312" t="str" cm="1">
        <f t="array" ref="K220">_xlfn.IFNA(IF(INDEX(Tb_KostenOpties[],MATCH($F220,Tb_KostenOpties[KostenOptie],0),IFERROR(MATCH(Methode_Keuze,Tb_KostenOpties[#Headers],0),2))=1,_xlfn.SWITCH($H220,"Uurtarief",IF(OR(AND(RIGHT($F220,3)="IKS",VLOOKUP($I220,Loonkosten,2,0)="Ja"),AND(RIGHT($F220,3)&lt;&gt;"IKS",VLOOKUP($I220,Loonkosten,2,0)="Nee")), VLOOKUP($I220,Loonkosten,MATCH("Beoordeeld uurtarief",'4. Rekenhulp loonkosten aanvr.'!$4:$4,0),0),0),"Vast tarief",IF(LEFT(F220,8)="Bijdrage",VLOOKUP($F220,Tb_KostenTypen[],MATCH(Lijsten!$P$1,Tb_KostenTypen[#Headers],0),0),VLOOKUP($G220,Lijsten!L:P,MATCH(Lijsten!$P$1,Kop_Tarief_Vast,0),0))),""),"")</f>
        <v/>
      </c>
      <c r="L220" s="358"/>
      <c r="M220" s="358"/>
      <c r="N220" s="313"/>
      <c r="O220" s="313"/>
      <c r="P220" s="374" t="str">
        <f t="shared" si="13"/>
        <v/>
      </c>
      <c r="Q220" s="314" t="str">
        <f t="shared" si="14"/>
        <v/>
      </c>
      <c r="R220" s="314" t="str" cm="1">
        <f t="array" aca="1" ref="R220" ca="1">_xlfn.IFNA(_xlfn.IFS(X220="Dit kostentype hoeft u niet op te geven. Hiervoor wordt een forfait berekend.","",AND(J220&lt;&gt;"",H220="Vast tarief",F220="Vergoeding"),SUM(J220)*FLOOR(SUM(L220),0.0001),AND(J220&lt;&gt;"",OR(H220="Uurtarief",H220="Vast tarief")),SUM(J220)*FLOOR(SUM(L220),0.01),AND(N220&lt;&gt;"",H220="-"),FLOOR(SUM(N220),0.01)),"")</f>
        <v/>
      </c>
      <c r="S220" s="314" t="str" cm="1">
        <f t="array" aca="1" ref="S220" ca="1">_xlfn.IFNA(_xlfn.IFS(X220="Dit kostentype hoeft u niet op te geven. Hiervoor wordt een forfait berekend.","",AND(K220&lt;&gt;"",M220&lt;&gt;"",H220="Vast tarief",F220="Vergoeding"),SUM(K220)*FLOOR(SUM(M220),0.0001),AND(K220&lt;&gt;"",M220&lt;&gt;"",OR(H220="Uurtarief",H220="Vast tarief")),SUM(K220)*FLOOR(SUM(M220),0.01),AND(O220&lt;&gt;"",H220="-"),FLOOR(SUM(O220),0.01)),"")</f>
        <v/>
      </c>
      <c r="T220" s="314" t="str">
        <f t="shared" ca="1" si="15"/>
        <v/>
      </c>
      <c r="U220" s="314" t="str" cm="1">
        <f t="array" aca="1" ref="U220" ca="1">IFERROR(_xlfn.IFS(OR(F220="",LEFT(Methode_Keuze,4)="Geen",Methode_Keuze=""),"",AND(R220&lt;&gt;"",F220&lt;&gt;"Arbeidskosten"),R220*VLOOKUP(F220,Tb_ProjectKosten[],MATCH(Tb_ProjectKosten[[#Headers],[Forfait_Percentage]],Tb_ProjectKosten[#Headers],0),0),AND(F220="Arbeidskosten",G220&lt;&gt;""),IFERROR(R220*VLOOKUP(G220,Tb_KostenTypen[],3,0)*VLOOKUP(F220,Tb_ProjectKosten[],MATCH(Tb_ProjectKosten[[#Headers],[Forfait_Percentage]],Tb_ProjectKosten[#Headers],0),0),""),R220 &lt;=0,0),"")</f>
        <v/>
      </c>
      <c r="V220" s="314" t="str" cm="1">
        <f t="array" aca="1" ref="V220" ca="1">IFERROR(_xlfn.IFS(OR(F220="",LEFT(Methode_Keuze,4)="Geen",Methode_Keuze=""),"",AND(S220&lt;&gt;"",F220&lt;&gt;"Arbeidskosten"),S220*VLOOKUP(F220,Tb_ProjectKosten[],MATCH(Tb_ProjectKosten[[#Headers],[Forfait_Percentage]],Tb_ProjectKosten[#Headers],0),0),AND(F220="Arbeidskosten",G220&lt;&gt;""),IFERROR(S220*VLOOKUP(G220,Tb_KostenTypen[],3,0)*VLOOKUP(F220,Tb_ProjectKosten[],MATCH(Tb_ProjectKosten[[#Headers],[Forfait_Percentage]],Tb_ProjectKosten[#Headers],0),0),""),S220 &lt;=0,0),"")</f>
        <v/>
      </c>
      <c r="W220" s="314" t="str">
        <f t="shared" ca="1" si="16"/>
        <v/>
      </c>
      <c r="X220" s="376" t="str">
        <f>IFERROR(VLOOKUP(F220,Tb_ProjectKosten[#All],11,0),"")</f>
        <v/>
      </c>
      <c r="Y220" s="315"/>
    </row>
    <row r="221" spans="1:25" x14ac:dyDescent="0.25">
      <c r="A221" s="309">
        <f>MAX($A$5:A220)+1</f>
        <v>216</v>
      </c>
      <c r="B221" s="296"/>
      <c r="C221" s="296"/>
      <c r="D221" s="296"/>
      <c r="E221" s="296"/>
      <c r="F221" s="296"/>
      <c r="G221" s="327"/>
      <c r="H221" s="310" t="str">
        <f ca="1">IFERROR(IF(VLOOKUP(F221,Kostentypen!$A$3:$E$21,3,0)=0,"",IF(OR(F221="Arbeidskosten",F221="Vergoeding"),VLOOKUP(G221,Tb_KostenTypen[],2,0),VLOOKUP(F221,Kostentypen!$A$3:$E$20,3,0))),"")</f>
        <v/>
      </c>
      <c r="I221" s="311"/>
      <c r="J221" s="312" t="str" cm="1">
        <f t="array" ref="J221">_xlfn.IFNA(IF(INDEX(Tb_KostenOpties[],MATCH($F221,Tb_KostenOpties[KostenOptie],0),IFERROR(MATCH(Methode_Keuze,Tb_KostenOpties[#Headers],0),2))=1,_xlfn.SWITCH($H221,"Uurtarief",IF(OR(AND(RIGHT($F221,3)="IKS",VLOOKUP($I221,Loonkosten,2,0)="Ja"),AND(RIGHT($F221,3)&lt;&gt;"IKS",VLOOKUP($I221,Loonkosten,2,0)="Nee")), VLOOKUP($I221,Loonkosten,MATCH("Opgegeven uurtarief",'4. Rekenhulp loonkosten aanvr.'!$4:$4,0)),0),"Vast tarief",IF(LEFT(F221,8)="Bijdrage",VLOOKUP($F221,Tb_KostenTypen[],MATCH(Lijsten!$P$1,Tb_KostenTypen[#Headers],0),0),VLOOKUP($G221,Lijsten!L:P,MATCH(Lijsten!$P$1,Kop_Tarief_Vast,0),0))),""),"")</f>
        <v/>
      </c>
      <c r="K221" s="312" t="str" cm="1">
        <f t="array" ref="K221">_xlfn.IFNA(IF(INDEX(Tb_KostenOpties[],MATCH($F221,Tb_KostenOpties[KostenOptie],0),IFERROR(MATCH(Methode_Keuze,Tb_KostenOpties[#Headers],0),2))=1,_xlfn.SWITCH($H221,"Uurtarief",IF(OR(AND(RIGHT($F221,3)="IKS",VLOOKUP($I221,Loonkosten,2,0)="Ja"),AND(RIGHT($F221,3)&lt;&gt;"IKS",VLOOKUP($I221,Loonkosten,2,0)="Nee")), VLOOKUP($I221,Loonkosten,MATCH("Beoordeeld uurtarief",'4. Rekenhulp loonkosten aanvr.'!$4:$4,0),0),0),"Vast tarief",IF(LEFT(F221,8)="Bijdrage",VLOOKUP($F221,Tb_KostenTypen[],MATCH(Lijsten!$P$1,Tb_KostenTypen[#Headers],0),0),VLOOKUP($G221,Lijsten!L:P,MATCH(Lijsten!$P$1,Kop_Tarief_Vast,0),0))),""),"")</f>
        <v/>
      </c>
      <c r="L221" s="358"/>
      <c r="M221" s="358"/>
      <c r="N221" s="313"/>
      <c r="O221" s="313"/>
      <c r="P221" s="374" t="str">
        <f t="shared" si="13"/>
        <v/>
      </c>
      <c r="Q221" s="314" t="str">
        <f t="shared" si="14"/>
        <v/>
      </c>
      <c r="R221" s="314" t="str" cm="1">
        <f t="array" aca="1" ref="R221" ca="1">_xlfn.IFNA(_xlfn.IFS(X221="Dit kostentype hoeft u niet op te geven. Hiervoor wordt een forfait berekend.","",AND(J221&lt;&gt;"",H221="Vast tarief",F221="Vergoeding"),SUM(J221)*FLOOR(SUM(L221),0.0001),AND(J221&lt;&gt;"",OR(H221="Uurtarief",H221="Vast tarief")),SUM(J221)*FLOOR(SUM(L221),0.01),AND(N221&lt;&gt;"",H221="-"),FLOOR(SUM(N221),0.01)),"")</f>
        <v/>
      </c>
      <c r="S221" s="314" t="str" cm="1">
        <f t="array" aca="1" ref="S221" ca="1">_xlfn.IFNA(_xlfn.IFS(X221="Dit kostentype hoeft u niet op te geven. Hiervoor wordt een forfait berekend.","",AND(K221&lt;&gt;"",M221&lt;&gt;"",H221="Vast tarief",F221="Vergoeding"),SUM(K221)*FLOOR(SUM(M221),0.0001),AND(K221&lt;&gt;"",M221&lt;&gt;"",OR(H221="Uurtarief",H221="Vast tarief")),SUM(K221)*FLOOR(SUM(M221),0.01),AND(O221&lt;&gt;"",H221="-"),FLOOR(SUM(O221),0.01)),"")</f>
        <v/>
      </c>
      <c r="T221" s="314" t="str">
        <f t="shared" ca="1" si="15"/>
        <v/>
      </c>
      <c r="U221" s="314" t="str" cm="1">
        <f t="array" aca="1" ref="U221" ca="1">IFERROR(_xlfn.IFS(OR(F221="",LEFT(Methode_Keuze,4)="Geen",Methode_Keuze=""),"",AND(R221&lt;&gt;"",F221&lt;&gt;"Arbeidskosten"),R221*VLOOKUP(F221,Tb_ProjectKosten[],MATCH(Tb_ProjectKosten[[#Headers],[Forfait_Percentage]],Tb_ProjectKosten[#Headers],0),0),AND(F221="Arbeidskosten",G221&lt;&gt;""),IFERROR(R221*VLOOKUP(G221,Tb_KostenTypen[],3,0)*VLOOKUP(F221,Tb_ProjectKosten[],MATCH(Tb_ProjectKosten[[#Headers],[Forfait_Percentage]],Tb_ProjectKosten[#Headers],0),0),""),R221 &lt;=0,0),"")</f>
        <v/>
      </c>
      <c r="V221" s="314" t="str" cm="1">
        <f t="array" aca="1" ref="V221" ca="1">IFERROR(_xlfn.IFS(OR(F221="",LEFT(Methode_Keuze,4)="Geen",Methode_Keuze=""),"",AND(S221&lt;&gt;"",F221&lt;&gt;"Arbeidskosten"),S221*VLOOKUP(F221,Tb_ProjectKosten[],MATCH(Tb_ProjectKosten[[#Headers],[Forfait_Percentage]],Tb_ProjectKosten[#Headers],0),0),AND(F221="Arbeidskosten",G221&lt;&gt;""),IFERROR(S221*VLOOKUP(G221,Tb_KostenTypen[],3,0)*VLOOKUP(F221,Tb_ProjectKosten[],MATCH(Tb_ProjectKosten[[#Headers],[Forfait_Percentage]],Tb_ProjectKosten[#Headers],0),0),""),S221 &lt;=0,0),"")</f>
        <v/>
      </c>
      <c r="W221" s="314" t="str">
        <f t="shared" ca="1" si="16"/>
        <v/>
      </c>
      <c r="X221" s="376" t="str">
        <f>IFERROR(VLOOKUP(F221,Tb_ProjectKosten[#All],11,0),"")</f>
        <v/>
      </c>
      <c r="Y221" s="315"/>
    </row>
    <row r="222" spans="1:25" x14ac:dyDescent="0.25">
      <c r="A222" s="309">
        <f>MAX($A$5:A221)+1</f>
        <v>217</v>
      </c>
      <c r="B222" s="296"/>
      <c r="C222" s="296"/>
      <c r="D222" s="296"/>
      <c r="E222" s="296"/>
      <c r="F222" s="296"/>
      <c r="G222" s="327"/>
      <c r="H222" s="310" t="str">
        <f ca="1">IFERROR(IF(VLOOKUP(F222,Kostentypen!$A$3:$E$21,3,0)=0,"",IF(OR(F222="Arbeidskosten",F222="Vergoeding"),VLOOKUP(G222,Tb_KostenTypen[],2,0),VLOOKUP(F222,Kostentypen!$A$3:$E$20,3,0))),"")</f>
        <v/>
      </c>
      <c r="I222" s="311"/>
      <c r="J222" s="312" t="str" cm="1">
        <f t="array" ref="J222">_xlfn.IFNA(IF(INDEX(Tb_KostenOpties[],MATCH($F222,Tb_KostenOpties[KostenOptie],0),IFERROR(MATCH(Methode_Keuze,Tb_KostenOpties[#Headers],0),2))=1,_xlfn.SWITCH($H222,"Uurtarief",IF(OR(AND(RIGHT($F222,3)="IKS",VLOOKUP($I222,Loonkosten,2,0)="Ja"),AND(RIGHT($F222,3)&lt;&gt;"IKS",VLOOKUP($I222,Loonkosten,2,0)="Nee")), VLOOKUP($I222,Loonkosten,MATCH("Opgegeven uurtarief",'4. Rekenhulp loonkosten aanvr.'!$4:$4,0)),0),"Vast tarief",IF(LEFT(F222,8)="Bijdrage",VLOOKUP($F222,Tb_KostenTypen[],MATCH(Lijsten!$P$1,Tb_KostenTypen[#Headers],0),0),VLOOKUP($G222,Lijsten!L:P,MATCH(Lijsten!$P$1,Kop_Tarief_Vast,0),0))),""),"")</f>
        <v/>
      </c>
      <c r="K222" s="312" t="str" cm="1">
        <f t="array" ref="K222">_xlfn.IFNA(IF(INDEX(Tb_KostenOpties[],MATCH($F222,Tb_KostenOpties[KostenOptie],0),IFERROR(MATCH(Methode_Keuze,Tb_KostenOpties[#Headers],0),2))=1,_xlfn.SWITCH($H222,"Uurtarief",IF(OR(AND(RIGHT($F222,3)="IKS",VLOOKUP($I222,Loonkosten,2,0)="Ja"),AND(RIGHT($F222,3)&lt;&gt;"IKS",VLOOKUP($I222,Loonkosten,2,0)="Nee")), VLOOKUP($I222,Loonkosten,MATCH("Beoordeeld uurtarief",'4. Rekenhulp loonkosten aanvr.'!$4:$4,0),0),0),"Vast tarief",IF(LEFT(F222,8)="Bijdrage",VLOOKUP($F222,Tb_KostenTypen[],MATCH(Lijsten!$P$1,Tb_KostenTypen[#Headers],0),0),VLOOKUP($G222,Lijsten!L:P,MATCH(Lijsten!$P$1,Kop_Tarief_Vast,0),0))),""),"")</f>
        <v/>
      </c>
      <c r="L222" s="358"/>
      <c r="M222" s="358"/>
      <c r="N222" s="313"/>
      <c r="O222" s="313"/>
      <c r="P222" s="374" t="str">
        <f t="shared" si="13"/>
        <v/>
      </c>
      <c r="Q222" s="314" t="str">
        <f t="shared" si="14"/>
        <v/>
      </c>
      <c r="R222" s="314" t="str" cm="1">
        <f t="array" aca="1" ref="R222" ca="1">_xlfn.IFNA(_xlfn.IFS(X222="Dit kostentype hoeft u niet op te geven. Hiervoor wordt een forfait berekend.","",AND(J222&lt;&gt;"",H222="Vast tarief",F222="Vergoeding"),SUM(J222)*FLOOR(SUM(L222),0.0001),AND(J222&lt;&gt;"",OR(H222="Uurtarief",H222="Vast tarief")),SUM(J222)*FLOOR(SUM(L222),0.01),AND(N222&lt;&gt;"",H222="-"),FLOOR(SUM(N222),0.01)),"")</f>
        <v/>
      </c>
      <c r="S222" s="314" t="str" cm="1">
        <f t="array" aca="1" ref="S222" ca="1">_xlfn.IFNA(_xlfn.IFS(X222="Dit kostentype hoeft u niet op te geven. Hiervoor wordt een forfait berekend.","",AND(K222&lt;&gt;"",M222&lt;&gt;"",H222="Vast tarief",F222="Vergoeding"),SUM(K222)*FLOOR(SUM(M222),0.0001),AND(K222&lt;&gt;"",M222&lt;&gt;"",OR(H222="Uurtarief",H222="Vast tarief")),SUM(K222)*FLOOR(SUM(M222),0.01),AND(O222&lt;&gt;"",H222="-"),FLOOR(SUM(O222),0.01)),"")</f>
        <v/>
      </c>
      <c r="T222" s="314" t="str">
        <f t="shared" ca="1" si="15"/>
        <v/>
      </c>
      <c r="U222" s="314" t="str" cm="1">
        <f t="array" aca="1" ref="U222" ca="1">IFERROR(_xlfn.IFS(OR(F222="",LEFT(Methode_Keuze,4)="Geen",Methode_Keuze=""),"",AND(R222&lt;&gt;"",F222&lt;&gt;"Arbeidskosten"),R222*VLOOKUP(F222,Tb_ProjectKosten[],MATCH(Tb_ProjectKosten[[#Headers],[Forfait_Percentage]],Tb_ProjectKosten[#Headers],0),0),AND(F222="Arbeidskosten",G222&lt;&gt;""),IFERROR(R222*VLOOKUP(G222,Tb_KostenTypen[],3,0)*VLOOKUP(F222,Tb_ProjectKosten[],MATCH(Tb_ProjectKosten[[#Headers],[Forfait_Percentage]],Tb_ProjectKosten[#Headers],0),0),""),R222 &lt;=0,0),"")</f>
        <v/>
      </c>
      <c r="V222" s="314" t="str" cm="1">
        <f t="array" aca="1" ref="V222" ca="1">IFERROR(_xlfn.IFS(OR(F222="",LEFT(Methode_Keuze,4)="Geen",Methode_Keuze=""),"",AND(S222&lt;&gt;"",F222&lt;&gt;"Arbeidskosten"),S222*VLOOKUP(F222,Tb_ProjectKosten[],MATCH(Tb_ProjectKosten[[#Headers],[Forfait_Percentage]],Tb_ProjectKosten[#Headers],0),0),AND(F222="Arbeidskosten",G222&lt;&gt;""),IFERROR(S222*VLOOKUP(G222,Tb_KostenTypen[],3,0)*VLOOKUP(F222,Tb_ProjectKosten[],MATCH(Tb_ProjectKosten[[#Headers],[Forfait_Percentage]],Tb_ProjectKosten[#Headers],0),0),""),S222 &lt;=0,0),"")</f>
        <v/>
      </c>
      <c r="W222" s="314" t="str">
        <f t="shared" ca="1" si="16"/>
        <v/>
      </c>
      <c r="X222" s="376" t="str">
        <f>IFERROR(VLOOKUP(F222,Tb_ProjectKosten[#All],11,0),"")</f>
        <v/>
      </c>
      <c r="Y222" s="315"/>
    </row>
    <row r="223" spans="1:25" x14ac:dyDescent="0.25">
      <c r="A223" s="309">
        <f>MAX($A$5:A222)+1</f>
        <v>218</v>
      </c>
      <c r="B223" s="296"/>
      <c r="C223" s="296"/>
      <c r="D223" s="296"/>
      <c r="E223" s="296"/>
      <c r="F223" s="296"/>
      <c r="G223" s="327"/>
      <c r="H223" s="310" t="str">
        <f ca="1">IFERROR(IF(VLOOKUP(F223,Kostentypen!$A$3:$E$21,3,0)=0,"",IF(OR(F223="Arbeidskosten",F223="Vergoeding"),VLOOKUP(G223,Tb_KostenTypen[],2,0),VLOOKUP(F223,Kostentypen!$A$3:$E$20,3,0))),"")</f>
        <v/>
      </c>
      <c r="I223" s="311"/>
      <c r="J223" s="312" t="str" cm="1">
        <f t="array" ref="J223">_xlfn.IFNA(IF(INDEX(Tb_KostenOpties[],MATCH($F223,Tb_KostenOpties[KostenOptie],0),IFERROR(MATCH(Methode_Keuze,Tb_KostenOpties[#Headers],0),2))=1,_xlfn.SWITCH($H223,"Uurtarief",IF(OR(AND(RIGHT($F223,3)="IKS",VLOOKUP($I223,Loonkosten,2,0)="Ja"),AND(RIGHT($F223,3)&lt;&gt;"IKS",VLOOKUP($I223,Loonkosten,2,0)="Nee")), VLOOKUP($I223,Loonkosten,MATCH("Opgegeven uurtarief",'4. Rekenhulp loonkosten aanvr.'!$4:$4,0)),0),"Vast tarief",IF(LEFT(F223,8)="Bijdrage",VLOOKUP($F223,Tb_KostenTypen[],MATCH(Lijsten!$P$1,Tb_KostenTypen[#Headers],0),0),VLOOKUP($G223,Lijsten!L:P,MATCH(Lijsten!$P$1,Kop_Tarief_Vast,0),0))),""),"")</f>
        <v/>
      </c>
      <c r="K223" s="312" t="str" cm="1">
        <f t="array" ref="K223">_xlfn.IFNA(IF(INDEX(Tb_KostenOpties[],MATCH($F223,Tb_KostenOpties[KostenOptie],0),IFERROR(MATCH(Methode_Keuze,Tb_KostenOpties[#Headers],0),2))=1,_xlfn.SWITCH($H223,"Uurtarief",IF(OR(AND(RIGHT($F223,3)="IKS",VLOOKUP($I223,Loonkosten,2,0)="Ja"),AND(RIGHT($F223,3)&lt;&gt;"IKS",VLOOKUP($I223,Loonkosten,2,0)="Nee")), VLOOKUP($I223,Loonkosten,MATCH("Beoordeeld uurtarief",'4. Rekenhulp loonkosten aanvr.'!$4:$4,0),0),0),"Vast tarief",IF(LEFT(F223,8)="Bijdrage",VLOOKUP($F223,Tb_KostenTypen[],MATCH(Lijsten!$P$1,Tb_KostenTypen[#Headers],0),0),VLOOKUP($G223,Lijsten!L:P,MATCH(Lijsten!$P$1,Kop_Tarief_Vast,0),0))),""),"")</f>
        <v/>
      </c>
      <c r="L223" s="358"/>
      <c r="M223" s="358"/>
      <c r="N223" s="313"/>
      <c r="O223" s="313"/>
      <c r="P223" s="374" t="str">
        <f t="shared" si="13"/>
        <v/>
      </c>
      <c r="Q223" s="314" t="str">
        <f t="shared" si="14"/>
        <v/>
      </c>
      <c r="R223" s="314" t="str" cm="1">
        <f t="array" aca="1" ref="R223" ca="1">_xlfn.IFNA(_xlfn.IFS(X223="Dit kostentype hoeft u niet op te geven. Hiervoor wordt een forfait berekend.","",AND(J223&lt;&gt;"",H223="Vast tarief",F223="Vergoeding"),SUM(J223)*FLOOR(SUM(L223),0.0001),AND(J223&lt;&gt;"",OR(H223="Uurtarief",H223="Vast tarief")),SUM(J223)*FLOOR(SUM(L223),0.01),AND(N223&lt;&gt;"",H223="-"),FLOOR(SUM(N223),0.01)),"")</f>
        <v/>
      </c>
      <c r="S223" s="314" t="str" cm="1">
        <f t="array" aca="1" ref="S223" ca="1">_xlfn.IFNA(_xlfn.IFS(X223="Dit kostentype hoeft u niet op te geven. Hiervoor wordt een forfait berekend.","",AND(K223&lt;&gt;"",M223&lt;&gt;"",H223="Vast tarief",F223="Vergoeding"),SUM(K223)*FLOOR(SUM(M223),0.0001),AND(K223&lt;&gt;"",M223&lt;&gt;"",OR(H223="Uurtarief",H223="Vast tarief")),SUM(K223)*FLOOR(SUM(M223),0.01),AND(O223&lt;&gt;"",H223="-"),FLOOR(SUM(O223),0.01)),"")</f>
        <v/>
      </c>
      <c r="T223" s="314" t="str">
        <f t="shared" ca="1" si="15"/>
        <v/>
      </c>
      <c r="U223" s="314" t="str" cm="1">
        <f t="array" aca="1" ref="U223" ca="1">IFERROR(_xlfn.IFS(OR(F223="",LEFT(Methode_Keuze,4)="Geen",Methode_Keuze=""),"",AND(R223&lt;&gt;"",F223&lt;&gt;"Arbeidskosten"),R223*VLOOKUP(F223,Tb_ProjectKosten[],MATCH(Tb_ProjectKosten[[#Headers],[Forfait_Percentage]],Tb_ProjectKosten[#Headers],0),0),AND(F223="Arbeidskosten",G223&lt;&gt;""),IFERROR(R223*VLOOKUP(G223,Tb_KostenTypen[],3,0)*VLOOKUP(F223,Tb_ProjectKosten[],MATCH(Tb_ProjectKosten[[#Headers],[Forfait_Percentage]],Tb_ProjectKosten[#Headers],0),0),""),R223 &lt;=0,0),"")</f>
        <v/>
      </c>
      <c r="V223" s="314" t="str" cm="1">
        <f t="array" aca="1" ref="V223" ca="1">IFERROR(_xlfn.IFS(OR(F223="",LEFT(Methode_Keuze,4)="Geen",Methode_Keuze=""),"",AND(S223&lt;&gt;"",F223&lt;&gt;"Arbeidskosten"),S223*VLOOKUP(F223,Tb_ProjectKosten[],MATCH(Tb_ProjectKosten[[#Headers],[Forfait_Percentage]],Tb_ProjectKosten[#Headers],0),0),AND(F223="Arbeidskosten",G223&lt;&gt;""),IFERROR(S223*VLOOKUP(G223,Tb_KostenTypen[],3,0)*VLOOKUP(F223,Tb_ProjectKosten[],MATCH(Tb_ProjectKosten[[#Headers],[Forfait_Percentage]],Tb_ProjectKosten[#Headers],0),0),""),S223 &lt;=0,0),"")</f>
        <v/>
      </c>
      <c r="W223" s="314" t="str">
        <f t="shared" ca="1" si="16"/>
        <v/>
      </c>
      <c r="X223" s="376" t="str">
        <f>IFERROR(VLOOKUP(F223,Tb_ProjectKosten[#All],11,0),"")</f>
        <v/>
      </c>
      <c r="Y223" s="315"/>
    </row>
    <row r="224" spans="1:25" x14ac:dyDescent="0.25">
      <c r="A224" s="309">
        <f>MAX($A$5:A223)+1</f>
        <v>219</v>
      </c>
      <c r="B224" s="296"/>
      <c r="C224" s="296"/>
      <c r="D224" s="296"/>
      <c r="E224" s="296"/>
      <c r="F224" s="296"/>
      <c r="G224" s="327"/>
      <c r="H224" s="310" t="str">
        <f ca="1">IFERROR(IF(VLOOKUP(F224,Kostentypen!$A$3:$E$21,3,0)=0,"",IF(OR(F224="Arbeidskosten",F224="Vergoeding"),VLOOKUP(G224,Tb_KostenTypen[],2,0),VLOOKUP(F224,Kostentypen!$A$3:$E$20,3,0))),"")</f>
        <v/>
      </c>
      <c r="I224" s="311"/>
      <c r="J224" s="312" t="str" cm="1">
        <f t="array" ref="J224">_xlfn.IFNA(IF(INDEX(Tb_KostenOpties[],MATCH($F224,Tb_KostenOpties[KostenOptie],0),IFERROR(MATCH(Methode_Keuze,Tb_KostenOpties[#Headers],0),2))=1,_xlfn.SWITCH($H224,"Uurtarief",IF(OR(AND(RIGHT($F224,3)="IKS",VLOOKUP($I224,Loonkosten,2,0)="Ja"),AND(RIGHT($F224,3)&lt;&gt;"IKS",VLOOKUP($I224,Loonkosten,2,0)="Nee")), VLOOKUP($I224,Loonkosten,MATCH("Opgegeven uurtarief",'4. Rekenhulp loonkosten aanvr.'!$4:$4,0)),0),"Vast tarief",IF(LEFT(F224,8)="Bijdrage",VLOOKUP($F224,Tb_KostenTypen[],MATCH(Lijsten!$P$1,Tb_KostenTypen[#Headers],0),0),VLOOKUP($G224,Lijsten!L:P,MATCH(Lijsten!$P$1,Kop_Tarief_Vast,0),0))),""),"")</f>
        <v/>
      </c>
      <c r="K224" s="312" t="str" cm="1">
        <f t="array" ref="K224">_xlfn.IFNA(IF(INDEX(Tb_KostenOpties[],MATCH($F224,Tb_KostenOpties[KostenOptie],0),IFERROR(MATCH(Methode_Keuze,Tb_KostenOpties[#Headers],0),2))=1,_xlfn.SWITCH($H224,"Uurtarief",IF(OR(AND(RIGHT($F224,3)="IKS",VLOOKUP($I224,Loonkosten,2,0)="Ja"),AND(RIGHT($F224,3)&lt;&gt;"IKS",VLOOKUP($I224,Loonkosten,2,0)="Nee")), VLOOKUP($I224,Loonkosten,MATCH("Beoordeeld uurtarief",'4. Rekenhulp loonkosten aanvr.'!$4:$4,0),0),0),"Vast tarief",IF(LEFT(F224,8)="Bijdrage",VLOOKUP($F224,Tb_KostenTypen[],MATCH(Lijsten!$P$1,Tb_KostenTypen[#Headers],0),0),VLOOKUP($G224,Lijsten!L:P,MATCH(Lijsten!$P$1,Kop_Tarief_Vast,0),0))),""),"")</f>
        <v/>
      </c>
      <c r="L224" s="358"/>
      <c r="M224" s="358"/>
      <c r="N224" s="313"/>
      <c r="O224" s="313"/>
      <c r="P224" s="374" t="str">
        <f t="shared" si="13"/>
        <v/>
      </c>
      <c r="Q224" s="314" t="str">
        <f t="shared" si="14"/>
        <v/>
      </c>
      <c r="R224" s="314" t="str" cm="1">
        <f t="array" aca="1" ref="R224" ca="1">_xlfn.IFNA(_xlfn.IFS(X224="Dit kostentype hoeft u niet op te geven. Hiervoor wordt een forfait berekend.","",AND(J224&lt;&gt;"",H224="Vast tarief",F224="Vergoeding"),SUM(J224)*FLOOR(SUM(L224),0.0001),AND(J224&lt;&gt;"",OR(H224="Uurtarief",H224="Vast tarief")),SUM(J224)*FLOOR(SUM(L224),0.01),AND(N224&lt;&gt;"",H224="-"),FLOOR(SUM(N224),0.01)),"")</f>
        <v/>
      </c>
      <c r="S224" s="314" t="str" cm="1">
        <f t="array" aca="1" ref="S224" ca="1">_xlfn.IFNA(_xlfn.IFS(X224="Dit kostentype hoeft u niet op te geven. Hiervoor wordt een forfait berekend.","",AND(K224&lt;&gt;"",M224&lt;&gt;"",H224="Vast tarief",F224="Vergoeding"),SUM(K224)*FLOOR(SUM(M224),0.0001),AND(K224&lt;&gt;"",M224&lt;&gt;"",OR(H224="Uurtarief",H224="Vast tarief")),SUM(K224)*FLOOR(SUM(M224),0.01),AND(O224&lt;&gt;"",H224="-"),FLOOR(SUM(O224),0.01)),"")</f>
        <v/>
      </c>
      <c r="T224" s="314" t="str">
        <f t="shared" ca="1" si="15"/>
        <v/>
      </c>
      <c r="U224" s="314" t="str" cm="1">
        <f t="array" aca="1" ref="U224" ca="1">IFERROR(_xlfn.IFS(OR(F224="",LEFT(Methode_Keuze,4)="Geen",Methode_Keuze=""),"",AND(R224&lt;&gt;"",F224&lt;&gt;"Arbeidskosten"),R224*VLOOKUP(F224,Tb_ProjectKosten[],MATCH(Tb_ProjectKosten[[#Headers],[Forfait_Percentage]],Tb_ProjectKosten[#Headers],0),0),AND(F224="Arbeidskosten",G224&lt;&gt;""),IFERROR(R224*VLOOKUP(G224,Tb_KostenTypen[],3,0)*VLOOKUP(F224,Tb_ProjectKosten[],MATCH(Tb_ProjectKosten[[#Headers],[Forfait_Percentage]],Tb_ProjectKosten[#Headers],0),0),""),R224 &lt;=0,0),"")</f>
        <v/>
      </c>
      <c r="V224" s="314" t="str" cm="1">
        <f t="array" aca="1" ref="V224" ca="1">IFERROR(_xlfn.IFS(OR(F224="",LEFT(Methode_Keuze,4)="Geen",Methode_Keuze=""),"",AND(S224&lt;&gt;"",F224&lt;&gt;"Arbeidskosten"),S224*VLOOKUP(F224,Tb_ProjectKosten[],MATCH(Tb_ProjectKosten[[#Headers],[Forfait_Percentage]],Tb_ProjectKosten[#Headers],0),0),AND(F224="Arbeidskosten",G224&lt;&gt;""),IFERROR(S224*VLOOKUP(G224,Tb_KostenTypen[],3,0)*VLOOKUP(F224,Tb_ProjectKosten[],MATCH(Tb_ProjectKosten[[#Headers],[Forfait_Percentage]],Tb_ProjectKosten[#Headers],0),0),""),S224 &lt;=0,0),"")</f>
        <v/>
      </c>
      <c r="W224" s="314" t="str">
        <f t="shared" ca="1" si="16"/>
        <v/>
      </c>
      <c r="X224" s="376" t="str">
        <f>IFERROR(VLOOKUP(F224,Tb_ProjectKosten[#All],11,0),"")</f>
        <v/>
      </c>
      <c r="Y224" s="315"/>
    </row>
    <row r="225" spans="1:25" x14ac:dyDescent="0.25">
      <c r="A225" s="309">
        <f>MAX($A$5:A224)+1</f>
        <v>220</v>
      </c>
      <c r="B225" s="296"/>
      <c r="C225" s="296"/>
      <c r="D225" s="296"/>
      <c r="E225" s="296"/>
      <c r="F225" s="296"/>
      <c r="G225" s="327"/>
      <c r="H225" s="310" t="str">
        <f ca="1">IFERROR(IF(VLOOKUP(F225,Kostentypen!$A$3:$E$21,3,0)=0,"",IF(OR(F225="Arbeidskosten",F225="Vergoeding"),VLOOKUP(G225,Tb_KostenTypen[],2,0),VLOOKUP(F225,Kostentypen!$A$3:$E$20,3,0))),"")</f>
        <v/>
      </c>
      <c r="I225" s="311"/>
      <c r="J225" s="312" t="str" cm="1">
        <f t="array" ref="J225">_xlfn.IFNA(IF(INDEX(Tb_KostenOpties[],MATCH($F225,Tb_KostenOpties[KostenOptie],0),IFERROR(MATCH(Methode_Keuze,Tb_KostenOpties[#Headers],0),2))=1,_xlfn.SWITCH($H225,"Uurtarief",IF(OR(AND(RIGHT($F225,3)="IKS",VLOOKUP($I225,Loonkosten,2,0)="Ja"),AND(RIGHT($F225,3)&lt;&gt;"IKS",VLOOKUP($I225,Loonkosten,2,0)="Nee")), VLOOKUP($I225,Loonkosten,MATCH("Opgegeven uurtarief",'4. Rekenhulp loonkosten aanvr.'!$4:$4,0)),0),"Vast tarief",IF(LEFT(F225,8)="Bijdrage",VLOOKUP($F225,Tb_KostenTypen[],MATCH(Lijsten!$P$1,Tb_KostenTypen[#Headers],0),0),VLOOKUP($G225,Lijsten!L:P,MATCH(Lijsten!$P$1,Kop_Tarief_Vast,0),0))),""),"")</f>
        <v/>
      </c>
      <c r="K225" s="312" t="str" cm="1">
        <f t="array" ref="K225">_xlfn.IFNA(IF(INDEX(Tb_KostenOpties[],MATCH($F225,Tb_KostenOpties[KostenOptie],0),IFERROR(MATCH(Methode_Keuze,Tb_KostenOpties[#Headers],0),2))=1,_xlfn.SWITCH($H225,"Uurtarief",IF(OR(AND(RIGHT($F225,3)="IKS",VLOOKUP($I225,Loonkosten,2,0)="Ja"),AND(RIGHT($F225,3)&lt;&gt;"IKS",VLOOKUP($I225,Loonkosten,2,0)="Nee")), VLOOKUP($I225,Loonkosten,MATCH("Beoordeeld uurtarief",'4. Rekenhulp loonkosten aanvr.'!$4:$4,0),0),0),"Vast tarief",IF(LEFT(F225,8)="Bijdrage",VLOOKUP($F225,Tb_KostenTypen[],MATCH(Lijsten!$P$1,Tb_KostenTypen[#Headers],0),0),VLOOKUP($G225,Lijsten!L:P,MATCH(Lijsten!$P$1,Kop_Tarief_Vast,0),0))),""),"")</f>
        <v/>
      </c>
      <c r="L225" s="358"/>
      <c r="M225" s="358"/>
      <c r="N225" s="313"/>
      <c r="O225" s="313"/>
      <c r="P225" s="374" t="str">
        <f t="shared" si="13"/>
        <v/>
      </c>
      <c r="Q225" s="314" t="str">
        <f t="shared" si="14"/>
        <v/>
      </c>
      <c r="R225" s="314" t="str" cm="1">
        <f t="array" aca="1" ref="R225" ca="1">_xlfn.IFNA(_xlfn.IFS(X225="Dit kostentype hoeft u niet op te geven. Hiervoor wordt een forfait berekend.","",AND(J225&lt;&gt;"",H225="Vast tarief",F225="Vergoeding"),SUM(J225)*FLOOR(SUM(L225),0.0001),AND(J225&lt;&gt;"",OR(H225="Uurtarief",H225="Vast tarief")),SUM(J225)*FLOOR(SUM(L225),0.01),AND(N225&lt;&gt;"",H225="-"),FLOOR(SUM(N225),0.01)),"")</f>
        <v/>
      </c>
      <c r="S225" s="314" t="str" cm="1">
        <f t="array" aca="1" ref="S225" ca="1">_xlfn.IFNA(_xlfn.IFS(X225="Dit kostentype hoeft u niet op te geven. Hiervoor wordt een forfait berekend.","",AND(K225&lt;&gt;"",M225&lt;&gt;"",H225="Vast tarief",F225="Vergoeding"),SUM(K225)*FLOOR(SUM(M225),0.0001),AND(K225&lt;&gt;"",M225&lt;&gt;"",OR(H225="Uurtarief",H225="Vast tarief")),SUM(K225)*FLOOR(SUM(M225),0.01),AND(O225&lt;&gt;"",H225="-"),FLOOR(SUM(O225),0.01)),"")</f>
        <v/>
      </c>
      <c r="T225" s="314" t="str">
        <f t="shared" ca="1" si="15"/>
        <v/>
      </c>
      <c r="U225" s="314" t="str" cm="1">
        <f t="array" aca="1" ref="U225" ca="1">IFERROR(_xlfn.IFS(OR(F225="",LEFT(Methode_Keuze,4)="Geen",Methode_Keuze=""),"",AND(R225&lt;&gt;"",F225&lt;&gt;"Arbeidskosten"),R225*VLOOKUP(F225,Tb_ProjectKosten[],MATCH(Tb_ProjectKosten[[#Headers],[Forfait_Percentage]],Tb_ProjectKosten[#Headers],0),0),AND(F225="Arbeidskosten",G225&lt;&gt;""),IFERROR(R225*VLOOKUP(G225,Tb_KostenTypen[],3,0)*VLOOKUP(F225,Tb_ProjectKosten[],MATCH(Tb_ProjectKosten[[#Headers],[Forfait_Percentage]],Tb_ProjectKosten[#Headers],0),0),""),R225 &lt;=0,0),"")</f>
        <v/>
      </c>
      <c r="V225" s="314" t="str" cm="1">
        <f t="array" aca="1" ref="V225" ca="1">IFERROR(_xlfn.IFS(OR(F225="",LEFT(Methode_Keuze,4)="Geen",Methode_Keuze=""),"",AND(S225&lt;&gt;"",F225&lt;&gt;"Arbeidskosten"),S225*VLOOKUP(F225,Tb_ProjectKosten[],MATCH(Tb_ProjectKosten[[#Headers],[Forfait_Percentage]],Tb_ProjectKosten[#Headers],0),0),AND(F225="Arbeidskosten",G225&lt;&gt;""),IFERROR(S225*VLOOKUP(G225,Tb_KostenTypen[],3,0)*VLOOKUP(F225,Tb_ProjectKosten[],MATCH(Tb_ProjectKosten[[#Headers],[Forfait_Percentage]],Tb_ProjectKosten[#Headers],0),0),""),S225 &lt;=0,0),"")</f>
        <v/>
      </c>
      <c r="W225" s="314" t="str">
        <f t="shared" ca="1" si="16"/>
        <v/>
      </c>
      <c r="X225" s="376" t="str">
        <f>IFERROR(VLOOKUP(F225,Tb_ProjectKosten[#All],11,0),"")</f>
        <v/>
      </c>
      <c r="Y225" s="315"/>
    </row>
    <row r="226" spans="1:25" x14ac:dyDescent="0.25">
      <c r="A226" s="309">
        <f>MAX($A$5:A225)+1</f>
        <v>221</v>
      </c>
      <c r="B226" s="296"/>
      <c r="C226" s="296"/>
      <c r="D226" s="296"/>
      <c r="E226" s="296"/>
      <c r="F226" s="296"/>
      <c r="G226" s="327"/>
      <c r="H226" s="310" t="str">
        <f ca="1">IFERROR(IF(VLOOKUP(F226,Kostentypen!$A$3:$E$21,3,0)=0,"",IF(OR(F226="Arbeidskosten",F226="Vergoeding"),VLOOKUP(G226,Tb_KostenTypen[],2,0),VLOOKUP(F226,Kostentypen!$A$3:$E$20,3,0))),"")</f>
        <v/>
      </c>
      <c r="I226" s="311"/>
      <c r="J226" s="312" t="str" cm="1">
        <f t="array" ref="J226">_xlfn.IFNA(IF(INDEX(Tb_KostenOpties[],MATCH($F226,Tb_KostenOpties[KostenOptie],0),IFERROR(MATCH(Methode_Keuze,Tb_KostenOpties[#Headers],0),2))=1,_xlfn.SWITCH($H226,"Uurtarief",IF(OR(AND(RIGHT($F226,3)="IKS",VLOOKUP($I226,Loonkosten,2,0)="Ja"),AND(RIGHT($F226,3)&lt;&gt;"IKS",VLOOKUP($I226,Loonkosten,2,0)="Nee")), VLOOKUP($I226,Loonkosten,MATCH("Opgegeven uurtarief",'4. Rekenhulp loonkosten aanvr.'!$4:$4,0)),0),"Vast tarief",IF(LEFT(F226,8)="Bijdrage",VLOOKUP($F226,Tb_KostenTypen[],MATCH(Lijsten!$P$1,Tb_KostenTypen[#Headers],0),0),VLOOKUP($G226,Lijsten!L:P,MATCH(Lijsten!$P$1,Kop_Tarief_Vast,0),0))),""),"")</f>
        <v/>
      </c>
      <c r="K226" s="312" t="str" cm="1">
        <f t="array" ref="K226">_xlfn.IFNA(IF(INDEX(Tb_KostenOpties[],MATCH($F226,Tb_KostenOpties[KostenOptie],0),IFERROR(MATCH(Methode_Keuze,Tb_KostenOpties[#Headers],0),2))=1,_xlfn.SWITCH($H226,"Uurtarief",IF(OR(AND(RIGHT($F226,3)="IKS",VLOOKUP($I226,Loonkosten,2,0)="Ja"),AND(RIGHT($F226,3)&lt;&gt;"IKS",VLOOKUP($I226,Loonkosten,2,0)="Nee")), VLOOKUP($I226,Loonkosten,MATCH("Beoordeeld uurtarief",'4. Rekenhulp loonkosten aanvr.'!$4:$4,0),0),0),"Vast tarief",IF(LEFT(F226,8)="Bijdrage",VLOOKUP($F226,Tb_KostenTypen[],MATCH(Lijsten!$P$1,Tb_KostenTypen[#Headers],0),0),VLOOKUP($G226,Lijsten!L:P,MATCH(Lijsten!$P$1,Kop_Tarief_Vast,0),0))),""),"")</f>
        <v/>
      </c>
      <c r="L226" s="358"/>
      <c r="M226" s="358"/>
      <c r="N226" s="313"/>
      <c r="O226" s="313"/>
      <c r="P226" s="374" t="str">
        <f t="shared" si="13"/>
        <v/>
      </c>
      <c r="Q226" s="314" t="str">
        <f t="shared" si="14"/>
        <v/>
      </c>
      <c r="R226" s="314" t="str" cm="1">
        <f t="array" aca="1" ref="R226" ca="1">_xlfn.IFNA(_xlfn.IFS(X226="Dit kostentype hoeft u niet op te geven. Hiervoor wordt een forfait berekend.","",AND(J226&lt;&gt;"",H226="Vast tarief",F226="Vergoeding"),SUM(J226)*FLOOR(SUM(L226),0.0001),AND(J226&lt;&gt;"",OR(H226="Uurtarief",H226="Vast tarief")),SUM(J226)*FLOOR(SUM(L226),0.01),AND(N226&lt;&gt;"",H226="-"),FLOOR(SUM(N226),0.01)),"")</f>
        <v/>
      </c>
      <c r="S226" s="314" t="str" cm="1">
        <f t="array" aca="1" ref="S226" ca="1">_xlfn.IFNA(_xlfn.IFS(X226="Dit kostentype hoeft u niet op te geven. Hiervoor wordt een forfait berekend.","",AND(K226&lt;&gt;"",M226&lt;&gt;"",H226="Vast tarief",F226="Vergoeding"),SUM(K226)*FLOOR(SUM(M226),0.0001),AND(K226&lt;&gt;"",M226&lt;&gt;"",OR(H226="Uurtarief",H226="Vast tarief")),SUM(K226)*FLOOR(SUM(M226),0.01),AND(O226&lt;&gt;"",H226="-"),FLOOR(SUM(O226),0.01)),"")</f>
        <v/>
      </c>
      <c r="T226" s="314" t="str">
        <f t="shared" ca="1" si="15"/>
        <v/>
      </c>
      <c r="U226" s="314" t="str" cm="1">
        <f t="array" aca="1" ref="U226" ca="1">IFERROR(_xlfn.IFS(OR(F226="",LEFT(Methode_Keuze,4)="Geen",Methode_Keuze=""),"",AND(R226&lt;&gt;"",F226&lt;&gt;"Arbeidskosten"),R226*VLOOKUP(F226,Tb_ProjectKosten[],MATCH(Tb_ProjectKosten[[#Headers],[Forfait_Percentage]],Tb_ProjectKosten[#Headers],0),0),AND(F226="Arbeidskosten",G226&lt;&gt;""),IFERROR(R226*VLOOKUP(G226,Tb_KostenTypen[],3,0)*VLOOKUP(F226,Tb_ProjectKosten[],MATCH(Tb_ProjectKosten[[#Headers],[Forfait_Percentage]],Tb_ProjectKosten[#Headers],0),0),""),R226 &lt;=0,0),"")</f>
        <v/>
      </c>
      <c r="V226" s="314" t="str" cm="1">
        <f t="array" aca="1" ref="V226" ca="1">IFERROR(_xlfn.IFS(OR(F226="",LEFT(Methode_Keuze,4)="Geen",Methode_Keuze=""),"",AND(S226&lt;&gt;"",F226&lt;&gt;"Arbeidskosten"),S226*VLOOKUP(F226,Tb_ProjectKosten[],MATCH(Tb_ProjectKosten[[#Headers],[Forfait_Percentage]],Tb_ProjectKosten[#Headers],0),0),AND(F226="Arbeidskosten",G226&lt;&gt;""),IFERROR(S226*VLOOKUP(G226,Tb_KostenTypen[],3,0)*VLOOKUP(F226,Tb_ProjectKosten[],MATCH(Tb_ProjectKosten[[#Headers],[Forfait_Percentage]],Tb_ProjectKosten[#Headers],0),0),""),S226 &lt;=0,0),"")</f>
        <v/>
      </c>
      <c r="W226" s="314" t="str">
        <f t="shared" ca="1" si="16"/>
        <v/>
      </c>
      <c r="X226" s="376" t="str">
        <f>IFERROR(VLOOKUP(F226,Tb_ProjectKosten[#All],11,0),"")</f>
        <v/>
      </c>
      <c r="Y226" s="315"/>
    </row>
    <row r="227" spans="1:25" x14ac:dyDescent="0.25">
      <c r="A227" s="309">
        <f>MAX($A$5:A226)+1</f>
        <v>222</v>
      </c>
      <c r="B227" s="296"/>
      <c r="C227" s="296"/>
      <c r="D227" s="296"/>
      <c r="E227" s="296"/>
      <c r="F227" s="296"/>
      <c r="G227" s="327"/>
      <c r="H227" s="310" t="str">
        <f ca="1">IFERROR(IF(VLOOKUP(F227,Kostentypen!$A$3:$E$21,3,0)=0,"",IF(OR(F227="Arbeidskosten",F227="Vergoeding"),VLOOKUP(G227,Tb_KostenTypen[],2,0),VLOOKUP(F227,Kostentypen!$A$3:$E$20,3,0))),"")</f>
        <v/>
      </c>
      <c r="I227" s="311"/>
      <c r="J227" s="312" t="str" cm="1">
        <f t="array" ref="J227">_xlfn.IFNA(IF(INDEX(Tb_KostenOpties[],MATCH($F227,Tb_KostenOpties[KostenOptie],0),IFERROR(MATCH(Methode_Keuze,Tb_KostenOpties[#Headers],0),2))=1,_xlfn.SWITCH($H227,"Uurtarief",IF(OR(AND(RIGHT($F227,3)="IKS",VLOOKUP($I227,Loonkosten,2,0)="Ja"),AND(RIGHT($F227,3)&lt;&gt;"IKS",VLOOKUP($I227,Loonkosten,2,0)="Nee")), VLOOKUP($I227,Loonkosten,MATCH("Opgegeven uurtarief",'4. Rekenhulp loonkosten aanvr.'!$4:$4,0)),0),"Vast tarief",IF(LEFT(F227,8)="Bijdrage",VLOOKUP($F227,Tb_KostenTypen[],MATCH(Lijsten!$P$1,Tb_KostenTypen[#Headers],0),0),VLOOKUP($G227,Lijsten!L:P,MATCH(Lijsten!$P$1,Kop_Tarief_Vast,0),0))),""),"")</f>
        <v/>
      </c>
      <c r="K227" s="312" t="str" cm="1">
        <f t="array" ref="K227">_xlfn.IFNA(IF(INDEX(Tb_KostenOpties[],MATCH($F227,Tb_KostenOpties[KostenOptie],0),IFERROR(MATCH(Methode_Keuze,Tb_KostenOpties[#Headers],0),2))=1,_xlfn.SWITCH($H227,"Uurtarief",IF(OR(AND(RIGHT($F227,3)="IKS",VLOOKUP($I227,Loonkosten,2,0)="Ja"),AND(RIGHT($F227,3)&lt;&gt;"IKS",VLOOKUP($I227,Loonkosten,2,0)="Nee")), VLOOKUP($I227,Loonkosten,MATCH("Beoordeeld uurtarief",'4. Rekenhulp loonkosten aanvr.'!$4:$4,0),0),0),"Vast tarief",IF(LEFT(F227,8)="Bijdrage",VLOOKUP($F227,Tb_KostenTypen[],MATCH(Lijsten!$P$1,Tb_KostenTypen[#Headers],0),0),VLOOKUP($G227,Lijsten!L:P,MATCH(Lijsten!$P$1,Kop_Tarief_Vast,0),0))),""),"")</f>
        <v/>
      </c>
      <c r="L227" s="358"/>
      <c r="M227" s="358"/>
      <c r="N227" s="313"/>
      <c r="O227" s="313"/>
      <c r="P227" s="374" t="str">
        <f t="shared" si="13"/>
        <v/>
      </c>
      <c r="Q227" s="314" t="str">
        <f t="shared" si="14"/>
        <v/>
      </c>
      <c r="R227" s="314" t="str" cm="1">
        <f t="array" aca="1" ref="R227" ca="1">_xlfn.IFNA(_xlfn.IFS(X227="Dit kostentype hoeft u niet op te geven. Hiervoor wordt een forfait berekend.","",AND(J227&lt;&gt;"",H227="Vast tarief",F227="Vergoeding"),SUM(J227)*FLOOR(SUM(L227),0.0001),AND(J227&lt;&gt;"",OR(H227="Uurtarief",H227="Vast tarief")),SUM(J227)*FLOOR(SUM(L227),0.01),AND(N227&lt;&gt;"",H227="-"),FLOOR(SUM(N227),0.01)),"")</f>
        <v/>
      </c>
      <c r="S227" s="314" t="str" cm="1">
        <f t="array" aca="1" ref="S227" ca="1">_xlfn.IFNA(_xlfn.IFS(X227="Dit kostentype hoeft u niet op te geven. Hiervoor wordt een forfait berekend.","",AND(K227&lt;&gt;"",M227&lt;&gt;"",H227="Vast tarief",F227="Vergoeding"),SUM(K227)*FLOOR(SUM(M227),0.0001),AND(K227&lt;&gt;"",M227&lt;&gt;"",OR(H227="Uurtarief",H227="Vast tarief")),SUM(K227)*FLOOR(SUM(M227),0.01),AND(O227&lt;&gt;"",H227="-"),FLOOR(SUM(O227),0.01)),"")</f>
        <v/>
      </c>
      <c r="T227" s="314" t="str">
        <f t="shared" ca="1" si="15"/>
        <v/>
      </c>
      <c r="U227" s="314" t="str" cm="1">
        <f t="array" aca="1" ref="U227" ca="1">IFERROR(_xlfn.IFS(OR(F227="",LEFT(Methode_Keuze,4)="Geen",Methode_Keuze=""),"",AND(R227&lt;&gt;"",F227&lt;&gt;"Arbeidskosten"),R227*VLOOKUP(F227,Tb_ProjectKosten[],MATCH(Tb_ProjectKosten[[#Headers],[Forfait_Percentage]],Tb_ProjectKosten[#Headers],0),0),AND(F227="Arbeidskosten",G227&lt;&gt;""),IFERROR(R227*VLOOKUP(G227,Tb_KostenTypen[],3,0)*VLOOKUP(F227,Tb_ProjectKosten[],MATCH(Tb_ProjectKosten[[#Headers],[Forfait_Percentage]],Tb_ProjectKosten[#Headers],0),0),""),R227 &lt;=0,0),"")</f>
        <v/>
      </c>
      <c r="V227" s="314" t="str" cm="1">
        <f t="array" aca="1" ref="V227" ca="1">IFERROR(_xlfn.IFS(OR(F227="",LEFT(Methode_Keuze,4)="Geen",Methode_Keuze=""),"",AND(S227&lt;&gt;"",F227&lt;&gt;"Arbeidskosten"),S227*VLOOKUP(F227,Tb_ProjectKosten[],MATCH(Tb_ProjectKosten[[#Headers],[Forfait_Percentage]],Tb_ProjectKosten[#Headers],0),0),AND(F227="Arbeidskosten",G227&lt;&gt;""),IFERROR(S227*VLOOKUP(G227,Tb_KostenTypen[],3,0)*VLOOKUP(F227,Tb_ProjectKosten[],MATCH(Tb_ProjectKosten[[#Headers],[Forfait_Percentage]],Tb_ProjectKosten[#Headers],0),0),""),S227 &lt;=0,0),"")</f>
        <v/>
      </c>
      <c r="W227" s="314" t="str">
        <f t="shared" ca="1" si="16"/>
        <v/>
      </c>
      <c r="X227" s="376" t="str">
        <f>IFERROR(VLOOKUP(F227,Tb_ProjectKosten[#All],11,0),"")</f>
        <v/>
      </c>
      <c r="Y227" s="315"/>
    </row>
    <row r="228" spans="1:25" x14ac:dyDescent="0.25">
      <c r="A228" s="309">
        <f>MAX($A$5:A227)+1</f>
        <v>223</v>
      </c>
      <c r="B228" s="296"/>
      <c r="C228" s="296"/>
      <c r="D228" s="296"/>
      <c r="E228" s="296"/>
      <c r="F228" s="296"/>
      <c r="G228" s="327"/>
      <c r="H228" s="310" t="str">
        <f ca="1">IFERROR(IF(VLOOKUP(F228,Kostentypen!$A$3:$E$21,3,0)=0,"",IF(OR(F228="Arbeidskosten",F228="Vergoeding"),VLOOKUP(G228,Tb_KostenTypen[],2,0),VLOOKUP(F228,Kostentypen!$A$3:$E$20,3,0))),"")</f>
        <v/>
      </c>
      <c r="I228" s="311"/>
      <c r="J228" s="312" t="str" cm="1">
        <f t="array" ref="J228">_xlfn.IFNA(IF(INDEX(Tb_KostenOpties[],MATCH($F228,Tb_KostenOpties[KostenOptie],0),IFERROR(MATCH(Methode_Keuze,Tb_KostenOpties[#Headers],0),2))=1,_xlfn.SWITCH($H228,"Uurtarief",IF(OR(AND(RIGHT($F228,3)="IKS",VLOOKUP($I228,Loonkosten,2,0)="Ja"),AND(RIGHT($F228,3)&lt;&gt;"IKS",VLOOKUP($I228,Loonkosten,2,0)="Nee")), VLOOKUP($I228,Loonkosten,MATCH("Opgegeven uurtarief",'4. Rekenhulp loonkosten aanvr.'!$4:$4,0)),0),"Vast tarief",IF(LEFT(F228,8)="Bijdrage",VLOOKUP($F228,Tb_KostenTypen[],MATCH(Lijsten!$P$1,Tb_KostenTypen[#Headers],0),0),VLOOKUP($G228,Lijsten!L:P,MATCH(Lijsten!$P$1,Kop_Tarief_Vast,0),0))),""),"")</f>
        <v/>
      </c>
      <c r="K228" s="312" t="str" cm="1">
        <f t="array" ref="K228">_xlfn.IFNA(IF(INDEX(Tb_KostenOpties[],MATCH($F228,Tb_KostenOpties[KostenOptie],0),IFERROR(MATCH(Methode_Keuze,Tb_KostenOpties[#Headers],0),2))=1,_xlfn.SWITCH($H228,"Uurtarief",IF(OR(AND(RIGHT($F228,3)="IKS",VLOOKUP($I228,Loonkosten,2,0)="Ja"),AND(RIGHT($F228,3)&lt;&gt;"IKS",VLOOKUP($I228,Loonkosten,2,0)="Nee")), VLOOKUP($I228,Loonkosten,MATCH("Beoordeeld uurtarief",'4. Rekenhulp loonkosten aanvr.'!$4:$4,0),0),0),"Vast tarief",IF(LEFT(F228,8)="Bijdrage",VLOOKUP($F228,Tb_KostenTypen[],MATCH(Lijsten!$P$1,Tb_KostenTypen[#Headers],0),0),VLOOKUP($G228,Lijsten!L:P,MATCH(Lijsten!$P$1,Kop_Tarief_Vast,0),0))),""),"")</f>
        <v/>
      </c>
      <c r="L228" s="358"/>
      <c r="M228" s="358"/>
      <c r="N228" s="313"/>
      <c r="O228" s="313"/>
      <c r="P228" s="374" t="str">
        <f t="shared" si="13"/>
        <v/>
      </c>
      <c r="Q228" s="314" t="str">
        <f t="shared" si="14"/>
        <v/>
      </c>
      <c r="R228" s="314" t="str" cm="1">
        <f t="array" aca="1" ref="R228" ca="1">_xlfn.IFNA(_xlfn.IFS(X228="Dit kostentype hoeft u niet op te geven. Hiervoor wordt een forfait berekend.","",AND(J228&lt;&gt;"",H228="Vast tarief",F228="Vergoeding"),SUM(J228)*FLOOR(SUM(L228),0.0001),AND(J228&lt;&gt;"",OR(H228="Uurtarief",H228="Vast tarief")),SUM(J228)*FLOOR(SUM(L228),0.01),AND(N228&lt;&gt;"",H228="-"),FLOOR(SUM(N228),0.01)),"")</f>
        <v/>
      </c>
      <c r="S228" s="314" t="str" cm="1">
        <f t="array" aca="1" ref="S228" ca="1">_xlfn.IFNA(_xlfn.IFS(X228="Dit kostentype hoeft u niet op te geven. Hiervoor wordt een forfait berekend.","",AND(K228&lt;&gt;"",M228&lt;&gt;"",H228="Vast tarief",F228="Vergoeding"),SUM(K228)*FLOOR(SUM(M228),0.0001),AND(K228&lt;&gt;"",M228&lt;&gt;"",OR(H228="Uurtarief",H228="Vast tarief")),SUM(K228)*FLOOR(SUM(M228),0.01),AND(O228&lt;&gt;"",H228="-"),FLOOR(SUM(O228),0.01)),"")</f>
        <v/>
      </c>
      <c r="T228" s="314" t="str">
        <f t="shared" ca="1" si="15"/>
        <v/>
      </c>
      <c r="U228" s="314" t="str" cm="1">
        <f t="array" aca="1" ref="U228" ca="1">IFERROR(_xlfn.IFS(OR(F228="",LEFT(Methode_Keuze,4)="Geen",Methode_Keuze=""),"",AND(R228&lt;&gt;"",F228&lt;&gt;"Arbeidskosten"),R228*VLOOKUP(F228,Tb_ProjectKosten[],MATCH(Tb_ProjectKosten[[#Headers],[Forfait_Percentage]],Tb_ProjectKosten[#Headers],0),0),AND(F228="Arbeidskosten",G228&lt;&gt;""),IFERROR(R228*VLOOKUP(G228,Tb_KostenTypen[],3,0)*VLOOKUP(F228,Tb_ProjectKosten[],MATCH(Tb_ProjectKosten[[#Headers],[Forfait_Percentage]],Tb_ProjectKosten[#Headers],0),0),""),R228 &lt;=0,0),"")</f>
        <v/>
      </c>
      <c r="V228" s="314" t="str" cm="1">
        <f t="array" aca="1" ref="V228" ca="1">IFERROR(_xlfn.IFS(OR(F228="",LEFT(Methode_Keuze,4)="Geen",Methode_Keuze=""),"",AND(S228&lt;&gt;"",F228&lt;&gt;"Arbeidskosten"),S228*VLOOKUP(F228,Tb_ProjectKosten[],MATCH(Tb_ProjectKosten[[#Headers],[Forfait_Percentage]],Tb_ProjectKosten[#Headers],0),0),AND(F228="Arbeidskosten",G228&lt;&gt;""),IFERROR(S228*VLOOKUP(G228,Tb_KostenTypen[],3,0)*VLOOKUP(F228,Tb_ProjectKosten[],MATCH(Tb_ProjectKosten[[#Headers],[Forfait_Percentage]],Tb_ProjectKosten[#Headers],0),0),""),S228 &lt;=0,0),"")</f>
        <v/>
      </c>
      <c r="W228" s="314" t="str">
        <f t="shared" ca="1" si="16"/>
        <v/>
      </c>
      <c r="X228" s="376" t="str">
        <f>IFERROR(VLOOKUP(F228,Tb_ProjectKosten[#All],11,0),"")</f>
        <v/>
      </c>
      <c r="Y228" s="315"/>
    </row>
    <row r="229" spans="1:25" x14ac:dyDescent="0.25">
      <c r="A229" s="309">
        <f>MAX($A$5:A228)+1</f>
        <v>224</v>
      </c>
      <c r="B229" s="296"/>
      <c r="C229" s="296"/>
      <c r="D229" s="296"/>
      <c r="E229" s="296"/>
      <c r="F229" s="296"/>
      <c r="G229" s="327"/>
      <c r="H229" s="310" t="str">
        <f ca="1">IFERROR(IF(VLOOKUP(F229,Kostentypen!$A$3:$E$21,3,0)=0,"",IF(OR(F229="Arbeidskosten",F229="Vergoeding"),VLOOKUP(G229,Tb_KostenTypen[],2,0),VLOOKUP(F229,Kostentypen!$A$3:$E$20,3,0))),"")</f>
        <v/>
      </c>
      <c r="I229" s="311"/>
      <c r="J229" s="312" t="str" cm="1">
        <f t="array" ref="J229">_xlfn.IFNA(IF(INDEX(Tb_KostenOpties[],MATCH($F229,Tb_KostenOpties[KostenOptie],0),IFERROR(MATCH(Methode_Keuze,Tb_KostenOpties[#Headers],0),2))=1,_xlfn.SWITCH($H229,"Uurtarief",IF(OR(AND(RIGHT($F229,3)="IKS",VLOOKUP($I229,Loonkosten,2,0)="Ja"),AND(RIGHT($F229,3)&lt;&gt;"IKS",VLOOKUP($I229,Loonkosten,2,0)="Nee")), VLOOKUP($I229,Loonkosten,MATCH("Opgegeven uurtarief",'4. Rekenhulp loonkosten aanvr.'!$4:$4,0)),0),"Vast tarief",IF(LEFT(F229,8)="Bijdrage",VLOOKUP($F229,Tb_KostenTypen[],MATCH(Lijsten!$P$1,Tb_KostenTypen[#Headers],0),0),VLOOKUP($G229,Lijsten!L:P,MATCH(Lijsten!$P$1,Kop_Tarief_Vast,0),0))),""),"")</f>
        <v/>
      </c>
      <c r="K229" s="312" t="str" cm="1">
        <f t="array" ref="K229">_xlfn.IFNA(IF(INDEX(Tb_KostenOpties[],MATCH($F229,Tb_KostenOpties[KostenOptie],0),IFERROR(MATCH(Methode_Keuze,Tb_KostenOpties[#Headers],0),2))=1,_xlfn.SWITCH($H229,"Uurtarief",IF(OR(AND(RIGHT($F229,3)="IKS",VLOOKUP($I229,Loonkosten,2,0)="Ja"),AND(RIGHT($F229,3)&lt;&gt;"IKS",VLOOKUP($I229,Loonkosten,2,0)="Nee")), VLOOKUP($I229,Loonkosten,MATCH("Beoordeeld uurtarief",'4. Rekenhulp loonkosten aanvr.'!$4:$4,0),0),0),"Vast tarief",IF(LEFT(F229,8)="Bijdrage",VLOOKUP($F229,Tb_KostenTypen[],MATCH(Lijsten!$P$1,Tb_KostenTypen[#Headers],0),0),VLOOKUP($G229,Lijsten!L:P,MATCH(Lijsten!$P$1,Kop_Tarief_Vast,0),0))),""),"")</f>
        <v/>
      </c>
      <c r="L229" s="358"/>
      <c r="M229" s="358"/>
      <c r="N229" s="313"/>
      <c r="O229" s="313"/>
      <c r="P229" s="374" t="str">
        <f t="shared" si="13"/>
        <v/>
      </c>
      <c r="Q229" s="314" t="str">
        <f t="shared" si="14"/>
        <v/>
      </c>
      <c r="R229" s="314" t="str" cm="1">
        <f t="array" aca="1" ref="R229" ca="1">_xlfn.IFNA(_xlfn.IFS(X229="Dit kostentype hoeft u niet op te geven. Hiervoor wordt een forfait berekend.","",AND(J229&lt;&gt;"",H229="Vast tarief",F229="Vergoeding"),SUM(J229)*FLOOR(SUM(L229),0.0001),AND(J229&lt;&gt;"",OR(H229="Uurtarief",H229="Vast tarief")),SUM(J229)*FLOOR(SUM(L229),0.01),AND(N229&lt;&gt;"",H229="-"),FLOOR(SUM(N229),0.01)),"")</f>
        <v/>
      </c>
      <c r="S229" s="314" t="str" cm="1">
        <f t="array" aca="1" ref="S229" ca="1">_xlfn.IFNA(_xlfn.IFS(X229="Dit kostentype hoeft u niet op te geven. Hiervoor wordt een forfait berekend.","",AND(K229&lt;&gt;"",M229&lt;&gt;"",H229="Vast tarief",F229="Vergoeding"),SUM(K229)*FLOOR(SUM(M229),0.0001),AND(K229&lt;&gt;"",M229&lt;&gt;"",OR(H229="Uurtarief",H229="Vast tarief")),SUM(K229)*FLOOR(SUM(M229),0.01),AND(O229&lt;&gt;"",H229="-"),FLOOR(SUM(O229),0.01)),"")</f>
        <v/>
      </c>
      <c r="T229" s="314" t="str">
        <f t="shared" ca="1" si="15"/>
        <v/>
      </c>
      <c r="U229" s="314" t="str" cm="1">
        <f t="array" aca="1" ref="U229" ca="1">IFERROR(_xlfn.IFS(OR(F229="",LEFT(Methode_Keuze,4)="Geen",Methode_Keuze=""),"",AND(R229&lt;&gt;"",F229&lt;&gt;"Arbeidskosten"),R229*VLOOKUP(F229,Tb_ProjectKosten[],MATCH(Tb_ProjectKosten[[#Headers],[Forfait_Percentage]],Tb_ProjectKosten[#Headers],0),0),AND(F229="Arbeidskosten",G229&lt;&gt;""),IFERROR(R229*VLOOKUP(G229,Tb_KostenTypen[],3,0)*VLOOKUP(F229,Tb_ProjectKosten[],MATCH(Tb_ProjectKosten[[#Headers],[Forfait_Percentage]],Tb_ProjectKosten[#Headers],0),0),""),R229 &lt;=0,0),"")</f>
        <v/>
      </c>
      <c r="V229" s="314" t="str" cm="1">
        <f t="array" aca="1" ref="V229" ca="1">IFERROR(_xlfn.IFS(OR(F229="",LEFT(Methode_Keuze,4)="Geen",Methode_Keuze=""),"",AND(S229&lt;&gt;"",F229&lt;&gt;"Arbeidskosten"),S229*VLOOKUP(F229,Tb_ProjectKosten[],MATCH(Tb_ProjectKosten[[#Headers],[Forfait_Percentage]],Tb_ProjectKosten[#Headers],0),0),AND(F229="Arbeidskosten",G229&lt;&gt;""),IFERROR(S229*VLOOKUP(G229,Tb_KostenTypen[],3,0)*VLOOKUP(F229,Tb_ProjectKosten[],MATCH(Tb_ProjectKosten[[#Headers],[Forfait_Percentage]],Tb_ProjectKosten[#Headers],0),0),""),S229 &lt;=0,0),"")</f>
        <v/>
      </c>
      <c r="W229" s="314" t="str">
        <f t="shared" ca="1" si="16"/>
        <v/>
      </c>
      <c r="X229" s="376" t="str">
        <f>IFERROR(VLOOKUP(F229,Tb_ProjectKosten[#All],11,0),"")</f>
        <v/>
      </c>
      <c r="Y229" s="315"/>
    </row>
    <row r="230" spans="1:25" x14ac:dyDescent="0.25">
      <c r="A230" s="309">
        <f>MAX($A$5:A229)+1</f>
        <v>225</v>
      </c>
      <c r="B230" s="296"/>
      <c r="C230" s="296"/>
      <c r="D230" s="296"/>
      <c r="E230" s="296"/>
      <c r="F230" s="296"/>
      <c r="G230" s="327"/>
      <c r="H230" s="310" t="str">
        <f ca="1">IFERROR(IF(VLOOKUP(F230,Kostentypen!$A$3:$E$21,3,0)=0,"",IF(OR(F230="Arbeidskosten",F230="Vergoeding"),VLOOKUP(G230,Tb_KostenTypen[],2,0),VLOOKUP(F230,Kostentypen!$A$3:$E$20,3,0))),"")</f>
        <v/>
      </c>
      <c r="I230" s="311"/>
      <c r="J230" s="312" t="str" cm="1">
        <f t="array" ref="J230">_xlfn.IFNA(IF(INDEX(Tb_KostenOpties[],MATCH($F230,Tb_KostenOpties[KostenOptie],0),IFERROR(MATCH(Methode_Keuze,Tb_KostenOpties[#Headers],0),2))=1,_xlfn.SWITCH($H230,"Uurtarief",IF(OR(AND(RIGHT($F230,3)="IKS",VLOOKUP($I230,Loonkosten,2,0)="Ja"),AND(RIGHT($F230,3)&lt;&gt;"IKS",VLOOKUP($I230,Loonkosten,2,0)="Nee")), VLOOKUP($I230,Loonkosten,MATCH("Opgegeven uurtarief",'4. Rekenhulp loonkosten aanvr.'!$4:$4,0)),0),"Vast tarief",IF(LEFT(F230,8)="Bijdrage",VLOOKUP($F230,Tb_KostenTypen[],MATCH(Lijsten!$P$1,Tb_KostenTypen[#Headers],0),0),VLOOKUP($G230,Lijsten!L:P,MATCH(Lijsten!$P$1,Kop_Tarief_Vast,0),0))),""),"")</f>
        <v/>
      </c>
      <c r="K230" s="312" t="str" cm="1">
        <f t="array" ref="K230">_xlfn.IFNA(IF(INDEX(Tb_KostenOpties[],MATCH($F230,Tb_KostenOpties[KostenOptie],0),IFERROR(MATCH(Methode_Keuze,Tb_KostenOpties[#Headers],0),2))=1,_xlfn.SWITCH($H230,"Uurtarief",IF(OR(AND(RIGHT($F230,3)="IKS",VLOOKUP($I230,Loonkosten,2,0)="Ja"),AND(RIGHT($F230,3)&lt;&gt;"IKS",VLOOKUP($I230,Loonkosten,2,0)="Nee")), VLOOKUP($I230,Loonkosten,MATCH("Beoordeeld uurtarief",'4. Rekenhulp loonkosten aanvr.'!$4:$4,0),0),0),"Vast tarief",IF(LEFT(F230,8)="Bijdrage",VLOOKUP($F230,Tb_KostenTypen[],MATCH(Lijsten!$P$1,Tb_KostenTypen[#Headers],0),0),VLOOKUP($G230,Lijsten!L:P,MATCH(Lijsten!$P$1,Kop_Tarief_Vast,0),0))),""),"")</f>
        <v/>
      </c>
      <c r="L230" s="358"/>
      <c r="M230" s="358"/>
      <c r="N230" s="313"/>
      <c r="O230" s="313"/>
      <c r="P230" s="374" t="str">
        <f t="shared" si="13"/>
        <v/>
      </c>
      <c r="Q230" s="314" t="str">
        <f t="shared" si="14"/>
        <v/>
      </c>
      <c r="R230" s="314" t="str" cm="1">
        <f t="array" aca="1" ref="R230" ca="1">_xlfn.IFNA(_xlfn.IFS(X230="Dit kostentype hoeft u niet op te geven. Hiervoor wordt een forfait berekend.","",AND(J230&lt;&gt;"",H230="Vast tarief",F230="Vergoeding"),SUM(J230)*FLOOR(SUM(L230),0.0001),AND(J230&lt;&gt;"",OR(H230="Uurtarief",H230="Vast tarief")),SUM(J230)*FLOOR(SUM(L230),0.01),AND(N230&lt;&gt;"",H230="-"),FLOOR(SUM(N230),0.01)),"")</f>
        <v/>
      </c>
      <c r="S230" s="314" t="str" cm="1">
        <f t="array" aca="1" ref="S230" ca="1">_xlfn.IFNA(_xlfn.IFS(X230="Dit kostentype hoeft u niet op te geven. Hiervoor wordt een forfait berekend.","",AND(K230&lt;&gt;"",M230&lt;&gt;"",H230="Vast tarief",F230="Vergoeding"),SUM(K230)*FLOOR(SUM(M230),0.0001),AND(K230&lt;&gt;"",M230&lt;&gt;"",OR(H230="Uurtarief",H230="Vast tarief")),SUM(K230)*FLOOR(SUM(M230),0.01),AND(O230&lt;&gt;"",H230="-"),FLOOR(SUM(O230),0.01)),"")</f>
        <v/>
      </c>
      <c r="T230" s="314" t="str">
        <f t="shared" ca="1" si="15"/>
        <v/>
      </c>
      <c r="U230" s="314" t="str" cm="1">
        <f t="array" aca="1" ref="U230" ca="1">IFERROR(_xlfn.IFS(OR(F230="",LEFT(Methode_Keuze,4)="Geen",Methode_Keuze=""),"",AND(R230&lt;&gt;"",F230&lt;&gt;"Arbeidskosten"),R230*VLOOKUP(F230,Tb_ProjectKosten[],MATCH(Tb_ProjectKosten[[#Headers],[Forfait_Percentage]],Tb_ProjectKosten[#Headers],0),0),AND(F230="Arbeidskosten",G230&lt;&gt;""),IFERROR(R230*VLOOKUP(G230,Tb_KostenTypen[],3,0)*VLOOKUP(F230,Tb_ProjectKosten[],MATCH(Tb_ProjectKosten[[#Headers],[Forfait_Percentage]],Tb_ProjectKosten[#Headers],0),0),""),R230 &lt;=0,0),"")</f>
        <v/>
      </c>
      <c r="V230" s="314" t="str" cm="1">
        <f t="array" aca="1" ref="V230" ca="1">IFERROR(_xlfn.IFS(OR(F230="",LEFT(Methode_Keuze,4)="Geen",Methode_Keuze=""),"",AND(S230&lt;&gt;"",F230&lt;&gt;"Arbeidskosten"),S230*VLOOKUP(F230,Tb_ProjectKosten[],MATCH(Tb_ProjectKosten[[#Headers],[Forfait_Percentage]],Tb_ProjectKosten[#Headers],0),0),AND(F230="Arbeidskosten",G230&lt;&gt;""),IFERROR(S230*VLOOKUP(G230,Tb_KostenTypen[],3,0)*VLOOKUP(F230,Tb_ProjectKosten[],MATCH(Tb_ProjectKosten[[#Headers],[Forfait_Percentage]],Tb_ProjectKosten[#Headers],0),0),""),S230 &lt;=0,0),"")</f>
        <v/>
      </c>
      <c r="W230" s="314" t="str">
        <f t="shared" ca="1" si="16"/>
        <v/>
      </c>
      <c r="X230" s="376" t="str">
        <f>IFERROR(VLOOKUP(F230,Tb_ProjectKosten[#All],11,0),"")</f>
        <v/>
      </c>
      <c r="Y230" s="315"/>
    </row>
    <row r="231" spans="1:25" x14ac:dyDescent="0.25">
      <c r="A231" s="309">
        <f>MAX($A$5:A230)+1</f>
        <v>226</v>
      </c>
      <c r="B231" s="296"/>
      <c r="C231" s="296"/>
      <c r="D231" s="296"/>
      <c r="E231" s="296"/>
      <c r="F231" s="296"/>
      <c r="G231" s="327"/>
      <c r="H231" s="310" t="str">
        <f ca="1">IFERROR(IF(VLOOKUP(F231,Kostentypen!$A$3:$E$21,3,0)=0,"",IF(OR(F231="Arbeidskosten",F231="Vergoeding"),VLOOKUP(G231,Tb_KostenTypen[],2,0),VLOOKUP(F231,Kostentypen!$A$3:$E$20,3,0))),"")</f>
        <v/>
      </c>
      <c r="I231" s="311"/>
      <c r="J231" s="312" t="str" cm="1">
        <f t="array" ref="J231">_xlfn.IFNA(IF(INDEX(Tb_KostenOpties[],MATCH($F231,Tb_KostenOpties[KostenOptie],0),IFERROR(MATCH(Methode_Keuze,Tb_KostenOpties[#Headers],0),2))=1,_xlfn.SWITCH($H231,"Uurtarief",IF(OR(AND(RIGHT($F231,3)="IKS",VLOOKUP($I231,Loonkosten,2,0)="Ja"),AND(RIGHT($F231,3)&lt;&gt;"IKS",VLOOKUP($I231,Loonkosten,2,0)="Nee")), VLOOKUP($I231,Loonkosten,MATCH("Opgegeven uurtarief",'4. Rekenhulp loonkosten aanvr.'!$4:$4,0)),0),"Vast tarief",IF(LEFT(F231,8)="Bijdrage",VLOOKUP($F231,Tb_KostenTypen[],MATCH(Lijsten!$P$1,Tb_KostenTypen[#Headers],0),0),VLOOKUP($G231,Lijsten!L:P,MATCH(Lijsten!$P$1,Kop_Tarief_Vast,0),0))),""),"")</f>
        <v/>
      </c>
      <c r="K231" s="312" t="str" cm="1">
        <f t="array" ref="K231">_xlfn.IFNA(IF(INDEX(Tb_KostenOpties[],MATCH($F231,Tb_KostenOpties[KostenOptie],0),IFERROR(MATCH(Methode_Keuze,Tb_KostenOpties[#Headers],0),2))=1,_xlfn.SWITCH($H231,"Uurtarief",IF(OR(AND(RIGHT($F231,3)="IKS",VLOOKUP($I231,Loonkosten,2,0)="Ja"),AND(RIGHT($F231,3)&lt;&gt;"IKS",VLOOKUP($I231,Loonkosten,2,0)="Nee")), VLOOKUP($I231,Loonkosten,MATCH("Beoordeeld uurtarief",'4. Rekenhulp loonkosten aanvr.'!$4:$4,0),0),0),"Vast tarief",IF(LEFT(F231,8)="Bijdrage",VLOOKUP($F231,Tb_KostenTypen[],MATCH(Lijsten!$P$1,Tb_KostenTypen[#Headers],0),0),VLOOKUP($G231,Lijsten!L:P,MATCH(Lijsten!$P$1,Kop_Tarief_Vast,0),0))),""),"")</f>
        <v/>
      </c>
      <c r="L231" s="358"/>
      <c r="M231" s="358"/>
      <c r="N231" s="313"/>
      <c r="O231" s="313"/>
      <c r="P231" s="374" t="str">
        <f t="shared" si="13"/>
        <v/>
      </c>
      <c r="Q231" s="314" t="str">
        <f t="shared" si="14"/>
        <v/>
      </c>
      <c r="R231" s="314" t="str" cm="1">
        <f t="array" aca="1" ref="R231" ca="1">_xlfn.IFNA(_xlfn.IFS(X231="Dit kostentype hoeft u niet op te geven. Hiervoor wordt een forfait berekend.","",AND(J231&lt;&gt;"",H231="Vast tarief",F231="Vergoeding"),SUM(J231)*FLOOR(SUM(L231),0.0001),AND(J231&lt;&gt;"",OR(H231="Uurtarief",H231="Vast tarief")),SUM(J231)*FLOOR(SUM(L231),0.01),AND(N231&lt;&gt;"",H231="-"),FLOOR(SUM(N231),0.01)),"")</f>
        <v/>
      </c>
      <c r="S231" s="314" t="str" cm="1">
        <f t="array" aca="1" ref="S231" ca="1">_xlfn.IFNA(_xlfn.IFS(X231="Dit kostentype hoeft u niet op te geven. Hiervoor wordt een forfait berekend.","",AND(K231&lt;&gt;"",M231&lt;&gt;"",H231="Vast tarief",F231="Vergoeding"),SUM(K231)*FLOOR(SUM(M231),0.0001),AND(K231&lt;&gt;"",M231&lt;&gt;"",OR(H231="Uurtarief",H231="Vast tarief")),SUM(K231)*FLOOR(SUM(M231),0.01),AND(O231&lt;&gt;"",H231="-"),FLOOR(SUM(O231),0.01)),"")</f>
        <v/>
      </c>
      <c r="T231" s="314" t="str">
        <f t="shared" ca="1" si="15"/>
        <v/>
      </c>
      <c r="U231" s="314" t="str" cm="1">
        <f t="array" aca="1" ref="U231" ca="1">IFERROR(_xlfn.IFS(OR(F231="",LEFT(Methode_Keuze,4)="Geen",Methode_Keuze=""),"",AND(R231&lt;&gt;"",F231&lt;&gt;"Arbeidskosten"),R231*VLOOKUP(F231,Tb_ProjectKosten[],MATCH(Tb_ProjectKosten[[#Headers],[Forfait_Percentage]],Tb_ProjectKosten[#Headers],0),0),AND(F231="Arbeidskosten",G231&lt;&gt;""),IFERROR(R231*VLOOKUP(G231,Tb_KostenTypen[],3,0)*VLOOKUP(F231,Tb_ProjectKosten[],MATCH(Tb_ProjectKosten[[#Headers],[Forfait_Percentage]],Tb_ProjectKosten[#Headers],0),0),""),R231 &lt;=0,0),"")</f>
        <v/>
      </c>
      <c r="V231" s="314" t="str" cm="1">
        <f t="array" aca="1" ref="V231" ca="1">IFERROR(_xlfn.IFS(OR(F231="",LEFT(Methode_Keuze,4)="Geen",Methode_Keuze=""),"",AND(S231&lt;&gt;"",F231&lt;&gt;"Arbeidskosten"),S231*VLOOKUP(F231,Tb_ProjectKosten[],MATCH(Tb_ProjectKosten[[#Headers],[Forfait_Percentage]],Tb_ProjectKosten[#Headers],0),0),AND(F231="Arbeidskosten",G231&lt;&gt;""),IFERROR(S231*VLOOKUP(G231,Tb_KostenTypen[],3,0)*VLOOKUP(F231,Tb_ProjectKosten[],MATCH(Tb_ProjectKosten[[#Headers],[Forfait_Percentage]],Tb_ProjectKosten[#Headers],0),0),""),S231 &lt;=0,0),"")</f>
        <v/>
      </c>
      <c r="W231" s="314" t="str">
        <f t="shared" ca="1" si="16"/>
        <v/>
      </c>
      <c r="X231" s="376" t="str">
        <f>IFERROR(VLOOKUP(F231,Tb_ProjectKosten[#All],11,0),"")</f>
        <v/>
      </c>
      <c r="Y231" s="315"/>
    </row>
    <row r="232" spans="1:25" x14ac:dyDescent="0.25">
      <c r="A232" s="309">
        <f>MAX($A$5:A231)+1</f>
        <v>227</v>
      </c>
      <c r="B232" s="296"/>
      <c r="C232" s="296"/>
      <c r="D232" s="296"/>
      <c r="E232" s="296"/>
      <c r="F232" s="296"/>
      <c r="G232" s="327"/>
      <c r="H232" s="310" t="str">
        <f ca="1">IFERROR(IF(VLOOKUP(F232,Kostentypen!$A$3:$E$21,3,0)=0,"",IF(OR(F232="Arbeidskosten",F232="Vergoeding"),VLOOKUP(G232,Tb_KostenTypen[],2,0),VLOOKUP(F232,Kostentypen!$A$3:$E$20,3,0))),"")</f>
        <v/>
      </c>
      <c r="I232" s="311"/>
      <c r="J232" s="312" t="str" cm="1">
        <f t="array" ref="J232">_xlfn.IFNA(IF(INDEX(Tb_KostenOpties[],MATCH($F232,Tb_KostenOpties[KostenOptie],0),IFERROR(MATCH(Methode_Keuze,Tb_KostenOpties[#Headers],0),2))=1,_xlfn.SWITCH($H232,"Uurtarief",IF(OR(AND(RIGHT($F232,3)="IKS",VLOOKUP($I232,Loonkosten,2,0)="Ja"),AND(RIGHT($F232,3)&lt;&gt;"IKS",VLOOKUP($I232,Loonkosten,2,0)="Nee")), VLOOKUP($I232,Loonkosten,MATCH("Opgegeven uurtarief",'4. Rekenhulp loonkosten aanvr.'!$4:$4,0)),0),"Vast tarief",IF(LEFT(F232,8)="Bijdrage",VLOOKUP($F232,Tb_KostenTypen[],MATCH(Lijsten!$P$1,Tb_KostenTypen[#Headers],0),0),VLOOKUP($G232,Lijsten!L:P,MATCH(Lijsten!$P$1,Kop_Tarief_Vast,0),0))),""),"")</f>
        <v/>
      </c>
      <c r="K232" s="312" t="str" cm="1">
        <f t="array" ref="K232">_xlfn.IFNA(IF(INDEX(Tb_KostenOpties[],MATCH($F232,Tb_KostenOpties[KostenOptie],0),IFERROR(MATCH(Methode_Keuze,Tb_KostenOpties[#Headers],0),2))=1,_xlfn.SWITCH($H232,"Uurtarief",IF(OR(AND(RIGHT($F232,3)="IKS",VLOOKUP($I232,Loonkosten,2,0)="Ja"),AND(RIGHT($F232,3)&lt;&gt;"IKS",VLOOKUP($I232,Loonkosten,2,0)="Nee")), VLOOKUP($I232,Loonkosten,MATCH("Beoordeeld uurtarief",'4. Rekenhulp loonkosten aanvr.'!$4:$4,0),0),0),"Vast tarief",IF(LEFT(F232,8)="Bijdrage",VLOOKUP($F232,Tb_KostenTypen[],MATCH(Lijsten!$P$1,Tb_KostenTypen[#Headers],0),0),VLOOKUP($G232,Lijsten!L:P,MATCH(Lijsten!$P$1,Kop_Tarief_Vast,0),0))),""),"")</f>
        <v/>
      </c>
      <c r="L232" s="358"/>
      <c r="M232" s="358"/>
      <c r="N232" s="313"/>
      <c r="O232" s="313"/>
      <c r="P232" s="374" t="str">
        <f t="shared" si="13"/>
        <v/>
      </c>
      <c r="Q232" s="314" t="str">
        <f t="shared" si="14"/>
        <v/>
      </c>
      <c r="R232" s="314" t="str" cm="1">
        <f t="array" aca="1" ref="R232" ca="1">_xlfn.IFNA(_xlfn.IFS(X232="Dit kostentype hoeft u niet op te geven. Hiervoor wordt een forfait berekend.","",AND(J232&lt;&gt;"",H232="Vast tarief",F232="Vergoeding"),SUM(J232)*FLOOR(SUM(L232),0.0001),AND(J232&lt;&gt;"",OR(H232="Uurtarief",H232="Vast tarief")),SUM(J232)*FLOOR(SUM(L232),0.01),AND(N232&lt;&gt;"",H232="-"),FLOOR(SUM(N232),0.01)),"")</f>
        <v/>
      </c>
      <c r="S232" s="314" t="str" cm="1">
        <f t="array" aca="1" ref="S232" ca="1">_xlfn.IFNA(_xlfn.IFS(X232="Dit kostentype hoeft u niet op te geven. Hiervoor wordt een forfait berekend.","",AND(K232&lt;&gt;"",M232&lt;&gt;"",H232="Vast tarief",F232="Vergoeding"),SUM(K232)*FLOOR(SUM(M232),0.0001),AND(K232&lt;&gt;"",M232&lt;&gt;"",OR(H232="Uurtarief",H232="Vast tarief")),SUM(K232)*FLOOR(SUM(M232),0.01),AND(O232&lt;&gt;"",H232="-"),FLOOR(SUM(O232),0.01)),"")</f>
        <v/>
      </c>
      <c r="T232" s="314" t="str">
        <f t="shared" ca="1" si="15"/>
        <v/>
      </c>
      <c r="U232" s="314" t="str" cm="1">
        <f t="array" aca="1" ref="U232" ca="1">IFERROR(_xlfn.IFS(OR(F232="",LEFT(Methode_Keuze,4)="Geen",Methode_Keuze=""),"",AND(R232&lt;&gt;"",F232&lt;&gt;"Arbeidskosten"),R232*VLOOKUP(F232,Tb_ProjectKosten[],MATCH(Tb_ProjectKosten[[#Headers],[Forfait_Percentage]],Tb_ProjectKosten[#Headers],0),0),AND(F232="Arbeidskosten",G232&lt;&gt;""),IFERROR(R232*VLOOKUP(G232,Tb_KostenTypen[],3,0)*VLOOKUP(F232,Tb_ProjectKosten[],MATCH(Tb_ProjectKosten[[#Headers],[Forfait_Percentage]],Tb_ProjectKosten[#Headers],0),0),""),R232 &lt;=0,0),"")</f>
        <v/>
      </c>
      <c r="V232" s="314" t="str" cm="1">
        <f t="array" aca="1" ref="V232" ca="1">IFERROR(_xlfn.IFS(OR(F232="",LEFT(Methode_Keuze,4)="Geen",Methode_Keuze=""),"",AND(S232&lt;&gt;"",F232&lt;&gt;"Arbeidskosten"),S232*VLOOKUP(F232,Tb_ProjectKosten[],MATCH(Tb_ProjectKosten[[#Headers],[Forfait_Percentage]],Tb_ProjectKosten[#Headers],0),0),AND(F232="Arbeidskosten",G232&lt;&gt;""),IFERROR(S232*VLOOKUP(G232,Tb_KostenTypen[],3,0)*VLOOKUP(F232,Tb_ProjectKosten[],MATCH(Tb_ProjectKosten[[#Headers],[Forfait_Percentage]],Tb_ProjectKosten[#Headers],0),0),""),S232 &lt;=0,0),"")</f>
        <v/>
      </c>
      <c r="W232" s="314" t="str">
        <f t="shared" ca="1" si="16"/>
        <v/>
      </c>
      <c r="X232" s="376" t="str">
        <f>IFERROR(VLOOKUP(F232,Tb_ProjectKosten[#All],11,0),"")</f>
        <v/>
      </c>
      <c r="Y232" s="315"/>
    </row>
    <row r="233" spans="1:25" x14ac:dyDescent="0.25">
      <c r="A233" s="309">
        <f>MAX($A$5:A232)+1</f>
        <v>228</v>
      </c>
      <c r="B233" s="296"/>
      <c r="C233" s="296"/>
      <c r="D233" s="296"/>
      <c r="E233" s="296"/>
      <c r="F233" s="296"/>
      <c r="G233" s="327"/>
      <c r="H233" s="310" t="str">
        <f ca="1">IFERROR(IF(VLOOKUP(F233,Kostentypen!$A$3:$E$21,3,0)=0,"",IF(OR(F233="Arbeidskosten",F233="Vergoeding"),VLOOKUP(G233,Tb_KostenTypen[],2,0),VLOOKUP(F233,Kostentypen!$A$3:$E$20,3,0))),"")</f>
        <v/>
      </c>
      <c r="I233" s="311"/>
      <c r="J233" s="312" t="str" cm="1">
        <f t="array" ref="J233">_xlfn.IFNA(IF(INDEX(Tb_KostenOpties[],MATCH($F233,Tb_KostenOpties[KostenOptie],0),IFERROR(MATCH(Methode_Keuze,Tb_KostenOpties[#Headers],0),2))=1,_xlfn.SWITCH($H233,"Uurtarief",IF(OR(AND(RIGHT($F233,3)="IKS",VLOOKUP($I233,Loonkosten,2,0)="Ja"),AND(RIGHT($F233,3)&lt;&gt;"IKS",VLOOKUP($I233,Loonkosten,2,0)="Nee")), VLOOKUP($I233,Loonkosten,MATCH("Opgegeven uurtarief",'4. Rekenhulp loonkosten aanvr.'!$4:$4,0)),0),"Vast tarief",IF(LEFT(F233,8)="Bijdrage",VLOOKUP($F233,Tb_KostenTypen[],MATCH(Lijsten!$P$1,Tb_KostenTypen[#Headers],0),0),VLOOKUP($G233,Lijsten!L:P,MATCH(Lijsten!$P$1,Kop_Tarief_Vast,0),0))),""),"")</f>
        <v/>
      </c>
      <c r="K233" s="312" t="str" cm="1">
        <f t="array" ref="K233">_xlfn.IFNA(IF(INDEX(Tb_KostenOpties[],MATCH($F233,Tb_KostenOpties[KostenOptie],0),IFERROR(MATCH(Methode_Keuze,Tb_KostenOpties[#Headers],0),2))=1,_xlfn.SWITCH($H233,"Uurtarief",IF(OR(AND(RIGHT($F233,3)="IKS",VLOOKUP($I233,Loonkosten,2,0)="Ja"),AND(RIGHT($F233,3)&lt;&gt;"IKS",VLOOKUP($I233,Loonkosten,2,0)="Nee")), VLOOKUP($I233,Loonkosten,MATCH("Beoordeeld uurtarief",'4. Rekenhulp loonkosten aanvr.'!$4:$4,0),0),0),"Vast tarief",IF(LEFT(F233,8)="Bijdrage",VLOOKUP($F233,Tb_KostenTypen[],MATCH(Lijsten!$P$1,Tb_KostenTypen[#Headers],0),0),VLOOKUP($G233,Lijsten!L:P,MATCH(Lijsten!$P$1,Kop_Tarief_Vast,0),0))),""),"")</f>
        <v/>
      </c>
      <c r="L233" s="358"/>
      <c r="M233" s="358"/>
      <c r="N233" s="313"/>
      <c r="O233" s="313"/>
      <c r="P233" s="374" t="str">
        <f t="shared" si="13"/>
        <v/>
      </c>
      <c r="Q233" s="314" t="str">
        <f t="shared" si="14"/>
        <v/>
      </c>
      <c r="R233" s="314" t="str" cm="1">
        <f t="array" aca="1" ref="R233" ca="1">_xlfn.IFNA(_xlfn.IFS(X233="Dit kostentype hoeft u niet op te geven. Hiervoor wordt een forfait berekend.","",AND(J233&lt;&gt;"",H233="Vast tarief",F233="Vergoeding"),SUM(J233)*FLOOR(SUM(L233),0.0001),AND(J233&lt;&gt;"",OR(H233="Uurtarief",H233="Vast tarief")),SUM(J233)*FLOOR(SUM(L233),0.01),AND(N233&lt;&gt;"",H233="-"),FLOOR(SUM(N233),0.01)),"")</f>
        <v/>
      </c>
      <c r="S233" s="314" t="str" cm="1">
        <f t="array" aca="1" ref="S233" ca="1">_xlfn.IFNA(_xlfn.IFS(X233="Dit kostentype hoeft u niet op te geven. Hiervoor wordt een forfait berekend.","",AND(K233&lt;&gt;"",M233&lt;&gt;"",H233="Vast tarief",F233="Vergoeding"),SUM(K233)*FLOOR(SUM(M233),0.0001),AND(K233&lt;&gt;"",M233&lt;&gt;"",OR(H233="Uurtarief",H233="Vast tarief")),SUM(K233)*FLOOR(SUM(M233),0.01),AND(O233&lt;&gt;"",H233="-"),FLOOR(SUM(O233),0.01)),"")</f>
        <v/>
      </c>
      <c r="T233" s="314" t="str">
        <f t="shared" ca="1" si="15"/>
        <v/>
      </c>
      <c r="U233" s="314" t="str" cm="1">
        <f t="array" aca="1" ref="U233" ca="1">IFERROR(_xlfn.IFS(OR(F233="",LEFT(Methode_Keuze,4)="Geen",Methode_Keuze=""),"",AND(R233&lt;&gt;"",F233&lt;&gt;"Arbeidskosten"),R233*VLOOKUP(F233,Tb_ProjectKosten[],MATCH(Tb_ProjectKosten[[#Headers],[Forfait_Percentage]],Tb_ProjectKosten[#Headers],0),0),AND(F233="Arbeidskosten",G233&lt;&gt;""),IFERROR(R233*VLOOKUP(G233,Tb_KostenTypen[],3,0)*VLOOKUP(F233,Tb_ProjectKosten[],MATCH(Tb_ProjectKosten[[#Headers],[Forfait_Percentage]],Tb_ProjectKosten[#Headers],0),0),""),R233 &lt;=0,0),"")</f>
        <v/>
      </c>
      <c r="V233" s="314" t="str" cm="1">
        <f t="array" aca="1" ref="V233" ca="1">IFERROR(_xlfn.IFS(OR(F233="",LEFT(Methode_Keuze,4)="Geen",Methode_Keuze=""),"",AND(S233&lt;&gt;"",F233&lt;&gt;"Arbeidskosten"),S233*VLOOKUP(F233,Tb_ProjectKosten[],MATCH(Tb_ProjectKosten[[#Headers],[Forfait_Percentage]],Tb_ProjectKosten[#Headers],0),0),AND(F233="Arbeidskosten",G233&lt;&gt;""),IFERROR(S233*VLOOKUP(G233,Tb_KostenTypen[],3,0)*VLOOKUP(F233,Tb_ProjectKosten[],MATCH(Tb_ProjectKosten[[#Headers],[Forfait_Percentage]],Tb_ProjectKosten[#Headers],0),0),""),S233 &lt;=0,0),"")</f>
        <v/>
      </c>
      <c r="W233" s="314" t="str">
        <f t="shared" ca="1" si="16"/>
        <v/>
      </c>
      <c r="X233" s="376" t="str">
        <f>IFERROR(VLOOKUP(F233,Tb_ProjectKosten[#All],11,0),"")</f>
        <v/>
      </c>
      <c r="Y233" s="315"/>
    </row>
    <row r="234" spans="1:25" x14ac:dyDescent="0.25">
      <c r="A234" s="309">
        <f>MAX($A$5:A233)+1</f>
        <v>229</v>
      </c>
      <c r="B234" s="296"/>
      <c r="C234" s="296"/>
      <c r="D234" s="296"/>
      <c r="E234" s="296"/>
      <c r="F234" s="296"/>
      <c r="G234" s="327"/>
      <c r="H234" s="310" t="str">
        <f ca="1">IFERROR(IF(VLOOKUP(F234,Kostentypen!$A$3:$E$21,3,0)=0,"",IF(OR(F234="Arbeidskosten",F234="Vergoeding"),VLOOKUP(G234,Tb_KostenTypen[],2,0),VLOOKUP(F234,Kostentypen!$A$3:$E$20,3,0))),"")</f>
        <v/>
      </c>
      <c r="I234" s="311"/>
      <c r="J234" s="312" t="str" cm="1">
        <f t="array" ref="J234">_xlfn.IFNA(IF(INDEX(Tb_KostenOpties[],MATCH($F234,Tb_KostenOpties[KostenOptie],0),IFERROR(MATCH(Methode_Keuze,Tb_KostenOpties[#Headers],0),2))=1,_xlfn.SWITCH($H234,"Uurtarief",IF(OR(AND(RIGHT($F234,3)="IKS",VLOOKUP($I234,Loonkosten,2,0)="Ja"),AND(RIGHT($F234,3)&lt;&gt;"IKS",VLOOKUP($I234,Loonkosten,2,0)="Nee")), VLOOKUP($I234,Loonkosten,MATCH("Opgegeven uurtarief",'4. Rekenhulp loonkosten aanvr.'!$4:$4,0)),0),"Vast tarief",IF(LEFT(F234,8)="Bijdrage",VLOOKUP($F234,Tb_KostenTypen[],MATCH(Lijsten!$P$1,Tb_KostenTypen[#Headers],0),0),VLOOKUP($G234,Lijsten!L:P,MATCH(Lijsten!$P$1,Kop_Tarief_Vast,0),0))),""),"")</f>
        <v/>
      </c>
      <c r="K234" s="312" t="str" cm="1">
        <f t="array" ref="K234">_xlfn.IFNA(IF(INDEX(Tb_KostenOpties[],MATCH($F234,Tb_KostenOpties[KostenOptie],0),IFERROR(MATCH(Methode_Keuze,Tb_KostenOpties[#Headers],0),2))=1,_xlfn.SWITCH($H234,"Uurtarief",IF(OR(AND(RIGHT($F234,3)="IKS",VLOOKUP($I234,Loonkosten,2,0)="Ja"),AND(RIGHT($F234,3)&lt;&gt;"IKS",VLOOKUP($I234,Loonkosten,2,0)="Nee")), VLOOKUP($I234,Loonkosten,MATCH("Beoordeeld uurtarief",'4. Rekenhulp loonkosten aanvr.'!$4:$4,0),0),0),"Vast tarief",IF(LEFT(F234,8)="Bijdrage",VLOOKUP($F234,Tb_KostenTypen[],MATCH(Lijsten!$P$1,Tb_KostenTypen[#Headers],0),0),VLOOKUP($G234,Lijsten!L:P,MATCH(Lijsten!$P$1,Kop_Tarief_Vast,0),0))),""),"")</f>
        <v/>
      </c>
      <c r="L234" s="358"/>
      <c r="M234" s="358"/>
      <c r="N234" s="313"/>
      <c r="O234" s="313"/>
      <c r="P234" s="374" t="str">
        <f t="shared" si="13"/>
        <v/>
      </c>
      <c r="Q234" s="314" t="str">
        <f t="shared" si="14"/>
        <v/>
      </c>
      <c r="R234" s="314" t="str" cm="1">
        <f t="array" aca="1" ref="R234" ca="1">_xlfn.IFNA(_xlfn.IFS(X234="Dit kostentype hoeft u niet op te geven. Hiervoor wordt een forfait berekend.","",AND(J234&lt;&gt;"",H234="Vast tarief",F234="Vergoeding"),SUM(J234)*FLOOR(SUM(L234),0.0001),AND(J234&lt;&gt;"",OR(H234="Uurtarief",H234="Vast tarief")),SUM(J234)*FLOOR(SUM(L234),0.01),AND(N234&lt;&gt;"",H234="-"),FLOOR(SUM(N234),0.01)),"")</f>
        <v/>
      </c>
      <c r="S234" s="314" t="str" cm="1">
        <f t="array" aca="1" ref="S234" ca="1">_xlfn.IFNA(_xlfn.IFS(X234="Dit kostentype hoeft u niet op te geven. Hiervoor wordt een forfait berekend.","",AND(K234&lt;&gt;"",M234&lt;&gt;"",H234="Vast tarief",F234="Vergoeding"),SUM(K234)*FLOOR(SUM(M234),0.0001),AND(K234&lt;&gt;"",M234&lt;&gt;"",OR(H234="Uurtarief",H234="Vast tarief")),SUM(K234)*FLOOR(SUM(M234),0.01),AND(O234&lt;&gt;"",H234="-"),FLOOR(SUM(O234),0.01)),"")</f>
        <v/>
      </c>
      <c r="T234" s="314" t="str">
        <f t="shared" ca="1" si="15"/>
        <v/>
      </c>
      <c r="U234" s="314" t="str" cm="1">
        <f t="array" aca="1" ref="U234" ca="1">IFERROR(_xlfn.IFS(OR(F234="",LEFT(Methode_Keuze,4)="Geen",Methode_Keuze=""),"",AND(R234&lt;&gt;"",F234&lt;&gt;"Arbeidskosten"),R234*VLOOKUP(F234,Tb_ProjectKosten[],MATCH(Tb_ProjectKosten[[#Headers],[Forfait_Percentage]],Tb_ProjectKosten[#Headers],0),0),AND(F234="Arbeidskosten",G234&lt;&gt;""),IFERROR(R234*VLOOKUP(G234,Tb_KostenTypen[],3,0)*VLOOKUP(F234,Tb_ProjectKosten[],MATCH(Tb_ProjectKosten[[#Headers],[Forfait_Percentage]],Tb_ProjectKosten[#Headers],0),0),""),R234 &lt;=0,0),"")</f>
        <v/>
      </c>
      <c r="V234" s="314" t="str" cm="1">
        <f t="array" aca="1" ref="V234" ca="1">IFERROR(_xlfn.IFS(OR(F234="",LEFT(Methode_Keuze,4)="Geen",Methode_Keuze=""),"",AND(S234&lt;&gt;"",F234&lt;&gt;"Arbeidskosten"),S234*VLOOKUP(F234,Tb_ProjectKosten[],MATCH(Tb_ProjectKosten[[#Headers],[Forfait_Percentage]],Tb_ProjectKosten[#Headers],0),0),AND(F234="Arbeidskosten",G234&lt;&gt;""),IFERROR(S234*VLOOKUP(G234,Tb_KostenTypen[],3,0)*VLOOKUP(F234,Tb_ProjectKosten[],MATCH(Tb_ProjectKosten[[#Headers],[Forfait_Percentage]],Tb_ProjectKosten[#Headers],0),0),""),S234 &lt;=0,0),"")</f>
        <v/>
      </c>
      <c r="W234" s="314" t="str">
        <f t="shared" ca="1" si="16"/>
        <v/>
      </c>
      <c r="X234" s="376" t="str">
        <f>IFERROR(VLOOKUP(F234,Tb_ProjectKosten[#All],11,0),"")</f>
        <v/>
      </c>
      <c r="Y234" s="315"/>
    </row>
    <row r="235" spans="1:25" x14ac:dyDescent="0.25">
      <c r="A235" s="309">
        <f>MAX($A$5:A234)+1</f>
        <v>230</v>
      </c>
      <c r="B235" s="296"/>
      <c r="C235" s="296"/>
      <c r="D235" s="296"/>
      <c r="E235" s="296"/>
      <c r="F235" s="296"/>
      <c r="G235" s="327"/>
      <c r="H235" s="310" t="str">
        <f ca="1">IFERROR(IF(VLOOKUP(F235,Kostentypen!$A$3:$E$21,3,0)=0,"",IF(OR(F235="Arbeidskosten",F235="Vergoeding"),VLOOKUP(G235,Tb_KostenTypen[],2,0),VLOOKUP(F235,Kostentypen!$A$3:$E$20,3,0))),"")</f>
        <v/>
      </c>
      <c r="I235" s="311"/>
      <c r="J235" s="312" t="str" cm="1">
        <f t="array" ref="J235">_xlfn.IFNA(IF(INDEX(Tb_KostenOpties[],MATCH($F235,Tb_KostenOpties[KostenOptie],0),IFERROR(MATCH(Methode_Keuze,Tb_KostenOpties[#Headers],0),2))=1,_xlfn.SWITCH($H235,"Uurtarief",IF(OR(AND(RIGHT($F235,3)="IKS",VLOOKUP($I235,Loonkosten,2,0)="Ja"),AND(RIGHT($F235,3)&lt;&gt;"IKS",VLOOKUP($I235,Loonkosten,2,0)="Nee")), VLOOKUP($I235,Loonkosten,MATCH("Opgegeven uurtarief",'4. Rekenhulp loonkosten aanvr.'!$4:$4,0)),0),"Vast tarief",IF(LEFT(F235,8)="Bijdrage",VLOOKUP($F235,Tb_KostenTypen[],MATCH(Lijsten!$P$1,Tb_KostenTypen[#Headers],0),0),VLOOKUP($G235,Lijsten!L:P,MATCH(Lijsten!$P$1,Kop_Tarief_Vast,0),0))),""),"")</f>
        <v/>
      </c>
      <c r="K235" s="312" t="str" cm="1">
        <f t="array" ref="K235">_xlfn.IFNA(IF(INDEX(Tb_KostenOpties[],MATCH($F235,Tb_KostenOpties[KostenOptie],0),IFERROR(MATCH(Methode_Keuze,Tb_KostenOpties[#Headers],0),2))=1,_xlfn.SWITCH($H235,"Uurtarief",IF(OR(AND(RIGHT($F235,3)="IKS",VLOOKUP($I235,Loonkosten,2,0)="Ja"),AND(RIGHT($F235,3)&lt;&gt;"IKS",VLOOKUP($I235,Loonkosten,2,0)="Nee")), VLOOKUP($I235,Loonkosten,MATCH("Beoordeeld uurtarief",'4. Rekenhulp loonkosten aanvr.'!$4:$4,0),0),0),"Vast tarief",IF(LEFT(F235,8)="Bijdrage",VLOOKUP($F235,Tb_KostenTypen[],MATCH(Lijsten!$P$1,Tb_KostenTypen[#Headers],0),0),VLOOKUP($G235,Lijsten!L:P,MATCH(Lijsten!$P$1,Kop_Tarief_Vast,0),0))),""),"")</f>
        <v/>
      </c>
      <c r="L235" s="358"/>
      <c r="M235" s="358"/>
      <c r="N235" s="313"/>
      <c r="O235" s="313"/>
      <c r="P235" s="374" t="str">
        <f t="shared" si="13"/>
        <v/>
      </c>
      <c r="Q235" s="314" t="str">
        <f t="shared" si="14"/>
        <v/>
      </c>
      <c r="R235" s="314" t="str" cm="1">
        <f t="array" aca="1" ref="R235" ca="1">_xlfn.IFNA(_xlfn.IFS(X235="Dit kostentype hoeft u niet op te geven. Hiervoor wordt een forfait berekend.","",AND(J235&lt;&gt;"",H235="Vast tarief",F235="Vergoeding"),SUM(J235)*FLOOR(SUM(L235),0.0001),AND(J235&lt;&gt;"",OR(H235="Uurtarief",H235="Vast tarief")),SUM(J235)*FLOOR(SUM(L235),0.01),AND(N235&lt;&gt;"",H235="-"),FLOOR(SUM(N235),0.01)),"")</f>
        <v/>
      </c>
      <c r="S235" s="314" t="str" cm="1">
        <f t="array" aca="1" ref="S235" ca="1">_xlfn.IFNA(_xlfn.IFS(X235="Dit kostentype hoeft u niet op te geven. Hiervoor wordt een forfait berekend.","",AND(K235&lt;&gt;"",M235&lt;&gt;"",H235="Vast tarief",F235="Vergoeding"),SUM(K235)*FLOOR(SUM(M235),0.0001),AND(K235&lt;&gt;"",M235&lt;&gt;"",OR(H235="Uurtarief",H235="Vast tarief")),SUM(K235)*FLOOR(SUM(M235),0.01),AND(O235&lt;&gt;"",H235="-"),FLOOR(SUM(O235),0.01)),"")</f>
        <v/>
      </c>
      <c r="T235" s="314" t="str">
        <f t="shared" ca="1" si="15"/>
        <v/>
      </c>
      <c r="U235" s="314" t="str" cm="1">
        <f t="array" aca="1" ref="U235" ca="1">IFERROR(_xlfn.IFS(OR(F235="",LEFT(Methode_Keuze,4)="Geen",Methode_Keuze=""),"",AND(R235&lt;&gt;"",F235&lt;&gt;"Arbeidskosten"),R235*VLOOKUP(F235,Tb_ProjectKosten[],MATCH(Tb_ProjectKosten[[#Headers],[Forfait_Percentage]],Tb_ProjectKosten[#Headers],0),0),AND(F235="Arbeidskosten",G235&lt;&gt;""),IFERROR(R235*VLOOKUP(G235,Tb_KostenTypen[],3,0)*VLOOKUP(F235,Tb_ProjectKosten[],MATCH(Tb_ProjectKosten[[#Headers],[Forfait_Percentage]],Tb_ProjectKosten[#Headers],0),0),""),R235 &lt;=0,0),"")</f>
        <v/>
      </c>
      <c r="V235" s="314" t="str" cm="1">
        <f t="array" aca="1" ref="V235" ca="1">IFERROR(_xlfn.IFS(OR(F235="",LEFT(Methode_Keuze,4)="Geen",Methode_Keuze=""),"",AND(S235&lt;&gt;"",F235&lt;&gt;"Arbeidskosten"),S235*VLOOKUP(F235,Tb_ProjectKosten[],MATCH(Tb_ProjectKosten[[#Headers],[Forfait_Percentage]],Tb_ProjectKosten[#Headers],0),0),AND(F235="Arbeidskosten",G235&lt;&gt;""),IFERROR(S235*VLOOKUP(G235,Tb_KostenTypen[],3,0)*VLOOKUP(F235,Tb_ProjectKosten[],MATCH(Tb_ProjectKosten[[#Headers],[Forfait_Percentage]],Tb_ProjectKosten[#Headers],0),0),""),S235 &lt;=0,0),"")</f>
        <v/>
      </c>
      <c r="W235" s="314" t="str">
        <f t="shared" ca="1" si="16"/>
        <v/>
      </c>
      <c r="X235" s="376" t="str">
        <f>IFERROR(VLOOKUP(F235,Tb_ProjectKosten[#All],11,0),"")</f>
        <v/>
      </c>
      <c r="Y235" s="315"/>
    </row>
    <row r="236" spans="1:25" x14ac:dyDescent="0.25">
      <c r="A236" s="309">
        <f>MAX($A$5:A235)+1</f>
        <v>231</v>
      </c>
      <c r="B236" s="296"/>
      <c r="C236" s="296"/>
      <c r="D236" s="296"/>
      <c r="E236" s="296"/>
      <c r="F236" s="296"/>
      <c r="G236" s="327"/>
      <c r="H236" s="310" t="str">
        <f ca="1">IFERROR(IF(VLOOKUP(F236,Kostentypen!$A$3:$E$21,3,0)=0,"",IF(OR(F236="Arbeidskosten",F236="Vergoeding"),VLOOKUP(G236,Tb_KostenTypen[],2,0),VLOOKUP(F236,Kostentypen!$A$3:$E$20,3,0))),"")</f>
        <v/>
      </c>
      <c r="I236" s="311"/>
      <c r="J236" s="312" t="str" cm="1">
        <f t="array" ref="J236">_xlfn.IFNA(IF(INDEX(Tb_KostenOpties[],MATCH($F236,Tb_KostenOpties[KostenOptie],0),IFERROR(MATCH(Methode_Keuze,Tb_KostenOpties[#Headers],0),2))=1,_xlfn.SWITCH($H236,"Uurtarief",IF(OR(AND(RIGHT($F236,3)="IKS",VLOOKUP($I236,Loonkosten,2,0)="Ja"),AND(RIGHT($F236,3)&lt;&gt;"IKS",VLOOKUP($I236,Loonkosten,2,0)="Nee")), VLOOKUP($I236,Loonkosten,MATCH("Opgegeven uurtarief",'4. Rekenhulp loonkosten aanvr.'!$4:$4,0)),0),"Vast tarief",IF(LEFT(F236,8)="Bijdrage",VLOOKUP($F236,Tb_KostenTypen[],MATCH(Lijsten!$P$1,Tb_KostenTypen[#Headers],0),0),VLOOKUP($G236,Lijsten!L:P,MATCH(Lijsten!$P$1,Kop_Tarief_Vast,0),0))),""),"")</f>
        <v/>
      </c>
      <c r="K236" s="312" t="str" cm="1">
        <f t="array" ref="K236">_xlfn.IFNA(IF(INDEX(Tb_KostenOpties[],MATCH($F236,Tb_KostenOpties[KostenOptie],0),IFERROR(MATCH(Methode_Keuze,Tb_KostenOpties[#Headers],0),2))=1,_xlfn.SWITCH($H236,"Uurtarief",IF(OR(AND(RIGHT($F236,3)="IKS",VLOOKUP($I236,Loonkosten,2,0)="Ja"),AND(RIGHT($F236,3)&lt;&gt;"IKS",VLOOKUP($I236,Loonkosten,2,0)="Nee")), VLOOKUP($I236,Loonkosten,MATCH("Beoordeeld uurtarief",'4. Rekenhulp loonkosten aanvr.'!$4:$4,0),0),0),"Vast tarief",IF(LEFT(F236,8)="Bijdrage",VLOOKUP($F236,Tb_KostenTypen[],MATCH(Lijsten!$P$1,Tb_KostenTypen[#Headers],0),0),VLOOKUP($G236,Lijsten!L:P,MATCH(Lijsten!$P$1,Kop_Tarief_Vast,0),0))),""),"")</f>
        <v/>
      </c>
      <c r="L236" s="358"/>
      <c r="M236" s="358"/>
      <c r="N236" s="313"/>
      <c r="O236" s="313"/>
      <c r="P236" s="374" t="str">
        <f t="shared" si="13"/>
        <v/>
      </c>
      <c r="Q236" s="314" t="str">
        <f t="shared" si="14"/>
        <v/>
      </c>
      <c r="R236" s="314" t="str" cm="1">
        <f t="array" aca="1" ref="R236" ca="1">_xlfn.IFNA(_xlfn.IFS(X236="Dit kostentype hoeft u niet op te geven. Hiervoor wordt een forfait berekend.","",AND(J236&lt;&gt;"",H236="Vast tarief",F236="Vergoeding"),SUM(J236)*FLOOR(SUM(L236),0.0001),AND(J236&lt;&gt;"",OR(H236="Uurtarief",H236="Vast tarief")),SUM(J236)*FLOOR(SUM(L236),0.01),AND(N236&lt;&gt;"",H236="-"),FLOOR(SUM(N236),0.01)),"")</f>
        <v/>
      </c>
      <c r="S236" s="314" t="str" cm="1">
        <f t="array" aca="1" ref="S236" ca="1">_xlfn.IFNA(_xlfn.IFS(X236="Dit kostentype hoeft u niet op te geven. Hiervoor wordt een forfait berekend.","",AND(K236&lt;&gt;"",M236&lt;&gt;"",H236="Vast tarief",F236="Vergoeding"),SUM(K236)*FLOOR(SUM(M236),0.0001),AND(K236&lt;&gt;"",M236&lt;&gt;"",OR(H236="Uurtarief",H236="Vast tarief")),SUM(K236)*FLOOR(SUM(M236),0.01),AND(O236&lt;&gt;"",H236="-"),FLOOR(SUM(O236),0.01)),"")</f>
        <v/>
      </c>
      <c r="T236" s="314" t="str">
        <f t="shared" ca="1" si="15"/>
        <v/>
      </c>
      <c r="U236" s="314" t="str" cm="1">
        <f t="array" aca="1" ref="U236" ca="1">IFERROR(_xlfn.IFS(OR(F236="",LEFT(Methode_Keuze,4)="Geen",Methode_Keuze=""),"",AND(R236&lt;&gt;"",F236&lt;&gt;"Arbeidskosten"),R236*VLOOKUP(F236,Tb_ProjectKosten[],MATCH(Tb_ProjectKosten[[#Headers],[Forfait_Percentage]],Tb_ProjectKosten[#Headers],0),0),AND(F236="Arbeidskosten",G236&lt;&gt;""),IFERROR(R236*VLOOKUP(G236,Tb_KostenTypen[],3,0)*VLOOKUP(F236,Tb_ProjectKosten[],MATCH(Tb_ProjectKosten[[#Headers],[Forfait_Percentage]],Tb_ProjectKosten[#Headers],0),0),""),R236 &lt;=0,0),"")</f>
        <v/>
      </c>
      <c r="V236" s="314" t="str" cm="1">
        <f t="array" aca="1" ref="V236" ca="1">IFERROR(_xlfn.IFS(OR(F236="",LEFT(Methode_Keuze,4)="Geen",Methode_Keuze=""),"",AND(S236&lt;&gt;"",F236&lt;&gt;"Arbeidskosten"),S236*VLOOKUP(F236,Tb_ProjectKosten[],MATCH(Tb_ProjectKosten[[#Headers],[Forfait_Percentage]],Tb_ProjectKosten[#Headers],0),0),AND(F236="Arbeidskosten",G236&lt;&gt;""),IFERROR(S236*VLOOKUP(G236,Tb_KostenTypen[],3,0)*VLOOKUP(F236,Tb_ProjectKosten[],MATCH(Tb_ProjectKosten[[#Headers],[Forfait_Percentage]],Tb_ProjectKosten[#Headers],0),0),""),S236 &lt;=0,0),"")</f>
        <v/>
      </c>
      <c r="W236" s="314" t="str">
        <f t="shared" ca="1" si="16"/>
        <v/>
      </c>
      <c r="X236" s="376" t="str">
        <f>IFERROR(VLOOKUP(F236,Tb_ProjectKosten[#All],11,0),"")</f>
        <v/>
      </c>
      <c r="Y236" s="315"/>
    </row>
    <row r="237" spans="1:25" x14ac:dyDescent="0.25">
      <c r="A237" s="309">
        <f>MAX($A$5:A236)+1</f>
        <v>232</v>
      </c>
      <c r="B237" s="296"/>
      <c r="C237" s="296"/>
      <c r="D237" s="296"/>
      <c r="E237" s="296"/>
      <c r="F237" s="296"/>
      <c r="G237" s="327"/>
      <c r="H237" s="310" t="str">
        <f ca="1">IFERROR(IF(VLOOKUP(F237,Kostentypen!$A$3:$E$21,3,0)=0,"",IF(OR(F237="Arbeidskosten",F237="Vergoeding"),VLOOKUP(G237,Tb_KostenTypen[],2,0),VLOOKUP(F237,Kostentypen!$A$3:$E$20,3,0))),"")</f>
        <v/>
      </c>
      <c r="I237" s="311"/>
      <c r="J237" s="312" t="str" cm="1">
        <f t="array" ref="J237">_xlfn.IFNA(IF(INDEX(Tb_KostenOpties[],MATCH($F237,Tb_KostenOpties[KostenOptie],0),IFERROR(MATCH(Methode_Keuze,Tb_KostenOpties[#Headers],0),2))=1,_xlfn.SWITCH($H237,"Uurtarief",IF(OR(AND(RIGHT($F237,3)="IKS",VLOOKUP($I237,Loonkosten,2,0)="Ja"),AND(RIGHT($F237,3)&lt;&gt;"IKS",VLOOKUP($I237,Loonkosten,2,0)="Nee")), VLOOKUP($I237,Loonkosten,MATCH("Opgegeven uurtarief",'4. Rekenhulp loonkosten aanvr.'!$4:$4,0)),0),"Vast tarief",IF(LEFT(F237,8)="Bijdrage",VLOOKUP($F237,Tb_KostenTypen[],MATCH(Lijsten!$P$1,Tb_KostenTypen[#Headers],0),0),VLOOKUP($G237,Lijsten!L:P,MATCH(Lijsten!$P$1,Kop_Tarief_Vast,0),0))),""),"")</f>
        <v/>
      </c>
      <c r="K237" s="312" t="str" cm="1">
        <f t="array" ref="K237">_xlfn.IFNA(IF(INDEX(Tb_KostenOpties[],MATCH($F237,Tb_KostenOpties[KostenOptie],0),IFERROR(MATCH(Methode_Keuze,Tb_KostenOpties[#Headers],0),2))=1,_xlfn.SWITCH($H237,"Uurtarief",IF(OR(AND(RIGHT($F237,3)="IKS",VLOOKUP($I237,Loonkosten,2,0)="Ja"),AND(RIGHT($F237,3)&lt;&gt;"IKS",VLOOKUP($I237,Loonkosten,2,0)="Nee")), VLOOKUP($I237,Loonkosten,MATCH("Beoordeeld uurtarief",'4. Rekenhulp loonkosten aanvr.'!$4:$4,0),0),0),"Vast tarief",IF(LEFT(F237,8)="Bijdrage",VLOOKUP($F237,Tb_KostenTypen[],MATCH(Lijsten!$P$1,Tb_KostenTypen[#Headers],0),0),VLOOKUP($G237,Lijsten!L:P,MATCH(Lijsten!$P$1,Kop_Tarief_Vast,0),0))),""),"")</f>
        <v/>
      </c>
      <c r="L237" s="358"/>
      <c r="M237" s="358"/>
      <c r="N237" s="313"/>
      <c r="O237" s="313"/>
      <c r="P237" s="374" t="str">
        <f t="shared" si="13"/>
        <v/>
      </c>
      <c r="Q237" s="314" t="str">
        <f t="shared" si="14"/>
        <v/>
      </c>
      <c r="R237" s="314" t="str" cm="1">
        <f t="array" aca="1" ref="R237" ca="1">_xlfn.IFNA(_xlfn.IFS(X237="Dit kostentype hoeft u niet op te geven. Hiervoor wordt een forfait berekend.","",AND(J237&lt;&gt;"",H237="Vast tarief",F237="Vergoeding"),SUM(J237)*FLOOR(SUM(L237),0.0001),AND(J237&lt;&gt;"",OR(H237="Uurtarief",H237="Vast tarief")),SUM(J237)*FLOOR(SUM(L237),0.01),AND(N237&lt;&gt;"",H237="-"),FLOOR(SUM(N237),0.01)),"")</f>
        <v/>
      </c>
      <c r="S237" s="314" t="str" cm="1">
        <f t="array" aca="1" ref="S237" ca="1">_xlfn.IFNA(_xlfn.IFS(X237="Dit kostentype hoeft u niet op te geven. Hiervoor wordt een forfait berekend.","",AND(K237&lt;&gt;"",M237&lt;&gt;"",H237="Vast tarief",F237="Vergoeding"),SUM(K237)*FLOOR(SUM(M237),0.0001),AND(K237&lt;&gt;"",M237&lt;&gt;"",OR(H237="Uurtarief",H237="Vast tarief")),SUM(K237)*FLOOR(SUM(M237),0.01),AND(O237&lt;&gt;"",H237="-"),FLOOR(SUM(O237),0.01)),"")</f>
        <v/>
      </c>
      <c r="T237" s="314" t="str">
        <f t="shared" ca="1" si="15"/>
        <v/>
      </c>
      <c r="U237" s="314" t="str" cm="1">
        <f t="array" aca="1" ref="U237" ca="1">IFERROR(_xlfn.IFS(OR(F237="",LEFT(Methode_Keuze,4)="Geen",Methode_Keuze=""),"",AND(R237&lt;&gt;"",F237&lt;&gt;"Arbeidskosten"),R237*VLOOKUP(F237,Tb_ProjectKosten[],MATCH(Tb_ProjectKosten[[#Headers],[Forfait_Percentage]],Tb_ProjectKosten[#Headers],0),0),AND(F237="Arbeidskosten",G237&lt;&gt;""),IFERROR(R237*VLOOKUP(G237,Tb_KostenTypen[],3,0)*VLOOKUP(F237,Tb_ProjectKosten[],MATCH(Tb_ProjectKosten[[#Headers],[Forfait_Percentage]],Tb_ProjectKosten[#Headers],0),0),""),R237 &lt;=0,0),"")</f>
        <v/>
      </c>
      <c r="V237" s="314" t="str" cm="1">
        <f t="array" aca="1" ref="V237" ca="1">IFERROR(_xlfn.IFS(OR(F237="",LEFT(Methode_Keuze,4)="Geen",Methode_Keuze=""),"",AND(S237&lt;&gt;"",F237&lt;&gt;"Arbeidskosten"),S237*VLOOKUP(F237,Tb_ProjectKosten[],MATCH(Tb_ProjectKosten[[#Headers],[Forfait_Percentage]],Tb_ProjectKosten[#Headers],0),0),AND(F237="Arbeidskosten",G237&lt;&gt;""),IFERROR(S237*VLOOKUP(G237,Tb_KostenTypen[],3,0)*VLOOKUP(F237,Tb_ProjectKosten[],MATCH(Tb_ProjectKosten[[#Headers],[Forfait_Percentage]],Tb_ProjectKosten[#Headers],0),0),""),S237 &lt;=0,0),"")</f>
        <v/>
      </c>
      <c r="W237" s="314" t="str">
        <f t="shared" ca="1" si="16"/>
        <v/>
      </c>
      <c r="X237" s="376" t="str">
        <f>IFERROR(VLOOKUP(F237,Tb_ProjectKosten[#All],11,0),"")</f>
        <v/>
      </c>
      <c r="Y237" s="315"/>
    </row>
    <row r="238" spans="1:25" x14ac:dyDescent="0.25">
      <c r="A238" s="309">
        <f>MAX($A$5:A237)+1</f>
        <v>233</v>
      </c>
      <c r="B238" s="296"/>
      <c r="C238" s="296"/>
      <c r="D238" s="296"/>
      <c r="E238" s="296"/>
      <c r="F238" s="296"/>
      <c r="G238" s="327"/>
      <c r="H238" s="310" t="str">
        <f ca="1">IFERROR(IF(VLOOKUP(F238,Kostentypen!$A$3:$E$21,3,0)=0,"",IF(OR(F238="Arbeidskosten",F238="Vergoeding"),VLOOKUP(G238,Tb_KostenTypen[],2,0),VLOOKUP(F238,Kostentypen!$A$3:$E$20,3,0))),"")</f>
        <v/>
      </c>
      <c r="I238" s="311"/>
      <c r="J238" s="312" t="str" cm="1">
        <f t="array" ref="J238">_xlfn.IFNA(IF(INDEX(Tb_KostenOpties[],MATCH($F238,Tb_KostenOpties[KostenOptie],0),IFERROR(MATCH(Methode_Keuze,Tb_KostenOpties[#Headers],0),2))=1,_xlfn.SWITCH($H238,"Uurtarief",IF(OR(AND(RIGHT($F238,3)="IKS",VLOOKUP($I238,Loonkosten,2,0)="Ja"),AND(RIGHT($F238,3)&lt;&gt;"IKS",VLOOKUP($I238,Loonkosten,2,0)="Nee")), VLOOKUP($I238,Loonkosten,MATCH("Opgegeven uurtarief",'4. Rekenhulp loonkosten aanvr.'!$4:$4,0)),0),"Vast tarief",IF(LEFT(F238,8)="Bijdrage",VLOOKUP($F238,Tb_KostenTypen[],MATCH(Lijsten!$P$1,Tb_KostenTypen[#Headers],0),0),VLOOKUP($G238,Lijsten!L:P,MATCH(Lijsten!$P$1,Kop_Tarief_Vast,0),0))),""),"")</f>
        <v/>
      </c>
      <c r="K238" s="312" t="str" cm="1">
        <f t="array" ref="K238">_xlfn.IFNA(IF(INDEX(Tb_KostenOpties[],MATCH($F238,Tb_KostenOpties[KostenOptie],0),IFERROR(MATCH(Methode_Keuze,Tb_KostenOpties[#Headers],0),2))=1,_xlfn.SWITCH($H238,"Uurtarief",IF(OR(AND(RIGHT($F238,3)="IKS",VLOOKUP($I238,Loonkosten,2,0)="Ja"),AND(RIGHT($F238,3)&lt;&gt;"IKS",VLOOKUP($I238,Loonkosten,2,0)="Nee")), VLOOKUP($I238,Loonkosten,MATCH("Beoordeeld uurtarief",'4. Rekenhulp loonkosten aanvr.'!$4:$4,0),0),0),"Vast tarief",IF(LEFT(F238,8)="Bijdrage",VLOOKUP($F238,Tb_KostenTypen[],MATCH(Lijsten!$P$1,Tb_KostenTypen[#Headers],0),0),VLOOKUP($G238,Lijsten!L:P,MATCH(Lijsten!$P$1,Kop_Tarief_Vast,0),0))),""),"")</f>
        <v/>
      </c>
      <c r="L238" s="358"/>
      <c r="M238" s="358"/>
      <c r="N238" s="313"/>
      <c r="O238" s="313"/>
      <c r="P238" s="374" t="str">
        <f t="shared" si="13"/>
        <v/>
      </c>
      <c r="Q238" s="314" t="str">
        <f t="shared" si="14"/>
        <v/>
      </c>
      <c r="R238" s="314" t="str" cm="1">
        <f t="array" aca="1" ref="R238" ca="1">_xlfn.IFNA(_xlfn.IFS(X238="Dit kostentype hoeft u niet op te geven. Hiervoor wordt een forfait berekend.","",AND(J238&lt;&gt;"",H238="Vast tarief",F238="Vergoeding"),SUM(J238)*FLOOR(SUM(L238),0.0001),AND(J238&lt;&gt;"",OR(H238="Uurtarief",H238="Vast tarief")),SUM(J238)*FLOOR(SUM(L238),0.01),AND(N238&lt;&gt;"",H238="-"),FLOOR(SUM(N238),0.01)),"")</f>
        <v/>
      </c>
      <c r="S238" s="314" t="str" cm="1">
        <f t="array" aca="1" ref="S238" ca="1">_xlfn.IFNA(_xlfn.IFS(X238="Dit kostentype hoeft u niet op te geven. Hiervoor wordt een forfait berekend.","",AND(K238&lt;&gt;"",M238&lt;&gt;"",H238="Vast tarief",F238="Vergoeding"),SUM(K238)*FLOOR(SUM(M238),0.0001),AND(K238&lt;&gt;"",M238&lt;&gt;"",OR(H238="Uurtarief",H238="Vast tarief")),SUM(K238)*FLOOR(SUM(M238),0.01),AND(O238&lt;&gt;"",H238="-"),FLOOR(SUM(O238),0.01)),"")</f>
        <v/>
      </c>
      <c r="T238" s="314" t="str">
        <f t="shared" ca="1" si="15"/>
        <v/>
      </c>
      <c r="U238" s="314" t="str" cm="1">
        <f t="array" aca="1" ref="U238" ca="1">IFERROR(_xlfn.IFS(OR(F238="",LEFT(Methode_Keuze,4)="Geen",Methode_Keuze=""),"",AND(R238&lt;&gt;"",F238&lt;&gt;"Arbeidskosten"),R238*VLOOKUP(F238,Tb_ProjectKosten[],MATCH(Tb_ProjectKosten[[#Headers],[Forfait_Percentage]],Tb_ProjectKosten[#Headers],0),0),AND(F238="Arbeidskosten",G238&lt;&gt;""),IFERROR(R238*VLOOKUP(G238,Tb_KostenTypen[],3,0)*VLOOKUP(F238,Tb_ProjectKosten[],MATCH(Tb_ProjectKosten[[#Headers],[Forfait_Percentage]],Tb_ProjectKosten[#Headers],0),0),""),R238 &lt;=0,0),"")</f>
        <v/>
      </c>
      <c r="V238" s="314" t="str" cm="1">
        <f t="array" aca="1" ref="V238" ca="1">IFERROR(_xlfn.IFS(OR(F238="",LEFT(Methode_Keuze,4)="Geen",Methode_Keuze=""),"",AND(S238&lt;&gt;"",F238&lt;&gt;"Arbeidskosten"),S238*VLOOKUP(F238,Tb_ProjectKosten[],MATCH(Tb_ProjectKosten[[#Headers],[Forfait_Percentage]],Tb_ProjectKosten[#Headers],0),0),AND(F238="Arbeidskosten",G238&lt;&gt;""),IFERROR(S238*VLOOKUP(G238,Tb_KostenTypen[],3,0)*VLOOKUP(F238,Tb_ProjectKosten[],MATCH(Tb_ProjectKosten[[#Headers],[Forfait_Percentage]],Tb_ProjectKosten[#Headers],0),0),""),S238 &lt;=0,0),"")</f>
        <v/>
      </c>
      <c r="W238" s="314" t="str">
        <f t="shared" ca="1" si="16"/>
        <v/>
      </c>
      <c r="X238" s="376" t="str">
        <f>IFERROR(VLOOKUP(F238,Tb_ProjectKosten[#All],11,0),"")</f>
        <v/>
      </c>
      <c r="Y238" s="315"/>
    </row>
    <row r="239" spans="1:25" x14ac:dyDescent="0.25">
      <c r="A239" s="309">
        <f>MAX($A$5:A238)+1</f>
        <v>234</v>
      </c>
      <c r="B239" s="296"/>
      <c r="C239" s="296"/>
      <c r="D239" s="296"/>
      <c r="E239" s="296"/>
      <c r="F239" s="296"/>
      <c r="G239" s="327"/>
      <c r="H239" s="310" t="str">
        <f ca="1">IFERROR(IF(VLOOKUP(F239,Kostentypen!$A$3:$E$21,3,0)=0,"",IF(OR(F239="Arbeidskosten",F239="Vergoeding"),VLOOKUP(G239,Tb_KostenTypen[],2,0),VLOOKUP(F239,Kostentypen!$A$3:$E$20,3,0))),"")</f>
        <v/>
      </c>
      <c r="I239" s="311"/>
      <c r="J239" s="312" t="str" cm="1">
        <f t="array" ref="J239">_xlfn.IFNA(IF(INDEX(Tb_KostenOpties[],MATCH($F239,Tb_KostenOpties[KostenOptie],0),IFERROR(MATCH(Methode_Keuze,Tb_KostenOpties[#Headers],0),2))=1,_xlfn.SWITCH($H239,"Uurtarief",IF(OR(AND(RIGHT($F239,3)="IKS",VLOOKUP($I239,Loonkosten,2,0)="Ja"),AND(RIGHT($F239,3)&lt;&gt;"IKS",VLOOKUP($I239,Loonkosten,2,0)="Nee")), VLOOKUP($I239,Loonkosten,MATCH("Opgegeven uurtarief",'4. Rekenhulp loonkosten aanvr.'!$4:$4,0)),0),"Vast tarief",IF(LEFT(F239,8)="Bijdrage",VLOOKUP($F239,Tb_KostenTypen[],MATCH(Lijsten!$P$1,Tb_KostenTypen[#Headers],0),0),VLOOKUP($G239,Lijsten!L:P,MATCH(Lijsten!$P$1,Kop_Tarief_Vast,0),0))),""),"")</f>
        <v/>
      </c>
      <c r="K239" s="312" t="str" cm="1">
        <f t="array" ref="K239">_xlfn.IFNA(IF(INDEX(Tb_KostenOpties[],MATCH($F239,Tb_KostenOpties[KostenOptie],0),IFERROR(MATCH(Methode_Keuze,Tb_KostenOpties[#Headers],0),2))=1,_xlfn.SWITCH($H239,"Uurtarief",IF(OR(AND(RIGHT($F239,3)="IKS",VLOOKUP($I239,Loonkosten,2,0)="Ja"),AND(RIGHT($F239,3)&lt;&gt;"IKS",VLOOKUP($I239,Loonkosten,2,0)="Nee")), VLOOKUP($I239,Loonkosten,MATCH("Beoordeeld uurtarief",'4. Rekenhulp loonkosten aanvr.'!$4:$4,0),0),0),"Vast tarief",IF(LEFT(F239,8)="Bijdrage",VLOOKUP($F239,Tb_KostenTypen[],MATCH(Lijsten!$P$1,Tb_KostenTypen[#Headers],0),0),VLOOKUP($G239,Lijsten!L:P,MATCH(Lijsten!$P$1,Kop_Tarief_Vast,0),0))),""),"")</f>
        <v/>
      </c>
      <c r="L239" s="358"/>
      <c r="M239" s="358"/>
      <c r="N239" s="313"/>
      <c r="O239" s="313"/>
      <c r="P239" s="374" t="str">
        <f t="shared" si="13"/>
        <v/>
      </c>
      <c r="Q239" s="314" t="str">
        <f t="shared" si="14"/>
        <v/>
      </c>
      <c r="R239" s="314" t="str" cm="1">
        <f t="array" aca="1" ref="R239" ca="1">_xlfn.IFNA(_xlfn.IFS(X239="Dit kostentype hoeft u niet op te geven. Hiervoor wordt een forfait berekend.","",AND(J239&lt;&gt;"",H239="Vast tarief",F239="Vergoeding"),SUM(J239)*FLOOR(SUM(L239),0.0001),AND(J239&lt;&gt;"",OR(H239="Uurtarief",H239="Vast tarief")),SUM(J239)*FLOOR(SUM(L239),0.01),AND(N239&lt;&gt;"",H239="-"),FLOOR(SUM(N239),0.01)),"")</f>
        <v/>
      </c>
      <c r="S239" s="314" t="str" cm="1">
        <f t="array" aca="1" ref="S239" ca="1">_xlfn.IFNA(_xlfn.IFS(X239="Dit kostentype hoeft u niet op te geven. Hiervoor wordt een forfait berekend.","",AND(K239&lt;&gt;"",M239&lt;&gt;"",H239="Vast tarief",F239="Vergoeding"),SUM(K239)*FLOOR(SUM(M239),0.0001),AND(K239&lt;&gt;"",M239&lt;&gt;"",OR(H239="Uurtarief",H239="Vast tarief")),SUM(K239)*FLOOR(SUM(M239),0.01),AND(O239&lt;&gt;"",H239="-"),FLOOR(SUM(O239),0.01)),"")</f>
        <v/>
      </c>
      <c r="T239" s="314" t="str">
        <f t="shared" ca="1" si="15"/>
        <v/>
      </c>
      <c r="U239" s="314" t="str" cm="1">
        <f t="array" aca="1" ref="U239" ca="1">IFERROR(_xlfn.IFS(OR(F239="",LEFT(Methode_Keuze,4)="Geen",Methode_Keuze=""),"",AND(R239&lt;&gt;"",F239&lt;&gt;"Arbeidskosten"),R239*VLOOKUP(F239,Tb_ProjectKosten[],MATCH(Tb_ProjectKosten[[#Headers],[Forfait_Percentage]],Tb_ProjectKosten[#Headers],0),0),AND(F239="Arbeidskosten",G239&lt;&gt;""),IFERROR(R239*VLOOKUP(G239,Tb_KostenTypen[],3,0)*VLOOKUP(F239,Tb_ProjectKosten[],MATCH(Tb_ProjectKosten[[#Headers],[Forfait_Percentage]],Tb_ProjectKosten[#Headers],0),0),""),R239 &lt;=0,0),"")</f>
        <v/>
      </c>
      <c r="V239" s="314" t="str" cm="1">
        <f t="array" aca="1" ref="V239" ca="1">IFERROR(_xlfn.IFS(OR(F239="",LEFT(Methode_Keuze,4)="Geen",Methode_Keuze=""),"",AND(S239&lt;&gt;"",F239&lt;&gt;"Arbeidskosten"),S239*VLOOKUP(F239,Tb_ProjectKosten[],MATCH(Tb_ProjectKosten[[#Headers],[Forfait_Percentage]],Tb_ProjectKosten[#Headers],0),0),AND(F239="Arbeidskosten",G239&lt;&gt;""),IFERROR(S239*VLOOKUP(G239,Tb_KostenTypen[],3,0)*VLOOKUP(F239,Tb_ProjectKosten[],MATCH(Tb_ProjectKosten[[#Headers],[Forfait_Percentage]],Tb_ProjectKosten[#Headers],0),0),""),S239 &lt;=0,0),"")</f>
        <v/>
      </c>
      <c r="W239" s="314" t="str">
        <f t="shared" ca="1" si="16"/>
        <v/>
      </c>
      <c r="X239" s="376" t="str">
        <f>IFERROR(VLOOKUP(F239,Tb_ProjectKosten[#All],11,0),"")</f>
        <v/>
      </c>
      <c r="Y239" s="315"/>
    </row>
    <row r="240" spans="1:25" x14ac:dyDescent="0.25">
      <c r="A240" s="309">
        <f>MAX($A$5:A239)+1</f>
        <v>235</v>
      </c>
      <c r="B240" s="296"/>
      <c r="C240" s="296"/>
      <c r="D240" s="296"/>
      <c r="E240" s="296"/>
      <c r="F240" s="296"/>
      <c r="G240" s="327"/>
      <c r="H240" s="310" t="str">
        <f ca="1">IFERROR(IF(VLOOKUP(F240,Kostentypen!$A$3:$E$21,3,0)=0,"",IF(OR(F240="Arbeidskosten",F240="Vergoeding"),VLOOKUP(G240,Tb_KostenTypen[],2,0),VLOOKUP(F240,Kostentypen!$A$3:$E$20,3,0))),"")</f>
        <v/>
      </c>
      <c r="I240" s="311"/>
      <c r="J240" s="312" t="str" cm="1">
        <f t="array" ref="J240">_xlfn.IFNA(IF(INDEX(Tb_KostenOpties[],MATCH($F240,Tb_KostenOpties[KostenOptie],0),IFERROR(MATCH(Methode_Keuze,Tb_KostenOpties[#Headers],0),2))=1,_xlfn.SWITCH($H240,"Uurtarief",IF(OR(AND(RIGHT($F240,3)="IKS",VLOOKUP($I240,Loonkosten,2,0)="Ja"),AND(RIGHT($F240,3)&lt;&gt;"IKS",VLOOKUP($I240,Loonkosten,2,0)="Nee")), VLOOKUP($I240,Loonkosten,MATCH("Opgegeven uurtarief",'4. Rekenhulp loonkosten aanvr.'!$4:$4,0)),0),"Vast tarief",IF(LEFT(F240,8)="Bijdrage",VLOOKUP($F240,Tb_KostenTypen[],MATCH(Lijsten!$P$1,Tb_KostenTypen[#Headers],0),0),VLOOKUP($G240,Lijsten!L:P,MATCH(Lijsten!$P$1,Kop_Tarief_Vast,0),0))),""),"")</f>
        <v/>
      </c>
      <c r="K240" s="312" t="str" cm="1">
        <f t="array" ref="K240">_xlfn.IFNA(IF(INDEX(Tb_KostenOpties[],MATCH($F240,Tb_KostenOpties[KostenOptie],0),IFERROR(MATCH(Methode_Keuze,Tb_KostenOpties[#Headers],0),2))=1,_xlfn.SWITCH($H240,"Uurtarief",IF(OR(AND(RIGHT($F240,3)="IKS",VLOOKUP($I240,Loonkosten,2,0)="Ja"),AND(RIGHT($F240,3)&lt;&gt;"IKS",VLOOKUP($I240,Loonkosten,2,0)="Nee")), VLOOKUP($I240,Loonkosten,MATCH("Beoordeeld uurtarief",'4. Rekenhulp loonkosten aanvr.'!$4:$4,0),0),0),"Vast tarief",IF(LEFT(F240,8)="Bijdrage",VLOOKUP($F240,Tb_KostenTypen[],MATCH(Lijsten!$P$1,Tb_KostenTypen[#Headers],0),0),VLOOKUP($G240,Lijsten!L:P,MATCH(Lijsten!$P$1,Kop_Tarief_Vast,0),0))),""),"")</f>
        <v/>
      </c>
      <c r="L240" s="358"/>
      <c r="M240" s="358"/>
      <c r="N240" s="313"/>
      <c r="O240" s="313"/>
      <c r="P240" s="374" t="str">
        <f t="shared" si="13"/>
        <v/>
      </c>
      <c r="Q240" s="314" t="str">
        <f t="shared" si="14"/>
        <v/>
      </c>
      <c r="R240" s="314" t="str" cm="1">
        <f t="array" aca="1" ref="R240" ca="1">_xlfn.IFNA(_xlfn.IFS(X240="Dit kostentype hoeft u niet op te geven. Hiervoor wordt een forfait berekend.","",AND(J240&lt;&gt;"",H240="Vast tarief",F240="Vergoeding"),SUM(J240)*FLOOR(SUM(L240),0.0001),AND(J240&lt;&gt;"",OR(H240="Uurtarief",H240="Vast tarief")),SUM(J240)*FLOOR(SUM(L240),0.01),AND(N240&lt;&gt;"",H240="-"),FLOOR(SUM(N240),0.01)),"")</f>
        <v/>
      </c>
      <c r="S240" s="314" t="str" cm="1">
        <f t="array" aca="1" ref="S240" ca="1">_xlfn.IFNA(_xlfn.IFS(X240="Dit kostentype hoeft u niet op te geven. Hiervoor wordt een forfait berekend.","",AND(K240&lt;&gt;"",M240&lt;&gt;"",H240="Vast tarief",F240="Vergoeding"),SUM(K240)*FLOOR(SUM(M240),0.0001),AND(K240&lt;&gt;"",M240&lt;&gt;"",OR(H240="Uurtarief",H240="Vast tarief")),SUM(K240)*FLOOR(SUM(M240),0.01),AND(O240&lt;&gt;"",H240="-"),FLOOR(SUM(O240),0.01)),"")</f>
        <v/>
      </c>
      <c r="T240" s="314" t="str">
        <f t="shared" ca="1" si="15"/>
        <v/>
      </c>
      <c r="U240" s="314" t="str" cm="1">
        <f t="array" aca="1" ref="U240" ca="1">IFERROR(_xlfn.IFS(OR(F240="",LEFT(Methode_Keuze,4)="Geen",Methode_Keuze=""),"",AND(R240&lt;&gt;"",F240&lt;&gt;"Arbeidskosten"),R240*VLOOKUP(F240,Tb_ProjectKosten[],MATCH(Tb_ProjectKosten[[#Headers],[Forfait_Percentage]],Tb_ProjectKosten[#Headers],0),0),AND(F240="Arbeidskosten",G240&lt;&gt;""),IFERROR(R240*VLOOKUP(G240,Tb_KostenTypen[],3,0)*VLOOKUP(F240,Tb_ProjectKosten[],MATCH(Tb_ProjectKosten[[#Headers],[Forfait_Percentage]],Tb_ProjectKosten[#Headers],0),0),""),R240 &lt;=0,0),"")</f>
        <v/>
      </c>
      <c r="V240" s="314" t="str" cm="1">
        <f t="array" aca="1" ref="V240" ca="1">IFERROR(_xlfn.IFS(OR(F240="",LEFT(Methode_Keuze,4)="Geen",Methode_Keuze=""),"",AND(S240&lt;&gt;"",F240&lt;&gt;"Arbeidskosten"),S240*VLOOKUP(F240,Tb_ProjectKosten[],MATCH(Tb_ProjectKosten[[#Headers],[Forfait_Percentage]],Tb_ProjectKosten[#Headers],0),0),AND(F240="Arbeidskosten",G240&lt;&gt;""),IFERROR(S240*VLOOKUP(G240,Tb_KostenTypen[],3,0)*VLOOKUP(F240,Tb_ProjectKosten[],MATCH(Tb_ProjectKosten[[#Headers],[Forfait_Percentage]],Tb_ProjectKosten[#Headers],0),0),""),S240 &lt;=0,0),"")</f>
        <v/>
      </c>
      <c r="W240" s="314" t="str">
        <f t="shared" ca="1" si="16"/>
        <v/>
      </c>
      <c r="X240" s="376" t="str">
        <f>IFERROR(VLOOKUP(F240,Tb_ProjectKosten[#All],11,0),"")</f>
        <v/>
      </c>
      <c r="Y240" s="315"/>
    </row>
    <row r="241" spans="1:25" x14ac:dyDescent="0.25">
      <c r="A241" s="309">
        <f>MAX($A$5:A240)+1</f>
        <v>236</v>
      </c>
      <c r="B241" s="296"/>
      <c r="C241" s="296"/>
      <c r="D241" s="296"/>
      <c r="E241" s="296"/>
      <c r="F241" s="296"/>
      <c r="G241" s="327"/>
      <c r="H241" s="310" t="str">
        <f ca="1">IFERROR(IF(VLOOKUP(F241,Kostentypen!$A$3:$E$21,3,0)=0,"",IF(OR(F241="Arbeidskosten",F241="Vergoeding"),VLOOKUP(G241,Tb_KostenTypen[],2,0),VLOOKUP(F241,Kostentypen!$A$3:$E$20,3,0))),"")</f>
        <v/>
      </c>
      <c r="I241" s="311"/>
      <c r="J241" s="312" t="str" cm="1">
        <f t="array" ref="J241">_xlfn.IFNA(IF(INDEX(Tb_KostenOpties[],MATCH($F241,Tb_KostenOpties[KostenOptie],0),IFERROR(MATCH(Methode_Keuze,Tb_KostenOpties[#Headers],0),2))=1,_xlfn.SWITCH($H241,"Uurtarief",IF(OR(AND(RIGHT($F241,3)="IKS",VLOOKUP($I241,Loonkosten,2,0)="Ja"),AND(RIGHT($F241,3)&lt;&gt;"IKS",VLOOKUP($I241,Loonkosten,2,0)="Nee")), VLOOKUP($I241,Loonkosten,MATCH("Opgegeven uurtarief",'4. Rekenhulp loonkosten aanvr.'!$4:$4,0)),0),"Vast tarief",IF(LEFT(F241,8)="Bijdrage",VLOOKUP($F241,Tb_KostenTypen[],MATCH(Lijsten!$P$1,Tb_KostenTypen[#Headers],0),0),VLOOKUP($G241,Lijsten!L:P,MATCH(Lijsten!$P$1,Kop_Tarief_Vast,0),0))),""),"")</f>
        <v/>
      </c>
      <c r="K241" s="312" t="str" cm="1">
        <f t="array" ref="K241">_xlfn.IFNA(IF(INDEX(Tb_KostenOpties[],MATCH($F241,Tb_KostenOpties[KostenOptie],0),IFERROR(MATCH(Methode_Keuze,Tb_KostenOpties[#Headers],0),2))=1,_xlfn.SWITCH($H241,"Uurtarief",IF(OR(AND(RIGHT($F241,3)="IKS",VLOOKUP($I241,Loonkosten,2,0)="Ja"),AND(RIGHT($F241,3)&lt;&gt;"IKS",VLOOKUP($I241,Loonkosten,2,0)="Nee")), VLOOKUP($I241,Loonkosten,MATCH("Beoordeeld uurtarief",'4. Rekenhulp loonkosten aanvr.'!$4:$4,0),0),0),"Vast tarief",IF(LEFT(F241,8)="Bijdrage",VLOOKUP($F241,Tb_KostenTypen[],MATCH(Lijsten!$P$1,Tb_KostenTypen[#Headers],0),0),VLOOKUP($G241,Lijsten!L:P,MATCH(Lijsten!$P$1,Kop_Tarief_Vast,0),0))),""),"")</f>
        <v/>
      </c>
      <c r="L241" s="358"/>
      <c r="M241" s="358"/>
      <c r="N241" s="313"/>
      <c r="O241" s="313"/>
      <c r="P241" s="374" t="str">
        <f t="shared" si="13"/>
        <v/>
      </c>
      <c r="Q241" s="314" t="str">
        <f t="shared" si="14"/>
        <v/>
      </c>
      <c r="R241" s="314" t="str" cm="1">
        <f t="array" aca="1" ref="R241" ca="1">_xlfn.IFNA(_xlfn.IFS(X241="Dit kostentype hoeft u niet op te geven. Hiervoor wordt een forfait berekend.","",AND(J241&lt;&gt;"",H241="Vast tarief",F241="Vergoeding"),SUM(J241)*FLOOR(SUM(L241),0.0001),AND(J241&lt;&gt;"",OR(H241="Uurtarief",H241="Vast tarief")),SUM(J241)*FLOOR(SUM(L241),0.01),AND(N241&lt;&gt;"",H241="-"),FLOOR(SUM(N241),0.01)),"")</f>
        <v/>
      </c>
      <c r="S241" s="314" t="str" cm="1">
        <f t="array" aca="1" ref="S241" ca="1">_xlfn.IFNA(_xlfn.IFS(X241="Dit kostentype hoeft u niet op te geven. Hiervoor wordt een forfait berekend.","",AND(K241&lt;&gt;"",M241&lt;&gt;"",H241="Vast tarief",F241="Vergoeding"),SUM(K241)*FLOOR(SUM(M241),0.0001),AND(K241&lt;&gt;"",M241&lt;&gt;"",OR(H241="Uurtarief",H241="Vast tarief")),SUM(K241)*FLOOR(SUM(M241),0.01),AND(O241&lt;&gt;"",H241="-"),FLOOR(SUM(O241),0.01)),"")</f>
        <v/>
      </c>
      <c r="T241" s="314" t="str">
        <f t="shared" ca="1" si="15"/>
        <v/>
      </c>
      <c r="U241" s="314" t="str" cm="1">
        <f t="array" aca="1" ref="U241" ca="1">IFERROR(_xlfn.IFS(OR(F241="",LEFT(Methode_Keuze,4)="Geen",Methode_Keuze=""),"",AND(R241&lt;&gt;"",F241&lt;&gt;"Arbeidskosten"),R241*VLOOKUP(F241,Tb_ProjectKosten[],MATCH(Tb_ProjectKosten[[#Headers],[Forfait_Percentage]],Tb_ProjectKosten[#Headers],0),0),AND(F241="Arbeidskosten",G241&lt;&gt;""),IFERROR(R241*VLOOKUP(G241,Tb_KostenTypen[],3,0)*VLOOKUP(F241,Tb_ProjectKosten[],MATCH(Tb_ProjectKosten[[#Headers],[Forfait_Percentage]],Tb_ProjectKosten[#Headers],0),0),""),R241 &lt;=0,0),"")</f>
        <v/>
      </c>
      <c r="V241" s="314" t="str" cm="1">
        <f t="array" aca="1" ref="V241" ca="1">IFERROR(_xlfn.IFS(OR(F241="",LEFT(Methode_Keuze,4)="Geen",Methode_Keuze=""),"",AND(S241&lt;&gt;"",F241&lt;&gt;"Arbeidskosten"),S241*VLOOKUP(F241,Tb_ProjectKosten[],MATCH(Tb_ProjectKosten[[#Headers],[Forfait_Percentage]],Tb_ProjectKosten[#Headers],0),0),AND(F241="Arbeidskosten",G241&lt;&gt;""),IFERROR(S241*VLOOKUP(G241,Tb_KostenTypen[],3,0)*VLOOKUP(F241,Tb_ProjectKosten[],MATCH(Tb_ProjectKosten[[#Headers],[Forfait_Percentage]],Tb_ProjectKosten[#Headers],0),0),""),S241 &lt;=0,0),"")</f>
        <v/>
      </c>
      <c r="W241" s="314" t="str">
        <f t="shared" ca="1" si="16"/>
        <v/>
      </c>
      <c r="X241" s="376" t="str">
        <f>IFERROR(VLOOKUP(F241,Tb_ProjectKosten[#All],11,0),"")</f>
        <v/>
      </c>
      <c r="Y241" s="315"/>
    </row>
    <row r="242" spans="1:25" x14ac:dyDescent="0.25">
      <c r="A242" s="309">
        <f>MAX($A$5:A241)+1</f>
        <v>237</v>
      </c>
      <c r="B242" s="296"/>
      <c r="C242" s="296"/>
      <c r="D242" s="296"/>
      <c r="E242" s="296"/>
      <c r="F242" s="296"/>
      <c r="G242" s="327"/>
      <c r="H242" s="310" t="str">
        <f ca="1">IFERROR(IF(VLOOKUP(F242,Kostentypen!$A$3:$E$21,3,0)=0,"",IF(OR(F242="Arbeidskosten",F242="Vergoeding"),VLOOKUP(G242,Tb_KostenTypen[],2,0),VLOOKUP(F242,Kostentypen!$A$3:$E$20,3,0))),"")</f>
        <v/>
      </c>
      <c r="I242" s="311"/>
      <c r="J242" s="312" t="str" cm="1">
        <f t="array" ref="J242">_xlfn.IFNA(IF(INDEX(Tb_KostenOpties[],MATCH($F242,Tb_KostenOpties[KostenOptie],0),IFERROR(MATCH(Methode_Keuze,Tb_KostenOpties[#Headers],0),2))=1,_xlfn.SWITCH($H242,"Uurtarief",IF(OR(AND(RIGHT($F242,3)="IKS",VLOOKUP($I242,Loonkosten,2,0)="Ja"),AND(RIGHT($F242,3)&lt;&gt;"IKS",VLOOKUP($I242,Loonkosten,2,0)="Nee")), VLOOKUP($I242,Loonkosten,MATCH("Opgegeven uurtarief",'4. Rekenhulp loonkosten aanvr.'!$4:$4,0)),0),"Vast tarief",IF(LEFT(F242,8)="Bijdrage",VLOOKUP($F242,Tb_KostenTypen[],MATCH(Lijsten!$P$1,Tb_KostenTypen[#Headers],0),0),VLOOKUP($G242,Lijsten!L:P,MATCH(Lijsten!$P$1,Kop_Tarief_Vast,0),0))),""),"")</f>
        <v/>
      </c>
      <c r="K242" s="312" t="str" cm="1">
        <f t="array" ref="K242">_xlfn.IFNA(IF(INDEX(Tb_KostenOpties[],MATCH($F242,Tb_KostenOpties[KostenOptie],0),IFERROR(MATCH(Methode_Keuze,Tb_KostenOpties[#Headers],0),2))=1,_xlfn.SWITCH($H242,"Uurtarief",IF(OR(AND(RIGHT($F242,3)="IKS",VLOOKUP($I242,Loonkosten,2,0)="Ja"),AND(RIGHT($F242,3)&lt;&gt;"IKS",VLOOKUP($I242,Loonkosten,2,0)="Nee")), VLOOKUP($I242,Loonkosten,MATCH("Beoordeeld uurtarief",'4. Rekenhulp loonkosten aanvr.'!$4:$4,0),0),0),"Vast tarief",IF(LEFT(F242,8)="Bijdrage",VLOOKUP($F242,Tb_KostenTypen[],MATCH(Lijsten!$P$1,Tb_KostenTypen[#Headers],0),0),VLOOKUP($G242,Lijsten!L:P,MATCH(Lijsten!$P$1,Kop_Tarief_Vast,0),0))),""),"")</f>
        <v/>
      </c>
      <c r="L242" s="358"/>
      <c r="M242" s="358"/>
      <c r="N242" s="313"/>
      <c r="O242" s="313"/>
      <c r="P242" s="374" t="str">
        <f t="shared" si="13"/>
        <v/>
      </c>
      <c r="Q242" s="314" t="str">
        <f t="shared" si="14"/>
        <v/>
      </c>
      <c r="R242" s="314" t="str" cm="1">
        <f t="array" aca="1" ref="R242" ca="1">_xlfn.IFNA(_xlfn.IFS(X242="Dit kostentype hoeft u niet op te geven. Hiervoor wordt een forfait berekend.","",AND(J242&lt;&gt;"",H242="Vast tarief",F242="Vergoeding"),SUM(J242)*FLOOR(SUM(L242),0.0001),AND(J242&lt;&gt;"",OR(H242="Uurtarief",H242="Vast tarief")),SUM(J242)*FLOOR(SUM(L242),0.01),AND(N242&lt;&gt;"",H242="-"),FLOOR(SUM(N242),0.01)),"")</f>
        <v/>
      </c>
      <c r="S242" s="314" t="str" cm="1">
        <f t="array" aca="1" ref="S242" ca="1">_xlfn.IFNA(_xlfn.IFS(X242="Dit kostentype hoeft u niet op te geven. Hiervoor wordt een forfait berekend.","",AND(K242&lt;&gt;"",M242&lt;&gt;"",H242="Vast tarief",F242="Vergoeding"),SUM(K242)*FLOOR(SUM(M242),0.0001),AND(K242&lt;&gt;"",M242&lt;&gt;"",OR(H242="Uurtarief",H242="Vast tarief")),SUM(K242)*FLOOR(SUM(M242),0.01),AND(O242&lt;&gt;"",H242="-"),FLOOR(SUM(O242),0.01)),"")</f>
        <v/>
      </c>
      <c r="T242" s="314" t="str">
        <f t="shared" ca="1" si="15"/>
        <v/>
      </c>
      <c r="U242" s="314" t="str" cm="1">
        <f t="array" aca="1" ref="U242" ca="1">IFERROR(_xlfn.IFS(OR(F242="",LEFT(Methode_Keuze,4)="Geen",Methode_Keuze=""),"",AND(R242&lt;&gt;"",F242&lt;&gt;"Arbeidskosten"),R242*VLOOKUP(F242,Tb_ProjectKosten[],MATCH(Tb_ProjectKosten[[#Headers],[Forfait_Percentage]],Tb_ProjectKosten[#Headers],0),0),AND(F242="Arbeidskosten",G242&lt;&gt;""),IFERROR(R242*VLOOKUP(G242,Tb_KostenTypen[],3,0)*VLOOKUP(F242,Tb_ProjectKosten[],MATCH(Tb_ProjectKosten[[#Headers],[Forfait_Percentage]],Tb_ProjectKosten[#Headers],0),0),""),R242 &lt;=0,0),"")</f>
        <v/>
      </c>
      <c r="V242" s="314" t="str" cm="1">
        <f t="array" aca="1" ref="V242" ca="1">IFERROR(_xlfn.IFS(OR(F242="",LEFT(Methode_Keuze,4)="Geen",Methode_Keuze=""),"",AND(S242&lt;&gt;"",F242&lt;&gt;"Arbeidskosten"),S242*VLOOKUP(F242,Tb_ProjectKosten[],MATCH(Tb_ProjectKosten[[#Headers],[Forfait_Percentage]],Tb_ProjectKosten[#Headers],0),0),AND(F242="Arbeidskosten",G242&lt;&gt;""),IFERROR(S242*VLOOKUP(G242,Tb_KostenTypen[],3,0)*VLOOKUP(F242,Tb_ProjectKosten[],MATCH(Tb_ProjectKosten[[#Headers],[Forfait_Percentage]],Tb_ProjectKosten[#Headers],0),0),""),S242 &lt;=0,0),"")</f>
        <v/>
      </c>
      <c r="W242" s="314" t="str">
        <f t="shared" ca="1" si="16"/>
        <v/>
      </c>
      <c r="X242" s="376" t="str">
        <f>IFERROR(VLOOKUP(F242,Tb_ProjectKosten[#All],11,0),"")</f>
        <v/>
      </c>
      <c r="Y242" s="315"/>
    </row>
    <row r="243" spans="1:25" x14ac:dyDescent="0.25">
      <c r="A243" s="309">
        <f>MAX($A$5:A242)+1</f>
        <v>238</v>
      </c>
      <c r="B243" s="296"/>
      <c r="C243" s="296"/>
      <c r="D243" s="296"/>
      <c r="E243" s="296"/>
      <c r="F243" s="296"/>
      <c r="G243" s="327"/>
      <c r="H243" s="310" t="str">
        <f ca="1">IFERROR(IF(VLOOKUP(F243,Kostentypen!$A$3:$E$21,3,0)=0,"",IF(OR(F243="Arbeidskosten",F243="Vergoeding"),VLOOKUP(G243,Tb_KostenTypen[],2,0),VLOOKUP(F243,Kostentypen!$A$3:$E$20,3,0))),"")</f>
        <v/>
      </c>
      <c r="I243" s="311"/>
      <c r="J243" s="312" t="str" cm="1">
        <f t="array" ref="J243">_xlfn.IFNA(IF(INDEX(Tb_KostenOpties[],MATCH($F243,Tb_KostenOpties[KostenOptie],0),IFERROR(MATCH(Methode_Keuze,Tb_KostenOpties[#Headers],0),2))=1,_xlfn.SWITCH($H243,"Uurtarief",IF(OR(AND(RIGHT($F243,3)="IKS",VLOOKUP($I243,Loonkosten,2,0)="Ja"),AND(RIGHT($F243,3)&lt;&gt;"IKS",VLOOKUP($I243,Loonkosten,2,0)="Nee")), VLOOKUP($I243,Loonkosten,MATCH("Opgegeven uurtarief",'4. Rekenhulp loonkosten aanvr.'!$4:$4,0)),0),"Vast tarief",IF(LEFT(F243,8)="Bijdrage",VLOOKUP($F243,Tb_KostenTypen[],MATCH(Lijsten!$P$1,Tb_KostenTypen[#Headers],0),0),VLOOKUP($G243,Lijsten!L:P,MATCH(Lijsten!$P$1,Kop_Tarief_Vast,0),0))),""),"")</f>
        <v/>
      </c>
      <c r="K243" s="312" t="str" cm="1">
        <f t="array" ref="K243">_xlfn.IFNA(IF(INDEX(Tb_KostenOpties[],MATCH($F243,Tb_KostenOpties[KostenOptie],0),IFERROR(MATCH(Methode_Keuze,Tb_KostenOpties[#Headers],0),2))=1,_xlfn.SWITCH($H243,"Uurtarief",IF(OR(AND(RIGHT($F243,3)="IKS",VLOOKUP($I243,Loonkosten,2,0)="Ja"),AND(RIGHT($F243,3)&lt;&gt;"IKS",VLOOKUP($I243,Loonkosten,2,0)="Nee")), VLOOKUP($I243,Loonkosten,MATCH("Beoordeeld uurtarief",'4. Rekenhulp loonkosten aanvr.'!$4:$4,0),0),0),"Vast tarief",IF(LEFT(F243,8)="Bijdrage",VLOOKUP($F243,Tb_KostenTypen[],MATCH(Lijsten!$P$1,Tb_KostenTypen[#Headers],0),0),VLOOKUP($G243,Lijsten!L:P,MATCH(Lijsten!$P$1,Kop_Tarief_Vast,0),0))),""),"")</f>
        <v/>
      </c>
      <c r="L243" s="358"/>
      <c r="M243" s="358"/>
      <c r="N243" s="313"/>
      <c r="O243" s="313"/>
      <c r="P243" s="374" t="str">
        <f t="shared" si="13"/>
        <v/>
      </c>
      <c r="Q243" s="314" t="str">
        <f t="shared" si="14"/>
        <v/>
      </c>
      <c r="R243" s="314" t="str" cm="1">
        <f t="array" aca="1" ref="R243" ca="1">_xlfn.IFNA(_xlfn.IFS(X243="Dit kostentype hoeft u niet op te geven. Hiervoor wordt een forfait berekend.","",AND(J243&lt;&gt;"",H243="Vast tarief",F243="Vergoeding"),SUM(J243)*FLOOR(SUM(L243),0.0001),AND(J243&lt;&gt;"",OR(H243="Uurtarief",H243="Vast tarief")),SUM(J243)*FLOOR(SUM(L243),0.01),AND(N243&lt;&gt;"",H243="-"),FLOOR(SUM(N243),0.01)),"")</f>
        <v/>
      </c>
      <c r="S243" s="314" t="str" cm="1">
        <f t="array" aca="1" ref="S243" ca="1">_xlfn.IFNA(_xlfn.IFS(X243="Dit kostentype hoeft u niet op te geven. Hiervoor wordt een forfait berekend.","",AND(K243&lt;&gt;"",M243&lt;&gt;"",H243="Vast tarief",F243="Vergoeding"),SUM(K243)*FLOOR(SUM(M243),0.0001),AND(K243&lt;&gt;"",M243&lt;&gt;"",OR(H243="Uurtarief",H243="Vast tarief")),SUM(K243)*FLOOR(SUM(M243),0.01),AND(O243&lt;&gt;"",H243="-"),FLOOR(SUM(O243),0.01)),"")</f>
        <v/>
      </c>
      <c r="T243" s="314" t="str">
        <f t="shared" ca="1" si="15"/>
        <v/>
      </c>
      <c r="U243" s="314" t="str" cm="1">
        <f t="array" aca="1" ref="U243" ca="1">IFERROR(_xlfn.IFS(OR(F243="",LEFT(Methode_Keuze,4)="Geen",Methode_Keuze=""),"",AND(R243&lt;&gt;"",F243&lt;&gt;"Arbeidskosten"),R243*VLOOKUP(F243,Tb_ProjectKosten[],MATCH(Tb_ProjectKosten[[#Headers],[Forfait_Percentage]],Tb_ProjectKosten[#Headers],0),0),AND(F243="Arbeidskosten",G243&lt;&gt;""),IFERROR(R243*VLOOKUP(G243,Tb_KostenTypen[],3,0)*VLOOKUP(F243,Tb_ProjectKosten[],MATCH(Tb_ProjectKosten[[#Headers],[Forfait_Percentage]],Tb_ProjectKosten[#Headers],0),0),""),R243 &lt;=0,0),"")</f>
        <v/>
      </c>
      <c r="V243" s="314" t="str" cm="1">
        <f t="array" aca="1" ref="V243" ca="1">IFERROR(_xlfn.IFS(OR(F243="",LEFT(Methode_Keuze,4)="Geen",Methode_Keuze=""),"",AND(S243&lt;&gt;"",F243&lt;&gt;"Arbeidskosten"),S243*VLOOKUP(F243,Tb_ProjectKosten[],MATCH(Tb_ProjectKosten[[#Headers],[Forfait_Percentage]],Tb_ProjectKosten[#Headers],0),0),AND(F243="Arbeidskosten",G243&lt;&gt;""),IFERROR(S243*VLOOKUP(G243,Tb_KostenTypen[],3,0)*VLOOKUP(F243,Tb_ProjectKosten[],MATCH(Tb_ProjectKosten[[#Headers],[Forfait_Percentage]],Tb_ProjectKosten[#Headers],0),0),""),S243 &lt;=0,0),"")</f>
        <v/>
      </c>
      <c r="W243" s="314" t="str">
        <f t="shared" ca="1" si="16"/>
        <v/>
      </c>
      <c r="X243" s="376" t="str">
        <f>IFERROR(VLOOKUP(F243,Tb_ProjectKosten[#All],11,0),"")</f>
        <v/>
      </c>
      <c r="Y243" s="315"/>
    </row>
    <row r="244" spans="1:25" x14ac:dyDescent="0.25">
      <c r="A244" s="309">
        <f>MAX($A$5:A243)+1</f>
        <v>239</v>
      </c>
      <c r="B244" s="296"/>
      <c r="C244" s="296"/>
      <c r="D244" s="296"/>
      <c r="E244" s="296"/>
      <c r="F244" s="296"/>
      <c r="G244" s="327"/>
      <c r="H244" s="310" t="str">
        <f ca="1">IFERROR(IF(VLOOKUP(F244,Kostentypen!$A$3:$E$21,3,0)=0,"",IF(OR(F244="Arbeidskosten",F244="Vergoeding"),VLOOKUP(G244,Tb_KostenTypen[],2,0),VLOOKUP(F244,Kostentypen!$A$3:$E$20,3,0))),"")</f>
        <v/>
      </c>
      <c r="I244" s="311"/>
      <c r="J244" s="312" t="str" cm="1">
        <f t="array" ref="J244">_xlfn.IFNA(IF(INDEX(Tb_KostenOpties[],MATCH($F244,Tb_KostenOpties[KostenOptie],0),IFERROR(MATCH(Methode_Keuze,Tb_KostenOpties[#Headers],0),2))=1,_xlfn.SWITCH($H244,"Uurtarief",IF(OR(AND(RIGHT($F244,3)="IKS",VLOOKUP($I244,Loonkosten,2,0)="Ja"),AND(RIGHT($F244,3)&lt;&gt;"IKS",VLOOKUP($I244,Loonkosten,2,0)="Nee")), VLOOKUP($I244,Loonkosten,MATCH("Opgegeven uurtarief",'4. Rekenhulp loonkosten aanvr.'!$4:$4,0)),0),"Vast tarief",IF(LEFT(F244,8)="Bijdrage",VLOOKUP($F244,Tb_KostenTypen[],MATCH(Lijsten!$P$1,Tb_KostenTypen[#Headers],0),0),VLOOKUP($G244,Lijsten!L:P,MATCH(Lijsten!$P$1,Kop_Tarief_Vast,0),0))),""),"")</f>
        <v/>
      </c>
      <c r="K244" s="312" t="str" cm="1">
        <f t="array" ref="K244">_xlfn.IFNA(IF(INDEX(Tb_KostenOpties[],MATCH($F244,Tb_KostenOpties[KostenOptie],0),IFERROR(MATCH(Methode_Keuze,Tb_KostenOpties[#Headers],0),2))=1,_xlfn.SWITCH($H244,"Uurtarief",IF(OR(AND(RIGHT($F244,3)="IKS",VLOOKUP($I244,Loonkosten,2,0)="Ja"),AND(RIGHT($F244,3)&lt;&gt;"IKS",VLOOKUP($I244,Loonkosten,2,0)="Nee")), VLOOKUP($I244,Loonkosten,MATCH("Beoordeeld uurtarief",'4. Rekenhulp loonkosten aanvr.'!$4:$4,0),0),0),"Vast tarief",IF(LEFT(F244,8)="Bijdrage",VLOOKUP($F244,Tb_KostenTypen[],MATCH(Lijsten!$P$1,Tb_KostenTypen[#Headers],0),0),VLOOKUP($G244,Lijsten!L:P,MATCH(Lijsten!$P$1,Kop_Tarief_Vast,0),0))),""),"")</f>
        <v/>
      </c>
      <c r="L244" s="358"/>
      <c r="M244" s="358"/>
      <c r="N244" s="313"/>
      <c r="O244" s="313"/>
      <c r="P244" s="374" t="str">
        <f t="shared" si="13"/>
        <v/>
      </c>
      <c r="Q244" s="314" t="str">
        <f t="shared" si="14"/>
        <v/>
      </c>
      <c r="R244" s="314" t="str" cm="1">
        <f t="array" aca="1" ref="R244" ca="1">_xlfn.IFNA(_xlfn.IFS(X244="Dit kostentype hoeft u niet op te geven. Hiervoor wordt een forfait berekend.","",AND(J244&lt;&gt;"",H244="Vast tarief",F244="Vergoeding"),SUM(J244)*FLOOR(SUM(L244),0.0001),AND(J244&lt;&gt;"",OR(H244="Uurtarief",H244="Vast tarief")),SUM(J244)*FLOOR(SUM(L244),0.01),AND(N244&lt;&gt;"",H244="-"),FLOOR(SUM(N244),0.01)),"")</f>
        <v/>
      </c>
      <c r="S244" s="314" t="str" cm="1">
        <f t="array" aca="1" ref="S244" ca="1">_xlfn.IFNA(_xlfn.IFS(X244="Dit kostentype hoeft u niet op te geven. Hiervoor wordt een forfait berekend.","",AND(K244&lt;&gt;"",M244&lt;&gt;"",H244="Vast tarief",F244="Vergoeding"),SUM(K244)*FLOOR(SUM(M244),0.0001),AND(K244&lt;&gt;"",M244&lt;&gt;"",OR(H244="Uurtarief",H244="Vast tarief")),SUM(K244)*FLOOR(SUM(M244),0.01),AND(O244&lt;&gt;"",H244="-"),FLOOR(SUM(O244),0.01)),"")</f>
        <v/>
      </c>
      <c r="T244" s="314" t="str">
        <f t="shared" ca="1" si="15"/>
        <v/>
      </c>
      <c r="U244" s="314" t="str" cm="1">
        <f t="array" aca="1" ref="U244" ca="1">IFERROR(_xlfn.IFS(OR(F244="",LEFT(Methode_Keuze,4)="Geen",Methode_Keuze=""),"",AND(R244&lt;&gt;"",F244&lt;&gt;"Arbeidskosten"),R244*VLOOKUP(F244,Tb_ProjectKosten[],MATCH(Tb_ProjectKosten[[#Headers],[Forfait_Percentage]],Tb_ProjectKosten[#Headers],0),0),AND(F244="Arbeidskosten",G244&lt;&gt;""),IFERROR(R244*VLOOKUP(G244,Tb_KostenTypen[],3,0)*VLOOKUP(F244,Tb_ProjectKosten[],MATCH(Tb_ProjectKosten[[#Headers],[Forfait_Percentage]],Tb_ProjectKosten[#Headers],0),0),""),R244 &lt;=0,0),"")</f>
        <v/>
      </c>
      <c r="V244" s="314" t="str" cm="1">
        <f t="array" aca="1" ref="V244" ca="1">IFERROR(_xlfn.IFS(OR(F244="",LEFT(Methode_Keuze,4)="Geen",Methode_Keuze=""),"",AND(S244&lt;&gt;"",F244&lt;&gt;"Arbeidskosten"),S244*VLOOKUP(F244,Tb_ProjectKosten[],MATCH(Tb_ProjectKosten[[#Headers],[Forfait_Percentage]],Tb_ProjectKosten[#Headers],0),0),AND(F244="Arbeidskosten",G244&lt;&gt;""),IFERROR(S244*VLOOKUP(G244,Tb_KostenTypen[],3,0)*VLOOKUP(F244,Tb_ProjectKosten[],MATCH(Tb_ProjectKosten[[#Headers],[Forfait_Percentage]],Tb_ProjectKosten[#Headers],0),0),""),S244 &lt;=0,0),"")</f>
        <v/>
      </c>
      <c r="W244" s="314" t="str">
        <f t="shared" ca="1" si="16"/>
        <v/>
      </c>
      <c r="X244" s="376" t="str">
        <f>IFERROR(VLOOKUP(F244,Tb_ProjectKosten[#All],11,0),"")</f>
        <v/>
      </c>
      <c r="Y244" s="315"/>
    </row>
    <row r="245" spans="1:25" x14ac:dyDescent="0.25">
      <c r="A245" s="309">
        <f>MAX($A$5:A244)+1</f>
        <v>240</v>
      </c>
      <c r="B245" s="296"/>
      <c r="C245" s="296"/>
      <c r="D245" s="296"/>
      <c r="E245" s="296"/>
      <c r="F245" s="296"/>
      <c r="G245" s="327"/>
      <c r="H245" s="310" t="str">
        <f ca="1">IFERROR(IF(VLOOKUP(F245,Kostentypen!$A$3:$E$21,3,0)=0,"",IF(OR(F245="Arbeidskosten",F245="Vergoeding"),VLOOKUP(G245,Tb_KostenTypen[],2,0),VLOOKUP(F245,Kostentypen!$A$3:$E$20,3,0))),"")</f>
        <v/>
      </c>
      <c r="I245" s="311"/>
      <c r="J245" s="312" t="str" cm="1">
        <f t="array" ref="J245">_xlfn.IFNA(IF(INDEX(Tb_KostenOpties[],MATCH($F245,Tb_KostenOpties[KostenOptie],0),IFERROR(MATCH(Methode_Keuze,Tb_KostenOpties[#Headers],0),2))=1,_xlfn.SWITCH($H245,"Uurtarief",IF(OR(AND(RIGHT($F245,3)="IKS",VLOOKUP($I245,Loonkosten,2,0)="Ja"),AND(RIGHT($F245,3)&lt;&gt;"IKS",VLOOKUP($I245,Loonkosten,2,0)="Nee")), VLOOKUP($I245,Loonkosten,MATCH("Opgegeven uurtarief",'4. Rekenhulp loonkosten aanvr.'!$4:$4,0)),0),"Vast tarief",IF(LEFT(F245,8)="Bijdrage",VLOOKUP($F245,Tb_KostenTypen[],MATCH(Lijsten!$P$1,Tb_KostenTypen[#Headers],0),0),VLOOKUP($G245,Lijsten!L:P,MATCH(Lijsten!$P$1,Kop_Tarief_Vast,0),0))),""),"")</f>
        <v/>
      </c>
      <c r="K245" s="312" t="str" cm="1">
        <f t="array" ref="K245">_xlfn.IFNA(IF(INDEX(Tb_KostenOpties[],MATCH($F245,Tb_KostenOpties[KostenOptie],0),IFERROR(MATCH(Methode_Keuze,Tb_KostenOpties[#Headers],0),2))=1,_xlfn.SWITCH($H245,"Uurtarief",IF(OR(AND(RIGHT($F245,3)="IKS",VLOOKUP($I245,Loonkosten,2,0)="Ja"),AND(RIGHT($F245,3)&lt;&gt;"IKS",VLOOKUP($I245,Loonkosten,2,0)="Nee")), VLOOKUP($I245,Loonkosten,MATCH("Beoordeeld uurtarief",'4. Rekenhulp loonkosten aanvr.'!$4:$4,0),0),0),"Vast tarief",IF(LEFT(F245,8)="Bijdrage",VLOOKUP($F245,Tb_KostenTypen[],MATCH(Lijsten!$P$1,Tb_KostenTypen[#Headers],0),0),VLOOKUP($G245,Lijsten!L:P,MATCH(Lijsten!$P$1,Kop_Tarief_Vast,0),0))),""),"")</f>
        <v/>
      </c>
      <c r="L245" s="358"/>
      <c r="M245" s="358"/>
      <c r="N245" s="313"/>
      <c r="O245" s="313"/>
      <c r="P245" s="374" t="str">
        <f t="shared" si="13"/>
        <v/>
      </c>
      <c r="Q245" s="314" t="str">
        <f t="shared" si="14"/>
        <v/>
      </c>
      <c r="R245" s="314" t="str" cm="1">
        <f t="array" aca="1" ref="R245" ca="1">_xlfn.IFNA(_xlfn.IFS(X245="Dit kostentype hoeft u niet op te geven. Hiervoor wordt een forfait berekend.","",AND(J245&lt;&gt;"",H245="Vast tarief",F245="Vergoeding"),SUM(J245)*FLOOR(SUM(L245),0.0001),AND(J245&lt;&gt;"",OR(H245="Uurtarief",H245="Vast tarief")),SUM(J245)*FLOOR(SUM(L245),0.01),AND(N245&lt;&gt;"",H245="-"),FLOOR(SUM(N245),0.01)),"")</f>
        <v/>
      </c>
      <c r="S245" s="314" t="str" cm="1">
        <f t="array" aca="1" ref="S245" ca="1">_xlfn.IFNA(_xlfn.IFS(X245="Dit kostentype hoeft u niet op te geven. Hiervoor wordt een forfait berekend.","",AND(K245&lt;&gt;"",M245&lt;&gt;"",H245="Vast tarief",F245="Vergoeding"),SUM(K245)*FLOOR(SUM(M245),0.0001),AND(K245&lt;&gt;"",M245&lt;&gt;"",OR(H245="Uurtarief",H245="Vast tarief")),SUM(K245)*FLOOR(SUM(M245),0.01),AND(O245&lt;&gt;"",H245="-"),FLOOR(SUM(O245),0.01)),"")</f>
        <v/>
      </c>
      <c r="T245" s="314" t="str">
        <f t="shared" ca="1" si="15"/>
        <v/>
      </c>
      <c r="U245" s="314" t="str" cm="1">
        <f t="array" aca="1" ref="U245" ca="1">IFERROR(_xlfn.IFS(OR(F245="",LEFT(Methode_Keuze,4)="Geen",Methode_Keuze=""),"",AND(R245&lt;&gt;"",F245&lt;&gt;"Arbeidskosten"),R245*VLOOKUP(F245,Tb_ProjectKosten[],MATCH(Tb_ProjectKosten[[#Headers],[Forfait_Percentage]],Tb_ProjectKosten[#Headers],0),0),AND(F245="Arbeidskosten",G245&lt;&gt;""),IFERROR(R245*VLOOKUP(G245,Tb_KostenTypen[],3,0)*VLOOKUP(F245,Tb_ProjectKosten[],MATCH(Tb_ProjectKosten[[#Headers],[Forfait_Percentage]],Tb_ProjectKosten[#Headers],0),0),""),R245 &lt;=0,0),"")</f>
        <v/>
      </c>
      <c r="V245" s="314" t="str" cm="1">
        <f t="array" aca="1" ref="V245" ca="1">IFERROR(_xlfn.IFS(OR(F245="",LEFT(Methode_Keuze,4)="Geen",Methode_Keuze=""),"",AND(S245&lt;&gt;"",F245&lt;&gt;"Arbeidskosten"),S245*VLOOKUP(F245,Tb_ProjectKosten[],MATCH(Tb_ProjectKosten[[#Headers],[Forfait_Percentage]],Tb_ProjectKosten[#Headers],0),0),AND(F245="Arbeidskosten",G245&lt;&gt;""),IFERROR(S245*VLOOKUP(G245,Tb_KostenTypen[],3,0)*VLOOKUP(F245,Tb_ProjectKosten[],MATCH(Tb_ProjectKosten[[#Headers],[Forfait_Percentage]],Tb_ProjectKosten[#Headers],0),0),""),S245 &lt;=0,0),"")</f>
        <v/>
      </c>
      <c r="W245" s="314" t="str">
        <f t="shared" ca="1" si="16"/>
        <v/>
      </c>
      <c r="X245" s="376" t="str">
        <f>IFERROR(VLOOKUP(F245,Tb_ProjectKosten[#All],11,0),"")</f>
        <v/>
      </c>
      <c r="Y245" s="315"/>
    </row>
    <row r="246" spans="1:25" x14ac:dyDescent="0.25">
      <c r="A246" s="309">
        <f>MAX($A$5:A245)+1</f>
        <v>241</v>
      </c>
      <c r="B246" s="296"/>
      <c r="C246" s="296"/>
      <c r="D246" s="296"/>
      <c r="E246" s="296"/>
      <c r="F246" s="296"/>
      <c r="G246" s="327"/>
      <c r="H246" s="310" t="str">
        <f ca="1">IFERROR(IF(VLOOKUP(F246,Kostentypen!$A$3:$E$21,3,0)=0,"",IF(OR(F246="Arbeidskosten",F246="Vergoeding"),VLOOKUP(G246,Tb_KostenTypen[],2,0),VLOOKUP(F246,Kostentypen!$A$3:$E$20,3,0))),"")</f>
        <v/>
      </c>
      <c r="I246" s="311"/>
      <c r="J246" s="312" t="str" cm="1">
        <f t="array" ref="J246">_xlfn.IFNA(IF(INDEX(Tb_KostenOpties[],MATCH($F246,Tb_KostenOpties[KostenOptie],0),IFERROR(MATCH(Methode_Keuze,Tb_KostenOpties[#Headers],0),2))=1,_xlfn.SWITCH($H246,"Uurtarief",IF(OR(AND(RIGHT($F246,3)="IKS",VLOOKUP($I246,Loonkosten,2,0)="Ja"),AND(RIGHT($F246,3)&lt;&gt;"IKS",VLOOKUP($I246,Loonkosten,2,0)="Nee")), VLOOKUP($I246,Loonkosten,MATCH("Opgegeven uurtarief",'4. Rekenhulp loonkosten aanvr.'!$4:$4,0)),0),"Vast tarief",IF(LEFT(F246,8)="Bijdrage",VLOOKUP($F246,Tb_KostenTypen[],MATCH(Lijsten!$P$1,Tb_KostenTypen[#Headers],0),0),VLOOKUP($G246,Lijsten!L:P,MATCH(Lijsten!$P$1,Kop_Tarief_Vast,0),0))),""),"")</f>
        <v/>
      </c>
      <c r="K246" s="312" t="str" cm="1">
        <f t="array" ref="K246">_xlfn.IFNA(IF(INDEX(Tb_KostenOpties[],MATCH($F246,Tb_KostenOpties[KostenOptie],0),IFERROR(MATCH(Methode_Keuze,Tb_KostenOpties[#Headers],0),2))=1,_xlfn.SWITCH($H246,"Uurtarief",IF(OR(AND(RIGHT($F246,3)="IKS",VLOOKUP($I246,Loonkosten,2,0)="Ja"),AND(RIGHT($F246,3)&lt;&gt;"IKS",VLOOKUP($I246,Loonkosten,2,0)="Nee")), VLOOKUP($I246,Loonkosten,MATCH("Beoordeeld uurtarief",'4. Rekenhulp loonkosten aanvr.'!$4:$4,0),0),0),"Vast tarief",IF(LEFT(F246,8)="Bijdrage",VLOOKUP($F246,Tb_KostenTypen[],MATCH(Lijsten!$P$1,Tb_KostenTypen[#Headers],0),0),VLOOKUP($G246,Lijsten!L:P,MATCH(Lijsten!$P$1,Kop_Tarief_Vast,0),0))),""),"")</f>
        <v/>
      </c>
      <c r="L246" s="358"/>
      <c r="M246" s="358"/>
      <c r="N246" s="313"/>
      <c r="O246" s="313"/>
      <c r="P246" s="374" t="str">
        <f t="shared" si="13"/>
        <v/>
      </c>
      <c r="Q246" s="314" t="str">
        <f t="shared" si="14"/>
        <v/>
      </c>
      <c r="R246" s="314" t="str" cm="1">
        <f t="array" aca="1" ref="R246" ca="1">_xlfn.IFNA(_xlfn.IFS(X246="Dit kostentype hoeft u niet op te geven. Hiervoor wordt een forfait berekend.","",AND(J246&lt;&gt;"",H246="Vast tarief",F246="Vergoeding"),SUM(J246)*FLOOR(SUM(L246),0.0001),AND(J246&lt;&gt;"",OR(H246="Uurtarief",H246="Vast tarief")),SUM(J246)*FLOOR(SUM(L246),0.01),AND(N246&lt;&gt;"",H246="-"),FLOOR(SUM(N246),0.01)),"")</f>
        <v/>
      </c>
      <c r="S246" s="314" t="str" cm="1">
        <f t="array" aca="1" ref="S246" ca="1">_xlfn.IFNA(_xlfn.IFS(X246="Dit kostentype hoeft u niet op te geven. Hiervoor wordt een forfait berekend.","",AND(K246&lt;&gt;"",M246&lt;&gt;"",H246="Vast tarief",F246="Vergoeding"),SUM(K246)*FLOOR(SUM(M246),0.0001),AND(K246&lt;&gt;"",M246&lt;&gt;"",OR(H246="Uurtarief",H246="Vast tarief")),SUM(K246)*FLOOR(SUM(M246),0.01),AND(O246&lt;&gt;"",H246="-"),FLOOR(SUM(O246),0.01)),"")</f>
        <v/>
      </c>
      <c r="T246" s="314" t="str">
        <f t="shared" ca="1" si="15"/>
        <v/>
      </c>
      <c r="U246" s="314" t="str" cm="1">
        <f t="array" aca="1" ref="U246" ca="1">IFERROR(_xlfn.IFS(OR(F246="",LEFT(Methode_Keuze,4)="Geen",Methode_Keuze=""),"",AND(R246&lt;&gt;"",F246&lt;&gt;"Arbeidskosten"),R246*VLOOKUP(F246,Tb_ProjectKosten[],MATCH(Tb_ProjectKosten[[#Headers],[Forfait_Percentage]],Tb_ProjectKosten[#Headers],0),0),AND(F246="Arbeidskosten",G246&lt;&gt;""),IFERROR(R246*VLOOKUP(G246,Tb_KostenTypen[],3,0)*VLOOKUP(F246,Tb_ProjectKosten[],MATCH(Tb_ProjectKosten[[#Headers],[Forfait_Percentage]],Tb_ProjectKosten[#Headers],0),0),""),R246 &lt;=0,0),"")</f>
        <v/>
      </c>
      <c r="V246" s="314" t="str" cm="1">
        <f t="array" aca="1" ref="V246" ca="1">IFERROR(_xlfn.IFS(OR(F246="",LEFT(Methode_Keuze,4)="Geen",Methode_Keuze=""),"",AND(S246&lt;&gt;"",F246&lt;&gt;"Arbeidskosten"),S246*VLOOKUP(F246,Tb_ProjectKosten[],MATCH(Tb_ProjectKosten[[#Headers],[Forfait_Percentage]],Tb_ProjectKosten[#Headers],0),0),AND(F246="Arbeidskosten",G246&lt;&gt;""),IFERROR(S246*VLOOKUP(G246,Tb_KostenTypen[],3,0)*VLOOKUP(F246,Tb_ProjectKosten[],MATCH(Tb_ProjectKosten[[#Headers],[Forfait_Percentage]],Tb_ProjectKosten[#Headers],0),0),""),S246 &lt;=0,0),"")</f>
        <v/>
      </c>
      <c r="W246" s="314" t="str">
        <f t="shared" ca="1" si="16"/>
        <v/>
      </c>
      <c r="X246" s="376" t="str">
        <f>IFERROR(VLOOKUP(F246,Tb_ProjectKosten[#All],11,0),"")</f>
        <v/>
      </c>
      <c r="Y246" s="315"/>
    </row>
    <row r="247" spans="1:25" x14ac:dyDescent="0.25">
      <c r="A247" s="309">
        <f>MAX($A$5:A246)+1</f>
        <v>242</v>
      </c>
      <c r="B247" s="296"/>
      <c r="C247" s="296"/>
      <c r="D247" s="296"/>
      <c r="E247" s="296"/>
      <c r="F247" s="296"/>
      <c r="G247" s="327"/>
      <c r="H247" s="310" t="str">
        <f ca="1">IFERROR(IF(VLOOKUP(F247,Kostentypen!$A$3:$E$21,3,0)=0,"",IF(OR(F247="Arbeidskosten",F247="Vergoeding"),VLOOKUP(G247,Tb_KostenTypen[],2,0),VLOOKUP(F247,Kostentypen!$A$3:$E$20,3,0))),"")</f>
        <v/>
      </c>
      <c r="I247" s="311"/>
      <c r="J247" s="312" t="str" cm="1">
        <f t="array" ref="J247">_xlfn.IFNA(IF(INDEX(Tb_KostenOpties[],MATCH($F247,Tb_KostenOpties[KostenOptie],0),IFERROR(MATCH(Methode_Keuze,Tb_KostenOpties[#Headers],0),2))=1,_xlfn.SWITCH($H247,"Uurtarief",IF(OR(AND(RIGHT($F247,3)="IKS",VLOOKUP($I247,Loonkosten,2,0)="Ja"),AND(RIGHT($F247,3)&lt;&gt;"IKS",VLOOKUP($I247,Loonkosten,2,0)="Nee")), VLOOKUP($I247,Loonkosten,MATCH("Opgegeven uurtarief",'4. Rekenhulp loonkosten aanvr.'!$4:$4,0)),0),"Vast tarief",IF(LEFT(F247,8)="Bijdrage",VLOOKUP($F247,Tb_KostenTypen[],MATCH(Lijsten!$P$1,Tb_KostenTypen[#Headers],0),0),VLOOKUP($G247,Lijsten!L:P,MATCH(Lijsten!$P$1,Kop_Tarief_Vast,0),0))),""),"")</f>
        <v/>
      </c>
      <c r="K247" s="312" t="str" cm="1">
        <f t="array" ref="K247">_xlfn.IFNA(IF(INDEX(Tb_KostenOpties[],MATCH($F247,Tb_KostenOpties[KostenOptie],0),IFERROR(MATCH(Methode_Keuze,Tb_KostenOpties[#Headers],0),2))=1,_xlfn.SWITCH($H247,"Uurtarief",IF(OR(AND(RIGHT($F247,3)="IKS",VLOOKUP($I247,Loonkosten,2,0)="Ja"),AND(RIGHT($F247,3)&lt;&gt;"IKS",VLOOKUP($I247,Loonkosten,2,0)="Nee")), VLOOKUP($I247,Loonkosten,MATCH("Beoordeeld uurtarief",'4. Rekenhulp loonkosten aanvr.'!$4:$4,0),0),0),"Vast tarief",IF(LEFT(F247,8)="Bijdrage",VLOOKUP($F247,Tb_KostenTypen[],MATCH(Lijsten!$P$1,Tb_KostenTypen[#Headers],0),0),VLOOKUP($G247,Lijsten!L:P,MATCH(Lijsten!$P$1,Kop_Tarief_Vast,0),0))),""),"")</f>
        <v/>
      </c>
      <c r="L247" s="358"/>
      <c r="M247" s="358"/>
      <c r="N247" s="313"/>
      <c r="O247" s="313"/>
      <c r="P247" s="374" t="str">
        <f t="shared" si="13"/>
        <v/>
      </c>
      <c r="Q247" s="314" t="str">
        <f t="shared" si="14"/>
        <v/>
      </c>
      <c r="R247" s="314" t="str" cm="1">
        <f t="array" aca="1" ref="R247" ca="1">_xlfn.IFNA(_xlfn.IFS(X247="Dit kostentype hoeft u niet op te geven. Hiervoor wordt een forfait berekend.","",AND(J247&lt;&gt;"",H247="Vast tarief",F247="Vergoeding"),SUM(J247)*FLOOR(SUM(L247),0.0001),AND(J247&lt;&gt;"",OR(H247="Uurtarief",H247="Vast tarief")),SUM(J247)*FLOOR(SUM(L247),0.01),AND(N247&lt;&gt;"",H247="-"),FLOOR(SUM(N247),0.01)),"")</f>
        <v/>
      </c>
      <c r="S247" s="314" t="str" cm="1">
        <f t="array" aca="1" ref="S247" ca="1">_xlfn.IFNA(_xlfn.IFS(X247="Dit kostentype hoeft u niet op te geven. Hiervoor wordt een forfait berekend.","",AND(K247&lt;&gt;"",M247&lt;&gt;"",H247="Vast tarief",F247="Vergoeding"),SUM(K247)*FLOOR(SUM(M247),0.0001),AND(K247&lt;&gt;"",M247&lt;&gt;"",OR(H247="Uurtarief",H247="Vast tarief")),SUM(K247)*FLOOR(SUM(M247),0.01),AND(O247&lt;&gt;"",H247="-"),FLOOR(SUM(O247),0.01)),"")</f>
        <v/>
      </c>
      <c r="T247" s="314" t="str">
        <f t="shared" ca="1" si="15"/>
        <v/>
      </c>
      <c r="U247" s="314" t="str" cm="1">
        <f t="array" aca="1" ref="U247" ca="1">IFERROR(_xlfn.IFS(OR(F247="",LEFT(Methode_Keuze,4)="Geen",Methode_Keuze=""),"",AND(R247&lt;&gt;"",F247&lt;&gt;"Arbeidskosten"),R247*VLOOKUP(F247,Tb_ProjectKosten[],MATCH(Tb_ProjectKosten[[#Headers],[Forfait_Percentage]],Tb_ProjectKosten[#Headers],0),0),AND(F247="Arbeidskosten",G247&lt;&gt;""),IFERROR(R247*VLOOKUP(G247,Tb_KostenTypen[],3,0)*VLOOKUP(F247,Tb_ProjectKosten[],MATCH(Tb_ProjectKosten[[#Headers],[Forfait_Percentage]],Tb_ProjectKosten[#Headers],0),0),""),R247 &lt;=0,0),"")</f>
        <v/>
      </c>
      <c r="V247" s="314" t="str" cm="1">
        <f t="array" aca="1" ref="V247" ca="1">IFERROR(_xlfn.IFS(OR(F247="",LEFT(Methode_Keuze,4)="Geen",Methode_Keuze=""),"",AND(S247&lt;&gt;"",F247&lt;&gt;"Arbeidskosten"),S247*VLOOKUP(F247,Tb_ProjectKosten[],MATCH(Tb_ProjectKosten[[#Headers],[Forfait_Percentage]],Tb_ProjectKosten[#Headers],0),0),AND(F247="Arbeidskosten",G247&lt;&gt;""),IFERROR(S247*VLOOKUP(G247,Tb_KostenTypen[],3,0)*VLOOKUP(F247,Tb_ProjectKosten[],MATCH(Tb_ProjectKosten[[#Headers],[Forfait_Percentage]],Tb_ProjectKosten[#Headers],0),0),""),S247 &lt;=0,0),"")</f>
        <v/>
      </c>
      <c r="W247" s="314" t="str">
        <f t="shared" ca="1" si="16"/>
        <v/>
      </c>
      <c r="X247" s="376" t="str">
        <f>IFERROR(VLOOKUP(F247,Tb_ProjectKosten[#All],11,0),"")</f>
        <v/>
      </c>
      <c r="Y247" s="315"/>
    </row>
    <row r="248" spans="1:25" x14ac:dyDescent="0.25">
      <c r="A248" s="309">
        <f>MAX($A$5:A247)+1</f>
        <v>243</v>
      </c>
      <c r="B248" s="296"/>
      <c r="C248" s="296"/>
      <c r="D248" s="296"/>
      <c r="E248" s="296"/>
      <c r="F248" s="296"/>
      <c r="G248" s="327"/>
      <c r="H248" s="310" t="str">
        <f ca="1">IFERROR(IF(VLOOKUP(F248,Kostentypen!$A$3:$E$21,3,0)=0,"",IF(OR(F248="Arbeidskosten",F248="Vergoeding"),VLOOKUP(G248,Tb_KostenTypen[],2,0),VLOOKUP(F248,Kostentypen!$A$3:$E$20,3,0))),"")</f>
        <v/>
      </c>
      <c r="I248" s="311"/>
      <c r="J248" s="312" t="str" cm="1">
        <f t="array" ref="J248">_xlfn.IFNA(IF(INDEX(Tb_KostenOpties[],MATCH($F248,Tb_KostenOpties[KostenOptie],0),IFERROR(MATCH(Methode_Keuze,Tb_KostenOpties[#Headers],0),2))=1,_xlfn.SWITCH($H248,"Uurtarief",IF(OR(AND(RIGHT($F248,3)="IKS",VLOOKUP($I248,Loonkosten,2,0)="Ja"),AND(RIGHT($F248,3)&lt;&gt;"IKS",VLOOKUP($I248,Loonkosten,2,0)="Nee")), VLOOKUP($I248,Loonkosten,MATCH("Opgegeven uurtarief",'4. Rekenhulp loonkosten aanvr.'!$4:$4,0)),0),"Vast tarief",IF(LEFT(F248,8)="Bijdrage",VLOOKUP($F248,Tb_KostenTypen[],MATCH(Lijsten!$P$1,Tb_KostenTypen[#Headers],0),0),VLOOKUP($G248,Lijsten!L:P,MATCH(Lijsten!$P$1,Kop_Tarief_Vast,0),0))),""),"")</f>
        <v/>
      </c>
      <c r="K248" s="312" t="str" cm="1">
        <f t="array" ref="K248">_xlfn.IFNA(IF(INDEX(Tb_KostenOpties[],MATCH($F248,Tb_KostenOpties[KostenOptie],0),IFERROR(MATCH(Methode_Keuze,Tb_KostenOpties[#Headers],0),2))=1,_xlfn.SWITCH($H248,"Uurtarief",IF(OR(AND(RIGHT($F248,3)="IKS",VLOOKUP($I248,Loonkosten,2,0)="Ja"),AND(RIGHT($F248,3)&lt;&gt;"IKS",VLOOKUP($I248,Loonkosten,2,0)="Nee")), VLOOKUP($I248,Loonkosten,MATCH("Beoordeeld uurtarief",'4. Rekenhulp loonkosten aanvr.'!$4:$4,0),0),0),"Vast tarief",IF(LEFT(F248,8)="Bijdrage",VLOOKUP($F248,Tb_KostenTypen[],MATCH(Lijsten!$P$1,Tb_KostenTypen[#Headers],0),0),VLOOKUP($G248,Lijsten!L:P,MATCH(Lijsten!$P$1,Kop_Tarief_Vast,0),0))),""),"")</f>
        <v/>
      </c>
      <c r="L248" s="358"/>
      <c r="M248" s="358"/>
      <c r="N248" s="313"/>
      <c r="O248" s="313"/>
      <c r="P248" s="374" t="str">
        <f t="shared" si="13"/>
        <v/>
      </c>
      <c r="Q248" s="314" t="str">
        <f t="shared" si="14"/>
        <v/>
      </c>
      <c r="R248" s="314" t="str" cm="1">
        <f t="array" aca="1" ref="R248" ca="1">_xlfn.IFNA(_xlfn.IFS(X248="Dit kostentype hoeft u niet op te geven. Hiervoor wordt een forfait berekend.","",AND(J248&lt;&gt;"",H248="Vast tarief",F248="Vergoeding"),SUM(J248)*FLOOR(SUM(L248),0.0001),AND(J248&lt;&gt;"",OR(H248="Uurtarief",H248="Vast tarief")),SUM(J248)*FLOOR(SUM(L248),0.01),AND(N248&lt;&gt;"",H248="-"),FLOOR(SUM(N248),0.01)),"")</f>
        <v/>
      </c>
      <c r="S248" s="314" t="str" cm="1">
        <f t="array" aca="1" ref="S248" ca="1">_xlfn.IFNA(_xlfn.IFS(X248="Dit kostentype hoeft u niet op te geven. Hiervoor wordt een forfait berekend.","",AND(K248&lt;&gt;"",M248&lt;&gt;"",H248="Vast tarief",F248="Vergoeding"),SUM(K248)*FLOOR(SUM(M248),0.0001),AND(K248&lt;&gt;"",M248&lt;&gt;"",OR(H248="Uurtarief",H248="Vast tarief")),SUM(K248)*FLOOR(SUM(M248),0.01),AND(O248&lt;&gt;"",H248="-"),FLOOR(SUM(O248),0.01)),"")</f>
        <v/>
      </c>
      <c r="T248" s="314" t="str">
        <f t="shared" ca="1" si="15"/>
        <v/>
      </c>
      <c r="U248" s="314" t="str" cm="1">
        <f t="array" aca="1" ref="U248" ca="1">IFERROR(_xlfn.IFS(OR(F248="",LEFT(Methode_Keuze,4)="Geen",Methode_Keuze=""),"",AND(R248&lt;&gt;"",F248&lt;&gt;"Arbeidskosten"),R248*VLOOKUP(F248,Tb_ProjectKosten[],MATCH(Tb_ProjectKosten[[#Headers],[Forfait_Percentage]],Tb_ProjectKosten[#Headers],0),0),AND(F248="Arbeidskosten",G248&lt;&gt;""),IFERROR(R248*VLOOKUP(G248,Tb_KostenTypen[],3,0)*VLOOKUP(F248,Tb_ProjectKosten[],MATCH(Tb_ProjectKosten[[#Headers],[Forfait_Percentage]],Tb_ProjectKosten[#Headers],0),0),""),R248 &lt;=0,0),"")</f>
        <v/>
      </c>
      <c r="V248" s="314" t="str" cm="1">
        <f t="array" aca="1" ref="V248" ca="1">IFERROR(_xlfn.IFS(OR(F248="",LEFT(Methode_Keuze,4)="Geen",Methode_Keuze=""),"",AND(S248&lt;&gt;"",F248&lt;&gt;"Arbeidskosten"),S248*VLOOKUP(F248,Tb_ProjectKosten[],MATCH(Tb_ProjectKosten[[#Headers],[Forfait_Percentage]],Tb_ProjectKosten[#Headers],0),0),AND(F248="Arbeidskosten",G248&lt;&gt;""),IFERROR(S248*VLOOKUP(G248,Tb_KostenTypen[],3,0)*VLOOKUP(F248,Tb_ProjectKosten[],MATCH(Tb_ProjectKosten[[#Headers],[Forfait_Percentage]],Tb_ProjectKosten[#Headers],0),0),""),S248 &lt;=0,0),"")</f>
        <v/>
      </c>
      <c r="W248" s="314" t="str">
        <f t="shared" ca="1" si="16"/>
        <v/>
      </c>
      <c r="X248" s="376" t="str">
        <f>IFERROR(VLOOKUP(F248,Tb_ProjectKosten[#All],11,0),"")</f>
        <v/>
      </c>
      <c r="Y248" s="315"/>
    </row>
    <row r="249" spans="1:25" x14ac:dyDescent="0.25">
      <c r="A249" s="309">
        <f>MAX($A$5:A248)+1</f>
        <v>244</v>
      </c>
      <c r="B249" s="296"/>
      <c r="C249" s="296"/>
      <c r="D249" s="296"/>
      <c r="E249" s="296"/>
      <c r="F249" s="296"/>
      <c r="G249" s="327"/>
      <c r="H249" s="310" t="str">
        <f ca="1">IFERROR(IF(VLOOKUP(F249,Kostentypen!$A$3:$E$21,3,0)=0,"",IF(OR(F249="Arbeidskosten",F249="Vergoeding"),VLOOKUP(G249,Tb_KostenTypen[],2,0),VLOOKUP(F249,Kostentypen!$A$3:$E$20,3,0))),"")</f>
        <v/>
      </c>
      <c r="I249" s="311"/>
      <c r="J249" s="312" t="str" cm="1">
        <f t="array" ref="J249">_xlfn.IFNA(IF(INDEX(Tb_KostenOpties[],MATCH($F249,Tb_KostenOpties[KostenOptie],0),IFERROR(MATCH(Methode_Keuze,Tb_KostenOpties[#Headers],0),2))=1,_xlfn.SWITCH($H249,"Uurtarief",IF(OR(AND(RIGHT($F249,3)="IKS",VLOOKUP($I249,Loonkosten,2,0)="Ja"),AND(RIGHT($F249,3)&lt;&gt;"IKS",VLOOKUP($I249,Loonkosten,2,0)="Nee")), VLOOKUP($I249,Loonkosten,MATCH("Opgegeven uurtarief",'4. Rekenhulp loonkosten aanvr.'!$4:$4,0)),0),"Vast tarief",IF(LEFT(F249,8)="Bijdrage",VLOOKUP($F249,Tb_KostenTypen[],MATCH(Lijsten!$P$1,Tb_KostenTypen[#Headers],0),0),VLOOKUP($G249,Lijsten!L:P,MATCH(Lijsten!$P$1,Kop_Tarief_Vast,0),0))),""),"")</f>
        <v/>
      </c>
      <c r="K249" s="312" t="str" cm="1">
        <f t="array" ref="K249">_xlfn.IFNA(IF(INDEX(Tb_KostenOpties[],MATCH($F249,Tb_KostenOpties[KostenOptie],0),IFERROR(MATCH(Methode_Keuze,Tb_KostenOpties[#Headers],0),2))=1,_xlfn.SWITCH($H249,"Uurtarief",IF(OR(AND(RIGHT($F249,3)="IKS",VLOOKUP($I249,Loonkosten,2,0)="Ja"),AND(RIGHT($F249,3)&lt;&gt;"IKS",VLOOKUP($I249,Loonkosten,2,0)="Nee")), VLOOKUP($I249,Loonkosten,MATCH("Beoordeeld uurtarief",'4. Rekenhulp loonkosten aanvr.'!$4:$4,0),0),0),"Vast tarief",IF(LEFT(F249,8)="Bijdrage",VLOOKUP($F249,Tb_KostenTypen[],MATCH(Lijsten!$P$1,Tb_KostenTypen[#Headers],0),0),VLOOKUP($G249,Lijsten!L:P,MATCH(Lijsten!$P$1,Kop_Tarief_Vast,0),0))),""),"")</f>
        <v/>
      </c>
      <c r="L249" s="358"/>
      <c r="M249" s="358"/>
      <c r="N249" s="313"/>
      <c r="O249" s="313"/>
      <c r="P249" s="374" t="str">
        <f t="shared" si="13"/>
        <v/>
      </c>
      <c r="Q249" s="314" t="str">
        <f t="shared" si="14"/>
        <v/>
      </c>
      <c r="R249" s="314" t="str" cm="1">
        <f t="array" aca="1" ref="R249" ca="1">_xlfn.IFNA(_xlfn.IFS(X249="Dit kostentype hoeft u niet op te geven. Hiervoor wordt een forfait berekend.","",AND(J249&lt;&gt;"",H249="Vast tarief",F249="Vergoeding"),SUM(J249)*FLOOR(SUM(L249),0.0001),AND(J249&lt;&gt;"",OR(H249="Uurtarief",H249="Vast tarief")),SUM(J249)*FLOOR(SUM(L249),0.01),AND(N249&lt;&gt;"",H249="-"),FLOOR(SUM(N249),0.01)),"")</f>
        <v/>
      </c>
      <c r="S249" s="314" t="str" cm="1">
        <f t="array" aca="1" ref="S249" ca="1">_xlfn.IFNA(_xlfn.IFS(X249="Dit kostentype hoeft u niet op te geven. Hiervoor wordt een forfait berekend.","",AND(K249&lt;&gt;"",M249&lt;&gt;"",H249="Vast tarief",F249="Vergoeding"),SUM(K249)*FLOOR(SUM(M249),0.0001),AND(K249&lt;&gt;"",M249&lt;&gt;"",OR(H249="Uurtarief",H249="Vast tarief")),SUM(K249)*FLOOR(SUM(M249),0.01),AND(O249&lt;&gt;"",H249="-"),FLOOR(SUM(O249),0.01)),"")</f>
        <v/>
      </c>
      <c r="T249" s="314" t="str">
        <f t="shared" ca="1" si="15"/>
        <v/>
      </c>
      <c r="U249" s="314" t="str" cm="1">
        <f t="array" aca="1" ref="U249" ca="1">IFERROR(_xlfn.IFS(OR(F249="",LEFT(Methode_Keuze,4)="Geen",Methode_Keuze=""),"",AND(R249&lt;&gt;"",F249&lt;&gt;"Arbeidskosten"),R249*VLOOKUP(F249,Tb_ProjectKosten[],MATCH(Tb_ProjectKosten[[#Headers],[Forfait_Percentage]],Tb_ProjectKosten[#Headers],0),0),AND(F249="Arbeidskosten",G249&lt;&gt;""),IFERROR(R249*VLOOKUP(G249,Tb_KostenTypen[],3,0)*VLOOKUP(F249,Tb_ProjectKosten[],MATCH(Tb_ProjectKosten[[#Headers],[Forfait_Percentage]],Tb_ProjectKosten[#Headers],0),0),""),R249 &lt;=0,0),"")</f>
        <v/>
      </c>
      <c r="V249" s="314" t="str" cm="1">
        <f t="array" aca="1" ref="V249" ca="1">IFERROR(_xlfn.IFS(OR(F249="",LEFT(Methode_Keuze,4)="Geen",Methode_Keuze=""),"",AND(S249&lt;&gt;"",F249&lt;&gt;"Arbeidskosten"),S249*VLOOKUP(F249,Tb_ProjectKosten[],MATCH(Tb_ProjectKosten[[#Headers],[Forfait_Percentage]],Tb_ProjectKosten[#Headers],0),0),AND(F249="Arbeidskosten",G249&lt;&gt;""),IFERROR(S249*VLOOKUP(G249,Tb_KostenTypen[],3,0)*VLOOKUP(F249,Tb_ProjectKosten[],MATCH(Tb_ProjectKosten[[#Headers],[Forfait_Percentage]],Tb_ProjectKosten[#Headers],0),0),""),S249 &lt;=0,0),"")</f>
        <v/>
      </c>
      <c r="W249" s="314" t="str">
        <f t="shared" ca="1" si="16"/>
        <v/>
      </c>
      <c r="X249" s="376" t="str">
        <f>IFERROR(VLOOKUP(F249,Tb_ProjectKosten[#All],11,0),"")</f>
        <v/>
      </c>
      <c r="Y249" s="315"/>
    </row>
    <row r="250" spans="1:25" x14ac:dyDescent="0.25">
      <c r="A250" s="309">
        <f>MAX($A$5:A249)+1</f>
        <v>245</v>
      </c>
      <c r="B250" s="296"/>
      <c r="C250" s="296"/>
      <c r="D250" s="296"/>
      <c r="E250" s="296"/>
      <c r="F250" s="296"/>
      <c r="G250" s="327"/>
      <c r="H250" s="310" t="str">
        <f ca="1">IFERROR(IF(VLOOKUP(F250,Kostentypen!$A$3:$E$21,3,0)=0,"",IF(OR(F250="Arbeidskosten",F250="Vergoeding"),VLOOKUP(G250,Tb_KostenTypen[],2,0),VLOOKUP(F250,Kostentypen!$A$3:$E$20,3,0))),"")</f>
        <v/>
      </c>
      <c r="I250" s="311"/>
      <c r="J250" s="312" t="str" cm="1">
        <f t="array" ref="J250">_xlfn.IFNA(IF(INDEX(Tb_KostenOpties[],MATCH($F250,Tb_KostenOpties[KostenOptie],0),IFERROR(MATCH(Methode_Keuze,Tb_KostenOpties[#Headers],0),2))=1,_xlfn.SWITCH($H250,"Uurtarief",IF(OR(AND(RIGHT($F250,3)="IKS",VLOOKUP($I250,Loonkosten,2,0)="Ja"),AND(RIGHT($F250,3)&lt;&gt;"IKS",VLOOKUP($I250,Loonkosten,2,0)="Nee")), VLOOKUP($I250,Loonkosten,MATCH("Opgegeven uurtarief",'4. Rekenhulp loonkosten aanvr.'!$4:$4,0)),0),"Vast tarief",IF(LEFT(F250,8)="Bijdrage",VLOOKUP($F250,Tb_KostenTypen[],MATCH(Lijsten!$P$1,Tb_KostenTypen[#Headers],0),0),VLOOKUP($G250,Lijsten!L:P,MATCH(Lijsten!$P$1,Kop_Tarief_Vast,0),0))),""),"")</f>
        <v/>
      </c>
      <c r="K250" s="312" t="str" cm="1">
        <f t="array" ref="K250">_xlfn.IFNA(IF(INDEX(Tb_KostenOpties[],MATCH($F250,Tb_KostenOpties[KostenOptie],0),IFERROR(MATCH(Methode_Keuze,Tb_KostenOpties[#Headers],0),2))=1,_xlfn.SWITCH($H250,"Uurtarief",IF(OR(AND(RIGHT($F250,3)="IKS",VLOOKUP($I250,Loonkosten,2,0)="Ja"),AND(RIGHT($F250,3)&lt;&gt;"IKS",VLOOKUP($I250,Loonkosten,2,0)="Nee")), VLOOKUP($I250,Loonkosten,MATCH("Beoordeeld uurtarief",'4. Rekenhulp loonkosten aanvr.'!$4:$4,0),0),0),"Vast tarief",IF(LEFT(F250,8)="Bijdrage",VLOOKUP($F250,Tb_KostenTypen[],MATCH(Lijsten!$P$1,Tb_KostenTypen[#Headers],0),0),VLOOKUP($G250,Lijsten!L:P,MATCH(Lijsten!$P$1,Kop_Tarief_Vast,0),0))),""),"")</f>
        <v/>
      </c>
      <c r="L250" s="358"/>
      <c r="M250" s="358"/>
      <c r="N250" s="313"/>
      <c r="O250" s="313"/>
      <c r="P250" s="374" t="str">
        <f t="shared" si="13"/>
        <v/>
      </c>
      <c r="Q250" s="314" t="str">
        <f t="shared" si="14"/>
        <v/>
      </c>
      <c r="R250" s="314" t="str" cm="1">
        <f t="array" aca="1" ref="R250" ca="1">_xlfn.IFNA(_xlfn.IFS(X250="Dit kostentype hoeft u niet op te geven. Hiervoor wordt een forfait berekend.","",AND(J250&lt;&gt;"",H250="Vast tarief",F250="Vergoeding"),SUM(J250)*FLOOR(SUM(L250),0.0001),AND(J250&lt;&gt;"",OR(H250="Uurtarief",H250="Vast tarief")),SUM(J250)*FLOOR(SUM(L250),0.01),AND(N250&lt;&gt;"",H250="-"),FLOOR(SUM(N250),0.01)),"")</f>
        <v/>
      </c>
      <c r="S250" s="314" t="str" cm="1">
        <f t="array" aca="1" ref="S250" ca="1">_xlfn.IFNA(_xlfn.IFS(X250="Dit kostentype hoeft u niet op te geven. Hiervoor wordt een forfait berekend.","",AND(K250&lt;&gt;"",M250&lt;&gt;"",H250="Vast tarief",F250="Vergoeding"),SUM(K250)*FLOOR(SUM(M250),0.0001),AND(K250&lt;&gt;"",M250&lt;&gt;"",OR(H250="Uurtarief",H250="Vast tarief")),SUM(K250)*FLOOR(SUM(M250),0.01),AND(O250&lt;&gt;"",H250="-"),FLOOR(SUM(O250),0.01)),"")</f>
        <v/>
      </c>
      <c r="T250" s="314" t="str">
        <f t="shared" ca="1" si="15"/>
        <v/>
      </c>
      <c r="U250" s="314" t="str" cm="1">
        <f t="array" aca="1" ref="U250" ca="1">IFERROR(_xlfn.IFS(OR(F250="",LEFT(Methode_Keuze,4)="Geen",Methode_Keuze=""),"",AND(R250&lt;&gt;"",F250&lt;&gt;"Arbeidskosten"),R250*VLOOKUP(F250,Tb_ProjectKosten[],MATCH(Tb_ProjectKosten[[#Headers],[Forfait_Percentage]],Tb_ProjectKosten[#Headers],0),0),AND(F250="Arbeidskosten",G250&lt;&gt;""),IFERROR(R250*VLOOKUP(G250,Tb_KostenTypen[],3,0)*VLOOKUP(F250,Tb_ProjectKosten[],MATCH(Tb_ProjectKosten[[#Headers],[Forfait_Percentage]],Tb_ProjectKosten[#Headers],0),0),""),R250 &lt;=0,0),"")</f>
        <v/>
      </c>
      <c r="V250" s="314" t="str" cm="1">
        <f t="array" aca="1" ref="V250" ca="1">IFERROR(_xlfn.IFS(OR(F250="",LEFT(Methode_Keuze,4)="Geen",Methode_Keuze=""),"",AND(S250&lt;&gt;"",F250&lt;&gt;"Arbeidskosten"),S250*VLOOKUP(F250,Tb_ProjectKosten[],MATCH(Tb_ProjectKosten[[#Headers],[Forfait_Percentage]],Tb_ProjectKosten[#Headers],0),0),AND(F250="Arbeidskosten",G250&lt;&gt;""),IFERROR(S250*VLOOKUP(G250,Tb_KostenTypen[],3,0)*VLOOKUP(F250,Tb_ProjectKosten[],MATCH(Tb_ProjectKosten[[#Headers],[Forfait_Percentage]],Tb_ProjectKosten[#Headers],0),0),""),S250 &lt;=0,0),"")</f>
        <v/>
      </c>
      <c r="W250" s="314" t="str">
        <f t="shared" ca="1" si="16"/>
        <v/>
      </c>
      <c r="X250" s="376" t="str">
        <f>IFERROR(VLOOKUP(F250,Tb_ProjectKosten[#All],11,0),"")</f>
        <v/>
      </c>
      <c r="Y250" s="315"/>
    </row>
    <row r="251" spans="1:25" ht="15" customHeight="1" x14ac:dyDescent="0.25">
      <c r="A251" s="24" t="s">
        <v>57</v>
      </c>
      <c r="B251" s="24"/>
      <c r="T251" s="314" t="str">
        <f t="shared" ref="T251" si="17">IFERROR(IF(AND(S251&lt;&gt;"",S251&lt;&gt;R251),-1*(S251-R251),""),"")</f>
        <v/>
      </c>
      <c r="W251" s="314" t="str">
        <f t="shared" ref="W251" si="18">IFERROR(IF(AND(V251&lt;&gt;"",V251&lt;&gt;U251),-1*(V251-U251),""),"")</f>
        <v/>
      </c>
    </row>
  </sheetData>
  <sheetProtection algorithmName="SHA-512" hashValue="VumAYgK/jOXUXC2yQ3+719e854/5SlGsb7Tzr7WtfSWSNQ535sza68k6mrfwqhi3+L4kzmccNlV2ApmqcYV2cA==" saltValue="Iakp5MjH0ZKelZN1gKKZRA==" spinCount="100000" sheet="1" objects="1" scenarios="1"/>
  <mergeCells count="10">
    <mergeCell ref="Y3:Y5"/>
    <mergeCell ref="I3:I5"/>
    <mergeCell ref="J3:K4"/>
    <mergeCell ref="L3:M4"/>
    <mergeCell ref="N3:O4"/>
    <mergeCell ref="X3:X5"/>
    <mergeCell ref="R3:T3"/>
    <mergeCell ref="U3:W3"/>
    <mergeCell ref="P3:P4"/>
    <mergeCell ref="Q3:Q4"/>
  </mergeCells>
  <phoneticPr fontId="4" type="noConversion"/>
  <conditionalFormatting sqref="B6:B250 D6:D250">
    <cfRule type="expression" dxfId="149" priority="116">
      <formula>AND($S6&lt;&gt;"",$S6&lt;&gt;0,$B6="")</formula>
    </cfRule>
  </conditionalFormatting>
  <conditionalFormatting sqref="C6:C250">
    <cfRule type="expression" dxfId="148" priority="115">
      <formula>AND($S6&lt;&gt;"",$S6&lt;&gt;0,$C6="")</formula>
    </cfRule>
  </conditionalFormatting>
  <conditionalFormatting sqref="E6:E250">
    <cfRule type="expression" dxfId="147" priority="117">
      <formula>AND($S6&lt;&gt;"",$S6&lt;&gt;0,$E6="")</formula>
    </cfRule>
  </conditionalFormatting>
  <conditionalFormatting sqref="G6:G250">
    <cfRule type="expression" dxfId="145" priority="30">
      <formula>$F6="Vergoeding"</formula>
    </cfRule>
    <cfRule type="expression" dxfId="144" priority="32" stopIfTrue="1">
      <formula>AND($H6&lt;&gt;"",$H6&lt;&gt;"Uurtarief",$H6&lt;&gt;"Vast tarief")</formula>
    </cfRule>
    <cfRule type="expression" dxfId="143" priority="37" stopIfTrue="1">
      <formula>AND($F6&lt;&gt;"",LEFT($C$2,15)="Kies een bereken'")</formula>
    </cfRule>
    <cfRule type="expression" dxfId="142" priority="41" stopIfTrue="1">
      <formula>$X6&lt;&gt;""</formula>
    </cfRule>
    <cfRule type="expression" dxfId="141" priority="25">
      <formula>$F6="Arbeidskosten"</formula>
    </cfRule>
    <cfRule type="expression" dxfId="140" priority="26">
      <formula>IFERROR(FIND("vast tarief",$F6),0)&gt;0</formula>
    </cfRule>
  </conditionalFormatting>
  <conditionalFormatting sqref="H6:H250 J6:K250">
    <cfRule type="expression" dxfId="139" priority="31">
      <formula>RIGHT($H6,6)="tarief"</formula>
    </cfRule>
  </conditionalFormatting>
  <conditionalFormatting sqref="I6:I250">
    <cfRule type="expression" dxfId="138" priority="64" stopIfTrue="1">
      <formula>OR(AND(RIGHT($H6,6)="tarief",$F6="Vergoeding",$G6&lt;&gt;""),AND(RIGHT($H6,6)="tarief",LEFT($H6,4)&lt;&gt;"Vast"))</formula>
    </cfRule>
  </conditionalFormatting>
  <conditionalFormatting sqref="I6:M250">
    <cfRule type="expression" dxfId="137" priority="121" stopIfTrue="1">
      <formula>AND($H6&lt;&gt;"",$H6&lt;&gt;"Uurtarief",$H6&lt;&gt;"Vast tarief")</formula>
    </cfRule>
    <cfRule type="expression" dxfId="136" priority="122" stopIfTrue="1">
      <formula>AND($F6&lt;&gt;"",LEFT($C$2,15)="Kies een bereken'")</formula>
    </cfRule>
    <cfRule type="expression" dxfId="135" priority="123" stopIfTrue="1">
      <formula>$X6&lt;&gt;""</formula>
    </cfRule>
  </conditionalFormatting>
  <conditionalFormatting sqref="J6:K250">
    <cfRule type="expression" dxfId="134" priority="119" stopIfTrue="1">
      <formula>AND($D6&lt;&gt;"",$C$2="Kies een berekeningsmethode op tabblad 'Begrotingsoverzicht'")</formula>
    </cfRule>
    <cfRule type="expression" dxfId="133" priority="120" stopIfTrue="1">
      <formula>$O6="Dit kostentype hoeft u niet op te geven. Hiervoor wordt een forfait berekend."</formula>
    </cfRule>
    <cfRule type="expression" dxfId="132" priority="133" stopIfTrue="1">
      <formula>AND($D6&lt;&gt;"",$C$2="Kies een berekeningsmethode op tabblad 'Begrotingsoverzicht'")</formula>
    </cfRule>
  </conditionalFormatting>
  <conditionalFormatting sqref="L6:M250">
    <cfRule type="expression" dxfId="131" priority="29">
      <formula>OR($H6="Uurtarief",$H6="Vast tarief")</formula>
    </cfRule>
    <cfRule type="expression" dxfId="130" priority="24" stopIfTrue="1">
      <formula>AND(RIGHT($H6,6)="tarief",$F6="Vergoeding",$G6&lt;&gt;"")</formula>
    </cfRule>
  </conditionalFormatting>
  <conditionalFormatting sqref="L6:W250">
    <cfRule type="expression" dxfId="129" priority="11">
      <formula>$X6&lt;&gt;""</formula>
    </cfRule>
  </conditionalFormatting>
  <conditionalFormatting sqref="N6:O250">
    <cfRule type="expression" dxfId="128" priority="118" stopIfTrue="1">
      <formula>$H6="-"</formula>
    </cfRule>
  </conditionalFormatting>
  <conditionalFormatting sqref="P6:P250">
    <cfRule type="expression" dxfId="127" priority="2">
      <formula>AND(RIGHT($H6,6)="tarief",$F6="Vergoeding",$G6&lt;&gt;"")</formula>
    </cfRule>
    <cfRule type="expression" dxfId="126" priority="6" stopIfTrue="1">
      <formula>AND(OR($H6="Uurtarief",$H6="Vast tarief"),$P6&lt;0)</formula>
    </cfRule>
    <cfRule type="expression" dxfId="125" priority="7">
      <formula>OR($H6="Uurtarief",$H6="Vast tarief")</formula>
    </cfRule>
    <cfRule type="expression" dxfId="124" priority="8" stopIfTrue="1">
      <formula>AND($H6&lt;&gt;"",$H6&lt;&gt;"Uurtarief",$H6&lt;&gt;"Vast tarief")</formula>
    </cfRule>
    <cfRule type="expression" dxfId="123" priority="9" stopIfTrue="1">
      <formula>AND($F6&lt;&gt;"",LEFT($C$2,15)="Kies een bereken'")</formula>
    </cfRule>
    <cfRule type="expression" dxfId="122" priority="10" stopIfTrue="1">
      <formula>$X6&lt;&gt;""</formula>
    </cfRule>
    <cfRule type="expression" dxfId="121" priority="1" stopIfTrue="1">
      <formula>AND(RIGHT($H6,6)="tarief",$F6="Vergoeding",$G6&lt;&gt;"",$P6&lt;0)</formula>
    </cfRule>
  </conditionalFormatting>
  <conditionalFormatting sqref="P6:W250">
    <cfRule type="expression" dxfId="120" priority="12">
      <formula>AND(RIGHT($H6,6)="tarief",$F6="Vergoeding",$G6&lt;&gt;"")</formula>
    </cfRule>
  </conditionalFormatting>
  <conditionalFormatting sqref="Q6:Q250">
    <cfRule type="expression" dxfId="119" priority="5">
      <formula>$Q6&lt;0</formula>
    </cfRule>
  </conditionalFormatting>
  <conditionalFormatting sqref="T6:T251">
    <cfRule type="expression" dxfId="118" priority="4">
      <formula>$T6&lt;0</formula>
    </cfRule>
  </conditionalFormatting>
  <conditionalFormatting sqref="W6:W251">
    <cfRule type="expression" dxfId="117" priority="3">
      <formula>$W6&lt;0</formula>
    </cfRule>
  </conditionalFormatting>
  <dataValidations count="10">
    <dataValidation type="list" allowBlank="1" showInputMessage="1" showErrorMessage="1" sqref="B6:B250" xr:uid="{DBE717E9-CFEE-43F0-81A4-F49EED28F372}">
      <formula1>Deelnemers_Uniek</formula1>
    </dataValidation>
    <dataValidation type="list" allowBlank="1" showInputMessage="1" showErrorMessage="1" sqref="D6:D250" xr:uid="{31B40D0E-3EFD-48C9-A1BC-AE42864914B2}">
      <formula1>Prestaties_Uniek</formula1>
    </dataValidation>
    <dataValidation type="list" showInputMessage="1" showErrorMessage="1" sqref="E6:E250" xr:uid="{CB8156AE-0FF9-4AC1-8B2C-DFE00E4504C6}">
      <formula1>Activiteit_Open</formula1>
    </dataValidation>
    <dataValidation type="list" allowBlank="1" showInputMessage="1" showErrorMessage="1" sqref="E6:E250" xr:uid="{698D53B9-0EF4-43B3-9281-5F0000A552BD}">
      <formula1>Activiteit_Open</formula1>
    </dataValidation>
    <dataValidation type="list" allowBlank="1" showInputMessage="1" showErrorMessage="1" sqref="I6:I250" xr:uid="{356F1D26-FA3C-4449-BEC2-EC03B1B27463}">
      <formula1>Loon_Nr_Uniek_Aanvraag</formula1>
    </dataValidation>
    <dataValidation type="list" allowBlank="1" showInputMessage="1" showErrorMessage="1" sqref="F6:F250" xr:uid="{C7488EED-1DCE-49A0-9D19-09A19CA128FA}">
      <formula1>Kosten_Type</formula1>
    </dataValidation>
    <dataValidation type="list" allowBlank="1" showInputMessage="1" showErrorMessage="1" sqref="G6:G250" xr:uid="{2D2ACE48-6ADF-4670-B259-EE1A52510877}">
      <formula1>Spec_Arbeid_Nw</formula1>
    </dataValidation>
    <dataValidation type="textLength" operator="lessThanOrEqual" allowBlank="1" showInputMessage="1" showErrorMessage="1" errorTitle="Tekstveld limiet" error="Maximaal 250 tekens toegestaan" sqref="C6:C250" xr:uid="{CB4E02C1-1CE4-4EDD-A27B-D033FB902623}">
      <formula1>250</formula1>
    </dataValidation>
    <dataValidation type="custom" allowBlank="1" showInputMessage="1" showErrorMessage="1" errorTitle="Getal met maximaal 2 cijfers" error="Er is geen decimaal getal ingevoerd met maximaal 2 cijfers achter de komma." sqref="N6:O250" xr:uid="{ED975A7D-4776-4F45-AF9E-223CD97C4FB9}">
      <formula1>LEN(N6)-LEN(INT(N6))&lt;=3</formula1>
    </dataValidation>
    <dataValidation type="custom" allowBlank="1" showInputMessage="1" showErrorMessage="1" sqref="L6:M250" xr:uid="{1165D705-04A7-44BF-B7AB-61A09140104C}">
      <formula1>IF(COUNTIF($F6,"*Vergoeding")&gt;0,LEN(L6)-LEN(INT(L6))&lt;=5,LEN(L6)-LEN(INT(L6))&lt;=3)</formula1>
    </dataValidation>
  </dataValidations>
  <pageMargins left="0.70866141732283472" right="0.70866141732283472" top="0.74803149606299213" bottom="0.74803149606299213" header="0.31496062992125984" footer="0.31496062992125984"/>
  <pageSetup paperSize="9" scale="55" orientation="landscape" r:id="rId1"/>
  <headerFooter>
    <oddFooter>&amp;LVersie: september 2023&amp;C&amp;A&amp;R&amp;P van &amp;N</oddFooter>
  </headerFooter>
  <rowBreaks count="1" manualBreakCount="1">
    <brk id="55" max="14" man="1"/>
  </rowBreaks>
  <extLst>
    <ext xmlns:x14="http://schemas.microsoft.com/office/spreadsheetml/2009/9/main" uri="{78C0D931-6437-407d-A8EE-F0AAD7539E65}">
      <x14:conditionalFormattings>
        <x14:conditionalFormatting xmlns:xm="http://schemas.microsoft.com/office/excel/2006/main">
          <x14:cfRule type="expression" priority="138" id="{00000000-000E-0000-0500-000016000000}">
            <xm:f>INDEX(SubsidieTabel!$AD$1:$AG$12,MATCH(F6,SubsidieTabel!$AD$1:$AD$12,0),IFERROR(MATCH(Methode_Keuze,SubsidieTabel!$AD$1:$AG$1,0),2))&lt;&gt;1</xm:f>
            <x14:dxf>
              <font>
                <color rgb="FFD52B1E"/>
              </font>
            </x14:dxf>
          </x14:cfRule>
          <xm:sqref>F6:F250</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E8B80-8D14-4AD7-99A9-96B97AD9DF59}">
  <sheetPr codeName="Blad12">
    <tabColor theme="8" tint="0.79998168889431442"/>
    <pageSetUpPr fitToPage="1"/>
  </sheetPr>
  <dimension ref="A1:AA62"/>
  <sheetViews>
    <sheetView showGridLines="0" zoomScaleNormal="100" workbookViewId="0">
      <selection activeCell="C1" sqref="C1"/>
    </sheetView>
  </sheetViews>
  <sheetFormatPr defaultColWidth="0" defaultRowHeight="15" customHeight="1" zeroHeight="1" x14ac:dyDescent="0.25"/>
  <cols>
    <col min="1" max="1" width="2.85546875" style="25" customWidth="1"/>
    <col min="2" max="2" width="62.7109375" style="25" customWidth="1"/>
    <col min="3" max="3" width="33.140625" style="25" customWidth="1"/>
    <col min="4" max="5" width="30.7109375" style="25" customWidth="1"/>
    <col min="6" max="13" width="30.7109375" style="25" hidden="1" customWidth="1"/>
    <col min="14" max="14" width="2.5703125" style="25" hidden="1" customWidth="1"/>
    <col min="15" max="15" width="46.28515625" style="25" hidden="1" customWidth="1"/>
    <col min="16" max="16" width="12.5703125" style="25" hidden="1" customWidth="1"/>
    <col min="17" max="17" width="25.85546875" style="25" hidden="1" customWidth="1"/>
    <col min="18" max="21" width="9.140625" style="25" hidden="1" customWidth="1"/>
    <col min="22" max="22" width="14.28515625" style="25" hidden="1" customWidth="1"/>
    <col min="23" max="23" width="9.140625" style="25" hidden="1" customWidth="1"/>
    <col min="24" max="26" width="11.5703125" style="25" hidden="1" customWidth="1"/>
    <col min="27" max="16384" width="9.140625" style="25" hidden="1"/>
  </cols>
  <sheetData>
    <row r="1" spans="2:13" ht="4.5" customHeight="1" x14ac:dyDescent="0.25">
      <c r="B1" s="24"/>
      <c r="C1" s="189" t="str">
        <f>IF($C$2="","Kies op tabblad '1. Aanvraag gegevens' de juiste openstelling","")</f>
        <v>Kies op tabblad '1. Aanvraag gegevens' de juiste openstelling</v>
      </c>
      <c r="D1" s="24"/>
    </row>
    <row r="2" spans="2:13" x14ac:dyDescent="0.25">
      <c r="B2" s="17" t="s">
        <v>178</v>
      </c>
      <c r="C2" s="421" t="str">
        <f>IF('1. Aanvraaggegevens'!C2&lt;&gt;"",'1. Aanvraaggegevens'!C2,"")</f>
        <v/>
      </c>
      <c r="D2" s="421"/>
    </row>
    <row r="3" spans="2:13" ht="15" customHeight="1" x14ac:dyDescent="0.25">
      <c r="B3" s="17" t="s">
        <v>175</v>
      </c>
      <c r="C3" s="422" t="str">
        <f>IF('1. Aanvraaggegevens'!C3&lt;&gt;"",'1. Aanvraaggegevens'!C3,"")</f>
        <v/>
      </c>
      <c r="D3" s="422"/>
    </row>
    <row r="4" spans="2:13" ht="15" customHeight="1" x14ac:dyDescent="0.25">
      <c r="B4" s="17" t="s">
        <v>176</v>
      </c>
      <c r="C4" s="422" t="str">
        <f>IF('1. Aanvraaggegevens'!C4&lt;&gt;"",'1. Aanvraaggegevens'!C4,"")</f>
        <v/>
      </c>
      <c r="D4" s="422"/>
    </row>
    <row r="5" spans="2:13" ht="15" customHeight="1" x14ac:dyDescent="0.25">
      <c r="B5" s="17" t="s">
        <v>177</v>
      </c>
      <c r="C5" s="422" t="str">
        <f>IF('1. Aanvraaggegevens'!C5&lt;&gt;"",'1. Aanvraaggegevens'!C5,"")</f>
        <v/>
      </c>
      <c r="D5" s="422"/>
    </row>
    <row r="6" spans="2:13" ht="15" customHeight="1" x14ac:dyDescent="0.25">
      <c r="B6" s="5"/>
      <c r="C6" s="423" t="str">
        <f>IF('1. Aanvraaggegevens'!C6&lt;&gt;"",'1. Aanvraaggegevens'!C6,"")</f>
        <v/>
      </c>
      <c r="D6" s="423"/>
    </row>
    <row r="7" spans="2:13" ht="4.5" customHeight="1" x14ac:dyDescent="0.25">
      <c r="C7" s="26"/>
      <c r="D7" s="26"/>
    </row>
    <row r="8" spans="2:13" ht="15" customHeight="1" x14ac:dyDescent="0.25">
      <c r="B8" s="151" t="s">
        <v>174</v>
      </c>
      <c r="C8" s="424" t="str">
        <f>IF('1. Aanvraaggegevens'!C8&lt;&gt;"",'1. Aanvraaggegevens'!C8,"")</f>
        <v/>
      </c>
      <c r="D8" s="424"/>
    </row>
    <row r="9" spans="2:13" ht="21.75" customHeight="1" x14ac:dyDescent="0.25">
      <c r="B9" s="165"/>
      <c r="C9" s="165"/>
      <c r="D9" s="175" t="s">
        <v>220</v>
      </c>
      <c r="E9" s="165"/>
      <c r="F9" s="165"/>
      <c r="G9" s="165"/>
      <c r="H9" s="165"/>
      <c r="I9" s="165"/>
    </row>
    <row r="10" spans="2:13" ht="45" customHeight="1" x14ac:dyDescent="0.25">
      <c r="B10" s="191" t="s">
        <v>0</v>
      </c>
      <c r="C10" s="191" t="s">
        <v>209</v>
      </c>
      <c r="D10" s="190" t="str" cm="1">
        <f t="array" aca="1" ref="D10" ca="1">IFERROR(TRANSPOSE(Activiteiten_Uniek_Sort),"")</f>
        <v/>
      </c>
      <c r="E10" s="190"/>
      <c r="F10" s="190"/>
      <c r="G10" s="190"/>
      <c r="H10" s="190"/>
      <c r="I10" s="190"/>
      <c r="J10" s="190"/>
      <c r="K10" s="190"/>
      <c r="L10" s="190"/>
      <c r="M10" s="190"/>
    </row>
    <row r="11" spans="2:13" ht="15" customHeight="1" x14ac:dyDescent="0.25">
      <c r="B11" s="202" t="str" cm="1">
        <f t="array" aca="1" ref="B11" ca="1">IFERROR(Posten_Uniek,"")</f>
        <v/>
      </c>
      <c r="C11" s="287" t="str">
        <f ca="1">IF(B11="","",SUMIF(Tb_ProjectKosten[Begroting],'6. Begrotingsoverzicht'!B11,Tb_ProjectKosten[Kosten_Aanvraag]))</f>
        <v/>
      </c>
      <c r="D11" s="103" t="str">
        <f ca="1">IF(AND($C11&lt;&gt;0,$C11&lt;&gt;"",D$10&lt;&gt;""),SUMIFS(SubsidieTabel!$F:$F,SubsidieTabel!$A:$A,D$10,SubsidieTabel!$C:$C,$B11),"")</f>
        <v/>
      </c>
      <c r="E11" s="103" t="str">
        <f ca="1">IF(AND($C11&lt;&gt;0,$C11&lt;&gt;"",E$10&lt;&gt;""),SUMIFS(SubsidieTabel!$F:$F,SubsidieTabel!$A:$A,E$10,SubsidieTabel!$C:$C,$B11),"")</f>
        <v/>
      </c>
      <c r="F11" s="103" t="str">
        <f ca="1">IF(AND($C11&lt;&gt;0,$C11&lt;&gt;"",F$10&lt;&gt;""),SUMIFS(SubsidieTabel!$F:$F,SubsidieTabel!$A:$A,F$10,SubsidieTabel!$C:$C,$B11),"")</f>
        <v/>
      </c>
      <c r="G11" s="103" t="str">
        <f ca="1">IF(AND($C11&lt;&gt;0,$C11&lt;&gt;"",G$10&lt;&gt;""),SUMIFS(SubsidieTabel!$F:$F,SubsidieTabel!$A:$A,G$10,SubsidieTabel!$C:$C,$B11),"")</f>
        <v/>
      </c>
      <c r="H11" s="103" t="str">
        <f ca="1">IF(AND($C11&lt;&gt;0,$C11&lt;&gt;"",H$10&lt;&gt;""),SUMIFS(SubsidieTabel!$F:$F,SubsidieTabel!$A:$A,H$10,SubsidieTabel!$C:$C,$B11),"")</f>
        <v/>
      </c>
      <c r="I11" s="103" t="str">
        <f ca="1">IF(AND($C11&lt;&gt;0,$C11&lt;&gt;"",I$10&lt;&gt;""),SUMIFS(SubsidieTabel!$F:$F,SubsidieTabel!$A:$A,I$10,SubsidieTabel!$C:$C,$B11),"")</f>
        <v/>
      </c>
      <c r="J11" s="103" t="str">
        <f ca="1">IF(AND($C11&lt;&gt;0,$C11&lt;&gt;"",J$10&lt;&gt;""),SUMIFS(SubsidieTabel!$F:$F,SubsidieTabel!$A:$A,J$10,SubsidieTabel!$C:$C,$B11),"")</f>
        <v/>
      </c>
      <c r="K11" s="103" t="str">
        <f ca="1">IF(AND($C11&lt;&gt;0,$C11&lt;&gt;"",K$10&lt;&gt;""),SUMIFS(SubsidieTabel!$F:$F,SubsidieTabel!$A:$A,K$10,SubsidieTabel!$C:$C,$B11),"")</f>
        <v/>
      </c>
      <c r="L11" s="103" t="str">
        <f ca="1">IF(AND($C11&lt;&gt;0,$C11&lt;&gt;"",L$10&lt;&gt;""),SUMIFS(SubsidieTabel!$F:$F,SubsidieTabel!$A:$A,L$10,SubsidieTabel!$C:$C,$B11),"")</f>
        <v/>
      </c>
      <c r="M11" s="103" t="str">
        <f ca="1">IF(AND($C11&lt;&gt;0,$C11&lt;&gt;"",M$10&lt;&gt;""),SUMIFS(SubsidieTabel!$F:$F,SubsidieTabel!$A:$A,M$10,SubsidieTabel!$C:$C,$B11),"")</f>
        <v/>
      </c>
    </row>
    <row r="12" spans="2:13" ht="15" customHeight="1" x14ac:dyDescent="0.25">
      <c r="B12" s="202"/>
      <c r="C12" s="287" t="str">
        <f>IF(B12="","",SUMIF(Tb_ProjectKosten[Begroting],'6. Begrotingsoverzicht'!B12,Tb_ProjectKosten[Kosten_Aanvraag]))</f>
        <v/>
      </c>
      <c r="D12" s="103" t="str">
        <f ca="1">IF(AND($C12&lt;&gt;0,$C12&lt;&gt;"",D$10&lt;&gt;""),SUMIFS(SubsidieTabel!$F:$F,SubsidieTabel!$A:$A,D$10,SubsidieTabel!$C:$C,$B12),"")</f>
        <v/>
      </c>
      <c r="E12" s="103" t="str">
        <f>IF(AND($C12&lt;&gt;0,$C12&lt;&gt;"",E$10&lt;&gt;""),SUMIFS(SubsidieTabel!$F:$F,SubsidieTabel!$A:$A,E$10,SubsidieTabel!$C:$C,$B12),"")</f>
        <v/>
      </c>
      <c r="F12" s="103" t="str">
        <f>IF(AND($C12&lt;&gt;0,$C12&lt;&gt;"",F$10&lt;&gt;""),SUMIFS(SubsidieTabel!$F:$F,SubsidieTabel!$A:$A,F$10,SubsidieTabel!$C:$C,$B12),"")</f>
        <v/>
      </c>
      <c r="G12" s="103" t="str">
        <f>IF(AND($C12&lt;&gt;0,$C12&lt;&gt;"",G$10&lt;&gt;""),SUMIFS(SubsidieTabel!$F:$F,SubsidieTabel!$A:$A,G$10,SubsidieTabel!$C:$C,$B12),"")</f>
        <v/>
      </c>
      <c r="H12" s="103" t="str">
        <f>IF(AND($C12&lt;&gt;0,$C12&lt;&gt;"",H$10&lt;&gt;""),SUMIFS(SubsidieTabel!$F:$F,SubsidieTabel!$A:$A,H$10,SubsidieTabel!$C:$C,$B12),"")</f>
        <v/>
      </c>
      <c r="I12" s="103" t="str">
        <f>IF(AND($C12&lt;&gt;0,$C12&lt;&gt;"",I$10&lt;&gt;""),SUMIFS(SubsidieTabel!$F:$F,SubsidieTabel!$A:$A,I$10,SubsidieTabel!$C:$C,$B12),"")</f>
        <v/>
      </c>
      <c r="J12" s="103" t="str">
        <f>IF(AND($C12&lt;&gt;0,$C12&lt;&gt;"",J$10&lt;&gt;""),SUMIFS(SubsidieTabel!$F:$F,SubsidieTabel!$A:$A,J$10,SubsidieTabel!$C:$C,$B12),"")</f>
        <v/>
      </c>
      <c r="K12" s="103" t="str">
        <f>IF(AND($C12&lt;&gt;0,$C12&lt;&gt;"",K$10&lt;&gt;""),SUMIFS(SubsidieTabel!$F:$F,SubsidieTabel!$A:$A,K$10,SubsidieTabel!$C:$C,$B12),"")</f>
        <v/>
      </c>
      <c r="L12" s="103" t="str">
        <f>IF(AND($C12&lt;&gt;0,$C12&lt;&gt;"",L$10&lt;&gt;""),SUMIFS(SubsidieTabel!$F:$F,SubsidieTabel!$A:$A,L$10,SubsidieTabel!$C:$C,$B12),"")</f>
        <v/>
      </c>
      <c r="M12" s="103" t="str">
        <f>IF(AND($C12&lt;&gt;0,$C12&lt;&gt;"",M$10&lt;&gt;""),SUMIFS(SubsidieTabel!$F:$F,SubsidieTabel!$A:$A,M$10,SubsidieTabel!$C:$C,$B12),"")</f>
        <v/>
      </c>
    </row>
    <row r="13" spans="2:13" ht="15" customHeight="1" x14ac:dyDescent="0.25">
      <c r="B13" s="202"/>
      <c r="C13" s="287" t="str">
        <f>IF(B13="","",SUMIF(Tb_ProjectKosten[Begroting],'6. Begrotingsoverzicht'!B13,Tb_ProjectKosten[Kosten_Aanvraag]))</f>
        <v/>
      </c>
      <c r="D13" s="103" t="str">
        <f ca="1">IF(AND($C13&lt;&gt;0,$C13&lt;&gt;"",D$10&lt;&gt;""),SUMIFS(SubsidieTabel!$F:$F,SubsidieTabel!$A:$A,D$10,SubsidieTabel!$C:$C,$B13),"")</f>
        <v/>
      </c>
      <c r="E13" s="103" t="str">
        <f>IF(AND($C13&lt;&gt;0,$C13&lt;&gt;"",E$10&lt;&gt;""),SUMIFS(SubsidieTabel!$F:$F,SubsidieTabel!$A:$A,E$10,SubsidieTabel!$C:$C,$B13),"")</f>
        <v/>
      </c>
      <c r="F13" s="103" t="str">
        <f>IF(AND($C13&lt;&gt;0,$C13&lt;&gt;"",F$10&lt;&gt;""),SUMIFS(SubsidieTabel!$F:$F,SubsidieTabel!$A:$A,F$10,SubsidieTabel!$C:$C,$B13),"")</f>
        <v/>
      </c>
      <c r="G13" s="103" t="str">
        <f>IF(AND($C13&lt;&gt;0,$C13&lt;&gt;"",G$10&lt;&gt;""),SUMIFS(SubsidieTabel!$F:$F,SubsidieTabel!$A:$A,G$10,SubsidieTabel!$C:$C,$B13),"")</f>
        <v/>
      </c>
      <c r="H13" s="103" t="str">
        <f>IF(AND($C13&lt;&gt;0,$C13&lt;&gt;"",H$10&lt;&gt;""),SUMIFS(SubsidieTabel!$F:$F,SubsidieTabel!$A:$A,H$10,SubsidieTabel!$C:$C,$B13),"")</f>
        <v/>
      </c>
      <c r="I13" s="103" t="str">
        <f>IF(AND($C13&lt;&gt;0,$C13&lt;&gt;"",I$10&lt;&gt;""),SUMIFS(SubsidieTabel!$F:$F,SubsidieTabel!$A:$A,I$10,SubsidieTabel!$C:$C,$B13),"")</f>
        <v/>
      </c>
      <c r="J13" s="103" t="str">
        <f>IF(AND($C13&lt;&gt;0,$C13&lt;&gt;"",J$10&lt;&gt;""),SUMIFS(SubsidieTabel!$F:$F,SubsidieTabel!$A:$A,J$10,SubsidieTabel!$C:$C,$B13),"")</f>
        <v/>
      </c>
      <c r="K13" s="103" t="str">
        <f>IF(AND($C13&lt;&gt;0,$C13&lt;&gt;"",K$10&lt;&gt;""),SUMIFS(SubsidieTabel!$F:$F,SubsidieTabel!$A:$A,K$10,SubsidieTabel!$C:$C,$B13),"")</f>
        <v/>
      </c>
      <c r="L13" s="103" t="str">
        <f>IF(AND($C13&lt;&gt;0,$C13&lt;&gt;"",L$10&lt;&gt;""),SUMIFS(SubsidieTabel!$F:$F,SubsidieTabel!$A:$A,L$10,SubsidieTabel!$C:$C,$B13),"")</f>
        <v/>
      </c>
      <c r="M13" s="103" t="str">
        <f>IF(AND($C13&lt;&gt;0,$C13&lt;&gt;"",M$10&lt;&gt;""),SUMIFS(SubsidieTabel!$F:$F,SubsidieTabel!$A:$A,M$10,SubsidieTabel!$C:$C,$B13),"")</f>
        <v/>
      </c>
    </row>
    <row r="14" spans="2:13" ht="15" customHeight="1" x14ac:dyDescent="0.25">
      <c r="B14" s="6"/>
      <c r="C14" s="287" t="str">
        <f>IF(B14="","",SUMIF(Tb_ProjectKosten[Begroting],'6. Begrotingsoverzicht'!B14,Tb_ProjectKosten[Kosten_Aanvraag]))</f>
        <v/>
      </c>
      <c r="D14" s="103" t="str">
        <f ca="1">IF(AND($C14&lt;&gt;0,$C14&lt;&gt;"",D$10&lt;&gt;""),SUMIFS(SubsidieTabel!$F:$F,SubsidieTabel!$A:$A,D$10,SubsidieTabel!$C:$C,$B14),"")</f>
        <v/>
      </c>
      <c r="E14" s="103" t="str">
        <f>IF(AND($C14&lt;&gt;0,$C14&lt;&gt;"",E$10&lt;&gt;""),SUMIFS(SubsidieTabel!$F:$F,SubsidieTabel!$A:$A,E$10,SubsidieTabel!$C:$C,$B14),"")</f>
        <v/>
      </c>
      <c r="F14" s="103" t="str">
        <f>IF(AND($C14&lt;&gt;0,$C14&lt;&gt;"",F$10&lt;&gt;""),SUMIFS(SubsidieTabel!$F:$F,SubsidieTabel!$A:$A,F$10,SubsidieTabel!$C:$C,$B14),"")</f>
        <v/>
      </c>
      <c r="G14" s="103" t="str">
        <f>IF(AND($C14&lt;&gt;0,$C14&lt;&gt;"",G$10&lt;&gt;""),SUMIFS(SubsidieTabel!$F:$F,SubsidieTabel!$A:$A,G$10,SubsidieTabel!$C:$C,$B14),"")</f>
        <v/>
      </c>
      <c r="H14" s="103" t="str">
        <f>IF(AND($C14&lt;&gt;0,$C14&lt;&gt;"",H$10&lt;&gt;""),SUMIFS(SubsidieTabel!$F:$F,SubsidieTabel!$A:$A,H$10,SubsidieTabel!$C:$C,$B14),"")</f>
        <v/>
      </c>
      <c r="I14" s="103" t="str">
        <f>IF(AND($C14&lt;&gt;0,$C14&lt;&gt;"",I$10&lt;&gt;""),SUMIFS(SubsidieTabel!$F:$F,SubsidieTabel!$A:$A,I$10,SubsidieTabel!$C:$C,$B14),"")</f>
        <v/>
      </c>
      <c r="J14" s="103" t="str">
        <f>IF(AND($C14&lt;&gt;0,$C14&lt;&gt;"",J$10&lt;&gt;""),SUMIFS(SubsidieTabel!$F:$F,SubsidieTabel!$A:$A,J$10,SubsidieTabel!$C:$C,$B14),"")</f>
        <v/>
      </c>
      <c r="K14" s="103" t="str">
        <f>IF(AND($C14&lt;&gt;0,$C14&lt;&gt;"",K$10&lt;&gt;""),SUMIFS(SubsidieTabel!$F:$F,SubsidieTabel!$A:$A,K$10,SubsidieTabel!$C:$C,$B14),"")</f>
        <v/>
      </c>
      <c r="L14" s="103" t="str">
        <f>IF(AND($C14&lt;&gt;0,$C14&lt;&gt;"",L$10&lt;&gt;""),SUMIFS(SubsidieTabel!$F:$F,SubsidieTabel!$A:$A,L$10,SubsidieTabel!$C:$C,$B14),"")</f>
        <v/>
      </c>
      <c r="M14" s="103" t="str">
        <f>IF(AND($C14&lt;&gt;0,$C14&lt;&gt;"",M$10&lt;&gt;""),SUMIFS(SubsidieTabel!$F:$F,SubsidieTabel!$A:$A,M$10,SubsidieTabel!$C:$C,$B14),"")</f>
        <v/>
      </c>
    </row>
    <row r="15" spans="2:13" ht="15" customHeight="1" x14ac:dyDescent="0.25">
      <c r="B15" s="6"/>
      <c r="C15" s="287" t="str">
        <f>IF(B15="","",SUMIF(Tb_ProjectKosten[Begroting],'6. Begrotingsoverzicht'!B15,Tb_ProjectKosten[Kosten_Aanvraag]))</f>
        <v/>
      </c>
      <c r="D15" s="103" t="str">
        <f ca="1">IF(AND($C15&lt;&gt;0,$C15&lt;&gt;"",D$10&lt;&gt;""),SUMIFS(SubsidieTabel!$F:$F,SubsidieTabel!$A:$A,D$10,SubsidieTabel!$C:$C,$B15),"")</f>
        <v/>
      </c>
      <c r="E15" s="103" t="str">
        <f>IF(AND($C15&lt;&gt;0,$C15&lt;&gt;"",E$10&lt;&gt;""),SUMIFS(SubsidieTabel!$F:$F,SubsidieTabel!$A:$A,E$10,SubsidieTabel!$C:$C,$B15),"")</f>
        <v/>
      </c>
      <c r="F15" s="103" t="str">
        <f>IF(AND($C15&lt;&gt;0,$C15&lt;&gt;"",F$10&lt;&gt;""),SUMIFS(SubsidieTabel!$F:$F,SubsidieTabel!$A:$A,F$10,SubsidieTabel!$C:$C,$B15),"")</f>
        <v/>
      </c>
      <c r="G15" s="103" t="str">
        <f>IF(AND($C15&lt;&gt;0,$C15&lt;&gt;"",G$10&lt;&gt;""),SUMIFS(SubsidieTabel!$F:$F,SubsidieTabel!$A:$A,G$10,SubsidieTabel!$C:$C,$B15),"")</f>
        <v/>
      </c>
      <c r="H15" s="103" t="str">
        <f>IF(AND($C15&lt;&gt;0,$C15&lt;&gt;"",H$10&lt;&gt;""),SUMIFS(SubsidieTabel!$F:$F,SubsidieTabel!$A:$A,H$10,SubsidieTabel!$C:$C,$B15),"")</f>
        <v/>
      </c>
      <c r="I15" s="103" t="str">
        <f>IF(AND($C15&lt;&gt;0,$C15&lt;&gt;"",I$10&lt;&gt;""),SUMIFS(SubsidieTabel!$F:$F,SubsidieTabel!$A:$A,I$10,SubsidieTabel!$C:$C,$B15),"")</f>
        <v/>
      </c>
      <c r="J15" s="103" t="str">
        <f>IF(AND($C15&lt;&gt;0,$C15&lt;&gt;"",J$10&lt;&gt;""),SUMIFS(SubsidieTabel!$F:$F,SubsidieTabel!$A:$A,J$10,SubsidieTabel!$C:$C,$B15),"")</f>
        <v/>
      </c>
      <c r="K15" s="103" t="str">
        <f>IF(AND($C15&lt;&gt;0,$C15&lt;&gt;"",K$10&lt;&gt;""),SUMIFS(SubsidieTabel!$F:$F,SubsidieTabel!$A:$A,K$10,SubsidieTabel!$C:$C,$B15),"")</f>
        <v/>
      </c>
      <c r="L15" s="103" t="str">
        <f>IF(AND($C15&lt;&gt;0,$C15&lt;&gt;"",L$10&lt;&gt;""),SUMIFS(SubsidieTabel!$F:$F,SubsidieTabel!$A:$A,L$10,SubsidieTabel!$C:$C,$B15),"")</f>
        <v/>
      </c>
      <c r="M15" s="103" t="str">
        <f>IF(AND($C15&lt;&gt;0,$C15&lt;&gt;"",M$10&lt;&gt;""),SUMIFS(SubsidieTabel!$F:$F,SubsidieTabel!$A:$A,M$10,SubsidieTabel!$C:$C,$B15),"")</f>
        <v/>
      </c>
    </row>
    <row r="16" spans="2:13" ht="15" customHeight="1" x14ac:dyDescent="0.25">
      <c r="B16" s="6"/>
      <c r="C16" s="287" t="str">
        <f>IF(B16="","",SUMIF(Tb_ProjectKosten[Begroting],'6. Begrotingsoverzicht'!B16,Tb_ProjectKosten[Kosten_Aanvraag]))</f>
        <v/>
      </c>
      <c r="D16" s="103" t="str">
        <f ca="1">IF(AND($C16&lt;&gt;0,$C16&lt;&gt;"",D$10&lt;&gt;""),SUMIFS(SubsidieTabel!$F:$F,SubsidieTabel!$A:$A,D$10,SubsidieTabel!$C:$C,$B16),"")</f>
        <v/>
      </c>
      <c r="E16" s="103" t="str">
        <f>IF(AND($C16&lt;&gt;0,$C16&lt;&gt;"",E$10&lt;&gt;""),SUMIFS(SubsidieTabel!$F:$F,SubsidieTabel!$A:$A,E$10,SubsidieTabel!$C:$C,$B16),"")</f>
        <v/>
      </c>
      <c r="F16" s="103" t="str">
        <f>IF(AND($C16&lt;&gt;0,$C16&lt;&gt;"",F$10&lt;&gt;""),SUMIFS(SubsidieTabel!$F:$F,SubsidieTabel!$A:$A,F$10,SubsidieTabel!$C:$C,$B16),"")</f>
        <v/>
      </c>
      <c r="G16" s="103" t="str">
        <f>IF(AND($C16&lt;&gt;0,$C16&lt;&gt;"",G$10&lt;&gt;""),SUMIFS(SubsidieTabel!$F:$F,SubsidieTabel!$A:$A,G$10,SubsidieTabel!$C:$C,$B16),"")</f>
        <v/>
      </c>
      <c r="H16" s="103" t="str">
        <f>IF(AND($C16&lt;&gt;0,$C16&lt;&gt;"",H$10&lt;&gt;""),SUMIFS(SubsidieTabel!$F:$F,SubsidieTabel!$A:$A,H$10,SubsidieTabel!$C:$C,$B16),"")</f>
        <v/>
      </c>
      <c r="I16" s="103" t="str">
        <f>IF(AND($C16&lt;&gt;0,$C16&lt;&gt;"",I$10&lt;&gt;""),SUMIFS(SubsidieTabel!$F:$F,SubsidieTabel!$A:$A,I$10,SubsidieTabel!$C:$C,$B16),"")</f>
        <v/>
      </c>
      <c r="J16" s="103" t="str">
        <f>IF(AND($C16&lt;&gt;0,$C16&lt;&gt;"",J$10&lt;&gt;""),SUMIFS(SubsidieTabel!$F:$F,SubsidieTabel!$A:$A,J$10,SubsidieTabel!$C:$C,$B16),"")</f>
        <v/>
      </c>
      <c r="K16" s="103" t="str">
        <f>IF(AND($C16&lt;&gt;0,$C16&lt;&gt;"",K$10&lt;&gt;""),SUMIFS(SubsidieTabel!$F:$F,SubsidieTabel!$A:$A,K$10,SubsidieTabel!$C:$C,$B16),"")</f>
        <v/>
      </c>
      <c r="L16" s="103" t="str">
        <f>IF(AND($C16&lt;&gt;0,$C16&lt;&gt;"",L$10&lt;&gt;""),SUMIFS(SubsidieTabel!$F:$F,SubsidieTabel!$A:$A,L$10,SubsidieTabel!$C:$C,$B16),"")</f>
        <v/>
      </c>
      <c r="M16" s="103" t="str">
        <f>IF(AND($C16&lt;&gt;0,$C16&lt;&gt;"",M$10&lt;&gt;""),SUMIFS(SubsidieTabel!$F:$F,SubsidieTabel!$A:$A,M$10,SubsidieTabel!$C:$C,$B16),"")</f>
        <v/>
      </c>
    </row>
    <row r="17" spans="2:27" ht="15" customHeight="1" x14ac:dyDescent="0.25">
      <c r="B17" s="6"/>
      <c r="C17" s="287" t="str">
        <f>IF(B17="","",SUMIF(Tb_ProjectKosten[Begroting],'6. Begrotingsoverzicht'!B17,Tb_ProjectKosten[Kosten_Aanvraag]))</f>
        <v/>
      </c>
      <c r="D17" s="103" t="str">
        <f ca="1">IF(AND($C17&lt;&gt;0,$C17&lt;&gt;"",D$10&lt;&gt;""),SUMIFS(SubsidieTabel!$F:$F,SubsidieTabel!$A:$A,D$10,SubsidieTabel!$C:$C,$B17),"")</f>
        <v/>
      </c>
      <c r="E17" s="103" t="str">
        <f>IF(AND($C17&lt;&gt;0,$C17&lt;&gt;"",E$10&lt;&gt;""),SUMIFS(SubsidieTabel!$F:$F,SubsidieTabel!$A:$A,E$10,SubsidieTabel!$C:$C,$B17),"")</f>
        <v/>
      </c>
      <c r="F17" s="103" t="str">
        <f>IF(AND($C17&lt;&gt;0,$C17&lt;&gt;"",F$10&lt;&gt;""),SUMIFS(SubsidieTabel!$F:$F,SubsidieTabel!$A:$A,F$10,SubsidieTabel!$C:$C,$B17),"")</f>
        <v/>
      </c>
      <c r="G17" s="103" t="str">
        <f>IF(AND($C17&lt;&gt;0,$C17&lt;&gt;"",G$10&lt;&gt;""),SUMIFS(SubsidieTabel!$F:$F,SubsidieTabel!$A:$A,G$10,SubsidieTabel!$C:$C,$B17),"")</f>
        <v/>
      </c>
      <c r="H17" s="103" t="str">
        <f>IF(AND($C17&lt;&gt;0,$C17&lt;&gt;"",H$10&lt;&gt;""),SUMIFS(SubsidieTabel!$F:$F,SubsidieTabel!$A:$A,H$10,SubsidieTabel!$C:$C,$B17),"")</f>
        <v/>
      </c>
      <c r="I17" s="103" t="str">
        <f>IF(AND($C17&lt;&gt;0,$C17&lt;&gt;"",I$10&lt;&gt;""),SUMIFS(SubsidieTabel!$F:$F,SubsidieTabel!$A:$A,I$10,SubsidieTabel!$C:$C,$B17),"")</f>
        <v/>
      </c>
      <c r="J17" s="103" t="str">
        <f>IF(AND($C17&lt;&gt;0,$C17&lt;&gt;"",J$10&lt;&gt;""),SUMIFS(SubsidieTabel!$F:$F,SubsidieTabel!$A:$A,J$10,SubsidieTabel!$C:$C,$B17),"")</f>
        <v/>
      </c>
      <c r="K17" s="103" t="str">
        <f>IF(AND($C17&lt;&gt;0,$C17&lt;&gt;"",K$10&lt;&gt;""),SUMIFS(SubsidieTabel!$F:$F,SubsidieTabel!$A:$A,K$10,SubsidieTabel!$C:$C,$B17),"")</f>
        <v/>
      </c>
      <c r="L17" s="103" t="str">
        <f>IF(AND($C17&lt;&gt;0,$C17&lt;&gt;"",L$10&lt;&gt;""),SUMIFS(SubsidieTabel!$F:$F,SubsidieTabel!$A:$A,L$10,SubsidieTabel!$C:$C,$B17),"")</f>
        <v/>
      </c>
      <c r="M17" s="103" t="str">
        <f>IF(AND($C17&lt;&gt;0,$C17&lt;&gt;"",M$10&lt;&gt;""),SUMIFS(SubsidieTabel!$F:$F,SubsidieTabel!$A:$A,M$10,SubsidieTabel!$C:$C,$B17),"")</f>
        <v/>
      </c>
    </row>
    <row r="18" spans="2:27" ht="15" customHeight="1" x14ac:dyDescent="0.25">
      <c r="B18" s="6"/>
      <c r="C18" s="287" t="str">
        <f>IF(B18="","",SUMIF(Tb_ProjectKosten[Begroting],'6. Begrotingsoverzicht'!B18,Tb_ProjectKosten[Kosten_Aanvraag]))</f>
        <v/>
      </c>
      <c r="D18" s="103" t="str">
        <f ca="1">IF(AND($C18&lt;&gt;0,$C18&lt;&gt;"",D$10&lt;&gt;""),SUMIFS(SubsidieTabel!$F:$F,SubsidieTabel!$A:$A,D$10,SubsidieTabel!$C:$C,$B18),"")</f>
        <v/>
      </c>
      <c r="E18" s="103" t="str">
        <f>IF(AND($C18&lt;&gt;0,$C18&lt;&gt;"",E$10&lt;&gt;""),SUMIFS(SubsidieTabel!$F:$F,SubsidieTabel!$A:$A,E$10,SubsidieTabel!$C:$C,$B18),"")</f>
        <v/>
      </c>
      <c r="F18" s="103" t="str">
        <f>IF(AND($C18&lt;&gt;0,$C18&lt;&gt;"",F$10&lt;&gt;""),SUMIFS(SubsidieTabel!$F:$F,SubsidieTabel!$A:$A,F$10,SubsidieTabel!$C:$C,$B18),"")</f>
        <v/>
      </c>
      <c r="G18" s="103" t="str">
        <f>IF(AND($C18&lt;&gt;0,$C18&lt;&gt;"",G$10&lt;&gt;""),SUMIFS(SubsidieTabel!$F:$F,SubsidieTabel!$A:$A,G$10,SubsidieTabel!$C:$C,$B18),"")</f>
        <v/>
      </c>
      <c r="H18" s="103" t="str">
        <f>IF(AND($C18&lt;&gt;0,$C18&lt;&gt;"",H$10&lt;&gt;""),SUMIFS(SubsidieTabel!$F:$F,SubsidieTabel!$A:$A,H$10,SubsidieTabel!$C:$C,$B18),"")</f>
        <v/>
      </c>
      <c r="I18" s="103" t="str">
        <f>IF(AND($C18&lt;&gt;0,$C18&lt;&gt;"",I$10&lt;&gt;""),SUMIFS(SubsidieTabel!$F:$F,SubsidieTabel!$A:$A,I$10,SubsidieTabel!$C:$C,$B18),"")</f>
        <v/>
      </c>
      <c r="J18" s="103" t="str">
        <f>IF(AND($C18&lt;&gt;0,$C18&lt;&gt;"",J$10&lt;&gt;""),SUMIFS(SubsidieTabel!$F:$F,SubsidieTabel!$A:$A,J$10,SubsidieTabel!$C:$C,$B18),"")</f>
        <v/>
      </c>
      <c r="K18" s="103" t="str">
        <f>IF(AND($C18&lt;&gt;0,$C18&lt;&gt;"",K$10&lt;&gt;""),SUMIFS(SubsidieTabel!$F:$F,SubsidieTabel!$A:$A,K$10,SubsidieTabel!$C:$C,$B18),"")</f>
        <v/>
      </c>
      <c r="L18" s="103" t="str">
        <f>IF(AND($C18&lt;&gt;0,$C18&lt;&gt;"",L$10&lt;&gt;""),SUMIFS(SubsidieTabel!$F:$F,SubsidieTabel!$A:$A,L$10,SubsidieTabel!$C:$C,$B18),"")</f>
        <v/>
      </c>
      <c r="M18" s="103" t="str">
        <f>IF(AND($C18&lt;&gt;0,$C18&lt;&gt;"",M$10&lt;&gt;""),SUMIFS(SubsidieTabel!$F:$F,SubsidieTabel!$A:$A,M$10,SubsidieTabel!$C:$C,$B18),"")</f>
        <v/>
      </c>
    </row>
    <row r="19" spans="2:27" ht="15" customHeight="1" x14ac:dyDescent="0.25">
      <c r="B19" s="6"/>
      <c r="C19" s="287" t="str">
        <f>IF(B19="","",SUMIF(Tb_ProjectKosten[Begroting],'6. Begrotingsoverzicht'!B19,Tb_ProjectKosten[Kosten_Aanvraag]))</f>
        <v/>
      </c>
      <c r="D19" s="103" t="str">
        <f ca="1">IF(AND($C19&lt;&gt;0,$C19&lt;&gt;"",D$10&lt;&gt;""),SUMIFS(SubsidieTabel!$F:$F,SubsidieTabel!$A:$A,D$10,SubsidieTabel!$C:$C,$B19),"")</f>
        <v/>
      </c>
      <c r="E19" s="103" t="str">
        <f>IF(AND($C19&lt;&gt;0,$C19&lt;&gt;"",E$10&lt;&gt;""),SUMIFS(SubsidieTabel!$F:$F,SubsidieTabel!$A:$A,E$10,SubsidieTabel!$C:$C,$B19),"")</f>
        <v/>
      </c>
      <c r="F19" s="103" t="str">
        <f>IF(AND($C19&lt;&gt;0,$C19&lt;&gt;"",F$10&lt;&gt;""),SUMIFS(SubsidieTabel!$F:$F,SubsidieTabel!$A:$A,F$10,SubsidieTabel!$C:$C,$B19),"")</f>
        <v/>
      </c>
      <c r="G19" s="103" t="str">
        <f>IF(AND($C19&lt;&gt;0,$C19&lt;&gt;"",G$10&lt;&gt;""),SUMIFS(SubsidieTabel!$F:$F,SubsidieTabel!$A:$A,G$10,SubsidieTabel!$C:$C,$B19),"")</f>
        <v/>
      </c>
      <c r="H19" s="103" t="str">
        <f>IF(AND($C19&lt;&gt;0,$C19&lt;&gt;"",H$10&lt;&gt;""),SUMIFS(SubsidieTabel!$F:$F,SubsidieTabel!$A:$A,H$10,SubsidieTabel!$C:$C,$B19),"")</f>
        <v/>
      </c>
      <c r="I19" s="103" t="str">
        <f>IF(AND($C19&lt;&gt;0,$C19&lt;&gt;"",I$10&lt;&gt;""),SUMIFS(SubsidieTabel!$F:$F,SubsidieTabel!$A:$A,I$10,SubsidieTabel!$C:$C,$B19),"")</f>
        <v/>
      </c>
      <c r="J19" s="103" t="str">
        <f>IF(AND($C19&lt;&gt;0,$C19&lt;&gt;"",J$10&lt;&gt;""),SUMIFS(SubsidieTabel!$F:$F,SubsidieTabel!$A:$A,J$10,SubsidieTabel!$C:$C,$B19),"")</f>
        <v/>
      </c>
      <c r="K19" s="103" t="str">
        <f>IF(AND($C19&lt;&gt;0,$C19&lt;&gt;"",K$10&lt;&gt;""),SUMIFS(SubsidieTabel!$F:$F,SubsidieTabel!$A:$A,K$10,SubsidieTabel!$C:$C,$B19),"")</f>
        <v/>
      </c>
      <c r="L19" s="103" t="str">
        <f>IF(AND($C19&lt;&gt;0,$C19&lt;&gt;"",L$10&lt;&gt;""),SUMIFS(SubsidieTabel!$F:$F,SubsidieTabel!$A:$A,L$10,SubsidieTabel!$C:$C,$B19),"")</f>
        <v/>
      </c>
      <c r="M19" s="103" t="str">
        <f>IF(AND($C19&lt;&gt;0,$C19&lt;&gt;"",M$10&lt;&gt;""),SUMIFS(SubsidieTabel!$F:$F,SubsidieTabel!$A:$A,M$10,SubsidieTabel!$C:$C,$B19),"")</f>
        <v/>
      </c>
    </row>
    <row r="20" spans="2:27" ht="15" customHeight="1" x14ac:dyDescent="0.25">
      <c r="B20" s="6"/>
      <c r="C20" s="287" t="str">
        <f>IF(B20="","",SUMIF(Tb_ProjectKosten[Begroting],'6. Begrotingsoverzicht'!B20,Tb_ProjectKosten[Kosten_Aanvraag]))</f>
        <v/>
      </c>
      <c r="D20" s="103" t="str">
        <f ca="1">IF(AND($C20&lt;&gt;0,$C20&lt;&gt;"",D$10&lt;&gt;""),SUMIFS(SubsidieTabel!$F:$F,SubsidieTabel!$A:$A,D$10,SubsidieTabel!$C:$C,$B20),"")</f>
        <v/>
      </c>
      <c r="E20" s="103" t="str">
        <f>IF(AND($C20&lt;&gt;0,$C20&lt;&gt;"",E$10&lt;&gt;""),SUMIFS(SubsidieTabel!$F:$F,SubsidieTabel!$A:$A,E$10,SubsidieTabel!$C:$C,$B20),"")</f>
        <v/>
      </c>
      <c r="F20" s="103" t="str">
        <f>IF(AND($C20&lt;&gt;0,$C20&lt;&gt;"",F$10&lt;&gt;""),SUMIFS(SubsidieTabel!$F:$F,SubsidieTabel!$A:$A,F$10,SubsidieTabel!$C:$C,$B20),"")</f>
        <v/>
      </c>
      <c r="G20" s="103" t="str">
        <f>IF(AND($C20&lt;&gt;0,$C20&lt;&gt;"",G$10&lt;&gt;""),SUMIFS(SubsidieTabel!$F:$F,SubsidieTabel!$A:$A,G$10,SubsidieTabel!$C:$C,$B20),"")</f>
        <v/>
      </c>
      <c r="H20" s="103" t="str">
        <f>IF(AND($C20&lt;&gt;0,$C20&lt;&gt;"",H$10&lt;&gt;""),SUMIFS(SubsidieTabel!$F:$F,SubsidieTabel!$A:$A,H$10,SubsidieTabel!$C:$C,$B20),"")</f>
        <v/>
      </c>
      <c r="I20" s="103" t="str">
        <f>IF(AND($C20&lt;&gt;0,$C20&lt;&gt;"",I$10&lt;&gt;""),SUMIFS(SubsidieTabel!$F:$F,SubsidieTabel!$A:$A,I$10,SubsidieTabel!$C:$C,$B20),"")</f>
        <v/>
      </c>
      <c r="J20" s="103" t="str">
        <f>IF(AND($C20&lt;&gt;0,$C20&lt;&gt;"",J$10&lt;&gt;""),SUMIFS(SubsidieTabel!$F:$F,SubsidieTabel!$A:$A,J$10,SubsidieTabel!$C:$C,$B20),"")</f>
        <v/>
      </c>
      <c r="K20" s="103" t="str">
        <f>IF(AND($C20&lt;&gt;0,$C20&lt;&gt;"",K$10&lt;&gt;""),SUMIFS(SubsidieTabel!$F:$F,SubsidieTabel!$A:$A,K$10,SubsidieTabel!$C:$C,$B20),"")</f>
        <v/>
      </c>
      <c r="L20" s="103" t="str">
        <f>IF(AND($C20&lt;&gt;0,$C20&lt;&gt;"",L$10&lt;&gt;""),SUMIFS(SubsidieTabel!$F:$F,SubsidieTabel!$A:$A,L$10,SubsidieTabel!$C:$C,$B20),"")</f>
        <v/>
      </c>
      <c r="M20" s="103" t="str">
        <f>IF(AND($C20&lt;&gt;0,$C20&lt;&gt;"",M$10&lt;&gt;""),SUMIFS(SubsidieTabel!$F:$F,SubsidieTabel!$A:$A,M$10,SubsidieTabel!$C:$C,$B20),"")</f>
        <v/>
      </c>
    </row>
    <row r="21" spans="2:27" ht="15" customHeight="1" x14ac:dyDescent="0.25">
      <c r="B21" s="6"/>
      <c r="C21" s="287" t="str">
        <f>IF(B21="","",SUMIF(Tb_ProjectKosten[Begroting],'6. Begrotingsoverzicht'!B21,Tb_ProjectKosten[Kosten_Aanvraag]))</f>
        <v/>
      </c>
      <c r="D21" s="103" t="str">
        <f ca="1">IF(AND($C21&lt;&gt;0,$C21&lt;&gt;"",D$10&lt;&gt;""),SUMIFS(SubsidieTabel!$F:$F,SubsidieTabel!$A:$A,D$10,SubsidieTabel!$C:$C,$B21),"")</f>
        <v/>
      </c>
      <c r="E21" s="103" t="str">
        <f>IF(AND($C21&lt;&gt;0,$C21&lt;&gt;"",E$10&lt;&gt;""),SUMIFS(SubsidieTabel!$F:$F,SubsidieTabel!$A:$A,E$10,SubsidieTabel!$C:$C,$B21),"")</f>
        <v/>
      </c>
      <c r="F21" s="103" t="str">
        <f>IF(AND($C21&lt;&gt;0,$C21&lt;&gt;"",F$10&lt;&gt;""),SUMIFS(SubsidieTabel!$F:$F,SubsidieTabel!$A:$A,F$10,SubsidieTabel!$C:$C,$B21),"")</f>
        <v/>
      </c>
      <c r="G21" s="103" t="str">
        <f>IF(AND($C21&lt;&gt;0,$C21&lt;&gt;"",G$10&lt;&gt;""),SUMIFS(SubsidieTabel!$F:$F,SubsidieTabel!$A:$A,G$10,SubsidieTabel!$C:$C,$B21),"")</f>
        <v/>
      </c>
      <c r="H21" s="103" t="str">
        <f>IF(AND($C21&lt;&gt;0,$C21&lt;&gt;"",H$10&lt;&gt;""),SUMIFS(SubsidieTabel!$F:$F,SubsidieTabel!$A:$A,H$10,SubsidieTabel!$C:$C,$B21),"")</f>
        <v/>
      </c>
      <c r="I21" s="103" t="str">
        <f>IF(AND($C21&lt;&gt;0,$C21&lt;&gt;"",I$10&lt;&gt;""),SUMIFS(SubsidieTabel!$F:$F,SubsidieTabel!$A:$A,I$10,SubsidieTabel!$C:$C,$B21),"")</f>
        <v/>
      </c>
      <c r="J21" s="103" t="str">
        <f>IF(AND($C21&lt;&gt;0,$C21&lt;&gt;"",J$10&lt;&gt;""),SUMIFS(SubsidieTabel!$F:$F,SubsidieTabel!$A:$A,J$10,SubsidieTabel!$C:$C,$B21),"")</f>
        <v/>
      </c>
      <c r="K21" s="103" t="str">
        <f>IF(AND($C21&lt;&gt;0,$C21&lt;&gt;"",K$10&lt;&gt;""),SUMIFS(SubsidieTabel!$F:$F,SubsidieTabel!$A:$A,K$10,SubsidieTabel!$C:$C,$B21),"")</f>
        <v/>
      </c>
      <c r="L21" s="103" t="str">
        <f>IF(AND($C21&lt;&gt;0,$C21&lt;&gt;"",L$10&lt;&gt;""),SUMIFS(SubsidieTabel!$F:$F,SubsidieTabel!$A:$A,L$10,SubsidieTabel!$C:$C,$B21),"")</f>
        <v/>
      </c>
      <c r="M21" s="103" t="str">
        <f>IF(AND($C21&lt;&gt;0,$C21&lt;&gt;"",M$10&lt;&gt;""),SUMIFS(SubsidieTabel!$F:$F,SubsidieTabel!$A:$A,M$10,SubsidieTabel!$C:$C,$B21),"")</f>
        <v/>
      </c>
    </row>
    <row r="22" spans="2:27" ht="15" customHeight="1" x14ac:dyDescent="0.25">
      <c r="B22" s="7" t="s">
        <v>21</v>
      </c>
      <c r="C22" s="166">
        <f ca="1">SUM(C11:C21)</f>
        <v>0</v>
      </c>
      <c r="D22" s="162" t="str">
        <f ca="1">IF(SUM(D11:D21)=0,"",SUM(D11:D21))</f>
        <v/>
      </c>
      <c r="E22" s="162" t="str">
        <f ca="1">IF(SUM(E11:E21)=0,"",SUM(E11:E21))</f>
        <v/>
      </c>
      <c r="F22" s="162" t="str">
        <f t="shared" ref="F22:M22" ca="1" si="0">IF(SUM(F11:F21)=0,"",SUM(F11:F21))</f>
        <v/>
      </c>
      <c r="G22" s="162" t="str">
        <f t="shared" ca="1" si="0"/>
        <v/>
      </c>
      <c r="H22" s="162" t="str">
        <f t="shared" ca="1" si="0"/>
        <v/>
      </c>
      <c r="I22" s="162" t="str">
        <f t="shared" ca="1" si="0"/>
        <v/>
      </c>
      <c r="J22" s="162" t="str">
        <f t="shared" ca="1" si="0"/>
        <v/>
      </c>
      <c r="K22" s="162" t="str">
        <f t="shared" ca="1" si="0"/>
        <v/>
      </c>
      <c r="L22" s="162" t="str">
        <f t="shared" ca="1" si="0"/>
        <v/>
      </c>
      <c r="M22" s="162" t="str">
        <f t="shared" ca="1" si="0"/>
        <v/>
      </c>
    </row>
    <row r="23" spans="2:27" s="26" customFormat="1" ht="15" customHeight="1" x14ac:dyDescent="0.25">
      <c r="B23" s="106" t="str" cm="1">
        <f t="array" ref="B23">_xlfn.IFS(OR($C$8="",$C$8="Geen vereenvoudigde kostenoptie"),"Geen forfait",$C$8="Vereenvoudigde kostenoptie voor overige kosten","Forfait voor overige kosten",$C$8="Vereenvoudigde kostenoptie voor arbeidskosten","Forfait voor arbeidskosten")</f>
        <v>Geen forfait</v>
      </c>
      <c r="C23" s="105" t="str">
        <f>IF(SUM(Tb_ProjectKosten[Forfait_Bedrag])&gt;0,ROUND(SUM(Tb_ProjectKosten[Forfait_Bedrag]),2),"")</f>
        <v/>
      </c>
      <c r="D23" s="103" t="str">
        <f ca="1">IF(AND($C$23&lt;&gt;"",D$10&lt;&gt;""),ROUND(SUMIFS(SubsidieTabel!$H:$H,SubsidieTabel!$A:$A,D$10),2),"")</f>
        <v/>
      </c>
      <c r="E23" s="103" t="str">
        <f>IF(AND($C$23&lt;&gt;"",E$10&lt;&gt;""),ROUND(SUMIFS(SubsidieTabel!$H:$H,SubsidieTabel!$A:$A,E$10),2),"")</f>
        <v/>
      </c>
      <c r="F23" s="103" t="str">
        <f>IF(AND($C$23&lt;&gt;"",F$10&lt;&gt;""),ROUND(SUMIFS(SubsidieTabel!$H:$H,SubsidieTabel!$A:$A,F$10),2),"")</f>
        <v/>
      </c>
      <c r="G23" s="103" t="str">
        <f>IF(AND($C$23&lt;&gt;"",G$10&lt;&gt;""),ROUND(SUMIFS(SubsidieTabel!$H:$H,SubsidieTabel!$A:$A,G$10),2),"")</f>
        <v/>
      </c>
      <c r="H23" s="103" t="str">
        <f>IF(AND($C$23&lt;&gt;"",H$10&lt;&gt;""),ROUND(SUMIFS(SubsidieTabel!$H:$H,SubsidieTabel!$A:$A,H$10),2),"")</f>
        <v/>
      </c>
      <c r="I23" s="103" t="str">
        <f>IF(AND($C$23&lt;&gt;"",I$10&lt;&gt;""),ROUND(SUMIFS(SubsidieTabel!$H:$H,SubsidieTabel!$A:$A,I$10),2),"")</f>
        <v/>
      </c>
      <c r="J23" s="103" t="str">
        <f>IF(AND($C$23&lt;&gt;"",J$10&lt;&gt;""),ROUND(SUMIFS(SubsidieTabel!$H:$H,SubsidieTabel!$A:$A,J$10),2),"")</f>
        <v/>
      </c>
      <c r="K23" s="103" t="str">
        <f>IF(AND($C$23&lt;&gt;"",K$10&lt;&gt;""),ROUND(SUMIFS(SubsidieTabel!$H:$H,SubsidieTabel!$A:$A,K$10),2),"")</f>
        <v/>
      </c>
      <c r="L23" s="103" t="str">
        <f>IF(AND($C$23&lt;&gt;"",L$10&lt;&gt;""),ROUND(SUMIFS(SubsidieTabel!$H:$H,SubsidieTabel!$A:$A,L$10),2),"")</f>
        <v/>
      </c>
      <c r="M23" s="103" t="str">
        <f>IF(AND($C$23&lt;&gt;"",M$10&lt;&gt;""),ROUND(SUMIFS(SubsidieTabel!$H:$H,SubsidieTabel!$A:$A,M$10),2),"")</f>
        <v/>
      </c>
      <c r="S23" s="25"/>
      <c r="T23" s="25"/>
      <c r="U23" s="25"/>
      <c r="V23" s="25"/>
      <c r="W23" s="25"/>
      <c r="X23" s="25"/>
      <c r="Y23" s="25"/>
      <c r="Z23" s="25"/>
      <c r="AA23" s="25"/>
    </row>
    <row r="24" spans="2:27" s="26" customFormat="1" ht="15" customHeight="1" x14ac:dyDescent="0.25">
      <c r="B24" s="141" t="s">
        <v>79</v>
      </c>
      <c r="C24" s="166" cm="1">
        <f t="array" aca="1" ref="C24" ca="1">IFERROR(_xlfn.IFS(C22=0,0,OR($C$8="Geen vereenvoudigde kostenoptie",$C$8=""),C22,$C$8="Vereenvoudigde kostenoptie voor arbeidskosten",SUM(C22:C23),$C$8="Vereenvoudigde kostenoptie voor overige kosten",C22+C23),0)</f>
        <v>0</v>
      </c>
      <c r="D24" s="162" t="str">
        <f ca="1">IF(SUM(D22:D23)=0,"",SUM(D22:D23))</f>
        <v/>
      </c>
      <c r="E24" s="162" t="str">
        <f ca="1">IF(SUM(E22:E23)=0,"",SUM(E22:E23))</f>
        <v/>
      </c>
      <c r="F24" s="162" t="str">
        <f t="shared" ref="F24:M24" ca="1" si="1">IF(SUM(F22:F23)=0,"",SUM(F22:F23))</f>
        <v/>
      </c>
      <c r="G24" s="162" t="str">
        <f t="shared" ca="1" si="1"/>
        <v/>
      </c>
      <c r="H24" s="162" t="str">
        <f t="shared" ca="1" si="1"/>
        <v/>
      </c>
      <c r="I24" s="162" t="str">
        <f t="shared" ca="1" si="1"/>
        <v/>
      </c>
      <c r="J24" s="162" t="str">
        <f t="shared" ca="1" si="1"/>
        <v/>
      </c>
      <c r="K24" s="162" t="str">
        <f t="shared" ca="1" si="1"/>
        <v/>
      </c>
      <c r="L24" s="162" t="str">
        <f t="shared" ca="1" si="1"/>
        <v/>
      </c>
      <c r="M24" s="162" t="str">
        <f t="shared" ca="1" si="1"/>
        <v/>
      </c>
      <c r="S24" s="25"/>
      <c r="T24" s="25"/>
      <c r="U24" s="25"/>
      <c r="V24" s="25"/>
      <c r="W24" s="25"/>
      <c r="X24" s="25"/>
      <c r="Y24" s="25"/>
      <c r="Z24" s="25"/>
      <c r="AA24" s="25"/>
    </row>
    <row r="25" spans="2:27" s="26" customFormat="1" ht="6" customHeight="1" x14ac:dyDescent="0.25">
      <c r="B25" s="37"/>
      <c r="C25" s="37"/>
      <c r="D25" s="38"/>
      <c r="S25" s="25"/>
      <c r="T25" s="25"/>
      <c r="U25" s="25"/>
      <c r="V25" s="25"/>
      <c r="W25" s="25"/>
      <c r="X25" s="25"/>
      <c r="Y25" s="25"/>
      <c r="Z25" s="25"/>
      <c r="AA25" s="25"/>
    </row>
    <row r="26" spans="2:27" s="26" customFormat="1" ht="6" customHeight="1" x14ac:dyDescent="0.25">
      <c r="B26" s="37"/>
      <c r="C26" s="39"/>
      <c r="D26" s="39"/>
      <c r="S26" s="25"/>
      <c r="T26" s="25"/>
      <c r="U26" s="25"/>
      <c r="V26" s="25"/>
      <c r="W26" s="25"/>
      <c r="X26" s="25"/>
      <c r="Y26" s="25"/>
      <c r="Z26" s="25"/>
      <c r="AA26" s="25"/>
    </row>
    <row r="27" spans="2:27" s="26" customFormat="1" ht="6" customHeight="1" x14ac:dyDescent="0.25">
      <c r="B27" s="40"/>
      <c r="C27" s="40"/>
      <c r="D27" s="41"/>
      <c r="S27" s="25"/>
      <c r="T27" s="25"/>
      <c r="U27" s="25"/>
      <c r="V27" s="25"/>
      <c r="W27" s="25"/>
      <c r="X27" s="25"/>
      <c r="Y27" s="25"/>
      <c r="Z27" s="25"/>
      <c r="AA27" s="25"/>
    </row>
    <row r="28" spans="2:27" ht="30.75" customHeight="1" x14ac:dyDescent="0.25">
      <c r="B28" s="270" t="s">
        <v>152</v>
      </c>
      <c r="C28" s="270" t="s">
        <v>122</v>
      </c>
      <c r="D28" s="270" t="s">
        <v>1</v>
      </c>
      <c r="E28" s="270" t="s">
        <v>130</v>
      </c>
      <c r="F28" s="352" t="str" cm="1">
        <f t="array" aca="1" ref="F28" ca="1">IF(C45&gt;IFERROR(VLOOKUP(Openstelling_Keuze,IF(ISBLANK(Tb_Openstelling[Grond_%]),0,Tb_Openstelling[]),MATCH(Tb_Openstelling[[#Headers],[Grond_%]],Tb_Openstelling[#Headers],0),0),0.1),IF(H55&lt;&gt;"","Subsidiebedrag na aftopping "&amp;LOWER($B$44)&amp;" (en samenwerking)","Subsidiebedrag na aftopping "&amp;LOWER($B$44)),"")</f>
        <v/>
      </c>
      <c r="G28" s="352" t="str">
        <f>IF($F$44&lt;&gt;"","Subsidiebedrag na aftopping "&amp;LOWER($F$44),"")</f>
        <v/>
      </c>
      <c r="H28" s="352" t="str">
        <f>IF($F$52&lt;&gt;"","Subsidiebedrag na aftopping "&amp;LOWER($F$52),"")</f>
        <v/>
      </c>
      <c r="I28" s="352" t="str">
        <f ca="1">IF(SUM(K29:K38)&lt;&gt;0,"Subsidiebedrag na aftopping maximum percentage activiteiten","")</f>
        <v/>
      </c>
      <c r="J28" s="352" t="str">
        <f ca="1">IF(I28&lt;&gt;"","Subsidieverlaging op basis van maximum percentage","")</f>
        <v/>
      </c>
    </row>
    <row r="29" spans="2:27" s="26" customFormat="1" x14ac:dyDescent="0.25">
      <c r="B29" s="367" t="str" cm="1">
        <f t="array" aca="1" ref="B29" ca="1">Activiteiten_Uniek_Sort</f>
        <v/>
      </c>
      <c r="C29" s="89" t="str">
        <f ca="1">IF(B29&lt;&gt;"",SUMIFS('5. Kosten uitvoering project'!$R:$R,'5. Kosten uitvoering project'!$E:$E,'6. Begrotingsoverzicht'!B29)+SUMIFS('5. Kosten uitvoering project'!$U:$U,'5. Kosten uitvoering project'!$E:$E,'6. Begrotingsoverzicht'!B29),"")</f>
        <v/>
      </c>
      <c r="D29" s="90" t="str">
        <f ca="1">IFERROR(VLOOKUP(B29,Lijsten!$AK:$AL,2,0),"")</f>
        <v/>
      </c>
      <c r="E29" s="89" t="str">
        <f ca="1">IF(B29&lt;&gt;"",IF(PRODUCT(C29,D29)&lt;&gt;0,PRODUCT(C29,D29),0),"")</f>
        <v/>
      </c>
      <c r="F29" s="353" t="str">
        <f ca="1">IFERROR(IF(AND(F$28&lt;&gt;""),IF(AND(H29&lt;&gt;"",H29&lt;IFERROR(SUMIFS(SubsidieTabel!$J:$J,SubsidieTabel!$A:$A,$B29,SubsidieTabel!$C:$C,$B$44)/SUMIFS(SubsidieTabel!$J:$J,SubsidieTabel!$C:$C,$B$44)*$D$51*$D29+SUMIFS(SubsidieTabel!$J:$J,SubsidieTabel!$A:$A,$B29,SubsidieTabel!$C:$C,"&lt;&gt;"&amp;$B$44),0)*$D29),H29,SUMIFS(SubsidieTabel!$J:$J,SubsidieTabel!$A:$A,$B29,SubsidieTabel!$C:$C,$B$44)/SUMIFS(SubsidieTabel!$J:$J,SubsidieTabel!$C:$C,$B$44)*$D$51*$D29+SUMIFS(SubsidieTabel!$J:$J,SubsidieTabel!$A:$A,$B29,SubsidieTabel!$C:$C,"&lt;&gt;"&amp;$B$44)*$D29),""),"")</f>
        <v/>
      </c>
      <c r="G29" s="354" t="str">
        <f ca="1">IFERROR(IF(AND(G$28&lt;&gt;"",SUMIFS(SubsidieTabel!$Q:$Q,SubsidieTabel!$A:$A,$B29)&gt;0),H46*D29,IF(G$28&lt;&gt;"",E29,"")),"")</f>
        <v/>
      </c>
      <c r="H29" s="354" t="str">
        <f ca="1">IFERROR(IF(AND(H$28&lt;&gt;"",E29&lt;&gt;"",SUMIFS(SubsidieTabel!$S:$S,SubsidieTabel!$A:$A,$B29)&gt;0),$H$56*D29,IF(AND(H$28&lt;&gt;"",E29&lt;&gt;""),MIN(E29,G29),"")),"")</f>
        <v/>
      </c>
      <c r="I29" s="355" t="str">
        <f ca="1">IF(AND(E29&lt;&gt;"",I28&lt;&gt;""),IF(J29="subsidieverlaging",MIN(E29:F29)/IF($F$28&lt;&gt;"",SUMIFS($F$29:$F$38,$K$29:$K$38,"&gt;0"),SUMIFS($E$29:$E$38,$K$29:$K$38,"&gt;0"))*IF($F$28&lt;&gt;"",SUMIFS($F$29:$F$38,$K$29:$K$38,""),SUMIFS($E$29:$E$38,$K$29:$K$38,""))/(1-$K$39)*$K$39,MIN(E29:F29)),"")</f>
        <v/>
      </c>
      <c r="J29" s="26" t="str">
        <f ca="1">IF(AND(K29&lt;&gt;"",$J$28&lt;&gt;""),IF(IF($F$28&lt;&gt;"",SUMIFS($F$29:$F$38,$K$29:$K$38,""),SUMIFS($E$29:$E$38,$K$29:$K$38,""))/(1-$K$39)*$K$39 &gt; IF($F$28&lt;&gt;"",SUMIFS($F$29:$F$38,$K$29:$K$38,"&gt;0"),SUMIFS($E$29:$E$38,$K$29:$K$38,"&gt;0")),"geen verlaging","subsidieverlaging"),"")</f>
        <v/>
      </c>
      <c r="K29" s="289" t="str" cm="1">
        <f t="array" aca="1" ref="K29" ca="1">IFERROR(IF(SUMIFS(SubsidieTabel!$U:$U,SubsidieTabel!$A:$A,B29)&gt;0,IFERROR(VLOOKUP(Openstelling_Keuze,IF(ISBLANK(Tb_Openstelling[SIG_%]),0,Tb_Openstelling[]),MATCH(Tb_Openstelling[[#Headers],[SIG_%]],Tb_Openstelling[#Headers],0),0),0.25),""),"")</f>
        <v/>
      </c>
      <c r="S29" s="25"/>
      <c r="T29" s="25"/>
      <c r="U29" s="25"/>
      <c r="V29" s="25"/>
      <c r="W29" s="25"/>
      <c r="X29" s="25"/>
      <c r="Y29" s="25"/>
      <c r="Z29" s="25"/>
      <c r="AA29" s="25"/>
    </row>
    <row r="30" spans="2:27" s="26" customFormat="1" x14ac:dyDescent="0.25">
      <c r="B30" s="367"/>
      <c r="C30" s="89" t="str">
        <f>IF(B30&lt;&gt;"",SUMIFS('5. Kosten uitvoering project'!$R:$R,'5. Kosten uitvoering project'!$E:$E,'6. Begrotingsoverzicht'!B30)+SUMIFS('5. Kosten uitvoering project'!$U:$U,'5. Kosten uitvoering project'!$E:$E,'6. Begrotingsoverzicht'!B30),"")</f>
        <v/>
      </c>
      <c r="D30" s="90" t="str">
        <f>IFERROR(VLOOKUP(B30,Lijsten!$AK:$AL,2,0),"")</f>
        <v/>
      </c>
      <c r="E30" s="89" t="str">
        <f t="shared" ref="E30:E38" si="2">IF(B30&lt;&gt;"",IF(PRODUCT(C30,D30)&lt;&gt;0,PRODUCT(C30,D30),0),"")</f>
        <v/>
      </c>
      <c r="F30" s="353" t="str">
        <f ca="1">IFERROR(IF(AND(F$28&lt;&gt;""),IF(AND(H30&lt;&gt;"",H30&lt;IFERROR(SUMIFS(SubsidieTabel!$J:$J,SubsidieTabel!$A:$A,$B30,SubsidieTabel!$C:$C,$B$44)/SUMIFS(SubsidieTabel!$J:$J,SubsidieTabel!$C:$C,$B$44)*$D$51*$D30+SUMIFS(SubsidieTabel!$J:$J,SubsidieTabel!$A:$A,$B30,SubsidieTabel!$C:$C,"&lt;&gt;"&amp;$B$44),0)*$D30),H30,SUMIFS(SubsidieTabel!$J:$J,SubsidieTabel!$A:$A,$B30,SubsidieTabel!$C:$C,$B$44)/SUMIFS(SubsidieTabel!$J:$J,SubsidieTabel!$C:$C,$B$44)*$D$51*$D30+SUMIFS(SubsidieTabel!$J:$J,SubsidieTabel!$A:$A,$B30,SubsidieTabel!$C:$C,"&lt;&gt;"&amp;$B$44)*$D30),""),"")</f>
        <v/>
      </c>
      <c r="G30" s="354" t="str">
        <f>IFERROR(IF(AND(G$28&lt;&gt;"",SUMIFS(SubsidieTabel!$Q:$Q,SubsidieTabel!$A:$A,$B30)&gt;0),H47*D30,IF(G$28&lt;&gt;"",E30,"")),"")</f>
        <v/>
      </c>
      <c r="H30" s="354" t="str">
        <f>IFERROR(IF(AND(H$28&lt;&gt;"",E30&lt;&gt;"",SUMIFS(SubsidieTabel!$S:$S,SubsidieTabel!$A:$A,$B30)&gt;0),$H$56*D30,IF(AND(H$28&lt;&gt;"",E30&lt;&gt;""),MIN(E30,G30),"")),"")</f>
        <v/>
      </c>
      <c r="I30" s="355" t="str">
        <f t="shared" ref="I30:I38" ca="1" si="3">IF(AND(E30&lt;&gt;"",I29&lt;&gt;""),IF(J30="subsidieverlaging",MIN(E30:F30)/IF($F$28&lt;&gt;"",SUMIFS($F$29:$F$38,$K$29:$K$38,"&gt;0"),SUMIFS($E$29:$E$38,$K$29:$K$38,"&gt;0"))*IF($F$28&lt;&gt;"",SUMIFS($F$29:$F$38,$K$29:$K$38,""),SUMIFS($E$29:$E$38,$K$29:$K$38,""))/(1-$K$39)*$K$39,MIN(E30:F30)),"")</f>
        <v/>
      </c>
      <c r="J30" s="26" t="str">
        <f t="shared" ref="J30:J38" ca="1" si="4">IF(AND(K30&lt;&gt;"",$J$28&lt;&gt;""),IF(IF($F$28&lt;&gt;"",SUMIFS($F$29:$F$38,$K$29:$K$38,""),SUMIFS($E$29:$E$38,$K$29:$K$38,""))/(1-$K$39)*$K$39 &gt; IF($F$28&lt;&gt;"",SUMIFS($F$29:$F$38,$K$29:$K$38,"&gt;0"),SUMIFS($E$29:$E$38,$K$29:$K$38,"&gt;0")),"geen verlaging","subsidieverlaging"),"")</f>
        <v/>
      </c>
      <c r="K30" s="289" t="str" cm="1">
        <f t="array" ref="K30">IFERROR(IF(SUMIFS(SubsidieTabel!$U:$U,SubsidieTabel!$A:$A,B30)&gt;0,IFERROR(VLOOKUP(Openstelling_Keuze,IF(ISBLANK(Tb_Openstelling[SIG_%]),0,Tb_Openstelling[]),MATCH(Tb_Openstelling[[#Headers],[SIG_%]],Tb_Openstelling[#Headers],0),0),0.25),""),"")</f>
        <v/>
      </c>
      <c r="S30" s="25"/>
      <c r="T30" s="25"/>
      <c r="U30" s="25"/>
      <c r="V30" s="25"/>
      <c r="W30" s="25"/>
      <c r="X30" s="25"/>
      <c r="Y30" s="25"/>
      <c r="Z30" s="25"/>
      <c r="AA30" s="25"/>
    </row>
    <row r="31" spans="2:27" s="26" customFormat="1" x14ac:dyDescent="0.25">
      <c r="B31" s="367"/>
      <c r="C31" s="89" t="str">
        <f>IF(B31&lt;&gt;"",SUMIFS('5. Kosten uitvoering project'!$R:$R,'5. Kosten uitvoering project'!$E:$E,'6. Begrotingsoverzicht'!B31)+SUMIFS('5. Kosten uitvoering project'!$U:$U,'5. Kosten uitvoering project'!$E:$E,'6. Begrotingsoverzicht'!B31),"")</f>
        <v/>
      </c>
      <c r="D31" s="90" t="str">
        <f>IFERROR(VLOOKUP(B31,Lijsten!$AK:$AL,2,0),"")</f>
        <v/>
      </c>
      <c r="E31" s="89" t="str">
        <f t="shared" si="2"/>
        <v/>
      </c>
      <c r="F31" s="353" t="str">
        <f ca="1">IFERROR(IF(AND(F$28&lt;&gt;""),IF(AND(H31&lt;&gt;"",H31&lt;IFERROR(SUMIFS(SubsidieTabel!$J:$J,SubsidieTabel!$A:$A,$B31,SubsidieTabel!$C:$C,$B$44)/SUMIFS(SubsidieTabel!$J:$J,SubsidieTabel!$C:$C,$B$44)*$D$51*$D31+SUMIFS(SubsidieTabel!$J:$J,SubsidieTabel!$A:$A,$B31,SubsidieTabel!$C:$C,"&lt;&gt;"&amp;$B$44),0)*$D31),H31,SUMIFS(SubsidieTabel!$J:$J,SubsidieTabel!$A:$A,$B31,SubsidieTabel!$C:$C,$B$44)/SUMIFS(SubsidieTabel!$J:$J,SubsidieTabel!$C:$C,$B$44)*$D$51*$D31+SUMIFS(SubsidieTabel!$J:$J,SubsidieTabel!$A:$A,$B31,SubsidieTabel!$C:$C,"&lt;&gt;"&amp;$B$44)*$D31),""),"")</f>
        <v/>
      </c>
      <c r="G31" s="354" t="str">
        <f>IFERROR(IF(AND(G$28&lt;&gt;"",SUMIFS(SubsidieTabel!$Q:$Q,SubsidieTabel!$A:$A,$B31)&gt;0),H48*D31,IF(G$28&lt;&gt;"",E31,"")),"")</f>
        <v/>
      </c>
      <c r="H31" s="354" t="str">
        <f>IFERROR(IF(AND(H$28&lt;&gt;"",E31&lt;&gt;"",SUMIFS(SubsidieTabel!$S:$S,SubsidieTabel!$A:$A,$B31)&gt;0),$H$56*D31,IF(AND(H$28&lt;&gt;"",E31&lt;&gt;""),MIN(E31,G31),"")),"")</f>
        <v/>
      </c>
      <c r="I31" s="355" t="str">
        <f t="shared" ca="1" si="3"/>
        <v/>
      </c>
      <c r="J31" s="26" t="str">
        <f t="shared" ca="1" si="4"/>
        <v/>
      </c>
      <c r="K31" s="289" t="str" cm="1">
        <f t="array" ref="K31">IFERROR(IF(SUMIFS(SubsidieTabel!$U:$U,SubsidieTabel!$A:$A,B31)&gt;0,IFERROR(VLOOKUP(Openstelling_Keuze,IF(ISBLANK(Tb_Openstelling[SIG_%]),0,Tb_Openstelling[]),MATCH(Tb_Openstelling[[#Headers],[SIG_%]],Tb_Openstelling[#Headers],0),0),0.25),""),"")</f>
        <v/>
      </c>
      <c r="S31" s="25"/>
      <c r="T31" s="25"/>
      <c r="U31" s="25"/>
      <c r="V31" s="25"/>
      <c r="W31" s="25"/>
      <c r="X31" s="25"/>
      <c r="Y31" s="25"/>
      <c r="Z31" s="25"/>
      <c r="AA31" s="25"/>
    </row>
    <row r="32" spans="2:27" s="26" customFormat="1" x14ac:dyDescent="0.25">
      <c r="B32" s="367"/>
      <c r="C32" s="89" t="str">
        <f>IF(B32&lt;&gt;"",SUMIFS('5. Kosten uitvoering project'!$R:$R,'5. Kosten uitvoering project'!$E:$E,'6. Begrotingsoverzicht'!B32)+SUMIFS('5. Kosten uitvoering project'!$U:$U,'5. Kosten uitvoering project'!$E:$E,'6. Begrotingsoverzicht'!B32),"")</f>
        <v/>
      </c>
      <c r="D32" s="90" t="str">
        <f>IFERROR(VLOOKUP(B32,Lijsten!$AK:$AL,2,0),"")</f>
        <v/>
      </c>
      <c r="E32" s="89" t="str">
        <f t="shared" si="2"/>
        <v/>
      </c>
      <c r="F32" s="353" t="str">
        <f ca="1">IFERROR(IF(AND(F$28&lt;&gt;""),IF(AND(H32&lt;&gt;"",H32&lt;IFERROR(SUMIFS(SubsidieTabel!$J:$J,SubsidieTabel!$A:$A,$B32,SubsidieTabel!$C:$C,$B$44)/SUMIFS(SubsidieTabel!$J:$J,SubsidieTabel!$C:$C,$B$44)*$D$51*$D32+SUMIFS(SubsidieTabel!$J:$J,SubsidieTabel!$A:$A,$B32,SubsidieTabel!$C:$C,"&lt;&gt;"&amp;$B$44),0)*$D32),H32,SUMIFS(SubsidieTabel!$J:$J,SubsidieTabel!$A:$A,$B32,SubsidieTabel!$C:$C,$B$44)/SUMIFS(SubsidieTabel!$J:$J,SubsidieTabel!$C:$C,$B$44)*$D$51*$D32+SUMIFS(SubsidieTabel!$J:$J,SubsidieTabel!$A:$A,$B32,SubsidieTabel!$C:$C,"&lt;&gt;"&amp;$B$44)*$D32),""),"")</f>
        <v/>
      </c>
      <c r="G32" s="354" t="str">
        <f>IFERROR(IF(AND(G$28&lt;&gt;"",SUMIFS(SubsidieTabel!$Q:$Q,SubsidieTabel!$A:$A,$B32)&gt;0),H49*D32,IF(G$28&lt;&gt;"",E32,"")),"")</f>
        <v/>
      </c>
      <c r="H32" s="354" t="str">
        <f>IFERROR(IF(AND(H$28&lt;&gt;"",E32&lt;&gt;"",SUMIFS(SubsidieTabel!$S:$S,SubsidieTabel!$A:$A,$B32)&gt;0),$H$56*D32,IF(AND(H$28&lt;&gt;"",E32&lt;&gt;""),MIN(E32,G32),"")),"")</f>
        <v/>
      </c>
      <c r="I32" s="355" t="str">
        <f t="shared" ca="1" si="3"/>
        <v/>
      </c>
      <c r="J32" s="26" t="str">
        <f t="shared" ca="1" si="4"/>
        <v/>
      </c>
      <c r="K32" s="289" t="str" cm="1">
        <f t="array" ref="K32">IFERROR(IF(SUMIFS(SubsidieTabel!$U:$U,SubsidieTabel!$A:$A,B32)&gt;0,IFERROR(VLOOKUP(Openstelling_Keuze,IF(ISBLANK(Tb_Openstelling[SIG_%]),0,Tb_Openstelling[]),MATCH(Tb_Openstelling[[#Headers],[SIG_%]],Tb_Openstelling[#Headers],0),0),0.25),""),"")</f>
        <v/>
      </c>
      <c r="S32" s="25"/>
      <c r="T32" s="25"/>
      <c r="U32" s="25"/>
      <c r="V32" s="25"/>
      <c r="W32" s="25"/>
      <c r="X32" s="25"/>
      <c r="Y32" s="25"/>
      <c r="Z32" s="25"/>
      <c r="AA32" s="25"/>
    </row>
    <row r="33" spans="2:17" s="26" customFormat="1" x14ac:dyDescent="0.25">
      <c r="B33" s="367"/>
      <c r="C33" s="89" t="str">
        <f>IF(B33&lt;&gt;"",SUMIFS('5. Kosten uitvoering project'!$R:$R,'5. Kosten uitvoering project'!$E:$E,'6. Begrotingsoverzicht'!B33)+SUMIFS('5. Kosten uitvoering project'!$U:$U,'5. Kosten uitvoering project'!$E:$E,'6. Begrotingsoverzicht'!B33),"")</f>
        <v/>
      </c>
      <c r="D33" s="90" t="str">
        <f>IFERROR(VLOOKUP(B33,Lijsten!$AK:$AL,2,0),"")</f>
        <v/>
      </c>
      <c r="E33" s="89" t="str">
        <f t="shared" si="2"/>
        <v/>
      </c>
      <c r="F33" s="353" t="str">
        <f ca="1">IFERROR(IF(AND(F$28&lt;&gt;""),IF(AND(H33&lt;&gt;"",H33&lt;IFERROR(SUMIFS(SubsidieTabel!$J:$J,SubsidieTabel!$A:$A,$B33,SubsidieTabel!$C:$C,$B$44)/SUMIFS(SubsidieTabel!$J:$J,SubsidieTabel!$C:$C,$B$44)*$D$51*$D33+SUMIFS(SubsidieTabel!$J:$J,SubsidieTabel!$A:$A,$B33,SubsidieTabel!$C:$C,"&lt;&gt;"&amp;$B$44),0)*$D33),H33,SUMIFS(SubsidieTabel!$J:$J,SubsidieTabel!$A:$A,$B33,SubsidieTabel!$C:$C,$B$44)/SUMIFS(SubsidieTabel!$J:$J,SubsidieTabel!$C:$C,$B$44)*$D$51*$D33+SUMIFS(SubsidieTabel!$J:$J,SubsidieTabel!$A:$A,$B33,SubsidieTabel!$C:$C,"&lt;&gt;"&amp;$B$44)*$D33),""),"")</f>
        <v/>
      </c>
      <c r="G33" s="354" t="str">
        <f>IFERROR(IF(AND(G$28&lt;&gt;"",SUMIFS(SubsidieTabel!$Q:$Q,SubsidieTabel!$A:$A,$B33)&gt;0),H50*D33,IF(G$28&lt;&gt;"",E33,"")),"")</f>
        <v/>
      </c>
      <c r="H33" s="354" t="str">
        <f>IFERROR(IF(AND(H$28&lt;&gt;"",E33&lt;&gt;"",SUMIFS(SubsidieTabel!$S:$S,SubsidieTabel!$A:$A,$B33)&gt;0),$H$56*D33,IF(AND(H$28&lt;&gt;"",E33&lt;&gt;""),MIN(E33,G33),"")),"")</f>
        <v/>
      </c>
      <c r="I33" s="355" t="str">
        <f t="shared" ca="1" si="3"/>
        <v/>
      </c>
      <c r="J33" s="26" t="str">
        <f t="shared" ca="1" si="4"/>
        <v/>
      </c>
      <c r="K33" s="289" t="str" cm="1">
        <f t="array" ref="K33">IFERROR(IF(SUMIFS(SubsidieTabel!$U:$U,SubsidieTabel!$A:$A,B33)&gt;0,IFERROR(VLOOKUP(Openstelling_Keuze,IF(ISBLANK(Tb_Openstelling[SIG_%]),0,Tb_Openstelling[]),MATCH(Tb_Openstelling[[#Headers],[SIG_%]],Tb_Openstelling[#Headers],0),0),0.25),""),"")</f>
        <v/>
      </c>
    </row>
    <row r="34" spans="2:17" s="26" customFormat="1" x14ac:dyDescent="0.25">
      <c r="B34" s="367"/>
      <c r="C34" s="89" t="str">
        <f>IF(B34&lt;&gt;"",SUMIFS('5. Kosten uitvoering project'!$R:$R,'5. Kosten uitvoering project'!$E:$E,'6. Begrotingsoverzicht'!B34)+SUMIFS('5. Kosten uitvoering project'!$U:$U,'5. Kosten uitvoering project'!$E:$E,'6. Begrotingsoverzicht'!B34),"")</f>
        <v/>
      </c>
      <c r="D34" s="90" t="str">
        <f>IFERROR(VLOOKUP(B34,Lijsten!$AK:$AL,2,0),"")</f>
        <v/>
      </c>
      <c r="E34" s="89" t="str">
        <f t="shared" si="2"/>
        <v/>
      </c>
      <c r="F34" s="353" t="str">
        <f ca="1">IFERROR(IF(AND(F$28&lt;&gt;""),IF(AND(H34&lt;&gt;"",H34&lt;IFERROR(SUMIFS(SubsidieTabel!$J:$J,SubsidieTabel!$A:$A,$B34,SubsidieTabel!$C:$C,$B$44)/SUMIFS(SubsidieTabel!$J:$J,SubsidieTabel!$C:$C,$B$44)*$D$51*$D34+SUMIFS(SubsidieTabel!$J:$J,SubsidieTabel!$A:$A,$B34,SubsidieTabel!$C:$C,"&lt;&gt;"&amp;$B$44),0)*$D34),H34,SUMIFS(SubsidieTabel!$J:$J,SubsidieTabel!$A:$A,$B34,SubsidieTabel!$C:$C,$B$44)/SUMIFS(SubsidieTabel!$J:$J,SubsidieTabel!$C:$C,$B$44)*$D$51*$D34+SUMIFS(SubsidieTabel!$J:$J,SubsidieTabel!$A:$A,$B34,SubsidieTabel!$C:$C,"&lt;&gt;"&amp;$B$44)*$D34),""),"")</f>
        <v/>
      </c>
      <c r="G34" s="354" t="str">
        <f>IFERROR(IF(AND(G$28&lt;&gt;"",SUMIFS(SubsidieTabel!$Q:$Q,SubsidieTabel!$A:$A,$B34)&gt;0),H51*D34,IF(G$28&lt;&gt;"",E34,"")),"")</f>
        <v/>
      </c>
      <c r="H34" s="354" t="str">
        <f>IFERROR(IF(AND(H$28&lt;&gt;"",E34&lt;&gt;"",SUMIFS(SubsidieTabel!$S:$S,SubsidieTabel!$A:$A,$B34)&gt;0),$H$56*D34,IF(AND(H$28&lt;&gt;"",E34&lt;&gt;""),MIN(E34,G34),"")),"")</f>
        <v/>
      </c>
      <c r="I34" s="355" t="str">
        <f t="shared" ca="1" si="3"/>
        <v/>
      </c>
      <c r="J34" s="26" t="str">
        <f t="shared" ca="1" si="4"/>
        <v/>
      </c>
      <c r="K34" s="289" t="str" cm="1">
        <f t="array" ref="K34">IFERROR(IF(SUMIFS(SubsidieTabel!$U:$U,SubsidieTabel!$A:$A,B34)&gt;0,IFERROR(VLOOKUP(Openstelling_Keuze,IF(ISBLANK(Tb_Openstelling[SIG_%]),0,Tb_Openstelling[]),MATCH(Tb_Openstelling[[#Headers],[SIG_%]],Tb_Openstelling[#Headers],0),0),0.25),""),"")</f>
        <v/>
      </c>
    </row>
    <row r="35" spans="2:17" s="26" customFormat="1" x14ac:dyDescent="0.25">
      <c r="B35" s="367"/>
      <c r="C35" s="89" t="str">
        <f>IF(B35&lt;&gt;"",SUMIFS('5. Kosten uitvoering project'!$R:$R,'5. Kosten uitvoering project'!$E:$E,'6. Begrotingsoverzicht'!B35)+SUMIFS('5. Kosten uitvoering project'!$U:$U,'5. Kosten uitvoering project'!$E:$E,'6. Begrotingsoverzicht'!B35),"")</f>
        <v/>
      </c>
      <c r="D35" s="90" t="str">
        <f>IFERROR(VLOOKUP(B35,Lijsten!$AK:$AL,2,0),"")</f>
        <v/>
      </c>
      <c r="E35" s="89" t="str">
        <f t="shared" si="2"/>
        <v/>
      </c>
      <c r="F35" s="353" t="str">
        <f ca="1">IFERROR(IF(AND(F$28&lt;&gt;""),IF(AND(H35&lt;&gt;"",H35&lt;IFERROR(SUMIFS(SubsidieTabel!$J:$J,SubsidieTabel!$A:$A,$B35,SubsidieTabel!$C:$C,$B$44)/SUMIFS(SubsidieTabel!$J:$J,SubsidieTabel!$C:$C,$B$44)*$D$51*$D35+SUMIFS(SubsidieTabel!$J:$J,SubsidieTabel!$A:$A,$B35,SubsidieTabel!$C:$C,"&lt;&gt;"&amp;$B$44),0)*$D35),H35,SUMIFS(SubsidieTabel!$J:$J,SubsidieTabel!$A:$A,$B35,SubsidieTabel!$C:$C,$B$44)/SUMIFS(SubsidieTabel!$J:$J,SubsidieTabel!$C:$C,$B$44)*$D$51*$D35+SUMIFS(SubsidieTabel!$J:$J,SubsidieTabel!$A:$A,$B35,SubsidieTabel!$C:$C,"&lt;&gt;"&amp;$B$44)*$D35),""),"")</f>
        <v/>
      </c>
      <c r="G35" s="354" t="str">
        <f>IFERROR(IF(AND(G$28&lt;&gt;"",SUMIFS(SubsidieTabel!$Q:$Q,SubsidieTabel!$A:$A,$B35)&gt;0),H52*D35,IF(G$28&lt;&gt;"",E35,"")),"")</f>
        <v/>
      </c>
      <c r="H35" s="354" t="str">
        <f>IFERROR(IF(AND(H$28&lt;&gt;"",E35&lt;&gt;"",SUMIFS(SubsidieTabel!$S:$S,SubsidieTabel!$A:$A,$B35)&gt;0),$H$56*D35,IF(AND(H$28&lt;&gt;"",E35&lt;&gt;""),MIN(E35,G35),"")),"")</f>
        <v/>
      </c>
      <c r="I35" s="355" t="str">
        <f t="shared" ca="1" si="3"/>
        <v/>
      </c>
      <c r="J35" s="26" t="str">
        <f t="shared" ca="1" si="4"/>
        <v/>
      </c>
      <c r="K35" s="289" t="str" cm="1">
        <f t="array" ref="K35">IFERROR(IF(SUMIFS(SubsidieTabel!$U:$U,SubsidieTabel!$A:$A,B35)&gt;0,IFERROR(VLOOKUP(Openstelling_Keuze,IF(ISBLANK(Tb_Openstelling[SIG_%]),0,Tb_Openstelling[]),MATCH(Tb_Openstelling[[#Headers],[SIG_%]],Tb_Openstelling[#Headers],0),0),0.25),""),"")</f>
        <v/>
      </c>
    </row>
    <row r="36" spans="2:17" s="26" customFormat="1" x14ac:dyDescent="0.25">
      <c r="B36" s="367"/>
      <c r="C36" s="89" t="str">
        <f>IF(B36&lt;&gt;"",SUMIFS('5. Kosten uitvoering project'!$R:$R,'5. Kosten uitvoering project'!$E:$E,'6. Begrotingsoverzicht'!B36)+SUMIFS('5. Kosten uitvoering project'!$U:$U,'5. Kosten uitvoering project'!$E:$E,'6. Begrotingsoverzicht'!B36),"")</f>
        <v/>
      </c>
      <c r="D36" s="90" t="str">
        <f>IFERROR(VLOOKUP(B36,Lijsten!$AK:$AL,2,0),"")</f>
        <v/>
      </c>
      <c r="E36" s="89" t="str">
        <f t="shared" si="2"/>
        <v/>
      </c>
      <c r="F36" s="353" t="str">
        <f ca="1">IFERROR(IF(AND(F$28&lt;&gt;""),IF(AND(H36&lt;&gt;"",H36&lt;IFERROR(SUMIFS(SubsidieTabel!$J:$J,SubsidieTabel!$A:$A,$B36,SubsidieTabel!$C:$C,$B$44)/SUMIFS(SubsidieTabel!$J:$J,SubsidieTabel!$C:$C,$B$44)*$D$51*$D36+SUMIFS(SubsidieTabel!$J:$J,SubsidieTabel!$A:$A,$B36,SubsidieTabel!$C:$C,"&lt;&gt;"&amp;$B$44),0)*$D36),H36,SUMIFS(SubsidieTabel!$J:$J,SubsidieTabel!$A:$A,$B36,SubsidieTabel!$C:$C,$B$44)/SUMIFS(SubsidieTabel!$J:$J,SubsidieTabel!$C:$C,$B$44)*$D$51*$D36+SUMIFS(SubsidieTabel!$J:$J,SubsidieTabel!$A:$A,$B36,SubsidieTabel!$C:$C,"&lt;&gt;"&amp;$B$44)*$D36),""),"")</f>
        <v/>
      </c>
      <c r="G36" s="354" t="str">
        <f>IFERROR(IF(AND(G$28&lt;&gt;"",SUMIFS(SubsidieTabel!$Q:$Q,SubsidieTabel!$A:$A,$B36)&gt;0),H53*D36,IF(G$28&lt;&gt;"",E36,"")),"")</f>
        <v/>
      </c>
      <c r="H36" s="354" t="str">
        <f>IFERROR(IF(AND(H$28&lt;&gt;"",E36&lt;&gt;"",SUMIFS(SubsidieTabel!$S:$S,SubsidieTabel!$A:$A,$B36)&gt;0),$H$56*D36,IF(AND(H$28&lt;&gt;"",E36&lt;&gt;""),MIN(E36,G36),"")),"")</f>
        <v/>
      </c>
      <c r="I36" s="355" t="str">
        <f t="shared" ca="1" si="3"/>
        <v/>
      </c>
      <c r="J36" s="26" t="str">
        <f t="shared" ca="1" si="4"/>
        <v/>
      </c>
      <c r="K36" s="289" t="str" cm="1">
        <f t="array" ref="K36">IFERROR(IF(SUMIFS(SubsidieTabel!$U:$U,SubsidieTabel!$A:$A,B36)&gt;0,IFERROR(VLOOKUP(Openstelling_Keuze,IF(ISBLANK(Tb_Openstelling[SIG_%]),0,Tb_Openstelling[]),MATCH(Tb_Openstelling[[#Headers],[SIG_%]],Tb_Openstelling[#Headers],0),0),0.25),""),"")</f>
        <v/>
      </c>
    </row>
    <row r="37" spans="2:17" s="26" customFormat="1" x14ac:dyDescent="0.25">
      <c r="B37" s="367"/>
      <c r="C37" s="89" t="str">
        <f>IF(B37&lt;&gt;"",SUMIFS('5. Kosten uitvoering project'!$R:$R,'5. Kosten uitvoering project'!$E:$E,'6. Begrotingsoverzicht'!B37)+SUMIFS('5. Kosten uitvoering project'!$U:$U,'5. Kosten uitvoering project'!$E:$E,'6. Begrotingsoverzicht'!B37),"")</f>
        <v/>
      </c>
      <c r="D37" s="90" t="str">
        <f>IFERROR(VLOOKUP(B37,Lijsten!$AK:$AL,2,0),"")</f>
        <v/>
      </c>
      <c r="E37" s="89" t="str">
        <f t="shared" si="2"/>
        <v/>
      </c>
      <c r="F37" s="353" t="str">
        <f ca="1">IFERROR(IF(AND(F$28&lt;&gt;""),IF(AND(H37&lt;&gt;"",H37&lt;IFERROR(SUMIFS(SubsidieTabel!$J:$J,SubsidieTabel!$A:$A,$B37,SubsidieTabel!$C:$C,$B$44)/SUMIFS(SubsidieTabel!$J:$J,SubsidieTabel!$C:$C,$B$44)*$D$51*$D37+SUMIFS(SubsidieTabel!$J:$J,SubsidieTabel!$A:$A,$B37,SubsidieTabel!$C:$C,"&lt;&gt;"&amp;$B$44),0)*$D37),H37,SUMIFS(SubsidieTabel!$J:$J,SubsidieTabel!$A:$A,$B37,SubsidieTabel!$C:$C,$B$44)/SUMIFS(SubsidieTabel!$J:$J,SubsidieTabel!$C:$C,$B$44)*$D$51*$D37+SUMIFS(SubsidieTabel!$J:$J,SubsidieTabel!$A:$A,$B37,SubsidieTabel!$C:$C,"&lt;&gt;"&amp;$B$44)*$D37),""),"")</f>
        <v/>
      </c>
      <c r="G37" s="354" t="str">
        <f>IFERROR(IF(AND(G$28&lt;&gt;"",SUMIFS(SubsidieTabel!$Q:$Q,SubsidieTabel!$A:$A,$B37)&gt;0),H54*D37,IF(G$28&lt;&gt;"",E37,"")),"")</f>
        <v/>
      </c>
      <c r="H37" s="354" t="str">
        <f>IFERROR(IF(AND(H$28&lt;&gt;"",E37&lt;&gt;"",SUMIFS(SubsidieTabel!$S:$S,SubsidieTabel!$A:$A,$B37)&gt;0),$H$56*D37,IF(AND(H$28&lt;&gt;"",E37&lt;&gt;""),MIN(E37,G37),"")),"")</f>
        <v/>
      </c>
      <c r="I37" s="355" t="str">
        <f t="shared" ca="1" si="3"/>
        <v/>
      </c>
      <c r="J37" s="26" t="str">
        <f t="shared" ca="1" si="4"/>
        <v/>
      </c>
      <c r="K37" s="289" t="str" cm="1">
        <f t="array" ref="K37">IFERROR(IF(SUMIFS(SubsidieTabel!$U:$U,SubsidieTabel!$A:$A,B37)&gt;0,IFERROR(VLOOKUP(Openstelling_Keuze,IF(ISBLANK(Tb_Openstelling[SIG_%]),0,Tb_Openstelling[]),MATCH(Tb_Openstelling[[#Headers],[SIG_%]],Tb_Openstelling[#Headers],0),0),0.25),""),"")</f>
        <v/>
      </c>
    </row>
    <row r="38" spans="2:17" x14ac:dyDescent="0.25">
      <c r="B38" s="367"/>
      <c r="C38" s="89" t="str">
        <f>IF(B38&lt;&gt;"",SUMIFS('5. Kosten uitvoering project'!$R:$R,'5. Kosten uitvoering project'!$E:$E,'6. Begrotingsoverzicht'!B38)+SUMIFS('5. Kosten uitvoering project'!$U:$U,'5. Kosten uitvoering project'!$E:$E,'6. Begrotingsoverzicht'!B38),"")</f>
        <v/>
      </c>
      <c r="D38" s="90" t="str">
        <f>IFERROR(VLOOKUP(B38,Lijsten!$AK:$AL,2,0),"")</f>
        <v/>
      </c>
      <c r="E38" s="89" t="str">
        <f t="shared" si="2"/>
        <v/>
      </c>
      <c r="F38" s="353" t="str">
        <f ca="1">IFERROR(IF(AND(F$28&lt;&gt;""),IF(AND(H38&lt;&gt;"",H38&lt;IFERROR(SUMIFS(SubsidieTabel!$J:$J,SubsidieTabel!$A:$A,$B38,SubsidieTabel!$C:$C,$B$44)/SUMIFS(SubsidieTabel!$J:$J,SubsidieTabel!$C:$C,$B$44)*$D$51*$D38+SUMIFS(SubsidieTabel!$J:$J,SubsidieTabel!$A:$A,$B38,SubsidieTabel!$C:$C,"&lt;&gt;"&amp;$B$44),0)*$D38),H38,SUMIFS(SubsidieTabel!$J:$J,SubsidieTabel!$A:$A,$B38,SubsidieTabel!$C:$C,$B$44)/SUMIFS(SubsidieTabel!$J:$J,SubsidieTabel!$C:$C,$B$44)*$D$51*$D38+SUMIFS(SubsidieTabel!$J:$J,SubsidieTabel!$A:$A,$B38,SubsidieTabel!$C:$C,"&lt;&gt;"&amp;$B$44)*$D38),""),"")</f>
        <v/>
      </c>
      <c r="G38" s="354" t="str">
        <f>IFERROR(IF(AND(G$28&lt;&gt;"",SUMIFS(SubsidieTabel!$Q:$Q,SubsidieTabel!$A:$A,$B38)&gt;0),H55*D38,IF(G$28&lt;&gt;"",E38,"")),"")</f>
        <v/>
      </c>
      <c r="H38" s="354" t="str">
        <f>IFERROR(IF(AND(H$28&lt;&gt;"",E38&lt;&gt;"",SUMIFS(SubsidieTabel!$S:$S,SubsidieTabel!$A:$A,$B38)&gt;0),$H$56*D38,IF(AND(H$28&lt;&gt;"",E38&lt;&gt;""),MIN(E38,G38),"")),"")</f>
        <v/>
      </c>
      <c r="I38" s="355" t="str">
        <f t="shared" ca="1" si="3"/>
        <v/>
      </c>
      <c r="J38" s="26" t="str">
        <f t="shared" ca="1" si="4"/>
        <v/>
      </c>
      <c r="K38" s="289" t="str" cm="1">
        <f t="array" ref="K38">IFERROR(IF(SUMIFS(SubsidieTabel!$U:$U,SubsidieTabel!$A:$A,B38)&gt;0,IFERROR(VLOOKUP(Openstelling_Keuze,IF(ISBLANK(Tb_Openstelling[SIG_%]),0,Tb_Openstelling[]),MATCH(Tb_Openstelling[[#Headers],[SIG_%]],Tb_Openstelling[#Headers],0),0),0.25),""),"")</f>
        <v/>
      </c>
    </row>
    <row r="39" spans="2:17" s="26" customFormat="1" ht="30" customHeight="1" x14ac:dyDescent="0.25">
      <c r="B39" s="94"/>
      <c r="C39" s="94"/>
      <c r="D39" s="94"/>
      <c r="E39" s="94"/>
      <c r="F39" s="356" t="str">
        <f ca="1">IF(SUM(F29:F38)&gt;0,FLOOR(SUM(F29:F38),0.01),"")</f>
        <v/>
      </c>
      <c r="G39" s="356" t="str">
        <f ca="1">IF(SUM(G29:G38)&gt;0,SUM(G29:G38),"")</f>
        <v/>
      </c>
      <c r="H39" s="356" t="str">
        <f ca="1">IF(SUM(H29:H38)&gt;0,SUM(H29:H38),"")</f>
        <v/>
      </c>
      <c r="I39" s="356" t="str">
        <f ca="1">IF(SUM(I29:I38)&gt;0,FLOOR(SUM(I29:I38),0.01),"")</f>
        <v/>
      </c>
      <c r="J39" s="357" t="str">
        <f ca="1">IF($J$28&lt;&gt;"",IF(COUNTIF($J$29:$J$38,"subsidieverlaging")&gt;0,"Activiteiten maximaal "&amp;TEXT(K39,"#,00%")&amp;" (werkelijk: " &amp; TEXT(IF($F$28&lt;&gt;"",SUMIFS($F$29:$F$38,$K$29:$K$38,"&gt;0"),SUMIFS($E$29:$E$38,$K$29:$K$38,"&gt;0"))/(IF(F28&lt;&gt;"",$F$39,$E$40)),"#,00%")&amp;")","Activiteiten onder maximum "&amp;TEXT(K39,"#,00%")&amp;" (werkelijk: " &amp; TEXT(IF($F$28&lt;&gt;"",SUMIFS($F$29:$F$38,$K$29:$K$38,"&gt;0"),SUMIFS($E$29:$E$38,$K$29:$K$38,"&gt;0"))/(IF(F28&lt;&gt;"",$F$39,$E$40)),"#,00%")&amp;")"),"")</f>
        <v/>
      </c>
      <c r="K39" s="269" t="str">
        <f ca="1">IFERROR(AVERAGEIF($K$29:$K$38,"&lt;&gt;""",$K$29:$K$38),"")</f>
        <v/>
      </c>
    </row>
    <row r="40" spans="2:17" s="26" customFormat="1" ht="15" customHeight="1" x14ac:dyDescent="0.25">
      <c r="D40" s="108" t="s">
        <v>131</v>
      </c>
      <c r="E40" s="89">
        <f ca="1">IFERROR(FLOOR(SUMPRODUCT(D29:D38,C29:C38),0.01),0)</f>
        <v>0</v>
      </c>
      <c r="F40" s="81"/>
      <c r="I40" s="291" t="str">
        <f ca="1">IF(I39&lt;&gt;"",IF(ROUND(I39,2)&lt;ROUND(MIN(E40,F39),2),"Verlaging op activiteitniveau kan door afrondingsverschillen afwijken van het totaalbedrag van de verlaging.",""),"")</f>
        <v/>
      </c>
    </row>
    <row r="41" spans="2:17" s="26" customFormat="1" ht="15" customHeight="1" x14ac:dyDescent="0.25">
      <c r="D41" s="109" t="s">
        <v>132</v>
      </c>
      <c r="E41" s="42">
        <f ca="1">FLOOR(MIN(C55,C57,F39,G39,H39,I39),0.01)</f>
        <v>0</v>
      </c>
      <c r="F41" s="290" t="str" cm="1">
        <f t="array" aca="1" ref="F41" ca="1">IFERROR(IF(OR(D57&lt;&gt;"",C57&lt;&gt;E40),_xlfn.IFS(AND(C57=0,C22&gt;0),CONCATENATE("Het aangevraagde subsidiebedrag is lager dan het minimum van ",TEXT(Min_Subsidie_Open,"€ #.##0,00")),D57=Max_Subsidie_Open,CONCATENATE("Het maximum subsidiebedrag voor deze openstelling is ",TEXT(Max_Subsidie_Open,"€ #.##0,00")),C57=0,"",C57=Max_Subsidie_Open,CONCATENATE("Het maximum subsidiebedrag voor deze openstelling is ",TEXT(Max_Subsidie_Open,"€ #.##0,00")),OR(D57&lt;&gt;"",MIN(F39:I39)&lt;E40),CONCATENATE("Het maximum subsidiebedrag op basis van subsidievoorwaarden is: ",TEXT(Subsidie_Aanvraag,"€ #.##0,00")),AND(C57&lt;&gt;0,G39&gt;=C57),""),IF(E40&lt;&gt;E41,"Het maximum subsidiebedrag op basis van subsidievoorwaarden is: " &amp; TEXT(MIN(F39:I39,E40,C57),"€ #.##0,00"),"")),"")</f>
        <v/>
      </c>
      <c r="G41" s="81"/>
      <c r="H41" s="81"/>
      <c r="I41" s="81"/>
      <c r="J41" s="81"/>
      <c r="K41" s="81"/>
      <c r="L41" s="81"/>
      <c r="M41" s="81"/>
      <c r="N41" s="81"/>
    </row>
    <row r="42" spans="2:17" s="26" customFormat="1" ht="14.25" customHeight="1" x14ac:dyDescent="0.25">
      <c r="D42" s="108" t="str">
        <f ca="1">IF(AND(E42&lt;&gt;"",E42&gt;Subsidie_Aanvraag),"",IF(AND(Subsidie_Aanvraag&lt;&gt;"",E42&lt;&gt;"",E42&lt;&gt;0,E42&lt;Subsidie_Aanvraag),"Lager maximaal bedrag (aanvrager):",""))</f>
        <v/>
      </c>
      <c r="E42" s="140"/>
      <c r="F42" s="81" t="str">
        <f ca="1">IF(AND(E42&lt;&gt;"",E42&gt;Subsidie_Aanvraag),"U kunt niet meer dan het maximale subsidiebedrag aanvragen",IF(AND(Subsidie_Aanvraag&lt;&gt;"",E42&lt;&gt;"",E42&lt;&gt;0,E42&lt;Subsidie_Aanvraag),"U vraagt minder subsidie aan dan u mogelijk toegekend kunt krijgen.",IF(Subsidie_Aanvraag&lt;&gt;0,"Indien gewenst, kunt u een lager subsidiebedrag aanvragen","")))</f>
        <v/>
      </c>
      <c r="G42" s="81"/>
      <c r="H42" s="81"/>
      <c r="I42" s="81"/>
      <c r="J42" s="81"/>
      <c r="K42" s="81"/>
      <c r="L42" s="81"/>
      <c r="M42" s="81"/>
      <c r="N42" s="81"/>
    </row>
    <row r="43" spans="2:17" s="26" customFormat="1" ht="4.5" customHeight="1" x14ac:dyDescent="0.25">
      <c r="B43" s="43"/>
      <c r="C43" s="44"/>
      <c r="D43" s="45"/>
    </row>
    <row r="44" spans="2:17" ht="15" customHeight="1" x14ac:dyDescent="0.25">
      <c r="B44" s="477" t="s">
        <v>11</v>
      </c>
      <c r="C44" s="478"/>
      <c r="D44" s="478"/>
      <c r="E44" s="479"/>
      <c r="F44" s="413" t="str">
        <f>IF(H45&lt;&gt;"","Onderhoud","")</f>
        <v/>
      </c>
      <c r="G44" s="414"/>
      <c r="H44" s="414"/>
      <c r="O44" s="46" t="s">
        <v>50</v>
      </c>
      <c r="P44" s="80" t="s">
        <v>170</v>
      </c>
      <c r="Q44" s="80" t="s">
        <v>169</v>
      </c>
    </row>
    <row r="45" spans="2:17" ht="34.5" customHeight="1" x14ac:dyDescent="0.25">
      <c r="B45" s="480" t="str">
        <f>IF(H55&lt;&gt;"","Aandeel grondkosten in totale projectkosten (inclusief aftopping samenwerking)","Aandeel grondkosten in totale projectkosten")</f>
        <v>Aandeel grondkosten in totale projectkosten</v>
      </c>
      <c r="C45" s="481">
        <f ca="1">IFERROR(IF(LEFT(Gebied1_2,4)&lt;&gt;"Geen",FLOOR((SUMIF(B11:C21,B44,C11:C21)),0.01),SUMIF(B11:C21,B44,C11:C21))/IF(I55&lt;&gt;"",C24+I55,C24),0)</f>
        <v>0</v>
      </c>
      <c r="D45" s="482" t="str" cm="1">
        <f t="array" aca="1" ref="D45" ca="1">IF(C45&gt;0,"Maximaal "&amp; IFERROR(VLOOKUP(Openstelling_Keuze,IF(ISBLANK(Tb_Openstelling[Grond_%]),0,Tb_Openstelling[]),MATCH(Tb_Openstelling[[#Headers],[Grond_%]],Tb_Openstelling[#Headers],0),0)*100,10) &amp; "% van de subsidiabele kosten mag bestaan uit grondkosten.","")</f>
        <v/>
      </c>
      <c r="E45" s="483"/>
      <c r="F45" s="411" t="str">
        <f>IF($F$44&lt;&gt;"","Aandeel onderhoudskosten over totale investeringen","")</f>
        <v/>
      </c>
      <c r="G45" s="412"/>
      <c r="H45" s="285" t="str" cm="1">
        <f t="array" ref="H45">IFERROR(IF((SUM(SubsidieTabel!$Q:$Q)/SUM(SubsidieTabel!$O:$O))&gt;IFERROR(VLOOKUP(Openstelling_Keuze,IF(ISBLANK(Tb_Openstelling[Onderhoud_%]),0,Tb_Openstelling[]),MATCH(Tb_Openstelling[[#Headers],[Onderhoud_%]],Tb_Openstelling[#Headers],0),0),0.1),SUM(SubsidieTabel!$Q:$Q)/SUM(SubsidieTabel!$O:$O),""),"")</f>
        <v/>
      </c>
      <c r="I45" s="32" t="str" cm="1">
        <f t="array" ref="I45">IF(AND(H45&gt;0,H45&lt;&gt;""),"Maximaal "&amp; IFERROR(VLOOKUP(Openstelling_Keuze,IF(ISBLANK(Tb_Openstelling[Onderhoud_%]),0,Tb_Openstelling[]),MATCH(Tb_Openstelling[[#Headers],[Onderhoud_%]],Tb_Openstelling[#Headers],0),0)*100,10) &amp; "% van de subsidiabele investeringskosten zijn subsidiabel als onderhoudskosten.","")</f>
        <v/>
      </c>
      <c r="O45" s="48" t="s">
        <v>173</v>
      </c>
      <c r="P45" s="80">
        <f>SUMIFS(SubsidieTabel!$J:$J,SubsidieTabel!$C:$C,"&lt;&gt;Bijdrage*",SubsidieTabel!$C:$C,"&lt;&gt;Grond*")</f>
        <v>0</v>
      </c>
      <c r="Q45" s="80">
        <f>SUMIFS(SubsidieTabel!$M:$M,SubsidieTabel!$C:$C,"&lt;&gt;Bijdrage*",SubsidieTabel!$C:$C,"&lt;&gt;Grond*")</f>
        <v>0</v>
      </c>
    </row>
    <row r="46" spans="2:17" ht="15" customHeight="1" x14ac:dyDescent="0.25">
      <c r="B46" s="484" t="s">
        <v>63</v>
      </c>
      <c r="C46" s="485">
        <f ca="1">IF(C45&gt;B51,IF(LEFT(Gebied1_2,4)&lt;&gt;"Geen",FLOOR((C51/((1-B51)-((B51)*0.23))-C51),0.01),(C51/(1-B51))*B51),SUMIF(B11:C21,B44,C11:C21))</f>
        <v>0</v>
      </c>
      <c r="D46" s="486">
        <f ca="1">IFERROR(SUMIF(B11:C21,B44,C11:C21)*($C46/SUMIF(B11:C21,B44,C11:C21)),SUMIF(B11:C21,B44,C11:C21))</f>
        <v>0</v>
      </c>
      <c r="E46" s="487"/>
      <c r="F46" s="411" t="str">
        <f>IF($F$44&lt;&gt;"","Bedrag onderhoud waarover subsidie verstrekt kan worden","")</f>
        <v/>
      </c>
      <c r="G46" s="412"/>
      <c r="H46" s="266" t="str" cm="1">
        <f t="array" ref="H46">IF(SUM(SubsidieTabel!$O:$O)*IFERROR(VLOOKUP(Openstelling_Keuze,IF(ISBLANK(Tb_Openstelling[Onderhoud_%]),0,Tb_Openstelling[]),MATCH(Tb_Openstelling[[#Headers],[Onderhoud_%]],Tb_Openstelling[#Headers],0),0),0.1)&gt;0,SUM(SubsidieTabel!$O:$O)*IFERROR(VLOOKUP(Openstelling_Keuze,IF(ISBLANK(Tb_Openstelling[Onderhoud_%]),0,Tb_Openstelling[]),MATCH(Tb_Openstelling[[#Headers],[Onderhoud_%]],Tb_Openstelling[#Headers],0),0),0.1),"")</f>
        <v/>
      </c>
      <c r="I46" s="223" t="str" cm="1">
        <f t="array" ref="I46">IF(SUM(SUM(SubsidieTabel!$O:$O),-SUM(SubsidieTabel!$AA:$AA))*IFERROR(VLOOKUP(Openstelling_Keuze,IF(ISBLANK(Tb_Openstelling[Onderhoud_%]),0,Tb_Openstelling[]),MATCH(Tb_Openstelling[[#Headers],[Onderhoud_%]],Tb_Openstelling[#Headers],0),0),0.1)&gt;0,SUM(SUM(SubsidieTabel!$O:$O),-SUM(SubsidieTabel!$AA:$AA))*IFERROR(VLOOKUP(Openstelling_Keuze,IF(ISBLANK(Tb_Openstelling[Onderhoud_%]),0,Tb_Openstelling[]),MATCH(Tb_Openstelling[[#Headers],[Onderhoud_%]],Tb_Openstelling[#Headers],0),0),0.1),"")</f>
        <v/>
      </c>
      <c r="O46" s="53"/>
      <c r="P46" s="54"/>
      <c r="Q46" s="55"/>
    </row>
    <row r="47" spans="2:17" s="26" customFormat="1" ht="15" customHeight="1" x14ac:dyDescent="0.25">
      <c r="B47" s="484" t="s">
        <v>64</v>
      </c>
      <c r="C47" s="485" cm="1">
        <f t="array" aca="1" ref="C47" ca="1">IF(C45&lt;&gt;0,IF($C$45&gt;IFERROR(VLOOKUP(Openstelling_Keuze,IF(ISBLANK(Tb_Openstelling[Grond_%]),0,Tb_Openstelling[]),MATCH(Tb_Openstelling[[#Headers],[Grond_%]],Tb_Openstelling[#Headers],0),0),0.1),SUM(D47:D47),SUM(C22,IF(I55&lt;&gt;"",I55,0))),0)</f>
        <v>0</v>
      </c>
      <c r="D47" s="486">
        <f ca="1">IF(C45&lt;&gt;0,IF($C$45&gt;B51,IF(I55&lt;&gt;"",C22+IF(I55&lt;&gt;"",I55,0),$C$22)-SUMIF(B11:C21,B44,C11:C21)+D46,C22),0)</f>
        <v>0</v>
      </c>
      <c r="E47" s="487"/>
      <c r="F47" s="411" t="str">
        <f>IF($F$44&lt;&gt;"","Aftopping onderhoudskosten","")</f>
        <v/>
      </c>
      <c r="G47" s="412"/>
      <c r="H47" s="266" t="str">
        <f>IF(F44&lt;&gt;"",IF(AND(SUM(SubsidieTabel!$Q:$Q)&lt;H46,SUM(SubsidieTabel!$Q:$Q)&lt;&gt;0),SUM(SubsidieTabel!$Q:$Q),H48-SUM(SubsidieTabel!$Q:$Q)),"")</f>
        <v/>
      </c>
      <c r="I47" s="223" t="str">
        <f>IF(F44&lt;&gt;"",IF(AND(SUM(SubsidieTabel!$Q:$Q)&lt;H46,SUM(SubsidieTabel!$Q:$Q)&lt;&gt;0),SUM(SUM(SubsidieTabel!$Q:$Q),-SUM(SubsidieTabel!$W:$W)),I48-SUM(SUM(SubsidieTabel!$Q:$Q),-SUM(SubsidieTabel!$W:$W))),"")</f>
        <v/>
      </c>
      <c r="O47" s="46" t="s">
        <v>11</v>
      </c>
      <c r="P47" s="47"/>
      <c r="Q47" s="80" t="s">
        <v>181</v>
      </c>
    </row>
    <row r="48" spans="2:17" s="26" customFormat="1" ht="15" customHeight="1" x14ac:dyDescent="0.25">
      <c r="B48" s="484" t="s">
        <v>65</v>
      </c>
      <c r="C48" s="488">
        <f ca="1">SUM(D48:D48)</f>
        <v>0</v>
      </c>
      <c r="D48" s="486">
        <f ca="1">IF(LEFT(Gebied1_2,4)&lt;&gt;"Geen",IF(C45&gt;B51,C51/((1-B51)-((B51)*0.23))*0.23,D47*0.23),"")</f>
        <v>0</v>
      </c>
      <c r="E48" s="487"/>
      <c r="F48" s="411" t="str">
        <f>IF($F$44&lt;&gt;"","Maximaal bedrag onderhoudskosten","")</f>
        <v/>
      </c>
      <c r="G48" s="412"/>
      <c r="H48" s="266" t="str">
        <f>IF($F$44&lt;&gt;"",IF(AND(SUM(SubsidieTabel!$Q:$Q)&lt;H46,SUM(SubsidieTabel!$Q:$Q)&lt;&gt;0),SUM(SubsidieTabel!$Q:$Q),H46),"")</f>
        <v/>
      </c>
      <c r="I48" s="223" t="str">
        <f>IF($F$44&lt;&gt;"",IF(AND(SUM(SubsidieTabel!$Q:$Q)&lt;H46,SUM(SubsidieTabel!$Q:$Q)&lt;&gt;0),SUM(SUM(SubsidieTabel!$Q:$Q),-SUM(SubsidieTabel!$W:$W)),I46),"")</f>
        <v/>
      </c>
      <c r="O48" s="48" t="s">
        <v>163</v>
      </c>
      <c r="P48" s="80">
        <f>P45/0.4</f>
        <v>0</v>
      </c>
      <c r="Q48" s="80">
        <f>SUMIFS(SubsidieTabel!$J:$J,SubsidieTabel!$C:$C,"&lt;&gt;Bijdrage*")</f>
        <v>0</v>
      </c>
    </row>
    <row r="49" spans="2:17" s="26" customFormat="1" ht="15" customHeight="1" x14ac:dyDescent="0.25">
      <c r="B49" s="484" t="s">
        <v>66</v>
      </c>
      <c r="C49" s="485">
        <f ca="1">ROUND(SUM(C47:C48),2)</f>
        <v>0</v>
      </c>
      <c r="D49" s="486">
        <f ca="1">SUM(D47:D48)</f>
        <v>0</v>
      </c>
      <c r="E49" s="487"/>
      <c r="F49" s="411" t="str">
        <f>IF($F$44&lt;&gt;"","Totaal projectkosten met maximaal aandeel onderhoudskosten","")</f>
        <v/>
      </c>
      <c r="G49" s="412"/>
      <c r="H49" s="266" t="str">
        <f>IF($F$44&lt;&gt;"",SUM(SubsidieTabel!$J:$J)+IF(H47&lt;&gt;"",H47,0),"")</f>
        <v/>
      </c>
      <c r="I49" s="223" t="str">
        <f>IF($F$44&lt;&gt;"",SUM(SubsidieTabel!$J:$J)-SUM(SubsidieTabel!$H:$H)+IF(I47&lt;&gt;"",I47,0),"")</f>
        <v/>
      </c>
      <c r="O49" s="48" t="s">
        <v>164</v>
      </c>
      <c r="P49" s="80">
        <f>IF(SUMIFS(SubsidieTabel!$J:$J,SubsidieTabel!$C:$C,"=Bijdrage*")&gt;P48/2,P48/2,SUMIFS(SubsidieTabel!$J:$J,SubsidieTabel!$C:$C,"=Bijdrage*"))</f>
        <v>0</v>
      </c>
      <c r="Q49" s="146">
        <f>MIN(P49,SUMIFS(SubsidieTabel!$J:$J,SubsidieTabel!$C:$C,"=Bijdrage*"))</f>
        <v>0</v>
      </c>
    </row>
    <row r="50" spans="2:17" ht="15" customHeight="1" x14ac:dyDescent="0.25">
      <c r="B50" s="480" t="s">
        <v>229</v>
      </c>
      <c r="C50" s="489">
        <f ca="1">SUM(D50:D50)</f>
        <v>0</v>
      </c>
      <c r="D50" s="486" t="str">
        <f ca="1">IFERROR(IF(F39&lt;&gt;"",F39,""),"")</f>
        <v/>
      </c>
      <c r="E50" s="487"/>
      <c r="I50" s="223"/>
      <c r="O50" s="48" t="s">
        <v>165</v>
      </c>
      <c r="P50" s="79">
        <f>IFERROR(SUMIFS(SubsidieTabel!$M:$M,SubsidieTabel!$C:$C,"=Grond*")/(MIN(Q48,Q49)),0)</f>
        <v>0</v>
      </c>
      <c r="Q50" s="153" t="str">
        <f>IF(P50&gt;0,"Maximaal 10% van de subsidiabele kosten mag bestaan uit grondkosten.","")</f>
        <v/>
      </c>
    </row>
    <row r="51" spans="2:17" s="27" customFormat="1" ht="4.5" customHeight="1" x14ac:dyDescent="0.25">
      <c r="B51" s="370" cm="1">
        <f t="array" ref="B51">IFERROR(VLOOKUP(Openstelling_Keuze,IF(ISBLANK(Tb_Openstelling[Grond_%]),0,Tb_Openstelling[]),MATCH(Tb_Openstelling[[#Headers],[Grond_%]],Tb_Openstelling[#Headers],0),0),0.1)</f>
        <v>0</v>
      </c>
      <c r="C51" s="370">
        <f ca="1">IF(C45&lt;&gt;0,IF($C$45&gt;B51,IF(I55&lt;&gt;"",C22+IF(I55&lt;&gt;"",I55,0),$C$22)-SUMIF(B11:C21,B44,C11:C21),C22),0)</f>
        <v>0</v>
      </c>
      <c r="D51" s="370" cm="1">
        <f t="array" aca="1" ref="D51" ca="1">IFERROR(_xlfn.IFS(OR(D46=0,D46=""),0,OR(Methode_Keuze="Geen vereenvoudigde kostenoptie",Methode_Keuze=""),D46,Methode_Keuze="Vereenvoudigde kostenoptie voor arbeidskosten",ROUND(D46+D48-SUMIF(SubsidieTabel!$C:$C,"&lt;&gt;"&amp;B44,SubsidieTabel!$H:$H),2),Methode_Keuze="Vereenvoudigde kostenoptie voor overige kosten",ROUND(D46*1.4,2)),0)</f>
        <v>0</v>
      </c>
      <c r="E51" s="209"/>
      <c r="O51" s="48" t="s">
        <v>172</v>
      </c>
      <c r="P51" s="49">
        <f>IF(P50&gt;0.1,Q52*0.1,SUMIFS(SubsidieTabel!$J:$J,SubsidieTabel!$C:$C,"=Grond*"))</f>
        <v>0</v>
      </c>
      <c r="Q51" s="49" t="str">
        <f>IFERROR(C15*($P51/$C15),C15)</f>
        <v/>
      </c>
    </row>
    <row r="52" spans="2:17" ht="15" customHeight="1" x14ac:dyDescent="0.25">
      <c r="B52" s="490" t="s">
        <v>127</v>
      </c>
      <c r="C52" s="419"/>
      <c r="D52" s="419"/>
      <c r="E52" s="420"/>
      <c r="F52" s="413" t="str">
        <f>IF(H53&lt;&gt;"","Samenwerking","")</f>
        <v/>
      </c>
      <c r="G52" s="414"/>
      <c r="H52" s="414"/>
      <c r="O52" s="48" t="s">
        <v>64</v>
      </c>
      <c r="P52" s="49">
        <f>IF($P$50&gt;0.1,Q52,0)</f>
        <v>0</v>
      </c>
      <c r="Q52" s="49">
        <f>IFERROR((SUMIFS(SubsidieTabel!$J:$J,SubsidieTabel!$C:$C,"&lt;&gt;Bijdrage*",SubsidieTabel!$C:$C,"&lt;&gt;Grond*")+P49)/0.9,0)</f>
        <v>0</v>
      </c>
    </row>
    <row r="53" spans="2:17" x14ac:dyDescent="0.25">
      <c r="B53" s="491" t="s">
        <v>182</v>
      </c>
      <c r="C53" s="492">
        <f ca="1">IF(ROUND(C50,2)&gt;0,0-(ROUND(C50,2)-ROUND(C55,2)),0-(ROUND(E40,2)-ROUND(C55,2)))</f>
        <v>0</v>
      </c>
      <c r="D53" s="415"/>
      <c r="E53" s="416"/>
      <c r="F53" s="411" t="str">
        <f>IF($F$52&lt;&gt;"","Aandeel samenwerkingskosten over totale projectkosten","")</f>
        <v/>
      </c>
      <c r="G53" s="412"/>
      <c r="H53" s="285" t="str" cm="1">
        <f t="array" ref="H53">IFERROR(IF(SUM(SubsidieTabel!$S:$S)/((MIN(SUM(SubsidieTabel!$J:$J),H49)-SUM(SubsidieTabel!$S:$S))/(1-IFERROR(VLOOKUP(Openstelling_Keuze,IF(ISBLANK(Tb_Openstelling[Samenwerking_%]),0,Tb_Openstelling[]),MATCH(Tb_Openstelling[[#Headers],[Samenwerking_%]],Tb_Openstelling[#Headers],0),0),0.25)))&gt;IFERROR(VLOOKUP(Openstelling_Keuze,IF(ISBLANK(Tb_Openstelling[Samenwerking_%]),0,Tb_Openstelling[]),MATCH(Tb_Openstelling[[#Headers],[Samenwerking_%]],Tb_Openstelling[#Headers],0),0),0.25),SUM(SubsidieTabel!$S:$S)/MIN(SUM(SubsidieTabel!$J:$J),H49),""),"")</f>
        <v/>
      </c>
      <c r="I53" s="32" t="str" cm="1">
        <f t="array" ref="I53">IF(AND(H53&gt;0,H53&lt;&gt;""),"Maximaal "&amp; IFERROR(VLOOKUP(Openstelling_Keuze,IF(ISBLANK(Tb_Openstelling[Samenwerking_%]),0,Tb_Openstelling[]),MATCH(Tb_Openstelling[[#Headers],[Samenwerking_%]],Tb_Openstelling[#Headers],0),0)*100,25) &amp; "% van de subsidiabele projectkosten mag bestaan uit samenwerkingskosten.","")</f>
        <v/>
      </c>
      <c r="O53" s="48" t="s">
        <v>67</v>
      </c>
      <c r="P53" s="49">
        <f>SUM(Q53:Q53)</f>
        <v>0</v>
      </c>
      <c r="Q53" s="49" t="str">
        <f>IFERROR(ROUND(Q51*SUMIFS(SubsidieTabel!$M:$M,SubsidieTabel!$B:$B,'6. Begrotingsoverzicht'!$O$47)/SUMIFS(SubsidieTabel!$F:$F,SubsidieTabel!$B:$B,'6. Begrotingsoverzicht'!$O$47),2),"")</f>
        <v/>
      </c>
    </row>
    <row r="54" spans="2:17" x14ac:dyDescent="0.25">
      <c r="B54" s="491" t="s">
        <v>183</v>
      </c>
      <c r="C54" s="492">
        <f ca="1">IF(AND(C53&lt;0,C53&lt;&gt;"",C50&gt;0),MIN(C49*0.5,SUMIFS(SubsidieTabel!$F:$F,SubsidieTabel!$C:$C,"=Bijdrage*")),MIN(Totaal_Project-SUMIFS(SubsidieTabel!$F:$F,SubsidieTabel!$C:$C,"=Bijdrage*"),SUMIFS(SubsidieTabel!$F:$F,SubsidieTabel!$C:$C,"=Bijdrage*")))</f>
        <v>0</v>
      </c>
      <c r="D54" s="200"/>
      <c r="E54" s="201"/>
      <c r="F54" s="411" t="str">
        <f>IF($F$52&lt;&gt;"","Bedrag samenwerking waarover subsidie verstrekt kan worden","")</f>
        <v/>
      </c>
      <c r="G54" s="412"/>
      <c r="H54" s="266" t="str" cm="1">
        <f t="array" ref="H54">IF(F52&lt;&gt;"",(MIN(Totaal_Project,H49)-SUM(SubsidieTabel!$S:$S))/(1-IFERROR(VLOOKUP(Openstelling_Keuze,IF(ISBLANK(Tb_Openstelling[Samenwerking_%]),0,Tb_Openstelling[]),MATCH(Tb_Openstelling[[#Headers],[Samenwerking_%]],Tb_Openstelling[#Headers],0),0),0.25))*IFERROR(VLOOKUP(Openstelling_Keuze,IF(ISBLANK(Tb_Openstelling[Samenwerking_%]),0,Tb_Openstelling[]),MATCH(Tb_Openstelling[[#Headers],[Samenwerking_%]],Tb_Openstelling[#Headers],0),0),0.25),"")</f>
        <v/>
      </c>
      <c r="I54" s="223" t="str" cm="1">
        <f t="array" ref="I54">IF(F52&lt;&gt;"",(MIN($C$22,I49)-SUM(SubsidieTabel!$S:$S)+SUM(SubsidieTabel!$Y:$Y))/(1-IFERROR(VLOOKUP(Openstelling_Keuze,IF(ISBLANK(Tb_Openstelling[Samenwerking_%]),0,Tb_Openstelling[]),MATCH(Tb_Openstelling[[#Headers],[Samenwerking_%]],Tb_Openstelling[#Headers],0),0),0.25))*IFERROR(VLOOKUP(Openstelling_Keuze,IF(ISBLANK(Tb_Openstelling[Samenwerking_%]),0,Tb_Openstelling[]),MATCH(Tb_Openstelling[[#Headers],[Samenwerking_%]],Tb_Openstelling[#Headers],0),0),0.25),"")</f>
        <v/>
      </c>
      <c r="O54" s="48"/>
      <c r="P54" s="49"/>
      <c r="Q54" s="49"/>
    </row>
    <row r="55" spans="2:17" ht="34.5" customHeight="1" x14ac:dyDescent="0.25">
      <c r="B55" s="491" t="s">
        <v>360</v>
      </c>
      <c r="C55" s="492">
        <f ca="1">IF(C50&lt;&gt;0,FLOOR(MIN(C50,C49-SUMIFS(SubsidieTabel!$F:$F,SubsidieTabel!$C:$C,"=Bijdrage*")),0.01),FLOOR(MIN(E40,C24-SUMIFS(SubsidieTabel!$F:$F,SubsidieTabel!$C:$C,"=Bijdrage*")),0.01))</f>
        <v>0</v>
      </c>
      <c r="D55" s="493" t="str">
        <f ca="1">IF(AND(C55&lt;E40,C53&lt;0),"Het subsidiebedrag mag niet meer bedragen dan de projectkosten minus de bijdrage in natura.","")</f>
        <v/>
      </c>
      <c r="E55" s="417"/>
      <c r="F55" s="411" t="str">
        <f>IF($F$52&lt;&gt;"","Aftopping samenwerkingskosten","")</f>
        <v/>
      </c>
      <c r="G55" s="412"/>
      <c r="H55" s="286" t="str">
        <f>IF($F$52&lt;&gt;"",IF(H56-SUM(SubsidieTabel!$S:$S)&lt;0,H56-SUM(SubsidieTabel!$S:$S),""),"")</f>
        <v/>
      </c>
      <c r="I55" s="371" t="str">
        <f>IF($F$52&lt;&gt;"",IF(H56-SUM(SubsidieTabel!$S:$S)&lt;0,I56-SUM(SubsidieTabel!$S:$S)+SUM(SubsidieTabel!$Y:$Y),""),"")</f>
        <v/>
      </c>
      <c r="O55" s="48" t="s">
        <v>166</v>
      </c>
      <c r="P55" s="49">
        <f>P53-SUMIFS(SubsidieTabel!$M:$M,SubsidieTabel!$B:$B,'6. Begrotingsoverzicht'!$O$47)</f>
        <v>0</v>
      </c>
      <c r="Q55" s="49"/>
    </row>
    <row r="56" spans="2:17" ht="15" customHeight="1" x14ac:dyDescent="0.25">
      <c r="B56" s="211"/>
      <c r="C56" s="212"/>
      <c r="D56" s="213"/>
      <c r="E56" s="214"/>
      <c r="F56" s="411" t="str">
        <f>IF($F$52&lt;&gt;"","Maximaal bedrag samenwerkingskosten","")</f>
        <v/>
      </c>
      <c r="G56" s="412"/>
      <c r="H56" s="266" t="str">
        <f>IF($F$52&lt;&gt;"",IF(AND(SUM(SubsidieTabel!$S:$S)&lt;H54,SUM(SubsidieTabel!$S:$S)&lt;&gt;0),SUM(SubsidieTabel!$S:$S),H54),"")</f>
        <v/>
      </c>
      <c r="I56" s="223" t="str">
        <f>IF($F$52&lt;&gt;"",IF(AND(SUM(SubsidieTabel!$S:$S)&lt;H54,SUM(SubsidieTabel!$S:$S)&lt;&gt;0),SUM(SubsidieTabel!$S:$S)-SUM(SubsidieTabel!$Y:$Y),I54),"")</f>
        <v/>
      </c>
      <c r="O56" s="148"/>
      <c r="P56" s="100"/>
      <c r="Q56" s="101"/>
    </row>
    <row r="57" spans="2:17" ht="32.25" customHeight="1" x14ac:dyDescent="0.25">
      <c r="B57" s="494" t="s">
        <v>15</v>
      </c>
      <c r="C57" s="492" cm="1">
        <f t="array" aca="1" ref="C57" ca="1">_xlfn.IFS(MIN(C55,G39:I39)&lt;Min_Subsidie_Open,0,AND(Lijsten!AE2&lt;&gt;0,MIN(C55,G39:I39)&gt;=Max_Subsidie_Open),FLOOR(Max_Subsidie_Open,0.01),AND(Max_Subsidie_Open&lt;&gt;0,MIN(C55,G39:I39)&gt;=Min_Subsidie_Open,MIN(C55,G39:I39)&lt;Max_Subsidie_Open),FLOOR(MIN(E40,C55,F39,G39,H39,I39),0.01),Max_Subsidie_Open&lt;=0,C55)</f>
        <v>0</v>
      </c>
      <c r="D57" s="493" t="str" cm="1">
        <f t="array" aca="1" ref="D57" ca="1">IFERROR(_xlfn.IFS(AND(C57=0,C22&gt;0),CONCATENATE("Het aangevraagde subsidiebedrag is lager dan het minimum van ",TEXT(Min_Subsidie_Open,"€ #.##0,00")),C57=Max_Subsidie_Open,CONCATENATE("Het maximum subsidiebedrag voor deze openstelling is ",TEXT(Max_Subsidie_Open,"€ #.##0,00")),AND(C57&lt;&gt;0,E40&gt;C57),CONCATENATE("Het maximum subsidiebedrag op basis van subsidievoorwaarden is ",TEXT(Subsidie_Aanvraag,"€ #.##0,00")),C57&lt;&gt;0,""),"")</f>
        <v>Het maximum subsidiebedrag voor deze openstelling is € 0,00</v>
      </c>
      <c r="E57" s="417"/>
      <c r="F57" s="411" t="str">
        <f>IF($F$52&lt;&gt;"","Totaal projectkosten met maximaal aandeel samenwerkingskosten","")</f>
        <v/>
      </c>
      <c r="G57" s="412"/>
      <c r="H57" s="266" t="str">
        <f>IF($F$52&lt;&gt;"",MIN(H49,Totaal_Project)+IF(H55&lt;&gt;"",H55,0),"")</f>
        <v/>
      </c>
      <c r="I57" s="223" t="str">
        <f>IF($F$52&lt;&gt;"",MIN(I49,$C$22)+IF(H55&lt;&gt;"",I55,0),"")</f>
        <v/>
      </c>
      <c r="O57" s="82" t="s">
        <v>127</v>
      </c>
      <c r="P57" s="47"/>
      <c r="Q57" s="80"/>
    </row>
    <row r="58" spans="2:17" ht="30" x14ac:dyDescent="0.25">
      <c r="O58" s="150" t="s">
        <v>171</v>
      </c>
      <c r="P58" s="83">
        <f>MIN((SUMIFS(SubsidieTabel!$J:$J,SubsidieTabel!$C:$C,"&lt;&gt;Bijdrage*",SubsidieTabel!$C:$C,"&lt;&gt;Grond*")+P51),SUMIFS(SubsidieTabel!$J:$J,SubsidieTabel!$C:$C,"=Bijdrage*"))</f>
        <v>0</v>
      </c>
      <c r="Q58" s="51"/>
    </row>
    <row r="59" spans="2:17" ht="15" hidden="1" customHeight="1" x14ac:dyDescent="0.25">
      <c r="O59" s="52" t="s">
        <v>128</v>
      </c>
      <c r="P59" s="51">
        <f>MIN((SUMIFS(SubsidieTabel!$J:$J,SubsidieTabel!$C:$C,"&lt;&gt;Bijdrage*",SubsidieTabel!$C:$C,"&lt;&gt;Grond*")+P51),SUMIFS(SubsidieTabel!$J:$J,SubsidieTabel!$C:$C,"=Bijdrage*"))*IF(Q59="",0,Q59)</f>
        <v>0</v>
      </c>
      <c r="Q59" s="149" t="str">
        <f>IFERROR(ROUND(SUMIFS(SubsidieTabel!$M:$M,SubsidieTabel!$B:$B,"=Bijdrage*")/SUMIFS(SubsidieTabel!$F:$F,SubsidieTabel!$B:$B,"=Bijdrage*"),2),"")</f>
        <v/>
      </c>
    </row>
    <row r="60" spans="2:17" hidden="1" x14ac:dyDescent="0.25">
      <c r="O60" s="102" t="s">
        <v>69</v>
      </c>
      <c r="P60" s="83">
        <f>P59-SUMIFS(SubsidieTabel!$M:$M,SubsidieTabel!$C:$C,"=Bijdrage*")</f>
        <v>0</v>
      </c>
      <c r="Q60" s="152" t="str">
        <f ca="1">IF(AND(P59&lt;E40,P58&gt;0),"Het subsidiebedrag mag niet meer bedragen dan de projectkosten minus de bijdrage in natura.","")</f>
        <v/>
      </c>
    </row>
    <row r="61" spans="2:17" ht="15" hidden="1" customHeight="1" x14ac:dyDescent="0.25">
      <c r="E61" s="103"/>
      <c r="O61" s="53"/>
      <c r="P61" s="54"/>
      <c r="Q61" s="55"/>
    </row>
    <row r="62" spans="2:17" ht="44.45" hidden="1" customHeight="1" x14ac:dyDescent="0.25">
      <c r="E62" s="103"/>
      <c r="O62" s="77" t="s">
        <v>15</v>
      </c>
      <c r="P62" s="78" cm="1">
        <f t="array" ref="P62">_xlfn.IFS((P59+P53+Q45)&lt;Min_Subsidie_Open,0,AND(Lijsten!AE2&lt;&gt;0,(P59+P53+Q45)&gt;=Max_Subsidie_Open),Max_Subsidie_Open,AND(Max_Subsidie_Open&lt;&gt;0,(P59+P53+Q45)&gt;=Min_Subsidie_Open,(P59+P53+Q45)&lt;Max_Subsidie_Open),(P59+P53+Q45),Max_Subsidie_Open&lt;=0,(P59+P53+Q45))</f>
        <v>0</v>
      </c>
      <c r="Q62" s="76" t="str" cm="1">
        <f t="array" aca="1" ref="Q62" ca="1">_xlfn.IFS(AND(P62=0,C22&gt;0),CONCATENATE("Het aangevraagde subsidiebedrag is lager dan het minumum van ",TEXT(Min_Subsidie_Open,"€ #.##0,00")),P62=Max_Subsidie_Open,CONCATENATE("Het maximum subsidiebedrag voor deze openstelling is ",TEXT(Max_Subsidie_Open,"€ #.##0,00")),P62=0,"",P62&lt;&gt;0,"")</f>
        <v>Het maximum subsidiebedrag voor deze openstelling is € 0,00</v>
      </c>
    </row>
  </sheetData>
  <sheetProtection algorithmName="SHA-512" hashValue="0/fSl0RjBgM/zA3cZ20SqYwuaQQaT/LYSlIqw3mM1hgbmRpkfLx1ByziowdiACPa9Q7LkgEZexnH0DApPDpRog==" saltValue="YYyH9Cciafr1KK9EsRdhFw==" spinCount="100000" sheet="1" objects="1" scenarios="1"/>
  <mergeCells count="24">
    <mergeCell ref="F44:H44"/>
    <mergeCell ref="F45:G45"/>
    <mergeCell ref="F46:G46"/>
    <mergeCell ref="F47:G47"/>
    <mergeCell ref="C8:D8"/>
    <mergeCell ref="C2:D2"/>
    <mergeCell ref="C3:D3"/>
    <mergeCell ref="C4:D4"/>
    <mergeCell ref="C5:D5"/>
    <mergeCell ref="C6:D6"/>
    <mergeCell ref="D53:E53"/>
    <mergeCell ref="D45:E45"/>
    <mergeCell ref="D57:E57"/>
    <mergeCell ref="B44:E44"/>
    <mergeCell ref="B52:E52"/>
    <mergeCell ref="D55:E55"/>
    <mergeCell ref="F55:G55"/>
    <mergeCell ref="F56:G56"/>
    <mergeCell ref="F57:G57"/>
    <mergeCell ref="F48:G48"/>
    <mergeCell ref="F49:G49"/>
    <mergeCell ref="F52:H52"/>
    <mergeCell ref="F53:G53"/>
    <mergeCell ref="F54:G54"/>
  </mergeCells>
  <conditionalFormatting sqref="B44:E50">
    <cfRule type="expression" dxfId="116" priority="48">
      <formula>$C$45&gt;0.1</formula>
    </cfRule>
  </conditionalFormatting>
  <conditionalFormatting sqref="B52:E55">
    <cfRule type="expression" dxfId="115" priority="47">
      <formula>$C$53&lt;0</formula>
    </cfRule>
  </conditionalFormatting>
  <conditionalFormatting sqref="B57:E57">
    <cfRule type="expression" dxfId="114" priority="49">
      <formula>AND(OR($C$50&gt;0,$C$55&gt;0),$C$57&lt;&gt;$E$40)</formula>
    </cfRule>
  </conditionalFormatting>
  <conditionalFormatting sqref="C11:M21">
    <cfRule type="expression" dxfId="113" priority="40">
      <formula>C11&lt;&gt;""</formula>
    </cfRule>
  </conditionalFormatting>
  <conditionalFormatting sqref="D10:M10">
    <cfRule type="expression" dxfId="112" priority="54">
      <formula>D10&lt;&gt;""</formula>
    </cfRule>
  </conditionalFormatting>
  <conditionalFormatting sqref="D22:M22">
    <cfRule type="expression" dxfId="111" priority="52">
      <formula>D22&lt;&gt;""</formula>
    </cfRule>
  </conditionalFormatting>
  <conditionalFormatting sqref="D23:M23">
    <cfRule type="expression" dxfId="110" priority="51">
      <formula>D23&lt;&gt;""</formula>
    </cfRule>
  </conditionalFormatting>
  <conditionalFormatting sqref="D24:M24">
    <cfRule type="expression" dxfId="109" priority="53">
      <formula>D24&lt;&gt;""</formula>
    </cfRule>
  </conditionalFormatting>
  <conditionalFormatting sqref="E42">
    <cfRule type="expression" dxfId="108" priority="81">
      <formula>AND($E$42&lt;&gt;"",$E$42&lt;Subsidie_Aanvraag)</formula>
    </cfRule>
    <cfRule type="expression" dxfId="107" priority="80" stopIfTrue="1">
      <formula>AND($E$42&lt;&gt;"",$E$42&gt;Subsidie_Aanvraag)</formula>
    </cfRule>
  </conditionalFormatting>
  <conditionalFormatting sqref="F45:G49">
    <cfRule type="expression" dxfId="106" priority="25">
      <formula>F45&lt;&gt;""</formula>
    </cfRule>
  </conditionalFormatting>
  <conditionalFormatting sqref="F53:G57">
    <cfRule type="expression" dxfId="105" priority="22">
      <formula>F53&lt;&gt;""</formula>
    </cfRule>
  </conditionalFormatting>
  <conditionalFormatting sqref="F44:H44">
    <cfRule type="expression" dxfId="104" priority="35">
      <formula>F44&lt;&gt;""</formula>
    </cfRule>
  </conditionalFormatting>
  <conditionalFormatting sqref="F52:H52">
    <cfRule type="expression" dxfId="103" priority="24">
      <formula>F52&lt;&gt;""</formula>
    </cfRule>
  </conditionalFormatting>
  <conditionalFormatting sqref="F39:I39">
    <cfRule type="expression" dxfId="102" priority="1" stopIfTrue="1">
      <formula>AND(F28&lt;&gt;"",F39&lt;&gt;"")</formula>
    </cfRule>
  </conditionalFormatting>
  <conditionalFormatting sqref="F28:J28 F39:J39">
    <cfRule type="expression" dxfId="101" priority="5" stopIfTrue="1">
      <formula>$I$28&lt;&gt;""</formula>
    </cfRule>
  </conditionalFormatting>
  <conditionalFormatting sqref="F28:J28">
    <cfRule type="expression" dxfId="100" priority="4" stopIfTrue="1">
      <formula>F$28&lt;&gt;""</formula>
    </cfRule>
  </conditionalFormatting>
  <conditionalFormatting sqref="F29:J38">
    <cfRule type="expression" dxfId="99" priority="6" stopIfTrue="1">
      <formula>F29&lt;&gt;""</formula>
    </cfRule>
    <cfRule type="expression" dxfId="98" priority="7" stopIfTrue="1">
      <formula>$I$28&lt;&gt;""</formula>
    </cfRule>
  </conditionalFormatting>
  <conditionalFormatting sqref="F42:N42">
    <cfRule type="expression" dxfId="97" priority="82" stopIfTrue="1">
      <formula>AND(E42&lt;&gt;"",E42&gt;Subsidie_Aanvraag)</formula>
    </cfRule>
    <cfRule type="expression" dxfId="96" priority="83">
      <formula>AND(E42&lt;&gt;"",E42&lt;Subsidie_Aanvraag)</formula>
    </cfRule>
  </conditionalFormatting>
  <conditionalFormatting sqref="H45">
    <cfRule type="expression" dxfId="95" priority="32">
      <formula>H45&lt;&gt;""</formula>
    </cfRule>
  </conditionalFormatting>
  <conditionalFormatting sqref="H46:H49">
    <cfRule type="expression" dxfId="94" priority="36">
      <formula>H46&lt;&gt;""</formula>
    </cfRule>
  </conditionalFormatting>
  <conditionalFormatting sqref="H53">
    <cfRule type="expression" dxfId="93" priority="27">
      <formula>H53&lt;&gt;""</formula>
    </cfRule>
  </conditionalFormatting>
  <conditionalFormatting sqref="H54:H57">
    <cfRule type="expression" dxfId="92" priority="28">
      <formula>H54&lt;&gt;""</formula>
    </cfRule>
  </conditionalFormatting>
  <conditionalFormatting sqref="J39">
    <cfRule type="expression" dxfId="91" priority="2" stopIfTrue="1">
      <formula>AND(J28&lt;&gt;"",J39&lt;&gt;"")</formula>
    </cfRule>
  </conditionalFormatting>
  <conditionalFormatting sqref="K29:K38">
    <cfRule type="expression" dxfId="90" priority="11">
      <formula>K29&lt;&gt;""</formula>
    </cfRule>
  </conditionalFormatting>
  <conditionalFormatting sqref="K39">
    <cfRule type="expression" dxfId="89" priority="9">
      <formula>AND(K39&lt;&gt;"",K39&lt;&gt;0)</formula>
    </cfRule>
  </conditionalFormatting>
  <conditionalFormatting sqref="O57:O58 O59:Q60">
    <cfRule type="expression" dxfId="88" priority="84">
      <formula>$P$60=0</formula>
    </cfRule>
  </conditionalFormatting>
  <conditionalFormatting sqref="O58:O59">
    <cfRule type="expression" dxfId="87" priority="76">
      <formula>$P$50=0</formula>
    </cfRule>
  </conditionalFormatting>
  <conditionalFormatting sqref="O44:Q45">
    <cfRule type="expression" dxfId="86" priority="68">
      <formula>$P$50=0</formula>
    </cfRule>
  </conditionalFormatting>
  <conditionalFormatting sqref="O47:Q55">
    <cfRule type="expression" dxfId="85" priority="69">
      <formula>$P$50&lt;0.1</formula>
    </cfRule>
    <cfRule type="expression" dxfId="84" priority="89">
      <formula>$P$50=0</formula>
    </cfRule>
  </conditionalFormatting>
  <conditionalFormatting sqref="O62:Q62">
    <cfRule type="expression" dxfId="83" priority="87">
      <formula>OR($P$53&lt;&gt;0,$P$60&lt;&gt;0)</formula>
    </cfRule>
  </conditionalFormatting>
  <conditionalFormatting sqref="P57:Q57">
    <cfRule type="expression" dxfId="82" priority="74">
      <formula>$P$50=0</formula>
    </cfRule>
  </conditionalFormatting>
  <conditionalFormatting sqref="P58:Q59">
    <cfRule type="expression" dxfId="81" priority="75">
      <formula>$P$60=0</formula>
    </cfRule>
  </conditionalFormatting>
  <dataValidations count="1">
    <dataValidation type="decimal" allowBlank="1" showInputMessage="1" showErrorMessage="1" sqref="E42" xr:uid="{65B1E7FE-29DC-4BBD-BC53-15639E41114E}">
      <formula1>0</formula1>
      <formula2>100000000</formula2>
    </dataValidation>
  </dataValidations>
  <pageMargins left="0.70866141732283472" right="0.70866141732283472" top="0.74803149606299213" bottom="0.74803149606299213" header="0.31496062992125984" footer="0.31496062992125984"/>
  <pageSetup paperSize="9" orientation="landscape" r:id="rId1"/>
  <headerFooter>
    <oddFooter>&amp;LVersie: september 2023&amp;C&amp;A&amp;R&amp;P van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4F111-ED74-4C30-A95F-C799F999CDFA}">
  <sheetPr codeName="Blad6">
    <tabColor theme="7" tint="0.79998168889431442"/>
    <pageSetUpPr fitToPage="1"/>
  </sheetPr>
  <dimension ref="A1:P57"/>
  <sheetViews>
    <sheetView showGridLines="0" zoomScaleNormal="100" workbookViewId="0">
      <selection activeCell="C2" sqref="C2:D2"/>
    </sheetView>
  </sheetViews>
  <sheetFormatPr defaultColWidth="0" defaultRowHeight="15" customHeight="1" x14ac:dyDescent="0.25"/>
  <cols>
    <col min="1" max="1" width="2.85546875" style="25" customWidth="1"/>
    <col min="2" max="2" width="62.7109375" style="25" customWidth="1"/>
    <col min="3" max="3" width="24.42578125" style="25" customWidth="1"/>
    <col min="4" max="15" width="30.7109375" style="25" customWidth="1"/>
    <col min="16" max="16" width="3" style="25" customWidth="1"/>
    <col min="17" max="16384" width="9.140625" style="25" hidden="1"/>
  </cols>
  <sheetData>
    <row r="1" spans="2:15" ht="3" customHeight="1" x14ac:dyDescent="0.25">
      <c r="C1" s="176" t="str">
        <f>IF($C$2="","Kies op tabblad '1. Aanvraag gegevens' de juiste openstelling","")</f>
        <v>Kies op tabblad '1. Aanvraag gegevens' de juiste openstelling</v>
      </c>
    </row>
    <row r="2" spans="2:15" ht="28.5" customHeight="1" x14ac:dyDescent="0.25">
      <c r="B2" s="17" t="s">
        <v>71</v>
      </c>
      <c r="C2" s="421" t="str">
        <f>IF('1. Aanvraaggegevens'!C2&lt;&gt;"",'1. Aanvraaggegevens'!C2,"")</f>
        <v/>
      </c>
      <c r="D2" s="421"/>
    </row>
    <row r="3" spans="2:15" ht="15" customHeight="1" x14ac:dyDescent="0.25">
      <c r="B3" s="17" t="s">
        <v>16</v>
      </c>
      <c r="C3" s="422" t="str">
        <f>IF('1. Aanvraaggegevens'!C3&lt;&gt;"",'1. Aanvraaggegevens'!C3,"")</f>
        <v/>
      </c>
      <c r="D3" s="422"/>
    </row>
    <row r="4" spans="2:15" ht="15" customHeight="1" x14ac:dyDescent="0.25">
      <c r="B4" s="17" t="s">
        <v>17</v>
      </c>
      <c r="C4" s="422" t="str">
        <f>IF('1. Aanvraaggegevens'!C4&lt;&gt;"",'1. Aanvraaggegevens'!C4,"")</f>
        <v/>
      </c>
      <c r="D4" s="422"/>
      <c r="I4" s="154"/>
      <c r="J4" s="154"/>
      <c r="K4" s="154"/>
      <c r="L4" s="154"/>
      <c r="M4" s="154"/>
      <c r="N4" s="154"/>
      <c r="O4" s="154"/>
    </row>
    <row r="5" spans="2:15" ht="15" customHeight="1" x14ac:dyDescent="0.25">
      <c r="B5" s="17" t="s">
        <v>18</v>
      </c>
      <c r="C5" s="422" t="str">
        <f>IF('1. Aanvraaggegevens'!C5&lt;&gt;"",'1. Aanvraaggegevens'!C5,"")</f>
        <v/>
      </c>
      <c r="D5" s="422"/>
      <c r="I5" s="147"/>
      <c r="J5" s="147"/>
      <c r="K5" s="147"/>
      <c r="L5" s="147"/>
      <c r="M5" s="147"/>
      <c r="N5" s="147"/>
      <c r="O5" s="147"/>
    </row>
    <row r="6" spans="2:15" ht="15" customHeight="1" x14ac:dyDescent="0.25">
      <c r="B6" s="5"/>
      <c r="C6" s="423" t="str">
        <f>IF('1. Aanvraaggegevens'!C6&lt;&gt;"",'1. Aanvraaggegevens'!C6,"")</f>
        <v/>
      </c>
      <c r="D6" s="423"/>
      <c r="I6" s="147"/>
      <c r="J6" s="147"/>
      <c r="K6" s="147"/>
      <c r="L6" s="147"/>
      <c r="M6" s="147"/>
      <c r="N6" s="147"/>
      <c r="O6" s="147"/>
    </row>
    <row r="7" spans="2:15" ht="2.4500000000000002" customHeight="1" x14ac:dyDescent="0.25">
      <c r="C7" s="223" t="str">
        <f>IF($C$8="","Kies op tabblad '1. Aanvraag gegevens' de juiste methode","")</f>
        <v>Kies op tabblad '1. Aanvraag gegevens' de juiste methode</v>
      </c>
      <c r="D7" s="26"/>
    </row>
    <row r="8" spans="2:15" ht="15" customHeight="1" x14ac:dyDescent="0.25">
      <c r="B8" s="18" t="s">
        <v>19</v>
      </c>
      <c r="C8" s="424" t="str">
        <f>IF('1. Aanvraaggegevens'!C8&lt;&gt;"",'1. Aanvraaggegevens'!C8,"")</f>
        <v/>
      </c>
      <c r="D8" s="424"/>
      <c r="F8" s="24" t="s">
        <v>219</v>
      </c>
    </row>
    <row r="9" spans="2:15" ht="2.1" customHeight="1" x14ac:dyDescent="0.25"/>
    <row r="10" spans="2:15" ht="45" customHeight="1" x14ac:dyDescent="0.25">
      <c r="B10" s="186" t="s">
        <v>0</v>
      </c>
      <c r="C10" s="187" t="s">
        <v>234</v>
      </c>
      <c r="D10" s="188" t="s">
        <v>361</v>
      </c>
      <c r="E10" s="188" t="s">
        <v>329</v>
      </c>
      <c r="F10" s="163" t="str" cm="1">
        <f t="array" aca="1" ref="F10" ca="1">IFERROR(TRANSPOSE(Activiteiten_Uniek_Sort),"")</f>
        <v/>
      </c>
      <c r="G10" s="163"/>
      <c r="H10" s="163"/>
      <c r="I10" s="163"/>
      <c r="J10" s="163"/>
      <c r="K10" s="163"/>
      <c r="L10" s="163"/>
      <c r="M10" s="163"/>
      <c r="N10" s="163"/>
      <c r="O10" s="163"/>
    </row>
    <row r="11" spans="2:15" ht="15" customHeight="1" x14ac:dyDescent="0.25">
      <c r="B11" s="202" t="str" cm="1">
        <f t="array" aca="1" ref="B11" ca="1">IFERROR(Posten_Uniek,"")</f>
        <v/>
      </c>
      <c r="C11" s="287" t="str">
        <f ca="1">IF(B11="","",SUMIF(Tb_ProjectKosten[Begroting],'Beoordeeld begrotingsoverzicht'!B11,Tb_ProjectKosten[Kosten_Beoordeeld]))</f>
        <v/>
      </c>
      <c r="D11" s="267" t="str">
        <f ca="1">IF(B11="","",IF(AND($C$49&lt;Beoord_Totaal_Project,$C11&gt;0,IFERROR(FIND("Grond",B11),FALSE)),ROUND(($C11/SUMIFS(SubsidieTabel!$K:$K,SubsidieTabel!$C:$C,"=Grond*"))*(IF($C$46&lt;&gt;"",$D$46,SUMIFS(SubsidieTabel!$K:$K,SubsidieTabel!$C:$C,"=Grond*"))),2),$C11))</f>
        <v/>
      </c>
      <c r="E11" s="267" t="str">
        <f t="shared" ref="E11:E21" ca="1" si="0">IF(B11="","",IF(AND(D11&lt;&gt;0,D11&lt;&gt;""),IF(AND(D11&lt;&gt;0,$C$22&lt;&gt;0,$D$22/$C$22-Beoord_Subsidie_Aanvraag/$E$40&gt;0.01),(1+(Beoord_Subsidie_Aanvraag/$E$40-$D$22/$C$22)/($D$22/$C$22))*D11,D11),0))</f>
        <v/>
      </c>
      <c r="F11" s="103" t="str">
        <f ca="1">IF(AND($C11&lt;&gt;0,$C11&lt;&gt;"",F$10&lt;&gt;""),SUMIFS(SubsidieTabel!$G:$G,SubsidieTabel!$A:$A,F$10,SubsidieTabel!$C:$C,$B11),"")</f>
        <v/>
      </c>
      <c r="G11" s="103" t="str">
        <f ca="1">IF(AND($C11&lt;&gt;0,$C11&lt;&gt;"",G$10&lt;&gt;""),SUMIFS(SubsidieTabel!$G:$G,SubsidieTabel!$A:$A,G$10,SubsidieTabel!$C:$C,$B11),"")</f>
        <v/>
      </c>
      <c r="H11" s="103" t="str">
        <f ca="1">IF(AND($C11&lt;&gt;0,$C11&lt;&gt;"",H$10&lt;&gt;""),SUMIFS(SubsidieTabel!$G:$G,SubsidieTabel!$A:$A,H$10,SubsidieTabel!$C:$C,$B11),"")</f>
        <v/>
      </c>
      <c r="I11" s="103" t="str">
        <f ca="1">IF(AND($C11&lt;&gt;0,$C11&lt;&gt;"",I$10&lt;&gt;""),SUMIFS(SubsidieTabel!$G:$G,SubsidieTabel!$A:$A,I$10,SubsidieTabel!$C:$C,$B11),"")</f>
        <v/>
      </c>
      <c r="J11" s="103" t="str">
        <f ca="1">IF(AND($C11&lt;&gt;0,$C11&lt;&gt;"",J$10&lt;&gt;""),SUMIFS(SubsidieTabel!$G:$G,SubsidieTabel!$A:$A,J$10,SubsidieTabel!$C:$C,$B11),"")</f>
        <v/>
      </c>
      <c r="K11" s="103" t="str">
        <f ca="1">IF(AND($C11&lt;&gt;0,$C11&lt;&gt;"",K$10&lt;&gt;""),SUMIFS(SubsidieTabel!$G:$G,SubsidieTabel!$A:$A,K$10,SubsidieTabel!$C:$C,$B11),"")</f>
        <v/>
      </c>
      <c r="L11" s="103" t="str">
        <f ca="1">IF(AND($C11&lt;&gt;0,$C11&lt;&gt;"",L$10&lt;&gt;""),SUMIFS(SubsidieTabel!$G:$G,SubsidieTabel!$A:$A,L$10,SubsidieTabel!$C:$C,$B11),"")</f>
        <v/>
      </c>
      <c r="M11" s="103" t="str">
        <f ca="1">IF(AND($C11&lt;&gt;0,$C11&lt;&gt;"",M$10&lt;&gt;""),SUMIFS(SubsidieTabel!$G:$G,SubsidieTabel!$A:$A,M$10,SubsidieTabel!$C:$C,$B11),"")</f>
        <v/>
      </c>
      <c r="N11" s="103" t="str">
        <f ca="1">IF(AND($C11&lt;&gt;0,$C11&lt;&gt;"",N$10&lt;&gt;""),SUMIFS(SubsidieTabel!$G:$G,SubsidieTabel!$A:$A,N$10,SubsidieTabel!$C:$C,$B11),"")</f>
        <v/>
      </c>
      <c r="O11" s="103" t="str">
        <f ca="1">IF(AND($C11&lt;&gt;0,$C11&lt;&gt;"",O$10&lt;&gt;""),SUMIFS(SubsidieTabel!$G:$G,SubsidieTabel!$A:$A,O$10,SubsidieTabel!$C:$C,$B11),"")</f>
        <v/>
      </c>
    </row>
    <row r="12" spans="2:15" ht="15" customHeight="1" x14ac:dyDescent="0.25">
      <c r="B12" s="202"/>
      <c r="C12" s="287" t="str">
        <f>IF(B12="","",SUMIF(Tb_ProjectKosten[Begroting],'Beoordeeld begrotingsoverzicht'!B12,Tb_ProjectKosten[Kosten_Beoordeeld]))</f>
        <v/>
      </c>
      <c r="D12" s="267" t="str">
        <f>IF(B12="","",IF(AND($C$49&lt;Beoord_Totaal_Project,$C12&gt;0,IFERROR(FIND("Grond",B12),FALSE)),ROUND(($C12/SUMIFS(SubsidieTabel!$K:$K,SubsidieTabel!$C:$C,"=Grond*"))*(IF($C$46&lt;&gt;"",$D$46,SUMIFS(SubsidieTabel!$K:$K,SubsidieTabel!$C:$C,"=Grond*"))),2),$C12))</f>
        <v/>
      </c>
      <c r="E12" s="267" t="str">
        <f t="shared" si="0"/>
        <v/>
      </c>
      <c r="F12" s="103" t="str">
        <f ca="1">IF(AND($C12&lt;&gt;0,$C12&lt;&gt;"",F$10&lt;&gt;""),SUMIFS(SubsidieTabel!$G:$G,SubsidieTabel!$A:$A,F$10,SubsidieTabel!$C:$C,$B12),"")</f>
        <v/>
      </c>
      <c r="G12" s="103" t="str">
        <f>IF(AND($C12&lt;&gt;0,$C12&lt;&gt;"",G$10&lt;&gt;""),SUMIFS(SubsidieTabel!$G:$G,SubsidieTabel!$A:$A,G$10,SubsidieTabel!$C:$C,$B12),"")</f>
        <v/>
      </c>
      <c r="H12" s="103" t="str">
        <f>IF(AND($C12&lt;&gt;0,$C12&lt;&gt;"",H$10&lt;&gt;""),SUMIFS(SubsidieTabel!$G:$G,SubsidieTabel!$A:$A,H$10,SubsidieTabel!$C:$C,$B12),"")</f>
        <v/>
      </c>
      <c r="I12" s="103" t="str">
        <f>IF(AND($C12&lt;&gt;0,$C12&lt;&gt;"",I$10&lt;&gt;""),SUMIFS(SubsidieTabel!$G:$G,SubsidieTabel!$A:$A,I$10,SubsidieTabel!$C:$C,$B12),"")</f>
        <v/>
      </c>
      <c r="J12" s="103" t="str">
        <f>IF(AND($C12&lt;&gt;0,$C12&lt;&gt;"",J$10&lt;&gt;""),SUMIFS(SubsidieTabel!$G:$G,SubsidieTabel!$A:$A,J$10,SubsidieTabel!$C:$C,$B12),"")</f>
        <v/>
      </c>
      <c r="K12" s="103" t="str">
        <f>IF(AND($C12&lt;&gt;0,$C12&lt;&gt;"",K$10&lt;&gt;""),SUMIFS(SubsidieTabel!$G:$G,SubsidieTabel!$A:$A,K$10,SubsidieTabel!$C:$C,$B12),"")</f>
        <v/>
      </c>
      <c r="L12" s="103" t="str">
        <f>IF(AND($C12&lt;&gt;0,$C12&lt;&gt;"",L$10&lt;&gt;""),SUMIFS(SubsidieTabel!$G:$G,SubsidieTabel!$A:$A,L$10,SubsidieTabel!$C:$C,$B12),"")</f>
        <v/>
      </c>
      <c r="M12" s="103" t="str">
        <f>IF(AND($C12&lt;&gt;0,$C12&lt;&gt;"",M$10&lt;&gt;""),SUMIFS(SubsidieTabel!$G:$G,SubsidieTabel!$A:$A,M$10,SubsidieTabel!$C:$C,$B12),"")</f>
        <v/>
      </c>
      <c r="N12" s="103" t="str">
        <f>IF(AND($C12&lt;&gt;0,$C12&lt;&gt;"",N$10&lt;&gt;""),SUMIFS(SubsidieTabel!$G:$G,SubsidieTabel!$A:$A,N$10,SubsidieTabel!$C:$C,$B12),"")</f>
        <v/>
      </c>
      <c r="O12" s="103" t="str">
        <f>IF(AND($C12&lt;&gt;0,$C12&lt;&gt;"",O$10&lt;&gt;""),SUMIFS(SubsidieTabel!$G:$G,SubsidieTabel!$A:$A,O$10,SubsidieTabel!$C:$C,$B12),"")</f>
        <v/>
      </c>
    </row>
    <row r="13" spans="2:15" ht="15" customHeight="1" x14ac:dyDescent="0.25">
      <c r="B13" s="6"/>
      <c r="C13" s="287" t="str">
        <f>IF(B13="","",SUMIF(Tb_ProjectKosten[Begroting],'Beoordeeld begrotingsoverzicht'!B13,Tb_ProjectKosten[Kosten_Beoordeeld]))</f>
        <v/>
      </c>
      <c r="D13" s="267" t="str">
        <f>IF(B13="","",IF(AND($C$49&lt;Beoord_Totaal_Project,$C13&gt;0,IFERROR(FIND("Grond",B13),FALSE)),ROUND(($C13/SUMIFS(SubsidieTabel!$K:$K,SubsidieTabel!$C:$C,"=Grond*"))*(IF($C$46&lt;&gt;"",$D$46,SUMIFS(SubsidieTabel!$K:$K,SubsidieTabel!$C:$C,"=Grond*"))),2),$C13))</f>
        <v/>
      </c>
      <c r="E13" s="267" t="str">
        <f t="shared" si="0"/>
        <v/>
      </c>
      <c r="F13" s="103" t="str">
        <f ca="1">IF(AND($C13&lt;&gt;0,$C13&lt;&gt;"",F$10&lt;&gt;""),SUMIFS(SubsidieTabel!$G:$G,SubsidieTabel!$A:$A,F$10,SubsidieTabel!$C:$C,$B13),"")</f>
        <v/>
      </c>
      <c r="G13" s="103" t="str">
        <f>IF(AND($C13&lt;&gt;0,$C13&lt;&gt;"",G$10&lt;&gt;""),SUMIFS(SubsidieTabel!$G:$G,SubsidieTabel!$A:$A,G$10,SubsidieTabel!$C:$C,$B13),"")</f>
        <v/>
      </c>
      <c r="H13" s="103" t="str">
        <f>IF(AND($C13&lt;&gt;0,$C13&lt;&gt;"",H$10&lt;&gt;""),SUMIFS(SubsidieTabel!$G:$G,SubsidieTabel!$A:$A,H$10,SubsidieTabel!$C:$C,$B13),"")</f>
        <v/>
      </c>
      <c r="I13" s="103" t="str">
        <f>IF(AND($C13&lt;&gt;0,$C13&lt;&gt;"",I$10&lt;&gt;""),SUMIFS(SubsidieTabel!$G:$G,SubsidieTabel!$A:$A,I$10,SubsidieTabel!$C:$C,$B13),"")</f>
        <v/>
      </c>
      <c r="J13" s="103" t="str">
        <f>IF(AND($C13&lt;&gt;0,$C13&lt;&gt;"",J$10&lt;&gt;""),SUMIFS(SubsidieTabel!$G:$G,SubsidieTabel!$A:$A,J$10,SubsidieTabel!$C:$C,$B13),"")</f>
        <v/>
      </c>
      <c r="K13" s="103" t="str">
        <f>IF(AND($C13&lt;&gt;0,$C13&lt;&gt;"",K$10&lt;&gt;""),SUMIFS(SubsidieTabel!$G:$G,SubsidieTabel!$A:$A,K$10,SubsidieTabel!$C:$C,$B13),"")</f>
        <v/>
      </c>
      <c r="L13" s="103" t="str">
        <f>IF(AND($C13&lt;&gt;0,$C13&lt;&gt;"",L$10&lt;&gt;""),SUMIFS(SubsidieTabel!$G:$G,SubsidieTabel!$A:$A,L$10,SubsidieTabel!$C:$C,$B13),"")</f>
        <v/>
      </c>
      <c r="M13" s="103" t="str">
        <f>IF(AND($C13&lt;&gt;0,$C13&lt;&gt;"",M$10&lt;&gt;""),SUMIFS(SubsidieTabel!$G:$G,SubsidieTabel!$A:$A,M$10,SubsidieTabel!$C:$C,$B13),"")</f>
        <v/>
      </c>
      <c r="N13" s="103" t="str">
        <f>IF(AND($C13&lt;&gt;0,$C13&lt;&gt;"",N$10&lt;&gt;""),SUMIFS(SubsidieTabel!$G:$G,SubsidieTabel!$A:$A,N$10,SubsidieTabel!$C:$C,$B13),"")</f>
        <v/>
      </c>
      <c r="O13" s="103" t="str">
        <f>IF(AND($C13&lt;&gt;0,$C13&lt;&gt;"",O$10&lt;&gt;""),SUMIFS(SubsidieTabel!$G:$G,SubsidieTabel!$A:$A,O$10,SubsidieTabel!$C:$C,$B13),"")</f>
        <v/>
      </c>
    </row>
    <row r="14" spans="2:15" ht="15" customHeight="1" x14ac:dyDescent="0.25">
      <c r="B14" s="6"/>
      <c r="C14" s="287" t="str">
        <f>IF(B14="","",SUMIF(Tb_ProjectKosten[Begroting],'Beoordeeld begrotingsoverzicht'!B14,Tb_ProjectKosten[Kosten_Beoordeeld]))</f>
        <v/>
      </c>
      <c r="D14" s="267" t="str">
        <f>IF(B14="","",IF(AND($C$49&lt;Beoord_Totaal_Project,$C14&gt;0,IFERROR(FIND("Grond",B14),FALSE)),ROUND(($C14/SUMIFS(SubsidieTabel!$K:$K,SubsidieTabel!$C:$C,"=Grond*"))*(IF($C$46&lt;&gt;"",$D$46,SUMIFS(SubsidieTabel!$K:$K,SubsidieTabel!$C:$C,"=Grond*"))),2),$C14))</f>
        <v/>
      </c>
      <c r="E14" s="267" t="str">
        <f t="shared" si="0"/>
        <v/>
      </c>
      <c r="F14" s="103" t="str">
        <f ca="1">IF(AND($C14&lt;&gt;0,$C14&lt;&gt;"",F$10&lt;&gt;""),SUMIFS(SubsidieTabel!$G:$G,SubsidieTabel!$A:$A,F$10,SubsidieTabel!$C:$C,$B14),"")</f>
        <v/>
      </c>
      <c r="G14" s="103" t="str">
        <f>IF(AND($C14&lt;&gt;0,$C14&lt;&gt;"",G$10&lt;&gt;""),SUMIFS(SubsidieTabel!$G:$G,SubsidieTabel!$A:$A,G$10,SubsidieTabel!$C:$C,$B14),"")</f>
        <v/>
      </c>
      <c r="H14" s="103" t="str">
        <f>IF(AND($C14&lt;&gt;0,$C14&lt;&gt;"",H$10&lt;&gt;""),SUMIFS(SubsidieTabel!$G:$G,SubsidieTabel!$A:$A,H$10,SubsidieTabel!$C:$C,$B14),"")</f>
        <v/>
      </c>
      <c r="I14" s="103" t="str">
        <f>IF(AND($C14&lt;&gt;0,$C14&lt;&gt;"",I$10&lt;&gt;""),SUMIFS(SubsidieTabel!$G:$G,SubsidieTabel!$A:$A,I$10,SubsidieTabel!$C:$C,$B14),"")</f>
        <v/>
      </c>
      <c r="J14" s="103" t="str">
        <f>IF(AND($C14&lt;&gt;0,$C14&lt;&gt;"",J$10&lt;&gt;""),SUMIFS(SubsidieTabel!$G:$G,SubsidieTabel!$A:$A,J$10,SubsidieTabel!$C:$C,$B14),"")</f>
        <v/>
      </c>
      <c r="K14" s="103" t="str">
        <f>IF(AND($C14&lt;&gt;0,$C14&lt;&gt;"",K$10&lt;&gt;""),SUMIFS(SubsidieTabel!$G:$G,SubsidieTabel!$A:$A,K$10,SubsidieTabel!$C:$C,$B14),"")</f>
        <v/>
      </c>
      <c r="L14" s="103" t="str">
        <f>IF(AND($C14&lt;&gt;0,$C14&lt;&gt;"",L$10&lt;&gt;""),SUMIFS(SubsidieTabel!$G:$G,SubsidieTabel!$A:$A,L$10,SubsidieTabel!$C:$C,$B14),"")</f>
        <v/>
      </c>
      <c r="M14" s="103" t="str">
        <f>IF(AND($C14&lt;&gt;0,$C14&lt;&gt;"",M$10&lt;&gt;""),SUMIFS(SubsidieTabel!$G:$G,SubsidieTabel!$A:$A,M$10,SubsidieTabel!$C:$C,$B14),"")</f>
        <v/>
      </c>
      <c r="N14" s="103" t="str">
        <f>IF(AND($C14&lt;&gt;0,$C14&lt;&gt;"",N$10&lt;&gt;""),SUMIFS(SubsidieTabel!$G:$G,SubsidieTabel!$A:$A,N$10,SubsidieTabel!$C:$C,$B14),"")</f>
        <v/>
      </c>
      <c r="O14" s="103" t="str">
        <f>IF(AND($C14&lt;&gt;0,$C14&lt;&gt;"",O$10&lt;&gt;""),SUMIFS(SubsidieTabel!$G:$G,SubsidieTabel!$A:$A,O$10,SubsidieTabel!$C:$C,$B14),"")</f>
        <v/>
      </c>
    </row>
    <row r="15" spans="2:15" ht="15" customHeight="1" x14ac:dyDescent="0.25">
      <c r="B15" s="6"/>
      <c r="C15" s="287" t="str">
        <f>IF(B15="","",SUMIF(Tb_ProjectKosten[Begroting],'Beoordeeld begrotingsoverzicht'!B15,Tb_ProjectKosten[Kosten_Beoordeeld]))</f>
        <v/>
      </c>
      <c r="D15" s="267" t="str">
        <f>IF(B15="","",IF(AND($C$49&lt;Beoord_Totaal_Project,$C15&gt;0,IFERROR(FIND("Grond",B15),FALSE)),ROUND(($C15/SUMIFS(SubsidieTabel!$K:$K,SubsidieTabel!$C:$C,"=Grond*"))*(IF($C$46&lt;&gt;"",$D$46,SUMIFS(SubsidieTabel!$K:$K,SubsidieTabel!$C:$C,"=Grond*"))),2),$C15))</f>
        <v/>
      </c>
      <c r="E15" s="267" t="str">
        <f t="shared" si="0"/>
        <v/>
      </c>
      <c r="F15" s="103" t="str">
        <f ca="1">IF(AND($C15&lt;&gt;0,$C15&lt;&gt;"",F$10&lt;&gt;""),SUMIFS(SubsidieTabel!$G:$G,SubsidieTabel!$A:$A,F$10,SubsidieTabel!$C:$C,$B15),"")</f>
        <v/>
      </c>
      <c r="G15" s="103" t="str">
        <f>IF(AND($C15&lt;&gt;0,$C15&lt;&gt;"",G$10&lt;&gt;""),SUMIFS(SubsidieTabel!$G:$G,SubsidieTabel!$A:$A,G$10,SubsidieTabel!$C:$C,$B15),"")</f>
        <v/>
      </c>
      <c r="H15" s="103" t="str">
        <f>IF(AND($C15&lt;&gt;0,$C15&lt;&gt;"",H$10&lt;&gt;""),SUMIFS(SubsidieTabel!$G:$G,SubsidieTabel!$A:$A,H$10,SubsidieTabel!$C:$C,$B15),"")</f>
        <v/>
      </c>
      <c r="I15" s="103" t="str">
        <f>IF(AND($C15&lt;&gt;0,$C15&lt;&gt;"",I$10&lt;&gt;""),SUMIFS(SubsidieTabel!$G:$G,SubsidieTabel!$A:$A,I$10,SubsidieTabel!$C:$C,$B15),"")</f>
        <v/>
      </c>
      <c r="J15" s="103" t="str">
        <f>IF(AND($C15&lt;&gt;0,$C15&lt;&gt;"",J$10&lt;&gt;""),SUMIFS(SubsidieTabel!$G:$G,SubsidieTabel!$A:$A,J$10,SubsidieTabel!$C:$C,$B15),"")</f>
        <v/>
      </c>
      <c r="K15" s="103" t="str">
        <f>IF(AND($C15&lt;&gt;0,$C15&lt;&gt;"",K$10&lt;&gt;""),SUMIFS(SubsidieTabel!$G:$G,SubsidieTabel!$A:$A,K$10,SubsidieTabel!$C:$C,$B15),"")</f>
        <v/>
      </c>
      <c r="L15" s="103" t="str">
        <f>IF(AND($C15&lt;&gt;0,$C15&lt;&gt;"",L$10&lt;&gt;""),SUMIFS(SubsidieTabel!$G:$G,SubsidieTabel!$A:$A,L$10,SubsidieTabel!$C:$C,$B15),"")</f>
        <v/>
      </c>
      <c r="M15" s="103" t="str">
        <f>IF(AND($C15&lt;&gt;0,$C15&lt;&gt;"",M$10&lt;&gt;""),SUMIFS(SubsidieTabel!$G:$G,SubsidieTabel!$A:$A,M$10,SubsidieTabel!$C:$C,$B15),"")</f>
        <v/>
      </c>
      <c r="N15" s="103" t="str">
        <f>IF(AND($C15&lt;&gt;0,$C15&lt;&gt;"",N$10&lt;&gt;""),SUMIFS(SubsidieTabel!$G:$G,SubsidieTabel!$A:$A,N$10,SubsidieTabel!$C:$C,$B15),"")</f>
        <v/>
      </c>
      <c r="O15" s="103" t="str">
        <f>IF(AND($C15&lt;&gt;0,$C15&lt;&gt;"",O$10&lt;&gt;""),SUMIFS(SubsidieTabel!$G:$G,SubsidieTabel!$A:$A,O$10,SubsidieTabel!$C:$C,$B15),"")</f>
        <v/>
      </c>
    </row>
    <row r="16" spans="2:15" ht="15" customHeight="1" x14ac:dyDescent="0.25">
      <c r="B16" s="6"/>
      <c r="C16" s="287" t="str">
        <f>IF(B16="","",SUMIF(Tb_ProjectKosten[Begroting],'Beoordeeld begrotingsoverzicht'!B16,Tb_ProjectKosten[Kosten_Beoordeeld]))</f>
        <v/>
      </c>
      <c r="D16" s="267" t="str">
        <f>IF(B16="","",IF(AND($C$49&lt;Beoord_Totaal_Project,$C16&gt;0,IFERROR(FIND("Grond",B16),FALSE)),ROUND(($C16/SUMIFS(SubsidieTabel!$K:$K,SubsidieTabel!$C:$C,"=Grond*"))*(IF($C$46&lt;&gt;"",$D$46,SUMIFS(SubsidieTabel!$K:$K,SubsidieTabel!$C:$C,"=Grond*"))),2),$C16))</f>
        <v/>
      </c>
      <c r="E16" s="267" t="str">
        <f t="shared" si="0"/>
        <v/>
      </c>
      <c r="F16" s="103" t="str">
        <f ca="1">IF(AND($C16&lt;&gt;0,$C16&lt;&gt;"",F$10&lt;&gt;""),SUMIFS(SubsidieTabel!$G:$G,SubsidieTabel!$A:$A,F$10,SubsidieTabel!$C:$C,$B16),"")</f>
        <v/>
      </c>
      <c r="G16" s="103" t="str">
        <f>IF(AND($C16&lt;&gt;0,$C16&lt;&gt;"",G$10&lt;&gt;""),SUMIFS(SubsidieTabel!$G:$G,SubsidieTabel!$A:$A,G$10,SubsidieTabel!$C:$C,$B16),"")</f>
        <v/>
      </c>
      <c r="H16" s="103" t="str">
        <f>IF(AND($C16&lt;&gt;0,$C16&lt;&gt;"",H$10&lt;&gt;""),SUMIFS(SubsidieTabel!$G:$G,SubsidieTabel!$A:$A,H$10,SubsidieTabel!$C:$C,$B16),"")</f>
        <v/>
      </c>
      <c r="I16" s="103" t="str">
        <f>IF(AND($C16&lt;&gt;0,$C16&lt;&gt;"",I$10&lt;&gt;""),SUMIFS(SubsidieTabel!$G:$G,SubsidieTabel!$A:$A,I$10,SubsidieTabel!$C:$C,$B16),"")</f>
        <v/>
      </c>
      <c r="J16" s="103" t="str">
        <f>IF(AND($C16&lt;&gt;0,$C16&lt;&gt;"",J$10&lt;&gt;""),SUMIFS(SubsidieTabel!$G:$G,SubsidieTabel!$A:$A,J$10,SubsidieTabel!$C:$C,$B16),"")</f>
        <v/>
      </c>
      <c r="K16" s="103" t="str">
        <f>IF(AND($C16&lt;&gt;0,$C16&lt;&gt;"",K$10&lt;&gt;""),SUMIFS(SubsidieTabel!$G:$G,SubsidieTabel!$A:$A,K$10,SubsidieTabel!$C:$C,$B16),"")</f>
        <v/>
      </c>
      <c r="L16" s="103" t="str">
        <f>IF(AND($C16&lt;&gt;0,$C16&lt;&gt;"",L$10&lt;&gt;""),SUMIFS(SubsidieTabel!$G:$G,SubsidieTabel!$A:$A,L$10,SubsidieTabel!$C:$C,$B16),"")</f>
        <v/>
      </c>
      <c r="M16" s="103" t="str">
        <f>IF(AND($C16&lt;&gt;0,$C16&lt;&gt;"",M$10&lt;&gt;""),SUMIFS(SubsidieTabel!$G:$G,SubsidieTabel!$A:$A,M$10,SubsidieTabel!$C:$C,$B16),"")</f>
        <v/>
      </c>
      <c r="N16" s="103" t="str">
        <f>IF(AND($C16&lt;&gt;0,$C16&lt;&gt;"",N$10&lt;&gt;""),SUMIFS(SubsidieTabel!$G:$G,SubsidieTabel!$A:$A,N$10,SubsidieTabel!$C:$C,$B16),"")</f>
        <v/>
      </c>
      <c r="O16" s="103" t="str">
        <f>IF(AND($C16&lt;&gt;0,$C16&lt;&gt;"",O$10&lt;&gt;""),SUMIFS(SubsidieTabel!$G:$G,SubsidieTabel!$A:$A,O$10,SubsidieTabel!$C:$C,$B16),"")</f>
        <v/>
      </c>
    </row>
    <row r="17" spans="2:15" ht="15" customHeight="1" x14ac:dyDescent="0.25">
      <c r="B17" s="6"/>
      <c r="C17" s="287" t="str">
        <f>IF(B17="","",SUMIF(Tb_ProjectKosten[Begroting],'Beoordeeld begrotingsoverzicht'!B17,Tb_ProjectKosten[Kosten_Beoordeeld]))</f>
        <v/>
      </c>
      <c r="D17" s="267" t="str">
        <f>IF(B17="","",IF(AND($C$49&lt;Beoord_Totaal_Project,$C17&gt;0,IFERROR(FIND("Grond",B17),FALSE)),ROUND(($C17/SUMIFS(SubsidieTabel!$K:$K,SubsidieTabel!$C:$C,"=Grond*"))*(IF($C$46&lt;&gt;"",$D$46,SUMIFS(SubsidieTabel!$K:$K,SubsidieTabel!$C:$C,"=Grond*"))),2),$C17))</f>
        <v/>
      </c>
      <c r="E17" s="267" t="str">
        <f t="shared" si="0"/>
        <v/>
      </c>
      <c r="F17" s="103" t="str">
        <f ca="1">IF(AND($C17&lt;&gt;0,$C17&lt;&gt;"",F$10&lt;&gt;""),SUMIFS(SubsidieTabel!$G:$G,SubsidieTabel!$A:$A,F$10,SubsidieTabel!$C:$C,$B17),"")</f>
        <v/>
      </c>
      <c r="G17" s="103" t="str">
        <f>IF(AND($C17&lt;&gt;0,$C17&lt;&gt;"",G$10&lt;&gt;""),SUMIFS(SubsidieTabel!$G:$G,SubsidieTabel!$A:$A,G$10,SubsidieTabel!$C:$C,$B17),"")</f>
        <v/>
      </c>
      <c r="H17" s="103" t="str">
        <f>IF(AND($C17&lt;&gt;0,$C17&lt;&gt;"",H$10&lt;&gt;""),SUMIFS(SubsidieTabel!$G:$G,SubsidieTabel!$A:$A,H$10,SubsidieTabel!$C:$C,$B17),"")</f>
        <v/>
      </c>
      <c r="I17" s="103" t="str">
        <f>IF(AND($C17&lt;&gt;0,$C17&lt;&gt;"",I$10&lt;&gt;""),SUMIFS(SubsidieTabel!$G:$G,SubsidieTabel!$A:$A,I$10,SubsidieTabel!$C:$C,$B17),"")</f>
        <v/>
      </c>
      <c r="J17" s="103" t="str">
        <f>IF(AND($C17&lt;&gt;0,$C17&lt;&gt;"",J$10&lt;&gt;""),SUMIFS(SubsidieTabel!$G:$G,SubsidieTabel!$A:$A,J$10,SubsidieTabel!$C:$C,$B17),"")</f>
        <v/>
      </c>
      <c r="K17" s="103" t="str">
        <f>IF(AND($C17&lt;&gt;0,$C17&lt;&gt;"",K$10&lt;&gt;""),SUMIFS(SubsidieTabel!$G:$G,SubsidieTabel!$A:$A,K$10,SubsidieTabel!$C:$C,$B17),"")</f>
        <v/>
      </c>
      <c r="L17" s="103" t="str">
        <f>IF(AND($C17&lt;&gt;0,$C17&lt;&gt;"",L$10&lt;&gt;""),SUMIFS(SubsidieTabel!$G:$G,SubsidieTabel!$A:$A,L$10,SubsidieTabel!$C:$C,$B17),"")</f>
        <v/>
      </c>
      <c r="M17" s="103" t="str">
        <f>IF(AND($C17&lt;&gt;0,$C17&lt;&gt;"",M$10&lt;&gt;""),SUMIFS(SubsidieTabel!$G:$G,SubsidieTabel!$A:$A,M$10,SubsidieTabel!$C:$C,$B17),"")</f>
        <v/>
      </c>
      <c r="N17" s="103" t="str">
        <f>IF(AND($C17&lt;&gt;0,$C17&lt;&gt;"",N$10&lt;&gt;""),SUMIFS(SubsidieTabel!$G:$G,SubsidieTabel!$A:$A,N$10,SubsidieTabel!$C:$C,$B17),"")</f>
        <v/>
      </c>
      <c r="O17" s="103" t="str">
        <f>IF(AND($C17&lt;&gt;0,$C17&lt;&gt;"",O$10&lt;&gt;""),SUMIFS(SubsidieTabel!$G:$G,SubsidieTabel!$A:$A,O$10,SubsidieTabel!$C:$C,$B17),"")</f>
        <v/>
      </c>
    </row>
    <row r="18" spans="2:15" ht="15" customHeight="1" x14ac:dyDescent="0.25">
      <c r="B18" s="6"/>
      <c r="C18" s="287" t="str">
        <f>IF(B18="","",SUMIF(Tb_ProjectKosten[Begroting],'Beoordeeld begrotingsoverzicht'!B18,Tb_ProjectKosten[Kosten_Beoordeeld]))</f>
        <v/>
      </c>
      <c r="D18" s="267" t="str">
        <f>IF(B18="","",IF(AND($C$49&lt;Beoord_Totaal_Project,$C18&gt;0,IFERROR(FIND("Grond",B18),FALSE)),ROUND(($C18/SUMIFS(SubsidieTabel!$K:$K,SubsidieTabel!$C:$C,"=Grond*"))*(IF($C$46&lt;&gt;"",$D$46,SUMIFS(SubsidieTabel!$K:$K,SubsidieTabel!$C:$C,"=Grond*"))),2),$C18))</f>
        <v/>
      </c>
      <c r="E18" s="267" t="str">
        <f t="shared" si="0"/>
        <v/>
      </c>
      <c r="F18" s="103" t="str">
        <f ca="1">IF(AND($C18&lt;&gt;0,$C18&lt;&gt;"",F$10&lt;&gt;""),SUMIFS(SubsidieTabel!$G:$G,SubsidieTabel!$A:$A,F$10,SubsidieTabel!$C:$C,$B18),"")</f>
        <v/>
      </c>
      <c r="G18" s="103" t="str">
        <f>IF(AND($C18&lt;&gt;0,$C18&lt;&gt;"",G$10&lt;&gt;""),SUMIFS(SubsidieTabel!$G:$G,SubsidieTabel!$A:$A,G$10,SubsidieTabel!$C:$C,$B18),"")</f>
        <v/>
      </c>
      <c r="H18" s="103" t="str">
        <f>IF(AND($C18&lt;&gt;0,$C18&lt;&gt;"",H$10&lt;&gt;""),SUMIFS(SubsidieTabel!$G:$G,SubsidieTabel!$A:$A,H$10,SubsidieTabel!$C:$C,$B18),"")</f>
        <v/>
      </c>
      <c r="I18" s="103" t="str">
        <f>IF(AND($C18&lt;&gt;0,$C18&lt;&gt;"",I$10&lt;&gt;""),SUMIFS(SubsidieTabel!$G:$G,SubsidieTabel!$A:$A,I$10,SubsidieTabel!$C:$C,$B18),"")</f>
        <v/>
      </c>
      <c r="J18" s="103" t="str">
        <f>IF(AND($C18&lt;&gt;0,$C18&lt;&gt;"",J$10&lt;&gt;""),SUMIFS(SubsidieTabel!$G:$G,SubsidieTabel!$A:$A,J$10,SubsidieTabel!$C:$C,$B18),"")</f>
        <v/>
      </c>
      <c r="K18" s="103" t="str">
        <f>IF(AND($C18&lt;&gt;0,$C18&lt;&gt;"",K$10&lt;&gt;""),SUMIFS(SubsidieTabel!$G:$G,SubsidieTabel!$A:$A,K$10,SubsidieTabel!$C:$C,$B18),"")</f>
        <v/>
      </c>
      <c r="L18" s="103" t="str">
        <f>IF(AND($C18&lt;&gt;0,$C18&lt;&gt;"",L$10&lt;&gt;""),SUMIFS(SubsidieTabel!$G:$G,SubsidieTabel!$A:$A,L$10,SubsidieTabel!$C:$C,$B18),"")</f>
        <v/>
      </c>
      <c r="M18" s="103" t="str">
        <f>IF(AND($C18&lt;&gt;0,$C18&lt;&gt;"",M$10&lt;&gt;""),SUMIFS(SubsidieTabel!$G:$G,SubsidieTabel!$A:$A,M$10,SubsidieTabel!$C:$C,$B18),"")</f>
        <v/>
      </c>
      <c r="N18" s="103" t="str">
        <f>IF(AND($C18&lt;&gt;0,$C18&lt;&gt;"",N$10&lt;&gt;""),SUMIFS(SubsidieTabel!$G:$G,SubsidieTabel!$A:$A,N$10,SubsidieTabel!$C:$C,$B18),"")</f>
        <v/>
      </c>
      <c r="O18" s="103" t="str">
        <f>IF(AND($C18&lt;&gt;0,$C18&lt;&gt;"",O$10&lt;&gt;""),SUMIFS(SubsidieTabel!$G:$G,SubsidieTabel!$A:$A,O$10,SubsidieTabel!$C:$C,$B18),"")</f>
        <v/>
      </c>
    </row>
    <row r="19" spans="2:15" ht="15" customHeight="1" x14ac:dyDescent="0.25">
      <c r="B19" s="6"/>
      <c r="C19" s="287" t="str">
        <f>IF(B19="","",SUMIF(Tb_ProjectKosten[Begroting],'Beoordeeld begrotingsoverzicht'!B19,Tb_ProjectKosten[Kosten_Beoordeeld]))</f>
        <v/>
      </c>
      <c r="D19" s="267" t="str">
        <f>IF(B19="","",IF(AND($C$49&lt;Beoord_Totaal_Project,$C19&gt;0,IFERROR(FIND("Grond",B19),FALSE)),ROUND(($C19/SUMIFS(SubsidieTabel!$K:$K,SubsidieTabel!$C:$C,"=Grond*"))*(IF($C$46&lt;&gt;"",$D$46,SUMIFS(SubsidieTabel!$K:$K,SubsidieTabel!$C:$C,"=Grond*"))),2),$C19))</f>
        <v/>
      </c>
      <c r="E19" s="267" t="str">
        <f t="shared" si="0"/>
        <v/>
      </c>
      <c r="F19" s="103" t="str">
        <f ca="1">IF(AND($C19&lt;&gt;0,$C19&lt;&gt;"",F$10&lt;&gt;""),SUMIFS(SubsidieTabel!$G:$G,SubsidieTabel!$A:$A,F$10,SubsidieTabel!$C:$C,$B19),"")</f>
        <v/>
      </c>
      <c r="G19" s="103" t="str">
        <f>IF(AND($C19&lt;&gt;0,$C19&lt;&gt;"",G$10&lt;&gt;""),SUMIFS(SubsidieTabel!$G:$G,SubsidieTabel!$A:$A,G$10,SubsidieTabel!$C:$C,$B19),"")</f>
        <v/>
      </c>
      <c r="H19" s="103" t="str">
        <f>IF(AND($C19&lt;&gt;0,$C19&lt;&gt;"",H$10&lt;&gt;""),SUMIFS(SubsidieTabel!$G:$G,SubsidieTabel!$A:$A,H$10,SubsidieTabel!$C:$C,$B19),"")</f>
        <v/>
      </c>
      <c r="I19" s="103" t="str">
        <f>IF(AND($C19&lt;&gt;0,$C19&lt;&gt;"",I$10&lt;&gt;""),SUMIFS(SubsidieTabel!$G:$G,SubsidieTabel!$A:$A,I$10,SubsidieTabel!$C:$C,$B19),"")</f>
        <v/>
      </c>
      <c r="J19" s="103" t="str">
        <f>IF(AND($C19&lt;&gt;0,$C19&lt;&gt;"",J$10&lt;&gt;""),SUMIFS(SubsidieTabel!$G:$G,SubsidieTabel!$A:$A,J$10,SubsidieTabel!$C:$C,$B19),"")</f>
        <v/>
      </c>
      <c r="K19" s="103" t="str">
        <f>IF(AND($C19&lt;&gt;0,$C19&lt;&gt;"",K$10&lt;&gt;""),SUMIFS(SubsidieTabel!$G:$G,SubsidieTabel!$A:$A,K$10,SubsidieTabel!$C:$C,$B19),"")</f>
        <v/>
      </c>
      <c r="L19" s="103" t="str">
        <f>IF(AND($C19&lt;&gt;0,$C19&lt;&gt;"",L$10&lt;&gt;""),SUMIFS(SubsidieTabel!$G:$G,SubsidieTabel!$A:$A,L$10,SubsidieTabel!$C:$C,$B19),"")</f>
        <v/>
      </c>
      <c r="M19" s="103" t="str">
        <f>IF(AND($C19&lt;&gt;0,$C19&lt;&gt;"",M$10&lt;&gt;""),SUMIFS(SubsidieTabel!$G:$G,SubsidieTabel!$A:$A,M$10,SubsidieTabel!$C:$C,$B19),"")</f>
        <v/>
      </c>
      <c r="N19" s="103" t="str">
        <f>IF(AND($C19&lt;&gt;0,$C19&lt;&gt;"",N$10&lt;&gt;""),SUMIFS(SubsidieTabel!$G:$G,SubsidieTabel!$A:$A,N$10,SubsidieTabel!$C:$C,$B19),"")</f>
        <v/>
      </c>
      <c r="O19" s="103" t="str">
        <f>IF(AND($C19&lt;&gt;0,$C19&lt;&gt;"",O$10&lt;&gt;""),SUMIFS(SubsidieTabel!$G:$G,SubsidieTabel!$A:$A,O$10,SubsidieTabel!$C:$C,$B19),"")</f>
        <v/>
      </c>
    </row>
    <row r="20" spans="2:15" ht="15" customHeight="1" x14ac:dyDescent="0.25">
      <c r="B20" s="6"/>
      <c r="C20" s="287" t="str">
        <f>IF(B20="","",SUMIF(Tb_ProjectKosten[Begroting],'Beoordeeld begrotingsoverzicht'!B20,Tb_ProjectKosten[Kosten_Beoordeeld]))</f>
        <v/>
      </c>
      <c r="D20" s="267" t="str">
        <f>IF(B20="","",IF(AND($C$49&lt;Beoord_Totaal_Project,$C20&gt;0,IFERROR(FIND("Grond",B20),FALSE)),ROUND(($C20/SUMIFS(SubsidieTabel!$K:$K,SubsidieTabel!$C:$C,"=Grond*"))*(IF($C$46&lt;&gt;"",$D$46,SUMIFS(SubsidieTabel!$K:$K,SubsidieTabel!$C:$C,"=Grond*"))),2),$C20))</f>
        <v/>
      </c>
      <c r="E20" s="267" t="str">
        <f t="shared" si="0"/>
        <v/>
      </c>
      <c r="F20" s="103" t="str">
        <f ca="1">IF(AND($C20&lt;&gt;0,$C20&lt;&gt;"",F$10&lt;&gt;""),SUMIFS(SubsidieTabel!$G:$G,SubsidieTabel!$A:$A,F$10,SubsidieTabel!$C:$C,$B20),"")</f>
        <v/>
      </c>
      <c r="G20" s="103" t="str">
        <f>IF(AND($C20&lt;&gt;0,$C20&lt;&gt;"",G$10&lt;&gt;""),SUMIFS(SubsidieTabel!$G:$G,SubsidieTabel!$A:$A,G$10,SubsidieTabel!$C:$C,$B20),"")</f>
        <v/>
      </c>
      <c r="H20" s="103" t="str">
        <f>IF(AND($C20&lt;&gt;0,$C20&lt;&gt;"",H$10&lt;&gt;""),SUMIFS(SubsidieTabel!$G:$G,SubsidieTabel!$A:$A,H$10,SubsidieTabel!$C:$C,$B20),"")</f>
        <v/>
      </c>
      <c r="I20" s="103" t="str">
        <f>IF(AND($C20&lt;&gt;0,$C20&lt;&gt;"",I$10&lt;&gt;""),SUMIFS(SubsidieTabel!$G:$G,SubsidieTabel!$A:$A,I$10,SubsidieTabel!$C:$C,$B20),"")</f>
        <v/>
      </c>
      <c r="J20" s="103" t="str">
        <f>IF(AND($C20&lt;&gt;0,$C20&lt;&gt;"",J$10&lt;&gt;""),SUMIFS(SubsidieTabel!$G:$G,SubsidieTabel!$A:$A,J$10,SubsidieTabel!$C:$C,$B20),"")</f>
        <v/>
      </c>
      <c r="K20" s="103" t="str">
        <f>IF(AND($C20&lt;&gt;0,$C20&lt;&gt;"",K$10&lt;&gt;""),SUMIFS(SubsidieTabel!$G:$G,SubsidieTabel!$A:$A,K$10,SubsidieTabel!$C:$C,$B20),"")</f>
        <v/>
      </c>
      <c r="L20" s="103" t="str">
        <f>IF(AND($C20&lt;&gt;0,$C20&lt;&gt;"",L$10&lt;&gt;""),SUMIFS(SubsidieTabel!$G:$G,SubsidieTabel!$A:$A,L$10,SubsidieTabel!$C:$C,$B20),"")</f>
        <v/>
      </c>
      <c r="M20" s="103" t="str">
        <f>IF(AND($C20&lt;&gt;0,$C20&lt;&gt;"",M$10&lt;&gt;""),SUMIFS(SubsidieTabel!$G:$G,SubsidieTabel!$A:$A,M$10,SubsidieTabel!$C:$C,$B20),"")</f>
        <v/>
      </c>
      <c r="N20" s="103" t="str">
        <f>IF(AND($C20&lt;&gt;0,$C20&lt;&gt;"",N$10&lt;&gt;""),SUMIFS(SubsidieTabel!$G:$G,SubsidieTabel!$A:$A,N$10,SubsidieTabel!$C:$C,$B20),"")</f>
        <v/>
      </c>
      <c r="O20" s="103" t="str">
        <f>IF(AND($C20&lt;&gt;0,$C20&lt;&gt;"",O$10&lt;&gt;""),SUMIFS(SubsidieTabel!$G:$G,SubsidieTabel!$A:$A,O$10,SubsidieTabel!$C:$C,$B20),"")</f>
        <v/>
      </c>
    </row>
    <row r="21" spans="2:15" ht="15" customHeight="1" x14ac:dyDescent="0.25">
      <c r="B21" s="6"/>
      <c r="C21" s="287" t="str">
        <f>IF(B21="","",SUMIF(Tb_ProjectKosten[Begroting],'Beoordeeld begrotingsoverzicht'!B21,Tb_ProjectKosten[Kosten_Beoordeeld]))</f>
        <v/>
      </c>
      <c r="D21" s="267" t="str">
        <f>IF(B21="","",IF(AND($C$49&lt;Beoord_Totaal_Project,$C21&gt;0,IFERROR(FIND("Grond",B21),FALSE)),ROUND(($C21/SUMIFS(SubsidieTabel!$K:$K,SubsidieTabel!$C:$C,"=Grond*"))*(IF($C$46&lt;&gt;"",$D$46,SUMIFS(SubsidieTabel!$K:$K,SubsidieTabel!$C:$C,"=Grond*"))),2),$C21))</f>
        <v/>
      </c>
      <c r="E21" s="267" t="str">
        <f t="shared" si="0"/>
        <v/>
      </c>
      <c r="F21" s="103" t="str">
        <f ca="1">IF(AND($C21&lt;&gt;0,$C21&lt;&gt;"",F$10&lt;&gt;""),SUMIFS(SubsidieTabel!$G:$G,SubsidieTabel!$A:$A,F$10,SubsidieTabel!$C:$C,$B21),"")</f>
        <v/>
      </c>
      <c r="G21" s="103" t="str">
        <f>IF(AND($C21&lt;&gt;0,$C21&lt;&gt;"",G$10&lt;&gt;""),SUMIFS(SubsidieTabel!$G:$G,SubsidieTabel!$A:$A,G$10,SubsidieTabel!$C:$C,$B21),"")</f>
        <v/>
      </c>
      <c r="H21" s="103" t="str">
        <f>IF(AND($C21&lt;&gt;0,$C21&lt;&gt;"",H$10&lt;&gt;""),SUMIFS(SubsidieTabel!$G:$G,SubsidieTabel!$A:$A,H$10,SubsidieTabel!$C:$C,$B21),"")</f>
        <v/>
      </c>
      <c r="I21" s="103" t="str">
        <f>IF(AND($C21&lt;&gt;0,$C21&lt;&gt;"",I$10&lt;&gt;""),SUMIFS(SubsidieTabel!$G:$G,SubsidieTabel!$A:$A,I$10,SubsidieTabel!$C:$C,$B21),"")</f>
        <v/>
      </c>
      <c r="J21" s="103" t="str">
        <f>IF(AND($C21&lt;&gt;0,$C21&lt;&gt;"",J$10&lt;&gt;""),SUMIFS(SubsidieTabel!$G:$G,SubsidieTabel!$A:$A,J$10,SubsidieTabel!$C:$C,$B21),"")</f>
        <v/>
      </c>
      <c r="K21" s="103" t="str">
        <f>IF(AND($C21&lt;&gt;0,$C21&lt;&gt;"",K$10&lt;&gt;""),SUMIFS(SubsidieTabel!$G:$G,SubsidieTabel!$A:$A,K$10,SubsidieTabel!$C:$C,$B21),"")</f>
        <v/>
      </c>
      <c r="L21" s="103" t="str">
        <f>IF(AND($C21&lt;&gt;0,$C21&lt;&gt;"",L$10&lt;&gt;""),SUMIFS(SubsidieTabel!$G:$G,SubsidieTabel!$A:$A,L$10,SubsidieTabel!$C:$C,$B21),"")</f>
        <v/>
      </c>
      <c r="M21" s="103" t="str">
        <f>IF(AND($C21&lt;&gt;0,$C21&lt;&gt;"",M$10&lt;&gt;""),SUMIFS(SubsidieTabel!$G:$G,SubsidieTabel!$A:$A,M$10,SubsidieTabel!$C:$C,$B21),"")</f>
        <v/>
      </c>
      <c r="N21" s="103" t="str">
        <f>IF(AND($C21&lt;&gt;0,$C21&lt;&gt;"",N$10&lt;&gt;""),SUMIFS(SubsidieTabel!$G:$G,SubsidieTabel!$A:$A,N$10,SubsidieTabel!$C:$C,$B21),"")</f>
        <v/>
      </c>
      <c r="O21" s="103" t="str">
        <f>IF(AND($C21&lt;&gt;0,$C21&lt;&gt;"",O$10&lt;&gt;""),SUMIFS(SubsidieTabel!$G:$G,SubsidieTabel!$A:$A,O$10,SubsidieTabel!$C:$C,$B21),"")</f>
        <v/>
      </c>
    </row>
    <row r="22" spans="2:15" ht="15" customHeight="1" x14ac:dyDescent="0.25">
      <c r="B22" s="7" t="s">
        <v>21</v>
      </c>
      <c r="C22" s="262">
        <f ca="1">SUM(C11:C21)</f>
        <v>0</v>
      </c>
      <c r="D22" s="268">
        <f ca="1">SUM(D11:D21)</f>
        <v>0</v>
      </c>
      <c r="E22" s="268">
        <f ca="1">SUM(E11:E21)</f>
        <v>0</v>
      </c>
      <c r="F22" s="162" t="str">
        <f ca="1">IF(SUM(F11:F21)=0,"",SUM(F11:F21))</f>
        <v/>
      </c>
      <c r="G22" s="162" t="str">
        <f t="shared" ref="G22:O22" ca="1" si="1">IF(SUM(G11:G21)=0,"",SUM(G11:G21))</f>
        <v/>
      </c>
      <c r="H22" s="162" t="str">
        <f t="shared" ca="1" si="1"/>
        <v/>
      </c>
      <c r="I22" s="162" t="str">
        <f t="shared" ca="1" si="1"/>
        <v/>
      </c>
      <c r="J22" s="162" t="str">
        <f t="shared" ca="1" si="1"/>
        <v/>
      </c>
      <c r="K22" s="162" t="str">
        <f t="shared" ca="1" si="1"/>
        <v/>
      </c>
      <c r="L22" s="162" t="str">
        <f t="shared" ca="1" si="1"/>
        <v/>
      </c>
      <c r="M22" s="162" t="str">
        <f t="shared" ca="1" si="1"/>
        <v/>
      </c>
      <c r="N22" s="162" t="str">
        <f t="shared" ca="1" si="1"/>
        <v/>
      </c>
      <c r="O22" s="162" t="str">
        <f t="shared" ca="1" si="1"/>
        <v/>
      </c>
    </row>
    <row r="23" spans="2:15" s="26" customFormat="1" ht="15" customHeight="1" x14ac:dyDescent="0.25">
      <c r="B23" s="106" t="str" cm="1">
        <f t="array" ref="B23">_xlfn.IFS(OR($C$8="",$C$8="Geen vereenvoudigde kostenoptie"),"Geen forfait",$C$8="Vereenvoudigde kostenoptie voor overige kosten","Forfait voor overige kosten",$C$8="Vereenvoudigde kostenoptie voor arbeidskosten","Forfait voor arbeidskosten")</f>
        <v>Geen forfait</v>
      </c>
      <c r="C23" s="105" t="str">
        <f>IF(SUM(Tb_ProjectKosten[Forfait_Bedrag_Beoordeeld])&gt;0,ROUND(SUM(Tb_ProjectKosten[Forfait_Bedrag_Beoordeeld]),2),"")</f>
        <v/>
      </c>
      <c r="D23" s="107" t="str">
        <f ca="1">IFERROR(ROUND(IF(D22&lt;&gt;C22,D22/C22*C23,C23),2),"")</f>
        <v/>
      </c>
      <c r="E23" s="107" t="str">
        <f ca="1">IFERROR(ROUND(IF(D22&lt;&gt;E22,E22/D22*D23,D23),2),"")</f>
        <v/>
      </c>
      <c r="F23" s="103" t="str">
        <f ca="1">IF(AND($C$23&lt;&gt;"",F$10&lt;&gt;""),ROUND(SUMIFS(SubsidieTabel!$I:$I,SubsidieTabel!$A:$A,F$10),2),"")</f>
        <v/>
      </c>
      <c r="G23" s="103" t="str">
        <f>IF(AND($C$23&lt;&gt;"",G$10&lt;&gt;""),ROUND(SUMIFS(SubsidieTabel!$I:$I,SubsidieTabel!$A:$A,G$10),2),"")</f>
        <v/>
      </c>
      <c r="H23" s="103" t="str">
        <f>IF(AND($C$23&lt;&gt;"",H$10&lt;&gt;""),ROUND(SUMIFS(SubsidieTabel!$I:$I,SubsidieTabel!$A:$A,H$10),2),"")</f>
        <v/>
      </c>
      <c r="I23" s="103" t="str">
        <f>IF(AND($C$23&lt;&gt;"",I$10&lt;&gt;""),ROUND(SUMIFS(SubsidieTabel!$I:$I,SubsidieTabel!$A:$A,I$10),2),"")</f>
        <v/>
      </c>
      <c r="J23" s="103" t="str">
        <f>IF(AND($C$23&lt;&gt;"",J$10&lt;&gt;""),ROUND(SUMIFS(SubsidieTabel!$I:$I,SubsidieTabel!$A:$A,J$10),2),"")</f>
        <v/>
      </c>
      <c r="K23" s="103" t="str">
        <f>IF(AND($C$23&lt;&gt;"",K$10&lt;&gt;""),ROUND(SUMIFS(SubsidieTabel!$I:$I,SubsidieTabel!$A:$A,K$10),2),"")</f>
        <v/>
      </c>
      <c r="L23" s="103" t="str">
        <f>IF(AND($C$23&lt;&gt;"",L$10&lt;&gt;""),ROUND(SUMIFS(SubsidieTabel!$I:$I,SubsidieTabel!$A:$A,L$10),2),"")</f>
        <v/>
      </c>
      <c r="M23" s="103" t="str">
        <f>IF(AND($C$23&lt;&gt;"",M$10&lt;&gt;""),ROUND(SUMIFS(SubsidieTabel!$I:$I,SubsidieTabel!$A:$A,M$10),2),"")</f>
        <v/>
      </c>
      <c r="N23" s="103" t="str">
        <f>IF(AND($C$23&lt;&gt;"",N$10&lt;&gt;""),ROUND(SUMIFS(SubsidieTabel!$I:$I,SubsidieTabel!$A:$A,N$10),2),"")</f>
        <v/>
      </c>
      <c r="O23" s="103" t="str">
        <f>IF(AND($C$23&lt;&gt;"",O$10&lt;&gt;""),ROUND(SUMIFS(SubsidieTabel!$I:$I,SubsidieTabel!$A:$A,O$10),2),"")</f>
        <v/>
      </c>
    </row>
    <row r="24" spans="2:15" s="26" customFormat="1" ht="15" customHeight="1" x14ac:dyDescent="0.25">
      <c r="B24" s="141" t="s">
        <v>79</v>
      </c>
      <c r="C24" s="262" cm="1">
        <f t="array" aca="1" ref="C24" ca="1">IFERROR(_xlfn.IFS(C22=0,0,OR($C$8="Geen vereenvoudigde kostenoptie",$C$8=""),C22,$C$8="Vereenvoudigde kostenoptie voor arbeidskosten",SUM(C22:C23),$C$8="Vereenvoudigde kostenoptie voor overige kosten",SUM(C22:C23)),0)</f>
        <v>0</v>
      </c>
      <c r="D24" s="268">
        <f ca="1">SUM(D22:D23)</f>
        <v>0</v>
      </c>
      <c r="E24" s="268">
        <f ca="1">SUM(E22:E23)</f>
        <v>0</v>
      </c>
      <c r="F24" s="162" t="str">
        <f ca="1">IF(SUM(F22:F23)=0,"",SUM(F22:F23))</f>
        <v/>
      </c>
      <c r="G24" s="162" t="str">
        <f t="shared" ref="G24:O24" ca="1" si="2">IF(SUM(G22:G23)=0,"",SUM(G22:G23))</f>
        <v/>
      </c>
      <c r="H24" s="162" t="str">
        <f t="shared" ca="1" si="2"/>
        <v/>
      </c>
      <c r="I24" s="162" t="str">
        <f t="shared" ca="1" si="2"/>
        <v/>
      </c>
      <c r="J24" s="162" t="str">
        <f t="shared" ca="1" si="2"/>
        <v/>
      </c>
      <c r="K24" s="162" t="str">
        <f t="shared" ca="1" si="2"/>
        <v/>
      </c>
      <c r="L24" s="162" t="str">
        <f t="shared" ca="1" si="2"/>
        <v/>
      </c>
      <c r="M24" s="162" t="str">
        <f t="shared" ca="1" si="2"/>
        <v/>
      </c>
      <c r="N24" s="162" t="str">
        <f t="shared" ca="1" si="2"/>
        <v/>
      </c>
      <c r="O24" s="162" t="str">
        <f t="shared" ca="1" si="2"/>
        <v/>
      </c>
    </row>
    <row r="25" spans="2:15" s="26" customFormat="1" ht="6" customHeight="1" x14ac:dyDescent="0.25">
      <c r="B25" s="37"/>
      <c r="C25" s="37"/>
      <c r="D25" s="38"/>
    </row>
    <row r="26" spans="2:15" s="26" customFormat="1" ht="6" customHeight="1" x14ac:dyDescent="0.25">
      <c r="B26" s="37"/>
      <c r="C26" s="39"/>
      <c r="D26" s="39"/>
    </row>
    <row r="27" spans="2:15" s="26" customFormat="1" ht="6" customHeight="1" x14ac:dyDescent="0.25">
      <c r="B27" s="40"/>
      <c r="C27" s="40"/>
      <c r="D27" s="41"/>
    </row>
    <row r="28" spans="2:15" ht="29.25" customHeight="1" x14ac:dyDescent="0.25">
      <c r="B28" s="270" t="s">
        <v>152</v>
      </c>
      <c r="C28" s="270" t="s">
        <v>122</v>
      </c>
      <c r="D28" s="270" t="s">
        <v>1</v>
      </c>
      <c r="E28" s="270" t="s">
        <v>130</v>
      </c>
      <c r="F28" s="352" t="str" cm="1">
        <f t="array" aca="1" ref="F28" ca="1">IF(C45&gt;IFERROR(VLOOKUP(Openstelling_Keuze,IF(ISBLANK(Tb_Openstelling[Grond_%]),0,Tb_Openstelling[]),MATCH(Tb_Openstelling[[#Headers],[Grond_%]],Tb_Openstelling[#Headers],0),0),0.1),IF(H55&lt;&gt;"","Subsidiebedrag na aftopping "&amp;LOWER($B$44)&amp;" (en samenwerking)","Subsidiebedrag na aftopping "&amp;LOWER($B$44)),"")</f>
        <v/>
      </c>
      <c r="G28" s="352" t="str">
        <f>IF($F$44&lt;&gt;"","Subsidiebedrag na aftopping "&amp;LOWER($F$44),"")</f>
        <v/>
      </c>
      <c r="H28" s="352" t="str">
        <f>IF($F$52&lt;&gt;"","Subsidiebedrag na aftopping "&amp;LOWER($F$52),"")</f>
        <v/>
      </c>
      <c r="I28" s="352" t="str">
        <f ca="1">IF(SUM(K29:K38)&lt;&gt;0,"Subsidiebedrag na aftopping maximum percentage activiteiten","")</f>
        <v/>
      </c>
      <c r="J28" s="352" t="str">
        <f ca="1">IF(I28&lt;&gt;"","Subsidieverlaging op basis van maximum percentage","")</f>
        <v/>
      </c>
    </row>
    <row r="29" spans="2:15" s="26" customFormat="1" x14ac:dyDescent="0.25">
      <c r="B29" s="367" t="str" cm="1">
        <f t="array" aca="1" ref="B29" ca="1">Activiteiten_Uniek_Sort</f>
        <v/>
      </c>
      <c r="C29" s="89" t="str">
        <f ca="1">IF(B29&lt;&gt;"",SUMIFS('5. Kosten uitvoering project'!$S:$S,'5. Kosten uitvoering project'!$E:$E,'Beoordeeld begrotingsoverzicht'!B29)+SUMIFS('5. Kosten uitvoering project'!$V:$V,'5. Kosten uitvoering project'!$E:$E,'Beoordeeld begrotingsoverzicht'!B29),"")</f>
        <v/>
      </c>
      <c r="D29" s="90" t="str">
        <f ca="1">IFERROR(VLOOKUP(B29,Lijsten!$AK:$AL,2,0),"")</f>
        <v/>
      </c>
      <c r="E29" s="89" t="str">
        <f ca="1">IF(B29&lt;&gt;"",IF(PRODUCT(C29,D29)&lt;&gt;0,PRODUCT(C29,D29),0),"")</f>
        <v/>
      </c>
      <c r="F29" s="353" t="str">
        <f ca="1">IFERROR(IF(AND(F$28&lt;&gt;""),IF(AND(H29&lt;&gt;"",H29&lt;IFERROR(SUMIFS(SubsidieTabel!$K:$K,SubsidieTabel!$A:$A,$B29,SubsidieTabel!$C:$C,$B$44)/SUMIFS(SubsidieTabel!$K:$K,SubsidieTabel!$C:$C,$B$44)*$D$51*$D29+SUMIFS(SubsidieTabel!$K:$K,SubsidieTabel!$A:$A,$B29,SubsidieTabel!$C:$C,"&lt;&gt;"&amp;$B$44),0)*$D29),H29,SUMIFS(SubsidieTabel!$K:$K,SubsidieTabel!$A:$A,$B29,SubsidieTabel!$C:$C,$B$44)/SUMIFS(SubsidieTabel!$K:$K,SubsidieTabel!$C:$C,$B$44)*$D$51*$D29+SUMIFS(SubsidieTabel!$K:$K,SubsidieTabel!$A:$A,$B29,SubsidieTabel!$C:$C,"&lt;&gt;"&amp;$B$44)*$D29),""),"")</f>
        <v/>
      </c>
      <c r="G29" s="354" t="str">
        <f ca="1">IFERROR(IF(AND(G$28&lt;&gt;"",SUMIFS(SubsidieTabel!$R:$R,SubsidieTabel!$A:$A,$B29)&gt;0),H46*D29,IF(G$28&lt;&gt;"",E29,"")),"")</f>
        <v/>
      </c>
      <c r="H29" s="354" t="str">
        <f ca="1">IFERROR(IF(AND(H$28&lt;&gt;"",E29&lt;&gt;"",SUMIFS(SubsidieTabel!$T:$T,SubsidieTabel!$A:$A,$B29)&gt;0),$H$56*D29,IF(AND(H$28&lt;&gt;"",E29&lt;&gt;""),MIN(E29,G29),"")),"")</f>
        <v/>
      </c>
      <c r="I29" s="355" t="str">
        <f ca="1">IF(AND(E29&lt;&gt;"",I28&lt;&gt;""),IF(J29="subsidieverlaging",MIN(E29:F29)/IF($F$28&lt;&gt;"",SUMIFS($F$29:$F$38,$K$29:$K$38,"&gt;0"),SUMIFS($E$29:$E$38,$K$29:$K$38,"&gt;0"))*IF($F$28&lt;&gt;"",SUMIFS($F$29:$F$38,$K$29:$K$38,""),SUMIFS($E$29:$E$38,$K$29:$K$38,""))/(1-$K$39)*$K$39,MIN(E29:F29)),"")</f>
        <v/>
      </c>
      <c r="J29" s="26" t="str">
        <f ca="1">IF(AND(K29&lt;&gt;"",$J$28&lt;&gt;""),IF(IF($F$28&lt;&gt;"",SUMIFS($F$29:$F$38,$K$29:$K$38,""),SUMIFS($E$29:$E$38,$K$29:$K$38,""))/(1-$K$39)*$K$39 &gt; IF($F$28&lt;&gt;"",SUMIFS($F$29:$F$38,$K$29:$K$38,"&gt;0"),SUMIFS($E$29:$E$38,$K$29:$K$38,"&gt;0")),"geen verlaging","subsidieverlaging"),"")</f>
        <v/>
      </c>
      <c r="K29" s="289" t="str" cm="1">
        <f t="array" aca="1" ref="K29" ca="1">IFERROR(IF(SUMIFS(SubsidieTabel!$V:$V,SubsidieTabel!$A:$A,B29)&gt;0,IFERROR(VLOOKUP(Openstelling_Keuze,IF(ISBLANK(Tb_Openstelling[SIG_%]),0,Tb_Openstelling[]),MATCH(Tb_Openstelling[[#Headers],[SIG_%]],Tb_Openstelling[#Headers],0),0),0.25),""),"")</f>
        <v/>
      </c>
    </row>
    <row r="30" spans="2:15" s="26" customFormat="1" x14ac:dyDescent="0.25">
      <c r="B30" s="367"/>
      <c r="C30" s="89" t="str">
        <f>IF(B30&lt;&gt;"",SUMIFS('5. Kosten uitvoering project'!$S:$S,'5. Kosten uitvoering project'!$E:$E,'Beoordeeld begrotingsoverzicht'!B30)+SUMIFS('5. Kosten uitvoering project'!$V:$V,'5. Kosten uitvoering project'!$E:$E,'Beoordeeld begrotingsoverzicht'!B30),"")</f>
        <v/>
      </c>
      <c r="D30" s="90" t="str">
        <f>IFERROR(VLOOKUP(B30,Lijsten!$AK:$AL,2,0),"")</f>
        <v/>
      </c>
      <c r="E30" s="89" t="str">
        <f t="shared" ref="E30:E38" si="3">IF(B30&lt;&gt;"",IF(PRODUCT(C30,D30)&lt;&gt;0,PRODUCT(C30,D30),0),"")</f>
        <v/>
      </c>
      <c r="F30" s="353" t="str">
        <f ca="1">IFERROR(IF(AND(F$28&lt;&gt;""),IF(AND(H30&lt;&gt;"",H30&lt;IFERROR(SUMIFS(SubsidieTabel!$K:$K,SubsidieTabel!$A:$A,$B30,SubsidieTabel!$C:$C,$B$44)/SUMIFS(SubsidieTabel!$K:$K,SubsidieTabel!$C:$C,$B$44)*$D$51*$D30+SUMIFS(SubsidieTabel!$K:$K,SubsidieTabel!$A:$A,$B30,SubsidieTabel!$C:$C,"&lt;&gt;"&amp;$B$44),0)*$D30),H30,SUMIFS(SubsidieTabel!$K:$K,SubsidieTabel!$A:$A,$B30,SubsidieTabel!$C:$C,$B$44)/SUMIFS(SubsidieTabel!$K:$K,SubsidieTabel!$C:$C,$B$44)*$D$51*$D30+SUMIFS(SubsidieTabel!$K:$K,SubsidieTabel!$A:$A,$B30,SubsidieTabel!$C:$C,"&lt;&gt;"&amp;$B$44)*$D30),""),"")</f>
        <v/>
      </c>
      <c r="G30" s="354" t="str">
        <f>IFERROR(IF(AND(G$28&lt;&gt;"",SUMIFS(SubsidieTabel!$R:$R,SubsidieTabel!$A:$A,$B30)&gt;0),H47*D30,IF(G$28&lt;&gt;"",E30,"")),"")</f>
        <v/>
      </c>
      <c r="H30" s="354" t="str">
        <f>IFERROR(IF(AND(H$28&lt;&gt;"",E30&lt;&gt;"",SUMIFS(SubsidieTabel!$T:$T,SubsidieTabel!$A:$A,$B30)&gt;0),$H$56*D30,IF(AND(H$28&lt;&gt;"",E30&lt;&gt;""),MIN(E30,G30),"")),"")</f>
        <v/>
      </c>
      <c r="I30" s="355" t="str">
        <f t="shared" ref="I30:I38" ca="1" si="4">IF(AND(E30&lt;&gt;"",I29&lt;&gt;""),IF(J30="subsidieverlaging",MIN(E30:F30)/IF($F$28&lt;&gt;"",SUMIFS($F$29:$F$38,$K$29:$K$38,"&gt;0"),SUMIFS($E$29:$E$38,$K$29:$K$38,"&gt;0"))*IF($F$28&lt;&gt;"",SUMIFS($F$29:$F$38,$K$29:$K$38,""),SUMIFS($E$29:$E$38,$K$29:$K$38,""))/(1-$K$39)*$K$39,MIN(E30:F30)),"")</f>
        <v/>
      </c>
      <c r="J30" s="26" t="str">
        <f t="shared" ref="J30:J38" ca="1" si="5">IF(AND(K30&lt;&gt;"",$J$28&lt;&gt;""),IF(IF($F$28&lt;&gt;"",SUMIFS($F$29:$F$38,$K$29:$K$38,""),SUMIFS($E$29:$E$38,$K$29:$K$38,""))/(1-$K$39)*$K$39 &gt; IF($F$28&lt;&gt;"",SUMIFS($F$29:$F$38,$K$29:$K$38,"&gt;0"),SUMIFS($E$29:$E$38,$K$29:$K$38,"&gt;0")),"geen verlaging","subsidieverlaging"),"")</f>
        <v/>
      </c>
      <c r="K30" s="289" t="str" cm="1">
        <f t="array" ref="K30">IFERROR(IF(SUMIFS(SubsidieTabel!$V:$V,SubsidieTabel!$A:$A,B30)&gt;0,IFERROR(VLOOKUP(Openstelling_Keuze,IF(ISBLANK(Tb_Openstelling[SIG_%]),0,Tb_Openstelling[]),MATCH(Tb_Openstelling[[#Headers],[SIG_%]],Tb_Openstelling[#Headers],0),0),0.25),""),"")</f>
        <v/>
      </c>
    </row>
    <row r="31" spans="2:15" s="26" customFormat="1" x14ac:dyDescent="0.25">
      <c r="B31" s="367"/>
      <c r="C31" s="89" t="str">
        <f>IF(B31&lt;&gt;"",SUMIFS('5. Kosten uitvoering project'!$S:$S,'5. Kosten uitvoering project'!$E:$E,'Beoordeeld begrotingsoverzicht'!B31)+SUMIFS('5. Kosten uitvoering project'!$V:$V,'5. Kosten uitvoering project'!$E:$E,'Beoordeeld begrotingsoverzicht'!B31),"")</f>
        <v/>
      </c>
      <c r="D31" s="90" t="str">
        <f>IFERROR(VLOOKUP(B31,Lijsten!$AK:$AL,2,0),"")</f>
        <v/>
      </c>
      <c r="E31" s="89" t="str">
        <f t="shared" si="3"/>
        <v/>
      </c>
      <c r="F31" s="353" t="str">
        <f ca="1">IFERROR(IF(AND(F$28&lt;&gt;""),IF(AND(H31&lt;&gt;"",H31&lt;IFERROR(SUMIFS(SubsidieTabel!$K:$K,SubsidieTabel!$A:$A,$B31,SubsidieTabel!$C:$C,$B$44)/SUMIFS(SubsidieTabel!$K:$K,SubsidieTabel!$C:$C,$B$44)*$D$51*$D31+SUMIFS(SubsidieTabel!$K:$K,SubsidieTabel!$A:$A,$B31,SubsidieTabel!$C:$C,"&lt;&gt;"&amp;$B$44),0)*$D31),H31,SUMIFS(SubsidieTabel!$K:$K,SubsidieTabel!$A:$A,$B31,SubsidieTabel!$C:$C,$B$44)/SUMIFS(SubsidieTabel!$K:$K,SubsidieTabel!$C:$C,$B$44)*$D$51*$D31+SUMIFS(SubsidieTabel!$K:$K,SubsidieTabel!$A:$A,$B31,SubsidieTabel!$C:$C,"&lt;&gt;"&amp;$B$44)*$D31),""),"")</f>
        <v/>
      </c>
      <c r="G31" s="354" t="str">
        <f>IFERROR(IF(AND(G$28&lt;&gt;"",SUMIFS(SubsidieTabel!$R:$R,SubsidieTabel!$A:$A,$B31)&gt;0),H48*D31,IF(G$28&lt;&gt;"",E31,"")),"")</f>
        <v/>
      </c>
      <c r="H31" s="354" t="str">
        <f>IFERROR(IF(AND(H$28&lt;&gt;"",E31&lt;&gt;"",SUMIFS(SubsidieTabel!$T:$T,SubsidieTabel!$A:$A,$B31)&gt;0),$H$56*D31,IF(AND(H$28&lt;&gt;"",E31&lt;&gt;""),MIN(E31,G31),"")),"")</f>
        <v/>
      </c>
      <c r="I31" s="355" t="str">
        <f t="shared" ca="1" si="4"/>
        <v/>
      </c>
      <c r="J31" s="26" t="str">
        <f t="shared" ca="1" si="5"/>
        <v/>
      </c>
      <c r="K31" s="289" t="str" cm="1">
        <f t="array" ref="K31">IFERROR(IF(SUMIFS(SubsidieTabel!$V:$V,SubsidieTabel!$A:$A,B31)&gt;0,IFERROR(VLOOKUP(Openstelling_Keuze,IF(ISBLANK(Tb_Openstelling[SIG_%]),0,Tb_Openstelling[]),MATCH(Tb_Openstelling[[#Headers],[SIG_%]],Tb_Openstelling[#Headers],0),0),0.25),""),"")</f>
        <v/>
      </c>
    </row>
    <row r="32" spans="2:15" s="26" customFormat="1" x14ac:dyDescent="0.25">
      <c r="B32" s="367"/>
      <c r="C32" s="89" t="str">
        <f>IF(B32&lt;&gt;"",SUMIFS('5. Kosten uitvoering project'!$S:$S,'5. Kosten uitvoering project'!$E:$E,'Beoordeeld begrotingsoverzicht'!B32)+SUMIFS('5. Kosten uitvoering project'!$V:$V,'5. Kosten uitvoering project'!$E:$E,'Beoordeeld begrotingsoverzicht'!B32),"")</f>
        <v/>
      </c>
      <c r="D32" s="90" t="str">
        <f>IFERROR(VLOOKUP(B32,Lijsten!$AK:$AL,2,0),"")</f>
        <v/>
      </c>
      <c r="E32" s="89" t="str">
        <f t="shared" si="3"/>
        <v/>
      </c>
      <c r="F32" s="353" t="str">
        <f ca="1">IFERROR(IF(AND(F$28&lt;&gt;""),IF(AND(H32&lt;&gt;"",H32&lt;IFERROR(SUMIFS(SubsidieTabel!$K:$K,SubsidieTabel!$A:$A,$B32,SubsidieTabel!$C:$C,$B$44)/SUMIFS(SubsidieTabel!$K:$K,SubsidieTabel!$C:$C,$B$44)*$D$51*$D32+SUMIFS(SubsidieTabel!$K:$K,SubsidieTabel!$A:$A,$B32,SubsidieTabel!$C:$C,"&lt;&gt;"&amp;$B$44),0)*$D32),H32,SUMIFS(SubsidieTabel!$K:$K,SubsidieTabel!$A:$A,$B32,SubsidieTabel!$C:$C,$B$44)/SUMIFS(SubsidieTabel!$K:$K,SubsidieTabel!$C:$C,$B$44)*$D$51*$D32+SUMIFS(SubsidieTabel!$K:$K,SubsidieTabel!$A:$A,$B32,SubsidieTabel!$C:$C,"&lt;&gt;"&amp;$B$44)*$D32),""),"")</f>
        <v/>
      </c>
      <c r="G32" s="354" t="str">
        <f>IFERROR(IF(AND(G$28&lt;&gt;"",SUMIFS(SubsidieTabel!$R:$R,SubsidieTabel!$A:$A,$B32)&gt;0),H49*D32,IF(G$28&lt;&gt;"",E32,"")),"")</f>
        <v/>
      </c>
      <c r="H32" s="354" t="str">
        <f>IFERROR(IF(AND(H$28&lt;&gt;"",E32&lt;&gt;"",SUMIFS(SubsidieTabel!$T:$T,SubsidieTabel!$A:$A,$B32)&gt;0),$H$56*D32,IF(AND(H$28&lt;&gt;"",E32&lt;&gt;""),MIN(E32,G32),"")),"")</f>
        <v/>
      </c>
      <c r="I32" s="355" t="str">
        <f t="shared" ca="1" si="4"/>
        <v/>
      </c>
      <c r="J32" s="26" t="str">
        <f t="shared" ca="1" si="5"/>
        <v/>
      </c>
      <c r="K32" s="289" t="str" cm="1">
        <f t="array" ref="K32">IFERROR(IF(SUMIFS(SubsidieTabel!$V:$V,SubsidieTabel!$A:$A,B32)&gt;0,IFERROR(VLOOKUP(Openstelling_Keuze,IF(ISBLANK(Tb_Openstelling[SIG_%]),0,Tb_Openstelling[]),MATCH(Tb_Openstelling[[#Headers],[SIG_%]],Tb_Openstelling[#Headers],0),0),0.25),""),"")</f>
        <v/>
      </c>
    </row>
    <row r="33" spans="2:11" s="26" customFormat="1" x14ac:dyDescent="0.25">
      <c r="B33" s="367"/>
      <c r="C33" s="89" t="str">
        <f>IF(B33&lt;&gt;"",SUMIFS('5. Kosten uitvoering project'!$S:$S,'5. Kosten uitvoering project'!$E:$E,'Beoordeeld begrotingsoverzicht'!B33)+SUMIFS('5. Kosten uitvoering project'!$V:$V,'5. Kosten uitvoering project'!$E:$E,'Beoordeeld begrotingsoverzicht'!B33),"")</f>
        <v/>
      </c>
      <c r="D33" s="90" t="str">
        <f>IFERROR(VLOOKUP(B33,Lijsten!$AK:$AL,2,0),"")</f>
        <v/>
      </c>
      <c r="E33" s="89" t="str">
        <f t="shared" si="3"/>
        <v/>
      </c>
      <c r="F33" s="353" t="str">
        <f ca="1">IFERROR(IF(AND(F$28&lt;&gt;""),IF(AND(H33&lt;&gt;"",H33&lt;IFERROR(SUMIFS(SubsidieTabel!$K:$K,SubsidieTabel!$A:$A,$B33,SubsidieTabel!$C:$C,$B$44)/SUMIFS(SubsidieTabel!$K:$K,SubsidieTabel!$C:$C,$B$44)*$D$51*$D33+SUMIFS(SubsidieTabel!$K:$K,SubsidieTabel!$A:$A,$B33,SubsidieTabel!$C:$C,"&lt;&gt;"&amp;$B$44),0)*$D33),H33,SUMIFS(SubsidieTabel!$K:$K,SubsidieTabel!$A:$A,$B33,SubsidieTabel!$C:$C,$B$44)/SUMIFS(SubsidieTabel!$K:$K,SubsidieTabel!$C:$C,$B$44)*$D$51*$D33+SUMIFS(SubsidieTabel!$K:$K,SubsidieTabel!$A:$A,$B33,SubsidieTabel!$C:$C,"&lt;&gt;"&amp;$B$44)*$D33),""),"")</f>
        <v/>
      </c>
      <c r="G33" s="354" t="str">
        <f>IFERROR(IF(AND(G$28&lt;&gt;"",SUMIFS(SubsidieTabel!$R:$R,SubsidieTabel!$A:$A,$B33)&gt;0),H50*D33,IF(G$28&lt;&gt;"",E33,"")),"")</f>
        <v/>
      </c>
      <c r="H33" s="354" t="str">
        <f>IFERROR(IF(AND(H$28&lt;&gt;"",E33&lt;&gt;"",SUMIFS(SubsidieTabel!$T:$T,SubsidieTabel!$A:$A,$B33)&gt;0),$H$56*D33,IF(AND(H$28&lt;&gt;"",E33&lt;&gt;""),MIN(E33,G33),"")),"")</f>
        <v/>
      </c>
      <c r="I33" s="355" t="str">
        <f t="shared" ca="1" si="4"/>
        <v/>
      </c>
      <c r="J33" s="26" t="str">
        <f t="shared" ca="1" si="5"/>
        <v/>
      </c>
      <c r="K33" s="289" t="str" cm="1">
        <f t="array" ref="K33">IFERROR(IF(SUMIFS(SubsidieTabel!$V:$V,SubsidieTabel!$A:$A,B33)&gt;0,IFERROR(VLOOKUP(Openstelling_Keuze,IF(ISBLANK(Tb_Openstelling[SIG_%]),0,Tb_Openstelling[]),MATCH(Tb_Openstelling[[#Headers],[SIG_%]],Tb_Openstelling[#Headers],0),0),0.25),""),"")</f>
        <v/>
      </c>
    </row>
    <row r="34" spans="2:11" s="26" customFormat="1" x14ac:dyDescent="0.25">
      <c r="B34" s="367"/>
      <c r="C34" s="89" t="str">
        <f>IF(B34&lt;&gt;"",SUMIFS('5. Kosten uitvoering project'!$S:$S,'5. Kosten uitvoering project'!$E:$E,'Beoordeeld begrotingsoverzicht'!B34)+SUMIFS('5. Kosten uitvoering project'!$V:$V,'5. Kosten uitvoering project'!$E:$E,'Beoordeeld begrotingsoverzicht'!B34),"")</f>
        <v/>
      </c>
      <c r="D34" s="90" t="str">
        <f>IFERROR(VLOOKUP(B34,Lijsten!$AK:$AL,2,0),"")</f>
        <v/>
      </c>
      <c r="E34" s="89" t="str">
        <f t="shared" si="3"/>
        <v/>
      </c>
      <c r="F34" s="353" t="str">
        <f ca="1">IFERROR(IF(AND(F$28&lt;&gt;""),IF(AND(H34&lt;&gt;"",H34&lt;IFERROR(SUMIFS(SubsidieTabel!$K:$K,SubsidieTabel!$A:$A,$B34,SubsidieTabel!$C:$C,$B$44)/SUMIFS(SubsidieTabel!$K:$K,SubsidieTabel!$C:$C,$B$44)*$D$51*$D34+SUMIFS(SubsidieTabel!$K:$K,SubsidieTabel!$A:$A,$B34,SubsidieTabel!$C:$C,"&lt;&gt;"&amp;$B$44),0)*$D34),H34,SUMIFS(SubsidieTabel!$K:$K,SubsidieTabel!$A:$A,$B34,SubsidieTabel!$C:$C,$B$44)/SUMIFS(SubsidieTabel!$K:$K,SubsidieTabel!$C:$C,$B$44)*$D$51*$D34+SUMIFS(SubsidieTabel!$K:$K,SubsidieTabel!$A:$A,$B34,SubsidieTabel!$C:$C,"&lt;&gt;"&amp;$B$44)*$D34),""),"")</f>
        <v/>
      </c>
      <c r="G34" s="354" t="str">
        <f>IFERROR(IF(AND(G$28&lt;&gt;"",SUMIFS(SubsidieTabel!$R:$R,SubsidieTabel!$A:$A,$B34)&gt;0),H51*D34,IF(G$28&lt;&gt;"",E34,"")),"")</f>
        <v/>
      </c>
      <c r="H34" s="354" t="str">
        <f>IFERROR(IF(AND(H$28&lt;&gt;"",E34&lt;&gt;"",SUMIFS(SubsidieTabel!$T:$T,SubsidieTabel!$A:$A,$B34)&gt;0),$H$56*D34,IF(AND(H$28&lt;&gt;"",E34&lt;&gt;""),MIN(E34,G34),"")),"")</f>
        <v/>
      </c>
      <c r="I34" s="355" t="str">
        <f t="shared" ca="1" si="4"/>
        <v/>
      </c>
      <c r="J34" s="26" t="str">
        <f t="shared" ca="1" si="5"/>
        <v/>
      </c>
      <c r="K34" s="289" t="str" cm="1">
        <f t="array" ref="K34">IFERROR(IF(SUMIFS(SubsidieTabel!$V:$V,SubsidieTabel!$A:$A,B34)&gt;0,IFERROR(VLOOKUP(Openstelling_Keuze,IF(ISBLANK(Tb_Openstelling[SIG_%]),0,Tb_Openstelling[]),MATCH(Tb_Openstelling[[#Headers],[SIG_%]],Tb_Openstelling[#Headers],0),0),0.25),""),"")</f>
        <v/>
      </c>
    </row>
    <row r="35" spans="2:11" s="26" customFormat="1" x14ac:dyDescent="0.25">
      <c r="B35" s="367"/>
      <c r="C35" s="89" t="str">
        <f>IF(B35&lt;&gt;"",SUMIFS('5. Kosten uitvoering project'!$S:$S,'5. Kosten uitvoering project'!$E:$E,'Beoordeeld begrotingsoverzicht'!B35)+SUMIFS('5. Kosten uitvoering project'!$V:$V,'5. Kosten uitvoering project'!$E:$E,'Beoordeeld begrotingsoverzicht'!B35),"")</f>
        <v/>
      </c>
      <c r="D35" s="90" t="str">
        <f>IFERROR(VLOOKUP(B35,Lijsten!$AK:$AL,2,0),"")</f>
        <v/>
      </c>
      <c r="E35" s="89" t="str">
        <f t="shared" si="3"/>
        <v/>
      </c>
      <c r="F35" s="353" t="str">
        <f ca="1">IFERROR(IF(AND(F$28&lt;&gt;""),IF(AND(H35&lt;&gt;"",H35&lt;IFERROR(SUMIFS(SubsidieTabel!$K:$K,SubsidieTabel!$A:$A,$B35,SubsidieTabel!$C:$C,$B$44)/SUMIFS(SubsidieTabel!$K:$K,SubsidieTabel!$C:$C,$B$44)*$D$51*$D35+SUMIFS(SubsidieTabel!$K:$K,SubsidieTabel!$A:$A,$B35,SubsidieTabel!$C:$C,"&lt;&gt;"&amp;$B$44),0)*$D35),H35,SUMIFS(SubsidieTabel!$K:$K,SubsidieTabel!$A:$A,$B35,SubsidieTabel!$C:$C,$B$44)/SUMIFS(SubsidieTabel!$K:$K,SubsidieTabel!$C:$C,$B$44)*$D$51*$D35+SUMIFS(SubsidieTabel!$K:$K,SubsidieTabel!$A:$A,$B35,SubsidieTabel!$C:$C,"&lt;&gt;"&amp;$B$44)*$D35),""),"")</f>
        <v/>
      </c>
      <c r="G35" s="354" t="str">
        <f>IFERROR(IF(AND(G$28&lt;&gt;"",SUMIFS(SubsidieTabel!$R:$R,SubsidieTabel!$A:$A,$B35)&gt;0),H52*D35,IF(G$28&lt;&gt;"",E35,"")),"")</f>
        <v/>
      </c>
      <c r="H35" s="354" t="str">
        <f>IFERROR(IF(AND(H$28&lt;&gt;"",E35&lt;&gt;"",SUMIFS(SubsidieTabel!$T:$T,SubsidieTabel!$A:$A,$B35)&gt;0),$H$56*D35,IF(AND(H$28&lt;&gt;"",E35&lt;&gt;""),MIN(E35,G35),"")),"")</f>
        <v/>
      </c>
      <c r="I35" s="355" t="str">
        <f t="shared" ca="1" si="4"/>
        <v/>
      </c>
      <c r="J35" s="26" t="str">
        <f t="shared" ca="1" si="5"/>
        <v/>
      </c>
      <c r="K35" s="289" t="str" cm="1">
        <f t="array" ref="K35">IFERROR(IF(SUMIFS(SubsidieTabel!$V:$V,SubsidieTabel!$A:$A,B35)&gt;0,IFERROR(VLOOKUP(Openstelling_Keuze,IF(ISBLANK(Tb_Openstelling[SIG_%]),0,Tb_Openstelling[]),MATCH(Tb_Openstelling[[#Headers],[SIG_%]],Tb_Openstelling[#Headers],0),0),0.25),""),"")</f>
        <v/>
      </c>
    </row>
    <row r="36" spans="2:11" s="26" customFormat="1" x14ac:dyDescent="0.25">
      <c r="B36" s="367"/>
      <c r="C36" s="89" t="str">
        <f>IF(B36&lt;&gt;"",SUMIFS('5. Kosten uitvoering project'!$S:$S,'5. Kosten uitvoering project'!$E:$E,'Beoordeeld begrotingsoverzicht'!B36)+SUMIFS('5. Kosten uitvoering project'!$V:$V,'5. Kosten uitvoering project'!$E:$E,'Beoordeeld begrotingsoverzicht'!B36),"")</f>
        <v/>
      </c>
      <c r="D36" s="90" t="str">
        <f>IFERROR(VLOOKUP(B36,Lijsten!$AK:$AL,2,0),"")</f>
        <v/>
      </c>
      <c r="E36" s="89" t="str">
        <f t="shared" si="3"/>
        <v/>
      </c>
      <c r="F36" s="353" t="str">
        <f ca="1">IFERROR(IF(AND(F$28&lt;&gt;""),IF(AND(H36&lt;&gt;"",H36&lt;IFERROR(SUMIFS(SubsidieTabel!$K:$K,SubsidieTabel!$A:$A,$B36,SubsidieTabel!$C:$C,$B$44)/SUMIFS(SubsidieTabel!$K:$K,SubsidieTabel!$C:$C,$B$44)*$D$51*$D36+SUMIFS(SubsidieTabel!$K:$K,SubsidieTabel!$A:$A,$B36,SubsidieTabel!$C:$C,"&lt;&gt;"&amp;$B$44),0)*$D36),H36,SUMIFS(SubsidieTabel!$K:$K,SubsidieTabel!$A:$A,$B36,SubsidieTabel!$C:$C,$B$44)/SUMIFS(SubsidieTabel!$K:$K,SubsidieTabel!$C:$C,$B$44)*$D$51*$D36+SUMIFS(SubsidieTabel!$K:$K,SubsidieTabel!$A:$A,$B36,SubsidieTabel!$C:$C,"&lt;&gt;"&amp;$B$44)*$D36),""),"")</f>
        <v/>
      </c>
      <c r="G36" s="354" t="str">
        <f>IFERROR(IF(AND(G$28&lt;&gt;"",SUMIFS(SubsidieTabel!$R:$R,SubsidieTabel!$A:$A,$B36)&gt;0),H53*D36,IF(G$28&lt;&gt;"",E36,"")),"")</f>
        <v/>
      </c>
      <c r="H36" s="354" t="str">
        <f>IFERROR(IF(AND(H$28&lt;&gt;"",E36&lt;&gt;"",SUMIFS(SubsidieTabel!$T:$T,SubsidieTabel!$A:$A,$B36)&gt;0),$H$56*D36,IF(AND(H$28&lt;&gt;"",E36&lt;&gt;""),MIN(E36,G36),"")),"")</f>
        <v/>
      </c>
      <c r="I36" s="355" t="str">
        <f t="shared" ca="1" si="4"/>
        <v/>
      </c>
      <c r="J36" s="26" t="str">
        <f t="shared" ca="1" si="5"/>
        <v/>
      </c>
      <c r="K36" s="289" t="str" cm="1">
        <f t="array" ref="K36">IFERROR(IF(SUMIFS(SubsidieTabel!$V:$V,SubsidieTabel!$A:$A,B36)&gt;0,IFERROR(VLOOKUP(Openstelling_Keuze,IF(ISBLANK(Tb_Openstelling[SIG_%]),0,Tb_Openstelling[]),MATCH(Tb_Openstelling[[#Headers],[SIG_%]],Tb_Openstelling[#Headers],0),0),0.25),""),"")</f>
        <v/>
      </c>
    </row>
    <row r="37" spans="2:11" s="26" customFormat="1" x14ac:dyDescent="0.25">
      <c r="B37" s="367"/>
      <c r="C37" s="89" t="str">
        <f>IF(B37&lt;&gt;"",SUMIFS('5. Kosten uitvoering project'!$S:$S,'5. Kosten uitvoering project'!$E:$E,'Beoordeeld begrotingsoverzicht'!B37)+SUMIFS('5. Kosten uitvoering project'!$V:$V,'5. Kosten uitvoering project'!$E:$E,'Beoordeeld begrotingsoverzicht'!B37),"")</f>
        <v/>
      </c>
      <c r="D37" s="90" t="str">
        <f>IFERROR(VLOOKUP(B37,Lijsten!$AK:$AL,2,0),"")</f>
        <v/>
      </c>
      <c r="E37" s="89" t="str">
        <f t="shared" si="3"/>
        <v/>
      </c>
      <c r="F37" s="353" t="str">
        <f ca="1">IFERROR(IF(AND(F$28&lt;&gt;""),IF(AND(H37&lt;&gt;"",H37&lt;IFERROR(SUMIFS(SubsidieTabel!$K:$K,SubsidieTabel!$A:$A,$B37,SubsidieTabel!$C:$C,$B$44)/SUMIFS(SubsidieTabel!$K:$K,SubsidieTabel!$C:$C,$B$44)*$D$51*$D37+SUMIFS(SubsidieTabel!$K:$K,SubsidieTabel!$A:$A,$B37,SubsidieTabel!$C:$C,"&lt;&gt;"&amp;$B$44),0)*$D37),H37,SUMIFS(SubsidieTabel!$K:$K,SubsidieTabel!$A:$A,$B37,SubsidieTabel!$C:$C,$B$44)/SUMIFS(SubsidieTabel!$K:$K,SubsidieTabel!$C:$C,$B$44)*$D$51*$D37+SUMIFS(SubsidieTabel!$K:$K,SubsidieTabel!$A:$A,$B37,SubsidieTabel!$C:$C,"&lt;&gt;"&amp;$B$44)*$D37),""),"")</f>
        <v/>
      </c>
      <c r="G37" s="354" t="str">
        <f>IFERROR(IF(AND(G$28&lt;&gt;"",SUMIFS(SubsidieTabel!$R:$R,SubsidieTabel!$A:$A,$B37)&gt;0),H54*D37,IF(G$28&lt;&gt;"",E37,"")),"")</f>
        <v/>
      </c>
      <c r="H37" s="354" t="str">
        <f>IFERROR(IF(AND(H$28&lt;&gt;"",E37&lt;&gt;"",SUMIFS(SubsidieTabel!$T:$T,SubsidieTabel!$A:$A,$B37)&gt;0),$H$56*D37,IF(AND(H$28&lt;&gt;"",E37&lt;&gt;""),MIN(E37,G37),"")),"")</f>
        <v/>
      </c>
      <c r="I37" s="355" t="str">
        <f t="shared" ca="1" si="4"/>
        <v/>
      </c>
      <c r="J37" s="26" t="str">
        <f t="shared" ca="1" si="5"/>
        <v/>
      </c>
      <c r="K37" s="289" t="str" cm="1">
        <f t="array" ref="K37">IFERROR(IF(SUMIFS(SubsidieTabel!$V:$V,SubsidieTabel!$A:$A,B37)&gt;0,IFERROR(VLOOKUP(Openstelling_Keuze,IF(ISBLANK(Tb_Openstelling[SIG_%]),0,Tb_Openstelling[]),MATCH(Tb_Openstelling[[#Headers],[SIG_%]],Tb_Openstelling[#Headers],0),0),0.25),""),"")</f>
        <v/>
      </c>
    </row>
    <row r="38" spans="2:11" x14ac:dyDescent="0.25">
      <c r="B38" s="367"/>
      <c r="C38" s="89" t="str">
        <f>IF(B38&lt;&gt;"",SUMIFS('5. Kosten uitvoering project'!$S:$S,'5. Kosten uitvoering project'!$E:$E,'Beoordeeld begrotingsoverzicht'!B38)+SUMIFS('5. Kosten uitvoering project'!$V:$V,'5. Kosten uitvoering project'!$E:$E,'Beoordeeld begrotingsoverzicht'!B38),"")</f>
        <v/>
      </c>
      <c r="D38" s="90" t="str">
        <f>IFERROR(VLOOKUP(B38,Lijsten!$AK:$AL,2,0),"")</f>
        <v/>
      </c>
      <c r="E38" s="89" t="str">
        <f t="shared" si="3"/>
        <v/>
      </c>
      <c r="F38" s="353" t="str">
        <f ca="1">IFERROR(IF(AND(F$28&lt;&gt;""),IF(AND(H38&lt;&gt;"",H38&lt;IFERROR(SUMIFS(SubsidieTabel!$K:$K,SubsidieTabel!$A:$A,$B38,SubsidieTabel!$C:$C,$B$44)/SUMIFS(SubsidieTabel!$K:$K,SubsidieTabel!$C:$C,$B$44)*$D$51*$D38+SUMIFS(SubsidieTabel!$K:$K,SubsidieTabel!$A:$A,$B38,SubsidieTabel!$C:$C,"&lt;&gt;"&amp;$B$44),0)*$D38),H38,SUMIFS(SubsidieTabel!$K:$K,SubsidieTabel!$A:$A,$B38,SubsidieTabel!$C:$C,$B$44)/SUMIFS(SubsidieTabel!$K:$K,SubsidieTabel!$C:$C,$B$44)*$D$51*$D38+SUMIFS(SubsidieTabel!$K:$K,SubsidieTabel!$A:$A,$B38,SubsidieTabel!$C:$C,"&lt;&gt;"&amp;$B$44)*$D38),""),"")</f>
        <v/>
      </c>
      <c r="G38" s="354" t="str">
        <f>IFERROR(IF(AND(G$28&lt;&gt;"",SUMIFS(SubsidieTabel!$R:$R,SubsidieTabel!$A:$A,$B38)&gt;0),H55*D38,IF(G$28&lt;&gt;"",E38,"")),"")</f>
        <v/>
      </c>
      <c r="H38" s="354" t="str">
        <f>IFERROR(IF(AND(H$28&lt;&gt;"",E38&lt;&gt;"",SUMIFS(SubsidieTabel!$T:$T,SubsidieTabel!$A:$A,$B38)&gt;0),$H$56*D38,IF(AND(H$28&lt;&gt;"",E38&lt;&gt;""),MIN(E38,G38),"")),"")</f>
        <v/>
      </c>
      <c r="I38" s="355" t="str">
        <f t="shared" ca="1" si="4"/>
        <v/>
      </c>
      <c r="J38" s="26" t="str">
        <f t="shared" ca="1" si="5"/>
        <v/>
      </c>
      <c r="K38" s="289" t="str" cm="1">
        <f t="array" ref="K38">IFERROR(IF(SUMIFS(SubsidieTabel!$V:$V,SubsidieTabel!$A:$A,B38)&gt;0,IFERROR(VLOOKUP(Openstelling_Keuze,IF(ISBLANK(Tb_Openstelling[SIG_%]),0,Tb_Openstelling[]),MATCH(Tb_Openstelling[[#Headers],[SIG_%]],Tb_Openstelling[#Headers],0),0),0.25),""),"")</f>
        <v/>
      </c>
    </row>
    <row r="39" spans="2:11" s="26" customFormat="1" ht="30" customHeight="1" x14ac:dyDescent="0.25">
      <c r="B39" s="94"/>
      <c r="C39" s="94"/>
      <c r="D39" s="94"/>
      <c r="E39" s="94"/>
      <c r="F39" s="356" t="str">
        <f ca="1">IF(SUM(F29:F38)&gt;0,FLOOR(SUM(F29:F38),0.01),"")</f>
        <v/>
      </c>
      <c r="G39" s="356" t="str">
        <f ca="1">IF(SUM(G29:G38)&gt;0,SUM(G29:G38),"")</f>
        <v/>
      </c>
      <c r="H39" s="356" t="str">
        <f ca="1">IF(SUM(H29:H38)&gt;0,SUM(H29:H38),"")</f>
        <v/>
      </c>
      <c r="I39" s="356" t="str">
        <f ca="1">IF(SUM(I29:I38)&gt;0,FLOOR(SUM(I29:I38),0.01),"")</f>
        <v/>
      </c>
      <c r="J39" s="357" t="str">
        <f ca="1">IF($J$28&lt;&gt;"",IF(COUNTIF($J$29:$J$38,"subsidieverlaging")&gt;0,"Activiteiten maximaal "&amp;TEXT(K39,"#,00%")&amp;" (werkelijk: " &amp; TEXT(IF($F$28&lt;&gt;"",SUMIFS($F$29:$F$38,$K$29:$K$38,"&gt;0"),SUMIFS($E$29:$E$38,$K$29:$K$38,"&gt;0"))/(IF(F28&lt;&gt;"",$F$39,$E$40)),"#,00%")&amp;")","Activiteiten onder maximum "&amp;TEXT(K39,"#,00%")&amp;" (werkelijk: " &amp; TEXT(IF($F$28&lt;&gt;"",SUMIFS($F$29:$F$38,$K$29:$K$38,"&gt;0"),SUMIFS($E$29:$E$38,$K$29:$K$38,"&gt;0"))/(IF(F28&lt;&gt;"",$F$39,$E$40)),"#,00%")&amp;")"),"")</f>
        <v/>
      </c>
      <c r="K39" s="269" t="str">
        <f ca="1">IFERROR(AVERAGEIF($K$29:$K$38,"&lt;&gt;""",$K$29:$K$38),"")</f>
        <v/>
      </c>
    </row>
    <row r="40" spans="2:11" s="26" customFormat="1" ht="15" customHeight="1" x14ac:dyDescent="0.25">
      <c r="D40" s="108" t="s">
        <v>131</v>
      </c>
      <c r="E40" s="89">
        <f ca="1">IFERROR(FLOOR(SUMPRODUCT(D29:D38,C29:C38),0.01),0)</f>
        <v>0</v>
      </c>
      <c r="F40" s="81"/>
      <c r="I40" s="291" t="str">
        <f ca="1">IF(I39&lt;&gt;"",IF(ROUND(I39,2)&lt;ROUND(MIN(E40,F39),2),"Verlaging op activiteitniveau kan door afrondingsverschillen afwijken van het totaalbedrag van de verlaging.",""),"")</f>
        <v/>
      </c>
    </row>
    <row r="41" spans="2:11" s="26" customFormat="1" ht="15" customHeight="1" x14ac:dyDescent="0.25">
      <c r="D41" s="109" t="s">
        <v>132</v>
      </c>
      <c r="E41" s="42">
        <f ca="1">FLOOR(MIN(C55,C57,F39,G39,H39,I39),0.01)</f>
        <v>0</v>
      </c>
      <c r="F41" s="290" t="str" cm="1">
        <f t="array" aca="1" ref="F41" ca="1">IFERROR(IF(OR(D57&lt;&gt;"",C57&lt;&gt;E40),_xlfn.IFS(AND(C57=0,C22&gt;0),CONCATENATE("Het aangevraagde subsidiebedrag is lager dan het minimum van ",TEXT(Min_Subsidie_Open,"€ #.##0,00")),D57=Max_Subsidie_Open,CONCATENATE("Het maximum subsidiebedrag voor deze openstelling is ",TEXT(Max_Subsidie_Open,"€ #.##0,00")),C57=0,"",C57=Max_Subsidie_Open,CONCATENATE("Het maximum subsidiebedrag voor deze openstelling is ",TEXT(Max_Subsidie_Open,"€ #.##0,00")),OR(D57&lt;&gt;"",MIN(F39:I39)&lt;E40),CONCATENATE("Het maximum subsidiebedrag op basis van subsidievoorwaarden is: ",TEXT(Beoord_Subsidie_Aanvraag,"€ #.##0,00")),AND(C57&lt;&gt;0,G39&gt;=C57),""),IF(E40&lt;&gt;E41,"Het maximum subsidiebedrag op basis van subsidievoorwaarden is: " &amp; TEXT(MIN(F39:I39,E40,C57),"€ #.##0,00"),"")),"")</f>
        <v/>
      </c>
      <c r="G41" s="81"/>
      <c r="H41" s="81"/>
      <c r="I41" s="81"/>
      <c r="J41" s="81"/>
    </row>
    <row r="42" spans="2:11" s="26" customFormat="1" ht="15" customHeight="1" x14ac:dyDescent="0.25">
      <c r="D42" s="108" t="str">
        <f ca="1">IF(AND(E42&lt;&gt;"",E42&gt;Beoord_Subsidie_Aanvraag),"",IF(AND(Beoord_Subsidie_Aanvraag&lt;&gt;"",E42&lt;&gt;"",E42&lt;&gt;0,E42&lt;Beoord_Subsidie_Aanvraag),"Lager maximaal bedrag (aanvrager):",""))</f>
        <v/>
      </c>
      <c r="E42" s="142" t="str">
        <f>IF(AND(Subsidie_Aanvraag_Min&gt;0,Subsidie_Aanvraag_Min&lt;&gt;""),Subsidie_Aanvraag_Min,"")</f>
        <v/>
      </c>
      <c r="F42" s="81"/>
      <c r="G42" s="81"/>
      <c r="H42" s="81"/>
      <c r="I42" s="81"/>
      <c r="J42" s="81"/>
    </row>
    <row r="43" spans="2:11" s="26" customFormat="1" ht="15" customHeight="1" x14ac:dyDescent="0.25">
      <c r="B43" s="43"/>
      <c r="C43" s="44"/>
      <c r="D43" s="45"/>
    </row>
    <row r="44" spans="2:11" s="26" customFormat="1" ht="15" customHeight="1" x14ac:dyDescent="0.25">
      <c r="B44" s="425" t="s">
        <v>11</v>
      </c>
      <c r="C44" s="426"/>
      <c r="D44" s="426"/>
      <c r="E44" s="427"/>
      <c r="F44" s="413" t="str">
        <f>IF(H45&lt;&gt;"","Onderhoud","")</f>
        <v/>
      </c>
      <c r="G44" s="414"/>
      <c r="H44" s="414"/>
      <c r="I44" s="25"/>
      <c r="J44" s="25"/>
    </row>
    <row r="45" spans="2:11" ht="31.5" customHeight="1" x14ac:dyDescent="0.25">
      <c r="B45" s="205" t="str">
        <f>IF(H55&lt;&gt;"","Aandeel grondkosten in totale projectkosten (inclusief aftopping samenwerking)","Aandeel grondkosten in totale projectkosten")</f>
        <v>Aandeel grondkosten in totale projectkosten</v>
      </c>
      <c r="C45" s="215">
        <f ca="1">IFERROR(IF(LEFT(Gebied1_2,4)&lt;&gt;"Geen",FLOOR((SUMIF(B11:C21,B44,C11:C21)),0.01),SUMIF(B11:C21,B44,C11:C21))/IF(I55&lt;&gt;"",C24+I55,C24),0)</f>
        <v>0</v>
      </c>
      <c r="D45" s="428" t="str" cm="1">
        <f t="array" aca="1" ref="D45" ca="1">IF(C45&gt;0,"Maximaal "&amp; IFERROR(VLOOKUP(Openstelling_Keuze,IF(ISBLANK(Tb_Openstelling[Grond_%]),0,Tb_Openstelling[]),MATCH(Tb_Openstelling[[#Headers],[Grond_%]],Tb_Openstelling[#Headers],0),0)*100,10) &amp; "% van de subsidiabele kosten mag bestaan uit grondkosten.","")</f>
        <v/>
      </c>
      <c r="E45" s="429"/>
      <c r="F45" s="411" t="str">
        <f>IF($F$44&lt;&gt;"","Aandeel onderhoudskosten over totale investeringen","")</f>
        <v/>
      </c>
      <c r="G45" s="412"/>
      <c r="H45" s="285" t="str" cm="1">
        <f t="array" ref="H45">IFERROR(IF((SUM(SubsidieTabel!$R:$R)/SUM(SubsidieTabel!$P:$P))&gt;IFERROR(VLOOKUP(Openstelling_Keuze,IF(ISBLANK(Tb_Openstelling[Onderhoud_%]),0,Tb_Openstelling[]),MATCH(Tb_Openstelling[[#Headers],[Onderhoud_%]],Tb_Openstelling[#Headers],0),0),0.1),SUM(SubsidieTabel!$R:$R)/SUM(SubsidieTabel!$P:$P),""),"")</f>
        <v/>
      </c>
      <c r="I45" s="32" t="str" cm="1">
        <f t="array" ref="I45">IF(AND(H45&gt;0,H45&lt;&gt;""),"Maximaal "&amp; IFERROR(VLOOKUP(Openstelling_Keuze,IF(ISBLANK(Tb_Openstelling[Onderhoud_%]),0,Tb_Openstelling[]),MATCH(Tb_Openstelling[[#Headers],[Onderhoud_%]],Tb_Openstelling[#Headers],0),0)*100,10) &amp; "% van de subsidiabele investeringskosten zijn subsidiabel als onderhoudskosten.","")</f>
        <v/>
      </c>
    </row>
    <row r="46" spans="2:11" s="27" customFormat="1" ht="15" customHeight="1" x14ac:dyDescent="0.25">
      <c r="B46" s="206" t="s">
        <v>63</v>
      </c>
      <c r="C46" s="207">
        <f ca="1">IF(C45&gt;B51,IF(LEFT(Gebied1_2,4)&lt;&gt;"Geen",FLOOR((C51/((1-B51)-((B51)*0.23))-C51),0.01),(C51/(1-B51))*B51),SUMIF(B11:C21,B44,C11:C21))</f>
        <v>0</v>
      </c>
      <c r="D46" s="208">
        <f ca="1">IFERROR(SUMIF(B11:C21,B44,C11:C21)*($C46/SUMIF(B11:C21,B44,C11:C21)),SUMIF(B11:C21,B44,C11:C21))</f>
        <v>0</v>
      </c>
      <c r="E46" s="209"/>
      <c r="F46" s="411" t="str">
        <f>IF($F$44&lt;&gt;"","Bedrag onderhoud waarover subsidie verstrekt kan worden","")</f>
        <v/>
      </c>
      <c r="G46" s="412"/>
      <c r="H46" s="266" t="str" cm="1">
        <f t="array" ref="H46">IF(SUM(SubsidieTabel!$P:$P)*IFERROR(VLOOKUP(Openstelling_Keuze,IF(ISBLANK(Tb_Openstelling[Onderhoud_%]),0,Tb_Openstelling[]),MATCH(Tb_Openstelling[[#Headers],[Onderhoud_%]],Tb_Openstelling[#Headers],0),0),0.1)&gt;0,SUM(SubsidieTabel!$P:$P)*IFERROR(VLOOKUP(Openstelling_Keuze,IF(ISBLANK(Tb_Openstelling[Onderhoud_%]),0,Tb_Openstelling[]),MATCH(Tb_Openstelling[[#Headers],[Onderhoud_%]],Tb_Openstelling[#Headers],0),0),0.1),"")</f>
        <v/>
      </c>
      <c r="I46" s="223" t="str" cm="1">
        <f t="array" ref="I46">IF(SUM(SUM(SubsidieTabel!$P:$P),-SUM(SubsidieTabel!$AB:$AB))*IFERROR(VLOOKUP(Openstelling_Keuze,IF(ISBLANK(Tb_Openstelling[Onderhoud_%]),0,Tb_Openstelling[]),MATCH(Tb_Openstelling[[#Headers],[Onderhoud_%]],Tb_Openstelling[#Headers],0),0),0.1)&gt;0,SUM(SUM(SubsidieTabel!$P:$P),-SUM(SubsidieTabel!$AB:$AB))*IFERROR(VLOOKUP(Openstelling_Keuze,IF(ISBLANK(Tb_Openstelling[Onderhoud_%]),0,Tb_Openstelling[]),MATCH(Tb_Openstelling[[#Headers],[Onderhoud_%]],Tb_Openstelling[#Headers],0),0),0.1),"")</f>
        <v/>
      </c>
      <c r="J46" s="25"/>
    </row>
    <row r="47" spans="2:11" ht="15" customHeight="1" x14ac:dyDescent="0.25">
      <c r="B47" s="206" t="s">
        <v>64</v>
      </c>
      <c r="C47" s="207">
        <f ca="1">IF(C45&lt;&gt;0,IF($C$45&gt;B51,SUM(D47:D47),SUM(C22,IF(I55&lt;&gt;"",I55,0))),0)</f>
        <v>0</v>
      </c>
      <c r="D47" s="208">
        <f ca="1">IF(C45&lt;&gt;0,IF($C$45&gt;B51,IF(I55&lt;&gt;"",C22+IF(I55&lt;&gt;"",I55,0),$C$22)-SUMIF(B11:C21,B44,C11:C21)+D46,C22),0)</f>
        <v>0</v>
      </c>
      <c r="E47" s="209"/>
      <c r="F47" s="411" t="str">
        <f>IF($F$44&lt;&gt;"","Aftopping onderhoudskosten","")</f>
        <v/>
      </c>
      <c r="G47" s="412"/>
      <c r="H47" s="266" t="str">
        <f>IF(F44&lt;&gt;"",IF(AND(SUM(SubsidieTabel!$R:$R)&lt;H46,SUM(SubsidieTabel!$R:$R)&lt;&gt;0),SUM(SubsidieTabel!$R:$R),H48-SUM(SubsidieTabel!$R:$R)),"")</f>
        <v/>
      </c>
      <c r="I47" s="223" t="str" cm="1">
        <f t="array" ref="I47">IF(SUM(SUM(SubsidieTabel!$P:$P),-SUM(SubsidieTabel!$AB:$AB))*IFERROR(VLOOKUP(Openstelling_Keuze,IF(ISBLANK(Tb_Openstelling[Onderhoud_%]),0,Tb_Openstelling[]),MATCH(Tb_Openstelling[[#Headers],[Onderhoud_%]],Tb_Openstelling[#Headers],0),0),0.1)&gt;0,SUM(SUM(SubsidieTabel!$P:$P),-SUM(SubsidieTabel!$AB:$AB))*IFERROR(VLOOKUP(Openstelling_Keuze,IF(ISBLANK(Tb_Openstelling[Onderhoud_%]),0,Tb_Openstelling[]),MATCH(Tb_Openstelling[[#Headers],[Onderhoud_%]],Tb_Openstelling[#Headers],0),0),0.1),"")</f>
        <v/>
      </c>
      <c r="J47" s="26"/>
    </row>
    <row r="48" spans="2:11" ht="15" customHeight="1" x14ac:dyDescent="0.25">
      <c r="B48" s="206" t="s">
        <v>65</v>
      </c>
      <c r="C48" s="207">
        <f ca="1">SUM(D48:D48)</f>
        <v>0</v>
      </c>
      <c r="D48" s="208">
        <f ca="1">IF(LEFT(Gebied1_2,4)&lt;&gt;"Geen",IF(C45&gt;B51,C51/((1-B51)-((B51)*0.23))*0.23,D47*0.23),"")</f>
        <v>0</v>
      </c>
      <c r="E48" s="209"/>
      <c r="F48" s="411" t="str">
        <f>IF($F$44&lt;&gt;"","Maximaal bedrag onderhoudskosten","")</f>
        <v/>
      </c>
      <c r="G48" s="412"/>
      <c r="H48" s="266" t="str">
        <f>IF($F$44&lt;&gt;"",IF(AND(SUM(SubsidieTabel!$R:$R)&lt;H46,SUM(SubsidieTabel!$R:$R)&lt;&gt;0),SUM(SubsidieTabel!$R:$R),H46),"")</f>
        <v/>
      </c>
      <c r="I48" s="223" t="str">
        <f>IF(F44&lt;&gt;"",IF(AND(SUM(SubsidieTabel!$R:$R)&lt;H46,SUM(SubsidieTabel!$R:$R)&lt;&gt;0),SUM(SUM(SubsidieTabel!$R:$R),-SUM(SubsidieTabel!$X:$X)),I48-SUM(SUM(SubsidieTabel!$R:$R),-SUM(SubsidieTabel!$X:$X))),"")</f>
        <v/>
      </c>
      <c r="J48" s="26"/>
    </row>
    <row r="49" spans="2:15" ht="15" customHeight="1" x14ac:dyDescent="0.25">
      <c r="B49" s="206" t="s">
        <v>66</v>
      </c>
      <c r="C49" s="207">
        <f ca="1">ROUND(SUM(C47:C48),2)</f>
        <v>0</v>
      </c>
      <c r="D49" s="208">
        <f ca="1">SUM(D47:D48)</f>
        <v>0</v>
      </c>
      <c r="E49" s="209"/>
      <c r="F49" s="411" t="str">
        <f>IF($F$44&lt;&gt;"","Totaal projectkosten met maximaal aandeel onderhoudskosten","")</f>
        <v/>
      </c>
      <c r="G49" s="412"/>
      <c r="H49" s="266" t="str">
        <f>IF($F$44&lt;&gt;"",SUM(SubsidieTabel!$K:$K)+IF(H47&lt;&gt;"",H47,0),"")</f>
        <v/>
      </c>
      <c r="I49" s="223" t="str">
        <f>IF($F$44&lt;&gt;"",IF(AND(SUM(SubsidieTabel!$R:$R)&lt;H46,SUM(SubsidieTabel!$R:$R)&lt;&gt;0),SUM(SUM(SubsidieTabel!$R:$R),-SUM(SubsidieTabel!$X:$X)),I46),"")</f>
        <v/>
      </c>
      <c r="J49" s="26"/>
    </row>
    <row r="50" spans="2:15" ht="15" customHeight="1" x14ac:dyDescent="0.25">
      <c r="B50" s="206" t="s">
        <v>229</v>
      </c>
      <c r="C50" s="207">
        <f ca="1">SUM(D50:D50)</f>
        <v>0</v>
      </c>
      <c r="D50" s="208" t="str">
        <f ca="1">IFERROR(IF(F39&lt;&gt;"",F39,""),"")</f>
        <v/>
      </c>
      <c r="E50" s="209"/>
      <c r="I50" s="223" t="str">
        <f>IF($F$44&lt;&gt;"",SUM(SubsidieTabel!$K:$K)-SUM(SubsidieTabel!$I:$I)+IF(I47&lt;&gt;"",I47,0),"")</f>
        <v/>
      </c>
    </row>
    <row r="51" spans="2:15" ht="4.5" customHeight="1" x14ac:dyDescent="0.25">
      <c r="B51" s="370" cm="1">
        <f t="array" ref="B51">IFERROR(VLOOKUP(Openstelling_Keuze,IF(ISBLANK(Tb_Openstelling[Grond_%]),0,Tb_Openstelling[]),MATCH(Tb_Openstelling[[#Headers],[Grond_%]],Tb_Openstelling[#Headers],0),0),0.1)</f>
        <v>0</v>
      </c>
      <c r="C51" s="370">
        <f ca="1">IF(C45&lt;&gt;0,IF($C$45&gt;B51,IF(I55&lt;&gt;"",C22+IF(I55&lt;&gt;"",I55,0),$C$22)-SUMIF(B11:C21,B44,C11:C21),C22),0)</f>
        <v>0</v>
      </c>
      <c r="D51" s="370" cm="1">
        <f t="array" aca="1" ref="D51" ca="1">IFERROR(_xlfn.IFS(OR(D46=0,D46=""),0,OR(Methode_Keuze="Geen vereenvoudigde kostenoptie",Methode_Keuze=""),D46,Methode_Keuze="Vereenvoudigde kostenoptie voor arbeidskosten",ROUND(D46+D48-SUMIF(SubsidieTabel!$C:$C,"&lt;&gt;"&amp;B44,SubsidieTabel!$I:$I),2),Methode_Keuze="Vereenvoudigde kostenoptie voor overige kosten",ROUND(D46*1.4,2)),0)</f>
        <v>0</v>
      </c>
      <c r="E51" s="209"/>
      <c r="F51" s="27"/>
      <c r="G51" s="27"/>
      <c r="H51" s="27"/>
      <c r="I51" s="27"/>
      <c r="J51" s="27"/>
    </row>
    <row r="52" spans="2:15" ht="15" customHeight="1" x14ac:dyDescent="0.25">
      <c r="B52" s="418" t="s">
        <v>127</v>
      </c>
      <c r="C52" s="419"/>
      <c r="D52" s="419"/>
      <c r="E52" s="420"/>
      <c r="F52" s="413" t="str">
        <f>IF(H53&lt;&gt;"","Samenwerking","")</f>
        <v/>
      </c>
      <c r="G52" s="414"/>
      <c r="H52" s="414"/>
      <c r="K52" s="27"/>
      <c r="L52" s="27"/>
      <c r="M52" s="27"/>
      <c r="N52" s="27"/>
      <c r="O52" s="27"/>
    </row>
    <row r="53" spans="2:15" ht="15" customHeight="1" x14ac:dyDescent="0.25">
      <c r="B53" s="210" t="s">
        <v>69</v>
      </c>
      <c r="C53" s="204">
        <f ca="1">IF(C50&gt;0,0-(C50-C55),0-(E40-C55))</f>
        <v>0</v>
      </c>
      <c r="D53" s="415"/>
      <c r="E53" s="416"/>
      <c r="F53" s="411" t="str">
        <f>IF($F$52&lt;&gt;"","Aandeel samenwerkingskosten over totale projectkosten","")</f>
        <v/>
      </c>
      <c r="G53" s="412"/>
      <c r="H53" s="285" t="str" cm="1">
        <f t="array" ref="H53">IFERROR(IF(SUM(SubsidieTabel!$T:$T)/((MIN(SUM(SubsidieTabel!$K:$K),H49)-SUM(SubsidieTabel!$T:$T))/(1-IFERROR(VLOOKUP(Openstelling_Keuze,IF(ISBLANK(Tb_Openstelling[Samenwerking_%]),0,Tb_Openstelling[]),MATCH(Tb_Openstelling[[#Headers],[Samenwerking_%]],Tb_Openstelling[#Headers],0),0),0.25)))&gt;IFERROR(VLOOKUP(Openstelling_Keuze,IF(ISBLANK(Tb_Openstelling[Samenwerking_%]),0,Tb_Openstelling[]),MATCH(Tb_Openstelling[[#Headers],[Samenwerking_%]],Tb_Openstelling[#Headers],0),0),0.25),SUM(SubsidieTabel!$T:$T)/MIN(SUM(SubsidieTabel!$K:$K),H49),""),"")</f>
        <v/>
      </c>
      <c r="I53" s="32" t="str" cm="1">
        <f t="array" ref="I53">IF(AND(H53&gt;0,H53&lt;&gt;""),"Maximaal "&amp; IFERROR(VLOOKUP(Openstelling_Keuze,IF(ISBLANK(Tb_Openstelling[Samenwerking_%]),0,Tb_Openstelling[]),MATCH(Tb_Openstelling[[#Headers],[Samenwerking_%]],Tb_Openstelling[#Headers],0),0)*100,25) &amp; "% van de subsidiabele projectkosten mag bestaan uit samenwerkingskosten.","")</f>
        <v/>
      </c>
    </row>
    <row r="54" spans="2:15" ht="15" customHeight="1" x14ac:dyDescent="0.25">
      <c r="B54" s="210" t="s">
        <v>183</v>
      </c>
      <c r="C54" s="204">
        <f ca="1">IF(AND(C53&lt;0,C53&lt;&gt;"",C50&gt;0),MIN(C49*0.5,SUMIFS(SubsidieTabel!$G:$G,SubsidieTabel!$C:$C,"=Bijdrage*")),MIN(Beoord_Totaal_Project-SUMIFS(SubsidieTabel!$G:$G,SubsidieTabel!$C:$C,"=Bijdrage*"),SUMIFS(SubsidieTabel!$G:$G,SubsidieTabel!$C:$C,"=Bijdrage*")))</f>
        <v>0</v>
      </c>
      <c r="D54" s="200"/>
      <c r="E54" s="201"/>
      <c r="F54" s="411" t="str">
        <f>IF($F$52&lt;&gt;"","Bedrag samenwerking waarover subsidie verstrekt kan worden","")</f>
        <v/>
      </c>
      <c r="G54" s="412"/>
      <c r="H54" s="266" t="str" cm="1">
        <f t="array" ref="H54">IF(F52&lt;&gt;"",(MIN(Beoord_Totaal_Project,H49)-SUM(SubsidieTabel!$T:$T))/(1-IFERROR(VLOOKUP(Openstelling_Keuze,IF(ISBLANK(Tb_Openstelling[Samenwerking_%]),0,Tb_Openstelling[]),MATCH(Tb_Openstelling[[#Headers],[Samenwerking_%]],Tb_Openstelling[#Headers],0),0),0.25))*IFERROR(VLOOKUP(Openstelling_Keuze,IF(ISBLANK(Tb_Openstelling[Samenwerking_%]),0,Tb_Openstelling[]),MATCH(Tb_Openstelling[[#Headers],[Samenwerking_%]],Tb_Openstelling[#Headers],0),0),0.25),"")</f>
        <v/>
      </c>
      <c r="I54" s="223" t="str" cm="1">
        <f t="array" ref="I54">IF(F52&lt;&gt;"",(MIN($C$22,I49)-SUM(SubsidieTabel!$T:$T)+SUM(SubsidieTabel!$Z:$Z))/(1-IFERROR(VLOOKUP(Openstelling_Keuze,IF(ISBLANK(Tb_Openstelling[Samenwerking_%]),0,Tb_Openstelling[]),MATCH(Tb_Openstelling[[#Headers],[Samenwerking_%]],Tb_Openstelling[#Headers],0),0),0.25))*IFERROR(VLOOKUP(Openstelling_Keuze,IF(ISBLANK(Tb_Openstelling[Samenwerking_%]),0,Tb_Openstelling[]),MATCH(Tb_Openstelling[[#Headers],[Samenwerking_%]],Tb_Openstelling[#Headers],0),0),0.25),"")</f>
        <v/>
      </c>
    </row>
    <row r="55" spans="2:15" ht="29.25" customHeight="1" x14ac:dyDescent="0.25">
      <c r="B55" s="210" t="s">
        <v>360</v>
      </c>
      <c r="C55" s="204">
        <f ca="1">IF(C50&lt;&gt;0,FLOOR(MIN(C50,C49-SUMIFS(SubsidieTabel!$G:$G,SubsidieTabel!$C:$C,"=Bijdrage*")),0.01),FLOOR(MIN(E40,C24-SUMIFS(SubsidieTabel!$G:$G,SubsidieTabel!$C:$C,"=Bijdrage*")),0.01))</f>
        <v>0</v>
      </c>
      <c r="D55" s="415" t="str">
        <f ca="1">IF(AND(C55&lt;E40,C53&lt;0),"Het subsidiebedrag mag niet meer bedragen dan de projectkosten minus de bijdrage in natura.","")</f>
        <v/>
      </c>
      <c r="E55" s="416"/>
      <c r="F55" s="411" t="str">
        <f>IF($F$52&lt;&gt;"","Aftopping samenwerkingskosten","")</f>
        <v/>
      </c>
      <c r="G55" s="412"/>
      <c r="H55" s="286" t="str">
        <f>IF($F$52&lt;&gt;"",IF(H56-SUM(SubsidieTabel!$T:$T)&lt;0,H56-SUM(SubsidieTabel!$T:$T),""),"")</f>
        <v/>
      </c>
      <c r="I55" s="223" t="str">
        <f>IF($F$52&lt;&gt;"",IF(H56-SUM(SubsidieTabel!$T:$T)&lt;0,I56-SUM(SubsidieTabel!$T:$T)+SUM(SubsidieTabel!$Z:$Z),""),"")</f>
        <v/>
      </c>
    </row>
    <row r="56" spans="2:15" ht="15" customHeight="1" x14ac:dyDescent="0.25">
      <c r="B56" s="211"/>
      <c r="C56" s="212"/>
      <c r="D56" s="213"/>
      <c r="E56" s="214"/>
      <c r="F56" s="411" t="str">
        <f>IF($F$52&lt;&gt;"","Maximaal bedrag samenwerkingskosten","")</f>
        <v/>
      </c>
      <c r="G56" s="412"/>
      <c r="H56" s="266" t="str">
        <f>IF($F$52&lt;&gt;"",IF(AND(SUM(SubsidieTabel!$T:$T)&lt;H54,SUM(SubsidieTabel!$T:$T)&lt;&gt;0),SUM(SubsidieTabel!$T:$T),H54),"")</f>
        <v/>
      </c>
      <c r="I56" s="223" t="str">
        <f>IF($F$52&lt;&gt;"",IF(AND(SUM(SubsidieTabel!$T:$T)&lt;H54,SUM(SubsidieTabel!$T:$T)&lt;&gt;0),SUM(SubsidieTabel!$T:$T)-SUM(SubsidieTabel!$Z:$Z),I54),"")</f>
        <v/>
      </c>
    </row>
    <row r="57" spans="2:15" ht="37.5" customHeight="1" x14ac:dyDescent="0.25">
      <c r="B57" s="203" t="s">
        <v>15</v>
      </c>
      <c r="C57" s="204" cm="1">
        <f t="array" aca="1" ref="C57" ca="1">_xlfn.IFS(C55&lt;Min_Subsidie_Open,0,AND(Lijsten!AE2&lt;&gt;0,C55&gt;=Max_Subsidie_Open),FLOOR(Max_Subsidie_Open,0.01),AND(Max_Subsidie_Open&lt;&gt;0,C55&gt;=Min_Subsidie_Open,C55&lt;Max_Subsidie_Open),FLOOR(MIN(E40,C55,F39,G39,H39,I39),0.01),Max_Subsidie_Open&lt;=0,C55)</f>
        <v>0</v>
      </c>
      <c r="D57" s="415" t="str" cm="1">
        <f t="array" aca="1" ref="D57" ca="1">IFERROR(_xlfn.IFS(AND(C57=0,C22&gt;0),CONCATENATE("Het aangevraagde subsidiebedrag is lager dan het minimum van ",TEXT(Min_Subsidie_Open,"€ #.##0,00")),C57=Max_Subsidie_Open,CONCATENATE("Het maximum subsidiebedrag voor deze openstelling is ",TEXT(Max_Subsidie_Open,"€ #.##0,00")),AND(C57&lt;&gt;0,E40&gt;C57),CONCATENATE("Het maximum subsidiebedrag op basis van subsidievoorwaarden is ",TEXT(Beoord_Subsidie_Aanvraag,"€ #.##0,00")),C57&lt;&gt;0,""),"")</f>
        <v>Het maximum subsidiebedrag voor deze openstelling is € 0,00</v>
      </c>
      <c r="E57" s="416"/>
      <c r="F57" s="411" t="str">
        <f>IF($F$52&lt;&gt;"","Totaal projectkosten met maximaal aandeel samenwerkingskosten","")</f>
        <v/>
      </c>
      <c r="G57" s="412"/>
      <c r="H57" s="286" t="str">
        <f>IF($F$52&lt;&gt;"",MIN(H49,Beoord_Totaal_Project)+IF(H55&lt;&gt;"",H55,0),"")</f>
        <v/>
      </c>
      <c r="I57" s="223" t="str">
        <f>IF($F$52&lt;&gt;"",MIN(I49,$C$22)+IF(H55&lt;&gt;"",I55,0),"")</f>
        <v/>
      </c>
    </row>
  </sheetData>
  <sheetProtection algorithmName="SHA-512" hashValue="LB38oyZaBVYmOyJO+Wj4P4OYn4WGMjzS243140fe/Z0l3zt1AL+yyKDOSmuNzlYH+wpCVBmn3nIgUesFMB0Byw==" saltValue="1jXnBkwRU4Q6MD/N8RVrBQ==" spinCount="100000" sheet="1" objects="1" scenarios="1" selectLockedCells="1"/>
  <mergeCells count="24">
    <mergeCell ref="C8:D8"/>
    <mergeCell ref="C2:D2"/>
    <mergeCell ref="C3:D3"/>
    <mergeCell ref="C4:D4"/>
    <mergeCell ref="C5:D5"/>
    <mergeCell ref="C6:D6"/>
    <mergeCell ref="B44:E44"/>
    <mergeCell ref="D45:E45"/>
    <mergeCell ref="B52:E52"/>
    <mergeCell ref="D53:E53"/>
    <mergeCell ref="D57:E57"/>
    <mergeCell ref="D55:E55"/>
    <mergeCell ref="F44:H44"/>
    <mergeCell ref="F45:G45"/>
    <mergeCell ref="F46:G46"/>
    <mergeCell ref="F47:G47"/>
    <mergeCell ref="F48:G48"/>
    <mergeCell ref="F56:G56"/>
    <mergeCell ref="F57:G57"/>
    <mergeCell ref="F49:G49"/>
    <mergeCell ref="F52:H52"/>
    <mergeCell ref="F53:G53"/>
    <mergeCell ref="F54:G54"/>
    <mergeCell ref="F55:G55"/>
  </mergeCells>
  <conditionalFormatting sqref="B44:E49 B50:C50 E50">
    <cfRule type="expression" dxfId="80" priority="61">
      <formula>$C$45&gt;0.1</formula>
    </cfRule>
  </conditionalFormatting>
  <conditionalFormatting sqref="B52:E55">
    <cfRule type="expression" dxfId="79" priority="60">
      <formula>$C$53&lt;0</formula>
    </cfRule>
  </conditionalFormatting>
  <conditionalFormatting sqref="B57:E57">
    <cfRule type="expression" dxfId="78" priority="72">
      <formula>AND(OR($C$50&gt;0,$C$55&gt;0),$C$57&lt;&gt;$E$40)</formula>
    </cfRule>
  </conditionalFormatting>
  <conditionalFormatting sqref="C11:C21">
    <cfRule type="expression" dxfId="77" priority="59">
      <formula>C11&lt;&gt;""</formula>
    </cfRule>
  </conditionalFormatting>
  <conditionalFormatting sqref="D50">
    <cfRule type="expression" dxfId="76" priority="14">
      <formula>$C$45&gt;0.1</formula>
    </cfRule>
  </conditionalFormatting>
  <conditionalFormatting sqref="D11:E21">
    <cfRule type="expression" dxfId="75" priority="56">
      <formula>$D11&lt;&gt;""</formula>
    </cfRule>
  </conditionalFormatting>
  <conditionalFormatting sqref="E42">
    <cfRule type="expression" dxfId="74" priority="76" stopIfTrue="1">
      <formula>AND($E$42&lt;&gt;"",$E$42&gt;Beoord_Subsidie_Aanvraag)</formula>
    </cfRule>
    <cfRule type="expression" dxfId="73" priority="77">
      <formula>AND($E$42&lt;&gt;"",$E$42&lt;Beoord_Subsidie_Aanvraag)</formula>
    </cfRule>
  </conditionalFormatting>
  <conditionalFormatting sqref="F45:G49">
    <cfRule type="expression" dxfId="72" priority="18">
      <formula>F45&lt;&gt;""</formula>
    </cfRule>
  </conditionalFormatting>
  <conditionalFormatting sqref="F53:G57">
    <cfRule type="expression" dxfId="71" priority="15">
      <formula>F53&lt;&gt;""</formula>
    </cfRule>
  </conditionalFormatting>
  <conditionalFormatting sqref="F44:H44">
    <cfRule type="expression" dxfId="70" priority="23">
      <formula>F44&lt;&gt;""</formula>
    </cfRule>
  </conditionalFormatting>
  <conditionalFormatting sqref="F52:H52">
    <cfRule type="expression" dxfId="69" priority="17">
      <formula>F52&lt;&gt;""</formula>
    </cfRule>
  </conditionalFormatting>
  <conditionalFormatting sqref="F39:I39">
    <cfRule type="expression" dxfId="68" priority="1" stopIfTrue="1">
      <formula>AND(F28&lt;&gt;"",F39&lt;&gt;"")</formula>
    </cfRule>
  </conditionalFormatting>
  <conditionalFormatting sqref="F28:J28 F39:J39">
    <cfRule type="expression" dxfId="67" priority="4" stopIfTrue="1">
      <formula>$I$28&lt;&gt;""</formula>
    </cfRule>
  </conditionalFormatting>
  <conditionalFormatting sqref="F28:J28">
    <cfRule type="expression" dxfId="66" priority="3" stopIfTrue="1">
      <formula>F$28&lt;&gt;""</formula>
    </cfRule>
  </conditionalFormatting>
  <conditionalFormatting sqref="F29:J38">
    <cfRule type="expression" dxfId="65" priority="5" stopIfTrue="1">
      <formula>F29&lt;&gt;""</formula>
    </cfRule>
    <cfRule type="expression" dxfId="64" priority="6" stopIfTrue="1">
      <formula>$I$28&lt;&gt;""</formula>
    </cfRule>
  </conditionalFormatting>
  <conditionalFormatting sqref="F42:J42">
    <cfRule type="expression" dxfId="63" priority="49" stopIfTrue="1">
      <formula>AND(E42&lt;&gt;"",E42&gt;Subsidie_Aanvraag)</formula>
    </cfRule>
    <cfRule type="expression" dxfId="62" priority="50">
      <formula>AND(E42&lt;&gt;"",E42&lt;Subsidie_Aanvraag)</formula>
    </cfRule>
  </conditionalFormatting>
  <conditionalFormatting sqref="F10:O10">
    <cfRule type="expression" dxfId="61" priority="66">
      <formula>F10&lt;&gt;""</formula>
    </cfRule>
  </conditionalFormatting>
  <conditionalFormatting sqref="F11:O21">
    <cfRule type="expression" dxfId="60" priority="65">
      <formula>F11&lt;&gt;""</formula>
    </cfRule>
  </conditionalFormatting>
  <conditionalFormatting sqref="F22:O22">
    <cfRule type="expression" dxfId="59" priority="63">
      <formula>F22&lt;&gt;""</formula>
    </cfRule>
  </conditionalFormatting>
  <conditionalFormatting sqref="F23:O23">
    <cfRule type="expression" dxfId="58" priority="64">
      <formula>F23&lt;&gt;""</formula>
    </cfRule>
  </conditionalFormatting>
  <conditionalFormatting sqref="F24:O24">
    <cfRule type="expression" dxfId="57" priority="62">
      <formula>F24&lt;&gt;""</formula>
    </cfRule>
  </conditionalFormatting>
  <conditionalFormatting sqref="H45">
    <cfRule type="expression" dxfId="56" priority="22">
      <formula>H45&lt;&gt;""</formula>
    </cfRule>
  </conditionalFormatting>
  <conditionalFormatting sqref="H46:H49">
    <cfRule type="expression" dxfId="55" priority="24">
      <formula>H46&lt;&gt;""</formula>
    </cfRule>
  </conditionalFormatting>
  <conditionalFormatting sqref="H53">
    <cfRule type="expression" dxfId="54" priority="20">
      <formula>H53&lt;&gt;""</formula>
    </cfRule>
  </conditionalFormatting>
  <conditionalFormatting sqref="H54:H57">
    <cfRule type="expression" dxfId="53" priority="21">
      <formula>H54&lt;&gt;""</formula>
    </cfRule>
  </conditionalFormatting>
  <conditionalFormatting sqref="J39">
    <cfRule type="expression" dxfId="52" priority="2" stopIfTrue="1">
      <formula>AND(J28&lt;&gt;"",J39&lt;&gt;"")</formula>
    </cfRule>
  </conditionalFormatting>
  <conditionalFormatting sqref="K29:K38">
    <cfRule type="expression" dxfId="51" priority="12">
      <formula>K29&lt;&gt;""</formula>
    </cfRule>
  </conditionalFormatting>
  <conditionalFormatting sqref="K39">
    <cfRule type="expression" dxfId="50" priority="11">
      <formula>AND(K39&lt;&gt;"",K39&lt;&gt;0)</formula>
    </cfRule>
  </conditionalFormatting>
  <pageMargins left="0.70866141732283472" right="0.70866141732283472" top="0.74803149606299213" bottom="0.74803149606299213" header="0.31496062992125984" footer="0.31496062992125984"/>
  <pageSetup paperSize="9" orientation="landscape" r:id="rId1"/>
  <headerFooter>
    <oddFooter>&amp;LVersie: september 2023&amp;C&amp;A&amp;R&amp;P van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A0998-2FC0-43D4-BC26-C73D016556E2}">
  <sheetPr codeName="Blad15">
    <tabColor theme="0" tint="-4.9989318521683403E-2"/>
    <pageSetUpPr fitToPage="1"/>
  </sheetPr>
  <dimension ref="A1:V147"/>
  <sheetViews>
    <sheetView showRowColHeaders="0" topLeftCell="A2" zoomScaleNormal="100" workbookViewId="0">
      <selection activeCell="I3" sqref="I3"/>
    </sheetView>
  </sheetViews>
  <sheetFormatPr defaultColWidth="0" defaultRowHeight="15" zeroHeight="1" x14ac:dyDescent="0.25"/>
  <cols>
    <col min="1" max="24" width="9.140625" style="15" customWidth="1"/>
    <col min="25" max="16384" width="9.140625" style="15" hidden="1"/>
  </cols>
  <sheetData>
    <row r="1" spans="1:16" ht="111" customHeight="1" x14ac:dyDescent="0.25">
      <c r="A1" s="233" t="s">
        <v>556</v>
      </c>
    </row>
    <row r="2" spans="1:16" x14ac:dyDescent="0.25">
      <c r="A2" s="225"/>
    </row>
    <row r="3" spans="1:16" x14ac:dyDescent="0.25">
      <c r="A3" s="294" t="s">
        <v>258</v>
      </c>
    </row>
    <row r="4" spans="1:16" x14ac:dyDescent="0.25">
      <c r="A4" s="227" t="s">
        <v>408</v>
      </c>
    </row>
    <row r="5" spans="1:16" x14ac:dyDescent="0.25">
      <c r="A5" s="227" t="s">
        <v>409</v>
      </c>
    </row>
    <row r="6" spans="1:16" x14ac:dyDescent="0.25">
      <c r="A6" s="227" t="s">
        <v>410</v>
      </c>
    </row>
    <row r="7" spans="1:16" x14ac:dyDescent="0.25">
      <c r="A7" s="227" t="s">
        <v>411</v>
      </c>
    </row>
    <row r="8" spans="1:16" x14ac:dyDescent="0.25">
      <c r="A8" s="227" t="s">
        <v>412</v>
      </c>
    </row>
    <row r="9" spans="1:16" x14ac:dyDescent="0.25">
      <c r="A9" s="225"/>
    </row>
    <row r="10" spans="1:16" x14ac:dyDescent="0.25">
      <c r="A10" s="226" t="s">
        <v>259</v>
      </c>
      <c r="B10" s="16"/>
      <c r="C10" s="16"/>
      <c r="D10" s="16"/>
      <c r="E10" s="16"/>
      <c r="F10" s="16"/>
      <c r="G10" s="16"/>
      <c r="H10" s="16"/>
      <c r="I10" s="16"/>
      <c r="J10" s="16"/>
      <c r="K10" s="16"/>
      <c r="L10" s="16"/>
      <c r="M10" s="16"/>
      <c r="N10" s="16"/>
      <c r="O10" s="16"/>
      <c r="P10" s="16"/>
    </row>
    <row r="11" spans="1:16" x14ac:dyDescent="0.25">
      <c r="A11" s="227" t="s">
        <v>341</v>
      </c>
      <c r="B11" s="16"/>
      <c r="C11" s="16"/>
      <c r="D11" s="16"/>
      <c r="E11" s="16"/>
      <c r="F11" s="16"/>
      <c r="G11" s="16"/>
      <c r="H11" s="16"/>
      <c r="I11" s="16"/>
      <c r="J11" s="16"/>
      <c r="K11" s="16"/>
      <c r="L11" s="16"/>
      <c r="M11" s="16"/>
      <c r="N11" s="16"/>
      <c r="O11" s="16"/>
      <c r="P11" s="16"/>
    </row>
    <row r="12" spans="1:16" x14ac:dyDescent="0.25">
      <c r="A12" s="227" t="s">
        <v>413</v>
      </c>
      <c r="B12" s="16"/>
      <c r="C12" s="16"/>
      <c r="D12" s="16"/>
      <c r="E12" s="16"/>
      <c r="F12" s="16"/>
      <c r="G12" s="16"/>
      <c r="H12" s="16"/>
      <c r="I12" s="16"/>
      <c r="J12" s="16"/>
      <c r="K12" s="16"/>
      <c r="L12" s="16"/>
      <c r="M12" s="16"/>
      <c r="N12" s="16"/>
      <c r="O12" s="16"/>
      <c r="P12" s="16"/>
    </row>
    <row r="13" spans="1:16" x14ac:dyDescent="0.25">
      <c r="A13" s="227" t="s">
        <v>414</v>
      </c>
      <c r="B13" s="16"/>
      <c r="C13" s="16"/>
      <c r="D13" s="16"/>
      <c r="E13" s="16"/>
      <c r="F13" s="16"/>
      <c r="G13" s="16"/>
      <c r="H13" s="16"/>
      <c r="I13" s="16"/>
      <c r="J13" s="16"/>
      <c r="K13" s="16"/>
      <c r="L13" s="16"/>
      <c r="M13" s="16"/>
      <c r="N13" s="16"/>
      <c r="O13" s="16"/>
      <c r="P13" s="16"/>
    </row>
    <row r="14" spans="1:16" x14ac:dyDescent="0.25">
      <c r="A14" s="227"/>
      <c r="B14" s="16"/>
      <c r="C14" s="16"/>
      <c r="D14" s="16"/>
      <c r="E14" s="16"/>
      <c r="F14" s="16"/>
      <c r="G14" s="16"/>
      <c r="H14" s="16"/>
      <c r="I14" s="16"/>
      <c r="J14" s="16"/>
      <c r="K14" s="16"/>
      <c r="L14" s="16"/>
      <c r="M14" s="16"/>
      <c r="N14" s="16"/>
      <c r="O14" s="16"/>
      <c r="P14" s="16"/>
    </row>
    <row r="15" spans="1:16" x14ac:dyDescent="0.25">
      <c r="A15" s="227" t="s">
        <v>415</v>
      </c>
      <c r="B15" s="16"/>
      <c r="C15" s="16"/>
      <c r="D15" s="16"/>
      <c r="E15" s="16"/>
      <c r="F15" s="16"/>
      <c r="G15" s="16"/>
      <c r="H15" s="16"/>
      <c r="I15" s="16"/>
      <c r="J15" s="16"/>
      <c r="K15" s="16"/>
      <c r="L15" s="16"/>
      <c r="M15" s="16"/>
      <c r="N15" s="16"/>
      <c r="O15" s="16"/>
      <c r="P15" s="16"/>
    </row>
    <row r="16" spans="1:16" x14ac:dyDescent="0.25">
      <c r="A16" s="227" t="s">
        <v>342</v>
      </c>
      <c r="B16" s="16"/>
      <c r="C16" s="16"/>
      <c r="D16" s="16"/>
      <c r="E16" s="16"/>
      <c r="F16" s="16"/>
      <c r="G16" s="16"/>
      <c r="H16" s="16"/>
      <c r="I16" s="16"/>
      <c r="J16" s="16"/>
      <c r="K16" s="16"/>
      <c r="L16" s="16"/>
      <c r="M16" s="16"/>
      <c r="N16" s="16"/>
      <c r="O16" s="16"/>
      <c r="P16" s="16"/>
    </row>
    <row r="17" spans="1:16" x14ac:dyDescent="0.25">
      <c r="A17" s="227" t="s">
        <v>416</v>
      </c>
      <c r="B17" s="16"/>
      <c r="C17" s="16"/>
      <c r="D17" s="16"/>
      <c r="E17" s="16"/>
      <c r="F17" s="16"/>
      <c r="G17" s="16"/>
      <c r="H17" s="16"/>
      <c r="I17" s="16"/>
      <c r="J17" s="16"/>
      <c r="K17" s="16"/>
      <c r="L17" s="16"/>
      <c r="M17" s="16"/>
      <c r="N17" s="16"/>
      <c r="O17" s="16"/>
      <c r="P17" s="16"/>
    </row>
    <row r="18" spans="1:16" x14ac:dyDescent="0.25">
      <c r="A18" s="227" t="s">
        <v>260</v>
      </c>
      <c r="B18" s="16"/>
      <c r="C18" s="16"/>
      <c r="D18" s="16"/>
      <c r="E18" s="16"/>
      <c r="F18" s="16"/>
      <c r="G18" s="16"/>
      <c r="H18" s="16"/>
      <c r="I18" s="16"/>
      <c r="J18" s="16"/>
      <c r="K18" s="16"/>
      <c r="L18" s="16"/>
      <c r="M18" s="16"/>
      <c r="N18" s="16"/>
      <c r="O18" s="16"/>
      <c r="P18" s="16"/>
    </row>
    <row r="19" spans="1:16" x14ac:dyDescent="0.25">
      <c r="A19" s="227" t="s">
        <v>547</v>
      </c>
      <c r="B19" s="16"/>
      <c r="C19" s="16"/>
      <c r="D19" s="16"/>
      <c r="E19" s="16"/>
      <c r="F19" s="16"/>
      <c r="G19" s="16"/>
      <c r="H19" s="16"/>
      <c r="I19" s="16"/>
      <c r="J19" s="16"/>
      <c r="K19" s="16"/>
      <c r="L19" s="16"/>
      <c r="M19" s="16"/>
      <c r="N19" s="16"/>
      <c r="O19" s="16"/>
      <c r="P19" s="16"/>
    </row>
    <row r="20" spans="1:16" x14ac:dyDescent="0.25">
      <c r="A20" s="227" t="s">
        <v>261</v>
      </c>
    </row>
    <row r="21" spans="1:16" x14ac:dyDescent="0.25">
      <c r="A21" s="225"/>
    </row>
    <row r="22" spans="1:16" x14ac:dyDescent="0.25">
      <c r="A22" s="226" t="s">
        <v>262</v>
      </c>
    </row>
    <row r="23" spans="1:16" x14ac:dyDescent="0.25">
      <c r="A23" s="227" t="s">
        <v>417</v>
      </c>
    </row>
    <row r="24" spans="1:16" x14ac:dyDescent="0.25">
      <c r="A24" s="227" t="s">
        <v>418</v>
      </c>
    </row>
    <row r="25" spans="1:16" x14ac:dyDescent="0.25">
      <c r="A25" s="227" t="s">
        <v>263</v>
      </c>
    </row>
    <row r="26" spans="1:16" x14ac:dyDescent="0.25">
      <c r="A26" s="227" t="s">
        <v>419</v>
      </c>
    </row>
    <row r="27" spans="1:16" x14ac:dyDescent="0.25">
      <c r="A27" s="227" t="s">
        <v>420</v>
      </c>
    </row>
    <row r="28" spans="1:16" x14ac:dyDescent="0.25">
      <c r="A28" s="227" t="s">
        <v>421</v>
      </c>
    </row>
    <row r="29" spans="1:16" x14ac:dyDescent="0.25">
      <c r="A29" s="227" t="s">
        <v>264</v>
      </c>
    </row>
    <row r="30" spans="1:16" x14ac:dyDescent="0.25">
      <c r="A30" s="227" t="s">
        <v>422</v>
      </c>
    </row>
    <row r="31" spans="1:16" x14ac:dyDescent="0.25">
      <c r="A31" s="225"/>
    </row>
    <row r="32" spans="1:16" x14ac:dyDescent="0.25">
      <c r="A32" s="226" t="s">
        <v>265</v>
      </c>
    </row>
    <row r="33" spans="1:7" x14ac:dyDescent="0.25">
      <c r="A33" s="227" t="s">
        <v>423</v>
      </c>
    </row>
    <row r="34" spans="1:7" x14ac:dyDescent="0.25">
      <c r="A34" s="227" t="s">
        <v>424</v>
      </c>
    </row>
    <row r="35" spans="1:7" x14ac:dyDescent="0.25">
      <c r="A35" s="227" t="s">
        <v>266</v>
      </c>
    </row>
    <row r="36" spans="1:7" x14ac:dyDescent="0.25">
      <c r="A36" s="227"/>
    </row>
    <row r="37" spans="1:7" x14ac:dyDescent="0.25">
      <c r="A37" s="227" t="s">
        <v>267</v>
      </c>
    </row>
    <row r="38" spans="1:7" x14ac:dyDescent="0.25">
      <c r="A38" s="294"/>
    </row>
    <row r="39" spans="1:7" x14ac:dyDescent="0.25">
      <c r="A39" s="227" t="s">
        <v>268</v>
      </c>
    </row>
    <row r="40" spans="1:7" x14ac:dyDescent="0.25">
      <c r="A40" s="227" t="s">
        <v>269</v>
      </c>
    </row>
    <row r="41" spans="1:7" x14ac:dyDescent="0.25">
      <c r="A41" s="227" t="s">
        <v>270</v>
      </c>
    </row>
    <row r="42" spans="1:7" x14ac:dyDescent="0.25">
      <c r="A42" s="227" t="s">
        <v>271</v>
      </c>
    </row>
    <row r="43" spans="1:7" x14ac:dyDescent="0.25">
      <c r="A43" s="227" t="s">
        <v>272</v>
      </c>
    </row>
    <row r="44" spans="1:7" x14ac:dyDescent="0.25">
      <c r="A44" s="227"/>
    </row>
    <row r="45" spans="1:7" x14ac:dyDescent="0.25">
      <c r="A45" s="227" t="s">
        <v>425</v>
      </c>
      <c r="G45" s="16"/>
    </row>
    <row r="46" spans="1:7" x14ac:dyDescent="0.25">
      <c r="A46" s="227"/>
    </row>
    <row r="47" spans="1:7" x14ac:dyDescent="0.25">
      <c r="A47" s="227" t="s">
        <v>426</v>
      </c>
    </row>
    <row r="48" spans="1:7" x14ac:dyDescent="0.25">
      <c r="A48" s="225"/>
    </row>
    <row r="49" spans="1:22" x14ac:dyDescent="0.25">
      <c r="A49" s="226" t="s">
        <v>273</v>
      </c>
      <c r="B49" s="16"/>
      <c r="C49" s="16"/>
      <c r="D49" s="16"/>
      <c r="E49" s="16"/>
      <c r="F49" s="16"/>
      <c r="G49" s="16"/>
      <c r="H49" s="16"/>
      <c r="I49" s="292"/>
      <c r="J49" s="292"/>
      <c r="K49" s="292"/>
      <c r="L49" s="292"/>
      <c r="M49" s="292"/>
      <c r="N49" s="292"/>
      <c r="O49" s="292"/>
      <c r="P49" s="292"/>
      <c r="Q49" s="292"/>
      <c r="R49" s="292"/>
      <c r="S49" s="292"/>
      <c r="T49" s="167"/>
      <c r="U49" s="167"/>
      <c r="V49" s="167"/>
    </row>
    <row r="50" spans="1:22" x14ac:dyDescent="0.25">
      <c r="A50" s="227" t="s">
        <v>427</v>
      </c>
      <c r="B50" s="16"/>
      <c r="C50" s="16"/>
      <c r="D50" s="16"/>
      <c r="E50" s="16"/>
      <c r="F50" s="16"/>
      <c r="G50" s="16"/>
      <c r="H50" s="16"/>
      <c r="I50" s="16"/>
      <c r="J50" s="16"/>
      <c r="K50" s="16"/>
      <c r="L50" s="16"/>
      <c r="M50" s="16"/>
      <c r="N50" s="16"/>
      <c r="O50" s="16"/>
      <c r="P50" s="16"/>
      <c r="Q50" s="16"/>
      <c r="R50" s="16"/>
      <c r="S50" s="16"/>
    </row>
    <row r="51" spans="1:22" x14ac:dyDescent="0.25">
      <c r="A51" s="227" t="s">
        <v>343</v>
      </c>
      <c r="B51" s="16"/>
      <c r="C51" s="16"/>
      <c r="D51" s="16"/>
      <c r="E51" s="16"/>
      <c r="F51" s="16"/>
      <c r="G51" s="16"/>
      <c r="H51" s="16"/>
      <c r="I51" s="16"/>
      <c r="J51" s="16"/>
      <c r="K51" s="16"/>
      <c r="L51" s="16"/>
      <c r="M51" s="16"/>
      <c r="N51" s="16"/>
      <c r="O51" s="16"/>
      <c r="P51" s="16"/>
      <c r="Q51" s="16"/>
      <c r="R51" s="16"/>
      <c r="S51" s="16"/>
    </row>
    <row r="52" spans="1:22" x14ac:dyDescent="0.25">
      <c r="A52" s="227" t="s">
        <v>274</v>
      </c>
      <c r="B52" s="16"/>
      <c r="C52" s="16"/>
      <c r="D52" s="16"/>
      <c r="E52" s="16"/>
      <c r="F52" s="16"/>
      <c r="G52" s="16"/>
      <c r="H52" s="16"/>
      <c r="I52" s="16"/>
      <c r="J52" s="16"/>
      <c r="K52" s="16"/>
      <c r="L52" s="16"/>
      <c r="M52" s="16"/>
      <c r="N52" s="16"/>
      <c r="O52" s="16"/>
      <c r="P52" s="16"/>
      <c r="Q52" s="16"/>
      <c r="R52" s="16"/>
      <c r="S52" s="16"/>
    </row>
    <row r="53" spans="1:22" x14ac:dyDescent="0.25">
      <c r="A53" s="227" t="s">
        <v>428</v>
      </c>
      <c r="B53" s="16"/>
      <c r="C53" s="16"/>
      <c r="D53" s="16"/>
      <c r="E53" s="16"/>
      <c r="F53" s="16"/>
      <c r="G53" s="16"/>
      <c r="H53" s="16"/>
      <c r="I53" s="16"/>
      <c r="J53" s="16"/>
      <c r="K53" s="16"/>
      <c r="L53" s="16"/>
      <c r="M53" s="16"/>
      <c r="N53" s="16"/>
      <c r="O53" s="16"/>
      <c r="P53" s="16"/>
      <c r="Q53" s="16"/>
      <c r="R53" s="16"/>
      <c r="S53" s="16"/>
    </row>
    <row r="54" spans="1:22" x14ac:dyDescent="0.25">
      <c r="A54" s="225"/>
      <c r="B54" s="16"/>
      <c r="C54" s="16"/>
      <c r="D54" s="16"/>
      <c r="E54" s="16"/>
      <c r="F54" s="16"/>
      <c r="G54" s="16"/>
      <c r="H54" s="16"/>
      <c r="I54" s="16"/>
      <c r="J54" s="16"/>
      <c r="K54" s="16"/>
      <c r="L54" s="16"/>
      <c r="M54" s="16"/>
      <c r="N54" s="16"/>
      <c r="O54" s="16"/>
      <c r="P54" s="16"/>
      <c r="Q54" s="16"/>
      <c r="R54" s="16"/>
      <c r="S54" s="16"/>
    </row>
    <row r="55" spans="1:22" x14ac:dyDescent="0.25">
      <c r="A55" s="272" t="s">
        <v>429</v>
      </c>
      <c r="B55" s="16"/>
      <c r="C55" s="16"/>
      <c r="D55" s="16"/>
      <c r="E55" s="16"/>
      <c r="F55" s="16"/>
      <c r="G55" s="16"/>
      <c r="H55" s="16"/>
      <c r="I55" s="16"/>
      <c r="J55" s="16"/>
      <c r="K55" s="16"/>
      <c r="L55" s="16"/>
      <c r="M55" s="16"/>
      <c r="N55" s="16"/>
      <c r="O55" s="16"/>
      <c r="P55" s="16"/>
      <c r="Q55" s="16"/>
      <c r="R55" s="16"/>
      <c r="S55" s="16"/>
    </row>
    <row r="56" spans="1:22" x14ac:dyDescent="0.25">
      <c r="A56" s="272" t="s">
        <v>344</v>
      </c>
    </row>
    <row r="57" spans="1:22" x14ac:dyDescent="0.25">
      <c r="A57" s="225"/>
    </row>
    <row r="58" spans="1:22" x14ac:dyDescent="0.25">
      <c r="A58" s="225" t="s">
        <v>430</v>
      </c>
    </row>
    <row r="59" spans="1:22" x14ac:dyDescent="0.25">
      <c r="A59" s="225"/>
    </row>
    <row r="60" spans="1:22" hidden="1" x14ac:dyDescent="0.25">
      <c r="A60" s="361" t="s">
        <v>431</v>
      </c>
    </row>
    <row r="61" spans="1:22" hidden="1" x14ac:dyDescent="0.25">
      <c r="A61" s="360" t="s">
        <v>432</v>
      </c>
    </row>
    <row r="62" spans="1:22" hidden="1" x14ac:dyDescent="0.25">
      <c r="A62" s="360" t="s">
        <v>433</v>
      </c>
    </row>
    <row r="63" spans="1:22" hidden="1" x14ac:dyDescent="0.25">
      <c r="A63" s="360" t="s">
        <v>434</v>
      </c>
    </row>
    <row r="64" spans="1:22" hidden="1" x14ac:dyDescent="0.25">
      <c r="A64" s="360"/>
    </row>
    <row r="65" spans="1:1" x14ac:dyDescent="0.25">
      <c r="A65" s="226" t="s">
        <v>275</v>
      </c>
    </row>
    <row r="66" spans="1:1" x14ac:dyDescent="0.25">
      <c r="A66" s="224" t="s">
        <v>276</v>
      </c>
    </row>
    <row r="67" spans="1:1" x14ac:dyDescent="0.25">
      <c r="A67" s="225" t="s">
        <v>277</v>
      </c>
    </row>
    <row r="68" spans="1:1" x14ac:dyDescent="0.25">
      <c r="A68" s="227" t="s">
        <v>435</v>
      </c>
    </row>
    <row r="69" spans="1:1" x14ac:dyDescent="0.25">
      <c r="A69" s="224" t="s">
        <v>278</v>
      </c>
    </row>
    <row r="70" spans="1:1" x14ac:dyDescent="0.25">
      <c r="A70" s="227" t="s">
        <v>436</v>
      </c>
    </row>
    <row r="71" spans="1:1" x14ac:dyDescent="0.25">
      <c r="A71" s="225" t="s">
        <v>279</v>
      </c>
    </row>
    <row r="72" spans="1:1" x14ac:dyDescent="0.25">
      <c r="A72" s="224" t="s">
        <v>280</v>
      </c>
    </row>
    <row r="73" spans="1:1" x14ac:dyDescent="0.25">
      <c r="A73" s="227" t="s">
        <v>281</v>
      </c>
    </row>
    <row r="74" spans="1:1" x14ac:dyDescent="0.25">
      <c r="A74" s="225" t="s">
        <v>282</v>
      </c>
    </row>
    <row r="75" spans="1:1" x14ac:dyDescent="0.25">
      <c r="A75" s="224" t="s">
        <v>283</v>
      </c>
    </row>
    <row r="76" spans="1:1" x14ac:dyDescent="0.25">
      <c r="A76" s="227" t="s">
        <v>437</v>
      </c>
    </row>
    <row r="77" spans="1:1" x14ac:dyDescent="0.25">
      <c r="A77" s="224" t="s">
        <v>284</v>
      </c>
    </row>
    <row r="78" spans="1:1" x14ac:dyDescent="0.25">
      <c r="A78" s="227" t="s">
        <v>438</v>
      </c>
    </row>
    <row r="79" spans="1:1" x14ac:dyDescent="0.25">
      <c r="A79" s="227" t="s">
        <v>439</v>
      </c>
    </row>
    <row r="80" spans="1:1" x14ac:dyDescent="0.25">
      <c r="A80" s="224" t="s">
        <v>285</v>
      </c>
    </row>
    <row r="81" spans="1:21" x14ac:dyDescent="0.25">
      <c r="A81" s="227" t="s">
        <v>440</v>
      </c>
      <c r="B81" s="16"/>
      <c r="C81" s="16"/>
      <c r="D81" s="16"/>
      <c r="E81" s="16"/>
      <c r="F81" s="16"/>
      <c r="G81" s="16"/>
      <c r="H81" s="16"/>
      <c r="I81" s="16"/>
      <c r="J81" s="16"/>
      <c r="K81" s="16"/>
      <c r="L81" s="16"/>
      <c r="M81" s="16"/>
      <c r="N81" s="16"/>
      <c r="O81" s="16"/>
      <c r="P81" s="16"/>
      <c r="Q81" s="16"/>
      <c r="R81" s="16"/>
      <c r="S81" s="16"/>
      <c r="T81" s="16"/>
      <c r="U81" s="16"/>
    </row>
    <row r="82" spans="1:21" x14ac:dyDescent="0.25">
      <c r="A82" s="224" t="s">
        <v>316</v>
      </c>
      <c r="B82" s="16"/>
      <c r="C82" s="16"/>
      <c r="D82" s="16"/>
      <c r="E82" s="16"/>
      <c r="F82" s="16"/>
      <c r="G82" s="16"/>
      <c r="H82" s="16"/>
      <c r="I82" s="16"/>
      <c r="J82" s="16"/>
      <c r="K82" s="16"/>
      <c r="L82" s="16"/>
      <c r="M82" s="16"/>
      <c r="N82" s="16"/>
      <c r="O82" s="16"/>
      <c r="P82" s="16"/>
      <c r="Q82" s="16"/>
      <c r="R82" s="16"/>
      <c r="S82" s="16"/>
      <c r="T82" s="16"/>
      <c r="U82" s="16"/>
    </row>
    <row r="83" spans="1:21" x14ac:dyDescent="0.25">
      <c r="A83" s="227" t="s">
        <v>441</v>
      </c>
      <c r="B83" s="16"/>
      <c r="C83" s="16"/>
      <c r="D83" s="16"/>
      <c r="E83" s="16"/>
      <c r="F83" s="16"/>
      <c r="G83" s="16"/>
      <c r="H83" s="16"/>
      <c r="I83" s="16"/>
      <c r="J83" s="16"/>
      <c r="K83" s="16"/>
      <c r="L83" s="16"/>
      <c r="M83" s="16"/>
      <c r="N83" s="16"/>
      <c r="O83" s="16"/>
      <c r="P83" s="16"/>
      <c r="Q83" s="16"/>
      <c r="R83" s="16"/>
      <c r="S83" s="16"/>
      <c r="T83" s="16"/>
      <c r="U83" s="16"/>
    </row>
    <row r="84" spans="1:21" x14ac:dyDescent="0.25">
      <c r="A84" s="227" t="s">
        <v>442</v>
      </c>
      <c r="B84" s="16"/>
      <c r="C84" s="16"/>
      <c r="D84" s="16"/>
      <c r="E84" s="16"/>
      <c r="F84" s="16"/>
      <c r="G84" s="16"/>
      <c r="H84" s="16"/>
      <c r="I84" s="16"/>
      <c r="J84" s="16"/>
      <c r="K84" s="16"/>
      <c r="L84" s="16"/>
      <c r="M84" s="16"/>
      <c r="N84" s="16"/>
      <c r="O84" s="16"/>
      <c r="P84" s="16"/>
      <c r="Q84" s="16"/>
      <c r="R84" s="16"/>
      <c r="S84" s="16"/>
      <c r="T84" s="16"/>
      <c r="U84" s="16"/>
    </row>
    <row r="85" spans="1:21" hidden="1" x14ac:dyDescent="0.25">
      <c r="A85" s="360" t="s">
        <v>443</v>
      </c>
      <c r="B85" s="16"/>
      <c r="C85" s="16"/>
      <c r="D85" s="16"/>
      <c r="E85" s="16"/>
      <c r="F85" s="16"/>
      <c r="G85" s="16"/>
      <c r="H85" s="16"/>
      <c r="I85" s="16"/>
      <c r="J85" s="16"/>
      <c r="K85" s="16"/>
      <c r="L85" s="16"/>
      <c r="M85" s="16"/>
      <c r="N85" s="16"/>
      <c r="O85" s="16"/>
      <c r="P85" s="16"/>
      <c r="Q85" s="16"/>
      <c r="R85" s="16"/>
      <c r="S85" s="16"/>
      <c r="T85" s="16"/>
      <c r="U85" s="16"/>
    </row>
    <row r="86" spans="1:21" x14ac:dyDescent="0.25">
      <c r="A86" s="224" t="s">
        <v>444</v>
      </c>
      <c r="B86" s="16"/>
      <c r="C86" s="16"/>
      <c r="D86" s="16"/>
      <c r="E86" s="16"/>
      <c r="F86" s="16"/>
      <c r="G86" s="16"/>
      <c r="H86" s="16"/>
      <c r="I86" s="16"/>
      <c r="J86" s="16"/>
      <c r="K86" s="16"/>
      <c r="L86" s="16"/>
      <c r="M86" s="16"/>
      <c r="N86" s="16"/>
      <c r="O86" s="16"/>
      <c r="P86" s="16"/>
      <c r="Q86" s="16"/>
      <c r="R86" s="16"/>
      <c r="S86" s="16"/>
      <c r="T86" s="16"/>
      <c r="U86" s="16"/>
    </row>
    <row r="87" spans="1:21" hidden="1" x14ac:dyDescent="0.25">
      <c r="A87" s="365" t="s">
        <v>445</v>
      </c>
      <c r="B87" s="16"/>
      <c r="C87" s="16"/>
      <c r="D87" s="16"/>
      <c r="E87" s="16"/>
      <c r="F87" s="16"/>
      <c r="G87" s="16"/>
      <c r="H87" s="16"/>
      <c r="I87" s="16"/>
      <c r="J87" s="16"/>
      <c r="K87" s="16"/>
      <c r="L87" s="16"/>
      <c r="M87" s="16"/>
      <c r="N87" s="16"/>
      <c r="O87" s="16"/>
      <c r="P87" s="16"/>
      <c r="Q87" s="16"/>
      <c r="R87" s="16"/>
      <c r="S87" s="16"/>
      <c r="T87" s="16"/>
      <c r="U87" s="16"/>
    </row>
    <row r="88" spans="1:21" x14ac:dyDescent="0.25">
      <c r="A88" s="225" t="s">
        <v>286</v>
      </c>
    </row>
    <row r="89" spans="1:21" hidden="1" x14ac:dyDescent="0.25">
      <c r="A89" s="360" t="s">
        <v>446</v>
      </c>
    </row>
    <row r="90" spans="1:21" x14ac:dyDescent="0.25">
      <c r="A90" s="227" t="s">
        <v>447</v>
      </c>
    </row>
    <row r="91" spans="1:21" x14ac:dyDescent="0.25">
      <c r="A91" s="225" t="s">
        <v>345</v>
      </c>
    </row>
    <row r="92" spans="1:21" x14ac:dyDescent="0.25">
      <c r="A92" s="224" t="s">
        <v>287</v>
      </c>
    </row>
    <row r="93" spans="1:21" x14ac:dyDescent="0.25">
      <c r="A93" s="227" t="s">
        <v>448</v>
      </c>
    </row>
    <row r="94" spans="1:21" x14ac:dyDescent="0.25">
      <c r="A94" s="225" t="s">
        <v>470</v>
      </c>
    </row>
    <row r="95" spans="1:21" x14ac:dyDescent="0.25">
      <c r="A95" s="225" t="s">
        <v>472</v>
      </c>
    </row>
    <row r="96" spans="1:21" x14ac:dyDescent="0.25">
      <c r="A96" s="225" t="s">
        <v>543</v>
      </c>
    </row>
    <row r="97" spans="1:1" x14ac:dyDescent="0.25">
      <c r="A97" s="225" t="s">
        <v>471</v>
      </c>
    </row>
    <row r="98" spans="1:1" x14ac:dyDescent="0.25">
      <c r="A98" s="224" t="s">
        <v>288</v>
      </c>
    </row>
    <row r="99" spans="1:1" x14ac:dyDescent="0.25">
      <c r="A99" s="225" t="s">
        <v>449</v>
      </c>
    </row>
    <row r="100" spans="1:1" x14ac:dyDescent="0.25">
      <c r="A100" s="224" t="s">
        <v>289</v>
      </c>
    </row>
    <row r="101" spans="1:1" x14ac:dyDescent="0.25">
      <c r="A101" s="227" t="s">
        <v>549</v>
      </c>
    </row>
    <row r="102" spans="1:1" x14ac:dyDescent="0.25">
      <c r="A102" s="227" t="s">
        <v>290</v>
      </c>
    </row>
    <row r="103" spans="1:1" x14ac:dyDescent="0.25">
      <c r="A103" s="227" t="s">
        <v>450</v>
      </c>
    </row>
    <row r="104" spans="1:1" x14ac:dyDescent="0.25">
      <c r="A104" s="227" t="s">
        <v>451</v>
      </c>
    </row>
    <row r="105" spans="1:1" x14ac:dyDescent="0.25">
      <c r="A105" s="227" t="s">
        <v>452</v>
      </c>
    </row>
    <row r="106" spans="1:1" x14ac:dyDescent="0.25">
      <c r="A106" s="227" t="s">
        <v>453</v>
      </c>
    </row>
    <row r="107" spans="1:1" x14ac:dyDescent="0.25">
      <c r="A107" s="227" t="s">
        <v>454</v>
      </c>
    </row>
    <row r="108" spans="1:1" x14ac:dyDescent="0.25">
      <c r="A108" s="227" t="s">
        <v>291</v>
      </c>
    </row>
    <row r="109" spans="1:1" x14ac:dyDescent="0.25">
      <c r="A109" s="224" t="s">
        <v>292</v>
      </c>
    </row>
    <row r="110" spans="1:1" x14ac:dyDescent="0.25">
      <c r="A110" s="225" t="s">
        <v>548</v>
      </c>
    </row>
    <row r="111" spans="1:1" x14ac:dyDescent="0.25">
      <c r="A111" s="224" t="s">
        <v>293</v>
      </c>
    </row>
    <row r="112" spans="1:1" x14ac:dyDescent="0.25">
      <c r="A112" s="227" t="s">
        <v>455</v>
      </c>
    </row>
    <row r="113" spans="1:17" x14ac:dyDescent="0.25">
      <c r="A113" s="224" t="s">
        <v>294</v>
      </c>
      <c r="B113" s="16"/>
      <c r="C113" s="16"/>
      <c r="D113" s="16"/>
      <c r="E113" s="16"/>
      <c r="F113" s="16"/>
      <c r="G113" s="16"/>
      <c r="H113" s="16"/>
      <c r="I113" s="16"/>
      <c r="J113" s="16"/>
      <c r="K113" s="16"/>
      <c r="L113" s="16"/>
      <c r="M113" s="16"/>
      <c r="N113" s="16"/>
      <c r="O113" s="16"/>
      <c r="P113" s="16"/>
      <c r="Q113" s="16"/>
    </row>
    <row r="114" spans="1:17" x14ac:dyDescent="0.25">
      <c r="A114" s="227" t="s">
        <v>456</v>
      </c>
      <c r="B114" s="16"/>
      <c r="C114" s="16"/>
      <c r="D114" s="16"/>
      <c r="E114" s="16"/>
      <c r="F114" s="16"/>
      <c r="G114" s="16"/>
      <c r="H114" s="16"/>
      <c r="I114" s="16"/>
      <c r="J114" s="16"/>
      <c r="K114" s="16"/>
      <c r="L114" s="16"/>
      <c r="M114" s="16"/>
      <c r="N114" s="16"/>
      <c r="O114" s="16"/>
      <c r="P114" s="16"/>
      <c r="Q114" s="16"/>
    </row>
    <row r="115" spans="1:17" x14ac:dyDescent="0.25">
      <c r="A115" s="224" t="s">
        <v>295</v>
      </c>
      <c r="B115" s="16"/>
      <c r="C115" s="16"/>
      <c r="D115" s="16"/>
      <c r="E115" s="16"/>
      <c r="F115" s="16"/>
      <c r="G115" s="16"/>
      <c r="H115" s="16"/>
      <c r="I115" s="16"/>
      <c r="J115" s="16"/>
      <c r="K115" s="16"/>
      <c r="L115" s="16"/>
      <c r="M115" s="16"/>
      <c r="N115" s="16"/>
      <c r="O115" s="16"/>
      <c r="P115" s="16"/>
      <c r="Q115" s="16"/>
    </row>
    <row r="116" spans="1:17" x14ac:dyDescent="0.25">
      <c r="A116" s="227" t="s">
        <v>457</v>
      </c>
    </row>
    <row r="117" spans="1:17" x14ac:dyDescent="0.25">
      <c r="A117" s="224" t="s">
        <v>458</v>
      </c>
    </row>
    <row r="118" spans="1:17" hidden="1" x14ac:dyDescent="0.25">
      <c r="A118" s="365" t="s">
        <v>468</v>
      </c>
    </row>
    <row r="119" spans="1:17" x14ac:dyDescent="0.25">
      <c r="A119" s="227" t="s">
        <v>459</v>
      </c>
    </row>
    <row r="120" spans="1:17" hidden="1" x14ac:dyDescent="0.25">
      <c r="A120" s="360" t="s">
        <v>460</v>
      </c>
    </row>
    <row r="121" spans="1:17" x14ac:dyDescent="0.25">
      <c r="A121" s="224" t="s">
        <v>296</v>
      </c>
    </row>
    <row r="122" spans="1:17" x14ac:dyDescent="0.25">
      <c r="A122" s="227" t="s">
        <v>297</v>
      </c>
    </row>
    <row r="123" spans="1:17" x14ac:dyDescent="0.25">
      <c r="A123" s="227" t="s">
        <v>461</v>
      </c>
    </row>
    <row r="124" spans="1:17" x14ac:dyDescent="0.25">
      <c r="A124" s="227" t="s">
        <v>298</v>
      </c>
    </row>
    <row r="125" spans="1:17" x14ac:dyDescent="0.25">
      <c r="A125" s="224" t="s">
        <v>544</v>
      </c>
    </row>
    <row r="126" spans="1:17" x14ac:dyDescent="0.25">
      <c r="A126" s="225" t="s">
        <v>462</v>
      </c>
    </row>
    <row r="127" spans="1:17" x14ac:dyDescent="0.25">
      <c r="A127" s="224" t="s">
        <v>545</v>
      </c>
    </row>
    <row r="128" spans="1:17" x14ac:dyDescent="0.25">
      <c r="A128" s="225" t="s">
        <v>463</v>
      </c>
    </row>
    <row r="129" spans="1:1" x14ac:dyDescent="0.25">
      <c r="A129" s="225" t="s">
        <v>299</v>
      </c>
    </row>
    <row r="130" spans="1:1" x14ac:dyDescent="0.25">
      <c r="A130" s="225" t="s">
        <v>300</v>
      </c>
    </row>
    <row r="131" spans="1:1" x14ac:dyDescent="0.25">
      <c r="A131" s="272" t="s">
        <v>464</v>
      </c>
    </row>
    <row r="132" spans="1:1" x14ac:dyDescent="0.25">
      <c r="A132" s="272" t="s">
        <v>388</v>
      </c>
    </row>
    <row r="133" spans="1:1" hidden="1" x14ac:dyDescent="0.25">
      <c r="A133" s="375" t="s">
        <v>465</v>
      </c>
    </row>
    <row r="134" spans="1:1" x14ac:dyDescent="0.25">
      <c r="A134" s="224" t="s">
        <v>546</v>
      </c>
    </row>
    <row r="135" spans="1:1" x14ac:dyDescent="0.25">
      <c r="A135" s="227" t="s">
        <v>466</v>
      </c>
    </row>
    <row r="136" spans="1:1" x14ac:dyDescent="0.25"/>
    <row r="137" spans="1:1" x14ac:dyDescent="0.25">
      <c r="A137" s="364" t="s">
        <v>399</v>
      </c>
    </row>
    <row r="138" spans="1:1" x14ac:dyDescent="0.25">
      <c r="A138" s="227" t="s">
        <v>400</v>
      </c>
    </row>
    <row r="139" spans="1:1" x14ac:dyDescent="0.25">
      <c r="A139" s="227" t="s">
        <v>401</v>
      </c>
    </row>
    <row r="140" spans="1:1" x14ac:dyDescent="0.25">
      <c r="A140" s="227"/>
    </row>
    <row r="141" spans="1:1" x14ac:dyDescent="0.25">
      <c r="A141" s="227" t="s">
        <v>402</v>
      </c>
    </row>
    <row r="142" spans="1:1" x14ac:dyDescent="0.25">
      <c r="A142" s="227" t="s">
        <v>403</v>
      </c>
    </row>
    <row r="143" spans="1:1" x14ac:dyDescent="0.25">
      <c r="A143" s="227" t="s">
        <v>404</v>
      </c>
    </row>
    <row r="144" spans="1:1" x14ac:dyDescent="0.25">
      <c r="A144" s="227"/>
    </row>
    <row r="145" spans="1:1" x14ac:dyDescent="0.25">
      <c r="A145" s="227" t="s">
        <v>405</v>
      </c>
    </row>
    <row r="146" spans="1:1" x14ac:dyDescent="0.25">
      <c r="A146" s="227" t="s">
        <v>406</v>
      </c>
    </row>
    <row r="147" spans="1:1" x14ac:dyDescent="0.25">
      <c r="A147" s="227" t="s">
        <v>407</v>
      </c>
    </row>
  </sheetData>
  <sheetProtection algorithmName="SHA-512" hashValue="0kGMek4yEb9W2T4feqbvdN9+HplUkaXJhFu0sYZCBEHOPrmA5WlREGLmU8BURFbihVc/OnTgJAVm1lvF0T2ULg==" saltValue="VAwckE5wFj2xM72ToqIIng==" spinCount="100000" sheet="1" objects="1" scenarios="1"/>
  <pageMargins left="0.70866141732283472" right="0.70866141732283472" top="0.74803149606299213" bottom="0.74803149606299213" header="0.31496062992125984" footer="0.31496062992125984"/>
  <pageSetup paperSize="9" scale="23" orientation="landscape" r:id="rId1"/>
  <headerFooter>
    <oddFooter>&amp;LVersie: september 2023&amp;C&amp;A&amp;R&amp;P van &amp;N</oddFooter>
  </headerFooter>
  <drawing r:id="rId2"/>
</worksheet>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24</vt:i4>
      </vt:variant>
      <vt:variant>
        <vt:lpstr>Benoemde bereiken</vt:lpstr>
      </vt:variant>
      <vt:variant>
        <vt:i4>85</vt:i4>
      </vt:variant>
    </vt:vector>
  </HeadingPairs>
  <TitlesOfParts>
    <vt:vector size="109" baseType="lpstr">
      <vt:lpstr>Toelichting aanvraag</vt:lpstr>
      <vt:lpstr>1. Aanvraaggegevens</vt:lpstr>
      <vt:lpstr>2. Projectdeelnemers</vt:lpstr>
      <vt:lpstr>3. Deelprestaties</vt:lpstr>
      <vt:lpstr>4. Rekenhulp loonkosten aanvr.</vt:lpstr>
      <vt:lpstr>5. Kosten uitvoering project</vt:lpstr>
      <vt:lpstr>6. Begrotingsoverzicht</vt:lpstr>
      <vt:lpstr>Beoordeeld begrotingsoverzicht</vt:lpstr>
      <vt:lpstr>Toelichting betaalverzoek</vt:lpstr>
      <vt:lpstr>7. Rekenhulp loonkosten bet.vz.</vt:lpstr>
      <vt:lpstr>8. Uitgaven betaalverzoek</vt:lpstr>
      <vt:lpstr>9. Betalingsoverzicht</vt:lpstr>
      <vt:lpstr>Beoordeeld betalingsoverzicht</vt:lpstr>
      <vt:lpstr>Openstelling_Activiteit</vt:lpstr>
      <vt:lpstr>Spec_Activiteit</vt:lpstr>
      <vt:lpstr>Kosten_Posten</vt:lpstr>
      <vt:lpstr>SubsidieTabel</vt:lpstr>
      <vt:lpstr>SubsidieTabel_DB</vt:lpstr>
      <vt:lpstr>Lijsten</vt:lpstr>
      <vt:lpstr>Lijsten_Betalingsverzoek</vt:lpstr>
      <vt:lpstr>Spec_Lijsten</vt:lpstr>
      <vt:lpstr>Kostentypen</vt:lpstr>
      <vt:lpstr>Vast tarief</vt:lpstr>
      <vt:lpstr>Berekeningsmethode</vt:lpstr>
      <vt:lpstr>Activiteit_Sortering</vt:lpstr>
      <vt:lpstr>Activiteiten_Lijst</vt:lpstr>
      <vt:lpstr>'3. Deelprestaties'!Afdrukbereik</vt:lpstr>
      <vt:lpstr>'4. Rekenhulp loonkosten aanvr.'!Afdrukbereik</vt:lpstr>
      <vt:lpstr>'5. Kosten uitvoering project'!Afdrukbereik</vt:lpstr>
      <vt:lpstr>'7. Rekenhulp loonkosten bet.vz.'!Afdrukbereik</vt:lpstr>
      <vt:lpstr>'8. Uitgaven betaalverzoek'!Afdrukbereik</vt:lpstr>
      <vt:lpstr>'3. Deelprestaties'!Afdruktitels</vt:lpstr>
      <vt:lpstr>'4. Rekenhulp loonkosten aanvr.'!Afdruktitels</vt:lpstr>
      <vt:lpstr>'5. Kosten uitvoering project'!Afdruktitels</vt:lpstr>
      <vt:lpstr>'7. Rekenhulp loonkosten bet.vz.'!Afdruktitels</vt:lpstr>
      <vt:lpstr>'8. Uitgaven betaalverzoek'!Afdruktitels</vt:lpstr>
      <vt:lpstr>Beoord_Forfait_Aanvraag</vt:lpstr>
      <vt:lpstr>Beoord_Subsidie_Aanvraag</vt:lpstr>
      <vt:lpstr>Beoord_Subsidie_Aanvraag_Min</vt:lpstr>
      <vt:lpstr>Beoord_Totaal_Project</vt:lpstr>
      <vt:lpstr>'8. Uitgaven betaalverzoek'!DB_KostenType</vt:lpstr>
      <vt:lpstr>DB_Loonkosten</vt:lpstr>
      <vt:lpstr>Deelnemers</vt:lpstr>
      <vt:lpstr>Forfait_Aanvraag</vt:lpstr>
      <vt:lpstr>Gebied1_1</vt:lpstr>
      <vt:lpstr>Gebied1_2</vt:lpstr>
      <vt:lpstr>Gebied10_1</vt:lpstr>
      <vt:lpstr>Gebied10_2</vt:lpstr>
      <vt:lpstr>Gebied10_3</vt:lpstr>
      <vt:lpstr>Gebied10_Extra</vt:lpstr>
      <vt:lpstr>Gebied11_1</vt:lpstr>
      <vt:lpstr>Gebied2_1</vt:lpstr>
      <vt:lpstr>Gebied2_2</vt:lpstr>
      <vt:lpstr>Gebied3_1</vt:lpstr>
      <vt:lpstr>Gebied3_2</vt:lpstr>
      <vt:lpstr>Gebied4_1</vt:lpstr>
      <vt:lpstr>Gebied4_2</vt:lpstr>
      <vt:lpstr>Gebied4_3</vt:lpstr>
      <vt:lpstr>Gebied5_1</vt:lpstr>
      <vt:lpstr>Gebied5_2</vt:lpstr>
      <vt:lpstr>Gebied5_3</vt:lpstr>
      <vt:lpstr>Gebied5_4</vt:lpstr>
      <vt:lpstr>Gebied6_1</vt:lpstr>
      <vt:lpstr>Gebied7_1</vt:lpstr>
      <vt:lpstr>Gebied7_2</vt:lpstr>
      <vt:lpstr>Gebied7_3</vt:lpstr>
      <vt:lpstr>Gebied7_4</vt:lpstr>
      <vt:lpstr>Gebied8_1</vt:lpstr>
      <vt:lpstr>Gebied8_2</vt:lpstr>
      <vt:lpstr>Gebied8_3</vt:lpstr>
      <vt:lpstr>Gebied8_4</vt:lpstr>
      <vt:lpstr>Gebied9_1</vt:lpstr>
      <vt:lpstr>Keuze_DB_Nr</vt:lpstr>
      <vt:lpstr>Keuze_DB_Nr_BEO</vt:lpstr>
      <vt:lpstr>Keuze_EindDatum</vt:lpstr>
      <vt:lpstr>Keuze_Ja_Nee</vt:lpstr>
      <vt:lpstr>Keuze_OntvangstDatum</vt:lpstr>
      <vt:lpstr>Keuze_Zaak_Nr</vt:lpstr>
      <vt:lpstr>Kolom_VKO_BET</vt:lpstr>
      <vt:lpstr>Kop_Tarief_Vast</vt:lpstr>
      <vt:lpstr>Kosten_1</vt:lpstr>
      <vt:lpstr>Kostentype</vt:lpstr>
      <vt:lpstr>Loonkosten</vt:lpstr>
      <vt:lpstr>Loonkosten_Data</vt:lpstr>
      <vt:lpstr>LoonkostenNr</vt:lpstr>
      <vt:lpstr>Max_Bijdrage_Natura</vt:lpstr>
      <vt:lpstr>Max_DB_Grond_Aanvraag</vt:lpstr>
      <vt:lpstr>Max_DB_Grond_Beoord</vt:lpstr>
      <vt:lpstr>Max_DB_Natura_Aanvraag</vt:lpstr>
      <vt:lpstr>Max_DB_Natura_Beoord</vt:lpstr>
      <vt:lpstr>Max_Grond</vt:lpstr>
      <vt:lpstr>Max_Subsidie_Open</vt:lpstr>
      <vt:lpstr>Methode_Keuze</vt:lpstr>
      <vt:lpstr>Min_Subsidie_Open</vt:lpstr>
      <vt:lpstr>Openstelling_Keuze</vt:lpstr>
      <vt:lpstr>Openstellingen</vt:lpstr>
      <vt:lpstr>Penvoerder</vt:lpstr>
      <vt:lpstr>Prestaties</vt:lpstr>
      <vt:lpstr>ProjectNaam</vt:lpstr>
      <vt:lpstr>RelatieNummer</vt:lpstr>
      <vt:lpstr>Subsidie_Aanvraag</vt:lpstr>
      <vt:lpstr>Subsidie_Aanvraag_Min</vt:lpstr>
      <vt:lpstr>Subsidie_Tabel</vt:lpstr>
      <vt:lpstr>Tb_Kostentype</vt:lpstr>
      <vt:lpstr>Tb_Tarieven</vt:lpstr>
      <vt:lpstr>Totaal_aangevraagd</vt:lpstr>
      <vt:lpstr>Totaal_Beoordeeld</vt:lpstr>
      <vt:lpstr>Totaal_Project</vt:lpstr>
      <vt:lpstr>Voorbereiding_van_het_projectvoorstel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begroting en betaalverzoeken Veenweide cat.1</dc:title>
  <dc:creator>Rijksdienst voor Ondernemend Nederland</dc:creator>
  <cp:lastModifiedBy>Rijksdienst voor Ondernemend Nederland</cp:lastModifiedBy>
  <cp:lastPrinted>2024-10-25T14:04:54Z</cp:lastPrinted>
  <dcterms:created xsi:type="dcterms:W3CDTF">2015-06-05T18:19:34Z</dcterms:created>
  <dcterms:modified xsi:type="dcterms:W3CDTF">2026-08-05T13:41:09Z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